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0.xml" ContentType="application/vnd.ms-excel.person+xml"/>
  <Override PartName="/xl/persons/person.xml" ContentType="application/vnd.ms-excel.person+xml"/>
  <Override PartName="/xl/worksheets/sheet29.xml" ContentType="application/vnd.openxmlformats-officedocument.spreadsheetml.worksheet+xml"/>
  <Override PartName="/xl/worksheets/sheet30.xml" ContentType="application/vnd.openxmlformats-officedocument.spreadsheetml.worksheet+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D7FFB6FC-DE9A-42C6-BACD-729628262AE3}" xr6:coauthVersionLast="47" xr6:coauthVersionMax="47" xr10:uidLastSave="{00000000-0000-0000-0000-000000000000}"/>
  <bookViews>
    <workbookView xWindow="-108" yWindow="492" windowWidth="46296" windowHeight="24816" tabRatio="799" xr2:uid="{00000000-000D-0000-FFFF-FFFF00000000}"/>
  </bookViews>
  <sheets>
    <sheet name="管理" sheetId="16" r:id="rId1"/>
    <sheet name="銘柄管理" sheetId="1" r:id="rId2"/>
    <sheet name="厳選TOP2" sheetId="27" r:id="rId3"/>
    <sheet name="買抽出v13" sheetId="2" r:id="rId4"/>
    <sheet name="売抽出v13" sheetId="7" r:id="rId5"/>
    <sheet name="ダッシュボード" sheetId="3" r:id="rId6"/>
    <sheet name="分析" sheetId="4" r:id="rId7"/>
    <sheet name="売分析" sheetId="5" r:id="rId8"/>
    <sheet name="売ダッシュボード" sheetId="6" r:id="rId9"/>
    <sheet name="Sheet2" sheetId="19" r:id="rId10"/>
    <sheet name="始値" sheetId="8" r:id="rId11"/>
    <sheet name="高値" sheetId="9" r:id="rId12"/>
    <sheet name="安値" sheetId="10" r:id="rId13"/>
    <sheet name="終値" sheetId="11" r:id="rId14"/>
    <sheet name="出来高" sheetId="12" r:id="rId15"/>
    <sheet name="データ取込" sheetId="13" r:id="rId16"/>
    <sheet name="自動注文決済" sheetId="14" r:id="rId17"/>
    <sheet name="取扱説明書" sheetId="15"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 name="V811設定" sheetId="30" r:id="rId41"/>
    <sheet name="V811指標" sheetId="31" r:id="rId42"/>
  </sheets>
  <functionGroups builtInGroupCount="19"/>
  <definedNames>
    <definedName name="_xlnm._FilterDatabase" localSheetId="5" hidden="1">ダッシュボード!$A$2:$Z$502</definedName>
    <definedName name="_xlnm._FilterDatabase" localSheetId="3" hidden="1">買抽出v13!$A$3:$R$53</definedName>
    <definedName name="_xlnm._FilterDatabase" localSheetId="8" hidden="1">売ダッシュボード!$A$2:$Z$206</definedName>
    <definedName name="_xlnm._FilterDatabase" localSheetId="4" hidden="1">売抽出v13!$A$3:$R$38</definedName>
    <definedName name="_xlnm._FilterDatabase" localSheetId="7" hidden="1">売分析!$A$2:$AU$206</definedName>
    <definedName name="_xlnm._FilterDatabase" localSheetId="6"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0"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<sst xmlns="http://schemas.openxmlformats.org/spreadsheetml/2006/main" count="4376" uniqueCount="1529">
  <si>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</si>
  <si>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</si>
  <si>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</si>
  <si>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</si>
  <si>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</si>
  <si>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</si>
  <si>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</si>
  <si>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</si>
  <si>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</si>
  <si>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</si>
  <si>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</si>
  <si>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</si>
  <si>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</si>
  <si>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</si>
  <si>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</si>
  <si>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</si>
  <si>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</si>
  <si>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</si>
  <si>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</si>
  <si>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</si>
  <si>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</si>
  <si>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</si>
  <si>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</si>
  <si>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</si>
  <si>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</si>
  <si>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</si>
  <si>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</si>
  <si>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</si>
  <si>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</si>
  <si>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</si>
  <si>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</si>
  <si>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</si>
  <si>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</si>
  <si>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</si>
  <si>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</si>
  <si>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</si>
  <si>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</si>
  <si>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</si>
  <si>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</si>
  <si>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</si>
  <si>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</si>
  <si>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</si>
  <si>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</si>
  <si>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</si>
  <si>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</si>
  <si>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</si>
  <si>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</si>
  <si>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</si>
  <si>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</si>
  <si>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</si>
  <si>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</si>
  <si>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</si>
  <si>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</si>
  <si>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</si>
  <si>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</si>
  <si>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</si>
  <si>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</si>
  <si>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</si>
  <si>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</si>
  <si>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</si>
  <si>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</si>
  <si>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</si>
  <si>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</si>
  <si>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</si>
  <si>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</si>
  <si>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</si>
  <si>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</si>
  <si>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</si>
  <si>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</si>
  <si>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</si>
  <si>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</si>
  <si>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</si>
  <si>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</si>
  <si>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</si>
  <si>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</si>
  <si>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</si>
  <si>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</si>
  <si>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</si>
  <si>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</si>
  <si>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</si>
  <si>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</si>
  <si>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</si>
  <si>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</si>
  <si>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</si>
  <si>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</si>
  <si>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</si>
  <si>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</si>
  <si>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</si>
  <si>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</si>
  <si>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</si>
  <si>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</si>
  <si>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</si>
  <si>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</si>
  <si>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</si>
  <si>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</si>
  <si>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</si>
  <si>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</si>
  <si>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</si>
  <si>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</si>
  <si>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</si>
  <si>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</si>
  <si>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</si>
  <si>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</si>
  <si>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</si>
  <si>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</si>
  <si>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</si>
  <si>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</si>
  <si>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</si>
  <si>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</si>
  <si>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</si>
  <si>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</si>
  <si>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</si>
  <si>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</si>
  <si>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</si>
  <si>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</si>
  <si>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</si>
  <si>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</si>
  <si>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</si>
  <si>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</si>
  <si>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</si>
  <si>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</si>
  <si>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</si>
  <si>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</si>
  <si>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</si>
  <si>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</si>
  <si>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</si>
  <si>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</si>
  <si>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</si>
  <si>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</si>
  <si>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</si>
  <si>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</si>
  <si>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</si>
  <si>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</si>
  <si>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</si>
  <si>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</si>
  <si>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</si>
  <si>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</si>
  <si>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</si>
  <si>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</si>
  <si>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</si>
  <si>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</si>
  <si>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</si>
  <si>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</si>
  <si>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</si>
  <si>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</si>
  <si>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</si>
  <si>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</si>
  <si>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</si>
  <si>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</si>
  <si>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</si>
  <si>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</si>
  <si>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</si>
  <si>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</si>
  <si>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</si>
  <si>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</si>
  <si>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</si>
  <si>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</si>
  <si>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</si>
  <si>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</si>
  <si>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</si>
  <si>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</si>
  <si>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</si>
  <si>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</si>
  <si>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</si>
  <si>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</si>
  <si>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</si>
  <si>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</si>
  <si>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</si>
  <si>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</si>
  <si>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</si>
  <si>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</si>
  <si>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</si>
  <si>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</si>
  <si>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</si>
  <si>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</si>
  <si>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</si>
  <si>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</si>
  <si>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</si>
  <si>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</si>
  <si>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</si>
  <si>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</si>
  <si>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</si>
  <si>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</si>
  <si>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</si>
  <si>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</si>
  <si>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</si>
  <si>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</si>
  <si>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</si>
  <si>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</si>
  <si>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</si>
  <si>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</si>
  <si>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</si>
  <si>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</si>
  <si>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</si>
  <si>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</si>
  <si>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</si>
  <si>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</si>
  <si>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</si>
  <si>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</si>
  <si>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</si>
  <si>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</si>
  <si>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</si>
  <si>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</si>
  <si>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</si>
  <si>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</si>
  <si>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</si>
  <si>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</si>
  <si>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</si>
  <si>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</si>
  <si>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</si>
  <si>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</si>
  <si>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</si>
  <si>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</si>
  <si>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</si>
  <si>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</si>
  <si>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</si>
  <si>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</si>
  <si>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</si>
  <si>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</si>
  <si>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</si>
  <si>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</si>
  <si>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</si>
  <si>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</si>
  <si>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</si>
  <si>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</si>
  <si>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</si>
  <si>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</si>
  <si>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</si>
  <si>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</si>
  <si>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</si>
  <si>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</si>
  <si>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</si>
  <si>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</si>
  <si>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</si>
  <si>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</si>
  <si>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</si>
  <si>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</si>
  <si>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</si>
  <si>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</si>
  <si>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</si>
  <si>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</si>
  <si>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</si>
  <si>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</si>
  <si>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</si>
  <si>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</si>
  <si>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</si>
  <si>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</si>
  <si>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</si>
  <si>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</si>
  <si>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</si>
  <si>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</si>
  <si>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</si>
  <si>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</si>
  <si>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</si>
  <si>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</si>
  <si>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</si>
  <si>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</si>
  <si>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</si>
  <si>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</si>
  <si>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</si>
  <si>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</si>
  <si>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</si>
  <si>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</si>
  <si>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</si>
  <si>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</si>
  <si>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</si>
  <si>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</si>
  <si>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</si>
  <si>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</si>
  <si>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</si>
  <si>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</si>
  <si>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</si>
  <si>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</si>
  <si>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</si>
  <si>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</si>
  <si>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</si>
  <si>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</si>
  <si>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</si>
  <si>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</si>
  <si>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</si>
  <si>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</si>
  <si>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</si>
  <si>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</si>
  <si>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</si>
  <si>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</si>
  <si>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</si>
  <si>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</si>
  <si>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</si>
  <si>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</si>
  <si>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</si>
  <si>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</si>
  <si>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</si>
  <si>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</si>
  <si>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</si>
  <si>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</si>
  <si>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</si>
  <si>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</si>
  <si>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</si>
  <si>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</si>
  <si>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</si>
  <si>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</si>
  <si>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</si>
  <si>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</si>
  <si>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</si>
  <si>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</si>
  <si>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</si>
  <si>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</si>
  <si>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</si>
  <si>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</si>
  <si>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</si>
  <si>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</si>
  <si>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</si>
  <si>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</si>
  <si>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</si>
  <si>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</si>
  <si>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</si>
  <si>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</si>
  <si>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</si>
  <si>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</si>
  <si>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</si>
  <si>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</si>
  <si>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</si>
  <si>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</si>
  <si>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</si>
  <si>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</si>
  <si>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</si>
  <si>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</si>
  <si>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</si>
  <si>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</si>
  <si>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</si>
  <si>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</si>
  <si>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</si>
  <si>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</si>
  <si>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</si>
  <si>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</si>
  <si>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</si>
  <si>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</si>
  <si>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</si>
  <si>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</si>
  <si>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</si>
  <si>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</si>
  <si>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</si>
  <si>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</si>
  <si>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</si>
  <si>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</si>
  <si>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</si>
  <si>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</si>
  <si>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</si>
  <si>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</si>
  <si>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</si>
  <si>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</si>
  <si>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</si>
  <si>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</si>
  <si>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</si>
  <si>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</si>
  <si>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</si>
  <si>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</si>
  <si>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</si>
  <si>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</si>
  <si>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</si>
  <si>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</si>
  <si>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</si>
  <si>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</si>
  <si>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</si>
  <si>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</si>
  <si>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</si>
  <si>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</si>
  <si>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</si>
  <si>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</si>
  <si>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</si>
  <si>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</si>
  <si>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</si>
  <si>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</si>
  <si>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</si>
  <si>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</si>
  <si>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</si>
  <si>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</si>
  <si>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</si>
  <si>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</si>
  <si>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</si>
  <si>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</si>
  <si>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</si>
  <si>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</si>
  <si>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</si>
  <si>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</si>
  <si>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</si>
  <si>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</si>
  <si>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</si>
  <si>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</si>
  <si>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</si>
  <si>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</si>
  <si>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</si>
  <si>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</si>
  <si>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</si>
  <si>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</si>
  <si>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</si>
  <si>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</si>
  <si>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</si>
  <si>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</si>
  <si>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</si>
  <si>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</si>
  <si>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</si>
  <si>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</si>
  <si>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</si>
  <si>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</si>
  <si>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</si>
  <si>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</si>
  <si>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</si>
  <si>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</si>
  <si>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</si>
  <si>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</si>
  <si>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</si>
  <si>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</si>
  <si>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</si>
  <si>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</si>
  <si>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</si>
  <si>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</si>
  <si>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</si>
  <si>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</si>
  <si>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</si>
  <si>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</si>
  <si>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</si>
  <si>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</si>
  <si>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</si>
  <si>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</si>
  <si>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</si>
  <si>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</si>
  <si>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</si>
  <si>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</si>
  <si>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</si>
  <si>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</si>
  <si>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</si>
  <si>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</si>
  <si>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</si>
  <si>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</si>
  <si>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</si>
  <si>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</si>
  <si>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</si>
  <si>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</si>
  <si>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</si>
  <si>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</si>
  <si>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</si>
  <si>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</si>
  <si>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</si>
  <si>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</si>
  <si>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</si>
  <si>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</si>
  <si>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</si>
  <si>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</si>
  <si>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</si>
  <si>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</si>
  <si>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</si>
  <si>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</si>
  <si>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</si>
  <si>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</si>
  <si>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</si>
  <si>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</si>
  <si>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</si>
  <si>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</si>
  <si>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</si>
  <si>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</si>
  <si>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</si>
  <si>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</si>
  <si>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</si>
  <si>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</si>
  <si>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</si>
  <si>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</si>
  <si>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</si>
  <si>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</si>
  <si>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</si>
  <si>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</si>
  <si>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</si>
  <si>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</si>
  <si>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</si>
  <si>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</si>
  <si>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</si>
  <si>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</si>
  <si>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</si>
  <si>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</si>
  <si>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</si>
  <si>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</si>
  <si>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</si>
  <si>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</si>
  <si>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</si>
  <si>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</si>
  <si>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</si>
  <si>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</si>
  <si>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</si>
  <si>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</si>
  <si>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</si>
  <si>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</si>
  <si>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</si>
  <si>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</si>
  <si>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</si>
  <si>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</si>
  <si>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</si>
  <si>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</si>
  <si>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</si>
  <si>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</si>
  <si>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</si>
  <si>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</si>
  <si>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</si>
  <si>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</si>
  <si>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</si>
  <si>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</si>
  <si>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</si>
  <si>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</si>
  <si>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</si>
  <si>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</si>
  <si>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</si>
  <si>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</si>
  <si>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</si>
  <si>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</si>
  <si>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</si>
  <si>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</si>
  <si>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</si>
  <si>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</si>
  <si>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</si>
  <si>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</si>
  <si>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</si>
  <si>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</si>
  <si>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</si>
  <si>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</si>
  <si>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</si>
  <si>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</si>
  <si>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</si>
  <si>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</si>
  <si>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</si>
  <si>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</si>
  <si>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</si>
  <si>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</si>
  <si>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</si>
  <si>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</si>
  <si>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</si>
  <si>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</si>
  <si>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</si>
  <si>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</si>
  <si>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</si>
  <si>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</si>
  <si>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</si>
  <si>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</si>
  <si>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</si>
  <si>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</si>
  <si>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</si>
  <si>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</si>
  <si>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</si>
  <si>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</si>
  <si>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</si>
  <si>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</si>
  <si>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</si>
  <si>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</si>
  <si>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</si>
  <si>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</si>
  <si>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</si>
  <si>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</si>
  <si>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</si>
  <si>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</si>
  <si>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</si>
  <si>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</si>
  <si>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</si>
  <si>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</si>
  <si>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</si>
  <si>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</si>
  <si>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</si>
  <si>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</si>
  <si>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</si>
  <si>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</si>
  <si>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</si>
  <si>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</si>
  <si>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</si>
  <si>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</si>
  <si>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</si>
  <si>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</si>
  <si>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</si>
  <si>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</si>
  <si>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</si>
  <si>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</si>
  <si>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</si>
  <si>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</si>
  <si>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</si>
  <si>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</si>
  <si>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</si>
  <si>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</si>
  <si>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</si>
  <si>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</si>
  <si>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</si>
  <si>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</si>
  <si>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</si>
  <si>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</si>
  <si>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</si>
  <si>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</si>
  <si>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</si>
  <si>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</si>
  <si>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</si>
  <si>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</si>
  <si>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</si>
  <si>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</si>
  <si>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</si>
  <si>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</si>
  <si>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</si>
  <si>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</si>
  <si>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</si>
  <si>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</si>
  <si>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</si>
  <si>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</si>
  <si>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</si>
  <si>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</si>
  <si>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</si>
  <si>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</si>
  <si>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</si>
  <si>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</si>
  <si>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</si>
  <si>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</si>
  <si>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</si>
  <si>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</si>
  <si>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</si>
  <si>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</si>
  <si>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</si>
  <si>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</si>
  <si>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</si>
  <si>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</si>
  <si>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</si>
  <si>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</si>
  <si>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</si>
  <si>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</si>
  <si>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</si>
  <si>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</si>
  <si>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</si>
  <si>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</si>
  <si>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</si>
  <si>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</si>
  <si>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</si>
  <si>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</si>
  <si>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</si>
  <si>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</si>
  <si>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</si>
  <si>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</si>
  <si>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</si>
  <si>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</si>
  <si>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</si>
  <si>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</si>
  <si>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</si>
  <si>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</si>
  <si>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</si>
  <si>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</si>
  <si>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</si>
  <si>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</si>
  <si>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</si>
  <si>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</si>
  <si>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</si>
  <si>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</si>
  <si>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</si>
  <si>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</si>
  <si>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</si>
  <si>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</si>
  <si>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</si>
  <si>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</si>
  <si>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</si>
  <si>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</si>
  <si>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</si>
  <si>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</si>
  <si>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</si>
  <si>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</si>
  <si>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</si>
  <si>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</si>
  <si>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</si>
  <si>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</si>
  <si>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</si>
  <si>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</si>
  <si>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</si>
  <si>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</si>
  <si>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</si>
  <si>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</si>
  <si>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</si>
  <si>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</si>
  <si>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</si>
  <si>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</si>
  <si>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</si>
  <si>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</si>
  <si>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</si>
  <si>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</si>
  <si>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</si>
  <si>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</si>
  <si>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</si>
  <si>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</si>
  <si>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</si>
  <si>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</si>
  <si>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</si>
  <si>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</si>
  <si>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</si>
  <si>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</si>
  <si>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</si>
  <si>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</si>
  <si>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</si>
  <si>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</si>
  <si>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</si>
  <si>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</si>
  <si>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</si>
  <si>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</si>
  <si>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</si>
  <si>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</si>
  <si>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</si>
  <si>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</si>
  <si>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</si>
  <si>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</si>
  <si>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</si>
  <si>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</si>
  <si>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</si>
  <si>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</si>
  <si>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</si>
  <si>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</si>
  <si>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</si>
  <si>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</si>
  <si>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</si>
  <si>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</si>
  <si>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</si>
  <si>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</si>
  <si>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</si>
  <si>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</si>
  <si>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</si>
  <si>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</si>
  <si>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</si>
  <si>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</si>
  <si>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</si>
  <si>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</si>
  <si>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</si>
  <si>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</si>
  <si>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</si>
  <si>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</si>
  <si>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</si>
  <si>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</si>
  <si>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</si>
  <si>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</si>
  <si>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</si>
  <si>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</si>
  <si>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</si>
  <si>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</si>
  <si>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</si>
  <si>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</si>
  <si>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</si>
  <si>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</si>
  <si>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</si>
  <si>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</si>
  <si>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</si>
  <si>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</si>
  <si>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</si>
  <si>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</si>
  <si>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</si>
  <si>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</si>
  <si>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</si>
  <si>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</si>
  <si>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</si>
  <si>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</si>
  <si>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</si>
  <si>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</si>
  <si>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</si>
  <si>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</si>
  <si>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</si>
  <si>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</si>
  <si>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</si>
  <si>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</si>
  <si>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</si>
  <si>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</si>
  <si>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</si>
  <si>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</si>
  <si>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</si>
  <si>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</si>
  <si>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</si>
  <si>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</si>
  <si>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</si>
  <si>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</si>
  <si>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</si>
  <si>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</si>
  <si>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</si>
  <si>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</si>
  <si>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</si>
  <si>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</si>
  <si>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</si>
  <si>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</si>
  <si>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</si>
  <si>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</si>
  <si>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</si>
  <si>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</si>
  <si>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</si>
  <si>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</si>
  <si>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</si>
  <si>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</si>
  <si>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</si>
  <si>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</si>
  <si>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</si>
  <si>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</si>
  <si>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</si>
  <si>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</si>
  <si>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</si>
  <si>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</si>
  <si>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</si>
  <si>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</si>
  <si>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</si>
  <si>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</si>
  <si>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</si>
  <si>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</si>
  <si>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</si>
  <si>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</si>
  <si>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</si>
  <si>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</si>
  <si>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</si>
  <si>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</si>
  <si>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</si>
  <si>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</si>
  <si>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</si>
  <si>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</si>
  <si>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</si>
  <si>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</si>
  <si>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</si>
  <si>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</si>
  <si>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</si>
  <si>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</si>
  <si>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</si>
  <si>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</si>
  <si>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</si>
  <si>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</si>
  <si>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</si>
  <si>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</si>
  <si>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</si>
  <si>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</si>
  <si>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</si>
  <si>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</si>
  <si>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</si>
  <si>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</si>
  <si>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</si>
  <si>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</si>
  <si>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</si>
  <si>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</si>
  <si>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</si>
  <si>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</si>
  <si>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</si>
  <si>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</si>
  <si>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</si>
  <si>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</si>
  <si>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</si>
  <si>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</si>
  <si>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</si>
  <si>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</si>
  <si>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</si>
  <si>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</si>
  <si>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</si>
  <si>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</si>
  <si>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</si>
  <si>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</si>
  <si>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</si>
  <si>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</si>
  <si>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</si>
  <si>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</si>
  <si>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</si>
  <si>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</si>
  <si>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</si>
  <si>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</si>
  <si>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</si>
  <si>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</si>
  <si>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</si>
  <si>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</si>
  <si>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</si>
  <si>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</si>
  <si>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</si>
  <si>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</si>
  <si>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</si>
  <si>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</si>
  <si>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</si>
  <si>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</si>
  <si>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</si>
  <si>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</si>
  <si>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</si>
  <si>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</si>
  <si>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</si>
  <si>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</si>
  <si>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</si>
  <si>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</si>
  <si>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</si>
  <si>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</si>
  <si>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</si>
  <si>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</si>
  <si>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</si>
  <si>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</si>
  <si>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</si>
  <si>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</si>
  <si>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</si>
  <si>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</si>
  <si>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</si>
  <si>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</si>
  <si>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</si>
  <si>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</si>
  <si>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</si>
  <si>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</si>
  <si>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</si>
  <si>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</si>
  <si>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</si>
  <si>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</si>
  <si>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</si>
  <si>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</si>
  <si>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</si>
  <si>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</si>
  <si>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</si>
  <si>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</si>
  <si>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</si>
  <si>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</si>
  <si>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</si>
  <si>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</si>
  <si>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</si>
  <si>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</si>
  <si>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</si>
  <si>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</si>
  <si>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</si>
  <si>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</si>
  <si>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</si>
  <si>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</si>
  <si>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</si>
  <si>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</si>
  <si>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</si>
  <si>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</si>
  <si>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</si>
  <si>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</si>
  <si>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</si>
  <si>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</si>
  <si>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</si>
  <si>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</si>
  <si>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</si>
  <si>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</si>
  <si>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</si>
  <si>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</si>
  <si>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</si>
  <si>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</si>
  <si>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</si>
  <si>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</si>
  <si>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</si>
  <si>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</si>
  <si>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</si>
  <si>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</si>
  <si>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</si>
  <si>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</si>
  <si>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</si>
  <si>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</si>
  <si>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</si>
  <si>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</si>
  <si>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</si>
  <si>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</si>
  <si>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</si>
  <si>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</si>
  <si>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</si>
  <si>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</si>
  <si>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</si>
  <si>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</si>
  <si>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</si>
  <si>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</si>
  <si>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</si>
  <si>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</si>
  <si>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</si>
  <si>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</si>
  <si>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</si>
  <si>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</si>
  <si>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</si>
  <si>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</si>
  <si>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</si>
  <si>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</si>
  <si>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</si>
  <si>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</si>
  <si>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</si>
  <si>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</si>
  <si>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</si>
  <si>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</si>
  <si>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</si>
  <si>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</si>
  <si>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</si>
  <si>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</si>
  <si>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</si>
  <si>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</si>
  <si>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</si>
  <si>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</si>
  <si>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</si>
  <si>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</si>
  <si>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</si>
  <si>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</si>
  <si>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</si>
  <si>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</si>
  <si>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</si>
  <si>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</si>
  <si>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</si>
  <si>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</si>
  <si>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</si>
  <si>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</si>
  <si>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</si>
  <si>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</si>
  <si>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</si>
  <si>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</si>
  <si>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</si>
  <si>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</si>
  <si>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</si>
  <si>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</si>
  <si>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</si>
  <si>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</si>
  <si>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</si>
  <si>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</si>
  <si>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</si>
  <si>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</si>
  <si>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</si>
  <si>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</si>
  <si>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</si>
  <si>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</si>
  <si>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</si>
  <si>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</si>
  <si>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</si>
  <si>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</si>
  <si>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</si>
  <si>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</si>
  <si>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</si>
  <si>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</si>
  <si>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</si>
  <si>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</si>
  <si>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</si>
  <si>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</si>
  <si>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</si>
  <si>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</si>
  <si>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</si>
  <si>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</si>
  <si>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</si>
  <si>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</si>
  <si>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</si>
  <si>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</si>
  <si>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</si>
  <si>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</si>
  <si>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</si>
  <si>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</si>
  <si>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</si>
  <si>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</si>
  <si>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</si>
  <si>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</si>
  <si>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</si>
  <si>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</si>
  <si>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</si>
  <si>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</si>
  <si>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</si>
  <si>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</si>
  <si>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</si>
  <si>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</si>
  <si>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</si>
  <si>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</si>
  <si>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</si>
  <si>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</si>
  <si>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</si>
  <si>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</si>
  <si>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</si>
  <si>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</si>
  <si>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</si>
  <si>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</si>
  <si>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</si>
  <si>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</si>
  <si>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</si>
  <si>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</si>
  <si>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</si>
  <si>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</si>
  <si>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</si>
  <si>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</si>
  <si>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</si>
  <si>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</si>
  <si>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</si>
  <si>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</si>
  <si>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</si>
  <si>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</si>
  <si>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</si>
  <si>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</si>
  <si>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</si>
  <si>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</si>
  <si>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</si>
  <si>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</si>
  <si>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</si>
  <si>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</si>
  <si>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</si>
  <si>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</si>
  <si>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</si>
  <si>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</si>
  <si>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</si>
  <si>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</si>
  <si>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</si>
  <si>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</si>
  <si>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</si>
  <si>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</si>
  <si>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</si>
  <si>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</si>
  <si>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</si>
  <si>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</si>
  <si>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</si>
  <si>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</si>
  <si>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</si>
  <si>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</si>
  <si>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</si>
  <si>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</si>
  <si>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</si>
  <si>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</si>
  <si>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</si>
  <si>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</si>
  <si>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</si>
  <si>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</si>
  <si>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</si>
  <si>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</si>
  <si>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</si>
  <si>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</si>
  <si>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</si>
  <si>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</si>
  <si>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</si>
  <si>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</si>
  <si>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</si>
  <si>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</si>
  <si>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</si>
  <si>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</si>
  <si>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</si>
  <si>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</si>
  <si>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</si>
  <si>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</si>
  <si>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</si>
  <si>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</si>
  <si>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</si>
  <si>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</si>
  <si>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</si>
  <si>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</si>
  <si>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</si>
  <si>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</si>
  <si>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</si>
  <si>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</si>
  <si>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</si>
  <si>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</si>
  <si>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</si>
  <si>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</si>
  <si>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</si>
  <si>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</si>
  <si>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</si>
  <si>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</si>
  <si>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</si>
  <si>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</si>
  <si>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</si>
  <si>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</si>
  <si>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</si>
  <si>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</si>
  <si>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</si>
  <si>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</si>
  <si>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</si>
  <si>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</si>
  <si>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</si>
  <si>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</si>
  <si>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</si>
  <si>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</si>
  <si>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</si>
  <si>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</si>
  <si>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</si>
  <si>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</si>
  <si>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</si>
  <si>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</si>
  <si>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</si>
  <si>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</si>
  <si>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</si>
  <si>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</si>
  <si>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</si>
  <si>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</si>
  <si>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</si>
  <si>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</si>
  <si>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</si>
  <si>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</si>
  <si>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</si>
  <si>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</si>
  <si>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</si>
  <si>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</si>
  <si>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</si>
  <si>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</si>
  <si>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</si>
  <si>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</si>
  <si>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</si>
  <si>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</si>
  <si>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</si>
  <si>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</si>
  <si>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</si>
  <si>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</si>
  <si>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</si>
  <si>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</si>
  <si>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</si>
  <si>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</si>
  <si>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</si>
  <si>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</si>
  <si>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</si>
  <si>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</si>
  <si>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</si>
  <si>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</si>
  <si>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</si>
  <si>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</si>
  <si>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</si>
  <si>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</si>
  <si>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</si>
  <si>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</si>
  <si>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</si>
  <si>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</si>
  <si>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</si>
  <si>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</si>
  <si>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</si>
  <si>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</si>
  <si>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</si>
  <si>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</si>
  <si>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</si>
  <si>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</si>
  <si>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</si>
  <si>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</si>
  <si>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</si>
  <si>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</si>
  <si>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</si>
  <si>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</si>
  <si>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</si>
  <si>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</si>
  <si>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</si>
  <si>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</si>
  <si>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</si>
  <si>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</si>
  <si>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</si>
  <si>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</si>
  <si>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</si>
  <si>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</si>
  <si>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</si>
  <si>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</si>
  <si>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</si>
  <si>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</si>
  <si>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</si>
  <si>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</si>
  <si>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</si>
  <si>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</si>
  <si>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</si>
  <si>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</si>
  <si>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</si>
  <si>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</si>
  <si>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</si>
  <si>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</si>
  <si>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</si>
  <si>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</si>
  <si>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</si>
  <si>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</si>
  <si>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</si>
  <si>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</si>
  <si>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</si>
  <si>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</si>
  <si>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</si>
  <si>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</si>
  <si>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</si>
  <si>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</si>
  <si>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</si>
  <si>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</si>
  <si>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</si>
  <si>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</si>
  <si>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</si>
  <si>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</si>
  <si>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</si>
  <si>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</si>
  <si>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</si>
  <si>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</si>
  <si>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</si>
  <si>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</si>
  <si>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</si>
  <si>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</si>
  <si>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</si>
  <si>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</si>
  <si>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</si>
  <si>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</si>
  <si>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</si>
  <si>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</si>
  <si>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</si>
  <si>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</si>
  <si>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</si>
  <si>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</si>
  <si>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</si>
  <si>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</si>
  <si>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</si>
  <si>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</si>
  <si>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</si>
  <si>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</si>
  <si>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</si>
  <si>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</si>
  <si>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</si>
  <si>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</si>
  <si>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</si>
  <si>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</si>
  <si>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</si>
  <si>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</si>
  <si>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</si>
  <si>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</si>
  <si>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</si>
  <si>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</si>
  <si>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</si>
  <si>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</si>
  <si>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</si>
  <si>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</si>
  <si>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</si>
  <si>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</si>
  <si>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</si>
  <si>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</si>
  <si>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</si>
  <si>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</si>
  <si>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</si>
  <si>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</si>
  <si>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</si>
  <si>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</si>
  <si>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</si>
  <si>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</si>
  <si>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</si>
  <si>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</si>
  <si>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</si>
  <si>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</si>
  <si>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</si>
  <si>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</si>
  <si>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</si>
  <si>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</si>
  <si>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</si>
  <si>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</si>
  <si>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</si>
  <si>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</si>
  <si>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</si>
  <si>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</si>
  <si>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</si>
  <si>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</si>
  <si>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</si>
  <si>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</si>
  <si>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</si>
  <si>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</si>
  <si>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</si>
  <si>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</si>
  <si>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</si>
  <si>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</si>
  <si>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</si>
  <si>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</si>
  <si>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</si>
  <si>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</si>
  <si>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</si>
  <si>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</si>
  <si>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</si>
  <si>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</si>
  <si>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</si>
  <si>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</si>
  <si>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</si>
  <si>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</si>
  <si>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</si>
  <si>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</si>
  <si>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</si>
  <si>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</si>
  <si>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</si>
  <si>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</si>
  <si>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</si>
  <si>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</si>
  <si>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</si>
  <si>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</si>
  <si>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</si>
  <si>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</si>
  <si>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</si>
  <si>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</si>
  <si>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</si>
  <si>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</si>
  <si>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</si>
  <si>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</si>
  <si>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</si>
  <si>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</si>
  <si>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</si>
  <si>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</si>
  <si>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</si>
  <si>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</si>
  <si>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</si>
  <si>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</si>
  <si>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</si>
  <si>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</si>
  <si>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</si>
  <si>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</si>
  <si>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</si>
  <si>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</si>
  <si>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</si>
  <si>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</si>
  <si>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</si>
  <si>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</si>
  <si>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</si>
  <si>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</si>
  <si>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</si>
  <si>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</si>
  <si>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</si>
  <si>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</si>
  <si>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</si>
  <si>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</si>
  <si>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</si>
  <si>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</si>
  <si>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</si>
  <si>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</si>
  <si>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</si>
  <si>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</si>
  <si>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</si>
  <si>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</si>
  <si>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</si>
  <si>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</si>
  <si>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</si>
  <si>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</si>
  <si>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</si>
  <si>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</si>
  <si>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</si>
  <si>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</si>
  <si>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</si>
  <si>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</si>
  <si>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</si>
  <si>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</si>
  <si>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</si>
  <si>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</si>
  <si>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</si>
  <si>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</si>
  <si>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</si>
  <si>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</si>
  <si>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</si>
  <si>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</si>
  <si>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</si>
  <si>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</si>
  <si>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</si>
  <si>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</si>
  <si>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</si>
  <si>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</si>
  <si>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</si>
  <si>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</si>
  <si>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</si>
  <si>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</si>
  <si>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</si>
  <si>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</si>
  <si>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</si>
  <si>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</si>
  <si>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</si>
  <si>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</si>
  <si>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</si>
  <si>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</si>
  <si>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</si>
  <si>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</si>
  <si>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</si>
  <si>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</si>
  <si>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</si>
  <si>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</si>
  <si>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</si>
  <si>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</si>
  <si>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</si>
  <si>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</si>
  <si>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</si>
  <si>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</si>
  <si>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</si>
  <si>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</si>
  <si>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</si>
  <si>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</si>
  <si>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</si>
  <si>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</si>
  <si>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</si>
  <si>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</si>
  <si>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</si>
  <si>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</si>
  <si>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</si>
  <si>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</si>
  <si>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</si>
  <si>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</si>
  <si>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</si>
  <si>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</si>
  <si>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</si>
  <si>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</si>
  <si>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</si>
  <si>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</si>
  <si>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</si>
  <si>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</si>
  <si>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</si>
  <si>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</si>
  <si>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</si>
  <si>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</si>
  <si>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</si>
  <si>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</si>
  <si>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</si>
  <si>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</si>
  <si>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</si>
  <si>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</si>
  <si>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</si>
  <si>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</si>
  <si>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</si>
  <si>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</si>
  <si>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</si>
  <si>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</si>
  <si>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</si>
  <si>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</si>
  <si>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</si>
  <si>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</si>
  <si>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</si>
  <si>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</si>
  <si>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</si>
  <si>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行　削除禁止　値のクリアで！</t>
  </si>
  <si>
    <t>2026/07/30</t>
    <phoneticPr fontId="16"/>
  </si>
  <si>
    <t>順位</t>
    <phoneticPr fontId="16"/>
  </si>
  <si>
    <t>2026/07/31</t>
    <phoneticPr fontId="16"/>
  </si>
  <si>
    <t>3401</t>
    <phoneticPr fontId="16"/>
  </si>
  <si>
    <t>帝人</t>
    <phoneticPr fontId="16"/>
  </si>
  <si>
    <t>東証</t>
    <phoneticPr fontId="16"/>
  </si>
  <si>
    <t>2026/03/03</t>
    <phoneticPr fontId="16"/>
  </si>
  <si>
    <t>2026/03/04</t>
    <phoneticPr fontId="16"/>
  </si>
  <si>
    <t>2026/03/05</t>
    <phoneticPr fontId="16"/>
  </si>
  <si>
    <t>2026/03/06</t>
    <phoneticPr fontId="16"/>
  </si>
  <si>
    <t>2026/03/09</t>
    <phoneticPr fontId="16"/>
  </si>
  <si>
    <t>2026/04/03</t>
    <phoneticPr fontId="16"/>
  </si>
  <si>
    <t>2026/05/25</t>
    <phoneticPr fontId="16"/>
  </si>
  <si>
    <t>2026/06/19</t>
    <phoneticPr fontId="16"/>
  </si>
  <si>
    <t>2026/07/03</t>
    <phoneticPr fontId="16"/>
  </si>
  <si>
    <t>2026/08/03</t>
    <phoneticPr fontId="16"/>
  </si>
  <si>
    <t>2026/08/04</t>
    <phoneticPr fontId="16"/>
  </si>
  <si>
    <t>上昇トレンド▲</t>
  </si>
  <si>
    <t>--------</t>
  </si>
  <si>
    <t>2026/08/05</t>
    <phoneticPr fontId="16"/>
  </si>
  <si>
    <t xml:space="preserve">上昇▲ 出来高増(1.6倍) MACD+ MACD&gt;Sig RSI&gt;50 [○モメンタム部分] [Perfect5&gt;25&gt;75] [Vol急増陽線] [ADX=28] [Hist拡大] [対TOPIX勝 +3.83%] [前日:大陽線▲+2] </t>
  </si>
  <si>
    <t xml:space="preserve">パーフェクト▲ MACD+ EMA12&gt;26 MACD&gt;Sig RSI&gt;50 [◎モメンタム完全] [GC直近3日] [Perfect5&gt;25&gt;75] [ADX=27] [Hist拡大] [対TOPIX勝 +0.41%] [前日:大陽線▲+2] </t>
  </si>
  <si>
    <t xml:space="preserve">パーフェクト▲ 出来高増(1.6倍) MACD+ EMA12&gt;26 MACD&gt;Sig RSI&gt;50 [◎モメンタム完全] [GC直近3日] [Perfect5&gt;25&gt;75] [Vol急増陽線] [Hist拡大] [対TOPIX勝 +5.70%] [大陽線▲+2] </t>
  </si>
  <si>
    <t xml:space="preserve">上昇▲ MACD+ EMA12&gt;26 RSI&gt;50 [○モメンタム部分] [Perfect5&gt;25&gt;75] [Vol急増陽線] [対TOPIX勝 +2.86%] [大陽線▲+2] [前日:下ヒゲ陽線●+2] </t>
  </si>
  <si>
    <t>もみ合い→</t>
  </si>
  <si>
    <t>高値圏</t>
  </si>
  <si>
    <t xml:space="preserve">出来高急増(2.4倍) MACD+ EMA12&gt;26 MACD&gt;Sig RSI&gt;50 [◎モメンタム完全] [GC直近3日] [Perfect5&gt;25&gt;75] [Vol急増陽線] [Hist拡大] [対TOPIX勝 +9.10%] [大陽線▲+2] [前日:大陽線▲+2] </t>
  </si>
  <si>
    <t xml:space="preserve">パーフェクト▲ MACD+ EMA12&gt;26 MACD&gt;Sig RSI&gt;50 [◎モメンタム完全] [GC直近3日] [Perfect5&gt;25&gt;75] [Vol急増陽線] [Hist拡大] [対TOPIX勝 +0.02%] [前日:大陽線▲+2] </t>
  </si>
  <si>
    <t xml:space="preserve">上昇▲ MACD+ EMA12&gt;26 MACD&gt;Sig RSI&gt;50 [◎モメンタム完全] [GC直近3日] [Perfect5&gt;25&gt;75] [Vol急増陽線] [Hist拡大] [対TOPIX勝 +4.93%] [前日:大陽線▲+2] </t>
  </si>
  <si>
    <t>年初来高値更新●</t>
  </si>
  <si>
    <t xml:space="preserve">パーフェクト▲ 出来高急増(3.2倍) 高値更新ダマシ警戒 EMA12&gt;26 MACD&gt;Sig [○モメンタム部分] [GC直近3日] [Perfect5&gt;25&gt;75] [Vol急増陽線] [Hist拡大] [対TOPIX勝 +14.61%] </t>
  </si>
  <si>
    <t xml:space="preserve">出来高急増(3.5倍) MACD+ MACD&gt;Sig RSI&gt;50 [○モメンタム部分] [GC直近3日] [Vol急増陽線] [Hist拡大] [対TOPIX勝 +24.44%] [大陽線▲+2] [前日:大陽線▲+2] </t>
  </si>
  <si>
    <t xml:space="preserve">パーフェクト▲ MACD+ EMA12&gt;26 MACD&gt;Sig RSI&gt;50 [◎モメンタム完全] [GC直近3日] [Perfect5&gt;25&gt;75] [Hist拡大] [対TOPIX勝 +2.60%] [大陽線▲+2] [前日:大陽線▲+2] </t>
  </si>
  <si>
    <t>TOPIX: 上昇▲ (+0.24%) 【中程度】　　最終更新: 2026/08/06 15:34　　買い抽出(スコア11以上・緩和・上位10件)</t>
    <phoneticPr fontId="16"/>
  </si>
  <si>
    <t>1.97倍</t>
  </si>
  <si>
    <t>出来高増(2.0倍) MACD- [DC直近5日] [完全下降] [Vol急増陰線] [Hist悪化] EMA12&lt;26 MACD&lt;Sig RSI&lt;50 [◎売りモメンタム完全] [対TOPIX弱]</t>
  </si>
  <si>
    <t>助川電気工業</t>
  </si>
  <si>
    <t>3.00倍</t>
  </si>
  <si>
    <t>下降トレンド▼ 出来高急増(3.0倍) MACD- [完全下降] [Vol急増陰線] EMA12&lt;26 RSI&lt;50 [○売りモメンタム部分] [長い上ヒゲ+1] [対TOPIX弱]</t>
  </si>
  <si>
    <t>TOPIX: 上昇▲ (+0.24%) 【通常】　最終更新: 2026/08/06 15:34</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</si>
</sst>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2" formatCode="#,##0_);[Red]\(#,##0\)"/>
    <numFmt numFmtId="203" formatCode="0.00%;[Red]\-0.00%"/>
  </numFmts>
  <fonts count="246">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
      <b/>
      <sz val="18"/>
      <color rgb="FF000000"/>
      <name val="ＭＳ Ｐゴシック"/>
      <family val="3"/>
      <charset val="128"/>
    </font>
    <font>
      <u/>
      <sz val="18"/>
      <name val="Meiryo UI"/>
      <family val="3"/>
      <charset val="128"/>
    </font>
    <font>
      <sz val="18"/>
      <color rgb="FFFFFFFF"/>
      <name val="ＭＳ Ｐゴシック"/>
      <family val="3"/>
      <charset val="128"/>
      <scheme val="minor"/>
    </font>
    <font>
      <sz val="18"/>
      <color rgb="FFFF0000"/>
      <name val="ＭＳ Ｐゴシック"/>
      <family val="3"/>
      <charset val="128"/>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
      <patternFill patternType="solid">
        <fgColor rgb="FFFFDCDC"/>
        <bgColor indexed="64"/>
      </patternFill>
    </fill>
    <fill>
      <patternFill patternType="solid">
        <fgColor rgb="FF92D050"/>
        <bgColor indexed="64"/>
      </patternFill>
    </fill>
    <fill>
      <patternFill patternType="solid">
        <fgColor rgb="FFFF6600"/>
        <bgColor indexed="64"/>
      </patternFill>
    </fill>
    <fill>
      <patternFill patternType="solid">
        <fgColor rgb="FF00B050"/>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90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183" fontId="176" fillId="4" borderId="0" xfId="0" applyNumberFormat="1" applyFont="1" applyFill="1" applyAlignment="1" applyProtection="1">
      <alignment horizontal="center" vertical="center"/>
      <protection locked="0"/>
    </xf>
    <xf numFmtId="188" fontId="176" fillId="4" borderId="0" xfId="0" applyNumberFormat="1" applyFont="1" applyFill="1" applyAlignment="1" applyProtection="1">
      <alignment horizontal="center" vertical="center"/>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6"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7" fillId="70" borderId="1" xfId="0" applyFont="1" applyFill="1" applyBorder="1" applyAlignment="1" applyProtection="1">
      <alignment horizontal="center" vertical="center"/>
      <protection locked="0"/>
    </xf>
    <xf numFmtId="188" fontId="178" fillId="70" borderId="0" xfId="0" applyNumberFormat="1" applyFont="1" applyFill="1" applyAlignment="1" applyProtection="1">
      <alignment horizontal="center" vertical="center"/>
      <protection locked="0"/>
    </xf>
    <xf numFmtId="0" fontId="179" fillId="70" borderId="0" xfId="0" applyFont="1" applyFill="1" applyProtection="1">
      <protection locked="0"/>
    </xf>
    <xf numFmtId="3" fontId="180" fillId="70" borderId="0" xfId="0" applyNumberFormat="1" applyFont="1" applyFill="1" applyAlignment="1" applyProtection="1">
      <alignment horizontal="right" vertical="center" wrapText="1"/>
      <protection locked="0"/>
    </xf>
    <xf numFmtId="3" fontId="181" fillId="70" borderId="0" xfId="0" applyNumberFormat="1" applyFont="1" applyFill="1" applyAlignment="1" applyProtection="1">
      <alignment horizontal="right" vertical="center" wrapText="1"/>
      <protection locked="0"/>
    </xf>
    <xf numFmtId="3" fontId="182" fillId="70" borderId="0" xfId="0" applyNumberFormat="1" applyFont="1" applyFill="1" applyAlignment="1" applyProtection="1">
      <alignment horizontal="right" vertical="center"/>
      <protection locked="0"/>
    </xf>
    <xf numFmtId="3" fontId="179" fillId="70" borderId="0" xfId="0" applyNumberFormat="1" applyFont="1" applyFill="1" applyProtection="1">
      <protection locked="0"/>
    </xf>
    <xf numFmtId="0" fontId="183" fillId="0" borderId="0" xfId="0" applyFont="1"/>
    <xf numFmtId="0" fontId="184" fillId="64" borderId="0" xfId="0" applyFont="1" applyFill="1"/>
    <xf numFmtId="0" fontId="185" fillId="64" borderId="0" xfId="0" applyFont="1" applyFill="1" applyAlignment="1">
      <alignment vertical="center"/>
    </xf>
    <xf numFmtId="0" fontId="186" fillId="0" borderId="0" xfId="0" applyFont="1" applyAlignment="1">
      <alignment horizontal="left"/>
    </xf>
    <xf numFmtId="176" fontId="187"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89" fillId="0" borderId="0" xfId="0" applyFont="1"/>
    <xf numFmtId="0" fontId="190" fillId="0" borderId="0" xfId="0" applyFont="1"/>
    <xf numFmtId="0" fontId="85" fillId="0" borderId="0" xfId="0" applyFont="1"/>
    <xf numFmtId="0" fontId="191" fillId="64" borderId="0" xfId="0" applyFont="1" applyFill="1" applyAlignment="1">
      <alignment horizontal="center"/>
    </xf>
    <xf numFmtId="0" fontId="85" fillId="0" borderId="0" xfId="0" applyFont="1" applyAlignment="1">
      <alignment horizontal="center"/>
    </xf>
    <xf numFmtId="0" fontId="192" fillId="0" borderId="0" xfId="0" applyFont="1"/>
    <xf numFmtId="194" fontId="191" fillId="64" borderId="0" xfId="0" applyNumberFormat="1" applyFont="1" applyFill="1" applyAlignment="1">
      <alignment horizontal="center"/>
    </xf>
    <xf numFmtId="0" fontId="193"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6" fillId="61" borderId="23" xfId="0" applyFont="1" applyFill="1" applyBorder="1" applyProtection="1">
      <protection locked="0"/>
    </xf>
    <xf numFmtId="0" fontId="197"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8" fillId="33" borderId="0" xfId="0" applyFont="1" applyFill="1" applyAlignment="1" applyProtection="1">
      <alignment horizontal="center" vertical="center"/>
      <protection locked="0"/>
    </xf>
    <xf numFmtId="3" fontId="198" fillId="33" borderId="0" xfId="0" applyNumberFormat="1" applyFont="1" applyFill="1" applyAlignment="1" applyProtection="1">
      <alignment horizontal="center" vertical="center"/>
      <protection locked="0"/>
    </xf>
    <xf numFmtId="38" fontId="198" fillId="33" borderId="0" xfId="3" applyFont="1" applyFill="1" applyAlignment="1" applyProtection="1">
      <alignment horizontal="center" vertical="center"/>
      <protection locked="0"/>
    </xf>
    <xf numFmtId="0" fontId="199" fillId="0" borderId="0" xfId="0" applyFont="1" applyAlignment="1">
      <alignment vertical="center" wrapText="1"/>
    </xf>
    <xf numFmtId="0" fontId="200"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4" fillId="0" borderId="0" xfId="0" applyFont="1" applyProtection="1">
      <protection locked="0"/>
    </xf>
    <xf numFmtId="0" fontId="204" fillId="0" borderId="0" xfId="0" applyFont="1"/>
    <xf numFmtId="0" fontId="205" fillId="0" borderId="0" xfId="0" applyFont="1" applyProtection="1">
      <protection locked="0"/>
    </xf>
    <xf numFmtId="0" fontId="206" fillId="0" borderId="0" xfId="0" applyFont="1" applyProtection="1">
      <protection locked="0"/>
    </xf>
    <xf numFmtId="0" fontId="207" fillId="16" borderId="0" xfId="0" applyFont="1" applyFill="1" applyAlignment="1" applyProtection="1">
      <alignment horizontal="center"/>
      <protection locked="0"/>
    </xf>
    <xf numFmtId="9" fontId="208" fillId="0" borderId="0" xfId="0" applyNumberFormat="1" applyFont="1" applyProtection="1">
      <protection locked="0"/>
    </xf>
    <xf numFmtId="0" fontId="209" fillId="63" borderId="0" xfId="0" applyFont="1" applyFill="1" applyAlignment="1" applyProtection="1">
      <alignment horizontal="center"/>
      <protection locked="0"/>
    </xf>
    <xf numFmtId="0" fontId="153" fillId="44" borderId="0" xfId="0" applyFont="1" applyFill="1" applyProtection="1">
      <protection locked="0"/>
    </xf>
    <xf numFmtId="0" fontId="204" fillId="0" borderId="0" xfId="0" applyFont="1" applyAlignment="1" applyProtection="1">
      <alignment horizontal="center"/>
      <protection locked="0"/>
    </xf>
    <xf numFmtId="0" fontId="214" fillId="0" borderId="0" xfId="0" applyFont="1" applyProtection="1">
      <protection locked="0"/>
    </xf>
    <xf numFmtId="190" fontId="215" fillId="0" borderId="0" xfId="0" applyNumberFormat="1" applyFont="1" applyProtection="1">
      <protection locked="0"/>
    </xf>
    <xf numFmtId="190" fontId="216" fillId="40" borderId="0" xfId="0" applyNumberFormat="1" applyFont="1" applyFill="1" applyProtection="1">
      <protection locked="0"/>
    </xf>
    <xf numFmtId="0" fontId="217" fillId="0" borderId="0" xfId="0" applyFont="1" applyAlignment="1" applyProtection="1">
      <alignment vertical="center"/>
      <protection locked="0"/>
    </xf>
    <xf numFmtId="0" fontId="218" fillId="0" borderId="0" xfId="0" applyFont="1" applyAlignment="1" applyProtection="1">
      <alignment vertical="center"/>
      <protection locked="0"/>
    </xf>
    <xf numFmtId="0" fontId="207" fillId="63" borderId="0" xfId="0" applyFont="1" applyFill="1" applyAlignment="1" applyProtection="1">
      <alignment horizontal="center" vertical="center"/>
      <protection locked="0"/>
    </xf>
    <xf numFmtId="0" fontId="218" fillId="0" borderId="0" xfId="0" applyFont="1" applyAlignment="1" applyProtection="1">
      <alignment horizontal="center" vertical="center"/>
      <protection locked="0"/>
    </xf>
    <xf numFmtId="0" fontId="204" fillId="0" borderId="0" xfId="0" applyFont="1" applyAlignment="1">
      <alignment horizontal="center"/>
    </xf>
    <xf numFmtId="0" fontId="219"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4" fillId="0" borderId="0" xfId="0" applyNumberFormat="1" applyFont="1" applyProtection="1">
      <protection locked="0"/>
    </xf>
    <xf numFmtId="200" fontId="204" fillId="0" borderId="0" xfId="0" applyNumberFormat="1" applyFont="1"/>
    <xf numFmtId="201" fontId="204" fillId="0" borderId="0" xfId="0" applyNumberFormat="1" applyFont="1" applyProtection="1">
      <protection locked="0"/>
    </xf>
    <xf numFmtId="201" fontId="204" fillId="0" borderId="0" xfId="0" applyNumberFormat="1" applyFont="1"/>
    <xf numFmtId="0" fontId="220" fillId="0" borderId="0" xfId="0" applyFont="1" applyAlignment="1" applyProtection="1">
      <alignment horizontal="center"/>
      <protection locked="0"/>
    </xf>
    <xf numFmtId="0" fontId="204" fillId="0" borderId="0" xfId="0" applyFont="1" applyAlignment="1" applyProtection="1">
      <alignment horizontal="center" vertical="center"/>
      <protection locked="0"/>
    </xf>
    <xf numFmtId="176" fontId="187" fillId="0" borderId="23" xfId="0" applyNumberFormat="1" applyFont="1" applyBorder="1" applyAlignment="1" applyProtection="1">
      <alignment horizontal="center"/>
      <protection locked="0"/>
    </xf>
    <xf numFmtId="3" fontId="187" fillId="0" borderId="23" xfId="0" applyNumberFormat="1" applyFont="1" applyBorder="1" applyProtection="1">
      <protection locked="0"/>
    </xf>
    <xf numFmtId="3" fontId="208" fillId="0" borderId="76" xfId="0" applyNumberFormat="1" applyFont="1" applyBorder="1" applyAlignment="1" applyProtection="1">
      <alignment horizontal="center"/>
      <protection locked="0"/>
    </xf>
    <xf numFmtId="198" fontId="204" fillId="0" borderId="76" xfId="0" applyNumberFormat="1" applyFont="1" applyBorder="1" applyAlignment="1" applyProtection="1">
      <alignment horizontal="center"/>
      <protection locked="0"/>
    </xf>
    <xf numFmtId="199" fontId="204" fillId="0" borderId="76" xfId="0" applyNumberFormat="1" applyFont="1" applyBorder="1" applyProtection="1">
      <protection locked="0"/>
    </xf>
    <xf numFmtId="197" fontId="204" fillId="0" borderId="77" xfId="0" applyNumberFormat="1" applyFont="1" applyBorder="1" applyProtection="1">
      <protection locked="0"/>
    </xf>
    <xf numFmtId="0" fontId="211" fillId="72" borderId="75" xfId="0" applyFont="1" applyFill="1" applyBorder="1" applyProtection="1">
      <protection locked="0"/>
    </xf>
    <xf numFmtId="0" fontId="212" fillId="66" borderId="75" xfId="0" applyFont="1" applyFill="1" applyBorder="1" applyProtection="1">
      <protection locked="0"/>
    </xf>
    <xf numFmtId="0" fontId="213" fillId="73" borderId="75" xfId="0" applyFont="1" applyFill="1" applyBorder="1" applyProtection="1">
      <protection locked="0"/>
    </xf>
    <xf numFmtId="0" fontId="153" fillId="0" borderId="78" xfId="0" applyFont="1" applyBorder="1" applyProtection="1">
      <protection locked="0"/>
    </xf>
    <xf numFmtId="3" fontId="208" fillId="0" borderId="79" xfId="0" applyNumberFormat="1" applyFont="1" applyBorder="1" applyAlignment="1" applyProtection="1">
      <alignment horizontal="center"/>
      <protection locked="0"/>
    </xf>
    <xf numFmtId="198" fontId="204" fillId="0" borderId="79" xfId="0" applyNumberFormat="1" applyFont="1" applyBorder="1" applyAlignment="1" applyProtection="1">
      <alignment horizontal="center"/>
      <protection locked="0"/>
    </xf>
    <xf numFmtId="199" fontId="204" fillId="0" borderId="79" xfId="0" applyNumberFormat="1" applyFont="1" applyBorder="1" applyProtection="1">
      <protection locked="0"/>
    </xf>
    <xf numFmtId="197" fontId="204" fillId="0" borderId="80" xfId="0" applyNumberFormat="1" applyFont="1" applyBorder="1" applyProtection="1">
      <protection locked="0"/>
    </xf>
    <xf numFmtId="0" fontId="210" fillId="71" borderId="73" xfId="0" applyFont="1" applyFill="1" applyBorder="1" applyProtection="1">
      <protection locked="0"/>
    </xf>
    <xf numFmtId="3" fontId="208" fillId="0" borderId="74" xfId="0" applyNumberFormat="1" applyFont="1" applyBorder="1" applyAlignment="1" applyProtection="1">
      <alignment horizontal="center"/>
      <protection locked="0"/>
    </xf>
    <xf numFmtId="3" fontId="208" fillId="0" borderId="77" xfId="0" applyNumberFormat="1" applyFont="1" applyBorder="1" applyAlignment="1" applyProtection="1">
      <alignment horizontal="center"/>
      <protection locked="0"/>
    </xf>
    <xf numFmtId="0" fontId="213" fillId="73" borderId="78" xfId="0" applyFont="1" applyFill="1" applyBorder="1" applyProtection="1">
      <protection locked="0"/>
    </xf>
    <xf numFmtId="3" fontId="208" fillId="0" borderId="80" xfId="0" applyNumberFormat="1" applyFont="1" applyBorder="1" applyAlignment="1" applyProtection="1">
      <alignment horizontal="center"/>
      <protection locked="0"/>
    </xf>
    <xf numFmtId="0" fontId="210" fillId="71" borderId="81" xfId="0" applyFont="1" applyFill="1" applyBorder="1" applyProtection="1">
      <protection locked="0"/>
    </xf>
    <xf numFmtId="3" fontId="208" fillId="0" borderId="82" xfId="0" applyNumberFormat="1" applyFont="1" applyBorder="1" applyAlignment="1" applyProtection="1">
      <alignment horizontal="center"/>
      <protection locked="0"/>
    </xf>
    <xf numFmtId="198" fontId="204" fillId="0" borderId="82" xfId="0" applyNumberFormat="1" applyFont="1" applyBorder="1" applyAlignment="1" applyProtection="1">
      <alignment horizontal="center"/>
      <protection locked="0"/>
    </xf>
    <xf numFmtId="199" fontId="204" fillId="0" borderId="82" xfId="0" applyNumberFormat="1" applyFont="1" applyBorder="1" applyProtection="1">
      <protection locked="0"/>
    </xf>
    <xf numFmtId="197" fontId="204" fillId="0" borderId="83" xfId="0" applyNumberFormat="1" applyFont="1" applyBorder="1" applyProtection="1">
      <protection locked="0"/>
    </xf>
    <xf numFmtId="0" fontId="221" fillId="65" borderId="84" xfId="0" applyFont="1" applyFill="1" applyBorder="1" applyAlignment="1" applyProtection="1">
      <alignment horizontal="center"/>
      <protection locked="0"/>
    </xf>
    <xf numFmtId="0" fontId="221" fillId="65" borderId="85" xfId="0" applyFont="1" applyFill="1" applyBorder="1" applyAlignment="1" applyProtection="1">
      <alignment horizontal="center"/>
      <protection locked="0"/>
    </xf>
    <xf numFmtId="0" fontId="221" fillId="65" borderId="86" xfId="0" applyFont="1" applyFill="1" applyBorder="1" applyAlignment="1" applyProtection="1">
      <alignment horizontal="center"/>
      <protection locked="0"/>
    </xf>
    <xf numFmtId="0" fontId="207" fillId="74" borderId="88" xfId="0" applyFont="1" applyFill="1" applyBorder="1" applyAlignment="1" applyProtection="1">
      <alignment horizontal="center" vertical="center"/>
      <protection locked="0"/>
    </xf>
    <xf numFmtId="0" fontId="207" fillId="63" borderId="88" xfId="0" applyFont="1" applyFill="1" applyBorder="1" applyAlignment="1" applyProtection="1">
      <alignment horizontal="center" vertical="center"/>
      <protection locked="0"/>
    </xf>
    <xf numFmtId="0" fontId="207" fillId="51" borderId="88" xfId="0" applyFont="1" applyFill="1" applyBorder="1" applyAlignment="1" applyProtection="1">
      <alignment horizontal="center" vertical="center"/>
      <protection locked="0"/>
    </xf>
    <xf numFmtId="0" fontId="207" fillId="75" borderId="88" xfId="0" applyFont="1" applyFill="1" applyBorder="1" applyAlignment="1" applyProtection="1">
      <alignment horizontal="center" vertical="center"/>
      <protection locked="0"/>
    </xf>
    <xf numFmtId="0" fontId="207" fillId="52" borderId="88" xfId="0" applyFont="1" applyFill="1" applyBorder="1" applyAlignment="1" applyProtection="1">
      <alignment horizontal="center" vertical="center"/>
      <protection locked="0"/>
    </xf>
    <xf numFmtId="0" fontId="207" fillId="76"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222" fillId="0" borderId="0" xfId="0" applyFont="1" applyAlignment="1">
      <alignment horizontal="right"/>
    </xf>
    <xf numFmtId="176" fontId="223" fillId="40" borderId="0" xfId="0" applyNumberFormat="1" applyFont="1" applyFill="1" applyAlignment="1">
      <alignment horizontal="center"/>
    </xf>
    <xf numFmtId="0" fontId="224" fillId="0" borderId="0" xfId="0" applyFont="1" applyAlignment="1">
      <alignment horizontal="left"/>
    </xf>
    <xf numFmtId="0" fontId="225" fillId="0" borderId="0" xfId="0" applyFont="1" applyAlignment="1">
      <alignment horizontal="right"/>
    </xf>
    <xf numFmtId="0" fontId="225" fillId="0" borderId="0" xfId="0" applyFont="1" applyAlignment="1">
      <alignment horizontal="center"/>
    </xf>
    <xf numFmtId="0" fontId="229" fillId="65" borderId="99" xfId="0" applyFont="1" applyFill="1" applyBorder="1" applyAlignment="1">
      <alignment horizontal="left" vertical="center"/>
    </xf>
    <xf numFmtId="0" fontId="229" fillId="65" borderId="101" xfId="0" applyFont="1" applyFill="1" applyBorder="1" applyAlignment="1">
      <alignment horizontal="left" vertical="center"/>
    </xf>
    <xf numFmtId="199" fontId="230" fillId="0" borderId="102" xfId="0" applyNumberFormat="1" applyFont="1" applyBorder="1" applyAlignment="1">
      <alignment horizontal="right" vertical="center"/>
    </xf>
    <xf numFmtId="198" fontId="230" fillId="0" borderId="102" xfId="0" applyNumberFormat="1" applyFont="1" applyBorder="1" applyAlignment="1">
      <alignment horizontal="right" vertical="center"/>
    </xf>
    <xf numFmtId="0" fontId="230" fillId="0" borderId="102" xfId="0" applyFont="1" applyBorder="1" applyAlignment="1">
      <alignment horizontal="right" vertical="center"/>
    </xf>
    <xf numFmtId="1" fontId="230" fillId="0" borderId="102" xfId="0" applyNumberFormat="1" applyFont="1" applyBorder="1" applyAlignment="1">
      <alignment horizontal="right" vertical="center"/>
    </xf>
    <xf numFmtId="0" fontId="231" fillId="77" borderId="101" xfId="0" applyFont="1" applyFill="1" applyBorder="1" applyAlignment="1">
      <alignment horizontal="left" vertical="center"/>
    </xf>
    <xf numFmtId="0" fontId="231" fillId="77" borderId="103" xfId="0" applyFont="1" applyFill="1" applyBorder="1" applyAlignment="1">
      <alignment horizontal="left" vertical="center"/>
    </xf>
    <xf numFmtId="0" fontId="229" fillId="65" borderId="103" xfId="0" applyFont="1" applyFill="1" applyBorder="1" applyAlignment="1">
      <alignment horizontal="left" vertical="center"/>
    </xf>
    <xf numFmtId="0" fontId="230" fillId="0" borderId="104" xfId="0" applyFont="1" applyBorder="1" applyAlignment="1">
      <alignment horizontal="right" vertical="center"/>
    </xf>
    <xf numFmtId="3" fontId="230" fillId="0" borderId="100" xfId="0" applyNumberFormat="1" applyFont="1" applyBorder="1" applyAlignment="1">
      <alignment horizontal="right" vertical="center"/>
    </xf>
    <xf numFmtId="0" fontId="26" fillId="0" borderId="0" xfId="0" applyFont="1"/>
    <xf numFmtId="0" fontId="230" fillId="0" borderId="100" xfId="0" applyFont="1" applyBorder="1" applyAlignment="1">
      <alignment horizontal="right" vertical="center"/>
    </xf>
    <xf numFmtId="3" fontId="230" fillId="0" borderId="102" xfId="0" applyNumberFormat="1" applyFont="1" applyBorder="1" applyAlignment="1">
      <alignment horizontal="right" vertical="center"/>
    </xf>
    <xf numFmtId="201" fontId="230" fillId="0" borderId="102" xfId="0" applyNumberFormat="1" applyFont="1" applyBorder="1" applyAlignment="1">
      <alignment horizontal="right" vertical="center"/>
    </xf>
    <xf numFmtId="178" fontId="230" fillId="0" borderId="102" xfId="0" applyNumberFormat="1" applyFont="1" applyBorder="1" applyAlignment="1">
      <alignment horizontal="right" vertical="center"/>
    </xf>
    <xf numFmtId="194" fontId="230" fillId="0" borderId="102" xfId="0" applyNumberFormat="1" applyFont="1" applyBorder="1" applyAlignment="1">
      <alignment horizontal="right" vertical="center"/>
    </xf>
    <xf numFmtId="2" fontId="230" fillId="0" borderId="102" xfId="0" applyNumberFormat="1" applyFont="1" applyBorder="1" applyAlignment="1">
      <alignment horizontal="right" vertical="center"/>
    </xf>
    <xf numFmtId="184" fontId="230" fillId="0" borderId="102" xfId="0" applyNumberFormat="1" applyFont="1" applyBorder="1" applyAlignment="1">
      <alignment horizontal="right" vertical="center"/>
    </xf>
    <xf numFmtId="3" fontId="231" fillId="0" borderId="102" xfId="0" applyNumberFormat="1" applyFont="1" applyBorder="1" applyAlignment="1">
      <alignment horizontal="right" vertical="center"/>
    </xf>
    <xf numFmtId="3" fontId="231"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6" fillId="39" borderId="0" xfId="0" applyFont="1" applyFill="1" applyProtection="1">
      <protection hidden="1"/>
    </xf>
    <xf numFmtId="0" fontId="226" fillId="39" borderId="0" xfId="0" applyFont="1" applyFill="1" applyAlignment="1" applyProtection="1">
      <alignment horizontal="right"/>
      <protection hidden="1"/>
    </xf>
    <xf numFmtId="0" fontId="226" fillId="39" borderId="0" xfId="0" applyFont="1" applyFill="1" applyAlignment="1" applyProtection="1">
      <alignment horizontal="center"/>
      <protection hidden="1"/>
    </xf>
    <xf numFmtId="0" fontId="227" fillId="39" borderId="0" xfId="0" applyFont="1" applyFill="1" applyAlignment="1" applyProtection="1">
      <alignment horizontal="right"/>
      <protection hidden="1"/>
    </xf>
    <xf numFmtId="196" fontId="228" fillId="39" borderId="0" xfId="0" applyNumberFormat="1" applyFont="1" applyFill="1" applyAlignment="1" applyProtection="1">
      <alignment horizontal="center"/>
      <protection hidden="1"/>
    </xf>
    <xf numFmtId="9" fontId="228" fillId="39" borderId="0" xfId="0" applyNumberFormat="1" applyFont="1" applyFill="1" applyAlignment="1" applyProtection="1">
      <alignment horizontal="center"/>
      <protection hidden="1"/>
    </xf>
    <xf numFmtId="202" fontId="240" fillId="0" borderId="23" xfId="3" applyNumberFormat="1" applyFont="1" applyBorder="1" applyAlignment="1" applyProtection="1">
      <alignment horizontal="center"/>
      <protection locked="0"/>
    </xf>
    <xf numFmtId="0" fontId="201"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3" fontId="152" fillId="0" borderId="23" xfId="0" applyNumberFormat="1" applyFont="1" applyBorder="1" applyProtection="1">
      <protection locked="0"/>
    </xf>
    <xf numFmtId="203" fontId="154" fillId="0" borderId="23" xfId="0" applyNumberFormat="1" applyFont="1" applyBorder="1" applyProtection="1">
      <protection locked="0"/>
    </xf>
    <xf numFmtId="203" fontId="140" fillId="0" borderId="23" xfId="0" applyNumberFormat="1" applyFont="1" applyBorder="1" applyProtection="1">
      <protection locked="0"/>
    </xf>
    <xf numFmtId="203" fontId="147" fillId="0" borderId="0" xfId="0" applyNumberFormat="1" applyFont="1" applyProtection="1">
      <protection locked="0"/>
    </xf>
    <xf numFmtId="203" fontId="138" fillId="0" borderId="0" xfId="0" applyNumberFormat="1" applyFont="1" applyProtection="1">
      <protection locked="0"/>
    </xf>
    <xf numFmtId="0" fontId="153" fillId="0" borderId="0" xfId="0" applyFont="1" applyAlignment="1" applyProtection="1">
      <alignment horizontal="center"/>
      <protection locked="0"/>
    </xf>
    <xf numFmtId="0" fontId="241" fillId="0" borderId="0" xfId="1" applyFont="1"/>
    <xf numFmtId="0" fontId="135" fillId="68" borderId="0" xfId="1" applyFont="1" applyFill="1" applyAlignment="1">
      <alignment horizontal="center"/>
    </xf>
    <xf numFmtId="183" fontId="207" fillId="37" borderId="88" xfId="0" applyNumberFormat="1" applyFont="1" applyFill="1" applyBorder="1" applyAlignment="1" applyProtection="1">
      <alignment horizontal="center" vertical="center"/>
      <protection locked="0"/>
    </xf>
    <xf numFmtId="183" fontId="33" fillId="16" borderId="23" xfId="0" applyNumberFormat="1" applyFont="1" applyFill="1" applyBorder="1" applyAlignment="1" applyProtection="1">
      <alignment horizontal="center" wrapText="1"/>
      <protection locked="0"/>
    </xf>
    <xf numFmtId="183" fontId="188" fillId="0" borderId="23" xfId="0" applyNumberFormat="1" applyFont="1" applyBorder="1" applyAlignment="1" applyProtection="1">
      <alignment horizontal="center"/>
      <protection locked="0"/>
    </xf>
    <xf numFmtId="183" fontId="187" fillId="0" borderId="23" xfId="0" applyNumberFormat="1" applyFont="1" applyBorder="1" applyAlignment="1" applyProtection="1">
      <alignment horizontal="center"/>
      <protection locked="0"/>
    </xf>
    <xf numFmtId="183" fontId="187" fillId="0" borderId="0" xfId="0" applyNumberFormat="1" applyFont="1" applyAlignment="1" applyProtection="1">
      <alignment horizontal="center"/>
      <protection locked="0"/>
    </xf>
    <xf numFmtId="183" fontId="138" fillId="0" borderId="0" xfId="0" applyNumberFormat="1" applyFont="1" applyProtection="1">
      <protection locked="0"/>
    </xf>
    <xf numFmtId="0" fontId="136" fillId="78" borderId="3" xfId="0" applyFont="1" applyFill="1" applyBorder="1" applyAlignment="1">
      <alignment horizontal="center"/>
    </xf>
    <xf numFmtId="3" fontId="136" fillId="78" borderId="3" xfId="0" applyNumberFormat="1" applyFont="1" applyFill="1" applyBorder="1" applyAlignment="1">
      <alignment horizontal="right"/>
    </xf>
    <xf numFmtId="3" fontId="136" fillId="78" borderId="3" xfId="0" applyNumberFormat="1" applyFont="1" applyFill="1" applyBorder="1" applyAlignment="1">
      <alignment horizontal="right" vertical="center"/>
    </xf>
    <xf numFmtId="0" fontId="136" fillId="78" borderId="3" xfId="0" applyFont="1" applyFill="1" applyBorder="1" applyAlignment="1">
      <alignment horizontal="right"/>
    </xf>
    <xf numFmtId="0" fontId="136" fillId="78" borderId="3" xfId="0" applyFont="1" applyFill="1" applyBorder="1" applyAlignment="1">
      <alignment horizontal="left"/>
    </xf>
    <xf numFmtId="0" fontId="57" fillId="68" borderId="3" xfId="0" applyFont="1" applyFill="1" applyBorder="1" applyAlignment="1">
      <alignment horizontal="center"/>
    </xf>
    <xf numFmtId="0" fontId="175" fillId="78" borderId="3" xfId="0" applyFont="1" applyFill="1" applyBorder="1" applyAlignment="1">
      <alignment horizontal="left"/>
    </xf>
    <xf numFmtId="0" fontId="175" fillId="78" borderId="3" xfId="0" applyFont="1" applyFill="1" applyBorder="1" applyAlignment="1">
      <alignment horizontal="center"/>
    </xf>
    <xf numFmtId="0" fontId="112" fillId="0" borderId="0" xfId="0" applyFont="1"/>
    <xf numFmtId="0" fontId="112" fillId="0" borderId="0" xfId="0" applyFont="1" applyAlignment="1">
      <alignment horizontal="right"/>
    </xf>
    <xf numFmtId="0" fontId="112" fillId="0" borderId="0" xfId="0" applyFont="1" applyAlignment="1">
      <alignment horizontal="center"/>
    </xf>
    <xf numFmtId="0" fontId="112" fillId="0" borderId="0" xfId="0" applyFont="1" applyAlignment="1">
      <alignment horizontal="left"/>
    </xf>
    <xf numFmtId="0" fontId="112" fillId="0" borderId="0" xfId="0" applyFont="1" applyAlignment="1">
      <alignment horizontal="right" vertical="center"/>
    </xf>
    <xf numFmtId="176" fontId="136" fillId="78" borderId="3" xfId="0" applyNumberFormat="1" applyFont="1" applyFill="1" applyBorder="1" applyAlignment="1">
      <alignment horizontal="left"/>
    </xf>
    <xf numFmtId="183" fontId="49" fillId="33" borderId="0" xfId="0" applyNumberFormat="1" applyFont="1" applyFill="1" applyAlignment="1" applyProtection="1">
      <alignment horizontal="center" vertical="center"/>
      <protection locked="0"/>
    </xf>
    <xf numFmtId="188" fontId="93" fillId="0" borderId="0" xfId="0" applyNumberFormat="1" applyFont="1" applyProtection="1">
      <protection locked="0"/>
    </xf>
    <xf numFmtId="188" fontId="0" fillId="0" borderId="0" xfId="0" applyNumberFormat="1" applyProtection="1">
      <protection locked="0"/>
    </xf>
    <xf numFmtId="188" fontId="21" fillId="13" borderId="0" xfId="0" applyNumberFormat="1" applyFont="1" applyFill="1" applyProtection="1">
      <protection locked="0"/>
    </xf>
    <xf numFmtId="0" fontId="172" fillId="79" borderId="3" xfId="0" applyFont="1" applyFill="1" applyBorder="1"/>
    <xf numFmtId="0" fontId="88" fillId="39" borderId="3" xfId="0" applyFont="1" applyFill="1" applyBorder="1"/>
    <xf numFmtId="190" fontId="187" fillId="0" borderId="23" xfId="0" applyNumberFormat="1" applyFont="1" applyBorder="1" applyAlignment="1" applyProtection="1">
      <alignment horizontal="center"/>
      <protection locked="0"/>
    </xf>
    <xf numFmtId="49" fontId="134" fillId="0" borderId="0" xfId="0" applyNumberFormat="1" applyFont="1"/>
    <xf numFmtId="49" fontId="0" fillId="0" borderId="0" xfId="0" applyNumberFormat="1"/>
    <xf numFmtId="0" fontId="28" fillId="16" borderId="0" xfId="0" applyFont="1" applyFill="1" applyAlignment="1" applyProtection="1">
      <alignment horizontal="center" vertical="center"/>
      <protection locked="0"/>
    </xf>
    <xf numFmtId="0" fontId="0" fillId="0" borderId="0" xfId="0" applyProtection="1">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7" fillId="33" borderId="87" xfId="0" applyFont="1" applyFill="1" applyBorder="1" applyAlignment="1" applyProtection="1">
      <alignment horizontal="center" vertical="center"/>
      <protection locked="0"/>
    </xf>
    <xf numFmtId="0" fontId="207" fillId="33" borderId="89" xfId="0" applyFont="1" applyFill="1" applyBorder="1" applyAlignment="1" applyProtection="1">
      <alignment horizontal="center" vertical="center"/>
      <protection locked="0"/>
    </xf>
    <xf numFmtId="0" fontId="207" fillId="69" borderId="87" xfId="0" applyFont="1" applyFill="1" applyBorder="1" applyAlignment="1">
      <alignment horizontal="center" vertical="center"/>
    </xf>
    <xf numFmtId="0" fontId="153" fillId="0" borderId="89" xfId="0" applyFont="1" applyBorder="1" applyAlignment="1">
      <alignment vertical="center"/>
    </xf>
    <xf numFmtId="0" fontId="3" fillId="2" borderId="0" xfId="0" applyFont="1" applyFill="1" applyAlignment="1" applyProtection="1">
      <alignment horizontal="left" vertical="center"/>
      <protection locked="0"/>
    </xf>
    <xf numFmtId="0" fontId="4" fillId="3" borderId="0" xfId="0" applyFont="1" applyFill="1" applyAlignment="1" applyProtection="1">
      <alignment horizontal="left" vertical="center"/>
      <protection locked="0"/>
    </xf>
    <xf numFmtId="0" fontId="77" fillId="63" borderId="0" xfId="0" applyFont="1" applyFill="1"/>
    <xf numFmtId="0" fontId="34" fillId="0" borderId="67" xfId="0" applyFont="1" applyBorder="1"/>
    <xf numFmtId="0" fontId="126" fillId="12" borderId="0" xfId="0" applyFont="1" applyFill="1"/>
    <xf numFmtId="0" fontId="0" fillId="0" borderId="0" xfId="0"/>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232" fillId="0" borderId="93" xfId="0" applyFont="1" applyBorder="1" applyAlignment="1">
      <alignment horizontal="left" vertical="top" wrapText="1"/>
    </xf>
    <xf numFmtId="0" fontId="232" fillId="0" borderId="91" xfId="0" applyFont="1" applyBorder="1" applyAlignment="1">
      <alignment horizontal="left" vertical="top" wrapText="1"/>
    </xf>
    <xf numFmtId="0" fontId="232" fillId="0" borderId="96" xfId="0" applyFont="1" applyBorder="1" applyAlignment="1">
      <alignment horizontal="left" vertical="top" wrapText="1"/>
    </xf>
    <xf numFmtId="0" fontId="232" fillId="0" borderId="94" xfId="0" applyFont="1" applyBorder="1" applyAlignment="1">
      <alignment horizontal="left" vertical="top" wrapText="1"/>
    </xf>
    <xf numFmtId="0" fontId="232" fillId="0" borderId="0" xfId="0" applyFont="1" applyAlignment="1">
      <alignment horizontal="left" vertical="top" wrapText="1"/>
    </xf>
    <xf numFmtId="0" fontId="232" fillId="0" borderId="97" xfId="0" applyFont="1" applyBorder="1" applyAlignment="1">
      <alignment horizontal="left" vertical="top" wrapText="1"/>
    </xf>
    <xf numFmtId="0" fontId="232" fillId="0" borderId="95" xfId="0" applyFont="1" applyBorder="1" applyAlignment="1">
      <alignment horizontal="left" vertical="top" wrapText="1"/>
    </xf>
    <xf numFmtId="0" fontId="232" fillId="0" borderId="92" xfId="0" applyFont="1" applyBorder="1" applyAlignment="1">
      <alignment horizontal="left" vertical="top" wrapText="1"/>
    </xf>
    <xf numFmtId="0" fontId="232"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3" fillId="0" borderId="3" xfId="0" applyFont="1" applyFill="1" applyBorder="1" applyAlignment="1">
      <alignment horizontal="center"/>
    </xf>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0" fontId="129" fillId="0" borderId="3" xfId="0" applyFont="1" applyFill="1" applyBorder="1" applyAlignment="1">
      <alignment horizontal="left"/>
    </xf>
    <xf numFmtId="176" fontId="129" fillId="0" borderId="3" xfId="0" applyNumberFormat="1" applyFont="1" applyFill="1" applyBorder="1"/>
    <xf numFmtId="176" fontId="239" fillId="0" borderId="3" xfId="0" applyNumberFormat="1" applyFont="1" applyFill="1" applyBorder="1"/>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0" fontId="244" fillId="80" borderId="3" xfId="0" applyFont="1" applyFill="1" applyBorder="1"/>
    <xf numFmtId="176" fontId="172" fillId="0" borderId="0" xfId="0" applyNumberFormat="1" applyFont="1" applyFill="1"/>
    <xf numFmtId="0" fontId="88" fillId="81" borderId="3" xfId="0" applyFont="1" applyFill="1" applyBorder="1"/>
    <xf numFmtId="0" fontId="244" fillId="39" borderId="3" xfId="0" applyFont="1" applyFill="1" applyBorder="1"/>
    <xf numFmtId="0" fontId="245" fillId="40" borderId="3" xfId="0" applyFont="1" applyFill="1" applyBorder="1"/>
    <xf numFmtId="176" fontId="172" fillId="0" borderId="0" xfId="0" applyNumberFormat="1" applyFont="1" applyFill="1" applyBorder="1"/>
    <xf numFmtId="0" fontId="135" fillId="0" borderId="0" xfId="1" applyFont="1" applyFill="1" applyAlignment="1">
      <alignment horizontal="center"/>
    </xf>
    <xf numFmtId="176" fontId="136" fillId="0" borderId="3" xfId="0" applyNumberFormat="1" applyFont="1" applyFill="1" applyBorder="1" applyAlignment="1">
      <alignment horizontal="left"/>
    </xf>
    <xf numFmtId="0" fontId="175" fillId="0" borderId="3" xfId="0"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57" fillId="0" borderId="3" xfId="0" applyFont="1" applyFill="1" applyBorder="1" applyAlignment="1">
      <alignment horizontal="left"/>
    </xf>
    <xf numFmtId="0" fontId="136" fillId="0" borderId="3" xfId="0" applyFont="1" applyFill="1" applyBorder="1" applyAlignment="1">
      <alignment horizontal="center"/>
    </xf>
    <xf numFmtId="0" fontId="57"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75" fillId="0" borderId="3" xfId="0" applyFont="1" applyFill="1" applyBorder="1"/>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243" fillId="0" borderId="0" xfId="1" applyFont="1" applyFill="1" applyAlignment="1">
      <alignment horizontal="center"/>
    </xf>
    <xf numFmtId="0" fontId="136" fillId="0" borderId="3" xfId="0" applyFont="1" applyFill="1" applyBorder="1" applyAlignment="1">
      <alignment wrapText="1"/>
    </xf>
    <xf numFmtId="0" fontId="136" fillId="0" borderId="3" xfId="0" applyFont="1" applyFill="1" applyBorder="1"/>
    <xf numFmtId="0" fontId="136" fillId="0" borderId="0" xfId="0" applyFont="1" applyFill="1" applyAlignment="1">
      <alignment horizontal="center" vertical="center"/>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0" fontId="136" fillId="0" borderId="3" xfId="0" applyFont="1" applyFill="1" applyBorder="1" applyAlignment="1" applyProtection="1">
      <alignment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lef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lef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0" fontId="136" fillId="0" borderId="0" xfId="0"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12" fillId="0" borderId="0" xfId="0" applyFont="1" applyFill="1"/>
    <xf numFmtId="176" fontId="112" fillId="0" borderId="0" xfId="0" applyNumberFormat="1" applyFont="1" applyFill="1" applyAlignment="1">
      <alignment horizontal="left"/>
    </xf>
    <xf numFmtId="0" fontId="239" fillId="0" borderId="0" xfId="0"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239"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0" fontId="136" fillId="0" borderId="0" xfId="0"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0" fontId="136" fillId="0" borderId="0" xfId="0" applyFont="1" applyFill="1" applyAlignment="1">
      <alignment wrapText="1"/>
    </xf>
    <xf numFmtId="0" fontId="136" fillId="0" borderId="0" xfId="0" applyFont="1" applyFill="1" applyAlignment="1">
      <alignment horizontal="center" vertical="center"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57" fillId="69" borderId="3" xfId="0" applyFont="1" applyFill="1" applyBorder="1" applyAlignment="1">
      <alignment horizontal="left" wrapText="1"/>
    </xf>
    <xf numFmtId="0" fontId="57" fillId="68" borderId="3" xfId="0" applyFont="1" applyFill="1" applyBorder="1" applyAlignment="1">
      <alignment horizontal="center" wrapText="1"/>
    </xf>
    <xf numFmtId="0" fontId="136" fillId="78" borderId="3" xfId="0" applyFont="1" applyFill="1" applyBorder="1" applyAlignment="1">
      <alignment horizontal="center" wrapText="1"/>
    </xf>
    <xf numFmtId="176" fontId="136" fillId="78" borderId="3" xfId="0" applyNumberFormat="1" applyFont="1" applyFill="1" applyBorder="1" applyAlignment="1">
      <alignment horizontal="center" wrapText="1"/>
    </xf>
    <xf numFmtId="0" fontId="175" fillId="78" borderId="3" xfId="0" applyFont="1" applyFill="1" applyBorder="1" applyAlignment="1">
      <alignment horizontal="center" wrapText="1"/>
    </xf>
    <xf numFmtId="3" fontId="136" fillId="78" borderId="3" xfId="0" applyNumberFormat="1" applyFont="1" applyFill="1" applyBorder="1" applyAlignment="1">
      <alignment horizontal="right" wrapText="1"/>
    </xf>
    <xf numFmtId="3" fontId="136" fillId="78" borderId="3" xfId="0" applyNumberFormat="1" applyFont="1" applyFill="1" applyBorder="1" applyAlignment="1">
      <alignment horizontal="right" vertical="center" wrapText="1"/>
    </xf>
    <xf numFmtId="0" fontId="136" fillId="78" borderId="3" xfId="0" applyFont="1" applyFill="1" applyBorder="1" applyAlignment="1">
      <alignment horizontal="right" wrapText="1"/>
    </xf>
    <xf numFmtId="0" fontId="136" fillId="78" borderId="3" xfId="0" applyFont="1" applyFill="1" applyBorder="1" applyAlignment="1">
      <alignment horizontal="left" wrapText="1"/>
    </xf>
    <xf numFmtId="198" fontId="204" fillId="0" borderId="0" xfId="0" applyNumberFormat="1" applyFont="1" applyAlignment="1" applyProtection="1">
      <alignment horizontal="center"/>
      <protection locked="0"/>
    </xf>
  </cellXfs>
  <cellStyles count="4">
    <cellStyle name="ハイパーリンク" xfId="1" builtinId="8"/>
    <cellStyle name="桁区切り" xfId="3" builtinId="6"/>
    <cellStyle name="標準" xfId="0" builtinId="0"/>
    <cellStyle name="標準 2" xfId="2" xr:uid="{00000000-0005-0000-0000-000002000000}"/>
  </cellStyles>
  <dxfs count="52">
    <dxf>
      <font>
        <color rgb="FF9C0006"/>
      </font>
      <fill>
        <patternFill patternType="solid">
          <fgColor indexed="64"/>
          <bgColor rgb="FFFFC7CE"/>
        </patternFill>
      </fill>
    </dxf>
    <dxf>
      <font>
        <color rgb="FF276221"/>
      </font>
      <fill>
        <patternFill patternType="solid">
          <fgColor indexed="64"/>
          <bgColor rgb="FFC6EFCE"/>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bed1b1f6e97c4c9f9ae958b1f8b490de">
      <tp t="s">
        <v/>
        <stp/>
        <stp>ChartPast</stp>
        <stp>3198493135584,3,3,8,8</stp>
        <stp>DJIA</stp>
        <stp>D</stp>
        <stp>20260310</stp>
        <stp>100</stp>
        <tr r="I4" s="17"/>
      </tp>
      <tp t="s">
        <v/>
        <stp/>
        <stp>Market</stp>
        <stp>STOCK</stp>
        <stp/>
        <stp>始値</stp>
        <tr r="C31" s="14"/>
      </tp>
      <tp>
        <v>2030</v>
        <stp/>
        <stp>Market</stp>
        <stp>STOCK</stp>
        <stp>23590.T</stp>
        <stp>安値</stp>
        <tr r="I135" s="5"/>
        <tr r="I193" s="4"/>
        <tr r="C168" s="10"/>
      </tp>
      <tp>
        <v>1636</v>
        <stp/>
        <stp>Market</stp>
        <stp>STOCK</stp>
        <stp>68090.T</stp>
        <stp>安値</stp>
        <tr r="C238" s="10"/>
      </tp>
      <tp>
        <v>3688</v>
        <stp/>
        <stp>Market</stp>
        <stp>STOCK</stp>
        <stp>64790.T</stp>
        <stp>安値</stp>
        <tr r="I101" s="4"/>
        <tr r="C79" s="10"/>
        <tr r="I24" s="5"/>
      </tp>
      <tp>
        <v>4145</v>
        <stp/>
        <stp>Market</stp>
        <stp>STOCK</stp>
        <stp>76090.T</stp>
        <stp>安値</stp>
        <tr r="C240" s="10"/>
      </tp>
      <tp>
        <v>17550</v>
        <stp/>
        <stp>Market</stp>
        <stp>STOCK</stp>
        <stp>77290.T</stp>
        <stp>安値</stp>
        <tr r="I68" s="4"/>
        <tr r="I18" s="5"/>
        <tr r="C107" s="10"/>
      </tp>
      <tp>
        <v>6578</v>
        <stp/>
        <stp>Market</stp>
        <stp>STOCK</stp>
        <stp>45190.T</stp>
        <stp>安値</stp>
        <tr r="I205" s="5"/>
        <tr r="I161" s="4"/>
        <tr r="C130" s="10"/>
      </tp>
      <tp>
        <v>1008</v>
        <stp/>
        <stp>Market</stp>
        <stp>STOCK</stp>
        <stp>47090.T</stp>
        <stp>安値</stp>
        <tr r="I154" s="4"/>
        <tr r="I115" s="5"/>
        <tr r="C170" s="10"/>
      </tp>
      <tp>
        <v>3614</v>
        <stp/>
        <stp>Market</stp>
        <stp>STOCK</stp>
        <stp>59290.T</stp>
        <stp>安値</stp>
        <tr r="I119" s="4"/>
        <tr r="C49" s="10"/>
        <tr r="I69" s="5"/>
      </tp>
      <tp>
        <v>1228</v>
        <stp/>
        <stp>Market</stp>
        <stp>STOCK</stp>
        <stp>50190.T</stp>
        <stp>安値</stp>
        <tr r="I140" s="5"/>
        <tr r="I148" s="4"/>
        <tr r="C24" s="10"/>
      </tp>
      <tp>
        <v>2673</v>
        <stp/>
        <stp>Market</stp>
        <stp>STOCK</stp>
        <stp>54490.T</stp>
        <stp>安値</stp>
        <tr r="I97" s="5"/>
        <tr r="C51" s="10"/>
        <tr r="I134" s="4"/>
      </tp>
      <tp>
        <v>2535</v>
        <stp/>
        <stp>Market</stp>
        <stp>STOCK</stp>
        <stp>83590.T</stp>
        <stp>安値</stp>
        <tr r="I26" s="5"/>
        <tr r="I48" s="4"/>
        <tr r="C123" s="10"/>
      </tp>
      <tp>
        <v>1646</v>
        <stp/>
        <stp>Market</stp>
        <stp>STOCK</stp>
        <stp>83090.T</stp>
        <stp>安値</stp>
        <tr r="I51" s="4"/>
        <tr r="C31" s="10"/>
        <tr r="I68" s="5"/>
      </tp>
      <tp>
        <v>2193.5</v>
        <stp/>
        <stp>Market</stp>
        <stp>STOCK</stp>
        <stp>90690.T</stp>
        <stp>安値</stp>
        <tr r="I28" s="4"/>
        <tr r="I60" s="5"/>
        <tr r="C110" s="10"/>
      </tp>
      <tp>
        <v>4137</v>
        <stp/>
        <stp>Market</stp>
        <stp>STOCK</stp>
        <stp>94490.T</stp>
        <stp>安値</stp>
        <tr r="I77" s="5"/>
        <tr r="I19" s="4"/>
        <tr r="C113" s="10"/>
      </tp>
      <tp>
        <v>917</v>
        <stp/>
        <stp>Market</stp>
        <stp>STOCK</stp>
        <stp>95190.T</stp>
        <stp>安値</stp>
        <tr r="C214" s="10"/>
      </tp>
    </main>
    <main first="rtdsrv.bed1b1f6e97c4c9f9ae958b1f8b490de">
      <tp>
        <v>5362</v>
        <stp/>
        <stp>Market</stp>
        <stp>STOCK</stp>
        <stp>27680.T</stp>
        <stp>安値</stp>
        <tr r="I206" s="5"/>
        <tr r="I191" s="4"/>
        <tr r="C202" s="10"/>
      </tp>
      <tp>
        <v>2653</v>
        <stp/>
        <stp>Market</stp>
        <stp>STOCK</stp>
        <stp>18080.T</stp>
        <stp>安値</stp>
        <tr r="C297" s="10"/>
      </tp>
      <tp>
        <v>2475</v>
        <stp/>
        <stp>Market</stp>
        <stp>STOCK</stp>
        <stp>19380.T</stp>
        <stp>安値</stp>
        <tr r="C176" s="10"/>
        <tr r="I117" s="5"/>
        <tr r="I200" s="4"/>
      </tp>
      <tp>
        <v>31970</v>
        <stp/>
        <stp>Market</stp>
        <stp>STOCK</stp>
        <stp>16180.T</stp>
        <stp>安値</stp>
        <tr r="C227" s="10"/>
      </tp>
      <tp>
        <v>856</v>
        <stp/>
        <stp>Market</stp>
        <stp>STOCK</stp>
        <stp>68480.T</stp>
        <stp>安値</stp>
        <tr r="C274" s="10"/>
      </tp>
      <tp>
        <v>1460</v>
        <stp/>
        <stp>Market</stp>
        <stp>STOCK</stp>
        <stp>68380.T</stp>
        <stp>安値</stp>
        <tr r="I6" s="5"/>
        <tr r="I85" s="4"/>
        <tr r="C148" s="10"/>
      </tp>
      <tp>
        <v>2578</v>
        <stp/>
        <stp>Market</stp>
        <stp>STOCK</stp>
        <stp>69280.T</stp>
        <stp>安値</stp>
        <tr r="C246" s="10"/>
      </tp>
      <tp>
        <v>3235</v>
        <stp/>
        <stp>Market</stp>
        <stp>STOCK</stp>
        <stp>69180.T</stp>
        <stp>安値</stp>
        <tr r="C279" s="10"/>
      </tp>
      <tp>
        <v>12490</v>
        <stp/>
        <stp>Market</stp>
        <stp>STOCK</stp>
        <stp>60980.T</stp>
        <stp>安値</stp>
        <tr r="C248" s="10"/>
      </tp>
      <tp>
        <v>2340</v>
        <stp/>
        <stp>Market</stp>
        <stp>STOCK</stp>
        <stp>61780.T</stp>
        <stp>安値</stp>
        <tr r="I112" s="4"/>
        <tr r="I59" s="5"/>
        <tr r="C104" s="10"/>
      </tp>
      <tp>
        <v>985</v>
        <stp/>
        <stp>Market</stp>
        <stp>STOCK</stp>
        <stp>64880.T</stp>
        <stp>安値</stp>
        <tr r="C280" s="10"/>
      </tp>
      <tp>
        <v>3594</v>
        <stp/>
        <stp>Market</stp>
        <stp>STOCK</stp>
        <stp>67580.T</stp>
        <stp>安値</stp>
        <tr r="I88" s="4"/>
        <tr r="C205" s="10"/>
        <tr r="I86" s="5"/>
      </tp>
      <tp>
        <v>157</v>
        <stp/>
        <stp>Market</stp>
        <stp>STOCK</stp>
        <stp>70480.T</stp>
        <stp>安値</stp>
        <tr r="C296" s="10"/>
      </tp>
      <tp>
        <v>309</v>
        <stp/>
        <stp>Market</stp>
        <stp>STOCK</stp>
        <stp>48880.T</stp>
        <stp>安値</stp>
        <tr r="I131" s="5"/>
        <tr r="I151" s="4"/>
        <tr r="C146" s="10"/>
      </tp>
      <tp>
        <v>2580</v>
        <stp/>
        <stp>Market</stp>
        <stp>STOCK</stp>
        <stp>40880.T</stp>
        <stp>安値</stp>
        <tr r="I170" s="4"/>
        <tr r="I132" s="5"/>
        <tr r="C156" s="10"/>
      </tp>
      <tp>
        <v>1251</v>
        <stp/>
        <stp>Market</stp>
        <stp>STOCK</stp>
        <stp>40080.T</stp>
        <stp>安値</stp>
        <tr r="I175" s="4"/>
        <tr r="C95" s="10"/>
        <tr r="I127" s="5"/>
      </tp>
      <tp>
        <v>1155.5</v>
        <stp/>
        <stp>Market</stp>
        <stp>STOCK</stp>
        <stp>41880.T</stp>
        <stp>安値</stp>
        <tr r="C98" s="10"/>
        <tr r="I145" s="5"/>
        <tr r="I167" s="4"/>
      </tp>
      <tp>
        <v>3219</v>
        <stp/>
        <stp>Market</stp>
        <stp>STOCK</stp>
        <stp>42080.T</stp>
        <stp>安値</stp>
        <tr r="C298" s="10"/>
      </tp>
      <tp>
        <v>1942</v>
        <stp/>
        <stp>Market</stp>
        <stp>STOCK</stp>
        <stp>42180.T</stp>
        <stp>安値</stp>
        <tr r="C282" s="10"/>
      </tp>
      <tp>
        <v>2604.5</v>
        <stp/>
        <stp>Market</stp>
        <stp>STOCK</stp>
        <stp>45680.T</stp>
        <stp>安値</stp>
        <tr r="I7" s="4"/>
        <tr r="I110" s="5"/>
        <tr r="C142" s="10"/>
      </tp>
      <tp>
        <v>2296.5</v>
        <stp/>
        <stp>Market</stp>
        <stp>STOCK</stp>
        <stp>45280.T</stp>
        <stp>安値</stp>
        <tr r="I159" s="4"/>
        <tr r="C100" s="10"/>
        <tr r="I17" s="5"/>
      </tp>
      <tp>
        <v>5481</v>
        <stp/>
        <stp>Market</stp>
        <stp>STOCK</stp>
        <stp>58380.T</stp>
        <stp>安値</stp>
        <tr r="I124" s="4"/>
        <tr r="C117" s="10"/>
        <tr r="I147" s="5"/>
      </tp>
      <tp>
        <v>1746</v>
        <stp/>
        <stp>Market</stp>
        <stp>STOCK</stp>
        <stp>59380.T</stp>
        <stp>安値</stp>
        <tr r="I118" s="4"/>
        <tr r="C36" s="10"/>
        <tr r="I93" s="5"/>
      </tp>
      <tp>
        <v>4631</v>
        <stp/>
        <stp>Market</stp>
        <stp>STOCK</stp>
        <stp>80580.T</stp>
        <stp>安値</stp>
        <tr r="I89" s="5"/>
        <tr r="I58" s="4"/>
        <tr r="C16" s="10"/>
      </tp>
      <tp>
        <v>2280.5</v>
        <stp/>
        <stp>Market</stp>
        <stp>STOCK</stp>
        <stp>83080.T</stp>
        <stp>安値</stp>
        <tr r="I92" s="5"/>
        <tr r="C35" s="10"/>
        <tr r="I52" s="4"/>
      </tp>
      <tp>
        <v>412</v>
        <stp/>
        <stp>Market</stp>
        <stp>STOCK</stp>
        <stp>93480.T</stp>
        <stp>安値</stp>
        <tr r="I8" s="5"/>
        <tr r="I24" s="4"/>
        <tr r="C112" s="10"/>
      </tp>
      <tp>
        <v>2036</v>
        <stp/>
        <stp>Market</stp>
        <stp>STOCK</stp>
        <stp>23590.T</stp>
        <stp>始値</stp>
        <tr r="F135" s="5"/>
        <tr r="F193" s="4"/>
        <tr r="C168" s="8"/>
      </tp>
      <tp>
        <v>6620</v>
        <stp/>
        <stp>Market</stp>
        <stp>STOCK</stp>
        <stp>45190.T</stp>
        <stp>始値</stp>
        <tr r="F161" s="4"/>
        <tr r="C130" s="8"/>
        <tr r="F205" s="5"/>
      </tp>
      <tp>
        <v>1010</v>
        <stp/>
        <stp>Market</stp>
        <stp>STOCK</stp>
        <stp>47090.T</stp>
        <stp>始値</stp>
        <tr r="F115" s="5"/>
        <tr r="F154" s="4"/>
        <tr r="C170" s="8"/>
      </tp>
      <tp>
        <v>3627</v>
        <stp/>
        <stp>Market</stp>
        <stp>STOCK</stp>
        <stp>59290.T</stp>
        <stp>始値</stp>
        <tr r="C49" s="8"/>
        <tr r="F69" s="5"/>
        <tr r="F119" s="4"/>
      </tp>
      <tp>
        <v>1230</v>
        <stp/>
        <stp>Market</stp>
        <stp>STOCK</stp>
        <stp>50190.T</stp>
        <stp>始値</stp>
        <tr r="C24" s="8"/>
        <tr r="F148" s="4"/>
        <tr r="F140" s="5"/>
      </tp>
      <tp>
        <v>2782</v>
        <stp/>
        <stp>Market</stp>
        <stp>STOCK</stp>
        <stp>54490.T</stp>
        <stp>始値</stp>
        <tr r="F134" s="4"/>
        <tr r="F97" s="5"/>
        <tr r="C51" s="8"/>
      </tp>
      <tp>
        <v>1636</v>
        <stp/>
        <stp>Market</stp>
        <stp>STOCK</stp>
        <stp>68090.T</stp>
        <stp>始値</stp>
        <tr r="C238" s="8"/>
      </tp>
      <tp>
        <v>3852</v>
        <stp/>
        <stp>Market</stp>
        <stp>STOCK</stp>
        <stp>64790.T</stp>
        <stp>始値</stp>
        <tr r="F101" s="4"/>
        <tr r="F24" s="5"/>
        <tr r="C79" s="8"/>
      </tp>
      <tp>
        <v>4255</v>
        <stp/>
        <stp>Market</stp>
        <stp>STOCK</stp>
        <stp>76090.T</stp>
        <stp>始値</stp>
        <tr r="C240" s="8"/>
      </tp>
      <tp>
        <v>18680</v>
        <stp/>
        <stp>Market</stp>
        <stp>STOCK</stp>
        <stp>77290.T</stp>
        <stp>始値</stp>
        <tr r="F68" s="4"/>
        <tr r="C107" s="8"/>
        <tr r="F18" s="5"/>
      </tp>
      <tp>
        <v>2568.5</v>
        <stp/>
        <stp>Market</stp>
        <stp>STOCK</stp>
        <stp>83590.T</stp>
        <stp>始値</stp>
        <tr r="F26" s="5"/>
        <tr r="F48" s="4"/>
        <tr r="C123" s="8"/>
      </tp>
      <tp>
        <v>1646</v>
        <stp/>
        <stp>Market</stp>
        <stp>STOCK</stp>
        <stp>83090.T</stp>
        <stp>始値</stp>
        <tr r="F51" s="4"/>
        <tr r="C31" s="8"/>
        <tr r="F68" s="5"/>
      </tp>
      <tp>
        <v>2204.5</v>
        <stp/>
        <stp>Market</stp>
        <stp>STOCK</stp>
        <stp>90690.T</stp>
        <stp>始値</stp>
        <tr r="F60" s="5"/>
        <tr r="F28" s="4"/>
        <tr r="C110" s="8"/>
      </tp>
      <tp>
        <v>4215</v>
        <stp/>
        <stp>Market</stp>
        <stp>STOCK</stp>
        <stp>94490.T</stp>
        <stp>始値</stp>
        <tr r="F77" s="5"/>
        <tr r="C113" s="8"/>
        <tr r="F19" s="4"/>
      </tp>
      <tp>
        <v>934</v>
        <stp/>
        <stp>Market</stp>
        <stp>STOCK</stp>
        <stp>95190.T</stp>
        <stp>始値</stp>
        <tr r="C214" s="8"/>
      </tp>
      <tp t="s">
        <v/>
        <stp/>
        <stp>MarginPositionList</stp>
        <stp>3198493116768,1,1,5,5</stp>
        <stp/>
        <stp>A</stp>
        <stp>0</stp>
        <stp>0</stp>
        <stp>0</stp>
        <tr r="F2" s="14"/>
      </tp>
    </main>
    <main first="rtdsrv.bed1b1f6e97c4c9f9ae958b1f8b490de">
      <tp>
        <v>2664.5</v>
        <stp/>
        <stp>Market</stp>
        <stp>STOCK</stp>
        <stp>18080.T</stp>
        <stp>始値</stp>
        <tr r="C297" s="8"/>
      </tp>
      <tp>
        <v>2506</v>
        <stp/>
        <stp>Market</stp>
        <stp>STOCK</stp>
        <stp>19380.T</stp>
        <stp>始値</stp>
        <tr r="F200" s="4"/>
        <tr r="F117" s="5"/>
        <tr r="C176" s="8"/>
      </tp>
      <tp>
        <v>31970</v>
        <stp/>
        <stp>Market</stp>
        <stp>STOCK</stp>
        <stp>16180.T</stp>
        <stp>始値</stp>
        <tr r="C227" s="8"/>
      </tp>
      <tp>
        <v>5370</v>
        <stp/>
        <stp>Market</stp>
        <stp>STOCK</stp>
        <stp>27680.T</stp>
        <stp>始値</stp>
        <tr r="F191" s="4"/>
        <tr r="C202" s="8"/>
        <tr r="F206" s="5"/>
      </tp>
      <tp>
        <v>312</v>
        <stp/>
        <stp>Market</stp>
        <stp>STOCK</stp>
        <stp>48880.T</stp>
        <stp>始値</stp>
        <tr r="C146" s="8"/>
        <tr r="F151" s="4"/>
        <tr r="F131" s="5"/>
      </tp>
      <tp>
        <v>2638</v>
        <stp/>
        <stp>Market</stp>
        <stp>STOCK</stp>
        <stp>40880.T</stp>
        <stp>始値</stp>
        <tr r="C156" s="8"/>
        <tr r="F170" s="4"/>
        <tr r="F132" s="5"/>
      </tp>
      <tp>
        <v>1260</v>
        <stp/>
        <stp>Market</stp>
        <stp>STOCK</stp>
        <stp>40080.T</stp>
        <stp>始値</stp>
        <tr r="F175" s="4"/>
        <tr r="F127" s="5"/>
        <tr r="C95" s="8"/>
      </tp>
      <tp>
        <v>1155.5</v>
        <stp/>
        <stp>Market</stp>
        <stp>STOCK</stp>
        <stp>41880.T</stp>
        <stp>始値</stp>
        <tr r="F145" s="5"/>
        <tr r="F167" s="4"/>
        <tr r="C98" s="8"/>
      </tp>
      <tp>
        <v>3219</v>
        <stp/>
        <stp>Market</stp>
        <stp>STOCK</stp>
        <stp>42080.T</stp>
        <stp>始値</stp>
        <tr r="C298" s="8"/>
      </tp>
      <tp>
        <v>1950</v>
        <stp/>
        <stp>Market</stp>
        <stp>STOCK</stp>
        <stp>42180.T</stp>
        <stp>始値</stp>
        <tr r="C282" s="8"/>
      </tp>
      <tp>
        <v>2612</v>
        <stp/>
        <stp>Market</stp>
        <stp>STOCK</stp>
        <stp>45680.T</stp>
        <stp>始値</stp>
        <tr r="F110" s="5"/>
        <tr r="F7" s="4"/>
        <tr r="C142" s="8"/>
      </tp>
      <tp>
        <v>2303</v>
        <stp/>
        <stp>Market</stp>
        <stp>STOCK</stp>
        <stp>45280.T</stp>
        <stp>始値</stp>
        <tr r="F17" s="5"/>
        <tr r="F159" s="4"/>
        <tr r="C100" s="8"/>
      </tp>
      <tp>
        <v>5552</v>
        <stp/>
        <stp>Market</stp>
        <stp>STOCK</stp>
        <stp>58380.T</stp>
        <stp>始値</stp>
        <tr r="C117" s="8"/>
        <tr r="F124" s="4"/>
        <tr r="F147" s="5"/>
      </tp>
      <tp>
        <v>1750</v>
        <stp/>
        <stp>Market</stp>
        <stp>STOCK</stp>
        <stp>59380.T</stp>
        <stp>始値</stp>
        <tr r="F118" s="4"/>
        <tr r="C36" s="8"/>
        <tr r="F93" s="5"/>
      </tp>
      <tp>
        <v>856</v>
        <stp/>
        <stp>Market</stp>
        <stp>STOCK</stp>
        <stp>68480.T</stp>
        <stp>始値</stp>
        <tr r="C274" s="8"/>
      </tp>
      <tp>
        <v>1491</v>
        <stp/>
        <stp>Market</stp>
        <stp>STOCK</stp>
        <stp>68380.T</stp>
        <stp>始値</stp>
        <tr r="F6" s="5"/>
        <tr r="C148" s="8"/>
        <tr r="F85" s="4"/>
      </tp>
      <tp>
        <v>2645</v>
        <stp/>
        <stp>Market</stp>
        <stp>STOCK</stp>
        <stp>69280.T</stp>
        <stp>始値</stp>
        <tr r="C246" s="8"/>
      </tp>
      <tp>
        <v>3295</v>
        <stp/>
        <stp>Market</stp>
        <stp>STOCK</stp>
        <stp>69180.T</stp>
        <stp>始値</stp>
        <tr r="C279" s="8"/>
      </tp>
      <tp>
        <v>12555</v>
        <stp/>
        <stp>Market</stp>
        <stp>STOCK</stp>
        <stp>60980.T</stp>
        <stp>始値</stp>
        <tr r="C248" s="8"/>
      </tp>
      <tp>
        <v>2355</v>
        <stp/>
        <stp>Market</stp>
        <stp>STOCK</stp>
        <stp>61780.T</stp>
        <stp>始値</stp>
        <tr r="C104" s="8"/>
        <tr r="F59" s="5"/>
        <tr r="F112" s="4"/>
      </tp>
      <tp>
        <v>990</v>
        <stp/>
        <stp>Market</stp>
        <stp>STOCK</stp>
        <stp>64880.T</stp>
        <stp>始値</stp>
        <tr r="C280" s="8"/>
      </tp>
      <tp>
        <v>3650</v>
        <stp/>
        <stp>Market</stp>
        <stp>STOCK</stp>
        <stp>67580.T</stp>
        <stp>始値</stp>
        <tr r="C205" s="8"/>
        <tr r="F88" s="4"/>
        <tr r="F86" s="5"/>
      </tp>
      <tp>
        <v>161</v>
        <stp/>
        <stp>Market</stp>
        <stp>STOCK</stp>
        <stp>70480.T</stp>
        <stp>始値</stp>
        <tr r="C296" s="8"/>
      </tp>
      <tp>
        <v>4635</v>
        <stp/>
        <stp>Market</stp>
        <stp>STOCK</stp>
        <stp>80580.T</stp>
        <stp>始値</stp>
        <tr r="F58" s="4"/>
        <tr r="F89" s="5"/>
        <tr r="C16" s="8"/>
      </tp>
      <tp>
        <v>2289</v>
        <stp/>
        <stp>Market</stp>
        <stp>STOCK</stp>
        <stp>83080.T</stp>
        <stp>始値</stp>
        <tr r="F52" s="4"/>
        <tr r="F92" s="5"/>
        <tr r="C35" s="8"/>
      </tp>
      <tp>
        <v>420</v>
        <stp/>
        <stp>Market</stp>
        <stp>STOCK</stp>
        <stp>93480.T</stp>
        <stp>始値</stp>
        <tr r="F8" s="5"/>
        <tr r="F24" s="4"/>
        <tr r="C112" s="8"/>
      </tp>
      <tp>
        <v>1906</v>
        <stp/>
        <stp>Market</stp>
        <stp>STOCK</stp>
        <stp>39050.T</stp>
        <stp>安値</stp>
        <tr r="C284" s="10"/>
      </tp>
      <tp>
        <v>4517</v>
        <stp/>
        <stp>Market</stp>
        <stp>STOCK</stp>
        <stp>19250.T</stp>
        <stp>安値</stp>
        <tr r="I181" s="5"/>
        <tr r="I202" s="4"/>
        <tr r="C83" s="10"/>
      </tp>
      <tp>
        <v>3377</v>
        <stp/>
        <stp>Market</stp>
        <stp>STOCK</stp>
        <stp>16050.T</stp>
        <stp>安値</stp>
        <tr r="I206" s="4"/>
        <tr r="I166" s="5"/>
        <tr r="C12" s="10"/>
      </tp>
      <tp>
        <v>2438.5</v>
        <stp/>
        <stp>Market</stp>
        <stp>STOCK</stp>
        <stp>69650.T</stp>
        <stp>安値</stp>
        <tr r="C300" s="10"/>
      </tp>
      <tp>
        <v>400</v>
        <stp/>
        <stp>Market</stp>
        <stp>STOCK</stp>
        <stp>69550.T</stp>
        <stp>安値</stp>
        <tr r="C265" s="10"/>
      </tp>
      <tp>
        <v>4067</v>
        <stp/>
        <stp>Market</stp>
        <stp>STOCK</stp>
        <stp>69250.T</stp>
        <stp>安値</stp>
        <tr r="C105" s="10"/>
        <tr r="I42" s="5"/>
        <tr r="I80" s="4"/>
      </tp>
      <tp>
        <v>75</v>
        <stp/>
        <stp>Market</stp>
        <stp>STOCK</stp>
        <stp>60850.T</stp>
        <stp>安値</stp>
        <tr r="I115" s="4"/>
        <tr r="C137" s="10"/>
        <tr r="I150" s="5"/>
      </tp>
      <tp>
        <v>2312</v>
        <stp/>
        <stp>Market</stp>
        <stp>STOCK</stp>
        <stp>60550.T</stp>
        <stp>安値</stp>
        <tr r="C224" s="10"/>
      </tp>
      <tp>
        <v>15010</v>
        <stp/>
        <stp>Market</stp>
        <stp>STOCK</stp>
        <stp>61350.T</stp>
        <stp>安値</stp>
        <tr r="C223" s="10"/>
      </tp>
      <tp>
        <v>5406</v>
        <stp/>
        <stp>Market</stp>
        <stp>STOCK</stp>
        <stp>63050.T</stp>
        <stp>安値</stp>
        <tr r="I85" s="5"/>
        <tr r="C203" s="10"/>
        <tr r="I107" s="4"/>
      </tp>
      <tp>
        <v>1581</v>
        <stp/>
        <stp>Market</stp>
        <stp>STOCK</stp>
        <stp>64850.T</stp>
        <stp>安値</stp>
        <tr r="I6" s="4"/>
        <tr r="I194" s="5"/>
        <tr r="C191" s="10"/>
      </tp>
      <tp>
        <v>1123</v>
        <stp/>
        <stp>Market</stp>
        <stp>STOCK</stp>
        <stp>73750.T</stp>
        <stp>安値</stp>
        <tr r="I71" s="4"/>
        <tr r="I190" s="5"/>
        <tr r="C149" s="10"/>
      </tp>
      <tp>
        <v>3100</v>
        <stp/>
        <stp>Market</stp>
        <stp>STOCK</stp>
        <stp>76850.T</stp>
        <stp>安値</stp>
        <tr r="I69" s="4"/>
        <tr r="C121" s="10"/>
        <tr r="I148" s="5"/>
      </tp>
      <tp>
        <v>13240</v>
        <stp/>
        <stp>Market</stp>
        <stp>STOCK</stp>
        <stp>77350.T</stp>
        <stp>安値</stp>
        <tr r="C283" s="10"/>
      </tp>
      <tp>
        <v>1836</v>
        <stp/>
        <stp>Market</stp>
        <stp>STOCK</stp>
        <stp>40450.T</stp>
        <stp>安値</stp>
        <tr r="C61" s="10"/>
        <tr r="I174" s="4"/>
        <tr r="I178" s="5"/>
      </tp>
      <tp>
        <v>54800</v>
        <stp/>
        <stp>Market</stp>
        <stp>STOCK</stp>
        <stp>80350.T</stp>
        <stp>安値</stp>
        <tr r="C198" s="10"/>
        <tr r="I60" s="4"/>
        <tr r="I35" s="5"/>
      </tp>
      <tp>
        <v>1801</v>
        <stp/>
        <stp>Market</stp>
        <stp>STOCK</stp>
        <stp>80050.T</stp>
        <stp>安値</stp>
        <tr r="C236" s="10"/>
      </tp>
      <tp>
        <v>7055</v>
        <stp/>
        <stp>Market</stp>
        <stp>STOCK</stp>
        <stp>80150.T</stp>
        <stp>安値</stp>
        <tr r="I61" s="4"/>
        <tr r="I65" s="5"/>
        <tr r="C204" s="10"/>
      </tp>
      <tp>
        <v>4935</v>
        <stp/>
        <stp>Market</stp>
        <stp>STOCK</stp>
        <stp>87950.T</stp>
        <stp>安値</stp>
        <tr r="I34" s="4"/>
        <tr r="C23" s="10"/>
        <tr r="I91" s="5"/>
      </tp>
      <tp>
        <v>4771</v>
        <stp/>
        <stp>Market</stp>
        <stp>STOCK</stp>
        <stp>87250.T</stp>
        <stp>安値</stp>
        <tr r="C22" s="10"/>
        <tr r="I37" s="4"/>
        <tr r="I168" s="5"/>
      </tp>
      <tp>
        <v>1756</v>
        <stp/>
        <stp>Market</stp>
        <stp>STOCK</stp>
        <stp>91650.T</stp>
        <stp>安値</stp>
        <tr r="C243" s="10"/>
      </tp>
      <tp>
        <v>843</v>
        <stp/>
        <stp>Market</stp>
        <stp>STOCK</stp>
        <stp>91150.T</stp>
        <stp>安値</stp>
        <tr r="C270" s="10"/>
      </tp>
      <tp>
        <v>909.3</v>
        <stp/>
        <stp>Market</stp>
        <stp>STOCK</stp>
        <stp>95050.T</stp>
        <stp>安値</stp>
        <tr r="C181" s="10"/>
        <tr r="I157" s="5"/>
        <tr r="I17" s="4"/>
      </tp>
      <tp>
        <v>2661</v>
        <stp/>
        <stp>Market</stp>
        <stp>STOCK</stp>
        <stp>14070.T</stp>
        <stp>始値</stp>
        <tr r="C217" s="8"/>
      </tp>
      <tp>
        <v>638</v>
        <stp/>
        <stp>Market</stp>
        <stp>STOCK</stp>
        <stp>21270.T</stp>
        <stp>始値</stp>
        <tr r="C187" s="8"/>
        <tr r="F161" s="5"/>
        <tr r="F196" s="4"/>
      </tp>
      <tp>
        <v>2760</v>
        <stp/>
        <stp>Market</stp>
        <stp>STOCK</stp>
        <stp>22670.T</stp>
        <stp>始値</stp>
        <tr r="C226" s="8"/>
      </tp>
      <tp>
        <v>3670</v>
        <stp/>
        <stp>Market</stp>
        <stp>STOCK</stp>
        <stp>23270.T</stp>
        <stp>始値</stp>
        <tr r="F194" s="4"/>
        <tr r="F154" s="5"/>
        <tr r="C174" s="8"/>
      </tp>
      <tp>
        <v>3736</v>
        <stp/>
        <stp>Market</stp>
        <stp>STOCK</stp>
        <stp>31070.T</stp>
        <stp>始値</stp>
        <tr r="F13" s="5"/>
        <tr r="F186" s="4"/>
        <tr r="C60" s="8"/>
      </tp>
      <tp>
        <v>4199</v>
        <stp/>
        <stp>Market</stp>
        <stp>STOCK</stp>
        <stp>33970.T</stp>
        <stp>始値</stp>
        <tr r="C285" s="8"/>
      </tp>
      <tp>
        <v>1643</v>
        <stp/>
        <stp>Market</stp>
        <stp>STOCK</stp>
        <stp>34070.T</stp>
        <stp>始値</stp>
        <tr r="F183" s="5"/>
        <tr r="C94" s="8"/>
        <tr r="F182" s="4"/>
      </tp>
      <tp>
        <v>1603</v>
        <stp/>
        <stp>Market</stp>
        <stp>STOCK</stp>
        <stp>48870.T</stp>
        <stp>始値</stp>
        <tr r="C192" s="8"/>
        <tr r="F195" s="5"/>
        <tr r="F152" s="4"/>
      </tp>
      <tp>
        <v>3010</v>
        <stp/>
        <stp>Market</stp>
        <stp>STOCK</stp>
        <stp>40470.T</stp>
        <stp>始値</stp>
        <tr r="C289" s="8"/>
      </tp>
      <tp>
        <v>4639</v>
        <stp/>
        <stp>Market</stp>
        <stp>STOCK</stp>
        <stp>43070.T</stp>
        <stp>始値</stp>
        <tr r="F151" s="5"/>
        <tr r="F166" s="4"/>
        <tr r="C150" s="8"/>
      </tp>
      <tp>
        <v>4350</v>
        <stp/>
        <stp>Market</stp>
        <stp>STOCK</stp>
        <stp>44170.T</stp>
        <stp>始値</stp>
        <tr r="F163" s="4"/>
        <tr r="C153" s="8"/>
        <tr r="F112" s="5"/>
      </tp>
      <tp>
        <v>3385</v>
        <stp/>
        <stp>Market</stp>
        <stp>STOCK</stp>
        <stp>58570.T</stp>
        <stp>始値</stp>
        <tr r="F52" s="5"/>
        <tr r="F122" s="4"/>
        <tr r="C62" s="8"/>
      </tp>
      <tp>
        <v>3508</v>
        <stp/>
        <stp>Market</stp>
        <stp>STOCK</stp>
        <stp>59470.T</stp>
        <stp>始値</stp>
        <tr r="F96" s="5"/>
        <tr r="F117" s="4"/>
        <tr r="C42" s="8"/>
      </tp>
      <tp>
        <v>32500</v>
        <stp/>
        <stp>Market</stp>
        <stp>STOCK</stp>
        <stp>68570.T</stp>
        <stp>始値</stp>
        <tr r="F83" s="4"/>
        <tr r="F113" s="5"/>
        <tr r="C158" s="8"/>
      </tp>
      <tp>
        <v>3365</v>
        <stp/>
        <stp>Market</stp>
        <stp>STOCK</stp>
        <stp>69970.T</stp>
        <stp>始値</stp>
        <tr r="C272" s="8"/>
      </tp>
      <tp>
        <v>2340</v>
        <stp/>
        <stp>Market</stp>
        <stp>STOCK</stp>
        <stp>60270.T</stp>
        <stp>始値</stp>
        <tr r="F116" s="4"/>
        <tr r="F98" s="5"/>
        <tr r="C72" s="8"/>
      </tp>
      <tp>
        <v>7080</v>
        <stp/>
        <stp>Market</stp>
        <stp>STOCK</stp>
        <stp>62270.T</stp>
        <stp>始値</stp>
        <tr r="F110" s="4"/>
        <tr r="C132" s="8"/>
        <tr r="F108" s="5"/>
      </tp>
      <tp>
        <v>9450</v>
        <stp/>
        <stp>Market</stp>
        <stp>STOCK</stp>
        <stp>63870.T</stp>
        <stp>始値</stp>
        <tr r="F103" s="4"/>
        <tr r="C147" s="8"/>
        <tr r="F62" s="5"/>
      </tp>
      <tp>
        <v>3220</v>
        <stp/>
        <stp>Market</stp>
        <stp>STOCK</stp>
        <stp>63270.T</stp>
        <stp>始値</stp>
        <tr r="F27" s="5"/>
        <tr r="F105" s="4"/>
        <tr r="C133" s="8"/>
      </tp>
      <tp>
        <v>6720</v>
        <stp/>
        <stp>Market</stp>
        <stp>STOCK</stp>
        <stp>64070.T</stp>
        <stp>始値</stp>
        <tr r="C295" s="8"/>
      </tp>
      <tp>
        <v>14620</v>
        <stp/>
        <stp>Market</stp>
        <stp>STOCK</stp>
        <stp>65070.T</stp>
        <stp>始値</stp>
        <tr r="F64" s="5"/>
        <tr r="F97" s="4"/>
        <tr r="C183" s="8"/>
      </tp>
      <tp>
        <v>24350</v>
        <stp/>
        <stp>Market</stp>
        <stp>STOCK</stp>
        <stp>67870.T</stp>
        <stp>始値</stp>
        <tr r="F10" s="5"/>
        <tr r="C145" s="8"/>
        <tr r="F86" s="4"/>
      </tp>
      <tp>
        <v>20710</v>
        <stp/>
        <stp>Market</stp>
        <stp>STOCK</stp>
        <stp>67770.T</stp>
        <stp>始値</stp>
        <tr r="F130" s="5"/>
        <tr r="F87" s="4"/>
        <tr r="C144" s="8"/>
      </tp>
      <tp>
        <v>1562</v>
        <stp/>
        <stp>Market</stp>
        <stp>STOCK</stp>
        <stp>71670.T</stp>
        <stp>始値</stp>
        <tr r="F101" s="5"/>
        <tr r="F75" s="4"/>
        <tr r="C82" s="8"/>
      </tp>
      <tp>
        <v>795</v>
        <stp/>
        <stp>Market</stp>
        <stp>STOCK</stp>
        <stp>80070.T</stp>
        <stp>始値</stp>
        <tr r="C281" s="8"/>
      </tp>
      <tp>
        <v>881</v>
        <stp/>
        <stp>Market</stp>
        <stp>STOCK</stp>
        <stp>92270.T</stp>
        <stp>始値</stp>
        <tr r="F146" s="5"/>
        <tr r="F25" s="4"/>
        <tr r="C111" s="8"/>
      </tp>
      <tp>
        <v>4445</v>
        <stp/>
        <stp>Market</stp>
        <stp>STOCK</stp>
        <stp>96870.T</stp>
        <stp>始値</stp>
        <tr r="F44" s="5"/>
        <tr r="F11" s="4"/>
        <tr r="C162" s="8"/>
      </tp>
      <tp>
        <v>6893</v>
        <stp/>
        <stp>Market</stp>
        <stp>STOCK</stp>
        <stp>29140.T</stp>
        <stp>安値</stp>
        <tr r="I182" s="5"/>
        <tr r="I189" s="4"/>
        <tr r="C87" s="10"/>
      </tp>
      <tp>
        <v>1139</v>
        <stp/>
        <stp>Market</stp>
        <stp>STOCK</stp>
        <stp>38640.T</stp>
        <stp>安値</stp>
        <tr r="C271" s="10"/>
      </tp>
      <tp>
        <v>2195</v>
        <stp/>
        <stp>Market</stp>
        <stp>STOCK</stp>
        <stp>38540.T</stp>
        <stp>安値</stp>
        <tr r="I54" s="5"/>
        <tr r="C71" s="10"/>
        <tr r="I180" s="4"/>
      </tp>
      <tp>
        <v>1833</v>
        <stp/>
        <stp>Market</stp>
        <stp>STOCK</stp>
        <stp>39840.T</stp>
        <stp>安値</stp>
        <tr r="C239" s="10"/>
      </tp>
      <tp>
        <v>7131</v>
        <stp/>
        <stp>Market</stp>
        <stp>STOCK</stp>
        <stp>19440.T</stp>
        <stp>安値</stp>
        <tr r="C304" s="10"/>
      </tp>
      <tp>
        <v>576</v>
        <stp/>
        <stp>Market</stp>
        <stp>STOCK</stp>
        <stp>15140.T</stp>
        <stp>安値</stp>
        <tr r="C262" s="10"/>
      </tp>
      <tp>
        <v>6316</v>
        <stp/>
        <stp>Market</stp>
        <stp>STOCK</stp>
        <stp>69540.T</stp>
        <stp>安値</stp>
        <tr r="I79" s="4"/>
        <tr r="C78" s="10"/>
        <tr r="I16" s="5"/>
      </tp>
      <tp>
        <v>8005</v>
        <stp/>
        <stp>Market</stp>
        <stp>STOCK</stp>
        <stp>61340.T</stp>
        <stp>安値</stp>
        <tr r="C92" s="10"/>
        <tr r="I25" s="5"/>
        <tr r="I114" s="4"/>
      </tp>
      <tp>
        <v>4390</v>
        <stp/>
        <stp>Market</stp>
        <stp>STOCK</stp>
        <stp>62540.T</stp>
        <stp>安値</stp>
        <tr r="I108" s="4"/>
        <tr r="C30" s="10"/>
        <tr r="I5" s="5"/>
      </tp>
      <tp>
        <v>6980</v>
        <stp/>
        <stp>Market</stp>
        <stp>STOCK</stp>
        <stp>63240.T</stp>
        <stp>安値</stp>
        <tr r="C210" s="10"/>
      </tp>
      <tp>
        <v>5375</v>
        <stp/>
        <stp>Market</stp>
        <stp>STOCK</stp>
        <stp>66740.T</stp>
        <stp>安値</stp>
        <tr r="C264" s="10"/>
      </tp>
      <tp>
        <v>4550</v>
        <stp/>
        <stp>Market</stp>
        <stp>STOCK</stp>
        <stp>67440.T</stp>
        <stp>安値</stp>
        <tr r="I91" s="4"/>
        <tr r="I106" s="5"/>
        <tr r="C120" s="10"/>
      </tp>
      <tp>
        <v>3481</v>
        <stp/>
        <stp>Market</stp>
        <stp>STOCK</stp>
        <stp>67540.T</stp>
        <stp>安値</stp>
        <tr r="I89" s="4"/>
        <tr r="C155" s="10"/>
        <tr r="I31" s="5"/>
      </tp>
      <tp>
        <v>4160</v>
        <stp/>
        <stp>Market</stp>
        <stp>STOCK</stp>
        <stp>70140.T</stp>
        <stp>安値</stp>
        <tr r="C256" s="10"/>
      </tp>
      <tp>
        <v>1402</v>
        <stp/>
        <stp>Market</stp>
        <stp>STOCK</stp>
        <stp>74140.T</stp>
        <stp>安値</stp>
        <tr r="C294" s="10"/>
      </tp>
      <tp>
        <v>870</v>
        <stp/>
        <stp>Market</stp>
        <stp>STOCK</stp>
        <stp>77940.T</stp>
        <stp>安値</stp>
        <tr r="I66" s="4"/>
        <tr r="C136" s="10"/>
        <tr r="I80" s="5"/>
      </tp>
      <tp>
        <v>15005</v>
        <stp/>
        <stp>Market</stp>
        <stp>STOCK</stp>
        <stp>40040.T</stp>
        <stp>安値</stp>
        <tr r="C213" s="10"/>
      </tp>
      <tp>
        <v>3316</v>
        <stp/>
        <stp>Market</stp>
        <stp>STOCK</stp>
        <stp>45440.T</stp>
        <stp>安値</stp>
        <tr r="C273" s="10"/>
      </tp>
      <tp>
        <v>6480</v>
        <stp/>
        <stp>Market</stp>
        <stp>STOCK</stp>
        <stp>47040.T</stp>
        <stp>安値</stp>
        <tr r="C254" s="10"/>
      </tp>
      <tp>
        <v>4610</v>
        <stp/>
        <stp>Market</stp>
        <stp>STOCK</stp>
        <stp>58440.T</stp>
        <stp>安値</stp>
        <tr r="I61" s="5"/>
        <tr r="I123" s="4"/>
        <tr r="C118" s="10"/>
      </tp>
      <tp>
        <v>8602</v>
        <stp/>
        <stp>Market</stp>
        <stp>STOCK</stp>
        <stp>57140.T</stp>
        <stp>安値</stp>
        <tr r="C10" s="10"/>
        <tr r="I47" s="5"/>
        <tr r="I128" s="4"/>
      </tp>
      <tp>
        <v>2417</v>
        <stp/>
        <stp>Market</stp>
        <stp>STOCK</stp>
        <stp>89340.T</stp>
        <stp>安値</stp>
        <tr r="I31" s="4"/>
        <tr r="I149" s="5"/>
        <tr r="C125" s="10"/>
      </tp>
      <tp>
        <v>4030</v>
        <stp/>
        <stp>Market</stp>
        <stp>STOCK</stp>
        <stp>83440.T</stp>
        <stp>安値</stp>
        <tr r="C293" s="10"/>
      </tp>
      <tp>
        <v>2556</v>
        <stp/>
        <stp>Market</stp>
        <stp>STOCK</stp>
        <stp>83340.T</stp>
        <stp>安値</stp>
        <tr r="C122" s="10"/>
        <tr r="I204" s="5"/>
        <tr r="I49" s="4"/>
      </tp>
      <tp>
        <v>4375</v>
        <stp/>
        <stp>Market</stp>
        <stp>STOCK</stp>
        <stp>84240.T</stp>
        <stp>安値</stp>
        <tr r="I185" s="5"/>
        <tr r="I46" s="4"/>
        <tr r="C108" s="10"/>
      </tp>
      <tp>
        <v>1551</v>
        <stp/>
        <stp>Market</stp>
        <stp>STOCK</stp>
        <stp>86040.T</stp>
        <stp>安値</stp>
        <tr r="C40" s="10"/>
        <tr r="I199" s="5"/>
        <tr r="I40" s="4"/>
      </tp>
      <tp>
        <v>1323</v>
        <stp/>
        <stp>Market</stp>
        <stp>STOCK</stp>
        <stp>87040.T</stp>
        <stp>安値</stp>
        <tr r="C164" s="10"/>
        <tr r="I38" s="4"/>
        <tr r="I19" s="5"/>
      </tp>
      <tp>
        <v>5542</v>
        <stp/>
        <stp>Market</stp>
        <stp>STOCK</stp>
        <stp>99840.T</stp>
        <stp>安値</stp>
        <tr r="I53" s="5"/>
        <tr r="I8" s="4"/>
        <tr r="C65" s="10"/>
      </tp>
      <tp>
        <v>1840</v>
        <stp/>
        <stp>Market</stp>
        <stp>STOCK</stp>
        <stp>90640.T</stp>
        <stp>安値</stp>
        <tr r="C189" s="10"/>
        <tr r="I163" s="5"/>
        <tr r="I4" s="4"/>
      </tp>
      <tp>
        <v>5900</v>
        <stp/>
        <stp>Market</stp>
        <stp>STOCK</stp>
        <stp>91040.T</stp>
        <stp>安値</stp>
        <tr r="C259" s="10"/>
      </tp>
      <tp>
        <v>112</v>
        <stp/>
        <stp>Market</stp>
        <stp>STOCK</stp>
        <stp>94240.T</stp>
        <stp>安値</stp>
        <tr r="I15" s="5"/>
        <tr r="C70" s="10"/>
        <tr r="I20" s="4"/>
      </tp>
      <tp>
        <v>2792.5</v>
        <stp/>
        <stp>Market</stp>
        <stp>STOCK</stp>
        <stp>94040.T</stp>
        <stp>安値</stp>
        <tr r="I23" s="4"/>
        <tr r="I78" s="5"/>
        <tr r="C119" s="10"/>
      </tp>
      <tp>
        <v>4390</v>
        <stp/>
        <stp>Market</stp>
        <stp>STOCK</stp>
        <stp>23260.T</stp>
        <stp>始値</stp>
        <tr r="C237" s="8"/>
      </tp>
      <tp>
        <v>158</v>
        <stp/>
        <stp>Market</stp>
        <stp>STOCK</stp>
        <stp>39360.T</stp>
        <stp>始値</stp>
        <tr r="C245" s="8"/>
      </tp>
      <tp>
        <v>3650</v>
        <stp/>
        <stp>Market</stp>
        <stp>STOCK</stp>
        <stp>34360.T</stp>
        <stp>始値</stp>
        <tr r="F4" s="5"/>
        <tr r="F181" s="4"/>
        <tr r="C28" s="8"/>
      </tp>
      <tp>
        <v>2065</v>
        <stp/>
        <stp>Market</stp>
        <stp>STOCK</stp>
        <stp>36960.T</stp>
        <stp>始値</stp>
        <tr r="C228" s="8"/>
      </tp>
      <tp>
        <v>25000</v>
        <stp/>
        <stp>Market</stp>
        <stp>STOCK</stp>
        <stp>49660.T</stp>
        <stp>始値</stp>
        <tr r="F34" s="5"/>
        <tr r="C196" s="8"/>
        <tr r="F150" s="4"/>
      </tp>
      <tp>
        <v>1856</v>
        <stp/>
        <stp>Market</stp>
        <stp>STOCK</stp>
        <stp>45360.T</stp>
        <stp>始値</stp>
        <tr r="F125" s="5"/>
        <tr r="C67" s="8"/>
        <tr r="F158" s="4"/>
      </tp>
      <tp>
        <v>4084</v>
        <stp/>
        <stp>Market</stp>
        <stp>STOCK</stp>
        <stp>46760.T</stp>
        <stp>始値</stp>
        <tr r="F177" s="5"/>
        <tr r="C58" s="8"/>
        <tr r="F155" s="4"/>
      </tp>
      <tp>
        <v>2724</v>
        <stp/>
        <stp>Market</stp>
        <stp>STOCK</stp>
        <stp>47760.T</stp>
        <stp>始値</stp>
        <tr r="C253" s="8"/>
      </tp>
      <tp>
        <v>1952</v>
        <stp/>
        <stp>Market</stp>
        <stp>STOCK</stp>
        <stp>54060.T</stp>
        <stp>始値</stp>
        <tr r="C38" s="8"/>
        <tr r="F139" s="4"/>
        <tr r="F95" s="5"/>
      </tp>
      <tp>
        <v>34800</v>
        <stp/>
        <stp>Market</stp>
        <stp>STOCK</stp>
        <stp>57060.T</stp>
        <stp>始値</stp>
        <tr r="F131" s="4"/>
        <tr r="C6" s="8"/>
        <tr r="F11" s="5"/>
      </tp>
      <tp>
        <v>61800</v>
        <stp/>
        <stp>Market</stp>
        <stp>STOCK</stp>
        <stp>61460.T</stp>
        <stp>始値</stp>
        <tr r="F120" s="5"/>
        <tr r="F113" s="4"/>
        <tr r="C197" s="8"/>
      </tp>
      <tp>
        <v>690</v>
        <stp/>
        <stp>Market</stp>
        <stp>STOCK</stp>
        <stp>63660.T</stp>
        <stp>始値</stp>
        <tr r="C260" s="8"/>
      </tp>
      <tp>
        <v>4035</v>
        <stp/>
        <stp>Market</stp>
        <stp>STOCK</stp>
        <stp>63760.T</stp>
        <stp>始値</stp>
        <tr r="C269" s="8"/>
      </tp>
      <tp>
        <v>1363</v>
        <stp/>
        <stp>Market</stp>
        <stp>STOCK</stp>
        <stp>63560.T</stp>
        <stp>始値</stp>
        <tr r="C267" s="8"/>
      </tp>
      <tp>
        <v>3907</v>
        <stp/>
        <stp>Market</stp>
        <stp>STOCK</stp>
        <stp>64360.T</stp>
        <stp>始値</stp>
        <tr r="F155" s="5"/>
        <tr r="C178" s="8"/>
        <tr r="F102" s="4"/>
      </tp>
      <tp>
        <v>5284</v>
        <stp/>
        <stp>Market</stp>
        <stp>STOCK</stp>
        <stp>65060.T</stp>
        <stp>始値</stp>
        <tr r="F98" s="4"/>
        <tr r="C201" s="8"/>
        <tr r="F20" s="5"/>
      </tp>
      <tp>
        <v>5950</v>
        <stp/>
        <stp>Market</stp>
        <stp>STOCK</stp>
        <stp>65160.T</stp>
        <stp>始値</stp>
        <tr r="F96" s="4"/>
        <tr r="C151" s="8"/>
        <tr r="F29" s="5"/>
      </tp>
      <tp>
        <v>10280</v>
        <stp/>
        <stp>Market</stp>
        <stp>STOCK</stp>
        <stp>67360.T</stp>
        <stp>始値</stp>
        <tr r="C287" s="8"/>
      </tp>
      <tp>
        <v>3150</v>
        <stp/>
        <stp>Market</stp>
        <stp>STOCK</stp>
        <stp>67060.T</stp>
        <stp>始値</stp>
        <tr r="C291" s="8"/>
      </tp>
      <tp>
        <v>1768</v>
        <stp/>
        <stp>Market</stp>
        <stp>STOCK</stp>
        <stp>78460.T</stp>
        <stp>始値</stp>
        <tr r="F202" s="5"/>
        <tr r="C75" s="8"/>
        <tr r="F64" s="4"/>
      </tp>
      <tp>
        <v>7500</v>
        <stp/>
        <stp>Market</stp>
        <stp>STOCK</stp>
        <stp>78060.T</stp>
        <stp>始値</stp>
        <tr r="C73" s="8"/>
        <tr r="F65" s="4"/>
        <tr r="F55" s="5"/>
      </tp>
      <tp>
        <v>1515</v>
        <stp/>
        <stp>Market</stp>
        <stp>STOCK</stp>
        <stp>72360.T</stp>
        <stp>始値</stp>
        <tr r="F137" s="5"/>
        <tr r="F72" s="4"/>
        <tr r="C177" s="8"/>
      </tp>
      <tp>
        <v>737</v>
        <stp/>
        <stp>Market</stp>
        <stp>STOCK</stp>
        <stp>77460.T</stp>
        <stp>始値</stp>
        <tr r="F144" s="5"/>
        <tr r="F67" s="4"/>
        <tr r="C93" s="8"/>
      </tp>
      <tp>
        <v>3541</v>
        <stp/>
        <stp>Market</stp>
        <stp>STOCK</stp>
        <stp>83060.T</stp>
        <stp>始値</stp>
        <tr r="F53" s="4"/>
        <tr r="C45" s="8"/>
        <tr r="F201" s="5"/>
      </tp>
      <tp>
        <v>6700</v>
        <stp/>
        <stp>Market</stp>
        <stp>STOCK</stp>
        <stp>83160.T</stp>
        <stp>始値</stp>
        <tr r="F70" s="5"/>
        <tr r="C50" s="8"/>
        <tr r="F50" s="4"/>
      </tp>
      <tp>
        <v>7715</v>
        <stp/>
        <stp>Market</stp>
        <stp>STOCK</stp>
        <stp>87660.T</stp>
        <stp>始値</stp>
        <tr r="F35" s="4"/>
        <tr r="F174" s="5"/>
        <tr r="C52" s="8"/>
      </tp>
      <tp>
        <v>1021</v>
        <stp/>
        <stp>Market</stp>
        <stp>STOCK</stp>
        <stp>94160.T</stp>
        <stp>始値</stp>
        <tr r="C126" s="8"/>
        <tr r="F107" s="5"/>
        <tr r="F21" s="4"/>
      </tp>
      <tp>
        <v>2356</v>
        <stp/>
        <stp>Market</stp>
        <stp>STOCK</stp>
        <stp>95360.T</stp>
        <stp>始値</stp>
        <tr r="C185" s="8"/>
        <tr r="F13" s="4"/>
        <tr r="F160" s="5"/>
      </tp>
      <tp>
        <v>1178.5</v>
        <stp/>
        <stp>Market</stp>
        <stp>STOCK</stp>
        <stp>95060.T</stp>
        <stp>始値</stp>
        <tr r="F16" s="4"/>
        <tr r="C186" s="8"/>
        <tr r="F193" s="5"/>
      </tp>
      <tp>
        <v>635.5</v>
        <stp/>
        <stp>Market</stp>
        <stp>STOCK</stp>
        <stp>21270.T</stp>
        <stp>安値</stp>
        <tr r="C187" s="10"/>
        <tr r="I161" s="5"/>
        <tr r="I196" s="4"/>
      </tp>
      <tp>
        <v>2760</v>
        <stp/>
        <stp>Market</stp>
        <stp>STOCK</stp>
        <stp>22670.T</stp>
        <stp>安値</stp>
        <tr r="C226" s="10"/>
      </tp>
      <tp>
        <v>3643</v>
        <stp/>
        <stp>Market</stp>
        <stp>STOCK</stp>
        <stp>23270.T</stp>
        <stp>安値</stp>
        <tr r="I194" s="4"/>
        <tr r="I154" s="5"/>
        <tr r="C174" s="10"/>
      </tp>
      <tp>
        <v>3711</v>
        <stp/>
        <stp>Market</stp>
        <stp>STOCK</stp>
        <stp>31070.T</stp>
        <stp>安値</stp>
        <tr r="I186" s="4"/>
        <tr r="I13" s="5"/>
        <tr r="C60" s="10"/>
      </tp>
      <tp>
        <v>4133</v>
        <stp/>
        <stp>Market</stp>
        <stp>STOCK</stp>
        <stp>33970.T</stp>
        <stp>安値</stp>
        <tr r="C285" s="10"/>
      </tp>
      <tp>
        <v>1635</v>
        <stp/>
        <stp>Market</stp>
        <stp>STOCK</stp>
        <stp>34070.T</stp>
        <stp>安値</stp>
        <tr r="I182" s="4"/>
        <tr r="I183" s="5"/>
        <tr r="C94" s="10"/>
      </tp>
      <tp>
        <v>2591</v>
        <stp/>
        <stp>Market</stp>
        <stp>STOCK</stp>
        <stp>14070.T</stp>
        <stp>安値</stp>
        <tr r="C217" s="10"/>
      </tp>
      <tp>
        <v>31910</v>
        <stp/>
        <stp>Market</stp>
        <stp>STOCK</stp>
        <stp>68570.T</stp>
        <stp>安値</stp>
        <tr r="I113" s="5"/>
        <tr r="I83" s="4"/>
        <tr r="C158" s="10"/>
      </tp>
      <tp>
        <v>3185</v>
        <stp/>
        <stp>Market</stp>
        <stp>STOCK</stp>
        <stp>69970.T</stp>
        <stp>安値</stp>
        <tr r="C272" s="10"/>
      </tp>
      <tp>
        <v>2340</v>
        <stp/>
        <stp>Market</stp>
        <stp>STOCK</stp>
        <stp>60270.T</stp>
        <stp>安値</stp>
        <tr r="I116" s="4"/>
        <tr r="C72" s="10"/>
        <tr r="I98" s="5"/>
      </tp>
      <tp>
        <v>6950</v>
        <stp/>
        <stp>Market</stp>
        <stp>STOCK</stp>
        <stp>62270.T</stp>
        <stp>安値</stp>
        <tr r="I108" s="5"/>
        <tr r="I110" s="4"/>
        <tr r="C132" s="10"/>
      </tp>
      <tp>
        <v>9130</v>
        <stp/>
        <stp>Market</stp>
        <stp>STOCK</stp>
        <stp>63870.T</stp>
        <stp>安値</stp>
        <tr r="I103" s="4"/>
        <tr r="I62" s="5"/>
        <tr r="C147" s="10"/>
      </tp>
      <tp>
        <v>3145</v>
        <stp/>
        <stp>Market</stp>
        <stp>STOCK</stp>
        <stp>63270.T</stp>
        <stp>安値</stp>
        <tr r="I27" s="5"/>
        <tr r="I105" s="4"/>
        <tr r="C133" s="10"/>
      </tp>
      <tp>
        <v>6350</v>
        <stp/>
        <stp>Market</stp>
        <stp>STOCK</stp>
        <stp>64070.T</stp>
        <stp>安値</stp>
        <tr r="C295" s="10"/>
      </tp>
      <tp>
        <v>13900</v>
        <stp/>
        <stp>Market</stp>
        <stp>STOCK</stp>
        <stp>65070.T</stp>
        <stp>安値</stp>
        <tr r="I97" s="4"/>
        <tr r="I64" s="5"/>
        <tr r="C183" s="10"/>
      </tp>
      <tp>
        <v>22680</v>
        <stp/>
        <stp>Market</stp>
        <stp>STOCK</stp>
        <stp>67870.T</stp>
        <stp>安値</stp>
        <tr r="C145" s="10"/>
        <tr r="I86" s="4"/>
        <tr r="I10" s="5"/>
      </tp>
      <tp>
        <v>19450</v>
        <stp/>
        <stp>Market</stp>
        <stp>STOCK</stp>
        <stp>67770.T</stp>
        <stp>安値</stp>
        <tr r="I87" s="4"/>
        <tr r="C144" s="10"/>
        <tr r="I130" s="5"/>
      </tp>
      <tp>
        <v>1556.5</v>
        <stp/>
        <stp>Market</stp>
        <stp>STOCK</stp>
        <stp>71670.T</stp>
        <stp>安値</stp>
        <tr r="I101" s="5"/>
        <tr r="I75" s="4"/>
        <tr r="C82" s="10"/>
      </tp>
      <tp>
        <v>1603</v>
        <stp/>
        <stp>Market</stp>
        <stp>STOCK</stp>
        <stp>48870.T</stp>
        <stp>安値</stp>
        <tr r="I152" s="4"/>
        <tr r="C192" s="10"/>
        <tr r="I195" s="5"/>
      </tp>
      <tp>
        <v>2861</v>
        <stp/>
        <stp>Market</stp>
        <stp>STOCK</stp>
        <stp>40470.T</stp>
        <stp>安値</stp>
        <tr r="C289" s="10"/>
      </tp>
      <tp>
        <v>4629</v>
        <stp/>
        <stp>Market</stp>
        <stp>STOCK</stp>
        <stp>43070.T</stp>
        <stp>安値</stp>
        <tr r="I151" s="5"/>
        <tr r="C150" s="10"/>
        <tr r="I166" s="4"/>
      </tp>
      <tp>
        <v>4250</v>
        <stp/>
        <stp>Market</stp>
        <stp>STOCK</stp>
        <stp>44170.T</stp>
        <stp>安値</stp>
        <tr r="I163" s="4"/>
        <tr r="C153" s="10"/>
        <tr r="I112" s="5"/>
      </tp>
      <tp>
        <v>3380</v>
        <stp/>
        <stp>Market</stp>
        <stp>STOCK</stp>
        <stp>58570.T</stp>
        <stp>安値</stp>
        <tr r="I122" s="4"/>
        <tr r="C62" s="10"/>
        <tr r="I52" s="5"/>
      </tp>
      <tp>
        <v>3496</v>
        <stp/>
        <stp>Market</stp>
        <stp>STOCK</stp>
        <stp>59470.T</stp>
        <stp>安値</stp>
        <tr r="I96" s="5"/>
        <tr r="I117" s="4"/>
        <tr r="C42" s="10"/>
      </tp>
      <tp>
        <v>761</v>
        <stp/>
        <stp>Market</stp>
        <stp>STOCK</stp>
        <stp>80070.T</stp>
        <stp>安値</stp>
        <tr r="C281" s="10"/>
      </tp>
      <tp>
        <v>869</v>
        <stp/>
        <stp>Market</stp>
        <stp>STOCK</stp>
        <stp>92270.T</stp>
        <stp>安値</stp>
        <tr r="C111" s="10"/>
        <tr r="I25" s="4"/>
        <tr r="I146" s="5"/>
      </tp>
      <tp>
        <v>4395</v>
        <stp/>
        <stp>Market</stp>
        <stp>STOCK</stp>
        <stp>96870.T</stp>
        <stp>安値</stp>
        <tr r="C162" s="10"/>
        <tr r="I44" s="5"/>
        <tr r="I11" s="4"/>
      </tp>
      <tp>
        <v>4533</v>
        <stp/>
        <stp>Market</stp>
        <stp>STOCK</stp>
        <stp>19250.T</stp>
        <stp>始値</stp>
        <tr r="F181" s="5"/>
        <tr r="F202" s="4"/>
        <tr r="C83" s="8"/>
      </tp>
      <tp>
        <v>3400</v>
        <stp/>
        <stp>Market</stp>
        <stp>STOCK</stp>
        <stp>16050.T</stp>
        <stp>始値</stp>
        <tr r="C12" s="8"/>
        <tr r="F206" s="4"/>
        <tr r="F166" s="5"/>
      </tp>
      <tp>
        <v>2210</v>
        <stp/>
        <stp>Market</stp>
        <stp>STOCK</stp>
        <stp>39050.T</stp>
        <stp>始値</stp>
        <tr r="C284" s="8"/>
      </tp>
      <tp>
        <v>1836</v>
        <stp/>
        <stp>Market</stp>
        <stp>STOCK</stp>
        <stp>40450.T</stp>
        <stp>始値</stp>
        <tr r="F174" s="4"/>
        <tr r="F178" s="5"/>
        <tr r="C61" s="8"/>
      </tp>
      <tp>
        <v>2539.5</v>
        <stp/>
        <stp>Market</stp>
        <stp>STOCK</stp>
        <stp>69650.T</stp>
        <stp>始値</stp>
        <tr r="C300" s="8"/>
      </tp>
      <tp>
        <v>401</v>
        <stp/>
        <stp>Market</stp>
        <stp>STOCK</stp>
        <stp>69550.T</stp>
        <stp>始値</stp>
        <tr r="C265" s="8"/>
      </tp>
      <tp>
        <v>4150</v>
        <stp/>
        <stp>Market</stp>
        <stp>STOCK</stp>
        <stp>69250.T</stp>
        <stp>始値</stp>
        <tr r="F42" s="5"/>
        <tr r="F80" s="4"/>
        <tr r="C105" s="8"/>
      </tp>
      <tp>
        <v>76</v>
        <stp/>
        <stp>Market</stp>
        <stp>STOCK</stp>
        <stp>60850.T</stp>
        <stp>始値</stp>
        <tr r="F115" s="4"/>
        <tr r="C137" s="8"/>
        <tr r="F150" s="5"/>
      </tp>
      <tp>
        <v>2359</v>
        <stp/>
        <stp>Market</stp>
        <stp>STOCK</stp>
        <stp>60550.T</stp>
        <stp>始値</stp>
        <tr r="C224" s="8"/>
      </tp>
      <tp>
        <v>15280</v>
        <stp/>
        <stp>Market</stp>
        <stp>STOCK</stp>
        <stp>61350.T</stp>
        <stp>始値</stp>
        <tr r="C223" s="8"/>
      </tp>
      <tp>
        <v>5422</v>
        <stp/>
        <stp>Market</stp>
        <stp>STOCK</stp>
        <stp>63050.T</stp>
        <stp>始値</stp>
        <tr r="F107" s="4"/>
        <tr r="F85" s="5"/>
        <tr r="C203" s="8"/>
      </tp>
      <tp>
        <v>1587</v>
        <stp/>
        <stp>Market</stp>
        <stp>STOCK</stp>
        <stp>64850.T</stp>
        <stp>始値</stp>
        <tr r="F6" s="4"/>
        <tr r="C191" s="8"/>
        <tr r="F194" s="5"/>
      </tp>
      <tp>
        <v>1151</v>
        <stp/>
        <stp>Market</stp>
        <stp>STOCK</stp>
        <stp>73750.T</stp>
        <stp>始値</stp>
        <tr r="F190" s="5"/>
        <tr r="F71" s="4"/>
        <tr r="C149" s="8"/>
      </tp>
      <tp>
        <v>3200</v>
        <stp/>
        <stp>Market</stp>
        <stp>STOCK</stp>
        <stp>76850.T</stp>
        <stp>始値</stp>
        <tr r="F69" s="4"/>
        <tr r="F148" s="5"/>
        <tr r="C121" s="8"/>
      </tp>
      <tp>
        <v>13380</v>
        <stp/>
        <stp>Market</stp>
        <stp>STOCK</stp>
        <stp>77350.T</stp>
        <stp>始値</stp>
        <tr r="C283" s="8"/>
      </tp>
      <tp>
        <v>56550</v>
        <stp/>
        <stp>Market</stp>
        <stp>STOCK</stp>
        <stp>80350.T</stp>
        <stp>始値</stp>
        <tr r="C198" s="8"/>
        <tr r="F35" s="5"/>
        <tr r="F60" s="4"/>
      </tp>
      <tp>
        <v>1817</v>
        <stp/>
        <stp>Market</stp>
        <stp>STOCK</stp>
        <stp>80050.T</stp>
        <stp>始値</stp>
        <tr r="C236" s="8"/>
      </tp>
      <tp>
        <v>7066</v>
        <stp/>
        <stp>Market</stp>
        <stp>STOCK</stp>
        <stp>80150.T</stp>
        <stp>始値</stp>
        <tr r="F61" s="4"/>
        <tr r="F65" s="5"/>
        <tr r="C204" s="8"/>
      </tp>
      <tp>
        <v>5038</v>
        <stp/>
        <stp>Market</stp>
        <stp>STOCK</stp>
        <stp>87950.T</stp>
        <stp>始値</stp>
        <tr r="F34" s="4"/>
        <tr r="C23" s="8"/>
        <tr r="F91" s="5"/>
      </tp>
      <tp>
        <v>4788</v>
        <stp/>
        <stp>Market</stp>
        <stp>STOCK</stp>
        <stp>87250.T</stp>
        <stp>始値</stp>
        <tr r="F37" s="4"/>
        <tr r="F168" s="5"/>
        <tr r="C22" s="8"/>
      </tp>
      <tp>
        <v>1772</v>
        <stp/>
        <stp>Market</stp>
        <stp>STOCK</stp>
        <stp>91650.T</stp>
        <stp>始値</stp>
        <tr r="C243" s="8"/>
      </tp>
      <tp>
        <v>882</v>
        <stp/>
        <stp>Market</stp>
        <stp>STOCK</stp>
        <stp>91150.T</stp>
        <stp>始値</stp>
        <tr r="C270" s="8"/>
      </tp>
      <tp>
        <v>910</v>
        <stp/>
        <stp>Market</stp>
        <stp>STOCK</stp>
        <stp>95050.T</stp>
        <stp>始値</stp>
        <tr r="F157" s="5"/>
        <tr r="C181" s="8"/>
        <tr r="F17" s="4"/>
      </tp>
      <tp>
        <v>4345</v>
        <stp/>
        <stp>Market</stp>
        <stp>STOCK</stp>
        <stp>23260.T</stp>
        <stp>安値</stp>
        <tr r="C237" s="10"/>
      </tp>
      <tp>
        <v>155</v>
        <stp/>
        <stp>Market</stp>
        <stp>STOCK</stp>
        <stp>39360.T</stp>
        <stp>安値</stp>
        <tr r="C245" s="10"/>
      </tp>
      <tp>
        <v>3427</v>
        <stp/>
        <stp>Market</stp>
        <stp>STOCK</stp>
        <stp>34360.T</stp>
        <stp>安値</stp>
        <tr r="I181" s="4"/>
        <tr r="I4" s="5"/>
        <tr r="C28" s="10"/>
      </tp>
      <tp>
        <v>2051</v>
        <stp/>
        <stp>Market</stp>
        <stp>STOCK</stp>
        <stp>36960.T</stp>
        <stp>安値</stp>
        <tr r="C228" s="10"/>
      </tp>
      <tp>
        <v>60700</v>
        <stp/>
        <stp>Market</stp>
        <stp>STOCK</stp>
        <stp>61460.T</stp>
        <stp>安値</stp>
        <tr r="I113" s="4"/>
        <tr r="I120" s="5"/>
        <tr r="C197" s="10"/>
      </tp>
      <tp>
        <v>690</v>
        <stp/>
        <stp>Market</stp>
        <stp>STOCK</stp>
        <stp>63660.T</stp>
        <stp>安値</stp>
        <tr r="C260" s="10"/>
      </tp>
      <tp>
        <v>3985</v>
        <stp/>
        <stp>Market</stp>
        <stp>STOCK</stp>
        <stp>63760.T</stp>
        <stp>安値</stp>
        <tr r="C269" s="10"/>
      </tp>
      <tp>
        <v>1352</v>
        <stp/>
        <stp>Market</stp>
        <stp>STOCK</stp>
        <stp>63560.T</stp>
        <stp>安値</stp>
        <tr r="C267" s="10"/>
      </tp>
      <tp>
        <v>3869</v>
        <stp/>
        <stp>Market</stp>
        <stp>STOCK</stp>
        <stp>64360.T</stp>
        <stp>安値</stp>
        <tr r="I155" s="5"/>
        <tr r="I102" s="4"/>
        <tr r="C178" s="10"/>
      </tp>
      <tp>
        <v>5161</v>
        <stp/>
        <stp>Market</stp>
        <stp>STOCK</stp>
        <stp>65060.T</stp>
        <stp>安値</stp>
        <tr r="I98" s="4"/>
        <tr r="C201" s="10"/>
        <tr r="I20" s="5"/>
      </tp>
      <tp>
        <v>5870</v>
        <stp/>
        <stp>Market</stp>
        <stp>STOCK</stp>
        <stp>65160.T</stp>
        <stp>安値</stp>
        <tr r="C151" s="10"/>
        <tr r="I29" s="5"/>
        <tr r="I96" s="4"/>
      </tp>
      <tp>
        <v>10280</v>
        <stp/>
        <stp>Market</stp>
        <stp>STOCK</stp>
        <stp>67360.T</stp>
        <stp>安値</stp>
        <tr r="C287" s="10"/>
      </tp>
      <tp>
        <v>3150</v>
        <stp/>
        <stp>Market</stp>
        <stp>STOCK</stp>
        <stp>67060.T</stp>
        <stp>安値</stp>
        <tr r="C291" s="10"/>
      </tp>
      <tp>
        <v>1768</v>
        <stp/>
        <stp>Market</stp>
        <stp>STOCK</stp>
        <stp>78460.T</stp>
        <stp>安値</stp>
        <tr r="I64" s="4"/>
        <tr r="I202" s="5"/>
        <tr r="C75" s="10"/>
      </tp>
      <tp>
        <v>7450</v>
        <stp/>
        <stp>Market</stp>
        <stp>STOCK</stp>
        <stp>78060.T</stp>
        <stp>安値</stp>
        <tr r="I55" s="5"/>
        <tr r="I65" s="4"/>
        <tr r="C73" s="10"/>
      </tp>
      <tp>
        <v>1504</v>
        <stp/>
        <stp>Market</stp>
        <stp>STOCK</stp>
        <stp>72360.T</stp>
        <stp>安値</stp>
        <tr r="I72" s="4"/>
        <tr r="I137" s="5"/>
        <tr r="C177" s="10"/>
      </tp>
      <tp>
        <v>724</v>
        <stp/>
        <stp>Market</stp>
        <stp>STOCK</stp>
        <stp>77460.T</stp>
        <stp>安値</stp>
        <tr r="I67" s="4"/>
        <tr r="I144" s="5"/>
        <tr r="C93" s="10"/>
      </tp>
      <tp>
        <v>24000</v>
        <stp/>
        <stp>Market</stp>
        <stp>STOCK</stp>
        <stp>49660.T</stp>
        <stp>安値</stp>
        <tr r="I150" s="4"/>
        <tr r="I34" s="5"/>
        <tr r="C196" s="10"/>
      </tp>
      <tp>
        <v>1851.5</v>
        <stp/>
        <stp>Market</stp>
        <stp>STOCK</stp>
        <stp>45360.T</stp>
        <stp>安値</stp>
        <tr r="I125" s="5"/>
        <tr r="I158" s="4"/>
        <tr r="C67" s="10"/>
      </tp>
      <tp>
        <v>4003</v>
        <stp/>
        <stp>Market</stp>
        <stp>STOCK</stp>
        <stp>46760.T</stp>
        <stp>安値</stp>
        <tr r="I177" s="5"/>
        <tr r="I155" s="4"/>
        <tr r="C58" s="10"/>
      </tp>
      <tp>
        <v>2664</v>
        <stp/>
        <stp>Market</stp>
        <stp>STOCK</stp>
        <stp>47760.T</stp>
        <stp>安値</stp>
        <tr r="C253" s="10"/>
      </tp>
      <tp>
        <v>1942</v>
        <stp/>
        <stp>Market</stp>
        <stp>STOCK</stp>
        <stp>54060.T</stp>
        <stp>安値</stp>
        <tr r="I95" s="5"/>
        <tr r="I139" s="4"/>
        <tr r="C38" s="10"/>
      </tp>
      <tp>
        <v>31720</v>
        <stp/>
        <stp>Market</stp>
        <stp>STOCK</stp>
        <stp>57060.T</stp>
        <stp>安値</stp>
        <tr r="I11" s="5"/>
        <tr r="I131" s="4"/>
        <tr r="C6" s="10"/>
      </tp>
      <tp>
        <v>3538</v>
        <stp/>
        <stp>Market</stp>
        <stp>STOCK</stp>
        <stp>83060.T</stp>
        <stp>安値</stp>
        <tr r="I53" s="4"/>
        <tr r="I201" s="5"/>
        <tr r="C45" s="10"/>
      </tp>
      <tp>
        <v>6681</v>
        <stp/>
        <stp>Market</stp>
        <stp>STOCK</stp>
        <stp>83160.T</stp>
        <stp>安値</stp>
        <tr r="C50" s="10"/>
        <tr r="I50" s="4"/>
        <tr r="I70" s="5"/>
      </tp>
      <tp>
        <v>7700</v>
        <stp/>
        <stp>Market</stp>
        <stp>STOCK</stp>
        <stp>87660.T</stp>
        <stp>安値</stp>
        <tr r="I35" s="4"/>
        <tr r="C52" s="10"/>
        <tr r="I174" s="5"/>
      </tp>
      <tp>
        <v>1014</v>
        <stp/>
        <stp>Market</stp>
        <stp>STOCK</stp>
        <stp>94160.T</stp>
        <stp>安値</stp>
        <tr r="I107" s="5"/>
        <tr r="I21" s="4"/>
        <tr r="C126" s="10"/>
      </tp>
      <tp>
        <v>2325</v>
        <stp/>
        <stp>Market</stp>
        <stp>STOCK</stp>
        <stp>95360.T</stp>
        <stp>安値</stp>
        <tr r="C185" s="10"/>
        <tr r="I160" s="5"/>
        <tr r="I13" s="4"/>
      </tp>
      <tp>
        <v>1174.5</v>
        <stp/>
        <stp>Market</stp>
        <stp>STOCK</stp>
        <stp>95060.T</stp>
        <stp>安値</stp>
        <tr r="I16" s="4"/>
        <tr r="C186" s="10"/>
        <tr r="I193" s="5"/>
      </tp>
      <tp>
        <v>7350</v>
        <stp/>
        <stp>Market</stp>
        <stp>STOCK</stp>
        <stp>19440.T</stp>
        <stp>始値</stp>
        <tr r="C304" s="8"/>
      </tp>
      <tp>
        <v>588</v>
        <stp/>
        <stp>Market</stp>
        <stp>STOCK</stp>
        <stp>15140.T</stp>
        <stp>始値</stp>
        <tr r="C262" s="8"/>
      </tp>
      <tp>
        <v>6943</v>
        <stp/>
        <stp>Market</stp>
        <stp>STOCK</stp>
        <stp>29140.T</stp>
        <stp>始値</stp>
        <tr r="C87" s="8"/>
        <tr r="F182" s="5"/>
        <tr r="F189" s="4"/>
      </tp>
      <tp>
        <v>1176</v>
        <stp/>
        <stp>Market</stp>
        <stp>STOCK</stp>
        <stp>38640.T</stp>
        <stp>始値</stp>
        <tr r="C271" s="8"/>
      </tp>
      <tp>
        <v>2200</v>
        <stp/>
        <stp>Market</stp>
        <stp>STOCK</stp>
        <stp>38540.T</stp>
        <stp>始値</stp>
        <tr r="F180" s="4"/>
        <tr r="C71" s="8"/>
        <tr r="F54" s="5"/>
      </tp>
      <tp>
        <v>1852</v>
        <stp/>
        <stp>Market</stp>
        <stp>STOCK</stp>
        <stp>39840.T</stp>
        <stp>始値</stp>
        <tr r="C239" s="8"/>
      </tp>
      <tp>
        <v>15955</v>
        <stp/>
        <stp>Market</stp>
        <stp>STOCK</stp>
        <stp>40040.T</stp>
        <stp>始値</stp>
        <tr r="C213" s="8"/>
      </tp>
      <tp>
        <v>3339</v>
        <stp/>
        <stp>Market</stp>
        <stp>STOCK</stp>
        <stp>45440.T</stp>
        <stp>始値</stp>
        <tr r="C273" s="8"/>
      </tp>
      <tp>
        <v>6538</v>
        <stp/>
        <stp>Market</stp>
        <stp>STOCK</stp>
        <stp>47040.T</stp>
        <stp>始値</stp>
        <tr r="C254" s="8"/>
      </tp>
      <tp>
        <v>4651</v>
        <stp/>
        <stp>Market</stp>
        <stp>STOCK</stp>
        <stp>58440.T</stp>
        <stp>始値</stp>
        <tr r="F123" s="4"/>
        <tr r="C118" s="8"/>
        <tr r="F61" s="5"/>
      </tp>
      <tp>
        <v>8664</v>
        <stp/>
        <stp>Market</stp>
        <stp>STOCK</stp>
        <stp>57140.T</stp>
        <stp>始値</stp>
        <tr r="C10" s="8"/>
        <tr r="F47" s="5"/>
        <tr r="F128" s="4"/>
      </tp>
      <tp>
        <v>6500</v>
        <stp/>
        <stp>Market</stp>
        <stp>STOCK</stp>
        <stp>69540.T</stp>
        <stp>始値</stp>
        <tr r="C78" s="8"/>
        <tr r="F79" s="4"/>
        <tr r="F16" s="5"/>
      </tp>
      <tp>
        <v>8280</v>
        <stp/>
        <stp>Market</stp>
        <stp>STOCK</stp>
        <stp>61340.T</stp>
        <stp>始値</stp>
        <tr r="C92" s="8"/>
        <tr r="F114" s="4"/>
        <tr r="F25" s="5"/>
      </tp>
      <tp>
        <v>4535</v>
        <stp/>
        <stp>Market</stp>
        <stp>STOCK</stp>
        <stp>62540.T</stp>
        <stp>始値</stp>
        <tr r="F5" s="5"/>
        <tr r="C30" s="8"/>
        <tr r="F108" s="4"/>
      </tp>
      <tp>
        <v>7400</v>
        <stp/>
        <stp>Market</stp>
        <stp>STOCK</stp>
        <stp>63240.T</stp>
        <stp>始値</stp>
        <tr r="C210" s="8"/>
      </tp>
      <tp>
        <v>5610</v>
        <stp/>
        <stp>Market</stp>
        <stp>STOCK</stp>
        <stp>66740.T</stp>
        <stp>始値</stp>
        <tr r="C264" s="8"/>
      </tp>
      <tp>
        <v>4690</v>
        <stp/>
        <stp>Market</stp>
        <stp>STOCK</stp>
        <stp>67440.T</stp>
        <stp>始値</stp>
        <tr r="C120" s="8"/>
        <tr r="F91" s="4"/>
        <tr r="F106" s="5"/>
      </tp>
      <tp>
        <v>3572</v>
        <stp/>
        <stp>Market</stp>
        <stp>STOCK</stp>
        <stp>67540.T</stp>
        <stp>始値</stp>
        <tr r="C155" s="8"/>
        <tr r="F89" s="4"/>
        <tr r="F31" s="5"/>
      </tp>
      <tp>
        <v>4195</v>
        <stp/>
        <stp>Market</stp>
        <stp>STOCK</stp>
        <stp>70140.T</stp>
        <stp>始値</stp>
        <tr r="C256" s="8"/>
      </tp>
      <tp>
        <v>1405</v>
        <stp/>
        <stp>Market</stp>
        <stp>STOCK</stp>
        <stp>74140.T</stp>
        <stp>始値</stp>
        <tr r="C294" s="8"/>
      </tp>
      <tp>
        <v>891</v>
        <stp/>
        <stp>Market</stp>
        <stp>STOCK</stp>
        <stp>77940.T</stp>
        <stp>始値</stp>
        <tr r="F66" s="4"/>
        <tr r="F80" s="5"/>
        <tr r="C136" s="8"/>
      </tp>
      <tp>
        <v>2434</v>
        <stp/>
        <stp>Market</stp>
        <stp>STOCK</stp>
        <stp>89340.T</stp>
        <stp>始値</stp>
        <tr r="F31" s="4"/>
        <tr r="F149" s="5"/>
        <tr r="C125" s="8"/>
      </tp>
      <tp>
        <v>4030</v>
        <stp/>
        <stp>Market</stp>
        <stp>STOCK</stp>
        <stp>83440.T</stp>
        <stp>始値</stp>
        <tr r="C293" s="8"/>
      </tp>
      <tp>
        <v>2565</v>
        <stp/>
        <stp>Market</stp>
        <stp>STOCK</stp>
        <stp>83340.T</stp>
        <stp>始値</stp>
        <tr r="C122" s="8"/>
        <tr r="F49" s="4"/>
        <tr r="F204" s="5"/>
      </tp>
      <tp>
        <v>4394</v>
        <stp/>
        <stp>Market</stp>
        <stp>STOCK</stp>
        <stp>84240.T</stp>
        <stp>始値</stp>
        <tr r="F185" s="5"/>
        <tr r="F46" s="4"/>
        <tr r="C108" s="8"/>
      </tp>
      <tp>
        <v>1551.5</v>
        <stp/>
        <stp>Market</stp>
        <stp>STOCK</stp>
        <stp>86040.T</stp>
        <stp>始値</stp>
        <tr r="C40" s="8"/>
        <tr r="F40" s="4"/>
        <tr r="F199" s="5"/>
      </tp>
      <tp>
        <v>1329</v>
        <stp/>
        <stp>Market</stp>
        <stp>STOCK</stp>
        <stp>87040.T</stp>
        <stp>始値</stp>
        <tr r="F19" s="5"/>
        <tr r="F38" s="4"/>
        <tr r="C164" s="8"/>
      </tp>
      <tp>
        <v>5760</v>
        <stp/>
        <stp>Market</stp>
        <stp>STOCK</stp>
        <stp>99840.T</stp>
        <stp>始値</stp>
        <tr r="C65" s="8"/>
        <tr r="F53" s="5"/>
        <tr r="F8" s="4"/>
      </tp>
      <tp>
        <v>1890</v>
        <stp/>
        <stp>Market</stp>
        <stp>STOCK</stp>
        <stp>90640.T</stp>
        <stp>始値</stp>
        <tr r="F4" s="4"/>
        <tr r="C189" s="8"/>
        <tr r="F163" s="5"/>
      </tp>
      <tp>
        <v>5920</v>
        <stp/>
        <stp>Market</stp>
        <stp>STOCK</stp>
        <stp>91040.T</stp>
        <stp>始値</stp>
        <tr r="C259" s="8"/>
      </tp>
      <tp>
        <v>114</v>
        <stp/>
        <stp>Market</stp>
        <stp>STOCK</stp>
        <stp>94240.T</stp>
        <stp>始値</stp>
        <tr r="F20" s="4"/>
        <tr r="F15" s="5"/>
        <tr r="C70" s="8"/>
      </tp>
      <tp>
        <v>2794.5</v>
        <stp/>
        <stp>Market</stp>
        <stp>STOCK</stp>
        <stp>94040.T</stp>
        <stp>始値</stp>
        <tr r="F23" s="4"/>
        <tr r="F78" s="5"/>
        <tr r="C119" s="8"/>
      </tp>
      <tp>
        <v>6730</v>
        <stp/>
        <stp>Market</stp>
        <stp>STOCK</stp>
        <stp>38910.T</stp>
        <stp>安値</stp>
        <tr r="C159" s="10"/>
        <tr r="I177" s="4"/>
        <tr r="I43" s="5"/>
      </tp>
      <tp>
        <v>857.8</v>
        <stp/>
        <stp>Market</stp>
        <stp>STOCK</stp>
        <stp>38610.T</stp>
        <stp>安値</stp>
        <tr r="I179" s="4"/>
        <tr r="C41" s="10"/>
        <tr r="I123" s="5"/>
      </tp>
      <tp>
        <v>1571.5</v>
        <stp/>
        <stp>Market</stp>
        <stp>STOCK</stp>
        <stp>39410.T</stp>
        <stp>安値</stp>
        <tr r="C48" s="10"/>
        <tr r="I176" s="4"/>
        <tr r="I142" s="5"/>
      </tp>
      <tp>
        <v>1631</v>
        <stp/>
        <stp>Market</stp>
        <stp>STOCK</stp>
        <stp>34010.T</stp>
        <stp>安値</stp>
        <tr r="I184" s="4"/>
        <tr r="C27" s="10"/>
        <tr r="I169" s="5"/>
      </tp>
      <tp>
        <v>2367</v>
        <stp/>
        <stp>Market</stp>
        <stp>STOCK</stp>
        <stp>19610.T</stp>
        <stp>安値</stp>
        <tr r="I51" s="5"/>
        <tr r="C59" s="10"/>
        <tr r="I198" s="4"/>
      </tp>
      <tp>
        <v>67190</v>
        <stp/>
        <stp>Market</stp>
        <stp>STOCK</stp>
        <stp>13210.T</stp>
        <stp>安値</stp>
        <tr r="C303" s="10"/>
      </tp>
      <tp>
        <v>85530</v>
        <stp/>
        <stp>Market</stp>
        <stp>STOCK</stp>
        <stp>68610.T</stp>
        <stp>安値</stp>
        <tr r="C209" s="10"/>
      </tp>
      <tp>
        <v>5210</v>
        <stp/>
        <stp>Market</stp>
        <stp>STOCK</stp>
        <stp>68410.T</stp>
        <stp>安値</stp>
        <tr r="I84" s="4"/>
        <tr r="I100" s="5"/>
        <tr r="C81" s="10"/>
      </tp>
      <tp>
        <v>7050</v>
        <stp/>
        <stp>Market</stp>
        <stp>STOCK</stp>
        <stp>69810.T</stp>
        <stp>安値</stp>
        <tr r="I78" s="4"/>
        <tr r="I30" s="5"/>
        <tr r="C154" s="10"/>
      </tp>
      <tp>
        <v>5681</v>
        <stp/>
        <stp>Market</stp>
        <stp>STOCK</stp>
        <stp>63610.T</stp>
        <stp>安値</stp>
        <tr r="C249" s="10"/>
      </tp>
      <tp>
        <v>3240</v>
        <stp/>
        <stp>Market</stp>
        <stp>STOCK</stp>
        <stp>63310.T</stp>
        <stp>安値</stp>
        <tr r="C301" s="10"/>
      </tp>
      <tp>
        <v>3140</v>
        <stp/>
        <stp>Market</stp>
        <stp>STOCK</stp>
        <stp>65210.T</stp>
        <stp>安値</stp>
        <tr r="C242" s="10"/>
      </tp>
      <tp>
        <v>5424</v>
        <stp/>
        <stp>Market</stp>
        <stp>STOCK</stp>
        <stp>65010.T</stp>
        <stp>安値</stp>
        <tr r="I100" s="4"/>
        <tr r="I126" s="5"/>
        <tr r="C91" s="10"/>
      </tp>
      <tp>
        <v>4619</v>
        <stp/>
        <stp>Market</stp>
        <stp>STOCK</stp>
        <stp>67010.T</stp>
        <stp>安値</stp>
        <tr r="I93" s="4"/>
        <tr r="I139" s="5"/>
        <tr r="C11" s="10"/>
      </tp>
      <tp>
        <v>2999</v>
        <stp/>
        <stp>Market</stp>
        <stp>STOCK</stp>
        <stp>79810.T</stp>
        <stp>安値</stp>
        <tr r="C171" s="10"/>
        <tr r="I63" s="4"/>
        <tr r="I116" s="5"/>
      </tp>
      <tp>
        <v>2051</v>
        <stp/>
        <stp>Market</stp>
        <stp>STOCK</stp>
        <stp>70210.T</stp>
        <stp>安値</stp>
        <tr r="I76" s="4"/>
        <tr r="C106" s="10"/>
        <tr r="I76" s="5"/>
      </tp>
      <tp>
        <v>3976</v>
        <stp/>
        <stp>Market</stp>
        <stp>STOCK</stp>
        <stp>70110.T</stp>
        <stp>安値</stp>
        <tr r="I197" s="5"/>
        <tr r="C207" s="10"/>
        <tr r="I77" s="4"/>
      </tp>
      <tp>
        <v>1709</v>
        <stp/>
        <stp>Market</stp>
        <stp>STOCK</stp>
        <stp>71810.T</stp>
        <stp>安値</stp>
        <tr r="C190" s="10"/>
        <tr r="I5" s="4"/>
        <tr r="I119" s="5"/>
      </tp>
      <tp>
        <v>1166</v>
        <stp/>
        <stp>Market</stp>
        <stp>STOCK</stp>
        <stp>73810.T</stp>
        <stp>安値</stp>
        <tr r="I63" s="5"/>
        <tr r="I70" s="4"/>
        <tr r="C152" s="10"/>
      </tp>
      <tp>
        <v>24950</v>
        <stp/>
        <stp>Market</stp>
        <stp>STOCK</stp>
        <stp>77410.T</stp>
        <stp>安値</stp>
        <tr r="C302" s="10"/>
      </tp>
      <tp>
        <v>4380</v>
        <stp/>
        <stp>Market</stp>
        <stp>STOCK</stp>
        <stp>77110.T</stp>
        <stp>安値</stp>
        <tr r="C268" s="10"/>
      </tp>
      <tp>
        <v>5921</v>
        <stp/>
        <stp>Market</stp>
        <stp>STOCK</stp>
        <stp>40910.T</stp>
        <stp>安値</stp>
        <tr r="I169" s="4"/>
        <tr r="C157" s="10"/>
        <tr r="I152" s="5"/>
      </tp>
      <tp>
        <v>2888.5</v>
        <stp/>
        <stp>Market</stp>
        <stp>STOCK</stp>
        <stp>46610.T</stp>
        <stp>安値</stp>
        <tr r="I103" s="5"/>
        <tr r="I156" s="4"/>
        <tr r="C101" s="10"/>
      </tp>
      <tp>
        <v>3436</v>
        <stp/>
        <stp>Market</stp>
        <stp>STOCK</stp>
        <stp>58010.T</stp>
        <stp>安値</stp>
        <tr r="C200" s="10"/>
        <tr r="I127" s="4"/>
        <tr r="I45" s="5"/>
      </tp>
      <tp>
        <v>4170</v>
        <stp/>
        <stp>Market</stp>
        <stp>STOCK</stp>
        <stp>59010.T</stp>
        <stp>安値</stp>
        <tr r="C55" s="10"/>
        <tr r="I120" s="4"/>
        <tr r="I71" s="5"/>
      </tp>
      <tp>
        <v>3762</v>
        <stp/>
        <stp>Market</stp>
        <stp>STOCK</stp>
        <stp>50210.T</stp>
        <stp>安値</stp>
        <tr r="I88" s="5"/>
        <tr r="I146" s="4"/>
        <tr r="C15" s="10"/>
      </tp>
      <tp>
        <v>5698</v>
        <stp/>
        <stp>Market</stp>
        <stp>STOCK</stp>
        <stp>52010.T</stp>
        <stp>安値</stp>
        <tr r="C53" s="10"/>
        <tr r="I145" s="4"/>
        <tr r="I175" s="5"/>
      </tp>
      <tp>
        <v>663.5</v>
        <stp/>
        <stp>Market</stp>
        <stp>STOCK</stp>
        <stp>54010.T</stp>
        <stp>安値</stp>
        <tr r="C46" s="10"/>
        <tr r="I173" s="5"/>
        <tr r="I140" s="4"/>
      </tp>
      <tp>
        <v>1822</v>
        <stp/>
        <stp>Market</stp>
        <stp>STOCK</stp>
        <stp>54110.T</stp>
        <stp>安値</stp>
        <tr r="C84" s="10"/>
        <tr r="I7" s="5"/>
        <tr r="I137" s="4"/>
      </tp>
      <tp>
        <v>2437</v>
        <stp/>
        <stp>Market</stp>
        <stp>STOCK</stp>
        <stp>55410.T</stp>
        <stp>安値</stp>
        <tr r="I133" s="4"/>
        <tr r="C20" s="10"/>
        <tr r="I90" s="5"/>
      </tp>
      <tp>
        <v>7633</v>
        <stp/>
        <stp>Market</stp>
        <stp>STOCK</stp>
        <stp>56310.T</stp>
        <stp>安値</stp>
        <tr r="C263" s="10"/>
      </tp>
      <tp>
        <v>4345</v>
        <stp/>
        <stp>Market</stp>
        <stp>STOCK</stp>
        <stp>57110.T</stp>
        <stp>安値</stp>
        <tr r="I130" s="4"/>
        <tr r="C9" s="10"/>
        <tr r="I87" s="5"/>
      </tp>
      <tp>
        <v>3220</v>
        <stp/>
        <stp>Market</stp>
        <stp>STOCK</stp>
        <stp>88710.T</stp>
        <stp>安値</stp>
        <tr r="C278" s="10"/>
      </tp>
      <tp>
        <v>1475.5</v>
        <stp/>
        <stp>Market</stp>
        <stp>STOCK</stp>
        <stp>88010.T</stp>
        <stp>安値</stp>
        <tr r="I33" s="4"/>
        <tr r="I129" s="5"/>
        <tr r="C124" s="10"/>
      </tp>
      <tp>
        <v>2331</v>
        <stp/>
        <stp>Market</stp>
        <stp>STOCK</stp>
        <stp>80910.T</stp>
        <stp>安値</stp>
        <tr r="C182" s="10"/>
        <tr r="I158" s="5"/>
        <tr r="I57" s="4"/>
      </tp>
      <tp>
        <v>1565</v>
        <stp/>
        <stp>Market</stp>
        <stp>STOCK</stp>
        <stp>81410.T</stp>
        <stp>安値</stp>
        <tr r="C292" s="10"/>
      </tp>
      <tp>
        <v>1069</v>
        <stp/>
        <stp>Market</stp>
        <stp>STOCK</stp>
        <stp>82810.T</stp>
        <stp>安値</stp>
        <tr r="I55" s="4"/>
        <tr r="I179" s="5"/>
        <tr r="C63" s="10"/>
      </tp>
      <tp>
        <v>8417</v>
        <stp/>
        <stp>Market</stp>
        <stp>STOCK</stp>
        <stp>84110.T</stp>
        <stp>安値</stp>
        <tr r="I47" s="4"/>
        <tr r="I66" s="5"/>
        <tr r="C19" s="10"/>
      </tp>
      <tp>
        <v>6472</v>
        <stp/>
        <stp>Market</stp>
        <stp>STOCK</stp>
        <stp>85910.T</stp>
        <stp>安値</stp>
        <tr r="I43" s="4"/>
        <tr r="I67" s="5"/>
        <tr r="C26" s="10"/>
      </tp>
      <tp>
        <v>1790</v>
        <stp/>
        <stp>Market</stp>
        <stp>STOCK</stp>
        <stp>86010.T</stp>
        <stp>安値</stp>
        <tr r="I41" s="4"/>
        <tr r="I198" s="5"/>
        <tr r="C33" s="10"/>
      </tp>
      <tp>
        <v>5735</v>
        <stp/>
        <stp>Market</stp>
        <stp>STOCK</stp>
        <stp>91010.T</stp>
        <stp>安値</stp>
        <tr r="I27" s="4"/>
        <tr r="I164" s="5"/>
        <tr r="C206" s="10"/>
      </tp>
      <tp>
        <v>3250</v>
        <stp/>
        <stp>Market</stp>
        <stp>STOCK</stp>
        <stp>95510.T</stp>
        <stp>安値</stp>
        <tr r="I134" s="5"/>
        <tr r="I12" s="4"/>
        <tr r="C167" s="10"/>
      </tp>
      <tp>
        <v>5925</v>
        <stp/>
        <stp>Market</stp>
        <stp>STOCK</stp>
        <stp>95310.T</stp>
        <stp>安値</stp>
        <tr r="C115" s="10"/>
        <tr r="I15" s="4"/>
        <tr r="I203" s="5"/>
      </tp>
      <tp>
        <v>518.9</v>
        <stp/>
        <stp>Market</stp>
        <stp>STOCK</stp>
        <stp>95010.T</stp>
        <stp>安値</stp>
        <tr r="I18" s="4"/>
        <tr r="C114" s="10"/>
        <tr r="I105" s="5"/>
      </tp>
      <tp>
        <v>5750</v>
        <stp/>
        <stp>Market</stp>
        <stp>STOCK</stp>
        <stp>18330.T</stp>
        <stp>始値</stp>
        <tr r="F180" s="5"/>
        <tr r="F203" s="4"/>
        <tr r="C80" s="8"/>
      </tp>
      <tp>
        <v>2327</v>
        <stp/>
        <stp>Market</stp>
        <stp>STOCK</stp>
        <stp>19630.T</stp>
        <stp>始値</stp>
        <tr r="F197" s="4"/>
        <tr r="C86" s="8"/>
        <tr r="F40" s="5"/>
      </tp>
      <tp>
        <v>1090</v>
        <stp/>
        <stp>Market</stp>
        <stp>STOCK</stp>
        <stp>29330.T</stp>
        <stp>始値</stp>
        <tr r="C288" s="8"/>
      </tp>
      <tp>
        <v>1281</v>
        <stp/>
        <stp>Market</stp>
        <stp>STOCK</stp>
        <stp>38630.T</stp>
        <stp>始値</stp>
        <tr r="F178" s="4"/>
        <tr r="C32" s="8"/>
        <tr r="F21" s="5"/>
      </tp>
      <tp>
        <v>1715.5</v>
        <stp/>
        <stp>Market</stp>
        <stp>STOCK</stp>
        <stp>30030.T</stp>
        <stp>始値</stp>
        <tr r="F143" s="5"/>
        <tr r="F188" s="4"/>
        <tr r="C88" s="8"/>
      </tp>
      <tp>
        <v>964</v>
        <stp/>
        <stp>Market</stp>
        <stp>STOCK</stp>
        <stp>31030.T</stp>
        <stp>始値</stp>
        <tr r="F187" s="4"/>
        <tr r="C138" s="8"/>
        <tr r="F81" s="5"/>
      </tp>
      <tp>
        <v>6001</v>
        <stp/>
        <stp>Market</stp>
        <stp>STOCK</stp>
        <stp>35630.T</stp>
        <stp>始値</stp>
        <tr r="C230" s="8"/>
      </tp>
      <tp>
        <v>6093</v>
        <stp/>
        <stp>Market</stp>
        <stp>STOCK</stp>
        <stp>40630.T</stp>
        <stp>始値</stp>
        <tr r="F172" s="4"/>
        <tr r="F14" s="5"/>
        <tr r="C66" s="8"/>
      </tp>
      <tp>
        <v>1097</v>
        <stp/>
        <stp>Market</stp>
        <stp>STOCK</stp>
        <stp>43730.T</stp>
        <stp>始値</stp>
        <tr r="F82" s="5"/>
        <tr r="F165" s="4"/>
        <tr r="C160" s="8"/>
      </tp>
      <tp>
        <v>4501</v>
        <stp/>
        <stp>Market</stp>
        <stp>STOCK</stp>
        <stp>45230.T</stp>
        <stp>始値</stp>
        <tr r="F160" s="4"/>
        <tr r="F184" s="5"/>
        <tr r="C99" s="8"/>
      </tp>
      <tp>
        <v>7750</v>
        <stp/>
        <stp>Market</stp>
        <stp>STOCK</stp>
        <stp>47330.T</stp>
        <stp>始値</stp>
        <tr r="F133" s="5"/>
        <tr r="C165" s="8"/>
        <tr r="F153" s="4"/>
      </tp>
      <tp>
        <v>4833</v>
        <stp/>
        <stp>Market</stp>
        <stp>STOCK</stp>
        <stp>58030.T</stp>
        <stp>始値</stp>
        <tr r="F125" s="4"/>
        <tr r="F58" s="5"/>
        <tr r="C103" s="8"/>
      </tp>
      <tp>
        <v>2260</v>
        <stp/>
        <stp>Market</stp>
        <stp>STOCK</stp>
        <stp>52430.T</stp>
        <stp>始値</stp>
        <tr r="C193" s="8"/>
        <tr r="F138" s="5"/>
        <tr r="F143" s="4"/>
      </tp>
      <tp>
        <v>1525</v>
        <stp/>
        <stp>Market</stp>
        <stp>STOCK</stp>
        <stp>52530.T</stp>
        <stp>始値</stp>
        <tr r="C258" s="8"/>
      </tp>
      <tp>
        <v>4020</v>
        <stp/>
        <stp>Market</stp>
        <stp>STOCK</stp>
        <stp>52330.T</stp>
        <stp>始値</stp>
        <tr r="F144" s="4"/>
        <tr r="C34" s="8"/>
        <tr r="F170" s="5"/>
      </tp>
      <tp>
        <v>5856</v>
        <stp/>
        <stp>Market</stp>
        <stp>STOCK</stp>
        <stp>53330.T</stp>
        <stp>始値</stp>
        <tr r="F37" s="5"/>
        <tr r="C17" s="8"/>
        <tr r="F141" s="4"/>
      </tp>
      <tp>
        <v>1736</v>
        <stp/>
        <stp>Market</stp>
        <stp>STOCK</stp>
        <stp>54230.T</stp>
        <stp>始値</stp>
        <tr r="F136" s="4"/>
        <tr r="F165" s="5"/>
        <tr r="C7" s="8"/>
      </tp>
      <tp>
        <v>2930</v>
        <stp/>
        <stp>Market</stp>
        <stp>STOCK</stp>
        <stp>57030.T</stp>
        <stp>始値</stp>
        <tr r="C13" s="8"/>
        <tr r="F132" s="4"/>
        <tr r="F48" s="5"/>
      </tp>
      <tp>
        <v>8820</v>
        <stp/>
        <stp>Market</stp>
        <stp>STOCK</stp>
        <stp>57130.T</stp>
        <stp>始値</stp>
        <tr r="C8" s="8"/>
        <tr r="F46" s="5"/>
        <tr r="F129" s="4"/>
      </tp>
      <tp>
        <v>74890</v>
        <stp/>
        <stp>Market</stp>
        <stp>STOCK</stp>
        <stp>62730.T</stp>
        <stp>始値</stp>
        <tr r="C211" s="8"/>
      </tp>
      <tp>
        <v>1451</v>
        <stp/>
        <stp>Market</stp>
        <stp>STOCK</stp>
        <stp>62030.T</stp>
        <stp>始値</stp>
        <tr r="F111" s="4"/>
        <tr r="F50" s="5"/>
        <tr r="C57" s="8"/>
      </tp>
      <tp>
        <v>4293</v>
        <stp/>
        <stp>Market</stp>
        <stp>STOCK</stp>
        <stp>63230.T</stp>
        <stp>始値</stp>
        <tr r="C90" s="8"/>
        <tr r="F106" s="4"/>
        <tr r="F41" s="5"/>
      </tp>
      <tp>
        <v>5925</v>
        <stp/>
        <stp>Market</stp>
        <stp>STOCK</stp>
        <stp>65030.T</stp>
        <stp>始値</stp>
        <tr r="C68" s="8"/>
        <tr r="F99" s="4"/>
        <tr r="F39" s="5"/>
      </tp>
      <tp>
        <v>1720</v>
        <stp/>
        <stp>Market</stp>
        <stp>STOCK</stp>
        <stp>66130.T</stp>
        <stp>始値</stp>
        <tr r="F94" s="4"/>
        <tr r="F3" s="5"/>
        <tr r="C141" s="8"/>
      </tp>
      <tp>
        <v>619</v>
        <stp/>
        <stp>Market</stp>
        <stp>STOCK</stp>
        <stp>67530.T</stp>
        <stp>始値</stp>
        <tr r="C188" s="8"/>
        <tr r="F90" s="4"/>
        <tr r="F162" s="5"/>
      </tp>
      <tp>
        <v>2739</v>
        <stp/>
        <stp>Market</stp>
        <stp>STOCK</stp>
        <stp>70130.T</stp>
        <stp>始値</stp>
        <tr r="C231" s="8"/>
      </tp>
      <tp>
        <v>2930</v>
        <stp/>
        <stp>Market</stp>
        <stp>STOCK</stp>
        <stp>72030.T</stp>
        <stp>始値</stp>
        <tr r="F73" s="5"/>
        <tr r="C77" s="8"/>
        <tr r="F73" s="4"/>
      </tp>
      <tp>
        <v>1713</v>
        <stp/>
        <stp>Market</stp>
        <stp>STOCK</stp>
        <stp>80530.T</stp>
        <stp>始値</stp>
        <tr r="F49" s="5"/>
        <tr r="C25" s="8"/>
        <tr r="F59" s="4"/>
      </tp>
      <tp>
        <v>890</v>
        <stp/>
        <stp>Market</stp>
        <stp>STOCK</stp>
        <stp>81030.T</stp>
        <stp>始値</stp>
        <tr r="C169" s="8"/>
        <tr r="F56" s="4"/>
        <tr r="F136" s="5"/>
      </tp>
      <tp>
        <v>1525</v>
        <stp/>
        <stp>Market</stp>
        <stp>STOCK</stp>
        <stp>83030.T</stp>
        <stp>始値</stp>
        <tr r="C172" s="8"/>
        <tr r="F191" s="5"/>
        <tr r="F54" s="4"/>
      </tp>
      <tp>
        <v>1410</v>
        <stp/>
        <stp>Market</stp>
        <stp>STOCK</stp>
        <stp>85930.T</stp>
        <stp>始値</stp>
        <tr r="F171" s="5"/>
        <tr r="F42" s="4"/>
        <tr r="C39" s="8"/>
      </tp>
      <tp>
        <v>4025</v>
        <stp/>
        <stp>Market</stp>
        <stp>STOCK</stp>
        <stp>87930.T</stp>
        <stp>始値</stp>
        <tr r="C232" s="8"/>
      </tp>
      <tp>
        <v>2285</v>
        <stp/>
        <stp>Market</stp>
        <stp>STOCK</stp>
        <stp>97330.T</stp>
        <stp>始値</stp>
        <tr r="F153" s="5"/>
        <tr r="F10" s="4"/>
        <tr r="C166" s="8"/>
      </tp>
      <tp>
        <v>2600</v>
        <stp/>
        <stp>Market</stp>
        <stp>STOCK</stp>
        <stp>21600.T</stp>
        <stp>安値</stp>
        <tr r="C131" s="10"/>
        <tr r="I195" s="4"/>
        <tr r="I187" s="5"/>
      </tp>
      <tp>
        <v>2873</v>
        <stp/>
        <stp>Market</stp>
        <stp>STOCK</stp>
        <stp>31100.T</stp>
        <stp>安値</stp>
        <tr r="C134" s="10"/>
        <tr r="I109" s="5"/>
        <tr r="I185" s="4"/>
      </tp>
      <tp>
        <v>1506</v>
        <stp/>
        <stp>Market</stp>
        <stp>STOCK</stp>
        <stp>19300.T</stp>
        <stp>安値</stp>
        <tr r="I83" s="5"/>
        <tr r="C163" s="10"/>
        <tr r="I201" s="4"/>
      </tp>
      <tp>
        <v>67030</v>
        <stp/>
        <stp>Market</stp>
        <stp>STOCK</stp>
        <stp>15700.T</stp>
        <stp>安値</stp>
        <tr r="C222" s="10"/>
      </tp>
      <tp>
        <v>8720</v>
        <stp/>
        <stp>Market</stp>
        <stp>STOCK</stp>
        <stp>68900.T</stp>
        <stp>安値</stp>
        <tr r="I33" s="5"/>
        <tr r="I82" s="4"/>
        <tr r="C195" s="10"/>
      </tp>
      <tp>
        <v>43250</v>
        <stp/>
        <stp>Market</stp>
        <stp>STOCK</stp>
        <stp>69200.T</stp>
        <stp>安値</stp>
        <tr r="I81" s="4"/>
        <tr r="I84" s="5"/>
        <tr r="C199" s="10"/>
      </tp>
      <tp>
        <v>1173</v>
        <stp/>
        <stp>Market</stp>
        <stp>STOCK</stp>
        <stp>61400.T</stp>
        <stp>安値</stp>
        <tr r="C261" s="10"/>
      </tp>
      <tp>
        <v>8950</v>
        <stp/>
        <stp>Market</stp>
        <stp>STOCK</stp>
        <stp>63700.T</stp>
        <stp>安値</stp>
        <tr r="C255" s="10"/>
      </tp>
      <tp>
        <v>2002</v>
        <stp/>
        <stp>Market</stp>
        <stp>STOCK</stp>
        <stp>63300.T</stp>
        <stp>安値</stp>
        <tr r="I186" s="5"/>
        <tr r="C128" s="10"/>
        <tr r="I104" s="4"/>
      </tp>
      <tp>
        <v>47</v>
        <stp/>
        <stp>Market</stp>
        <stp>STOCK</stp>
        <stp>67400.T</stp>
        <stp>安値</stp>
        <tr r="I189" s="5"/>
        <tr r="C140" s="10"/>
        <tr r="I92" s="4"/>
      </tp>
      <tp>
        <v>2461.5</v>
        <stp/>
        <stp>Market</stp>
        <stp>STOCK</stp>
        <stp>72700.T</stp>
        <stp>安値</stp>
        <tr r="C286" s="10"/>
      </tp>
      <tp>
        <v>3056</v>
        <stp/>
        <stp>Market</stp>
        <stp>STOCK</stp>
        <stp>49800.T</stp>
        <stp>安値</stp>
        <tr r="I72" s="5"/>
        <tr r="C69" s="10"/>
        <tr r="I149" s="4"/>
      </tp>
      <tp>
        <v>3717</v>
        <stp/>
        <stp>Market</stp>
        <stp>STOCK</stp>
        <stp>45400.T</stp>
        <stp>安値</stp>
        <tr r="C64" s="10"/>
        <tr r="I124" s="5"/>
        <tr r="I157" s="4"/>
      </tp>
      <tp>
        <v>1271</v>
        <stp/>
        <stp>Market</stp>
        <stp>STOCK</stp>
        <stp>50200.T</stp>
        <stp>安値</stp>
        <tr r="C29" s="10"/>
        <tr r="I141" s="5"/>
        <tr r="I147" s="4"/>
      </tp>
      <tp>
        <v>1851</v>
        <stp/>
        <stp>Market</stp>
        <stp>STOCK</stp>
        <stp>54400.T</stp>
        <stp>安値</stp>
        <tr r="C180" s="10"/>
        <tr r="I135" s="4"/>
        <tr r="I156" s="5"/>
      </tp>
      <tp>
        <v>2833</v>
        <stp/>
        <stp>Market</stp>
        <stp>STOCK</stp>
        <stp>54100.T</stp>
        <stp>安値</stp>
        <tr r="I118" s="5"/>
        <tr r="I138" s="4"/>
        <tr r="C179" s="10"/>
      </tp>
      <tp>
        <v>1541.5</v>
        <stp/>
        <stp>Market</stp>
        <stp>STOCK</stp>
        <stp>85700.T</stp>
        <stp>安値</stp>
        <tr r="I45" s="4"/>
        <tr r="I94" s="5"/>
        <tr r="C37" s="10"/>
      </tp>
      <tp>
        <v>6916</v>
        <stp/>
        <stp>Market</stp>
        <stp>STOCK</stp>
        <stp>86300.T</stp>
        <stp>安値</stp>
        <tr r="I176" s="5"/>
        <tr r="I39" s="4"/>
        <tr r="C54" s="10"/>
      </tp>
      <tp>
        <v>1891.5</v>
        <stp/>
        <stp>Market</stp>
        <stp>STOCK</stp>
        <stp>87500.T</stp>
        <stp>安値</stp>
        <tr r="I200" s="5"/>
        <tr r="I36" s="4"/>
        <tr r="C43" s="10"/>
      </tp>
      <tp>
        <v>3655</v>
        <stp/>
        <stp>Market</stp>
        <stp>STOCK</stp>
        <stp>98800.T</stp>
        <stp>安値</stp>
        <tr r="C257" s="10"/>
      </tp>
      <tp>
        <v>3380</v>
        <stp/>
        <stp>Market</stp>
        <stp>STOCK</stp>
        <stp>90200.T</stp>
        <stp>安値</stp>
        <tr r="I30" s="4"/>
        <tr r="I104" s="5"/>
        <tr r="C109" s="10"/>
      </tp>
      <tp>
        <v>5170</v>
        <stp/>
        <stp>Market</stp>
        <stp>STOCK</stp>
        <stp>18120.T</stp>
        <stp>始値</stp>
        <tr r="F121" s="5"/>
        <tr r="F204" s="4"/>
        <tr r="C208" s="8"/>
      </tp>
      <tp>
        <v>5815</v>
        <stp/>
        <stp>Market</stp>
        <stp>STOCK</stp>
        <stp>19420.T</stp>
        <stp>始値</stp>
        <tr r="F32" s="5"/>
        <tr r="F199" s="4"/>
        <tr r="C175" s="8"/>
      </tp>
      <tp>
        <v>1681</v>
        <stp/>
        <stp>Market</stp>
        <stp>STOCK</stp>
        <stp>16620.T</stp>
        <stp>始値</stp>
        <tr r="F205" s="4"/>
        <tr r="F122" s="5"/>
        <tr r="C18" s="8"/>
      </tp>
      <tp>
        <v>5350</v>
        <stp/>
        <stp>Market</stp>
        <stp>STOCK</stp>
        <stp>28020.T</stp>
        <stp>始値</stp>
        <tr r="C76" s="8"/>
        <tr r="F190" s="4"/>
        <tr r="F23" s="5"/>
      </tp>
      <tp>
        <v>8080</v>
        <stp/>
        <stp>Market</stp>
        <stp>STOCK</stp>
        <stp>27020.T</stp>
        <stp>始値</stp>
        <tr r="F196" s="5"/>
        <tr r="F192" s="4"/>
        <tr r="C194" s="8"/>
      </tp>
      <tp>
        <v>4150</v>
        <stp/>
        <stp>Market</stp>
        <stp>STOCK</stp>
        <stp>30020.T</stp>
        <stp>始値</stp>
        <tr r="C277" s="8"/>
      </tp>
      <tp>
        <v>1188</v>
        <stp/>
        <stp>Market</stp>
        <stp>STOCK</stp>
        <stp>34020.T</stp>
        <stp>始値</stp>
        <tr r="F183" s="4"/>
        <tr r="C44" s="8"/>
        <tr r="F172" s="5"/>
      </tp>
      <tp>
        <v>1909</v>
        <stp/>
        <stp>Market</stp>
        <stp>STOCK</stp>
        <stp>40820.T</stp>
        <stp>始値</stp>
        <tr r="C129" s="8"/>
        <tr r="F171" s="4"/>
        <tr r="F9" s="5"/>
      </tp>
      <tp>
        <v>19980</v>
        <stp/>
        <stp>Market</stp>
        <stp>STOCK</stp>
        <stp>40620.T</stp>
        <stp>始値</stp>
        <tr r="F56" s="5"/>
        <tr r="F173" s="4"/>
        <tr r="C96" s="8"/>
      </tp>
      <tp>
        <v>4652</v>
        <stp/>
        <stp>Market</stp>
        <stp>STOCK</stp>
        <stp>41820.T</stp>
        <stp>始値</stp>
        <tr r="F168" s="4"/>
        <tr r="F75" s="5"/>
        <tr r="C97" s="8"/>
      </tp>
      <tp>
        <v>605</v>
        <stp/>
        <stp>Market</stp>
        <stp>STOCK</stp>
        <stp>42220.T</stp>
        <stp>始値</stp>
        <tr r="C229" s="8"/>
      </tp>
      <tp>
        <v>713</v>
        <stp/>
        <stp>Market</stp>
        <stp>STOCK</stp>
        <stp>43820.T</stp>
        <stp>始値</stp>
        <tr r="F164" s="4"/>
        <tr r="C173" s="8"/>
        <tr r="F192" s="5"/>
      </tp>
      <tp>
        <v>935</v>
        <stp/>
        <stp>Market</stp>
        <stp>STOCK</stp>
        <stp>43920.T</stp>
        <stp>始値</stp>
        <tr r="C235" s="8"/>
      </tp>
      <tp>
        <v>565</v>
        <stp/>
        <stp>Market</stp>
        <stp>STOCK</stp>
        <stp>44220.T</stp>
        <stp>始値</stp>
        <tr r="F162" s="4"/>
        <tr r="C139" s="8"/>
        <tr r="F188" s="5"/>
      </tp>
      <tp>
        <v>5402</v>
        <stp/>
        <stp>Market</stp>
        <stp>STOCK</stp>
        <stp>45020.T</stp>
        <stp>始値</stp>
        <tr r="C212" s="8"/>
      </tp>
      <tp>
        <v>2213</v>
        <stp/>
        <stp>Market</stp>
        <stp>STOCK</stp>
        <stp>58920.T</stp>
        <stp>始値</stp>
        <tr r="C89" s="8"/>
        <tr r="F74" s="5"/>
        <tr r="F121" s="4"/>
      </tp>
      <tp>
        <v>2234</v>
        <stp/>
        <stp>Market</stp>
        <stp>STOCK</stp>
        <stp>58020.T</stp>
        <stp>始値</stp>
        <tr r="F57" s="5"/>
        <tr r="F126" s="4"/>
        <tr r="C102" s="8"/>
      </tp>
      <tp>
        <v>6504</v>
        <stp/>
        <stp>Market</stp>
        <stp>STOCK</stp>
        <stp>53320.T</stp>
        <stp>始値</stp>
        <tr r="F12" s="5"/>
        <tr r="F142" s="4"/>
        <tr r="C21" s="8"/>
      </tp>
      <tp>
        <v>2268</v>
        <stp/>
        <stp>Market</stp>
        <stp>STOCK</stp>
        <stp>56320.T</stp>
        <stp>始値</stp>
        <tr r="C247" s="8"/>
      </tp>
      <tp>
        <v>1780</v>
        <stp/>
        <stp>Market</stp>
        <stp>STOCK</stp>
        <stp>57020.T</stp>
        <stp>始値</stp>
        <tr r="C275" s="8"/>
      </tp>
      <tp>
        <v>2260</v>
        <stp/>
        <stp>Market</stp>
        <stp>STOCK</stp>
        <stp>68620.T</stp>
        <stp>始値</stp>
        <tr r="C225" s="8"/>
      </tp>
      <tp>
        <v>1902</v>
        <stp/>
        <stp>Market</stp>
        <stp>STOCK</stp>
        <stp>69020.T</stp>
        <stp>始値</stp>
        <tr r="C244" s="8"/>
      </tp>
      <tp>
        <v>1800</v>
        <stp/>
        <stp>Market</stp>
        <stp>STOCK</stp>
        <stp>62320.T</stp>
        <stp>始値</stp>
        <tr r="F109" s="4"/>
        <tr r="C135" s="8"/>
        <tr r="F28" s="5"/>
      </tp>
      <tp>
        <v>684</v>
        <stp/>
        <stp>Market</stp>
        <stp>STOCK</stp>
        <stp>64820.T</stp>
        <stp>始値</stp>
        <tr r="C290" s="8"/>
      </tp>
      <tp>
        <v>1665</v>
        <stp/>
        <stp>Market</stp>
        <stp>STOCK</stp>
        <stp>65220.T</stp>
        <stp>始値</stp>
        <tr r="F111" s="5"/>
        <tr r="C143" s="8"/>
        <tr r="F95" s="4"/>
      </tp>
      <tp>
        <v>14830</v>
        <stp/>
        <stp>Market</stp>
        <stp>STOCK</stp>
        <stp>66220.T</stp>
        <stp>始値</stp>
        <tr r="C216" s="8"/>
      </tp>
      <tp>
        <v>3047</v>
        <stp/>
        <stp>Market</stp>
        <stp>STOCK</stp>
        <stp>67620.T</stp>
        <stp>始値</stp>
        <tr r="C234" s="8"/>
      </tp>
      <tp>
        <v>4446</v>
        <stp/>
        <stp>Market</stp>
        <stp>STOCK</stp>
        <stp>67520.T</stp>
        <stp>始値</stp>
        <tr r="C215" s="8"/>
      </tp>
      <tp>
        <v>2886</v>
        <stp/>
        <stp>Market</stp>
        <stp>STOCK</stp>
        <stp>79720.T</stp>
        <stp>始値</stp>
        <tr r="C241" s="8"/>
      </tp>
      <tp>
        <v>3515</v>
        <stp/>
        <stp>Market</stp>
        <stp>STOCK</stp>
        <stp>79520.T</stp>
        <stp>始値</stp>
        <tr r="C276" s="8"/>
      </tp>
      <tp>
        <v>3189</v>
        <stp/>
        <stp>Market</stp>
        <stp>STOCK</stp>
        <stp>71820.T</stp>
        <stp>始値</stp>
        <tr r="C85" s="8"/>
        <tr r="F74" s="4"/>
        <tr r="F102" s="5"/>
      </tp>
      <tp>
        <v>903.6</v>
        <stp/>
        <stp>Market</stp>
        <stp>STOCK</stp>
        <stp>75320.T</stp>
        <stp>始値</stp>
        <tr r="C305" s="8"/>
      </tp>
      <tp>
        <v>1075</v>
        <stp/>
        <stp>Market</stp>
        <stp>STOCK</stp>
        <stp>88920.T</stp>
        <stp>始値</stp>
        <tr r="C161" s="8"/>
        <tr r="F32" s="4"/>
        <tr r="F114" s="5"/>
      </tp>
      <tp>
        <v>4800</v>
        <stp/>
        <stp>Market</stp>
        <stp>STOCK</stp>
        <stp>80020.T</stp>
        <stp>始値</stp>
        <tr r="F167" s="5"/>
        <tr r="F62" s="4"/>
        <tr r="C14" s="8"/>
      </tp>
      <tp>
        <v>471.6</v>
        <stp/>
        <stp>Market</stp>
        <stp>STOCK</stp>
        <stp>85720.T</stp>
        <stp>始値</stp>
        <tr r="C47" s="8"/>
        <tr r="F38" s="5"/>
        <tr r="F44" s="4"/>
      </tp>
      <tp>
        <v>1720</v>
        <stp/>
        <stp>Market</stp>
        <stp>STOCK</stp>
        <stp>98820.T</stp>
        <stp>始値</stp>
        <tr r="F128" s="5"/>
        <tr r="F9" s="4"/>
        <tr r="C116" s="8"/>
      </tp>
      <tp>
        <v>3825</v>
        <stp/>
        <stp>Market</stp>
        <stp>STOCK</stp>
        <stp>99620.T</stp>
        <stp>始値</stp>
        <tr r="C233" s="8"/>
      </tp>
      <tp>
        <v>3810</v>
        <stp/>
        <stp>Market</stp>
        <stp>STOCK</stp>
        <stp>90220.T</stp>
        <stp>始値</stp>
        <tr r="F29" s="4"/>
        <tr r="F159" s="5"/>
        <tr r="C184" s="8"/>
      </tp>
      <tp>
        <v>3165</v>
        <stp/>
        <stp>Market</stp>
        <stp>STOCK</stp>
        <stp>92020.T</stp>
        <stp>始値</stp>
        <tr r="F26" s="4"/>
        <tr r="F99" s="5"/>
        <tr r="C74" s="8"/>
      </tp>
      <tp>
        <v>2350</v>
        <stp/>
        <stp>Market</stp>
        <stp>STOCK</stp>
        <stp>94120.T</stp>
        <stp>始値</stp>
        <tr r="F22" s="4"/>
        <tr r="F22" s="5"/>
        <tr r="C56" s="8"/>
      </tp>
      <tp>
        <v>5315</v>
        <stp/>
        <stp>Market</stp>
        <stp>STOCK</stp>
        <stp>95320.T</stp>
        <stp>始値</stp>
        <tr r="C127" s="8"/>
        <tr r="F14" s="4"/>
        <tr r="F79" s="5"/>
      </tp>
      <tp>
        <v>1090</v>
        <stp/>
        <stp>Market</stp>
        <stp>STOCK</stp>
        <stp>29330.T</stp>
        <stp>安値</stp>
        <tr r="C288" s="10"/>
      </tp>
      <tp>
        <v>1251</v>
        <stp/>
        <stp>Market</stp>
        <stp>STOCK</stp>
        <stp>38630.T</stp>
        <stp>安値</stp>
        <tr r="I178" s="4"/>
        <tr r="C32" s="10"/>
        <tr r="I21" s="5"/>
      </tp>
      <tp>
        <v>1707.5</v>
        <stp/>
        <stp>Market</stp>
        <stp>STOCK</stp>
        <stp>30030.T</stp>
        <stp>安値</stp>
        <tr r="I143" s="5"/>
        <tr r="C88" s="10"/>
        <tr r="I188" s="4"/>
      </tp>
      <tp>
        <v>909</v>
        <stp/>
        <stp>Market</stp>
        <stp>STOCK</stp>
        <stp>31030.T</stp>
        <stp>安値</stp>
        <tr r="C138" s="10"/>
        <tr r="I187" s="4"/>
        <tr r="I81" s="5"/>
      </tp>
      <tp>
        <v>5786</v>
        <stp/>
        <stp>Market</stp>
        <stp>STOCK</stp>
        <stp>35630.T</stp>
        <stp>安値</stp>
        <tr r="C230" s="10"/>
      </tp>
      <tp>
        <v>5720</v>
        <stp/>
        <stp>Market</stp>
        <stp>STOCK</stp>
        <stp>18330.T</stp>
        <stp>安値</stp>
        <tr r="I203" s="4"/>
        <tr r="I180" s="5"/>
        <tr r="C80" s="10"/>
      </tp>
      <tp>
        <v>2295</v>
        <stp/>
        <stp>Market</stp>
        <stp>STOCK</stp>
        <stp>19630.T</stp>
        <stp>安値</stp>
        <tr r="I197" s="4"/>
        <tr r="C86" s="10"/>
        <tr r="I40" s="5"/>
      </tp>
      <tp>
        <v>74000</v>
        <stp/>
        <stp>Market</stp>
        <stp>STOCK</stp>
        <stp>62730.T</stp>
        <stp>安値</stp>
        <tr r="C211" s="10"/>
      </tp>
      <tp>
        <v>1416</v>
        <stp/>
        <stp>Market</stp>
        <stp>STOCK</stp>
        <stp>62030.T</stp>
        <stp>安値</stp>
        <tr r="I111" s="4"/>
        <tr r="I50" s="5"/>
        <tr r="C57" s="10"/>
      </tp>
      <tp>
        <v>4069</v>
        <stp/>
        <stp>Market</stp>
        <stp>STOCK</stp>
        <stp>63230.T</stp>
        <stp>安値</stp>
        <tr r="I106" s="4"/>
        <tr r="I41" s="5"/>
        <tr r="C90" s="10"/>
      </tp>
      <tp>
        <v>5799</v>
        <stp/>
        <stp>Market</stp>
        <stp>STOCK</stp>
        <stp>65030.T</stp>
        <stp>安値</stp>
        <tr r="I39" s="5"/>
        <tr r="I99" s="4"/>
        <tr r="C68" s="10"/>
      </tp>
      <tp>
        <v>1693</v>
        <stp/>
        <stp>Market</stp>
        <stp>STOCK</stp>
        <stp>66130.T</stp>
        <stp>安値</stp>
        <tr r="I3" s="5"/>
        <tr r="I94" s="4"/>
        <tr r="C141" s="10"/>
      </tp>
      <tp>
        <v>613.4</v>
        <stp/>
        <stp>Market</stp>
        <stp>STOCK</stp>
        <stp>67530.T</stp>
        <stp>安値</stp>
        <tr r="I90" s="4"/>
        <tr r="C188" s="10"/>
        <tr r="I162" s="5"/>
      </tp>
      <tp>
        <v>2617.5</v>
        <stp/>
        <stp>Market</stp>
        <stp>STOCK</stp>
        <stp>70130.T</stp>
        <stp>安値</stp>
        <tr r="C231" s="10"/>
      </tp>
      <tp>
        <v>2918</v>
        <stp/>
        <stp>Market</stp>
        <stp>STOCK</stp>
        <stp>72030.T</stp>
        <stp>安値</stp>
        <tr r="I73" s="5"/>
        <tr r="C77" s="10"/>
        <tr r="I73" s="4"/>
      </tp>
      <tp>
        <v>6090</v>
        <stp/>
        <stp>Market</stp>
        <stp>STOCK</stp>
        <stp>40630.T</stp>
        <stp>安値</stp>
        <tr r="C66" s="10"/>
        <tr r="I172" s="4"/>
        <tr r="I14" s="5"/>
      </tp>
      <tp>
        <v>1072</v>
        <stp/>
        <stp>Market</stp>
        <stp>STOCK</stp>
        <stp>43730.T</stp>
        <stp>安値</stp>
        <tr r="I165" s="4"/>
        <tr r="C160" s="10"/>
        <tr r="I82" s="5"/>
      </tp>
      <tp>
        <v>4479</v>
        <stp/>
        <stp>Market</stp>
        <stp>STOCK</stp>
        <stp>45230.T</stp>
        <stp>安値</stp>
        <tr r="C99" s="10"/>
        <tr r="I184" s="5"/>
        <tr r="I160" s="4"/>
      </tp>
      <tp>
        <v>7714</v>
        <stp/>
        <stp>Market</stp>
        <stp>STOCK</stp>
        <stp>47330.T</stp>
        <stp>安値</stp>
        <tr r="I133" s="5"/>
        <tr r="I153" s="4"/>
        <tr r="C165" s="10"/>
      </tp>
      <tp>
        <v>4566</v>
        <stp/>
        <stp>Market</stp>
        <stp>STOCK</stp>
        <stp>58030.T</stp>
        <stp>安値</stp>
        <tr r="I125" s="4"/>
        <tr r="I58" s="5"/>
        <tr r="C103" s="10"/>
      </tp>
      <tp>
        <v>2250</v>
        <stp/>
        <stp>Market</stp>
        <stp>STOCK</stp>
        <stp>52430.T</stp>
        <stp>安値</stp>
        <tr r="I143" s="4"/>
        <tr r="C193" s="10"/>
        <tr r="I138" s="5"/>
      </tp>
      <tp>
        <v>1516</v>
        <stp/>
        <stp>Market</stp>
        <stp>STOCK</stp>
        <stp>52530.T</stp>
        <stp>安値</stp>
        <tr r="C258" s="10"/>
      </tp>
      <tp>
        <v>4006</v>
        <stp/>
        <stp>Market</stp>
        <stp>STOCK</stp>
        <stp>52330.T</stp>
        <stp>安値</stp>
        <tr r="I144" s="4"/>
        <tr r="C34" s="10"/>
        <tr r="I170" s="5"/>
      </tp>
      <tp>
        <v>5675</v>
        <stp/>
        <stp>Market</stp>
        <stp>STOCK</stp>
        <stp>53330.T</stp>
        <stp>安値</stp>
        <tr r="I141" s="4"/>
        <tr r="I37" s="5"/>
        <tr r="C17" s="10"/>
      </tp>
      <tp>
        <v>1732</v>
        <stp/>
        <stp>Market</stp>
        <stp>STOCK</stp>
        <stp>54230.T</stp>
        <stp>安値</stp>
        <tr r="I136" s="4"/>
        <tr r="C7" s="10"/>
        <tr r="I165" s="5"/>
      </tp>
      <tp>
        <v>2916</v>
        <stp/>
        <stp>Market</stp>
        <stp>STOCK</stp>
        <stp>57030.T</stp>
        <stp>安値</stp>
        <tr r="I132" s="4"/>
        <tr r="C13" s="10"/>
        <tr r="I48" s="5"/>
      </tp>
      <tp>
        <v>8800</v>
        <stp/>
        <stp>Market</stp>
        <stp>STOCK</stp>
        <stp>57130.T</stp>
        <stp>安値</stp>
        <tr r="I46" s="5"/>
        <tr r="I129" s="4"/>
        <tr r="C8" s="10"/>
      </tp>
      <tp>
        <v>1707</v>
        <stp/>
        <stp>Market</stp>
        <stp>STOCK</stp>
        <stp>80530.T</stp>
        <stp>安値</stp>
        <tr r="I59" s="4"/>
        <tr r="I49" s="5"/>
        <tr r="C25" s="10"/>
      </tp>
      <tp>
        <v>890</v>
        <stp/>
        <stp>Market</stp>
        <stp>STOCK</stp>
        <stp>81030.T</stp>
        <stp>安値</stp>
        <tr r="I56" s="4"/>
        <tr r="I136" s="5"/>
        <tr r="C169" s="10"/>
      </tp>
      <tp>
        <v>1520</v>
        <stp/>
        <stp>Market</stp>
        <stp>STOCK</stp>
        <stp>83030.T</stp>
        <stp>安値</stp>
        <tr r="C172" s="10"/>
        <tr r="I54" s="4"/>
        <tr r="I191" s="5"/>
      </tp>
      <tp>
        <v>1404</v>
        <stp/>
        <stp>Market</stp>
        <stp>STOCK</stp>
        <stp>85930.T</stp>
        <stp>安値</stp>
        <tr r="I171" s="5"/>
        <tr r="C39" s="10"/>
        <tr r="I42" s="4"/>
      </tp>
      <tp>
        <v>4025</v>
        <stp/>
        <stp>Market</stp>
        <stp>STOCK</stp>
        <stp>87930.T</stp>
        <stp>安値</stp>
        <tr r="C232" s="10"/>
      </tp>
      <tp>
        <v>2283</v>
        <stp/>
        <stp>Market</stp>
        <stp>STOCK</stp>
        <stp>97330.T</stp>
        <stp>安値</stp>
        <tr r="I10" s="4"/>
        <tr r="C166" s="10"/>
        <tr r="I153" s="5"/>
      </tp>
      <tp>
        <v>2441</v>
        <stp/>
        <stp>Market</stp>
        <stp>STOCK</stp>
        <stp>19610.T</stp>
        <stp>始値</stp>
        <tr r="F51" s="5"/>
        <tr r="F198" s="4"/>
        <tr r="C59" s="8"/>
      </tp>
      <tp>
        <v>67810</v>
        <stp/>
        <stp>Market</stp>
        <stp>STOCK</stp>
        <stp>13210.T</stp>
        <stp>始値</stp>
        <tr r="C303" s="8"/>
      </tp>
      <tp>
        <v>6990</v>
        <stp/>
        <stp>Market</stp>
        <stp>STOCK</stp>
        <stp>38910.T</stp>
        <stp>始値</stp>
        <tr r="C159" s="8"/>
        <tr r="F177" s="4"/>
        <tr r="F43" s="5"/>
      </tp>
      <tp>
        <v>867.3</v>
        <stp/>
        <stp>Market</stp>
        <stp>STOCK</stp>
        <stp>38610.T</stp>
        <stp>始値</stp>
        <tr r="C41" s="8"/>
        <tr r="F123" s="5"/>
        <tr r="F179" s="4"/>
      </tp>
      <tp>
        <v>1650</v>
        <stp/>
        <stp>Market</stp>
        <stp>STOCK</stp>
        <stp>39410.T</stp>
        <stp>始値</stp>
        <tr r="F142" s="5"/>
        <tr r="C48" s="8"/>
        <tr r="F176" s="4"/>
      </tp>
      <tp>
        <v>1638</v>
        <stp/>
        <stp>Market</stp>
        <stp>STOCK</stp>
        <stp>34010.T</stp>
        <stp>始値</stp>
        <tr r="F184" s="4"/>
        <tr r="C27" s="8"/>
        <tr r="F169" s="5"/>
      </tp>
      <tp>
        <v>5921</v>
        <stp/>
        <stp>Market</stp>
        <stp>STOCK</stp>
        <stp>40910.T</stp>
        <stp>始値</stp>
        <tr r="F169" s="4"/>
        <tr r="F152" s="5"/>
        <tr r="C157" s="8"/>
      </tp>
      <tp>
        <v>2910.5</v>
        <stp/>
        <stp>Market</stp>
        <stp>STOCK</stp>
        <stp>46610.T</stp>
        <stp>始値</stp>
        <tr r="F103" s="5"/>
        <tr r="C101" s="8"/>
        <tr r="F156" s="4"/>
      </tp>
      <tp>
        <v>3781</v>
        <stp/>
        <stp>Market</stp>
        <stp>STOCK</stp>
        <stp>58010.T</stp>
        <stp>始値</stp>
        <tr r="F127" s="4"/>
        <tr r="F45" s="5"/>
        <tr r="C200" s="8"/>
      </tp>
      <tp>
        <v>4188</v>
        <stp/>
        <stp>Market</stp>
        <stp>STOCK</stp>
        <stp>59010.T</stp>
        <stp>始値</stp>
        <tr r="F71" s="5"/>
        <tr r="C55" s="8"/>
        <tr r="F120" s="4"/>
      </tp>
      <tp>
        <v>3766</v>
        <stp/>
        <stp>Market</stp>
        <stp>STOCK</stp>
        <stp>50210.T</stp>
        <stp>始値</stp>
        <tr r="F146" s="4"/>
        <tr r="F88" s="5"/>
        <tr r="C15" s="8"/>
      </tp>
      <tp>
        <v>5711</v>
        <stp/>
        <stp>Market</stp>
        <stp>STOCK</stp>
        <stp>52010.T</stp>
        <stp>始値</stp>
        <tr r="F175" s="5"/>
        <tr r="F145" s="4"/>
        <tr r="C53" s="8"/>
      </tp>
      <tp>
        <v>665</v>
        <stp/>
        <stp>Market</stp>
        <stp>STOCK</stp>
        <stp>54010.T</stp>
        <stp>始値</stp>
        <tr r="F140" s="4"/>
        <tr r="F173" s="5"/>
        <tr r="C46" s="8"/>
      </tp>
      <tp>
        <v>1857.5</v>
        <stp/>
        <stp>Market</stp>
        <stp>STOCK</stp>
        <stp>54110.T</stp>
        <stp>始値</stp>
        <tr r="F137" s="4"/>
        <tr r="C84" s="8"/>
        <tr r="F7" s="5"/>
      </tp>
      <tp>
        <v>2569</v>
        <stp/>
        <stp>Market</stp>
        <stp>STOCK</stp>
        <stp>55410.T</stp>
        <stp>始値</stp>
        <tr r="F133" s="4"/>
        <tr r="F90" s="5"/>
        <tr r="C20" s="8"/>
      </tp>
      <tp>
        <v>7718</v>
        <stp/>
        <stp>Market</stp>
        <stp>STOCK</stp>
        <stp>56310.T</stp>
        <stp>始値</stp>
        <tr r="C263" s="8"/>
      </tp>
      <tp>
        <v>4380</v>
        <stp/>
        <stp>Market</stp>
        <stp>STOCK</stp>
        <stp>57110.T</stp>
        <stp>始値</stp>
        <tr r="F130" s="4"/>
        <tr r="C9" s="8"/>
        <tr r="F87" s="5"/>
      </tp>
      <tp>
        <v>87070</v>
        <stp/>
        <stp>Market</stp>
        <stp>STOCK</stp>
        <stp>68610.T</stp>
        <stp>始値</stp>
        <tr r="C209" s="8"/>
      </tp>
      <tp>
        <v>5251</v>
        <stp/>
        <stp>Market</stp>
        <stp>STOCK</stp>
        <stp>68410.T</stp>
        <stp>始値</stp>
        <tr r="F100" s="5"/>
        <tr r="F84" s="4"/>
        <tr r="C81" s="8"/>
      </tp>
      <tp>
        <v>7686</v>
        <stp/>
        <stp>Market</stp>
        <stp>STOCK</stp>
        <stp>69810.T</stp>
        <stp>始値</stp>
        <tr r="F78" s="4"/>
        <tr r="F30" s="5"/>
        <tr r="C154" s="8"/>
      </tp>
      <tp>
        <v>5845</v>
        <stp/>
        <stp>Market</stp>
        <stp>STOCK</stp>
        <stp>63610.T</stp>
        <stp>始値</stp>
        <tr r="C249" s="8"/>
      </tp>
      <tp>
        <v>3240</v>
        <stp/>
        <stp>Market</stp>
        <stp>STOCK</stp>
        <stp>63310.T</stp>
        <stp>始値</stp>
        <tr r="C301" s="8"/>
      </tp>
      <tp>
        <v>3195</v>
        <stp/>
        <stp>Market</stp>
        <stp>STOCK</stp>
        <stp>65210.T</stp>
        <stp>始値</stp>
        <tr r="C242" s="8"/>
      </tp>
      <tp>
        <v>5425</v>
        <stp/>
        <stp>Market</stp>
        <stp>STOCK</stp>
        <stp>65010.T</stp>
        <stp>始値</stp>
        <tr r="F126" s="5"/>
        <tr r="F100" s="4"/>
        <tr r="C91" s="8"/>
      </tp>
      <tp>
        <v>4626</v>
        <stp/>
        <stp>Market</stp>
        <stp>STOCK</stp>
        <stp>67010.T</stp>
        <stp>始値</stp>
        <tr r="F93" s="4"/>
        <tr r="F139" s="5"/>
        <tr r="C11" s="8"/>
      </tp>
      <tp>
        <v>2999</v>
        <stp/>
        <stp>Market</stp>
        <stp>STOCK</stp>
        <stp>79810.T</stp>
        <stp>始値</stp>
        <tr r="C171" s="8"/>
        <tr r="F116" s="5"/>
        <tr r="F63" s="4"/>
      </tp>
      <tp>
        <v>2080</v>
        <stp/>
        <stp>Market</stp>
        <stp>STOCK</stp>
        <stp>70210.T</stp>
        <stp>始値</stp>
        <tr r="F76" s="5"/>
        <tr r="F76" s="4"/>
        <tr r="C106" s="8"/>
      </tp>
      <tp>
        <v>4050</v>
        <stp/>
        <stp>Market</stp>
        <stp>STOCK</stp>
        <stp>70110.T</stp>
        <stp>始値</stp>
        <tr r="F197" s="5"/>
        <tr r="F77" s="4"/>
        <tr r="C207" s="8"/>
      </tp>
      <tp>
        <v>1721</v>
        <stp/>
        <stp>Market</stp>
        <stp>STOCK</stp>
        <stp>71810.T</stp>
        <stp>始値</stp>
        <tr r="F119" s="5"/>
        <tr r="F5" s="4"/>
        <tr r="C190" s="8"/>
      </tp>
      <tp>
        <v>1166</v>
        <stp/>
        <stp>Market</stp>
        <stp>STOCK</stp>
        <stp>73810.T</stp>
        <stp>始値</stp>
        <tr r="F70" s="4"/>
        <tr r="F63" s="5"/>
        <tr r="C152" s="8"/>
      </tp>
      <tp>
        <v>25545</v>
        <stp/>
        <stp>Market</stp>
        <stp>STOCK</stp>
        <stp>77410.T</stp>
        <stp>始値</stp>
        <tr r="C302" s="8"/>
      </tp>
      <tp>
        <v>4620</v>
        <stp/>
        <stp>Market</stp>
        <stp>STOCK</stp>
        <stp>77110.T</stp>
        <stp>始値</stp>
        <tr r="C268" s="8"/>
      </tp>
      <tp>
        <v>3240</v>
        <stp/>
        <stp>Market</stp>
        <stp>STOCK</stp>
        <stp>88710.T</stp>
        <stp>始値</stp>
        <tr r="C278" s="8"/>
      </tp>
      <tp>
        <v>1488</v>
        <stp/>
        <stp>Market</stp>
        <stp>STOCK</stp>
        <stp>88010.T</stp>
        <stp>始値</stp>
        <tr r="F33" s="4"/>
        <tr r="C124" s="8"/>
        <tr r="F129" s="5"/>
      </tp>
      <tp>
        <v>2331</v>
        <stp/>
        <stp>Market</stp>
        <stp>STOCK</stp>
        <stp>80910.T</stp>
        <stp>始値</stp>
        <tr r="F158" s="5"/>
        <tr r="C182" s="8"/>
        <tr r="F57" s="4"/>
      </tp>
      <tp>
        <v>1567</v>
        <stp/>
        <stp>Market</stp>
        <stp>STOCK</stp>
        <stp>81410.T</stp>
        <stp>始値</stp>
        <tr r="C292" s="8"/>
      </tp>
      <tp>
        <v>1069</v>
        <stp/>
        <stp>Market</stp>
        <stp>STOCK</stp>
        <stp>82810.T</stp>
        <stp>始値</stp>
        <tr r="F179" s="5"/>
        <tr r="F55" s="4"/>
        <tr r="C63" s="8"/>
      </tp>
      <tp>
        <v>8436</v>
        <stp/>
        <stp>Market</stp>
        <stp>STOCK</stp>
        <stp>84110.T</stp>
        <stp>始値</stp>
        <tr r="F66" s="5"/>
        <tr r="F47" s="4"/>
        <tr r="C19" s="8"/>
      </tp>
      <tp>
        <v>6505</v>
        <stp/>
        <stp>Market</stp>
        <stp>STOCK</stp>
        <stp>85910.T</stp>
        <stp>始値</stp>
        <tr r="C26" s="8"/>
        <tr r="F43" s="4"/>
        <tr r="F67" s="5"/>
      </tp>
      <tp>
        <v>1790.5</v>
        <stp/>
        <stp>Market</stp>
        <stp>STOCK</stp>
        <stp>86010.T</stp>
        <stp>始値</stp>
        <tr r="C33" s="8"/>
        <tr r="F41" s="4"/>
        <tr r="F198" s="5"/>
      </tp>
      <tp>
        <v>5750</v>
        <stp/>
        <stp>Market</stp>
        <stp>STOCK</stp>
        <stp>91010.T</stp>
        <stp>始値</stp>
        <tr r="F27" s="4"/>
        <tr r="F164" s="5"/>
        <tr r="C206" s="8"/>
      </tp>
      <tp>
        <v>3335</v>
        <stp/>
        <stp>Market</stp>
        <stp>STOCK</stp>
        <stp>95510.T</stp>
        <stp>始値</stp>
        <tr r="F12" s="4"/>
        <tr r="C167" s="8"/>
        <tr r="F134" s="5"/>
      </tp>
      <tp>
        <v>5988</v>
        <stp/>
        <stp>Market</stp>
        <stp>STOCK</stp>
        <stp>95310.T</stp>
        <stp>始値</stp>
        <tr r="F203" s="5"/>
        <tr r="F15" s="4"/>
        <tr r="C115" s="8"/>
      </tp>
      <tp>
        <v>521</v>
        <stp/>
        <stp>Market</stp>
        <stp>STOCK</stp>
        <stp>95010.T</stp>
        <stp>始値</stp>
        <tr r="F105" s="5"/>
        <tr r="F18" s="4"/>
        <tr r="C114" s="8"/>
      </tp>
      <tp>
        <v>5154</v>
        <stp/>
        <stp>Market</stp>
        <stp>STOCK</stp>
        <stp>28020.T</stp>
        <stp>安値</stp>
        <tr r="C76" s="10"/>
        <tr r="I190" s="4"/>
        <tr r="I23" s="5"/>
      </tp>
      <tp>
        <v>8010</v>
        <stp/>
        <stp>Market</stp>
        <stp>STOCK</stp>
        <stp>27020.T</stp>
        <stp>安値</stp>
        <tr r="I192" s="4"/>
        <tr r="I196" s="5"/>
        <tr r="C194" s="10"/>
      </tp>
      <tp>
        <v>4110</v>
        <stp/>
        <stp>Market</stp>
        <stp>STOCK</stp>
        <stp>30020.T</stp>
        <stp>安値</stp>
        <tr r="C277" s="10"/>
      </tp>
      <tp>
        <v>1155</v>
        <stp/>
        <stp>Market</stp>
        <stp>STOCK</stp>
        <stp>34020.T</stp>
        <stp>安値</stp>
        <tr r="I183" s="4"/>
        <tr r="I172" s="5"/>
        <tr r="C44" s="10"/>
      </tp>
      <tp>
        <v>5129</v>
        <stp/>
        <stp>Market</stp>
        <stp>STOCK</stp>
        <stp>18120.T</stp>
        <stp>安値</stp>
        <tr r="C208" s="10"/>
        <tr r="I121" s="5"/>
        <tr r="I204" s="4"/>
      </tp>
      <tp>
        <v>5618</v>
        <stp/>
        <stp>Market</stp>
        <stp>STOCK</stp>
        <stp>19420.T</stp>
        <stp>安値</stp>
        <tr r="I32" s="5"/>
        <tr r="C175" s="10"/>
        <tr r="I199" s="4"/>
      </tp>
      <tp>
        <v>1622</v>
        <stp/>
        <stp>Market</stp>
        <stp>STOCK</stp>
        <stp>16620.T</stp>
        <stp>安値</stp>
        <tr r="I122" s="5"/>
        <tr r="C18" s="10"/>
        <tr r="I205" s="4"/>
      </tp>
      <tp>
        <v>2242</v>
        <stp/>
        <stp>Market</stp>
        <stp>STOCK</stp>
        <stp>68620.T</stp>
        <stp>安値</stp>
        <tr r="C225" s="10"/>
      </tp>
      <tp>
        <v>1901</v>
        <stp/>
        <stp>Market</stp>
        <stp>STOCK</stp>
        <stp>69020.T</stp>
        <stp>安値</stp>
        <tr r="C244" s="10"/>
      </tp>
      <tp>
        <v>1730</v>
        <stp/>
        <stp>Market</stp>
        <stp>STOCK</stp>
        <stp>62320.T</stp>
        <stp>安値</stp>
        <tr r="I28" s="5"/>
        <tr r="I109" s="4"/>
        <tr r="C135" s="10"/>
      </tp>
      <tp>
        <v>681</v>
        <stp/>
        <stp>Market</stp>
        <stp>STOCK</stp>
        <stp>64820.T</stp>
        <stp>安値</stp>
        <tr r="C290" s="10"/>
      </tp>
      <tp>
        <v>1601</v>
        <stp/>
        <stp>Market</stp>
        <stp>STOCK</stp>
        <stp>65220.T</stp>
        <stp>安値</stp>
        <tr r="I111" s="5"/>
        <tr r="I95" s="4"/>
        <tr r="C143" s="10"/>
      </tp>
      <tp>
        <v>13780</v>
        <stp/>
        <stp>Market</stp>
        <stp>STOCK</stp>
        <stp>66220.T</stp>
        <stp>安値</stp>
        <tr r="C216" s="10"/>
      </tp>
      <tp>
        <v>2977</v>
        <stp/>
        <stp>Market</stp>
        <stp>STOCK</stp>
        <stp>67620.T</stp>
        <stp>安値</stp>
        <tr r="C234" s="10"/>
      </tp>
      <tp>
        <v>4345</v>
        <stp/>
        <stp>Market</stp>
        <stp>STOCK</stp>
        <stp>67520.T</stp>
        <stp>安値</stp>
        <tr r="C215" s="10"/>
      </tp>
      <tp>
        <v>2872</v>
        <stp/>
        <stp>Market</stp>
        <stp>STOCK</stp>
        <stp>79720.T</stp>
        <stp>安値</stp>
        <tr r="C241" s="10"/>
      </tp>
      <tp>
        <v>3500</v>
        <stp/>
        <stp>Market</stp>
        <stp>STOCK</stp>
        <stp>79520.T</stp>
        <stp>安値</stp>
        <tr r="C276" s="10"/>
      </tp>
      <tp>
        <v>3185</v>
        <stp/>
        <stp>Market</stp>
        <stp>STOCK</stp>
        <stp>71820.T</stp>
        <stp>安値</stp>
        <tr r="C85" s="10"/>
        <tr r="I74" s="4"/>
        <tr r="I102" s="5"/>
      </tp>
      <tp>
        <v>888.8</v>
        <stp/>
        <stp>Market</stp>
        <stp>STOCK</stp>
        <stp>75320.T</stp>
        <stp>安値</stp>
        <tr r="C305" s="10"/>
      </tp>
      <tp>
        <v>1884</v>
        <stp/>
        <stp>Market</stp>
        <stp>STOCK</stp>
        <stp>40820.T</stp>
        <stp>安値</stp>
        <tr r="I9" s="5"/>
        <tr r="I171" s="4"/>
        <tr r="C129" s="10"/>
      </tp>
      <tp>
        <v>18415</v>
        <stp/>
        <stp>Market</stp>
        <stp>STOCK</stp>
        <stp>40620.T</stp>
        <stp>安値</stp>
        <tr r="I173" s="4"/>
        <tr r="I56" s="5"/>
        <tr r="C96" s="10"/>
      </tp>
      <tp>
        <v>4498</v>
        <stp/>
        <stp>Market</stp>
        <stp>STOCK</stp>
        <stp>41820.T</stp>
        <stp>安値</stp>
        <tr r="I168" s="4"/>
        <tr r="C97" s="10"/>
        <tr r="I75" s="5"/>
      </tp>
      <tp>
        <v>603</v>
        <stp/>
        <stp>Market</stp>
        <stp>STOCK</stp>
        <stp>42220.T</stp>
        <stp>安値</stp>
        <tr r="C229" s="10"/>
      </tp>
      <tp>
        <v>712</v>
        <stp/>
        <stp>Market</stp>
        <stp>STOCK</stp>
        <stp>43820.T</stp>
        <stp>安値</stp>
        <tr r="I192" s="5"/>
        <tr r="I164" s="4"/>
        <tr r="C173" s="10"/>
      </tp>
      <tp>
        <v>910</v>
        <stp/>
        <stp>Market</stp>
        <stp>STOCK</stp>
        <stp>43920.T</stp>
        <stp>安値</stp>
        <tr r="C235" s="10"/>
      </tp>
      <tp>
        <v>543</v>
        <stp/>
        <stp>Market</stp>
        <stp>STOCK</stp>
        <stp>44220.T</stp>
        <stp>安値</stp>
        <tr r="I162" s="4"/>
        <tr r="C139" s="10"/>
        <tr r="I188" s="5"/>
      </tp>
      <tp>
        <v>5332</v>
        <stp/>
        <stp>Market</stp>
        <stp>STOCK</stp>
        <stp>45020.T</stp>
        <stp>安値</stp>
        <tr r="C212" s="10"/>
      </tp>
      <tp>
        <v>2197</v>
        <stp/>
        <stp>Market</stp>
        <stp>STOCK</stp>
        <stp>58920.T</stp>
        <stp>安値</stp>
        <tr r="I74" s="5"/>
        <tr r="I121" s="4"/>
        <tr r="C89" s="10"/>
      </tp>
      <tp>
        <v>2145</v>
        <stp/>
        <stp>Market</stp>
        <stp>STOCK</stp>
        <stp>58020.T</stp>
        <stp>安値</stp>
        <tr r="I126" s="4"/>
        <tr r="C102" s="10"/>
        <tr r="I57" s="5"/>
      </tp>
      <tp>
        <v>6463</v>
        <stp/>
        <stp>Market</stp>
        <stp>STOCK</stp>
        <stp>53320.T</stp>
        <stp>安値</stp>
        <tr r="C21" s="10"/>
        <tr r="I12" s="5"/>
        <tr r="I142" s="4"/>
      </tp>
      <tp>
        <v>2200</v>
        <stp/>
        <stp>Market</stp>
        <stp>STOCK</stp>
        <stp>56320.T</stp>
        <stp>安値</stp>
        <tr r="C247" s="10"/>
      </tp>
      <tp>
        <v>1763</v>
        <stp/>
        <stp>Market</stp>
        <stp>STOCK</stp>
        <stp>57020.T</stp>
        <stp>安値</stp>
        <tr r="C275" s="10"/>
      </tp>
      <tp>
        <v>1069</v>
        <stp/>
        <stp>Market</stp>
        <stp>STOCK</stp>
        <stp>88920.T</stp>
        <stp>安値</stp>
        <tr r="I32" s="4"/>
        <tr r="C161" s="10"/>
        <tr r="I114" s="5"/>
      </tp>
      <tp>
        <v>4800</v>
        <stp/>
        <stp>Market</stp>
        <stp>STOCK</stp>
        <stp>80020.T</stp>
        <stp>安値</stp>
        <tr r="I167" s="5"/>
        <tr r="I62" s="4"/>
        <tr r="C14" s="10"/>
      </tp>
      <tp>
        <v>471.5</v>
        <stp/>
        <stp>Market</stp>
        <stp>STOCK</stp>
        <stp>85720.T</stp>
        <stp>安値</stp>
        <tr r="I38" s="5"/>
        <tr r="I44" s="4"/>
        <tr r="C47" s="10"/>
      </tp>
      <tp>
        <v>1713</v>
        <stp/>
        <stp>Market</stp>
        <stp>STOCK</stp>
        <stp>98820.T</stp>
        <stp>安値</stp>
        <tr r="I128" s="5"/>
        <tr r="I9" s="4"/>
        <tr r="C116" s="10"/>
      </tp>
      <tp>
        <v>3787</v>
        <stp/>
        <stp>Market</stp>
        <stp>STOCK</stp>
        <stp>99620.T</stp>
        <stp>安値</stp>
        <tr r="C233" s="10"/>
      </tp>
      <tp>
        <v>3798</v>
        <stp/>
        <stp>Market</stp>
        <stp>STOCK</stp>
        <stp>90220.T</stp>
        <stp>安値</stp>
        <tr r="I159" s="5"/>
        <tr r="I29" s="4"/>
        <tr r="C184" s="10"/>
      </tp>
      <tp>
        <v>3135</v>
        <stp/>
        <stp>Market</stp>
        <stp>STOCK</stp>
        <stp>92020.T</stp>
        <stp>安値</stp>
        <tr r="C74" s="10"/>
        <tr r="I26" s="4"/>
        <tr r="I99" s="5"/>
      </tp>
      <tp>
        <v>2230</v>
        <stp/>
        <stp>Market</stp>
        <stp>STOCK</stp>
        <stp>94120.T</stp>
        <stp>安値</stp>
        <tr r="I22" s="4"/>
        <tr r="I22" s="5"/>
        <tr r="C56" s="10"/>
      </tp>
      <tp>
        <v>5302</v>
        <stp/>
        <stp>Market</stp>
        <stp>STOCK</stp>
        <stp>95320.T</stp>
        <stp>安値</stp>
        <tr r="I79" s="5"/>
        <tr r="I14" s="4"/>
        <tr r="C127" s="10"/>
      </tp>
      <tp>
        <v>1530</v>
        <stp/>
        <stp>Market</stp>
        <stp>STOCK</stp>
        <stp>19300.T</stp>
        <stp>始値</stp>
        <tr r="F201" s="4"/>
        <tr r="C163" s="8"/>
        <tr r="F83" s="5"/>
      </tp>
      <tp>
        <v>68230</v>
        <stp/>
        <stp>Market</stp>
        <stp>STOCK</stp>
        <stp>15700.T</stp>
        <stp>始値</stp>
        <tr r="C222" s="8"/>
      </tp>
      <tp>
        <v>2615</v>
        <stp/>
        <stp>Market</stp>
        <stp>STOCK</stp>
        <stp>21600.T</stp>
        <stp>始値</stp>
        <tr r="F195" s="4"/>
        <tr r="F187" s="5"/>
        <tr r="C131" s="8"/>
      </tp>
      <tp>
        <v>3150</v>
        <stp/>
        <stp>Market</stp>
        <stp>STOCK</stp>
        <stp>31100.T</stp>
        <stp>始値</stp>
        <tr r="F185" s="4"/>
        <tr r="F109" s="5"/>
        <tr r="C134" s="8"/>
      </tp>
      <tp>
        <v>3151</v>
        <stp/>
        <stp>Market</stp>
        <stp>STOCK</stp>
        <stp>49800.T</stp>
        <stp>始値</stp>
        <tr r="F149" s="4"/>
        <tr r="F72" s="5"/>
        <tr r="C69" s="8"/>
      </tp>
      <tp>
        <v>3738</v>
        <stp/>
        <stp>Market</stp>
        <stp>STOCK</stp>
        <stp>45400.T</stp>
        <stp>始値</stp>
        <tr r="F157" s="4"/>
        <tr r="C64" s="8"/>
        <tr r="F124" s="5"/>
      </tp>
      <tp>
        <v>1272</v>
        <stp/>
        <stp>Market</stp>
        <stp>STOCK</stp>
        <stp>50200.T</stp>
        <stp>始値</stp>
        <tr r="F147" s="4"/>
        <tr r="F141" s="5"/>
        <tr r="C29" s="8"/>
      </tp>
      <tp>
        <v>1856</v>
        <stp/>
        <stp>Market</stp>
        <stp>STOCK</stp>
        <stp>54400.T</stp>
        <stp>始値</stp>
        <tr r="F135" s="4"/>
        <tr r="C180" s="8"/>
        <tr r="F156" s="5"/>
      </tp>
      <tp>
        <v>2833</v>
        <stp/>
        <stp>Market</stp>
        <stp>STOCK</stp>
        <stp>54100.T</stp>
        <stp>始値</stp>
        <tr r="F138" s="4"/>
        <tr r="F118" s="5"/>
        <tr r="C179" s="8"/>
      </tp>
      <tp>
        <v>8900</v>
        <stp/>
        <stp>Market</stp>
        <stp>STOCK</stp>
        <stp>68900.T</stp>
        <stp>始値</stp>
        <tr r="F33" s="5"/>
        <tr r="F82" s="4"/>
        <tr r="C195" s="8"/>
      </tp>
      <tp>
        <v>45280</v>
        <stp/>
        <stp>Market</stp>
        <stp>STOCK</stp>
        <stp>69200.T</stp>
        <stp>始値</stp>
        <tr r="F81" s="4"/>
        <tr r="F84" s="5"/>
        <tr r="C199" s="8"/>
      </tp>
      <tp>
        <v>1195</v>
        <stp/>
        <stp>Market</stp>
        <stp>STOCK</stp>
        <stp>61400.T</stp>
        <stp>始値</stp>
        <tr r="C261" s="8"/>
      </tp>
      <tp>
        <v>9012</v>
        <stp/>
        <stp>Market</stp>
        <stp>STOCK</stp>
        <stp>63700.T</stp>
        <stp>始値</stp>
        <tr r="C255" s="8"/>
      </tp>
      <tp>
        <v>2089</v>
        <stp/>
        <stp>Market</stp>
        <stp>STOCK</stp>
        <stp>63300.T</stp>
        <stp>始値</stp>
        <tr r="F186" s="5"/>
        <tr r="F104" s="4"/>
        <tr r="C128" s="8"/>
      </tp>
      <tp>
        <v>49</v>
        <stp/>
        <stp>Market</stp>
        <stp>STOCK</stp>
        <stp>67400.T</stp>
        <stp>始値</stp>
        <tr r="F92" s="4"/>
        <tr r="F189" s="5"/>
        <tr r="C140" s="8"/>
      </tp>
      <tp>
        <v>2466</v>
        <stp/>
        <stp>Market</stp>
        <stp>STOCK</stp>
        <stp>72700.T</stp>
        <stp>始値</stp>
        <tr r="C286" s="8"/>
      </tp>
      <tp>
        <v>1546</v>
        <stp/>
        <stp>Market</stp>
        <stp>STOCK</stp>
        <stp>85700.T</stp>
        <stp>始値</stp>
        <tr r="C37" s="8"/>
        <tr r="F45" s="4"/>
        <tr r="F94" s="5"/>
      </tp>
      <tp>
        <v>6942</v>
        <stp/>
        <stp>Market</stp>
        <stp>STOCK</stp>
        <stp>86300.T</stp>
        <stp>始値</stp>
        <tr r="F176" s="5"/>
        <tr r="F39" s="4"/>
        <tr r="C54" s="8"/>
      </tp>
      <tp>
        <v>1902</v>
        <stp/>
        <stp>Market</stp>
        <stp>STOCK</stp>
        <stp>87500.T</stp>
        <stp>始値</stp>
        <tr r="C43" s="8"/>
        <tr r="F36" s="4"/>
        <tr r="F200" s="5"/>
      </tp>
      <tp>
        <v>3685</v>
        <stp/>
        <stp>Market</stp>
        <stp>STOCK</stp>
        <stp>98800.T</stp>
        <stp>始値</stp>
        <tr r="C257" s="8"/>
      </tp>
      <tp>
        <v>3391</v>
        <stp/>
        <stp>Market</stp>
        <stp>STOCK</stp>
        <stp>90200.T</stp>
        <stp>始値</stp>
        <tr r="F30" s="4"/>
        <tr r="F104" s="5"/>
        <tr r="C109" s="8"/>
      </tp>
    </main>
    <main first="rtdsrv.bed1b1f6e97c4c9f9ae958b1f8b490de">
      <tp t="s">
        <v/>
        <stp/>
        <stp>MarginOpenOrder</stp>
        <stp>3198493116768,55,55,2,2</stp>
        <stp>8061</stp>
        <stp>1</stp>
        <stp/>
        <stp>3</stp>
        <stp>0</stp>
        <stp>1</stp>
        <stp>4164</stp>
        <stp>100</stp>
        <stp>0</stp>
        <stp/>
        <stp>1</stp>
        <stp/>
        <stp>0</stp>
        <stp/>
        <stp/>
        <stp/>
        <stp/>
        <stp>0</stp>
        <stp/>
        <stp/>
        <stp/>
        <stp/>
        <tr r="C56" s="14"/>
      </tp>
    </main>
    <main first="rtdsrv.bed1b1f6e97c4c9f9ae958b1f8b490de">
      <tp>
        <v>9040.6790999999994</v>
        <stp/>
        <stp>Market</stp>
        <stp>STOCK</stp>
        <stp>57130.T</stp>
        <stp>出来高加重平均</stp>
        <tr r="I42" s="16"/>
      </tp>
      <tp>
        <v>4245.4691999999995</v>
        <stp/>
        <stp>Market</stp>
        <stp>STOCK</stp>
        <stp>52330.T</stp>
        <stp>出来高加重平均</stp>
        <tr r="I54" s="16"/>
      </tp>
      <tp>
        <v>5821.2191999999995</v>
        <stp/>
        <stp>Market</stp>
        <stp>STOCK</stp>
        <stp>52010.T</stp>
        <stp>出来高加重平均</stp>
        <tr r="I51" s="16"/>
      </tp>
    </main>
    <main first="rtdsrv.bed1b1f6e97c4c9f9ae958b1f8b490de">
      <tp>
        <v>2939.1903000000002</v>
        <stp/>
        <stp>Market</stp>
        <stp>STOCK</stp>
        <stp>46610.T</stp>
        <stp>出来高加重平均</stp>
        <tr r="I41" s="16"/>
      </tp>
      <tp>
        <v>4630.1102000000001</v>
        <stp/>
        <stp>Market</stp>
        <stp>STOCK</stp>
        <stp>45230.T</stp>
        <stp>出来高加重平均</stp>
        <tr r="I27" s="16"/>
      </tp>
      <tp>
        <v>3762.6698999999999</v>
        <stp/>
        <stp>Market</stp>
        <stp>STOCK</stp>
        <stp>45400.T</stp>
        <stp>出来高加重平均</stp>
        <tr r="I15" s="16"/>
      </tp>
      <tp>
        <v>4729.1419999999998</v>
        <stp/>
        <stp>Market</stp>
        <stp>STOCK</stp>
        <stp>43070.T</stp>
        <stp>出来高加重平均</stp>
        <tr r="I18" s="16"/>
      </tp>
      <tp>
        <v>1180.3271</v>
        <stp/>
        <stp>Market</stp>
        <stp>STOCK</stp>
        <stp>41880.T</stp>
        <stp>出来高加重平均</stp>
        <tr r="I5" s="16"/>
        <tr r="I37" s="16"/>
      </tp>
      <tp>
        <v>1395.3792000000001</v>
        <stp/>
        <stp>Market</stp>
        <stp>STOCK</stp>
        <stp>40080.T</stp>
        <stp>出来高加重平均</stp>
        <tr r="I53" s="16"/>
      </tp>
      <tp>
        <v>6161.1462000000001</v>
        <stp/>
        <stp>Market</stp>
        <stp>STOCK</stp>
        <stp>40630.T</stp>
        <stp>出来高加重平均</stp>
        <tr r="I25" s="16"/>
      </tp>
      <tp>
        <v>1922.3972000000001</v>
        <stp/>
        <stp>Market</stp>
        <stp>STOCK</stp>
        <stp>40820.T</stp>
        <stp>出来高加重平均</stp>
        <tr r="I28" s="16"/>
      </tp>
      <tp>
        <v>3119.1174999999998</v>
        <stp/>
        <stp>Market</stp>
        <stp>STOCK</stp>
        <stp>49800.T</stp>
        <stp>出来高加重平均</stp>
        <tr r="I49" s="16"/>
      </tp>
    </main>
    <main first="rtdsrv.bed1b1f6e97c4c9f9ae958b1f8b490de">
      <tp>
        <v>4687.9276</v>
        <stp/>
        <stp>Market</stp>
        <stp>STOCK</stp>
        <stp>77110.T</stp>
        <stp>出来高加重平均</stp>
        <tr r="I58" s="16"/>
        <tr r="I16" s="16"/>
      </tp>
      <tp>
        <v>729.12289999999996</v>
        <stp/>
        <stp>Market</stp>
        <stp>STOCK</stp>
        <stp>77460.T</stp>
        <stp>出来高加重平均</stp>
        <tr r="I8" s="16"/>
      </tp>
      <tp>
        <v>1132.8494000000001</v>
        <stp/>
        <stp>Market</stp>
        <stp>STOCK</stp>
        <stp>73750.T</stp>
        <stp>出来高加重平均</stp>
        <tr r="I21" s="16"/>
      </tp>
      <tp>
        <v>4046.1125000000002</v>
        <stp/>
        <stp>Market</stp>
        <stp>STOCK</stp>
        <stp>70110.T</stp>
        <stp>出来高加重平均</stp>
        <tr r="I50" s="16"/>
      </tp>
      <tp>
        <v>3552.68</v>
        <stp/>
        <stp>Market</stp>
        <stp>STOCK</stp>
        <stp>79520.T</stp>
        <stp>出来高加重平均</stp>
        <tr r="I35" s="16"/>
      </tp>
      <tp>
        <v>3039.5142000000001</v>
        <stp/>
        <stp>Market</stp>
        <stp>STOCK</stp>
        <stp>79810.T</stp>
        <stp>出来高加重平均</stp>
        <tr r="I31" s="16"/>
        <tr r="I14" s="16"/>
        <tr r="I23" s="16"/>
      </tp>
    </main>
    <main first="rtdsrv.bed1b1f6e97c4c9f9ae958b1f8b490de">
      <tp>
        <v>14293.242</v>
        <stp/>
        <stp>Market</stp>
        <stp>STOCK</stp>
        <stp>66220.T</stp>
        <stp>出来高加重平均</stp>
        <tr r="I32" s="16"/>
        <tr r="I24" s="16"/>
      </tp>
      <tp>
        <v>1690.7092</v>
        <stp/>
        <stp>Market</stp>
        <stp>STOCK</stp>
        <stp>65220.T</stp>
        <stp>出来高加重平均</stp>
        <tr r="I6" s="16"/>
      </tp>
      <tp>
        <v>3897.3761</v>
        <stp/>
        <stp>Market</stp>
        <stp>STOCK</stp>
        <stp>64360.T</stp>
        <stp>出来高加重平均</stp>
        <tr r="I10" s="16"/>
        <tr r="I44" s="16"/>
      </tp>
      <tp>
        <v>3766.7887999999998</v>
        <stp/>
        <stp>Market</stp>
        <stp>STOCK</stp>
        <stp>64790.T</stp>
        <stp>出来高加重平均</stp>
        <tr r="I56" s="16"/>
      </tp>
      <tp>
        <v>987.85709999999995</v>
        <stp/>
        <stp>Market</stp>
        <stp>STOCK</stp>
        <stp>64880.T</stp>
        <stp>出来高加重平均</stp>
        <tr r="I34" s="16"/>
      </tp>
      <tp>
        <v>3266.4573</v>
        <stp/>
        <stp>Market</stp>
        <stp>STOCK</stp>
        <stp>63270.T</stp>
        <stp>出来高加重平均</stp>
        <tr r="I40" s="16"/>
      </tp>
      <tp>
        <v>9406.9437999999991</v>
        <stp/>
        <stp>Market</stp>
        <stp>STOCK</stp>
        <stp>63870.T</stp>
        <stp>出来高加重平均</stp>
        <tr r="I12" s="16"/>
      </tp>
      <tp>
        <v>2382.7604999999999</v>
        <stp/>
        <stp>Market</stp>
        <stp>STOCK</stp>
        <stp>61780.T</stp>
        <stp>出来高加重平均</stp>
        <tr r="I4" s="16"/>
      </tp>
      <tp>
        <v>61695.140800000001</v>
        <stp/>
        <stp>Market</stp>
        <stp>STOCK</stp>
        <stp>61460.T</stp>
        <stp>出来高加重平均</stp>
        <tr r="I7" s="16"/>
      </tp>
      <tp>
        <v>2381.7669000000001</v>
        <stp/>
        <stp>Market</stp>
        <stp>STOCK</stp>
        <stp>60270.T</stp>
        <stp>出来高加重平均</stp>
        <tr r="I45" s="16"/>
      </tp>
      <tp>
        <v>2629.9522000000002</v>
        <stp/>
        <stp>Market</stp>
        <stp>STOCK</stp>
        <stp>69280.T</stp>
        <stp>出来高加重平均</stp>
        <tr r="I33" s="16"/>
      </tp>
      <tp>
        <v>405.94189999999998</v>
        <stp/>
        <stp>Market</stp>
        <stp>STOCK</stp>
        <stp>69550.T</stp>
        <stp>出来高加重平均</stp>
        <tr r="I17" s="16"/>
      </tp>
      <tp>
        <v>6426.4425000000001</v>
        <stp/>
        <stp>Market</stp>
        <stp>STOCK</stp>
        <stp>69540.T</stp>
        <stp>出来高加重平均</stp>
        <tr r="I46" s="16"/>
      </tp>
      <tp>
        <v>2294.1304</v>
        <stp/>
        <stp>Market</stp>
        <stp>STOCK</stp>
        <stp>68620.T</stp>
        <stp>出来高加重平均</stp>
        <tr r="I36" s="16"/>
      </tp>
      <tp>
        <v>5320.9574000000002</v>
        <stp/>
        <stp>Market</stp>
        <stp>STOCK</stp>
        <stp>68410.T</stp>
        <stp>出来高加重平均</stp>
        <tr r="I47" s="16"/>
      </tp>
    </main>
    <main first="rtdsrv.bed1b1f6e97c4c9f9ae958b1f8b490de">
      <tp>
        <v>5710.6984000000002</v>
        <stp/>
        <stp>Market</stp>
        <stp>STOCK</stp>
        <stp>19420.T</stp>
        <stp>出来高加重平均</stp>
        <tr r="I39" s="16"/>
      </tp>
    </main>
    <main first="rtdsrv.bed1b1f6e97c4c9f9ae958b1f8b490de">
      <tp>
        <v>3561.9886999999999</v>
        <stp/>
        <stp>Market</stp>
        <stp>STOCK</stp>
        <stp>34360.T</stp>
        <stp>出来高加重平均</stp>
        <tr r="I55" s="16"/>
      </tp>
      <tp>
        <v>1250.9273000000001</v>
        <stp/>
        <stp>Market</stp>
        <stp>STOCK</stp>
        <stp>34020.T</stp>
        <stp>出来高加重平均</stp>
        <tr r="I57" s="16"/>
      </tp>
      <tp>
        <v>4169.0524999999998</v>
        <stp/>
        <stp>Market</stp>
        <stp>STOCK</stp>
        <stp>33970.T</stp>
        <stp>出来高加重平均</stp>
        <tr r="I30" s="16"/>
        <tr r="I22" s="16"/>
      </tp>
      <tp>
        <v>7050.0761000000002</v>
        <stp/>
        <stp>Market</stp>
        <stp>STOCK</stp>
        <stp>38910.T</stp>
        <stp>出来高加重平均</stp>
        <tr r="I29" s="16"/>
        <tr r="I20" s="16"/>
      </tp>
    </main>
    <main first="rtdsrv.bed1b1f6e97c4c9f9ae958b1f8b490de">
      <tp>
        <v>7003.5086000000001</v>
        <stp/>
        <stp>Market</stp>
        <stp>STOCK</stp>
        <stp>29140.T</stp>
        <stp>出来高加重平均</stp>
        <tr r="I38" s="16"/>
      </tp>
      <tp>
        <v>458.88</v>
        <stp/>
        <stp>Market</stp>
        <stp>STOCK</stp>
        <stp>281A0.T</stp>
        <stp>出来高加重平均</stp>
        <tr r="I9" s="16"/>
      </tp>
    </main>
    <main first="rtdsrv.bed1b1f6e97c4c9f9ae958b1f8b490de">
      <tp t="s">
        <v/>
        <stp/>
        <stp>Market</stp>
        <stp>STOCK</stp>
        <stp/>
        <stp>前日比</stp>
        <tr r="J285" s="16"/>
        <tr r="J202" s="16"/>
        <tr r="J351" s="16"/>
        <tr r="J355" s="16"/>
        <tr r="J297" s="16"/>
        <tr r="J175" s="16"/>
        <tr r="J437" s="16"/>
        <tr r="J400" s="16"/>
        <tr r="J128" s="16"/>
        <tr r="J254" s="16"/>
        <tr r="J226" s="16"/>
        <tr r="J423" s="16"/>
        <tr r="J372" s="16"/>
        <tr r="J439" s="16"/>
        <tr r="J448" s="16"/>
        <tr r="J127" s="16"/>
        <tr r="J187" s="16"/>
        <tr r="J209" s="16"/>
        <tr r="J461" s="16"/>
        <tr r="J184" s="16"/>
        <tr r="J354" s="16"/>
        <tr r="J315" s="16"/>
        <tr r="J454" s="16"/>
        <tr r="J219" s="16"/>
        <tr r="J279" s="16"/>
        <tr r="J356" s="16"/>
        <tr r="J392" s="16"/>
        <tr r="J306" s="16"/>
        <tr r="J266" s="16"/>
        <tr r="J283" s="16"/>
        <tr r="J194" s="16"/>
        <tr r="J224" s="16"/>
        <tr r="J192" s="16"/>
        <tr r="J268" s="16"/>
        <tr r="J320" s="16"/>
        <tr r="J359" s="16"/>
        <tr r="J284" s="16"/>
        <tr r="J338" s="16"/>
        <tr r="J443" s="16"/>
        <tr r="J318" s="16"/>
        <tr r="J305" s="16"/>
        <tr r="J450" s="16"/>
        <tr r="J225" s="16"/>
        <tr r="J217" s="16"/>
        <tr r="J130" s="16"/>
        <tr r="J138" s="16"/>
        <tr r="J424" s="16"/>
        <tr r="J289" s="16"/>
        <tr r="J200" s="16"/>
        <tr r="J451" s="16"/>
        <tr r="J230" s="16"/>
        <tr r="J205" s="16"/>
        <tr r="J214" s="16"/>
        <tr r="J411" s="16"/>
        <tr r="J274" s="16"/>
        <tr r="J182" s="16"/>
        <tr r="J269" s="16"/>
        <tr r="J312" s="16"/>
        <tr r="J293" s="16"/>
        <tr r="J406" s="16"/>
        <tr r="J348" s="16"/>
        <tr r="J178" s="16"/>
        <tr r="J223" s="16"/>
        <tr r="J456" s="16"/>
        <tr r="J172" s="16"/>
        <tr r="J363" s="16"/>
        <tr r="J157" s="16"/>
        <tr r="J337" s="16"/>
        <tr r="J234" s="16"/>
        <tr r="J345" s="16"/>
        <tr r="J407" s="16"/>
        <tr r="J346" s="16"/>
        <tr r="J273" s="16"/>
        <tr r="J377" s="16"/>
        <tr r="J414" s="16"/>
        <tr r="J199" s="16"/>
        <tr r="J390" s="16"/>
        <tr r="J384" s="16"/>
        <tr r="J124" s="16"/>
        <tr r="J276" s="16"/>
        <tr r="J389" s="16"/>
        <tr r="J197" s="16"/>
        <tr r="J190" s="16"/>
        <tr r="J426" s="16"/>
        <tr r="J398" s="16"/>
        <tr r="J321" s="16"/>
        <tr r="J449" s="16"/>
        <tr r="J216" s="16"/>
        <tr r="J452" s="16"/>
        <tr r="J365" s="16"/>
        <tr r="J457" s="16"/>
        <tr r="J313" s="16"/>
        <tr r="J340" s="16"/>
        <tr r="J218" s="16"/>
        <tr r="J299" s="16"/>
        <tr r="J188" s="16"/>
        <tr r="J319" s="16"/>
        <tr r="J250" s="16"/>
        <tr r="J125" s="16"/>
        <tr r="J409" s="16"/>
        <tr r="J246" s="16"/>
        <tr r="J121" s="16"/>
        <tr r="J292" s="16"/>
        <tr r="J262" s="16"/>
        <tr r="J434" s="16"/>
        <tr r="J412" s="16"/>
        <tr r="J159" s="16"/>
        <tr r="J213" s="16"/>
        <tr r="J257" s="16"/>
        <tr r="J417" s="16"/>
        <tr r="J169" s="16"/>
        <tr r="J231" s="16"/>
        <tr r="J139" s="16"/>
        <tr r="J288" s="16"/>
        <tr r="J259" s="16"/>
        <tr r="J445" s="16"/>
        <tr r="J271" s="16"/>
        <tr r="J361" s="16"/>
        <tr r="J236" s="16"/>
        <tr r="J432" s="16"/>
        <tr r="J394" s="16"/>
        <tr r="J460" s="16"/>
        <tr r="J207" s="16"/>
        <tr r="J241" s="16"/>
        <tr r="J379" s="16"/>
        <tr r="J317" s="16"/>
        <tr r="J420" s="16"/>
        <tr r="J383" s="16"/>
        <tr r="J425" s="16"/>
        <tr r="J193" s="16"/>
        <tr r="J240" s="16"/>
        <tr r="J300" s="16"/>
        <tr r="J148" s="16"/>
        <tr r="J135" s="16"/>
        <tr r="J222" s="16"/>
        <tr r="J281" s="16"/>
        <tr r="J189" s="16"/>
        <tr r="J239" s="16"/>
        <tr r="J397" s="16"/>
        <tr r="J280" s="16"/>
        <tr r="J122" s="16"/>
        <tr r="J366" s="16"/>
        <tr r="J343" s="16"/>
        <tr r="J149" s="16"/>
        <tr r="J196" s="16"/>
        <tr r="J455" s="16"/>
        <tr r="J334" s="16"/>
        <tr r="J233" s="16"/>
        <tr r="J347" s="16"/>
        <tr r="J131" s="16"/>
        <tr r="J375" s="16"/>
        <tr r="J251" s="16"/>
        <tr r="J336" s="16"/>
        <tr r="J371" s="16"/>
        <tr r="J333" s="16"/>
        <tr r="J204" s="16"/>
        <tr r="J290" s="16"/>
        <tr r="J252" s="16"/>
        <tr r="J163" s="16"/>
        <tr r="J176" s="16"/>
        <tr r="J132" s="16"/>
        <tr r="J357" s="16"/>
        <tr r="J405" s="16"/>
        <tr r="J314" s="16"/>
        <tr r="J367" s="16"/>
        <tr r="J328" s="16"/>
        <tr r="J341" s="16"/>
        <tr r="J380" s="16"/>
        <tr r="J229" s="16"/>
        <tr r="J370" s="16"/>
        <tr r="J143" s="16"/>
        <tr r="J329" s="16"/>
        <tr r="J243" s="16"/>
        <tr r="J247" s="16"/>
        <tr r="J438" s="16"/>
        <tr r="J256" s="16"/>
        <tr r="J220" s="16"/>
        <tr r="J431" s="16"/>
        <tr r="J310" s="16"/>
        <tr r="J267" s="16"/>
        <tr r="J245" s="16"/>
        <tr r="J444" s="16"/>
        <tr r="J376" s="16"/>
        <tr r="J185" s="16"/>
        <tr r="J391" s="16"/>
        <tr r="J403" s="16"/>
        <tr r="J349" s="16"/>
        <tr r="J133" s="16"/>
        <tr r="J167" s="16"/>
        <tr r="J447" s="16"/>
        <tr r="J150" s="16"/>
        <tr r="J244" s="16"/>
        <tr r="J123" s="16"/>
        <tr r="J419" s="16"/>
        <tr r="J294" s="16"/>
        <tr r="J368" s="16"/>
        <tr r="J136" s="16"/>
        <tr r="J386" s="16"/>
        <tr r="J335" s="16"/>
        <tr r="J211" s="16"/>
        <tr r="J393" s="16"/>
        <tr r="J428" s="16"/>
        <tr r="J145" s="16"/>
        <tr r="J302" s="16"/>
        <tr r="J430" s="16"/>
        <tr r="J342" s="16"/>
        <tr r="J242" s="16"/>
        <tr r="J235" s="16"/>
        <tr r="J298" s="16"/>
        <tr r="J264" s="16"/>
        <tr r="J258" s="16"/>
        <tr r="J382" s="16"/>
        <tr r="J144" s="16"/>
        <tr r="J151" s="16"/>
        <tr r="J418" s="16"/>
        <tr r="J301" s="16"/>
        <tr r="J232" s="16"/>
        <tr r="J352" s="16"/>
        <tr r="J174" s="16"/>
        <tr r="J422" s="16"/>
        <tr r="J208" s="16"/>
        <tr r="J421" s="16"/>
        <tr r="J388" s="16"/>
        <tr r="J416" s="16"/>
        <tr r="J402" s="16"/>
        <tr r="J147" s="16"/>
        <tr r="J140" s="16"/>
        <tr r="J304" s="16"/>
        <tr r="J166" s="16"/>
        <tr r="J453" s="16"/>
        <tr r="J277" s="16"/>
        <tr r="J153" s="16"/>
        <tr r="J237" s="16"/>
        <tr r="J378" s="16"/>
        <tr r="J126" s="16"/>
        <tr r="J263" s="16"/>
        <tr r="J396" s="16"/>
        <tr r="J137" s="16"/>
        <tr r="J427" s="16"/>
        <tr r="J442" s="16"/>
        <tr r="J191" s="16"/>
        <tr r="J179" s="16"/>
        <tr r="J331" s="16"/>
        <tr r="J248" s="16"/>
        <tr r="J436" s="16"/>
        <tr r="J339" s="16"/>
        <tr r="J171" s="16"/>
        <tr r="J311" s="16"/>
        <tr r="J429" s="16"/>
        <tr r="J325" s="16"/>
        <tr r="J307" s="16"/>
        <tr r="J332" s="16"/>
        <tr r="J142" s="16"/>
        <tr r="J385" s="16"/>
        <tr r="J260" s="16"/>
        <tr r="J440" s="16"/>
        <tr r="J162" s="16"/>
        <tr r="J410" s="16"/>
        <tr r="J291" s="16"/>
        <tr r="J364" s="16"/>
        <tr r="J459" s="16"/>
        <tr r="J201" s="16"/>
        <tr r="J303" s="16"/>
        <tr r="J316" s="16"/>
        <tr r="J282" s="16"/>
        <tr r="J181" s="16"/>
        <tr r="J173" s="16"/>
        <tr r="J344" s="16"/>
        <tr r="J287" s="16"/>
        <tr r="J435" s="16"/>
        <tr r="J296" s="16"/>
        <tr r="J255" s="16"/>
        <tr r="J134" s="16"/>
        <tr r="J265" s="16"/>
        <tr r="J215" s="16"/>
        <tr r="J458" s="16"/>
        <tr r="J206" s="16"/>
        <tr r="J399" s="16"/>
        <tr r="J164" s="16"/>
        <tr r="J227" s="16"/>
        <tr r="J158" s="16"/>
        <tr r="J249" s="16"/>
        <tr r="J238" s="16"/>
        <tr r="J270" s="16"/>
        <tr r="J330" s="16"/>
        <tr r="J228" s="16"/>
        <tr r="J152" s="16"/>
        <tr r="J170" s="16"/>
        <tr r="J165" s="16"/>
        <tr r="J353" s="16"/>
        <tr r="J373" s="16"/>
        <tr r="J286" s="16"/>
        <tr r="J381" s="16"/>
        <tr r="J261" s="16"/>
        <tr r="J350" s="16"/>
        <tr r="J322" s="16"/>
        <tr r="J177" s="16"/>
        <tr r="J183" s="16"/>
        <tr r="J308" s="16"/>
        <tr r="J168" s="16"/>
        <tr r="J387" s="16"/>
        <tr r="J203" s="16"/>
        <tr r="J395" s="16"/>
        <tr r="J129" s="16"/>
        <tr r="J198" s="16"/>
        <tr r="J323" s="16"/>
        <tr r="J195" s="16"/>
        <tr r="J160" s="16"/>
        <tr r="J221" s="16"/>
        <tr r="J358" s="16"/>
        <tr r="J327" s="16"/>
        <tr r="J309" s="16"/>
        <tr r="J369" s="16"/>
        <tr r="J253" s="16"/>
        <tr r="J446" s="16"/>
        <tr r="J186" s="16"/>
        <tr r="J278" s="16"/>
        <tr r="J156" s="16"/>
        <tr r="J324" s="16"/>
        <tr r="J295" s="16"/>
        <tr r="J404" s="16"/>
        <tr r="J326" s="16"/>
        <tr r="J272" s="16"/>
        <tr r="J360" s="16"/>
        <tr r="J275" s="16"/>
        <tr r="J180" s="16"/>
        <tr r="J210" s="16"/>
        <tr r="J374" s="16"/>
        <tr r="J408" s="16"/>
        <tr r="J161" s="16"/>
        <tr r="J413" s="16"/>
        <tr r="J154" s="16"/>
        <tr r="J441" s="16"/>
        <tr r="J155" s="16"/>
        <tr r="J401" s="16"/>
        <tr r="J212" s="16"/>
        <tr r="J141" s="16"/>
        <tr r="J362" s="16"/>
        <tr r="J415" s="16"/>
        <tr r="J433" s="16"/>
        <tr r="J146" s="16"/>
      </tp>
    </main>
    <main first="rtdsrv.bed1b1f6e97c4c9f9ae958b1f8b490de">
      <tp>
        <v>926.96630000000005</v>
        <stp/>
        <stp>Market</stp>
        <stp>STOCK</stp>
        <stp>95190.T</stp>
        <stp>出来高加重平均</stp>
        <tr r="I52" s="16"/>
      </tp>
      <tp>
        <v>2299.8663999999999</v>
        <stp/>
        <stp>Market</stp>
        <stp>STOCK</stp>
        <stp>94120.T</stp>
        <stp>出来高加重平均</stp>
        <tr r="I48" s="16"/>
      </tp>
      <tp>
        <v>5699.4425000000001</v>
        <stp/>
        <stp>Market</stp>
        <stp>STOCK</stp>
        <stp>99840.T</stp>
        <stp>出来高加重平均</stp>
        <tr r="I13" s="16"/>
      </tp>
    </main>
    <main first="rtdsrv.bed1b1f6e97c4c9f9ae958b1f8b490de">
      <tp>
        <v>1423.2587000000001</v>
        <stp/>
        <stp>Market</stp>
        <stp>STOCK</stp>
        <stp>85930.T</stp>
        <stp>出来高加重平均</stp>
        <tr r="I26" s="16"/>
      </tp>
      <tp>
        <v>4401.5064000000002</v>
        <stp/>
        <stp>Market</stp>
        <stp>STOCK</stp>
        <stp>84240.T</stp>
        <stp>出来高加重平均</stp>
        <tr r="I19" s="16"/>
      </tp>
      <tp>
        <v>2588.6388000000002</v>
        <stp/>
        <stp>Market</stp>
        <stp>STOCK</stp>
        <stp>83340.T</stp>
        <stp>出来高加重平均</stp>
        <tr r="I11" s="16"/>
      </tp>
      <tp>
        <v>3240.0396000000001</v>
        <stp/>
        <stp>Market</stp>
        <stp>STOCK</stp>
        <stp>88710.T</stp>
        <stp>出来高加重平均</stp>
        <tr r="I43" s="16"/>
      </tp>
    </main>
    <main first="rtdsrv.bed1b1f6e97c4c9f9ae958b1f8b490de">
      <tp>
        <v>4026.39</v>
        <stp/>
        <stp>Market</stp>
        <stp>INDEX</stp>
        <stp>TOPX</stp>
        <stp>安値</stp>
        <tr r="C5" s="10"/>
        <tr r="I36" s="5"/>
        <tr r="I3" s="4"/>
      </tp>
    </main>
    <main first="rtdsrv.bed1b1f6e97c4c9f9ae958b1f8b490de">
      <tp>
        <v>4041.15</v>
        <stp/>
        <stp>Market</stp>
        <stp>INDEX</stp>
        <stp>TOPX</stp>
        <stp>始値</stp>
        <tr r="C5" s="8"/>
        <tr r="F36" s="5"/>
        <tr r="F3" s="4"/>
      </tp>
    </main>
    <main first="rtdsrv.bed1b1f6e97c4c9f9ae958b1f8b490de">
      <tp>
        <v>57</v>
        <stp/>
        <stp>Market</stp>
        <stp>STOCK</stp>
        <stp>33970.T</stp>
        <stp>前日比</stp>
        <tr r="J22" s="16"/>
        <tr r="J30" s="16"/>
      </tp>
      <tp>
        <v>-212</v>
        <stp/>
        <stp>Market</stp>
        <stp>STOCK</stp>
        <stp>34360.T</stp>
        <stp>前日比</stp>
        <tr r="J55" s="16"/>
      </tp>
      <tp>
        <v>111</v>
        <stp/>
        <stp>Market</stp>
        <stp>STOCK</stp>
        <stp>34020.T</stp>
        <stp>前日比</stp>
        <tr r="J57" s="16"/>
      </tp>
      <tp>
        <v>-130</v>
        <stp/>
        <stp>Market</stp>
        <stp>STOCK</stp>
        <stp>38910.T</stp>
        <stp>前日比</stp>
        <tr r="J29" s="16"/>
        <tr r="J20" s="16"/>
      </tp>
    </main>
    <main first="rtdsrv.bed1b1f6e97c4c9f9ae958b1f8b490de">
      <tp>
        <v>-22</v>
        <stp/>
        <stp>Market</stp>
        <stp>STOCK</stp>
        <stp>281A0.T</stp>
        <stp>前日比</stp>
        <tr r="J9" s="16"/>
      </tp>
      <tp>
        <v>205</v>
        <stp/>
        <stp>Market</stp>
        <stp>STOCK</stp>
        <stp>29140.T</stp>
        <stp>前日比</stp>
        <tr r="J38" s="16"/>
      </tp>
    </main>
    <main first="rtdsrv.bed1b1f6e97c4c9f9ae958b1f8b490de">
      <tp>
        <v>-42</v>
        <stp/>
        <stp>Market</stp>
        <stp>STOCK</stp>
        <stp>19420.T</stp>
        <stp>前日比</stp>
        <tr r="J39" s="16"/>
      </tp>
    </main>
    <main first="rtdsrv.bed1b1f6e97c4c9f9ae958b1f8b490de">
      <tp>
        <v>-45</v>
        <stp/>
        <stp>Market</stp>
        <stp>STOCK</stp>
        <stp>73750.T</stp>
        <stp>前日比</stp>
        <tr r="J21" s="16"/>
      </tp>
      <tp>
        <v>-2</v>
        <stp/>
        <stp>Market</stp>
        <stp>STOCK</stp>
        <stp>70110.T</stp>
        <stp>前日比</stp>
        <tr r="J50" s="16"/>
      </tp>
      <tp>
        <v>-120</v>
        <stp/>
        <stp>Market</stp>
        <stp>STOCK</stp>
        <stp>77110.T</stp>
        <stp>前日比</stp>
        <tr r="J58" s="16"/>
        <tr r="J16" s="16"/>
      </tp>
      <tp>
        <v>-14</v>
        <stp/>
        <stp>Market</stp>
        <stp>STOCK</stp>
        <stp>77460.T</stp>
        <stp>前日比</stp>
        <tr r="J8" s="16"/>
      </tp>
      <tp>
        <v>50</v>
        <stp/>
        <stp>Market</stp>
        <stp>STOCK</stp>
        <stp>79810.T</stp>
        <stp>前日比</stp>
        <tr r="J14" s="16"/>
        <tr r="J31" s="16"/>
        <tr r="J23" s="16"/>
      </tp>
      <tp>
        <v>15</v>
        <stp/>
        <stp>Market</stp>
        <stp>STOCK</stp>
        <stp>79520.T</stp>
        <stp>前日比</stp>
        <tr r="J35" s="16"/>
      </tp>
    </main>
    <main first="rtdsrv.bed1b1f6e97c4c9f9ae958b1f8b490de">
      <tp>
        <v>-570</v>
        <stp/>
        <stp>Market</stp>
        <stp>STOCK</stp>
        <stp>63870.T</stp>
        <stp>前日比</stp>
        <tr r="J12" s="16"/>
      </tp>
      <tp>
        <v>-30</v>
        <stp/>
        <stp>Market</stp>
        <stp>STOCK</stp>
        <stp>63270.T</stp>
        <stp>前日比</stp>
        <tr r="J40" s="16"/>
      </tp>
      <tp>
        <v>-32</v>
        <stp/>
        <stp>Market</stp>
        <stp>STOCK</stp>
        <stp>60270.T</stp>
        <stp>前日比</stp>
        <tr r="J45" s="16"/>
      </tp>
      <tp>
        <v>38</v>
        <stp/>
        <stp>Market</stp>
        <stp>STOCK</stp>
        <stp>61780.T</stp>
        <stp>前日比</stp>
        <tr r="J4" s="16"/>
      </tp>
      <tp>
        <v>-2150</v>
        <stp/>
        <stp>Market</stp>
        <stp>STOCK</stp>
        <stp>61460.T</stp>
        <stp>前日比</stp>
        <tr r="J7" s="16"/>
      </tp>
      <tp>
        <v>-1070</v>
        <stp/>
        <stp>Market</stp>
        <stp>STOCK</stp>
        <stp>66220.T</stp>
        <stp>前日比</stp>
        <tr r="J32" s="16"/>
        <tr r="J24" s="16"/>
      </tp>
      <tp>
        <v>-5</v>
        <stp/>
        <stp>Market</stp>
        <stp>STOCK</stp>
        <stp>64880.T</stp>
        <stp>前日比</stp>
        <tr r="J34" s="16"/>
      </tp>
      <tp>
        <v>16</v>
        <stp/>
        <stp>Market</stp>
        <stp>STOCK</stp>
        <stp>64360.T</stp>
        <stp>前日比</stp>
        <tr r="J10" s="16"/>
        <tr r="J44" s="16"/>
      </tp>
      <tp>
        <v>-360</v>
        <stp/>
        <stp>Market</stp>
        <stp>STOCK</stp>
        <stp>64790.T</stp>
        <stp>前日比</stp>
        <tr r="J56" s="16"/>
      </tp>
      <tp>
        <v>-48</v>
        <stp/>
        <stp>Market</stp>
        <stp>STOCK</stp>
        <stp>65220.T</stp>
        <stp>前日比</stp>
        <tr r="J6" s="16"/>
      </tp>
      <tp>
        <v>4</v>
        <stp/>
        <stp>Market</stp>
        <stp>STOCK</stp>
        <stp>68620.T</stp>
        <stp>前日比</stp>
        <tr r="J36" s="16"/>
      </tp>
      <tp>
        <v>33</v>
        <stp/>
        <stp>Market</stp>
        <stp>STOCK</stp>
        <stp>68410.T</stp>
        <stp>前日比</stp>
        <tr r="J47" s="16"/>
      </tp>
      <tp>
        <v>-18</v>
        <stp/>
        <stp>Market</stp>
        <stp>STOCK</stp>
        <stp>69280.T</stp>
        <stp>前日比</stp>
        <tr r="J33" s="16"/>
      </tp>
      <tp>
        <v>10</v>
        <stp/>
        <stp>Market</stp>
        <stp>STOCK</stp>
        <stp>69550.T</stp>
        <stp>前日比</stp>
        <tr r="J17" s="16"/>
      </tp>
      <tp>
        <v>-30</v>
        <stp/>
        <stp>Market</stp>
        <stp>STOCK</stp>
        <stp>69540.T</stp>
        <stp>前日比</stp>
        <tr r="J46" s="16"/>
      </tp>
    </main>
    <main first="rtdsrv.bed1b1f6e97c4c9f9ae958b1f8b490de">
      <tp>
        <v>243</v>
        <stp/>
        <stp>Market</stp>
        <stp>STOCK</stp>
        <stp>52330.T</stp>
        <stp>前日比</stp>
        <tr r="J54" s="16"/>
      </tp>
      <tp>
        <v>21</v>
        <stp/>
        <stp>Market</stp>
        <stp>STOCK</stp>
        <stp>52010.T</stp>
        <stp>前日比</stp>
        <tr r="J51" s="16"/>
      </tp>
      <tp>
        <v>525</v>
        <stp/>
        <stp>Market</stp>
        <stp>STOCK</stp>
        <stp>57130.T</stp>
        <stp>前日比</stp>
        <tr r="J42" s="16"/>
      </tp>
    </main>
    <main first="rtdsrv.bed1b1f6e97c4c9f9ae958b1f8b490de">
      <tp>
        <v>168</v>
        <stp/>
        <stp>Market</stp>
        <stp>STOCK</stp>
        <stp>43070.T</stp>
        <stp>前日比</stp>
        <tr r="J18" s="16"/>
      </tp>
      <tp>
        <v>-28</v>
        <stp/>
        <stp>Market</stp>
        <stp>STOCK</stp>
        <stp>40820.T</stp>
        <stp>前日比</stp>
        <tr r="J28" s="16"/>
      </tp>
      <tp>
        <v>187</v>
        <stp/>
        <stp>Market</stp>
        <stp>STOCK</stp>
        <stp>40080.T</stp>
        <stp>前日比</stp>
        <tr r="J53" s="16"/>
      </tp>
      <tp>
        <v>4</v>
        <stp/>
        <stp>Market</stp>
        <stp>STOCK</stp>
        <stp>40630.T</stp>
        <stp>前日比</stp>
        <tr r="J25" s="16"/>
      </tp>
      <tp>
        <v>30</v>
        <stp/>
        <stp>Market</stp>
        <stp>STOCK</stp>
        <stp>41880.T</stp>
        <stp>前日比</stp>
        <tr r="J5" s="16"/>
        <tr r="J37" s="16"/>
      </tp>
      <tp>
        <v>93.5</v>
        <stp/>
        <stp>Market</stp>
        <stp>STOCK</stp>
        <stp>46610.T</stp>
        <stp>前日比</stp>
        <tr r="J41" s="16"/>
      </tp>
      <tp>
        <v>171</v>
        <stp/>
        <stp>Market</stp>
        <stp>STOCK</stp>
        <stp>45230.T</stp>
        <stp>前日比</stp>
        <tr r="J27" s="16"/>
      </tp>
      <tp>
        <v>49</v>
        <stp/>
        <stp>Market</stp>
        <stp>STOCK</stp>
        <stp>45400.T</stp>
        <stp>前日比</stp>
        <tr r="J15" s="16"/>
      </tp>
      <tp>
        <v>-195</v>
        <stp/>
        <stp>Market</stp>
        <stp>STOCK</stp>
        <stp>49800.T</stp>
        <stp>前日比</stp>
        <tr r="J49" s="16"/>
      </tp>
      <tp>
        <v>-258</v>
        <stp/>
        <stp>Market</stp>
        <stp>STOCK</stp>
        <stp>94120.T</stp>
        <stp>前日比</stp>
        <tr r="J48" s="16"/>
      </tp>
      <tp>
        <v>-3</v>
        <stp/>
        <stp>Market</stp>
        <stp>STOCK</stp>
        <stp>95190.T</stp>
        <stp>前日比</stp>
        <tr r="J52" s="16"/>
      </tp>
      <tp>
        <v>-263</v>
        <stp/>
        <stp>Market</stp>
        <stp>STOCK</stp>
        <stp>99840.T</stp>
        <stp>前日比</stp>
        <tr r="J13" s="16"/>
      </tp>
      <tp>
        <v>26</v>
        <stp/>
        <stp>Market</stp>
        <stp>STOCK</stp>
        <stp>83340.T</stp>
        <stp>前日比</stp>
        <tr r="J11" s="16"/>
      </tp>
      <tp>
        <v>48</v>
        <stp/>
        <stp>Market</stp>
        <stp>STOCK</stp>
        <stp>84240.T</stp>
        <stp>前日比</stp>
        <tr r="J19" s="16"/>
      </tp>
      <tp>
        <v>11</v>
        <stp/>
        <stp>Market</stp>
        <stp>STOCK</stp>
        <stp>85930.T</stp>
        <stp>前日比</stp>
        <tr r="J26" s="16"/>
      </tp>
      <tp>
        <v>-5</v>
        <stp/>
        <stp>Market</stp>
        <stp>STOCK</stp>
        <stp>88710.T</stp>
        <stp>前日比</stp>
        <tr r="J43" s="16"/>
      </tp>
      <tp>
        <v>48300</v>
        <stp/>
        <stp>Market</stp>
        <stp>STOCK</stp>
        <stp>285A0.T</stp>
        <stp>安値</stp>
        <tr r="C218" s="10"/>
      </tp>
      <tp>
        <v>451</v>
        <stp/>
        <stp>Market</stp>
        <stp>STOCK</stp>
        <stp>281A0.T</stp>
        <stp>安値</stp>
        <tr r="C266" s="10"/>
      </tp>
      <tp>
        <v>12670</v>
        <stp/>
        <stp>Market</stp>
        <stp>STOCK</stp>
        <stp>278A0.T</stp>
        <stp>安値</stp>
        <tr r="C251" s="10"/>
      </tp>
      <tp>
        <v>3000</v>
        <stp/>
        <stp>Market</stp>
        <stp>STOCK</stp>
        <stp>300A0.T</stp>
        <stp>安値</stp>
        <tr r="C252" s="10"/>
      </tp>
      <tp>
        <v>1149</v>
        <stp/>
        <stp>Market</stp>
        <stp>STOCK</stp>
        <stp>186A0.T</stp>
        <stp>安値</stp>
        <tr r="C299" s="10"/>
      </tp>
      <tp>
        <v>3155</v>
        <stp/>
        <stp>Market</stp>
        <stp>STOCK</stp>
        <stp>141A0.T</stp>
        <stp>安値</stp>
        <tr r="C219" s="10"/>
      </tp>
      <tp>
        <v>843</v>
        <stp/>
        <stp>Market</stp>
        <stp>STOCK</stp>
        <stp>155A0.T</stp>
        <stp>安値</stp>
        <tr r="C250" s="10"/>
      </tp>
      <tp>
        <v>1845</v>
        <stp/>
        <stp>Market</stp>
        <stp>STOCK</stp>
        <stp>485A0.T</stp>
        <stp>安値</stp>
        <tr r="C221" s="10"/>
      </tp>
      <tp>
        <v>1607</v>
        <stp/>
        <stp>Market</stp>
        <stp>STOCK</stp>
        <stp>464A0.T</stp>
        <stp>安値</stp>
        <tr r="C220" s="10"/>
      </tp>
    </main>
    <main first="rtdsrv.bed1b1f6e97c4c9f9ae958b1f8b490de">
      <tp t="s">
        <v/>
        <stp/>
        <stp>Market</stp>
        <stp>STOCK</stp>
        <stp/>
        <stp>出来高加重平均</stp>
        <tr r="I179" s="16"/>
        <tr r="I384" s="16"/>
        <tr r="I382" s="16"/>
        <tr r="I251" s="16"/>
        <tr r="I143" s="16"/>
        <tr r="I233" s="16"/>
        <tr r="I428" s="16"/>
        <tr r="I250" s="16"/>
        <tr r="I193" s="16"/>
        <tr r="I221" s="16"/>
        <tr r="I318" s="16"/>
        <tr r="I161" s="16"/>
        <tr r="I293" s="16"/>
        <tr r="I289" s="16"/>
        <tr r="I263" s="16"/>
        <tr r="I139" s="16"/>
        <tr r="I181" s="16"/>
        <tr r="I415" s="16"/>
        <tr r="I187" s="16"/>
        <tr r="I317" s="16"/>
        <tr r="I393" s="16"/>
        <tr r="I306" s="16"/>
        <tr r="I341" s="16"/>
        <tr r="I182" s="16"/>
        <tr r="I305" s="16"/>
        <tr r="I410" s="16"/>
        <tr r="I227" s="16"/>
        <tr r="I186" s="16"/>
        <tr r="I380" s="16"/>
        <tr r="I292" s="16"/>
        <tr r="I447" s="16"/>
        <tr r="I357" s="16"/>
        <tr r="I232" s="16"/>
        <tr r="I321" s="16"/>
        <tr r="I204" s="16"/>
        <tr r="I255" s="16"/>
        <tr r="I337" s="16"/>
        <tr r="I151" s="16"/>
        <tr r="I268" s="16"/>
        <tr r="I197" s="16"/>
        <tr r="I240" s="16"/>
        <tr r="I364" s="16"/>
        <tr r="I207" s="16"/>
        <tr r="I152" s="16"/>
        <tr r="I407" s="16"/>
        <tr r="I149" s="16"/>
        <tr r="I451" s="16"/>
        <tr r="I401" s="16"/>
        <tr r="I201" s="16"/>
        <tr r="I290" s="16"/>
        <tr r="I422" s="16"/>
        <tr r="I369" s="16"/>
        <tr r="I205" s="16"/>
        <tr r="I414" s="16"/>
        <tr r="I459" s="16"/>
        <tr r="I184" s="16"/>
        <tr r="I191" s="16"/>
        <tr r="I171" s="16"/>
        <tr r="I125" s="16"/>
        <tr r="I343" s="16"/>
        <tr r="I351" s="16"/>
        <tr r="I215" s="16"/>
        <tr r="I395" s="16"/>
        <tr r="I388" s="16"/>
        <tr r="I160" s="16"/>
        <tr r="I359" s="16"/>
        <tr r="I156" s="16"/>
        <tr r="I324" s="16"/>
        <tr r="I212" s="16"/>
        <tr r="I266" s="16"/>
        <tr r="I141" s="16"/>
        <tr r="I297" s="16"/>
        <tr r="I397" s="16"/>
        <tr r="I280" s="16"/>
        <tr r="I285" s="16"/>
        <tr r="I220" s="16"/>
        <tr r="I349" s="16"/>
        <tr r="I329" s="16"/>
        <tr r="C33" s="14"/>
        <tr r="I300" s="16"/>
        <tr r="I445" s="16"/>
        <tr r="I245" s="16"/>
        <tr r="I130" s="16"/>
        <tr r="I168" s="16"/>
        <tr r="I145" s="16"/>
        <tr r="I441" s="16"/>
        <tr r="I399" s="16"/>
        <tr r="I381" s="16"/>
        <tr r="I234" s="16"/>
        <tr r="I200" s="16"/>
        <tr r="I313" s="16"/>
        <tr r="I427" s="16"/>
        <tr r="I174" s="16"/>
        <tr r="I148" s="16"/>
        <tr r="I436" s="16"/>
        <tr r="I195" s="16"/>
        <tr r="I167" s="16"/>
        <tr r="I271" s="16"/>
        <tr r="I190" s="16"/>
        <tr r="I339" s="16"/>
        <tr r="I296" s="16"/>
        <tr r="I319" s="16"/>
        <tr r="I140" s="16"/>
        <tr r="I131" s="16"/>
        <tr r="I457" s="16"/>
        <tr r="I126" s="16"/>
        <tr r="I311" s="16"/>
        <tr r="I288" s="16"/>
        <tr r="I243" s="16"/>
        <tr r="I418" s="16"/>
        <tr r="I460" s="16"/>
        <tr r="I194" s="16"/>
        <tr r="I183" s="16"/>
        <tr r="I371" s="16"/>
        <tr r="I133" s="16"/>
        <tr r="I352" s="16"/>
        <tr r="I391" s="16"/>
        <tr r="I344" s="16"/>
        <tr r="I358" s="16"/>
        <tr r="I180" s="16"/>
        <tr r="I347" s="16"/>
        <tr r="I396" s="16"/>
        <tr r="I448" s="16"/>
        <tr r="I385" s="16"/>
        <tr r="I426" s="16"/>
        <tr r="I142" s="16"/>
        <tr r="I154" s="16"/>
        <tr r="I216" s="16"/>
        <tr r="I368" s="16"/>
        <tr r="I173" s="16"/>
        <tr r="I196" s="16"/>
        <tr r="I403" s="16"/>
        <tr r="I433" s="16"/>
        <tr r="I267" s="16"/>
        <tr r="I400" s="16"/>
        <tr r="I246" s="16"/>
        <tr r="I438" s="16"/>
        <tr r="I203" s="16"/>
        <tr r="I458" s="16"/>
        <tr r="I322" s="16"/>
        <tr r="I202" s="16"/>
        <tr r="I224" s="16"/>
        <tr r="I242" s="16"/>
        <tr r="I163" s="16"/>
        <tr r="I211" s="16"/>
        <tr r="I273" s="16"/>
        <tr r="I298" s="16"/>
        <tr r="I336" s="16"/>
        <tr r="I162" s="16"/>
        <tr r="I440" s="16"/>
        <tr r="I261" s="16"/>
        <tr r="I138" s="16"/>
        <tr r="I217" s="16"/>
        <tr r="I432" s="16"/>
        <tr r="I405" s="16"/>
        <tr r="I345" s="16"/>
        <tr r="I374" s="16"/>
        <tr r="I214" s="16"/>
        <tr r="I326" s="16"/>
        <tr r="I430" s="16"/>
        <tr r="I185" s="16"/>
        <tr r="I235" s="16"/>
        <tr r="I421" s="16"/>
        <tr r="I213" s="16"/>
        <tr r="I157" s="16"/>
        <tr r="I452" s="16"/>
        <tr r="I442" s="16"/>
        <tr r="I387" s="16"/>
        <tr r="I425" s="16"/>
        <tr r="I198" s="16"/>
        <tr r="I309" s="16"/>
        <tr r="I239" s="16"/>
        <tr r="I159" s="16"/>
        <tr r="I372" s="16"/>
        <tr r="I134" s="16"/>
        <tr r="I331" s="16"/>
        <tr r="I450" s="16"/>
        <tr r="I376" s="16"/>
        <tr r="I325" s="16"/>
        <tr r="I295" s="16"/>
        <tr r="I417" s="16"/>
        <tr r="I431" s="16"/>
        <tr r="I209" s="16"/>
        <tr r="I278" s="16"/>
        <tr r="I416" s="16"/>
        <tr r="I424" s="16"/>
        <tr r="I404" s="16"/>
        <tr r="I150" s="16"/>
        <tr r="I276" s="16"/>
        <tr r="I411" s="16"/>
        <tr r="I260" s="16"/>
        <tr r="I348" s="16"/>
        <tr r="I316" s="16"/>
        <tr r="I262" s="16"/>
        <tr r="I363" s="16"/>
        <tr r="I236" s="16"/>
        <tr r="I323" s="16"/>
        <tr r="I302" s="16"/>
        <tr r="I346" s="16"/>
        <tr r="I281" s="16"/>
        <tr r="I176" s="16"/>
        <tr r="I310" s="16"/>
        <tr r="I218" s="16"/>
        <tr r="I307" s="16"/>
        <tr r="I437" s="16"/>
        <tr r="I124" s="16"/>
        <tr r="I226" s="16"/>
        <tr r="I429" s="16"/>
        <tr r="I230" s="16"/>
        <tr r="I406" s="16"/>
        <tr r="I137" s="16"/>
        <tr r="I377" s="16"/>
        <tr r="I166" s="16"/>
        <tr r="I155" s="16"/>
        <tr r="I253" s="16"/>
        <tr r="I443" s="16"/>
        <tr r="I342" s="16"/>
        <tr r="I333" s="16"/>
        <tr r="I282" s="16"/>
        <tr r="I379" s="16"/>
        <tr r="I164" s="16"/>
        <tr r="I365" s="16"/>
        <tr r="I389" s="16"/>
        <tr r="I252" s="16"/>
        <tr r="I127" s="16"/>
        <tr r="I330" s="16"/>
        <tr r="I353" s="16"/>
        <tr r="I219" s="16"/>
        <tr r="I189" s="16"/>
        <tr r="I392" s="16"/>
        <tr r="I208" s="16"/>
        <tr r="I284" s="16"/>
        <tr r="I455" s="16"/>
        <tr r="I254" s="16"/>
        <tr r="I303" s="16"/>
        <tr r="I315" s="16"/>
        <tr r="I229" s="16"/>
        <tr r="I378" s="16"/>
        <tr r="I412" s="16"/>
        <tr r="I327" s="16"/>
        <tr r="I354" s="16"/>
        <tr r="I244" s="16"/>
        <tr r="I121" s="16"/>
        <tr r="I238" s="16"/>
        <tr r="I256" s="16"/>
        <tr r="I225" s="16"/>
        <tr r="I340" s="16"/>
        <tr r="I286" s="16"/>
        <tr r="I144" s="16"/>
        <tr r="I454" s="16"/>
        <tr r="I320" s="16"/>
        <tr r="I435" s="16"/>
        <tr r="I420" s="16"/>
        <tr r="I199" s="16"/>
        <tr r="I132" s="16"/>
        <tr r="I446" s="16"/>
        <tr r="I360" s="16"/>
        <tr r="I247" s="16"/>
        <tr r="I312" s="16"/>
        <tr r="I128" s="16"/>
        <tr r="I277" s="16"/>
        <tr r="I332" s="16"/>
        <tr r="I334" s="16"/>
        <tr r="I294" s="16"/>
        <tr r="I444" s="16"/>
        <tr r="I361" s="16"/>
        <tr r="I304" s="16"/>
        <tr r="I394" s="16"/>
        <tr r="I308" s="16"/>
        <tr r="I287" s="16"/>
        <tr r="I419" s="16"/>
        <tr r="I188" s="16"/>
        <tr r="I409" s="16"/>
        <tr r="I279" s="16"/>
        <tr r="I249" s="16"/>
        <tr r="I449" s="16"/>
        <tr r="I338" s="16"/>
        <tr r="I135" s="16"/>
        <tr r="I350" s="16"/>
        <tr r="I370" s="16"/>
        <tr r="I335" s="16"/>
        <tr r="I272" s="16"/>
        <tr r="I383" s="16"/>
        <tr r="I355" s="16"/>
        <tr r="I153" s="16"/>
        <tr r="I222" s="16"/>
        <tr r="I283" s="16"/>
        <tr r="I147" s="16"/>
        <tr r="I177" s="16"/>
        <tr r="I453" s="16"/>
        <tr r="I231" s="16"/>
        <tr r="I248" s="16"/>
        <tr r="I206" s="16"/>
        <tr r="I237" s="16"/>
        <tr r="I123" s="16"/>
        <tr r="I257" s="16"/>
        <tr r="I386" s="16"/>
        <tr r="I129" s="16"/>
        <tr r="I170" s="16"/>
        <tr r="I259" s="16"/>
        <tr r="I169" s="16"/>
        <tr r="I210" s="16"/>
        <tr r="I314" s="16"/>
        <tr r="I241" s="16"/>
        <tr r="I158" s="16"/>
        <tr r="I423" s="16"/>
        <tr r="I274" s="16"/>
        <tr r="I362" s="16"/>
        <tr r="I228" s="16"/>
        <tr r="I269" s="16"/>
        <tr r="I136" s="16"/>
        <tr r="I178" s="16"/>
        <tr r="I291" s="16"/>
        <tr r="I192" s="16"/>
        <tr r="I461" s="16"/>
        <tr r="I258" s="16"/>
        <tr r="I456" s="16"/>
        <tr r="I373" s="16"/>
        <tr r="I367" s="16"/>
        <tr r="I265" s="16"/>
        <tr r="I146" s="16"/>
        <tr r="I434" s="16"/>
        <tr r="I165" s="16"/>
        <tr r="I264" s="16"/>
        <tr r="I122" s="16"/>
        <tr r="I439" s="16"/>
        <tr r="I413" s="16"/>
        <tr r="I299" s="16"/>
        <tr r="I275" s="16"/>
        <tr r="I402" s="16"/>
        <tr r="I270" s="16"/>
        <tr r="I301" s="16"/>
        <tr r="I375" s="16"/>
        <tr r="I328" s="16"/>
        <tr r="I366" s="16"/>
        <tr r="I408" s="16"/>
        <tr r="I398" s="16"/>
        <tr r="I223" s="16"/>
        <tr r="I175" s="16"/>
        <tr r="I356" s="16"/>
        <tr r="I390" s="16"/>
        <tr r="I172" s="16"/>
      </tp>
    </main>
    <main first="rtdsrv.bed1b1f6e97c4c9f9ae958b1f8b490de">
      <tp>
        <v>1152</v>
        <stp/>
        <stp>Market</stp>
        <stp>STOCK</stp>
        <stp>186A0.T</stp>
        <stp>始値</stp>
        <tr r="C299" s="8"/>
      </tp>
      <tp>
        <v>3295</v>
        <stp/>
        <stp>Market</stp>
        <stp>STOCK</stp>
        <stp>141A0.T</stp>
        <stp>始値</stp>
        <tr r="C219" s="8"/>
      </tp>
      <tp>
        <v>854</v>
        <stp/>
        <stp>Market</stp>
        <stp>STOCK</stp>
        <stp>155A0.T</stp>
        <stp>始値</stp>
        <tr r="C250" s="8"/>
      </tp>
      <tp>
        <v>50010</v>
        <stp/>
        <stp>Market</stp>
        <stp>STOCK</stp>
        <stp>285A0.T</stp>
        <stp>始値</stp>
        <tr r="C218" s="8"/>
      </tp>
      <tp>
        <v>470</v>
        <stp/>
        <stp>Market</stp>
        <stp>STOCK</stp>
        <stp>281A0.T</stp>
        <stp>始値</stp>
        <tr r="C266" s="8"/>
      </tp>
      <tp>
        <v>12670</v>
        <stp/>
        <stp>Market</stp>
        <stp>STOCK</stp>
        <stp>278A0.T</stp>
        <stp>始値</stp>
        <tr r="C251" s="8"/>
      </tp>
      <tp>
        <v>3000</v>
        <stp/>
        <stp>Market</stp>
        <stp>STOCK</stp>
        <stp>300A0.T</stp>
        <stp>始値</stp>
        <tr r="C252" s="8"/>
      </tp>
      <tp>
        <v>1870</v>
        <stp/>
        <stp>Market</stp>
        <stp>STOCK</stp>
        <stp>485A0.T</stp>
        <stp>始値</stp>
        <tr r="C221" s="8"/>
      </tp>
      <tp>
        <v>1619</v>
        <stp/>
        <stp>Market</stp>
        <stp>STOCK</stp>
        <stp>464A0.T</stp>
        <stp>始値</stp>
        <tr r="C220" s="8"/>
      </tp>
      <tp t="s">
        <v/>
        <stp/>
        <stp>ChartPast</stp>
        <stp>3198493103328,2,2,0,0</stp>
        <stp>3401</stp>
        <stp>D</stp>
        <stp>20260303</stp>
        <stp>120</stp>
        <tr r="A3" s="13"/>
      </tp>
      <tp>
        <v>4055.85</v>
        <stp/>
        <stp>Market</stp>
        <stp>INDEX</stp>
        <stp>TOPX</stp>
        <stp>現在値</stp>
        <tr r="C5" s="1"/>
        <tr r="C5" s="11"/>
        <tr r="E36" s="5"/>
        <tr r="E3" s="4"/>
      </tp>
    </main>
    <main first="rtdsrv.bed1b1f6e97c4c9f9ae958b1f8b490de">
      <tp>
        <v>54349.120000000003</v>
        <stp/>
        <stp>Market</stp>
        <stp>INDEX</stp>
        <stp>DJIA</stp>
        <stp>現在値</stp>
        <tr r="B3" s="17"/>
      </tp>
    </main>
    <main first="rtdsrv.bed1b1f6e97c4c9f9ae958b1f8b490de">
      <tp>
        <v>4065.66</v>
        <stp/>
        <stp>Market</stp>
        <stp>INDEX</stp>
        <stp>TOPX</stp>
        <stp>高値</stp>
        <tr r="C5" s="9"/>
        <tr r="H36" s="5"/>
        <tr r="H3" s="4"/>
      </tp>
    </main>
    <main first="rtdsrv.bed1b1f6e97c4c9f9ae958b1f8b490de">
      <tp>
        <v>3100</v>
        <stp/>
        <stp>Market</stp>
        <stp>STOCK</stp>
        <stp>300A0.T</stp>
        <stp>高値</stp>
        <tr r="C252" s="9"/>
      </tp>
      <tp>
        <v>50310</v>
        <stp/>
        <stp>Market</stp>
        <stp>STOCK</stp>
        <stp>285A0.T</stp>
        <stp>高値</stp>
        <tr r="C218" s="9"/>
      </tp>
      <tp>
        <v>472</v>
        <stp/>
        <stp>Market</stp>
        <stp>STOCK</stp>
        <stp>281A0.T</stp>
        <stp>高値</stp>
        <tr r="C266" s="9"/>
      </tp>
      <tp>
        <v>13950</v>
        <stp/>
        <stp>Market</stp>
        <stp>STOCK</stp>
        <stp>278A0.T</stp>
        <stp>高値</stp>
        <tr r="C251" s="9"/>
      </tp>
      <tp>
        <v>1202</v>
        <stp/>
        <stp>Market</stp>
        <stp>STOCK</stp>
        <stp>186A0.T</stp>
        <stp>高値</stp>
        <tr r="C299" s="9"/>
      </tp>
      <tp>
        <v>3320</v>
        <stp/>
        <stp>Market</stp>
        <stp>STOCK</stp>
        <stp>141A0.T</stp>
        <stp>高値</stp>
        <tr r="C219" s="9"/>
      </tp>
      <tp>
        <v>866</v>
        <stp/>
        <stp>Market</stp>
        <stp>STOCK</stp>
        <stp>155A0.T</stp>
        <stp>高値</stp>
        <tr r="C250" s="9"/>
      </tp>
      <tp>
        <v>1965</v>
        <stp/>
        <stp>Market</stp>
        <stp>STOCK</stp>
        <stp>485A0.T</stp>
        <stp>高値</stp>
        <tr r="C221" s="9"/>
      </tp>
      <tp>
        <v>1684</v>
        <stp/>
        <stp>Market</stp>
        <stp>STOCK</stp>
        <stp>464A0.T</stp>
        <stp>高値</stp>
        <tr r="C220" s="9"/>
      </tp>
    </main>
    <main first="rtdsrv.bed1b1f6e97c4c9f9ae958b1f8b490de">
      <tp>
        <v>4700</v>
        <stp/>
        <stp>Market</stp>
        <stp>STOCK</stp>
        <stp>44170.T</stp>
        <stp>年初来高値</stp>
        <tr r="K112" s="5"/>
        <tr r="K163" s="4"/>
      </tp>
      <tp>
        <v>1343</v>
        <stp/>
        <stp>Market</stp>
        <stp>STOCK</stp>
        <stp>94160.T</stp>
        <stp>年初来高値</stp>
        <tr r="K107" s="5"/>
        <tr r="K21" s="4"/>
      </tp>
      <tp>
        <v>7260</v>
        <stp/>
        <stp>Market</stp>
        <stp>STOCK</stp>
        <stp>83160.T</stp>
        <stp>年初来高値</stp>
        <tr r="K70" s="5"/>
        <tr r="K50" s="4"/>
      </tp>
      <tp>
        <v>7880</v>
        <stp/>
        <stp>Market</stp>
        <stp>STOCK</stp>
        <stp>65160.T</stp>
        <stp>年初来高値</stp>
        <tr r="K96" s="4"/>
        <tr r="K29" s="5"/>
      </tp>
      <tp>
        <v>7559</v>
        <stp/>
        <stp>Market</stp>
        <stp>STOCK</stp>
        <stp>80150.T</stp>
        <stp>年初来高値</stp>
        <tr r="K61" s="4"/>
        <tr r="K65" s="5"/>
      </tp>
      <tp>
        <v>7218</v>
        <stp/>
        <stp>Market</stp>
        <stp>STOCK</stp>
        <stp>29140.T</stp>
        <stp>年初来高値</stp>
        <tr r="K189" s="4"/>
        <tr r="K182" s="5"/>
      </tp>
      <tp>
        <v>12380</v>
        <stp/>
        <stp>Market</stp>
        <stp>STOCK</stp>
        <stp>57140.T</stp>
        <stp>年初来高値</stp>
        <tr r="K47" s="5"/>
        <tr r="K128" s="4"/>
      </tp>
      <tp>
        <v>13300</v>
        <stp/>
        <stp>Market</stp>
        <stp>STOCK</stp>
        <stp>57130.T</stp>
        <stp>年初来高値</stp>
        <tr r="K46" s="5"/>
        <tr r="K129" s="4"/>
      </tp>
      <tp>
        <v>3620</v>
        <stp/>
        <stp>Market</stp>
        <stp>STOCK</stp>
        <stp>66130.T</stp>
        <stp>年初来高値</stp>
        <tr r="K3" s="5"/>
        <tr r="K94" s="4"/>
      </tp>
      <tp>
        <v>4720</v>
        <stp/>
        <stp>Market</stp>
        <stp>STOCK</stp>
        <stp>94120.T</stp>
        <stp>年初来高値</stp>
        <tr r="K22" s="4"/>
        <tr r="K22" s="5"/>
      </tp>
      <tp>
        <v>8040</v>
        <stp/>
        <stp>Market</stp>
        <stp>STOCK</stp>
        <stp>18120.T</stp>
        <stp>年初来高値</stp>
        <tr r="K121" s="5"/>
        <tr r="K204" s="4"/>
      </tp>
      <tp>
        <v>8816</v>
        <stp/>
        <stp>Market</stp>
        <stp>STOCK</stp>
        <stp>84110.T</stp>
        <stp>年初来高値</stp>
        <tr r="K66" s="5"/>
        <tr r="K47" s="4"/>
      </tp>
      <tp>
        <v>6126</v>
        <stp/>
        <stp>Market</stp>
        <stp>STOCK</stp>
        <stp>57110.T</stp>
        <stp>年初来高値</stp>
        <tr r="K130" s="4"/>
        <tr r="K87" s="5"/>
      </tp>
      <tp>
        <v>2359</v>
        <stp/>
        <stp>Market</stp>
        <stp>STOCK</stp>
        <stp>54110.T</stp>
        <stp>年初来高値</stp>
        <tr r="K7" s="5"/>
        <tr r="K137" s="4"/>
      </tp>
      <tp>
        <v>5208</v>
        <stp/>
        <stp>Market</stp>
        <stp>STOCK</stp>
        <stp>70110.T</stp>
        <stp>年初来高値</stp>
        <tr r="K197" s="5"/>
        <tr r="K77" s="4"/>
      </tp>
      <tp>
        <v>4580</v>
        <stp/>
        <stp>Market</stp>
        <stp>STOCK</stp>
        <stp>31100.T</stp>
        <stp>年初来高値</stp>
        <tr r="K185" s="4"/>
        <tr r="K109" s="5"/>
      </tp>
      <tp>
        <v>4280</v>
        <stp/>
        <stp>Market</stp>
        <stp>STOCK</stp>
        <stp>54100.T</stp>
        <stp>年初来高値</stp>
        <tr r="K138" s="4"/>
        <tr r="K118" s="5"/>
      </tp>
      <tp>
        <v>1671</v>
        <stp/>
        <stp>Market</stp>
        <stp>STOCK</stp>
        <stp>50190.T</stp>
        <stp>年初来高値</stp>
        <tr r="K148" s="4"/>
        <tr r="K140" s="5"/>
      </tp>
      <tp>
        <v>10700</v>
        <stp/>
        <stp>Market</stp>
        <stp>STOCK</stp>
        <stp>45190.T</stp>
        <stp>年初来高値</stp>
        <tr r="K205" s="5"/>
        <tr r="K161" s="4"/>
      </tp>
    </main>
    <main first="rtdsrv.bed1b1f6e97c4c9f9ae958b1f8b490de">
      <tp>
        <v>1906</v>
        <stp/>
        <stp>Market</stp>
        <stp>STOCK</stp>
        <stp>34070.T</stp>
        <stp>年初来高値</stp>
        <tr r="K182" s="4"/>
        <tr r="K183" s="5"/>
      </tp>
      <tp>
        <v>3758</v>
        <stp/>
        <stp>Market</stp>
        <stp>STOCK</stp>
        <stp>31070.T</stp>
        <stp>年初来高値</stp>
        <tr r="K186" s="4"/>
        <tr r="K13" s="5"/>
      </tp>
      <tp>
        <v>6300</v>
        <stp/>
        <stp>Market</stp>
        <stp>STOCK</stp>
        <stp>43070.T</stp>
        <stp>年初来高値</stp>
        <tr r="K166" s="4"/>
        <tr r="K151" s="5"/>
      </tp>
      <tp>
        <v>16900</v>
        <stp/>
        <stp>Market</stp>
        <stp>STOCK</stp>
        <stp>65070.T</stp>
        <stp>年初来高値</stp>
        <tr r="K97" s="4"/>
        <tr r="K64" s="5"/>
      </tp>
      <tp>
        <v>1323</v>
        <stp/>
        <stp>Market</stp>
        <stp>STOCK</stp>
        <stp>95060.T</stp>
        <stp>年初来高値</stp>
        <tr r="K16" s="4"/>
        <tr r="K193" s="5"/>
      </tp>
      <tp>
        <v>3813</v>
        <stp/>
        <stp>Market</stp>
        <stp>STOCK</stp>
        <stp>83060.T</stp>
        <stp>年初来高値</stp>
        <tr r="K201" s="5"/>
        <tr r="K53" s="4"/>
      </tp>
      <tp>
        <v>57700</v>
        <stp/>
        <stp>Market</stp>
        <stp>STOCK</stp>
        <stp>57060.T</stp>
        <stp>年初来高値</stp>
        <tr r="K131" s="4"/>
        <tr r="K11" s="5"/>
      </tp>
      <tp>
        <v>2379.5</v>
        <stp/>
        <stp>Market</stp>
        <stp>STOCK</stp>
        <stp>54060.T</stp>
        <stp>年初来高値</stp>
        <tr r="K95" s="5"/>
        <tr r="K139" s="4"/>
      </tp>
      <tp>
        <v>8380</v>
        <stp/>
        <stp>Market</stp>
        <stp>STOCK</stp>
        <stp>78060.T</stp>
        <stp>年初来高値</stp>
        <tr r="K65" s="4"/>
        <tr r="K55" s="5"/>
      </tp>
      <tp>
        <v>7915</v>
        <stp/>
        <stp>Market</stp>
        <stp>STOCK</stp>
        <stp>65060.T</stp>
        <stp>年初来高値</stp>
        <tr r="K20" s="5"/>
        <tr r="K98" s="4"/>
      </tp>
      <tp>
        <v>1142</v>
        <stp/>
        <stp>Market</stp>
        <stp>STOCK</stp>
        <stp>95050.T</stp>
        <stp>年初来高値</stp>
        <tr r="K17" s="4"/>
        <tr r="K157" s="5"/>
      </tp>
      <tp>
        <v>4955</v>
        <stp/>
        <stp>Market</stp>
        <stp>STOCK</stp>
        <stp>16050.T</stp>
        <stp>年初来高値</stp>
        <tr r="K166" s="5"/>
        <tr r="K206" s="4"/>
      </tp>
      <tp>
        <v>7225</v>
        <stp/>
        <stp>Market</stp>
        <stp>STOCK</stp>
        <stp>63050.T</stp>
        <stp>年初来高値</stp>
        <tr r="K107" s="4"/>
        <tr r="K85" s="5"/>
      </tp>
      <tp>
        <v>3953</v>
        <stp/>
        <stp>Market</stp>
        <stp>STOCK</stp>
        <stp>94040.T</stp>
        <stp>年初来高値</stp>
        <tr r="K78" s="5"/>
        <tr r="K23" s="4"/>
      </tp>
      <tp>
        <v>1636</v>
        <stp/>
        <stp>Market</stp>
        <stp>STOCK</stp>
        <stp>86040.T</stp>
        <stp>年初来高値</stp>
        <tr r="K199" s="5"/>
        <tr r="K40" s="4"/>
      </tp>
      <tp>
        <v>1340</v>
        <stp/>
        <stp>Market</stp>
        <stp>STOCK</stp>
        <stp>87040.T</stp>
        <stp>年初来高値</stp>
        <tr r="K38" s="4"/>
        <tr r="K19" s="5"/>
      </tp>
      <tp>
        <v>2200</v>
        <stp/>
        <stp>Market</stp>
        <stp>STOCK</stp>
        <stp>83030.T</stp>
        <stp>年初来高値</stp>
        <tr r="K54" s="4"/>
        <tr r="K191" s="5"/>
      </tp>
      <tp>
        <v>1041</v>
        <stp/>
        <stp>Market</stp>
        <stp>STOCK</stp>
        <stp>81030.T</stp>
        <stp>年初来高値</stp>
        <tr r="K136" s="5"/>
        <tr r="K56" s="4"/>
      </tp>
      <tp>
        <v>2094</v>
        <stp/>
        <stp>Market</stp>
        <stp>STOCK</stp>
        <stp>30030.T</stp>
        <stp>年初来高値</stp>
        <tr r="K188" s="4"/>
        <tr r="K143" s="5"/>
      </tp>
      <tp>
        <v>4380</v>
        <stp/>
        <stp>Market</stp>
        <stp>STOCK</stp>
        <stp>31030.T</stp>
        <stp>年初来高値</stp>
        <tr r="K81" s="5"/>
        <tr r="K187" s="4"/>
      </tp>
      <tp>
        <v>3330</v>
        <stp/>
        <stp>Market</stp>
        <stp>STOCK</stp>
        <stp>57030.T</stp>
        <stp>年初来高値</stp>
        <tr r="K132" s="4"/>
        <tr r="K48" s="5"/>
      </tp>
      <tp>
        <v>7933</v>
        <stp/>
        <stp>Market</stp>
        <stp>STOCK</stp>
        <stp>58030.T</stp>
        <stp>年初来高値</stp>
        <tr r="K125" s="4"/>
        <tr r="K58" s="5"/>
      </tp>
      <tp>
        <v>4000</v>
        <stp/>
        <stp>Market</stp>
        <stp>STOCK</stp>
        <stp>72030.T</stp>
        <stp>年初来高値</stp>
        <tr r="K73" s="5"/>
        <tr r="K73" s="4"/>
      </tp>
      <tp>
        <v>6686</v>
        <stp/>
        <stp>Market</stp>
        <stp>STOCK</stp>
        <stp>65030.T</stp>
        <stp>年初来高値</stp>
        <tr r="K39" s="5"/>
        <tr r="K99" s="4"/>
      </tp>
      <tp>
        <v>2030</v>
        <stp/>
        <stp>Market</stp>
        <stp>STOCK</stp>
        <stp>62030.T</stp>
        <stp>年初来高値</stp>
        <tr r="K50" s="5"/>
        <tr r="K111" s="4"/>
      </tp>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23" s="5"/>
        <tr r="K190" s="4"/>
      </tp>
      <tp>
        <v>3019</v>
        <stp/>
        <stp>Market</stp>
        <stp>STOCK</stp>
        <stp>58020.T</stp>
        <stp>年初来高値</stp>
        <tr r="K57" s="5"/>
        <tr r="K126" s="4"/>
      </tp>
      <tp>
        <v>760</v>
        <stp/>
        <stp>Market</stp>
        <stp>STOCK</stp>
        <stp>95010.T</stp>
        <stp>年初来高値</stp>
        <tr r="K18" s="4"/>
        <tr r="K105" s="5"/>
      </tp>
      <tp>
        <v>6394</v>
        <stp/>
        <stp>Market</stp>
        <stp>STOCK</stp>
        <stp>91010.T</stp>
        <stp>年初来高値</stp>
        <tr r="K27" s="4"/>
        <tr r="K164" s="5"/>
      </tp>
      <tp>
        <v>1886.5</v>
        <stp/>
        <stp>Market</stp>
        <stp>STOCK</stp>
        <stp>86010.T</stp>
        <stp>年初来高値</stp>
        <tr r="K41" s="4"/>
        <tr r="K198" s="5"/>
      </tp>
      <tp>
        <v>2158</v>
        <stp/>
        <stp>Market</stp>
        <stp>STOCK</stp>
        <stp>88010.T</stp>
        <stp>年初来高値</stp>
        <tr r="K129" s="5"/>
        <tr r="K33" s="4"/>
      </tp>
      <tp>
        <v>1773</v>
        <stp/>
        <stp>Market</stp>
        <stp>STOCK</stp>
        <stp>34010.T</stp>
        <stp>年初来高値</stp>
        <tr r="K169" s="5"/>
        <tr r="K184" s="4"/>
      </tp>
      <tp>
        <v>699.8</v>
        <stp/>
        <stp>Market</stp>
        <stp>STOCK</stp>
        <stp>54010.T</stp>
        <stp>年初来高値</stp>
        <tr r="K173" s="5"/>
        <tr r="K140" s="4"/>
      </tp>
      <tp>
        <v>8315</v>
        <stp/>
        <stp>Market</stp>
        <stp>STOCK</stp>
        <stp>52010.T</stp>
        <stp>年初来高値</stp>
        <tr r="K175" s="5"/>
        <tr r="K145" s="4"/>
      </tp>
      <tp>
        <v>4870</v>
        <stp/>
        <stp>Market</stp>
        <stp>STOCK</stp>
        <stp>58010.T</stp>
        <stp>年初来高値</stp>
        <tr r="K45" s="5"/>
        <tr r="K127" s="4"/>
      </tp>
      <tp>
        <v>4404</v>
        <stp/>
        <stp>Market</stp>
        <stp>STOCK</stp>
        <stp>59010.T</stp>
        <stp>年初来高値</stp>
        <tr r="K120" s="4"/>
        <tr r="K71" s="5"/>
      </tp>
      <tp>
        <v>6036</v>
        <stp/>
        <stp>Market</stp>
        <stp>STOCK</stp>
        <stp>67010.T</stp>
        <stp>年初来高値</stp>
        <tr r="K93" s="4"/>
        <tr r="K139" s="5"/>
      </tp>
      <tp>
        <v>6039</v>
        <stp/>
        <stp>Market</stp>
        <stp>STOCK</stp>
        <stp>65010.T</stp>
        <stp>年初来高値</stp>
        <tr r="K100" s="4"/>
        <tr r="K126" s="5"/>
      </tp>
      <tp>
        <v>1705</v>
        <stp/>
        <stp>Market</stp>
        <stp>STOCK</stp>
        <stp>83090.T</stp>
        <stp>年初来高値</stp>
        <tr r="K51" s="4"/>
        <tr r="K68" s="5"/>
      </tp>
      <tp>
        <v>1161</v>
        <stp/>
        <stp>Market</stp>
        <stp>STOCK</stp>
        <stp>47090.T</stp>
        <stp>年初来高値</stp>
        <tr r="K115" s="5"/>
        <tr r="K154" s="4"/>
      </tp>
      <tp>
        <v>2420.5</v>
        <stp/>
        <stp>Market</stp>
        <stp>STOCK</stp>
        <stp>83080.T</stp>
        <stp>年初来高値</stp>
        <tr r="K52" s="4"/>
        <tr r="K92" s="5"/>
      </tp>
      <tp>
        <v>1398</v>
        <stp/>
        <stp>Market</stp>
        <stp>STOCK</stp>
        <stp>40080.T</stp>
        <stp>年初来高値</stp>
        <tr r="K127" s="5"/>
        <tr r="K175" s="4"/>
      </tp>
    </main>
    <main first="rtdsrv.bed1b1f6e97c4c9f9ae958b1f8b490de">
      <tp t="s">
        <v/>
        <stp/>
        <stp>Market</stp>
        <stp>STOCK</stp>
        <stp/>
        <stp>前日終値</stp>
        <tr r="C32" s="14"/>
        <tr r="C32" s="14"/>
        <tr r="C32" s="14"/>
      </tp>
      <tp>
        <v>2634</v>
        <stp/>
        <stp>Market</stp>
        <stp>STOCK</stp>
        <stp>95360.T</stp>
        <stp>年初来高値</stp>
        <tr r="K13" s="4"/>
        <tr r="K160" s="5"/>
      </tp>
      <tp>
        <v>5939</v>
        <stp/>
        <stp>Market</stp>
        <stp>STOCK</stp>
        <stp>34360.T</stp>
        <stp>年初来高値</stp>
        <tr r="K4" s="5"/>
        <tr r="K181" s="4"/>
      </tp>
      <tp>
        <v>2254</v>
        <stp/>
        <stp>Market</stp>
        <stp>STOCK</stp>
        <stp>45360.T</stp>
        <stp>年初来高値</stp>
        <tr r="K158" s="4"/>
        <tr r="K125" s="5"/>
      </tp>
      <tp>
        <v>1596</v>
        <stp/>
        <stp>Market</stp>
        <stp>STOCK</stp>
        <stp>72360.T</stp>
        <stp>年初来高値</stp>
        <tr r="K137" s="5"/>
        <tr r="K72" s="4"/>
      </tp>
      <tp>
        <v>4310</v>
        <stp/>
        <stp>Market</stp>
        <stp>STOCK</stp>
        <stp>64360.T</stp>
        <stp>年初来高値</stp>
        <tr r="K102" s="4"/>
        <tr r="K155" s="5"/>
      </tp>
      <tp>
        <v>81260</v>
        <stp/>
        <stp>Market</stp>
        <stp>STOCK</stp>
        <stp>80350.T</stp>
        <stp>年初来高値</stp>
        <tr r="K60" s="4"/>
        <tr r="K35" s="5"/>
      </tp>
      <tp>
        <v>2661</v>
        <stp/>
        <stp>Market</stp>
        <stp>STOCK</stp>
        <stp>83340.T</stp>
        <stp>年初来高値</stp>
        <tr r="K204" s="5"/>
        <tr r="K49" s="4"/>
      </tp>
      <tp>
        <v>2885</v>
        <stp/>
        <stp>Market</stp>
        <stp>STOCK</stp>
        <stp>89340.T</stp>
        <stp>年初来高値</stp>
        <tr r="K31" s="4"/>
        <tr r="K149" s="5"/>
      </tp>
      <tp>
        <v>8943</v>
        <stp/>
        <stp>Market</stp>
        <stp>STOCK</stp>
        <stp>61340.T</stp>
        <stp>年初来高値</stp>
        <tr r="K114" s="4"/>
        <tr r="K25" s="5"/>
      </tp>
      <tp>
        <v>2877</v>
        <stp/>
        <stp>Market</stp>
        <stp>STOCK</stp>
        <stp>97330.T</stp>
        <stp>年初来高値</stp>
        <tr r="K10" s="4"/>
        <tr r="K153" s="5"/>
      </tp>
      <tp>
        <v>7490</v>
        <stp/>
        <stp>Market</stp>
        <stp>STOCK</stp>
        <stp>18330.T</stp>
        <stp>年初来高値</stp>
        <tr r="K180" s="5"/>
        <tr r="K203" s="4"/>
      </tp>
      <tp>
        <v>4968</v>
        <stp/>
        <stp>Market</stp>
        <stp>STOCK</stp>
        <stp>52330.T</stp>
        <stp>年初来高値</stp>
        <tr r="K144" s="4"/>
        <tr r="K170" s="5"/>
      </tp>
      <tp>
        <v>7894</v>
        <stp/>
        <stp>Market</stp>
        <stp>STOCK</stp>
        <stp>53330.T</stp>
        <stp>年初来高値</stp>
        <tr r="K37" s="5"/>
        <tr r="K141" s="4"/>
      </tp>
      <tp>
        <v>8611</v>
        <stp/>
        <stp>Market</stp>
        <stp>STOCK</stp>
        <stp>47330.T</stp>
        <stp>年初来高値</stp>
        <tr r="K153" s="4"/>
        <tr r="K133" s="5"/>
      </tp>
      <tp>
        <v>6828</v>
        <stp/>
        <stp>Market</stp>
        <stp>STOCK</stp>
        <stp>95320.T</stp>
        <stp>年初来高値</stp>
        <tr r="K79" s="5"/>
        <tr r="K14" s="4"/>
      </tp>
      <tp>
        <v>9500</v>
        <stp/>
        <stp>Market</stp>
        <stp>STOCK</stp>
        <stp>53320.T</stp>
        <stp>年初来高値</stp>
        <tr r="K12" s="5"/>
        <tr r="K142" s="4"/>
      </tp>
      <tp>
        <v>4130</v>
        <stp/>
        <stp>Market</stp>
        <stp>STOCK</stp>
        <stp>62320.T</stp>
        <stp>年初来高値</stp>
        <tr r="K28" s="5"/>
        <tr r="K109" s="4"/>
      </tp>
      <tp>
        <v>7967</v>
        <stp/>
        <stp>Market</stp>
        <stp>STOCK</stp>
        <stp>95310.T</stp>
        <stp>年初来高値</stp>
        <tr r="K15" s="4"/>
        <tr r="K203" s="5"/>
      </tp>
      <tp>
        <v>7413</v>
        <stp/>
        <stp>Market</stp>
        <stp>STOCK</stp>
        <stp>86300.T</stp>
        <stp>年初来高値</stp>
        <tr r="K176" s="5"/>
        <tr r="K39" s="4"/>
      </tp>
      <tp>
        <v>1821</v>
        <stp/>
        <stp>Market</stp>
        <stp>STOCK</stp>
        <stp>19300.T</stp>
        <stp>年初来高値</stp>
        <tr r="K83" s="5"/>
        <tr r="K201" s="4"/>
      </tp>
      <tp>
        <v>8760</v>
        <stp/>
        <stp>Market</stp>
        <stp>STOCK</stp>
        <stp>63300.T</stp>
        <stp>年初来高値</stp>
        <tr r="K186" s="5"/>
        <tr r="K104" s="4"/>
      </tp>
      <tp>
        <v>3245</v>
        <stp/>
        <stp>Market</stp>
        <stp>STOCK</stp>
        <stp>19380.T</stp>
        <stp>年初来高値</stp>
        <tr r="K200" s="4"/>
        <tr r="K117" s="5"/>
      </tp>
      <tp>
        <v>9317</v>
        <stp/>
        <stp>Market</stp>
        <stp>STOCK</stp>
        <stp>58380.T</stp>
        <stp>年初来高値</stp>
        <tr r="K147" s="5"/>
        <tr r="K124" s="4"/>
      </tp>
      <tp>
        <v>1943</v>
        <stp/>
        <stp>Market</stp>
        <stp>STOCK</stp>
        <stp>59380.T</stp>
        <stp>年初来高値</stp>
        <tr r="K118" s="4"/>
        <tr r="K93" s="5"/>
      </tp>
      <tp>
        <v>2496</v>
        <stp/>
        <stp>Market</stp>
        <stp>STOCK</stp>
        <stp>68380.T</stp>
        <stp>年初来高値</stp>
        <tr r="K6" s="5"/>
        <tr r="K85" s="4"/>
      </tp>
    </main>
    <main first="rtdsrv.bed1b1f6e97c4c9f9ae958b1f8b490de">
      <tp>
        <v>1620</v>
        <stp/>
        <stp>Market</stp>
        <stp>STOCK</stp>
        <stp>92270.T</stp>
        <stp>年初来高値</stp>
        <tr r="K146" s="5"/>
        <tr r="K25" s="4"/>
      </tp>
      <tp>
        <v>4655</v>
        <stp/>
        <stp>Market</stp>
        <stp>STOCK</stp>
        <stp>23270.T</stp>
        <stp>年初来高値</stp>
        <tr r="K194" s="4"/>
        <tr r="K154" s="5"/>
      </tp>
      <tp>
        <v>763.7</v>
        <stp/>
        <stp>Market</stp>
        <stp>STOCK</stp>
        <stp>21270.T</stp>
        <stp>年初来高値</stp>
        <tr r="K161" s="5"/>
        <tr r="K196" s="4"/>
      </tp>
      <tp>
        <v>9190</v>
        <stp/>
        <stp>Market</stp>
        <stp>STOCK</stp>
        <stp>62270.T</stp>
        <stp>年初来高値</stp>
        <tr r="K110" s="4"/>
        <tr r="K108" s="5"/>
      </tp>
      <tp>
        <v>9480</v>
        <stp/>
        <stp>Market</stp>
        <stp>STOCK</stp>
        <stp>63270.T</stp>
        <stp>年初来高値</stp>
        <tr r="K27" s="5"/>
        <tr r="K105" s="4"/>
      </tp>
      <tp>
        <v>3490</v>
        <stp/>
        <stp>Market</stp>
        <stp>STOCK</stp>
        <stp>60270.T</stp>
        <stp>年初来高値</stp>
        <tr r="K116" s="4"/>
        <tr r="K98" s="5"/>
      </tp>
      <tp>
        <v>5073</v>
        <stp/>
        <stp>Market</stp>
        <stp>STOCK</stp>
        <stp>87250.T</stp>
        <stp>年初来高値</stp>
        <tr r="K37" s="4"/>
        <tr r="K168" s="5"/>
      </tp>
      <tp>
        <v>5805</v>
        <stp/>
        <stp>Market</stp>
        <stp>STOCK</stp>
        <stp>19250.T</stp>
        <stp>年初来高値</stp>
        <tr r="K181" s="5"/>
        <tr r="K202" s="4"/>
      </tp>
      <tp>
        <v>5164</v>
        <stp/>
        <stp>Market</stp>
        <stp>STOCK</stp>
        <stp>69250.T</stp>
        <stp>年初来高値</stp>
        <tr r="K80" s="4"/>
        <tr r="K42" s="5"/>
      </tp>
      <tp>
        <v>155</v>
        <stp/>
        <stp>Market</stp>
        <stp>STOCK</stp>
        <stp>94240.T</stp>
        <stp>年初来高値</stp>
        <tr r="K15" s="5"/>
        <tr r="K20" s="4"/>
      </tp>
      <tp>
        <v>4664</v>
        <stp/>
        <stp>Market</stp>
        <stp>STOCK</stp>
        <stp>84240.T</stp>
        <stp>年初来高値</stp>
        <tr r="K46" s="4"/>
        <tr r="K185" s="5"/>
      </tp>
      <tp>
        <v>1973</v>
        <stp/>
        <stp>Market</stp>
        <stp>STOCK</stp>
        <stp>54230.T</stp>
        <stp>年初来高値</stp>
        <tr r="K165" s="5"/>
        <tr r="K136" s="4"/>
      </tp>
      <tp>
        <v>5243</v>
        <stp/>
        <stp>Market</stp>
        <stp>STOCK</stp>
        <stp>45230.T</stp>
        <stp>年初来高値</stp>
        <tr r="K184" s="5"/>
        <tr r="K160" s="4"/>
      </tp>
      <tp>
        <v>5199</v>
        <stp/>
        <stp>Market</stp>
        <stp>STOCK</stp>
        <stp>63230.T</stp>
        <stp>年初来高値</stp>
        <tr r="K41" s="5"/>
        <tr r="K106" s="4"/>
      </tp>
      <tp>
        <v>4830</v>
        <stp/>
        <stp>Market</stp>
        <stp>STOCK</stp>
        <stp>90220.T</stp>
        <stp>年初来高値</stp>
        <tr r="K159" s="5"/>
        <tr r="K29" s="4"/>
      </tp>
      <tp>
        <v>1630</v>
        <stp/>
        <stp>Market</stp>
        <stp>STOCK</stp>
        <stp>44220.T</stp>
        <stp>年初来高値</stp>
        <tr r="K162" s="4"/>
        <tr r="K188" s="5"/>
      </tp>
      <tp>
        <v>2580</v>
        <stp/>
        <stp>Market</stp>
        <stp>STOCK</stp>
        <stp>65220.T</stp>
        <stp>年初来高値</stp>
        <tr r="K111" s="5"/>
        <tr r="K95" s="4"/>
      </tp>
      <tp>
        <v>5034</v>
        <stp/>
        <stp>Market</stp>
        <stp>STOCK</stp>
        <stp>50210.T</stp>
        <stp>年初来高値</stp>
        <tr r="K88" s="5"/>
        <tr r="K146" s="4"/>
      </tp>
      <tp>
        <v>2539</v>
        <stp/>
        <stp>Market</stp>
        <stp>STOCK</stp>
        <stp>70210.T</stp>
        <stp>年初来高値</stp>
        <tr r="K76" s="4"/>
        <tr r="K76" s="5"/>
      </tp>
      <tp>
        <v>4211</v>
        <stp/>
        <stp>Market</stp>
        <stp>STOCK</stp>
        <stp>90200.T</stp>
        <stp>年初来高値</stp>
        <tr r="K30" s="4"/>
        <tr r="K104" s="5"/>
      </tp>
      <tp>
        <v>1552.5</v>
        <stp/>
        <stp>Market</stp>
        <stp>STOCK</stp>
        <stp>50200.T</stp>
        <stp>年初来高値</stp>
        <tr r="K147" s="4"/>
        <tr r="K141" s="5"/>
      </tp>
      <tp>
        <v>58580</v>
        <stp/>
        <stp>Market</stp>
        <stp>STOCK</stp>
        <stp>69200.T</stp>
        <stp>年初来高値</stp>
        <tr r="K81" s="4"/>
        <tr r="K84" s="5"/>
      </tp>
      <tp>
        <v>4284</v>
        <stp/>
        <stp>Market</stp>
        <stp>STOCK</stp>
        <stp>59290.T</stp>
        <stp>年初来高値</stp>
        <tr r="K119" s="4"/>
        <tr r="K69" s="5"/>
      </tp>
      <tp>
        <v>21310</v>
        <stp/>
        <stp>Market</stp>
        <stp>STOCK</stp>
        <stp>77290.T</stp>
        <stp>年初来高値</stp>
        <tr r="K18" s="5"/>
        <tr r="K68" s="4"/>
      </tp>
      <tp>
        <v>2674.5</v>
        <stp/>
        <stp>Market</stp>
        <stp>STOCK</stp>
        <stp>45280.T</stp>
        <stp>年初来高値</stp>
        <tr r="K17" s="5"/>
        <tr r="K159" s="4"/>
      </tp>
    </main>
    <main first="rtdsrv.bed1b1f6e97c4c9f9ae958b1f8b490de">
      <tp>
        <v>4720</v>
        <stp/>
        <stp>Market</stp>
        <stp>STOCK</stp>
        <stp>58570.T</stp>
        <stp>年初来高値</stp>
        <tr r="K52" s="5"/>
        <tr r="K122" s="4"/>
      </tp>
      <tp>
        <v>35940</v>
        <stp/>
        <stp>Market</stp>
        <stp>STOCK</stp>
        <stp>68570.T</stp>
        <stp>年初来高値</stp>
        <tr r="K113" s="5"/>
        <tr r="K83" s="4"/>
      </tp>
      <tp>
        <v>2653</v>
        <stp/>
        <stp>Market</stp>
        <stp>STOCK</stp>
        <stp>38540.T</stp>
        <stp>年初来高値</stp>
        <tr r="K54" s="5"/>
        <tr r="K180" s="4"/>
      </tp>
      <tp>
        <v>4855</v>
        <stp/>
        <stp>Market</stp>
        <stp>STOCK</stp>
        <stp>67540.T</stp>
        <stp>年初来高値</stp>
        <tr r="K89" s="4"/>
        <tr r="K31" s="5"/>
      </tp>
      <tp>
        <v>5500</v>
        <stp/>
        <stp>Market</stp>
        <stp>STOCK</stp>
        <stp>62540.T</stp>
        <stp>年初来高値</stp>
        <tr r="K108" s="4"/>
        <tr r="K5" s="5"/>
      </tp>
      <tp>
        <v>8880</v>
        <stp/>
        <stp>Market</stp>
        <stp>STOCK</stp>
        <stp>69540.T</stp>
        <stp>年初来高値</stp>
        <tr r="K79" s="4"/>
        <tr r="K16" s="5"/>
      </tp>
      <tp>
        <v>1720.5</v>
        <stp/>
        <stp>Market</stp>
        <stp>STOCK</stp>
        <stp>80530.T</stp>
        <stp>年初来高値</stp>
        <tr r="K49" s="5"/>
        <tr r="K59" s="4"/>
      </tp>
      <tp>
        <v>830.5</v>
        <stp/>
        <stp>Market</stp>
        <stp>STOCK</stp>
        <stp>67530.T</stp>
        <stp>年初来高値</stp>
        <tr r="K162" s="5"/>
        <tr r="K90" s="4"/>
      </tp>
      <tp>
        <v>4220</v>
        <stp/>
        <stp>Market</stp>
        <stp>STOCK</stp>
        <stp>95510.T</stp>
        <stp>年初来高値</stp>
        <tr r="K12" s="4"/>
        <tr r="K134" s="5"/>
      </tp>
      <tp>
        <v>1959</v>
        <stp/>
        <stp>Market</stp>
        <stp>STOCK</stp>
        <stp>87500.T</stp>
        <stp>年初来高値</stp>
        <tr r="K36" s="4"/>
        <tr r="K200" s="5"/>
      </tp>
      <tp>
        <v>2699.5</v>
        <stp/>
        <stp>Market</stp>
        <stp>STOCK</stp>
        <stp>83590.T</stp>
        <stp>年初来高値</stp>
        <tr r="K48" s="4"/>
        <tr r="K26" s="5"/>
      </tp>
      <tp>
        <v>2348</v>
        <stp/>
        <stp>Market</stp>
        <stp>STOCK</stp>
        <stp>23590.T</stp>
        <stp>年初来高値</stp>
        <tr r="K135" s="5"/>
        <tr r="K193" s="4"/>
      </tp>
      <tp>
        <v>6012</v>
        <stp/>
        <stp>Market</stp>
        <stp>STOCK</stp>
        <stp>80580.T</stp>
        <stp>年初来高値</stp>
        <tr r="K58" s="4"/>
        <tr r="K89" s="5"/>
      </tp>
      <tp>
        <v>4124</v>
        <stp/>
        <stp>Market</stp>
        <stp>STOCK</stp>
        <stp>67580.T</stp>
        <stp>年初来高値</stp>
        <tr r="K88" s="4"/>
        <tr r="K86" s="5"/>
      </tp>
    </main>
    <main first="rtdsrv.bed1b1f6e97c4c9f9ae958b1f8b490de">
      <tp>
        <v>4456</v>
        <stp/>
        <stp>Market</stp>
        <stp>STOCK</stp>
        <stp>59470.T</stp>
        <stp>年初来高値</stp>
        <tr r="K96" s="5"/>
        <tr r="K117" s="4"/>
      </tp>
      <tp>
        <v>1638</v>
        <stp/>
        <stp>Market</stp>
        <stp>STOCK</stp>
        <stp>77460.T</stp>
        <stp>年初来高値</stp>
        <tr r="K144" s="5"/>
        <tr r="K67" s="4"/>
      </tp>
      <tp>
        <v>1862.5</v>
        <stp/>
        <stp>Market</stp>
        <stp>STOCK</stp>
        <stp>78460.T</stp>
        <stp>年初来高値</stp>
        <tr r="K202" s="5"/>
        <tr r="K64" s="4"/>
      </tp>
      <tp>
        <v>91680</v>
        <stp/>
        <stp>Market</stp>
        <stp>STOCK</stp>
        <stp>61460.T</stp>
        <stp>年初来高値</stp>
        <tr r="K113" s="4"/>
        <tr r="K120" s="5"/>
      </tp>
      <tp>
        <v>1922.5</v>
        <stp/>
        <stp>Market</stp>
        <stp>STOCK</stp>
        <stp>40450.T</stp>
        <stp>年初来高値</stp>
        <tr r="K174" s="4"/>
        <tr r="K178" s="5"/>
      </tp>
      <tp>
        <v>4890</v>
        <stp/>
        <stp>Market</stp>
        <stp>STOCK</stp>
        <stp>58440.T</stp>
        <stp>年初来高値</stp>
        <tr r="K61" s="5"/>
        <tr r="K123" s="4"/>
      </tp>
      <tp>
        <v>5020</v>
        <stp/>
        <stp>Market</stp>
        <stp>STOCK</stp>
        <stp>67440.T</stp>
        <stp>年初来高値</stp>
        <tr r="K106" s="5"/>
        <tr r="K91" s="4"/>
      </tp>
      <tp>
        <v>3405</v>
        <stp/>
        <stp>Market</stp>
        <stp>STOCK</stp>
        <stp>52430.T</stp>
        <stp>年初来高値</stp>
        <tr r="K143" s="4"/>
        <tr r="K138" s="5"/>
      </tp>
      <tp>
        <v>7460</v>
        <stp/>
        <stp>Market</stp>
        <stp>STOCK</stp>
        <stp>19420.T</stp>
        <stp>年初来高値</stp>
        <tr r="K199" s="4"/>
        <tr r="K32" s="5"/>
      </tp>
      <tp>
        <v>1614.5</v>
        <stp/>
        <stp>Market</stp>
        <stp>STOCK</stp>
        <stp>39410.T</stp>
        <stp>年初来高値</stp>
        <tr r="K142" s="5"/>
        <tr r="K176" s="4"/>
      </tp>
      <tp>
        <v>3865</v>
        <stp/>
        <stp>Market</stp>
        <stp>STOCK</stp>
        <stp>55410.T</stp>
        <stp>年初来高値</stp>
        <tr r="K90" s="5"/>
        <tr r="K133" s="4"/>
      </tp>
      <tp>
        <v>6317</v>
        <stp/>
        <stp>Market</stp>
        <stp>STOCK</stp>
        <stp>68410.T</stp>
        <stp>年初来高値</stp>
        <tr r="K84" s="4"/>
        <tr r="K100" s="5"/>
      </tp>
      <tp>
        <v>2696</v>
        <stp/>
        <stp>Market</stp>
        <stp>STOCK</stp>
        <stp>54400.T</stp>
        <stp>年初来高値</stp>
        <tr r="K135" s="4"/>
        <tr r="K156" s="5"/>
      </tp>
      <tp>
        <v>4403</v>
        <stp/>
        <stp>Market</stp>
        <stp>STOCK</stp>
        <stp>45400.T</stp>
        <stp>年初来高値</stp>
        <tr r="K157" s="4"/>
        <tr r="K124" s="5"/>
      </tp>
      <tp>
        <v>164</v>
        <stp/>
        <stp>Market</stp>
        <stp>STOCK</stp>
        <stp>67400.T</stp>
        <stp>年初来高値</stp>
        <tr r="K189" s="5"/>
        <tr r="K92" s="4"/>
      </tp>
      <tp>
        <v>4302</v>
        <stp/>
        <stp>Market</stp>
        <stp>STOCK</stp>
        <stp>94490.T</stp>
        <stp>年初来高値</stp>
        <tr r="K77" s="5"/>
        <tr r="K19" s="4"/>
      </tp>
      <tp>
        <v>3935</v>
        <stp/>
        <stp>Market</stp>
        <stp>STOCK</stp>
        <stp>54490.T</stp>
        <stp>年初来高値</stp>
        <tr r="K97" s="5"/>
        <tr r="K134" s="4"/>
      </tp>
      <tp>
        <v>710</v>
        <stp/>
        <stp>Market</stp>
        <stp>STOCK</stp>
        <stp>93480.T</stp>
        <stp>年初来高値</stp>
        <tr r="K8" s="5"/>
        <tr r="K24" s="4"/>
      </tp>
    </main>
    <main first="rtdsrv.bed1b1f6e97c4c9f9ae958b1f8b490de">
      <tp>
        <v>299730</v>
        <stp/>
        <stp>Market</stp>
        <stp>INDEX</stp>
        <stp>TOPX</stp>
        <stp>出来高</stp>
        <tr r="C5" s="12"/>
        <tr r="J36" s="5"/>
        <tr r="J3" s="4"/>
      </tp>
      <tp>
        <v>34700</v>
        <stp/>
        <stp>Market</stp>
        <stp>STOCK</stp>
        <stp>67770.T</stp>
        <stp>年初来高値</stp>
        <tr r="K87" s="4"/>
        <tr r="K130" s="5"/>
      </tp>
      <tp>
        <v>4466</v>
        <stp/>
        <stp>Market</stp>
        <stp>STOCK</stp>
        <stp>46760.T</stp>
        <stp>年初来高値</stp>
        <tr r="K155" s="4"/>
        <tr r="K177" s="5"/>
      </tp>
      <tp>
        <v>2660</v>
        <stp/>
        <stp>Market</stp>
        <stp>STOCK</stp>
        <stp>73750.T</stp>
        <stp>年初来高値</stp>
        <tr r="K190" s="5"/>
        <tr r="K71" s="4"/>
      </tp>
      <tp>
        <v>1212</v>
        <stp/>
        <stp>Market</stp>
        <stp>STOCK</stp>
        <stp>43730.T</stp>
        <stp>年初来高値</stp>
        <tr r="K165" s="4"/>
        <tr r="K82" s="5"/>
      </tp>
      <tp>
        <v>539.9</v>
        <stp/>
        <stp>Market</stp>
        <stp>STOCK</stp>
        <stp>85720.T</stp>
        <stp>年初来高値</stp>
        <tr r="K44" s="4"/>
        <tr r="K38" s="5"/>
      </tp>
      <tp>
        <v>1860</v>
        <stp/>
        <stp>Market</stp>
        <stp>STOCK</stp>
        <stp>85700.T</stp>
        <stp>年初来高値</stp>
        <tr r="K45" s="4"/>
        <tr r="K94" s="5"/>
      </tp>
      <tp>
        <v>5307</v>
        <stp/>
        <stp>Market</stp>
        <stp>STOCK</stp>
        <stp>64790.T</stp>
        <stp>年初来高値</stp>
        <tr r="K101" s="4"/>
        <tr r="K24" s="5"/>
      </tp>
      <tp>
        <v>2539.5</v>
        <stp/>
        <stp>Market</stp>
        <stp>STOCK</stp>
        <stp>61780.T</stp>
        <stp>年初来高値</stp>
        <tr r="K112" s="4"/>
        <tr r="K59" s="5"/>
      </tp>
    </main>
    <main first="rtdsrv.bed1b1f6e97c4c9f9ae958b1f8b490de">
      <tp>
        <v>1585.5</v>
        <stp/>
        <stp>Market</stp>
        <stp>STOCK</stp>
        <stp>71670.T</stp>
        <stp>年初来高値</stp>
        <tr r="K75" s="4"/>
        <tr r="K101" s="5"/>
      </tp>
      <tp>
        <v>8468</v>
        <stp/>
        <stp>Market</stp>
        <stp>STOCK</stp>
        <stp>87660.T</stp>
        <stp>年初来高値</stp>
        <tr r="K35" s="4"/>
        <tr r="K174" s="5"/>
      </tp>
      <tp>
        <v>28430</v>
        <stp/>
        <stp>Market</stp>
        <stp>STOCK</stp>
        <stp>49660.T</stp>
        <stp>年初来高値</stp>
        <tr r="K150" s="4"/>
        <tr r="K34" s="5"/>
      </tp>
      <tp>
        <v>2275</v>
        <stp/>
        <stp>Market</stp>
        <stp>STOCK</stp>
        <stp>90640.T</stp>
        <stp>年初来高値</stp>
        <tr r="K4" s="4"/>
        <tr r="K163" s="5"/>
      </tp>
      <tp>
        <v>2927.5</v>
        <stp/>
        <stp>Market</stp>
        <stp>STOCK</stp>
        <stp>19630.T</stp>
        <stp>年初来高値</stp>
        <tr r="K40" s="5"/>
        <tr r="K197" s="4"/>
      </tp>
      <tp>
        <v>1612</v>
        <stp/>
        <stp>Market</stp>
        <stp>STOCK</stp>
        <stp>38630.T</stp>
        <stp>年初来高値</stp>
        <tr r="K21" s="5"/>
        <tr r="K178" s="4"/>
      </tp>
      <tp>
        <v>7930</v>
        <stp/>
        <stp>Market</stp>
        <stp>STOCK</stp>
        <stp>40630.T</stp>
        <stp>年初来高値</stp>
        <tr r="K172" s="4"/>
        <tr r="K14" s="5"/>
      </tp>
      <tp>
        <v>2819</v>
        <stp/>
        <stp>Market</stp>
        <stp>STOCK</stp>
        <stp>16620.T</stp>
        <stp>年初来高値</stp>
        <tr r="K122" s="5"/>
        <tr r="K205" s="4"/>
      </tp>
      <tp>
        <v>27480</v>
        <stp/>
        <stp>Market</stp>
        <stp>STOCK</stp>
        <stp>40620.T</stp>
        <stp>年初来高値</stp>
        <tr r="K173" s="4"/>
        <tr r="K56" s="5"/>
      </tp>
      <tp>
        <v>3275</v>
        <stp/>
        <stp>Market</stp>
        <stp>STOCK</stp>
        <stp>19610.T</stp>
        <stp>年初来高値</stp>
        <tr r="K198" s="4"/>
        <tr r="K51" s="5"/>
      </tp>
      <tp>
        <v>990.7</v>
        <stp/>
        <stp>Market</stp>
        <stp>STOCK</stp>
        <stp>38610.T</stp>
        <stp>年初来高値</stp>
        <tr r="K179" s="4"/>
        <tr r="K123" s="5"/>
      </tp>
      <tp>
        <v>3167</v>
        <stp/>
        <stp>Market</stp>
        <stp>STOCK</stp>
        <stp>46610.T</stp>
        <stp>年初来高値</stp>
        <tr r="K156" s="4"/>
        <tr r="K103" s="5"/>
      </tp>
      <tp>
        <v>3740</v>
        <stp/>
        <stp>Market</stp>
        <stp>STOCK</stp>
        <stp>21600.T</stp>
        <stp>年初来高値</stp>
        <tr r="K187" s="5"/>
        <tr r="K195" s="4"/>
      </tp>
      <tp>
        <v>2274</v>
        <stp/>
        <stp>Market</stp>
        <stp>STOCK</stp>
        <stp>90690.T</stp>
        <stp>年初来高値</stp>
        <tr r="K28" s="4"/>
        <tr r="K60" s="5"/>
      </tp>
      <tp>
        <v>7257</v>
        <stp/>
        <stp>Market</stp>
        <stp>STOCK</stp>
        <stp>27680.T</stp>
        <stp>年初来高値</stp>
        <tr r="K191" s="4"/>
        <tr r="K206" s="5"/>
      </tp>
      <tp>
        <v>3625</v>
        <stp/>
        <stp>Market</stp>
        <stp>STOCK</stp>
        <stp>45680.T</stp>
        <stp>年初来高値</stp>
        <tr r="K7" s="4"/>
        <tr r="K110" s="5"/>
      </tp>
    </main>
    <main first="rtdsrv.bed1b1f6e97c4c9f9ae958b1f8b490de">
      <tp>
        <v>5176</v>
        <stp/>
        <stp>Market</stp>
        <stp>STOCK</stp>
        <stp>87950.T</stp>
        <stp>年初来高値</stp>
        <tr r="K34" s="4"/>
        <tr r="K91" s="5"/>
      </tp>
      <tp>
        <v>3100</v>
        <stp/>
        <stp>Market</stp>
        <stp>STOCK</stp>
        <stp>77940.T</stp>
        <stp>年初来高値</stp>
        <tr r="K66" s="4"/>
        <tr r="K80" s="5"/>
      </tp>
      <tp>
        <v>1541.5</v>
        <stp/>
        <stp>Market</stp>
        <stp>STOCK</stp>
        <stp>85930.T</stp>
        <stp>年初来高値</stp>
        <tr r="K42" s="4"/>
        <tr r="K171" s="5"/>
      </tp>
      <tp>
        <v>1267</v>
        <stp/>
        <stp>Market</stp>
        <stp>STOCK</stp>
        <stp>88920.T</stp>
        <stp>年初来高値</stp>
        <tr r="K114" s="5"/>
        <tr r="K32" s="4"/>
      </tp>
      <tp>
        <v>2993</v>
        <stp/>
        <stp>Market</stp>
        <stp>STOCK</stp>
        <stp>58920.T</stp>
        <stp>年初来高値</stp>
        <tr r="K74" s="5"/>
        <tr r="K121" s="4"/>
      </tp>
      <tp>
        <v>6680</v>
        <stp/>
        <stp>Market</stp>
        <stp>STOCK</stp>
        <stp>85910.T</stp>
        <stp>年初来高値</stp>
        <tr r="K67" s="5"/>
        <tr r="K43" s="4"/>
      </tp>
      <tp>
        <v>2730</v>
        <stp/>
        <stp>Market</stp>
        <stp>STOCK</stp>
        <stp>80910.T</stp>
        <stp>年初来高値</stp>
        <tr r="K158" s="5"/>
        <tr r="K57" s="4"/>
      </tp>
      <tp>
        <v>11110</v>
        <stp/>
        <stp>Market</stp>
        <stp>STOCK</stp>
        <stp>38910.T</stp>
        <stp>年初来高値</stp>
        <tr r="K43" s="5"/>
        <tr r="K177" s="4"/>
      </tp>
      <tp>
        <v>6509</v>
        <stp/>
        <stp>Market</stp>
        <stp>STOCK</stp>
        <stp>40910.T</stp>
        <stp>年初来高値</stp>
        <tr r="K169" s="4"/>
        <tr r="K152" s="5"/>
      </tp>
      <tp>
        <v>11700</v>
        <stp/>
        <stp>Market</stp>
        <stp>STOCK</stp>
        <stp>68900.T</stp>
        <stp>年初来高値</stp>
        <tr r="K82" s="4"/>
        <tr r="K33" s="5"/>
      </tp>
    </main>
    <main first="rtdsrv.bed1b1f6e97c4c9f9ae958b1f8b490de">
      <tp>
        <v>5320</v>
        <stp/>
        <stp>Market</stp>
        <stp>STOCK</stp>
        <stp>96870.T</stp>
        <stp>年初来高値</stp>
        <tr r="K11" s="4"/>
        <tr r="K44" s="5"/>
      </tp>
      <tp>
        <v>2447</v>
        <stp/>
        <stp>Market</stp>
        <stp>STOCK</stp>
        <stp>48870.T</stp>
        <stp>年初来高値</stp>
        <tr r="K195" s="5"/>
        <tr r="K152" s="4"/>
      </tp>
      <tp>
        <v>45300</v>
        <stp/>
        <stp>Market</stp>
        <stp>STOCK</stp>
        <stp>67870.T</stp>
        <stp>年初来高値</stp>
        <tr r="K86" s="4"/>
        <tr r="K10" s="5"/>
      </tp>
      <tp>
        <v>16930</v>
        <stp/>
        <stp>Market</stp>
        <stp>STOCK</stp>
        <stp>63870.T</stp>
        <stp>年初来高値</stp>
        <tr r="K103" s="4"/>
        <tr r="K62" s="5"/>
      </tp>
      <tp>
        <v>4155</v>
        <stp/>
        <stp>Market</stp>
        <stp>STOCK</stp>
        <stp>76850.T</stp>
        <stp>年初来高値</stp>
        <tr r="K69" s="4"/>
        <tr r="K148" s="5"/>
      </tp>
      <tp>
        <v>1787</v>
        <stp/>
        <stp>Market</stp>
        <stp>STOCK</stp>
        <stp>64850.T</stp>
        <stp>年初来高値</stp>
        <tr r="K6" s="4"/>
        <tr r="K194" s="5"/>
      </tp>
      <tp>
        <v>720</v>
        <stp/>
        <stp>Market</stp>
        <stp>STOCK</stp>
        <stp>60850.T</stp>
        <stp>年初来高値</stp>
        <tr r="K150" s="5"/>
        <tr r="K115" s="4"/>
      </tp>
      <tp>
        <v>9074</v>
        <stp/>
        <stp>Market</stp>
        <stp>STOCK</stp>
        <stp>99840.T</stp>
        <stp>年初来高値</stp>
        <tr r="K8" s="4"/>
        <tr r="K53" s="5"/>
      </tp>
      <tp>
        <v>1891</v>
        <stp/>
        <stp>Market</stp>
        <stp>STOCK</stp>
        <stp>98820.T</stp>
        <stp>年初来高値</stp>
        <tr r="K128" s="5"/>
        <tr r="K9" s="4"/>
      </tp>
      <tp>
        <v>995</v>
        <stp/>
        <stp>Market</stp>
        <stp>STOCK</stp>
        <stp>43820.T</stp>
        <stp>年初来高値</stp>
        <tr r="K192" s="5"/>
        <tr r="K164" s="4"/>
      </tp>
      <tp>
        <v>4400</v>
        <stp/>
        <stp>Market</stp>
        <stp>STOCK</stp>
        <stp>40820.T</stp>
        <stp>年初来高値</stp>
        <tr r="K9" s="5"/>
        <tr r="K171" s="4"/>
      </tp>
      <tp>
        <v>5738</v>
        <stp/>
        <stp>Market</stp>
        <stp>STOCK</stp>
        <stp>41820.T</stp>
        <stp>年初来高値</stp>
        <tr r="K168" s="4"/>
        <tr r="K75" s="5"/>
      </tp>
      <tp>
        <v>3465</v>
        <stp/>
        <stp>Market</stp>
        <stp>STOCK</stp>
        <stp>71820.T</stp>
        <stp>年初来高値</stp>
        <tr r="K74" s="4"/>
        <tr r="K102" s="5"/>
      </tp>
      <tp>
        <v>1168</v>
        <stp/>
        <stp>Market</stp>
        <stp>STOCK</stp>
        <stp>82810.T</stp>
        <stp>年初来高値</stp>
        <tr r="K179" s="5"/>
        <tr r="K55" s="4"/>
      </tp>
      <tp>
        <v>1189</v>
        <stp/>
        <stp>Market</stp>
        <stp>STOCK</stp>
        <stp>73810.T</stp>
        <stp>年初来高値</stp>
        <tr r="K70" s="4"/>
        <tr r="K63" s="5"/>
      </tp>
      <tp>
        <v>1797.5</v>
        <stp/>
        <stp>Market</stp>
        <stp>STOCK</stp>
        <stp>71810.T</stp>
        <stp>年初来高値</stp>
        <tr r="K5" s="4"/>
        <tr r="K119" s="5"/>
      </tp>
      <tp>
        <v>3330</v>
        <stp/>
        <stp>Market</stp>
        <stp>STOCK</stp>
        <stp>79810.T</stp>
        <stp>年初来高値</stp>
        <tr r="K116" s="5"/>
        <tr r="K63" s="4"/>
      </tp>
      <tp>
        <v>12895</v>
        <stp/>
        <stp>Market</stp>
        <stp>STOCK</stp>
        <stp>69810.T</stp>
        <stp>年初来高値</stp>
        <tr r="K78" s="4"/>
        <tr r="K30" s="5"/>
      </tp>
      <tp>
        <v>5228</v>
        <stp/>
        <stp>Market</stp>
        <stp>STOCK</stp>
        <stp>49800.T</stp>
        <stp>年初来高値</stp>
        <tr r="K149" s="4"/>
        <tr r="K72" s="5"/>
      </tp>
      <tp>
        <v>2949</v>
        <stp/>
        <stp>Market</stp>
        <stp>STOCK</stp>
        <stp>40880.T</stp>
        <stp>年初来高値</stp>
        <tr r="K132" s="5"/>
        <tr r="K170" s="4"/>
      </tp>
      <tp>
        <v>1232.5</v>
        <stp/>
        <stp>Market</stp>
        <stp>STOCK</stp>
        <stp>41880.T</stp>
        <stp>年初来高値</stp>
        <tr r="K167" s="4"/>
        <tr r="K145" s="5"/>
      </tp>
      <tp>
        <v>995</v>
        <stp/>
        <stp>Market</stp>
        <stp>STOCK</stp>
        <stp>48880.T</stp>
        <stp>年初来高値</stp>
        <tr r="K151" s="4"/>
        <tr r="K131" s="5"/>
      </tp>
    </main>
    <main first="rtdsrv.bed1b1f6e97c4c9f9ae958b1f8b490de">
      <tp t="s">
        <v/>
        <stp/>
        <stp>Market</stp>
        <stp>STOCK</stp>
        <stp/>
        <stp>銘柄名称</stp>
        <tr r="C329" s="1"/>
        <tr r="C417" s="1"/>
        <tr r="D401" s="16"/>
        <tr r="D147" s="16"/>
        <tr r="C495" s="1"/>
        <tr r="D157" s="16"/>
        <tr r="D290" s="16"/>
        <tr r="C454" s="1"/>
        <tr r="C313" s="1"/>
        <tr r="C400" s="1"/>
        <tr r="C469" s="1"/>
        <tr r="C471" s="1"/>
        <tr r="C326" s="1"/>
        <tr r="C408" s="1"/>
        <tr r="C486" s="1"/>
        <tr r="D168" s="16"/>
        <tr r="D201" s="16"/>
        <tr r="C415" s="1"/>
        <tr r="C490" s="1"/>
        <tr r="C459" s="1"/>
        <tr r="C492" s="1"/>
        <tr r="C427" s="1"/>
        <tr r="C484" s="1"/>
        <tr r="C347" s="1"/>
        <tr r="D366" s="16"/>
        <tr r="C352" s="1"/>
        <tr r="C498" s="1"/>
        <tr r="C338" s="1"/>
        <tr r="D340" s="16"/>
        <tr r="C367" s="1"/>
        <tr r="C502" s="1"/>
        <tr r="C431" s="1"/>
        <tr r="C312" s="1"/>
        <tr r="C446" s="1"/>
        <tr r="C479" s="1"/>
        <tr r="C364" s="1"/>
        <tr r="C387" s="1"/>
        <tr r="C487" s="1"/>
        <tr r="C379" s="1"/>
        <tr r="C493" s="1"/>
        <tr r="C497" s="1"/>
        <tr r="C482" s="1"/>
        <tr r="C488" s="1"/>
        <tr r="C355" s="1"/>
        <tr r="D417" s="16"/>
        <tr r="C443" s="1"/>
        <tr r="C425" s="1"/>
        <tr r="D144" s="16"/>
        <tr r="C421" s="1"/>
        <tr r="C316" s="1"/>
        <tr r="C449" s="1"/>
        <tr r="C432" s="1"/>
        <tr r="C343" s="1"/>
        <tr r="C354" s="1"/>
        <tr r="C409" s="1"/>
        <tr r="D430" s="16"/>
        <tr r="D126" s="16"/>
        <tr r="C317" s="1"/>
        <tr r="C357" s="1"/>
        <tr r="C485" s="1"/>
        <tr r="C434" s="1"/>
        <tr r="C437" s="1"/>
        <tr r="D317" s="16"/>
        <tr r="C390" s="1"/>
        <tr r="D197" s="16"/>
        <tr r="D143" s="16"/>
        <tr r="D210" s="16"/>
        <tr r="C447" s="1"/>
        <tr r="C380" s="1"/>
        <tr r="C476" s="1"/>
        <tr r="C404" s="1"/>
        <tr r="D272" s="16"/>
        <tr r="D211" s="16"/>
        <tr r="D403" s="16"/>
        <tr r="C401" s="1"/>
        <tr r="C410" s="1"/>
        <tr r="C405" s="1"/>
        <tr r="C366" s="1"/>
        <tr r="C416" s="1"/>
        <tr r="C388" s="1"/>
        <tr r="C376" s="1"/>
        <tr r="C330" s="1"/>
        <tr r="C348" s="1"/>
        <tr r="C465" s="1"/>
        <tr r="D205" s="16"/>
        <tr r="D265" s="16"/>
        <tr r="C375" s="1"/>
        <tr r="D240" s="16"/>
        <tr r="C450" s="1"/>
        <tr r="C505" s="1"/>
        <tr r="C333" s="1"/>
        <tr r="D199" s="16"/>
        <tr r="D345" s="16"/>
        <tr r="D330" s="16"/>
        <tr r="C429" s="1"/>
        <tr r="D365" s="16"/>
        <tr r="C403" s="1"/>
        <tr r="C504" s="1"/>
        <tr r="C389" s="1"/>
        <tr r="D177" s="16"/>
        <tr r="C478" s="1"/>
        <tr r="C308" s="1"/>
        <tr r="C310" s="1"/>
        <tr r="D300" s="16"/>
        <tr r="C489" s="1"/>
        <tr r="C463" s="1"/>
        <tr r="D234" s="16"/>
        <tr r="C428" s="1"/>
        <tr r="C328" s="1"/>
        <tr r="C321" s="1"/>
        <tr r="C382" s="1"/>
        <tr r="C334" s="1"/>
        <tr r="C360" s="1"/>
        <tr r="D149" s="16"/>
        <tr r="D269" s="16"/>
        <tr r="C460" s="1"/>
        <tr r="D431" s="16"/>
        <tr r="D412" s="16"/>
        <tr r="C372" s="1"/>
        <tr r="D399" s="16"/>
        <tr r="C327" s="1"/>
        <tr r="C314" s="1"/>
        <tr r="C323" s="1"/>
        <tr r="C359" s="1"/>
        <tr r="D305" s="16"/>
        <tr r="D274" s="16"/>
        <tr r="D139" s="16"/>
        <tr r="C320" s="1"/>
        <tr r="C474" s="1"/>
        <tr r="C468" s="1"/>
        <tr r="C311" s="1"/>
        <tr r="C475" s="1"/>
        <tr r="C4" s="14"/>
        <tr r="C369" s="1"/>
        <tr r="D261" s="16"/>
        <tr r="D176" s="16"/>
        <tr r="C384" s="1"/>
        <tr r="C365" s="1"/>
        <tr r="C419" s="1"/>
        <tr r="C473" s="1"/>
        <tr r="C424" s="1"/>
        <tr r="D208" s="16"/>
        <tr r="C383" s="1"/>
        <tr r="C477" s="1"/>
        <tr r="D179" s="16"/>
        <tr r="D182" s="16"/>
        <tr r="D254" s="16"/>
        <tr r="D310" s="16"/>
        <tr r="D425" s="16"/>
        <tr r="D372" s="16"/>
        <tr r="D280" s="16"/>
        <tr r="C451" s="1"/>
        <tr r="C315" s="1"/>
        <tr r="D245" s="16"/>
        <tr r="C441" s="1"/>
        <tr r="C494" s="1"/>
        <tr r="D253" s="16"/>
        <tr r="D442" s="16"/>
        <tr r="C393" s="1"/>
        <tr r="C395" s="1"/>
        <tr r="D306" s="16"/>
        <tr r="C339" s="1"/>
        <tr r="C435" s="1"/>
        <tr r="D121" s="16"/>
        <tr r="D421" s="16"/>
        <tr r="C371" s="1"/>
        <tr r="D443" s="16"/>
        <tr r="C345" s="1"/>
        <tr r="D355" s="16"/>
        <tr r="C370" s="1"/>
        <tr r="C453" s="1"/>
        <tr r="C442" s="1"/>
        <tr r="C336" s="1"/>
        <tr r="D298" s="16"/>
        <tr r="C381" s="1"/>
        <tr r="C422" s="1"/>
        <tr r="C351" s="1"/>
        <tr r="C335" s="1"/>
        <tr r="D275" s="16"/>
        <tr r="D435" s="16"/>
        <tr r="D459" s="16"/>
        <tr r="C325" s="1"/>
        <tr r="C362" s="1"/>
        <tr r="D348" s="16"/>
        <tr r="D172" s="16"/>
        <tr r="D170" s="16"/>
        <tr r="C363" s="1"/>
        <tr r="D414" s="16"/>
        <tr r="C452" s="1"/>
        <tr r="D405" s="16"/>
        <tr r="C353" s="1"/>
        <tr r="D432" s="16"/>
        <tr r="C349" s="1"/>
        <tr r="D383" s="16"/>
        <tr r="C464" s="1"/>
        <tr r="D416" s="16"/>
        <tr r="D438" s="16"/>
        <tr r="C430" s="1"/>
        <tr r="D136" s="16"/>
        <tr r="D162" s="16"/>
        <tr r="C467" s="1"/>
        <tr r="C306" s="1"/>
        <tr r="C423" s="1"/>
        <tr r="C412" s="1"/>
        <tr r="C324" s="1"/>
        <tr r="D159" s="16"/>
        <tr r="C337" s="1"/>
        <tr r="C341" s="1"/>
        <tr r="D264" s="16"/>
        <tr r="C445" s="1"/>
        <tr r="D424" s="16"/>
        <tr r="D230" s="16"/>
        <tr r="C496" s="1"/>
        <tr r="C374" s="1"/>
        <tr r="D150" s="16"/>
        <tr r="C331" s="1"/>
        <tr r="C396" s="1"/>
        <tr r="D406" s="16"/>
        <tr r="D212" s="16"/>
        <tr r="C386" s="1"/>
        <tr r="C358" s="1"/>
        <tr r="D308" s="16"/>
        <tr r="C481" s="1"/>
        <tr r="D444" s="16"/>
        <tr r="D391" s="16"/>
        <tr r="D294" s="16"/>
        <tr r="D439" s="16"/>
        <tr r="D203" s="16"/>
        <tr r="D451" s="16"/>
        <tr r="D189" s="16"/>
        <tr r="D390" s="16"/>
        <tr r="D295" s="16"/>
        <tr r="D448" s="16"/>
        <tr r="D347" s="16"/>
        <tr r="D368" s="16"/>
        <tr r="C394" s="1"/>
        <tr r="D312" s="16"/>
        <tr r="C350" s="1"/>
        <tr r="D373" s="16"/>
        <tr r="D386" s="16"/>
        <tr r="D394" s="16"/>
        <tr r="D257" s="16"/>
        <tr r="D222" s="16"/>
        <tr r="C340" s="1"/>
        <tr r="D127" s="16"/>
        <tr r="C356" s="1"/>
        <tr r="D293" s="16"/>
        <tr r="D281" s="16"/>
        <tr r="D376" s="16"/>
        <tr r="C361" s="1"/>
        <tr r="D437" s="16"/>
        <tr r="C480" s="1"/>
        <tr r="C426" s="1"/>
        <tr r="D154" s="16"/>
        <tr r="D313" s="16"/>
        <tr r="C391" s="1"/>
        <tr r="C466" s="1"/>
        <tr r="D429" s="16"/>
        <tr r="D241" s="16"/>
        <tr r="D237" s="16"/>
        <tr r="D322" s="16"/>
        <tr r="D393" s="16"/>
        <tr r="C344" s="1"/>
        <tr r="D160" s="16"/>
        <tr r="D287" s="16"/>
        <tr r="C413" s="1"/>
        <tr r="D246" s="16"/>
        <tr r="C377" s="1"/>
        <tr r="C470" s="1"/>
        <tr r="D215" s="16"/>
        <tr r="D236" s="16"/>
        <tr r="D316" s="16"/>
        <tr r="D190" s="16"/>
        <tr r="D213" s="16"/>
        <tr r="C407" s="1"/>
        <tr r="C309" s="1"/>
        <tr r="D392" s="16"/>
        <tr r="C444" s="1"/>
        <tr r="C322" s="1"/>
        <tr r="D226" s="16"/>
        <tr r="D343" s="16"/>
        <tr r="D304" s="16"/>
        <tr r="C448" s="1"/>
        <tr r="C461" s="1"/>
        <tr r="D441" s="16"/>
        <tr r="D369" s="16"/>
        <tr r="D140" s="16"/>
        <tr r="C439" s="1"/>
        <tr r="D382" s="16"/>
        <tr r="D180" s="16"/>
        <tr r="D338" s="16"/>
        <tr r="D387" s="16"/>
        <tr r="D207" s="16"/>
        <tr r="D164" s="16"/>
        <tr r="D356" s="16"/>
        <tr r="C438" s="1"/>
        <tr r="C392" s="1"/>
        <tr r="D122" s="16"/>
        <tr r="D204" s="16"/>
        <tr r="D335" s="16"/>
        <tr r="D221" s="16"/>
        <tr r="D460" s="16"/>
        <tr r="D223" s="16"/>
        <tr r="C319" s="1"/>
        <tr r="D292" s="16"/>
        <tr r="C406" s="1"/>
        <tr r="C420" s="1"/>
        <tr r="C318" s="1"/>
        <tr r="D184" s="16"/>
        <tr r="D224" s="16"/>
        <tr r="D323" s="16"/>
        <tr r="D350" s="16"/>
        <tr r="D377" s="16"/>
        <tr r="D328" s="16"/>
        <tr r="D434" s="16"/>
        <tr r="D411" s="16"/>
        <tr r="D351" s="16"/>
        <tr r="D187" s="16"/>
        <tr r="C462" s="1"/>
        <tr r="D426" s="16"/>
        <tr r="C440" s="1"/>
        <tr r="D461" s="16"/>
        <tr r="D129" s="16"/>
        <tr r="D400" s="16"/>
        <tr r="D285" s="16"/>
        <tr r="D359" s="16"/>
        <tr r="D192" s="16"/>
        <tr r="C398" s="1"/>
        <tr r="D413" s="16"/>
        <tr r="D174" s="16"/>
        <tr r="D233" s="16"/>
        <tr r="C457" s="1"/>
        <tr r="D367" s="16"/>
        <tr r="D267" s="16"/>
        <tr r="D381" s="16"/>
        <tr r="D453" s="16"/>
        <tr r="D407" s="16"/>
        <tr r="D357" s="16"/>
        <tr r="C418" s="1"/>
        <tr r="C411" s="1"/>
        <tr r="D436" s="16"/>
        <tr r="D161" s="16"/>
        <tr r="D388" s="16"/>
        <tr r="C402" s="1"/>
        <tr r="D248" s="16"/>
        <tr r="C433" s="1"/>
        <tr r="D409" s="16"/>
        <tr r="D361" s="16"/>
        <tr r="D141" s="16"/>
        <tr r="D346" s="16"/>
        <tr r="D145" s="16"/>
        <tr r="C501" s="1"/>
        <tr r="C397" s="1"/>
        <tr r="D326" s="16"/>
        <tr r="C491" s="1"/>
        <tr r="C458" s="1"/>
        <tr r="D288" s="16"/>
        <tr r="C500" s="1"/>
        <tr r="D440" s="16"/>
        <tr r="D242" s="16"/>
        <tr r="D134" s="16"/>
        <tr r="D379" s="16"/>
        <tr r="C414" s="1"/>
        <tr r="D457" s="16"/>
        <tr r="C332" s="1"/>
        <tr r="C436" s="1"/>
        <tr r="D195" s="16"/>
        <tr r="D188" s="16"/>
        <tr r="D446" s="16"/>
        <tr r="C456" s="1"/>
        <tr r="D202" s="16"/>
        <tr r="D296" s="16"/>
        <tr r="D433" s="16"/>
        <tr r="D286" s="16"/>
        <tr r="D333" s="16"/>
        <tr r="D418" s="16"/>
        <tr r="D243" s="16"/>
        <tr r="D252" s="16"/>
        <tr r="D146" s="16"/>
        <tr r="D344" s="16"/>
        <tr r="D360" s="16"/>
        <tr r="D314" s="16"/>
        <tr r="D219" s="16"/>
        <tr r="D209" s="16"/>
        <tr r="D309" s="16"/>
        <tr r="D362" s="16"/>
        <tr r="D458" s="16"/>
        <tr r="C373" s="1"/>
        <tr r="D321" s="16"/>
        <tr r="D165" s="16"/>
        <tr r="D397" s="16"/>
        <tr r="C455" s="1"/>
        <tr r="D415" s="16"/>
        <tr r="D131" s="16"/>
        <tr r="C346" s="1"/>
        <tr r="D291" s="16"/>
        <tr r="D206" s="16"/>
        <tr r="D270" s="16"/>
        <tr r="D220" s="16"/>
        <tr r="D218" s="16"/>
        <tr r="D277" s="16"/>
        <tr r="D181" s="16"/>
        <tr r="D420" s="16"/>
        <tr r="D371" s="16"/>
        <tr r="D282" s="16"/>
        <tr r="D408" s="16"/>
        <tr r="D364" s="16"/>
        <tr r="D370" s="16"/>
        <tr r="D341" s="16"/>
        <tr r="D375" s="16"/>
        <tr r="D232" s="16"/>
        <tr r="D263" s="16"/>
        <tr r="D297" s="16"/>
        <tr r="D289" s="16"/>
        <tr r="D266" s="16"/>
        <tr r="D384" s="16"/>
        <tr r="D456" s="16"/>
        <tr r="D138" s="16"/>
        <tr r="D137" s="16"/>
        <tr r="C368" s="1"/>
        <tr r="D336" s="16"/>
        <tr r="D358" s="16"/>
        <tr r="D238" s="16"/>
        <tr r="D395" s="16"/>
        <tr r="D363" s="16"/>
        <tr r="D255" s="16"/>
        <tr r="C503" s="1"/>
        <tr r="D166" s="16"/>
        <tr r="D311" s="16"/>
        <tr r="D325" s="16"/>
        <tr r="D318" s="16"/>
        <tr r="D389" s="16"/>
        <tr r="D247" s="16"/>
        <tr r="D329" s="16"/>
        <tr r="D352" s="16"/>
        <tr r="D244" s="16"/>
        <tr r="C483" s="1"/>
        <tr r="D169" s="16"/>
        <tr r="C342" s="1"/>
        <tr r="D231" s="16"/>
        <tr r="D191" s="16"/>
        <tr r="D307" s="16"/>
        <tr r="D423" s="16"/>
        <tr r="D227" s="16"/>
        <tr r="D171" s="16"/>
        <tr r="D130" s="16"/>
        <tr r="D148" s="16"/>
        <tr r="D428" s="16"/>
        <tr r="D455" s="16"/>
        <tr r="C472" s="1"/>
        <tr r="D450" s="16"/>
        <tr r="D249" s="16"/>
        <tr r="D239" s="16"/>
        <tr r="D302" s="16"/>
        <tr r="C499" s="1"/>
        <tr r="D303" s="16"/>
        <tr r="D156" s="16"/>
        <tr r="D324" s="16"/>
        <tr r="D410" s="16"/>
        <tr r="D353" s="16"/>
        <tr r="D404" s="16"/>
        <tr r="D299" s="16"/>
        <tr r="D200" s="16"/>
        <tr r="D380" s="16"/>
        <tr r="D235" s="16"/>
        <tr r="D228" s="16"/>
        <tr r="D452" s="16"/>
        <tr r="D153" s="16"/>
        <tr r="D128" s="16"/>
        <tr r="D419" s="16"/>
        <tr r="D301" s="16"/>
        <tr r="D337" s="16"/>
        <tr r="D229" s="16"/>
        <tr r="D142" s="16"/>
        <tr r="D135" s="16"/>
        <tr r="D402" s="16"/>
        <tr r="D339" s="16"/>
        <tr r="D155" s="16"/>
        <tr r="D422" s="16"/>
        <tr r="D271" s="16"/>
        <tr r="D175" s="16"/>
        <tr r="D332" s="16"/>
        <tr r="D385" s="16"/>
        <tr r="D327" s="16"/>
        <tr r="D284" s="16"/>
        <tr r="D449" s="16"/>
        <tr r="D342" s="16"/>
        <tr r="D158" s="16"/>
        <tr r="D278" s="16"/>
        <tr r="D183" s="16"/>
        <tr r="D259" s="16"/>
        <tr r="D427" s="16"/>
        <tr r="D283" s="16"/>
        <tr r="D214" s="16"/>
        <tr r="D193" s="16"/>
        <tr r="C307" s="1"/>
        <tr r="D216" s="16"/>
        <tr r="D260" s="16"/>
        <tr r="D331" s="16"/>
        <tr r="D334" s="16"/>
        <tr r="D196" s="16"/>
        <tr r="C378" s="1"/>
        <tr r="D354" s="16"/>
        <tr r="D124" s="16"/>
        <tr r="D262" s="16"/>
        <tr r="D276" s="16"/>
        <tr r="C385" s="1"/>
        <tr r="D315" s="16"/>
        <tr r="D273" s="16"/>
        <tr r="D123" s="16"/>
        <tr r="C399" s="1"/>
        <tr r="D186" s="16"/>
        <tr r="D374" s="16"/>
        <tr r="D398" s="16"/>
        <tr r="D163" s="16"/>
        <tr r="D133" s="16"/>
        <tr r="D256" s="16"/>
        <tr r="D250" s="16"/>
        <tr r="D251" s="16"/>
        <tr r="D396" s="16"/>
        <tr r="D445" s="16"/>
        <tr r="D279" s="16"/>
        <tr r="D320" s="16"/>
        <tr r="D447" s="16"/>
        <tr r="D125" s="16"/>
        <tr r="D349" s="16"/>
        <tr r="D217" s="16"/>
        <tr r="D167" s="16"/>
        <tr r="D319" s="16"/>
        <tr r="D198" s="16"/>
        <tr r="D173" s="16"/>
        <tr r="D268" s="16"/>
        <tr r="D185" s="16"/>
        <tr r="D178" s="16"/>
        <tr r="D152" s="16"/>
        <tr r="D151" s="16"/>
        <tr r="D194" s="16"/>
        <tr r="D378" s="16"/>
        <tr r="D132" s="16"/>
        <tr r="D258" s="16"/>
        <tr r="D454" s="16"/>
        <tr r="D225" s="16"/>
      </tp>
    </main>
    <main first="rtdsrv.bed1b1f6e97c4c9f9ae958b1f8b490de">
      <tp>
        <v>-1.19</v>
        <stp/>
        <stp>Market</stp>
        <stp>INDEX</stp>
        <stp>N225.FUT01.OS</stp>
        <stp>前日比率</stp>
        <tr r="H5" s="1"/>
      </tp>
      <tp>
        <v>4137.62</v>
        <stp/>
        <stp>Market</stp>
        <stp>INDEX</stp>
        <stp>TOPX</stp>
        <stp>年初来高値</stp>
        <tr r="K36" s="5"/>
        <tr r="K3" s="4"/>
      </tp>
      <tp t="s">
        <v/>
        <stp/>
        <stp>Market</stp>
        <stp>STOCK</stp>
        <stp/>
        <stp>現在値</stp>
        <tr r="H125" s="16"/>
        <tr r="H181" s="16"/>
        <tr r="H144" s="16"/>
        <tr r="H275" s="16"/>
        <tr r="H430" s="16"/>
        <tr r="H212" s="16"/>
        <tr r="H301" s="16"/>
        <tr r="H411" s="16"/>
        <tr r="H408" s="16"/>
        <tr r="H152" s="16"/>
        <tr r="H314" s="16"/>
        <tr r="H324" s="16"/>
        <tr r="H270" s="16"/>
        <tr r="H338" s="16"/>
        <tr r="H191" s="16"/>
        <tr r="H319" s="16"/>
        <tr r="H387" s="16"/>
        <tr r="H441" s="16"/>
        <tr r="H346" s="16"/>
        <tr r="H127" s="16"/>
        <tr r="H413" s="16"/>
        <tr r="H404" s="16"/>
        <tr r="H229" s="16"/>
        <tr r="H454" s="16"/>
        <tr r="H247" s="16"/>
        <tr r="H238" s="16"/>
        <tr r="H253" s="16"/>
        <tr r="H147" s="16"/>
        <tr r="H363" s="16"/>
        <tr r="H332" s="16"/>
        <tr r="H317" s="16"/>
        <tr r="H265" s="16"/>
        <tr r="H221" s="16"/>
        <tr r="H257" s="16"/>
        <tr r="H153" s="16"/>
        <tr r="H130" s="16"/>
        <tr r="H393" s="16"/>
        <tr r="H369" s="16"/>
        <tr r="H174" s="16"/>
        <tr r="H227" s="16"/>
        <tr r="H367" s="16"/>
        <tr r="H180" s="16"/>
        <tr r="H354" s="16"/>
        <tr r="H206" s="16"/>
        <tr r="H351" s="16"/>
        <tr r="H445" s="16"/>
        <tr r="H232" s="16"/>
        <tr r="H279" s="16"/>
        <tr r="H282" s="16"/>
        <tr r="H136" s="16"/>
        <tr r="H458" s="16"/>
        <tr r="H187" s="16"/>
        <tr r="H196" s="16"/>
        <tr r="H341" s="16"/>
        <tr r="H461" s="16"/>
        <tr r="H350" s="16"/>
        <tr r="H128" s="16"/>
        <tr r="H268" s="16"/>
        <tr r="H269" s="16"/>
        <tr r="H133" s="16"/>
        <tr r="H226" s="16"/>
        <tr r="H122" s="16"/>
        <tr r="H330" s="16"/>
        <tr r="H364" s="16"/>
        <tr r="H244" s="16"/>
        <tr r="H278" s="16"/>
        <tr r="H374" s="16"/>
        <tr r="H355" s="16"/>
        <tr r="H428" s="16"/>
        <tr r="H129" s="16"/>
        <tr r="H149" s="16"/>
        <tr r="H132" s="16"/>
        <tr r="H320" s="16"/>
        <tr r="H205" s="16"/>
        <tr r="H361" s="16"/>
        <tr r="H414" s="16"/>
        <tr r="H406" s="16"/>
        <tr r="H450" s="16"/>
        <tr r="H446" s="16"/>
        <tr r="H197" s="16"/>
        <tr r="H255" s="16"/>
        <tr r="H264" s="16"/>
        <tr r="H217" s="16"/>
        <tr r="H185" s="16"/>
        <tr r="H295" s="16"/>
        <tr r="H214" s="16"/>
        <tr r="H207" s="16"/>
        <tr r="H252" s="16"/>
        <tr r="H440" s="16"/>
        <tr r="H366" s="16"/>
        <tr r="H266" s="16"/>
        <tr r="H342" s="16"/>
        <tr r="H291" s="16"/>
        <tr r="H460" s="16"/>
        <tr r="H323" s="16"/>
        <tr r="H310" s="16"/>
        <tr r="H199" s="16"/>
        <tr r="H140" s="16"/>
        <tr r="H261" s="16"/>
        <tr r="H443" s="16"/>
        <tr r="H455" s="16"/>
        <tr r="H243" s="16"/>
        <tr r="H277" s="16"/>
        <tr r="H287" s="16"/>
        <tr r="H256" s="16"/>
        <tr r="H251" s="16"/>
        <tr r="H271" s="16"/>
        <tr r="H452" s="16"/>
        <tr r="H166" s="16"/>
        <tr r="H307" s="16"/>
        <tr r="H285" s="16"/>
        <tr r="H409" s="16"/>
        <tr r="H169" s="16"/>
        <tr r="H304" s="16"/>
        <tr r="H352" s="16"/>
        <tr r="H384" s="16"/>
        <tr r="H141" s="16"/>
        <tr r="H281" s="16"/>
        <tr r="H395" s="16"/>
        <tr r="H139" s="16"/>
        <tr r="H194" s="16"/>
        <tr r="H200" s="16"/>
        <tr r="H397" s="16"/>
        <tr r="H321" s="16"/>
        <tr r="H421" s="16"/>
        <tr r="H233" s="16"/>
        <tr r="H267" s="16"/>
        <tr r="H313" s="16"/>
        <tr r="H138" s="16"/>
        <tr r="H437" s="16"/>
        <tr r="H286" s="16"/>
        <tr r="H184" s="16"/>
        <tr r="H396" s="16"/>
        <tr r="H245" s="16"/>
        <tr r="H195" s="16"/>
        <tr r="H137" s="16"/>
        <tr r="H405" s="16"/>
        <tr r="H362" s="16"/>
        <tr r="H380" s="16"/>
        <tr r="H146" s="16"/>
        <tr r="H429" s="16"/>
        <tr r="H288" s="16"/>
        <tr r="H154" s="16"/>
        <tr r="H150" s="16"/>
        <tr r="H167" s="16"/>
        <tr r="H213" s="16"/>
        <tr r="H222" s="16"/>
        <tr r="H402" s="16"/>
        <tr r="H371" s="16"/>
        <tr r="H246" s="16"/>
        <tr r="H189" s="16"/>
        <tr r="H358" s="16"/>
        <tr r="H339" s="16"/>
        <tr r="H290" s="16"/>
        <tr r="H410" s="16"/>
        <tr r="H432" s="16"/>
        <tr r="H284" s="16"/>
        <tr r="H337" s="16"/>
        <tr r="H235" s="16"/>
        <tr r="H276" s="16"/>
        <tr r="H420" s="16"/>
        <tr r="H224" s="16"/>
        <tr r="H236" s="16"/>
        <tr r="H403" s="16"/>
        <tr r="H186" s="16"/>
        <tr r="H457" s="16"/>
        <tr r="H329" s="16"/>
        <tr r="H135" s="16"/>
        <tr r="H168" s="16"/>
        <tr r="H427" s="16"/>
        <tr r="H449" s="16"/>
        <tr r="H289" s="16"/>
        <tr r="H426" s="16"/>
        <tr r="H203" s="16"/>
        <tr r="H294" s="16"/>
        <tr r="H398" s="16"/>
        <tr r="H331" s="16"/>
        <tr r="H188" s="16"/>
        <tr r="H170" s="16"/>
        <tr r="H353" s="16"/>
        <tr r="H134" s="16"/>
        <tr r="H162" s="16"/>
        <tr r="H176" s="16"/>
        <tr r="H131" s="16"/>
        <tr r="H155" s="16"/>
        <tr r="H142" s="16"/>
        <tr r="H274" s="16"/>
        <tr r="H145" s="16"/>
        <tr r="H400" s="16"/>
        <tr r="H347" s="16"/>
        <tr r="H359" s="16"/>
        <tr r="H190" s="16"/>
        <tr r="H182" s="16"/>
        <tr r="H368" s="16"/>
        <tr r="H345" s="16"/>
        <tr r="H418" s="16"/>
        <tr r="H372" s="16"/>
        <tr r="H225" s="16"/>
        <tr r="H334" s="16"/>
        <tr r="H417" s="16"/>
        <tr r="H333" s="16"/>
        <tr r="H459" s="16"/>
        <tr r="H148" s="16"/>
        <tr r="H248" s="16"/>
        <tr r="H456" s="16"/>
        <tr r="H228" s="16"/>
        <tr r="H383" s="16"/>
        <tr r="H447" s="16"/>
        <tr r="H249" s="16"/>
        <tr r="H424" s="16"/>
        <tr r="H263" s="16"/>
        <tr r="H124" s="16"/>
        <tr r="H300" s="16"/>
        <tr r="H419" s="16"/>
        <tr r="H202" s="16"/>
        <tr r="H211" s="16"/>
        <tr r="H292" s="16"/>
        <tr r="H382" s="16"/>
        <tr r="H349" s="16"/>
        <tr r="H379" s="16"/>
        <tr r="H260" s="16"/>
        <tr r="H389" s="16"/>
        <tr r="H240" s="16"/>
        <tr r="H283" s="16"/>
        <tr r="H433" s="16"/>
        <tr r="H386" s="16"/>
        <tr r="H391" s="16"/>
        <tr r="H215" s="16"/>
        <tr r="H165" s="16"/>
        <tr r="H303" s="16"/>
        <tr r="H179" s="16"/>
        <tr r="H436" s="16"/>
        <tr r="H434" s="16"/>
        <tr r="H254" s="16"/>
        <tr r="H315" s="16"/>
        <tr r="H438" s="16"/>
        <tr r="H412" s="16"/>
        <tr r="H431" s="16"/>
        <tr r="H373" s="16"/>
        <tr r="H262" s="16"/>
        <tr r="H394" s="16"/>
        <tr r="H250" s="16"/>
        <tr r="H370" s="16"/>
        <tr r="H435" s="16"/>
        <tr r="C26" s="14"/>
        <tr r="H444" s="16"/>
        <tr r="H335" s="16"/>
        <tr r="H160" s="16"/>
        <tr r="H172" s="16"/>
        <tr r="H343" s="16"/>
        <tr r="H298" s="16"/>
        <tr r="H302" s="16"/>
        <tr r="H297" s="16"/>
        <tr r="H318" s="16"/>
        <tr r="H123" s="16"/>
        <tr r="H192" s="16"/>
        <tr r="H416" s="16"/>
        <tr r="H272" s="16"/>
        <tr r="H157" s="16"/>
        <tr r="H234" s="16"/>
        <tr r="H193" s="16"/>
        <tr r="H322" s="16"/>
        <tr r="H306" s="16"/>
        <tr r="H348" s="16"/>
        <tr r="H326" s="16"/>
        <tr r="H273" s="16"/>
        <tr r="H219" s="16"/>
        <tr r="H237" s="16"/>
        <tr r="H258" s="16"/>
        <tr r="H296" s="16"/>
        <tr r="H280" s="16"/>
        <tr r="H401" s="16"/>
        <tr r="H163" s="16"/>
        <tr r="H210" s="16"/>
        <tr r="H218" s="16"/>
        <tr r="H376" s="16"/>
        <tr r="H340" s="16"/>
        <tr r="H151" s="16"/>
        <tr r="H204" s="16"/>
        <tr r="H242" s="16"/>
        <tr r="H390" s="16"/>
        <tr r="H175" s="16"/>
        <tr r="H442" s="16"/>
        <tr r="H451" s="16"/>
        <tr r="H377" s="16"/>
        <tr r="H311" s="16"/>
        <tr r="H156" s="16"/>
        <tr r="H177" s="16"/>
        <tr r="H309" s="16"/>
        <tr r="H312" s="16"/>
        <tr r="H183" s="16"/>
        <tr r="H143" s="16"/>
        <tr r="H201" s="16"/>
        <tr r="H198" s="16"/>
        <tr r="H216" s="16"/>
        <tr r="H208" s="16"/>
        <tr r="H325" s="16"/>
        <tr r="H381" s="16"/>
        <tr r="H231" s="16"/>
        <tr r="H407" s="16"/>
        <tr r="H171" s="16"/>
        <tr r="H308" s="16"/>
        <tr r="H344" s="16"/>
        <tr r="H378" s="16"/>
        <tr r="H356" s="16"/>
        <tr r="H293" s="16"/>
        <tr r="H239" s="16"/>
        <tr r="H230" s="16"/>
        <tr r="H336" s="16"/>
        <tr r="H316" s="16"/>
        <tr r="H209" s="16"/>
        <tr r="H305" s="16"/>
        <tr r="H415" s="16"/>
        <tr r="H259" s="16"/>
        <tr r="H178" s="16"/>
        <tr r="H388" s="16"/>
        <tr r="H164" s="16"/>
        <tr r="H241" s="16"/>
        <tr r="H375" s="16"/>
        <tr r="H223" s="16"/>
        <tr r="H121" s="16"/>
        <tr r="H392" s="16"/>
        <tr r="H357" s="16"/>
        <tr r="H159" s="16"/>
        <tr r="H161" s="16"/>
        <tr r="H328" s="16"/>
        <tr r="H385" s="16"/>
        <tr r="H299" s="16"/>
        <tr r="H453" s="16"/>
        <tr r="H439" s="16"/>
        <tr r="H399" s="16"/>
        <tr r="H365" s="16"/>
        <tr r="H423" s="16"/>
        <tr r="H448" s="16"/>
        <tr r="H425" s="16"/>
        <tr r="H220" s="16"/>
        <tr r="H422" s="16"/>
        <tr r="H173" s="16"/>
        <tr r="H126" s="16"/>
        <tr r="H327" s="16"/>
        <tr r="H360" s="16"/>
        <tr r="H158" s="16"/>
      </tp>
      <tp t="s">
        <v/>
        <stp/>
        <stp>Market</stp>
        <stp>STOCK</stp>
        <stp/>
        <stp>市場部名称</stp>
        <tr r="C5" s="14"/>
      </tp>
      <tp>
        <v>2401000</v>
        <stp/>
        <stp>Market</stp>
        <stp>STOCK</stp>
        <stp>63660.T</stp>
        <stp>出来高</stp>
        <tr r="C260" s="12"/>
      </tp>
      <tp>
        <v>2905900</v>
        <stp/>
        <stp>Market</stp>
        <stp>STOCK</stp>
        <stp>63610.T</stp>
        <stp>出来高</stp>
        <tr r="C249" s="12"/>
      </tp>
      <tp>
        <v>313600</v>
        <stp/>
        <stp>Market</stp>
        <stp>STOCK</stp>
        <stp>63760.T</stp>
        <stp>出来高</stp>
        <tr r="C269" s="12"/>
      </tp>
      <tp>
        <v>799900</v>
        <stp/>
        <stp>Market</stp>
        <stp>STOCK</stp>
        <stp>63700.T</stp>
        <stp>出来高</stp>
        <tr r="C255" s="12"/>
      </tp>
      <tp>
        <v>79900</v>
        <stp/>
        <stp>Market</stp>
        <stp>STOCK</stp>
        <stp>63560.T</stp>
        <stp>出来高</stp>
        <tr r="C267" s="12"/>
      </tp>
      <tp>
        <v>447400</v>
        <stp/>
        <stp>Market</stp>
        <stp>STOCK</stp>
        <stp>63270.T</stp>
        <stp>出来高</stp>
        <tr r="J105" s="4"/>
        <tr r="J27" s="5"/>
        <tr r="C133" s="12"/>
      </tp>
      <tp>
        <v>1543600</v>
        <stp/>
        <stp>Market</stp>
        <stp>STOCK</stp>
        <stp>63240.T</stp>
        <stp>出来高</stp>
        <tr r="C210" s="12"/>
      </tp>
      <tp>
        <v>1988400</v>
        <stp/>
        <stp>Market</stp>
        <stp>STOCK</stp>
        <stp>63230.T</stp>
        <stp>出来高</stp>
        <tr r="J106" s="4"/>
        <tr r="J41" s="5"/>
        <tr r="C90" s="12"/>
      </tp>
      <tp>
        <v>1312000</v>
        <stp/>
        <stp>Market</stp>
        <stp>STOCK</stp>
        <stp>63300.T</stp>
        <stp>出来高</stp>
        <tr r="C128" s="12"/>
        <tr r="J104" s="4"/>
        <tr r="J186" s="5"/>
      </tp>
      <tp>
        <v>210300</v>
        <stp/>
        <stp>Market</stp>
        <stp>STOCK</stp>
        <stp>63310.T</stp>
        <stp>出来高</stp>
        <tr r="C301" s="12"/>
      </tp>
      <tp>
        <v>1146400</v>
        <stp/>
        <stp>Market</stp>
        <stp>STOCK</stp>
        <stp>63050.T</stp>
        <stp>出来高</stp>
        <tr r="J85" s="5"/>
        <tr r="C203" s="12"/>
        <tr r="J107" s="4"/>
      </tp>
      <tp>
        <v>92600</v>
        <stp/>
        <stp>Market</stp>
        <stp>STOCK</stp>
        <stp>63870.T</stp>
        <stp>出来高</stp>
        <tr r="J103" s="4"/>
        <tr r="C147" s="12"/>
        <tr r="J62" s="5"/>
      </tp>
      <tp>
        <v>309800</v>
        <stp/>
        <stp>Market</stp>
        <stp>STOCK</stp>
        <stp>62730.T</stp>
        <stp>出来高</stp>
        <tr r="C211" s="12"/>
      </tp>
      <tp>
        <v>749500</v>
        <stp/>
        <stp>Market</stp>
        <stp>STOCK</stp>
        <stp>62540.T</stp>
        <stp>出来高</stp>
        <tr r="J5" s="5"/>
        <tr r="J108" s="4"/>
        <tr r="C30" s="12"/>
      </tp>
      <tp>
        <v>895500</v>
        <stp/>
        <stp>Market</stp>
        <stp>STOCK</stp>
        <stp>62270.T</stp>
        <stp>出来高</stp>
        <tr r="J110" s="4"/>
        <tr r="J108" s="5"/>
        <tr r="C132" s="12"/>
      </tp>
      <tp>
        <v>433700</v>
        <stp/>
        <stp>Market</stp>
        <stp>STOCK</stp>
        <stp>62320.T</stp>
        <stp>出来高</stp>
        <tr r="J109" s="4"/>
        <tr r="J28" s="5"/>
        <tr r="C135" s="12"/>
      </tp>
      <tp>
        <v>424400</v>
        <stp/>
        <stp>Market</stp>
        <stp>STOCK</stp>
        <stp>62030.T</stp>
        <stp>出来高</stp>
        <tr r="J50" s="5"/>
        <tr r="J111" s="4"/>
        <tr r="C57" s="12"/>
      </tp>
      <tp>
        <v>3921800</v>
        <stp/>
        <stp>Market</stp>
        <stp>STOCK</stp>
        <stp>61780.T</stp>
        <stp>出来高</stp>
        <tr r="J112" s="4"/>
        <tr r="J59" s="5"/>
        <tr r="C104" s="12"/>
      </tp>
      <tp>
        <v>1569200</v>
        <stp/>
        <stp>Market</stp>
        <stp>STOCK</stp>
        <stp>61460.T</stp>
        <stp>出来高</stp>
        <tr r="J113" s="4"/>
        <tr r="J120" s="5"/>
        <tr r="C197" s="12"/>
      </tp>
      <tp>
        <v>530200</v>
        <stp/>
        <stp>Market</stp>
        <stp>STOCK</stp>
        <stp>61400.T</stp>
        <stp>出来高</stp>
        <tr r="C261" s="12"/>
      </tp>
      <tp>
        <v>1592700</v>
        <stp/>
        <stp>Market</stp>
        <stp>STOCK</stp>
        <stp>61340.T</stp>
        <stp>出来高</stp>
        <tr r="J25" s="5"/>
        <tr r="J114" s="4"/>
        <tr r="C92" s="12"/>
      </tp>
      <tp>
        <v>157200</v>
        <stp/>
        <stp>Market</stp>
        <stp>STOCK</stp>
        <stp>61350.T</stp>
        <stp>出来高</stp>
        <tr r="C223" s="12"/>
      </tp>
      <tp>
        <v>525700</v>
        <stp/>
        <stp>Market</stp>
        <stp>STOCK</stp>
        <stp>60550.T</stp>
        <stp>出来高</stp>
        <tr r="C224" s="12"/>
      </tp>
      <tp>
        <v>60500</v>
        <stp/>
        <stp>Market</stp>
        <stp>STOCK</stp>
        <stp>60270.T</stp>
        <stp>出来高</stp>
        <tr r="J116" s="4"/>
        <tr r="C72" s="12"/>
        <tr r="J98" s="5"/>
      </tp>
      <tp>
        <v>1367600</v>
        <stp/>
        <stp>Market</stp>
        <stp>STOCK</stp>
        <stp>60850.T</stp>
        <stp>出来高</stp>
        <tr r="C137" s="12"/>
        <tr r="J115" s="4"/>
        <tr r="J150" s="5"/>
      </tp>
      <tp>
        <v>3746900</v>
        <stp/>
        <stp>Market</stp>
        <stp>STOCK</stp>
        <stp>60980.T</stp>
        <stp>出来高</stp>
        <tr r="C248" s="12"/>
      </tp>
      <tp>
        <v>13592600</v>
        <stp/>
        <stp>Market</stp>
        <stp>STOCK</stp>
        <stp>67620.T</stp>
        <stp>出来高</stp>
        <tr r="C234" s="12"/>
      </tp>
      <tp>
        <v>202200</v>
        <stp/>
        <stp>Market</stp>
        <stp>STOCK</stp>
        <stp>67770.T</stp>
        <stp>出来高</stp>
        <tr r="J130" s="5"/>
        <tr r="J87" s="4"/>
        <tr r="C144" s="12"/>
      </tp>
      <tp>
        <v>116100</v>
        <stp/>
        <stp>Market</stp>
        <stp>STOCK</stp>
        <stp>67440.T</stp>
        <stp>出来高</stp>
        <tr r="C120" s="12"/>
        <tr r="J91" s="4"/>
        <tr r="J106" s="5"/>
      </tp>
      <tp>
        <v>13294400</v>
        <stp/>
        <stp>Market</stp>
        <stp>STOCK</stp>
        <stp>67400.T</stp>
        <stp>出来高</stp>
        <tr r="C140" s="12"/>
        <tr r="J92" s="4"/>
        <tr r="J189" s="5"/>
      </tp>
      <tp>
        <v>2090900</v>
        <stp/>
        <stp>Market</stp>
        <stp>STOCK</stp>
        <stp>67540.T</stp>
        <stp>出来高</stp>
        <tr r="J31" s="5"/>
        <tr r="J89" s="4"/>
        <tr r="C155" s="12"/>
      </tp>
      <tp>
        <v>6765900</v>
        <stp/>
        <stp>Market</stp>
        <stp>STOCK</stp>
        <stp>67520.T</stp>
        <stp>出来高</stp>
        <tr r="C215" s="12"/>
      </tp>
      <tp>
        <v>3164500</v>
        <stp/>
        <stp>Market</stp>
        <stp>STOCK</stp>
        <stp>67530.T</stp>
        <stp>出来高</stp>
        <tr r="J162" s="5"/>
        <tr r="C188" s="12"/>
        <tr r="J90" s="4"/>
      </tp>
      <tp>
        <v>17528500</v>
        <stp/>
        <stp>Market</stp>
        <stp>STOCK</stp>
        <stp>67580.T</stp>
        <stp>出来高</stp>
        <tr r="J88" s="4"/>
        <tr r="C205" s="12"/>
        <tr r="J86" s="5"/>
      </tp>
      <tp>
        <v>37400</v>
        <stp/>
        <stp>Market</stp>
        <stp>STOCK</stp>
        <stp>67360.T</stp>
        <stp>出来高</stp>
        <tr r="C287" s="12"/>
      </tp>
      <tp>
        <v>35800</v>
        <stp/>
        <stp>Market</stp>
        <stp>STOCK</stp>
        <stp>67060.T</stp>
        <stp>出来高</stp>
        <tr r="C291" s="12"/>
      </tp>
      <tp>
        <v>5467900</v>
        <stp/>
        <stp>Market</stp>
        <stp>STOCK</stp>
        <stp>67010.T</stp>
        <stp>出来高</stp>
        <tr r="C11" s="12"/>
        <tr r="J139" s="5"/>
        <tr r="J93" s="4"/>
      </tp>
      <tp>
        <v>592100</v>
        <stp/>
        <stp>Market</stp>
        <stp>STOCK</stp>
        <stp>67870.T</stp>
        <stp>出来高</stp>
        <tr r="J86" s="4"/>
        <tr r="C145" s="12"/>
        <tr r="J10" s="5"/>
      </tp>
      <tp>
        <v>2121700</v>
        <stp/>
        <stp>Market</stp>
        <stp>STOCK</stp>
        <stp>66740.T</stp>
        <stp>出来高</stp>
        <tr r="C264" s="12"/>
      </tp>
      <tp>
        <v>540400</v>
        <stp/>
        <stp>Market</stp>
        <stp>STOCK</stp>
        <stp>66220.T</stp>
        <stp>出来高</stp>
        <tr r="C216" s="12"/>
      </tp>
      <tp>
        <v>1587700</v>
        <stp/>
        <stp>Market</stp>
        <stp>STOCK</stp>
        <stp>66130.T</stp>
        <stp>出来高</stp>
        <tr r="J3" s="5"/>
        <tr r="C141" s="12"/>
        <tr r="J94" s="4"/>
      </tp>
      <tp>
        <v>772100</v>
        <stp/>
        <stp>Market</stp>
        <stp>STOCK</stp>
        <stp>65220.T</stp>
        <stp>出来高</stp>
        <tr r="J95" s="4"/>
        <tr r="J111" s="5"/>
        <tr r="C143" s="12"/>
      </tp>
      <tp>
        <v>142200</v>
        <stp/>
        <stp>Market</stp>
        <stp>STOCK</stp>
        <stp>65210.T</stp>
        <stp>出来高</stp>
        <tr r="C242" s="12"/>
      </tp>
      <tp>
        <v>4722700</v>
        <stp/>
        <stp>Market</stp>
        <stp>STOCK</stp>
        <stp>65060.T</stp>
        <stp>出来高</stp>
        <tr r="J98" s="4"/>
        <tr r="J20" s="5"/>
        <tr r="C201" s="12"/>
      </tp>
      <tp>
        <v>150800</v>
        <stp/>
        <stp>Market</stp>
        <stp>STOCK</stp>
        <stp>65070.T</stp>
        <stp>出来高</stp>
        <tr r="J64" s="5"/>
        <tr r="J97" s="4"/>
        <tr r="C183" s="12"/>
      </tp>
      <tp>
        <v>7307800</v>
        <stp/>
        <stp>Market</stp>
        <stp>STOCK</stp>
        <stp>65030.T</stp>
        <stp>出来高</stp>
        <tr r="J99" s="4"/>
        <tr r="J39" s="5"/>
        <tr r="C68" s="12"/>
      </tp>
      <tp>
        <v>11584500</v>
        <stp/>
        <stp>Market</stp>
        <stp>STOCK</stp>
        <stp>65010.T</stp>
        <stp>出来高</stp>
        <tr r="J126" s="5"/>
        <tr r="J100" s="4"/>
        <tr r="C91" s="12"/>
      </tp>
      <tp>
        <v>175900</v>
        <stp/>
        <stp>Market</stp>
        <stp>STOCK</stp>
        <stp>65160.T</stp>
        <stp>出来高</stp>
        <tr r="J96" s="4"/>
        <tr r="J29" s="5"/>
        <tr r="C151" s="12"/>
      </tp>
      <tp>
        <v>6490100</v>
        <stp/>
        <stp>Market</stp>
        <stp>STOCK</stp>
        <stp>64790.T</stp>
        <stp>出来高</stp>
        <tr r="J101" s="4"/>
        <tr r="J24" s="5"/>
        <tr r="C79" s="12"/>
      </tp>
      <tp>
        <v>198300</v>
        <stp/>
        <stp>Market</stp>
        <stp>STOCK</stp>
        <stp>64360.T</stp>
        <stp>出来高</stp>
        <tr r="J155" s="5"/>
        <tr r="J102" s="4"/>
        <tr r="C178" s="12"/>
      </tp>
      <tp>
        <v>863100</v>
        <stp/>
        <stp>Market</stp>
        <stp>STOCK</stp>
        <stp>64070.T</stp>
        <stp>出来高</stp>
        <tr r="C295" s="12"/>
      </tp>
      <tp>
        <v>27500</v>
        <stp/>
        <stp>Market</stp>
        <stp>STOCK</stp>
        <stp>64850.T</stp>
        <stp>出来高</stp>
        <tr r="J6" s="4"/>
        <tr r="J194" s="5"/>
        <tr r="C191" s="12"/>
      </tp>
      <tp>
        <v>43100</v>
        <stp/>
        <stp>Market</stp>
        <stp>STOCK</stp>
        <stp>64820.T</stp>
        <stp>出来高</stp>
        <tr r="C290" s="12"/>
      </tp>
      <tp>
        <v>700</v>
        <stp/>
        <stp>Market</stp>
        <stp>STOCK</stp>
        <stp>64880.T</stp>
        <stp>出来高</stp>
        <tr r="C280" s="12"/>
      </tp>
      <tp>
        <v>4105100</v>
        <stp/>
        <stp>Market</stp>
        <stp>STOCK</stp>
        <stp>69650.T</stp>
        <stp>出来高</stp>
        <tr r="C300" s="12"/>
      </tp>
      <tp>
        <v>6885700</v>
        <stp/>
        <stp>Market</stp>
        <stp>STOCK</stp>
        <stp>69540.T</stp>
        <stp>出来高</stp>
        <tr r="J79" s="4"/>
        <tr r="J16" s="5"/>
        <tr r="C78" s="12"/>
      </tp>
      <tp>
        <v>101600</v>
        <stp/>
        <stp>Market</stp>
        <stp>STOCK</stp>
        <stp>69550.T</stp>
        <stp>出来高</stp>
        <tr r="C265" s="12"/>
      </tp>
      <tp>
        <v>644000</v>
        <stp/>
        <stp>Market</stp>
        <stp>STOCK</stp>
        <stp>69250.T</stp>
        <stp>出来高</stp>
        <tr r="J42" s="5"/>
        <tr r="J80" s="4"/>
        <tr r="C105" s="12"/>
      </tp>
      <tp>
        <v>2765700</v>
        <stp/>
        <stp>Market</stp>
        <stp>STOCK</stp>
        <stp>69200.T</stp>
        <stp>出来高</stp>
        <tr r="J81" s="4"/>
        <tr r="J84" s="5"/>
        <tr r="C199" s="12"/>
      </tp>
      <tp>
        <v>37700</v>
        <stp/>
        <stp>Market</stp>
        <stp>STOCK</stp>
        <stp>69280.T</stp>
        <stp>出来高</stp>
        <tr r="C246" s="12"/>
      </tp>
      <tp>
        <v>6687800</v>
        <stp/>
        <stp>Market</stp>
        <stp>STOCK</stp>
        <stp>69020.T</stp>
        <stp>出来高</stp>
        <tr r="C244" s="12"/>
      </tp>
      <tp>
        <v>39900</v>
        <stp/>
        <stp>Market</stp>
        <stp>STOCK</stp>
        <stp>69180.T</stp>
        <stp>出来高</stp>
        <tr r="C279" s="12"/>
      </tp>
      <tp>
        <v>36253800</v>
        <stp/>
        <stp>Market</stp>
        <stp>STOCK</stp>
        <stp>69810.T</stp>
        <stp>出来高</stp>
        <tr r="C154" s="12"/>
        <tr r="J30" s="5"/>
        <tr r="J78" s="4"/>
      </tp>
      <tp>
        <v>922200</v>
        <stp/>
        <stp>Market</stp>
        <stp>STOCK</stp>
        <stp>69970.T</stp>
        <stp>出来高</stp>
        <tr r="C272" s="12"/>
      </tp>
      <tp>
        <v>234500</v>
        <stp/>
        <stp>Market</stp>
        <stp>STOCK</stp>
        <stp>68620.T</stp>
        <stp>出来高</stp>
        <tr r="C225" s="12"/>
      </tp>
      <tp>
        <v>798200</v>
        <stp/>
        <stp>Market</stp>
        <stp>STOCK</stp>
        <stp>68610.T</stp>
        <stp>出来高</stp>
        <tr r="C209" s="12"/>
      </tp>
      <tp>
        <v>2820200</v>
        <stp/>
        <stp>Market</stp>
        <stp>STOCK</stp>
        <stp>68410.T</stp>
        <stp>出来高</stp>
        <tr r="J84" s="4"/>
        <tr r="J100" s="5"/>
        <tr r="C81" s="12"/>
      </tp>
      <tp>
        <v>2400</v>
        <stp/>
        <stp>Market</stp>
        <stp>STOCK</stp>
        <stp>68480.T</stp>
        <stp>出来高</stp>
        <tr r="C274" s="12"/>
      </tp>
      <tp>
        <v>7818100</v>
        <stp/>
        <stp>Market</stp>
        <stp>STOCK</stp>
        <stp>68570.T</stp>
        <stp>出来高</stp>
        <tr r="J113" s="5"/>
        <tr r="J83" s="4"/>
        <tr r="C158" s="12"/>
      </tp>
      <tp>
        <v>162700</v>
        <stp/>
        <stp>Market</stp>
        <stp>STOCK</stp>
        <stp>68380.T</stp>
        <stp>出来高</stp>
        <tr r="C148" s="12"/>
        <tr r="J85" s="4"/>
        <tr r="J6" s="5"/>
      </tp>
      <tp>
        <v>97900</v>
        <stp/>
        <stp>Market</stp>
        <stp>STOCK</stp>
        <stp>68090.T</stp>
        <stp>出来高</stp>
        <tr r="C238" s="12"/>
      </tp>
      <tp>
        <v>1357700</v>
        <stp/>
        <stp>Market</stp>
        <stp>STOCK</stp>
        <stp>68900.T</stp>
        <stp>出来高</stp>
        <tr r="C195" s="12"/>
        <tr r="J82" s="4"/>
        <tr r="J33" s="5"/>
      </tp>
    </main>
    <main first="rtdsrv.bed1b1f6e97c4c9f9ae958b1f8b490de">
      <tp>
        <v>9300</v>
        <stp/>
        <stp>Market</stp>
        <stp>STOCK</stp>
        <stp>73750.T</stp>
        <stp>出来高</stp>
        <tr r="J71" s="4"/>
        <tr r="J190" s="5"/>
        <tr r="C149" s="12"/>
      </tp>
      <tp>
        <v>575800</v>
        <stp/>
        <stp>Market</stp>
        <stp>STOCK</stp>
        <stp>73810.T</stp>
        <stp>出来高</stp>
        <tr r="J70" s="4"/>
        <tr r="C152" s="12"/>
        <tr r="J63" s="5"/>
      </tp>
      <tp>
        <v>8242000</v>
        <stp/>
        <stp>Market</stp>
        <stp>STOCK</stp>
        <stp>72700.T</stp>
        <stp>出来高</stp>
        <tr r="C286" s="12"/>
      </tp>
      <tp>
        <v>455900</v>
        <stp/>
        <stp>Market</stp>
        <stp>STOCK</stp>
        <stp>72360.T</stp>
        <stp>出来高</stp>
        <tr r="J72" s="4"/>
        <tr r="J137" s="5"/>
        <tr r="C177" s="12"/>
      </tp>
      <tp>
        <v>31969900</v>
        <stp/>
        <stp>Market</stp>
        <stp>STOCK</stp>
        <stp>72030.T</stp>
        <stp>出来高</stp>
        <tr r="J73" s="4"/>
        <tr r="J73" s="5"/>
        <tr r="C77" s="12"/>
      </tp>
      <tp>
        <v>4771400</v>
        <stp/>
        <stp>Market</stp>
        <stp>STOCK</stp>
        <stp>71670.T</stp>
        <stp>出来高</stp>
        <tr r="J75" s="4"/>
        <tr r="C82" s="12"/>
        <tr r="J101" s="5"/>
      </tp>
      <tp>
        <v>5230400</v>
        <stp/>
        <stp>Market</stp>
        <stp>STOCK</stp>
        <stp>71820.T</stp>
        <stp>出来高</stp>
        <tr r="J102" s="5"/>
        <tr r="C85" s="12"/>
        <tr r="J74" s="4"/>
      </tp>
      <tp>
        <v>1888700</v>
        <stp/>
        <stp>Market</stp>
        <stp>STOCK</stp>
        <stp>71810.T</stp>
        <stp>出来高</stp>
        <tr r="C190" s="12"/>
        <tr r="J5" s="4"/>
        <tr r="J119" s="5"/>
      </tp>
      <tp>
        <v>130500</v>
        <stp/>
        <stp>Market</stp>
        <stp>STOCK</stp>
        <stp>70480.T</stp>
        <stp>出来高</stp>
        <tr r="C296" s="12"/>
      </tp>
      <tp>
        <v>1400</v>
        <stp/>
        <stp>Market</stp>
        <stp>STOCK</stp>
        <stp>70210.T</stp>
        <stp>出来高</stp>
        <tr r="J76" s="4"/>
        <tr r="C106" s="12"/>
        <tr r="J76" s="5"/>
      </tp>
      <tp>
        <v>1063900</v>
        <stp/>
        <stp>Market</stp>
        <stp>STOCK</stp>
        <stp>70140.T</stp>
        <stp>出来高</stp>
        <tr r="C256" s="12"/>
      </tp>
      <tp>
        <v>19993500</v>
        <stp/>
        <stp>Market</stp>
        <stp>STOCK</stp>
        <stp>70130.T</stp>
        <stp>出来高</stp>
        <tr r="C231" s="12"/>
      </tp>
      <tp>
        <v>19815300</v>
        <stp/>
        <stp>Market</stp>
        <stp>STOCK</stp>
        <stp>70110.T</stp>
        <stp>出来高</stp>
        <tr r="J197" s="5"/>
        <tr r="J77" s="4"/>
        <tr r="C207" s="12"/>
      </tp>
      <tp>
        <v>223700</v>
        <stp/>
        <stp>Market</stp>
        <stp>STOCK</stp>
        <stp>77460.T</stp>
        <stp>出来高</stp>
        <tr r="J67" s="4"/>
        <tr r="C93" s="12"/>
        <tr r="J144" s="5"/>
      </tp>
      <tp>
        <v>1135500</v>
        <stp/>
        <stp>Market</stp>
        <stp>STOCK</stp>
        <stp>77410.T</stp>
        <stp>出来高</stp>
        <tr r="C302" s="12"/>
      </tp>
      <tp>
        <v>580500</v>
        <stp/>
        <stp>Market</stp>
        <stp>STOCK</stp>
        <stp>77290.T</stp>
        <stp>出来高</stp>
        <tr r="J68" s="4"/>
        <tr r="J18" s="5"/>
        <tr r="C107" s="12"/>
      </tp>
      <tp>
        <v>4083100</v>
        <stp/>
        <stp>Market</stp>
        <stp>STOCK</stp>
        <stp>77350.T</stp>
        <stp>出来高</stp>
        <tr r="C283" s="12"/>
      </tp>
      <tp>
        <v>221000</v>
        <stp/>
        <stp>Market</stp>
        <stp>STOCK</stp>
        <stp>77110.T</stp>
        <stp>出来高</stp>
        <tr r="C268" s="12"/>
      </tp>
      <tp>
        <v>209600</v>
        <stp/>
        <stp>Market</stp>
        <stp>STOCK</stp>
        <stp>77940.T</stp>
        <stp>出来高</stp>
        <tr r="J66" s="4"/>
        <tr r="C136" s="12"/>
        <tr r="J80" s="5"/>
      </tp>
      <tp>
        <v>220900</v>
        <stp/>
        <stp>Market</stp>
        <stp>STOCK</stp>
        <stp>76090.T</stp>
        <stp>出来高</stp>
        <tr r="C240" s="12"/>
      </tp>
      <tp>
        <v>345300</v>
        <stp/>
        <stp>Market</stp>
        <stp>STOCK</stp>
        <stp>76850.T</stp>
        <stp>出来高</stp>
        <tr r="J69" s="4"/>
        <tr r="J148" s="5"/>
        <tr r="C121" s="12"/>
      </tp>
      <tp>
        <v>5026700</v>
        <stp/>
        <stp>Market</stp>
        <stp>STOCK</stp>
        <stp>75320.T</stp>
        <stp>出来高</stp>
        <tr r="C305" s="12"/>
      </tp>
      <tp>
        <v>45700</v>
        <stp/>
        <stp>Market</stp>
        <stp>STOCK</stp>
        <stp>74140.T</stp>
        <stp>出来高</stp>
        <tr r="C294" s="12"/>
      </tp>
      <tp>
        <v>188300</v>
        <stp/>
        <stp>Market</stp>
        <stp>STOCK</stp>
        <stp>79720.T</stp>
        <stp>出来高</stp>
        <tr r="C241" s="12"/>
      </tp>
      <tp>
        <v>12500</v>
        <stp/>
        <stp>Market</stp>
        <stp>STOCK</stp>
        <stp>79520.T</stp>
        <stp>出来高</stp>
        <tr r="C276" s="12"/>
      </tp>
      <tp>
        <v>101500</v>
        <stp/>
        <stp>Market</stp>
        <stp>STOCK</stp>
        <stp>79810.T</stp>
        <stp>出来高</stp>
        <tr r="J63" s="4"/>
        <tr r="J116" s="5"/>
        <tr r="C171" s="12"/>
      </tp>
      <tp>
        <v>248900</v>
        <stp/>
        <stp>Market</stp>
        <stp>STOCK</stp>
        <stp>78460.T</stp>
        <stp>出来高</stp>
        <tr r="J64" s="4"/>
        <tr r="J202" s="5"/>
        <tr r="C75" s="12"/>
      </tp>
      <tp>
        <v>273500</v>
        <stp/>
        <stp>Market</stp>
        <stp>STOCK</stp>
        <stp>78060.T</stp>
        <stp>出来高</stp>
        <tr r="J55" s="5"/>
        <tr r="J65" s="4"/>
        <tr r="C73" s="12"/>
      </tp>
      <tp>
        <v>1123900</v>
        <stp/>
        <stp>Market</stp>
        <stp>STOCK</stp>
        <stp>43730.T</stp>
        <stp>出来高</stp>
        <tr r="J165" s="4"/>
        <tr r="C160" s="12"/>
        <tr r="J82" s="5"/>
      </tp>
      <tp>
        <v>3127100</v>
        <stp/>
        <stp>Market</stp>
        <stp>STOCK</stp>
        <stp>43070.T</stp>
        <stp>出来高</stp>
        <tr r="J166" s="4"/>
        <tr r="C150" s="12"/>
        <tr r="J151" s="5"/>
      </tp>
      <tp>
        <v>36200</v>
        <stp/>
        <stp>Market</stp>
        <stp>STOCK</stp>
        <stp>43820.T</stp>
        <stp>出来高</stp>
        <tr r="C173" s="12"/>
        <tr r="J164" s="4"/>
        <tr r="J192" s="5"/>
      </tp>
      <tp>
        <v>1221100</v>
        <stp/>
        <stp>Market</stp>
        <stp>STOCK</stp>
        <stp>43920.T</stp>
        <stp>出来高</stp>
        <tr r="C235" s="12"/>
      </tp>
      <tp>
        <v>118700</v>
        <stp/>
        <stp>Market</stp>
        <stp>STOCK</stp>
        <stp>42220.T</stp>
        <stp>出来高</stp>
        <tr r="C229" s="12"/>
      </tp>
      <tp>
        <v>879000</v>
        <stp/>
        <stp>Market</stp>
        <stp>STOCK</stp>
        <stp>42080.T</stp>
        <stp>出来高</stp>
        <tr r="C298" s="12"/>
      </tp>
      <tp>
        <v>14100</v>
        <stp/>
        <stp>Market</stp>
        <stp>STOCK</stp>
        <stp>42180.T</stp>
        <stp>出来高</stp>
        <tr r="C282" s="12"/>
      </tp>
      <tp>
        <v>1050400</v>
        <stp/>
        <stp>Market</stp>
        <stp>STOCK</stp>
        <stp>41820.T</stp>
        <stp>出来高</stp>
        <tr r="J168" s="4"/>
        <tr r="J75" s="5"/>
        <tr r="C97" s="12"/>
      </tp>
      <tp>
        <v>4918000</v>
        <stp/>
        <stp>Market</stp>
        <stp>STOCK</stp>
        <stp>41880.T</stp>
        <stp>出来高</stp>
        <tr r="J145" s="5"/>
        <tr r="J167" s="4"/>
        <tr r="C98" s="12"/>
      </tp>
      <tp>
        <v>12684800</v>
        <stp/>
        <stp>Market</stp>
        <stp>STOCK</stp>
        <stp>40620.T</stp>
        <stp>出来高</stp>
        <tr r="C96" s="12"/>
        <tr r="J173" s="4"/>
        <tr r="J56" s="5"/>
      </tp>
      <tp>
        <v>6777500</v>
        <stp/>
        <stp>Market</stp>
        <stp>STOCK</stp>
        <stp>40630.T</stp>
        <stp>出来高</stp>
        <tr r="J172" s="4"/>
        <tr r="J14" s="5"/>
        <tr r="C66" s="12"/>
      </tp>
      <tp>
        <v>600500</v>
        <stp/>
        <stp>Market</stp>
        <stp>STOCK</stp>
        <stp>40470.T</stp>
        <stp>出来高</stp>
        <tr r="C289" s="12"/>
      </tp>
      <tp>
        <v>316300</v>
        <stp/>
        <stp>Market</stp>
        <stp>STOCK</stp>
        <stp>40450.T</stp>
        <stp>出来高</stp>
        <tr r="J178" s="5"/>
        <tr r="J174" s="4"/>
        <tr r="C61" s="12"/>
      </tp>
      <tp>
        <v>3044200</v>
        <stp/>
        <stp>Market</stp>
        <stp>STOCK</stp>
        <stp>40040.T</stp>
        <stp>出来高</stp>
        <tr r="C213" s="12"/>
      </tp>
      <tp>
        <v>1206100</v>
        <stp/>
        <stp>Market</stp>
        <stp>STOCK</stp>
        <stp>40080.T</stp>
        <stp>出来高</stp>
        <tr r="J127" s="5"/>
        <tr r="J175" s="4"/>
        <tr r="C95" s="12"/>
      </tp>
      <tp>
        <v>162100</v>
        <stp/>
        <stp>Market</stp>
        <stp>STOCK</stp>
        <stp>40820.T</stp>
        <stp>出来高</stp>
        <tr r="J171" s="4"/>
        <tr r="C129" s="12"/>
        <tr r="J9" s="5"/>
      </tp>
      <tp>
        <v>1440300</v>
        <stp/>
        <stp>Market</stp>
        <stp>STOCK</stp>
        <stp>40880.T</stp>
        <stp>出来高</stp>
        <tr r="J132" s="5"/>
        <tr r="J170" s="4"/>
        <tr r="C156" s="12"/>
      </tp>
      <tp>
        <v>440800</v>
        <stp/>
        <stp>Market</stp>
        <stp>STOCK</stp>
        <stp>40910.T</stp>
        <stp>出来高</stp>
        <tr r="J169" s="4"/>
        <tr r="J152" s="5"/>
        <tr r="C157" s="12"/>
      </tp>
      <tp>
        <v>163000</v>
        <stp/>
        <stp>Market</stp>
        <stp>STOCK</stp>
        <stp>47760.T</stp>
        <stp>出来高</stp>
        <tr r="C253" s="12"/>
      </tp>
      <tp>
        <v>169400</v>
        <stp/>
        <stp>Market</stp>
        <stp>STOCK</stp>
        <stp>47330.T</stp>
        <stp>出来高</stp>
        <tr r="J153" s="4"/>
        <tr r="C165" s="12"/>
        <tr r="J133" s="5"/>
      </tp>
      <tp>
        <v>746300</v>
        <stp/>
        <stp>Market</stp>
        <stp>STOCK</stp>
        <stp>47040.T</stp>
        <stp>出来高</stp>
        <tr r="C254" s="12"/>
      </tp>
      <tp>
        <v>46700</v>
        <stp/>
        <stp>Market</stp>
        <stp>STOCK</stp>
        <stp>47090.T</stp>
        <stp>出来高</stp>
        <tr r="J115" s="5"/>
        <tr r="C170" s="12"/>
        <tr r="J154" s="4"/>
      </tp>
      <tp>
        <v>6257700</v>
        <stp/>
        <stp>Market</stp>
        <stp>STOCK</stp>
        <stp>46610.T</stp>
        <stp>出来高</stp>
        <tr r="J103" s="5"/>
        <tr r="C101" s="12"/>
        <tr r="J156" s="4"/>
      </tp>
      <tp>
        <v>618300</v>
        <stp/>
        <stp>Market</stp>
        <stp>STOCK</stp>
        <stp>46760.T</stp>
        <stp>出来高</stp>
        <tr r="J177" s="5"/>
        <tr r="C58" s="12"/>
        <tr r="J155" s="4"/>
      </tp>
      <tp>
        <v>1050700</v>
        <stp/>
        <stp>Market</stp>
        <stp>STOCK</stp>
        <stp>464A0.T</stp>
        <stp>出来高</stp>
        <tr r="C220" s="12"/>
      </tp>
      <tp>
        <v>6881900</v>
        <stp/>
        <stp>Market</stp>
        <stp>STOCK</stp>
        <stp>45680.T</stp>
        <stp>出来高</stp>
        <tr r="J7" s="4"/>
        <tr r="C142" s="12"/>
        <tr r="J110" s="5"/>
      </tp>
      <tp>
        <v>175900</v>
        <stp/>
        <stp>Market</stp>
        <stp>STOCK</stp>
        <stp>45440.T</stp>
        <stp>出来高</stp>
        <tr r="C273" s="12"/>
      </tp>
      <tp>
        <v>521500</v>
        <stp/>
        <stp>Market</stp>
        <stp>STOCK</stp>
        <stp>45400.T</stp>
        <stp>出来高</stp>
        <tr r="J124" s="5"/>
        <tr r="J157" s="4"/>
        <tr r="C64" s="12"/>
      </tp>
      <tp>
        <v>1421600</v>
        <stp/>
        <stp>Market</stp>
        <stp>STOCK</stp>
        <stp>45230.T</stp>
        <stp>出来高</stp>
        <tr r="J160" s="4"/>
        <tr r="J184" s="5"/>
        <tr r="C99" s="12"/>
      </tp>
      <tp>
        <v>1513200</v>
        <stp/>
        <stp>Market</stp>
        <stp>STOCK</stp>
        <stp>45280.T</stp>
        <stp>出来高</stp>
        <tr r="J17" s="5"/>
        <tr r="J159" s="4"/>
        <tr r="C100" s="12"/>
      </tp>
      <tp>
        <v>903500</v>
        <stp/>
        <stp>Market</stp>
        <stp>STOCK</stp>
        <stp>45360.T</stp>
        <stp>出来高</stp>
        <tr r="J125" s="5"/>
        <tr r="C67" s="12"/>
        <tr r="J158" s="4"/>
      </tp>
      <tp>
        <v>4077000</v>
        <stp/>
        <stp>Market</stp>
        <stp>STOCK</stp>
        <stp>45020.T</stp>
        <stp>出来高</stp>
        <tr r="C212" s="12"/>
      </tp>
      <tp>
        <v>3147300</v>
        <stp/>
        <stp>Market</stp>
        <stp>STOCK</stp>
        <stp>45190.T</stp>
        <stp>出来高</stp>
        <tr r="C130" s="12"/>
        <tr r="J205" s="5"/>
        <tr r="J161" s="4"/>
      </tp>
      <tp>
        <v>20600</v>
        <stp/>
        <stp>Market</stp>
        <stp>STOCK</stp>
        <stp>44220.T</stp>
        <stp>出来高</stp>
        <tr r="J162" s="4"/>
        <tr r="J188" s="5"/>
        <tr r="C139" s="12"/>
      </tp>
      <tp>
        <v>57300</v>
        <stp/>
        <stp>Market</stp>
        <stp>STOCK</stp>
        <stp>44170.T</stp>
        <stp>出来高</stp>
        <tr r="J163" s="4"/>
        <tr r="C153" s="12"/>
        <tr r="J112" s="5"/>
      </tp>
      <tp>
        <v>106500</v>
        <stp/>
        <stp>Market</stp>
        <stp>STOCK</stp>
        <stp>49660.T</stp>
        <stp>出来高</stp>
        <tr r="J150" s="4"/>
        <tr r="C196" s="12"/>
        <tr r="J34" s="5"/>
      </tp>
      <tp>
        <v>3146400</v>
        <stp/>
        <stp>Market</stp>
        <stp>STOCK</stp>
        <stp>49800.T</stp>
        <stp>出来高</stp>
        <tr r="J72" s="5"/>
        <tr r="J149" s="4"/>
        <tr r="C69" s="12"/>
      </tp>
      <tp>
        <v>2817700</v>
        <stp/>
        <stp>Market</stp>
        <stp>STOCK</stp>
        <stp>485A0.T</stp>
        <stp>出来高</stp>
        <tr r="C221" s="12"/>
      </tp>
      <tp>
        <v>390500</v>
        <stp/>
        <stp>Market</stp>
        <stp>STOCK</stp>
        <stp>48870.T</stp>
        <stp>出来高</stp>
        <tr r="J195" s="5"/>
        <tr r="J152" s="4"/>
        <tr r="C192" s="12"/>
      </tp>
      <tp>
        <v>80900</v>
        <stp/>
        <stp>Market</stp>
        <stp>STOCK</stp>
        <stp>48880.T</stp>
        <stp>出来高</stp>
        <tr r="J151" s="4"/>
        <tr r="C146" s="12"/>
        <tr r="J131" s="5"/>
      </tp>
    </main>
    <main first="rtdsrv.bed1b1f6e97c4c9f9ae958b1f8b490de">
      <tp>
        <v>1524700</v>
        <stp/>
        <stp>Market</stp>
        <stp>STOCK</stp>
        <stp>53320.T</stp>
        <stp>出来高</stp>
        <tr r="C21" s="12"/>
        <tr r="J142" s="4"/>
        <tr r="J12" s="5"/>
      </tp>
      <tp>
        <v>1655000</v>
        <stp/>
        <stp>Market</stp>
        <stp>STOCK</stp>
        <stp>53330.T</stp>
        <stp>出来高</stp>
        <tr r="J141" s="4"/>
        <tr r="J37" s="5"/>
        <tr r="C17" s="12"/>
      </tp>
      <tp>
        <v>492700</v>
        <stp/>
        <stp>Market</stp>
        <stp>STOCK</stp>
        <stp>52430.T</stp>
        <stp>出来高</stp>
        <tr r="J143" s="4"/>
        <tr r="J138" s="5"/>
        <tr r="C193" s="12"/>
      </tp>
      <tp>
        <v>987500</v>
        <stp/>
        <stp>Market</stp>
        <stp>STOCK</stp>
        <stp>52530.T</stp>
        <stp>出来高</stp>
        <tr r="C258" s="12"/>
      </tp>
      <tp>
        <v>1155500</v>
        <stp/>
        <stp>Market</stp>
        <stp>STOCK</stp>
        <stp>52330.T</stp>
        <stp>出来高</stp>
        <tr r="J144" s="4"/>
        <tr r="J170" s="5"/>
        <tr r="C34" s="12"/>
      </tp>
      <tp>
        <v>1626100</v>
        <stp/>
        <stp>Market</stp>
        <stp>STOCK</stp>
        <stp>52010.T</stp>
        <stp>出来高</stp>
        <tr r="C53" s="12"/>
        <tr r="J145" s="4"/>
        <tr r="J175" s="5"/>
      </tp>
      <tp>
        <v>6473400</v>
        <stp/>
        <stp>Market</stp>
        <stp>STOCK</stp>
        <stp>50200.T</stp>
        <stp>出来高</stp>
        <tr r="J147" s="4"/>
        <tr r="C29" s="12"/>
        <tr r="J141" s="5"/>
      </tp>
      <tp>
        <v>422700</v>
        <stp/>
        <stp>Market</stp>
        <stp>STOCK</stp>
        <stp>50210.T</stp>
        <stp>出来高</stp>
        <tr r="J88" s="5"/>
        <tr r="J146" s="4"/>
        <tr r="C15" s="12"/>
      </tp>
      <tp>
        <v>3226200</v>
        <stp/>
        <stp>Market</stp>
        <stp>STOCK</stp>
        <stp>50190.T</stp>
        <stp>出来高</stp>
        <tr r="C24" s="12"/>
        <tr r="J148" s="4"/>
        <tr r="J140" s="5"/>
      </tp>
      <tp>
        <v>1367900</v>
        <stp/>
        <stp>Market</stp>
        <stp>STOCK</stp>
        <stp>57060.T</stp>
        <stp>出来高</stp>
        <tr r="J131" s="4"/>
        <tr r="J11" s="5"/>
        <tr r="C6" s="12"/>
      </tp>
      <tp>
        <v>992800</v>
        <stp/>
        <stp>Market</stp>
        <stp>STOCK</stp>
        <stp>57020.T</stp>
        <stp>出来高</stp>
        <tr r="C275" s="12"/>
      </tp>
      <tp>
        <v>281400</v>
        <stp/>
        <stp>Market</stp>
        <stp>STOCK</stp>
        <stp>57030.T</stp>
        <stp>出来高</stp>
        <tr r="J132" s="4"/>
        <tr r="J48" s="5"/>
        <tr r="C13" s="12"/>
      </tp>
      <tp>
        <v>894700</v>
        <stp/>
        <stp>Market</stp>
        <stp>STOCK</stp>
        <stp>57140.T</stp>
        <stp>出来高</stp>
        <tr r="J47" s="5"/>
        <tr r="C10" s="12"/>
        <tr r="J128" s="4"/>
      </tp>
      <tp>
        <v>4906500</v>
        <stp/>
        <stp>Market</stp>
        <stp>STOCK</stp>
        <stp>57130.T</stp>
        <stp>出来高</stp>
        <tr r="C8" s="12"/>
        <tr r="J129" s="4"/>
        <tr r="J46" s="5"/>
      </tp>
      <tp>
        <v>1388100</v>
        <stp/>
        <stp>Market</stp>
        <stp>STOCK</stp>
        <stp>57110.T</stp>
        <stp>出来高</stp>
        <tr r="J87" s="5"/>
        <tr r="C9" s="12"/>
        <tr r="J130" s="4"/>
      </tp>
      <tp>
        <v>130200</v>
        <stp/>
        <stp>Market</stp>
        <stp>STOCK</stp>
        <stp>56320.T</stp>
        <stp>出来高</stp>
        <tr r="C247" s="12"/>
      </tp>
      <tp>
        <v>579400</v>
        <stp/>
        <stp>Market</stp>
        <stp>STOCK</stp>
        <stp>56310.T</stp>
        <stp>出来高</stp>
        <tr r="C263" s="12"/>
      </tp>
      <tp>
        <v>489900</v>
        <stp/>
        <stp>Market</stp>
        <stp>STOCK</stp>
        <stp>55410.T</stp>
        <stp>出来高</stp>
        <tr r="C20" s="12"/>
        <tr r="J90" s="5"/>
        <tr r="J133" s="4"/>
      </tp>
      <tp>
        <v>132800</v>
        <stp/>
        <stp>Market</stp>
        <stp>STOCK</stp>
        <stp>54400.T</stp>
        <stp>出来高</stp>
        <tr r="J135" s="4"/>
        <tr r="J156" s="5"/>
        <tr r="C180" s="12"/>
      </tp>
      <tp>
        <v>64200</v>
        <stp/>
        <stp>Market</stp>
        <stp>STOCK</stp>
        <stp>54490.T</stp>
        <stp>出来高</stp>
        <tr r="J97" s="5"/>
        <tr r="C51" s="12"/>
        <tr r="J134" s="4"/>
      </tp>
      <tp>
        <v>406000</v>
        <stp/>
        <stp>Market</stp>
        <stp>STOCK</stp>
        <stp>54230.T</stp>
        <stp>出来高</stp>
        <tr r="J136" s="4"/>
        <tr r="J165" s="5"/>
        <tr r="C7" s="12"/>
      </tp>
      <tp>
        <v>2994700</v>
        <stp/>
        <stp>Market</stp>
        <stp>STOCK</stp>
        <stp>54060.T</stp>
        <stp>出来高</stp>
        <tr r="J139" s="4"/>
        <tr r="C38" s="12"/>
        <tr r="J95" s="5"/>
      </tp>
      <tp>
        <v>53136500</v>
        <stp/>
        <stp>Market</stp>
        <stp>STOCK</stp>
        <stp>54010.T</stp>
        <stp>出来高</stp>
        <tr r="C46" s="12"/>
        <tr r="J173" s="5"/>
        <tr r="J140" s="4"/>
      </tp>
      <tp>
        <v>109700</v>
        <stp/>
        <stp>Market</stp>
        <stp>STOCK</stp>
        <stp>54100.T</stp>
        <stp>出来高</stp>
        <tr r="J138" s="4"/>
        <tr r="C179" s="12"/>
        <tr r="J118" s="5"/>
      </tp>
      <tp>
        <v>7346400</v>
        <stp/>
        <stp>Market</stp>
        <stp>STOCK</stp>
        <stp>54110.T</stp>
        <stp>出来高</stp>
        <tr r="J7" s="5"/>
        <tr r="J137" s="4"/>
        <tr r="C84" s="12"/>
      </tp>
      <tp>
        <v>721400</v>
        <stp/>
        <stp>Market</stp>
        <stp>STOCK</stp>
        <stp>59470.T</stp>
        <stp>出来高</stp>
        <tr r="C42" s="12"/>
        <tr r="J96" s="5"/>
        <tr r="J117" s="4"/>
      </tp>
      <tp>
        <v>617900</v>
        <stp/>
        <stp>Market</stp>
        <stp>STOCK</stp>
        <stp>59290.T</stp>
        <stp>出来高</stp>
        <tr r="J119" s="4"/>
        <tr r="J69" s="5"/>
        <tr r="C49" s="12"/>
      </tp>
      <tp>
        <v>2367100</v>
        <stp/>
        <stp>Market</stp>
        <stp>STOCK</stp>
        <stp>59380.T</stp>
        <stp>出来高</stp>
        <tr r="J93" s="5"/>
        <tr r="J118" s="4"/>
        <tr r="C36" s="12"/>
      </tp>
      <tp>
        <v>383400</v>
        <stp/>
        <stp>Market</stp>
        <stp>STOCK</stp>
        <stp>59010.T</stp>
        <stp>出来高</stp>
        <tr r="J71" s="5"/>
        <tr r="J120" s="4"/>
        <tr r="C55" s="12"/>
      </tp>
      <tp>
        <v>905100</v>
        <stp/>
        <stp>Market</stp>
        <stp>STOCK</stp>
        <stp>58440.T</stp>
        <stp>出来高</stp>
        <tr r="J123" s="4"/>
        <tr r="J61" s="5"/>
        <tr r="C118" s="12"/>
      </tp>
      <tp>
        <v>1265700</v>
        <stp/>
        <stp>Market</stp>
        <stp>STOCK</stp>
        <stp>58570.T</stp>
        <stp>出来高</stp>
        <tr r="J52" s="5"/>
        <tr r="J122" s="4"/>
        <tr r="C62" s="12"/>
      </tp>
      <tp>
        <v>1183400</v>
        <stp/>
        <stp>Market</stp>
        <stp>STOCK</stp>
        <stp>58380.T</stp>
        <stp>出来高</stp>
        <tr r="J147" s="5"/>
        <tr r="J124" s="4"/>
        <tr r="C117" s="12"/>
      </tp>
      <tp>
        <v>31968400</v>
        <stp/>
        <stp>Market</stp>
        <stp>STOCK</stp>
        <stp>58020.T</stp>
        <stp>出来高</stp>
        <tr r="C102" s="12"/>
        <tr r="J57" s="5"/>
        <tr r="J126" s="4"/>
      </tp>
      <tp>
        <v>57561600</v>
        <stp/>
        <stp>Market</stp>
        <stp>STOCK</stp>
        <stp>58030.T</stp>
        <stp>出来高</stp>
        <tr r="J125" s="4"/>
        <tr r="C103" s="12"/>
        <tr r="J58" s="5"/>
      </tp>
      <tp>
        <v>72354600</v>
        <stp/>
        <stp>Market</stp>
        <stp>STOCK</stp>
        <stp>58010.T</stp>
        <stp>出来高</stp>
        <tr r="J127" s="4"/>
        <tr r="J45" s="5"/>
        <tr r="C200" s="12"/>
      </tp>
      <tp>
        <v>27900</v>
        <stp/>
        <stp>Market</stp>
        <stp>STOCK</stp>
        <stp>58920.T</stp>
        <stp>出来高</stp>
        <tr r="J121" s="4"/>
        <tr r="J74" s="5"/>
        <tr r="C89" s="12"/>
      </tp>
    </main>
    <main first="rtdsrv.bed1b1f6e97c4c9f9ae958b1f8b490de">
      <tp>
        <v>22400</v>
        <stp/>
        <stp>Market</stp>
        <stp>STOCK</stp>
        <stp>23590.T</stp>
        <stp>出来高</stp>
        <tr r="C168" s="12"/>
        <tr r="J135" s="5"/>
        <tr r="J193" s="4"/>
      </tp>
      <tp>
        <v>256000</v>
        <stp/>
        <stp>Market</stp>
        <stp>STOCK</stp>
        <stp>23260.T</stp>
        <stp>出来高</stp>
        <tr r="C237" s="12"/>
      </tp>
      <tp>
        <v>196300</v>
        <stp/>
        <stp>Market</stp>
        <stp>STOCK</stp>
        <stp>23270.T</stp>
        <stp>出来高</stp>
        <tr r="J194" s="4"/>
        <tr r="J154" s="5"/>
        <tr r="C174" s="12"/>
      </tp>
      <tp>
        <v>1237700</v>
        <stp/>
        <stp>Market</stp>
        <stp>STOCK</stp>
        <stp>22670.T</stp>
        <stp>出来高</stp>
        <tr r="C226" s="12"/>
      </tp>
      <tp>
        <v>1129200</v>
        <stp/>
        <stp>Market</stp>
        <stp>STOCK</stp>
        <stp>21600.T</stp>
        <stp>出来高</stp>
        <tr r="J195" s="4"/>
        <tr r="J187" s="5"/>
        <tr r="C131" s="12"/>
      </tp>
      <tp>
        <v>1470100</v>
        <stp/>
        <stp>Market</stp>
        <stp>STOCK</stp>
        <stp>21270.T</stp>
        <stp>出来高</stp>
        <tr r="C187" s="12"/>
        <tr r="J196" s="4"/>
        <tr r="J161" s="5"/>
      </tp>
      <tp>
        <v>1442700</v>
        <stp/>
        <stp>Market</stp>
        <stp>STOCK</stp>
        <stp>27680.T</stp>
        <stp>出来高</stp>
        <tr r="J191" s="4"/>
        <tr r="J206" s="5"/>
        <tr r="C202" s="12"/>
      </tp>
      <tp>
        <v>613600</v>
        <stp/>
        <stp>Market</stp>
        <stp>STOCK</stp>
        <stp>27020.T</stp>
        <stp>出来高</stp>
        <tr r="J192" s="4"/>
        <tr r="C194" s="12"/>
        <tr r="J196" s="5"/>
      </tp>
      <tp>
        <v>1087700</v>
        <stp/>
        <stp>Market</stp>
        <stp>STOCK</stp>
        <stp>278A0.T</stp>
        <stp>出来高</stp>
        <tr r="C251" s="12"/>
      </tp>
      <tp>
        <v>34100</v>
        <stp/>
        <stp>Market</stp>
        <stp>STOCK</stp>
        <stp>29330.T</stp>
        <stp>出来高</stp>
        <tr r="C288" s="12"/>
      </tp>
      <tp>
        <v>4858200</v>
        <stp/>
        <stp>Market</stp>
        <stp>STOCK</stp>
        <stp>29140.T</stp>
        <stp>出来高</stp>
        <tr r="C87" s="12"/>
        <tr r="J189" s="4"/>
        <tr r="J182" s="5"/>
      </tp>
      <tp>
        <v>34510800</v>
        <stp/>
        <stp>Market</stp>
        <stp>STOCK</stp>
        <stp>285A0.T</stp>
        <stp>出来高</stp>
        <tr r="C218" s="12"/>
      </tp>
      <tp>
        <v>5499400</v>
        <stp/>
        <stp>Market</stp>
        <stp>STOCK</stp>
        <stp>28020.T</stp>
        <stp>出来高</stp>
        <tr r="J23" s="5"/>
        <tr r="J190" s="4"/>
        <tr r="C76" s="12"/>
      </tp>
      <tp>
        <v>76700</v>
        <stp/>
        <stp>Market</stp>
        <stp>STOCK</stp>
        <stp>281A0.T</stp>
        <stp>出来高</stp>
        <tr r="C266" s="12"/>
      </tp>
      <tp>
        <v>5574</v>
        <stp/>
        <stp>Market</stp>
        <stp>STOCK</stp>
        <stp>27680.T</stp>
        <stp>高値</stp>
        <tr r="H206" s="5"/>
        <tr r="H191" s="4"/>
        <tr r="C202" s="9"/>
      </tp>
      <tp>
        <v>2691</v>
        <stp/>
        <stp>Market</stp>
        <stp>STOCK</stp>
        <stp>18080.T</stp>
        <stp>高値</stp>
        <tr r="C297" s="9"/>
      </tp>
      <tp>
        <v>2585</v>
        <stp/>
        <stp>Market</stp>
        <stp>STOCK</stp>
        <stp>19380.T</stp>
        <stp>高値</stp>
        <tr r="H200" s="4"/>
        <tr r="H117" s="5"/>
        <tr r="C176" s="9"/>
      </tp>
      <tp>
        <v>32830</v>
        <stp/>
        <stp>Market</stp>
        <stp>STOCK</stp>
        <stp>16180.T</stp>
        <stp>高値</stp>
        <tr r="C227" s="9"/>
      </tp>
      <tp>
        <v>163</v>
        <stp/>
        <stp>Market</stp>
        <stp>STOCK</stp>
        <stp>70480.T</stp>
        <stp>高値</stp>
        <tr r="C296" s="9"/>
      </tp>
      <tp>
        <v>863</v>
        <stp/>
        <stp>Market</stp>
        <stp>STOCK</stp>
        <stp>68480.T</stp>
        <stp>高値</stp>
        <tr r="C274" s="9"/>
      </tp>
      <tp>
        <v>1511</v>
        <stp/>
        <stp>Market</stp>
        <stp>STOCK</stp>
        <stp>68380.T</stp>
        <stp>高値</stp>
        <tr r="H85" s="4"/>
        <tr r="C148" s="9"/>
        <tr r="H6" s="5"/>
      </tp>
      <tp>
        <v>2674</v>
        <stp/>
        <stp>Market</stp>
        <stp>STOCK</stp>
        <stp>69280.T</stp>
        <stp>高値</stp>
        <tr r="C246" s="9"/>
      </tp>
      <tp>
        <v>3320</v>
        <stp/>
        <stp>Market</stp>
        <stp>STOCK</stp>
        <stp>69180.T</stp>
        <stp>高値</stp>
        <tr r="C279" s="9"/>
      </tp>
      <tp>
        <v>12875</v>
        <stp/>
        <stp>Market</stp>
        <stp>STOCK</stp>
        <stp>60980.T</stp>
        <stp>高値</stp>
        <tr r="C248" s="9"/>
      </tp>
      <tp>
        <v>2397</v>
        <stp/>
        <stp>Market</stp>
        <stp>STOCK</stp>
        <stp>61780.T</stp>
        <stp>高値</stp>
        <tr r="H112" s="4"/>
        <tr r="C104" s="9"/>
        <tr r="H59" s="5"/>
      </tp>
      <tp>
        <v>990</v>
        <stp/>
        <stp>Market</stp>
        <stp>STOCK</stp>
        <stp>64880.T</stp>
        <stp>高値</stp>
        <tr r="C280" s="9"/>
      </tp>
      <tp>
        <v>3663</v>
        <stp/>
        <stp>Market</stp>
        <stp>STOCK</stp>
        <stp>67580.T</stp>
        <stp>高値</stp>
        <tr r="H86" s="5"/>
        <tr r="C205" s="9"/>
        <tr r="H88" s="4"/>
      </tp>
      <tp>
        <v>5613</v>
        <stp/>
        <stp>Market</stp>
        <stp>STOCK</stp>
        <stp>58380.T</stp>
        <stp>高値</stp>
        <tr r="H124" s="4"/>
        <tr r="C117" s="9"/>
        <tr r="H147" s="5"/>
      </tp>
      <tp>
        <v>1785</v>
        <stp/>
        <stp>Market</stp>
        <stp>STOCK</stp>
        <stp>59380.T</stp>
        <stp>高値</stp>
        <tr r="H93" s="5"/>
        <tr r="C36" s="9"/>
        <tr r="H118" s="4"/>
      </tp>
      <tp>
        <v>315</v>
        <stp/>
        <stp>Market</stp>
        <stp>STOCK</stp>
        <stp>48880.T</stp>
        <stp>高値</stp>
        <tr r="C146" s="9"/>
        <tr r="H151" s="4"/>
        <tr r="H131" s="5"/>
      </tp>
      <tp>
        <v>2663</v>
        <stp/>
        <stp>Market</stp>
        <stp>STOCK</stp>
        <stp>40880.T</stp>
        <stp>高値</stp>
        <tr r="C156" s="9"/>
        <tr r="H132" s="5"/>
        <tr r="H170" s="4"/>
      </tp>
      <tp>
        <v>1530</v>
        <stp/>
        <stp>Market</stp>
        <stp>STOCK</stp>
        <stp>40080.T</stp>
        <stp>高値</stp>
        <tr r="H127" s="5"/>
        <tr r="C95" s="9"/>
        <tr r="H175" s="4"/>
      </tp>
      <tp>
        <v>1191.5</v>
        <stp/>
        <stp>Market</stp>
        <stp>STOCK</stp>
        <stp>41880.T</stp>
        <stp>高値</stp>
        <tr r="H145" s="5"/>
        <tr r="H167" s="4"/>
        <tr r="C98" s="9"/>
      </tp>
      <tp>
        <v>3282</v>
        <stp/>
        <stp>Market</stp>
        <stp>STOCK</stp>
        <stp>42080.T</stp>
        <stp>高値</stp>
        <tr r="C298" s="9"/>
      </tp>
      <tp>
        <v>1964</v>
        <stp/>
        <stp>Market</stp>
        <stp>STOCK</stp>
        <stp>42180.T</stp>
        <stp>高値</stp>
        <tr r="C282" s="9"/>
      </tp>
      <tp>
        <v>2666.5</v>
        <stp/>
        <stp>Market</stp>
        <stp>STOCK</stp>
        <stp>45680.T</stp>
        <stp>高値</stp>
        <tr r="H110" s="5"/>
        <tr r="H7" s="4"/>
        <tr r="C142" s="9"/>
      </tp>
      <tp>
        <v>2348.5</v>
        <stp/>
        <stp>Market</stp>
        <stp>STOCK</stp>
        <stp>45280.T</stp>
        <stp>高値</stp>
        <tr r="H159" s="4"/>
        <tr r="H17" s="5"/>
        <tr r="C100" s="9"/>
      </tp>
      <tp>
        <v>420</v>
        <stp/>
        <stp>Market</stp>
        <stp>STOCK</stp>
        <stp>93480.T</stp>
        <stp>高値</stp>
        <tr r="H24" s="4"/>
        <tr r="C112" s="9"/>
        <tr r="H8" s="5"/>
      </tp>
      <tp>
        <v>4748</v>
        <stp/>
        <stp>Market</stp>
        <stp>STOCK</stp>
        <stp>80580.T</stp>
        <stp>高値</stp>
        <tr r="H89" s="5"/>
        <tr r="C16" s="9"/>
        <tr r="H58" s="4"/>
      </tp>
      <tp>
        <v>2362</v>
        <stp/>
        <stp>Market</stp>
        <stp>STOCK</stp>
        <stp>83080.T</stp>
        <stp>高値</stp>
        <tr r="H92" s="5"/>
        <tr r="C35" s="9"/>
        <tr r="H52" s="4"/>
      </tp>
    </main>
    <main first="rtdsrv.bed1b1f6e97c4c9f9ae958b1f8b490de">
      <tp>
        <v>222800</v>
        <stp/>
        <stp>Market</stp>
        <stp>STOCK</stp>
        <stp>33970.T</stp>
        <stp>出来高</stp>
        <tr r="C285" s="12"/>
      </tp>
      <tp>
        <v>323900</v>
        <stp/>
        <stp>Market</stp>
        <stp>STOCK</stp>
        <stp>31070.T</stp>
        <stp>出来高</stp>
        <tr r="J13" s="5"/>
        <tr r="J186" s="4"/>
        <tr r="C60" s="12"/>
      </tp>
      <tp>
        <v>29708900</v>
        <stp/>
        <stp>Market</stp>
        <stp>STOCK</stp>
        <stp>31030.T</stp>
        <stp>出来高</stp>
        <tr r="C138" s="12"/>
        <tr r="J187" s="4"/>
        <tr r="J81" s="5"/>
      </tp>
      <tp>
        <v>21267600</v>
        <stp/>
        <stp>Market</stp>
        <stp>STOCK</stp>
        <stp>31100.T</stp>
        <stp>出来高</stp>
        <tr r="J185" s="4"/>
        <tr r="J109" s="5"/>
        <tr r="C134" s="12"/>
      </tp>
      <tp>
        <v>307900</v>
        <stp/>
        <stp>Market</stp>
        <stp>STOCK</stp>
        <stp>30020.T</stp>
        <stp>出来高</stp>
        <tr r="C277" s="12"/>
      </tp>
      <tp>
        <v>2276800</v>
        <stp/>
        <stp>Market</stp>
        <stp>STOCK</stp>
        <stp>30030.T</stp>
        <stp>出来高</stp>
        <tr r="J188" s="4"/>
        <tr r="J143" s="5"/>
        <tr r="C88" s="12"/>
      </tp>
      <tp>
        <v>22100</v>
        <stp/>
        <stp>Market</stp>
        <stp>STOCK</stp>
        <stp>300A0.T</stp>
        <stp>出来高</stp>
        <tr r="C252" s="12"/>
      </tp>
      <tp>
        <v>103400</v>
        <stp/>
        <stp>Market</stp>
        <stp>STOCK</stp>
        <stp>36960.T</stp>
        <stp>出来高</stp>
        <tr r="C228" s="12"/>
      </tp>
      <tp>
        <v>2415500</v>
        <stp/>
        <stp>Market</stp>
        <stp>STOCK</stp>
        <stp>35630.T</stp>
        <stp>出来高</stp>
        <tr r="C230" s="12"/>
      </tp>
      <tp>
        <v>15463900</v>
        <stp/>
        <stp>Market</stp>
        <stp>STOCK</stp>
        <stp>34360.T</stp>
        <stp>出来高</stp>
        <tr r="C28" s="12"/>
        <tr r="J181" s="4"/>
        <tr r="J4" s="5"/>
      </tp>
      <tp>
        <v>6477200</v>
        <stp/>
        <stp>Market</stp>
        <stp>STOCK</stp>
        <stp>34070.T</stp>
        <stp>出来高</stp>
        <tr r="J183" s="5"/>
        <tr r="J182" s="4"/>
        <tr r="C94" s="12"/>
      </tp>
      <tp>
        <v>18064200</v>
        <stp/>
        <stp>Market</stp>
        <stp>STOCK</stp>
        <stp>34020.T</stp>
        <stp>出来高</stp>
        <tr r="J183" s="4"/>
        <tr r="J172" s="5"/>
        <tr r="C44" s="12"/>
      </tp>
      <tp>
        <v>1208500</v>
        <stp/>
        <stp>Market</stp>
        <stp>STOCK</stp>
        <stp>34010.T</stp>
        <stp>出来高</stp>
        <tr r="J184" s="4"/>
        <tr r="C27" s="12"/>
        <tr r="J169" s="5"/>
      </tp>
      <tp>
        <v>1820200</v>
        <stp/>
        <stp>Market</stp>
        <stp>STOCK</stp>
        <stp>39410.T</stp>
        <stp>出来高</stp>
        <tr r="C48" s="12"/>
        <tr r="J142" s="5"/>
        <tr r="J176" s="4"/>
      </tp>
      <tp>
        <v>96800</v>
        <stp/>
        <stp>Market</stp>
        <stp>STOCK</stp>
        <stp>39360.T</stp>
        <stp>出来高</stp>
        <tr r="C245" s="12"/>
      </tp>
      <tp>
        <v>6001600</v>
        <stp/>
        <stp>Market</stp>
        <stp>STOCK</stp>
        <stp>39050.T</stp>
        <stp>出来高</stp>
        <tr r="C284" s="12"/>
      </tp>
      <tp>
        <v>103700</v>
        <stp/>
        <stp>Market</stp>
        <stp>STOCK</stp>
        <stp>39840.T</stp>
        <stp>出来高</stp>
        <tr r="C239" s="12"/>
      </tp>
      <tp>
        <v>173800</v>
        <stp/>
        <stp>Market</stp>
        <stp>STOCK</stp>
        <stp>38640.T</stp>
        <stp>出来高</stp>
        <tr r="C271" s="12"/>
      </tp>
      <tp>
        <v>1601200</v>
        <stp/>
        <stp>Market</stp>
        <stp>STOCK</stp>
        <stp>38630.T</stp>
        <stp>出来高</stp>
        <tr r="J21" s="5"/>
        <tr r="J178" s="4"/>
        <tr r="C32" s="12"/>
      </tp>
      <tp>
        <v>4520900</v>
        <stp/>
        <stp>Market</stp>
        <stp>STOCK</stp>
        <stp>38610.T</stp>
        <stp>出来高</stp>
        <tr r="C41" s="12"/>
        <tr r="J123" s="5"/>
        <tr r="J179" s="4"/>
      </tp>
      <tp>
        <v>64500</v>
        <stp/>
        <stp>Market</stp>
        <stp>STOCK</stp>
        <stp>38540.T</stp>
        <stp>出来高</stp>
        <tr r="J180" s="4"/>
        <tr r="C71" s="12"/>
        <tr r="J54" s="5"/>
      </tp>
      <tp>
        <v>210000</v>
        <stp/>
        <stp>Market</stp>
        <stp>STOCK</stp>
        <stp>38910.T</stp>
        <stp>出来高</stp>
        <tr r="J43" s="5"/>
        <tr r="J177" s="4"/>
        <tr r="C159" s="12"/>
      </tp>
      <tp>
        <v>2053</v>
        <stp/>
        <stp>Market</stp>
        <stp>STOCK</stp>
        <stp>23590.T</stp>
        <stp>高値</stp>
        <tr r="C168" s="9"/>
        <tr r="H193" s="4"/>
        <tr r="H135" s="5"/>
      </tp>
      <tp>
        <v>4300</v>
        <stp/>
        <stp>Market</stp>
        <stp>STOCK</stp>
        <stp>76090.T</stp>
        <stp>高値</stp>
        <tr r="C240" s="9"/>
      </tp>
      <tp>
        <v>18680</v>
        <stp/>
        <stp>Market</stp>
        <stp>STOCK</stp>
        <stp>77290.T</stp>
        <stp>高値</stp>
        <tr r="C107" s="9"/>
        <tr r="H18" s="5"/>
        <tr r="H68" s="4"/>
      </tp>
      <tp>
        <v>1672</v>
        <stp/>
        <stp>Market</stp>
        <stp>STOCK</stp>
        <stp>68090.T</stp>
        <stp>高値</stp>
        <tr r="C238" s="9"/>
      </tp>
      <tp>
        <v>3910</v>
        <stp/>
        <stp>Market</stp>
        <stp>STOCK</stp>
        <stp>64790.T</stp>
        <stp>高値</stp>
        <tr r="H24" s="5"/>
        <tr r="H101" s="4"/>
        <tr r="C79" s="9"/>
      </tp>
      <tp>
        <v>3661</v>
        <stp/>
        <stp>Market</stp>
        <stp>STOCK</stp>
        <stp>59290.T</stp>
        <stp>高値</stp>
        <tr r="H69" s="5"/>
        <tr r="H119" s="4"/>
        <tr r="C49" s="9"/>
      </tp>
      <tp>
        <v>1265</v>
        <stp/>
        <stp>Market</stp>
        <stp>STOCK</stp>
        <stp>50190.T</stp>
        <stp>高値</stp>
        <tr r="C24" s="9"/>
        <tr r="H140" s="5"/>
        <tr r="H148" s="4"/>
      </tp>
      <tp>
        <v>2827</v>
        <stp/>
        <stp>Market</stp>
        <stp>STOCK</stp>
        <stp>54490.T</stp>
        <stp>高値</stp>
        <tr r="H134" s="4"/>
        <tr r="C51" s="9"/>
        <tr r="H97" s="5"/>
      </tp>
      <tp>
        <v>6764</v>
        <stp/>
        <stp>Market</stp>
        <stp>STOCK</stp>
        <stp>45190.T</stp>
        <stp>高値</stp>
        <tr r="C130" s="9"/>
        <tr r="H161" s="4"/>
        <tr r="H205" s="5"/>
      </tp>
      <tp>
        <v>1020</v>
        <stp/>
        <stp>Market</stp>
        <stp>STOCK</stp>
        <stp>47090.T</stp>
        <stp>高値</stp>
        <tr r="C170" s="9"/>
        <tr r="H115" s="5"/>
        <tr r="H154" s="4"/>
      </tp>
      <tp>
        <v>2227.5</v>
        <stp/>
        <stp>Market</stp>
        <stp>STOCK</stp>
        <stp>90690.T</stp>
        <stp>高値</stp>
        <tr r="C110" s="9"/>
        <tr r="H28" s="4"/>
        <tr r="H60" s="5"/>
      </tp>
      <tp>
        <v>4223</v>
        <stp/>
        <stp>Market</stp>
        <stp>STOCK</stp>
        <stp>94490.T</stp>
        <stp>高値</stp>
        <tr r="C113" s="9"/>
        <tr r="H77" s="5"/>
        <tr r="H19" s="4"/>
      </tp>
      <tp>
        <v>937</v>
        <stp/>
        <stp>Market</stp>
        <stp>STOCK</stp>
        <stp>95190.T</stp>
        <stp>高値</stp>
        <tr r="C214" s="9"/>
      </tp>
      <tp>
        <v>2635</v>
        <stp/>
        <stp>Market</stp>
        <stp>STOCK</stp>
        <stp>83590.T</stp>
        <stp>高値</stp>
        <tr r="H26" s="5"/>
        <tr r="H48" s="4"/>
        <tr r="C123" s="9"/>
      </tp>
      <tp>
        <v>1687</v>
        <stp/>
        <stp>Market</stp>
        <stp>STOCK</stp>
        <stp>83090.T</stp>
        <stp>高値</stp>
        <tr r="H68" s="5"/>
        <tr r="H51" s="4"/>
        <tr r="C31" s="9"/>
      </tp>
    </main>
    <main first="rtdsrv.bed1b1f6e97c4c9f9ae958b1f8b490de">
      <tp>
        <v>215206</v>
        <stp/>
        <stp>Market</stp>
        <stp>STOCK</stp>
        <stp>13210.T</stp>
        <stp>出来高</stp>
        <tr r="C303" s="12"/>
      </tp>
      <tp>
        <v>2647000</v>
        <stp/>
        <stp>Market</stp>
        <stp>STOCK</stp>
        <stp>16620.T</stp>
        <stp>出来高</stp>
        <tr r="J122" s="5"/>
        <tr r="C18" s="12"/>
        <tr r="J205" s="4"/>
      </tp>
      <tp>
        <v>3566500</v>
        <stp/>
        <stp>Market</stp>
        <stp>STOCK</stp>
        <stp>16050.T</stp>
        <stp>出来高</stp>
        <tr r="J166" s="5"/>
        <tr r="C12" s="12"/>
        <tr r="J206" s="4"/>
      </tp>
      <tp>
        <v>269</v>
        <stp/>
        <stp>Market</stp>
        <stp>STOCK</stp>
        <stp>16180.T</stp>
        <stp>出来高</stp>
        <tr r="C227" s="12"/>
      </tp>
      <tp>
        <v>2617379</v>
        <stp/>
        <stp>Market</stp>
        <stp>STOCK</stp>
        <stp>15700.T</stp>
        <stp>出来高</stp>
        <tr r="C222" s="12"/>
      </tp>
      <tp>
        <v>23100</v>
        <stp/>
        <stp>Market</stp>
        <stp>STOCK</stp>
        <stp>155A0.T</stp>
        <stp>出来高</stp>
        <tr r="C250" s="12"/>
      </tp>
      <tp>
        <v>284900</v>
        <stp/>
        <stp>Market</stp>
        <stp>STOCK</stp>
        <stp>15140.T</stp>
        <stp>出来高</stp>
        <tr r="C262" s="12"/>
      </tp>
      <tp>
        <v>450000</v>
        <stp/>
        <stp>Market</stp>
        <stp>STOCK</stp>
        <stp>14070.T</stp>
        <stp>出来高</stp>
        <tr r="C217" s="12"/>
      </tp>
      <tp>
        <v>459000</v>
        <stp/>
        <stp>Market</stp>
        <stp>STOCK</stp>
        <stp>141A0.T</stp>
        <stp>出来高</stp>
        <tr r="C219" s="12"/>
      </tp>
      <tp>
        <v>975600</v>
        <stp/>
        <stp>Market</stp>
        <stp>STOCK</stp>
        <stp>19630.T</stp>
        <stp>出来高</stp>
        <tr r="C86" s="12"/>
        <tr r="J40" s="5"/>
        <tr r="J197" s="4"/>
      </tp>
      <tp>
        <v>956100</v>
        <stp/>
        <stp>Market</stp>
        <stp>STOCK</stp>
        <stp>19610.T</stp>
        <stp>出来高</stp>
        <tr r="J198" s="4"/>
        <tr r="J51" s="5"/>
        <tr r="C59" s="12"/>
      </tp>
      <tp>
        <v>782100</v>
        <stp/>
        <stp>Market</stp>
        <stp>STOCK</stp>
        <stp>19440.T</stp>
        <stp>出来高</stp>
        <tr r="C304" s="12"/>
      </tp>
      <tp>
        <v>1490600</v>
        <stp/>
        <stp>Market</stp>
        <stp>STOCK</stp>
        <stp>19420.T</stp>
        <stp>出来高</stp>
        <tr r="J199" s="4"/>
        <tr r="C175" s="12"/>
        <tr r="J32" s="5"/>
      </tp>
      <tp>
        <v>2432300</v>
        <stp/>
        <stp>Market</stp>
        <stp>STOCK</stp>
        <stp>19250.T</stp>
        <stp>出来高</stp>
        <tr r="J181" s="5"/>
        <tr r="C83" s="12"/>
        <tr r="J202" s="4"/>
      </tp>
      <tp>
        <v>59900</v>
        <stp/>
        <stp>Market</stp>
        <stp>STOCK</stp>
        <stp>19300.T</stp>
        <stp>出来高</stp>
        <tr r="J201" s="4"/>
        <tr r="J83" s="5"/>
        <tr r="C163" s="12"/>
      </tp>
      <tp>
        <v>240800</v>
        <stp/>
        <stp>Market</stp>
        <stp>STOCK</stp>
        <stp>19380.T</stp>
        <stp>出来高</stp>
        <tr r="C176" s="12"/>
        <tr r="J200" s="4"/>
        <tr r="J117" s="5"/>
      </tp>
      <tp>
        <v>2878200</v>
        <stp/>
        <stp>Market</stp>
        <stp>STOCK</stp>
        <stp>186A0.T</stp>
        <stp>出来高</stp>
        <tr r="C299" s="12"/>
      </tp>
      <tp>
        <v>121400</v>
        <stp/>
        <stp>Market</stp>
        <stp>STOCK</stp>
        <stp>18330.T</stp>
        <stp>出来高</stp>
        <tr r="C80" s="12"/>
        <tr r="J203" s="4"/>
        <tr r="J180" s="5"/>
      </tp>
      <tp>
        <v>802600</v>
        <stp/>
        <stp>Market</stp>
        <stp>STOCK</stp>
        <stp>18080.T</stp>
        <stp>出来高</stp>
        <tr r="C297" s="12"/>
      </tp>
      <tp>
        <v>2747900</v>
        <stp/>
        <stp>Market</stp>
        <stp>STOCK</stp>
        <stp>18120.T</stp>
        <stp>出来高</stp>
        <tr r="J204" s="4"/>
        <tr r="J121" s="5"/>
        <tr r="C208" s="12"/>
      </tp>
    </main>
    <main first="rtdsrv.bed1b1f6e97c4c9f9ae958b1f8b490de">
      <tp>
        <v>1176</v>
        <stp/>
        <stp>Market</stp>
        <stp>STOCK</stp>
        <stp>38640.T</stp>
        <stp>高値</stp>
        <tr r="C271" s="9"/>
      </tp>
      <tp>
        <v>2228</v>
        <stp/>
        <stp>Market</stp>
        <stp>STOCK</stp>
        <stp>38540.T</stp>
        <stp>高値</stp>
        <tr r="H54" s="5"/>
        <tr r="C71" s="9"/>
        <tr r="H180" s="4"/>
      </tp>
      <tp>
        <v>1880</v>
        <stp/>
        <stp>Market</stp>
        <stp>STOCK</stp>
        <stp>39840.T</stp>
        <stp>高値</stp>
        <tr r="C239" s="9"/>
      </tp>
      <tp>
        <v>7063</v>
        <stp/>
        <stp>Market</stp>
        <stp>STOCK</stp>
        <stp>29140.T</stp>
        <stp>高値</stp>
        <tr r="H189" s="4"/>
        <tr r="C87" s="9"/>
        <tr r="H182" s="5"/>
      </tp>
      <tp>
        <v>7489</v>
        <stp/>
        <stp>Market</stp>
        <stp>STOCK</stp>
        <stp>19440.T</stp>
        <stp>高値</stp>
        <tr r="C304" s="9"/>
      </tp>
      <tp>
        <v>596</v>
        <stp/>
        <stp>Market</stp>
        <stp>STOCK</stp>
        <stp>15140.T</stp>
        <stp>高値</stp>
        <tr r="C262" s="9"/>
      </tp>
      <tp>
        <v>4410</v>
        <stp/>
        <stp>Market</stp>
        <stp>STOCK</stp>
        <stp>70140.T</stp>
        <stp>高値</stp>
        <tr r="C256" s="9"/>
      </tp>
      <tp>
        <v>1424</v>
        <stp/>
        <stp>Market</stp>
        <stp>STOCK</stp>
        <stp>74140.T</stp>
        <stp>高値</stp>
        <tr r="C294" s="9"/>
      </tp>
      <tp>
        <v>892</v>
        <stp/>
        <stp>Market</stp>
        <stp>STOCK</stp>
        <stp>77940.T</stp>
        <stp>高値</stp>
        <tr r="H80" s="5"/>
        <tr r="H66" s="4"/>
        <tr r="C136" s="9"/>
      </tp>
      <tp>
        <v>6556</v>
        <stp/>
        <stp>Market</stp>
        <stp>STOCK</stp>
        <stp>69540.T</stp>
        <stp>高値</stp>
        <tr r="H79" s="4"/>
        <tr r="H16" s="5"/>
        <tr r="C78" s="9"/>
      </tp>
      <tp>
        <v>8473</v>
        <stp/>
        <stp>Market</stp>
        <stp>STOCK</stp>
        <stp>61340.T</stp>
        <stp>高値</stp>
        <tr r="H25" s="5"/>
        <tr r="H114" s="4"/>
        <tr r="C92" s="9"/>
      </tp>
      <tp>
        <v>4610</v>
        <stp/>
        <stp>Market</stp>
        <stp>STOCK</stp>
        <stp>62540.T</stp>
        <stp>高値</stp>
        <tr r="H108" s="4"/>
        <tr r="C30" s="9"/>
        <tr r="H5" s="5"/>
      </tp>
      <tp>
        <v>7480</v>
        <stp/>
        <stp>Market</stp>
        <stp>STOCK</stp>
        <stp>63240.T</stp>
        <stp>高値</stp>
        <tr r="C210" s="9"/>
      </tp>
      <tp>
        <v>5736</v>
        <stp/>
        <stp>Market</stp>
        <stp>STOCK</stp>
        <stp>66740.T</stp>
        <stp>高値</stp>
        <tr r="C264" s="9"/>
      </tp>
      <tp>
        <v>4765</v>
        <stp/>
        <stp>Market</stp>
        <stp>STOCK</stp>
        <stp>67440.T</stp>
        <stp>高値</stp>
        <tr r="C120" s="9"/>
        <tr r="H91" s="4"/>
        <tr r="H106" s="5"/>
      </tp>
      <tp>
        <v>3663</v>
        <stp/>
        <stp>Market</stp>
        <stp>STOCK</stp>
        <stp>67540.T</stp>
        <stp>高値</stp>
        <tr r="H89" s="4"/>
        <tr r="C155" s="9"/>
        <tr r="H31" s="5"/>
      </tp>
      <tp>
        <v>4728</v>
        <stp/>
        <stp>Market</stp>
        <stp>STOCK</stp>
        <stp>58440.T</stp>
        <stp>高値</stp>
        <tr r="H123" s="4"/>
        <tr r="H61" s="5"/>
        <tr r="C118" s="9"/>
      </tp>
      <tp>
        <v>8999</v>
        <stp/>
        <stp>Market</stp>
        <stp>STOCK</stp>
        <stp>57140.T</stp>
        <stp>高値</stp>
        <tr r="H47" s="5"/>
        <tr r="C10" s="9"/>
        <tr r="H128" s="4"/>
      </tp>
      <tp>
        <v>16085</v>
        <stp/>
        <stp>Market</stp>
        <stp>STOCK</stp>
        <stp>40040.T</stp>
        <stp>高値</stp>
        <tr r="C213" s="9"/>
      </tp>
      <tp>
        <v>3380</v>
        <stp/>
        <stp>Market</stp>
        <stp>STOCK</stp>
        <stp>45440.T</stp>
        <stp>高値</stp>
        <tr r="C273" s="9"/>
      </tp>
      <tp>
        <v>6740</v>
        <stp/>
        <stp>Market</stp>
        <stp>STOCK</stp>
        <stp>47040.T</stp>
        <stp>高値</stp>
        <tr r="C254" s="9"/>
      </tp>
      <tp>
        <v>5881</v>
        <stp/>
        <stp>Market</stp>
        <stp>STOCK</stp>
        <stp>99840.T</stp>
        <stp>高値</stp>
        <tr r="H8" s="4"/>
        <tr r="C65" s="9"/>
        <tr r="H53" s="5"/>
      </tp>
      <tp>
        <v>1904.5</v>
        <stp/>
        <stp>Market</stp>
        <stp>STOCK</stp>
        <stp>90640.T</stp>
        <stp>高値</stp>
        <tr r="H4" s="4"/>
        <tr r="C189" s="9"/>
        <tr r="H163" s="5"/>
      </tp>
      <tp>
        <v>6108</v>
        <stp/>
        <stp>Market</stp>
        <stp>STOCK</stp>
        <stp>91040.T</stp>
        <stp>高値</stp>
        <tr r="C259" s="9"/>
      </tp>
      <tp>
        <v>115</v>
        <stp/>
        <stp>Market</stp>
        <stp>STOCK</stp>
        <stp>94240.T</stp>
        <stp>高値</stp>
        <tr r="H20" s="4"/>
        <tr r="H15" s="5"/>
        <tr r="C70" s="9"/>
      </tp>
      <tp>
        <v>2874.5</v>
        <stp/>
        <stp>Market</stp>
        <stp>STOCK</stp>
        <stp>94040.T</stp>
        <stp>高値</stp>
        <tr r="H23" s="4"/>
        <tr r="H78" s="5"/>
        <tr r="C119" s="9"/>
      </tp>
      <tp>
        <v>2470</v>
        <stp/>
        <stp>Market</stp>
        <stp>STOCK</stp>
        <stp>89340.T</stp>
        <stp>高値</stp>
        <tr r="H31" s="4"/>
        <tr r="H149" s="5"/>
        <tr r="C125" s="9"/>
      </tp>
      <tp>
        <v>4260</v>
        <stp/>
        <stp>Market</stp>
        <stp>STOCK</stp>
        <stp>83440.T</stp>
        <stp>高値</stp>
        <tr r="C293" s="9"/>
      </tp>
      <tp>
        <v>2613</v>
        <stp/>
        <stp>Market</stp>
        <stp>STOCK</stp>
        <stp>83340.T</stp>
        <stp>高値</stp>
        <tr r="H49" s="4"/>
        <tr r="C122" s="9"/>
        <tr r="H204" s="5"/>
      </tp>
      <tp>
        <v>4418</v>
        <stp/>
        <stp>Market</stp>
        <stp>STOCK</stp>
        <stp>84240.T</stp>
        <stp>高値</stp>
        <tr r="H46" s="4"/>
        <tr r="H185" s="5"/>
        <tr r="C108" s="9"/>
      </tp>
      <tp>
        <v>1580</v>
        <stp/>
        <stp>Market</stp>
        <stp>STOCK</stp>
        <stp>86040.T</stp>
        <stp>高値</stp>
        <tr r="C40" s="9"/>
        <tr r="H40" s="4"/>
        <tr r="H199" s="5"/>
      </tp>
      <tp>
        <v>1348</v>
        <stp/>
        <stp>Market</stp>
        <stp>STOCK</stp>
        <stp>87040.T</stp>
        <stp>高値</stp>
        <tr r="H38" s="4"/>
        <tr r="H19" s="5"/>
        <tr r="C164" s="9"/>
      </tp>
    </main>
    <main first="rtdsrv.bed1b1f6e97c4c9f9ae958b1f8b490de">
      <tp>
        <v>2282</v>
        <stp/>
        <stp>Market</stp>
        <stp>STOCK</stp>
        <stp>39050.T</stp>
        <stp>高値</stp>
        <tr r="C284" s="9"/>
      </tp>
      <tp>
        <v>4607</v>
        <stp/>
        <stp>Market</stp>
        <stp>STOCK</stp>
        <stp>19250.T</stp>
        <stp>高値</stp>
        <tr r="H181" s="5"/>
        <tr r="H202" s="4"/>
        <tr r="C83" s="9"/>
      </tp>
      <tp>
        <v>3460</v>
        <stp/>
        <stp>Market</stp>
        <stp>STOCK</stp>
        <stp>16050.T</stp>
        <stp>高値</stp>
        <tr r="H206" s="4"/>
        <tr r="C12" s="9"/>
        <tr r="H166" s="5"/>
      </tp>
      <tp>
        <v>1154</v>
        <stp/>
        <stp>Market</stp>
        <stp>STOCK</stp>
        <stp>73750.T</stp>
        <stp>高値</stp>
        <tr r="H190" s="5"/>
        <tr r="H71" s="4"/>
        <tr r="C149" s="9"/>
      </tp>
      <tp>
        <v>3265</v>
        <stp/>
        <stp>Market</stp>
        <stp>STOCK</stp>
        <stp>76850.T</stp>
        <stp>高値</stp>
        <tr r="H148" s="5"/>
        <tr r="H69" s="4"/>
        <tr r="C121" s="9"/>
      </tp>
      <tp>
        <v>13890</v>
        <stp/>
        <stp>Market</stp>
        <stp>STOCK</stp>
        <stp>77350.T</stp>
        <stp>高値</stp>
        <tr r="C283" s="9"/>
      </tp>
      <tp>
        <v>2540</v>
        <stp/>
        <stp>Market</stp>
        <stp>STOCK</stp>
        <stp>69650.T</stp>
        <stp>高値</stp>
        <tr r="C300" s="9"/>
      </tp>
      <tp>
        <v>415</v>
        <stp/>
        <stp>Market</stp>
        <stp>STOCK</stp>
        <stp>69550.T</stp>
        <stp>高値</stp>
        <tr r="C265" s="9"/>
      </tp>
      <tp>
        <v>4319</v>
        <stp/>
        <stp>Market</stp>
        <stp>STOCK</stp>
        <stp>69250.T</stp>
        <stp>高値</stp>
        <tr r="H42" s="5"/>
        <tr r="H80" s="4"/>
        <tr r="C105" s="9"/>
      </tp>
      <tp>
        <v>79</v>
        <stp/>
        <stp>Market</stp>
        <stp>STOCK</stp>
        <stp>60850.T</stp>
        <stp>高値</stp>
        <tr r="H115" s="4"/>
        <tr r="C137" s="9"/>
        <tr r="H150" s="5"/>
      </tp>
      <tp>
        <v>2399</v>
        <stp/>
        <stp>Market</stp>
        <stp>STOCK</stp>
        <stp>60550.T</stp>
        <stp>高値</stp>
        <tr r="C224" s="9"/>
      </tp>
      <tp>
        <v>15350</v>
        <stp/>
        <stp>Market</stp>
        <stp>STOCK</stp>
        <stp>61350.T</stp>
        <stp>高値</stp>
        <tr r="C223" s="9"/>
      </tp>
      <tp>
        <v>5652</v>
        <stp/>
        <stp>Market</stp>
        <stp>STOCK</stp>
        <stp>63050.T</stp>
        <stp>高値</stp>
        <tr r="H107" s="4"/>
        <tr r="C203" s="9"/>
        <tr r="H85" s="5"/>
      </tp>
      <tp>
        <v>1605</v>
        <stp/>
        <stp>Market</stp>
        <stp>STOCK</stp>
        <stp>64850.T</stp>
        <stp>高値</stp>
        <tr r="C191" s="9"/>
        <tr r="H6" s="4"/>
        <tr r="H194" s="5"/>
      </tp>
      <tp>
        <v>1863</v>
        <stp/>
        <stp>Market</stp>
        <stp>STOCK</stp>
        <stp>40450.T</stp>
        <stp>高値</stp>
        <tr r="H174" s="4"/>
        <tr r="H178" s="5"/>
        <tr r="C61" s="9"/>
      </tp>
      <tp>
        <v>1788</v>
        <stp/>
        <stp>Market</stp>
        <stp>STOCK</stp>
        <stp>91650.T</stp>
        <stp>高値</stp>
        <tr r="C243" s="9"/>
      </tp>
      <tp>
        <v>900</v>
        <stp/>
        <stp>Market</stp>
        <stp>STOCK</stp>
        <stp>91150.T</stp>
        <stp>高値</stp>
        <tr r="C270" s="9"/>
      </tp>
      <tp>
        <v>928.2</v>
        <stp/>
        <stp>Market</stp>
        <stp>STOCK</stp>
        <stp>95050.T</stp>
        <stp>高値</stp>
        <tr r="H157" s="5"/>
        <tr r="H17" s="4"/>
        <tr r="C181" s="9"/>
      </tp>
      <tp>
        <v>56800</v>
        <stp/>
        <stp>Market</stp>
        <stp>STOCK</stp>
        <stp>80350.T</stp>
        <stp>高値</stp>
        <tr r="H60" s="4"/>
        <tr r="H35" s="5"/>
        <tr r="C198" s="9"/>
      </tp>
      <tp>
        <v>1843</v>
        <stp/>
        <stp>Market</stp>
        <stp>STOCK</stp>
        <stp>80050.T</stp>
        <stp>高値</stp>
        <tr r="C236" s="9"/>
      </tp>
      <tp>
        <v>7460</v>
        <stp/>
        <stp>Market</stp>
        <stp>STOCK</stp>
        <stp>80150.T</stp>
        <stp>高値</stp>
        <tr r="H61" s="4"/>
        <tr r="H65" s="5"/>
        <tr r="C204" s="9"/>
      </tp>
      <tp>
        <v>5065</v>
        <stp/>
        <stp>Market</stp>
        <stp>STOCK</stp>
        <stp>87950.T</stp>
        <stp>高値</stp>
        <tr r="C23" s="9"/>
        <tr r="H34" s="4"/>
        <tr r="H91" s="5"/>
      </tp>
      <tp>
        <v>4849</v>
        <stp/>
        <stp>Market</stp>
        <stp>STOCK</stp>
        <stp>87250.T</stp>
        <stp>高値</stp>
        <tr r="H168" s="5"/>
        <tr r="H37" s="4"/>
        <tr r="C22" s="9"/>
      </tp>
    </main>
    <main first="rtdsrv.bed1b1f6e97c4c9f9ae958b1f8b490de">
      <tp>
        <v>161</v>
        <stp/>
        <stp>Market</stp>
        <stp>STOCK</stp>
        <stp>39360.T</stp>
        <stp>高値</stp>
        <tr r="C245" s="9"/>
      </tp>
      <tp>
        <v>3720</v>
        <stp/>
        <stp>Market</stp>
        <stp>STOCK</stp>
        <stp>34360.T</stp>
        <stp>高値</stp>
        <tr r="H181" s="4"/>
        <tr r="H4" s="5"/>
        <tr r="C28" s="9"/>
      </tp>
      <tp>
        <v>2104</v>
        <stp/>
        <stp>Market</stp>
        <stp>STOCK</stp>
        <stp>36960.T</stp>
        <stp>高値</stp>
        <tr r="C228" s="9"/>
      </tp>
      <tp>
        <v>4545</v>
        <stp/>
        <stp>Market</stp>
        <stp>STOCK</stp>
        <stp>23260.T</stp>
        <stp>高値</stp>
        <tr r="C237" s="9"/>
      </tp>
      <tp>
        <v>1814.5</v>
        <stp/>
        <stp>Market</stp>
        <stp>STOCK</stp>
        <stp>78460.T</stp>
        <stp>高値</stp>
        <tr r="H64" s="4"/>
        <tr r="H202" s="5"/>
        <tr r="C75" s="9"/>
      </tp>
      <tp>
        <v>7970</v>
        <stp/>
        <stp>Market</stp>
        <stp>STOCK</stp>
        <stp>78060.T</stp>
        <stp>高値</stp>
        <tr r="H55" s="5"/>
        <tr r="H65" s="4"/>
        <tr r="C73" s="9"/>
      </tp>
      <tp>
        <v>1562</v>
        <stp/>
        <stp>Market</stp>
        <stp>STOCK</stp>
        <stp>72360.T</stp>
        <stp>高値</stp>
        <tr r="C177" s="9"/>
        <tr r="H72" s="4"/>
        <tr r="H137" s="5"/>
      </tp>
      <tp>
        <v>737</v>
        <stp/>
        <stp>Market</stp>
        <stp>STOCK</stp>
        <stp>77460.T</stp>
        <stp>高値</stp>
        <tr r="H67" s="4"/>
        <tr r="C93" s="9"/>
        <tr r="H144" s="5"/>
      </tp>
      <tp>
        <v>63000</v>
        <stp/>
        <stp>Market</stp>
        <stp>STOCK</stp>
        <stp>61460.T</stp>
        <stp>高値</stp>
        <tr r="C197" s="9"/>
        <tr r="H113" s="4"/>
        <tr r="H120" s="5"/>
      </tp>
      <tp>
        <v>717</v>
        <stp/>
        <stp>Market</stp>
        <stp>STOCK</stp>
        <stp>63660.T</stp>
        <stp>高値</stp>
        <tr r="C260" s="9"/>
      </tp>
      <tp>
        <v>4160</v>
        <stp/>
        <stp>Market</stp>
        <stp>STOCK</stp>
        <stp>63760.T</stp>
        <stp>高値</stp>
        <tr r="C269" s="9"/>
      </tp>
      <tp>
        <v>1394</v>
        <stp/>
        <stp>Market</stp>
        <stp>STOCK</stp>
        <stp>63560.T</stp>
        <stp>高値</stp>
        <tr r="C267" s="9"/>
      </tp>
      <tp>
        <v>3932</v>
        <stp/>
        <stp>Market</stp>
        <stp>STOCK</stp>
        <stp>64360.T</stp>
        <stp>高値</stp>
        <tr r="H102" s="4"/>
        <tr r="C178" s="9"/>
        <tr r="H155" s="5"/>
      </tp>
      <tp>
        <v>5366</v>
        <stp/>
        <stp>Market</stp>
        <stp>STOCK</stp>
        <stp>65060.T</stp>
        <stp>高値</stp>
        <tr r="H20" s="5"/>
        <tr r="H98" s="4"/>
        <tr r="C201" s="9"/>
      </tp>
      <tp>
        <v>6030</v>
        <stp/>
        <stp>Market</stp>
        <stp>STOCK</stp>
        <stp>65160.T</stp>
        <stp>高値</stp>
        <tr r="H29" s="5"/>
        <tr r="H96" s="4"/>
        <tr r="C151" s="9"/>
      </tp>
      <tp>
        <v>11150</v>
        <stp/>
        <stp>Market</stp>
        <stp>STOCK</stp>
        <stp>67360.T</stp>
        <stp>高値</stp>
        <tr r="C287" s="9"/>
      </tp>
      <tp>
        <v>3240</v>
        <stp/>
        <stp>Market</stp>
        <stp>STOCK</stp>
        <stp>67060.T</stp>
        <stp>高値</stp>
        <tr r="C291" s="9"/>
      </tp>
      <tp>
        <v>2022</v>
        <stp/>
        <stp>Market</stp>
        <stp>STOCK</stp>
        <stp>54060.T</stp>
        <stp>高値</stp>
        <tr r="H95" s="5"/>
        <tr r="H139" s="4"/>
        <tr r="C38" s="9"/>
      </tp>
      <tp>
        <v>35200</v>
        <stp/>
        <stp>Market</stp>
        <stp>STOCK</stp>
        <stp>57060.T</stp>
        <stp>高値</stp>
        <tr r="H131" s="4"/>
        <tr r="H11" s="5"/>
        <tr r="C6" s="9"/>
      </tp>
      <tp>
        <v>25610</v>
        <stp/>
        <stp>Market</stp>
        <stp>STOCK</stp>
        <stp>49660.T</stp>
        <stp>高値</stp>
        <tr r="H150" s="4"/>
        <tr r="C196" s="9"/>
        <tr r="H34" s="5"/>
      </tp>
      <tp>
        <v>1910</v>
        <stp/>
        <stp>Market</stp>
        <stp>STOCK</stp>
        <stp>45360.T</stp>
        <stp>高値</stp>
        <tr r="H125" s="5"/>
        <tr r="H158" s="4"/>
        <tr r="C67" s="9"/>
      </tp>
      <tp>
        <v>4128</v>
        <stp/>
        <stp>Market</stp>
        <stp>STOCK</stp>
        <stp>46760.T</stp>
        <stp>高値</stp>
        <tr r="C58" s="9"/>
        <tr r="H155" s="4"/>
        <tr r="H177" s="5"/>
      </tp>
      <tp>
        <v>2745</v>
        <stp/>
        <stp>Market</stp>
        <stp>STOCK</stp>
        <stp>47760.T</stp>
        <stp>高値</stp>
        <tr r="C253" s="9"/>
      </tp>
      <tp>
        <v>1028</v>
        <stp/>
        <stp>Market</stp>
        <stp>STOCK</stp>
        <stp>94160.T</stp>
        <stp>高値</stp>
        <tr r="C126" s="9"/>
        <tr r="H107" s="5"/>
        <tr r="H21" s="4"/>
      </tp>
      <tp>
        <v>2380</v>
        <stp/>
        <stp>Market</stp>
        <stp>STOCK</stp>
        <stp>95360.T</stp>
        <stp>高値</stp>
        <tr r="H160" s="5"/>
        <tr r="H13" s="4"/>
        <tr r="C185" s="9"/>
      </tp>
      <tp>
        <v>1211.5</v>
        <stp/>
        <stp>Market</stp>
        <stp>STOCK</stp>
        <stp>95060.T</stp>
        <stp>高値</stp>
        <tr r="H16" s="4"/>
        <tr r="H193" s="5"/>
        <tr r="C186" s="9"/>
      </tp>
      <tp>
        <v>3603</v>
        <stp/>
        <stp>Market</stp>
        <stp>STOCK</stp>
        <stp>83060.T</stp>
        <stp>高値</stp>
        <tr r="H201" s="5"/>
        <tr r="H53" s="4"/>
        <tr r="C45" s="9"/>
      </tp>
      <tp>
        <v>6823</v>
        <stp/>
        <stp>Market</stp>
        <stp>STOCK</stp>
        <stp>83160.T</stp>
        <stp>高値</stp>
        <tr r="H70" s="5"/>
        <tr r="H50" s="4"/>
        <tr r="C50" s="9"/>
      </tp>
      <tp>
        <v>7838</v>
        <stp/>
        <stp>Market</stp>
        <stp>STOCK</stp>
        <stp>87660.T</stp>
        <stp>高値</stp>
        <tr r="C52" s="9"/>
        <tr r="H174" s="5"/>
        <tr r="H35" s="4"/>
      </tp>
      <tp>
        <v>3807</v>
        <stp/>
        <stp>Market</stp>
        <stp>STOCK</stp>
        <stp>31070.T</stp>
        <stp>高値</stp>
        <tr r="H186" s="4"/>
        <tr r="H13" s="5"/>
        <tr r="C60" s="9"/>
      </tp>
      <tp>
        <v>4202</v>
        <stp/>
        <stp>Market</stp>
        <stp>STOCK</stp>
        <stp>33970.T</stp>
        <stp>高値</stp>
        <tr r="C285" s="9"/>
      </tp>
      <tp>
        <v>1666</v>
        <stp/>
        <stp>Market</stp>
        <stp>STOCK</stp>
        <stp>34070.T</stp>
        <stp>高値</stp>
        <tr r="C94" s="9"/>
        <tr r="H183" s="5"/>
        <tr r="H182" s="4"/>
      </tp>
      <tp>
        <v>641</v>
        <stp/>
        <stp>Market</stp>
        <stp>STOCK</stp>
        <stp>21270.T</stp>
        <stp>高値</stp>
        <tr r="H161" s="5"/>
        <tr r="C187" s="9"/>
        <tr r="H196" s="4"/>
      </tp>
      <tp>
        <v>2843.5</v>
        <stp/>
        <stp>Market</stp>
        <stp>STOCK</stp>
        <stp>22670.T</stp>
        <stp>高値</stp>
        <tr r="C226" s="9"/>
      </tp>
      <tp>
        <v>3776</v>
        <stp/>
        <stp>Market</stp>
        <stp>STOCK</stp>
        <stp>23270.T</stp>
        <stp>高値</stp>
        <tr r="H194" s="4"/>
        <tr r="C174" s="9"/>
        <tr r="H154" s="5"/>
      </tp>
      <tp>
        <v>2762</v>
        <stp/>
        <stp>Market</stp>
        <stp>STOCK</stp>
        <stp>14070.T</stp>
        <stp>高値</stp>
        <tr r="C217" s="9"/>
      </tp>
      <tp>
        <v>1636.5</v>
        <stp/>
        <stp>Market</stp>
        <stp>STOCK</stp>
        <stp>71670.T</stp>
        <stp>高値</stp>
        <tr r="H101" s="5"/>
        <tr r="H75" s="4"/>
        <tr r="C82" s="9"/>
      </tp>
      <tp>
        <v>33200</v>
        <stp/>
        <stp>Market</stp>
        <stp>STOCK</stp>
        <stp>68570.T</stp>
        <stp>高値</stp>
        <tr r="C158" s="9"/>
        <tr r="H83" s="4"/>
        <tr r="H113" s="5"/>
      </tp>
      <tp>
        <v>3365</v>
        <stp/>
        <stp>Market</stp>
        <stp>STOCK</stp>
        <stp>69970.T</stp>
        <stp>高値</stp>
        <tr r="C272" s="9"/>
      </tp>
      <tp>
        <v>2413</v>
        <stp/>
        <stp>Market</stp>
        <stp>STOCK</stp>
        <stp>60270.T</stp>
        <stp>高値</stp>
        <tr r="H98" s="5"/>
        <tr r="H116" s="4"/>
        <tr r="C72" s="9"/>
      </tp>
      <tp>
        <v>7430</v>
        <stp/>
        <stp>Market</stp>
        <stp>STOCK</stp>
        <stp>62270.T</stp>
        <stp>高値</stp>
        <tr r="H110" s="4"/>
        <tr r="H108" s="5"/>
        <tr r="C132" s="9"/>
      </tp>
      <tp>
        <v>9680</v>
        <stp/>
        <stp>Market</stp>
        <stp>STOCK</stp>
        <stp>63870.T</stp>
        <stp>高値</stp>
        <tr r="H103" s="4"/>
        <tr r="H62" s="5"/>
        <tr r="C147" s="9"/>
      </tp>
      <tp>
        <v>3375</v>
        <stp/>
        <stp>Market</stp>
        <stp>STOCK</stp>
        <stp>63270.T</stp>
        <stp>高値</stp>
        <tr r="H105" s="4"/>
        <tr r="H27" s="5"/>
        <tr r="C133" s="9"/>
      </tp>
      <tp>
        <v>6900</v>
        <stp/>
        <stp>Market</stp>
        <stp>STOCK</stp>
        <stp>64070.T</stp>
        <stp>高値</stp>
        <tr r="C295" s="9"/>
      </tp>
      <tp>
        <v>15010</v>
        <stp/>
        <stp>Market</stp>
        <stp>STOCK</stp>
        <stp>65070.T</stp>
        <stp>高値</stp>
        <tr r="H97" s="4"/>
        <tr r="H64" s="5"/>
        <tr r="C183" s="9"/>
      </tp>
      <tp>
        <v>24780</v>
        <stp/>
        <stp>Market</stp>
        <stp>STOCK</stp>
        <stp>67870.T</stp>
        <stp>高値</stp>
        <tr r="H10" s="5"/>
        <tr r="H86" s="4"/>
        <tr r="C145" s="9"/>
      </tp>
      <tp>
        <v>20810</v>
        <stp/>
        <stp>Market</stp>
        <stp>STOCK</stp>
        <stp>67770.T</stp>
        <stp>高値</stp>
        <tr r="H130" s="5"/>
        <tr r="C144" s="9"/>
        <tr r="H87" s="4"/>
      </tp>
      <tp>
        <v>3515</v>
        <stp/>
        <stp>Market</stp>
        <stp>STOCK</stp>
        <stp>58570.T</stp>
        <stp>高値</stp>
        <tr r="H122" s="4"/>
        <tr r="H52" s="5"/>
        <tr r="C62" s="9"/>
      </tp>
      <tp>
        <v>3644</v>
        <stp/>
        <stp>Market</stp>
        <stp>STOCK</stp>
        <stp>59470.T</stp>
        <stp>高値</stp>
        <tr r="H96" s="5"/>
        <tr r="H117" s="4"/>
        <tr r="C42" s="9"/>
      </tp>
      <tp>
        <v>1640.5</v>
        <stp/>
        <stp>Market</stp>
        <stp>STOCK</stp>
        <stp>48870.T</stp>
        <stp>高値</stp>
        <tr r="H152" s="4"/>
        <tr r="H195" s="5"/>
        <tr r="C192" s="9"/>
      </tp>
      <tp>
        <v>3075</v>
        <stp/>
        <stp>Market</stp>
        <stp>STOCK</stp>
        <stp>40470.T</stp>
        <stp>高値</stp>
        <tr r="C289" s="9"/>
      </tp>
      <tp>
        <v>4761</v>
        <stp/>
        <stp>Market</stp>
        <stp>STOCK</stp>
        <stp>43070.T</stp>
        <stp>高値</stp>
        <tr r="H166" s="4"/>
        <tr r="H151" s="5"/>
        <tr r="C150" s="9"/>
      </tp>
      <tp>
        <v>4640</v>
        <stp/>
        <stp>Market</stp>
        <stp>STOCK</stp>
        <stp>44170.T</stp>
        <stp>高値</stp>
        <tr r="H163" s="4"/>
        <tr r="H112" s="5"/>
        <tr r="C153" s="9"/>
      </tp>
      <tp>
        <v>904</v>
        <stp/>
        <stp>Market</stp>
        <stp>STOCK</stp>
        <stp>92270.T</stp>
        <stp>高値</stp>
        <tr r="H146" s="5"/>
        <tr r="H25" s="4"/>
        <tr r="C111" s="9"/>
      </tp>
      <tp>
        <v>4445</v>
        <stp/>
        <stp>Market</stp>
        <stp>STOCK</stp>
        <stp>96870.T</stp>
        <stp>高値</stp>
        <tr r="H11" s="4"/>
        <tr r="H44" s="5"/>
        <tr r="C162" s="9"/>
      </tp>
      <tp>
        <v>800</v>
        <stp/>
        <stp>Market</stp>
        <stp>STOCK</stp>
        <stp>80070.T</stp>
        <stp>高値</stp>
        <tr r="C281" s="9"/>
      </tp>
    </main>
    <main first="rtdsrv.bed1b1f6e97c4c9f9ae958b1f8b490de">
      <tp>
        <v>3150</v>
        <stp/>
        <stp>Market</stp>
        <stp>STOCK</stp>
        <stp>31100.T</stp>
        <stp>高値</stp>
        <tr r="H185" s="4"/>
        <tr r="C134" s="9"/>
        <tr r="H109" s="5"/>
      </tp>
      <tp>
        <v>2734</v>
        <stp/>
        <stp>Market</stp>
        <stp>STOCK</stp>
        <stp>21600.T</stp>
        <stp>高値</stp>
        <tr r="H187" s="5"/>
        <tr r="C131" s="9"/>
        <tr r="H195" s="4"/>
      </tp>
      <tp>
        <v>1550</v>
        <stp/>
        <stp>Market</stp>
        <stp>STOCK</stp>
        <stp>19300.T</stp>
        <stp>高値</stp>
        <tr r="C163" s="9"/>
        <tr r="H83" s="5"/>
        <tr r="H201" s="4"/>
      </tp>
      <tp>
        <v>68930</v>
        <stp/>
        <stp>Market</stp>
        <stp>STOCK</stp>
        <stp>15700.T</stp>
        <stp>高値</stp>
        <tr r="C222" s="9"/>
      </tp>
      <tp>
        <v>2541.5</v>
        <stp/>
        <stp>Market</stp>
        <stp>STOCK</stp>
        <stp>72700.T</stp>
        <stp>高値</stp>
        <tr r="C286" s="9"/>
      </tp>
      <tp>
        <v>9180</v>
        <stp/>
        <stp>Market</stp>
        <stp>STOCK</stp>
        <stp>68900.T</stp>
        <stp>高値</stp>
        <tr r="H33" s="5"/>
        <tr r="H82" s="4"/>
        <tr r="C195" s="9"/>
      </tp>
      <tp>
        <v>45850</v>
        <stp/>
        <stp>Market</stp>
        <stp>STOCK</stp>
        <stp>69200.T</stp>
        <stp>高値</stp>
        <tr r="H84" s="5"/>
        <tr r="H81" s="4"/>
        <tr r="C199" s="9"/>
      </tp>
      <tp>
        <v>1209</v>
        <stp/>
        <stp>Market</stp>
        <stp>STOCK</stp>
        <stp>61400.T</stp>
        <stp>高値</stp>
        <tr r="C261" s="9"/>
      </tp>
      <tp>
        <v>9212</v>
        <stp/>
        <stp>Market</stp>
        <stp>STOCK</stp>
        <stp>63700.T</stp>
        <stp>高値</stp>
        <tr r="C255" s="9"/>
      </tp>
      <tp>
        <v>2116</v>
        <stp/>
        <stp>Market</stp>
        <stp>STOCK</stp>
        <stp>63300.T</stp>
        <stp>高値</stp>
        <tr r="C128" s="9"/>
        <tr r="H104" s="4"/>
        <tr r="H186" s="5"/>
      </tp>
      <tp>
        <v>50</v>
        <stp/>
        <stp>Market</stp>
        <stp>STOCK</stp>
        <stp>67400.T</stp>
        <stp>高値</stp>
        <tr r="H189" s="5"/>
        <tr r="H92" s="4"/>
        <tr r="C140" s="9"/>
      </tp>
      <tp>
        <v>1300</v>
        <stp/>
        <stp>Market</stp>
        <stp>STOCK</stp>
        <stp>50200.T</stp>
        <stp>高値</stp>
        <tr r="C29" s="9"/>
        <tr r="H141" s="5"/>
        <tr r="H147" s="4"/>
      </tp>
      <tp>
        <v>1902</v>
        <stp/>
        <stp>Market</stp>
        <stp>STOCK</stp>
        <stp>54400.T</stp>
        <stp>高値</stp>
        <tr r="H135" s="4"/>
        <tr r="C180" s="9"/>
        <tr r="H156" s="5"/>
      </tp>
      <tp>
        <v>2900</v>
        <stp/>
        <stp>Market</stp>
        <stp>STOCK</stp>
        <stp>54100.T</stp>
        <stp>高値</stp>
        <tr r="C179" s="9"/>
        <tr r="H138" s="4"/>
        <tr r="H118" s="5"/>
      </tp>
      <tp>
        <v>3263</v>
        <stp/>
        <stp>Market</stp>
        <stp>STOCK</stp>
        <stp>49800.T</stp>
        <stp>高値</stp>
        <tr r="C69" s="9"/>
        <tr r="H72" s="5"/>
        <tr r="H149" s="4"/>
      </tp>
      <tp>
        <v>3800</v>
        <stp/>
        <stp>Market</stp>
        <stp>STOCK</stp>
        <stp>45400.T</stp>
        <stp>高値</stp>
        <tr r="H124" s="5"/>
        <tr r="H157" s="4"/>
        <tr r="C64" s="9"/>
      </tp>
      <tp>
        <v>3815</v>
        <stp/>
        <stp>Market</stp>
        <stp>STOCK</stp>
        <stp>98800.T</stp>
        <stp>高値</stp>
        <tr r="C257" s="9"/>
      </tp>
      <tp>
        <v>3448</v>
        <stp/>
        <stp>Market</stp>
        <stp>STOCK</stp>
        <stp>90200.T</stp>
        <stp>高値</stp>
        <tr r="H104" s="5"/>
        <tr r="H30" s="4"/>
        <tr r="C109" s="9"/>
      </tp>
      <tp>
        <v>1599</v>
        <stp/>
        <stp>Market</stp>
        <stp>STOCK</stp>
        <stp>85700.T</stp>
        <stp>高値</stp>
        <tr r="H94" s="5"/>
        <tr r="H45" s="4"/>
        <tr r="C37" s="9"/>
      </tp>
      <tp>
        <v>7038</v>
        <stp/>
        <stp>Market</stp>
        <stp>STOCK</stp>
        <stp>86300.T</stp>
        <stp>高値</stp>
        <tr r="C54" s="9"/>
        <tr r="H176" s="5"/>
        <tr r="H39" s="4"/>
      </tp>
      <tp>
        <v>1928.5</v>
        <stp/>
        <stp>Market</stp>
        <stp>STOCK</stp>
        <stp>87500.T</stp>
        <stp>高値</stp>
        <tr r="H36" s="4"/>
        <tr r="H200" s="5"/>
        <tr r="C43" s="9"/>
      </tp>
      <tp>
        <v>7320</v>
        <stp/>
        <stp>Market</stp>
        <stp>STOCK</stp>
        <stp>38910.T</stp>
        <stp>高値</stp>
        <tr r="H43" s="5"/>
        <tr r="C159" s="9"/>
        <tr r="H177" s="4"/>
      </tp>
      <tp>
        <v>875.8</v>
        <stp/>
        <stp>Market</stp>
        <stp>STOCK</stp>
        <stp>38610.T</stp>
        <stp>高値</stp>
        <tr r="H123" s="5"/>
        <tr r="H179" s="4"/>
        <tr r="C41" s="9"/>
      </tp>
      <tp>
        <v>1665</v>
        <stp/>
        <stp>Market</stp>
        <stp>STOCK</stp>
        <stp>39410.T</stp>
        <stp>高値</stp>
        <tr r="H176" s="4"/>
        <tr r="C48" s="9"/>
        <tr r="H142" s="5"/>
      </tp>
      <tp>
        <v>1685.5</v>
        <stp/>
        <stp>Market</stp>
        <stp>STOCK</stp>
        <stp>34010.T</stp>
        <stp>高値</stp>
        <tr r="H184" s="4"/>
        <tr r="C27" s="9"/>
        <tr r="H169" s="5"/>
      </tp>
      <tp>
        <v>2488</v>
        <stp/>
        <stp>Market</stp>
        <stp>STOCK</stp>
        <stp>19610.T</stp>
        <stp>高値</stp>
        <tr r="H198" s="4"/>
        <tr r="C59" s="9"/>
        <tr r="H51" s="5"/>
      </tp>
      <tp>
        <v>68120</v>
        <stp/>
        <stp>Market</stp>
        <stp>STOCK</stp>
        <stp>13210.T</stp>
        <stp>高値</stp>
        <tr r="C303" s="9"/>
      </tp>
      <tp>
        <v>3060</v>
        <stp/>
        <stp>Market</stp>
        <stp>STOCK</stp>
        <stp>79810.T</stp>
        <stp>高値</stp>
        <tr r="H63" s="4"/>
        <tr r="H116" s="5"/>
        <tr r="C171" s="9"/>
      </tp>
      <tp>
        <v>2089</v>
        <stp/>
        <stp>Market</stp>
        <stp>STOCK</stp>
        <stp>70210.T</stp>
        <stp>高値</stp>
        <tr r="H76" s="5"/>
        <tr r="C106" s="9"/>
        <tr r="H76" s="4"/>
      </tp>
      <tp>
        <v>4137</v>
        <stp/>
        <stp>Market</stp>
        <stp>STOCK</stp>
        <stp>70110.T</stp>
        <stp>高値</stp>
        <tr r="H77" s="4"/>
        <tr r="H197" s="5"/>
        <tr r="C207" s="9"/>
      </tp>
      <tp>
        <v>1758</v>
        <stp/>
        <stp>Market</stp>
        <stp>STOCK</stp>
        <stp>71810.T</stp>
        <stp>高値</stp>
        <tr r="C190" s="9"/>
        <tr r="H119" s="5"/>
        <tr r="H5" s="4"/>
      </tp>
      <tp>
        <v>1216</v>
        <stp/>
        <stp>Market</stp>
        <stp>STOCK</stp>
        <stp>73810.T</stp>
        <stp>高値</stp>
        <tr r="H70" s="4"/>
        <tr r="H63" s="5"/>
        <tr r="C152" s="9"/>
      </tp>
      <tp>
        <v>25600</v>
        <stp/>
        <stp>Market</stp>
        <stp>STOCK</stp>
        <stp>77410.T</stp>
        <stp>高値</stp>
        <tr r="C302" s="9"/>
      </tp>
      <tp>
        <v>5020</v>
        <stp/>
        <stp>Market</stp>
        <stp>STOCK</stp>
        <stp>77110.T</stp>
        <stp>高値</stp>
        <tr r="C268" s="9"/>
      </tp>
      <tp>
        <v>87920</v>
        <stp/>
        <stp>Market</stp>
        <stp>STOCK</stp>
        <stp>68610.T</stp>
        <stp>高値</stp>
        <tr r="C209" s="9"/>
      </tp>
      <tp>
        <v>5371</v>
        <stp/>
        <stp>Market</stp>
        <stp>STOCK</stp>
        <stp>68410.T</stp>
        <stp>高値</stp>
        <tr r="H100" s="5"/>
        <tr r="H84" s="4"/>
        <tr r="C81" s="9"/>
      </tp>
      <tp>
        <v>7762</v>
        <stp/>
        <stp>Market</stp>
        <stp>STOCK</stp>
        <stp>69810.T</stp>
        <stp>高値</stp>
        <tr r="H78" s="4"/>
        <tr r="H30" s="5"/>
        <tr r="C154" s="9"/>
      </tp>
      <tp>
        <v>5917</v>
        <stp/>
        <stp>Market</stp>
        <stp>STOCK</stp>
        <stp>63610.T</stp>
        <stp>高値</stp>
        <tr r="C249" s="9"/>
      </tp>
      <tp>
        <v>3315</v>
        <stp/>
        <stp>Market</stp>
        <stp>STOCK</stp>
        <stp>63310.T</stp>
        <stp>高値</stp>
        <tr r="C301" s="9"/>
      </tp>
      <tp>
        <v>3255</v>
        <stp/>
        <stp>Market</stp>
        <stp>STOCK</stp>
        <stp>65210.T</stp>
        <stp>高値</stp>
        <tr r="C242" s="9"/>
      </tp>
      <tp>
        <v>5595</v>
        <stp/>
        <stp>Market</stp>
        <stp>STOCK</stp>
        <stp>65010.T</stp>
        <stp>高値</stp>
        <tr r="H126" s="5"/>
        <tr r="C91" s="9"/>
        <tr r="H100" s="4"/>
      </tp>
      <tp>
        <v>4747</v>
        <stp/>
        <stp>Market</stp>
        <stp>STOCK</stp>
        <stp>67010.T</stp>
        <stp>高値</stp>
        <tr r="C11" s="9"/>
        <tr r="H139" s="5"/>
        <tr r="H93" s="4"/>
      </tp>
      <tp>
        <v>4085</v>
        <stp/>
        <stp>Market</stp>
        <stp>STOCK</stp>
        <stp>58010.T</stp>
        <stp>高値</stp>
        <tr r="H45" s="5"/>
        <tr r="H127" s="4"/>
        <tr r="C200" s="9"/>
      </tp>
      <tp>
        <v>4302</v>
        <stp/>
        <stp>Market</stp>
        <stp>STOCK</stp>
        <stp>59010.T</stp>
        <stp>高値</stp>
        <tr r="H120" s="4"/>
        <tr r="H71" s="5"/>
        <tr r="C55" s="9"/>
      </tp>
      <tp>
        <v>3821</v>
        <stp/>
        <stp>Market</stp>
        <stp>STOCK</stp>
        <stp>50210.T</stp>
        <stp>高値</stp>
        <tr r="H88" s="5"/>
        <tr r="C15" s="9"/>
        <tr r="H146" s="4"/>
      </tp>
      <tp>
        <v>5932</v>
        <stp/>
        <stp>Market</stp>
        <stp>STOCK</stp>
        <stp>52010.T</stp>
        <stp>高値</stp>
        <tr r="H145" s="4"/>
        <tr r="H175" s="5"/>
        <tr r="C53" s="9"/>
      </tp>
      <tp>
        <v>685.3</v>
        <stp/>
        <stp>Market</stp>
        <stp>STOCK</stp>
        <stp>54010.T</stp>
        <stp>高値</stp>
        <tr r="C46" s="9"/>
        <tr r="H140" s="4"/>
        <tr r="H173" s="5"/>
      </tp>
      <tp>
        <v>1885.5</v>
        <stp/>
        <stp>Market</stp>
        <stp>STOCK</stp>
        <stp>54110.T</stp>
        <stp>高値</stp>
        <tr r="H7" s="5"/>
        <tr r="H137" s="4"/>
        <tr r="C84" s="9"/>
      </tp>
      <tp>
        <v>2618</v>
        <stp/>
        <stp>Market</stp>
        <stp>STOCK</stp>
        <stp>55410.T</stp>
        <stp>高値</stp>
        <tr r="H133" s="4"/>
        <tr r="C20" s="9"/>
        <tr r="H90" s="5"/>
      </tp>
      <tp>
        <v>7810</v>
        <stp/>
        <stp>Market</stp>
        <stp>STOCK</stp>
        <stp>56310.T</stp>
        <stp>高値</stp>
        <tr r="C263" s="9"/>
      </tp>
      <tp>
        <v>4543</v>
        <stp/>
        <stp>Market</stp>
        <stp>STOCK</stp>
        <stp>57110.T</stp>
        <stp>高値</stp>
        <tr r="H130" s="4"/>
        <tr r="H87" s="5"/>
        <tr r="C9" s="9"/>
      </tp>
      <tp>
        <v>6095</v>
        <stp/>
        <stp>Market</stp>
        <stp>STOCK</stp>
        <stp>40910.T</stp>
        <stp>高値</stp>
        <tr r="H169" s="4"/>
        <tr r="C157" s="9"/>
        <tr r="H152" s="5"/>
      </tp>
      <tp>
        <v>2966.5</v>
        <stp/>
        <stp>Market</stp>
        <stp>STOCK</stp>
        <stp>46610.T</stp>
        <stp>高値</stp>
        <tr r="H156" s="4"/>
        <tr r="H103" s="5"/>
        <tr r="C101" s="9"/>
      </tp>
      <tp>
        <v>5950</v>
        <stp/>
        <stp>Market</stp>
        <stp>STOCK</stp>
        <stp>91010.T</stp>
        <stp>高値</stp>
        <tr r="H27" s="4"/>
        <tr r="H164" s="5"/>
        <tr r="C206" s="9"/>
      </tp>
      <tp>
        <v>3370</v>
        <stp/>
        <stp>Market</stp>
        <stp>STOCK</stp>
        <stp>95510.T</stp>
        <stp>高値</stp>
        <tr r="H134" s="5"/>
        <tr r="C167" s="9"/>
        <tr r="H12" s="4"/>
      </tp>
      <tp>
        <v>6024</v>
        <stp/>
        <stp>Market</stp>
        <stp>STOCK</stp>
        <stp>95310.T</stp>
        <stp>高値</stp>
        <tr r="H15" s="4"/>
        <tr r="C115" s="9"/>
        <tr r="H203" s="5"/>
      </tp>
      <tp>
        <v>542.70000000000005</v>
        <stp/>
        <stp>Market</stp>
        <stp>STOCK</stp>
        <stp>95010.T</stp>
        <stp>高値</stp>
        <tr r="H105" s="5"/>
        <tr r="C114" s="9"/>
        <tr r="H18" s="4"/>
      </tp>
      <tp>
        <v>3290</v>
        <stp/>
        <stp>Market</stp>
        <stp>STOCK</stp>
        <stp>88710.T</stp>
        <stp>高値</stp>
        <tr r="C278" s="9"/>
      </tp>
      <tp>
        <v>1507</v>
        <stp/>
        <stp>Market</stp>
        <stp>STOCK</stp>
        <stp>88010.T</stp>
        <stp>高値</stp>
        <tr r="C124" s="9"/>
        <tr r="H33" s="4"/>
        <tr r="H129" s="5"/>
      </tp>
      <tp>
        <v>2372</v>
        <stp/>
        <stp>Market</stp>
        <stp>STOCK</stp>
        <stp>80910.T</stp>
        <stp>高値</stp>
        <tr r="H158" s="5"/>
        <tr r="C182" s="9"/>
        <tr r="H57" s="4"/>
      </tp>
      <tp>
        <v>1570</v>
        <stp/>
        <stp>Market</stp>
        <stp>STOCK</stp>
        <stp>81410.T</stp>
        <stp>高値</stp>
        <tr r="C292" s="9"/>
      </tp>
      <tp>
        <v>1087</v>
        <stp/>
        <stp>Market</stp>
        <stp>STOCK</stp>
        <stp>82810.T</stp>
        <stp>高値</stp>
        <tr r="H55" s="4"/>
        <tr r="H179" s="5"/>
        <tr r="C63" s="9"/>
      </tp>
      <tp>
        <v>8655</v>
        <stp/>
        <stp>Market</stp>
        <stp>STOCK</stp>
        <stp>84110.T</stp>
        <stp>高値</stp>
        <tr r="H47" s="4"/>
        <tr r="H66" s="5"/>
        <tr r="C19" s="9"/>
      </tp>
      <tp>
        <v>6534</v>
        <stp/>
        <stp>Market</stp>
        <stp>STOCK</stp>
        <stp>85910.T</stp>
        <stp>高値</stp>
        <tr r="H43" s="4"/>
        <tr r="H67" s="5"/>
        <tr r="C26" s="9"/>
      </tp>
      <tp>
        <v>1828.5</v>
        <stp/>
        <stp>Market</stp>
        <stp>STOCK</stp>
        <stp>86010.T</stp>
        <stp>高値</stp>
        <tr r="H41" s="4"/>
        <tr r="H198" s="5"/>
        <tr r="C33" s="9"/>
      </tp>
      <tp>
        <v>213500</v>
        <stp/>
        <stp>Market</stp>
        <stp>STOCK</stp>
        <stp>83440.T</stp>
        <stp>出来高</stp>
        <tr r="C293" s="12"/>
      </tp>
      <tp>
        <v>2501400</v>
        <stp/>
        <stp>Market</stp>
        <stp>STOCK</stp>
        <stp>83590.T</stp>
        <stp>出来高</stp>
        <tr r="J26" s="5"/>
        <tr r="J48" s="4"/>
        <tr r="C123" s="12"/>
      </tp>
      <tp>
        <v>1183300</v>
        <stp/>
        <stp>Market</stp>
        <stp>STOCK</stp>
        <stp>83340.T</stp>
        <stp>出来高</stp>
        <tr r="J49" s="4"/>
        <tr r="J204" s="5"/>
        <tr r="C122" s="12"/>
      </tp>
      <tp>
        <v>35721200</v>
        <stp/>
        <stp>Market</stp>
        <stp>STOCK</stp>
        <stp>83060.T</stp>
        <stp>出来高</stp>
        <tr r="C45" s="12"/>
        <tr r="J53" s="4"/>
        <tr r="J201" s="5"/>
      </tp>
      <tp>
        <v>8499700</v>
        <stp/>
        <stp>Market</stp>
        <stp>STOCK</stp>
        <stp>83030.T</stp>
        <stp>出来高</stp>
        <tr r="J191" s="5"/>
        <tr r="J54" s="4"/>
        <tr r="C172" s="12"/>
      </tp>
      <tp>
        <v>10474300</v>
        <stp/>
        <stp>Market</stp>
        <stp>STOCK</stp>
        <stp>83080.T</stp>
        <stp>出来高</stp>
        <tr r="C35" s="12"/>
        <tr r="J52" s="4"/>
        <tr r="J92" s="5"/>
      </tp>
      <tp>
        <v>7699800</v>
        <stp/>
        <stp>Market</stp>
        <stp>STOCK</stp>
        <stp>83090.T</stp>
        <stp>出来高</stp>
        <tr r="J51" s="4"/>
        <tr r="J68" s="5"/>
        <tr r="C31" s="12"/>
      </tp>
      <tp>
        <v>10686000</v>
        <stp/>
        <stp>Market</stp>
        <stp>STOCK</stp>
        <stp>83160.T</stp>
        <stp>出来高</stp>
        <tr r="J70" s="5"/>
        <tr r="C50" s="12"/>
        <tr r="J50" s="4"/>
      </tp>
      <tp>
        <v>57800</v>
        <stp/>
        <stp>Market</stp>
        <stp>STOCK</stp>
        <stp>82810.T</stp>
        <stp>出来高</stp>
        <tr r="J55" s="4"/>
        <tr r="C63" s="12"/>
        <tr r="J179" s="5"/>
      </tp>
      <tp>
        <v>79200</v>
        <stp/>
        <stp>Market</stp>
        <stp>STOCK</stp>
        <stp>81410.T</stp>
        <stp>出来高</stp>
        <tr r="C292" s="12"/>
      </tp>
      <tp>
        <v>104300</v>
        <stp/>
        <stp>Market</stp>
        <stp>STOCK</stp>
        <stp>81030.T</stp>
        <stp>出来高</stp>
        <tr r="J56" s="4"/>
        <tr r="J136" s="5"/>
        <tr r="C169" s="12"/>
      </tp>
      <tp>
        <v>10099400</v>
        <stp/>
        <stp>Market</stp>
        <stp>STOCK</stp>
        <stp>80530.T</stp>
        <stp>出来高</stp>
        <tr r="J59" s="4"/>
        <tr r="J49" s="5"/>
        <tr r="C25" s="12"/>
      </tp>
      <tp>
        <v>6019000</v>
        <stp/>
        <stp>Market</stp>
        <stp>STOCK</stp>
        <stp>80580.T</stp>
        <stp>出来高</stp>
        <tr r="J58" s="4"/>
        <tr r="C16" s="12"/>
        <tr r="J89" s="5"/>
      </tp>
      <tp>
        <v>3602900</v>
        <stp/>
        <stp>Market</stp>
        <stp>STOCK</stp>
        <stp>80350.T</stp>
        <stp>出来高</stp>
        <tr r="J35" s="5"/>
        <tr r="J60" s="4"/>
        <tr r="C198" s="12"/>
      </tp>
      <tp>
        <v>358900</v>
        <stp/>
        <stp>Market</stp>
        <stp>STOCK</stp>
        <stp>80070.T</stp>
        <stp>出来高</stp>
        <tr r="C281" s="12"/>
      </tp>
      <tp>
        <v>230400</v>
        <stp/>
        <stp>Market</stp>
        <stp>STOCK</stp>
        <stp>80050.T</stp>
        <stp>出来高</stp>
        <tr r="C236" s="12"/>
      </tp>
      <tp>
        <v>5635700</v>
        <stp/>
        <stp>Market</stp>
        <stp>STOCK</stp>
        <stp>80020.T</stp>
        <stp>出来高</stp>
        <tr r="C14" s="12"/>
        <tr r="J62" s="4"/>
        <tr r="J167" s="5"/>
      </tp>
      <tp>
        <v>3211000</v>
        <stp/>
        <stp>Market</stp>
        <stp>STOCK</stp>
        <stp>80150.T</stp>
        <stp>出来高</stp>
        <tr r="J65" s="5"/>
        <tr r="C204" s="12"/>
        <tr r="J61" s="4"/>
      </tp>
      <tp>
        <v>7700</v>
        <stp/>
        <stp>Market</stp>
        <stp>STOCK</stp>
        <stp>80910.T</stp>
        <stp>出来高</stp>
        <tr r="J57" s="4"/>
        <tr r="J158" s="5"/>
        <tr r="C182" s="12"/>
      </tp>
      <tp>
        <v>3609900</v>
        <stp/>
        <stp>Market</stp>
        <stp>STOCK</stp>
        <stp>87660.T</stp>
        <stp>出来高</stp>
        <tr r="J35" s="4"/>
        <tr r="J174" s="5"/>
        <tr r="C52" s="12"/>
      </tp>
      <tp>
        <v>7537800</v>
        <stp/>
        <stp>Market</stp>
        <stp>STOCK</stp>
        <stp>87500.T</stp>
        <stp>出来高</stp>
        <tr r="J200" s="5"/>
        <tr r="J36" s="4"/>
        <tr r="C43" s="12"/>
      </tp>
      <tp>
        <v>3283600</v>
        <stp/>
        <stp>Market</stp>
        <stp>STOCK</stp>
        <stp>87250.T</stp>
        <stp>出来高</stp>
        <tr r="J168" s="5"/>
        <tr r="J37" s="4"/>
        <tr r="C22" s="12"/>
      </tp>
      <tp>
        <v>48600</v>
        <stp/>
        <stp>Market</stp>
        <stp>STOCK</stp>
        <stp>87040.T</stp>
        <stp>出来高</stp>
        <tr r="J19" s="5"/>
        <tr r="J38" s="4"/>
        <tr r="C164" s="12"/>
      </tp>
      <tp>
        <v>2230100</v>
        <stp/>
        <stp>Market</stp>
        <stp>STOCK</stp>
        <stp>87950.T</stp>
        <stp>出来高</stp>
        <tr r="C23" s="12"/>
        <tr r="J34" s="4"/>
        <tr r="J91" s="5"/>
      </tp>
      <tp>
        <v>11500</v>
        <stp/>
        <stp>Market</stp>
        <stp>STOCK</stp>
        <stp>87930.T</stp>
        <stp>出来高</stp>
        <tr r="C232" s="12"/>
      </tp>
      <tp>
        <v>2132600</v>
        <stp/>
        <stp>Market</stp>
        <stp>STOCK</stp>
        <stp>86300.T</stp>
        <stp>出来高</stp>
        <tr r="J39" s="4"/>
        <tr r="C54" s="12"/>
        <tr r="J176" s="5"/>
      </tp>
      <tp>
        <v>8448700</v>
        <stp/>
        <stp>Market</stp>
        <stp>STOCK</stp>
        <stp>86040.T</stp>
        <stp>出来高</stp>
        <tr r="C40" s="12"/>
        <tr r="J199" s="5"/>
        <tr r="J40" s="4"/>
      </tp>
      <tp>
        <v>3642300</v>
        <stp/>
        <stp>Market</stp>
        <stp>STOCK</stp>
        <stp>86010.T</stp>
        <stp>出来高</stp>
        <tr r="J41" s="4"/>
        <tr r="C33" s="12"/>
        <tr r="J198" s="5"/>
      </tp>
      <tp>
        <v>1116200</v>
        <stp/>
        <stp>Market</stp>
        <stp>STOCK</stp>
        <stp>85720.T</stp>
        <stp>出来高</stp>
        <tr r="J38" s="5"/>
        <tr r="C47" s="12"/>
        <tr r="J44" s="4"/>
      </tp>
      <tp>
        <v>891700</v>
        <stp/>
        <stp>Market</stp>
        <stp>STOCK</stp>
        <stp>85700.T</stp>
        <stp>出来高</stp>
        <tr r="J45" s="4"/>
        <tr r="C37" s="12"/>
        <tr r="J94" s="5"/>
      </tp>
      <tp>
        <v>3802100</v>
        <stp/>
        <stp>Market</stp>
        <stp>STOCK</stp>
        <stp>85930.T</stp>
        <stp>出来高</stp>
        <tr r="C39" s="12"/>
        <tr r="J42" s="4"/>
        <tr r="J171" s="5"/>
      </tp>
      <tp>
        <v>2873500</v>
        <stp/>
        <stp>Market</stp>
        <stp>STOCK</stp>
        <stp>85910.T</stp>
        <stp>出来高</stp>
        <tr r="J67" s="5"/>
        <tr r="J43" s="4"/>
        <tr r="C26" s="12"/>
      </tp>
      <tp>
        <v>130900</v>
        <stp/>
        <stp>Market</stp>
        <stp>STOCK</stp>
        <stp>84240.T</stp>
        <stp>出来高</stp>
        <tr r="J46" s="4"/>
        <tr r="J185" s="5"/>
        <tr r="C108" s="12"/>
      </tp>
      <tp>
        <v>9317000</v>
        <stp/>
        <stp>Market</stp>
        <stp>STOCK</stp>
        <stp>84110.T</stp>
        <stp>出来高</stp>
        <tr r="C19" s="12"/>
        <tr r="J47" s="4"/>
        <tr r="J66" s="5"/>
      </tp>
      <tp>
        <v>118900</v>
        <stp/>
        <stp>Market</stp>
        <stp>STOCK</stp>
        <stp>89340.T</stp>
        <stp>出来高</stp>
        <tr r="J31" s="4"/>
        <tr r="C125" s="12"/>
        <tr r="J149" s="5"/>
      </tp>
      <tp>
        <v>50400</v>
        <stp/>
        <stp>Market</stp>
        <stp>STOCK</stp>
        <stp>88710.T</stp>
        <stp>出来高</stp>
        <tr r="C278" s="12"/>
      </tp>
      <tp>
        <v>9906200</v>
        <stp/>
        <stp>Market</stp>
        <stp>STOCK</stp>
        <stp>88010.T</stp>
        <stp>出来高</stp>
        <tr r="J129" s="5"/>
        <tr r="C124" s="12"/>
        <tr r="J33" s="4"/>
      </tp>
      <tp>
        <v>104000</v>
        <stp/>
        <stp>Market</stp>
        <stp>STOCK</stp>
        <stp>88920.T</stp>
        <stp>出来高</stp>
        <tr r="J32" s="4"/>
        <tr r="C161" s="12"/>
        <tr r="J114" s="5"/>
      </tp>
      <tp>
        <v>4195</v>
        <stp/>
        <stp>Market</stp>
        <stp>STOCK</stp>
        <stp>30020.T</stp>
        <stp>高値</stp>
        <tr r="C277" s="9"/>
      </tp>
      <tp>
        <v>1306</v>
        <stp/>
        <stp>Market</stp>
        <stp>STOCK</stp>
        <stp>34020.T</stp>
        <stp>高値</stp>
        <tr r="H172" s="5"/>
        <tr r="C44" s="9"/>
        <tr r="H183" s="4"/>
      </tp>
      <tp>
        <v>5368</v>
        <stp/>
        <stp>Market</stp>
        <stp>STOCK</stp>
        <stp>28020.T</stp>
        <stp>高値</stp>
        <tr r="C76" s="9"/>
        <tr r="H190" s="4"/>
        <tr r="H23" s="5"/>
      </tp>
      <tp>
        <v>8120</v>
        <stp/>
        <stp>Market</stp>
        <stp>STOCK</stp>
        <stp>27020.T</stp>
        <stp>高値</stp>
        <tr r="H196" s="5"/>
        <tr r="H192" s="4"/>
        <tr r="C194" s="9"/>
      </tp>
      <tp>
        <v>5315</v>
        <stp/>
        <stp>Market</stp>
        <stp>STOCK</stp>
        <stp>18120.T</stp>
        <stp>高値</stp>
        <tr r="H121" s="5"/>
        <tr r="H204" s="4"/>
        <tr r="C208" s="9"/>
      </tp>
      <tp>
        <v>5848</v>
        <stp/>
        <stp>Market</stp>
        <stp>STOCK</stp>
        <stp>19420.T</stp>
        <stp>高値</stp>
        <tr r="H32" s="5"/>
        <tr r="H199" s="4"/>
        <tr r="C175" s="9"/>
      </tp>
      <tp>
        <v>1718</v>
        <stp/>
        <stp>Market</stp>
        <stp>STOCK</stp>
        <stp>16620.T</stp>
        <stp>高値</stp>
        <tr r="C18" s="9"/>
        <tr r="H122" s="5"/>
        <tr r="H205" s="4"/>
      </tp>
      <tp>
        <v>2933</v>
        <stp/>
        <stp>Market</stp>
        <stp>STOCK</stp>
        <stp>79720.T</stp>
        <stp>高値</stp>
        <tr r="C241" s="9"/>
      </tp>
      <tp>
        <v>3620</v>
        <stp/>
        <stp>Market</stp>
        <stp>STOCK</stp>
        <stp>79520.T</stp>
        <stp>高値</stp>
        <tr r="C276" s="9"/>
      </tp>
      <tp>
        <v>3246</v>
        <stp/>
        <stp>Market</stp>
        <stp>STOCK</stp>
        <stp>71820.T</stp>
        <stp>高値</stp>
        <tr r="C85" s="9"/>
        <tr r="H74" s="4"/>
        <tr r="H102" s="5"/>
      </tp>
      <tp>
        <v>904.8</v>
        <stp/>
        <stp>Market</stp>
        <stp>STOCK</stp>
        <stp>75320.T</stp>
        <stp>高値</stp>
        <tr r="C305" s="9"/>
      </tp>
      <tp>
        <v>2371</v>
        <stp/>
        <stp>Market</stp>
        <stp>STOCK</stp>
        <stp>68620.T</stp>
        <stp>高値</stp>
        <tr r="C225" s="9"/>
      </tp>
      <tp>
        <v>1931</v>
        <stp/>
        <stp>Market</stp>
        <stp>STOCK</stp>
        <stp>69020.T</stp>
        <stp>高値</stp>
        <tr r="C244" s="9"/>
      </tp>
      <tp>
        <v>1809</v>
        <stp/>
        <stp>Market</stp>
        <stp>STOCK</stp>
        <stp>62320.T</stp>
        <stp>高値</stp>
        <tr r="H109" s="4"/>
        <tr r="H28" s="5"/>
        <tr r="C135" s="9"/>
      </tp>
      <tp>
        <v>688</v>
        <stp/>
        <stp>Market</stp>
        <stp>STOCK</stp>
        <stp>64820.T</stp>
        <stp>高値</stp>
        <tr r="C290" s="9"/>
      </tp>
      <tp>
        <v>1755</v>
        <stp/>
        <stp>Market</stp>
        <stp>STOCK</stp>
        <stp>65220.T</stp>
        <stp>高値</stp>
        <tr r="H95" s="4"/>
        <tr r="H111" s="5"/>
        <tr r="C143" s="9"/>
      </tp>
      <tp>
        <v>15200</v>
        <stp/>
        <stp>Market</stp>
        <stp>STOCK</stp>
        <stp>66220.T</stp>
        <stp>高値</stp>
        <tr r="C216" s="9"/>
      </tp>
      <tp>
        <v>3076</v>
        <stp/>
        <stp>Market</stp>
        <stp>STOCK</stp>
        <stp>67620.T</stp>
        <stp>高値</stp>
        <tr r="C234" s="9"/>
      </tp>
      <tp>
        <v>4523</v>
        <stp/>
        <stp>Market</stp>
        <stp>STOCK</stp>
        <stp>67520.T</stp>
        <stp>高値</stp>
        <tr r="C215" s="9"/>
      </tp>
      <tp>
        <v>2253</v>
        <stp/>
        <stp>Market</stp>
        <stp>STOCK</stp>
        <stp>58920.T</stp>
        <stp>高値</stp>
        <tr r="H74" s="5"/>
        <tr r="C89" s="9"/>
        <tr r="H121" s="4"/>
      </tp>
      <tp>
        <v>2283</v>
        <stp/>
        <stp>Market</stp>
        <stp>STOCK</stp>
        <stp>58020.T</stp>
        <stp>高値</stp>
        <tr r="H126" s="4"/>
        <tr r="H57" s="5"/>
        <tr r="C102" s="9"/>
      </tp>
      <tp>
        <v>6679</v>
        <stp/>
        <stp>Market</stp>
        <stp>STOCK</stp>
        <stp>53320.T</stp>
        <stp>高値</stp>
        <tr r="C21" s="9"/>
        <tr r="H142" s="4"/>
        <tr r="H12" s="5"/>
      </tp>
      <tp>
        <v>2337</v>
        <stp/>
        <stp>Market</stp>
        <stp>STOCK</stp>
        <stp>56320.T</stp>
        <stp>高値</stp>
        <tr r="C247" s="9"/>
      </tp>
      <tp>
        <v>1855</v>
        <stp/>
        <stp>Market</stp>
        <stp>STOCK</stp>
        <stp>57020.T</stp>
        <stp>高値</stp>
        <tr r="C275" s="9"/>
      </tp>
      <tp>
        <v>1939</v>
        <stp/>
        <stp>Market</stp>
        <stp>STOCK</stp>
        <stp>40820.T</stp>
        <stp>高値</stp>
        <tr r="H171" s="4"/>
        <tr r="C129" s="9"/>
        <tr r="H9" s="5"/>
      </tp>
      <tp>
        <v>20300</v>
        <stp/>
        <stp>Market</stp>
        <stp>STOCK</stp>
        <stp>40620.T</stp>
        <stp>高値</stp>
        <tr r="H56" s="5"/>
        <tr r="C96" s="9"/>
        <tr r="H173" s="4"/>
      </tp>
      <tp>
        <v>4736</v>
        <stp/>
        <stp>Market</stp>
        <stp>STOCK</stp>
        <stp>41820.T</stp>
        <stp>高値</stp>
        <tr r="H75" s="5"/>
        <tr r="H168" s="4"/>
        <tr r="C97" s="9"/>
      </tp>
      <tp>
        <v>625</v>
        <stp/>
        <stp>Market</stp>
        <stp>STOCK</stp>
        <stp>42220.T</stp>
        <stp>高値</stp>
        <tr r="C229" s="9"/>
      </tp>
      <tp>
        <v>727</v>
        <stp/>
        <stp>Market</stp>
        <stp>STOCK</stp>
        <stp>43820.T</stp>
        <stp>高値</stp>
        <tr r="H164" s="4"/>
        <tr r="H192" s="5"/>
        <tr r="C173" s="9"/>
      </tp>
      <tp>
        <v>956</v>
        <stp/>
        <stp>Market</stp>
        <stp>STOCK</stp>
        <stp>43920.T</stp>
        <stp>高値</stp>
        <tr r="C235" s="9"/>
      </tp>
      <tp>
        <v>565</v>
        <stp/>
        <stp>Market</stp>
        <stp>STOCK</stp>
        <stp>44220.T</stp>
        <stp>高値</stp>
        <tr r="H162" s="4"/>
        <tr r="H188" s="5"/>
        <tr r="C139" s="9"/>
      </tp>
      <tp>
        <v>5434</v>
        <stp/>
        <stp>Market</stp>
        <stp>STOCK</stp>
        <stp>45020.T</stp>
        <stp>高値</stp>
        <tr r="C212" s="9"/>
      </tp>
      <tp>
        <v>1743</v>
        <stp/>
        <stp>Market</stp>
        <stp>STOCK</stp>
        <stp>98820.T</stp>
        <stp>高値</stp>
        <tr r="H9" s="4"/>
        <tr r="C116" s="9"/>
        <tr r="H128" s="5"/>
      </tp>
      <tp>
        <v>3874</v>
        <stp/>
        <stp>Market</stp>
        <stp>STOCK</stp>
        <stp>99620.T</stp>
        <stp>高値</stp>
        <tr r="C233" s="9"/>
      </tp>
      <tp>
        <v>3880</v>
        <stp/>
        <stp>Market</stp>
        <stp>STOCK</stp>
        <stp>90220.T</stp>
        <stp>高値</stp>
        <tr r="H159" s="5"/>
        <tr r="H29" s="4"/>
        <tr r="C184" s="9"/>
      </tp>
      <tp>
        <v>3177</v>
        <stp/>
        <stp>Market</stp>
        <stp>STOCK</stp>
        <stp>92020.T</stp>
        <stp>高値</stp>
        <tr r="H99" s="5"/>
        <tr r="H26" s="4"/>
        <tr r="C74" s="9"/>
      </tp>
      <tp>
        <v>2432</v>
        <stp/>
        <stp>Market</stp>
        <stp>STOCK</stp>
        <stp>94120.T</stp>
        <stp>高値</stp>
        <tr r="H22" s="5"/>
        <tr r="C56" s="9"/>
        <tr r="H22" s="4"/>
      </tp>
      <tp>
        <v>5394</v>
        <stp/>
        <stp>Market</stp>
        <stp>STOCK</stp>
        <stp>95320.T</stp>
        <stp>高値</stp>
        <tr r="C127" s="9"/>
        <tr r="H14" s="4"/>
        <tr r="H79" s="5"/>
      </tp>
      <tp>
        <v>1084</v>
        <stp/>
        <stp>Market</stp>
        <stp>STOCK</stp>
        <stp>88920.T</stp>
        <stp>高値</stp>
        <tr r="H114" s="5"/>
        <tr r="H32" s="4"/>
        <tr r="C161" s="9"/>
      </tp>
      <tp>
        <v>4960</v>
        <stp/>
        <stp>Market</stp>
        <stp>STOCK</stp>
        <stp>80020.T</stp>
        <stp>高値</stp>
        <tr r="H167" s="5"/>
        <tr r="H62" s="4"/>
        <tr r="C14" s="9"/>
      </tp>
      <tp>
        <v>481.2</v>
        <stp/>
        <stp>Market</stp>
        <stp>STOCK</stp>
        <stp>85720.T</stp>
        <stp>高値</stp>
        <tr r="H38" s="5"/>
        <tr r="H44" s="4"/>
        <tr r="C47" s="9"/>
      </tp>
      <tp>
        <v>495800</v>
        <stp/>
        <stp>Market</stp>
        <stp>STOCK</stp>
        <stp>93480.T</stp>
        <stp>出来高</stp>
        <tr r="J8" s="5"/>
        <tr r="J24" s="4"/>
        <tr r="C112" s="12"/>
      </tp>
      <tp>
        <v>149700</v>
        <stp/>
        <stp>Market</stp>
        <stp>STOCK</stp>
        <stp>92270.T</stp>
        <stp>出来高</stp>
        <tr r="J25" s="4"/>
        <tr r="J146" s="5"/>
        <tr r="C111" s="12"/>
      </tp>
      <tp>
        <v>1596700</v>
        <stp/>
        <stp>Market</stp>
        <stp>STOCK</stp>
        <stp>92020.T</stp>
        <stp>出来高</stp>
        <tr r="J99" s="5"/>
        <tr r="J26" s="4"/>
        <tr r="C74" s="12"/>
      </tp>
      <tp>
        <v>10200</v>
        <stp/>
        <stp>Market</stp>
        <stp>STOCK</stp>
        <stp>91650.T</stp>
        <stp>出来高</stp>
        <tr r="C243" s="12"/>
      </tp>
      <tp>
        <v>2756300</v>
        <stp/>
        <stp>Market</stp>
        <stp>STOCK</stp>
        <stp>91040.T</stp>
        <stp>出来高</stp>
        <tr r="C259" s="12"/>
      </tp>
      <tp>
        <v>3270400</v>
        <stp/>
        <stp>Market</stp>
        <stp>STOCK</stp>
        <stp>91010.T</stp>
        <stp>出来高</stp>
        <tr r="C206" s="12"/>
        <tr r="J164" s="5"/>
        <tr r="J27" s="4"/>
      </tp>
      <tp>
        <v>38500</v>
        <stp/>
        <stp>Market</stp>
        <stp>STOCK</stp>
        <stp>91150.T</stp>
        <stp>出来高</stp>
        <tr r="C270" s="12"/>
      </tp>
      <tp>
        <v>2459100</v>
        <stp/>
        <stp>Market</stp>
        <stp>STOCK</stp>
        <stp>90640.T</stp>
        <stp>出来高</stp>
        <tr r="J4" s="4"/>
        <tr r="J163" s="5"/>
        <tr r="C189" s="12"/>
      </tp>
      <tp>
        <v>552000</v>
        <stp/>
        <stp>Market</stp>
        <stp>STOCK</stp>
        <stp>90690.T</stp>
        <stp>出来高</stp>
        <tr r="J60" s="5"/>
        <tr r="J28" s="4"/>
        <tr r="C110" s="12"/>
      </tp>
      <tp>
        <v>2156300</v>
        <stp/>
        <stp>Market</stp>
        <stp>STOCK</stp>
        <stp>90220.T</stp>
        <stp>出来高</stp>
        <tr r="J29" s="4"/>
        <tr r="C184" s="12"/>
        <tr r="J159" s="5"/>
      </tp>
      <tp>
        <v>3821800</v>
        <stp/>
        <stp>Market</stp>
        <stp>STOCK</stp>
        <stp>90200.T</stp>
        <stp>出来高</stp>
        <tr r="J30" s="4"/>
        <tr r="J104" s="5"/>
        <tr r="C109" s="12"/>
      </tp>
      <tp>
        <v>6800</v>
        <stp/>
        <stp>Market</stp>
        <stp>STOCK</stp>
        <stp>97330.T</stp>
        <stp>出来高</stp>
        <tr r="J153" s="5"/>
        <tr r="J10" s="4"/>
        <tr r="C166" s="12"/>
      </tp>
      <tp>
        <v>500</v>
        <stp/>
        <stp>Market</stp>
        <stp>STOCK</stp>
        <stp>96870.T</stp>
        <stp>出来高</stp>
        <tr r="J11" s="4"/>
        <tr r="J44" s="5"/>
        <tr r="C162" s="12"/>
      </tp>
      <tp>
        <v>94100</v>
        <stp/>
        <stp>Market</stp>
        <stp>STOCK</stp>
        <stp>95510.T</stp>
        <stp>出来高</stp>
        <tr r="J12" s="4"/>
        <tr r="C167" s="12"/>
        <tr r="J134" s="5"/>
      </tp>
      <tp>
        <v>71200</v>
        <stp/>
        <stp>Market</stp>
        <stp>STOCK</stp>
        <stp>95360.T</stp>
        <stp>出来高</stp>
        <tr r="J160" s="5"/>
        <tr r="C185" s="12"/>
        <tr r="J13" s="4"/>
      </tp>
      <tp>
        <v>1009000</v>
        <stp/>
        <stp>Market</stp>
        <stp>STOCK</stp>
        <stp>95320.T</stp>
        <stp>出来高</stp>
        <tr r="J14" s="4"/>
        <tr r="J79" s="5"/>
        <tr r="C127" s="12"/>
      </tp>
      <tp>
        <v>862300</v>
        <stp/>
        <stp>Market</stp>
        <stp>STOCK</stp>
        <stp>95310.T</stp>
        <stp>出来高</stp>
        <tr r="J15" s="4"/>
        <tr r="C115" s="12"/>
        <tr r="J203" s="5"/>
      </tp>
      <tp>
        <v>3154500</v>
        <stp/>
        <stp>Market</stp>
        <stp>STOCK</stp>
        <stp>95060.T</stp>
        <stp>出来高</stp>
        <tr r="J16" s="4"/>
        <tr r="C186" s="12"/>
        <tr r="J193" s="5"/>
      </tp>
      <tp>
        <v>932100</v>
        <stp/>
        <stp>Market</stp>
        <stp>STOCK</stp>
        <stp>95050.T</stp>
        <stp>出来高</stp>
        <tr r="J17" s="4"/>
        <tr r="C181" s="12"/>
        <tr r="J157" s="5"/>
      </tp>
      <tp>
        <v>32319200</v>
        <stp/>
        <stp>Market</stp>
        <stp>STOCK</stp>
        <stp>95010.T</stp>
        <stp>出来高</stp>
        <tr r="J105" s="5"/>
        <tr r="J18" s="4"/>
        <tr r="C114" s="12"/>
      </tp>
      <tp>
        <v>571100</v>
        <stp/>
        <stp>Market</stp>
        <stp>STOCK</stp>
        <stp>95190.T</stp>
        <stp>出来高</stp>
        <tr r="C214" s="12"/>
      </tp>
      <tp>
        <v>373600</v>
        <stp/>
        <stp>Market</stp>
        <stp>STOCK</stp>
        <stp>94490.T</stp>
        <stp>出来高</stp>
        <tr r="J19" s="4"/>
        <tr r="C113" s="12"/>
        <tr r="J77" s="5"/>
      </tp>
      <tp>
        <v>2428600</v>
        <stp/>
        <stp>Market</stp>
        <stp>STOCK</stp>
        <stp>94240.T</stp>
        <stp>出来高</stp>
        <tr r="J20" s="4"/>
        <tr r="J15" s="5"/>
        <tr r="C70" s="12"/>
      </tp>
      <tp>
        <v>602900</v>
        <stp/>
        <stp>Market</stp>
        <stp>STOCK</stp>
        <stp>94040.T</stp>
        <stp>出来高</stp>
        <tr r="J23" s="4"/>
        <tr r="J78" s="5"/>
        <tr r="C119" s="12"/>
      </tp>
      <tp>
        <v>166200</v>
        <stp/>
        <stp>Market</stp>
        <stp>STOCK</stp>
        <stp>94160.T</stp>
        <stp>出来高</stp>
        <tr r="C126" s="12"/>
        <tr r="J21" s="4"/>
        <tr r="J107" s="5"/>
      </tp>
      <tp>
        <v>4532400</v>
        <stp/>
        <stp>Market</stp>
        <stp>STOCK</stp>
        <stp>94120.T</stp>
        <stp>出来高</stp>
        <tr r="J22" s="4"/>
        <tr r="J22" s="5"/>
        <tr r="C56" s="12"/>
      </tp>
      <tp>
        <v>1555300</v>
        <stp/>
        <stp>Market</stp>
        <stp>STOCK</stp>
        <stp>99620.T</stp>
        <stp>出来高</stp>
        <tr r="C233" s="12"/>
      </tp>
      <tp>
        <v>46955700</v>
        <stp/>
        <stp>Market</stp>
        <stp>STOCK</stp>
        <stp>99840.T</stp>
        <stp>出来高</stp>
        <tr r="J8" s="4"/>
        <tr r="J53" s="5"/>
        <tr r="C65" s="12"/>
      </tp>
      <tp>
        <v>175300</v>
        <stp/>
        <stp>Market</stp>
        <stp>STOCK</stp>
        <stp>98820.T</stp>
        <stp>出来高</stp>
        <tr r="J9" s="4"/>
        <tr r="C116" s="12"/>
        <tr r="J128" s="5"/>
      </tp>
      <tp>
        <v>167800</v>
        <stp/>
        <stp>Market</stp>
        <stp>STOCK</stp>
        <stp>98800.T</stp>
        <stp>出来高</stp>
        <tr r="C257" s="12"/>
      </tp>
      <tp>
        <v>1373</v>
        <stp/>
        <stp>Market</stp>
        <stp>STOCK</stp>
        <stp>38630.T</stp>
        <stp>高値</stp>
        <tr r="H178" s="4"/>
        <tr r="C32" s="9"/>
        <tr r="H21" s="5"/>
      </tp>
      <tp>
        <v>1734.5</v>
        <stp/>
        <stp>Market</stp>
        <stp>STOCK</stp>
        <stp>30030.T</stp>
        <stp>高値</stp>
        <tr r="H188" s="4"/>
        <tr r="H143" s="5"/>
        <tr r="C88" s="9"/>
      </tp>
      <tp>
        <v>1298</v>
        <stp/>
        <stp>Market</stp>
        <stp>STOCK</stp>
        <stp>31030.T</stp>
        <stp>高値</stp>
        <tr r="H187" s="4"/>
        <tr r="C138" s="9"/>
        <tr r="H81" s="5"/>
      </tp>
      <tp>
        <v>6062</v>
        <stp/>
        <stp>Market</stp>
        <stp>STOCK</stp>
        <stp>35630.T</stp>
        <stp>高値</stp>
        <tr r="C230" s="9"/>
      </tp>
      <tp>
        <v>1113</v>
        <stp/>
        <stp>Market</stp>
        <stp>STOCK</stp>
        <stp>29330.T</stp>
        <stp>高値</stp>
        <tr r="C288" s="9"/>
      </tp>
      <tp>
        <v>5830</v>
        <stp/>
        <stp>Market</stp>
        <stp>STOCK</stp>
        <stp>18330.T</stp>
        <stp>高値</stp>
        <tr r="H203" s="4"/>
        <tr r="H180" s="5"/>
        <tr r="C80" s="9"/>
      </tp>
      <tp>
        <v>2355</v>
        <stp/>
        <stp>Market</stp>
        <stp>STOCK</stp>
        <stp>19630.T</stp>
        <stp>高値</stp>
        <tr r="C86" s="9"/>
        <tr r="H197" s="4"/>
        <tr r="H40" s="5"/>
      </tp>
      <tp>
        <v>2754.5</v>
        <stp/>
        <stp>Market</stp>
        <stp>STOCK</stp>
        <stp>70130.T</stp>
        <stp>高値</stp>
        <tr r="C231" s="9"/>
      </tp>
      <tp>
        <v>2993.5</v>
        <stp/>
        <stp>Market</stp>
        <stp>STOCK</stp>
        <stp>72030.T</stp>
        <stp>高値</stp>
        <tr r="H73" s="4"/>
        <tr r="C77" s="9"/>
        <tr r="H73" s="5"/>
      </tp>
      <tp>
        <v>76120</v>
        <stp/>
        <stp>Market</stp>
        <stp>STOCK</stp>
        <stp>62730.T</stp>
        <stp>高値</stp>
        <tr r="C211" s="9"/>
      </tp>
      <tp>
        <v>1502</v>
        <stp/>
        <stp>Market</stp>
        <stp>STOCK</stp>
        <stp>62030.T</stp>
        <stp>高値</stp>
        <tr r="H111" s="4"/>
        <tr r="C57" s="9"/>
        <tr r="H50" s="5"/>
      </tp>
      <tp>
        <v>4348</v>
        <stp/>
        <stp>Market</stp>
        <stp>STOCK</stp>
        <stp>63230.T</stp>
        <stp>高値</stp>
        <tr r="H41" s="5"/>
        <tr r="C90" s="9"/>
        <tr r="H106" s="4"/>
      </tp>
      <tp>
        <v>6061</v>
        <stp/>
        <stp>Market</stp>
        <stp>STOCK</stp>
        <stp>65030.T</stp>
        <stp>高値</stp>
        <tr r="H99" s="4"/>
        <tr r="C68" s="9"/>
        <tr r="H39" s="5"/>
      </tp>
      <tp>
        <v>1798</v>
        <stp/>
        <stp>Market</stp>
        <stp>STOCK</stp>
        <stp>66130.T</stp>
        <stp>高値</stp>
        <tr r="H94" s="4"/>
        <tr r="H3" s="5"/>
        <tr r="C141" s="9"/>
      </tp>
      <tp>
        <v>634.9</v>
        <stp/>
        <stp>Market</stp>
        <stp>STOCK</stp>
        <stp>67530.T</stp>
        <stp>高値</stp>
        <tr r="C188" s="9"/>
        <tr r="H162" s="5"/>
        <tr r="H90" s="4"/>
      </tp>
      <tp>
        <v>4917</v>
        <stp/>
        <stp>Market</stp>
        <stp>STOCK</stp>
        <stp>58030.T</stp>
        <stp>高値</stp>
        <tr r="H125" s="4"/>
        <tr r="H58" s="5"/>
        <tr r="C103" s="9"/>
      </tp>
      <tp>
        <v>2412</v>
        <stp/>
        <stp>Market</stp>
        <stp>STOCK</stp>
        <stp>52430.T</stp>
        <stp>高値</stp>
        <tr r="H138" s="5"/>
        <tr r="H143" s="4"/>
        <tr r="C193" s="9"/>
      </tp>
      <tp>
        <v>1587</v>
        <stp/>
        <stp>Market</stp>
        <stp>STOCK</stp>
        <stp>52530.T</stp>
        <stp>高値</stp>
        <tr r="C258" s="9"/>
      </tp>
      <tp>
        <v>4380</v>
        <stp/>
        <stp>Market</stp>
        <stp>STOCK</stp>
        <stp>52330.T</stp>
        <stp>高値</stp>
        <tr r="H170" s="5"/>
        <tr r="H144" s="4"/>
        <tr r="C34" s="9"/>
      </tp>
      <tp>
        <v>5947</v>
        <stp/>
        <stp>Market</stp>
        <stp>STOCK</stp>
        <stp>53330.T</stp>
        <stp>高値</stp>
        <tr r="H141" s="4"/>
        <tr r="C17" s="9"/>
        <tr r="H37" s="5"/>
      </tp>
      <tp>
        <v>1772</v>
        <stp/>
        <stp>Market</stp>
        <stp>STOCK</stp>
        <stp>54230.T</stp>
        <stp>高値</stp>
        <tr r="H136" s="4"/>
        <tr r="H165" s="5"/>
        <tr r="C7" s="9"/>
      </tp>
      <tp>
        <v>2989</v>
        <stp/>
        <stp>Market</stp>
        <stp>STOCK</stp>
        <stp>57030.T</stp>
        <stp>高値</stp>
        <tr r="H48" s="5"/>
        <tr r="C13" s="9"/>
        <tr r="H132" s="4"/>
      </tp>
      <tp>
        <v>9210</v>
        <stp/>
        <stp>Market</stp>
        <stp>STOCK</stp>
        <stp>57130.T</stp>
        <stp>高値</stp>
        <tr r="H129" s="4"/>
        <tr r="H46" s="5"/>
        <tr r="C8" s="9"/>
      </tp>
      <tp>
        <v>6234</v>
        <stp/>
        <stp>Market</stp>
        <stp>STOCK</stp>
        <stp>40630.T</stp>
        <stp>高値</stp>
        <tr r="H172" s="4"/>
        <tr r="C66" s="9"/>
        <tr r="H14" s="5"/>
      </tp>
      <tp>
        <v>1097</v>
        <stp/>
        <stp>Market</stp>
        <stp>STOCK</stp>
        <stp>43730.T</stp>
        <stp>高値</stp>
        <tr r="H82" s="5"/>
        <tr r="H165" s="4"/>
        <tr r="C160" s="9"/>
      </tp>
      <tp>
        <v>4698</v>
        <stp/>
        <stp>Market</stp>
        <stp>STOCK</stp>
        <stp>45230.T</stp>
        <stp>高値</stp>
        <tr r="C99" s="9"/>
        <tr r="H160" s="4"/>
        <tr r="H184" s="5"/>
      </tp>
      <tp>
        <v>7899</v>
        <stp/>
        <stp>Market</stp>
        <stp>STOCK</stp>
        <stp>47330.T</stp>
        <stp>高値</stp>
        <tr r="H153" s="4"/>
        <tr r="C165" s="9"/>
        <tr r="H133" s="5"/>
      </tp>
      <tp>
        <v>2300</v>
        <stp/>
        <stp>Market</stp>
        <stp>STOCK</stp>
        <stp>97330.T</stp>
        <stp>高値</stp>
        <tr r="H153" s="5"/>
        <tr r="C166" s="9"/>
        <tr r="H10" s="4"/>
      </tp>
      <tp>
        <v>1768</v>
        <stp/>
        <stp>Market</stp>
        <stp>STOCK</stp>
        <stp>80530.T</stp>
        <stp>高値</stp>
        <tr r="H49" s="5"/>
        <tr r="C25" s="9"/>
        <tr r="H59" s="4"/>
      </tp>
      <tp>
        <v>902</v>
        <stp/>
        <stp>Market</stp>
        <stp>STOCK</stp>
        <stp>81030.T</stp>
        <stp>高値</stp>
        <tr r="H56" s="4"/>
        <tr r="H136" s="5"/>
        <tr r="C169" s="9"/>
      </tp>
      <tp>
        <v>1577</v>
        <stp/>
        <stp>Market</stp>
        <stp>STOCK</stp>
        <stp>83030.T</stp>
        <stp>高値</stp>
        <tr r="H54" s="4"/>
        <tr r="H191" s="5"/>
        <tr r="C172" s="9"/>
      </tp>
      <tp>
        <v>1430</v>
        <stp/>
        <stp>Market</stp>
        <stp>STOCK</stp>
        <stp>85930.T</stp>
        <stp>高値</stp>
        <tr r="H42" s="4"/>
        <tr r="C39" s="9"/>
        <tr r="H171" s="5"/>
      </tp>
      <tp>
        <v>4085</v>
        <stp/>
        <stp>Market</stp>
        <stp>STOCK</stp>
        <stp>87930.T</stp>
        <stp>高値</stp>
        <tr r="C232" s="9"/>
      </tp>
      <tp>
        <v>12910</v>
        <stp/>
        <stp>Market</stp>
        <stp>STOCK</stp>
        <stp>278A0.T</stp>
        <stp>現在値</stp>
        <tr r="C251" s="11"/>
      </tp>
      <tp>
        <v>8050</v>
        <stp/>
        <stp>Market</stp>
        <stp>STOCK</stp>
        <stp>27020.T</stp>
        <stp>現在値</stp>
        <tr r="E196" s="5"/>
        <tr r="C194" s="11"/>
        <tr r="E192" s="4"/>
      </tp>
      <tp>
        <v>5540</v>
        <stp/>
        <stp>Market</stp>
        <stp>STOCK</stp>
        <stp>27680.T</stp>
        <stp>現在値</stp>
        <tr r="C202" s="11"/>
        <tr r="E191" s="4"/>
        <tr r="E206" s="5"/>
      </tp>
      <tp>
        <v>639</v>
        <stp/>
        <stp>Market</stp>
        <stp>STOCK</stp>
        <stp>21270.T</stp>
        <stp>現在値</stp>
        <tr r="E161" s="5"/>
        <tr r="E196" s="4"/>
        <tr r="C187" s="11"/>
      </tp>
      <tp>
        <v>2719</v>
        <stp/>
        <stp>Market</stp>
        <stp>STOCK</stp>
        <stp>21600.T</stp>
        <stp>現在値</stp>
        <tr r="C131" s="11"/>
        <tr r="E195" s="4"/>
        <tr r="E187" s="5"/>
      </tp>
      <tp>
        <v>2839</v>
        <stp/>
        <stp>Market</stp>
        <stp>STOCK</stp>
        <stp>22670.T</stp>
        <stp>現在値</stp>
        <tr r="C226" s="11"/>
      </tp>
      <tp>
        <v>4520</v>
        <stp/>
        <stp>Market</stp>
        <stp>STOCK</stp>
        <stp>23260.T</stp>
        <stp>現在値</stp>
        <tr r="C237" s="11"/>
      </tp>
      <tp>
        <v>3753</v>
        <stp/>
        <stp>Market</stp>
        <stp>STOCK</stp>
        <stp>23270.T</stp>
        <stp>現在値</stp>
        <tr r="E154" s="5"/>
        <tr r="E194" s="4"/>
        <tr r="C174" s="11"/>
      </tp>
      <tp>
        <v>2030</v>
        <stp/>
        <stp>Market</stp>
        <stp>STOCK</stp>
        <stp>23590.T</stp>
        <stp>現在値</stp>
        <tr r="E193" s="4"/>
        <tr r="C168" s="11"/>
        <tr r="E135" s="5"/>
      </tp>
      <tp>
        <v>5196</v>
        <stp/>
        <stp>Market</stp>
        <stp>STOCK</stp>
        <stp>28020.T</stp>
        <stp>現在値</stp>
        <tr r="E190" s="4"/>
        <tr r="C76" s="11"/>
        <tr r="E23" s="5"/>
      </tp>
      <tp>
        <v>453</v>
        <stp/>
        <stp>Market</stp>
        <stp>STOCK</stp>
        <stp>281A0.T</stp>
        <stp>現在値</stp>
        <tr r="H9" s="16"/>
        <tr r="C266" s="11"/>
      </tp>
      <tp>
        <v>48740</v>
        <stp/>
        <stp>Market</stp>
        <stp>STOCK</stp>
        <stp>285A0.T</stp>
        <stp>現在値</stp>
        <tr r="C218" s="11"/>
      </tp>
      <tp>
        <v>1105</v>
        <stp/>
        <stp>Market</stp>
        <stp>STOCK</stp>
        <stp>29330.T</stp>
        <stp>現在値</stp>
        <tr r="C288" s="11"/>
      </tp>
      <tp>
        <v>7030</v>
        <stp/>
        <stp>Market</stp>
        <stp>STOCK</stp>
        <stp>29140.T</stp>
        <stp>現在値</stp>
        <tr r="E182" s="5"/>
        <tr r="E189" s="4"/>
        <tr r="C87" s="11"/>
        <tr r="H38" s="16"/>
      </tp>
    </main>
    <main first="rtdsrv.bed1b1f6e97c4c9f9ae958b1f8b490de">
      <tp>
        <v>3544</v>
        <stp/>
        <stp>Market</stp>
        <stp>STOCK</stp>
        <stp>34360.T</stp>
        <stp>現在値</stp>
        <tr r="H55" s="16"/>
        <tr r="E181" s="4"/>
        <tr r="E4" s="5"/>
        <tr r="C28" s="11"/>
      </tp>
      <tp>
        <v>1666</v>
        <stp/>
        <stp>Market</stp>
        <stp>STOCK</stp>
        <stp>34070.T</stp>
        <stp>現在値</stp>
        <tr r="E183" s="5"/>
        <tr r="E182" s="4"/>
        <tr r="C94" s="11"/>
      </tp>
      <tp>
        <v>1682.5</v>
        <stp/>
        <stp>Market</stp>
        <stp>STOCK</stp>
        <stp>34010.T</stp>
        <stp>現在値</stp>
        <tr r="E184" s="4"/>
        <tr r="E169" s="5"/>
        <tr r="C27" s="11"/>
      </tp>
      <tp>
        <v>1299.5</v>
        <stp/>
        <stp>Market</stp>
        <stp>STOCK</stp>
        <stp>34020.T</stp>
        <stp>現在値</stp>
        <tr r="H57" s="16"/>
        <tr r="E172" s="5"/>
        <tr r="C44" s="11"/>
        <tr r="E183" s="4"/>
      </tp>
      <tp>
        <v>5820</v>
        <stp/>
        <stp>Market</stp>
        <stp>STOCK</stp>
        <stp>35630.T</stp>
        <stp>現在値</stp>
        <tr r="C230" s="11"/>
      </tp>
      <tp>
        <v>2072</v>
        <stp/>
        <stp>Market</stp>
        <stp>STOCK</stp>
        <stp>36960.T</stp>
        <stp>現在値</stp>
        <tr r="C228" s="11"/>
      </tp>
      <tp>
        <v>4170</v>
        <stp/>
        <stp>Market</stp>
        <stp>STOCK</stp>
        <stp>30020.T</stp>
        <stp>現在値</stp>
        <tr r="C277" s="11"/>
      </tp>
      <tp>
        <v>1722.5</v>
        <stp/>
        <stp>Market</stp>
        <stp>STOCK</stp>
        <stp>30030.T</stp>
        <stp>現在値</stp>
        <tr r="C88" s="11"/>
        <tr r="E143" s="5"/>
        <tr r="E188" s="4"/>
      </tp>
      <tp>
        <v>3070</v>
        <stp/>
        <stp>Market</stp>
        <stp>STOCK</stp>
        <stp>300A0.T</stp>
        <stp>現在値</stp>
        <tr r="C252" s="11"/>
      </tp>
      <tp>
        <v>3735</v>
        <stp/>
        <stp>Market</stp>
        <stp>STOCK</stp>
        <stp>31070.T</stp>
        <stp>現在値</stp>
        <tr r="E186" s="4"/>
        <tr r="C60" s="11"/>
        <tr r="E13" s="5"/>
      </tp>
      <tp>
        <v>1258</v>
        <stp/>
        <stp>Market</stp>
        <stp>STOCK</stp>
        <stp>31030.T</stp>
        <stp>現在値</stp>
        <tr r="E81" s="5"/>
        <tr r="E187" s="4"/>
        <tr r="C138" s="11"/>
      </tp>
      <tp>
        <v>2918</v>
        <stp/>
        <stp>Market</stp>
        <stp>STOCK</stp>
        <stp>31100.T</stp>
        <stp>現在値</stp>
        <tr r="E185" s="4"/>
        <tr r="C134" s="11"/>
        <tr r="E109" s="5"/>
      </tp>
      <tp>
        <v>4187</v>
        <stp/>
        <stp>Market</stp>
        <stp>STOCK</stp>
        <stp>33970.T</stp>
        <stp>現在値</stp>
        <tr r="H30" s="16"/>
        <tr r="C285" s="11"/>
        <tr r="H22" s="16"/>
      </tp>
      <tp>
        <v>7180</v>
        <stp/>
        <stp>Market</stp>
        <stp>STOCK</stp>
        <stp>38910.T</stp>
        <stp>現在値</stp>
        <tr r="E43" s="5"/>
        <tr r="E177" s="4"/>
        <tr r="C159" s="11"/>
        <tr r="H20" s="16"/>
        <tr r="H29" s="16"/>
      </tp>
      <tp>
        <v>1168</v>
        <stp/>
        <stp>Market</stp>
        <stp>STOCK</stp>
        <stp>38640.T</stp>
        <stp>現在値</stp>
        <tr r="C271" s="11"/>
      </tp>
      <tp>
        <v>873.8</v>
        <stp/>
        <stp>Market</stp>
        <stp>STOCK</stp>
        <stp>38610.T</stp>
        <stp>現在値</stp>
        <tr r="C41" s="11"/>
        <tr r="E179" s="4"/>
        <tr r="E123" s="5"/>
      </tp>
      <tp>
        <v>1365</v>
        <stp/>
        <stp>Market</stp>
        <stp>STOCK</stp>
        <stp>38630.T</stp>
        <stp>現在値</stp>
        <tr r="E21" s="5"/>
        <tr r="E178" s="4"/>
        <tr r="C32" s="11"/>
      </tp>
      <tp>
        <v>2215</v>
        <stp/>
        <stp>Market</stp>
        <stp>STOCK</stp>
        <stp>38540.T</stp>
        <stp>現在値</stp>
        <tr r="E54" s="5"/>
        <tr r="E180" s="4"/>
        <tr r="C71" s="11"/>
      </tp>
      <tp>
        <v>1836</v>
        <stp/>
        <stp>Market</stp>
        <stp>STOCK</stp>
        <stp>39840.T</stp>
        <stp>現在値</stp>
        <tr r="C239" s="11"/>
      </tp>
      <tp>
        <v>158</v>
        <stp/>
        <stp>Market</stp>
        <stp>STOCK</stp>
        <stp>39360.T</stp>
        <stp>現在値</stp>
        <tr r="C245" s="11"/>
      </tp>
      <tp>
        <v>1910</v>
        <stp/>
        <stp>Market</stp>
        <stp>STOCK</stp>
        <stp>39050.T</stp>
        <stp>現在値</stp>
        <tr r="C284" s="11"/>
      </tp>
      <tp>
        <v>1595.5</v>
        <stp/>
        <stp>Market</stp>
        <stp>STOCK</stp>
        <stp>39410.T</stp>
        <stp>現在値</stp>
        <tr r="C48" s="11"/>
        <tr r="E142" s="5"/>
        <tr r="E176" s="4"/>
      </tp>
    </main>
    <main first="rtdsrv.bed1b1f6e97c4c9f9ae958b1f8b490de">
      <tp>
        <v>2704</v>
        <stp/>
        <stp>Market</stp>
        <stp>STOCK</stp>
        <stp>14070.T</stp>
        <stp>現在値</stp>
        <tr r="C217" s="11"/>
      </tp>
      <tp>
        <v>3200</v>
        <stp/>
        <stp>Market</stp>
        <stp>STOCK</stp>
        <stp>141A0.T</stp>
        <stp>現在値</stp>
        <tr r="C219" s="11"/>
      </tp>
      <tp>
        <v>596</v>
        <stp/>
        <stp>Market</stp>
        <stp>STOCK</stp>
        <stp>15140.T</stp>
        <stp>現在値</stp>
        <tr r="C262" s="11"/>
      </tp>
      <tp>
        <v>68540</v>
        <stp/>
        <stp>Market</stp>
        <stp>STOCK</stp>
        <stp>15700.T</stp>
        <stp>現在値</stp>
        <tr r="C222" s="11"/>
      </tp>
      <tp>
        <v>863</v>
        <stp/>
        <stp>Market</stp>
        <stp>STOCK</stp>
        <stp>155A0.T</stp>
        <stp>現在値</stp>
        <tr r="C250" s="11"/>
      </tp>
      <tp>
        <v>3460</v>
        <stp/>
        <stp>Market</stp>
        <stp>STOCK</stp>
        <stp>16050.T</stp>
        <stp>現在値</stp>
        <tr r="E206" s="4"/>
        <tr r="C12" s="11"/>
        <tr r="E166" s="5"/>
      </tp>
      <tp>
        <v>32830</v>
        <stp/>
        <stp>Market</stp>
        <stp>STOCK</stp>
        <stp>16180.T</stp>
        <stp>現在値</stp>
        <tr r="C227" s="11"/>
      </tp>
      <tp>
        <v>1718</v>
        <stp/>
        <stp>Market</stp>
        <stp>STOCK</stp>
        <stp>16620.T</stp>
        <stp>現在値</stp>
        <tr r="C18" s="11"/>
        <tr r="E205" s="4"/>
        <tr r="E122" s="5"/>
      </tp>
      <tp>
        <v>67990</v>
        <stp/>
        <stp>Market</stp>
        <stp>STOCK</stp>
        <stp>13210.T</stp>
        <stp>現在値</stp>
        <tr r="C303" s="11"/>
      </tp>
      <tp>
        <v>5790</v>
        <stp/>
        <stp>Market</stp>
        <stp>STOCK</stp>
        <stp>18330.T</stp>
        <stp>現在値</stp>
        <tr r="E180" s="5"/>
        <tr r="C80" s="11"/>
        <tr r="E203" s="4"/>
      </tp>
      <tp>
        <v>2688.5</v>
        <stp/>
        <stp>Market</stp>
        <stp>STOCK</stp>
        <stp>18080.T</stp>
        <stp>現在値</stp>
        <tr r="C297" s="11"/>
      </tp>
      <tp>
        <v>5135</v>
        <stp/>
        <stp>Market</stp>
        <stp>STOCK</stp>
        <stp>18120.T</stp>
        <stp>現在値</stp>
        <tr r="E121" s="5"/>
        <tr r="C208" s="11"/>
        <tr r="E204" s="4"/>
      </tp>
      <tp>
        <v>1176</v>
        <stp/>
        <stp>Market</stp>
        <stp>STOCK</stp>
        <stp>186A0.T</stp>
        <stp>現在値</stp>
        <tr r="C299" s="11"/>
      </tp>
      <tp>
        <v>4588</v>
        <stp/>
        <stp>Market</stp>
        <stp>STOCK</stp>
        <stp>19250.T</stp>
        <stp>現在値</stp>
        <tr r="E202" s="4"/>
        <tr r="E181" s="5"/>
        <tr r="C83" s="11"/>
      </tp>
      <tp>
        <v>1521</v>
        <stp/>
        <stp>Market</stp>
        <stp>STOCK</stp>
        <stp>19300.T</stp>
        <stp>現在値</stp>
        <tr r="E201" s="4"/>
        <tr r="E83" s="5"/>
        <tr r="C163" s="11"/>
      </tp>
      <tp>
        <v>2508</v>
        <stp/>
        <stp>Market</stp>
        <stp>STOCK</stp>
        <stp>19380.T</stp>
        <stp>現在値</stp>
        <tr r="E200" s="4"/>
        <tr r="C176" s="11"/>
        <tr r="E117" s="5"/>
      </tp>
      <tp>
        <v>2394</v>
        <stp/>
        <stp>Market</stp>
        <stp>STOCK</stp>
        <stp>19610.T</stp>
        <stp>現在値</stp>
        <tr r="E51" s="5"/>
        <tr r="C59" s="11"/>
        <tr r="E198" s="4"/>
      </tp>
      <tp>
        <v>2306</v>
        <stp/>
        <stp>Market</stp>
        <stp>STOCK</stp>
        <stp>19630.T</stp>
        <stp>現在値</stp>
        <tr r="E40" s="5"/>
        <tr r="C86" s="11"/>
        <tr r="E197" s="4"/>
      </tp>
      <tp>
        <v>7202</v>
        <stp/>
        <stp>Market</stp>
        <stp>STOCK</stp>
        <stp>19440.T</stp>
        <stp>現在値</stp>
        <tr r="C304" s="11"/>
      </tp>
      <tp>
        <v>5642</v>
        <stp/>
        <stp>Market</stp>
        <stp>STOCK</stp>
        <stp>19420.T</stp>
        <stp>現在値</stp>
        <tr r="E199" s="4"/>
        <tr r="E32" s="5"/>
        <tr r="C175" s="11"/>
        <tr r="H39" s="16"/>
      </tp>
    </main>
    <main first="rtdsrv.bed1b1f6e97c4c9f9ae958b1f8b490de">
      <tp>
        <v>1605</v>
        <stp/>
        <stp>Market</stp>
        <stp>STOCK</stp>
        <stp>64850.T</stp>
        <stp>現在値</stp>
        <tr r="E194" s="5"/>
        <tr r="E6" s="4"/>
        <tr r="C191" s="11"/>
      </tp>
      <tp>
        <v>682</v>
        <stp/>
        <stp>Market</stp>
        <stp>STOCK</stp>
        <stp>64820.T</stp>
        <stp>現在値</stp>
        <tr r="C290" s="11"/>
      </tp>
      <tp>
        <v>985</v>
        <stp/>
        <stp>Market</stp>
        <stp>STOCK</stp>
        <stp>64880.T</stp>
        <stp>現在値</stp>
        <tr r="C280" s="11"/>
        <tr r="H34" s="16"/>
      </tp>
      <tp>
        <v>3896</v>
        <stp/>
        <stp>Market</stp>
        <stp>STOCK</stp>
        <stp>64360.T</stp>
        <stp>現在値</stp>
        <tr r="C178" s="11"/>
        <tr r="E102" s="4"/>
        <tr r="E155" s="5"/>
        <tr r="H10" s="16"/>
        <tr r="H44" s="16"/>
      </tp>
      <tp>
        <v>6500</v>
        <stp/>
        <stp>Market</stp>
        <stp>STOCK</stp>
        <stp>64070.T</stp>
        <stp>現在値</stp>
        <tr r="C295" s="11"/>
      </tp>
      <tp>
        <v>3736</v>
        <stp/>
        <stp>Market</stp>
        <stp>STOCK</stp>
        <stp>64790.T</stp>
        <stp>現在値</stp>
        <tr r="H56" s="16"/>
        <tr r="C79" s="11"/>
        <tr r="E101" s="4"/>
        <tr r="E24" s="5"/>
      </tp>
      <tp>
        <v>3210</v>
        <stp/>
        <stp>Market</stp>
        <stp>STOCK</stp>
        <stp>65210.T</stp>
        <stp>現在値</stp>
        <tr r="C242" s="11"/>
      </tp>
      <tp>
        <v>1614</v>
        <stp/>
        <stp>Market</stp>
        <stp>STOCK</stp>
        <stp>65220.T</stp>
        <stp>現在値</stp>
        <tr r="E95" s="4"/>
        <tr r="E111" s="5"/>
        <tr r="H6" s="16"/>
        <tr r="C143" s="11"/>
      </tp>
      <tp>
        <v>5255</v>
        <stp/>
        <stp>Market</stp>
        <stp>STOCK</stp>
        <stp>65060.T</stp>
        <stp>現在値</stp>
        <tr r="E20" s="5"/>
        <tr r="E98" s="4"/>
        <tr r="C201" s="11"/>
      </tp>
      <tp>
        <v>14020</v>
        <stp/>
        <stp>Market</stp>
        <stp>STOCK</stp>
        <stp>65070.T</stp>
        <stp>現在値</stp>
        <tr r="E97" s="4"/>
        <tr r="E64" s="5"/>
        <tr r="C183" s="11"/>
      </tp>
      <tp>
        <v>5500</v>
        <stp/>
        <stp>Market</stp>
        <stp>STOCK</stp>
        <stp>65010.T</stp>
        <stp>現在値</stp>
        <tr r="E100" s="4"/>
        <tr r="C91" s="11"/>
        <tr r="E126" s="5"/>
      </tp>
      <tp>
        <v>5870</v>
        <stp/>
        <stp>Market</stp>
        <stp>STOCK</stp>
        <stp>65030.T</stp>
        <stp>現在値</stp>
        <tr r="E39" s="5"/>
        <tr r="C68" s="11"/>
        <tr r="E99" s="4"/>
      </tp>
      <tp>
        <v>5930</v>
        <stp/>
        <stp>Market</stp>
        <stp>STOCK</stp>
        <stp>65160.T</stp>
        <stp>現在値</stp>
        <tr r="E29" s="5"/>
        <tr r="E96" s="4"/>
        <tr r="C151" s="11"/>
      </tp>
      <tp>
        <v>14130</v>
        <stp/>
        <stp>Market</stp>
        <stp>STOCK</stp>
        <stp>66220.T</stp>
        <stp>現在値</stp>
        <tr r="C216" s="11"/>
        <tr r="H32" s="16"/>
        <tr r="H24" s="16"/>
      </tp>
      <tp>
        <v>1766</v>
        <stp/>
        <stp>Market</stp>
        <stp>STOCK</stp>
        <stp>66130.T</stp>
        <stp>現在値</stp>
        <tr r="E3" s="5"/>
        <tr r="E94" s="4"/>
        <tr r="C141" s="11"/>
      </tp>
      <tp>
        <v>5404</v>
        <stp/>
        <stp>Market</stp>
        <stp>STOCK</stp>
        <stp>66740.T</stp>
        <stp>現在値</stp>
        <tr r="C264" s="11"/>
      </tp>
      <tp>
        <v>23790</v>
        <stp/>
        <stp>Market</stp>
        <stp>STOCK</stp>
        <stp>67870.T</stp>
        <stp>現在値</stp>
        <tr r="C145" s="11"/>
        <tr r="E86" s="4"/>
        <tr r="E10" s="5"/>
      </tp>
      <tp>
        <v>10810</v>
        <stp/>
        <stp>Market</stp>
        <stp>STOCK</stp>
        <stp>67360.T</stp>
        <stp>現在値</stp>
        <tr r="C287" s="11"/>
      </tp>
      <tp>
        <v>3220</v>
        <stp/>
        <stp>Market</stp>
        <stp>STOCK</stp>
        <stp>67060.T</stp>
        <stp>現在値</stp>
        <tr r="C291" s="11"/>
      </tp>
      <tp>
        <v>4690</v>
        <stp/>
        <stp>Market</stp>
        <stp>STOCK</stp>
        <stp>67010.T</stp>
        <stp>現在値</stp>
        <tr r="E139" s="5"/>
        <tr r="E93" s="4"/>
        <tr r="C11" s="11"/>
      </tp>
      <tp>
        <v>3013</v>
        <stp/>
        <stp>Market</stp>
        <stp>STOCK</stp>
        <stp>67620.T</stp>
        <stp>現在値</stp>
        <tr r="C234" s="11"/>
      </tp>
      <tp>
        <v>19550</v>
        <stp/>
        <stp>Market</stp>
        <stp>STOCK</stp>
        <stp>67770.T</stp>
        <stp>現在値</stp>
        <tr r="E130" s="5"/>
        <tr r="E87" s="4"/>
        <tr r="C144" s="11"/>
      </tp>
      <tp>
        <v>4600</v>
        <stp/>
        <stp>Market</stp>
        <stp>STOCK</stp>
        <stp>67440.T</stp>
        <stp>現在値</stp>
        <tr r="E106" s="5"/>
        <tr r="E91" s="4"/>
        <tr r="C120" s="11"/>
      </tp>
      <tp>
        <v>48</v>
        <stp/>
        <stp>Market</stp>
        <stp>STOCK</stp>
        <stp>67400.T</stp>
        <stp>現在値</stp>
        <tr r="E189" s="5"/>
        <tr r="E92" s="4"/>
        <tr r="C140" s="11"/>
      </tp>
      <tp>
        <v>3525</v>
        <stp/>
        <stp>Market</stp>
        <stp>STOCK</stp>
        <stp>67540.T</stp>
        <stp>現在値</stp>
        <tr r="E89" s="4"/>
        <tr r="E31" s="5"/>
        <tr r="C155" s="11"/>
      </tp>
      <tp>
        <v>4413</v>
        <stp/>
        <stp>Market</stp>
        <stp>STOCK</stp>
        <stp>67520.T</stp>
        <stp>現在値</stp>
        <tr r="C215" s="11"/>
      </tp>
      <tp>
        <v>634.9</v>
        <stp/>
        <stp>Market</stp>
        <stp>STOCK</stp>
        <stp>67530.T</stp>
        <stp>現在値</stp>
        <tr r="E90" s="4"/>
        <tr r="C188" s="11"/>
        <tr r="E162" s="5"/>
      </tp>
      <tp>
        <v>3626</v>
        <stp/>
        <stp>Market</stp>
        <stp>STOCK</stp>
        <stp>67580.T</stp>
        <stp>現在値</stp>
        <tr r="E88" s="4"/>
        <tr r="E86" s="5"/>
        <tr r="C205" s="11"/>
      </tp>
      <tp>
        <v>76</v>
        <stp/>
        <stp>Market</stp>
        <stp>STOCK</stp>
        <stp>60850.T</stp>
        <stp>現在値</stp>
        <tr r="E150" s="5"/>
        <tr r="E115" s="4"/>
        <tr r="C137" s="11"/>
      </tp>
      <tp>
        <v>12845</v>
        <stp/>
        <stp>Market</stp>
        <stp>STOCK</stp>
        <stp>60980.T</stp>
        <stp>現在値</stp>
        <tr r="C248" s="11"/>
      </tp>
      <tp>
        <v>2358</v>
        <stp/>
        <stp>Market</stp>
        <stp>STOCK</stp>
        <stp>60270.T</stp>
        <stp>現在値</stp>
        <tr r="E116" s="4"/>
        <tr r="E98" s="5"/>
        <tr r="C72" s="11"/>
        <tr r="H45" s="16"/>
      </tp>
      <tp>
        <v>2367</v>
        <stp/>
        <stp>Market</stp>
        <stp>STOCK</stp>
        <stp>60550.T</stp>
        <stp>現在値</stp>
        <tr r="C224" s="11"/>
      </tp>
      <tp>
        <v>8117</v>
        <stp/>
        <stp>Market</stp>
        <stp>STOCK</stp>
        <stp>61340.T</stp>
        <stp>現在値</stp>
        <tr r="E114" s="4"/>
        <tr r="C92" s="11"/>
        <tr r="E25" s="5"/>
      </tp>
      <tp>
        <v>15070</v>
        <stp/>
        <stp>Market</stp>
        <stp>STOCK</stp>
        <stp>61350.T</stp>
        <stp>現在値</stp>
        <tr r="C223" s="11"/>
      </tp>
      <tp>
        <v>2395</v>
        <stp/>
        <stp>Market</stp>
        <stp>STOCK</stp>
        <stp>61780.T</stp>
        <stp>現在値</stp>
        <tr r="E59" s="5"/>
        <tr r="H4" s="16"/>
        <tr r="C104" s="11"/>
        <tr r="E112" s="4"/>
      </tp>
      <tp>
        <v>61590</v>
        <stp/>
        <stp>Market</stp>
        <stp>STOCK</stp>
        <stp>61460.T</stp>
        <stp>現在値</stp>
        <tr r="E113" s="4"/>
        <tr r="E120" s="5"/>
        <tr r="C197" s="11"/>
        <tr r="H7" s="16"/>
      </tp>
      <tp>
        <v>1183</v>
        <stp/>
        <stp>Market</stp>
        <stp>STOCK</stp>
        <stp>61400.T</stp>
        <stp>現在値</stp>
        <tr r="C261" s="11"/>
      </tp>
      <tp>
        <v>7400</v>
        <stp/>
        <stp>Market</stp>
        <stp>STOCK</stp>
        <stp>62270.T</stp>
        <stp>現在値</stp>
        <tr r="E108" s="5"/>
        <tr r="E110" s="4"/>
        <tr r="C132" s="11"/>
      </tp>
      <tp>
        <v>1737</v>
        <stp/>
        <stp>Market</stp>
        <stp>STOCK</stp>
        <stp>62320.T</stp>
        <stp>現在値</stp>
        <tr r="E28" s="5"/>
        <tr r="E109" s="4"/>
        <tr r="C135" s="11"/>
      </tp>
      <tp>
        <v>1459</v>
        <stp/>
        <stp>Market</stp>
        <stp>STOCK</stp>
        <stp>62030.T</stp>
        <stp>現在値</stp>
        <tr r="C57" s="11"/>
        <tr r="E50" s="5"/>
        <tr r="E111" s="4"/>
      </tp>
      <tp>
        <v>75350</v>
        <stp/>
        <stp>Market</stp>
        <stp>STOCK</stp>
        <stp>62730.T</stp>
        <stp>現在値</stp>
        <tr r="C211" s="11"/>
      </tp>
      <tp>
        <v>4415</v>
        <stp/>
        <stp>Market</stp>
        <stp>STOCK</stp>
        <stp>62540.T</stp>
        <stp>現在値</stp>
        <tr r="E5" s="5"/>
        <tr r="E108" s="4"/>
        <tr r="C30" s="11"/>
      </tp>
      <tp>
        <v>9290</v>
        <stp/>
        <stp>Market</stp>
        <stp>STOCK</stp>
        <stp>63870.T</stp>
        <stp>現在値</stp>
        <tr r="E62" s="5"/>
        <tr r="E103" s="4"/>
        <tr r="H12" s="16"/>
        <tr r="C147" s="11"/>
      </tp>
      <tp>
        <v>7130</v>
        <stp/>
        <stp>Market</stp>
        <stp>STOCK</stp>
        <stp>63240.T</stp>
        <stp>現在値</stp>
        <tr r="C210" s="11"/>
      </tp>
      <tp>
        <v>3350</v>
        <stp/>
        <stp>Market</stp>
        <stp>STOCK</stp>
        <stp>63270.T</stp>
        <stp>現在値</stp>
        <tr r="E105" s="4"/>
        <tr r="E27" s="5"/>
        <tr r="C133" s="11"/>
        <tr r="H40" s="16"/>
      </tp>
      <tp>
        <v>4165</v>
        <stp/>
        <stp>Market</stp>
        <stp>STOCK</stp>
        <stp>63230.T</stp>
        <stp>現在値</stp>
        <tr r="E41" s="5"/>
        <tr r="C90" s="11"/>
        <tr r="E106" s="4"/>
      </tp>
      <tp>
        <v>2018</v>
        <stp/>
        <stp>Market</stp>
        <stp>STOCK</stp>
        <stp>63300.T</stp>
        <stp>現在値</stp>
        <tr r="E104" s="4"/>
        <tr r="E186" s="5"/>
        <tr r="C128" s="11"/>
      </tp>
      <tp>
        <v>3270</v>
        <stp/>
        <stp>Market</stp>
        <stp>STOCK</stp>
        <stp>63310.T</stp>
        <stp>現在値</stp>
        <tr r="C301" s="11"/>
      </tp>
      <tp>
        <v>5637</v>
        <stp/>
        <stp>Market</stp>
        <stp>STOCK</stp>
        <stp>63050.T</stp>
        <stp>現在値</stp>
        <tr r="E85" s="5"/>
        <tr r="E107" s="4"/>
        <tr r="C203" s="11"/>
      </tp>
      <tp>
        <v>695</v>
        <stp/>
        <stp>Market</stp>
        <stp>STOCK</stp>
        <stp>63660.T</stp>
        <stp>現在値</stp>
        <tr r="C260" s="11"/>
      </tp>
      <tp>
        <v>5852</v>
        <stp/>
        <stp>Market</stp>
        <stp>STOCK</stp>
        <stp>63610.T</stp>
        <stp>現在値</stp>
        <tr r="C249" s="11"/>
      </tp>
      <tp>
        <v>4095</v>
        <stp/>
        <stp>Market</stp>
        <stp>STOCK</stp>
        <stp>63760.T</stp>
        <stp>現在値</stp>
        <tr r="C269" s="11"/>
      </tp>
      <tp>
        <v>8975</v>
        <stp/>
        <stp>Market</stp>
        <stp>STOCK</stp>
        <stp>63700.T</stp>
        <stp>現在値</stp>
        <tr r="C255" s="11"/>
      </tp>
      <tp>
        <v>1370</v>
        <stp/>
        <stp>Market</stp>
        <stp>STOCK</stp>
        <stp>63560.T</stp>
        <stp>現在値</stp>
        <tr r="C267" s="11"/>
      </tp>
      <tp>
        <v>8880</v>
        <stp/>
        <stp>Market</stp>
        <stp>STOCK</stp>
        <stp>68900.T</stp>
        <stp>現在値</stp>
        <tr r="E82" s="4"/>
        <tr r="E33" s="5"/>
        <tr r="C195" s="11"/>
      </tp>
      <tp>
        <v>1480</v>
        <stp/>
        <stp>Market</stp>
        <stp>STOCK</stp>
        <stp>68380.T</stp>
        <stp>現在値</stp>
        <tr r="E85" s="4"/>
        <tr r="E6" s="5"/>
        <tr r="C148" s="11"/>
      </tp>
      <tp>
        <v>1669</v>
        <stp/>
        <stp>Market</stp>
        <stp>STOCK</stp>
        <stp>68090.T</stp>
        <stp>現在値</stp>
        <tr r="C238" s="11"/>
      </tp>
      <tp>
        <v>85530</v>
        <stp/>
        <stp>Market</stp>
        <stp>STOCK</stp>
        <stp>68610.T</stp>
        <stp>現在値</stp>
        <tr r="C209" s="11"/>
      </tp>
      <tp>
        <v>2335</v>
        <stp/>
        <stp>Market</stp>
        <stp>STOCK</stp>
        <stp>68620.T</stp>
        <stp>現在値</stp>
        <tr r="C225" s="11"/>
        <tr r="H36" s="16"/>
      </tp>
      <tp>
        <v>5335</v>
        <stp/>
        <stp>Market</stp>
        <stp>STOCK</stp>
        <stp>68410.T</stp>
        <stp>現在値</stp>
        <tr r="E100" s="5"/>
        <tr r="E84" s="4"/>
        <tr r="C81" s="11"/>
        <tr r="H47" s="16"/>
      </tp>
      <tp>
        <v>862</v>
        <stp/>
        <stp>Market</stp>
        <stp>STOCK</stp>
        <stp>68480.T</stp>
        <stp>現在値</stp>
        <tr r="C274" s="11"/>
      </tp>
      <tp>
        <v>32930</v>
        <stp/>
        <stp>Market</stp>
        <stp>STOCK</stp>
        <stp>68570.T</stp>
        <stp>現在値</stp>
        <tr r="C158" s="11"/>
        <tr r="E113" s="5"/>
        <tr r="E83" s="4"/>
      </tp>
      <tp>
        <v>7421</v>
        <stp/>
        <stp>Market</stp>
        <stp>STOCK</stp>
        <stp>69810.T</stp>
        <stp>現在値</stp>
        <tr r="E78" s="4"/>
        <tr r="E30" s="5"/>
        <tr r="C154" s="11"/>
      </tp>
      <tp>
        <v>3240</v>
        <stp/>
        <stp>Market</stp>
        <stp>STOCK</stp>
        <stp>69970.T</stp>
        <stp>現在値</stp>
        <tr r="C272" s="11"/>
      </tp>
      <tp>
        <v>4093</v>
        <stp/>
        <stp>Market</stp>
        <stp>STOCK</stp>
        <stp>69250.T</stp>
        <stp>現在値</stp>
        <tr r="C105" s="11"/>
        <tr r="E42" s="5"/>
        <tr r="E80" s="4"/>
      </tp>
      <tp>
        <v>43330</v>
        <stp/>
        <stp>Market</stp>
        <stp>STOCK</stp>
        <stp>69200.T</stp>
        <stp>現在値</stp>
        <tr r="E81" s="4"/>
        <tr r="E84" s="5"/>
        <tr r="C199" s="11"/>
      </tp>
      <tp>
        <v>2639</v>
        <stp/>
        <stp>Market</stp>
        <stp>STOCK</stp>
        <stp>69280.T</stp>
        <stp>現在値</stp>
        <tr r="C246" s="11"/>
        <tr r="H33" s="16"/>
      </tp>
      <tp>
        <v>1925</v>
        <stp/>
        <stp>Market</stp>
        <stp>STOCK</stp>
        <stp>69020.T</stp>
        <stp>現在値</stp>
        <tr r="C244" s="11"/>
      </tp>
      <tp>
        <v>3315</v>
        <stp/>
        <stp>Market</stp>
        <stp>STOCK</stp>
        <stp>69180.T</stp>
        <stp>現在値</stp>
        <tr r="C279" s="11"/>
      </tp>
      <tp>
        <v>2505.5</v>
        <stp/>
        <stp>Market</stp>
        <stp>STOCK</stp>
        <stp>69650.T</stp>
        <stp>現在値</stp>
        <tr r="C300" s="11"/>
      </tp>
      <tp>
        <v>6430</v>
        <stp/>
        <stp>Market</stp>
        <stp>STOCK</stp>
        <stp>69540.T</stp>
        <stp>現在値</stp>
        <tr r="E79" s="4"/>
        <tr r="C78" s="11"/>
        <tr r="E16" s="5"/>
        <tr r="H46" s="16"/>
      </tp>
      <tp>
        <v>411</v>
        <stp/>
        <stp>Market</stp>
        <stp>STOCK</stp>
        <stp>69550.T</stp>
        <stp>現在値</stp>
        <tr r="H17" s="16"/>
        <tr r="C265" s="11"/>
      </tp>
      <tp t="s">
        <v>イエローハット</v>
        <stp/>
        <stp>Market</stp>
        <stp>STOCK</stp>
        <stp>98820.T</stp>
        <stp>銘柄名称</stp>
        <tr r="C116" s="1"/>
      </tp>
      <tp t="s">
        <v>イノテック</v>
        <stp/>
        <stp>Market</stp>
        <stp>STOCK</stp>
        <stp>98800.T</stp>
        <stp>銘柄名称</stp>
        <tr r="C257" s="1"/>
      </tp>
      <tp t="s">
        <v>サワイグループＨＤ</v>
        <stp/>
        <stp>Market</stp>
        <stp>STOCK</stp>
        <stp>48870.T</stp>
        <stp>銘柄名称</stp>
        <tr r="C192"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フェローテック</v>
        <stp/>
        <stp>Market</stp>
        <stp>STOCK</stp>
        <stp>68900.T</stp>
        <stp>銘柄名称</stp>
        <tr r="C195" s="1"/>
      </tp>
      <tp t="s">
        <v>ニッポン高度紙工業</v>
        <stp/>
        <stp>Market</stp>
        <stp>STOCK</stp>
        <stp>38910.T</stp>
        <stp>銘柄名称</stp>
        <tr r="C159" s="1"/>
        <tr r="D20" s="16"/>
        <tr r="D29" s="16"/>
      </tp>
      <tp t="s">
        <v>奥村組</v>
        <stp/>
        <stp>Market</stp>
        <stp>STOCK</stp>
        <stp>18330.T</stp>
        <stp>銘柄名称</stp>
        <tr r="C80" s="1"/>
      </tp>
      <tp t="s">
        <v>楽天銀行</v>
        <stp/>
        <stp>Market</stp>
        <stp>STOCK</stp>
        <stp>58380.T</stp>
        <stp>銘柄名称</stp>
        <tr r="C117" s="1"/>
      </tp>
      <tp t="s">
        <v>多摩川ホールディングス</v>
        <stp/>
        <stp>Market</stp>
        <stp>STOCK</stp>
        <stp>68380.T</stp>
        <stp>銘柄名称</stp>
        <tr r="C148" s="1"/>
      </tp>
      <tp t="s">
        <v>住友電工</v>
        <stp/>
        <stp>Market</stp>
        <stp>STOCK</stp>
        <stp>58020.T</stp>
        <stp>銘柄名称</stp>
        <tr r="C102" s="1"/>
      </tp>
      <tp t="s">
        <v>味の素</v>
        <stp/>
        <stp>Market</stp>
        <stp>STOCK</stp>
        <stp>28020.T</stp>
        <stp>銘柄名称</stp>
        <tr r="C76" s="1"/>
      </tp>
      <tp t="s">
        <v>フジクラ</v>
        <stp/>
        <stp>Market</stp>
        <stp>STOCK</stp>
        <stp>58030.T</stp>
        <stp>銘柄名称</stp>
        <tr r="C103" s="1"/>
      </tp>
      <tp t="s">
        <v>古河電工</v>
        <stp/>
        <stp>Market</stp>
        <stp>STOCK</stp>
        <stp>58010.T</stp>
        <stp>銘柄名称</stp>
        <tr r="C200" s="1"/>
      </tp>
      <tp t="s">
        <v>三井不動産</v>
        <stp/>
        <stp>Market</stp>
        <stp>STOCK</stp>
        <stp>88010.T</stp>
        <stp>銘柄名称</stp>
        <tr r="C124" s="1"/>
      </tp>
      <tp t="s">
        <v>ＭＴＧ</v>
        <stp/>
        <stp>Market</stp>
        <stp>STOCK</stp>
        <stp>78060.T</stp>
        <stp>銘柄名称</stp>
        <tr r="C73" s="1"/>
      </tp>
      <tp t="s">
        <v>長谷工コーポレーシヨン</v>
        <stp/>
        <stp>Market</stp>
        <stp>STOCK</stp>
        <stp>18080.T</stp>
        <stp>銘柄名称</stp>
        <tr r="C297" s="1"/>
      </tp>
      <tp t="s">
        <v>ＴＯＡ</v>
        <stp/>
        <stp>Market</stp>
        <stp>STOCK</stp>
        <stp>68090.T</stp>
        <stp>銘柄名称</stp>
        <tr r="C238" s="1"/>
      </tp>
      <tp t="s">
        <v>鹿島建設</v>
        <stp/>
        <stp>Market</stp>
        <stp>STOCK</stp>
        <stp>18120.T</stp>
        <stp>銘柄名称</stp>
        <tr r="C208" s="1"/>
      </tp>
      <tp t="s">
        <v>インフォメティス</v>
        <stp/>
        <stp>Market</stp>
        <stp>STOCK</stp>
        <stp>281A0.T</stp>
        <stp>銘柄名称</stp>
        <tr r="D9" s="16"/>
        <tr r="C266" s="1"/>
      </tp>
      <tp t="s">
        <v>ミナトホールディングス</v>
        <stp/>
        <stp>Market</stp>
        <stp>STOCK</stp>
        <stp>68620.T</stp>
        <stp>銘柄名称</stp>
        <tr r="C225" s="1"/>
        <tr r="D36" s="16"/>
      </tp>
      <tp t="s">
        <v>日本製紙</v>
        <stp/>
        <stp>Market</stp>
        <stp>STOCK</stp>
        <stp>38630.T</stp>
        <stp>銘柄名称</stp>
        <tr r="C32" s="1"/>
      </tp>
      <tp t="s">
        <v>キーエンス</v>
        <stp/>
        <stp>Market</stp>
        <stp>STOCK</stp>
        <stp>68610.T</stp>
        <stp>銘柄名称</stp>
        <tr r="C209" s="1"/>
      </tp>
      <tp t="s">
        <v>王子ホールディングス</v>
        <stp/>
        <stp>Market</stp>
        <stp>STOCK</stp>
        <stp>38610.T</stp>
        <stp>銘柄名称</stp>
        <tr r="C41" s="1"/>
      </tp>
      <tp t="s">
        <v>三菱製紙</v>
        <stp/>
        <stp>Market</stp>
        <stp>STOCK</stp>
        <stp>38640.T</stp>
        <stp>銘柄名称</stp>
        <tr r="C271" s="1"/>
      </tp>
      <tp t="s">
        <v>アストロスケールホールディンク</v>
        <stp/>
        <stp>Market</stp>
        <stp>STOCK</stp>
        <stp>186A0.T</stp>
        <stp>銘柄名称</stp>
        <tr r="C299" s="1"/>
      </tp>
      <tp t="s">
        <v>ゴールドクレスト</v>
        <stp/>
        <stp>Market</stp>
        <stp>STOCK</stp>
        <stp>88710.T</stp>
        <stp>銘柄名称</stp>
        <tr r="C278" s="1"/>
        <tr r="D43" s="16"/>
      </tp>
      <tp t="s">
        <v>横河電機</v>
        <stp/>
        <stp>Market</stp>
        <stp>STOCK</stp>
        <stp>68410.T</stp>
        <stp>銘柄名称</stp>
        <tr r="C81" s="1"/>
        <tr r="D47" s="16"/>
      </tp>
      <tp t="s">
        <v>パイロットコーポレーション</v>
        <stp/>
        <stp>Market</stp>
        <stp>STOCK</stp>
        <stp>78460.T</stp>
        <stp>銘柄名称</stp>
        <tr r="C75" s="1"/>
      </tp>
      <tp t="s">
        <v>京都フィナンシャルＧ</v>
        <stp/>
        <stp>Market</stp>
        <stp>STOCK</stp>
        <stp>58440.T</stp>
        <stp>銘柄名称</stp>
        <tr r="C118" s="1"/>
      </tp>
      <tp t="s">
        <v>東亜ディーケーケー</v>
        <stp/>
        <stp>Market</stp>
        <stp>STOCK</stp>
        <stp>68480.T</stp>
        <stp>銘柄名称</stp>
        <tr r="C274" s="1"/>
      </tp>
      <tp t="s">
        <v>ＡＲＥホールディングス</v>
        <stp/>
        <stp>Market</stp>
        <stp>STOCK</stp>
        <stp>58570.T</stp>
        <stp>銘柄名称</stp>
        <tr r="C62" s="1"/>
      </tp>
      <tp t="s">
        <v>アドバンテスト</v>
        <stp/>
        <stp>Market</stp>
        <stp>STOCK</stp>
        <stp>68570.T</stp>
        <stp>銘柄名称</stp>
        <tr r="C158" s="1"/>
      </tp>
      <tp t="s">
        <v>アイル</v>
        <stp/>
        <stp>Market</stp>
        <stp>STOCK</stp>
        <stp>38540.T</stp>
        <stp>銘柄名称</stp>
        <tr r="C71" s="1"/>
      </tp>
      <tp t="s">
        <v>パワーエックス</v>
        <stp/>
        <stp>Market</stp>
        <stp>STOCK</stp>
        <stp>485A0.T</stp>
        <stp>銘柄名称</stp>
        <tr r="C221" s="1"/>
      </tp>
      <tp t="s">
        <v>キオクシアホールディングス</v>
        <stp/>
        <stp>Market</stp>
        <stp>STOCK</stp>
        <stp>285A0.T</stp>
        <stp>銘柄名称</stp>
        <tr r="C218" s="1"/>
      </tp>
    </main>
    <main first="rtdsrv.bed1b1f6e97c4c9f9ae958b1f8b490de">
      <tp>
        <v>0.49</v>
        <stp/>
        <stp>Market</stp>
        <stp>INDEX</stp>
        <stp>DJIA</stp>
        <stp>前日比率</stp>
        <tr r="C3" s="17"/>
      </tp>
      <tp>
        <v>1416</v>
        <stp/>
        <stp>Market</stp>
        <stp>STOCK</stp>
        <stp>74140.T</stp>
        <stp>現在値</stp>
        <tr r="C294" s="11"/>
      </tp>
      <tp>
        <v>896</v>
        <stp/>
        <stp>Market</stp>
        <stp>STOCK</stp>
        <stp>75320.T</stp>
        <stp>現在値</stp>
        <tr r="C305" s="11"/>
      </tp>
      <tp>
        <v>3100</v>
        <stp/>
        <stp>Market</stp>
        <stp>STOCK</stp>
        <stp>76850.T</stp>
        <stp>現在値</stp>
        <tr r="E148" s="5"/>
        <tr r="C121" s="11"/>
        <tr r="E69" s="4"/>
      </tp>
      <tp>
        <v>4215</v>
        <stp/>
        <stp>Market</stp>
        <stp>STOCK</stp>
        <stp>76090.T</stp>
        <stp>現在値</stp>
        <tr r="C240" s="11"/>
      </tp>
      <tp>
        <v>874</v>
        <stp/>
        <stp>Market</stp>
        <stp>STOCK</stp>
        <stp>77940.T</stp>
        <stp>現在値</stp>
        <tr r="E66" s="4"/>
        <tr r="C136" s="11"/>
        <tr r="E80" s="5"/>
      </tp>
      <tp>
        <v>17990</v>
        <stp/>
        <stp>Market</stp>
        <stp>STOCK</stp>
        <stp>77290.T</stp>
        <stp>現在値</stp>
        <tr r="E68" s="4"/>
        <tr r="C107" s="11"/>
        <tr r="E18" s="5"/>
      </tp>
      <tp>
        <v>13690</v>
        <stp/>
        <stp>Market</stp>
        <stp>STOCK</stp>
        <stp>77350.T</stp>
        <stp>現在値</stp>
        <tr r="C283" s="11"/>
      </tp>
      <tp>
        <v>4500</v>
        <stp/>
        <stp>Market</stp>
        <stp>STOCK</stp>
        <stp>77110.T</stp>
        <stp>現在値</stp>
        <tr r="H58" s="16"/>
        <tr r="C268" s="11"/>
        <tr r="H16" s="16"/>
      </tp>
      <tp>
        <v>728</v>
        <stp/>
        <stp>Market</stp>
        <stp>STOCK</stp>
        <stp>77460.T</stp>
        <stp>現在値</stp>
        <tr r="E67" s="4"/>
        <tr r="E144" s="5"/>
        <tr r="H8" s="16"/>
        <tr r="C93" s="11"/>
      </tp>
      <tp>
        <v>25475</v>
        <stp/>
        <stp>Market</stp>
        <stp>STOCK</stp>
        <stp>77410.T</stp>
        <stp>現在値</stp>
        <tr r="C302" s="11"/>
      </tp>
      <tp>
        <v>2089</v>
        <stp/>
        <stp>Market</stp>
        <stp>STOCK</stp>
        <stp>70210.T</stp>
        <stp>現在値</stp>
        <tr r="E76" s="5"/>
        <tr r="E76" s="4"/>
        <tr r="C106" s="11"/>
      </tp>
      <tp>
        <v>4360</v>
        <stp/>
        <stp>Market</stp>
        <stp>STOCK</stp>
        <stp>70140.T</stp>
        <stp>現在値</stp>
        <tr r="C256" s="11"/>
      </tp>
      <tp>
        <v>3998</v>
        <stp/>
        <stp>Market</stp>
        <stp>STOCK</stp>
        <stp>70110.T</stp>
        <stp>現在値</stp>
        <tr r="E77" s="4"/>
        <tr r="C207" s="11"/>
        <tr r="E197" s="5"/>
        <tr r="H50" s="16"/>
      </tp>
      <tp>
        <v>2638.5</v>
        <stp/>
        <stp>Market</stp>
        <stp>STOCK</stp>
        <stp>70130.T</stp>
        <stp>現在値</stp>
        <tr r="C231" s="11"/>
      </tp>
      <tp>
        <v>159</v>
        <stp/>
        <stp>Market</stp>
        <stp>STOCK</stp>
        <stp>70480.T</stp>
        <stp>現在値</stp>
        <tr r="C296" s="11"/>
      </tp>
      <tp>
        <v>1750.5</v>
        <stp/>
        <stp>Market</stp>
        <stp>STOCK</stp>
        <stp>71810.T</stp>
        <stp>現在値</stp>
        <tr r="E119" s="5"/>
        <tr r="C190" s="11"/>
        <tr r="E5" s="4"/>
      </tp>
      <tp>
        <v>3232</v>
        <stp/>
        <stp>Market</stp>
        <stp>STOCK</stp>
        <stp>71820.T</stp>
        <stp>現在値</stp>
        <tr r="C85" s="11"/>
        <tr r="E102" s="5"/>
        <tr r="E74" s="4"/>
      </tp>
      <tp>
        <v>1628</v>
        <stp/>
        <stp>Market</stp>
        <stp>STOCK</stp>
        <stp>71670.T</stp>
        <stp>現在値</stp>
        <tr r="E101" s="5"/>
        <tr r="E75" s="4"/>
        <tr r="C82" s="11"/>
      </tp>
      <tp>
        <v>1537</v>
        <stp/>
        <stp>Market</stp>
        <stp>STOCK</stp>
        <stp>72360.T</stp>
        <stp>現在値</stp>
        <tr r="E72" s="4"/>
        <tr r="C177" s="11"/>
        <tr r="E137" s="5"/>
      </tp>
      <tp>
        <v>2983.5</v>
        <stp/>
        <stp>Market</stp>
        <stp>STOCK</stp>
        <stp>72030.T</stp>
        <stp>現在値</stp>
        <tr r="E73" s="4"/>
        <tr r="E73" s="5"/>
        <tr r="C77" s="11"/>
      </tp>
      <tp>
        <v>2515</v>
        <stp/>
        <stp>Market</stp>
        <stp>STOCK</stp>
        <stp>72700.T</stp>
        <stp>現在値</stp>
        <tr r="C286" s="11"/>
      </tp>
      <tp>
        <v>1215</v>
        <stp/>
        <stp>Market</stp>
        <stp>STOCK</stp>
        <stp>73810.T</stp>
        <stp>現在値</stp>
        <tr r="E70" s="4"/>
        <tr r="E63" s="5"/>
        <tr r="C152" s="11"/>
      </tp>
      <tp>
        <v>1123</v>
        <stp/>
        <stp>Market</stp>
        <stp>STOCK</stp>
        <stp>73750.T</stp>
        <stp>現在値</stp>
        <tr r="H21" s="16"/>
        <tr r="C149" s="11"/>
        <tr r="E190" s="5"/>
        <tr r="E71" s="4"/>
      </tp>
      <tp>
        <v>7710</v>
        <stp/>
        <stp>Market</stp>
        <stp>STOCK</stp>
        <stp>78060.T</stp>
        <stp>現在値</stp>
        <tr r="E65" s="4"/>
        <tr r="E55" s="5"/>
        <tr r="C73" s="11"/>
      </tp>
      <tp>
        <v>1813.5</v>
        <stp/>
        <stp>Market</stp>
        <stp>STOCK</stp>
        <stp>78460.T</stp>
        <stp>現在値</stp>
        <tr r="E64" s="4"/>
        <tr r="E202" s="5"/>
        <tr r="C75" s="11"/>
      </tp>
      <tp>
        <v>3055</v>
        <stp/>
        <stp>Market</stp>
        <stp>STOCK</stp>
        <stp>79810.T</stp>
        <stp>現在値</stp>
        <tr r="E63" s="4"/>
        <tr r="H14" s="16"/>
        <tr r="C171" s="11"/>
        <tr r="H31" s="16"/>
        <tr r="H23" s="16"/>
        <tr r="E116" s="5"/>
      </tp>
      <tp>
        <v>2923</v>
        <stp/>
        <stp>Market</stp>
        <stp>STOCK</stp>
        <stp>79720.T</stp>
        <stp>現在値</stp>
        <tr r="C241" s="11"/>
      </tp>
      <tp>
        <v>3530</v>
        <stp/>
        <stp>Market</stp>
        <stp>STOCK</stp>
        <stp>79520.T</stp>
        <stp>現在値</stp>
        <tr r="C276" s="11"/>
        <tr r="H35" s="16"/>
      </tp>
      <tp t="s">
        <v>デクセリアルズ</v>
        <stp/>
        <stp>Market</stp>
        <stp>STOCK</stp>
        <stp>49800.T</stp>
        <stp>銘柄名称</stp>
        <tr r="C69" s="1"/>
        <tr r="D49" s="16"/>
      </tp>
      <tp t="s">
        <v>村田製作所</v>
        <stp/>
        <stp>Market</stp>
        <stp>STOCK</stp>
        <stp>69810.T</stp>
        <stp>銘柄名称</stp>
        <tr r="C154" s="1"/>
      </tp>
      <tp t="s">
        <v>タカラスタンダ－ド</v>
        <stp/>
        <stp>Market</stp>
        <stp>STOCK</stp>
        <stp>79810.T</stp>
        <stp>銘柄名称</stp>
        <tr r="D14" s="16"/>
        <tr r="D31" s="16"/>
        <tr r="C171" s="1"/>
        <tr r="D23" s="16"/>
      </tp>
      <tp t="s">
        <v>ユーザーローカル</v>
        <stp/>
        <stp>Market</stp>
        <stp>STOCK</stp>
        <stp>39840.T</stp>
        <stp>銘柄名称</stp>
        <tr r="C239" s="1"/>
      </tp>
      <tp t="s">
        <v>ソフトバンクグループ</v>
        <stp/>
        <stp>Market</stp>
        <stp>STOCK</stp>
        <stp>99840.T</stp>
        <stp>銘柄名称</stp>
        <tr r="C65" s="1"/>
        <tr r="D13" s="16"/>
      </tp>
      <tp t="s">
        <v>日本ケミコン</v>
        <stp/>
        <stp>Market</stp>
        <stp>STOCK</stp>
        <stp>69970.T</stp>
        <stp>銘柄名称</stp>
        <tr r="C272" s="1"/>
      </tp>
      <tp t="s">
        <v>レーザーテック</v>
        <stp/>
        <stp>Market</stp>
        <stp>STOCK</stp>
        <stp>69200.T</stp>
        <stp>銘柄名称</stp>
        <tr r="C199" s="1"/>
      </tp>
      <tp t="s">
        <v>ウシオ電機</v>
        <stp/>
        <stp>Market</stp>
        <stp>STOCK</stp>
        <stp>69250.T</stp>
        <stp>銘柄名称</stp>
        <tr r="C105" s="1"/>
      </tp>
      <tp t="s">
        <v>大和ハウス</v>
        <stp/>
        <stp>Market</stp>
        <stp>STOCK</stp>
        <stp>19250.T</stp>
        <stp>銘柄名称</stp>
        <tr r="C83" s="1"/>
      </tp>
      <tp t="s">
        <v>エノモト</v>
        <stp/>
        <stp>Market</stp>
        <stp>STOCK</stp>
        <stp>69280.T</stp>
        <stp>銘柄名称</stp>
        <tr r="C246" s="1"/>
        <tr r="D33" s="16"/>
      </tp>
      <tp t="s">
        <v>三和ホールディングス</v>
        <stp/>
        <stp>Market</stp>
        <stp>STOCK</stp>
        <stp>59290.T</stp>
        <stp>銘柄名称</stp>
        <tr r="C49" s="1"/>
      </tp>
      <tp t="s">
        <v>紀文食品</v>
        <stp/>
        <stp>Market</stp>
        <stp>STOCK</stp>
        <stp>29330.T</stp>
        <stp>銘柄名称</stp>
        <tr r="C288" s="1"/>
      </tp>
      <tp t="s">
        <v>北陸電気工事</v>
        <stp/>
        <stp>Market</stp>
        <stp>STOCK</stp>
        <stp>19300.T</stp>
        <stp>銘柄名称</stp>
        <tr r="C163" s="1"/>
      </tp>
      <tp t="s">
        <v>グローバルウェイ</v>
        <stp/>
        <stp>Market</stp>
        <stp>STOCK</stp>
        <stp>39360.T</stp>
        <stp>銘柄名称</stp>
        <tr r="C245" s="1"/>
      </tp>
      <tp t="s">
        <v>サンフロンティア不動産</v>
        <stp/>
        <stp>Market</stp>
        <stp>STOCK</stp>
        <stp>89340.T</stp>
        <stp>銘柄名称</stp>
        <tr r="C125" s="1"/>
      </tp>
      <tp t="s">
        <v>ＬＩＸＩＬ</v>
        <stp/>
        <stp>Market</stp>
        <stp>STOCK</stp>
        <stp>59380.T</stp>
        <stp>銘柄名称</stp>
        <tr r="C36" s="1"/>
      </tp>
      <tp t="s">
        <v>日本リーテック</v>
        <stp/>
        <stp>Market</stp>
        <stp>STOCK</stp>
        <stp>19380.T</stp>
        <stp>銘柄名称</stp>
        <tr r="C176" s="1"/>
      </tp>
      <tp t="s">
        <v>デンソー</v>
        <stp/>
        <stp>Market</stp>
        <stp>STOCK</stp>
        <stp>69020.T</stp>
        <stp>銘柄名称</stp>
        <tr r="C244" s="1"/>
      </tp>
      <tp t="s">
        <v>東洋製罐グループＨＤ</v>
        <stp/>
        <stp>Market</stp>
        <stp>STOCK</stp>
        <stp>59010.T</stp>
        <stp>銘柄名称</stp>
        <tr r="C55" s="1"/>
      </tp>
      <tp t="s">
        <v>データセクション</v>
        <stp/>
        <stp>Market</stp>
        <stp>STOCK</stp>
        <stp>39050.T</stp>
        <stp>銘柄名称</stp>
        <tr r="C284" s="1"/>
      </tp>
      <tp t="s">
        <v>日本たばこ産業</v>
        <stp/>
        <stp>Market</stp>
        <stp>STOCK</stp>
        <stp>29140.T</stp>
        <stp>銘柄名称</stp>
        <tr r="C87" s="1"/>
        <tr r="D38" s="16"/>
      </tp>
      <tp t="s">
        <v>アバールデータ</v>
        <stp/>
        <stp>Market</stp>
        <stp>STOCK</stp>
        <stp>69180.T</stp>
        <stp>銘柄名称</stp>
        <tr r="C279" s="1"/>
      </tp>
      <tp t="s">
        <v>ミスミグループ本社</v>
        <stp/>
        <stp>Market</stp>
        <stp>STOCK</stp>
        <stp>99620.T</stp>
        <stp>銘柄名称</stp>
        <tr r="C233" s="1"/>
      </tp>
      <tp t="s">
        <v>日揮ホールディングス</v>
        <stp/>
        <stp>Market</stp>
        <stp>STOCK</stp>
        <stp>19630.T</stp>
        <stp>銘柄名称</stp>
        <tr r="C86" s="1"/>
      </tp>
      <tp t="s">
        <v>三機工業</v>
        <stp/>
        <stp>Market</stp>
        <stp>STOCK</stp>
        <stp>19610.T</stp>
        <stp>銘柄名称</stp>
        <tr r="C59" s="1"/>
      </tp>
      <tp t="s">
        <v>上村工業</v>
        <stp/>
        <stp>Market</stp>
        <stp>STOCK</stp>
        <stp>49660.T</stp>
        <stp>銘柄名称</stp>
        <tr r="C196" s="1"/>
      </tp>
      <tp t="s">
        <v>浜松ホトニクス</v>
        <stp/>
        <stp>Market</stp>
        <stp>STOCK</stp>
        <stp>69650.T</stp>
        <stp>銘柄名称</stp>
        <tr r="C300" s="1"/>
      </tp>
      <tp t="s">
        <v>イトーキ</v>
        <stp/>
        <stp>Market</stp>
        <stp>STOCK</stp>
        <stp>79720.T</stp>
        <stp>銘柄名称</stp>
        <tr r="C241" s="1"/>
      </tp>
      <tp t="s">
        <v>関電工</v>
        <stp/>
        <stp>Market</stp>
        <stp>STOCK</stp>
        <stp>19420.T</stp>
        <stp>銘柄名称</stp>
        <tr r="C175" s="1"/>
        <tr r="D39" s="16"/>
      </tp>
      <tp t="s">
        <v>レンゴー</v>
        <stp/>
        <stp>Market</stp>
        <stp>STOCK</stp>
        <stp>39410.T</stp>
        <stp>銘柄名称</stp>
        <tr r="C48" s="1"/>
      </tp>
      <tp t="s">
        <v>リンナイ</v>
        <stp/>
        <stp>Market</stp>
        <stp>STOCK</stp>
        <stp>59470.T</stp>
        <stp>銘柄名称</stp>
        <tr r="C42" s="1"/>
      </tp>
      <tp t="s">
        <v>きんでん</v>
        <stp/>
        <stp>Market</stp>
        <stp>STOCK</stp>
        <stp>19440.T</stp>
        <stp>銘柄名称</stp>
        <tr r="C304" s="1"/>
      </tp>
      <tp t="s">
        <v>河合楽器</v>
        <stp/>
        <stp>Market</stp>
        <stp>STOCK</stp>
        <stp>79520.T</stp>
        <stp>銘柄名称</stp>
        <tr r="C276" s="1"/>
        <tr r="D35" s="16"/>
      </tp>
      <tp t="s">
        <v>ファナック</v>
        <stp/>
        <stp>Market</stp>
        <stp>STOCK</stp>
        <stp>69540.T</stp>
        <stp>銘柄名称</stp>
        <tr r="C78" s="1"/>
        <tr r="D46" s="16"/>
      </tp>
      <tp t="s">
        <v>ＦＤＫ</v>
        <stp/>
        <stp>Market</stp>
        <stp>STOCK</stp>
        <stp>69550.T</stp>
        <stp>銘柄名称</stp>
        <tr r="C265" s="1"/>
        <tr r="D17" s="16"/>
      </tp>
      <tp>
        <v>551</v>
        <stp/>
        <stp>Market</stp>
        <stp>STOCK</stp>
        <stp>44220.T</stp>
        <stp>現在値</stp>
        <tr r="E162" s="4"/>
        <tr r="E188" s="5"/>
        <tr r="C139" s="11"/>
      </tp>
      <tp>
        <v>4600</v>
        <stp/>
        <stp>Market</stp>
        <stp>STOCK</stp>
        <stp>44170.T</stp>
        <stp>現在値</stp>
        <tr r="E163" s="4"/>
        <tr r="C153" s="11"/>
        <tr r="E112" s="5"/>
      </tp>
      <tp>
        <v>4691</v>
        <stp/>
        <stp>Market</stp>
        <stp>STOCK</stp>
        <stp>45230.T</stp>
        <stp>現在値</stp>
        <tr r="H27" s="16"/>
        <tr r="E160" s="4"/>
        <tr r="C99" s="11"/>
        <tr r="E184" s="5"/>
      </tp>
      <tp>
        <v>2338</v>
        <stp/>
        <stp>Market</stp>
        <stp>STOCK</stp>
        <stp>45280.T</stp>
        <stp>現在値</stp>
        <tr r="E17" s="5"/>
        <tr r="E159" s="4"/>
        <tr r="C100" s="11"/>
      </tp>
      <tp>
        <v>1876</v>
        <stp/>
        <stp>Market</stp>
        <stp>STOCK</stp>
        <stp>45360.T</stp>
        <stp>現在値</stp>
        <tr r="E125" s="5"/>
        <tr r="E158" s="4"/>
        <tr r="C67" s="11"/>
      </tp>
      <tp>
        <v>5425</v>
        <stp/>
        <stp>Market</stp>
        <stp>STOCK</stp>
        <stp>45020.T</stp>
        <stp>現在値</stp>
        <tr r="C212" s="11"/>
      </tp>
      <tp>
        <v>6764</v>
        <stp/>
        <stp>Market</stp>
        <stp>STOCK</stp>
        <stp>45190.T</stp>
        <stp>現在値</stp>
        <tr r="E161" s="4"/>
        <tr r="C130" s="11"/>
        <tr r="E205" s="5"/>
      </tp>
      <tp>
        <v>2660</v>
        <stp/>
        <stp>Market</stp>
        <stp>STOCK</stp>
        <stp>45680.T</stp>
        <stp>現在値</stp>
        <tr r="C142" s="11"/>
        <tr r="E110" s="5"/>
        <tr r="E7" s="4"/>
      </tp>
      <tp>
        <v>3380</v>
        <stp/>
        <stp>Market</stp>
        <stp>STOCK</stp>
        <stp>45440.T</stp>
        <stp>現在値</stp>
        <tr r="C273" s="11"/>
      </tp>
      <tp>
        <v>3763</v>
        <stp/>
        <stp>Market</stp>
        <stp>STOCK</stp>
        <stp>45400.T</stp>
        <stp>現在値</stp>
        <tr r="C64" s="11"/>
        <tr r="E124" s="5"/>
        <tr r="H15" s="16"/>
        <tr r="E157" s="4"/>
      </tp>
      <tp>
        <v>2954</v>
        <stp/>
        <stp>Market</stp>
        <stp>STOCK</stp>
        <stp>46610.T</stp>
        <stp>現在値</stp>
        <tr r="E156" s="4"/>
        <tr r="C101" s="11"/>
        <tr r="E103" s="5"/>
        <tr r="H41" s="16"/>
      </tp>
      <tp>
        <v>4051</v>
        <stp/>
        <stp>Market</stp>
        <stp>STOCK</stp>
        <stp>46760.T</stp>
        <stp>現在値</stp>
        <tr r="E177" s="5"/>
        <tr r="C58" s="11"/>
        <tr r="E155" s="4"/>
      </tp>
      <tp>
        <v>1646</v>
        <stp/>
        <stp>Market</stp>
        <stp>STOCK</stp>
        <stp>464A0.T</stp>
        <stp>現在値</stp>
        <tr r="C220" s="11"/>
      </tp>
      <tp>
        <v>7899</v>
        <stp/>
        <stp>Market</stp>
        <stp>STOCK</stp>
        <stp>47330.T</stp>
        <stp>現在値</stp>
        <tr r="E153" s="4"/>
        <tr r="C165" s="11"/>
        <tr r="E133" s="5"/>
      </tp>
      <tp>
        <v>6720</v>
        <stp/>
        <stp>Market</stp>
        <stp>STOCK</stp>
        <stp>47040.T</stp>
        <stp>現在値</stp>
        <tr r="C254" s="11"/>
      </tp>
      <tp>
        <v>1018</v>
        <stp/>
        <stp>Market</stp>
        <stp>STOCK</stp>
        <stp>47090.T</stp>
        <stp>現在値</stp>
        <tr r="E115" s="5"/>
        <tr r="E154" s="4"/>
        <tr r="C170" s="11"/>
      </tp>
      <tp>
        <v>2699</v>
        <stp/>
        <stp>Market</stp>
        <stp>STOCK</stp>
        <stp>47760.T</stp>
        <stp>現在値</stp>
        <tr r="C253" s="11"/>
      </tp>
      <tp>
        <v>1921</v>
        <stp/>
        <stp>Market</stp>
        <stp>STOCK</stp>
        <stp>40820.T</stp>
        <stp>現在値</stp>
        <tr r="E171" s="4"/>
        <tr r="C129" s="11"/>
        <tr r="E9" s="5"/>
        <tr r="H28" s="16"/>
      </tp>
      <tp>
        <v>2614</v>
        <stp/>
        <stp>Market</stp>
        <stp>STOCK</stp>
        <stp>40880.T</stp>
        <stp>現在値</stp>
        <tr r="E132" s="5"/>
        <tr r="E170" s="4"/>
        <tr r="C156" s="11"/>
      </tp>
      <tp>
        <v>6034</v>
        <stp/>
        <stp>Market</stp>
        <stp>STOCK</stp>
        <stp>40910.T</stp>
        <stp>現在値</stp>
        <tr r="E169" s="4"/>
        <tr r="C157" s="11"/>
        <tr r="E152" s="5"/>
      </tp>
      <tp>
        <v>15155</v>
        <stp/>
        <stp>Market</stp>
        <stp>STOCK</stp>
        <stp>40040.T</stp>
        <stp>現在値</stp>
        <tr r="C213" s="11"/>
      </tp>
      <tp>
        <v>1446</v>
        <stp/>
        <stp>Market</stp>
        <stp>STOCK</stp>
        <stp>40080.T</stp>
        <stp>現在値</stp>
        <tr r="H53" s="16"/>
        <tr r="E175" s="4"/>
        <tr r="C95" s="11"/>
        <tr r="E127" s="5"/>
      </tp>
      <tp>
        <v>19010</v>
        <stp/>
        <stp>Market</stp>
        <stp>STOCK</stp>
        <stp>40620.T</stp>
        <stp>現在値</stp>
        <tr r="E173" s="4"/>
        <tr r="C96" s="11"/>
        <tr r="E56" s="5"/>
      </tp>
      <tp>
        <v>6167</v>
        <stp/>
        <stp>Market</stp>
        <stp>STOCK</stp>
        <stp>40630.T</stp>
        <stp>現在値</stp>
        <tr r="E172" s="4"/>
        <tr r="C66" s="11"/>
        <tr r="E14" s="5"/>
        <tr r="H25" s="16"/>
      </tp>
      <tp>
        <v>1848</v>
        <stp/>
        <stp>Market</stp>
        <stp>STOCK</stp>
        <stp>40450.T</stp>
        <stp>現在値</stp>
        <tr r="E174" s="4"/>
        <tr r="E178" s="5"/>
        <tr r="C61" s="11"/>
      </tp>
      <tp>
        <v>2877</v>
        <stp/>
        <stp>Market</stp>
        <stp>STOCK</stp>
        <stp>40470.T</stp>
        <stp>現在値</stp>
        <tr r="C289" s="11"/>
      </tp>
      <tp>
        <v>4498</v>
        <stp/>
        <stp>Market</stp>
        <stp>STOCK</stp>
        <stp>41820.T</stp>
        <stp>現在値</stp>
        <tr r="E75" s="5"/>
        <tr r="C97" s="11"/>
        <tr r="E168" s="4"/>
      </tp>
      <tp>
        <v>1184.5</v>
        <stp/>
        <stp>Market</stp>
        <stp>STOCK</stp>
        <stp>41880.T</stp>
        <stp>現在値</stp>
        <tr r="E145" s="5"/>
        <tr r="C98" s="11"/>
        <tr r="E167" s="4"/>
        <tr r="H5" s="16"/>
        <tr r="H37" s="16"/>
      </tp>
      <tp>
        <v>609</v>
        <stp/>
        <stp>Market</stp>
        <stp>STOCK</stp>
        <stp>42220.T</stp>
        <stp>現在値</stp>
        <tr r="C229" s="11"/>
      </tp>
      <tp>
        <v>3280</v>
        <stp/>
        <stp>Market</stp>
        <stp>STOCK</stp>
        <stp>42080.T</stp>
        <stp>現在値</stp>
        <tr r="C298" s="11"/>
      </tp>
      <tp>
        <v>1962</v>
        <stp/>
        <stp>Market</stp>
        <stp>STOCK</stp>
        <stp>42180.T</stp>
        <stp>現在値</stp>
        <tr r="C282" s="11"/>
      </tp>
      <tp>
        <v>724</v>
        <stp/>
        <stp>Market</stp>
        <stp>STOCK</stp>
        <stp>43820.T</stp>
        <stp>現在値</stp>
        <tr r="E192" s="5"/>
        <tr r="C173" s="11"/>
        <tr r="E164" s="4"/>
      </tp>
      <tp>
        <v>934</v>
        <stp/>
        <stp>Market</stp>
        <stp>STOCK</stp>
        <stp>43920.T</stp>
        <stp>現在値</stp>
        <tr r="C235" s="11"/>
      </tp>
      <tp>
        <v>4738</v>
        <stp/>
        <stp>Market</stp>
        <stp>STOCK</stp>
        <stp>43070.T</stp>
        <stp>現在値</stp>
        <tr r="E151" s="5"/>
        <tr r="E166" s="4"/>
        <tr r="C150" s="11"/>
        <tr r="H18" s="16"/>
      </tp>
      <tp>
        <v>1083</v>
        <stp/>
        <stp>Market</stp>
        <stp>STOCK</stp>
        <stp>43730.T</stp>
        <stp>現在値</stp>
        <tr r="E82" s="5"/>
        <tr r="C160" s="11"/>
        <tr r="E165" s="4"/>
      </tp>
      <tp>
        <v>1624</v>
        <stp/>
        <stp>Market</stp>
        <stp>STOCK</stp>
        <stp>48870.T</stp>
        <stp>現在値</stp>
        <tr r="E195" s="5"/>
        <tr r="E152" s="4"/>
        <tr r="C192" s="11"/>
      </tp>
      <tp>
        <v>313</v>
        <stp/>
        <stp>Market</stp>
        <stp>STOCK</stp>
        <stp>48880.T</stp>
        <stp>現在値</stp>
        <tr r="C146" s="11"/>
        <tr r="E131" s="5"/>
        <tr r="E151" s="4"/>
      </tp>
      <tp>
        <v>1855</v>
        <stp/>
        <stp>Market</stp>
        <stp>STOCK</stp>
        <stp>485A0.T</stp>
        <stp>現在値</stp>
        <tr r="C221" s="11"/>
      </tp>
      <tp>
        <v>3096</v>
        <stp/>
        <stp>Market</stp>
        <stp>STOCK</stp>
        <stp>49800.T</stp>
        <stp>現在値</stp>
        <tr r="E72" s="5"/>
        <tr r="E149" s="4"/>
        <tr r="C69" s="11"/>
        <tr r="H49" s="16"/>
      </tp>
      <tp>
        <v>24320</v>
        <stp/>
        <stp>Market</stp>
        <stp>STOCK</stp>
        <stp>49660.T</stp>
        <stp>現在値</stp>
        <tr r="E34" s="5"/>
        <tr r="E150" s="4"/>
        <tr r="C196" s="11"/>
      </tp>
    </main>
    <main first="rtdsrv.bed1b1f6e97c4c9f9ae958b1f8b490de">
      <tp>
        <v>1752</v>
        <stp/>
        <stp>Market</stp>
        <stp>STOCK</stp>
        <stp>54230.T</stp>
        <stp>現在値</stp>
        <tr r="E165" s="5"/>
        <tr r="E136" s="4"/>
        <tr r="C7" s="11"/>
      </tp>
      <tp>
        <v>2016.5</v>
        <stp/>
        <stp>Market</stp>
        <stp>STOCK</stp>
        <stp>54060.T</stp>
        <stp>現在値</stp>
        <tr r="E139" s="4"/>
        <tr r="E95" s="5"/>
        <tr r="C38" s="11"/>
      </tp>
      <tp>
        <v>683.5</v>
        <stp/>
        <stp>Market</stp>
        <stp>STOCK</stp>
        <stp>54010.T</stp>
        <stp>現在値</stp>
        <tr r="E140" s="4"/>
        <tr r="E173" s="5"/>
        <tr r="C46" s="11"/>
      </tp>
      <tp>
        <v>2869</v>
        <stp/>
        <stp>Market</stp>
        <stp>STOCK</stp>
        <stp>54100.T</stp>
        <stp>現在値</stp>
        <tr r="E118" s="5"/>
        <tr r="E138" s="4"/>
        <tr r="C179" s="11"/>
      </tp>
      <tp>
        <v>1858.5</v>
        <stp/>
        <stp>Market</stp>
        <stp>STOCK</stp>
        <stp>54110.T</stp>
        <stp>現在値</stp>
        <tr r="E7" s="5"/>
        <tr r="E137" s="4"/>
        <tr r="C84" s="11"/>
      </tp>
      <tp>
        <v>1893</v>
        <stp/>
        <stp>Market</stp>
        <stp>STOCK</stp>
        <stp>54400.T</stp>
        <stp>現在値</stp>
        <tr r="E156" s="5"/>
        <tr r="C180" s="11"/>
        <tr r="E135" s="4"/>
      </tp>
      <tp>
        <v>2777</v>
        <stp/>
        <stp>Market</stp>
        <stp>STOCK</stp>
        <stp>54490.T</stp>
        <stp>現在値</stp>
        <tr r="C51" s="11"/>
        <tr r="E134" s="4"/>
        <tr r="E97" s="5"/>
      </tp>
      <tp>
        <v>2538</v>
        <stp/>
        <stp>Market</stp>
        <stp>STOCK</stp>
        <stp>55410.T</stp>
        <stp>現在値</stp>
        <tr r="E133" s="4"/>
        <tr r="C20" s="11"/>
        <tr r="E90" s="5"/>
      </tp>
      <tp>
        <v>7738</v>
        <stp/>
        <stp>Market</stp>
        <stp>STOCK</stp>
        <stp>56310.T</stp>
        <stp>現在値</stp>
        <tr r="C263" s="11"/>
      </tp>
      <tp>
        <v>2307</v>
        <stp/>
        <stp>Market</stp>
        <stp>STOCK</stp>
        <stp>56320.T</stp>
        <stp>現在値</stp>
        <tr r="C247" s="11"/>
      </tp>
      <tp>
        <v>31970</v>
        <stp/>
        <stp>Market</stp>
        <stp>STOCK</stp>
        <stp>57060.T</stp>
        <stp>現在値</stp>
        <tr r="E131" s="4"/>
        <tr r="E11" s="5"/>
        <tr r="C6" s="11"/>
      </tp>
      <tp>
        <v>1808</v>
        <stp/>
        <stp>Market</stp>
        <stp>STOCK</stp>
        <stp>57020.T</stp>
        <stp>現在値</stp>
        <tr r="C275" s="11"/>
      </tp>
      <tp>
        <v>2936</v>
        <stp/>
        <stp>Market</stp>
        <stp>STOCK</stp>
        <stp>57030.T</stp>
        <stp>現在値</stp>
        <tr r="E132" s="4"/>
        <tr r="E48" s="5"/>
        <tr r="C13" s="11"/>
      </tp>
      <tp>
        <v>8907</v>
        <stp/>
        <stp>Market</stp>
        <stp>STOCK</stp>
        <stp>57140.T</stp>
        <stp>現在値</stp>
        <tr r="E128" s="4"/>
        <tr r="E47" s="5"/>
        <tr r="C10" s="11"/>
      </tp>
      <tp>
        <v>4457</v>
        <stp/>
        <stp>Market</stp>
        <stp>STOCK</stp>
        <stp>57110.T</stp>
        <stp>現在値</stp>
        <tr r="E130" s="4"/>
        <tr r="C9" s="11"/>
        <tr r="E87" s="5"/>
      </tp>
      <tp>
        <v>9088</v>
        <stp/>
        <stp>Market</stp>
        <stp>STOCK</stp>
        <stp>57130.T</stp>
        <stp>現在値</stp>
        <tr r="E46" s="5"/>
        <tr r="E129" s="4"/>
        <tr r="C8" s="11"/>
        <tr r="H42" s="16"/>
      </tp>
      <tp>
        <v>1300</v>
        <stp/>
        <stp>Market</stp>
        <stp>STOCK</stp>
        <stp>50200.T</stp>
        <stp>現在値</stp>
        <tr r="C29" s="11"/>
        <tr r="E141" s="5"/>
        <tr r="E147" s="4"/>
      </tp>
      <tp>
        <v>3811</v>
        <stp/>
        <stp>Market</stp>
        <stp>STOCK</stp>
        <stp>50210.T</stp>
        <stp>現在値</stp>
        <tr r="E88" s="5"/>
        <tr r="C15" s="11"/>
        <tr r="E146" s="4"/>
      </tp>
      <tp>
        <v>1258.5</v>
        <stp/>
        <stp>Market</stp>
        <stp>STOCK</stp>
        <stp>50190.T</stp>
        <stp>現在値</stp>
        <tr r="C24" s="11"/>
        <tr r="E140" s="5"/>
        <tr r="E148" s="4"/>
      </tp>
      <tp>
        <v>4333</v>
        <stp/>
        <stp>Market</stp>
        <stp>STOCK</stp>
        <stp>52330.T</stp>
        <stp>現在値</stp>
        <tr r="H54" s="16"/>
        <tr r="E144" s="4"/>
        <tr r="C34" s="11"/>
        <tr r="E170" s="5"/>
      </tp>
      <tp>
        <v>5786</v>
        <stp/>
        <stp>Market</stp>
        <stp>STOCK</stp>
        <stp>52010.T</stp>
        <stp>現在値</stp>
        <tr r="E145" s="4"/>
        <tr r="C53" s="11"/>
        <tr r="E175" s="5"/>
        <tr r="H51" s="16"/>
      </tp>
      <tp>
        <v>2314</v>
        <stp/>
        <stp>Market</stp>
        <stp>STOCK</stp>
        <stp>52430.T</stp>
        <stp>現在値</stp>
        <tr r="E143" s="4"/>
        <tr r="E138" s="5"/>
        <tr r="C193" s="11"/>
      </tp>
      <tp>
        <v>1577</v>
        <stp/>
        <stp>Market</stp>
        <stp>STOCK</stp>
        <stp>52530.T</stp>
        <stp>現在値</stp>
        <tr r="C258" s="11"/>
      </tp>
      <tp>
        <v>6528</v>
        <stp/>
        <stp>Market</stp>
        <stp>STOCK</stp>
        <stp>53320.T</stp>
        <stp>現在値</stp>
        <tr r="E142" s="4"/>
        <tr r="C21" s="11"/>
        <tr r="E12" s="5"/>
      </tp>
      <tp>
        <v>5772</v>
        <stp/>
        <stp>Market</stp>
        <stp>STOCK</stp>
        <stp>53330.T</stp>
        <stp>現在値</stp>
        <tr r="E141" s="4"/>
        <tr r="E37" s="5"/>
        <tr r="C17" s="11"/>
      </tp>
      <tp>
        <v>2226</v>
        <stp/>
        <stp>Market</stp>
        <stp>STOCK</stp>
        <stp>58920.T</stp>
        <stp>現在値</stp>
        <tr r="E121" s="4"/>
        <tr r="C89" s="11"/>
        <tr r="E74" s="5"/>
      </tp>
      <tp>
        <v>5520</v>
        <stp/>
        <stp>Market</stp>
        <stp>STOCK</stp>
        <stp>58380.T</stp>
        <stp>現在値</stp>
        <tr r="E147" s="5"/>
        <tr r="C117" s="11"/>
        <tr r="E124" s="4"/>
      </tp>
      <tp>
        <v>3909</v>
        <stp/>
        <stp>Market</stp>
        <stp>STOCK</stp>
        <stp>58010.T</stp>
        <stp>現在値</stp>
        <tr r="E127" s="4"/>
        <tr r="C200" s="11"/>
        <tr r="E45" s="5"/>
      </tp>
      <tp>
        <v>2158.5</v>
        <stp/>
        <stp>Market</stp>
        <stp>STOCK</stp>
        <stp>58020.T</stp>
        <stp>現在値</stp>
        <tr r="C102" s="11"/>
        <tr r="E57" s="5"/>
        <tr r="E126" s="4"/>
      </tp>
      <tp>
        <v>4596</v>
        <stp/>
        <stp>Market</stp>
        <stp>STOCK</stp>
        <stp>58030.T</stp>
        <stp>現在値</stp>
        <tr r="E58" s="5"/>
        <tr r="E125" s="4"/>
        <tr r="C103" s="11"/>
      </tp>
      <tp>
        <v>4630</v>
        <stp/>
        <stp>Market</stp>
        <stp>STOCK</stp>
        <stp>58440.T</stp>
        <stp>現在値</stp>
        <tr r="E123" s="4"/>
        <tr r="C118" s="11"/>
        <tr r="E61" s="5"/>
      </tp>
      <tp>
        <v>3460</v>
        <stp/>
        <stp>Market</stp>
        <stp>STOCK</stp>
        <stp>58570.T</stp>
        <stp>現在値</stp>
        <tr r="E122" s="4"/>
        <tr r="C62" s="11"/>
        <tr r="E52" s="5"/>
      </tp>
      <tp>
        <v>3635</v>
        <stp/>
        <stp>Market</stp>
        <stp>STOCK</stp>
        <stp>59290.T</stp>
        <stp>現在値</stp>
        <tr r="E119" s="4"/>
        <tr r="E69" s="5"/>
        <tr r="C49" s="11"/>
      </tp>
      <tp>
        <v>1782.5</v>
        <stp/>
        <stp>Market</stp>
        <stp>STOCK</stp>
        <stp>59380.T</stp>
        <stp>現在値</stp>
        <tr r="C36" s="11"/>
        <tr r="E93" s="5"/>
        <tr r="E118" s="4"/>
      </tp>
      <tp>
        <v>4250</v>
        <stp/>
        <stp>Market</stp>
        <stp>STOCK</stp>
        <stp>59010.T</stp>
        <stp>現在値</stp>
        <tr r="E71" s="5"/>
        <tr r="C55" s="11"/>
        <tr r="E120" s="4"/>
      </tp>
      <tp>
        <v>3596</v>
        <stp/>
        <stp>Market</stp>
        <stp>STOCK</stp>
        <stp>59470.T</stp>
        <stp>現在値</stp>
        <tr r="E117" s="4"/>
        <tr r="E96" s="5"/>
        <tr r="C42" s="11"/>
      </tp>
    </main>
    <main first="rtdsrv.bed1b1f6e97c4c9f9ae958b1f8b490de">
      <tp t="s">
        <v>ＹＵＳＨＩＮ</v>
        <stp/>
        <stp>Market</stp>
        <stp>STOCK</stp>
        <stp>64820.T</stp>
        <stp>銘柄名称</stp>
        <tr r="C290" s="1"/>
      </tp>
      <tp t="s">
        <v>前澤給装工業</v>
        <stp/>
        <stp>Market</stp>
        <stp>STOCK</stp>
        <stp>64850.T</stp>
        <stp>銘柄名称</stp>
        <tr r="C191" s="1"/>
      </tp>
      <tp t="s">
        <v>ヨシタケ</v>
        <stp/>
        <stp>Market</stp>
        <stp>STOCK</stp>
        <stp>64880.T</stp>
        <stp>銘柄名称</stp>
        <tr r="C280" s="1"/>
        <tr r="D34" s="16"/>
      </tp>
      <tp t="s">
        <v>ＶＡＬＵＥＮＥＸ</v>
        <stp/>
        <stp>Market</stp>
        <stp>STOCK</stp>
        <stp>44220.T</stp>
        <stp>銘柄名称</stp>
        <tr r="C139" s="1"/>
      </tp>
      <tp t="s">
        <v>東京製鐵</v>
        <stp/>
        <stp>Market</stp>
        <stp>STOCK</stp>
        <stp>54230.T</stp>
        <stp>銘柄名称</stp>
        <tr r="C7" s="1"/>
      </tp>
      <tp t="s">
        <v>芙蓉総合リース</v>
        <stp/>
        <stp>Market</stp>
        <stp>STOCK</stp>
        <stp>84240.T</stp>
        <stp>銘柄名称</stp>
        <tr r="C108" s="1"/>
        <tr r="D19" s="16"/>
      </tp>
      <tp t="s">
        <v>日本通信</v>
        <stp/>
        <stp>Market</stp>
        <stp>STOCK</stp>
        <stp>94240.T</stp>
        <stp>銘柄名称</stp>
        <tr r="C70" s="1"/>
      </tp>
      <tp t="s">
        <v>アマノ</v>
        <stp/>
        <stp>Market</stp>
        <stp>STOCK</stp>
        <stp>64360.T</stp>
        <stp>銘柄名称</stp>
        <tr r="D10" s="16"/>
        <tr r="C178" s="1"/>
        <tr r="D44" s="16"/>
      </tp>
      <tp t="s">
        <v>ＳＵＭＣＯ</v>
        <stp/>
        <stp>Market</stp>
        <stp>STOCK</stp>
        <stp>34360.T</stp>
        <stp>銘柄名称</stp>
        <tr r="D55" s="16"/>
        <tr r="C28" s="1"/>
      </tp>
      <tp t="s">
        <v>東レ</v>
        <stp/>
        <stp>Market</stp>
        <stp>STOCK</stp>
        <stp>34020.T</stp>
        <stp>銘柄名称</stp>
        <tr r="D57" s="16"/>
        <tr r="C44" s="1"/>
      </tp>
      <tp t="s">
        <v>日本製鉄</v>
        <stp/>
        <stp>Market</stp>
        <stp>STOCK</stp>
        <stp>54010.T</stp>
        <stp>銘柄名称</stp>
        <tr r="C46" s="1"/>
      </tp>
      <tp t="s">
        <v>帝人</v>
        <stp/>
        <stp>Market</stp>
        <stp>STOCK</stp>
        <stp>34010.T</stp>
        <stp>銘柄名称</stp>
        <tr r="C1" s="13"/>
        <tr r="C27" s="1"/>
      </tp>
      <tp t="s">
        <v>神戸製鋼所</v>
        <stp/>
        <stp>Market</stp>
        <stp>STOCK</stp>
        <stp>54060.T</stp>
        <stp>銘柄名称</stp>
        <tr r="C38" s="1"/>
      </tp>
      <tp t="s">
        <v>ＣＫＤ</v>
        <stp/>
        <stp>Market</stp>
        <stp>STOCK</stp>
        <stp>64070.T</stp>
        <stp>銘柄名称</stp>
        <tr r="C295" s="1"/>
      </tp>
      <tp t="s">
        <v>ウエストホールディングス</v>
        <stp/>
        <stp>Market</stp>
        <stp>STOCK</stp>
        <stp>14070.T</stp>
        <stp>銘柄名称</stp>
        <tr r="C217" s="1"/>
      </tp>
      <tp t="s">
        <v>旭化成</v>
        <stp/>
        <stp>Market</stp>
        <stp>STOCK</stp>
        <stp>34070.T</stp>
        <stp>銘柄名称</stp>
        <tr r="C94" s="1"/>
      </tp>
      <tp t="s">
        <v>日本テレビＨＬＤＳ</v>
        <stp/>
        <stp>Market</stp>
        <stp>STOCK</stp>
        <stp>94040.T</stp>
        <stp>銘柄名称</stp>
        <tr r="C119" s="1"/>
      </tp>
      <tp t="s">
        <v>スカパーＪＳＡＴ</v>
        <stp/>
        <stp>Market</stp>
        <stp>STOCK</stp>
        <stp>94120.T</stp>
        <stp>銘柄名称</stp>
        <tr r="C56" s="1"/>
        <tr r="D48" s="16"/>
      </tp>
      <tp t="s">
        <v>合同製鐵</v>
        <stp/>
        <stp>Market</stp>
        <stp>STOCK</stp>
        <stp>54100.T</stp>
        <stp>銘柄名称</stp>
        <tr r="C179" s="1"/>
      </tp>
      <tp t="s">
        <v>ＪＦＥホールディングス</v>
        <stp/>
        <stp>Market</stp>
        <stp>STOCK</stp>
        <stp>54110.T</stp>
        <stp>銘柄名称</stp>
        <tr r="C84" s="1"/>
      </tp>
      <tp t="s">
        <v>みずほフィナンシャルＧ</v>
        <stp/>
        <stp>Market</stp>
        <stp>STOCK</stp>
        <stp>84110.T</stp>
        <stp>銘柄名称</stp>
        <tr r="C19" s="1"/>
      </tp>
      <tp t="s">
        <v>ビジョン</v>
        <stp/>
        <stp>Market</stp>
        <stp>STOCK</stp>
        <stp>94160.T</stp>
        <stp>銘柄名称</stp>
        <tr r="C126" s="1"/>
      </tp>
      <tp t="s">
        <v>グローバルセキュ</v>
        <stp/>
        <stp>Market</stp>
        <stp>STOCK</stp>
        <stp>44170.T</stp>
        <stp>銘柄名称</stp>
        <tr r="C153" s="1"/>
      </tp>
      <tp t="s">
        <v>小野建</v>
        <stp/>
        <stp>Market</stp>
        <stp>STOCK</stp>
        <stp>74140.T</stp>
        <stp>銘柄名称</stp>
        <tr r="C294" s="1"/>
      </tp>
      <tp t="s">
        <v>トライアルホールディングス</v>
        <stp/>
        <stp>Market</stp>
        <stp>STOCK</stp>
        <stp>141A0.T</stp>
        <stp>銘柄名称</stp>
        <tr r="C219" s="1"/>
      </tp>
      <tp t="s">
        <v>ミネベアミツミ</v>
        <stp/>
        <stp>Market</stp>
        <stp>STOCK</stp>
        <stp>64790.T</stp>
        <stp>銘柄名称</stp>
        <tr r="D56" s="16"/>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main>
    <main first="rtdsrv.bed1b1f6e97c4c9f9ae958b1f8b490de">
      <tp t="s">
        <v>三菱ＨＣキャピタル</v>
        <stp/>
        <stp>Market</stp>
        <stp>STOCK</stp>
        <stp>85930.T</stp>
        <stp>銘柄名称</stp>
        <tr r="C39" s="1"/>
        <tr r="D26" s="16"/>
      </tp>
      <tp t="s">
        <v>オリックス</v>
        <stp/>
        <stp>Market</stp>
        <stp>STOCK</stp>
        <stp>85910.T</stp>
        <stp>銘柄名称</stp>
        <tr r="C26" s="1"/>
      </tp>
      <tp t="s">
        <v>アスタリスク</v>
        <stp/>
        <stp>Market</stp>
        <stp>STOCK</stp>
        <stp>65220.T</stp>
        <stp>銘柄名称</stp>
        <tr r="D6" s="16"/>
        <tr r="C143" s="1"/>
      </tp>
      <tp t="s">
        <v>エーザイ</v>
        <stp/>
        <stp>Market</stp>
        <stp>STOCK</stp>
        <stp>45230.T</stp>
        <stp>銘柄名称</stp>
        <tr r="D27" s="16"/>
        <tr r="C99" s="1"/>
      </tp>
      <tp t="s">
        <v>オキサイド</v>
        <stp/>
        <stp>Market</stp>
        <stp>STOCK</stp>
        <stp>65210.T</stp>
        <stp>銘柄名称</stp>
        <tr r="C242" s="1"/>
      </tp>
      <tp t="s">
        <v>小野薬品</v>
        <stp/>
        <stp>Market</stp>
        <stp>STOCK</stp>
        <stp>45280.T</stp>
        <stp>銘柄名称</stp>
        <tr r="C100" s="1"/>
      </tp>
      <tp t="s">
        <v>パンパシフィックＨＤ</v>
        <stp/>
        <stp>Market</stp>
        <stp>STOCK</stp>
        <stp>75320.T</stp>
        <stp>銘柄名称</stp>
        <tr r="C305" s="1"/>
      </tp>
      <tp t="s">
        <v>大阪瓦斯</v>
        <stp/>
        <stp>Market</stp>
        <stp>STOCK</stp>
        <stp>95320.T</stp>
        <stp>銘柄名称</stp>
        <tr r="C127" s="1"/>
      </tp>
      <tp t="s">
        <v>東京瓦斯</v>
        <stp/>
        <stp>Market</stp>
        <stp>STOCK</stp>
        <stp>95310.T</stp>
        <stp>銘柄名称</stp>
        <tr r="C115" s="1"/>
      </tp>
      <tp t="s">
        <v>参天製薬</v>
        <stp/>
        <stp>Market</stp>
        <stp>STOCK</stp>
        <stp>45360.T</stp>
        <stp>銘柄名称</stp>
        <tr r="C67" s="1"/>
      </tp>
      <tp t="s">
        <v>西部ガスＨＬＤＧＳ</v>
        <stp/>
        <stp>Market</stp>
        <stp>STOCK</stp>
        <stp>95360.T</stp>
        <stp>銘柄名称</stp>
        <tr r="C185" s="1"/>
      </tp>
      <tp t="s">
        <v>武田薬品</v>
        <stp/>
        <stp>Market</stp>
        <stp>STOCK</stp>
        <stp>45020.T</stp>
        <stp>銘柄名称</stp>
        <tr r="C212" s="1"/>
      </tp>
      <tp t="s">
        <v>三菱電機</v>
        <stp/>
        <stp>Market</stp>
        <stp>STOCK</stp>
        <stp>65030.T</stp>
        <stp>銘柄名称</stp>
        <tr r="C68" s="1"/>
      </tp>
      <tp t="s">
        <v>日立</v>
        <stp/>
        <stp>Market</stp>
        <stp>STOCK</stp>
        <stp>65010.T</stp>
        <stp>銘柄名称</stp>
        <tr r="C91" s="1"/>
      </tp>
      <tp t="s">
        <v>東京電力ＨＤ</v>
        <stp/>
        <stp>Market</stp>
        <stp>STOCK</stp>
        <stp>95010.T</stp>
        <stp>銘柄名称</stp>
        <tr r="C114" s="1"/>
      </tp>
      <tp t="s">
        <v>安川電機</v>
        <stp/>
        <stp>Market</stp>
        <stp>STOCK</stp>
        <stp>65060.T</stp>
        <stp>銘柄名称</stp>
        <tr r="C201" s="1"/>
      </tp>
      <tp t="s">
        <v>東北電力</v>
        <stp/>
        <stp>Market</stp>
        <stp>STOCK</stp>
        <stp>95060.T</stp>
        <stp>銘柄名称</stp>
        <tr r="C186" s="1"/>
      </tp>
      <tp t="s">
        <v>シンフォニアテクノロジー</v>
        <stp/>
        <stp>Market</stp>
        <stp>STOCK</stp>
        <stp>65070.T</stp>
        <stp>銘柄名称</stp>
        <tr r="C183" s="1"/>
      </tp>
      <tp t="s">
        <v>北陸電力</v>
        <stp/>
        <stp>Market</stp>
        <stp>STOCK</stp>
        <stp>95050.T</stp>
        <stp>銘柄名称</stp>
        <tr r="C181"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r r="D52" s="16"/>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ツムラ</v>
        <stp/>
        <stp>Market</stp>
        <stp>STOCK</stp>
        <stp>45400.T</stp>
        <stp>銘柄名称</stp>
        <tr r="C64" s="1"/>
        <tr r="D15" s="16"/>
      </tp>
      <tp t="s">
        <v>大平洋金属</v>
        <stp/>
        <stp>Market</stp>
        <stp>STOCK</stp>
        <stp>55410.T</stp>
        <stp>銘柄名称</stp>
        <tr r="C20" s="1"/>
      </tp>
      <tp t="s">
        <v>ＨＵグループＨＤ</v>
        <stp/>
        <stp>Market</stp>
        <stp>STOCK</stp>
        <stp>45440.T</stp>
        <stp>銘柄名称</stp>
        <tr r="C273" s="1"/>
      </tp>
      <tp t="s">
        <v>メタウォーター</v>
        <stp/>
        <stp>Market</stp>
        <stp>STOCK</stp>
        <stp>95510.T</stp>
        <stp>銘柄名称</stp>
        <tr r="C167" s="1"/>
      </tp>
      <tp t="s">
        <v>情報戦略テクノロジー</v>
        <stp/>
        <stp>Market</stp>
        <stp>STOCK</stp>
        <stp>155A0.T</stp>
        <stp>銘柄名称</stp>
        <tr r="C250" s="1"/>
      </tp>
      <tp>
        <v>4413</v>
        <stp/>
        <stp>Market</stp>
        <stp>STOCK</stp>
        <stp>84240.T</stp>
        <stp>現在値</stp>
        <tr r="E185" s="5"/>
        <tr r="E46" s="4"/>
        <tr r="C108" s="11"/>
        <tr r="H19" s="16"/>
      </tp>
      <tp>
        <v>8499</v>
        <stp/>
        <stp>Market</stp>
        <stp>STOCK</stp>
        <stp>84110.T</stp>
        <stp>現在値</stp>
        <tr r="E47" s="4"/>
        <tr r="E66" s="5"/>
        <tr r="C19" s="11"/>
      </tp>
      <tp>
        <v>6513</v>
        <stp/>
        <stp>Market</stp>
        <stp>STOCK</stp>
        <stp>85910.T</stp>
        <stp>現在値</stp>
        <tr r="E43" s="4"/>
        <tr r="C26" s="11"/>
        <tr r="E67" s="5"/>
      </tp>
      <tp>
        <v>1427.5</v>
        <stp/>
        <stp>Market</stp>
        <stp>STOCK</stp>
        <stp>85930.T</stp>
        <stp>現在値</stp>
        <tr r="C39" s="11"/>
        <tr r="E42" s="4"/>
        <tr r="E171" s="5"/>
        <tr r="H26" s="16"/>
      </tp>
      <tp>
        <v>1594.5</v>
        <stp/>
        <stp>Market</stp>
        <stp>STOCK</stp>
        <stp>85700.T</stp>
        <stp>現在値</stp>
        <tr r="C37" s="11"/>
        <tr r="E94" s="5"/>
        <tr r="E45" s="4"/>
      </tp>
      <tp>
        <v>480.6</v>
        <stp/>
        <stp>Market</stp>
        <stp>STOCK</stp>
        <stp>85720.T</stp>
        <stp>現在値</stp>
        <tr r="E44" s="4"/>
        <tr r="E38" s="5"/>
        <tr r="C47" s="11"/>
      </tp>
      <tp>
        <v>6997</v>
        <stp/>
        <stp>Market</stp>
        <stp>STOCK</stp>
        <stp>86300.T</stp>
        <stp>現在値</stp>
        <tr r="E39" s="4"/>
        <tr r="C54" s="11"/>
        <tr r="E176" s="5"/>
      </tp>
      <tp>
        <v>1577</v>
        <stp/>
        <stp>Market</stp>
        <stp>STOCK</stp>
        <stp>86040.T</stp>
        <stp>現在値</stp>
        <tr r="E40" s="4"/>
        <tr r="C40" s="11"/>
        <tr r="E199" s="5"/>
      </tp>
      <tp>
        <v>1825.5</v>
        <stp/>
        <stp>Market</stp>
        <stp>STOCK</stp>
        <stp>86010.T</stp>
        <stp>現在値</stp>
        <tr r="E198" s="5"/>
        <tr r="E41" s="4"/>
        <tr r="C33" s="11"/>
      </tp>
      <tp>
        <v>4962</v>
        <stp/>
        <stp>Market</stp>
        <stp>STOCK</stp>
        <stp>87950.T</stp>
        <stp>現在値</stp>
        <tr r="E91" s="5"/>
        <tr r="C23" s="11"/>
        <tr r="E34" s="4"/>
      </tp>
      <tp>
        <v>4055</v>
        <stp/>
        <stp>Market</stp>
        <stp>STOCK</stp>
        <stp>87930.T</stp>
        <stp>現在値</stp>
        <tr r="C232" s="11"/>
      </tp>
      <tp>
        <v>4827</v>
        <stp/>
        <stp>Market</stp>
        <stp>STOCK</stp>
        <stp>87250.T</stp>
        <stp>現在値</stp>
        <tr r="E37" s="4"/>
        <tr r="E168" s="5"/>
        <tr r="C22" s="11"/>
      </tp>
      <tp>
        <v>1323</v>
        <stp/>
        <stp>Market</stp>
        <stp>STOCK</stp>
        <stp>87040.T</stp>
        <stp>現在値</stp>
        <tr r="E19" s="5"/>
        <tr r="C164" s="11"/>
        <tr r="E38" s="4"/>
      </tp>
      <tp>
        <v>7817</v>
        <stp/>
        <stp>Market</stp>
        <stp>STOCK</stp>
        <stp>87660.T</stp>
        <stp>現在値</stp>
        <tr r="E174" s="5"/>
        <tr r="E35" s="4"/>
        <tr r="C52" s="11"/>
      </tp>
      <tp>
        <v>1921</v>
        <stp/>
        <stp>Market</stp>
        <stp>STOCK</stp>
        <stp>87500.T</stp>
        <stp>現在値</stp>
        <tr r="E36" s="4"/>
        <tr r="C43" s="11"/>
        <tr r="E200" s="5"/>
      </tp>
      <tp>
        <v>2365</v>
        <stp/>
        <stp>Market</stp>
        <stp>STOCK</stp>
        <stp>80910.T</stp>
        <stp>現在値</stp>
        <tr r="E57" s="4"/>
        <tr r="C182" s="11"/>
        <tr r="E158" s="5"/>
      </tp>
      <tp>
        <v>55330</v>
        <stp/>
        <stp>Market</stp>
        <stp>STOCK</stp>
        <stp>80350.T</stp>
        <stp>現在値</stp>
        <tr r="E60" s="4"/>
        <tr r="E35" s="5"/>
        <tr r="C198" s="11"/>
      </tp>
      <tp>
        <v>1841</v>
        <stp/>
        <stp>Market</stp>
        <stp>STOCK</stp>
        <stp>80050.T</stp>
        <stp>現在値</stp>
        <tr r="C236" s="11"/>
      </tp>
      <tp>
        <v>785</v>
        <stp/>
        <stp>Market</stp>
        <stp>STOCK</stp>
        <stp>80070.T</stp>
        <stp>現在値</stp>
        <tr r="C281" s="11"/>
      </tp>
      <tp>
        <v>4936</v>
        <stp/>
        <stp>Market</stp>
        <stp>STOCK</stp>
        <stp>80020.T</stp>
        <stp>現在値</stp>
        <tr r="E62" s="4"/>
        <tr r="C14" s="11"/>
        <tr r="E167" s="5"/>
      </tp>
      <tp>
        <v>7460</v>
        <stp/>
        <stp>Market</stp>
        <stp>STOCK</stp>
        <stp>80150.T</stp>
        <stp>現在値</stp>
        <tr r="C204" s="11"/>
        <tr r="E61" s="4"/>
        <tr r="E65" s="5"/>
      </tp>
      <tp>
        <v>1748.5</v>
        <stp/>
        <stp>Market</stp>
        <stp>STOCK</stp>
        <stp>80530.T</stp>
        <stp>現在値</stp>
        <tr r="E49" s="5"/>
        <tr r="E59" s="4"/>
        <tr r="C25" s="11"/>
      </tp>
      <tp>
        <v>4748</v>
        <stp/>
        <stp>Market</stp>
        <stp>STOCK</stp>
        <stp>80580.T</stp>
        <stp>現在値</stp>
        <tr r="C16" s="11"/>
        <tr r="E58" s="4"/>
        <tr r="E89" s="5"/>
      </tp>
      <tp>
        <v>900</v>
        <stp/>
        <stp>Market</stp>
        <stp>STOCK</stp>
        <stp>81030.T</stp>
        <stp>現在値</stp>
        <tr r="E56" s="4"/>
        <tr r="E136" s="5"/>
        <tr r="C169" s="11"/>
      </tp>
      <tp>
        <v>1566</v>
        <stp/>
        <stp>Market</stp>
        <stp>STOCK</stp>
        <stp>81410.T</stp>
        <stp>現在値</stp>
        <tr r="C292" s="11"/>
      </tp>
      <tp>
        <v>1085</v>
        <stp/>
        <stp>Market</stp>
        <stp>STOCK</stp>
        <stp>82810.T</stp>
        <stp>現在値</stp>
        <tr r="E179" s="5"/>
        <tr r="E55" s="4"/>
        <tr r="C63" s="11"/>
      </tp>
      <tp>
        <v>2594</v>
        <stp/>
        <stp>Market</stp>
        <stp>STOCK</stp>
        <stp>83340.T</stp>
        <stp>現在値</stp>
        <tr r="E204" s="5"/>
        <tr r="E49" s="4"/>
        <tr r="H11" s="16"/>
        <tr r="C122" s="11"/>
      </tp>
      <tp>
        <v>3574</v>
        <stp/>
        <stp>Market</stp>
        <stp>STOCK</stp>
        <stp>83060.T</stp>
        <stp>現在値</stp>
        <tr r="E201" s="5"/>
        <tr r="E53" s="4"/>
        <tr r="C45" s="11"/>
      </tp>
      <tp>
        <v>1564.5</v>
        <stp/>
        <stp>Market</stp>
        <stp>STOCK</stp>
        <stp>83030.T</stp>
        <stp>現在値</stp>
        <tr r="E191" s="5"/>
        <tr r="C172" s="11"/>
        <tr r="E54" s="4"/>
      </tp>
      <tp>
        <v>2342</v>
        <stp/>
        <stp>Market</stp>
        <stp>STOCK</stp>
        <stp>83080.T</stp>
        <stp>現在値</stp>
        <tr r="E92" s="5"/>
        <tr r="C35" s="11"/>
        <tr r="E52" s="4"/>
      </tp>
      <tp>
        <v>1679</v>
        <stp/>
        <stp>Market</stp>
        <stp>STOCK</stp>
        <stp>83090.T</stp>
        <stp>現在値</stp>
        <tr r="E51" s="4"/>
        <tr r="E68" s="5"/>
        <tr r="C31" s="11"/>
      </tp>
      <tp>
        <v>6781</v>
        <stp/>
        <stp>Market</stp>
        <stp>STOCK</stp>
        <stp>83160.T</stp>
        <stp>現在値</stp>
        <tr r="E50" s="4"/>
        <tr r="E70" s="5"/>
        <tr r="C50" s="11"/>
      </tp>
      <tp>
        <v>4235</v>
        <stp/>
        <stp>Market</stp>
        <stp>STOCK</stp>
        <stp>83440.T</stp>
        <stp>現在値</stp>
        <tr r="C293" s="11"/>
      </tp>
      <tp>
        <v>2554.5</v>
        <stp/>
        <stp>Market</stp>
        <stp>STOCK</stp>
        <stp>83590.T</stp>
        <stp>現在値</stp>
        <tr r="E48" s="4"/>
        <tr r="E26" s="5"/>
        <tr r="C123" s="11"/>
      </tp>
      <tp>
        <v>1075</v>
        <stp/>
        <stp>Market</stp>
        <stp>STOCK</stp>
        <stp>88920.T</stp>
        <stp>現在値</stp>
        <tr r="E114" s="5"/>
        <tr r="E32" s="4"/>
        <tr r="C161" s="11"/>
      </tp>
      <tp>
        <v>1488</v>
        <stp/>
        <stp>Market</stp>
        <stp>STOCK</stp>
        <stp>88010.T</stp>
        <stp>現在値</stp>
        <tr r="E33" s="4"/>
        <tr r="E129" s="5"/>
        <tr r="C124" s="11"/>
      </tp>
      <tp>
        <v>3235</v>
        <stp/>
        <stp>Market</stp>
        <stp>STOCK</stp>
        <stp>88710.T</stp>
        <stp>現在値</stp>
        <tr r="C278" s="11"/>
        <tr r="H43" s="16"/>
      </tp>
      <tp>
        <v>2448</v>
        <stp/>
        <stp>Market</stp>
        <stp>STOCK</stp>
        <stp>89340.T</stp>
        <stp>現在値</stp>
        <tr r="E31" s="4"/>
        <tr r="C125" s="11"/>
        <tr r="E149" s="5"/>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ダイヘン</v>
        <stp/>
        <stp>Market</stp>
        <stp>STOCK</stp>
        <stp>66220.T</stp>
        <stp>銘柄名称</stp>
        <tr r="C216" s="1"/>
        <tr r="D32" s="16"/>
        <tr r="D24" s="16"/>
      </tp>
      <tp t="s">
        <v>三菱製鋼</v>
        <stp/>
        <stp>Market</stp>
        <stp>STOCK</stp>
        <stp>56320.T</stp>
        <stp>銘柄名称</stp>
        <tr r="C247" s="1"/>
      </tp>
      <tp t="s">
        <v>ＳＯＭＰＯホールディングス</v>
        <stp/>
        <stp>Market</stp>
        <stp>STOCK</stp>
        <stp>86300.T</stp>
        <stp>銘柄名称</stp>
        <tr r="C54" s="1"/>
      </tp>
      <tp t="s">
        <v>日本製鋼所</v>
        <stp/>
        <stp>Market</stp>
        <stp>STOCK</stp>
        <stp>56310.T</stp>
        <stp>銘柄名称</stp>
        <tr r="C263" s="1"/>
      </tp>
      <tp t="s">
        <v>大和証券Ｇ本社</v>
        <stp/>
        <stp>Market</stp>
        <stp>STOCK</stp>
        <stp>86010.T</stp>
        <stp>銘柄名称</stp>
        <tr r="C33" s="1"/>
      </tp>
      <tp t="s">
        <v>野村ホールディングス</v>
        <stp/>
        <stp>Market</stp>
        <stp>STOCK</stp>
        <stp>86040.T</stp>
        <stp>銘柄名称</stp>
        <tr r="C40" s="1"/>
      </tp>
      <tp t="s">
        <v>ＩＮＰＥＸ</v>
        <stp/>
        <stp>Market</stp>
        <stp>STOCK</stp>
        <stp>16050.T</stp>
        <stp>銘柄名称</stp>
        <tr r="C12"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石油資源開発</v>
        <stp/>
        <stp>Market</stp>
        <stp>STOCK</stp>
        <stp>16620.T</stp>
        <stp>銘柄名称</stp>
        <tr r="C18" s="1"/>
      </tp>
      <tp t="s">
        <v>オリエンタルランド</v>
        <stp/>
        <stp>Market</stp>
        <stp>STOCK</stp>
        <stp>46610.T</stp>
        <stp>銘柄名称</stp>
        <tr r="C101" s="1"/>
        <tr r="D41" s="16"/>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v>114</v>
        <stp/>
        <stp>Market</stp>
        <stp>STOCK</stp>
        <stp>94240.T</stp>
        <stp>現在値</stp>
        <tr r="E20" s="4"/>
        <tr r="E15" s="5"/>
        <tr r="C70" s="11"/>
      </tp>
      <tp>
        <v>2871</v>
        <stp/>
        <stp>Market</stp>
        <stp>STOCK</stp>
        <stp>94040.T</stp>
        <stp>現在値</stp>
        <tr r="E23" s="4"/>
        <tr r="E78" s="5"/>
        <tr r="C119" s="11"/>
      </tp>
      <tp>
        <v>1022</v>
        <stp/>
        <stp>Market</stp>
        <stp>STOCK</stp>
        <stp>94160.T</stp>
        <stp>現在値</stp>
        <tr r="C126" s="11"/>
        <tr r="E21" s="4"/>
        <tr r="E107" s="5"/>
      </tp>
      <tp>
        <v>2242</v>
        <stp/>
        <stp>Market</stp>
        <stp>STOCK</stp>
        <stp>94120.T</stp>
        <stp>現在値</stp>
        <tr r="C56" s="11"/>
        <tr r="E22" s="5"/>
        <tr r="E22" s="4"/>
        <tr r="H48" s="16"/>
      </tp>
      <tp>
        <v>4196</v>
        <stp/>
        <stp>Market</stp>
        <stp>STOCK</stp>
        <stp>94490.T</stp>
        <stp>現在値</stp>
        <tr r="C113" s="11"/>
        <tr r="E19" s="4"/>
        <tr r="E77" s="5"/>
      </tp>
      <tp>
        <v>2359</v>
        <stp/>
        <stp>Market</stp>
        <stp>STOCK</stp>
        <stp>95360.T</stp>
        <stp>現在値</stp>
        <tr r="C185" s="11"/>
        <tr r="E13" s="4"/>
        <tr r="E160" s="5"/>
      </tp>
      <tp>
        <v>5967</v>
        <stp/>
        <stp>Market</stp>
        <stp>STOCK</stp>
        <stp>95310.T</stp>
        <stp>現在値</stp>
        <tr r="E15" s="4"/>
        <tr r="E203" s="5"/>
        <tr r="C115" s="11"/>
      </tp>
      <tp>
        <v>5391</v>
        <stp/>
        <stp>Market</stp>
        <stp>STOCK</stp>
        <stp>95320.T</stp>
        <stp>現在値</stp>
        <tr r="E14" s="4"/>
        <tr r="C127" s="11"/>
        <tr r="E79" s="5"/>
      </tp>
      <tp>
        <v>921.5</v>
        <stp/>
        <stp>Market</stp>
        <stp>STOCK</stp>
        <stp>95050.T</stp>
        <stp>現在値</stp>
        <tr r="E157" s="5"/>
        <tr r="E17" s="4"/>
        <tr r="C181" s="11"/>
      </tp>
      <tp>
        <v>1205</v>
        <stp/>
        <stp>Market</stp>
        <stp>STOCK</stp>
        <stp>95060.T</stp>
        <stp>現在値</stp>
        <tr r="E16" s="4"/>
        <tr r="E193" s="5"/>
        <tr r="C186" s="11"/>
      </tp>
      <tp>
        <v>537</v>
        <stp/>
        <stp>Market</stp>
        <stp>STOCK</stp>
        <stp>95010.T</stp>
        <stp>現在値</stp>
        <tr r="E18" s="4"/>
        <tr r="E105" s="5"/>
        <tr r="C114" s="11"/>
      </tp>
      <tp>
        <v>925</v>
        <stp/>
        <stp>Market</stp>
        <stp>STOCK</stp>
        <stp>95190.T</stp>
        <stp>現在値</stp>
        <tr r="C214" s="11"/>
        <tr r="H52" s="16"/>
      </tp>
      <tp>
        <v>3290</v>
        <stp/>
        <stp>Market</stp>
        <stp>STOCK</stp>
        <stp>95510.T</stp>
        <stp>現在値</stp>
        <tr r="E12" s="4"/>
        <tr r="C167" s="11"/>
        <tr r="E134" s="5"/>
      </tp>
      <tp>
        <v>4395</v>
        <stp/>
        <stp>Market</stp>
        <stp>STOCK</stp>
        <stp>96870.T</stp>
        <stp>現在値</stp>
        <tr r="C162" s="11"/>
        <tr r="E44" s="5"/>
        <tr r="E11" s="4"/>
      </tp>
      <tp>
        <v>2284</v>
        <stp/>
        <stp>Market</stp>
        <stp>STOCK</stp>
        <stp>97330.T</stp>
        <stp>現在値</stp>
        <tr r="C166" s="11"/>
        <tr r="E10" s="4"/>
        <tr r="E153" s="5"/>
      </tp>
      <tp>
        <v>3428</v>
        <stp/>
        <stp>Market</stp>
        <stp>STOCK</stp>
        <stp>90200.T</stp>
        <stp>現在値</stp>
        <tr r="E104" s="5"/>
        <tr r="C109" s="11"/>
        <tr r="E30" s="4"/>
      </tp>
      <tp>
        <v>3847</v>
        <stp/>
        <stp>Market</stp>
        <stp>STOCK</stp>
        <stp>90220.T</stp>
        <stp>現在値</stp>
        <tr r="E29" s="4"/>
        <tr r="C184" s="11"/>
        <tr r="E159" s="5"/>
      </tp>
      <tp>
        <v>1892.5</v>
        <stp/>
        <stp>Market</stp>
        <stp>STOCK</stp>
        <stp>90640.T</stp>
        <stp>現在値</stp>
        <tr r="C189" s="11"/>
        <tr r="E163" s="5"/>
        <tr r="E4" s="4"/>
      </tp>
      <tp>
        <v>2215.5</v>
        <stp/>
        <stp>Market</stp>
        <stp>STOCK</stp>
        <stp>90690.T</stp>
        <stp>現在値</stp>
        <tr r="E60" s="5"/>
        <tr r="E28" s="4"/>
        <tr r="C110" s="11"/>
      </tp>
      <tp>
        <v>6036</v>
        <stp/>
        <stp>Market</stp>
        <stp>STOCK</stp>
        <stp>91040.T</stp>
        <stp>現在値</stp>
        <tr r="C259" s="11"/>
      </tp>
      <tp>
        <v>5931</v>
        <stp/>
        <stp>Market</stp>
        <stp>STOCK</stp>
        <stp>91010.T</stp>
        <stp>現在値</stp>
        <tr r="E27" s="4"/>
        <tr r="E164" s="5"/>
        <tr r="C206" s="11"/>
      </tp>
      <tp>
        <v>856</v>
        <stp/>
        <stp>Market</stp>
        <stp>STOCK</stp>
        <stp>91150.T</stp>
        <stp>現在値</stp>
        <tr r="C270" s="11"/>
      </tp>
      <tp>
        <v>1770</v>
        <stp/>
        <stp>Market</stp>
        <stp>STOCK</stp>
        <stp>91650.T</stp>
        <stp>現在値</stp>
        <tr r="C243" s="11"/>
      </tp>
      <tp>
        <v>899</v>
        <stp/>
        <stp>Market</stp>
        <stp>STOCK</stp>
        <stp>92270.T</stp>
        <stp>現在値</stp>
        <tr r="C111" s="11"/>
        <tr r="E146" s="5"/>
        <tr r="E25" s="4"/>
      </tp>
      <tp>
        <v>3164</v>
        <stp/>
        <stp>Market</stp>
        <stp>STOCK</stp>
        <stp>92020.T</stp>
        <stp>現在値</stp>
        <tr r="C74" s="11"/>
        <tr r="E26" s="4"/>
        <tr r="E99" s="5"/>
      </tp>
      <tp>
        <v>417</v>
        <stp/>
        <stp>Market</stp>
        <stp>STOCK</stp>
        <stp>93480.T</stp>
        <stp>現在値</stp>
        <tr r="E8" s="5"/>
        <tr r="E24" s="4"/>
        <tr r="C112" s="11"/>
      </tp>
      <tp>
        <v>3730</v>
        <stp/>
        <stp>Market</stp>
        <stp>STOCK</stp>
        <stp>98800.T</stp>
        <stp>現在値</stp>
        <tr r="C257" s="11"/>
      </tp>
      <tp>
        <v>1738</v>
        <stp/>
        <stp>Market</stp>
        <stp>STOCK</stp>
        <stp>98820.T</stp>
        <stp>現在値</stp>
        <tr r="E9" s="4"/>
        <tr r="C116" s="11"/>
        <tr r="E128" s="5"/>
      </tp>
      <tp>
        <v>5695</v>
        <stp/>
        <stp>Market</stp>
        <stp>STOCK</stp>
        <stp>99840.T</stp>
        <stp>現在値</stp>
        <tr r="E8" s="4"/>
        <tr r="C65" s="11"/>
        <tr r="H13" s="16"/>
        <tr r="E53" s="5"/>
      </tp>
      <tp>
        <v>3806</v>
        <stp/>
        <stp>Market</stp>
        <stp>STOCK</stp>
        <stp>99620.T</stp>
        <stp>現在値</stp>
        <tr r="C233" s="11"/>
      </tp>
      <tp>
        <v>4046.17</v>
        <stp/>
        <stp>Market</stp>
        <stp>INDEX</stp>
        <stp>TOPX</stp>
        <stp>前日終値</stp>
        <tr r="E5" s="1"/>
      </tp>
      <tp t="s">
        <v>メイコー</v>
        <stp/>
        <stp>Market</stp>
        <stp>STOCK</stp>
        <stp>67870.T</stp>
        <stp>銘柄名称</stp>
        <tr r="C145" s="1"/>
      </tp>
      <tp t="s">
        <v>ＴＥＲＲＡＤＲＯＮＥ</v>
        <stp/>
        <stp>Market</stp>
        <stp>STOCK</stp>
        <stp>278A0.T</stp>
        <stp>銘柄名称</stp>
        <tr r="C251" s="1"/>
      </tp>
      <tp t="s">
        <v>ＮＥＣキャピタルソリューション</v>
        <stp/>
        <stp>Market</stp>
        <stp>STOCK</stp>
        <stp>87930.T</stp>
        <stp>銘柄名称</stp>
        <tr r="C232" s="1"/>
      </tp>
      <tp t="s">
        <v>イーディーピー</v>
        <stp/>
        <stp>Market</stp>
        <stp>STOCK</stp>
        <stp>77940.T</stp>
        <stp>銘柄名称</stp>
        <tr r="C136" s="1"/>
      </tp>
      <tp t="s">
        <v>Ｔ＆Ｄホールディングス</v>
        <stp/>
        <stp>Market</stp>
        <stp>STOCK</stp>
        <stp>87950.T</stp>
        <stp>銘柄名称</stp>
        <tr r="C23" s="1"/>
      </tp>
      <tp t="s">
        <v>ＭＳ＆ＡＤ</v>
        <stp/>
        <stp>Market</stp>
        <stp>STOCK</stp>
        <stp>87250.T</stp>
        <stp>銘柄名称</stp>
        <tr r="C22" s="1"/>
      </tp>
      <tp t="s">
        <v>東京精密</v>
        <stp/>
        <stp>Market</stp>
        <stp>STOCK</stp>
        <stp>77290.T</stp>
        <stp>銘柄名称</stp>
        <tr r="C107" s="1"/>
      </tp>
      <tp t="s">
        <v>オービックビジネスＣ</v>
        <stp/>
        <stp>Market</stp>
        <stp>STOCK</stp>
        <stp>47330.T</stp>
        <stp>銘柄名称</stp>
        <tr r="C165" s="1"/>
      </tp>
      <tp t="s">
        <v>ナガセ</v>
        <stp/>
        <stp>Market</stp>
        <stp>STOCK</stp>
        <stp>97330.T</stp>
        <stp>銘柄名称</stp>
        <tr r="C166" s="1"/>
      </tp>
      <tp t="s">
        <v>サン電子</v>
        <stp/>
        <stp>Market</stp>
        <stp>STOCK</stp>
        <stp>67360.T</stp>
        <stp>銘柄名称</stp>
        <tr r="C287" s="1"/>
      </tp>
      <tp t="s">
        <v>ＳＣＲＥＥＮホールディングス</v>
        <stp/>
        <stp>Market</stp>
        <stp>STOCK</stp>
        <stp>77350.T</stp>
        <stp>銘柄名称</stp>
        <tr r="C283" s="1"/>
      </tp>
      <tp t="s">
        <v>大紀アルミニウム</v>
        <stp/>
        <stp>Market</stp>
        <stp>STOCK</stp>
        <stp>57020.T</stp>
        <stp>銘柄名称</stp>
        <tr r="C275" s="1"/>
      </tp>
      <tp t="s">
        <v>日本マクドナルドＨＬＤＧ</v>
        <stp/>
        <stp>Market</stp>
        <stp>STOCK</stp>
        <stp>27020.T</stp>
        <stp>銘柄名称</stp>
        <tr r="C194" s="1"/>
      </tp>
      <tp t="s">
        <v>日本軽金属ＨＤ</v>
        <stp/>
        <stp>Market</stp>
        <stp>STOCK</stp>
        <stp>57030.T</stp>
        <stp>銘柄名称</stp>
        <tr r="C13" s="1"/>
      </tp>
      <tp t="s">
        <v>日本電気</v>
        <stp/>
        <stp>Market</stp>
        <stp>STOCK</stp>
        <stp>67010.T</stp>
        <stp>銘柄名称</stp>
        <tr r="C11" s="1"/>
      </tp>
      <tp t="s">
        <v>三井金属</v>
        <stp/>
        <stp>Market</stp>
        <stp>STOCK</stp>
        <stp>57060.T</stp>
        <stp>銘柄名称</stp>
        <tr r="C6" s="1"/>
      </tp>
      <tp t="s">
        <v>電気興業</v>
        <stp/>
        <stp>Market</stp>
        <stp>STOCK</stp>
        <stp>67060.T</stp>
        <stp>銘柄名称</stp>
        <tr r="C291" s="1"/>
      </tp>
      <tp t="s">
        <v>トレンドマイクロ</v>
        <stp/>
        <stp>Market</stp>
        <stp>STOCK</stp>
        <stp>47040.T</stp>
        <stp>銘柄名称</stp>
        <tr r="C254" s="1"/>
      </tp>
      <tp t="s">
        <v>トレイダーズＨＬＤＧＳ</v>
        <stp/>
        <stp>Market</stp>
        <stp>STOCK</stp>
        <stp>87040.T</stp>
        <stp>銘柄名称</stp>
        <tr r="C164" s="1"/>
      </tp>
      <tp t="s">
        <v>ＩＤホールディングス</v>
        <stp/>
        <stp>Market</stp>
        <stp>STOCK</stp>
        <stp>47090.T</stp>
        <stp>銘柄名称</stp>
        <tr r="C170" s="1"/>
      </tp>
      <tp t="s">
        <v>住友鉱山</v>
        <stp/>
        <stp>Market</stp>
        <stp>STOCK</stp>
        <stp>57130.T</stp>
        <stp>銘柄名称</stp>
        <tr r="C8" s="1"/>
        <tr r="D42" s="16"/>
      </tp>
      <tp t="s">
        <v>三菱マテリアル</v>
        <stp/>
        <stp>Market</stp>
        <stp>STOCK</stp>
        <stp>57110.T</stp>
        <stp>銘柄名称</stp>
        <tr r="C9" s="1"/>
      </tp>
      <tp t="s">
        <v>助川電気工業</v>
        <stp/>
        <stp>Market</stp>
        <stp>STOCK</stp>
        <stp>77110.T</stp>
        <stp>銘柄名称</stp>
        <tr r="D58" s="16"/>
        <tr r="C268" s="1"/>
        <tr r="D16" s="16"/>
      </tp>
      <tp t="s">
        <v>ＤＯＷＡホールディングス</v>
        <stp/>
        <stp>Market</stp>
        <stp>STOCK</stp>
        <stp>57140.T</stp>
        <stp>銘柄名称</stp>
        <tr r="C10" s="1"/>
      </tp>
      <tp t="s">
        <v>ＴＤＫ</v>
        <stp/>
        <stp>Market</stp>
        <stp>STOCK</stp>
        <stp>67620.T</stp>
        <stp>銘柄名称</stp>
        <tr r="C234" s="1"/>
      </tp>
      <tp t="s">
        <v>東京海上ＨＤ</v>
        <stp/>
        <stp>Market</stp>
        <stp>STOCK</stp>
        <stp>87660.T</stp>
        <stp>銘柄名称</stp>
        <tr r="C52" s="1"/>
      </tp>
      <tp t="s">
        <v>双日</v>
        <stp/>
        <stp>Market</stp>
        <stp>STOCK</stp>
        <stp>27680.T</stp>
        <stp>銘柄名称</stp>
        <tr r="C202" s="1"/>
      </tp>
      <tp t="s">
        <v>サイボウズ</v>
        <stp/>
        <stp>Market</stp>
        <stp>STOCK</stp>
        <stp>47760.T</stp>
        <stp>銘柄名称</stp>
        <tr r="C253" s="1"/>
      </tp>
      <tp t="s">
        <v>ＳＡＮＴＥＣＨＯＬＤＩＮＧＳ</v>
        <stp/>
        <stp>Market</stp>
        <stp>STOCK</stp>
        <stp>67770.T</stp>
        <stp>銘柄名称</stp>
        <tr r="C144" s="1"/>
      </tp>
      <tp t="s">
        <v>ジャパンディスプレイ</v>
        <stp/>
        <stp>Market</stp>
        <stp>STOCK</stp>
        <stp>67400.T</stp>
        <stp>銘柄名称</stp>
        <tr r="C140" s="1"/>
      </tp>
      <tp t="s">
        <v>ＨＯＹＡ</v>
        <stp/>
        <stp>Market</stp>
        <stp>STOCK</stp>
        <stp>77410.T</stp>
        <stp>銘柄名称</stp>
        <tr r="C302" s="1"/>
      </tp>
      <tp t="s">
        <v>岡本硝子</v>
        <stp/>
        <stp>Market</stp>
        <stp>STOCK</stp>
        <stp>77460.T</stp>
        <stp>銘柄名称</stp>
        <tr r="C93" s="1"/>
        <tr r="D8" s="16"/>
      </tp>
      <tp t="s">
        <v>能美防災</v>
        <stp/>
        <stp>Market</stp>
        <stp>STOCK</stp>
        <stp>67440.T</stp>
        <stp>銘柄名称</stp>
        <tr r="C120" s="1"/>
      </tp>
      <tp t="s">
        <v>パナソニックホールディンク</v>
        <stp/>
        <stp>Market</stp>
        <stp>STOCK</stp>
        <stp>67520.T</stp>
        <stp>銘柄名称</stp>
        <tr r="C215" s="1"/>
      </tp>
      <tp t="s">
        <v>シャープ</v>
        <stp/>
        <stp>Market</stp>
        <stp>STOCK</stp>
        <stp>67530.T</stp>
        <stp>銘柄名称</stp>
        <tr r="C188" s="1"/>
      </tp>
      <tp t="s">
        <v>第一ライフグループ</v>
        <stp/>
        <stp>Market</stp>
        <stp>STOCK</stp>
        <stp>87500.T</stp>
        <stp>銘柄名称</stp>
        <tr r="C43" s="1"/>
      </tp>
      <tp t="s">
        <v>アンリツ</v>
        <stp/>
        <stp>Market</stp>
        <stp>STOCK</stp>
        <stp>67540.T</stp>
        <stp>銘柄名称</stp>
        <tr r="C155" s="1"/>
      </tp>
      <tp t="s">
        <v>ソニーグループ</v>
        <stp/>
        <stp>Market</stp>
        <stp>STOCK</stp>
        <stp>67580.T</stp>
        <stp>銘柄名称</stp>
        <tr r="C205" s="1"/>
      </tp>
      <tp t="s">
        <v>第一稀元素化学工</v>
        <stp/>
        <stp>Market</stp>
        <stp>STOCK</stp>
        <stp>40820.T</stp>
        <stp>銘柄名称</stp>
        <tr r="D28" s="16"/>
        <tr r="C129" s="1"/>
      </tp>
      <tp t="s">
        <v>アーキテクツＳＪ</v>
        <stp/>
        <stp>Market</stp>
        <stp>STOCK</stp>
        <stp>60850.T</stp>
        <stp>銘柄名称</stp>
        <tr r="C137" s="1"/>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東海旅客鉄道</v>
        <stp/>
        <stp>Market</stp>
        <stp>STOCK</stp>
        <stp>90220.T</stp>
        <stp>銘柄名称</stp>
        <tr r="C184" s="1"/>
      </tp>
      <tp t="s">
        <v>ＥＮＥＯＳホールディングス</v>
        <stp/>
        <stp>Market</stp>
        <stp>STOCK</stp>
        <stp>50200.T</stp>
        <stp>銘柄名称</stp>
        <tr r="C29" s="1"/>
      </tp>
      <tp t="s">
        <v>東日本旅客鉄道</v>
        <stp/>
        <stp>Market</stp>
        <stp>STOCK</stp>
        <stp>90200.T</stp>
        <stp>銘柄名称</stp>
        <tr r="C109" s="1"/>
      </tp>
      <tp t="s">
        <v>コスモエネルギーＨＬＤＧＳ</v>
        <stp/>
        <stp>Market</stp>
        <stp>STOCK</stp>
        <stp>50210.T</stp>
        <stp>銘柄名称</stp>
        <tr r="C15" s="1"/>
      </tp>
      <tp t="s">
        <v>ニッチツ</v>
        <stp/>
        <stp>Market</stp>
        <stp>STOCK</stp>
        <stp>70210.T</stp>
        <stp>銘柄名称</stp>
        <tr r="C106" s="1"/>
      </tp>
      <tp t="s">
        <v>弁護士ドットコム</v>
        <stp/>
        <stp>Market</stp>
        <stp>STOCK</stp>
        <stp>60270.T</stp>
        <stp>銘柄名称</stp>
        <tr r="C72" s="1"/>
        <tr r="D45" s="16"/>
      </tp>
      <tp t="s">
        <v>東京エレクトロン</v>
        <stp/>
        <stp>Market</stp>
        <stp>STOCK</stp>
        <stp>80350.T</stp>
        <stp>銘柄名称</stp>
        <tr r="C198" s="1"/>
      </tp>
      <tp t="s">
        <v>グンゼ</v>
        <stp/>
        <stp>Market</stp>
        <stp>STOCK</stp>
        <stp>30020.T</stp>
        <stp>銘柄名称</stp>
        <tr r="C277" s="1"/>
      </tp>
      <tp t="s">
        <v>丸紅</v>
        <stp/>
        <stp>Market</stp>
        <stp>STOCK</stp>
        <stp>80020.T</stp>
        <stp>銘柄名称</stp>
        <tr r="C14" s="1"/>
      </tp>
      <tp t="s">
        <v>ヒューリック</v>
        <stp/>
        <stp>Market</stp>
        <stp>STOCK</stp>
        <stp>30030.T</stp>
        <stp>銘柄名称</stp>
        <tr r="C88" s="1"/>
      </tp>
      <tp t="s">
        <v>高島</v>
        <stp/>
        <stp>Market</stp>
        <stp>STOCK</stp>
        <stp>80070.T</stp>
        <stp>銘柄名称</stp>
        <tr r="C281" s="1"/>
      </tp>
      <tp t="s">
        <v>レゾナック・ホールディング</v>
        <stp/>
        <stp>Market</stp>
        <stp>STOCK</stp>
        <stp>40040.T</stp>
        <stp>銘柄名称</stp>
        <tr r="C213" s="1"/>
      </tp>
      <tp t="s">
        <v>スクロール</v>
        <stp/>
        <stp>Market</stp>
        <stp>STOCK</stp>
        <stp>80050.T</stp>
        <stp>銘柄名称</stp>
        <tr r="C236" s="1"/>
      </tp>
      <tp t="s">
        <v>住友精化</v>
        <stp/>
        <stp>Market</stp>
        <stp>STOCK</stp>
        <stp>40080.T</stp>
        <stp>銘柄名称</stp>
        <tr r="D53" s="16"/>
        <tr r="C95" s="1"/>
      </tp>
      <tp t="s">
        <v>ＭＩＣ</v>
        <stp/>
        <stp>Market</stp>
        <stp>STOCK</stp>
        <stp>300A0.T</stp>
        <stp>銘柄名称</stp>
        <tr r="C252" s="1"/>
      </tp>
      <tp t="s">
        <v>ＩＨＩ</v>
        <stp/>
        <stp>Market</stp>
        <stp>STOCK</stp>
        <stp>70130.T</stp>
        <stp>銘柄名称</stp>
        <tr r="C231" s="1"/>
      </tp>
      <tp t="s">
        <v>三菱重工業</v>
        <stp/>
        <stp>Market</stp>
        <stp>STOCK</stp>
        <stp>70110.T</stp>
        <stp>銘柄名称</stp>
        <tr r="C207" s="1"/>
        <tr r="D50" s="16"/>
      </tp>
      <tp t="s">
        <v>名村造船所</v>
        <stp/>
        <stp>Market</stp>
        <stp>STOCK</stp>
        <stp>70140.T</stp>
        <stp>銘柄名称</stp>
        <tr r="C256" s="1"/>
      </tp>
      <tp t="s">
        <v>豊田通商</v>
        <stp/>
        <stp>Market</stp>
        <stp>STOCK</stp>
        <stp>80150.T</stp>
        <stp>銘柄名称</stp>
        <tr r="C204" s="1"/>
      </tp>
      <tp t="s">
        <v>出光興産</v>
        <stp/>
        <stp>Market</stp>
        <stp>STOCK</stp>
        <stp>50190.T</stp>
        <stp>銘柄名称</stp>
        <tr r="C24" s="1"/>
      </tp>
      <tp t="s">
        <v>イビデン</v>
        <stp/>
        <stp>Market</stp>
        <stp>STOCK</stp>
        <stp>40620.T</stp>
        <stp>銘柄名称</stp>
        <tr r="C96" s="1"/>
      </tp>
      <tp t="s">
        <v>信越化学</v>
        <stp/>
        <stp>Market</stp>
        <stp>STOCK</stp>
        <stp>40630.T</stp>
        <stp>銘柄名称</stp>
        <tr r="C66" s="1"/>
        <tr r="D25" s="16"/>
      </tp>
      <tp t="s">
        <v>ヤマトホールディングス</v>
        <stp/>
        <stp>Market</stp>
        <stp>STOCK</stp>
        <stp>90640.T</stp>
        <stp>銘柄名称</stp>
        <tr r="C189"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住友商事</v>
        <stp/>
        <stp>Market</stp>
        <stp>STOCK</stp>
        <stp>80530.T</stp>
        <stp>銘柄名称</stp>
        <tr r="C25" s="1"/>
      </tp>
      <tp t="s">
        <v>ジャパンマテリアル</v>
        <stp/>
        <stp>Market</stp>
        <stp>STOCK</stp>
        <stp>60550.T</stp>
        <stp>銘柄名称</stp>
        <tr r="C224" s="1"/>
      </tp>
      <tp t="s">
        <v>三菱商事</v>
        <stp/>
        <stp>Market</stp>
        <stp>STOCK</stp>
        <stp>80580.T</stp>
        <stp>銘柄名称</stp>
        <tr r="C16" s="1"/>
      </tp>
    </main>
    <main first="rtdsrv.bed1b1f6e97c4c9f9ae958b1f8b490de">
      <tp t="s">
        <v>三菱瓦斯化学</v>
        <stp/>
        <stp>Market</stp>
        <stp>STOCK</stp>
        <stp>41820.T</stp>
        <stp>銘柄名称</stp>
        <tr r="C97" s="1"/>
      </tp>
      <tp t="s">
        <v>ゆうちょ銀行</v>
        <stp/>
        <stp>Market</stp>
        <stp>STOCK</stp>
        <stp>71820.T</stp>
        <stp>銘柄名称</stp>
        <tr r="C85" s="1"/>
      </tp>
      <tp t="s">
        <v>かんぽ生命保険</v>
        <stp/>
        <stp>Market</stp>
        <stp>STOCK</stp>
        <stp>71810.T</stp>
        <stp>銘柄名称</stp>
        <tr r="C190" s="1"/>
      </tp>
      <tp t="s">
        <v>三菱ケミカルグループ</v>
        <stp/>
        <stp>Market</stp>
        <stp>STOCK</stp>
        <stp>41880.T</stp>
        <stp>銘柄名称</stp>
        <tr r="C98" s="1"/>
        <tr r="D5" s="16"/>
        <tr r="D37" s="16"/>
      </tp>
      <tp t="s">
        <v>日本Ｍ＆Ａセンターホールデ</v>
        <stp/>
        <stp>Market</stp>
        <stp>STOCK</stp>
        <stp>21270.T</stp>
        <stp>銘柄名称</stp>
        <tr r="C187" s="1"/>
      </tp>
      <tp t="s">
        <v>ＦＵＪＩ</v>
        <stp/>
        <stp>Market</stp>
        <stp>STOCK</stp>
        <stp>61340.T</stp>
        <stp>銘柄名称</stp>
        <tr r="C92" s="1"/>
      </tp>
      <tp t="s">
        <v>牧野フライス</v>
        <stp/>
        <stp>Market</stp>
        <stp>STOCK</stp>
        <stp>61350.T</stp>
        <stp>銘柄名称</stp>
        <tr r="C223"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ダイワボウＨＤ</v>
        <stp/>
        <stp>Market</stp>
        <stp>STOCK</stp>
        <stp>31070.T</stp>
        <stp>銘柄名称</stp>
        <tr r="C60" s="1"/>
      </tp>
      <tp t="s">
        <v>商船三井</v>
        <stp/>
        <stp>Market</stp>
        <stp>STOCK</stp>
        <stp>91040.T</stp>
        <stp>銘柄名称</stp>
        <tr r="C259" s="1"/>
      </tp>
      <tp t="s">
        <v>日東紡績</v>
        <stp/>
        <stp>Market</stp>
        <stp>STOCK</stp>
        <stp>31100.T</stp>
        <stp>銘柄名称</stp>
        <tr r="C134" s="1"/>
      </tp>
      <tp t="s">
        <v>明海グループ</v>
        <stp/>
        <stp>Market</stp>
        <stp>STOCK</stp>
        <stp>91150.T</stp>
        <stp>銘柄名称</stp>
        <tr r="C270" s="1"/>
      </tp>
      <tp t="s">
        <v>ジーエヌアイグループ</v>
        <stp/>
        <stp>Market</stp>
        <stp>STOCK</stp>
        <stp>21600.T</stp>
        <stp>銘柄名称</stp>
        <tr r="C131" s="1"/>
      </tp>
      <tp t="s">
        <v>めぶきフィナンシャルＧ</v>
        <stp/>
        <stp>Market</stp>
        <stp>STOCK</stp>
        <stp>71670.T</stp>
        <stp>銘柄名称</stp>
        <tr r="C82" s="1"/>
      </tp>
      <tp t="s">
        <v>クオルテック</v>
        <stp/>
        <stp>Market</stp>
        <stp>STOCK</stp>
        <stp>91650.T</stp>
        <stp>銘柄名称</stp>
        <tr r="C243" s="1"/>
      </tp>
      <tp t="s">
        <v>日本郵政</v>
        <stp/>
        <stp>Market</stp>
        <stp>STOCK</stp>
        <stp>61780.T</stp>
        <stp>銘柄名称</stp>
        <tr r="D4" s="16"/>
        <tr r="C104" s="1"/>
      </tp>
      <tp t="s">
        <v>旭ダイヤモンド</v>
        <stp/>
        <stp>Market</stp>
        <stp>STOCK</stp>
        <stp>61400.T</stp>
        <stp>銘柄名称</stp>
        <tr r="C261" s="1"/>
      </tp>
      <tp t="s">
        <v>新光商事</v>
        <stp/>
        <stp>Market</stp>
        <stp>STOCK</stp>
        <stp>81410.T</stp>
        <stp>銘柄名称</stp>
        <tr r="C292" s="1"/>
      </tp>
      <tp t="s">
        <v>ディスコ</v>
        <stp/>
        <stp>Market</stp>
        <stp>STOCK</stp>
        <stp>61460.T</stp>
        <stp>銘柄名称</stp>
        <tr r="C197" s="1"/>
        <tr r="D7" s="16"/>
      </tp>
    </main>
    <main first="rtdsrv.bed1b1f6e97c4c9f9ae958b1f8b490de">
      <tp t="s">
        <v>ゼビオホールディングス</v>
        <stp/>
        <stp>Market</stp>
        <stp>STOCK</stp>
        <stp>82810.T</stp>
        <stp>銘柄名称</stp>
        <tr r="C63" s="1"/>
      </tp>
      <tp t="s">
        <v>児玉化学</v>
        <stp/>
        <stp>Market</stp>
        <stp>STOCK</stp>
        <stp>42220.T</stp>
        <stp>銘柄名称</stp>
        <tr r="C229" s="1"/>
      </tp>
      <tp t="s">
        <v>ＡＩメカテック</v>
        <stp/>
        <stp>Market</stp>
        <stp>STOCK</stp>
        <stp>62270.T</stp>
        <stp>銘柄名称</stp>
        <tr r="C132" s="1"/>
      </tp>
      <tp t="s">
        <v>マイクロ波化学</v>
        <stp/>
        <stp>Market</stp>
        <stp>STOCK</stp>
        <stp>92270.T</stp>
        <stp>銘柄名称</stp>
        <tr r="C111" s="1"/>
      </tp>
      <tp t="s">
        <v>ＡＣＳＬ</v>
        <stp/>
        <stp>Market</stp>
        <stp>STOCK</stp>
        <stp>62320.T</stp>
        <stp>銘柄名称</stp>
        <tr r="C135" s="1"/>
      </tp>
      <tp t="s">
        <v>太平洋セメント</v>
        <stp/>
        <stp>Market</stp>
        <stp>STOCK</stp>
        <stp>52330.T</stp>
        <stp>銘柄名称</stp>
        <tr r="D54" s="16"/>
        <tr r="C34" s="1"/>
      </tp>
      <tp t="s">
        <v>ティラド</v>
        <stp/>
        <stp>Market</stp>
        <stp>STOCK</stp>
        <stp>72360.T</stp>
        <stp>銘柄名称</stp>
        <tr r="C177" s="1"/>
      </tp>
      <tp t="s">
        <v>ＡＮＡホールディングス</v>
        <stp/>
        <stp>Market</stp>
        <stp>STOCK</stp>
        <stp>92020.T</stp>
        <stp>銘柄名称</stp>
        <tr r="C74" s="1"/>
      </tp>
      <tp t="s">
        <v>豊和工業</v>
        <stp/>
        <stp>Market</stp>
        <stp>STOCK</stp>
        <stp>62030.T</stp>
        <stp>銘柄名称</stp>
        <tr r="C57" s="1"/>
      </tp>
      <tp t="s">
        <v>トヨタ自動車</v>
        <stp/>
        <stp>Market</stp>
        <stp>STOCK</stp>
        <stp>72030.T</stp>
        <stp>銘柄名称</stp>
        <tr r="C77" s="1"/>
      </tp>
      <tp t="s">
        <v>ＡＧＣ</v>
        <stp/>
        <stp>Market</stp>
        <stp>STOCK</stp>
        <stp>52010.T</stp>
        <stp>銘柄名称</stp>
        <tr r="C53" s="1"/>
        <tr r="D51" s="16"/>
      </tp>
      <tp t="s">
        <v>ＵＢＥ</v>
        <stp/>
        <stp>Market</stp>
        <stp>STOCK</stp>
        <stp>42080.T</stp>
        <stp>銘柄名称</stp>
        <tr r="C298" s="1"/>
      </tp>
      <tp t="s">
        <v>ニチバン</v>
        <stp/>
        <stp>Market</stp>
        <stp>STOCK</stp>
        <stp>42180.T</stp>
        <stp>銘柄名称</stp>
        <tr r="C282" s="1"/>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カバー</v>
        <stp/>
        <stp>Market</stp>
        <stp>STOCK</stp>
        <stp>52530.T</stp>
        <stp>銘柄名称</stp>
        <tr r="C258" s="1"/>
      </tp>
      <tp t="s">
        <v>野村マイクロ・サイエンス</v>
        <stp/>
        <stp>Market</stp>
        <stp>STOCK</stp>
        <stp>62540.T</stp>
        <stp>銘柄名称</stp>
        <tr r="C30" s="1"/>
      </tp>
      <tp t="s">
        <v>ＨＥＲＯＺ</v>
        <stp/>
        <stp>Market</stp>
        <stp>STOCK</stp>
        <stp>43820.T</stp>
        <stp>銘柄名称</stp>
        <tr r="C173" s="1"/>
      </tp>
      <tp t="s">
        <v>ＣＣＩグループ</v>
        <stp/>
        <stp>Market</stp>
        <stp>STOCK</stp>
        <stp>73810.T</stp>
        <stp>銘柄名称</stp>
        <tr r="C152" s="1"/>
      </tp>
      <tp t="s">
        <v>サムコ</v>
        <stp/>
        <stp>Market</stp>
        <stp>STOCK</stp>
        <stp>63870.T</stp>
        <stp>銘柄名称</stp>
        <tr r="C147" s="1"/>
        <tr r="D12" s="16"/>
      </tp>
      <tp t="s">
        <v>ＦＩＧ</v>
        <stp/>
        <stp>Market</stp>
        <stp>STOCK</stp>
        <stp>43920.T</stp>
        <stp>銘柄名称</stp>
        <tr r="C235" s="1"/>
      </tp>
      <tp t="s">
        <v>トリドールホールディングス</v>
        <stp/>
        <stp>Market</stp>
        <stp>STOCK</stp>
        <stp>33970.T</stp>
        <stp>銘柄名称</stp>
        <tr r="C285" s="1"/>
        <tr r="D22" s="16"/>
        <tr r="D30" s="16"/>
      </tp>
      <tp t="s">
        <v>ローツェ</v>
        <stp/>
        <stp>Market</stp>
        <stp>STOCK</stp>
        <stp>63230.T</stp>
        <stp>銘柄名称</stp>
        <tr r="C90" s="1"/>
      </tp>
      <tp t="s">
        <v>ＮＦ日経２２５</v>
        <stp/>
        <stp>Market</stp>
        <stp>STOCK</stp>
        <stp>13210.T</stp>
        <stp>銘柄名称</stp>
        <tr r="C303" s="1"/>
      </tp>
      <tp t="s">
        <v>デジタルアーツ</v>
        <stp/>
        <stp>Market</stp>
        <stp>STOCK</stp>
        <stp>23260.T</stp>
        <stp>銘柄名称</stp>
        <tr r="C237" s="1"/>
      </tp>
      <tp t="s">
        <v>北川精機</v>
        <stp/>
        <stp>Market</stp>
        <stp>STOCK</stp>
        <stp>63270.T</stp>
        <stp>銘柄名称</stp>
        <tr r="C133" s="1"/>
        <tr r="D40" s="16"/>
      </tp>
      <tp t="s">
        <v>日鉄ソリューションズ</v>
        <stp/>
        <stp>Market</stp>
        <stp>STOCK</stp>
        <stp>23270.T</stp>
        <stp>銘柄名称</stp>
        <tr r="C174" s="1"/>
      </tp>
      <tp t="s">
        <v>ハーモニック・ドライブ・シス</v>
        <stp/>
        <stp>Market</stp>
        <stp>STOCK</stp>
        <stp>63240.T</stp>
        <stp>銘柄名称</stp>
        <tr r="C210" s="1"/>
      </tp>
      <tp t="s">
        <v>ＴＯＴＯ</v>
        <stp/>
        <stp>Market</stp>
        <stp>STOCK</stp>
        <stp>53320.T</stp>
        <stp>銘柄名称</stp>
        <tr r="C21" s="1"/>
      </tp>
      <tp t="s">
        <v>ＮＧＫ</v>
        <stp/>
        <stp>Market</stp>
        <stp>STOCK</stp>
        <stp>53330.T</stp>
        <stp>銘柄名称</stp>
        <tr r="C17" s="1"/>
      </tp>
      <tp t="s">
        <v>東洋エンジニア</v>
        <stp/>
        <stp>Market</stp>
        <stp>STOCK</stp>
        <stp>63300.T</stp>
        <stp>銘柄名称</stp>
        <tr r="C128" s="1"/>
      </tp>
      <tp t="s">
        <v>三菱化工機</v>
        <stp/>
        <stp>Market</stp>
        <stp>STOCK</stp>
        <stp>63310.T</stp>
        <stp>銘柄名称</stp>
        <tr r="C301" s="1"/>
      </tp>
      <tp t="s">
        <v>群馬銀行</v>
        <stp/>
        <stp>Market</stp>
        <stp>STOCK</stp>
        <stp>83340.T</stp>
        <stp>銘柄名称</stp>
        <tr r="C122" s="1"/>
        <tr r="D11" s="16"/>
      </tp>
      <tp t="s">
        <v>ＳＢＩ新生銀行</v>
        <stp/>
        <stp>Market</stp>
        <stp>STOCK</stp>
        <stp>83030.T</stp>
        <stp>銘柄名称</stp>
        <tr r="C172" s="1"/>
      </tp>
      <tp t="s">
        <v>三菱ＵＦＪフィナンシャルＧ</v>
        <stp/>
        <stp>Market</stp>
        <stp>STOCK</stp>
        <stp>83060.T</stp>
        <stp>銘柄名称</stp>
        <tr r="C45" s="1"/>
      </tp>
      <tp t="s">
        <v>野村総合研究所</v>
        <stp/>
        <stp>Market</stp>
        <stp>STOCK</stp>
        <stp>43070.T</stp>
        <stp>銘柄名称</stp>
        <tr r="C150" s="1"/>
        <tr r="D18" s="16"/>
      </tp>
      <tp t="s">
        <v>日立建機</v>
        <stp/>
        <stp>Market</stp>
        <stp>STOCK</stp>
        <stp>63050.T</stp>
        <stp>銘柄名称</stp>
        <tr r="C203" s="1"/>
      </tp>
      <tp t="s">
        <v>りそなホールディングス</v>
        <stp/>
        <stp>Market</stp>
        <stp>STOCK</stp>
        <stp>83080.T</stp>
        <stp>銘柄名称</stp>
        <tr r="C35" s="1"/>
      </tp>
      <tp t="s">
        <v>三井住友トラストグルー</v>
        <stp/>
        <stp>Market</stp>
        <stp>STOCK</stp>
        <stp>83090.T</stp>
        <stp>銘柄名称</stp>
        <tr r="C31" s="1"/>
      </tp>
      <tp t="s">
        <v>三井住友フィナンシャルＧ</v>
        <stp/>
        <stp>Market</stp>
        <stp>STOCK</stp>
        <stp>83160.T</stp>
        <stp>銘柄名称</stp>
        <tr r="C50" s="1"/>
      </tp>
      <tp t="s">
        <v>荏原製作所</v>
        <stp/>
        <stp>Market</stp>
        <stp>STOCK</stp>
        <stp>63610.T</stp>
        <stp>銘柄名称</stp>
        <tr r="C249" s="1"/>
      </tp>
      <tp t="s">
        <v>千代田化工建</v>
        <stp/>
        <stp>Market</stp>
        <stp>STOCK</stp>
        <stp>63660.T</stp>
        <stp>銘柄名称</stp>
        <tr r="C260" s="1"/>
      </tp>
      <tp t="s">
        <v>シンプレクスＨＤ</v>
        <stp/>
        <stp>Market</stp>
        <stp>STOCK</stp>
        <stp>43730.T</stp>
        <stp>銘柄名称</stp>
        <tr r="C160" s="1"/>
      </tp>
      <tp t="s">
        <v>栗田工業</v>
        <stp/>
        <stp>Market</stp>
        <stp>STOCK</stp>
        <stp>63700.T</stp>
        <stp>銘柄名称</stp>
        <tr r="C255" s="1"/>
      </tp>
      <tp t="s">
        <v>日機装</v>
        <stp/>
        <stp>Market</stp>
        <stp>STOCK</stp>
        <stp>63760.T</stp>
        <stp>銘柄名称</stp>
        <tr r="C269" s="1"/>
      </tp>
      <tp t="s">
        <v>リファインバースグループ</v>
        <stp/>
        <stp>Market</stp>
        <stp>STOCK</stp>
        <stp>73750.T</stp>
        <stp>銘柄名称</stp>
        <tr r="D21" s="16"/>
        <tr r="C149"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41" Type="http://schemas.openxmlformats.org/officeDocument/2006/relationships/worksheet" Target="worksheets/sheet29.xml"/><Relationship Id="rId42" Type="http://schemas.openxmlformats.org/officeDocument/2006/relationships/worksheet" Target="worksheets/sheet30.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00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300-000001180100}"/>
                </a:ext>
              </a:extLst>
            </xdr:cNvPr>
            <xdr:cNvSpPr/>
          </xdr:nvSpPr>
          <xdr:spPr bwMode="auto">
            <a:xfrm>
              <a:off x="0" y="0"/>
              <a:ext cx="0" cy="0"/>
            </a:xfrm>
            <a:prstGeom prst="rect">
              <a:avLst/>
            </a:prstGeom>
            <a:noFill/>
            <a:ln w="9525">
              <a:miter lim="800000"/>
              <a:headEnd/>
              <a:tailEnd/>
            </a:ln>
          </xdr:spPr>
          <xdr:txBody>
            <a:bodyPr vertOverflow="clip" wrap="square" lIns="45720" tIns="0" rIns="45720" bIns="27432" anchor="b" upright="1"/>
            <a:lstStyle/>
            <a:p>
              <a:pPr algn="ctr" rtl="0">
                <a:defRPr sz="1000"/>
              </a:pPr>
              <a:r>
                <a:rPr lang="ja-JP" altLang="en-US" sz="1800" b="1" i="0" u="none" strike="noStrike" baseline="0">
                  <a:solidFill>
                    <a:srgbClr val="000000"/>
                  </a:solidFill>
                  <a:latin typeface="ＭＳ Ｐゴシック"/>
                  <a:ea typeface="ＭＳ Ｐゴシック"/>
                </a:rPr>
                <a:t>高精度抽出</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3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3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            </a:t>
              </a:r>
            </a:p>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F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0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10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0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10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33"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E461"/>
  <sheetViews>
    <sheetView tabSelected="1" zoomScale="66" zoomScaleNormal="66" workbookViewId="0">
      <selection activeCell="AJ1" sqref="AJ1:AJ1048576"/>
    </sheetView>
  </sheetViews>
  <sheetFormatPr defaultColWidth="9" defaultRowHeight="25.8"/>
  <cols>
    <col min="1" max="1" width="25.6640625" style="622" bestFit="1" customWidth="1"/>
    <col min="2" max="2" width="13" style="440" bestFit="1" customWidth="1"/>
    <col min="3" max="3" width="9.6640625" style="440" bestFit="1" customWidth="1"/>
    <col min="4" max="4" width="37.88671875" style="440" bestFit="1" customWidth="1"/>
    <col min="5" max="5" width="43.5546875" style="718"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8"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00" bestFit="1" customWidth="1"/>
    <col min="26" max="26" width="44.88671875" style="608" bestFit="1" customWidth="1"/>
    <col min="27" max="27" width="25.44140625" style="600" customWidth="1"/>
    <col min="28" max="28" width="55.21875" style="600" customWidth="1"/>
    <col min="29" max="29" width="33.33203125" style="600" customWidth="1"/>
    <col min="30" max="30" width="75.5546875" style="600" bestFit="1" customWidth="1"/>
    <col min="31" max="31" width="38.44140625" style="600" bestFit="1" customWidth="1"/>
    <col min="32" max="33" width="25.5546875" style="600" bestFit="1" customWidth="1"/>
    <col min="34" max="34" width="16.88671875" style="600" customWidth="1"/>
    <col min="35" max="35" width="9" style="600"/>
    <col min="36" max="36" width="29" style="608" bestFit="1" customWidth="1"/>
    <col min="37" max="37" width="18.109375" style="600" customWidth="1"/>
    <col min="38" max="38" width="37" style="600" customWidth="1"/>
    <col min="39" max="39" width="26.33203125" style="600" bestFit="1" customWidth="1"/>
    <col min="40" max="40" width="81.77734375" style="600" bestFit="1" customWidth="1"/>
    <col min="41" max="41" width="22.33203125" style="600" bestFit="1" customWidth="1"/>
    <col min="42" max="42" width="12.5546875" style="600" bestFit="1" customWidth="1"/>
    <col min="43" max="43" width="12.5546875" style="600" customWidth="1"/>
    <col min="44" max="44" width="61.109375" style="600" customWidth="1"/>
    <col min="45" max="45" width="30.21875" style="600" bestFit="1" customWidth="1"/>
    <col min="46" max="46" width="26.6640625" style="600" bestFit="1" customWidth="1"/>
    <col min="47" max="53" width="9" style="600"/>
    <col min="54" max="55" width="9.109375" style="600" bestFit="1" customWidth="1"/>
    <col min="56" max="73" width="9" style="600"/>
    <col min="74" max="16384" width="9" style="440"/>
  </cols>
  <sheetData>
    <row r="1" spans="1:57" ht="58.8" customHeight="1">
      <c r="A1" s="657" t="str">
        <f ca="1">TEXT(TODAY(),"m/d(aaa)")</f>
        <v>8/6(木)</v>
      </c>
      <c r="B1" s="746" t="s">
        <v>1363</v>
      </c>
      <c r="C1" s="747"/>
      <c r="D1" s="658" t="s">
        <v>1364</v>
      </c>
      <c r="E1" s="713" t="s">
        <v>1365</v>
      </c>
      <c r="F1" s="659" t="s">
        <v>1366</v>
      </c>
      <c r="G1" s="660" t="s">
        <v>1367</v>
      </c>
      <c r="H1" s="748" t="s">
        <v>1368</v>
      </c>
      <c r="I1" s="749"/>
      <c r="J1" s="661" t="s">
        <v>1369</v>
      </c>
      <c r="K1" s="662" t="s">
        <v>1370</v>
      </c>
      <c r="L1" s="663"/>
      <c r="M1" s="744" t="s">
        <v>1371</v>
      </c>
      <c r="N1" s="745"/>
      <c r="O1" s="745"/>
      <c r="P1" s="745"/>
      <c r="Q1" s="745"/>
      <c r="R1" s="745"/>
      <c r="AN1" s="601"/>
      <c r="BE1" s="601"/>
    </row>
    <row r="2" spans="1:57" ht="92.4" customHeight="1" thickBot="1">
      <c r="A2" s="588" t="s">
        <v>782</v>
      </c>
      <c r="B2" s="589" t="str">
        <f ca="1">COUNTIF($S:$S,"📌保有中")&amp;"件"</f>
        <v>19件</v>
      </c>
      <c r="C2" s="589"/>
      <c r="D2" s="589">
        <f ca="1">SUM($V:$V)</f>
        <v>43450</v>
      </c>
      <c r="E2" s="733">
        <f ca="1">SUMIF($S:$S,"📌保有中",$K:$K)</f>
        <v>34200</v>
      </c>
      <c r="F2" s="590" t="str">
        <f ca="1">COUNTIF($S:$S,"🟢利確推奨")&amp;"件"</f>
        <v>0件</v>
      </c>
      <c r="G2" s="588" t="str">
        <f ca="1">COUNTIF($S:$S,"🟡利確直近")&amp;"件"</f>
        <v>0件</v>
      </c>
      <c r="H2" s="588" t="s">
        <v>1348</v>
      </c>
      <c r="I2" s="588" t="str">
        <f ca="1">COUNTIF($O:$O,"🔴損切")&amp;"件"</f>
        <v>23件</v>
      </c>
      <c r="J2" s="588" t="str">
        <f ca="1">COUNTIF($S:$S,"⚠️損切注意")&amp;"件"</f>
        <v>0件</v>
      </c>
      <c r="K2" s="588" t="str">
        <f ca="1">COUNTIF($S:$S,"🔴損切り")&amp;"件"</f>
        <v>0件</v>
      </c>
      <c r="L2" s="699"/>
      <c r="M2" s="699" t="s">
        <v>1488</v>
      </c>
      <c r="N2" s="699"/>
      <c r="O2" s="588"/>
      <c r="P2" s="588"/>
      <c r="Q2" s="588"/>
      <c r="R2" s="588"/>
      <c r="S2" s="471"/>
      <c r="T2" s="441"/>
      <c r="U2" s="441"/>
      <c r="V2" s="441"/>
      <c r="W2" s="441"/>
      <c r="X2" s="441"/>
      <c r="AD2" s="602" t="s">
        <v>1266</v>
      </c>
      <c r="AN2" s="488" t="s">
        <v>1361</v>
      </c>
      <c r="BB2" s="603" t="s">
        <v>1318</v>
      </c>
      <c r="BE2" s="601"/>
    </row>
    <row r="3" spans="1:57" ht="55.8" customHeight="1" thickTop="1" thickBot="1">
      <c r="A3" s="618" t="s">
        <v>518</v>
      </c>
      <c r="B3" s="442" t="s">
        <v>1</v>
      </c>
      <c r="C3" s="442" t="s">
        <v>783</v>
      </c>
      <c r="D3" s="442" t="s">
        <v>784</v>
      </c>
      <c r="E3" s="714" t="s">
        <v>785</v>
      </c>
      <c r="F3" s="443" t="s">
        <v>786</v>
      </c>
      <c r="G3" s="442" t="s">
        <v>787</v>
      </c>
      <c r="H3" s="442" t="s">
        <v>525</v>
      </c>
      <c r="I3" s="442" t="s">
        <v>662</v>
      </c>
      <c r="J3" s="442" t="s">
        <v>788</v>
      </c>
      <c r="K3" s="442" t="s">
        <v>789</v>
      </c>
      <c r="L3" s="442" t="s">
        <v>790</v>
      </c>
      <c r="M3" s="461" t="s">
        <v>791</v>
      </c>
      <c r="N3" s="462" t="s">
        <v>792</v>
      </c>
      <c r="O3" s="476" t="s">
        <v>793</v>
      </c>
      <c r="P3" s="442" t="s">
        <v>794</v>
      </c>
      <c r="Q3" s="442" t="s">
        <v>795</v>
      </c>
      <c r="R3" s="442" t="s">
        <v>796</v>
      </c>
      <c r="S3" s="472" t="s">
        <v>549</v>
      </c>
      <c r="T3" s="442" t="s">
        <v>797</v>
      </c>
      <c r="U3" s="442" t="s">
        <v>798</v>
      </c>
      <c r="V3" s="442" t="s">
        <v>799</v>
      </c>
      <c r="W3" s="442" t="s">
        <v>652</v>
      </c>
      <c r="X3" s="442" t="s">
        <v>716</v>
      </c>
      <c r="Y3" s="604"/>
      <c r="Z3" s="604" t="s">
        <v>537</v>
      </c>
      <c r="AA3" s="604" t="s">
        <v>538</v>
      </c>
      <c r="AB3" s="605"/>
      <c r="AD3" s="606" t="s">
        <v>1259</v>
      </c>
      <c r="AE3" s="606" t="s">
        <v>1260</v>
      </c>
      <c r="AF3" s="606" t="s">
        <v>1261</v>
      </c>
      <c r="AG3" s="606" t="s">
        <v>1262</v>
      </c>
      <c r="AH3" s="606" t="s">
        <v>860</v>
      </c>
      <c r="AI3" s="606" t="s">
        <v>1263</v>
      </c>
      <c r="AJ3" s="606" t="s">
        <v>1264</v>
      </c>
      <c r="AK3" s="606" t="s">
        <v>1265</v>
      </c>
      <c r="AN3" s="654" t="s">
        <v>1259</v>
      </c>
      <c r="AO3" s="655" t="s">
        <v>1282</v>
      </c>
      <c r="AP3" s="655" t="s">
        <v>1283</v>
      </c>
      <c r="AQ3" s="655" t="s">
        <v>1362</v>
      </c>
      <c r="AR3" s="655" t="s">
        <v>1167</v>
      </c>
      <c r="AS3" s="655" t="s">
        <v>1284</v>
      </c>
      <c r="AT3" s="656" t="s">
        <v>1285</v>
      </c>
      <c r="BB3" s="607" t="s">
        <v>1319</v>
      </c>
      <c r="BC3" s="607" t="s">
        <v>1320</v>
      </c>
      <c r="BE3" s="601"/>
    </row>
    <row r="4" spans="1:57" ht="35.4" customHeight="1">
      <c r="A4" s="619" t="str">
        <f>IF(B4="","",HYPERLINK("https://kabutan.jp/stock/?code="&amp;B4,"株探"))</f>
        <v>株探</v>
      </c>
      <c r="B4" s="556">
        <v>6178</v>
      </c>
      <c r="C4" s="482" t="s">
        <v>998</v>
      </c>
      <c r="D4" s="584" t="str" cm="1">
        <f t="array" ref="D4">_xll.RssMarket(B4, "銘柄名称")</f>
        <v>日本郵政</v>
      </c>
      <c r="E4" s="715">
        <v>46230</v>
      </c>
      <c r="F4" s="698" cm="1">
        <f t="array" aca="1" ref="F4" ca="1">IFERROR(_xlfn.LET(_xlpm.r,MATCH(TEXT($B4,"0"),TEXT(銘柄管理!$B$6:$B$305,"0"),0),_xlpm.t,MOD(NOW(),1),_xlpm.c,IF($E4=TODAY(),IF(_xlpm.t&gt;=TIME(15,30,0),NA(),1),IF(MATCH($E4,始値!$E$3:$IT$3,0)=1,1,MATCH($E4,始値!$E$3:$IT$3,0)+1)),_xlpm.v,INDEX(始値!$C$6:$IT$305,_xlpm.r,_xlpm.c),IF(N(_xlpm.v)=0,"",_xlpm.v)),"")</f>
        <v>2498.5</v>
      </c>
      <c r="G4" s="484">
        <v>100</v>
      </c>
      <c r="H4" s="485" cm="1">
        <f t="array" ref="H4">_xll.RssMarket(B4, "現在値")</f>
        <v>2395</v>
      </c>
      <c r="I4" s="485" cm="1">
        <f t="array" ref="I4">_xll.RssMarket(B4, "出来高加重平均")</f>
        <v>2382.7604999999999</v>
      </c>
      <c r="J4" s="700" cm="1">
        <f t="array" ref="J4">_xll.RssMarket($B4, "前日比")</f>
        <v>38</v>
      </c>
      <c r="K4" s="700">
        <f>IF(OR(F4="",G4="",H4=""),"",IF(C4="売",(F4-H4)*G4,(H4-F4)*G4))</f>
        <v>-10350</v>
      </c>
      <c r="L4" s="705">
        <f>IF(OR(F4="",H4=""),"",IF(C4="売",(F4-H4)/F4,(H4-F4)/F4))</f>
        <v>-4.142485491294777E-2</v>
      </c>
      <c r="M4" s="485">
        <f>IF($F4="","",$F4*IF($C4="売",1-V811設定!$B$4,1+V811設定!$B$4)-MOD($F4*IF($C4="売",1-V811設定!$B$4,1+V811設定!$B$4),IF($F4&lt;=3000,1,IF($F4&lt;=5000,5,IF($F4&lt;=30000,10,IF($F4&lt;=50000,50,IF($F4&lt;=300000,100,500))))))+IF(AND($C4="売",MOD($F4*IF($C4="売",1-V811設定!$B$4,1+V811設定!$B$4),IF($F4&lt;=3000,1,IF($F4&lt;=5000,5,IF($F4&lt;=30000,10,IF($F4&lt;=50000,50,IF($F4&lt;=300000,100,500))))))&gt;0),IF($F4&lt;=3000,1,IF($F4&lt;=5000,5,IF($F4&lt;=30000,10,IF($F4&lt;=50000,50,IF($F4&lt;=300000,100,500))))),0))</f>
      </c>
      <c r="N4" s="485">
        <f>IF($F4="","",$F4*IF($C4="売",1+V811設定!$B$3,1-V811設定!$B$3)-MOD($F4*IF($C4="売",1+V811設定!$B$3,1-V811設定!$B$3),IF($F4&lt;=3000,1,IF($F4&lt;=5000,5,IF($F4&lt;=30000,10,IF($F4&lt;=50000,50,IF($F4&lt;=300000,100,500))))))+IF(AND($C4="売",MOD($F4*IF($C4="売",1+V811設定!$B$3,1-V811設定!$B$3),IF($F4&lt;=3000,1,IF($F4&lt;=5000,5,IF($F4&lt;=30000,10,IF($F4&lt;=50000,50,IF($F4&lt;=300000,100,500))))))&gt;0),IF($F4&lt;=3000,1,IF($F4&lt;=5000,5,IF($F4&lt;=30000,10,IF($F4&lt;=50000,50,IF($F4&lt;=300000,100,500))))),0))</f>
      </c>
      <c r="O4" s="486" t="str">
        <f>IF(OR($B4="",$F4="",$H4=""),"",IF($S4="✅売却済","―決済済―",IF($C4="売",IF($H4&lt;=$M4,"🟢利確",IF(AND($R4&lt;&gt;"",$H4&gt;=$R4),"🟠TRAIL",IF($H4&gt;=$N4,"🔴損切",IF($W4&gt;=V811設定!$B$6,"⏱時間決済",IF($H4&gt;=$F4*(1+V811設定!$B$3*0.7),"⚠️損切接近","保持継続"))))),IF($H4&gt;=$M4,"🟢利確",IF(AND($R4&lt;&gt;"",$H4&lt;=$R4),"🟠TRAIL",IF($H4&lt;=$N4,"🔴損切",IF($W4&gt;=V811設定!$B$6,"⏱時間決済",IF($H4&lt;=$F4*(1-V811設定!$B$3*0.7),"⚠️損切接近","保持継続"))))))))</f>
      </c>
      <c r="P4" s="485">
        <f ca="1">IF(B4="","",IFERROR(MAX(OFFSET(高値!$E$6,IFERROR(MATCH(B4,銘柄管理!$B$6:$B$305,0),MATCH(TEXT(B4,"0"),銘柄管理!$B$6:$B$305,0))-1,0,1,10)),""))</f>
        <v>2539.5</v>
      </c>
      <c r="Q4" s="485">
        <f ca="1">IF(B4="","",IFERROR(MIN(OFFSET(安値!$E$6,IFERROR(MATCH(B4,銘柄管理!$B$6:$B$305,0),MATCH(TEXT(B4,"0"),銘柄管理!$B$6:$B$305,0))-1,0,1,10)),""))</f>
        <v>2267.5</v>
      </c>
      <c r="R4" s="485">
        <f>IF(OR($F4="",$H4="",$N4=""),"",IF($S4="✅売却済","",IF($C4="売",IF($H4&gt;$F4*(1-V811設定!$B$3),$N4,MIN($N4,IF($Q4="",$N4,$Q4*1.03))),IF($H4&lt;$F4*(1+V811設定!$B$3),$N4,MAX($N4,IF($P4="",$N4,$P4*0.97))))))</f>
      </c>
      <c r="S4" s="585" t="str">
        <f>IF(B4="","",IF(T4&lt;&gt;"","✅売却済",IF(OR(H4="",L4=""),"📌保有中",IF(L4&gt;=0.06,"🟢利確推奨",IF(L4&gt;=0.05,"🟡利確直近",IF(L4&gt;=0.045,"🔵トレーリング検討",IF(L4&gt;-0.03,"📌保有中",IF(L4&gt;-0.04,"⚠️損切注意","🔴損切り"))))))))</f>
        <v>✅売却済</v>
      </c>
      <c r="T4" s="593">
        <v>46234</v>
      </c>
      <c r="U4" s="485">
        <v>2399</v>
      </c>
      <c r="V4" s="700">
        <f>IF(OR(F4="",G4="",U4=""),"",IF(C4="売",(F4-U4)*G4,(U4-F4)*G4))</f>
        <v>-9950</v>
      </c>
      <c r="W4" s="487">
        <f ca="1">IF(OR($E4="",$B4=""),"",IF($T4&lt;&gt;"",$T4-$E4,TODAY()-$E4)+1)</f>
        <v>5</v>
      </c>
      <c r="X4" s="484" t="str">
        <f ca="1">IF(OR($AH4="",$AH4="保有中"),"",$AH4)</f>
        <v>損切確定</v>
      </c>
      <c r="Y4" s="488"/>
      <c r="Z4" s="710" t="s">
        <v>1268</v>
      </c>
      <c r="AA4" s="600" t="s">
        <v>1269</v>
      </c>
      <c r="AD4" s="608" t="s">
        <v>1267</v>
      </c>
      <c r="AE4" s="624">
        <f>IF($E4="","",WORKDAY($E4,12))</f>
        <v>46246</v>
      </c>
      <c r="AF4" s="626" cm="1">
        <f t="array" aca="1" ref="AF4" ca="1">IF(OR($B4="",$M4=""),"",IFERROR(IF($C4="売",_xlfn.MINIFS(安値!$E$3:$IT$3,安値!$E$3:$IT$3,"&gt;"&amp;$E4,安値!$E$3:$IT$3,"&lt;="&amp;$AE4,OFFSET(安値!$E$6:$IT$6,MATCH(TEXT($B4,"0"),TEXT(銘柄管理!$B$6:$B$305,"0"),0)-1,0),"&lt;="&amp;$M4),_xlfn.MINIFS(高値!$E$3:$IT$3,高値!$E$3:$IT$3,"&gt;"&amp;$E4,高値!$E$3:$IT$3,"&lt;="&amp;$AE4,OFFSET(高値!$E$6:$IT$6,MATCH(TEXT($B4,"0"),TEXT(銘柄管理!$B$6:$B$305,"0"),0)-1,0),"&gt;="&amp;$M4)),""))</f>
        <v>0</v>
      </c>
      <c r="AG4" s="626" cm="1">
        <f t="array" aca="1" ref="AG4" ca="1">IF(OR($B4="",$N4=""),"",IFERROR(IF($C4="売",_xlfn.MINIFS(高値!$E$3:$IT$3,高値!$E$3:$IT$3,"&gt;"&amp;$E4,高値!$E$3:$IT$3,"&lt;="&amp;$AE4,OFFSET(高値!$E$6:$IT$6,MATCH(TEXT($B4,"0"),TEXT(銘柄管理!$B$6:$B$305,"0"),0)-1,0),"&gt;="&amp;$N4),_xlfn.MINIFS(安値!$E$3:$IT$3,安値!$E$3:$IT$3,"&gt;"&amp;$E4,安値!$E$3:$IT$3,"&lt;="&amp;$AE4,OFFSET(安値!$E$6:$IT$6,MATCH(TEXT($B4,"0"),TEXT(銘柄管理!$B$6:$B$305,"0"),0)-1,0),"&lt;="&amp;$N4)),""))</f>
        <v>46234</v>
      </c>
      <c r="AH4" s="600" t="str">
        <f ca="1">IF(OR($B4="",$M4=""),"",IF(AND(N($AF4)=0,N($AG4)=0),IF(AND(ISNUMBER($H4),$H4&gt;0,IF($C4="売",$H4&gt;=$N4,$H4&lt;=$N4)),"損切確定",IF(AND(ISNUMBER($H4),$H4&gt;0,IF($C4="売",$H4&lt;=$M4,$H4&gt;=$M4)),"利益確定",IF($AE4&lt;=TODAY(),"日数制限","保有中"))),IF(N($AG4)=0,"利益確定",IF(N($AF4)=0,"損切確定",IF($AG4&lt;=$AF4,"損切確定","利益確定")))))</f>
        <v>損切確定</v>
      </c>
      <c r="AI4" s="600" t="str" cm="1">
        <f t="array" ref="AI4">IFERROR(INDEX(始値!$E$6:$IT$305,MATCH(TEXT($B4,"0"),TEXT(銘柄管理!$B$6:$B$305,"0"),0),MATCH($AE4,始値!$E$3:$IT$3,0)),"")</f>
        <v/>
      </c>
      <c r="AJ4" s="905">
        <f ca="1">IF(OR($V4="",$F4="",$G4=""),"",$V4/($F4*$G4))</f>
        <v>-3.982389433660196E-2</v>
      </c>
      <c r="AK4" s="629" t="str">
        <f ca="1">IF($V4="","",IF($V4&gt;0,"○勝",IF($V4&lt;0,"●負","△引分")))</f>
        <v>●負</v>
      </c>
      <c r="AN4" s="649" t="s">
        <v>1322</v>
      </c>
      <c r="AO4" s="650">
        <f ca="1">COUNTIFS($AD$4:$AD$1000,"*"&amp;$AN4&amp;"*",$T$4:$T$1000,"&gt;0")</f>
        <v>6</v>
      </c>
      <c r="AP4" s="650">
        <f ca="1">COUNTIFS($AD$4:$AD$1000,"*"&amp;$AN4&amp;"*",$AK$4:$AK$1000,"○勝")</f>
        <v>0</v>
      </c>
      <c r="AQ4" s="650">
        <f ca="1">COUNTIFS($AD$4:$AD$1000,"*"&amp;$AN4&amp;"*",$AK$4:$AK$1000,"●負")</f>
        <v>6</v>
      </c>
      <c r="AR4" s="651">
        <f ca="1">IF($AO4=0,"",$AP4/$AO4)</f>
        <v>0</v>
      </c>
      <c r="AS4" s="652">
        <f ca="1">SUMIFS($V$4:$V$1000,$AD$4:$AD$1000,"*"&amp;$AN4&amp;"*")</f>
        <v>-85700</v>
      </c>
      <c r="AT4" s="653">
        <f ca="1">IF($AO4=0,"",AVERAGEIFS($AJ$4:$AJ$1000,$AD$4:$AD$1000,"*"&amp;$AN4&amp;"*",$T$4:$T$1000,"&gt;0"))</f>
        <v>-4.0080593568518064E-2</v>
      </c>
      <c r="BB4" s="600">
        <f>IF(N(買抽出v13!$C4)=0,"",N(買抽出v13!$Q4)+N(買抽出v13!$L4)/1000-ROW()/1000000)</f>
        <v>18.002396000000001</v>
      </c>
      <c r="BC4" s="600">
        <f>IF(N(売抽出v13!$C4)=0,"",N(売抽出v13!$Q4)+IFERROR(VALUE(SUBSTITUTE(売抽出v13!$L4,"倍","")),0)/1000-ROW()/1000000)</f>
        <v>13.001965999999999</v>
      </c>
      <c r="BE4" s="601"/>
    </row>
    <row r="5" spans="1:55" ht="35.4" customHeight="1">
      <c r="A5" s="619" t="str">
        <f>IF(B5="","",HYPERLINK("https://kabutan.jp/stock/?code="&amp;B5,"株探"))</f>
        <v>株探</v>
      </c>
      <c r="B5" s="556">
        <v>4188</v>
      </c>
      <c r="C5" s="482" t="s">
        <v>998</v>
      </c>
      <c r="D5" s="483" t="str" cm="1">
        <f t="array" ref="D5">_xll.RssMarket(B5, "銘柄名称")</f>
        <v>三菱ケミカルグループ</v>
      </c>
      <c r="E5" s="715">
        <v>46230</v>
      </c>
      <c r="F5" s="698" cm="1">
        <f t="array" aca="1" ref="F5" ca="1">IFERROR(_xlfn.LET(_xlpm.r,MATCH(TEXT($B5,"0"),TEXT(銘柄管理!$B$6:$B$305,"0"),0),_xlpm.t,MOD(NOW(),1),_xlpm.c,IF($E5=TODAY(),IF(_xlpm.t&gt;=TIME(15,30,0),NA(),1),IF(MATCH($E5,始値!$E$3:$IT$3,0)=1,1,MATCH($E5,始値!$E$3:$IT$3,0)+1)),_xlpm.v,INDEX(始値!$C$6:$IT$305,_xlpm.r,_xlpm.c),IF(N(_xlpm.v)=0,"",_xlpm.v)),"")</f>
        <v>1200</v>
      </c>
      <c r="G5" s="484">
        <v>100</v>
      </c>
      <c r="H5" s="485" cm="1">
        <f t="array" ref="H5">_xll.RssMarket(B5, "現在値")</f>
        <v>1184.5</v>
      </c>
      <c r="I5" s="485" cm="1">
        <f t="array" ref="I5">_xll.RssMarket(B5, "出来高加重平均")</f>
        <v>1180.3271</v>
      </c>
      <c r="J5" s="700" cm="1">
        <f t="array" ref="J5">_xll.RssMarket($B5, "前日比")</f>
        <v>30</v>
      </c>
      <c r="K5" s="700">
        <f>IF(OR(F5="",G5="",H5=""),"",IF(C5="売",(F5-H5)*G5,(H5-F5)*G5))</f>
        <v>-1550</v>
      </c>
      <c r="L5" s="705">
        <f>IF(OR(F5="",H5=""),"",IF(C5="売",(F5-H5)/F5,(H5-F5)/F5))</f>
        <v>-1.2916666666666667E-2</v>
      </c>
      <c r="M5" s="485">
        <f>IF($F5="","",$F5*IF($C5="売",1-V811設定!$B$4,1+V811設定!$B$4)-MOD($F5*IF($C5="売",1-V811設定!$B$4,1+V811設定!$B$4),IF($F5&lt;=3000,1,IF($F5&lt;=5000,5,IF($F5&lt;=30000,10,IF($F5&lt;=50000,50,IF($F5&lt;=300000,100,500))))))+IF(AND($C5="売",MOD($F5*IF($C5="売",1-V811設定!$B$4,1+V811設定!$B$4),IF($F5&lt;=3000,1,IF($F5&lt;=5000,5,IF($F5&lt;=30000,10,IF($F5&lt;=50000,50,IF($F5&lt;=300000,100,500))))))&gt;0),IF($F5&lt;=3000,1,IF($F5&lt;=5000,5,IF($F5&lt;=30000,10,IF($F5&lt;=50000,50,IF($F5&lt;=300000,100,500))))),0))</f>
      </c>
      <c r="N5" s="485">
        <f>IF($F5="","",$F5*IF($C5="売",1+V811設定!$B$3,1-V811設定!$B$3)-MOD($F5*IF($C5="売",1+V811設定!$B$3,1-V811設定!$B$3),IF($F5&lt;=3000,1,IF($F5&lt;=5000,5,IF($F5&lt;=30000,10,IF($F5&lt;=50000,50,IF($F5&lt;=300000,100,500))))))+IF(AND($C5="売",MOD($F5*IF($C5="売",1+V811設定!$B$3,1-V811設定!$B$3),IF($F5&lt;=3000,1,IF($F5&lt;=5000,5,IF($F5&lt;=30000,10,IF($F5&lt;=50000,50,IF($F5&lt;=300000,100,500))))))&gt;0),IF($F5&lt;=3000,1,IF($F5&lt;=5000,5,IF($F5&lt;=30000,10,IF($F5&lt;=50000,50,IF($F5&lt;=300000,100,500))))),0))</f>
      </c>
      <c r="O5" s="486" t="str">
        <f>IF(OR($B5="",$F5="",$H5=""),"",IF($S5="✅売却済","―決済済―",IF($C5="売",IF($H5&lt;=$M5,"🟢利確",IF(AND($R5&lt;&gt;"",$H5&gt;=$R5),"🟠TRAIL",IF($H5&gt;=$N5,"🔴損切",IF($W5&gt;=V811設定!$B$6,"⏱時間決済",IF($H5&gt;=$F5*(1+V811設定!$B$3*0.7),"⚠️損切接近","保持継続"))))),IF($H5&gt;=$M5,"🟢利確",IF(AND($R5&lt;&gt;"",$H5&lt;=$R5),"🟠TRAIL",IF($H5&lt;=$N5,"🔴損切",IF($W5&gt;=V811設定!$B$6,"⏱時間決済",IF($H5&lt;=$F5*(1-V811設定!$B$3*0.7),"⚠️損切接近","保持継続"))))))))</f>
      </c>
      <c r="P5" s="485">
        <f ca="1">IF(B5="","",IFERROR(MAX(OFFSET(高値!$E$6,IFERROR(MATCH(B5,銘柄管理!$B$6:$B$305,0),MATCH(TEXT(B5,"0"),銘柄管理!$B$6:$B$305,0))-1,0,1,10)),""))</f>
        <v>1232.5</v>
      </c>
      <c r="Q5" s="485">
        <f ca="1">IF(B5="","",IFERROR(MIN(OFFSET(安値!$E$6,IFERROR(MATCH(B5,銘柄管理!$B$6:$B$305,0),MATCH(TEXT(B5,"0"),銘柄管理!$B$6:$B$305,0))-1,0,1,10)),""))</f>
        <v>1100.5</v>
      </c>
      <c r="R5" s="485">
        <f>IF(OR($F5="",$H5="",$N5=""),"",IF($S5="✅売却済","",IF($C5="売",IF($H5&gt;$F5*(1-V811設定!$B$3),$N5,MIN($N5,IF($Q5="",$N5,$Q5*1.03))),IF($H5&lt;$F5*(1+V811設定!$B$3),$N5,MAX($N5,IF($P5="",$N5,$P5*0.97))))))</f>
      </c>
      <c r="S5" s="585" t="str">
        <f>IF(B5="","",IF(T5&lt;&gt;"","✅売却済",IF(OR(H5="",L5=""),"📌保有中",IF(L5&gt;=0.06,"🟢利確推奨",IF(L5&gt;=0.05,"🟡利確直近",IF(L5&gt;=0.045,"🔵トレーリング検討",IF(L5&gt;-0.03,"📌保有中",IF(L5&gt;-0.04,"⚠️損切注意","🔴損切り"))))))))</f>
        <v>✅売却済</v>
      </c>
      <c r="T5" s="593">
        <v>46232</v>
      </c>
      <c r="U5" s="485">
        <v>1152</v>
      </c>
      <c r="V5" s="700">
        <f>IF(OR(F5="",G5="",U5=""),"",IF(C5="売",(F5-U5)*G5,(U5-F5)*G5))</f>
        <v>-4800</v>
      </c>
      <c r="W5" s="487">
        <f>IF(OR($E5="",$B5=""),"",IF($T5&lt;&gt;"",$T5-$E5,TODAY()-$E5)+1)</f>
        <v>3</v>
      </c>
      <c r="X5" s="484" t="str">
        <f>IF(OR($AH5="",$AH5="保有中"),"",$AH5)</f>
        <v>損切確定</v>
      </c>
      <c r="Y5" s="488"/>
      <c r="Z5" s="710" t="s">
        <v>1271</v>
      </c>
      <c r="AA5" s="600" t="s">
        <v>1272</v>
      </c>
      <c r="AD5" s="608" t="s">
        <v>1270</v>
      </c>
      <c r="AE5" s="624">
        <f>IF($E5="","",WORKDAY($E5,12))</f>
        <v>46246</v>
      </c>
      <c r="AF5" s="626" cm="1">
        <f t="array" aca="1" ref="AF5" ca="1">IF(OR($B5="",$M5=""),"",IFERROR(IF($C5="売",_xlfn.MINIFS(安値!$E$3:$IT$3,安値!$E$3:$IT$3,"&gt;"&amp;$E5,安値!$E$3:$IT$3,"&lt;="&amp;$AE5,OFFSET(安値!$E$6:$IT$6,MATCH(TEXT($B5,"0"),TEXT(銘柄管理!$B$6:$B$305,"0"),0)-1,0),"&lt;="&amp;$M5),_xlfn.MINIFS(高値!$E$3:$IT$3,高値!$E$3:$IT$3,"&gt;"&amp;$E5,高値!$E$3:$IT$3,"&lt;="&amp;$AE5,OFFSET(高値!$E$6:$IT$6,MATCH(TEXT($B5,"0"),TEXT(銘柄管理!$B$6:$B$305,"0"),0)-1,0),"&gt;="&amp;$M5)),""))</f>
        <v>0</v>
      </c>
      <c r="AG5" s="626" cm="1">
        <f t="array" aca="1" ref="AG5" ca="1">IF(OR($B5="",$N5=""),"",IFERROR(IF($C5="売",_xlfn.MINIFS(高値!$E$3:$IT$3,高値!$E$3:$IT$3,"&gt;"&amp;$E5,高値!$E$3:$IT$3,"&lt;="&amp;$AE5,OFFSET(高値!$E$6:$IT$6,MATCH(TEXT($B5,"0"),TEXT(銘柄管理!$B$6:$B$305,"0"),0)-1,0),"&gt;="&amp;$N5),_xlfn.MINIFS(安値!$E$3:$IT$3,安値!$E$3:$IT$3,"&gt;"&amp;$E5,安値!$E$3:$IT$3,"&lt;="&amp;$AE5,OFFSET(安値!$E$6:$IT$6,MATCH(TEXT($B5,"0"),TEXT(銘柄管理!$B$6:$B$305,"0"),0)-1,0),"&lt;="&amp;$N5)),""))</f>
        <v>46232</v>
      </c>
      <c r="AH5" s="600" t="str">
        <f>IF(OR($B5="",$M5=""),"",IF(AND(N($AF5)=0,N($AG5)=0),IF(AND(ISNUMBER($H5),$H5&gt;0,IF($C5="売",$H5&gt;=$N5,$H5&lt;=$N5)),"損切確定",IF(AND(ISNUMBER($H5),$H5&gt;0,IF($C5="売",$H5&lt;=$M5,$H5&gt;=$M5)),"利益確定",IF($AE5&lt;=TODAY(),"日数制限","保有中"))),IF(N($AG5)=0,"利益確定",IF(N($AF5)=0,"損切確定",IF($AG5&lt;=$AF5,"損切確定","利益確定")))))</f>
        <v>損切確定</v>
      </c>
      <c r="AI5" s="600" t="str" cm="1">
        <f t="array" ref="AI5">IFERROR(INDEX(始値!$E$6:$IT$305,MATCH(TEXT($B5,"0"),TEXT(銘柄管理!$B$6:$B$305,"0"),0),MATCH($AE5,始値!$E$3:$IT$3,0)),"")</f>
        <v/>
      </c>
      <c r="AJ5" s="905">
        <f>IF(OR($V5="",$F5="",$G5=""),"",$V5/($F5*$G5))</f>
        <v>-0.04</v>
      </c>
      <c r="AK5" s="629" t="str">
        <f>IF($V5="","",IF($V5&gt;0,"○勝",IF($V5&lt;0,"●負","△引分")))</f>
        <v>●負</v>
      </c>
      <c r="AN5" s="636" t="s">
        <v>1323</v>
      </c>
      <c r="AO5" s="632">
        <f ca="1">COUNTIFS($AD$4:$AD$1000,"*"&amp;$AN5&amp;"*",$T$4:$T$1000,"&gt;0")</f>
        <v>7</v>
      </c>
      <c r="AP5" s="632">
        <f ca="1">COUNTIFS($AD$4:$AD$1000,"*"&amp;$AN5&amp;"*",$AK$4:$AK$1000,"○勝")</f>
        <v>2</v>
      </c>
      <c r="AQ5" s="632">
        <f ca="1">COUNTIFS($AD$4:$AD$1000,"*"&amp;$AN5&amp;"*",$AK$4:$AK$1000,"●負")</f>
        <v>5</v>
      </c>
      <c r="AR5" s="633">
        <f ca="1">IF($AO5=0,"",$AP5/$AO5)</f>
        <v>0.2857142857142857</v>
      </c>
      <c r="AS5" s="634">
        <f ca="1">SUMIFS($V$4:$V$1000,$AD$4:$AD$1000,"*"&amp;$AN5&amp;"*")</f>
        <v>-7200</v>
      </c>
      <c r="AT5" s="635">
        <f ca="1">IF($AO5=0,"",AVERAGEIFS($AJ$4:$AJ$1000,$AD$4:$AD$1000,"*"&amp;$AN5&amp;"*",$T$4:$T$1000,"&gt;0"))</f>
        <v>-1.1413063014374451E-2</v>
      </c>
      <c r="BB5" s="600">
        <f>IF(N(買抽出v13!$C5)=0,"",N(買抽出v13!$Q5)+N(買抽出v13!$L5)/1000-ROW()/1000000)</f>
        <v>17.001594999999998</v>
      </c>
      <c r="BC5" s="600">
        <f>IF(N(売抽出v13!$C5)=0,"",N(売抽出v13!$Q5)+IFERROR(VALUE(SUBSTITUTE(売抽出v13!$L5,"倍","")),0)/1000-ROW()/1000000)</f>
        <v>13.002995</v>
      </c>
    </row>
    <row r="6" spans="1:55" ht="35.4" customHeight="1">
      <c r="A6" s="619" t="str">
        <f>IF(B6="","",HYPERLINK("https://kabutan.jp/stock/?code="&amp;B6,"株探"))</f>
        <v>株探</v>
      </c>
      <c r="B6" s="556">
        <v>6522</v>
      </c>
      <c r="C6" s="482" t="s">
        <v>998</v>
      </c>
      <c r="D6" s="483" t="str" cm="1">
        <f t="array" ref="D6">_xll.RssMarket(B6, "銘柄名称")</f>
        <v>アスタリスク</v>
      </c>
      <c r="E6" s="715">
        <v>46230</v>
      </c>
      <c r="F6" s="698" cm="1">
        <f t="array" aca="1" ref="F6" ca="1">IFERROR(_xlfn.LET(_xlpm.r,MATCH(TEXT($B6,"0"),TEXT(銘柄管理!$B$6:$B$305,"0"),0),_xlpm.t,MOD(NOW(),1),_xlpm.c,IF($E6=TODAY(),IF(_xlpm.t&gt;=TIME(15,30,0),NA(),1),IF(MATCH($E6,始値!$E$3:$IT$3,0)=1,1,MATCH($E6,始値!$E$3:$IT$3,0)+1)),_xlpm.v,INDEX(始値!$C$6:$IT$305,_xlpm.r,_xlpm.c),IF(N(_xlpm.v)=0,"",_xlpm.v)),"")</f>
        <v>1552</v>
      </c>
      <c r="G6" s="484">
        <v>100</v>
      </c>
      <c r="H6" s="485" cm="1">
        <f t="array" ref="H6">_xll.RssMarket(B6, "現在値")</f>
        <v>1614</v>
      </c>
      <c r="I6" s="485" cm="1">
        <f t="array" ref="I6">_xll.RssMarket(B6, "出来高加重平均")</f>
        <v>1690.7092</v>
      </c>
      <c r="J6" s="700" cm="1">
        <f t="array" ref="J6">_xll.RssMarket($B6, "前日比")</f>
        <v>-48</v>
      </c>
      <c r="K6" s="700">
        <f>IF(OR(F6="",G6="",H6=""),"",IF(C6="売",(F6-H6)*G6,(H6-F6)*G6))</f>
        <v>6200</v>
      </c>
      <c r="L6" s="705">
        <f>IF(OR(F6="",H6=""),"",IF(C6="売",(F6-H6)/F6,(H6-F6)/F6))</f>
        <v>3.994845360824742E-2</v>
      </c>
      <c r="M6" s="485">
        <f>IF($F6="","",$F6*IF($C6="売",1-V811設定!$B$4,1+V811設定!$B$4)-MOD($F6*IF($C6="売",1-V811設定!$B$4,1+V811設定!$B$4),IF($F6&lt;=3000,1,IF($F6&lt;=5000,5,IF($F6&lt;=30000,10,IF($F6&lt;=50000,50,IF($F6&lt;=300000,100,500))))))+IF(AND($C6="売",MOD($F6*IF($C6="売",1-V811設定!$B$4,1+V811設定!$B$4),IF($F6&lt;=3000,1,IF($F6&lt;=5000,5,IF($F6&lt;=30000,10,IF($F6&lt;=50000,50,IF($F6&lt;=300000,100,500))))))&gt;0),IF($F6&lt;=3000,1,IF($F6&lt;=5000,5,IF($F6&lt;=30000,10,IF($F6&lt;=50000,50,IF($F6&lt;=300000,100,500))))),0))</f>
      </c>
      <c r="N6" s="485">
        <f>IF($F6="","",$F6*IF($C6="売",1+V811設定!$B$3,1-V811設定!$B$3)-MOD($F6*IF($C6="売",1+V811設定!$B$3,1-V811設定!$B$3),IF($F6&lt;=3000,1,IF($F6&lt;=5000,5,IF($F6&lt;=30000,10,IF($F6&lt;=50000,50,IF($F6&lt;=300000,100,500))))))+IF(AND($C6="売",MOD($F6*IF($C6="売",1+V811設定!$B$3,1-V811設定!$B$3),IF($F6&lt;=3000,1,IF($F6&lt;=5000,5,IF($F6&lt;=30000,10,IF($F6&lt;=50000,50,IF($F6&lt;=300000,100,500))))))&gt;0),IF($F6&lt;=3000,1,IF($F6&lt;=5000,5,IF($F6&lt;=30000,10,IF($F6&lt;=50000,50,IF($F6&lt;=300000,100,500))))),0))</f>
      </c>
      <c r="O6" s="486" t="str">
        <f>IF(OR($B6="",$F6="",$H6=""),"",IF($S6="✅売却済","―決済済―",IF($C6="売",IF($H6&lt;=$M6,"🟢利確",IF(AND($R6&lt;&gt;"",$H6&gt;=$R6),"🟠TRAIL",IF($H6&gt;=$N6,"🔴損切",IF($W6&gt;=V811設定!$B$6,"⏱時間決済",IF($H6&gt;=$F6*(1+V811設定!$B$3*0.7),"⚠️損切接近","保持継続"))))),IF($H6&gt;=$M6,"🟢利確",IF(AND($R6&lt;&gt;"",$H6&lt;=$R6),"🟠TRAIL",IF($H6&lt;=$N6,"🔴損切",IF($W6&gt;=V811設定!$B$6,"⏱時間決済",IF($H6&lt;=$F6*(1-V811設定!$B$3*0.7),"⚠️損切接近","保持継続"))))))))</f>
      </c>
      <c r="P6" s="485">
        <f ca="1">IF(B6="","",IFERROR(MAX(OFFSET(高値!$E$6,IFERROR(MATCH(B6,銘柄管理!$B$6:$B$305,0),MATCH(TEXT(B6,"0"),銘柄管理!$B$6:$B$305,0))-1,0,1,10)),""))</f>
        <v>1874</v>
      </c>
      <c r="Q6" s="485">
        <f ca="1">IF(B6="","",IFERROR(MIN(OFFSET(安値!$E$6,IFERROR(MATCH(B6,銘柄管理!$B$6:$B$305,0),MATCH(TEXT(B6,"0"),銘柄管理!$B$6:$B$305,0))-1,0,1,10)),""))</f>
        <v>1422</v>
      </c>
      <c r="R6" s="485">
        <f>IF(OR($F6="",$H6="",$N6=""),"",IF($S6="✅売却済","",IF($C6="売",IF($H6&gt;$F6*(1-V811設定!$B$3),$N6,MIN($N6,IF($Q6="",$N6,$Q6*1.03))),IF($H6&lt;$F6*(1+V811設定!$B$3),$N6,MAX($N6,IF($P6="",$N6,$P6*0.97))))))</f>
      </c>
      <c r="S6" s="585" t="str">
        <f>IF(B6="","",IF(T6&lt;&gt;"","✅売却済",IF(OR(H6="",L6=""),"📌保有中",IF(L6&gt;=0.06,"🟢利確推奨",IF(L6&gt;=0.05,"🟡利確直近",IF(L6&gt;=0.045,"🔵トレーリング検討",IF(L6&gt;-0.03,"📌保有中",IF(L6&gt;-0.04,"⚠️損切注意","🔴損切り"))))))))</f>
        <v>✅売却済</v>
      </c>
      <c r="T6" s="593">
        <v>46231</v>
      </c>
      <c r="U6" s="485">
        <v>1490</v>
      </c>
      <c r="V6" s="700">
        <f>IF(OR(F6="",G6="",U6=""),"",IF(C6="売",(F6-U6)*G6,(U6-F6)*G6))</f>
        <v>-6200</v>
      </c>
      <c r="W6" s="487">
        <f>IF(OR($E6="",$B6=""),"",IF($T6&lt;&gt;"",$T6-$E6,TODAY()-$E6)+1)</f>
        <v>2</v>
      </c>
      <c r="X6" s="484" t="str">
        <f>IF(OR($AH6="",$AH6="保有中"),"",$AH6)</f>
        <v>損切確定</v>
      </c>
      <c r="Y6" s="488"/>
      <c r="Z6" s="710" t="s">
        <v>1274</v>
      </c>
      <c r="AA6" s="600" t="s">
        <v>1275</v>
      </c>
      <c r="AD6" s="608" t="s">
        <v>1273</v>
      </c>
      <c r="AE6" s="624">
        <f>IF($E6="","",WORKDAY($E6,12))</f>
        <v>46246</v>
      </c>
      <c r="AF6" s="626" cm="1">
        <f t="array" aca="1" ref="AF6" ca="1">IF(OR($B6="",$M6=""),"",IFERROR(IF($C6="売",_xlfn.MINIFS(安値!$E$3:$IT$3,安値!$E$3:$IT$3,"&gt;"&amp;$E6,安値!$E$3:$IT$3,"&lt;="&amp;$AE6,OFFSET(安値!$E$6:$IT$6,MATCH(TEXT($B6,"0"),TEXT(銘柄管理!$B$6:$B$305,"0"),0)-1,0),"&lt;="&amp;$M6),_xlfn.MINIFS(高値!$E$3:$IT$3,高値!$E$3:$IT$3,"&gt;"&amp;$E6,高値!$E$3:$IT$3,"&lt;="&amp;$AE6,OFFSET(高値!$E$6:$IT$6,MATCH(TEXT($B6,"0"),TEXT(銘柄管理!$B$6:$B$305,"0"),0)-1,0),"&gt;="&amp;$M6)),""))</f>
        <v>46232</v>
      </c>
      <c r="AG6" s="626" cm="1">
        <f t="array" aca="1" ref="AG6" ca="1">IF(OR($B6="",$N6=""),"",IFERROR(IF($C6="売",_xlfn.MINIFS(高値!$E$3:$IT$3,高値!$E$3:$IT$3,"&gt;"&amp;$E6,高値!$E$3:$IT$3,"&lt;="&amp;$AE6,OFFSET(高値!$E$6:$IT$6,MATCH(TEXT($B6,"0"),TEXT(銘柄管理!$B$6:$B$305,"0"),0)-1,0),"&gt;="&amp;$N6),_xlfn.MINIFS(安値!$E$3:$IT$3,安値!$E$3:$IT$3,"&gt;"&amp;$E6,安値!$E$3:$IT$3,"&lt;="&amp;$AE6,OFFSET(安値!$E$6:$IT$6,MATCH(TEXT($B6,"0"),TEXT(銘柄管理!$B$6:$B$305,"0"),0)-1,0),"&lt;="&amp;$N6)),""))</f>
        <v>46231</v>
      </c>
      <c r="AH6" s="600" t="str">
        <f>IF(OR($B6="",$M6=""),"",IF(AND(N($AF6)=0,N($AG6)=0),IF(AND(ISNUMBER($H6),$H6&gt;0,IF($C6="売",$H6&gt;=$N6,$H6&lt;=$N6)),"損切確定",IF(AND(ISNUMBER($H6),$H6&gt;0,IF($C6="売",$H6&lt;=$M6,$H6&gt;=$M6)),"利益確定",IF($AE6&lt;=TODAY(),"日数制限","保有中"))),IF(N($AG6)=0,"利益確定",IF(N($AF6)=0,"損切確定",IF($AG6&lt;=$AF6,"損切確定","利益確定")))))</f>
        <v>損切確定</v>
      </c>
      <c r="AI6" s="600" t="str" cm="1">
        <f t="array" ref="AI6">IFERROR(INDEX(始値!$E$6:$IT$305,MATCH(TEXT($B6,"0"),TEXT(銘柄管理!$B$6:$B$305,"0"),0),MATCH($AE6,始値!$E$3:$IT$3,0)),"")</f>
        <v/>
      </c>
      <c r="AJ6" s="905">
        <f>IF(OR($V6="",$F6="",$G6=""),"",$V6/($F6*$G6))</f>
        <v>-3.994845360824742E-2</v>
      </c>
      <c r="AK6" s="629" t="str">
        <f>IF($V6="","",IF($V6&gt;0,"○勝",IF($V6&lt;0,"●負","△引分")))</f>
        <v>●負</v>
      </c>
      <c r="AN6" s="637" t="s">
        <v>1324</v>
      </c>
      <c r="AO6" s="632">
        <f ca="1">COUNTIFS($AD$4:$AD$1000,"*"&amp;$AN6&amp;"*",$T$4:$T$1000,"&gt;0")</f>
        <v>8</v>
      </c>
      <c r="AP6" s="632">
        <f ca="1">COUNTIFS($AD$4:$AD$1000,"*"&amp;$AN6&amp;"*",$AK$4:$AK$1000,"○勝")</f>
        <v>2</v>
      </c>
      <c r="AQ6" s="632">
        <f ca="1">COUNTIFS($AD$4:$AD$1000,"*"&amp;$AN6&amp;"*",$AK$4:$AK$1000,"●負")</f>
        <v>6</v>
      </c>
      <c r="AR6" s="633">
        <f ca="1">IF($AO6=0,"",$AP6/$AO6)</f>
        <v>0.25</v>
      </c>
      <c r="AS6" s="634">
        <f ca="1">SUMIFS($V$4:$V$1000,$AD$4:$AD$1000,"*"&amp;$AN6&amp;"*")</f>
        <v>-23300</v>
      </c>
      <c r="AT6" s="635">
        <f ca="1">IF($AO6=0,"",AVERAGEIFS($AJ$4:$AJ$1000,$AD$4:$AD$1000,"*"&amp;$AN6&amp;"*",$T$4:$T$1000,"&gt;0"))</f>
        <v>-1.4998287345448872E-2</v>
      </c>
      <c r="BB6" s="600">
        <f>IF(N(買抽出v13!$C6)=0,"",N(買抽出v13!$Q6)+N(買抽出v13!$L6)/1000-ROW()/1000000)</f>
        <v>15.001294</v>
      </c>
      <c r="BC6" s="600" t="str">
        <f>IF(N(売抽出v13!$C6)=0,"",N(売抽出v13!$Q6)+IFERROR(VALUE(SUBSTITUTE(売抽出v13!$L6,"倍","")),0)/1000-ROW()/1000000)</f>
        <v/>
      </c>
    </row>
    <row r="7" spans="1:55" ht="35.4" customHeight="1">
      <c r="A7" s="619" t="str">
        <f>IF(B7="","",HYPERLINK("https://kabutan.jp/stock/?code="&amp;B7,"株探"))</f>
        <v>株探</v>
      </c>
      <c r="B7" s="556">
        <v>6146</v>
      </c>
      <c r="C7" s="482" t="s">
        <v>999</v>
      </c>
      <c r="D7" s="483" t="str" cm="1">
        <f t="array" ref="D7">_xll.RssMarket(B7, "銘柄名称")</f>
        <v>ディスコ</v>
      </c>
      <c r="E7" s="715">
        <v>46230</v>
      </c>
      <c r="F7" s="698" cm="1">
        <f t="array" aca="1" ref="F7" ca="1">IFERROR(_xlfn.LET(_xlpm.r,MATCH(TEXT($B7,"0"),TEXT(銘柄管理!$B$6:$B$305,"0"),0),_xlpm.t,MOD(NOW(),1),_xlpm.c,IF($E7=TODAY(),IF(_xlpm.t&gt;=TIME(15,30,0),NA(),1),IF(MATCH($E7,始値!$E$3:$IT$3,0)=1,1,MATCH($E7,始値!$E$3:$IT$3,0)+1)),_xlpm.v,INDEX(始値!$C$6:$IT$305,_xlpm.r,_xlpm.c),IF(N(_xlpm.v)=0,"",_xlpm.v)),"")</f>
        <v>57000</v>
      </c>
      <c r="G7" s="484">
        <v>100</v>
      </c>
      <c r="H7" s="485" cm="1">
        <f t="array" ref="H7">_xll.RssMarket(B7, "現在値")</f>
        <v>61590</v>
      </c>
      <c r="I7" s="485" cm="1">
        <f t="array" ref="I7">_xll.RssMarket(B7, "出来高加重平均")</f>
        <v>61695.140800000001</v>
      </c>
      <c r="J7" s="700" cm="1">
        <f t="array" ref="J7">_xll.RssMarket($B7, "前日比")</f>
        <v>-2150</v>
      </c>
      <c r="K7" s="700">
        <f>IF(OR(F7="",G7="",H7=""),"",IF(C7="売",(F7-H7)*G7,(H7-F7)*G7))</f>
        <v>-459000</v>
      </c>
      <c r="L7" s="705">
        <f>IF(OR(F7="",H7=""),"",IF(C7="売",(F7-H7)/F7,(H7-F7)/F7))</f>
        <v>-8.0526315789473682E-2</v>
      </c>
      <c r="M7" s="485">
        <f>IF($F7="","",$F7*IF($C7="売",1-V811設定!$B$4,1+V811設定!$B$4)-MOD($F7*IF($C7="売",1-V811設定!$B$4,1+V811設定!$B$4),IF($F7&lt;=3000,1,IF($F7&lt;=5000,5,IF($F7&lt;=30000,10,IF($F7&lt;=50000,50,IF($F7&lt;=300000,100,500))))))+IF(AND($C7="売",MOD($F7*IF($C7="売",1-V811設定!$B$4,1+V811設定!$B$4),IF($F7&lt;=3000,1,IF($F7&lt;=5000,5,IF($F7&lt;=30000,10,IF($F7&lt;=50000,50,IF($F7&lt;=300000,100,500))))))&gt;0),IF($F7&lt;=3000,1,IF($F7&lt;=5000,5,IF($F7&lt;=30000,10,IF($F7&lt;=50000,50,IF($F7&lt;=300000,100,500))))),0))</f>
      </c>
      <c r="N7" s="485">
        <f>IF($F7="","",$F7*IF($C7="売",1+V811設定!$B$3,1-V811設定!$B$3)-MOD($F7*IF($C7="売",1+V811設定!$B$3,1-V811設定!$B$3),IF($F7&lt;=3000,1,IF($F7&lt;=5000,5,IF($F7&lt;=30000,10,IF($F7&lt;=50000,50,IF($F7&lt;=300000,100,500))))))+IF(AND($C7="売",MOD($F7*IF($C7="売",1+V811設定!$B$3,1-V811設定!$B$3),IF($F7&lt;=3000,1,IF($F7&lt;=5000,5,IF($F7&lt;=30000,10,IF($F7&lt;=50000,50,IF($F7&lt;=300000,100,500))))))&gt;0),IF($F7&lt;=3000,1,IF($F7&lt;=5000,5,IF($F7&lt;=30000,10,IF($F7&lt;=50000,50,IF($F7&lt;=300000,100,500))))),0))</f>
      </c>
      <c r="O7" s="486" t="str">
        <f>IF(OR($B7="",$F7="",$H7=""),"",IF($S7="✅売却済","―決済済―",IF($C7="売",IF($H7&lt;=$M7,"🟢利確",IF(AND($R7&lt;&gt;"",$H7&gt;=$R7),"🟠TRAIL",IF($H7&gt;=$N7,"🔴損切",IF($W7&gt;=V811設定!$B$6,"⏱時間決済",IF($H7&gt;=$F7*(1+V811設定!$B$3*0.7),"⚠️損切接近","保持継続"))))),IF($H7&gt;=$M7,"🟢利確",IF(AND($R7&lt;&gt;"",$H7&lt;=$R7),"🟠TRAIL",IF($H7&lt;=$N7,"🔴損切",IF($W7&gt;=V811設定!$B$6,"⏱時間決済",IF($H7&lt;=$F7*(1-V811設定!$B$3*0.7),"⚠️損切接近","保持継続"))))))))</f>
      </c>
      <c r="P7" s="485">
        <f ca="1">IF(B7="","",IFERROR(MAX(OFFSET(高値!$E$6,IFERROR(MATCH(B7,銘柄管理!$B$6:$B$305,0),MATCH(TEXT(B7,"0"),銘柄管理!$B$6:$B$305,0))-1,0,1,10)),""))</f>
        <v>64480</v>
      </c>
      <c r="Q7" s="485">
        <f ca="1">IF(B7="","",IFERROR(MIN(OFFSET(安値!$E$6,IFERROR(MATCH(B7,銘柄管理!$B$6:$B$305,0),MATCH(TEXT(B7,"0"),銘柄管理!$B$6:$B$305,0))-1,0,1,10)),""))</f>
        <v>49400</v>
      </c>
      <c r="R7" s="485">
        <f>IF(OR($F7="",$H7="",$N7=""),"",IF($S7="✅売却済","",IF($C7="売",IF($H7&gt;$F7*(1-V811設定!$B$3),$N7,MIN($N7,IF($Q7="",$N7,$Q7*1.03))),IF($H7&lt;$F7*(1+V811設定!$B$3),$N7,MAX($N7,IF($P7="",$N7,$P7*0.97))))))</f>
      </c>
      <c r="S7" s="585" t="str">
        <f>IF(B7="","",IF(T7&lt;&gt;"","✅売却済",IF(OR(H7="",L7=""),"📌保有中",IF(L7&gt;=0.06,"🟢利確推奨",IF(L7&gt;=0.05,"🟡利確直近",IF(L7&gt;=0.045,"🔵トレーリング検討",IF(L7&gt;-0.03,"📌保有中",IF(L7&gt;-0.04,"⚠️損切注意","🔴損切り"))))))))</f>
        <v>✅売却済</v>
      </c>
      <c r="T7" s="593">
        <v>46232</v>
      </c>
      <c r="U7" s="485">
        <v>53580</v>
      </c>
      <c r="V7" s="700">
        <f>IF(OR(F7="",G7="",U7=""),"",IF(C7="売",(F7-U7)*G7,(U7-F7)*G7))</f>
        <v>342000</v>
      </c>
      <c r="W7" s="487">
        <f>IF(OR($E7="",$B7=""),"",IF($T7&lt;&gt;"",$T7-$E7,TODAY()-$E7)+1)</f>
        <v>3</v>
      </c>
      <c r="X7" s="484" t="str">
        <f>IF(OR($AH7="",$AH7="保有中"),"",$AH7)</f>
        <v>利益確定</v>
      </c>
      <c r="Y7" s="494"/>
      <c r="Z7" s="710" t="s">
        <v>1276</v>
      </c>
      <c r="AA7" s="600" t="s">
        <v>1277</v>
      </c>
      <c r="AD7" s="608" t="s">
        <v>1267</v>
      </c>
      <c r="AE7" s="624">
        <f>IF($E7="","",WORKDAY($E7,12))</f>
        <v>46246</v>
      </c>
      <c r="AF7" s="626" cm="1">
        <f t="array" aca="1" ref="AF7" ca="1">IF(OR($B7="",$M7=""),"",IFERROR(IF($C7="売",_xlfn.MINIFS(安値!$E$3:$IT$3,安値!$E$3:$IT$3,"&gt;"&amp;$E7,安値!$E$3:$IT$3,"&lt;="&amp;$AE7,OFFSET(安値!$E$6:$IT$6,MATCH(TEXT($B7,"0"),TEXT(銘柄管理!$B$6:$B$305,"0"),0)-1,0),"&lt;="&amp;$M7),_xlfn.MINIFS(高値!$E$3:$IT$3,高値!$E$3:$IT$3,"&gt;"&amp;$E7,高値!$E$3:$IT$3,"&lt;="&amp;$AE7,OFFSET(高値!$E$6:$IT$6,MATCH(TEXT($B7,"0"),TEXT(銘柄管理!$B$6:$B$305,"0"),0)-1,0),"&gt;="&amp;$M7)),""))</f>
        <v>46232</v>
      </c>
      <c r="AG7" s="626" cm="1">
        <f t="array" aca="1" ref="AG7" ca="1">IF(OR($B7="",$N7=""),"",IFERROR(IF($C7="売",_xlfn.MINIFS(高値!$E$3:$IT$3,高値!$E$3:$IT$3,"&gt;"&amp;$E7,高値!$E$3:$IT$3,"&lt;="&amp;$AE7,OFFSET(高値!$E$6:$IT$6,MATCH(TEXT($B7,"0"),TEXT(銘柄管理!$B$6:$B$305,"0"),0)-1,0),"&gt;="&amp;$N7),_xlfn.MINIFS(安値!$E$3:$IT$3,安値!$E$3:$IT$3,"&gt;"&amp;$E7,安値!$E$3:$IT$3,"&lt;="&amp;$AE7,OFFSET(安値!$E$6:$IT$6,MATCH(TEXT($B7,"0"),TEXT(銘柄管理!$B$6:$B$305,"0"),0)-1,0),"&lt;="&amp;$N7)),""))</f>
        <v>46234</v>
      </c>
      <c r="AH7" s="600" t="str">
        <f>IF(OR($B7="",$M7=""),"",IF(AND(N($AF7)=0,N($AG7)=0),IF(AND(ISNUMBER($H7),$H7&gt;0,IF($C7="売",$H7&gt;=$N7,$H7&lt;=$N7)),"損切確定",IF(AND(ISNUMBER($H7),$H7&gt;0,IF($C7="売",$H7&lt;=$M7,$H7&gt;=$M7)),"利益確定",IF($AE7&lt;=TODAY(),"日数制限","保有中"))),IF(N($AG7)=0,"利益確定",IF(N($AF7)=0,"損切確定",IF($AG7&lt;=$AF7,"損切確定","利益確定")))))</f>
        <v>利益確定</v>
      </c>
      <c r="AI7" s="600" t="str" cm="1">
        <f t="array" ref="AI7">IFERROR(INDEX(始値!$E$6:$IT$305,MATCH(TEXT($B7,"0"),TEXT(銘柄管理!$B$6:$B$305,"0"),0),MATCH($AE7,始値!$E$3:$IT$3,0)),"")</f>
        <v/>
      </c>
      <c r="AJ7" s="905">
        <f>IF(OR($V7="",$F7="",$G7=""),"",$V7/($F7*$G7))</f>
        <v>0.06</v>
      </c>
      <c r="AK7" s="629" t="str">
        <f>IF($V7="","",IF($V7&gt;0,"○勝",IF($V7&lt;0,"●負","△引分")))</f>
        <v>○勝</v>
      </c>
      <c r="AN7" s="638" t="s">
        <v>1325</v>
      </c>
      <c r="AO7" s="632">
        <f ca="1">COUNTIFS($AD$4:$AD$1000,"*"&amp;$AN7&amp;"*",$T$4:$T$1000,"&gt;0")</f>
        <v>8</v>
      </c>
      <c r="AP7" s="632">
        <f ca="1">COUNTIFS($AD$4:$AD$1000,"*"&amp;$AN7&amp;"*",$AK$4:$AK$1000,"○勝")</f>
        <v>0</v>
      </c>
      <c r="AQ7" s="632">
        <f ca="1">COUNTIFS($AD$4:$AD$1000,"*"&amp;$AN7&amp;"*",$AK$4:$AK$1000,"●負")</f>
        <v>8</v>
      </c>
      <c r="AR7" s="633">
        <f ca="1">IF($AO7=0,"",$AP7/$AO7)</f>
        <v>0</v>
      </c>
      <c r="AS7" s="634">
        <f ca="1">SUMIFS($V$4:$V$1000,$AD$4:$AD$1000,"*"&amp;$AN7&amp;"*")</f>
        <v>-168700</v>
      </c>
      <c r="AT7" s="635">
        <f ca="1">IF($AO7=0,"",AVERAGEIFS($AJ$4:$AJ$1000,$AD$4:$AD$1000,"*"&amp;$AN7&amp;"*",$T$4:$T$1000,"&gt;0"))</f>
        <v>-4.0092703832955871E-2</v>
      </c>
      <c r="BB7" s="600">
        <f>IF(N(買抽出v13!$C7)=0,"",N(買抽出v13!$Q7)+N(買抽出v13!$L7)/1000-ROW()/1000000)</f>
        <v>15.000893</v>
      </c>
      <c r="BC7" s="600" t="str">
        <f>IF(N(売抽出v13!$C7)=0,"",N(売抽出v13!$Q7)+IFERROR(VALUE(SUBSTITUTE(売抽出v13!$L7,"倍","")),0)/1000-ROW()/1000000)</f>
        <v/>
      </c>
    </row>
    <row r="8" spans="1:55" ht="35.4" customHeight="1" thickBot="1">
      <c r="A8" s="619" t="str">
        <f>IF(B8="","",HYPERLINK("https://kabutan.jp/stock/?code="&amp;B8,"株探"))</f>
        <v>株探</v>
      </c>
      <c r="B8" s="556">
        <v>7746</v>
      </c>
      <c r="C8" s="482" t="s">
        <v>999</v>
      </c>
      <c r="D8" s="483" t="str" cm="1">
        <f t="array" ref="D8">_xll.RssMarket(B8, "銘柄名称")</f>
        <v>岡本硝子</v>
      </c>
      <c r="E8" s="715">
        <v>46230</v>
      </c>
      <c r="F8" s="698" cm="1">
        <f t="array" aca="1" ref="F8" ca="1">IFERROR(_xlfn.LET(_xlpm.r,MATCH(TEXT($B8,"0"),TEXT(銘柄管理!$B$6:$B$305,"0"),0),_xlpm.t,MOD(NOW(),1),_xlpm.c,IF($E8=TODAY(),IF(_xlpm.t&gt;=TIME(15,30,0),NA(),1),IF(MATCH($E8,始値!$E$3:$IT$3,0)=1,1,MATCH($E8,始値!$E$3:$IT$3,0)+1)),_xlpm.v,INDEX(始値!$C$6:$IT$305,_xlpm.r,_xlpm.c),IF(N(_xlpm.v)=0,"",_xlpm.v)),"")</f>
        <v>761</v>
      </c>
      <c r="G8" s="484">
        <v>100</v>
      </c>
      <c r="H8" s="485" cm="1">
        <f t="array" ref="H8">_xll.RssMarket(B8, "現在値")</f>
        <v>728</v>
      </c>
      <c r="I8" s="485" cm="1">
        <f t="array" ref="I8">_xll.RssMarket(B8, "出来高加重平均")</f>
        <v>729.12289999999996</v>
      </c>
      <c r="J8" s="700" cm="1">
        <f t="array" ref="J8">_xll.RssMarket($B8, "前日比")</f>
        <v>-14</v>
      </c>
      <c r="K8" s="700">
        <f>IF(OR(F8="",G8="",H8=""),"",IF(C8="売",(F8-H8)*G8,(H8-F8)*G8))</f>
        <v>3300</v>
      </c>
      <c r="L8" s="705">
        <f>IF(OR(F8="",H8=""),"",IF(C8="売",(F8-H8)/F8,(H8-F8)/F8))</f>
        <v>4.3363994743758211E-2</v>
      </c>
      <c r="M8" s="485">
        <f>IF($F8="","",$F8*IF($C8="売",1-V811設定!$B$4,1+V811設定!$B$4)-MOD($F8*IF($C8="売",1-V811設定!$B$4,1+V811設定!$B$4),IF($F8&lt;=3000,1,IF($F8&lt;=5000,5,IF($F8&lt;=30000,10,IF($F8&lt;=50000,50,IF($F8&lt;=300000,100,500))))))+IF(AND($C8="売",MOD($F8*IF($C8="売",1-V811設定!$B$4,1+V811設定!$B$4),IF($F8&lt;=3000,1,IF($F8&lt;=5000,5,IF($F8&lt;=30000,10,IF($F8&lt;=50000,50,IF($F8&lt;=300000,100,500))))))&gt;0),IF($F8&lt;=3000,1,IF($F8&lt;=5000,5,IF($F8&lt;=30000,10,IF($F8&lt;=50000,50,IF($F8&lt;=300000,100,500))))),0))</f>
      </c>
      <c r="N8" s="485">
        <f>IF($F8="","",$F8*IF($C8="売",1+V811設定!$B$3,1-V811設定!$B$3)-MOD($F8*IF($C8="売",1+V811設定!$B$3,1-V811設定!$B$3),IF($F8&lt;=3000,1,IF($F8&lt;=5000,5,IF($F8&lt;=30000,10,IF($F8&lt;=50000,50,IF($F8&lt;=300000,100,500))))))+IF(AND($C8="売",MOD($F8*IF($C8="売",1+V811設定!$B$3,1-V811設定!$B$3),IF($F8&lt;=3000,1,IF($F8&lt;=5000,5,IF($F8&lt;=30000,10,IF($F8&lt;=50000,50,IF($F8&lt;=300000,100,500))))))&gt;0),IF($F8&lt;=3000,1,IF($F8&lt;=5000,5,IF($F8&lt;=30000,10,IF($F8&lt;=50000,50,IF($F8&lt;=300000,100,500))))),0))</f>
      </c>
      <c r="O8" s="486" t="str">
        <f>IF(OR($B8="",$F8="",$H8=""),"",IF($S8="✅売却済","―決済済―",IF($C8="売",IF($H8&lt;=$M8,"🟢利確",IF(AND($R8&lt;&gt;"",$H8&gt;=$R8),"🟠TRAIL",IF($H8&gt;=$N8,"🔴損切",IF($W8&gt;=V811設定!$B$6,"⏱時間決済",IF($H8&gt;=$F8*(1+V811設定!$B$3*0.7),"⚠️損切接近","保持継続"))))),IF($H8&gt;=$M8,"🟢利確",IF(AND($R8&lt;&gt;"",$H8&lt;=$R8),"🟠TRAIL",IF($H8&lt;=$N8,"🔴損切",IF($W8&gt;=V811設定!$B$6,"⏱時間決済",IF($H8&lt;=$F8*(1-V811設定!$B$3*0.7),"⚠️損切接近","保持継続"))))))))</f>
      </c>
      <c r="P8" s="485">
        <f ca="1">IF(B8="","",IFERROR(MAX(OFFSET(高値!$E$6,IFERROR(MATCH(B8,銘柄管理!$B$6:$B$305,0),MATCH(TEXT(B8,"0"),銘柄管理!$B$6:$B$305,0))-1,0,1,10)),""))</f>
        <v>797</v>
      </c>
      <c r="Q8" s="485">
        <f ca="1">IF(B8="","",IFERROR(MIN(OFFSET(安値!$E$6,IFERROR(MATCH(B8,銘柄管理!$B$6:$B$305,0),MATCH(TEXT(B8,"0"),銘柄管理!$B$6:$B$305,0))-1,0,1,10)),""))</f>
        <v>701</v>
      </c>
      <c r="R8" s="485">
        <f>IF(OR($F8="",$H8="",$N8=""),"",IF($S8="✅売却済","",IF($C8="売",IF($H8&gt;$F8*(1-V811設定!$B$3),$N8,MIN($N8,IF($Q8="",$N8,$Q8*1.03))),IF($H8&lt;$F8*(1+V811設定!$B$3),$N8,MAX($N8,IF($P8="",$N8,$P8*0.97))))))</f>
      </c>
      <c r="S8" s="585" t="str">
        <f>IF(B8="","",IF(T8&lt;&gt;"","✅売却済",IF(OR(H8="",L8=""),"📌保有中",IF(L8&gt;=0.06,"🟢利確推奨",IF(L8&gt;=0.05,"🟡利確直近",IF(L8&gt;=0.045,"🔵トレーリング検討",IF(L8&gt;-0.03,"📌保有中",IF(L8&gt;-0.04,"⚠️損切注意","🔴損切り"))))))))</f>
        <v>✅売却済</v>
      </c>
      <c r="T8" s="593">
        <v>46232</v>
      </c>
      <c r="U8" s="485">
        <v>715</v>
      </c>
      <c r="V8" s="700">
        <f>IF(OR(F8="",G8="",U8=""),"",IF(C8="売",(F8-U8)*G8,(U8-F8)*G8))</f>
        <v>4600</v>
      </c>
      <c r="W8" s="487">
        <f>IF(OR($E8="",$B8=""),"",IF($T8&lt;&gt;"",$T8-$E8,TODAY()-$E8)+1)</f>
        <v>3</v>
      </c>
      <c r="X8" s="484" t="str">
        <f>IF(OR($AH8="",$AH8="保有中"),"",$AH8)</f>
        <v>利益確定</v>
      </c>
      <c r="Y8" s="488"/>
      <c r="Z8" s="710" t="s">
        <v>1278</v>
      </c>
      <c r="AA8" s="600" t="s">
        <v>1279</v>
      </c>
      <c r="AD8" s="608" t="s">
        <v>1270</v>
      </c>
      <c r="AE8" s="624">
        <f>IF($E8="","",WORKDAY($E8,12))</f>
        <v>46246</v>
      </c>
      <c r="AF8" s="626" cm="1">
        <f t="array" aca="1" ref="AF8" ca="1">IF(OR($B8="",$M8=""),"",IFERROR(IF($C8="売",_xlfn.MINIFS(安値!$E$3:$IT$3,安値!$E$3:$IT$3,"&gt;"&amp;$E8,安値!$E$3:$IT$3,"&lt;="&amp;$AE8,OFFSET(安値!$E$6:$IT$6,MATCH(TEXT($B8,"0"),TEXT(銘柄管理!$B$6:$B$305,"0"),0)-1,0),"&lt;="&amp;$M8),_xlfn.MINIFS(高値!$E$3:$IT$3,高値!$E$3:$IT$3,"&gt;"&amp;$E8,高値!$E$3:$IT$3,"&lt;="&amp;$AE8,OFFSET(高値!$E$6:$IT$6,MATCH(TEXT($B8,"0"),TEXT(銘柄管理!$B$6:$B$305,"0"),0)-1,0),"&gt;="&amp;$M8)),""))</f>
        <v>46232</v>
      </c>
      <c r="AG8" s="626" cm="1">
        <f t="array" aca="1" ref="AG8" ca="1">IF(OR($B8="",$N8=""),"",IFERROR(IF($C8="売",_xlfn.MINIFS(高値!$E$3:$IT$3,高値!$E$3:$IT$3,"&gt;"&amp;$E8,高値!$E$3:$IT$3,"&lt;="&amp;$AE8,OFFSET(高値!$E$6:$IT$6,MATCH(TEXT($B8,"0"),TEXT(銘柄管理!$B$6:$B$305,"0"),0)-1,0),"&gt;="&amp;$N8),_xlfn.MINIFS(安値!$E$3:$IT$3,安値!$E$3:$IT$3,"&gt;"&amp;$E8,安値!$E$3:$IT$3,"&lt;="&amp;$AE8,OFFSET(安値!$E$6:$IT$6,MATCH(TEXT($B8,"0"),TEXT(銘柄管理!$B$6:$B$305,"0"),0)-1,0),"&lt;="&amp;$N8)),""))</f>
        <v>0</v>
      </c>
      <c r="AH8" s="600" t="str">
        <f>IF(OR($B8="",$M8=""),"",IF(AND(N($AF8)=0,N($AG8)=0),IF(AND(ISNUMBER($H8),$H8&gt;0,IF($C8="売",$H8&gt;=$N8,$H8&lt;=$N8)),"損切確定",IF(AND(ISNUMBER($H8),$H8&gt;0,IF($C8="売",$H8&lt;=$M8,$H8&gt;=$M8)),"利益確定",IF($AE8&lt;=TODAY(),"日数制限","保有中"))),IF(N($AG8)=0,"利益確定",IF(N($AF8)=0,"損切確定",IF($AG8&lt;=$AF8,"損切確定","利益確定")))))</f>
        <v>利益確定</v>
      </c>
      <c r="AI8" s="600" t="str" cm="1">
        <f t="array" ref="AI8">IFERROR(INDEX(始値!$E$6:$IT$305,MATCH(TEXT($B8,"0"),TEXT(銘柄管理!$B$6:$B$305,"0"),0),MATCH($AE8,始値!$E$3:$IT$3,0)),"")</f>
        <v/>
      </c>
      <c r="AJ8" s="905">
        <f>IF(OR($V8="",$F8="",$G8=""),"",$V8/($F8*$G8))</f>
        <v>6.0446780551905388E-2</v>
      </c>
      <c r="AK8" s="629" t="str">
        <f>IF($V8="","",IF($V8&gt;0,"○勝",IF($V8&lt;0,"●負","△引分")))</f>
        <v>○勝</v>
      </c>
      <c r="AN8" s="639" t="s">
        <v>1286</v>
      </c>
      <c r="AO8" s="640">
        <f ca="1">COUNTIF($T$4:$T$1000,"&gt;0")</f>
        <v>35</v>
      </c>
      <c r="AP8" s="640">
        <f ca="1">COUNTIF($AK$4:$AK$1000,"○勝")</f>
        <v>7</v>
      </c>
      <c r="AQ8" s="640">
        <f ca="1">COUNTIF($AK$4:$AK$1000,"●負")</f>
        <v>28</v>
      </c>
      <c r="AR8" s="641">
        <f ca="1">IF($AO8=0,"",$AP8/$AO8)</f>
        <v>0.2</v>
      </c>
      <c r="AS8" s="642">
        <f ca="1">SUM($V$4:$V$1000)</f>
        <v>43450</v>
      </c>
      <c r="AT8" s="643">
        <f ca="1">IF($AO8=0,"",AVERAGEIF($T$4:$T$1000,"&gt;0",$AJ$4:$AJ$1000))</f>
        <v>-1.9985154801937233E-2</v>
      </c>
      <c r="BB8" s="600">
        <f>IF(N(買抽出v13!$C8)=0,"",N(買抽出v13!$Q8)+N(買抽出v13!$L8)/1000-ROW()/1000000)</f>
        <v>14.003492000000001</v>
      </c>
      <c r="BC8" s="600" t="str">
        <f>IF(N(売抽出v13!$C8)=0,"",N(売抽出v13!$Q8)+IFERROR(VALUE(SUBSTITUTE(売抽出v13!$L8,"倍","")),0)/1000-ROW()/1000000)</f>
        <v/>
      </c>
    </row>
    <row r="9" spans="1:55" ht="35.4" customHeight="1" thickTop="1">
      <c r="A9" s="619" t="str">
        <f>IF(B9="","",HYPERLINK("https://kabutan.jp/stock/?code="&amp;B9,"株探"))</f>
        <v>株探</v>
      </c>
      <c r="B9" s="556" t="s">
        <v>479</v>
      </c>
      <c r="C9" s="482" t="s">
        <v>999</v>
      </c>
      <c r="D9" s="483" t="str" cm="1">
        <f t="array" ref="D9">_xll.RssMarket(B9, "銘柄名称")</f>
        <v>インフォメティス</v>
      </c>
      <c r="E9" s="715">
        <v>46230</v>
      </c>
      <c r="F9" s="698" cm="1">
        <f t="array" aca="1" ref="F9" ca="1">IFERROR(_xlfn.LET(_xlpm.r,MATCH(TEXT($B9,"0"),TEXT(銘柄管理!$B$6:$B$305,"0"),0),_xlpm.t,MOD(NOW(),1),_xlpm.c,IF($E9=TODAY(),IF(_xlpm.t&gt;=TIME(15,30,0),NA(),1),IF(MATCH($E9,始値!$E$3:$IT$3,0)=1,1,MATCH($E9,始値!$E$3:$IT$3,0)+1)),_xlpm.v,INDEX(始値!$C$6:$IT$305,_xlpm.r,_xlpm.c),IF(N(_xlpm.v)=0,"",_xlpm.v)),"")</f>
        <v>443</v>
      </c>
      <c r="G9" s="484">
        <v>100</v>
      </c>
      <c r="H9" s="485" cm="1">
        <f t="array" ref="H9">_xll.RssMarket(B9, "現在値")</f>
        <v>453</v>
      </c>
      <c r="I9" s="485" cm="1">
        <f t="array" ref="I9">_xll.RssMarket(B9, "出来高加重平均")</f>
        <v>458.88</v>
      </c>
      <c r="J9" s="700" cm="1">
        <f t="array" ref="J9">_xll.RssMarket($B9, "前日比")</f>
        <v>-22</v>
      </c>
      <c r="K9" s="700">
        <f>IF(OR(F9="",G9="",H9=""),"",IF(C9="売",(F9-H9)*G9,(H9-F9)*G9))</f>
        <v>-1000</v>
      </c>
      <c r="L9" s="705">
        <f>IF(OR(F9="",H9=""),"",IF(C9="売",(F9-H9)/F9,(H9-F9)/F9))</f>
        <v>-2.2573363431151242E-2</v>
      </c>
      <c r="M9" s="485">
        <f>IF($F9="","",$F9*IF($C9="売",1-V811設定!$B$4,1+V811設定!$B$4)-MOD($F9*IF($C9="売",1-V811設定!$B$4,1+V811設定!$B$4),IF($F9&lt;=3000,1,IF($F9&lt;=5000,5,IF($F9&lt;=30000,10,IF($F9&lt;=50000,50,IF($F9&lt;=300000,100,500))))))+IF(AND($C9="売",MOD($F9*IF($C9="売",1-V811設定!$B$4,1+V811設定!$B$4),IF($F9&lt;=3000,1,IF($F9&lt;=5000,5,IF($F9&lt;=30000,10,IF($F9&lt;=50000,50,IF($F9&lt;=300000,100,500))))))&gt;0),IF($F9&lt;=3000,1,IF($F9&lt;=5000,5,IF($F9&lt;=30000,10,IF($F9&lt;=50000,50,IF($F9&lt;=300000,100,500))))),0))</f>
      </c>
      <c r="N9" s="485">
        <f>IF($F9="","",$F9*IF($C9="売",1+V811設定!$B$3,1-V811設定!$B$3)-MOD($F9*IF($C9="売",1+V811設定!$B$3,1-V811設定!$B$3),IF($F9&lt;=3000,1,IF($F9&lt;=5000,5,IF($F9&lt;=30000,10,IF($F9&lt;=50000,50,IF($F9&lt;=300000,100,500))))))+IF(AND($C9="売",MOD($F9*IF($C9="売",1+V811設定!$B$3,1-V811設定!$B$3),IF($F9&lt;=3000,1,IF($F9&lt;=5000,5,IF($F9&lt;=30000,10,IF($F9&lt;=50000,50,IF($F9&lt;=300000,100,500))))))&gt;0),IF($F9&lt;=3000,1,IF($F9&lt;=5000,5,IF($F9&lt;=30000,10,IF($F9&lt;=50000,50,IF($F9&lt;=300000,100,500))))),0))</f>
      </c>
      <c r="O9" s="486" t="str">
        <f>IF(OR($B9="",$F9="",$H9=""),"",IF($S9="✅売却済","―決済済―",IF($C9="売",IF($H9&lt;=$M9,"🟢利確",IF(AND($R9&lt;&gt;"",$H9&gt;=$R9),"🟠TRAIL",IF($H9&gt;=$N9,"🔴損切",IF($W9&gt;=V811設定!$B$6,"⏱時間決済",IF($H9&gt;=$F9*(1+V811設定!$B$3*0.7),"⚠️損切接近","保持継続"))))),IF($H9&gt;=$M9,"🟢利確",IF(AND($R9&lt;&gt;"",$H9&lt;=$R9),"🟠TRAIL",IF($H9&lt;=$N9,"🔴損切",IF($W9&gt;=V811設定!$B$6,"⏱時間決済",IF($H9&lt;=$F9*(1-V811設定!$B$3*0.7),"⚠️損切接近","保持継続"))))))))</f>
      </c>
      <c r="P9" s="485">
        <f ca="1">IF(B9="","",IFERROR(MAX(OFFSET(高値!$E$6,IFERROR(MATCH(B9,銘柄管理!$B$6:$B$305,0),MATCH(TEXT(B9,"0"),銘柄管理!$B$6:$B$305,0))-1,0,1,10)),""))</f>
        <v>529</v>
      </c>
      <c r="Q9" s="485">
        <f ca="1">IF(B9="","",IFERROR(MIN(OFFSET(安値!$E$6,IFERROR(MATCH(B9,銘柄管理!$B$6:$B$305,0),MATCH(TEXT(B9,"0"),銘柄管理!$B$6:$B$305,0))-1,0,1,10)),""))</f>
        <v>406</v>
      </c>
      <c r="R9" s="485">
        <f>IF(OR($F9="",$H9="",$N9=""),"",IF($S9="✅売却済","",IF($C9="売",IF($H9&gt;$F9*(1-V811設定!$B$3),$N9,MIN($N9,IF($Q9="",$N9,$Q9*1.03))),IF($H9&lt;$F9*(1+V811設定!$B$3),$N9,MAX($N9,IF($P9="",$N9,$P9*0.97))))))</f>
      </c>
      <c r="S9" s="585" t="str">
        <f>IF(B9="","",IF(T9&lt;&gt;"","✅売却済",IF(OR(H9="",L9=""),"📌保有中",IF(L9&gt;=0.06,"🟢利確推奨",IF(L9&gt;=0.05,"🟡利確直近",IF(L9&gt;=0.045,"🔵トレーリング検討",IF(L9&gt;-0.03,"📌保有中",IF(L9&gt;-0.04,"⚠️損切注意","🔴損切り"))))))))</f>
        <v>✅売却済</v>
      </c>
      <c r="T9" s="593">
        <v>46232</v>
      </c>
      <c r="U9" s="485">
        <v>416</v>
      </c>
      <c r="V9" s="700">
        <f>IF(OR(F9="",G9="",U9=""),"",IF(C9="売",(F9-U9)*G9,(U9-F9)*G9))</f>
        <v>2700</v>
      </c>
      <c r="W9" s="487">
        <f>IF(OR($E9="",$B9=""),"",IF($T9&lt;&gt;"",$T9-$E9,TODAY()-$E9)+1)</f>
        <v>3</v>
      </c>
      <c r="X9" s="484" t="str">
        <f>IF(OR($AH9="",$AH9="保有中"),"",$AH9)</f>
        <v>利益確定</v>
      </c>
      <c r="Y9" s="488"/>
      <c r="Z9" s="710" t="s">
        <v>1280</v>
      </c>
      <c r="AA9" s="600" t="s">
        <v>1281</v>
      </c>
      <c r="AD9" s="608" t="s">
        <v>1273</v>
      </c>
      <c r="AE9" s="624">
        <f>IF($E9="","",WORKDAY($E9,12))</f>
        <v>46246</v>
      </c>
      <c r="AF9" s="626" cm="1">
        <f t="array" aca="1" ref="AF9" ca="1">IF(OR($B9="",$M9=""),"",IFERROR(IF($C9="売",_xlfn.MINIFS(安値!$E$3:$IT$3,安値!$E$3:$IT$3,"&gt;"&amp;$E9,安値!$E$3:$IT$3,"&lt;="&amp;$AE9,OFFSET(安値!$E$6:$IT$6,MATCH(TEXT($B9,"0"),TEXT(銘柄管理!$B$6:$B$305,"0"),0)-1,0),"&lt;="&amp;$M9),_xlfn.MINIFS(高値!$E$3:$IT$3,高値!$E$3:$IT$3,"&gt;"&amp;$E9,高値!$E$3:$IT$3,"&lt;="&amp;$AE9,OFFSET(高値!$E$6:$IT$6,MATCH(TEXT($B9,"0"),TEXT(銘柄管理!$B$6:$B$305,"0"),0)-1,0),"&gt;="&amp;$M9)),""))</f>
        <v>46232</v>
      </c>
      <c r="AG9" s="626" cm="1">
        <f t="array" aca="1" ref="AG9" ca="1">IF(OR($B9="",$N9=""),"",IFERROR(IF($C9="売",_xlfn.MINIFS(高値!$E$3:$IT$3,高値!$E$3:$IT$3,"&gt;"&amp;$E9,高値!$E$3:$IT$3,"&lt;="&amp;$AE9,OFFSET(高値!$E$6:$IT$6,MATCH(TEXT($B9,"0"),TEXT(銘柄管理!$B$6:$B$305,"0"),0)-1,0),"&gt;="&amp;$N9),_xlfn.MINIFS(安値!$E$3:$IT$3,安値!$E$3:$IT$3,"&gt;"&amp;$E9,安値!$E$3:$IT$3,"&lt;="&amp;$AE9,OFFSET(安値!$E$6:$IT$6,MATCH(TEXT($B9,"0"),TEXT(銘柄管理!$B$6:$B$305,"0"),0)-1,0),"&lt;="&amp;$N9)),""))</f>
        <v>46238</v>
      </c>
      <c r="AH9" s="600" t="str">
        <f>IF(OR($B9="",$M9=""),"",IF(AND(N($AF9)=0,N($AG9)=0),IF(AND(ISNUMBER($H9),$H9&gt;0,IF($C9="売",$H9&gt;=$N9,$H9&lt;=$N9)),"損切確定",IF(AND(ISNUMBER($H9),$H9&gt;0,IF($C9="売",$H9&lt;=$M9,$H9&gt;=$M9)),"利益確定",IF($AE9&lt;=TODAY(),"日数制限","保有中"))),IF(N($AG9)=0,"利益確定",IF(N($AF9)=0,"損切確定",IF($AG9&lt;=$AF9,"損切確定","利益確定")))))</f>
        <v>利益確定</v>
      </c>
      <c r="AI9" s="600" t="str" cm="1">
        <f t="array" ref="AI9">IFERROR(INDEX(始値!$E$6:$IT$305,MATCH(TEXT($B9,"0"),TEXT(銘柄管理!$B$6:$B$305,"0"),0),MATCH($AE9,始値!$E$3:$IT$3,0)),"")</f>
        <v/>
      </c>
      <c r="AJ9" s="905">
        <f>IF(OR($V9="",$F9="",$G9=""),"",$V9/($F9*$G9))</f>
        <v>6.0948081264108354E-2</v>
      </c>
      <c r="AK9" s="629" t="str">
        <f>IF($V9="","",IF($V9&gt;0,"○勝",IF($V9&lt;0,"●負","△引分")))</f>
        <v>○勝</v>
      </c>
      <c r="AN9" s="609"/>
      <c r="BB9" s="600">
        <f>IF(N(買抽出v13!$C9)=0,"",N(買抽出v13!$Q9)+N(買抽出v13!$L9)/1000-ROW()/1000000)</f>
        <v>14.001590999999999</v>
      </c>
      <c r="BC9" s="600" t="str">
        <f>IF(N(売抽出v13!$C9)=0,"",N(売抽出v13!$Q9)+IFERROR(VALUE(SUBSTITUTE(売抽出v13!$L9,"倍","")),0)/1000-ROW()/1000000)</f>
        <v/>
      </c>
    </row>
    <row r="10" spans="1:55" ht="35.4" customHeight="1" thickBot="1">
      <c r="A10" s="619" t="str">
        <f>IF(B10="","",HYPERLINK("https://kabutan.jp/stock/?code="&amp;B10,"株探"))</f>
        <v>株探</v>
      </c>
      <c r="B10" s="481">
        <v>6436</v>
      </c>
      <c r="C10" s="482" t="s">
        <v>998</v>
      </c>
      <c r="D10" s="483" t="str" cm="1">
        <f t="array" ref="D10">_xll.RssMarket(B10, "銘柄名称")</f>
        <v>アマノ</v>
      </c>
      <c r="E10" s="715">
        <v>46231</v>
      </c>
      <c r="F10" s="698" cm="1">
        <f t="array" aca="1" ref="F10" ca="1">IFERROR(_xlfn.LET(_xlpm.r,MATCH(TEXT($B10,"0"),TEXT(銘柄管理!$B$6:$B$305,"0"),0),_xlpm.t,MOD(NOW(),1),_xlpm.c,IF($E10=TODAY(),IF(_xlpm.t&gt;=TIME(15,30,0),NA(),1),IF(MATCH($E10,始値!$E$3:$IT$3,0)=1,1,MATCH($E10,始値!$E$3:$IT$3,0)+1)),_xlpm.v,INDEX(始値!$C$6:$IT$305,_xlpm.r,_xlpm.c),IF(N(_xlpm.v)=0,"",_xlpm.v)),"")</f>
        <v>3836</v>
      </c>
      <c r="G10" s="484">
        <v>100</v>
      </c>
      <c r="H10" s="485" cm="1">
        <f t="array" ref="H10">_xll.RssMarket(B10, "現在値")</f>
        <v>3896</v>
      </c>
      <c r="I10" s="485" cm="1">
        <f t="array" ref="I10">_xll.RssMarket(B10, "出来高加重平均")</f>
        <v>3897.3761</v>
      </c>
      <c r="J10" s="700" cm="1">
        <f t="array" ref="J10">_xll.RssMarket($B10, "前日比")</f>
        <v>16</v>
      </c>
      <c r="K10" s="700">
        <f>IF(OR(F10="",G10="",H10=""),"",IF(C10="売",(F10-H10)*G10,(H10-F10)*G10))</f>
        <v>6000</v>
      </c>
      <c r="L10" s="705">
        <f>IF(OR(F10="",H10=""),"",IF(C10="売",(F10-H10)/F10,(H10-F10)/F10))</f>
        <v>1.5641293013555789E-2</v>
      </c>
      <c r="M10" s="485">
        <f>IF($F10="","",$F10*IF($C10="売",1-V811設定!$B$4,1+V811設定!$B$4)-MOD($F10*IF($C10="売",1-V811設定!$B$4,1+V811設定!$B$4),IF($F10&lt;=3000,1,IF($F10&lt;=5000,5,IF($F10&lt;=30000,10,IF($F10&lt;=50000,50,IF($F10&lt;=300000,100,500))))))+IF(AND($C10="売",MOD($F10*IF($C10="売",1-V811設定!$B$4,1+V811設定!$B$4),IF($F10&lt;=3000,1,IF($F10&lt;=5000,5,IF($F10&lt;=30000,10,IF($F10&lt;=50000,50,IF($F10&lt;=300000,100,500))))))&gt;0),IF($F10&lt;=3000,1,IF($F10&lt;=5000,5,IF($F10&lt;=30000,10,IF($F10&lt;=50000,50,IF($F10&lt;=300000,100,500))))),0))</f>
      </c>
      <c r="N10" s="485">
        <f>IF($F10="","",$F10*IF($C10="売",1+V811設定!$B$3,1-V811設定!$B$3)-MOD($F10*IF($C10="売",1+V811設定!$B$3,1-V811設定!$B$3),IF($F10&lt;=3000,1,IF($F10&lt;=5000,5,IF($F10&lt;=30000,10,IF($F10&lt;=50000,50,IF($F10&lt;=300000,100,500))))))+IF(AND($C10="売",MOD($F10*IF($C10="売",1+V811設定!$B$3,1-V811設定!$B$3),IF($F10&lt;=3000,1,IF($F10&lt;=5000,5,IF($F10&lt;=30000,10,IF($F10&lt;=50000,50,IF($F10&lt;=300000,100,500))))))&gt;0),IF($F10&lt;=3000,1,IF($F10&lt;=5000,5,IF($F10&lt;=30000,10,IF($F10&lt;=50000,50,IF($F10&lt;=300000,100,500))))),0))</f>
      </c>
      <c r="O10" s="486" t="str">
        <f>IF(OR($B10="",$F10="",$H10=""),"",IF($S10="✅売却済","―決済済―",IF($C10="売",IF($H10&lt;=$M10,"🟢利確",IF(AND($R10&lt;&gt;"",$H10&gt;=$R10),"🟠TRAIL",IF($H10&gt;=$N10,"🔴損切",IF($W10&gt;=V811設定!$B$6,"⏱時間決済",IF($H10&gt;=$F10*(1+V811設定!$B$3*0.7),"⚠️損切接近","保持継続"))))),IF($H10&gt;=$M10,"🟢利確",IF(AND($R10&lt;&gt;"",$H10&lt;=$R10),"🟠TRAIL",IF($H10&lt;=$N10,"🔴損切",IF($W10&gt;=V811設定!$B$6,"⏱時間決済",IF($H10&lt;=$F10*(1-V811設定!$B$3*0.7),"⚠️損切接近","保持継続"))))))))</f>
      </c>
      <c r="P10" s="485">
        <f ca="1">IF(B10="","",IFERROR(MAX(OFFSET(高値!$E$6,IFERROR(MATCH(B10,銘柄管理!$B$6:$B$305,0),MATCH(TEXT(B10,"0"),銘柄管理!$B$6:$B$305,0))-1,0,1,10)),""))</f>
        <v>4077</v>
      </c>
      <c r="Q10" s="485">
        <f ca="1">IF(B10="","",IFERROR(MIN(OFFSET(安値!$E$6,IFERROR(MATCH(B10,銘柄管理!$B$6:$B$305,0),MATCH(TEXT(B10,"0"),銘柄管理!$B$6:$B$305,0))-1,0,1,10)),""))</f>
        <v>3672</v>
      </c>
      <c r="R10" s="485">
        <f>IF(OR($F10="",$H10="",$N10=""),"",IF($S10="✅売却済","",IF($C10="売",IF($H10&gt;$F10*(1-V811設定!$B$3),$N10,MIN($N10,IF($Q10="",$N10,$Q10*1.03))),IF($H10&lt;$F10*(1+V811設定!$B$3),$N10,MAX($N10,IF($P10="",$N10,$P10*0.97))))))</f>
      </c>
      <c r="S10" s="585" t="str">
        <f>IF(B10="","",IF(T10&lt;&gt;"","✅売却済",IF(OR(H10="",L10=""),"📌保有中",IF(L10&gt;=0.06,"🟢利確推奨",IF(L10&gt;=0.05,"🟡利確直近",IF(L10&gt;=0.045,"🔵トレーリング検討",IF(L10&gt;-0.03,"📌保有中",IF(L10&gt;-0.04,"⚠️損切注意","🔴損切り"))))))))</f>
        <v>📌保有中</v>
      </c>
      <c r="T10" s="593"/>
      <c r="U10" s="485"/>
      <c r="V10" s="700" t="str">
        <f>IF(OR(F10="",G10="",U10=""),"",IF(C10="売",(F10-U10)*G10,(U10-F10)*G10))</f>
        <v/>
      </c>
      <c r="W10" s="487">
        <f>IF(OR($E10="",$B10=""),"",IF($T10&lt;&gt;"",$T10-$E10,TODAY()-$E10)+1)</f>
        <v>10</v>
      </c>
      <c r="X10" s="484" t="str">
        <f>IF(OR($AH10="",$AH10="保有中"),"",$AH10)</f>
        <v/>
      </c>
      <c r="Y10" s="488"/>
      <c r="Z10" s="710">
        <v>13</v>
      </c>
      <c r="AA10" s="600" t="s">
        <v>1327</v>
      </c>
      <c r="AD10" s="608" t="s">
        <v>1322</v>
      </c>
      <c r="AE10" s="624">
        <f>IF($E10="","",WORKDAY($E10,12))</f>
        <v>46247</v>
      </c>
      <c r="AF10" s="626" cm="1">
        <f t="array" aca="1" ref="AF10" ca="1">IF(OR($B10="",$M10=""),"",IFERROR(IF($C10="売",_xlfn.MINIFS(安値!$E$3:$IT$3,安値!$E$3:$IT$3,"&gt;"&amp;$E10,安値!$E$3:$IT$3,"&lt;="&amp;$AE10,OFFSET(安値!$E$6:$IT$6,MATCH(TEXT($B10,"0"),TEXT(銘柄管理!$B$6:$B$305,"0"),0)-1,0),"&lt;="&amp;$M10),_xlfn.MINIFS(高値!$E$3:$IT$3,高値!$E$3:$IT$3,"&gt;"&amp;$E10,高値!$E$3:$IT$3,"&lt;="&amp;$AE10,OFFSET(高値!$E$6:$IT$6,MATCH(TEXT($B10,"0"),TEXT(銘柄管理!$B$6:$B$305,"0"),0)-1,0),"&gt;="&amp;$M10)),""))</f>
        <v>0</v>
      </c>
      <c r="AG10" s="626" cm="1">
        <f t="array" aca="1" ref="AG10" ca="1">IF(OR($B10="",$N10=""),"",IFERROR(IF($C10="売",_xlfn.MINIFS(高値!$E$3:$IT$3,高値!$E$3:$IT$3,"&gt;"&amp;$E10,高値!$E$3:$IT$3,"&lt;="&amp;$AE10,OFFSET(高値!$E$6:$IT$6,MATCH(TEXT($B10,"0"),TEXT(銘柄管理!$B$6:$B$305,"0"),0)-1,0),"&gt;="&amp;$N10),_xlfn.MINIFS(安値!$E$3:$IT$3,安値!$E$3:$IT$3,"&gt;"&amp;$E10,安値!$E$3:$IT$3,"&lt;="&amp;$AE10,OFFSET(安値!$E$6:$IT$6,MATCH(TEXT($B10,"0"),TEXT(銘柄管理!$B$6:$B$305,"0"),0)-1,0),"&lt;="&amp;$N10)),""))</f>
        <v>0</v>
      </c>
      <c r="AH10" s="600" t="str">
        <f>IF(OR($B10="",$M10=""),"",IF(AND(N($AF10)=0,N($AG10)=0),IF(AND(ISNUMBER($H10),$H10&gt;0,IF($C10="売",$H10&gt;=$N10,$H10&lt;=$N10)),"損切確定",IF(AND(ISNUMBER($H10),$H10&gt;0,IF($C10="売",$H10&lt;=$M10,$H10&gt;=$M10)),"利益確定",IF($AE10&lt;=TODAY(),"日数制限","保有中"))),IF(N($AG10)=0,"利益確定",IF(N($AF10)=0,"損切確定",IF($AG10&lt;=$AF10,"損切確定","利益確定")))))</f>
        <v>保有中</v>
      </c>
      <c r="AI10" s="600" t="str" cm="1">
        <f t="array" ref="AI10">IFERROR(INDEX(始値!$E$6:$IT$305,MATCH(TEXT($B10,"0"),TEXT(銘柄管理!$B$6:$B$305,"0"),0),MATCH($AE10,始値!$E$3:$IT$3,0)),"")</f>
        <v/>
      </c>
      <c r="AJ10" s="905" t="str">
        <f>IF(OR($V10="",$F10="",$G10=""),"",$V10/($F10*$G10))</f>
        <v/>
      </c>
      <c r="AK10" s="629" t="str">
        <f>IF($V10="","",IF($V10&gt;0,"○勝",IF($V10&lt;0,"●負","△引分")))</f>
        <v/>
      </c>
      <c r="AL10" s="488" t="s">
        <v>1343</v>
      </c>
      <c r="AM10" s="610">
        <f>MAX(始値!$E$3:$IT$3)</f>
        <v>46240</v>
      </c>
      <c r="AN10" s="603" t="s">
        <v>1326</v>
      </c>
      <c r="AO10" s="628" t="str">
        <f ca="1">"合計 "&amp;SUM($AO$11:$AO$14)&amp;"件"</f>
        <v>合計 20件</v>
      </c>
      <c r="BB10" s="600">
        <f>IF(N(買抽出v13!$C10)=0,"",N(買抽出v13!$Q10)+N(買抽出v13!$L10)/1000-ROW()/1000000)</f>
        <v>14.001390000000001</v>
      </c>
      <c r="BC10" s="600" t="str">
        <f>IF(N(売抽出v13!$C10)=0,"",N(売抽出v13!$Q10)+IFERROR(VALUE(SUBSTITUTE(売抽出v13!$L10,"倍","")),0)/1000-ROW()/1000000)</f>
        <v/>
      </c>
    </row>
    <row r="11" spans="1:55" ht="35.4" customHeight="1" thickTop="1">
      <c r="A11" s="619" t="str">
        <f>IF(B11="","",HYPERLINK("https://kabutan.jp/stock/?code="&amp;B11,"株探"))</f>
        <v>株探</v>
      </c>
      <c r="B11" s="481">
        <v>8334</v>
      </c>
      <c r="C11" s="482" t="s">
        <v>998</v>
      </c>
      <c r="D11" s="483" t="str" cm="1">
        <f t="array" ref="D11">_xll.RssMarket(B11, "銘柄名称")</f>
        <v>群馬銀行</v>
      </c>
      <c r="E11" s="715">
        <v>46231</v>
      </c>
      <c r="F11" s="698" cm="1">
        <f t="array" aca="1" ref="F11" ca="1">IFERROR(_xlfn.LET(_xlpm.r,MATCH(TEXT($B11,"0"),TEXT(銘柄管理!$B$6:$B$305,"0"),0),_xlpm.t,MOD(NOW(),1),_xlpm.c,IF($E11=TODAY(),IF(_xlpm.t&gt;=TIME(15,30,0),NA(),1),IF(MATCH($E11,始値!$E$3:$IT$3,0)=1,1,MATCH($E11,始値!$E$3:$IT$3,0)+1)),_xlpm.v,INDEX(始値!$C$6:$IT$305,_xlpm.r,_xlpm.c),IF(N(_xlpm.v)=0,"",_xlpm.v)),"")</f>
        <v>2570</v>
      </c>
      <c r="G11" s="484">
        <v>100</v>
      </c>
      <c r="H11" s="485" cm="1">
        <f t="array" ref="H11">_xll.RssMarket(B11, "現在値")</f>
        <v>2594</v>
      </c>
      <c r="I11" s="485" cm="1">
        <f t="array" ref="I11">_xll.RssMarket(B11, "出来高加重平均")</f>
        <v>2588.6388000000002</v>
      </c>
      <c r="J11" s="700" cm="1">
        <f t="array" ref="J11">_xll.RssMarket($B11, "前日比")</f>
        <v>26</v>
      </c>
      <c r="K11" s="700">
        <f>IF(OR(F11="",G11="",H11=""),"",IF(C11="売",(F11-H11)*G11,(H11-F11)*G11))</f>
        <v>2400</v>
      </c>
      <c r="L11" s="705">
        <f>IF(OR(F11="",H11=""),"",IF(C11="売",(F11-H11)/F11,(H11-F11)/F11))</f>
        <v>9.3385214007782099E-3</v>
      </c>
      <c r="M11" s="485">
        <f>IF($F11="","",$F11*IF($C11="売",1-V811設定!$B$4,1+V811設定!$B$4)-MOD($F11*IF($C11="売",1-V811設定!$B$4,1+V811設定!$B$4),IF($F11&lt;=3000,1,IF($F11&lt;=5000,5,IF($F11&lt;=30000,10,IF($F11&lt;=50000,50,IF($F11&lt;=300000,100,500))))))+IF(AND($C11="売",MOD($F11*IF($C11="売",1-V811設定!$B$4,1+V811設定!$B$4),IF($F11&lt;=3000,1,IF($F11&lt;=5000,5,IF($F11&lt;=30000,10,IF($F11&lt;=50000,50,IF($F11&lt;=300000,100,500))))))&gt;0),IF($F11&lt;=3000,1,IF($F11&lt;=5000,5,IF($F11&lt;=30000,10,IF($F11&lt;=50000,50,IF($F11&lt;=300000,100,500))))),0))</f>
      </c>
      <c r="N11" s="485">
        <f>IF($F11="","",$F11*IF($C11="売",1+V811設定!$B$3,1-V811設定!$B$3)-MOD($F11*IF($C11="売",1+V811設定!$B$3,1-V811設定!$B$3),IF($F11&lt;=3000,1,IF($F11&lt;=5000,5,IF($F11&lt;=30000,10,IF($F11&lt;=50000,50,IF($F11&lt;=300000,100,500))))))+IF(AND($C11="売",MOD($F11*IF($C11="売",1+V811設定!$B$3,1-V811設定!$B$3),IF($F11&lt;=3000,1,IF($F11&lt;=5000,5,IF($F11&lt;=30000,10,IF($F11&lt;=50000,50,IF($F11&lt;=300000,100,500))))))&gt;0),IF($F11&lt;=3000,1,IF($F11&lt;=5000,5,IF($F11&lt;=30000,10,IF($F11&lt;=50000,50,IF($F11&lt;=300000,100,500))))),0))</f>
      </c>
      <c r="O11" s="486" t="str">
        <f>IF(OR($B11="",$F11="",$H11=""),"",IF($S11="✅売却済","―決済済―",IF($C11="売",IF($H11&lt;=$M11,"🟢利確",IF(AND($R11&lt;&gt;"",$H11&gt;=$R11),"🟠TRAIL",IF($H11&gt;=$N11,"🔴損切",IF($W11&gt;=V811設定!$B$6,"⏱時間決済",IF($H11&gt;=$F11*(1+V811設定!$B$3*0.7),"⚠️損切接近","保持継続"))))),IF($H11&gt;=$M11,"🟢利確",IF(AND($R11&lt;&gt;"",$H11&lt;=$R11),"🟠TRAIL",IF($H11&lt;=$N11,"🔴損切",IF($W11&gt;=V811設定!$B$6,"⏱時間決済",IF($H11&lt;=$F11*(1-V811設定!$B$3*0.7),"⚠️損切接近","保持継続"))))))))</f>
      </c>
      <c r="P11" s="485">
        <f ca="1">IF(B11="","",IFERROR(MAX(OFFSET(高値!$E$6,IFERROR(MATCH(B11,銘柄管理!$B$6:$B$305,0),MATCH(TEXT(B11,"0"),銘柄管理!$B$6:$B$305,0))-1,0,1,10)),""))</f>
        <v>2661</v>
      </c>
      <c r="Q11" s="485">
        <f ca="1">IF(B11="","",IFERROR(MIN(OFFSET(安値!$E$6,IFERROR(MATCH(B11,銘柄管理!$B$6:$B$305,0),MATCH(TEXT(B11,"0"),銘柄管理!$B$6:$B$305,0))-1,0,1,10)),""))</f>
        <v>2440</v>
      </c>
      <c r="R11" s="485">
        <f>IF(OR($F11="",$H11="",$N11=""),"",IF($S11="✅売却済","",IF($C11="売",IF($H11&gt;$F11*(1-V811設定!$B$3),$N11,MIN($N11,IF($Q11="",$N11,$Q11*1.03))),IF($H11&lt;$F11*(1+V811設定!$B$3),$N11,MAX($N11,IF($P11="",$N11,$P11*0.97))))))</f>
      </c>
      <c r="S11" s="585" t="str">
        <f>IF(B11="","",IF(T11&lt;&gt;"","✅売却済",IF(OR(H11="",L11=""),"📌保有中",IF(L11&gt;=0.06,"🟢利確推奨",IF(L11&gt;=0.05,"🟡利確直近",IF(L11&gt;=0.045,"🔵トレーリング検討",IF(L11&gt;-0.03,"📌保有中",IF(L11&gt;-0.04,"⚠️損切注意","🔴損切り"))))))))</f>
        <v>✅売却済</v>
      </c>
      <c r="T11" s="593">
        <v>46232</v>
      </c>
      <c r="U11" s="485">
        <v>2467</v>
      </c>
      <c r="V11" s="700">
        <f>IF(OR(F11="",G11="",U11=""),"",IF(C11="売",(F11-U11)*G11,(U11-F11)*G11))</f>
        <v>-10300</v>
      </c>
      <c r="W11" s="487">
        <f>IF(OR($E11="",$B11=""),"",IF($T11&lt;&gt;"",$T11-$E11,TODAY()-$E11)+1)</f>
        <v>2</v>
      </c>
      <c r="X11" s="484" t="str">
        <f>IF(OR($AH11="",$AH11="保有中"),"",$AH11)</f>
        <v>損切確定</v>
      </c>
      <c r="Y11" s="488"/>
      <c r="Z11" s="710">
        <v>13</v>
      </c>
      <c r="AA11" s="600" t="s">
        <v>1328</v>
      </c>
      <c r="AD11" s="608" t="s">
        <v>1322</v>
      </c>
      <c r="AE11" s="624">
        <f>IF($E11="","",WORKDAY($E11,12))</f>
        <v>46247</v>
      </c>
      <c r="AF11" s="626" cm="1">
        <f t="array" aca="1" ref="AF11" ca="1">IF(OR($B11="",$M11=""),"",IFERROR(IF($C11="売",_xlfn.MINIFS(安値!$E$3:$IT$3,安値!$E$3:$IT$3,"&gt;"&amp;$E11,安値!$E$3:$IT$3,"&lt;="&amp;$AE11,OFFSET(安値!$E$6:$IT$6,MATCH(TEXT($B11,"0"),TEXT(銘柄管理!$B$6:$B$305,"0"),0)-1,0),"&lt;="&amp;$M11),_xlfn.MINIFS(高値!$E$3:$IT$3,高値!$E$3:$IT$3,"&gt;"&amp;$E11,高値!$E$3:$IT$3,"&lt;="&amp;$AE11,OFFSET(高値!$E$6:$IT$6,MATCH(TEXT($B11,"0"),TEXT(銘柄管理!$B$6:$B$305,"0"),0)-1,0),"&gt;="&amp;$M11)),""))</f>
        <v>0</v>
      </c>
      <c r="AG11" s="626" cm="1">
        <f t="array" aca="1" ref="AG11" ca="1">IF(OR($B11="",$N11=""),"",IFERROR(IF($C11="売",_xlfn.MINIFS(高値!$E$3:$IT$3,高値!$E$3:$IT$3,"&gt;"&amp;$E11,高値!$E$3:$IT$3,"&lt;="&amp;$AE11,OFFSET(高値!$E$6:$IT$6,MATCH(TEXT($B11,"0"),TEXT(銘柄管理!$B$6:$B$305,"0"),0)-1,0),"&gt;="&amp;$N11),_xlfn.MINIFS(安値!$E$3:$IT$3,安値!$E$3:$IT$3,"&gt;"&amp;$E11,安値!$E$3:$IT$3,"&lt;="&amp;$AE11,OFFSET(安値!$E$6:$IT$6,MATCH(TEXT($B11,"0"),TEXT(銘柄管理!$B$6:$B$305,"0"),0)-1,0),"&lt;="&amp;$N11)),""))</f>
        <v>46232</v>
      </c>
      <c r="AH11" s="600" t="str">
        <f>IF(OR($B11="",$M11=""),"",IF(AND(N($AF11)=0,N($AG11)=0),IF(AND(ISNUMBER($H11),$H11&gt;0,IF($C11="売",$H11&gt;=$N11,$H11&lt;=$N11)),"損切確定",IF(AND(ISNUMBER($H11),$H11&gt;0,IF($C11="売",$H11&lt;=$M11,$H11&gt;=$M11)),"利益確定",IF($AE11&lt;=TODAY(),"日数制限","保有中"))),IF(N($AG11)=0,"利益確定",IF(N($AF11)=0,"損切確定",IF($AG11&lt;=$AF11,"損切確定","利益確定")))))</f>
        <v>損切確定</v>
      </c>
      <c r="AI11" s="600" t="str" cm="1">
        <f t="array" ref="AI11">IFERROR(INDEX(始値!$E$6:$IT$305,MATCH(TEXT($B11,"0"),TEXT(銘柄管理!$B$6:$B$305,"0"),0),MATCH($AE11,始値!$E$3:$IT$3,0)),"")</f>
        <v/>
      </c>
      <c r="AJ11" s="905">
        <f>IF(OR($V11="",$F11="",$G11=""),"",$V11/($F11*$G11))</f>
        <v>-4.0077821011673155E-2</v>
      </c>
      <c r="AK11" s="629" t="str">
        <f>IF($V11="","",IF($V11&gt;0,"○勝",IF($V11&lt;0,"●負","△引分")))</f>
        <v>●負</v>
      </c>
      <c r="AL11" s="488" t="s">
        <v>1344</v>
      </c>
      <c r="AM11" s="611">
        <f>WORKDAY($AM$10,1)</f>
        <v>46241</v>
      </c>
      <c r="AN11" s="644" t="str">
        <f>$AN4</f>
        <v>厳選TOP2買</v>
      </c>
      <c r="AO11" s="645">
        <f ca="1">COUNTIFS($AD$4:$AD$1000,"*"&amp;$AN11&amp;"*",$B$4:$B$1000,"&lt;&gt;",$T$4:$T$1000,"")</f>
        <v>6</v>
      </c>
      <c r="BB11" s="600">
        <f>IF(N(買抽出v13!$C11)=0,"",N(買抽出v13!$Q11)+N(買抽出v13!$L11)/1000-ROW()/1000000)</f>
        <v>14.000489</v>
      </c>
      <c r="BC11" s="600" t="str">
        <f>IF(N(売抽出v13!$C11)=0,"",N(売抽出v13!$Q11)+IFERROR(VALUE(SUBSTITUTE(売抽出v13!$L11,"倍","")),0)/1000-ROW()/1000000)</f>
        <v/>
      </c>
    </row>
    <row r="12" spans="1:55" ht="35.4" customHeight="1">
      <c r="A12" s="619" t="str">
        <f>IF(B12="","",HYPERLINK("https://kabutan.jp/stock/?code="&amp;B12,"株探"))</f>
        <v>株探</v>
      </c>
      <c r="B12" s="481">
        <v>6387</v>
      </c>
      <c r="C12" s="482" t="s">
        <v>999</v>
      </c>
      <c r="D12" s="483" t="str" cm="1">
        <f t="array" ref="D12">_xll.RssMarket(B12, "銘柄名称")</f>
        <v>サムコ</v>
      </c>
      <c r="E12" s="715">
        <v>46231</v>
      </c>
      <c r="F12" s="698" cm="1">
        <f t="array" aca="1" ref="F12" ca="1">IFERROR(_xlfn.LET(_xlpm.r,MATCH(TEXT($B12,"0"),TEXT(銘柄管理!$B$6:$B$305,"0"),0),_xlpm.t,MOD(NOW(),1),_xlpm.c,IF($E12=TODAY(),IF(_xlpm.t&gt;=TIME(15,30,0),NA(),1),IF(MATCH($E12,始値!$E$3:$IT$3,0)=1,1,MATCH($E12,始値!$E$3:$IT$3,0)+1)),_xlpm.v,INDEX(始値!$C$6:$IT$305,_xlpm.r,_xlpm.c),IF(N(_xlpm.v)=0,"",_xlpm.v)),"")</f>
        <v>8430</v>
      </c>
      <c r="G12" s="484">
        <v>100</v>
      </c>
      <c r="H12" s="485" cm="1">
        <f t="array" ref="H12">_xll.RssMarket(B12, "現在値")</f>
        <v>9290</v>
      </c>
      <c r="I12" s="485" cm="1">
        <f t="array" ref="I12">_xll.RssMarket(B12, "出来高加重平均")</f>
        <v>9406.9437999999991</v>
      </c>
      <c r="J12" s="700" cm="1">
        <f t="array" ref="J12">_xll.RssMarket($B12, "前日比")</f>
        <v>-570</v>
      </c>
      <c r="K12" s="700">
        <f>IF(OR(F12="",G12="",H12=""),"",IF(C12="売",(F12-H12)*G12,(H12-F12)*G12))</f>
        <v>-86000</v>
      </c>
      <c r="L12" s="705">
        <f>IF(OR(F12="",H12=""),"",IF(C12="売",(F12-H12)/F12,(H12-F12)/F12))</f>
        <v>-0.10201660735468565</v>
      </c>
      <c r="M12" s="485">
        <f>IF($F12="","",$F12*IF($C12="売",1-V811設定!$B$4,1+V811設定!$B$4)-MOD($F12*IF($C12="売",1-V811設定!$B$4,1+V811設定!$B$4),IF($F12&lt;=3000,1,IF($F12&lt;=5000,5,IF($F12&lt;=30000,10,IF($F12&lt;=50000,50,IF($F12&lt;=300000,100,500))))))+IF(AND($C12="売",MOD($F12*IF($C12="売",1-V811設定!$B$4,1+V811設定!$B$4),IF($F12&lt;=3000,1,IF($F12&lt;=5000,5,IF($F12&lt;=30000,10,IF($F12&lt;=50000,50,IF($F12&lt;=300000,100,500))))))&gt;0),IF($F12&lt;=3000,1,IF($F12&lt;=5000,5,IF($F12&lt;=30000,10,IF($F12&lt;=50000,50,IF($F12&lt;=300000,100,500))))),0))</f>
      </c>
      <c r="N12" s="485">
        <f>IF($F12="","",$F12*IF($C12="売",1+V811設定!$B$3,1-V811設定!$B$3)-MOD($F12*IF($C12="売",1+V811設定!$B$3,1-V811設定!$B$3),IF($F12&lt;=3000,1,IF($F12&lt;=5000,5,IF($F12&lt;=30000,10,IF($F12&lt;=50000,50,IF($F12&lt;=300000,100,500))))))+IF(AND($C12="売",MOD($F12*IF($C12="売",1+V811設定!$B$3,1-V811設定!$B$3),IF($F12&lt;=3000,1,IF($F12&lt;=5000,5,IF($F12&lt;=30000,10,IF($F12&lt;=50000,50,IF($F12&lt;=300000,100,500))))))&gt;0),IF($F12&lt;=3000,1,IF($F12&lt;=5000,5,IF($F12&lt;=30000,10,IF($F12&lt;=50000,50,IF($F12&lt;=300000,100,500))))),0))</f>
      </c>
      <c r="O12" s="486" t="str">
        <f>IF(OR($B12="",$F12="",$H12=""),"",IF($S12="✅売却済","―決済済―",IF($C12="売",IF($H12&lt;=$M12,"🟢利確",IF(AND($R12&lt;&gt;"",$H12&gt;=$R12),"🟠TRAIL",IF($H12&gt;=$N12,"🔴損切",IF($W12&gt;=V811設定!$B$6,"⏱時間決済",IF($H12&gt;=$F12*(1+V811設定!$B$3*0.7),"⚠️損切接近","保持継続"))))),IF($H12&gt;=$M12,"🟢利確",IF(AND($R12&lt;&gt;"",$H12&lt;=$R12),"🟠TRAIL",IF($H12&lt;=$N12,"🔴損切",IF($W12&gt;=V811設定!$B$6,"⏱時間決済",IF($H12&lt;=$F12*(1-V811設定!$B$3*0.7),"⚠️損切接近","保持継続"))))))))</f>
      </c>
      <c r="P12" s="485">
        <f ca="1">IF(B12="","",IFERROR(MAX(OFFSET(高値!$E$6,IFERROR(MATCH(B12,銘柄管理!$B$6:$B$305,0),MATCH(TEXT(B12,"0"),銘柄管理!$B$6:$B$305,0))-1,0,1,10)),""))</f>
        <v>9960</v>
      </c>
      <c r="Q12" s="485">
        <f ca="1">IF(B12="","",IFERROR(MIN(OFFSET(安値!$E$6,IFERROR(MATCH(B12,銘柄管理!$B$6:$B$305,0),MATCH(TEXT(B12,"0"),銘柄管理!$B$6:$B$305,0))-1,0,1,10)),""))</f>
        <v>7130</v>
      </c>
      <c r="R12" s="485">
        <f>IF(OR($F12="",$H12="",$N12=""),"",IF($S12="✅売却済","",IF($C12="売",IF($H12&gt;$F12*(1-V811設定!$B$3),$N12,MIN($N12,IF($Q12="",$N12,$Q12*1.03))),IF($H12&lt;$F12*(1+V811設定!$B$3),$N12,MAX($N12,IF($P12="",$N12,$P12*0.97))))))</f>
      </c>
      <c r="S12" s="585" t="str">
        <f>IF(B12="","",IF(T12&lt;&gt;"","✅売却済",IF(OR(H12="",L12=""),"📌保有中",IF(L12&gt;=0.06,"🟢利確推奨",IF(L12&gt;=0.05,"🟡利確直近",IF(L12&gt;=0.045,"🔵トレーリング検討",IF(L12&gt;-0.03,"📌保有中",IF(L12&gt;-0.04,"⚠️損切注意","🔴損切り"))))))))</f>
        <v>✅売却済</v>
      </c>
      <c r="T12" s="593">
        <v>46232</v>
      </c>
      <c r="U12" s="485">
        <v>7924</v>
      </c>
      <c r="V12" s="700">
        <f>IF(OR(F12="",G12="",U12=""),"",IF(C12="売",(F12-U12)*G12,(U12-F12)*G12))</f>
        <v>50600</v>
      </c>
      <c r="W12" s="487">
        <f>IF(OR($E12="",$B12=""),"",IF($T12&lt;&gt;"",$T12-$E12,TODAY()-$E12)+1)</f>
        <v>2</v>
      </c>
      <c r="X12" s="484" t="str">
        <f>IF(OR($AH12="",$AH12="保有中"),"",$AH12)</f>
        <v>利益確定</v>
      </c>
      <c r="Y12" s="488"/>
      <c r="Z12" s="710">
        <v>16</v>
      </c>
      <c r="AA12" s="600" t="s">
        <v>1329</v>
      </c>
      <c r="AD12" s="608" t="s">
        <v>1323</v>
      </c>
      <c r="AE12" s="625">
        <f>IF($E12="","",WORKDAY($E12,12))</f>
        <v>46247</v>
      </c>
      <c r="AF12" s="627" cm="1">
        <f t="array" aca="1" ref="AF12" ca="1">IF(OR($B12="",$M12=""),"",IFERROR(IF($C12="売",_xlfn.MINIFS(安値!$E$3:$IT$3,安値!$E$3:$IT$3,"&gt;"&amp;$E12,安値!$E$3:$IT$3,"&lt;="&amp;$AE12,OFFSET(安値!$E$6:$IT$6,MATCH(TEXT($B12,"0"),TEXT(銘柄管理!$B$6:$B$305,"0"),0)-1,0),"&lt;="&amp;$M12),_xlfn.MINIFS(高値!$E$3:$IT$3,高値!$E$3:$IT$3,"&gt;"&amp;$E12,高値!$E$3:$IT$3,"&lt;="&amp;$AE12,OFFSET(高値!$E$6:$IT$6,MATCH(TEXT($B12,"0"),TEXT(銘柄管理!$B$6:$B$305,"0"),0)-1,0),"&gt;="&amp;$M12)),""))</f>
        <v>46232</v>
      </c>
      <c r="AG12" s="627" cm="1">
        <f t="array" aca="1" ref="AG12" ca="1">IF(OR($B12="",$N12=""),"",IFERROR(IF($C12="売",_xlfn.MINIFS(高値!$E$3:$IT$3,高値!$E$3:$IT$3,"&gt;"&amp;$E12,高値!$E$3:$IT$3,"&lt;="&amp;$AE12,OFFSET(高値!$E$6:$IT$6,MATCH(TEXT($B12,"0"),TEXT(銘柄管理!$B$6:$B$305,"0"),0)-1,0),"&gt;="&amp;$N12),_xlfn.MINIFS(安値!$E$3:$IT$3,安値!$E$3:$IT$3,"&gt;"&amp;$E12,安値!$E$3:$IT$3,"&lt;="&amp;$AE12,OFFSET(安値!$E$6:$IT$6,MATCH(TEXT($B12,"0"),TEXT(銘柄管理!$B$6:$B$305,"0"),0)-1,0),"&lt;="&amp;$N12)),""))</f>
        <v>46234</v>
      </c>
      <c r="AH12" s="601" t="str">
        <f>IF(OR($B12="",$M12=""),"",IF(AND(N($AF12)=0,N($AG12)=0),IF(AND(ISNUMBER($H12),$H12&gt;0,IF($C12="売",$H12&gt;=$N12,$H12&lt;=$N12)),"損切確定",IF(AND(ISNUMBER($H12),$H12&gt;0,IF($C12="売",$H12&lt;=$M12,$H12&gt;=$M12)),"利益確定",IF($AE12&lt;=TODAY(),"日数制限","保有中"))),IF(N($AG12)=0,"利益確定",IF(N($AF12)=0,"損切確定",IF($AG12&lt;=$AF12,"損切確定","利益確定")))))</f>
        <v>利益確定</v>
      </c>
      <c r="AI12" s="601" t="str" cm="1">
        <f t="array" ref="AI12">IFERROR(INDEX(始値!$E$6:$IT$305,MATCH(TEXT($B12,"0"),TEXT(銘柄管理!$B$6:$B$305,"0"),0),MATCH($AE12,始値!$E$3:$IT$3,0)),"")</f>
        <v/>
      </c>
      <c r="AJ12" s="905">
        <f>IF(OR($V12="",$F12="",$G12=""),"",$V12/($F12*$G12))</f>
        <v>6.0023724792408063E-2</v>
      </c>
      <c r="AK12" s="629" t="str">
        <f>IF($V12="","",IF($V12&gt;0,"○勝",IF($V12&lt;0,"●負","△引分")))</f>
        <v>○勝</v>
      </c>
      <c r="AN12" s="636" t="str">
        <f>$AN5</f>
        <v>厳選TOP2売</v>
      </c>
      <c r="AO12" s="646">
        <f ca="1">COUNTIFS($AD$4:$AD$1000,"*"&amp;$AN12&amp;"*",$B$4:$B$1000,"&lt;&gt;",$T$4:$T$1000,"")</f>
        <v>4</v>
      </c>
      <c r="BB12" s="600">
        <f>IF(N(買抽出v13!$C12)=0,"",N(買抽出v13!$Q12)+N(買抽出v13!$L12)/1000-ROW()/1000000)</f>
        <v>13.003188</v>
      </c>
      <c r="BC12" s="600" t="str">
        <f>IF(N(売抽出v13!$C12)=0,"",N(売抽出v13!$Q12)+IFERROR(VALUE(SUBSTITUTE(売抽出v13!$L12,"倍","")),0)/1000-ROW()/1000000)</f>
        <v/>
      </c>
    </row>
    <row r="13" spans="1:55" ht="35.4" customHeight="1">
      <c r="A13" s="619" t="str">
        <f>IF(B13="","",HYPERLINK("https://kabutan.jp/stock/?code="&amp;B13,"株探"))</f>
        <v>株探</v>
      </c>
      <c r="B13" s="481">
        <v>9984</v>
      </c>
      <c r="C13" s="482" t="s">
        <v>999</v>
      </c>
      <c r="D13" s="483" t="str" cm="1">
        <f t="array" ref="D13">_xll.RssMarket(B13, "銘柄名称")</f>
        <v>ソフトバンクグループ</v>
      </c>
      <c r="E13" s="715">
        <v>46231</v>
      </c>
      <c r="F13" s="698" cm="1">
        <f t="array" aca="1" ref="F13" ca="1">IFERROR(_xlfn.LET(_xlpm.r,MATCH(TEXT($B13,"0"),TEXT(銘柄管理!$B$6:$B$305,"0"),0),_xlpm.t,MOD(NOW(),1),_xlpm.c,IF($E13=TODAY(),IF(_xlpm.t&gt;=TIME(15,30,0),NA(),1),IF(MATCH($E13,始値!$E$3:$IT$3,0)=1,1,MATCH($E13,始値!$E$3:$IT$3,0)+1)),_xlpm.v,INDEX(始値!$C$6:$IT$305,_xlpm.r,_xlpm.c),IF(N(_xlpm.v)=0,"",_xlpm.v)),"")</f>
        <v>5083</v>
      </c>
      <c r="G13" s="484">
        <v>100</v>
      </c>
      <c r="H13" s="485" cm="1">
        <f t="array" ref="H13">_xll.RssMarket(B13, "現在値")</f>
        <v>5695</v>
      </c>
      <c r="I13" s="485" cm="1">
        <f t="array" ref="I13">_xll.RssMarket(B13, "出来高加重平均")</f>
        <v>5699.4425000000001</v>
      </c>
      <c r="J13" s="700" cm="1">
        <f t="array" ref="J13">_xll.RssMarket($B13, "前日比")</f>
        <v>-263</v>
      </c>
      <c r="K13" s="700">
        <f>IF(OR(F13="",G13="",H13=""),"",IF(C13="売",(F13-H13)*G13,(H13-F13)*G13))</f>
        <v>-61200</v>
      </c>
      <c r="L13" s="705">
        <f>IF(OR(F13="",H13=""),"",IF(C13="売",(F13-H13)/F13,(H13-F13)/F13))</f>
        <v>-0.12040133779264214</v>
      </c>
      <c r="M13" s="485">
        <f>IF($F13="","",$F13*IF($C13="売",1-V811設定!$B$4,1+V811設定!$B$4)-MOD($F13*IF($C13="売",1-V811設定!$B$4,1+V811設定!$B$4),IF($F13&lt;=3000,1,IF($F13&lt;=5000,5,IF($F13&lt;=30000,10,IF($F13&lt;=50000,50,IF($F13&lt;=300000,100,500))))))+IF(AND($C13="売",MOD($F13*IF($C13="売",1-V811設定!$B$4,1+V811設定!$B$4),IF($F13&lt;=3000,1,IF($F13&lt;=5000,5,IF($F13&lt;=30000,10,IF($F13&lt;=50000,50,IF($F13&lt;=300000,100,500))))))&gt;0),IF($F13&lt;=3000,1,IF($F13&lt;=5000,5,IF($F13&lt;=30000,10,IF($F13&lt;=50000,50,IF($F13&lt;=300000,100,500))))),0))</f>
      </c>
      <c r="N13" s="485">
        <f>IF($F13="","",$F13*IF($C13="売",1+V811設定!$B$3,1-V811設定!$B$3)-MOD($F13*IF($C13="売",1+V811設定!$B$3,1-V811設定!$B$3),IF($F13&lt;=3000,1,IF($F13&lt;=5000,5,IF($F13&lt;=30000,10,IF($F13&lt;=50000,50,IF($F13&lt;=300000,100,500))))))+IF(AND($C13="売",MOD($F13*IF($C13="売",1+V811設定!$B$3,1-V811設定!$B$3),IF($F13&lt;=3000,1,IF($F13&lt;=5000,5,IF($F13&lt;=30000,10,IF($F13&lt;=50000,50,IF($F13&lt;=300000,100,500))))))&gt;0),IF($F13&lt;=3000,1,IF($F13&lt;=5000,5,IF($F13&lt;=30000,10,IF($F13&lt;=50000,50,IF($F13&lt;=300000,100,500))))),0))</f>
      </c>
      <c r="O13" s="486" t="str">
        <f>IF(OR($B13="",$F13="",$H13=""),"",IF($S13="✅売却済","―決済済―",IF($C13="売",IF($H13&lt;=$M13,"🟢利確",IF(AND($R13&lt;&gt;"",$H13&gt;=$R13),"🟠TRAIL",IF($H13&gt;=$N13,"🔴損切",IF($W13&gt;=V811設定!$B$6,"⏱時間決済",IF($H13&gt;=$F13*(1+V811設定!$B$3*0.7),"⚠️損切接近","保持継続"))))),IF($H13&gt;=$M13,"🟢利確",IF(AND($R13&lt;&gt;"",$H13&lt;=$R13),"🟠TRAIL",IF($H13&lt;=$N13,"🔴損切",IF($W13&gt;=V811設定!$B$6,"⏱時間決済",IF($H13&lt;=$F13*(1-V811設定!$B$3*0.7),"⚠️損切接近","保持継続"))))))))</f>
      </c>
      <c r="P13" s="485">
        <f ca="1">IF(B13="","",IFERROR(MAX(OFFSET(高値!$E$6,IFERROR(MATCH(B13,銘柄管理!$B$6:$B$305,0),MATCH(TEXT(B13,"0"),銘柄管理!$B$6:$B$305,0))-1,0,1,10)),""))</f>
        <v>5958</v>
      </c>
      <c r="Q13" s="485">
        <f ca="1">IF(B13="","",IFERROR(MIN(OFFSET(安値!$E$6,IFERROR(MATCH(B13,銘柄管理!$B$6:$B$305,0),MATCH(TEXT(B13,"0"),銘柄管理!$B$6:$B$305,0))-1,0,1,10)),""))</f>
        <v>4500</v>
      </c>
      <c r="R13" s="485">
        <f>IF(OR($F13="",$H13="",$N13=""),"",IF($S13="✅売却済","",IF($C13="売",IF($H13&gt;$F13*(1-V811設定!$B$3),$N13,MIN($N13,IF($Q13="",$N13,$Q13*1.03))),IF($H13&lt;$F13*(1+V811設定!$B$3),$N13,MAX($N13,IF($P13="",$N13,$P13*0.97))))))</f>
      </c>
      <c r="S13" s="585" t="str">
        <f>IF(B13="","",IF(T13&lt;&gt;"","✅売却済",IF(OR(H13="",L13=""),"📌保有中",IF(L13&gt;=0.06,"🟢利確推奨",IF(L13&gt;=0.05,"🟡利確直近",IF(L13&gt;=0.045,"🔵トレーリング検討",IF(L13&gt;-0.03,"📌保有中",IF(L13&gt;-0.04,"⚠️損切注意","🔴損切り"))))))))</f>
        <v>✅売却済</v>
      </c>
      <c r="T13" s="593">
        <v>46232</v>
      </c>
      <c r="U13" s="485">
        <v>4778</v>
      </c>
      <c r="V13" s="700">
        <f>IF(OR(F13="",G13="",U13=""),"",IF(C13="売",(F13-U13)*G13,(U13-F13)*G13))</f>
        <v>30500</v>
      </c>
      <c r="W13" s="487">
        <f>IF(OR($E13="",$B13=""),"",IF($T13&lt;&gt;"",$T13-$E13,TODAY()-$E13)+1)</f>
        <v>2</v>
      </c>
      <c r="X13" s="484" t="str">
        <f>IF(OR($AH13="",$AH13="保有中"),"",$AH13)</f>
        <v>利益確定</v>
      </c>
      <c r="Y13" s="488"/>
      <c r="Z13" s="710">
        <v>16</v>
      </c>
      <c r="AA13" s="600" t="s">
        <v>1330</v>
      </c>
      <c r="AD13" s="608" t="s">
        <v>1323</v>
      </c>
      <c r="AE13" s="625">
        <f>IF($E13="","",WORKDAY($E13,12))</f>
        <v>46247</v>
      </c>
      <c r="AF13" s="627" cm="1">
        <f t="array" aca="1" ref="AF13" ca="1">IF(OR($B13="",$M13=""),"",IFERROR(IF($C13="売",_xlfn.MINIFS(安値!$E$3:$IT$3,安値!$E$3:$IT$3,"&gt;"&amp;$E13,安値!$E$3:$IT$3,"&lt;="&amp;$AE13,OFFSET(安値!$E$6:$IT$6,MATCH(TEXT($B13,"0"),TEXT(銘柄管理!$B$6:$B$305,"0"),0)-1,0),"&lt;="&amp;$M13),_xlfn.MINIFS(高値!$E$3:$IT$3,高値!$E$3:$IT$3,"&gt;"&amp;$E13,高値!$E$3:$IT$3,"&lt;="&amp;$AE13,OFFSET(高値!$E$6:$IT$6,MATCH(TEXT($B13,"0"),TEXT(銘柄管理!$B$6:$B$305,"0"),0)-1,0),"&gt;="&amp;$M13)),""))</f>
        <v>46232</v>
      </c>
      <c r="AG13" s="627" cm="1">
        <f t="array" aca="1" ref="AG13" ca="1">IF(OR($B13="",$N13=""),"",IFERROR(IF($C13="売",_xlfn.MINIFS(高値!$E$3:$IT$3,高値!$E$3:$IT$3,"&gt;"&amp;$E13,高値!$E$3:$IT$3,"&lt;="&amp;$AE13,OFFSET(高値!$E$6:$IT$6,MATCH(TEXT($B13,"0"),TEXT(銘柄管理!$B$6:$B$305,"0"),0)-1,0),"&gt;="&amp;$N13),_xlfn.MINIFS(安値!$E$3:$IT$3,安値!$E$3:$IT$3,"&gt;"&amp;$E13,安値!$E$3:$IT$3,"&lt;="&amp;$AE13,OFFSET(安値!$E$6:$IT$6,MATCH(TEXT($B13,"0"),TEXT(銘柄管理!$B$6:$B$305,"0"),0)-1,0),"&lt;="&amp;$N13)),""))</f>
        <v>46234</v>
      </c>
      <c r="AH13" s="601" t="str">
        <f>IF(OR($B13="",$M13=""),"",IF(AND(N($AF13)=0,N($AG13)=0),IF(AND(ISNUMBER($H13),$H13&gt;0,IF($C13="売",$H13&gt;=$N13,$H13&lt;=$N13)),"損切確定",IF(AND(ISNUMBER($H13),$H13&gt;0,IF($C13="売",$H13&lt;=$M13,$H13&gt;=$M13)),"利益確定",IF($AE13&lt;=TODAY(),"日数制限","保有中"))),IF(N($AG13)=0,"利益確定",IF(N($AF13)=0,"損切確定",IF($AG13&lt;=$AF13,"損切確定","利益確定")))))</f>
        <v>利益確定</v>
      </c>
      <c r="AI13" s="601" t="str" cm="1">
        <f t="array" ref="AI13">IFERROR(INDEX(始値!$E$6:$IT$305,MATCH(TEXT($B13,"0"),TEXT(銘柄管理!$B$6:$B$305,"0"),0),MATCH($AE13,始値!$E$3:$IT$3,0)),"")</f>
        <v/>
      </c>
      <c r="AJ13" s="905">
        <f>IF(OR($V13="",$F13="",$G13=""),"",$V13/($F13*$G13))</f>
        <v>6.0003934684241589E-2</v>
      </c>
      <c r="AK13" s="629" t="str">
        <f>IF($V13="","",IF($V13&gt;0,"○勝",IF($V13&lt;0,"●負","△引分")))</f>
        <v>○勝</v>
      </c>
      <c r="AN13" s="637" t="str">
        <f>$AN6</f>
        <v>v13買</v>
      </c>
      <c r="AO13" s="646">
        <f ca="1">COUNTIFS($AD$4:$AD$1000,"*"&amp;$AN13&amp;"*",$B$4:$B$1000,"&lt;&gt;",$T$4:$T$1000,"")</f>
        <v>5</v>
      </c>
      <c r="BB13" s="600">
        <f>IF(N(買抽出v13!$C13)=0,"",N(買抽出v13!$Q13)+N(買抽出v13!$L13)/1000-ROW()/1000000)</f>
        <v>12.001487000000001</v>
      </c>
      <c r="BC13" s="600" t="str">
        <f>IF(N(売抽出v13!$C13)=0,"",N(売抽出v13!$Q13)+IFERROR(VALUE(SUBSTITUTE(売抽出v13!$L13,"倍","")),0)/1000-ROW()/1000000)</f>
        <v/>
      </c>
    </row>
    <row r="14" spans="1:55" ht="35.4" customHeight="1" thickBot="1">
      <c r="A14" s="619" t="str">
        <f>IF(B14="","",HYPERLINK("https://kabutan.jp/stock/?code="&amp;B14,"株探"))</f>
        <v>株探</v>
      </c>
      <c r="B14" s="481">
        <v>7981</v>
      </c>
      <c r="C14" s="482" t="s">
        <v>998</v>
      </c>
      <c r="D14" s="483" t="str" cm="1">
        <f t="array" ref="D14">_xll.RssMarket(B14, "銘柄名称")</f>
        <v>タカラスタンダ－ド</v>
      </c>
      <c r="E14" s="715">
        <v>46231</v>
      </c>
      <c r="F14" s="698" cm="1">
        <f t="array" aca="1" ref="F14" ca="1">IFERROR(_xlfn.LET(_xlpm.r,MATCH(TEXT($B14,"0"),TEXT(銘柄管理!$B$6:$B$305,"0"),0),_xlpm.t,MOD(NOW(),1),_xlpm.c,IF($E14=TODAY(),IF(_xlpm.t&gt;=TIME(15,30,0),NA(),1),IF(MATCH($E14,始値!$E$3:$IT$3,0)=1,1,MATCH($E14,始値!$E$3:$IT$3,0)+1)),_xlpm.v,INDEX(始値!$C$6:$IT$305,_xlpm.r,_xlpm.c),IF(N(_xlpm.v)=0,"",_xlpm.v)),"")</f>
        <v>3310</v>
      </c>
      <c r="G14" s="484">
        <v>100</v>
      </c>
      <c r="H14" s="485" cm="1">
        <f t="array" ref="H14">_xll.RssMarket(B14, "現在値")</f>
        <v>3055</v>
      </c>
      <c r="I14" s="485" cm="1">
        <f t="array" ref="I14">_xll.RssMarket(B14, "出来高加重平均")</f>
        <v>3039.5142000000001</v>
      </c>
      <c r="J14" s="700" cm="1">
        <f t="array" ref="J14">_xll.RssMarket($B14, "前日比")</f>
        <v>50</v>
      </c>
      <c r="K14" s="700">
        <f>IF(OR(F14="",G14="",H14=""),"",IF(C14="売",(F14-H14)*G14,(H14-F14)*G14))</f>
        <v>-25500</v>
      </c>
      <c r="L14" s="705">
        <f>IF(OR(F14="",H14=""),"",IF(C14="売",(F14-H14)/F14,(H14-F14)/F14))</f>
        <v>-7.7039274924471296E-2</v>
      </c>
      <c r="M14" s="485">
        <f>IF($F14="","",$F14*IF($C14="売",1-V811設定!$B$4,1+V811設定!$B$4)-MOD($F14*IF($C14="売",1-V811設定!$B$4,1+V811設定!$B$4),IF($F14&lt;=3000,1,IF($F14&lt;=5000,5,IF($F14&lt;=30000,10,IF($F14&lt;=50000,50,IF($F14&lt;=300000,100,500))))))+IF(AND($C14="売",MOD($F14*IF($C14="売",1-V811設定!$B$4,1+V811設定!$B$4),IF($F14&lt;=3000,1,IF($F14&lt;=5000,5,IF($F14&lt;=30000,10,IF($F14&lt;=50000,50,IF($F14&lt;=300000,100,500))))))&gt;0),IF($F14&lt;=3000,1,IF($F14&lt;=5000,5,IF($F14&lt;=30000,10,IF($F14&lt;=50000,50,IF($F14&lt;=300000,100,500))))),0))</f>
      </c>
      <c r="N14" s="485">
        <f>IF($F14="","",$F14*IF($C14="売",1+V811設定!$B$3,1-V811設定!$B$3)-MOD($F14*IF($C14="売",1+V811設定!$B$3,1-V811設定!$B$3),IF($F14&lt;=3000,1,IF($F14&lt;=5000,5,IF($F14&lt;=30000,10,IF($F14&lt;=50000,50,IF($F14&lt;=300000,100,500))))))+IF(AND($C14="売",MOD($F14*IF($C14="売",1+V811設定!$B$3,1-V811設定!$B$3),IF($F14&lt;=3000,1,IF($F14&lt;=5000,5,IF($F14&lt;=30000,10,IF($F14&lt;=50000,50,IF($F14&lt;=300000,100,500))))))&gt;0),IF($F14&lt;=3000,1,IF($F14&lt;=5000,5,IF($F14&lt;=30000,10,IF($F14&lt;=50000,50,IF($F14&lt;=300000,100,500))))),0))</f>
      </c>
      <c r="O14" s="486" t="str">
        <f>IF(OR($B14="",$F14="",$H14=""),"",IF($S14="✅売却済","―決済済―",IF($C14="売",IF($H14&lt;=$M14,"🟢利確",IF(AND($R14&lt;&gt;"",$H14&gt;=$R14),"🟠TRAIL",IF($H14&gt;=$N14,"🔴損切",IF($W14&gt;=V811設定!$B$6,"⏱時間決済",IF($H14&gt;=$F14*(1+V811設定!$B$3*0.7),"⚠️損切接近","保持継続"))))),IF($H14&gt;=$M14,"🟢利確",IF(AND($R14&lt;&gt;"",$H14&lt;=$R14),"🟠TRAIL",IF($H14&lt;=$N14,"🔴損切",IF($W14&gt;=V811設定!$B$6,"⏱時間決済",IF($H14&lt;=$F14*(1-V811設定!$B$3*0.7),"⚠️損切接近","保持継続"))))))))</f>
      </c>
      <c r="P14" s="485">
        <f ca="1">IF(B14="","",IFERROR(MAX(OFFSET(高値!$E$6,IFERROR(MATCH(B14,銘柄管理!$B$6:$B$305,0),MATCH(TEXT(B14,"0"),銘柄管理!$B$6:$B$305,0))-1,0,1,10)),""))</f>
        <v>3330</v>
      </c>
      <c r="Q14" s="485">
        <f ca="1">IF(B14="","",IFERROR(MIN(OFFSET(安値!$E$6,IFERROR(MATCH(B14,銘柄管理!$B$6:$B$305,0),MATCH(TEXT(B14,"0"),銘柄管理!$B$6:$B$305,0))-1,0,1,10)),""))</f>
        <v>2960</v>
      </c>
      <c r="R14" s="485">
        <f>IF(OR($F14="",$H14="",$N14=""),"",IF($S14="✅売却済","",IF($C14="売",IF($H14&gt;$F14*(1-V811設定!$B$3),$N14,MIN($N14,IF($Q14="",$N14,$Q14*1.03))),IF($H14&lt;$F14*(1+V811設定!$B$3),$N14,MAX($N14,IF($P14="",$N14,$P14*0.97))))))</f>
      </c>
      <c r="S14" s="585" t="str">
        <f>IF(B14="","",IF(T14&lt;&gt;"","✅売却済",IF(OR(H14="",L14=""),"📌保有中",IF(L14&gt;=0.06,"🟢利確推奨",IF(L14&gt;=0.05,"🟡利確直近",IF(L14&gt;=0.045,"🔵トレーリング検討",IF(L14&gt;-0.03,"📌保有中",IF(L14&gt;-0.04,"⚠️損切注意","🔴損切り"))))))))</f>
        <v>✅売却済</v>
      </c>
      <c r="T14" s="593">
        <v>46233</v>
      </c>
      <c r="U14" s="485">
        <v>3178</v>
      </c>
      <c r="V14" s="700">
        <f>IF(OR(F14="",G14="",U14=""),"",IF(C14="売",(F14-U14)*G14,(U14-F14)*G14))</f>
        <v>-13200</v>
      </c>
      <c r="W14" s="487">
        <f>IF(OR($E14="",$B14=""),"",IF($T14&lt;&gt;"",$T14-$E14,TODAY()-$E14)+1)</f>
        <v>3</v>
      </c>
      <c r="X14" s="484" t="str">
        <f>IF(OR($AH14="",$AH14="保有中"),"",$AH14)</f>
        <v>損切確定</v>
      </c>
      <c r="Y14" s="488"/>
      <c r="Z14" s="710">
        <v>21</v>
      </c>
      <c r="AA14" s="600" t="s">
        <v>1331</v>
      </c>
      <c r="AD14" s="608" t="s">
        <v>1324</v>
      </c>
      <c r="AE14" s="625">
        <f>IF($E14="","",WORKDAY($E14,12))</f>
        <v>46247</v>
      </c>
      <c r="AF14" s="627" cm="1">
        <f t="array" aca="1" ref="AF14" ca="1">IF(OR($B14="",$M14=""),"",IFERROR(IF($C14="売",_xlfn.MINIFS(安値!$E$3:$IT$3,安値!$E$3:$IT$3,"&gt;"&amp;$E14,安値!$E$3:$IT$3,"&lt;="&amp;$AE14,OFFSET(安値!$E$6:$IT$6,MATCH(TEXT($B14,"0"),TEXT(銘柄管理!$B$6:$B$305,"0"),0)-1,0),"&lt;="&amp;$M14),_xlfn.MINIFS(高値!$E$3:$IT$3,高値!$E$3:$IT$3,"&gt;"&amp;$E14,高値!$E$3:$IT$3,"&lt;="&amp;$AE14,OFFSET(高値!$E$6:$IT$6,MATCH(TEXT($B14,"0"),TEXT(銘柄管理!$B$6:$B$305,"0"),0)-1,0),"&gt;="&amp;$M14)),""))</f>
        <v>0</v>
      </c>
      <c r="AG14" s="627" cm="1">
        <f t="array" aca="1" ref="AG14" ca="1">IF(OR($B14="",$N14=""),"",IFERROR(IF($C14="売",_xlfn.MINIFS(高値!$E$3:$IT$3,高値!$E$3:$IT$3,"&gt;"&amp;$E14,高値!$E$3:$IT$3,"&lt;="&amp;$AE14,OFFSET(高値!$E$6:$IT$6,MATCH(TEXT($B14,"0"),TEXT(銘柄管理!$B$6:$B$305,"0"),0)-1,0),"&gt;="&amp;$N14),_xlfn.MINIFS(安値!$E$3:$IT$3,安値!$E$3:$IT$3,"&gt;"&amp;$E14,安値!$E$3:$IT$3,"&lt;="&amp;$AE14,OFFSET(安値!$E$6:$IT$6,MATCH(TEXT($B14,"0"),TEXT(銘柄管理!$B$6:$B$305,"0"),0)-1,0),"&lt;="&amp;$N14)),""))</f>
        <v>46233</v>
      </c>
      <c r="AH14" s="601" t="str">
        <f>IF(OR($B14="",$M14=""),"",IF(AND(N($AF14)=0,N($AG14)=0),IF(AND(ISNUMBER($H14),$H14&gt;0,IF($C14="売",$H14&gt;=$N14,$H14&lt;=$N14)),"損切確定",IF(AND(ISNUMBER($H14),$H14&gt;0,IF($C14="売",$H14&lt;=$M14,$H14&gt;=$M14)),"利益確定",IF($AE14&lt;=TODAY(),"日数制限","保有中"))),IF(N($AG14)=0,"利益確定",IF(N($AF14)=0,"損切確定",IF($AG14&lt;=$AF14,"損切確定","利益確定")))))</f>
        <v>損切確定</v>
      </c>
      <c r="AI14" s="601" t="str" cm="1">
        <f t="array" ref="AI14">IFERROR(INDEX(始値!$E$6:$IT$305,MATCH(TEXT($B14,"0"),TEXT(銘柄管理!$B$6:$B$305,"0"),0),MATCH($AE14,始値!$E$3:$IT$3,0)),"")</f>
        <v/>
      </c>
      <c r="AJ14" s="905">
        <f>IF(OR($V14="",$F14="",$G14=""),"",$V14/($F14*$G14))</f>
        <v>-3.9879154078549847E-2</v>
      </c>
      <c r="AK14" s="629" t="str">
        <f>IF($V14="","",IF($V14&gt;0,"○勝",IF($V14&lt;0,"●負","△引分")))</f>
        <v>●負</v>
      </c>
      <c r="AN14" s="647" t="str">
        <f>$AN7</f>
        <v>v13売</v>
      </c>
      <c r="AO14" s="648">
        <f ca="1">COUNTIFS($AD$4:$AD$1000,"*"&amp;$AN14&amp;"*",$B$4:$B$1000,"&lt;&gt;",$T$4:$T$1000,"")</f>
        <v>5</v>
      </c>
      <c r="BB14" s="600" t="str">
        <f>IF(N(買抽出v13!$C14)=0,"",N(買抽出v13!$Q14)+N(買抽出v13!$L14)/1000-ROW()/1000000)</f>
        <v/>
      </c>
      <c r="BC14" s="600" t="str">
        <f>IF(N(売抽出v13!$C14)=0,"",N(売抽出v13!$Q14)+IFERROR(VALUE(SUBSTITUTE(売抽出v13!$L14,"倍","")),0)/1000-ROW()/1000000)</f>
        <v/>
      </c>
    </row>
    <row r="15" spans="1:55" ht="35.4" customHeight="1" thickTop="1">
      <c r="A15" s="619" t="str">
        <f>IF(B15="","",HYPERLINK("https://kabutan.jp/stock/?code="&amp;B15,"株探"))</f>
        <v>株探</v>
      </c>
      <c r="B15" s="481">
        <v>4540</v>
      </c>
      <c r="C15" s="482" t="s">
        <v>998</v>
      </c>
      <c r="D15" s="483" t="str" cm="1">
        <f t="array" ref="D15">_xll.RssMarket(B15, "銘柄名称")</f>
        <v>ツムラ</v>
      </c>
      <c r="E15" s="715">
        <v>46231</v>
      </c>
      <c r="F15" s="698" cm="1">
        <f t="array" aca="1" ref="F15" ca="1">IFERROR(_xlfn.LET(_xlpm.r,MATCH(TEXT($B15,"0"),TEXT(銘柄管理!$B$6:$B$305,"0"),0),_xlpm.t,MOD(NOW(),1),_xlpm.c,IF($E15=TODAY(),IF(_xlpm.t&gt;=TIME(15,30,0),NA(),1),IF(MATCH($E15,始値!$E$3:$IT$3,0)=1,1,MATCH($E15,始値!$E$3:$IT$3,0)+1)),_xlpm.v,INDEX(始値!$C$6:$IT$305,_xlpm.r,_xlpm.c),IF(N(_xlpm.v)=0,"",_xlpm.v)),"")</f>
        <v>3971</v>
      </c>
      <c r="G15" s="484">
        <v>100</v>
      </c>
      <c r="H15" s="485" cm="1">
        <f t="array" ref="H15">_xll.RssMarket(B15, "現在値")</f>
        <v>3763</v>
      </c>
      <c r="I15" s="485" cm="1">
        <f t="array" ref="I15">_xll.RssMarket(B15, "出来高加重平均")</f>
        <v>3762.6698999999999</v>
      </c>
      <c r="J15" s="700" cm="1">
        <f t="array" ref="J15">_xll.RssMarket($B15, "前日比")</f>
        <v>49</v>
      </c>
      <c r="K15" s="700">
        <f>IF(OR(F15="",G15="",H15=""),"",IF(C15="売",(F15-H15)*G15,(H15-F15)*G15))</f>
        <v>-20800</v>
      </c>
      <c r="L15" s="705">
        <f>IF(OR(F15="",H15=""),"",IF(C15="売",(F15-H15)/F15,(H15-F15)/F15))</f>
        <v>-5.2379753210778139E-2</v>
      </c>
      <c r="M15" s="485">
        <f>IF($F15="","",$F15*IF($C15="売",1-V811設定!$B$4,1+V811設定!$B$4)-MOD($F15*IF($C15="売",1-V811設定!$B$4,1+V811設定!$B$4),IF($F15&lt;=3000,1,IF($F15&lt;=5000,5,IF($F15&lt;=30000,10,IF($F15&lt;=50000,50,IF($F15&lt;=300000,100,500))))))+IF(AND($C15="売",MOD($F15*IF($C15="売",1-V811設定!$B$4,1+V811設定!$B$4),IF($F15&lt;=3000,1,IF($F15&lt;=5000,5,IF($F15&lt;=30000,10,IF($F15&lt;=50000,50,IF($F15&lt;=300000,100,500))))))&gt;0),IF($F15&lt;=3000,1,IF($F15&lt;=5000,5,IF($F15&lt;=30000,10,IF($F15&lt;=50000,50,IF($F15&lt;=300000,100,500))))),0))</f>
      </c>
      <c r="N15" s="485">
        <f>IF($F15="","",$F15*IF($C15="売",1+V811設定!$B$3,1-V811設定!$B$3)-MOD($F15*IF($C15="売",1+V811設定!$B$3,1-V811設定!$B$3),IF($F15&lt;=3000,1,IF($F15&lt;=5000,5,IF($F15&lt;=30000,10,IF($F15&lt;=50000,50,IF($F15&lt;=300000,100,500))))))+IF(AND($C15="売",MOD($F15*IF($C15="売",1+V811設定!$B$3,1-V811設定!$B$3),IF($F15&lt;=3000,1,IF($F15&lt;=5000,5,IF($F15&lt;=30000,10,IF($F15&lt;=50000,50,IF($F15&lt;=300000,100,500))))))&gt;0),IF($F15&lt;=3000,1,IF($F15&lt;=5000,5,IF($F15&lt;=30000,10,IF($F15&lt;=50000,50,IF($F15&lt;=300000,100,500))))),0))</f>
      </c>
      <c r="O15" s="486" t="str">
        <f>IF(OR($B15="",$F15="",$H15=""),"",IF($S15="✅売却済","―決済済―",IF($C15="売",IF($H15&lt;=$M15,"🟢利確",IF(AND($R15&lt;&gt;"",$H15&gt;=$R15),"🟠TRAIL",IF($H15&gt;=$N15,"🔴損切",IF($W15&gt;=V811設定!$B$6,"⏱時間決済",IF($H15&gt;=$F15*(1+V811設定!$B$3*0.7),"⚠️損切接近","保持継続"))))),IF($H15&gt;=$M15,"🟢利確",IF(AND($R15&lt;&gt;"",$H15&lt;=$R15),"🟠TRAIL",IF($H15&lt;=$N15,"🔴損切",IF($W15&gt;=V811設定!$B$6,"⏱時間決済",IF($H15&lt;=$F15*(1-V811設定!$B$3*0.7),"⚠️損切接近","保持継続"))))))))</f>
      </c>
      <c r="P15" s="485">
        <f ca="1">IF(B15="","",IFERROR(MAX(OFFSET(高値!$E$6,IFERROR(MATCH(B15,銘柄管理!$B$6:$B$305,0),MATCH(TEXT(B15,"0"),銘柄管理!$B$6:$B$305,0))-1,0,1,10)),""))</f>
        <v>4079</v>
      </c>
      <c r="Q15" s="485">
        <f ca="1">IF(B15="","",IFERROR(MIN(OFFSET(安値!$E$6,IFERROR(MATCH(B15,銘柄管理!$B$6:$B$305,0),MATCH(TEXT(B15,"0"),銘柄管理!$B$6:$B$305,0))-1,0,1,10)),""))</f>
        <v>3702</v>
      </c>
      <c r="R15" s="485">
        <f>IF(OR($F15="",$H15="",$N15=""),"",IF($S15="✅売却済","",IF($C15="売",IF($H15&gt;$F15*(1-V811設定!$B$3),$N15,MIN($N15,IF($Q15="",$N15,$Q15*1.03))),IF($H15&lt;$F15*(1+V811設定!$B$3),$N15,MAX($N15,IF($P15="",$N15,$P15*0.97))))))</f>
      </c>
      <c r="S15" s="585" t="str">
        <f>IF(B15="","",IF(T15&lt;&gt;"","✅売却済",IF(OR(H15="",L15=""),"📌保有中",IF(L15&gt;=0.06,"🟢利確推奨",IF(L15&gt;=0.05,"🟡利確直近",IF(L15&gt;=0.045,"🔵トレーリング検討",IF(L15&gt;-0.03,"📌保有中",IF(L15&gt;-0.04,"⚠️損切注意","🔴損切り"))))))))</f>
        <v>✅売却済</v>
      </c>
      <c r="T15" s="593">
        <v>46237</v>
      </c>
      <c r="U15" s="485">
        <v>3812</v>
      </c>
      <c r="V15" s="700">
        <f>IF(OR(F15="",G15="",U15=""),"",IF(C15="売",(F15-U15)*G15,(U15-F15)*G15))</f>
        <v>-15900</v>
      </c>
      <c r="W15" s="487">
        <f>IF(OR($E15="",$B15=""),"",IF($T15&lt;&gt;"",$T15-$E15,TODAY()-$E15)+1)</f>
        <v>7</v>
      </c>
      <c r="X15" s="484" t="str">
        <f>IF(OR($AH15="",$AH15="保有中"),"",$AH15)</f>
        <v>損切確定</v>
      </c>
      <c r="Y15" s="488"/>
      <c r="Z15" s="710">
        <v>20</v>
      </c>
      <c r="AA15" s="600" t="s">
        <v>1332</v>
      </c>
      <c r="AD15" s="608" t="s">
        <v>1324</v>
      </c>
      <c r="AE15" s="625">
        <f>IF($E15="","",WORKDAY($E15,12))</f>
        <v>46247</v>
      </c>
      <c r="AF15" s="627" cm="1">
        <f t="array" aca="1" ref="AF15" ca="1">IF(OR($B15="",$M15=""),"",IFERROR(IF($C15="売",_xlfn.MINIFS(安値!$E$3:$IT$3,安値!$E$3:$IT$3,"&gt;"&amp;$E15,安値!$E$3:$IT$3,"&lt;="&amp;$AE15,OFFSET(安値!$E$6:$IT$6,MATCH(TEXT($B15,"0"),TEXT(銘柄管理!$B$6:$B$305,"0"),0)-1,0),"&lt;="&amp;$M15),_xlfn.MINIFS(高値!$E$3:$IT$3,高値!$E$3:$IT$3,"&gt;"&amp;$E15,高値!$E$3:$IT$3,"&lt;="&amp;$AE15,OFFSET(高値!$E$6:$IT$6,MATCH(TEXT($B15,"0"),TEXT(銘柄管理!$B$6:$B$305,"0"),0)-1,0),"&gt;="&amp;$M15)),""))</f>
        <v>0</v>
      </c>
      <c r="AG15" s="627" cm="1">
        <f t="array" aca="1" ref="AG15" ca="1">IF(OR($B15="",$N15=""),"",IFERROR(IF($C15="売",_xlfn.MINIFS(高値!$E$3:$IT$3,高値!$E$3:$IT$3,"&gt;"&amp;$E15,高値!$E$3:$IT$3,"&lt;="&amp;$AE15,OFFSET(高値!$E$6:$IT$6,MATCH(TEXT($B15,"0"),TEXT(銘柄管理!$B$6:$B$305,"0"),0)-1,0),"&gt;="&amp;$N15),_xlfn.MINIFS(安値!$E$3:$IT$3,安値!$E$3:$IT$3,"&gt;"&amp;$E15,安値!$E$3:$IT$3,"&lt;="&amp;$AE15,OFFSET(安値!$E$6:$IT$6,MATCH(TEXT($B15,"0"),TEXT(銘柄管理!$B$6:$B$305,"0"),0)-1,0),"&lt;="&amp;$N15)),""))</f>
        <v>46237</v>
      </c>
      <c r="AH15" s="601" t="str">
        <f>IF(OR($B15="",$M15=""),"",IF(AND(N($AF15)=0,N($AG15)=0),IF(AND(ISNUMBER($H15),$H15&gt;0,IF($C15="売",$H15&gt;=$N15,$H15&lt;=$N15)),"損切確定",IF(AND(ISNUMBER($H15),$H15&gt;0,IF($C15="売",$H15&lt;=$M15,$H15&gt;=$M15)),"利益確定",IF($AE15&lt;=TODAY(),"日数制限","保有中"))),IF(N($AG15)=0,"利益確定",IF(N($AF15)=0,"損切確定",IF($AG15&lt;=$AF15,"損切確定","利益確定")))))</f>
        <v>損切確定</v>
      </c>
      <c r="AI15" s="601" t="str" cm="1">
        <f t="array" ref="AI15">IFERROR(INDEX(始値!$E$6:$IT$305,MATCH(TEXT($B15,"0"),TEXT(銘柄管理!$B$6:$B$305,"0"),0),MATCH($AE15,始値!$E$3:$IT$3,0)),"")</f>
        <v/>
      </c>
      <c r="AJ15" s="905">
        <f>IF(OR($V15="",$F15="",$G15=""),"",$V15/($F15*$G15))</f>
        <v>-4.0040292117854447E-2</v>
      </c>
      <c r="AK15" s="629" t="str">
        <f>IF($V15="","",IF($V15&gt;0,"○勝",IF($V15&lt;0,"●負","△引分")))</f>
        <v>●負</v>
      </c>
      <c r="AL15" s="612" t="s">
        <v>1335</v>
      </c>
      <c r="AM15" s="613"/>
      <c r="AN15" s="613"/>
      <c r="AO15" s="613"/>
      <c r="AP15" s="613"/>
      <c r="AQ15" s="613"/>
      <c r="AR15" s="613"/>
      <c r="AS15" s="613"/>
      <c r="BB15" s="600" t="str">
        <f>IF(N(買抽出v13!$C15)=0,"",N(買抽出v13!$Q15)+N(買抽出v13!$L15)/1000-ROW()/1000000)</f>
        <v/>
      </c>
      <c r="BC15" s="600" t="str">
        <f>IF(N(売抽出v13!$C15)=0,"",N(売抽出v13!$Q15)+IFERROR(VALUE(SUBSTITUTE(売抽出v13!$L15,"倍","")),0)/1000-ROW()/1000000)</f>
        <v/>
      </c>
    </row>
    <row r="16" spans="1:55" ht="35.4" customHeight="1">
      <c r="A16" s="619" t="str">
        <f>IF(B16="","",HYPERLINK("https://kabutan.jp/stock/?code="&amp;B16,"株探"))</f>
        <v>株探</v>
      </c>
      <c r="B16" s="481">
        <v>7711</v>
      </c>
      <c r="C16" s="482" t="s">
        <v>999</v>
      </c>
      <c r="D16" s="483" t="str" cm="1">
        <f t="array" ref="D16">_xll.RssMarket(B16, "銘柄名称")</f>
        <v>助川電気工業</v>
      </c>
      <c r="E16" s="715">
        <v>46231</v>
      </c>
      <c r="F16" s="698" cm="1">
        <f t="array" aca="1" ref="F16" ca="1">IFERROR(_xlfn.LET(_xlpm.r,MATCH(TEXT($B16,"0"),TEXT(銘柄管理!$B$6:$B$305,"0"),0),_xlpm.t,MOD(NOW(),1),_xlpm.c,IF($E16=TODAY(),IF(_xlpm.t&gt;=TIME(15,30,0),NA(),1),IF(MATCH($E16,始値!$E$3:$IT$3,0)=1,1,MATCH($E16,始値!$E$3:$IT$3,0)+1)),_xlpm.v,INDEX(始値!$C$6:$IT$305,_xlpm.r,_xlpm.c),IF(N(_xlpm.v)=0,"",_xlpm.v)),"")</f>
        <v>4210</v>
      </c>
      <c r="G16" s="484">
        <v>100</v>
      </c>
      <c r="H16" s="485" cm="1">
        <f t="array" ref="H16">_xll.RssMarket(B16, "現在値")</f>
        <v>4500</v>
      </c>
      <c r="I16" s="485" cm="1">
        <f t="array" ref="I16">_xll.RssMarket(B16, "出来高加重平均")</f>
        <v>4687.9276</v>
      </c>
      <c r="J16" s="700" cm="1">
        <f t="array" ref="J16">_xll.RssMarket($B16, "前日比")</f>
        <v>-120</v>
      </c>
      <c r="K16" s="700">
        <f>IF(OR(F16="",G16="",H16=""),"",IF(C16="売",(F16-H16)*G16,(H16-F16)*G16))</f>
        <v>-29000</v>
      </c>
      <c r="L16" s="705">
        <f>IF(OR(F16="",H16=""),"",IF(C16="売",(F16-H16)/F16,(H16-F16)/F16))</f>
        <v>-6.8883610451306407E-2</v>
      </c>
      <c r="M16" s="485">
        <f>IF($F16="","",$F16*IF($C16="売",1-V811設定!$B$4,1+V811設定!$B$4)-MOD($F16*IF($C16="売",1-V811設定!$B$4,1+V811設定!$B$4),IF($F16&lt;=3000,1,IF($F16&lt;=5000,5,IF($F16&lt;=30000,10,IF($F16&lt;=50000,50,IF($F16&lt;=300000,100,500))))))+IF(AND($C16="売",MOD($F16*IF($C16="売",1-V811設定!$B$4,1+V811設定!$B$4),IF($F16&lt;=3000,1,IF($F16&lt;=5000,5,IF($F16&lt;=30000,10,IF($F16&lt;=50000,50,IF($F16&lt;=300000,100,500))))))&gt;0),IF($F16&lt;=3000,1,IF($F16&lt;=5000,5,IF($F16&lt;=30000,10,IF($F16&lt;=50000,50,IF($F16&lt;=300000,100,500))))),0))</f>
      </c>
      <c r="N16" s="485">
        <f>IF($F16="","",$F16*IF($C16="売",1+V811設定!$B$3,1-V811設定!$B$3)-MOD($F16*IF($C16="売",1+V811設定!$B$3,1-V811設定!$B$3),IF($F16&lt;=3000,1,IF($F16&lt;=5000,5,IF($F16&lt;=30000,10,IF($F16&lt;=50000,50,IF($F16&lt;=300000,100,500))))))+IF(AND($C16="売",MOD($F16*IF($C16="売",1+V811設定!$B$3,1-V811設定!$B$3),IF($F16&lt;=3000,1,IF($F16&lt;=5000,5,IF($F16&lt;=30000,10,IF($F16&lt;=50000,50,IF($F16&lt;=300000,100,500))))))&gt;0),IF($F16&lt;=3000,1,IF($F16&lt;=5000,5,IF($F16&lt;=30000,10,IF($F16&lt;=50000,50,IF($F16&lt;=300000,100,500))))),0))</f>
      </c>
      <c r="O16" s="486" t="str">
        <f>IF(OR($B16="",$F16="",$H16=""),"",IF($S16="✅売却済","―決済済―",IF($C16="売",IF($H16&lt;=$M16,"🟢利確",IF(AND($R16&lt;&gt;"",$H16&gt;=$R16),"🟠TRAIL",IF($H16&gt;=$N16,"🔴損切",IF($W16&gt;=V811設定!$B$6,"⏱時間決済",IF($H16&gt;=$F16*(1+V811設定!$B$3*0.7),"⚠️損切接近","保持継続"))))),IF($H16&gt;=$M16,"🟢利確",IF(AND($R16&lt;&gt;"",$H16&lt;=$R16),"🟠TRAIL",IF($H16&lt;=$N16,"🔴損切",IF($W16&gt;=V811設定!$B$6,"⏱時間決済",IF($H16&lt;=$F16*(1-V811設定!$B$3*0.7),"⚠️損切接近","保持継続"))))))))</f>
      </c>
      <c r="P16" s="485">
        <f ca="1">IF(B16="","",IFERROR(MAX(OFFSET(高値!$E$6,IFERROR(MATCH(B16,銘柄管理!$B$6:$B$305,0),MATCH(TEXT(B16,"0"),銘柄管理!$B$6:$B$305,0))-1,0,1,10)),""))</f>
        <v>5020</v>
      </c>
      <c r="Q16" s="485">
        <f ca="1">IF(B16="","",IFERROR(MIN(OFFSET(安値!$E$6,IFERROR(MATCH(B16,銘柄管理!$B$6:$B$305,0),MATCH(TEXT(B16,"0"),銘柄管理!$B$6:$B$305,0))-1,0,1,10)),""))</f>
        <v>4030</v>
      </c>
      <c r="R16" s="485">
        <f>IF(OR($F16="",$H16="",$N16=""),"",IF($S16="✅売却済","",IF($C16="売",IF($H16&gt;$F16*(1-V811設定!$B$3),$N16,MIN($N16,IF($Q16="",$N16,$Q16*1.03))),IF($H16&lt;$F16*(1+V811設定!$B$3),$N16,MAX($N16,IF($P16="",$N16,$P16*0.97))))))</f>
      </c>
      <c r="S16" s="585" t="str">
        <f>IF(B16="","",IF(T16&lt;&gt;"","✅売却済",IF(OR(H16="",L16=""),"📌保有中",IF(L16&gt;=0.06,"🟢利確推奨",IF(L16&gt;=0.05,"🟡利確直近",IF(L16&gt;=0.045,"🔵トレーリング検討",IF(L16&gt;-0.03,"📌保有中",IF(L16&gt;-0.04,"⚠️損切注意","🔴損切り"))))))))</f>
        <v>✅売却済</v>
      </c>
      <c r="T16" s="593">
        <v>46238</v>
      </c>
      <c r="U16" s="485">
        <v>4378</v>
      </c>
      <c r="V16" s="700">
        <f>IF(OR(F16="",G16="",U16=""),"",IF(C16="売",(F16-U16)*G16,(U16-F16)*G16))</f>
        <v>-16800</v>
      </c>
      <c r="W16" s="487">
        <f>IF(OR($E16="",$B16=""),"",IF($T16&lt;&gt;"",$T16-$E16,TODAY()-$E16)+1)</f>
        <v>8</v>
      </c>
      <c r="X16" s="484" t="str">
        <f>IF(OR($AH16="",$AH16="保有中"),"",$AH16)</f>
        <v>損切確定</v>
      </c>
      <c r="Y16" s="488"/>
      <c r="Z16" s="710">
        <v>14</v>
      </c>
      <c r="AA16" s="600" t="s">
        <v>1333</v>
      </c>
      <c r="AD16" s="608" t="s">
        <v>1325</v>
      </c>
      <c r="AE16" s="625">
        <f>IF($E16="","",WORKDAY($E16,12))</f>
        <v>46247</v>
      </c>
      <c r="AF16" s="627" cm="1">
        <f t="array" aca="1" ref="AF16" ca="1">IF(OR($B16="",$M16=""),"",IFERROR(IF($C16="売",_xlfn.MINIFS(安値!$E$3:$IT$3,安値!$E$3:$IT$3,"&gt;"&amp;$E16,安値!$E$3:$IT$3,"&lt;="&amp;$AE16,OFFSET(安値!$E$6:$IT$6,MATCH(TEXT($B16,"0"),TEXT(銘柄管理!$B$6:$B$305,"0"),0)-1,0),"&lt;="&amp;$M16),_xlfn.MINIFS(高値!$E$3:$IT$3,高値!$E$3:$IT$3,"&gt;"&amp;$E16,高値!$E$3:$IT$3,"&lt;="&amp;$AE16,OFFSET(高値!$E$6:$IT$6,MATCH(TEXT($B16,"0"),TEXT(銘柄管理!$B$6:$B$305,"0"),0)-1,0),"&gt;="&amp;$M16)),""))</f>
        <v>0</v>
      </c>
      <c r="AG16" s="627" cm="1">
        <f t="array" aca="1" ref="AG16" ca="1">IF(OR($B16="",$N16=""),"",IFERROR(IF($C16="売",_xlfn.MINIFS(高値!$E$3:$IT$3,高値!$E$3:$IT$3,"&gt;"&amp;$E16,高値!$E$3:$IT$3,"&lt;="&amp;$AE16,OFFSET(高値!$E$6:$IT$6,MATCH(TEXT($B16,"0"),TEXT(銘柄管理!$B$6:$B$305,"0"),0)-1,0),"&gt;="&amp;$N16),_xlfn.MINIFS(安値!$E$3:$IT$3,安値!$E$3:$IT$3,"&gt;"&amp;$E16,安値!$E$3:$IT$3,"&lt;="&amp;$AE16,OFFSET(安値!$E$6:$IT$6,MATCH(TEXT($B16,"0"),TEXT(銘柄管理!$B$6:$B$305,"0"),0)-1,0),"&lt;="&amp;$N16)),""))</f>
        <v>46238</v>
      </c>
      <c r="AH16" s="601" t="str">
        <f>IF(OR($B16="",$M16=""),"",IF(AND(N($AF16)=0,N($AG16)=0),IF(AND(ISNUMBER($H16),$H16&gt;0,IF($C16="売",$H16&gt;=$N16,$H16&lt;=$N16)),"損切確定",IF(AND(ISNUMBER($H16),$H16&gt;0,IF($C16="売",$H16&lt;=$M16,$H16&gt;=$M16)),"利益確定",IF($AE16&lt;=TODAY(),"日数制限","保有中"))),IF(N($AG16)=0,"利益確定",IF(N($AF16)=0,"損切確定",IF($AG16&lt;=$AF16,"損切確定","利益確定")))))</f>
        <v>損切確定</v>
      </c>
      <c r="AI16" s="601" t="str" cm="1">
        <f t="array" ref="AI16">IFERROR(INDEX(始値!$E$6:$IT$305,MATCH(TEXT($B16,"0"),TEXT(銘柄管理!$B$6:$B$305,"0"),0),MATCH($AE16,始値!$E$3:$IT$3,0)),"")</f>
        <v/>
      </c>
      <c r="AJ16" s="905">
        <f>IF(OR($V16="",$F16="",$G16=""),"",$V16/($F16*$G16))</f>
        <v>-3.9904988123515436E-2</v>
      </c>
      <c r="AK16" s="629" t="str">
        <f>IF($V16="","",IF($V16&gt;0,"○勝",IF($V16&lt;0,"●負","△引分")))</f>
        <v>●負</v>
      </c>
      <c r="AL16" s="614" t="s">
        <v>1259</v>
      </c>
      <c r="AM16" s="614" t="s">
        <v>1</v>
      </c>
      <c r="AN16" s="614" t="s">
        <v>610</v>
      </c>
      <c r="AO16" s="614" t="s">
        <v>783</v>
      </c>
      <c r="AP16" s="614" t="s">
        <v>537</v>
      </c>
      <c r="AQ16" s="614"/>
      <c r="AR16" s="614" t="s">
        <v>1316</v>
      </c>
      <c r="AS16" s="614" t="s">
        <v>1317</v>
      </c>
      <c r="BB16" s="600" t="str">
        <f>IF(N(買抽出v13!$C16)=0,"",N(買抽出v13!$Q16)+N(買抽出v13!$L16)/1000-ROW()/1000000)</f>
        <v/>
      </c>
      <c r="BC16" s="600" t="str">
        <f>IF(N(売抽出v13!$C16)=0,"",N(売抽出v13!$Q16)+IFERROR(VALUE(SUBSTITUTE(売抽出v13!$L16,"倍","")),0)/1000-ROW()/1000000)</f>
        <v/>
      </c>
    </row>
    <row r="17" spans="1:55" ht="35.4" customHeight="1">
      <c r="A17" s="619" t="str">
        <f>IF(B17="","",HYPERLINK("https://kabutan.jp/stock/?code="&amp;B17,"株探"))</f>
        <v>株探</v>
      </c>
      <c r="B17" s="481">
        <v>6955</v>
      </c>
      <c r="C17" s="482" t="s">
        <v>999</v>
      </c>
      <c r="D17" s="483" t="str" cm="1">
        <f t="array" ref="D17">_xll.RssMarket(B17, "銘柄名称")</f>
        <v>ＦＤＫ</v>
      </c>
      <c r="E17" s="715">
        <v>46231</v>
      </c>
      <c r="F17" s="698" cm="1">
        <f t="array" aca="1" ref="F17" ca="1">IFERROR(_xlfn.LET(_xlpm.r,MATCH(TEXT($B17,"0"),TEXT(銘柄管理!$B$6:$B$305,"0"),0),_xlpm.t,MOD(NOW(),1),_xlpm.c,IF($E17=TODAY(),IF(_xlpm.t&gt;=TIME(15,30,0),NA(),1),IF(MATCH($E17,始値!$E$3:$IT$3,0)=1,1,MATCH($E17,始値!$E$3:$IT$3,0)+1)),_xlpm.v,INDEX(始値!$C$6:$IT$305,_xlpm.r,_xlpm.c),IF(N(_xlpm.v)=0,"",_xlpm.v)),"")</f>
        <v>392</v>
      </c>
      <c r="G17" s="484">
        <v>100</v>
      </c>
      <c r="H17" s="485" cm="1">
        <f t="array" ref="H17">_xll.RssMarket(B17, "現在値")</f>
        <v>411</v>
      </c>
      <c r="I17" s="485" cm="1">
        <f t="array" ref="I17">_xll.RssMarket(B17, "出来高加重平均")</f>
        <v>405.94189999999998</v>
      </c>
      <c r="J17" s="700" cm="1">
        <f t="array" ref="J17">_xll.RssMarket($B17, "前日比")</f>
        <v>10</v>
      </c>
      <c r="K17" s="700">
        <f>IF(OR(F17="",G17="",H17=""),"",IF(C17="売",(F17-H17)*G17,(H17-F17)*G17))</f>
        <v>-1900</v>
      </c>
      <c r="L17" s="705">
        <f>IF(OR(F17="",H17=""),"",IF(C17="売",(F17-H17)/F17,(H17-F17)/F17))</f>
        <v>-4.8469387755102039E-2</v>
      </c>
      <c r="M17" s="485">
        <f>IF($F17="","",$F17*IF($C17="売",1-V811設定!$B$4,1+V811設定!$B$4)-MOD($F17*IF($C17="売",1-V811設定!$B$4,1+V811設定!$B$4),IF($F17&lt;=3000,1,IF($F17&lt;=5000,5,IF($F17&lt;=30000,10,IF($F17&lt;=50000,50,IF($F17&lt;=300000,100,500))))))+IF(AND($C17="売",MOD($F17*IF($C17="売",1-V811設定!$B$4,1+V811設定!$B$4),IF($F17&lt;=3000,1,IF($F17&lt;=5000,5,IF($F17&lt;=30000,10,IF($F17&lt;=50000,50,IF($F17&lt;=300000,100,500))))))&gt;0),IF($F17&lt;=3000,1,IF($F17&lt;=5000,5,IF($F17&lt;=30000,10,IF($F17&lt;=50000,50,IF($F17&lt;=300000,100,500))))),0))</f>
      </c>
      <c r="N17" s="485">
        <f>IF($F17="","",$F17*IF($C17="売",1+V811設定!$B$3,1-V811設定!$B$3)-MOD($F17*IF($C17="売",1+V811設定!$B$3,1-V811設定!$B$3),IF($F17&lt;=3000,1,IF($F17&lt;=5000,5,IF($F17&lt;=30000,10,IF($F17&lt;=50000,50,IF($F17&lt;=300000,100,500))))))+IF(AND($C17="売",MOD($F17*IF($C17="売",1+V811設定!$B$3,1-V811設定!$B$3),IF($F17&lt;=3000,1,IF($F17&lt;=5000,5,IF($F17&lt;=30000,10,IF($F17&lt;=50000,50,IF($F17&lt;=300000,100,500))))))&gt;0),IF($F17&lt;=3000,1,IF($F17&lt;=5000,5,IF($F17&lt;=30000,10,IF($F17&lt;=50000,50,IF($F17&lt;=300000,100,500))))),0))</f>
      </c>
      <c r="O17" s="486" t="str">
        <f>IF(OR($B17="",$F17="",$H17=""),"",IF($S17="✅売却済","―決済済―",IF($C17="売",IF($H17&lt;=$M17,"🟢利確",IF(AND($R17&lt;&gt;"",$H17&gt;=$R17),"🟠TRAIL",IF($H17&gt;=$N17,"🔴損切",IF($W17&gt;=V811設定!$B$6,"⏱時間決済",IF($H17&gt;=$F17*(1+V811設定!$B$3*0.7),"⚠️損切接近","保持継続"))))),IF($H17&gt;=$M17,"🟢利確",IF(AND($R17&lt;&gt;"",$H17&lt;=$R17),"🟠TRAIL",IF($H17&lt;=$N17,"🔴損切",IF($W17&gt;=V811設定!$B$6,"⏱時間決済",IF($H17&lt;=$F17*(1-V811設定!$B$3*0.7),"⚠️損切接近","保持継続"))))))))</f>
      </c>
      <c r="P17" s="485">
        <f ca="1">IF(B17="","",IFERROR(MAX(OFFSET(高値!$E$6,IFERROR(MATCH(B17,銘柄管理!$B$6:$B$305,0),MATCH(TEXT(B17,"0"),銘柄管理!$B$6:$B$305,0))-1,0,1,10)),""))</f>
        <v>415</v>
      </c>
      <c r="Q17" s="485">
        <f ca="1">IF(B17="","",IFERROR(MIN(OFFSET(安値!$E$6,IFERROR(MATCH(B17,銘柄管理!$B$6:$B$305,0),MATCH(TEXT(B17,"0"),銘柄管理!$B$6:$B$305,0))-1,0,1,10)),""))</f>
        <v>375</v>
      </c>
      <c r="R17" s="485">
        <f>IF(OR($F17="",$H17="",$N17=""),"",IF($S17="✅売却済","",IF($C17="売",IF($H17&gt;$F17*(1-V811設定!$B$3),$N17,MIN($N17,IF($Q17="",$N17,$Q17*1.03))),IF($H17&lt;$F17*(1+V811設定!$B$3),$N17,MAX($N17,IF($P17="",$N17,$P17*0.97))))))</f>
      </c>
      <c r="S17" s="585" t="str">
        <f>IF(B17="","",IF(T17&lt;&gt;"","✅売却済",IF(OR(H17="",L17=""),"📌保有中",IF(L17&gt;=0.06,"🟢利確推奨",IF(L17&gt;=0.05,"🟡利確直近",IF(L17&gt;=0.045,"🔵トレーリング検討",IF(L17&gt;-0.03,"📌保有中",IF(L17&gt;-0.04,"⚠️損切注意","🔴損切り"))))))))</f>
        <v>✅売却済</v>
      </c>
      <c r="T17" s="593">
        <v>46240</v>
      </c>
      <c r="U17" s="485">
        <v>408</v>
      </c>
      <c r="V17" s="700">
        <f>IF(OR(F17="",G17="",U17=""),"",IF(C17="売",(F17-U17)*G17,(U17-F17)*G17))</f>
        <v>-1600</v>
      </c>
      <c r="W17" s="487">
        <f>IF(OR($E17="",$B17=""),"",IF($T17&lt;&gt;"",$T17-$E17,TODAY()-$E17)+1)</f>
        <v>10</v>
      </c>
      <c r="X17" s="484" t="str">
        <f>IF(OR($AH17="",$AH17="保有中"),"",$AH17)</f>
        <v>損切確定</v>
      </c>
      <c r="Y17" s="488"/>
      <c r="Z17" s="710">
        <v>14</v>
      </c>
      <c r="AA17" s="600" t="s">
        <v>1334</v>
      </c>
      <c r="AD17" s="608" t="s">
        <v>1325</v>
      </c>
      <c r="AE17" s="625">
        <f>IF($E17="","",WORKDAY($E17,12))</f>
        <v>46247</v>
      </c>
      <c r="AF17" s="627" cm="1">
        <f t="array" aca="1" ref="AF17" ca="1">IF(OR($B17="",$M17=""),"",IFERROR(IF($C17="売",_xlfn.MINIFS(安値!$E$3:$IT$3,安値!$E$3:$IT$3,"&gt;"&amp;$E17,安値!$E$3:$IT$3,"&lt;="&amp;$AE17,OFFSET(安値!$E$6:$IT$6,MATCH(TEXT($B17,"0"),TEXT(銘柄管理!$B$6:$B$305,"0"),0)-1,0),"&lt;="&amp;$M17),_xlfn.MINIFS(高値!$E$3:$IT$3,高値!$E$3:$IT$3,"&gt;"&amp;$E17,高値!$E$3:$IT$3,"&lt;="&amp;$AE17,OFFSET(高値!$E$6:$IT$6,MATCH(TEXT($B17,"0"),TEXT(銘柄管理!$B$6:$B$305,"0"),0)-1,0),"&gt;="&amp;$M17)),""))</f>
        <v>0</v>
      </c>
      <c r="AG17" s="627" cm="1">
        <f t="array" aca="1" ref="AG17" ca="1">IF(OR($B17="",$N17=""),"",IFERROR(IF($C17="売",_xlfn.MINIFS(高値!$E$3:$IT$3,高値!$E$3:$IT$3,"&gt;"&amp;$E17,高値!$E$3:$IT$3,"&lt;="&amp;$AE17,OFFSET(高値!$E$6:$IT$6,MATCH(TEXT($B17,"0"),TEXT(銘柄管理!$B$6:$B$305,"0"),0)-1,0),"&gt;="&amp;$N17),_xlfn.MINIFS(安値!$E$3:$IT$3,安値!$E$3:$IT$3,"&gt;"&amp;$E17,安値!$E$3:$IT$3,"&lt;="&amp;$AE17,OFFSET(安値!$E$6:$IT$6,MATCH(TEXT($B17,"0"),TEXT(銘柄管理!$B$6:$B$305,"0"),0)-1,0),"&lt;="&amp;$N17)),""))</f>
        <v>46240</v>
      </c>
      <c r="AH17" s="601" t="str">
        <f>IF(OR($B17="",$M17=""),"",IF(AND(N($AF17)=0,N($AG17)=0),IF(AND(ISNUMBER($H17),$H17&gt;0,IF($C17="売",$H17&gt;=$N17,$H17&lt;=$N17)),"損切確定",IF(AND(ISNUMBER($H17),$H17&gt;0,IF($C17="売",$H17&lt;=$M17,$H17&gt;=$M17)),"利益確定",IF($AE17&lt;=TODAY(),"日数制限","保有中"))),IF(N($AG17)=0,"利益確定",IF(N($AF17)=0,"損切確定",IF($AG17&lt;=$AF17,"損切確定","利益確定")))))</f>
        <v>損切確定</v>
      </c>
      <c r="AI17" s="601" t="str" cm="1">
        <f t="array" ref="AI17">IFERROR(INDEX(始値!$E$6:$IT$305,MATCH(TEXT($B17,"0"),TEXT(銘柄管理!$B$6:$B$305,"0"),0),MATCH($AE17,始値!$E$3:$IT$3,0)),"")</f>
        <v/>
      </c>
      <c r="AJ17" s="905">
        <f>IF(OR($V17="",$F17="",$G17=""),"",$V17/($F17*$G17))</f>
        <v>-4.0816326530612242E-2</v>
      </c>
      <c r="AK17" s="629" t="str">
        <f>IF($V17="","",IF($V17&gt;0,"○勝",IF($V17&lt;0,"●負","△引分")))</f>
        <v>●負</v>
      </c>
      <c r="AL17" s="613" t="str">
        <f>IF($AM17="","","厳選TOP2買")</f>
        <v>厳選TOP2買</v>
      </c>
      <c r="AM17" s="615">
        <f>IF(厳選TOP2!$B18="","",厳選TOP2!$B18)</f>
        <v>4008</v>
      </c>
      <c r="AN17" s="613" t="str">
        <f>IF($AM17="","",厳選TOP2!$C18)</f>
        <v>住友精化</v>
      </c>
      <c r="AO17" s="615" t="str">
        <f>IF($AM17="","","買")</f>
        <v>買</v>
      </c>
      <c r="AP17" s="615">
        <f>IF($AM17="","",厳選TOP2!$E18)</f>
        <v>19</v>
      </c>
      <c r="AQ17" s="615"/>
      <c r="AR17" s="613" t="str">
        <f>IF($AM17="","",厳選TOP2!$H18&amp;" RSI"&amp;TEXT(厳選TOP2!$G18,"0.0")&amp;" 出来高"&amp;TEXT(厳選TOP2!$F18,"0.00")&amp;"倍")</f>
        <v>パーフェクト▲ RSI49.0 出来高3.20倍</v>
      </c>
      <c r="AS17" s="613" t="str">
        <f>IF($AM17="","",IF(COUNTIFS($B:$B,$AM17,$E:$E,$AM$11)&gt;0,"✅追記済","→未追記"))</f>
        <v>✅追記済</v>
      </c>
      <c r="BB17" s="600" t="str">
        <f>IF(N(買抽出v13!$C17)=0,"",N(買抽出v13!$Q17)+N(買抽出v13!$L17)/1000-ROW()/1000000)</f>
        <v/>
      </c>
      <c r="BC17" s="600" t="str">
        <f>IF(N(売抽出v13!$C17)=0,"",N(売抽出v13!$Q17)+IFERROR(VALUE(SUBSTITUTE(売抽出v13!$L17,"倍","")),0)/1000-ROW()/1000000)</f>
        <v/>
      </c>
    </row>
    <row r="18" spans="1:55" ht="35.4" customHeight="1">
      <c r="A18" s="619" t="str">
        <f>IF(B18="","",HYPERLINK("https://kabutan.jp/stock/?code="&amp;B18,"株探"))</f>
        <v>株探</v>
      </c>
      <c r="B18" s="481">
        <v>4307</v>
      </c>
      <c r="C18" s="482" t="s">
        <v>998</v>
      </c>
      <c r="D18" s="483" t="str" cm="1">
        <f t="array" ref="D18">_xll.RssMarket(B18, "銘柄名称")</f>
        <v>野村総合研究所</v>
      </c>
      <c r="E18" s="715">
        <v>46232</v>
      </c>
      <c r="F18" s="698" cm="1">
        <f t="array" aca="1" ref="F18" ca="1">IFERROR(_xlfn.LET(_xlpm.r,MATCH(TEXT($B18,"0"),TEXT(銘柄管理!$B$6:$B$305,"0"),0),_xlpm.t,MOD(NOW(),1),_xlpm.c,IF($E18=TODAY(),IF(_xlpm.t&gt;=TIME(15,30,0),NA(),1),IF(MATCH($E18,始値!$E$3:$IT$3,0)=1,1,MATCH($E18,始値!$E$3:$IT$3,0)+1)),_xlpm.v,INDEX(始値!$C$6:$IT$305,_xlpm.r,_xlpm.c),IF(N(_xlpm.v)=0,"",_xlpm.v)),"")</f>
        <v>5550</v>
      </c>
      <c r="G18" s="484">
        <v>100</v>
      </c>
      <c r="H18" s="485" cm="1">
        <f t="array" ref="H18">_xll.RssMarket(B18, "現在値")</f>
        <v>4738</v>
      </c>
      <c r="I18" s="485" cm="1">
        <f t="array" ref="I18">_xll.RssMarket(B18, "出来高加重平均")</f>
        <v>4729.1419999999998</v>
      </c>
      <c r="J18" s="700" cm="1">
        <f t="array" ref="J18">_xll.RssMarket($B18, "前日比")</f>
        <v>168</v>
      </c>
      <c r="K18" s="700">
        <f>IF(OR(F18="",G18="",H18=""),"",IF(C18="売",(F18-H18)*G18,(H18-F18)*G18))</f>
        <v>-81200</v>
      </c>
      <c r="L18" s="705">
        <f>IF(OR(F18="",H18=""),"",IF(C18="売",(F18-H18)/F18,(H18-F18)/F18))</f>
        <v>-0.14630630630630631</v>
      </c>
      <c r="M18" s="485">
        <f>IF($F18="","",$F18*IF($C18="売",1-V811設定!$B$4,1+V811設定!$B$4)-MOD($F18*IF($C18="売",1-V811設定!$B$4,1+V811設定!$B$4),IF($F18&lt;=3000,1,IF($F18&lt;=5000,5,IF($F18&lt;=30000,10,IF($F18&lt;=50000,50,IF($F18&lt;=300000,100,500))))))+IF(AND($C18="売",MOD($F18*IF($C18="売",1-V811設定!$B$4,1+V811設定!$B$4),IF($F18&lt;=3000,1,IF($F18&lt;=5000,5,IF($F18&lt;=30000,10,IF($F18&lt;=50000,50,IF($F18&lt;=300000,100,500))))))&gt;0),IF($F18&lt;=3000,1,IF($F18&lt;=5000,5,IF($F18&lt;=30000,10,IF($F18&lt;=50000,50,IF($F18&lt;=300000,100,500))))),0))</f>
      </c>
      <c r="N18" s="485">
        <f>IF($F18="","",$F18*IF($C18="売",1+V811設定!$B$3,1-V811設定!$B$3)-MOD($F18*IF($C18="売",1+V811設定!$B$3,1-V811設定!$B$3),IF($F18&lt;=3000,1,IF($F18&lt;=5000,5,IF($F18&lt;=30000,10,IF($F18&lt;=50000,50,IF($F18&lt;=300000,100,500))))))+IF(AND($C18="売",MOD($F18*IF($C18="売",1+V811設定!$B$3,1-V811設定!$B$3),IF($F18&lt;=3000,1,IF($F18&lt;=5000,5,IF($F18&lt;=30000,10,IF($F18&lt;=50000,50,IF($F18&lt;=300000,100,500))))))&gt;0),IF($F18&lt;=3000,1,IF($F18&lt;=5000,5,IF($F18&lt;=30000,10,IF($F18&lt;=50000,50,IF($F18&lt;=300000,100,500))))),0))</f>
      </c>
      <c r="O18" s="486" t="str">
        <f>IF(OR($B18="",$F18="",$H18=""),"",IF($S18="✅売却済","―決済済―",IF($C18="売",IF($H18&lt;=$M18,"🟢利確",IF(AND($R18&lt;&gt;"",$H18&gt;=$R18),"🟠TRAIL",IF($H18&gt;=$N18,"🔴損切",IF($W18&gt;=V811設定!$B$6,"⏱時間決済",IF($H18&gt;=$F18*(1+V811設定!$B$3*0.7),"⚠️損切接近","保持継続"))))),IF($H18&gt;=$M18,"🟢利確",IF(AND($R18&lt;&gt;"",$H18&lt;=$R18),"🟠TRAIL",IF($H18&lt;=$N18,"🔴損切",IF($W18&gt;=V811設定!$B$6,"⏱時間決済",IF($H18&lt;=$F18*(1-V811設定!$B$3*0.7),"⚠️損切接近","保持継続"))))))))</f>
      </c>
      <c r="P18" s="485">
        <f ca="1">IF(B18="","",IFERROR(MAX(OFFSET(高値!$E$6,IFERROR(MATCH(B18,銘柄管理!$B$6:$B$305,0),MATCH(TEXT(B18,"0"),銘柄管理!$B$6:$B$305,0))-1,0,1,10)),""))</f>
        <v>5620</v>
      </c>
      <c r="Q18" s="485">
        <f ca="1">IF(B18="","",IFERROR(MIN(OFFSET(安値!$E$6,IFERROR(MATCH(B18,銘柄管理!$B$6:$B$305,0),MATCH(TEXT(B18,"0"),銘柄管理!$B$6:$B$305,0))-1,0,1,10)),""))</f>
        <v>4486</v>
      </c>
      <c r="R18" s="485">
        <f>IF(OR($F18="",$H18="",$N18=""),"",IF($S18="✅売却済","",IF($C18="売",IF($H18&gt;$F18*(1-V811設定!$B$3),$N18,MIN($N18,IF($Q18="",$N18,$Q18*1.03))),IF($H18&lt;$F18*(1+V811設定!$B$3),$N18,MAX($N18,IF($P18="",$N18,$P18*0.97))))))</f>
      </c>
      <c r="S18" s="585" t="str">
        <f>IF(B18="","",IF(T18&lt;&gt;"","✅売却済",IF(OR(H18="",L18=""),"📌保有中",IF(L18&gt;=0.06,"🟢利確推奨",IF(L18&gt;=0.05,"🟡利確直近",IF(L18&gt;=0.045,"🔵トレーリング検討",IF(L18&gt;-0.03,"📌保有中",IF(L18&gt;-0.04,"⚠️損切注意","🔴損切り"))))))))</f>
        <v>✅売却済</v>
      </c>
      <c r="T18" s="593">
        <v>46234</v>
      </c>
      <c r="U18" s="485">
        <v>5328</v>
      </c>
      <c r="V18" s="700">
        <f>IF(OR(F18="",G18="",U18=""),"",IF(C18="売",(F18-U18)*G18,(U18-F18)*G18))</f>
        <v>-22200</v>
      </c>
      <c r="W18" s="487">
        <f>IF(OR($E18="",$B18=""),"",IF($T18&lt;&gt;"",$T18-$E18,TODAY()-$E18)+1)</f>
        <v>3</v>
      </c>
      <c r="X18" s="484" t="str">
        <f>IF(OR($AH18="",$AH18="保有中"),"",$AH18)</f>
        <v>損切確定</v>
      </c>
      <c r="Y18" s="488"/>
      <c r="Z18" s="710">
        <v>13</v>
      </c>
      <c r="AA18" s="600" t="s">
        <v>1349</v>
      </c>
      <c r="AD18" s="616" t="s">
        <v>1322</v>
      </c>
      <c r="AE18" s="625">
        <f>IF($E18="","",WORKDAY($E18,12))</f>
        <v>46248</v>
      </c>
      <c r="AF18" s="627" cm="1">
        <f t="array" aca="1" ref="AF18" ca="1">IF(OR($B18="",$M18=""),"",IFERROR(IF($C18="売",_xlfn.MINIFS(安値!$E$3:$IT$3,安値!$E$3:$IT$3,"&gt;"&amp;$E18,安値!$E$3:$IT$3,"&lt;="&amp;$AE18,OFFSET(安値!$E$6:$IT$6,MATCH(TEXT($B18,"0"),TEXT(銘柄管理!$B$6:$B$305,"0"),0)-1,0),"&lt;="&amp;$M18),_xlfn.MINIFS(高値!$E$3:$IT$3,高値!$E$3:$IT$3,"&gt;"&amp;$E18,高値!$E$3:$IT$3,"&lt;="&amp;$AE18,OFFSET(高値!$E$6:$IT$6,MATCH(TEXT($B18,"0"),TEXT(銘柄管理!$B$6:$B$305,"0"),0)-1,0),"&gt;="&amp;$M18)),""))</f>
        <v>0</v>
      </c>
      <c r="AG18" s="627" cm="1">
        <f t="array" aca="1" ref="AG18" ca="1">IF(OR($B18="",$N18=""),"",IFERROR(IF($C18="売",_xlfn.MINIFS(高値!$E$3:$IT$3,高値!$E$3:$IT$3,"&gt;"&amp;$E18,高値!$E$3:$IT$3,"&lt;="&amp;$AE18,OFFSET(高値!$E$6:$IT$6,MATCH(TEXT($B18,"0"),TEXT(銘柄管理!$B$6:$B$305,"0"),0)-1,0),"&gt;="&amp;$N18),_xlfn.MINIFS(安値!$E$3:$IT$3,安値!$E$3:$IT$3,"&gt;"&amp;$E18,安値!$E$3:$IT$3,"&lt;="&amp;$AE18,OFFSET(安値!$E$6:$IT$6,MATCH(TEXT($B18,"0"),TEXT(銘柄管理!$B$6:$B$305,"0"),0)-1,0),"&lt;="&amp;$N18)),""))</f>
        <v>46234</v>
      </c>
      <c r="AH18" s="601" t="str">
        <f>IF(OR($B18="",$M18=""),"",IF(AND(N($AF18)=0,N($AG18)=0),IF(AND(ISNUMBER($H18),$H18&gt;0,IF($C18="売",$H18&gt;=$N18,$H18&lt;=$N18)),"損切確定",IF(AND(ISNUMBER($H18),$H18&gt;0,IF($C18="売",$H18&lt;=$M18,$H18&gt;=$M18)),"利益確定",IF($AE18&lt;=TODAY(),"日数制限","保有中"))),IF(N($AG18)=0,"利益確定",IF(N($AF18)=0,"損切確定",IF($AG18&lt;=$AF18,"損切確定","利益確定")))))</f>
        <v>損切確定</v>
      </c>
      <c r="AI18" s="601" t="str" cm="1">
        <f t="array" ref="AI18">IFERROR(INDEX(始値!$E$6:$IT$305,MATCH(TEXT($B18,"0"),TEXT(銘柄管理!$B$6:$B$305,"0"),0),MATCH($AE18,始値!$E$3:$IT$3,0)),"")</f>
        <v/>
      </c>
      <c r="AJ18" s="905">
        <f>IF(OR($V18="",$F18="",$G18=""),"",$V18/($F18*$G18))</f>
        <v>-0.04</v>
      </c>
      <c r="AK18" s="629" t="str">
        <f>IF($V18="","",IF($V18&gt;0,"○勝",IF($V18&lt;0,"●負","△引分")))</f>
        <v>●負</v>
      </c>
      <c r="AL18" s="613" t="str">
        <f>IF($AM18="","","厳選TOP2買")</f>
        <v>厳選TOP2買</v>
      </c>
      <c r="AM18" s="615">
        <f>IF(厳選TOP2!$B19="","",厳選TOP2!$B19)</f>
        <v>5233</v>
      </c>
      <c r="AN18" s="613" t="str">
        <f>IF($AM18="","",厳選TOP2!$C19)</f>
        <v>太平洋セメント</v>
      </c>
      <c r="AO18" s="615" t="str">
        <f>IF($AM18="","","買")</f>
        <v>買</v>
      </c>
      <c r="AP18" s="615">
        <f>IF($AM18="","",厳選TOP2!$E19)</f>
        <v>14</v>
      </c>
      <c r="AQ18" s="615"/>
      <c r="AR18" s="613" t="str">
        <f>IF($AM18="","",厳選TOP2!$H19&amp;" RSI"&amp;TEXT(厳選TOP2!$G19,"0.0")&amp;" 出来高"&amp;TEXT(厳選TOP2!$F19,"0.00")&amp;"倍")</f>
        <v>パーフェクト▲ RSI55.7 出来高1.64倍</v>
      </c>
      <c r="AS18" s="613" t="str">
        <f>IF($AM18="","",IF(COUNTIFS($B:$B,$AM18,$E:$E,$AM$11)&gt;0,"✅追記済","→未追記"))</f>
        <v>✅追記済</v>
      </c>
      <c r="BB18" s="600" t="str">
        <f>IF(N(買抽出v13!$C18)=0,"",N(買抽出v13!$Q18)+N(買抽出v13!$L18)/1000-ROW()/1000000)</f>
        <v/>
      </c>
      <c r="BC18" s="600" t="str">
        <f>IF(N(売抽出v13!$C18)=0,"",N(売抽出v13!$Q18)+IFERROR(VALUE(SUBSTITUTE(売抽出v13!$L18,"倍","")),0)/1000-ROW()/1000000)</f>
        <v/>
      </c>
    </row>
    <row r="19" spans="1:55" ht="35.4" customHeight="1">
      <c r="A19" s="619" t="str">
        <f>IF(B19="","",HYPERLINK("https://kabutan.jp/stock/?code="&amp;B19,"株探"))</f>
        <v>株探</v>
      </c>
      <c r="B19" s="481">
        <v>8424</v>
      </c>
      <c r="C19" s="482" t="s">
        <v>998</v>
      </c>
      <c r="D19" s="483" t="str" cm="1">
        <f t="array" ref="D19">_xll.RssMarket(B19, "銘柄名称")</f>
        <v>芙蓉総合リース</v>
      </c>
      <c r="E19" s="715">
        <v>46232</v>
      </c>
      <c r="F19" s="698" cm="1">
        <f t="array" aca="1" ref="F19" ca="1">IFERROR(_xlfn.LET(_xlpm.r,MATCH(TEXT($B19,"0"),TEXT(銘柄管理!$B$6:$B$305,"0"),0),_xlpm.t,MOD(NOW(),1),_xlpm.c,IF($E19=TODAY(),IF(_xlpm.t&gt;=TIME(15,30,0),NA(),1),IF(MATCH($E19,始値!$E$3:$IT$3,0)=1,1,MATCH($E19,始値!$E$3:$IT$3,0)+1)),_xlpm.v,INDEX(始値!$C$6:$IT$305,_xlpm.r,_xlpm.c),IF(N(_xlpm.v)=0,"",_xlpm.v)),"")</f>
        <v>4563</v>
      </c>
      <c r="G19" s="484">
        <v>100</v>
      </c>
      <c r="H19" s="485" cm="1">
        <f t="array" ref="H19">_xll.RssMarket(B19, "現在値")</f>
        <v>4413</v>
      </c>
      <c r="I19" s="485" cm="1">
        <f t="array" ref="I19">_xll.RssMarket(B19, "出来高加重平均")</f>
        <v>4401.5064000000002</v>
      </c>
      <c r="J19" s="700" cm="1">
        <f t="array" ref="J19">_xll.RssMarket($B19, "前日比")</f>
        <v>48</v>
      </c>
      <c r="K19" s="700">
        <f>IF(OR(F19="",G19="",H19=""),"",IF(C19="売",(F19-H19)*G19,(H19-F19)*G19))</f>
        <v>-15000</v>
      </c>
      <c r="L19" s="705">
        <f>IF(OR(F19="",H19=""),"",IF(C19="売",(F19-H19)/F19,(H19-F19)/F19))</f>
        <v>-3.2873109796186718E-2</v>
      </c>
      <c r="M19" s="485">
        <f>IF($F19="","",$F19*IF($C19="売",1-V811設定!$B$4,1+V811設定!$B$4)-MOD($F19*IF($C19="売",1-V811設定!$B$4,1+V811設定!$B$4),IF($F19&lt;=3000,1,IF($F19&lt;=5000,5,IF($F19&lt;=30000,10,IF($F19&lt;=50000,50,IF($F19&lt;=300000,100,500))))))+IF(AND($C19="売",MOD($F19*IF($C19="売",1-V811設定!$B$4,1+V811設定!$B$4),IF($F19&lt;=3000,1,IF($F19&lt;=5000,5,IF($F19&lt;=30000,10,IF($F19&lt;=50000,50,IF($F19&lt;=300000,100,500))))))&gt;0),IF($F19&lt;=3000,1,IF($F19&lt;=5000,5,IF($F19&lt;=30000,10,IF($F19&lt;=50000,50,IF($F19&lt;=300000,100,500))))),0))</f>
      </c>
      <c r="N19" s="485">
        <f>IF($F19="","",$F19*IF($C19="売",1+V811設定!$B$3,1-V811設定!$B$3)-MOD($F19*IF($C19="売",1+V811設定!$B$3,1-V811設定!$B$3),IF($F19&lt;=3000,1,IF($F19&lt;=5000,5,IF($F19&lt;=30000,10,IF($F19&lt;=50000,50,IF($F19&lt;=300000,100,500))))))+IF(AND($C19="売",MOD($F19*IF($C19="売",1+V811設定!$B$3,1-V811設定!$B$3),IF($F19&lt;=3000,1,IF($F19&lt;=5000,5,IF($F19&lt;=30000,10,IF($F19&lt;=50000,50,IF($F19&lt;=300000,100,500))))))&gt;0),IF($F19&lt;=3000,1,IF($F19&lt;=5000,5,IF($F19&lt;=30000,10,IF($F19&lt;=50000,50,IF($F19&lt;=300000,100,500))))),0))</f>
      </c>
      <c r="O19" s="486" t="str">
        <f>IF(OR($B19="",$F19="",$H19=""),"",IF($S19="✅売却済","―決済済―",IF($C19="売",IF($H19&lt;=$M19,"🟢利確",IF(AND($R19&lt;&gt;"",$H19&gt;=$R19),"🟠TRAIL",IF($H19&gt;=$N19,"🔴損切",IF($W19&gt;=V811設定!$B$6,"⏱時間決済",IF($H19&gt;=$F19*(1+V811設定!$B$3*0.7),"⚠️損切接近","保持継続"))))),IF($H19&gt;=$M19,"🟢利確",IF(AND($R19&lt;&gt;"",$H19&lt;=$R19),"🟠TRAIL",IF($H19&lt;=$N19,"🔴損切",IF($W19&gt;=V811設定!$B$6,"⏱時間決済",IF($H19&lt;=$F19*(1-V811設定!$B$3*0.7),"⚠️損切接近","保持継続"))))))))</f>
      </c>
      <c r="P19" s="485">
        <f ca="1">IF(B19="","",IFERROR(MAX(OFFSET(高値!$E$6,IFERROR(MATCH(B19,銘柄管理!$B$6:$B$305,0),MATCH(TEXT(B19,"0"),銘柄管理!$B$6:$B$305,0))-1,0,1,10)),""))</f>
        <v>4620</v>
      </c>
      <c r="Q19" s="485">
        <f ca="1">IF(B19="","",IFERROR(MIN(OFFSET(安値!$E$6,IFERROR(MATCH(B19,銘柄管理!$B$6:$B$305,0),MATCH(TEXT(B19,"0"),銘柄管理!$B$6:$B$305,0))-1,0,1,10)),""))</f>
        <v>4350</v>
      </c>
      <c r="R19" s="485">
        <f>IF(OR($F19="",$H19="",$N19=""),"",IF($S19="✅売却済","",IF($C19="売",IF($H19&gt;$F19*(1-V811設定!$B$3),$N19,MIN($N19,IF($Q19="",$N19,$Q19*1.03))),IF($H19&lt;$F19*(1+V811設定!$B$3),$N19,MAX($N19,IF($P19="",$N19,$P19*0.97))))))</f>
      </c>
      <c r="S19" s="585" t="str">
        <f>IF(B19="","",IF(T19&lt;&gt;"","✅売却済",IF(OR(H19="",L19=""),"📌保有中",IF(L19&gt;=0.06,"🟢利確推奨",IF(L19&gt;=0.05,"🟡利確直近",IF(L19&gt;=0.045,"🔵トレーリング検討",IF(L19&gt;-0.03,"📌保有中",IF(L19&gt;-0.04,"⚠️損切注意","🔴損切り"))))))))</f>
        <v>✅売却済</v>
      </c>
      <c r="T19" s="593">
        <v>46238</v>
      </c>
      <c r="U19" s="485">
        <v>4380</v>
      </c>
      <c r="V19" s="700">
        <f>IF(OR(F19="",G19="",U19=""),"",IF(C19="売",(F19-U19)*G19,(U19-F19)*G19))</f>
        <v>-18300</v>
      </c>
      <c r="W19" s="487">
        <f>IF(OR($E19="",$B19=""),"",IF($T19&lt;&gt;"",$T19-$E19,TODAY()-$E19)+1)</f>
        <v>7</v>
      </c>
      <c r="X19" s="484" t="str">
        <f>IF(OR($AH19="",$AH19="保有中"),"",$AH19)</f>
        <v>損切確定</v>
      </c>
      <c r="Y19" s="488"/>
      <c r="Z19" s="710">
        <v>11</v>
      </c>
      <c r="AA19" s="600" t="s">
        <v>1350</v>
      </c>
      <c r="AD19" s="616" t="s">
        <v>1322</v>
      </c>
      <c r="AE19" s="625">
        <f>IF($E19="","",WORKDAY($E19,12))</f>
        <v>46248</v>
      </c>
      <c r="AF19" s="627" cm="1">
        <f t="array" aca="1" ref="AF19" ca="1">IF(OR($B19="",$M19=""),"",IFERROR(IF($C19="売",_xlfn.MINIFS(安値!$E$3:$IT$3,安値!$E$3:$IT$3,"&gt;"&amp;$E19,安値!$E$3:$IT$3,"&lt;="&amp;$AE19,OFFSET(安値!$E$6:$IT$6,MATCH(TEXT($B19,"0"),TEXT(銘柄管理!$B$6:$B$305,"0"),0)-1,0),"&lt;="&amp;$M19),_xlfn.MINIFS(高値!$E$3:$IT$3,高値!$E$3:$IT$3,"&gt;"&amp;$E19,高値!$E$3:$IT$3,"&lt;="&amp;$AE19,OFFSET(高値!$E$6:$IT$6,MATCH(TEXT($B19,"0"),TEXT(銘柄管理!$B$6:$B$305,"0"),0)-1,0),"&gt;="&amp;$M19)),""))</f>
        <v>0</v>
      </c>
      <c r="AG19" s="627" cm="1">
        <f t="array" aca="1" ref="AG19" ca="1">IF(OR($B19="",$N19=""),"",IFERROR(IF($C19="売",_xlfn.MINIFS(高値!$E$3:$IT$3,高値!$E$3:$IT$3,"&gt;"&amp;$E19,高値!$E$3:$IT$3,"&lt;="&amp;$AE19,OFFSET(高値!$E$6:$IT$6,MATCH(TEXT($B19,"0"),TEXT(銘柄管理!$B$6:$B$305,"0"),0)-1,0),"&gt;="&amp;$N19),_xlfn.MINIFS(安値!$E$3:$IT$3,安値!$E$3:$IT$3,"&gt;"&amp;$E19,安値!$E$3:$IT$3,"&lt;="&amp;$AE19,OFFSET(安値!$E$6:$IT$6,MATCH(TEXT($B19,"0"),TEXT(銘柄管理!$B$6:$B$305,"0"),0)-1,0),"&lt;="&amp;$N19)),""))</f>
        <v>46238</v>
      </c>
      <c r="AH19" s="601" t="str">
        <f>IF(OR($B19="",$M19=""),"",IF(AND(N($AF19)=0,N($AG19)=0),IF(AND(ISNUMBER($H19),$H19&gt;0,IF($C19="売",$H19&gt;=$N19,$H19&lt;=$N19)),"損切確定",IF(AND(ISNUMBER($H19),$H19&gt;0,IF($C19="売",$H19&lt;=$M19,$H19&gt;=$M19)),"利益確定",IF($AE19&lt;=TODAY(),"日数制限","保有中"))),IF(N($AG19)=0,"利益確定",IF(N($AF19)=0,"損切確定",IF($AG19&lt;=$AF19,"損切確定","利益確定")))))</f>
        <v>損切確定</v>
      </c>
      <c r="AI19" s="601" t="str" cm="1">
        <f t="array" ref="AI19">IFERROR(INDEX(始値!$E$6:$IT$305,MATCH(TEXT($B19,"0"),TEXT(銘柄管理!$B$6:$B$305,"0"),0),MATCH($AE19,始値!$E$3:$IT$3,0)),"")</f>
        <v/>
      </c>
      <c r="AJ19" s="905">
        <f>IF(OR($V19="",$F19="",$G19=""),"",$V19/($F19*$G19))</f>
        <v>-4.0105193951347796E-2</v>
      </c>
      <c r="AK19" s="629" t="str">
        <f>IF($V19="","",IF($V19&gt;0,"○勝",IF($V19&lt;0,"●負","△引分")))</f>
        <v>●負</v>
      </c>
      <c r="AL19" s="613" t="str">
        <f>IF($AM19="","","厳選TOP2売")</f>
        <v>厳選TOP2売</v>
      </c>
      <c r="AM19" s="615">
        <f>IF(厳選TOP2!$B26="","",厳選TOP2!$B26)</f>
        <v>3436</v>
      </c>
      <c r="AN19" s="613" t="str">
        <f>IF($AM19="","",厳選TOP2!$C26)</f>
        <v>ＳＵＭＣＯ</v>
      </c>
      <c r="AO19" s="615" t="str">
        <f>IF($AM19="","","売")</f>
        <v>売</v>
      </c>
      <c r="AP19" s="615">
        <f>IF($AM19="","",厳選TOP2!$E26)</f>
        <v>17</v>
      </c>
      <c r="AQ19" s="615"/>
      <c r="AR19" s="613" t="str">
        <f>IF($AM19="","",厳選TOP2!$H26&amp;" RSI"&amp;TEXT(厳選TOP2!$G26,"0.0")&amp;" 出来高"&amp;TEXT(厳選TOP2!$F26,"0.00")&amp;"倍")</f>
        <v>下降トレンド▼ RSI36.0 出来高1.97倍</v>
      </c>
      <c r="AS19" s="613" t="str">
        <f>IF($AM19="","",IF(COUNTIFS($B:$B,$AM19,$E:$E,$AM$11)&gt;0,"✅追記済","→未追記"))</f>
        <v>✅追記済</v>
      </c>
      <c r="BB19" s="600" t="str">
        <f>IF(N(買抽出v13!$C19)=0,"",N(買抽出v13!$Q19)+N(買抽出v13!$L19)/1000-ROW()/1000000)</f>
        <v/>
      </c>
      <c r="BC19" s="600" t="str">
        <f>IF(N(売抽出v13!$C19)=0,"",N(売抽出v13!$Q19)+IFERROR(VALUE(SUBSTITUTE(売抽出v13!$L19,"倍","")),0)/1000-ROW()/1000000)</f>
        <v/>
      </c>
    </row>
    <row r="20" spans="1:55" ht="35.4" customHeight="1">
      <c r="A20" s="619" t="str">
        <f>IF(B20="","",HYPERLINK("https://kabutan.jp/stock/?code="&amp;B20,"株探"))</f>
        <v>株探</v>
      </c>
      <c r="B20" s="481">
        <v>3891</v>
      </c>
      <c r="C20" s="482" t="s">
        <v>999</v>
      </c>
      <c r="D20" s="483" t="str" cm="1">
        <f t="array" ref="D20">_xll.RssMarket(B20, "銘柄名称")</f>
        <v>ニッポン高度紙工業</v>
      </c>
      <c r="E20" s="715">
        <v>46232</v>
      </c>
      <c r="F20" s="698" cm="1">
        <f t="array" aca="1" ref="F20" ca="1">IFERROR(_xlfn.LET(_xlpm.r,MATCH(TEXT($B20,"0"),TEXT(銘柄管理!$B$6:$B$305,"0"),0),_xlpm.t,MOD(NOW(),1),_xlpm.c,IF($E20=TODAY(),IF(_xlpm.t&gt;=TIME(15,30,0),NA(),1),IF(MATCH($E20,始値!$E$3:$IT$3,0)=1,1,MATCH($E20,始値!$E$3:$IT$3,0)+1)),_xlpm.v,INDEX(始値!$C$6:$IT$305,_xlpm.r,_xlpm.c),IF(N(_xlpm.v)=0,"",_xlpm.v)),"")</f>
        <v>5480</v>
      </c>
      <c r="G20" s="484">
        <v>100</v>
      </c>
      <c r="H20" s="485" cm="1">
        <f t="array" ref="H20">_xll.RssMarket(B20, "現在値")</f>
        <v>7180</v>
      </c>
      <c r="I20" s="485" cm="1">
        <f t="array" ref="I20">_xll.RssMarket(B20, "出来高加重平均")</f>
        <v>7050.0761000000002</v>
      </c>
      <c r="J20" s="700" cm="1">
        <f t="array" ref="J20">_xll.RssMarket($B20, "前日比")</f>
        <v>-130</v>
      </c>
      <c r="K20" s="700">
        <f>IF(OR(F20="",G20="",H20=""),"",IF(C20="売",(F20-H20)*G20,(H20-F20)*G20))</f>
        <v>-170000</v>
      </c>
      <c r="L20" s="705">
        <f>IF(OR(F20="",H20=""),"",IF(C20="売",(F20-H20)/F20,(H20-F20)/F20))</f>
        <v>-0.31021897810218979</v>
      </c>
      <c r="M20" s="485">
        <f>IF($F20="","",$F20*IF($C20="売",1-V811設定!$B$4,1+V811設定!$B$4)-MOD($F20*IF($C20="売",1-V811設定!$B$4,1+V811設定!$B$4),IF($F20&lt;=3000,1,IF($F20&lt;=5000,5,IF($F20&lt;=30000,10,IF($F20&lt;=50000,50,IF($F20&lt;=300000,100,500))))))+IF(AND($C20="売",MOD($F20*IF($C20="売",1-V811設定!$B$4,1+V811設定!$B$4),IF($F20&lt;=3000,1,IF($F20&lt;=5000,5,IF($F20&lt;=30000,10,IF($F20&lt;=50000,50,IF($F20&lt;=300000,100,500))))))&gt;0),IF($F20&lt;=3000,1,IF($F20&lt;=5000,5,IF($F20&lt;=30000,10,IF($F20&lt;=50000,50,IF($F20&lt;=300000,100,500))))),0))</f>
      </c>
      <c r="N20" s="485">
        <f>IF($F20="","",$F20*IF($C20="売",1+V811設定!$B$3,1-V811設定!$B$3)-MOD($F20*IF($C20="売",1+V811設定!$B$3,1-V811設定!$B$3),IF($F20&lt;=3000,1,IF($F20&lt;=5000,5,IF($F20&lt;=30000,10,IF($F20&lt;=50000,50,IF($F20&lt;=300000,100,500))))))+IF(AND($C20="売",MOD($F20*IF($C20="売",1+V811設定!$B$3,1-V811設定!$B$3),IF($F20&lt;=3000,1,IF($F20&lt;=5000,5,IF($F20&lt;=30000,10,IF($F20&lt;=50000,50,IF($F20&lt;=300000,100,500))))))&gt;0),IF($F20&lt;=3000,1,IF($F20&lt;=5000,5,IF($F20&lt;=30000,10,IF($F20&lt;=50000,50,IF($F20&lt;=300000,100,500))))),0))</f>
      </c>
      <c r="O20" s="486" t="str">
        <f>IF(OR($B20="",$F20="",$H20=""),"",IF($S20="✅売却済","―決済済―",IF($C20="売",IF($H20&lt;=$M20,"🟢利確",IF(AND($R20&lt;&gt;"",$H20&gt;=$R20),"🟠TRAIL",IF($H20&gt;=$N20,"🔴損切",IF($W20&gt;=V811設定!$B$6,"⏱時間決済",IF($H20&gt;=$F20*(1+V811設定!$B$3*0.7),"⚠️損切接近","保持継続"))))),IF($H20&gt;=$M20,"🟢利確",IF(AND($R20&lt;&gt;"",$H20&lt;=$R20),"🟠TRAIL",IF($H20&lt;=$N20,"🔴損切",IF($W20&gt;=V811設定!$B$6,"⏱時間決済",IF($H20&lt;=$F20*(1-V811設定!$B$3*0.7),"⚠️損切接近","保持継続"))))))))</f>
      </c>
      <c r="P20" s="485">
        <f ca="1">IF(B20="","",IFERROR(MAX(OFFSET(高値!$E$6,IFERROR(MATCH(B20,銘柄管理!$B$6:$B$305,0),MATCH(TEXT(B20,"0"),銘柄管理!$B$6:$B$305,0))-1,0,1,10)),""))</f>
        <v>7700</v>
      </c>
      <c r="Q20" s="485">
        <f ca="1">IF(B20="","",IFERROR(MIN(OFFSET(安値!$E$6,IFERROR(MATCH(B20,銘柄管理!$B$6:$B$305,0),MATCH(TEXT(B20,"0"),銘柄管理!$B$6:$B$305,0))-1,0,1,10)),""))</f>
        <v>5310</v>
      </c>
      <c r="R20" s="485">
        <f>IF(OR($F20="",$H20="",$N20=""),"",IF($S20="✅売却済","",IF($C20="売",IF($H20&gt;$F20*(1-V811設定!$B$3),$N20,MIN($N20,IF($Q20="",$N20,$Q20*1.03))),IF($H20&lt;$F20*(1+V811設定!$B$3),$N20,MAX($N20,IF($P20="",$N20,$P20*0.97))))))</f>
      </c>
      <c r="S20" s="585" t="str">
        <f>IF(B20="","",IF(T20&lt;&gt;"","✅売却済",IF(OR(H20="",L20=""),"📌保有中",IF(L20&gt;=0.06,"🟢利確推奨",IF(L20&gt;=0.05,"🟡利確直近",IF(L20&gt;=0.045,"🔵トレーリング検討",IF(L20&gt;-0.03,"📌保有中",IF(L20&gt;-0.04,"⚠️損切注意","🔴損切り"))))))))</f>
        <v>✅売却済</v>
      </c>
      <c r="T20" s="593">
        <v>46233</v>
      </c>
      <c r="U20" s="485">
        <v>5699</v>
      </c>
      <c r="V20" s="700">
        <f>IF(OR(F20="",G20="",U20=""),"",IF(C20="売",(F20-U20)*G20,(U20-F20)*G20))</f>
        <v>-21900</v>
      </c>
      <c r="W20" s="487">
        <f>IF(OR($E20="",$B20=""),"",IF($T20&lt;&gt;"",$T20-$E20,TODAY()-$E20)+1)</f>
        <v>2</v>
      </c>
      <c r="X20" s="484" t="str">
        <f>IF(OR($AH20="",$AH20="保有中"),"",$AH20)</f>
        <v>損切確定</v>
      </c>
      <c r="Y20" s="488"/>
      <c r="Z20" s="710">
        <v>19</v>
      </c>
      <c r="AA20" s="600" t="s">
        <v>1351</v>
      </c>
      <c r="AD20" s="616" t="s">
        <v>1323</v>
      </c>
      <c r="AE20" s="625">
        <f>IF($E20="","",WORKDAY($E20,12))</f>
        <v>46248</v>
      </c>
      <c r="AF20" s="627" cm="1">
        <f t="array" aca="1" ref="AF20" ca="1">IF(OR($B20="",$M20=""),"",IFERROR(IF($C20="売",_xlfn.MINIFS(安値!$E$3:$IT$3,安値!$E$3:$IT$3,"&gt;"&amp;$E20,安値!$E$3:$IT$3,"&lt;="&amp;$AE20,OFFSET(安値!$E$6:$IT$6,MATCH(TEXT($B20,"0"),TEXT(銘柄管理!$B$6:$B$305,"0"),0)-1,0),"&lt;="&amp;$M20),_xlfn.MINIFS(高値!$E$3:$IT$3,高値!$E$3:$IT$3,"&gt;"&amp;$E20,高値!$E$3:$IT$3,"&lt;="&amp;$AE20,OFFSET(高値!$E$6:$IT$6,MATCH(TEXT($B20,"0"),TEXT(銘柄管理!$B$6:$B$305,"0"),0)-1,0),"&gt;="&amp;$M20)),""))</f>
        <v>0</v>
      </c>
      <c r="AG20" s="627" cm="1">
        <f t="array" aca="1" ref="AG20" ca="1">IF(OR($B20="",$N20=""),"",IFERROR(IF($C20="売",_xlfn.MINIFS(高値!$E$3:$IT$3,高値!$E$3:$IT$3,"&gt;"&amp;$E20,高値!$E$3:$IT$3,"&lt;="&amp;$AE20,OFFSET(高値!$E$6:$IT$6,MATCH(TEXT($B20,"0"),TEXT(銘柄管理!$B$6:$B$305,"0"),0)-1,0),"&gt;="&amp;$N20),_xlfn.MINIFS(安値!$E$3:$IT$3,安値!$E$3:$IT$3,"&gt;"&amp;$E20,安値!$E$3:$IT$3,"&lt;="&amp;$AE20,OFFSET(安値!$E$6:$IT$6,MATCH(TEXT($B20,"0"),TEXT(銘柄管理!$B$6:$B$305,"0"),0)-1,0),"&lt;="&amp;$N20)),""))</f>
        <v>46233</v>
      </c>
      <c r="AH20" s="601" t="str">
        <f>IF(OR($B20="",$M20=""),"",IF(AND(N($AF20)=0,N($AG20)=0),IF(AND(ISNUMBER($H20),$H20&gt;0,IF($C20="売",$H20&gt;=$N20,$H20&lt;=$N20)),"損切確定",IF(AND(ISNUMBER($H20),$H20&gt;0,IF($C20="売",$H20&lt;=$M20,$H20&gt;=$M20)),"利益確定",IF($AE20&lt;=TODAY(),"日数制限","保有中"))),IF(N($AG20)=0,"利益確定",IF(N($AF20)=0,"損切確定",IF($AG20&lt;=$AF20,"損切確定","利益確定")))))</f>
        <v>損切確定</v>
      </c>
      <c r="AI20" s="601" t="str" cm="1">
        <f t="array" ref="AI20">IFERROR(INDEX(始値!$E$6:$IT$305,MATCH(TEXT($B20,"0"),TEXT(銘柄管理!$B$6:$B$305,"0"),0),MATCH($AE20,始値!$E$3:$IT$3,0)),"")</f>
        <v/>
      </c>
      <c r="AJ20" s="905">
        <f>IF(OR($V20="",$F20="",$G20=""),"",$V20/($F20*$G20))</f>
        <v>-3.9963503649635038E-2</v>
      </c>
      <c r="AK20" s="629" t="str">
        <f>IF($V20="","",IF($V20&gt;0,"○勝",IF($V20&lt;0,"●負","△引分")))</f>
        <v>●負</v>
      </c>
      <c r="AL20" s="613" t="str">
        <f>IF($AM20="","","厳選TOP2売")</f>
        <v>厳選TOP2売</v>
      </c>
      <c r="AM20" s="615">
        <f>IF(厳選TOP2!$B27="","",厳選TOP2!$B27)</f>
        <v>6479</v>
      </c>
      <c r="AN20" s="613" t="str">
        <f>IF($AM20="","",厳選TOP2!$C27)</f>
        <v>ミネベアミツミ</v>
      </c>
      <c r="AO20" s="615" t="str">
        <f>IF($AM20="","","売")</f>
        <v>売</v>
      </c>
      <c r="AP20" s="615">
        <f>IF($AM20="","",厳選TOP2!$E27)</f>
        <v>15</v>
      </c>
      <c r="AQ20" s="615"/>
      <c r="AR20" s="613" t="str">
        <f>IF($AM20="","",厳選TOP2!$H27&amp;" RSI"&amp;TEXT(厳選TOP2!$G27,"0.0")&amp;" 出来高"&amp;TEXT(厳選TOP2!$F27,"0.00")&amp;"倍")</f>
        <v>下降トレンド▼ RSI47.2 出来高1.53倍</v>
      </c>
      <c r="AS20" s="613" t="str">
        <f>IF($AM20="","",IF(COUNTIFS($B:$B,$AM20,$E:$E,$AM$11)&gt;0,"✅追記済","→未追記"))</f>
        <v>✅追記済</v>
      </c>
      <c r="BB20" s="600" t="str">
        <f>IF(N(買抽出v13!$C20)=0,"",N(買抽出v13!$Q20)+N(買抽出v13!$L20)/1000-ROW()/1000000)</f>
        <v/>
      </c>
      <c r="BC20" s="600" t="str">
        <f>IF(N(売抽出v13!$C20)=0,"",N(売抽出v13!$Q20)+IFERROR(VALUE(SUBSTITUTE(売抽出v13!$L20,"倍","")),0)/1000-ROW()/1000000)</f>
        <v/>
      </c>
    </row>
    <row r="21" spans="1:55" ht="35.4" customHeight="1">
      <c r="A21" s="619" t="str">
        <f>IF(B21="","",HYPERLINK("https://kabutan.jp/stock/?code="&amp;B21,"株探"))</f>
        <v>株探</v>
      </c>
      <c r="B21" s="481">
        <v>7375</v>
      </c>
      <c r="C21" s="482" t="s">
        <v>999</v>
      </c>
      <c r="D21" s="483" t="str" cm="1">
        <f t="array" ref="D21">_xll.RssMarket(B21, "銘柄名称")</f>
        <v>リファインバースグループ</v>
      </c>
      <c r="E21" s="715">
        <v>46232</v>
      </c>
      <c r="F21" s="698" t="str" cm="1">
        <f t="array" aca="1" ref="F21" ca="1">IFERROR(_xlfn.LET(_xlpm.r,MATCH(TEXT($B21,"0"),TEXT(銘柄管理!$B$6:$B$305,"0"),0),_xlpm.t,MOD(NOW(),1),_xlpm.c,IF($E21=TODAY(),IF(_xlpm.t&gt;=TIME(15,30,0),NA(),1),IF(MATCH($E21,始値!$E$3:$IT$3,0)=1,1,MATCH($E21,始値!$E$3:$IT$3,0)+1)),_xlpm.v,INDEX(始値!$C$6:$IT$305,_xlpm.r,_xlpm.c),IF(N(_xlpm.v)=0,"",_xlpm.v)),"")</f>
        <v/>
      </c>
      <c r="G21" s="484">
        <v>100</v>
      </c>
      <c r="H21" s="485" cm="1">
        <f t="array" ref="H21">_xll.RssMarket(B21, "現在値")</f>
        <v>1123</v>
      </c>
      <c r="I21" s="485" cm="1">
        <f t="array" ref="I21">_xll.RssMarket(B21, "出来高加重平均")</f>
        <v>1132.8494000000001</v>
      </c>
      <c r="J21" s="700" cm="1">
        <f t="array" ref="J21">_xll.RssMarket($B21, "前日比")</f>
        <v>-45</v>
      </c>
      <c r="K21" s="700" t="str">
        <f>IF(OR(F21="",G21="",H21=""),"",IF(C21="売",(F21-H21)*G21,(H21-F21)*G21))</f>
        <v/>
      </c>
      <c r="L21" s="705" t="str">
        <f>IF(OR(F21="",H21=""),"",IF(C21="売",(F21-H21)/F21,(H21-F21)/F21))</f>
        <v/>
      </c>
      <c r="M21" s="485" t="str">
        <f>IF($F21="","",$F21*IF($C21="売",1-V811設定!$B$4,1+V811設定!$B$4)-MOD($F21*IF($C21="売",1-V811設定!$B$4,1+V811設定!$B$4),IF($F21&lt;=3000,1,IF($F21&lt;=5000,5,IF($F21&lt;=30000,10,IF($F21&lt;=50000,50,IF($F21&lt;=300000,100,500))))))+IF(AND($C21="売",MOD($F21*IF($C21="売",1-V811設定!$B$4,1+V811設定!$B$4),IF($F21&lt;=3000,1,IF($F21&lt;=5000,5,IF($F21&lt;=30000,10,IF($F21&lt;=50000,50,IF($F21&lt;=300000,100,500))))))&gt;0),IF($F21&lt;=3000,1,IF($F21&lt;=5000,5,IF($F21&lt;=30000,10,IF($F21&lt;=50000,50,IF($F21&lt;=300000,100,500))))),0))</f>
      </c>
      <c r="N21" s="485" t="str">
        <f>IF($F21="","",$F21*IF($C21="売",1+V811設定!$B$3,1-V811設定!$B$3)-MOD($F21*IF($C21="売",1+V811設定!$B$3,1-V811設定!$B$3),IF($F21&lt;=3000,1,IF($F21&lt;=5000,5,IF($F21&lt;=30000,10,IF($F21&lt;=50000,50,IF($F21&lt;=300000,100,500))))))+IF(AND($C21="売",MOD($F21*IF($C21="売",1+V811設定!$B$3,1-V811設定!$B$3),IF($F21&lt;=3000,1,IF($F21&lt;=5000,5,IF($F21&lt;=30000,10,IF($F21&lt;=50000,50,IF($F21&lt;=300000,100,500))))))&gt;0),IF($F21&lt;=3000,1,IF($F21&lt;=5000,5,IF($F21&lt;=30000,10,IF($F21&lt;=50000,50,IF($F21&lt;=300000,100,500))))),0))</f>
      </c>
      <c r="O21" s="486" t="str">
        <f>IF(OR($B21="",$F21="",$H21=""),"",IF($S21="✅売却済","―決済済―",IF($C21="売",IF($H21&lt;=$M21,"🟢利確",IF(AND($R21&lt;&gt;"",$H21&gt;=$R21),"🟠TRAIL",IF($H21&gt;=$N21,"🔴損切",IF($W21&gt;=V811設定!$B$6,"⏱時間決済",IF($H21&gt;=$F21*(1+V811設定!$B$3*0.7),"⚠️損切接近","保持継続"))))),IF($H21&gt;=$M21,"🟢利確",IF(AND($R21&lt;&gt;"",$H21&lt;=$R21),"🟠TRAIL",IF($H21&lt;=$N21,"🔴損切",IF($W21&gt;=V811設定!$B$6,"⏱時間決済",IF($H21&lt;=$F21*(1-V811設定!$B$3*0.7),"⚠️損切接近","保持継続"))))))))</f>
      </c>
      <c r="P21" s="485">
        <f ca="1">IF(B21="","",IFERROR(MAX(OFFSET(高値!$E$6,IFERROR(MATCH(B21,銘柄管理!$B$6:$B$305,0),MATCH(TEXT(B21,"0"),銘柄管理!$B$6:$B$305,0))-1,0,1,10)),""))</f>
        <v>1170</v>
      </c>
      <c r="Q21" s="485">
        <f ca="1">IF(B21="","",IFERROR(MIN(OFFSET(安値!$E$6,IFERROR(MATCH(B21,銘柄管理!$B$6:$B$305,0),MATCH(TEXT(B21,"0"),銘柄管理!$B$6:$B$305,0))-1,0,1,10)),""))</f>
        <v>1123</v>
      </c>
      <c r="R21" s="485">
        <f>IF(OR($F21="",$H21="",$N21=""),"",IF($S21="✅売却済","",IF($C21="売",IF($H21&gt;$F21*(1-V811設定!$B$3),$N21,MIN($N21,IF($Q21="",$N21,$Q21*1.03))),IF($H21&lt;$F21*(1+V811設定!$B$3),$N21,MAX($N21,IF($P21="",$N21,$P21*0.97))))))</f>
      </c>
      <c r="S21" s="585" t="str">
        <f>IF(B21="","",IF(T21&lt;&gt;"","✅売却済",IF(OR(H21="",L21=""),"📌保有中",IF(L21&gt;=0.06,"🟢利確推奨",IF(L21&gt;=0.05,"🟡利確直近",IF(L21&gt;=0.045,"🔵トレーリング検討",IF(L21&gt;-0.03,"📌保有中",IF(L21&gt;-0.04,"⚠️損切注意","🔴損切り"))))))))</f>
        <v>📌保有中</v>
      </c>
      <c r="T21" s="593"/>
      <c r="U21" s="485"/>
      <c r="V21" s="700" t="str">
        <f>IF(OR(F21="",G21="",U21=""),"",IF(C21="売",(F21-U21)*G21,(U21-F21)*G21))</f>
        <v/>
      </c>
      <c r="W21" s="487">
        <f>IF(OR($E21="",$B21=""),"",IF($T21&lt;&gt;"",$T21-$E21,TODAY()-$E21)+1)</f>
        <v>9</v>
      </c>
      <c r="X21" s="484" t="str">
        <f>IF(OR($AH21="",$AH21="保有中"),"",$AH21)</f>
        <v/>
      </c>
      <c r="Y21" s="488"/>
      <c r="Z21" s="710">
        <v>19</v>
      </c>
      <c r="AA21" s="600" t="s">
        <v>1352</v>
      </c>
      <c r="AD21" s="616" t="s">
        <v>1323</v>
      </c>
      <c r="AE21" s="625">
        <f>IF($E21="","",WORKDAY($E21,12))</f>
        <v>46248</v>
      </c>
      <c r="AF21" s="627" t="str" cm="1">
        <f t="array" aca="1" ref="AF21" ca="1">IF(OR($B21="",$M21=""),"",IFERROR(IF($C21="売",_xlfn.MINIFS(安値!$E$3:$IT$3,安値!$E$3:$IT$3,"&gt;"&amp;$E21,安値!$E$3:$IT$3,"&lt;="&amp;$AE21,OFFSET(安値!$E$6:$IT$6,MATCH(TEXT($B21,"0"),TEXT(銘柄管理!$B$6:$B$305,"0"),0)-1,0),"&lt;="&amp;$M21),_xlfn.MINIFS(高値!$E$3:$IT$3,高値!$E$3:$IT$3,"&gt;"&amp;$E21,高値!$E$3:$IT$3,"&lt;="&amp;$AE21,OFFSET(高値!$E$6:$IT$6,MATCH(TEXT($B21,"0"),TEXT(銘柄管理!$B$6:$B$305,"0"),0)-1,0),"&gt;="&amp;$M21)),""))</f>
        <v/>
      </c>
      <c r="AG21" s="627" t="str" cm="1">
        <f t="array" aca="1" ref="AG21" ca="1">IF(OR($B21="",$N21=""),"",IFERROR(IF($C21="売",_xlfn.MINIFS(高値!$E$3:$IT$3,高値!$E$3:$IT$3,"&gt;"&amp;$E21,高値!$E$3:$IT$3,"&lt;="&amp;$AE21,OFFSET(高値!$E$6:$IT$6,MATCH(TEXT($B21,"0"),TEXT(銘柄管理!$B$6:$B$305,"0"),0)-1,0),"&gt;="&amp;$N21),_xlfn.MINIFS(安値!$E$3:$IT$3,安値!$E$3:$IT$3,"&gt;"&amp;$E21,安値!$E$3:$IT$3,"&lt;="&amp;$AE21,OFFSET(安値!$E$6:$IT$6,MATCH(TEXT($B21,"0"),TEXT(銘柄管理!$B$6:$B$305,"0"),0)-1,0),"&lt;="&amp;$N21)),""))</f>
        <v/>
      </c>
      <c r="AH21" s="601" t="str">
        <f>IF(OR($B21="",$M21=""),"",IF(AND(N($AF21)=0,N($AG21)=0),IF(AND(ISNUMBER($H21),$H21&gt;0,IF($C21="売",$H21&gt;=$N21,$H21&lt;=$N21)),"損切確定",IF(AND(ISNUMBER($H21),$H21&gt;0,IF($C21="売",$H21&lt;=$M21,$H21&gt;=$M21)),"利益確定",IF($AE21&lt;=TODAY(),"日数制限","保有中"))),IF(N($AG21)=0,"利益確定",IF(N($AF21)=0,"損切確定",IF($AG21&lt;=$AF21,"損切確定","利益確定")))))</f>
        <v/>
      </c>
      <c r="AI21" s="601" t="str" cm="1">
        <f t="array" ref="AI21">IFERROR(INDEX(始値!$E$6:$IT$305,MATCH(TEXT($B21,"0"),TEXT(銘柄管理!$B$6:$B$305,"0"),0),MATCH($AE21,始値!$E$3:$IT$3,0)),"")</f>
        <v/>
      </c>
      <c r="AJ21" s="905" t="str">
        <f>IF(OR($V21="",$F21="",$G21=""),"",$V21/($F21*$G21))</f>
        <v/>
      </c>
      <c r="AK21" s="629" t="str">
        <f>IF($V21="","",IF($V21&gt;0,"○勝",IF($V21&lt;0,"●負","△引分")))</f>
        <v/>
      </c>
      <c r="AL21" s="613" t="str">
        <f>IF($AM21="","","v13買")</f>
        <v>v13買</v>
      </c>
      <c r="AM21" s="615">
        <f>IFERROR(INDEX(買抽出v13!$C$4:$C$60,MATCH(LARGE($BB$4:$BB$60,ROWS($AM$21:$AM21)),$BB$4:$BB$60,0)),"")</f>
        <v>3402</v>
      </c>
      <c r="AN21" s="613" t="str">
        <f>IF($AM21="","",INDEX(買抽出v13!$D$4:$D$60,MATCH(LARGE($BB$4:$BB$60,ROWS($AM$21:$AM21)),$BB$4:$BB$60,0)))</f>
        <v>東レ</v>
      </c>
      <c r="AO21" s="615" t="str">
        <f>IF($AM21="","","買")</f>
        <v>買</v>
      </c>
      <c r="AP21" s="615">
        <f>IF($AM21="","",INDEX(買抽出v13!$Q$4:$Q$60,MATCH(LARGE($BB$4:$BB$60,ROWS($AM$21:$AM21)),$BB$4:$BB$60,0)))</f>
        <v>18</v>
      </c>
      <c r="AQ21" s="615"/>
      <c r="AR21" s="613" t="str">
        <f>IF($AM21="","",INDEX(買抽出v13!$J$4:$J$60,MATCH(LARGE($BB$4:$BB$60,ROWS($AM$21:$AM21)),$BB$4:$BB$60,0))&amp;" RSI"&amp;TEXT(INDEX(買抽出v13!$I$4:$I$60,MATCH(LARGE($BB$4:$BB$60,ROWS($AM$21:$AM21)),$BB$4:$BB$60,0)),"0.0")&amp;" 出来高"&amp;TEXT(INDEX(買抽出v13!$L$4:$L$60,MATCH(LARGE($BB$4:$BB$60,ROWS($AM$21:$AM21)),$BB$4:$BB$60,0)),"0.00")&amp;"倍")</f>
        <v>もみ合い→ RSI53.4 出来高2.40倍</v>
      </c>
      <c r="AS21" s="613" t="str">
        <f>IF($AM21="","",IF(COUNTIFS($B:$B,$AM21,$E:$E,$AM$11)&gt;0,"✅追記済","→未追記"))</f>
        <v>✅追記済</v>
      </c>
      <c r="BB21" s="600" t="str">
        <f>IF(N(買抽出v13!$C21)=0,"",N(買抽出v13!$Q21)+N(買抽出v13!$L21)/1000-ROW()/1000000)</f>
        <v/>
      </c>
      <c r="BC21" s="600" t="str">
        <f>IF(N(売抽出v13!$C21)=0,"",N(売抽出v13!$Q21)+IFERROR(VALUE(SUBSTITUTE(売抽出v13!$L21,"倍","")),0)/1000-ROW()/1000000)</f>
        <v/>
      </c>
    </row>
    <row r="22" spans="1:55" ht="35.4" customHeight="1">
      <c r="A22" s="619" t="str">
        <f>IF(B22="","",HYPERLINK("https://kabutan.jp/stock/?code="&amp;B22,"株探"))</f>
        <v>株探</v>
      </c>
      <c r="B22" s="481">
        <v>3397</v>
      </c>
      <c r="C22" s="482" t="s">
        <v>998</v>
      </c>
      <c r="D22" s="483" t="str" cm="1">
        <f t="array" ref="D22">_xll.RssMarket(B22, "銘柄名称")</f>
        <v>トリドールホールディングス</v>
      </c>
      <c r="E22" s="715">
        <v>46232</v>
      </c>
      <c r="F22" s="698" cm="1">
        <f t="array" aca="1" ref="F22" ca="1">IFERROR(_xlfn.LET(_xlpm.r,MATCH(TEXT($B22,"0"),TEXT(銘柄管理!$B$6:$B$305,"0"),0),_xlpm.t,MOD(NOW(),1),_xlpm.c,IF($E22=TODAY(),IF(_xlpm.t&gt;=TIME(15,30,0),NA(),1),IF(MATCH($E22,始値!$E$3:$IT$3,0)=1,1,MATCH($E22,始値!$E$3:$IT$3,0)+1)),_xlpm.v,INDEX(始値!$C$6:$IT$305,_xlpm.r,_xlpm.c),IF(N(_xlpm.v)=0,"",_xlpm.v)),"")</f>
        <v>4620</v>
      </c>
      <c r="G22" s="484">
        <v>100</v>
      </c>
      <c r="H22" s="485" cm="1">
        <f t="array" ref="H22">_xll.RssMarket(B22, "現在値")</f>
        <v>4187</v>
      </c>
      <c r="I22" s="485" cm="1">
        <f t="array" ref="I22">_xll.RssMarket(B22, "出来高加重平均")</f>
        <v>4169.0524999999998</v>
      </c>
      <c r="J22" s="700" cm="1">
        <f t="array" ref="J22">_xll.RssMarket($B22, "前日比")</f>
        <v>57</v>
      </c>
      <c r="K22" s="700">
        <f>IF(OR(F22="",G22="",H22=""),"",IF(C22="売",(F22-H22)*G22,(H22-F22)*G22))</f>
        <v>-43300</v>
      </c>
      <c r="L22" s="705">
        <f>IF(OR(F22="",H22=""),"",IF(C22="売",(F22-H22)/F22,(H22-F22)/F22))</f>
        <v>-9.3722943722943722E-2</v>
      </c>
      <c r="M22" s="485">
        <f>IF($F22="","",$F22*IF($C22="売",1-V811設定!$B$4,1+V811設定!$B$4)-MOD($F22*IF($C22="売",1-V811設定!$B$4,1+V811設定!$B$4),IF($F22&lt;=3000,1,IF($F22&lt;=5000,5,IF($F22&lt;=30000,10,IF($F22&lt;=50000,50,IF($F22&lt;=300000,100,500))))))+IF(AND($C22="売",MOD($F22*IF($C22="売",1-V811設定!$B$4,1+V811設定!$B$4),IF($F22&lt;=3000,1,IF($F22&lt;=5000,5,IF($F22&lt;=30000,10,IF($F22&lt;=50000,50,IF($F22&lt;=300000,100,500))))))&gt;0),IF($F22&lt;=3000,1,IF($F22&lt;=5000,5,IF($F22&lt;=30000,10,IF($F22&lt;=50000,50,IF($F22&lt;=300000,100,500))))),0))</f>
      </c>
      <c r="N22" s="485">
        <f>IF($F22="","",$F22*IF($C22="売",1+V811設定!$B$3,1-V811設定!$B$3)-MOD($F22*IF($C22="売",1+V811設定!$B$3,1-V811設定!$B$3),IF($F22&lt;=3000,1,IF($F22&lt;=5000,5,IF($F22&lt;=30000,10,IF($F22&lt;=50000,50,IF($F22&lt;=300000,100,500))))))+IF(AND($C22="売",MOD($F22*IF($C22="売",1+V811設定!$B$3,1-V811設定!$B$3),IF($F22&lt;=3000,1,IF($F22&lt;=5000,5,IF($F22&lt;=30000,10,IF($F22&lt;=50000,50,IF($F22&lt;=300000,100,500))))))&gt;0),IF($F22&lt;=3000,1,IF($F22&lt;=5000,5,IF($F22&lt;=30000,10,IF($F22&lt;=50000,50,IF($F22&lt;=300000,100,500))))),0))</f>
      </c>
      <c r="O22" s="486" t="str">
        <f>IF(OR($B22="",$F22="",$H22=""),"",IF($S22="✅売却済","―決済済―",IF($C22="売",IF($H22&lt;=$M22,"🟢利確",IF(AND($R22&lt;&gt;"",$H22&gt;=$R22),"🟠TRAIL",IF($H22&gt;=$N22,"🔴損切",IF($W22&gt;=V811設定!$B$6,"⏱時間決済",IF($H22&gt;=$F22*(1+V811設定!$B$3*0.7),"⚠️損切接近","保持継続"))))),IF($H22&gt;=$M22,"🟢利確",IF(AND($R22&lt;&gt;"",$H22&lt;=$R22),"🟠TRAIL",IF($H22&lt;=$N22,"🔴損切",IF($W22&gt;=V811設定!$B$6,"⏱時間決済",IF($H22&lt;=$F22*(1-V811設定!$B$3*0.7),"⚠️損切接近","保持継続"))))))))</f>
      </c>
      <c r="P22" s="485">
        <f ca="1">IF(B22="","",IFERROR(MAX(OFFSET(高値!$E$6,IFERROR(MATCH(B22,銘柄管理!$B$6:$B$305,0),MATCH(TEXT(B22,"0"),銘柄管理!$B$6:$B$305,0))-1,0,1,10)),""))</f>
        <v>4660</v>
      </c>
      <c r="Q22" s="485">
        <f ca="1">IF(B22="","",IFERROR(MIN(OFFSET(安値!$E$6,IFERROR(MATCH(B22,銘柄管理!$B$6:$B$305,0),MATCH(TEXT(B22,"0"),銘柄管理!$B$6:$B$305,0))-1,0,1,10)),""))</f>
        <v>4009</v>
      </c>
      <c r="R22" s="485">
        <f>IF(OR($F22="",$H22="",$N22=""),"",IF($S22="✅売却済","",IF($C22="売",IF($H22&gt;$F22*(1-V811設定!$B$3),$N22,MIN($N22,IF($Q22="",$N22,$Q22*1.03))),IF($H22&lt;$F22*(1+V811設定!$B$3),$N22,MAX($N22,IF($P22="",$N22,$P22*0.97))))))</f>
      </c>
      <c r="S22" s="585" t="str">
        <f>IF(B22="","",IF(T22&lt;&gt;"","✅売却済",IF(OR(H22="",L22=""),"📌保有中",IF(L22&gt;=0.06,"🟢利確推奨",IF(L22&gt;=0.05,"🟡利確直近",IF(L22&gt;=0.045,"🔵トレーリング検討",IF(L22&gt;-0.03,"📌保有中",IF(L22&gt;-0.04,"⚠️損切注意","🔴損切り"))))))))</f>
        <v>✅売却済</v>
      </c>
      <c r="T22" s="593">
        <v>46234</v>
      </c>
      <c r="U22" s="485">
        <v>4435</v>
      </c>
      <c r="V22" s="700">
        <f>IF(OR(F22="",G22="",U22=""),"",IF(C22="売",(F22-U22)*G22,(U22-F22)*G22))</f>
        <v>-18500</v>
      </c>
      <c r="W22" s="487">
        <f>IF(OR($E22="",$B22=""),"",IF($T22&lt;&gt;"",$T22-$E22,TODAY()-$E22)+1)</f>
        <v>3</v>
      </c>
      <c r="X22" s="484" t="str">
        <f>IF(OR($AH22="",$AH22="保有中"),"",$AH22)</f>
        <v>損切確定</v>
      </c>
      <c r="Y22" s="488"/>
      <c r="Z22" s="710">
        <v>21</v>
      </c>
      <c r="AA22" s="600" t="s">
        <v>1353</v>
      </c>
      <c r="AD22" s="616" t="s">
        <v>1324</v>
      </c>
      <c r="AE22" s="625">
        <f>IF($E22="","",WORKDAY($E22,12))</f>
        <v>46248</v>
      </c>
      <c r="AF22" s="627" cm="1">
        <f t="array" aca="1" ref="AF22" ca="1">IF(OR($B22="",$M22=""),"",IFERROR(IF($C22="売",_xlfn.MINIFS(安値!$E$3:$IT$3,安値!$E$3:$IT$3,"&gt;"&amp;$E22,安値!$E$3:$IT$3,"&lt;="&amp;$AE22,OFFSET(安値!$E$6:$IT$6,MATCH(TEXT($B22,"0"),TEXT(銘柄管理!$B$6:$B$305,"0"),0)-1,0),"&lt;="&amp;$M22),_xlfn.MINIFS(高値!$E$3:$IT$3,高値!$E$3:$IT$3,"&gt;"&amp;$E22,高値!$E$3:$IT$3,"&lt;="&amp;$AE22,OFFSET(高値!$E$6:$IT$6,MATCH(TEXT($B22,"0"),TEXT(銘柄管理!$B$6:$B$305,"0"),0)-1,0),"&gt;="&amp;$M22)),""))</f>
        <v>0</v>
      </c>
      <c r="AG22" s="627" cm="1">
        <f t="array" aca="1" ref="AG22" ca="1">IF(OR($B22="",$N22=""),"",IFERROR(IF($C22="売",_xlfn.MINIFS(高値!$E$3:$IT$3,高値!$E$3:$IT$3,"&gt;"&amp;$E22,高値!$E$3:$IT$3,"&lt;="&amp;$AE22,OFFSET(高値!$E$6:$IT$6,MATCH(TEXT($B22,"0"),TEXT(銘柄管理!$B$6:$B$305,"0"),0)-1,0),"&gt;="&amp;$N22),_xlfn.MINIFS(安値!$E$3:$IT$3,安値!$E$3:$IT$3,"&gt;"&amp;$E22,安値!$E$3:$IT$3,"&lt;="&amp;$AE22,OFFSET(安値!$E$6:$IT$6,MATCH(TEXT($B22,"0"),TEXT(銘柄管理!$B$6:$B$305,"0"),0)-1,0),"&lt;="&amp;$N22)),""))</f>
        <v>46234</v>
      </c>
      <c r="AH22" s="601" t="str">
        <f>IF(OR($B22="",$M22=""),"",IF(AND(N($AF22)=0,N($AG22)=0),IF(AND(ISNUMBER($H22),$H22&gt;0,IF($C22="売",$H22&gt;=$N22,$H22&lt;=$N22)),"損切確定",IF(AND(ISNUMBER($H22),$H22&gt;0,IF($C22="売",$H22&lt;=$M22,$H22&gt;=$M22)),"利益確定",IF($AE22&lt;=TODAY(),"日数制限","保有中"))),IF(N($AG22)=0,"利益確定",IF(N($AF22)=0,"損切確定",IF($AG22&lt;=$AF22,"損切確定","利益確定")))))</f>
        <v>損切確定</v>
      </c>
      <c r="AI22" s="601" t="str" cm="1">
        <f t="array" ref="AI22">IFERROR(INDEX(始値!$E$6:$IT$305,MATCH(TEXT($B22,"0"),TEXT(銘柄管理!$B$6:$B$305,"0"),0),MATCH($AE22,始値!$E$3:$IT$3,0)),"")</f>
        <v/>
      </c>
      <c r="AJ22" s="905">
        <f>IF(OR($V22="",$F22="",$G22=""),"",$V22/($F22*$G22))</f>
        <v>-4.004329004329004E-2</v>
      </c>
      <c r="AK22" s="629" t="str">
        <f>IF($V22="","",IF($V22&gt;0,"○勝",IF($V22&lt;0,"●負","△引分")))</f>
        <v>●負</v>
      </c>
      <c r="AL22" s="613" t="str">
        <f>IF($AM22="","","v13買")</f>
        <v>v13買</v>
      </c>
      <c r="AM22" s="615">
        <f>IFERROR(INDEX(買抽出v13!$C$4:$C$60,MATCH(LARGE($BB$4:$BB$60,ROWS($AM$21:$AM22)),$BB$4:$BB$60,0)),"")</f>
        <v>5233</v>
      </c>
      <c r="AN22" s="613" t="str">
        <f>IF($AM22="","",INDEX(買抽出v13!$D$4:$D$60,MATCH(LARGE($BB$4:$BB$60,ROWS($AM$21:$AM22)),$BB$4:$BB$60,0)))</f>
        <v>太平洋セメント</v>
      </c>
      <c r="AO22" s="615" t="str">
        <f>IF($AM22="","","買")</f>
        <v>買</v>
      </c>
      <c r="AP22" s="615">
        <f>IF($AM22="","",INDEX(買抽出v13!$Q$4:$Q$60,MATCH(LARGE($BB$4:$BB$60,ROWS($AM$21:$AM22)),$BB$4:$BB$60,0)))</f>
        <v>17</v>
      </c>
      <c r="AQ22" s="615"/>
      <c r="AR22" s="613" t="str">
        <f>IF($AM22="","",INDEX(買抽出v13!$J$4:$J$60,MATCH(LARGE($BB$4:$BB$60,ROWS($AM$21:$AM22)),$BB$4:$BB$60,0))&amp;" RSI"&amp;TEXT(INDEX(買抽出v13!$I$4:$I$60,MATCH(LARGE($BB$4:$BB$60,ROWS($AM$21:$AM22)),$BB$4:$BB$60,0)),"0.0")&amp;" 出来高"&amp;TEXT(INDEX(買抽出v13!$L$4:$L$60,MATCH(LARGE($BB$4:$BB$60,ROWS($AM$21:$AM22)),$BB$4:$BB$60,0)),"0.00")&amp;"倍")</f>
        <v>パーフェクト▲ RSI55.7 出来高1.60倍</v>
      </c>
      <c r="AS22" s="613" t="str">
        <f>IF($AM22="","",IF(COUNTIFS($B:$B,$AM22,$E:$E,$AM$11)&gt;0,"✅追記済","→未追記"))</f>
        <v>✅追記済</v>
      </c>
      <c r="BB22" s="600" t="str">
        <f>IF(N(買抽出v13!$C22)=0,"",N(買抽出v13!$Q22)+N(買抽出v13!$L22)/1000-ROW()/1000000)</f>
        <v/>
      </c>
      <c r="BC22" s="600" t="str">
        <f>IF(N(売抽出v13!$C22)=0,"",N(売抽出v13!$Q22)+IFERROR(VALUE(SUBSTITUTE(売抽出v13!$L22,"倍","")),0)/1000-ROW()/1000000)</f>
        <v/>
      </c>
    </row>
    <row r="23" spans="1:55" ht="35.4" customHeight="1">
      <c r="A23" s="619" t="str">
        <f>IF(B23="","",HYPERLINK("https://kabutan.jp/stock/?code="&amp;B23,"株探"))</f>
        <v>株探</v>
      </c>
      <c r="B23" s="481">
        <v>7981</v>
      </c>
      <c r="C23" s="482" t="s">
        <v>998</v>
      </c>
      <c r="D23" s="483" t="str" cm="1">
        <f t="array" ref="D23">_xll.RssMarket(B23, "銘柄名称")</f>
        <v>タカラスタンダ－ド</v>
      </c>
      <c r="E23" s="715">
        <v>46232</v>
      </c>
      <c r="F23" s="698" cm="1">
        <f t="array" aca="1" ref="F23" ca="1">IFERROR(_xlfn.LET(_xlpm.r,MATCH(TEXT($B23,"0"),TEXT(銘柄管理!$B$6:$B$305,"0"),0),_xlpm.t,MOD(NOW(),1),_xlpm.c,IF($E23=TODAY(),IF(_xlpm.t&gt;=TIME(15,30,0),NA(),1),IF(MATCH($E23,始値!$E$3:$IT$3,0)=1,1,MATCH($E23,始値!$E$3:$IT$3,0)+1)),_xlpm.v,INDEX(始値!$C$6:$IT$305,_xlpm.r,_xlpm.c),IF(N(_xlpm.v)=0,"",_xlpm.v)),"")</f>
        <v>3290</v>
      </c>
      <c r="G23" s="484">
        <v>100</v>
      </c>
      <c r="H23" s="485" cm="1">
        <f t="array" ref="H23">_xll.RssMarket(B23, "現在値")</f>
        <v>3055</v>
      </c>
      <c r="I23" s="485" cm="1">
        <f t="array" ref="I23">_xll.RssMarket(B23, "出来高加重平均")</f>
        <v>3039.5142000000001</v>
      </c>
      <c r="J23" s="700" cm="1">
        <f t="array" ref="J23">_xll.RssMarket($B23, "前日比")</f>
        <v>50</v>
      </c>
      <c r="K23" s="700">
        <f>IF(OR(F23="",G23="",H23=""),"",IF(C23="売",(F23-H23)*G23,(H23-F23)*G23))</f>
        <v>-23500</v>
      </c>
      <c r="L23" s="705">
        <f>IF(OR(F23="",H23=""),"",IF(C23="売",(F23-H23)/F23,(H23-F23)/F23))</f>
        <v>-7.1428571428571425E-2</v>
      </c>
      <c r="M23" s="485">
        <f>IF($F23="","",$F23*IF($C23="売",1-V811設定!$B$4,1+V811設定!$B$4)-MOD($F23*IF($C23="売",1-V811設定!$B$4,1+V811設定!$B$4),IF($F23&lt;=3000,1,IF($F23&lt;=5000,5,IF($F23&lt;=30000,10,IF($F23&lt;=50000,50,IF($F23&lt;=300000,100,500))))))+IF(AND($C23="売",MOD($F23*IF($C23="売",1-V811設定!$B$4,1+V811設定!$B$4),IF($F23&lt;=3000,1,IF($F23&lt;=5000,5,IF($F23&lt;=30000,10,IF($F23&lt;=50000,50,IF($F23&lt;=300000,100,500))))))&gt;0),IF($F23&lt;=3000,1,IF($F23&lt;=5000,5,IF($F23&lt;=30000,10,IF($F23&lt;=50000,50,IF($F23&lt;=300000,100,500))))),0))</f>
      </c>
      <c r="N23" s="485">
        <f>IF($F23="","",$F23*IF($C23="売",1+V811設定!$B$3,1-V811設定!$B$3)-MOD($F23*IF($C23="売",1+V811設定!$B$3,1-V811設定!$B$3),IF($F23&lt;=3000,1,IF($F23&lt;=5000,5,IF($F23&lt;=30000,10,IF($F23&lt;=50000,50,IF($F23&lt;=300000,100,500))))))+IF(AND($C23="売",MOD($F23*IF($C23="売",1+V811設定!$B$3,1-V811設定!$B$3),IF($F23&lt;=3000,1,IF($F23&lt;=5000,5,IF($F23&lt;=30000,10,IF($F23&lt;=50000,50,IF($F23&lt;=300000,100,500))))))&gt;0),IF($F23&lt;=3000,1,IF($F23&lt;=5000,5,IF($F23&lt;=30000,10,IF($F23&lt;=50000,50,IF($F23&lt;=300000,100,500))))),0))</f>
      </c>
      <c r="O23" s="486" t="str">
        <f>IF(OR($B23="",$F23="",$H23=""),"",IF($S23="✅売却済","―決済済―",IF($C23="売",IF($H23&lt;=$M23,"🟢利確",IF(AND($R23&lt;&gt;"",$H23&gt;=$R23),"🟠TRAIL",IF($H23&gt;=$N23,"🔴損切",IF($W23&gt;=V811設定!$B$6,"⏱時間決済",IF($H23&gt;=$F23*(1+V811設定!$B$3*0.7),"⚠️損切接近","保持継続"))))),IF($H23&gt;=$M23,"🟢利確",IF(AND($R23&lt;&gt;"",$H23&lt;=$R23),"🟠TRAIL",IF($H23&lt;=$N23,"🔴損切",IF($W23&gt;=V811設定!$B$6,"⏱時間決済",IF($H23&lt;=$F23*(1-V811設定!$B$3*0.7),"⚠️損切接近","保持継続"))))))))</f>
      </c>
      <c r="P23" s="485">
        <f ca="1">IF(B23="","",IFERROR(MAX(OFFSET(高値!$E$6,IFERROR(MATCH(B23,銘柄管理!$B$6:$B$305,0),MATCH(TEXT(B23,"0"),銘柄管理!$B$6:$B$305,0))-1,0,1,10)),""))</f>
        <v>3330</v>
      </c>
      <c r="Q23" s="485">
        <f ca="1">IF(B23="","",IFERROR(MIN(OFFSET(安値!$E$6,IFERROR(MATCH(B23,銘柄管理!$B$6:$B$305,0),MATCH(TEXT(B23,"0"),銘柄管理!$B$6:$B$305,0))-1,0,1,10)),""))</f>
        <v>2960</v>
      </c>
      <c r="R23" s="485">
        <f>IF(OR($F23="",$H23="",$N23=""),"",IF($S23="✅売却済","",IF($C23="売",IF($H23&gt;$F23*(1-V811設定!$B$3),$N23,MIN($N23,IF($Q23="",$N23,$Q23*1.03))),IF($H23&lt;$F23*(1+V811設定!$B$3),$N23,MAX($N23,IF($P23="",$N23,$P23*0.97))))))</f>
      </c>
      <c r="S23" s="585" t="str">
        <f>IF(B23="","",IF(T23&lt;&gt;"","✅売却済",IF(OR(H23="",L23=""),"📌保有中",IF(L23&gt;=0.06,"🟢利確推奨",IF(L23&gt;=0.05,"🟡利確直近",IF(L23&gt;=0.045,"🔵トレーリング検討",IF(L23&gt;-0.03,"📌保有中",IF(L23&gt;-0.04,"⚠️損切注意","🔴損切り"))))))))</f>
        <v>✅売却済</v>
      </c>
      <c r="T23" s="593">
        <v>46233</v>
      </c>
      <c r="U23" s="485">
        <v>3158</v>
      </c>
      <c r="V23" s="700">
        <f>IF(OR(F23="",G23="",U23=""),"",IF(C23="売",(F23-U23)*G23,(U23-F23)*G23))</f>
        <v>-13200</v>
      </c>
      <c r="W23" s="487">
        <f>IF(OR($E23="",$B23=""),"",IF($T23&lt;&gt;"",$T23-$E23,TODAY()-$E23)+1)</f>
        <v>2</v>
      </c>
      <c r="X23" s="484" t="str">
        <f>IF(OR($AH23="",$AH23="保有中"),"",$AH23)</f>
        <v>損切確定</v>
      </c>
      <c r="Y23" s="488"/>
      <c r="Z23" s="710">
        <v>21</v>
      </c>
      <c r="AA23" s="600" t="s">
        <v>1331</v>
      </c>
      <c r="AD23" s="616" t="s">
        <v>1324</v>
      </c>
      <c r="AE23" s="625">
        <f>IF($E23="","",WORKDAY($E23,12))</f>
        <v>46248</v>
      </c>
      <c r="AF23" s="627" cm="1">
        <f t="array" aca="1" ref="AF23" ca="1">IF(OR($B23="",$M23=""),"",IFERROR(IF($C23="売",_xlfn.MINIFS(安値!$E$3:$IT$3,安値!$E$3:$IT$3,"&gt;"&amp;$E23,安値!$E$3:$IT$3,"&lt;="&amp;$AE23,OFFSET(安値!$E$6:$IT$6,MATCH(TEXT($B23,"0"),TEXT(銘柄管理!$B$6:$B$305,"0"),0)-1,0),"&lt;="&amp;$M23),_xlfn.MINIFS(高値!$E$3:$IT$3,高値!$E$3:$IT$3,"&gt;"&amp;$E23,高値!$E$3:$IT$3,"&lt;="&amp;$AE23,OFFSET(高値!$E$6:$IT$6,MATCH(TEXT($B23,"0"),TEXT(銘柄管理!$B$6:$B$305,"0"),0)-1,0),"&gt;="&amp;$M23)),""))</f>
        <v>0</v>
      </c>
      <c r="AG23" s="627" cm="1">
        <f t="array" aca="1" ref="AG23" ca="1">IF(OR($B23="",$N23=""),"",IFERROR(IF($C23="売",_xlfn.MINIFS(高値!$E$3:$IT$3,高値!$E$3:$IT$3,"&gt;"&amp;$E23,高値!$E$3:$IT$3,"&lt;="&amp;$AE23,OFFSET(高値!$E$6:$IT$6,MATCH(TEXT($B23,"0"),TEXT(銘柄管理!$B$6:$B$305,"0"),0)-1,0),"&gt;="&amp;$N23),_xlfn.MINIFS(安値!$E$3:$IT$3,安値!$E$3:$IT$3,"&gt;"&amp;$E23,安値!$E$3:$IT$3,"&lt;="&amp;$AE23,OFFSET(安値!$E$6:$IT$6,MATCH(TEXT($B23,"0"),TEXT(銘柄管理!$B$6:$B$305,"0"),0)-1,0),"&lt;="&amp;$N23)),""))</f>
        <v>46233</v>
      </c>
      <c r="AH23" s="601" t="str">
        <f>IF(OR($B23="",$M23=""),"",IF(AND(N($AF23)=0,N($AG23)=0),IF(AND(ISNUMBER($H23),$H23&gt;0,IF($C23="売",$H23&gt;=$N23,$H23&lt;=$N23)),"損切確定",IF(AND(ISNUMBER($H23),$H23&gt;0,IF($C23="売",$H23&lt;=$M23,$H23&gt;=$M23)),"利益確定",IF($AE23&lt;=TODAY(),"日数制限","保有中"))),IF(N($AG23)=0,"利益確定",IF(N($AF23)=0,"損切確定",IF($AG23&lt;=$AF23,"損切確定","利益確定")))))</f>
        <v>損切確定</v>
      </c>
      <c r="AI23" s="601" t="str" cm="1">
        <f t="array" ref="AI23">IFERROR(INDEX(始値!$E$6:$IT$305,MATCH(TEXT($B23,"0"),TEXT(銘柄管理!$B$6:$B$305,"0"),0),MATCH($AE23,始値!$E$3:$IT$3,0)),"")</f>
        <v/>
      </c>
      <c r="AJ23" s="905">
        <f>IF(OR($V23="",$F23="",$G23=""),"",$V23/($F23*$G23))</f>
        <v>-4.0121580547112463E-2</v>
      </c>
      <c r="AK23" s="629" t="str">
        <f>IF($V23="","",IF($V23&gt;0,"○勝",IF($V23&lt;0,"●負","△引分")))</f>
        <v>●負</v>
      </c>
      <c r="AL23" s="613" t="str">
        <f>IF($AM23="","","v13売")</f>
        <v>v13売</v>
      </c>
      <c r="AM23" s="615">
        <f>IFERROR(INDEX(売抽出v13!$C$4:$C$60,MATCH(LARGE($BC$4:$BC$60,ROWS($AM$23:$AM23)),$BC$4:$BC$60,0)),"")</f>
        <v>7711</v>
      </c>
      <c r="AN23" s="613" t="str">
        <f>IF($AM23="","",INDEX(売抽出v13!$D$4:$D$60,MATCH(LARGE($BC$4:$BC$60,ROWS($AM$23:$AM23)),$BC$4:$BC$60,0)))</f>
        <v>助川電気工業</v>
      </c>
      <c r="AO23" s="615" t="str">
        <f>IF($AM23="","","売")</f>
        <v>売</v>
      </c>
      <c r="AP23" s="615">
        <f>IF($AM23="","",INDEX(売抽出v13!$Q$4:$Q$60,MATCH(LARGE($BC$4:$BC$60,ROWS($AM$23:$AM23)),$BC$4:$BC$60,0)))</f>
        <v>13</v>
      </c>
      <c r="AQ23" s="615"/>
      <c r="AR23" s="613" t="str">
        <f>IF($AM23="","",INDEX(売抽出v13!$J$4:$J$60,MATCH(LARGE($BC$4:$BC$60,ROWS($AM$23:$AM23)),$BC$4:$BC$60,0))&amp;" RSI"&amp;TEXT(INDEX(売抽出v13!$I$4:$I$60,MATCH(LARGE($BC$4:$BC$60,ROWS($AM$23:$AM23)),$BC$4:$BC$60,0)),"0.0")&amp;" 出来高"&amp;INDEX(売抽出v13!$L$4:$L$60,MATCH(LARGE($BC$4:$BC$60,ROWS($AM$23:$AM23)),$BC$4:$BC$60,0)))</f>
        <v>下降トレンド▼ RSI47.2 出来高3.00倍</v>
      </c>
      <c r="AS23" s="613" t="str">
        <f>IF($AM23="","",IF(COUNTIFS($B:$B,$AM23,$E:$E,$AM$11)&gt;0,"✅追記済","→未追記"))</f>
        <v>✅追記済</v>
      </c>
      <c r="BB23" s="600" t="str">
        <f>IF(N(買抽出v13!$C23)=0,"",N(買抽出v13!$Q23)+N(買抽出v13!$L23)/1000-ROW()/1000000)</f>
        <v/>
      </c>
      <c r="BC23" s="600" t="str">
        <f>IF(N(売抽出v13!$C23)=0,"",N(売抽出v13!$Q23)+IFERROR(VALUE(SUBSTITUTE(売抽出v13!$L23,"倍","")),0)/1000-ROW()/1000000)</f>
        <v/>
      </c>
    </row>
    <row r="24" spans="1:55" ht="35.4" customHeight="1">
      <c r="A24" s="619" t="str">
        <f>IF(B24="","",HYPERLINK("https://kabutan.jp/stock/?code="&amp;B24,"株探"))</f>
        <v>株探</v>
      </c>
      <c r="B24" s="481">
        <v>6622</v>
      </c>
      <c r="C24" s="482" t="s">
        <v>999</v>
      </c>
      <c r="D24" s="483" t="str" cm="1">
        <f t="array" ref="D24">_xll.RssMarket(B24, "銘柄名称")</f>
        <v>ダイヘン</v>
      </c>
      <c r="E24" s="715">
        <v>46232</v>
      </c>
      <c r="F24" s="698" cm="1">
        <f t="array" aca="1" ref="F24" ca="1">IFERROR(_xlfn.LET(_xlpm.r,MATCH(TEXT($B24,"0"),TEXT(銘柄管理!$B$6:$B$305,"0"),0),_xlpm.t,MOD(NOW(),1),_xlpm.c,IF($E24=TODAY(),IF(_xlpm.t&gt;=TIME(15,30,0),NA(),1),IF(MATCH($E24,始値!$E$3:$IT$3,0)=1,1,MATCH($E24,始値!$E$3:$IT$3,0)+1)),_xlpm.v,INDEX(始値!$C$6:$IT$305,_xlpm.r,_xlpm.c),IF(N(_xlpm.v)=0,"",_xlpm.v)),"")</f>
        <v>11620</v>
      </c>
      <c r="G24" s="484">
        <v>100</v>
      </c>
      <c r="H24" s="485" cm="1">
        <f t="array" ref="H24">_xll.RssMarket(B24, "現在値")</f>
        <v>14130</v>
      </c>
      <c r="I24" s="485" cm="1">
        <f t="array" ref="I24">_xll.RssMarket(B24, "出来高加重平均")</f>
        <v>14293.242</v>
      </c>
      <c r="J24" s="700" cm="1">
        <f t="array" ref="J24">_xll.RssMarket($B24, "前日比")</f>
        <v>-1070</v>
      </c>
      <c r="K24" s="700">
        <f>IF(OR(F24="",G24="",H24=""),"",IF(C24="売",(F24-H24)*G24,(H24-F24)*G24))</f>
        <v>-251000</v>
      </c>
      <c r="L24" s="705">
        <f>IF(OR(F24="",H24=""),"",IF(C24="売",(F24-H24)/F24,(H24-F24)/F24))</f>
        <v>-0.21600688468158347</v>
      </c>
      <c r="M24" s="485">
        <f>IF($F24="","",$F24*IF($C24="売",1-V811設定!$B$4,1+V811設定!$B$4)-MOD($F24*IF($C24="売",1-V811設定!$B$4,1+V811設定!$B$4),IF($F24&lt;=3000,1,IF($F24&lt;=5000,5,IF($F24&lt;=30000,10,IF($F24&lt;=50000,50,IF($F24&lt;=300000,100,500))))))+IF(AND($C24="売",MOD($F24*IF($C24="売",1-V811設定!$B$4,1+V811設定!$B$4),IF($F24&lt;=3000,1,IF($F24&lt;=5000,5,IF($F24&lt;=30000,10,IF($F24&lt;=50000,50,IF($F24&lt;=300000,100,500))))))&gt;0),IF($F24&lt;=3000,1,IF($F24&lt;=5000,5,IF($F24&lt;=30000,10,IF($F24&lt;=50000,50,IF($F24&lt;=300000,100,500))))),0))</f>
      </c>
      <c r="N24" s="485">
        <f>IF($F24="","",$F24*IF($C24="売",1+V811設定!$B$3,1-V811設定!$B$3)-MOD($F24*IF($C24="売",1+V811設定!$B$3,1-V811設定!$B$3),IF($F24&lt;=3000,1,IF($F24&lt;=5000,5,IF($F24&lt;=30000,10,IF($F24&lt;=50000,50,IF($F24&lt;=300000,100,500))))))+IF(AND($C24="売",MOD($F24*IF($C24="売",1+V811設定!$B$3,1-V811設定!$B$3),IF($F24&lt;=3000,1,IF($F24&lt;=5000,5,IF($F24&lt;=30000,10,IF($F24&lt;=50000,50,IF($F24&lt;=300000,100,500))))))&gt;0),IF($F24&lt;=3000,1,IF($F24&lt;=5000,5,IF($F24&lt;=30000,10,IF($F24&lt;=50000,50,IF($F24&lt;=300000,100,500))))),0))</f>
      </c>
      <c r="O24" s="486" t="str">
        <f>IF(OR($B24="",$F24="",$H24=""),"",IF($S24="✅売却済","―決済済―",IF($C24="売",IF($H24&lt;=$M24,"🟢利確",IF(AND($R24&lt;&gt;"",$H24&gt;=$R24),"🟠TRAIL",IF($H24&gt;=$N24,"🔴損切",IF($W24&gt;=V811設定!$B$6,"⏱時間決済",IF($H24&gt;=$F24*(1+V811設定!$B$3*0.7),"⚠️損切接近","保持継続"))))),IF($H24&gt;=$M24,"🟢利確",IF(AND($R24&lt;&gt;"",$H24&lt;=$R24),"🟠TRAIL",IF($H24&lt;=$N24,"🔴損切",IF($W24&gt;=V811設定!$B$6,"⏱時間決済",IF($H24&lt;=$F24*(1-V811設定!$B$3*0.7),"⚠️損切接近","保持継続"))))))))</f>
      </c>
      <c r="P24" s="485">
        <f ca="1">IF(B24="","",IFERROR(MAX(OFFSET(高値!$E$6,IFERROR(MATCH(B24,銘柄管理!$B$6:$B$305,0),MATCH(TEXT(B24,"0"),銘柄管理!$B$6:$B$305,0))-1,0,1,10)),""))</f>
        <v>15660</v>
      </c>
      <c r="Q24" s="485">
        <f ca="1">IF(B24="","",IFERROR(MIN(OFFSET(安値!$E$6,IFERROR(MATCH(B24,銘柄管理!$B$6:$B$305,0),MATCH(TEXT(B24,"0"),銘柄管理!$B$6:$B$305,0))-1,0,1,10)),""))</f>
        <v>11460</v>
      </c>
      <c r="R24" s="485">
        <f>IF(OR($F24="",$H24="",$N24=""),"",IF($S24="✅売却済","",IF($C24="売",IF($H24&gt;$F24*(1-V811設定!$B$3),$N24,MIN($N24,IF($Q24="",$N24,$Q24*1.03))),IF($H24&lt;$F24*(1+V811設定!$B$3),$N24,MAX($N24,IF($P24="",$N24,$P24*0.97))))))</f>
      </c>
      <c r="S24" s="585" t="str">
        <f>IF(B24="","",IF(T24&lt;&gt;"","✅売却済",IF(OR(H24="",L24=""),"📌保有中",IF(L24&gt;=0.06,"🟢利確推奨",IF(L24&gt;=0.05,"🟡利確直近",IF(L24&gt;=0.045,"🔵トレーリング検討",IF(L24&gt;-0.03,"📌保有中",IF(L24&gt;-0.04,"⚠️損切注意","🔴損切り"))))))))</f>
        <v>✅売却済</v>
      </c>
      <c r="T24" s="593">
        <v>46233</v>
      </c>
      <c r="U24" s="485">
        <v>12085</v>
      </c>
      <c r="V24" s="700">
        <f>IF(OR(F24="",G24="",U24=""),"",IF(C24="売",(F24-U24)*G24,(U24-F24)*G24))</f>
        <v>-46500</v>
      </c>
      <c r="W24" s="487">
        <f>IF(OR($E24="",$B24=""),"",IF($T24&lt;&gt;"",$T24-$E24,TODAY()-$E24)+1)</f>
        <v>2</v>
      </c>
      <c r="X24" s="484" t="str">
        <f>IF(OR($AH24="",$AH24="保有中"),"",$AH24)</f>
        <v>損切確定</v>
      </c>
      <c r="Y24" s="488"/>
      <c r="Z24" s="710">
        <v>21</v>
      </c>
      <c r="AA24" s="600" t="s">
        <v>1354</v>
      </c>
      <c r="AD24" s="608" t="s">
        <v>1325</v>
      </c>
      <c r="AE24" s="624">
        <f>IF($E24="","",WORKDAY($E24,12))</f>
        <v>46248</v>
      </c>
      <c r="AF24" s="626" cm="1">
        <f t="array" aca="1" ref="AF24" ca="1">IF(OR($B24="",$M24=""),"",IFERROR(IF($C24="売",_xlfn.MINIFS(安値!$E$3:$IT$3,安値!$E$3:$IT$3,"&gt;"&amp;$E24,安値!$E$3:$IT$3,"&lt;="&amp;$AE24,OFFSET(安値!$E$6:$IT$6,MATCH(TEXT($B24,"0"),TEXT(銘柄管理!$B$6:$B$305,"0"),0)-1,0),"&lt;="&amp;$M24),_xlfn.MINIFS(高値!$E$3:$IT$3,高値!$E$3:$IT$3,"&gt;"&amp;$E24,高値!$E$3:$IT$3,"&lt;="&amp;$AE24,OFFSET(高値!$E$6:$IT$6,MATCH(TEXT($B24,"0"),TEXT(銘柄管理!$B$6:$B$305,"0"),0)-1,0),"&gt;="&amp;$M24)),""))</f>
        <v>0</v>
      </c>
      <c r="AG24" s="626" cm="1">
        <f t="array" aca="1" ref="AG24" ca="1">IF(OR($B24="",$N24=""),"",IFERROR(IF($C24="売",_xlfn.MINIFS(高値!$E$3:$IT$3,高値!$E$3:$IT$3,"&gt;"&amp;$E24,高値!$E$3:$IT$3,"&lt;="&amp;$AE24,OFFSET(高値!$E$6:$IT$6,MATCH(TEXT($B24,"0"),TEXT(銘柄管理!$B$6:$B$305,"0"),0)-1,0),"&gt;="&amp;$N24),_xlfn.MINIFS(安値!$E$3:$IT$3,安値!$E$3:$IT$3,"&gt;"&amp;$E24,安値!$E$3:$IT$3,"&lt;="&amp;$AE24,OFFSET(安値!$E$6:$IT$6,MATCH(TEXT($B24,"0"),TEXT(銘柄管理!$B$6:$B$305,"0"),0)-1,0),"&lt;="&amp;$N24)),""))</f>
        <v>46233</v>
      </c>
      <c r="AH24" s="600" t="str">
        <f>IF(OR($B24="",$M24=""),"",IF(AND(N($AF24)=0,N($AG24)=0),IF(AND(ISNUMBER($H24),$H24&gt;0,IF($C24="売",$H24&gt;=$N24,$H24&lt;=$N24)),"損切確定",IF(AND(ISNUMBER($H24),$H24&gt;0,IF($C24="売",$H24&lt;=$M24,$H24&gt;=$M24)),"利益確定",IF($AE24&lt;=TODAY(),"日数制限","保有中"))),IF(N($AG24)=0,"利益確定",IF(N($AF24)=0,"損切確定",IF($AG24&lt;=$AF24,"損切確定","利益確定")))))</f>
        <v>損切確定</v>
      </c>
      <c r="AI24" s="600" t="str" cm="1">
        <f t="array" ref="AI24">IFERROR(INDEX(始値!$E$6:$IT$305,MATCH(TEXT($B24,"0"),TEXT(銘柄管理!$B$6:$B$305,"0"),0),MATCH($AE24,始値!$E$3:$IT$3,0)),"")</f>
        <v/>
      </c>
      <c r="AJ24" s="905">
        <f>IF(OR($V24="",$F24="",$G24=""),"",$V24/($F24*$G24))</f>
        <v>-4.0017211703958694E-2</v>
      </c>
      <c r="AK24" s="629" t="str">
        <f>IF($V24="","",IF($V24&gt;0,"○勝",IF($V24&lt;0,"●負","△引分")))</f>
        <v>●負</v>
      </c>
      <c r="AL24" s="613" t="str">
        <f>IF($AM24="","","v13売")</f>
        <v>v13売</v>
      </c>
      <c r="AM24" s="615">
        <f>IFERROR(INDEX(売抽出v13!$C$4:$C$60,MATCH(LARGE($BC$4:$BC$60,ROWS($AM$23:$AM24)),$BC$4:$BC$60,0)),"")</f>
        <v>3436</v>
      </c>
      <c r="AN24" s="613" t="str">
        <f>IF($AM24="","",INDEX(売抽出v13!$D$4:$D$60,MATCH(LARGE($BC$4:$BC$60,ROWS($AM$23:$AM24)),$BC$4:$BC$60,0)))</f>
        <v>ＳＵＭＣＯ</v>
      </c>
      <c r="AO24" s="615" t="str">
        <f>IF($AM24="","","売")</f>
        <v>売</v>
      </c>
      <c r="AP24" s="615">
        <f>IF($AM24="","",INDEX(売抽出v13!$Q$4:$Q$60,MATCH(LARGE($BC$4:$BC$60,ROWS($AM$23:$AM24)),$BC$4:$BC$60,0)))</f>
        <v>13</v>
      </c>
      <c r="AQ24" s="615"/>
      <c r="AR24" s="613" t="str">
        <f>IF($AM24="","",INDEX(売抽出v13!$J$4:$J$60,MATCH(LARGE($BC$4:$BC$60,ROWS($AM$23:$AM24)),$BC$4:$BC$60,0))&amp;" RSI"&amp;TEXT(INDEX(売抽出v13!$I$4:$I$60,MATCH(LARGE($BC$4:$BC$60,ROWS($AM$23:$AM24)),$BC$4:$BC$60,0)),"0.0")&amp;" 出来高"&amp;INDEX(売抽出v13!$L$4:$L$60,MATCH(LARGE($BC$4:$BC$60,ROWS($AM$23:$AM24)),$BC$4:$BC$60,0)))</f>
        <v>もみ合い→ RSI36.0 出来高1.97倍</v>
      </c>
      <c r="AS24" s="613" t="str">
        <f>IF($AM24="","",IF(COUNTIFS($B:$B,$AM24,$E:$E,$AM$11)&gt;0,"✅追記済","→未追記"))</f>
        <v>✅追記済</v>
      </c>
      <c r="BB24" s="600" t="str">
        <f>IF(N(買抽出v13!$C24)=0,"",N(買抽出v13!$Q24)+N(買抽出v13!$L24)/1000-ROW()/1000000)</f>
        <v/>
      </c>
      <c r="BC24" s="600" t="str">
        <f>IF(N(売抽出v13!$C24)=0,"",N(売抽出v13!$Q24)+IFERROR(VALUE(SUBSTITUTE(売抽出v13!$L24,"倍","")),0)/1000-ROW()/1000000)</f>
        <v/>
      </c>
    </row>
    <row r="25" spans="1:55" ht="35.4" customHeight="1">
      <c r="A25" s="619" t="str">
        <f>IF(B25="","",HYPERLINK("https://kabutan.jp/stock/?code="&amp;B25,"株探"))</f>
        <v>株探</v>
      </c>
      <c r="B25" s="481">
        <v>4063</v>
      </c>
      <c r="C25" s="482" t="s">
        <v>999</v>
      </c>
      <c r="D25" s="483" t="str" cm="1">
        <f t="array" ref="D25">_xll.RssMarket(B25, "銘柄名称")</f>
        <v>信越化学</v>
      </c>
      <c r="E25" s="715">
        <v>46232</v>
      </c>
      <c r="F25" s="698" cm="1">
        <f t="array" aca="1" ref="F25" ca="1">IFERROR(_xlfn.LET(_xlpm.r,MATCH(TEXT($B25,"0"),TEXT(銘柄管理!$B$6:$B$305,"0"),0),_xlpm.t,MOD(NOW(),1),_xlpm.c,IF($E25=TODAY(),IF(_xlpm.t&gt;=TIME(15,30,0),NA(),1),IF(MATCH($E25,始値!$E$3:$IT$3,0)=1,1,MATCH($E25,始値!$E$3:$IT$3,0)+1)),_xlpm.v,INDEX(始値!$C$6:$IT$305,_xlpm.r,_xlpm.c),IF(N(_xlpm.v)=0,"",_xlpm.v)),"")</f>
        <v>5712</v>
      </c>
      <c r="G25" s="484">
        <v>100</v>
      </c>
      <c r="H25" s="485" cm="1">
        <f t="array" ref="H25">_xll.RssMarket(B25, "現在値")</f>
        <v>6167</v>
      </c>
      <c r="I25" s="485" cm="1">
        <f t="array" ref="I25">_xll.RssMarket(B25, "出来高加重平均")</f>
        <v>6161.1462000000001</v>
      </c>
      <c r="J25" s="700" cm="1">
        <f t="array" ref="J25">_xll.RssMarket($B25, "前日比")</f>
        <v>4</v>
      </c>
      <c r="K25" s="700">
        <f>IF(OR(F25="",G25="",H25=""),"",IF(C25="売",(F25-H25)*G25,(H25-F25)*G25))</f>
        <v>-45500</v>
      </c>
      <c r="L25" s="705">
        <f>IF(OR(F25="",H25=""),"",IF(C25="売",(F25-H25)/F25,(H25-F25)/F25))</f>
        <v>-7.9656862745098034E-2</v>
      </c>
      <c r="M25" s="485">
        <f>IF($F25="","",$F25*IF($C25="売",1-V811設定!$B$4,1+V811設定!$B$4)-MOD($F25*IF($C25="売",1-V811設定!$B$4,1+V811設定!$B$4),IF($F25&lt;=3000,1,IF($F25&lt;=5000,5,IF($F25&lt;=30000,10,IF($F25&lt;=50000,50,IF($F25&lt;=300000,100,500))))))+IF(AND($C25="売",MOD($F25*IF($C25="売",1-V811設定!$B$4,1+V811設定!$B$4),IF($F25&lt;=3000,1,IF($F25&lt;=5000,5,IF($F25&lt;=30000,10,IF($F25&lt;=50000,50,IF($F25&lt;=300000,100,500))))))&gt;0),IF($F25&lt;=3000,1,IF($F25&lt;=5000,5,IF($F25&lt;=30000,10,IF($F25&lt;=50000,50,IF($F25&lt;=300000,100,500))))),0))</f>
      </c>
      <c r="N25" s="485">
        <f>IF($F25="","",$F25*IF($C25="売",1+V811設定!$B$3,1-V811設定!$B$3)-MOD($F25*IF($C25="売",1+V811設定!$B$3,1-V811設定!$B$3),IF($F25&lt;=3000,1,IF($F25&lt;=5000,5,IF($F25&lt;=30000,10,IF($F25&lt;=50000,50,IF($F25&lt;=300000,100,500))))))+IF(AND($C25="売",MOD($F25*IF($C25="売",1+V811設定!$B$3,1-V811設定!$B$3),IF($F25&lt;=3000,1,IF($F25&lt;=5000,5,IF($F25&lt;=30000,10,IF($F25&lt;=50000,50,IF($F25&lt;=300000,100,500))))))&gt;0),IF($F25&lt;=3000,1,IF($F25&lt;=5000,5,IF($F25&lt;=30000,10,IF($F25&lt;=50000,50,IF($F25&lt;=300000,100,500))))),0))</f>
      </c>
      <c r="O25" s="486" t="str">
        <f>IF(OR($B25="",$F25="",$H25=""),"",IF($S25="✅売却済","―決済済―",IF($C25="売",IF($H25&lt;=$M25,"🟢利確",IF(AND($R25&lt;&gt;"",$H25&gt;=$R25),"🟠TRAIL",IF($H25&gt;=$N25,"🔴損切",IF($W25&gt;=V811設定!$B$6,"⏱時間決済",IF($H25&gt;=$F25*(1+V811設定!$B$3*0.7),"⚠️損切接近","保持継続"))))),IF($H25&gt;=$M25,"🟢利確",IF(AND($R25&lt;&gt;"",$H25&lt;=$R25),"🟠TRAIL",IF($H25&lt;=$N25,"🔴損切",IF($W25&gt;=V811設定!$B$6,"⏱時間決済",IF($H25&lt;=$F25*(1-V811設定!$B$3*0.7),"⚠️損切接近","保持継続"))))))))</f>
      </c>
      <c r="P25" s="485">
        <f ca="1">IF(B25="","",IFERROR(MAX(OFFSET(高値!$E$6,IFERROR(MATCH(B25,銘柄管理!$B$6:$B$305,0),MATCH(TEXT(B25,"0"),銘柄管理!$B$6:$B$305,0))-1,0,1,10)),""))</f>
        <v>6840</v>
      </c>
      <c r="Q25" s="485">
        <f ca="1">IF(B25="","",IFERROR(MIN(OFFSET(安値!$E$6,IFERROR(MATCH(B25,銘柄管理!$B$6:$B$305,0),MATCH(TEXT(B25,"0"),銘柄管理!$B$6:$B$305,0))-1,0,1,10)),""))</f>
        <v>5636</v>
      </c>
      <c r="R25" s="485">
        <f>IF(OR($F25="",$H25="",$N25=""),"",IF($S25="✅売却済","",IF($C25="売",IF($H25&gt;$F25*(1-V811設定!$B$3),$N25,MIN($N25,IF($Q25="",$N25,$Q25*1.03))),IF($H25&lt;$F25*(1+V811設定!$B$3),$N25,MAX($N25,IF($P25="",$N25,$P25*0.97))))))</f>
      </c>
      <c r="S25" s="585" t="str">
        <f>IF(B25="","",IF(T25&lt;&gt;"","✅売却済",IF(OR(H25="",L25=""),"📌保有中",IF(L25&gt;=0.06,"🟢利確推奨",IF(L25&gt;=0.05,"🟡利確直近",IF(L25&gt;=0.045,"🔵トレーリング検討",IF(L25&gt;-0.03,"📌保有中",IF(L25&gt;-0.04,"⚠️損切注意","🔴損切り"))))))))</f>
        <v>✅売却済</v>
      </c>
      <c r="T25" s="593">
        <v>46234</v>
      </c>
      <c r="U25" s="485">
        <v>5940</v>
      </c>
      <c r="V25" s="700">
        <f>IF(OR(F25="",G25="",U25=""),"",IF(C25="売",(F25-U25)*G25,(U25-F25)*G25))</f>
        <v>-22800</v>
      </c>
      <c r="W25" s="487">
        <f>IF(OR($E25="",$B25=""),"",IF($T25&lt;&gt;"",$T25-$E25,TODAY()-$E25)+1)</f>
        <v>3</v>
      </c>
      <c r="X25" s="484" t="str">
        <f>IF(OR($AH25="",$AH25="保有中"),"",$AH25)</f>
        <v>損切確定</v>
      </c>
      <c r="Y25" s="488"/>
      <c r="Z25" s="710">
        <v>21</v>
      </c>
      <c r="AA25" s="600" t="s">
        <v>1355</v>
      </c>
      <c r="AD25" s="608" t="s">
        <v>1325</v>
      </c>
      <c r="AE25" s="624">
        <f>IF($E25="","",WORKDAY($E25,12))</f>
        <v>46248</v>
      </c>
      <c r="AF25" s="626" cm="1">
        <f t="array" aca="1" ref="AF25" ca="1">IF(OR($B25="",$M25=""),"",IFERROR(IF($C25="売",_xlfn.MINIFS(安値!$E$3:$IT$3,安値!$E$3:$IT$3,"&gt;"&amp;$E25,安値!$E$3:$IT$3,"&lt;="&amp;$AE25,OFFSET(安値!$E$6:$IT$6,MATCH(TEXT($B25,"0"),TEXT(銘柄管理!$B$6:$B$305,"0"),0)-1,0),"&lt;="&amp;$M25),_xlfn.MINIFS(高値!$E$3:$IT$3,高値!$E$3:$IT$3,"&gt;"&amp;$E25,高値!$E$3:$IT$3,"&lt;="&amp;$AE25,OFFSET(高値!$E$6:$IT$6,MATCH(TEXT($B25,"0"),TEXT(銘柄管理!$B$6:$B$305,"0"),0)-1,0),"&gt;="&amp;$M25)),""))</f>
        <v>0</v>
      </c>
      <c r="AG25" s="626" cm="1">
        <f t="array" aca="1" ref="AG25" ca="1">IF(OR($B25="",$N25=""),"",IFERROR(IF($C25="売",_xlfn.MINIFS(高値!$E$3:$IT$3,高値!$E$3:$IT$3,"&gt;"&amp;$E25,高値!$E$3:$IT$3,"&lt;="&amp;$AE25,OFFSET(高値!$E$6:$IT$6,MATCH(TEXT($B25,"0"),TEXT(銘柄管理!$B$6:$B$305,"0"),0)-1,0),"&gt;="&amp;$N25),_xlfn.MINIFS(安値!$E$3:$IT$3,安値!$E$3:$IT$3,"&gt;"&amp;$E25,安値!$E$3:$IT$3,"&lt;="&amp;$AE25,OFFSET(安値!$E$6:$IT$6,MATCH(TEXT($B25,"0"),TEXT(銘柄管理!$B$6:$B$305,"0"),0)-1,0),"&lt;="&amp;$N25)),""))</f>
        <v>46234</v>
      </c>
      <c r="AH25" s="600" t="str">
        <f>IF(OR($B25="",$M25=""),"",IF(AND(N($AF25)=0,N($AG25)=0),IF(AND(ISNUMBER($H25),$H25&gt;0,IF($C25="売",$H25&gt;=$N25,$H25&lt;=$N25)),"損切確定",IF(AND(ISNUMBER($H25),$H25&gt;0,IF($C25="売",$H25&lt;=$M25,$H25&gt;=$M25)),"利益確定",IF($AE25&lt;=TODAY(),"日数制限","保有中"))),IF(N($AG25)=0,"利益確定",IF(N($AF25)=0,"損切確定",IF($AG25&lt;=$AF25,"損切確定","利益確定")))))</f>
        <v>損切確定</v>
      </c>
      <c r="AI25" s="600" t="str" cm="1">
        <f t="array" ref="AI25">IFERROR(INDEX(始値!$E$6:$IT$305,MATCH(TEXT($B25,"0"),TEXT(銘柄管理!$B$6:$B$305,"0"),0),MATCH($AE25,始値!$E$3:$IT$3,0)),"")</f>
        <v/>
      </c>
      <c r="AJ25" s="905">
        <f>IF(OR($V25="",$F25="",$G25=""),"",$V25/($F25*$G25))</f>
        <v>-3.9915966386554619E-2</v>
      </c>
      <c r="AK25" s="629" t="str">
        <f>IF($V25="","",IF($V25&gt;0,"○勝",IF($V25&lt;0,"●負","△引分")))</f>
        <v>●負</v>
      </c>
      <c r="AL25" s="613"/>
      <c r="AM25" s="615"/>
      <c r="AN25" s="613"/>
      <c r="AO25" s="615"/>
      <c r="AP25" s="615"/>
      <c r="AQ25" s="615"/>
      <c r="AR25" s="613"/>
      <c r="AS25" s="613"/>
      <c r="BB25" s="600" t="str">
        <f>IF(N(買抽出v13!$C25)=0,"",N(買抽出v13!$Q25)+N(買抽出v13!$L25)/1000-ROW()/1000000)</f>
        <v/>
      </c>
      <c r="BC25" s="600" t="str">
        <f>IF(N(売抽出v13!$C25)=0,"",N(売抽出v13!$Q25)+IFERROR(VALUE(SUBSTITUTE(売抽出v13!$L25,"倍","")),0)/1000-ROW()/1000000)</f>
        <v/>
      </c>
    </row>
    <row r="26" spans="1:55" ht="35.4" customHeight="1">
      <c r="A26" s="619" t="str">
        <f>IF(B26="","",HYPERLINK("https://kabutan.jp/stock/?code="&amp;B26,"株探"))</f>
        <v>株探</v>
      </c>
      <c r="B26" s="481">
        <v>8593</v>
      </c>
      <c r="C26" s="482" t="s">
        <v>998</v>
      </c>
      <c r="D26" s="483" t="str" cm="1">
        <f t="array" ref="D26">_xll.RssMarket(B26, "銘柄名称")</f>
        <v>三菱ＨＣキャピタル</v>
      </c>
      <c r="E26" s="715">
        <v>46233</v>
      </c>
      <c r="F26" s="698" cm="1">
        <f t="array" aca="1" ref="F26" ca="1">IFERROR(_xlfn.LET(_xlpm.r,MATCH(TEXT($B26,"0"),TEXT(銘柄管理!$B$6:$B$305,"0"),0),_xlpm.t,MOD(NOW(),1),_xlpm.c,IF($E26=TODAY(),IF(_xlpm.t&gt;=TIME(15,30,0),NA(),1),IF(MATCH($E26,始値!$E$3:$IT$3,0)=1,1,MATCH($E26,始値!$E$3:$IT$3,0)+1)),_xlpm.v,INDEX(始値!$C$6:$IT$305,_xlpm.r,_xlpm.c),IF(N(_xlpm.v)=0,"",_xlpm.v)),"")</f>
        <v>1464</v>
      </c>
      <c r="G26" s="484">
        <v>100</v>
      </c>
      <c r="H26" s="485" cm="1">
        <f t="array" ref="H26">_xll.RssMarket(B26, "現在値")</f>
        <v>1427.5</v>
      </c>
      <c r="I26" s="485" cm="1">
        <f t="array" ref="I26">_xll.RssMarket(B26, "出来高加重平均")</f>
        <v>1423.2587000000001</v>
      </c>
      <c r="J26" s="700" cm="1">
        <f t="array" ref="J26">_xll.RssMarket($B26, "前日比")</f>
        <v>11</v>
      </c>
      <c r="K26" s="700">
        <f>IF(OR(F26="",G26="",H26=""),"",IF(C26="売",(F26-H26)*G26,(H26-F26)*G26))</f>
        <v>-3650</v>
      </c>
      <c r="L26" s="705">
        <f>IF(OR(F26="",H26=""),"",IF(C26="売",(F26-H26)/F26,(H26-F26)/F26))</f>
        <v>-2.4931693989071038E-2</v>
      </c>
      <c r="M26" s="485">
        <f>IF($F26="","",$F26*IF($C26="売",1-V811設定!$B$4,1+V811設定!$B$4)-MOD($F26*IF($C26="売",1-V811設定!$B$4,1+V811設定!$B$4),IF($F26&lt;=3000,1,IF($F26&lt;=5000,5,IF($F26&lt;=30000,10,IF($F26&lt;=50000,50,IF($F26&lt;=300000,100,500))))))+IF(AND($C26="売",MOD($F26*IF($C26="売",1-V811設定!$B$4,1+V811設定!$B$4),IF($F26&lt;=3000,1,IF($F26&lt;=5000,5,IF($F26&lt;=30000,10,IF($F26&lt;=50000,50,IF($F26&lt;=300000,100,500))))))&gt;0),IF($F26&lt;=3000,1,IF($F26&lt;=5000,5,IF($F26&lt;=30000,10,IF($F26&lt;=50000,50,IF($F26&lt;=300000,100,500))))),0))</f>
      </c>
      <c r="N26" s="485">
        <f>IF($F26="","",$F26*IF($C26="売",1+V811設定!$B$3,1-V811設定!$B$3)-MOD($F26*IF($C26="売",1+V811設定!$B$3,1-V811設定!$B$3),IF($F26&lt;=3000,1,IF($F26&lt;=5000,5,IF($F26&lt;=30000,10,IF($F26&lt;=50000,50,IF($F26&lt;=300000,100,500))))))+IF(AND($C26="売",MOD($F26*IF($C26="売",1+V811設定!$B$3,1-V811設定!$B$3),IF($F26&lt;=3000,1,IF($F26&lt;=5000,5,IF($F26&lt;=30000,10,IF($F26&lt;=50000,50,IF($F26&lt;=300000,100,500))))))&gt;0),IF($F26&lt;=3000,1,IF($F26&lt;=5000,5,IF($F26&lt;=30000,10,IF($F26&lt;=50000,50,IF($F26&lt;=300000,100,500))))),0))</f>
      </c>
      <c r="O26" s="486" t="str">
        <f>IF(OR($B26="",$F26="",$H26=""),"",IF($S26="✅売却済","―決済済―",IF($C26="売",IF($H26&lt;=$M26,"🟢利確",IF(AND($R26&lt;&gt;"",$H26&gt;=$R26),"🟠TRAIL",IF($H26&gt;=$N26,"🔴損切",IF($W26&gt;=V811設定!$B$6,"⏱時間決済",IF($H26&gt;=$F26*(1+V811設定!$B$3*0.7),"⚠️損切接近","保持継続"))))),IF($H26&gt;=$M26,"🟢利確",IF(AND($R26&lt;&gt;"",$H26&lt;=$R26),"🟠TRAIL",IF($H26&lt;=$N26,"🔴損切",IF($W26&gt;=V811設定!$B$6,"⏱時間決済",IF($H26&lt;=$F26*(1-V811設定!$B$3*0.7),"⚠️損切接近","保持継続"))))))))</f>
      </c>
      <c r="P26" s="485">
        <f ca="1">IF(B26="","",IFERROR(MAX(OFFSET(高値!$E$6,IFERROR(MATCH(B26,銘柄管理!$B$6:$B$305,0),MATCH(TEXT(B26,"0"),銘柄管理!$B$6:$B$305,0))-1,0,1,10)),""))</f>
        <v>1518</v>
      </c>
      <c r="Q26" s="485">
        <f ca="1">IF(B26="","",IFERROR(MIN(OFFSET(安値!$E$6,IFERROR(MATCH(B26,銘柄管理!$B$6:$B$305,0),MATCH(TEXT(B26,"0"),銘柄管理!$B$6:$B$305,0))-1,0,1,10)),""))</f>
        <v>1404</v>
      </c>
      <c r="R26" s="485">
        <f>IF(OR($F26="",$H26="",$N26=""),"",IF($S26="✅売却済","",IF($C26="売",IF($H26&gt;$F26*(1-V811設定!$B$3),$N26,MIN($N26,IF($Q26="",$N26,$Q26*1.03))),IF($H26&lt;$F26*(1+V811設定!$B$3),$N26,MAX($N26,IF($P26="",$N26,$P26*0.97))))))</f>
      </c>
      <c r="S26" s="585" t="str">
        <f>IF(B26="","",IF(T26&lt;&gt;"","✅売却済",IF(OR(H26="",L26=""),"📌保有中",IF(L26&gt;=0.06,"🟢利確推奨",IF(L26&gt;=0.05,"🟡利確直近",IF(L26&gt;=0.045,"🔵トレーリング検討",IF(L26&gt;-0.03,"📌保有中",IF(L26&gt;-0.04,"⚠️損切注意","🔴損切り"))))))))</f>
        <v>✅売却済</v>
      </c>
      <c r="T26" s="593">
        <v>46237</v>
      </c>
      <c r="U26" s="485">
        <v>1405</v>
      </c>
      <c r="V26" s="700">
        <f>IF(OR(F26="",G26="",U26=""),"",IF(C26="売",(F26-U26)*G26,(U26-F26)*G26))</f>
        <v>-5900</v>
      </c>
      <c r="W26" s="487">
        <f>IF(OR($E26="",$B26=""),"",IF($T26&lt;&gt;"",$T26-$E26,TODAY()-$E26)+1)</f>
        <v>5</v>
      </c>
      <c r="X26" s="484" t="str">
        <f>IF(OR($AH26="",$AH26="保有中"),"",$AH26)</f>
        <v>損切確定</v>
      </c>
      <c r="Y26" s="488"/>
      <c r="Z26" s="710">
        <v>16</v>
      </c>
      <c r="AA26" s="600" t="s">
        <v>1356</v>
      </c>
      <c r="AD26" s="608" t="s">
        <v>1322</v>
      </c>
      <c r="AE26" s="624">
        <f>IF($E26="","",WORKDAY($E26,12))</f>
        <v>46251</v>
      </c>
      <c r="AF26" s="626" cm="1">
        <f t="array" aca="1" ref="AF26" ca="1">IF(OR($B26="",$M26=""),"",IFERROR(IF($C26="売",_xlfn.MINIFS(安値!$E$3:$IT$3,安値!$E$3:$IT$3,"&gt;"&amp;$E26,安値!$E$3:$IT$3,"&lt;="&amp;$AE26,OFFSET(安値!$E$6:$IT$6,MATCH(TEXT($B26,"0"),TEXT(銘柄管理!$B$6:$B$305,"0"),0)-1,0),"&lt;="&amp;$M26),_xlfn.MINIFS(高値!$E$3:$IT$3,高値!$E$3:$IT$3,"&gt;"&amp;$E26,高値!$E$3:$IT$3,"&lt;="&amp;$AE26,OFFSET(高値!$E$6:$IT$6,MATCH(TEXT($B26,"0"),TEXT(銘柄管理!$B$6:$B$305,"0"),0)-1,0),"&gt;="&amp;$M26)),""))</f>
        <v>0</v>
      </c>
      <c r="AG26" s="626" cm="1">
        <f t="array" aca="1" ref="AG26" ca="1">IF(OR($B26="",$N26=""),"",IFERROR(IF($C26="売",_xlfn.MINIFS(高値!$E$3:$IT$3,高値!$E$3:$IT$3,"&gt;"&amp;$E26,高値!$E$3:$IT$3,"&lt;="&amp;$AE26,OFFSET(高値!$E$6:$IT$6,MATCH(TEXT($B26,"0"),TEXT(銘柄管理!$B$6:$B$305,"0"),0)-1,0),"&gt;="&amp;$N26),_xlfn.MINIFS(安値!$E$3:$IT$3,安値!$E$3:$IT$3,"&gt;"&amp;$E26,安値!$E$3:$IT$3,"&lt;="&amp;$AE26,OFFSET(安値!$E$6:$IT$6,MATCH(TEXT($B26,"0"),TEXT(銘柄管理!$B$6:$B$305,"0"),0)-1,0),"&lt;="&amp;$N26)),""))</f>
        <v>46237</v>
      </c>
      <c r="AH26" s="600" t="str">
        <f>IF(OR($B26="",$M26=""),"",IF(AND(N($AF26)=0,N($AG26)=0),IF(AND(ISNUMBER($H26),$H26&gt;0,IF($C26="売",$H26&gt;=$N26,$H26&lt;=$N26)),"損切確定",IF(AND(ISNUMBER($H26),$H26&gt;0,IF($C26="売",$H26&lt;=$M26,$H26&gt;=$M26)),"利益確定",IF($AE26&lt;=TODAY(),"日数制限","保有中"))),IF(N($AG26)=0,"利益確定",IF(N($AF26)=0,"損切確定",IF($AG26&lt;=$AF26,"損切確定","利益確定")))))</f>
        <v>損切確定</v>
      </c>
      <c r="AI26" s="600" t="str" cm="1">
        <f t="array" ref="AI26">IFERROR(INDEX(始値!$E$6:$IT$305,MATCH(TEXT($B26,"0"),TEXT(銘柄管理!$B$6:$B$305,"0"),0),MATCH($AE26,始値!$E$3:$IT$3,0)),"")</f>
        <v/>
      </c>
      <c r="AJ26" s="905">
        <f ca="1">IF(OR($V26="",$F26="",$G26=""),"",$V26/($F26*$G26))</f>
        <v>-4.0300546448087435E-2</v>
      </c>
      <c r="AK26" s="629" t="str">
        <f>IF($V26="","",IF($V26&gt;0,"○勝",IF($V26&lt;0,"●負","△引分")))</f>
        <v>●負</v>
      </c>
      <c r="AL26" s="613"/>
      <c r="AM26" s="615"/>
      <c r="AN26" s="613"/>
      <c r="AO26" s="615"/>
      <c r="AP26" s="615"/>
      <c r="AQ26" s="615"/>
      <c r="AR26" s="613"/>
      <c r="AS26" s="613"/>
      <c r="BB26" s="600" t="str">
        <f>IF(N(買抽出v13!$C26)=0,"",N(買抽出v13!$Q26)+N(買抽出v13!$L26)/1000-ROW()/1000000)</f>
        <v/>
      </c>
      <c r="BC26" s="600" t="str">
        <f>IF(N(売抽出v13!$C26)=0,"",N(売抽出v13!$Q26)+IFERROR(VALUE(SUBSTITUTE(売抽出v13!$L26,"倍","")),0)/1000-ROW()/1000000)</f>
        <v/>
      </c>
    </row>
    <row r="27" spans="1:55" ht="35.4" customHeight="1">
      <c r="A27" s="619" t="str">
        <f>IF(B27="","",HYPERLINK("https://kabutan.jp/stock/?code="&amp;B27,"株探"))</f>
        <v>株探</v>
      </c>
      <c r="B27" s="481">
        <v>4523</v>
      </c>
      <c r="C27" s="482" t="s">
        <v>998</v>
      </c>
      <c r="D27" s="483" t="str" cm="1">
        <f t="array" ref="D27">_xll.RssMarket(B27, "銘柄名称")</f>
        <v>エーザイ</v>
      </c>
      <c r="E27" s="715">
        <v>46233</v>
      </c>
      <c r="F27" s="698" cm="1">
        <f t="array" aca="1" ref="F27" ca="1">IFERROR(_xlfn.LET(_xlpm.r,MATCH(TEXT($B27,"0"),TEXT(銘柄管理!$B$6:$B$305,"0"),0),_xlpm.t,MOD(NOW(),1),_xlpm.c,IF($E27=TODAY(),IF(_xlpm.t&gt;=TIME(15,30,0),NA(),1),IF(MATCH($E27,始値!$E$3:$IT$3,0)=1,1,MATCH($E27,始値!$E$3:$IT$3,0)+1)),_xlpm.v,INDEX(始値!$C$6:$IT$305,_xlpm.r,_xlpm.c),IF(N(_xlpm.v)=0,"",_xlpm.v)),"")</f>
        <v>4900</v>
      </c>
      <c r="G27" s="484">
        <v>100</v>
      </c>
      <c r="H27" s="485" cm="1">
        <f t="array" ref="H27">_xll.RssMarket(B27, "現在値")</f>
        <v>4691</v>
      </c>
      <c r="I27" s="485" cm="1">
        <f t="array" ref="I27">_xll.RssMarket(B27, "出来高加重平均")</f>
        <v>4630.1102000000001</v>
      </c>
      <c r="J27" s="700" cm="1">
        <f t="array" ref="J27">_xll.RssMarket($B27, "前日比")</f>
        <v>171</v>
      </c>
      <c r="K27" s="700">
        <f>IF(OR(F27="",G27="",H27=""),"",IF(C27="売",(F27-H27)*G27,(H27-F27)*G27))</f>
        <v>-20900</v>
      </c>
      <c r="L27" s="705">
        <f>IF(OR(F27="",H27=""),"",IF(C27="売",(F27-H27)/F27,(H27-F27)/F27))</f>
        <v>-4.2653061224489794E-2</v>
      </c>
      <c r="M27" s="485">
        <f>IF($F27="","",$F27*IF($C27="売",1-V811設定!$B$4,1+V811設定!$B$4)-MOD($F27*IF($C27="売",1-V811設定!$B$4,1+V811設定!$B$4),IF($F27&lt;=3000,1,IF($F27&lt;=5000,5,IF($F27&lt;=30000,10,IF($F27&lt;=50000,50,IF($F27&lt;=300000,100,500))))))+IF(AND($C27="売",MOD($F27*IF($C27="売",1-V811設定!$B$4,1+V811設定!$B$4),IF($F27&lt;=3000,1,IF($F27&lt;=5000,5,IF($F27&lt;=30000,10,IF($F27&lt;=50000,50,IF($F27&lt;=300000,100,500))))))&gt;0),IF($F27&lt;=3000,1,IF($F27&lt;=5000,5,IF($F27&lt;=30000,10,IF($F27&lt;=50000,50,IF($F27&lt;=300000,100,500))))),0))</f>
      </c>
      <c r="N27" s="485">
        <f>IF($F27="","",$F27*IF($C27="売",1+V811設定!$B$3,1-V811設定!$B$3)-MOD($F27*IF($C27="売",1+V811設定!$B$3,1-V811設定!$B$3),IF($F27&lt;=3000,1,IF($F27&lt;=5000,5,IF($F27&lt;=30000,10,IF($F27&lt;=50000,50,IF($F27&lt;=300000,100,500))))))+IF(AND($C27="売",MOD($F27*IF($C27="売",1+V811設定!$B$3,1-V811設定!$B$3),IF($F27&lt;=3000,1,IF($F27&lt;=5000,5,IF($F27&lt;=30000,10,IF($F27&lt;=50000,50,IF($F27&lt;=300000,100,500))))))&gt;0),IF($F27&lt;=3000,1,IF($F27&lt;=5000,5,IF($F27&lt;=30000,10,IF($F27&lt;=50000,50,IF($F27&lt;=300000,100,500))))),0))</f>
      </c>
      <c r="O27" s="486" t="str">
        <f>IF(OR($B27="",$F27="",$H27=""),"",IF($S27="✅売却済","―決済済―",IF($C27="売",IF($H27&lt;=$M27,"🟢利確",IF(AND($R27&lt;&gt;"",$H27&gt;=$R27),"🟠TRAIL",IF($H27&gt;=$N27,"🔴損切",IF($W27&gt;=V811設定!$B$6,"⏱時間決済",IF($H27&gt;=$F27*(1+V811設定!$B$3*0.7),"⚠️損切接近","保持継続"))))),IF($H27&gt;=$M27,"🟢利確",IF(AND($R27&lt;&gt;"",$H27&lt;=$R27),"🟠TRAIL",IF($H27&lt;=$N27,"🔴損切",IF($W27&gt;=V811設定!$B$6,"⏱時間決済",IF($H27&lt;=$F27*(1-V811設定!$B$3*0.7),"⚠️損切接近","保持継続"))))))))</f>
      </c>
      <c r="P27" s="485">
        <f ca="1">IF(B27="","",IFERROR(MAX(OFFSET(高値!$E$6,IFERROR(MATCH(B27,銘柄管理!$B$6:$B$305,0),MATCH(TEXT(B27,"0"),銘柄管理!$B$6:$B$305,0))-1,0,1,10)),""))</f>
        <v>5132</v>
      </c>
      <c r="Q27" s="485">
        <f ca="1">IF(B27="","",IFERROR(MIN(OFFSET(安値!$E$6,IFERROR(MATCH(B27,銘柄管理!$B$6:$B$305,0),MATCH(TEXT(B27,"0"),銘柄管理!$B$6:$B$305,0))-1,0,1,10)),""))</f>
        <v>4476</v>
      </c>
      <c r="R27" s="485">
        <f>IF(OR($F27="",$H27="",$N27=""),"",IF($S27="✅売却済","",IF($C27="売",IF($H27&gt;$F27*(1-V811設定!$B$3),$N27,MIN($N27,IF($Q27="",$N27,$Q27*1.03))),IF($H27&lt;$F27*(1+V811設定!$B$3),$N27,MAX($N27,IF($P27="",$N27,$P27*0.97))))))</f>
      </c>
      <c r="S27" s="585" t="str">
        <f>IF(B27="","",IF(T27&lt;&gt;"","✅売却済",IF(OR(H27="",L27=""),"📌保有中",IF(L27&gt;=0.06,"🟢利確推奨",IF(L27&gt;=0.05,"🟡利確直近",IF(L27&gt;=0.045,"🔵トレーリング検討",IF(L27&gt;-0.03,"📌保有中",IF(L27&gt;-0.04,"⚠️損切注意","🔴損切り"))))))))</f>
        <v>✅売却済</v>
      </c>
      <c r="T27" s="593">
        <v>46237</v>
      </c>
      <c r="U27" s="485">
        <v>4704</v>
      </c>
      <c r="V27" s="700">
        <f>IF(OR(F27="",G27="",U27=""),"",IF(C27="売",(F27-U27)*G27,(U27-F27)*G27))</f>
        <v>-19600</v>
      </c>
      <c r="W27" s="487">
        <f>IF(OR($E27="",$B27=""),"",IF($T27&lt;&gt;"",$T27-$E27,TODAY()-$E27)+1)</f>
        <v>5</v>
      </c>
      <c r="X27" s="484" t="str">
        <f>IF(OR($AH27="",$AH27="保有中"),"",$AH27)</f>
        <v>損切確定</v>
      </c>
      <c r="Y27" s="488"/>
      <c r="Z27" s="710">
        <v>16</v>
      </c>
      <c r="AA27" s="600" t="s">
        <v>1357</v>
      </c>
      <c r="AD27" s="608" t="s">
        <v>1322</v>
      </c>
      <c r="AE27" s="624">
        <f>IF($E27="","",WORKDAY($E27,12))</f>
        <v>46251</v>
      </c>
      <c r="AF27" s="626" cm="1">
        <f t="array" aca="1" ref="AF27" ca="1">IF(OR($B27="",$M27=""),"",IFERROR(IF($C27="売",_xlfn.MINIFS(安値!$E$3:$IT$3,安値!$E$3:$IT$3,"&gt;"&amp;$E27,安値!$E$3:$IT$3,"&lt;="&amp;$AE27,OFFSET(安値!$E$6:$IT$6,MATCH(TEXT($B27,"0"),TEXT(銘柄管理!$B$6:$B$305,"0"),0)-1,0),"&lt;="&amp;$M27),_xlfn.MINIFS(高値!$E$3:$IT$3,高値!$E$3:$IT$3,"&gt;"&amp;$E27,高値!$E$3:$IT$3,"&lt;="&amp;$AE27,OFFSET(高値!$E$6:$IT$6,MATCH(TEXT($B27,"0"),TEXT(銘柄管理!$B$6:$B$305,"0"),0)-1,0),"&gt;="&amp;$M27)),""))</f>
        <v>0</v>
      </c>
      <c r="AG27" s="626" cm="1">
        <f t="array" aca="1" ref="AG27" ca="1">IF(OR($B27="",$N27=""),"",IFERROR(IF($C27="売",_xlfn.MINIFS(高値!$E$3:$IT$3,高値!$E$3:$IT$3,"&gt;"&amp;$E27,高値!$E$3:$IT$3,"&lt;="&amp;$AE27,OFFSET(高値!$E$6:$IT$6,MATCH(TEXT($B27,"0"),TEXT(銘柄管理!$B$6:$B$305,"0"),0)-1,0),"&gt;="&amp;$N27),_xlfn.MINIFS(安値!$E$3:$IT$3,安値!$E$3:$IT$3,"&gt;"&amp;$E27,安値!$E$3:$IT$3,"&lt;="&amp;$AE27,OFFSET(安値!$E$6:$IT$6,MATCH(TEXT($B27,"0"),TEXT(銘柄管理!$B$6:$B$305,"0"),0)-1,0),"&lt;="&amp;$N27)),""))</f>
        <v>46237</v>
      </c>
      <c r="AH27" s="600" t="str">
        <f>IF(OR($B27="",$M27=""),"",IF(AND(N($AF27)=0,N($AG27)=0),IF(AND(ISNUMBER($H27),$H27&gt;0,IF($C27="売",$H27&gt;=$N27,$H27&lt;=$N27)),"損切確定",IF(AND(ISNUMBER($H27),$H27&gt;0,IF($C27="売",$H27&lt;=$M27,$H27&gt;=$M27)),"利益確定",IF($AE27&lt;=TODAY(),"日数制限","保有中"))),IF(N($AG27)=0,"利益確定",IF(N($AF27)=0,"損切確定",IF($AG27&lt;=$AF27,"損切確定","利益確定")))))</f>
        <v>損切確定</v>
      </c>
      <c r="AI27" s="600" t="str" cm="1">
        <f t="array" ref="AI27">IFERROR(INDEX(始値!$E$6:$IT$305,MATCH(TEXT($B27,"0"),TEXT(銘柄管理!$B$6:$B$305,"0"),0),MATCH($AE27,始値!$E$3:$IT$3,0)),"")</f>
        <v/>
      </c>
      <c r="AJ27" s="905">
        <f>IF(OR($V27="",$F27="",$G27=""),"",$V27/($F27*$G27))</f>
        <v>-0.04</v>
      </c>
      <c r="AK27" s="629" t="str">
        <f>IF($V27="","",IF($V27&gt;0,"○勝",IF($V27&lt;0,"●負","△引分")))</f>
        <v>●負</v>
      </c>
      <c r="AL27" s="613"/>
      <c r="AM27" s="615"/>
      <c r="AN27" s="613"/>
      <c r="AO27" s="615"/>
      <c r="AP27" s="615"/>
      <c r="AQ27" s="615"/>
      <c r="AR27" s="613"/>
      <c r="AS27" s="613"/>
      <c r="BB27" s="600" t="str">
        <f>IF(N(買抽出v13!$C27)=0,"",N(買抽出v13!$Q27)+N(買抽出v13!$L27)/1000-ROW()/1000000)</f>
        <v/>
      </c>
      <c r="BC27" s="600" t="str">
        <f>IF(N(売抽出v13!$C27)=0,"",N(売抽出v13!$Q27)+IFERROR(VALUE(SUBSTITUTE(売抽出v13!$L27,"倍","")),0)/1000-ROW()/1000000)</f>
        <v/>
      </c>
    </row>
    <row r="28" spans="1:55" ht="35.4" customHeight="1">
      <c r="A28" s="619" t="str">
        <f>IF(B28="","",HYPERLINK("https://kabutan.jp/stock/?code="&amp;B28,"株探"))</f>
        <v>株探</v>
      </c>
      <c r="B28" s="489">
        <v>4082</v>
      </c>
      <c r="C28" s="490" t="s">
        <v>999</v>
      </c>
      <c r="D28" s="623" t="str" cm="1">
        <f t="array" ref="D28">_xll.RssMarket(B28, "銘柄名称")</f>
        <v>第一稀元素化学工</v>
      </c>
      <c r="E28" s="716">
        <v>46233</v>
      </c>
      <c r="F28" s="698" cm="1">
        <f t="array" aca="1" ref="F28" ca="1">IFERROR(_xlfn.LET(_xlpm.r,MATCH(TEXT($B28,"0"),TEXT(銘柄管理!$B$6:$B$305,"0"),0),_xlpm.t,MOD(NOW(),1),_xlpm.c,IF($E28=TODAY(),IF(_xlpm.t&gt;=TIME(15,30,0),NA(),1),IF(MATCH($E28,始値!$E$3:$IT$3,0)=1,1,MATCH($E28,始値!$E$3:$IT$3,0)+1)),_xlpm.v,INDEX(始値!$C$6:$IT$305,_xlpm.r,_xlpm.c),IF(N(_xlpm.v)=0,"",_xlpm.v)),"")</f>
        <v>1748</v>
      </c>
      <c r="G28" s="489">
        <v>100</v>
      </c>
      <c r="H28" s="491" cm="1">
        <f t="array" ref="H28">_xll.RssMarket(B28, "現在値")</f>
        <v>1921</v>
      </c>
      <c r="I28" s="491" cm="1">
        <f t="array" ref="I28">_xll.RssMarket(B28, "出来高加重平均")</f>
        <v>1922.3972000000001</v>
      </c>
      <c r="J28" s="701" cm="1">
        <f t="array" ref="J28">_xll.RssMarket($B28, "前日比")</f>
        <v>-28</v>
      </c>
      <c r="K28" s="701">
        <f>IF(OR(F28="",G28="",H28=""),"",IF(C28="売",(F28-H28)*G28,(H28-F28)*G28))</f>
        <v>-17300</v>
      </c>
      <c r="L28" s="706">
        <f>IF(OR(F28="",H28=""),"",IF(C28="売",(F28-H28)/F28,(H28-F28)/F28))</f>
        <v>-9.897025171624714E-2</v>
      </c>
      <c r="M28" s="491">
        <f>IF($F28="","",$F28*IF($C28="売",1-V811設定!$B$4,1+V811設定!$B$4)-MOD($F28*IF($C28="売",1-V811設定!$B$4,1+V811設定!$B$4),IF($F28&lt;=3000,1,IF($F28&lt;=5000,5,IF($F28&lt;=30000,10,IF($F28&lt;=50000,50,IF($F28&lt;=300000,100,500))))))+IF(AND($C28="売",MOD($F28*IF($C28="売",1-V811設定!$B$4,1+V811設定!$B$4),IF($F28&lt;=3000,1,IF($F28&lt;=5000,5,IF($F28&lt;=30000,10,IF($F28&lt;=50000,50,IF($F28&lt;=300000,100,500))))))&gt;0),IF($F28&lt;=3000,1,IF($F28&lt;=5000,5,IF($F28&lt;=30000,10,IF($F28&lt;=50000,50,IF($F28&lt;=300000,100,500))))),0))</f>
      </c>
      <c r="N28" s="491">
        <f>IF($F28="","",$F28*IF($C28="売",1+V811設定!$B$3,1-V811設定!$B$3)-MOD($F28*IF($C28="売",1+V811設定!$B$3,1-V811設定!$B$3),IF($F28&lt;=3000,1,IF($F28&lt;=5000,5,IF($F28&lt;=30000,10,IF($F28&lt;=50000,50,IF($F28&lt;=300000,100,500))))))+IF(AND($C28="売",MOD($F28*IF($C28="売",1+V811設定!$B$3,1-V811設定!$B$3),IF($F28&lt;=3000,1,IF($F28&lt;=5000,5,IF($F28&lt;=30000,10,IF($F28&lt;=50000,50,IF($F28&lt;=300000,100,500))))))&gt;0),IF($F28&lt;=3000,1,IF($F28&lt;=5000,5,IF($F28&lt;=30000,10,IF($F28&lt;=50000,50,IF($F28&lt;=300000,100,500))))),0))</f>
      </c>
      <c r="O28" s="492" t="str">
        <f>IF(OR($B28="",$F28="",$H28=""),"",IF($S28="✅売却済","―決済済―",IF($C28="売",IF($H28&lt;=$M28,"🟢利確",IF(AND($R28&lt;&gt;"",$H28&gt;=$R28),"🟠TRAIL",IF($H28&gt;=$N28,"🔴損切",IF($W28&gt;=V811設定!$B$6,"⏱時間決済",IF($H28&gt;=$F28*(1+V811設定!$B$3*0.7),"⚠️損切接近","保持継続"))))),IF($H28&gt;=$M28,"🟢利確",IF(AND($R28&lt;&gt;"",$H28&lt;=$R28),"🟠TRAIL",IF($H28&lt;=$N28,"🔴損切",IF($W28&gt;=V811設定!$B$6,"⏱時間決済",IF($H28&lt;=$F28*(1-V811設定!$B$3*0.7),"⚠️損切接近","保持継続"))))))))</f>
      </c>
      <c r="P28" s="491">
        <f ca="1">IF(B28="","",IFERROR(MAX(OFFSET(高値!$E$6,IFERROR(MATCH(B28,銘柄管理!$B$6:$B$305,0),MATCH(TEXT(B28,"0"),銘柄管理!$B$6:$B$305,0))-1,0,1,10)),""))</f>
        <v>1958</v>
      </c>
      <c r="Q28" s="491">
        <f ca="1">IF(B28="","",IFERROR(MIN(OFFSET(安値!$E$6,IFERROR(MATCH(B28,銘柄管理!$B$6:$B$305,0),MATCH(TEXT(B28,"0"),銘柄管理!$B$6:$B$305,0))-1,0,1,10)),""))</f>
        <v>1648</v>
      </c>
      <c r="R28" s="491">
        <f>IF(OR($F28="",$H28="",$N28=""),"",IF($S28="✅売却済","",IF($C28="売",IF($H28&gt;$F28*(1-V811設定!$B$3),$N28,MIN($N28,IF($Q28="",$N28,$Q28*1.03))),IF($H28&lt;$F28*(1+V811設定!$B$3),$N28,MAX($N28,IF($P28="",$N28,$P28*0.97))))))</f>
      </c>
      <c r="S28" s="586" t="str">
        <f>IF(B28="","",IF(T28&lt;&gt;"","✅売却済",IF(OR(H28="",L28=""),"📌保有中",IF(L28&gt;=0.06,"🟢利確推奨",IF(L28&gt;=0.05,"🟡利確直近",IF(L28&gt;=0.045,"🔵トレーリング検討",IF(L28&gt;-0.03,"📌保有中",IF(L28&gt;-0.04,"⚠️損切注意","🔴損切り"))))))))</f>
        <v>✅売却済</v>
      </c>
      <c r="T28" s="594">
        <v>46237</v>
      </c>
      <c r="U28" s="491">
        <v>1818</v>
      </c>
      <c r="V28" s="701">
        <f>IF(OR(F28="",G28="",U28=""),"",IF(C28="売",(F28-U28)*G28,(U28-F28)*G28))</f>
        <v>-7000</v>
      </c>
      <c r="W28" s="493">
        <f>IF(OR($E28="",$B28=""),"",IF($T28&lt;&gt;"",$T28-$E28,TODAY()-$E28)+1)</f>
        <v>5</v>
      </c>
      <c r="X28" s="489" t="str">
        <f>IF(OR($AH28="",$AH28="保有中"),"",$AH28)</f>
        <v>損切確定</v>
      </c>
      <c r="Y28" s="488"/>
      <c r="Z28" s="710">
        <v>21</v>
      </c>
      <c r="AA28" s="600" t="s">
        <v>1358</v>
      </c>
      <c r="AD28" s="608" t="s">
        <v>1323</v>
      </c>
      <c r="AE28" s="624">
        <f>IF($E28="","",WORKDAY($E28,12))</f>
        <v>46251</v>
      </c>
      <c r="AF28" s="626" cm="1">
        <f t="array" aca="1" ref="AF28" ca="1">IF(OR($B28="",$M28=""),"",IFERROR(IF($C28="売",_xlfn.MINIFS(安値!$E$3:$IT$3,安値!$E$3:$IT$3,"&gt;"&amp;$E28,安値!$E$3:$IT$3,"&lt;="&amp;$AE28,OFFSET(安値!$E$6:$IT$6,MATCH(TEXT($B28,"0"),TEXT(銘柄管理!$B$6:$B$305,"0"),0)-1,0),"&lt;="&amp;$M28),_xlfn.MINIFS(高値!$E$3:$IT$3,高値!$E$3:$IT$3,"&gt;"&amp;$E28,高値!$E$3:$IT$3,"&lt;="&amp;$AE28,OFFSET(高値!$E$6:$IT$6,MATCH(TEXT($B28,"0"),TEXT(銘柄管理!$B$6:$B$305,"0"),0)-1,0),"&gt;="&amp;$M28)),""))</f>
        <v>0</v>
      </c>
      <c r="AG28" s="626" cm="1">
        <f t="array" aca="1" ref="AG28" ca="1">IF(OR($B28="",$N28=""),"",IFERROR(IF($C28="売",_xlfn.MINIFS(高値!$E$3:$IT$3,高値!$E$3:$IT$3,"&gt;"&amp;$E28,高値!$E$3:$IT$3,"&lt;="&amp;$AE28,OFFSET(高値!$E$6:$IT$6,MATCH(TEXT($B28,"0"),TEXT(銘柄管理!$B$6:$B$305,"0"),0)-1,0),"&gt;="&amp;$N28),_xlfn.MINIFS(安値!$E$3:$IT$3,安値!$E$3:$IT$3,"&gt;"&amp;$E28,安値!$E$3:$IT$3,"&lt;="&amp;$AE28,OFFSET(安値!$E$6:$IT$6,MATCH(TEXT($B28,"0"),TEXT(銘柄管理!$B$6:$B$305,"0"),0)-1,0),"&lt;="&amp;$N28)),""))</f>
        <v>46237</v>
      </c>
      <c r="AH28" s="600" t="str">
        <f>IF(OR($B28="",$M28=""),"",IF(AND(N($AF28)=0,N($AG28)=0),IF(AND(ISNUMBER($H28),$H28&gt;0,IF($C28="売",$H28&gt;=$N28,$H28&lt;=$N28)),"損切確定",IF(AND(ISNUMBER($H28),$H28&gt;0,IF($C28="売",$H28&lt;=$M28,$H28&gt;=$M28)),"利益確定",IF($AE28&lt;=TODAY(),"日数制限","保有中"))),IF(N($AG28)=0,"利益確定",IF(N($AF28)=0,"損切確定",IF($AG28&lt;=$AF28,"損切確定","利益確定")))))</f>
        <v>損切確定</v>
      </c>
      <c r="AI28" s="600" t="str" cm="1">
        <f t="array" ref="AI28">IFERROR(INDEX(始値!$E$6:$IT$305,MATCH(TEXT($B28,"0"),TEXT(銘柄管理!$B$6:$B$305,"0"),0),MATCH($AE28,始値!$E$3:$IT$3,0)),"")</f>
        <v/>
      </c>
      <c r="AJ28" s="905">
        <f>IF(OR($V28="",$F28="",$G28=""),"",$V28/($F28*$G28))</f>
        <v>-4.0045766590389019E-2</v>
      </c>
      <c r="AK28" s="629" t="str">
        <f>IF($V28="","",IF($V28&gt;0,"○勝",IF($V28&lt;0,"●負","△引分")))</f>
        <v>●負</v>
      </c>
      <c r="AL28" s="613"/>
      <c r="AM28" s="615"/>
      <c r="AN28" s="613"/>
      <c r="AO28" s="615"/>
      <c r="AP28" s="615"/>
      <c r="AQ28" s="615"/>
      <c r="AR28" s="613"/>
      <c r="AS28" s="613"/>
      <c r="BB28" s="600" t="str">
        <f>IF(N(買抽出v13!$C28)=0,"",N(買抽出v13!$Q28)+N(買抽出v13!$L28)/1000-ROW()/1000000)</f>
        <v/>
      </c>
      <c r="BC28" s="600" t="str">
        <f>IF(N(売抽出v13!$C28)=0,"",N(売抽出v13!$Q28)+IFERROR(VALUE(SUBSTITUTE(売抽出v13!$L28,"倍","")),0)/1000-ROW()/1000000)</f>
        <v/>
      </c>
    </row>
    <row r="29" spans="1:55" ht="35.4" customHeight="1">
      <c r="A29" s="619" t="str">
        <f>IF(B29="","",HYPERLINK("https://kabutan.jp/stock/?code="&amp;B29,"株探"))</f>
        <v>株探</v>
      </c>
      <c r="B29" s="489">
        <v>3891</v>
      </c>
      <c r="C29" s="490" t="s">
        <v>999</v>
      </c>
      <c r="D29" s="623" t="str" cm="1">
        <f t="array" ref="D29">_xll.RssMarket(B29, "銘柄名称")</f>
        <v>ニッポン高度紙工業</v>
      </c>
      <c r="E29" s="716">
        <v>46233</v>
      </c>
      <c r="F29" s="698" cm="1">
        <f t="array" aca="1" ref="F29" ca="1">IFERROR(_xlfn.LET(_xlpm.r,MATCH(TEXT($B29,"0"),TEXT(銘柄管理!$B$6:$B$305,"0"),0),_xlpm.t,MOD(NOW(),1),_xlpm.c,IF($E29=TODAY(),IF(_xlpm.t&gt;=TIME(15,30,0),NA(),1),IF(MATCH($E29,始値!$E$3:$IT$3,0)=1,1,MATCH($E29,始値!$E$3:$IT$3,0)+1)),_xlpm.v,INDEX(始値!$C$6:$IT$305,_xlpm.r,_xlpm.c),IF(N(_xlpm.v)=0,"",_xlpm.v)),"")</f>
        <v>6630</v>
      </c>
      <c r="G29" s="489">
        <v>100</v>
      </c>
      <c r="H29" s="491" cm="1">
        <f t="array" ref="H29">_xll.RssMarket(B29, "現在値")</f>
        <v>7180</v>
      </c>
      <c r="I29" s="491" cm="1">
        <f t="array" ref="I29">_xll.RssMarket(B29, "出来高加重平均")</f>
        <v>7050.0761000000002</v>
      </c>
      <c r="J29" s="701" cm="1">
        <f t="array" ref="J29">_xll.RssMarket($B29, "前日比")</f>
        <v>-130</v>
      </c>
      <c r="K29" s="701">
        <f>IF(OR(F29="",G29="",H29=""),"",IF(C29="売",(F29-H29)*G29,(H29-F29)*G29))</f>
        <v>-55000</v>
      </c>
      <c r="L29" s="706">
        <f>IF(OR(F29="",H29=""),"",IF(C29="売",(F29-H29)/F29,(H29-F29)/F29))</f>
        <v>-8.2956259426847659E-2</v>
      </c>
      <c r="M29" s="491">
        <f>IF($F29="","",$F29*IF($C29="売",1-V811設定!$B$4,1+V811設定!$B$4)-MOD($F29*IF($C29="売",1-V811設定!$B$4,1+V811設定!$B$4),IF($F29&lt;=3000,1,IF($F29&lt;=5000,5,IF($F29&lt;=30000,10,IF($F29&lt;=50000,50,IF($F29&lt;=300000,100,500))))))+IF(AND($C29="売",MOD($F29*IF($C29="売",1-V811設定!$B$4,1+V811設定!$B$4),IF($F29&lt;=3000,1,IF($F29&lt;=5000,5,IF($F29&lt;=30000,10,IF($F29&lt;=50000,50,IF($F29&lt;=300000,100,500))))))&gt;0),IF($F29&lt;=3000,1,IF($F29&lt;=5000,5,IF($F29&lt;=30000,10,IF($F29&lt;=50000,50,IF($F29&lt;=300000,100,500))))),0))</f>
      </c>
      <c r="N29" s="491">
        <f>IF($F29="","",$F29*IF($C29="売",1+V811設定!$B$3,1-V811設定!$B$3)-MOD($F29*IF($C29="売",1+V811設定!$B$3,1-V811設定!$B$3),IF($F29&lt;=3000,1,IF($F29&lt;=5000,5,IF($F29&lt;=30000,10,IF($F29&lt;=50000,50,IF($F29&lt;=300000,100,500))))))+IF(AND($C29="売",MOD($F29*IF($C29="売",1+V811設定!$B$3,1-V811設定!$B$3),IF($F29&lt;=3000,1,IF($F29&lt;=5000,5,IF($F29&lt;=30000,10,IF($F29&lt;=50000,50,IF($F29&lt;=300000,100,500))))))&gt;0),IF($F29&lt;=3000,1,IF($F29&lt;=5000,5,IF($F29&lt;=30000,10,IF($F29&lt;=50000,50,IF($F29&lt;=300000,100,500))))),0))</f>
      </c>
      <c r="O29" s="492" t="str">
        <f>IF(OR($B29="",$F29="",$H29=""),"",IF($S29="✅売却済","―決済済―",IF($C29="売",IF($H29&lt;=$M29,"🟢利確",IF(AND($R29&lt;&gt;"",$H29&gt;=$R29),"🟠TRAIL",IF($H29&gt;=$N29,"🔴損切",IF($W29&gt;=V811設定!$B$6,"⏱時間決済",IF($H29&gt;=$F29*(1+V811設定!$B$3*0.7),"⚠️損切接近","保持継続"))))),IF($H29&gt;=$M29,"🟢利確",IF(AND($R29&lt;&gt;"",$H29&lt;=$R29),"🟠TRAIL",IF($H29&lt;=$N29,"🔴損切",IF($W29&gt;=V811設定!$B$6,"⏱時間決済",IF($H29&lt;=$F29*(1-V811設定!$B$3*0.7),"⚠️損切接近","保持継続"))))))))</f>
      </c>
      <c r="P29" s="491">
        <f ca="1">IF(B29="","",IFERROR(MAX(OFFSET(高値!$E$6,IFERROR(MATCH(B29,銘柄管理!$B$6:$B$305,0),MATCH(TEXT(B29,"0"),銘柄管理!$B$6:$B$305,0))-1,0,1,10)),""))</f>
        <v>7700</v>
      </c>
      <c r="Q29" s="491">
        <f ca="1">IF(B29="","",IFERROR(MIN(OFFSET(安値!$E$6,IFERROR(MATCH(B29,銘柄管理!$B$6:$B$305,0),MATCH(TEXT(B29,"0"),銘柄管理!$B$6:$B$305,0))-1,0,1,10)),""))</f>
        <v>5310</v>
      </c>
      <c r="R29" s="491">
        <f>IF(OR($F29="",$H29="",$N29=""),"",IF($S29="✅売却済","",IF($C29="売",IF($H29&gt;$F29*(1-V811設定!$B$3),$N29,MIN($N29,IF($Q29="",$N29,$Q29*1.03))),IF($H29&lt;$F29*(1+V811設定!$B$3),$N29,MAX($N29,IF($P29="",$N29,$P29*0.97))))))</f>
      </c>
      <c r="S29" s="586" t="str">
        <f>IF(B29="","",IF(T29&lt;&gt;"","✅売却済",IF(OR(H29="",L29=""),"📌保有中",IF(L29&gt;=0.06,"🟢利確推奨",IF(L29&gt;=0.05,"🟡利確直近",IF(L29&gt;=0.045,"🔵トレーリング検討",IF(L29&gt;-0.03,"📌保有中",IF(L29&gt;-0.04,"⚠️損切注意","🔴損切り"))))))))</f>
        <v>✅売却済</v>
      </c>
      <c r="T29" s="594">
        <v>46237</v>
      </c>
      <c r="U29" s="491">
        <v>6895</v>
      </c>
      <c r="V29" s="701">
        <f>IF(OR(F29="",G29="",U29=""),"",IF(C29="売",(F29-U29)*G29,(U29-F29)*G29))</f>
        <v>-26500</v>
      </c>
      <c r="W29" s="493">
        <f>IF(OR($E29="",$B29=""),"",IF($T29&lt;&gt;"",$T29-$E29,TODAY()-$E29)+1)</f>
        <v>5</v>
      </c>
      <c r="X29" s="489" t="str">
        <f>IF(OR($AH29="",$AH29="保有中"),"",$AH29)</f>
        <v>損切確定</v>
      </c>
      <c r="Y29" s="488"/>
      <c r="Z29" s="710">
        <v>21</v>
      </c>
      <c r="AA29" s="600" t="s">
        <v>1359</v>
      </c>
      <c r="AD29" s="608" t="s">
        <v>1323</v>
      </c>
      <c r="AE29" s="624">
        <f>IF($E29="","",WORKDAY($E29,12))</f>
        <v>46251</v>
      </c>
      <c r="AF29" s="626" cm="1">
        <f t="array" aca="1" ref="AF29" ca="1">IF(OR($B29="",$M29=""),"",IFERROR(IF($C29="売",_xlfn.MINIFS(安値!$E$3:$IT$3,安値!$E$3:$IT$3,"&gt;"&amp;$E29,安値!$E$3:$IT$3,"&lt;="&amp;$AE29,OFFSET(安値!$E$6:$IT$6,MATCH(TEXT($B29,"0"),TEXT(銘柄管理!$B$6:$B$305,"0"),0)-1,0),"&lt;="&amp;$M29),_xlfn.MINIFS(高値!$E$3:$IT$3,高値!$E$3:$IT$3,"&gt;"&amp;$E29,高値!$E$3:$IT$3,"&lt;="&amp;$AE29,OFFSET(高値!$E$6:$IT$6,MATCH(TEXT($B29,"0"),TEXT(銘柄管理!$B$6:$B$305,"0"),0)-1,0),"&gt;="&amp;$M29)),""))</f>
        <v>0</v>
      </c>
      <c r="AG29" s="626" cm="1">
        <f t="array" aca="1" ref="AG29" ca="1">IF(OR($B29="",$N29=""),"",IFERROR(IF($C29="売",_xlfn.MINIFS(高値!$E$3:$IT$3,高値!$E$3:$IT$3,"&gt;"&amp;$E29,高値!$E$3:$IT$3,"&lt;="&amp;$AE29,OFFSET(高値!$E$6:$IT$6,MATCH(TEXT($B29,"0"),TEXT(銘柄管理!$B$6:$B$305,"0"),0)-1,0),"&gt;="&amp;$N29),_xlfn.MINIFS(安値!$E$3:$IT$3,安値!$E$3:$IT$3,"&gt;"&amp;$E29,安値!$E$3:$IT$3,"&lt;="&amp;$AE29,OFFSET(安値!$E$6:$IT$6,MATCH(TEXT($B29,"0"),TEXT(銘柄管理!$B$6:$B$305,"0"),0)-1,0),"&lt;="&amp;$N29)),""))</f>
        <v>46237</v>
      </c>
      <c r="AH29" s="600" t="str">
        <f>IF(OR($B29="",$M29=""),"",IF(AND(N($AF29)=0,N($AG29)=0),IF(AND(ISNUMBER($H29),$H29&gt;0,IF($C29="売",$H29&gt;=$N29,$H29&lt;=$N29)),"損切確定",IF(AND(ISNUMBER($H29),$H29&gt;0,IF($C29="売",$H29&lt;=$M29,$H29&gt;=$M29)),"利益確定",IF($AE29&lt;=TODAY(),"日数制限","保有中"))),IF(N($AG29)=0,"利益確定",IF(N($AF29)=0,"損切確定",IF($AG29&lt;=$AF29,"損切確定","利益確定")))))</f>
        <v>損切確定</v>
      </c>
      <c r="AI29" s="600" t="str" cm="1">
        <f t="array" ref="AI29">IFERROR(INDEX(始値!$E$6:$IT$305,MATCH(TEXT($B29,"0"),TEXT(銘柄管理!$B$6:$B$305,"0"),0),MATCH($AE29,始値!$E$3:$IT$3,0)),"")</f>
        <v/>
      </c>
      <c r="AJ29" s="905">
        <f>IF(OR($V29="",$F29="",$G29=""),"",$V29/($F29*$G29))</f>
        <v>-3.9969834087481143E-2</v>
      </c>
      <c r="AK29" s="629" t="str">
        <f>IF($V29="","",IF($V29&gt;0,"○勝",IF($V29&lt;0,"●負","△引分")))</f>
        <v>●負</v>
      </c>
      <c r="AL29" s="613"/>
      <c r="AM29" s="615"/>
      <c r="AN29" s="613"/>
      <c r="AO29" s="615"/>
      <c r="AP29" s="615"/>
      <c r="AQ29" s="615"/>
      <c r="AR29" s="613"/>
      <c r="AS29" s="613"/>
      <c r="BB29" s="600" t="str">
        <f>IF(N(買抽出v13!$C29)=0,"",N(買抽出v13!$Q29)+N(買抽出v13!$L29)/1000-ROW()/1000000)</f>
        <v/>
      </c>
      <c r="BC29" s="600" t="str">
        <f>IF(N(売抽出v13!$C29)=0,"",N(売抽出v13!$Q29)+IFERROR(VALUE(SUBSTITUTE(売抽出v13!$L29,"倍","")),0)/1000-ROW()/1000000)</f>
        <v/>
      </c>
    </row>
    <row r="30" spans="1:55" ht="35.4" customHeight="1">
      <c r="A30" s="619" t="str">
        <f>IF(B30="","",HYPERLINK("https://kabutan.jp/stock/?code="&amp;B30,"株探"))</f>
        <v>株探</v>
      </c>
      <c r="B30" s="489">
        <v>3397</v>
      </c>
      <c r="C30" s="490" t="s">
        <v>998</v>
      </c>
      <c r="D30" s="623" t="str" cm="1">
        <f t="array" ref="D30">_xll.RssMarket(B30, "銘柄名称")</f>
        <v>トリドールホールディングス</v>
      </c>
      <c r="E30" s="716">
        <v>46233</v>
      </c>
      <c r="F30" s="698" cm="1">
        <f t="array" aca="1" ref="F30" ca="1">IFERROR(_xlfn.LET(_xlpm.r,MATCH(TEXT($B30,"0"),TEXT(銘柄管理!$B$6:$B$305,"0"),0),_xlpm.t,MOD(NOW(),1),_xlpm.c,IF($E30=TODAY(),IF(_xlpm.t&gt;=TIME(15,30,0),NA(),1),IF(MATCH($E30,始値!$E$3:$IT$3,0)=1,1,MATCH($E30,始値!$E$3:$IT$3,0)+1)),_xlpm.v,INDEX(始値!$C$6:$IT$305,_xlpm.r,_xlpm.c),IF(N(_xlpm.v)=0,"",_xlpm.v)),"")</f>
        <v>4351</v>
      </c>
      <c r="G30" s="489">
        <v>100</v>
      </c>
      <c r="H30" s="491" cm="1">
        <f t="array" ref="H30">_xll.RssMarket(B30, "現在値")</f>
        <v>4187</v>
      </c>
      <c r="I30" s="491" cm="1">
        <f t="array" ref="I30">_xll.RssMarket(B30, "出来高加重平均")</f>
        <v>4169.0524999999998</v>
      </c>
      <c r="J30" s="701" cm="1">
        <f t="array" ref="J30">_xll.RssMarket($B30, "前日比")</f>
        <v>57</v>
      </c>
      <c r="K30" s="701">
        <f>IF(OR(F30="",G30="",H30=""),"",IF(C30="売",(F30-H30)*G30,(H30-F30)*G30))</f>
        <v>-16400</v>
      </c>
      <c r="L30" s="706">
        <f>IF(OR(F30="",H30=""),"",IF(C30="売",(F30-H30)/F30,(H30-F30)/F30))</f>
        <v>-3.7692484486324986E-2</v>
      </c>
      <c r="M30" s="491">
        <f>IF($F30="","",$F30*IF($C30="売",1-V811設定!$B$4,1+V811設定!$B$4)-MOD($F30*IF($C30="売",1-V811設定!$B$4,1+V811設定!$B$4),IF($F30&lt;=3000,1,IF($F30&lt;=5000,5,IF($F30&lt;=30000,10,IF($F30&lt;=50000,50,IF($F30&lt;=300000,100,500))))))+IF(AND($C30="売",MOD($F30*IF($C30="売",1-V811設定!$B$4,1+V811設定!$B$4),IF($F30&lt;=3000,1,IF($F30&lt;=5000,5,IF($F30&lt;=30000,10,IF($F30&lt;=50000,50,IF($F30&lt;=300000,100,500))))))&gt;0),IF($F30&lt;=3000,1,IF($F30&lt;=5000,5,IF($F30&lt;=30000,10,IF($F30&lt;=50000,50,IF($F30&lt;=300000,100,500))))),0))</f>
      </c>
      <c r="N30" s="491">
        <f>IF($F30="","",$F30*IF($C30="売",1+V811設定!$B$3,1-V811設定!$B$3)-MOD($F30*IF($C30="売",1+V811設定!$B$3,1-V811設定!$B$3),IF($F30&lt;=3000,1,IF($F30&lt;=5000,5,IF($F30&lt;=30000,10,IF($F30&lt;=50000,50,IF($F30&lt;=300000,100,500))))))+IF(AND($C30="売",MOD($F30*IF($C30="売",1+V811設定!$B$3,1-V811設定!$B$3),IF($F30&lt;=3000,1,IF($F30&lt;=5000,5,IF($F30&lt;=30000,10,IF($F30&lt;=50000,50,IF($F30&lt;=300000,100,500))))))&gt;0),IF($F30&lt;=3000,1,IF($F30&lt;=5000,5,IF($F30&lt;=30000,10,IF($F30&lt;=50000,50,IF($F30&lt;=300000,100,500))))),0))</f>
      </c>
      <c r="O30" s="492" t="str">
        <f>IF(OR($B30="",$F30="",$H30=""),"",IF($S30="✅売却済","―決済済―",IF($C30="売",IF($H30&lt;=$M30,"🟢利確",IF(AND($R30&lt;&gt;"",$H30&gt;=$R30),"🟠TRAIL",IF($H30&gt;=$N30,"🔴損切",IF($W30&gt;=V811設定!$B$6,"⏱時間決済",IF($H30&gt;=$F30*(1+V811設定!$B$3*0.7),"⚠️損切接近","保持継続"))))),IF($H30&gt;=$M30,"🟢利確",IF(AND($R30&lt;&gt;"",$H30&lt;=$R30),"🟠TRAIL",IF($H30&lt;=$N30,"🔴損切",IF($W30&gt;=V811設定!$B$6,"⏱時間決済",IF($H30&lt;=$F30*(1-V811設定!$B$3*0.7),"⚠️損切接近","保持継続"))))))))</f>
      </c>
      <c r="P30" s="491">
        <f ca="1">IF(B30="","",IFERROR(MAX(OFFSET(高値!$E$6,IFERROR(MATCH(B30,銘柄管理!$B$6:$B$305,0),MATCH(TEXT(B30,"0"),銘柄管理!$B$6:$B$305,0))-1,0,1,10)),""))</f>
        <v>4660</v>
      </c>
      <c r="Q30" s="491">
        <f ca="1">IF(B30="","",IFERROR(MIN(OFFSET(安値!$E$6,IFERROR(MATCH(B30,銘柄管理!$B$6:$B$305,0),MATCH(TEXT(B30,"0"),銘柄管理!$B$6:$B$305,0))-1,0,1,10)),""))</f>
        <v>4009</v>
      </c>
      <c r="R30" s="491">
        <f>IF(OR($F30="",$H30="",$N30=""),"",IF($S30="✅売却済","",IF($C30="売",IF($H30&gt;$F30*(1-V811設定!$B$3),$N30,MIN($N30,IF($Q30="",$N30,$Q30*1.03))),IF($H30&lt;$F30*(1+V811設定!$B$3),$N30,MAX($N30,IF($P30="",$N30,$P30*0.97))))))</f>
      </c>
      <c r="S30" s="586" t="str">
        <f>IF(B30="","",IF(T30&lt;&gt;"","✅売却済",IF(OR(H30="",L30=""),"📌保有中",IF(L30&gt;=0.06,"🟢利確推奨",IF(L30&gt;=0.05,"🟡利確直近",IF(L30&gt;=0.045,"🔵トレーリング検討",IF(L30&gt;-0.03,"📌保有中",IF(L30&gt;-0.04,"⚠️損切注意","🔴損切り"))))))))</f>
        <v>✅売却済</v>
      </c>
      <c r="T30" s="594">
        <v>46238</v>
      </c>
      <c r="U30" s="491">
        <v>4177</v>
      </c>
      <c r="V30" s="701">
        <f>IF(OR(F30="",G30="",U30=""),"",IF(C30="売",(F30-U30)*G30,(U30-F30)*G30))</f>
        <v>-17400</v>
      </c>
      <c r="W30" s="493">
        <f>IF(OR($E30="",$B30=""),"",IF($T30&lt;&gt;"",$T30-$E30,TODAY()-$E30)+1)</f>
        <v>6</v>
      </c>
      <c r="X30" s="489" t="str">
        <f>IF(OR($AH30="",$AH30="保有中"),"",$AH30)</f>
        <v>損切確定</v>
      </c>
      <c r="Y30" s="488"/>
      <c r="Z30" s="710">
        <v>21</v>
      </c>
      <c r="AA30" s="600" t="s">
        <v>1353</v>
      </c>
      <c r="AD30" s="608" t="s">
        <v>1324</v>
      </c>
      <c r="AE30" s="624">
        <f>IF($E30="","",WORKDAY($E30,12))</f>
        <v>46251</v>
      </c>
      <c r="AF30" s="626" cm="1">
        <f t="array" aca="1" ref="AF30" ca="1">IF(OR($B30="",$M30=""),"",IFERROR(IF($C30="売",_xlfn.MINIFS(安値!$E$3:$IT$3,安値!$E$3:$IT$3,"&gt;"&amp;$E30,安値!$E$3:$IT$3,"&lt;="&amp;$AE30,OFFSET(安値!$E$6:$IT$6,MATCH(TEXT($B30,"0"),TEXT(銘柄管理!$B$6:$B$305,"0"),0)-1,0),"&lt;="&amp;$M30),_xlfn.MINIFS(高値!$E$3:$IT$3,高値!$E$3:$IT$3,"&gt;"&amp;$E30,高値!$E$3:$IT$3,"&lt;="&amp;$AE30,OFFSET(高値!$E$6:$IT$6,MATCH(TEXT($B30,"0"),TEXT(銘柄管理!$B$6:$B$305,"0"),0)-1,0),"&gt;="&amp;$M30)),""))</f>
        <v>0</v>
      </c>
      <c r="AG30" s="626" cm="1">
        <f t="array" aca="1" ref="AG30" ca="1">IF(OR($B30="",$N30=""),"",IFERROR(IF($C30="売",_xlfn.MINIFS(高値!$E$3:$IT$3,高値!$E$3:$IT$3,"&gt;"&amp;$E30,高値!$E$3:$IT$3,"&lt;="&amp;$AE30,OFFSET(高値!$E$6:$IT$6,MATCH(TEXT($B30,"0"),TEXT(銘柄管理!$B$6:$B$305,"0"),0)-1,0),"&gt;="&amp;$N30),_xlfn.MINIFS(安値!$E$3:$IT$3,安値!$E$3:$IT$3,"&gt;"&amp;$E30,安値!$E$3:$IT$3,"&lt;="&amp;$AE30,OFFSET(安値!$E$6:$IT$6,MATCH(TEXT($B30,"0"),TEXT(銘柄管理!$B$6:$B$305,"0"),0)-1,0),"&lt;="&amp;$N30)),""))</f>
        <v>46238</v>
      </c>
      <c r="AH30" s="600" t="str">
        <f>IF(OR($B30="",$M30=""),"",IF(AND(N($AF30)=0,N($AG30)=0),IF(AND(ISNUMBER($H30),$H30&gt;0,IF($C30="売",$H30&gt;=$N30,$H30&lt;=$N30)),"損切確定",IF(AND(ISNUMBER($H30),$H30&gt;0,IF($C30="売",$H30&lt;=$M30,$H30&gt;=$M30)),"利益確定",IF($AE30&lt;=TODAY(),"日数制限","保有中"))),IF(N($AG30)=0,"利益確定",IF(N($AF30)=0,"損切確定",IF($AG30&lt;=$AF30,"損切確定","利益確定")))))</f>
        <v>損切確定</v>
      </c>
      <c r="AI30" s="600" t="str" cm="1">
        <f t="array" ref="AI30">IFERROR(INDEX(始値!$E$6:$IT$305,MATCH(TEXT($B30,"0"),TEXT(銘柄管理!$B$6:$B$305,"0"),0),MATCH($AE30,始値!$E$3:$IT$3,0)),"")</f>
        <v/>
      </c>
      <c r="AJ30" s="905">
        <f>IF(OR($V30="",$F30="",$G30=""),"",$V30/($F30*$G30))</f>
        <v>-3.9990806711100897E-2</v>
      </c>
      <c r="AK30" s="629" t="str">
        <f>IF($V30="","",IF($V30&gt;0,"○勝",IF($V30&lt;0,"●負","△引分")))</f>
        <v>●負</v>
      </c>
      <c r="AL30" s="613"/>
      <c r="AM30" s="615"/>
      <c r="AN30" s="613"/>
      <c r="AO30" s="615"/>
      <c r="AP30" s="615"/>
      <c r="AQ30" s="615"/>
      <c r="AR30" s="613"/>
      <c r="AS30" s="613"/>
      <c r="BB30" s="600" t="str">
        <f>IF(N(買抽出v13!$C30)=0,"",N(買抽出v13!$Q30)+N(買抽出v13!$L30)/1000-ROW()/1000000)</f>
        <v/>
      </c>
      <c r="BC30" s="600" t="str">
        <f>IF(N(売抽出v13!$C30)=0,"",N(売抽出v13!$Q30)+IFERROR(VALUE(SUBSTITUTE(売抽出v13!$L30,"倍","")),0)/1000-ROW()/1000000)</f>
        <v/>
      </c>
    </row>
    <row r="31" spans="1:55" ht="35.4" customHeight="1">
      <c r="A31" s="619" t="str">
        <f>IF(B31="","",HYPERLINK("https://kabutan.jp/stock/?code="&amp;B31,"株探"))</f>
        <v>株探</v>
      </c>
      <c r="B31" s="489">
        <v>7981</v>
      </c>
      <c r="C31" s="490" t="s">
        <v>998</v>
      </c>
      <c r="D31" s="623" t="str" cm="1">
        <f t="array" ref="D31">_xll.RssMarket(B31, "銘柄名称")</f>
        <v>タカラスタンダ－ド</v>
      </c>
      <c r="E31" s="716">
        <v>46233</v>
      </c>
      <c r="F31" s="698" cm="1">
        <f t="array" aca="1" ref="F31" ca="1">IFERROR(_xlfn.LET(_xlpm.r,MATCH(TEXT($B31,"0"),TEXT(銘柄管理!$B$6:$B$305,"0"),0),_xlpm.t,MOD(NOW(),1),_xlpm.c,IF($E31=TODAY(),IF(_xlpm.t&gt;=TIME(15,30,0),NA(),1),IF(MATCH($E31,始値!$E$3:$IT$3,0)=1,1,MATCH($E31,始値!$E$3:$IT$3,0)+1)),_xlpm.v,INDEX(始値!$C$6:$IT$305,_xlpm.r,_xlpm.c),IF(N(_xlpm.v)=0,"",_xlpm.v)),"")</f>
        <v>3025</v>
      </c>
      <c r="G31" s="489">
        <v>100</v>
      </c>
      <c r="H31" s="491" cm="1">
        <f t="array" ref="H31">_xll.RssMarket(B31, "現在値")</f>
        <v>3055</v>
      </c>
      <c r="I31" s="491" cm="1">
        <f t="array" ref="I31">_xll.RssMarket(B31, "出来高加重平均")</f>
        <v>3039.5142000000001</v>
      </c>
      <c r="J31" s="701" cm="1">
        <f t="array" ref="J31">_xll.RssMarket($B31, "前日比")</f>
        <v>50</v>
      </c>
      <c r="K31" s="701">
        <f>IF(OR(F31="",G31="",H31=""),"",IF(C31="売",(F31-H31)*G31,(H31-F31)*G31))</f>
        <v>3000</v>
      </c>
      <c r="L31" s="706">
        <f>IF(OR(F31="",H31=""),"",IF(C31="売",(F31-H31)/F31,(H31-F31)/F31))</f>
        <v>9.9173553719008271E-3</v>
      </c>
      <c r="M31" s="491">
        <f>IF($F31="","",$F31*IF($C31="売",1-V811設定!$B$4,1+V811設定!$B$4)-MOD($F31*IF($C31="売",1-V811設定!$B$4,1+V811設定!$B$4),IF($F31&lt;=3000,1,IF($F31&lt;=5000,5,IF($F31&lt;=30000,10,IF($F31&lt;=50000,50,IF($F31&lt;=300000,100,500))))))+IF(AND($C31="売",MOD($F31*IF($C31="売",1-V811設定!$B$4,1+V811設定!$B$4),IF($F31&lt;=3000,1,IF($F31&lt;=5000,5,IF($F31&lt;=30000,10,IF($F31&lt;=50000,50,IF($F31&lt;=300000,100,500))))))&gt;0),IF($F31&lt;=3000,1,IF($F31&lt;=5000,5,IF($F31&lt;=30000,10,IF($F31&lt;=50000,50,IF($F31&lt;=300000,100,500))))),0))</f>
      </c>
      <c r="N31" s="491">
        <f>IF($F31="","",$F31*IF($C31="売",1+V811設定!$B$3,1-V811設定!$B$3)-MOD($F31*IF($C31="売",1+V811設定!$B$3,1-V811設定!$B$3),IF($F31&lt;=3000,1,IF($F31&lt;=5000,5,IF($F31&lt;=30000,10,IF($F31&lt;=50000,50,IF($F31&lt;=300000,100,500))))))+IF(AND($C31="売",MOD($F31*IF($C31="売",1+V811設定!$B$3,1-V811設定!$B$3),IF($F31&lt;=3000,1,IF($F31&lt;=5000,5,IF($F31&lt;=30000,10,IF($F31&lt;=50000,50,IF($F31&lt;=300000,100,500))))))&gt;0),IF($F31&lt;=3000,1,IF($F31&lt;=5000,5,IF($F31&lt;=30000,10,IF($F31&lt;=50000,50,IF($F31&lt;=300000,100,500))))),0))</f>
      </c>
      <c r="O31" s="492" t="str">
        <f>IF(OR($B31="",$F31="",$H31=""),"",IF($S31="✅売却済","―決済済―",IF($C31="売",IF($H31&lt;=$M31,"🟢利確",IF(AND($R31&lt;&gt;"",$H31&gt;=$R31),"🟠TRAIL",IF($H31&gt;=$N31,"🔴損切",IF($W31&gt;=V811設定!$B$6,"⏱時間決済",IF($H31&gt;=$F31*(1+V811設定!$B$3*0.7),"⚠️損切接近","保持継続"))))),IF($H31&gt;=$M31,"🟢利確",IF(AND($R31&lt;&gt;"",$H31&lt;=$R31),"🟠TRAIL",IF($H31&lt;=$N31,"🔴損切",IF($W31&gt;=V811設定!$B$6,"⏱時間決済",IF($H31&lt;=$F31*(1-V811設定!$B$3*0.7),"⚠️損切接近","保持継続"))))))))</f>
      </c>
      <c r="P31" s="491">
        <f ca="1">IF(B31="","",IFERROR(MAX(OFFSET(高値!$E$6,IFERROR(MATCH(B31,銘柄管理!$B$6:$B$305,0),MATCH(TEXT(B31,"0"),銘柄管理!$B$6:$B$305,0))-1,0,1,10)),""))</f>
        <v>3330</v>
      </c>
      <c r="Q31" s="491">
        <f ca="1">IF(B31="","",IFERROR(MIN(OFFSET(安値!$E$6,IFERROR(MATCH(B31,銘柄管理!$B$6:$B$305,0),MATCH(TEXT(B31,"0"),銘柄管理!$B$6:$B$305,0))-1,0,1,10)),""))</f>
        <v>2960</v>
      </c>
      <c r="R31" s="491">
        <f>IF(OR($F31="",$H31="",$N31=""),"",IF($S31="✅売却済","",IF($C31="売",IF($H31&gt;$F31*(1-V811設定!$B$3),$N31,MIN($N31,IF($Q31="",$N31,$Q31*1.03))),IF($H31&lt;$F31*(1+V811設定!$B$3),$N31,MAX($N31,IF($P31="",$N31,$P31*0.97))))))</f>
      </c>
      <c r="S31" s="586" t="str">
        <f>IF(B31="","",IF(T31&lt;&gt;"","✅売却済",IF(OR(H31="",L31=""),"📌保有中",IF(L31&gt;=0.06,"🟢利確推奨",IF(L31&gt;=0.05,"🟡利確直近",IF(L31&gt;=0.045,"🔵トレーリング検討",IF(L31&gt;-0.03,"📌保有中",IF(L31&gt;-0.04,"⚠️損切注意","🔴損切り"))))))))</f>
        <v>📌保有中</v>
      </c>
      <c r="T31" s="594"/>
      <c r="U31" s="491"/>
      <c r="V31" s="701" t="str">
        <f>IF(OR(F31="",G31="",U31=""),"",IF(C31="売",(F31-U31)*G31,(U31-F31)*G31))</f>
        <v/>
      </c>
      <c r="W31" s="493">
        <f>IF(OR($E31="",$B31=""),"",IF($T31&lt;&gt;"",$T31-$E31,TODAY()-$E31)+1)</f>
        <v>8</v>
      </c>
      <c r="X31" s="489" t="str">
        <f>IF(OR($AH31="",$AH31="保有中"),"",$AH31)</f>
        <v/>
      </c>
      <c r="Y31" s="488"/>
      <c r="Z31" s="710">
        <v>21</v>
      </c>
      <c r="AA31" s="600" t="s">
        <v>1331</v>
      </c>
      <c r="AD31" s="608" t="s">
        <v>1324</v>
      </c>
      <c r="AE31" s="624">
        <f>IF($E31="","",WORKDAY($E31,12))</f>
        <v>46251</v>
      </c>
      <c r="AF31" s="626" cm="1">
        <f t="array" aca="1" ref="AF31" ca="1">IF(OR($B31="",$M31=""),"",IFERROR(IF($C31="売",_xlfn.MINIFS(安値!$E$3:$IT$3,安値!$E$3:$IT$3,"&gt;"&amp;$E31,安値!$E$3:$IT$3,"&lt;="&amp;$AE31,OFFSET(安値!$E$6:$IT$6,MATCH(TEXT($B31,"0"),TEXT(銘柄管理!$B$6:$B$305,"0"),0)-1,0),"&lt;="&amp;$M31),_xlfn.MINIFS(高値!$E$3:$IT$3,高値!$E$3:$IT$3,"&gt;"&amp;$E31,高値!$E$3:$IT$3,"&lt;="&amp;$AE31,OFFSET(高値!$E$6:$IT$6,MATCH(TEXT($B31,"0"),TEXT(銘柄管理!$B$6:$B$305,"0"),0)-1,0),"&gt;="&amp;$M31)),""))</f>
        <v>0</v>
      </c>
      <c r="AG31" s="626" cm="1">
        <f t="array" aca="1" ref="AG31" ca="1">IF(OR($B31="",$N31=""),"",IFERROR(IF($C31="売",_xlfn.MINIFS(高値!$E$3:$IT$3,高値!$E$3:$IT$3,"&gt;"&amp;$E31,高値!$E$3:$IT$3,"&lt;="&amp;$AE31,OFFSET(高値!$E$6:$IT$6,MATCH(TEXT($B31,"0"),TEXT(銘柄管理!$B$6:$B$305,"0"),0)-1,0),"&gt;="&amp;$N31),_xlfn.MINIFS(安値!$E$3:$IT$3,安値!$E$3:$IT$3,"&gt;"&amp;$E31,安値!$E$3:$IT$3,"&lt;="&amp;$AE31,OFFSET(安値!$E$6:$IT$6,MATCH(TEXT($B31,"0"),TEXT(銘柄管理!$B$6:$B$305,"0"),0)-1,0),"&lt;="&amp;$N31)),""))</f>
        <v>0</v>
      </c>
      <c r="AH31" s="600" t="str">
        <f>IF(OR($B31="",$M31=""),"",IF(AND(N($AF31)=0,N($AG31)=0),IF(AND(ISNUMBER($H31),$H31&gt;0,IF($C31="売",$H31&gt;=$N31,$H31&lt;=$N31)),"損切確定",IF(AND(ISNUMBER($H31),$H31&gt;0,IF($C31="売",$H31&lt;=$M31,$H31&gt;=$M31)),"利益確定",IF($AE31&lt;=TODAY(),"日数制限","保有中"))),IF(N($AG31)=0,"利益確定",IF(N($AF31)=0,"損切確定",IF($AG31&lt;=$AF31,"損切確定","利益確定")))))</f>
        <v>保有中</v>
      </c>
      <c r="AI31" s="600" t="str" cm="1">
        <f t="array" ref="AI31">IFERROR(INDEX(始値!$E$6:$IT$305,MATCH(TEXT($B31,"0"),TEXT(銘柄管理!$B$6:$B$305,"0"),0),MATCH($AE31,始値!$E$3:$IT$3,0)),"")</f>
        <v/>
      </c>
      <c r="AJ31" s="905" t="str">
        <f>IF(OR($V31="",$F31="",$G31=""),"",$V31/($F31*$G31))</f>
        <v/>
      </c>
      <c r="AK31" s="629" t="str">
        <f>IF($V31="","",IF($V31&gt;0,"○勝",IF($V31&lt;0,"●負","△引分")))</f>
        <v/>
      </c>
      <c r="AL31" s="613"/>
      <c r="AM31" s="615"/>
      <c r="AN31" s="613"/>
      <c r="AO31" s="615"/>
      <c r="AP31" s="615"/>
      <c r="AQ31" s="615"/>
      <c r="AR31" s="613"/>
      <c r="AS31" s="613"/>
      <c r="BB31" s="600" t="str">
        <f>IF(N(買抽出v13!$C31)=0,"",N(買抽出v13!$Q31)+N(買抽出v13!$L31)/1000-ROW()/1000000)</f>
        <v/>
      </c>
      <c r="BC31" s="600" t="str">
        <f>IF(N(売抽出v13!$C31)=0,"",N(売抽出v13!$Q31)+IFERROR(VALUE(SUBSTITUTE(売抽出v13!$L31,"倍","")),0)/1000-ROW()/1000000)</f>
        <v/>
      </c>
    </row>
    <row r="32" spans="1:55" ht="35.4" customHeight="1">
      <c r="A32" s="619" t="str">
        <f>IF(B32="","",HYPERLINK("https://kabutan.jp/stock/?code="&amp;B32,"株探"))</f>
        <v>株探</v>
      </c>
      <c r="B32" s="489">
        <v>6622</v>
      </c>
      <c r="C32" s="490" t="s">
        <v>999</v>
      </c>
      <c r="D32" s="623" t="str" cm="1">
        <f t="array" ref="D32">_xll.RssMarket(B32, "銘柄名称")</f>
        <v>ダイヘン</v>
      </c>
      <c r="E32" s="716">
        <v>46233</v>
      </c>
      <c r="F32" s="698" cm="1">
        <f t="array" aca="1" ref="F32" ca="1">IFERROR(_xlfn.LET(_xlpm.r,MATCH(TEXT($B32,"0"),TEXT(銘柄管理!$B$6:$B$305,"0"),0),_xlpm.t,MOD(NOW(),1),_xlpm.c,IF($E32=TODAY(),IF(_xlpm.t&gt;=TIME(15,30,0),NA(),1),IF(MATCH($E32,始値!$E$3:$IT$3,0)=1,1,MATCH($E32,始値!$E$3:$IT$3,0)+1)),_xlpm.v,INDEX(始値!$C$6:$IT$305,_xlpm.r,_xlpm.c),IF(N(_xlpm.v)=0,"",_xlpm.v)),"")</f>
        <v>13500</v>
      </c>
      <c r="G32" s="489">
        <v>100</v>
      </c>
      <c r="H32" s="491" cm="1">
        <f t="array" ref="H32">_xll.RssMarket(B32, "現在値")</f>
        <v>14130</v>
      </c>
      <c r="I32" s="491" cm="1">
        <f t="array" ref="I32">_xll.RssMarket(B32, "出来高加重平均")</f>
        <v>14293.242</v>
      </c>
      <c r="J32" s="701" cm="1">
        <f t="array" ref="J32">_xll.RssMarket($B32, "前日比")</f>
        <v>-1070</v>
      </c>
      <c r="K32" s="701">
        <f>IF(OR(F32="",G32="",H32=""),"",IF(C32="売",(F32-H32)*G32,(H32-F32)*G32))</f>
        <v>-63000</v>
      </c>
      <c r="L32" s="706">
        <f>IF(OR(F32="",H32=""),"",IF(C32="売",(F32-H32)/F32,(H32-F32)/F32))</f>
        <v>-4.6666666666666669E-2</v>
      </c>
      <c r="M32" s="491">
        <f>IF($F32="","",$F32*IF($C32="売",1-V811設定!$B$4,1+V811設定!$B$4)-MOD($F32*IF($C32="売",1-V811設定!$B$4,1+V811設定!$B$4),IF($F32&lt;=3000,1,IF($F32&lt;=5000,5,IF($F32&lt;=30000,10,IF($F32&lt;=50000,50,IF($F32&lt;=300000,100,500))))))+IF(AND($C32="売",MOD($F32*IF($C32="売",1-V811設定!$B$4,1+V811設定!$B$4),IF($F32&lt;=3000,1,IF($F32&lt;=5000,5,IF($F32&lt;=30000,10,IF($F32&lt;=50000,50,IF($F32&lt;=300000,100,500))))))&gt;0),IF($F32&lt;=3000,1,IF($F32&lt;=5000,5,IF($F32&lt;=30000,10,IF($F32&lt;=50000,50,IF($F32&lt;=300000,100,500))))),0))</f>
      </c>
      <c r="N32" s="491">
        <f>IF($F32="","",$F32*IF($C32="売",1+V811設定!$B$3,1-V811設定!$B$3)-MOD($F32*IF($C32="売",1+V811設定!$B$3,1-V811設定!$B$3),IF($F32&lt;=3000,1,IF($F32&lt;=5000,5,IF($F32&lt;=30000,10,IF($F32&lt;=50000,50,IF($F32&lt;=300000,100,500))))))+IF(AND($C32="売",MOD($F32*IF($C32="売",1+V811設定!$B$3,1-V811設定!$B$3),IF($F32&lt;=3000,1,IF($F32&lt;=5000,5,IF($F32&lt;=30000,10,IF($F32&lt;=50000,50,IF($F32&lt;=300000,100,500))))))&gt;0),IF($F32&lt;=3000,1,IF($F32&lt;=5000,5,IF($F32&lt;=30000,10,IF($F32&lt;=50000,50,IF($F32&lt;=300000,100,500))))),0))</f>
      </c>
      <c r="O32" s="492" t="str">
        <f>IF(OR($B32="",$F32="",$H32=""),"",IF($S32="✅売却済","―決済済―",IF($C32="売",IF($H32&lt;=$M32,"🟢利確",IF(AND($R32&lt;&gt;"",$H32&gt;=$R32),"🟠TRAIL",IF($H32&gt;=$N32,"🔴損切",IF($W32&gt;=V811設定!$B$6,"⏱時間決済",IF($H32&gt;=$F32*(1+V811設定!$B$3*0.7),"⚠️損切接近","保持継続"))))),IF($H32&gt;=$M32,"🟢利確",IF(AND($R32&lt;&gt;"",$H32&lt;=$R32),"🟠TRAIL",IF($H32&lt;=$N32,"🔴損切",IF($W32&gt;=V811設定!$B$6,"⏱時間決済",IF($H32&lt;=$F32*(1-V811設定!$B$3*0.7),"⚠️損切接近","保持継続"))))))))</f>
      </c>
      <c r="P32" s="491">
        <f ca="1">IF(B32="","",IFERROR(MAX(OFFSET(高値!$E$6,IFERROR(MATCH(B32,銘柄管理!$B$6:$B$305,0),MATCH(TEXT(B32,"0"),銘柄管理!$B$6:$B$305,0))-1,0,1,10)),""))</f>
        <v>15660</v>
      </c>
      <c r="Q32" s="491">
        <f ca="1">IF(B32="","",IFERROR(MIN(OFFSET(安値!$E$6,IFERROR(MATCH(B32,銘柄管理!$B$6:$B$305,0),MATCH(TEXT(B32,"0"),銘柄管理!$B$6:$B$305,0))-1,0,1,10)),""))</f>
        <v>11460</v>
      </c>
      <c r="R32" s="491">
        <f>IF(OR($F32="",$H32="",$N32=""),"",IF($S32="✅売却済","",IF($C32="売",IF($H32&gt;$F32*(1-V811設定!$B$3),$N32,MIN($N32,IF($Q32="",$N32,$Q32*1.03))),IF($H32&lt;$F32*(1+V811設定!$B$3),$N32,MAX($N32,IF($P32="",$N32,$P32*0.97))))))</f>
      </c>
      <c r="S32" s="586" t="str">
        <f>IF(B32="","",IF(T32&lt;&gt;"","✅売却済",IF(OR(H32="",L32=""),"📌保有中",IF(L32&gt;=0.06,"🟢利確推奨",IF(L32&gt;=0.05,"🟡利確直近",IF(L32&gt;=0.045,"🔵トレーリング検討",IF(L32&gt;-0.03,"📌保有中",IF(L32&gt;-0.04,"⚠️損切注意","🔴損切り"))))))))</f>
        <v>✅売却済</v>
      </c>
      <c r="T32" s="594">
        <v>46238</v>
      </c>
      <c r="U32" s="491">
        <v>14040</v>
      </c>
      <c r="V32" s="701">
        <f>IF(OR(F32="",G32="",U32=""),"",IF(C32="売",(F32-U32)*G32,(U32-F32)*G32))</f>
        <v>-54000</v>
      </c>
      <c r="W32" s="493">
        <f>IF(OR($E32="",$B32=""),"",IF($T32&lt;&gt;"",$T32-$E32,TODAY()-$E32)+1)</f>
        <v>6</v>
      </c>
      <c r="X32" s="489" t="str">
        <f>IF(OR($AH32="",$AH32="保有中"),"",$AH32)</f>
        <v>損切確定</v>
      </c>
      <c r="Y32" s="488"/>
      <c r="Z32" s="710">
        <v>21</v>
      </c>
      <c r="AA32" s="600" t="s">
        <v>1354</v>
      </c>
      <c r="AD32" s="608" t="s">
        <v>1325</v>
      </c>
      <c r="AE32" s="624">
        <f>IF($E32="","",WORKDAY($E32,12))</f>
        <v>46251</v>
      </c>
      <c r="AF32" s="626" cm="1">
        <f t="array" aca="1" ref="AF32" ca="1">IF(OR($B32="",$M32=""),"",IFERROR(IF($C32="売",_xlfn.MINIFS(安値!$E$3:$IT$3,安値!$E$3:$IT$3,"&gt;"&amp;$E32,安値!$E$3:$IT$3,"&lt;="&amp;$AE32,OFFSET(安値!$E$6:$IT$6,MATCH(TEXT($B32,"0"),TEXT(銘柄管理!$B$6:$B$305,"0"),0)-1,0),"&lt;="&amp;$M32),_xlfn.MINIFS(高値!$E$3:$IT$3,高値!$E$3:$IT$3,"&gt;"&amp;$E32,高値!$E$3:$IT$3,"&lt;="&amp;$AE32,OFFSET(高値!$E$6:$IT$6,MATCH(TEXT($B32,"0"),TEXT(銘柄管理!$B$6:$B$305,"0"),0)-1,0),"&gt;="&amp;$M32)),""))</f>
        <v>0</v>
      </c>
      <c r="AG32" s="626" cm="1">
        <f t="array" aca="1" ref="AG32" ca="1">IF(OR($B32="",$N32=""),"",IFERROR(IF($C32="売",_xlfn.MINIFS(高値!$E$3:$IT$3,高値!$E$3:$IT$3,"&gt;"&amp;$E32,高値!$E$3:$IT$3,"&lt;="&amp;$AE32,OFFSET(高値!$E$6:$IT$6,MATCH(TEXT($B32,"0"),TEXT(銘柄管理!$B$6:$B$305,"0"),0)-1,0),"&gt;="&amp;$N32),_xlfn.MINIFS(安値!$E$3:$IT$3,安値!$E$3:$IT$3,"&gt;"&amp;$E32,安値!$E$3:$IT$3,"&lt;="&amp;$AE32,OFFSET(安値!$E$6:$IT$6,MATCH(TEXT($B32,"0"),TEXT(銘柄管理!$B$6:$B$305,"0"),0)-1,0),"&lt;="&amp;$N32)),""))</f>
        <v>46238</v>
      </c>
      <c r="AH32" s="600" t="str">
        <f>IF(OR($B32="",$M32=""),"",IF(AND(N($AF32)=0,N($AG32)=0),IF(AND(ISNUMBER($H32),$H32&gt;0,IF($C32="売",$H32&gt;=$N32,$H32&lt;=$N32)),"損切確定",IF(AND(ISNUMBER($H32),$H32&gt;0,IF($C32="売",$H32&lt;=$M32,$H32&gt;=$M32)),"利益確定",IF($AE32&lt;=TODAY(),"日数制限","保有中"))),IF(N($AG32)=0,"利益確定",IF(N($AF32)=0,"損切確定",IF($AG32&lt;=$AF32,"損切確定","利益確定")))))</f>
        <v>損切確定</v>
      </c>
      <c r="AI32" s="600" t="str" cm="1">
        <f t="array" ref="AI32">IFERROR(INDEX(始値!$E$6:$IT$305,MATCH(TEXT($B32,"0"),TEXT(銘柄管理!$B$6:$B$305,"0"),0),MATCH($AE32,始値!$E$3:$IT$3,0)),"")</f>
        <v/>
      </c>
      <c r="AJ32" s="905">
        <f>IF(OR($V32="",$F32="",$G32=""),"",$V32/($F32*$G32))</f>
        <v>-0.04</v>
      </c>
      <c r="AK32" s="629" t="str">
        <f>IF($V32="","",IF($V32&gt;0,"○勝",IF($V32&lt;0,"●負","△引分")))</f>
        <v>●負</v>
      </c>
      <c r="AL32" s="613"/>
      <c r="AM32" s="615"/>
      <c r="AN32" s="613"/>
      <c r="AO32" s="615"/>
      <c r="AP32" s="615"/>
      <c r="AQ32" s="615"/>
      <c r="AR32" s="613"/>
      <c r="AS32" s="613"/>
      <c r="BB32" s="600" t="str">
        <f>IF(N(買抽出v13!$C32)=0,"",N(買抽出v13!$Q32)+N(買抽出v13!$L32)/1000-ROW()/1000000)</f>
        <v/>
      </c>
      <c r="BC32" s="600" t="str">
        <f>IF(N(売抽出v13!$C32)=0,"",N(売抽出v13!$Q32)+IFERROR(VALUE(SUBSTITUTE(売抽出v13!$L32,"倍","")),0)/1000-ROW()/1000000)</f>
        <v/>
      </c>
    </row>
    <row r="33" spans="1:55" ht="35.4" customHeight="1">
      <c r="A33" s="619" t="str">
        <f>IF(B33="","",HYPERLINK("https://kabutan.jp/stock/?code="&amp;B33,"株探"))</f>
        <v>株探</v>
      </c>
      <c r="B33" s="489">
        <v>6928</v>
      </c>
      <c r="C33" s="490" t="s">
        <v>999</v>
      </c>
      <c r="D33" s="623" t="str" cm="1">
        <f t="array" ref="D33">_xll.RssMarket(B33, "銘柄名称")</f>
        <v>エノモト</v>
      </c>
      <c r="E33" s="716">
        <v>46233</v>
      </c>
      <c r="F33" s="698" cm="1">
        <f t="array" aca="1" ref="F33" ca="1">IFERROR(_xlfn.LET(_xlpm.r,MATCH(TEXT($B33,"0"),TEXT(銘柄管理!$B$6:$B$305,"0"),0),_xlpm.t,MOD(NOW(),1),_xlpm.c,IF($E33=TODAY(),IF(_xlpm.t&gt;=TIME(15,30,0),NA(),1),IF(MATCH($E33,始値!$E$3:$IT$3,0)=1,1,MATCH($E33,始値!$E$3:$IT$3,0)+1)),_xlpm.v,INDEX(始値!$C$6:$IT$305,_xlpm.r,_xlpm.c),IF(N(_xlpm.v)=0,"",_xlpm.v)),"")</f>
        <v>2377</v>
      </c>
      <c r="G33" s="489">
        <v>100</v>
      </c>
      <c r="H33" s="491" cm="1">
        <f t="array" ref="H33">_xll.RssMarket(B33, "現在値")</f>
        <v>2639</v>
      </c>
      <c r="I33" s="491" cm="1">
        <f t="array" ref="I33">_xll.RssMarket(B33, "出来高加重平均")</f>
        <v>2629.9522000000002</v>
      </c>
      <c r="J33" s="701" cm="1">
        <f t="array" ref="J33">_xll.RssMarket($B33, "前日比")</f>
        <v>-18</v>
      </c>
      <c r="K33" s="701">
        <f>IF(OR(F33="",G33="",H33=""),"",IF(C33="売",(F33-H33)*G33,(H33-F33)*G33))</f>
        <v>-26200</v>
      </c>
      <c r="L33" s="706">
        <f>IF(OR(F33="",H33=""),"",IF(C33="売",(F33-H33)/F33,(H33-F33)/F33))</f>
        <v>-0.11022297013041649</v>
      </c>
      <c r="M33" s="491">
        <f>IF($F33="","",$F33*IF($C33="売",1-V811設定!$B$4,1+V811設定!$B$4)-MOD($F33*IF($C33="売",1-V811設定!$B$4,1+V811設定!$B$4),IF($F33&lt;=3000,1,IF($F33&lt;=5000,5,IF($F33&lt;=30000,10,IF($F33&lt;=50000,50,IF($F33&lt;=300000,100,500))))))+IF(AND($C33="売",MOD($F33*IF($C33="売",1-V811設定!$B$4,1+V811設定!$B$4),IF($F33&lt;=3000,1,IF($F33&lt;=5000,5,IF($F33&lt;=30000,10,IF($F33&lt;=50000,50,IF($F33&lt;=300000,100,500))))))&gt;0),IF($F33&lt;=3000,1,IF($F33&lt;=5000,5,IF($F33&lt;=30000,10,IF($F33&lt;=50000,50,IF($F33&lt;=300000,100,500))))),0))</f>
      </c>
      <c r="N33" s="491">
        <f>IF($F33="","",$F33*IF($C33="売",1+V811設定!$B$3,1-V811設定!$B$3)-MOD($F33*IF($C33="売",1+V811設定!$B$3,1-V811設定!$B$3),IF($F33&lt;=3000,1,IF($F33&lt;=5000,5,IF($F33&lt;=30000,10,IF($F33&lt;=50000,50,IF($F33&lt;=300000,100,500))))))+IF(AND($C33="売",MOD($F33*IF($C33="売",1+V811設定!$B$3,1-V811設定!$B$3),IF($F33&lt;=3000,1,IF($F33&lt;=5000,5,IF($F33&lt;=30000,10,IF($F33&lt;=50000,50,IF($F33&lt;=300000,100,500))))))&gt;0),IF($F33&lt;=3000,1,IF($F33&lt;=5000,5,IF($F33&lt;=30000,10,IF($F33&lt;=50000,50,IF($F33&lt;=300000,100,500))))),0))</f>
      </c>
      <c r="O33" s="492" t="str">
        <f>IF(OR($B33="",$F33="",$H33=""),"",IF($S33="✅売却済","―決済済―",IF($C33="売",IF($H33&lt;=$M33,"🟢利確",IF(AND($R33&lt;&gt;"",$H33&gt;=$R33),"🟠TRAIL",IF($H33&gt;=$N33,"🔴損切",IF($W33&gt;=V811設定!$B$6,"⏱時間決済",IF($H33&gt;=$F33*(1+V811設定!$B$3*0.7),"⚠️損切接近","保持継続"))))),IF($H33&gt;=$M33,"🟢利確",IF(AND($R33&lt;&gt;"",$H33&lt;=$R33),"🟠TRAIL",IF($H33&lt;=$N33,"🔴損切",IF($W33&gt;=V811設定!$B$6,"⏱時間決済",IF($H33&lt;=$F33*(1-V811設定!$B$3*0.7),"⚠️損切接近","保持継続"))))))))</f>
      </c>
      <c r="P33" s="491">
        <f ca="1">IF(B33="","",IFERROR(MAX(OFFSET(高値!$E$6,IFERROR(MATCH(B33,銘柄管理!$B$6:$B$305,0),MATCH(TEXT(B33,"0"),銘柄管理!$B$6:$B$305,0))-1,0,1,10)),""))</f>
        <v>2680</v>
      </c>
      <c r="Q33" s="491">
        <f ca="1">IF(B33="","",IFERROR(MIN(OFFSET(安値!$E$6,IFERROR(MATCH(B33,銘柄管理!$B$6:$B$305,0),MATCH(TEXT(B33,"0"),銘柄管理!$B$6:$B$305,0))-1,0,1,10)),""))</f>
        <v>2130</v>
      </c>
      <c r="R33" s="491">
        <f>IF(OR($F33="",$H33="",$N33=""),"",IF($S33="✅売却済","",IF($C33="売",IF($H33&gt;$F33*(1-V811設定!$B$3),$N33,MIN($N33,IF($Q33="",$N33,$Q33*1.03))),IF($H33&lt;$F33*(1+V811設定!$B$3),$N33,MAX($N33,IF($P33="",$N33,$P33*0.97))))))</f>
      </c>
      <c r="S33" s="586" t="str">
        <f>IF(B33="","",IF(T33&lt;&gt;"","✅売却済",IF(OR(H33="",L33=""),"📌保有中",IF(L33&gt;=0.06,"🟢利確推奨",IF(L33&gt;=0.05,"🟡利確直近",IF(L33&gt;=0.045,"🔵トレーリング検討",IF(L33&gt;-0.03,"📌保有中",IF(L33&gt;-0.04,"⚠️損切注意","🔴損切り"))))))))</f>
        <v>✅売却済</v>
      </c>
      <c r="T33" s="594">
        <v>46238</v>
      </c>
      <c r="U33" s="491">
        <v>2472</v>
      </c>
      <c r="V33" s="701">
        <f>IF(OR(F33="",G33="",U33=""),"",IF(C33="売",(F33-U33)*G33,(U33-F33)*G33))</f>
        <v>-9500</v>
      </c>
      <c r="W33" s="493">
        <f>IF(OR($E33="",$B33=""),"",IF($T33&lt;&gt;"",$T33-$E33,TODAY()-$E33)+1)</f>
        <v>6</v>
      </c>
      <c r="X33" s="489" t="str">
        <f>IF(OR($AH33="",$AH33="保有中"),"",$AH33)</f>
        <v>損切確定</v>
      </c>
      <c r="Y33" s="488"/>
      <c r="Z33" s="710">
        <v>18</v>
      </c>
      <c r="AA33" s="600" t="s">
        <v>1360</v>
      </c>
      <c r="AD33" s="608" t="s">
        <v>1325</v>
      </c>
      <c r="AE33" s="624">
        <f>IF($E33="","",WORKDAY($E33,12))</f>
        <v>46251</v>
      </c>
      <c r="AF33" s="626" cm="1">
        <f t="array" aca="1" ref="AF33" ca="1">IF(OR($B33="",$M33=""),"",IFERROR(IF($C33="売",_xlfn.MINIFS(安値!$E$3:$IT$3,安値!$E$3:$IT$3,"&gt;"&amp;$E33,安値!$E$3:$IT$3,"&lt;="&amp;$AE33,OFFSET(安値!$E$6:$IT$6,MATCH(TEXT($B33,"0"),TEXT(銘柄管理!$B$6:$B$305,"0"),0)-1,0),"&lt;="&amp;$M33),_xlfn.MINIFS(高値!$E$3:$IT$3,高値!$E$3:$IT$3,"&gt;"&amp;$E33,高値!$E$3:$IT$3,"&lt;="&amp;$AE33,OFFSET(高値!$E$6:$IT$6,MATCH(TEXT($B33,"0"),TEXT(銘柄管理!$B$6:$B$305,"0"),0)-1,0),"&gt;="&amp;$M33)),""))</f>
        <v>0</v>
      </c>
      <c r="AG33" s="626" cm="1">
        <f t="array" aca="1" ref="AG33" ca="1">IF(OR($B33="",$N33=""),"",IFERROR(IF($C33="売",_xlfn.MINIFS(高値!$E$3:$IT$3,高値!$E$3:$IT$3,"&gt;"&amp;$E33,高値!$E$3:$IT$3,"&lt;="&amp;$AE33,OFFSET(高値!$E$6:$IT$6,MATCH(TEXT($B33,"0"),TEXT(銘柄管理!$B$6:$B$305,"0"),0)-1,0),"&gt;="&amp;$N33),_xlfn.MINIFS(安値!$E$3:$IT$3,安値!$E$3:$IT$3,"&gt;"&amp;$E33,安値!$E$3:$IT$3,"&lt;="&amp;$AE33,OFFSET(安値!$E$6:$IT$6,MATCH(TEXT($B33,"0"),TEXT(銘柄管理!$B$6:$B$305,"0"),0)-1,0),"&lt;="&amp;$N33)),""))</f>
        <v>46238</v>
      </c>
      <c r="AH33" s="600" t="str">
        <f>IF(OR($B33="",$M33=""),"",IF(AND(N($AF33)=0,N($AG33)=0),IF(AND(ISNUMBER($H33),$H33&gt;0,IF($C33="売",$H33&gt;=$N33,$H33&lt;=$N33)),"損切確定",IF(AND(ISNUMBER($H33),$H33&gt;0,IF($C33="売",$H33&lt;=$M33,$H33&gt;=$M33)),"利益確定",IF($AE33&lt;=TODAY(),"日数制限","保有中"))),IF(N($AG33)=0,"利益確定",IF(N($AF33)=0,"損切確定",IF($AG33&lt;=$AF33,"損切確定","利益確定")))))</f>
        <v>損切確定</v>
      </c>
      <c r="AI33" s="600" t="str" cm="1">
        <f t="array" ref="AI33">IFERROR(INDEX(始値!$E$6:$IT$305,MATCH(TEXT($B33,"0"),TEXT(銘柄管理!$B$6:$B$305,"0"),0),MATCH($AE33,始値!$E$3:$IT$3,0)),"")</f>
        <v/>
      </c>
      <c r="AJ33" s="905">
        <f>IF(OR($V33="",$F33="",$G33=""),"",$V33/($F33*$G33))</f>
        <v>-3.9966344131257887E-2</v>
      </c>
      <c r="AK33" s="629" t="str">
        <f>IF($V33="","",IF($V33&gt;0,"○勝",IF($V33&lt;0,"●負","△引分")))</f>
        <v>●負</v>
      </c>
      <c r="AL33" s="613"/>
      <c r="AM33" s="615"/>
      <c r="AN33" s="613"/>
      <c r="AO33" s="615"/>
      <c r="AP33" s="615"/>
      <c r="AQ33" s="615"/>
      <c r="AR33" s="613"/>
      <c r="AS33" s="613"/>
      <c r="BB33" s="600" t="str">
        <f>IF(N(買抽出v13!$C33)=0,"",N(買抽出v13!$Q33)+N(買抽出v13!$L33)/1000-ROW()/1000000)</f>
        <v/>
      </c>
      <c r="BC33" s="600" t="str">
        <f>IF(N(売抽出v13!$C33)=0,"",N(売抽出v13!$Q33)+IFERROR(VALUE(SUBSTITUTE(売抽出v13!$L33,"倍","")),0)/1000-ROW()/1000000)</f>
        <v/>
      </c>
    </row>
    <row r="34" spans="1:55" ht="35.4" customHeight="1">
      <c r="A34" s="619" t="str">
        <f>IF(B34="","",HYPERLINK("https://kabutan.jp/stock/?code="&amp;B34,"株探"))</f>
        <v>株探</v>
      </c>
      <c r="B34" s="630">
        <v>6488</v>
      </c>
      <c r="C34" s="490" t="s">
        <v>998</v>
      </c>
      <c r="D34" s="623" t="str" cm="1">
        <f t="array" ref="D34">IF($B34="","",_xll.RssMarket($B34,"銘柄名称"))</f>
        <v>ヨシタケ</v>
      </c>
      <c r="E34" s="716">
        <v>46233</v>
      </c>
      <c r="F34" s="698" cm="1">
        <f t="array" aca="1" ref="F34" ca="1">IFERROR(_xlfn.LET(_xlpm.r,MATCH(TEXT($B34,"0"),TEXT(銘柄管理!$B$6:$B$305,"0"),0),_xlpm.t,MOD(NOW(),1),_xlpm.c,IF($E34=TODAY(),IF(_xlpm.t&gt;=TIME(15,30,0),NA(),1),IF(MATCH($E34,始値!$E$3:$IT$3,0)=1,1,MATCH($E34,始値!$E$3:$IT$3,0)+1)),_xlpm.v,INDEX(始値!$C$6:$IT$305,_xlpm.r,_xlpm.c),IF(N(_xlpm.v)=0,"",_xlpm.v)),"")</f>
        <v>989</v>
      </c>
      <c r="G34" s="631">
        <v>100</v>
      </c>
      <c r="H34" s="491" cm="1">
        <f t="array" ref="H34">IF($B34="","",_xll.RssMarket($B34,"現在値"))</f>
        <v>985</v>
      </c>
      <c r="I34" s="491" cm="1">
        <f t="array" ref="I34">IF($B34="","",_xll.RssMarket($B34,"出来高加重平均"))</f>
        <v>987.85709999999995</v>
      </c>
      <c r="J34" s="701" cm="1">
        <f t="array" ref="J34">IF($B34="","",_xll.RssMarket($B34,"前日比"))</f>
        <v>-5</v>
      </c>
      <c r="K34" s="701">
        <f>IF(OR(F34="",G34="",H34=""),"",IF(C34="売",(F34-H34)*G34,(H34-F34)*G34))</f>
        <v>-400</v>
      </c>
      <c r="L34" s="706">
        <f>IF(OR(F34="",H34=""),"",IF(C34="売",(F34-H34)/F34,(H34-F34)/F34))</f>
        <v>-4.0444893832153692E-3</v>
      </c>
      <c r="M34" s="491">
        <f>IF($F34="","",$F34*IF($C34="売",1-V811設定!$B$4,1+V811設定!$B$4)-MOD($F34*IF($C34="売",1-V811設定!$B$4,1+V811設定!$B$4),IF($F34&lt;=3000,1,IF($F34&lt;=5000,5,IF($F34&lt;=30000,10,IF($F34&lt;=50000,50,IF($F34&lt;=300000,100,500))))))+IF(AND($C34="売",MOD($F34*IF($C34="売",1-V811設定!$B$4,1+V811設定!$B$4),IF($F34&lt;=3000,1,IF($F34&lt;=5000,5,IF($F34&lt;=30000,10,IF($F34&lt;=50000,50,IF($F34&lt;=300000,100,500))))))&gt;0),IF($F34&lt;=3000,1,IF($F34&lt;=5000,5,IF($F34&lt;=30000,10,IF($F34&lt;=50000,50,IF($F34&lt;=300000,100,500))))),0))</f>
      </c>
      <c r="N34" s="491">
        <f>IF($F34="","",$F34*IF($C34="売",1+V811設定!$B$3,1-V811設定!$B$3)-MOD($F34*IF($C34="売",1+V811設定!$B$3,1-V811設定!$B$3),IF($F34&lt;=3000,1,IF($F34&lt;=5000,5,IF($F34&lt;=30000,10,IF($F34&lt;=50000,50,IF($F34&lt;=300000,100,500))))))+IF(AND($C34="売",MOD($F34*IF($C34="売",1+V811設定!$B$3,1-V811設定!$B$3),IF($F34&lt;=3000,1,IF($F34&lt;=5000,5,IF($F34&lt;=30000,10,IF($F34&lt;=50000,50,IF($F34&lt;=300000,100,500))))))&gt;0),IF($F34&lt;=3000,1,IF($F34&lt;=5000,5,IF($F34&lt;=30000,10,IF($F34&lt;=50000,50,IF($F34&lt;=300000,100,500))))),0))</f>
      </c>
      <c r="O34" s="492" t="str">
        <f>IF(OR($B34="",$F34="",$H34=""),"",IF($S34="✅売却済","―決済済―",IF($C34="売",IF($H34&lt;=$M34,"🟢利確",IF(AND($R34&lt;&gt;"",$H34&gt;=$R34),"🟠TRAIL",IF($H34&gt;=$N34,"🔴損切",IF($W34&gt;=V811設定!$B$6,"⏱時間決済",IF($H34&gt;=$F34*(1+V811設定!$B$3*0.7),"⚠️損切接近","保持継続"))))),IF($H34&gt;=$M34,"🟢利確",IF(AND($R34&lt;&gt;"",$H34&lt;=$R34),"🟠TRAIL",IF($H34&lt;=$N34,"🔴損切",IF($W34&gt;=V811設定!$B$6,"⏱時間決済",IF($H34&lt;=$F34*(1-V811設定!$B$3*0.7),"⚠️損切接近","保持継続"))))))))</f>
      </c>
      <c r="P34" s="491">
        <f ca="1">IF(B34="","",IFERROR(MAX(OFFSET(高値!$E$6,IFERROR(MATCH(B34,銘柄管理!$B$6:$B$305,0),MATCH(TEXT(B34,"0"),銘柄管理!$B$6:$B$305,0))-1,0,1,10)),""))</f>
        <v>1000</v>
      </c>
      <c r="Q34" s="491">
        <f ca="1">IF(B34="","",IFERROR(MIN(OFFSET(安値!$E$6,IFERROR(MATCH(B34,銘柄管理!$B$6:$B$305,0),MATCH(TEXT(B34,"0"),銘柄管理!$B$6:$B$305,0))-1,0,1,10)),""))</f>
        <v>974</v>
      </c>
      <c r="R34" s="491">
        <f>IF(OR($F34="",$H34="",$N34=""),"",IF($S34="✅売却済","",IF($C34="売",IF($H34&gt;$F34*(1-V811設定!$B$3),$N34,MIN($N34,IF($Q34="",$N34,$Q34*1.03))),IF($H34&lt;$F34*(1+V811設定!$B$3),$N34,MAX($N34,IF($P34="",$N34,$P34*0.97))))))</f>
      </c>
      <c r="S34" s="586" t="str">
        <f>IF(B34="","",IF(T34&lt;&gt;"","✅売却済",IF(OR(H34="",L34=""),"📌保有中",IF(L34&gt;=0.06,"🟢利確推奨",IF(L34&gt;=0.05,"🟡利確直近",IF(L34&gt;=0.045,"🔵トレーリング検討",IF(L34&gt;-0.03,"📌保有中",IF(L34&gt;-0.04,"⚠️損切注意","🔴損切り"))))))))</f>
        <v>📌保有中</v>
      </c>
      <c r="T34" s="594"/>
      <c r="U34" s="491"/>
      <c r="V34" s="701" t="str">
        <f>IF(OR(F34="",G34="",U34=""),"",IF(C34="売",(F34-U34)*G34,(U34-F34)*G34))</f>
        <v/>
      </c>
      <c r="W34" s="493">
        <f>IF(OR($E34="",$B34=""),"",IF($T34&lt;&gt;"",$T34-$E34,TODAY()-$E34)+1)</f>
        <v>8</v>
      </c>
      <c r="X34" s="489" t="str">
        <f>IF(OR($AH34="",$AH34="保有中"),"",$AH34)</f>
        <v/>
      </c>
      <c r="Y34" s="488"/>
      <c r="Z34" s="710">
        <v>18</v>
      </c>
      <c r="AD34" s="608" t="s">
        <v>1324</v>
      </c>
      <c r="AE34" s="624">
        <f>IF($E34="","",WORKDAY($E34,12))</f>
        <v>46251</v>
      </c>
      <c r="AF34" s="626" cm="1">
        <f t="array" aca="1" ref="AF34" ca="1">IF(OR($B34="",$M34=""),"",IFERROR(IF($C34="売",_xlfn.MINIFS(安値!$E$3:$IT$3,安値!$E$3:$IT$3,"&gt;"&amp;$E34,安値!$E$3:$IT$3,"&lt;="&amp;$AE34,OFFSET(安値!$E$6:$IT$6,MATCH(TEXT($B34,"0"),TEXT(銘柄管理!$B$6:$B$305,"0"),0)-1,0),"&lt;="&amp;$M34),_xlfn.MINIFS(高値!$E$3:$IT$3,高値!$E$3:$IT$3,"&gt;"&amp;$E34,高値!$E$3:$IT$3,"&lt;="&amp;$AE34,OFFSET(高値!$E$6:$IT$6,MATCH(TEXT($B34,"0"),TEXT(銘柄管理!$B$6:$B$305,"0"),0)-1,0),"&gt;="&amp;$M34)),""))</f>
        <v>0</v>
      </c>
      <c r="AG34" s="626" cm="1">
        <f t="array" aca="1" ref="AG34" ca="1">IF(OR($B34="",$N34=""),"",IFERROR(IF($C34="売",_xlfn.MINIFS(高値!$E$3:$IT$3,高値!$E$3:$IT$3,"&gt;"&amp;$E34,高値!$E$3:$IT$3,"&lt;="&amp;$AE34,OFFSET(高値!$E$6:$IT$6,MATCH(TEXT($B34,"0"),TEXT(銘柄管理!$B$6:$B$305,"0"),0)-1,0),"&gt;="&amp;$N34),_xlfn.MINIFS(安値!$E$3:$IT$3,安値!$E$3:$IT$3,"&gt;"&amp;$E34,安値!$E$3:$IT$3,"&lt;="&amp;$AE34,OFFSET(安値!$E$6:$IT$6,MATCH(TEXT($B34,"0"),TEXT(銘柄管理!$B$6:$B$305,"0"),0)-1,0),"&lt;="&amp;$N34)),""))</f>
        <v>0</v>
      </c>
      <c r="AH34" s="600" t="str">
        <f>IF(OR($B34="",$M34=""),"",IF(AND(N($AF34)=0,N($AG34)=0),IF(AND(ISNUMBER($H34),$H34&gt;0,IF($C34="売",$H34&gt;=$N34,$H34&lt;=$N34)),"損切確定",IF(AND(ISNUMBER($H34),$H34&gt;0,IF($C34="売",$H34&lt;=$M34,$H34&gt;=$M34)),"利益確定",IF($AE34&lt;=TODAY(),"日数制限","保有中"))),IF(N($AG34)=0,"利益確定",IF(N($AF34)=0,"損切確定",IF($AG34&lt;=$AF34,"損切確定","利益確定")))))</f>
        <v>保有中</v>
      </c>
      <c r="AI34" s="600" t="str" cm="1">
        <f t="array" ref="AI34">IFERROR(INDEX(始値!$E$6:$IT$305,MATCH(TEXT($B34,"0"),TEXT(銘柄管理!$B$6:$B$305,"0"),0),MATCH($AE34,始値!$E$3:$IT$3,0)),"")</f>
        <v/>
      </c>
      <c r="AJ34" s="905" t="str">
        <f>IF(OR($V34="",$F34="",$G34=""),"",$V34/($F34*$G34))</f>
        <v/>
      </c>
      <c r="AK34" s="629" t="str">
        <f>IF($V34="","",IF($V34&gt;0,"○勝",IF($V34&lt;0,"●負","△引分")))</f>
        <v/>
      </c>
      <c r="AL34" s="613"/>
      <c r="AM34" s="615"/>
      <c r="AN34" s="613"/>
      <c r="AO34" s="615"/>
      <c r="AP34" s="615"/>
      <c r="AQ34" s="615"/>
      <c r="AR34" s="613"/>
      <c r="AS34" s="613"/>
      <c r="BB34" s="600" t="str">
        <f>IF(N(買抽出v13!$C34)=0,"",N(買抽出v13!$Q34)+N(買抽出v13!$L34)/1000-ROW()/1000000)</f>
        <v/>
      </c>
      <c r="BC34" s="600" t="str">
        <f>IF(N(売抽出v13!$C34)=0,"",N(売抽出v13!$Q34)+IFERROR(VALUE(SUBSTITUTE(売抽出v13!$L34,"倍","")),0)/1000-ROW()/1000000)</f>
        <v/>
      </c>
    </row>
    <row r="35" spans="1:55" ht="35.4" customHeight="1">
      <c r="A35" s="619" t="str">
        <f>IF(B35="","",HYPERLINK("https://kabutan.jp/stock/?code="&amp;B35,"株探"))</f>
        <v>株探</v>
      </c>
      <c r="B35" s="630">
        <v>7952</v>
      </c>
      <c r="C35" s="490" t="s">
        <v>998</v>
      </c>
      <c r="D35" s="623" t="str" cm="1">
        <f t="array" ref="D35">IF($B35="","",_xll.RssMarket($B35,"銘柄名称"))</f>
        <v>河合楽器</v>
      </c>
      <c r="E35" s="716">
        <v>46233</v>
      </c>
      <c r="F35" s="698" cm="1">
        <f t="array" aca="1" ref="F35" ca="1">IFERROR(_xlfn.LET(_xlpm.r,MATCH(TEXT($B35,"0"),TEXT(銘柄管理!$B$6:$B$305,"0"),0),_xlpm.t,MOD(NOW(),1),_xlpm.c,IF($E35=TODAY(),IF(_xlpm.t&gt;=TIME(15,30,0),NA(),1),IF(MATCH($E35,始値!$E$3:$IT$3,0)=1,1,MATCH($E35,始値!$E$3:$IT$3,0)+1)),_xlpm.v,INDEX(始値!$C$6:$IT$305,_xlpm.r,_xlpm.c),IF(N(_xlpm.v)=0,"",_xlpm.v)),"")</f>
        <v>3370</v>
      </c>
      <c r="G35" s="631">
        <v>100</v>
      </c>
      <c r="H35" s="491" cm="1">
        <f t="array" ref="H35">IF($B35="","",_xll.RssMarket($B35,"現在値"))</f>
        <v>3530</v>
      </c>
      <c r="I35" s="491" cm="1">
        <f t="array" ref="I35">IF($B35="","",_xll.RssMarket($B35,"出来高加重平均"))</f>
        <v>3552.68</v>
      </c>
      <c r="J35" s="701" cm="1">
        <f t="array" ref="J35">IF($B35="","",_xll.RssMarket($B35,"前日比"))</f>
        <v>15</v>
      </c>
      <c r="K35" s="701">
        <f>IF(OR(F35="",G35="",H35=""),"",IF(C35="売",(F35-H35)*G35,(H35-F35)*G35))</f>
        <v>16000</v>
      </c>
      <c r="L35" s="706">
        <f>IF(OR(F35="",H35=""),"",IF(C35="売",(F35-H35)/F35,(H35-F35)/F35))</f>
        <v>4.7477744807121663E-2</v>
      </c>
      <c r="M35" s="491">
        <f>IF($F35="","",$F35*IF($C35="売",1-V811設定!$B$4,1+V811設定!$B$4)-MOD($F35*IF($C35="売",1-V811設定!$B$4,1+V811設定!$B$4),IF($F35&lt;=3000,1,IF($F35&lt;=5000,5,IF($F35&lt;=30000,10,IF($F35&lt;=50000,50,IF($F35&lt;=300000,100,500))))))+IF(AND($C35="売",MOD($F35*IF($C35="売",1-V811設定!$B$4,1+V811設定!$B$4),IF($F35&lt;=3000,1,IF($F35&lt;=5000,5,IF($F35&lt;=30000,10,IF($F35&lt;=50000,50,IF($F35&lt;=300000,100,500))))))&gt;0),IF($F35&lt;=3000,1,IF($F35&lt;=5000,5,IF($F35&lt;=30000,10,IF($F35&lt;=50000,50,IF($F35&lt;=300000,100,500))))),0))</f>
      </c>
      <c r="N35" s="491">
        <f>IF($F35="","",$F35*IF($C35="売",1+V811設定!$B$3,1-V811設定!$B$3)-MOD($F35*IF($C35="売",1+V811設定!$B$3,1-V811設定!$B$3),IF($F35&lt;=3000,1,IF($F35&lt;=5000,5,IF($F35&lt;=30000,10,IF($F35&lt;=50000,50,IF($F35&lt;=300000,100,500))))))+IF(AND($C35="売",MOD($F35*IF($C35="売",1+V811設定!$B$3,1-V811設定!$B$3),IF($F35&lt;=3000,1,IF($F35&lt;=5000,5,IF($F35&lt;=30000,10,IF($F35&lt;=50000,50,IF($F35&lt;=300000,100,500))))))&gt;0),IF($F35&lt;=3000,1,IF($F35&lt;=5000,5,IF($F35&lt;=30000,10,IF($F35&lt;=50000,50,IF($F35&lt;=300000,100,500))))),0))</f>
      </c>
      <c r="O35" s="492" t="str">
        <f>IF(OR($B35="",$F35="",$H35=""),"",IF($S35="✅売却済","―決済済―",IF($C35="売",IF($H35&lt;=$M35,"🟢利確",IF(AND($R35&lt;&gt;"",$H35&gt;=$R35),"🟠TRAIL",IF($H35&gt;=$N35,"🔴損切",IF($W35&gt;=V811設定!$B$6,"⏱時間決済",IF($H35&gt;=$F35*(1+V811設定!$B$3*0.7),"⚠️損切接近","保持継続"))))),IF($H35&gt;=$M35,"🟢利確",IF(AND($R35&lt;&gt;"",$H35&lt;=$R35),"🟠TRAIL",IF($H35&lt;=$N35,"🔴損切",IF($W35&gt;=V811設定!$B$6,"⏱時間決済",IF($H35&lt;=$F35*(1-V811設定!$B$3*0.7),"⚠️損切接近","保持継続"))))))))</f>
      </c>
      <c r="P35" s="491">
        <f ca="1">IF(B35="","",IFERROR(MAX(OFFSET(高値!$E$6,IFERROR(MATCH(B35,銘柄管理!$B$6:$B$305,0),MATCH(TEXT(B35,"0"),銘柄管理!$B$6:$B$305,0))-1,0,1,10)),""))</f>
        <v>3625</v>
      </c>
      <c r="Q35" s="491">
        <f ca="1">IF(B35="","",IFERROR(MIN(OFFSET(安値!$E$6,IFERROR(MATCH(B35,銘柄管理!$B$6:$B$305,0),MATCH(TEXT(B35,"0"),銘柄管理!$B$6:$B$305,0))-1,0,1,10)),""))</f>
        <v>3200</v>
      </c>
      <c r="R35" s="491">
        <f>IF(OR($F35="",$H35="",$N35=""),"",IF($S35="✅売却済","",IF($C35="売",IF($H35&gt;$F35*(1-V811設定!$B$3),$N35,MIN($N35,IF($Q35="",$N35,$Q35*1.03))),IF($H35&lt;$F35*(1+V811設定!$B$3),$N35,MAX($N35,IF($P35="",$N35,$P35*0.97))))))</f>
      </c>
      <c r="S35" s="586" t="str">
        <f>IF(B35="","",IF(T35&lt;&gt;"","✅売却済",IF(OR(H35="",L35=""),"📌保有中",IF(L35&gt;=0.06,"🟢利確推奨",IF(L35&gt;=0.05,"🟡利確直近",IF(L35&gt;=0.045,"🔵トレーリング検討",IF(L35&gt;-0.03,"📌保有中",IF(L35&gt;-0.04,"⚠️損切注意","🔴損切り"))))))))</f>
        <v>✅売却済</v>
      </c>
      <c r="T35" s="594">
        <v>46238</v>
      </c>
      <c r="U35" s="491">
        <v>3572</v>
      </c>
      <c r="V35" s="701">
        <f>IF(OR(F35="",G35="",U35=""),"",IF(C35="売",(F35-U35)*G35,(U35-F35)*G35))</f>
        <v>20200</v>
      </c>
      <c r="W35" s="493">
        <f>IF(OR($E35="",$B35=""),"",IF($T35&lt;&gt;"",$T35-$E35,TODAY()-$E35)+1)</f>
        <v>6</v>
      </c>
      <c r="X35" s="489" t="str">
        <f>IF(OR($AH35="",$AH35="保有中"),"",$AH35)</f>
        <v>利益確定</v>
      </c>
      <c r="Y35" s="488"/>
      <c r="Z35" s="710">
        <v>15</v>
      </c>
      <c r="AD35" s="608" t="s">
        <v>1324</v>
      </c>
      <c r="AE35" s="624">
        <f>IF($E35="","",WORKDAY($E35,12))</f>
        <v>46251</v>
      </c>
      <c r="AF35" s="626" cm="1">
        <f t="array" aca="1" ref="AF35" ca="1">IF(OR($B35="",$M35=""),"",IFERROR(IF($C35="売",_xlfn.MINIFS(安値!$E$3:$IT$3,安値!$E$3:$IT$3,"&gt;"&amp;$E35,安値!$E$3:$IT$3,"&lt;="&amp;$AE35,OFFSET(安値!$E$6:$IT$6,MATCH(TEXT($B35,"0"),TEXT(銘柄管理!$B$6:$B$305,"0"),0)-1,0),"&lt;="&amp;$M35),_xlfn.MINIFS(高値!$E$3:$IT$3,高値!$E$3:$IT$3,"&gt;"&amp;$E35,高値!$E$3:$IT$3,"&lt;="&amp;$AE35,OFFSET(高値!$E$6:$IT$6,MATCH(TEXT($B35,"0"),TEXT(銘柄管理!$B$6:$B$305,"0"),0)-1,0),"&gt;="&amp;$M35)),""))</f>
        <v>46238</v>
      </c>
      <c r="AG35" s="626" cm="1">
        <f t="array" aca="1" ref="AG35" ca="1">IF(OR($B35="",$N35=""),"",IFERROR(IF($C35="売",_xlfn.MINIFS(高値!$E$3:$IT$3,高値!$E$3:$IT$3,"&gt;"&amp;$E35,高値!$E$3:$IT$3,"&lt;="&amp;$AE35,OFFSET(高値!$E$6:$IT$6,MATCH(TEXT($B35,"0"),TEXT(銘柄管理!$B$6:$B$305,"0"),0)-1,0),"&gt;="&amp;$N35),_xlfn.MINIFS(安値!$E$3:$IT$3,安値!$E$3:$IT$3,"&gt;"&amp;$E35,安値!$E$3:$IT$3,"&lt;="&amp;$AE35,OFFSET(安値!$E$6:$IT$6,MATCH(TEXT($B35,"0"),TEXT(銘柄管理!$B$6:$B$305,"0"),0)-1,0),"&lt;="&amp;$N35)),""))</f>
        <v>0</v>
      </c>
      <c r="AH35" s="600" t="str">
        <f>IF(OR($B35="",$M35=""),"",IF(AND(N($AF35)=0,N($AG35)=0),IF(AND(ISNUMBER($H35),$H35&gt;0,IF($C35="売",$H35&gt;=$N35,$H35&lt;=$N35)),"損切確定",IF(AND(ISNUMBER($H35),$H35&gt;0,IF($C35="売",$H35&lt;=$M35,$H35&gt;=$M35)),"利益確定",IF($AE35&lt;=TODAY(),"日数制限","保有中"))),IF(N($AG35)=0,"利益確定",IF(N($AF35)=0,"損切確定",IF($AG35&lt;=$AF35,"損切確定","利益確定")))))</f>
        <v>利益確定</v>
      </c>
      <c r="AI35" s="600" t="str" cm="1">
        <f t="array" ref="AI35">IFERROR(INDEX(始値!$E$6:$IT$305,MATCH(TEXT($B35,"0"),TEXT(銘柄管理!$B$6:$B$305,"0"),0),MATCH($AE35,始値!$E$3:$IT$3,0)),"")</f>
        <v/>
      </c>
      <c r="AJ35" s="905">
        <f>IF(OR($V35="",$F35="",$G35=""),"",$V35/($F35*$G35))</f>
        <v>5.9940652818991101E-2</v>
      </c>
      <c r="AK35" s="629" t="str">
        <f>IF($V35="","",IF($V35&gt;0,"○勝",IF($V35&lt;0,"●負","△引分")))</f>
        <v>○勝</v>
      </c>
      <c r="AL35" s="613"/>
      <c r="AM35" s="615"/>
      <c r="AN35" s="613"/>
      <c r="AO35" s="615"/>
      <c r="AP35" s="615"/>
      <c r="AQ35" s="615"/>
      <c r="AR35" s="613"/>
      <c r="AS35" s="613"/>
      <c r="BB35" s="600" t="str">
        <f>IF(N(買抽出v13!$C35)=0,"",N(買抽出v13!$Q35)+N(買抽出v13!$L35)/1000-ROW()/1000000)</f>
        <v/>
      </c>
      <c r="BC35" s="600" t="str">
        <f>IF(N(売抽出v13!$C35)=0,"",N(売抽出v13!$Q35)+IFERROR(VALUE(SUBSTITUTE(売抽出v13!$L35,"倍","")),0)/1000-ROW()/1000000)</f>
        <v/>
      </c>
    </row>
    <row r="36" spans="1:55" ht="35.4" customHeight="1">
      <c r="A36" s="619" t="str">
        <f>IF(B36="","",HYPERLINK("https://kabutan.jp/stock/?code="&amp;B36,"株探"))</f>
        <v>株探</v>
      </c>
      <c r="B36" s="630">
        <v>6862</v>
      </c>
      <c r="C36" s="490" t="s">
        <v>999</v>
      </c>
      <c r="D36" s="623" t="str" cm="1">
        <f t="array" ref="D36">IF($B36="","",_xll.RssMarket($B36,"銘柄名称"))</f>
        <v>ミナトホールディングス</v>
      </c>
      <c r="E36" s="716">
        <v>46233</v>
      </c>
      <c r="F36" s="698" cm="1">
        <f t="array" aca="1" ref="F36" ca="1">IFERROR(_xlfn.LET(_xlpm.r,MATCH(TEXT($B36,"0"),TEXT(銘柄管理!$B$6:$B$305,"0"),0),_xlpm.t,MOD(NOW(),1),_xlpm.c,IF($E36=TODAY(),IF(_xlpm.t&gt;=TIME(15,30,0),NA(),1),IF(MATCH($E36,始値!$E$3:$IT$3,0)=1,1,MATCH($E36,始値!$E$3:$IT$3,0)+1)),_xlpm.v,INDEX(始値!$C$6:$IT$305,_xlpm.r,_xlpm.c),IF(N(_xlpm.v)=0,"",_xlpm.v)),"")</f>
        <v>2050</v>
      </c>
      <c r="G36" s="631">
        <v>100</v>
      </c>
      <c r="H36" s="491" cm="1">
        <f t="array" ref="H36">IF($B36="","",_xll.RssMarket($B36,"現在値"))</f>
        <v>2335</v>
      </c>
      <c r="I36" s="491" cm="1">
        <f t="array" ref="I36">IF($B36="","",_xll.RssMarket($B36,"出来高加重平均"))</f>
        <v>2294.1304</v>
      </c>
      <c r="J36" s="701" cm="1">
        <f t="array" ref="J36">IF($B36="","",_xll.RssMarket($B36,"前日比"))</f>
        <v>4</v>
      </c>
      <c r="K36" s="701">
        <f>IF(OR(F36="",G36="",H36=""),"",IF(C36="売",(F36-H36)*G36,(H36-F36)*G36))</f>
        <v>-28500</v>
      </c>
      <c r="L36" s="706">
        <f>IF(OR(F36="",H36=""),"",IF(C36="売",(F36-H36)/F36,(H36-F36)/F36))</f>
        <v>-0.13902439024390245</v>
      </c>
      <c r="M36" s="491">
        <f>IF($F36="","",$F36*IF($C36="売",1-V811設定!$B$4,1+V811設定!$B$4)-MOD($F36*IF($C36="売",1-V811設定!$B$4,1+V811設定!$B$4),IF($F36&lt;=3000,1,IF($F36&lt;=5000,5,IF($F36&lt;=30000,10,IF($F36&lt;=50000,50,IF($F36&lt;=300000,100,500))))))+IF(AND($C36="売",MOD($F36*IF($C36="売",1-V811設定!$B$4,1+V811設定!$B$4),IF($F36&lt;=3000,1,IF($F36&lt;=5000,5,IF($F36&lt;=30000,10,IF($F36&lt;=50000,50,IF($F36&lt;=300000,100,500))))))&gt;0),IF($F36&lt;=3000,1,IF($F36&lt;=5000,5,IF($F36&lt;=30000,10,IF($F36&lt;=50000,50,IF($F36&lt;=300000,100,500))))),0))</f>
      </c>
      <c r="N36" s="491">
        <f>IF($F36="","",$F36*IF($C36="売",1+V811設定!$B$3,1-V811設定!$B$3)-MOD($F36*IF($C36="売",1+V811設定!$B$3,1-V811設定!$B$3),IF($F36&lt;=3000,1,IF($F36&lt;=5000,5,IF($F36&lt;=30000,10,IF($F36&lt;=50000,50,IF($F36&lt;=300000,100,500))))))+IF(AND($C36="売",MOD($F36*IF($C36="売",1+V811設定!$B$3,1-V811設定!$B$3),IF($F36&lt;=3000,1,IF($F36&lt;=5000,5,IF($F36&lt;=30000,10,IF($F36&lt;=50000,50,IF($F36&lt;=300000,100,500))))))&gt;0),IF($F36&lt;=3000,1,IF($F36&lt;=5000,5,IF($F36&lt;=30000,10,IF($F36&lt;=50000,50,IF($F36&lt;=300000,100,500))))),0))</f>
      </c>
      <c r="O36" s="492" t="str">
        <f>IF(OR($B36="",$F36="",$H36=""),"",IF($S36="✅売却済","―決済済―",IF($C36="売",IF($H36&lt;=$M36,"🟢利確",IF(AND($R36&lt;&gt;"",$H36&gt;=$R36),"🟠TRAIL",IF($H36&gt;=$N36,"🔴損切",IF($W36&gt;=V811設定!$B$6,"⏱時間決済",IF($H36&gt;=$F36*(1+V811設定!$B$3*0.7),"⚠️損切接近","保持継続"))))),IF($H36&gt;=$M36,"🟢利確",IF(AND($R36&lt;&gt;"",$H36&lt;=$R36),"🟠TRAIL",IF($H36&lt;=$N36,"🔴損切",IF($W36&gt;=V811設定!$B$6,"⏱時間決済",IF($H36&lt;=$F36*(1-V811設定!$B$3*0.7),"⚠️損切接近","保持継続"))))))))</f>
      </c>
      <c r="P36" s="491">
        <f ca="1">IF(B36="","",IFERROR(MAX(OFFSET(高値!$E$6,IFERROR(MATCH(B36,銘柄管理!$B$6:$B$305,0),MATCH(TEXT(B36,"0"),銘柄管理!$B$6:$B$305,0))-1,0,1,10)),""))</f>
        <v>2371</v>
      </c>
      <c r="Q36" s="491">
        <f ca="1">IF(B36="","",IFERROR(MIN(OFFSET(安値!$E$6,IFERROR(MATCH(B36,銘柄管理!$B$6:$B$305,0),MATCH(TEXT(B36,"0"),銘柄管理!$B$6:$B$305,0))-1,0,1,10)),""))</f>
        <v>1521</v>
      </c>
      <c r="R36" s="491">
        <f>IF(OR($F36="",$H36="",$N36=""),"",IF($S36="✅売却済","",IF($C36="売",IF($H36&gt;$F36*(1-V811設定!$B$3),$N36,MIN($N36,IF($Q36="",$N36,$Q36*1.03))),IF($H36&lt;$F36*(1+V811設定!$B$3),$N36,MAX($N36,IF($P36="",$N36,$P36*0.97))))))</f>
      </c>
      <c r="S36" s="586" t="str">
        <f>IF(B36="","",IF(T36&lt;&gt;"","✅売却済",IF(OR(H36="",L36=""),"📌保有中",IF(L36&gt;=0.06,"🟢利確推奨",IF(L36&gt;=0.05,"🟡利確直近",IF(L36&gt;=0.045,"🔵トレーリング検討",IF(L36&gt;-0.03,"📌保有中",IF(L36&gt;-0.04,"⚠️損切注意","🔴損切り"))))))))</f>
        <v>✅売却済</v>
      </c>
      <c r="T36" s="594">
        <v>46238</v>
      </c>
      <c r="U36" s="491">
        <v>2132</v>
      </c>
      <c r="V36" s="701">
        <f>IF(OR(F36="",G36="",U36=""),"",IF(C36="売",(F36-U36)*G36,(U36-F36)*G36))</f>
        <v>-8200</v>
      </c>
      <c r="W36" s="493">
        <f>IF(OR($E36="",$B36=""),"",IF($T36&lt;&gt;"",$T36-$E36,TODAY()-$E36)+1)</f>
        <v>6</v>
      </c>
      <c r="X36" s="489" t="str">
        <f>IF(OR($AH36="",$AH36="保有中"),"",$AH36)</f>
        <v>損切確定</v>
      </c>
      <c r="Y36" s="488"/>
      <c r="Z36" s="710">
        <v>22</v>
      </c>
      <c r="AD36" s="608" t="s">
        <v>1325</v>
      </c>
      <c r="AE36" s="624">
        <f>IF($E36="","",WORKDAY($E36,12))</f>
        <v>46251</v>
      </c>
      <c r="AF36" s="626" cm="1">
        <f t="array" aca="1" ref="AF36" ca="1">IF(OR($B36="",$M36=""),"",IFERROR(IF($C36="売",_xlfn.MINIFS(安値!$E$3:$IT$3,安値!$E$3:$IT$3,"&gt;"&amp;$E36,安値!$E$3:$IT$3,"&lt;="&amp;$AE36,OFFSET(安値!$E$6:$IT$6,MATCH(TEXT($B36,"0"),TEXT(銘柄管理!$B$6:$B$305,"0"),0)-1,0),"&lt;="&amp;$M36),_xlfn.MINIFS(高値!$E$3:$IT$3,高値!$E$3:$IT$3,"&gt;"&amp;$E36,高値!$E$3:$IT$3,"&lt;="&amp;$AE36,OFFSET(高値!$E$6:$IT$6,MATCH(TEXT($B36,"0"),TEXT(銘柄管理!$B$6:$B$305,"0"),0)-1,0),"&gt;="&amp;$M36)),""))</f>
        <v>0</v>
      </c>
      <c r="AG36" s="626" cm="1">
        <f t="array" aca="1" ref="AG36" ca="1">IF(OR($B36="",$N36=""),"",IFERROR(IF($C36="売",_xlfn.MINIFS(高値!$E$3:$IT$3,高値!$E$3:$IT$3,"&gt;"&amp;$E36,高値!$E$3:$IT$3,"&lt;="&amp;$AE36,OFFSET(高値!$E$6:$IT$6,MATCH(TEXT($B36,"0"),TEXT(銘柄管理!$B$6:$B$305,"0"),0)-1,0),"&gt;="&amp;$N36),_xlfn.MINIFS(安値!$E$3:$IT$3,安値!$E$3:$IT$3,"&gt;"&amp;$E36,安値!$E$3:$IT$3,"&lt;="&amp;$AE36,OFFSET(安値!$E$6:$IT$6,MATCH(TEXT($B36,"0"),TEXT(銘柄管理!$B$6:$B$305,"0"),0)-1,0),"&lt;="&amp;$N36)),""))</f>
        <v>46238</v>
      </c>
      <c r="AH36" s="600" t="str">
        <f>IF(OR($B36="",$M36=""),"",IF(AND(N($AF36)=0,N($AG36)=0),IF(AND(ISNUMBER($H36),$H36&gt;0,IF($C36="売",$H36&gt;=$N36,$H36&lt;=$N36)),"損切確定",IF(AND(ISNUMBER($H36),$H36&gt;0,IF($C36="売",$H36&lt;=$M36,$H36&gt;=$M36)),"利益確定",IF($AE36&lt;=TODAY(),"日数制限","保有中"))),IF(N($AG36)=0,"利益確定",IF(N($AF36)=0,"損切確定",IF($AG36&lt;=$AF36,"損切確定","利益確定")))))</f>
        <v>損切確定</v>
      </c>
      <c r="AI36" s="600" t="str" cm="1">
        <f t="array" ref="AI36">IFERROR(INDEX(始値!$E$6:$IT$305,MATCH(TEXT($B36,"0"),TEXT(銘柄管理!$B$6:$B$305,"0"),0),MATCH($AE36,始値!$E$3:$IT$3,0)),"")</f>
        <v/>
      </c>
      <c r="AJ36" s="905">
        <f>IF(OR($V36="",$F36="",$G36=""),"",$V36/($F36*$G36))</f>
        <v>-0.04</v>
      </c>
      <c r="AK36" s="629" t="str">
        <f>IF($V36="","",IF($V36&gt;0,"○勝",IF($V36&lt;0,"●負","△引分")))</f>
        <v>●負</v>
      </c>
      <c r="AL36" s="613"/>
      <c r="AM36" s="615"/>
      <c r="AN36" s="613"/>
      <c r="AO36" s="615"/>
      <c r="AP36" s="615"/>
      <c r="AQ36" s="615"/>
      <c r="AR36" s="613"/>
      <c r="AS36" s="613"/>
      <c r="BB36" s="600" t="str">
        <f>IF(N(買抽出v13!$C36)=0,"",N(買抽出v13!$Q36)+N(買抽出v13!$L36)/1000-ROW()/1000000)</f>
        <v/>
      </c>
      <c r="BC36" s="600" t="str">
        <f>IF(N(売抽出v13!$C36)=0,"",N(売抽出v13!$Q36)+IFERROR(VALUE(SUBSTITUTE(売抽出v13!$L36,"倍","")),0)/1000-ROW()/1000000)</f>
        <v/>
      </c>
    </row>
    <row r="37" spans="1:55" ht="35.4" customHeight="1">
      <c r="A37" s="619" t="str">
        <f>IF(B37="","",HYPERLINK("https://kabutan.jp/stock/?code="&amp;B37,"株探"))</f>
        <v>株探</v>
      </c>
      <c r="B37" s="630">
        <v>4188</v>
      </c>
      <c r="C37" s="490" t="s">
        <v>998</v>
      </c>
      <c r="D37" s="623" t="str" cm="1">
        <f t="array" ref="D37">IF($B37="","",_xll.RssMarket($B37,"銘柄名称"))</f>
        <v>三菱ケミカルグループ</v>
      </c>
      <c r="E37" s="716">
        <v>46237</v>
      </c>
      <c r="F37" s="698" cm="1">
        <f t="array" aca="1" ref="F37" ca="1">IFERROR(_xlfn.LET(_xlpm.r,MATCH(TEXT($B37,"0"),TEXT(銘柄管理!$B$6:$B$305,"0"),0),_xlpm.t,MOD(NOW(),1),_xlpm.c,IF($E37=TODAY(),IF(_xlpm.t&gt;=TIME(15,30,0),NA(),1),IF(MATCH($E37,始値!$E$3:$IT$3,0)=1,1,MATCH($E37,始値!$E$3:$IT$3,0)+1)),_xlpm.v,INDEX(始値!$C$6:$IT$305,_xlpm.r,_xlpm.c),IF(N(_xlpm.v)=0,"",_xlpm.v)),"")</f>
        <v>1131.5</v>
      </c>
      <c r="G37" s="631">
        <v>100</v>
      </c>
      <c r="H37" s="491" cm="1">
        <f t="array" ref="H37">IF($B37="","",_xll.RssMarket($B37,"現在値"))</f>
        <v>1184.5</v>
      </c>
      <c r="I37" s="491" cm="1">
        <f t="array" ref="I37">IF($B37="","",_xll.RssMarket($B37,"出来高加重平均"))</f>
        <v>1180.3271</v>
      </c>
      <c r="J37" s="701" cm="1">
        <f t="array" ref="J37">IF($B37="","",_xll.RssMarket($B37,"前日比"))</f>
        <v>30</v>
      </c>
      <c r="K37" s="701">
        <f>IF(OR(F37="",G37="",H37=""),"",IF(C37="売",(F37-H37)*G37,(H37-F37)*G37))</f>
        <v>5300</v>
      </c>
      <c r="L37" s="706">
        <f>IF(OR(F37="",H37=""),"",IF(C37="売",(F37-H37)/F37,(H37-F37)/F37))</f>
        <v>4.6840477242598322E-2</v>
      </c>
      <c r="M37" s="491">
        <f>IF($F37="","",$F37*IF($C37="売",1-V811設定!$B$4,1+V811設定!$B$4)-MOD($F37*IF($C37="売",1-V811設定!$B$4,1+V811設定!$B$4),IF($F37&lt;=3000,1,IF($F37&lt;=5000,5,IF($F37&lt;=30000,10,IF($F37&lt;=50000,50,IF($F37&lt;=300000,100,500))))))+IF(AND($C37="売",MOD($F37*IF($C37="売",1-V811設定!$B$4,1+V811設定!$B$4),IF($F37&lt;=3000,1,IF($F37&lt;=5000,5,IF($F37&lt;=30000,10,IF($F37&lt;=50000,50,IF($F37&lt;=300000,100,500))))))&gt;0),IF($F37&lt;=3000,1,IF($F37&lt;=5000,5,IF($F37&lt;=30000,10,IF($F37&lt;=50000,50,IF($F37&lt;=300000,100,500))))),0))</f>
      </c>
      <c r="N37" s="491">
        <f>IF($F37="","",$F37*IF($C37="売",1+V811設定!$B$3,1-V811設定!$B$3)-MOD($F37*IF($C37="売",1+V811設定!$B$3,1-V811設定!$B$3),IF($F37&lt;=3000,1,IF($F37&lt;=5000,5,IF($F37&lt;=30000,10,IF($F37&lt;=50000,50,IF($F37&lt;=300000,100,500))))))+IF(AND($C37="売",MOD($F37*IF($C37="売",1+V811設定!$B$3,1-V811設定!$B$3),IF($F37&lt;=3000,1,IF($F37&lt;=5000,5,IF($F37&lt;=30000,10,IF($F37&lt;=50000,50,IF($F37&lt;=300000,100,500))))))&gt;0),IF($F37&lt;=3000,1,IF($F37&lt;=5000,5,IF($F37&lt;=30000,10,IF($F37&lt;=50000,50,IF($F37&lt;=300000,100,500))))),0))</f>
      </c>
      <c r="O37" s="492" t="str">
        <f>IF(OR($B37="",$F37="",$H37=""),"",IF($S37="✅売却済","―決済済―",IF($C37="売",IF($H37&lt;=$M37,"🟢利確",IF(AND($R37&lt;&gt;"",$H37&gt;=$R37),"🟠TRAIL",IF($H37&gt;=$N37,"🔴損切",IF($W37&gt;=V811設定!$B$6,"⏱時間決済",IF($H37&gt;=$F37*(1+V811設定!$B$3*0.7),"⚠️損切接近","保持継続"))))),IF($H37&gt;=$M37,"🟢利確",IF(AND($R37&lt;&gt;"",$H37&lt;=$R37),"🟠TRAIL",IF($H37&lt;=$N37,"🔴損切",IF($W37&gt;=V811設定!$B$6,"⏱時間決済",IF($H37&lt;=$F37*(1-V811設定!$B$3*0.7),"⚠️損切接近","保持継続"))))))))</f>
      </c>
      <c r="P37" s="491">
        <f ca="1">IF(B37="","",IFERROR(MAX(OFFSET(高値!$E$6,IFERROR(MATCH(B37,銘柄管理!$B$6:$B$305,0),MATCH(TEXT(B37,"0"),銘柄管理!$B$6:$B$305,0))-1,0,1,10)),""))</f>
        <v>1232.5</v>
      </c>
      <c r="Q37" s="491">
        <f ca="1">IF(B37="","",IFERROR(MIN(OFFSET(安値!$E$6,IFERROR(MATCH(B37,銘柄管理!$B$6:$B$305,0),MATCH(TEXT(B37,"0"),銘柄管理!$B$6:$B$305,0))-1,0,1,10)),""))</f>
        <v>1100.5</v>
      </c>
      <c r="R37" s="491">
        <f>IF(OR($F37="",$H37="",$N37=""),"",IF($S37="✅売却済","",IF($C37="売",IF($H37&gt;$F37*(1-V811設定!$B$3),$N37,MIN($N37,IF($Q37="",$N37,$Q37*1.03))),IF($H37&lt;$F37*(1+V811設定!$B$3),$N37,MAX($N37,IF($P37="",$N37,$P37*0.97))))))</f>
      </c>
      <c r="S37" s="586" t="str">
        <f>IF(B37="","",IF(T37&lt;&gt;"","✅売却済",IF(OR(H37="",L37=""),"📌保有中",IF(L37&gt;=0.06,"🟢利確推奨",IF(L37&gt;=0.05,"🟡利確直近",IF(L37&gt;=0.045,"🔵トレーリング検討",IF(L37&gt;-0.03,"📌保有中",IF(L37&gt;-0.04,"⚠️損切注意","🔴損切り"))))))))</f>
        <v>🔵トレーリング検討</v>
      </c>
      <c r="T37" s="594"/>
      <c r="U37" s="491"/>
      <c r="V37" s="701" t="str">
        <f>IF(OR(F37="",G37="",U37=""),"",IF(C37="売",(F37-U37)*G37,(U37-F37)*G37))</f>
        <v/>
      </c>
      <c r="W37" s="493">
        <f>IF(OR($E37="",$B37=""),"",IF($T37&lt;&gt;"",$T37-$E37,TODAY()-$E37)+1)</f>
        <v>4</v>
      </c>
      <c r="X37" s="489" t="str">
        <f>IF(OR($AH37="",$AH37="保有中"),"",$AH37)</f>
        <v/>
      </c>
      <c r="Y37" s="488"/>
      <c r="Z37" s="710">
        <v>17</v>
      </c>
      <c r="AD37" s="608" t="s">
        <v>1322</v>
      </c>
      <c r="AE37" s="624">
        <f>IF($E37="","",WORKDAY($E37,12))</f>
        <v>46253</v>
      </c>
      <c r="AF37" s="626" cm="1">
        <f t="array" aca="1" ref="AF37" ca="1">IF(OR($B37="",$M37=""),"",IFERROR(IF($C37="売",_xlfn.MINIFS(安値!$E$3:$IT$3,安値!$E$3:$IT$3,"&gt;"&amp;$E37,安値!$E$3:$IT$3,"&lt;="&amp;$AE37,OFFSET(安値!$E$6:$IT$6,MATCH(TEXT($B37,"0"),TEXT(銘柄管理!$B$6:$B$305,"0"),0)-1,0),"&lt;="&amp;$M37),_xlfn.MINIFS(高値!$E$3:$IT$3,高値!$E$3:$IT$3,"&gt;"&amp;$E37,高値!$E$3:$IT$3,"&lt;="&amp;$AE37,OFFSET(高値!$E$6:$IT$6,MATCH(TEXT($B37,"0"),TEXT(銘柄管理!$B$6:$B$305,"0"),0)-1,0),"&gt;="&amp;$M37)),""))</f>
        <v>0</v>
      </c>
      <c r="AG37" s="626" cm="1">
        <f t="array" aca="1" ref="AG37" ca="1">IF(OR($B37="",$N37=""),"",IFERROR(IF($C37="売",_xlfn.MINIFS(高値!$E$3:$IT$3,高値!$E$3:$IT$3,"&gt;"&amp;$E37,高値!$E$3:$IT$3,"&lt;="&amp;$AE37,OFFSET(高値!$E$6:$IT$6,MATCH(TEXT($B37,"0"),TEXT(銘柄管理!$B$6:$B$305,"0"),0)-1,0),"&gt;="&amp;$N37),_xlfn.MINIFS(安値!$E$3:$IT$3,安値!$E$3:$IT$3,"&gt;"&amp;$E37,安値!$E$3:$IT$3,"&lt;="&amp;$AE37,OFFSET(安値!$E$6:$IT$6,MATCH(TEXT($B37,"0"),TEXT(銘柄管理!$B$6:$B$305,"0"),0)-1,0),"&lt;="&amp;$N37)),""))</f>
        <v>0</v>
      </c>
      <c r="AH37" s="600" t="str">
        <f>IF(OR($B37="",$M37=""),"",IF(AND(N($AF37)=0,N($AG37)=0),IF(AND(ISNUMBER($H37),$H37&gt;0,IF($C37="売",$H37&gt;=$N37,$H37&lt;=$N37)),"損切確定",IF(AND(ISNUMBER($H37),$H37&gt;0,IF($C37="売",$H37&lt;=$M37,$H37&gt;=$M37)),"利益確定",IF($AE37&lt;=TODAY(),"日数制限","保有中"))),IF(N($AG37)=0,"利益確定",IF(N($AF37)=0,"損切確定",IF($AG37&lt;=$AF37,"損切確定","利益確定")))))</f>
        <v>保有中</v>
      </c>
      <c r="AI37" s="600" t="str" cm="1">
        <f t="array" ref="AI37">IFERROR(INDEX(始値!$E$6:$IT$305,MATCH(TEXT($B37,"0"),TEXT(銘柄管理!$B$6:$B$305,"0"),0),MATCH($AE37,始値!$E$3:$IT$3,0)),"")</f>
        <v/>
      </c>
      <c r="AJ37" s="905" t="str">
        <f>IF(OR($V37="",$F37="",$G37=""),"",$V37/($F37*$G37))</f>
        <v/>
      </c>
      <c r="AK37" s="629" t="str">
        <f>IF($V37="","",IF($V37&gt;0,"○勝",IF($V37&lt;0,"●負","△引分")))</f>
        <v/>
      </c>
      <c r="AL37" s="613"/>
      <c r="AM37" s="615"/>
      <c r="AN37" s="613"/>
      <c r="AO37" s="615"/>
      <c r="AP37" s="615"/>
      <c r="AQ37" s="615"/>
      <c r="AR37" s="613"/>
      <c r="AS37" s="613"/>
      <c r="BB37" s="600" t="str">
        <f>IF(N(買抽出v13!$C37)=0,"",N(買抽出v13!$Q37)+N(買抽出v13!$L37)/1000-ROW()/1000000)</f>
        <v/>
      </c>
      <c r="BC37" s="600" t="str">
        <f>IF(N(売抽出v13!$C37)=0,"",N(売抽出v13!$Q37)+IFERROR(VALUE(SUBSTITUTE(売抽出v13!$L37,"倍","")),0)/1000-ROW()/1000000)</f>
        <v/>
      </c>
    </row>
    <row r="38" spans="1:55" ht="35.4" customHeight="1">
      <c r="A38" s="619" t="str">
        <f>IF(B38="","",HYPERLINK("https://kabutan.jp/stock/?code="&amp;B38,"株探"))</f>
        <v>株探</v>
      </c>
      <c r="B38" s="630">
        <v>2914</v>
      </c>
      <c r="C38" s="490" t="s">
        <v>998</v>
      </c>
      <c r="D38" s="623" t="str" cm="1">
        <f t="array" ref="D38">IF($B38="","",_xll.RssMarket($B38,"銘柄名称"))</f>
        <v>日本たばこ産業</v>
      </c>
      <c r="E38" s="716">
        <v>46237</v>
      </c>
      <c r="F38" s="698" cm="1">
        <f t="array" aca="1" ref="F38" ca="1">IFERROR(_xlfn.LET(_xlpm.r,MATCH(TEXT($B38,"0"),TEXT(銘柄管理!$B$6:$B$305,"0"),0),_xlpm.t,MOD(NOW(),1),_xlpm.c,IF($E38=TODAY(),IF(_xlpm.t&gt;=TIME(15,30,0),NA(),1),IF(MATCH($E38,始値!$E$3:$IT$3,0)=1,1,MATCH($E38,始値!$E$3:$IT$3,0)+1)),_xlpm.v,INDEX(始値!$C$6:$IT$305,_xlpm.r,_xlpm.c),IF(N(_xlpm.v)=0,"",_xlpm.v)),"")</f>
        <v>6900</v>
      </c>
      <c r="G38" s="631">
        <v>100</v>
      </c>
      <c r="H38" s="491" cm="1">
        <f t="array" ref="H38">IF($B38="","",_xll.RssMarket($B38,"現在値"))</f>
        <v>7030</v>
      </c>
      <c r="I38" s="491" cm="1">
        <f t="array" ref="I38">IF($B38="","",_xll.RssMarket($B38,"出来高加重平均"))</f>
        <v>7003.5086000000001</v>
      </c>
      <c r="J38" s="701" cm="1">
        <f t="array" ref="J38">IF($B38="","",_xll.RssMarket($B38,"前日比"))</f>
        <v>205</v>
      </c>
      <c r="K38" s="701">
        <f>IF(OR(F38="",G38="",H38=""),"",IF(C38="売",(F38-H38)*G38,(H38-F38)*G38))</f>
        <v>13000</v>
      </c>
      <c r="L38" s="706">
        <f>IF(OR(F38="",H38=""),"",IF(C38="売",(F38-H38)/F38,(H38-F38)/F38))</f>
        <v>1.8840579710144929E-2</v>
      </c>
      <c r="M38" s="491">
        <f>IF($F38="","",$F38*IF($C38="売",1-V811設定!$B$4,1+V811設定!$B$4)-MOD($F38*IF($C38="売",1-V811設定!$B$4,1+V811設定!$B$4),IF($F38&lt;=3000,1,IF($F38&lt;=5000,5,IF($F38&lt;=30000,10,IF($F38&lt;=50000,50,IF($F38&lt;=300000,100,500))))))+IF(AND($C38="売",MOD($F38*IF($C38="売",1-V811設定!$B$4,1+V811設定!$B$4),IF($F38&lt;=3000,1,IF($F38&lt;=5000,5,IF($F38&lt;=30000,10,IF($F38&lt;=50000,50,IF($F38&lt;=300000,100,500))))))&gt;0),IF($F38&lt;=3000,1,IF($F38&lt;=5000,5,IF($F38&lt;=30000,10,IF($F38&lt;=50000,50,IF($F38&lt;=300000,100,500))))),0))</f>
      </c>
      <c r="N38" s="491">
        <f>IF($F38="","",$F38*IF($C38="売",1+V811設定!$B$3,1-V811設定!$B$3)-MOD($F38*IF($C38="売",1+V811設定!$B$3,1-V811設定!$B$3),IF($F38&lt;=3000,1,IF($F38&lt;=5000,5,IF($F38&lt;=30000,10,IF($F38&lt;=50000,50,IF($F38&lt;=300000,100,500))))))+IF(AND($C38="売",MOD($F38*IF($C38="売",1+V811設定!$B$3,1-V811設定!$B$3),IF($F38&lt;=3000,1,IF($F38&lt;=5000,5,IF($F38&lt;=30000,10,IF($F38&lt;=50000,50,IF($F38&lt;=300000,100,500))))))&gt;0),IF($F38&lt;=3000,1,IF($F38&lt;=5000,5,IF($F38&lt;=30000,10,IF($F38&lt;=50000,50,IF($F38&lt;=300000,100,500))))),0))</f>
      </c>
      <c r="O38" s="492" t="str">
        <f>IF(OR($B38="",$F38="",$H38=""),"",IF($S38="✅売却済","―決済済―",IF($C38="売",IF($H38&lt;=$M38,"🟢利確",IF(AND($R38&lt;&gt;"",$H38&gt;=$R38),"🟠TRAIL",IF($H38&gt;=$N38,"🔴損切",IF($W38&gt;=V811設定!$B$6,"⏱時間決済",IF($H38&gt;=$F38*(1+V811設定!$B$3*0.7),"⚠️損切接近","保持継続"))))),IF($H38&gt;=$M38,"🟢利確",IF(AND($R38&lt;&gt;"",$H38&lt;=$R38),"🟠TRAIL",IF($H38&lt;=$N38,"🔴損切",IF($W38&gt;=V811設定!$B$6,"⏱時間決済",IF($H38&lt;=$F38*(1-V811設定!$B$3*0.7),"⚠️損切接近","保持継続"))))))))</f>
      </c>
      <c r="P38" s="491">
        <f ca="1">IF(B38="","",IFERROR(MAX(OFFSET(高値!$E$6,IFERROR(MATCH(B38,銘柄管理!$B$6:$B$305,0),MATCH(TEXT(B38,"0"),銘柄管理!$B$6:$B$305,0))-1,0,1,10)),""))</f>
        <v>7218</v>
      </c>
      <c r="Q38" s="491">
        <f ca="1">IF(B38="","",IFERROR(MIN(OFFSET(安値!$E$6,IFERROR(MATCH(B38,銘柄管理!$B$6:$B$305,0),MATCH(TEXT(B38,"0"),銘柄管理!$B$6:$B$305,0))-1,0,1,10)),""))</f>
        <v>6362</v>
      </c>
      <c r="R38" s="491">
        <f>IF(OR($F38="",$H38="",$N38=""),"",IF($S38="✅売却済","",IF($C38="売",IF($H38&gt;$F38*(1-V811設定!$B$3),$N38,MIN($N38,IF($Q38="",$N38,$Q38*1.03))),IF($H38&lt;$F38*(1+V811設定!$B$3),$N38,MAX($N38,IF($P38="",$N38,$P38*0.97))))))</f>
      </c>
      <c r="S38" s="586" t="str">
        <f>IF(B38="","",IF(T38&lt;&gt;"","✅売却済",IF(OR(H38="",L38=""),"📌保有中",IF(L38&gt;=0.06,"🟢利確推奨",IF(L38&gt;=0.05,"🟡利確直近",IF(L38&gt;=0.045,"🔵トレーリング検討",IF(L38&gt;-0.03,"📌保有中",IF(L38&gt;-0.04,"⚠️損切注意","🔴損切り"))))))))</f>
        <v>📌保有中</v>
      </c>
      <c r="T38" s="594"/>
      <c r="U38" s="491"/>
      <c r="V38" s="701" t="str">
        <f>IF(OR(F38="",G38="",U38=""),"",IF(C38="売",(F38-U38)*G38,(U38-F38)*G38))</f>
        <v/>
      </c>
      <c r="W38" s="493">
        <f>IF(OR($E38="",$B38=""),"",IF($T38&lt;&gt;"",$T38-$E38,TODAY()-$E38)+1)</f>
        <v>4</v>
      </c>
      <c r="X38" s="489" t="str">
        <f>IF(OR($AH38="",$AH38="保有中"),"",$AH38)</f>
        <v/>
      </c>
      <c r="Y38" s="488"/>
      <c r="Z38" s="710">
        <v>17</v>
      </c>
      <c r="AD38" s="608" t="s">
        <v>1322</v>
      </c>
      <c r="AE38" s="624">
        <f>IF($E38="","",WORKDAY($E38,12))</f>
        <v>46253</v>
      </c>
      <c r="AF38" s="626" cm="1">
        <f t="array" aca="1" ref="AF38" ca="1">IF(OR($B38="",$M38=""),"",IFERROR(IF($C38="売",_xlfn.MINIFS(安値!$E$3:$IT$3,安値!$E$3:$IT$3,"&gt;"&amp;$E38,安値!$E$3:$IT$3,"&lt;="&amp;$AE38,OFFSET(安値!$E$6:$IT$6,MATCH(TEXT($B38,"0"),TEXT(銘柄管理!$B$6:$B$305,"0"),0)-1,0),"&lt;="&amp;$M38),_xlfn.MINIFS(高値!$E$3:$IT$3,高値!$E$3:$IT$3,"&gt;"&amp;$E38,高値!$E$3:$IT$3,"&lt;="&amp;$AE38,OFFSET(高値!$E$6:$IT$6,MATCH(TEXT($B38,"0"),TEXT(銘柄管理!$B$6:$B$305,"0"),0)-1,0),"&gt;="&amp;$M38)),""))</f>
        <v>0</v>
      </c>
      <c r="AG38" s="626" cm="1">
        <f t="array" aca="1" ref="AG38" ca="1">IF(OR($B38="",$N38=""),"",IFERROR(IF($C38="売",_xlfn.MINIFS(高値!$E$3:$IT$3,高値!$E$3:$IT$3,"&gt;"&amp;$E38,高値!$E$3:$IT$3,"&lt;="&amp;$AE38,OFFSET(高値!$E$6:$IT$6,MATCH(TEXT($B38,"0"),TEXT(銘柄管理!$B$6:$B$305,"0"),0)-1,0),"&gt;="&amp;$N38),_xlfn.MINIFS(安値!$E$3:$IT$3,安値!$E$3:$IT$3,"&gt;"&amp;$E38,安値!$E$3:$IT$3,"&lt;="&amp;$AE38,OFFSET(安値!$E$6:$IT$6,MATCH(TEXT($B38,"0"),TEXT(銘柄管理!$B$6:$B$305,"0"),0)-1,0),"&lt;="&amp;$N38)),""))</f>
        <v>0</v>
      </c>
      <c r="AH38" s="600" t="str">
        <f>IF(OR($B38="",$M38=""),"",IF(AND(N($AF38)=0,N($AG38)=0),IF(AND(ISNUMBER($H38),$H38&gt;0,IF($C38="売",$H38&gt;=$N38,$H38&lt;=$N38)),"損切確定",IF(AND(ISNUMBER($H38),$H38&gt;0,IF($C38="売",$H38&lt;=$M38,$H38&gt;=$M38)),"利益確定",IF($AE38&lt;=TODAY(),"日数制限","保有中"))),IF(N($AG38)=0,"利益確定",IF(N($AF38)=0,"損切確定",IF($AG38&lt;=$AF38,"損切確定","利益確定")))))</f>
        <v>保有中</v>
      </c>
      <c r="AI38" s="600" t="str" cm="1">
        <f t="array" ref="AI38">IFERROR(INDEX(始値!$E$6:$IT$305,MATCH(TEXT($B38,"0"),TEXT(銘柄管理!$B$6:$B$305,"0"),0),MATCH($AE38,始値!$E$3:$IT$3,0)),"")</f>
        <v/>
      </c>
      <c r="AJ38" s="905" t="str">
        <f>IF(OR($V38="",$F38="",$G38=""),"",$V38/($F38*$G38))</f>
        <v/>
      </c>
      <c r="AK38" s="629" t="str">
        <f>IF($V38="","",IF($V38&gt;0,"○勝",IF($V38&lt;0,"●負","△引分")))</f>
        <v/>
      </c>
      <c r="AL38" s="613"/>
      <c r="AM38" s="615"/>
      <c r="AN38" s="613"/>
      <c r="AO38" s="615"/>
      <c r="AP38" s="615"/>
      <c r="AQ38" s="615"/>
      <c r="AR38" s="613"/>
      <c r="AS38" s="613"/>
      <c r="BB38" s="600" t="str">
        <f>IF(N(買抽出v13!$C38)=0,"",N(買抽出v13!$Q38)+N(買抽出v13!$L38)/1000-ROW()/1000000)</f>
        <v/>
      </c>
      <c r="BC38" s="600" t="str">
        <f>IF(N(売抽出v13!$C38)=0,"",N(売抽出v13!$Q38)+IFERROR(VALUE(SUBSTITUTE(売抽出v13!$L38,"倍","")),0)/1000-ROW()/1000000)</f>
        <v/>
      </c>
    </row>
    <row r="39" spans="1:55" ht="35.4" customHeight="1">
      <c r="A39" s="619" t="str">
        <f>IF(B39="","",HYPERLINK("https://kabutan.jp/stock/?code="&amp;B39,"株探"))</f>
        <v>株探</v>
      </c>
      <c r="B39" s="630">
        <v>1942</v>
      </c>
      <c r="C39" s="490" t="s">
        <v>999</v>
      </c>
      <c r="D39" s="623" t="str" cm="1">
        <f t="array" ref="D39">IF($B39="","",_xll.RssMarket($B39,"銘柄名称"))</f>
        <v>関電工</v>
      </c>
      <c r="E39" s="716">
        <v>46237</v>
      </c>
      <c r="F39" s="698" cm="1">
        <f t="array" aca="1" ref="F39" ca="1">IFERROR(_xlfn.LET(_xlpm.r,MATCH(TEXT($B39,"0"),TEXT(銘柄管理!$B$6:$B$305,"0"),0),_xlpm.t,MOD(NOW(),1),_xlpm.c,IF($E39=TODAY(),IF(_xlpm.t&gt;=TIME(15,30,0),NA(),1),IF(MATCH($E39,始値!$E$3:$IT$3,0)=1,1,MATCH($E39,始値!$E$3:$IT$3,0)+1)),_xlpm.v,INDEX(始値!$C$6:$IT$305,_xlpm.r,_xlpm.c),IF(N(_xlpm.v)=0,"",_xlpm.v)),"")</f>
        <v>5333</v>
      </c>
      <c r="G39" s="631">
        <v>100</v>
      </c>
      <c r="H39" s="491" cm="1">
        <f t="array" ref="H39">IF($B39="","",_xll.RssMarket($B39,"現在値"))</f>
        <v>5642</v>
      </c>
      <c r="I39" s="491" cm="1">
        <f t="array" ref="I39">IF($B39="","",_xll.RssMarket($B39,"出来高加重平均"))</f>
        <v>5710.6984000000002</v>
      </c>
      <c r="J39" s="701" cm="1">
        <f t="array" ref="J39">IF($B39="","",_xll.RssMarket($B39,"前日比"))</f>
        <v>-42</v>
      </c>
      <c r="K39" s="701">
        <f>IF(OR(F39="",G39="",H39=""),"",IF(C39="売",(F39-H39)*G39,(H39-F39)*G39))</f>
        <v>-30900</v>
      </c>
      <c r="L39" s="706">
        <f>IF(OR(F39="",H39=""),"",IF(C39="売",(F39-H39)/F39,(H39-F39)/F39))</f>
        <v>-5.7941121320082507E-2</v>
      </c>
      <c r="M39" s="491">
        <f>IF($F39="","",$F39*IF($C39="売",1-V811設定!$B$4,1+V811設定!$B$4)-MOD($F39*IF($C39="売",1-V811設定!$B$4,1+V811設定!$B$4),IF($F39&lt;=3000,1,IF($F39&lt;=5000,5,IF($F39&lt;=30000,10,IF($F39&lt;=50000,50,IF($F39&lt;=300000,100,500))))))+IF(AND($C39="売",MOD($F39*IF($C39="売",1-V811設定!$B$4,1+V811設定!$B$4),IF($F39&lt;=3000,1,IF($F39&lt;=5000,5,IF($F39&lt;=30000,10,IF($F39&lt;=50000,50,IF($F39&lt;=300000,100,500))))))&gt;0),IF($F39&lt;=3000,1,IF($F39&lt;=5000,5,IF($F39&lt;=30000,10,IF($F39&lt;=50000,50,IF($F39&lt;=300000,100,500))))),0))</f>
      </c>
      <c r="N39" s="491">
        <f>IF($F39="","",$F39*IF($C39="売",1+V811設定!$B$3,1-V811設定!$B$3)-MOD($F39*IF($C39="売",1+V811設定!$B$3,1-V811設定!$B$3),IF($F39&lt;=3000,1,IF($F39&lt;=5000,5,IF($F39&lt;=30000,10,IF($F39&lt;=50000,50,IF($F39&lt;=300000,100,500))))))+IF(AND($C39="売",MOD($F39*IF($C39="売",1+V811設定!$B$3,1-V811設定!$B$3),IF($F39&lt;=3000,1,IF($F39&lt;=5000,5,IF($F39&lt;=30000,10,IF($F39&lt;=50000,50,IF($F39&lt;=300000,100,500))))))&gt;0),IF($F39&lt;=3000,1,IF($F39&lt;=5000,5,IF($F39&lt;=30000,10,IF($F39&lt;=50000,50,IF($F39&lt;=300000,100,500))))),0))</f>
      </c>
      <c r="O39" s="492" t="str">
        <f>IF(OR($B39="",$F39="",$H39=""),"",IF($S39="✅売却済","―決済済―",IF($C39="売",IF($H39&lt;=$M39,"🟢利確",IF(AND($R39&lt;&gt;"",$H39&gt;=$R39),"🟠TRAIL",IF($H39&gt;=$N39,"🔴損切",IF($W39&gt;=V811設定!$B$6,"⏱時間決済",IF($H39&gt;=$F39*(1+V811設定!$B$3*0.7),"⚠️損切接近","保持継続"))))),IF($H39&gt;=$M39,"🟢利確",IF(AND($R39&lt;&gt;"",$H39&lt;=$R39),"🟠TRAIL",IF($H39&lt;=$N39,"🔴損切",IF($W39&gt;=V811設定!$B$6,"⏱時間決済",IF($H39&lt;=$F39*(1-V811設定!$B$3*0.7),"⚠️損切接近","保持継続"))))))))</f>
      </c>
      <c r="P39" s="491">
        <f ca="1">IF(B39="","",IFERROR(MAX(OFFSET(高値!$E$6,IFERROR(MATCH(B39,銘柄管理!$B$6:$B$305,0),MATCH(TEXT(B39,"0"),銘柄管理!$B$6:$B$305,0))-1,0,1,10)),""))</f>
        <v>6100</v>
      </c>
      <c r="Q39" s="491">
        <f ca="1">IF(B39="","",IFERROR(MIN(OFFSET(安値!$E$6,IFERROR(MATCH(B39,銘柄管理!$B$6:$B$305,0),MATCH(TEXT(B39,"0"),銘柄管理!$B$6:$B$305,0))-1,0,1,10)),""))</f>
        <v>5033</v>
      </c>
      <c r="R39" s="491">
        <f>IF(OR($F39="",$H39="",$N39=""),"",IF($S39="✅売却済","",IF($C39="売",IF($H39&gt;$F39*(1-V811設定!$B$3),$N39,MIN($N39,IF($Q39="",$N39,$Q39*1.03))),IF($H39&lt;$F39*(1+V811設定!$B$3),$N39,MAX($N39,IF($P39="",$N39,$P39*0.97))))))</f>
      </c>
      <c r="S39" s="586" t="str">
        <f>IF(B39="","",IF(T39&lt;&gt;"","✅売却済",IF(OR(H39="",L39=""),"📌保有中",IF(L39&gt;=0.06,"🟢利確推奨",IF(L39&gt;=0.05,"🟡利確直近",IF(L39&gt;=0.045,"🔵トレーリング検討",IF(L39&gt;-0.03,"📌保有中",IF(L39&gt;-0.04,"⚠️損切注意","🔴損切り"))))))))</f>
        <v>✅売却済</v>
      </c>
      <c r="T39" s="594">
        <v>46239</v>
      </c>
      <c r="U39" s="491">
        <v>5546</v>
      </c>
      <c r="V39" s="701">
        <f>IF(OR(F39="",G39="",U39=""),"",IF(C39="売",(F39-U39)*G39,(U39-F39)*G39))</f>
        <v>-21300</v>
      </c>
      <c r="W39" s="493">
        <f>IF(OR($E39="",$B39=""),"",IF($T39&lt;&gt;"",$T39-$E39,TODAY()-$E39)+1)</f>
        <v>3</v>
      </c>
      <c r="X39" s="489" t="str">
        <f>IF(OR($AH39="",$AH39="保有中"),"",$AH39)</f>
        <v>損切確定</v>
      </c>
      <c r="Y39" s="488"/>
      <c r="Z39" s="710">
        <v>16</v>
      </c>
      <c r="AD39" s="608" t="s">
        <v>1323</v>
      </c>
      <c r="AE39" s="624">
        <f>IF($E39="","",WORKDAY($E39,12))</f>
        <v>46253</v>
      </c>
      <c r="AF39" s="626" cm="1">
        <f t="array" aca="1" ref="AF39" ca="1">IF(OR($B39="",$M39=""),"",IFERROR(IF($C39="売",_xlfn.MINIFS(安値!$E$3:$IT$3,安値!$E$3:$IT$3,"&gt;"&amp;$E39,安値!$E$3:$IT$3,"&lt;="&amp;$AE39,OFFSET(安値!$E$6:$IT$6,MATCH(TEXT($B39,"0"),TEXT(銘柄管理!$B$6:$B$305,"0"),0)-1,0),"&lt;="&amp;$M39),_xlfn.MINIFS(高値!$E$3:$IT$3,高値!$E$3:$IT$3,"&gt;"&amp;$E39,高値!$E$3:$IT$3,"&lt;="&amp;$AE39,OFFSET(高値!$E$6:$IT$6,MATCH(TEXT($B39,"0"),TEXT(銘柄管理!$B$6:$B$305,"0"),0)-1,0),"&gt;="&amp;$M39)),""))</f>
        <v>0</v>
      </c>
      <c r="AG39" s="626" cm="1">
        <f t="array" aca="1" ref="AG39" ca="1">IF(OR($B39="",$N39=""),"",IFERROR(IF($C39="売",_xlfn.MINIFS(高値!$E$3:$IT$3,高値!$E$3:$IT$3,"&gt;"&amp;$E39,高値!$E$3:$IT$3,"&lt;="&amp;$AE39,OFFSET(高値!$E$6:$IT$6,MATCH(TEXT($B39,"0"),TEXT(銘柄管理!$B$6:$B$305,"0"),0)-1,0),"&gt;="&amp;$N39),_xlfn.MINIFS(安値!$E$3:$IT$3,安値!$E$3:$IT$3,"&gt;"&amp;$E39,安値!$E$3:$IT$3,"&lt;="&amp;$AE39,OFFSET(安値!$E$6:$IT$6,MATCH(TEXT($B39,"0"),TEXT(銘柄管理!$B$6:$B$305,"0"),0)-1,0),"&lt;="&amp;$N39)),""))</f>
        <v>46239</v>
      </c>
      <c r="AH39" s="600" t="str">
        <f>IF(OR($B39="",$M39=""),"",IF(AND(N($AF39)=0,N($AG39)=0),IF(AND(ISNUMBER($H39),$H39&gt;0,IF($C39="売",$H39&gt;=$N39,$H39&lt;=$N39)),"損切確定",IF(AND(ISNUMBER($H39),$H39&gt;0,IF($C39="売",$H39&lt;=$M39,$H39&gt;=$M39)),"利益確定",IF($AE39&lt;=TODAY(),"日数制限","保有中"))),IF(N($AG39)=0,"利益確定",IF(N($AF39)=0,"損切確定",IF($AG39&lt;=$AF39,"損切確定","利益確定")))))</f>
        <v>損切確定</v>
      </c>
      <c r="AI39" s="600" t="str" cm="1">
        <f t="array" ref="AI39">IFERROR(INDEX(始値!$E$6:$IT$305,MATCH(TEXT($B39,"0"),TEXT(銘柄管理!$B$6:$B$305,"0"),0),MATCH($AE39,始値!$E$3:$IT$3,0)),"")</f>
        <v/>
      </c>
      <c r="AJ39" s="905">
        <f>IF(OR($V39="",$F39="",$G39=""),"",$V39/($F39*$G39))</f>
        <v>-3.9939996249765609E-2</v>
      </c>
      <c r="AK39" s="629" t="str">
        <f>IF($V39="","",IF($V39&gt;0,"○勝",IF($V39&lt;0,"●負","△引分")))</f>
        <v>●負</v>
      </c>
      <c r="AL39" s="613"/>
      <c r="AM39" s="615"/>
      <c r="AN39" s="613"/>
      <c r="AO39" s="615"/>
      <c r="AP39" s="615"/>
      <c r="AQ39" s="615"/>
      <c r="AR39" s="613"/>
      <c r="AS39" s="613"/>
      <c r="BB39" s="600" t="str">
        <f>IF(N(買抽出v13!$C39)=0,"",N(買抽出v13!$Q39)+N(買抽出v13!$L39)/1000-ROW()/1000000)</f>
        <v/>
      </c>
      <c r="BC39" s="600" t="str">
        <f>IF(N(売抽出v13!$C39)=0,"",N(売抽出v13!$Q39)+IFERROR(VALUE(SUBSTITUTE(売抽出v13!$L39,"倍","")),0)/1000-ROW()/1000000)</f>
        <v/>
      </c>
    </row>
    <row r="40" spans="1:55" ht="35.4" customHeight="1">
      <c r="A40" s="619" t="str">
        <f>IF(B40="","",HYPERLINK("https://kabutan.jp/stock/?code="&amp;B40,"株探"))</f>
        <v>株探</v>
      </c>
      <c r="B40" s="630">
        <v>6327</v>
      </c>
      <c r="C40" s="490" t="s">
        <v>999</v>
      </c>
      <c r="D40" s="623" t="str" cm="1">
        <f t="array" ref="D40">IF($B40="","",_xll.RssMarket($B40,"銘柄名称"))</f>
        <v>北川精機</v>
      </c>
      <c r="E40" s="716">
        <v>46237</v>
      </c>
      <c r="F40" s="698" cm="1">
        <f t="array" aca="1" ref="F40" ca="1">IFERROR(_xlfn.LET(_xlpm.r,MATCH(TEXT($B40,"0"),TEXT(銘柄管理!$B$6:$B$305,"0"),0),_xlpm.t,MOD(NOW(),1),_xlpm.c,IF($E40=TODAY(),IF(_xlpm.t&gt;=TIME(15,30,0),NA(),1),IF(MATCH($E40,始値!$E$3:$IT$3,0)=1,1,MATCH($E40,始値!$E$3:$IT$3,0)+1)),_xlpm.v,INDEX(始値!$C$6:$IT$305,_xlpm.r,_xlpm.c),IF(N(_xlpm.v)=0,"",_xlpm.v)),"")</f>
        <v>2900</v>
      </c>
      <c r="G40" s="631">
        <v>100</v>
      </c>
      <c r="H40" s="491" cm="1">
        <f t="array" ref="H40">IF($B40="","",_xll.RssMarket($B40,"現在値"))</f>
        <v>3350</v>
      </c>
      <c r="I40" s="491" cm="1">
        <f t="array" ref="I40">IF($B40="","",_xll.RssMarket($B40,"出来高加重平均"))</f>
        <v>3266.4573</v>
      </c>
      <c r="J40" s="701" cm="1">
        <f t="array" ref="J40">IF($B40="","",_xll.RssMarket($B40,"前日比"))</f>
        <v>-30</v>
      </c>
      <c r="K40" s="701">
        <f>IF(OR(F40="",G40="",H40=""),"",IF(C40="売",(F40-H40)*G40,(H40-F40)*G40))</f>
        <v>-45000</v>
      </c>
      <c r="L40" s="706">
        <f>IF(OR(F40="",H40=""),"",IF(C40="売",(F40-H40)/F40,(H40-F40)/F40))</f>
        <v>-0.15517241379310345</v>
      </c>
      <c r="M40" s="491">
        <f>IF($F40="","",$F40*IF($C40="売",1-V811設定!$B$4,1+V811設定!$B$4)-MOD($F40*IF($C40="売",1-V811設定!$B$4,1+V811設定!$B$4),IF($F40&lt;=3000,1,IF($F40&lt;=5000,5,IF($F40&lt;=30000,10,IF($F40&lt;=50000,50,IF($F40&lt;=300000,100,500))))))+IF(AND($C40="売",MOD($F40*IF($C40="売",1-V811設定!$B$4,1+V811設定!$B$4),IF($F40&lt;=3000,1,IF($F40&lt;=5000,5,IF($F40&lt;=30000,10,IF($F40&lt;=50000,50,IF($F40&lt;=300000,100,500))))))&gt;0),IF($F40&lt;=3000,1,IF($F40&lt;=5000,5,IF($F40&lt;=30000,10,IF($F40&lt;=50000,50,IF($F40&lt;=300000,100,500))))),0))</f>
      </c>
      <c r="N40" s="491">
        <f>IF($F40="","",$F40*IF($C40="売",1+V811設定!$B$3,1-V811設定!$B$3)-MOD($F40*IF($C40="売",1+V811設定!$B$3,1-V811設定!$B$3),IF($F40&lt;=3000,1,IF($F40&lt;=5000,5,IF($F40&lt;=30000,10,IF($F40&lt;=50000,50,IF($F40&lt;=300000,100,500))))))+IF(AND($C40="売",MOD($F40*IF($C40="売",1+V811設定!$B$3,1-V811設定!$B$3),IF($F40&lt;=3000,1,IF($F40&lt;=5000,5,IF($F40&lt;=30000,10,IF($F40&lt;=50000,50,IF($F40&lt;=300000,100,500))))))&gt;0),IF($F40&lt;=3000,1,IF($F40&lt;=5000,5,IF($F40&lt;=30000,10,IF($F40&lt;=50000,50,IF($F40&lt;=300000,100,500))))),0))</f>
      </c>
      <c r="O40" s="492" t="str">
        <f>IF(OR($B40="",$F40="",$H40=""),"",IF($S40="✅売却済","―決済済―",IF($C40="売",IF($H40&lt;=$M40,"🟢利確",IF(AND($R40&lt;&gt;"",$H40&gt;=$R40),"🟠TRAIL",IF($H40&gt;=$N40,"🔴損切",IF($W40&gt;=V811設定!$B$6,"⏱時間決済",IF($H40&gt;=$F40*(1+V811設定!$B$3*0.7),"⚠️損切接近","保持継続"))))),IF($H40&gt;=$M40,"🟢利確",IF(AND($R40&lt;&gt;"",$H40&lt;=$R40),"🟠TRAIL",IF($H40&lt;=$N40,"🔴損切",IF($W40&gt;=V811設定!$B$6,"⏱時間決済",IF($H40&lt;=$F40*(1-V811設定!$B$3*0.7),"⚠️損切接近","保持継続"))))))))</f>
      </c>
      <c r="P40" s="491">
        <f ca="1">IF(B40="","",IFERROR(MAX(OFFSET(高値!$E$6,IFERROR(MATCH(B40,銘柄管理!$B$6:$B$305,0),MATCH(TEXT(B40,"0"),銘柄管理!$B$6:$B$305,0))-1,0,1,10)),""))</f>
        <v>3840</v>
      </c>
      <c r="Q40" s="491">
        <f ca="1">IF(B40="","",IFERROR(MIN(OFFSET(安値!$E$6,IFERROR(MATCH(B40,銘柄管理!$B$6:$B$305,0),MATCH(TEXT(B40,"0"),銘柄管理!$B$6:$B$305,0))-1,0,1,10)),""))</f>
        <v>2615</v>
      </c>
      <c r="R40" s="491">
        <f>IF(OR($F40="",$H40="",$N40=""),"",IF($S40="✅売却済","",IF($C40="売",IF($H40&gt;$F40*(1-V811設定!$B$3),$N40,MIN($N40,IF($Q40="",$N40,$Q40*1.03))),IF($H40&lt;$F40*(1+V811設定!$B$3),$N40,MAX($N40,IF($P40="",$N40,$P40*0.97))))))</f>
      </c>
      <c r="S40" s="586" t="str">
        <f>IF(B40="","",IF(T40&lt;&gt;"","✅売却済",IF(OR(H40="",L40=""),"📌保有中",IF(L40&gt;=0.06,"🟢利確推奨",IF(L40&gt;=0.05,"🟡利確直近",IF(L40&gt;=0.045,"🔵トレーリング検討",IF(L40&gt;-0.03,"📌保有中",IF(L40&gt;-0.04,"⚠️損切注意","🔴損切り"))))))))</f>
        <v>✅売却済</v>
      </c>
      <c r="T40" s="594">
        <v>46238</v>
      </c>
      <c r="U40" s="491">
        <v>3016</v>
      </c>
      <c r="V40" s="701">
        <f>IF(OR(F40="",G40="",U40=""),"",IF(C40="売",(F40-U40)*G40,(U40-F40)*G40))</f>
        <v>-11600</v>
      </c>
      <c r="W40" s="493">
        <f>IF(OR($E40="",$B40=""),"",IF($T40&lt;&gt;"",$T40-$E40,TODAY()-$E40)+1)</f>
        <v>2</v>
      </c>
      <c r="X40" s="489" t="str">
        <f>IF(OR($AH40="",$AH40="保有中"),"",$AH40)</f>
        <v>損切確定</v>
      </c>
      <c r="Y40" s="488"/>
      <c r="Z40" s="710">
        <v>16</v>
      </c>
      <c r="AD40" s="608" t="s">
        <v>1323</v>
      </c>
      <c r="AE40" s="624">
        <f>IF($E40="","",WORKDAY($E40,12))</f>
        <v>46253</v>
      </c>
      <c r="AF40" s="626" cm="1">
        <f t="array" aca="1" ref="AF40" ca="1">IF(OR($B40="",$M40=""),"",IFERROR(IF($C40="売",_xlfn.MINIFS(安値!$E$3:$IT$3,安値!$E$3:$IT$3,"&gt;"&amp;$E40,安値!$E$3:$IT$3,"&lt;="&amp;$AE40,OFFSET(安値!$E$6:$IT$6,MATCH(TEXT($B40,"0"),TEXT(銘柄管理!$B$6:$B$305,"0"),0)-1,0),"&lt;="&amp;$M40),_xlfn.MINIFS(高値!$E$3:$IT$3,高値!$E$3:$IT$3,"&gt;"&amp;$E40,高値!$E$3:$IT$3,"&lt;="&amp;$AE40,OFFSET(高値!$E$6:$IT$6,MATCH(TEXT($B40,"0"),TEXT(銘柄管理!$B$6:$B$305,"0"),0)-1,0),"&gt;="&amp;$M40)),""))</f>
        <v>0</v>
      </c>
      <c r="AG40" s="626" cm="1">
        <f t="array" aca="1" ref="AG40" ca="1">IF(OR($B40="",$N40=""),"",IFERROR(IF($C40="売",_xlfn.MINIFS(高値!$E$3:$IT$3,高値!$E$3:$IT$3,"&gt;"&amp;$E40,高値!$E$3:$IT$3,"&lt;="&amp;$AE40,OFFSET(高値!$E$6:$IT$6,MATCH(TEXT($B40,"0"),TEXT(銘柄管理!$B$6:$B$305,"0"),0)-1,0),"&gt;="&amp;$N40),_xlfn.MINIFS(安値!$E$3:$IT$3,安値!$E$3:$IT$3,"&gt;"&amp;$E40,安値!$E$3:$IT$3,"&lt;="&amp;$AE40,OFFSET(安値!$E$6:$IT$6,MATCH(TEXT($B40,"0"),TEXT(銘柄管理!$B$6:$B$305,"0"),0)-1,0),"&lt;="&amp;$N40)),""))</f>
        <v>46238</v>
      </c>
      <c r="AH40" s="600" t="str">
        <f>IF(OR($B40="",$M40=""),"",IF(AND(N($AF40)=0,N($AG40)=0),IF(AND(ISNUMBER($H40),$H40&gt;0,IF($C40="売",$H40&gt;=$N40,$H40&lt;=$N40)),"損切確定",IF(AND(ISNUMBER($H40),$H40&gt;0,IF($C40="売",$H40&lt;=$M40,$H40&gt;=$M40)),"利益確定",IF($AE40&lt;=TODAY(),"日数制限","保有中"))),IF(N($AG40)=0,"利益確定",IF(N($AF40)=0,"損切確定",IF($AG40&lt;=$AF40,"損切確定","利益確定")))))</f>
        <v>損切確定</v>
      </c>
      <c r="AI40" s="600" t="str" cm="1">
        <f t="array" ref="AI40">IFERROR(INDEX(始値!$E$6:$IT$305,MATCH(TEXT($B40,"0"),TEXT(銘柄管理!$B$6:$B$305,"0"),0),MATCH($AE40,始値!$E$3:$IT$3,0)),"")</f>
        <v/>
      </c>
      <c r="AJ40" s="905">
        <f>IF(OR($V40="",$F40="",$G40=""),"",$V40/($F40*$G40))</f>
        <v>-0.04</v>
      </c>
      <c r="AK40" s="629" t="str">
        <f>IF($V40="","",IF($V40&gt;0,"○勝",IF($V40&lt;0,"●負","△引分")))</f>
        <v>●負</v>
      </c>
      <c r="AL40" s="613"/>
      <c r="AM40" s="615"/>
      <c r="AN40" s="613"/>
      <c r="AO40" s="615"/>
      <c r="AP40" s="615"/>
      <c r="AQ40" s="615"/>
      <c r="AR40" s="613"/>
      <c r="AS40" s="613"/>
      <c r="BB40" s="600" t="str">
        <f>IF(N(買抽出v13!$C40)=0,"",N(買抽出v13!$Q40)+N(買抽出v13!$L40)/1000-ROW()/1000000)</f>
        <v/>
      </c>
      <c r="BC40" s="600" t="str">
        <f>IF(N(売抽出v13!$C40)=0,"",N(売抽出v13!$Q40)+IFERROR(VALUE(SUBSTITUTE(売抽出v13!$L40,"倍","")),0)/1000-ROW()/1000000)</f>
        <v/>
      </c>
    </row>
    <row r="41" spans="1:55" ht="35.4" customHeight="1">
      <c r="A41" s="619" t="str">
        <f>IF(B41="","",HYPERLINK("https://kabutan.jp/stock/?code="&amp;B41,"株探"))</f>
        <v>株探</v>
      </c>
      <c r="B41" s="630">
        <v>4661</v>
      </c>
      <c r="C41" s="490" t="s">
        <v>998</v>
      </c>
      <c r="D41" s="623" t="str" cm="1">
        <f t="array" ref="D41">IF($B41="","",_xll.RssMarket($B41,"銘柄名称"))</f>
        <v>オリエンタルランド</v>
      </c>
      <c r="E41" s="716">
        <v>46237</v>
      </c>
      <c r="F41" s="698" cm="1">
        <f t="array" aca="1" ref="F41" ca="1">IFERROR(_xlfn.LET(_xlpm.r,MATCH(TEXT($B41,"0"),TEXT(銘柄管理!$B$6:$B$305,"0"),0),_xlpm.t,MOD(NOW(),1),_xlpm.c,IF($E41=TODAY(),IF(_xlpm.t&gt;=TIME(15,30,0),NA(),1),IF(MATCH($E41,始値!$E$3:$IT$3,0)=1,1,MATCH($E41,始値!$E$3:$IT$3,0)+1)),_xlpm.v,INDEX(始値!$C$6:$IT$305,_xlpm.r,_xlpm.c),IF(N(_xlpm.v)=0,"",_xlpm.v)),"")</f>
        <v>3058</v>
      </c>
      <c r="G41" s="631">
        <v>100</v>
      </c>
      <c r="H41" s="491" cm="1">
        <f t="array" ref="H41">IF($B41="","",_xll.RssMarket($B41,"現在値"))</f>
        <v>2954</v>
      </c>
      <c r="I41" s="491" cm="1">
        <f t="array" ref="I41">IF($B41="","",_xll.RssMarket($B41,"出来高加重平均"))</f>
        <v>2939.1903000000002</v>
      </c>
      <c r="J41" s="701" cm="1">
        <f t="array" ref="J41">IF($B41="","",_xll.RssMarket($B41,"前日比"))</f>
        <v>93.5</v>
      </c>
      <c r="K41" s="701">
        <f>IF(OR(F41="",G41="",H41=""),"",IF(C41="売",(F41-H41)*G41,(H41-F41)*G41))</f>
        <v>-10400</v>
      </c>
      <c r="L41" s="706">
        <f>IF(OR(F41="",H41=""),"",IF(C41="売",(F41-H41)/F41,(H41-F41)/F41))</f>
        <v>-3.4009156311314584E-2</v>
      </c>
      <c r="M41" s="491">
        <f>IF($F41="","",$F41*IF($C41="売",1-V811設定!$B$4,1+V811設定!$B$4)-MOD($F41*IF($C41="売",1-V811設定!$B$4,1+V811設定!$B$4),IF($F41&lt;=3000,1,IF($F41&lt;=5000,5,IF($F41&lt;=30000,10,IF($F41&lt;=50000,50,IF($F41&lt;=300000,100,500))))))+IF(AND($C41="売",MOD($F41*IF($C41="売",1-V811設定!$B$4,1+V811設定!$B$4),IF($F41&lt;=3000,1,IF($F41&lt;=5000,5,IF($F41&lt;=30000,10,IF($F41&lt;=50000,50,IF($F41&lt;=300000,100,500))))))&gt;0),IF($F41&lt;=3000,1,IF($F41&lt;=5000,5,IF($F41&lt;=30000,10,IF($F41&lt;=50000,50,IF($F41&lt;=300000,100,500))))),0))</f>
      </c>
      <c r="N41" s="491">
        <f>IF($F41="","",$F41*IF($C41="売",1+V811設定!$B$3,1-V811設定!$B$3)-MOD($F41*IF($C41="売",1+V811設定!$B$3,1-V811設定!$B$3),IF($F41&lt;=3000,1,IF($F41&lt;=5000,5,IF($F41&lt;=30000,10,IF($F41&lt;=50000,50,IF($F41&lt;=300000,100,500))))))+IF(AND($C41="売",MOD($F41*IF($C41="売",1+V811設定!$B$3,1-V811設定!$B$3),IF($F41&lt;=3000,1,IF($F41&lt;=5000,5,IF($F41&lt;=30000,10,IF($F41&lt;=50000,50,IF($F41&lt;=300000,100,500))))))&gt;0),IF($F41&lt;=3000,1,IF($F41&lt;=5000,5,IF($F41&lt;=30000,10,IF($F41&lt;=50000,50,IF($F41&lt;=300000,100,500))))),0))</f>
      </c>
      <c r="O41" s="492" t="str">
        <f>IF(OR($B41="",$F41="",$H41=""),"",IF($S41="✅売却済","―決済済―",IF($C41="売",IF($H41&lt;=$M41,"🟢利確",IF(AND($R41&lt;&gt;"",$H41&gt;=$R41),"🟠TRAIL",IF($H41&gt;=$N41,"🔴損切",IF($W41&gt;=V811設定!$B$6,"⏱時間決済",IF($H41&gt;=$F41*(1+V811設定!$B$3*0.7),"⚠️損切接近","保持継続"))))),IF($H41&gt;=$M41,"🟢利確",IF(AND($R41&lt;&gt;"",$H41&lt;=$R41),"🟠TRAIL",IF($H41&lt;=$N41,"🔴損切",IF($W41&gt;=V811設定!$B$6,"⏱時間決済",IF($H41&lt;=$F41*(1-V811設定!$B$3*0.7),"⚠️損切接近","保持継続"))))))))</f>
      </c>
      <c r="P41" s="491">
        <f ca="1">IF(B41="","",IFERROR(MAX(OFFSET(高値!$E$6,IFERROR(MATCH(B41,銘柄管理!$B$6:$B$305,0),MATCH(TEXT(B41,"0"),銘柄管理!$B$6:$B$305,0))-1,0,1,10)),""))</f>
        <v>3167</v>
      </c>
      <c r="Q41" s="491">
        <f ca="1">IF(B41="","",IFERROR(MIN(OFFSET(安値!$E$6,IFERROR(MATCH(B41,銘柄管理!$B$6:$B$305,0),MATCH(TEXT(B41,"0"),銘柄管理!$B$6:$B$305,0))-1,0,1,10)),""))</f>
        <v>2708</v>
      </c>
      <c r="R41" s="491">
        <f>IF(OR($F41="",$H41="",$N41=""),"",IF($S41="✅売却済","",IF($C41="売",IF($H41&gt;$F41*(1-V811設定!$B$3),$N41,MIN($N41,IF($Q41="",$N41,$Q41*1.03))),IF($H41&lt;$F41*(1+V811設定!$B$3),$N41,MAX($N41,IF($P41="",$N41,$P41*0.97))))))</f>
      </c>
      <c r="S41" s="586" t="str">
        <f>IF(B41="","",IF(T41&lt;&gt;"","✅売却済",IF(OR(H41="",L41=""),"📌保有中",IF(L41&gt;=0.06,"🟢利確推奨",IF(L41&gt;=0.05,"🟡利確直近",IF(L41&gt;=0.045,"🔵トレーリング検討",IF(L41&gt;-0.03,"📌保有中",IF(L41&gt;-0.04,"⚠️損切注意","🔴損切り"))))))))</f>
        <v>✅売却済</v>
      </c>
      <c r="T41" s="594">
        <v>46238</v>
      </c>
      <c r="U41" s="491">
        <v>2936</v>
      </c>
      <c r="V41" s="701">
        <f>IF(OR(F41="",G41="",U41=""),"",IF(C41="売",(F41-U41)*G41,(U41-F41)*G41))</f>
        <v>-12200</v>
      </c>
      <c r="W41" s="493">
        <f>IF(OR($E41="",$B41=""),"",IF($T41&lt;&gt;"",$T41-$E41,TODAY()-$E41)+1)</f>
        <v>2</v>
      </c>
      <c r="X41" s="489" t="str">
        <f>IF(OR($AH41="",$AH41="保有中"),"",$AH41)</f>
        <v>損切確定</v>
      </c>
      <c r="Y41" s="488"/>
      <c r="Z41" s="710">
        <v>15</v>
      </c>
      <c r="AD41" s="608" t="s">
        <v>1324</v>
      </c>
      <c r="AE41" s="624">
        <f>IF($E41="","",WORKDAY($E41,12))</f>
        <v>46253</v>
      </c>
      <c r="AF41" s="626" cm="1">
        <f t="array" aca="1" ref="AF41" ca="1">IF(OR($B41="",$M41=""),"",IFERROR(IF($C41="売",_xlfn.MINIFS(安値!$E$3:$IT$3,安値!$E$3:$IT$3,"&gt;"&amp;$E41,安値!$E$3:$IT$3,"&lt;="&amp;$AE41,OFFSET(安値!$E$6:$IT$6,MATCH(TEXT($B41,"0"),TEXT(銘柄管理!$B$6:$B$305,"0"),0)-1,0),"&lt;="&amp;$M41),_xlfn.MINIFS(高値!$E$3:$IT$3,高値!$E$3:$IT$3,"&gt;"&amp;$E41,高値!$E$3:$IT$3,"&lt;="&amp;$AE41,OFFSET(高値!$E$6:$IT$6,MATCH(TEXT($B41,"0"),TEXT(銘柄管理!$B$6:$B$305,"0"),0)-1,0),"&gt;="&amp;$M41)),""))</f>
        <v>0</v>
      </c>
      <c r="AG41" s="626" cm="1">
        <f t="array" aca="1" ref="AG41" ca="1">IF(OR($B41="",$N41=""),"",IFERROR(IF($C41="売",_xlfn.MINIFS(高値!$E$3:$IT$3,高値!$E$3:$IT$3,"&gt;"&amp;$E41,高値!$E$3:$IT$3,"&lt;="&amp;$AE41,OFFSET(高値!$E$6:$IT$6,MATCH(TEXT($B41,"0"),TEXT(銘柄管理!$B$6:$B$305,"0"),0)-1,0),"&gt;="&amp;$N41),_xlfn.MINIFS(安値!$E$3:$IT$3,安値!$E$3:$IT$3,"&gt;"&amp;$E41,安値!$E$3:$IT$3,"&lt;="&amp;$AE41,OFFSET(安値!$E$6:$IT$6,MATCH(TEXT($B41,"0"),TEXT(銘柄管理!$B$6:$B$305,"0"),0)-1,0),"&lt;="&amp;$N41)),""))</f>
        <v>46238</v>
      </c>
      <c r="AH41" s="600" t="str">
        <f>IF(OR($B41="",$M41=""),"",IF(AND(N($AF41)=0,N($AG41)=0),IF(AND(ISNUMBER($H41),$H41&gt;0,IF($C41="売",$H41&gt;=$N41,$H41&lt;=$N41)),"損切確定",IF(AND(ISNUMBER($H41),$H41&gt;0,IF($C41="売",$H41&lt;=$M41,$H41&gt;=$M41)),"利益確定",IF($AE41&lt;=TODAY(),"日数制限","保有中"))),IF(N($AG41)=0,"利益確定",IF(N($AF41)=0,"損切確定",IF($AG41&lt;=$AF41,"損切確定","利益確定")))))</f>
        <v>損切確定</v>
      </c>
      <c r="AI41" s="600" t="str" cm="1">
        <f t="array" ref="AI41">IFERROR(INDEX(始値!$E$6:$IT$305,MATCH(TEXT($B41,"0"),TEXT(銘柄管理!$B$6:$B$305,"0"),0),MATCH($AE41,始値!$E$3:$IT$3,0)),"")</f>
        <v/>
      </c>
      <c r="AJ41" s="905">
        <f>IF(OR($V41="",$F41="",$G41=""),"",$V41/($F41*$G41))</f>
        <v>-3.9895356442119029E-2</v>
      </c>
      <c r="AK41" s="629" t="str">
        <f>IF($V41="","",IF($V41&gt;0,"○勝",IF($V41&lt;0,"●負","△引分")))</f>
        <v>●負</v>
      </c>
      <c r="AL41" s="613"/>
      <c r="AM41" s="615"/>
      <c r="AN41" s="613"/>
      <c r="AO41" s="615"/>
      <c r="AP41" s="615"/>
      <c r="AQ41" s="615"/>
      <c r="AR41" s="613"/>
      <c r="AS41" s="613"/>
      <c r="BB41" s="600" t="str">
        <f>IF(N(買抽出v13!$C41)=0,"",N(買抽出v13!$Q41)+N(買抽出v13!$L41)/1000-ROW()/1000000)</f>
        <v/>
      </c>
      <c r="BC41" s="600" t="str">
        <f>IF(N(売抽出v13!$C41)=0,"",N(売抽出v13!$Q41)+IFERROR(VALUE(SUBSTITUTE(売抽出v13!$L41,"倍","")),0)/1000-ROW()/1000000)</f>
        <v/>
      </c>
    </row>
    <row r="42" spans="1:55" ht="35.4" customHeight="1">
      <c r="A42" s="619" t="str">
        <f>IF(B42="","",HYPERLINK("https://kabutan.jp/stock/?code="&amp;B42,"株探"))</f>
        <v>株探</v>
      </c>
      <c r="B42" s="630">
        <v>5713</v>
      </c>
      <c r="C42" s="490" t="s">
        <v>998</v>
      </c>
      <c r="D42" s="623" t="str" cm="1">
        <f t="array" ref="D42">IF($B42="","",_xll.RssMarket($B42,"銘柄名称"))</f>
        <v>住友鉱山</v>
      </c>
      <c r="E42" s="716">
        <v>46237</v>
      </c>
      <c r="F42" s="698" cm="1">
        <f t="array" aca="1" ref="F42" ca="1">IFERROR(_xlfn.LET(_xlpm.r,MATCH(TEXT($B42,"0"),TEXT(銘柄管理!$B$6:$B$305,"0"),0),_xlpm.t,MOD(NOW(),1),_xlpm.c,IF($E42=TODAY(),IF(_xlpm.t&gt;=TIME(15,30,0),NA(),1),IF(MATCH($E42,始値!$E$3:$IT$3,0)=1,1,MATCH($E42,始値!$E$3:$IT$3,0)+1)),_xlpm.v,INDEX(始値!$C$6:$IT$305,_xlpm.r,_xlpm.c),IF(N(_xlpm.v)=0,"",_xlpm.v)),"")</f>
        <v>7811</v>
      </c>
      <c r="G42" s="631">
        <v>100</v>
      </c>
      <c r="H42" s="491" cm="1">
        <f t="array" ref="H42">IF($B42="","",_xll.RssMarket($B42,"現在値"))</f>
        <v>9088</v>
      </c>
      <c r="I42" s="491" cm="1">
        <f t="array" ref="I42">IF($B42="","",_xll.RssMarket($B42,"出来高加重平均"))</f>
        <v>9040.6790999999994</v>
      </c>
      <c r="J42" s="701" cm="1">
        <f t="array" ref="J42">IF($B42="","",_xll.RssMarket($B42,"前日比"))</f>
        <v>525</v>
      </c>
      <c r="K42" s="701">
        <f>IF(OR(F42="",G42="",H42=""),"",IF(C42="売",(F42-H42)*G42,(H42-F42)*G42))</f>
        <v>127700</v>
      </c>
      <c r="L42" s="706">
        <f>IF(OR(F42="",H42=""),"",IF(C42="売",(F42-H42)/F42,(H42-F42)/F42))</f>
        <v>0.16348738957879913</v>
      </c>
      <c r="M42" s="491">
        <f>IF($F42="","",$F42*IF($C42="売",1-V811設定!$B$4,1+V811設定!$B$4)-MOD($F42*IF($C42="売",1-V811設定!$B$4,1+V811設定!$B$4),IF($F42&lt;=3000,1,IF($F42&lt;=5000,5,IF($F42&lt;=30000,10,IF($F42&lt;=50000,50,IF($F42&lt;=300000,100,500))))))+IF(AND($C42="売",MOD($F42*IF($C42="売",1-V811設定!$B$4,1+V811設定!$B$4),IF($F42&lt;=3000,1,IF($F42&lt;=5000,5,IF($F42&lt;=30000,10,IF($F42&lt;=50000,50,IF($F42&lt;=300000,100,500))))))&gt;0),IF($F42&lt;=3000,1,IF($F42&lt;=5000,5,IF($F42&lt;=30000,10,IF($F42&lt;=50000,50,IF($F42&lt;=300000,100,500))))),0))</f>
      </c>
      <c r="N42" s="491">
        <f>IF($F42="","",$F42*IF($C42="売",1+V811設定!$B$3,1-V811設定!$B$3)-MOD($F42*IF($C42="売",1+V811設定!$B$3,1-V811設定!$B$3),IF($F42&lt;=3000,1,IF($F42&lt;=5000,5,IF($F42&lt;=30000,10,IF($F42&lt;=50000,50,IF($F42&lt;=300000,100,500))))))+IF(AND($C42="売",MOD($F42*IF($C42="売",1+V811設定!$B$3,1-V811設定!$B$3),IF($F42&lt;=3000,1,IF($F42&lt;=5000,5,IF($F42&lt;=30000,10,IF($F42&lt;=50000,50,IF($F42&lt;=300000,100,500))))))&gt;0),IF($F42&lt;=3000,1,IF($F42&lt;=5000,5,IF($F42&lt;=30000,10,IF($F42&lt;=50000,50,IF($F42&lt;=300000,100,500))))),0))</f>
      </c>
      <c r="O42" s="492" t="str">
        <f>IF(OR($B42="",$F42="",$H42=""),"",IF($S42="✅売却済","―決済済―",IF($C42="売",IF($H42&lt;=$M42,"🟢利確",IF(AND($R42&lt;&gt;"",$H42&gt;=$R42),"🟠TRAIL",IF($H42&gt;=$N42,"🔴損切",IF($W42&gt;=V811設定!$B$6,"⏱時間決済",IF($H42&gt;=$F42*(1+V811設定!$B$3*0.7),"⚠️損切接近","保持継続"))))),IF($H42&gt;=$M42,"🟢利確",IF(AND($R42&lt;&gt;"",$H42&lt;=$R42),"🟠TRAIL",IF($H42&lt;=$N42,"🔴損切",IF($W42&gt;=V811設定!$B$6,"⏱時間決済",IF($H42&lt;=$F42*(1-V811設定!$B$3*0.7),"⚠️損切接近","保持継続"))))))))</f>
      </c>
      <c r="P42" s="491">
        <f ca="1">IF(B42="","",IFERROR(MAX(OFFSET(高値!$E$6,IFERROR(MATCH(B42,銘柄管理!$B$6:$B$305,0),MATCH(TEXT(B42,"0"),銘柄管理!$B$6:$B$305,0))-1,0,1,10)),""))</f>
        <v>9210</v>
      </c>
      <c r="Q42" s="491">
        <f ca="1">IF(B42="","",IFERROR(MIN(OFFSET(安値!$E$6,IFERROR(MATCH(B42,銘柄管理!$B$6:$B$305,0),MATCH(TEXT(B42,"0"),銘柄管理!$B$6:$B$305,0))-1,0,1,10)),""))</f>
        <v>6969</v>
      </c>
      <c r="R42" s="491">
        <f>IF(OR($F42="",$H42="",$N42=""),"",IF($S42="✅売却済","",IF($C42="売",IF($H42&gt;$F42*(1-V811設定!$B$3),$N42,MIN($N42,IF($Q42="",$N42,$Q42*1.03))),IF($H42&lt;$F42*(1+V811設定!$B$3),$N42,MAX($N42,IF($P42="",$N42,$P42*0.97))))))</f>
      </c>
      <c r="S42" s="586" t="str">
        <f>IF(B42="","",IF(T42&lt;&gt;"","✅売却済",IF(OR(H42="",L42=""),"📌保有中",IF(L42&gt;=0.06,"🟢利確推奨",IF(L42&gt;=0.05,"🟡利確直近",IF(L42&gt;=0.045,"🔵トレーリング検討",IF(L42&gt;-0.03,"📌保有中",IF(L42&gt;-0.04,"⚠️損切注意","🔴損切り"))))))))</f>
        <v>✅売却済</v>
      </c>
      <c r="T42" s="594">
        <v>46239</v>
      </c>
      <c r="U42" s="491">
        <v>8280</v>
      </c>
      <c r="V42" s="701">
        <f>IF(OR(F42="",G42="",U42=""),"",IF(C42="売",(F42-U42)*G42,(U42-F42)*G42))</f>
        <v>46900</v>
      </c>
      <c r="W42" s="493">
        <f>IF(OR($E42="",$B42=""),"",IF($T42&lt;&gt;"",$T42-$E42,TODAY()-$E42)+1)</f>
        <v>3</v>
      </c>
      <c r="X42" s="489" t="str">
        <f>IF(OR($AH42="",$AH42="保有中"),"",$AH42)</f>
        <v>利益確定</v>
      </c>
      <c r="Y42" s="488"/>
      <c r="Z42" s="710">
        <v>13</v>
      </c>
      <c r="AD42" s="608" t="s">
        <v>1324</v>
      </c>
      <c r="AE42" s="624">
        <f>IF($E42="","",WORKDAY($E42,12))</f>
        <v>46253</v>
      </c>
      <c r="AF42" s="626" cm="1">
        <f t="array" aca="1" ref="AF42" ca="1">IF(OR($B42="",$M42=""),"",IFERROR(IF($C42="売",_xlfn.MINIFS(安値!$E$3:$IT$3,安値!$E$3:$IT$3,"&gt;"&amp;$E42,安値!$E$3:$IT$3,"&lt;="&amp;$AE42,OFFSET(安値!$E$6:$IT$6,MATCH(TEXT($B42,"0"),TEXT(銘柄管理!$B$6:$B$305,"0"),0)-1,0),"&lt;="&amp;$M42),_xlfn.MINIFS(高値!$E$3:$IT$3,高値!$E$3:$IT$3,"&gt;"&amp;$E42,高値!$E$3:$IT$3,"&lt;="&amp;$AE42,OFFSET(高値!$E$6:$IT$6,MATCH(TEXT($B42,"0"),TEXT(銘柄管理!$B$6:$B$305,"0"),0)-1,0),"&gt;="&amp;$M42)),""))</f>
        <v>46239</v>
      </c>
      <c r="AG42" s="626" cm="1">
        <f t="array" aca="1" ref="AG42" ca="1">IF(OR($B42="",$N42=""),"",IFERROR(IF($C42="売",_xlfn.MINIFS(高値!$E$3:$IT$3,高値!$E$3:$IT$3,"&gt;"&amp;$E42,高値!$E$3:$IT$3,"&lt;="&amp;$AE42,OFFSET(高値!$E$6:$IT$6,MATCH(TEXT($B42,"0"),TEXT(銘柄管理!$B$6:$B$305,"0"),0)-1,0),"&gt;="&amp;$N42),_xlfn.MINIFS(安値!$E$3:$IT$3,安値!$E$3:$IT$3,"&gt;"&amp;$E42,安値!$E$3:$IT$3,"&lt;="&amp;$AE42,OFFSET(安値!$E$6:$IT$6,MATCH(TEXT($B42,"0"),TEXT(銘柄管理!$B$6:$B$305,"0"),0)-1,0),"&lt;="&amp;$N42)),""))</f>
        <v>0</v>
      </c>
      <c r="AH42" s="600" t="str">
        <f>IF(OR($B42="",$M42=""),"",IF(AND(N($AF42)=0,N($AG42)=0),IF(AND(ISNUMBER($H42),$H42&gt;0,IF($C42="売",$H42&gt;=$N42,$H42&lt;=$N42)),"損切確定",IF(AND(ISNUMBER($H42),$H42&gt;0,IF($C42="売",$H42&lt;=$M42,$H42&gt;=$M42)),"利益確定",IF($AE42&lt;=TODAY(),"日数制限","保有中"))),IF(N($AG42)=0,"利益確定",IF(N($AF42)=0,"損切確定",IF($AG42&lt;=$AF42,"損切確定","利益確定")))))</f>
        <v>利益確定</v>
      </c>
      <c r="AI42" s="600" t="str" cm="1">
        <f t="array" ref="AI42">IFERROR(INDEX(始値!$E$6:$IT$305,MATCH(TEXT($B42,"0"),TEXT(銘柄管理!$B$6:$B$305,"0"),0),MATCH($AE42,始値!$E$3:$IT$3,0)),"")</f>
        <v/>
      </c>
      <c r="AJ42" s="905">
        <f>IF(OR($V42="",$F42="",$G42=""),"",$V42/($F42*$G42))</f>
        <v>6.0043528357444628E-2</v>
      </c>
      <c r="AK42" s="629" t="str">
        <f>IF($V42="","",IF($V42&gt;0,"○勝",IF($V42&lt;0,"●負","△引分")))</f>
        <v>○勝</v>
      </c>
      <c r="AL42" s="613"/>
      <c r="AM42" s="615"/>
      <c r="AN42" s="613"/>
      <c r="AO42" s="615"/>
      <c r="AP42" s="615"/>
      <c r="AQ42" s="615"/>
      <c r="AR42" s="613"/>
      <c r="AS42" s="613"/>
      <c r="BB42" s="600" t="str">
        <f>IF(N(買抽出v13!$C42)=0,"",N(買抽出v13!$Q42)+N(買抽出v13!$L42)/1000-ROW()/1000000)</f>
        <v/>
      </c>
      <c r="BC42" s="600" t="str">
        <f>IF(N(売抽出v13!$C42)=0,"",N(売抽出v13!$Q42)+IFERROR(VALUE(SUBSTITUTE(売抽出v13!$L42,"倍","")),0)/1000-ROW()/1000000)</f>
        <v/>
      </c>
    </row>
    <row r="43" spans="1:55" ht="35.4" customHeight="1">
      <c r="A43" s="619" t="str">
        <f>IF(B43="","",HYPERLINK("https://kabutan.jp/stock/?code="&amp;B43,"株探"))</f>
        <v>株探</v>
      </c>
      <c r="B43" s="630">
        <v>8871</v>
      </c>
      <c r="C43" s="490" t="s">
        <v>999</v>
      </c>
      <c r="D43" s="623" t="str" cm="1">
        <f t="array" ref="D43">IF($B43="","",_xll.RssMarket($B43,"銘柄名称"))</f>
        <v>ゴールドクレスト</v>
      </c>
      <c r="E43" s="716">
        <v>46237</v>
      </c>
      <c r="F43" s="698" cm="1">
        <f t="array" aca="1" ref="F43" ca="1">IFERROR(_xlfn.LET(_xlpm.r,MATCH(TEXT($B43,"0"),TEXT(銘柄管理!$B$6:$B$305,"0"),0),_xlpm.t,MOD(NOW(),1),_xlpm.c,IF($E43=TODAY(),IF(_xlpm.t&gt;=TIME(15,30,0),NA(),1),IF(MATCH($E43,始値!$E$3:$IT$3,0)=1,1,MATCH($E43,始値!$E$3:$IT$3,0)+1)),_xlpm.v,INDEX(始値!$C$6:$IT$305,_xlpm.r,_xlpm.c),IF(N(_xlpm.v)=0,"",_xlpm.v)),"")</f>
        <v>3255</v>
      </c>
      <c r="G43" s="631">
        <v>100</v>
      </c>
      <c r="H43" s="491" cm="1">
        <f t="array" ref="H43">IF($B43="","",_xll.RssMarket($B43,"現在値"))</f>
        <v>3235</v>
      </c>
      <c r="I43" s="491" cm="1">
        <f t="array" ref="I43">IF($B43="","",_xll.RssMarket($B43,"出来高加重平均"))</f>
        <v>3240.0396000000001</v>
      </c>
      <c r="J43" s="701" cm="1">
        <f t="array" ref="J43">IF($B43="","",_xll.RssMarket($B43,"前日比"))</f>
        <v>-5</v>
      </c>
      <c r="K43" s="701">
        <f>IF(OR(F43="",G43="",H43=""),"",IF(C43="売",(F43-H43)*G43,(H43-F43)*G43))</f>
        <v>2000</v>
      </c>
      <c r="L43" s="706">
        <f>IF(OR(F43="",H43=""),"",IF(C43="売",(F43-H43)/F43,(H43-F43)/F43))</f>
        <v>6.1443932411674347E-3</v>
      </c>
      <c r="M43" s="491">
        <f>IF($F43="","",$F43*IF($C43="売",1-V811設定!$B$4,1+V811設定!$B$4)-MOD($F43*IF($C43="売",1-V811設定!$B$4,1+V811設定!$B$4),IF($F43&lt;=3000,1,IF($F43&lt;=5000,5,IF($F43&lt;=30000,10,IF($F43&lt;=50000,50,IF($F43&lt;=300000,100,500))))))+IF(AND($C43="売",MOD($F43*IF($C43="売",1-V811設定!$B$4,1+V811設定!$B$4),IF($F43&lt;=3000,1,IF($F43&lt;=5000,5,IF($F43&lt;=30000,10,IF($F43&lt;=50000,50,IF($F43&lt;=300000,100,500))))))&gt;0),IF($F43&lt;=3000,1,IF($F43&lt;=5000,5,IF($F43&lt;=30000,10,IF($F43&lt;=50000,50,IF($F43&lt;=300000,100,500))))),0))</f>
      </c>
      <c r="N43" s="491">
        <f>IF($F43="","",$F43*IF($C43="売",1+V811設定!$B$3,1-V811設定!$B$3)-MOD($F43*IF($C43="売",1+V811設定!$B$3,1-V811設定!$B$3),IF($F43&lt;=3000,1,IF($F43&lt;=5000,5,IF($F43&lt;=30000,10,IF($F43&lt;=50000,50,IF($F43&lt;=300000,100,500))))))+IF(AND($C43="売",MOD($F43*IF($C43="売",1+V811設定!$B$3,1-V811設定!$B$3),IF($F43&lt;=3000,1,IF($F43&lt;=5000,5,IF($F43&lt;=30000,10,IF($F43&lt;=50000,50,IF($F43&lt;=300000,100,500))))))&gt;0),IF($F43&lt;=3000,1,IF($F43&lt;=5000,5,IF($F43&lt;=30000,10,IF($F43&lt;=50000,50,IF($F43&lt;=300000,100,500))))),0))</f>
      </c>
      <c r="O43" s="492" t="str">
        <f>IF(OR($B43="",$F43="",$H43=""),"",IF($S43="✅売却済","―決済済―",IF($C43="売",IF($H43&lt;=$M43,"🟢利確",IF(AND($R43&lt;&gt;"",$H43&gt;=$R43),"🟠TRAIL",IF($H43&gt;=$N43,"🔴損切",IF($W43&gt;=V811設定!$B$6,"⏱時間決済",IF($H43&gt;=$F43*(1+V811設定!$B$3*0.7),"⚠️損切接近","保持継続"))))),IF($H43&gt;=$M43,"🟢利確",IF(AND($R43&lt;&gt;"",$H43&lt;=$R43),"🟠TRAIL",IF($H43&lt;=$N43,"🔴損切",IF($W43&gt;=V811設定!$B$6,"⏱時間決済",IF($H43&lt;=$F43*(1-V811設定!$B$3*0.7),"⚠️損切接近","保持継続"))))))))</f>
      </c>
      <c r="P43" s="491">
        <f ca="1">IF(B43="","",IFERROR(MAX(OFFSET(高値!$E$6,IFERROR(MATCH(B43,銘柄管理!$B$6:$B$305,0),MATCH(TEXT(B43,"0"),銘柄管理!$B$6:$B$305,0))-1,0,1,10)),""))</f>
        <v>3420</v>
      </c>
      <c r="Q43" s="491">
        <f ca="1">IF(B43="","",IFERROR(MIN(OFFSET(安値!$E$6,IFERROR(MATCH(B43,銘柄管理!$B$6:$B$305,0),MATCH(TEXT(B43,"0"),銘柄管理!$B$6:$B$305,0))-1,0,1,10)),""))</f>
        <v>3200</v>
      </c>
      <c r="R43" s="491">
        <f>IF(OR($F43="",$H43="",$N43=""),"",IF($S43="✅売却済","",IF($C43="売",IF($H43&gt;$F43*(1-V811設定!$B$3),$N43,MIN($N43,IF($Q43="",$N43,$Q43*1.03))),IF($H43&lt;$F43*(1+V811設定!$B$3),$N43,MAX($N43,IF($P43="",$N43,$P43*0.97))))))</f>
      </c>
      <c r="S43" s="586" t="str">
        <f>IF(B43="","",IF(T43&lt;&gt;"","✅売却済",IF(OR(H43="",L43=""),"📌保有中",IF(L43&gt;=0.06,"🟢利確推奨",IF(L43&gt;=0.05,"🟡利確直近",IF(L43&gt;=0.045,"🔵トレーリング検討",IF(L43&gt;-0.03,"📌保有中",IF(L43&gt;-0.04,"⚠️損切注意","🔴損切り"))))))))</f>
        <v>📌保有中</v>
      </c>
      <c r="T43" s="594"/>
      <c r="U43" s="491"/>
      <c r="V43" s="701" t="str">
        <f>IF(OR(F43="",G43="",U43=""),"",IF(C43="売",(F43-U43)*G43,(U43-F43)*G43))</f>
        <v/>
      </c>
      <c r="W43" s="493">
        <f>IF(OR($E43="",$B43=""),"",IF($T43&lt;&gt;"",$T43-$E43,TODAY()-$E43)+1)</f>
        <v>4</v>
      </c>
      <c r="X43" s="489" t="str">
        <f>IF(OR($AH43="",$AH43="保有中"),"",$AH43)</f>
        <v/>
      </c>
      <c r="Y43" s="488"/>
      <c r="Z43" s="710">
        <v>17</v>
      </c>
      <c r="AD43" s="608" t="s">
        <v>1325</v>
      </c>
      <c r="AE43" s="624">
        <f>IF($E43="","",WORKDAY($E43,12))</f>
        <v>46253</v>
      </c>
      <c r="AF43" s="626" cm="1">
        <f t="array" aca="1" ref="AF43" ca="1">IF(OR($B43="",$M43=""),"",IFERROR(IF($C43="売",_xlfn.MINIFS(安値!$E$3:$IT$3,安値!$E$3:$IT$3,"&gt;"&amp;$E43,安値!$E$3:$IT$3,"&lt;="&amp;$AE43,OFFSET(安値!$E$6:$IT$6,MATCH(TEXT($B43,"0"),TEXT(銘柄管理!$B$6:$B$305,"0"),0)-1,0),"&lt;="&amp;$M43),_xlfn.MINIFS(高値!$E$3:$IT$3,高値!$E$3:$IT$3,"&gt;"&amp;$E43,高値!$E$3:$IT$3,"&lt;="&amp;$AE43,OFFSET(高値!$E$6:$IT$6,MATCH(TEXT($B43,"0"),TEXT(銘柄管理!$B$6:$B$305,"0"),0)-1,0),"&gt;="&amp;$M43)),""))</f>
        <v>0</v>
      </c>
      <c r="AG43" s="626" cm="1">
        <f t="array" aca="1" ref="AG43" ca="1">IF(OR($B43="",$N43=""),"",IFERROR(IF($C43="売",_xlfn.MINIFS(高値!$E$3:$IT$3,高値!$E$3:$IT$3,"&gt;"&amp;$E43,高値!$E$3:$IT$3,"&lt;="&amp;$AE43,OFFSET(高値!$E$6:$IT$6,MATCH(TEXT($B43,"0"),TEXT(銘柄管理!$B$6:$B$305,"0"),0)-1,0),"&gt;="&amp;$N43),_xlfn.MINIFS(安値!$E$3:$IT$3,安値!$E$3:$IT$3,"&gt;"&amp;$E43,安値!$E$3:$IT$3,"&lt;="&amp;$AE43,OFFSET(安値!$E$6:$IT$6,MATCH(TEXT($B43,"0"),TEXT(銘柄管理!$B$6:$B$305,"0"),0)-1,0),"&lt;="&amp;$N43)),""))</f>
        <v>0</v>
      </c>
      <c r="AH43" s="600" t="str">
        <f>IF(OR($B43="",$M43=""),"",IF(AND(N($AF43)=0,N($AG43)=0),IF(AND(ISNUMBER($H43),$H43&gt;0,IF($C43="売",$H43&gt;=$N43,$H43&lt;=$N43)),"損切確定",IF(AND(ISNUMBER($H43),$H43&gt;0,IF($C43="売",$H43&lt;=$M43,$H43&gt;=$M43)),"利益確定",IF($AE43&lt;=TODAY(),"日数制限","保有中"))),IF(N($AG43)=0,"利益確定",IF(N($AF43)=0,"損切確定",IF($AG43&lt;=$AF43,"損切確定","利益確定")))))</f>
        <v>保有中</v>
      </c>
      <c r="AI43" s="600" t="str" cm="1">
        <f t="array" ref="AI43">IFERROR(INDEX(始値!$E$6:$IT$305,MATCH(TEXT($B43,"0"),TEXT(銘柄管理!$B$6:$B$305,"0"),0),MATCH($AE43,始値!$E$3:$IT$3,0)),"")</f>
        <v/>
      </c>
      <c r="AJ43" s="905" t="str">
        <f>IF(OR($V43="",$F43="",$G43=""),"",$V43/($F43*$G43))</f>
        <v/>
      </c>
      <c r="AK43" s="629" t="str">
        <f>IF($V43="","",IF($V43&gt;0,"○勝",IF($V43&lt;0,"●負","△引分")))</f>
        <v/>
      </c>
      <c r="AL43" s="613"/>
      <c r="AM43" s="615"/>
      <c r="AN43" s="613"/>
      <c r="AO43" s="615"/>
      <c r="AP43" s="615"/>
      <c r="AQ43" s="615"/>
      <c r="AR43" s="613"/>
      <c r="AS43" s="613"/>
      <c r="BB43" s="600" t="str">
        <f>IF(N(買抽出v13!$C43)=0,"",N(買抽出v13!$Q43)+N(買抽出v13!$L43)/1000-ROW()/1000000)</f>
        <v/>
      </c>
      <c r="BC43" s="600" t="str">
        <f>IF(N(売抽出v13!$C43)=0,"",N(売抽出v13!$Q43)+IFERROR(VALUE(SUBSTITUTE(売抽出v13!$L43,"倍","")),0)/1000-ROW()/1000000)</f>
        <v/>
      </c>
    </row>
    <row r="44" spans="1:55" ht="35.4" customHeight="1">
      <c r="A44" s="619" t="str">
        <f>IF(B44="","",HYPERLINK("https://kabutan.jp/stock/?code="&amp;B44,"株探"))</f>
        <v>株探</v>
      </c>
      <c r="B44" s="630">
        <v>6436</v>
      </c>
      <c r="C44" s="490" t="s">
        <v>998</v>
      </c>
      <c r="D44" s="623" t="str" cm="1">
        <f t="array" ref="D44">IF($B44="","",_xll.RssMarket($B44,"銘柄名称"))</f>
        <v>アマノ</v>
      </c>
      <c r="E44" s="716">
        <v>46238</v>
      </c>
      <c r="F44" s="698" cm="1">
        <f t="array" aca="1" ref="F44" ca="1">IFERROR(_xlfn.LET(_xlpm.r,MATCH(TEXT($B44,"0"),TEXT(銘柄管理!$B$6:$B$305,"0"),0),_xlpm.t,MOD(NOW(),1),_xlpm.c,IF($E44=TODAY(),IF(_xlpm.t&gt;=TIME(15,30,0),NA(),1),IF(MATCH($E44,始値!$E$3:$IT$3,0)=1,1,MATCH($E44,始値!$E$3:$IT$3,0)+1)),_xlpm.v,INDEX(始値!$C$6:$IT$305,_xlpm.r,_xlpm.c),IF(N(_xlpm.v)=0,"",_xlpm.v)),"")</f>
        <v>3868</v>
      </c>
      <c r="G44" s="631">
        <v>100</v>
      </c>
      <c r="H44" s="491" cm="1">
        <f t="array" ref="H44">IF($B44="","",_xll.RssMarket($B44,"現在値"))</f>
        <v>3896</v>
      </c>
      <c r="I44" s="491" cm="1">
        <f t="array" ref="I44">IF($B44="","",_xll.RssMarket($B44,"出来高加重平均"))</f>
        <v>3897.3761</v>
      </c>
      <c r="J44" s="701" cm="1">
        <f t="array" ref="J44">IF($B44="","",_xll.RssMarket($B44,"前日比"))</f>
        <v>16</v>
      </c>
      <c r="K44" s="701">
        <f>IF(OR(F44="",G44="",H44=""),"",IF(C44="売",(F44-H44)*G44,(H44-F44)*G44))</f>
        <v>2800</v>
      </c>
      <c r="L44" s="706">
        <f>IF(OR(F44="",H44=""),"",IF(C44="売",(F44-H44)/F44,(H44-F44)/F44))</f>
        <v>7.2388831437435368E-3</v>
      </c>
      <c r="M44" s="491">
        <f>IF($F44="","",$F44*IF($C44="売",1-V811設定!$B$4,1+V811設定!$B$4)-MOD($F44*IF($C44="売",1-V811設定!$B$4,1+V811設定!$B$4),IF($F44&lt;=3000,1,IF($F44&lt;=5000,5,IF($F44&lt;=30000,10,IF($F44&lt;=50000,50,IF($F44&lt;=300000,100,500))))))+IF(AND($C44="売",MOD($F44*IF($C44="売",1-V811設定!$B$4,1+V811設定!$B$4),IF($F44&lt;=3000,1,IF($F44&lt;=5000,5,IF($F44&lt;=30000,10,IF($F44&lt;=50000,50,IF($F44&lt;=300000,100,500))))))&gt;0),IF($F44&lt;=3000,1,IF($F44&lt;=5000,5,IF($F44&lt;=30000,10,IF($F44&lt;=50000,50,IF($F44&lt;=300000,100,500))))),0))</f>
      </c>
      <c r="N44" s="491">
        <f>IF($F44="","",$F44*IF($C44="売",1+V811設定!$B$3,1-V811設定!$B$3)-MOD($F44*IF($C44="売",1+V811設定!$B$3,1-V811設定!$B$3),IF($F44&lt;=3000,1,IF($F44&lt;=5000,5,IF($F44&lt;=30000,10,IF($F44&lt;=50000,50,IF($F44&lt;=300000,100,500))))))+IF(AND($C44="売",MOD($F44*IF($C44="売",1+V811設定!$B$3,1-V811設定!$B$3),IF($F44&lt;=3000,1,IF($F44&lt;=5000,5,IF($F44&lt;=30000,10,IF($F44&lt;=50000,50,IF($F44&lt;=300000,100,500))))))&gt;0),IF($F44&lt;=3000,1,IF($F44&lt;=5000,5,IF($F44&lt;=30000,10,IF($F44&lt;=50000,50,IF($F44&lt;=300000,100,500))))),0))</f>
      </c>
      <c r="O44" s="492" t="str">
        <f>IF(OR($B44="",$F44="",$H44=""),"",IF($S44="✅売却済","―決済済―",IF($C44="売",IF($H44&lt;=$M44,"🟢利確",IF(AND($R44&lt;&gt;"",$H44&gt;=$R44),"🟠TRAIL",IF($H44&gt;=$N44,"🔴損切",IF($W44&gt;=V811設定!$B$6,"⏱時間決済",IF($H44&gt;=$F44*(1+V811設定!$B$3*0.7),"⚠️損切接近","保持継続"))))),IF($H44&gt;=$M44,"🟢利確",IF(AND($R44&lt;&gt;"",$H44&lt;=$R44),"🟠TRAIL",IF($H44&lt;=$N44,"🔴損切",IF($W44&gt;=V811設定!$B$6,"⏱時間決済",IF($H44&lt;=$F44*(1-V811設定!$B$3*0.7),"⚠️損切接近","保持継続"))))))))</f>
      </c>
      <c r="P44" s="491">
        <f ca="1">IF(B44="","",IFERROR(MAX(OFFSET(高値!$E$6,IFERROR(MATCH(B44,銘柄管理!$B$6:$B$305,0),MATCH(TEXT(B44,"0"),銘柄管理!$B$6:$B$305,0))-1,0,1,10)),""))</f>
        <v>4077</v>
      </c>
      <c r="Q44" s="491">
        <f ca="1">IF(B44="","",IFERROR(MIN(OFFSET(安値!$E$6,IFERROR(MATCH(B44,銘柄管理!$B$6:$B$305,0),MATCH(TEXT(B44,"0"),銘柄管理!$B$6:$B$305,0))-1,0,1,10)),""))</f>
        <v>3672</v>
      </c>
      <c r="R44" s="491">
        <f>IF(OR($F44="",$H44="",$N44=""),"",IF($S44="✅売却済","",IF($C44="売",IF($H44&gt;$F44*(1-V811設定!$B$3),$N44,MIN($N44,IF($Q44="",$N44,$Q44*1.03))),IF($H44&lt;$F44*(1+V811設定!$B$3),$N44,MAX($N44,IF($P44="",$N44,$P44*0.97))))))</f>
      </c>
      <c r="S44" s="586" t="str">
        <f>IF(B44="","",IF(T44&lt;&gt;"","✅売却済",IF(OR(H44="",L44=""),"📌保有中",IF(L44&gt;=0.06,"🟢利確推奨",IF(L44&gt;=0.05,"🟡利確直近",IF(L44&gt;=0.045,"🔵トレーリング検討",IF(L44&gt;-0.03,"📌保有中",IF(L44&gt;-0.04,"⚠️損切注意","🔴損切り"))))))))</f>
        <v>📌保有中</v>
      </c>
      <c r="T44" s="594"/>
      <c r="U44" s="491"/>
      <c r="V44" s="701" t="str">
        <f>IF(OR(F44="",G44="",U44=""),"",IF(C44="売",(F44-U44)*G44,(U44-F44)*G44))</f>
        <v/>
      </c>
      <c r="W44" s="493">
        <f>IF(OR($E44="",$B44=""),"",IF($T44&lt;&gt;"",$T44-$E44,TODAY()-$E44)+1)</f>
        <v>3</v>
      </c>
      <c r="X44" s="489" t="str">
        <f>IF(OR($AH44="",$AH44="保有中"),"",$AH44)</f>
        <v/>
      </c>
      <c r="Y44" s="488"/>
      <c r="Z44" s="710">
        <v>14</v>
      </c>
      <c r="AD44" s="608" t="s">
        <v>1324</v>
      </c>
      <c r="AE44" s="624">
        <f>IF($E44="","",WORKDAY($E44,12))</f>
        <v>46254</v>
      </c>
      <c r="AF44" s="626" cm="1">
        <f t="array" aca="1" ref="AF44" ca="1">IF(OR($B44="",$M44=""),"",IFERROR(IF($C44="売",_xlfn.MINIFS(安値!$E$3:$IT$3,安値!$E$3:$IT$3,"&gt;"&amp;$E44,安値!$E$3:$IT$3,"&lt;="&amp;$AE44,OFFSET(安値!$E$6:$IT$6,MATCH(TEXT($B44,"0"),TEXT(銘柄管理!$B$6:$B$305,"0"),0)-1,0),"&lt;="&amp;$M44),_xlfn.MINIFS(高値!$E$3:$IT$3,高値!$E$3:$IT$3,"&gt;"&amp;$E44,高値!$E$3:$IT$3,"&lt;="&amp;$AE44,OFFSET(高値!$E$6:$IT$6,MATCH(TEXT($B44,"0"),TEXT(銘柄管理!$B$6:$B$305,"0"),0)-1,0),"&gt;="&amp;$M44)),""))</f>
        <v>0</v>
      </c>
      <c r="AG44" s="626" cm="1">
        <f t="array" aca="1" ref="AG44" ca="1">IF(OR($B44="",$N44=""),"",IFERROR(IF($C44="売",_xlfn.MINIFS(高値!$E$3:$IT$3,高値!$E$3:$IT$3,"&gt;"&amp;$E44,高値!$E$3:$IT$3,"&lt;="&amp;$AE44,OFFSET(高値!$E$6:$IT$6,MATCH(TEXT($B44,"0"),TEXT(銘柄管理!$B$6:$B$305,"0"),0)-1,0),"&gt;="&amp;$N44),_xlfn.MINIFS(安値!$E$3:$IT$3,安値!$E$3:$IT$3,"&gt;"&amp;$E44,安値!$E$3:$IT$3,"&lt;="&amp;$AE44,OFFSET(安値!$E$6:$IT$6,MATCH(TEXT($B44,"0"),TEXT(銘柄管理!$B$6:$B$305,"0"),0)-1,0),"&lt;="&amp;$N44)),""))</f>
        <v>0</v>
      </c>
      <c r="AH44" s="600" t="str">
        <f>IF(OR($B44="",$M44=""),"",IF(AND(N($AF44)=0,N($AG44)=0),IF(AND(ISNUMBER($H44),$H44&gt;0,IF($C44="売",$H44&gt;=$N44,$H44&lt;=$N44)),"損切確定",IF(AND(ISNUMBER($H44),$H44&gt;0,IF($C44="売",$H44&lt;=$M44,$H44&gt;=$M44)),"利益確定",IF($AE44&lt;=TODAY(),"日数制限","保有中"))),IF(N($AG44)=0,"利益確定",IF(N($AF44)=0,"損切確定",IF($AG44&lt;=$AF44,"損切確定","利益確定")))))</f>
        <v>保有中</v>
      </c>
      <c r="AI44" s="600" t="str" cm="1">
        <f t="array" ref="AI44">IFERROR(INDEX(始値!$E$6:$IT$305,MATCH(TEXT($B44,"0"),TEXT(銘柄管理!$B$6:$B$305,"0"),0),MATCH($AE44,始値!$E$3:$IT$3,0)),"")</f>
        <v/>
      </c>
      <c r="AJ44" s="905" t="str">
        <f>IF(OR($V44="",$F44="",$G44=""),"",$V44/($F44*$G44))</f>
        <v/>
      </c>
      <c r="AK44" s="629" t="str">
        <f>IF($V44="","",IF($V44&gt;0,"○勝",IF($V44&lt;0,"●負","△引分")))</f>
        <v/>
      </c>
      <c r="AL44" s="613"/>
      <c r="AM44" s="615"/>
      <c r="AN44" s="613"/>
      <c r="AO44" s="615"/>
      <c r="AP44" s="615"/>
      <c r="AQ44" s="615"/>
      <c r="AR44" s="613"/>
      <c r="AS44" s="613"/>
      <c r="BB44" s="600" t="str">
        <f>IF(N(買抽出v13!$C44)=0,"",N(買抽出v13!$Q44)+N(買抽出v13!$L44)/1000-ROW()/1000000)</f>
        <v/>
      </c>
      <c r="BC44" s="600" t="str">
        <f>IF(N(売抽出v13!$C44)=0,"",N(売抽出v13!$Q44)+IFERROR(VALUE(SUBSTITUTE(売抽出v13!$L44,"倍","")),0)/1000-ROW()/1000000)</f>
        <v/>
      </c>
    </row>
    <row r="45" spans="1:55" ht="35.4" customHeight="1">
      <c r="A45" s="619" t="str">
        <f>IF(B45="","",HYPERLINK("https://kabutan.jp/stock/?code="&amp;B45,"株探"))</f>
        <v>株探</v>
      </c>
      <c r="B45" s="630">
        <v>6027</v>
      </c>
      <c r="C45" s="490" t="s">
        <v>999</v>
      </c>
      <c r="D45" s="623" t="str" cm="1">
        <f t="array" ref="D45">IF($B45="","",_xll.RssMarket($B45,"銘柄名称"))</f>
        <v>弁護士ドットコム</v>
      </c>
      <c r="E45" s="716">
        <v>46238</v>
      </c>
      <c r="F45" s="698" cm="1">
        <f t="array" aca="1" ref="F45" ca="1">IFERROR(_xlfn.LET(_xlpm.r,MATCH(TEXT($B45,"0"),TEXT(銘柄管理!$B$6:$B$305,"0"),0),_xlpm.t,MOD(NOW(),1),_xlpm.c,IF($E45=TODAY(),IF(_xlpm.t&gt;=TIME(15,30,0),NA(),1),IF(MATCH($E45,始値!$E$3:$IT$3,0)=1,1,MATCH($E45,始値!$E$3:$IT$3,0)+1)),_xlpm.v,INDEX(始値!$C$6:$IT$305,_xlpm.r,_xlpm.c),IF(N(_xlpm.v)=0,"",_xlpm.v)),"")</f>
        <v>2318</v>
      </c>
      <c r="G45" s="631">
        <v>100</v>
      </c>
      <c r="H45" s="491" cm="1">
        <f t="array" ref="H45">IF($B45="","",_xll.RssMarket($B45,"現在値"))</f>
        <v>2358</v>
      </c>
      <c r="I45" s="491" cm="1">
        <f t="array" ref="I45">IF($B45="","",_xll.RssMarket($B45,"出来高加重平均"))</f>
        <v>2381.7669000000001</v>
      </c>
      <c r="J45" s="701" cm="1">
        <f t="array" ref="J45">IF($B45="","",_xll.RssMarket($B45,"前日比"))</f>
        <v>-32</v>
      </c>
      <c r="K45" s="701">
        <f>IF(OR(F45="",G45="",H45=""),"",IF(C45="売",(F45-H45)*G45,(H45-F45)*G45))</f>
        <v>-4000</v>
      </c>
      <c r="L45" s="706">
        <f>IF(OR(F45="",H45=""),"",IF(C45="売",(F45-H45)/F45,(H45-F45)/F45))</f>
        <v>-1.7256255392579811E-2</v>
      </c>
      <c r="M45" s="491">
        <f>IF($F45="","",$F45*IF($C45="売",1-V811設定!$B$4,1+V811設定!$B$4)-MOD($F45*IF($C45="売",1-V811設定!$B$4,1+V811設定!$B$4),IF($F45&lt;=3000,1,IF($F45&lt;=5000,5,IF($F45&lt;=30000,10,IF($F45&lt;=50000,50,IF($F45&lt;=300000,100,500))))))+IF(AND($C45="売",MOD($F45*IF($C45="売",1-V811設定!$B$4,1+V811設定!$B$4),IF($F45&lt;=3000,1,IF($F45&lt;=5000,5,IF($F45&lt;=30000,10,IF($F45&lt;=50000,50,IF($F45&lt;=300000,100,500))))))&gt;0),IF($F45&lt;=3000,1,IF($F45&lt;=5000,5,IF($F45&lt;=30000,10,IF($F45&lt;=50000,50,IF($F45&lt;=300000,100,500))))),0))</f>
      </c>
      <c r="N45" s="491">
        <f>IF($F45="","",$F45*IF($C45="売",1+V811設定!$B$3,1-V811設定!$B$3)-MOD($F45*IF($C45="売",1+V811設定!$B$3,1-V811設定!$B$3),IF($F45&lt;=3000,1,IF($F45&lt;=5000,5,IF($F45&lt;=30000,10,IF($F45&lt;=50000,50,IF($F45&lt;=300000,100,500))))))+IF(AND($C45="売",MOD($F45*IF($C45="売",1+V811設定!$B$3,1-V811設定!$B$3),IF($F45&lt;=3000,1,IF($F45&lt;=5000,5,IF($F45&lt;=30000,10,IF($F45&lt;=50000,50,IF($F45&lt;=300000,100,500))))))&gt;0),IF($F45&lt;=3000,1,IF($F45&lt;=5000,5,IF($F45&lt;=30000,10,IF($F45&lt;=50000,50,IF($F45&lt;=300000,100,500))))),0))</f>
      </c>
      <c r="O45" s="492" t="str">
        <f>IF(OR($B45="",$F45="",$H45=""),"",IF($S45="✅売却済","―決済済―",IF($C45="売",IF($H45&lt;=$M45,"🟢利確",IF(AND($R45&lt;&gt;"",$H45&gt;=$R45),"🟠TRAIL",IF($H45&gt;=$N45,"🔴損切",IF($W45&gt;=V811設定!$B$6,"⏱時間決済",IF($H45&gt;=$F45*(1+V811設定!$B$3*0.7),"⚠️損切接近","保持継続"))))),IF($H45&gt;=$M45,"🟢利確",IF(AND($R45&lt;&gt;"",$H45&lt;=$R45),"🟠TRAIL",IF($H45&lt;=$N45,"🔴損切",IF($W45&gt;=V811設定!$B$6,"⏱時間決済",IF($H45&lt;=$F45*(1-V811設定!$B$3*0.7),"⚠️損切接近","保持継続"))))))))</f>
      </c>
      <c r="P45" s="491">
        <f ca="1">IF(B45="","",IFERROR(MAX(OFFSET(高値!$E$6,IFERROR(MATCH(B45,銘柄管理!$B$6:$B$305,0),MATCH(TEXT(B45,"0"),銘柄管理!$B$6:$B$305,0))-1,0,1,10)),""))</f>
        <v>2413</v>
      </c>
      <c r="Q45" s="491">
        <f ca="1">IF(B45="","",IFERROR(MIN(OFFSET(安値!$E$6,IFERROR(MATCH(B45,銘柄管理!$B$6:$B$305,0),MATCH(TEXT(B45,"0"),銘柄管理!$B$6:$B$305,0))-1,0,1,10)),""))</f>
        <v>2169</v>
      </c>
      <c r="R45" s="491">
        <f>IF(OR($F45="",$H45="",$N45=""),"",IF($S45="✅売却済","",IF($C45="売",IF($H45&gt;$F45*(1-V811設定!$B$3),$N45,MIN($N45,IF($Q45="",$N45,$Q45*1.03))),IF($H45&lt;$F45*(1+V811設定!$B$3),$N45,MAX($N45,IF($P45="",$N45,$P45*0.97))))))</f>
      </c>
      <c r="S45" s="586" t="str">
        <f>IF(B45="","",IF(T45&lt;&gt;"","✅売却済",IF(OR(H45="",L45=""),"📌保有中",IF(L45&gt;=0.06,"🟢利確推奨",IF(L45&gt;=0.05,"🟡利確直近",IF(L45&gt;=0.045,"🔵トレーリング検討",IF(L45&gt;-0.03,"📌保有中",IF(L45&gt;-0.04,"⚠️損切注意","🔴損切り"))))))))</f>
        <v>✅売却済</v>
      </c>
      <c r="T45" s="594">
        <v>46240</v>
      </c>
      <c r="U45" s="491">
        <v>2411</v>
      </c>
      <c r="V45" s="701">
        <f>IF(OR(F45="",G45="",U45=""),"",IF(C45="売",(F45-U45)*G45,(U45-F45)*G45))</f>
        <v>-9300</v>
      </c>
      <c r="W45" s="493">
        <f>IF(OR($E45="",$B45=""),"",IF($T45&lt;&gt;"",$T45-$E45,TODAY()-$E45)+1)</f>
        <v>3</v>
      </c>
      <c r="X45" s="489" t="str">
        <f>IF(OR($AH45="",$AH45="保有中"),"",$AH45)</f>
        <v>損切確定</v>
      </c>
      <c r="Y45" s="488"/>
      <c r="Z45" s="710">
        <v>12</v>
      </c>
      <c r="AD45" s="608" t="s">
        <v>1325</v>
      </c>
      <c r="AE45" s="624">
        <f>IF($E45="","",WORKDAY($E45,12))</f>
        <v>46254</v>
      </c>
      <c r="AF45" s="626" cm="1">
        <f t="array" aca="1" ref="AF45" ca="1">IF(OR($B45="",$M45=""),"",IFERROR(IF($C45="売",_xlfn.MINIFS(安値!$E$3:$IT$3,安値!$E$3:$IT$3,"&gt;"&amp;$E45,安値!$E$3:$IT$3,"&lt;="&amp;$AE45,OFFSET(安値!$E$6:$IT$6,MATCH(TEXT($B45,"0"),TEXT(銘柄管理!$B$6:$B$305,"0"),0)-1,0),"&lt;="&amp;$M45),_xlfn.MINIFS(高値!$E$3:$IT$3,高値!$E$3:$IT$3,"&gt;"&amp;$E45,高値!$E$3:$IT$3,"&lt;="&amp;$AE45,OFFSET(高値!$E$6:$IT$6,MATCH(TEXT($B45,"0"),TEXT(銘柄管理!$B$6:$B$305,"0"),0)-1,0),"&gt;="&amp;$M45)),""))</f>
        <v>0</v>
      </c>
      <c r="AG45" s="626" cm="1">
        <f t="array" aca="1" ref="AG45" ca="1">IF(OR($B45="",$N45=""),"",IFERROR(IF($C45="売",_xlfn.MINIFS(高値!$E$3:$IT$3,高値!$E$3:$IT$3,"&gt;"&amp;$E45,高値!$E$3:$IT$3,"&lt;="&amp;$AE45,OFFSET(高値!$E$6:$IT$6,MATCH(TEXT($B45,"0"),TEXT(銘柄管理!$B$6:$B$305,"0"),0)-1,0),"&gt;="&amp;$N45),_xlfn.MINIFS(安値!$E$3:$IT$3,安値!$E$3:$IT$3,"&gt;"&amp;$E45,安値!$E$3:$IT$3,"&lt;="&amp;$AE45,OFFSET(安値!$E$6:$IT$6,MATCH(TEXT($B45,"0"),TEXT(銘柄管理!$B$6:$B$305,"0"),0)-1,0),"&lt;="&amp;$N45)),""))</f>
        <v>46240</v>
      </c>
      <c r="AH45" s="600" t="str">
        <f>IF(OR($B45="",$M45=""),"",IF(AND(N($AF45)=0,N($AG45)=0),IF(AND(ISNUMBER($H45),$H45&gt;0,IF($C45="売",$H45&gt;=$N45,$H45&lt;=$N45)),"損切確定",IF(AND(ISNUMBER($H45),$H45&gt;0,IF($C45="売",$H45&lt;=$M45,$H45&gt;=$M45)),"利益確定",IF($AE45&lt;=TODAY(),"日数制限","保有中"))),IF(N($AG45)=0,"利益確定",IF(N($AF45)=0,"損切確定",IF($AG45&lt;=$AF45,"損切確定","利益確定")))))</f>
        <v>損切確定</v>
      </c>
      <c r="AI45" s="600" t="str" cm="1">
        <f t="array" ref="AI45">IFERROR(INDEX(始値!$E$6:$IT$305,MATCH(TEXT($B45,"0"),TEXT(銘柄管理!$B$6:$B$305,"0"),0),MATCH($AE45,始値!$E$3:$IT$3,0)),"")</f>
        <v/>
      </c>
      <c r="AJ45" s="905">
        <f>IF(OR($V45="",$F45="",$G45=""),"",$V45/($F45*$G45))</f>
        <v>-4.0120793787748056E-2</v>
      </c>
      <c r="AK45" s="629" t="str">
        <f>IF($V45="","",IF($V45&gt;0,"○勝",IF($V45&lt;0,"●負","△引分")))</f>
        <v>●負</v>
      </c>
      <c r="AL45" s="613"/>
      <c r="AM45" s="615"/>
      <c r="AN45" s="613"/>
      <c r="AO45" s="615"/>
      <c r="AP45" s="615"/>
      <c r="AQ45" s="615"/>
      <c r="AR45" s="613"/>
      <c r="AS45" s="613"/>
      <c r="BB45" s="600" t="str">
        <f>IF(N(買抽出v13!$C45)=0,"",N(買抽出v13!$Q45)+N(買抽出v13!$L45)/1000-ROW()/1000000)</f>
        <v/>
      </c>
      <c r="BC45" s="600" t="str">
        <f>IF(N(売抽出v13!$C45)=0,"",N(売抽出v13!$Q45)+IFERROR(VALUE(SUBSTITUTE(売抽出v13!$L45,"倍","")),0)/1000-ROW()/1000000)</f>
        <v/>
      </c>
    </row>
    <row r="46" spans="1:55" ht="35.4" customHeight="1">
      <c r="A46" s="619" t="str">
        <f>IF(B46="","",HYPERLINK("https://kabutan.jp/stock/?code="&amp;B46,"株探"))</f>
        <v>株探</v>
      </c>
      <c r="B46" s="630">
        <v>6954</v>
      </c>
      <c r="C46" s="490" t="s">
        <v>999</v>
      </c>
      <c r="D46" s="623" t="str" cm="1">
        <f t="array" ref="D46">IF($B46="","",_xll.RssMarket($B46,"銘柄名称"))</f>
        <v>ファナック</v>
      </c>
      <c r="E46" s="716">
        <v>46238</v>
      </c>
      <c r="F46" s="698" cm="1">
        <f t="array" aca="1" ref="F46" ca="1">IFERROR(_xlfn.LET(_xlpm.r,MATCH(TEXT($B46,"0"),TEXT(銘柄管理!$B$6:$B$305,"0"),0),_xlpm.t,MOD(NOW(),1),_xlpm.c,IF($E46=TODAY(),IF(_xlpm.t&gt;=TIME(15,30,0),NA(),1),IF(MATCH($E46,始値!$E$3:$IT$3,0)=1,1,MATCH($E46,始値!$E$3:$IT$3,0)+1)),_xlpm.v,INDEX(始値!$C$6:$IT$305,_xlpm.r,_xlpm.c),IF(N(_xlpm.v)=0,"",_xlpm.v)),"")</f>
        <v>6487</v>
      </c>
      <c r="G46" s="631">
        <v>100</v>
      </c>
      <c r="H46" s="491" cm="1">
        <f t="array" ref="H46">IF($B46="","",_xll.RssMarket($B46,"現在値"))</f>
        <v>6430</v>
      </c>
      <c r="I46" s="491" cm="1">
        <f t="array" ref="I46">IF($B46="","",_xll.RssMarket($B46,"出来高加重平均"))</f>
        <v>6426.4425000000001</v>
      </c>
      <c r="J46" s="701" cm="1">
        <f t="array" ref="J46">IF($B46="","",_xll.RssMarket($B46,"前日比"))</f>
        <v>-30</v>
      </c>
      <c r="K46" s="701">
        <f>IF(OR(F46="",G46="",H46=""),"",IF(C46="売",(F46-H46)*G46,(H46-F46)*G46))</f>
        <v>5700</v>
      </c>
      <c r="L46" s="706">
        <f>IF(OR(F46="",H46=""),"",IF(C46="売",(F46-H46)/F46,(H46-F46)/F46))</f>
        <v>8.7868043779867431E-3</v>
      </c>
      <c r="M46" s="491">
        <f>IF($F46="","",$F46*IF($C46="売",1-V811設定!$B$4,1+V811設定!$B$4)-MOD($F46*IF($C46="売",1-V811設定!$B$4,1+V811設定!$B$4),IF($F46&lt;=3000,1,IF($F46&lt;=5000,5,IF($F46&lt;=30000,10,IF($F46&lt;=50000,50,IF($F46&lt;=300000,100,500))))))+IF(AND($C46="売",MOD($F46*IF($C46="売",1-V811設定!$B$4,1+V811設定!$B$4),IF($F46&lt;=3000,1,IF($F46&lt;=5000,5,IF($F46&lt;=30000,10,IF($F46&lt;=50000,50,IF($F46&lt;=300000,100,500))))))&gt;0),IF($F46&lt;=3000,1,IF($F46&lt;=5000,5,IF($F46&lt;=30000,10,IF($F46&lt;=50000,50,IF($F46&lt;=300000,100,500))))),0))</f>
      </c>
      <c r="N46" s="491">
        <f>IF($F46="","",$F46*IF($C46="売",1+V811設定!$B$3,1-V811設定!$B$3)-MOD($F46*IF($C46="売",1+V811設定!$B$3,1-V811設定!$B$3),IF($F46&lt;=3000,1,IF($F46&lt;=5000,5,IF($F46&lt;=30000,10,IF($F46&lt;=50000,50,IF($F46&lt;=300000,100,500))))))+IF(AND($C46="売",MOD($F46*IF($C46="売",1+V811設定!$B$3,1-V811設定!$B$3),IF($F46&lt;=3000,1,IF($F46&lt;=5000,5,IF($F46&lt;=30000,10,IF($F46&lt;=50000,50,IF($F46&lt;=300000,100,500))))))&gt;0),IF($F46&lt;=3000,1,IF($F46&lt;=5000,5,IF($F46&lt;=30000,10,IF($F46&lt;=50000,50,IF($F46&lt;=300000,100,500))))),0))</f>
      </c>
      <c r="O46" s="492" t="str">
        <f>IF(OR($B46="",$F46="",$H46=""),"",IF($S46="✅売却済","―決済済―",IF($C46="売",IF($H46&lt;=$M46,"🟢利確",IF(AND($R46&lt;&gt;"",$H46&gt;=$R46),"🟠TRAIL",IF($H46&gt;=$N46,"🔴損切",IF($W46&gt;=V811設定!$B$6,"⏱時間決済",IF($H46&gt;=$F46*(1+V811設定!$B$3*0.7),"⚠️損切接近","保持継続"))))),IF($H46&gt;=$M46,"🟢利確",IF(AND($R46&lt;&gt;"",$H46&lt;=$R46),"🟠TRAIL",IF($H46&lt;=$N46,"🔴損切",IF($W46&gt;=V811設定!$B$6,"⏱時間決済",IF($H46&lt;=$F46*(1-V811設定!$B$3*0.7),"⚠️損切接近","保持継続"))))))))</f>
      </c>
      <c r="P46" s="491">
        <f ca="1">IF(B46="","",IFERROR(MAX(OFFSET(高値!$E$6,IFERROR(MATCH(B46,銘柄管理!$B$6:$B$305,0),MATCH(TEXT(B46,"0"),銘柄管理!$B$6:$B$305,0))-1,0,1,10)),""))</f>
        <v>7240</v>
      </c>
      <c r="Q46" s="491">
        <f ca="1">IF(B46="","",IFERROR(MIN(OFFSET(安値!$E$6,IFERROR(MATCH(B46,銘柄管理!$B$6:$B$305,0),MATCH(TEXT(B46,"0"),銘柄管理!$B$6:$B$305,0))-1,0,1,10)),""))</f>
        <v>5808</v>
      </c>
      <c r="R46" s="491">
        <f>IF(OR($F46="",$H46="",$N46=""),"",IF($S46="✅売却済","",IF($C46="売",IF($H46&gt;$F46*(1-V811設定!$B$3),$N46,MIN($N46,IF($Q46="",$N46,$Q46*1.03))),IF($H46&lt;$F46*(1+V811設定!$B$3),$N46,MAX($N46,IF($P46="",$N46,$P46*0.97))))))</f>
      </c>
      <c r="S46" s="586" t="str">
        <f>IF(B46="","",IF(T46&lt;&gt;"","✅売却済",IF(OR(H46="",L46=""),"📌保有中",IF(L46&gt;=0.06,"🟢利確推奨",IF(L46&gt;=0.05,"🟡利確直近",IF(L46&gt;=0.045,"🔵トレーリング検討",IF(L46&gt;-0.03,"📌保有中",IF(L46&gt;-0.04,"⚠️損切注意","🔴損切り"))))))))</f>
        <v>📌保有中</v>
      </c>
      <c r="T46" s="594"/>
      <c r="U46" s="491"/>
      <c r="V46" s="701" t="str">
        <f>IF(OR(F46="",G46="",U46=""),"",IF(C46="売",(F46-U46)*G46,(U46-F46)*G46))</f>
        <v/>
      </c>
      <c r="W46" s="493">
        <f>IF(OR($E46="",$B46=""),"",IF($T46&lt;&gt;"",$T46-$E46,TODAY()-$E46)+1)</f>
        <v>3</v>
      </c>
      <c r="X46" s="489" t="str">
        <f>IF(OR($AH46="",$AH46="保有中"),"",$AH46)</f>
        <v/>
      </c>
      <c r="Y46" s="488"/>
      <c r="Z46" s="710">
        <v>11</v>
      </c>
      <c r="AD46" s="608" t="s">
        <v>1325</v>
      </c>
      <c r="AE46" s="624">
        <f>IF($E46="","",WORKDAY($E46,12))</f>
        <v>46254</v>
      </c>
      <c r="AF46" s="626" cm="1">
        <f t="array" aca="1" ref="AF46" ca="1">IF(OR($B46="",$M46=""),"",IFERROR(IF($C46="売",_xlfn.MINIFS(安値!$E$3:$IT$3,安値!$E$3:$IT$3,"&gt;"&amp;$E46,安値!$E$3:$IT$3,"&lt;="&amp;$AE46,OFFSET(安値!$E$6:$IT$6,MATCH(TEXT($B46,"0"),TEXT(銘柄管理!$B$6:$B$305,"0"),0)-1,0),"&lt;="&amp;$M46),_xlfn.MINIFS(高値!$E$3:$IT$3,高値!$E$3:$IT$3,"&gt;"&amp;$E46,高値!$E$3:$IT$3,"&lt;="&amp;$AE46,OFFSET(高値!$E$6:$IT$6,MATCH(TEXT($B46,"0"),TEXT(銘柄管理!$B$6:$B$305,"0"),0)-1,0),"&gt;="&amp;$M46)),""))</f>
        <v>0</v>
      </c>
      <c r="AG46" s="626" cm="1">
        <f t="array" aca="1" ref="AG46" ca="1">IF(OR($B46="",$N46=""),"",IFERROR(IF($C46="売",_xlfn.MINIFS(高値!$E$3:$IT$3,高値!$E$3:$IT$3,"&gt;"&amp;$E46,高値!$E$3:$IT$3,"&lt;="&amp;$AE46,OFFSET(高値!$E$6:$IT$6,MATCH(TEXT($B46,"0"),TEXT(銘柄管理!$B$6:$B$305,"0"),0)-1,0),"&gt;="&amp;$N46),_xlfn.MINIFS(安値!$E$3:$IT$3,安値!$E$3:$IT$3,"&gt;"&amp;$E46,安値!$E$3:$IT$3,"&lt;="&amp;$AE46,OFFSET(安値!$E$6:$IT$6,MATCH(TEXT($B46,"0"),TEXT(銘柄管理!$B$6:$B$305,"0"),0)-1,0),"&lt;="&amp;$N46)),""))</f>
        <v>0</v>
      </c>
      <c r="AH46" s="600" t="str">
        <f>IF(OR($B46="",$M46=""),"",IF(AND(N($AF46)=0,N($AG46)=0),IF(AND(ISNUMBER($H46),$H46&gt;0,IF($C46="売",$H46&gt;=$N46,$H46&lt;=$N46)),"損切確定",IF(AND(ISNUMBER($H46),$H46&gt;0,IF($C46="売",$H46&lt;=$M46,$H46&gt;=$M46)),"利益確定",IF($AE46&lt;=TODAY(),"日数制限","保有中"))),IF(N($AG46)=0,"利益確定",IF(N($AF46)=0,"損切確定",IF($AG46&lt;=$AF46,"損切確定","利益確定")))))</f>
        <v>保有中</v>
      </c>
      <c r="AI46" s="600" t="str" cm="1">
        <f t="array" ref="AI46">IFERROR(INDEX(始値!$E$6:$IT$305,MATCH(TEXT($B46,"0"),TEXT(銘柄管理!$B$6:$B$305,"0"),0),MATCH($AE46,始値!$E$3:$IT$3,0)),"")</f>
        <v/>
      </c>
      <c r="AJ46" s="905" t="str">
        <f>IF(OR($V46="",$F46="",$G46=""),"",$V46/($F46*$G46))</f>
        <v/>
      </c>
      <c r="AK46" s="629" t="str">
        <f>IF($V46="","",IF($V46&gt;0,"○勝",IF($V46&lt;0,"●負","△引分")))</f>
        <v/>
      </c>
      <c r="AL46" s="613"/>
      <c r="AM46" s="615"/>
      <c r="AN46" s="613"/>
      <c r="AO46" s="615"/>
      <c r="AP46" s="615"/>
      <c r="AQ46" s="615"/>
      <c r="AR46" s="613"/>
      <c r="AS46" s="613"/>
      <c r="BB46" s="600" t="str">
        <f>IF(N(買抽出v13!$C46)=0,"",N(買抽出v13!$Q46)+N(買抽出v13!$L46)/1000-ROW()/1000000)</f>
        <v/>
      </c>
      <c r="BC46" s="600" t="str">
        <f>IF(N(売抽出v13!$C46)=0,"",N(売抽出v13!$Q46)+IFERROR(VALUE(SUBSTITUTE(売抽出v13!$L46,"倍","")),0)/1000-ROW()/1000000)</f>
        <v/>
      </c>
    </row>
    <row r="47" spans="1:55" ht="35.4" customHeight="1">
      <c r="A47" s="619" t="str">
        <f>IF(B47="","",HYPERLINK("https://kabutan.jp/stock/?code="&amp;B47,"株探"))</f>
        <v>株探</v>
      </c>
      <c r="B47" s="630">
        <v>6841</v>
      </c>
      <c r="C47" s="490" t="s">
        <v>998</v>
      </c>
      <c r="D47" s="623" t="str" cm="1">
        <f t="array" ref="D47">IF($B47="","",_xll.RssMarket($B47,"銘柄名称"))</f>
        <v>横河電機</v>
      </c>
      <c r="E47" s="716">
        <v>46239</v>
      </c>
      <c r="F47" s="698" cm="1">
        <f t="array" aca="1" ref="F47" ca="1">IFERROR(_xlfn.LET(_xlpm.r,MATCH(TEXT($B47,"0"),TEXT(銘柄管理!$B$6:$B$305,"0"),0),_xlpm.t,MOD(NOW(),1),_xlpm.c,IF($E47=TODAY(),IF(_xlpm.t&gt;=TIME(15,30,0),NA(),1),IF(MATCH($E47,始値!$E$3:$IT$3,0)=1,1,MATCH($E47,始値!$E$3:$IT$3,0)+1)),_xlpm.v,INDEX(始値!$C$6:$IT$305,_xlpm.r,_xlpm.c),IF(N(_xlpm.v)=0,"",_xlpm.v)),"")</f>
        <v>5251</v>
      </c>
      <c r="G47" s="631">
        <v>100</v>
      </c>
      <c r="H47" s="491" cm="1">
        <f t="array" ref="H47">IF($B47="","",_xll.RssMarket($B47,"現在値"))</f>
        <v>5335</v>
      </c>
      <c r="I47" s="491" cm="1">
        <f t="array" ref="I47">IF($B47="","",_xll.RssMarket($B47,"出来高加重平均"))</f>
        <v>5320.9574000000002</v>
      </c>
      <c r="J47" s="701" cm="1">
        <f t="array" ref="J47">IF($B47="","",_xll.RssMarket($B47,"前日比"))</f>
        <v>33</v>
      </c>
      <c r="K47" s="701">
        <f>IF(OR(F47="",G47="",H47=""),"",IF(C47="売",(F47-H47)*G47,(H47-F47)*G47))</f>
        <v>8400</v>
      </c>
      <c r="L47" s="706">
        <f>IF(OR(F47="",H47=""),"",IF(C47="売",(F47-H47)/F47,(H47-F47)/F47))</f>
        <v>1.5996952961340696E-2</v>
      </c>
      <c r="M47" s="491">
        <f>IF($F47="","",$F47*IF($C47="売",1-V811設定!$B$4,1+V811設定!$B$4)-MOD($F47*IF($C47="売",1-V811設定!$B$4,1+V811設定!$B$4),IF($F47&lt;=3000,1,IF($F47&lt;=5000,5,IF($F47&lt;=30000,10,IF($F47&lt;=50000,50,IF($F47&lt;=300000,100,500))))))+IF(AND($C47="売",MOD($F47*IF($C47="売",1-V811設定!$B$4,1+V811設定!$B$4),IF($F47&lt;=3000,1,IF($F47&lt;=5000,5,IF($F47&lt;=30000,10,IF($F47&lt;=50000,50,IF($F47&lt;=300000,100,500))))))&gt;0),IF($F47&lt;=3000,1,IF($F47&lt;=5000,5,IF($F47&lt;=30000,10,IF($F47&lt;=50000,50,IF($F47&lt;=300000,100,500))))),0))</f>
      </c>
      <c r="N47" s="491">
        <f>IF($F47="","",$F47*IF($C47="売",1+V811設定!$B$3,1-V811設定!$B$3)-MOD($F47*IF($C47="売",1+V811設定!$B$3,1-V811設定!$B$3),IF($F47&lt;=3000,1,IF($F47&lt;=5000,5,IF($F47&lt;=30000,10,IF($F47&lt;=50000,50,IF($F47&lt;=300000,100,500))))))+IF(AND($C47="売",MOD($F47*IF($C47="売",1+V811設定!$B$3,1-V811設定!$B$3),IF($F47&lt;=3000,1,IF($F47&lt;=5000,5,IF($F47&lt;=30000,10,IF($F47&lt;=50000,50,IF($F47&lt;=300000,100,500))))))&gt;0),IF($F47&lt;=3000,1,IF($F47&lt;=5000,5,IF($F47&lt;=30000,10,IF($F47&lt;=50000,50,IF($F47&lt;=300000,100,500))))),0))</f>
      </c>
      <c r="O47" s="492" t="str">
        <f>IF(OR($B47="",$F47="",$H47=""),"",IF($S47="✅売却済","―決済済―",IF($C47="売",IF($H47&lt;=$M47,"🟢利確",IF(AND($R47&lt;&gt;"",$H47&gt;=$R47),"🟠TRAIL",IF($H47&gt;=$N47,"🔴損切",IF($W47&gt;=V811設定!$B$6,"⏱時間決済",IF($H47&gt;=$F47*(1+V811設定!$B$3*0.7),"⚠️損切接近","保持継続"))))),IF($H47&gt;=$M47,"🟢利確",IF(AND($R47&lt;&gt;"",$H47&lt;=$R47),"🟠TRAIL",IF($H47&lt;=$N47,"🔴損切",IF($W47&gt;=V811設定!$B$6,"⏱時間決済",IF($H47&lt;=$F47*(1-V811設定!$B$3*0.7),"⚠️損切接近","保持継続"))))))))</f>
      </c>
      <c r="P47" s="491">
        <f ca="1">IF(B47="","",IFERROR(MAX(OFFSET(高値!$E$6,IFERROR(MATCH(B47,銘柄管理!$B$6:$B$305,0),MATCH(TEXT(B47,"0"),銘柄管理!$B$6:$B$305,0))-1,0,1,10)),""))</f>
        <v>6022</v>
      </c>
      <c r="Q47" s="491">
        <f ca="1">IF(B47="","",IFERROR(MIN(OFFSET(安値!$E$6,IFERROR(MATCH(B47,銘柄管理!$B$6:$B$305,0),MATCH(TEXT(B47,"0"),銘柄管理!$B$6:$B$305,0))-1,0,1,10)),""))</f>
        <v>5210</v>
      </c>
      <c r="R47" s="491">
        <f>IF(OR($F47="",$H47="",$N47=""),"",IF($S47="✅売却済","",IF($C47="売",IF($H47&gt;$F47*(1-V811設定!$B$3),$N47,MIN($N47,IF($Q47="",$N47,$Q47*1.03))),IF($H47&lt;$F47*(1+V811設定!$B$3),$N47,MAX($N47,IF($P47="",$N47,$P47*0.97))))))</f>
      </c>
      <c r="S47" s="586" t="str">
        <f>IF(B47="","",IF(T47&lt;&gt;"","✅売却済",IF(OR(H47="",L47=""),"📌保有中",IF(L47&gt;=0.06,"🟢利確推奨",IF(L47&gt;=0.05,"🟡利確直近",IF(L47&gt;=0.045,"🔵トレーリング検討",IF(L47&gt;-0.03,"📌保有中",IF(L47&gt;-0.04,"⚠️損切注意","🔴損切り"))))))))</f>
        <v>📌保有中</v>
      </c>
      <c r="T47" s="594"/>
      <c r="U47" s="491"/>
      <c r="V47" s="701" t="str">
        <f>IF(OR(F47="",G47="",U47=""),"",IF(C47="売",(F47-U47)*G47,(U47-F47)*G47))</f>
        <v/>
      </c>
      <c r="W47" s="493">
        <f>IF(OR($E47="",$B47=""),"",IF($T47&lt;&gt;"",$T47-$E47,TODAY()-$E47)+1)</f>
        <v>2</v>
      </c>
      <c r="X47" s="489" t="str">
        <f>IF(OR($AH47="",$AH47="保有中"),"",$AH47)</f>
        <v/>
      </c>
      <c r="Y47" s="488"/>
      <c r="Z47" s="710">
        <v>13</v>
      </c>
      <c r="AD47" s="608" t="s">
        <v>1322</v>
      </c>
      <c r="AE47" s="624">
        <f>IF($E47="","",WORKDAY($E47,12))</f>
        <v>46255</v>
      </c>
      <c r="AF47" s="626" cm="1">
        <f t="array" aca="1" ref="AF47" ca="1">IF(OR($B47="",$M47=""),"",IFERROR(IF($C47="売",_xlfn.MINIFS(安値!$E$3:$IT$3,安値!$E$3:$IT$3,"&gt;"&amp;$E47,安値!$E$3:$IT$3,"&lt;="&amp;$AE47,OFFSET(安値!$E$6:$IT$6,MATCH(TEXT($B47,"0"),TEXT(銘柄管理!$B$6:$B$305,"0"),0)-1,0),"&lt;="&amp;$M47),_xlfn.MINIFS(高値!$E$3:$IT$3,高値!$E$3:$IT$3,"&gt;"&amp;$E47,高値!$E$3:$IT$3,"&lt;="&amp;$AE47,OFFSET(高値!$E$6:$IT$6,MATCH(TEXT($B47,"0"),TEXT(銘柄管理!$B$6:$B$305,"0"),0)-1,0),"&gt;="&amp;$M47)),""))</f>
        <v>0</v>
      </c>
      <c r="AG47" s="626" cm="1">
        <f t="array" aca="1" ref="AG47" ca="1">IF(OR($B47="",$N47=""),"",IFERROR(IF($C47="売",_xlfn.MINIFS(高値!$E$3:$IT$3,高値!$E$3:$IT$3,"&gt;"&amp;$E47,高値!$E$3:$IT$3,"&lt;="&amp;$AE47,OFFSET(高値!$E$6:$IT$6,MATCH(TEXT($B47,"0"),TEXT(銘柄管理!$B$6:$B$305,"0"),0)-1,0),"&gt;="&amp;$N47),_xlfn.MINIFS(安値!$E$3:$IT$3,安値!$E$3:$IT$3,"&gt;"&amp;$E47,安値!$E$3:$IT$3,"&lt;="&amp;$AE47,OFFSET(安値!$E$6:$IT$6,MATCH(TEXT($B47,"0"),TEXT(銘柄管理!$B$6:$B$305,"0"),0)-1,0),"&lt;="&amp;$N47)),""))</f>
        <v>0</v>
      </c>
      <c r="AH47" s="600" t="str">
        <f>IF(OR($B47="",$M47=""),"",IF(AND(N($AF47)=0,N($AG47)=0),IF(AND(ISNUMBER($H47),$H47&gt;0,IF($C47="売",$H47&gt;=$N47,$H47&lt;=$N47)),"損切確定",IF(AND(ISNUMBER($H47),$H47&gt;0,IF($C47="売",$H47&lt;=$M47,$H47&gt;=$M47)),"利益確定",IF($AE47&lt;=TODAY(),"日数制限","保有中"))),IF(N($AG47)=0,"利益確定",IF(N($AF47)=0,"損切確定",IF($AG47&lt;=$AF47,"損切確定","利益確定")))))</f>
        <v>保有中</v>
      </c>
      <c r="AI47" s="600" t="str" cm="1">
        <f t="array" ref="AI47">IFERROR(INDEX(始値!$E$6:$IT$305,MATCH(TEXT($B47,"0"),TEXT(銘柄管理!$B$6:$B$305,"0"),0),MATCH($AE47,始値!$E$3:$IT$3,0)),"")</f>
        <v/>
      </c>
      <c r="AJ47" s="905" t="str">
        <f>IF(OR($V47="",$F47="",$G47=""),"",$V47/($F47*$G47))</f>
        <v/>
      </c>
      <c r="AK47" s="629" t="str">
        <f>IF($V47="","",IF($V47&gt;0,"○勝",IF($V47&lt;0,"●負","△引分")))</f>
        <v/>
      </c>
      <c r="BB47" s="600" t="str">
        <f>IF(N(買抽出v13!$C47)=0,"",N(買抽出v13!$Q47)+N(買抽出v13!$L47)/1000-ROW()/1000000)</f>
        <v/>
      </c>
      <c r="BC47" s="600" t="str">
        <f>IF(N(売抽出v13!$C47)=0,"",N(売抽出v13!$Q47)+IFERROR(VALUE(SUBSTITUTE(売抽出v13!$L47,"倍","")),0)/1000-ROW()/1000000)</f>
        <v/>
      </c>
    </row>
    <row r="48" spans="1:55" ht="35.4" customHeight="1">
      <c r="A48" s="619" t="str">
        <f>IF(B48="","",HYPERLINK("https://kabutan.jp/stock/?code="&amp;B48,"株探"))</f>
        <v>株探</v>
      </c>
      <c r="B48" s="630">
        <v>9412</v>
      </c>
      <c r="C48" s="490" t="s">
        <v>998</v>
      </c>
      <c r="D48" s="623" t="str" cm="1">
        <f t="array" ref="D48">IF($B48="","",_xll.RssMarket($B48,"銘柄名称"))</f>
        <v>スカパーＪＳＡＴ</v>
      </c>
      <c r="E48" s="716">
        <v>46239</v>
      </c>
      <c r="F48" s="698" cm="1">
        <f t="array" aca="1" ref="F48" ca="1">IFERROR(_xlfn.LET(_xlpm.r,MATCH(TEXT($B48,"0"),TEXT(銘柄管理!$B$6:$B$305,"0"),0),_xlpm.t,MOD(NOW(),1),_xlpm.c,IF($E48=TODAY(),IF(_xlpm.t&gt;=TIME(15,30,0),NA(),1),IF(MATCH($E48,始値!$E$3:$IT$3,0)=1,1,MATCH($E48,始値!$E$3:$IT$3,0)+1)),_xlpm.v,INDEX(始値!$C$6:$IT$305,_xlpm.r,_xlpm.c),IF(N(_xlpm.v)=0,"",_xlpm.v)),"")</f>
        <v>2350</v>
      </c>
      <c r="G48" s="631">
        <v>100</v>
      </c>
      <c r="H48" s="491" cm="1">
        <f t="array" ref="H48">IF($B48="","",_xll.RssMarket($B48,"現在値"))</f>
        <v>2242</v>
      </c>
      <c r="I48" s="491" cm="1">
        <f t="array" ref="I48">IF($B48="","",_xll.RssMarket($B48,"出来高加重平均"))</f>
        <v>2299.8663999999999</v>
      </c>
      <c r="J48" s="701" cm="1">
        <f t="array" ref="J48">IF($B48="","",_xll.RssMarket($B48,"前日比"))</f>
        <v>-258</v>
      </c>
      <c r="K48" s="701">
        <f>IF(OR(F48="",G48="",H48=""),"",IF(C48="売",(F48-H48)*G48,(H48-F48)*G48))</f>
        <v>-10800</v>
      </c>
      <c r="L48" s="706">
        <f>IF(OR(F48="",H48=""),"",IF(C48="売",(F48-H48)/F48,(H48-F48)/F48))</f>
        <v>-4.5957446808510639E-2</v>
      </c>
      <c r="M48" s="491">
        <f>IF($F48="","",$F48*IF($C48="売",1-V811設定!$B$4,1+V811設定!$B$4)-MOD($F48*IF($C48="売",1-V811設定!$B$4,1+V811設定!$B$4),IF($F48&lt;=3000,1,IF($F48&lt;=5000,5,IF($F48&lt;=30000,10,IF($F48&lt;=50000,50,IF($F48&lt;=300000,100,500))))))+IF(AND($C48="売",MOD($F48*IF($C48="売",1-V811設定!$B$4,1+V811設定!$B$4),IF($F48&lt;=3000,1,IF($F48&lt;=5000,5,IF($F48&lt;=30000,10,IF($F48&lt;=50000,50,IF($F48&lt;=300000,100,500))))))&gt;0),IF($F48&lt;=3000,1,IF($F48&lt;=5000,5,IF($F48&lt;=30000,10,IF($F48&lt;=50000,50,IF($F48&lt;=300000,100,500))))),0))</f>
      </c>
      <c r="N48" s="491">
        <f>IF($F48="","",$F48*IF($C48="売",1+V811設定!$B$3,1-V811設定!$B$3)-MOD($F48*IF($C48="売",1+V811設定!$B$3,1-V811設定!$B$3),IF($F48&lt;=3000,1,IF($F48&lt;=5000,5,IF($F48&lt;=30000,10,IF($F48&lt;=50000,50,IF($F48&lt;=300000,100,500))))))+IF(AND($C48="売",MOD($F48*IF($C48="売",1+V811設定!$B$3,1-V811設定!$B$3),IF($F48&lt;=3000,1,IF($F48&lt;=5000,5,IF($F48&lt;=30000,10,IF($F48&lt;=50000,50,IF($F48&lt;=300000,100,500))))))&gt;0),IF($F48&lt;=3000,1,IF($F48&lt;=5000,5,IF($F48&lt;=30000,10,IF($F48&lt;=50000,50,IF($F48&lt;=300000,100,500))))),0))</f>
      </c>
      <c r="O48" s="492" t="str">
        <f>IF(OR($B48="",$F48="",$H48=""),"",IF($S48="✅売却済","―決済済―",IF($C48="売",IF($H48&lt;=$M48,"🟢利確",IF(AND($R48&lt;&gt;"",$H48&gt;=$R48),"🟠TRAIL",IF($H48&gt;=$N48,"🔴損切",IF($W48&gt;=V811設定!$B$6,"⏱時間決済",IF($H48&gt;=$F48*(1+V811設定!$B$3*0.7),"⚠️損切接近","保持継続"))))),IF($H48&gt;=$M48,"🟢利確",IF(AND($R48&lt;&gt;"",$H48&lt;=$R48),"🟠TRAIL",IF($H48&lt;=$N48,"🔴損切",IF($W48&gt;=V811設定!$B$6,"⏱時間決済",IF($H48&lt;=$F48*(1-V811設定!$B$3*0.7),"⚠️損切接近","保持継続"))))))))</f>
      </c>
      <c r="P48" s="491">
        <f ca="1">IF(B48="","",IFERROR(MAX(OFFSET(高値!$E$6,IFERROR(MATCH(B48,銘柄管理!$B$6:$B$305,0),MATCH(TEXT(B48,"0"),銘柄管理!$B$6:$B$305,0))-1,0,1,10)),""))</f>
        <v>2500</v>
      </c>
      <c r="Q48" s="491">
        <f ca="1">IF(B48="","",IFERROR(MIN(OFFSET(安値!$E$6,IFERROR(MATCH(B48,銘柄管理!$B$6:$B$305,0),MATCH(TEXT(B48,"0"),銘柄管理!$B$6:$B$305,0))-1,0,1,10)),""))</f>
        <v>2007</v>
      </c>
      <c r="R48" s="491">
        <f>IF(OR($F48="",$H48="",$N48=""),"",IF($S48="✅売却済","",IF($C48="売",IF($H48&gt;$F48*(1-V811設定!$B$3),$N48,MIN($N48,IF($Q48="",$N48,$Q48*1.03))),IF($H48&lt;$F48*(1+V811設定!$B$3),$N48,MAX($N48,IF($P48="",$N48,$P48*0.97))))))</f>
      </c>
      <c r="S48" s="586" t="str">
        <f>IF(B48="","",IF(T48&lt;&gt;"","✅売却済",IF(OR(H48="",L48=""),"📌保有中",IF(L48&gt;=0.06,"🟢利確推奨",IF(L48&gt;=0.05,"🟡利確直近",IF(L48&gt;=0.045,"🔵トレーリング検討",IF(L48&gt;-0.03,"📌保有中",IF(L48&gt;-0.04,"⚠️損切注意","🔴損切り"))))))))</f>
        <v>✅売却済</v>
      </c>
      <c r="T48" s="594">
        <v>46240</v>
      </c>
      <c r="U48" s="491">
        <v>2256</v>
      </c>
      <c r="V48" s="701">
        <f>IF(OR(F48="",G48="",U48=""),"",IF(C48="売",(F48-U48)*G48,(U48-F48)*G48))</f>
        <v>-9400</v>
      </c>
      <c r="W48" s="493">
        <f>IF(OR($E48="",$B48=""),"",IF($T48&lt;&gt;"",$T48-$E48,TODAY()-$E48)+1)</f>
        <v>2</v>
      </c>
      <c r="X48" s="489" t="str">
        <f>IF(OR($AH48="",$AH48="保有中"),"",$AH48)</f>
        <v>損切確定</v>
      </c>
      <c r="Y48" s="488"/>
      <c r="Z48" s="710">
        <v>12</v>
      </c>
      <c r="AD48" s="608" t="s">
        <v>1322</v>
      </c>
      <c r="AE48" s="624">
        <f>IF($E48="","",WORKDAY($E48,12))</f>
        <v>46255</v>
      </c>
      <c r="AF48" s="626" cm="1">
        <f t="array" aca="1" ref="AF48" ca="1">IF(OR($B48="",$M48=""),"",IFERROR(IF($C48="売",_xlfn.MINIFS(安値!$E$3:$IT$3,安値!$E$3:$IT$3,"&gt;"&amp;$E48,安値!$E$3:$IT$3,"&lt;="&amp;$AE48,OFFSET(安値!$E$6:$IT$6,MATCH(TEXT($B48,"0"),TEXT(銘柄管理!$B$6:$B$305,"0"),0)-1,0),"&lt;="&amp;$M48),_xlfn.MINIFS(高値!$E$3:$IT$3,高値!$E$3:$IT$3,"&gt;"&amp;$E48,高値!$E$3:$IT$3,"&lt;="&amp;$AE48,OFFSET(高値!$E$6:$IT$6,MATCH(TEXT($B48,"0"),TEXT(銘柄管理!$B$6:$B$305,"0"),0)-1,0),"&gt;="&amp;$M48)),""))</f>
        <v>0</v>
      </c>
      <c r="AG48" s="626" cm="1">
        <f t="array" aca="1" ref="AG48" ca="1">IF(OR($B48="",$N48=""),"",IFERROR(IF($C48="売",_xlfn.MINIFS(高値!$E$3:$IT$3,高値!$E$3:$IT$3,"&gt;"&amp;$E48,高値!$E$3:$IT$3,"&lt;="&amp;$AE48,OFFSET(高値!$E$6:$IT$6,MATCH(TEXT($B48,"0"),TEXT(銘柄管理!$B$6:$B$305,"0"),0)-1,0),"&gt;="&amp;$N48),_xlfn.MINIFS(安値!$E$3:$IT$3,安値!$E$3:$IT$3,"&gt;"&amp;$E48,安値!$E$3:$IT$3,"&lt;="&amp;$AE48,OFFSET(安値!$E$6:$IT$6,MATCH(TEXT($B48,"0"),TEXT(銘柄管理!$B$6:$B$305,"0"),0)-1,0),"&lt;="&amp;$N48)),""))</f>
        <v>46240</v>
      </c>
      <c r="AH48" s="600" t="str">
        <f>IF(OR($B48="",$M48=""),"",IF(AND(N($AF48)=0,N($AG48)=0),IF(AND(ISNUMBER($H48),$H48&gt;0,IF($C48="売",$H48&gt;=$N48,$H48&lt;=$N48)),"損切確定",IF(AND(ISNUMBER($H48),$H48&gt;0,IF($C48="売",$H48&lt;=$M48,$H48&gt;=$M48)),"利益確定",IF($AE48&lt;=TODAY(),"日数制限","保有中"))),IF(N($AG48)=0,"利益確定",IF(N($AF48)=0,"損切確定",IF($AG48&lt;=$AF48,"損切確定","利益確定")))))</f>
        <v>損切確定</v>
      </c>
      <c r="AI48" s="600" t="str" cm="1">
        <f t="array" ref="AI48">IFERROR(INDEX(始値!$E$6:$IT$305,MATCH(TEXT($B48,"0"),TEXT(銘柄管理!$B$6:$B$305,"0"),0),MATCH($AE48,始値!$E$3:$IT$3,0)),"")</f>
        <v/>
      </c>
      <c r="AJ48" s="905">
        <f>IF(OR($V48="",$F48="",$G48=""),"",$V48/($F48*$G48))</f>
        <v>-0.04</v>
      </c>
      <c r="AK48" s="629" t="str">
        <f>IF($V48="","",IF($V48&gt;0,"○勝",IF($V48&lt;0,"●負","△引分")))</f>
        <v>●負</v>
      </c>
      <c r="AL48" s="488" t="s">
        <v>1249</v>
      </c>
      <c r="BB48" s="600" t="str">
        <f>IF(N(買抽出v13!$C48)=0,"",N(買抽出v13!$Q48)+N(買抽出v13!$L48)/1000-ROW()/1000000)</f>
        <v/>
      </c>
      <c r="BC48" s="600" t="str">
        <f>IF(N(売抽出v13!$C48)=0,"",N(売抽出v13!$Q48)+IFERROR(VALUE(SUBSTITUTE(売抽出v13!$L48,"倍","")),0)/1000-ROW()/1000000)</f>
        <v/>
      </c>
    </row>
    <row r="49" spans="1:55" ht="35.4" customHeight="1">
      <c r="A49" s="619" t="str">
        <f>IF(B49="","",HYPERLINK("https://kabutan.jp/stock/?code="&amp;B49,"株探"))</f>
        <v>株探</v>
      </c>
      <c r="B49" s="630">
        <v>4980</v>
      </c>
      <c r="C49" s="490" t="s">
        <v>999</v>
      </c>
      <c r="D49" s="623" t="str" cm="1">
        <f t="array" ref="D49">IF($B49="","",_xll.RssMarket($B49,"銘柄名称"))</f>
        <v>デクセリアルズ</v>
      </c>
      <c r="E49" s="716">
        <v>46239</v>
      </c>
      <c r="F49" s="698" cm="1">
        <f t="array" aca="1" ref="F49" ca="1">IFERROR(_xlfn.LET(_xlpm.r,MATCH(TEXT($B49,"0"),TEXT(銘柄管理!$B$6:$B$305,"0"),0),_xlpm.t,MOD(NOW(),1),_xlpm.c,IF($E49=TODAY(),IF(_xlpm.t&gt;=TIME(15,30,0),NA(),1),IF(MATCH($E49,始値!$E$3:$IT$3,0)=1,1,MATCH($E49,始値!$E$3:$IT$3,0)+1)),_xlpm.v,INDEX(始値!$C$6:$IT$305,_xlpm.r,_xlpm.c),IF(N(_xlpm.v)=0,"",_xlpm.v)),"")</f>
        <v>3151</v>
      </c>
      <c r="G49" s="631">
        <v>100</v>
      </c>
      <c r="H49" s="491" cm="1">
        <f t="array" ref="H49">IF($B49="","",_xll.RssMarket($B49,"現在値"))</f>
        <v>3096</v>
      </c>
      <c r="I49" s="491" cm="1">
        <f t="array" ref="I49">IF($B49="","",_xll.RssMarket($B49,"出来高加重平均"))</f>
        <v>3119.1174999999998</v>
      </c>
      <c r="J49" s="701" cm="1">
        <f t="array" ref="J49">IF($B49="","",_xll.RssMarket($B49,"前日比"))</f>
        <v>-195</v>
      </c>
      <c r="K49" s="701">
        <f>IF(OR(F49="",G49="",H49=""),"",IF(C49="売",(F49-H49)*G49,(H49-F49)*G49))</f>
        <v>5500</v>
      </c>
      <c r="L49" s="706">
        <f>IF(OR(F49="",H49=""),"",IF(C49="売",(F49-H49)/F49,(H49-F49)/F49))</f>
        <v>1.7454776261504285E-2</v>
      </c>
      <c r="M49" s="491">
        <f>IF($F49="","",$F49*IF($C49="売",1-V811設定!$B$4,1+V811設定!$B$4)-MOD($F49*IF($C49="売",1-V811設定!$B$4,1+V811設定!$B$4),IF($F49&lt;=3000,1,IF($F49&lt;=5000,5,IF($F49&lt;=30000,10,IF($F49&lt;=50000,50,IF($F49&lt;=300000,100,500))))))+IF(AND($C49="売",MOD($F49*IF($C49="売",1-V811設定!$B$4,1+V811設定!$B$4),IF($F49&lt;=3000,1,IF($F49&lt;=5000,5,IF($F49&lt;=30000,10,IF($F49&lt;=50000,50,IF($F49&lt;=300000,100,500))))))&gt;0),IF($F49&lt;=3000,1,IF($F49&lt;=5000,5,IF($F49&lt;=30000,10,IF($F49&lt;=50000,50,IF($F49&lt;=300000,100,500))))),0))</f>
      </c>
      <c r="N49" s="491">
        <f>IF($F49="","",$F49*IF($C49="売",1+V811設定!$B$3,1-V811設定!$B$3)-MOD($F49*IF($C49="売",1+V811設定!$B$3,1-V811設定!$B$3),IF($F49&lt;=3000,1,IF($F49&lt;=5000,5,IF($F49&lt;=30000,10,IF($F49&lt;=50000,50,IF($F49&lt;=300000,100,500))))))+IF(AND($C49="売",MOD($F49*IF($C49="売",1+V811設定!$B$3,1-V811設定!$B$3),IF($F49&lt;=3000,1,IF($F49&lt;=5000,5,IF($F49&lt;=30000,10,IF($F49&lt;=50000,50,IF($F49&lt;=300000,100,500))))))&gt;0),IF($F49&lt;=3000,1,IF($F49&lt;=5000,5,IF($F49&lt;=30000,10,IF($F49&lt;=50000,50,IF($F49&lt;=300000,100,500))))),0))</f>
      </c>
      <c r="O49" s="492" t="str">
        <f>IF(OR($B49="",$F49="",$H49=""),"",IF($S49="✅売却済","―決済済―",IF($C49="売",IF($H49&lt;=$M49,"🟢利確",IF(AND($R49&lt;&gt;"",$H49&gt;=$R49),"🟠TRAIL",IF($H49&gt;=$N49,"🔴損切",IF($W49&gt;=V811設定!$B$6,"⏱時間決済",IF($H49&gt;=$F49*(1+V811設定!$B$3*0.7),"⚠️損切接近","保持継続"))))),IF($H49&gt;=$M49,"🟢利確",IF(AND($R49&lt;&gt;"",$H49&lt;=$R49),"🟠TRAIL",IF($H49&lt;=$N49,"🔴損切",IF($W49&gt;=V811設定!$B$6,"⏱時間決済",IF($H49&lt;=$F49*(1-V811設定!$B$3*0.7),"⚠️損切接近","保持継続"))))))))</f>
      </c>
      <c r="P49" s="491">
        <f ca="1">IF(B49="","",IFERROR(MAX(OFFSET(高値!$E$6,IFERROR(MATCH(B49,銘柄管理!$B$6:$B$305,0),MATCH(TEXT(B49,"0"),銘柄管理!$B$6:$B$305,0))-1,0,1,10)),""))</f>
        <v>3658</v>
      </c>
      <c r="Q49" s="491">
        <f ca="1">IF(B49="","",IFERROR(MIN(OFFSET(安値!$E$6,IFERROR(MATCH(B49,銘柄管理!$B$6:$B$305,0),MATCH(TEXT(B49,"0"),銘柄管理!$B$6:$B$305,0))-1,0,1,10)),""))</f>
        <v>3056</v>
      </c>
      <c r="R49" s="491">
        <f>IF(OR($F49="",$H49="",$N49=""),"",IF($S49="✅売却済","",IF($C49="売",IF($H49&gt;$F49*(1-V811設定!$B$3),$N49,MIN($N49,IF($Q49="",$N49,$Q49*1.03))),IF($H49&lt;$F49*(1+V811設定!$B$3),$N49,MAX($N49,IF($P49="",$N49,$P49*0.97))))))</f>
      </c>
      <c r="S49" s="586" t="str">
        <f>IF(B49="","",IF(T49&lt;&gt;"","✅売却済",IF(OR(H49="",L49=""),"📌保有中",IF(L49&gt;=0.06,"🟢利確推奨",IF(L49&gt;=0.05,"🟡利確直近",IF(L49&gt;=0.045,"🔵トレーリング検討",IF(L49&gt;-0.03,"📌保有中",IF(L49&gt;-0.04,"⚠️損切注意","🔴損切り"))))))))</f>
        <v>📌保有中</v>
      </c>
      <c r="T49" s="594"/>
      <c r="U49" s="491"/>
      <c r="V49" s="701" t="str">
        <f>IF(OR(F49="",G49="",U49=""),"",IF(C49="売",(F49-U49)*G49,(U49-F49)*G49))</f>
        <v/>
      </c>
      <c r="W49" s="493">
        <f>IF(OR($E49="",$B49=""),"",IF($T49&lt;&gt;"",$T49-$E49,TODAY()-$E49)+1)</f>
        <v>2</v>
      </c>
      <c r="X49" s="489" t="str">
        <f>IF(OR($AH49="",$AH49="保有中"),"",$AH49)</f>
        <v/>
      </c>
      <c r="Y49" s="488"/>
      <c r="Z49" s="710">
        <v>17</v>
      </c>
      <c r="AD49" s="608" t="s">
        <v>1323</v>
      </c>
      <c r="AE49" s="624">
        <f>IF($E49="","",WORKDAY($E49,12))</f>
        <v>46255</v>
      </c>
      <c r="AF49" s="626" cm="1">
        <f t="array" aca="1" ref="AF49" ca="1">IF(OR($B49="",$M49=""),"",IFERROR(IF($C49="売",_xlfn.MINIFS(安値!$E$3:$IT$3,安値!$E$3:$IT$3,"&gt;"&amp;$E49,安値!$E$3:$IT$3,"&lt;="&amp;$AE49,OFFSET(安値!$E$6:$IT$6,MATCH(TEXT($B49,"0"),TEXT(銘柄管理!$B$6:$B$305,"0"),0)-1,0),"&lt;="&amp;$M49),_xlfn.MINIFS(高値!$E$3:$IT$3,高値!$E$3:$IT$3,"&gt;"&amp;$E49,高値!$E$3:$IT$3,"&lt;="&amp;$AE49,OFFSET(高値!$E$6:$IT$6,MATCH(TEXT($B49,"0"),TEXT(銘柄管理!$B$6:$B$305,"0"),0)-1,0),"&gt;="&amp;$M49)),""))</f>
        <v>0</v>
      </c>
      <c r="AG49" s="626" cm="1">
        <f t="array" aca="1" ref="AG49" ca="1">IF(OR($B49="",$N49=""),"",IFERROR(IF($C49="売",_xlfn.MINIFS(高値!$E$3:$IT$3,高値!$E$3:$IT$3,"&gt;"&amp;$E49,高値!$E$3:$IT$3,"&lt;="&amp;$AE49,OFFSET(高値!$E$6:$IT$6,MATCH(TEXT($B49,"0"),TEXT(銘柄管理!$B$6:$B$305,"0"),0)-1,0),"&gt;="&amp;$N49),_xlfn.MINIFS(安値!$E$3:$IT$3,安値!$E$3:$IT$3,"&gt;"&amp;$E49,安値!$E$3:$IT$3,"&lt;="&amp;$AE49,OFFSET(安値!$E$6:$IT$6,MATCH(TEXT($B49,"0"),TEXT(銘柄管理!$B$6:$B$305,"0"),0)-1,0),"&lt;="&amp;$N49)),""))</f>
        <v>0</v>
      </c>
      <c r="AH49" s="600" t="str">
        <f>IF(OR($B49="",$M49=""),"",IF(AND(N($AF49)=0,N($AG49)=0),IF(AND(ISNUMBER($H49),$H49&gt;0,IF($C49="売",$H49&gt;=$N49,$H49&lt;=$N49)),"損切確定",IF(AND(ISNUMBER($H49),$H49&gt;0,IF($C49="売",$H49&lt;=$M49,$H49&gt;=$M49)),"利益確定",IF($AE49&lt;=TODAY(),"日数制限","保有中"))),IF(N($AG49)=0,"利益確定",IF(N($AF49)=0,"損切確定",IF($AG49&lt;=$AF49,"損切確定","利益確定")))))</f>
        <v>保有中</v>
      </c>
      <c r="AI49" s="600" t="str" cm="1">
        <f t="array" ref="AI49">IFERROR(INDEX(始値!$E$6:$IT$305,MATCH(TEXT($B49,"0"),TEXT(銘柄管理!$B$6:$B$305,"0"),0),MATCH($AE49,始値!$E$3:$IT$3,0)),"")</f>
        <v/>
      </c>
      <c r="AJ49" s="905" t="str">
        <f>IF(OR($V49="",$F49="",$G49=""),"",$V49/($F49*$G49))</f>
        <v/>
      </c>
      <c r="AK49" s="629" t="str">
        <f>IF($V49="","",IF($V49&gt;0,"○勝",IF($V49&lt;0,"●負","△引分")))</f>
        <v/>
      </c>
      <c r="AL49" s="609" t="s">
        <v>1336</v>
      </c>
      <c r="BB49" s="600" t="str">
        <f>IF(N(買抽出v13!$C49)=0,"",N(買抽出v13!$Q49)+N(買抽出v13!$L49)/1000-ROW()/1000000)</f>
        <v/>
      </c>
      <c r="BC49" s="600" t="str">
        <f>IF(N(売抽出v13!$C49)=0,"",N(売抽出v13!$Q49)+IFERROR(VALUE(SUBSTITUTE(売抽出v13!$L49,"倍","")),0)/1000-ROW()/1000000)</f>
        <v/>
      </c>
    </row>
    <row r="50" spans="1:55" ht="35.4" customHeight="1">
      <c r="A50" s="619" t="str">
        <f>IF(B50="","",HYPERLINK("https://kabutan.jp/stock/?code="&amp;B50,"株探"))</f>
        <v>株探</v>
      </c>
      <c r="B50" s="630">
        <v>7011</v>
      </c>
      <c r="C50" s="490" t="s">
        <v>998</v>
      </c>
      <c r="D50" s="623" t="str" cm="1">
        <f t="array" ref="D50">IF($B50="","",_xll.RssMarket($B50,"銘柄名称"))</f>
        <v>三菱重工業</v>
      </c>
      <c r="E50" s="716">
        <v>46239</v>
      </c>
      <c r="F50" s="698" cm="1">
        <f t="array" aca="1" ref="F50" ca="1">IFERROR(_xlfn.LET(_xlpm.r,MATCH(TEXT($B50,"0"),TEXT(銘柄管理!$B$6:$B$305,"0"),0),_xlpm.t,MOD(NOW(),1),_xlpm.c,IF($E50=TODAY(),IF(_xlpm.t&gt;=TIME(15,30,0),NA(),1),IF(MATCH($E50,始値!$E$3:$IT$3,0)=1,1,MATCH($E50,始値!$E$3:$IT$3,0)+1)),_xlpm.v,INDEX(始値!$C$6:$IT$305,_xlpm.r,_xlpm.c),IF(N(_xlpm.v)=0,"",_xlpm.v)),"")</f>
        <v>4050</v>
      </c>
      <c r="G50" s="631">
        <v>100</v>
      </c>
      <c r="H50" s="491" cm="1">
        <f t="array" ref="H50">IF($B50="","",_xll.RssMarket($B50,"現在値"))</f>
        <v>3998</v>
      </c>
      <c r="I50" s="491" cm="1">
        <f t="array" ref="I50">IF($B50="","",_xll.RssMarket($B50,"出来高加重平均"))</f>
        <v>4046.1125000000002</v>
      </c>
      <c r="J50" s="701" cm="1">
        <f t="array" ref="J50">IF($B50="","",_xll.RssMarket($B50,"前日比"))</f>
        <v>-2</v>
      </c>
      <c r="K50" s="701">
        <f>IF(OR(F50="",G50="",H50=""),"",IF(C50="売",(F50-H50)*G50,(H50-F50)*G50))</f>
        <v>-5200</v>
      </c>
      <c r="L50" s="706">
        <f>IF(OR(F50="",H50=""),"",IF(C50="売",(F50-H50)/F50,(H50-F50)/F50))</f>
        <v>-1.2839506172839505E-2</v>
      </c>
      <c r="M50" s="491">
        <f>IF($F50="","",$F50*IF($C50="売",1-V811設定!$B$4,1+V811設定!$B$4)-MOD($F50*IF($C50="売",1-V811設定!$B$4,1+V811設定!$B$4),IF($F50&lt;=3000,1,IF($F50&lt;=5000,5,IF($F50&lt;=30000,10,IF($F50&lt;=50000,50,IF($F50&lt;=300000,100,500))))))+IF(AND($C50="売",MOD($F50*IF($C50="売",1-V811設定!$B$4,1+V811設定!$B$4),IF($F50&lt;=3000,1,IF($F50&lt;=5000,5,IF($F50&lt;=30000,10,IF($F50&lt;=50000,50,IF($F50&lt;=300000,100,500))))))&gt;0),IF($F50&lt;=3000,1,IF($F50&lt;=5000,5,IF($F50&lt;=30000,10,IF($F50&lt;=50000,50,IF($F50&lt;=300000,100,500))))),0))</f>
      </c>
      <c r="N50" s="491">
        <f>IF($F50="","",$F50*IF($C50="売",1+V811設定!$B$3,1-V811設定!$B$3)-MOD($F50*IF($C50="売",1+V811設定!$B$3,1-V811設定!$B$3),IF($F50&lt;=3000,1,IF($F50&lt;=5000,5,IF($F50&lt;=30000,10,IF($F50&lt;=50000,50,IF($F50&lt;=300000,100,500))))))+IF(AND($C50="売",MOD($F50*IF($C50="売",1+V811設定!$B$3,1-V811設定!$B$3),IF($F50&lt;=3000,1,IF($F50&lt;=5000,5,IF($F50&lt;=30000,10,IF($F50&lt;=50000,50,IF($F50&lt;=300000,100,500))))))&gt;0),IF($F50&lt;=3000,1,IF($F50&lt;=5000,5,IF($F50&lt;=30000,10,IF($F50&lt;=50000,50,IF($F50&lt;=300000,100,500))))),0))</f>
      </c>
      <c r="O50" s="492" t="str">
        <f>IF(OR($B50="",$F50="",$H50=""),"",IF($S50="✅売却済","―決済済―",IF($C50="売",IF($H50&lt;=$M50,"🟢利確",IF(AND($R50&lt;&gt;"",$H50&gt;=$R50),"🟠TRAIL",IF($H50&gt;=$N50,"🔴損切",IF($W50&gt;=V811設定!$B$6,"⏱時間決済",IF($H50&gt;=$F50*(1+V811設定!$B$3*0.7),"⚠️損切接近","保持継続"))))),IF($H50&gt;=$M50,"🟢利確",IF(AND($R50&lt;&gt;"",$H50&lt;=$R50),"🟠TRAIL",IF($H50&lt;=$N50,"🔴損切",IF($W50&gt;=V811設定!$B$6,"⏱時間決済",IF($H50&lt;=$F50*(1-V811設定!$B$3*0.7),"⚠️損切接近","保持継続"))))))))</f>
      </c>
      <c r="P50" s="491">
        <f ca="1">IF(B50="","",IFERROR(MAX(OFFSET(高値!$E$6,IFERROR(MATCH(B50,銘柄管理!$B$6:$B$305,0),MATCH(TEXT(B50,"0"),銘柄管理!$B$6:$B$305,0))-1,0,1,10)),""))</f>
        <v>4155</v>
      </c>
      <c r="Q50" s="491">
        <f ca="1">IF(B50="","",IFERROR(MIN(OFFSET(安値!$E$6,IFERROR(MATCH(B50,銘柄管理!$B$6:$B$305,0),MATCH(TEXT(B50,"0"),銘柄管理!$B$6:$B$305,0))-1,0,1,10)),""))</f>
        <v>3621</v>
      </c>
      <c r="R50" s="491">
        <f>IF(OR($F50="",$H50="",$N50=""),"",IF($S50="✅売却済","",IF($C50="売",IF($H50&gt;$F50*(1-V811設定!$B$3),$N50,MIN($N50,IF($Q50="",$N50,$Q50*1.03))),IF($H50&lt;$F50*(1+V811設定!$B$3),$N50,MAX($N50,IF($P50="",$N50,$P50*0.97))))))</f>
      </c>
      <c r="S50" s="586" t="str">
        <f>IF(B50="","",IF(T50&lt;&gt;"","✅売却済",IF(OR(H50="",L50=""),"📌保有中",IF(L50&gt;=0.06,"🟢利確推奨",IF(L50&gt;=0.05,"🟡利確直近",IF(L50&gt;=0.045,"🔵トレーリング検討",IF(L50&gt;-0.03,"📌保有中",IF(L50&gt;-0.04,"⚠️損切注意","🔴損切り"))))))))</f>
        <v>📌保有中</v>
      </c>
      <c r="T50" s="594"/>
      <c r="U50" s="491"/>
      <c r="V50" s="701" t="str">
        <f>IF(OR(F50="",G50="",U50=""),"",IF(C50="売",(F50-U50)*G50,(U50-F50)*G50))</f>
        <v/>
      </c>
      <c r="W50" s="493">
        <f>IF(OR($E50="",$B50=""),"",IF($T50&lt;&gt;"",$T50-$E50,TODAY()-$E50)+1)</f>
        <v>2</v>
      </c>
      <c r="X50" s="489" t="str">
        <f>IF(OR($AH50="",$AH50="保有中"),"",$AH50)</f>
        <v/>
      </c>
      <c r="Y50" s="488"/>
      <c r="Z50" s="710">
        <v>21</v>
      </c>
      <c r="AD50" s="608" t="s">
        <v>1324</v>
      </c>
      <c r="AE50" s="624">
        <f>IF($E50="","",WORKDAY($E50,12))</f>
        <v>46255</v>
      </c>
      <c r="AF50" s="626" cm="1">
        <f t="array" aca="1" ref="AF50" ca="1">IF(OR($B50="",$M50=""),"",IFERROR(IF($C50="売",_xlfn.MINIFS(安値!$E$3:$IT$3,安値!$E$3:$IT$3,"&gt;"&amp;$E50,安値!$E$3:$IT$3,"&lt;="&amp;$AE50,OFFSET(安値!$E$6:$IT$6,MATCH(TEXT($B50,"0"),TEXT(銘柄管理!$B$6:$B$305,"0"),0)-1,0),"&lt;="&amp;$M50),_xlfn.MINIFS(高値!$E$3:$IT$3,高値!$E$3:$IT$3,"&gt;"&amp;$E50,高値!$E$3:$IT$3,"&lt;="&amp;$AE50,OFFSET(高値!$E$6:$IT$6,MATCH(TEXT($B50,"0"),TEXT(銘柄管理!$B$6:$B$305,"0"),0)-1,0),"&gt;="&amp;$M50)),""))</f>
        <v>0</v>
      </c>
      <c r="AG50" s="626" cm="1">
        <f t="array" aca="1" ref="AG50" ca="1">IF(OR($B50="",$N50=""),"",IFERROR(IF($C50="売",_xlfn.MINIFS(高値!$E$3:$IT$3,高値!$E$3:$IT$3,"&gt;"&amp;$E50,高値!$E$3:$IT$3,"&lt;="&amp;$AE50,OFFSET(高値!$E$6:$IT$6,MATCH(TEXT($B50,"0"),TEXT(銘柄管理!$B$6:$B$305,"0"),0)-1,0),"&gt;="&amp;$N50),_xlfn.MINIFS(安値!$E$3:$IT$3,安値!$E$3:$IT$3,"&gt;"&amp;$E50,安値!$E$3:$IT$3,"&lt;="&amp;$AE50,OFFSET(安値!$E$6:$IT$6,MATCH(TEXT($B50,"0"),TEXT(銘柄管理!$B$6:$B$305,"0"),0)-1,0),"&lt;="&amp;$N50)),""))</f>
        <v>0</v>
      </c>
      <c r="AH50" s="600" t="str">
        <f>IF(OR($B50="",$M50=""),"",IF(AND(N($AF50)=0,N($AG50)=0),IF(AND(ISNUMBER($H50),$H50&gt;0,IF($C50="売",$H50&gt;=$N50,$H50&lt;=$N50)),"損切確定",IF(AND(ISNUMBER($H50),$H50&gt;0,IF($C50="売",$H50&lt;=$M50,$H50&gt;=$M50)),"利益確定",IF($AE50&lt;=TODAY(),"日数制限","保有中"))),IF(N($AG50)=0,"利益確定",IF(N($AF50)=0,"損切確定",IF($AG50&lt;=$AF50,"損切確定","利益確定")))))</f>
        <v>保有中</v>
      </c>
      <c r="AI50" s="600" t="str" cm="1">
        <f t="array" ref="AI50">IFERROR(INDEX(始値!$E$6:$IT$305,MATCH(TEXT($B50,"0"),TEXT(銘柄管理!$B$6:$B$305,"0"),0),MATCH($AE50,始値!$E$3:$IT$3,0)),"")</f>
        <v/>
      </c>
      <c r="AJ50" s="905" t="str">
        <f>IF(OR($V50="",$F50="",$G50=""),"",$V50/($F50*$G50))</f>
        <v/>
      </c>
      <c r="AK50" s="629" t="str">
        <f>IF($V50="","",IF($V50&gt;0,"○勝",IF($V50&lt;0,"●負","△引分")))</f>
        <v/>
      </c>
      <c r="AL50" s="609" t="s">
        <v>1337</v>
      </c>
      <c r="BB50" s="600" t="str">
        <f>IF(N(買抽出v13!$C50)=0,"",N(買抽出v13!$Q50)+N(買抽出v13!$L50)/1000-ROW()/1000000)</f>
        <v/>
      </c>
      <c r="BC50" s="600" t="str">
        <f>IF(N(売抽出v13!$C50)=0,"",N(売抽出v13!$Q50)+IFERROR(VALUE(SUBSTITUTE(売抽出v13!$L50,"倍","")),0)/1000-ROW()/1000000)</f>
        <v/>
      </c>
    </row>
    <row r="51" spans="1:55" ht="35.4" customHeight="1">
      <c r="A51" s="619" t="str">
        <f>IF(B51="","",HYPERLINK("https://kabutan.jp/stock/?code="&amp;B51,"株探"))</f>
        <v>株探</v>
      </c>
      <c r="B51" s="630">
        <v>5201</v>
      </c>
      <c r="C51" s="490" t="s">
        <v>999</v>
      </c>
      <c r="D51" s="623" t="str" cm="1">
        <f t="array" ref="D51">IF($B51="","",_xll.RssMarket($B51,"銘柄名称"))</f>
        <v>ＡＧＣ</v>
      </c>
      <c r="E51" s="716">
        <v>46239</v>
      </c>
      <c r="F51" s="698" cm="1">
        <f t="array" aca="1" ref="F51" ca="1">IFERROR(_xlfn.LET(_xlpm.r,MATCH(TEXT($B51,"0"),TEXT(銘柄管理!$B$6:$B$305,"0"),0),_xlpm.t,MOD(NOW(),1),_xlpm.c,IF($E51=TODAY(),IF(_xlpm.t&gt;=TIME(15,30,0),NA(),1),IF(MATCH($E51,始値!$E$3:$IT$3,0)=1,1,MATCH($E51,始値!$E$3:$IT$3,0)+1)),_xlpm.v,INDEX(始値!$C$6:$IT$305,_xlpm.r,_xlpm.c),IF(N(_xlpm.v)=0,"",_xlpm.v)),"")</f>
        <v>5711</v>
      </c>
      <c r="G51" s="631">
        <v>100</v>
      </c>
      <c r="H51" s="491" cm="1">
        <f t="array" ref="H51">IF($B51="","",_xll.RssMarket($B51,"現在値"))</f>
        <v>5786</v>
      </c>
      <c r="I51" s="491" cm="1">
        <f t="array" ref="I51">IF($B51="","",_xll.RssMarket($B51,"出来高加重平均"))</f>
        <v>5821.2191999999995</v>
      </c>
      <c r="J51" s="701" cm="1">
        <f t="array" ref="J51">IF($B51="","",_xll.RssMarket($B51,"前日比"))</f>
        <v>21</v>
      </c>
      <c r="K51" s="701">
        <f>IF(OR(F51="",G51="",H51=""),"",IF(C51="売",(F51-H51)*G51,(H51-F51)*G51))</f>
        <v>-7500</v>
      </c>
      <c r="L51" s="706">
        <f>IF(OR(F51="",H51=""),"",IF(C51="売",(F51-H51)/F51,(H51-F51)/F51))</f>
        <v>-1.3132551216949746E-2</v>
      </c>
      <c r="M51" s="491">
        <f>IF($F51="","",$F51*IF($C51="売",1-V811設定!$B$4,1+V811設定!$B$4)-MOD($F51*IF($C51="売",1-V811設定!$B$4,1+V811設定!$B$4),IF($F51&lt;=3000,1,IF($F51&lt;=5000,5,IF($F51&lt;=30000,10,IF($F51&lt;=50000,50,IF($F51&lt;=300000,100,500))))))+IF(AND($C51="売",MOD($F51*IF($C51="売",1-V811設定!$B$4,1+V811設定!$B$4),IF($F51&lt;=3000,1,IF($F51&lt;=5000,5,IF($F51&lt;=30000,10,IF($F51&lt;=50000,50,IF($F51&lt;=300000,100,500))))))&gt;0),IF($F51&lt;=3000,1,IF($F51&lt;=5000,5,IF($F51&lt;=30000,10,IF($F51&lt;=50000,50,IF($F51&lt;=300000,100,500))))),0))</f>
      </c>
      <c r="N51" s="491">
        <f>IF($F51="","",$F51*IF($C51="売",1+V811設定!$B$3,1-V811設定!$B$3)-MOD($F51*IF($C51="売",1+V811設定!$B$3,1-V811設定!$B$3),IF($F51&lt;=3000,1,IF($F51&lt;=5000,5,IF($F51&lt;=30000,10,IF($F51&lt;=50000,50,IF($F51&lt;=300000,100,500))))))+IF(AND($C51="売",MOD($F51*IF($C51="売",1+V811設定!$B$3,1-V811設定!$B$3),IF($F51&lt;=3000,1,IF($F51&lt;=5000,5,IF($F51&lt;=30000,10,IF($F51&lt;=50000,50,IF($F51&lt;=300000,100,500))))))&gt;0),IF($F51&lt;=3000,1,IF($F51&lt;=5000,5,IF($F51&lt;=30000,10,IF($F51&lt;=50000,50,IF($F51&lt;=300000,100,500))))),0))</f>
      </c>
      <c r="O51" s="492" t="str">
        <f>IF(OR($B51="",$F51="",$H51=""),"",IF($S51="✅売却済","―決済済―",IF($C51="売",IF($H51&lt;=$M51,"🟢利確",IF(AND($R51&lt;&gt;"",$H51&gt;=$R51),"🟠TRAIL",IF($H51&gt;=$N51,"🔴損切",IF($W51&gt;=V811設定!$B$6,"⏱時間決済",IF($H51&gt;=$F51*(1+V811設定!$B$3*0.7),"⚠️損切接近","保持継続"))))),IF($H51&gt;=$M51,"🟢利確",IF(AND($R51&lt;&gt;"",$H51&lt;=$R51),"🟠TRAIL",IF($H51&lt;=$N51,"🔴損切",IF($W51&gt;=V811設定!$B$6,"⏱時間決済",IF($H51&lt;=$F51*(1-V811設定!$B$3*0.7),"⚠️損切接近","保持継続"))))))))</f>
      </c>
      <c r="P51" s="491">
        <f ca="1">IF(B51="","",IFERROR(MAX(OFFSET(高値!$E$6,IFERROR(MATCH(B51,銘柄管理!$B$6:$B$305,0),MATCH(TEXT(B51,"0"),銘柄管理!$B$6:$B$305,0))-1,0,1,10)),""))</f>
        <v>6279</v>
      </c>
      <c r="Q51" s="491">
        <f ca="1">IF(B51="","",IFERROR(MIN(OFFSET(安値!$E$6,IFERROR(MATCH(B51,銘柄管理!$B$6:$B$305,0),MATCH(TEXT(B51,"0"),銘柄管理!$B$6:$B$305,0))-1,0,1,10)),""))</f>
        <v>5581</v>
      </c>
      <c r="R51" s="491">
        <f>IF(OR($F51="",$H51="",$N51=""),"",IF($S51="✅売却済","",IF($C51="売",IF($H51&gt;$F51*(1-V811設定!$B$3),$N51,MIN($N51,IF($Q51="",$N51,$Q51*1.03))),IF($H51&lt;$F51*(1+V811設定!$B$3),$N51,MAX($N51,IF($P51="",$N51,$P51*0.97))))))</f>
      </c>
      <c r="S51" s="586" t="str">
        <f>IF(B51="","",IF(T51&lt;&gt;"","✅売却済",IF(OR(H51="",L51=""),"📌保有中",IF(L51&gt;=0.06,"🟢利確推奨",IF(L51&gt;=0.05,"🟡利確直近",IF(L51&gt;=0.045,"🔵トレーリング検討",IF(L51&gt;-0.03,"📌保有中",IF(L51&gt;-0.04,"⚠️損切注意","🔴損切り"))))))))</f>
        <v>📌保有中</v>
      </c>
      <c r="T51" s="594"/>
      <c r="U51" s="491"/>
      <c r="V51" s="701" t="str">
        <f>IF(OR(F51="",G51="",U51=""),"",IF(C51="売",(F51-U51)*G51,(U51-F51)*G51))</f>
        <v/>
      </c>
      <c r="W51" s="493">
        <f>IF(OR($E51="",$B51=""),"",IF($T51&lt;&gt;"",$T51-$E51,TODAY()-$E51)+1)</f>
        <v>2</v>
      </c>
      <c r="X51" s="489" t="str">
        <f>IF(OR($AH51="",$AH51="保有中"),"",$AH51)</f>
        <v/>
      </c>
      <c r="Y51" s="488"/>
      <c r="Z51" s="710">
        <v>14</v>
      </c>
      <c r="AD51" s="608" t="s">
        <v>1325</v>
      </c>
      <c r="AE51" s="624">
        <f>IF($E51="","",WORKDAY($E51,12))</f>
        <v>46255</v>
      </c>
      <c r="AF51" s="626" cm="1">
        <f t="array" aca="1" ref="AF51" ca="1">IF(OR($B51="",$M51=""),"",IFERROR(IF($C51="売",_xlfn.MINIFS(安値!$E$3:$IT$3,安値!$E$3:$IT$3,"&gt;"&amp;$E51,安値!$E$3:$IT$3,"&lt;="&amp;$AE51,OFFSET(安値!$E$6:$IT$6,MATCH(TEXT($B51,"0"),TEXT(銘柄管理!$B$6:$B$305,"0"),0)-1,0),"&lt;="&amp;$M51),_xlfn.MINIFS(高値!$E$3:$IT$3,高値!$E$3:$IT$3,"&gt;"&amp;$E51,高値!$E$3:$IT$3,"&lt;="&amp;$AE51,OFFSET(高値!$E$6:$IT$6,MATCH(TEXT($B51,"0"),TEXT(銘柄管理!$B$6:$B$305,"0"),0)-1,0),"&gt;="&amp;$M51)),""))</f>
        <v>0</v>
      </c>
      <c r="AG51" s="626" cm="1">
        <f t="array" aca="1" ref="AG51" ca="1">IF(OR($B51="",$N51=""),"",IFERROR(IF($C51="売",_xlfn.MINIFS(高値!$E$3:$IT$3,高値!$E$3:$IT$3,"&gt;"&amp;$E51,高値!$E$3:$IT$3,"&lt;="&amp;$AE51,OFFSET(高値!$E$6:$IT$6,MATCH(TEXT($B51,"0"),TEXT(銘柄管理!$B$6:$B$305,"0"),0)-1,0),"&gt;="&amp;$N51),_xlfn.MINIFS(安値!$E$3:$IT$3,安値!$E$3:$IT$3,"&gt;"&amp;$E51,安値!$E$3:$IT$3,"&lt;="&amp;$AE51,OFFSET(安値!$E$6:$IT$6,MATCH(TEXT($B51,"0"),TEXT(銘柄管理!$B$6:$B$305,"0"),0)-1,0),"&lt;="&amp;$N51)),""))</f>
        <v>0</v>
      </c>
      <c r="AH51" s="600" t="str">
        <f>IF(OR($B51="",$M51=""),"",IF(AND(N($AF51)=0,N($AG51)=0),IF(AND(ISNUMBER($H51),$H51&gt;0,IF($C51="売",$H51&gt;=$N51,$H51&lt;=$N51)),"損切確定",IF(AND(ISNUMBER($H51),$H51&gt;0,IF($C51="売",$H51&lt;=$M51,$H51&gt;=$M51)),"利益確定",IF($AE51&lt;=TODAY(),"日数制限","保有中"))),IF(N($AG51)=0,"利益確定",IF(N($AF51)=0,"損切確定",IF($AG51&lt;=$AF51,"損切確定","利益確定")))))</f>
        <v>保有中</v>
      </c>
      <c r="AI51" s="600" t="str" cm="1">
        <f t="array" ref="AI51">IFERROR(INDEX(始値!$E$6:$IT$305,MATCH(TEXT($B51,"0"),TEXT(銘柄管理!$B$6:$B$305,"0"),0),MATCH($AE51,始値!$E$3:$IT$3,0)),"")</f>
        <v/>
      </c>
      <c r="AJ51" s="905" t="str">
        <f>IF(OR($V51="",$F51="",$G51=""),"",$V51/($F51*$G51))</f>
        <v/>
      </c>
      <c r="AK51" s="629" t="str">
        <f>IF($V51="","",IF($V51&gt;0,"○勝",IF($V51&lt;0,"●負","△引分")))</f>
        <v/>
      </c>
      <c r="AL51" s="609" t="s">
        <v>1338</v>
      </c>
      <c r="BB51" s="600" t="str">
        <f>IF(N(買抽出v13!$C51)=0,"",N(買抽出v13!$Q51)+N(買抽出v13!$L51)/1000-ROW()/1000000)</f>
        <v/>
      </c>
      <c r="BC51" s="600" t="str">
        <f>IF(N(売抽出v13!$C51)=0,"",N(売抽出v13!$Q51)+IFERROR(VALUE(SUBSTITUTE(売抽出v13!$L51,"倍","")),0)/1000-ROW()/1000000)</f>
        <v/>
      </c>
    </row>
    <row r="52" spans="1:55" ht="35.4" customHeight="1">
      <c r="A52" s="619" t="str">
        <f>IF(B52="","",HYPERLINK("https://kabutan.jp/stock/?code="&amp;B52,"株探"))</f>
        <v>株探</v>
      </c>
      <c r="B52" s="630">
        <v>9519</v>
      </c>
      <c r="C52" s="490" t="s">
        <v>999</v>
      </c>
      <c r="D52" s="623" t="str" cm="1">
        <f t="array" ref="D52">IF($B52="","",_xll.RssMarket($B52,"銘柄名称"))</f>
        <v>レノバ</v>
      </c>
      <c r="E52" s="716">
        <v>46239</v>
      </c>
      <c r="F52" s="698" cm="1">
        <f t="array" aca="1" ref="F52" ca="1">IFERROR(_xlfn.LET(_xlpm.r,MATCH(TEXT($B52,"0"),TEXT(銘柄管理!$B$6:$B$305,"0"),0),_xlpm.t,MOD(NOW(),1),_xlpm.c,IF($E52=TODAY(),IF(_xlpm.t&gt;=TIME(15,30,0),NA(),1),IF(MATCH($E52,始値!$E$3:$IT$3,0)=1,1,MATCH($E52,始値!$E$3:$IT$3,0)+1)),_xlpm.v,INDEX(始値!$C$6:$IT$305,_xlpm.r,_xlpm.c),IF(N(_xlpm.v)=0,"",_xlpm.v)),"")</f>
        <v>934</v>
      </c>
      <c r="G52" s="631">
        <v>100</v>
      </c>
      <c r="H52" s="491" cm="1">
        <f t="array" ref="H52">IF($B52="","",_xll.RssMarket($B52,"現在値"))</f>
        <v>925</v>
      </c>
      <c r="I52" s="491" cm="1">
        <f t="array" ref="I52">IF($B52="","",_xll.RssMarket($B52,"出来高加重平均"))</f>
        <v>926.96630000000005</v>
      </c>
      <c r="J52" s="701" cm="1">
        <f t="array" ref="J52">IF($B52="","",_xll.RssMarket($B52,"前日比"))</f>
        <v>-3</v>
      </c>
      <c r="K52" s="701">
        <f>IF(OR(F52="",G52="",H52=""),"",IF(C52="売",(F52-H52)*G52,(H52-F52)*G52))</f>
        <v>900</v>
      </c>
      <c r="L52" s="706">
        <f>IF(OR(F52="",H52=""),"",IF(C52="売",(F52-H52)/F52,(H52-F52)/F52))</f>
        <v>9.6359743040685224E-3</v>
      </c>
      <c r="M52" s="491">
        <f>IF($F52="","",$F52*IF($C52="売",1-V811設定!$B$4,1+V811設定!$B$4)-MOD($F52*IF($C52="売",1-V811設定!$B$4,1+V811設定!$B$4),IF($F52&lt;=3000,1,IF($F52&lt;=5000,5,IF($F52&lt;=30000,10,IF($F52&lt;=50000,50,IF($F52&lt;=300000,100,500))))))+IF(AND($C52="売",MOD($F52*IF($C52="売",1-V811設定!$B$4,1+V811設定!$B$4),IF($F52&lt;=3000,1,IF($F52&lt;=5000,5,IF($F52&lt;=30000,10,IF($F52&lt;=50000,50,IF($F52&lt;=300000,100,500))))))&gt;0),IF($F52&lt;=3000,1,IF($F52&lt;=5000,5,IF($F52&lt;=30000,10,IF($F52&lt;=50000,50,IF($F52&lt;=300000,100,500))))),0))</f>
      </c>
      <c r="N52" s="491">
        <f>IF($F52="","",$F52*IF($C52="売",1+V811設定!$B$3,1-V811設定!$B$3)-MOD($F52*IF($C52="売",1+V811設定!$B$3,1-V811設定!$B$3),IF($F52&lt;=3000,1,IF($F52&lt;=5000,5,IF($F52&lt;=30000,10,IF($F52&lt;=50000,50,IF($F52&lt;=300000,100,500))))))+IF(AND($C52="売",MOD($F52*IF($C52="売",1+V811設定!$B$3,1-V811設定!$B$3),IF($F52&lt;=3000,1,IF($F52&lt;=5000,5,IF($F52&lt;=30000,10,IF($F52&lt;=50000,50,IF($F52&lt;=300000,100,500))))))&gt;0),IF($F52&lt;=3000,1,IF($F52&lt;=5000,5,IF($F52&lt;=30000,10,IF($F52&lt;=50000,50,IF($F52&lt;=300000,100,500))))),0))</f>
      </c>
      <c r="O52" s="492" t="str">
        <f>IF(OR($B52="",$F52="",$H52=""),"",IF($S52="✅売却済","―決済済―",IF($C52="売",IF($H52&lt;=$M52,"🟢利確",IF(AND($R52&lt;&gt;"",$H52&gt;=$R52),"🟠TRAIL",IF($H52&gt;=$N52,"🔴損切",IF($W52&gt;=V811設定!$B$6,"⏱時間決済",IF($H52&gt;=$F52*(1+V811設定!$B$3*0.7),"⚠️損切接近","保持継続"))))),IF($H52&gt;=$M52,"🟢利確",IF(AND($R52&lt;&gt;"",$H52&lt;=$R52),"🟠TRAIL",IF($H52&lt;=$N52,"🔴損切",IF($W52&gt;=V811設定!$B$6,"⏱時間決済",IF($H52&lt;=$F52*(1-V811設定!$B$3*0.7),"⚠️損切接近","保持継続"))))))))</f>
      </c>
      <c r="P52" s="491">
        <f ca="1">IF(B52="","",IFERROR(MAX(OFFSET(高値!$E$6,IFERROR(MATCH(B52,銘柄管理!$B$6:$B$305,0),MATCH(TEXT(B52,"0"),銘柄管理!$B$6:$B$305,0))-1,0,1,10)),""))</f>
        <v>1039</v>
      </c>
      <c r="Q52" s="491">
        <f ca="1">IF(B52="","",IFERROR(MIN(OFFSET(安値!$E$6,IFERROR(MATCH(B52,銘柄管理!$B$6:$B$305,0),MATCH(TEXT(B52,"0"),銘柄管理!$B$6:$B$305,0))-1,0,1,10)),""))</f>
        <v>884</v>
      </c>
      <c r="R52" s="491">
        <f>IF(OR($F52="",$H52="",$N52=""),"",IF($S52="✅売却済","",IF($C52="売",IF($H52&gt;$F52*(1-V811設定!$B$3),$N52,MIN($N52,IF($Q52="",$N52,$Q52*1.03))),IF($H52&lt;$F52*(1+V811設定!$B$3),$N52,MAX($N52,IF($P52="",$N52,$P52*0.97))))))</f>
      </c>
      <c r="S52" s="586" t="str">
        <f>IF(B52="","",IF(T52&lt;&gt;"","✅売却済",IF(OR(H52="",L52=""),"📌保有中",IF(L52&gt;=0.06,"🟢利確推奨",IF(L52&gt;=0.05,"🟡利確直近",IF(L52&gt;=0.045,"🔵トレーリング検討",IF(L52&gt;-0.03,"📌保有中",IF(L52&gt;-0.04,"⚠️損切注意","🔴損切り"))))))))</f>
        <v>📌保有中</v>
      </c>
      <c r="T52" s="594"/>
      <c r="U52" s="491"/>
      <c r="V52" s="701" t="str">
        <f>IF(OR(F52="",G52="",U52=""),"",IF(C52="売",(F52-U52)*G52,(U52-F52)*G52))</f>
        <v/>
      </c>
      <c r="W52" s="493">
        <f>IF(OR($E52="",$B52=""),"",IF($T52&lt;&gt;"",$T52-$E52,TODAY()-$E52)+1)</f>
        <v>2</v>
      </c>
      <c r="X52" s="489" t="str">
        <f>IF(OR($AH52="",$AH52="保有中"),"",$AH52)</f>
        <v/>
      </c>
      <c r="Y52" s="488"/>
      <c r="Z52" s="710">
        <v>12</v>
      </c>
      <c r="AD52" s="608" t="s">
        <v>1325</v>
      </c>
      <c r="AE52" s="624">
        <f>IF($E52="","",WORKDAY($E52,12))</f>
        <v>46255</v>
      </c>
      <c r="AF52" s="626" cm="1">
        <f t="array" aca="1" ref="AF52" ca="1">IF(OR($B52="",$M52=""),"",IFERROR(IF($C52="売",_xlfn.MINIFS(安値!$E$3:$IT$3,安値!$E$3:$IT$3,"&gt;"&amp;$E52,安値!$E$3:$IT$3,"&lt;="&amp;$AE52,OFFSET(安値!$E$6:$IT$6,MATCH(TEXT($B52,"0"),TEXT(銘柄管理!$B$6:$B$305,"0"),0)-1,0),"&lt;="&amp;$M52),_xlfn.MINIFS(高値!$E$3:$IT$3,高値!$E$3:$IT$3,"&gt;"&amp;$E52,高値!$E$3:$IT$3,"&lt;="&amp;$AE52,OFFSET(高値!$E$6:$IT$6,MATCH(TEXT($B52,"0"),TEXT(銘柄管理!$B$6:$B$305,"0"),0)-1,0),"&gt;="&amp;$M52)),""))</f>
        <v>0</v>
      </c>
      <c r="AG52" s="626" cm="1">
        <f t="array" aca="1" ref="AG52" ca="1">IF(OR($B52="",$N52=""),"",IFERROR(IF($C52="売",_xlfn.MINIFS(高値!$E$3:$IT$3,高値!$E$3:$IT$3,"&gt;"&amp;$E52,高値!$E$3:$IT$3,"&lt;="&amp;$AE52,OFFSET(高値!$E$6:$IT$6,MATCH(TEXT($B52,"0"),TEXT(銘柄管理!$B$6:$B$305,"0"),0)-1,0),"&gt;="&amp;$N52),_xlfn.MINIFS(安値!$E$3:$IT$3,安値!$E$3:$IT$3,"&gt;"&amp;$E52,安値!$E$3:$IT$3,"&lt;="&amp;$AE52,OFFSET(安値!$E$6:$IT$6,MATCH(TEXT($B52,"0"),TEXT(銘柄管理!$B$6:$B$305,"0"),0)-1,0),"&lt;="&amp;$N52)),""))</f>
        <v>0</v>
      </c>
      <c r="AH52" s="600" t="str">
        <f>IF(OR($B52="",$M52=""),"",IF(AND(N($AF52)=0,N($AG52)=0),IF(AND(ISNUMBER($H52),$H52&gt;0,IF($C52="売",$H52&gt;=$N52,$H52&lt;=$N52)),"損切確定",IF(AND(ISNUMBER($H52),$H52&gt;0,IF($C52="売",$H52&lt;=$M52,$H52&gt;=$M52)),"利益確定",IF($AE52&lt;=TODAY(),"日数制限","保有中"))),IF(N($AG52)=0,"利益確定",IF(N($AF52)=0,"損切確定",IF($AG52&lt;=$AF52,"損切確定","利益確定")))))</f>
        <v>保有中</v>
      </c>
      <c r="AI52" s="600" t="str" cm="1">
        <f t="array" ref="AI52">IFERROR(INDEX(始値!$E$6:$IT$305,MATCH(TEXT($B52,"0"),TEXT(銘柄管理!$B$6:$B$305,"0"),0),MATCH($AE52,始値!$E$3:$IT$3,0)),"")</f>
        <v/>
      </c>
      <c r="AJ52" s="905" t="str">
        <f>IF(OR($V52="",$F52="",$G52=""),"",$V52/($F52*$G52))</f>
        <v/>
      </c>
      <c r="AK52" s="629" t="str">
        <f>IF($V52="","",IF($V52&gt;0,"○勝",IF($V52&lt;0,"●負","△引分")))</f>
        <v/>
      </c>
      <c r="AL52" s="609" t="s">
        <v>1339</v>
      </c>
      <c r="BB52" s="600" t="str">
        <f>IF(N(買抽出v13!$C52)=0,"",N(買抽出v13!$Q52)+N(買抽出v13!$L52)/1000-ROW()/1000000)</f>
        <v/>
      </c>
      <c r="BC52" s="600" t="str">
        <f>IF(N(売抽出v13!$C52)=0,"",N(売抽出v13!$Q52)+IFERROR(VALUE(SUBSTITUTE(売抽出v13!$L52,"倍","")),0)/1000-ROW()/1000000)</f>
        <v/>
      </c>
    </row>
    <row r="53" spans="1:55" ht="35.4" customHeight="1">
      <c r="A53" s="619" t="str">
        <f>IF(B53="","",HYPERLINK("https://kabutan.jp/stock/?code="&amp;B53,"株探"))</f>
        <v>株探</v>
      </c>
      <c r="B53" s="630">
        <v>4008</v>
      </c>
      <c r="C53" s="490" t="s">
        <v>998</v>
      </c>
      <c r="D53" s="623" t="str" cm="1">
        <f t="array" ref="D53">IF($B53="","",_xll.RssMarket($B53,"銘柄名称"))</f>
        <v>住友精化</v>
      </c>
      <c r="E53" s="739">
        <v>46241</v>
      </c>
      <c r="F53" s="698" t="str" cm="1">
        <f t="array" aca="1" ref="F53" ca="1">IFERROR(_xlfn.LET(_xlpm.r,MATCH(TEXT($B53,"0"),TEXT(銘柄管理!$B$6:$B$305,"0"),0),_xlpm.t,MOD(NOW(),1),_xlpm.c,IF($E53=TODAY(),IF(_xlpm.t&gt;=TIME(15,30,0),NA(),1),IF(MATCH($E53,始値!$E$3:$IT$3,0)=1,1,MATCH($E53,始値!$E$3:$IT$3,0)+1)),_xlpm.v,INDEX(始値!$C$6:$IT$305,_xlpm.r,_xlpm.c),IF(N(_xlpm.v)=0,"",_xlpm.v)),"")</f>
        <v/>
      </c>
      <c r="G53" s="631">
        <v>100</v>
      </c>
      <c r="H53" s="491" cm="1">
        <f t="array" ref="H53">IF($B53="","",_xll.RssMarket($B53,"現在値"))</f>
        <v>1446</v>
      </c>
      <c r="I53" s="491" cm="1">
        <f t="array" ref="I53">IF($B53="","",_xll.RssMarket($B53,"出来高加重平均"))</f>
        <v>1395.3792000000001</v>
      </c>
      <c r="J53" s="701" cm="1">
        <f t="array" ref="J53">IF($B53="","",_xll.RssMarket($B53,"前日比"))</f>
        <v>187</v>
      </c>
      <c r="K53" s="701" t="str">
        <f>IF(OR(F53="",G53="",H53=""),"",IF(C53="売",(F53-H53)*G53,(H53-F53)*G53))</f>
        <v/>
      </c>
      <c r="L53" s="706" t="str">
        <f>IF(OR(F53="",H53=""),"",IF(C53="売",(F53-H53)/F53,(H53-F53)/F53))</f>
        <v/>
      </c>
      <c r="M53" s="491" t="str">
        <f>IF($F53="","",$F53*IF($C53="売",1-V811設定!$B$4,1+V811設定!$B$4)-MOD($F53*IF($C53="売",1-V811設定!$B$4,1+V811設定!$B$4),IF($F53&lt;=3000,1,IF($F53&lt;=5000,5,IF($F53&lt;=30000,10,IF($F53&lt;=50000,50,IF($F53&lt;=300000,100,500))))))+IF(AND($C53="売",MOD($F53*IF($C53="売",1-V811設定!$B$4,1+V811設定!$B$4),IF($F53&lt;=3000,1,IF($F53&lt;=5000,5,IF($F53&lt;=30000,10,IF($F53&lt;=50000,50,IF($F53&lt;=300000,100,500))))))&gt;0),IF($F53&lt;=3000,1,IF($F53&lt;=5000,5,IF($F53&lt;=30000,10,IF($F53&lt;=50000,50,IF($F53&lt;=300000,100,500))))),0))</f>
      </c>
      <c r="N53" s="491" t="str">
        <f>IF($F53="","",$F53*IF($C53="売",1+V811設定!$B$3,1-V811設定!$B$3)-MOD($F53*IF($C53="売",1+V811設定!$B$3,1-V811設定!$B$3),IF($F53&lt;=3000,1,IF($F53&lt;=5000,5,IF($F53&lt;=30000,10,IF($F53&lt;=50000,50,IF($F53&lt;=300000,100,500))))))+IF(AND($C53="売",MOD($F53*IF($C53="売",1+V811設定!$B$3,1-V811設定!$B$3),IF($F53&lt;=3000,1,IF($F53&lt;=5000,5,IF($F53&lt;=30000,10,IF($F53&lt;=50000,50,IF($F53&lt;=300000,100,500))))))&gt;0),IF($F53&lt;=3000,1,IF($F53&lt;=5000,5,IF($F53&lt;=30000,10,IF($F53&lt;=50000,50,IF($F53&lt;=300000,100,500))))),0))</f>
      </c>
      <c r="O53" s="492" t="str">
        <f>IF(OR($B53="",$F53="",$H53=""),"",IF($S53="✅売却済","―決済済―",IF($C53="売",IF($H53&lt;=$M53,"🟢利確",IF(AND($R53&lt;&gt;"",$H53&gt;=$R53),"🟠TRAIL",IF($H53&gt;=$N53,"🔴損切",IF($W53&gt;=V811設定!$B$6,"⏱時間決済",IF($H53&gt;=$F53*(1+V811設定!$B$3*0.7),"⚠️損切接近","保持継続"))))),IF($H53&gt;=$M53,"🟢利確",IF(AND($R53&lt;&gt;"",$H53&lt;=$R53),"🟠TRAIL",IF($H53&lt;=$N53,"🔴損切",IF($W53&gt;=V811設定!$B$6,"⏱時間決済",IF($H53&lt;=$F53*(1-V811設定!$B$3*0.7),"⚠️損切接近","保持継続"))))))))</f>
      </c>
      <c r="P53" s="491"/>
      <c r="Q53" s="491"/>
      <c r="R53" s="491" t="str">
        <f>IF(OR($F53="",$H53="",$N53=""),"",IF($S53="✅売却済","",IF($C53="売",IF($H53&gt;$F53*(1-V811設定!$B$3),$N53,MIN($N53,IF($Q53="",$N53,$Q53*1.03))),IF($H53&lt;$F53*(1+V811設定!$B$3),$N53,MAX($N53,IF($P53="",$N53,$P53*0.97))))))</f>
      </c>
      <c r="S53" s="586" t="str">
        <f>IF(B53="","",IF(T53&lt;&gt;"","✅売却済",IF(OR(H53="",L53=""),"📌保有中",IF(L53&gt;=0.06,"🟢利確推奨",IF(L53&gt;=0.05,"🟡利確直近",IF(L53&gt;=0.045,"🔵トレーリング検討",IF(L53&gt;-0.03,"📌保有中",IF(L53&gt;-0.04,"⚠️損切注意","🔴損切り"))))))))</f>
        <v>📌保有中</v>
      </c>
      <c r="T53" s="594"/>
      <c r="U53" s="491"/>
      <c r="V53" s="701" t="str">
        <f>IF(OR(F53="",G53="",U53=""),"",IF(C53="売",(F53-U53)*G53,(U53-F53)*G53))</f>
        <v/>
      </c>
      <c r="W53" s="493">
        <f>IF(OR($E53="",$B53=""),"",IF($T53&lt;&gt;"",$T53-$E53,TODAY()-$E53)+1)</f>
        <v>0</v>
      </c>
      <c r="X53" s="489" t="str">
        <f>IF(OR($AH53="",$AH53="保有中"),"",$AH53)</f>
        <v/>
      </c>
      <c r="Y53" s="488"/>
      <c r="Z53" s="710">
        <v>19</v>
      </c>
      <c r="AD53" s="608" t="s">
        <v>1322</v>
      </c>
      <c r="AE53" s="624">
        <f>IF($E53="","",WORKDAY($E53,12))</f>
        <v>46259</v>
      </c>
      <c r="AF53" s="626" t="str" cm="1">
        <f t="array" aca="1" ref="AF53" ca="1">IF(OR($B53="",$M53=""),"",IFERROR(IF($C53="売",_xlfn.MINIFS(安値!$E$3:$IT$3,安値!$E$3:$IT$3,"&gt;"&amp;$E53,安値!$E$3:$IT$3,"&lt;="&amp;$AE53,OFFSET(安値!$E$6:$IT$6,MATCH(TEXT($B53,"0"),TEXT(銘柄管理!$B$6:$B$305,"0"),0)-1,0),"&lt;="&amp;$M53),_xlfn.MINIFS(高値!$E$3:$IT$3,高値!$E$3:$IT$3,"&gt;"&amp;$E53,高値!$E$3:$IT$3,"&lt;="&amp;$AE53,OFFSET(高値!$E$6:$IT$6,MATCH(TEXT($B53,"0"),TEXT(銘柄管理!$B$6:$B$305,"0"),0)-1,0),"&gt;="&amp;$M53)),""))</f>
        <v/>
      </c>
      <c r="AG53" s="626" t="str" cm="1">
        <f t="array" aca="1" ref="AG53" ca="1">IF(OR($B53="",$N53=""),"",IFERROR(IF($C53="売",_xlfn.MINIFS(高値!$E$3:$IT$3,高値!$E$3:$IT$3,"&gt;"&amp;$E53,高値!$E$3:$IT$3,"&lt;="&amp;$AE53,OFFSET(高値!$E$6:$IT$6,MATCH(TEXT($B53,"0"),TEXT(銘柄管理!$B$6:$B$305,"0"),0)-1,0),"&gt;="&amp;$N53),_xlfn.MINIFS(安値!$E$3:$IT$3,安値!$E$3:$IT$3,"&gt;"&amp;$E53,安値!$E$3:$IT$3,"&lt;="&amp;$AE53,OFFSET(安値!$E$6:$IT$6,MATCH(TEXT($B53,"0"),TEXT(銘柄管理!$B$6:$B$305,"0"),0)-1,0),"&lt;="&amp;$N53)),""))</f>
        <v/>
      </c>
      <c r="AH53" s="600" t="str">
        <f>IF(OR($B53="",$M53=""),"",IF(AND(N($AF53)=0,N($AG53)=0),IF(AND(ISNUMBER($H53),$H53&gt;0,IF($C53="売",$H53&gt;=$N53,$H53&lt;=$N53)),"損切確定",IF(AND(ISNUMBER($H53),$H53&gt;0,IF($C53="売",$H53&lt;=$M53,$H53&gt;=$M53)),"利益確定",IF($AE53&lt;=TODAY(),"日数制限","保有中"))),IF(N($AG53)=0,"利益確定",IF(N($AF53)=0,"損切確定",IF($AG53&lt;=$AF53,"損切確定","利益確定")))))</f>
        <v/>
      </c>
      <c r="AI53" s="600" t="str" cm="1">
        <f t="array" ref="AI53">IFERROR(INDEX(始値!$E$6:$IT$305,MATCH(TEXT($B53,"0"),TEXT(銘柄管理!$B$6:$B$305,"0"),0),MATCH($AE53,始値!$E$3:$IT$3,0)),"")</f>
        <v/>
      </c>
      <c r="AJ53" s="905" t="str">
        <f>IF(OR($V53="",$F53="",$G53=""),"",$V53/($F53*$G53))</f>
        <v/>
      </c>
      <c r="AK53" s="629" t="str">
        <f>IF($V53="","",IF($V53&gt;0,"○勝",IF($V53&lt;0,"●負","△引分")))</f>
        <v/>
      </c>
      <c r="AL53" s="609" t="s">
        <v>1340</v>
      </c>
      <c r="BB53" s="600" t="str">
        <f>IF(N(買抽出v13!$C53)=0,"",N(買抽出v13!$Q53)+N(買抽出v13!$L53)/1000-ROW()/1000000)</f>
        <v/>
      </c>
      <c r="BC53" s="600" t="str">
        <f>IF(N(売抽出v13!$C53)=0,"",N(売抽出v13!$Q53)+IFERROR(VALUE(SUBSTITUTE(売抽出v13!$L53,"倍","")),0)/1000-ROW()/1000000)</f>
        <v/>
      </c>
    </row>
    <row r="54" spans="1:55" ht="35.4" customHeight="1">
      <c r="A54" s="619" t="str">
        <f>IF(B54="","",HYPERLINK("https://kabutan.jp/stock/?code="&amp;B54,"株探"))</f>
        <v>株探</v>
      </c>
      <c r="B54" s="630">
        <v>5233</v>
      </c>
      <c r="C54" s="490" t="s">
        <v>998</v>
      </c>
      <c r="D54" s="623" t="str" cm="1">
        <f t="array" ref="D54">IF($B54="","",_xll.RssMarket($B54,"銘柄名称"))</f>
        <v>太平洋セメント</v>
      </c>
      <c r="E54" s="739">
        <v>46241</v>
      </c>
      <c r="F54" s="698" t="str" cm="1">
        <f t="array" aca="1" ref="F54" ca="1">IFERROR(_xlfn.LET(_xlpm.r,MATCH(TEXT($B54,"0"),TEXT(銘柄管理!$B$6:$B$305,"0"),0),_xlpm.t,MOD(NOW(),1),_xlpm.c,IF($E54=TODAY(),IF(_xlpm.t&gt;=TIME(15,30,0),NA(),1),IF(MATCH($E54,始値!$E$3:$IT$3,0)=1,1,MATCH($E54,始値!$E$3:$IT$3,0)+1)),_xlpm.v,INDEX(始値!$C$6:$IT$305,_xlpm.r,_xlpm.c),IF(N(_xlpm.v)=0,"",_xlpm.v)),"")</f>
        <v/>
      </c>
      <c r="G54" s="631">
        <v>100</v>
      </c>
      <c r="H54" s="491" cm="1">
        <f t="array" ref="H54">IF($B54="","",_xll.RssMarket($B54,"現在値"))</f>
        <v>4333</v>
      </c>
      <c r="I54" s="491" cm="1">
        <f t="array" ref="I54">IF($B54="","",_xll.RssMarket($B54,"出来高加重平均"))</f>
        <v>4245.4691999999995</v>
      </c>
      <c r="J54" s="701" cm="1">
        <f t="array" ref="J54">IF($B54="","",_xll.RssMarket($B54,"前日比"))</f>
        <v>243</v>
      </c>
      <c r="K54" s="701" t="str">
        <f>IF(OR(F54="",G54="",H54=""),"",IF(C54="売",(F54-H54)*G54,(H54-F54)*G54))</f>
        <v/>
      </c>
      <c r="L54" s="706" t="str">
        <f>IF(OR(F54="",H54=""),"",IF(C54="売",(F54-H54)/F54,(H54-F54)/F54))</f>
        <v/>
      </c>
      <c r="M54" s="491" t="str">
        <f>IF($F54="","",$F54*IF($C54="売",1-V811設定!$B$4,1+V811設定!$B$4)-MOD($F54*IF($C54="売",1-V811設定!$B$4,1+V811設定!$B$4),IF($F54&lt;=3000,1,IF($F54&lt;=5000,5,IF($F54&lt;=30000,10,IF($F54&lt;=50000,50,IF($F54&lt;=300000,100,500))))))+IF(AND($C54="売",MOD($F54*IF($C54="売",1-V811設定!$B$4,1+V811設定!$B$4),IF($F54&lt;=3000,1,IF($F54&lt;=5000,5,IF($F54&lt;=30000,10,IF($F54&lt;=50000,50,IF($F54&lt;=300000,100,500))))))&gt;0),IF($F54&lt;=3000,1,IF($F54&lt;=5000,5,IF($F54&lt;=30000,10,IF($F54&lt;=50000,50,IF($F54&lt;=300000,100,500))))),0))</f>
      </c>
      <c r="N54" s="491" t="str">
        <f>IF($F54="","",$F54*IF($C54="売",1+V811設定!$B$3,1-V811設定!$B$3)-MOD($F54*IF($C54="売",1+V811設定!$B$3,1-V811設定!$B$3),IF($F54&lt;=3000,1,IF($F54&lt;=5000,5,IF($F54&lt;=30000,10,IF($F54&lt;=50000,50,IF($F54&lt;=300000,100,500))))))+IF(AND($C54="売",MOD($F54*IF($C54="売",1+V811設定!$B$3,1-V811設定!$B$3),IF($F54&lt;=3000,1,IF($F54&lt;=5000,5,IF($F54&lt;=30000,10,IF($F54&lt;=50000,50,IF($F54&lt;=300000,100,500))))))&gt;0),IF($F54&lt;=3000,1,IF($F54&lt;=5000,5,IF($F54&lt;=30000,10,IF($F54&lt;=50000,50,IF($F54&lt;=300000,100,500))))),0))</f>
      </c>
      <c r="O54" s="492" t="str">
        <f>IF(OR($B54="",$F54="",$H54=""),"",IF($S54="✅売却済","―決済済―",IF($C54="売",IF($H54&lt;=$M54,"🟢利確",IF(AND($R54&lt;&gt;"",$H54&gt;=$R54),"🟠TRAIL",IF($H54&gt;=$N54,"🔴損切",IF($W54&gt;=V811設定!$B$6,"⏱時間決済",IF($H54&gt;=$F54*(1+V811設定!$B$3*0.7),"⚠️損切接近","保持継続"))))),IF($H54&gt;=$M54,"🟢利確",IF(AND($R54&lt;&gt;"",$H54&lt;=$R54),"🟠TRAIL",IF($H54&lt;=$N54,"🔴損切",IF($W54&gt;=V811設定!$B$6,"⏱時間決済",IF($H54&lt;=$F54*(1-V811設定!$B$3*0.7),"⚠️損切接近","保持継続"))))))))</f>
      </c>
      <c r="P54" s="491"/>
      <c r="Q54" s="491"/>
      <c r="R54" s="491" t="str">
        <f>IF(OR($F54="",$H54="",$N54=""),"",IF($S54="✅売却済","",IF($C54="売",IF($H54&gt;$F54*(1-V811設定!$B$3),$N54,MIN($N54,IF($Q54="",$N54,$Q54*1.03))),IF($H54&lt;$F54*(1+V811設定!$B$3),$N54,MAX($N54,IF($P54="",$N54,$P54*0.97))))))</f>
      </c>
      <c r="S54" s="586" t="str">
        <f>IF(B54="","",IF(T54&lt;&gt;"","✅売却済",IF(OR(H54="",L54=""),"📌保有中",IF(L54&gt;=0.06,"🟢利確推奨",IF(L54&gt;=0.05,"🟡利確直近",IF(L54&gt;=0.045,"🔵トレーリング検討",IF(L54&gt;-0.03,"📌保有中",IF(L54&gt;-0.04,"⚠️損切注意","🔴損切り"))))))))</f>
        <v>📌保有中</v>
      </c>
      <c r="T54" s="594"/>
      <c r="U54" s="491"/>
      <c r="V54" s="701" t="str">
        <f>IF(OR(F54="",G54="",U54=""),"",IF(C54="売",(F54-U54)*G54,(U54-F54)*G54))</f>
        <v/>
      </c>
      <c r="W54" s="493">
        <f>IF(OR($E54="",$B54=""),"",IF($T54&lt;&gt;"",$T54-$E54,TODAY()-$E54)+1)</f>
        <v>0</v>
      </c>
      <c r="X54" s="489" t="str">
        <f>IF(OR($AH54="",$AH54="保有中"),"",$AH54)</f>
        <v/>
      </c>
      <c r="Y54" s="488"/>
      <c r="Z54" s="710">
        <v>14</v>
      </c>
      <c r="AD54" s="608" t="s">
        <v>1322</v>
      </c>
      <c r="AE54" s="624">
        <f>IF($E54="","",WORKDAY($E54,12))</f>
        <v>46259</v>
      </c>
      <c r="AF54" s="626" t="str" cm="1">
        <f t="array" aca="1" ref="AF54" ca="1">IF(OR($B54="",$M54=""),"",IFERROR(IF($C54="売",_xlfn.MINIFS(安値!$E$3:$IT$3,安値!$E$3:$IT$3,"&gt;"&amp;$E54,安値!$E$3:$IT$3,"&lt;="&amp;$AE54,OFFSET(安値!$E$6:$IT$6,MATCH(TEXT($B54,"0"),TEXT(銘柄管理!$B$6:$B$305,"0"),0)-1,0),"&lt;="&amp;$M54),_xlfn.MINIFS(高値!$E$3:$IT$3,高値!$E$3:$IT$3,"&gt;"&amp;$E54,高値!$E$3:$IT$3,"&lt;="&amp;$AE54,OFFSET(高値!$E$6:$IT$6,MATCH(TEXT($B54,"0"),TEXT(銘柄管理!$B$6:$B$305,"0"),0)-1,0),"&gt;="&amp;$M54)),""))</f>
        <v/>
      </c>
      <c r="AG54" s="626" t="str" cm="1">
        <f t="array" aca="1" ref="AG54" ca="1">IF(OR($B54="",$N54=""),"",IFERROR(IF($C54="売",_xlfn.MINIFS(高値!$E$3:$IT$3,高値!$E$3:$IT$3,"&gt;"&amp;$E54,高値!$E$3:$IT$3,"&lt;="&amp;$AE54,OFFSET(高値!$E$6:$IT$6,MATCH(TEXT($B54,"0"),TEXT(銘柄管理!$B$6:$B$305,"0"),0)-1,0),"&gt;="&amp;$N54),_xlfn.MINIFS(安値!$E$3:$IT$3,安値!$E$3:$IT$3,"&gt;"&amp;$E54,安値!$E$3:$IT$3,"&lt;="&amp;$AE54,OFFSET(安値!$E$6:$IT$6,MATCH(TEXT($B54,"0"),TEXT(銘柄管理!$B$6:$B$305,"0"),0)-1,0),"&lt;="&amp;$N54)),""))</f>
        <v/>
      </c>
      <c r="AH54" s="600" t="str">
        <f>IF(OR($B54="",$M54=""),"",IF(AND(N($AF54)=0,N($AG54)=0),IF(AND(ISNUMBER($H54),$H54&gt;0,IF($C54="売",$H54&gt;=$N54,$H54&lt;=$N54)),"損切確定",IF(AND(ISNUMBER($H54),$H54&gt;0,IF($C54="売",$H54&lt;=$M54,$H54&gt;=$M54)),"利益確定",IF($AE54&lt;=TODAY(),"日数制限","保有中"))),IF(N($AG54)=0,"利益確定",IF(N($AF54)=0,"損切確定",IF($AG54&lt;=$AF54,"損切確定","利益確定")))))</f>
        <v/>
      </c>
      <c r="AI54" s="600" t="str" cm="1">
        <f t="array" ref="AI54">IFERROR(INDEX(始値!$E$6:$IT$305,MATCH(TEXT($B54,"0"),TEXT(銘柄管理!$B$6:$B$305,"0"),0),MATCH($AE54,始値!$E$3:$IT$3,0)),"")</f>
        <v/>
      </c>
      <c r="AJ54" s="905" t="str">
        <f>IF(OR($V54="",$F54="",$G54=""),"",$V54/($F54*$G54))</f>
        <v/>
      </c>
      <c r="AK54" s="629" t="str">
        <f>IF($V54="","",IF($V54&gt;0,"○勝",IF($V54&lt;0,"●負","△引分")))</f>
        <v/>
      </c>
      <c r="BB54" s="600" t="str">
        <f>IF(N(買抽出v13!$C54)=0,"",N(買抽出v13!$Q54)+N(買抽出v13!$L54)/1000-ROW()/1000000)</f>
        <v/>
      </c>
      <c r="BC54" s="600" t="str">
        <f>IF(N(売抽出v13!$C54)=0,"",N(売抽出v13!$Q54)+IFERROR(VALUE(SUBSTITUTE(売抽出v13!$L54,"倍","")),0)/1000-ROW()/1000000)</f>
        <v/>
      </c>
    </row>
    <row r="55" spans="1:55" ht="35.4" customHeight="1">
      <c r="A55" s="619" t="str">
        <f>IF(B55="","",HYPERLINK("https://kabutan.jp/stock/?code="&amp;B55,"株探"))</f>
        <v>株探</v>
      </c>
      <c r="B55" s="630">
        <v>3436</v>
      </c>
      <c r="C55" s="490" t="s">
        <v>999</v>
      </c>
      <c r="D55" s="623" t="str" cm="1">
        <f t="array" ref="D55">IF($B55="","",_xll.RssMarket($B55,"銘柄名称"))</f>
        <v>ＳＵＭＣＯ</v>
      </c>
      <c r="E55" s="739">
        <v>46241</v>
      </c>
      <c r="F55" s="698" t="str" cm="1">
        <f t="array" aca="1" ref="F55" ca="1">IFERROR(_xlfn.LET(_xlpm.r,MATCH(TEXT($B55,"0"),TEXT(銘柄管理!$B$6:$B$305,"0"),0),_xlpm.t,MOD(NOW(),1),_xlpm.c,IF($E55=TODAY(),IF(_xlpm.t&gt;=TIME(15,30,0),NA(),1),IF(MATCH($E55,始値!$E$3:$IT$3,0)=1,1,MATCH($E55,始値!$E$3:$IT$3,0)+1)),_xlpm.v,INDEX(始値!$C$6:$IT$305,_xlpm.r,_xlpm.c),IF(N(_xlpm.v)=0,"",_xlpm.v)),"")</f>
        <v/>
      </c>
      <c r="G55" s="631">
        <v>100</v>
      </c>
      <c r="H55" s="491" cm="1">
        <f t="array" ref="H55">IF($B55="","",_xll.RssMarket($B55,"現在値"))</f>
        <v>3544</v>
      </c>
      <c r="I55" s="491" cm="1">
        <f t="array" ref="I55">IF($B55="","",_xll.RssMarket($B55,"出来高加重平均"))</f>
        <v>3561.9886999999999</v>
      </c>
      <c r="J55" s="701" cm="1">
        <f t="array" ref="J55">IF($B55="","",_xll.RssMarket($B55,"前日比"))</f>
        <v>-212</v>
      </c>
      <c r="K55" s="701" t="str">
        <f>IF(OR(F55="",G55="",H55=""),"",IF(C55="売",(F55-H55)*G55,(H55-F55)*G55))</f>
        <v/>
      </c>
      <c r="L55" s="706" t="str">
        <f>IF(OR(F55="",H55=""),"",IF(C55="売",(F55-H55)/F55,(H55-F55)/F55))</f>
        <v/>
      </c>
      <c r="M55" s="491" t="str">
        <f>IF($F55="","",$F55*IF($C55="売",1-V811設定!$B$4,1+V811設定!$B$4)-MOD($F55*IF($C55="売",1-V811設定!$B$4,1+V811設定!$B$4),IF($F55&lt;=3000,1,IF($F55&lt;=5000,5,IF($F55&lt;=30000,10,IF($F55&lt;=50000,50,IF($F55&lt;=300000,100,500))))))+IF(AND($C55="売",MOD($F55*IF($C55="売",1-V811設定!$B$4,1+V811設定!$B$4),IF($F55&lt;=3000,1,IF($F55&lt;=5000,5,IF($F55&lt;=30000,10,IF($F55&lt;=50000,50,IF($F55&lt;=300000,100,500))))))&gt;0),IF($F55&lt;=3000,1,IF($F55&lt;=5000,5,IF($F55&lt;=30000,10,IF($F55&lt;=50000,50,IF($F55&lt;=300000,100,500))))),0))</f>
      </c>
      <c r="N55" s="491" t="str">
        <f>IF($F55="","",$F55*IF($C55="売",1+V811設定!$B$3,1-V811設定!$B$3)-MOD($F55*IF($C55="売",1+V811設定!$B$3,1-V811設定!$B$3),IF($F55&lt;=3000,1,IF($F55&lt;=5000,5,IF($F55&lt;=30000,10,IF($F55&lt;=50000,50,IF($F55&lt;=300000,100,500))))))+IF(AND($C55="売",MOD($F55*IF($C55="売",1+V811設定!$B$3,1-V811設定!$B$3),IF($F55&lt;=3000,1,IF($F55&lt;=5000,5,IF($F55&lt;=30000,10,IF($F55&lt;=50000,50,IF($F55&lt;=300000,100,500))))))&gt;0),IF($F55&lt;=3000,1,IF($F55&lt;=5000,5,IF($F55&lt;=30000,10,IF($F55&lt;=50000,50,IF($F55&lt;=300000,100,500))))),0))</f>
      </c>
      <c r="O55" s="492" t="str">
        <f>IF(OR($B55="",$F55="",$H55=""),"",IF($S55="✅売却済","―決済済―",IF($C55="売",IF($H55&lt;=$M55,"🟢利確",IF(AND($R55&lt;&gt;"",$H55&gt;=$R55),"🟠TRAIL",IF($H55&gt;=$N55,"🔴損切",IF($W55&gt;=V811設定!$B$6,"⏱時間決済",IF($H55&gt;=$F55*(1+V811設定!$B$3*0.7),"⚠️損切接近","保持継続"))))),IF($H55&gt;=$M55,"🟢利確",IF(AND($R55&lt;&gt;"",$H55&lt;=$R55),"🟠TRAIL",IF($H55&lt;=$N55,"🔴損切",IF($W55&gt;=V811設定!$B$6,"⏱時間決済",IF($H55&lt;=$F55*(1-V811設定!$B$3*0.7),"⚠️損切接近","保持継続"))))))))</f>
      </c>
      <c r="P55" s="491"/>
      <c r="Q55" s="491"/>
      <c r="R55" s="491" t="str">
        <f>IF(OR($F55="",$H55="",$N55=""),"",IF($S55="✅売却済","",IF($C55="売",IF($H55&gt;$F55*(1-V811設定!$B$3),$N55,MIN($N55,IF($Q55="",$N55,$Q55*1.03))),IF($H55&lt;$F55*(1+V811設定!$B$3),$N55,MAX($N55,IF($P55="",$N55,$P55*0.97))))))</f>
      </c>
      <c r="S55" s="586" t="str">
        <f>IF(B55="","",IF(T55&lt;&gt;"","✅売却済",IF(OR(H55="",L55=""),"📌保有中",IF(L55&gt;=0.06,"🟢利確推奨",IF(L55&gt;=0.05,"🟡利確直近",IF(L55&gt;=0.045,"🔵トレーリング検討",IF(L55&gt;-0.03,"📌保有中",IF(L55&gt;-0.04,"⚠️損切注意","🔴損切り"))))))))</f>
        <v>📌保有中</v>
      </c>
      <c r="T55" s="594"/>
      <c r="U55" s="491"/>
      <c r="V55" s="701" t="str">
        <f>IF(OR(F55="",G55="",U55=""),"",IF(C55="売",(F55-U55)*G55,(U55-F55)*G55))</f>
        <v/>
      </c>
      <c r="W55" s="493">
        <f>IF(OR($E55="",$B55=""),"",IF($T55&lt;&gt;"",$T55-$E55,TODAY()-$E55)+1)</f>
        <v>0</v>
      </c>
      <c r="X55" s="489" t="str">
        <f>IF(OR($AH55="",$AH55="保有中"),"",$AH55)</f>
        <v/>
      </c>
      <c r="Y55" s="488"/>
      <c r="Z55" s="710">
        <v>17</v>
      </c>
      <c r="AD55" s="608" t="s">
        <v>1323</v>
      </c>
      <c r="AE55" s="624">
        <f>IF($E55="","",WORKDAY($E55,12))</f>
        <v>46259</v>
      </c>
      <c r="AF55" s="626" t="str" cm="1">
        <f t="array" aca="1" ref="AF55" ca="1">IF(OR($B55="",$M55=""),"",IFERROR(IF($C55="売",_xlfn.MINIFS(安値!$E$3:$IT$3,安値!$E$3:$IT$3,"&gt;"&amp;$E55,安値!$E$3:$IT$3,"&lt;="&amp;$AE55,OFFSET(安値!$E$6:$IT$6,MATCH(TEXT($B55,"0"),TEXT(銘柄管理!$B$6:$B$305,"0"),0)-1,0),"&lt;="&amp;$M55),_xlfn.MINIFS(高値!$E$3:$IT$3,高値!$E$3:$IT$3,"&gt;"&amp;$E55,高値!$E$3:$IT$3,"&lt;="&amp;$AE55,OFFSET(高値!$E$6:$IT$6,MATCH(TEXT($B55,"0"),TEXT(銘柄管理!$B$6:$B$305,"0"),0)-1,0),"&gt;="&amp;$M55)),""))</f>
        <v/>
      </c>
      <c r="AG55" s="626" t="str" cm="1">
        <f t="array" aca="1" ref="AG55" ca="1">IF(OR($B55="",$N55=""),"",IFERROR(IF($C55="売",_xlfn.MINIFS(高値!$E$3:$IT$3,高値!$E$3:$IT$3,"&gt;"&amp;$E55,高値!$E$3:$IT$3,"&lt;="&amp;$AE55,OFFSET(高値!$E$6:$IT$6,MATCH(TEXT($B55,"0"),TEXT(銘柄管理!$B$6:$B$305,"0"),0)-1,0),"&gt;="&amp;$N55),_xlfn.MINIFS(安値!$E$3:$IT$3,安値!$E$3:$IT$3,"&gt;"&amp;$E55,安値!$E$3:$IT$3,"&lt;="&amp;$AE55,OFFSET(安値!$E$6:$IT$6,MATCH(TEXT($B55,"0"),TEXT(銘柄管理!$B$6:$B$305,"0"),0)-1,0),"&lt;="&amp;$N55)),""))</f>
        <v/>
      </c>
      <c r="AH55" s="600" t="str">
        <f>IF(OR($B55="",$M55=""),"",IF(AND(N($AF55)=0,N($AG55)=0),IF(AND(ISNUMBER($H55),$H55&gt;0,IF($C55="売",$H55&gt;=$N55,$H55&lt;=$N55)),"損切確定",IF(AND(ISNUMBER($H55),$H55&gt;0,IF($C55="売",$H55&lt;=$M55,$H55&gt;=$M55)),"利益確定",IF($AE55&lt;=TODAY(),"日数制限","保有中"))),IF(N($AG55)=0,"利益確定",IF(N($AF55)=0,"損切確定",IF($AG55&lt;=$AF55,"損切確定","利益確定")))))</f>
        <v/>
      </c>
      <c r="AI55" s="600" t="str" cm="1">
        <f t="array" ref="AI55">IFERROR(INDEX(始値!$E$6:$IT$305,MATCH(TEXT($B55,"0"),TEXT(銘柄管理!$B$6:$B$305,"0"),0),MATCH($AE55,始値!$E$3:$IT$3,0)),"")</f>
        <v/>
      </c>
      <c r="AJ55" s="905" t="str">
        <f>IF(OR($V55="",$F55="",$G55=""),"",$V55/($F55*$G55))</f>
        <v/>
      </c>
      <c r="AK55" s="629" t="str">
        <f>IF($V55="","",IF($V55&gt;0,"○勝",IF($V55&lt;0,"●負","△引分")))</f>
        <v/>
      </c>
      <c r="BB55" s="600" t="str">
        <f>IF(N(買抽出v13!$C55)=0,"",N(買抽出v13!$Q55)+N(買抽出v13!$L55)/1000-ROW()/1000000)</f>
        <v/>
      </c>
      <c r="BC55" s="600" t="str">
        <f>IF(N(売抽出v13!$C55)=0,"",N(売抽出v13!$Q55)+IFERROR(VALUE(SUBSTITUTE(売抽出v13!$L55,"倍","")),0)/1000-ROW()/1000000)</f>
        <v/>
      </c>
    </row>
    <row r="56" spans="1:55" ht="35.4" customHeight="1">
      <c r="A56" s="619" t="str">
        <f>IF(B56="","",HYPERLINK("https://kabutan.jp/stock/?code="&amp;B56,"株探"))</f>
        <v>株探</v>
      </c>
      <c r="B56" s="630">
        <v>6479</v>
      </c>
      <c r="C56" s="490" t="s">
        <v>999</v>
      </c>
      <c r="D56" s="623" t="str" cm="1">
        <f t="array" ref="D56">IF($B56="","",_xll.RssMarket($B56,"銘柄名称"))</f>
        <v>ミネベアミツミ</v>
      </c>
      <c r="E56" s="739">
        <v>46241</v>
      </c>
      <c r="F56" s="698" t="str" cm="1">
        <f t="array" aca="1" ref="F56" ca="1">IFERROR(_xlfn.LET(_xlpm.r,MATCH(TEXT($B56,"0"),TEXT(銘柄管理!$B$6:$B$305,"0"),0),_xlpm.t,MOD(NOW(),1),_xlpm.c,IF($E56=TODAY(),IF(_xlpm.t&gt;=TIME(15,30,0),NA(),1),IF(MATCH($E56,始値!$E$3:$IT$3,0)=1,1,MATCH($E56,始値!$E$3:$IT$3,0)+1)),_xlpm.v,INDEX(始値!$C$6:$IT$305,_xlpm.r,_xlpm.c),IF(N(_xlpm.v)=0,"",_xlpm.v)),"")</f>
        <v/>
      </c>
      <c r="G56" s="631">
        <v>100</v>
      </c>
      <c r="H56" s="491" cm="1">
        <f t="array" ref="H56">IF($B56="","",_xll.RssMarket($B56,"現在値"))</f>
        <v>3736</v>
      </c>
      <c r="I56" s="491" cm="1">
        <f t="array" ref="I56">IF($B56="","",_xll.RssMarket($B56,"出来高加重平均"))</f>
        <v>3766.7887999999998</v>
      </c>
      <c r="J56" s="701" cm="1">
        <f t="array" ref="J56">IF($B56="","",_xll.RssMarket($B56,"前日比"))</f>
        <v>-360</v>
      </c>
      <c r="K56" s="701" t="str">
        <f>IF(OR(F56="",G56="",H56=""),"",IF(C56="売",(F56-H56)*G56,(H56-F56)*G56))</f>
        <v/>
      </c>
      <c r="L56" s="706" t="str">
        <f>IF(OR(F56="",H56=""),"",IF(C56="売",(F56-H56)/F56,(H56-F56)/F56))</f>
        <v/>
      </c>
      <c r="M56" s="491" t="str">
        <f>IF($F56="","",$F56*IF($C56="売",1-V811設定!$B$4,1+V811設定!$B$4)-MOD($F56*IF($C56="売",1-V811設定!$B$4,1+V811設定!$B$4),IF($F56&lt;=3000,1,IF($F56&lt;=5000,5,IF($F56&lt;=30000,10,IF($F56&lt;=50000,50,IF($F56&lt;=300000,100,500))))))+IF(AND($C56="売",MOD($F56*IF($C56="売",1-V811設定!$B$4,1+V811設定!$B$4),IF($F56&lt;=3000,1,IF($F56&lt;=5000,5,IF($F56&lt;=30000,10,IF($F56&lt;=50000,50,IF($F56&lt;=300000,100,500))))))&gt;0),IF($F56&lt;=3000,1,IF($F56&lt;=5000,5,IF($F56&lt;=30000,10,IF($F56&lt;=50000,50,IF($F56&lt;=300000,100,500))))),0))</f>
      </c>
      <c r="N56" s="491" t="str">
        <f>IF($F56="","",$F56*IF($C56="売",1+V811設定!$B$3,1-V811設定!$B$3)-MOD($F56*IF($C56="売",1+V811設定!$B$3,1-V811設定!$B$3),IF($F56&lt;=3000,1,IF($F56&lt;=5000,5,IF($F56&lt;=30000,10,IF($F56&lt;=50000,50,IF($F56&lt;=300000,100,500))))))+IF(AND($C56="売",MOD($F56*IF($C56="売",1+V811設定!$B$3,1-V811設定!$B$3),IF($F56&lt;=3000,1,IF($F56&lt;=5000,5,IF($F56&lt;=30000,10,IF($F56&lt;=50000,50,IF($F56&lt;=300000,100,500))))))&gt;0),IF($F56&lt;=3000,1,IF($F56&lt;=5000,5,IF($F56&lt;=30000,10,IF($F56&lt;=50000,50,IF($F56&lt;=300000,100,500))))),0))</f>
      </c>
      <c r="O56" s="492" t="str">
        <f>IF(OR($B56="",$F56="",$H56=""),"",IF($S56="✅売却済","―決済済―",IF($C56="売",IF($H56&lt;=$M56,"🟢利確",IF(AND($R56&lt;&gt;"",$H56&gt;=$R56),"🟠TRAIL",IF($H56&gt;=$N56,"🔴損切",IF($W56&gt;=V811設定!$B$6,"⏱時間決済",IF($H56&gt;=$F56*(1+V811設定!$B$3*0.7),"⚠️損切接近","保持継続"))))),IF($H56&gt;=$M56,"🟢利確",IF(AND($R56&lt;&gt;"",$H56&lt;=$R56),"🟠TRAIL",IF($H56&lt;=$N56,"🔴損切",IF($W56&gt;=V811設定!$B$6,"⏱時間決済",IF($H56&lt;=$F56*(1-V811設定!$B$3*0.7),"⚠️損切接近","保持継続"))))))))</f>
      </c>
      <c r="P56" s="491"/>
      <c r="Q56" s="491"/>
      <c r="R56" s="491" t="str">
        <f>IF(OR($F56="",$H56="",$N56=""),"",IF($S56="✅売却済","",IF($C56="売",IF($H56&gt;$F56*(1-V811設定!$B$3),$N56,MIN($N56,IF($Q56="",$N56,$Q56*1.03))),IF($H56&lt;$F56*(1+V811設定!$B$3),$N56,MAX($N56,IF($P56="",$N56,$P56*0.97))))))</f>
      </c>
      <c r="S56" s="586" t="str">
        <f>IF(B56="","",IF(T56&lt;&gt;"","✅売却済",IF(OR(H56="",L56=""),"📌保有中",IF(L56&gt;=0.06,"🟢利確推奨",IF(L56&gt;=0.05,"🟡利確直近",IF(L56&gt;=0.045,"🔵トレーリング検討",IF(L56&gt;-0.03,"📌保有中",IF(L56&gt;-0.04,"⚠️損切注意","🔴損切り"))))))))</f>
        <v>📌保有中</v>
      </c>
      <c r="T56" s="594"/>
      <c r="U56" s="491"/>
      <c r="V56" s="701" t="str">
        <f>IF(OR(F56="",G56="",U56=""),"",IF(C56="売",(F56-U56)*G56,(U56-F56)*G56))</f>
        <v/>
      </c>
      <c r="W56" s="493">
        <f>IF(OR($E56="",$B56=""),"",IF($T56&lt;&gt;"",$T56-$E56,TODAY()-$E56)+1)</f>
        <v>0</v>
      </c>
      <c r="X56" s="489" t="str">
        <f>IF(OR($AH56="",$AH56="保有中"),"",$AH56)</f>
        <v/>
      </c>
      <c r="Y56" s="488"/>
      <c r="Z56" s="710">
        <v>15</v>
      </c>
      <c r="AD56" s="608" t="s">
        <v>1323</v>
      </c>
      <c r="AE56" s="624">
        <f>IF($E56="","",WORKDAY($E56,12))</f>
        <v>46259</v>
      </c>
      <c r="AF56" s="626" t="str" cm="1">
        <f t="array" aca="1" ref="AF56" ca="1">IF(OR($B56="",$M56=""),"",IFERROR(IF($C56="売",_xlfn.MINIFS(安値!$E$3:$IT$3,安値!$E$3:$IT$3,"&gt;"&amp;$E56,安値!$E$3:$IT$3,"&lt;="&amp;$AE56,OFFSET(安値!$E$6:$IT$6,MATCH(TEXT($B56,"0"),TEXT(銘柄管理!$B$6:$B$305,"0"),0)-1,0),"&lt;="&amp;$M56),_xlfn.MINIFS(高値!$E$3:$IT$3,高値!$E$3:$IT$3,"&gt;"&amp;$E56,高値!$E$3:$IT$3,"&lt;="&amp;$AE56,OFFSET(高値!$E$6:$IT$6,MATCH(TEXT($B56,"0"),TEXT(銘柄管理!$B$6:$B$305,"0"),0)-1,0),"&gt;="&amp;$M56)),""))</f>
        <v/>
      </c>
      <c r="AG56" s="626" t="str" cm="1">
        <f t="array" aca="1" ref="AG56" ca="1">IF(OR($B56="",$N56=""),"",IFERROR(IF($C56="売",_xlfn.MINIFS(高値!$E$3:$IT$3,高値!$E$3:$IT$3,"&gt;"&amp;$E56,高値!$E$3:$IT$3,"&lt;="&amp;$AE56,OFFSET(高値!$E$6:$IT$6,MATCH(TEXT($B56,"0"),TEXT(銘柄管理!$B$6:$B$305,"0"),0)-1,0),"&gt;="&amp;$N56),_xlfn.MINIFS(安値!$E$3:$IT$3,安値!$E$3:$IT$3,"&gt;"&amp;$E56,安値!$E$3:$IT$3,"&lt;="&amp;$AE56,OFFSET(安値!$E$6:$IT$6,MATCH(TEXT($B56,"0"),TEXT(銘柄管理!$B$6:$B$305,"0"),0)-1,0),"&lt;="&amp;$N56)),""))</f>
        <v/>
      </c>
      <c r="AH56" s="600" t="str">
        <f>IF(OR($B56="",$M56=""),"",IF(AND(N($AF56)=0,N($AG56)=0),IF(AND(ISNUMBER($H56),$H56&gt;0,IF($C56="売",$H56&gt;=$N56,$H56&lt;=$N56)),"損切確定",IF(AND(ISNUMBER($H56),$H56&gt;0,IF($C56="売",$H56&lt;=$M56,$H56&gt;=$M56)),"利益確定",IF($AE56&lt;=TODAY(),"日数制限","保有中"))),IF(N($AG56)=0,"利益確定",IF(N($AF56)=0,"損切確定",IF($AG56&lt;=$AF56,"損切確定","利益確定")))))</f>
        <v/>
      </c>
      <c r="AI56" s="600" t="str" cm="1">
        <f t="array" ref="AI56">IFERROR(INDEX(始値!$E$6:$IT$305,MATCH(TEXT($B56,"0"),TEXT(銘柄管理!$B$6:$B$305,"0"),0),MATCH($AE56,始値!$E$3:$IT$3,0)),"")</f>
        <v/>
      </c>
      <c r="AJ56" s="905" t="str">
        <f>IF(OR($V56="",$F56="",$G56=""),"",$V56/($F56*$G56))</f>
        <v/>
      </c>
      <c r="AK56" s="629" t="str">
        <f>IF($V56="","",IF($V56&gt;0,"○勝",IF($V56&lt;0,"●負","△引分")))</f>
        <v/>
      </c>
      <c r="AL56" s="488" t="s">
        <v>1287</v>
      </c>
      <c r="BB56" s="600" t="str">
        <f>IF(N(買抽出v13!$C56)=0,"",N(買抽出v13!$Q56)+N(買抽出v13!$L56)/1000-ROW()/1000000)</f>
        <v/>
      </c>
      <c r="BC56" s="600" t="str">
        <f>IF(N(売抽出v13!$C56)=0,"",N(売抽出v13!$Q56)+IFERROR(VALUE(SUBSTITUTE(売抽出v13!$L56,"倍","")),0)/1000-ROW()/1000000)</f>
        <v/>
      </c>
    </row>
    <row r="57" spans="1:55" ht="35.4" customHeight="1">
      <c r="A57" s="619" t="str">
        <f>IF(B57="","",HYPERLINK("https://kabutan.jp/stock/?code="&amp;B57,"株探"))</f>
        <v>株探</v>
      </c>
      <c r="B57" s="630">
        <v>3402</v>
      </c>
      <c r="C57" s="490" t="s">
        <v>998</v>
      </c>
      <c r="D57" s="623" t="str" cm="1">
        <f t="array" ref="D57">IF($B57="","",_xll.RssMarket($B57,"銘柄名称"))</f>
        <v>東レ</v>
      </c>
      <c r="E57" s="739">
        <v>46241</v>
      </c>
      <c r="F57" s="698" t="str" cm="1">
        <f t="array" aca="1" ref="F57" ca="1">IFERROR(_xlfn.LET(_xlpm.r,MATCH(TEXT($B57,"0"),TEXT(銘柄管理!$B$6:$B$305,"0"),0),_xlpm.t,MOD(NOW(),1),_xlpm.c,IF($E57=TODAY(),IF(_xlpm.t&gt;=TIME(15,30,0),NA(),1),IF(MATCH($E57,始値!$E$3:$IT$3,0)=1,1,MATCH($E57,始値!$E$3:$IT$3,0)+1)),_xlpm.v,INDEX(始値!$C$6:$IT$305,_xlpm.r,_xlpm.c),IF(N(_xlpm.v)=0,"",_xlpm.v)),"")</f>
        <v/>
      </c>
      <c r="G57" s="631">
        <v>100</v>
      </c>
      <c r="H57" s="491" cm="1">
        <f t="array" ref="H57">IF($B57="","",_xll.RssMarket($B57,"現在値"))</f>
        <v>1299.5</v>
      </c>
      <c r="I57" s="491" cm="1">
        <f t="array" ref="I57">IF($B57="","",_xll.RssMarket($B57,"出来高加重平均"))</f>
        <v>1250.9273000000001</v>
      </c>
      <c r="J57" s="701" cm="1">
        <f t="array" ref="J57">IF($B57="","",_xll.RssMarket($B57,"前日比"))</f>
        <v>111</v>
      </c>
      <c r="K57" s="701" t="str">
        <f>IF(OR(F57="",G57="",H57=""),"",IF(C57="売",(F57-H57)*G57,(H57-F57)*G57))</f>
        <v/>
      </c>
      <c r="L57" s="706" t="str">
        <f>IF(OR(F57="",H57=""),"",IF(C57="売",(F57-H57)/F57,(H57-F57)/F57))</f>
        <v/>
      </c>
      <c r="M57" s="491" t="str">
        <f>IF($F57="","",$F57*IF($C57="売",1-V811設定!$B$4,1+V811設定!$B$4)-MOD($F57*IF($C57="売",1-V811設定!$B$4,1+V811設定!$B$4),IF($F57&lt;=3000,1,IF($F57&lt;=5000,5,IF($F57&lt;=30000,10,IF($F57&lt;=50000,50,IF($F57&lt;=300000,100,500))))))+IF(AND($C57="売",MOD($F57*IF($C57="売",1-V811設定!$B$4,1+V811設定!$B$4),IF($F57&lt;=3000,1,IF($F57&lt;=5000,5,IF($F57&lt;=30000,10,IF($F57&lt;=50000,50,IF($F57&lt;=300000,100,500))))))&gt;0),IF($F57&lt;=3000,1,IF($F57&lt;=5000,5,IF($F57&lt;=30000,10,IF($F57&lt;=50000,50,IF($F57&lt;=300000,100,500))))),0))</f>
      </c>
      <c r="N57" s="491" t="str">
        <f>IF($F57="","",$F57*IF($C57="売",1+V811設定!$B$3,1-V811設定!$B$3)-MOD($F57*IF($C57="売",1+V811設定!$B$3,1-V811設定!$B$3),IF($F57&lt;=3000,1,IF($F57&lt;=5000,5,IF($F57&lt;=30000,10,IF($F57&lt;=50000,50,IF($F57&lt;=300000,100,500))))))+IF(AND($C57="売",MOD($F57*IF($C57="売",1+V811設定!$B$3,1-V811設定!$B$3),IF($F57&lt;=3000,1,IF($F57&lt;=5000,5,IF($F57&lt;=30000,10,IF($F57&lt;=50000,50,IF($F57&lt;=300000,100,500))))))&gt;0),IF($F57&lt;=3000,1,IF($F57&lt;=5000,5,IF($F57&lt;=30000,10,IF($F57&lt;=50000,50,IF($F57&lt;=300000,100,500))))),0))</f>
      </c>
      <c r="O57" s="492" t="str">
        <f>IF(OR($B57="",$F57="",$H57=""),"",IF($S57="✅売却済","―決済済―",IF($C57="売",IF($H57&lt;=$M57,"🟢利確",IF(AND($R57&lt;&gt;"",$H57&gt;=$R57),"🟠TRAIL",IF($H57&gt;=$N57,"🔴損切",IF($W57&gt;=V811設定!$B$6,"⏱時間決済",IF($H57&gt;=$F57*(1+V811設定!$B$3*0.7),"⚠️損切接近","保持継続"))))),IF($H57&gt;=$M57,"🟢利確",IF(AND($R57&lt;&gt;"",$H57&lt;=$R57),"🟠TRAIL",IF($H57&lt;=$N57,"🔴損切",IF($W57&gt;=V811設定!$B$6,"⏱時間決済",IF($H57&lt;=$F57*(1-V811設定!$B$3*0.7),"⚠️損切接近","保持継続"))))))))</f>
      </c>
      <c r="P57" s="491"/>
      <c r="Q57" s="491"/>
      <c r="R57" s="491" t="str">
        <f>IF(OR($F57="",$H57="",$N57=""),"",IF($S57="✅売却済","",IF($C57="売",IF($H57&gt;$F57*(1-V811設定!$B$3),$N57,MIN($N57,IF($Q57="",$N57,$Q57*1.03))),IF($H57&lt;$F57*(1+V811設定!$B$3),$N57,MAX($N57,IF($P57="",$N57,$P57*0.97))))))</f>
      </c>
      <c r="S57" s="586" t="str">
        <f>IF(B57="","",IF(T57&lt;&gt;"","✅売却済",IF(OR(H57="",L57=""),"📌保有中",IF(L57&gt;=0.06,"🟢利確推奨",IF(L57&gt;=0.05,"🟡利確直近",IF(L57&gt;=0.045,"🔵トレーリング検討",IF(L57&gt;-0.03,"📌保有中",IF(L57&gt;-0.04,"⚠️損切注意","🔴損切り"))))))))</f>
        <v>📌保有中</v>
      </c>
      <c r="T57" s="594"/>
      <c r="U57" s="491"/>
      <c r="V57" s="701" t="str">
        <f>IF(OR(F57="",G57="",U57=""),"",IF(C57="売",(F57-U57)*G57,(U57-F57)*G57))</f>
        <v/>
      </c>
      <c r="W57" s="493">
        <f>IF(OR($E57="",$B57=""),"",IF($T57&lt;&gt;"",$T57-$E57,TODAY()-$E57)+1)</f>
        <v>0</v>
      </c>
      <c r="X57" s="489" t="str">
        <f>IF(OR($AH57="",$AH57="保有中"),"",$AH57)</f>
        <v/>
      </c>
      <c r="Y57" s="488"/>
      <c r="Z57" s="710">
        <v>18</v>
      </c>
      <c r="AD57" s="608" t="s">
        <v>1324</v>
      </c>
      <c r="AE57" s="624">
        <f>IF($E57="","",WORKDAY($E57,12))</f>
        <v>46259</v>
      </c>
      <c r="AF57" s="626" t="str" cm="1">
        <f t="array" aca="1" ref="AF57" ca="1">IF(OR($B57="",$M57=""),"",IFERROR(IF($C57="売",_xlfn.MINIFS(安値!$E$3:$IT$3,安値!$E$3:$IT$3,"&gt;"&amp;$E57,安値!$E$3:$IT$3,"&lt;="&amp;$AE57,OFFSET(安値!$E$6:$IT$6,MATCH(TEXT($B57,"0"),TEXT(銘柄管理!$B$6:$B$305,"0"),0)-1,0),"&lt;="&amp;$M57),_xlfn.MINIFS(高値!$E$3:$IT$3,高値!$E$3:$IT$3,"&gt;"&amp;$E57,高値!$E$3:$IT$3,"&lt;="&amp;$AE57,OFFSET(高値!$E$6:$IT$6,MATCH(TEXT($B57,"0"),TEXT(銘柄管理!$B$6:$B$305,"0"),0)-1,0),"&gt;="&amp;$M57)),""))</f>
        <v/>
      </c>
      <c r="AG57" s="626" t="str" cm="1">
        <f t="array" aca="1" ref="AG57" ca="1">IF(OR($B57="",$N57=""),"",IFERROR(IF($C57="売",_xlfn.MINIFS(高値!$E$3:$IT$3,高値!$E$3:$IT$3,"&gt;"&amp;$E57,高値!$E$3:$IT$3,"&lt;="&amp;$AE57,OFFSET(高値!$E$6:$IT$6,MATCH(TEXT($B57,"0"),TEXT(銘柄管理!$B$6:$B$305,"0"),0)-1,0),"&gt;="&amp;$N57),_xlfn.MINIFS(安値!$E$3:$IT$3,安値!$E$3:$IT$3,"&gt;"&amp;$E57,安値!$E$3:$IT$3,"&lt;="&amp;$AE57,OFFSET(安値!$E$6:$IT$6,MATCH(TEXT($B57,"0"),TEXT(銘柄管理!$B$6:$B$305,"0"),0)-1,0),"&lt;="&amp;$N57)),""))</f>
        <v/>
      </c>
      <c r="AH57" s="600" t="str">
        <f>IF(OR($B57="",$M57=""),"",IF(AND(N($AF57)=0,N($AG57)=0),IF(AND(ISNUMBER($H57),$H57&gt;0,IF($C57="売",$H57&gt;=$N57,$H57&lt;=$N57)),"損切確定",IF(AND(ISNUMBER($H57),$H57&gt;0,IF($C57="売",$H57&lt;=$M57,$H57&gt;=$M57)),"利益確定",IF($AE57&lt;=TODAY(),"日数制限","保有中"))),IF(N($AG57)=0,"利益確定",IF(N($AF57)=0,"損切確定",IF($AG57&lt;=$AF57,"損切確定","利益確定")))))</f>
        <v/>
      </c>
      <c r="AI57" s="600" t="str" cm="1">
        <f t="array" ref="AI57">IFERROR(INDEX(始値!$E$6:$IT$305,MATCH(TEXT($B57,"0"),TEXT(銘柄管理!$B$6:$B$305,"0"),0),MATCH($AE57,始値!$E$3:$IT$3,0)),"")</f>
        <v/>
      </c>
      <c r="AJ57" s="905" t="str">
        <f>IF(OR($V57="",$F57="",$G57=""),"",$V57/($F57*$G57))</f>
        <v/>
      </c>
      <c r="AK57" s="629" t="str">
        <f>IF($V57="","",IF($V57&gt;0,"○勝",IF($V57&lt;0,"●負","△引分")))</f>
        <v/>
      </c>
      <c r="AL57" s="609" t="s">
        <v>1288</v>
      </c>
      <c r="BB57" s="600" t="str">
        <f>IF(N(買抽出v13!$C57)=0,"",N(買抽出v13!$Q57)+N(買抽出v13!$L57)/1000-ROW()/1000000)</f>
        <v/>
      </c>
      <c r="BC57" s="600" t="str">
        <f>IF(N(売抽出v13!$C57)=0,"",N(売抽出v13!$Q57)+IFERROR(VALUE(SUBSTITUTE(売抽出v13!$L57,"倍","")),0)/1000-ROW()/1000000)</f>
        <v/>
      </c>
    </row>
    <row r="58" spans="1:55" ht="35.4" customHeight="1">
      <c r="A58" s="619" t="str">
        <f>IF(B58="","",HYPERLINK("https://kabutan.jp/stock/?code="&amp;B58,"株探"))</f>
        <v>株探</v>
      </c>
      <c r="B58" s="630">
        <v>7711</v>
      </c>
      <c r="C58" s="490" t="s">
        <v>999</v>
      </c>
      <c r="D58" s="623" t="str" cm="1">
        <f t="array" ref="D58">IF($B58="","",_xll.RssMarket($B58,"銘柄名称"))</f>
        <v>助川電気工業</v>
      </c>
      <c r="E58" s="739">
        <v>46241</v>
      </c>
      <c r="F58" s="698" t="str" cm="1">
        <f t="array" aca="1" ref="F58" ca="1">IFERROR(_xlfn.LET(_xlpm.r,MATCH(TEXT($B58,"0"),TEXT(銘柄管理!$B$6:$B$305,"0"),0),_xlpm.t,MOD(NOW(),1),_xlpm.c,IF($E58=TODAY(),IF(_xlpm.t&gt;=TIME(15,30,0),NA(),1),IF(MATCH($E58,始値!$E$3:$IT$3,0)=1,1,MATCH($E58,始値!$E$3:$IT$3,0)+1)),_xlpm.v,INDEX(始値!$C$6:$IT$305,_xlpm.r,_xlpm.c),IF(N(_xlpm.v)=0,"",_xlpm.v)),"")</f>
        <v/>
      </c>
      <c r="G58" s="631">
        <v>100</v>
      </c>
      <c r="H58" s="491" cm="1">
        <f t="array" ref="H58">IF($B58="","",_xll.RssMarket($B58,"現在値"))</f>
        <v>4500</v>
      </c>
      <c r="I58" s="491" cm="1">
        <f t="array" ref="I58">IF($B58="","",_xll.RssMarket($B58,"出来高加重平均"))</f>
        <v>4687.9276</v>
      </c>
      <c r="J58" s="701" cm="1">
        <f t="array" ref="J58">IF($B58="","",_xll.RssMarket($B58,"前日比"))</f>
        <v>-120</v>
      </c>
      <c r="K58" s="701" t="str">
        <f>IF(OR(F58="",G58="",H58=""),"",IF(C58="売",(F58-H58)*G58,(H58-F58)*G58))</f>
        <v/>
      </c>
      <c r="L58" s="706" t="str">
        <f>IF(OR(F58="",H58=""),"",IF(C58="売",(F58-H58)/F58,(H58-F58)/F58))</f>
        <v/>
      </c>
      <c r="M58" s="491" t="str">
        <f>IF($F58="","",$F58*IF($C58="売",1-V811設定!$B$4,1+V811設定!$B$4)-MOD($F58*IF($C58="売",1-V811設定!$B$4,1+V811設定!$B$4),IF($F58&lt;=3000,1,IF($F58&lt;=5000,5,IF($F58&lt;=30000,10,IF($F58&lt;=50000,50,IF($F58&lt;=300000,100,500))))))+IF(AND($C58="売",MOD($F58*IF($C58="売",1-V811設定!$B$4,1+V811設定!$B$4),IF($F58&lt;=3000,1,IF($F58&lt;=5000,5,IF($F58&lt;=30000,10,IF($F58&lt;=50000,50,IF($F58&lt;=300000,100,500))))))&gt;0),IF($F58&lt;=3000,1,IF($F58&lt;=5000,5,IF($F58&lt;=30000,10,IF($F58&lt;=50000,50,IF($F58&lt;=300000,100,500))))),0))</f>
      </c>
      <c r="N58" s="491" t="str">
        <f>IF($F58="","",$F58*IF($C58="売",1+V811設定!$B$3,1-V811設定!$B$3)-MOD($F58*IF($C58="売",1+V811設定!$B$3,1-V811設定!$B$3),IF($F58&lt;=3000,1,IF($F58&lt;=5000,5,IF($F58&lt;=30000,10,IF($F58&lt;=50000,50,IF($F58&lt;=300000,100,500))))))+IF(AND($C58="売",MOD($F58*IF($C58="売",1+V811設定!$B$3,1-V811設定!$B$3),IF($F58&lt;=3000,1,IF($F58&lt;=5000,5,IF($F58&lt;=30000,10,IF($F58&lt;=50000,50,IF($F58&lt;=300000,100,500))))))&gt;0),IF($F58&lt;=3000,1,IF($F58&lt;=5000,5,IF($F58&lt;=30000,10,IF($F58&lt;=50000,50,IF($F58&lt;=300000,100,500))))),0))</f>
      </c>
      <c r="O58" s="492" t="str">
        <f>IF(OR($B58="",$F58="",$H58=""),"",IF($S58="✅売却済","―決済済―",IF($C58="売",IF($H58&lt;=$M58,"🟢利確",IF(AND($R58&lt;&gt;"",$H58&gt;=$R58),"🟠TRAIL",IF($H58&gt;=$N58,"🔴損切",IF($W58&gt;=V811設定!$B$6,"⏱時間決済",IF($H58&gt;=$F58*(1+V811設定!$B$3*0.7),"⚠️損切接近","保持継続"))))),IF($H58&gt;=$M58,"🟢利確",IF(AND($R58&lt;&gt;"",$H58&lt;=$R58),"🟠TRAIL",IF($H58&lt;=$N58,"🔴損切",IF($W58&gt;=V811設定!$B$6,"⏱時間決済",IF($H58&lt;=$F58*(1-V811設定!$B$3*0.7),"⚠️損切接近","保持継続"))))))))</f>
      </c>
      <c r="P58" s="491"/>
      <c r="Q58" s="491"/>
      <c r="R58" s="491" t="str">
        <f>IF(OR($F58="",$H58="",$N58=""),"",IF($S58="✅売却済","",IF($C58="売",IF($H58&gt;$F58*(1-V811設定!$B$3),$N58,MIN($N58,IF($Q58="",$N58,$Q58*1.03))),IF($H58&lt;$F58*(1+V811設定!$B$3),$N58,MAX($N58,IF($P58="",$N58,$P58*0.97))))))</f>
      </c>
      <c r="S58" s="586" t="str">
        <f>IF(B58="","",IF(T58&lt;&gt;"","✅売却済",IF(OR(H58="",L58=""),"📌保有中",IF(L58&gt;=0.06,"🟢利確推奨",IF(L58&gt;=0.05,"🟡利確直近",IF(L58&gt;=0.045,"🔵トレーリング検討",IF(L58&gt;-0.03,"📌保有中",IF(L58&gt;-0.04,"⚠️損切注意","🔴損切り"))))))))</f>
        <v>📌保有中</v>
      </c>
      <c r="T58" s="594"/>
      <c r="U58" s="491"/>
      <c r="V58" s="701" t="str">
        <f>IF(OR(F58="",G58="",U58=""),"",IF(C58="売",(F58-U58)*G58,(U58-F58)*G58))</f>
        <v/>
      </c>
      <c r="W58" s="493">
        <f>IF(OR($E58="",$B58=""),"",IF($T58&lt;&gt;"",$T58-$E58,TODAY()-$E58)+1)</f>
        <v>0</v>
      </c>
      <c r="X58" s="489" t="str">
        <f>IF(OR($AH58="",$AH58="保有中"),"",$AH58)</f>
        <v/>
      </c>
      <c r="Y58" s="488"/>
      <c r="Z58" s="710">
        <v>13</v>
      </c>
      <c r="AD58" s="608" t="s">
        <v>1325</v>
      </c>
      <c r="AE58" s="624">
        <f>IF($E58="","",WORKDAY($E58,12))</f>
        <v>46259</v>
      </c>
      <c r="AF58" s="626" t="str" cm="1">
        <f t="array" aca="1" ref="AF58" ca="1">IF(OR($B58="",$M58=""),"",IFERROR(IF($C58="売",_xlfn.MINIFS(安値!$E$3:$IT$3,安値!$E$3:$IT$3,"&gt;"&amp;$E58,安値!$E$3:$IT$3,"&lt;="&amp;$AE58,OFFSET(安値!$E$6:$IT$6,MATCH(TEXT($B58,"0"),TEXT(銘柄管理!$B$6:$B$305,"0"),0)-1,0),"&lt;="&amp;$M58),_xlfn.MINIFS(高値!$E$3:$IT$3,高値!$E$3:$IT$3,"&gt;"&amp;$E58,高値!$E$3:$IT$3,"&lt;="&amp;$AE58,OFFSET(高値!$E$6:$IT$6,MATCH(TEXT($B58,"0"),TEXT(銘柄管理!$B$6:$B$305,"0"),0)-1,0),"&gt;="&amp;$M58)),""))</f>
        <v/>
      </c>
      <c r="AG58" s="626" t="str" cm="1">
        <f t="array" aca="1" ref="AG58" ca="1">IF(OR($B58="",$N58=""),"",IFERROR(IF($C58="売",_xlfn.MINIFS(高値!$E$3:$IT$3,高値!$E$3:$IT$3,"&gt;"&amp;$E58,高値!$E$3:$IT$3,"&lt;="&amp;$AE58,OFFSET(高値!$E$6:$IT$6,MATCH(TEXT($B58,"0"),TEXT(銘柄管理!$B$6:$B$305,"0"),0)-1,0),"&gt;="&amp;$N58),_xlfn.MINIFS(安値!$E$3:$IT$3,安値!$E$3:$IT$3,"&gt;"&amp;$E58,安値!$E$3:$IT$3,"&lt;="&amp;$AE58,OFFSET(安値!$E$6:$IT$6,MATCH(TEXT($B58,"0"),TEXT(銘柄管理!$B$6:$B$305,"0"),0)-1,0),"&lt;="&amp;$N58)),""))</f>
        <v/>
      </c>
      <c r="AH58" s="600" t="str">
        <f>IF(OR($B58="",$M58=""),"",IF(AND(N($AF58)=0,N($AG58)=0),IF(AND(ISNUMBER($H58),$H58&gt;0,IF($C58="売",$H58&gt;=$N58,$H58&lt;=$N58)),"損切確定",IF(AND(ISNUMBER($H58),$H58&gt;0,IF($C58="売",$H58&lt;=$M58,$H58&gt;=$M58)),"利益確定",IF($AE58&lt;=TODAY(),"日数制限","保有中"))),IF(N($AG58)=0,"利益確定",IF(N($AF58)=0,"損切確定",IF($AG58&lt;=$AF58,"損切確定","利益確定")))))</f>
        <v/>
      </c>
      <c r="AI58" s="600" t="str" cm="1">
        <f t="array" ref="AI58">IFERROR(INDEX(始値!$E$6:$IT$305,MATCH(TEXT($B58,"0"),TEXT(銘柄管理!$B$6:$B$305,"0"),0),MATCH($AE58,始値!$E$3:$IT$3,0)),"")</f>
        <v/>
      </c>
      <c r="AJ58" s="905" t="str">
        <f>IF(OR($V58="",$F58="",$G58=""),"",$V58/($F58*$G58))</f>
        <v/>
      </c>
      <c r="AK58" s="629" t="str">
        <f>IF($V58="","",IF($V58&gt;0,"○勝",IF($V58&lt;0,"●負","△引分")))</f>
        <v/>
      </c>
      <c r="AL58" s="609" t="s">
        <v>1289</v>
      </c>
      <c r="BB58" s="600" t="str">
        <f>IF(N(買抽出v13!$C58)=0,"",N(買抽出v13!$Q58)+N(買抽出v13!$L58)/1000-ROW()/1000000)</f>
        <v/>
      </c>
      <c r="BC58" s="600" t="str">
        <f>IF(N(売抽出v13!$C58)=0,"",N(売抽出v13!$Q58)+IFERROR(VALUE(SUBSTITUTE(売抽出v13!$L58,"倍","")),0)/1000-ROW()/1000000)</f>
        <v/>
      </c>
    </row>
    <row r="59" spans="1:55" ht="35.4" customHeight="1">
      <c r="A59" s="619" t="str">
        <f>IF(B59="","",HYPERLINK("https://kabutan.jp/stock/?code="&amp;B59,"株探"))</f>
        <v/>
      </c>
      <c r="B59" s="630"/>
      <c r="C59" s="490"/>
      <c r="D59" s="623" t="str" cm="1">
        <f t="array" ref="D59">IF($B59="","",_xll.RssMarket($B59,"銘柄名称"))</f>
        <v/>
      </c>
      <c r="E59" s="716"/>
      <c r="F59" s="698" t="str" cm="1">
        <f t="array" aca="1" ref="F59" ca="1">IFERROR(_xlfn.LET(_xlpm.r,MATCH(TEXT($B59,"0"),TEXT(銘柄管理!$B$6:$B$305,"0"),0),_xlpm.t,MOD(NOW(),1),_xlpm.c,IF($E59=TODAY(),IF(_xlpm.t&gt;=TIME(15,30,0),NA(),1),IF(MATCH($E59,始値!$E$3:$IT$3,0)=1,1,MATCH($E59,始値!$E$3:$IT$3,0)+1)),_xlpm.v,INDEX(始値!$C$6:$IT$305,_xlpm.r,_xlpm.c),IF(N(_xlpm.v)=0,"",_xlpm.v)),"")</f>
        <v/>
      </c>
      <c r="G59" s="631"/>
      <c r="H59" s="491" t="str" cm="1">
        <f t="array" ref="H59">IF($B59="","",_xll.RssMarket($B59,"現在値"))</f>
        <v/>
      </c>
      <c r="I59" s="491" t="str" cm="1">
        <f t="array" ref="I59">IF($B59="","",_xll.RssMarket($B59,"出来高加重平均"))</f>
        <v/>
      </c>
      <c r="J59" s="701" t="str" cm="1">
        <f t="array" ref="J59">IF($B59="","",_xll.RssMarket($B59,"前日比"))</f>
        <v/>
      </c>
      <c r="K59" s="701" t="str">
        <f>IF(OR(F59="",G59="",H59=""),"",IF(C59="売",(F59-H59)*G59,(H59-F59)*G59))</f>
        <v/>
      </c>
      <c r="L59" s="706" t="str">
        <f>IF(OR(F59="",H59=""),"",IF(C59="売",(F59-H59)/F59,(H59-F59)/F59))</f>
        <v/>
      </c>
      <c r="M59" s="491" t="str">
        <f>IF($F59="","",$F59*IF($C59="売",1-V811設定!$B$4,1+V811設定!$B$4)-MOD($F59*IF($C59="売",1-V811設定!$B$4,1+V811設定!$B$4),IF($F59&lt;=3000,1,IF($F59&lt;=5000,5,IF($F59&lt;=30000,10,IF($F59&lt;=50000,50,IF($F59&lt;=300000,100,500))))))+IF(AND($C59="売",MOD($F59*IF($C59="売",1-V811設定!$B$4,1+V811設定!$B$4),IF($F59&lt;=3000,1,IF($F59&lt;=5000,5,IF($F59&lt;=30000,10,IF($F59&lt;=50000,50,IF($F59&lt;=300000,100,500))))))&gt;0),IF($F59&lt;=3000,1,IF($F59&lt;=5000,5,IF($F59&lt;=30000,10,IF($F59&lt;=50000,50,IF($F59&lt;=300000,100,500))))),0))</f>
      </c>
      <c r="N59" s="491" t="str">
        <f>IF($F59="","",$F59*IF($C59="売",1+V811設定!$B$3,1-V811設定!$B$3)-MOD($F59*IF($C59="売",1+V811設定!$B$3,1-V811設定!$B$3),IF($F59&lt;=3000,1,IF($F59&lt;=5000,5,IF($F59&lt;=30000,10,IF($F59&lt;=50000,50,IF($F59&lt;=300000,100,500))))))+IF(AND($C59="売",MOD($F59*IF($C59="売",1+V811設定!$B$3,1-V811設定!$B$3),IF($F59&lt;=3000,1,IF($F59&lt;=5000,5,IF($F59&lt;=30000,10,IF($F59&lt;=50000,50,IF($F59&lt;=300000,100,500))))))&gt;0),IF($F59&lt;=3000,1,IF($F59&lt;=5000,5,IF($F59&lt;=30000,10,IF($F59&lt;=50000,50,IF($F59&lt;=300000,100,500))))),0))</f>
      </c>
      <c r="O59" s="492" t="str">
        <f>IF(OR($B59="",$F59="",$H59=""),"",IF($S59="✅売却済","―決済済―",IF($C59="売",IF($H59&lt;=$M59,"🟢利確",IF(AND($R59&lt;&gt;"",$H59&gt;=$R59),"🟠TRAIL",IF($H59&gt;=$N59,"🔴損切",IF($W59&gt;=V811設定!$B$6,"⏱時間決済",IF($H59&gt;=$F59*(1+V811設定!$B$3*0.7),"⚠️損切接近","保持継続"))))),IF($H59&gt;=$M59,"🟢利確",IF(AND($R59&lt;&gt;"",$H59&lt;=$R59),"🟠TRAIL",IF($H59&lt;=$N59,"🔴損切",IF($W59&gt;=V811設定!$B$6,"⏱時間決済",IF($H59&lt;=$F59*(1-V811設定!$B$3*0.7),"⚠️損切接近","保持継続"))))))))</f>
      </c>
      <c r="P59" s="491"/>
      <c r="Q59" s="491"/>
      <c r="R59" s="491" t="str">
        <f>IF(OR($F59="",$H59="",$N59=""),"",IF($S59="✅売却済","",IF($C59="売",IF($H59&gt;$F59*(1-V811設定!$B$3),$N59,MIN($N59,IF($Q59="",$N59,$Q59*1.03))),IF($H59&lt;$F59*(1+V811設定!$B$3),$N59,MAX($N59,IF($P59="",$N59,$P59*0.97))))))</f>
      </c>
      <c r="S59" s="586" t="str">
        <f>IF(B59="","",IF(T59&lt;&gt;"","✅売却済",IF(OR(H59="",L59=""),"📌保有中",IF(L59&gt;=0.06,"🟢利確推奨",IF(L59&gt;=0.05,"🟡利確直近",IF(L59&gt;=0.045,"🔵トレーリング検討",IF(L59&gt;-0.03,"📌保有中",IF(L59&gt;-0.04,"⚠️損切注意","🔴損切り"))))))))</f>
        <v/>
      </c>
      <c r="T59" s="594"/>
      <c r="U59" s="491"/>
      <c r="V59" s="701" t="str">
        <f>IF(OR(F59="",G59="",U59=""),"",IF(C59="売",(F59-U59)*G59,(U59-F59)*G59))</f>
        <v/>
      </c>
      <c r="W59" s="493" t="str">
        <f>IF(OR($E59="",$B59=""),"",IF($T59&lt;&gt;"",$T59-$E59,TODAY()-$E59)+1)</f>
        <v/>
      </c>
      <c r="X59" s="489" t="str">
        <f>IF(OR($AH59="",$AH59="保有中"),"",$AH59)</f>
        <v/>
      </c>
      <c r="Y59" s="488"/>
      <c r="Z59" s="710"/>
      <c r="AD59" s="608"/>
      <c r="AE59" s="624" t="str">
        <f>IF($E59="","",WORKDAY($E59,12))</f>
        <v/>
      </c>
      <c r="AF59" s="626" t="str" cm="1">
        <f t="array" aca="1" ref="AF59" ca="1">IF(OR($B59="",$M59=""),"",IFERROR(IF($C59="売",_xlfn.MINIFS(安値!$E$3:$IT$3,安値!$E$3:$IT$3,"&gt;"&amp;$E59,安値!$E$3:$IT$3,"&lt;="&amp;$AE59,OFFSET(安値!$E$6:$IT$6,MATCH(TEXT($B59,"0"),TEXT(銘柄管理!$B$6:$B$305,"0"),0)-1,0),"&lt;="&amp;$M59),_xlfn.MINIFS(高値!$E$3:$IT$3,高値!$E$3:$IT$3,"&gt;"&amp;$E59,高値!$E$3:$IT$3,"&lt;="&amp;$AE59,OFFSET(高値!$E$6:$IT$6,MATCH(TEXT($B59,"0"),TEXT(銘柄管理!$B$6:$B$305,"0"),0)-1,0),"&gt;="&amp;$M59)),""))</f>
        <v/>
      </c>
      <c r="AG59" s="626" t="str" cm="1">
        <f t="array" aca="1" ref="AG59" ca="1">IF(OR($B59="",$N59=""),"",IFERROR(IF($C59="売",_xlfn.MINIFS(高値!$E$3:$IT$3,高値!$E$3:$IT$3,"&gt;"&amp;$E59,高値!$E$3:$IT$3,"&lt;="&amp;$AE59,OFFSET(高値!$E$6:$IT$6,MATCH(TEXT($B59,"0"),TEXT(銘柄管理!$B$6:$B$305,"0"),0)-1,0),"&gt;="&amp;$N59),_xlfn.MINIFS(安値!$E$3:$IT$3,安値!$E$3:$IT$3,"&gt;"&amp;$E59,安値!$E$3:$IT$3,"&lt;="&amp;$AE59,OFFSET(安値!$E$6:$IT$6,MATCH(TEXT($B59,"0"),TEXT(銘柄管理!$B$6:$B$305,"0"),0)-1,0),"&lt;="&amp;$N59)),""))</f>
        <v/>
      </c>
      <c r="AH59" s="600" t="str">
        <f>IF(OR($B59="",$M59=""),"",IF(AND(N($AF59)=0,N($AG59)=0),IF(AND(ISNUMBER($H59),$H59&gt;0,IF($C59="売",$H59&gt;=$N59,$H59&lt;=$N59)),"損切確定",IF(AND(ISNUMBER($H59),$H59&gt;0,IF($C59="売",$H59&lt;=$M59,$H59&gt;=$M59)),"利益確定",IF($AE59&lt;=TODAY(),"日数制限","保有中"))),IF(N($AG59)=0,"利益確定",IF(N($AF59)=0,"損切確定",IF($AG59&lt;=$AF59,"損切確定","利益確定")))))</f>
        <v/>
      </c>
      <c r="AI59" s="600" t="str" cm="1">
        <f t="array" ref="AI59">IFERROR(INDEX(始値!$E$6:$IT$305,MATCH(TEXT($B59,"0"),TEXT(銘柄管理!$B$6:$B$305,"0"),0),MATCH($AE59,始値!$E$3:$IT$3,0)),"")</f>
        <v/>
      </c>
      <c r="AJ59" s="905" t="str">
        <f>IF(OR($V59="",$F59="",$G59=""),"",$V59/($F59*$G59))</f>
        <v/>
      </c>
      <c r="AK59" s="629" t="str">
        <f>IF($V59="","",IF($V59&gt;0,"○勝",IF($V59&lt;0,"●負","△引分")))</f>
        <v/>
      </c>
      <c r="AL59" s="609" t="s">
        <v>1290</v>
      </c>
      <c r="BB59" s="600" t="str">
        <f>IF(N(買抽出v13!$C59)=0,"",N(買抽出v13!$Q59)+N(買抽出v13!$L59)/1000-ROW()/1000000)</f>
        <v/>
      </c>
      <c r="BC59" s="600" t="str">
        <f>IF(N(売抽出v13!$C59)=0,"",N(売抽出v13!$Q59)+IFERROR(VALUE(SUBSTITUTE(売抽出v13!$L59,"倍","")),0)/1000-ROW()/1000000)</f>
        <v/>
      </c>
    </row>
    <row r="60" spans="1:55" ht="35.4" customHeight="1">
      <c r="A60" s="619" t="str">
        <f>IF(B60="","",HYPERLINK("https://kabutan.jp/stock/?code="&amp;B60,"株探"))</f>
        <v/>
      </c>
      <c r="B60" s="630"/>
      <c r="C60" s="490"/>
      <c r="D60" s="623" t="str" cm="1">
        <f t="array" ref="D60">IF($B60="","",_xll.RssMarket($B60,"銘柄名称"))</f>
        <v/>
      </c>
      <c r="E60" s="716"/>
      <c r="F60" s="698" t="str" cm="1">
        <f t="array" aca="1" ref="F60" ca="1">IFERROR(_xlfn.LET(_xlpm.r,MATCH(TEXT($B60,"0"),TEXT(銘柄管理!$B$6:$B$305,"0"),0),_xlpm.t,MOD(NOW(),1),_xlpm.c,IF($E60=TODAY(),IF(_xlpm.t&gt;=TIME(15,30,0),NA(),1),IF(MATCH($E60,始値!$E$3:$IT$3,0)=1,1,MATCH($E60,始値!$E$3:$IT$3,0)+1)),_xlpm.v,INDEX(始値!$C$6:$IT$305,_xlpm.r,_xlpm.c),IF(N(_xlpm.v)=0,"",_xlpm.v)),"")</f>
        <v/>
      </c>
      <c r="G60" s="631"/>
      <c r="H60" s="491" t="str" cm="1">
        <f t="array" ref="H60">IF($B60="","",_xll.RssMarket($B60,"現在値"))</f>
        <v/>
      </c>
      <c r="I60" s="491" t="str" cm="1">
        <f t="array" ref="I60">IF($B60="","",_xll.RssMarket($B60,"出来高加重平均"))</f>
        <v/>
      </c>
      <c r="J60" s="701" t="str" cm="1">
        <f t="array" ref="J60">IF($B60="","",_xll.RssMarket($B60,"前日比"))</f>
        <v/>
      </c>
      <c r="K60" s="701" t="str">
        <f>IF(OR(F60="",G60="",H60=""),"",IF(C60="売",(F60-H60)*G60,(H60-F60)*G60))</f>
        <v/>
      </c>
      <c r="L60" s="706" t="str">
        <f>IF(OR(F60="",H60=""),"",IF(C60="売",(F60-H60)/F60,(H60-F60)/F60))</f>
        <v/>
      </c>
      <c r="M60" s="491" t="str">
        <f>IF($F60="","",$F60*IF($C60="売",1-V811設定!$B$4,1+V811設定!$B$4)-MOD($F60*IF($C60="売",1-V811設定!$B$4,1+V811設定!$B$4),IF($F60&lt;=3000,1,IF($F60&lt;=5000,5,IF($F60&lt;=30000,10,IF($F60&lt;=50000,50,IF($F60&lt;=300000,100,500))))))+IF(AND($C60="売",MOD($F60*IF($C60="売",1-V811設定!$B$4,1+V811設定!$B$4),IF($F60&lt;=3000,1,IF($F60&lt;=5000,5,IF($F60&lt;=30000,10,IF($F60&lt;=50000,50,IF($F60&lt;=300000,100,500))))))&gt;0),IF($F60&lt;=3000,1,IF($F60&lt;=5000,5,IF($F60&lt;=30000,10,IF($F60&lt;=50000,50,IF($F60&lt;=300000,100,500))))),0))</f>
      </c>
      <c r="N60" s="491" t="str">
        <f>IF($F60="","",$F60*IF($C60="売",1+V811設定!$B$3,1-V811設定!$B$3)-MOD($F60*IF($C60="売",1+V811設定!$B$3,1-V811設定!$B$3),IF($F60&lt;=3000,1,IF($F60&lt;=5000,5,IF($F60&lt;=30000,10,IF($F60&lt;=50000,50,IF($F60&lt;=300000,100,500))))))+IF(AND($C60="売",MOD($F60*IF($C60="売",1+V811設定!$B$3,1-V811設定!$B$3),IF($F60&lt;=3000,1,IF($F60&lt;=5000,5,IF($F60&lt;=30000,10,IF($F60&lt;=50000,50,IF($F60&lt;=300000,100,500))))))&gt;0),IF($F60&lt;=3000,1,IF($F60&lt;=5000,5,IF($F60&lt;=30000,10,IF($F60&lt;=50000,50,IF($F60&lt;=300000,100,500))))),0))</f>
      </c>
      <c r="O60" s="492" t="str">
        <f>IF(OR($B60="",$F60="",$H60=""),"",IF($S60="✅売却済","―決済済―",IF($C60="売",IF($H60&lt;=$M60,"🟢利確",IF(AND($R60&lt;&gt;"",$H60&gt;=$R60),"🟠TRAIL",IF($H60&gt;=$N60,"🔴損切",IF($W60&gt;=V811設定!$B$6,"⏱時間決済",IF($H60&gt;=$F60*(1+V811設定!$B$3*0.7),"⚠️損切接近","保持継続"))))),IF($H60&gt;=$M60,"🟢利確",IF(AND($R60&lt;&gt;"",$H60&lt;=$R60),"🟠TRAIL",IF($H60&lt;=$N60,"🔴損切",IF($W60&gt;=V811設定!$B$6,"⏱時間決済",IF($H60&lt;=$F60*(1-V811設定!$B$3*0.7),"⚠️損切接近","保持継続"))))))))</f>
      </c>
      <c r="P60" s="491"/>
      <c r="Q60" s="491"/>
      <c r="R60" s="491" t="str">
        <f>IF(OR($F60="",$H60="",$N60=""),"",IF($S60="✅売却済","",IF($C60="売",IF($H60&gt;$F60*(1-V811設定!$B$3),$N60,MIN($N60,IF($Q60="",$N60,$Q60*1.03))),IF($H60&lt;$F60*(1+V811設定!$B$3),$N60,MAX($N60,IF($P60="",$N60,$P60*0.97))))))</f>
      </c>
      <c r="S60" s="586" t="str">
        <f>IF(B60="","",IF(T60&lt;&gt;"","✅売却済",IF(OR(H60="",L60=""),"📌保有中",IF(L60&gt;=0.06,"🟢利確推奨",IF(L60&gt;=0.05,"🟡利確直近",IF(L60&gt;=0.045,"🔵トレーリング検討",IF(L60&gt;-0.03,"📌保有中",IF(L60&gt;-0.04,"⚠️損切注意","🔴損切り"))))))))</f>
        <v/>
      </c>
      <c r="T60" s="594"/>
      <c r="U60" s="491"/>
      <c r="V60" s="701" t="str">
        <f>IF(OR(F60="",G60="",U60=""),"",IF(C60="売",(F60-U60)*G60,(U60-F60)*G60))</f>
        <v/>
      </c>
      <c r="W60" s="493" t="str">
        <f>IF(OR($E60="",$B60=""),"",IF($T60&lt;&gt;"",$T60-$E60,TODAY()-$E60)+1)</f>
        <v/>
      </c>
      <c r="X60" s="489" t="str">
        <f>IF(OR($AH60="",$AH60="保有中"),"",$AH60)</f>
        <v/>
      </c>
      <c r="Y60" s="488"/>
      <c r="Z60" s="710"/>
      <c r="AD60" s="608"/>
      <c r="AE60" s="624" t="str">
        <f>IF($E60="","",WORKDAY($E60,12))</f>
        <v/>
      </c>
      <c r="AF60" s="626" t="str" cm="1">
        <f t="array" aca="1" ref="AF60" ca="1">IF(OR($B60="",$M60=""),"",IFERROR(IF($C60="売",_xlfn.MINIFS(安値!$E$3:$IT$3,安値!$E$3:$IT$3,"&gt;"&amp;$E60,安値!$E$3:$IT$3,"&lt;="&amp;$AE60,OFFSET(安値!$E$6:$IT$6,MATCH(TEXT($B60,"0"),TEXT(銘柄管理!$B$6:$B$305,"0"),0)-1,0),"&lt;="&amp;$M60),_xlfn.MINIFS(高値!$E$3:$IT$3,高値!$E$3:$IT$3,"&gt;"&amp;$E60,高値!$E$3:$IT$3,"&lt;="&amp;$AE60,OFFSET(高値!$E$6:$IT$6,MATCH(TEXT($B60,"0"),TEXT(銘柄管理!$B$6:$B$305,"0"),0)-1,0),"&gt;="&amp;$M60)),""))</f>
        <v/>
      </c>
      <c r="AG60" s="626" t="str" cm="1">
        <f t="array" aca="1" ref="AG60" ca="1">IF(OR($B60="",$N60=""),"",IFERROR(IF($C60="売",_xlfn.MINIFS(高値!$E$3:$IT$3,高値!$E$3:$IT$3,"&gt;"&amp;$E60,高値!$E$3:$IT$3,"&lt;="&amp;$AE60,OFFSET(高値!$E$6:$IT$6,MATCH(TEXT($B60,"0"),TEXT(銘柄管理!$B$6:$B$305,"0"),0)-1,0),"&gt;="&amp;$N60),_xlfn.MINIFS(安値!$E$3:$IT$3,安値!$E$3:$IT$3,"&gt;"&amp;$E60,安値!$E$3:$IT$3,"&lt;="&amp;$AE60,OFFSET(安値!$E$6:$IT$6,MATCH(TEXT($B60,"0"),TEXT(銘柄管理!$B$6:$B$305,"0"),0)-1,0),"&lt;="&amp;$N60)),""))</f>
        <v/>
      </c>
      <c r="AH60" s="600" t="str">
        <f>IF(OR($B60="",$M60=""),"",IF(AND(N($AF60)=0,N($AG60)=0),IF(AND(ISNUMBER($H60),$H60&gt;0,IF($C60="売",$H60&gt;=$N60,$H60&lt;=$N60)),"損切確定",IF(AND(ISNUMBER($H60),$H60&gt;0,IF($C60="売",$H60&lt;=$M60,$H60&gt;=$M60)),"利益確定",IF($AE60&lt;=TODAY(),"日数制限","保有中"))),IF(N($AG60)=0,"利益確定",IF(N($AF60)=0,"損切確定",IF($AG60&lt;=$AF60,"損切確定","利益確定")))))</f>
        <v/>
      </c>
      <c r="AI60" s="600" t="str" cm="1">
        <f t="array" ref="AI60">IFERROR(INDEX(始値!$E$6:$IT$305,MATCH(TEXT($B60,"0"),TEXT(銘柄管理!$B$6:$B$305,"0"),0),MATCH($AE60,始値!$E$3:$IT$3,0)),"")</f>
        <v/>
      </c>
      <c r="AJ60" s="905" t="str">
        <f>IF(OR($V60="",$F60="",$G60=""),"",$V60/($F60*$G60))</f>
        <v/>
      </c>
      <c r="AK60" s="629" t="str">
        <f>IF($V60="","",IF($V60&gt;0,"○勝",IF($V60&lt;0,"●負","△引分")))</f>
        <v/>
      </c>
      <c r="AL60" s="609" t="s">
        <v>1341</v>
      </c>
      <c r="BB60" s="600" t="str">
        <f>IF(N(買抽出v13!$C60)=0,"",N(買抽出v13!$Q60)+N(買抽出v13!$L60)/1000-ROW()/1000000)</f>
        <v/>
      </c>
      <c r="BC60" s="600" t="str">
        <f>IF(N(売抽出v13!$C60)=0,"",N(売抽出v13!$Q60)+IFERROR(VALUE(SUBSTITUTE(売抽出v13!$L60,"倍","")),0)/1000-ROW()/1000000)</f>
        <v/>
      </c>
    </row>
    <row r="61" spans="1:38" ht="35.4" customHeight="1">
      <c r="A61" s="619" t="str">
        <f>IF(B61="","",HYPERLINK("https://kabutan.jp/stock/?code="&amp;B61,"株探"))</f>
        <v/>
      </c>
      <c r="B61" s="630"/>
      <c r="C61" s="490"/>
      <c r="D61" s="623" t="str" cm="1">
        <f t="array" ref="D61">IF($B61="","",_xll.RssMarket($B61,"銘柄名称"))</f>
        <v/>
      </c>
      <c r="E61" s="716"/>
      <c r="F61" s="698" t="str" cm="1">
        <f t="array" aca="1" ref="F61" ca="1">IFERROR(_xlfn.LET(_xlpm.r,MATCH(TEXT($B61,"0"),TEXT(銘柄管理!$B$6:$B$305,"0"),0),_xlpm.t,MOD(NOW(),1),_xlpm.c,IF($E61=TODAY(),IF(_xlpm.t&gt;=TIME(15,30,0),NA(),1),IF(MATCH($E61,始値!$E$3:$IT$3,0)=1,1,MATCH($E61,始値!$E$3:$IT$3,0)+1)),_xlpm.v,INDEX(始値!$C$6:$IT$305,_xlpm.r,_xlpm.c),IF(N(_xlpm.v)=0,"",_xlpm.v)),"")</f>
        <v/>
      </c>
      <c r="G61" s="631"/>
      <c r="H61" s="491" t="str" cm="1">
        <f t="array" ref="H61">IF($B61="","",_xll.RssMarket($B61,"現在値"))</f>
        <v/>
      </c>
      <c r="I61" s="491" t="str" cm="1">
        <f t="array" ref="I61">IF($B61="","",_xll.RssMarket($B61,"出来高加重平均"))</f>
        <v/>
      </c>
      <c r="J61" s="701" t="str" cm="1">
        <f t="array" ref="J61">IF($B61="","",_xll.RssMarket($B61,"前日比"))</f>
        <v/>
      </c>
      <c r="K61" s="701" t="str">
        <f>IF(OR(F61="",G61="",H61=""),"",IF(C61="売",(F61-H61)*G61,(H61-F61)*G61))</f>
        <v/>
      </c>
      <c r="L61" s="706" t="str">
        <f>IF(OR(F61="",H61=""),"",IF(C61="売",(F61-H61)/F61,(H61-F61)/F61))</f>
        <v/>
      </c>
      <c r="M61" s="491" t="str">
        <f>IF($F61="","",$F61*IF($C61="売",1-V811設定!$B$4,1+V811設定!$B$4)-MOD($F61*IF($C61="売",1-V811設定!$B$4,1+V811設定!$B$4),IF($F61&lt;=3000,1,IF($F61&lt;=5000,5,IF($F61&lt;=30000,10,IF($F61&lt;=50000,50,IF($F61&lt;=300000,100,500))))))+IF(AND($C61="売",MOD($F61*IF($C61="売",1-V811設定!$B$4,1+V811設定!$B$4),IF($F61&lt;=3000,1,IF($F61&lt;=5000,5,IF($F61&lt;=30000,10,IF($F61&lt;=50000,50,IF($F61&lt;=300000,100,500))))))&gt;0),IF($F61&lt;=3000,1,IF($F61&lt;=5000,5,IF($F61&lt;=30000,10,IF($F61&lt;=50000,50,IF($F61&lt;=300000,100,500))))),0))</f>
      </c>
      <c r="N61" s="491" t="str">
        <f>IF($F61="","",$F61*IF($C61="売",1+V811設定!$B$3,1-V811設定!$B$3)-MOD($F61*IF($C61="売",1+V811設定!$B$3,1-V811設定!$B$3),IF($F61&lt;=3000,1,IF($F61&lt;=5000,5,IF($F61&lt;=30000,10,IF($F61&lt;=50000,50,IF($F61&lt;=300000,100,500))))))+IF(AND($C61="売",MOD($F61*IF($C61="売",1+V811設定!$B$3,1-V811設定!$B$3),IF($F61&lt;=3000,1,IF($F61&lt;=5000,5,IF($F61&lt;=30000,10,IF($F61&lt;=50000,50,IF($F61&lt;=300000,100,500))))))&gt;0),IF($F61&lt;=3000,1,IF($F61&lt;=5000,5,IF($F61&lt;=30000,10,IF($F61&lt;=50000,50,IF($F61&lt;=300000,100,500))))),0))</f>
      </c>
      <c r="O61" s="492" t="str">
        <f>IF(OR($B61="",$F61="",$H61=""),"",IF($S61="✅売却済","―決済済―",IF($C61="売",IF($H61&lt;=$M61,"🟢利確",IF(AND($R61&lt;&gt;"",$H61&gt;=$R61),"🟠TRAIL",IF($H61&gt;=$N61,"🔴損切",IF($W61&gt;=V811設定!$B$6,"⏱時間決済",IF($H61&gt;=$F61*(1+V811設定!$B$3*0.7),"⚠️損切接近","保持継続"))))),IF($H61&gt;=$M61,"🟢利確",IF(AND($R61&lt;&gt;"",$H61&lt;=$R61),"🟠TRAIL",IF($H61&lt;=$N61,"🔴損切",IF($W61&gt;=V811設定!$B$6,"⏱時間決済",IF($H61&lt;=$F61*(1-V811設定!$B$3*0.7),"⚠️損切接近","保持継続"))))))))</f>
      </c>
      <c r="P61" s="491"/>
      <c r="Q61" s="491"/>
      <c r="R61" s="491" t="str">
        <f>IF(OR($F61="",$H61="",$N61=""),"",IF($S61="✅売却済","",IF($C61="売",IF($H61&gt;$F61*(1-V811設定!$B$3),$N61,MIN($N61,IF($Q61="",$N61,$Q61*1.03))),IF($H61&lt;$F61*(1+V811設定!$B$3),$N61,MAX($N61,IF($P61="",$N61,$P61*0.97))))))</f>
      </c>
      <c r="S61" s="586" t="str">
        <f>IF(B61="","",IF(T61&lt;&gt;"","✅売却済",IF(OR(H61="",L61=""),"📌保有中",IF(L61&gt;=0.06,"🟢利確推奨",IF(L61&gt;=0.05,"🟡利確直近",IF(L61&gt;=0.045,"🔵トレーリング検討",IF(L61&gt;-0.03,"📌保有中",IF(L61&gt;-0.04,"⚠️損切注意","🔴損切り"))))))))</f>
        <v/>
      </c>
      <c r="T61" s="594"/>
      <c r="U61" s="491"/>
      <c r="V61" s="701" t="str">
        <f>IF(OR(F61="",G61="",U61=""),"",IF(C61="売",(F61-U61)*G61,(U61-F61)*G61))</f>
        <v/>
      </c>
      <c r="W61" s="493" t="str">
        <f>IF(OR($E61="",$B61=""),"",IF($T61&lt;&gt;"",$T61-$E61,TODAY()-$E61)+1)</f>
        <v/>
      </c>
      <c r="X61" s="489" t="str">
        <f>IF(OR($AH61="",$AH61="保有中"),"",$AH61)</f>
        <v/>
      </c>
      <c r="Y61" s="488"/>
      <c r="Z61" s="710"/>
      <c r="AD61" s="608"/>
      <c r="AE61" s="624" t="str">
        <f>IF($E61="","",WORKDAY($E61,12))</f>
        <v/>
      </c>
      <c r="AF61" s="626" t="str" cm="1">
        <f t="array" aca="1" ref="AF61" ca="1">IF(OR($B61="",$M61=""),"",IFERROR(IF($C61="売",_xlfn.MINIFS(安値!$E$3:$IT$3,安値!$E$3:$IT$3,"&gt;"&amp;$E61,安値!$E$3:$IT$3,"&lt;="&amp;$AE61,OFFSET(安値!$E$6:$IT$6,MATCH(TEXT($B61,"0"),TEXT(銘柄管理!$B$6:$B$305,"0"),0)-1,0),"&lt;="&amp;$M61),_xlfn.MINIFS(高値!$E$3:$IT$3,高値!$E$3:$IT$3,"&gt;"&amp;$E61,高値!$E$3:$IT$3,"&lt;="&amp;$AE61,OFFSET(高値!$E$6:$IT$6,MATCH(TEXT($B61,"0"),TEXT(銘柄管理!$B$6:$B$305,"0"),0)-1,0),"&gt;="&amp;$M61)),""))</f>
        <v/>
      </c>
      <c r="AG61" s="626" t="str" cm="1">
        <f t="array" aca="1" ref="AG61" ca="1">IF(OR($B61="",$N61=""),"",IFERROR(IF($C61="売",_xlfn.MINIFS(高値!$E$3:$IT$3,高値!$E$3:$IT$3,"&gt;"&amp;$E61,高値!$E$3:$IT$3,"&lt;="&amp;$AE61,OFFSET(高値!$E$6:$IT$6,MATCH(TEXT($B61,"0"),TEXT(銘柄管理!$B$6:$B$305,"0"),0)-1,0),"&gt;="&amp;$N61),_xlfn.MINIFS(安値!$E$3:$IT$3,安値!$E$3:$IT$3,"&gt;"&amp;$E61,安値!$E$3:$IT$3,"&lt;="&amp;$AE61,OFFSET(安値!$E$6:$IT$6,MATCH(TEXT($B61,"0"),TEXT(銘柄管理!$B$6:$B$305,"0"),0)-1,0),"&lt;="&amp;$N61)),""))</f>
        <v/>
      </c>
      <c r="AH61" s="600" t="str">
        <f>IF(OR($B61="",$M61=""),"",IF(AND(N($AF61)=0,N($AG61)=0),IF(AND(ISNUMBER($H61),$H61&gt;0,IF($C61="売",$H61&gt;=$N61,$H61&lt;=$N61)),"損切確定",IF(AND(ISNUMBER($H61),$H61&gt;0,IF($C61="売",$H61&lt;=$M61,$H61&gt;=$M61)),"利益確定",IF($AE61&lt;=TODAY(),"日数制限","保有中"))),IF(N($AG61)=0,"利益確定",IF(N($AF61)=0,"損切確定",IF($AG61&lt;=$AF61,"損切確定","利益確定")))))</f>
        <v/>
      </c>
      <c r="AI61" s="600" t="str" cm="1">
        <f t="array" ref="AI61">IFERROR(INDEX(始値!$E$6:$IT$305,MATCH(TEXT($B61,"0"),TEXT(銘柄管理!$B$6:$B$305,"0"),0),MATCH($AE61,始値!$E$3:$IT$3,0)),"")</f>
        <v/>
      </c>
      <c r="AJ61" s="905" t="str">
        <f>IF(OR($V61="",$F61="",$G61=""),"",$V61/($F61*$G61))</f>
        <v/>
      </c>
      <c r="AK61" s="629" t="str">
        <f>IF($V61="","",IF($V61&gt;0,"○勝",IF($V61&lt;0,"●負","△引分")))</f>
        <v/>
      </c>
      <c r="AL61" s="609" t="s">
        <v>1321</v>
      </c>
    </row>
    <row r="62" spans="1:38" ht="35.4" customHeight="1">
      <c r="A62" s="619" t="str">
        <f>IF(B62="","",HYPERLINK("https://kabutan.jp/stock/?code="&amp;B62,"株探"))</f>
        <v/>
      </c>
      <c r="B62" s="630"/>
      <c r="C62" s="490"/>
      <c r="D62" s="623" t="str" cm="1">
        <f t="array" ref="D62">IF($B62="","",_xll.RssMarket($B62,"銘柄名称"))</f>
        <v/>
      </c>
      <c r="E62" s="716"/>
      <c r="F62" s="698" t="str" cm="1">
        <f t="array" aca="1" ref="F62" ca="1">IFERROR(_xlfn.LET(_xlpm.r,MATCH(TEXT($B62,"0"),TEXT(銘柄管理!$B$6:$B$305,"0"),0),_xlpm.t,MOD(NOW(),1),_xlpm.c,IF($E62=TODAY(),IF(_xlpm.t&gt;=TIME(15,30,0),NA(),1),IF(MATCH($E62,始値!$E$3:$IT$3,0)=1,1,MATCH($E62,始値!$E$3:$IT$3,0)+1)),_xlpm.v,INDEX(始値!$C$6:$IT$305,_xlpm.r,_xlpm.c),IF(N(_xlpm.v)=0,"",_xlpm.v)),"")</f>
        <v/>
      </c>
      <c r="G62" s="631"/>
      <c r="H62" s="491" t="str" cm="1">
        <f t="array" ref="H62">IF($B62="","",_xll.RssMarket($B62,"現在値"))</f>
        <v/>
      </c>
      <c r="I62" s="491" t="str" cm="1">
        <f t="array" ref="I62">IF($B62="","",_xll.RssMarket($B62,"出来高加重平均"))</f>
        <v/>
      </c>
      <c r="J62" s="701" t="str" cm="1">
        <f t="array" ref="J62">IF($B62="","",_xll.RssMarket($B62,"前日比"))</f>
        <v/>
      </c>
      <c r="K62" s="701" t="str">
        <f>IF(OR(F62="",G62="",H62=""),"",IF(C62="売",(F62-H62)*G62,(H62-F62)*G62))</f>
        <v/>
      </c>
      <c r="L62" s="706" t="str">
        <f>IF(OR(F62="",H62=""),"",IF(C62="売",(F62-H62)/F62,(H62-F62)/F62))</f>
        <v/>
      </c>
      <c r="M62" s="491" t="str">
        <f>IF($F62="","",$F62*IF($C62="売",1-V811設定!$B$4,1+V811設定!$B$4)-MOD($F62*IF($C62="売",1-V811設定!$B$4,1+V811設定!$B$4),IF($F62&lt;=3000,1,IF($F62&lt;=5000,5,IF($F62&lt;=30000,10,IF($F62&lt;=50000,50,IF($F62&lt;=300000,100,500))))))+IF(AND($C62="売",MOD($F62*IF($C62="売",1-V811設定!$B$4,1+V811設定!$B$4),IF($F62&lt;=3000,1,IF($F62&lt;=5000,5,IF($F62&lt;=30000,10,IF($F62&lt;=50000,50,IF($F62&lt;=300000,100,500))))))&gt;0),IF($F62&lt;=3000,1,IF($F62&lt;=5000,5,IF($F62&lt;=30000,10,IF($F62&lt;=50000,50,IF($F62&lt;=300000,100,500))))),0))</f>
      </c>
      <c r="N62" s="491" t="str">
        <f>IF($F62="","",$F62*IF($C62="売",1+V811設定!$B$3,1-V811設定!$B$3)-MOD($F62*IF($C62="売",1+V811設定!$B$3,1-V811設定!$B$3),IF($F62&lt;=3000,1,IF($F62&lt;=5000,5,IF($F62&lt;=30000,10,IF($F62&lt;=50000,50,IF($F62&lt;=300000,100,500))))))+IF(AND($C62="売",MOD($F62*IF($C62="売",1+V811設定!$B$3,1-V811設定!$B$3),IF($F62&lt;=3000,1,IF($F62&lt;=5000,5,IF($F62&lt;=30000,10,IF($F62&lt;=50000,50,IF($F62&lt;=300000,100,500))))))&gt;0),IF($F62&lt;=3000,1,IF($F62&lt;=5000,5,IF($F62&lt;=30000,10,IF($F62&lt;=50000,50,IF($F62&lt;=300000,100,500))))),0))</f>
      </c>
      <c r="O62" s="492" t="str">
        <f>IF(OR($B62="",$F62="",$H62=""),"",IF($S62="✅売却済","―決済済―",IF($C62="売",IF($H62&lt;=$M62,"🟢利確",IF(AND($R62&lt;&gt;"",$H62&gt;=$R62),"🟠TRAIL",IF($H62&gt;=$N62,"🔴損切",IF($W62&gt;=V811設定!$B$6,"⏱時間決済",IF($H62&gt;=$F62*(1+V811設定!$B$3*0.7),"⚠️損切接近","保持継続"))))),IF($H62&gt;=$M62,"🟢利確",IF(AND($R62&lt;&gt;"",$H62&lt;=$R62),"🟠TRAIL",IF($H62&lt;=$N62,"🔴損切",IF($W62&gt;=V811設定!$B$6,"⏱時間決済",IF($H62&lt;=$F62*(1-V811設定!$B$3*0.7),"⚠️損切接近","保持継続"))))))))</f>
      </c>
      <c r="P62" s="491"/>
      <c r="Q62" s="491"/>
      <c r="R62" s="491" t="str">
        <f>IF(OR($F62="",$H62="",$N62=""),"",IF($S62="✅売却済","",IF($C62="売",IF($H62&gt;$F62*(1-V811設定!$B$3),$N62,MIN($N62,IF($Q62="",$N62,$Q62*1.03))),IF($H62&lt;$F62*(1+V811設定!$B$3),$N62,MAX($N62,IF($P62="",$N62,$P62*0.97))))))</f>
      </c>
      <c r="S62" s="586" t="str">
        <f>IF(B62="","",IF(T62&lt;&gt;"","✅売却済",IF(OR(H62="",L62=""),"📌保有中",IF(L62&gt;=0.06,"🟢利確推奨",IF(L62&gt;=0.05,"🟡利確直近",IF(L62&gt;=0.045,"🔵トレーリング検討",IF(L62&gt;-0.03,"📌保有中",IF(L62&gt;-0.04,"⚠️損切注意","🔴損切り"))))))))</f>
        <v/>
      </c>
      <c r="T62" s="594"/>
      <c r="U62" s="491"/>
      <c r="V62" s="701" t="str">
        <f>IF(OR(F62="",G62="",U62=""),"",IF(C62="売",(F62-U62)*G62,(U62-F62)*G62))</f>
        <v/>
      </c>
      <c r="W62" s="493" t="str">
        <f>IF(OR($E62="",$B62=""),"",IF($T62&lt;&gt;"",$T62-$E62,TODAY()-$E62)+1)</f>
        <v/>
      </c>
      <c r="X62" s="489" t="str">
        <f>IF(OR($AH62="",$AH62="保有中"),"",$AH62)</f>
        <v/>
      </c>
      <c r="Y62" s="488"/>
      <c r="Z62" s="710"/>
      <c r="AD62" s="608"/>
      <c r="AE62" s="624" t="str">
        <f>IF($E62="","",WORKDAY($E62,12))</f>
        <v/>
      </c>
      <c r="AF62" s="626" t="str" cm="1">
        <f t="array" aca="1" ref="AF62" ca="1">IF(OR($B62="",$M62=""),"",IFERROR(IF($C62="売",_xlfn.MINIFS(安値!$E$3:$IT$3,安値!$E$3:$IT$3,"&gt;"&amp;$E62,安値!$E$3:$IT$3,"&lt;="&amp;$AE62,OFFSET(安値!$E$6:$IT$6,MATCH(TEXT($B62,"0"),TEXT(銘柄管理!$B$6:$B$305,"0"),0)-1,0),"&lt;="&amp;$M62),_xlfn.MINIFS(高値!$E$3:$IT$3,高値!$E$3:$IT$3,"&gt;"&amp;$E62,高値!$E$3:$IT$3,"&lt;="&amp;$AE62,OFFSET(高値!$E$6:$IT$6,MATCH(TEXT($B62,"0"),TEXT(銘柄管理!$B$6:$B$305,"0"),0)-1,0),"&gt;="&amp;$M62)),""))</f>
        <v/>
      </c>
      <c r="AG62" s="626" t="str" cm="1">
        <f t="array" aca="1" ref="AG62" ca="1">IF(OR($B62="",$N62=""),"",IFERROR(IF($C62="売",_xlfn.MINIFS(高値!$E$3:$IT$3,高値!$E$3:$IT$3,"&gt;"&amp;$E62,高値!$E$3:$IT$3,"&lt;="&amp;$AE62,OFFSET(高値!$E$6:$IT$6,MATCH(TEXT($B62,"0"),TEXT(銘柄管理!$B$6:$B$305,"0"),0)-1,0),"&gt;="&amp;$N62),_xlfn.MINIFS(安値!$E$3:$IT$3,安値!$E$3:$IT$3,"&gt;"&amp;$E62,安値!$E$3:$IT$3,"&lt;="&amp;$AE62,OFFSET(安値!$E$6:$IT$6,MATCH(TEXT($B62,"0"),TEXT(銘柄管理!$B$6:$B$305,"0"),0)-1,0),"&lt;="&amp;$N62)),""))</f>
        <v/>
      </c>
      <c r="AH62" s="600" t="str">
        <f>IF(OR($B62="",$M62=""),"",IF(AND(N($AF62)=0,N($AG62)=0),IF(AND(ISNUMBER($H62),$H62&gt;0,IF($C62="売",$H62&gt;=$N62,$H62&lt;=$N62)),"損切確定",IF(AND(ISNUMBER($H62),$H62&gt;0,IF($C62="売",$H62&lt;=$M62,$H62&gt;=$M62)),"利益確定",IF($AE62&lt;=TODAY(),"日数制限","保有中"))),IF(N($AG62)=0,"利益確定",IF(N($AF62)=0,"損切確定",IF($AG62&lt;=$AF62,"損切確定","利益確定")))))</f>
        <v/>
      </c>
      <c r="AI62" s="600" t="str" cm="1">
        <f t="array" ref="AI62">IFERROR(INDEX(始値!$E$6:$IT$305,MATCH(TEXT($B62,"0"),TEXT(銘柄管理!$B$6:$B$305,"0"),0),MATCH($AE62,始値!$E$3:$IT$3,0)),"")</f>
        <v/>
      </c>
      <c r="AJ62" s="905" t="str">
        <f>IF(OR($V62="",$F62="",$G62=""),"",$V62/($F62*$G62))</f>
        <v/>
      </c>
      <c r="AK62" s="629" t="str">
        <f>IF($V62="","",IF($V62&gt;0,"○勝",IF($V62&lt;0,"●負","△引分")))</f>
        <v/>
      </c>
      <c r="AL62" s="617" t="s">
        <v>1342</v>
      </c>
    </row>
    <row r="63" spans="1:37" ht="35.4" customHeight="1">
      <c r="A63" s="619" t="str">
        <f>IF(B63="","",HYPERLINK("https://kabutan.jp/stock/?code="&amp;B63,"株探"))</f>
        <v/>
      </c>
      <c r="B63" s="630"/>
      <c r="C63" s="490"/>
      <c r="D63" s="623" t="str" cm="1">
        <f t="array" ref="D63">IF($B63="","",_xll.RssMarket($B63,"銘柄名称"))</f>
        <v/>
      </c>
      <c r="E63" s="716"/>
      <c r="F63" s="698" t="str" cm="1">
        <f t="array" aca="1" ref="F63" ca="1">IFERROR(_xlfn.LET(_xlpm.r,MATCH(TEXT($B63,"0"),TEXT(銘柄管理!$B$6:$B$305,"0"),0),_xlpm.t,MOD(NOW(),1),_xlpm.c,IF($E63=TODAY(),IF(_xlpm.t&gt;=TIME(15,30,0),NA(),1),IF(MATCH($E63,始値!$E$3:$IT$3,0)=1,1,MATCH($E63,始値!$E$3:$IT$3,0)+1)),_xlpm.v,INDEX(始値!$C$6:$IT$305,_xlpm.r,_xlpm.c),IF(N(_xlpm.v)=0,"",_xlpm.v)),"")</f>
        <v/>
      </c>
      <c r="G63" s="631"/>
      <c r="H63" s="491" t="str" cm="1">
        <f t="array" ref="H63">IF($B63="","",_xll.RssMarket($B63,"現在値"))</f>
        <v/>
      </c>
      <c r="I63" s="491" t="str" cm="1">
        <f t="array" ref="I63">IF($B63="","",_xll.RssMarket($B63,"出来高加重平均"))</f>
        <v/>
      </c>
      <c r="J63" s="701" t="str" cm="1">
        <f t="array" ref="J63">IF($B63="","",_xll.RssMarket($B63,"前日比"))</f>
        <v/>
      </c>
      <c r="K63" s="701" t="str">
        <f>IF(OR(F63="",G63="",H63=""),"",IF(C63="売",(F63-H63)*G63,(H63-F63)*G63))</f>
        <v/>
      </c>
      <c r="L63" s="706" t="str">
        <f>IF(OR(F63="",H63=""),"",IF(C63="売",(F63-H63)/F63,(H63-F63)/F63))</f>
        <v/>
      </c>
      <c r="M63" s="491" t="str">
        <f>IF($F63="","",$F63*IF($C63="売",1-V811設定!$B$4,1+V811設定!$B$4)-MOD($F63*IF($C63="売",1-V811設定!$B$4,1+V811設定!$B$4),IF($F63&lt;=3000,1,IF($F63&lt;=5000,5,IF($F63&lt;=30000,10,IF($F63&lt;=50000,50,IF($F63&lt;=300000,100,500))))))+IF(AND($C63="売",MOD($F63*IF($C63="売",1-V811設定!$B$4,1+V811設定!$B$4),IF($F63&lt;=3000,1,IF($F63&lt;=5000,5,IF($F63&lt;=30000,10,IF($F63&lt;=50000,50,IF($F63&lt;=300000,100,500))))))&gt;0),IF($F63&lt;=3000,1,IF($F63&lt;=5000,5,IF($F63&lt;=30000,10,IF($F63&lt;=50000,50,IF($F63&lt;=300000,100,500))))),0))</f>
      </c>
      <c r="N63" s="491" t="str">
        <f>IF($F63="","",$F63*IF($C63="売",1+V811設定!$B$3,1-V811設定!$B$3)-MOD($F63*IF($C63="売",1+V811設定!$B$3,1-V811設定!$B$3),IF($F63&lt;=3000,1,IF($F63&lt;=5000,5,IF($F63&lt;=30000,10,IF($F63&lt;=50000,50,IF($F63&lt;=300000,100,500))))))+IF(AND($C63="売",MOD($F63*IF($C63="売",1+V811設定!$B$3,1-V811設定!$B$3),IF($F63&lt;=3000,1,IF($F63&lt;=5000,5,IF($F63&lt;=30000,10,IF($F63&lt;=50000,50,IF($F63&lt;=300000,100,500))))))&gt;0),IF($F63&lt;=3000,1,IF($F63&lt;=5000,5,IF($F63&lt;=30000,10,IF($F63&lt;=50000,50,IF($F63&lt;=300000,100,500))))),0))</f>
      </c>
      <c r="O63" s="492" t="str">
        <f>IF(OR($B63="",$F63="",$H63=""),"",IF($S63="✅売却済","―決済済―",IF($C63="売",IF($H63&lt;=$M63,"🟢利確",IF(AND($R63&lt;&gt;"",$H63&gt;=$R63),"🟠TRAIL",IF($H63&gt;=$N63,"🔴損切",IF($W63&gt;=V811設定!$B$6,"⏱時間決済",IF($H63&gt;=$F63*(1+V811設定!$B$3*0.7),"⚠️損切接近","保持継続"))))),IF($H63&gt;=$M63,"🟢利確",IF(AND($R63&lt;&gt;"",$H63&lt;=$R63),"🟠TRAIL",IF($H63&lt;=$N63,"🔴損切",IF($W63&gt;=V811設定!$B$6,"⏱時間決済",IF($H63&lt;=$F63*(1-V811設定!$B$3*0.7),"⚠️損切接近","保持継続"))))))))</f>
      </c>
      <c r="P63" s="491"/>
      <c r="Q63" s="491"/>
      <c r="R63" s="491" t="str">
        <f>IF(OR($F63="",$H63="",$N63=""),"",IF($S63="✅売却済","",IF($C63="売",IF($H63&gt;$F63*(1-V811設定!$B$3),$N63,MIN($N63,IF($Q63="",$N63,$Q63*1.03))),IF($H63&lt;$F63*(1+V811設定!$B$3),$N63,MAX($N63,IF($P63="",$N63,$P63*0.97))))))</f>
      </c>
      <c r="S63" s="586" t="str">
        <f>IF(B63="","",IF(T63&lt;&gt;"","✅売却済",IF(OR(H63="",L63=""),"📌保有中",IF(L63&gt;=0.06,"🟢利確推奨",IF(L63&gt;=0.05,"🟡利確直近",IF(L63&gt;=0.045,"🔵トレーリング検討",IF(L63&gt;-0.03,"📌保有中",IF(L63&gt;-0.04,"⚠️損切注意","🔴損切り"))))))))</f>
        <v/>
      </c>
      <c r="T63" s="594"/>
      <c r="U63" s="491"/>
      <c r="V63" s="701" t="str">
        <f>IF(OR(F63="",G63="",U63=""),"",IF(C63="売",(F63-U63)*G63,(U63-F63)*G63))</f>
        <v/>
      </c>
      <c r="W63" s="493" t="str">
        <f>IF(OR($E63="",$B63=""),"",IF($T63&lt;&gt;"",$T63-$E63,TODAY()-$E63)+1)</f>
        <v/>
      </c>
      <c r="X63" s="489" t="str">
        <f>IF(OR($AH63="",$AH63="保有中"),"",$AH63)</f>
        <v/>
      </c>
      <c r="Y63" s="488"/>
      <c r="Z63" s="710"/>
      <c r="AD63" s="608"/>
      <c r="AE63" s="624" t="str">
        <f>IF($E63="","",WORKDAY($E63,12))</f>
        <v/>
      </c>
      <c r="AF63" s="626" t="str" cm="1">
        <f t="array" aca="1" ref="AF63" ca="1">IF(OR($B63="",$M63=""),"",IFERROR(IF($C63="売",_xlfn.MINIFS(安値!$E$3:$IT$3,安値!$E$3:$IT$3,"&gt;"&amp;$E63,安値!$E$3:$IT$3,"&lt;="&amp;$AE63,OFFSET(安値!$E$6:$IT$6,MATCH(TEXT($B63,"0"),TEXT(銘柄管理!$B$6:$B$305,"0"),0)-1,0),"&lt;="&amp;$M63),_xlfn.MINIFS(高値!$E$3:$IT$3,高値!$E$3:$IT$3,"&gt;"&amp;$E63,高値!$E$3:$IT$3,"&lt;="&amp;$AE63,OFFSET(高値!$E$6:$IT$6,MATCH(TEXT($B63,"0"),TEXT(銘柄管理!$B$6:$B$305,"0"),0)-1,0),"&gt;="&amp;$M63)),""))</f>
        <v/>
      </c>
      <c r="AG63" s="626" t="str" cm="1">
        <f t="array" aca="1" ref="AG63" ca="1">IF(OR($B63="",$N63=""),"",IFERROR(IF($C63="売",_xlfn.MINIFS(高値!$E$3:$IT$3,高値!$E$3:$IT$3,"&gt;"&amp;$E63,高値!$E$3:$IT$3,"&lt;="&amp;$AE63,OFFSET(高値!$E$6:$IT$6,MATCH(TEXT($B63,"0"),TEXT(銘柄管理!$B$6:$B$305,"0"),0)-1,0),"&gt;="&amp;$N63),_xlfn.MINIFS(安値!$E$3:$IT$3,安値!$E$3:$IT$3,"&gt;"&amp;$E63,安値!$E$3:$IT$3,"&lt;="&amp;$AE63,OFFSET(安値!$E$6:$IT$6,MATCH(TEXT($B63,"0"),TEXT(銘柄管理!$B$6:$B$305,"0"),0)-1,0),"&lt;="&amp;$N63)),""))</f>
        <v/>
      </c>
      <c r="AH63" s="600" t="str">
        <f>IF(OR($B63="",$M63=""),"",IF(AND(N($AF63)=0,N($AG63)=0),IF(AND(ISNUMBER($H63),$H63&gt;0,IF($C63="売",$H63&gt;=$N63,$H63&lt;=$N63)),"損切確定",IF(AND(ISNUMBER($H63),$H63&gt;0,IF($C63="売",$H63&lt;=$M63,$H63&gt;=$M63)),"利益確定",IF($AE63&lt;=TODAY(),"日数制限","保有中"))),IF(N($AG63)=0,"利益確定",IF(N($AF63)=0,"損切確定",IF($AG63&lt;=$AF63,"損切確定","利益確定")))))</f>
        <v/>
      </c>
      <c r="AI63" s="600" t="str" cm="1">
        <f t="array" ref="AI63">IFERROR(INDEX(始値!$E$6:$IT$305,MATCH(TEXT($B63,"0"),TEXT(銘柄管理!$B$6:$B$305,"0"),0),MATCH($AE63,始値!$E$3:$IT$3,0)),"")</f>
        <v/>
      </c>
      <c r="AJ63" s="905" t="str">
        <f>IF(OR($V63="",$F63="",$G63=""),"",$V63/($F63*$G63))</f>
        <v/>
      </c>
      <c r="AK63" s="629" t="str">
        <f>IF($V63="","",IF($V63&gt;0,"○勝",IF($V63&lt;0,"●負","△引分")))</f>
        <v/>
      </c>
    </row>
    <row r="64" spans="1:37" ht="35.4" customHeight="1">
      <c r="A64" s="619" t="str">
        <f>IF(B64="","",HYPERLINK("https://kabutan.jp/stock/?code="&amp;B64,"株探"))</f>
        <v/>
      </c>
      <c r="B64" s="630"/>
      <c r="C64" s="490"/>
      <c r="D64" s="623" t="str" cm="1">
        <f t="array" ref="D64">IF($B64="","",_xll.RssMarket($B64,"銘柄名称"))</f>
        <v/>
      </c>
      <c r="E64" s="716"/>
      <c r="F64" s="698" t="str" cm="1">
        <f t="array" aca="1" ref="F64" ca="1">IFERROR(_xlfn.LET(_xlpm.r,MATCH(TEXT($B64,"0"),TEXT(銘柄管理!$B$6:$B$305,"0"),0),_xlpm.t,MOD(NOW(),1),_xlpm.c,IF($E64=TODAY(),IF(_xlpm.t&gt;=TIME(15,30,0),NA(),1),IF(MATCH($E64,始値!$E$3:$IT$3,0)=1,1,MATCH($E64,始値!$E$3:$IT$3,0)+1)),_xlpm.v,INDEX(始値!$C$6:$IT$305,_xlpm.r,_xlpm.c),IF(N(_xlpm.v)=0,"",_xlpm.v)),"")</f>
        <v/>
      </c>
      <c r="G64" s="631"/>
      <c r="H64" s="491" t="str" cm="1">
        <f t="array" ref="H64">IF($B64="","",_xll.RssMarket($B64,"現在値"))</f>
        <v/>
      </c>
      <c r="I64" s="491" t="str" cm="1">
        <f t="array" ref="I64">IF($B64="","",_xll.RssMarket($B64,"出来高加重平均"))</f>
        <v/>
      </c>
      <c r="J64" s="701" t="str" cm="1">
        <f t="array" ref="J64">IF($B64="","",_xll.RssMarket($B64,"前日比"))</f>
        <v/>
      </c>
      <c r="K64" s="701" t="str">
        <f>IF(OR(F64="",G64="",H64=""),"",IF(C64="売",(F64-H64)*G64,(H64-F64)*G64))</f>
        <v/>
      </c>
      <c r="L64" s="706" t="str">
        <f>IF(OR(F64="",H64=""),"",IF(C64="売",(F64-H64)/F64,(H64-F64)/F64))</f>
        <v/>
      </c>
      <c r="M64" s="491" t="str">
        <f>IF($F64="","",$F64*IF($C64="売",1-V811設定!$B$4,1+V811設定!$B$4)-MOD($F64*IF($C64="売",1-V811設定!$B$4,1+V811設定!$B$4),IF($F64&lt;=3000,1,IF($F64&lt;=5000,5,IF($F64&lt;=30000,10,IF($F64&lt;=50000,50,IF($F64&lt;=300000,100,500))))))+IF(AND($C64="売",MOD($F64*IF($C64="売",1-V811設定!$B$4,1+V811設定!$B$4),IF($F64&lt;=3000,1,IF($F64&lt;=5000,5,IF($F64&lt;=30000,10,IF($F64&lt;=50000,50,IF($F64&lt;=300000,100,500))))))&gt;0),IF($F64&lt;=3000,1,IF($F64&lt;=5000,5,IF($F64&lt;=30000,10,IF($F64&lt;=50000,50,IF($F64&lt;=300000,100,500))))),0))</f>
      </c>
      <c r="N64" s="491" t="str">
        <f>IF($F64="","",$F64*IF($C64="売",1+V811設定!$B$3,1-V811設定!$B$3)-MOD($F64*IF($C64="売",1+V811設定!$B$3,1-V811設定!$B$3),IF($F64&lt;=3000,1,IF($F64&lt;=5000,5,IF($F64&lt;=30000,10,IF($F64&lt;=50000,50,IF($F64&lt;=300000,100,500))))))+IF(AND($C64="売",MOD($F64*IF($C64="売",1+V811設定!$B$3,1-V811設定!$B$3),IF($F64&lt;=3000,1,IF($F64&lt;=5000,5,IF($F64&lt;=30000,10,IF($F64&lt;=50000,50,IF($F64&lt;=300000,100,500))))))&gt;0),IF($F64&lt;=3000,1,IF($F64&lt;=5000,5,IF($F64&lt;=30000,10,IF($F64&lt;=50000,50,IF($F64&lt;=300000,100,500))))),0))</f>
      </c>
      <c r="O64" s="492" t="str">
        <f>IF(OR($B64="",$F64="",$H64=""),"",IF($S64="✅売却済","―決済済―",IF($C64="売",IF($H64&lt;=$M64,"🟢利確",IF(AND($R64&lt;&gt;"",$H64&gt;=$R64),"🟠TRAIL",IF($H64&gt;=$N64,"🔴損切",IF($W64&gt;=V811設定!$B$6,"⏱時間決済",IF($H64&gt;=$F64*(1+V811設定!$B$3*0.7),"⚠️損切接近","保持継続"))))),IF($H64&gt;=$M64,"🟢利確",IF(AND($R64&lt;&gt;"",$H64&lt;=$R64),"🟠TRAIL",IF($H64&lt;=$N64,"🔴損切",IF($W64&gt;=V811設定!$B$6,"⏱時間決済",IF($H64&lt;=$F64*(1-V811設定!$B$3*0.7),"⚠️損切接近","保持継続"))))))))</f>
      </c>
      <c r="P64" s="491"/>
      <c r="Q64" s="491"/>
      <c r="R64" s="491" t="str">
        <f>IF(OR($F64="",$H64="",$N64=""),"",IF($S64="✅売却済","",IF($C64="売",IF($H64&gt;$F64*(1-V811設定!$B$3),$N64,MIN($N64,IF($Q64="",$N64,$Q64*1.03))),IF($H64&lt;$F64*(1+V811設定!$B$3),$N64,MAX($N64,IF($P64="",$N64,$P64*0.97))))))</f>
      </c>
      <c r="S64" s="586" t="str">
        <f>IF(B64="","",IF(T64&lt;&gt;"","✅売却済",IF(OR(H64="",L64=""),"📌保有中",IF(L64&gt;=0.06,"🟢利確推奨",IF(L64&gt;=0.05,"🟡利確直近",IF(L64&gt;=0.045,"🔵トレーリング検討",IF(L64&gt;-0.03,"📌保有中",IF(L64&gt;-0.04,"⚠️損切注意","🔴損切り"))))))))</f>
        <v/>
      </c>
      <c r="T64" s="594"/>
      <c r="U64" s="491"/>
      <c r="V64" s="701" t="str">
        <f>IF(OR(F64="",G64="",U64=""),"",IF(C64="売",(F64-U64)*G64,(U64-F64)*G64))</f>
        <v/>
      </c>
      <c r="W64" s="493" t="str">
        <f>IF(OR($E64="",$B64=""),"",IF($T64&lt;&gt;"",$T64-$E64,TODAY()-$E64)+1)</f>
        <v/>
      </c>
      <c r="X64" s="489" t="str">
        <f>IF(OR($AH64="",$AH64="保有中"),"",$AH64)</f>
        <v/>
      </c>
      <c r="Y64" s="488"/>
      <c r="Z64" s="710"/>
      <c r="AD64" s="608"/>
      <c r="AE64" s="624" t="str">
        <f>IF($E64="","",WORKDAY($E64,12))</f>
        <v/>
      </c>
      <c r="AF64" s="626" t="str" cm="1">
        <f t="array" aca="1" ref="AF64" ca="1">IF(OR($B64="",$M64=""),"",IFERROR(IF($C64="売",_xlfn.MINIFS(安値!$E$3:$IT$3,安値!$E$3:$IT$3,"&gt;"&amp;$E64,安値!$E$3:$IT$3,"&lt;="&amp;$AE64,OFFSET(安値!$E$6:$IT$6,MATCH(TEXT($B64,"0"),TEXT(銘柄管理!$B$6:$B$305,"0"),0)-1,0),"&lt;="&amp;$M64),_xlfn.MINIFS(高値!$E$3:$IT$3,高値!$E$3:$IT$3,"&gt;"&amp;$E64,高値!$E$3:$IT$3,"&lt;="&amp;$AE64,OFFSET(高値!$E$6:$IT$6,MATCH(TEXT($B64,"0"),TEXT(銘柄管理!$B$6:$B$305,"0"),0)-1,0),"&gt;="&amp;$M64)),""))</f>
        <v/>
      </c>
      <c r="AG64" s="626" t="str" cm="1">
        <f t="array" aca="1" ref="AG64" ca="1">IF(OR($B64="",$N64=""),"",IFERROR(IF($C64="売",_xlfn.MINIFS(高値!$E$3:$IT$3,高値!$E$3:$IT$3,"&gt;"&amp;$E64,高値!$E$3:$IT$3,"&lt;="&amp;$AE64,OFFSET(高値!$E$6:$IT$6,MATCH(TEXT($B64,"0"),TEXT(銘柄管理!$B$6:$B$305,"0"),0)-1,0),"&gt;="&amp;$N64),_xlfn.MINIFS(安値!$E$3:$IT$3,安値!$E$3:$IT$3,"&gt;"&amp;$E64,安値!$E$3:$IT$3,"&lt;="&amp;$AE64,OFFSET(安値!$E$6:$IT$6,MATCH(TEXT($B64,"0"),TEXT(銘柄管理!$B$6:$B$305,"0"),0)-1,0),"&lt;="&amp;$N64)),""))</f>
        <v/>
      </c>
      <c r="AH64" s="600" t="str">
        <f>IF(OR($B64="",$M64=""),"",IF(AND(N($AF64)=0,N($AG64)=0),IF(AND(ISNUMBER($H64),$H64&gt;0,IF($C64="売",$H64&gt;=$N64,$H64&lt;=$N64)),"損切確定",IF(AND(ISNUMBER($H64),$H64&gt;0,IF($C64="売",$H64&lt;=$M64,$H64&gt;=$M64)),"利益確定",IF($AE64&lt;=TODAY(),"日数制限","保有中"))),IF(N($AG64)=0,"利益確定",IF(N($AF64)=0,"損切確定",IF($AG64&lt;=$AF64,"損切確定","利益確定")))))</f>
        <v/>
      </c>
      <c r="AI64" s="600" t="str" cm="1">
        <f t="array" ref="AI64">IFERROR(INDEX(始値!$E$6:$IT$305,MATCH(TEXT($B64,"0"),TEXT(銘柄管理!$B$6:$B$305,"0"),0),MATCH($AE64,始値!$E$3:$IT$3,0)),"")</f>
        <v/>
      </c>
      <c r="AJ64" s="905" t="str">
        <f>IF(OR($V64="",$F64="",$G64=""),"",$V64/($F64*$G64))</f>
        <v/>
      </c>
      <c r="AK64" s="629" t="str">
        <f>IF($V64="","",IF($V64&gt;0,"○勝",IF($V64&lt;0,"●負","△引分")))</f>
        <v/>
      </c>
    </row>
    <row r="65" spans="1:37" ht="35.4" customHeight="1">
      <c r="A65" s="619" t="str">
        <f>IF(B65="","",HYPERLINK("https://kabutan.jp/stock/?code="&amp;B65,"株探"))</f>
        <v/>
      </c>
      <c r="B65" s="630"/>
      <c r="C65" s="490"/>
      <c r="D65" s="623" t="str" cm="1">
        <f t="array" ref="D65">IF($B65="","",_xll.RssMarket($B65,"銘柄名称"))</f>
        <v/>
      </c>
      <c r="E65" s="716"/>
      <c r="F65" s="698" t="str" cm="1">
        <f t="array" aca="1" ref="F65" ca="1">IFERROR(_xlfn.LET(_xlpm.r,MATCH(TEXT($B65,"0"),TEXT(銘柄管理!$B$6:$B$305,"0"),0),_xlpm.t,MOD(NOW(),1),_xlpm.c,IF($E65=TODAY(),IF(_xlpm.t&gt;=TIME(15,30,0),NA(),1),IF(MATCH($E65,始値!$E$3:$IT$3,0)=1,1,MATCH($E65,始値!$E$3:$IT$3,0)+1)),_xlpm.v,INDEX(始値!$C$6:$IT$305,_xlpm.r,_xlpm.c),IF(N(_xlpm.v)=0,"",_xlpm.v)),"")</f>
        <v/>
      </c>
      <c r="G65" s="631"/>
      <c r="H65" s="491" t="str" cm="1">
        <f t="array" ref="H65">IF($B65="","",_xll.RssMarket($B65,"現在値"))</f>
        <v/>
      </c>
      <c r="I65" s="491" t="str" cm="1">
        <f t="array" ref="I65">IF($B65="","",_xll.RssMarket($B65,"出来高加重平均"))</f>
        <v/>
      </c>
      <c r="J65" s="701" t="str" cm="1">
        <f t="array" ref="J65">IF($B65="","",_xll.RssMarket($B65,"前日比"))</f>
        <v/>
      </c>
      <c r="K65" s="701" t="str">
        <f>IF(OR(F65="",G65="",H65=""),"",IF(C65="売",(F65-H65)*G65,(H65-F65)*G65))</f>
        <v/>
      </c>
      <c r="L65" s="706" t="str">
        <f>IF(OR(F65="",H65=""),"",IF(C65="売",(F65-H65)/F65,(H65-F65)/F65))</f>
        <v/>
      </c>
      <c r="M65" s="491" t="str">
        <f>IF($F65="","",$F65*IF($C65="売",1-V811設定!$B$4,1+V811設定!$B$4)-MOD($F65*IF($C65="売",1-V811設定!$B$4,1+V811設定!$B$4),IF($F65&lt;=3000,1,IF($F65&lt;=5000,5,IF($F65&lt;=30000,10,IF($F65&lt;=50000,50,IF($F65&lt;=300000,100,500))))))+IF(AND($C65="売",MOD($F65*IF($C65="売",1-V811設定!$B$4,1+V811設定!$B$4),IF($F65&lt;=3000,1,IF($F65&lt;=5000,5,IF($F65&lt;=30000,10,IF($F65&lt;=50000,50,IF($F65&lt;=300000,100,500))))))&gt;0),IF($F65&lt;=3000,1,IF($F65&lt;=5000,5,IF($F65&lt;=30000,10,IF($F65&lt;=50000,50,IF($F65&lt;=300000,100,500))))),0))</f>
      </c>
      <c r="N65" s="491" t="str">
        <f>IF($F65="","",$F65*IF($C65="売",1+V811設定!$B$3,1-V811設定!$B$3)-MOD($F65*IF($C65="売",1+V811設定!$B$3,1-V811設定!$B$3),IF($F65&lt;=3000,1,IF($F65&lt;=5000,5,IF($F65&lt;=30000,10,IF($F65&lt;=50000,50,IF($F65&lt;=300000,100,500))))))+IF(AND($C65="売",MOD($F65*IF($C65="売",1+V811設定!$B$3,1-V811設定!$B$3),IF($F65&lt;=3000,1,IF($F65&lt;=5000,5,IF($F65&lt;=30000,10,IF($F65&lt;=50000,50,IF($F65&lt;=300000,100,500))))))&gt;0),IF($F65&lt;=3000,1,IF($F65&lt;=5000,5,IF($F65&lt;=30000,10,IF($F65&lt;=50000,50,IF($F65&lt;=300000,100,500))))),0))</f>
      </c>
      <c r="O65" s="492" t="str">
        <f>IF(OR($B65="",$F65="",$H65=""),"",IF($S65="✅売却済","―決済済―",IF($C65="売",IF($H65&lt;=$M65,"🟢利確",IF(AND($R65&lt;&gt;"",$H65&gt;=$R65),"🟠TRAIL",IF($H65&gt;=$N65,"🔴損切",IF($W65&gt;=V811設定!$B$6,"⏱時間決済",IF($H65&gt;=$F65*(1+V811設定!$B$3*0.7),"⚠️損切接近","保持継続"))))),IF($H65&gt;=$M65,"🟢利確",IF(AND($R65&lt;&gt;"",$H65&lt;=$R65),"🟠TRAIL",IF($H65&lt;=$N65,"🔴損切",IF($W65&gt;=V811設定!$B$6,"⏱時間決済",IF($H65&lt;=$F65*(1-V811設定!$B$3*0.7),"⚠️損切接近","保持継続"))))))))</f>
      </c>
      <c r="P65" s="491"/>
      <c r="Q65" s="491"/>
      <c r="R65" s="491" t="str">
        <f>IF(OR($F65="",$H65="",$N65=""),"",IF($S65="✅売却済","",IF($C65="売",IF($H65&gt;$F65*(1-V811設定!$B$3),$N65,MIN($N65,IF($Q65="",$N65,$Q65*1.03))),IF($H65&lt;$F65*(1+V811設定!$B$3),$N65,MAX($N65,IF($P65="",$N65,$P65*0.97))))))</f>
      </c>
      <c r="S65" s="586" t="str">
        <f>IF(B65="","",IF(T65&lt;&gt;"","✅売却済",IF(OR(H65="",L65=""),"📌保有中",IF(L65&gt;=0.06,"🟢利確推奨",IF(L65&gt;=0.05,"🟡利確直近",IF(L65&gt;=0.045,"🔵トレーリング検討",IF(L65&gt;-0.03,"📌保有中",IF(L65&gt;-0.04,"⚠️損切注意","🔴損切り"))))))))</f>
        <v/>
      </c>
      <c r="T65" s="594"/>
      <c r="U65" s="491"/>
      <c r="V65" s="701" t="str">
        <f>IF(OR(F65="",G65="",U65=""),"",IF(C65="売",(F65-U65)*G65,(U65-F65)*G65))</f>
        <v/>
      </c>
      <c r="W65" s="493" t="str">
        <f>IF(OR($E65="",$B65=""),"",IF($T65&lt;&gt;"",$T65-$E65,TODAY()-$E65)+1)</f>
        <v/>
      </c>
      <c r="X65" s="489" t="str">
        <f>IF(OR($AH65="",$AH65="保有中"),"",$AH65)</f>
        <v/>
      </c>
      <c r="Y65" s="488"/>
      <c r="Z65" s="710"/>
      <c r="AD65" s="608"/>
      <c r="AE65" s="624" t="str">
        <f>IF($E65="","",WORKDAY($E65,12))</f>
        <v/>
      </c>
      <c r="AF65" s="626" t="str" cm="1">
        <f t="array" aca="1" ref="AF65" ca="1">IF(OR($B65="",$M65=""),"",IFERROR(IF($C65="売",_xlfn.MINIFS(安値!$E$3:$IT$3,安値!$E$3:$IT$3,"&gt;"&amp;$E65,安値!$E$3:$IT$3,"&lt;="&amp;$AE65,OFFSET(安値!$E$6:$IT$6,MATCH(TEXT($B65,"0"),TEXT(銘柄管理!$B$6:$B$305,"0"),0)-1,0),"&lt;="&amp;$M65),_xlfn.MINIFS(高値!$E$3:$IT$3,高値!$E$3:$IT$3,"&gt;"&amp;$E65,高値!$E$3:$IT$3,"&lt;="&amp;$AE65,OFFSET(高値!$E$6:$IT$6,MATCH(TEXT($B65,"0"),TEXT(銘柄管理!$B$6:$B$305,"0"),0)-1,0),"&gt;="&amp;$M65)),""))</f>
        <v/>
      </c>
      <c r="AG65" s="626" t="str" cm="1">
        <f t="array" aca="1" ref="AG65" ca="1">IF(OR($B65="",$N65=""),"",IFERROR(IF($C65="売",_xlfn.MINIFS(高値!$E$3:$IT$3,高値!$E$3:$IT$3,"&gt;"&amp;$E65,高値!$E$3:$IT$3,"&lt;="&amp;$AE65,OFFSET(高値!$E$6:$IT$6,MATCH(TEXT($B65,"0"),TEXT(銘柄管理!$B$6:$B$305,"0"),0)-1,0),"&gt;="&amp;$N65),_xlfn.MINIFS(安値!$E$3:$IT$3,安値!$E$3:$IT$3,"&gt;"&amp;$E65,安値!$E$3:$IT$3,"&lt;="&amp;$AE65,OFFSET(安値!$E$6:$IT$6,MATCH(TEXT($B65,"0"),TEXT(銘柄管理!$B$6:$B$305,"0"),0)-1,0),"&lt;="&amp;$N65)),""))</f>
        <v/>
      </c>
      <c r="AH65" s="600" t="str">
        <f>IF(OR($B65="",$M65=""),"",IF(AND(N($AF65)=0,N($AG65)=0),IF(AND(ISNUMBER($H65),$H65&gt;0,IF($C65="売",$H65&gt;=$N65,$H65&lt;=$N65)),"損切確定",IF(AND(ISNUMBER($H65),$H65&gt;0,IF($C65="売",$H65&lt;=$M65,$H65&gt;=$M65)),"利益確定",IF($AE65&lt;=TODAY(),"日数制限","保有中"))),IF(N($AG65)=0,"利益確定",IF(N($AF65)=0,"損切確定",IF($AG65&lt;=$AF65,"損切確定","利益確定")))))</f>
        <v/>
      </c>
      <c r="AI65" s="600" t="str" cm="1">
        <f t="array" ref="AI65">IFERROR(INDEX(始値!$E$6:$IT$305,MATCH(TEXT($B65,"0"),TEXT(銘柄管理!$B$6:$B$305,"0"),0),MATCH($AE65,始値!$E$3:$IT$3,0)),"")</f>
        <v/>
      </c>
      <c r="AJ65" s="905" t="str">
        <f>IF(OR($V65="",$F65="",$G65=""),"",$V65/($F65*$G65))</f>
        <v/>
      </c>
      <c r="AK65" s="629" t="str">
        <f>IF($V65="","",IF($V65&gt;0,"○勝",IF($V65&lt;0,"●負","△引分")))</f>
        <v/>
      </c>
    </row>
    <row r="66" spans="1:37" ht="35.4" customHeight="1">
      <c r="A66" s="619" t="str">
        <f>IF(B66="","",HYPERLINK("https://kabutan.jp/stock/?code="&amp;B66,"株探"))</f>
        <v/>
      </c>
      <c r="B66" s="630"/>
      <c r="C66" s="490"/>
      <c r="D66" s="623" t="str" cm="1">
        <f t="array" ref="D66">IF($B66="","",_xll.RssMarket($B66,"銘柄名称"))</f>
        <v/>
      </c>
      <c r="E66" s="716"/>
      <c r="F66" s="698" t="str" cm="1">
        <f t="array" aca="1" ref="F66" ca="1">IFERROR(_xlfn.LET(_xlpm.r,MATCH(TEXT($B66,"0"),TEXT(銘柄管理!$B$6:$B$305,"0"),0),_xlpm.t,MOD(NOW(),1),_xlpm.c,IF($E66=TODAY(),IF(_xlpm.t&gt;=TIME(15,30,0),NA(),1),IF(MATCH($E66,始値!$E$3:$IT$3,0)=1,1,MATCH($E66,始値!$E$3:$IT$3,0)+1)),_xlpm.v,INDEX(始値!$C$6:$IT$305,_xlpm.r,_xlpm.c),IF(N(_xlpm.v)=0,"",_xlpm.v)),"")</f>
        <v/>
      </c>
      <c r="G66" s="631"/>
      <c r="H66" s="491" t="str" cm="1">
        <f t="array" ref="H66">IF($B66="","",_xll.RssMarket($B66,"現在値"))</f>
        <v/>
      </c>
      <c r="I66" s="491" t="str" cm="1">
        <f t="array" ref="I66">IF($B66="","",_xll.RssMarket($B66,"出来高加重平均"))</f>
        <v/>
      </c>
      <c r="J66" s="701" t="str" cm="1">
        <f t="array" ref="J66">IF($B66="","",_xll.RssMarket($B66,"前日比"))</f>
        <v/>
      </c>
      <c r="K66" s="701" t="str">
        <f>IF(OR(F66="",G66="",H66=""),"",IF(C66="売",(F66-H66)*G66,(H66-F66)*G66))</f>
        <v/>
      </c>
      <c r="L66" s="706" t="str">
        <f>IF(OR(F66="",H66=""),"",IF(C66="売",(F66-H66)/F66,(H66-F66)/F66))</f>
        <v/>
      </c>
      <c r="M66" s="491" t="str">
        <f>IF($F66="","",$F66*IF($C66="売",1-V811設定!$B$4,1+V811設定!$B$4)-MOD($F66*IF($C66="売",1-V811設定!$B$4,1+V811設定!$B$4),IF($F66&lt;=3000,1,IF($F66&lt;=5000,5,IF($F66&lt;=30000,10,IF($F66&lt;=50000,50,IF($F66&lt;=300000,100,500))))))+IF(AND($C66="売",MOD($F66*IF($C66="売",1-V811設定!$B$4,1+V811設定!$B$4),IF($F66&lt;=3000,1,IF($F66&lt;=5000,5,IF($F66&lt;=30000,10,IF($F66&lt;=50000,50,IF($F66&lt;=300000,100,500))))))&gt;0),IF($F66&lt;=3000,1,IF($F66&lt;=5000,5,IF($F66&lt;=30000,10,IF($F66&lt;=50000,50,IF($F66&lt;=300000,100,500))))),0))</f>
      </c>
      <c r="N66" s="491" t="str">
        <f>IF($F66="","",$F66*IF($C66="売",1+V811設定!$B$3,1-V811設定!$B$3)-MOD($F66*IF($C66="売",1+V811設定!$B$3,1-V811設定!$B$3),IF($F66&lt;=3000,1,IF($F66&lt;=5000,5,IF($F66&lt;=30000,10,IF($F66&lt;=50000,50,IF($F66&lt;=300000,100,500))))))+IF(AND($C66="売",MOD($F66*IF($C66="売",1+V811設定!$B$3,1-V811設定!$B$3),IF($F66&lt;=3000,1,IF($F66&lt;=5000,5,IF($F66&lt;=30000,10,IF($F66&lt;=50000,50,IF($F66&lt;=300000,100,500))))))&gt;0),IF($F66&lt;=3000,1,IF($F66&lt;=5000,5,IF($F66&lt;=30000,10,IF($F66&lt;=50000,50,IF($F66&lt;=300000,100,500))))),0))</f>
      </c>
      <c r="O66" s="492" t="str">
        <f>IF(OR($B66="",$F66="",$H66=""),"",IF($S66="✅売却済","―決済済―",IF($C66="売",IF($H66&lt;=$M66,"🟢利確",IF(AND($R66&lt;&gt;"",$H66&gt;=$R66),"🟠TRAIL",IF($H66&gt;=$N66,"🔴損切",IF($W66&gt;=V811設定!$B$6,"⏱時間決済",IF($H66&gt;=$F66*(1+V811設定!$B$3*0.7),"⚠️損切接近","保持継続"))))),IF($H66&gt;=$M66,"🟢利確",IF(AND($R66&lt;&gt;"",$H66&lt;=$R66),"🟠TRAIL",IF($H66&lt;=$N66,"🔴損切",IF($W66&gt;=V811設定!$B$6,"⏱時間決済",IF($H66&lt;=$F66*(1-V811設定!$B$3*0.7),"⚠️損切接近","保持継続"))))))))</f>
      </c>
      <c r="P66" s="491"/>
      <c r="Q66" s="491"/>
      <c r="R66" s="491" t="str">
        <f>IF(OR($F66="",$H66="",$N66=""),"",IF($S66="✅売却済","",IF($C66="売",IF($H66&gt;$F66*(1-V811設定!$B$3),$N66,MIN($N66,IF($Q66="",$N66,$Q66*1.03))),IF($H66&lt;$F66*(1+V811設定!$B$3),$N66,MAX($N66,IF($P66="",$N66,$P66*0.97))))))</f>
      </c>
      <c r="S66" s="586" t="str">
        <f>IF(B66="","",IF(T66&lt;&gt;"","✅売却済",IF(OR(H66="",L66=""),"📌保有中",IF(L66&gt;=0.06,"🟢利確推奨",IF(L66&gt;=0.05,"🟡利確直近",IF(L66&gt;=0.045,"🔵トレーリング検討",IF(L66&gt;-0.03,"📌保有中",IF(L66&gt;-0.04,"⚠️損切注意","🔴損切り"))))))))</f>
        <v/>
      </c>
      <c r="T66" s="594"/>
      <c r="U66" s="491"/>
      <c r="V66" s="701" t="str">
        <f>IF(OR(F66="",G66="",U66=""),"",IF(C66="売",(F66-U66)*G66,(U66-F66)*G66))</f>
        <v/>
      </c>
      <c r="W66" s="493" t="str">
        <f>IF(OR($E66="",$B66=""),"",IF($T66&lt;&gt;"",$T66-$E66,TODAY()-$E66)+1)</f>
        <v/>
      </c>
      <c r="X66" s="489" t="str">
        <f>IF(OR($AH66="",$AH66="保有中"),"",$AH66)</f>
        <v/>
      </c>
      <c r="Y66" s="488"/>
      <c r="Z66" s="710"/>
      <c r="AD66" s="608"/>
      <c r="AE66" s="624" t="str">
        <f>IF($E66="","",WORKDAY($E66,12))</f>
        <v/>
      </c>
      <c r="AF66" s="626" t="str" cm="1">
        <f t="array" aca="1" ref="AF66" ca="1">IF(OR($B66="",$M66=""),"",IFERROR(IF($C66="売",_xlfn.MINIFS(安値!$E$3:$IT$3,安値!$E$3:$IT$3,"&gt;"&amp;$E66,安値!$E$3:$IT$3,"&lt;="&amp;$AE66,OFFSET(安値!$E$6:$IT$6,MATCH(TEXT($B66,"0"),TEXT(銘柄管理!$B$6:$B$305,"0"),0)-1,0),"&lt;="&amp;$M66),_xlfn.MINIFS(高値!$E$3:$IT$3,高値!$E$3:$IT$3,"&gt;"&amp;$E66,高値!$E$3:$IT$3,"&lt;="&amp;$AE66,OFFSET(高値!$E$6:$IT$6,MATCH(TEXT($B66,"0"),TEXT(銘柄管理!$B$6:$B$305,"0"),0)-1,0),"&gt;="&amp;$M66)),""))</f>
        <v/>
      </c>
      <c r="AG66" s="626" t="str" cm="1">
        <f t="array" aca="1" ref="AG66" ca="1">IF(OR($B66="",$N66=""),"",IFERROR(IF($C66="売",_xlfn.MINIFS(高値!$E$3:$IT$3,高値!$E$3:$IT$3,"&gt;"&amp;$E66,高値!$E$3:$IT$3,"&lt;="&amp;$AE66,OFFSET(高値!$E$6:$IT$6,MATCH(TEXT($B66,"0"),TEXT(銘柄管理!$B$6:$B$305,"0"),0)-1,0),"&gt;="&amp;$N66),_xlfn.MINIFS(安値!$E$3:$IT$3,安値!$E$3:$IT$3,"&gt;"&amp;$E66,安値!$E$3:$IT$3,"&lt;="&amp;$AE66,OFFSET(安値!$E$6:$IT$6,MATCH(TEXT($B66,"0"),TEXT(銘柄管理!$B$6:$B$305,"0"),0)-1,0),"&lt;="&amp;$N66)),""))</f>
        <v/>
      </c>
      <c r="AH66" s="600" t="str">
        <f>IF(OR($B66="",$M66=""),"",IF(AND(N($AF66)=0,N($AG66)=0),IF(AND(ISNUMBER($H66),$H66&gt;0,IF($C66="売",$H66&gt;=$N66,$H66&lt;=$N66)),"損切確定",IF(AND(ISNUMBER($H66),$H66&gt;0,IF($C66="売",$H66&lt;=$M66,$H66&gt;=$M66)),"利益確定",IF($AE66&lt;=TODAY(),"日数制限","保有中"))),IF(N($AG66)=0,"利益確定",IF(N($AF66)=0,"損切確定",IF($AG66&lt;=$AF66,"損切確定","利益確定")))))</f>
        <v/>
      </c>
      <c r="AI66" s="600" t="str" cm="1">
        <f t="array" ref="AI66">IFERROR(INDEX(始値!$E$6:$IT$305,MATCH(TEXT($B66,"0"),TEXT(銘柄管理!$B$6:$B$305,"0"),0),MATCH($AE66,始値!$E$3:$IT$3,0)),"")</f>
        <v/>
      </c>
      <c r="AJ66" s="905" t="str">
        <f>IF(OR($V66="",$F66="",$G66=""),"",$V66/($F66*$G66))</f>
        <v/>
      </c>
      <c r="AK66" s="629" t="str">
        <f>IF($V66="","",IF($V66&gt;0,"○勝",IF($V66&lt;0,"●負","△引分")))</f>
        <v/>
      </c>
    </row>
    <row r="67" spans="1:37" ht="35.4" customHeight="1">
      <c r="A67" s="619" t="str">
        <f>IF(B67="","",HYPERLINK("https://kabutan.jp/stock/?code="&amp;B67,"株探"))</f>
        <v/>
      </c>
      <c r="B67" s="630"/>
      <c r="C67" s="490"/>
      <c r="D67" s="623" t="str" cm="1">
        <f t="array" ref="D67">IF($B67="","",_xll.RssMarket($B67,"銘柄名称"))</f>
        <v/>
      </c>
      <c r="E67" s="716"/>
      <c r="F67" s="698" t="str" cm="1">
        <f t="array" aca="1" ref="F67" ca="1">IFERROR(_xlfn.LET(_xlpm.r,MATCH(TEXT($B67,"0"),TEXT(銘柄管理!$B$6:$B$305,"0"),0),_xlpm.t,MOD(NOW(),1),_xlpm.c,IF($E67=TODAY(),IF(_xlpm.t&gt;=TIME(15,30,0),NA(),1),IF(MATCH($E67,始値!$E$3:$IT$3,0)=1,1,MATCH($E67,始値!$E$3:$IT$3,0)+1)),_xlpm.v,INDEX(始値!$C$6:$IT$305,_xlpm.r,_xlpm.c),IF(N(_xlpm.v)=0,"",_xlpm.v)),"")</f>
        <v/>
      </c>
      <c r="G67" s="631"/>
      <c r="H67" s="491" t="str" cm="1">
        <f t="array" ref="H67">IF($B67="","",_xll.RssMarket($B67,"現在値"))</f>
        <v/>
      </c>
      <c r="I67" s="491" t="str" cm="1">
        <f t="array" ref="I67">IF($B67="","",_xll.RssMarket($B67,"出来高加重平均"))</f>
        <v/>
      </c>
      <c r="J67" s="701" t="str" cm="1">
        <f t="array" ref="J67">IF($B67="","",_xll.RssMarket($B67,"前日比"))</f>
        <v/>
      </c>
      <c r="K67" s="701" t="str">
        <f>IF(OR(F67="",G67="",H67=""),"",IF(C67="売",(F67-H67)*G67,(H67-F67)*G67))</f>
        <v/>
      </c>
      <c r="L67" s="706" t="str">
        <f>IF(OR(F67="",H67=""),"",IF(C67="売",(F67-H67)/F67,(H67-F67)/F67))</f>
        <v/>
      </c>
      <c r="M67" s="491" t="str">
        <f>IF($F67="","",$F67*IF($C67="売",1-V811設定!$B$4,1+V811設定!$B$4)-MOD($F67*IF($C67="売",1-V811設定!$B$4,1+V811設定!$B$4),IF($F67&lt;=3000,1,IF($F67&lt;=5000,5,IF($F67&lt;=30000,10,IF($F67&lt;=50000,50,IF($F67&lt;=300000,100,500))))))+IF(AND($C67="売",MOD($F67*IF($C67="売",1-V811設定!$B$4,1+V811設定!$B$4),IF($F67&lt;=3000,1,IF($F67&lt;=5000,5,IF($F67&lt;=30000,10,IF($F67&lt;=50000,50,IF($F67&lt;=300000,100,500))))))&gt;0),IF($F67&lt;=3000,1,IF($F67&lt;=5000,5,IF($F67&lt;=30000,10,IF($F67&lt;=50000,50,IF($F67&lt;=300000,100,500))))),0))</f>
      </c>
      <c r="N67" s="491" t="str">
        <f>IF($F67="","",$F67*IF($C67="売",1+V811設定!$B$3,1-V811設定!$B$3)-MOD($F67*IF($C67="売",1+V811設定!$B$3,1-V811設定!$B$3),IF($F67&lt;=3000,1,IF($F67&lt;=5000,5,IF($F67&lt;=30000,10,IF($F67&lt;=50000,50,IF($F67&lt;=300000,100,500))))))+IF(AND($C67="売",MOD($F67*IF($C67="売",1+V811設定!$B$3,1-V811設定!$B$3),IF($F67&lt;=3000,1,IF($F67&lt;=5000,5,IF($F67&lt;=30000,10,IF($F67&lt;=50000,50,IF($F67&lt;=300000,100,500))))))&gt;0),IF($F67&lt;=3000,1,IF($F67&lt;=5000,5,IF($F67&lt;=30000,10,IF($F67&lt;=50000,50,IF($F67&lt;=300000,100,500))))),0))</f>
      </c>
      <c r="O67" s="492" t="str">
        <f>IF(OR($B67="",$F67="",$H67=""),"",IF($S67="✅売却済","―決済済―",IF($C67="売",IF($H67&lt;=$M67,"🟢利確",IF(AND($R67&lt;&gt;"",$H67&gt;=$R67),"🟠TRAIL",IF($H67&gt;=$N67,"🔴損切",IF($W67&gt;=V811設定!$B$6,"⏱時間決済",IF($H67&gt;=$F67*(1+V811設定!$B$3*0.7),"⚠️損切接近","保持継続"))))),IF($H67&gt;=$M67,"🟢利確",IF(AND($R67&lt;&gt;"",$H67&lt;=$R67),"🟠TRAIL",IF($H67&lt;=$N67,"🔴損切",IF($W67&gt;=V811設定!$B$6,"⏱時間決済",IF($H67&lt;=$F67*(1-V811設定!$B$3*0.7),"⚠️損切接近","保持継続"))))))))</f>
      </c>
      <c r="P67" s="491"/>
      <c r="Q67" s="491"/>
      <c r="R67" s="491" t="str">
        <f>IF(OR($F67="",$H67="",$N67=""),"",IF($S67="✅売却済","",IF($C67="売",IF($H67&gt;$F67*(1-V811設定!$B$3),$N67,MIN($N67,IF($Q67="",$N67,$Q67*1.03))),IF($H67&lt;$F67*(1+V811設定!$B$3),$N67,MAX($N67,IF($P67="",$N67,$P67*0.97))))))</f>
      </c>
      <c r="S67" s="586" t="str">
        <f>IF(B67="","",IF(T67&lt;&gt;"","✅売却済",IF(OR(H67="",L67=""),"📌保有中",IF(L67&gt;=0.06,"🟢利確推奨",IF(L67&gt;=0.05,"🟡利確直近",IF(L67&gt;=0.045,"🔵トレーリング検討",IF(L67&gt;-0.03,"📌保有中",IF(L67&gt;-0.04,"⚠️損切注意","🔴損切り"))))))))</f>
        <v/>
      </c>
      <c r="T67" s="594"/>
      <c r="U67" s="491"/>
      <c r="V67" s="701" t="str">
        <f>IF(OR(F67="",G67="",U67=""),"",IF(C67="売",(F67-U67)*G67,(U67-F67)*G67))</f>
        <v/>
      </c>
      <c r="W67" s="493" t="str">
        <f>IF(OR($E67="",$B67=""),"",IF($T67&lt;&gt;"",$T67-$E67,TODAY()-$E67)+1)</f>
        <v/>
      </c>
      <c r="X67" s="489" t="str">
        <f>IF(OR($AH67="",$AH67="保有中"),"",$AH67)</f>
        <v/>
      </c>
      <c r="Y67" s="488"/>
      <c r="Z67" s="710"/>
      <c r="AD67" s="608"/>
      <c r="AE67" s="624" t="str">
        <f>IF($E67="","",WORKDAY($E67,12))</f>
        <v/>
      </c>
      <c r="AF67" s="626" t="str" cm="1">
        <f t="array" aca="1" ref="AF67" ca="1">IF(OR($B67="",$M67=""),"",IFERROR(IF($C67="売",_xlfn.MINIFS(安値!$E$3:$IT$3,安値!$E$3:$IT$3,"&gt;"&amp;$E67,安値!$E$3:$IT$3,"&lt;="&amp;$AE67,OFFSET(安値!$E$6:$IT$6,MATCH(TEXT($B67,"0"),TEXT(銘柄管理!$B$6:$B$305,"0"),0)-1,0),"&lt;="&amp;$M67),_xlfn.MINIFS(高値!$E$3:$IT$3,高値!$E$3:$IT$3,"&gt;"&amp;$E67,高値!$E$3:$IT$3,"&lt;="&amp;$AE67,OFFSET(高値!$E$6:$IT$6,MATCH(TEXT($B67,"0"),TEXT(銘柄管理!$B$6:$B$305,"0"),0)-1,0),"&gt;="&amp;$M67)),""))</f>
        <v/>
      </c>
      <c r="AG67" s="626" t="str" cm="1">
        <f t="array" aca="1" ref="AG67" ca="1">IF(OR($B67="",$N67=""),"",IFERROR(IF($C67="売",_xlfn.MINIFS(高値!$E$3:$IT$3,高値!$E$3:$IT$3,"&gt;"&amp;$E67,高値!$E$3:$IT$3,"&lt;="&amp;$AE67,OFFSET(高値!$E$6:$IT$6,MATCH(TEXT($B67,"0"),TEXT(銘柄管理!$B$6:$B$305,"0"),0)-1,0),"&gt;="&amp;$N67),_xlfn.MINIFS(安値!$E$3:$IT$3,安値!$E$3:$IT$3,"&gt;"&amp;$E67,安値!$E$3:$IT$3,"&lt;="&amp;$AE67,OFFSET(安値!$E$6:$IT$6,MATCH(TEXT($B67,"0"),TEXT(銘柄管理!$B$6:$B$305,"0"),0)-1,0),"&lt;="&amp;$N67)),""))</f>
        <v/>
      </c>
      <c r="AH67" s="600" t="str">
        <f>IF(OR($B67="",$M67=""),"",IF(AND(N($AF67)=0,N($AG67)=0),IF(AND(ISNUMBER($H67),$H67&gt;0,IF($C67="売",$H67&gt;=$N67,$H67&lt;=$N67)),"損切確定",IF(AND(ISNUMBER($H67),$H67&gt;0,IF($C67="売",$H67&lt;=$M67,$H67&gt;=$M67)),"利益確定",IF($AE67&lt;=TODAY(),"日数制限","保有中"))),IF(N($AG67)=0,"利益確定",IF(N($AF67)=0,"損切確定",IF($AG67&lt;=$AF67,"損切確定","利益確定")))))</f>
        <v/>
      </c>
      <c r="AI67" s="600" t="str" cm="1">
        <f t="array" ref="AI67">IFERROR(INDEX(始値!$E$6:$IT$305,MATCH(TEXT($B67,"0"),TEXT(銘柄管理!$B$6:$B$305,"0"),0),MATCH($AE67,始値!$E$3:$IT$3,0)),"")</f>
        <v/>
      </c>
      <c r="AJ67" s="905" t="str">
        <f>IF(OR($V67="",$F67="",$G67=""),"",$V67/($F67*$G67))</f>
        <v/>
      </c>
      <c r="AK67" s="629" t="str">
        <f>IF($V67="","",IF($V67&gt;0,"○勝",IF($V67&lt;0,"●負","△引分")))</f>
        <v/>
      </c>
    </row>
    <row r="68" spans="1:37" ht="35.4" customHeight="1">
      <c r="A68" s="619" t="str">
        <f>IF(B68="","",HYPERLINK("https://kabutan.jp/stock/?code="&amp;B68,"株探"))</f>
        <v/>
      </c>
      <c r="B68" s="630"/>
      <c r="C68" s="490"/>
      <c r="D68" s="623" t="str" cm="1">
        <f t="array" ref="D68">IF($B68="","",_xll.RssMarket($B68,"銘柄名称"))</f>
        <v/>
      </c>
      <c r="E68" s="716"/>
      <c r="F68" s="698" t="str" cm="1">
        <f t="array" aca="1" ref="F68" ca="1">IFERROR(_xlfn.LET(_xlpm.r,MATCH(TEXT($B68,"0"),TEXT(銘柄管理!$B$6:$B$305,"0"),0),_xlpm.t,MOD(NOW(),1),_xlpm.c,IF($E68=TODAY(),IF(_xlpm.t&gt;=TIME(15,30,0),NA(),1),IF(MATCH($E68,始値!$E$3:$IT$3,0)=1,1,MATCH($E68,始値!$E$3:$IT$3,0)+1)),_xlpm.v,INDEX(始値!$C$6:$IT$305,_xlpm.r,_xlpm.c),IF(N(_xlpm.v)=0,"",_xlpm.v)),"")</f>
        <v/>
      </c>
      <c r="G68" s="631"/>
      <c r="H68" s="491" t="str" cm="1">
        <f t="array" ref="H68">IF($B68="","",_xll.RssMarket($B68,"現在値"))</f>
        <v/>
      </c>
      <c r="I68" s="491" t="str" cm="1">
        <f t="array" ref="I68">IF($B68="","",_xll.RssMarket($B68,"出来高加重平均"))</f>
        <v/>
      </c>
      <c r="J68" s="701" t="str" cm="1">
        <f t="array" ref="J68">IF($B68="","",_xll.RssMarket($B68,"前日比"))</f>
        <v/>
      </c>
      <c r="K68" s="701" t="str">
        <f>IF(OR(F68="",G68="",H68=""),"",IF(C68="売",(F68-H68)*G68,(H68-F68)*G68))</f>
        <v/>
      </c>
      <c r="L68" s="706" t="str">
        <f>IF(OR(F68="",H68=""),"",IF(C68="売",(F68-H68)/F68,(H68-F68)/F68))</f>
        <v/>
      </c>
      <c r="M68" s="491" t="str">
        <f>IF($F68="","",$F68*IF($C68="売",1-V811設定!$B$4,1+V811設定!$B$4)-MOD($F68*IF($C68="売",1-V811設定!$B$4,1+V811設定!$B$4),IF($F68&lt;=3000,1,IF($F68&lt;=5000,5,IF($F68&lt;=30000,10,IF($F68&lt;=50000,50,IF($F68&lt;=300000,100,500))))))+IF(AND($C68="売",MOD($F68*IF($C68="売",1-V811設定!$B$4,1+V811設定!$B$4),IF($F68&lt;=3000,1,IF($F68&lt;=5000,5,IF($F68&lt;=30000,10,IF($F68&lt;=50000,50,IF($F68&lt;=300000,100,500))))))&gt;0),IF($F68&lt;=3000,1,IF($F68&lt;=5000,5,IF($F68&lt;=30000,10,IF($F68&lt;=50000,50,IF($F68&lt;=300000,100,500))))),0))</f>
      </c>
      <c r="N68" s="491" t="str">
        <f>IF($F68="","",$F68*IF($C68="売",1+V811設定!$B$3,1-V811設定!$B$3)-MOD($F68*IF($C68="売",1+V811設定!$B$3,1-V811設定!$B$3),IF($F68&lt;=3000,1,IF($F68&lt;=5000,5,IF($F68&lt;=30000,10,IF($F68&lt;=50000,50,IF($F68&lt;=300000,100,500))))))+IF(AND($C68="売",MOD($F68*IF($C68="売",1+V811設定!$B$3,1-V811設定!$B$3),IF($F68&lt;=3000,1,IF($F68&lt;=5000,5,IF($F68&lt;=30000,10,IF($F68&lt;=50000,50,IF($F68&lt;=300000,100,500))))))&gt;0),IF($F68&lt;=3000,1,IF($F68&lt;=5000,5,IF($F68&lt;=30000,10,IF($F68&lt;=50000,50,IF($F68&lt;=300000,100,500))))),0))</f>
      </c>
      <c r="O68" s="492" t="str">
        <f>IF(OR($B68="",$F68="",$H68=""),"",IF($S68="✅売却済","―決済済―",IF($C68="売",IF($H68&lt;=$M68,"🟢利確",IF(AND($R68&lt;&gt;"",$H68&gt;=$R68),"🟠TRAIL",IF($H68&gt;=$N68,"🔴損切",IF($W68&gt;=V811設定!$B$6,"⏱時間決済",IF($H68&gt;=$F68*(1+V811設定!$B$3*0.7),"⚠️損切接近","保持継続"))))),IF($H68&gt;=$M68,"🟢利確",IF(AND($R68&lt;&gt;"",$H68&lt;=$R68),"🟠TRAIL",IF($H68&lt;=$N68,"🔴損切",IF($W68&gt;=V811設定!$B$6,"⏱時間決済",IF($H68&lt;=$F68*(1-V811設定!$B$3*0.7),"⚠️損切接近","保持継続"))))))))</f>
      </c>
      <c r="P68" s="491"/>
      <c r="Q68" s="491"/>
      <c r="R68" s="491" t="str">
        <f>IF(OR($F68="",$H68="",$N68=""),"",IF($S68="✅売却済","",IF($C68="売",IF($H68&gt;$F68*(1-V811設定!$B$3),$N68,MIN($N68,IF($Q68="",$N68,$Q68*1.03))),IF($H68&lt;$F68*(1+V811設定!$B$3),$N68,MAX($N68,IF($P68="",$N68,$P68*0.97))))))</f>
      </c>
      <c r="S68" s="586" t="str">
        <f>IF(B68="","",IF(T68&lt;&gt;"","✅売却済",IF(OR(H68="",L68=""),"📌保有中",IF(L68&gt;=0.06,"🟢利確推奨",IF(L68&gt;=0.05,"🟡利確直近",IF(L68&gt;=0.045,"🔵トレーリング検討",IF(L68&gt;-0.03,"📌保有中",IF(L68&gt;-0.04,"⚠️損切注意","🔴損切り"))))))))</f>
        <v/>
      </c>
      <c r="T68" s="594"/>
      <c r="U68" s="491"/>
      <c r="V68" s="701" t="str">
        <f>IF(OR(F68="",G68="",U68=""),"",IF(C68="売",(F68-U68)*G68,(U68-F68)*G68))</f>
        <v/>
      </c>
      <c r="W68" s="493" t="str">
        <f>IF(OR($E68="",$B68=""),"",IF($T68&lt;&gt;"",$T68-$E68,TODAY()-$E68)+1)</f>
        <v/>
      </c>
      <c r="X68" s="489" t="str">
        <f>IF(OR($AH68="",$AH68="保有中"),"",$AH68)</f>
        <v/>
      </c>
      <c r="Y68" s="488"/>
      <c r="Z68" s="710"/>
      <c r="AD68" s="608"/>
      <c r="AE68" s="624" t="str">
        <f>IF($E68="","",WORKDAY($E68,12))</f>
        <v/>
      </c>
      <c r="AF68" s="626" t="str" cm="1">
        <f t="array" aca="1" ref="AF68" ca="1">IF(OR($B68="",$M68=""),"",IFERROR(IF($C68="売",_xlfn.MINIFS(安値!$E$3:$IT$3,安値!$E$3:$IT$3,"&gt;"&amp;$E68,安値!$E$3:$IT$3,"&lt;="&amp;$AE68,OFFSET(安値!$E$6:$IT$6,MATCH(TEXT($B68,"0"),TEXT(銘柄管理!$B$6:$B$305,"0"),0)-1,0),"&lt;="&amp;$M68),_xlfn.MINIFS(高値!$E$3:$IT$3,高値!$E$3:$IT$3,"&gt;"&amp;$E68,高値!$E$3:$IT$3,"&lt;="&amp;$AE68,OFFSET(高値!$E$6:$IT$6,MATCH(TEXT($B68,"0"),TEXT(銘柄管理!$B$6:$B$305,"0"),0)-1,0),"&gt;="&amp;$M68)),""))</f>
        <v/>
      </c>
      <c r="AG68" s="626" t="str" cm="1">
        <f t="array" aca="1" ref="AG68" ca="1">IF(OR($B68="",$N68=""),"",IFERROR(IF($C68="売",_xlfn.MINIFS(高値!$E$3:$IT$3,高値!$E$3:$IT$3,"&gt;"&amp;$E68,高値!$E$3:$IT$3,"&lt;="&amp;$AE68,OFFSET(高値!$E$6:$IT$6,MATCH(TEXT($B68,"0"),TEXT(銘柄管理!$B$6:$B$305,"0"),0)-1,0),"&gt;="&amp;$N68),_xlfn.MINIFS(安値!$E$3:$IT$3,安値!$E$3:$IT$3,"&gt;"&amp;$E68,安値!$E$3:$IT$3,"&lt;="&amp;$AE68,OFFSET(安値!$E$6:$IT$6,MATCH(TEXT($B68,"0"),TEXT(銘柄管理!$B$6:$B$305,"0"),0)-1,0),"&lt;="&amp;$N68)),""))</f>
        <v/>
      </c>
      <c r="AH68" s="600" t="str">
        <f>IF(OR($B68="",$M68=""),"",IF(AND(N($AF68)=0,N($AG68)=0),IF(AND(ISNUMBER($H68),$H68&gt;0,IF($C68="売",$H68&gt;=$N68,$H68&lt;=$N68)),"損切確定",IF(AND(ISNUMBER($H68),$H68&gt;0,IF($C68="売",$H68&lt;=$M68,$H68&gt;=$M68)),"利益確定",IF($AE68&lt;=TODAY(),"日数制限","保有中"))),IF(N($AG68)=0,"利益確定",IF(N($AF68)=0,"損切確定",IF($AG68&lt;=$AF68,"損切確定","利益確定")))))</f>
        <v/>
      </c>
      <c r="AI68" s="600" t="str" cm="1">
        <f t="array" ref="AI68">IFERROR(INDEX(始値!$E$6:$IT$305,MATCH(TEXT($B68,"0"),TEXT(銘柄管理!$B$6:$B$305,"0"),0),MATCH($AE68,始値!$E$3:$IT$3,0)),"")</f>
        <v/>
      </c>
      <c r="AJ68" s="905" t="str">
        <f>IF(OR($V68="",$F68="",$G68=""),"",$V68/($F68*$G68))</f>
        <v/>
      </c>
      <c r="AK68" s="629" t="str">
        <f>IF($V68="","",IF($V68&gt;0,"○勝",IF($V68&lt;0,"●負","△引分")))</f>
        <v/>
      </c>
    </row>
    <row r="69" spans="1:37" ht="35.4" customHeight="1">
      <c r="A69" s="619" t="str">
        <f>IF(B69="","",HYPERLINK("https://kabutan.jp/stock/?code="&amp;B69,"株探"))</f>
        <v/>
      </c>
      <c r="B69" s="630"/>
      <c r="C69" s="490"/>
      <c r="D69" s="623" t="str" cm="1">
        <f t="array" ref="D69">IF($B69="","",_xll.RssMarket($B69,"銘柄名称"))</f>
        <v/>
      </c>
      <c r="E69" s="716"/>
      <c r="F69" s="698" t="str" cm="1">
        <f t="array" aca="1" ref="F69" ca="1">IFERROR(_xlfn.LET(_xlpm.r,MATCH(TEXT($B69,"0"),TEXT(銘柄管理!$B$6:$B$305,"0"),0),_xlpm.t,MOD(NOW(),1),_xlpm.c,IF($E69=TODAY(),IF(_xlpm.t&gt;=TIME(15,30,0),NA(),1),IF(MATCH($E69,始値!$E$3:$IT$3,0)=1,1,MATCH($E69,始値!$E$3:$IT$3,0)+1)),_xlpm.v,INDEX(始値!$C$6:$IT$305,_xlpm.r,_xlpm.c),IF(N(_xlpm.v)=0,"",_xlpm.v)),"")</f>
        <v/>
      </c>
      <c r="G69" s="631"/>
      <c r="H69" s="491" t="str" cm="1">
        <f t="array" ref="H69">IF($B69="","",_xll.RssMarket($B69,"現在値"))</f>
        <v/>
      </c>
      <c r="I69" s="491" t="str" cm="1">
        <f t="array" ref="I69">IF($B69="","",_xll.RssMarket($B69,"出来高加重平均"))</f>
        <v/>
      </c>
      <c r="J69" s="701" t="str" cm="1">
        <f t="array" ref="J69">IF($B69="","",_xll.RssMarket($B69,"前日比"))</f>
        <v/>
      </c>
      <c r="K69" s="701" t="str">
        <f>IF(OR(F69="",G69="",H69=""),"",IF(C69="売",(F69-H69)*G69,(H69-F69)*G69))</f>
        <v/>
      </c>
      <c r="L69" s="706" t="str">
        <f>IF(OR(F69="",H69=""),"",IF(C69="売",(F69-H69)/F69,(H69-F69)/F69))</f>
        <v/>
      </c>
      <c r="M69" s="491" t="str">
        <f>IF($F69="","",$F69*IF($C69="売",1-V811設定!$B$4,1+V811設定!$B$4)-MOD($F69*IF($C69="売",1-V811設定!$B$4,1+V811設定!$B$4),IF($F69&lt;=3000,1,IF($F69&lt;=5000,5,IF($F69&lt;=30000,10,IF($F69&lt;=50000,50,IF($F69&lt;=300000,100,500))))))+IF(AND($C69="売",MOD($F69*IF($C69="売",1-V811設定!$B$4,1+V811設定!$B$4),IF($F69&lt;=3000,1,IF($F69&lt;=5000,5,IF($F69&lt;=30000,10,IF($F69&lt;=50000,50,IF($F69&lt;=300000,100,500))))))&gt;0),IF($F69&lt;=3000,1,IF($F69&lt;=5000,5,IF($F69&lt;=30000,10,IF($F69&lt;=50000,50,IF($F69&lt;=300000,100,500))))),0))</f>
      </c>
      <c r="N69" s="491" t="str">
        <f>IF($F69="","",$F69*IF($C69="売",1+V811設定!$B$3,1-V811設定!$B$3)-MOD($F69*IF($C69="売",1+V811設定!$B$3,1-V811設定!$B$3),IF($F69&lt;=3000,1,IF($F69&lt;=5000,5,IF($F69&lt;=30000,10,IF($F69&lt;=50000,50,IF($F69&lt;=300000,100,500))))))+IF(AND($C69="売",MOD($F69*IF($C69="売",1+V811設定!$B$3,1-V811設定!$B$3),IF($F69&lt;=3000,1,IF($F69&lt;=5000,5,IF($F69&lt;=30000,10,IF($F69&lt;=50000,50,IF($F69&lt;=300000,100,500))))))&gt;0),IF($F69&lt;=3000,1,IF($F69&lt;=5000,5,IF($F69&lt;=30000,10,IF($F69&lt;=50000,50,IF($F69&lt;=300000,100,500))))),0))</f>
      </c>
      <c r="O69" s="492" t="str">
        <f>IF(OR($B69="",$F69="",$H69=""),"",IF($S69="✅売却済","―決済済―",IF($C69="売",IF($H69&lt;=$M69,"🟢利確",IF(AND($R69&lt;&gt;"",$H69&gt;=$R69),"🟠TRAIL",IF($H69&gt;=$N69,"🔴損切",IF($W69&gt;=V811設定!$B$6,"⏱時間決済",IF($H69&gt;=$F69*(1+V811設定!$B$3*0.7),"⚠️損切接近","保持継続"))))),IF($H69&gt;=$M69,"🟢利確",IF(AND($R69&lt;&gt;"",$H69&lt;=$R69),"🟠TRAIL",IF($H69&lt;=$N69,"🔴損切",IF($W69&gt;=V811設定!$B$6,"⏱時間決済",IF($H69&lt;=$F69*(1-V811設定!$B$3*0.7),"⚠️損切接近","保持継続"))))))))</f>
      </c>
      <c r="P69" s="491"/>
      <c r="Q69" s="491"/>
      <c r="R69" s="491" t="str">
        <f>IF(OR($F69="",$H69="",$N69=""),"",IF($S69="✅売却済","",IF($C69="売",IF($H69&gt;$F69*(1-V811設定!$B$3),$N69,MIN($N69,IF($Q69="",$N69,$Q69*1.03))),IF($H69&lt;$F69*(1+V811設定!$B$3),$N69,MAX($N69,IF($P69="",$N69,$P69*0.97))))))</f>
      </c>
      <c r="S69" s="586" t="str">
        <f>IF(B69="","",IF(T69&lt;&gt;"","✅売却済",IF(OR(H69="",L69=""),"📌保有中",IF(L69&gt;=0.06,"🟢利確推奨",IF(L69&gt;=0.05,"🟡利確直近",IF(L69&gt;=0.045,"🔵トレーリング検討",IF(L69&gt;-0.03,"📌保有中",IF(L69&gt;-0.04,"⚠️損切注意","🔴損切り"))))))))</f>
        <v/>
      </c>
      <c r="T69" s="594"/>
      <c r="U69" s="491"/>
      <c r="V69" s="701" t="str">
        <f>IF(OR(F69="",G69="",U69=""),"",IF(C69="売",(F69-U69)*G69,(U69-F69)*G69))</f>
        <v/>
      </c>
      <c r="W69" s="493" t="str">
        <f>IF(OR($E69="",$B69=""),"",IF($T69&lt;&gt;"",$T69-$E69,TODAY()-$E69)+1)</f>
        <v/>
      </c>
      <c r="X69" s="489" t="str">
        <f>IF(OR($AH69="",$AH69="保有中"),"",$AH69)</f>
        <v/>
      </c>
      <c r="Y69" s="488"/>
      <c r="Z69" s="710"/>
      <c r="AD69" s="608"/>
      <c r="AE69" s="624" t="str">
        <f>IF($E69="","",WORKDAY($E69,12))</f>
        <v/>
      </c>
      <c r="AF69" s="626" t="str" cm="1">
        <f t="array" aca="1" ref="AF69" ca="1">IF(OR($B69="",$M69=""),"",IFERROR(IF($C69="売",_xlfn.MINIFS(安値!$E$3:$IT$3,安値!$E$3:$IT$3,"&gt;"&amp;$E69,安値!$E$3:$IT$3,"&lt;="&amp;$AE69,OFFSET(安値!$E$6:$IT$6,MATCH(TEXT($B69,"0"),TEXT(銘柄管理!$B$6:$B$305,"0"),0)-1,0),"&lt;="&amp;$M69),_xlfn.MINIFS(高値!$E$3:$IT$3,高値!$E$3:$IT$3,"&gt;"&amp;$E69,高値!$E$3:$IT$3,"&lt;="&amp;$AE69,OFFSET(高値!$E$6:$IT$6,MATCH(TEXT($B69,"0"),TEXT(銘柄管理!$B$6:$B$305,"0"),0)-1,0),"&gt;="&amp;$M69)),""))</f>
        <v/>
      </c>
      <c r="AG69" s="626" t="str" cm="1">
        <f t="array" aca="1" ref="AG69" ca="1">IF(OR($B69="",$N69=""),"",IFERROR(IF($C69="売",_xlfn.MINIFS(高値!$E$3:$IT$3,高値!$E$3:$IT$3,"&gt;"&amp;$E69,高値!$E$3:$IT$3,"&lt;="&amp;$AE69,OFFSET(高値!$E$6:$IT$6,MATCH(TEXT($B69,"0"),TEXT(銘柄管理!$B$6:$B$305,"0"),0)-1,0),"&gt;="&amp;$N69),_xlfn.MINIFS(安値!$E$3:$IT$3,安値!$E$3:$IT$3,"&gt;"&amp;$E69,安値!$E$3:$IT$3,"&lt;="&amp;$AE69,OFFSET(安値!$E$6:$IT$6,MATCH(TEXT($B69,"0"),TEXT(銘柄管理!$B$6:$B$305,"0"),0)-1,0),"&lt;="&amp;$N69)),""))</f>
        <v/>
      </c>
      <c r="AH69" s="600" t="str">
        <f>IF(OR($B69="",$M69=""),"",IF(AND(N($AF69)=0,N($AG69)=0),IF(AND(ISNUMBER($H69),$H69&gt;0,IF($C69="売",$H69&gt;=$N69,$H69&lt;=$N69)),"損切確定",IF(AND(ISNUMBER($H69),$H69&gt;0,IF($C69="売",$H69&lt;=$M69,$H69&gt;=$M69)),"利益確定",IF($AE69&lt;=TODAY(),"日数制限","保有中"))),IF(N($AG69)=0,"利益確定",IF(N($AF69)=0,"損切確定",IF($AG69&lt;=$AF69,"損切確定","利益確定")))))</f>
        <v/>
      </c>
      <c r="AI69" s="600" t="str" cm="1">
        <f t="array" ref="AI69">IFERROR(INDEX(始値!$E$6:$IT$305,MATCH(TEXT($B69,"0"),TEXT(銘柄管理!$B$6:$B$305,"0"),0),MATCH($AE69,始値!$E$3:$IT$3,0)),"")</f>
        <v/>
      </c>
      <c r="AJ69" s="905" t="str">
        <f>IF(OR($V69="",$F69="",$G69=""),"",$V69/($F69*$G69))</f>
        <v/>
      </c>
      <c r="AK69" s="629" t="str">
        <f>IF($V69="","",IF($V69&gt;0,"○勝",IF($V69&lt;0,"●負","△引分")))</f>
        <v/>
      </c>
    </row>
    <row r="70" spans="1:37" ht="35.4" customHeight="1">
      <c r="A70" s="619" t="str">
        <f>IF(B70="","",HYPERLINK("https://kabutan.jp/stock/?code="&amp;B70,"株探"))</f>
        <v/>
      </c>
      <c r="B70" s="630"/>
      <c r="C70" s="490"/>
      <c r="D70" s="623" t="str" cm="1">
        <f t="array" ref="D70">IF($B70="","",_xll.RssMarket($B70,"銘柄名称"))</f>
        <v/>
      </c>
      <c r="E70" s="716"/>
      <c r="F70" s="698" t="str" cm="1">
        <f t="array" aca="1" ref="F70" ca="1">IFERROR(_xlfn.LET(_xlpm.r,MATCH(TEXT($B70,"0"),TEXT(銘柄管理!$B$6:$B$305,"0"),0),_xlpm.t,MOD(NOW(),1),_xlpm.c,IF($E70=TODAY(),IF(_xlpm.t&gt;=TIME(15,30,0),NA(),1),IF(MATCH($E70,始値!$E$3:$IT$3,0)=1,1,MATCH($E70,始値!$E$3:$IT$3,0)+1)),_xlpm.v,INDEX(始値!$C$6:$IT$305,_xlpm.r,_xlpm.c),IF(N(_xlpm.v)=0,"",_xlpm.v)),"")</f>
        <v/>
      </c>
      <c r="G70" s="631"/>
      <c r="H70" s="491" t="str" cm="1">
        <f t="array" ref="H70">IF($B70="","",_xll.RssMarket($B70,"現在値"))</f>
        <v/>
      </c>
      <c r="I70" s="491" t="str" cm="1">
        <f t="array" ref="I70">IF($B70="","",_xll.RssMarket($B70,"出来高加重平均"))</f>
        <v/>
      </c>
      <c r="J70" s="701" t="str" cm="1">
        <f t="array" ref="J70">IF($B70="","",_xll.RssMarket($B70,"前日比"))</f>
        <v/>
      </c>
      <c r="K70" s="701" t="str">
        <f>IF(OR(F70="",G70="",H70=""),"",IF(C70="売",(F70-H70)*G70,(H70-F70)*G70))</f>
        <v/>
      </c>
      <c r="L70" s="706" t="str">
        <f>IF(OR(F70="",H70=""),"",IF(C70="売",(F70-H70)/F70,(H70-F70)/F70))</f>
        <v/>
      </c>
      <c r="M70" s="491" t="str">
        <f>IF($F70="","",$F70*IF($C70="売",1-V811設定!$B$4,1+V811設定!$B$4)-MOD($F70*IF($C70="売",1-V811設定!$B$4,1+V811設定!$B$4),IF($F70&lt;=3000,1,IF($F70&lt;=5000,5,IF($F70&lt;=30000,10,IF($F70&lt;=50000,50,IF($F70&lt;=300000,100,500))))))+IF(AND($C70="売",MOD($F70*IF($C70="売",1-V811設定!$B$4,1+V811設定!$B$4),IF($F70&lt;=3000,1,IF($F70&lt;=5000,5,IF($F70&lt;=30000,10,IF($F70&lt;=50000,50,IF($F70&lt;=300000,100,500))))))&gt;0),IF($F70&lt;=3000,1,IF($F70&lt;=5000,5,IF($F70&lt;=30000,10,IF($F70&lt;=50000,50,IF($F70&lt;=300000,100,500))))),0))</f>
      </c>
      <c r="N70" s="491" t="str">
        <f>IF($F70="","",$F70*IF($C70="売",1+V811設定!$B$3,1-V811設定!$B$3)-MOD($F70*IF($C70="売",1+V811設定!$B$3,1-V811設定!$B$3),IF($F70&lt;=3000,1,IF($F70&lt;=5000,5,IF($F70&lt;=30000,10,IF($F70&lt;=50000,50,IF($F70&lt;=300000,100,500))))))+IF(AND($C70="売",MOD($F70*IF($C70="売",1+V811設定!$B$3,1-V811設定!$B$3),IF($F70&lt;=3000,1,IF($F70&lt;=5000,5,IF($F70&lt;=30000,10,IF($F70&lt;=50000,50,IF($F70&lt;=300000,100,500))))))&gt;0),IF($F70&lt;=3000,1,IF($F70&lt;=5000,5,IF($F70&lt;=30000,10,IF($F70&lt;=50000,50,IF($F70&lt;=300000,100,500))))),0))</f>
      </c>
      <c r="O70" s="492" t="str">
        <f>IF(OR($B70="",$F70="",$H70=""),"",IF($S70="✅売却済","―決済済―",IF($C70="売",IF($H70&lt;=$M70,"🟢利確",IF(AND($R70&lt;&gt;"",$H70&gt;=$R70),"🟠TRAIL",IF($H70&gt;=$N70,"🔴損切",IF($W70&gt;=V811設定!$B$6,"⏱時間決済",IF($H70&gt;=$F70*(1+V811設定!$B$3*0.7),"⚠️損切接近","保持継続"))))),IF($H70&gt;=$M70,"🟢利確",IF(AND($R70&lt;&gt;"",$H70&lt;=$R70),"🟠TRAIL",IF($H70&lt;=$N70,"🔴損切",IF($W70&gt;=V811設定!$B$6,"⏱時間決済",IF($H70&lt;=$F70*(1-V811設定!$B$3*0.7),"⚠️損切接近","保持継続"))))))))</f>
      </c>
      <c r="P70" s="491"/>
      <c r="Q70" s="491"/>
      <c r="R70" s="491" t="str">
        <f>IF(OR($F70="",$H70="",$N70=""),"",IF($S70="✅売却済","",IF($C70="売",IF($H70&gt;$F70*(1-V811設定!$B$3),$N70,MIN($N70,IF($Q70="",$N70,$Q70*1.03))),IF($H70&lt;$F70*(1+V811設定!$B$3),$N70,MAX($N70,IF($P70="",$N70,$P70*0.97))))))</f>
      </c>
      <c r="S70" s="586" t="str">
        <f>IF(B70="","",IF(T70&lt;&gt;"","✅売却済",IF(OR(H70="",L70=""),"📌保有中",IF(L70&gt;=0.06,"🟢利確推奨",IF(L70&gt;=0.05,"🟡利確直近",IF(L70&gt;=0.045,"🔵トレーリング検討",IF(L70&gt;-0.03,"📌保有中",IF(L70&gt;-0.04,"⚠️損切注意","🔴損切り"))))))))</f>
        <v/>
      </c>
      <c r="T70" s="594"/>
      <c r="U70" s="491"/>
      <c r="V70" s="701" t="str">
        <f>IF(OR(F70="",G70="",U70=""),"",IF(C70="売",(F70-U70)*G70,(U70-F70)*G70))</f>
        <v/>
      </c>
      <c r="W70" s="493" t="str">
        <f>IF(OR($E70="",$B70=""),"",IF($T70&lt;&gt;"",$T70-$E70,TODAY()-$E70)+1)</f>
        <v/>
      </c>
      <c r="X70" s="489" t="str">
        <f>IF(OR($AH70="",$AH70="保有中"),"",$AH70)</f>
        <v/>
      </c>
      <c r="Y70" s="488"/>
      <c r="Z70" s="710"/>
      <c r="AD70" s="608"/>
      <c r="AE70" s="624" t="str">
        <f>IF($E70="","",WORKDAY($E70,12))</f>
        <v/>
      </c>
      <c r="AF70" s="626" t="str" cm="1">
        <f t="array" aca="1" ref="AF70" ca="1">IF(OR($B70="",$M70=""),"",IFERROR(IF($C70="売",_xlfn.MINIFS(安値!$E$3:$IT$3,安値!$E$3:$IT$3,"&gt;"&amp;$E70,安値!$E$3:$IT$3,"&lt;="&amp;$AE70,OFFSET(安値!$E$6:$IT$6,MATCH(TEXT($B70,"0"),TEXT(銘柄管理!$B$6:$B$305,"0"),0)-1,0),"&lt;="&amp;$M70),_xlfn.MINIFS(高値!$E$3:$IT$3,高値!$E$3:$IT$3,"&gt;"&amp;$E70,高値!$E$3:$IT$3,"&lt;="&amp;$AE70,OFFSET(高値!$E$6:$IT$6,MATCH(TEXT($B70,"0"),TEXT(銘柄管理!$B$6:$B$305,"0"),0)-1,0),"&gt;="&amp;$M70)),""))</f>
        <v/>
      </c>
      <c r="AG70" s="626" t="str" cm="1">
        <f t="array" aca="1" ref="AG70" ca="1">IF(OR($B70="",$N70=""),"",IFERROR(IF($C70="売",_xlfn.MINIFS(高値!$E$3:$IT$3,高値!$E$3:$IT$3,"&gt;"&amp;$E70,高値!$E$3:$IT$3,"&lt;="&amp;$AE70,OFFSET(高値!$E$6:$IT$6,MATCH(TEXT($B70,"0"),TEXT(銘柄管理!$B$6:$B$305,"0"),0)-1,0),"&gt;="&amp;$N70),_xlfn.MINIFS(安値!$E$3:$IT$3,安値!$E$3:$IT$3,"&gt;"&amp;$E70,安値!$E$3:$IT$3,"&lt;="&amp;$AE70,OFFSET(安値!$E$6:$IT$6,MATCH(TEXT($B70,"0"),TEXT(銘柄管理!$B$6:$B$305,"0"),0)-1,0),"&lt;="&amp;$N70)),""))</f>
        <v/>
      </c>
      <c r="AH70" s="600" t="str">
        <f>IF(OR($B70="",$M70=""),"",IF(AND(N($AF70)=0,N($AG70)=0),IF(AND(ISNUMBER($H70),$H70&gt;0,IF($C70="売",$H70&gt;=$N70,$H70&lt;=$N70)),"損切確定",IF(AND(ISNUMBER($H70),$H70&gt;0,IF($C70="売",$H70&lt;=$M70,$H70&gt;=$M70)),"利益確定",IF($AE70&lt;=TODAY(),"日数制限","保有中"))),IF(N($AG70)=0,"利益確定",IF(N($AF70)=0,"損切確定",IF($AG70&lt;=$AF70,"損切確定","利益確定")))))</f>
        <v/>
      </c>
      <c r="AI70" s="600" t="str" cm="1">
        <f t="array" ref="AI70">IFERROR(INDEX(始値!$E$6:$IT$305,MATCH(TEXT($B70,"0"),TEXT(銘柄管理!$B$6:$B$305,"0"),0),MATCH($AE70,始値!$E$3:$IT$3,0)),"")</f>
        <v/>
      </c>
      <c r="AJ70" s="905" t="str">
        <f>IF(OR($V70="",$F70="",$G70=""),"",$V70/($F70*$G70))</f>
        <v/>
      </c>
      <c r="AK70" s="629" t="str">
        <f>IF($V70="","",IF($V70&gt;0,"○勝",IF($V70&lt;0,"●負","△引分")))</f>
        <v/>
      </c>
    </row>
    <row r="71" spans="1:37" ht="35.4" customHeight="1">
      <c r="A71" s="619" t="str">
        <f>IF(B71="","",HYPERLINK("https://kabutan.jp/stock/?code="&amp;B71,"株探"))</f>
        <v/>
      </c>
      <c r="B71" s="630"/>
      <c r="C71" s="490"/>
      <c r="D71" s="623" t="str" cm="1">
        <f t="array" ref="D71">IF($B71="","",_xll.RssMarket($B71,"銘柄名称"))</f>
        <v/>
      </c>
      <c r="E71" s="716"/>
      <c r="F71" s="698" t="str" cm="1">
        <f t="array" aca="1" ref="F71" ca="1">IFERROR(_xlfn.LET(_xlpm.r,MATCH(TEXT($B71,"0"),TEXT(銘柄管理!$B$6:$B$305,"0"),0),_xlpm.t,MOD(NOW(),1),_xlpm.c,IF($E71=TODAY(),IF(_xlpm.t&gt;=TIME(15,30,0),NA(),1),IF(MATCH($E71,始値!$E$3:$IT$3,0)=1,1,MATCH($E71,始値!$E$3:$IT$3,0)+1)),_xlpm.v,INDEX(始値!$C$6:$IT$305,_xlpm.r,_xlpm.c),IF(N(_xlpm.v)=0,"",_xlpm.v)),"")</f>
        <v/>
      </c>
      <c r="G71" s="631"/>
      <c r="H71" s="491" t="str" cm="1">
        <f t="array" ref="H71">IF($B71="","",_xll.RssMarket($B71,"現在値"))</f>
        <v/>
      </c>
      <c r="I71" s="491" t="str" cm="1">
        <f t="array" ref="I71">IF($B71="","",_xll.RssMarket($B71,"出来高加重平均"))</f>
        <v/>
      </c>
      <c r="J71" s="701" t="str" cm="1">
        <f t="array" ref="J71">IF($B71="","",_xll.RssMarket($B71,"前日比"))</f>
        <v/>
      </c>
      <c r="K71" s="701" t="str">
        <f>IF(OR(F71="",G71="",H71=""),"",IF(C71="売",(F71-H71)*G71,(H71-F71)*G71))</f>
        <v/>
      </c>
      <c r="L71" s="706" t="str">
        <f>IF(OR(F71="",H71=""),"",IF(C71="売",(F71-H71)/F71,(H71-F71)/F71))</f>
        <v/>
      </c>
      <c r="M71" s="491" t="str">
        <f>IF($F71="","",$F71*IF($C71="売",1-V811設定!$B$4,1+V811設定!$B$4)-MOD($F71*IF($C71="売",1-V811設定!$B$4,1+V811設定!$B$4),IF($F71&lt;=3000,1,IF($F71&lt;=5000,5,IF($F71&lt;=30000,10,IF($F71&lt;=50000,50,IF($F71&lt;=300000,100,500))))))+IF(AND($C71="売",MOD($F71*IF($C71="売",1-V811設定!$B$4,1+V811設定!$B$4),IF($F71&lt;=3000,1,IF($F71&lt;=5000,5,IF($F71&lt;=30000,10,IF($F71&lt;=50000,50,IF($F71&lt;=300000,100,500))))))&gt;0),IF($F71&lt;=3000,1,IF($F71&lt;=5000,5,IF($F71&lt;=30000,10,IF($F71&lt;=50000,50,IF($F71&lt;=300000,100,500))))),0))</f>
      </c>
      <c r="N71" s="491" t="str">
        <f>IF($F71="","",$F71*IF($C71="売",1+V811設定!$B$3,1-V811設定!$B$3)-MOD($F71*IF($C71="売",1+V811設定!$B$3,1-V811設定!$B$3),IF($F71&lt;=3000,1,IF($F71&lt;=5000,5,IF($F71&lt;=30000,10,IF($F71&lt;=50000,50,IF($F71&lt;=300000,100,500))))))+IF(AND($C71="売",MOD($F71*IF($C71="売",1+V811設定!$B$3,1-V811設定!$B$3),IF($F71&lt;=3000,1,IF($F71&lt;=5000,5,IF($F71&lt;=30000,10,IF($F71&lt;=50000,50,IF($F71&lt;=300000,100,500))))))&gt;0),IF($F71&lt;=3000,1,IF($F71&lt;=5000,5,IF($F71&lt;=30000,10,IF($F71&lt;=50000,50,IF($F71&lt;=300000,100,500))))),0))</f>
      </c>
      <c r="O71" s="492" t="str">
        <f>IF(OR($B71="",$F71="",$H71=""),"",IF($S71="✅売却済","―決済済―",IF($C71="売",IF($H71&lt;=$M71,"🟢利確",IF(AND($R71&lt;&gt;"",$H71&gt;=$R71),"🟠TRAIL",IF($H71&gt;=$N71,"🔴損切",IF($W71&gt;=V811設定!$B$6,"⏱時間決済",IF($H71&gt;=$F71*(1+V811設定!$B$3*0.7),"⚠️損切接近","保持継続"))))),IF($H71&gt;=$M71,"🟢利確",IF(AND($R71&lt;&gt;"",$H71&lt;=$R71),"🟠TRAIL",IF($H71&lt;=$N71,"🔴損切",IF($W71&gt;=V811設定!$B$6,"⏱時間決済",IF($H71&lt;=$F71*(1-V811設定!$B$3*0.7),"⚠️損切接近","保持継続"))))))))</f>
      </c>
      <c r="P71" s="491"/>
      <c r="Q71" s="491"/>
      <c r="R71" s="491" t="str">
        <f>IF(OR($F71="",$H71="",$N71=""),"",IF($S71="✅売却済","",IF($C71="売",IF($H71&gt;$F71*(1-V811設定!$B$3),$N71,MIN($N71,IF($Q71="",$N71,$Q71*1.03))),IF($H71&lt;$F71*(1+V811設定!$B$3),$N71,MAX($N71,IF($P71="",$N71,$P71*0.97))))))</f>
      </c>
      <c r="S71" s="586" t="str">
        <f>IF(B71="","",IF(T71&lt;&gt;"","✅売却済",IF(OR(H71="",L71=""),"📌保有中",IF(L71&gt;=0.06,"🟢利確推奨",IF(L71&gt;=0.05,"🟡利確直近",IF(L71&gt;=0.045,"🔵トレーリング検討",IF(L71&gt;-0.03,"📌保有中",IF(L71&gt;-0.04,"⚠️損切注意","🔴損切り"))))))))</f>
        <v/>
      </c>
      <c r="T71" s="594"/>
      <c r="U71" s="491"/>
      <c r="V71" s="701" t="str">
        <f>IF(OR(F71="",G71="",U71=""),"",IF(C71="売",(F71-U71)*G71,(U71-F71)*G71))</f>
        <v/>
      </c>
      <c r="W71" s="493" t="str">
        <f>IF(OR($E71="",$B71=""),"",IF($T71&lt;&gt;"",$T71-$E71,TODAY()-$E71)+1)</f>
        <v/>
      </c>
      <c r="X71" s="489" t="str">
        <f>IF(OR($AH71="",$AH71="保有中"),"",$AH71)</f>
        <v/>
      </c>
      <c r="Y71" s="488"/>
      <c r="Z71" s="710"/>
      <c r="AD71" s="608"/>
      <c r="AE71" s="624" t="str">
        <f>IF($E71="","",WORKDAY($E71,12))</f>
        <v/>
      </c>
      <c r="AF71" s="626" t="str" cm="1">
        <f t="array" aca="1" ref="AF71" ca="1">IF(OR($B71="",$M71=""),"",IFERROR(IF($C71="売",_xlfn.MINIFS(安値!$E$3:$IT$3,安値!$E$3:$IT$3,"&gt;"&amp;$E71,安値!$E$3:$IT$3,"&lt;="&amp;$AE71,OFFSET(安値!$E$6:$IT$6,MATCH(TEXT($B71,"0"),TEXT(銘柄管理!$B$6:$B$305,"0"),0)-1,0),"&lt;="&amp;$M71),_xlfn.MINIFS(高値!$E$3:$IT$3,高値!$E$3:$IT$3,"&gt;"&amp;$E71,高値!$E$3:$IT$3,"&lt;="&amp;$AE71,OFFSET(高値!$E$6:$IT$6,MATCH(TEXT($B71,"0"),TEXT(銘柄管理!$B$6:$B$305,"0"),0)-1,0),"&gt;="&amp;$M71)),""))</f>
        <v/>
      </c>
      <c r="AG71" s="626" t="str" cm="1">
        <f t="array" aca="1" ref="AG71" ca="1">IF(OR($B71="",$N71=""),"",IFERROR(IF($C71="売",_xlfn.MINIFS(高値!$E$3:$IT$3,高値!$E$3:$IT$3,"&gt;"&amp;$E71,高値!$E$3:$IT$3,"&lt;="&amp;$AE71,OFFSET(高値!$E$6:$IT$6,MATCH(TEXT($B71,"0"),TEXT(銘柄管理!$B$6:$B$305,"0"),0)-1,0),"&gt;="&amp;$N71),_xlfn.MINIFS(安値!$E$3:$IT$3,安値!$E$3:$IT$3,"&gt;"&amp;$E71,安値!$E$3:$IT$3,"&lt;="&amp;$AE71,OFFSET(安値!$E$6:$IT$6,MATCH(TEXT($B71,"0"),TEXT(銘柄管理!$B$6:$B$305,"0"),0)-1,0),"&lt;="&amp;$N71)),""))</f>
        <v/>
      </c>
      <c r="AH71" s="600" t="str">
        <f>IF(OR($B71="",$M71=""),"",IF(AND(N($AF71)=0,N($AG71)=0),IF(AND(ISNUMBER($H71),$H71&gt;0,IF($C71="売",$H71&gt;=$N71,$H71&lt;=$N71)),"損切確定",IF(AND(ISNUMBER($H71),$H71&gt;0,IF($C71="売",$H71&lt;=$M71,$H71&gt;=$M71)),"利益確定",IF($AE71&lt;=TODAY(),"日数制限","保有中"))),IF(N($AG71)=0,"利益確定",IF(N($AF71)=0,"損切確定",IF($AG71&lt;=$AF71,"損切確定","利益確定")))))</f>
        <v/>
      </c>
      <c r="AI71" s="600" t="str" cm="1">
        <f t="array" ref="AI71">IFERROR(INDEX(始値!$E$6:$IT$305,MATCH(TEXT($B71,"0"),TEXT(銘柄管理!$B$6:$B$305,"0"),0),MATCH($AE71,始値!$E$3:$IT$3,0)),"")</f>
        <v/>
      </c>
      <c r="AJ71" s="905" t="str">
        <f>IF(OR($V71="",$F71="",$G71=""),"",$V71/($F71*$G71))</f>
        <v/>
      </c>
      <c r="AK71" s="629" t="str">
        <f>IF($V71="","",IF($V71&gt;0,"○勝",IF($V71&lt;0,"●負","△引分")))</f>
        <v/>
      </c>
    </row>
    <row r="72" spans="1:37" ht="35.4" customHeight="1">
      <c r="A72" s="619" t="str">
        <f>IF(B72="","",HYPERLINK("https://kabutan.jp/stock/?code="&amp;B72,"株探"))</f>
        <v/>
      </c>
      <c r="B72" s="630"/>
      <c r="C72" s="490"/>
      <c r="D72" s="623" t="str" cm="1">
        <f t="array" ref="D72">IF($B72="","",_xll.RssMarket($B72,"銘柄名称"))</f>
        <v/>
      </c>
      <c r="E72" s="716"/>
      <c r="F72" s="698" t="str" cm="1">
        <f t="array" aca="1" ref="F72" ca="1">IFERROR(_xlfn.LET(_xlpm.r,MATCH(TEXT($B72,"0"),TEXT(銘柄管理!$B$6:$B$305,"0"),0),_xlpm.t,MOD(NOW(),1),_xlpm.c,IF($E72=TODAY(),IF(_xlpm.t&gt;=TIME(15,30,0),NA(),1),IF(MATCH($E72,始値!$E$3:$IT$3,0)=1,1,MATCH($E72,始値!$E$3:$IT$3,0)+1)),_xlpm.v,INDEX(始値!$C$6:$IT$305,_xlpm.r,_xlpm.c),IF(N(_xlpm.v)=0,"",_xlpm.v)),"")</f>
        <v/>
      </c>
      <c r="G72" s="631"/>
      <c r="H72" s="491" t="str" cm="1">
        <f t="array" ref="H72">IF($B72="","",_xll.RssMarket($B72,"現在値"))</f>
        <v/>
      </c>
      <c r="I72" s="491" t="str" cm="1">
        <f t="array" ref="I72">IF($B72="","",_xll.RssMarket($B72,"出来高加重平均"))</f>
        <v/>
      </c>
      <c r="J72" s="701" t="str" cm="1">
        <f t="array" ref="J72">IF($B72="","",_xll.RssMarket($B72,"前日比"))</f>
        <v/>
      </c>
      <c r="K72" s="701" t="str">
        <f>IF(OR(F72="",G72="",H72=""),"",IF(C72="売",(F72-H72)*G72,(H72-F72)*G72))</f>
        <v/>
      </c>
      <c r="L72" s="706" t="str">
        <f>IF(OR(F72="",H72=""),"",IF(C72="売",(F72-H72)/F72,(H72-F72)/F72))</f>
        <v/>
      </c>
      <c r="M72" s="491" t="str">
        <f>IF($F72="","",$F72*IF($C72="売",1-V811設定!$B$4,1+V811設定!$B$4)-MOD($F72*IF($C72="売",1-V811設定!$B$4,1+V811設定!$B$4),IF($F72&lt;=3000,1,IF($F72&lt;=5000,5,IF($F72&lt;=30000,10,IF($F72&lt;=50000,50,IF($F72&lt;=300000,100,500))))))+IF(AND($C72="売",MOD($F72*IF($C72="売",1-V811設定!$B$4,1+V811設定!$B$4),IF($F72&lt;=3000,1,IF($F72&lt;=5000,5,IF($F72&lt;=30000,10,IF($F72&lt;=50000,50,IF($F72&lt;=300000,100,500))))))&gt;0),IF($F72&lt;=3000,1,IF($F72&lt;=5000,5,IF($F72&lt;=30000,10,IF($F72&lt;=50000,50,IF($F72&lt;=300000,100,500))))),0))</f>
      </c>
      <c r="N72" s="491" t="str">
        <f>IF($F72="","",$F72*IF($C72="売",1+V811設定!$B$3,1-V811設定!$B$3)-MOD($F72*IF($C72="売",1+V811設定!$B$3,1-V811設定!$B$3),IF($F72&lt;=3000,1,IF($F72&lt;=5000,5,IF($F72&lt;=30000,10,IF($F72&lt;=50000,50,IF($F72&lt;=300000,100,500))))))+IF(AND($C72="売",MOD($F72*IF($C72="売",1+V811設定!$B$3,1-V811設定!$B$3),IF($F72&lt;=3000,1,IF($F72&lt;=5000,5,IF($F72&lt;=30000,10,IF($F72&lt;=50000,50,IF($F72&lt;=300000,100,500))))))&gt;0),IF($F72&lt;=3000,1,IF($F72&lt;=5000,5,IF($F72&lt;=30000,10,IF($F72&lt;=50000,50,IF($F72&lt;=300000,100,500))))),0))</f>
      </c>
      <c r="O72" s="492" t="str">
        <f>IF(OR($B72="",$F72="",$H72=""),"",IF($S72="✅売却済","―決済済―",IF($C72="売",IF($H72&lt;=$M72,"🟢利確",IF(AND($R72&lt;&gt;"",$H72&gt;=$R72),"🟠TRAIL",IF($H72&gt;=$N72,"🔴損切",IF($W72&gt;=V811設定!$B$6,"⏱時間決済",IF($H72&gt;=$F72*(1+V811設定!$B$3*0.7),"⚠️損切接近","保持継続"))))),IF($H72&gt;=$M72,"🟢利確",IF(AND($R72&lt;&gt;"",$H72&lt;=$R72),"🟠TRAIL",IF($H72&lt;=$N72,"🔴損切",IF($W72&gt;=V811設定!$B$6,"⏱時間決済",IF($H72&lt;=$F72*(1-V811設定!$B$3*0.7),"⚠️損切接近","保持継続"))))))))</f>
      </c>
      <c r="P72" s="491"/>
      <c r="Q72" s="491"/>
      <c r="R72" s="491" t="str">
        <f>IF(OR($F72="",$H72="",$N72=""),"",IF($S72="✅売却済","",IF($C72="売",IF($H72&gt;$F72*(1-V811設定!$B$3),$N72,MIN($N72,IF($Q72="",$N72,$Q72*1.03))),IF($H72&lt;$F72*(1+V811設定!$B$3),$N72,MAX($N72,IF($P72="",$N72,$P72*0.97))))))</f>
      </c>
      <c r="S72" s="586" t="str">
        <f>IF(B72="","",IF(T72&lt;&gt;"","✅売却済",IF(OR(H72="",L72=""),"📌保有中",IF(L72&gt;=0.06,"🟢利確推奨",IF(L72&gt;=0.05,"🟡利確直近",IF(L72&gt;=0.045,"🔵トレーリング検討",IF(L72&gt;-0.03,"📌保有中",IF(L72&gt;-0.04,"⚠️損切注意","🔴損切り"))))))))</f>
        <v/>
      </c>
      <c r="T72" s="594"/>
      <c r="U72" s="491"/>
      <c r="V72" s="701" t="str">
        <f>IF(OR(F72="",G72="",U72=""),"",IF(C72="売",(F72-U72)*G72,(U72-F72)*G72))</f>
        <v/>
      </c>
      <c r="W72" s="493" t="str">
        <f>IF(OR($E72="",$B72=""),"",IF($T72&lt;&gt;"",$T72-$E72,TODAY()-$E72)+1)</f>
        <v/>
      </c>
      <c r="X72" s="489" t="str">
        <f>IF(OR($AH72="",$AH72="保有中"),"",$AH72)</f>
        <v/>
      </c>
      <c r="Y72" s="488"/>
      <c r="Z72" s="710"/>
      <c r="AD72" s="608"/>
      <c r="AE72" s="624" t="str">
        <f>IF($E72="","",WORKDAY($E72,12))</f>
        <v/>
      </c>
      <c r="AF72" s="626" t="str" cm="1">
        <f t="array" aca="1" ref="AF72" ca="1">IF(OR($B72="",$M72=""),"",IFERROR(IF($C72="売",_xlfn.MINIFS(安値!$E$3:$IT$3,安値!$E$3:$IT$3,"&gt;"&amp;$E72,安値!$E$3:$IT$3,"&lt;="&amp;$AE72,OFFSET(安値!$E$6:$IT$6,MATCH(TEXT($B72,"0"),TEXT(銘柄管理!$B$6:$B$305,"0"),0)-1,0),"&lt;="&amp;$M72),_xlfn.MINIFS(高値!$E$3:$IT$3,高値!$E$3:$IT$3,"&gt;"&amp;$E72,高値!$E$3:$IT$3,"&lt;="&amp;$AE72,OFFSET(高値!$E$6:$IT$6,MATCH(TEXT($B72,"0"),TEXT(銘柄管理!$B$6:$B$305,"0"),0)-1,0),"&gt;="&amp;$M72)),""))</f>
        <v/>
      </c>
      <c r="AG72" s="626" t="str" cm="1">
        <f t="array" aca="1" ref="AG72" ca="1">IF(OR($B72="",$N72=""),"",IFERROR(IF($C72="売",_xlfn.MINIFS(高値!$E$3:$IT$3,高値!$E$3:$IT$3,"&gt;"&amp;$E72,高値!$E$3:$IT$3,"&lt;="&amp;$AE72,OFFSET(高値!$E$6:$IT$6,MATCH(TEXT($B72,"0"),TEXT(銘柄管理!$B$6:$B$305,"0"),0)-1,0),"&gt;="&amp;$N72),_xlfn.MINIFS(安値!$E$3:$IT$3,安値!$E$3:$IT$3,"&gt;"&amp;$E72,安値!$E$3:$IT$3,"&lt;="&amp;$AE72,OFFSET(安値!$E$6:$IT$6,MATCH(TEXT($B72,"0"),TEXT(銘柄管理!$B$6:$B$305,"0"),0)-1,0),"&lt;="&amp;$N72)),""))</f>
        <v/>
      </c>
      <c r="AH72" s="600" t="str">
        <f>IF(OR($B72="",$M72=""),"",IF(AND(N($AF72)=0,N($AG72)=0),IF(AND(ISNUMBER($H72),$H72&gt;0,IF($C72="売",$H72&gt;=$N72,$H72&lt;=$N72)),"損切確定",IF(AND(ISNUMBER($H72),$H72&gt;0,IF($C72="売",$H72&lt;=$M72,$H72&gt;=$M72)),"利益確定",IF($AE72&lt;=TODAY(),"日数制限","保有中"))),IF(N($AG72)=0,"利益確定",IF(N($AF72)=0,"損切確定",IF($AG72&lt;=$AF72,"損切確定","利益確定")))))</f>
        <v/>
      </c>
      <c r="AI72" s="600" t="str" cm="1">
        <f t="array" ref="AI72">IFERROR(INDEX(始値!$E$6:$IT$305,MATCH(TEXT($B72,"0"),TEXT(銘柄管理!$B$6:$B$305,"0"),0),MATCH($AE72,始値!$E$3:$IT$3,0)),"")</f>
        <v/>
      </c>
      <c r="AJ72" s="905" t="str">
        <f>IF(OR($V72="",$F72="",$G72=""),"",$V72/($F72*$G72))</f>
        <v/>
      </c>
      <c r="AK72" s="629" t="str">
        <f>IF($V72="","",IF($V72&gt;0,"○勝",IF($V72&lt;0,"●負","△引分")))</f>
        <v/>
      </c>
    </row>
    <row r="73" spans="1:37" ht="35.4" customHeight="1">
      <c r="A73" s="619" t="str">
        <f>IF(B73="","",HYPERLINK("https://kabutan.jp/stock/?code="&amp;B73,"株探"))</f>
        <v/>
      </c>
      <c r="B73" s="630"/>
      <c r="C73" s="490"/>
      <c r="D73" s="623" t="str" cm="1">
        <f t="array" ref="D73">IF($B73="","",_xll.RssMarket($B73,"銘柄名称"))</f>
        <v/>
      </c>
      <c r="E73" s="716"/>
      <c r="F73" s="698" t="str" cm="1">
        <f t="array" aca="1" ref="F73" ca="1">IFERROR(_xlfn.LET(_xlpm.r,MATCH(TEXT($B73,"0"),TEXT(銘柄管理!$B$6:$B$305,"0"),0),_xlpm.t,MOD(NOW(),1),_xlpm.c,IF($E73=TODAY(),IF(_xlpm.t&gt;=TIME(15,30,0),NA(),1),IF(MATCH($E73,始値!$E$3:$IT$3,0)=1,1,MATCH($E73,始値!$E$3:$IT$3,0)+1)),_xlpm.v,INDEX(始値!$C$6:$IT$305,_xlpm.r,_xlpm.c),IF(N(_xlpm.v)=0,"",_xlpm.v)),"")</f>
        <v/>
      </c>
      <c r="G73" s="631"/>
      <c r="H73" s="491" t="str" cm="1">
        <f t="array" ref="H73">IF($B73="","",_xll.RssMarket($B73,"現在値"))</f>
        <v/>
      </c>
      <c r="I73" s="491" t="str" cm="1">
        <f t="array" ref="I73">IF($B73="","",_xll.RssMarket($B73,"出来高加重平均"))</f>
        <v/>
      </c>
      <c r="J73" s="701" t="str" cm="1">
        <f t="array" ref="J73">IF($B73="","",_xll.RssMarket($B73,"前日比"))</f>
        <v/>
      </c>
      <c r="K73" s="701" t="str">
        <f>IF(OR(F73="",G73="",H73=""),"",IF(C73="売",(F73-H73)*G73,(H73-F73)*G73))</f>
        <v/>
      </c>
      <c r="L73" s="706" t="str">
        <f>IF(OR(F73="",H73=""),"",IF(C73="売",(F73-H73)/F73,(H73-F73)/F73))</f>
        <v/>
      </c>
      <c r="M73" s="491" t="str">
        <f>IF($F73="","",$F73*IF($C73="売",1-V811設定!$B$4,1+V811設定!$B$4)-MOD($F73*IF($C73="売",1-V811設定!$B$4,1+V811設定!$B$4),IF($F73&lt;=3000,1,IF($F73&lt;=5000,5,IF($F73&lt;=30000,10,IF($F73&lt;=50000,50,IF($F73&lt;=300000,100,500))))))+IF(AND($C73="売",MOD($F73*IF($C73="売",1-V811設定!$B$4,1+V811設定!$B$4),IF($F73&lt;=3000,1,IF($F73&lt;=5000,5,IF($F73&lt;=30000,10,IF($F73&lt;=50000,50,IF($F73&lt;=300000,100,500))))))&gt;0),IF($F73&lt;=3000,1,IF($F73&lt;=5000,5,IF($F73&lt;=30000,10,IF($F73&lt;=50000,50,IF($F73&lt;=300000,100,500))))),0))</f>
      </c>
      <c r="N73" s="491" t="str">
        <f>IF($F73="","",$F73*IF($C73="売",1+V811設定!$B$3,1-V811設定!$B$3)-MOD($F73*IF($C73="売",1+V811設定!$B$3,1-V811設定!$B$3),IF($F73&lt;=3000,1,IF($F73&lt;=5000,5,IF($F73&lt;=30000,10,IF($F73&lt;=50000,50,IF($F73&lt;=300000,100,500))))))+IF(AND($C73="売",MOD($F73*IF($C73="売",1+V811設定!$B$3,1-V811設定!$B$3),IF($F73&lt;=3000,1,IF($F73&lt;=5000,5,IF($F73&lt;=30000,10,IF($F73&lt;=50000,50,IF($F73&lt;=300000,100,500))))))&gt;0),IF($F73&lt;=3000,1,IF($F73&lt;=5000,5,IF($F73&lt;=30000,10,IF($F73&lt;=50000,50,IF($F73&lt;=300000,100,500))))),0))</f>
      </c>
      <c r="O73" s="492" t="str">
        <f>IF(OR($B73="",$F73="",$H73=""),"",IF($S73="✅売却済","―決済済―",IF($C73="売",IF($H73&lt;=$M73,"🟢利確",IF(AND($R73&lt;&gt;"",$H73&gt;=$R73),"🟠TRAIL",IF($H73&gt;=$N73,"🔴損切",IF($W73&gt;=V811設定!$B$6,"⏱時間決済",IF($H73&gt;=$F73*(1+V811設定!$B$3*0.7),"⚠️損切接近","保持継続"))))),IF($H73&gt;=$M73,"🟢利確",IF(AND($R73&lt;&gt;"",$H73&lt;=$R73),"🟠TRAIL",IF($H73&lt;=$N73,"🔴損切",IF($W73&gt;=V811設定!$B$6,"⏱時間決済",IF($H73&lt;=$F73*(1-V811設定!$B$3*0.7),"⚠️損切接近","保持継続"))))))))</f>
      </c>
      <c r="P73" s="491"/>
      <c r="Q73" s="491"/>
      <c r="R73" s="491" t="str">
        <f>IF(OR($F73="",$H73="",$N73=""),"",IF($S73="✅売却済","",IF($C73="売",IF($H73&gt;$F73*(1-V811設定!$B$3),$N73,MIN($N73,IF($Q73="",$N73,$Q73*1.03))),IF($H73&lt;$F73*(1+V811設定!$B$3),$N73,MAX($N73,IF($P73="",$N73,$P73*0.97))))))</f>
      </c>
      <c r="S73" s="586" t="str">
        <f>IF(B73="","",IF(T73&lt;&gt;"","✅売却済",IF(OR(H73="",L73=""),"📌保有中",IF(L73&gt;=0.06,"🟢利確推奨",IF(L73&gt;=0.05,"🟡利確直近",IF(L73&gt;=0.045,"🔵トレーリング検討",IF(L73&gt;-0.03,"📌保有中",IF(L73&gt;-0.04,"⚠️損切注意","🔴損切り"))))))))</f>
        <v/>
      </c>
      <c r="T73" s="594"/>
      <c r="U73" s="491"/>
      <c r="V73" s="701" t="str">
        <f>IF(OR(F73="",G73="",U73=""),"",IF(C73="売",(F73-U73)*G73,(U73-F73)*G73))</f>
        <v/>
      </c>
      <c r="W73" s="493" t="str">
        <f>IF(OR($E73="",$B73=""),"",IF($T73&lt;&gt;"",$T73-$E73,TODAY()-$E73)+1)</f>
        <v/>
      </c>
      <c r="X73" s="489" t="str">
        <f>IF(OR($AH73="",$AH73="保有中"),"",$AH73)</f>
        <v/>
      </c>
      <c r="Y73" s="488"/>
      <c r="Z73" s="710"/>
      <c r="AD73" s="608"/>
      <c r="AE73" s="624" t="str">
        <f>IF($E73="","",WORKDAY($E73,12))</f>
        <v/>
      </c>
      <c r="AF73" s="626" t="str" cm="1">
        <f t="array" aca="1" ref="AF73" ca="1">IF(OR($B73="",$M73=""),"",IFERROR(IF($C73="売",_xlfn.MINIFS(安値!$E$3:$IT$3,安値!$E$3:$IT$3,"&gt;"&amp;$E73,安値!$E$3:$IT$3,"&lt;="&amp;$AE73,OFFSET(安値!$E$6:$IT$6,MATCH(TEXT($B73,"0"),TEXT(銘柄管理!$B$6:$B$305,"0"),0)-1,0),"&lt;="&amp;$M73),_xlfn.MINIFS(高値!$E$3:$IT$3,高値!$E$3:$IT$3,"&gt;"&amp;$E73,高値!$E$3:$IT$3,"&lt;="&amp;$AE73,OFFSET(高値!$E$6:$IT$6,MATCH(TEXT($B73,"0"),TEXT(銘柄管理!$B$6:$B$305,"0"),0)-1,0),"&gt;="&amp;$M73)),""))</f>
        <v/>
      </c>
      <c r="AG73" s="626" t="str" cm="1">
        <f t="array" aca="1" ref="AG73" ca="1">IF(OR($B73="",$N73=""),"",IFERROR(IF($C73="売",_xlfn.MINIFS(高値!$E$3:$IT$3,高値!$E$3:$IT$3,"&gt;"&amp;$E73,高値!$E$3:$IT$3,"&lt;="&amp;$AE73,OFFSET(高値!$E$6:$IT$6,MATCH(TEXT($B73,"0"),TEXT(銘柄管理!$B$6:$B$305,"0"),0)-1,0),"&gt;="&amp;$N73),_xlfn.MINIFS(安値!$E$3:$IT$3,安値!$E$3:$IT$3,"&gt;"&amp;$E73,安値!$E$3:$IT$3,"&lt;="&amp;$AE73,OFFSET(安値!$E$6:$IT$6,MATCH(TEXT($B73,"0"),TEXT(銘柄管理!$B$6:$B$305,"0"),0)-1,0),"&lt;="&amp;$N73)),""))</f>
        <v/>
      </c>
      <c r="AH73" s="600" t="str">
        <f>IF(OR($B73="",$M73=""),"",IF(AND(N($AF73)=0,N($AG73)=0),IF(AND(ISNUMBER($H73),$H73&gt;0,IF($C73="売",$H73&gt;=$N73,$H73&lt;=$N73)),"損切確定",IF(AND(ISNUMBER($H73),$H73&gt;0,IF($C73="売",$H73&lt;=$M73,$H73&gt;=$M73)),"利益確定",IF($AE73&lt;=TODAY(),"日数制限","保有中"))),IF(N($AG73)=0,"利益確定",IF(N($AF73)=0,"損切確定",IF($AG73&lt;=$AF73,"損切確定","利益確定")))))</f>
        <v/>
      </c>
      <c r="AI73" s="600" t="str" cm="1">
        <f t="array" ref="AI73">IFERROR(INDEX(始値!$E$6:$IT$305,MATCH(TEXT($B73,"0"),TEXT(銘柄管理!$B$6:$B$305,"0"),0),MATCH($AE73,始値!$E$3:$IT$3,0)),"")</f>
        <v/>
      </c>
      <c r="AJ73" s="905" t="str">
        <f>IF(OR($V73="",$F73="",$G73=""),"",$V73/($F73*$G73))</f>
        <v/>
      </c>
      <c r="AK73" s="629" t="str">
        <f>IF($V73="","",IF($V73&gt;0,"○勝",IF($V73&lt;0,"●負","△引分")))</f>
        <v/>
      </c>
    </row>
    <row r="74" spans="1:37" ht="35.4" customHeight="1">
      <c r="A74" s="619" t="str">
        <f>IF(B74="","",HYPERLINK("https://kabutan.jp/stock/?code="&amp;B74,"株探"))</f>
        <v/>
      </c>
      <c r="B74" s="630"/>
      <c r="C74" s="490"/>
      <c r="D74" s="623" t="str" cm="1">
        <f t="array" ref="D74">IF($B74="","",_xll.RssMarket($B74,"銘柄名称"))</f>
        <v/>
      </c>
      <c r="E74" s="716"/>
      <c r="F74" s="698" t="str" cm="1">
        <f t="array" aca="1" ref="F74" ca="1">IFERROR(_xlfn.LET(_xlpm.r,MATCH(TEXT($B74,"0"),TEXT(銘柄管理!$B$6:$B$305,"0"),0),_xlpm.t,MOD(NOW(),1),_xlpm.c,IF($E74=TODAY(),IF(_xlpm.t&gt;=TIME(15,30,0),NA(),1),IF(MATCH($E74,始値!$E$3:$IT$3,0)=1,1,MATCH($E74,始値!$E$3:$IT$3,0)+1)),_xlpm.v,INDEX(始値!$C$6:$IT$305,_xlpm.r,_xlpm.c),IF(N(_xlpm.v)=0,"",_xlpm.v)),"")</f>
        <v/>
      </c>
      <c r="G74" s="631"/>
      <c r="H74" s="491" t="str" cm="1">
        <f t="array" ref="H74">IF($B74="","",_xll.RssMarket($B74,"現在値"))</f>
        <v/>
      </c>
      <c r="I74" s="491" t="str" cm="1">
        <f t="array" ref="I74">IF($B74="","",_xll.RssMarket($B74,"出来高加重平均"))</f>
        <v/>
      </c>
      <c r="J74" s="701" t="str" cm="1">
        <f t="array" ref="J74">IF($B74="","",_xll.RssMarket($B74,"前日比"))</f>
        <v/>
      </c>
      <c r="K74" s="701" t="str">
        <f>IF(OR(F74="",G74="",H74=""),"",IF(C74="売",(F74-H74)*G74,(H74-F74)*G74))</f>
        <v/>
      </c>
      <c r="L74" s="706" t="str">
        <f>IF(OR(F74="",H74=""),"",IF(C74="売",(F74-H74)/F74,(H74-F74)/F74))</f>
        <v/>
      </c>
      <c r="M74" s="491" t="str">
        <f>IF($F74="","",$F74*IF($C74="売",1-V811設定!$B$4,1+V811設定!$B$4)-MOD($F74*IF($C74="売",1-V811設定!$B$4,1+V811設定!$B$4),IF($F74&lt;=3000,1,IF($F74&lt;=5000,5,IF($F74&lt;=30000,10,IF($F74&lt;=50000,50,IF($F74&lt;=300000,100,500))))))+IF(AND($C74="売",MOD($F74*IF($C74="売",1-V811設定!$B$4,1+V811設定!$B$4),IF($F74&lt;=3000,1,IF($F74&lt;=5000,5,IF($F74&lt;=30000,10,IF($F74&lt;=50000,50,IF($F74&lt;=300000,100,500))))))&gt;0),IF($F74&lt;=3000,1,IF($F74&lt;=5000,5,IF($F74&lt;=30000,10,IF($F74&lt;=50000,50,IF($F74&lt;=300000,100,500))))),0))</f>
      </c>
      <c r="N74" s="491" t="str">
        <f>IF($F74="","",$F74*IF($C74="売",1+V811設定!$B$3,1-V811設定!$B$3)-MOD($F74*IF($C74="売",1+V811設定!$B$3,1-V811設定!$B$3),IF($F74&lt;=3000,1,IF($F74&lt;=5000,5,IF($F74&lt;=30000,10,IF($F74&lt;=50000,50,IF($F74&lt;=300000,100,500))))))+IF(AND($C74="売",MOD($F74*IF($C74="売",1+V811設定!$B$3,1-V811設定!$B$3),IF($F74&lt;=3000,1,IF($F74&lt;=5000,5,IF($F74&lt;=30000,10,IF($F74&lt;=50000,50,IF($F74&lt;=300000,100,500))))))&gt;0),IF($F74&lt;=3000,1,IF($F74&lt;=5000,5,IF($F74&lt;=30000,10,IF($F74&lt;=50000,50,IF($F74&lt;=300000,100,500))))),0))</f>
      </c>
      <c r="O74" s="492" t="str">
        <f>IF(OR($B74="",$F74="",$H74=""),"",IF($S74="✅売却済","―決済済―",IF($C74="売",IF($H74&lt;=$M74,"🟢利確",IF(AND($R74&lt;&gt;"",$H74&gt;=$R74),"🟠TRAIL",IF($H74&gt;=$N74,"🔴損切",IF($W74&gt;=V811設定!$B$6,"⏱時間決済",IF($H74&gt;=$F74*(1+V811設定!$B$3*0.7),"⚠️損切接近","保持継続"))))),IF($H74&gt;=$M74,"🟢利確",IF(AND($R74&lt;&gt;"",$H74&lt;=$R74),"🟠TRAIL",IF($H74&lt;=$N74,"🔴損切",IF($W74&gt;=V811設定!$B$6,"⏱時間決済",IF($H74&lt;=$F74*(1-V811設定!$B$3*0.7),"⚠️損切接近","保持継続"))))))))</f>
      </c>
      <c r="P74" s="491"/>
      <c r="Q74" s="491"/>
      <c r="R74" s="491" t="str">
        <f>IF(OR($F74="",$H74="",$N74=""),"",IF($S74="✅売却済","",IF($C74="売",IF($H74&gt;$F74*(1-V811設定!$B$3),$N74,MIN($N74,IF($Q74="",$N74,$Q74*1.03))),IF($H74&lt;$F74*(1+V811設定!$B$3),$N74,MAX($N74,IF($P74="",$N74,$P74*0.97))))))</f>
      </c>
      <c r="S74" s="586" t="str">
        <f>IF(B74="","",IF(T74&lt;&gt;"","✅売却済",IF(OR(H74="",L74=""),"📌保有中",IF(L74&gt;=0.06,"🟢利確推奨",IF(L74&gt;=0.05,"🟡利確直近",IF(L74&gt;=0.045,"🔵トレーリング検討",IF(L74&gt;-0.03,"📌保有中",IF(L74&gt;-0.04,"⚠️損切注意","🔴損切り"))))))))</f>
        <v/>
      </c>
      <c r="T74" s="594"/>
      <c r="U74" s="491"/>
      <c r="V74" s="701" t="str">
        <f>IF(OR(F74="",G74="",U74=""),"",IF(C74="売",(F74-U74)*G74,(U74-F74)*G74))</f>
        <v/>
      </c>
      <c r="W74" s="493" t="str">
        <f>IF(OR($E74="",$B74=""),"",IF($T74&lt;&gt;"",$T74-$E74,TODAY()-$E74)+1)</f>
        <v/>
      </c>
      <c r="X74" s="489" t="str">
        <f>IF(OR($AH74="",$AH74="保有中"),"",$AH74)</f>
        <v/>
      </c>
      <c r="Y74" s="488"/>
      <c r="Z74" s="710"/>
      <c r="AD74" s="608"/>
      <c r="AE74" s="624" t="str">
        <f>IF($E74="","",WORKDAY($E74,12))</f>
        <v/>
      </c>
      <c r="AF74" s="626" t="str" cm="1">
        <f t="array" aca="1" ref="AF74" ca="1">IF(OR($B74="",$M74=""),"",IFERROR(IF($C74="売",_xlfn.MINIFS(安値!$E$3:$IT$3,安値!$E$3:$IT$3,"&gt;"&amp;$E74,安値!$E$3:$IT$3,"&lt;="&amp;$AE74,OFFSET(安値!$E$6:$IT$6,MATCH(TEXT($B74,"0"),TEXT(銘柄管理!$B$6:$B$305,"0"),0)-1,0),"&lt;="&amp;$M74),_xlfn.MINIFS(高値!$E$3:$IT$3,高値!$E$3:$IT$3,"&gt;"&amp;$E74,高値!$E$3:$IT$3,"&lt;="&amp;$AE74,OFFSET(高値!$E$6:$IT$6,MATCH(TEXT($B74,"0"),TEXT(銘柄管理!$B$6:$B$305,"0"),0)-1,0),"&gt;="&amp;$M74)),""))</f>
        <v/>
      </c>
      <c r="AG74" s="626" t="str" cm="1">
        <f t="array" aca="1" ref="AG74" ca="1">IF(OR($B74="",$N74=""),"",IFERROR(IF($C74="売",_xlfn.MINIFS(高値!$E$3:$IT$3,高値!$E$3:$IT$3,"&gt;"&amp;$E74,高値!$E$3:$IT$3,"&lt;="&amp;$AE74,OFFSET(高値!$E$6:$IT$6,MATCH(TEXT($B74,"0"),TEXT(銘柄管理!$B$6:$B$305,"0"),0)-1,0),"&gt;="&amp;$N74),_xlfn.MINIFS(安値!$E$3:$IT$3,安値!$E$3:$IT$3,"&gt;"&amp;$E74,安値!$E$3:$IT$3,"&lt;="&amp;$AE74,OFFSET(安値!$E$6:$IT$6,MATCH(TEXT($B74,"0"),TEXT(銘柄管理!$B$6:$B$305,"0"),0)-1,0),"&lt;="&amp;$N74)),""))</f>
        <v/>
      </c>
      <c r="AH74" s="600" t="str">
        <f>IF(OR($B74="",$M74=""),"",IF(AND(N($AF74)=0,N($AG74)=0),IF(AND(ISNUMBER($H74),$H74&gt;0,IF($C74="売",$H74&gt;=$N74,$H74&lt;=$N74)),"損切確定",IF(AND(ISNUMBER($H74),$H74&gt;0,IF($C74="売",$H74&lt;=$M74,$H74&gt;=$M74)),"利益確定",IF($AE74&lt;=TODAY(),"日数制限","保有中"))),IF(N($AG74)=0,"利益確定",IF(N($AF74)=0,"損切確定",IF($AG74&lt;=$AF74,"損切確定","利益確定")))))</f>
        <v/>
      </c>
      <c r="AI74" s="600" t="str" cm="1">
        <f t="array" ref="AI74">IFERROR(INDEX(始値!$E$6:$IT$305,MATCH(TEXT($B74,"0"),TEXT(銘柄管理!$B$6:$B$305,"0"),0),MATCH($AE74,始値!$E$3:$IT$3,0)),"")</f>
        <v/>
      </c>
      <c r="AJ74" s="905" t="str">
        <f>IF(OR($V74="",$F74="",$G74=""),"",$V74/($F74*$G74))</f>
        <v/>
      </c>
      <c r="AK74" s="629" t="str">
        <f>IF($V74="","",IF($V74&gt;0,"○勝",IF($V74&lt;0,"●負","△引分")))</f>
        <v/>
      </c>
    </row>
    <row r="75" spans="1:37" ht="35.4" customHeight="1">
      <c r="A75" s="619" t="str">
        <f>IF(B75="","",HYPERLINK("https://kabutan.jp/stock/?code="&amp;B75,"株探"))</f>
        <v/>
      </c>
      <c r="B75" s="630"/>
      <c r="C75" s="490"/>
      <c r="D75" s="623" t="str" cm="1">
        <f t="array" ref="D75">IF($B75="","",_xll.RssMarket($B75,"銘柄名称"))</f>
        <v/>
      </c>
      <c r="E75" s="716"/>
      <c r="F75" s="698" t="str" cm="1">
        <f t="array" aca="1" ref="F75" ca="1">IFERROR(_xlfn.LET(_xlpm.r,MATCH(TEXT($B75,"0"),TEXT(銘柄管理!$B$6:$B$305,"0"),0),_xlpm.t,MOD(NOW(),1),_xlpm.c,IF($E75=TODAY(),IF(_xlpm.t&gt;=TIME(15,30,0),NA(),1),IF(MATCH($E75,始値!$E$3:$IT$3,0)=1,1,MATCH($E75,始値!$E$3:$IT$3,0)+1)),_xlpm.v,INDEX(始値!$C$6:$IT$305,_xlpm.r,_xlpm.c),IF(N(_xlpm.v)=0,"",_xlpm.v)),"")</f>
        <v/>
      </c>
      <c r="G75" s="631"/>
      <c r="H75" s="491" t="str" cm="1">
        <f t="array" ref="H75">IF($B75="","",_xll.RssMarket($B75,"現在値"))</f>
        <v/>
      </c>
      <c r="I75" s="491" t="str" cm="1">
        <f t="array" ref="I75">IF($B75="","",_xll.RssMarket($B75,"出来高加重平均"))</f>
        <v/>
      </c>
      <c r="J75" s="701" t="str" cm="1">
        <f t="array" ref="J75">IF($B75="","",_xll.RssMarket($B75,"前日比"))</f>
        <v/>
      </c>
      <c r="K75" s="701" t="str">
        <f>IF(OR(F75="",G75="",H75=""),"",IF(C75="売",(F75-H75)*G75,(H75-F75)*G75))</f>
        <v/>
      </c>
      <c r="L75" s="706" t="str">
        <f>IF(OR(F75="",H75=""),"",IF(C75="売",(F75-H75)/F75,(H75-F75)/F75))</f>
        <v/>
      </c>
      <c r="M75" s="491" t="str">
        <f>IF($F75="","",$F75*IF($C75="売",1-V811設定!$B$4,1+V811設定!$B$4)-MOD($F75*IF($C75="売",1-V811設定!$B$4,1+V811設定!$B$4),IF($F75&lt;=3000,1,IF($F75&lt;=5000,5,IF($F75&lt;=30000,10,IF($F75&lt;=50000,50,IF($F75&lt;=300000,100,500))))))+IF(AND($C75="売",MOD($F75*IF($C75="売",1-V811設定!$B$4,1+V811設定!$B$4),IF($F75&lt;=3000,1,IF($F75&lt;=5000,5,IF($F75&lt;=30000,10,IF($F75&lt;=50000,50,IF($F75&lt;=300000,100,500))))))&gt;0),IF($F75&lt;=3000,1,IF($F75&lt;=5000,5,IF($F75&lt;=30000,10,IF($F75&lt;=50000,50,IF($F75&lt;=300000,100,500))))),0))</f>
      </c>
      <c r="N75" s="491" t="str">
        <f>IF($F75="","",$F75*IF($C75="売",1+V811設定!$B$3,1-V811設定!$B$3)-MOD($F75*IF($C75="売",1+V811設定!$B$3,1-V811設定!$B$3),IF($F75&lt;=3000,1,IF($F75&lt;=5000,5,IF($F75&lt;=30000,10,IF($F75&lt;=50000,50,IF($F75&lt;=300000,100,500))))))+IF(AND($C75="売",MOD($F75*IF($C75="売",1+V811設定!$B$3,1-V811設定!$B$3),IF($F75&lt;=3000,1,IF($F75&lt;=5000,5,IF($F75&lt;=30000,10,IF($F75&lt;=50000,50,IF($F75&lt;=300000,100,500))))))&gt;0),IF($F75&lt;=3000,1,IF($F75&lt;=5000,5,IF($F75&lt;=30000,10,IF($F75&lt;=50000,50,IF($F75&lt;=300000,100,500))))),0))</f>
      </c>
      <c r="O75" s="492" t="str">
        <f>IF(OR($B75="",$F75="",$H75=""),"",IF($S75="✅売却済","―決済済―",IF($C75="売",IF($H75&lt;=$M75,"🟢利確",IF(AND($R75&lt;&gt;"",$H75&gt;=$R75),"🟠TRAIL",IF($H75&gt;=$N75,"🔴損切",IF($W75&gt;=V811設定!$B$6,"⏱時間決済",IF($H75&gt;=$F75*(1+V811設定!$B$3*0.7),"⚠️損切接近","保持継続"))))),IF($H75&gt;=$M75,"🟢利確",IF(AND($R75&lt;&gt;"",$H75&lt;=$R75),"🟠TRAIL",IF($H75&lt;=$N75,"🔴損切",IF($W75&gt;=V811設定!$B$6,"⏱時間決済",IF($H75&lt;=$F75*(1-V811設定!$B$3*0.7),"⚠️損切接近","保持継続"))))))))</f>
      </c>
      <c r="P75" s="491"/>
      <c r="Q75" s="491"/>
      <c r="R75" s="491" t="str">
        <f>IF(OR($F75="",$H75="",$N75=""),"",IF($S75="✅売却済","",IF($C75="売",IF($H75&gt;$F75*(1-V811設定!$B$3),$N75,MIN($N75,IF($Q75="",$N75,$Q75*1.03))),IF($H75&lt;$F75*(1+V811設定!$B$3),$N75,MAX($N75,IF($P75="",$N75,$P75*0.97))))))</f>
      </c>
      <c r="S75" s="586" t="str">
        <f>IF(B75="","",IF(T75&lt;&gt;"","✅売却済",IF(OR(H75="",L75=""),"📌保有中",IF(L75&gt;=0.06,"🟢利確推奨",IF(L75&gt;=0.05,"🟡利確直近",IF(L75&gt;=0.045,"🔵トレーリング検討",IF(L75&gt;-0.03,"📌保有中",IF(L75&gt;-0.04,"⚠️損切注意","🔴損切り"))))))))</f>
        <v/>
      </c>
      <c r="T75" s="594"/>
      <c r="U75" s="491"/>
      <c r="V75" s="701" t="str">
        <f>IF(OR(F75="",G75="",U75=""),"",IF(C75="売",(F75-U75)*G75,(U75-F75)*G75))</f>
        <v/>
      </c>
      <c r="W75" s="493" t="str">
        <f>IF(OR($E75="",$B75=""),"",IF($T75&lt;&gt;"",$T75-$E75,TODAY()-$E75)+1)</f>
        <v/>
      </c>
      <c r="X75" s="489" t="str">
        <f>IF(OR($AH75="",$AH75="保有中"),"",$AH75)</f>
        <v/>
      </c>
      <c r="Y75" s="488"/>
      <c r="Z75" s="710"/>
      <c r="AD75" s="608"/>
      <c r="AE75" s="624" t="str">
        <f>IF($E75="","",WORKDAY($E75,12))</f>
        <v/>
      </c>
      <c r="AF75" s="626" t="str" cm="1">
        <f t="array" aca="1" ref="AF75" ca="1">IF(OR($B75="",$M75=""),"",IFERROR(IF($C75="売",_xlfn.MINIFS(安値!$E$3:$IT$3,安値!$E$3:$IT$3,"&gt;"&amp;$E75,安値!$E$3:$IT$3,"&lt;="&amp;$AE75,OFFSET(安値!$E$6:$IT$6,MATCH(TEXT($B75,"0"),TEXT(銘柄管理!$B$6:$B$305,"0"),0)-1,0),"&lt;="&amp;$M75),_xlfn.MINIFS(高値!$E$3:$IT$3,高値!$E$3:$IT$3,"&gt;"&amp;$E75,高値!$E$3:$IT$3,"&lt;="&amp;$AE75,OFFSET(高値!$E$6:$IT$6,MATCH(TEXT($B75,"0"),TEXT(銘柄管理!$B$6:$B$305,"0"),0)-1,0),"&gt;="&amp;$M75)),""))</f>
        <v/>
      </c>
      <c r="AG75" s="626" t="str" cm="1">
        <f t="array" aca="1" ref="AG75" ca="1">IF(OR($B75="",$N75=""),"",IFERROR(IF($C75="売",_xlfn.MINIFS(高値!$E$3:$IT$3,高値!$E$3:$IT$3,"&gt;"&amp;$E75,高値!$E$3:$IT$3,"&lt;="&amp;$AE75,OFFSET(高値!$E$6:$IT$6,MATCH(TEXT($B75,"0"),TEXT(銘柄管理!$B$6:$B$305,"0"),0)-1,0),"&gt;="&amp;$N75),_xlfn.MINIFS(安値!$E$3:$IT$3,安値!$E$3:$IT$3,"&gt;"&amp;$E75,安値!$E$3:$IT$3,"&lt;="&amp;$AE75,OFFSET(安値!$E$6:$IT$6,MATCH(TEXT($B75,"0"),TEXT(銘柄管理!$B$6:$B$305,"0"),0)-1,0),"&lt;="&amp;$N75)),""))</f>
        <v/>
      </c>
      <c r="AH75" s="600" t="str">
        <f>IF(OR($B75="",$M75=""),"",IF(AND(N($AF75)=0,N($AG75)=0),IF(AND(ISNUMBER($H75),$H75&gt;0,IF($C75="売",$H75&gt;=$N75,$H75&lt;=$N75)),"損切確定",IF(AND(ISNUMBER($H75),$H75&gt;0,IF($C75="売",$H75&lt;=$M75,$H75&gt;=$M75)),"利益確定",IF($AE75&lt;=TODAY(),"日数制限","保有中"))),IF(N($AG75)=0,"利益確定",IF(N($AF75)=0,"損切確定",IF($AG75&lt;=$AF75,"損切確定","利益確定")))))</f>
        <v/>
      </c>
      <c r="AI75" s="600" t="str" cm="1">
        <f t="array" ref="AI75">IFERROR(INDEX(始値!$E$6:$IT$305,MATCH(TEXT($B75,"0"),TEXT(銘柄管理!$B$6:$B$305,"0"),0),MATCH($AE75,始値!$E$3:$IT$3,0)),"")</f>
        <v/>
      </c>
      <c r="AJ75" s="905" t="str">
        <f>IF(OR($V75="",$F75="",$G75=""),"",$V75/($F75*$G75))</f>
        <v/>
      </c>
      <c r="AK75" s="629" t="str">
        <f>IF($V75="","",IF($V75&gt;0,"○勝",IF($V75&lt;0,"●負","△引分")))</f>
        <v/>
      </c>
    </row>
    <row r="76" spans="1:37" ht="35.4" customHeight="1">
      <c r="A76" s="619" t="str">
        <f>IF(B76="","",HYPERLINK("https://kabutan.jp/stock/?code="&amp;B76,"株探"))</f>
        <v/>
      </c>
      <c r="B76" s="630"/>
      <c r="C76" s="490"/>
      <c r="D76" s="623" t="str" cm="1">
        <f t="array" ref="D76">IF($B76="","",_xll.RssMarket($B76,"銘柄名称"))</f>
        <v/>
      </c>
      <c r="E76" s="716"/>
      <c r="F76" s="698" t="str" cm="1">
        <f t="array" aca="1" ref="F76" ca="1">IFERROR(_xlfn.LET(_xlpm.r,MATCH(TEXT($B76,"0"),TEXT(銘柄管理!$B$6:$B$305,"0"),0),_xlpm.t,MOD(NOW(),1),_xlpm.c,IF($E76=TODAY(),IF(_xlpm.t&gt;=TIME(15,30,0),NA(),1),IF(MATCH($E76,始値!$E$3:$IT$3,0)=1,1,MATCH($E76,始値!$E$3:$IT$3,0)+1)),_xlpm.v,INDEX(始値!$C$6:$IT$305,_xlpm.r,_xlpm.c),IF(N(_xlpm.v)=0,"",_xlpm.v)),"")</f>
        <v/>
      </c>
      <c r="G76" s="631"/>
      <c r="H76" s="491" t="str" cm="1">
        <f t="array" ref="H76">IF($B76="","",_xll.RssMarket($B76,"現在値"))</f>
        <v/>
      </c>
      <c r="I76" s="491" t="str" cm="1">
        <f t="array" ref="I76">IF($B76="","",_xll.RssMarket($B76,"出来高加重平均"))</f>
        <v/>
      </c>
      <c r="J76" s="701" t="str" cm="1">
        <f t="array" ref="J76">IF($B76="","",_xll.RssMarket($B76,"前日比"))</f>
        <v/>
      </c>
      <c r="K76" s="701" t="str">
        <f>IF(OR(F76="",G76="",H76=""),"",IF(C76="売",(F76-H76)*G76,(H76-F76)*G76))</f>
        <v/>
      </c>
      <c r="L76" s="706" t="str">
        <f>IF(OR(F76="",H76=""),"",IF(C76="売",(F76-H76)/F76,(H76-F76)/F76))</f>
        <v/>
      </c>
      <c r="M76" s="491" t="str">
        <f>IF($F76="","",$F76*IF($C76="売",1-V811設定!$B$4,1+V811設定!$B$4)-MOD($F76*IF($C76="売",1-V811設定!$B$4,1+V811設定!$B$4),IF($F76&lt;=3000,1,IF($F76&lt;=5000,5,IF($F76&lt;=30000,10,IF($F76&lt;=50000,50,IF($F76&lt;=300000,100,500))))))+IF(AND($C76="売",MOD($F76*IF($C76="売",1-V811設定!$B$4,1+V811設定!$B$4),IF($F76&lt;=3000,1,IF($F76&lt;=5000,5,IF($F76&lt;=30000,10,IF($F76&lt;=50000,50,IF($F76&lt;=300000,100,500))))))&gt;0),IF($F76&lt;=3000,1,IF($F76&lt;=5000,5,IF($F76&lt;=30000,10,IF($F76&lt;=50000,50,IF($F76&lt;=300000,100,500))))),0))</f>
      </c>
      <c r="N76" s="491" t="str">
        <f>IF($F76="","",$F76*IF($C76="売",1+V811設定!$B$3,1-V811設定!$B$3)-MOD($F76*IF($C76="売",1+V811設定!$B$3,1-V811設定!$B$3),IF($F76&lt;=3000,1,IF($F76&lt;=5000,5,IF($F76&lt;=30000,10,IF($F76&lt;=50000,50,IF($F76&lt;=300000,100,500))))))+IF(AND($C76="売",MOD($F76*IF($C76="売",1+V811設定!$B$3,1-V811設定!$B$3),IF($F76&lt;=3000,1,IF($F76&lt;=5000,5,IF($F76&lt;=30000,10,IF($F76&lt;=50000,50,IF($F76&lt;=300000,100,500))))))&gt;0),IF($F76&lt;=3000,1,IF($F76&lt;=5000,5,IF($F76&lt;=30000,10,IF($F76&lt;=50000,50,IF($F76&lt;=300000,100,500))))),0))</f>
      </c>
      <c r="O76" s="492" t="str">
        <f>IF(OR($B76="",$F76="",$H76=""),"",IF($S76="✅売却済","―決済済―",IF($C76="売",IF($H76&lt;=$M76,"🟢利確",IF(AND($R76&lt;&gt;"",$H76&gt;=$R76),"🟠TRAIL",IF($H76&gt;=$N76,"🔴損切",IF($W76&gt;=V811設定!$B$6,"⏱時間決済",IF($H76&gt;=$F76*(1+V811設定!$B$3*0.7),"⚠️損切接近","保持継続"))))),IF($H76&gt;=$M76,"🟢利確",IF(AND($R76&lt;&gt;"",$H76&lt;=$R76),"🟠TRAIL",IF($H76&lt;=$N76,"🔴損切",IF($W76&gt;=V811設定!$B$6,"⏱時間決済",IF($H76&lt;=$F76*(1-V811設定!$B$3*0.7),"⚠️損切接近","保持継続"))))))))</f>
      </c>
      <c r="P76" s="491"/>
      <c r="Q76" s="491"/>
      <c r="R76" s="491" t="str">
        <f>IF(OR($F76="",$H76="",$N76=""),"",IF($S76="✅売却済","",IF($C76="売",IF($H76&gt;$F76*(1-V811設定!$B$3),$N76,MIN($N76,IF($Q76="",$N76,$Q76*1.03))),IF($H76&lt;$F76*(1+V811設定!$B$3),$N76,MAX($N76,IF($P76="",$N76,$P76*0.97))))))</f>
      </c>
      <c r="S76" s="586" t="str">
        <f>IF(B76="","",IF(T76&lt;&gt;"","✅売却済",IF(OR(H76="",L76=""),"📌保有中",IF(L76&gt;=0.06,"🟢利確推奨",IF(L76&gt;=0.05,"🟡利確直近",IF(L76&gt;=0.045,"🔵トレーリング検討",IF(L76&gt;-0.03,"📌保有中",IF(L76&gt;-0.04,"⚠️損切注意","🔴損切り"))))))))</f>
        <v/>
      </c>
      <c r="T76" s="594"/>
      <c r="U76" s="491"/>
      <c r="V76" s="701" t="str">
        <f>IF(OR(F76="",G76="",U76=""),"",IF(C76="売",(F76-U76)*G76,(U76-F76)*G76))</f>
        <v/>
      </c>
      <c r="W76" s="493" t="str">
        <f>IF(OR($E76="",$B76=""),"",IF($T76&lt;&gt;"",$T76-$E76,TODAY()-$E76)+1)</f>
        <v/>
      </c>
      <c r="X76" s="489" t="str">
        <f>IF(OR($AH76="",$AH76="保有中"),"",$AH76)</f>
        <v/>
      </c>
      <c r="Y76" s="488"/>
      <c r="Z76" s="710"/>
      <c r="AD76" s="608"/>
      <c r="AE76" s="624" t="str">
        <f>IF($E76="","",WORKDAY($E76,12))</f>
        <v/>
      </c>
      <c r="AF76" s="626" t="str" cm="1">
        <f t="array" aca="1" ref="AF76" ca="1">IF(OR($B76="",$M76=""),"",IFERROR(IF($C76="売",_xlfn.MINIFS(安値!$E$3:$IT$3,安値!$E$3:$IT$3,"&gt;"&amp;$E76,安値!$E$3:$IT$3,"&lt;="&amp;$AE76,OFFSET(安値!$E$6:$IT$6,MATCH(TEXT($B76,"0"),TEXT(銘柄管理!$B$6:$B$305,"0"),0)-1,0),"&lt;="&amp;$M76),_xlfn.MINIFS(高値!$E$3:$IT$3,高値!$E$3:$IT$3,"&gt;"&amp;$E76,高値!$E$3:$IT$3,"&lt;="&amp;$AE76,OFFSET(高値!$E$6:$IT$6,MATCH(TEXT($B76,"0"),TEXT(銘柄管理!$B$6:$B$305,"0"),0)-1,0),"&gt;="&amp;$M76)),""))</f>
        <v/>
      </c>
      <c r="AG76" s="626" t="str" cm="1">
        <f t="array" aca="1" ref="AG76" ca="1">IF(OR($B76="",$N76=""),"",IFERROR(IF($C76="売",_xlfn.MINIFS(高値!$E$3:$IT$3,高値!$E$3:$IT$3,"&gt;"&amp;$E76,高値!$E$3:$IT$3,"&lt;="&amp;$AE76,OFFSET(高値!$E$6:$IT$6,MATCH(TEXT($B76,"0"),TEXT(銘柄管理!$B$6:$B$305,"0"),0)-1,0),"&gt;="&amp;$N76),_xlfn.MINIFS(安値!$E$3:$IT$3,安値!$E$3:$IT$3,"&gt;"&amp;$E76,安値!$E$3:$IT$3,"&lt;="&amp;$AE76,OFFSET(安値!$E$6:$IT$6,MATCH(TEXT($B76,"0"),TEXT(銘柄管理!$B$6:$B$305,"0"),0)-1,0),"&lt;="&amp;$N76)),""))</f>
        <v/>
      </c>
      <c r="AH76" s="600" t="str">
        <f>IF(OR($B76="",$M76=""),"",IF(AND(N($AF76)=0,N($AG76)=0),IF(AND(ISNUMBER($H76),$H76&gt;0,IF($C76="売",$H76&gt;=$N76,$H76&lt;=$N76)),"損切確定",IF(AND(ISNUMBER($H76),$H76&gt;0,IF($C76="売",$H76&lt;=$M76,$H76&gt;=$M76)),"利益確定",IF($AE76&lt;=TODAY(),"日数制限","保有中"))),IF(N($AG76)=0,"利益確定",IF(N($AF76)=0,"損切確定",IF($AG76&lt;=$AF76,"損切確定","利益確定")))))</f>
        <v/>
      </c>
      <c r="AI76" s="600" t="str" cm="1">
        <f t="array" ref="AI76">IFERROR(INDEX(始値!$E$6:$IT$305,MATCH(TEXT($B76,"0"),TEXT(銘柄管理!$B$6:$B$305,"0"),0),MATCH($AE76,始値!$E$3:$IT$3,0)),"")</f>
        <v/>
      </c>
      <c r="AJ76" s="905" t="str">
        <f>IF(OR($V76="",$F76="",$G76=""),"",$V76/($F76*$G76))</f>
        <v/>
      </c>
      <c r="AK76" s="629" t="str">
        <f>IF($V76="","",IF($V76&gt;0,"○勝",IF($V76&lt;0,"●負","△引分")))</f>
        <v/>
      </c>
    </row>
    <row r="77" spans="1:37" ht="35.4" customHeight="1">
      <c r="A77" s="619" t="str">
        <f>IF(B77="","",HYPERLINK("https://kabutan.jp/stock/?code="&amp;B77,"株探"))</f>
        <v/>
      </c>
      <c r="B77" s="630"/>
      <c r="C77" s="490"/>
      <c r="D77" s="623" t="str" cm="1">
        <f t="array" ref="D77">IF($B77="","",_xll.RssMarket($B77,"銘柄名称"))</f>
        <v/>
      </c>
      <c r="E77" s="716"/>
      <c r="F77" s="698" t="str" cm="1">
        <f t="array" aca="1" ref="F77" ca="1">IFERROR(_xlfn.LET(_xlpm.r,MATCH(TEXT($B77,"0"),TEXT(銘柄管理!$B$6:$B$305,"0"),0),_xlpm.t,MOD(NOW(),1),_xlpm.c,IF($E77=TODAY(),IF(_xlpm.t&gt;=TIME(15,30,0),NA(),1),IF(MATCH($E77,始値!$E$3:$IT$3,0)=1,1,MATCH($E77,始値!$E$3:$IT$3,0)+1)),_xlpm.v,INDEX(始値!$C$6:$IT$305,_xlpm.r,_xlpm.c),IF(N(_xlpm.v)=0,"",_xlpm.v)),"")</f>
        <v/>
      </c>
      <c r="G77" s="631"/>
      <c r="H77" s="491" t="str" cm="1">
        <f t="array" ref="H77">IF($B77="","",_xll.RssMarket($B77,"現在値"))</f>
        <v/>
      </c>
      <c r="I77" s="491" t="str" cm="1">
        <f t="array" ref="I77">IF($B77="","",_xll.RssMarket($B77,"出来高加重平均"))</f>
        <v/>
      </c>
      <c r="J77" s="701" t="str" cm="1">
        <f t="array" ref="J77">IF($B77="","",_xll.RssMarket($B77,"前日比"))</f>
        <v/>
      </c>
      <c r="K77" s="701" t="str">
        <f>IF(OR(F77="",G77="",H77=""),"",IF(C77="売",(F77-H77)*G77,(H77-F77)*G77))</f>
        <v/>
      </c>
      <c r="L77" s="706" t="str">
        <f>IF(OR(F77="",H77=""),"",IF(C77="売",(F77-H77)/F77,(H77-F77)/F77))</f>
        <v/>
      </c>
      <c r="M77" s="491" t="str">
        <f>IF($F77="","",$F77*IF($C77="売",1-V811設定!$B$4,1+V811設定!$B$4)-MOD($F77*IF($C77="売",1-V811設定!$B$4,1+V811設定!$B$4),IF($F77&lt;=3000,1,IF($F77&lt;=5000,5,IF($F77&lt;=30000,10,IF($F77&lt;=50000,50,IF($F77&lt;=300000,100,500))))))+IF(AND($C77="売",MOD($F77*IF($C77="売",1-V811設定!$B$4,1+V811設定!$B$4),IF($F77&lt;=3000,1,IF($F77&lt;=5000,5,IF($F77&lt;=30000,10,IF($F77&lt;=50000,50,IF($F77&lt;=300000,100,500))))))&gt;0),IF($F77&lt;=3000,1,IF($F77&lt;=5000,5,IF($F77&lt;=30000,10,IF($F77&lt;=50000,50,IF($F77&lt;=300000,100,500))))),0))</f>
      </c>
      <c r="N77" s="491" t="str">
        <f>IF($F77="","",$F77*IF($C77="売",1+V811設定!$B$3,1-V811設定!$B$3)-MOD($F77*IF($C77="売",1+V811設定!$B$3,1-V811設定!$B$3),IF($F77&lt;=3000,1,IF($F77&lt;=5000,5,IF($F77&lt;=30000,10,IF($F77&lt;=50000,50,IF($F77&lt;=300000,100,500))))))+IF(AND($C77="売",MOD($F77*IF($C77="売",1+V811設定!$B$3,1-V811設定!$B$3),IF($F77&lt;=3000,1,IF($F77&lt;=5000,5,IF($F77&lt;=30000,10,IF($F77&lt;=50000,50,IF($F77&lt;=300000,100,500))))))&gt;0),IF($F77&lt;=3000,1,IF($F77&lt;=5000,5,IF($F77&lt;=30000,10,IF($F77&lt;=50000,50,IF($F77&lt;=300000,100,500))))),0))</f>
      </c>
      <c r="O77" s="492" t="str">
        <f>IF(OR($B77="",$F77="",$H77=""),"",IF($S77="✅売却済","―決済済―",IF($C77="売",IF($H77&lt;=$M77,"🟢利確",IF(AND($R77&lt;&gt;"",$H77&gt;=$R77),"🟠TRAIL",IF($H77&gt;=$N77,"🔴損切",IF($W77&gt;=V811設定!$B$6,"⏱時間決済",IF($H77&gt;=$F77*(1+V811設定!$B$3*0.7),"⚠️損切接近","保持継続"))))),IF($H77&gt;=$M77,"🟢利確",IF(AND($R77&lt;&gt;"",$H77&lt;=$R77),"🟠TRAIL",IF($H77&lt;=$N77,"🔴損切",IF($W77&gt;=V811設定!$B$6,"⏱時間決済",IF($H77&lt;=$F77*(1-V811設定!$B$3*0.7),"⚠️損切接近","保持継続"))))))))</f>
      </c>
      <c r="P77" s="491"/>
      <c r="Q77" s="491"/>
      <c r="R77" s="491" t="str">
        <f>IF(OR($F77="",$H77="",$N77=""),"",IF($S77="✅売却済","",IF($C77="売",IF($H77&gt;$F77*(1-V811設定!$B$3),$N77,MIN($N77,IF($Q77="",$N77,$Q77*1.03))),IF($H77&lt;$F77*(1+V811設定!$B$3),$N77,MAX($N77,IF($P77="",$N77,$P77*0.97))))))</f>
      </c>
      <c r="S77" s="586" t="str">
        <f>IF(B77="","",IF(T77&lt;&gt;"","✅売却済",IF(OR(H77="",L77=""),"📌保有中",IF(L77&gt;=0.06,"🟢利確推奨",IF(L77&gt;=0.05,"🟡利確直近",IF(L77&gt;=0.045,"🔵トレーリング検討",IF(L77&gt;-0.03,"📌保有中",IF(L77&gt;-0.04,"⚠️損切注意","🔴損切り"))))))))</f>
        <v/>
      </c>
      <c r="T77" s="594"/>
      <c r="U77" s="491"/>
      <c r="V77" s="701" t="str">
        <f>IF(OR(F77="",G77="",U77=""),"",IF(C77="売",(F77-U77)*G77,(U77-F77)*G77))</f>
        <v/>
      </c>
      <c r="W77" s="493" t="str">
        <f>IF(OR($E77="",$B77=""),"",IF($T77&lt;&gt;"",$T77-$E77,TODAY()-$E77)+1)</f>
        <v/>
      </c>
      <c r="X77" s="489" t="str">
        <f>IF(OR($AH77="",$AH77="保有中"),"",$AH77)</f>
        <v/>
      </c>
      <c r="Y77" s="488"/>
      <c r="Z77" s="710"/>
      <c r="AD77" s="608"/>
      <c r="AE77" s="624" t="str">
        <f>IF($E77="","",WORKDAY($E77,12))</f>
        <v/>
      </c>
      <c r="AF77" s="626" t="str" cm="1">
        <f t="array" aca="1" ref="AF77" ca="1">IF(OR($B77="",$M77=""),"",IFERROR(IF($C77="売",_xlfn.MINIFS(安値!$E$3:$IT$3,安値!$E$3:$IT$3,"&gt;"&amp;$E77,安値!$E$3:$IT$3,"&lt;="&amp;$AE77,OFFSET(安値!$E$6:$IT$6,MATCH(TEXT($B77,"0"),TEXT(銘柄管理!$B$6:$B$305,"0"),0)-1,0),"&lt;="&amp;$M77),_xlfn.MINIFS(高値!$E$3:$IT$3,高値!$E$3:$IT$3,"&gt;"&amp;$E77,高値!$E$3:$IT$3,"&lt;="&amp;$AE77,OFFSET(高値!$E$6:$IT$6,MATCH(TEXT($B77,"0"),TEXT(銘柄管理!$B$6:$B$305,"0"),0)-1,0),"&gt;="&amp;$M77)),""))</f>
        <v/>
      </c>
      <c r="AG77" s="626" t="str" cm="1">
        <f t="array" aca="1" ref="AG77" ca="1">IF(OR($B77="",$N77=""),"",IFERROR(IF($C77="売",_xlfn.MINIFS(高値!$E$3:$IT$3,高値!$E$3:$IT$3,"&gt;"&amp;$E77,高値!$E$3:$IT$3,"&lt;="&amp;$AE77,OFFSET(高値!$E$6:$IT$6,MATCH(TEXT($B77,"0"),TEXT(銘柄管理!$B$6:$B$305,"0"),0)-1,0),"&gt;="&amp;$N77),_xlfn.MINIFS(安値!$E$3:$IT$3,安値!$E$3:$IT$3,"&gt;"&amp;$E77,安値!$E$3:$IT$3,"&lt;="&amp;$AE77,OFFSET(安値!$E$6:$IT$6,MATCH(TEXT($B77,"0"),TEXT(銘柄管理!$B$6:$B$305,"0"),0)-1,0),"&lt;="&amp;$N77)),""))</f>
        <v/>
      </c>
      <c r="AH77" s="600" t="str">
        <f>IF(OR($B77="",$M77=""),"",IF(AND(N($AF77)=0,N($AG77)=0),IF(AND(ISNUMBER($H77),$H77&gt;0,IF($C77="売",$H77&gt;=$N77,$H77&lt;=$N77)),"損切確定",IF(AND(ISNUMBER($H77),$H77&gt;0,IF($C77="売",$H77&lt;=$M77,$H77&gt;=$M77)),"利益確定",IF($AE77&lt;=TODAY(),"日数制限","保有中"))),IF(N($AG77)=0,"利益確定",IF(N($AF77)=0,"損切確定",IF($AG77&lt;=$AF77,"損切確定","利益確定")))))</f>
        <v/>
      </c>
      <c r="AI77" s="600" t="str" cm="1">
        <f t="array" ref="AI77">IFERROR(INDEX(始値!$E$6:$IT$305,MATCH(TEXT($B77,"0"),TEXT(銘柄管理!$B$6:$B$305,"0"),0),MATCH($AE77,始値!$E$3:$IT$3,0)),"")</f>
        <v/>
      </c>
      <c r="AJ77" s="905" t="str">
        <f>IF(OR($V77="",$F77="",$G77=""),"",$V77/($F77*$G77))</f>
        <v/>
      </c>
      <c r="AK77" s="629" t="str">
        <f>IF($V77="","",IF($V77&gt;0,"○勝",IF($V77&lt;0,"●負","△引分")))</f>
        <v/>
      </c>
    </row>
    <row r="78" spans="1:37" ht="35.4" customHeight="1">
      <c r="A78" s="619" t="str">
        <f>IF(B78="","",HYPERLINK("https://kabutan.jp/stock/?code="&amp;B78,"株探"))</f>
        <v/>
      </c>
      <c r="B78" s="630"/>
      <c r="C78" s="490"/>
      <c r="D78" s="623" t="str" cm="1">
        <f t="array" ref="D78">IF($B78="","",_xll.RssMarket($B78,"銘柄名称"))</f>
        <v/>
      </c>
      <c r="E78" s="716"/>
      <c r="F78" s="698" t="str" cm="1">
        <f t="array" aca="1" ref="F78" ca="1">IFERROR(_xlfn.LET(_xlpm.r,MATCH(TEXT($B78,"0"),TEXT(銘柄管理!$B$6:$B$305,"0"),0),_xlpm.t,MOD(NOW(),1),_xlpm.c,IF($E78=TODAY(),IF(_xlpm.t&gt;=TIME(15,30,0),NA(),1),IF(MATCH($E78,始値!$E$3:$IT$3,0)=1,1,MATCH($E78,始値!$E$3:$IT$3,0)+1)),_xlpm.v,INDEX(始値!$C$6:$IT$305,_xlpm.r,_xlpm.c),IF(N(_xlpm.v)=0,"",_xlpm.v)),"")</f>
        <v/>
      </c>
      <c r="G78" s="631"/>
      <c r="H78" s="491" t="str" cm="1">
        <f t="array" ref="H78">IF($B78="","",_xll.RssMarket($B78,"現在値"))</f>
        <v/>
      </c>
      <c r="I78" s="491" t="str" cm="1">
        <f t="array" ref="I78">IF($B78="","",_xll.RssMarket($B78,"出来高加重平均"))</f>
        <v/>
      </c>
      <c r="J78" s="701" t="str" cm="1">
        <f t="array" ref="J78">IF($B78="","",_xll.RssMarket($B78,"前日比"))</f>
        <v/>
      </c>
      <c r="K78" s="701" t="str">
        <f>IF(OR(F78="",G78="",H78=""),"",IF(C78="売",(F78-H78)*G78,(H78-F78)*G78))</f>
        <v/>
      </c>
      <c r="L78" s="706" t="str">
        <f>IF(OR(F78="",H78=""),"",IF(C78="売",(F78-H78)/F78,(H78-F78)/F78))</f>
        <v/>
      </c>
      <c r="M78" s="491" t="str">
        <f>IF($F78="","",$F78*IF($C78="売",1-V811設定!$B$4,1+V811設定!$B$4)-MOD($F78*IF($C78="売",1-V811設定!$B$4,1+V811設定!$B$4),IF($F78&lt;=3000,1,IF($F78&lt;=5000,5,IF($F78&lt;=30000,10,IF($F78&lt;=50000,50,IF($F78&lt;=300000,100,500))))))+IF(AND($C78="売",MOD($F78*IF($C78="売",1-V811設定!$B$4,1+V811設定!$B$4),IF($F78&lt;=3000,1,IF($F78&lt;=5000,5,IF($F78&lt;=30000,10,IF($F78&lt;=50000,50,IF($F78&lt;=300000,100,500))))))&gt;0),IF($F78&lt;=3000,1,IF($F78&lt;=5000,5,IF($F78&lt;=30000,10,IF($F78&lt;=50000,50,IF($F78&lt;=300000,100,500))))),0))</f>
      </c>
      <c r="N78" s="491" t="str">
        <f>IF($F78="","",$F78*IF($C78="売",1+V811設定!$B$3,1-V811設定!$B$3)-MOD($F78*IF($C78="売",1+V811設定!$B$3,1-V811設定!$B$3),IF($F78&lt;=3000,1,IF($F78&lt;=5000,5,IF($F78&lt;=30000,10,IF($F78&lt;=50000,50,IF($F78&lt;=300000,100,500))))))+IF(AND($C78="売",MOD($F78*IF($C78="売",1+V811設定!$B$3,1-V811設定!$B$3),IF($F78&lt;=3000,1,IF($F78&lt;=5000,5,IF($F78&lt;=30000,10,IF($F78&lt;=50000,50,IF($F78&lt;=300000,100,500))))))&gt;0),IF($F78&lt;=3000,1,IF($F78&lt;=5000,5,IF($F78&lt;=30000,10,IF($F78&lt;=50000,50,IF($F78&lt;=300000,100,500))))),0))</f>
      </c>
      <c r="O78" s="492" t="str">
        <f>IF(OR($B78="",$F78="",$H78=""),"",IF($S78="✅売却済","―決済済―",IF($C78="売",IF($H78&lt;=$M78,"🟢利確",IF(AND($R78&lt;&gt;"",$H78&gt;=$R78),"🟠TRAIL",IF($H78&gt;=$N78,"🔴損切",IF($W78&gt;=V811設定!$B$6,"⏱時間決済",IF($H78&gt;=$F78*(1+V811設定!$B$3*0.7),"⚠️損切接近","保持継続"))))),IF($H78&gt;=$M78,"🟢利確",IF(AND($R78&lt;&gt;"",$H78&lt;=$R78),"🟠TRAIL",IF($H78&lt;=$N78,"🔴損切",IF($W78&gt;=V811設定!$B$6,"⏱時間決済",IF($H78&lt;=$F78*(1-V811設定!$B$3*0.7),"⚠️損切接近","保持継続"))))))))</f>
      </c>
      <c r="P78" s="491"/>
      <c r="Q78" s="491"/>
      <c r="R78" s="491" t="str">
        <f>IF(OR($F78="",$H78="",$N78=""),"",IF($S78="✅売却済","",IF($C78="売",IF($H78&gt;$F78*(1-V811設定!$B$3),$N78,MIN($N78,IF($Q78="",$N78,$Q78*1.03))),IF($H78&lt;$F78*(1+V811設定!$B$3),$N78,MAX($N78,IF($P78="",$N78,$P78*0.97))))))</f>
      </c>
      <c r="S78" s="586" t="str">
        <f>IF(B78="","",IF(T78&lt;&gt;"","✅売却済",IF(OR(H78="",L78=""),"📌保有中",IF(L78&gt;=0.06,"🟢利確推奨",IF(L78&gt;=0.05,"🟡利確直近",IF(L78&gt;=0.045,"🔵トレーリング検討",IF(L78&gt;-0.03,"📌保有中",IF(L78&gt;-0.04,"⚠️損切注意","🔴損切り"))))))))</f>
        <v/>
      </c>
      <c r="T78" s="594"/>
      <c r="U78" s="491"/>
      <c r="V78" s="701" t="str">
        <f>IF(OR(F78="",G78="",U78=""),"",IF(C78="売",(F78-U78)*G78,(U78-F78)*G78))</f>
        <v/>
      </c>
      <c r="W78" s="493" t="str">
        <f>IF(OR($E78="",$B78=""),"",IF($T78&lt;&gt;"",$T78-$E78,TODAY()-$E78)+1)</f>
        <v/>
      </c>
      <c r="X78" s="489" t="str">
        <f>IF(OR($AH78="",$AH78="保有中"),"",$AH78)</f>
        <v/>
      </c>
      <c r="Y78" s="488"/>
      <c r="Z78" s="710"/>
      <c r="AD78" s="608"/>
      <c r="AE78" s="624" t="str">
        <f>IF($E78="","",WORKDAY($E78,12))</f>
        <v/>
      </c>
      <c r="AF78" s="626" t="str" cm="1">
        <f t="array" aca="1" ref="AF78" ca="1">IF(OR($B78="",$M78=""),"",IFERROR(IF($C78="売",_xlfn.MINIFS(安値!$E$3:$IT$3,安値!$E$3:$IT$3,"&gt;"&amp;$E78,安値!$E$3:$IT$3,"&lt;="&amp;$AE78,OFFSET(安値!$E$6:$IT$6,MATCH(TEXT($B78,"0"),TEXT(銘柄管理!$B$6:$B$305,"0"),0)-1,0),"&lt;="&amp;$M78),_xlfn.MINIFS(高値!$E$3:$IT$3,高値!$E$3:$IT$3,"&gt;"&amp;$E78,高値!$E$3:$IT$3,"&lt;="&amp;$AE78,OFFSET(高値!$E$6:$IT$6,MATCH(TEXT($B78,"0"),TEXT(銘柄管理!$B$6:$B$305,"0"),0)-1,0),"&gt;="&amp;$M78)),""))</f>
        <v/>
      </c>
      <c r="AG78" s="626" t="str" cm="1">
        <f t="array" aca="1" ref="AG78" ca="1">IF(OR($B78="",$N78=""),"",IFERROR(IF($C78="売",_xlfn.MINIFS(高値!$E$3:$IT$3,高値!$E$3:$IT$3,"&gt;"&amp;$E78,高値!$E$3:$IT$3,"&lt;="&amp;$AE78,OFFSET(高値!$E$6:$IT$6,MATCH(TEXT($B78,"0"),TEXT(銘柄管理!$B$6:$B$305,"0"),0)-1,0),"&gt;="&amp;$N78),_xlfn.MINIFS(安値!$E$3:$IT$3,安値!$E$3:$IT$3,"&gt;"&amp;$E78,安値!$E$3:$IT$3,"&lt;="&amp;$AE78,OFFSET(安値!$E$6:$IT$6,MATCH(TEXT($B78,"0"),TEXT(銘柄管理!$B$6:$B$305,"0"),0)-1,0),"&lt;="&amp;$N78)),""))</f>
        <v/>
      </c>
      <c r="AH78" s="600" t="str">
        <f>IF(OR($B78="",$M78=""),"",IF(AND(N($AF78)=0,N($AG78)=0),IF(AND(ISNUMBER($H78),$H78&gt;0,IF($C78="売",$H78&gt;=$N78,$H78&lt;=$N78)),"損切確定",IF(AND(ISNUMBER($H78),$H78&gt;0,IF($C78="売",$H78&lt;=$M78,$H78&gt;=$M78)),"利益確定",IF($AE78&lt;=TODAY(),"日数制限","保有中"))),IF(N($AG78)=0,"利益確定",IF(N($AF78)=0,"損切確定",IF($AG78&lt;=$AF78,"損切確定","利益確定")))))</f>
        <v/>
      </c>
      <c r="AI78" s="600" t="str" cm="1">
        <f t="array" ref="AI78">IFERROR(INDEX(始値!$E$6:$IT$305,MATCH(TEXT($B78,"0"),TEXT(銘柄管理!$B$6:$B$305,"0"),0),MATCH($AE78,始値!$E$3:$IT$3,0)),"")</f>
        <v/>
      </c>
      <c r="AJ78" s="905" t="str">
        <f>IF(OR($V78="",$F78="",$G78=""),"",$V78/($F78*$G78))</f>
        <v/>
      </c>
      <c r="AK78" s="629" t="str">
        <f>IF($V78="","",IF($V78&gt;0,"○勝",IF($V78&lt;0,"●負","△引分")))</f>
        <v/>
      </c>
    </row>
    <row r="79" spans="1:37" ht="35.4" customHeight="1">
      <c r="A79" s="619" t="str">
        <f>IF(B79="","",HYPERLINK("https://kabutan.jp/stock/?code="&amp;B79,"株探"))</f>
        <v/>
      </c>
      <c r="B79" s="630"/>
      <c r="C79" s="490"/>
      <c r="D79" s="623" t="str" cm="1">
        <f t="array" ref="D79">IF($B79="","",_xll.RssMarket($B79,"銘柄名称"))</f>
        <v/>
      </c>
      <c r="E79" s="716"/>
      <c r="F79" s="698" t="str" cm="1">
        <f t="array" aca="1" ref="F79" ca="1">IFERROR(_xlfn.LET(_xlpm.r,MATCH(TEXT($B79,"0"),TEXT(銘柄管理!$B$6:$B$305,"0"),0),_xlpm.t,MOD(NOW(),1),_xlpm.c,IF($E79=TODAY(),IF(_xlpm.t&gt;=TIME(15,30,0),NA(),1),IF(MATCH($E79,始値!$E$3:$IT$3,0)=1,1,MATCH($E79,始値!$E$3:$IT$3,0)+1)),_xlpm.v,INDEX(始値!$C$6:$IT$305,_xlpm.r,_xlpm.c),IF(N(_xlpm.v)=0,"",_xlpm.v)),"")</f>
        <v/>
      </c>
      <c r="G79" s="631"/>
      <c r="H79" s="491" t="str" cm="1">
        <f t="array" ref="H79">IF($B79="","",_xll.RssMarket($B79,"現在値"))</f>
        <v/>
      </c>
      <c r="I79" s="491" t="str" cm="1">
        <f t="array" ref="I79">IF($B79="","",_xll.RssMarket($B79,"出来高加重平均"))</f>
        <v/>
      </c>
      <c r="J79" s="701" t="str" cm="1">
        <f t="array" ref="J79">IF($B79="","",_xll.RssMarket($B79,"前日比"))</f>
        <v/>
      </c>
      <c r="K79" s="701" t="str">
        <f>IF(OR(F79="",G79="",H79=""),"",IF(C79="売",(F79-H79)*G79,(H79-F79)*G79))</f>
        <v/>
      </c>
      <c r="L79" s="706" t="str">
        <f>IF(OR(F79="",H79=""),"",IF(C79="売",(F79-H79)/F79,(H79-F79)/F79))</f>
        <v/>
      </c>
      <c r="M79" s="491" t="str">
        <f>IF($F79="","",$F79*IF($C79="売",1-V811設定!$B$4,1+V811設定!$B$4)-MOD($F79*IF($C79="売",1-V811設定!$B$4,1+V811設定!$B$4),IF($F79&lt;=3000,1,IF($F79&lt;=5000,5,IF($F79&lt;=30000,10,IF($F79&lt;=50000,50,IF($F79&lt;=300000,100,500))))))+IF(AND($C79="売",MOD($F79*IF($C79="売",1-V811設定!$B$4,1+V811設定!$B$4),IF($F79&lt;=3000,1,IF($F79&lt;=5000,5,IF($F79&lt;=30000,10,IF($F79&lt;=50000,50,IF($F79&lt;=300000,100,500))))))&gt;0),IF($F79&lt;=3000,1,IF($F79&lt;=5000,5,IF($F79&lt;=30000,10,IF($F79&lt;=50000,50,IF($F79&lt;=300000,100,500))))),0))</f>
      </c>
      <c r="N79" s="491" t="str">
        <f>IF($F79="","",$F79*IF($C79="売",1+V811設定!$B$3,1-V811設定!$B$3)-MOD($F79*IF($C79="売",1+V811設定!$B$3,1-V811設定!$B$3),IF($F79&lt;=3000,1,IF($F79&lt;=5000,5,IF($F79&lt;=30000,10,IF($F79&lt;=50000,50,IF($F79&lt;=300000,100,500))))))+IF(AND($C79="売",MOD($F79*IF($C79="売",1+V811設定!$B$3,1-V811設定!$B$3),IF($F79&lt;=3000,1,IF($F79&lt;=5000,5,IF($F79&lt;=30000,10,IF($F79&lt;=50000,50,IF($F79&lt;=300000,100,500))))))&gt;0),IF($F79&lt;=3000,1,IF($F79&lt;=5000,5,IF($F79&lt;=30000,10,IF($F79&lt;=50000,50,IF($F79&lt;=300000,100,500))))),0))</f>
      </c>
      <c r="O79" s="492" t="str">
        <f>IF(OR($B79="",$F79="",$H79=""),"",IF($S79="✅売却済","―決済済―",IF($C79="売",IF($H79&lt;=$M79,"🟢利確",IF(AND($R79&lt;&gt;"",$H79&gt;=$R79),"🟠TRAIL",IF($H79&gt;=$N79,"🔴損切",IF($W79&gt;=V811設定!$B$6,"⏱時間決済",IF($H79&gt;=$F79*(1+V811設定!$B$3*0.7),"⚠️損切接近","保持継続"))))),IF($H79&gt;=$M79,"🟢利確",IF(AND($R79&lt;&gt;"",$H79&lt;=$R79),"🟠TRAIL",IF($H79&lt;=$N79,"🔴損切",IF($W79&gt;=V811設定!$B$6,"⏱時間決済",IF($H79&lt;=$F79*(1-V811設定!$B$3*0.7),"⚠️損切接近","保持継続"))))))))</f>
      </c>
      <c r="P79" s="491"/>
      <c r="Q79" s="491"/>
      <c r="R79" s="491" t="str">
        <f>IF(OR($F79="",$H79="",$N79=""),"",IF($S79="✅売却済","",IF($C79="売",IF($H79&gt;$F79*(1-V811設定!$B$3),$N79,MIN($N79,IF($Q79="",$N79,$Q79*1.03))),IF($H79&lt;$F79*(1+V811設定!$B$3),$N79,MAX($N79,IF($P79="",$N79,$P79*0.97))))))</f>
      </c>
      <c r="S79" s="586" t="str">
        <f>IF(B79="","",IF(T79&lt;&gt;"","✅売却済",IF(OR(H79="",L79=""),"📌保有中",IF(L79&gt;=0.06,"🟢利確推奨",IF(L79&gt;=0.05,"🟡利確直近",IF(L79&gt;=0.045,"🔵トレーリング検討",IF(L79&gt;-0.03,"📌保有中",IF(L79&gt;-0.04,"⚠️損切注意","🔴損切り"))))))))</f>
        <v/>
      </c>
      <c r="T79" s="594"/>
      <c r="U79" s="491"/>
      <c r="V79" s="701" t="str">
        <f>IF(OR(F79="",G79="",U79=""),"",IF(C79="売",(F79-U79)*G79,(U79-F79)*G79))</f>
        <v/>
      </c>
      <c r="W79" s="493" t="str">
        <f>IF(OR($E79="",$B79=""),"",IF($T79&lt;&gt;"",$T79-$E79,TODAY()-$E79)+1)</f>
        <v/>
      </c>
      <c r="X79" s="489" t="str">
        <f>IF(OR($AH79="",$AH79="保有中"),"",$AH79)</f>
        <v/>
      </c>
      <c r="Y79" s="488"/>
      <c r="Z79" s="710"/>
      <c r="AD79" s="608"/>
      <c r="AE79" s="624" t="str">
        <f>IF($E79="","",WORKDAY($E79,12))</f>
        <v/>
      </c>
      <c r="AF79" s="626" t="str" cm="1">
        <f t="array" aca="1" ref="AF79" ca="1">IF(OR($B79="",$M79=""),"",IFERROR(IF($C79="売",_xlfn.MINIFS(安値!$E$3:$IT$3,安値!$E$3:$IT$3,"&gt;"&amp;$E79,安値!$E$3:$IT$3,"&lt;="&amp;$AE79,OFFSET(安値!$E$6:$IT$6,MATCH(TEXT($B79,"0"),TEXT(銘柄管理!$B$6:$B$305,"0"),0)-1,0),"&lt;="&amp;$M79),_xlfn.MINIFS(高値!$E$3:$IT$3,高値!$E$3:$IT$3,"&gt;"&amp;$E79,高値!$E$3:$IT$3,"&lt;="&amp;$AE79,OFFSET(高値!$E$6:$IT$6,MATCH(TEXT($B79,"0"),TEXT(銘柄管理!$B$6:$B$305,"0"),0)-1,0),"&gt;="&amp;$M79)),""))</f>
        <v/>
      </c>
      <c r="AG79" s="626" t="str" cm="1">
        <f t="array" aca="1" ref="AG79" ca="1">IF(OR($B79="",$N79=""),"",IFERROR(IF($C79="売",_xlfn.MINIFS(高値!$E$3:$IT$3,高値!$E$3:$IT$3,"&gt;"&amp;$E79,高値!$E$3:$IT$3,"&lt;="&amp;$AE79,OFFSET(高値!$E$6:$IT$6,MATCH(TEXT($B79,"0"),TEXT(銘柄管理!$B$6:$B$305,"0"),0)-1,0),"&gt;="&amp;$N79),_xlfn.MINIFS(安値!$E$3:$IT$3,安値!$E$3:$IT$3,"&gt;"&amp;$E79,安値!$E$3:$IT$3,"&lt;="&amp;$AE79,OFFSET(安値!$E$6:$IT$6,MATCH(TEXT($B79,"0"),TEXT(銘柄管理!$B$6:$B$305,"0"),0)-1,0),"&lt;="&amp;$N79)),""))</f>
        <v/>
      </c>
      <c r="AH79" s="600" t="str">
        <f>IF(OR($B79="",$M79=""),"",IF(AND(N($AF79)=0,N($AG79)=0),IF(AND(ISNUMBER($H79),$H79&gt;0,IF($C79="売",$H79&gt;=$N79,$H79&lt;=$N79)),"損切確定",IF(AND(ISNUMBER($H79),$H79&gt;0,IF($C79="売",$H79&lt;=$M79,$H79&gt;=$M79)),"利益確定",IF($AE79&lt;=TODAY(),"日数制限","保有中"))),IF(N($AG79)=0,"利益確定",IF(N($AF79)=0,"損切確定",IF($AG79&lt;=$AF79,"損切確定","利益確定")))))</f>
        <v/>
      </c>
      <c r="AI79" s="600" t="str" cm="1">
        <f t="array" ref="AI79">IFERROR(INDEX(始値!$E$6:$IT$305,MATCH(TEXT($B79,"0"),TEXT(銘柄管理!$B$6:$B$305,"0"),0),MATCH($AE79,始値!$E$3:$IT$3,0)),"")</f>
        <v/>
      </c>
      <c r="AJ79" s="905" t="str">
        <f>IF(OR($V79="",$F79="",$G79=""),"",$V79/($F79*$G79))</f>
        <v/>
      </c>
      <c r="AK79" s="629" t="str">
        <f>IF($V79="","",IF($V79&gt;0,"○勝",IF($V79&lt;0,"●負","△引分")))</f>
        <v/>
      </c>
    </row>
    <row r="80" spans="1:37" ht="35.4" customHeight="1">
      <c r="A80" s="619" t="str">
        <f>IF(B80="","",HYPERLINK("https://kabutan.jp/stock/?code="&amp;B80,"株探"))</f>
        <v/>
      </c>
      <c r="B80" s="630"/>
      <c r="C80" s="490"/>
      <c r="D80" s="623" t="str" cm="1">
        <f t="array" ref="D80">IF($B80="","",_xll.RssMarket($B80,"銘柄名称"))</f>
        <v/>
      </c>
      <c r="E80" s="716"/>
      <c r="F80" s="698" t="str" cm="1">
        <f t="array" aca="1" ref="F80" ca="1">IFERROR(_xlfn.LET(_xlpm.r,MATCH(TEXT($B80,"0"),TEXT(銘柄管理!$B$6:$B$305,"0"),0),_xlpm.t,MOD(NOW(),1),_xlpm.c,IF($E80=TODAY(),IF(_xlpm.t&gt;=TIME(15,30,0),NA(),1),IF(MATCH($E80,始値!$E$3:$IT$3,0)=1,1,MATCH($E80,始値!$E$3:$IT$3,0)+1)),_xlpm.v,INDEX(始値!$C$6:$IT$305,_xlpm.r,_xlpm.c),IF(N(_xlpm.v)=0,"",_xlpm.v)),"")</f>
        <v/>
      </c>
      <c r="G80" s="631"/>
      <c r="H80" s="491" t="str" cm="1">
        <f t="array" ref="H80">IF($B80="","",_xll.RssMarket($B80,"現在値"))</f>
        <v/>
      </c>
      <c r="I80" s="491" t="str" cm="1">
        <f t="array" ref="I80">IF($B80="","",_xll.RssMarket($B80,"出来高加重平均"))</f>
        <v/>
      </c>
      <c r="J80" s="701" t="str" cm="1">
        <f t="array" ref="J80">IF($B80="","",_xll.RssMarket($B80,"前日比"))</f>
        <v/>
      </c>
      <c r="K80" s="701" t="str">
        <f>IF(OR(F80="",G80="",H80=""),"",IF(C80="売",(F80-H80)*G80,(H80-F80)*G80))</f>
        <v/>
      </c>
      <c r="L80" s="706" t="str">
        <f>IF(OR(F80="",H80=""),"",IF(C80="売",(F80-H80)/F80,(H80-F80)/F80))</f>
        <v/>
      </c>
      <c r="M80" s="491" t="str">
        <f>IF($F80="","",$F80*IF($C80="売",1-V811設定!$B$4,1+V811設定!$B$4)-MOD($F80*IF($C80="売",1-V811設定!$B$4,1+V811設定!$B$4),IF($F80&lt;=3000,1,IF($F80&lt;=5000,5,IF($F80&lt;=30000,10,IF($F80&lt;=50000,50,IF($F80&lt;=300000,100,500))))))+IF(AND($C80="売",MOD($F80*IF($C80="売",1-V811設定!$B$4,1+V811設定!$B$4),IF($F80&lt;=3000,1,IF($F80&lt;=5000,5,IF($F80&lt;=30000,10,IF($F80&lt;=50000,50,IF($F80&lt;=300000,100,500))))))&gt;0),IF($F80&lt;=3000,1,IF($F80&lt;=5000,5,IF($F80&lt;=30000,10,IF($F80&lt;=50000,50,IF($F80&lt;=300000,100,500))))),0))</f>
      </c>
      <c r="N80" s="491" t="str">
        <f>IF($F80="","",$F80*IF($C80="売",1+V811設定!$B$3,1-V811設定!$B$3)-MOD($F80*IF($C80="売",1+V811設定!$B$3,1-V811設定!$B$3),IF($F80&lt;=3000,1,IF($F80&lt;=5000,5,IF($F80&lt;=30000,10,IF($F80&lt;=50000,50,IF($F80&lt;=300000,100,500))))))+IF(AND($C80="売",MOD($F80*IF($C80="売",1+V811設定!$B$3,1-V811設定!$B$3),IF($F80&lt;=3000,1,IF($F80&lt;=5000,5,IF($F80&lt;=30000,10,IF($F80&lt;=50000,50,IF($F80&lt;=300000,100,500))))))&gt;0),IF($F80&lt;=3000,1,IF($F80&lt;=5000,5,IF($F80&lt;=30000,10,IF($F80&lt;=50000,50,IF($F80&lt;=300000,100,500))))),0))</f>
      </c>
      <c r="O80" s="492" t="str">
        <f>IF(OR($B80="",$F80="",$H80=""),"",IF($S80="✅売却済","―決済済―",IF($C80="売",IF($H80&lt;=$M80,"🟢利確",IF(AND($R80&lt;&gt;"",$H80&gt;=$R80),"🟠TRAIL",IF($H80&gt;=$N80,"🔴損切",IF($W80&gt;=V811設定!$B$6,"⏱時間決済",IF($H80&gt;=$F80*(1+V811設定!$B$3*0.7),"⚠️損切接近","保持継続"))))),IF($H80&gt;=$M80,"🟢利確",IF(AND($R80&lt;&gt;"",$H80&lt;=$R80),"🟠TRAIL",IF($H80&lt;=$N80,"🔴損切",IF($W80&gt;=V811設定!$B$6,"⏱時間決済",IF($H80&lt;=$F80*(1-V811設定!$B$3*0.7),"⚠️損切接近","保持継続"))))))))</f>
      </c>
      <c r="P80" s="491"/>
      <c r="Q80" s="491"/>
      <c r="R80" s="491" t="str">
        <f>IF(OR($F80="",$H80="",$N80=""),"",IF($S80="✅売却済","",IF($C80="売",IF($H80&gt;$F80*(1-V811設定!$B$3),$N80,MIN($N80,IF($Q80="",$N80,$Q80*1.03))),IF($H80&lt;$F80*(1+V811設定!$B$3),$N80,MAX($N80,IF($P80="",$N80,$P80*0.97))))))</f>
      </c>
      <c r="S80" s="586" t="str">
        <f>IF(B80="","",IF(T80&lt;&gt;"","✅売却済",IF(OR(H80="",L80=""),"📌保有中",IF(L80&gt;=0.06,"🟢利確推奨",IF(L80&gt;=0.05,"🟡利確直近",IF(L80&gt;=0.045,"🔵トレーリング検討",IF(L80&gt;-0.03,"📌保有中",IF(L80&gt;-0.04,"⚠️損切注意","🔴損切り"))))))))</f>
        <v/>
      </c>
      <c r="T80" s="594"/>
      <c r="U80" s="491"/>
      <c r="V80" s="701" t="str">
        <f>IF(OR(F80="",G80="",U80=""),"",IF(C80="売",(F80-U80)*G80,(U80-F80)*G80))</f>
        <v/>
      </c>
      <c r="W80" s="493" t="str">
        <f>IF(OR($E80="",$B80=""),"",IF($T80&lt;&gt;"",$T80-$E80,TODAY()-$E80)+1)</f>
        <v/>
      </c>
      <c r="X80" s="489" t="str">
        <f>IF(OR($AH80="",$AH80="保有中"),"",$AH80)</f>
        <v/>
      </c>
      <c r="Y80" s="488"/>
      <c r="Z80" s="710"/>
      <c r="AD80" s="608"/>
      <c r="AE80" s="624" t="str">
        <f>IF($E80="","",WORKDAY($E80,12))</f>
        <v/>
      </c>
      <c r="AF80" s="626" t="str" cm="1">
        <f t="array" aca="1" ref="AF80" ca="1">IF(OR($B80="",$M80=""),"",IFERROR(IF($C80="売",_xlfn.MINIFS(安値!$E$3:$IT$3,安値!$E$3:$IT$3,"&gt;"&amp;$E80,安値!$E$3:$IT$3,"&lt;="&amp;$AE80,OFFSET(安値!$E$6:$IT$6,MATCH(TEXT($B80,"0"),TEXT(銘柄管理!$B$6:$B$305,"0"),0)-1,0),"&lt;="&amp;$M80),_xlfn.MINIFS(高値!$E$3:$IT$3,高値!$E$3:$IT$3,"&gt;"&amp;$E80,高値!$E$3:$IT$3,"&lt;="&amp;$AE80,OFFSET(高値!$E$6:$IT$6,MATCH(TEXT($B80,"0"),TEXT(銘柄管理!$B$6:$B$305,"0"),0)-1,0),"&gt;="&amp;$M80)),""))</f>
        <v/>
      </c>
      <c r="AG80" s="626" t="str" cm="1">
        <f t="array" aca="1" ref="AG80" ca="1">IF(OR($B80="",$N80=""),"",IFERROR(IF($C80="売",_xlfn.MINIFS(高値!$E$3:$IT$3,高値!$E$3:$IT$3,"&gt;"&amp;$E80,高値!$E$3:$IT$3,"&lt;="&amp;$AE80,OFFSET(高値!$E$6:$IT$6,MATCH(TEXT($B80,"0"),TEXT(銘柄管理!$B$6:$B$305,"0"),0)-1,0),"&gt;="&amp;$N80),_xlfn.MINIFS(安値!$E$3:$IT$3,安値!$E$3:$IT$3,"&gt;"&amp;$E80,安値!$E$3:$IT$3,"&lt;="&amp;$AE80,OFFSET(安値!$E$6:$IT$6,MATCH(TEXT($B80,"0"),TEXT(銘柄管理!$B$6:$B$305,"0"),0)-1,0),"&lt;="&amp;$N80)),""))</f>
        <v/>
      </c>
      <c r="AH80" s="600" t="str">
        <f>IF(OR($B80="",$M80=""),"",IF(AND(N($AF80)=0,N($AG80)=0),IF(AND(ISNUMBER($H80),$H80&gt;0,IF($C80="売",$H80&gt;=$N80,$H80&lt;=$N80)),"損切確定",IF(AND(ISNUMBER($H80),$H80&gt;0,IF($C80="売",$H80&lt;=$M80,$H80&gt;=$M80)),"利益確定",IF($AE80&lt;=TODAY(),"日数制限","保有中"))),IF(N($AG80)=0,"利益確定",IF(N($AF80)=0,"損切確定",IF($AG80&lt;=$AF80,"損切確定","利益確定")))))</f>
        <v/>
      </c>
      <c r="AI80" s="600" t="str" cm="1">
        <f t="array" ref="AI80">IFERROR(INDEX(始値!$E$6:$IT$305,MATCH(TEXT($B80,"0"),TEXT(銘柄管理!$B$6:$B$305,"0"),0),MATCH($AE80,始値!$E$3:$IT$3,0)),"")</f>
        <v/>
      </c>
      <c r="AJ80" s="905" t="str">
        <f>IF(OR($V80="",$F80="",$G80=""),"",$V80/($F80*$G80))</f>
        <v/>
      </c>
      <c r="AK80" s="629" t="str">
        <f>IF($V80="","",IF($V80&gt;0,"○勝",IF($V80&lt;0,"●負","△引分")))</f>
        <v/>
      </c>
    </row>
    <row r="81" spans="1:37" ht="35.4" customHeight="1">
      <c r="A81" s="619" t="str">
        <f>IF(B81="","",HYPERLINK("https://kabutan.jp/stock/?code="&amp;B81,"株探"))</f>
        <v/>
      </c>
      <c r="B81" s="630"/>
      <c r="C81" s="490"/>
      <c r="D81" s="623" t="str" cm="1">
        <f t="array" ref="D81">IF($B81="","",_xll.RssMarket($B81,"銘柄名称"))</f>
        <v/>
      </c>
      <c r="E81" s="716"/>
      <c r="F81" s="698" t="str" cm="1">
        <f t="array" aca="1" ref="F81" ca="1">IFERROR(_xlfn.LET(_xlpm.r,MATCH(TEXT($B81,"0"),TEXT(銘柄管理!$B$6:$B$305,"0"),0),_xlpm.t,MOD(NOW(),1),_xlpm.c,IF($E81=TODAY(),IF(_xlpm.t&gt;=TIME(15,30,0),NA(),1),IF(MATCH($E81,始値!$E$3:$IT$3,0)=1,1,MATCH($E81,始値!$E$3:$IT$3,0)+1)),_xlpm.v,INDEX(始値!$C$6:$IT$305,_xlpm.r,_xlpm.c),IF(N(_xlpm.v)=0,"",_xlpm.v)),"")</f>
        <v/>
      </c>
      <c r="G81" s="631"/>
      <c r="H81" s="491" t="str" cm="1">
        <f t="array" ref="H81">IF($B81="","",_xll.RssMarket($B81,"現在値"))</f>
        <v/>
      </c>
      <c r="I81" s="491" t="str" cm="1">
        <f t="array" ref="I81">IF($B81="","",_xll.RssMarket($B81,"出来高加重平均"))</f>
        <v/>
      </c>
      <c r="J81" s="701" t="str" cm="1">
        <f t="array" ref="J81">IF($B81="","",_xll.RssMarket($B81,"前日比"))</f>
        <v/>
      </c>
      <c r="K81" s="701" t="str">
        <f>IF(OR(F81="",G81="",H81=""),"",IF(C81="売",(F81-H81)*G81,(H81-F81)*G81))</f>
        <v/>
      </c>
      <c r="L81" s="706" t="str">
        <f>IF(OR(F81="",H81=""),"",IF(C81="売",(F81-H81)/F81,(H81-F81)/F81))</f>
        <v/>
      </c>
      <c r="M81" s="491" t="str">
        <f>IF($F81="","",$F81*IF($C81="売",1-V811設定!$B$4,1+V811設定!$B$4)-MOD($F81*IF($C81="売",1-V811設定!$B$4,1+V811設定!$B$4),IF($F81&lt;=3000,1,IF($F81&lt;=5000,5,IF($F81&lt;=30000,10,IF($F81&lt;=50000,50,IF($F81&lt;=300000,100,500))))))+IF(AND($C81="売",MOD($F81*IF($C81="売",1-V811設定!$B$4,1+V811設定!$B$4),IF($F81&lt;=3000,1,IF($F81&lt;=5000,5,IF($F81&lt;=30000,10,IF($F81&lt;=50000,50,IF($F81&lt;=300000,100,500))))))&gt;0),IF($F81&lt;=3000,1,IF($F81&lt;=5000,5,IF($F81&lt;=30000,10,IF($F81&lt;=50000,50,IF($F81&lt;=300000,100,500))))),0))</f>
      </c>
      <c r="N81" s="491" t="str">
        <f>IF($F81="","",$F81*IF($C81="売",1+V811設定!$B$3,1-V811設定!$B$3)-MOD($F81*IF($C81="売",1+V811設定!$B$3,1-V811設定!$B$3),IF($F81&lt;=3000,1,IF($F81&lt;=5000,5,IF($F81&lt;=30000,10,IF($F81&lt;=50000,50,IF($F81&lt;=300000,100,500))))))+IF(AND($C81="売",MOD($F81*IF($C81="売",1+V811設定!$B$3,1-V811設定!$B$3),IF($F81&lt;=3000,1,IF($F81&lt;=5000,5,IF($F81&lt;=30000,10,IF($F81&lt;=50000,50,IF($F81&lt;=300000,100,500))))))&gt;0),IF($F81&lt;=3000,1,IF($F81&lt;=5000,5,IF($F81&lt;=30000,10,IF($F81&lt;=50000,50,IF($F81&lt;=300000,100,500))))),0))</f>
      </c>
      <c r="O81" s="492" t="str">
        <f>IF(OR($B81="",$F81="",$H81=""),"",IF($S81="✅売却済","―決済済―",IF($C81="売",IF($H81&lt;=$M81,"🟢利確",IF(AND($R81&lt;&gt;"",$H81&gt;=$R81),"🟠TRAIL",IF($H81&gt;=$N81,"🔴損切",IF($W81&gt;=V811設定!$B$6,"⏱時間決済",IF($H81&gt;=$F81*(1+V811設定!$B$3*0.7),"⚠️損切接近","保持継続"))))),IF($H81&gt;=$M81,"🟢利確",IF(AND($R81&lt;&gt;"",$H81&lt;=$R81),"🟠TRAIL",IF($H81&lt;=$N81,"🔴損切",IF($W81&gt;=V811設定!$B$6,"⏱時間決済",IF($H81&lt;=$F81*(1-V811設定!$B$3*0.7),"⚠️損切接近","保持継続"))))))))</f>
      </c>
      <c r="P81" s="491"/>
      <c r="Q81" s="491"/>
      <c r="R81" s="491" t="str">
        <f>IF(OR($F81="",$H81="",$N81=""),"",IF($S81="✅売却済","",IF($C81="売",IF($H81&gt;$F81*(1-V811設定!$B$3),$N81,MIN($N81,IF($Q81="",$N81,$Q81*1.03))),IF($H81&lt;$F81*(1+V811設定!$B$3),$N81,MAX($N81,IF($P81="",$N81,$P81*0.97))))))</f>
      </c>
      <c r="S81" s="586" t="str">
        <f>IF(B81="","",IF(T81&lt;&gt;"","✅売却済",IF(OR(H81="",L81=""),"📌保有中",IF(L81&gt;=0.06,"🟢利確推奨",IF(L81&gt;=0.05,"🟡利確直近",IF(L81&gt;=0.045,"🔵トレーリング検討",IF(L81&gt;-0.03,"📌保有中",IF(L81&gt;-0.04,"⚠️損切注意","🔴損切り"))))))))</f>
        <v/>
      </c>
      <c r="T81" s="594"/>
      <c r="U81" s="491"/>
      <c r="V81" s="701" t="str">
        <f>IF(OR(F81="",G81="",U81=""),"",IF(C81="売",(F81-U81)*G81,(U81-F81)*G81))</f>
        <v/>
      </c>
      <c r="W81" s="493" t="str">
        <f>IF(OR($E81="",$B81=""),"",IF($T81&lt;&gt;"",$T81-$E81,TODAY()-$E81)+1)</f>
        <v/>
      </c>
      <c r="X81" s="489" t="str">
        <f>IF(OR($AH81="",$AH81="保有中"),"",$AH81)</f>
        <v/>
      </c>
      <c r="Y81" s="488"/>
      <c r="Z81" s="710"/>
      <c r="AD81" s="608"/>
      <c r="AE81" s="624" t="str">
        <f>IF($E81="","",WORKDAY($E81,12))</f>
        <v/>
      </c>
      <c r="AF81" s="626" t="str" cm="1">
        <f t="array" aca="1" ref="AF81" ca="1">IF(OR($B81="",$M81=""),"",IFERROR(IF($C81="売",_xlfn.MINIFS(安値!$E$3:$IT$3,安値!$E$3:$IT$3,"&gt;"&amp;$E81,安値!$E$3:$IT$3,"&lt;="&amp;$AE81,OFFSET(安値!$E$6:$IT$6,MATCH(TEXT($B81,"0"),TEXT(銘柄管理!$B$6:$B$305,"0"),0)-1,0),"&lt;="&amp;$M81),_xlfn.MINIFS(高値!$E$3:$IT$3,高値!$E$3:$IT$3,"&gt;"&amp;$E81,高値!$E$3:$IT$3,"&lt;="&amp;$AE81,OFFSET(高値!$E$6:$IT$6,MATCH(TEXT($B81,"0"),TEXT(銘柄管理!$B$6:$B$305,"0"),0)-1,0),"&gt;="&amp;$M81)),""))</f>
        <v/>
      </c>
      <c r="AG81" s="626" t="str" cm="1">
        <f t="array" aca="1" ref="AG81" ca="1">IF(OR($B81="",$N81=""),"",IFERROR(IF($C81="売",_xlfn.MINIFS(高値!$E$3:$IT$3,高値!$E$3:$IT$3,"&gt;"&amp;$E81,高値!$E$3:$IT$3,"&lt;="&amp;$AE81,OFFSET(高値!$E$6:$IT$6,MATCH(TEXT($B81,"0"),TEXT(銘柄管理!$B$6:$B$305,"0"),0)-1,0),"&gt;="&amp;$N81),_xlfn.MINIFS(安値!$E$3:$IT$3,安値!$E$3:$IT$3,"&gt;"&amp;$E81,安値!$E$3:$IT$3,"&lt;="&amp;$AE81,OFFSET(安値!$E$6:$IT$6,MATCH(TEXT($B81,"0"),TEXT(銘柄管理!$B$6:$B$305,"0"),0)-1,0),"&lt;="&amp;$N81)),""))</f>
        <v/>
      </c>
      <c r="AH81" s="600" t="str">
        <f>IF(OR($B81="",$M81=""),"",IF(AND(N($AF81)=0,N($AG81)=0),IF(AND(ISNUMBER($H81),$H81&gt;0,IF($C81="売",$H81&gt;=$N81,$H81&lt;=$N81)),"損切確定",IF(AND(ISNUMBER($H81),$H81&gt;0,IF($C81="売",$H81&lt;=$M81,$H81&gt;=$M81)),"利益確定",IF($AE81&lt;=TODAY(),"日数制限","保有中"))),IF(N($AG81)=0,"利益確定",IF(N($AF81)=0,"損切確定",IF($AG81&lt;=$AF81,"損切確定","利益確定")))))</f>
        <v/>
      </c>
      <c r="AI81" s="600" t="str" cm="1">
        <f t="array" ref="AI81">IFERROR(INDEX(始値!$E$6:$IT$305,MATCH(TEXT($B81,"0"),TEXT(銘柄管理!$B$6:$B$305,"0"),0),MATCH($AE81,始値!$E$3:$IT$3,0)),"")</f>
        <v/>
      </c>
      <c r="AJ81" s="905" t="str">
        <f>IF(OR($V81="",$F81="",$G81=""),"",$V81/($F81*$G81))</f>
        <v/>
      </c>
      <c r="AK81" s="629" t="str">
        <f>IF($V81="","",IF($V81&gt;0,"○勝",IF($V81&lt;0,"●負","△引分")))</f>
        <v/>
      </c>
    </row>
    <row r="82" spans="1:37" ht="35.4" customHeight="1">
      <c r="A82" s="619" t="str">
        <f>IF(B82="","",HYPERLINK("https://kabutan.jp/stock/?code="&amp;B82,"株探"))</f>
        <v/>
      </c>
      <c r="B82" s="630"/>
      <c r="C82" s="490"/>
      <c r="D82" s="623" t="str" cm="1">
        <f t="array" ref="D82">IF($B82="","",_xll.RssMarket($B82,"銘柄名称"))</f>
        <v/>
      </c>
      <c r="E82" s="716"/>
      <c r="F82" s="698" t="str" cm="1">
        <f t="array" aca="1" ref="F82" ca="1">IFERROR(_xlfn.LET(_xlpm.r,MATCH(TEXT($B82,"0"),TEXT(銘柄管理!$B$6:$B$305,"0"),0),_xlpm.t,MOD(NOW(),1),_xlpm.c,IF($E82=TODAY(),IF(_xlpm.t&gt;=TIME(15,30,0),NA(),1),IF(MATCH($E82,始値!$E$3:$IT$3,0)=1,1,MATCH($E82,始値!$E$3:$IT$3,0)+1)),_xlpm.v,INDEX(始値!$C$6:$IT$305,_xlpm.r,_xlpm.c),IF(N(_xlpm.v)=0,"",_xlpm.v)),"")</f>
        <v/>
      </c>
      <c r="G82" s="631"/>
      <c r="H82" s="491" t="str" cm="1">
        <f t="array" ref="H82">IF($B82="","",_xll.RssMarket($B82,"現在値"))</f>
        <v/>
      </c>
      <c r="I82" s="491" t="str" cm="1">
        <f t="array" ref="I82">IF($B82="","",_xll.RssMarket($B82,"出来高加重平均"))</f>
        <v/>
      </c>
      <c r="J82" s="701" t="str" cm="1">
        <f t="array" ref="J82">IF($B82="","",_xll.RssMarket($B82,"前日比"))</f>
        <v/>
      </c>
      <c r="K82" s="701" t="str">
        <f>IF(OR(F82="",G82="",H82=""),"",IF(C82="売",(F82-H82)*G82,(H82-F82)*G82))</f>
        <v/>
      </c>
      <c r="L82" s="706" t="str">
        <f>IF(OR(F82="",H82=""),"",IF(C82="売",(F82-H82)/F82,(H82-F82)/F82))</f>
        <v/>
      </c>
      <c r="M82" s="491" t="str">
        <f>IF($F82="","",$F82*IF($C82="売",1-V811設定!$B$4,1+V811設定!$B$4)-MOD($F82*IF($C82="売",1-V811設定!$B$4,1+V811設定!$B$4),IF($F82&lt;=3000,1,IF($F82&lt;=5000,5,IF($F82&lt;=30000,10,IF($F82&lt;=50000,50,IF($F82&lt;=300000,100,500))))))+IF(AND($C82="売",MOD($F82*IF($C82="売",1-V811設定!$B$4,1+V811設定!$B$4),IF($F82&lt;=3000,1,IF($F82&lt;=5000,5,IF($F82&lt;=30000,10,IF($F82&lt;=50000,50,IF($F82&lt;=300000,100,500))))))&gt;0),IF($F82&lt;=3000,1,IF($F82&lt;=5000,5,IF($F82&lt;=30000,10,IF($F82&lt;=50000,50,IF($F82&lt;=300000,100,500))))),0))</f>
      </c>
      <c r="N82" s="491" t="str">
        <f>IF($F82="","",$F82*IF($C82="売",1+V811設定!$B$3,1-V811設定!$B$3)-MOD($F82*IF($C82="売",1+V811設定!$B$3,1-V811設定!$B$3),IF($F82&lt;=3000,1,IF($F82&lt;=5000,5,IF($F82&lt;=30000,10,IF($F82&lt;=50000,50,IF($F82&lt;=300000,100,500))))))+IF(AND($C82="売",MOD($F82*IF($C82="売",1+V811設定!$B$3,1-V811設定!$B$3),IF($F82&lt;=3000,1,IF($F82&lt;=5000,5,IF($F82&lt;=30000,10,IF($F82&lt;=50000,50,IF($F82&lt;=300000,100,500))))))&gt;0),IF($F82&lt;=3000,1,IF($F82&lt;=5000,5,IF($F82&lt;=30000,10,IF($F82&lt;=50000,50,IF($F82&lt;=300000,100,500))))),0))</f>
      </c>
      <c r="O82" s="492" t="str">
        <f>IF(OR($B82="",$F82="",$H82=""),"",IF($S82="✅売却済","―決済済―",IF($C82="売",IF($H82&lt;=$M82,"🟢利確",IF(AND($R82&lt;&gt;"",$H82&gt;=$R82),"🟠TRAIL",IF($H82&gt;=$N82,"🔴損切",IF($W82&gt;=V811設定!$B$6,"⏱時間決済",IF($H82&gt;=$F82*(1+V811設定!$B$3*0.7),"⚠️損切接近","保持継続"))))),IF($H82&gt;=$M82,"🟢利確",IF(AND($R82&lt;&gt;"",$H82&lt;=$R82),"🟠TRAIL",IF($H82&lt;=$N82,"🔴損切",IF($W82&gt;=V811設定!$B$6,"⏱時間決済",IF($H82&lt;=$F82*(1-V811設定!$B$3*0.7),"⚠️損切接近","保持継続"))))))))</f>
      </c>
      <c r="P82" s="491"/>
      <c r="Q82" s="491"/>
      <c r="R82" s="491" t="str">
        <f>IF(OR($F82="",$H82="",$N82=""),"",IF($S82="✅売却済","",IF($C82="売",IF($H82&gt;$F82*(1-V811設定!$B$3),$N82,MIN($N82,IF($Q82="",$N82,$Q82*1.03))),IF($H82&lt;$F82*(1+V811設定!$B$3),$N82,MAX($N82,IF($P82="",$N82,$P82*0.97))))))</f>
      </c>
      <c r="S82" s="586" t="str">
        <f>IF(B82="","",IF(T82&lt;&gt;"","✅売却済",IF(OR(H82="",L82=""),"📌保有中",IF(L82&gt;=0.06,"🟢利確推奨",IF(L82&gt;=0.05,"🟡利確直近",IF(L82&gt;=0.045,"🔵トレーリング検討",IF(L82&gt;-0.03,"📌保有中",IF(L82&gt;-0.04,"⚠️損切注意","🔴損切り"))))))))</f>
        <v/>
      </c>
      <c r="T82" s="594"/>
      <c r="U82" s="491"/>
      <c r="V82" s="701" t="str">
        <f>IF(OR(F82="",G82="",U82=""),"",IF(C82="売",(F82-U82)*G82,(U82-F82)*G82))</f>
        <v/>
      </c>
      <c r="W82" s="493" t="str">
        <f>IF(OR($E82="",$B82=""),"",IF($T82&lt;&gt;"",$T82-$E82,TODAY()-$E82)+1)</f>
        <v/>
      </c>
      <c r="X82" s="489" t="str">
        <f>IF(OR($AH82="",$AH82="保有中"),"",$AH82)</f>
        <v/>
      </c>
      <c r="Y82" s="488"/>
      <c r="Z82" s="710"/>
      <c r="AD82" s="608"/>
      <c r="AE82" s="624" t="str">
        <f>IF($E82="","",WORKDAY($E82,12))</f>
        <v/>
      </c>
      <c r="AF82" s="626" t="str" cm="1">
        <f t="array" aca="1" ref="AF82" ca="1">IF(OR($B82="",$M82=""),"",IFERROR(IF($C82="売",_xlfn.MINIFS(安値!$E$3:$IT$3,安値!$E$3:$IT$3,"&gt;"&amp;$E82,安値!$E$3:$IT$3,"&lt;="&amp;$AE82,OFFSET(安値!$E$6:$IT$6,MATCH(TEXT($B82,"0"),TEXT(銘柄管理!$B$6:$B$305,"0"),0)-1,0),"&lt;="&amp;$M82),_xlfn.MINIFS(高値!$E$3:$IT$3,高値!$E$3:$IT$3,"&gt;"&amp;$E82,高値!$E$3:$IT$3,"&lt;="&amp;$AE82,OFFSET(高値!$E$6:$IT$6,MATCH(TEXT($B82,"0"),TEXT(銘柄管理!$B$6:$B$305,"0"),0)-1,0),"&gt;="&amp;$M82)),""))</f>
        <v/>
      </c>
      <c r="AG82" s="626" t="str" cm="1">
        <f t="array" aca="1" ref="AG82" ca="1">IF(OR($B82="",$N82=""),"",IFERROR(IF($C82="売",_xlfn.MINIFS(高値!$E$3:$IT$3,高値!$E$3:$IT$3,"&gt;"&amp;$E82,高値!$E$3:$IT$3,"&lt;="&amp;$AE82,OFFSET(高値!$E$6:$IT$6,MATCH(TEXT($B82,"0"),TEXT(銘柄管理!$B$6:$B$305,"0"),0)-1,0),"&gt;="&amp;$N82),_xlfn.MINIFS(安値!$E$3:$IT$3,安値!$E$3:$IT$3,"&gt;"&amp;$E82,安値!$E$3:$IT$3,"&lt;="&amp;$AE82,OFFSET(安値!$E$6:$IT$6,MATCH(TEXT($B82,"0"),TEXT(銘柄管理!$B$6:$B$305,"0"),0)-1,0),"&lt;="&amp;$N82)),""))</f>
        <v/>
      </c>
      <c r="AH82" s="600" t="str">
        <f>IF(OR($B82="",$M82=""),"",IF(AND(N($AF82)=0,N($AG82)=0),IF(AND(ISNUMBER($H82),$H82&gt;0,IF($C82="売",$H82&gt;=$N82,$H82&lt;=$N82)),"損切確定",IF(AND(ISNUMBER($H82),$H82&gt;0,IF($C82="売",$H82&lt;=$M82,$H82&gt;=$M82)),"利益確定",IF($AE82&lt;=TODAY(),"日数制限","保有中"))),IF(N($AG82)=0,"利益確定",IF(N($AF82)=0,"損切確定",IF($AG82&lt;=$AF82,"損切確定","利益確定")))))</f>
        <v/>
      </c>
      <c r="AI82" s="600" t="str" cm="1">
        <f t="array" ref="AI82">IFERROR(INDEX(始値!$E$6:$IT$305,MATCH(TEXT($B82,"0"),TEXT(銘柄管理!$B$6:$B$305,"0"),0),MATCH($AE82,始値!$E$3:$IT$3,0)),"")</f>
        <v/>
      </c>
      <c r="AJ82" s="905" t="str">
        <f>IF(OR($V82="",$F82="",$G82=""),"",$V82/($F82*$G82))</f>
        <v/>
      </c>
      <c r="AK82" s="629" t="str">
        <f>IF($V82="","",IF($V82&gt;0,"○勝",IF($V82&lt;0,"●負","△引分")))</f>
        <v/>
      </c>
    </row>
    <row r="83" spans="1:37" ht="35.4" customHeight="1">
      <c r="A83" s="619" t="str">
        <f>IF(B83="","",HYPERLINK("https://kabutan.jp/stock/?code="&amp;B83,"株探"))</f>
        <v/>
      </c>
      <c r="B83" s="630"/>
      <c r="C83" s="490"/>
      <c r="D83" s="623" t="str" cm="1">
        <f t="array" ref="D83">IF($B83="","",_xll.RssMarket($B83,"銘柄名称"))</f>
        <v/>
      </c>
      <c r="E83" s="716"/>
      <c r="F83" s="698" t="str" cm="1">
        <f t="array" aca="1" ref="F83" ca="1">IFERROR(_xlfn.LET(_xlpm.r,MATCH(TEXT($B83,"0"),TEXT(銘柄管理!$B$6:$B$305,"0"),0),_xlpm.t,MOD(NOW(),1),_xlpm.c,IF($E83=TODAY(),IF(_xlpm.t&gt;=TIME(15,30,0),NA(),1),IF(MATCH($E83,始値!$E$3:$IT$3,0)=1,1,MATCH($E83,始値!$E$3:$IT$3,0)+1)),_xlpm.v,INDEX(始値!$C$6:$IT$305,_xlpm.r,_xlpm.c),IF(N(_xlpm.v)=0,"",_xlpm.v)),"")</f>
        <v/>
      </c>
      <c r="G83" s="631"/>
      <c r="H83" s="491" t="str" cm="1">
        <f t="array" ref="H83">IF($B83="","",_xll.RssMarket($B83,"現在値"))</f>
        <v/>
      </c>
      <c r="I83" s="491" t="str" cm="1">
        <f t="array" ref="I83">IF($B83="","",_xll.RssMarket($B83,"出来高加重平均"))</f>
        <v/>
      </c>
      <c r="J83" s="701" t="str" cm="1">
        <f t="array" ref="J83">IF($B83="","",_xll.RssMarket($B83,"前日比"))</f>
        <v/>
      </c>
      <c r="K83" s="701" t="str">
        <f>IF(OR(F83="",G83="",H83=""),"",IF(C83="売",(F83-H83)*G83,(H83-F83)*G83))</f>
        <v/>
      </c>
      <c r="L83" s="706" t="str">
        <f>IF(OR(F83="",H83=""),"",IF(C83="売",(F83-H83)/F83,(H83-F83)/F83))</f>
        <v/>
      </c>
      <c r="M83" s="491" t="str">
        <f>IF($F83="","",$F83*IF($C83="売",1-V811設定!$B$4,1+V811設定!$B$4)-MOD($F83*IF($C83="売",1-V811設定!$B$4,1+V811設定!$B$4),IF($F83&lt;=3000,1,IF($F83&lt;=5000,5,IF($F83&lt;=30000,10,IF($F83&lt;=50000,50,IF($F83&lt;=300000,100,500))))))+IF(AND($C83="売",MOD($F83*IF($C83="売",1-V811設定!$B$4,1+V811設定!$B$4),IF($F83&lt;=3000,1,IF($F83&lt;=5000,5,IF($F83&lt;=30000,10,IF($F83&lt;=50000,50,IF($F83&lt;=300000,100,500))))))&gt;0),IF($F83&lt;=3000,1,IF($F83&lt;=5000,5,IF($F83&lt;=30000,10,IF($F83&lt;=50000,50,IF($F83&lt;=300000,100,500))))),0))</f>
      </c>
      <c r="N83" s="491" t="str">
        <f>IF($F83="","",$F83*IF($C83="売",1+V811設定!$B$3,1-V811設定!$B$3)-MOD($F83*IF($C83="売",1+V811設定!$B$3,1-V811設定!$B$3),IF($F83&lt;=3000,1,IF($F83&lt;=5000,5,IF($F83&lt;=30000,10,IF($F83&lt;=50000,50,IF($F83&lt;=300000,100,500))))))+IF(AND($C83="売",MOD($F83*IF($C83="売",1+V811設定!$B$3,1-V811設定!$B$3),IF($F83&lt;=3000,1,IF($F83&lt;=5000,5,IF($F83&lt;=30000,10,IF($F83&lt;=50000,50,IF($F83&lt;=300000,100,500))))))&gt;0),IF($F83&lt;=3000,1,IF($F83&lt;=5000,5,IF($F83&lt;=30000,10,IF($F83&lt;=50000,50,IF($F83&lt;=300000,100,500))))),0))</f>
      </c>
      <c r="O83" s="492" t="str">
        <f>IF(OR($B83="",$F83="",$H83=""),"",IF($S83="✅売却済","―決済済―",IF($C83="売",IF($H83&lt;=$M83,"🟢利確",IF(AND($R83&lt;&gt;"",$H83&gt;=$R83),"🟠TRAIL",IF($H83&gt;=$N83,"🔴損切",IF($W83&gt;=V811設定!$B$6,"⏱時間決済",IF($H83&gt;=$F83*(1+V811設定!$B$3*0.7),"⚠️損切接近","保持継続"))))),IF($H83&gt;=$M83,"🟢利確",IF(AND($R83&lt;&gt;"",$H83&lt;=$R83),"🟠TRAIL",IF($H83&lt;=$N83,"🔴損切",IF($W83&gt;=V811設定!$B$6,"⏱時間決済",IF($H83&lt;=$F83*(1-V811設定!$B$3*0.7),"⚠️損切接近","保持継続"))))))))</f>
      </c>
      <c r="P83" s="491"/>
      <c r="Q83" s="491"/>
      <c r="R83" s="491" t="str">
        <f>IF(OR($F83="",$H83="",$N83=""),"",IF($S83="✅売却済","",IF($C83="売",IF($H83&gt;$F83*(1-V811設定!$B$3),$N83,MIN($N83,IF($Q83="",$N83,$Q83*1.03))),IF($H83&lt;$F83*(1+V811設定!$B$3),$N83,MAX($N83,IF($P83="",$N83,$P83*0.97))))))</f>
      </c>
      <c r="S83" s="586" t="str">
        <f>IF(B83="","",IF(T83&lt;&gt;"","✅売却済",IF(OR(H83="",L83=""),"📌保有中",IF(L83&gt;=0.06,"🟢利確推奨",IF(L83&gt;=0.05,"🟡利確直近",IF(L83&gt;=0.045,"🔵トレーリング検討",IF(L83&gt;-0.03,"📌保有中",IF(L83&gt;-0.04,"⚠️損切注意","🔴損切り"))))))))</f>
        <v/>
      </c>
      <c r="T83" s="594"/>
      <c r="U83" s="491"/>
      <c r="V83" s="701" t="str">
        <f>IF(OR(F83="",G83="",U83=""),"",IF(C83="売",(F83-U83)*G83,(U83-F83)*G83))</f>
        <v/>
      </c>
      <c r="W83" s="493" t="str">
        <f>IF(OR($E83="",$B83=""),"",IF($T83&lt;&gt;"",$T83-$E83,TODAY()-$E83)+1)</f>
        <v/>
      </c>
      <c r="X83" s="489" t="str">
        <f>IF(OR($AH83="",$AH83="保有中"),"",$AH83)</f>
        <v/>
      </c>
      <c r="Y83" s="488"/>
      <c r="Z83" s="710"/>
      <c r="AD83" s="608"/>
      <c r="AE83" s="624" t="str">
        <f>IF($E83="","",WORKDAY($E83,12))</f>
        <v/>
      </c>
      <c r="AF83" s="626" t="str" cm="1">
        <f t="array" aca="1" ref="AF83" ca="1">IF(OR($B83="",$M83=""),"",IFERROR(IF($C83="売",_xlfn.MINIFS(安値!$E$3:$IT$3,安値!$E$3:$IT$3,"&gt;"&amp;$E83,安値!$E$3:$IT$3,"&lt;="&amp;$AE83,OFFSET(安値!$E$6:$IT$6,MATCH(TEXT($B83,"0"),TEXT(銘柄管理!$B$6:$B$305,"0"),0)-1,0),"&lt;="&amp;$M83),_xlfn.MINIFS(高値!$E$3:$IT$3,高値!$E$3:$IT$3,"&gt;"&amp;$E83,高値!$E$3:$IT$3,"&lt;="&amp;$AE83,OFFSET(高値!$E$6:$IT$6,MATCH(TEXT($B83,"0"),TEXT(銘柄管理!$B$6:$B$305,"0"),0)-1,0),"&gt;="&amp;$M83)),""))</f>
        <v/>
      </c>
      <c r="AG83" s="626" t="str" cm="1">
        <f t="array" aca="1" ref="AG83" ca="1">IF(OR($B83="",$N83=""),"",IFERROR(IF($C83="売",_xlfn.MINIFS(高値!$E$3:$IT$3,高値!$E$3:$IT$3,"&gt;"&amp;$E83,高値!$E$3:$IT$3,"&lt;="&amp;$AE83,OFFSET(高値!$E$6:$IT$6,MATCH(TEXT($B83,"0"),TEXT(銘柄管理!$B$6:$B$305,"0"),0)-1,0),"&gt;="&amp;$N83),_xlfn.MINIFS(安値!$E$3:$IT$3,安値!$E$3:$IT$3,"&gt;"&amp;$E83,安値!$E$3:$IT$3,"&lt;="&amp;$AE83,OFFSET(安値!$E$6:$IT$6,MATCH(TEXT($B83,"0"),TEXT(銘柄管理!$B$6:$B$305,"0"),0)-1,0),"&lt;="&amp;$N83)),""))</f>
        <v/>
      </c>
      <c r="AH83" s="600" t="str">
        <f>IF(OR($B83="",$M83=""),"",IF(AND(N($AF83)=0,N($AG83)=0),IF(AND(ISNUMBER($H83),$H83&gt;0,IF($C83="売",$H83&gt;=$N83,$H83&lt;=$N83)),"損切確定",IF(AND(ISNUMBER($H83),$H83&gt;0,IF($C83="売",$H83&lt;=$M83,$H83&gt;=$M83)),"利益確定",IF($AE83&lt;=TODAY(),"日数制限","保有中"))),IF(N($AG83)=0,"利益確定",IF(N($AF83)=0,"損切確定",IF($AG83&lt;=$AF83,"損切確定","利益確定")))))</f>
        <v/>
      </c>
      <c r="AI83" s="600" t="str" cm="1">
        <f t="array" ref="AI83">IFERROR(INDEX(始値!$E$6:$IT$305,MATCH(TEXT($B83,"0"),TEXT(銘柄管理!$B$6:$B$305,"0"),0),MATCH($AE83,始値!$E$3:$IT$3,0)),"")</f>
        <v/>
      </c>
      <c r="AJ83" s="905" t="str">
        <f>IF(OR($V83="",$F83="",$G83=""),"",$V83/($F83*$G83))</f>
        <v/>
      </c>
      <c r="AK83" s="629" t="str">
        <f>IF($V83="","",IF($V83&gt;0,"○勝",IF($V83&lt;0,"●負","△引分")))</f>
        <v/>
      </c>
    </row>
    <row r="84" spans="1:37" ht="35.4" customHeight="1">
      <c r="A84" s="619" t="str">
        <f>IF(B84="","",HYPERLINK("https://kabutan.jp/stock/?code="&amp;B84,"株探"))</f>
        <v/>
      </c>
      <c r="B84" s="630"/>
      <c r="C84" s="490"/>
      <c r="D84" s="623" t="str" cm="1">
        <f t="array" ref="D84">IF($B84="","",_xll.RssMarket($B84,"銘柄名称"))</f>
        <v/>
      </c>
      <c r="E84" s="716"/>
      <c r="F84" s="698" t="str" cm="1">
        <f t="array" aca="1" ref="F84" ca="1">IFERROR(_xlfn.LET(_xlpm.r,MATCH(TEXT($B84,"0"),TEXT(銘柄管理!$B$6:$B$305,"0"),0),_xlpm.t,MOD(NOW(),1),_xlpm.c,IF($E84=TODAY(),IF(_xlpm.t&gt;=TIME(15,30,0),NA(),1),IF(MATCH($E84,始値!$E$3:$IT$3,0)=1,1,MATCH($E84,始値!$E$3:$IT$3,0)+1)),_xlpm.v,INDEX(始値!$C$6:$IT$305,_xlpm.r,_xlpm.c),IF(N(_xlpm.v)=0,"",_xlpm.v)),"")</f>
        <v/>
      </c>
      <c r="G84" s="631"/>
      <c r="H84" s="491" t="str" cm="1">
        <f t="array" ref="H84">IF($B84="","",_xll.RssMarket($B84,"現在値"))</f>
        <v/>
      </c>
      <c r="I84" s="491" t="str" cm="1">
        <f t="array" ref="I84">IF($B84="","",_xll.RssMarket($B84,"出来高加重平均"))</f>
        <v/>
      </c>
      <c r="J84" s="701" t="str" cm="1">
        <f t="array" ref="J84">IF($B84="","",_xll.RssMarket($B84,"前日比"))</f>
        <v/>
      </c>
      <c r="K84" s="701" t="str">
        <f>IF(OR(F84="",G84="",H84=""),"",IF(C84="売",(F84-H84)*G84,(H84-F84)*G84))</f>
        <v/>
      </c>
      <c r="L84" s="706" t="str">
        <f>IF(OR(F84="",H84=""),"",IF(C84="売",(F84-H84)/F84,(H84-F84)/F84))</f>
        <v/>
      </c>
      <c r="M84" s="491" t="str">
        <f>IF($F84="","",$F84*IF($C84="売",1-V811設定!$B$4,1+V811設定!$B$4)-MOD($F84*IF($C84="売",1-V811設定!$B$4,1+V811設定!$B$4),IF($F84&lt;=3000,1,IF($F84&lt;=5000,5,IF($F84&lt;=30000,10,IF($F84&lt;=50000,50,IF($F84&lt;=300000,100,500))))))+IF(AND($C84="売",MOD($F84*IF($C84="売",1-V811設定!$B$4,1+V811設定!$B$4),IF($F84&lt;=3000,1,IF($F84&lt;=5000,5,IF($F84&lt;=30000,10,IF($F84&lt;=50000,50,IF($F84&lt;=300000,100,500))))))&gt;0),IF($F84&lt;=3000,1,IF($F84&lt;=5000,5,IF($F84&lt;=30000,10,IF($F84&lt;=50000,50,IF($F84&lt;=300000,100,500))))),0))</f>
      </c>
      <c r="N84" s="491" t="str">
        <f>IF($F84="","",$F84*IF($C84="売",1+V811設定!$B$3,1-V811設定!$B$3)-MOD($F84*IF($C84="売",1+V811設定!$B$3,1-V811設定!$B$3),IF($F84&lt;=3000,1,IF($F84&lt;=5000,5,IF($F84&lt;=30000,10,IF($F84&lt;=50000,50,IF($F84&lt;=300000,100,500))))))+IF(AND($C84="売",MOD($F84*IF($C84="売",1+V811設定!$B$3,1-V811設定!$B$3),IF($F84&lt;=3000,1,IF($F84&lt;=5000,5,IF($F84&lt;=30000,10,IF($F84&lt;=50000,50,IF($F84&lt;=300000,100,500))))))&gt;0),IF($F84&lt;=3000,1,IF($F84&lt;=5000,5,IF($F84&lt;=30000,10,IF($F84&lt;=50000,50,IF($F84&lt;=300000,100,500))))),0))</f>
      </c>
      <c r="O84" s="492" t="str">
        <f>IF(OR($B84="",$F84="",$H84=""),"",IF($S84="✅売却済","―決済済―",IF($C84="売",IF($H84&lt;=$M84,"🟢利確",IF(AND($R84&lt;&gt;"",$H84&gt;=$R84),"🟠TRAIL",IF($H84&gt;=$N84,"🔴損切",IF($W84&gt;=V811設定!$B$6,"⏱時間決済",IF($H84&gt;=$F84*(1+V811設定!$B$3*0.7),"⚠️損切接近","保持継続"))))),IF($H84&gt;=$M84,"🟢利確",IF(AND($R84&lt;&gt;"",$H84&lt;=$R84),"🟠TRAIL",IF($H84&lt;=$N84,"🔴損切",IF($W84&gt;=V811設定!$B$6,"⏱時間決済",IF($H84&lt;=$F84*(1-V811設定!$B$3*0.7),"⚠️損切接近","保持継続"))))))))</f>
      </c>
      <c r="P84" s="491"/>
      <c r="Q84" s="491"/>
      <c r="R84" s="491" t="str">
        <f>IF(OR($F84="",$H84="",$N84=""),"",IF($S84="✅売却済","",IF($C84="売",IF($H84&gt;$F84*(1-V811設定!$B$3),$N84,MIN($N84,IF($Q84="",$N84,$Q84*1.03))),IF($H84&lt;$F84*(1+V811設定!$B$3),$N84,MAX($N84,IF($P84="",$N84,$P84*0.97))))))</f>
      </c>
      <c r="S84" s="586" t="str">
        <f>IF(B84="","",IF(T84&lt;&gt;"","✅売却済",IF(OR(H84="",L84=""),"📌保有中",IF(L84&gt;=0.06,"🟢利確推奨",IF(L84&gt;=0.05,"🟡利確直近",IF(L84&gt;=0.045,"🔵トレーリング検討",IF(L84&gt;-0.03,"📌保有中",IF(L84&gt;-0.04,"⚠️損切注意","🔴損切り"))))))))</f>
        <v/>
      </c>
      <c r="T84" s="594"/>
      <c r="U84" s="491"/>
      <c r="V84" s="701" t="str">
        <f>IF(OR(F84="",G84="",U84=""),"",IF(C84="売",(F84-U84)*G84,(U84-F84)*G84))</f>
        <v/>
      </c>
      <c r="W84" s="493" t="str">
        <f>IF(OR($E84="",$B84=""),"",IF($T84&lt;&gt;"",$T84-$E84,TODAY()-$E84)+1)</f>
        <v/>
      </c>
      <c r="X84" s="489" t="str">
        <f>IF(OR($AH84="",$AH84="保有中"),"",$AH84)</f>
        <v/>
      </c>
      <c r="Y84" s="488"/>
      <c r="Z84" s="710"/>
      <c r="AD84" s="608"/>
      <c r="AE84" s="624" t="str">
        <f>IF($E84="","",WORKDAY($E84,12))</f>
        <v/>
      </c>
      <c r="AF84" s="626" t="str" cm="1">
        <f t="array" aca="1" ref="AF84" ca="1">IF(OR($B84="",$M84=""),"",IFERROR(IF($C84="売",_xlfn.MINIFS(安値!$E$3:$IT$3,安値!$E$3:$IT$3,"&gt;"&amp;$E84,安値!$E$3:$IT$3,"&lt;="&amp;$AE84,OFFSET(安値!$E$6:$IT$6,MATCH(TEXT($B84,"0"),TEXT(銘柄管理!$B$6:$B$305,"0"),0)-1,0),"&lt;="&amp;$M84),_xlfn.MINIFS(高値!$E$3:$IT$3,高値!$E$3:$IT$3,"&gt;"&amp;$E84,高値!$E$3:$IT$3,"&lt;="&amp;$AE84,OFFSET(高値!$E$6:$IT$6,MATCH(TEXT($B84,"0"),TEXT(銘柄管理!$B$6:$B$305,"0"),0)-1,0),"&gt;="&amp;$M84)),""))</f>
        <v/>
      </c>
      <c r="AG84" s="626" t="str" cm="1">
        <f t="array" aca="1" ref="AG84" ca="1">IF(OR($B84="",$N84=""),"",IFERROR(IF($C84="売",_xlfn.MINIFS(高値!$E$3:$IT$3,高値!$E$3:$IT$3,"&gt;"&amp;$E84,高値!$E$3:$IT$3,"&lt;="&amp;$AE84,OFFSET(高値!$E$6:$IT$6,MATCH(TEXT($B84,"0"),TEXT(銘柄管理!$B$6:$B$305,"0"),0)-1,0),"&gt;="&amp;$N84),_xlfn.MINIFS(安値!$E$3:$IT$3,安値!$E$3:$IT$3,"&gt;"&amp;$E84,安値!$E$3:$IT$3,"&lt;="&amp;$AE84,OFFSET(安値!$E$6:$IT$6,MATCH(TEXT($B84,"0"),TEXT(銘柄管理!$B$6:$B$305,"0"),0)-1,0),"&lt;="&amp;$N84)),""))</f>
        <v/>
      </c>
      <c r="AH84" s="600" t="str">
        <f>IF(OR($B84="",$M84=""),"",IF(AND(N($AF84)=0,N($AG84)=0),IF(AND(ISNUMBER($H84),$H84&gt;0,IF($C84="売",$H84&gt;=$N84,$H84&lt;=$N84)),"損切確定",IF(AND(ISNUMBER($H84),$H84&gt;0,IF($C84="売",$H84&lt;=$M84,$H84&gt;=$M84)),"利益確定",IF($AE84&lt;=TODAY(),"日数制限","保有中"))),IF(N($AG84)=0,"利益確定",IF(N($AF84)=0,"損切確定",IF($AG84&lt;=$AF84,"損切確定","利益確定")))))</f>
        <v/>
      </c>
      <c r="AI84" s="600" t="str" cm="1">
        <f t="array" ref="AI84">IFERROR(INDEX(始値!$E$6:$IT$305,MATCH(TEXT($B84,"0"),TEXT(銘柄管理!$B$6:$B$305,"0"),0),MATCH($AE84,始値!$E$3:$IT$3,0)),"")</f>
        <v/>
      </c>
      <c r="AJ84" s="905" t="str">
        <f>IF(OR($V84="",$F84="",$G84=""),"",$V84/($F84*$G84))</f>
        <v/>
      </c>
      <c r="AK84" s="629" t="str">
        <f>IF($V84="","",IF($V84&gt;0,"○勝",IF($V84&lt;0,"●負","△引分")))</f>
        <v/>
      </c>
    </row>
    <row r="85" spans="1:37" ht="35.4" customHeight="1">
      <c r="A85" s="619" t="str">
        <f>IF(B85="","",HYPERLINK("https://kabutan.jp/stock/?code="&amp;B85,"株探"))</f>
        <v/>
      </c>
      <c r="B85" s="630"/>
      <c r="C85" s="490"/>
      <c r="D85" s="623" t="str" cm="1">
        <f t="array" ref="D85">IF($B85="","",_xll.RssMarket($B85,"銘柄名称"))</f>
        <v/>
      </c>
      <c r="E85" s="716"/>
      <c r="F85" s="698" t="str" cm="1">
        <f t="array" aca="1" ref="F85" ca="1">IFERROR(_xlfn.LET(_xlpm.r,MATCH(TEXT($B85,"0"),TEXT(銘柄管理!$B$6:$B$305,"0"),0),_xlpm.t,MOD(NOW(),1),_xlpm.c,IF($E85=TODAY(),IF(_xlpm.t&gt;=TIME(15,30,0),NA(),1),IF(MATCH($E85,始値!$E$3:$IT$3,0)=1,1,MATCH($E85,始値!$E$3:$IT$3,0)+1)),_xlpm.v,INDEX(始値!$C$6:$IT$305,_xlpm.r,_xlpm.c),IF(N(_xlpm.v)=0,"",_xlpm.v)),"")</f>
        <v/>
      </c>
      <c r="G85" s="631"/>
      <c r="H85" s="491" t="str" cm="1">
        <f t="array" ref="H85">IF($B85="","",_xll.RssMarket($B85,"現在値"))</f>
        <v/>
      </c>
      <c r="I85" s="491" t="str" cm="1">
        <f t="array" ref="I85">IF($B85="","",_xll.RssMarket($B85,"出来高加重平均"))</f>
        <v/>
      </c>
      <c r="J85" s="701" t="str" cm="1">
        <f t="array" ref="J85">IF($B85="","",_xll.RssMarket($B85,"前日比"))</f>
        <v/>
      </c>
      <c r="K85" s="701" t="str">
        <f>IF(OR(F85="",G85="",H85=""),"",IF(C85="売",(F85-H85)*G85,(H85-F85)*G85))</f>
        <v/>
      </c>
      <c r="L85" s="706" t="str">
        <f>IF(OR(F85="",H85=""),"",IF(C85="売",(F85-H85)/F85,(H85-F85)/F85))</f>
        <v/>
      </c>
      <c r="M85" s="491" t="str">
        <f>IF($F85="","",$F85*IF($C85="売",1-V811設定!$B$4,1+V811設定!$B$4)-MOD($F85*IF($C85="売",1-V811設定!$B$4,1+V811設定!$B$4),IF($F85&lt;=3000,1,IF($F85&lt;=5000,5,IF($F85&lt;=30000,10,IF($F85&lt;=50000,50,IF($F85&lt;=300000,100,500))))))+IF(AND($C85="売",MOD($F85*IF($C85="売",1-V811設定!$B$4,1+V811設定!$B$4),IF($F85&lt;=3000,1,IF($F85&lt;=5000,5,IF($F85&lt;=30000,10,IF($F85&lt;=50000,50,IF($F85&lt;=300000,100,500))))))&gt;0),IF($F85&lt;=3000,1,IF($F85&lt;=5000,5,IF($F85&lt;=30000,10,IF($F85&lt;=50000,50,IF($F85&lt;=300000,100,500))))),0))</f>
      </c>
      <c r="N85" s="491" t="str">
        <f>IF($F85="","",$F85*IF($C85="売",1+V811設定!$B$3,1-V811設定!$B$3)-MOD($F85*IF($C85="売",1+V811設定!$B$3,1-V811設定!$B$3),IF($F85&lt;=3000,1,IF($F85&lt;=5000,5,IF($F85&lt;=30000,10,IF($F85&lt;=50000,50,IF($F85&lt;=300000,100,500))))))+IF(AND($C85="売",MOD($F85*IF($C85="売",1+V811設定!$B$3,1-V811設定!$B$3),IF($F85&lt;=3000,1,IF($F85&lt;=5000,5,IF($F85&lt;=30000,10,IF($F85&lt;=50000,50,IF($F85&lt;=300000,100,500))))))&gt;0),IF($F85&lt;=3000,1,IF($F85&lt;=5000,5,IF($F85&lt;=30000,10,IF($F85&lt;=50000,50,IF($F85&lt;=300000,100,500))))),0))</f>
      </c>
      <c r="O85" s="492" t="str">
        <f>IF(OR($B85="",$F85="",$H85=""),"",IF($S85="✅売却済","―決済済―",IF($C85="売",IF($H85&lt;=$M85,"🟢利確",IF(AND($R85&lt;&gt;"",$H85&gt;=$R85),"🟠TRAIL",IF($H85&gt;=$N85,"🔴損切",IF($W85&gt;=V811設定!$B$6,"⏱時間決済",IF($H85&gt;=$F85*(1+V811設定!$B$3*0.7),"⚠️損切接近","保持継続"))))),IF($H85&gt;=$M85,"🟢利確",IF(AND($R85&lt;&gt;"",$H85&lt;=$R85),"🟠TRAIL",IF($H85&lt;=$N85,"🔴損切",IF($W85&gt;=V811設定!$B$6,"⏱時間決済",IF($H85&lt;=$F85*(1-V811設定!$B$3*0.7),"⚠️損切接近","保持継続"))))))))</f>
      </c>
      <c r="P85" s="491"/>
      <c r="Q85" s="491"/>
      <c r="R85" s="491" t="str">
        <f>IF(OR($F85="",$H85="",$N85=""),"",IF($S85="✅売却済","",IF($C85="売",IF($H85&gt;$F85*(1-V811設定!$B$3),$N85,MIN($N85,IF($Q85="",$N85,$Q85*1.03))),IF($H85&lt;$F85*(1+V811設定!$B$3),$N85,MAX($N85,IF($P85="",$N85,$P85*0.97))))))</f>
      </c>
      <c r="S85" s="586" t="str">
        <f>IF(B85="","",IF(T85&lt;&gt;"","✅売却済",IF(OR(H85="",L85=""),"📌保有中",IF(L85&gt;=0.06,"🟢利確推奨",IF(L85&gt;=0.05,"🟡利確直近",IF(L85&gt;=0.045,"🔵トレーリング検討",IF(L85&gt;-0.03,"📌保有中",IF(L85&gt;-0.04,"⚠️損切注意","🔴損切り"))))))))</f>
        <v/>
      </c>
      <c r="T85" s="594"/>
      <c r="U85" s="491"/>
      <c r="V85" s="701" t="str">
        <f>IF(OR(F85="",G85="",U85=""),"",IF(C85="売",(F85-U85)*G85,(U85-F85)*G85))</f>
        <v/>
      </c>
      <c r="W85" s="493" t="str">
        <f>IF(OR($E85="",$B85=""),"",IF($T85&lt;&gt;"",$T85-$E85,TODAY()-$E85)+1)</f>
        <v/>
      </c>
      <c r="X85" s="489" t="str">
        <f>IF(OR($AH85="",$AH85="保有中"),"",$AH85)</f>
        <v/>
      </c>
      <c r="Y85" s="488"/>
      <c r="Z85" s="710"/>
      <c r="AD85" s="608"/>
      <c r="AE85" s="624" t="str">
        <f>IF($E85="","",WORKDAY($E85,12))</f>
        <v/>
      </c>
      <c r="AF85" s="626" t="str" cm="1">
        <f t="array" aca="1" ref="AF85" ca="1">IF(OR($B85="",$M85=""),"",IFERROR(IF($C85="売",_xlfn.MINIFS(安値!$E$3:$IT$3,安値!$E$3:$IT$3,"&gt;"&amp;$E85,安値!$E$3:$IT$3,"&lt;="&amp;$AE85,OFFSET(安値!$E$6:$IT$6,MATCH(TEXT($B85,"0"),TEXT(銘柄管理!$B$6:$B$305,"0"),0)-1,0),"&lt;="&amp;$M85),_xlfn.MINIFS(高値!$E$3:$IT$3,高値!$E$3:$IT$3,"&gt;"&amp;$E85,高値!$E$3:$IT$3,"&lt;="&amp;$AE85,OFFSET(高値!$E$6:$IT$6,MATCH(TEXT($B85,"0"),TEXT(銘柄管理!$B$6:$B$305,"0"),0)-1,0),"&gt;="&amp;$M85)),""))</f>
        <v/>
      </c>
      <c r="AG85" s="626" t="str" cm="1">
        <f t="array" aca="1" ref="AG85" ca="1">IF(OR($B85="",$N85=""),"",IFERROR(IF($C85="売",_xlfn.MINIFS(高値!$E$3:$IT$3,高値!$E$3:$IT$3,"&gt;"&amp;$E85,高値!$E$3:$IT$3,"&lt;="&amp;$AE85,OFFSET(高値!$E$6:$IT$6,MATCH(TEXT($B85,"0"),TEXT(銘柄管理!$B$6:$B$305,"0"),0)-1,0),"&gt;="&amp;$N85),_xlfn.MINIFS(安値!$E$3:$IT$3,安値!$E$3:$IT$3,"&gt;"&amp;$E85,安値!$E$3:$IT$3,"&lt;="&amp;$AE85,OFFSET(安値!$E$6:$IT$6,MATCH(TEXT($B85,"0"),TEXT(銘柄管理!$B$6:$B$305,"0"),0)-1,0),"&lt;="&amp;$N85)),""))</f>
        <v/>
      </c>
      <c r="AH85" s="600" t="str">
        <f>IF(OR($B85="",$M85=""),"",IF(AND(N($AF85)=0,N($AG85)=0),IF(AND(ISNUMBER($H85),$H85&gt;0,IF($C85="売",$H85&gt;=$N85,$H85&lt;=$N85)),"損切確定",IF(AND(ISNUMBER($H85),$H85&gt;0,IF($C85="売",$H85&lt;=$M85,$H85&gt;=$M85)),"利益確定",IF($AE85&lt;=TODAY(),"日数制限","保有中"))),IF(N($AG85)=0,"利益確定",IF(N($AF85)=0,"損切確定",IF($AG85&lt;=$AF85,"損切確定","利益確定")))))</f>
        <v/>
      </c>
      <c r="AI85" s="600" t="str" cm="1">
        <f t="array" ref="AI85">IFERROR(INDEX(始値!$E$6:$IT$305,MATCH(TEXT($B85,"0"),TEXT(銘柄管理!$B$6:$B$305,"0"),0),MATCH($AE85,始値!$E$3:$IT$3,0)),"")</f>
        <v/>
      </c>
      <c r="AJ85" s="905" t="str">
        <f>IF(OR($V85="",$F85="",$G85=""),"",$V85/($F85*$G85))</f>
        <v/>
      </c>
      <c r="AK85" s="629" t="str">
        <f>IF($V85="","",IF($V85&gt;0,"○勝",IF($V85&lt;0,"●負","△引分")))</f>
        <v/>
      </c>
    </row>
    <row r="86" spans="1:37" ht="35.4" customHeight="1">
      <c r="A86" s="619" t="str">
        <f>IF(B86="","",HYPERLINK("https://kabutan.jp/stock/?code="&amp;B86,"株探"))</f>
        <v/>
      </c>
      <c r="B86" s="630"/>
      <c r="C86" s="490"/>
      <c r="D86" s="623" t="str" cm="1">
        <f t="array" ref="D86">IF($B86="","",_xll.RssMarket($B86,"銘柄名称"))</f>
        <v/>
      </c>
      <c r="E86" s="716"/>
      <c r="F86" s="698" t="str" cm="1">
        <f t="array" aca="1" ref="F86" ca="1">IFERROR(_xlfn.LET(_xlpm.r,MATCH(TEXT($B86,"0"),TEXT(銘柄管理!$B$6:$B$305,"0"),0),_xlpm.t,MOD(NOW(),1),_xlpm.c,IF($E86=TODAY(),IF(_xlpm.t&gt;=TIME(15,30,0),NA(),1),IF(MATCH($E86,始値!$E$3:$IT$3,0)=1,1,MATCH($E86,始値!$E$3:$IT$3,0)+1)),_xlpm.v,INDEX(始値!$C$6:$IT$305,_xlpm.r,_xlpm.c),IF(N(_xlpm.v)=0,"",_xlpm.v)),"")</f>
        <v/>
      </c>
      <c r="G86" s="631"/>
      <c r="H86" s="491" t="str" cm="1">
        <f t="array" ref="H86">IF($B86="","",_xll.RssMarket($B86,"現在値"))</f>
        <v/>
      </c>
      <c r="I86" s="491" t="str" cm="1">
        <f t="array" ref="I86">IF($B86="","",_xll.RssMarket($B86,"出来高加重平均"))</f>
        <v/>
      </c>
      <c r="J86" s="701" t="str" cm="1">
        <f t="array" ref="J86">IF($B86="","",_xll.RssMarket($B86,"前日比"))</f>
        <v/>
      </c>
      <c r="K86" s="701" t="str">
        <f>IF(OR(F86="",G86="",H86=""),"",IF(C86="売",(F86-H86)*G86,(H86-F86)*G86))</f>
        <v/>
      </c>
      <c r="L86" s="706" t="str">
        <f>IF(OR(F86="",H86=""),"",IF(C86="売",(F86-H86)/F86,(H86-F86)/F86))</f>
        <v/>
      </c>
      <c r="M86" s="491" t="str">
        <f>IF($F86="","",$F86*IF($C86="売",1-V811設定!$B$4,1+V811設定!$B$4)-MOD($F86*IF($C86="売",1-V811設定!$B$4,1+V811設定!$B$4),IF($F86&lt;=3000,1,IF($F86&lt;=5000,5,IF($F86&lt;=30000,10,IF($F86&lt;=50000,50,IF($F86&lt;=300000,100,500))))))+IF(AND($C86="売",MOD($F86*IF($C86="売",1-V811設定!$B$4,1+V811設定!$B$4),IF($F86&lt;=3000,1,IF($F86&lt;=5000,5,IF($F86&lt;=30000,10,IF($F86&lt;=50000,50,IF($F86&lt;=300000,100,500))))))&gt;0),IF($F86&lt;=3000,1,IF($F86&lt;=5000,5,IF($F86&lt;=30000,10,IF($F86&lt;=50000,50,IF($F86&lt;=300000,100,500))))),0))</f>
      </c>
      <c r="N86" s="491" t="str">
        <f>IF($F86="","",$F86*IF($C86="売",1+V811設定!$B$3,1-V811設定!$B$3)-MOD($F86*IF($C86="売",1+V811設定!$B$3,1-V811設定!$B$3),IF($F86&lt;=3000,1,IF($F86&lt;=5000,5,IF($F86&lt;=30000,10,IF($F86&lt;=50000,50,IF($F86&lt;=300000,100,500))))))+IF(AND($C86="売",MOD($F86*IF($C86="売",1+V811設定!$B$3,1-V811設定!$B$3),IF($F86&lt;=3000,1,IF($F86&lt;=5000,5,IF($F86&lt;=30000,10,IF($F86&lt;=50000,50,IF($F86&lt;=300000,100,500))))))&gt;0),IF($F86&lt;=3000,1,IF($F86&lt;=5000,5,IF($F86&lt;=30000,10,IF($F86&lt;=50000,50,IF($F86&lt;=300000,100,500))))),0))</f>
      </c>
      <c r="O86" s="492" t="str">
        <f>IF(OR($B86="",$F86="",$H86=""),"",IF($S86="✅売却済","―決済済―",IF($C86="売",IF($H86&lt;=$M86,"🟢利確",IF(AND($R86&lt;&gt;"",$H86&gt;=$R86),"🟠TRAIL",IF($H86&gt;=$N86,"🔴損切",IF($W86&gt;=V811設定!$B$6,"⏱時間決済",IF($H86&gt;=$F86*(1+V811設定!$B$3*0.7),"⚠️損切接近","保持継続"))))),IF($H86&gt;=$M86,"🟢利確",IF(AND($R86&lt;&gt;"",$H86&lt;=$R86),"🟠TRAIL",IF($H86&lt;=$N86,"🔴損切",IF($W86&gt;=V811設定!$B$6,"⏱時間決済",IF($H86&lt;=$F86*(1-V811設定!$B$3*0.7),"⚠️損切接近","保持継続"))))))))</f>
      </c>
      <c r="P86" s="491"/>
      <c r="Q86" s="491"/>
      <c r="R86" s="491" t="str">
        <f>IF(OR($F86="",$H86="",$N86=""),"",IF($S86="✅売却済","",IF($C86="売",IF($H86&gt;$F86*(1-V811設定!$B$3),$N86,MIN($N86,IF($Q86="",$N86,$Q86*1.03))),IF($H86&lt;$F86*(1+V811設定!$B$3),$N86,MAX($N86,IF($P86="",$N86,$P86*0.97))))))</f>
      </c>
      <c r="S86" s="586" t="str">
        <f>IF(B86="","",IF(T86&lt;&gt;"","✅売却済",IF(OR(H86="",L86=""),"📌保有中",IF(L86&gt;=0.06,"🟢利確推奨",IF(L86&gt;=0.05,"🟡利確直近",IF(L86&gt;=0.045,"🔵トレーリング検討",IF(L86&gt;-0.03,"📌保有中",IF(L86&gt;-0.04,"⚠️損切注意","🔴損切り"))))))))</f>
        <v/>
      </c>
      <c r="T86" s="594"/>
      <c r="U86" s="491"/>
      <c r="V86" s="701" t="str">
        <f>IF(OR(F86="",G86="",U86=""),"",IF(C86="売",(F86-U86)*G86,(U86-F86)*G86))</f>
        <v/>
      </c>
      <c r="W86" s="493" t="str">
        <f>IF(OR($E86="",$B86=""),"",IF($T86&lt;&gt;"",$T86-$E86,TODAY()-$E86)+1)</f>
        <v/>
      </c>
      <c r="X86" s="489" t="str">
        <f>IF(OR($AH86="",$AH86="保有中"),"",$AH86)</f>
        <v/>
      </c>
      <c r="Y86" s="488"/>
      <c r="Z86" s="710"/>
      <c r="AD86" s="608"/>
      <c r="AE86" s="624" t="str">
        <f>IF($E86="","",WORKDAY($E86,12))</f>
        <v/>
      </c>
      <c r="AF86" s="626" t="str" cm="1">
        <f t="array" aca="1" ref="AF86" ca="1">IF(OR($B86="",$M86=""),"",IFERROR(IF($C86="売",_xlfn.MINIFS(安値!$E$3:$IT$3,安値!$E$3:$IT$3,"&gt;"&amp;$E86,安値!$E$3:$IT$3,"&lt;="&amp;$AE86,OFFSET(安値!$E$6:$IT$6,MATCH(TEXT($B86,"0"),TEXT(銘柄管理!$B$6:$B$305,"0"),0)-1,0),"&lt;="&amp;$M86),_xlfn.MINIFS(高値!$E$3:$IT$3,高値!$E$3:$IT$3,"&gt;"&amp;$E86,高値!$E$3:$IT$3,"&lt;="&amp;$AE86,OFFSET(高値!$E$6:$IT$6,MATCH(TEXT($B86,"0"),TEXT(銘柄管理!$B$6:$B$305,"0"),0)-1,0),"&gt;="&amp;$M86)),""))</f>
        <v/>
      </c>
      <c r="AG86" s="626" t="str" cm="1">
        <f t="array" aca="1" ref="AG86" ca="1">IF(OR($B86="",$N86=""),"",IFERROR(IF($C86="売",_xlfn.MINIFS(高値!$E$3:$IT$3,高値!$E$3:$IT$3,"&gt;"&amp;$E86,高値!$E$3:$IT$3,"&lt;="&amp;$AE86,OFFSET(高値!$E$6:$IT$6,MATCH(TEXT($B86,"0"),TEXT(銘柄管理!$B$6:$B$305,"0"),0)-1,0),"&gt;="&amp;$N86),_xlfn.MINIFS(安値!$E$3:$IT$3,安値!$E$3:$IT$3,"&gt;"&amp;$E86,安値!$E$3:$IT$3,"&lt;="&amp;$AE86,OFFSET(安値!$E$6:$IT$6,MATCH(TEXT($B86,"0"),TEXT(銘柄管理!$B$6:$B$305,"0"),0)-1,0),"&lt;="&amp;$N86)),""))</f>
        <v/>
      </c>
      <c r="AH86" s="600" t="str">
        <f>IF(OR($B86="",$M86=""),"",IF(AND(N($AF86)=0,N($AG86)=0),IF(AND(ISNUMBER($H86),$H86&gt;0,IF($C86="売",$H86&gt;=$N86,$H86&lt;=$N86)),"損切確定",IF(AND(ISNUMBER($H86),$H86&gt;0,IF($C86="売",$H86&lt;=$M86,$H86&gt;=$M86)),"利益確定",IF($AE86&lt;=TODAY(),"日数制限","保有中"))),IF(N($AG86)=0,"利益確定",IF(N($AF86)=0,"損切確定",IF($AG86&lt;=$AF86,"損切確定","利益確定")))))</f>
        <v/>
      </c>
      <c r="AI86" s="600" t="str" cm="1">
        <f t="array" ref="AI86">IFERROR(INDEX(始値!$E$6:$IT$305,MATCH(TEXT($B86,"0"),TEXT(銘柄管理!$B$6:$B$305,"0"),0),MATCH($AE86,始値!$E$3:$IT$3,0)),"")</f>
        <v/>
      </c>
      <c r="AJ86" s="905" t="str">
        <f>IF(OR($V86="",$F86="",$G86=""),"",$V86/($F86*$G86))</f>
        <v/>
      </c>
      <c r="AK86" s="629" t="str">
        <f>IF($V86="","",IF($V86&gt;0,"○勝",IF($V86&lt;0,"●負","△引分")))</f>
        <v/>
      </c>
    </row>
    <row r="87" spans="1:37" ht="35.4" customHeight="1">
      <c r="A87" s="619" t="str">
        <f>IF(B87="","",HYPERLINK("https://kabutan.jp/stock/?code="&amp;B87,"株探"))</f>
        <v/>
      </c>
      <c r="B87" s="630"/>
      <c r="C87" s="490"/>
      <c r="D87" s="623" t="str" cm="1">
        <f t="array" ref="D87">IF($B87="","",_xll.RssMarket($B87,"銘柄名称"))</f>
        <v/>
      </c>
      <c r="E87" s="716"/>
      <c r="F87" s="698" t="str" cm="1">
        <f t="array" aca="1" ref="F87" ca="1">IFERROR(_xlfn.LET(_xlpm.r,MATCH(TEXT($B87,"0"),TEXT(銘柄管理!$B$6:$B$305,"0"),0),_xlpm.t,MOD(NOW(),1),_xlpm.c,IF($E87=TODAY(),IF(_xlpm.t&gt;=TIME(15,30,0),NA(),1),IF(MATCH($E87,始値!$E$3:$IT$3,0)=1,1,MATCH($E87,始値!$E$3:$IT$3,0)+1)),_xlpm.v,INDEX(始値!$C$6:$IT$305,_xlpm.r,_xlpm.c),IF(N(_xlpm.v)=0,"",_xlpm.v)),"")</f>
        <v/>
      </c>
      <c r="G87" s="631"/>
      <c r="H87" s="491" t="str" cm="1">
        <f t="array" ref="H87">IF($B87="","",_xll.RssMarket($B87,"現在値"))</f>
        <v/>
      </c>
      <c r="I87" s="491" t="str" cm="1">
        <f t="array" ref="I87">IF($B87="","",_xll.RssMarket($B87,"出来高加重平均"))</f>
        <v/>
      </c>
      <c r="J87" s="701" t="str" cm="1">
        <f t="array" ref="J87">IF($B87="","",_xll.RssMarket($B87,"前日比"))</f>
        <v/>
      </c>
      <c r="K87" s="701" t="str">
        <f>IF(OR(F87="",G87="",H87=""),"",IF(C87="売",(F87-H87)*G87,(H87-F87)*G87))</f>
        <v/>
      </c>
      <c r="L87" s="706" t="str">
        <f>IF(OR(F87="",H87=""),"",IF(C87="売",(F87-H87)/F87,(H87-F87)/F87))</f>
        <v/>
      </c>
      <c r="M87" s="491" t="str">
        <f>IF($F87="","",$F87*IF($C87="売",1-V811設定!$B$4,1+V811設定!$B$4)-MOD($F87*IF($C87="売",1-V811設定!$B$4,1+V811設定!$B$4),IF($F87&lt;=3000,1,IF($F87&lt;=5000,5,IF($F87&lt;=30000,10,IF($F87&lt;=50000,50,IF($F87&lt;=300000,100,500))))))+IF(AND($C87="売",MOD($F87*IF($C87="売",1-V811設定!$B$4,1+V811設定!$B$4),IF($F87&lt;=3000,1,IF($F87&lt;=5000,5,IF($F87&lt;=30000,10,IF($F87&lt;=50000,50,IF($F87&lt;=300000,100,500))))))&gt;0),IF($F87&lt;=3000,1,IF($F87&lt;=5000,5,IF($F87&lt;=30000,10,IF($F87&lt;=50000,50,IF($F87&lt;=300000,100,500))))),0))</f>
      </c>
      <c r="N87" s="491" t="str">
        <f>IF($F87="","",$F87*IF($C87="売",1+V811設定!$B$3,1-V811設定!$B$3)-MOD($F87*IF($C87="売",1+V811設定!$B$3,1-V811設定!$B$3),IF($F87&lt;=3000,1,IF($F87&lt;=5000,5,IF($F87&lt;=30000,10,IF($F87&lt;=50000,50,IF($F87&lt;=300000,100,500))))))+IF(AND($C87="売",MOD($F87*IF($C87="売",1+V811設定!$B$3,1-V811設定!$B$3),IF($F87&lt;=3000,1,IF($F87&lt;=5000,5,IF($F87&lt;=30000,10,IF($F87&lt;=50000,50,IF($F87&lt;=300000,100,500))))))&gt;0),IF($F87&lt;=3000,1,IF($F87&lt;=5000,5,IF($F87&lt;=30000,10,IF($F87&lt;=50000,50,IF($F87&lt;=300000,100,500))))),0))</f>
      </c>
      <c r="O87" s="492" t="str">
        <f>IF(OR($B87="",$F87="",$H87=""),"",IF($S87="✅売却済","―決済済―",IF($C87="売",IF($H87&lt;=$M87,"🟢利確",IF(AND($R87&lt;&gt;"",$H87&gt;=$R87),"🟠TRAIL",IF($H87&gt;=$N87,"🔴損切",IF($W87&gt;=V811設定!$B$6,"⏱時間決済",IF($H87&gt;=$F87*(1+V811設定!$B$3*0.7),"⚠️損切接近","保持継続"))))),IF($H87&gt;=$M87,"🟢利確",IF(AND($R87&lt;&gt;"",$H87&lt;=$R87),"🟠TRAIL",IF($H87&lt;=$N87,"🔴損切",IF($W87&gt;=V811設定!$B$6,"⏱時間決済",IF($H87&lt;=$F87*(1-V811設定!$B$3*0.7),"⚠️損切接近","保持継続"))))))))</f>
      </c>
      <c r="P87" s="491"/>
      <c r="Q87" s="491"/>
      <c r="R87" s="491" t="str">
        <f>IF(OR($F87="",$H87="",$N87=""),"",IF($S87="✅売却済","",IF($C87="売",IF($H87&gt;$F87*(1-V811設定!$B$3),$N87,MIN($N87,IF($Q87="",$N87,$Q87*1.03))),IF($H87&lt;$F87*(1+V811設定!$B$3),$N87,MAX($N87,IF($P87="",$N87,$P87*0.97))))))</f>
      </c>
      <c r="S87" s="586" t="str">
        <f>IF(B87="","",IF(T87&lt;&gt;"","✅売却済",IF(OR(H87="",L87=""),"📌保有中",IF(L87&gt;=0.06,"🟢利確推奨",IF(L87&gt;=0.05,"🟡利確直近",IF(L87&gt;=0.045,"🔵トレーリング検討",IF(L87&gt;-0.03,"📌保有中",IF(L87&gt;-0.04,"⚠️損切注意","🔴損切り"))))))))</f>
        <v/>
      </c>
      <c r="T87" s="594"/>
      <c r="U87" s="491"/>
      <c r="V87" s="701" t="str">
        <f>IF(OR(F87="",G87="",U87=""),"",IF(C87="売",(F87-U87)*G87,(U87-F87)*G87))</f>
        <v/>
      </c>
      <c r="W87" s="493" t="str">
        <f>IF(OR($E87="",$B87=""),"",IF($T87&lt;&gt;"",$T87-$E87,TODAY()-$E87)+1)</f>
        <v/>
      </c>
      <c r="X87" s="489" t="str">
        <f>IF(OR($AH87="",$AH87="保有中"),"",$AH87)</f>
        <v/>
      </c>
      <c r="Y87" s="488"/>
      <c r="Z87" s="710"/>
      <c r="AD87" s="608"/>
      <c r="AE87" s="624" t="str">
        <f>IF($E87="","",WORKDAY($E87,12))</f>
        <v/>
      </c>
      <c r="AF87" s="626" t="str" cm="1">
        <f t="array" aca="1" ref="AF87" ca="1">IF(OR($B87="",$M87=""),"",IFERROR(IF($C87="売",_xlfn.MINIFS(安値!$E$3:$IT$3,安値!$E$3:$IT$3,"&gt;"&amp;$E87,安値!$E$3:$IT$3,"&lt;="&amp;$AE87,OFFSET(安値!$E$6:$IT$6,MATCH(TEXT($B87,"0"),TEXT(銘柄管理!$B$6:$B$305,"0"),0)-1,0),"&lt;="&amp;$M87),_xlfn.MINIFS(高値!$E$3:$IT$3,高値!$E$3:$IT$3,"&gt;"&amp;$E87,高値!$E$3:$IT$3,"&lt;="&amp;$AE87,OFFSET(高値!$E$6:$IT$6,MATCH(TEXT($B87,"0"),TEXT(銘柄管理!$B$6:$B$305,"0"),0)-1,0),"&gt;="&amp;$M87)),""))</f>
        <v/>
      </c>
      <c r="AG87" s="626" t="str" cm="1">
        <f t="array" aca="1" ref="AG87" ca="1">IF(OR($B87="",$N87=""),"",IFERROR(IF($C87="売",_xlfn.MINIFS(高値!$E$3:$IT$3,高値!$E$3:$IT$3,"&gt;"&amp;$E87,高値!$E$3:$IT$3,"&lt;="&amp;$AE87,OFFSET(高値!$E$6:$IT$6,MATCH(TEXT($B87,"0"),TEXT(銘柄管理!$B$6:$B$305,"0"),0)-1,0),"&gt;="&amp;$N87),_xlfn.MINIFS(安値!$E$3:$IT$3,安値!$E$3:$IT$3,"&gt;"&amp;$E87,安値!$E$3:$IT$3,"&lt;="&amp;$AE87,OFFSET(安値!$E$6:$IT$6,MATCH(TEXT($B87,"0"),TEXT(銘柄管理!$B$6:$B$305,"0"),0)-1,0),"&lt;="&amp;$N87)),""))</f>
        <v/>
      </c>
      <c r="AH87" s="600" t="str">
        <f>IF(OR($B87="",$M87=""),"",IF(AND(N($AF87)=0,N($AG87)=0),IF(AND(ISNUMBER($H87),$H87&gt;0,IF($C87="売",$H87&gt;=$N87,$H87&lt;=$N87)),"損切確定",IF(AND(ISNUMBER($H87),$H87&gt;0,IF($C87="売",$H87&lt;=$M87,$H87&gt;=$M87)),"利益確定",IF($AE87&lt;=TODAY(),"日数制限","保有中"))),IF(N($AG87)=0,"利益確定",IF(N($AF87)=0,"損切確定",IF($AG87&lt;=$AF87,"損切確定","利益確定")))))</f>
        <v/>
      </c>
      <c r="AI87" s="600" t="str" cm="1">
        <f t="array" ref="AI87">IFERROR(INDEX(始値!$E$6:$IT$305,MATCH(TEXT($B87,"0"),TEXT(銘柄管理!$B$6:$B$305,"0"),0),MATCH($AE87,始値!$E$3:$IT$3,0)),"")</f>
        <v/>
      </c>
      <c r="AJ87" s="905" t="str">
        <f>IF(OR($V87="",$F87="",$G87=""),"",$V87/($F87*$G87))</f>
        <v/>
      </c>
      <c r="AK87" s="629" t="str">
        <f>IF($V87="","",IF($V87&gt;0,"○勝",IF($V87&lt;0,"●負","△引分")))</f>
        <v/>
      </c>
    </row>
    <row r="88" spans="1:37" ht="35.4" customHeight="1">
      <c r="A88" s="619" t="str">
        <f>IF(B88="","",HYPERLINK("https://kabutan.jp/stock/?code="&amp;B88,"株探"))</f>
        <v/>
      </c>
      <c r="B88" s="630"/>
      <c r="C88" s="490"/>
      <c r="D88" s="623" t="str" cm="1">
        <f t="array" ref="D88">IF($B88="","",_xll.RssMarket($B88,"銘柄名称"))</f>
        <v/>
      </c>
      <c r="E88" s="716"/>
      <c r="F88" s="698" t="str" cm="1">
        <f t="array" aca="1" ref="F88" ca="1">IFERROR(_xlfn.LET(_xlpm.r,MATCH(TEXT($B88,"0"),TEXT(銘柄管理!$B$6:$B$305,"0"),0),_xlpm.t,MOD(NOW(),1),_xlpm.c,IF($E88=TODAY(),IF(_xlpm.t&gt;=TIME(15,30,0),NA(),1),IF(MATCH($E88,始値!$E$3:$IT$3,0)=1,1,MATCH($E88,始値!$E$3:$IT$3,0)+1)),_xlpm.v,INDEX(始値!$C$6:$IT$305,_xlpm.r,_xlpm.c),IF(N(_xlpm.v)=0,"",_xlpm.v)),"")</f>
        <v/>
      </c>
      <c r="G88" s="631"/>
      <c r="H88" s="491" t="str" cm="1">
        <f t="array" ref="H88">IF($B88="","",_xll.RssMarket($B88,"現在値"))</f>
        <v/>
      </c>
      <c r="I88" s="491" t="str" cm="1">
        <f t="array" ref="I88">IF($B88="","",_xll.RssMarket($B88,"出来高加重平均"))</f>
        <v/>
      </c>
      <c r="J88" s="701" t="str" cm="1">
        <f t="array" ref="J88">IF($B88="","",_xll.RssMarket($B88,"前日比"))</f>
        <v/>
      </c>
      <c r="K88" s="701" t="str">
        <f>IF(OR(F88="",G88="",H88=""),"",IF(C88="売",(F88-H88)*G88,(H88-F88)*G88))</f>
        <v/>
      </c>
      <c r="L88" s="706" t="str">
        <f>IF(OR(F88="",H88=""),"",IF(C88="売",(F88-H88)/F88,(H88-F88)/F88))</f>
        <v/>
      </c>
      <c r="M88" s="491" t="str">
        <f>IF($F88="","",$F88*IF($C88="売",1-V811設定!$B$4,1+V811設定!$B$4)-MOD($F88*IF($C88="売",1-V811設定!$B$4,1+V811設定!$B$4),IF($F88&lt;=3000,1,IF($F88&lt;=5000,5,IF($F88&lt;=30000,10,IF($F88&lt;=50000,50,IF($F88&lt;=300000,100,500))))))+IF(AND($C88="売",MOD($F88*IF($C88="売",1-V811設定!$B$4,1+V811設定!$B$4),IF($F88&lt;=3000,1,IF($F88&lt;=5000,5,IF($F88&lt;=30000,10,IF($F88&lt;=50000,50,IF($F88&lt;=300000,100,500))))))&gt;0),IF($F88&lt;=3000,1,IF($F88&lt;=5000,5,IF($F88&lt;=30000,10,IF($F88&lt;=50000,50,IF($F88&lt;=300000,100,500))))),0))</f>
      </c>
      <c r="N88" s="491" t="str">
        <f>IF($F88="","",$F88*IF($C88="売",1+V811設定!$B$3,1-V811設定!$B$3)-MOD($F88*IF($C88="売",1+V811設定!$B$3,1-V811設定!$B$3),IF($F88&lt;=3000,1,IF($F88&lt;=5000,5,IF($F88&lt;=30000,10,IF($F88&lt;=50000,50,IF($F88&lt;=300000,100,500))))))+IF(AND($C88="売",MOD($F88*IF($C88="売",1+V811設定!$B$3,1-V811設定!$B$3),IF($F88&lt;=3000,1,IF($F88&lt;=5000,5,IF($F88&lt;=30000,10,IF($F88&lt;=50000,50,IF($F88&lt;=300000,100,500))))))&gt;0),IF($F88&lt;=3000,1,IF($F88&lt;=5000,5,IF($F88&lt;=30000,10,IF($F88&lt;=50000,50,IF($F88&lt;=300000,100,500))))),0))</f>
      </c>
      <c r="O88" s="492" t="str">
        <f>IF(OR($B88="",$F88="",$H88=""),"",IF($S88="✅売却済","―決済済―",IF($C88="売",IF($H88&lt;=$M88,"🟢利確",IF(AND($R88&lt;&gt;"",$H88&gt;=$R88),"🟠TRAIL",IF($H88&gt;=$N88,"🔴損切",IF($W88&gt;=V811設定!$B$6,"⏱時間決済",IF($H88&gt;=$F88*(1+V811設定!$B$3*0.7),"⚠️損切接近","保持継続"))))),IF($H88&gt;=$M88,"🟢利確",IF(AND($R88&lt;&gt;"",$H88&lt;=$R88),"🟠TRAIL",IF($H88&lt;=$N88,"🔴損切",IF($W88&gt;=V811設定!$B$6,"⏱時間決済",IF($H88&lt;=$F88*(1-V811設定!$B$3*0.7),"⚠️損切接近","保持継続"))))))))</f>
      </c>
      <c r="P88" s="491"/>
      <c r="Q88" s="491"/>
      <c r="R88" s="491" t="str">
        <f>IF(OR($F88="",$H88="",$N88=""),"",IF($S88="✅売却済","",IF($C88="売",IF($H88&gt;$F88*(1-V811設定!$B$3),$N88,MIN($N88,IF($Q88="",$N88,$Q88*1.03))),IF($H88&lt;$F88*(1+V811設定!$B$3),$N88,MAX($N88,IF($P88="",$N88,$P88*0.97))))))</f>
      </c>
      <c r="S88" s="586" t="str">
        <f>IF(B88="","",IF(T88&lt;&gt;"","✅売却済",IF(OR(H88="",L88=""),"📌保有中",IF(L88&gt;=0.06,"🟢利確推奨",IF(L88&gt;=0.05,"🟡利確直近",IF(L88&gt;=0.045,"🔵トレーリング検討",IF(L88&gt;-0.03,"📌保有中",IF(L88&gt;-0.04,"⚠️損切注意","🔴損切り"))))))))</f>
        <v/>
      </c>
      <c r="T88" s="594"/>
      <c r="U88" s="491"/>
      <c r="V88" s="701" t="str">
        <f>IF(OR(F88="",G88="",U88=""),"",IF(C88="売",(F88-U88)*G88,(U88-F88)*G88))</f>
        <v/>
      </c>
      <c r="W88" s="493" t="str">
        <f>IF(OR($E88="",$B88=""),"",IF($T88&lt;&gt;"",$T88-$E88,TODAY()-$E88)+1)</f>
        <v/>
      </c>
      <c r="X88" s="489" t="str">
        <f>IF(OR($AH88="",$AH88="保有中"),"",$AH88)</f>
        <v/>
      </c>
      <c r="Y88" s="488"/>
      <c r="Z88" s="710"/>
      <c r="AD88" s="608"/>
      <c r="AE88" s="624" t="str">
        <f>IF($E88="","",WORKDAY($E88,12))</f>
        <v/>
      </c>
      <c r="AF88" s="626" t="str" cm="1">
        <f t="array" aca="1" ref="AF88" ca="1">IF(OR($B88="",$M88=""),"",IFERROR(IF($C88="売",_xlfn.MINIFS(安値!$E$3:$IT$3,安値!$E$3:$IT$3,"&gt;"&amp;$E88,安値!$E$3:$IT$3,"&lt;="&amp;$AE88,OFFSET(安値!$E$6:$IT$6,MATCH(TEXT($B88,"0"),TEXT(銘柄管理!$B$6:$B$305,"0"),0)-1,0),"&lt;="&amp;$M88),_xlfn.MINIFS(高値!$E$3:$IT$3,高値!$E$3:$IT$3,"&gt;"&amp;$E88,高値!$E$3:$IT$3,"&lt;="&amp;$AE88,OFFSET(高値!$E$6:$IT$6,MATCH(TEXT($B88,"0"),TEXT(銘柄管理!$B$6:$B$305,"0"),0)-1,0),"&gt;="&amp;$M88)),""))</f>
        <v/>
      </c>
      <c r="AG88" s="626" t="str" cm="1">
        <f t="array" aca="1" ref="AG88" ca="1">IF(OR($B88="",$N88=""),"",IFERROR(IF($C88="売",_xlfn.MINIFS(高値!$E$3:$IT$3,高値!$E$3:$IT$3,"&gt;"&amp;$E88,高値!$E$3:$IT$3,"&lt;="&amp;$AE88,OFFSET(高値!$E$6:$IT$6,MATCH(TEXT($B88,"0"),TEXT(銘柄管理!$B$6:$B$305,"0"),0)-1,0),"&gt;="&amp;$N88),_xlfn.MINIFS(安値!$E$3:$IT$3,安値!$E$3:$IT$3,"&gt;"&amp;$E88,安値!$E$3:$IT$3,"&lt;="&amp;$AE88,OFFSET(安値!$E$6:$IT$6,MATCH(TEXT($B88,"0"),TEXT(銘柄管理!$B$6:$B$305,"0"),0)-1,0),"&lt;="&amp;$N88)),""))</f>
        <v/>
      </c>
      <c r="AH88" s="600" t="str">
        <f>IF(OR($B88="",$M88=""),"",IF(AND(N($AF88)=0,N($AG88)=0),IF(AND(ISNUMBER($H88),$H88&gt;0,IF($C88="売",$H88&gt;=$N88,$H88&lt;=$N88)),"損切確定",IF(AND(ISNUMBER($H88),$H88&gt;0,IF($C88="売",$H88&lt;=$M88,$H88&gt;=$M88)),"利益確定",IF($AE88&lt;=TODAY(),"日数制限","保有中"))),IF(N($AG88)=0,"利益確定",IF(N($AF88)=0,"損切確定",IF($AG88&lt;=$AF88,"損切確定","利益確定")))))</f>
        <v/>
      </c>
      <c r="AI88" s="600" t="str" cm="1">
        <f t="array" ref="AI88">IFERROR(INDEX(始値!$E$6:$IT$305,MATCH(TEXT($B88,"0"),TEXT(銘柄管理!$B$6:$B$305,"0"),0),MATCH($AE88,始値!$E$3:$IT$3,0)),"")</f>
        <v/>
      </c>
      <c r="AJ88" s="905" t="str">
        <f>IF(OR($V88="",$F88="",$G88=""),"",$V88/($F88*$G88))</f>
        <v/>
      </c>
      <c r="AK88" s="629" t="str">
        <f>IF($V88="","",IF($V88&gt;0,"○勝",IF($V88&lt;0,"●負","△引分")))</f>
        <v/>
      </c>
    </row>
    <row r="89" spans="1:37" ht="35.4" customHeight="1">
      <c r="A89" s="619" t="str">
        <f>IF(B89="","",HYPERLINK("https://kabutan.jp/stock/?code="&amp;B89,"株探"))</f>
        <v/>
      </c>
      <c r="B89" s="630"/>
      <c r="C89" s="490"/>
      <c r="D89" s="623" t="str" cm="1">
        <f t="array" ref="D89">IF($B89="","",_xll.RssMarket($B89,"銘柄名称"))</f>
        <v/>
      </c>
      <c r="E89" s="716"/>
      <c r="F89" s="698" t="str" cm="1">
        <f t="array" aca="1" ref="F89" ca="1">IFERROR(_xlfn.LET(_xlpm.r,MATCH(TEXT($B89,"0"),TEXT(銘柄管理!$B$6:$B$305,"0"),0),_xlpm.t,MOD(NOW(),1),_xlpm.c,IF($E89=TODAY(),IF(_xlpm.t&gt;=TIME(15,30,0),NA(),1),IF(MATCH($E89,始値!$E$3:$IT$3,0)=1,1,MATCH($E89,始値!$E$3:$IT$3,0)+1)),_xlpm.v,INDEX(始値!$C$6:$IT$305,_xlpm.r,_xlpm.c),IF(N(_xlpm.v)=0,"",_xlpm.v)),"")</f>
        <v/>
      </c>
      <c r="G89" s="631"/>
      <c r="H89" s="491" t="str" cm="1">
        <f t="array" ref="H89">IF($B89="","",_xll.RssMarket($B89,"現在値"))</f>
        <v/>
      </c>
      <c r="I89" s="491" t="str" cm="1">
        <f t="array" ref="I89">IF($B89="","",_xll.RssMarket($B89,"出来高加重平均"))</f>
        <v/>
      </c>
      <c r="J89" s="701" t="str" cm="1">
        <f t="array" ref="J89">IF($B89="","",_xll.RssMarket($B89,"前日比"))</f>
        <v/>
      </c>
      <c r="K89" s="701" t="str">
        <f>IF(OR(F89="",G89="",H89=""),"",IF(C89="売",(F89-H89)*G89,(H89-F89)*G89))</f>
        <v/>
      </c>
      <c r="L89" s="706" t="str">
        <f>IF(OR(F89="",H89=""),"",IF(C89="売",(F89-H89)/F89,(H89-F89)/F89))</f>
        <v/>
      </c>
      <c r="M89" s="491" t="str">
        <f>IF($F89="","",$F89*IF($C89="売",1-V811設定!$B$4,1+V811設定!$B$4)-MOD($F89*IF($C89="売",1-V811設定!$B$4,1+V811設定!$B$4),IF($F89&lt;=3000,1,IF($F89&lt;=5000,5,IF($F89&lt;=30000,10,IF($F89&lt;=50000,50,IF($F89&lt;=300000,100,500))))))+IF(AND($C89="売",MOD($F89*IF($C89="売",1-V811設定!$B$4,1+V811設定!$B$4),IF($F89&lt;=3000,1,IF($F89&lt;=5000,5,IF($F89&lt;=30000,10,IF($F89&lt;=50000,50,IF($F89&lt;=300000,100,500))))))&gt;0),IF($F89&lt;=3000,1,IF($F89&lt;=5000,5,IF($F89&lt;=30000,10,IF($F89&lt;=50000,50,IF($F89&lt;=300000,100,500))))),0))</f>
      </c>
      <c r="N89" s="491" t="str">
        <f>IF($F89="","",$F89*IF($C89="売",1+V811設定!$B$3,1-V811設定!$B$3)-MOD($F89*IF($C89="売",1+V811設定!$B$3,1-V811設定!$B$3),IF($F89&lt;=3000,1,IF($F89&lt;=5000,5,IF($F89&lt;=30000,10,IF($F89&lt;=50000,50,IF($F89&lt;=300000,100,500))))))+IF(AND($C89="売",MOD($F89*IF($C89="売",1+V811設定!$B$3,1-V811設定!$B$3),IF($F89&lt;=3000,1,IF($F89&lt;=5000,5,IF($F89&lt;=30000,10,IF($F89&lt;=50000,50,IF($F89&lt;=300000,100,500))))))&gt;0),IF($F89&lt;=3000,1,IF($F89&lt;=5000,5,IF($F89&lt;=30000,10,IF($F89&lt;=50000,50,IF($F89&lt;=300000,100,500))))),0))</f>
      </c>
      <c r="O89" s="492" t="str">
        <f>IF(OR($B89="",$F89="",$H89=""),"",IF($S89="✅売却済","―決済済―",IF($C89="売",IF($H89&lt;=$M89,"🟢利確",IF(AND($R89&lt;&gt;"",$H89&gt;=$R89),"🟠TRAIL",IF($H89&gt;=$N89,"🔴損切",IF($W89&gt;=V811設定!$B$6,"⏱時間決済",IF($H89&gt;=$F89*(1+V811設定!$B$3*0.7),"⚠️損切接近","保持継続"))))),IF($H89&gt;=$M89,"🟢利確",IF(AND($R89&lt;&gt;"",$H89&lt;=$R89),"🟠TRAIL",IF($H89&lt;=$N89,"🔴損切",IF($W89&gt;=V811設定!$B$6,"⏱時間決済",IF($H89&lt;=$F89*(1-V811設定!$B$3*0.7),"⚠️損切接近","保持継続"))))))))</f>
      </c>
      <c r="P89" s="491"/>
      <c r="Q89" s="491"/>
      <c r="R89" s="491" t="str">
        <f>IF(OR($F89="",$H89="",$N89=""),"",IF($S89="✅売却済","",IF($C89="売",IF($H89&gt;$F89*(1-V811設定!$B$3),$N89,MIN($N89,IF($Q89="",$N89,$Q89*1.03))),IF($H89&lt;$F89*(1+V811設定!$B$3),$N89,MAX($N89,IF($P89="",$N89,$P89*0.97))))))</f>
      </c>
      <c r="S89" s="586" t="str">
        <f>IF(B89="","",IF(T89&lt;&gt;"","✅売却済",IF(OR(H89="",L89=""),"📌保有中",IF(L89&gt;=0.06,"🟢利確推奨",IF(L89&gt;=0.05,"🟡利確直近",IF(L89&gt;=0.045,"🔵トレーリング検討",IF(L89&gt;-0.03,"📌保有中",IF(L89&gt;-0.04,"⚠️損切注意","🔴損切り"))))))))</f>
        <v/>
      </c>
      <c r="T89" s="594"/>
      <c r="U89" s="491"/>
      <c r="V89" s="701" t="str">
        <f>IF(OR(F89="",G89="",U89=""),"",IF(C89="売",(F89-U89)*G89,(U89-F89)*G89))</f>
        <v/>
      </c>
      <c r="W89" s="493" t="str">
        <f>IF(OR($E89="",$B89=""),"",IF($T89&lt;&gt;"",$T89-$E89,TODAY()-$E89)+1)</f>
        <v/>
      </c>
      <c r="X89" s="489" t="str">
        <f>IF(OR($AH89="",$AH89="保有中"),"",$AH89)</f>
        <v/>
      </c>
      <c r="Y89" s="488"/>
      <c r="Z89" s="710"/>
      <c r="AD89" s="608"/>
      <c r="AE89" s="624" t="str">
        <f>IF($E89="","",WORKDAY($E89,12))</f>
        <v/>
      </c>
      <c r="AF89" s="626" t="str" cm="1">
        <f t="array" aca="1" ref="AF89" ca="1">IF(OR($B89="",$M89=""),"",IFERROR(IF($C89="売",_xlfn.MINIFS(安値!$E$3:$IT$3,安値!$E$3:$IT$3,"&gt;"&amp;$E89,安値!$E$3:$IT$3,"&lt;="&amp;$AE89,OFFSET(安値!$E$6:$IT$6,MATCH(TEXT($B89,"0"),TEXT(銘柄管理!$B$6:$B$305,"0"),0)-1,0),"&lt;="&amp;$M89),_xlfn.MINIFS(高値!$E$3:$IT$3,高値!$E$3:$IT$3,"&gt;"&amp;$E89,高値!$E$3:$IT$3,"&lt;="&amp;$AE89,OFFSET(高値!$E$6:$IT$6,MATCH(TEXT($B89,"0"),TEXT(銘柄管理!$B$6:$B$305,"0"),0)-1,0),"&gt;="&amp;$M89)),""))</f>
        <v/>
      </c>
      <c r="AG89" s="626" t="str" cm="1">
        <f t="array" aca="1" ref="AG89" ca="1">IF(OR($B89="",$N89=""),"",IFERROR(IF($C89="売",_xlfn.MINIFS(高値!$E$3:$IT$3,高値!$E$3:$IT$3,"&gt;"&amp;$E89,高値!$E$3:$IT$3,"&lt;="&amp;$AE89,OFFSET(高値!$E$6:$IT$6,MATCH(TEXT($B89,"0"),TEXT(銘柄管理!$B$6:$B$305,"0"),0)-1,0),"&gt;="&amp;$N89),_xlfn.MINIFS(安値!$E$3:$IT$3,安値!$E$3:$IT$3,"&gt;"&amp;$E89,安値!$E$3:$IT$3,"&lt;="&amp;$AE89,OFFSET(安値!$E$6:$IT$6,MATCH(TEXT($B89,"0"),TEXT(銘柄管理!$B$6:$B$305,"0"),0)-1,0),"&lt;="&amp;$N89)),""))</f>
        <v/>
      </c>
      <c r="AH89" s="600" t="str">
        <f>IF(OR($B89="",$M89=""),"",IF(AND(N($AF89)=0,N($AG89)=0),IF(AND(ISNUMBER($H89),$H89&gt;0,IF($C89="売",$H89&gt;=$N89,$H89&lt;=$N89)),"損切確定",IF(AND(ISNUMBER($H89),$H89&gt;0,IF($C89="売",$H89&lt;=$M89,$H89&gt;=$M89)),"利益確定",IF($AE89&lt;=TODAY(),"日数制限","保有中"))),IF(N($AG89)=0,"利益確定",IF(N($AF89)=0,"損切確定",IF($AG89&lt;=$AF89,"損切確定","利益確定")))))</f>
        <v/>
      </c>
      <c r="AI89" s="600" t="str" cm="1">
        <f t="array" ref="AI89">IFERROR(INDEX(始値!$E$6:$IT$305,MATCH(TEXT($B89,"0"),TEXT(銘柄管理!$B$6:$B$305,"0"),0),MATCH($AE89,始値!$E$3:$IT$3,0)),"")</f>
        <v/>
      </c>
      <c r="AJ89" s="905" t="str">
        <f>IF(OR($V89="",$F89="",$G89=""),"",$V89/($F89*$G89))</f>
        <v/>
      </c>
      <c r="AK89" s="629" t="str">
        <f>IF($V89="","",IF($V89&gt;0,"○勝",IF($V89&lt;0,"●負","△引分")))</f>
        <v/>
      </c>
    </row>
    <row r="90" spans="1:37" ht="35.4" customHeight="1">
      <c r="A90" s="619" t="str">
        <f>IF(B90="","",HYPERLINK("https://kabutan.jp/stock/?code="&amp;B90,"株探"))</f>
        <v/>
      </c>
      <c r="B90" s="630"/>
      <c r="C90" s="490"/>
      <c r="D90" s="623" t="str" cm="1">
        <f t="array" ref="D90">IF($B90="","",_xll.RssMarket($B90,"銘柄名称"))</f>
        <v/>
      </c>
      <c r="E90" s="716"/>
      <c r="F90" s="698" t="str" cm="1">
        <f t="array" aca="1" ref="F90" ca="1">IFERROR(_xlfn.LET(_xlpm.r,MATCH(TEXT($B90,"0"),TEXT(銘柄管理!$B$6:$B$305,"0"),0),_xlpm.t,MOD(NOW(),1),_xlpm.c,IF($E90=TODAY(),IF(_xlpm.t&gt;=TIME(15,30,0),NA(),1),IF(MATCH($E90,始値!$E$3:$IT$3,0)=1,1,MATCH($E90,始値!$E$3:$IT$3,0)+1)),_xlpm.v,INDEX(始値!$C$6:$IT$305,_xlpm.r,_xlpm.c),IF(N(_xlpm.v)=0,"",_xlpm.v)),"")</f>
        <v/>
      </c>
      <c r="G90" s="631"/>
      <c r="H90" s="491" t="str" cm="1">
        <f t="array" ref="H90">IF($B90="","",_xll.RssMarket($B90,"現在値"))</f>
        <v/>
      </c>
      <c r="I90" s="491" t="str" cm="1">
        <f t="array" ref="I90">IF($B90="","",_xll.RssMarket($B90,"出来高加重平均"))</f>
        <v/>
      </c>
      <c r="J90" s="701" t="str" cm="1">
        <f t="array" ref="J90">IF($B90="","",_xll.RssMarket($B90,"前日比"))</f>
        <v/>
      </c>
      <c r="K90" s="701" t="str">
        <f>IF(OR(F90="",G90="",H90=""),"",IF(C90="売",(F90-H90)*G90,(H90-F90)*G90))</f>
        <v/>
      </c>
      <c r="L90" s="706" t="str">
        <f>IF(OR(F90="",H90=""),"",IF(C90="売",(F90-H90)/F90,(H90-F90)/F90))</f>
        <v/>
      </c>
      <c r="M90" s="491" t="str">
        <f>IF($F90="","",$F90*IF($C90="売",1-V811設定!$B$4,1+V811設定!$B$4)-MOD($F90*IF($C90="売",1-V811設定!$B$4,1+V811設定!$B$4),IF($F90&lt;=3000,1,IF($F90&lt;=5000,5,IF($F90&lt;=30000,10,IF($F90&lt;=50000,50,IF($F90&lt;=300000,100,500))))))+IF(AND($C90="売",MOD($F90*IF($C90="売",1-V811設定!$B$4,1+V811設定!$B$4),IF($F90&lt;=3000,1,IF($F90&lt;=5000,5,IF($F90&lt;=30000,10,IF($F90&lt;=50000,50,IF($F90&lt;=300000,100,500))))))&gt;0),IF($F90&lt;=3000,1,IF($F90&lt;=5000,5,IF($F90&lt;=30000,10,IF($F90&lt;=50000,50,IF($F90&lt;=300000,100,500))))),0))</f>
      </c>
      <c r="N90" s="491" t="str">
        <f>IF($F90="","",$F90*IF($C90="売",1+V811設定!$B$3,1-V811設定!$B$3)-MOD($F90*IF($C90="売",1+V811設定!$B$3,1-V811設定!$B$3),IF($F90&lt;=3000,1,IF($F90&lt;=5000,5,IF($F90&lt;=30000,10,IF($F90&lt;=50000,50,IF($F90&lt;=300000,100,500))))))+IF(AND($C90="売",MOD($F90*IF($C90="売",1+V811設定!$B$3,1-V811設定!$B$3),IF($F90&lt;=3000,1,IF($F90&lt;=5000,5,IF($F90&lt;=30000,10,IF($F90&lt;=50000,50,IF($F90&lt;=300000,100,500))))))&gt;0),IF($F90&lt;=3000,1,IF($F90&lt;=5000,5,IF($F90&lt;=30000,10,IF($F90&lt;=50000,50,IF($F90&lt;=300000,100,500))))),0))</f>
      </c>
      <c r="O90" s="492" t="str">
        <f>IF(OR($B90="",$F90="",$H90=""),"",IF($S90="✅売却済","―決済済―",IF($C90="売",IF($H90&lt;=$M90,"🟢利確",IF(AND($R90&lt;&gt;"",$H90&gt;=$R90),"🟠TRAIL",IF($H90&gt;=$N90,"🔴損切",IF($W90&gt;=V811設定!$B$6,"⏱時間決済",IF($H90&gt;=$F90*(1+V811設定!$B$3*0.7),"⚠️損切接近","保持継続"))))),IF($H90&gt;=$M90,"🟢利確",IF(AND($R90&lt;&gt;"",$H90&lt;=$R90),"🟠TRAIL",IF($H90&lt;=$N90,"🔴損切",IF($W90&gt;=V811設定!$B$6,"⏱時間決済",IF($H90&lt;=$F90*(1-V811設定!$B$3*0.7),"⚠️損切接近","保持継続"))))))))</f>
      </c>
      <c r="P90" s="491"/>
      <c r="Q90" s="491"/>
      <c r="R90" s="491" t="str">
        <f>IF(OR($F90="",$H90="",$N90=""),"",IF($S90="✅売却済","",IF($C90="売",IF($H90&gt;$F90*(1-V811設定!$B$3),$N90,MIN($N90,IF($Q90="",$N90,$Q90*1.03))),IF($H90&lt;$F90*(1+V811設定!$B$3),$N90,MAX($N90,IF($P90="",$N90,$P90*0.97))))))</f>
      </c>
      <c r="S90" s="586" t="str">
        <f>IF(B90="","",IF(T90&lt;&gt;"","✅売却済",IF(OR(H90="",L90=""),"📌保有中",IF(L90&gt;=0.06,"🟢利確推奨",IF(L90&gt;=0.05,"🟡利確直近",IF(L90&gt;=0.045,"🔵トレーリング検討",IF(L90&gt;-0.03,"📌保有中",IF(L90&gt;-0.04,"⚠️損切注意","🔴損切り"))))))))</f>
        <v/>
      </c>
      <c r="T90" s="594"/>
      <c r="U90" s="491"/>
      <c r="V90" s="701" t="str">
        <f>IF(OR(F90="",G90="",U90=""),"",IF(C90="売",(F90-U90)*G90,(U90-F90)*G90))</f>
        <v/>
      </c>
      <c r="W90" s="493" t="str">
        <f>IF(OR($E90="",$B90=""),"",IF($T90&lt;&gt;"",$T90-$E90,TODAY()-$E90)+1)</f>
        <v/>
      </c>
      <c r="X90" s="489" t="str">
        <f>IF(OR($AH90="",$AH90="保有中"),"",$AH90)</f>
        <v/>
      </c>
      <c r="Y90" s="488"/>
      <c r="Z90" s="710"/>
      <c r="AD90" s="608"/>
      <c r="AE90" s="624" t="str">
        <f>IF($E90="","",WORKDAY($E90,12))</f>
        <v/>
      </c>
      <c r="AF90" s="626" t="str" cm="1">
        <f t="array" aca="1" ref="AF90" ca="1">IF(OR($B90="",$M90=""),"",IFERROR(IF($C90="売",_xlfn.MINIFS(安値!$E$3:$IT$3,安値!$E$3:$IT$3,"&gt;"&amp;$E90,安値!$E$3:$IT$3,"&lt;="&amp;$AE90,OFFSET(安値!$E$6:$IT$6,MATCH(TEXT($B90,"0"),TEXT(銘柄管理!$B$6:$B$305,"0"),0)-1,0),"&lt;="&amp;$M90),_xlfn.MINIFS(高値!$E$3:$IT$3,高値!$E$3:$IT$3,"&gt;"&amp;$E90,高値!$E$3:$IT$3,"&lt;="&amp;$AE90,OFFSET(高値!$E$6:$IT$6,MATCH(TEXT($B90,"0"),TEXT(銘柄管理!$B$6:$B$305,"0"),0)-1,0),"&gt;="&amp;$M90)),""))</f>
        <v/>
      </c>
      <c r="AG90" s="626" t="str" cm="1">
        <f t="array" aca="1" ref="AG90" ca="1">IF(OR($B90="",$N90=""),"",IFERROR(IF($C90="売",_xlfn.MINIFS(高値!$E$3:$IT$3,高値!$E$3:$IT$3,"&gt;"&amp;$E90,高値!$E$3:$IT$3,"&lt;="&amp;$AE90,OFFSET(高値!$E$6:$IT$6,MATCH(TEXT($B90,"0"),TEXT(銘柄管理!$B$6:$B$305,"0"),0)-1,0),"&gt;="&amp;$N90),_xlfn.MINIFS(安値!$E$3:$IT$3,安値!$E$3:$IT$3,"&gt;"&amp;$E90,安値!$E$3:$IT$3,"&lt;="&amp;$AE90,OFFSET(安値!$E$6:$IT$6,MATCH(TEXT($B90,"0"),TEXT(銘柄管理!$B$6:$B$305,"0"),0)-1,0),"&lt;="&amp;$N90)),""))</f>
        <v/>
      </c>
      <c r="AH90" s="600" t="str">
        <f>IF(OR($B90="",$M90=""),"",IF(AND(N($AF90)=0,N($AG90)=0),IF(AND(ISNUMBER($H90),$H90&gt;0,IF($C90="売",$H90&gt;=$N90,$H90&lt;=$N90)),"損切確定",IF(AND(ISNUMBER($H90),$H90&gt;0,IF($C90="売",$H90&lt;=$M90,$H90&gt;=$M90)),"利益確定",IF($AE90&lt;=TODAY(),"日数制限","保有中"))),IF(N($AG90)=0,"利益確定",IF(N($AF90)=0,"損切確定",IF($AG90&lt;=$AF90,"損切確定","利益確定")))))</f>
        <v/>
      </c>
      <c r="AI90" s="600" t="str" cm="1">
        <f t="array" ref="AI90">IFERROR(INDEX(始値!$E$6:$IT$305,MATCH(TEXT($B90,"0"),TEXT(銘柄管理!$B$6:$B$305,"0"),0),MATCH($AE90,始値!$E$3:$IT$3,0)),"")</f>
        <v/>
      </c>
      <c r="AJ90" s="905" t="str">
        <f>IF(OR($V90="",$F90="",$G90=""),"",$V90/($F90*$G90))</f>
        <v/>
      </c>
      <c r="AK90" s="629" t="str">
        <f>IF($V90="","",IF($V90&gt;0,"○勝",IF($V90&lt;0,"●負","△引分")))</f>
        <v/>
      </c>
    </row>
    <row r="91" spans="1:37" ht="35.4" customHeight="1">
      <c r="A91" s="619" t="str">
        <f>IF(B91="","",HYPERLINK("https://kabutan.jp/stock/?code="&amp;B91,"株探"))</f>
        <v/>
      </c>
      <c r="B91" s="630"/>
      <c r="C91" s="490"/>
      <c r="D91" s="623" t="str" cm="1">
        <f t="array" ref="D91">IF($B91="","",_xll.RssMarket($B91,"銘柄名称"))</f>
        <v/>
      </c>
      <c r="E91" s="716"/>
      <c r="F91" s="698" t="str" cm="1">
        <f t="array" aca="1" ref="F91" ca="1">IFERROR(_xlfn.LET(_xlpm.r,MATCH(TEXT($B91,"0"),TEXT(銘柄管理!$B$6:$B$305,"0"),0),_xlpm.t,MOD(NOW(),1),_xlpm.c,IF($E91=TODAY(),IF(_xlpm.t&gt;=TIME(15,30,0),NA(),1),IF(MATCH($E91,始値!$E$3:$IT$3,0)=1,1,MATCH($E91,始値!$E$3:$IT$3,0)+1)),_xlpm.v,INDEX(始値!$C$6:$IT$305,_xlpm.r,_xlpm.c),IF(N(_xlpm.v)=0,"",_xlpm.v)),"")</f>
        <v/>
      </c>
      <c r="G91" s="631"/>
      <c r="H91" s="491" t="str" cm="1">
        <f t="array" ref="H91">IF($B91="","",_xll.RssMarket($B91,"現在値"))</f>
        <v/>
      </c>
      <c r="I91" s="491" t="str" cm="1">
        <f t="array" ref="I91">IF($B91="","",_xll.RssMarket($B91,"出来高加重平均"))</f>
        <v/>
      </c>
      <c r="J91" s="701" t="str" cm="1">
        <f t="array" ref="J91">IF($B91="","",_xll.RssMarket($B91,"前日比"))</f>
        <v/>
      </c>
      <c r="K91" s="701" t="str">
        <f>IF(OR(F91="",G91="",H91=""),"",IF(C91="売",(F91-H91)*G91,(H91-F91)*G91))</f>
        <v/>
      </c>
      <c r="L91" s="706" t="str">
        <f>IF(OR(F91="",H91=""),"",IF(C91="売",(F91-H91)/F91,(H91-F91)/F91))</f>
        <v/>
      </c>
      <c r="M91" s="491" t="str">
        <f>IF($F91="","",$F91*IF($C91="売",1-V811設定!$B$4,1+V811設定!$B$4)-MOD($F91*IF($C91="売",1-V811設定!$B$4,1+V811設定!$B$4),IF($F91&lt;=3000,1,IF($F91&lt;=5000,5,IF($F91&lt;=30000,10,IF($F91&lt;=50000,50,IF($F91&lt;=300000,100,500))))))+IF(AND($C91="売",MOD($F91*IF($C91="売",1-V811設定!$B$4,1+V811設定!$B$4),IF($F91&lt;=3000,1,IF($F91&lt;=5000,5,IF($F91&lt;=30000,10,IF($F91&lt;=50000,50,IF($F91&lt;=300000,100,500))))))&gt;0),IF($F91&lt;=3000,1,IF($F91&lt;=5000,5,IF($F91&lt;=30000,10,IF($F91&lt;=50000,50,IF($F91&lt;=300000,100,500))))),0))</f>
      </c>
      <c r="N91" s="491" t="str">
        <f>IF($F91="","",$F91*IF($C91="売",1+V811設定!$B$3,1-V811設定!$B$3)-MOD($F91*IF($C91="売",1+V811設定!$B$3,1-V811設定!$B$3),IF($F91&lt;=3000,1,IF($F91&lt;=5000,5,IF($F91&lt;=30000,10,IF($F91&lt;=50000,50,IF($F91&lt;=300000,100,500))))))+IF(AND($C91="売",MOD($F91*IF($C91="売",1+V811設定!$B$3,1-V811設定!$B$3),IF($F91&lt;=3000,1,IF($F91&lt;=5000,5,IF($F91&lt;=30000,10,IF($F91&lt;=50000,50,IF($F91&lt;=300000,100,500))))))&gt;0),IF($F91&lt;=3000,1,IF($F91&lt;=5000,5,IF($F91&lt;=30000,10,IF($F91&lt;=50000,50,IF($F91&lt;=300000,100,500))))),0))</f>
      </c>
      <c r="O91" s="492" t="str">
        <f>IF(OR($B91="",$F91="",$H91=""),"",IF($S91="✅売却済","―決済済―",IF($C91="売",IF($H91&lt;=$M91,"🟢利確",IF(AND($R91&lt;&gt;"",$H91&gt;=$R91),"🟠TRAIL",IF($H91&gt;=$N91,"🔴損切",IF($W91&gt;=V811設定!$B$6,"⏱時間決済",IF($H91&gt;=$F91*(1+V811設定!$B$3*0.7),"⚠️損切接近","保持継続"))))),IF($H91&gt;=$M91,"🟢利確",IF(AND($R91&lt;&gt;"",$H91&lt;=$R91),"🟠TRAIL",IF($H91&lt;=$N91,"🔴損切",IF($W91&gt;=V811設定!$B$6,"⏱時間決済",IF($H91&lt;=$F91*(1-V811設定!$B$3*0.7),"⚠️損切接近","保持継続"))))))))</f>
      </c>
      <c r="P91" s="491"/>
      <c r="Q91" s="491"/>
      <c r="R91" s="491" t="str">
        <f>IF(OR($F91="",$H91="",$N91=""),"",IF($S91="✅売却済","",IF($C91="売",IF($H91&gt;$F91*(1-V811設定!$B$3),$N91,MIN($N91,IF($Q91="",$N91,$Q91*1.03))),IF($H91&lt;$F91*(1+V811設定!$B$3),$N91,MAX($N91,IF($P91="",$N91,$P91*0.97))))))</f>
      </c>
      <c r="S91" s="586" t="str">
        <f>IF(B91="","",IF(T91&lt;&gt;"","✅売却済",IF(OR(H91="",L91=""),"📌保有中",IF(L91&gt;=0.06,"🟢利確推奨",IF(L91&gt;=0.05,"🟡利確直近",IF(L91&gt;=0.045,"🔵トレーリング検討",IF(L91&gt;-0.03,"📌保有中",IF(L91&gt;-0.04,"⚠️損切注意","🔴損切り"))))))))</f>
        <v/>
      </c>
      <c r="T91" s="594"/>
      <c r="U91" s="491"/>
      <c r="V91" s="701" t="str">
        <f>IF(OR(F91="",G91="",U91=""),"",IF(C91="売",(F91-U91)*G91,(U91-F91)*G91))</f>
        <v/>
      </c>
      <c r="W91" s="493" t="str">
        <f>IF(OR($E91="",$B91=""),"",IF($T91&lt;&gt;"",$T91-$E91,TODAY()-$E91)+1)</f>
        <v/>
      </c>
      <c r="X91" s="489" t="str">
        <f>IF(OR($AH91="",$AH91="保有中"),"",$AH91)</f>
        <v/>
      </c>
      <c r="Y91" s="488"/>
      <c r="Z91" s="710"/>
      <c r="AD91" s="608"/>
      <c r="AE91" s="624" t="str">
        <f>IF($E91="","",WORKDAY($E91,12))</f>
        <v/>
      </c>
      <c r="AF91" s="626" t="str" cm="1">
        <f t="array" aca="1" ref="AF91" ca="1">IF(OR($B91="",$M91=""),"",IFERROR(IF($C91="売",_xlfn.MINIFS(安値!$E$3:$IT$3,安値!$E$3:$IT$3,"&gt;"&amp;$E91,安値!$E$3:$IT$3,"&lt;="&amp;$AE91,OFFSET(安値!$E$6:$IT$6,MATCH(TEXT($B91,"0"),TEXT(銘柄管理!$B$6:$B$305,"0"),0)-1,0),"&lt;="&amp;$M91),_xlfn.MINIFS(高値!$E$3:$IT$3,高値!$E$3:$IT$3,"&gt;"&amp;$E91,高値!$E$3:$IT$3,"&lt;="&amp;$AE91,OFFSET(高値!$E$6:$IT$6,MATCH(TEXT($B91,"0"),TEXT(銘柄管理!$B$6:$B$305,"0"),0)-1,0),"&gt;="&amp;$M91)),""))</f>
        <v/>
      </c>
      <c r="AG91" s="626" t="str" cm="1">
        <f t="array" aca="1" ref="AG91" ca="1">IF(OR($B91="",$N91=""),"",IFERROR(IF($C91="売",_xlfn.MINIFS(高値!$E$3:$IT$3,高値!$E$3:$IT$3,"&gt;"&amp;$E91,高値!$E$3:$IT$3,"&lt;="&amp;$AE91,OFFSET(高値!$E$6:$IT$6,MATCH(TEXT($B91,"0"),TEXT(銘柄管理!$B$6:$B$305,"0"),0)-1,0),"&gt;="&amp;$N91),_xlfn.MINIFS(安値!$E$3:$IT$3,安値!$E$3:$IT$3,"&gt;"&amp;$E91,安値!$E$3:$IT$3,"&lt;="&amp;$AE91,OFFSET(安値!$E$6:$IT$6,MATCH(TEXT($B91,"0"),TEXT(銘柄管理!$B$6:$B$305,"0"),0)-1,0),"&lt;="&amp;$N91)),""))</f>
        <v/>
      </c>
      <c r="AH91" s="600" t="str">
        <f>IF(OR($B91="",$M91=""),"",IF(AND(N($AF91)=0,N($AG91)=0),IF(AND(ISNUMBER($H91),$H91&gt;0,IF($C91="売",$H91&gt;=$N91,$H91&lt;=$N91)),"損切確定",IF(AND(ISNUMBER($H91),$H91&gt;0,IF($C91="売",$H91&lt;=$M91,$H91&gt;=$M91)),"利益確定",IF($AE91&lt;=TODAY(),"日数制限","保有中"))),IF(N($AG91)=0,"利益確定",IF(N($AF91)=0,"損切確定",IF($AG91&lt;=$AF91,"損切確定","利益確定")))))</f>
        <v/>
      </c>
      <c r="AI91" s="600" t="str" cm="1">
        <f t="array" ref="AI91">IFERROR(INDEX(始値!$E$6:$IT$305,MATCH(TEXT($B91,"0"),TEXT(銘柄管理!$B$6:$B$305,"0"),0),MATCH($AE91,始値!$E$3:$IT$3,0)),"")</f>
        <v/>
      </c>
      <c r="AJ91" s="905" t="str">
        <f>IF(OR($V91="",$F91="",$G91=""),"",$V91/($F91*$G91))</f>
        <v/>
      </c>
      <c r="AK91" s="629" t="str">
        <f>IF($V91="","",IF($V91&gt;0,"○勝",IF($V91&lt;0,"●負","△引分")))</f>
        <v/>
      </c>
    </row>
    <row r="92" spans="1:37" ht="35.4" customHeight="1">
      <c r="A92" s="619" t="str">
        <f>IF(B92="","",HYPERLINK("https://kabutan.jp/stock/?code="&amp;B92,"株探"))</f>
        <v/>
      </c>
      <c r="B92" s="630"/>
      <c r="C92" s="490"/>
      <c r="D92" s="623" t="str" cm="1">
        <f t="array" ref="D92">IF($B92="","",_xll.RssMarket($B92,"銘柄名称"))</f>
        <v/>
      </c>
      <c r="E92" s="716"/>
      <c r="F92" s="698" t="str" cm="1">
        <f t="array" aca="1" ref="F92" ca="1">IFERROR(_xlfn.LET(_xlpm.r,MATCH(TEXT($B92,"0"),TEXT(銘柄管理!$B$6:$B$305,"0"),0),_xlpm.t,MOD(NOW(),1),_xlpm.c,IF($E92=TODAY(),IF(_xlpm.t&gt;=TIME(15,30,0),NA(),1),IF(MATCH($E92,始値!$E$3:$IT$3,0)=1,1,MATCH($E92,始値!$E$3:$IT$3,0)+1)),_xlpm.v,INDEX(始値!$C$6:$IT$305,_xlpm.r,_xlpm.c),IF(N(_xlpm.v)=0,"",_xlpm.v)),"")</f>
        <v/>
      </c>
      <c r="G92" s="631"/>
      <c r="H92" s="491" t="str" cm="1">
        <f t="array" ref="H92">IF($B92="","",_xll.RssMarket($B92,"現在値"))</f>
        <v/>
      </c>
      <c r="I92" s="491" t="str" cm="1">
        <f t="array" ref="I92">IF($B92="","",_xll.RssMarket($B92,"出来高加重平均"))</f>
        <v/>
      </c>
      <c r="J92" s="701" t="str" cm="1">
        <f t="array" ref="J92">IF($B92="","",_xll.RssMarket($B92,"前日比"))</f>
        <v/>
      </c>
      <c r="K92" s="701" t="str">
        <f>IF(OR(F92="",G92="",H92=""),"",IF(C92="売",(F92-H92)*G92,(H92-F92)*G92))</f>
        <v/>
      </c>
      <c r="L92" s="706" t="str">
        <f>IF(OR(F92="",H92=""),"",IF(C92="売",(F92-H92)/F92,(H92-F92)/F92))</f>
        <v/>
      </c>
      <c r="M92" s="491" t="str">
        <f>IF($F92="","",$F92*IF($C92="売",1-V811設定!$B$4,1+V811設定!$B$4)-MOD($F92*IF($C92="売",1-V811設定!$B$4,1+V811設定!$B$4),IF($F92&lt;=3000,1,IF($F92&lt;=5000,5,IF($F92&lt;=30000,10,IF($F92&lt;=50000,50,IF($F92&lt;=300000,100,500))))))+IF(AND($C92="売",MOD($F92*IF($C92="売",1-V811設定!$B$4,1+V811設定!$B$4),IF($F92&lt;=3000,1,IF($F92&lt;=5000,5,IF($F92&lt;=30000,10,IF($F92&lt;=50000,50,IF($F92&lt;=300000,100,500))))))&gt;0),IF($F92&lt;=3000,1,IF($F92&lt;=5000,5,IF($F92&lt;=30000,10,IF($F92&lt;=50000,50,IF($F92&lt;=300000,100,500))))),0))</f>
      </c>
      <c r="N92" s="491" t="str">
        <f>IF($F92="","",$F92*IF($C92="売",1+V811設定!$B$3,1-V811設定!$B$3)-MOD($F92*IF($C92="売",1+V811設定!$B$3,1-V811設定!$B$3),IF($F92&lt;=3000,1,IF($F92&lt;=5000,5,IF($F92&lt;=30000,10,IF($F92&lt;=50000,50,IF($F92&lt;=300000,100,500))))))+IF(AND($C92="売",MOD($F92*IF($C92="売",1+V811設定!$B$3,1-V811設定!$B$3),IF($F92&lt;=3000,1,IF($F92&lt;=5000,5,IF($F92&lt;=30000,10,IF($F92&lt;=50000,50,IF($F92&lt;=300000,100,500))))))&gt;0),IF($F92&lt;=3000,1,IF($F92&lt;=5000,5,IF($F92&lt;=30000,10,IF($F92&lt;=50000,50,IF($F92&lt;=300000,100,500))))),0))</f>
      </c>
      <c r="O92" s="492" t="str">
        <f>IF(OR($B92="",$F92="",$H92=""),"",IF($S92="✅売却済","―決済済―",IF($C92="売",IF($H92&lt;=$M92,"🟢利確",IF(AND($R92&lt;&gt;"",$H92&gt;=$R92),"🟠TRAIL",IF($H92&gt;=$N92,"🔴損切",IF($W92&gt;=V811設定!$B$6,"⏱時間決済",IF($H92&gt;=$F92*(1+V811設定!$B$3*0.7),"⚠️損切接近","保持継続"))))),IF($H92&gt;=$M92,"🟢利確",IF(AND($R92&lt;&gt;"",$H92&lt;=$R92),"🟠TRAIL",IF($H92&lt;=$N92,"🔴損切",IF($W92&gt;=V811設定!$B$6,"⏱時間決済",IF($H92&lt;=$F92*(1-V811設定!$B$3*0.7),"⚠️損切接近","保持継続"))))))))</f>
      </c>
      <c r="P92" s="491"/>
      <c r="Q92" s="491"/>
      <c r="R92" s="491" t="str">
        <f>IF(OR($F92="",$H92="",$N92=""),"",IF($S92="✅売却済","",IF($C92="売",IF($H92&gt;$F92*(1-V811設定!$B$3),$N92,MIN($N92,IF($Q92="",$N92,$Q92*1.03))),IF($H92&lt;$F92*(1+V811設定!$B$3),$N92,MAX($N92,IF($P92="",$N92,$P92*0.97))))))</f>
      </c>
      <c r="S92" s="586" t="str">
        <f>IF(B92="","",IF(T92&lt;&gt;"","✅売却済",IF(OR(H92="",L92=""),"📌保有中",IF(L92&gt;=0.06,"🟢利確推奨",IF(L92&gt;=0.05,"🟡利確直近",IF(L92&gt;=0.045,"🔵トレーリング検討",IF(L92&gt;-0.03,"📌保有中",IF(L92&gt;-0.04,"⚠️損切注意","🔴損切り"))))))))</f>
        <v/>
      </c>
      <c r="T92" s="594"/>
      <c r="U92" s="491"/>
      <c r="V92" s="701" t="str">
        <f>IF(OR(F92="",G92="",U92=""),"",IF(C92="売",(F92-U92)*G92,(U92-F92)*G92))</f>
        <v/>
      </c>
      <c r="W92" s="493" t="str">
        <f>IF(OR($E92="",$B92=""),"",IF($T92&lt;&gt;"",$T92-$E92,TODAY()-$E92)+1)</f>
        <v/>
      </c>
      <c r="X92" s="489" t="str">
        <f>IF(OR($AH92="",$AH92="保有中"),"",$AH92)</f>
        <v/>
      </c>
      <c r="Y92" s="488"/>
      <c r="Z92" s="710"/>
      <c r="AD92" s="608"/>
      <c r="AE92" s="624" t="str">
        <f>IF($E92="","",WORKDAY($E92,12))</f>
        <v/>
      </c>
      <c r="AF92" s="626" t="str" cm="1">
        <f t="array" aca="1" ref="AF92" ca="1">IF(OR($B92="",$M92=""),"",IFERROR(IF($C92="売",_xlfn.MINIFS(安値!$E$3:$IT$3,安値!$E$3:$IT$3,"&gt;"&amp;$E92,安値!$E$3:$IT$3,"&lt;="&amp;$AE92,OFFSET(安値!$E$6:$IT$6,MATCH(TEXT($B92,"0"),TEXT(銘柄管理!$B$6:$B$305,"0"),0)-1,0),"&lt;="&amp;$M92),_xlfn.MINIFS(高値!$E$3:$IT$3,高値!$E$3:$IT$3,"&gt;"&amp;$E92,高値!$E$3:$IT$3,"&lt;="&amp;$AE92,OFFSET(高値!$E$6:$IT$6,MATCH(TEXT($B92,"0"),TEXT(銘柄管理!$B$6:$B$305,"0"),0)-1,0),"&gt;="&amp;$M92)),""))</f>
        <v/>
      </c>
      <c r="AG92" s="626" t="str" cm="1">
        <f t="array" aca="1" ref="AG92" ca="1">IF(OR($B92="",$N92=""),"",IFERROR(IF($C92="売",_xlfn.MINIFS(高値!$E$3:$IT$3,高値!$E$3:$IT$3,"&gt;"&amp;$E92,高値!$E$3:$IT$3,"&lt;="&amp;$AE92,OFFSET(高値!$E$6:$IT$6,MATCH(TEXT($B92,"0"),TEXT(銘柄管理!$B$6:$B$305,"0"),0)-1,0),"&gt;="&amp;$N92),_xlfn.MINIFS(安値!$E$3:$IT$3,安値!$E$3:$IT$3,"&gt;"&amp;$E92,安値!$E$3:$IT$3,"&lt;="&amp;$AE92,OFFSET(安値!$E$6:$IT$6,MATCH(TEXT($B92,"0"),TEXT(銘柄管理!$B$6:$B$305,"0"),0)-1,0),"&lt;="&amp;$N92)),""))</f>
        <v/>
      </c>
      <c r="AH92" s="600" t="str">
        <f>IF(OR($B92="",$M92=""),"",IF(AND(N($AF92)=0,N($AG92)=0),IF(AND(ISNUMBER($H92),$H92&gt;0,IF($C92="売",$H92&gt;=$N92,$H92&lt;=$N92)),"損切確定",IF(AND(ISNUMBER($H92),$H92&gt;0,IF($C92="売",$H92&lt;=$M92,$H92&gt;=$M92)),"利益確定",IF($AE92&lt;=TODAY(),"日数制限","保有中"))),IF(N($AG92)=0,"利益確定",IF(N($AF92)=0,"損切確定",IF($AG92&lt;=$AF92,"損切確定","利益確定")))))</f>
        <v/>
      </c>
      <c r="AI92" s="600" t="str" cm="1">
        <f t="array" ref="AI92">IFERROR(INDEX(始値!$E$6:$IT$305,MATCH(TEXT($B92,"0"),TEXT(銘柄管理!$B$6:$B$305,"0"),0),MATCH($AE92,始値!$E$3:$IT$3,0)),"")</f>
        <v/>
      </c>
      <c r="AJ92" s="905" t="str">
        <f>IF(OR($V92="",$F92="",$G92=""),"",$V92/($F92*$G92))</f>
        <v/>
      </c>
      <c r="AK92" s="629" t="str">
        <f>IF($V92="","",IF($V92&gt;0,"○勝",IF($V92&lt;0,"●負","△引分")))</f>
        <v/>
      </c>
    </row>
    <row r="93" spans="1:37" ht="35.4" customHeight="1">
      <c r="A93" s="619" t="str">
        <f>IF(B93="","",HYPERLINK("https://kabutan.jp/stock/?code="&amp;B93,"株探"))</f>
        <v/>
      </c>
      <c r="B93" s="630"/>
      <c r="C93" s="490"/>
      <c r="D93" s="623" t="str" cm="1">
        <f t="array" ref="D93">IF($B93="","",_xll.RssMarket($B93,"銘柄名称"))</f>
        <v/>
      </c>
      <c r="E93" s="716"/>
      <c r="F93" s="698" t="str" cm="1">
        <f t="array" aca="1" ref="F93" ca="1">IFERROR(_xlfn.LET(_xlpm.r,MATCH(TEXT($B93,"0"),TEXT(銘柄管理!$B$6:$B$305,"0"),0),_xlpm.t,MOD(NOW(),1),_xlpm.c,IF($E93=TODAY(),IF(_xlpm.t&gt;=TIME(15,30,0),NA(),1),IF(MATCH($E93,始値!$E$3:$IT$3,0)=1,1,MATCH($E93,始値!$E$3:$IT$3,0)+1)),_xlpm.v,INDEX(始値!$C$6:$IT$305,_xlpm.r,_xlpm.c),IF(N(_xlpm.v)=0,"",_xlpm.v)),"")</f>
        <v/>
      </c>
      <c r="G93" s="631"/>
      <c r="H93" s="491" t="str" cm="1">
        <f t="array" ref="H93">IF($B93="","",_xll.RssMarket($B93,"現在値"))</f>
        <v/>
      </c>
      <c r="I93" s="491" t="str" cm="1">
        <f t="array" ref="I93">IF($B93="","",_xll.RssMarket($B93,"出来高加重平均"))</f>
        <v/>
      </c>
      <c r="J93" s="701" t="str" cm="1">
        <f t="array" ref="J93">IF($B93="","",_xll.RssMarket($B93,"前日比"))</f>
        <v/>
      </c>
      <c r="K93" s="701" t="str">
        <f>IF(OR(F93="",G93="",H93=""),"",IF(C93="売",(F93-H93)*G93,(H93-F93)*G93))</f>
        <v/>
      </c>
      <c r="L93" s="706" t="str">
        <f>IF(OR(F93="",H93=""),"",IF(C93="売",(F93-H93)/F93,(H93-F93)/F93))</f>
        <v/>
      </c>
      <c r="M93" s="491" t="str">
        <f>IF($F93="","",$F93*IF($C93="売",1-V811設定!$B$4,1+V811設定!$B$4)-MOD($F93*IF($C93="売",1-V811設定!$B$4,1+V811設定!$B$4),IF($F93&lt;=3000,1,IF($F93&lt;=5000,5,IF($F93&lt;=30000,10,IF($F93&lt;=50000,50,IF($F93&lt;=300000,100,500))))))+IF(AND($C93="売",MOD($F93*IF($C93="売",1-V811設定!$B$4,1+V811設定!$B$4),IF($F93&lt;=3000,1,IF($F93&lt;=5000,5,IF($F93&lt;=30000,10,IF($F93&lt;=50000,50,IF($F93&lt;=300000,100,500))))))&gt;0),IF($F93&lt;=3000,1,IF($F93&lt;=5000,5,IF($F93&lt;=30000,10,IF($F93&lt;=50000,50,IF($F93&lt;=300000,100,500))))),0))</f>
      </c>
      <c r="N93" s="491" t="str">
        <f>IF($F93="","",$F93*IF($C93="売",1+V811設定!$B$3,1-V811設定!$B$3)-MOD($F93*IF($C93="売",1+V811設定!$B$3,1-V811設定!$B$3),IF($F93&lt;=3000,1,IF($F93&lt;=5000,5,IF($F93&lt;=30000,10,IF($F93&lt;=50000,50,IF($F93&lt;=300000,100,500))))))+IF(AND($C93="売",MOD($F93*IF($C93="売",1+V811設定!$B$3,1-V811設定!$B$3),IF($F93&lt;=3000,1,IF($F93&lt;=5000,5,IF($F93&lt;=30000,10,IF($F93&lt;=50000,50,IF($F93&lt;=300000,100,500))))))&gt;0),IF($F93&lt;=3000,1,IF($F93&lt;=5000,5,IF($F93&lt;=30000,10,IF($F93&lt;=50000,50,IF($F93&lt;=300000,100,500))))),0))</f>
      </c>
      <c r="O93" s="492" t="str">
        <f>IF(OR($B93="",$F93="",$H93=""),"",IF($S93="✅売却済","―決済済―",IF($C93="売",IF($H93&lt;=$M93,"🟢利確",IF(AND($R93&lt;&gt;"",$H93&gt;=$R93),"🟠TRAIL",IF($H93&gt;=$N93,"🔴損切",IF($W93&gt;=V811設定!$B$6,"⏱時間決済",IF($H93&gt;=$F93*(1+V811設定!$B$3*0.7),"⚠️損切接近","保持継続"))))),IF($H93&gt;=$M93,"🟢利確",IF(AND($R93&lt;&gt;"",$H93&lt;=$R93),"🟠TRAIL",IF($H93&lt;=$N93,"🔴損切",IF($W93&gt;=V811設定!$B$6,"⏱時間決済",IF($H93&lt;=$F93*(1-V811設定!$B$3*0.7),"⚠️損切接近","保持継続"))))))))</f>
      </c>
      <c r="P93" s="491"/>
      <c r="Q93" s="491"/>
      <c r="R93" s="491" t="str">
        <f>IF(OR($F93="",$H93="",$N93=""),"",IF($S93="✅売却済","",IF($C93="売",IF($H93&gt;$F93*(1-V811設定!$B$3),$N93,MIN($N93,IF($Q93="",$N93,$Q93*1.03))),IF($H93&lt;$F93*(1+V811設定!$B$3),$N93,MAX($N93,IF($P93="",$N93,$P93*0.97))))))</f>
      </c>
      <c r="S93" s="586" t="str">
        <f>IF(B93="","",IF(T93&lt;&gt;"","✅売却済",IF(OR(H93="",L93=""),"📌保有中",IF(L93&gt;=0.06,"🟢利確推奨",IF(L93&gt;=0.05,"🟡利確直近",IF(L93&gt;=0.045,"🔵トレーリング検討",IF(L93&gt;-0.03,"📌保有中",IF(L93&gt;-0.04,"⚠️損切注意","🔴損切り"))))))))</f>
        <v/>
      </c>
      <c r="T93" s="594"/>
      <c r="U93" s="491"/>
      <c r="V93" s="701" t="str">
        <f>IF(OR(F93="",G93="",U93=""),"",IF(C93="売",(F93-U93)*G93,(U93-F93)*G93))</f>
        <v/>
      </c>
      <c r="W93" s="493" t="str">
        <f>IF(OR($E93="",$B93=""),"",IF($T93&lt;&gt;"",$T93-$E93,TODAY()-$E93)+1)</f>
        <v/>
      </c>
      <c r="X93" s="489" t="str">
        <f>IF(OR($AH93="",$AH93="保有中"),"",$AH93)</f>
        <v/>
      </c>
      <c r="Y93" s="488"/>
      <c r="Z93" s="710"/>
      <c r="AD93" s="608"/>
      <c r="AE93" s="624" t="str">
        <f>IF($E93="","",WORKDAY($E93,12))</f>
        <v/>
      </c>
      <c r="AF93" s="626" t="str" cm="1">
        <f t="array" aca="1" ref="AF93" ca="1">IF(OR($B93="",$M93=""),"",IFERROR(IF($C93="売",_xlfn.MINIFS(安値!$E$3:$IT$3,安値!$E$3:$IT$3,"&gt;"&amp;$E93,安値!$E$3:$IT$3,"&lt;="&amp;$AE93,OFFSET(安値!$E$6:$IT$6,MATCH(TEXT($B93,"0"),TEXT(銘柄管理!$B$6:$B$305,"0"),0)-1,0),"&lt;="&amp;$M93),_xlfn.MINIFS(高値!$E$3:$IT$3,高値!$E$3:$IT$3,"&gt;"&amp;$E93,高値!$E$3:$IT$3,"&lt;="&amp;$AE93,OFFSET(高値!$E$6:$IT$6,MATCH(TEXT($B93,"0"),TEXT(銘柄管理!$B$6:$B$305,"0"),0)-1,0),"&gt;="&amp;$M93)),""))</f>
        <v/>
      </c>
      <c r="AG93" s="626" t="str" cm="1">
        <f t="array" aca="1" ref="AG93" ca="1">IF(OR($B93="",$N93=""),"",IFERROR(IF($C93="売",_xlfn.MINIFS(高値!$E$3:$IT$3,高値!$E$3:$IT$3,"&gt;"&amp;$E93,高値!$E$3:$IT$3,"&lt;="&amp;$AE93,OFFSET(高値!$E$6:$IT$6,MATCH(TEXT($B93,"0"),TEXT(銘柄管理!$B$6:$B$305,"0"),0)-1,0),"&gt;="&amp;$N93),_xlfn.MINIFS(安値!$E$3:$IT$3,安値!$E$3:$IT$3,"&gt;"&amp;$E93,安値!$E$3:$IT$3,"&lt;="&amp;$AE93,OFFSET(安値!$E$6:$IT$6,MATCH(TEXT($B93,"0"),TEXT(銘柄管理!$B$6:$B$305,"0"),0)-1,0),"&lt;="&amp;$N93)),""))</f>
        <v/>
      </c>
      <c r="AH93" s="600" t="str">
        <f>IF(OR($B93="",$M93=""),"",IF(AND(N($AF93)=0,N($AG93)=0),IF(AND(ISNUMBER($H93),$H93&gt;0,IF($C93="売",$H93&gt;=$N93,$H93&lt;=$N93)),"損切確定",IF(AND(ISNUMBER($H93),$H93&gt;0,IF($C93="売",$H93&lt;=$M93,$H93&gt;=$M93)),"利益確定",IF($AE93&lt;=TODAY(),"日数制限","保有中"))),IF(N($AG93)=0,"利益確定",IF(N($AF93)=0,"損切確定",IF($AG93&lt;=$AF93,"損切確定","利益確定")))))</f>
        <v/>
      </c>
      <c r="AI93" s="600" t="str" cm="1">
        <f t="array" ref="AI93">IFERROR(INDEX(始値!$E$6:$IT$305,MATCH(TEXT($B93,"0"),TEXT(銘柄管理!$B$6:$B$305,"0"),0),MATCH($AE93,始値!$E$3:$IT$3,0)),"")</f>
        <v/>
      </c>
      <c r="AJ93" s="905" t="str">
        <f>IF(OR($V93="",$F93="",$G93=""),"",$V93/($F93*$G93))</f>
        <v/>
      </c>
      <c r="AK93" s="629" t="str">
        <f>IF($V93="","",IF($V93&gt;0,"○勝",IF($V93&lt;0,"●負","△引分")))</f>
        <v/>
      </c>
    </row>
    <row r="94" spans="1:37" ht="35.4" customHeight="1">
      <c r="A94" s="619" t="str">
        <f>IF(B94="","",HYPERLINK("https://kabutan.jp/stock/?code="&amp;B94,"株探"))</f>
        <v/>
      </c>
      <c r="B94" s="630"/>
      <c r="C94" s="490"/>
      <c r="D94" s="623" t="str" cm="1">
        <f t="array" ref="D94">IF($B94="","",_xll.RssMarket($B94,"銘柄名称"))</f>
        <v/>
      </c>
      <c r="E94" s="716"/>
      <c r="F94" s="698" t="str" cm="1">
        <f t="array" aca="1" ref="F94" ca="1">IFERROR(_xlfn.LET(_xlpm.r,MATCH(TEXT($B94,"0"),TEXT(銘柄管理!$B$6:$B$305,"0"),0),_xlpm.t,MOD(NOW(),1),_xlpm.c,IF($E94=TODAY(),IF(_xlpm.t&gt;=TIME(15,30,0),NA(),1),IF(MATCH($E94,始値!$E$3:$IT$3,0)=1,1,MATCH($E94,始値!$E$3:$IT$3,0)+1)),_xlpm.v,INDEX(始値!$C$6:$IT$305,_xlpm.r,_xlpm.c),IF(N(_xlpm.v)=0,"",_xlpm.v)),"")</f>
        <v/>
      </c>
      <c r="G94" s="631"/>
      <c r="H94" s="491" t="str" cm="1">
        <f t="array" ref="H94">IF($B94="","",_xll.RssMarket($B94,"現在値"))</f>
        <v/>
      </c>
      <c r="I94" s="491" t="str" cm="1">
        <f t="array" ref="I94">IF($B94="","",_xll.RssMarket($B94,"出来高加重平均"))</f>
        <v/>
      </c>
      <c r="J94" s="701" t="str" cm="1">
        <f t="array" ref="J94">IF($B94="","",_xll.RssMarket($B94,"前日比"))</f>
        <v/>
      </c>
      <c r="K94" s="701" t="str">
        <f>IF(OR(F94="",G94="",H94=""),"",IF(C94="売",(F94-H94)*G94,(H94-F94)*G94))</f>
        <v/>
      </c>
      <c r="L94" s="706" t="str">
        <f>IF(OR(F94="",H94=""),"",IF(C94="売",(F94-H94)/F94,(H94-F94)/F94))</f>
        <v/>
      </c>
      <c r="M94" s="491" t="str">
        <f>IF($F94="","",$F94*IF($C94="売",1-V811設定!$B$4,1+V811設定!$B$4)-MOD($F94*IF($C94="売",1-V811設定!$B$4,1+V811設定!$B$4),IF($F94&lt;=3000,1,IF($F94&lt;=5000,5,IF($F94&lt;=30000,10,IF($F94&lt;=50000,50,IF($F94&lt;=300000,100,500))))))+IF(AND($C94="売",MOD($F94*IF($C94="売",1-V811設定!$B$4,1+V811設定!$B$4),IF($F94&lt;=3000,1,IF($F94&lt;=5000,5,IF($F94&lt;=30000,10,IF($F94&lt;=50000,50,IF($F94&lt;=300000,100,500))))))&gt;0),IF($F94&lt;=3000,1,IF($F94&lt;=5000,5,IF($F94&lt;=30000,10,IF($F94&lt;=50000,50,IF($F94&lt;=300000,100,500))))),0))</f>
      </c>
      <c r="N94" s="491" t="str">
        <f>IF($F94="","",$F94*IF($C94="売",1+V811設定!$B$3,1-V811設定!$B$3)-MOD($F94*IF($C94="売",1+V811設定!$B$3,1-V811設定!$B$3),IF($F94&lt;=3000,1,IF($F94&lt;=5000,5,IF($F94&lt;=30000,10,IF($F94&lt;=50000,50,IF($F94&lt;=300000,100,500))))))+IF(AND($C94="売",MOD($F94*IF($C94="売",1+V811設定!$B$3,1-V811設定!$B$3),IF($F94&lt;=3000,1,IF($F94&lt;=5000,5,IF($F94&lt;=30000,10,IF($F94&lt;=50000,50,IF($F94&lt;=300000,100,500))))))&gt;0),IF($F94&lt;=3000,1,IF($F94&lt;=5000,5,IF($F94&lt;=30000,10,IF($F94&lt;=50000,50,IF($F94&lt;=300000,100,500))))),0))</f>
      </c>
      <c r="O94" s="492" t="str">
        <f>IF(OR($B94="",$F94="",$H94=""),"",IF($S94="✅売却済","―決済済―",IF($C94="売",IF($H94&lt;=$M94,"🟢利確",IF(AND($R94&lt;&gt;"",$H94&gt;=$R94),"🟠TRAIL",IF($H94&gt;=$N94,"🔴損切",IF($W94&gt;=V811設定!$B$6,"⏱時間決済",IF($H94&gt;=$F94*(1+V811設定!$B$3*0.7),"⚠️損切接近","保持継続"))))),IF($H94&gt;=$M94,"🟢利確",IF(AND($R94&lt;&gt;"",$H94&lt;=$R94),"🟠TRAIL",IF($H94&lt;=$N94,"🔴損切",IF($W94&gt;=V811設定!$B$6,"⏱時間決済",IF($H94&lt;=$F94*(1-V811設定!$B$3*0.7),"⚠️損切接近","保持継続"))))))))</f>
      </c>
      <c r="P94" s="491"/>
      <c r="Q94" s="491"/>
      <c r="R94" s="491" t="str">
        <f>IF(OR($F94="",$H94="",$N94=""),"",IF($S94="✅売却済","",IF($C94="売",IF($H94&gt;$F94*(1-V811設定!$B$3),$N94,MIN($N94,IF($Q94="",$N94,$Q94*1.03))),IF($H94&lt;$F94*(1+V811設定!$B$3),$N94,MAX($N94,IF($P94="",$N94,$P94*0.97))))))</f>
      </c>
      <c r="S94" s="586" t="str">
        <f>IF(B94="","",IF(T94&lt;&gt;"","✅売却済",IF(OR(H94="",L94=""),"📌保有中",IF(L94&gt;=0.06,"🟢利確推奨",IF(L94&gt;=0.05,"🟡利確直近",IF(L94&gt;=0.045,"🔵トレーリング検討",IF(L94&gt;-0.03,"📌保有中",IF(L94&gt;-0.04,"⚠️損切注意","🔴損切り"))))))))</f>
        <v/>
      </c>
      <c r="T94" s="594"/>
      <c r="U94" s="491"/>
      <c r="V94" s="701" t="str">
        <f>IF(OR(F94="",G94="",U94=""),"",IF(C94="売",(F94-U94)*G94,(U94-F94)*G94))</f>
        <v/>
      </c>
      <c r="W94" s="493" t="str">
        <f>IF(OR($E94="",$B94=""),"",IF($T94&lt;&gt;"",$T94-$E94,TODAY()-$E94)+1)</f>
        <v/>
      </c>
      <c r="X94" s="489" t="str">
        <f>IF(OR($AH94="",$AH94="保有中"),"",$AH94)</f>
        <v/>
      </c>
      <c r="Y94" s="488"/>
      <c r="Z94" s="710"/>
      <c r="AD94" s="608"/>
      <c r="AE94" s="624" t="str">
        <f>IF($E94="","",WORKDAY($E94,12))</f>
        <v/>
      </c>
      <c r="AF94" s="626" t="str" cm="1">
        <f t="array" aca="1" ref="AF94" ca="1">IF(OR($B94="",$M94=""),"",IFERROR(IF($C94="売",_xlfn.MINIFS(安値!$E$3:$IT$3,安値!$E$3:$IT$3,"&gt;"&amp;$E94,安値!$E$3:$IT$3,"&lt;="&amp;$AE94,OFFSET(安値!$E$6:$IT$6,MATCH(TEXT($B94,"0"),TEXT(銘柄管理!$B$6:$B$305,"0"),0)-1,0),"&lt;="&amp;$M94),_xlfn.MINIFS(高値!$E$3:$IT$3,高値!$E$3:$IT$3,"&gt;"&amp;$E94,高値!$E$3:$IT$3,"&lt;="&amp;$AE94,OFFSET(高値!$E$6:$IT$6,MATCH(TEXT($B94,"0"),TEXT(銘柄管理!$B$6:$B$305,"0"),0)-1,0),"&gt;="&amp;$M94)),""))</f>
        <v/>
      </c>
      <c r="AG94" s="626" t="str" cm="1">
        <f t="array" aca="1" ref="AG94" ca="1">IF(OR($B94="",$N94=""),"",IFERROR(IF($C94="売",_xlfn.MINIFS(高値!$E$3:$IT$3,高値!$E$3:$IT$3,"&gt;"&amp;$E94,高値!$E$3:$IT$3,"&lt;="&amp;$AE94,OFFSET(高値!$E$6:$IT$6,MATCH(TEXT($B94,"0"),TEXT(銘柄管理!$B$6:$B$305,"0"),0)-1,0),"&gt;="&amp;$N94),_xlfn.MINIFS(安値!$E$3:$IT$3,安値!$E$3:$IT$3,"&gt;"&amp;$E94,安値!$E$3:$IT$3,"&lt;="&amp;$AE94,OFFSET(安値!$E$6:$IT$6,MATCH(TEXT($B94,"0"),TEXT(銘柄管理!$B$6:$B$305,"0"),0)-1,0),"&lt;="&amp;$N94)),""))</f>
        <v/>
      </c>
      <c r="AH94" s="600" t="str">
        <f>IF(OR($B94="",$M94=""),"",IF(AND(N($AF94)=0,N($AG94)=0),IF(AND(ISNUMBER($H94),$H94&gt;0,IF($C94="売",$H94&gt;=$N94,$H94&lt;=$N94)),"損切確定",IF(AND(ISNUMBER($H94),$H94&gt;0,IF($C94="売",$H94&lt;=$M94,$H94&gt;=$M94)),"利益確定",IF($AE94&lt;=TODAY(),"日数制限","保有中"))),IF(N($AG94)=0,"利益確定",IF(N($AF94)=0,"損切確定",IF($AG94&lt;=$AF94,"損切確定","利益確定")))))</f>
        <v/>
      </c>
      <c r="AI94" s="600" t="str" cm="1">
        <f t="array" ref="AI94">IFERROR(INDEX(始値!$E$6:$IT$305,MATCH(TEXT($B94,"0"),TEXT(銘柄管理!$B$6:$B$305,"0"),0),MATCH($AE94,始値!$E$3:$IT$3,0)),"")</f>
        <v/>
      </c>
      <c r="AJ94" s="905" t="str">
        <f>IF(OR($V94="",$F94="",$G94=""),"",$V94/($F94*$G94))</f>
        <v/>
      </c>
      <c r="AK94" s="629" t="str">
        <f>IF($V94="","",IF($V94&gt;0,"○勝",IF($V94&lt;0,"●負","△引分")))</f>
        <v/>
      </c>
    </row>
    <row r="95" spans="1:37" ht="35.4" customHeight="1">
      <c r="A95" s="619" t="str">
        <f>IF(B95="","",HYPERLINK("https://kabutan.jp/stock/?code="&amp;B95,"株探"))</f>
        <v/>
      </c>
      <c r="B95" s="630"/>
      <c r="C95" s="490"/>
      <c r="D95" s="623" t="str" cm="1">
        <f t="array" ref="D95">IF($B95="","",_xll.RssMarket($B95,"銘柄名称"))</f>
        <v/>
      </c>
      <c r="E95" s="716"/>
      <c r="F95" s="698" t="str" cm="1">
        <f t="array" aca="1" ref="F95" ca="1">IFERROR(_xlfn.LET(_xlpm.r,MATCH(TEXT($B95,"0"),TEXT(銘柄管理!$B$6:$B$305,"0"),0),_xlpm.t,MOD(NOW(),1),_xlpm.c,IF($E95=TODAY(),IF(_xlpm.t&gt;=TIME(15,30,0),NA(),1),IF(MATCH($E95,始値!$E$3:$IT$3,0)=1,1,MATCH($E95,始値!$E$3:$IT$3,0)+1)),_xlpm.v,INDEX(始値!$C$6:$IT$305,_xlpm.r,_xlpm.c),IF(N(_xlpm.v)=0,"",_xlpm.v)),"")</f>
        <v/>
      </c>
      <c r="G95" s="631"/>
      <c r="H95" s="491" t="str" cm="1">
        <f t="array" ref="H95">IF($B95="","",_xll.RssMarket($B95,"現在値"))</f>
        <v/>
      </c>
      <c r="I95" s="491" t="str" cm="1">
        <f t="array" ref="I95">IF($B95="","",_xll.RssMarket($B95,"出来高加重平均"))</f>
        <v/>
      </c>
      <c r="J95" s="701" t="str" cm="1">
        <f t="array" ref="J95">IF($B95="","",_xll.RssMarket($B95,"前日比"))</f>
        <v/>
      </c>
      <c r="K95" s="701" t="str">
        <f>IF(OR(F95="",G95="",H95=""),"",IF(C95="売",(F95-H95)*G95,(H95-F95)*G95))</f>
        <v/>
      </c>
      <c r="L95" s="706" t="str">
        <f>IF(OR(F95="",H95=""),"",IF(C95="売",(F95-H95)/F95,(H95-F95)/F95))</f>
        <v/>
      </c>
      <c r="M95" s="491" t="str">
        <f>IF($F95="","",$F95*IF($C95="売",1-V811設定!$B$4,1+V811設定!$B$4)-MOD($F95*IF($C95="売",1-V811設定!$B$4,1+V811設定!$B$4),IF($F95&lt;=3000,1,IF($F95&lt;=5000,5,IF($F95&lt;=30000,10,IF($F95&lt;=50000,50,IF($F95&lt;=300000,100,500))))))+IF(AND($C95="売",MOD($F95*IF($C95="売",1-V811設定!$B$4,1+V811設定!$B$4),IF($F95&lt;=3000,1,IF($F95&lt;=5000,5,IF($F95&lt;=30000,10,IF($F95&lt;=50000,50,IF($F95&lt;=300000,100,500))))))&gt;0),IF($F95&lt;=3000,1,IF($F95&lt;=5000,5,IF($F95&lt;=30000,10,IF($F95&lt;=50000,50,IF($F95&lt;=300000,100,500))))),0))</f>
      </c>
      <c r="N95" s="491" t="str">
        <f>IF($F95="","",$F95*IF($C95="売",1+V811設定!$B$3,1-V811設定!$B$3)-MOD($F95*IF($C95="売",1+V811設定!$B$3,1-V811設定!$B$3),IF($F95&lt;=3000,1,IF($F95&lt;=5000,5,IF($F95&lt;=30000,10,IF($F95&lt;=50000,50,IF($F95&lt;=300000,100,500))))))+IF(AND($C95="売",MOD($F95*IF($C95="売",1+V811設定!$B$3,1-V811設定!$B$3),IF($F95&lt;=3000,1,IF($F95&lt;=5000,5,IF($F95&lt;=30000,10,IF($F95&lt;=50000,50,IF($F95&lt;=300000,100,500))))))&gt;0),IF($F95&lt;=3000,1,IF($F95&lt;=5000,5,IF($F95&lt;=30000,10,IF($F95&lt;=50000,50,IF($F95&lt;=300000,100,500))))),0))</f>
      </c>
      <c r="O95" s="492" t="str">
        <f>IF(OR($B95="",$F95="",$H95=""),"",IF($S95="✅売却済","―決済済―",IF($C95="売",IF($H95&lt;=$M95,"🟢利確",IF(AND($R95&lt;&gt;"",$H95&gt;=$R95),"🟠TRAIL",IF($H95&gt;=$N95,"🔴損切",IF($W95&gt;=V811設定!$B$6,"⏱時間決済",IF($H95&gt;=$F95*(1+V811設定!$B$3*0.7),"⚠️損切接近","保持継続"))))),IF($H95&gt;=$M95,"🟢利確",IF(AND($R95&lt;&gt;"",$H95&lt;=$R95),"🟠TRAIL",IF($H95&lt;=$N95,"🔴損切",IF($W95&gt;=V811設定!$B$6,"⏱時間決済",IF($H95&lt;=$F95*(1-V811設定!$B$3*0.7),"⚠️損切接近","保持継続"))))))))</f>
      </c>
      <c r="P95" s="491"/>
      <c r="Q95" s="491"/>
      <c r="R95" s="491" t="str">
        <f>IF(OR($F95="",$H95="",$N95=""),"",IF($S95="✅売却済","",IF($C95="売",IF($H95&gt;$F95*(1-V811設定!$B$3),$N95,MIN($N95,IF($Q95="",$N95,$Q95*1.03))),IF($H95&lt;$F95*(1+V811設定!$B$3),$N95,MAX($N95,IF($P95="",$N95,$P95*0.97))))))</f>
      </c>
      <c r="S95" s="586" t="str">
        <f>IF(B95="","",IF(T95&lt;&gt;"","✅売却済",IF(OR(H95="",L95=""),"📌保有中",IF(L95&gt;=0.06,"🟢利確推奨",IF(L95&gt;=0.05,"🟡利確直近",IF(L95&gt;=0.045,"🔵トレーリング検討",IF(L95&gt;-0.03,"📌保有中",IF(L95&gt;-0.04,"⚠️損切注意","🔴損切り"))))))))</f>
        <v/>
      </c>
      <c r="T95" s="594"/>
      <c r="U95" s="491"/>
      <c r="V95" s="701" t="str">
        <f>IF(OR(F95="",G95="",U95=""),"",IF(C95="売",(F95-U95)*G95,(U95-F95)*G95))</f>
        <v/>
      </c>
      <c r="W95" s="493" t="str">
        <f>IF(OR($E95="",$B95=""),"",IF($T95&lt;&gt;"",$T95-$E95,TODAY()-$E95)+1)</f>
        <v/>
      </c>
      <c r="X95" s="489" t="str">
        <f>IF(OR($AH95="",$AH95="保有中"),"",$AH95)</f>
        <v/>
      </c>
      <c r="Y95" s="488"/>
      <c r="Z95" s="710"/>
      <c r="AD95" s="608"/>
      <c r="AE95" s="624" t="str">
        <f>IF($E95="","",WORKDAY($E95,12))</f>
        <v/>
      </c>
      <c r="AF95" s="626" t="str" cm="1">
        <f t="array" aca="1" ref="AF95" ca="1">IF(OR($B95="",$M95=""),"",IFERROR(IF($C95="売",_xlfn.MINIFS(安値!$E$3:$IT$3,安値!$E$3:$IT$3,"&gt;"&amp;$E95,安値!$E$3:$IT$3,"&lt;="&amp;$AE95,OFFSET(安値!$E$6:$IT$6,MATCH(TEXT($B95,"0"),TEXT(銘柄管理!$B$6:$B$305,"0"),0)-1,0),"&lt;="&amp;$M95),_xlfn.MINIFS(高値!$E$3:$IT$3,高値!$E$3:$IT$3,"&gt;"&amp;$E95,高値!$E$3:$IT$3,"&lt;="&amp;$AE95,OFFSET(高値!$E$6:$IT$6,MATCH(TEXT($B95,"0"),TEXT(銘柄管理!$B$6:$B$305,"0"),0)-1,0),"&gt;="&amp;$M95)),""))</f>
        <v/>
      </c>
      <c r="AG95" s="626" t="str" cm="1">
        <f t="array" aca="1" ref="AG95" ca="1">IF(OR($B95="",$N95=""),"",IFERROR(IF($C95="売",_xlfn.MINIFS(高値!$E$3:$IT$3,高値!$E$3:$IT$3,"&gt;"&amp;$E95,高値!$E$3:$IT$3,"&lt;="&amp;$AE95,OFFSET(高値!$E$6:$IT$6,MATCH(TEXT($B95,"0"),TEXT(銘柄管理!$B$6:$B$305,"0"),0)-1,0),"&gt;="&amp;$N95),_xlfn.MINIFS(安値!$E$3:$IT$3,安値!$E$3:$IT$3,"&gt;"&amp;$E95,安値!$E$3:$IT$3,"&lt;="&amp;$AE95,OFFSET(安値!$E$6:$IT$6,MATCH(TEXT($B95,"0"),TEXT(銘柄管理!$B$6:$B$305,"0"),0)-1,0),"&lt;="&amp;$N95)),""))</f>
        <v/>
      </c>
      <c r="AH95" s="600" t="str">
        <f>IF(OR($B95="",$M95=""),"",IF(AND(N($AF95)=0,N($AG95)=0),IF(AND(ISNUMBER($H95),$H95&gt;0,IF($C95="売",$H95&gt;=$N95,$H95&lt;=$N95)),"損切確定",IF(AND(ISNUMBER($H95),$H95&gt;0,IF($C95="売",$H95&lt;=$M95,$H95&gt;=$M95)),"利益確定",IF($AE95&lt;=TODAY(),"日数制限","保有中"))),IF(N($AG95)=0,"利益確定",IF(N($AF95)=0,"損切確定",IF($AG95&lt;=$AF95,"損切確定","利益確定")))))</f>
        <v/>
      </c>
      <c r="AI95" s="600" t="str" cm="1">
        <f t="array" ref="AI95">IFERROR(INDEX(始値!$E$6:$IT$305,MATCH(TEXT($B95,"0"),TEXT(銘柄管理!$B$6:$B$305,"0"),0),MATCH($AE95,始値!$E$3:$IT$3,0)),"")</f>
        <v/>
      </c>
      <c r="AJ95" s="905" t="str">
        <f>IF(OR($V95="",$F95="",$G95=""),"",$V95/($F95*$G95))</f>
        <v/>
      </c>
      <c r="AK95" s="629" t="str">
        <f>IF($V95="","",IF($V95&gt;0,"○勝",IF($V95&lt;0,"●負","△引分")))</f>
        <v/>
      </c>
    </row>
    <row r="96" spans="1:37" ht="35.4" customHeight="1">
      <c r="A96" s="619" t="str">
        <f>IF(B96="","",HYPERLINK("https://kabutan.jp/stock/?code="&amp;B96,"株探"))</f>
        <v/>
      </c>
      <c r="B96" s="630"/>
      <c r="C96" s="490"/>
      <c r="D96" s="623" t="str" cm="1">
        <f t="array" ref="D96">IF($B96="","",_xll.RssMarket($B96,"銘柄名称"))</f>
        <v/>
      </c>
      <c r="E96" s="716"/>
      <c r="F96" s="698" t="str" cm="1">
        <f t="array" aca="1" ref="F96" ca="1">IFERROR(_xlfn.LET(_xlpm.r,MATCH(TEXT($B96,"0"),TEXT(銘柄管理!$B$6:$B$305,"0"),0),_xlpm.t,MOD(NOW(),1),_xlpm.c,IF($E96=TODAY(),IF(_xlpm.t&gt;=TIME(15,30,0),NA(),1),IF(MATCH($E96,始値!$E$3:$IT$3,0)=1,1,MATCH($E96,始値!$E$3:$IT$3,0)+1)),_xlpm.v,INDEX(始値!$C$6:$IT$305,_xlpm.r,_xlpm.c),IF(N(_xlpm.v)=0,"",_xlpm.v)),"")</f>
        <v/>
      </c>
      <c r="G96" s="631"/>
      <c r="H96" s="491" t="str" cm="1">
        <f t="array" ref="H96">IF($B96="","",_xll.RssMarket($B96,"現在値"))</f>
        <v/>
      </c>
      <c r="I96" s="491" t="str" cm="1">
        <f t="array" ref="I96">IF($B96="","",_xll.RssMarket($B96,"出来高加重平均"))</f>
        <v/>
      </c>
      <c r="J96" s="701" t="str" cm="1">
        <f t="array" ref="J96">IF($B96="","",_xll.RssMarket($B96,"前日比"))</f>
        <v/>
      </c>
      <c r="K96" s="701" t="str">
        <f>IF(OR(F96="",G96="",H96=""),"",IF(C96="売",(F96-H96)*G96,(H96-F96)*G96))</f>
        <v/>
      </c>
      <c r="L96" s="706" t="str">
        <f>IF(OR(F96="",H96=""),"",IF(C96="売",(F96-H96)/F96,(H96-F96)/F96))</f>
        <v/>
      </c>
      <c r="M96" s="491" t="str">
        <f>IF($F96="","",$F96*IF($C96="売",1-V811設定!$B$4,1+V811設定!$B$4)-MOD($F96*IF($C96="売",1-V811設定!$B$4,1+V811設定!$B$4),IF($F96&lt;=3000,1,IF($F96&lt;=5000,5,IF($F96&lt;=30000,10,IF($F96&lt;=50000,50,IF($F96&lt;=300000,100,500))))))+IF(AND($C96="売",MOD($F96*IF($C96="売",1-V811設定!$B$4,1+V811設定!$B$4),IF($F96&lt;=3000,1,IF($F96&lt;=5000,5,IF($F96&lt;=30000,10,IF($F96&lt;=50000,50,IF($F96&lt;=300000,100,500))))))&gt;0),IF($F96&lt;=3000,1,IF($F96&lt;=5000,5,IF($F96&lt;=30000,10,IF($F96&lt;=50000,50,IF($F96&lt;=300000,100,500))))),0))</f>
      </c>
      <c r="N96" s="491" t="str">
        <f>IF($F96="","",$F96*IF($C96="売",1+V811設定!$B$3,1-V811設定!$B$3)-MOD($F96*IF($C96="売",1+V811設定!$B$3,1-V811設定!$B$3),IF($F96&lt;=3000,1,IF($F96&lt;=5000,5,IF($F96&lt;=30000,10,IF($F96&lt;=50000,50,IF($F96&lt;=300000,100,500))))))+IF(AND($C96="売",MOD($F96*IF($C96="売",1+V811設定!$B$3,1-V811設定!$B$3),IF($F96&lt;=3000,1,IF($F96&lt;=5000,5,IF($F96&lt;=30000,10,IF($F96&lt;=50000,50,IF($F96&lt;=300000,100,500))))))&gt;0),IF($F96&lt;=3000,1,IF($F96&lt;=5000,5,IF($F96&lt;=30000,10,IF($F96&lt;=50000,50,IF($F96&lt;=300000,100,500))))),0))</f>
      </c>
      <c r="O96" s="492" t="str">
        <f>IF(OR($B96="",$F96="",$H96=""),"",IF($S96="✅売却済","―決済済―",IF($C96="売",IF($H96&lt;=$M96,"🟢利確",IF(AND($R96&lt;&gt;"",$H96&gt;=$R96),"🟠TRAIL",IF($H96&gt;=$N96,"🔴損切",IF($W96&gt;=V811設定!$B$6,"⏱時間決済",IF($H96&gt;=$F96*(1+V811設定!$B$3*0.7),"⚠️損切接近","保持継続"))))),IF($H96&gt;=$M96,"🟢利確",IF(AND($R96&lt;&gt;"",$H96&lt;=$R96),"🟠TRAIL",IF($H96&lt;=$N96,"🔴損切",IF($W96&gt;=V811設定!$B$6,"⏱時間決済",IF($H96&lt;=$F96*(1-V811設定!$B$3*0.7),"⚠️損切接近","保持継続"))))))))</f>
      </c>
      <c r="P96" s="491"/>
      <c r="Q96" s="491"/>
      <c r="R96" s="491" t="str">
        <f>IF(OR($F96="",$H96="",$N96=""),"",IF($S96="✅売却済","",IF($C96="売",IF($H96&gt;$F96*(1-V811設定!$B$3),$N96,MIN($N96,IF($Q96="",$N96,$Q96*1.03))),IF($H96&lt;$F96*(1+V811設定!$B$3),$N96,MAX($N96,IF($P96="",$N96,$P96*0.97))))))</f>
      </c>
      <c r="S96" s="586" t="str">
        <f>IF(B96="","",IF(T96&lt;&gt;"","✅売却済",IF(OR(H96="",L96=""),"📌保有中",IF(L96&gt;=0.06,"🟢利確推奨",IF(L96&gt;=0.05,"🟡利確直近",IF(L96&gt;=0.045,"🔵トレーリング検討",IF(L96&gt;-0.03,"📌保有中",IF(L96&gt;-0.04,"⚠️損切注意","🔴損切り"))))))))</f>
        <v/>
      </c>
      <c r="T96" s="594"/>
      <c r="U96" s="491"/>
      <c r="V96" s="701" t="str">
        <f>IF(OR(F96="",G96="",U96=""),"",IF(C96="売",(F96-U96)*G96,(U96-F96)*G96))</f>
        <v/>
      </c>
      <c r="W96" s="493" t="str">
        <f>IF(OR($E96="",$B96=""),"",IF($T96&lt;&gt;"",$T96-$E96,TODAY()-$E96)+1)</f>
        <v/>
      </c>
      <c r="X96" s="489" t="str">
        <f>IF(OR($AH96="",$AH96="保有中"),"",$AH96)</f>
        <v/>
      </c>
      <c r="Y96" s="488"/>
      <c r="Z96" s="710"/>
      <c r="AD96" s="608"/>
      <c r="AE96" s="624" t="str">
        <f>IF($E96="","",WORKDAY($E96,12))</f>
        <v/>
      </c>
      <c r="AF96" s="626" t="str" cm="1">
        <f t="array" aca="1" ref="AF96" ca="1">IF(OR($B96="",$M96=""),"",IFERROR(IF($C96="売",_xlfn.MINIFS(安値!$E$3:$IT$3,安値!$E$3:$IT$3,"&gt;"&amp;$E96,安値!$E$3:$IT$3,"&lt;="&amp;$AE96,OFFSET(安値!$E$6:$IT$6,MATCH(TEXT($B96,"0"),TEXT(銘柄管理!$B$6:$B$305,"0"),0)-1,0),"&lt;="&amp;$M96),_xlfn.MINIFS(高値!$E$3:$IT$3,高値!$E$3:$IT$3,"&gt;"&amp;$E96,高値!$E$3:$IT$3,"&lt;="&amp;$AE96,OFFSET(高値!$E$6:$IT$6,MATCH(TEXT($B96,"0"),TEXT(銘柄管理!$B$6:$B$305,"0"),0)-1,0),"&gt;="&amp;$M96)),""))</f>
        <v/>
      </c>
      <c r="AG96" s="626" t="str" cm="1">
        <f t="array" aca="1" ref="AG96" ca="1">IF(OR($B96="",$N96=""),"",IFERROR(IF($C96="売",_xlfn.MINIFS(高値!$E$3:$IT$3,高値!$E$3:$IT$3,"&gt;"&amp;$E96,高値!$E$3:$IT$3,"&lt;="&amp;$AE96,OFFSET(高値!$E$6:$IT$6,MATCH(TEXT($B96,"0"),TEXT(銘柄管理!$B$6:$B$305,"0"),0)-1,0),"&gt;="&amp;$N96),_xlfn.MINIFS(安値!$E$3:$IT$3,安値!$E$3:$IT$3,"&gt;"&amp;$E96,安値!$E$3:$IT$3,"&lt;="&amp;$AE96,OFFSET(安値!$E$6:$IT$6,MATCH(TEXT($B96,"0"),TEXT(銘柄管理!$B$6:$B$305,"0"),0)-1,0),"&lt;="&amp;$N96)),""))</f>
        <v/>
      </c>
      <c r="AH96" s="600" t="str">
        <f>IF(OR($B96="",$M96=""),"",IF(AND(N($AF96)=0,N($AG96)=0),IF(AND(ISNUMBER($H96),$H96&gt;0,IF($C96="売",$H96&gt;=$N96,$H96&lt;=$N96)),"損切確定",IF(AND(ISNUMBER($H96),$H96&gt;0,IF($C96="売",$H96&lt;=$M96,$H96&gt;=$M96)),"利益確定",IF($AE96&lt;=TODAY(),"日数制限","保有中"))),IF(N($AG96)=0,"利益確定",IF(N($AF96)=0,"損切確定",IF($AG96&lt;=$AF96,"損切確定","利益確定")))))</f>
        <v/>
      </c>
      <c r="AI96" s="600" t="str" cm="1">
        <f t="array" ref="AI96">IFERROR(INDEX(始値!$E$6:$IT$305,MATCH(TEXT($B96,"0"),TEXT(銘柄管理!$B$6:$B$305,"0"),0),MATCH($AE96,始値!$E$3:$IT$3,0)),"")</f>
        <v/>
      </c>
      <c r="AJ96" s="905" t="str">
        <f>IF(OR($V96="",$F96="",$G96=""),"",$V96/($F96*$G96))</f>
        <v/>
      </c>
      <c r="AK96" s="629" t="str">
        <f>IF($V96="","",IF($V96&gt;0,"○勝",IF($V96&lt;0,"●負","△引分")))</f>
        <v/>
      </c>
    </row>
    <row r="97" spans="1:37" ht="35.4" customHeight="1">
      <c r="A97" s="619" t="str">
        <f>IF(B97="","",HYPERLINK("https://kabutan.jp/stock/?code="&amp;B97,"株探"))</f>
        <v/>
      </c>
      <c r="B97" s="630"/>
      <c r="C97" s="490"/>
      <c r="D97" s="623" t="str" cm="1">
        <f t="array" ref="D97">IF($B97="","",_xll.RssMarket($B97,"銘柄名称"))</f>
        <v/>
      </c>
      <c r="E97" s="716"/>
      <c r="F97" s="698" t="str" cm="1">
        <f t="array" aca="1" ref="F97" ca="1">IFERROR(_xlfn.LET(_xlpm.r,MATCH(TEXT($B97,"0"),TEXT(銘柄管理!$B$6:$B$305,"0"),0),_xlpm.t,MOD(NOW(),1),_xlpm.c,IF($E97=TODAY(),IF(_xlpm.t&gt;=TIME(15,30,0),NA(),1),IF(MATCH($E97,始値!$E$3:$IT$3,0)=1,1,MATCH($E97,始値!$E$3:$IT$3,0)+1)),_xlpm.v,INDEX(始値!$C$6:$IT$305,_xlpm.r,_xlpm.c),IF(N(_xlpm.v)=0,"",_xlpm.v)),"")</f>
        <v/>
      </c>
      <c r="G97" s="631"/>
      <c r="H97" s="491" t="str" cm="1">
        <f t="array" ref="H97">IF($B97="","",_xll.RssMarket($B97,"現在値"))</f>
        <v/>
      </c>
      <c r="I97" s="491" t="str" cm="1">
        <f t="array" ref="I97">IF($B97="","",_xll.RssMarket($B97,"出来高加重平均"))</f>
        <v/>
      </c>
      <c r="J97" s="701" t="str" cm="1">
        <f t="array" ref="J97">IF($B97="","",_xll.RssMarket($B97,"前日比"))</f>
        <v/>
      </c>
      <c r="K97" s="701" t="str">
        <f>IF(OR(F97="",G97="",H97=""),"",IF(C97="売",(F97-H97)*G97,(H97-F97)*G97))</f>
        <v/>
      </c>
      <c r="L97" s="706" t="str">
        <f>IF(OR(F97="",H97=""),"",IF(C97="売",(F97-H97)/F97,(H97-F97)/F97))</f>
        <v/>
      </c>
      <c r="M97" s="491" t="str">
        <f>IF($F97="","",$F97*IF($C97="売",1-V811設定!$B$4,1+V811設定!$B$4)-MOD($F97*IF($C97="売",1-V811設定!$B$4,1+V811設定!$B$4),IF($F97&lt;=3000,1,IF($F97&lt;=5000,5,IF($F97&lt;=30000,10,IF($F97&lt;=50000,50,IF($F97&lt;=300000,100,500))))))+IF(AND($C97="売",MOD($F97*IF($C97="売",1-V811設定!$B$4,1+V811設定!$B$4),IF($F97&lt;=3000,1,IF($F97&lt;=5000,5,IF($F97&lt;=30000,10,IF($F97&lt;=50000,50,IF($F97&lt;=300000,100,500))))))&gt;0),IF($F97&lt;=3000,1,IF($F97&lt;=5000,5,IF($F97&lt;=30000,10,IF($F97&lt;=50000,50,IF($F97&lt;=300000,100,500))))),0))</f>
      </c>
      <c r="N97" s="491" t="str">
        <f>IF($F97="","",$F97*IF($C97="売",1+V811設定!$B$3,1-V811設定!$B$3)-MOD($F97*IF($C97="売",1+V811設定!$B$3,1-V811設定!$B$3),IF($F97&lt;=3000,1,IF($F97&lt;=5000,5,IF($F97&lt;=30000,10,IF($F97&lt;=50000,50,IF($F97&lt;=300000,100,500))))))+IF(AND($C97="売",MOD($F97*IF($C97="売",1+V811設定!$B$3,1-V811設定!$B$3),IF($F97&lt;=3000,1,IF($F97&lt;=5000,5,IF($F97&lt;=30000,10,IF($F97&lt;=50000,50,IF($F97&lt;=300000,100,500))))))&gt;0),IF($F97&lt;=3000,1,IF($F97&lt;=5000,5,IF($F97&lt;=30000,10,IF($F97&lt;=50000,50,IF($F97&lt;=300000,100,500))))),0))</f>
      </c>
      <c r="O97" s="492" t="str">
        <f>IF(OR($B97="",$F97="",$H97=""),"",IF($S97="✅売却済","―決済済―",IF($C97="売",IF($H97&lt;=$M97,"🟢利確",IF(AND($R97&lt;&gt;"",$H97&gt;=$R97),"🟠TRAIL",IF($H97&gt;=$N97,"🔴損切",IF($W97&gt;=V811設定!$B$6,"⏱時間決済",IF($H97&gt;=$F97*(1+V811設定!$B$3*0.7),"⚠️損切接近","保持継続"))))),IF($H97&gt;=$M97,"🟢利確",IF(AND($R97&lt;&gt;"",$H97&lt;=$R97),"🟠TRAIL",IF($H97&lt;=$N97,"🔴損切",IF($W97&gt;=V811設定!$B$6,"⏱時間決済",IF($H97&lt;=$F97*(1-V811設定!$B$3*0.7),"⚠️損切接近","保持継続"))))))))</f>
      </c>
      <c r="P97" s="491"/>
      <c r="Q97" s="491"/>
      <c r="R97" s="491" t="str">
        <f>IF(OR($F97="",$H97="",$N97=""),"",IF($S97="✅売却済","",IF($C97="売",IF($H97&gt;$F97*(1-V811設定!$B$3),$N97,MIN($N97,IF($Q97="",$N97,$Q97*1.03))),IF($H97&lt;$F97*(1+V811設定!$B$3),$N97,MAX($N97,IF($P97="",$N97,$P97*0.97))))))</f>
      </c>
      <c r="S97" s="586" t="str">
        <f>IF(B97="","",IF(T97&lt;&gt;"","✅売却済",IF(OR(H97="",L97=""),"📌保有中",IF(L97&gt;=0.06,"🟢利確推奨",IF(L97&gt;=0.05,"🟡利確直近",IF(L97&gt;=0.045,"🔵トレーリング検討",IF(L97&gt;-0.03,"📌保有中",IF(L97&gt;-0.04,"⚠️損切注意","🔴損切り"))))))))</f>
        <v/>
      </c>
      <c r="T97" s="594"/>
      <c r="U97" s="491"/>
      <c r="V97" s="701" t="str">
        <f>IF(OR(F97="",G97="",U97=""),"",IF(C97="売",(F97-U97)*G97,(U97-F97)*G97))</f>
        <v/>
      </c>
      <c r="W97" s="493" t="str">
        <f>IF(OR($E97="",$B97=""),"",IF($T97&lt;&gt;"",$T97-$E97,TODAY()-$E97)+1)</f>
        <v/>
      </c>
      <c r="X97" s="489" t="str">
        <f>IF(OR($AH97="",$AH97="保有中"),"",$AH97)</f>
        <v/>
      </c>
      <c r="Y97" s="488"/>
      <c r="Z97" s="710"/>
      <c r="AD97" s="608"/>
      <c r="AE97" s="624" t="str">
        <f>IF($E97="","",WORKDAY($E97,12))</f>
        <v/>
      </c>
      <c r="AF97" s="626" t="str" cm="1">
        <f t="array" aca="1" ref="AF97" ca="1">IF(OR($B97="",$M97=""),"",IFERROR(IF($C97="売",_xlfn.MINIFS(安値!$E$3:$IT$3,安値!$E$3:$IT$3,"&gt;"&amp;$E97,安値!$E$3:$IT$3,"&lt;="&amp;$AE97,OFFSET(安値!$E$6:$IT$6,MATCH(TEXT($B97,"0"),TEXT(銘柄管理!$B$6:$B$305,"0"),0)-1,0),"&lt;="&amp;$M97),_xlfn.MINIFS(高値!$E$3:$IT$3,高値!$E$3:$IT$3,"&gt;"&amp;$E97,高値!$E$3:$IT$3,"&lt;="&amp;$AE97,OFFSET(高値!$E$6:$IT$6,MATCH(TEXT($B97,"0"),TEXT(銘柄管理!$B$6:$B$305,"0"),0)-1,0),"&gt;="&amp;$M97)),""))</f>
        <v/>
      </c>
      <c r="AG97" s="626" t="str" cm="1">
        <f t="array" aca="1" ref="AG97" ca="1">IF(OR($B97="",$N97=""),"",IFERROR(IF($C97="売",_xlfn.MINIFS(高値!$E$3:$IT$3,高値!$E$3:$IT$3,"&gt;"&amp;$E97,高値!$E$3:$IT$3,"&lt;="&amp;$AE97,OFFSET(高値!$E$6:$IT$6,MATCH(TEXT($B97,"0"),TEXT(銘柄管理!$B$6:$B$305,"0"),0)-1,0),"&gt;="&amp;$N97),_xlfn.MINIFS(安値!$E$3:$IT$3,安値!$E$3:$IT$3,"&gt;"&amp;$E97,安値!$E$3:$IT$3,"&lt;="&amp;$AE97,OFFSET(安値!$E$6:$IT$6,MATCH(TEXT($B97,"0"),TEXT(銘柄管理!$B$6:$B$305,"0"),0)-1,0),"&lt;="&amp;$N97)),""))</f>
        <v/>
      </c>
      <c r="AH97" s="600" t="str">
        <f>IF(OR($B97="",$M97=""),"",IF(AND(N($AF97)=0,N($AG97)=0),IF(AND(ISNUMBER($H97),$H97&gt;0,IF($C97="売",$H97&gt;=$N97,$H97&lt;=$N97)),"損切確定",IF(AND(ISNUMBER($H97),$H97&gt;0,IF($C97="売",$H97&lt;=$M97,$H97&gt;=$M97)),"利益確定",IF($AE97&lt;=TODAY(),"日数制限","保有中"))),IF(N($AG97)=0,"利益確定",IF(N($AF97)=0,"損切確定",IF($AG97&lt;=$AF97,"損切確定","利益確定")))))</f>
        <v/>
      </c>
      <c r="AI97" s="600" t="str" cm="1">
        <f t="array" ref="AI97">IFERROR(INDEX(始値!$E$6:$IT$305,MATCH(TEXT($B97,"0"),TEXT(銘柄管理!$B$6:$B$305,"0"),0),MATCH($AE97,始値!$E$3:$IT$3,0)),"")</f>
        <v/>
      </c>
      <c r="AJ97" s="905" t="str">
        <f>IF(OR($V97="",$F97="",$G97=""),"",$V97/($F97*$G97))</f>
        <v/>
      </c>
      <c r="AK97" s="629" t="str">
        <f>IF($V97="","",IF($V97&gt;0,"○勝",IF($V97&lt;0,"●負","△引分")))</f>
        <v/>
      </c>
    </row>
    <row r="98" spans="1:37" ht="35.4" customHeight="1">
      <c r="A98" s="619" t="str">
        <f>IF(B98="","",HYPERLINK("https://kabutan.jp/stock/?code="&amp;B98,"株探"))</f>
        <v/>
      </c>
      <c r="B98" s="630"/>
      <c r="C98" s="490"/>
      <c r="D98" s="623" t="str" cm="1">
        <f t="array" ref="D98">IF($B98="","",_xll.RssMarket($B98,"銘柄名称"))</f>
        <v/>
      </c>
      <c r="E98" s="716"/>
      <c r="F98" s="698" t="str" cm="1">
        <f t="array" aca="1" ref="F98" ca="1">IFERROR(_xlfn.LET(_xlpm.r,MATCH(TEXT($B98,"0"),TEXT(銘柄管理!$B$6:$B$305,"0"),0),_xlpm.t,MOD(NOW(),1),_xlpm.c,IF($E98=TODAY(),IF(_xlpm.t&gt;=TIME(15,30,0),NA(),1),IF(MATCH($E98,始値!$E$3:$IT$3,0)=1,1,MATCH($E98,始値!$E$3:$IT$3,0)+1)),_xlpm.v,INDEX(始値!$C$6:$IT$305,_xlpm.r,_xlpm.c),IF(N(_xlpm.v)=0,"",_xlpm.v)),"")</f>
        <v/>
      </c>
      <c r="G98" s="631"/>
      <c r="H98" s="491" t="str" cm="1">
        <f t="array" ref="H98">IF($B98="","",_xll.RssMarket($B98,"現在値"))</f>
        <v/>
      </c>
      <c r="I98" s="491" t="str" cm="1">
        <f t="array" ref="I98">IF($B98="","",_xll.RssMarket($B98,"出来高加重平均"))</f>
        <v/>
      </c>
      <c r="J98" s="701" t="str" cm="1">
        <f t="array" ref="J98">IF($B98="","",_xll.RssMarket($B98,"前日比"))</f>
        <v/>
      </c>
      <c r="K98" s="701" t="str">
        <f>IF(OR(F98="",G98="",H98=""),"",IF(C98="売",(F98-H98)*G98,(H98-F98)*G98))</f>
        <v/>
      </c>
      <c r="L98" s="706" t="str">
        <f>IF(OR(F98="",H98=""),"",IF(C98="売",(F98-H98)/F98,(H98-F98)/F98))</f>
        <v/>
      </c>
      <c r="M98" s="491" t="str">
        <f>IF($F98="","",$F98*IF($C98="売",1-V811設定!$B$4,1+V811設定!$B$4)-MOD($F98*IF($C98="売",1-V811設定!$B$4,1+V811設定!$B$4),IF($F98&lt;=3000,1,IF($F98&lt;=5000,5,IF($F98&lt;=30000,10,IF($F98&lt;=50000,50,IF($F98&lt;=300000,100,500))))))+IF(AND($C98="売",MOD($F98*IF($C98="売",1-V811設定!$B$4,1+V811設定!$B$4),IF($F98&lt;=3000,1,IF($F98&lt;=5000,5,IF($F98&lt;=30000,10,IF($F98&lt;=50000,50,IF($F98&lt;=300000,100,500))))))&gt;0),IF($F98&lt;=3000,1,IF($F98&lt;=5000,5,IF($F98&lt;=30000,10,IF($F98&lt;=50000,50,IF($F98&lt;=300000,100,500))))),0))</f>
      </c>
      <c r="N98" s="491" t="str">
        <f>IF($F98="","",$F98*IF($C98="売",1+V811設定!$B$3,1-V811設定!$B$3)-MOD($F98*IF($C98="売",1+V811設定!$B$3,1-V811設定!$B$3),IF($F98&lt;=3000,1,IF($F98&lt;=5000,5,IF($F98&lt;=30000,10,IF($F98&lt;=50000,50,IF($F98&lt;=300000,100,500))))))+IF(AND($C98="売",MOD($F98*IF($C98="売",1+V811設定!$B$3,1-V811設定!$B$3),IF($F98&lt;=3000,1,IF($F98&lt;=5000,5,IF($F98&lt;=30000,10,IF($F98&lt;=50000,50,IF($F98&lt;=300000,100,500))))))&gt;0),IF($F98&lt;=3000,1,IF($F98&lt;=5000,5,IF($F98&lt;=30000,10,IF($F98&lt;=50000,50,IF($F98&lt;=300000,100,500))))),0))</f>
      </c>
      <c r="O98" s="492" t="str">
        <f>IF(OR($B98="",$F98="",$H98=""),"",IF($S98="✅売却済","―決済済―",IF($C98="売",IF($H98&lt;=$M98,"🟢利確",IF(AND($R98&lt;&gt;"",$H98&gt;=$R98),"🟠TRAIL",IF($H98&gt;=$N98,"🔴損切",IF($W98&gt;=V811設定!$B$6,"⏱時間決済",IF($H98&gt;=$F98*(1+V811設定!$B$3*0.7),"⚠️損切接近","保持継続"))))),IF($H98&gt;=$M98,"🟢利確",IF(AND($R98&lt;&gt;"",$H98&lt;=$R98),"🟠TRAIL",IF($H98&lt;=$N98,"🔴損切",IF($W98&gt;=V811設定!$B$6,"⏱時間決済",IF($H98&lt;=$F98*(1-V811設定!$B$3*0.7),"⚠️損切接近","保持継続"))))))))</f>
      </c>
      <c r="P98" s="491"/>
      <c r="Q98" s="491"/>
      <c r="R98" s="491" t="str">
        <f>IF(OR($F98="",$H98="",$N98=""),"",IF($S98="✅売却済","",IF($C98="売",IF($H98&gt;$F98*(1-V811設定!$B$3),$N98,MIN($N98,IF($Q98="",$N98,$Q98*1.03))),IF($H98&lt;$F98*(1+V811設定!$B$3),$N98,MAX($N98,IF($P98="",$N98,$P98*0.97))))))</f>
      </c>
      <c r="S98" s="586" t="str">
        <f>IF(B98="","",IF(T98&lt;&gt;"","✅売却済",IF(OR(H98="",L98=""),"📌保有中",IF(L98&gt;=0.06,"🟢利確推奨",IF(L98&gt;=0.05,"🟡利確直近",IF(L98&gt;=0.045,"🔵トレーリング検討",IF(L98&gt;-0.03,"📌保有中",IF(L98&gt;-0.04,"⚠️損切注意","🔴損切り"))))))))</f>
        <v/>
      </c>
      <c r="T98" s="594"/>
      <c r="U98" s="491"/>
      <c r="V98" s="701" t="str">
        <f>IF(OR(F98="",G98="",U98=""),"",IF(C98="売",(F98-U98)*G98,(U98-F98)*G98))</f>
        <v/>
      </c>
      <c r="W98" s="493" t="str">
        <f>IF(OR($E98="",$B98=""),"",IF($T98&lt;&gt;"",$T98-$E98,TODAY()-$E98)+1)</f>
        <v/>
      </c>
      <c r="X98" s="489" t="str">
        <f>IF(OR($AH98="",$AH98="保有中"),"",$AH98)</f>
        <v/>
      </c>
      <c r="Y98" s="488"/>
      <c r="Z98" s="710"/>
      <c r="AD98" s="608"/>
      <c r="AE98" s="624" t="str">
        <f>IF($E98="","",WORKDAY($E98,12))</f>
        <v/>
      </c>
      <c r="AF98" s="626" t="str" cm="1">
        <f t="array" aca="1" ref="AF98" ca="1">IF(OR($B98="",$M98=""),"",IFERROR(IF($C98="売",_xlfn.MINIFS(安値!$E$3:$IT$3,安値!$E$3:$IT$3,"&gt;"&amp;$E98,安値!$E$3:$IT$3,"&lt;="&amp;$AE98,OFFSET(安値!$E$6:$IT$6,MATCH(TEXT($B98,"0"),TEXT(銘柄管理!$B$6:$B$305,"0"),0)-1,0),"&lt;="&amp;$M98),_xlfn.MINIFS(高値!$E$3:$IT$3,高値!$E$3:$IT$3,"&gt;"&amp;$E98,高値!$E$3:$IT$3,"&lt;="&amp;$AE98,OFFSET(高値!$E$6:$IT$6,MATCH(TEXT($B98,"0"),TEXT(銘柄管理!$B$6:$B$305,"0"),0)-1,0),"&gt;="&amp;$M98)),""))</f>
        <v/>
      </c>
      <c r="AG98" s="626" t="str" cm="1">
        <f t="array" aca="1" ref="AG98" ca="1">IF(OR($B98="",$N98=""),"",IFERROR(IF($C98="売",_xlfn.MINIFS(高値!$E$3:$IT$3,高値!$E$3:$IT$3,"&gt;"&amp;$E98,高値!$E$3:$IT$3,"&lt;="&amp;$AE98,OFFSET(高値!$E$6:$IT$6,MATCH(TEXT($B98,"0"),TEXT(銘柄管理!$B$6:$B$305,"0"),0)-1,0),"&gt;="&amp;$N98),_xlfn.MINIFS(安値!$E$3:$IT$3,安値!$E$3:$IT$3,"&gt;"&amp;$E98,安値!$E$3:$IT$3,"&lt;="&amp;$AE98,OFFSET(安値!$E$6:$IT$6,MATCH(TEXT($B98,"0"),TEXT(銘柄管理!$B$6:$B$305,"0"),0)-1,0),"&lt;="&amp;$N98)),""))</f>
        <v/>
      </c>
      <c r="AH98" s="600" t="str">
        <f>IF(OR($B98="",$M98=""),"",IF(AND(N($AF98)=0,N($AG98)=0),IF(AND(ISNUMBER($H98),$H98&gt;0,IF($C98="売",$H98&gt;=$N98,$H98&lt;=$N98)),"損切確定",IF(AND(ISNUMBER($H98),$H98&gt;0,IF($C98="売",$H98&lt;=$M98,$H98&gt;=$M98)),"利益確定",IF($AE98&lt;=TODAY(),"日数制限","保有中"))),IF(N($AG98)=0,"利益確定",IF(N($AF98)=0,"損切確定",IF($AG98&lt;=$AF98,"損切確定","利益確定")))))</f>
        <v/>
      </c>
      <c r="AI98" s="600" t="str" cm="1">
        <f t="array" ref="AI98">IFERROR(INDEX(始値!$E$6:$IT$305,MATCH(TEXT($B98,"0"),TEXT(銘柄管理!$B$6:$B$305,"0"),0),MATCH($AE98,始値!$E$3:$IT$3,0)),"")</f>
        <v/>
      </c>
      <c r="AJ98" s="905" t="str">
        <f>IF(OR($V98="",$F98="",$G98=""),"",$V98/($F98*$G98))</f>
        <v/>
      </c>
      <c r="AK98" s="629" t="str">
        <f>IF($V98="","",IF($V98&gt;0,"○勝",IF($V98&lt;0,"●負","△引分")))</f>
        <v/>
      </c>
    </row>
    <row r="99" spans="1:37" ht="35.4" customHeight="1">
      <c r="A99" s="619" t="str">
        <f>IF(B99="","",HYPERLINK("https://kabutan.jp/stock/?code="&amp;B99,"株探"))</f>
        <v/>
      </c>
      <c r="B99" s="630"/>
      <c r="C99" s="490"/>
      <c r="D99" s="623" t="str" cm="1">
        <f t="array" ref="D99">IF($B99="","",_xll.RssMarket($B99,"銘柄名称"))</f>
        <v/>
      </c>
      <c r="E99" s="716"/>
      <c r="F99" s="698" t="str" cm="1">
        <f t="array" aca="1" ref="F99" ca="1">IFERROR(_xlfn.LET(_xlpm.r,MATCH(TEXT($B99,"0"),TEXT(銘柄管理!$B$6:$B$305,"0"),0),_xlpm.t,MOD(NOW(),1),_xlpm.c,IF($E99=TODAY(),IF(_xlpm.t&gt;=TIME(15,30,0),NA(),1),IF(MATCH($E99,始値!$E$3:$IT$3,0)=1,1,MATCH($E99,始値!$E$3:$IT$3,0)+1)),_xlpm.v,INDEX(始値!$C$6:$IT$305,_xlpm.r,_xlpm.c),IF(N(_xlpm.v)=0,"",_xlpm.v)),"")</f>
        <v/>
      </c>
      <c r="G99" s="631"/>
      <c r="H99" s="491" t="str" cm="1">
        <f t="array" ref="H99">IF($B99="","",_xll.RssMarket($B99,"現在値"))</f>
        <v/>
      </c>
      <c r="I99" s="491" t="str" cm="1">
        <f t="array" ref="I99">IF($B99="","",_xll.RssMarket($B99,"出来高加重平均"))</f>
        <v/>
      </c>
      <c r="J99" s="701" t="str" cm="1">
        <f t="array" ref="J99">IF($B99="","",_xll.RssMarket($B99,"前日比"))</f>
        <v/>
      </c>
      <c r="K99" s="701" t="str">
        <f>IF(OR(F99="",G99="",H99=""),"",IF(C99="売",(F99-H99)*G99,(H99-F99)*G99))</f>
        <v/>
      </c>
      <c r="L99" s="706" t="str">
        <f>IF(OR(F99="",H99=""),"",IF(C99="売",(F99-H99)/F99,(H99-F99)/F99))</f>
        <v/>
      </c>
      <c r="M99" s="491" t="str">
        <f>IF($F99="","",$F99*IF($C99="売",1-V811設定!$B$4,1+V811設定!$B$4)-MOD($F99*IF($C99="売",1-V811設定!$B$4,1+V811設定!$B$4),IF($F99&lt;=3000,1,IF($F99&lt;=5000,5,IF($F99&lt;=30000,10,IF($F99&lt;=50000,50,IF($F99&lt;=300000,100,500))))))+IF(AND($C99="売",MOD($F99*IF($C99="売",1-V811設定!$B$4,1+V811設定!$B$4),IF($F99&lt;=3000,1,IF($F99&lt;=5000,5,IF($F99&lt;=30000,10,IF($F99&lt;=50000,50,IF($F99&lt;=300000,100,500))))))&gt;0),IF($F99&lt;=3000,1,IF($F99&lt;=5000,5,IF($F99&lt;=30000,10,IF($F99&lt;=50000,50,IF($F99&lt;=300000,100,500))))),0))</f>
      </c>
      <c r="N99" s="491" t="str">
        <f>IF($F99="","",$F99*IF($C99="売",1+V811設定!$B$3,1-V811設定!$B$3)-MOD($F99*IF($C99="売",1+V811設定!$B$3,1-V811設定!$B$3),IF($F99&lt;=3000,1,IF($F99&lt;=5000,5,IF($F99&lt;=30000,10,IF($F99&lt;=50000,50,IF($F99&lt;=300000,100,500))))))+IF(AND($C99="売",MOD($F99*IF($C99="売",1+V811設定!$B$3,1-V811設定!$B$3),IF($F99&lt;=3000,1,IF($F99&lt;=5000,5,IF($F99&lt;=30000,10,IF($F99&lt;=50000,50,IF($F99&lt;=300000,100,500))))))&gt;0),IF($F99&lt;=3000,1,IF($F99&lt;=5000,5,IF($F99&lt;=30000,10,IF($F99&lt;=50000,50,IF($F99&lt;=300000,100,500))))),0))</f>
      </c>
      <c r="O99" s="492" t="str">
        <f>IF(OR($B99="",$F99="",$H99=""),"",IF($S99="✅売却済","―決済済―",IF($C99="売",IF($H99&lt;=$M99,"🟢利確",IF(AND($R99&lt;&gt;"",$H99&gt;=$R99),"🟠TRAIL",IF($H99&gt;=$N99,"🔴損切",IF($W99&gt;=V811設定!$B$6,"⏱時間決済",IF($H99&gt;=$F99*(1+V811設定!$B$3*0.7),"⚠️損切接近","保持継続"))))),IF($H99&gt;=$M99,"🟢利確",IF(AND($R99&lt;&gt;"",$H99&lt;=$R99),"🟠TRAIL",IF($H99&lt;=$N99,"🔴損切",IF($W99&gt;=V811設定!$B$6,"⏱時間決済",IF($H99&lt;=$F99*(1-V811設定!$B$3*0.7),"⚠️損切接近","保持継続"))))))))</f>
      </c>
      <c r="P99" s="491"/>
      <c r="Q99" s="491"/>
      <c r="R99" s="491" t="str">
        <f>IF(OR($F99="",$H99="",$N99=""),"",IF($S99="✅売却済","",IF($C99="売",IF($H99&gt;$F99*(1-V811設定!$B$3),$N99,MIN($N99,IF($Q99="",$N99,$Q99*1.03))),IF($H99&lt;$F99*(1+V811設定!$B$3),$N99,MAX($N99,IF($P99="",$N99,$P99*0.97))))))</f>
      </c>
      <c r="S99" s="586" t="str">
        <f>IF(B99="","",IF(T99&lt;&gt;"","✅売却済",IF(OR(H99="",L99=""),"📌保有中",IF(L99&gt;=0.06,"🟢利確推奨",IF(L99&gt;=0.05,"🟡利確直近",IF(L99&gt;=0.045,"🔵トレーリング検討",IF(L99&gt;-0.03,"📌保有中",IF(L99&gt;-0.04,"⚠️損切注意","🔴損切り"))))))))</f>
        <v/>
      </c>
      <c r="T99" s="594"/>
      <c r="U99" s="491"/>
      <c r="V99" s="701" t="str">
        <f>IF(OR(F99="",G99="",U99=""),"",IF(C99="売",(F99-U99)*G99,(U99-F99)*G99))</f>
        <v/>
      </c>
      <c r="W99" s="493" t="str">
        <f>IF(OR($E99="",$B99=""),"",IF($T99&lt;&gt;"",$T99-$E99,TODAY()-$E99)+1)</f>
        <v/>
      </c>
      <c r="X99" s="489" t="str">
        <f>IF(OR($AH99="",$AH99="保有中"),"",$AH99)</f>
        <v/>
      </c>
      <c r="Y99" s="488"/>
      <c r="Z99" s="710"/>
      <c r="AD99" s="608"/>
      <c r="AE99" s="624" t="str">
        <f>IF($E99="","",WORKDAY($E99,12))</f>
        <v/>
      </c>
      <c r="AF99" s="626" t="str" cm="1">
        <f t="array" aca="1" ref="AF99" ca="1">IF(OR($B99="",$M99=""),"",IFERROR(IF($C99="売",_xlfn.MINIFS(安値!$E$3:$IT$3,安値!$E$3:$IT$3,"&gt;"&amp;$E99,安値!$E$3:$IT$3,"&lt;="&amp;$AE99,OFFSET(安値!$E$6:$IT$6,MATCH(TEXT($B99,"0"),TEXT(銘柄管理!$B$6:$B$305,"0"),0)-1,0),"&lt;="&amp;$M99),_xlfn.MINIFS(高値!$E$3:$IT$3,高値!$E$3:$IT$3,"&gt;"&amp;$E99,高値!$E$3:$IT$3,"&lt;="&amp;$AE99,OFFSET(高値!$E$6:$IT$6,MATCH(TEXT($B99,"0"),TEXT(銘柄管理!$B$6:$B$305,"0"),0)-1,0),"&gt;="&amp;$M99)),""))</f>
        <v/>
      </c>
      <c r="AG99" s="626" t="str" cm="1">
        <f t="array" aca="1" ref="AG99" ca="1">IF(OR($B99="",$N99=""),"",IFERROR(IF($C99="売",_xlfn.MINIFS(高値!$E$3:$IT$3,高値!$E$3:$IT$3,"&gt;"&amp;$E99,高値!$E$3:$IT$3,"&lt;="&amp;$AE99,OFFSET(高値!$E$6:$IT$6,MATCH(TEXT($B99,"0"),TEXT(銘柄管理!$B$6:$B$305,"0"),0)-1,0),"&gt;="&amp;$N99),_xlfn.MINIFS(安値!$E$3:$IT$3,安値!$E$3:$IT$3,"&gt;"&amp;$E99,安値!$E$3:$IT$3,"&lt;="&amp;$AE99,OFFSET(安値!$E$6:$IT$6,MATCH(TEXT($B99,"0"),TEXT(銘柄管理!$B$6:$B$305,"0"),0)-1,0),"&lt;="&amp;$N99)),""))</f>
        <v/>
      </c>
      <c r="AH99" s="600" t="str">
        <f>IF(OR($B99="",$M99=""),"",IF(AND(N($AF99)=0,N($AG99)=0),IF(AND(ISNUMBER($H99),$H99&gt;0,IF($C99="売",$H99&gt;=$N99,$H99&lt;=$N99)),"損切確定",IF(AND(ISNUMBER($H99),$H99&gt;0,IF($C99="売",$H99&lt;=$M99,$H99&gt;=$M99)),"利益確定",IF($AE99&lt;=TODAY(),"日数制限","保有中"))),IF(N($AG99)=0,"利益確定",IF(N($AF99)=0,"損切確定",IF($AG99&lt;=$AF99,"損切確定","利益確定")))))</f>
        <v/>
      </c>
      <c r="AI99" s="600" t="str" cm="1">
        <f t="array" ref="AI99">IFERROR(INDEX(始値!$E$6:$IT$305,MATCH(TEXT($B99,"0"),TEXT(銘柄管理!$B$6:$B$305,"0"),0),MATCH($AE99,始値!$E$3:$IT$3,0)),"")</f>
        <v/>
      </c>
      <c r="AJ99" s="905" t="str">
        <f>IF(OR($V99="",$F99="",$G99=""),"",$V99/($F99*$G99))</f>
        <v/>
      </c>
      <c r="AK99" s="629" t="str">
        <f>IF($V99="","",IF($V99&gt;0,"○勝",IF($V99&lt;0,"●負","△引分")))</f>
        <v/>
      </c>
    </row>
    <row r="100" spans="1:37" ht="35.4" customHeight="1">
      <c r="A100" s="619" t="str">
        <f>IF(B100="","",HYPERLINK("https://kabutan.jp/stock/?code="&amp;B100,"株探"))</f>
        <v/>
      </c>
      <c r="B100" s="630"/>
      <c r="C100" s="490"/>
      <c r="D100" s="623" t="str" cm="1">
        <f t="array" ref="D100">IF($B100="","",_xll.RssMarket($B100,"銘柄名称"))</f>
        <v/>
      </c>
      <c r="E100" s="716"/>
      <c r="F100" s="698" t="str" cm="1">
        <f t="array" aca="1" ref="F100" ca="1">IFERROR(_xlfn.LET(_xlpm.r,MATCH(TEXT($B100,"0"),TEXT(銘柄管理!$B$6:$B$305,"0"),0),_xlpm.t,MOD(NOW(),1),_xlpm.c,IF($E100=TODAY(),IF(_xlpm.t&gt;=TIME(15,30,0),NA(),1),IF(MATCH($E100,始値!$E$3:$IT$3,0)=1,1,MATCH($E100,始値!$E$3:$IT$3,0)+1)),_xlpm.v,INDEX(始値!$C$6:$IT$305,_xlpm.r,_xlpm.c),IF(N(_xlpm.v)=0,"",_xlpm.v)),"")</f>
        <v/>
      </c>
      <c r="G100" s="631"/>
      <c r="H100" s="491" t="str" cm="1">
        <f t="array" ref="H100">IF($B100="","",_xll.RssMarket($B100,"現在値"))</f>
        <v/>
      </c>
      <c r="I100" s="491" t="str" cm="1">
        <f t="array" ref="I100">IF($B100="","",_xll.RssMarket($B100,"出来高加重平均"))</f>
        <v/>
      </c>
      <c r="J100" s="701" t="str" cm="1">
        <f t="array" ref="J100">IF($B100="","",_xll.RssMarket($B100,"前日比"))</f>
        <v/>
      </c>
      <c r="K100" s="701" t="str">
        <f>IF(OR(F100="",G100="",H100=""),"",IF(C100="売",(F100-H100)*G100,(H100-F100)*G100))</f>
        <v/>
      </c>
      <c r="L100" s="706" t="str">
        <f>IF(OR(F100="",H100=""),"",IF(C100="売",(F100-H100)/F100,(H100-F100)/F100))</f>
        <v/>
      </c>
      <c r="M100" s="491" t="str">
        <f>IF($F100="","",$F100*IF($C100="売",1-V811設定!$B$4,1+V811設定!$B$4)-MOD($F100*IF($C100="売",1-V811設定!$B$4,1+V811設定!$B$4),IF($F100&lt;=3000,1,IF($F100&lt;=5000,5,IF($F100&lt;=30000,10,IF($F100&lt;=50000,50,IF($F100&lt;=300000,100,500))))))+IF(AND($C100="売",MOD($F100*IF($C100="売",1-V811設定!$B$4,1+V811設定!$B$4),IF($F100&lt;=3000,1,IF($F100&lt;=5000,5,IF($F100&lt;=30000,10,IF($F100&lt;=50000,50,IF($F100&lt;=300000,100,500))))))&gt;0),IF($F100&lt;=3000,1,IF($F100&lt;=5000,5,IF($F100&lt;=30000,10,IF($F100&lt;=50000,50,IF($F100&lt;=300000,100,500))))),0))</f>
      </c>
      <c r="N100" s="491" t="str">
        <f>IF($F100="","",$F100*IF($C100="売",1+V811設定!$B$3,1-V811設定!$B$3)-MOD($F100*IF($C100="売",1+V811設定!$B$3,1-V811設定!$B$3),IF($F100&lt;=3000,1,IF($F100&lt;=5000,5,IF($F100&lt;=30000,10,IF($F100&lt;=50000,50,IF($F100&lt;=300000,100,500))))))+IF(AND($C100="売",MOD($F100*IF($C100="売",1+V811設定!$B$3,1-V811設定!$B$3),IF($F100&lt;=3000,1,IF($F100&lt;=5000,5,IF($F100&lt;=30000,10,IF($F100&lt;=50000,50,IF($F100&lt;=300000,100,500))))))&gt;0),IF($F100&lt;=3000,1,IF($F100&lt;=5000,5,IF($F100&lt;=30000,10,IF($F100&lt;=50000,50,IF($F100&lt;=300000,100,500))))),0))</f>
      </c>
      <c r="O100" s="492" t="str">
        <f>IF(OR($B100="",$F100="",$H100=""),"",IF($S100="✅売却済","―決済済―",IF($C100="売",IF($H100&lt;=$M100,"🟢利確",IF(AND($R100&lt;&gt;"",$H100&gt;=$R100),"🟠TRAIL",IF($H100&gt;=$N100,"🔴損切",IF($W100&gt;=V811設定!$B$6,"⏱時間決済",IF($H100&gt;=$F100*(1+V811設定!$B$3*0.7),"⚠️損切接近","保持継続"))))),IF($H100&gt;=$M100,"🟢利確",IF(AND($R100&lt;&gt;"",$H100&lt;=$R100),"🟠TRAIL",IF($H100&lt;=$N100,"🔴損切",IF($W100&gt;=V811設定!$B$6,"⏱時間決済",IF($H100&lt;=$F100*(1-V811設定!$B$3*0.7),"⚠️損切接近","保持継続"))))))))</f>
      </c>
      <c r="P100" s="491"/>
      <c r="Q100" s="491"/>
      <c r="R100" s="491" t="str">
        <f>IF(OR($F100="",$H100="",$N100=""),"",IF($S100="✅売却済","",IF($C100="売",IF($H100&gt;$F100*(1-V811設定!$B$3),$N100,MIN($N100,IF($Q100="",$N100,$Q100*1.03))),IF($H100&lt;$F100*(1+V811設定!$B$3),$N100,MAX($N100,IF($P100="",$N100,$P100*0.97))))))</f>
      </c>
      <c r="S100" s="586" t="str">
        <f>IF(B100="","",IF(T100&lt;&gt;"","✅売却済",IF(OR(H100="",L100=""),"📌保有中",IF(L100&gt;=0.06,"🟢利確推奨",IF(L100&gt;=0.05,"🟡利確直近",IF(L100&gt;=0.045,"🔵トレーリング検討",IF(L100&gt;-0.03,"📌保有中",IF(L100&gt;-0.04,"⚠️損切注意","🔴損切り"))))))))</f>
        <v/>
      </c>
      <c r="T100" s="594"/>
      <c r="U100" s="491"/>
      <c r="V100" s="701" t="str">
        <f>IF(OR(F100="",G100="",U100=""),"",IF(C100="売",(F100-U100)*G100,(U100-F100)*G100))</f>
        <v/>
      </c>
      <c r="W100" s="493" t="str">
        <f>IF(OR($E100="",$B100=""),"",IF($T100&lt;&gt;"",$T100-$E100,TODAY()-$E100)+1)</f>
        <v/>
      </c>
      <c r="X100" s="489" t="str">
        <f>IF(OR($AH100="",$AH100="保有中"),"",$AH100)</f>
        <v/>
      </c>
      <c r="Y100" s="488"/>
      <c r="Z100" s="710"/>
      <c r="AD100" s="608"/>
      <c r="AE100" s="624" t="str">
        <f>IF($E100="","",WORKDAY($E100,12))</f>
        <v/>
      </c>
      <c r="AF100" s="626" t="str" cm="1">
        <f t="array" aca="1" ref="AF100" ca="1">IF(OR($B100="",$M100=""),"",IFERROR(IF($C100="売",_xlfn.MINIFS(安値!$E$3:$IT$3,安値!$E$3:$IT$3,"&gt;"&amp;$E100,安値!$E$3:$IT$3,"&lt;="&amp;$AE100,OFFSET(安値!$E$6:$IT$6,MATCH(TEXT($B100,"0"),TEXT(銘柄管理!$B$6:$B$305,"0"),0)-1,0),"&lt;="&amp;$M100),_xlfn.MINIFS(高値!$E$3:$IT$3,高値!$E$3:$IT$3,"&gt;"&amp;$E100,高値!$E$3:$IT$3,"&lt;="&amp;$AE100,OFFSET(高値!$E$6:$IT$6,MATCH(TEXT($B100,"0"),TEXT(銘柄管理!$B$6:$B$305,"0"),0)-1,0),"&gt;="&amp;$M100)),""))</f>
        <v/>
      </c>
      <c r="AG100" s="626" t="str" cm="1">
        <f t="array" aca="1" ref="AG100" ca="1">IF(OR($B100="",$N100=""),"",IFERROR(IF($C100="売",_xlfn.MINIFS(高値!$E$3:$IT$3,高値!$E$3:$IT$3,"&gt;"&amp;$E100,高値!$E$3:$IT$3,"&lt;="&amp;$AE100,OFFSET(高値!$E$6:$IT$6,MATCH(TEXT($B100,"0"),TEXT(銘柄管理!$B$6:$B$305,"0"),0)-1,0),"&gt;="&amp;$N100),_xlfn.MINIFS(安値!$E$3:$IT$3,安値!$E$3:$IT$3,"&gt;"&amp;$E100,安値!$E$3:$IT$3,"&lt;="&amp;$AE100,OFFSET(安値!$E$6:$IT$6,MATCH(TEXT($B100,"0"),TEXT(銘柄管理!$B$6:$B$305,"0"),0)-1,0),"&lt;="&amp;$N100)),""))</f>
        <v/>
      </c>
      <c r="AH100" s="600" t="str">
        <f>IF(OR($B100="",$M100=""),"",IF(AND(N($AF100)=0,N($AG100)=0),IF(AND(ISNUMBER($H100),$H100&gt;0,IF($C100="売",$H100&gt;=$N100,$H100&lt;=$N100)),"損切確定",IF(AND(ISNUMBER($H100),$H100&gt;0,IF($C100="売",$H100&lt;=$M100,$H100&gt;=$M100)),"利益確定",IF($AE100&lt;=TODAY(),"日数制限","保有中"))),IF(N($AG100)=0,"利益確定",IF(N($AF100)=0,"損切確定",IF($AG100&lt;=$AF100,"損切確定","利益確定")))))</f>
        <v/>
      </c>
      <c r="AI100" s="600" t="str" cm="1">
        <f t="array" ref="AI100">IFERROR(INDEX(始値!$E$6:$IT$305,MATCH(TEXT($B100,"0"),TEXT(銘柄管理!$B$6:$B$305,"0"),0),MATCH($AE100,始値!$E$3:$IT$3,0)),"")</f>
        <v/>
      </c>
      <c r="AJ100" s="905" t="str">
        <f>IF(OR($V100="",$F100="",$G100=""),"",$V100/($F100*$G100))</f>
        <v/>
      </c>
      <c r="AK100" s="629" t="str">
        <f>IF($V100="","",IF($V100&gt;0,"○勝",IF($V100&lt;0,"●負","△引分")))</f>
        <v/>
      </c>
    </row>
    <row r="101" spans="1:37" ht="35.4" customHeight="1">
      <c r="A101" s="619" t="str">
        <f>IF(B101="","",HYPERLINK("https://kabutan.jp/stock/?code="&amp;B101,"株探"))</f>
        <v/>
      </c>
      <c r="B101" s="630"/>
      <c r="C101" s="490"/>
      <c r="D101" s="623" t="str" cm="1">
        <f t="array" ref="D101">IF($B101="","",_xll.RssMarket($B101,"銘柄名称"))</f>
        <v/>
      </c>
      <c r="E101" s="716"/>
      <c r="F101" s="698" t="str" cm="1">
        <f t="array" aca="1" ref="F101" ca="1">IFERROR(_xlfn.LET(_xlpm.r,MATCH(TEXT($B101,"0"),TEXT(銘柄管理!$B$6:$B$305,"0"),0),_xlpm.t,MOD(NOW(),1),_xlpm.c,IF($E101=TODAY(),IF(_xlpm.t&gt;=TIME(15,30,0),NA(),1),IF(MATCH($E101,始値!$E$3:$IT$3,0)=1,1,MATCH($E101,始値!$E$3:$IT$3,0)+1)),_xlpm.v,INDEX(始値!$C$6:$IT$305,_xlpm.r,_xlpm.c),IF(N(_xlpm.v)=0,"",_xlpm.v)),"")</f>
        <v/>
      </c>
      <c r="G101" s="631"/>
      <c r="H101" s="491" t="str" cm="1">
        <f t="array" ref="H101">IF($B101="","",_xll.RssMarket($B101,"現在値"))</f>
        <v/>
      </c>
      <c r="I101" s="491" t="str" cm="1">
        <f t="array" ref="I101">IF($B101="","",_xll.RssMarket($B101,"出来高加重平均"))</f>
        <v/>
      </c>
      <c r="J101" s="701" t="str" cm="1">
        <f t="array" ref="J101">IF($B101="","",_xll.RssMarket($B101,"前日比"))</f>
        <v/>
      </c>
      <c r="K101" s="701" t="str">
        <f>IF(OR(F101="",G101="",H101=""),"",IF(C101="売",(F101-H101)*G101,(H101-F101)*G101))</f>
        <v/>
      </c>
      <c r="L101" s="706" t="str">
        <f>IF(OR(F101="",H101=""),"",IF(C101="売",(F101-H101)/F101,(H101-F101)/F101))</f>
        <v/>
      </c>
      <c r="M101" s="491" t="str">
        <f>IF($F101="","",$F101*IF($C101="売",1-V811設定!$B$4,1+V811設定!$B$4)-MOD($F101*IF($C101="売",1-V811設定!$B$4,1+V811設定!$B$4),IF($F101&lt;=3000,1,IF($F101&lt;=5000,5,IF($F101&lt;=30000,10,IF($F101&lt;=50000,50,IF($F101&lt;=300000,100,500))))))+IF(AND($C101="売",MOD($F101*IF($C101="売",1-V811設定!$B$4,1+V811設定!$B$4),IF($F101&lt;=3000,1,IF($F101&lt;=5000,5,IF($F101&lt;=30000,10,IF($F101&lt;=50000,50,IF($F101&lt;=300000,100,500))))))&gt;0),IF($F101&lt;=3000,1,IF($F101&lt;=5000,5,IF($F101&lt;=30000,10,IF($F101&lt;=50000,50,IF($F101&lt;=300000,100,500))))),0))</f>
      </c>
      <c r="N101" s="491" t="str">
        <f>IF($F101="","",$F101*IF($C101="売",1+V811設定!$B$3,1-V811設定!$B$3)-MOD($F101*IF($C101="売",1+V811設定!$B$3,1-V811設定!$B$3),IF($F101&lt;=3000,1,IF($F101&lt;=5000,5,IF($F101&lt;=30000,10,IF($F101&lt;=50000,50,IF($F101&lt;=300000,100,500))))))+IF(AND($C101="売",MOD($F101*IF($C101="売",1+V811設定!$B$3,1-V811設定!$B$3),IF($F101&lt;=3000,1,IF($F101&lt;=5000,5,IF($F101&lt;=30000,10,IF($F101&lt;=50000,50,IF($F101&lt;=300000,100,500))))))&gt;0),IF($F101&lt;=3000,1,IF($F101&lt;=5000,5,IF($F101&lt;=30000,10,IF($F101&lt;=50000,50,IF($F101&lt;=300000,100,500))))),0))</f>
      </c>
      <c r="O101" s="492" t="str">
        <f>IF(OR($B101="",$F101="",$H101=""),"",IF($S101="✅売却済","―決済済―",IF($C101="売",IF($H101&lt;=$M101,"🟢利確",IF(AND($R101&lt;&gt;"",$H101&gt;=$R101),"🟠TRAIL",IF($H101&gt;=$N101,"🔴損切",IF($W101&gt;=V811設定!$B$6,"⏱時間決済",IF($H101&gt;=$F101*(1+V811設定!$B$3*0.7),"⚠️損切接近","保持継続"))))),IF($H101&gt;=$M101,"🟢利確",IF(AND($R101&lt;&gt;"",$H101&lt;=$R101),"🟠TRAIL",IF($H101&lt;=$N101,"🔴損切",IF($W101&gt;=V811設定!$B$6,"⏱時間決済",IF($H101&lt;=$F101*(1-V811設定!$B$3*0.7),"⚠️損切接近","保持継続"))))))))</f>
      </c>
      <c r="P101" s="491"/>
      <c r="Q101" s="491"/>
      <c r="R101" s="491" t="str">
        <f>IF(OR($F101="",$H101="",$N101=""),"",IF($S101="✅売却済","",IF($C101="売",IF($H101&gt;$F101*(1-V811設定!$B$3),$N101,MIN($N101,IF($Q101="",$N101,$Q101*1.03))),IF($H101&lt;$F101*(1+V811設定!$B$3),$N101,MAX($N101,IF($P101="",$N101,$P101*0.97))))))</f>
      </c>
      <c r="S101" s="586" t="str">
        <f>IF(B101="","",IF(T101&lt;&gt;"","✅売却済",IF(OR(H101="",L101=""),"📌保有中",IF(L101&gt;=0.06,"🟢利確推奨",IF(L101&gt;=0.05,"🟡利確直近",IF(L101&gt;=0.045,"🔵トレーリング検討",IF(L101&gt;-0.03,"📌保有中",IF(L101&gt;-0.04,"⚠️損切注意","🔴損切り"))))))))</f>
        <v/>
      </c>
      <c r="T101" s="594"/>
      <c r="U101" s="491"/>
      <c r="V101" s="701" t="str">
        <f>IF(OR(F101="",G101="",U101=""),"",IF(C101="売",(F101-U101)*G101,(U101-F101)*G101))</f>
        <v/>
      </c>
      <c r="W101" s="493" t="str">
        <f>IF(OR($E101="",$B101=""),"",IF($T101&lt;&gt;"",$T101-$E101,TODAY()-$E101)+1)</f>
        <v/>
      </c>
      <c r="X101" s="489" t="str">
        <f>IF(OR($AH101="",$AH101="保有中"),"",$AH101)</f>
        <v/>
      </c>
      <c r="Y101" s="488"/>
      <c r="Z101" s="710"/>
      <c r="AD101" s="608"/>
      <c r="AE101" s="624" t="str">
        <f>IF($E101="","",WORKDAY($E101,12))</f>
        <v/>
      </c>
      <c r="AF101" s="626" t="str" cm="1">
        <f t="array" aca="1" ref="AF101" ca="1">IF(OR($B101="",$M101=""),"",IFERROR(IF($C101="売",_xlfn.MINIFS(安値!$E$3:$IT$3,安値!$E$3:$IT$3,"&gt;"&amp;$E101,安値!$E$3:$IT$3,"&lt;="&amp;$AE101,OFFSET(安値!$E$6:$IT$6,MATCH(TEXT($B101,"0"),TEXT(銘柄管理!$B$6:$B$305,"0"),0)-1,0),"&lt;="&amp;$M101),_xlfn.MINIFS(高値!$E$3:$IT$3,高値!$E$3:$IT$3,"&gt;"&amp;$E101,高値!$E$3:$IT$3,"&lt;="&amp;$AE101,OFFSET(高値!$E$6:$IT$6,MATCH(TEXT($B101,"0"),TEXT(銘柄管理!$B$6:$B$305,"0"),0)-1,0),"&gt;="&amp;$M101)),""))</f>
        <v/>
      </c>
      <c r="AG101" s="626" t="str" cm="1">
        <f t="array" aca="1" ref="AG101" ca="1">IF(OR($B101="",$N101=""),"",IFERROR(IF($C101="売",_xlfn.MINIFS(高値!$E$3:$IT$3,高値!$E$3:$IT$3,"&gt;"&amp;$E101,高値!$E$3:$IT$3,"&lt;="&amp;$AE101,OFFSET(高値!$E$6:$IT$6,MATCH(TEXT($B101,"0"),TEXT(銘柄管理!$B$6:$B$305,"0"),0)-1,0),"&gt;="&amp;$N101),_xlfn.MINIFS(安値!$E$3:$IT$3,安値!$E$3:$IT$3,"&gt;"&amp;$E101,安値!$E$3:$IT$3,"&lt;="&amp;$AE101,OFFSET(安値!$E$6:$IT$6,MATCH(TEXT($B101,"0"),TEXT(銘柄管理!$B$6:$B$305,"0"),0)-1,0),"&lt;="&amp;$N101)),""))</f>
        <v/>
      </c>
      <c r="AH101" s="600" t="str">
        <f>IF(OR($B101="",$M101=""),"",IF(AND(N($AF101)=0,N($AG101)=0),IF(AND(ISNUMBER($H101),$H101&gt;0,IF($C101="売",$H101&gt;=$N101,$H101&lt;=$N101)),"損切確定",IF(AND(ISNUMBER($H101),$H101&gt;0,IF($C101="売",$H101&lt;=$M101,$H101&gt;=$M101)),"利益確定",IF($AE101&lt;=TODAY(),"日数制限","保有中"))),IF(N($AG101)=0,"利益確定",IF(N($AF101)=0,"損切確定",IF($AG101&lt;=$AF101,"損切確定","利益確定")))))</f>
        <v/>
      </c>
      <c r="AI101" s="600" t="str" cm="1">
        <f t="array" ref="AI101">IFERROR(INDEX(始値!$E$6:$IT$305,MATCH(TEXT($B101,"0"),TEXT(銘柄管理!$B$6:$B$305,"0"),0),MATCH($AE101,始値!$E$3:$IT$3,0)),"")</f>
        <v/>
      </c>
      <c r="AJ101" s="905" t="str">
        <f>IF(OR($V101="",$F101="",$G101=""),"",$V101/($F101*$G101))</f>
        <v/>
      </c>
      <c r="AK101" s="629" t="str">
        <f>IF($V101="","",IF($V101&gt;0,"○勝",IF($V101&lt;0,"●負","△引分")))</f>
        <v/>
      </c>
    </row>
    <row r="102" spans="1:37" ht="35.4" customHeight="1">
      <c r="A102" s="619" t="str">
        <f>IF(B102="","",HYPERLINK("https://kabutan.jp/stock/?code="&amp;B102,"株探"))</f>
        <v/>
      </c>
      <c r="B102" s="630"/>
      <c r="C102" s="490"/>
      <c r="D102" s="623" t="str" cm="1">
        <f t="array" ref="D102">IF($B102="","",_xll.RssMarket($B102,"銘柄名称"))</f>
        <v/>
      </c>
      <c r="E102" s="716"/>
      <c r="F102" s="698" t="str" cm="1">
        <f t="array" aca="1" ref="F102" ca="1">IFERROR(_xlfn.LET(_xlpm.r,MATCH(TEXT($B102,"0"),TEXT(銘柄管理!$B$6:$B$305,"0"),0),_xlpm.t,MOD(NOW(),1),_xlpm.c,IF($E102=TODAY(),IF(_xlpm.t&gt;=TIME(15,30,0),NA(),1),IF(MATCH($E102,始値!$E$3:$IT$3,0)=1,1,MATCH($E102,始値!$E$3:$IT$3,0)+1)),_xlpm.v,INDEX(始値!$C$6:$IT$305,_xlpm.r,_xlpm.c),IF(N(_xlpm.v)=0,"",_xlpm.v)),"")</f>
        <v/>
      </c>
      <c r="G102" s="631"/>
      <c r="H102" s="491" t="str" cm="1">
        <f t="array" ref="H102">IF($B102="","",_xll.RssMarket($B102,"現在値"))</f>
        <v/>
      </c>
      <c r="I102" s="491" t="str" cm="1">
        <f t="array" ref="I102">IF($B102="","",_xll.RssMarket($B102,"出来高加重平均"))</f>
        <v/>
      </c>
      <c r="J102" s="701" t="str" cm="1">
        <f t="array" ref="J102">IF($B102="","",_xll.RssMarket($B102,"前日比"))</f>
        <v/>
      </c>
      <c r="K102" s="701" t="str">
        <f>IF(OR(F102="",G102="",H102=""),"",IF(C102="売",(F102-H102)*G102,(H102-F102)*G102))</f>
        <v/>
      </c>
      <c r="L102" s="706" t="str">
        <f>IF(OR(F102="",H102=""),"",IF(C102="売",(F102-H102)/F102,(H102-F102)/F102))</f>
        <v/>
      </c>
      <c r="M102" s="491" t="str">
        <f>IF($F102="","",$F102*IF($C102="売",1-V811設定!$B$4,1+V811設定!$B$4)-MOD($F102*IF($C102="売",1-V811設定!$B$4,1+V811設定!$B$4),IF($F102&lt;=3000,1,IF($F102&lt;=5000,5,IF($F102&lt;=30000,10,IF($F102&lt;=50000,50,IF($F102&lt;=300000,100,500))))))+IF(AND($C102="売",MOD($F102*IF($C102="売",1-V811設定!$B$4,1+V811設定!$B$4),IF($F102&lt;=3000,1,IF($F102&lt;=5000,5,IF($F102&lt;=30000,10,IF($F102&lt;=50000,50,IF($F102&lt;=300000,100,500))))))&gt;0),IF($F102&lt;=3000,1,IF($F102&lt;=5000,5,IF($F102&lt;=30000,10,IF($F102&lt;=50000,50,IF($F102&lt;=300000,100,500))))),0))</f>
      </c>
      <c r="N102" s="491" t="str">
        <f>IF($F102="","",$F102*IF($C102="売",1+V811設定!$B$3,1-V811設定!$B$3)-MOD($F102*IF($C102="売",1+V811設定!$B$3,1-V811設定!$B$3),IF($F102&lt;=3000,1,IF($F102&lt;=5000,5,IF($F102&lt;=30000,10,IF($F102&lt;=50000,50,IF($F102&lt;=300000,100,500))))))+IF(AND($C102="売",MOD($F102*IF($C102="売",1+V811設定!$B$3,1-V811設定!$B$3),IF($F102&lt;=3000,1,IF($F102&lt;=5000,5,IF($F102&lt;=30000,10,IF($F102&lt;=50000,50,IF($F102&lt;=300000,100,500))))))&gt;0),IF($F102&lt;=3000,1,IF($F102&lt;=5000,5,IF($F102&lt;=30000,10,IF($F102&lt;=50000,50,IF($F102&lt;=300000,100,500))))),0))</f>
      </c>
      <c r="O102" s="492" t="str">
        <f>IF(OR($B102="",$F102="",$H102=""),"",IF($S102="✅売却済","―決済済―",IF($C102="売",IF($H102&lt;=$M102,"🟢利確",IF(AND($R102&lt;&gt;"",$H102&gt;=$R102),"🟠TRAIL",IF($H102&gt;=$N102,"🔴損切",IF($W102&gt;=V811設定!$B$6,"⏱時間決済",IF($H102&gt;=$F102*(1+V811設定!$B$3*0.7),"⚠️損切接近","保持継続"))))),IF($H102&gt;=$M102,"🟢利確",IF(AND($R102&lt;&gt;"",$H102&lt;=$R102),"🟠TRAIL",IF($H102&lt;=$N102,"🔴損切",IF($W102&gt;=V811設定!$B$6,"⏱時間決済",IF($H102&lt;=$F102*(1-V811設定!$B$3*0.7),"⚠️損切接近","保持継続"))))))))</f>
      </c>
      <c r="P102" s="491"/>
      <c r="Q102" s="491"/>
      <c r="R102" s="491" t="str">
        <f>IF(OR($F102="",$H102="",$N102=""),"",IF($S102="✅売却済","",IF($C102="売",IF($H102&gt;$F102*(1-V811設定!$B$3),$N102,MIN($N102,IF($Q102="",$N102,$Q102*1.03))),IF($H102&lt;$F102*(1+V811設定!$B$3),$N102,MAX($N102,IF($P102="",$N102,$P102*0.97))))))</f>
      </c>
      <c r="S102" s="586" t="str">
        <f>IF(B102="","",IF(T102&lt;&gt;"","✅売却済",IF(OR(H102="",L102=""),"📌保有中",IF(L102&gt;=0.06,"🟢利確推奨",IF(L102&gt;=0.05,"🟡利確直近",IF(L102&gt;=0.045,"🔵トレーリング検討",IF(L102&gt;-0.03,"📌保有中",IF(L102&gt;-0.04,"⚠️損切注意","🔴損切り"))))))))</f>
        <v/>
      </c>
      <c r="T102" s="594"/>
      <c r="U102" s="491"/>
      <c r="V102" s="701" t="str">
        <f>IF(OR(F102="",G102="",U102=""),"",IF(C102="売",(F102-U102)*G102,(U102-F102)*G102))</f>
        <v/>
      </c>
      <c r="W102" s="493" t="str">
        <f>IF(OR($E102="",$B102=""),"",IF($T102&lt;&gt;"",$T102-$E102,TODAY()-$E102)+1)</f>
        <v/>
      </c>
      <c r="X102" s="489" t="str">
        <f>IF(OR($AH102="",$AH102="保有中"),"",$AH102)</f>
        <v/>
      </c>
      <c r="Y102" s="488"/>
      <c r="Z102" s="710"/>
      <c r="AD102" s="608"/>
      <c r="AE102" s="624" t="str">
        <f>IF($E102="","",WORKDAY($E102,12))</f>
        <v/>
      </c>
      <c r="AF102" s="626" t="str" cm="1">
        <f t="array" aca="1" ref="AF102" ca="1">IF(OR($B102="",$M102=""),"",IFERROR(IF($C102="売",_xlfn.MINIFS(安値!$E$3:$IT$3,安値!$E$3:$IT$3,"&gt;"&amp;$E102,安値!$E$3:$IT$3,"&lt;="&amp;$AE102,OFFSET(安値!$E$6:$IT$6,MATCH(TEXT($B102,"0"),TEXT(銘柄管理!$B$6:$B$305,"0"),0)-1,0),"&lt;="&amp;$M102),_xlfn.MINIFS(高値!$E$3:$IT$3,高値!$E$3:$IT$3,"&gt;"&amp;$E102,高値!$E$3:$IT$3,"&lt;="&amp;$AE102,OFFSET(高値!$E$6:$IT$6,MATCH(TEXT($B102,"0"),TEXT(銘柄管理!$B$6:$B$305,"0"),0)-1,0),"&gt;="&amp;$M102)),""))</f>
        <v/>
      </c>
      <c r="AG102" s="626" t="str" cm="1">
        <f t="array" aca="1" ref="AG102" ca="1">IF(OR($B102="",$N102=""),"",IFERROR(IF($C102="売",_xlfn.MINIFS(高値!$E$3:$IT$3,高値!$E$3:$IT$3,"&gt;"&amp;$E102,高値!$E$3:$IT$3,"&lt;="&amp;$AE102,OFFSET(高値!$E$6:$IT$6,MATCH(TEXT($B102,"0"),TEXT(銘柄管理!$B$6:$B$305,"0"),0)-1,0),"&gt;="&amp;$N102),_xlfn.MINIFS(安値!$E$3:$IT$3,安値!$E$3:$IT$3,"&gt;"&amp;$E102,安値!$E$3:$IT$3,"&lt;="&amp;$AE102,OFFSET(安値!$E$6:$IT$6,MATCH(TEXT($B102,"0"),TEXT(銘柄管理!$B$6:$B$305,"0"),0)-1,0),"&lt;="&amp;$N102)),""))</f>
        <v/>
      </c>
      <c r="AH102" s="600" t="str">
        <f>IF(OR($B102="",$M102=""),"",IF(AND(N($AF102)=0,N($AG102)=0),IF(AND(ISNUMBER($H102),$H102&gt;0,IF($C102="売",$H102&gt;=$N102,$H102&lt;=$N102)),"損切確定",IF(AND(ISNUMBER($H102),$H102&gt;0,IF($C102="売",$H102&lt;=$M102,$H102&gt;=$M102)),"利益確定",IF($AE102&lt;=TODAY(),"日数制限","保有中"))),IF(N($AG102)=0,"利益確定",IF(N($AF102)=0,"損切確定",IF($AG102&lt;=$AF102,"損切確定","利益確定")))))</f>
        <v/>
      </c>
      <c r="AI102" s="600" t="str" cm="1">
        <f t="array" ref="AI102">IFERROR(INDEX(始値!$E$6:$IT$305,MATCH(TEXT($B102,"0"),TEXT(銘柄管理!$B$6:$B$305,"0"),0),MATCH($AE102,始値!$E$3:$IT$3,0)),"")</f>
        <v/>
      </c>
      <c r="AJ102" s="905" t="str">
        <f>IF(OR($V102="",$F102="",$G102=""),"",$V102/($F102*$G102))</f>
        <v/>
      </c>
      <c r="AK102" s="629" t="str">
        <f>IF($V102="","",IF($V102&gt;0,"○勝",IF($V102&lt;0,"●負","△引分")))</f>
        <v/>
      </c>
    </row>
    <row r="103" spans="1:37" ht="35.4" customHeight="1">
      <c r="A103" s="619" t="str">
        <f>IF(B103="","",HYPERLINK("https://kabutan.jp/stock/?code="&amp;B103,"株探"))</f>
        <v/>
      </c>
      <c r="B103" s="630"/>
      <c r="C103" s="490"/>
      <c r="D103" s="623" t="str" cm="1">
        <f t="array" ref="D103">IF($B103="","",_xll.RssMarket($B103,"銘柄名称"))</f>
        <v/>
      </c>
      <c r="E103" s="716"/>
      <c r="F103" s="698" t="str" cm="1">
        <f t="array" aca="1" ref="F103" ca="1">IFERROR(_xlfn.LET(_xlpm.r,MATCH(TEXT($B103,"0"),TEXT(銘柄管理!$B$6:$B$305,"0"),0),_xlpm.t,MOD(NOW(),1),_xlpm.c,IF($E103=TODAY(),IF(_xlpm.t&gt;=TIME(15,30,0),NA(),1),IF(MATCH($E103,始値!$E$3:$IT$3,0)=1,1,MATCH($E103,始値!$E$3:$IT$3,0)+1)),_xlpm.v,INDEX(始値!$C$6:$IT$305,_xlpm.r,_xlpm.c),IF(N(_xlpm.v)=0,"",_xlpm.v)),"")</f>
        <v/>
      </c>
      <c r="G103" s="631"/>
      <c r="H103" s="491" t="str" cm="1">
        <f t="array" ref="H103">IF($B103="","",_xll.RssMarket($B103,"現在値"))</f>
        <v/>
      </c>
      <c r="I103" s="491" t="str" cm="1">
        <f t="array" ref="I103">IF($B103="","",_xll.RssMarket($B103,"出来高加重平均"))</f>
        <v/>
      </c>
      <c r="J103" s="701" t="str" cm="1">
        <f t="array" ref="J103">IF($B103="","",_xll.RssMarket($B103,"前日比"))</f>
        <v/>
      </c>
      <c r="K103" s="701" t="str">
        <f>IF(OR(F103="",G103="",H103=""),"",IF(C103="売",(F103-H103)*G103,(H103-F103)*G103))</f>
        <v/>
      </c>
      <c r="L103" s="706" t="str">
        <f>IF(OR(F103="",H103=""),"",IF(C103="売",(F103-H103)/F103,(H103-F103)/F103))</f>
        <v/>
      </c>
      <c r="M103" s="491" t="str">
        <f>IF($F103="","",$F103*IF($C103="売",1-V811設定!$B$4,1+V811設定!$B$4)-MOD($F103*IF($C103="売",1-V811設定!$B$4,1+V811設定!$B$4),IF($F103&lt;=3000,1,IF($F103&lt;=5000,5,IF($F103&lt;=30000,10,IF($F103&lt;=50000,50,IF($F103&lt;=300000,100,500))))))+IF(AND($C103="売",MOD($F103*IF($C103="売",1-V811設定!$B$4,1+V811設定!$B$4),IF($F103&lt;=3000,1,IF($F103&lt;=5000,5,IF($F103&lt;=30000,10,IF($F103&lt;=50000,50,IF($F103&lt;=300000,100,500))))))&gt;0),IF($F103&lt;=3000,1,IF($F103&lt;=5000,5,IF($F103&lt;=30000,10,IF($F103&lt;=50000,50,IF($F103&lt;=300000,100,500))))),0))</f>
      </c>
      <c r="N103" s="491" t="str">
        <f>IF($F103="","",$F103*IF($C103="売",1+V811設定!$B$3,1-V811設定!$B$3)-MOD($F103*IF($C103="売",1+V811設定!$B$3,1-V811設定!$B$3),IF($F103&lt;=3000,1,IF($F103&lt;=5000,5,IF($F103&lt;=30000,10,IF($F103&lt;=50000,50,IF($F103&lt;=300000,100,500))))))+IF(AND($C103="売",MOD($F103*IF($C103="売",1+V811設定!$B$3,1-V811設定!$B$3),IF($F103&lt;=3000,1,IF($F103&lt;=5000,5,IF($F103&lt;=30000,10,IF($F103&lt;=50000,50,IF($F103&lt;=300000,100,500))))))&gt;0),IF($F103&lt;=3000,1,IF($F103&lt;=5000,5,IF($F103&lt;=30000,10,IF($F103&lt;=50000,50,IF($F103&lt;=300000,100,500))))),0))</f>
      </c>
      <c r="O103" s="492" t="str">
        <f>IF(OR($B103="",$F103="",$H103=""),"",IF($S103="✅売却済","―決済済―",IF($C103="売",IF($H103&lt;=$M103,"🟢利確",IF(AND($R103&lt;&gt;"",$H103&gt;=$R103),"🟠TRAIL",IF($H103&gt;=$N103,"🔴損切",IF($W103&gt;=V811設定!$B$6,"⏱時間決済",IF($H103&gt;=$F103*(1+V811設定!$B$3*0.7),"⚠️損切接近","保持継続"))))),IF($H103&gt;=$M103,"🟢利確",IF(AND($R103&lt;&gt;"",$H103&lt;=$R103),"🟠TRAIL",IF($H103&lt;=$N103,"🔴損切",IF($W103&gt;=V811設定!$B$6,"⏱時間決済",IF($H103&lt;=$F103*(1-V811設定!$B$3*0.7),"⚠️損切接近","保持継続"))))))))</f>
      </c>
      <c r="P103" s="491"/>
      <c r="Q103" s="491"/>
      <c r="R103" s="491" t="str">
        <f>IF(OR($F103="",$H103="",$N103=""),"",IF($S103="✅売却済","",IF($C103="売",IF($H103&gt;$F103*(1-V811設定!$B$3),$N103,MIN($N103,IF($Q103="",$N103,$Q103*1.03))),IF($H103&lt;$F103*(1+V811設定!$B$3),$N103,MAX($N103,IF($P103="",$N103,$P103*0.97))))))</f>
      </c>
      <c r="S103" s="586" t="str">
        <f>IF(B103="","",IF(T103&lt;&gt;"","✅売却済",IF(OR(H103="",L103=""),"📌保有中",IF(L103&gt;=0.06,"🟢利確推奨",IF(L103&gt;=0.05,"🟡利確直近",IF(L103&gt;=0.045,"🔵トレーリング検討",IF(L103&gt;-0.03,"📌保有中",IF(L103&gt;-0.04,"⚠️損切注意","🔴損切り"))))))))</f>
        <v/>
      </c>
      <c r="T103" s="594"/>
      <c r="U103" s="491"/>
      <c r="V103" s="701" t="str">
        <f>IF(OR(F103="",G103="",U103=""),"",IF(C103="売",(F103-U103)*G103,(U103-F103)*G103))</f>
        <v/>
      </c>
      <c r="W103" s="493" t="str">
        <f>IF(OR($E103="",$B103=""),"",IF($T103&lt;&gt;"",$T103-$E103,TODAY()-$E103)+1)</f>
        <v/>
      </c>
      <c r="X103" s="489" t="str">
        <f>IF(OR($AH103="",$AH103="保有中"),"",$AH103)</f>
        <v/>
      </c>
      <c r="Y103" s="488"/>
      <c r="Z103" s="710"/>
      <c r="AD103" s="608"/>
      <c r="AE103" s="624" t="str">
        <f>IF($E103="","",WORKDAY($E103,12))</f>
        <v/>
      </c>
      <c r="AF103" s="626" t="str" cm="1">
        <f t="array" aca="1" ref="AF103" ca="1">IF(OR($B103="",$M103=""),"",IFERROR(IF($C103="売",_xlfn.MINIFS(安値!$E$3:$IT$3,安値!$E$3:$IT$3,"&gt;"&amp;$E103,安値!$E$3:$IT$3,"&lt;="&amp;$AE103,OFFSET(安値!$E$6:$IT$6,MATCH(TEXT($B103,"0"),TEXT(銘柄管理!$B$6:$B$305,"0"),0)-1,0),"&lt;="&amp;$M103),_xlfn.MINIFS(高値!$E$3:$IT$3,高値!$E$3:$IT$3,"&gt;"&amp;$E103,高値!$E$3:$IT$3,"&lt;="&amp;$AE103,OFFSET(高値!$E$6:$IT$6,MATCH(TEXT($B103,"0"),TEXT(銘柄管理!$B$6:$B$305,"0"),0)-1,0),"&gt;="&amp;$M103)),""))</f>
        <v/>
      </c>
      <c r="AG103" s="626" t="str" cm="1">
        <f t="array" aca="1" ref="AG103" ca="1">IF(OR($B103="",$N103=""),"",IFERROR(IF($C103="売",_xlfn.MINIFS(高値!$E$3:$IT$3,高値!$E$3:$IT$3,"&gt;"&amp;$E103,高値!$E$3:$IT$3,"&lt;="&amp;$AE103,OFFSET(高値!$E$6:$IT$6,MATCH(TEXT($B103,"0"),TEXT(銘柄管理!$B$6:$B$305,"0"),0)-1,0),"&gt;="&amp;$N103),_xlfn.MINIFS(安値!$E$3:$IT$3,安値!$E$3:$IT$3,"&gt;"&amp;$E103,安値!$E$3:$IT$3,"&lt;="&amp;$AE103,OFFSET(安値!$E$6:$IT$6,MATCH(TEXT($B103,"0"),TEXT(銘柄管理!$B$6:$B$305,"0"),0)-1,0),"&lt;="&amp;$N103)),""))</f>
        <v/>
      </c>
      <c r="AH103" s="600" t="str">
        <f>IF(OR($B103="",$M103=""),"",IF(AND(N($AF103)=0,N($AG103)=0),IF(AND(ISNUMBER($H103),$H103&gt;0,IF($C103="売",$H103&gt;=$N103,$H103&lt;=$N103)),"損切確定",IF(AND(ISNUMBER($H103),$H103&gt;0,IF($C103="売",$H103&lt;=$M103,$H103&gt;=$M103)),"利益確定",IF($AE103&lt;=TODAY(),"日数制限","保有中"))),IF(N($AG103)=0,"利益確定",IF(N($AF103)=0,"損切確定",IF($AG103&lt;=$AF103,"損切確定","利益確定")))))</f>
        <v/>
      </c>
      <c r="AI103" s="600" t="str" cm="1">
        <f t="array" ref="AI103">IFERROR(INDEX(始値!$E$6:$IT$305,MATCH(TEXT($B103,"0"),TEXT(銘柄管理!$B$6:$B$305,"0"),0),MATCH($AE103,始値!$E$3:$IT$3,0)),"")</f>
        <v/>
      </c>
      <c r="AJ103" s="905" t="str">
        <f>IF(OR($V103="",$F103="",$G103=""),"",$V103/($F103*$G103))</f>
        <v/>
      </c>
      <c r="AK103" s="629" t="str">
        <f>IF($V103="","",IF($V103&gt;0,"○勝",IF($V103&lt;0,"●負","△引分")))</f>
        <v/>
      </c>
    </row>
    <row r="104" spans="1:37" ht="35.4" customHeight="1">
      <c r="A104" s="619" t="str">
        <f>IF(B104="","",HYPERLINK("https://kabutan.jp/stock/?code="&amp;B104,"株探"))</f>
        <v/>
      </c>
      <c r="B104" s="630"/>
      <c r="C104" s="490"/>
      <c r="D104" s="623" t="str" cm="1">
        <f t="array" ref="D104">IF($B104="","",_xll.RssMarket($B104,"銘柄名称"))</f>
        <v/>
      </c>
      <c r="E104" s="716"/>
      <c r="F104" s="698" t="str" cm="1">
        <f t="array" aca="1" ref="F104" ca="1">IFERROR(_xlfn.LET(_xlpm.r,MATCH(TEXT($B104,"0"),TEXT(銘柄管理!$B$6:$B$305,"0"),0),_xlpm.t,MOD(NOW(),1),_xlpm.c,IF($E104=TODAY(),IF(_xlpm.t&gt;=TIME(15,30,0),NA(),1),IF(MATCH($E104,始値!$E$3:$IT$3,0)=1,1,MATCH($E104,始値!$E$3:$IT$3,0)+1)),_xlpm.v,INDEX(始値!$C$6:$IT$305,_xlpm.r,_xlpm.c),IF(N(_xlpm.v)=0,"",_xlpm.v)),"")</f>
        <v/>
      </c>
      <c r="G104" s="631"/>
      <c r="H104" s="491" t="str" cm="1">
        <f t="array" ref="H104">IF($B104="","",_xll.RssMarket($B104,"現在値"))</f>
        <v/>
      </c>
      <c r="I104" s="491" t="str" cm="1">
        <f t="array" ref="I104">IF($B104="","",_xll.RssMarket($B104,"出来高加重平均"))</f>
        <v/>
      </c>
      <c r="J104" s="701" t="str" cm="1">
        <f t="array" ref="J104">IF($B104="","",_xll.RssMarket($B104,"前日比"))</f>
        <v/>
      </c>
      <c r="K104" s="701" t="str">
        <f>IF(OR(F104="",G104="",H104=""),"",IF(C104="売",(F104-H104)*G104,(H104-F104)*G104))</f>
        <v/>
      </c>
      <c r="L104" s="706" t="str">
        <f>IF(OR(F104="",H104=""),"",IF(C104="売",(F104-H104)/F104,(H104-F104)/F104))</f>
        <v/>
      </c>
      <c r="M104" s="491" t="str">
        <f>IF($F104="","",$F104*IF($C104="売",1-V811設定!$B$4,1+V811設定!$B$4)-MOD($F104*IF($C104="売",1-V811設定!$B$4,1+V811設定!$B$4),IF($F104&lt;=3000,1,IF($F104&lt;=5000,5,IF($F104&lt;=30000,10,IF($F104&lt;=50000,50,IF($F104&lt;=300000,100,500))))))+IF(AND($C104="売",MOD($F104*IF($C104="売",1-V811設定!$B$4,1+V811設定!$B$4),IF($F104&lt;=3000,1,IF($F104&lt;=5000,5,IF($F104&lt;=30000,10,IF($F104&lt;=50000,50,IF($F104&lt;=300000,100,500))))))&gt;0),IF($F104&lt;=3000,1,IF($F104&lt;=5000,5,IF($F104&lt;=30000,10,IF($F104&lt;=50000,50,IF($F104&lt;=300000,100,500))))),0))</f>
      </c>
      <c r="N104" s="491" t="str">
        <f>IF($F104="","",$F104*IF($C104="売",1+V811設定!$B$3,1-V811設定!$B$3)-MOD($F104*IF($C104="売",1+V811設定!$B$3,1-V811設定!$B$3),IF($F104&lt;=3000,1,IF($F104&lt;=5000,5,IF($F104&lt;=30000,10,IF($F104&lt;=50000,50,IF($F104&lt;=300000,100,500))))))+IF(AND($C104="売",MOD($F104*IF($C104="売",1+V811設定!$B$3,1-V811設定!$B$3),IF($F104&lt;=3000,1,IF($F104&lt;=5000,5,IF($F104&lt;=30000,10,IF($F104&lt;=50000,50,IF($F104&lt;=300000,100,500))))))&gt;0),IF($F104&lt;=3000,1,IF($F104&lt;=5000,5,IF($F104&lt;=30000,10,IF($F104&lt;=50000,50,IF($F104&lt;=300000,100,500))))),0))</f>
      </c>
      <c r="O104" s="492" t="str">
        <f>IF(OR($B104="",$F104="",$H104=""),"",IF($S104="✅売却済","―決済済―",IF($C104="売",IF($H104&lt;=$M104,"🟢利確",IF(AND($R104&lt;&gt;"",$H104&gt;=$R104),"🟠TRAIL",IF($H104&gt;=$N104,"🔴損切",IF($W104&gt;=V811設定!$B$6,"⏱時間決済",IF($H104&gt;=$F104*(1+V811設定!$B$3*0.7),"⚠️損切接近","保持継続"))))),IF($H104&gt;=$M104,"🟢利確",IF(AND($R104&lt;&gt;"",$H104&lt;=$R104),"🟠TRAIL",IF($H104&lt;=$N104,"🔴損切",IF($W104&gt;=V811設定!$B$6,"⏱時間決済",IF($H104&lt;=$F104*(1-V811設定!$B$3*0.7),"⚠️損切接近","保持継続"))))))))</f>
      </c>
      <c r="P104" s="491"/>
      <c r="Q104" s="491"/>
      <c r="R104" s="491" t="str">
        <f>IF(OR($F104="",$H104="",$N104=""),"",IF($S104="✅売却済","",IF($C104="売",IF($H104&gt;$F104*(1-V811設定!$B$3),$N104,MIN($N104,IF($Q104="",$N104,$Q104*1.03))),IF($H104&lt;$F104*(1+V811設定!$B$3),$N104,MAX($N104,IF($P104="",$N104,$P104*0.97))))))</f>
      </c>
      <c r="S104" s="586" t="str">
        <f>IF(B104="","",IF(T104&lt;&gt;"","✅売却済",IF(OR(H104="",L104=""),"📌保有中",IF(L104&gt;=0.06,"🟢利確推奨",IF(L104&gt;=0.05,"🟡利確直近",IF(L104&gt;=0.045,"🔵トレーリング検討",IF(L104&gt;-0.03,"📌保有中",IF(L104&gt;-0.04,"⚠️損切注意","🔴損切り"))))))))</f>
        <v/>
      </c>
      <c r="T104" s="594"/>
      <c r="U104" s="491"/>
      <c r="V104" s="701" t="str">
        <f>IF(OR(F104="",G104="",U104=""),"",IF(C104="売",(F104-U104)*G104,(U104-F104)*G104))</f>
        <v/>
      </c>
      <c r="W104" s="493" t="str">
        <f>IF(OR($E104="",$B104=""),"",IF($T104&lt;&gt;"",$T104-$E104,TODAY()-$E104)+1)</f>
        <v/>
      </c>
      <c r="X104" s="489" t="str">
        <f>IF(OR($AH104="",$AH104="保有中"),"",$AH104)</f>
        <v/>
      </c>
      <c r="Y104" s="488"/>
      <c r="Z104" s="710"/>
      <c r="AD104" s="608"/>
      <c r="AE104" s="624" t="str">
        <f>IF($E104="","",WORKDAY($E104,12))</f>
        <v/>
      </c>
      <c r="AF104" s="626" t="str" cm="1">
        <f t="array" aca="1" ref="AF104" ca="1">IF(OR($B104="",$M104=""),"",IFERROR(IF($C104="売",_xlfn.MINIFS(安値!$E$3:$IT$3,安値!$E$3:$IT$3,"&gt;"&amp;$E104,安値!$E$3:$IT$3,"&lt;="&amp;$AE104,OFFSET(安値!$E$6:$IT$6,MATCH(TEXT($B104,"0"),TEXT(銘柄管理!$B$6:$B$305,"0"),0)-1,0),"&lt;="&amp;$M104),_xlfn.MINIFS(高値!$E$3:$IT$3,高値!$E$3:$IT$3,"&gt;"&amp;$E104,高値!$E$3:$IT$3,"&lt;="&amp;$AE104,OFFSET(高値!$E$6:$IT$6,MATCH(TEXT($B104,"0"),TEXT(銘柄管理!$B$6:$B$305,"0"),0)-1,0),"&gt;="&amp;$M104)),""))</f>
        <v/>
      </c>
      <c r="AG104" s="626" t="str" cm="1">
        <f t="array" aca="1" ref="AG104" ca="1">IF(OR($B104="",$N104=""),"",IFERROR(IF($C104="売",_xlfn.MINIFS(高値!$E$3:$IT$3,高値!$E$3:$IT$3,"&gt;"&amp;$E104,高値!$E$3:$IT$3,"&lt;="&amp;$AE104,OFFSET(高値!$E$6:$IT$6,MATCH(TEXT($B104,"0"),TEXT(銘柄管理!$B$6:$B$305,"0"),0)-1,0),"&gt;="&amp;$N104),_xlfn.MINIFS(安値!$E$3:$IT$3,安値!$E$3:$IT$3,"&gt;"&amp;$E104,安値!$E$3:$IT$3,"&lt;="&amp;$AE104,OFFSET(安値!$E$6:$IT$6,MATCH(TEXT($B104,"0"),TEXT(銘柄管理!$B$6:$B$305,"0"),0)-1,0),"&lt;="&amp;$N104)),""))</f>
        <v/>
      </c>
      <c r="AH104" s="600" t="str">
        <f>IF(OR($B104="",$M104=""),"",IF(AND(N($AF104)=0,N($AG104)=0),IF(AND(ISNUMBER($H104),$H104&gt;0,IF($C104="売",$H104&gt;=$N104,$H104&lt;=$N104)),"損切確定",IF(AND(ISNUMBER($H104),$H104&gt;0,IF($C104="売",$H104&lt;=$M104,$H104&gt;=$M104)),"利益確定",IF($AE104&lt;=TODAY(),"日数制限","保有中"))),IF(N($AG104)=0,"利益確定",IF(N($AF104)=0,"損切確定",IF($AG104&lt;=$AF104,"損切確定","利益確定")))))</f>
        <v/>
      </c>
      <c r="AI104" s="600" t="str" cm="1">
        <f t="array" ref="AI104">IFERROR(INDEX(始値!$E$6:$IT$305,MATCH(TEXT($B104,"0"),TEXT(銘柄管理!$B$6:$B$305,"0"),0),MATCH($AE104,始値!$E$3:$IT$3,0)),"")</f>
        <v/>
      </c>
      <c r="AJ104" s="905" t="str">
        <f>IF(OR($V104="",$F104="",$G104=""),"",$V104/($F104*$G104))</f>
        <v/>
      </c>
      <c r="AK104" s="629" t="str">
        <f>IF($V104="","",IF($V104&gt;0,"○勝",IF($V104&lt;0,"●負","△引分")))</f>
        <v/>
      </c>
    </row>
    <row r="105" spans="1:37" ht="35.4" customHeight="1">
      <c r="A105" s="619" t="str">
        <f>IF(B105="","",HYPERLINK("https://kabutan.jp/stock/?code="&amp;B105,"株探"))</f>
        <v/>
      </c>
      <c r="B105" s="630"/>
      <c r="C105" s="490"/>
      <c r="D105" s="623" t="str" cm="1">
        <f t="array" ref="D105">IF($B105="","",_xll.RssMarket($B105,"銘柄名称"))</f>
        <v/>
      </c>
      <c r="E105" s="716"/>
      <c r="F105" s="698" t="str" cm="1">
        <f t="array" aca="1" ref="F105" ca="1">IFERROR(_xlfn.LET(_xlpm.r,MATCH(TEXT($B105,"0"),TEXT(銘柄管理!$B$6:$B$305,"0"),0),_xlpm.t,MOD(NOW(),1),_xlpm.c,IF($E105=TODAY(),IF(_xlpm.t&gt;=TIME(15,30,0),NA(),1),IF(MATCH($E105,始値!$E$3:$IT$3,0)=1,1,MATCH($E105,始値!$E$3:$IT$3,0)+1)),_xlpm.v,INDEX(始値!$C$6:$IT$305,_xlpm.r,_xlpm.c),IF(N(_xlpm.v)=0,"",_xlpm.v)),"")</f>
        <v/>
      </c>
      <c r="G105" s="631"/>
      <c r="H105" s="491" t="str" cm="1">
        <f t="array" ref="H105">IF($B105="","",_xll.RssMarket($B105,"現在値"))</f>
        <v/>
      </c>
      <c r="I105" s="491" t="str" cm="1">
        <f t="array" ref="I105">IF($B105="","",_xll.RssMarket($B105,"出来高加重平均"))</f>
        <v/>
      </c>
      <c r="J105" s="701" t="str" cm="1">
        <f t="array" ref="J105">IF($B105="","",_xll.RssMarket($B105,"前日比"))</f>
        <v/>
      </c>
      <c r="K105" s="701" t="str">
        <f>IF(OR(F105="",G105="",H105=""),"",IF(C105="売",(F105-H105)*G105,(H105-F105)*G105))</f>
        <v/>
      </c>
      <c r="L105" s="706" t="str">
        <f>IF(OR(F105="",H105=""),"",IF(C105="売",(F105-H105)/F105,(H105-F105)/F105))</f>
        <v/>
      </c>
      <c r="M105" s="491" t="str">
        <f>IF($F105="","",$F105*IF($C105="売",1-V811設定!$B$4,1+V811設定!$B$4)-MOD($F105*IF($C105="売",1-V811設定!$B$4,1+V811設定!$B$4),IF($F105&lt;=3000,1,IF($F105&lt;=5000,5,IF($F105&lt;=30000,10,IF($F105&lt;=50000,50,IF($F105&lt;=300000,100,500))))))+IF(AND($C105="売",MOD($F105*IF($C105="売",1-V811設定!$B$4,1+V811設定!$B$4),IF($F105&lt;=3000,1,IF($F105&lt;=5000,5,IF($F105&lt;=30000,10,IF($F105&lt;=50000,50,IF($F105&lt;=300000,100,500))))))&gt;0),IF($F105&lt;=3000,1,IF($F105&lt;=5000,5,IF($F105&lt;=30000,10,IF($F105&lt;=50000,50,IF($F105&lt;=300000,100,500))))),0))</f>
      </c>
      <c r="N105" s="491" t="str">
        <f>IF($F105="","",$F105*IF($C105="売",1+V811設定!$B$3,1-V811設定!$B$3)-MOD($F105*IF($C105="売",1+V811設定!$B$3,1-V811設定!$B$3),IF($F105&lt;=3000,1,IF($F105&lt;=5000,5,IF($F105&lt;=30000,10,IF($F105&lt;=50000,50,IF($F105&lt;=300000,100,500))))))+IF(AND($C105="売",MOD($F105*IF($C105="売",1+V811設定!$B$3,1-V811設定!$B$3),IF($F105&lt;=3000,1,IF($F105&lt;=5000,5,IF($F105&lt;=30000,10,IF($F105&lt;=50000,50,IF($F105&lt;=300000,100,500))))))&gt;0),IF($F105&lt;=3000,1,IF($F105&lt;=5000,5,IF($F105&lt;=30000,10,IF($F105&lt;=50000,50,IF($F105&lt;=300000,100,500))))),0))</f>
      </c>
      <c r="O105" s="492" t="str">
        <f>IF(OR($B105="",$F105="",$H105=""),"",IF($S105="✅売却済","―決済済―",IF($C105="売",IF($H105&lt;=$M105,"🟢利確",IF(AND($R105&lt;&gt;"",$H105&gt;=$R105),"🟠TRAIL",IF($H105&gt;=$N105,"🔴損切",IF($W105&gt;=V811設定!$B$6,"⏱時間決済",IF($H105&gt;=$F105*(1+V811設定!$B$3*0.7),"⚠️損切接近","保持継続"))))),IF($H105&gt;=$M105,"🟢利確",IF(AND($R105&lt;&gt;"",$H105&lt;=$R105),"🟠TRAIL",IF($H105&lt;=$N105,"🔴損切",IF($W105&gt;=V811設定!$B$6,"⏱時間決済",IF($H105&lt;=$F105*(1-V811設定!$B$3*0.7),"⚠️損切接近","保持継続"))))))))</f>
      </c>
      <c r="P105" s="491"/>
      <c r="Q105" s="491"/>
      <c r="R105" s="491" t="str">
        <f>IF(OR($F105="",$H105="",$N105=""),"",IF($S105="✅売却済","",IF($C105="売",IF($H105&gt;$F105*(1-V811設定!$B$3),$N105,MIN($N105,IF($Q105="",$N105,$Q105*1.03))),IF($H105&lt;$F105*(1+V811設定!$B$3),$N105,MAX($N105,IF($P105="",$N105,$P105*0.97))))))</f>
      </c>
      <c r="S105" s="586" t="str">
        <f>IF(B105="","",IF(T105&lt;&gt;"","✅売却済",IF(OR(H105="",L105=""),"📌保有中",IF(L105&gt;=0.06,"🟢利確推奨",IF(L105&gt;=0.05,"🟡利確直近",IF(L105&gt;=0.045,"🔵トレーリング検討",IF(L105&gt;-0.03,"📌保有中",IF(L105&gt;-0.04,"⚠️損切注意","🔴損切り"))))))))</f>
        <v/>
      </c>
      <c r="T105" s="594"/>
      <c r="U105" s="491"/>
      <c r="V105" s="701" t="str">
        <f>IF(OR(F105="",G105="",U105=""),"",IF(C105="売",(F105-U105)*G105,(U105-F105)*G105))</f>
        <v/>
      </c>
      <c r="W105" s="493" t="str">
        <f>IF(OR($E105="",$B105=""),"",IF($T105&lt;&gt;"",$T105-$E105,TODAY()-$E105)+1)</f>
        <v/>
      </c>
      <c r="X105" s="489" t="str">
        <f>IF(OR($AH105="",$AH105="保有中"),"",$AH105)</f>
        <v/>
      </c>
      <c r="Y105" s="488"/>
      <c r="Z105" s="710"/>
      <c r="AD105" s="608"/>
      <c r="AE105" s="624" t="str">
        <f>IF($E105="","",WORKDAY($E105,12))</f>
        <v/>
      </c>
      <c r="AF105" s="626" t="str" cm="1">
        <f t="array" aca="1" ref="AF105" ca="1">IF(OR($B105="",$M105=""),"",IFERROR(IF($C105="売",_xlfn.MINIFS(安値!$E$3:$IT$3,安値!$E$3:$IT$3,"&gt;"&amp;$E105,安値!$E$3:$IT$3,"&lt;="&amp;$AE105,OFFSET(安値!$E$6:$IT$6,MATCH(TEXT($B105,"0"),TEXT(銘柄管理!$B$6:$B$305,"0"),0)-1,0),"&lt;="&amp;$M105),_xlfn.MINIFS(高値!$E$3:$IT$3,高値!$E$3:$IT$3,"&gt;"&amp;$E105,高値!$E$3:$IT$3,"&lt;="&amp;$AE105,OFFSET(高値!$E$6:$IT$6,MATCH(TEXT($B105,"0"),TEXT(銘柄管理!$B$6:$B$305,"0"),0)-1,0),"&gt;="&amp;$M105)),""))</f>
        <v/>
      </c>
      <c r="AG105" s="626" t="str" cm="1">
        <f t="array" aca="1" ref="AG105" ca="1">IF(OR($B105="",$N105=""),"",IFERROR(IF($C105="売",_xlfn.MINIFS(高値!$E$3:$IT$3,高値!$E$3:$IT$3,"&gt;"&amp;$E105,高値!$E$3:$IT$3,"&lt;="&amp;$AE105,OFFSET(高値!$E$6:$IT$6,MATCH(TEXT($B105,"0"),TEXT(銘柄管理!$B$6:$B$305,"0"),0)-1,0),"&gt;="&amp;$N105),_xlfn.MINIFS(安値!$E$3:$IT$3,安値!$E$3:$IT$3,"&gt;"&amp;$E105,安値!$E$3:$IT$3,"&lt;="&amp;$AE105,OFFSET(安値!$E$6:$IT$6,MATCH(TEXT($B105,"0"),TEXT(銘柄管理!$B$6:$B$305,"0"),0)-1,0),"&lt;="&amp;$N105)),""))</f>
        <v/>
      </c>
      <c r="AH105" s="600" t="str">
        <f>IF(OR($B105="",$M105=""),"",IF(AND(N($AF105)=0,N($AG105)=0),IF(AND(ISNUMBER($H105),$H105&gt;0,IF($C105="売",$H105&gt;=$N105,$H105&lt;=$N105)),"損切確定",IF(AND(ISNUMBER($H105),$H105&gt;0,IF($C105="売",$H105&lt;=$M105,$H105&gt;=$M105)),"利益確定",IF($AE105&lt;=TODAY(),"日数制限","保有中"))),IF(N($AG105)=0,"利益確定",IF(N($AF105)=0,"損切確定",IF($AG105&lt;=$AF105,"損切確定","利益確定")))))</f>
        <v/>
      </c>
      <c r="AI105" s="600" t="str" cm="1">
        <f t="array" ref="AI105">IFERROR(INDEX(始値!$E$6:$IT$305,MATCH(TEXT($B105,"0"),TEXT(銘柄管理!$B$6:$B$305,"0"),0),MATCH($AE105,始値!$E$3:$IT$3,0)),"")</f>
        <v/>
      </c>
      <c r="AJ105" s="905" t="str">
        <f>IF(OR($V105="",$F105="",$G105=""),"",$V105/($F105*$G105))</f>
        <v/>
      </c>
      <c r="AK105" s="629" t="str">
        <f>IF($V105="","",IF($V105&gt;0,"○勝",IF($V105&lt;0,"●負","△引分")))</f>
        <v/>
      </c>
    </row>
    <row r="106" spans="1:37" ht="35.4" customHeight="1">
      <c r="A106" s="619" t="str">
        <f>IF(B106="","",HYPERLINK("https://kabutan.jp/stock/?code="&amp;B106,"株探"))</f>
        <v/>
      </c>
      <c r="B106" s="630"/>
      <c r="C106" s="490"/>
      <c r="D106" s="623" t="str" cm="1">
        <f t="array" ref="D106">IF($B106="","",_xll.RssMarket($B106,"銘柄名称"))</f>
        <v/>
      </c>
      <c r="E106" s="716"/>
      <c r="F106" s="698" t="str" cm="1">
        <f t="array" aca="1" ref="F106" ca="1">IFERROR(_xlfn.LET(_xlpm.r,MATCH(TEXT($B106,"0"),TEXT(銘柄管理!$B$6:$B$305,"0"),0),_xlpm.t,MOD(NOW(),1),_xlpm.c,IF($E106=TODAY(),IF(_xlpm.t&gt;=TIME(15,30,0),NA(),1),IF(MATCH($E106,始値!$E$3:$IT$3,0)=1,1,MATCH($E106,始値!$E$3:$IT$3,0)+1)),_xlpm.v,INDEX(始値!$C$6:$IT$305,_xlpm.r,_xlpm.c),IF(N(_xlpm.v)=0,"",_xlpm.v)),"")</f>
        <v/>
      </c>
      <c r="G106" s="631"/>
      <c r="H106" s="491" t="str" cm="1">
        <f t="array" ref="H106">IF($B106="","",_xll.RssMarket($B106,"現在値"))</f>
        <v/>
      </c>
      <c r="I106" s="491" t="str" cm="1">
        <f t="array" ref="I106">IF($B106="","",_xll.RssMarket($B106,"出来高加重平均"))</f>
        <v/>
      </c>
      <c r="J106" s="701" t="str" cm="1">
        <f t="array" ref="J106">IF($B106="","",_xll.RssMarket($B106,"前日比"))</f>
        <v/>
      </c>
      <c r="K106" s="701" t="str">
        <f>IF(OR(F106="",G106="",H106=""),"",IF(C106="売",(F106-H106)*G106,(H106-F106)*G106))</f>
        <v/>
      </c>
      <c r="L106" s="706" t="str">
        <f>IF(OR(F106="",H106=""),"",IF(C106="売",(F106-H106)/F106,(H106-F106)/F106))</f>
        <v/>
      </c>
      <c r="M106" s="491" t="str">
        <f>IF($F106="","",$F106*IF($C106="売",1-V811設定!$B$4,1+V811設定!$B$4)-MOD($F106*IF($C106="売",1-V811設定!$B$4,1+V811設定!$B$4),IF($F106&lt;=3000,1,IF($F106&lt;=5000,5,IF($F106&lt;=30000,10,IF($F106&lt;=50000,50,IF($F106&lt;=300000,100,500))))))+IF(AND($C106="売",MOD($F106*IF($C106="売",1-V811設定!$B$4,1+V811設定!$B$4),IF($F106&lt;=3000,1,IF($F106&lt;=5000,5,IF($F106&lt;=30000,10,IF($F106&lt;=50000,50,IF($F106&lt;=300000,100,500))))))&gt;0),IF($F106&lt;=3000,1,IF($F106&lt;=5000,5,IF($F106&lt;=30000,10,IF($F106&lt;=50000,50,IF($F106&lt;=300000,100,500))))),0))</f>
      </c>
      <c r="N106" s="491" t="str">
        <f>IF($F106="","",$F106*IF($C106="売",1+V811設定!$B$3,1-V811設定!$B$3)-MOD($F106*IF($C106="売",1+V811設定!$B$3,1-V811設定!$B$3),IF($F106&lt;=3000,1,IF($F106&lt;=5000,5,IF($F106&lt;=30000,10,IF($F106&lt;=50000,50,IF($F106&lt;=300000,100,500))))))+IF(AND($C106="売",MOD($F106*IF($C106="売",1+V811設定!$B$3,1-V811設定!$B$3),IF($F106&lt;=3000,1,IF($F106&lt;=5000,5,IF($F106&lt;=30000,10,IF($F106&lt;=50000,50,IF($F106&lt;=300000,100,500))))))&gt;0),IF($F106&lt;=3000,1,IF($F106&lt;=5000,5,IF($F106&lt;=30000,10,IF($F106&lt;=50000,50,IF($F106&lt;=300000,100,500))))),0))</f>
      </c>
      <c r="O106" s="492" t="str">
        <f>IF(OR($B106="",$F106="",$H106=""),"",IF($S106="✅売却済","―決済済―",IF($C106="売",IF($H106&lt;=$M106,"🟢利確",IF(AND($R106&lt;&gt;"",$H106&gt;=$R106),"🟠TRAIL",IF($H106&gt;=$N106,"🔴損切",IF($W106&gt;=V811設定!$B$6,"⏱時間決済",IF($H106&gt;=$F106*(1+V811設定!$B$3*0.7),"⚠️損切接近","保持継続"))))),IF($H106&gt;=$M106,"🟢利確",IF(AND($R106&lt;&gt;"",$H106&lt;=$R106),"🟠TRAIL",IF($H106&lt;=$N106,"🔴損切",IF($W106&gt;=V811設定!$B$6,"⏱時間決済",IF($H106&lt;=$F106*(1-V811設定!$B$3*0.7),"⚠️損切接近","保持継続"))))))))</f>
      </c>
      <c r="P106" s="491"/>
      <c r="Q106" s="491"/>
      <c r="R106" s="491" t="str">
        <f>IF(OR($F106="",$H106="",$N106=""),"",IF($S106="✅売却済","",IF($C106="売",IF($H106&gt;$F106*(1-V811設定!$B$3),$N106,MIN($N106,IF($Q106="",$N106,$Q106*1.03))),IF($H106&lt;$F106*(1+V811設定!$B$3),$N106,MAX($N106,IF($P106="",$N106,$P106*0.97))))))</f>
      </c>
      <c r="S106" s="586" t="str">
        <f>IF(B106="","",IF(T106&lt;&gt;"","✅売却済",IF(OR(H106="",L106=""),"📌保有中",IF(L106&gt;=0.06,"🟢利確推奨",IF(L106&gt;=0.05,"🟡利確直近",IF(L106&gt;=0.045,"🔵トレーリング検討",IF(L106&gt;-0.03,"📌保有中",IF(L106&gt;-0.04,"⚠️損切注意","🔴損切り"))))))))</f>
        <v/>
      </c>
      <c r="T106" s="594"/>
      <c r="U106" s="491"/>
      <c r="V106" s="701" t="str">
        <f>IF(OR(F106="",G106="",U106=""),"",IF(C106="売",(F106-U106)*G106,(U106-F106)*G106))</f>
        <v/>
      </c>
      <c r="W106" s="493" t="str">
        <f>IF(OR($E106="",$B106=""),"",IF($T106&lt;&gt;"",$T106-$E106,TODAY()-$E106)+1)</f>
        <v/>
      </c>
      <c r="X106" s="489" t="str">
        <f>IF(OR($AH106="",$AH106="保有中"),"",$AH106)</f>
        <v/>
      </c>
      <c r="Y106" s="488"/>
      <c r="Z106" s="710"/>
      <c r="AD106" s="608"/>
      <c r="AE106" s="624" t="str">
        <f>IF($E106="","",WORKDAY($E106,12))</f>
        <v/>
      </c>
      <c r="AF106" s="626" t="str" cm="1">
        <f t="array" aca="1" ref="AF106" ca="1">IF(OR($B106="",$M106=""),"",IFERROR(IF($C106="売",_xlfn.MINIFS(安値!$E$3:$IT$3,安値!$E$3:$IT$3,"&gt;"&amp;$E106,安値!$E$3:$IT$3,"&lt;="&amp;$AE106,OFFSET(安値!$E$6:$IT$6,MATCH(TEXT($B106,"0"),TEXT(銘柄管理!$B$6:$B$305,"0"),0)-1,0),"&lt;="&amp;$M106),_xlfn.MINIFS(高値!$E$3:$IT$3,高値!$E$3:$IT$3,"&gt;"&amp;$E106,高値!$E$3:$IT$3,"&lt;="&amp;$AE106,OFFSET(高値!$E$6:$IT$6,MATCH(TEXT($B106,"0"),TEXT(銘柄管理!$B$6:$B$305,"0"),0)-1,0),"&gt;="&amp;$M106)),""))</f>
        <v/>
      </c>
      <c r="AG106" s="626" t="str" cm="1">
        <f t="array" aca="1" ref="AG106" ca="1">IF(OR($B106="",$N106=""),"",IFERROR(IF($C106="売",_xlfn.MINIFS(高値!$E$3:$IT$3,高値!$E$3:$IT$3,"&gt;"&amp;$E106,高値!$E$3:$IT$3,"&lt;="&amp;$AE106,OFFSET(高値!$E$6:$IT$6,MATCH(TEXT($B106,"0"),TEXT(銘柄管理!$B$6:$B$305,"0"),0)-1,0),"&gt;="&amp;$N106),_xlfn.MINIFS(安値!$E$3:$IT$3,安値!$E$3:$IT$3,"&gt;"&amp;$E106,安値!$E$3:$IT$3,"&lt;="&amp;$AE106,OFFSET(安値!$E$6:$IT$6,MATCH(TEXT($B106,"0"),TEXT(銘柄管理!$B$6:$B$305,"0"),0)-1,0),"&lt;="&amp;$N106)),""))</f>
        <v/>
      </c>
      <c r="AH106" s="600" t="str">
        <f>IF(OR($B106="",$M106=""),"",IF(AND(N($AF106)=0,N($AG106)=0),IF(AND(ISNUMBER($H106),$H106&gt;0,IF($C106="売",$H106&gt;=$N106,$H106&lt;=$N106)),"損切確定",IF(AND(ISNUMBER($H106),$H106&gt;0,IF($C106="売",$H106&lt;=$M106,$H106&gt;=$M106)),"利益確定",IF($AE106&lt;=TODAY(),"日数制限","保有中"))),IF(N($AG106)=0,"利益確定",IF(N($AF106)=0,"損切確定",IF($AG106&lt;=$AF106,"損切確定","利益確定")))))</f>
        <v/>
      </c>
      <c r="AI106" s="600" t="str" cm="1">
        <f t="array" ref="AI106">IFERROR(INDEX(始値!$E$6:$IT$305,MATCH(TEXT($B106,"0"),TEXT(銘柄管理!$B$6:$B$305,"0"),0),MATCH($AE106,始値!$E$3:$IT$3,0)),"")</f>
        <v/>
      </c>
      <c r="AJ106" s="905" t="str">
        <f>IF(OR($V106="",$F106="",$G106=""),"",$V106/($F106*$G106))</f>
        <v/>
      </c>
      <c r="AK106" s="629" t="str">
        <f>IF($V106="","",IF($V106&gt;0,"○勝",IF($V106&lt;0,"●負","△引分")))</f>
        <v/>
      </c>
    </row>
    <row r="107" spans="1:37" ht="35.4" customHeight="1">
      <c r="A107" s="619" t="str">
        <f>IF(B107="","",HYPERLINK("https://kabutan.jp/stock/?code="&amp;B107,"株探"))</f>
        <v/>
      </c>
      <c r="B107" s="630"/>
      <c r="C107" s="490"/>
      <c r="D107" s="623" t="str" cm="1">
        <f t="array" ref="D107">IF($B107="","",_xll.RssMarket($B107,"銘柄名称"))</f>
        <v/>
      </c>
      <c r="E107" s="716"/>
      <c r="F107" s="698" t="str" cm="1">
        <f t="array" aca="1" ref="F107" ca="1">IFERROR(_xlfn.LET(_xlpm.r,MATCH(TEXT($B107,"0"),TEXT(銘柄管理!$B$6:$B$305,"0"),0),_xlpm.t,MOD(NOW(),1),_xlpm.c,IF($E107=TODAY(),IF(_xlpm.t&gt;=TIME(15,30,0),NA(),1),IF(MATCH($E107,始値!$E$3:$IT$3,0)=1,1,MATCH($E107,始値!$E$3:$IT$3,0)+1)),_xlpm.v,INDEX(始値!$C$6:$IT$305,_xlpm.r,_xlpm.c),IF(N(_xlpm.v)=0,"",_xlpm.v)),"")</f>
        <v/>
      </c>
      <c r="G107" s="631"/>
      <c r="H107" s="491" t="str" cm="1">
        <f t="array" ref="H107">IF($B107="","",_xll.RssMarket($B107,"現在値"))</f>
        <v/>
      </c>
      <c r="I107" s="491" t="str" cm="1">
        <f t="array" ref="I107">IF($B107="","",_xll.RssMarket($B107,"出来高加重平均"))</f>
        <v/>
      </c>
      <c r="J107" s="701" t="str" cm="1">
        <f t="array" ref="J107">IF($B107="","",_xll.RssMarket($B107,"前日比"))</f>
        <v/>
      </c>
      <c r="K107" s="701" t="str">
        <f>IF(OR(F107="",G107="",H107=""),"",IF(C107="売",(F107-H107)*G107,(H107-F107)*G107))</f>
        <v/>
      </c>
      <c r="L107" s="706" t="str">
        <f>IF(OR(F107="",H107=""),"",IF(C107="売",(F107-H107)/F107,(H107-F107)/F107))</f>
        <v/>
      </c>
      <c r="M107" s="491" t="str">
        <f>IF($F107="","",$F107*IF($C107="売",1-V811設定!$B$4,1+V811設定!$B$4)-MOD($F107*IF($C107="売",1-V811設定!$B$4,1+V811設定!$B$4),IF($F107&lt;=3000,1,IF($F107&lt;=5000,5,IF($F107&lt;=30000,10,IF($F107&lt;=50000,50,IF($F107&lt;=300000,100,500))))))+IF(AND($C107="売",MOD($F107*IF($C107="売",1-V811設定!$B$4,1+V811設定!$B$4),IF($F107&lt;=3000,1,IF($F107&lt;=5000,5,IF($F107&lt;=30000,10,IF($F107&lt;=50000,50,IF($F107&lt;=300000,100,500))))))&gt;0),IF($F107&lt;=3000,1,IF($F107&lt;=5000,5,IF($F107&lt;=30000,10,IF($F107&lt;=50000,50,IF($F107&lt;=300000,100,500))))),0))</f>
      </c>
      <c r="N107" s="491" t="str">
        <f>IF($F107="","",$F107*IF($C107="売",1+V811設定!$B$3,1-V811設定!$B$3)-MOD($F107*IF($C107="売",1+V811設定!$B$3,1-V811設定!$B$3),IF($F107&lt;=3000,1,IF($F107&lt;=5000,5,IF($F107&lt;=30000,10,IF($F107&lt;=50000,50,IF($F107&lt;=300000,100,500))))))+IF(AND($C107="売",MOD($F107*IF($C107="売",1+V811設定!$B$3,1-V811設定!$B$3),IF($F107&lt;=3000,1,IF($F107&lt;=5000,5,IF($F107&lt;=30000,10,IF($F107&lt;=50000,50,IF($F107&lt;=300000,100,500))))))&gt;0),IF($F107&lt;=3000,1,IF($F107&lt;=5000,5,IF($F107&lt;=30000,10,IF($F107&lt;=50000,50,IF($F107&lt;=300000,100,500))))),0))</f>
      </c>
      <c r="O107" s="492" t="str">
        <f>IF(OR($B107="",$F107="",$H107=""),"",IF($S107="✅売却済","―決済済―",IF($C107="売",IF($H107&lt;=$M107,"🟢利確",IF(AND($R107&lt;&gt;"",$H107&gt;=$R107),"🟠TRAIL",IF($H107&gt;=$N107,"🔴損切",IF($W107&gt;=V811設定!$B$6,"⏱時間決済",IF($H107&gt;=$F107*(1+V811設定!$B$3*0.7),"⚠️損切接近","保持継続"))))),IF($H107&gt;=$M107,"🟢利確",IF(AND($R107&lt;&gt;"",$H107&lt;=$R107),"🟠TRAIL",IF($H107&lt;=$N107,"🔴損切",IF($W107&gt;=V811設定!$B$6,"⏱時間決済",IF($H107&lt;=$F107*(1-V811設定!$B$3*0.7),"⚠️損切接近","保持継続"))))))))</f>
      </c>
      <c r="P107" s="491"/>
      <c r="Q107" s="491"/>
      <c r="R107" s="491" t="str">
        <f>IF(OR($F107="",$H107="",$N107=""),"",IF($S107="✅売却済","",IF($C107="売",IF($H107&gt;$F107*(1-V811設定!$B$3),$N107,MIN($N107,IF($Q107="",$N107,$Q107*1.03))),IF($H107&lt;$F107*(1+V811設定!$B$3),$N107,MAX($N107,IF($P107="",$N107,$P107*0.97))))))</f>
      </c>
      <c r="S107" s="586" t="str">
        <f>IF(B107="","",IF(T107&lt;&gt;"","✅売却済",IF(OR(H107="",L107=""),"📌保有中",IF(L107&gt;=0.06,"🟢利確推奨",IF(L107&gt;=0.05,"🟡利確直近",IF(L107&gt;=0.045,"🔵トレーリング検討",IF(L107&gt;-0.03,"📌保有中",IF(L107&gt;-0.04,"⚠️損切注意","🔴損切り"))))))))</f>
        <v/>
      </c>
      <c r="T107" s="594"/>
      <c r="U107" s="491"/>
      <c r="V107" s="701" t="str">
        <f>IF(OR(F107="",G107="",U107=""),"",IF(C107="売",(F107-U107)*G107,(U107-F107)*G107))</f>
        <v/>
      </c>
      <c r="W107" s="493" t="str">
        <f>IF(OR($E107="",$B107=""),"",IF($T107&lt;&gt;"",$T107-$E107,TODAY()-$E107)+1)</f>
        <v/>
      </c>
      <c r="X107" s="489" t="str">
        <f>IF(OR($AH107="",$AH107="保有中"),"",$AH107)</f>
        <v/>
      </c>
      <c r="Y107" s="488"/>
      <c r="Z107" s="710"/>
      <c r="AD107" s="608"/>
      <c r="AE107" s="624" t="str">
        <f>IF($E107="","",WORKDAY($E107,12))</f>
        <v/>
      </c>
      <c r="AF107" s="626" t="str" cm="1">
        <f t="array" aca="1" ref="AF107" ca="1">IF(OR($B107="",$M107=""),"",IFERROR(IF($C107="売",_xlfn.MINIFS(安値!$E$3:$IT$3,安値!$E$3:$IT$3,"&gt;"&amp;$E107,安値!$E$3:$IT$3,"&lt;="&amp;$AE107,OFFSET(安値!$E$6:$IT$6,MATCH(TEXT($B107,"0"),TEXT(銘柄管理!$B$6:$B$305,"0"),0)-1,0),"&lt;="&amp;$M107),_xlfn.MINIFS(高値!$E$3:$IT$3,高値!$E$3:$IT$3,"&gt;"&amp;$E107,高値!$E$3:$IT$3,"&lt;="&amp;$AE107,OFFSET(高値!$E$6:$IT$6,MATCH(TEXT($B107,"0"),TEXT(銘柄管理!$B$6:$B$305,"0"),0)-1,0),"&gt;="&amp;$M107)),""))</f>
        <v/>
      </c>
      <c r="AG107" s="626" t="str" cm="1">
        <f t="array" aca="1" ref="AG107" ca="1">IF(OR($B107="",$N107=""),"",IFERROR(IF($C107="売",_xlfn.MINIFS(高値!$E$3:$IT$3,高値!$E$3:$IT$3,"&gt;"&amp;$E107,高値!$E$3:$IT$3,"&lt;="&amp;$AE107,OFFSET(高値!$E$6:$IT$6,MATCH(TEXT($B107,"0"),TEXT(銘柄管理!$B$6:$B$305,"0"),0)-1,0),"&gt;="&amp;$N107),_xlfn.MINIFS(安値!$E$3:$IT$3,安値!$E$3:$IT$3,"&gt;"&amp;$E107,安値!$E$3:$IT$3,"&lt;="&amp;$AE107,OFFSET(安値!$E$6:$IT$6,MATCH(TEXT($B107,"0"),TEXT(銘柄管理!$B$6:$B$305,"0"),0)-1,0),"&lt;="&amp;$N107)),""))</f>
        <v/>
      </c>
      <c r="AH107" s="600" t="str">
        <f>IF(OR($B107="",$M107=""),"",IF(AND(N($AF107)=0,N($AG107)=0),IF(AND(ISNUMBER($H107),$H107&gt;0,IF($C107="売",$H107&gt;=$N107,$H107&lt;=$N107)),"損切確定",IF(AND(ISNUMBER($H107),$H107&gt;0,IF($C107="売",$H107&lt;=$M107,$H107&gt;=$M107)),"利益確定",IF($AE107&lt;=TODAY(),"日数制限","保有中"))),IF(N($AG107)=0,"利益確定",IF(N($AF107)=0,"損切確定",IF($AG107&lt;=$AF107,"損切確定","利益確定")))))</f>
        <v/>
      </c>
      <c r="AI107" s="600" t="str" cm="1">
        <f t="array" ref="AI107">IFERROR(INDEX(始値!$E$6:$IT$305,MATCH(TEXT($B107,"0"),TEXT(銘柄管理!$B$6:$B$305,"0"),0),MATCH($AE107,始値!$E$3:$IT$3,0)),"")</f>
        <v/>
      </c>
      <c r="AJ107" s="905" t="str">
        <f>IF(OR($V107="",$F107="",$G107=""),"",$V107/($F107*$G107))</f>
        <v/>
      </c>
      <c r="AK107" s="629" t="str">
        <f>IF($V107="","",IF($V107&gt;0,"○勝",IF($V107&lt;0,"●負","△引分")))</f>
        <v/>
      </c>
    </row>
    <row r="108" spans="1:37" ht="35.4" customHeight="1">
      <c r="A108" s="619" t="str">
        <f>IF(B108="","",HYPERLINK("https://kabutan.jp/stock/?code="&amp;B108,"株探"))</f>
        <v/>
      </c>
      <c r="B108" s="630"/>
      <c r="C108" s="490"/>
      <c r="D108" s="623" t="str" cm="1">
        <f t="array" ref="D108">IF($B108="","",_xll.RssMarket($B108,"銘柄名称"))</f>
        <v/>
      </c>
      <c r="E108" s="716"/>
      <c r="F108" s="698" t="str" cm="1">
        <f t="array" aca="1" ref="F108" ca="1">IFERROR(_xlfn.LET(_xlpm.r,MATCH(TEXT($B108,"0"),TEXT(銘柄管理!$B$6:$B$305,"0"),0),_xlpm.t,MOD(NOW(),1),_xlpm.c,IF($E108=TODAY(),IF(_xlpm.t&gt;=TIME(15,30,0),NA(),1),IF(MATCH($E108,始値!$E$3:$IT$3,0)=1,1,MATCH($E108,始値!$E$3:$IT$3,0)+1)),_xlpm.v,INDEX(始値!$C$6:$IT$305,_xlpm.r,_xlpm.c),IF(N(_xlpm.v)=0,"",_xlpm.v)),"")</f>
        <v/>
      </c>
      <c r="G108" s="631"/>
      <c r="H108" s="491" t="str" cm="1">
        <f t="array" ref="H108">IF($B108="","",_xll.RssMarket($B108,"現在値"))</f>
        <v/>
      </c>
      <c r="I108" s="491" t="str" cm="1">
        <f t="array" ref="I108">IF($B108="","",_xll.RssMarket($B108,"出来高加重平均"))</f>
        <v/>
      </c>
      <c r="J108" s="701" t="str" cm="1">
        <f t="array" ref="J108">IF($B108="","",_xll.RssMarket($B108,"前日比"))</f>
        <v/>
      </c>
      <c r="K108" s="701" t="str">
        <f>IF(OR(F108="",G108="",H108=""),"",IF(C108="売",(F108-H108)*G108,(H108-F108)*G108))</f>
        <v/>
      </c>
      <c r="L108" s="706" t="str">
        <f>IF(OR(F108="",H108=""),"",IF(C108="売",(F108-H108)/F108,(H108-F108)/F108))</f>
        <v/>
      </c>
      <c r="M108" s="491" t="str">
        <f>IF($F108="","",$F108*IF($C108="売",1-V811設定!$B$4,1+V811設定!$B$4)-MOD($F108*IF($C108="売",1-V811設定!$B$4,1+V811設定!$B$4),IF($F108&lt;=3000,1,IF($F108&lt;=5000,5,IF($F108&lt;=30000,10,IF($F108&lt;=50000,50,IF($F108&lt;=300000,100,500))))))+IF(AND($C108="売",MOD($F108*IF($C108="売",1-V811設定!$B$4,1+V811設定!$B$4),IF($F108&lt;=3000,1,IF($F108&lt;=5000,5,IF($F108&lt;=30000,10,IF($F108&lt;=50000,50,IF($F108&lt;=300000,100,500))))))&gt;0),IF($F108&lt;=3000,1,IF($F108&lt;=5000,5,IF($F108&lt;=30000,10,IF($F108&lt;=50000,50,IF($F108&lt;=300000,100,500))))),0))</f>
      </c>
      <c r="N108" s="491" t="str">
        <f>IF($F108="","",$F108*IF($C108="売",1+V811設定!$B$3,1-V811設定!$B$3)-MOD($F108*IF($C108="売",1+V811設定!$B$3,1-V811設定!$B$3),IF($F108&lt;=3000,1,IF($F108&lt;=5000,5,IF($F108&lt;=30000,10,IF($F108&lt;=50000,50,IF($F108&lt;=300000,100,500))))))+IF(AND($C108="売",MOD($F108*IF($C108="売",1+V811設定!$B$3,1-V811設定!$B$3),IF($F108&lt;=3000,1,IF($F108&lt;=5000,5,IF($F108&lt;=30000,10,IF($F108&lt;=50000,50,IF($F108&lt;=300000,100,500))))))&gt;0),IF($F108&lt;=3000,1,IF($F108&lt;=5000,5,IF($F108&lt;=30000,10,IF($F108&lt;=50000,50,IF($F108&lt;=300000,100,500))))),0))</f>
      </c>
      <c r="O108" s="492" t="str">
        <f>IF(OR($B108="",$F108="",$H108=""),"",IF($S108="✅売却済","―決済済―",IF($C108="売",IF($H108&lt;=$M108,"🟢利確",IF(AND($R108&lt;&gt;"",$H108&gt;=$R108),"🟠TRAIL",IF($H108&gt;=$N108,"🔴損切",IF($W108&gt;=V811設定!$B$6,"⏱時間決済",IF($H108&gt;=$F108*(1+V811設定!$B$3*0.7),"⚠️損切接近","保持継続"))))),IF($H108&gt;=$M108,"🟢利確",IF(AND($R108&lt;&gt;"",$H108&lt;=$R108),"🟠TRAIL",IF($H108&lt;=$N108,"🔴損切",IF($W108&gt;=V811設定!$B$6,"⏱時間決済",IF($H108&lt;=$F108*(1-V811設定!$B$3*0.7),"⚠️損切接近","保持継続"))))))))</f>
      </c>
      <c r="P108" s="491"/>
      <c r="Q108" s="491"/>
      <c r="R108" s="491" t="str">
        <f>IF(OR($F108="",$H108="",$N108=""),"",IF($S108="✅売却済","",IF($C108="売",IF($H108&gt;$F108*(1-V811設定!$B$3),$N108,MIN($N108,IF($Q108="",$N108,$Q108*1.03))),IF($H108&lt;$F108*(1+V811設定!$B$3),$N108,MAX($N108,IF($P108="",$N108,$P108*0.97))))))</f>
      </c>
      <c r="S108" s="586" t="str">
        <f>IF(B108="","",IF(T108&lt;&gt;"","✅売却済",IF(OR(H108="",L108=""),"📌保有中",IF(L108&gt;=0.06,"🟢利確推奨",IF(L108&gt;=0.05,"🟡利確直近",IF(L108&gt;=0.045,"🔵トレーリング検討",IF(L108&gt;-0.03,"📌保有中",IF(L108&gt;-0.04,"⚠️損切注意","🔴損切り"))))))))</f>
        <v/>
      </c>
      <c r="T108" s="594"/>
      <c r="U108" s="491"/>
      <c r="V108" s="701" t="str">
        <f>IF(OR(F108="",G108="",U108=""),"",IF(C108="売",(F108-U108)*G108,(U108-F108)*G108))</f>
        <v/>
      </c>
      <c r="W108" s="493" t="str">
        <f>IF(OR($E108="",$B108=""),"",IF($T108&lt;&gt;"",$T108-$E108,TODAY()-$E108)+1)</f>
        <v/>
      </c>
      <c r="X108" s="489" t="str">
        <f>IF(OR($AH108="",$AH108="保有中"),"",$AH108)</f>
        <v/>
      </c>
      <c r="Y108" s="488"/>
      <c r="Z108" s="710"/>
      <c r="AD108" s="608"/>
      <c r="AE108" s="624" t="str">
        <f>IF($E108="","",WORKDAY($E108,12))</f>
        <v/>
      </c>
      <c r="AF108" s="626" t="str" cm="1">
        <f t="array" aca="1" ref="AF108" ca="1">IF(OR($B108="",$M108=""),"",IFERROR(IF($C108="売",_xlfn.MINIFS(安値!$E$3:$IT$3,安値!$E$3:$IT$3,"&gt;"&amp;$E108,安値!$E$3:$IT$3,"&lt;="&amp;$AE108,OFFSET(安値!$E$6:$IT$6,MATCH(TEXT($B108,"0"),TEXT(銘柄管理!$B$6:$B$305,"0"),0)-1,0),"&lt;="&amp;$M108),_xlfn.MINIFS(高値!$E$3:$IT$3,高値!$E$3:$IT$3,"&gt;"&amp;$E108,高値!$E$3:$IT$3,"&lt;="&amp;$AE108,OFFSET(高値!$E$6:$IT$6,MATCH(TEXT($B108,"0"),TEXT(銘柄管理!$B$6:$B$305,"0"),0)-1,0),"&gt;="&amp;$M108)),""))</f>
        <v/>
      </c>
      <c r="AG108" s="626" t="str" cm="1">
        <f t="array" aca="1" ref="AG108" ca="1">IF(OR($B108="",$N108=""),"",IFERROR(IF($C108="売",_xlfn.MINIFS(高値!$E$3:$IT$3,高値!$E$3:$IT$3,"&gt;"&amp;$E108,高値!$E$3:$IT$3,"&lt;="&amp;$AE108,OFFSET(高値!$E$6:$IT$6,MATCH(TEXT($B108,"0"),TEXT(銘柄管理!$B$6:$B$305,"0"),0)-1,0),"&gt;="&amp;$N108),_xlfn.MINIFS(安値!$E$3:$IT$3,安値!$E$3:$IT$3,"&gt;"&amp;$E108,安値!$E$3:$IT$3,"&lt;="&amp;$AE108,OFFSET(安値!$E$6:$IT$6,MATCH(TEXT($B108,"0"),TEXT(銘柄管理!$B$6:$B$305,"0"),0)-1,0),"&lt;="&amp;$N108)),""))</f>
        <v/>
      </c>
      <c r="AH108" s="600" t="str">
        <f>IF(OR($B108="",$M108=""),"",IF(AND(N($AF108)=0,N($AG108)=0),IF(AND(ISNUMBER($H108),$H108&gt;0,IF($C108="売",$H108&gt;=$N108,$H108&lt;=$N108)),"損切確定",IF(AND(ISNUMBER($H108),$H108&gt;0,IF($C108="売",$H108&lt;=$M108,$H108&gt;=$M108)),"利益確定",IF($AE108&lt;=TODAY(),"日数制限","保有中"))),IF(N($AG108)=0,"利益確定",IF(N($AF108)=0,"損切確定",IF($AG108&lt;=$AF108,"損切確定","利益確定")))))</f>
        <v/>
      </c>
      <c r="AI108" s="600" t="str" cm="1">
        <f t="array" ref="AI108">IFERROR(INDEX(始値!$E$6:$IT$305,MATCH(TEXT($B108,"0"),TEXT(銘柄管理!$B$6:$B$305,"0"),0),MATCH($AE108,始値!$E$3:$IT$3,0)),"")</f>
        <v/>
      </c>
      <c r="AJ108" s="905" t="str">
        <f>IF(OR($V108="",$F108="",$G108=""),"",$V108/($F108*$G108))</f>
        <v/>
      </c>
      <c r="AK108" s="629" t="str">
        <f>IF($V108="","",IF($V108&gt;0,"○勝",IF($V108&lt;0,"●負","△引分")))</f>
        <v/>
      </c>
    </row>
    <row r="109" spans="1:37" ht="35.4" customHeight="1">
      <c r="A109" s="619" t="str">
        <f>IF(B109="","",HYPERLINK("https://kabutan.jp/stock/?code="&amp;B109,"株探"))</f>
        <v/>
      </c>
      <c r="B109" s="630"/>
      <c r="C109" s="490"/>
      <c r="D109" s="623" t="str" cm="1">
        <f t="array" ref="D109">IF($B109="","",_xll.RssMarket($B109,"銘柄名称"))</f>
        <v/>
      </c>
      <c r="E109" s="716"/>
      <c r="F109" s="698" t="str" cm="1">
        <f t="array" aca="1" ref="F109" ca="1">IFERROR(_xlfn.LET(_xlpm.r,MATCH(TEXT($B109,"0"),TEXT(銘柄管理!$B$6:$B$305,"0"),0),_xlpm.t,MOD(NOW(),1),_xlpm.c,IF($E109=TODAY(),IF(_xlpm.t&gt;=TIME(15,30,0),NA(),1),IF(MATCH($E109,始値!$E$3:$IT$3,0)=1,1,MATCH($E109,始値!$E$3:$IT$3,0)+1)),_xlpm.v,INDEX(始値!$C$6:$IT$305,_xlpm.r,_xlpm.c),IF(N(_xlpm.v)=0,"",_xlpm.v)),"")</f>
        <v/>
      </c>
      <c r="G109" s="631"/>
      <c r="H109" s="491" t="str" cm="1">
        <f t="array" ref="H109">IF($B109="","",_xll.RssMarket($B109,"現在値"))</f>
        <v/>
      </c>
      <c r="I109" s="491" t="str" cm="1">
        <f t="array" ref="I109">IF($B109="","",_xll.RssMarket($B109,"出来高加重平均"))</f>
        <v/>
      </c>
      <c r="J109" s="701" t="str" cm="1">
        <f t="array" ref="J109">IF($B109="","",_xll.RssMarket($B109,"前日比"))</f>
        <v/>
      </c>
      <c r="K109" s="701" t="str">
        <f>IF(OR(F109="",G109="",H109=""),"",IF(C109="売",(F109-H109)*G109,(H109-F109)*G109))</f>
        <v/>
      </c>
      <c r="L109" s="706" t="str">
        <f>IF(OR(F109="",H109=""),"",IF(C109="売",(F109-H109)/F109,(H109-F109)/F109))</f>
        <v/>
      </c>
      <c r="M109" s="491" t="str">
        <f>IF($F109="","",$F109*IF($C109="売",1-V811設定!$B$4,1+V811設定!$B$4)-MOD($F109*IF($C109="売",1-V811設定!$B$4,1+V811設定!$B$4),IF($F109&lt;=3000,1,IF($F109&lt;=5000,5,IF($F109&lt;=30000,10,IF($F109&lt;=50000,50,IF($F109&lt;=300000,100,500))))))+IF(AND($C109="売",MOD($F109*IF($C109="売",1-V811設定!$B$4,1+V811設定!$B$4),IF($F109&lt;=3000,1,IF($F109&lt;=5000,5,IF($F109&lt;=30000,10,IF($F109&lt;=50000,50,IF($F109&lt;=300000,100,500))))))&gt;0),IF($F109&lt;=3000,1,IF($F109&lt;=5000,5,IF($F109&lt;=30000,10,IF($F109&lt;=50000,50,IF($F109&lt;=300000,100,500))))),0))</f>
      </c>
      <c r="N109" s="491" t="str">
        <f>IF($F109="","",$F109*IF($C109="売",1+V811設定!$B$3,1-V811設定!$B$3)-MOD($F109*IF($C109="売",1+V811設定!$B$3,1-V811設定!$B$3),IF($F109&lt;=3000,1,IF($F109&lt;=5000,5,IF($F109&lt;=30000,10,IF($F109&lt;=50000,50,IF($F109&lt;=300000,100,500))))))+IF(AND($C109="売",MOD($F109*IF($C109="売",1+V811設定!$B$3,1-V811設定!$B$3),IF($F109&lt;=3000,1,IF($F109&lt;=5000,5,IF($F109&lt;=30000,10,IF($F109&lt;=50000,50,IF($F109&lt;=300000,100,500))))))&gt;0),IF($F109&lt;=3000,1,IF($F109&lt;=5000,5,IF($F109&lt;=30000,10,IF($F109&lt;=50000,50,IF($F109&lt;=300000,100,500))))),0))</f>
      </c>
      <c r="O109" s="492" t="str">
        <f>IF(OR($B109="",$F109="",$H109=""),"",IF($S109="✅売却済","―決済済―",IF($C109="売",IF($H109&lt;=$M109,"🟢利確",IF(AND($R109&lt;&gt;"",$H109&gt;=$R109),"🟠TRAIL",IF($H109&gt;=$N109,"🔴損切",IF($W109&gt;=V811設定!$B$6,"⏱時間決済",IF($H109&gt;=$F109*(1+V811設定!$B$3*0.7),"⚠️損切接近","保持継続"))))),IF($H109&gt;=$M109,"🟢利確",IF(AND($R109&lt;&gt;"",$H109&lt;=$R109),"🟠TRAIL",IF($H109&lt;=$N109,"🔴損切",IF($W109&gt;=V811設定!$B$6,"⏱時間決済",IF($H109&lt;=$F109*(1-V811設定!$B$3*0.7),"⚠️損切接近","保持継続"))))))))</f>
      </c>
      <c r="P109" s="491"/>
      <c r="Q109" s="491"/>
      <c r="R109" s="491" t="str">
        <f>IF(OR($F109="",$H109="",$N109=""),"",IF($S109="✅売却済","",IF($C109="売",IF($H109&gt;$F109*(1-V811設定!$B$3),$N109,MIN($N109,IF($Q109="",$N109,$Q109*1.03))),IF($H109&lt;$F109*(1+V811設定!$B$3),$N109,MAX($N109,IF($P109="",$N109,$P109*0.97))))))</f>
      </c>
      <c r="S109" s="586" t="str">
        <f>IF(B109="","",IF(T109&lt;&gt;"","✅売却済",IF(OR(H109="",L109=""),"📌保有中",IF(L109&gt;=0.06,"🟢利確推奨",IF(L109&gt;=0.05,"🟡利確直近",IF(L109&gt;=0.045,"🔵トレーリング検討",IF(L109&gt;-0.03,"📌保有中",IF(L109&gt;-0.04,"⚠️損切注意","🔴損切り"))))))))</f>
        <v/>
      </c>
      <c r="T109" s="594"/>
      <c r="U109" s="491"/>
      <c r="V109" s="701" t="str">
        <f>IF(OR(F109="",G109="",U109=""),"",IF(C109="売",(F109-U109)*G109,(U109-F109)*G109))</f>
        <v/>
      </c>
      <c r="W109" s="493" t="str">
        <f>IF(OR($E109="",$B109=""),"",IF($T109&lt;&gt;"",$T109-$E109,TODAY()-$E109)+1)</f>
        <v/>
      </c>
      <c r="X109" s="489" t="str">
        <f>IF(OR($AH109="",$AH109="保有中"),"",$AH109)</f>
        <v/>
      </c>
      <c r="Y109" s="488"/>
      <c r="Z109" s="710"/>
      <c r="AD109" s="608"/>
      <c r="AE109" s="624" t="str">
        <f>IF($E109="","",WORKDAY($E109,12))</f>
        <v/>
      </c>
      <c r="AF109" s="626" t="str" cm="1">
        <f t="array" aca="1" ref="AF109" ca="1">IF(OR($B109="",$M109=""),"",IFERROR(IF($C109="売",_xlfn.MINIFS(安値!$E$3:$IT$3,安値!$E$3:$IT$3,"&gt;"&amp;$E109,安値!$E$3:$IT$3,"&lt;="&amp;$AE109,OFFSET(安値!$E$6:$IT$6,MATCH(TEXT($B109,"0"),TEXT(銘柄管理!$B$6:$B$305,"0"),0)-1,0),"&lt;="&amp;$M109),_xlfn.MINIFS(高値!$E$3:$IT$3,高値!$E$3:$IT$3,"&gt;"&amp;$E109,高値!$E$3:$IT$3,"&lt;="&amp;$AE109,OFFSET(高値!$E$6:$IT$6,MATCH(TEXT($B109,"0"),TEXT(銘柄管理!$B$6:$B$305,"0"),0)-1,0),"&gt;="&amp;$M109)),""))</f>
        <v/>
      </c>
      <c r="AG109" s="626" t="str" cm="1">
        <f t="array" aca="1" ref="AG109" ca="1">IF(OR($B109="",$N109=""),"",IFERROR(IF($C109="売",_xlfn.MINIFS(高値!$E$3:$IT$3,高値!$E$3:$IT$3,"&gt;"&amp;$E109,高値!$E$3:$IT$3,"&lt;="&amp;$AE109,OFFSET(高値!$E$6:$IT$6,MATCH(TEXT($B109,"0"),TEXT(銘柄管理!$B$6:$B$305,"0"),0)-1,0),"&gt;="&amp;$N109),_xlfn.MINIFS(安値!$E$3:$IT$3,安値!$E$3:$IT$3,"&gt;"&amp;$E109,安値!$E$3:$IT$3,"&lt;="&amp;$AE109,OFFSET(安値!$E$6:$IT$6,MATCH(TEXT($B109,"0"),TEXT(銘柄管理!$B$6:$B$305,"0"),0)-1,0),"&lt;="&amp;$N109)),""))</f>
        <v/>
      </c>
      <c r="AH109" s="600" t="str">
        <f>IF(OR($B109="",$M109=""),"",IF(AND(N($AF109)=0,N($AG109)=0),IF(AND(ISNUMBER($H109),$H109&gt;0,IF($C109="売",$H109&gt;=$N109,$H109&lt;=$N109)),"損切確定",IF(AND(ISNUMBER($H109),$H109&gt;0,IF($C109="売",$H109&lt;=$M109,$H109&gt;=$M109)),"利益確定",IF($AE109&lt;=TODAY(),"日数制限","保有中"))),IF(N($AG109)=0,"利益確定",IF(N($AF109)=0,"損切確定",IF($AG109&lt;=$AF109,"損切確定","利益確定")))))</f>
        <v/>
      </c>
      <c r="AI109" s="600" t="str" cm="1">
        <f t="array" ref="AI109">IFERROR(INDEX(始値!$E$6:$IT$305,MATCH(TEXT($B109,"0"),TEXT(銘柄管理!$B$6:$B$305,"0"),0),MATCH($AE109,始値!$E$3:$IT$3,0)),"")</f>
        <v/>
      </c>
      <c r="AJ109" s="905" t="str">
        <f>IF(OR($V109="",$F109="",$G109=""),"",$V109/($F109*$G109))</f>
        <v/>
      </c>
      <c r="AK109" s="629" t="str">
        <f>IF($V109="","",IF($V109&gt;0,"○勝",IF($V109&lt;0,"●負","△引分")))</f>
        <v/>
      </c>
    </row>
    <row r="110" spans="1:37" ht="35.4" customHeight="1">
      <c r="A110" s="619" t="str">
        <f>IF(B110="","",HYPERLINK("https://kabutan.jp/stock/?code="&amp;B110,"株探"))</f>
        <v/>
      </c>
      <c r="B110" s="630"/>
      <c r="C110" s="490"/>
      <c r="D110" s="623" t="str" cm="1">
        <f t="array" ref="D110">IF($B110="","",_xll.RssMarket($B110,"銘柄名称"))</f>
        <v/>
      </c>
      <c r="E110" s="716"/>
      <c r="F110" s="698" t="str" cm="1">
        <f t="array" aca="1" ref="F110" ca="1">IFERROR(_xlfn.LET(_xlpm.r,MATCH(TEXT($B110,"0"),TEXT(銘柄管理!$B$6:$B$305,"0"),0),_xlpm.t,MOD(NOW(),1),_xlpm.c,IF($E110=TODAY(),IF(_xlpm.t&gt;=TIME(15,30,0),NA(),1),IF(MATCH($E110,始値!$E$3:$IT$3,0)=1,1,MATCH($E110,始値!$E$3:$IT$3,0)+1)),_xlpm.v,INDEX(始値!$C$6:$IT$305,_xlpm.r,_xlpm.c),IF(N(_xlpm.v)=0,"",_xlpm.v)),"")</f>
        <v/>
      </c>
      <c r="G110" s="631"/>
      <c r="H110" s="491" t="str" cm="1">
        <f t="array" ref="H110">IF($B110="","",_xll.RssMarket($B110,"現在値"))</f>
        <v/>
      </c>
      <c r="I110" s="491" t="str" cm="1">
        <f t="array" ref="I110">IF($B110="","",_xll.RssMarket($B110,"出来高加重平均"))</f>
        <v/>
      </c>
      <c r="J110" s="701" t="str" cm="1">
        <f t="array" ref="J110">IF($B110="","",_xll.RssMarket($B110,"前日比"))</f>
        <v/>
      </c>
      <c r="K110" s="701" t="str">
        <f>IF(OR(F110="",G110="",H110=""),"",IF(C110="売",(F110-H110)*G110,(H110-F110)*G110))</f>
        <v/>
      </c>
      <c r="L110" s="706" t="str">
        <f>IF(OR(F110="",H110=""),"",IF(C110="売",(F110-H110)/F110,(H110-F110)/F110))</f>
        <v/>
      </c>
      <c r="M110" s="491" t="str">
        <f>IF($F110="","",$F110*IF($C110="売",1-V811設定!$B$4,1+V811設定!$B$4)-MOD($F110*IF($C110="売",1-V811設定!$B$4,1+V811設定!$B$4),IF($F110&lt;=3000,1,IF($F110&lt;=5000,5,IF($F110&lt;=30000,10,IF($F110&lt;=50000,50,IF($F110&lt;=300000,100,500))))))+IF(AND($C110="売",MOD($F110*IF($C110="売",1-V811設定!$B$4,1+V811設定!$B$4),IF($F110&lt;=3000,1,IF($F110&lt;=5000,5,IF($F110&lt;=30000,10,IF($F110&lt;=50000,50,IF($F110&lt;=300000,100,500))))))&gt;0),IF($F110&lt;=3000,1,IF($F110&lt;=5000,5,IF($F110&lt;=30000,10,IF($F110&lt;=50000,50,IF($F110&lt;=300000,100,500))))),0))</f>
      </c>
      <c r="N110" s="491" t="str">
        <f>IF($F110="","",$F110*IF($C110="売",1+V811設定!$B$3,1-V811設定!$B$3)-MOD($F110*IF($C110="売",1+V811設定!$B$3,1-V811設定!$B$3),IF($F110&lt;=3000,1,IF($F110&lt;=5000,5,IF($F110&lt;=30000,10,IF($F110&lt;=50000,50,IF($F110&lt;=300000,100,500))))))+IF(AND($C110="売",MOD($F110*IF($C110="売",1+V811設定!$B$3,1-V811設定!$B$3),IF($F110&lt;=3000,1,IF($F110&lt;=5000,5,IF($F110&lt;=30000,10,IF($F110&lt;=50000,50,IF($F110&lt;=300000,100,500))))))&gt;0),IF($F110&lt;=3000,1,IF($F110&lt;=5000,5,IF($F110&lt;=30000,10,IF($F110&lt;=50000,50,IF($F110&lt;=300000,100,500))))),0))</f>
      </c>
      <c r="O110" s="492" t="str">
        <f>IF(OR($B110="",$F110="",$H110=""),"",IF($S110="✅売却済","―決済済―",IF($C110="売",IF($H110&lt;=$M110,"🟢利確",IF(AND($R110&lt;&gt;"",$H110&gt;=$R110),"🟠TRAIL",IF($H110&gt;=$N110,"🔴損切",IF($W110&gt;=V811設定!$B$6,"⏱時間決済",IF($H110&gt;=$F110*(1+V811設定!$B$3*0.7),"⚠️損切接近","保持継続"))))),IF($H110&gt;=$M110,"🟢利確",IF(AND($R110&lt;&gt;"",$H110&lt;=$R110),"🟠TRAIL",IF($H110&lt;=$N110,"🔴損切",IF($W110&gt;=V811設定!$B$6,"⏱時間決済",IF($H110&lt;=$F110*(1-V811設定!$B$3*0.7),"⚠️損切接近","保持継続"))))))))</f>
      </c>
      <c r="P110" s="491"/>
      <c r="Q110" s="491"/>
      <c r="R110" s="491" t="str">
        <f>IF(OR($F110="",$H110="",$N110=""),"",IF($S110="✅売却済","",IF($C110="売",IF($H110&gt;$F110*(1-V811設定!$B$3),$N110,MIN($N110,IF($Q110="",$N110,$Q110*1.03))),IF($H110&lt;$F110*(1+V811設定!$B$3),$N110,MAX($N110,IF($P110="",$N110,$P110*0.97))))))</f>
      </c>
      <c r="S110" s="586" t="str">
        <f>IF(B110="","",IF(T110&lt;&gt;"","✅売却済",IF(OR(H110="",L110=""),"📌保有中",IF(L110&gt;=0.06,"🟢利確推奨",IF(L110&gt;=0.05,"🟡利確直近",IF(L110&gt;=0.045,"🔵トレーリング検討",IF(L110&gt;-0.03,"📌保有中",IF(L110&gt;-0.04,"⚠️損切注意","🔴損切り"))))))))</f>
        <v/>
      </c>
      <c r="T110" s="594"/>
      <c r="U110" s="491"/>
      <c r="V110" s="701" t="str">
        <f>IF(OR(F110="",G110="",U110=""),"",IF(C110="売",(F110-U110)*G110,(U110-F110)*G110))</f>
        <v/>
      </c>
      <c r="W110" s="493" t="str">
        <f>IF(OR($E110="",$B110=""),"",IF($T110&lt;&gt;"",$T110-$E110,TODAY()-$E110)+1)</f>
        <v/>
      </c>
      <c r="X110" s="489" t="str">
        <f>IF(OR($AH110="",$AH110="保有中"),"",$AH110)</f>
        <v/>
      </c>
      <c r="Y110" s="488"/>
      <c r="Z110" s="710"/>
      <c r="AD110" s="608"/>
      <c r="AE110" s="624" t="str">
        <f>IF($E110="","",WORKDAY($E110,12))</f>
        <v/>
      </c>
      <c r="AF110" s="626" t="str" cm="1">
        <f t="array" aca="1" ref="AF110" ca="1">IF(OR($B110="",$M110=""),"",IFERROR(IF($C110="売",_xlfn.MINIFS(安値!$E$3:$IT$3,安値!$E$3:$IT$3,"&gt;"&amp;$E110,安値!$E$3:$IT$3,"&lt;="&amp;$AE110,OFFSET(安値!$E$6:$IT$6,MATCH(TEXT($B110,"0"),TEXT(銘柄管理!$B$6:$B$305,"0"),0)-1,0),"&lt;="&amp;$M110),_xlfn.MINIFS(高値!$E$3:$IT$3,高値!$E$3:$IT$3,"&gt;"&amp;$E110,高値!$E$3:$IT$3,"&lt;="&amp;$AE110,OFFSET(高値!$E$6:$IT$6,MATCH(TEXT($B110,"0"),TEXT(銘柄管理!$B$6:$B$305,"0"),0)-1,0),"&gt;="&amp;$M110)),""))</f>
        <v/>
      </c>
      <c r="AG110" s="626" t="str" cm="1">
        <f t="array" aca="1" ref="AG110" ca="1">IF(OR($B110="",$N110=""),"",IFERROR(IF($C110="売",_xlfn.MINIFS(高値!$E$3:$IT$3,高値!$E$3:$IT$3,"&gt;"&amp;$E110,高値!$E$3:$IT$3,"&lt;="&amp;$AE110,OFFSET(高値!$E$6:$IT$6,MATCH(TEXT($B110,"0"),TEXT(銘柄管理!$B$6:$B$305,"0"),0)-1,0),"&gt;="&amp;$N110),_xlfn.MINIFS(安値!$E$3:$IT$3,安値!$E$3:$IT$3,"&gt;"&amp;$E110,安値!$E$3:$IT$3,"&lt;="&amp;$AE110,OFFSET(安値!$E$6:$IT$6,MATCH(TEXT($B110,"0"),TEXT(銘柄管理!$B$6:$B$305,"0"),0)-1,0),"&lt;="&amp;$N110)),""))</f>
        <v/>
      </c>
      <c r="AH110" s="600" t="str">
        <f>IF(OR($B110="",$M110=""),"",IF(AND(N($AF110)=0,N($AG110)=0),IF(AND(ISNUMBER($H110),$H110&gt;0,IF($C110="売",$H110&gt;=$N110,$H110&lt;=$N110)),"損切確定",IF(AND(ISNUMBER($H110),$H110&gt;0,IF($C110="売",$H110&lt;=$M110,$H110&gt;=$M110)),"利益確定",IF($AE110&lt;=TODAY(),"日数制限","保有中"))),IF(N($AG110)=0,"利益確定",IF(N($AF110)=0,"損切確定",IF($AG110&lt;=$AF110,"損切確定","利益確定")))))</f>
        <v/>
      </c>
      <c r="AI110" s="600" t="str" cm="1">
        <f t="array" ref="AI110">IFERROR(INDEX(始値!$E$6:$IT$305,MATCH(TEXT($B110,"0"),TEXT(銘柄管理!$B$6:$B$305,"0"),0),MATCH($AE110,始値!$E$3:$IT$3,0)),"")</f>
        <v/>
      </c>
      <c r="AJ110" s="905" t="str">
        <f>IF(OR($V110="",$F110="",$G110=""),"",$V110/($F110*$G110))</f>
        <v/>
      </c>
      <c r="AK110" s="629" t="str">
        <f>IF($V110="","",IF($V110&gt;0,"○勝",IF($V110&lt;0,"●負","△引分")))</f>
        <v/>
      </c>
    </row>
    <row r="111" spans="1:37" ht="35.4" customHeight="1">
      <c r="A111" s="619" t="str">
        <f>IF(B111="","",HYPERLINK("https://kabutan.jp/stock/?code="&amp;B111,"株探"))</f>
        <v/>
      </c>
      <c r="B111" s="630"/>
      <c r="C111" s="490"/>
      <c r="D111" s="623" t="str" cm="1">
        <f t="array" ref="D111">IF($B111="","",_xll.RssMarket($B111,"銘柄名称"))</f>
        <v/>
      </c>
      <c r="E111" s="716"/>
      <c r="F111" s="698" t="str" cm="1">
        <f t="array" aca="1" ref="F111" ca="1">IFERROR(_xlfn.LET(_xlpm.r,MATCH(TEXT($B111,"0"),TEXT(銘柄管理!$B$6:$B$305,"0"),0),_xlpm.t,MOD(NOW(),1),_xlpm.c,IF($E111=TODAY(),IF(_xlpm.t&gt;=TIME(15,30,0),NA(),1),IF(MATCH($E111,始値!$E$3:$IT$3,0)=1,1,MATCH($E111,始値!$E$3:$IT$3,0)+1)),_xlpm.v,INDEX(始値!$C$6:$IT$305,_xlpm.r,_xlpm.c),IF(N(_xlpm.v)=0,"",_xlpm.v)),"")</f>
        <v/>
      </c>
      <c r="G111" s="631"/>
      <c r="H111" s="491" t="str" cm="1">
        <f t="array" ref="H111">IF($B111="","",_xll.RssMarket($B111,"現在値"))</f>
        <v/>
      </c>
      <c r="I111" s="491" t="str" cm="1">
        <f t="array" ref="I111">IF($B111="","",_xll.RssMarket($B111,"出来高加重平均"))</f>
        <v/>
      </c>
      <c r="J111" s="701" t="str" cm="1">
        <f t="array" ref="J111">IF($B111="","",_xll.RssMarket($B111,"前日比"))</f>
        <v/>
      </c>
      <c r="K111" s="701" t="str">
        <f>IF(OR(F111="",G111="",H111=""),"",IF(C111="売",(F111-H111)*G111,(H111-F111)*G111))</f>
        <v/>
      </c>
      <c r="L111" s="706" t="str">
        <f>IF(OR(F111="",H111=""),"",IF(C111="売",(F111-H111)/F111,(H111-F111)/F111))</f>
        <v/>
      </c>
      <c r="M111" s="491" t="str">
        <f>IF($F111="","",$F111*IF($C111="売",1-V811設定!$B$4,1+V811設定!$B$4)-MOD($F111*IF($C111="売",1-V811設定!$B$4,1+V811設定!$B$4),IF($F111&lt;=3000,1,IF($F111&lt;=5000,5,IF($F111&lt;=30000,10,IF($F111&lt;=50000,50,IF($F111&lt;=300000,100,500))))))+IF(AND($C111="売",MOD($F111*IF($C111="売",1-V811設定!$B$4,1+V811設定!$B$4),IF($F111&lt;=3000,1,IF($F111&lt;=5000,5,IF($F111&lt;=30000,10,IF($F111&lt;=50000,50,IF($F111&lt;=300000,100,500))))))&gt;0),IF($F111&lt;=3000,1,IF($F111&lt;=5000,5,IF($F111&lt;=30000,10,IF($F111&lt;=50000,50,IF($F111&lt;=300000,100,500))))),0))</f>
      </c>
      <c r="N111" s="491" t="str">
        <f>IF($F111="","",$F111*IF($C111="売",1+V811設定!$B$3,1-V811設定!$B$3)-MOD($F111*IF($C111="売",1+V811設定!$B$3,1-V811設定!$B$3),IF($F111&lt;=3000,1,IF($F111&lt;=5000,5,IF($F111&lt;=30000,10,IF($F111&lt;=50000,50,IF($F111&lt;=300000,100,500))))))+IF(AND($C111="売",MOD($F111*IF($C111="売",1+V811設定!$B$3,1-V811設定!$B$3),IF($F111&lt;=3000,1,IF($F111&lt;=5000,5,IF($F111&lt;=30000,10,IF($F111&lt;=50000,50,IF($F111&lt;=300000,100,500))))))&gt;0),IF($F111&lt;=3000,1,IF($F111&lt;=5000,5,IF($F111&lt;=30000,10,IF($F111&lt;=50000,50,IF($F111&lt;=300000,100,500))))),0))</f>
      </c>
      <c r="O111" s="492" t="str">
        <f>IF(OR($B111="",$F111="",$H111=""),"",IF($S111="✅売却済","―決済済―",IF($C111="売",IF($H111&lt;=$M111,"🟢利確",IF(AND($R111&lt;&gt;"",$H111&gt;=$R111),"🟠TRAIL",IF($H111&gt;=$N111,"🔴損切",IF($W111&gt;=V811設定!$B$6,"⏱時間決済",IF($H111&gt;=$F111*(1+V811設定!$B$3*0.7),"⚠️損切接近","保持継続"))))),IF($H111&gt;=$M111,"🟢利確",IF(AND($R111&lt;&gt;"",$H111&lt;=$R111),"🟠TRAIL",IF($H111&lt;=$N111,"🔴損切",IF($W111&gt;=V811設定!$B$6,"⏱時間決済",IF($H111&lt;=$F111*(1-V811設定!$B$3*0.7),"⚠️損切接近","保持継続"))))))))</f>
      </c>
      <c r="P111" s="491"/>
      <c r="Q111" s="491"/>
      <c r="R111" s="491" t="str">
        <f>IF(OR($F111="",$H111="",$N111=""),"",IF($S111="✅売却済","",IF($C111="売",IF($H111&gt;$F111*(1-V811設定!$B$3),$N111,MIN($N111,IF($Q111="",$N111,$Q111*1.03))),IF($H111&lt;$F111*(1+V811設定!$B$3),$N111,MAX($N111,IF($P111="",$N111,$P111*0.97))))))</f>
      </c>
      <c r="S111" s="586" t="str">
        <f>IF(B111="","",IF(T111&lt;&gt;"","✅売却済",IF(OR(H111="",L111=""),"📌保有中",IF(L111&gt;=0.06,"🟢利確推奨",IF(L111&gt;=0.05,"🟡利確直近",IF(L111&gt;=0.045,"🔵トレーリング検討",IF(L111&gt;-0.03,"📌保有中",IF(L111&gt;-0.04,"⚠️損切注意","🔴損切り"))))))))</f>
        <v/>
      </c>
      <c r="T111" s="594"/>
      <c r="U111" s="491"/>
      <c r="V111" s="701" t="str">
        <f>IF(OR(F111="",G111="",U111=""),"",IF(C111="売",(F111-U111)*G111,(U111-F111)*G111))</f>
        <v/>
      </c>
      <c r="W111" s="493" t="str">
        <f>IF(OR($E111="",$B111=""),"",IF($T111&lt;&gt;"",$T111-$E111,TODAY()-$E111)+1)</f>
        <v/>
      </c>
      <c r="X111" s="489" t="str">
        <f>IF(OR($AH111="",$AH111="保有中"),"",$AH111)</f>
        <v/>
      </c>
      <c r="Y111" s="488"/>
      <c r="Z111" s="710"/>
      <c r="AD111" s="608"/>
      <c r="AE111" s="624" t="str">
        <f>IF($E111="","",WORKDAY($E111,12))</f>
        <v/>
      </c>
      <c r="AF111" s="626" t="str" cm="1">
        <f t="array" aca="1" ref="AF111" ca="1">IF(OR($B111="",$M111=""),"",IFERROR(IF($C111="売",_xlfn.MINIFS(安値!$E$3:$IT$3,安値!$E$3:$IT$3,"&gt;"&amp;$E111,安値!$E$3:$IT$3,"&lt;="&amp;$AE111,OFFSET(安値!$E$6:$IT$6,MATCH(TEXT($B111,"0"),TEXT(銘柄管理!$B$6:$B$305,"0"),0)-1,0),"&lt;="&amp;$M111),_xlfn.MINIFS(高値!$E$3:$IT$3,高値!$E$3:$IT$3,"&gt;"&amp;$E111,高値!$E$3:$IT$3,"&lt;="&amp;$AE111,OFFSET(高値!$E$6:$IT$6,MATCH(TEXT($B111,"0"),TEXT(銘柄管理!$B$6:$B$305,"0"),0)-1,0),"&gt;="&amp;$M111)),""))</f>
        <v/>
      </c>
      <c r="AG111" s="626" t="str" cm="1">
        <f t="array" aca="1" ref="AG111" ca="1">IF(OR($B111="",$N111=""),"",IFERROR(IF($C111="売",_xlfn.MINIFS(高値!$E$3:$IT$3,高値!$E$3:$IT$3,"&gt;"&amp;$E111,高値!$E$3:$IT$3,"&lt;="&amp;$AE111,OFFSET(高値!$E$6:$IT$6,MATCH(TEXT($B111,"0"),TEXT(銘柄管理!$B$6:$B$305,"0"),0)-1,0),"&gt;="&amp;$N111),_xlfn.MINIFS(安値!$E$3:$IT$3,安値!$E$3:$IT$3,"&gt;"&amp;$E111,安値!$E$3:$IT$3,"&lt;="&amp;$AE111,OFFSET(安値!$E$6:$IT$6,MATCH(TEXT($B111,"0"),TEXT(銘柄管理!$B$6:$B$305,"0"),0)-1,0),"&lt;="&amp;$N111)),""))</f>
        <v/>
      </c>
      <c r="AH111" s="600" t="str">
        <f>IF(OR($B111="",$M111=""),"",IF(AND(N($AF111)=0,N($AG111)=0),IF(AND(ISNUMBER($H111),$H111&gt;0,IF($C111="売",$H111&gt;=$N111,$H111&lt;=$N111)),"損切確定",IF(AND(ISNUMBER($H111),$H111&gt;0,IF($C111="売",$H111&lt;=$M111,$H111&gt;=$M111)),"利益確定",IF($AE111&lt;=TODAY(),"日数制限","保有中"))),IF(N($AG111)=0,"利益確定",IF(N($AF111)=0,"損切確定",IF($AG111&lt;=$AF111,"損切確定","利益確定")))))</f>
        <v/>
      </c>
      <c r="AI111" s="600" t="str" cm="1">
        <f t="array" ref="AI111">IFERROR(INDEX(始値!$E$6:$IT$305,MATCH(TEXT($B111,"0"),TEXT(銘柄管理!$B$6:$B$305,"0"),0),MATCH($AE111,始値!$E$3:$IT$3,0)),"")</f>
        <v/>
      </c>
      <c r="AJ111" s="905" t="str">
        <f>IF(OR($V111="",$F111="",$G111=""),"",$V111/($F111*$G111))</f>
        <v/>
      </c>
      <c r="AK111" s="629" t="str">
        <f>IF($V111="","",IF($V111&gt;0,"○勝",IF($V111&lt;0,"●負","△引分")))</f>
        <v/>
      </c>
    </row>
    <row r="112" spans="1:37" ht="35.4" customHeight="1">
      <c r="A112" s="619" t="str">
        <f>IF(B112="","",HYPERLINK("https://kabutan.jp/stock/?code="&amp;B112,"株探"))</f>
        <v/>
      </c>
      <c r="B112" s="630"/>
      <c r="C112" s="490"/>
      <c r="D112" s="623" t="str" cm="1">
        <f t="array" ref="D112">IF($B112="","",_xll.RssMarket($B112,"銘柄名称"))</f>
        <v/>
      </c>
      <c r="E112" s="716"/>
      <c r="F112" s="698" t="str" cm="1">
        <f t="array" aca="1" ref="F112" ca="1">IFERROR(_xlfn.LET(_xlpm.r,MATCH(TEXT($B112,"0"),TEXT(銘柄管理!$B$6:$B$305,"0"),0),_xlpm.t,MOD(NOW(),1),_xlpm.c,IF($E112=TODAY(),IF(_xlpm.t&gt;=TIME(15,30,0),NA(),1),IF(MATCH($E112,始値!$E$3:$IT$3,0)=1,1,MATCH($E112,始値!$E$3:$IT$3,0)+1)),_xlpm.v,INDEX(始値!$C$6:$IT$305,_xlpm.r,_xlpm.c),IF(N(_xlpm.v)=0,"",_xlpm.v)),"")</f>
        <v/>
      </c>
      <c r="G112" s="631"/>
      <c r="H112" s="491" t="str" cm="1">
        <f t="array" ref="H112">IF($B112="","",_xll.RssMarket($B112,"現在値"))</f>
        <v/>
      </c>
      <c r="I112" s="491" t="str" cm="1">
        <f t="array" ref="I112">IF($B112="","",_xll.RssMarket($B112,"出来高加重平均"))</f>
        <v/>
      </c>
      <c r="J112" s="701" t="str" cm="1">
        <f t="array" ref="J112">IF($B112="","",_xll.RssMarket($B112,"前日比"))</f>
        <v/>
      </c>
      <c r="K112" s="701" t="str">
        <f>IF(OR(F112="",G112="",H112=""),"",IF(C112="売",(F112-H112)*G112,(H112-F112)*G112))</f>
        <v/>
      </c>
      <c r="L112" s="706" t="str">
        <f>IF(OR(F112="",H112=""),"",IF(C112="売",(F112-H112)/F112,(H112-F112)/F112))</f>
        <v/>
      </c>
      <c r="M112" s="491" t="str">
        <f>IF($F112="","",$F112*IF($C112="売",1-V811設定!$B$4,1+V811設定!$B$4)-MOD($F112*IF($C112="売",1-V811設定!$B$4,1+V811設定!$B$4),IF($F112&lt;=3000,1,IF($F112&lt;=5000,5,IF($F112&lt;=30000,10,IF($F112&lt;=50000,50,IF($F112&lt;=300000,100,500))))))+IF(AND($C112="売",MOD($F112*IF($C112="売",1-V811設定!$B$4,1+V811設定!$B$4),IF($F112&lt;=3000,1,IF($F112&lt;=5000,5,IF($F112&lt;=30000,10,IF($F112&lt;=50000,50,IF($F112&lt;=300000,100,500))))))&gt;0),IF($F112&lt;=3000,1,IF($F112&lt;=5000,5,IF($F112&lt;=30000,10,IF($F112&lt;=50000,50,IF($F112&lt;=300000,100,500))))),0))</f>
      </c>
      <c r="N112" s="491" t="str">
        <f>IF($F112="","",$F112*IF($C112="売",1+V811設定!$B$3,1-V811設定!$B$3)-MOD($F112*IF($C112="売",1+V811設定!$B$3,1-V811設定!$B$3),IF($F112&lt;=3000,1,IF($F112&lt;=5000,5,IF($F112&lt;=30000,10,IF($F112&lt;=50000,50,IF($F112&lt;=300000,100,500))))))+IF(AND($C112="売",MOD($F112*IF($C112="売",1+V811設定!$B$3,1-V811設定!$B$3),IF($F112&lt;=3000,1,IF($F112&lt;=5000,5,IF($F112&lt;=30000,10,IF($F112&lt;=50000,50,IF($F112&lt;=300000,100,500))))))&gt;0),IF($F112&lt;=3000,1,IF($F112&lt;=5000,5,IF($F112&lt;=30000,10,IF($F112&lt;=50000,50,IF($F112&lt;=300000,100,500))))),0))</f>
      </c>
      <c r="O112" s="492" t="str">
        <f>IF(OR($B112="",$F112="",$H112=""),"",IF($S112="✅売却済","―決済済―",IF($C112="売",IF($H112&lt;=$M112,"🟢利確",IF(AND($R112&lt;&gt;"",$H112&gt;=$R112),"🟠TRAIL",IF($H112&gt;=$N112,"🔴損切",IF($W112&gt;=V811設定!$B$6,"⏱時間決済",IF($H112&gt;=$F112*(1+V811設定!$B$3*0.7),"⚠️損切接近","保持継続"))))),IF($H112&gt;=$M112,"🟢利確",IF(AND($R112&lt;&gt;"",$H112&lt;=$R112),"🟠TRAIL",IF($H112&lt;=$N112,"🔴損切",IF($W112&gt;=V811設定!$B$6,"⏱時間決済",IF($H112&lt;=$F112*(1-V811設定!$B$3*0.7),"⚠️損切接近","保持継続"))))))))</f>
      </c>
      <c r="P112" s="491"/>
      <c r="Q112" s="491"/>
      <c r="R112" s="491" t="str">
        <f>IF(OR($F112="",$H112="",$N112=""),"",IF($S112="✅売却済","",IF($C112="売",IF($H112&gt;$F112*(1-V811設定!$B$3),$N112,MIN($N112,IF($Q112="",$N112,$Q112*1.03))),IF($H112&lt;$F112*(1+V811設定!$B$3),$N112,MAX($N112,IF($P112="",$N112,$P112*0.97))))))</f>
      </c>
      <c r="S112" s="586" t="str">
        <f>IF(B112="","",IF(T112&lt;&gt;"","✅売却済",IF(OR(H112="",L112=""),"📌保有中",IF(L112&gt;=0.06,"🟢利確推奨",IF(L112&gt;=0.05,"🟡利確直近",IF(L112&gt;=0.045,"🔵トレーリング検討",IF(L112&gt;-0.03,"📌保有中",IF(L112&gt;-0.04,"⚠️損切注意","🔴損切り"))))))))</f>
        <v/>
      </c>
      <c r="T112" s="594"/>
      <c r="U112" s="491"/>
      <c r="V112" s="701" t="str">
        <f>IF(OR(F112="",G112="",U112=""),"",IF(C112="売",(F112-U112)*G112,(U112-F112)*G112))</f>
        <v/>
      </c>
      <c r="W112" s="493" t="str">
        <f>IF(OR($E112="",$B112=""),"",IF($T112&lt;&gt;"",$T112-$E112,TODAY()-$E112)+1)</f>
        <v/>
      </c>
      <c r="X112" s="489" t="str">
        <f>IF(OR($AH112="",$AH112="保有中"),"",$AH112)</f>
        <v/>
      </c>
      <c r="Y112" s="488"/>
      <c r="Z112" s="710"/>
      <c r="AD112" s="608"/>
      <c r="AE112" s="624" t="str">
        <f>IF($E112="","",WORKDAY($E112,12))</f>
        <v/>
      </c>
      <c r="AF112" s="626" t="str" cm="1">
        <f t="array" aca="1" ref="AF112" ca="1">IF(OR($B112="",$M112=""),"",IFERROR(IF($C112="売",_xlfn.MINIFS(安値!$E$3:$IT$3,安値!$E$3:$IT$3,"&gt;"&amp;$E112,安値!$E$3:$IT$3,"&lt;="&amp;$AE112,OFFSET(安値!$E$6:$IT$6,MATCH(TEXT($B112,"0"),TEXT(銘柄管理!$B$6:$B$305,"0"),0)-1,0),"&lt;="&amp;$M112),_xlfn.MINIFS(高値!$E$3:$IT$3,高値!$E$3:$IT$3,"&gt;"&amp;$E112,高値!$E$3:$IT$3,"&lt;="&amp;$AE112,OFFSET(高値!$E$6:$IT$6,MATCH(TEXT($B112,"0"),TEXT(銘柄管理!$B$6:$B$305,"0"),0)-1,0),"&gt;="&amp;$M112)),""))</f>
        <v/>
      </c>
      <c r="AG112" s="626" t="str" cm="1">
        <f t="array" aca="1" ref="AG112" ca="1">IF(OR($B112="",$N112=""),"",IFERROR(IF($C112="売",_xlfn.MINIFS(高値!$E$3:$IT$3,高値!$E$3:$IT$3,"&gt;"&amp;$E112,高値!$E$3:$IT$3,"&lt;="&amp;$AE112,OFFSET(高値!$E$6:$IT$6,MATCH(TEXT($B112,"0"),TEXT(銘柄管理!$B$6:$B$305,"0"),0)-1,0),"&gt;="&amp;$N112),_xlfn.MINIFS(安値!$E$3:$IT$3,安値!$E$3:$IT$3,"&gt;"&amp;$E112,安値!$E$3:$IT$3,"&lt;="&amp;$AE112,OFFSET(安値!$E$6:$IT$6,MATCH(TEXT($B112,"0"),TEXT(銘柄管理!$B$6:$B$305,"0"),0)-1,0),"&lt;="&amp;$N112)),""))</f>
        <v/>
      </c>
      <c r="AH112" s="600" t="str">
        <f>IF(OR($B112="",$M112=""),"",IF(AND(N($AF112)=0,N($AG112)=0),IF(AND(ISNUMBER($H112),$H112&gt;0,IF($C112="売",$H112&gt;=$N112,$H112&lt;=$N112)),"損切確定",IF(AND(ISNUMBER($H112),$H112&gt;0,IF($C112="売",$H112&lt;=$M112,$H112&gt;=$M112)),"利益確定",IF($AE112&lt;=TODAY(),"日数制限","保有中"))),IF(N($AG112)=0,"利益確定",IF(N($AF112)=0,"損切確定",IF($AG112&lt;=$AF112,"損切確定","利益確定")))))</f>
        <v/>
      </c>
      <c r="AI112" s="600" t="str" cm="1">
        <f t="array" ref="AI112">IFERROR(INDEX(始値!$E$6:$IT$305,MATCH(TEXT($B112,"0"),TEXT(銘柄管理!$B$6:$B$305,"0"),0),MATCH($AE112,始値!$E$3:$IT$3,0)),"")</f>
        <v/>
      </c>
      <c r="AJ112" s="905" t="str">
        <f>IF(OR($V112="",$F112="",$G112=""),"",$V112/($F112*$G112))</f>
        <v/>
      </c>
      <c r="AK112" s="629" t="str">
        <f>IF($V112="","",IF($V112&gt;0,"○勝",IF($V112&lt;0,"●負","△引分")))</f>
        <v/>
      </c>
    </row>
    <row r="113" spans="1:37" ht="35.4" customHeight="1">
      <c r="A113" s="619" t="str">
        <f>IF(B113="","",HYPERLINK("https://kabutan.jp/stock/?code="&amp;B113,"株探"))</f>
        <v/>
      </c>
      <c r="B113" s="630"/>
      <c r="C113" s="490"/>
      <c r="D113" s="623" t="str" cm="1">
        <f t="array" ref="D113">IF($B113="","",_xll.RssMarket($B113,"銘柄名称"))</f>
        <v/>
      </c>
      <c r="E113" s="716"/>
      <c r="F113" s="698" t="str" cm="1">
        <f t="array" aca="1" ref="F113" ca="1">IFERROR(_xlfn.LET(_xlpm.r,MATCH(TEXT($B113,"0"),TEXT(銘柄管理!$B$6:$B$305,"0"),0),_xlpm.t,MOD(NOW(),1),_xlpm.c,IF($E113=TODAY(),IF(_xlpm.t&gt;=TIME(15,30,0),NA(),1),IF(MATCH($E113,始値!$E$3:$IT$3,0)=1,1,MATCH($E113,始値!$E$3:$IT$3,0)+1)),_xlpm.v,INDEX(始値!$C$6:$IT$305,_xlpm.r,_xlpm.c),IF(N(_xlpm.v)=0,"",_xlpm.v)),"")</f>
        <v/>
      </c>
      <c r="G113" s="631"/>
      <c r="H113" s="491" t="str" cm="1">
        <f t="array" ref="H113">IF($B113="","",_xll.RssMarket($B113,"現在値"))</f>
        <v/>
      </c>
      <c r="I113" s="491" t="str" cm="1">
        <f t="array" ref="I113">IF($B113="","",_xll.RssMarket($B113,"出来高加重平均"))</f>
        <v/>
      </c>
      <c r="J113" s="701" t="str" cm="1">
        <f t="array" ref="J113">IF($B113="","",_xll.RssMarket($B113,"前日比"))</f>
        <v/>
      </c>
      <c r="K113" s="701" t="str">
        <f>IF(OR(F113="",G113="",H113=""),"",IF(C113="売",(F113-H113)*G113,(H113-F113)*G113))</f>
        <v/>
      </c>
      <c r="L113" s="706" t="str">
        <f>IF(OR(F113="",H113=""),"",IF(C113="売",(F113-H113)/F113,(H113-F113)/F113))</f>
        <v/>
      </c>
      <c r="M113" s="491" t="str">
        <f>IF($F113="","",$F113*IF($C113="売",1-V811設定!$B$4,1+V811設定!$B$4)-MOD($F113*IF($C113="売",1-V811設定!$B$4,1+V811設定!$B$4),IF($F113&lt;=3000,1,IF($F113&lt;=5000,5,IF($F113&lt;=30000,10,IF($F113&lt;=50000,50,IF($F113&lt;=300000,100,500))))))+IF(AND($C113="売",MOD($F113*IF($C113="売",1-V811設定!$B$4,1+V811設定!$B$4),IF($F113&lt;=3000,1,IF($F113&lt;=5000,5,IF($F113&lt;=30000,10,IF($F113&lt;=50000,50,IF($F113&lt;=300000,100,500))))))&gt;0),IF($F113&lt;=3000,1,IF($F113&lt;=5000,5,IF($F113&lt;=30000,10,IF($F113&lt;=50000,50,IF($F113&lt;=300000,100,500))))),0))</f>
      </c>
      <c r="N113" s="491" t="str">
        <f>IF($F113="","",$F113*IF($C113="売",1+V811設定!$B$3,1-V811設定!$B$3)-MOD($F113*IF($C113="売",1+V811設定!$B$3,1-V811設定!$B$3),IF($F113&lt;=3000,1,IF($F113&lt;=5000,5,IF($F113&lt;=30000,10,IF($F113&lt;=50000,50,IF($F113&lt;=300000,100,500))))))+IF(AND($C113="売",MOD($F113*IF($C113="売",1+V811設定!$B$3,1-V811設定!$B$3),IF($F113&lt;=3000,1,IF($F113&lt;=5000,5,IF($F113&lt;=30000,10,IF($F113&lt;=50000,50,IF($F113&lt;=300000,100,500))))))&gt;0),IF($F113&lt;=3000,1,IF($F113&lt;=5000,5,IF($F113&lt;=30000,10,IF($F113&lt;=50000,50,IF($F113&lt;=300000,100,500))))),0))</f>
      </c>
      <c r="O113" s="492" t="str">
        <f>IF(OR($B113="",$F113="",$H113=""),"",IF($S113="✅売却済","―決済済―",IF($C113="売",IF($H113&lt;=$M113,"🟢利確",IF(AND($R113&lt;&gt;"",$H113&gt;=$R113),"🟠TRAIL",IF($H113&gt;=$N113,"🔴損切",IF($W113&gt;=V811設定!$B$6,"⏱時間決済",IF($H113&gt;=$F113*(1+V811設定!$B$3*0.7),"⚠️損切接近","保持継続"))))),IF($H113&gt;=$M113,"🟢利確",IF(AND($R113&lt;&gt;"",$H113&lt;=$R113),"🟠TRAIL",IF($H113&lt;=$N113,"🔴損切",IF($W113&gt;=V811設定!$B$6,"⏱時間決済",IF($H113&lt;=$F113*(1-V811設定!$B$3*0.7),"⚠️損切接近","保持継続"))))))))</f>
      </c>
      <c r="P113" s="491"/>
      <c r="Q113" s="491"/>
      <c r="R113" s="491" t="str">
        <f>IF(OR($F113="",$H113="",$N113=""),"",IF($S113="✅売却済","",IF($C113="売",IF($H113&gt;$F113*(1-V811設定!$B$3),$N113,MIN($N113,IF($Q113="",$N113,$Q113*1.03))),IF($H113&lt;$F113*(1+V811設定!$B$3),$N113,MAX($N113,IF($P113="",$N113,$P113*0.97))))))</f>
      </c>
      <c r="S113" s="586" t="str">
        <f>IF(B113="","",IF(T113&lt;&gt;"","✅売却済",IF(OR(H113="",L113=""),"📌保有中",IF(L113&gt;=0.06,"🟢利確推奨",IF(L113&gt;=0.05,"🟡利確直近",IF(L113&gt;=0.045,"🔵トレーリング検討",IF(L113&gt;-0.03,"📌保有中",IF(L113&gt;-0.04,"⚠️損切注意","🔴損切り"))))))))</f>
        <v/>
      </c>
      <c r="T113" s="594"/>
      <c r="U113" s="491"/>
      <c r="V113" s="701" t="str">
        <f>IF(OR(F113="",G113="",U113=""),"",IF(C113="売",(F113-U113)*G113,(U113-F113)*G113))</f>
        <v/>
      </c>
      <c r="W113" s="493" t="str">
        <f>IF(OR($E113="",$B113=""),"",IF($T113&lt;&gt;"",$T113-$E113,TODAY()-$E113)+1)</f>
        <v/>
      </c>
      <c r="X113" s="489" t="str">
        <f>IF(OR($AH113="",$AH113="保有中"),"",$AH113)</f>
        <v/>
      </c>
      <c r="Y113" s="488"/>
      <c r="Z113" s="710"/>
      <c r="AD113" s="608"/>
      <c r="AE113" s="624" t="str">
        <f>IF($E113="","",WORKDAY($E113,12))</f>
        <v/>
      </c>
      <c r="AF113" s="626" t="str" cm="1">
        <f t="array" aca="1" ref="AF113" ca="1">IF(OR($B113="",$M113=""),"",IFERROR(IF($C113="売",_xlfn.MINIFS(安値!$E$3:$IT$3,安値!$E$3:$IT$3,"&gt;"&amp;$E113,安値!$E$3:$IT$3,"&lt;="&amp;$AE113,OFFSET(安値!$E$6:$IT$6,MATCH(TEXT($B113,"0"),TEXT(銘柄管理!$B$6:$B$305,"0"),0)-1,0),"&lt;="&amp;$M113),_xlfn.MINIFS(高値!$E$3:$IT$3,高値!$E$3:$IT$3,"&gt;"&amp;$E113,高値!$E$3:$IT$3,"&lt;="&amp;$AE113,OFFSET(高値!$E$6:$IT$6,MATCH(TEXT($B113,"0"),TEXT(銘柄管理!$B$6:$B$305,"0"),0)-1,0),"&gt;="&amp;$M113)),""))</f>
        <v/>
      </c>
      <c r="AG113" s="626" t="str" cm="1">
        <f t="array" aca="1" ref="AG113" ca="1">IF(OR($B113="",$N113=""),"",IFERROR(IF($C113="売",_xlfn.MINIFS(高値!$E$3:$IT$3,高値!$E$3:$IT$3,"&gt;"&amp;$E113,高値!$E$3:$IT$3,"&lt;="&amp;$AE113,OFFSET(高値!$E$6:$IT$6,MATCH(TEXT($B113,"0"),TEXT(銘柄管理!$B$6:$B$305,"0"),0)-1,0),"&gt;="&amp;$N113),_xlfn.MINIFS(安値!$E$3:$IT$3,安値!$E$3:$IT$3,"&gt;"&amp;$E113,安値!$E$3:$IT$3,"&lt;="&amp;$AE113,OFFSET(安値!$E$6:$IT$6,MATCH(TEXT($B113,"0"),TEXT(銘柄管理!$B$6:$B$305,"0"),0)-1,0),"&lt;="&amp;$N113)),""))</f>
        <v/>
      </c>
      <c r="AH113" s="600" t="str">
        <f>IF(OR($B113="",$M113=""),"",IF(AND(N($AF113)=0,N($AG113)=0),IF(AND(ISNUMBER($H113),$H113&gt;0,IF($C113="売",$H113&gt;=$N113,$H113&lt;=$N113)),"損切確定",IF(AND(ISNUMBER($H113),$H113&gt;0,IF($C113="売",$H113&lt;=$M113,$H113&gt;=$M113)),"利益確定",IF($AE113&lt;=TODAY(),"日数制限","保有中"))),IF(N($AG113)=0,"利益確定",IF(N($AF113)=0,"損切確定",IF($AG113&lt;=$AF113,"損切確定","利益確定")))))</f>
        <v/>
      </c>
      <c r="AI113" s="600" t="str" cm="1">
        <f t="array" ref="AI113">IFERROR(INDEX(始値!$E$6:$IT$305,MATCH(TEXT($B113,"0"),TEXT(銘柄管理!$B$6:$B$305,"0"),0),MATCH($AE113,始値!$E$3:$IT$3,0)),"")</f>
        <v/>
      </c>
      <c r="AJ113" s="905" t="str">
        <f>IF(OR($V113="",$F113="",$G113=""),"",$V113/($F113*$G113))</f>
        <v/>
      </c>
      <c r="AK113" s="629" t="str">
        <f>IF($V113="","",IF($V113&gt;0,"○勝",IF($V113&lt;0,"●負","△引分")))</f>
        <v/>
      </c>
    </row>
    <row r="114" spans="1:37" ht="35.4" customHeight="1">
      <c r="A114" s="619" t="str">
        <f>IF(B114="","",HYPERLINK("https://kabutan.jp/stock/?code="&amp;B114,"株探"))</f>
        <v/>
      </c>
      <c r="B114" s="630"/>
      <c r="C114" s="490"/>
      <c r="D114" s="623" t="str" cm="1">
        <f t="array" ref="D114">IF($B114="","",_xll.RssMarket($B114,"銘柄名称"))</f>
        <v/>
      </c>
      <c r="E114" s="716"/>
      <c r="F114" s="698" t="str" cm="1">
        <f t="array" aca="1" ref="F114" ca="1">IFERROR(_xlfn.LET(_xlpm.r,MATCH(TEXT($B114,"0"),TEXT(銘柄管理!$B$6:$B$305,"0"),0),_xlpm.t,MOD(NOW(),1),_xlpm.c,IF($E114=TODAY(),IF(_xlpm.t&gt;=TIME(15,30,0),NA(),1),IF(MATCH($E114,始値!$E$3:$IT$3,0)=1,1,MATCH($E114,始値!$E$3:$IT$3,0)+1)),_xlpm.v,INDEX(始値!$C$6:$IT$305,_xlpm.r,_xlpm.c),IF(N(_xlpm.v)=0,"",_xlpm.v)),"")</f>
        <v/>
      </c>
      <c r="G114" s="631"/>
      <c r="H114" s="491" t="str" cm="1">
        <f t="array" ref="H114">IF($B114="","",_xll.RssMarket($B114,"現在値"))</f>
        <v/>
      </c>
      <c r="I114" s="491" t="str" cm="1">
        <f t="array" ref="I114">IF($B114="","",_xll.RssMarket($B114,"出来高加重平均"))</f>
        <v/>
      </c>
      <c r="J114" s="701" t="str" cm="1">
        <f t="array" ref="J114">IF($B114="","",_xll.RssMarket($B114,"前日比"))</f>
        <v/>
      </c>
      <c r="K114" s="701" t="str">
        <f>IF(OR(F114="",G114="",H114=""),"",IF(C114="売",(F114-H114)*G114,(H114-F114)*G114))</f>
        <v/>
      </c>
      <c r="L114" s="706" t="str">
        <f>IF(OR(F114="",H114=""),"",IF(C114="売",(F114-H114)/F114,(H114-F114)/F114))</f>
        <v/>
      </c>
      <c r="M114" s="491" t="str">
        <f>IF($F114="","",$F114*IF($C114="売",1-V811設定!$B$4,1+V811設定!$B$4)-MOD($F114*IF($C114="売",1-V811設定!$B$4,1+V811設定!$B$4),IF($F114&lt;=3000,1,IF($F114&lt;=5000,5,IF($F114&lt;=30000,10,IF($F114&lt;=50000,50,IF($F114&lt;=300000,100,500))))))+IF(AND($C114="売",MOD($F114*IF($C114="売",1-V811設定!$B$4,1+V811設定!$B$4),IF($F114&lt;=3000,1,IF($F114&lt;=5000,5,IF($F114&lt;=30000,10,IF($F114&lt;=50000,50,IF($F114&lt;=300000,100,500))))))&gt;0),IF($F114&lt;=3000,1,IF($F114&lt;=5000,5,IF($F114&lt;=30000,10,IF($F114&lt;=50000,50,IF($F114&lt;=300000,100,500))))),0))</f>
      </c>
      <c r="N114" s="491" t="str">
        <f>IF($F114="","",$F114*IF($C114="売",1+V811設定!$B$3,1-V811設定!$B$3)-MOD($F114*IF($C114="売",1+V811設定!$B$3,1-V811設定!$B$3),IF($F114&lt;=3000,1,IF($F114&lt;=5000,5,IF($F114&lt;=30000,10,IF($F114&lt;=50000,50,IF($F114&lt;=300000,100,500))))))+IF(AND($C114="売",MOD($F114*IF($C114="売",1+V811設定!$B$3,1-V811設定!$B$3),IF($F114&lt;=3000,1,IF($F114&lt;=5000,5,IF($F114&lt;=30000,10,IF($F114&lt;=50000,50,IF($F114&lt;=300000,100,500))))))&gt;0),IF($F114&lt;=3000,1,IF($F114&lt;=5000,5,IF($F114&lt;=30000,10,IF($F114&lt;=50000,50,IF($F114&lt;=300000,100,500))))),0))</f>
      </c>
      <c r="O114" s="492" t="str">
        <f>IF(OR($B114="",$F114="",$H114=""),"",IF($S114="✅売却済","―決済済―",IF($C114="売",IF($H114&lt;=$M114,"🟢利確",IF(AND($R114&lt;&gt;"",$H114&gt;=$R114),"🟠TRAIL",IF($H114&gt;=$N114,"🔴損切",IF($W114&gt;=V811設定!$B$6,"⏱時間決済",IF($H114&gt;=$F114*(1+V811設定!$B$3*0.7),"⚠️損切接近","保持継続"))))),IF($H114&gt;=$M114,"🟢利確",IF(AND($R114&lt;&gt;"",$H114&lt;=$R114),"🟠TRAIL",IF($H114&lt;=$N114,"🔴損切",IF($W114&gt;=V811設定!$B$6,"⏱時間決済",IF($H114&lt;=$F114*(1-V811設定!$B$3*0.7),"⚠️損切接近","保持継続"))))))))</f>
      </c>
      <c r="P114" s="491"/>
      <c r="Q114" s="491"/>
      <c r="R114" s="491" t="str">
        <f>IF(OR($F114="",$H114="",$N114=""),"",IF($S114="✅売却済","",IF($C114="売",IF($H114&gt;$F114*(1-V811設定!$B$3),$N114,MIN($N114,IF($Q114="",$N114,$Q114*1.03))),IF($H114&lt;$F114*(1+V811設定!$B$3),$N114,MAX($N114,IF($P114="",$N114,$P114*0.97))))))</f>
      </c>
      <c r="S114" s="586" t="str">
        <f>IF(B114="","",IF(T114&lt;&gt;"","✅売却済",IF(OR(H114="",L114=""),"📌保有中",IF(L114&gt;=0.06,"🟢利確推奨",IF(L114&gt;=0.05,"🟡利確直近",IF(L114&gt;=0.045,"🔵トレーリング検討",IF(L114&gt;-0.03,"📌保有中",IF(L114&gt;-0.04,"⚠️損切注意","🔴損切り"))))))))</f>
        <v/>
      </c>
      <c r="T114" s="594"/>
      <c r="U114" s="491"/>
      <c r="V114" s="701" t="str">
        <f>IF(OR(F114="",G114="",U114=""),"",IF(C114="売",(F114-U114)*G114,(U114-F114)*G114))</f>
        <v/>
      </c>
      <c r="W114" s="493" t="str">
        <f>IF(OR($E114="",$B114=""),"",IF($T114&lt;&gt;"",$T114-$E114,TODAY()-$E114)+1)</f>
        <v/>
      </c>
      <c r="X114" s="489" t="str">
        <f>IF(OR($AH114="",$AH114="保有中"),"",$AH114)</f>
        <v/>
      </c>
      <c r="Y114" s="488"/>
      <c r="Z114" s="710"/>
      <c r="AD114" s="608"/>
      <c r="AE114" s="624" t="str">
        <f>IF($E114="","",WORKDAY($E114,12))</f>
        <v/>
      </c>
      <c r="AF114" s="626" t="str" cm="1">
        <f t="array" aca="1" ref="AF114" ca="1">IF(OR($B114="",$M114=""),"",IFERROR(IF($C114="売",_xlfn.MINIFS(安値!$E$3:$IT$3,安値!$E$3:$IT$3,"&gt;"&amp;$E114,安値!$E$3:$IT$3,"&lt;="&amp;$AE114,OFFSET(安値!$E$6:$IT$6,MATCH(TEXT($B114,"0"),TEXT(銘柄管理!$B$6:$B$305,"0"),0)-1,0),"&lt;="&amp;$M114),_xlfn.MINIFS(高値!$E$3:$IT$3,高値!$E$3:$IT$3,"&gt;"&amp;$E114,高値!$E$3:$IT$3,"&lt;="&amp;$AE114,OFFSET(高値!$E$6:$IT$6,MATCH(TEXT($B114,"0"),TEXT(銘柄管理!$B$6:$B$305,"0"),0)-1,0),"&gt;="&amp;$M114)),""))</f>
        <v/>
      </c>
      <c r="AG114" s="626" t="str" cm="1">
        <f t="array" aca="1" ref="AG114" ca="1">IF(OR($B114="",$N114=""),"",IFERROR(IF($C114="売",_xlfn.MINIFS(高値!$E$3:$IT$3,高値!$E$3:$IT$3,"&gt;"&amp;$E114,高値!$E$3:$IT$3,"&lt;="&amp;$AE114,OFFSET(高値!$E$6:$IT$6,MATCH(TEXT($B114,"0"),TEXT(銘柄管理!$B$6:$B$305,"0"),0)-1,0),"&gt;="&amp;$N114),_xlfn.MINIFS(安値!$E$3:$IT$3,安値!$E$3:$IT$3,"&gt;"&amp;$E114,安値!$E$3:$IT$3,"&lt;="&amp;$AE114,OFFSET(安値!$E$6:$IT$6,MATCH(TEXT($B114,"0"),TEXT(銘柄管理!$B$6:$B$305,"0"),0)-1,0),"&lt;="&amp;$N114)),""))</f>
        <v/>
      </c>
      <c r="AH114" s="600" t="str">
        <f>IF(OR($B114="",$M114=""),"",IF(AND(N($AF114)=0,N($AG114)=0),IF(AND(ISNUMBER($H114),$H114&gt;0,IF($C114="売",$H114&gt;=$N114,$H114&lt;=$N114)),"損切確定",IF(AND(ISNUMBER($H114),$H114&gt;0,IF($C114="売",$H114&lt;=$M114,$H114&gt;=$M114)),"利益確定",IF($AE114&lt;=TODAY(),"日数制限","保有中"))),IF(N($AG114)=0,"利益確定",IF(N($AF114)=0,"損切確定",IF($AG114&lt;=$AF114,"損切確定","利益確定")))))</f>
        <v/>
      </c>
      <c r="AI114" s="600" t="str" cm="1">
        <f t="array" ref="AI114">IFERROR(INDEX(始値!$E$6:$IT$305,MATCH(TEXT($B114,"0"),TEXT(銘柄管理!$B$6:$B$305,"0"),0),MATCH($AE114,始値!$E$3:$IT$3,0)),"")</f>
        <v/>
      </c>
      <c r="AJ114" s="905" t="str">
        <f>IF(OR($V114="",$F114="",$G114=""),"",$V114/($F114*$G114))</f>
        <v/>
      </c>
      <c r="AK114" s="629" t="str">
        <f>IF($V114="","",IF($V114&gt;0,"○勝",IF($V114&lt;0,"●負","△引分")))</f>
        <v/>
      </c>
    </row>
    <row r="115" spans="1:37" ht="35.4" customHeight="1">
      <c r="A115" s="619" t="str">
        <f>IF(B115="","",HYPERLINK("https://kabutan.jp/stock/?code="&amp;B115,"株探"))</f>
        <v/>
      </c>
      <c r="B115" s="630"/>
      <c r="C115" s="490"/>
      <c r="D115" s="623" t="str" cm="1">
        <f t="array" ref="D115">IF($B115="","",_xll.RssMarket($B115,"銘柄名称"))</f>
        <v/>
      </c>
      <c r="E115" s="716"/>
      <c r="F115" s="698" t="str" cm="1">
        <f t="array" aca="1" ref="F115" ca="1">IFERROR(_xlfn.LET(_xlpm.r,MATCH(TEXT($B115,"0"),TEXT(銘柄管理!$B$6:$B$305,"0"),0),_xlpm.t,MOD(NOW(),1),_xlpm.c,IF($E115=TODAY(),IF(_xlpm.t&gt;=TIME(15,30,0),NA(),1),IF(MATCH($E115,始値!$E$3:$IT$3,0)=1,1,MATCH($E115,始値!$E$3:$IT$3,0)+1)),_xlpm.v,INDEX(始値!$C$6:$IT$305,_xlpm.r,_xlpm.c),IF(N(_xlpm.v)=0,"",_xlpm.v)),"")</f>
        <v/>
      </c>
      <c r="G115" s="631"/>
      <c r="H115" s="491" t="str" cm="1">
        <f t="array" ref="H115">IF($B115="","",_xll.RssMarket($B115,"現在値"))</f>
        <v/>
      </c>
      <c r="I115" s="491" t="str" cm="1">
        <f t="array" ref="I115">IF($B115="","",_xll.RssMarket($B115,"出来高加重平均"))</f>
        <v/>
      </c>
      <c r="J115" s="701" t="str" cm="1">
        <f t="array" ref="J115">IF($B115="","",_xll.RssMarket($B115,"前日比"))</f>
        <v/>
      </c>
      <c r="K115" s="701" t="str">
        <f>IF(OR(F115="",G115="",H115=""),"",IF(C115="売",(F115-H115)*G115,(H115-F115)*G115))</f>
        <v/>
      </c>
      <c r="L115" s="706" t="str">
        <f>IF(OR(F115="",H115=""),"",IF(C115="売",(F115-H115)/F115,(H115-F115)/F115))</f>
        <v/>
      </c>
      <c r="M115" s="491" t="str">
        <f>IF($F115="","",$F115*IF($C115="売",1-V811設定!$B$4,1+V811設定!$B$4)-MOD($F115*IF($C115="売",1-V811設定!$B$4,1+V811設定!$B$4),IF($F115&lt;=3000,1,IF($F115&lt;=5000,5,IF($F115&lt;=30000,10,IF($F115&lt;=50000,50,IF($F115&lt;=300000,100,500))))))+IF(AND($C115="売",MOD($F115*IF($C115="売",1-V811設定!$B$4,1+V811設定!$B$4),IF($F115&lt;=3000,1,IF($F115&lt;=5000,5,IF($F115&lt;=30000,10,IF($F115&lt;=50000,50,IF($F115&lt;=300000,100,500))))))&gt;0),IF($F115&lt;=3000,1,IF($F115&lt;=5000,5,IF($F115&lt;=30000,10,IF($F115&lt;=50000,50,IF($F115&lt;=300000,100,500))))),0))</f>
      </c>
      <c r="N115" s="491" t="str">
        <f>IF($F115="","",$F115*IF($C115="売",1+V811設定!$B$3,1-V811設定!$B$3)-MOD($F115*IF($C115="売",1+V811設定!$B$3,1-V811設定!$B$3),IF($F115&lt;=3000,1,IF($F115&lt;=5000,5,IF($F115&lt;=30000,10,IF($F115&lt;=50000,50,IF($F115&lt;=300000,100,500))))))+IF(AND($C115="売",MOD($F115*IF($C115="売",1+V811設定!$B$3,1-V811設定!$B$3),IF($F115&lt;=3000,1,IF($F115&lt;=5000,5,IF($F115&lt;=30000,10,IF($F115&lt;=50000,50,IF($F115&lt;=300000,100,500))))))&gt;0),IF($F115&lt;=3000,1,IF($F115&lt;=5000,5,IF($F115&lt;=30000,10,IF($F115&lt;=50000,50,IF($F115&lt;=300000,100,500))))),0))</f>
      </c>
      <c r="O115" s="492" t="str">
        <f>IF(OR($B115="",$F115="",$H115=""),"",IF($S115="✅売却済","―決済済―",IF($C115="売",IF($H115&lt;=$M115,"🟢利確",IF(AND($R115&lt;&gt;"",$H115&gt;=$R115),"🟠TRAIL",IF($H115&gt;=$N115,"🔴損切",IF($W115&gt;=V811設定!$B$6,"⏱時間決済",IF($H115&gt;=$F115*(1+V811設定!$B$3*0.7),"⚠️損切接近","保持継続"))))),IF($H115&gt;=$M115,"🟢利確",IF(AND($R115&lt;&gt;"",$H115&lt;=$R115),"🟠TRAIL",IF($H115&lt;=$N115,"🔴損切",IF($W115&gt;=V811設定!$B$6,"⏱時間決済",IF($H115&lt;=$F115*(1-V811設定!$B$3*0.7),"⚠️損切接近","保持継続"))))))))</f>
      </c>
      <c r="P115" s="491"/>
      <c r="Q115" s="491"/>
      <c r="R115" s="491" t="str">
        <f>IF(OR($F115="",$H115="",$N115=""),"",IF($S115="✅売却済","",IF($C115="売",IF($H115&gt;$F115*(1-V811設定!$B$3),$N115,MIN($N115,IF($Q115="",$N115,$Q115*1.03))),IF($H115&lt;$F115*(1+V811設定!$B$3),$N115,MAX($N115,IF($P115="",$N115,$P115*0.97))))))</f>
      </c>
      <c r="S115" s="586" t="str">
        <f>IF(B115="","",IF(T115&lt;&gt;"","✅売却済",IF(OR(H115="",L115=""),"📌保有中",IF(L115&gt;=0.06,"🟢利確推奨",IF(L115&gt;=0.05,"🟡利確直近",IF(L115&gt;=0.045,"🔵トレーリング検討",IF(L115&gt;-0.03,"📌保有中",IF(L115&gt;-0.04,"⚠️損切注意","🔴損切り"))))))))</f>
        <v/>
      </c>
      <c r="T115" s="594"/>
      <c r="U115" s="491"/>
      <c r="V115" s="701" t="str">
        <f>IF(OR(F115="",G115="",U115=""),"",IF(C115="売",(F115-U115)*G115,(U115-F115)*G115))</f>
        <v/>
      </c>
      <c r="W115" s="493" t="str">
        <f>IF(OR($E115="",$B115=""),"",IF($T115&lt;&gt;"",$T115-$E115,TODAY()-$E115)+1)</f>
        <v/>
      </c>
      <c r="X115" s="489" t="str">
        <f>IF(OR($AH115="",$AH115="保有中"),"",$AH115)</f>
        <v/>
      </c>
      <c r="Y115" s="488"/>
      <c r="Z115" s="710"/>
      <c r="AD115" s="608"/>
      <c r="AE115" s="624" t="str">
        <f>IF($E115="","",WORKDAY($E115,12))</f>
        <v/>
      </c>
      <c r="AF115" s="626" t="str" cm="1">
        <f t="array" aca="1" ref="AF115" ca="1">IF(OR($B115="",$M115=""),"",IFERROR(IF($C115="売",_xlfn.MINIFS(安値!$E$3:$IT$3,安値!$E$3:$IT$3,"&gt;"&amp;$E115,安値!$E$3:$IT$3,"&lt;="&amp;$AE115,OFFSET(安値!$E$6:$IT$6,MATCH(TEXT($B115,"0"),TEXT(銘柄管理!$B$6:$B$305,"0"),0)-1,0),"&lt;="&amp;$M115),_xlfn.MINIFS(高値!$E$3:$IT$3,高値!$E$3:$IT$3,"&gt;"&amp;$E115,高値!$E$3:$IT$3,"&lt;="&amp;$AE115,OFFSET(高値!$E$6:$IT$6,MATCH(TEXT($B115,"0"),TEXT(銘柄管理!$B$6:$B$305,"0"),0)-1,0),"&gt;="&amp;$M115)),""))</f>
        <v/>
      </c>
      <c r="AG115" s="626" t="str" cm="1">
        <f t="array" aca="1" ref="AG115" ca="1">IF(OR($B115="",$N115=""),"",IFERROR(IF($C115="売",_xlfn.MINIFS(高値!$E$3:$IT$3,高値!$E$3:$IT$3,"&gt;"&amp;$E115,高値!$E$3:$IT$3,"&lt;="&amp;$AE115,OFFSET(高値!$E$6:$IT$6,MATCH(TEXT($B115,"0"),TEXT(銘柄管理!$B$6:$B$305,"0"),0)-1,0),"&gt;="&amp;$N115),_xlfn.MINIFS(安値!$E$3:$IT$3,安値!$E$3:$IT$3,"&gt;"&amp;$E115,安値!$E$3:$IT$3,"&lt;="&amp;$AE115,OFFSET(安値!$E$6:$IT$6,MATCH(TEXT($B115,"0"),TEXT(銘柄管理!$B$6:$B$305,"0"),0)-1,0),"&lt;="&amp;$N115)),""))</f>
        <v/>
      </c>
      <c r="AH115" s="600" t="str">
        <f>IF(OR($B115="",$M115=""),"",IF(AND(N($AF115)=0,N($AG115)=0),IF(AND(ISNUMBER($H115),$H115&gt;0,IF($C115="売",$H115&gt;=$N115,$H115&lt;=$N115)),"損切確定",IF(AND(ISNUMBER($H115),$H115&gt;0,IF($C115="売",$H115&lt;=$M115,$H115&gt;=$M115)),"利益確定",IF($AE115&lt;=TODAY(),"日数制限","保有中"))),IF(N($AG115)=0,"利益確定",IF(N($AF115)=0,"損切確定",IF($AG115&lt;=$AF115,"損切確定","利益確定")))))</f>
        <v/>
      </c>
      <c r="AI115" s="600" t="str" cm="1">
        <f t="array" ref="AI115">IFERROR(INDEX(始値!$E$6:$IT$305,MATCH(TEXT($B115,"0"),TEXT(銘柄管理!$B$6:$B$305,"0"),0),MATCH($AE115,始値!$E$3:$IT$3,0)),"")</f>
        <v/>
      </c>
      <c r="AJ115" s="905" t="str">
        <f>IF(OR($V115="",$F115="",$G115=""),"",$V115/($F115*$G115))</f>
        <v/>
      </c>
      <c r="AK115" s="629" t="str">
        <f>IF($V115="","",IF($V115&gt;0,"○勝",IF($V115&lt;0,"●負","△引分")))</f>
        <v/>
      </c>
    </row>
    <row r="116" spans="1:37" ht="35.4" customHeight="1">
      <c r="A116" s="619" t="str">
        <f>IF(B116="","",HYPERLINK("https://kabutan.jp/stock/?code="&amp;B116,"株探"))</f>
        <v/>
      </c>
      <c r="B116" s="630"/>
      <c r="C116" s="490"/>
      <c r="D116" s="623" t="str" cm="1">
        <f t="array" ref="D116">IF($B116="","",_xll.RssMarket($B116,"銘柄名称"))</f>
        <v/>
      </c>
      <c r="E116" s="716"/>
      <c r="F116" s="698" t="str" cm="1">
        <f t="array" aca="1" ref="F116" ca="1">IFERROR(_xlfn.LET(_xlpm.r,MATCH(TEXT($B116,"0"),TEXT(銘柄管理!$B$6:$B$305,"0"),0),_xlpm.t,MOD(NOW(),1),_xlpm.c,IF($E116=TODAY(),IF(_xlpm.t&gt;=TIME(15,30,0),NA(),1),IF(MATCH($E116,始値!$E$3:$IT$3,0)=1,1,MATCH($E116,始値!$E$3:$IT$3,0)+1)),_xlpm.v,INDEX(始値!$C$6:$IT$305,_xlpm.r,_xlpm.c),IF(N(_xlpm.v)=0,"",_xlpm.v)),"")</f>
        <v/>
      </c>
      <c r="G116" s="631"/>
      <c r="H116" s="491" t="str" cm="1">
        <f t="array" ref="H116">IF($B116="","",_xll.RssMarket($B116,"現在値"))</f>
        <v/>
      </c>
      <c r="I116" s="491" t="str" cm="1">
        <f t="array" ref="I116">IF($B116="","",_xll.RssMarket($B116,"出来高加重平均"))</f>
        <v/>
      </c>
      <c r="J116" s="701" t="str" cm="1">
        <f t="array" ref="J116">IF($B116="","",_xll.RssMarket($B116,"前日比"))</f>
        <v/>
      </c>
      <c r="K116" s="701" t="str">
        <f>IF(OR(F116="",G116="",H116=""),"",IF(C116="売",(F116-H116)*G116,(H116-F116)*G116))</f>
        <v/>
      </c>
      <c r="L116" s="706" t="str">
        <f>IF(OR(F116="",H116=""),"",IF(C116="売",(F116-H116)/F116,(H116-F116)/F116))</f>
        <v/>
      </c>
      <c r="M116" s="491" t="str">
        <f>IF($F116="","",$F116*IF($C116="売",1-V811設定!$B$4,1+V811設定!$B$4)-MOD($F116*IF($C116="売",1-V811設定!$B$4,1+V811設定!$B$4),IF($F116&lt;=3000,1,IF($F116&lt;=5000,5,IF($F116&lt;=30000,10,IF($F116&lt;=50000,50,IF($F116&lt;=300000,100,500))))))+IF(AND($C116="売",MOD($F116*IF($C116="売",1-V811設定!$B$4,1+V811設定!$B$4),IF($F116&lt;=3000,1,IF($F116&lt;=5000,5,IF($F116&lt;=30000,10,IF($F116&lt;=50000,50,IF($F116&lt;=300000,100,500))))))&gt;0),IF($F116&lt;=3000,1,IF($F116&lt;=5000,5,IF($F116&lt;=30000,10,IF($F116&lt;=50000,50,IF($F116&lt;=300000,100,500))))),0))</f>
      </c>
      <c r="N116" s="491" t="str">
        <f>IF($F116="","",$F116*IF($C116="売",1+V811設定!$B$3,1-V811設定!$B$3)-MOD($F116*IF($C116="売",1+V811設定!$B$3,1-V811設定!$B$3),IF($F116&lt;=3000,1,IF($F116&lt;=5000,5,IF($F116&lt;=30000,10,IF($F116&lt;=50000,50,IF($F116&lt;=300000,100,500))))))+IF(AND($C116="売",MOD($F116*IF($C116="売",1+V811設定!$B$3,1-V811設定!$B$3),IF($F116&lt;=3000,1,IF($F116&lt;=5000,5,IF($F116&lt;=30000,10,IF($F116&lt;=50000,50,IF($F116&lt;=300000,100,500))))))&gt;0),IF($F116&lt;=3000,1,IF($F116&lt;=5000,5,IF($F116&lt;=30000,10,IF($F116&lt;=50000,50,IF($F116&lt;=300000,100,500))))),0))</f>
      </c>
      <c r="O116" s="492" t="str">
        <f>IF(OR($B116="",$F116="",$H116=""),"",IF($S116="✅売却済","―決済済―",IF($C116="売",IF($H116&lt;=$M116,"🟢利確",IF(AND($R116&lt;&gt;"",$H116&gt;=$R116),"🟠TRAIL",IF($H116&gt;=$N116,"🔴損切",IF($W116&gt;=V811設定!$B$6,"⏱時間決済",IF($H116&gt;=$F116*(1+V811設定!$B$3*0.7),"⚠️損切接近","保持継続"))))),IF($H116&gt;=$M116,"🟢利確",IF(AND($R116&lt;&gt;"",$H116&lt;=$R116),"🟠TRAIL",IF($H116&lt;=$N116,"🔴損切",IF($W116&gt;=V811設定!$B$6,"⏱時間決済",IF($H116&lt;=$F116*(1-V811設定!$B$3*0.7),"⚠️損切接近","保持継続"))))))))</f>
      </c>
      <c r="P116" s="491"/>
      <c r="Q116" s="491"/>
      <c r="R116" s="491" t="str">
        <f>IF(OR($F116="",$H116="",$N116=""),"",IF($S116="✅売却済","",IF($C116="売",IF($H116&gt;$F116*(1-V811設定!$B$3),$N116,MIN($N116,IF($Q116="",$N116,$Q116*1.03))),IF($H116&lt;$F116*(1+V811設定!$B$3),$N116,MAX($N116,IF($P116="",$N116,$P116*0.97))))))</f>
      </c>
      <c r="S116" s="586" t="str">
        <f>IF(B116="","",IF(T116&lt;&gt;"","✅売却済",IF(OR(H116="",L116=""),"📌保有中",IF(L116&gt;=0.06,"🟢利確推奨",IF(L116&gt;=0.05,"🟡利確直近",IF(L116&gt;=0.045,"🔵トレーリング検討",IF(L116&gt;-0.03,"📌保有中",IF(L116&gt;-0.04,"⚠️損切注意","🔴損切り"))))))))</f>
        <v/>
      </c>
      <c r="T116" s="594"/>
      <c r="U116" s="491"/>
      <c r="V116" s="701" t="str">
        <f>IF(OR(F116="",G116="",U116=""),"",IF(C116="売",(F116-U116)*G116,(U116-F116)*G116))</f>
        <v/>
      </c>
      <c r="W116" s="493" t="str">
        <f>IF(OR($E116="",$B116=""),"",IF($T116&lt;&gt;"",$T116-$E116,TODAY()-$E116)+1)</f>
        <v/>
      </c>
      <c r="X116" s="489" t="str">
        <f>IF(OR($AH116="",$AH116="保有中"),"",$AH116)</f>
        <v/>
      </c>
      <c r="Y116" s="488"/>
      <c r="Z116" s="710"/>
      <c r="AD116" s="608"/>
      <c r="AE116" s="624" t="str">
        <f>IF($E116="","",WORKDAY($E116,12))</f>
        <v/>
      </c>
      <c r="AF116" s="626" t="str" cm="1">
        <f t="array" aca="1" ref="AF116" ca="1">IF(OR($B116="",$M116=""),"",IFERROR(IF($C116="売",_xlfn.MINIFS(安値!$E$3:$IT$3,安値!$E$3:$IT$3,"&gt;"&amp;$E116,安値!$E$3:$IT$3,"&lt;="&amp;$AE116,OFFSET(安値!$E$6:$IT$6,MATCH(TEXT($B116,"0"),TEXT(銘柄管理!$B$6:$B$305,"0"),0)-1,0),"&lt;="&amp;$M116),_xlfn.MINIFS(高値!$E$3:$IT$3,高値!$E$3:$IT$3,"&gt;"&amp;$E116,高値!$E$3:$IT$3,"&lt;="&amp;$AE116,OFFSET(高値!$E$6:$IT$6,MATCH(TEXT($B116,"0"),TEXT(銘柄管理!$B$6:$B$305,"0"),0)-1,0),"&gt;="&amp;$M116)),""))</f>
        <v/>
      </c>
      <c r="AG116" s="626" t="str" cm="1">
        <f t="array" aca="1" ref="AG116" ca="1">IF(OR($B116="",$N116=""),"",IFERROR(IF($C116="売",_xlfn.MINIFS(高値!$E$3:$IT$3,高値!$E$3:$IT$3,"&gt;"&amp;$E116,高値!$E$3:$IT$3,"&lt;="&amp;$AE116,OFFSET(高値!$E$6:$IT$6,MATCH(TEXT($B116,"0"),TEXT(銘柄管理!$B$6:$B$305,"0"),0)-1,0),"&gt;="&amp;$N116),_xlfn.MINIFS(安値!$E$3:$IT$3,安値!$E$3:$IT$3,"&gt;"&amp;$E116,安値!$E$3:$IT$3,"&lt;="&amp;$AE116,OFFSET(安値!$E$6:$IT$6,MATCH(TEXT($B116,"0"),TEXT(銘柄管理!$B$6:$B$305,"0"),0)-1,0),"&lt;="&amp;$N116)),""))</f>
        <v/>
      </c>
      <c r="AH116" s="600" t="str">
        <f>IF(OR($B116="",$M116=""),"",IF(AND(N($AF116)=0,N($AG116)=0),IF(AND(ISNUMBER($H116),$H116&gt;0,IF($C116="売",$H116&gt;=$N116,$H116&lt;=$N116)),"損切確定",IF(AND(ISNUMBER($H116),$H116&gt;0,IF($C116="売",$H116&lt;=$M116,$H116&gt;=$M116)),"利益確定",IF($AE116&lt;=TODAY(),"日数制限","保有中"))),IF(N($AG116)=0,"利益確定",IF(N($AF116)=0,"損切確定",IF($AG116&lt;=$AF116,"損切確定","利益確定")))))</f>
        <v/>
      </c>
      <c r="AI116" s="600" t="str" cm="1">
        <f t="array" ref="AI116">IFERROR(INDEX(始値!$E$6:$IT$305,MATCH(TEXT($B116,"0"),TEXT(銘柄管理!$B$6:$B$305,"0"),0),MATCH($AE116,始値!$E$3:$IT$3,0)),"")</f>
        <v/>
      </c>
      <c r="AJ116" s="905" t="str">
        <f>IF(OR($V116="",$F116="",$G116=""),"",$V116/($F116*$G116))</f>
        <v/>
      </c>
      <c r="AK116" s="629" t="str">
        <f>IF($V116="","",IF($V116&gt;0,"○勝",IF($V116&lt;0,"●負","△引分")))</f>
        <v/>
      </c>
    </row>
    <row r="117" spans="1:37" ht="35.4" customHeight="1">
      <c r="A117" s="619" t="str">
        <f>IF(B117="","",HYPERLINK("https://kabutan.jp/stock/?code="&amp;B117,"株探"))</f>
        <v/>
      </c>
      <c r="B117" s="630"/>
      <c r="C117" s="490"/>
      <c r="D117" s="623" t="str" cm="1">
        <f t="array" ref="D117">IF($B117="","",_xll.RssMarket($B117,"銘柄名称"))</f>
        <v/>
      </c>
      <c r="E117" s="716"/>
      <c r="F117" s="698" t="str" cm="1">
        <f t="array" aca="1" ref="F117" ca="1">IFERROR(_xlfn.LET(_xlpm.r,MATCH(TEXT($B117,"0"),TEXT(銘柄管理!$B$6:$B$305,"0"),0),_xlpm.t,MOD(NOW(),1),_xlpm.c,IF($E117=TODAY(),IF(_xlpm.t&gt;=TIME(15,30,0),NA(),1),IF(MATCH($E117,始値!$E$3:$IT$3,0)=1,1,MATCH($E117,始値!$E$3:$IT$3,0)+1)),_xlpm.v,INDEX(始値!$C$6:$IT$305,_xlpm.r,_xlpm.c),IF(N(_xlpm.v)=0,"",_xlpm.v)),"")</f>
        <v/>
      </c>
      <c r="G117" s="631"/>
      <c r="H117" s="491" t="str" cm="1">
        <f t="array" ref="H117">IF($B117="","",_xll.RssMarket($B117,"現在値"))</f>
        <v/>
      </c>
      <c r="I117" s="491" t="str" cm="1">
        <f t="array" ref="I117">IF($B117="","",_xll.RssMarket($B117,"出来高加重平均"))</f>
        <v/>
      </c>
      <c r="J117" s="701" t="str" cm="1">
        <f t="array" ref="J117">IF($B117="","",_xll.RssMarket($B117,"前日比"))</f>
        <v/>
      </c>
      <c r="K117" s="701" t="str">
        <f>IF(OR(F117="",G117="",H117=""),"",IF(C117="売",(F117-H117)*G117,(H117-F117)*G117))</f>
        <v/>
      </c>
      <c r="L117" s="706" t="str">
        <f>IF(OR(F117="",H117=""),"",IF(C117="売",(F117-H117)/F117,(H117-F117)/F117))</f>
        <v/>
      </c>
      <c r="M117" s="491" t="str">
        <f>IF($F117="","",$F117*IF($C117="売",1-V811設定!$B$4,1+V811設定!$B$4)-MOD($F117*IF($C117="売",1-V811設定!$B$4,1+V811設定!$B$4),IF($F117&lt;=3000,1,IF($F117&lt;=5000,5,IF($F117&lt;=30000,10,IF($F117&lt;=50000,50,IF($F117&lt;=300000,100,500))))))+IF(AND($C117="売",MOD($F117*IF($C117="売",1-V811設定!$B$4,1+V811設定!$B$4),IF($F117&lt;=3000,1,IF($F117&lt;=5000,5,IF($F117&lt;=30000,10,IF($F117&lt;=50000,50,IF($F117&lt;=300000,100,500))))))&gt;0),IF($F117&lt;=3000,1,IF($F117&lt;=5000,5,IF($F117&lt;=30000,10,IF($F117&lt;=50000,50,IF($F117&lt;=300000,100,500))))),0))</f>
      </c>
      <c r="N117" s="491" t="str">
        <f>IF($F117="","",$F117*IF($C117="売",1+V811設定!$B$3,1-V811設定!$B$3)-MOD($F117*IF($C117="売",1+V811設定!$B$3,1-V811設定!$B$3),IF($F117&lt;=3000,1,IF($F117&lt;=5000,5,IF($F117&lt;=30000,10,IF($F117&lt;=50000,50,IF($F117&lt;=300000,100,500))))))+IF(AND($C117="売",MOD($F117*IF($C117="売",1+V811設定!$B$3,1-V811設定!$B$3),IF($F117&lt;=3000,1,IF($F117&lt;=5000,5,IF($F117&lt;=30000,10,IF($F117&lt;=50000,50,IF($F117&lt;=300000,100,500))))))&gt;0),IF($F117&lt;=3000,1,IF($F117&lt;=5000,5,IF($F117&lt;=30000,10,IF($F117&lt;=50000,50,IF($F117&lt;=300000,100,500))))),0))</f>
      </c>
      <c r="O117" s="492" t="str">
        <f>IF(OR($B117="",$F117="",$H117=""),"",IF($S117="✅売却済","―決済済―",IF($C117="売",IF($H117&lt;=$M117,"🟢利確",IF(AND($R117&lt;&gt;"",$H117&gt;=$R117),"🟠TRAIL",IF($H117&gt;=$N117,"🔴損切",IF($W117&gt;=V811設定!$B$6,"⏱時間決済",IF($H117&gt;=$F117*(1+V811設定!$B$3*0.7),"⚠️損切接近","保持継続"))))),IF($H117&gt;=$M117,"🟢利確",IF(AND($R117&lt;&gt;"",$H117&lt;=$R117),"🟠TRAIL",IF($H117&lt;=$N117,"🔴損切",IF($W117&gt;=V811設定!$B$6,"⏱時間決済",IF($H117&lt;=$F117*(1-V811設定!$B$3*0.7),"⚠️損切接近","保持継続"))))))))</f>
      </c>
      <c r="P117" s="491"/>
      <c r="Q117" s="491"/>
      <c r="R117" s="491" t="str">
        <f>IF(OR($F117="",$H117="",$N117=""),"",IF($S117="✅売却済","",IF($C117="売",IF($H117&gt;$F117*(1-V811設定!$B$3),$N117,MIN($N117,IF($Q117="",$N117,$Q117*1.03))),IF($H117&lt;$F117*(1+V811設定!$B$3),$N117,MAX($N117,IF($P117="",$N117,$P117*0.97))))))</f>
      </c>
      <c r="S117" s="586" t="str">
        <f>IF(B117="","",IF(T117&lt;&gt;"","✅売却済",IF(OR(H117="",L117=""),"📌保有中",IF(L117&gt;=0.06,"🟢利確推奨",IF(L117&gt;=0.05,"🟡利確直近",IF(L117&gt;=0.045,"🔵トレーリング検討",IF(L117&gt;-0.03,"📌保有中",IF(L117&gt;-0.04,"⚠️損切注意","🔴損切り"))))))))</f>
        <v/>
      </c>
      <c r="T117" s="594"/>
      <c r="U117" s="491"/>
      <c r="V117" s="701" t="str">
        <f>IF(OR(F117="",G117="",U117=""),"",IF(C117="売",(F117-U117)*G117,(U117-F117)*G117))</f>
        <v/>
      </c>
      <c r="W117" s="493" t="str">
        <f>IF(OR($E117="",$B117=""),"",IF($T117&lt;&gt;"",$T117-$E117,TODAY()-$E117)+1)</f>
        <v/>
      </c>
      <c r="X117" s="489" t="str">
        <f>IF(OR($AH117="",$AH117="保有中"),"",$AH117)</f>
        <v/>
      </c>
      <c r="Y117" s="488"/>
      <c r="Z117" s="710"/>
      <c r="AD117" s="608"/>
      <c r="AE117" s="624" t="str">
        <f>IF($E117="","",WORKDAY($E117,12))</f>
        <v/>
      </c>
      <c r="AF117" s="626" t="str" cm="1">
        <f t="array" aca="1" ref="AF117" ca="1">IF(OR($B117="",$M117=""),"",IFERROR(IF($C117="売",_xlfn.MINIFS(安値!$E$3:$IT$3,安値!$E$3:$IT$3,"&gt;"&amp;$E117,安値!$E$3:$IT$3,"&lt;="&amp;$AE117,OFFSET(安値!$E$6:$IT$6,MATCH(TEXT($B117,"0"),TEXT(銘柄管理!$B$6:$B$305,"0"),0)-1,0),"&lt;="&amp;$M117),_xlfn.MINIFS(高値!$E$3:$IT$3,高値!$E$3:$IT$3,"&gt;"&amp;$E117,高値!$E$3:$IT$3,"&lt;="&amp;$AE117,OFFSET(高値!$E$6:$IT$6,MATCH(TEXT($B117,"0"),TEXT(銘柄管理!$B$6:$B$305,"0"),0)-1,0),"&gt;="&amp;$M117)),""))</f>
        <v/>
      </c>
      <c r="AG117" s="626" t="str" cm="1">
        <f t="array" aca="1" ref="AG117" ca="1">IF(OR($B117="",$N117=""),"",IFERROR(IF($C117="売",_xlfn.MINIFS(高値!$E$3:$IT$3,高値!$E$3:$IT$3,"&gt;"&amp;$E117,高値!$E$3:$IT$3,"&lt;="&amp;$AE117,OFFSET(高値!$E$6:$IT$6,MATCH(TEXT($B117,"0"),TEXT(銘柄管理!$B$6:$B$305,"0"),0)-1,0),"&gt;="&amp;$N117),_xlfn.MINIFS(安値!$E$3:$IT$3,安値!$E$3:$IT$3,"&gt;"&amp;$E117,安値!$E$3:$IT$3,"&lt;="&amp;$AE117,OFFSET(安値!$E$6:$IT$6,MATCH(TEXT($B117,"0"),TEXT(銘柄管理!$B$6:$B$305,"0"),0)-1,0),"&lt;="&amp;$N117)),""))</f>
        <v/>
      </c>
      <c r="AH117" s="600" t="str">
        <f>IF(OR($B117="",$M117=""),"",IF(AND(N($AF117)=0,N($AG117)=0),IF(AND(ISNUMBER($H117),$H117&gt;0,IF($C117="売",$H117&gt;=$N117,$H117&lt;=$N117)),"損切確定",IF(AND(ISNUMBER($H117),$H117&gt;0,IF($C117="売",$H117&lt;=$M117,$H117&gt;=$M117)),"利益確定",IF($AE117&lt;=TODAY(),"日数制限","保有中"))),IF(N($AG117)=0,"利益確定",IF(N($AF117)=0,"損切確定",IF($AG117&lt;=$AF117,"損切確定","利益確定")))))</f>
        <v/>
      </c>
      <c r="AI117" s="600" t="str" cm="1">
        <f t="array" ref="AI117">IFERROR(INDEX(始値!$E$6:$IT$305,MATCH(TEXT($B117,"0"),TEXT(銘柄管理!$B$6:$B$305,"0"),0),MATCH($AE117,始値!$E$3:$IT$3,0)),"")</f>
        <v/>
      </c>
      <c r="AJ117" s="905" t="str">
        <f>IF(OR($V117="",$F117="",$G117=""),"",$V117/($F117*$G117))</f>
        <v/>
      </c>
      <c r="AK117" s="629" t="str">
        <f>IF($V117="","",IF($V117&gt;0,"○勝",IF($V117&lt;0,"●負","△引分")))</f>
        <v/>
      </c>
    </row>
    <row r="118" spans="1:37" ht="35.4" customHeight="1">
      <c r="A118" s="619" t="str">
        <f>IF(B118="","",HYPERLINK("https://kabutan.jp/stock/?code="&amp;B118,"株探"))</f>
        <v/>
      </c>
      <c r="B118" s="630"/>
      <c r="C118" s="490"/>
      <c r="D118" s="623" t="str" cm="1">
        <f t="array" ref="D118">IF($B118="","",_xll.RssMarket($B118,"銘柄名称"))</f>
        <v/>
      </c>
      <c r="E118" s="716"/>
      <c r="F118" s="698" t="str" cm="1">
        <f t="array" aca="1" ref="F118" ca="1">IFERROR(_xlfn.LET(_xlpm.r,MATCH(TEXT($B118,"0"),TEXT(銘柄管理!$B$6:$B$305,"0"),0),_xlpm.t,MOD(NOW(),1),_xlpm.c,IF($E118=TODAY(),IF(_xlpm.t&gt;=TIME(15,30,0),NA(),1),IF(MATCH($E118,始値!$E$3:$IT$3,0)=1,1,MATCH($E118,始値!$E$3:$IT$3,0)+1)),_xlpm.v,INDEX(始値!$C$6:$IT$305,_xlpm.r,_xlpm.c),IF(N(_xlpm.v)=0,"",_xlpm.v)),"")</f>
        <v/>
      </c>
      <c r="G118" s="631"/>
      <c r="H118" s="491" t="str" cm="1">
        <f t="array" ref="H118">IF($B118="","",_xll.RssMarket($B118,"現在値"))</f>
        <v/>
      </c>
      <c r="I118" s="491" t="str" cm="1">
        <f t="array" ref="I118">IF($B118="","",_xll.RssMarket($B118,"出来高加重平均"))</f>
        <v/>
      </c>
      <c r="J118" s="701" t="str" cm="1">
        <f t="array" ref="J118">IF($B118="","",_xll.RssMarket($B118,"前日比"))</f>
        <v/>
      </c>
      <c r="K118" s="701" t="str">
        <f>IF(OR(F118="",G118="",H118=""),"",IF(C118="売",(F118-H118)*G118,(H118-F118)*G118))</f>
        <v/>
      </c>
      <c r="L118" s="706" t="str">
        <f>IF(OR(F118="",H118=""),"",IF(C118="売",(F118-H118)/F118,(H118-F118)/F118))</f>
        <v/>
      </c>
      <c r="M118" s="491" t="str">
        <f>IF($F118="","",$F118*IF($C118="売",1-V811設定!$B$4,1+V811設定!$B$4)-MOD($F118*IF($C118="売",1-V811設定!$B$4,1+V811設定!$B$4),IF($F118&lt;=3000,1,IF($F118&lt;=5000,5,IF($F118&lt;=30000,10,IF($F118&lt;=50000,50,IF($F118&lt;=300000,100,500))))))+IF(AND($C118="売",MOD($F118*IF($C118="売",1-V811設定!$B$4,1+V811設定!$B$4),IF($F118&lt;=3000,1,IF($F118&lt;=5000,5,IF($F118&lt;=30000,10,IF($F118&lt;=50000,50,IF($F118&lt;=300000,100,500))))))&gt;0),IF($F118&lt;=3000,1,IF($F118&lt;=5000,5,IF($F118&lt;=30000,10,IF($F118&lt;=50000,50,IF($F118&lt;=300000,100,500))))),0))</f>
      </c>
      <c r="N118" s="491" t="str">
        <f>IF($F118="","",$F118*IF($C118="売",1+V811設定!$B$3,1-V811設定!$B$3)-MOD($F118*IF($C118="売",1+V811設定!$B$3,1-V811設定!$B$3),IF($F118&lt;=3000,1,IF($F118&lt;=5000,5,IF($F118&lt;=30000,10,IF($F118&lt;=50000,50,IF($F118&lt;=300000,100,500))))))+IF(AND($C118="売",MOD($F118*IF($C118="売",1+V811設定!$B$3,1-V811設定!$B$3),IF($F118&lt;=3000,1,IF($F118&lt;=5000,5,IF($F118&lt;=30000,10,IF($F118&lt;=50000,50,IF($F118&lt;=300000,100,500))))))&gt;0),IF($F118&lt;=3000,1,IF($F118&lt;=5000,5,IF($F118&lt;=30000,10,IF($F118&lt;=50000,50,IF($F118&lt;=300000,100,500))))),0))</f>
      </c>
      <c r="O118" s="492" t="str">
        <f>IF(OR($B118="",$F118="",$H118=""),"",IF($S118="✅売却済","―決済済―",IF($C118="売",IF($H118&lt;=$M118,"🟢利確",IF(AND($R118&lt;&gt;"",$H118&gt;=$R118),"🟠TRAIL",IF($H118&gt;=$N118,"🔴損切",IF($W118&gt;=V811設定!$B$6,"⏱時間決済",IF($H118&gt;=$F118*(1+V811設定!$B$3*0.7),"⚠️損切接近","保持継続"))))),IF($H118&gt;=$M118,"🟢利確",IF(AND($R118&lt;&gt;"",$H118&lt;=$R118),"🟠TRAIL",IF($H118&lt;=$N118,"🔴損切",IF($W118&gt;=V811設定!$B$6,"⏱時間決済",IF($H118&lt;=$F118*(1-V811設定!$B$3*0.7),"⚠️損切接近","保持継続"))))))))</f>
      </c>
      <c r="P118" s="491"/>
      <c r="Q118" s="491"/>
      <c r="R118" s="491" t="str">
        <f>IF(OR($F118="",$H118="",$N118=""),"",IF($S118="✅売却済","",IF($C118="売",IF($H118&gt;$F118*(1-V811設定!$B$3),$N118,MIN($N118,IF($Q118="",$N118,$Q118*1.03))),IF($H118&lt;$F118*(1+V811設定!$B$3),$N118,MAX($N118,IF($P118="",$N118,$P118*0.97))))))</f>
      </c>
      <c r="S118" s="586" t="str">
        <f>IF(B118="","",IF(T118&lt;&gt;"","✅売却済",IF(OR(H118="",L118=""),"📌保有中",IF(L118&gt;=0.06,"🟢利確推奨",IF(L118&gt;=0.05,"🟡利確直近",IF(L118&gt;=0.045,"🔵トレーリング検討",IF(L118&gt;-0.03,"📌保有中",IF(L118&gt;-0.04,"⚠️損切注意","🔴損切り"))))))))</f>
        <v/>
      </c>
      <c r="T118" s="594"/>
      <c r="U118" s="491"/>
      <c r="V118" s="701" t="str">
        <f>IF(OR(F118="",G118="",U118=""),"",IF(C118="売",(F118-U118)*G118,(U118-F118)*G118))</f>
        <v/>
      </c>
      <c r="W118" s="493" t="str">
        <f>IF(OR($E118="",$B118=""),"",IF($T118&lt;&gt;"",$T118-$E118,TODAY()-$E118)+1)</f>
        <v/>
      </c>
      <c r="X118" s="489" t="str">
        <f>IF(OR($AH118="",$AH118="保有中"),"",$AH118)</f>
        <v/>
      </c>
      <c r="Y118" s="488"/>
      <c r="Z118" s="710"/>
      <c r="AD118" s="608"/>
      <c r="AE118" s="624" t="str">
        <f>IF($E118="","",WORKDAY($E118,12))</f>
        <v/>
      </c>
      <c r="AF118" s="626" t="str" cm="1">
        <f t="array" aca="1" ref="AF118" ca="1">IF(OR($B118="",$M118=""),"",IFERROR(IF($C118="売",_xlfn.MINIFS(安値!$E$3:$IT$3,安値!$E$3:$IT$3,"&gt;"&amp;$E118,安値!$E$3:$IT$3,"&lt;="&amp;$AE118,OFFSET(安値!$E$6:$IT$6,MATCH(TEXT($B118,"0"),TEXT(銘柄管理!$B$6:$B$305,"0"),0)-1,0),"&lt;="&amp;$M118),_xlfn.MINIFS(高値!$E$3:$IT$3,高値!$E$3:$IT$3,"&gt;"&amp;$E118,高値!$E$3:$IT$3,"&lt;="&amp;$AE118,OFFSET(高値!$E$6:$IT$6,MATCH(TEXT($B118,"0"),TEXT(銘柄管理!$B$6:$B$305,"0"),0)-1,0),"&gt;="&amp;$M118)),""))</f>
        <v/>
      </c>
      <c r="AG118" s="626" t="str" cm="1">
        <f t="array" aca="1" ref="AG118" ca="1">IF(OR($B118="",$N118=""),"",IFERROR(IF($C118="売",_xlfn.MINIFS(高値!$E$3:$IT$3,高値!$E$3:$IT$3,"&gt;"&amp;$E118,高値!$E$3:$IT$3,"&lt;="&amp;$AE118,OFFSET(高値!$E$6:$IT$6,MATCH(TEXT($B118,"0"),TEXT(銘柄管理!$B$6:$B$305,"0"),0)-1,0),"&gt;="&amp;$N118),_xlfn.MINIFS(安値!$E$3:$IT$3,安値!$E$3:$IT$3,"&gt;"&amp;$E118,安値!$E$3:$IT$3,"&lt;="&amp;$AE118,OFFSET(安値!$E$6:$IT$6,MATCH(TEXT($B118,"0"),TEXT(銘柄管理!$B$6:$B$305,"0"),0)-1,0),"&lt;="&amp;$N118)),""))</f>
        <v/>
      </c>
      <c r="AH118" s="600" t="str">
        <f>IF(OR($B118="",$M118=""),"",IF(AND(N($AF118)=0,N($AG118)=0),IF(AND(ISNUMBER($H118),$H118&gt;0,IF($C118="売",$H118&gt;=$N118,$H118&lt;=$N118)),"損切確定",IF(AND(ISNUMBER($H118),$H118&gt;0,IF($C118="売",$H118&lt;=$M118,$H118&gt;=$M118)),"利益確定",IF($AE118&lt;=TODAY(),"日数制限","保有中"))),IF(N($AG118)=0,"利益確定",IF(N($AF118)=0,"損切確定",IF($AG118&lt;=$AF118,"損切確定","利益確定")))))</f>
        <v/>
      </c>
      <c r="AI118" s="600" t="str" cm="1">
        <f t="array" ref="AI118">IFERROR(INDEX(始値!$E$6:$IT$305,MATCH(TEXT($B118,"0"),TEXT(銘柄管理!$B$6:$B$305,"0"),0),MATCH($AE118,始値!$E$3:$IT$3,0)),"")</f>
        <v/>
      </c>
      <c r="AJ118" s="905" t="str">
        <f>IF(OR($V118="",$F118="",$G118=""),"",$V118/($F118*$G118))</f>
        <v/>
      </c>
      <c r="AK118" s="629" t="str">
        <f>IF($V118="","",IF($V118&gt;0,"○勝",IF($V118&lt;0,"●負","△引分")))</f>
        <v/>
      </c>
    </row>
    <row r="119" spans="1:37" ht="35.4" customHeight="1">
      <c r="A119" s="619" t="str">
        <f>IF(B119="","",HYPERLINK("https://kabutan.jp/stock/?code="&amp;B119,"株探"))</f>
        <v/>
      </c>
      <c r="B119" s="630"/>
      <c r="C119" s="490"/>
      <c r="D119" s="623" t="str" cm="1">
        <f t="array" ref="D119">IF($B119="","",_xll.RssMarket($B119,"銘柄名称"))</f>
        <v/>
      </c>
      <c r="E119" s="716"/>
      <c r="F119" s="698" t="str" cm="1">
        <f t="array" aca="1" ref="F119" ca="1">IFERROR(_xlfn.LET(_xlpm.r,MATCH(TEXT($B119,"0"),TEXT(銘柄管理!$B$6:$B$305,"0"),0),_xlpm.t,MOD(NOW(),1),_xlpm.c,IF($E119=TODAY(),IF(_xlpm.t&gt;=TIME(15,30,0),NA(),1),IF(MATCH($E119,始値!$E$3:$IT$3,0)=1,1,MATCH($E119,始値!$E$3:$IT$3,0)+1)),_xlpm.v,INDEX(始値!$C$6:$IT$305,_xlpm.r,_xlpm.c),IF(N(_xlpm.v)=0,"",_xlpm.v)),"")</f>
        <v/>
      </c>
      <c r="G119" s="631"/>
      <c r="H119" s="491" t="str" cm="1">
        <f t="array" ref="H119">IF($B119="","",_xll.RssMarket($B119,"現在値"))</f>
        <v/>
      </c>
      <c r="I119" s="491" t="str" cm="1">
        <f t="array" ref="I119">IF($B119="","",_xll.RssMarket($B119,"出来高加重平均"))</f>
        <v/>
      </c>
      <c r="J119" s="701" t="str" cm="1">
        <f t="array" ref="J119">IF($B119="","",_xll.RssMarket($B119,"前日比"))</f>
        <v/>
      </c>
      <c r="K119" s="701" t="str">
        <f>IF(OR(F119="",G119="",H119=""),"",IF(C119="売",(F119-H119)*G119,(H119-F119)*G119))</f>
        <v/>
      </c>
      <c r="L119" s="706" t="str">
        <f>IF(OR(F119="",H119=""),"",IF(C119="売",(F119-H119)/F119,(H119-F119)/F119))</f>
        <v/>
      </c>
      <c r="M119" s="491" t="str">
        <f>IF($F119="","",$F119*IF($C119="売",1-V811設定!$B$4,1+V811設定!$B$4)-MOD($F119*IF($C119="売",1-V811設定!$B$4,1+V811設定!$B$4),IF($F119&lt;=3000,1,IF($F119&lt;=5000,5,IF($F119&lt;=30000,10,IF($F119&lt;=50000,50,IF($F119&lt;=300000,100,500))))))+IF(AND($C119="売",MOD($F119*IF($C119="売",1-V811設定!$B$4,1+V811設定!$B$4),IF($F119&lt;=3000,1,IF($F119&lt;=5000,5,IF($F119&lt;=30000,10,IF($F119&lt;=50000,50,IF($F119&lt;=300000,100,500))))))&gt;0),IF($F119&lt;=3000,1,IF($F119&lt;=5000,5,IF($F119&lt;=30000,10,IF($F119&lt;=50000,50,IF($F119&lt;=300000,100,500))))),0))</f>
      </c>
      <c r="N119" s="491" t="str">
        <f>IF($F119="","",$F119*IF($C119="売",1+V811設定!$B$3,1-V811設定!$B$3)-MOD($F119*IF($C119="売",1+V811設定!$B$3,1-V811設定!$B$3),IF($F119&lt;=3000,1,IF($F119&lt;=5000,5,IF($F119&lt;=30000,10,IF($F119&lt;=50000,50,IF($F119&lt;=300000,100,500))))))+IF(AND($C119="売",MOD($F119*IF($C119="売",1+V811設定!$B$3,1-V811設定!$B$3),IF($F119&lt;=3000,1,IF($F119&lt;=5000,5,IF($F119&lt;=30000,10,IF($F119&lt;=50000,50,IF($F119&lt;=300000,100,500))))))&gt;0),IF($F119&lt;=3000,1,IF($F119&lt;=5000,5,IF($F119&lt;=30000,10,IF($F119&lt;=50000,50,IF($F119&lt;=300000,100,500))))),0))</f>
      </c>
      <c r="O119" s="492" t="str">
        <f>IF(OR($B119="",$F119="",$H119=""),"",IF($S119="✅売却済","―決済済―",IF($C119="売",IF($H119&lt;=$M119,"🟢利確",IF(AND($R119&lt;&gt;"",$H119&gt;=$R119),"🟠TRAIL",IF($H119&gt;=$N119,"🔴損切",IF($W119&gt;=V811設定!$B$6,"⏱時間決済",IF($H119&gt;=$F119*(1+V811設定!$B$3*0.7),"⚠️損切接近","保持継続"))))),IF($H119&gt;=$M119,"🟢利確",IF(AND($R119&lt;&gt;"",$H119&lt;=$R119),"🟠TRAIL",IF($H119&lt;=$N119,"🔴損切",IF($W119&gt;=V811設定!$B$6,"⏱時間決済",IF($H119&lt;=$F119*(1-V811設定!$B$3*0.7),"⚠️損切接近","保持継続"))))))))</f>
      </c>
      <c r="P119" s="491"/>
      <c r="Q119" s="491"/>
      <c r="R119" s="491" t="str">
        <f>IF(OR($F119="",$H119="",$N119=""),"",IF($S119="✅売却済","",IF($C119="売",IF($H119&gt;$F119*(1-V811設定!$B$3),$N119,MIN($N119,IF($Q119="",$N119,$Q119*1.03))),IF($H119&lt;$F119*(1+V811設定!$B$3),$N119,MAX($N119,IF($P119="",$N119,$P119*0.97))))))</f>
      </c>
      <c r="S119" s="586" t="str">
        <f>IF(B119="","",IF(T119&lt;&gt;"","✅売却済",IF(OR(H119="",L119=""),"📌保有中",IF(L119&gt;=0.06,"🟢利確推奨",IF(L119&gt;=0.05,"🟡利確直近",IF(L119&gt;=0.045,"🔵トレーリング検討",IF(L119&gt;-0.03,"📌保有中",IF(L119&gt;-0.04,"⚠️損切注意","🔴損切り"))))))))</f>
        <v/>
      </c>
      <c r="T119" s="594"/>
      <c r="U119" s="491"/>
      <c r="V119" s="701" t="str">
        <f>IF(OR(F119="",G119="",U119=""),"",IF(C119="売",(F119-U119)*G119,(U119-F119)*G119))</f>
        <v/>
      </c>
      <c r="W119" s="493" t="str">
        <f>IF(OR($E119="",$B119=""),"",IF($T119&lt;&gt;"",$T119-$E119,TODAY()-$E119)+1)</f>
        <v/>
      </c>
      <c r="X119" s="489" t="str">
        <f>IF(OR($AH119="",$AH119="保有中"),"",$AH119)</f>
        <v/>
      </c>
      <c r="Y119" s="488"/>
      <c r="Z119" s="710"/>
      <c r="AD119" s="608"/>
      <c r="AE119" s="624" t="str">
        <f>IF($E119="","",WORKDAY($E119,12))</f>
        <v/>
      </c>
      <c r="AF119" s="626" t="str" cm="1">
        <f t="array" aca="1" ref="AF119" ca="1">IF(OR($B119="",$M119=""),"",IFERROR(IF($C119="売",_xlfn.MINIFS(安値!$E$3:$IT$3,安値!$E$3:$IT$3,"&gt;"&amp;$E119,安値!$E$3:$IT$3,"&lt;="&amp;$AE119,OFFSET(安値!$E$6:$IT$6,MATCH(TEXT($B119,"0"),TEXT(銘柄管理!$B$6:$B$305,"0"),0)-1,0),"&lt;="&amp;$M119),_xlfn.MINIFS(高値!$E$3:$IT$3,高値!$E$3:$IT$3,"&gt;"&amp;$E119,高値!$E$3:$IT$3,"&lt;="&amp;$AE119,OFFSET(高値!$E$6:$IT$6,MATCH(TEXT($B119,"0"),TEXT(銘柄管理!$B$6:$B$305,"0"),0)-1,0),"&gt;="&amp;$M119)),""))</f>
        <v/>
      </c>
      <c r="AG119" s="626" t="str" cm="1">
        <f t="array" aca="1" ref="AG119" ca="1">IF(OR($B119="",$N119=""),"",IFERROR(IF($C119="売",_xlfn.MINIFS(高値!$E$3:$IT$3,高値!$E$3:$IT$3,"&gt;"&amp;$E119,高値!$E$3:$IT$3,"&lt;="&amp;$AE119,OFFSET(高値!$E$6:$IT$6,MATCH(TEXT($B119,"0"),TEXT(銘柄管理!$B$6:$B$305,"0"),0)-1,0),"&gt;="&amp;$N119),_xlfn.MINIFS(安値!$E$3:$IT$3,安値!$E$3:$IT$3,"&gt;"&amp;$E119,安値!$E$3:$IT$3,"&lt;="&amp;$AE119,OFFSET(安値!$E$6:$IT$6,MATCH(TEXT($B119,"0"),TEXT(銘柄管理!$B$6:$B$305,"0"),0)-1,0),"&lt;="&amp;$N119)),""))</f>
        <v/>
      </c>
      <c r="AH119" s="600" t="str">
        <f>IF(OR($B119="",$M119=""),"",IF(AND(N($AF119)=0,N($AG119)=0),IF(AND(ISNUMBER($H119),$H119&gt;0,IF($C119="売",$H119&gt;=$N119,$H119&lt;=$N119)),"損切確定",IF(AND(ISNUMBER($H119),$H119&gt;0,IF($C119="売",$H119&lt;=$M119,$H119&gt;=$M119)),"利益確定",IF($AE119&lt;=TODAY(),"日数制限","保有中"))),IF(N($AG119)=0,"利益確定",IF(N($AF119)=0,"損切確定",IF($AG119&lt;=$AF119,"損切確定","利益確定")))))</f>
        <v/>
      </c>
      <c r="AI119" s="600" t="str" cm="1">
        <f t="array" ref="AI119">IFERROR(INDEX(始値!$E$6:$IT$305,MATCH(TEXT($B119,"0"),TEXT(銘柄管理!$B$6:$B$305,"0"),0),MATCH($AE119,始値!$E$3:$IT$3,0)),"")</f>
        <v/>
      </c>
      <c r="AJ119" s="905" t="str">
        <f>IF(OR($V119="",$F119="",$G119=""),"",$V119/($F119*$G119))</f>
        <v/>
      </c>
      <c r="AK119" s="629" t="str">
        <f>IF($V119="","",IF($V119&gt;0,"○勝",IF($V119&lt;0,"●負","△引分")))</f>
        <v/>
      </c>
    </row>
    <row r="120" spans="1:37" ht="35.4" customHeight="1">
      <c r="A120" s="619" t="str">
        <f>IF(B120="","",HYPERLINK("https://kabutan.jp/stock/?code="&amp;B120,"株探"))</f>
        <v/>
      </c>
      <c r="B120" s="630"/>
      <c r="C120" s="490"/>
      <c r="D120" s="623" t="str" cm="1">
        <f t="array" ref="D120">IF($B120="","",_xll.RssMarket($B120,"銘柄名称"))</f>
        <v/>
      </c>
      <c r="E120" s="716"/>
      <c r="F120" s="698" t="str" cm="1">
        <f t="array" aca="1" ref="F120" ca="1">IFERROR(_xlfn.LET(_xlpm.r,MATCH(TEXT($B120,"0"),TEXT(銘柄管理!$B$6:$B$305,"0"),0),_xlpm.t,MOD(NOW(),1),_xlpm.c,IF($E120=TODAY(),IF(_xlpm.t&gt;=TIME(15,30,0),NA(),1),IF(MATCH($E120,始値!$E$3:$IT$3,0)=1,1,MATCH($E120,始値!$E$3:$IT$3,0)+1)),_xlpm.v,INDEX(始値!$C$6:$IT$305,_xlpm.r,_xlpm.c),IF(N(_xlpm.v)=0,"",_xlpm.v)),"")</f>
        <v/>
      </c>
      <c r="G120" s="631"/>
      <c r="H120" s="491" t="str" cm="1">
        <f t="array" ref="H120">IF($B120="","",_xll.RssMarket($B120,"現在値"))</f>
        <v/>
      </c>
      <c r="I120" s="491" t="str" cm="1">
        <f t="array" ref="I120">IF($B120="","",_xll.RssMarket($B120,"出来高加重平均"))</f>
        <v/>
      </c>
      <c r="J120" s="701" t="str" cm="1">
        <f t="array" ref="J120">IF($B120="","",_xll.RssMarket($B120,"前日比"))</f>
        <v/>
      </c>
      <c r="K120" s="701" t="str">
        <f>IF(OR(F120="",G120="",H120=""),"",IF(C120="売",(F120-H120)*G120,(H120-F120)*G120))</f>
        <v/>
      </c>
      <c r="L120" s="706" t="str">
        <f>IF(OR(F120="",H120=""),"",IF(C120="売",(F120-H120)/F120,(H120-F120)/F120))</f>
        <v/>
      </c>
      <c r="M120" s="491" t="str">
        <f>IF($F120="","",$F120*IF($C120="売",1-V811設定!$B$4,1+V811設定!$B$4)-MOD($F120*IF($C120="売",1-V811設定!$B$4,1+V811設定!$B$4),IF($F120&lt;=3000,1,IF($F120&lt;=5000,5,IF($F120&lt;=30000,10,IF($F120&lt;=50000,50,IF($F120&lt;=300000,100,500))))))+IF(AND($C120="売",MOD($F120*IF($C120="売",1-V811設定!$B$4,1+V811設定!$B$4),IF($F120&lt;=3000,1,IF($F120&lt;=5000,5,IF($F120&lt;=30000,10,IF($F120&lt;=50000,50,IF($F120&lt;=300000,100,500))))))&gt;0),IF($F120&lt;=3000,1,IF($F120&lt;=5000,5,IF($F120&lt;=30000,10,IF($F120&lt;=50000,50,IF($F120&lt;=300000,100,500))))),0))</f>
      </c>
      <c r="N120" s="491" t="str">
        <f>IF($F120="","",$F120*IF($C120="売",1+V811設定!$B$3,1-V811設定!$B$3)-MOD($F120*IF($C120="売",1+V811設定!$B$3,1-V811設定!$B$3),IF($F120&lt;=3000,1,IF($F120&lt;=5000,5,IF($F120&lt;=30000,10,IF($F120&lt;=50000,50,IF($F120&lt;=300000,100,500))))))+IF(AND($C120="売",MOD($F120*IF($C120="売",1+V811設定!$B$3,1-V811設定!$B$3),IF($F120&lt;=3000,1,IF($F120&lt;=5000,5,IF($F120&lt;=30000,10,IF($F120&lt;=50000,50,IF($F120&lt;=300000,100,500))))))&gt;0),IF($F120&lt;=3000,1,IF($F120&lt;=5000,5,IF($F120&lt;=30000,10,IF($F120&lt;=50000,50,IF($F120&lt;=300000,100,500))))),0))</f>
      </c>
      <c r="O120" s="492" t="str">
        <f>IF(OR($B120="",$F120="",$H120=""),"",IF($S120="✅売却済","―決済済―",IF($C120="売",IF($H120&lt;=$M120,"🟢利確",IF(AND($R120&lt;&gt;"",$H120&gt;=$R120),"🟠TRAIL",IF($H120&gt;=$N120,"🔴損切",IF($W120&gt;=V811設定!$B$6,"⏱時間決済",IF($H120&gt;=$F120*(1+V811設定!$B$3*0.7),"⚠️損切接近","保持継続"))))),IF($H120&gt;=$M120,"🟢利確",IF(AND($R120&lt;&gt;"",$H120&lt;=$R120),"🟠TRAIL",IF($H120&lt;=$N120,"🔴損切",IF($W120&gt;=V811設定!$B$6,"⏱時間決済",IF($H120&lt;=$F120*(1-V811設定!$B$3*0.7),"⚠️損切接近","保持継続"))))))))</f>
      </c>
      <c r="P120" s="491"/>
      <c r="Q120" s="491"/>
      <c r="R120" s="491" t="str">
        <f>IF(OR($F120="",$H120="",$N120=""),"",IF($S120="✅売却済","",IF($C120="売",IF($H120&gt;$F120*(1-V811設定!$B$3),$N120,MIN($N120,IF($Q120="",$N120,$Q120*1.03))),IF($H120&lt;$F120*(1+V811設定!$B$3),$N120,MAX($N120,IF($P120="",$N120,$P120*0.97))))))</f>
      </c>
      <c r="S120" s="586" t="str">
        <f>IF(B120="","",IF(T120&lt;&gt;"","✅売却済",IF(OR(H120="",L120=""),"📌保有中",IF(L120&gt;=0.06,"🟢利確推奨",IF(L120&gt;=0.05,"🟡利確直近",IF(L120&gt;=0.045,"🔵トレーリング検討",IF(L120&gt;-0.03,"📌保有中",IF(L120&gt;-0.04,"⚠️損切注意","🔴損切り"))))))))</f>
        <v/>
      </c>
      <c r="T120" s="594"/>
      <c r="U120" s="491"/>
      <c r="V120" s="701" t="str">
        <f>IF(OR(F120="",G120="",U120=""),"",IF(C120="売",(F120-U120)*G120,(U120-F120)*G120))</f>
        <v/>
      </c>
      <c r="W120" s="493" t="str">
        <f>IF(OR($E120="",$B120=""),"",IF($T120&lt;&gt;"",$T120-$E120,TODAY()-$E120)+1)</f>
        <v/>
      </c>
      <c r="X120" s="489" t="str">
        <f>IF(OR($AH120="",$AH120="保有中"),"",$AH120)</f>
        <v/>
      </c>
      <c r="Y120" s="488"/>
      <c r="Z120" s="710"/>
      <c r="AD120" s="608"/>
      <c r="AE120" s="624" t="str">
        <f>IF($E120="","",WORKDAY($E120,12))</f>
        <v/>
      </c>
      <c r="AF120" s="626" t="str" cm="1">
        <f t="array" aca="1" ref="AF120" ca="1">IF(OR($B120="",$M120=""),"",IFERROR(IF($C120="売",_xlfn.MINIFS(安値!$E$3:$IT$3,安値!$E$3:$IT$3,"&gt;"&amp;$E120,安値!$E$3:$IT$3,"&lt;="&amp;$AE120,OFFSET(安値!$E$6:$IT$6,MATCH(TEXT($B120,"0"),TEXT(銘柄管理!$B$6:$B$305,"0"),0)-1,0),"&lt;="&amp;$M120),_xlfn.MINIFS(高値!$E$3:$IT$3,高値!$E$3:$IT$3,"&gt;"&amp;$E120,高値!$E$3:$IT$3,"&lt;="&amp;$AE120,OFFSET(高値!$E$6:$IT$6,MATCH(TEXT($B120,"0"),TEXT(銘柄管理!$B$6:$B$305,"0"),0)-1,0),"&gt;="&amp;$M120)),""))</f>
        <v/>
      </c>
      <c r="AG120" s="626" t="str" cm="1">
        <f t="array" aca="1" ref="AG120" ca="1">IF(OR($B120="",$N120=""),"",IFERROR(IF($C120="売",_xlfn.MINIFS(高値!$E$3:$IT$3,高値!$E$3:$IT$3,"&gt;"&amp;$E120,高値!$E$3:$IT$3,"&lt;="&amp;$AE120,OFFSET(高値!$E$6:$IT$6,MATCH(TEXT($B120,"0"),TEXT(銘柄管理!$B$6:$B$305,"0"),0)-1,0),"&gt;="&amp;$N120),_xlfn.MINIFS(安値!$E$3:$IT$3,安値!$E$3:$IT$3,"&gt;"&amp;$E120,安値!$E$3:$IT$3,"&lt;="&amp;$AE120,OFFSET(安値!$E$6:$IT$6,MATCH(TEXT($B120,"0"),TEXT(銘柄管理!$B$6:$B$305,"0"),0)-1,0),"&lt;="&amp;$N120)),""))</f>
        <v/>
      </c>
      <c r="AH120" s="600" t="str">
        <f>IF(OR($B120="",$M120=""),"",IF(AND(N($AF120)=0,N($AG120)=0),IF(AND(ISNUMBER($H120),$H120&gt;0,IF($C120="売",$H120&gt;=$N120,$H120&lt;=$N120)),"損切確定",IF(AND(ISNUMBER($H120),$H120&gt;0,IF($C120="売",$H120&lt;=$M120,$H120&gt;=$M120)),"利益確定",IF($AE120&lt;=TODAY(),"日数制限","保有中"))),IF(N($AG120)=0,"利益確定",IF(N($AF120)=0,"損切確定",IF($AG120&lt;=$AF120,"損切確定","利益確定")))))</f>
        <v/>
      </c>
      <c r="AI120" s="600" t="str" cm="1">
        <f t="array" ref="AI120">IFERROR(INDEX(始値!$E$6:$IT$305,MATCH(TEXT($B120,"0"),TEXT(銘柄管理!$B$6:$B$305,"0"),0),MATCH($AE120,始値!$E$3:$IT$3,0)),"")</f>
        <v/>
      </c>
      <c r="AJ120" s="905" t="str">
        <f>IF(OR($V120="",$F120="",$G120=""),"",$V120/($F120*$G120))</f>
        <v/>
      </c>
      <c r="AK120" s="629" t="str">
        <f>IF($V120="","",IF($V120&gt;0,"○勝",IF($V120&lt;0,"●負","△引分")))</f>
        <v/>
      </c>
    </row>
    <row r="121" spans="1:37" ht="35.4" customHeight="1">
      <c r="A121" s="619" t="str">
        <f>IF(B121="","",HYPERLINK("https://kabutan.jp/stock/?code="&amp;B121,"株探"))</f>
        <v/>
      </c>
      <c r="B121" s="489"/>
      <c r="C121" s="489"/>
      <c r="D121" s="489" t="str" cm="1">
        <f t="array" ref="D121">_xll.RssMarket(B121, "銘柄名称")</f>
        <v/>
      </c>
      <c r="E121" s="716"/>
      <c r="F121" s="698" t="str" cm="1">
        <f t="array" aca="1" ref="F121" ca="1">IFERROR(_xlfn.LET(_xlpm.r,MATCH(TEXT($B121,"0"),TEXT(銘柄管理!$B$6:$B$305,"0"),0),_xlpm.t,MOD(NOW(),1),_xlpm.c,IF($E121=TODAY(),IF(_xlpm.t&gt;=TIME(15,30,0),NA(),1),IF(MATCH($E121,始値!$E$3:$IT$3,0)=1,1,MATCH($E121,始値!$E$3:$IT$3,0)+1)),_xlpm.v,INDEX(始値!$C$6:$IT$305,_xlpm.r,_xlpm.c),IF(N(_xlpm.v)=0,"",_xlpm.v)),"")</f>
        <v/>
      </c>
      <c r="G121" s="489"/>
      <c r="H121" s="491" t="str" cm="1">
        <f t="array" ref="H121">_xll.RssMarket(B121, "現在値")</f>
        <v/>
      </c>
      <c r="I121" s="491" t="str" cm="1">
        <f t="array" ref="I121">_xll.RssMarket(B121, "出来高加重平均")</f>
        <v/>
      </c>
      <c r="J121" s="701" t="str" cm="1">
        <f t="array" ref="J121">_xll.RssMarket($B121, "前日比")</f>
        <v/>
      </c>
      <c r="K121" s="701" t="str">
        <f>IF(OR(F121="",G121="",H121=""),"",IF(C121="売",(F121-H121)*G121,(H121-F121)*G121))</f>
        <v/>
      </c>
      <c r="L121" s="706" t="str">
        <f>IF(OR(F121="",H121=""),"",IF(C121="売",(F121-H121)/F121,(H121-F121)/F121))</f>
        <v/>
      </c>
      <c r="M121" s="491" t="str">
        <f>IF($F121="","",$F121*IF($C121="売",1-V811設定!$B$4,1+V811設定!$B$4)-MOD($F121*IF($C121="売",1-V811設定!$B$4,1+V811設定!$B$4),IF($F121&lt;=3000,1,IF($F121&lt;=5000,5,IF($F121&lt;=30000,10,IF($F121&lt;=50000,50,IF($F121&lt;=300000,100,500))))))+IF(AND($C121="売",MOD($F121*IF($C121="売",1-V811設定!$B$4,1+V811設定!$B$4),IF($F121&lt;=3000,1,IF($F121&lt;=5000,5,IF($F121&lt;=30000,10,IF($F121&lt;=50000,50,IF($F121&lt;=300000,100,500))))))&gt;0),IF($F121&lt;=3000,1,IF($F121&lt;=5000,5,IF($F121&lt;=30000,10,IF($F121&lt;=50000,50,IF($F121&lt;=300000,100,500))))),0))</f>
      </c>
      <c r="N121" s="491" t="str">
        <f>IF($F121="","",$F121*IF($C121="売",1+V811設定!$B$3,1-V811設定!$B$3)-MOD($F121*IF($C121="売",1+V811設定!$B$3,1-V811設定!$B$3),IF($F121&lt;=3000,1,IF($F121&lt;=5000,5,IF($F121&lt;=30000,10,IF($F121&lt;=50000,50,IF($F121&lt;=300000,100,500))))))+IF(AND($C121="売",MOD($F121*IF($C121="売",1+V811設定!$B$3,1-V811設定!$B$3),IF($F121&lt;=3000,1,IF($F121&lt;=5000,5,IF($F121&lt;=30000,10,IF($F121&lt;=50000,50,IF($F121&lt;=300000,100,500))))))&gt;0),IF($F121&lt;=3000,1,IF($F121&lt;=5000,5,IF($F121&lt;=30000,10,IF($F121&lt;=50000,50,IF($F121&lt;=300000,100,500))))),0))</f>
      </c>
      <c r="O121" s="492" t="str">
        <f>IF(OR($B121="",$F121="",$H121=""),"",IF($S121="✅売却済","―決済済―",IF($C121="売",IF($H121&lt;=$M121,"🟢利確",IF(AND($R121&lt;&gt;"",$H121&gt;=$R121),"🟠TRAIL",IF($H121&gt;=$N121,"🔴損切",IF($W121&gt;=V811設定!$B$6,"⏱時間決済",IF($H121&gt;=$F121*(1+V811設定!$B$3*0.7),"⚠️損切接近","保持継続"))))),IF($H121&gt;=$M121,"🟢利確",IF(AND($R121&lt;&gt;"",$H121&lt;=$R121),"🟠TRAIL",IF($H121&lt;=$N121,"🔴損切",IF($W121&gt;=V811設定!$B$6,"⏱時間決済",IF($H121&lt;=$F121*(1-V811設定!$B$3*0.7),"⚠️損切接近","保持継続"))))))))</f>
      </c>
      <c r="P121" s="491"/>
      <c r="Q121" s="491"/>
      <c r="R121" s="491" t="str">
        <f>IF(OR($F121="",$H121="",$N121=""),"",IF($S121="✅売却済","",IF($C121="売",IF($H121&gt;$F121*(1-V811設定!$B$3),$N121,MIN($N121,IF($Q121="",$N121,$Q121*1.03))),IF($H121&lt;$F121*(1+V811設定!$B$3),$N121,MAX($N121,IF($P121="",$N121,$P121*0.97))))))</f>
      </c>
      <c r="S121" s="586" t="str">
        <f>IF(B121="","",IF(T121&lt;&gt;"","✅売却済",IF(OR(H121="",L121=""),"📌保有中",IF(L121&gt;=0.06,"🟢利確推奨",IF(L121&gt;=0.05,"🟡利確直近",IF(L121&gt;=0.045,"🔵トレーリング検討",IF(L121&gt;-0.03,"📌保有中",IF(L121&gt;-0.04,"⚠️損切注意","🔴損切り"))))))))</f>
        <v/>
      </c>
      <c r="T121" s="594"/>
      <c r="U121" s="491"/>
      <c r="V121" s="701" t="str">
        <f>IF(OR(F121="",G121="",U121=""),"",IF(C121="売",(F121-U121)*G121,(U121-F121)*G121))</f>
        <v/>
      </c>
      <c r="W121" s="493" t="str">
        <f>IF(OR($E121="",$B121=""),"",IF($T121&lt;&gt;"",$T121-$E121,TODAY()-$E121)+1)</f>
        <v/>
      </c>
      <c r="X121" s="489" t="str">
        <f>IF(OR($AH121="",$AH121="保有中"),"",$AH121)</f>
        <v/>
      </c>
      <c r="Y121" s="488"/>
      <c r="Z121" s="710"/>
      <c r="AD121" s="608"/>
      <c r="AE121" s="600" t="str">
        <f>IF($E121="","",WORKDAY($E121,12))</f>
        <v/>
      </c>
      <c r="AF121" s="600" t="str" cm="1">
        <f t="array" aca="1" ref="AF121" ca="1">IF(OR($B121="",$M121=""),"",IFERROR(IF($C121="売",_xlfn.MINIFS(安値!$E$3:$IT$3,安値!$E$3:$IT$3,"&gt;"&amp;$E121,安値!$E$3:$IT$3,"&lt;="&amp;$AE121,OFFSET(安値!$E$6:$IT$6,MATCH(TEXT($B121,"0"),TEXT(銘柄管理!$B$6:$B$305,"0"),0)-1,0),"&lt;="&amp;$M121),_xlfn.MINIFS(高値!$E$3:$IT$3,高値!$E$3:$IT$3,"&gt;"&amp;$E121,高値!$E$3:$IT$3,"&lt;="&amp;$AE121,OFFSET(高値!$E$6:$IT$6,MATCH(TEXT($B121,"0"),TEXT(銘柄管理!$B$6:$B$305,"0"),0)-1,0),"&gt;="&amp;$M121)),""))</f>
        <v/>
      </c>
      <c r="AG121" s="600" t="str" cm="1">
        <f t="array" aca="1" ref="AG121" ca="1">IF(OR($B121="",$N121=""),"",IFERROR(IF($C121="売",_xlfn.MINIFS(高値!$E$3:$IT$3,高値!$E$3:$IT$3,"&gt;"&amp;$E121,高値!$E$3:$IT$3,"&lt;="&amp;$AE121,OFFSET(高値!$E$6:$IT$6,MATCH(TEXT($B121,"0"),TEXT(銘柄管理!$B$6:$B$305,"0"),0)-1,0),"&gt;="&amp;$N121),_xlfn.MINIFS(安値!$E$3:$IT$3,安値!$E$3:$IT$3,"&gt;"&amp;$E121,安値!$E$3:$IT$3,"&lt;="&amp;$AE121,OFFSET(安値!$E$6:$IT$6,MATCH(TEXT($B121,"0"),TEXT(銘柄管理!$B$6:$B$305,"0"),0)-1,0),"&lt;="&amp;$N121)),""))</f>
        <v/>
      </c>
      <c r="AH121" s="600" t="str">
        <f>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00" t="str" cm="1">
        <f t="array" ref="AI121">IFERROR(INDEX(始値!$E$6:$IT$305,MATCH(TEXT($B121,"0"),TEXT(銘柄管理!$B$6:$B$305,"0"),0),MATCH($AE121,始値!$E$3:$IT$3,0)),"")</f>
        <v/>
      </c>
      <c r="AJ121" s="608" t="str">
        <f>IF(OR($V121="",$F121="",$G121=""),"",$V121/($F121*$G121))</f>
        <v/>
      </c>
      <c r="AK121" s="600" t="str">
        <f>IF($V121="","",IF($V121&gt;0,"○勝",IF($V121&lt;0,"●負","△引分")))</f>
        <v/>
      </c>
    </row>
    <row r="122" spans="1:37" ht="35.4" customHeight="1">
      <c r="A122" s="619" t="str">
        <f>IF(B122="","",HYPERLINK("https://kabutan.jp/stock/?code="&amp;B122,"株探"))</f>
        <v/>
      </c>
      <c r="B122" s="489"/>
      <c r="C122" s="489"/>
      <c r="D122" s="489" t="str" cm="1">
        <f t="array" ref="D122">_xll.RssMarket(B122, "銘柄名称")</f>
        <v/>
      </c>
      <c r="E122" s="716"/>
      <c r="F122" s="698" t="str" cm="1">
        <f t="array" aca="1" ref="F122" ca="1">IFERROR(_xlfn.LET(_xlpm.r,MATCH(TEXT($B122,"0"),TEXT(銘柄管理!$B$6:$B$305,"0"),0),_xlpm.t,MOD(NOW(),1),_xlpm.c,IF($E122=TODAY(),IF(_xlpm.t&gt;=TIME(15,30,0),NA(),1),IF(MATCH($E122,始値!$E$3:$IT$3,0)=1,1,MATCH($E122,始値!$E$3:$IT$3,0)+1)),_xlpm.v,INDEX(始値!$C$6:$IT$305,_xlpm.r,_xlpm.c),IF(N(_xlpm.v)=0,"",_xlpm.v)),"")</f>
        <v/>
      </c>
      <c r="G122" s="489"/>
      <c r="H122" s="491" t="str" cm="1">
        <f t="array" ref="H122">_xll.RssMarket(B122, "現在値")</f>
        <v/>
      </c>
      <c r="I122" s="491" t="str" cm="1">
        <f t="array" ref="I122">_xll.RssMarket(B122, "出来高加重平均")</f>
        <v/>
      </c>
      <c r="J122" s="701" t="str" cm="1">
        <f t="array" ref="J122">_xll.RssMarket($B122, "前日比")</f>
        <v/>
      </c>
      <c r="K122" s="701" t="str">
        <f>IF(OR(F122="",G122="",H122=""),"",IF(C122="売",(F122-H122)*G122,(H122-F122)*G122))</f>
        <v/>
      </c>
      <c r="L122" s="706" t="str">
        <f>IF(OR(F122="",H122=""),"",IF(C122="売",(F122-H122)/F122,(H122-F122)/F122))</f>
        <v/>
      </c>
      <c r="M122" s="491" t="str">
        <f>IF($F122="","",$F122*IF($C122="売",1-V811設定!$B$4,1+V811設定!$B$4)-MOD($F122*IF($C122="売",1-V811設定!$B$4,1+V811設定!$B$4),IF($F122&lt;=3000,1,IF($F122&lt;=5000,5,IF($F122&lt;=30000,10,IF($F122&lt;=50000,50,IF($F122&lt;=300000,100,500))))))+IF(AND($C122="売",MOD($F122*IF($C122="売",1-V811設定!$B$4,1+V811設定!$B$4),IF($F122&lt;=3000,1,IF($F122&lt;=5000,5,IF($F122&lt;=30000,10,IF($F122&lt;=50000,50,IF($F122&lt;=300000,100,500))))))&gt;0),IF($F122&lt;=3000,1,IF($F122&lt;=5000,5,IF($F122&lt;=30000,10,IF($F122&lt;=50000,50,IF($F122&lt;=300000,100,500))))),0))</f>
      </c>
      <c r="N122" s="491" t="str">
        <f>IF($F122="","",$F122*IF($C122="売",1+V811設定!$B$3,1-V811設定!$B$3)-MOD($F122*IF($C122="売",1+V811設定!$B$3,1-V811設定!$B$3),IF($F122&lt;=3000,1,IF($F122&lt;=5000,5,IF($F122&lt;=30000,10,IF($F122&lt;=50000,50,IF($F122&lt;=300000,100,500))))))+IF(AND($C122="売",MOD($F122*IF($C122="売",1+V811設定!$B$3,1-V811設定!$B$3),IF($F122&lt;=3000,1,IF($F122&lt;=5000,5,IF($F122&lt;=30000,10,IF($F122&lt;=50000,50,IF($F122&lt;=300000,100,500))))))&gt;0),IF($F122&lt;=3000,1,IF($F122&lt;=5000,5,IF($F122&lt;=30000,10,IF($F122&lt;=50000,50,IF($F122&lt;=300000,100,500))))),0))</f>
      </c>
      <c r="O122" s="492" t="str">
        <f>IF(OR($B122="",$F122="",$H122=""),"",IF($S122="✅売却済","―決済済―",IF($C122="売",IF($H122&lt;=$M122,"🟢利確",IF(AND($R122&lt;&gt;"",$H122&gt;=$R122),"🟠TRAIL",IF($H122&gt;=$N122,"🔴損切",IF($W122&gt;=V811設定!$B$6,"⏱時間決済",IF($H122&gt;=$F122*(1+V811設定!$B$3*0.7),"⚠️損切接近","保持継続"))))),IF($H122&gt;=$M122,"🟢利確",IF(AND($R122&lt;&gt;"",$H122&lt;=$R122),"🟠TRAIL",IF($H122&lt;=$N122,"🔴損切",IF($W122&gt;=V811設定!$B$6,"⏱時間決済",IF($H122&lt;=$F122*(1-V811設定!$B$3*0.7),"⚠️損切接近","保持継続"))))))))</f>
      </c>
      <c r="P122" s="491"/>
      <c r="Q122" s="491"/>
      <c r="R122" s="491" t="str">
        <f>IF(OR($F122="",$H122="",$N122=""),"",IF($S122="✅売却済","",IF($C122="売",IF($H122&gt;$F122*(1-V811設定!$B$3),$N122,MIN($N122,IF($Q122="",$N122,$Q122*1.03))),IF($H122&lt;$F122*(1+V811設定!$B$3),$N122,MAX($N122,IF($P122="",$N122,$P122*0.97))))))</f>
      </c>
      <c r="S122" s="586" t="str">
        <f>IF(B122="","",IF(T122&lt;&gt;"","✅売却済",IF(OR(H122="",L122=""),"📌保有中",IF(L122&gt;=0.06,"🟢利確推奨",IF(L122&gt;=0.05,"🟡利確直近",IF(L122&gt;=0.045,"🔵トレーリング検討",IF(L122&gt;-0.03,"📌保有中",IF(L122&gt;-0.04,"⚠️損切注意","🔴損切り"))))))))</f>
        <v/>
      </c>
      <c r="T122" s="594"/>
      <c r="U122" s="491"/>
      <c r="V122" s="701" t="str">
        <f>IF(OR(F122="",G122="",U122=""),"",IF(C122="売",(F122-U122)*G122,(U122-F122)*G122))</f>
        <v/>
      </c>
      <c r="W122" s="493" t="str">
        <f>IF(OR($E122="",$B122=""),"",IF($T122&lt;&gt;"",$T122-$E122,TODAY()-$E122)+1)</f>
        <v/>
      </c>
      <c r="X122" s="489" t="str">
        <f>IF(OR($AH122="",$AH122="保有中"),"",$AH122)</f>
        <v/>
      </c>
      <c r="Y122" s="488"/>
      <c r="Z122" s="710"/>
      <c r="AD122" s="608"/>
      <c r="AE122" s="600" t="str">
        <f>IF($E122="","",WORKDAY($E122,12))</f>
        <v/>
      </c>
      <c r="AF122" s="600" t="str" cm="1">
        <f t="array" aca="1" ref="AF122" ca="1">IF(OR($B122="",$M122=""),"",IFERROR(IF($C122="売",_xlfn.MINIFS(安値!$E$3:$IT$3,安値!$E$3:$IT$3,"&gt;"&amp;$E122,安値!$E$3:$IT$3,"&lt;="&amp;$AE122,OFFSET(安値!$E$6:$IT$6,MATCH(TEXT($B122,"0"),TEXT(銘柄管理!$B$6:$B$305,"0"),0)-1,0),"&lt;="&amp;$M122),_xlfn.MINIFS(高値!$E$3:$IT$3,高値!$E$3:$IT$3,"&gt;"&amp;$E122,高値!$E$3:$IT$3,"&lt;="&amp;$AE122,OFFSET(高値!$E$6:$IT$6,MATCH(TEXT($B122,"0"),TEXT(銘柄管理!$B$6:$B$305,"0"),0)-1,0),"&gt;="&amp;$M122)),""))</f>
        <v/>
      </c>
      <c r="AG122" s="600" t="str" cm="1">
        <f t="array" aca="1" ref="AG122" ca="1">IF(OR($B122="",$N122=""),"",IFERROR(IF($C122="売",_xlfn.MINIFS(高値!$E$3:$IT$3,高値!$E$3:$IT$3,"&gt;"&amp;$E122,高値!$E$3:$IT$3,"&lt;="&amp;$AE122,OFFSET(高値!$E$6:$IT$6,MATCH(TEXT($B122,"0"),TEXT(銘柄管理!$B$6:$B$305,"0"),0)-1,0),"&gt;="&amp;$N122),_xlfn.MINIFS(安値!$E$3:$IT$3,安値!$E$3:$IT$3,"&gt;"&amp;$E122,安値!$E$3:$IT$3,"&lt;="&amp;$AE122,OFFSET(安値!$E$6:$IT$6,MATCH(TEXT($B122,"0"),TEXT(銘柄管理!$B$6:$B$305,"0"),0)-1,0),"&lt;="&amp;$N122)),""))</f>
        <v/>
      </c>
      <c r="AH122" s="600" t="str">
        <f>IF(OR($B122="",$M122=""),"",IF(AND(N($AF122)=0,N($AG122)=0),IF(AND(ISNUMBER($H122),$H122&gt;0,IF($C122="売",$H122&gt;=$N122,$H122&lt;=$N122)),"損切確定",IF(AND(ISNUMBER($H122),$H122&gt;0,IF($C122="売",$H122&lt;=$M122,$H122&gt;=$M122)),"利益確定",IF($AE122&lt;=TODAY(),"日数制限","保有中"))),IF(N($AG122)=0,"利益確定",IF(N($AF122)=0,"損切確定",IF($AG122&lt;=$AF122,"損切確定","利益確定")))))</f>
        <v/>
      </c>
      <c r="AI122" s="600" t="str" cm="1">
        <f t="array" ref="AI122">IFERROR(INDEX(始値!$E$6:$IT$305,MATCH(TEXT($B122,"0"),TEXT(銘柄管理!$B$6:$B$305,"0"),0),MATCH($AE122,始値!$E$3:$IT$3,0)),"")</f>
        <v/>
      </c>
      <c r="AJ122" s="608" t="str">
        <f>IF(OR($V122="",$F122="",$G122=""),"",$V122/($F122*$G122))</f>
        <v/>
      </c>
      <c r="AK122" s="600" t="str">
        <f>IF($V122="","",IF($V122&gt;0,"○勝",IF($V122&lt;0,"●負","△引分")))</f>
        <v/>
      </c>
    </row>
    <row r="123" spans="1:37" ht="35.4" customHeight="1">
      <c r="A123" s="619" t="str">
        <f>IF(B123="","",HYPERLINK("https://kabutan.jp/stock/?code="&amp;B123,"株探"))</f>
        <v/>
      </c>
      <c r="B123" s="489"/>
      <c r="C123" s="489"/>
      <c r="D123" s="489" t="str" cm="1">
        <f t="array" ref="D123">_xll.RssMarket(B123, "銘柄名称")</f>
        <v/>
      </c>
      <c r="E123" s="716"/>
      <c r="F123" s="698" t="str" cm="1">
        <f t="array" aca="1" ref="F123" ca="1">IFERROR(_xlfn.LET(_xlpm.r,MATCH(TEXT($B123,"0"),TEXT(銘柄管理!$B$6:$B$305,"0"),0),_xlpm.t,MOD(NOW(),1),_xlpm.c,IF($E123=TODAY(),IF(_xlpm.t&gt;=TIME(15,30,0),NA(),1),IF(MATCH($E123,始値!$E$3:$IT$3,0)=1,1,MATCH($E123,始値!$E$3:$IT$3,0)+1)),_xlpm.v,INDEX(始値!$C$6:$IT$305,_xlpm.r,_xlpm.c),IF(N(_xlpm.v)=0,"",_xlpm.v)),"")</f>
        <v/>
      </c>
      <c r="G123" s="489"/>
      <c r="H123" s="491" t="str" cm="1">
        <f t="array" ref="H123">_xll.RssMarket(B123, "現在値")</f>
        <v/>
      </c>
      <c r="I123" s="491" t="str" cm="1">
        <f t="array" ref="I123">_xll.RssMarket(B123, "出来高加重平均")</f>
        <v/>
      </c>
      <c r="J123" s="701" t="str" cm="1">
        <f t="array" ref="J123">_xll.RssMarket($B123, "前日比")</f>
        <v/>
      </c>
      <c r="K123" s="701" t="str">
        <f>IF(OR(F123="",G123="",H123=""),"",IF(C123="売",(F123-H123)*G123,(H123-F123)*G123))</f>
        <v/>
      </c>
      <c r="L123" s="706" t="str">
        <f>IF(OR(F123="",H123=""),"",IF(C123="売",(F123-H123)/F123,(H123-F123)/F123))</f>
        <v/>
      </c>
      <c r="M123" s="491" t="str">
        <f>IF($F123="","",$F123*IF($C123="売",1-V811設定!$B$4,1+V811設定!$B$4)-MOD($F123*IF($C123="売",1-V811設定!$B$4,1+V811設定!$B$4),IF($F123&lt;=3000,1,IF($F123&lt;=5000,5,IF($F123&lt;=30000,10,IF($F123&lt;=50000,50,IF($F123&lt;=300000,100,500))))))+IF(AND($C123="売",MOD($F123*IF($C123="売",1-V811設定!$B$4,1+V811設定!$B$4),IF($F123&lt;=3000,1,IF($F123&lt;=5000,5,IF($F123&lt;=30000,10,IF($F123&lt;=50000,50,IF($F123&lt;=300000,100,500))))))&gt;0),IF($F123&lt;=3000,1,IF($F123&lt;=5000,5,IF($F123&lt;=30000,10,IF($F123&lt;=50000,50,IF($F123&lt;=300000,100,500))))),0))</f>
      </c>
      <c r="N123" s="491" t="str">
        <f>IF($F123="","",$F123*IF($C123="売",1+V811設定!$B$3,1-V811設定!$B$3)-MOD($F123*IF($C123="売",1+V811設定!$B$3,1-V811設定!$B$3),IF($F123&lt;=3000,1,IF($F123&lt;=5000,5,IF($F123&lt;=30000,10,IF($F123&lt;=50000,50,IF($F123&lt;=300000,100,500))))))+IF(AND($C123="売",MOD($F123*IF($C123="売",1+V811設定!$B$3,1-V811設定!$B$3),IF($F123&lt;=3000,1,IF($F123&lt;=5000,5,IF($F123&lt;=30000,10,IF($F123&lt;=50000,50,IF($F123&lt;=300000,100,500))))))&gt;0),IF($F123&lt;=3000,1,IF($F123&lt;=5000,5,IF($F123&lt;=30000,10,IF($F123&lt;=50000,50,IF($F123&lt;=300000,100,500))))),0))</f>
      </c>
      <c r="O123" s="492" t="str">
        <f>IF(OR($B123="",$F123="",$H123=""),"",IF($S123="✅売却済","―決済済―",IF($C123="売",IF($H123&lt;=$M123,"🟢利確",IF(AND($R123&lt;&gt;"",$H123&gt;=$R123),"🟠TRAIL",IF($H123&gt;=$N123,"🔴損切",IF($W123&gt;=V811設定!$B$6,"⏱時間決済",IF($H123&gt;=$F123*(1+V811設定!$B$3*0.7),"⚠️損切接近","保持継続"))))),IF($H123&gt;=$M123,"🟢利確",IF(AND($R123&lt;&gt;"",$H123&lt;=$R123),"🟠TRAIL",IF($H123&lt;=$N123,"🔴損切",IF($W123&gt;=V811設定!$B$6,"⏱時間決済",IF($H123&lt;=$F123*(1-V811設定!$B$3*0.7),"⚠️損切接近","保持継続"))))))))</f>
      </c>
      <c r="P123" s="491"/>
      <c r="Q123" s="491"/>
      <c r="R123" s="491" t="str">
        <f>IF(OR($F123="",$H123="",$N123=""),"",IF($S123="✅売却済","",IF($C123="売",IF($H123&gt;$F123*(1-V811設定!$B$3),$N123,MIN($N123,IF($Q123="",$N123,$Q123*1.03))),IF($H123&lt;$F123*(1+V811設定!$B$3),$N123,MAX($N123,IF($P123="",$N123,$P123*0.97))))))</f>
      </c>
      <c r="S123" s="586" t="str">
        <f>IF(B123="","",IF(T123&lt;&gt;"","✅売却済",IF(OR(H123="",L123=""),"📌保有中",IF(L123&gt;=0.06,"🟢利確推奨",IF(L123&gt;=0.05,"🟡利確直近",IF(L123&gt;=0.045,"🔵トレーリング検討",IF(L123&gt;-0.03,"📌保有中",IF(L123&gt;-0.04,"⚠️損切注意","🔴損切り"))))))))</f>
        <v/>
      </c>
      <c r="T123" s="594"/>
      <c r="U123" s="491"/>
      <c r="V123" s="701" t="str">
        <f>IF(OR(F123="",G123="",U123=""),"",IF(C123="売",(F123-U123)*G123,(U123-F123)*G123))</f>
        <v/>
      </c>
      <c r="W123" s="493" t="str">
        <f>IF(OR($E123="",$B123=""),"",IF($T123&lt;&gt;"",$T123-$E123,TODAY()-$E123)+1)</f>
        <v/>
      </c>
      <c r="X123" s="489" t="str">
        <f>IF(OR($AH123="",$AH123="保有中"),"",$AH123)</f>
        <v/>
      </c>
      <c r="Y123" s="488"/>
      <c r="Z123" s="710"/>
      <c r="AD123" s="608"/>
      <c r="AE123" s="600" t="str">
        <f>IF($E123="","",WORKDAY($E123,12))</f>
        <v/>
      </c>
      <c r="AF123" s="600" t="str" cm="1">
        <f t="array" aca="1" ref="AF123" ca="1">IF(OR($B123="",$M123=""),"",IFERROR(IF($C123="売",_xlfn.MINIFS(安値!$E$3:$IT$3,安値!$E$3:$IT$3,"&gt;"&amp;$E123,安値!$E$3:$IT$3,"&lt;="&amp;$AE123,OFFSET(安値!$E$6:$IT$6,MATCH(TEXT($B123,"0"),TEXT(銘柄管理!$B$6:$B$305,"0"),0)-1,0),"&lt;="&amp;$M123),_xlfn.MINIFS(高値!$E$3:$IT$3,高値!$E$3:$IT$3,"&gt;"&amp;$E123,高値!$E$3:$IT$3,"&lt;="&amp;$AE123,OFFSET(高値!$E$6:$IT$6,MATCH(TEXT($B123,"0"),TEXT(銘柄管理!$B$6:$B$305,"0"),0)-1,0),"&gt;="&amp;$M123)),""))</f>
        <v/>
      </c>
      <c r="AG123" s="600" t="str" cm="1">
        <f t="array" aca="1" ref="AG123" ca="1">IF(OR($B123="",$N123=""),"",IFERROR(IF($C123="売",_xlfn.MINIFS(高値!$E$3:$IT$3,高値!$E$3:$IT$3,"&gt;"&amp;$E123,高値!$E$3:$IT$3,"&lt;="&amp;$AE123,OFFSET(高値!$E$6:$IT$6,MATCH(TEXT($B123,"0"),TEXT(銘柄管理!$B$6:$B$305,"0"),0)-1,0),"&gt;="&amp;$N123),_xlfn.MINIFS(安値!$E$3:$IT$3,安値!$E$3:$IT$3,"&gt;"&amp;$E123,安値!$E$3:$IT$3,"&lt;="&amp;$AE123,OFFSET(安値!$E$6:$IT$6,MATCH(TEXT($B123,"0"),TEXT(銘柄管理!$B$6:$B$305,"0"),0)-1,0),"&lt;="&amp;$N123)),""))</f>
        <v/>
      </c>
      <c r="AH123" s="600" t="str">
        <f>IF(OR($B123="",$M123=""),"",IF(AND(N($AF123)=0,N($AG123)=0),IF(AND(ISNUMBER($H123),$H123&gt;0,IF($C123="売",$H123&gt;=$N123,$H123&lt;=$N123)),"損切確定",IF(AND(ISNUMBER($H123),$H123&gt;0,IF($C123="売",$H123&lt;=$M123,$H123&gt;=$M123)),"利益確定",IF($AE123&lt;=TODAY(),"日数制限","保有中"))),IF(N($AG123)=0,"利益確定",IF(N($AF123)=0,"損切確定",IF($AG123&lt;=$AF123,"損切確定","利益確定")))))</f>
        <v/>
      </c>
      <c r="AI123" s="600" t="str" cm="1">
        <f t="array" ref="AI123">IFERROR(INDEX(始値!$E$6:$IT$305,MATCH(TEXT($B123,"0"),TEXT(銘柄管理!$B$6:$B$305,"0"),0),MATCH($AE123,始値!$E$3:$IT$3,0)),"")</f>
        <v/>
      </c>
      <c r="AJ123" s="608" t="str">
        <f>IF(OR($V123="",$F123="",$G123=""),"",$V123/($F123*$G123))</f>
        <v/>
      </c>
      <c r="AK123" s="600" t="str">
        <f>IF($V123="","",IF($V123&gt;0,"○勝",IF($V123&lt;0,"●負","△引分")))</f>
        <v/>
      </c>
    </row>
    <row r="124" spans="1:37" ht="35.4" customHeight="1">
      <c r="A124" s="619" t="str">
        <f>IF(B124="","",HYPERLINK("https://kabutan.jp/stock/?code="&amp;B124,"株探"))</f>
        <v/>
      </c>
      <c r="B124" s="489"/>
      <c r="C124" s="489"/>
      <c r="D124" s="489" t="str" cm="1">
        <f t="array" ref="D124">_xll.RssMarket(B124, "銘柄名称")</f>
        <v/>
      </c>
      <c r="E124" s="716"/>
      <c r="F124" s="698" t="str" cm="1">
        <f t="array" aca="1" ref="F124" ca="1">IFERROR(_xlfn.LET(_xlpm.r,MATCH(TEXT($B124,"0"),TEXT(銘柄管理!$B$6:$B$305,"0"),0),_xlpm.t,MOD(NOW(),1),_xlpm.c,IF($E124=TODAY(),IF(_xlpm.t&gt;=TIME(15,30,0),NA(),1),IF(MATCH($E124,始値!$E$3:$IT$3,0)=1,1,MATCH($E124,始値!$E$3:$IT$3,0)+1)),_xlpm.v,INDEX(始値!$C$6:$IT$305,_xlpm.r,_xlpm.c),IF(N(_xlpm.v)=0,"",_xlpm.v)),"")</f>
        <v/>
      </c>
      <c r="G124" s="489"/>
      <c r="H124" s="491" t="str" cm="1">
        <f t="array" ref="H124">_xll.RssMarket(B124, "現在値")</f>
        <v/>
      </c>
      <c r="I124" s="491" t="str" cm="1">
        <f t="array" ref="I124">_xll.RssMarket(B124, "出来高加重平均")</f>
        <v/>
      </c>
      <c r="J124" s="701" t="str" cm="1">
        <f t="array" ref="J124">_xll.RssMarket($B124, "前日比")</f>
        <v/>
      </c>
      <c r="K124" s="701" t="str">
        <f>IF(OR(F124="",G124="",H124=""),"",IF(C124="売",(F124-H124)*G124,(H124-F124)*G124))</f>
        <v/>
      </c>
      <c r="L124" s="706" t="str">
        <f>IF(OR(F124="",H124=""),"",IF(C124="売",(F124-H124)/F124,(H124-F124)/F124))</f>
        <v/>
      </c>
      <c r="M124" s="491" t="str">
        <f>IF($F124="","",$F124*IF($C124="売",1-V811設定!$B$4,1+V811設定!$B$4)-MOD($F124*IF($C124="売",1-V811設定!$B$4,1+V811設定!$B$4),IF($F124&lt;=3000,1,IF($F124&lt;=5000,5,IF($F124&lt;=30000,10,IF($F124&lt;=50000,50,IF($F124&lt;=300000,100,500))))))+IF(AND($C124="売",MOD($F124*IF($C124="売",1-V811設定!$B$4,1+V811設定!$B$4),IF($F124&lt;=3000,1,IF($F124&lt;=5000,5,IF($F124&lt;=30000,10,IF($F124&lt;=50000,50,IF($F124&lt;=300000,100,500))))))&gt;0),IF($F124&lt;=3000,1,IF($F124&lt;=5000,5,IF($F124&lt;=30000,10,IF($F124&lt;=50000,50,IF($F124&lt;=300000,100,500))))),0))</f>
      </c>
      <c r="N124" s="491" t="str">
        <f>IF($F124="","",$F124*IF($C124="売",1+V811設定!$B$3,1-V811設定!$B$3)-MOD($F124*IF($C124="売",1+V811設定!$B$3,1-V811設定!$B$3),IF($F124&lt;=3000,1,IF($F124&lt;=5000,5,IF($F124&lt;=30000,10,IF($F124&lt;=50000,50,IF($F124&lt;=300000,100,500))))))+IF(AND($C124="売",MOD($F124*IF($C124="売",1+V811設定!$B$3,1-V811設定!$B$3),IF($F124&lt;=3000,1,IF($F124&lt;=5000,5,IF($F124&lt;=30000,10,IF($F124&lt;=50000,50,IF($F124&lt;=300000,100,500))))))&gt;0),IF($F124&lt;=3000,1,IF($F124&lt;=5000,5,IF($F124&lt;=30000,10,IF($F124&lt;=50000,50,IF($F124&lt;=300000,100,500))))),0))</f>
      </c>
      <c r="O124" s="492" t="str">
        <f>IF(OR($B124="",$F124="",$H124=""),"",IF($S124="✅売却済","―決済済―",IF($C124="売",IF($H124&lt;=$M124,"🟢利確",IF(AND($R124&lt;&gt;"",$H124&gt;=$R124),"🟠TRAIL",IF($H124&gt;=$N124,"🔴損切",IF($W124&gt;=V811設定!$B$6,"⏱時間決済",IF($H124&gt;=$F124*(1+V811設定!$B$3*0.7),"⚠️損切接近","保持継続"))))),IF($H124&gt;=$M124,"🟢利確",IF(AND($R124&lt;&gt;"",$H124&lt;=$R124),"🟠TRAIL",IF($H124&lt;=$N124,"🔴損切",IF($W124&gt;=V811設定!$B$6,"⏱時間決済",IF($H124&lt;=$F124*(1-V811設定!$B$3*0.7),"⚠️損切接近","保持継続"))))))))</f>
      </c>
      <c r="P124" s="491"/>
      <c r="Q124" s="491"/>
      <c r="R124" s="491" t="str">
        <f>IF(OR($F124="",$H124="",$N124=""),"",IF($S124="✅売却済","",IF($C124="売",IF($H124&gt;$F124*(1-V811設定!$B$3),$N124,MIN($N124,IF($Q124="",$N124,$Q124*1.03))),IF($H124&lt;$F124*(1+V811設定!$B$3),$N124,MAX($N124,IF($P124="",$N124,$P124*0.97))))))</f>
      </c>
      <c r="S124" s="586" t="str">
        <f>IF(B124="","",IF(T124&lt;&gt;"","✅売却済",IF(OR(H124="",L124=""),"📌保有中",IF(L124&gt;=0.06,"🟢利確推奨",IF(L124&gt;=0.05,"🟡利確直近",IF(L124&gt;=0.045,"🔵トレーリング検討",IF(L124&gt;-0.03,"📌保有中",IF(L124&gt;-0.04,"⚠️損切注意","🔴損切り"))))))))</f>
        <v/>
      </c>
      <c r="T124" s="594"/>
      <c r="U124" s="491"/>
      <c r="V124" s="701" t="str">
        <f>IF(OR(F124="",G124="",U124=""),"",IF(C124="売",(F124-U124)*G124,(U124-F124)*G124))</f>
        <v/>
      </c>
      <c r="W124" s="493" t="str">
        <f>IF(OR($E124="",$B124=""),"",IF($T124&lt;&gt;"",$T124-$E124,TODAY()-$E124)+1)</f>
        <v/>
      </c>
      <c r="X124" s="489" t="str">
        <f>IF(OR($AH124="",$AH124="保有中"),"",$AH124)</f>
        <v/>
      </c>
      <c r="Y124" s="488"/>
      <c r="Z124" s="710"/>
      <c r="AD124" s="608"/>
      <c r="AE124" s="600" t="str">
        <f>IF($E124="","",WORKDAY($E124,12))</f>
        <v/>
      </c>
      <c r="AF124" s="600" t="str" cm="1">
        <f t="array" aca="1" ref="AF124" ca="1">IF(OR($B124="",$M124=""),"",IFERROR(IF($C124="売",_xlfn.MINIFS(安値!$E$3:$IT$3,安値!$E$3:$IT$3,"&gt;"&amp;$E124,安値!$E$3:$IT$3,"&lt;="&amp;$AE124,OFFSET(安値!$E$6:$IT$6,MATCH(TEXT($B124,"0"),TEXT(銘柄管理!$B$6:$B$305,"0"),0)-1,0),"&lt;="&amp;$M124),_xlfn.MINIFS(高値!$E$3:$IT$3,高値!$E$3:$IT$3,"&gt;"&amp;$E124,高値!$E$3:$IT$3,"&lt;="&amp;$AE124,OFFSET(高値!$E$6:$IT$6,MATCH(TEXT($B124,"0"),TEXT(銘柄管理!$B$6:$B$305,"0"),0)-1,0),"&gt;="&amp;$M124)),""))</f>
        <v/>
      </c>
      <c r="AG124" s="600" t="str" cm="1">
        <f t="array" aca="1" ref="AG124" ca="1">IF(OR($B124="",$N124=""),"",IFERROR(IF($C124="売",_xlfn.MINIFS(高値!$E$3:$IT$3,高値!$E$3:$IT$3,"&gt;"&amp;$E124,高値!$E$3:$IT$3,"&lt;="&amp;$AE124,OFFSET(高値!$E$6:$IT$6,MATCH(TEXT($B124,"0"),TEXT(銘柄管理!$B$6:$B$305,"0"),0)-1,0),"&gt;="&amp;$N124),_xlfn.MINIFS(安値!$E$3:$IT$3,安値!$E$3:$IT$3,"&gt;"&amp;$E124,安値!$E$3:$IT$3,"&lt;="&amp;$AE124,OFFSET(安値!$E$6:$IT$6,MATCH(TEXT($B124,"0"),TEXT(銘柄管理!$B$6:$B$305,"0"),0)-1,0),"&lt;="&amp;$N124)),""))</f>
        <v/>
      </c>
      <c r="AH124" s="600" t="str">
        <f>IF(OR($B124="",$M124=""),"",IF(AND(N($AF124)=0,N($AG124)=0),IF(AND(ISNUMBER($H124),$H124&gt;0,IF($C124="売",$H124&gt;=$N124,$H124&lt;=$N124)),"損切確定",IF(AND(ISNUMBER($H124),$H124&gt;0,IF($C124="売",$H124&lt;=$M124,$H124&gt;=$M124)),"利益確定",IF($AE124&lt;=TODAY(),"日数制限","保有中"))),IF(N($AG124)=0,"利益確定",IF(N($AF124)=0,"損切確定",IF($AG124&lt;=$AF124,"損切確定","利益確定")))))</f>
        <v/>
      </c>
      <c r="AI124" s="600" t="str" cm="1">
        <f t="array" ref="AI124">IFERROR(INDEX(始値!$E$6:$IT$305,MATCH(TEXT($B124,"0"),TEXT(銘柄管理!$B$6:$B$305,"0"),0),MATCH($AE124,始値!$E$3:$IT$3,0)),"")</f>
        <v/>
      </c>
      <c r="AJ124" s="608" t="str">
        <f>IF(OR($V124="",$F124="",$G124=""),"",$V124/($F124*$G124))</f>
        <v/>
      </c>
      <c r="AK124" s="600" t="str">
        <f>IF($V124="","",IF($V124&gt;0,"○勝",IF($V124&lt;0,"●負","△引分")))</f>
        <v/>
      </c>
    </row>
    <row r="125" spans="1:37" ht="35.4" customHeight="1">
      <c r="A125" s="619" t="str">
        <f>IF(B125="","",HYPERLINK("https://kabutan.jp/stock/?code="&amp;B125,"株探"))</f>
        <v/>
      </c>
      <c r="B125" s="489"/>
      <c r="C125" s="489"/>
      <c r="D125" s="489" t="str" cm="1">
        <f t="array" ref="D125">_xll.RssMarket(B125, "銘柄名称")</f>
        <v/>
      </c>
      <c r="E125" s="716"/>
      <c r="F125" s="698" t="str" cm="1">
        <f t="array" aca="1" ref="F125" ca="1">IFERROR(_xlfn.LET(_xlpm.r,MATCH(TEXT($B125,"0"),TEXT(銘柄管理!$B$6:$B$305,"0"),0),_xlpm.t,MOD(NOW(),1),_xlpm.c,IF($E125=TODAY(),IF(_xlpm.t&gt;=TIME(15,30,0),NA(),1),IF(MATCH($E125,始値!$E$3:$IT$3,0)=1,1,MATCH($E125,始値!$E$3:$IT$3,0)+1)),_xlpm.v,INDEX(始値!$C$6:$IT$305,_xlpm.r,_xlpm.c),IF(N(_xlpm.v)=0,"",_xlpm.v)),"")</f>
        <v/>
      </c>
      <c r="G125" s="489"/>
      <c r="H125" s="491" t="str" cm="1">
        <f t="array" ref="H125">_xll.RssMarket(B125, "現在値")</f>
        <v/>
      </c>
      <c r="I125" s="491" t="str" cm="1">
        <f t="array" ref="I125">_xll.RssMarket(B125, "出来高加重平均")</f>
        <v/>
      </c>
      <c r="J125" s="701" t="str" cm="1">
        <f t="array" ref="J125">_xll.RssMarket($B125, "前日比")</f>
        <v/>
      </c>
      <c r="K125" s="701" t="str">
        <f>IF(OR(F125="",G125="",H125=""),"",IF(C125="売",(F125-H125)*G125,(H125-F125)*G125))</f>
        <v/>
      </c>
      <c r="L125" s="706" t="str">
        <f>IF(OR(F125="",H125=""),"",IF(C125="売",(F125-H125)/F125,(H125-F125)/F125))</f>
        <v/>
      </c>
      <c r="M125" s="491" t="str">
        <f>IF($F125="","",$F125*IF($C125="売",1-V811設定!$B$4,1+V811設定!$B$4)-MOD($F125*IF($C125="売",1-V811設定!$B$4,1+V811設定!$B$4),IF($F125&lt;=3000,1,IF($F125&lt;=5000,5,IF($F125&lt;=30000,10,IF($F125&lt;=50000,50,IF($F125&lt;=300000,100,500))))))+IF(AND($C125="売",MOD($F125*IF($C125="売",1-V811設定!$B$4,1+V811設定!$B$4),IF($F125&lt;=3000,1,IF($F125&lt;=5000,5,IF($F125&lt;=30000,10,IF($F125&lt;=50000,50,IF($F125&lt;=300000,100,500))))))&gt;0),IF($F125&lt;=3000,1,IF($F125&lt;=5000,5,IF($F125&lt;=30000,10,IF($F125&lt;=50000,50,IF($F125&lt;=300000,100,500))))),0))</f>
      </c>
      <c r="N125" s="491" t="str">
        <f>IF($F125="","",$F125*IF($C125="売",1+V811設定!$B$3,1-V811設定!$B$3)-MOD($F125*IF($C125="売",1+V811設定!$B$3,1-V811設定!$B$3),IF($F125&lt;=3000,1,IF($F125&lt;=5000,5,IF($F125&lt;=30000,10,IF($F125&lt;=50000,50,IF($F125&lt;=300000,100,500))))))+IF(AND($C125="売",MOD($F125*IF($C125="売",1+V811設定!$B$3,1-V811設定!$B$3),IF($F125&lt;=3000,1,IF($F125&lt;=5000,5,IF($F125&lt;=30000,10,IF($F125&lt;=50000,50,IF($F125&lt;=300000,100,500))))))&gt;0),IF($F125&lt;=3000,1,IF($F125&lt;=5000,5,IF($F125&lt;=30000,10,IF($F125&lt;=50000,50,IF($F125&lt;=300000,100,500))))),0))</f>
      </c>
      <c r="O125" s="492" t="str">
        <f>IF(OR($B125="",$F125="",$H125=""),"",IF($S125="✅売却済","―決済済―",IF($C125="売",IF($H125&lt;=$M125,"🟢利確",IF(AND($R125&lt;&gt;"",$H125&gt;=$R125),"🟠TRAIL",IF($H125&gt;=$N125,"🔴損切",IF($W125&gt;=V811設定!$B$6,"⏱時間決済",IF($H125&gt;=$F125*(1+V811設定!$B$3*0.7),"⚠️損切接近","保持継続"))))),IF($H125&gt;=$M125,"🟢利確",IF(AND($R125&lt;&gt;"",$H125&lt;=$R125),"🟠TRAIL",IF($H125&lt;=$N125,"🔴損切",IF($W125&gt;=V811設定!$B$6,"⏱時間決済",IF($H125&lt;=$F125*(1-V811設定!$B$3*0.7),"⚠️損切接近","保持継続"))))))))</f>
      </c>
      <c r="P125" s="491"/>
      <c r="Q125" s="491"/>
      <c r="R125" s="491" t="str">
        <f>IF(OR($F125="",$H125="",$N125=""),"",IF($S125="✅売却済","",IF($C125="売",IF($H125&gt;$F125*(1-V811設定!$B$3),$N125,MIN($N125,IF($Q125="",$N125,$Q125*1.03))),IF($H125&lt;$F125*(1+V811設定!$B$3),$N125,MAX($N125,IF($P125="",$N125,$P125*0.97))))))</f>
      </c>
      <c r="S125" s="586" t="str">
        <f>IF(B125="","",IF(T125&lt;&gt;"","✅売却済",IF(OR(H125="",L125=""),"📌保有中",IF(L125&gt;=0.06,"🟢利確推奨",IF(L125&gt;=0.05,"🟡利確直近",IF(L125&gt;=0.045,"🔵トレーリング検討",IF(L125&gt;-0.03,"📌保有中",IF(L125&gt;-0.04,"⚠️損切注意","🔴損切り"))))))))</f>
        <v/>
      </c>
      <c r="T125" s="594"/>
      <c r="U125" s="491"/>
      <c r="V125" s="701" t="str">
        <f>IF(OR(F125="",G125="",U125=""),"",IF(C125="売",(F125-U125)*G125,(U125-F125)*G125))</f>
        <v/>
      </c>
      <c r="W125" s="493" t="str">
        <f>IF(OR($E125="",$B125=""),"",IF($T125&lt;&gt;"",$T125-$E125,TODAY()-$E125)+1)</f>
        <v/>
      </c>
      <c r="X125" s="489" t="str">
        <f>IF(OR($AH125="",$AH125="保有中"),"",$AH125)</f>
        <v/>
      </c>
      <c r="Y125" s="488"/>
      <c r="Z125" s="710"/>
      <c r="AD125" s="608"/>
      <c r="AE125" s="600" t="str">
        <f>IF($E125="","",WORKDAY($E125,12))</f>
        <v/>
      </c>
      <c r="AF125" s="600" t="str" cm="1">
        <f t="array" aca="1" ref="AF125" ca="1">IF(OR($B125="",$M125=""),"",IFERROR(IF($C125="売",_xlfn.MINIFS(安値!$E$3:$IT$3,安値!$E$3:$IT$3,"&gt;"&amp;$E125,安値!$E$3:$IT$3,"&lt;="&amp;$AE125,OFFSET(安値!$E$6:$IT$6,MATCH(TEXT($B125,"0"),TEXT(銘柄管理!$B$6:$B$305,"0"),0)-1,0),"&lt;="&amp;$M125),_xlfn.MINIFS(高値!$E$3:$IT$3,高値!$E$3:$IT$3,"&gt;"&amp;$E125,高値!$E$3:$IT$3,"&lt;="&amp;$AE125,OFFSET(高値!$E$6:$IT$6,MATCH(TEXT($B125,"0"),TEXT(銘柄管理!$B$6:$B$305,"0"),0)-1,0),"&gt;="&amp;$M125)),""))</f>
        <v/>
      </c>
      <c r="AG125" s="600" t="str" cm="1">
        <f t="array" aca="1" ref="AG125" ca="1">IF(OR($B125="",$N125=""),"",IFERROR(IF($C125="売",_xlfn.MINIFS(高値!$E$3:$IT$3,高値!$E$3:$IT$3,"&gt;"&amp;$E125,高値!$E$3:$IT$3,"&lt;="&amp;$AE125,OFFSET(高値!$E$6:$IT$6,MATCH(TEXT($B125,"0"),TEXT(銘柄管理!$B$6:$B$305,"0"),0)-1,0),"&gt;="&amp;$N125),_xlfn.MINIFS(安値!$E$3:$IT$3,安値!$E$3:$IT$3,"&gt;"&amp;$E125,安値!$E$3:$IT$3,"&lt;="&amp;$AE125,OFFSET(安値!$E$6:$IT$6,MATCH(TEXT($B125,"0"),TEXT(銘柄管理!$B$6:$B$305,"0"),0)-1,0),"&lt;="&amp;$N125)),""))</f>
        <v/>
      </c>
      <c r="AH125" s="600" t="str">
        <f>IF(OR($B125="",$M125=""),"",IF(AND(N($AF125)=0,N($AG125)=0),IF(AND(ISNUMBER($H125),$H125&gt;0,IF($C125="売",$H125&gt;=$N125,$H125&lt;=$N125)),"損切確定",IF(AND(ISNUMBER($H125),$H125&gt;0,IF($C125="売",$H125&lt;=$M125,$H125&gt;=$M125)),"利益確定",IF($AE125&lt;=TODAY(),"日数制限","保有中"))),IF(N($AG125)=0,"利益確定",IF(N($AF125)=0,"損切確定",IF($AG125&lt;=$AF125,"損切確定","利益確定")))))</f>
        <v/>
      </c>
      <c r="AI125" s="600" t="str" cm="1">
        <f t="array" ref="AI125">IFERROR(INDEX(始値!$E$6:$IT$305,MATCH(TEXT($B125,"0"),TEXT(銘柄管理!$B$6:$B$305,"0"),0),MATCH($AE125,始値!$E$3:$IT$3,0)),"")</f>
        <v/>
      </c>
      <c r="AJ125" s="608" t="str">
        <f>IF(OR($V125="",$F125="",$G125=""),"",$V125/($F125*$G125))</f>
        <v/>
      </c>
      <c r="AK125" s="600" t="str">
        <f>IF($V125="","",IF($V125&gt;0,"○勝",IF($V125&lt;0,"●負","△引分")))</f>
        <v/>
      </c>
    </row>
    <row r="126" spans="1:37" ht="35.4" customHeight="1">
      <c r="A126" s="619" t="str">
        <f>IF(B126="","",HYPERLINK("https://kabutan.jp/stock/?code="&amp;B126,"株探"))</f>
        <v/>
      </c>
      <c r="B126" s="489"/>
      <c r="C126" s="489"/>
      <c r="D126" s="489" t="str" cm="1">
        <f t="array" ref="D126">_xll.RssMarket(B126, "銘柄名称")</f>
        <v/>
      </c>
      <c r="E126" s="716"/>
      <c r="F126" s="698" t="str" cm="1">
        <f t="array" aca="1" ref="F126" ca="1">IFERROR(_xlfn.LET(_xlpm.r,MATCH(TEXT($B126,"0"),TEXT(銘柄管理!$B$6:$B$305,"0"),0),_xlpm.t,MOD(NOW(),1),_xlpm.c,IF($E126=TODAY(),IF(_xlpm.t&gt;=TIME(15,30,0),NA(),1),IF(MATCH($E126,始値!$E$3:$IT$3,0)=1,1,MATCH($E126,始値!$E$3:$IT$3,0)+1)),_xlpm.v,INDEX(始値!$C$6:$IT$305,_xlpm.r,_xlpm.c),IF(N(_xlpm.v)=0,"",_xlpm.v)),"")</f>
        <v/>
      </c>
      <c r="G126" s="489"/>
      <c r="H126" s="491" t="str" cm="1">
        <f t="array" ref="H126">_xll.RssMarket(B126, "現在値")</f>
        <v/>
      </c>
      <c r="I126" s="491" t="str" cm="1">
        <f t="array" ref="I126">_xll.RssMarket(B126, "出来高加重平均")</f>
        <v/>
      </c>
      <c r="J126" s="701" t="str" cm="1">
        <f t="array" ref="J126">_xll.RssMarket($B126, "前日比")</f>
        <v/>
      </c>
      <c r="K126" s="701" t="str">
        <f>IF(OR(F126="",G126="",H126=""),"",IF(C126="売",(F126-H126)*G126,(H126-F126)*G126))</f>
        <v/>
      </c>
      <c r="L126" s="706" t="str">
        <f>IF(OR(F126="",H126=""),"",IF(C126="売",(F126-H126)/F126,(H126-F126)/F126))</f>
        <v/>
      </c>
      <c r="M126" s="491" t="str">
        <f>IF($F126="","",$F126*IF($C126="売",1-V811設定!$B$4,1+V811設定!$B$4)-MOD($F126*IF($C126="売",1-V811設定!$B$4,1+V811設定!$B$4),IF($F126&lt;=3000,1,IF($F126&lt;=5000,5,IF($F126&lt;=30000,10,IF($F126&lt;=50000,50,IF($F126&lt;=300000,100,500))))))+IF(AND($C126="売",MOD($F126*IF($C126="売",1-V811設定!$B$4,1+V811設定!$B$4),IF($F126&lt;=3000,1,IF($F126&lt;=5000,5,IF($F126&lt;=30000,10,IF($F126&lt;=50000,50,IF($F126&lt;=300000,100,500))))))&gt;0),IF($F126&lt;=3000,1,IF($F126&lt;=5000,5,IF($F126&lt;=30000,10,IF($F126&lt;=50000,50,IF($F126&lt;=300000,100,500))))),0))</f>
      </c>
      <c r="N126" s="491" t="str">
        <f>IF($F126="","",$F126*IF($C126="売",1+V811設定!$B$3,1-V811設定!$B$3)-MOD($F126*IF($C126="売",1+V811設定!$B$3,1-V811設定!$B$3),IF($F126&lt;=3000,1,IF($F126&lt;=5000,5,IF($F126&lt;=30000,10,IF($F126&lt;=50000,50,IF($F126&lt;=300000,100,500))))))+IF(AND($C126="売",MOD($F126*IF($C126="売",1+V811設定!$B$3,1-V811設定!$B$3),IF($F126&lt;=3000,1,IF($F126&lt;=5000,5,IF($F126&lt;=30000,10,IF($F126&lt;=50000,50,IF($F126&lt;=300000,100,500))))))&gt;0),IF($F126&lt;=3000,1,IF($F126&lt;=5000,5,IF($F126&lt;=30000,10,IF($F126&lt;=50000,50,IF($F126&lt;=300000,100,500))))),0))</f>
      </c>
      <c r="O126" s="492" t="str">
        <f>IF(OR($B126="",$F126="",$H126=""),"",IF($S126="✅売却済","―決済済―",IF($C126="売",IF($H126&lt;=$M126,"🟢利確",IF(AND($R126&lt;&gt;"",$H126&gt;=$R126),"🟠TRAIL",IF($H126&gt;=$N126,"🔴損切",IF($W126&gt;=V811設定!$B$6,"⏱時間決済",IF($H126&gt;=$F126*(1+V811設定!$B$3*0.7),"⚠️損切接近","保持継続"))))),IF($H126&gt;=$M126,"🟢利確",IF(AND($R126&lt;&gt;"",$H126&lt;=$R126),"🟠TRAIL",IF($H126&lt;=$N126,"🔴損切",IF($W126&gt;=V811設定!$B$6,"⏱時間決済",IF($H126&lt;=$F126*(1-V811設定!$B$3*0.7),"⚠️損切接近","保持継続"))))))))</f>
      </c>
      <c r="P126" s="491"/>
      <c r="Q126" s="491"/>
      <c r="R126" s="491" t="str">
        <f>IF(OR($F126="",$H126="",$N126=""),"",IF($S126="✅売却済","",IF($C126="売",IF($H126&gt;$F126*(1-V811設定!$B$3),$N126,MIN($N126,IF($Q126="",$N126,$Q126*1.03))),IF($H126&lt;$F126*(1+V811設定!$B$3),$N126,MAX($N126,IF($P126="",$N126,$P126*0.97))))))</f>
      </c>
      <c r="S126" s="586" t="str">
        <f>IF(B126="","",IF(T126&lt;&gt;"","✅売却済",IF(OR(H126="",L126=""),"📌保有中",IF(L126&gt;=0.06,"🟢利確推奨",IF(L126&gt;=0.05,"🟡利確直近",IF(L126&gt;=0.045,"🔵トレーリング検討",IF(L126&gt;-0.03,"📌保有中",IF(L126&gt;-0.04,"⚠️損切注意","🔴損切り"))))))))</f>
        <v/>
      </c>
      <c r="T126" s="594"/>
      <c r="U126" s="491"/>
      <c r="V126" s="701" t="str">
        <f>IF(OR(F126="",G126="",U126=""),"",IF(C126="売",(F126-U126)*G126,(U126-F126)*G126))</f>
        <v/>
      </c>
      <c r="W126" s="493" t="str">
        <f>IF(OR($E126="",$B126=""),"",IF($T126&lt;&gt;"",$T126-$E126,TODAY()-$E126)+1)</f>
        <v/>
      </c>
      <c r="X126" s="489" t="str">
        <f>IF(OR($AH126="",$AH126="保有中"),"",$AH126)</f>
        <v/>
      </c>
      <c r="Y126" s="488"/>
      <c r="Z126" s="710"/>
      <c r="AD126" s="608"/>
      <c r="AE126" s="600" t="str">
        <f>IF($E126="","",WORKDAY($E126,12))</f>
        <v/>
      </c>
      <c r="AF126" s="600" t="str" cm="1">
        <f t="array" aca="1" ref="AF126" ca="1">IF(OR($B126="",$M126=""),"",IFERROR(IF($C126="売",_xlfn.MINIFS(安値!$E$3:$IT$3,安値!$E$3:$IT$3,"&gt;"&amp;$E126,安値!$E$3:$IT$3,"&lt;="&amp;$AE126,OFFSET(安値!$E$6:$IT$6,MATCH(TEXT($B126,"0"),TEXT(銘柄管理!$B$6:$B$305,"0"),0)-1,0),"&lt;="&amp;$M126),_xlfn.MINIFS(高値!$E$3:$IT$3,高値!$E$3:$IT$3,"&gt;"&amp;$E126,高値!$E$3:$IT$3,"&lt;="&amp;$AE126,OFFSET(高値!$E$6:$IT$6,MATCH(TEXT($B126,"0"),TEXT(銘柄管理!$B$6:$B$305,"0"),0)-1,0),"&gt;="&amp;$M126)),""))</f>
        <v/>
      </c>
      <c r="AG126" s="600" t="str" cm="1">
        <f t="array" aca="1" ref="AG126" ca="1">IF(OR($B126="",$N126=""),"",IFERROR(IF($C126="売",_xlfn.MINIFS(高値!$E$3:$IT$3,高値!$E$3:$IT$3,"&gt;"&amp;$E126,高値!$E$3:$IT$3,"&lt;="&amp;$AE126,OFFSET(高値!$E$6:$IT$6,MATCH(TEXT($B126,"0"),TEXT(銘柄管理!$B$6:$B$305,"0"),0)-1,0),"&gt;="&amp;$N126),_xlfn.MINIFS(安値!$E$3:$IT$3,安値!$E$3:$IT$3,"&gt;"&amp;$E126,安値!$E$3:$IT$3,"&lt;="&amp;$AE126,OFFSET(安値!$E$6:$IT$6,MATCH(TEXT($B126,"0"),TEXT(銘柄管理!$B$6:$B$305,"0"),0)-1,0),"&lt;="&amp;$N126)),""))</f>
        <v/>
      </c>
      <c r="AH126" s="600" t="str">
        <f>IF(OR($B126="",$M126=""),"",IF(AND(N($AF126)=0,N($AG126)=0),IF(AND(ISNUMBER($H126),$H126&gt;0,IF($C126="売",$H126&gt;=$N126,$H126&lt;=$N126)),"損切確定",IF(AND(ISNUMBER($H126),$H126&gt;0,IF($C126="売",$H126&lt;=$M126,$H126&gt;=$M126)),"利益確定",IF($AE126&lt;=TODAY(),"日数制限","保有中"))),IF(N($AG126)=0,"利益確定",IF(N($AF126)=0,"損切確定",IF($AG126&lt;=$AF126,"損切確定","利益確定")))))</f>
        <v/>
      </c>
      <c r="AI126" s="600" t="str" cm="1">
        <f t="array" ref="AI126">IFERROR(INDEX(始値!$E$6:$IT$305,MATCH(TEXT($B126,"0"),TEXT(銘柄管理!$B$6:$B$305,"0"),0),MATCH($AE126,始値!$E$3:$IT$3,0)),"")</f>
        <v/>
      </c>
      <c r="AJ126" s="608" t="str">
        <f>IF(OR($V126="",$F126="",$G126=""),"",$V126/($F126*$G126))</f>
        <v/>
      </c>
      <c r="AK126" s="600" t="str">
        <f>IF($V126="","",IF($V126&gt;0,"○勝",IF($V126&lt;0,"●負","△引分")))</f>
        <v/>
      </c>
    </row>
    <row r="127" spans="1:37" ht="35.4" customHeight="1">
      <c r="A127" s="619" t="str">
        <f>IF(B127="","",HYPERLINK("https://kabutan.jp/stock/?code="&amp;B127,"株探"))</f>
        <v/>
      </c>
      <c r="B127" s="489"/>
      <c r="C127" s="489"/>
      <c r="D127" s="489" t="str" cm="1">
        <f t="array" ref="D127">_xll.RssMarket(B127, "銘柄名称")</f>
        <v/>
      </c>
      <c r="E127" s="716"/>
      <c r="F127" s="698" t="str" cm="1">
        <f t="array" aca="1" ref="F127" ca="1">IFERROR(_xlfn.LET(_xlpm.r,MATCH(TEXT($B127,"0"),TEXT(銘柄管理!$B$6:$B$305,"0"),0),_xlpm.t,MOD(NOW(),1),_xlpm.c,IF($E127=TODAY(),IF(_xlpm.t&gt;=TIME(15,30,0),NA(),1),IF(MATCH($E127,始値!$E$3:$IT$3,0)=1,1,MATCH($E127,始値!$E$3:$IT$3,0)+1)),_xlpm.v,INDEX(始値!$C$6:$IT$305,_xlpm.r,_xlpm.c),IF(N(_xlpm.v)=0,"",_xlpm.v)),"")</f>
        <v/>
      </c>
      <c r="G127" s="489"/>
      <c r="H127" s="491" t="str" cm="1">
        <f t="array" ref="H127">_xll.RssMarket(B127, "現在値")</f>
        <v/>
      </c>
      <c r="I127" s="491" t="str" cm="1">
        <f t="array" ref="I127">_xll.RssMarket(B127, "出来高加重平均")</f>
        <v/>
      </c>
      <c r="J127" s="701" t="str" cm="1">
        <f t="array" ref="J127">_xll.RssMarket($B127, "前日比")</f>
        <v/>
      </c>
      <c r="K127" s="701" t="str">
        <f>IF(OR(F127="",G127="",H127=""),"",IF(C127="売",(F127-H127)*G127,(H127-F127)*G127))</f>
        <v/>
      </c>
      <c r="L127" s="706" t="str">
        <f>IF(OR(F127="",H127=""),"",IF(C127="売",(F127-H127)/F127,(H127-F127)/F127))</f>
        <v/>
      </c>
      <c r="M127" s="491" t="str">
        <f>IF($F127="","",$F127*IF($C127="売",1-V811設定!$B$4,1+V811設定!$B$4)-MOD($F127*IF($C127="売",1-V811設定!$B$4,1+V811設定!$B$4),IF($F127&lt;=3000,1,IF($F127&lt;=5000,5,IF($F127&lt;=30000,10,IF($F127&lt;=50000,50,IF($F127&lt;=300000,100,500))))))+IF(AND($C127="売",MOD($F127*IF($C127="売",1-V811設定!$B$4,1+V811設定!$B$4),IF($F127&lt;=3000,1,IF($F127&lt;=5000,5,IF($F127&lt;=30000,10,IF($F127&lt;=50000,50,IF($F127&lt;=300000,100,500))))))&gt;0),IF($F127&lt;=3000,1,IF($F127&lt;=5000,5,IF($F127&lt;=30000,10,IF($F127&lt;=50000,50,IF($F127&lt;=300000,100,500))))),0))</f>
      </c>
      <c r="N127" s="491" t="str">
        <f>IF($F127="","",$F127*IF($C127="売",1+V811設定!$B$3,1-V811設定!$B$3)-MOD($F127*IF($C127="売",1+V811設定!$B$3,1-V811設定!$B$3),IF($F127&lt;=3000,1,IF($F127&lt;=5000,5,IF($F127&lt;=30000,10,IF($F127&lt;=50000,50,IF($F127&lt;=300000,100,500))))))+IF(AND($C127="売",MOD($F127*IF($C127="売",1+V811設定!$B$3,1-V811設定!$B$3),IF($F127&lt;=3000,1,IF($F127&lt;=5000,5,IF($F127&lt;=30000,10,IF($F127&lt;=50000,50,IF($F127&lt;=300000,100,500))))))&gt;0),IF($F127&lt;=3000,1,IF($F127&lt;=5000,5,IF($F127&lt;=30000,10,IF($F127&lt;=50000,50,IF($F127&lt;=300000,100,500))))),0))</f>
      </c>
      <c r="O127" s="492" t="str">
        <f>IF(OR($B127="",$F127="",$H127=""),"",IF($S127="✅売却済","―決済済―",IF($C127="売",IF($H127&lt;=$M127,"🟢利確",IF(AND($R127&lt;&gt;"",$H127&gt;=$R127),"🟠TRAIL",IF($H127&gt;=$N127,"🔴損切",IF($W127&gt;=V811設定!$B$6,"⏱時間決済",IF($H127&gt;=$F127*(1+V811設定!$B$3*0.7),"⚠️損切接近","保持継続"))))),IF($H127&gt;=$M127,"🟢利確",IF(AND($R127&lt;&gt;"",$H127&lt;=$R127),"🟠TRAIL",IF($H127&lt;=$N127,"🔴損切",IF($W127&gt;=V811設定!$B$6,"⏱時間決済",IF($H127&lt;=$F127*(1-V811設定!$B$3*0.7),"⚠️損切接近","保持継続"))))))))</f>
      </c>
      <c r="P127" s="491"/>
      <c r="Q127" s="491"/>
      <c r="R127" s="491" t="str">
        <f>IF(OR($F127="",$H127="",$N127=""),"",IF($S127="✅売却済","",IF($C127="売",IF($H127&gt;$F127*(1-V811設定!$B$3),$N127,MIN($N127,IF($Q127="",$N127,$Q127*1.03))),IF($H127&lt;$F127*(1+V811設定!$B$3),$N127,MAX($N127,IF($P127="",$N127,$P127*0.97))))))</f>
      </c>
      <c r="S127" s="586" t="str">
        <f>IF(B127="","",IF(T127&lt;&gt;"","✅売却済",IF(OR(H127="",L127=""),"📌保有中",IF(L127&gt;=0.06,"🟢利確推奨",IF(L127&gt;=0.05,"🟡利確直近",IF(L127&gt;=0.045,"🔵トレーリング検討",IF(L127&gt;-0.03,"📌保有中",IF(L127&gt;-0.04,"⚠️損切注意","🔴損切り"))))))))</f>
        <v/>
      </c>
      <c r="T127" s="594"/>
      <c r="U127" s="491"/>
      <c r="V127" s="701" t="str">
        <f>IF(OR(F127="",G127="",U127=""),"",IF(C127="売",(F127-U127)*G127,(U127-F127)*G127))</f>
        <v/>
      </c>
      <c r="W127" s="493" t="str">
        <f>IF(OR($E127="",$B127=""),"",IF($T127&lt;&gt;"",$T127-$E127,TODAY()-$E127)+1)</f>
        <v/>
      </c>
      <c r="X127" s="489" t="str">
        <f>IF(OR($AH127="",$AH127="保有中"),"",$AH127)</f>
        <v/>
      </c>
      <c r="Y127" s="488"/>
      <c r="Z127" s="710"/>
      <c r="AD127" s="608"/>
      <c r="AE127" s="600" t="str">
        <f>IF($E127="","",WORKDAY($E127,12))</f>
        <v/>
      </c>
      <c r="AF127" s="600" t="str" cm="1">
        <f t="array" aca="1" ref="AF127" ca="1">IF(OR($B127="",$M127=""),"",IFERROR(IF($C127="売",_xlfn.MINIFS(安値!$E$3:$IT$3,安値!$E$3:$IT$3,"&gt;"&amp;$E127,安値!$E$3:$IT$3,"&lt;="&amp;$AE127,OFFSET(安値!$E$6:$IT$6,MATCH(TEXT($B127,"0"),TEXT(銘柄管理!$B$6:$B$305,"0"),0)-1,0),"&lt;="&amp;$M127),_xlfn.MINIFS(高値!$E$3:$IT$3,高値!$E$3:$IT$3,"&gt;"&amp;$E127,高値!$E$3:$IT$3,"&lt;="&amp;$AE127,OFFSET(高値!$E$6:$IT$6,MATCH(TEXT($B127,"0"),TEXT(銘柄管理!$B$6:$B$305,"0"),0)-1,0),"&gt;="&amp;$M127)),""))</f>
        <v/>
      </c>
      <c r="AG127" s="600" t="str" cm="1">
        <f t="array" aca="1" ref="AG127" ca="1">IF(OR($B127="",$N127=""),"",IFERROR(IF($C127="売",_xlfn.MINIFS(高値!$E$3:$IT$3,高値!$E$3:$IT$3,"&gt;"&amp;$E127,高値!$E$3:$IT$3,"&lt;="&amp;$AE127,OFFSET(高値!$E$6:$IT$6,MATCH(TEXT($B127,"0"),TEXT(銘柄管理!$B$6:$B$305,"0"),0)-1,0),"&gt;="&amp;$N127),_xlfn.MINIFS(安値!$E$3:$IT$3,安値!$E$3:$IT$3,"&gt;"&amp;$E127,安値!$E$3:$IT$3,"&lt;="&amp;$AE127,OFFSET(安値!$E$6:$IT$6,MATCH(TEXT($B127,"0"),TEXT(銘柄管理!$B$6:$B$305,"0"),0)-1,0),"&lt;="&amp;$N127)),""))</f>
        <v/>
      </c>
      <c r="AH127" s="600" t="str">
        <f>IF(OR($B127="",$M127=""),"",IF(AND(N($AF127)=0,N($AG127)=0),IF(AND(ISNUMBER($H127),$H127&gt;0,IF($C127="売",$H127&gt;=$N127,$H127&lt;=$N127)),"損切確定",IF(AND(ISNUMBER($H127),$H127&gt;0,IF($C127="売",$H127&lt;=$M127,$H127&gt;=$M127)),"利益確定",IF($AE127&lt;=TODAY(),"日数制限","保有中"))),IF(N($AG127)=0,"利益確定",IF(N($AF127)=0,"損切確定",IF($AG127&lt;=$AF127,"損切確定","利益確定")))))</f>
        <v/>
      </c>
      <c r="AI127" s="600" t="str" cm="1">
        <f t="array" ref="AI127">IFERROR(INDEX(始値!$E$6:$IT$305,MATCH(TEXT($B127,"0"),TEXT(銘柄管理!$B$6:$B$305,"0"),0),MATCH($AE127,始値!$E$3:$IT$3,0)),"")</f>
        <v/>
      </c>
      <c r="AJ127" s="608" t="str">
        <f>IF(OR($V127="",$F127="",$G127=""),"",$V127/($F127*$G127))</f>
        <v/>
      </c>
      <c r="AK127" s="600" t="str">
        <f>IF($V127="","",IF($V127&gt;0,"○勝",IF($V127&lt;0,"●負","△引分")))</f>
        <v/>
      </c>
    </row>
    <row r="128" spans="1:37" ht="35.4" customHeight="1">
      <c r="A128" s="619" t="str">
        <f>IF(B128="","",HYPERLINK("https://kabutan.jp/stock/?code="&amp;B128,"株探"))</f>
        <v/>
      </c>
      <c r="B128" s="489"/>
      <c r="C128" s="489"/>
      <c r="D128" s="489" t="str" cm="1">
        <f t="array" ref="D128">_xll.RssMarket(B128, "銘柄名称")</f>
        <v/>
      </c>
      <c r="E128" s="716"/>
      <c r="F128" s="698" t="str" cm="1">
        <f t="array" aca="1" ref="F128" ca="1">IFERROR(_xlfn.LET(_xlpm.r,MATCH(TEXT($B128,"0"),TEXT(銘柄管理!$B$6:$B$305,"0"),0),_xlpm.t,MOD(NOW(),1),_xlpm.c,IF($E128=TODAY(),IF(_xlpm.t&gt;=TIME(15,30,0),NA(),1),IF(MATCH($E128,始値!$E$3:$IT$3,0)=1,1,MATCH($E128,始値!$E$3:$IT$3,0)+1)),_xlpm.v,INDEX(始値!$C$6:$IT$305,_xlpm.r,_xlpm.c),IF(N(_xlpm.v)=0,"",_xlpm.v)),"")</f>
        <v/>
      </c>
      <c r="G128" s="489"/>
      <c r="H128" s="491" t="str" cm="1">
        <f t="array" ref="H128">_xll.RssMarket(B128, "現在値")</f>
        <v/>
      </c>
      <c r="I128" s="491" t="str" cm="1">
        <f t="array" ref="I128">_xll.RssMarket(B128, "出来高加重平均")</f>
        <v/>
      </c>
      <c r="J128" s="701" t="str" cm="1">
        <f t="array" ref="J128">_xll.RssMarket($B128, "前日比")</f>
        <v/>
      </c>
      <c r="K128" s="701" t="str">
        <f>IF(OR(F128="",G128="",H128=""),"",IF(C128="売",(F128-H128)*G128,(H128-F128)*G128))</f>
        <v/>
      </c>
      <c r="L128" s="706" t="str">
        <f>IF(OR(F128="",H128=""),"",IF(C128="売",(F128-H128)/F128,(H128-F128)/F128))</f>
        <v/>
      </c>
      <c r="M128" s="491" t="str">
        <f>IF($F128="","",$F128*IF($C128="売",1-V811設定!$B$4,1+V811設定!$B$4)-MOD($F128*IF($C128="売",1-V811設定!$B$4,1+V811設定!$B$4),IF($F128&lt;=3000,1,IF($F128&lt;=5000,5,IF($F128&lt;=30000,10,IF($F128&lt;=50000,50,IF($F128&lt;=300000,100,500))))))+IF(AND($C128="売",MOD($F128*IF($C128="売",1-V811設定!$B$4,1+V811設定!$B$4),IF($F128&lt;=3000,1,IF($F128&lt;=5000,5,IF($F128&lt;=30000,10,IF($F128&lt;=50000,50,IF($F128&lt;=300000,100,500))))))&gt;0),IF($F128&lt;=3000,1,IF($F128&lt;=5000,5,IF($F128&lt;=30000,10,IF($F128&lt;=50000,50,IF($F128&lt;=300000,100,500))))),0))</f>
      </c>
      <c r="N128" s="491" t="str">
        <f>IF($F128="","",$F128*IF($C128="売",1+V811設定!$B$3,1-V811設定!$B$3)-MOD($F128*IF($C128="売",1+V811設定!$B$3,1-V811設定!$B$3),IF($F128&lt;=3000,1,IF($F128&lt;=5000,5,IF($F128&lt;=30000,10,IF($F128&lt;=50000,50,IF($F128&lt;=300000,100,500))))))+IF(AND($C128="売",MOD($F128*IF($C128="売",1+V811設定!$B$3,1-V811設定!$B$3),IF($F128&lt;=3000,1,IF($F128&lt;=5000,5,IF($F128&lt;=30000,10,IF($F128&lt;=50000,50,IF($F128&lt;=300000,100,500))))))&gt;0),IF($F128&lt;=3000,1,IF($F128&lt;=5000,5,IF($F128&lt;=30000,10,IF($F128&lt;=50000,50,IF($F128&lt;=300000,100,500))))),0))</f>
      </c>
      <c r="O128" s="492" t="str">
        <f>IF(OR($B128="",$F128="",$H128=""),"",IF($S128="✅売却済","―決済済―",IF($C128="売",IF($H128&lt;=$M128,"🟢利確",IF(AND($R128&lt;&gt;"",$H128&gt;=$R128),"🟠TRAIL",IF($H128&gt;=$N128,"🔴損切",IF($W128&gt;=V811設定!$B$6,"⏱時間決済",IF($H128&gt;=$F128*(1+V811設定!$B$3*0.7),"⚠️損切接近","保持継続"))))),IF($H128&gt;=$M128,"🟢利確",IF(AND($R128&lt;&gt;"",$H128&lt;=$R128),"🟠TRAIL",IF($H128&lt;=$N128,"🔴損切",IF($W128&gt;=V811設定!$B$6,"⏱時間決済",IF($H128&lt;=$F128*(1-V811設定!$B$3*0.7),"⚠️損切接近","保持継続"))))))))</f>
      </c>
      <c r="P128" s="491"/>
      <c r="Q128" s="491"/>
      <c r="R128" s="491" t="str">
        <f>IF(OR($F128="",$H128="",$N128=""),"",IF($S128="✅売却済","",IF($C128="売",IF($H128&gt;$F128*(1-V811設定!$B$3),$N128,MIN($N128,IF($Q128="",$N128,$Q128*1.03))),IF($H128&lt;$F128*(1+V811設定!$B$3),$N128,MAX($N128,IF($P128="",$N128,$P128*0.97))))))</f>
      </c>
      <c r="S128" s="586" t="str">
        <f>IF(B128="","",IF(T128&lt;&gt;"","✅売却済",IF(OR(H128="",L128=""),"📌保有中",IF(L128&gt;=0.06,"🟢利確推奨",IF(L128&gt;=0.05,"🟡利確直近",IF(L128&gt;=0.045,"🔵トレーリング検討",IF(L128&gt;-0.03,"📌保有中",IF(L128&gt;-0.04,"⚠️損切注意","🔴損切り"))))))))</f>
        <v/>
      </c>
      <c r="T128" s="594"/>
      <c r="U128" s="491"/>
      <c r="V128" s="701" t="str">
        <f>IF(OR(F128="",G128="",U128=""),"",IF(C128="売",(F128-U128)*G128,(U128-F128)*G128))</f>
        <v/>
      </c>
      <c r="W128" s="493" t="str">
        <f>IF(OR($E128="",$B128=""),"",IF($T128&lt;&gt;"",$T128-$E128,TODAY()-$E128)+1)</f>
        <v/>
      </c>
      <c r="X128" s="489" t="str">
        <f>IF(OR($AH128="",$AH128="保有中"),"",$AH128)</f>
        <v/>
      </c>
      <c r="Y128" s="488"/>
      <c r="Z128" s="710"/>
      <c r="AD128" s="608"/>
      <c r="AE128" s="600" t="str">
        <f>IF($E128="","",WORKDAY($E128,12))</f>
        <v/>
      </c>
      <c r="AF128" s="600" t="str" cm="1">
        <f t="array" aca="1" ref="AF128" ca="1">IF(OR($B128="",$M128=""),"",IFERROR(IF($C128="売",_xlfn.MINIFS(安値!$E$3:$IT$3,安値!$E$3:$IT$3,"&gt;"&amp;$E128,安値!$E$3:$IT$3,"&lt;="&amp;$AE128,OFFSET(安値!$E$6:$IT$6,MATCH(TEXT($B128,"0"),TEXT(銘柄管理!$B$6:$B$305,"0"),0)-1,0),"&lt;="&amp;$M128),_xlfn.MINIFS(高値!$E$3:$IT$3,高値!$E$3:$IT$3,"&gt;"&amp;$E128,高値!$E$3:$IT$3,"&lt;="&amp;$AE128,OFFSET(高値!$E$6:$IT$6,MATCH(TEXT($B128,"0"),TEXT(銘柄管理!$B$6:$B$305,"0"),0)-1,0),"&gt;="&amp;$M128)),""))</f>
        <v/>
      </c>
      <c r="AG128" s="600" t="str" cm="1">
        <f t="array" aca="1" ref="AG128" ca="1">IF(OR($B128="",$N128=""),"",IFERROR(IF($C128="売",_xlfn.MINIFS(高値!$E$3:$IT$3,高値!$E$3:$IT$3,"&gt;"&amp;$E128,高値!$E$3:$IT$3,"&lt;="&amp;$AE128,OFFSET(高値!$E$6:$IT$6,MATCH(TEXT($B128,"0"),TEXT(銘柄管理!$B$6:$B$305,"0"),0)-1,0),"&gt;="&amp;$N128),_xlfn.MINIFS(安値!$E$3:$IT$3,安値!$E$3:$IT$3,"&gt;"&amp;$E128,安値!$E$3:$IT$3,"&lt;="&amp;$AE128,OFFSET(安値!$E$6:$IT$6,MATCH(TEXT($B128,"0"),TEXT(銘柄管理!$B$6:$B$305,"0"),0)-1,0),"&lt;="&amp;$N128)),""))</f>
        <v/>
      </c>
      <c r="AH128" s="600" t="str">
        <f>IF(OR($B128="",$M128=""),"",IF(AND(N($AF128)=0,N($AG128)=0),IF(AND(ISNUMBER($H128),$H128&gt;0,IF($C128="売",$H128&gt;=$N128,$H128&lt;=$N128)),"損切確定",IF(AND(ISNUMBER($H128),$H128&gt;0,IF($C128="売",$H128&lt;=$M128,$H128&gt;=$M128)),"利益確定",IF($AE128&lt;=TODAY(),"日数制限","保有中"))),IF(N($AG128)=0,"利益確定",IF(N($AF128)=0,"損切確定",IF($AG128&lt;=$AF128,"損切確定","利益確定")))))</f>
        <v/>
      </c>
      <c r="AI128" s="600" t="str" cm="1">
        <f t="array" ref="AI128">IFERROR(INDEX(始値!$E$6:$IT$305,MATCH(TEXT($B128,"0"),TEXT(銘柄管理!$B$6:$B$305,"0"),0),MATCH($AE128,始値!$E$3:$IT$3,0)),"")</f>
        <v/>
      </c>
      <c r="AJ128" s="608" t="str">
        <f>IF(OR($V128="",$F128="",$G128=""),"",$V128/($F128*$G128))</f>
        <v/>
      </c>
      <c r="AK128" s="600" t="str">
        <f>IF($V128="","",IF($V128&gt;0,"○勝",IF($V128&lt;0,"●負","△引分")))</f>
        <v/>
      </c>
    </row>
    <row r="129" spans="1:37" ht="35.4" customHeight="1">
      <c r="A129" s="619" t="str">
        <f>IF(B129="","",HYPERLINK("https://kabutan.jp/stock/?code="&amp;B129,"株探"))</f>
        <v/>
      </c>
      <c r="B129" s="489"/>
      <c r="C129" s="489"/>
      <c r="D129" s="489" t="str" cm="1">
        <f t="array" ref="D129">_xll.RssMarket(B129, "銘柄名称")</f>
        <v/>
      </c>
      <c r="E129" s="716"/>
      <c r="F129" s="698" t="str" cm="1">
        <f t="array" aca="1" ref="F129" ca="1">IFERROR(_xlfn.LET(_xlpm.r,MATCH(TEXT($B129,"0"),TEXT(銘柄管理!$B$6:$B$305,"0"),0),_xlpm.t,MOD(NOW(),1),_xlpm.c,IF($E129=TODAY(),IF(_xlpm.t&gt;=TIME(15,30,0),NA(),1),IF(MATCH($E129,始値!$E$3:$IT$3,0)=1,1,MATCH($E129,始値!$E$3:$IT$3,0)+1)),_xlpm.v,INDEX(始値!$C$6:$IT$305,_xlpm.r,_xlpm.c),IF(N(_xlpm.v)=0,"",_xlpm.v)),"")</f>
        <v/>
      </c>
      <c r="G129" s="489"/>
      <c r="H129" s="491" t="str" cm="1">
        <f t="array" ref="H129">_xll.RssMarket(B129, "現在値")</f>
        <v/>
      </c>
      <c r="I129" s="491" t="str" cm="1">
        <f t="array" ref="I129">_xll.RssMarket(B129, "出来高加重平均")</f>
        <v/>
      </c>
      <c r="J129" s="701" t="str" cm="1">
        <f t="array" ref="J129">_xll.RssMarket($B129, "前日比")</f>
        <v/>
      </c>
      <c r="K129" s="701" t="str">
        <f>IF(OR(F129="",G129="",H129=""),"",IF(C129="売",(F129-H129)*G129,(H129-F129)*G129))</f>
        <v/>
      </c>
      <c r="L129" s="706" t="str">
        <f>IF(OR(F129="",H129=""),"",IF(C129="売",(F129-H129)/F129,(H129-F129)/F129))</f>
        <v/>
      </c>
      <c r="M129" s="491" t="str">
        <f>IF($F129="","",$F129*IF($C129="売",1-V811設定!$B$4,1+V811設定!$B$4)-MOD($F129*IF($C129="売",1-V811設定!$B$4,1+V811設定!$B$4),IF($F129&lt;=3000,1,IF($F129&lt;=5000,5,IF($F129&lt;=30000,10,IF($F129&lt;=50000,50,IF($F129&lt;=300000,100,500))))))+IF(AND($C129="売",MOD($F129*IF($C129="売",1-V811設定!$B$4,1+V811設定!$B$4),IF($F129&lt;=3000,1,IF($F129&lt;=5000,5,IF($F129&lt;=30000,10,IF($F129&lt;=50000,50,IF($F129&lt;=300000,100,500))))))&gt;0),IF($F129&lt;=3000,1,IF($F129&lt;=5000,5,IF($F129&lt;=30000,10,IF($F129&lt;=50000,50,IF($F129&lt;=300000,100,500))))),0))</f>
      </c>
      <c r="N129" s="491" t="str">
        <f>IF($F129="","",$F129*IF($C129="売",1+V811設定!$B$3,1-V811設定!$B$3)-MOD($F129*IF($C129="売",1+V811設定!$B$3,1-V811設定!$B$3),IF($F129&lt;=3000,1,IF($F129&lt;=5000,5,IF($F129&lt;=30000,10,IF($F129&lt;=50000,50,IF($F129&lt;=300000,100,500))))))+IF(AND($C129="売",MOD($F129*IF($C129="売",1+V811設定!$B$3,1-V811設定!$B$3),IF($F129&lt;=3000,1,IF($F129&lt;=5000,5,IF($F129&lt;=30000,10,IF($F129&lt;=50000,50,IF($F129&lt;=300000,100,500))))))&gt;0),IF($F129&lt;=3000,1,IF($F129&lt;=5000,5,IF($F129&lt;=30000,10,IF($F129&lt;=50000,50,IF($F129&lt;=300000,100,500))))),0))</f>
      </c>
      <c r="O129" s="492" t="str">
        <f>IF(OR($B129="",$F129="",$H129=""),"",IF($S129="✅売却済","―決済済―",IF($C129="売",IF($H129&lt;=$M129,"🟢利確",IF(AND($R129&lt;&gt;"",$H129&gt;=$R129),"🟠TRAIL",IF($H129&gt;=$N129,"🔴損切",IF($W129&gt;=V811設定!$B$6,"⏱時間決済",IF($H129&gt;=$F129*(1+V811設定!$B$3*0.7),"⚠️損切接近","保持継続"))))),IF($H129&gt;=$M129,"🟢利確",IF(AND($R129&lt;&gt;"",$H129&lt;=$R129),"🟠TRAIL",IF($H129&lt;=$N129,"🔴損切",IF($W129&gt;=V811設定!$B$6,"⏱時間決済",IF($H129&lt;=$F129*(1-V811設定!$B$3*0.7),"⚠️損切接近","保持継続"))))))))</f>
      </c>
      <c r="P129" s="491"/>
      <c r="Q129" s="491"/>
      <c r="R129" s="491" t="str">
        <f>IF(OR($F129="",$H129="",$N129=""),"",IF($S129="✅売却済","",IF($C129="売",IF($H129&gt;$F129*(1-V811設定!$B$3),$N129,MIN($N129,IF($Q129="",$N129,$Q129*1.03))),IF($H129&lt;$F129*(1+V811設定!$B$3),$N129,MAX($N129,IF($P129="",$N129,$P129*0.97))))))</f>
      </c>
      <c r="S129" s="586" t="str">
        <f>IF(B129="","",IF(T129&lt;&gt;"","✅売却済",IF(OR(H129="",L129=""),"📌保有中",IF(L129&gt;=0.06,"🟢利確推奨",IF(L129&gt;=0.05,"🟡利確直近",IF(L129&gt;=0.045,"🔵トレーリング検討",IF(L129&gt;-0.03,"📌保有中",IF(L129&gt;-0.04,"⚠️損切注意","🔴損切り"))))))))</f>
        <v/>
      </c>
      <c r="T129" s="594"/>
      <c r="U129" s="491"/>
      <c r="V129" s="701" t="str">
        <f>IF(OR(F129="",G129="",U129=""),"",IF(C129="売",(F129-U129)*G129,(U129-F129)*G129))</f>
        <v/>
      </c>
      <c r="W129" s="493" t="str">
        <f>IF(OR($E129="",$B129=""),"",IF($T129&lt;&gt;"",$T129-$E129,TODAY()-$E129)+1)</f>
        <v/>
      </c>
      <c r="X129" s="489" t="str">
        <f>IF(OR($AH129="",$AH129="保有中"),"",$AH129)</f>
        <v/>
      </c>
      <c r="Y129" s="488"/>
      <c r="Z129" s="710"/>
      <c r="AD129" s="608"/>
      <c r="AE129" s="600" t="str">
        <f>IF($E129="","",WORKDAY($E129,12))</f>
        <v/>
      </c>
      <c r="AF129" s="600" t="str" cm="1">
        <f t="array" aca="1" ref="AF129" ca="1">IF(OR($B129="",$M129=""),"",IFERROR(IF($C129="売",_xlfn.MINIFS(安値!$E$3:$IT$3,安値!$E$3:$IT$3,"&gt;"&amp;$E129,安値!$E$3:$IT$3,"&lt;="&amp;$AE129,OFFSET(安値!$E$6:$IT$6,MATCH(TEXT($B129,"0"),TEXT(銘柄管理!$B$6:$B$305,"0"),0)-1,0),"&lt;="&amp;$M129),_xlfn.MINIFS(高値!$E$3:$IT$3,高値!$E$3:$IT$3,"&gt;"&amp;$E129,高値!$E$3:$IT$3,"&lt;="&amp;$AE129,OFFSET(高値!$E$6:$IT$6,MATCH(TEXT($B129,"0"),TEXT(銘柄管理!$B$6:$B$305,"0"),0)-1,0),"&gt;="&amp;$M129)),""))</f>
        <v/>
      </c>
      <c r="AG129" s="600" t="str" cm="1">
        <f t="array" aca="1" ref="AG129" ca="1">IF(OR($B129="",$N129=""),"",IFERROR(IF($C129="売",_xlfn.MINIFS(高値!$E$3:$IT$3,高値!$E$3:$IT$3,"&gt;"&amp;$E129,高値!$E$3:$IT$3,"&lt;="&amp;$AE129,OFFSET(高値!$E$6:$IT$6,MATCH(TEXT($B129,"0"),TEXT(銘柄管理!$B$6:$B$305,"0"),0)-1,0),"&gt;="&amp;$N129),_xlfn.MINIFS(安値!$E$3:$IT$3,安値!$E$3:$IT$3,"&gt;"&amp;$E129,安値!$E$3:$IT$3,"&lt;="&amp;$AE129,OFFSET(安値!$E$6:$IT$6,MATCH(TEXT($B129,"0"),TEXT(銘柄管理!$B$6:$B$305,"0"),0)-1,0),"&lt;="&amp;$N129)),""))</f>
        <v/>
      </c>
      <c r="AH129" s="600" t="str">
        <f>IF(OR($B129="",$M129=""),"",IF(AND(N($AF129)=0,N($AG129)=0),IF(AND(ISNUMBER($H129),$H129&gt;0,IF($C129="売",$H129&gt;=$N129,$H129&lt;=$N129)),"損切確定",IF(AND(ISNUMBER($H129),$H129&gt;0,IF($C129="売",$H129&lt;=$M129,$H129&gt;=$M129)),"利益確定",IF($AE129&lt;=TODAY(),"日数制限","保有中"))),IF(N($AG129)=0,"利益確定",IF(N($AF129)=0,"損切確定",IF($AG129&lt;=$AF129,"損切確定","利益確定")))))</f>
        <v/>
      </c>
      <c r="AI129" s="600" t="str" cm="1">
        <f t="array" ref="AI129">IFERROR(INDEX(始値!$E$6:$IT$305,MATCH(TEXT($B129,"0"),TEXT(銘柄管理!$B$6:$B$305,"0"),0),MATCH($AE129,始値!$E$3:$IT$3,0)),"")</f>
        <v/>
      </c>
      <c r="AJ129" s="608" t="str">
        <f>IF(OR($V129="",$F129="",$G129=""),"",$V129/($F129*$G129))</f>
        <v/>
      </c>
      <c r="AK129" s="600" t="str">
        <f>IF($V129="","",IF($V129&gt;0,"○勝",IF($V129&lt;0,"●負","△引分")))</f>
        <v/>
      </c>
    </row>
    <row r="130" spans="1:37" ht="35.4" customHeight="1">
      <c r="A130" s="619" t="str">
        <f>IF(B130="","",HYPERLINK("https://kabutan.jp/stock/?code="&amp;B130,"株探"))</f>
        <v/>
      </c>
      <c r="B130" s="489"/>
      <c r="C130" s="489"/>
      <c r="D130" s="489" t="str" cm="1">
        <f t="array" ref="D130">_xll.RssMarket(B130, "銘柄名称")</f>
        <v/>
      </c>
      <c r="E130" s="716"/>
      <c r="F130" s="698" t="str" cm="1">
        <f t="array" aca="1" ref="F130" ca="1">IFERROR(_xlfn.LET(_xlpm.r,MATCH(TEXT($B130,"0"),TEXT(銘柄管理!$B$6:$B$305,"0"),0),_xlpm.t,MOD(NOW(),1),_xlpm.c,IF($E130=TODAY(),IF(_xlpm.t&gt;=TIME(15,30,0),NA(),1),IF(MATCH($E130,始値!$E$3:$IT$3,0)=1,1,MATCH($E130,始値!$E$3:$IT$3,0)+1)),_xlpm.v,INDEX(始値!$C$6:$IT$305,_xlpm.r,_xlpm.c),IF(N(_xlpm.v)=0,"",_xlpm.v)),"")</f>
        <v/>
      </c>
      <c r="G130" s="489"/>
      <c r="H130" s="491" t="str" cm="1">
        <f t="array" ref="H130">_xll.RssMarket(B130, "現在値")</f>
        <v/>
      </c>
      <c r="I130" s="491" t="str" cm="1">
        <f t="array" ref="I130">_xll.RssMarket(B130, "出来高加重平均")</f>
        <v/>
      </c>
      <c r="J130" s="701" t="str" cm="1">
        <f t="array" ref="J130">_xll.RssMarket($B130, "前日比")</f>
        <v/>
      </c>
      <c r="K130" s="701" t="str">
        <f>IF(OR(F130="",G130="",H130=""),"",IF(C130="売",(F130-H130)*G130,(H130-F130)*G130))</f>
        <v/>
      </c>
      <c r="L130" s="706" t="str">
        <f>IF(OR(F130="",H130=""),"",IF(C130="売",(F130-H130)/F130,(H130-F130)/F130))</f>
        <v/>
      </c>
      <c r="M130" s="491" t="str">
        <f>IF($F130="","",$F130*IF($C130="売",1-V811設定!$B$4,1+V811設定!$B$4)-MOD($F130*IF($C130="売",1-V811設定!$B$4,1+V811設定!$B$4),IF($F130&lt;=3000,1,IF($F130&lt;=5000,5,IF($F130&lt;=30000,10,IF($F130&lt;=50000,50,IF($F130&lt;=300000,100,500))))))+IF(AND($C130="売",MOD($F130*IF($C130="売",1-V811設定!$B$4,1+V811設定!$B$4),IF($F130&lt;=3000,1,IF($F130&lt;=5000,5,IF($F130&lt;=30000,10,IF($F130&lt;=50000,50,IF($F130&lt;=300000,100,500))))))&gt;0),IF($F130&lt;=3000,1,IF($F130&lt;=5000,5,IF($F130&lt;=30000,10,IF($F130&lt;=50000,50,IF($F130&lt;=300000,100,500))))),0))</f>
      </c>
      <c r="N130" s="491" t="str">
        <f>IF($F130="","",$F130*IF($C130="売",1+V811設定!$B$3,1-V811設定!$B$3)-MOD($F130*IF($C130="売",1+V811設定!$B$3,1-V811設定!$B$3),IF($F130&lt;=3000,1,IF($F130&lt;=5000,5,IF($F130&lt;=30000,10,IF($F130&lt;=50000,50,IF($F130&lt;=300000,100,500))))))+IF(AND($C130="売",MOD($F130*IF($C130="売",1+V811設定!$B$3,1-V811設定!$B$3),IF($F130&lt;=3000,1,IF($F130&lt;=5000,5,IF($F130&lt;=30000,10,IF($F130&lt;=50000,50,IF($F130&lt;=300000,100,500))))))&gt;0),IF($F130&lt;=3000,1,IF($F130&lt;=5000,5,IF($F130&lt;=30000,10,IF($F130&lt;=50000,50,IF($F130&lt;=300000,100,500))))),0))</f>
      </c>
      <c r="O130" s="492" t="str">
        <f>IF(OR($B130="",$F130="",$H130=""),"",IF($S130="✅売却済","―決済済―",IF($C130="売",IF($H130&lt;=$M130,"🟢利確",IF(AND($R130&lt;&gt;"",$H130&gt;=$R130),"🟠TRAIL",IF($H130&gt;=$N130,"🔴損切",IF($W130&gt;=V811設定!$B$6,"⏱時間決済",IF($H130&gt;=$F130*(1+V811設定!$B$3*0.7),"⚠️損切接近","保持継続"))))),IF($H130&gt;=$M130,"🟢利確",IF(AND($R130&lt;&gt;"",$H130&lt;=$R130),"🟠TRAIL",IF($H130&lt;=$N130,"🔴損切",IF($W130&gt;=V811設定!$B$6,"⏱時間決済",IF($H130&lt;=$F130*(1-V811設定!$B$3*0.7),"⚠️損切接近","保持継続"))))))))</f>
      </c>
      <c r="P130" s="491"/>
      <c r="Q130" s="491"/>
      <c r="R130" s="491" t="str">
        <f>IF(OR($F130="",$H130="",$N130=""),"",IF($S130="✅売却済","",IF($C130="売",IF($H130&gt;$F130*(1-V811設定!$B$3),$N130,MIN($N130,IF($Q130="",$N130,$Q130*1.03))),IF($H130&lt;$F130*(1+V811設定!$B$3),$N130,MAX($N130,IF($P130="",$N130,$P130*0.97))))))</f>
      </c>
      <c r="S130" s="586" t="str">
        <f>IF(B130="","",IF(T130&lt;&gt;"","✅売却済",IF(OR(H130="",L130=""),"📌保有中",IF(L130&gt;=0.06,"🟢利確推奨",IF(L130&gt;=0.05,"🟡利確直近",IF(L130&gt;=0.045,"🔵トレーリング検討",IF(L130&gt;-0.03,"📌保有中",IF(L130&gt;-0.04,"⚠️損切注意","🔴損切り"))))))))</f>
        <v/>
      </c>
      <c r="T130" s="594"/>
      <c r="U130" s="491"/>
      <c r="V130" s="701" t="str">
        <f>IF(OR(F130="",G130="",U130=""),"",IF(C130="売",(F130-U130)*G130,(U130-F130)*G130))</f>
        <v/>
      </c>
      <c r="W130" s="493" t="str">
        <f>IF(OR($E130="",$B130=""),"",IF($T130&lt;&gt;"",$T130-$E130,TODAY()-$E130)+1)</f>
        <v/>
      </c>
      <c r="X130" s="489" t="str">
        <f>IF(OR($AH130="",$AH130="保有中"),"",$AH130)</f>
        <v/>
      </c>
      <c r="Y130" s="488"/>
      <c r="Z130" s="710"/>
      <c r="AD130" s="608"/>
      <c r="AE130" s="600" t="str">
        <f>IF($E130="","",WORKDAY($E130,12))</f>
        <v/>
      </c>
      <c r="AF130" s="600" t="str" cm="1">
        <f t="array" aca="1" ref="AF130" ca="1">IF(OR($B130="",$M130=""),"",IFERROR(IF($C130="売",_xlfn.MINIFS(安値!$E$3:$IT$3,安値!$E$3:$IT$3,"&gt;"&amp;$E130,安値!$E$3:$IT$3,"&lt;="&amp;$AE130,OFFSET(安値!$E$6:$IT$6,MATCH(TEXT($B130,"0"),TEXT(銘柄管理!$B$6:$B$305,"0"),0)-1,0),"&lt;="&amp;$M130),_xlfn.MINIFS(高値!$E$3:$IT$3,高値!$E$3:$IT$3,"&gt;"&amp;$E130,高値!$E$3:$IT$3,"&lt;="&amp;$AE130,OFFSET(高値!$E$6:$IT$6,MATCH(TEXT($B130,"0"),TEXT(銘柄管理!$B$6:$B$305,"0"),0)-1,0),"&gt;="&amp;$M130)),""))</f>
        <v/>
      </c>
      <c r="AG130" s="600" t="str" cm="1">
        <f t="array" aca="1" ref="AG130" ca="1">IF(OR($B130="",$N130=""),"",IFERROR(IF($C130="売",_xlfn.MINIFS(高値!$E$3:$IT$3,高値!$E$3:$IT$3,"&gt;"&amp;$E130,高値!$E$3:$IT$3,"&lt;="&amp;$AE130,OFFSET(高値!$E$6:$IT$6,MATCH(TEXT($B130,"0"),TEXT(銘柄管理!$B$6:$B$305,"0"),0)-1,0),"&gt;="&amp;$N130),_xlfn.MINIFS(安値!$E$3:$IT$3,安値!$E$3:$IT$3,"&gt;"&amp;$E130,安値!$E$3:$IT$3,"&lt;="&amp;$AE130,OFFSET(安値!$E$6:$IT$6,MATCH(TEXT($B130,"0"),TEXT(銘柄管理!$B$6:$B$305,"0"),0)-1,0),"&lt;="&amp;$N130)),""))</f>
        <v/>
      </c>
      <c r="AH130" s="600" t="str">
        <f>IF(OR($B130="",$M130=""),"",IF(AND(N($AF130)=0,N($AG130)=0),IF(AND(ISNUMBER($H130),$H130&gt;0,IF($C130="売",$H130&gt;=$N130,$H130&lt;=$N130)),"損切確定",IF(AND(ISNUMBER($H130),$H130&gt;0,IF($C130="売",$H130&lt;=$M130,$H130&gt;=$M130)),"利益確定",IF($AE130&lt;=TODAY(),"日数制限","保有中"))),IF(N($AG130)=0,"利益確定",IF(N($AF130)=0,"損切確定",IF($AG130&lt;=$AF130,"損切確定","利益確定")))))</f>
        <v/>
      </c>
      <c r="AI130" s="600" t="str" cm="1">
        <f t="array" ref="AI130">IFERROR(INDEX(始値!$E$6:$IT$305,MATCH(TEXT($B130,"0"),TEXT(銘柄管理!$B$6:$B$305,"0"),0),MATCH($AE130,始値!$E$3:$IT$3,0)),"")</f>
        <v/>
      </c>
      <c r="AJ130" s="608" t="str">
        <f>IF(OR($V130="",$F130="",$G130=""),"",$V130/($F130*$G130))</f>
        <v/>
      </c>
      <c r="AK130" s="600" t="str">
        <f>IF($V130="","",IF($V130&gt;0,"○勝",IF($V130&lt;0,"●負","△引分")))</f>
        <v/>
      </c>
    </row>
    <row r="131" spans="1:37" ht="35.4" customHeight="1">
      <c r="A131" s="619" t="str">
        <f>IF(B131="","",HYPERLINK("https://kabutan.jp/stock/?code="&amp;B131,"株探"))</f>
        <v/>
      </c>
      <c r="B131" s="489"/>
      <c r="C131" s="489"/>
      <c r="D131" s="489" t="str" cm="1">
        <f t="array" ref="D131">_xll.RssMarket(B131, "銘柄名称")</f>
        <v/>
      </c>
      <c r="E131" s="716"/>
      <c r="F131" s="698" t="str" cm="1">
        <f t="array" aca="1" ref="F131" ca="1">IFERROR(_xlfn.LET(_xlpm.r,MATCH(TEXT($B131,"0"),TEXT(銘柄管理!$B$6:$B$305,"0"),0),_xlpm.t,MOD(NOW(),1),_xlpm.c,IF($E131=TODAY(),IF(_xlpm.t&gt;=TIME(15,30,0),NA(),1),IF(MATCH($E131,始値!$E$3:$IT$3,0)=1,1,MATCH($E131,始値!$E$3:$IT$3,0)+1)),_xlpm.v,INDEX(始値!$C$6:$IT$305,_xlpm.r,_xlpm.c),IF(N(_xlpm.v)=0,"",_xlpm.v)),"")</f>
        <v/>
      </c>
      <c r="G131" s="489"/>
      <c r="H131" s="491" t="str" cm="1">
        <f t="array" ref="H131">_xll.RssMarket(B131, "現在値")</f>
        <v/>
      </c>
      <c r="I131" s="491" t="str" cm="1">
        <f t="array" ref="I131">_xll.RssMarket(B131, "出来高加重平均")</f>
        <v/>
      </c>
      <c r="J131" s="701" t="str" cm="1">
        <f t="array" ref="J131">_xll.RssMarket($B131, "前日比")</f>
        <v/>
      </c>
      <c r="K131" s="701" t="str">
        <f>IF(OR(F131="",G131="",H131=""),"",IF(C131="売",(F131-H131)*G131,(H131-F131)*G131))</f>
        <v/>
      </c>
      <c r="L131" s="706" t="str">
        <f>IF(OR(F131="",H131=""),"",IF(C131="売",(F131-H131)/F131,(H131-F131)/F131))</f>
        <v/>
      </c>
      <c r="M131" s="491" t="str">
        <f>IF($F131="","",$F131*IF($C131="売",1-V811設定!$B$4,1+V811設定!$B$4)-MOD($F131*IF($C131="売",1-V811設定!$B$4,1+V811設定!$B$4),IF($F131&lt;=3000,1,IF($F131&lt;=5000,5,IF($F131&lt;=30000,10,IF($F131&lt;=50000,50,IF($F131&lt;=300000,100,500))))))+IF(AND($C131="売",MOD($F131*IF($C131="売",1-V811設定!$B$4,1+V811設定!$B$4),IF($F131&lt;=3000,1,IF($F131&lt;=5000,5,IF($F131&lt;=30000,10,IF($F131&lt;=50000,50,IF($F131&lt;=300000,100,500))))))&gt;0),IF($F131&lt;=3000,1,IF($F131&lt;=5000,5,IF($F131&lt;=30000,10,IF($F131&lt;=50000,50,IF($F131&lt;=300000,100,500))))),0))</f>
      </c>
      <c r="N131" s="491" t="str">
        <f>IF($F131="","",$F131*IF($C131="売",1+V811設定!$B$3,1-V811設定!$B$3)-MOD($F131*IF($C131="売",1+V811設定!$B$3,1-V811設定!$B$3),IF($F131&lt;=3000,1,IF($F131&lt;=5000,5,IF($F131&lt;=30000,10,IF($F131&lt;=50000,50,IF($F131&lt;=300000,100,500))))))+IF(AND($C131="売",MOD($F131*IF($C131="売",1+V811設定!$B$3,1-V811設定!$B$3),IF($F131&lt;=3000,1,IF($F131&lt;=5000,5,IF($F131&lt;=30000,10,IF($F131&lt;=50000,50,IF($F131&lt;=300000,100,500))))))&gt;0),IF($F131&lt;=3000,1,IF($F131&lt;=5000,5,IF($F131&lt;=30000,10,IF($F131&lt;=50000,50,IF($F131&lt;=300000,100,500))))),0))</f>
      </c>
      <c r="O131" s="492" t="str">
        <f>IF(OR($B131="",$F131="",$H131=""),"",IF($S131="✅売却済","―決済済―",IF($C131="売",IF($H131&lt;=$M131,"🟢利確",IF(AND($R131&lt;&gt;"",$H131&gt;=$R131),"🟠TRAIL",IF($H131&gt;=$N131,"🔴損切",IF($W131&gt;=V811設定!$B$6,"⏱時間決済",IF($H131&gt;=$F131*(1+V811設定!$B$3*0.7),"⚠️損切接近","保持継続"))))),IF($H131&gt;=$M131,"🟢利確",IF(AND($R131&lt;&gt;"",$H131&lt;=$R131),"🟠TRAIL",IF($H131&lt;=$N131,"🔴損切",IF($W131&gt;=V811設定!$B$6,"⏱時間決済",IF($H131&lt;=$F131*(1-V811設定!$B$3*0.7),"⚠️損切接近","保持継続"))))))))</f>
      </c>
      <c r="P131" s="491"/>
      <c r="Q131" s="491"/>
      <c r="R131" s="491" t="str">
        <f>IF(OR($F131="",$H131="",$N131=""),"",IF($S131="✅売却済","",IF($C131="売",IF($H131&gt;$F131*(1-V811設定!$B$3),$N131,MIN($N131,IF($Q131="",$N131,$Q131*1.03))),IF($H131&lt;$F131*(1+V811設定!$B$3),$N131,MAX($N131,IF($P131="",$N131,$P131*0.97))))))</f>
      </c>
      <c r="S131" s="586" t="str">
        <f>IF(B131="","",IF(T131&lt;&gt;"","✅売却済",IF(OR(H131="",L131=""),"📌保有中",IF(L131&gt;=0.06,"🟢利確推奨",IF(L131&gt;=0.05,"🟡利確直近",IF(L131&gt;=0.045,"🔵トレーリング検討",IF(L131&gt;-0.03,"📌保有中",IF(L131&gt;-0.04,"⚠️損切注意","🔴損切り"))))))))</f>
        <v/>
      </c>
      <c r="T131" s="594"/>
      <c r="U131" s="491"/>
      <c r="V131" s="701" t="str">
        <f>IF(OR(F131="",G131="",U131=""),"",IF(C131="売",(F131-U131)*G131,(U131-F131)*G131))</f>
        <v/>
      </c>
      <c r="W131" s="493" t="str">
        <f>IF(OR($E131="",$B131=""),"",IF($T131&lt;&gt;"",$T131-$E131,TODAY()-$E131)+1)</f>
        <v/>
      </c>
      <c r="X131" s="489" t="str">
        <f>IF(OR($AH131="",$AH131="保有中"),"",$AH131)</f>
        <v/>
      </c>
      <c r="Y131" s="488"/>
      <c r="Z131" s="710"/>
      <c r="AD131" s="608"/>
      <c r="AE131" s="600" t="str">
        <f>IF($E131="","",WORKDAY($E131,12))</f>
        <v/>
      </c>
      <c r="AF131" s="600" t="str" cm="1">
        <f t="array" aca="1" ref="AF131" ca="1">IF(OR($B131="",$M131=""),"",IFERROR(IF($C131="売",_xlfn.MINIFS(安値!$E$3:$IT$3,安値!$E$3:$IT$3,"&gt;"&amp;$E131,安値!$E$3:$IT$3,"&lt;="&amp;$AE131,OFFSET(安値!$E$6:$IT$6,MATCH(TEXT($B131,"0"),TEXT(銘柄管理!$B$6:$B$305,"0"),0)-1,0),"&lt;="&amp;$M131),_xlfn.MINIFS(高値!$E$3:$IT$3,高値!$E$3:$IT$3,"&gt;"&amp;$E131,高値!$E$3:$IT$3,"&lt;="&amp;$AE131,OFFSET(高値!$E$6:$IT$6,MATCH(TEXT($B131,"0"),TEXT(銘柄管理!$B$6:$B$305,"0"),0)-1,0),"&gt;="&amp;$M131)),""))</f>
        <v/>
      </c>
      <c r="AG131" s="600" t="str" cm="1">
        <f t="array" aca="1" ref="AG131" ca="1">IF(OR($B131="",$N131=""),"",IFERROR(IF($C131="売",_xlfn.MINIFS(高値!$E$3:$IT$3,高値!$E$3:$IT$3,"&gt;"&amp;$E131,高値!$E$3:$IT$3,"&lt;="&amp;$AE131,OFFSET(高値!$E$6:$IT$6,MATCH(TEXT($B131,"0"),TEXT(銘柄管理!$B$6:$B$305,"0"),0)-1,0),"&gt;="&amp;$N131),_xlfn.MINIFS(安値!$E$3:$IT$3,安値!$E$3:$IT$3,"&gt;"&amp;$E131,安値!$E$3:$IT$3,"&lt;="&amp;$AE131,OFFSET(安値!$E$6:$IT$6,MATCH(TEXT($B131,"0"),TEXT(銘柄管理!$B$6:$B$305,"0"),0)-1,0),"&lt;="&amp;$N131)),""))</f>
        <v/>
      </c>
      <c r="AH131" s="600" t="str">
        <f>IF(OR($B131="",$M131=""),"",IF(AND(N($AF131)=0,N($AG131)=0),IF(AND(ISNUMBER($H131),$H131&gt;0,IF($C131="売",$H131&gt;=$N131,$H131&lt;=$N131)),"損切確定",IF(AND(ISNUMBER($H131),$H131&gt;0,IF($C131="売",$H131&lt;=$M131,$H131&gt;=$M131)),"利益確定",IF($AE131&lt;=TODAY(),"日数制限","保有中"))),IF(N($AG131)=0,"利益確定",IF(N($AF131)=0,"損切確定",IF($AG131&lt;=$AF131,"損切確定","利益確定")))))</f>
        <v/>
      </c>
      <c r="AI131" s="600" t="str" cm="1">
        <f t="array" ref="AI131">IFERROR(INDEX(始値!$E$6:$IT$305,MATCH(TEXT($B131,"0"),TEXT(銘柄管理!$B$6:$B$305,"0"),0),MATCH($AE131,始値!$E$3:$IT$3,0)),"")</f>
        <v/>
      </c>
      <c r="AJ131" s="608" t="str">
        <f>IF(OR($V131="",$F131="",$G131=""),"",$V131/($F131*$G131))</f>
        <v/>
      </c>
      <c r="AK131" s="600" t="str">
        <f>IF($V131="","",IF($V131&gt;0,"○勝",IF($V131&lt;0,"●負","△引分")))</f>
        <v/>
      </c>
    </row>
    <row r="132" spans="1:37" ht="35.4" customHeight="1">
      <c r="A132" s="619" t="str">
        <f>IF(B132="","",HYPERLINK("https://kabutan.jp/stock/?code="&amp;B132,"株探"))</f>
        <v/>
      </c>
      <c r="B132" s="489"/>
      <c r="C132" s="489"/>
      <c r="D132" s="489" t="str" cm="1">
        <f t="array" ref="D132">_xll.RssMarket(B132, "銘柄名称")</f>
        <v/>
      </c>
      <c r="E132" s="716"/>
      <c r="F132" s="698" t="str" cm="1">
        <f t="array" aca="1" ref="F132" ca="1">IFERROR(_xlfn.LET(_xlpm.r,MATCH(TEXT($B132,"0"),TEXT(銘柄管理!$B$6:$B$305,"0"),0),_xlpm.t,MOD(NOW(),1),_xlpm.c,IF($E132=TODAY(),IF(_xlpm.t&gt;=TIME(15,30,0),NA(),1),IF(MATCH($E132,始値!$E$3:$IT$3,0)=1,1,MATCH($E132,始値!$E$3:$IT$3,0)+1)),_xlpm.v,INDEX(始値!$C$6:$IT$305,_xlpm.r,_xlpm.c),IF(N(_xlpm.v)=0,"",_xlpm.v)),"")</f>
        <v/>
      </c>
      <c r="G132" s="489"/>
      <c r="H132" s="491" t="str" cm="1">
        <f t="array" ref="H132">_xll.RssMarket(B132, "現在値")</f>
        <v/>
      </c>
      <c r="I132" s="491" t="str" cm="1">
        <f t="array" ref="I132">_xll.RssMarket(B132, "出来高加重平均")</f>
        <v/>
      </c>
      <c r="J132" s="701" t="str" cm="1">
        <f t="array" ref="J132">_xll.RssMarket($B132, "前日比")</f>
        <v/>
      </c>
      <c r="K132" s="701" t="str">
        <f>IF(OR(F132="",G132="",H132=""),"",IF(C132="売",(F132-H132)*G132,(H132-F132)*G132))</f>
        <v/>
      </c>
      <c r="L132" s="706" t="str">
        <f>IF(OR(F132="",H132=""),"",IF(C132="売",(F132-H132)/F132,(H132-F132)/F132))</f>
        <v/>
      </c>
      <c r="M132" s="491" t="str">
        <f>IF($F132="","",$F132*IF($C132="売",1-V811設定!$B$4,1+V811設定!$B$4)-MOD($F132*IF($C132="売",1-V811設定!$B$4,1+V811設定!$B$4),IF($F132&lt;=3000,1,IF($F132&lt;=5000,5,IF($F132&lt;=30000,10,IF($F132&lt;=50000,50,IF($F132&lt;=300000,100,500))))))+IF(AND($C132="売",MOD($F132*IF($C132="売",1-V811設定!$B$4,1+V811設定!$B$4),IF($F132&lt;=3000,1,IF($F132&lt;=5000,5,IF($F132&lt;=30000,10,IF($F132&lt;=50000,50,IF($F132&lt;=300000,100,500))))))&gt;0),IF($F132&lt;=3000,1,IF($F132&lt;=5000,5,IF($F132&lt;=30000,10,IF($F132&lt;=50000,50,IF($F132&lt;=300000,100,500))))),0))</f>
      </c>
      <c r="N132" s="491" t="str">
        <f>IF($F132="","",$F132*IF($C132="売",1+V811設定!$B$3,1-V811設定!$B$3)-MOD($F132*IF($C132="売",1+V811設定!$B$3,1-V811設定!$B$3),IF($F132&lt;=3000,1,IF($F132&lt;=5000,5,IF($F132&lt;=30000,10,IF($F132&lt;=50000,50,IF($F132&lt;=300000,100,500))))))+IF(AND($C132="売",MOD($F132*IF($C132="売",1+V811設定!$B$3,1-V811設定!$B$3),IF($F132&lt;=3000,1,IF($F132&lt;=5000,5,IF($F132&lt;=30000,10,IF($F132&lt;=50000,50,IF($F132&lt;=300000,100,500))))))&gt;0),IF($F132&lt;=3000,1,IF($F132&lt;=5000,5,IF($F132&lt;=30000,10,IF($F132&lt;=50000,50,IF($F132&lt;=300000,100,500))))),0))</f>
      </c>
      <c r="O132" s="492" t="str">
        <f>IF(OR($B132="",$F132="",$H132=""),"",IF($S132="✅売却済","―決済済―",IF($C132="売",IF($H132&lt;=$M132,"🟢利確",IF(AND($R132&lt;&gt;"",$H132&gt;=$R132),"🟠TRAIL",IF($H132&gt;=$N132,"🔴損切",IF($W132&gt;=V811設定!$B$6,"⏱時間決済",IF($H132&gt;=$F132*(1+V811設定!$B$3*0.7),"⚠️損切接近","保持継続"))))),IF($H132&gt;=$M132,"🟢利確",IF(AND($R132&lt;&gt;"",$H132&lt;=$R132),"🟠TRAIL",IF($H132&lt;=$N132,"🔴損切",IF($W132&gt;=V811設定!$B$6,"⏱時間決済",IF($H132&lt;=$F132*(1-V811設定!$B$3*0.7),"⚠️損切接近","保持継続"))))))))</f>
      </c>
      <c r="P132" s="491"/>
      <c r="Q132" s="491"/>
      <c r="R132" s="491" t="str">
        <f>IF(OR($F132="",$H132="",$N132=""),"",IF($S132="✅売却済","",IF($C132="売",IF($H132&gt;$F132*(1-V811設定!$B$3),$N132,MIN($N132,IF($Q132="",$N132,$Q132*1.03))),IF($H132&lt;$F132*(1+V811設定!$B$3),$N132,MAX($N132,IF($P132="",$N132,$P132*0.97))))))</f>
      </c>
      <c r="S132" s="586" t="str">
        <f>IF(B132="","",IF(T132&lt;&gt;"","✅売却済",IF(OR(H132="",L132=""),"📌保有中",IF(L132&gt;=0.06,"🟢利確推奨",IF(L132&gt;=0.05,"🟡利確直近",IF(L132&gt;=0.045,"🔵トレーリング検討",IF(L132&gt;-0.03,"📌保有中",IF(L132&gt;-0.04,"⚠️損切注意","🔴損切り"))))))))</f>
        <v/>
      </c>
      <c r="T132" s="594"/>
      <c r="U132" s="491"/>
      <c r="V132" s="701" t="str">
        <f>IF(OR(F132="",G132="",U132=""),"",IF(C132="売",(F132-U132)*G132,(U132-F132)*G132))</f>
        <v/>
      </c>
      <c r="W132" s="493" t="str">
        <f>IF(OR($E132="",$B132=""),"",IF($T132&lt;&gt;"",$T132-$E132,TODAY()-$E132)+1)</f>
        <v/>
      </c>
      <c r="X132" s="489" t="str">
        <f>IF(OR($AH132="",$AH132="保有中"),"",$AH132)</f>
        <v/>
      </c>
      <c r="Y132" s="488"/>
      <c r="Z132" s="710"/>
      <c r="AD132" s="608"/>
      <c r="AE132" s="600" t="str">
        <f>IF($E132="","",WORKDAY($E132,12))</f>
        <v/>
      </c>
      <c r="AF132" s="600" t="str" cm="1">
        <f t="array" aca="1" ref="AF132" ca="1">IF(OR($B132="",$M132=""),"",IFERROR(IF($C132="売",_xlfn.MINIFS(安値!$E$3:$IT$3,安値!$E$3:$IT$3,"&gt;"&amp;$E132,安値!$E$3:$IT$3,"&lt;="&amp;$AE132,OFFSET(安値!$E$6:$IT$6,MATCH(TEXT($B132,"0"),TEXT(銘柄管理!$B$6:$B$305,"0"),0)-1,0),"&lt;="&amp;$M132),_xlfn.MINIFS(高値!$E$3:$IT$3,高値!$E$3:$IT$3,"&gt;"&amp;$E132,高値!$E$3:$IT$3,"&lt;="&amp;$AE132,OFFSET(高値!$E$6:$IT$6,MATCH(TEXT($B132,"0"),TEXT(銘柄管理!$B$6:$B$305,"0"),0)-1,0),"&gt;="&amp;$M132)),""))</f>
        <v/>
      </c>
      <c r="AG132" s="600" t="str" cm="1">
        <f t="array" aca="1" ref="AG132" ca="1">IF(OR($B132="",$N132=""),"",IFERROR(IF($C132="売",_xlfn.MINIFS(高値!$E$3:$IT$3,高値!$E$3:$IT$3,"&gt;"&amp;$E132,高値!$E$3:$IT$3,"&lt;="&amp;$AE132,OFFSET(高値!$E$6:$IT$6,MATCH(TEXT($B132,"0"),TEXT(銘柄管理!$B$6:$B$305,"0"),0)-1,0),"&gt;="&amp;$N132),_xlfn.MINIFS(安値!$E$3:$IT$3,安値!$E$3:$IT$3,"&gt;"&amp;$E132,安値!$E$3:$IT$3,"&lt;="&amp;$AE132,OFFSET(安値!$E$6:$IT$6,MATCH(TEXT($B132,"0"),TEXT(銘柄管理!$B$6:$B$305,"0"),0)-1,0),"&lt;="&amp;$N132)),""))</f>
        <v/>
      </c>
      <c r="AH132" s="600" t="str">
        <f>IF(OR($B132="",$M132=""),"",IF(AND(N($AF132)=0,N($AG132)=0),IF(AND(ISNUMBER($H132),$H132&gt;0,IF($C132="売",$H132&gt;=$N132,$H132&lt;=$N132)),"損切確定",IF(AND(ISNUMBER($H132),$H132&gt;0,IF($C132="売",$H132&lt;=$M132,$H132&gt;=$M132)),"利益確定",IF($AE132&lt;=TODAY(),"日数制限","保有中"))),IF(N($AG132)=0,"利益確定",IF(N($AF132)=0,"損切確定",IF($AG132&lt;=$AF132,"損切確定","利益確定")))))</f>
        <v/>
      </c>
      <c r="AI132" s="600" t="str" cm="1">
        <f t="array" ref="AI132">IFERROR(INDEX(始値!$E$6:$IT$305,MATCH(TEXT($B132,"0"),TEXT(銘柄管理!$B$6:$B$305,"0"),0),MATCH($AE132,始値!$E$3:$IT$3,0)),"")</f>
        <v/>
      </c>
      <c r="AJ132" s="608" t="str">
        <f>IF(OR($V132="",$F132="",$G132=""),"",$V132/($F132*$G132))</f>
        <v/>
      </c>
      <c r="AK132" s="600" t="str">
        <f>IF($V132="","",IF($V132&gt;0,"○勝",IF($V132&lt;0,"●負","△引分")))</f>
        <v/>
      </c>
    </row>
    <row r="133" spans="1:37" ht="35.4" customHeight="1">
      <c r="A133" s="619" t="str">
        <f>IF(B133="","",HYPERLINK("https://kabutan.jp/stock/?code="&amp;B133,"株探"))</f>
        <v/>
      </c>
      <c r="B133" s="489"/>
      <c r="C133" s="489"/>
      <c r="D133" s="489" t="str" cm="1">
        <f t="array" ref="D133">_xll.RssMarket(B133, "銘柄名称")</f>
        <v/>
      </c>
      <c r="E133" s="716"/>
      <c r="F133" s="698" t="str" cm="1">
        <f t="array" aca="1" ref="F133" ca="1">IFERROR(_xlfn.LET(_xlpm.r,MATCH(TEXT($B133,"0"),TEXT(銘柄管理!$B$6:$B$305,"0"),0),_xlpm.t,MOD(NOW(),1),_xlpm.c,IF($E133=TODAY(),IF(_xlpm.t&gt;=TIME(15,30,0),NA(),1),IF(MATCH($E133,始値!$E$3:$IT$3,0)=1,1,MATCH($E133,始値!$E$3:$IT$3,0)+1)),_xlpm.v,INDEX(始値!$C$6:$IT$305,_xlpm.r,_xlpm.c),IF(N(_xlpm.v)=0,"",_xlpm.v)),"")</f>
        <v/>
      </c>
      <c r="G133" s="489"/>
      <c r="H133" s="491" t="str" cm="1">
        <f t="array" ref="H133">_xll.RssMarket(B133, "現在値")</f>
        <v/>
      </c>
      <c r="I133" s="491" t="str" cm="1">
        <f t="array" ref="I133">_xll.RssMarket(B133, "出来高加重平均")</f>
        <v/>
      </c>
      <c r="J133" s="701" t="str" cm="1">
        <f t="array" ref="J133">_xll.RssMarket($B133, "前日比")</f>
        <v/>
      </c>
      <c r="K133" s="701" t="str">
        <f>IF(OR(F133="",G133="",H133=""),"",IF(C133="売",(F133-H133)*G133,(H133-F133)*G133))</f>
        <v/>
      </c>
      <c r="L133" s="706" t="str">
        <f>IF(OR(F133="",H133=""),"",IF(C133="売",(F133-H133)/F133,(H133-F133)/F133))</f>
        <v/>
      </c>
      <c r="M133" s="491" t="str">
        <f>IF($F133="","",$F133*IF($C133="売",1-V811設定!$B$4,1+V811設定!$B$4)-MOD($F133*IF($C133="売",1-V811設定!$B$4,1+V811設定!$B$4),IF($F133&lt;=3000,1,IF($F133&lt;=5000,5,IF($F133&lt;=30000,10,IF($F133&lt;=50000,50,IF($F133&lt;=300000,100,500))))))+IF(AND($C133="売",MOD($F133*IF($C133="売",1-V811設定!$B$4,1+V811設定!$B$4),IF($F133&lt;=3000,1,IF($F133&lt;=5000,5,IF($F133&lt;=30000,10,IF($F133&lt;=50000,50,IF($F133&lt;=300000,100,500))))))&gt;0),IF($F133&lt;=3000,1,IF($F133&lt;=5000,5,IF($F133&lt;=30000,10,IF($F133&lt;=50000,50,IF($F133&lt;=300000,100,500))))),0))</f>
      </c>
      <c r="N133" s="491" t="str">
        <f>IF($F133="","",$F133*IF($C133="売",1+V811設定!$B$3,1-V811設定!$B$3)-MOD($F133*IF($C133="売",1+V811設定!$B$3,1-V811設定!$B$3),IF($F133&lt;=3000,1,IF($F133&lt;=5000,5,IF($F133&lt;=30000,10,IF($F133&lt;=50000,50,IF($F133&lt;=300000,100,500))))))+IF(AND($C133="売",MOD($F133*IF($C133="売",1+V811設定!$B$3,1-V811設定!$B$3),IF($F133&lt;=3000,1,IF($F133&lt;=5000,5,IF($F133&lt;=30000,10,IF($F133&lt;=50000,50,IF($F133&lt;=300000,100,500))))))&gt;0),IF($F133&lt;=3000,1,IF($F133&lt;=5000,5,IF($F133&lt;=30000,10,IF($F133&lt;=50000,50,IF($F133&lt;=300000,100,500))))),0))</f>
      </c>
      <c r="O133" s="492" t="str">
        <f>IF(OR($B133="",$F133="",$H133=""),"",IF($S133="✅売却済","―決済済―",IF($C133="売",IF($H133&lt;=$M133,"🟢利確",IF(AND($R133&lt;&gt;"",$H133&gt;=$R133),"🟠TRAIL",IF($H133&gt;=$N133,"🔴損切",IF($W133&gt;=V811設定!$B$6,"⏱時間決済",IF($H133&gt;=$F133*(1+V811設定!$B$3*0.7),"⚠️損切接近","保持継続"))))),IF($H133&gt;=$M133,"🟢利確",IF(AND($R133&lt;&gt;"",$H133&lt;=$R133),"🟠TRAIL",IF($H133&lt;=$N133,"🔴損切",IF($W133&gt;=V811設定!$B$6,"⏱時間決済",IF($H133&lt;=$F133*(1-V811設定!$B$3*0.7),"⚠️損切接近","保持継続"))))))))</f>
      </c>
      <c r="P133" s="491"/>
      <c r="Q133" s="491"/>
      <c r="R133" s="491" t="str">
        <f>IF(OR($F133="",$H133="",$N133=""),"",IF($S133="✅売却済","",IF($C133="売",IF($H133&gt;$F133*(1-V811設定!$B$3),$N133,MIN($N133,IF($Q133="",$N133,$Q133*1.03))),IF($H133&lt;$F133*(1+V811設定!$B$3),$N133,MAX($N133,IF($P133="",$N133,$P133*0.97))))))</f>
      </c>
      <c r="S133" s="586" t="str">
        <f>IF(B133="","",IF(T133&lt;&gt;"","✅売却済",IF(OR(H133="",L133=""),"📌保有中",IF(L133&gt;=0.06,"🟢利確推奨",IF(L133&gt;=0.05,"🟡利確直近",IF(L133&gt;=0.045,"🔵トレーリング検討",IF(L133&gt;-0.03,"📌保有中",IF(L133&gt;-0.04,"⚠️損切注意","🔴損切り"))))))))</f>
        <v/>
      </c>
      <c r="T133" s="594"/>
      <c r="U133" s="491"/>
      <c r="V133" s="701" t="str">
        <f>IF(OR(F133="",G133="",U133=""),"",IF(C133="売",(F133-U133)*G133,(U133-F133)*G133))</f>
        <v/>
      </c>
      <c r="W133" s="493" t="str">
        <f>IF(OR($E133="",$B133=""),"",IF($T133&lt;&gt;"",$T133-$E133,TODAY()-$E133)+1)</f>
        <v/>
      </c>
      <c r="X133" s="489" t="str">
        <f>IF(OR($AH133="",$AH133="保有中"),"",$AH133)</f>
        <v/>
      </c>
      <c r="Y133" s="488"/>
      <c r="Z133" s="710"/>
      <c r="AD133" s="608"/>
      <c r="AE133" s="600" t="str">
        <f>IF($E133="","",WORKDAY($E133,12))</f>
        <v/>
      </c>
      <c r="AF133" s="600" t="str" cm="1">
        <f t="array" aca="1" ref="AF133" ca="1">IF(OR($B133="",$M133=""),"",IFERROR(IF($C133="売",_xlfn.MINIFS(安値!$E$3:$IT$3,安値!$E$3:$IT$3,"&gt;"&amp;$E133,安値!$E$3:$IT$3,"&lt;="&amp;$AE133,OFFSET(安値!$E$6:$IT$6,MATCH(TEXT($B133,"0"),TEXT(銘柄管理!$B$6:$B$305,"0"),0)-1,0),"&lt;="&amp;$M133),_xlfn.MINIFS(高値!$E$3:$IT$3,高値!$E$3:$IT$3,"&gt;"&amp;$E133,高値!$E$3:$IT$3,"&lt;="&amp;$AE133,OFFSET(高値!$E$6:$IT$6,MATCH(TEXT($B133,"0"),TEXT(銘柄管理!$B$6:$B$305,"0"),0)-1,0),"&gt;="&amp;$M133)),""))</f>
        <v/>
      </c>
      <c r="AG133" s="600" t="str" cm="1">
        <f t="array" aca="1" ref="AG133" ca="1">IF(OR($B133="",$N133=""),"",IFERROR(IF($C133="売",_xlfn.MINIFS(高値!$E$3:$IT$3,高値!$E$3:$IT$3,"&gt;"&amp;$E133,高値!$E$3:$IT$3,"&lt;="&amp;$AE133,OFFSET(高値!$E$6:$IT$6,MATCH(TEXT($B133,"0"),TEXT(銘柄管理!$B$6:$B$305,"0"),0)-1,0),"&gt;="&amp;$N133),_xlfn.MINIFS(安値!$E$3:$IT$3,安値!$E$3:$IT$3,"&gt;"&amp;$E133,安値!$E$3:$IT$3,"&lt;="&amp;$AE133,OFFSET(安値!$E$6:$IT$6,MATCH(TEXT($B133,"0"),TEXT(銘柄管理!$B$6:$B$305,"0"),0)-1,0),"&lt;="&amp;$N133)),""))</f>
        <v/>
      </c>
      <c r="AH133" s="600" t="str">
        <f>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00" t="str" cm="1">
        <f t="array" ref="AI133">IFERROR(INDEX(始値!$E$6:$IT$305,MATCH(TEXT($B133,"0"),TEXT(銘柄管理!$B$6:$B$305,"0"),0),MATCH($AE133,始値!$E$3:$IT$3,0)),"")</f>
        <v/>
      </c>
      <c r="AJ133" s="608" t="str">
        <f>IF(OR($V133="",$F133="",$G133=""),"",$V133/($F133*$G133))</f>
        <v/>
      </c>
      <c r="AK133" s="600" t="str">
        <f>IF($V133="","",IF($V133&gt;0,"○勝",IF($V133&lt;0,"●負","△引分")))</f>
        <v/>
      </c>
    </row>
    <row r="134" spans="1:37" ht="35.4" customHeight="1">
      <c r="A134" s="619" t="str">
        <f>IF(B134="","",HYPERLINK("https://kabutan.jp/stock/?code="&amp;B134,"株探"))</f>
        <v/>
      </c>
      <c r="B134" s="489"/>
      <c r="C134" s="489"/>
      <c r="D134" s="489" t="str" cm="1">
        <f t="array" ref="D134">_xll.RssMarket(B134, "銘柄名称")</f>
        <v/>
      </c>
      <c r="E134" s="716"/>
      <c r="F134" s="698" t="str" cm="1">
        <f t="array" aca="1" ref="F134" ca="1">IFERROR(_xlfn.LET(_xlpm.r,MATCH(TEXT($B134,"0"),TEXT(銘柄管理!$B$6:$B$305,"0"),0),_xlpm.t,MOD(NOW(),1),_xlpm.c,IF($E134=TODAY(),IF(_xlpm.t&gt;=TIME(15,30,0),NA(),1),IF(MATCH($E134,始値!$E$3:$IT$3,0)=1,1,MATCH($E134,始値!$E$3:$IT$3,0)+1)),_xlpm.v,INDEX(始値!$C$6:$IT$305,_xlpm.r,_xlpm.c),IF(N(_xlpm.v)=0,"",_xlpm.v)),"")</f>
        <v/>
      </c>
      <c r="G134" s="489"/>
      <c r="H134" s="491" t="str" cm="1">
        <f t="array" ref="H134">_xll.RssMarket(B134, "現在値")</f>
        <v/>
      </c>
      <c r="I134" s="491" t="str" cm="1">
        <f t="array" ref="I134">_xll.RssMarket(B134, "出来高加重平均")</f>
        <v/>
      </c>
      <c r="J134" s="701" t="str" cm="1">
        <f t="array" ref="J134">_xll.RssMarket($B134, "前日比")</f>
        <v/>
      </c>
      <c r="K134" s="701" t="str">
        <f>IF(OR(F134="",G134="",H134=""),"",IF(C134="売",(F134-H134)*G134,(H134-F134)*G134))</f>
        <v/>
      </c>
      <c r="L134" s="706" t="str">
        <f>IF(OR(F134="",H134=""),"",IF(C134="売",(F134-H134)/F134,(H134-F134)/F134))</f>
        <v/>
      </c>
      <c r="M134" s="491" t="str">
        <f>IF($F134="","",$F134*IF($C134="売",1-V811設定!$B$4,1+V811設定!$B$4)-MOD($F134*IF($C134="売",1-V811設定!$B$4,1+V811設定!$B$4),IF($F134&lt;=3000,1,IF($F134&lt;=5000,5,IF($F134&lt;=30000,10,IF($F134&lt;=50000,50,IF($F134&lt;=300000,100,500))))))+IF(AND($C134="売",MOD($F134*IF($C134="売",1-V811設定!$B$4,1+V811設定!$B$4),IF($F134&lt;=3000,1,IF($F134&lt;=5000,5,IF($F134&lt;=30000,10,IF($F134&lt;=50000,50,IF($F134&lt;=300000,100,500))))))&gt;0),IF($F134&lt;=3000,1,IF($F134&lt;=5000,5,IF($F134&lt;=30000,10,IF($F134&lt;=50000,50,IF($F134&lt;=300000,100,500))))),0))</f>
      </c>
      <c r="N134" s="491" t="str">
        <f>IF($F134="","",$F134*IF($C134="売",1+V811設定!$B$3,1-V811設定!$B$3)-MOD($F134*IF($C134="売",1+V811設定!$B$3,1-V811設定!$B$3),IF($F134&lt;=3000,1,IF($F134&lt;=5000,5,IF($F134&lt;=30000,10,IF($F134&lt;=50000,50,IF($F134&lt;=300000,100,500))))))+IF(AND($C134="売",MOD($F134*IF($C134="売",1+V811設定!$B$3,1-V811設定!$B$3),IF($F134&lt;=3000,1,IF($F134&lt;=5000,5,IF($F134&lt;=30000,10,IF($F134&lt;=50000,50,IF($F134&lt;=300000,100,500))))))&gt;0),IF($F134&lt;=3000,1,IF($F134&lt;=5000,5,IF($F134&lt;=30000,10,IF($F134&lt;=50000,50,IF($F134&lt;=300000,100,500))))),0))</f>
      </c>
      <c r="O134" s="492" t="str">
        <f>IF(OR($B134="",$F134="",$H134=""),"",IF($S134="✅売却済","―決済済―",IF($C134="売",IF($H134&lt;=$M134,"🟢利確",IF(AND($R134&lt;&gt;"",$H134&gt;=$R134),"🟠TRAIL",IF($H134&gt;=$N134,"🔴損切",IF($W134&gt;=V811設定!$B$6,"⏱時間決済",IF($H134&gt;=$F134*(1+V811設定!$B$3*0.7),"⚠️損切接近","保持継続"))))),IF($H134&gt;=$M134,"🟢利確",IF(AND($R134&lt;&gt;"",$H134&lt;=$R134),"🟠TRAIL",IF($H134&lt;=$N134,"🔴損切",IF($W134&gt;=V811設定!$B$6,"⏱時間決済",IF($H134&lt;=$F134*(1-V811設定!$B$3*0.7),"⚠️損切接近","保持継続"))))))))</f>
      </c>
      <c r="P134" s="491"/>
      <c r="Q134" s="491"/>
      <c r="R134" s="491" t="str">
        <f>IF(OR($F134="",$H134="",$N134=""),"",IF($S134="✅売却済","",IF($C134="売",IF($H134&gt;$F134*(1-V811設定!$B$3),$N134,MIN($N134,IF($Q134="",$N134,$Q134*1.03))),IF($H134&lt;$F134*(1+V811設定!$B$3),$N134,MAX($N134,IF($P134="",$N134,$P134*0.97))))))</f>
      </c>
      <c r="S134" s="586" t="str">
        <f>IF(B134="","",IF(T134&lt;&gt;"","✅売却済",IF(OR(H134="",L134=""),"📌保有中",IF(L134&gt;=0.06,"🟢利確推奨",IF(L134&gt;=0.05,"🟡利確直近",IF(L134&gt;=0.045,"🔵トレーリング検討",IF(L134&gt;-0.03,"📌保有中",IF(L134&gt;-0.04,"⚠️損切注意","🔴損切り"))))))))</f>
        <v/>
      </c>
      <c r="T134" s="594"/>
      <c r="U134" s="491"/>
      <c r="V134" s="701" t="str">
        <f>IF(OR(F134="",G134="",U134=""),"",IF(C134="売",(F134-U134)*G134,(U134-F134)*G134))</f>
        <v/>
      </c>
      <c r="W134" s="493" t="str">
        <f>IF(OR($E134="",$B134=""),"",IF($T134&lt;&gt;"",$T134-$E134,TODAY()-$E134)+1)</f>
        <v/>
      </c>
      <c r="X134" s="489" t="str">
        <f>IF(OR($AH134="",$AH134="保有中"),"",$AH134)</f>
        <v/>
      </c>
      <c r="Y134" s="488"/>
      <c r="Z134" s="710"/>
      <c r="AD134" s="608"/>
      <c r="AE134" s="600" t="str">
        <f>IF($E134="","",WORKDAY($E134,12))</f>
        <v/>
      </c>
      <c r="AF134" s="600" t="str" cm="1">
        <f t="array" aca="1" ref="AF134" ca="1">IF(OR($B134="",$M134=""),"",IFERROR(IF($C134="売",_xlfn.MINIFS(安値!$E$3:$IT$3,安値!$E$3:$IT$3,"&gt;"&amp;$E134,安値!$E$3:$IT$3,"&lt;="&amp;$AE134,OFFSET(安値!$E$6:$IT$6,MATCH(TEXT($B134,"0"),TEXT(銘柄管理!$B$6:$B$305,"0"),0)-1,0),"&lt;="&amp;$M134),_xlfn.MINIFS(高値!$E$3:$IT$3,高値!$E$3:$IT$3,"&gt;"&amp;$E134,高値!$E$3:$IT$3,"&lt;="&amp;$AE134,OFFSET(高値!$E$6:$IT$6,MATCH(TEXT($B134,"0"),TEXT(銘柄管理!$B$6:$B$305,"0"),0)-1,0),"&gt;="&amp;$M134)),""))</f>
        <v/>
      </c>
      <c r="AG134" s="600" t="str" cm="1">
        <f t="array" aca="1" ref="AG134" ca="1">IF(OR($B134="",$N134=""),"",IFERROR(IF($C134="売",_xlfn.MINIFS(高値!$E$3:$IT$3,高値!$E$3:$IT$3,"&gt;"&amp;$E134,高値!$E$3:$IT$3,"&lt;="&amp;$AE134,OFFSET(高値!$E$6:$IT$6,MATCH(TEXT($B134,"0"),TEXT(銘柄管理!$B$6:$B$305,"0"),0)-1,0),"&gt;="&amp;$N134),_xlfn.MINIFS(安値!$E$3:$IT$3,安値!$E$3:$IT$3,"&gt;"&amp;$E134,安値!$E$3:$IT$3,"&lt;="&amp;$AE134,OFFSET(安値!$E$6:$IT$6,MATCH(TEXT($B134,"0"),TEXT(銘柄管理!$B$6:$B$305,"0"),0)-1,0),"&lt;="&amp;$N134)),""))</f>
        <v/>
      </c>
      <c r="AH134" s="600" t="str">
        <f>IF(OR($B134="",$M134=""),"",IF(AND(N($AF134)=0,N($AG134)=0),IF(AND(ISNUMBER($H134),$H134&gt;0,IF($C134="売",$H134&gt;=$N134,$H134&lt;=$N134)),"損切確定",IF(AND(ISNUMBER($H134),$H134&gt;0,IF($C134="売",$H134&lt;=$M134,$H134&gt;=$M134)),"利益確定",IF($AE134&lt;=TODAY(),"日数制限","保有中"))),IF(N($AG134)=0,"利益確定",IF(N($AF134)=0,"損切確定",IF($AG134&lt;=$AF134,"損切確定","利益確定")))))</f>
        <v/>
      </c>
      <c r="AI134" s="600" t="str" cm="1">
        <f t="array" ref="AI134">IFERROR(INDEX(始値!$E$6:$IT$305,MATCH(TEXT($B134,"0"),TEXT(銘柄管理!$B$6:$B$305,"0"),0),MATCH($AE134,始値!$E$3:$IT$3,0)),"")</f>
        <v/>
      </c>
      <c r="AJ134" s="608" t="str">
        <f>IF(OR($V134="",$F134="",$G134=""),"",$V134/($F134*$G134))</f>
        <v/>
      </c>
      <c r="AK134" s="600" t="str">
        <f>IF($V134="","",IF($V134&gt;0,"○勝",IF($V134&lt;0,"●負","△引分")))</f>
        <v/>
      </c>
    </row>
    <row r="135" spans="1:37" ht="35.4" customHeight="1">
      <c r="A135" s="619" t="str">
        <f>IF(B135="","",HYPERLINK("https://kabutan.jp/stock/?code="&amp;B135,"株探"))</f>
        <v/>
      </c>
      <c r="B135" s="489"/>
      <c r="C135" s="489"/>
      <c r="D135" s="489" t="str" cm="1">
        <f t="array" ref="D135">_xll.RssMarket(B135, "銘柄名称")</f>
        <v/>
      </c>
      <c r="E135" s="716"/>
      <c r="F135" s="698" t="str" cm="1">
        <f t="array" aca="1" ref="F135" ca="1">IFERROR(_xlfn.LET(_xlpm.r,MATCH(TEXT($B135,"0"),TEXT(銘柄管理!$B$6:$B$305,"0"),0),_xlpm.t,MOD(NOW(),1),_xlpm.c,IF($E135=TODAY(),IF(_xlpm.t&gt;=TIME(15,30,0),NA(),1),IF(MATCH($E135,始値!$E$3:$IT$3,0)=1,1,MATCH($E135,始値!$E$3:$IT$3,0)+1)),_xlpm.v,INDEX(始値!$C$6:$IT$305,_xlpm.r,_xlpm.c),IF(N(_xlpm.v)=0,"",_xlpm.v)),"")</f>
        <v/>
      </c>
      <c r="G135" s="489"/>
      <c r="H135" s="491" t="str" cm="1">
        <f t="array" ref="H135">_xll.RssMarket(B135, "現在値")</f>
        <v/>
      </c>
      <c r="I135" s="491" t="str" cm="1">
        <f t="array" ref="I135">_xll.RssMarket(B135, "出来高加重平均")</f>
        <v/>
      </c>
      <c r="J135" s="701" t="str" cm="1">
        <f t="array" ref="J135">_xll.RssMarket($B135, "前日比")</f>
        <v/>
      </c>
      <c r="K135" s="701" t="str">
        <f>IF(OR(F135="",G135="",H135=""),"",IF(C135="売",(F135-H135)*G135,(H135-F135)*G135))</f>
        <v/>
      </c>
      <c r="L135" s="706" t="str">
        <f>IF(OR(F135="",H135=""),"",IF(C135="売",(F135-H135)/F135,(H135-F135)/F135))</f>
        <v/>
      </c>
      <c r="M135" s="491" t="str">
        <f>IF($F135="","",$F135*IF($C135="売",1-V811設定!$B$4,1+V811設定!$B$4)-MOD($F135*IF($C135="売",1-V811設定!$B$4,1+V811設定!$B$4),IF($F135&lt;=3000,1,IF($F135&lt;=5000,5,IF($F135&lt;=30000,10,IF($F135&lt;=50000,50,IF($F135&lt;=300000,100,500))))))+IF(AND($C135="売",MOD($F135*IF($C135="売",1-V811設定!$B$4,1+V811設定!$B$4),IF($F135&lt;=3000,1,IF($F135&lt;=5000,5,IF($F135&lt;=30000,10,IF($F135&lt;=50000,50,IF($F135&lt;=300000,100,500))))))&gt;0),IF($F135&lt;=3000,1,IF($F135&lt;=5000,5,IF($F135&lt;=30000,10,IF($F135&lt;=50000,50,IF($F135&lt;=300000,100,500))))),0))</f>
      </c>
      <c r="N135" s="491" t="str">
        <f>IF($F135="","",$F135*IF($C135="売",1+V811設定!$B$3,1-V811設定!$B$3)-MOD($F135*IF($C135="売",1+V811設定!$B$3,1-V811設定!$B$3),IF($F135&lt;=3000,1,IF($F135&lt;=5000,5,IF($F135&lt;=30000,10,IF($F135&lt;=50000,50,IF($F135&lt;=300000,100,500))))))+IF(AND($C135="売",MOD($F135*IF($C135="売",1+V811設定!$B$3,1-V811設定!$B$3),IF($F135&lt;=3000,1,IF($F135&lt;=5000,5,IF($F135&lt;=30000,10,IF($F135&lt;=50000,50,IF($F135&lt;=300000,100,500))))))&gt;0),IF($F135&lt;=3000,1,IF($F135&lt;=5000,5,IF($F135&lt;=30000,10,IF($F135&lt;=50000,50,IF($F135&lt;=300000,100,500))))),0))</f>
      </c>
      <c r="O135" s="492" t="str">
        <f>IF(OR($B135="",$F135="",$H135=""),"",IF($S135="✅売却済","―決済済―",IF($C135="売",IF($H135&lt;=$M135,"🟢利確",IF(AND($R135&lt;&gt;"",$H135&gt;=$R135),"🟠TRAIL",IF($H135&gt;=$N135,"🔴損切",IF($W135&gt;=V811設定!$B$6,"⏱時間決済",IF($H135&gt;=$F135*(1+V811設定!$B$3*0.7),"⚠️損切接近","保持継続"))))),IF($H135&gt;=$M135,"🟢利確",IF(AND($R135&lt;&gt;"",$H135&lt;=$R135),"🟠TRAIL",IF($H135&lt;=$N135,"🔴損切",IF($W135&gt;=V811設定!$B$6,"⏱時間決済",IF($H135&lt;=$F135*(1-V811設定!$B$3*0.7),"⚠️損切接近","保持継続"))))))))</f>
      </c>
      <c r="P135" s="491"/>
      <c r="Q135" s="491"/>
      <c r="R135" s="491" t="str">
        <f>IF(OR($F135="",$H135="",$N135=""),"",IF($S135="✅売却済","",IF($C135="売",IF($H135&gt;$F135*(1-V811設定!$B$3),$N135,MIN($N135,IF($Q135="",$N135,$Q135*1.03))),IF($H135&lt;$F135*(1+V811設定!$B$3),$N135,MAX($N135,IF($P135="",$N135,$P135*0.97))))))</f>
      </c>
      <c r="S135" s="586" t="str">
        <f>IF(B135="","",IF(T135&lt;&gt;"","✅売却済",IF(OR(H135="",L135=""),"📌保有中",IF(L135&gt;=0.06,"🟢利確推奨",IF(L135&gt;=0.05,"🟡利確直近",IF(L135&gt;=0.045,"🔵トレーリング検討",IF(L135&gt;-0.03,"📌保有中",IF(L135&gt;-0.04,"⚠️損切注意","🔴損切り"))))))))</f>
        <v/>
      </c>
      <c r="T135" s="594"/>
      <c r="U135" s="491"/>
      <c r="V135" s="701" t="str">
        <f>IF(OR(F135="",G135="",U135=""),"",IF(C135="売",(F135-U135)*G135,(U135-F135)*G135))</f>
        <v/>
      </c>
      <c r="W135" s="493" t="str">
        <f>IF(OR($E135="",$B135=""),"",IF($T135&lt;&gt;"",$T135-$E135,TODAY()-$E135)+1)</f>
        <v/>
      </c>
      <c r="X135" s="489" t="str">
        <f>IF(OR($AH135="",$AH135="保有中"),"",$AH135)</f>
        <v/>
      </c>
      <c r="Y135" s="488"/>
      <c r="Z135" s="710"/>
      <c r="AD135" s="608"/>
      <c r="AE135" s="600" t="str">
        <f>IF($E135="","",WORKDAY($E135,12))</f>
        <v/>
      </c>
      <c r="AF135" s="600" t="str" cm="1">
        <f t="array" aca="1" ref="AF135" ca="1">IF(OR($B135="",$M135=""),"",IFERROR(IF($C135="売",_xlfn.MINIFS(安値!$E$3:$IT$3,安値!$E$3:$IT$3,"&gt;"&amp;$E135,安値!$E$3:$IT$3,"&lt;="&amp;$AE135,OFFSET(安値!$E$6:$IT$6,MATCH(TEXT($B135,"0"),TEXT(銘柄管理!$B$6:$B$305,"0"),0)-1,0),"&lt;="&amp;$M135),_xlfn.MINIFS(高値!$E$3:$IT$3,高値!$E$3:$IT$3,"&gt;"&amp;$E135,高値!$E$3:$IT$3,"&lt;="&amp;$AE135,OFFSET(高値!$E$6:$IT$6,MATCH(TEXT($B135,"0"),TEXT(銘柄管理!$B$6:$B$305,"0"),0)-1,0),"&gt;="&amp;$M135)),""))</f>
        <v/>
      </c>
      <c r="AG135" s="600" t="str" cm="1">
        <f t="array" aca="1" ref="AG135" ca="1">IF(OR($B135="",$N135=""),"",IFERROR(IF($C135="売",_xlfn.MINIFS(高値!$E$3:$IT$3,高値!$E$3:$IT$3,"&gt;"&amp;$E135,高値!$E$3:$IT$3,"&lt;="&amp;$AE135,OFFSET(高値!$E$6:$IT$6,MATCH(TEXT($B135,"0"),TEXT(銘柄管理!$B$6:$B$305,"0"),0)-1,0),"&gt;="&amp;$N135),_xlfn.MINIFS(安値!$E$3:$IT$3,安値!$E$3:$IT$3,"&gt;"&amp;$E135,安値!$E$3:$IT$3,"&lt;="&amp;$AE135,OFFSET(安値!$E$6:$IT$6,MATCH(TEXT($B135,"0"),TEXT(銘柄管理!$B$6:$B$305,"0"),0)-1,0),"&lt;="&amp;$N135)),""))</f>
        <v/>
      </c>
      <c r="AH135" s="600" t="str">
        <f>IF(OR($B135="",$M135=""),"",IF(AND(N($AF135)=0,N($AG135)=0),IF(AND(ISNUMBER($H135),$H135&gt;0,IF($C135="売",$H135&gt;=$N135,$H135&lt;=$N135)),"損切確定",IF(AND(ISNUMBER($H135),$H135&gt;0,IF($C135="売",$H135&lt;=$M135,$H135&gt;=$M135)),"利益確定",IF($AE135&lt;=TODAY(),"日数制限","保有中"))),IF(N($AG135)=0,"利益確定",IF(N($AF135)=0,"損切確定",IF($AG135&lt;=$AF135,"損切確定","利益確定")))))</f>
        <v/>
      </c>
      <c r="AI135" s="600" t="str" cm="1">
        <f t="array" ref="AI135">IFERROR(INDEX(始値!$E$6:$IT$305,MATCH(TEXT($B135,"0"),TEXT(銘柄管理!$B$6:$B$305,"0"),0),MATCH($AE135,始値!$E$3:$IT$3,0)),"")</f>
        <v/>
      </c>
      <c r="AJ135" s="608" t="str">
        <f>IF(OR($V135="",$F135="",$G135=""),"",$V135/($F135*$G135))</f>
        <v/>
      </c>
      <c r="AK135" s="600" t="str">
        <f>IF($V135="","",IF($V135&gt;0,"○勝",IF($V135&lt;0,"●負","△引分")))</f>
        <v/>
      </c>
    </row>
    <row r="136" spans="1:37" ht="35.4" customHeight="1">
      <c r="A136" s="619" t="str">
        <f>IF(B136="","",HYPERLINK("https://kabutan.jp/stock/?code="&amp;B136,"株探"))</f>
        <v/>
      </c>
      <c r="B136" s="489"/>
      <c r="C136" s="489"/>
      <c r="D136" s="489" t="str" cm="1">
        <f t="array" ref="D136">_xll.RssMarket(B136, "銘柄名称")</f>
        <v/>
      </c>
      <c r="E136" s="716"/>
      <c r="F136" s="698" t="str" cm="1">
        <f t="array" aca="1" ref="F136" ca="1">IFERROR(_xlfn.LET(_xlpm.r,MATCH(TEXT($B136,"0"),TEXT(銘柄管理!$B$6:$B$305,"0"),0),_xlpm.t,MOD(NOW(),1),_xlpm.c,IF($E136=TODAY(),IF(_xlpm.t&gt;=TIME(15,30,0),NA(),1),IF(MATCH($E136,始値!$E$3:$IT$3,0)=1,1,MATCH($E136,始値!$E$3:$IT$3,0)+1)),_xlpm.v,INDEX(始値!$C$6:$IT$305,_xlpm.r,_xlpm.c),IF(N(_xlpm.v)=0,"",_xlpm.v)),"")</f>
        <v/>
      </c>
      <c r="G136" s="489"/>
      <c r="H136" s="491" t="str" cm="1">
        <f t="array" ref="H136">_xll.RssMarket(B136, "現在値")</f>
        <v/>
      </c>
      <c r="I136" s="491" t="str" cm="1">
        <f t="array" ref="I136">_xll.RssMarket(B136, "出来高加重平均")</f>
        <v/>
      </c>
      <c r="J136" s="701" t="str" cm="1">
        <f t="array" ref="J136">_xll.RssMarket($B136, "前日比")</f>
        <v/>
      </c>
      <c r="K136" s="701" t="str">
        <f>IF(OR(F136="",G136="",H136=""),"",IF(C136="売",(F136-H136)*G136,(H136-F136)*G136))</f>
        <v/>
      </c>
      <c r="L136" s="706" t="str">
        <f>IF(OR(F136="",H136=""),"",IF(C136="売",(F136-H136)/F136,(H136-F136)/F136))</f>
        <v/>
      </c>
      <c r="M136" s="491" t="str">
        <f>IF($F136="","",$F136*IF($C136="売",1-V811設定!$B$4,1+V811設定!$B$4)-MOD($F136*IF($C136="売",1-V811設定!$B$4,1+V811設定!$B$4),IF($F136&lt;=3000,1,IF($F136&lt;=5000,5,IF($F136&lt;=30000,10,IF($F136&lt;=50000,50,IF($F136&lt;=300000,100,500))))))+IF(AND($C136="売",MOD($F136*IF($C136="売",1-V811設定!$B$4,1+V811設定!$B$4),IF($F136&lt;=3000,1,IF($F136&lt;=5000,5,IF($F136&lt;=30000,10,IF($F136&lt;=50000,50,IF($F136&lt;=300000,100,500))))))&gt;0),IF($F136&lt;=3000,1,IF($F136&lt;=5000,5,IF($F136&lt;=30000,10,IF($F136&lt;=50000,50,IF($F136&lt;=300000,100,500))))),0))</f>
      </c>
      <c r="N136" s="491" t="str">
        <f>IF($F136="","",$F136*IF($C136="売",1+V811設定!$B$3,1-V811設定!$B$3)-MOD($F136*IF($C136="売",1+V811設定!$B$3,1-V811設定!$B$3),IF($F136&lt;=3000,1,IF($F136&lt;=5000,5,IF($F136&lt;=30000,10,IF($F136&lt;=50000,50,IF($F136&lt;=300000,100,500))))))+IF(AND($C136="売",MOD($F136*IF($C136="売",1+V811設定!$B$3,1-V811設定!$B$3),IF($F136&lt;=3000,1,IF($F136&lt;=5000,5,IF($F136&lt;=30000,10,IF($F136&lt;=50000,50,IF($F136&lt;=300000,100,500))))))&gt;0),IF($F136&lt;=3000,1,IF($F136&lt;=5000,5,IF($F136&lt;=30000,10,IF($F136&lt;=50000,50,IF($F136&lt;=300000,100,500))))),0))</f>
      </c>
      <c r="O136" s="492" t="str">
        <f>IF(OR($B136="",$F136="",$H136=""),"",IF($S136="✅売却済","―決済済―",IF($C136="売",IF($H136&lt;=$M136,"🟢利確",IF(AND($R136&lt;&gt;"",$H136&gt;=$R136),"🟠TRAIL",IF($H136&gt;=$N136,"🔴損切",IF($W136&gt;=V811設定!$B$6,"⏱時間決済",IF($H136&gt;=$F136*(1+V811設定!$B$3*0.7),"⚠️損切接近","保持継続"))))),IF($H136&gt;=$M136,"🟢利確",IF(AND($R136&lt;&gt;"",$H136&lt;=$R136),"🟠TRAIL",IF($H136&lt;=$N136,"🔴損切",IF($W136&gt;=V811設定!$B$6,"⏱時間決済",IF($H136&lt;=$F136*(1-V811設定!$B$3*0.7),"⚠️損切接近","保持継続"))))))))</f>
      </c>
      <c r="P136" s="491"/>
      <c r="Q136" s="491"/>
      <c r="R136" s="491" t="str">
        <f>IF(OR($F136="",$H136="",$N136=""),"",IF($S136="✅売却済","",IF($C136="売",IF($H136&gt;$F136*(1-V811設定!$B$3),$N136,MIN($N136,IF($Q136="",$N136,$Q136*1.03))),IF($H136&lt;$F136*(1+V811設定!$B$3),$N136,MAX($N136,IF($P136="",$N136,$P136*0.97))))))</f>
      </c>
      <c r="S136" s="586" t="str">
        <f>IF(B136="","",IF(T136&lt;&gt;"","✅売却済",IF(OR(H136="",L136=""),"📌保有中",IF(L136&gt;=0.06,"🟢利確推奨",IF(L136&gt;=0.05,"🟡利確直近",IF(L136&gt;=0.045,"🔵トレーリング検討",IF(L136&gt;-0.03,"📌保有中",IF(L136&gt;-0.04,"⚠️損切注意","🔴損切り"))))))))</f>
        <v/>
      </c>
      <c r="T136" s="594"/>
      <c r="U136" s="491"/>
      <c r="V136" s="701" t="str">
        <f>IF(OR(F136="",G136="",U136=""),"",IF(C136="売",(F136-U136)*G136,(U136-F136)*G136))</f>
        <v/>
      </c>
      <c r="W136" s="493" t="str">
        <f>IF(OR($E136="",$B136=""),"",IF($T136&lt;&gt;"",$T136-$E136,TODAY()-$E136)+1)</f>
        <v/>
      </c>
      <c r="X136" s="489" t="str">
        <f>IF(OR($AH136="",$AH136="保有中"),"",$AH136)</f>
        <v/>
      </c>
      <c r="Y136" s="488"/>
      <c r="Z136" s="710"/>
      <c r="AD136" s="608"/>
      <c r="AE136" s="600" t="str">
        <f>IF($E136="","",WORKDAY($E136,12))</f>
        <v/>
      </c>
      <c r="AF136" s="600" t="str" cm="1">
        <f t="array" aca="1" ref="AF136" ca="1">IF(OR($B136="",$M136=""),"",IFERROR(IF($C136="売",_xlfn.MINIFS(安値!$E$3:$IT$3,安値!$E$3:$IT$3,"&gt;"&amp;$E136,安値!$E$3:$IT$3,"&lt;="&amp;$AE136,OFFSET(安値!$E$6:$IT$6,MATCH(TEXT($B136,"0"),TEXT(銘柄管理!$B$6:$B$305,"0"),0)-1,0),"&lt;="&amp;$M136),_xlfn.MINIFS(高値!$E$3:$IT$3,高値!$E$3:$IT$3,"&gt;"&amp;$E136,高値!$E$3:$IT$3,"&lt;="&amp;$AE136,OFFSET(高値!$E$6:$IT$6,MATCH(TEXT($B136,"0"),TEXT(銘柄管理!$B$6:$B$305,"0"),0)-1,0),"&gt;="&amp;$M136)),""))</f>
        <v/>
      </c>
      <c r="AG136" s="600" t="str" cm="1">
        <f t="array" aca="1" ref="AG136" ca="1">IF(OR($B136="",$N136=""),"",IFERROR(IF($C136="売",_xlfn.MINIFS(高値!$E$3:$IT$3,高値!$E$3:$IT$3,"&gt;"&amp;$E136,高値!$E$3:$IT$3,"&lt;="&amp;$AE136,OFFSET(高値!$E$6:$IT$6,MATCH(TEXT($B136,"0"),TEXT(銘柄管理!$B$6:$B$305,"0"),0)-1,0),"&gt;="&amp;$N136),_xlfn.MINIFS(安値!$E$3:$IT$3,安値!$E$3:$IT$3,"&gt;"&amp;$E136,安値!$E$3:$IT$3,"&lt;="&amp;$AE136,OFFSET(安値!$E$6:$IT$6,MATCH(TEXT($B136,"0"),TEXT(銘柄管理!$B$6:$B$305,"0"),0)-1,0),"&lt;="&amp;$N136)),""))</f>
        <v/>
      </c>
      <c r="AH136" s="600" t="str">
        <f>IF(OR($B136="",$M136=""),"",IF(AND(N($AF136)=0,N($AG136)=0),IF(AND(ISNUMBER($H136),$H136&gt;0,IF($C136="売",$H136&gt;=$N136,$H136&lt;=$N136)),"損切確定",IF(AND(ISNUMBER($H136),$H136&gt;0,IF($C136="売",$H136&lt;=$M136,$H136&gt;=$M136)),"利益確定",IF($AE136&lt;=TODAY(),"日数制限","保有中"))),IF(N($AG136)=0,"利益確定",IF(N($AF136)=0,"損切確定",IF($AG136&lt;=$AF136,"損切確定","利益確定")))))</f>
        <v/>
      </c>
      <c r="AI136" s="600" t="str" cm="1">
        <f t="array" ref="AI136">IFERROR(INDEX(始値!$E$6:$IT$305,MATCH(TEXT($B136,"0"),TEXT(銘柄管理!$B$6:$B$305,"0"),0),MATCH($AE136,始値!$E$3:$IT$3,0)),"")</f>
        <v/>
      </c>
      <c r="AJ136" s="608" t="str">
        <f>IF(OR($V136="",$F136="",$G136=""),"",$V136/($F136*$G136))</f>
        <v/>
      </c>
      <c r="AK136" s="600" t="str">
        <f>IF($V136="","",IF($V136&gt;0,"○勝",IF($V136&lt;0,"●負","△引分")))</f>
        <v/>
      </c>
    </row>
    <row r="137" spans="1:37" ht="35.4" customHeight="1">
      <c r="A137" s="619" t="str">
        <f>IF(B137="","",HYPERLINK("https://kabutan.jp/stock/?code="&amp;B137,"株探"))</f>
        <v/>
      </c>
      <c r="B137" s="489"/>
      <c r="C137" s="489"/>
      <c r="D137" s="489" t="str" cm="1">
        <f t="array" ref="D137">_xll.RssMarket(B137, "銘柄名称")</f>
        <v/>
      </c>
      <c r="E137" s="716"/>
      <c r="F137" s="698" t="str" cm="1">
        <f t="array" aca="1" ref="F137" ca="1">IFERROR(_xlfn.LET(_xlpm.r,MATCH(TEXT($B137,"0"),TEXT(銘柄管理!$B$6:$B$305,"0"),0),_xlpm.t,MOD(NOW(),1),_xlpm.c,IF($E137=TODAY(),IF(_xlpm.t&gt;=TIME(15,30,0),NA(),1),IF(MATCH($E137,始値!$E$3:$IT$3,0)=1,1,MATCH($E137,始値!$E$3:$IT$3,0)+1)),_xlpm.v,INDEX(始値!$C$6:$IT$305,_xlpm.r,_xlpm.c),IF(N(_xlpm.v)=0,"",_xlpm.v)),"")</f>
        <v/>
      </c>
      <c r="G137" s="489"/>
      <c r="H137" s="491" t="str" cm="1">
        <f t="array" ref="H137">_xll.RssMarket(B137, "現在値")</f>
        <v/>
      </c>
      <c r="I137" s="491" t="str" cm="1">
        <f t="array" ref="I137">_xll.RssMarket(B137, "出来高加重平均")</f>
        <v/>
      </c>
      <c r="J137" s="701" t="str" cm="1">
        <f t="array" ref="J137">_xll.RssMarket($B137, "前日比")</f>
        <v/>
      </c>
      <c r="K137" s="701" t="str">
        <f>IF(OR(F137="",G137="",H137=""),"",IF(C137="売",(F137-H137)*G137,(H137-F137)*G137))</f>
        <v/>
      </c>
      <c r="L137" s="706" t="str">
        <f>IF(OR(F137="",H137=""),"",IF(C137="売",(F137-H137)/F137,(H137-F137)/F137))</f>
        <v/>
      </c>
      <c r="M137" s="491" t="str">
        <f>IF($F137="","",$F137*IF($C137="売",1-V811設定!$B$4,1+V811設定!$B$4)-MOD($F137*IF($C137="売",1-V811設定!$B$4,1+V811設定!$B$4),IF($F137&lt;=3000,1,IF($F137&lt;=5000,5,IF($F137&lt;=30000,10,IF($F137&lt;=50000,50,IF($F137&lt;=300000,100,500))))))+IF(AND($C137="売",MOD($F137*IF($C137="売",1-V811設定!$B$4,1+V811設定!$B$4),IF($F137&lt;=3000,1,IF($F137&lt;=5000,5,IF($F137&lt;=30000,10,IF($F137&lt;=50000,50,IF($F137&lt;=300000,100,500))))))&gt;0),IF($F137&lt;=3000,1,IF($F137&lt;=5000,5,IF($F137&lt;=30000,10,IF($F137&lt;=50000,50,IF($F137&lt;=300000,100,500))))),0))</f>
      </c>
      <c r="N137" s="491" t="str">
        <f>IF($F137="","",$F137*IF($C137="売",1+V811設定!$B$3,1-V811設定!$B$3)-MOD($F137*IF($C137="売",1+V811設定!$B$3,1-V811設定!$B$3),IF($F137&lt;=3000,1,IF($F137&lt;=5000,5,IF($F137&lt;=30000,10,IF($F137&lt;=50000,50,IF($F137&lt;=300000,100,500))))))+IF(AND($C137="売",MOD($F137*IF($C137="売",1+V811設定!$B$3,1-V811設定!$B$3),IF($F137&lt;=3000,1,IF($F137&lt;=5000,5,IF($F137&lt;=30000,10,IF($F137&lt;=50000,50,IF($F137&lt;=300000,100,500))))))&gt;0),IF($F137&lt;=3000,1,IF($F137&lt;=5000,5,IF($F137&lt;=30000,10,IF($F137&lt;=50000,50,IF($F137&lt;=300000,100,500))))),0))</f>
      </c>
      <c r="O137" s="492" t="str">
        <f>IF(OR($B137="",$F137="",$H137=""),"",IF($S137="✅売却済","―決済済―",IF($C137="売",IF($H137&lt;=$M137,"🟢利確",IF(AND($R137&lt;&gt;"",$H137&gt;=$R137),"🟠TRAIL",IF($H137&gt;=$N137,"🔴損切",IF($W137&gt;=V811設定!$B$6,"⏱時間決済",IF($H137&gt;=$F137*(1+V811設定!$B$3*0.7),"⚠️損切接近","保持継続"))))),IF($H137&gt;=$M137,"🟢利確",IF(AND($R137&lt;&gt;"",$H137&lt;=$R137),"🟠TRAIL",IF($H137&lt;=$N137,"🔴損切",IF($W137&gt;=V811設定!$B$6,"⏱時間決済",IF($H137&lt;=$F137*(1-V811設定!$B$3*0.7),"⚠️損切接近","保持継続"))))))))</f>
      </c>
      <c r="P137" s="491"/>
      <c r="Q137" s="491"/>
      <c r="R137" s="491" t="str">
        <f>IF(OR($F137="",$H137="",$N137=""),"",IF($S137="✅売却済","",IF($C137="売",IF($H137&gt;$F137*(1-V811設定!$B$3),$N137,MIN($N137,IF($Q137="",$N137,$Q137*1.03))),IF($H137&lt;$F137*(1+V811設定!$B$3),$N137,MAX($N137,IF($P137="",$N137,$P137*0.97))))))</f>
      </c>
      <c r="S137" s="586" t="str">
        <f>IF(B137="","",IF(T137&lt;&gt;"","✅売却済",IF(OR(H137="",L137=""),"📌保有中",IF(L137&gt;=0.06,"🟢利確推奨",IF(L137&gt;=0.05,"🟡利確直近",IF(L137&gt;=0.045,"🔵トレーリング検討",IF(L137&gt;-0.03,"📌保有中",IF(L137&gt;-0.04,"⚠️損切注意","🔴損切り"))))))))</f>
        <v/>
      </c>
      <c r="T137" s="594"/>
      <c r="U137" s="491"/>
      <c r="V137" s="701" t="str">
        <f>IF(OR(F137="",G137="",U137=""),"",IF(C137="売",(F137-U137)*G137,(U137-F137)*G137))</f>
        <v/>
      </c>
      <c r="W137" s="493" t="str">
        <f>IF(OR($E137="",$B137=""),"",IF($T137&lt;&gt;"",$T137-$E137,TODAY()-$E137)+1)</f>
        <v/>
      </c>
      <c r="X137" s="489" t="str">
        <f>IF(OR($AH137="",$AH137="保有中"),"",$AH137)</f>
        <v/>
      </c>
      <c r="Y137" s="488"/>
      <c r="Z137" s="710"/>
      <c r="AD137" s="608"/>
      <c r="AE137" s="600" t="str">
        <f>IF($E137="","",WORKDAY($E137,12))</f>
        <v/>
      </c>
      <c r="AF137" s="600" t="str" cm="1">
        <f t="array" aca="1" ref="AF137" ca="1">IF(OR($B137="",$M137=""),"",IFERROR(IF($C137="売",_xlfn.MINIFS(安値!$E$3:$IT$3,安値!$E$3:$IT$3,"&gt;"&amp;$E137,安値!$E$3:$IT$3,"&lt;="&amp;$AE137,OFFSET(安値!$E$6:$IT$6,MATCH(TEXT($B137,"0"),TEXT(銘柄管理!$B$6:$B$305,"0"),0)-1,0),"&lt;="&amp;$M137),_xlfn.MINIFS(高値!$E$3:$IT$3,高値!$E$3:$IT$3,"&gt;"&amp;$E137,高値!$E$3:$IT$3,"&lt;="&amp;$AE137,OFFSET(高値!$E$6:$IT$6,MATCH(TEXT($B137,"0"),TEXT(銘柄管理!$B$6:$B$305,"0"),0)-1,0),"&gt;="&amp;$M137)),""))</f>
        <v/>
      </c>
      <c r="AG137" s="600" t="str" cm="1">
        <f t="array" aca="1" ref="AG137" ca="1">IF(OR($B137="",$N137=""),"",IFERROR(IF($C137="売",_xlfn.MINIFS(高値!$E$3:$IT$3,高値!$E$3:$IT$3,"&gt;"&amp;$E137,高値!$E$3:$IT$3,"&lt;="&amp;$AE137,OFFSET(高値!$E$6:$IT$6,MATCH(TEXT($B137,"0"),TEXT(銘柄管理!$B$6:$B$305,"0"),0)-1,0),"&gt;="&amp;$N137),_xlfn.MINIFS(安値!$E$3:$IT$3,安値!$E$3:$IT$3,"&gt;"&amp;$E137,安値!$E$3:$IT$3,"&lt;="&amp;$AE137,OFFSET(安値!$E$6:$IT$6,MATCH(TEXT($B137,"0"),TEXT(銘柄管理!$B$6:$B$305,"0"),0)-1,0),"&lt;="&amp;$N137)),""))</f>
        <v/>
      </c>
      <c r="AH137" s="600" t="str">
        <f>IF(OR($B137="",$M137=""),"",IF(AND(N($AF137)=0,N($AG137)=0),IF(AND(ISNUMBER($H137),$H137&gt;0,IF($C137="売",$H137&gt;=$N137,$H137&lt;=$N137)),"損切確定",IF(AND(ISNUMBER($H137),$H137&gt;0,IF($C137="売",$H137&lt;=$M137,$H137&gt;=$M137)),"利益確定",IF($AE137&lt;=TODAY(),"日数制限","保有中"))),IF(N($AG137)=0,"利益確定",IF(N($AF137)=0,"損切確定",IF($AG137&lt;=$AF137,"損切確定","利益確定")))))</f>
        <v/>
      </c>
      <c r="AI137" s="600" t="str" cm="1">
        <f t="array" ref="AI137">IFERROR(INDEX(始値!$E$6:$IT$305,MATCH(TEXT($B137,"0"),TEXT(銘柄管理!$B$6:$B$305,"0"),0),MATCH($AE137,始値!$E$3:$IT$3,0)),"")</f>
        <v/>
      </c>
      <c r="AJ137" s="608" t="str">
        <f>IF(OR($V137="",$F137="",$G137=""),"",$V137/($F137*$G137))</f>
        <v/>
      </c>
      <c r="AK137" s="600" t="str">
        <f>IF($V137="","",IF($V137&gt;0,"○勝",IF($V137&lt;0,"●負","△引分")))</f>
        <v/>
      </c>
    </row>
    <row r="138" spans="1:37" ht="35.4" customHeight="1">
      <c r="A138" s="619" t="str">
        <f>IF(B138="","",HYPERLINK("https://kabutan.jp/stock/?code="&amp;B138,"株探"))</f>
        <v/>
      </c>
      <c r="B138" s="489"/>
      <c r="C138" s="489"/>
      <c r="D138" s="489" t="str" cm="1">
        <f t="array" ref="D138">_xll.RssMarket(B138, "銘柄名称")</f>
        <v/>
      </c>
      <c r="E138" s="716"/>
      <c r="F138" s="698" t="str" cm="1">
        <f t="array" aca="1" ref="F138" ca="1">IFERROR(_xlfn.LET(_xlpm.r,MATCH(TEXT($B138,"0"),TEXT(銘柄管理!$B$6:$B$305,"0"),0),_xlpm.t,MOD(NOW(),1),_xlpm.c,IF($E138=TODAY(),IF(_xlpm.t&gt;=TIME(15,30,0),NA(),1),IF(MATCH($E138,始値!$E$3:$IT$3,0)=1,1,MATCH($E138,始値!$E$3:$IT$3,0)+1)),_xlpm.v,INDEX(始値!$C$6:$IT$305,_xlpm.r,_xlpm.c),IF(N(_xlpm.v)=0,"",_xlpm.v)),"")</f>
        <v/>
      </c>
      <c r="G138" s="489"/>
      <c r="H138" s="491" t="str" cm="1">
        <f t="array" ref="H138">_xll.RssMarket(B138, "現在値")</f>
        <v/>
      </c>
      <c r="I138" s="491" t="str" cm="1">
        <f t="array" ref="I138">_xll.RssMarket(B138, "出来高加重平均")</f>
        <v/>
      </c>
      <c r="J138" s="701" t="str" cm="1">
        <f t="array" ref="J138">_xll.RssMarket($B138, "前日比")</f>
        <v/>
      </c>
      <c r="K138" s="701" t="str">
        <f>IF(OR(F138="",G138="",H138=""),"",IF(C138="売",(F138-H138)*G138,(H138-F138)*G138))</f>
        <v/>
      </c>
      <c r="L138" s="706" t="str">
        <f>IF(OR(F138="",H138=""),"",IF(C138="売",(F138-H138)/F138,(H138-F138)/F138))</f>
        <v/>
      </c>
      <c r="M138" s="491" t="str">
        <f>IF($F138="","",$F138*IF($C138="売",1-V811設定!$B$4,1+V811設定!$B$4)-MOD($F138*IF($C138="売",1-V811設定!$B$4,1+V811設定!$B$4),IF($F138&lt;=3000,1,IF($F138&lt;=5000,5,IF($F138&lt;=30000,10,IF($F138&lt;=50000,50,IF($F138&lt;=300000,100,500))))))+IF(AND($C138="売",MOD($F138*IF($C138="売",1-V811設定!$B$4,1+V811設定!$B$4),IF($F138&lt;=3000,1,IF($F138&lt;=5000,5,IF($F138&lt;=30000,10,IF($F138&lt;=50000,50,IF($F138&lt;=300000,100,500))))))&gt;0),IF($F138&lt;=3000,1,IF($F138&lt;=5000,5,IF($F138&lt;=30000,10,IF($F138&lt;=50000,50,IF($F138&lt;=300000,100,500))))),0))</f>
      </c>
      <c r="N138" s="491" t="str">
        <f>IF($F138="","",$F138*IF($C138="売",1+V811設定!$B$3,1-V811設定!$B$3)-MOD($F138*IF($C138="売",1+V811設定!$B$3,1-V811設定!$B$3),IF($F138&lt;=3000,1,IF($F138&lt;=5000,5,IF($F138&lt;=30000,10,IF($F138&lt;=50000,50,IF($F138&lt;=300000,100,500))))))+IF(AND($C138="売",MOD($F138*IF($C138="売",1+V811設定!$B$3,1-V811設定!$B$3),IF($F138&lt;=3000,1,IF($F138&lt;=5000,5,IF($F138&lt;=30000,10,IF($F138&lt;=50000,50,IF($F138&lt;=300000,100,500))))))&gt;0),IF($F138&lt;=3000,1,IF($F138&lt;=5000,5,IF($F138&lt;=30000,10,IF($F138&lt;=50000,50,IF($F138&lt;=300000,100,500))))),0))</f>
      </c>
      <c r="O138" s="492" t="str">
        <f>IF(OR($B138="",$F138="",$H138=""),"",IF($S138="✅売却済","―決済済―",IF($C138="売",IF($H138&lt;=$M138,"🟢利確",IF(AND($R138&lt;&gt;"",$H138&gt;=$R138),"🟠TRAIL",IF($H138&gt;=$N138,"🔴損切",IF($W138&gt;=V811設定!$B$6,"⏱時間決済",IF($H138&gt;=$F138*(1+V811設定!$B$3*0.7),"⚠️損切接近","保持継続"))))),IF($H138&gt;=$M138,"🟢利確",IF(AND($R138&lt;&gt;"",$H138&lt;=$R138),"🟠TRAIL",IF($H138&lt;=$N138,"🔴損切",IF($W138&gt;=V811設定!$B$6,"⏱時間決済",IF($H138&lt;=$F138*(1-V811設定!$B$3*0.7),"⚠️損切接近","保持継続"))))))))</f>
      </c>
      <c r="P138" s="491"/>
      <c r="Q138" s="491"/>
      <c r="R138" s="491" t="str">
        <f>IF(OR($F138="",$H138="",$N138=""),"",IF($S138="✅売却済","",IF($C138="売",IF($H138&gt;$F138*(1-V811設定!$B$3),$N138,MIN($N138,IF($Q138="",$N138,$Q138*1.03))),IF($H138&lt;$F138*(1+V811設定!$B$3),$N138,MAX($N138,IF($P138="",$N138,$P138*0.97))))))</f>
      </c>
      <c r="S138" s="586" t="str">
        <f>IF(B138="","",IF(T138&lt;&gt;"","✅売却済",IF(OR(H138="",L138=""),"📌保有中",IF(L138&gt;=0.06,"🟢利確推奨",IF(L138&gt;=0.05,"🟡利確直近",IF(L138&gt;=0.045,"🔵トレーリング検討",IF(L138&gt;-0.03,"📌保有中",IF(L138&gt;-0.04,"⚠️損切注意","🔴損切り"))))))))</f>
        <v/>
      </c>
      <c r="T138" s="594"/>
      <c r="U138" s="491"/>
      <c r="V138" s="701" t="str">
        <f>IF(OR(F138="",G138="",U138=""),"",IF(C138="売",(F138-U138)*G138,(U138-F138)*G138))</f>
        <v/>
      </c>
      <c r="W138" s="493" t="str">
        <f>IF(OR($E138="",$B138=""),"",IF($T138&lt;&gt;"",$T138-$E138,TODAY()-$E138)+1)</f>
        <v/>
      </c>
      <c r="X138" s="489" t="str">
        <f>IF(OR($AH138="",$AH138="保有中"),"",$AH138)</f>
        <v/>
      </c>
      <c r="Y138" s="488"/>
      <c r="Z138" s="710"/>
      <c r="AD138" s="608"/>
      <c r="AE138" s="600" t="str">
        <f>IF($E138="","",WORKDAY($E138,12))</f>
        <v/>
      </c>
      <c r="AF138" s="600" t="str" cm="1">
        <f t="array" aca="1" ref="AF138" ca="1">IF(OR($B138="",$M138=""),"",IFERROR(IF($C138="売",_xlfn.MINIFS(安値!$E$3:$IT$3,安値!$E$3:$IT$3,"&gt;"&amp;$E138,安値!$E$3:$IT$3,"&lt;="&amp;$AE138,OFFSET(安値!$E$6:$IT$6,MATCH(TEXT($B138,"0"),TEXT(銘柄管理!$B$6:$B$305,"0"),0)-1,0),"&lt;="&amp;$M138),_xlfn.MINIFS(高値!$E$3:$IT$3,高値!$E$3:$IT$3,"&gt;"&amp;$E138,高値!$E$3:$IT$3,"&lt;="&amp;$AE138,OFFSET(高値!$E$6:$IT$6,MATCH(TEXT($B138,"0"),TEXT(銘柄管理!$B$6:$B$305,"0"),0)-1,0),"&gt;="&amp;$M138)),""))</f>
        <v/>
      </c>
      <c r="AG138" s="600" t="str" cm="1">
        <f t="array" aca="1" ref="AG138" ca="1">IF(OR($B138="",$N138=""),"",IFERROR(IF($C138="売",_xlfn.MINIFS(高値!$E$3:$IT$3,高値!$E$3:$IT$3,"&gt;"&amp;$E138,高値!$E$3:$IT$3,"&lt;="&amp;$AE138,OFFSET(高値!$E$6:$IT$6,MATCH(TEXT($B138,"0"),TEXT(銘柄管理!$B$6:$B$305,"0"),0)-1,0),"&gt;="&amp;$N138),_xlfn.MINIFS(安値!$E$3:$IT$3,安値!$E$3:$IT$3,"&gt;"&amp;$E138,安値!$E$3:$IT$3,"&lt;="&amp;$AE138,OFFSET(安値!$E$6:$IT$6,MATCH(TEXT($B138,"0"),TEXT(銘柄管理!$B$6:$B$305,"0"),0)-1,0),"&lt;="&amp;$N138)),""))</f>
        <v/>
      </c>
      <c r="AH138" s="600" t="str">
        <f>IF(OR($B138="",$M138=""),"",IF(AND(N($AF138)=0,N($AG138)=0),IF(AND(ISNUMBER($H138),$H138&gt;0,IF($C138="売",$H138&gt;=$N138,$H138&lt;=$N138)),"損切確定",IF(AND(ISNUMBER($H138),$H138&gt;0,IF($C138="売",$H138&lt;=$M138,$H138&gt;=$M138)),"利益確定",IF($AE138&lt;=TODAY(),"日数制限","保有中"))),IF(N($AG138)=0,"利益確定",IF(N($AF138)=0,"損切確定",IF($AG138&lt;=$AF138,"損切確定","利益確定")))))</f>
        <v/>
      </c>
      <c r="AI138" s="600" t="str" cm="1">
        <f t="array" ref="AI138">IFERROR(INDEX(始値!$E$6:$IT$305,MATCH(TEXT($B138,"0"),TEXT(銘柄管理!$B$6:$B$305,"0"),0),MATCH($AE138,始値!$E$3:$IT$3,0)),"")</f>
        <v/>
      </c>
      <c r="AJ138" s="608" t="str">
        <f>IF(OR($V138="",$F138="",$G138=""),"",$V138/($F138*$G138))</f>
        <v/>
      </c>
      <c r="AK138" s="600" t="str">
        <f>IF($V138="","",IF($V138&gt;0,"○勝",IF($V138&lt;0,"●負","△引分")))</f>
        <v/>
      </c>
    </row>
    <row r="139" spans="1:37" ht="35.4" customHeight="1">
      <c r="A139" s="619" t="str">
        <f>IF(B139="","",HYPERLINK("https://kabutan.jp/stock/?code="&amp;B139,"株探"))</f>
        <v/>
      </c>
      <c r="B139" s="489"/>
      <c r="C139" s="489"/>
      <c r="D139" s="489" t="str" cm="1">
        <f t="array" ref="D139">_xll.RssMarket(B139, "銘柄名称")</f>
        <v/>
      </c>
      <c r="E139" s="716"/>
      <c r="F139" s="698" t="str" cm="1">
        <f t="array" aca="1" ref="F139" ca="1">IFERROR(_xlfn.LET(_xlpm.r,MATCH(TEXT($B139,"0"),TEXT(銘柄管理!$B$6:$B$305,"0"),0),_xlpm.t,MOD(NOW(),1),_xlpm.c,IF($E139=TODAY(),IF(_xlpm.t&gt;=TIME(15,30,0),NA(),1),IF(MATCH($E139,始値!$E$3:$IT$3,0)=1,1,MATCH($E139,始値!$E$3:$IT$3,0)+1)),_xlpm.v,INDEX(始値!$C$6:$IT$305,_xlpm.r,_xlpm.c),IF(N(_xlpm.v)=0,"",_xlpm.v)),"")</f>
        <v/>
      </c>
      <c r="G139" s="489"/>
      <c r="H139" s="491" t="str" cm="1">
        <f t="array" ref="H139">_xll.RssMarket(B139, "現在値")</f>
        <v/>
      </c>
      <c r="I139" s="491" t="str" cm="1">
        <f t="array" ref="I139">_xll.RssMarket(B139, "出来高加重平均")</f>
        <v/>
      </c>
      <c r="J139" s="701" t="str" cm="1">
        <f t="array" ref="J139">_xll.RssMarket($B139, "前日比")</f>
        <v/>
      </c>
      <c r="K139" s="701" t="str">
        <f>IF(OR(F139="",G139="",H139=""),"",IF(C139="売",(F139-H139)*G139,(H139-F139)*G139))</f>
        <v/>
      </c>
      <c r="L139" s="706" t="str">
        <f>IF(OR(F139="",H139=""),"",IF(C139="売",(F139-H139)/F139,(H139-F139)/F139))</f>
        <v/>
      </c>
      <c r="M139" s="491" t="str">
        <f>IF($F139="","",$F139*IF($C139="売",1-V811設定!$B$4,1+V811設定!$B$4)-MOD($F139*IF($C139="売",1-V811設定!$B$4,1+V811設定!$B$4),IF($F139&lt;=3000,1,IF($F139&lt;=5000,5,IF($F139&lt;=30000,10,IF($F139&lt;=50000,50,IF($F139&lt;=300000,100,500))))))+IF(AND($C139="売",MOD($F139*IF($C139="売",1-V811設定!$B$4,1+V811設定!$B$4),IF($F139&lt;=3000,1,IF($F139&lt;=5000,5,IF($F139&lt;=30000,10,IF($F139&lt;=50000,50,IF($F139&lt;=300000,100,500))))))&gt;0),IF($F139&lt;=3000,1,IF($F139&lt;=5000,5,IF($F139&lt;=30000,10,IF($F139&lt;=50000,50,IF($F139&lt;=300000,100,500))))),0))</f>
      </c>
      <c r="N139" s="491" t="str">
        <f>IF($F139="","",$F139*IF($C139="売",1+V811設定!$B$3,1-V811設定!$B$3)-MOD($F139*IF($C139="売",1+V811設定!$B$3,1-V811設定!$B$3),IF($F139&lt;=3000,1,IF($F139&lt;=5000,5,IF($F139&lt;=30000,10,IF($F139&lt;=50000,50,IF($F139&lt;=300000,100,500))))))+IF(AND($C139="売",MOD($F139*IF($C139="売",1+V811設定!$B$3,1-V811設定!$B$3),IF($F139&lt;=3000,1,IF($F139&lt;=5000,5,IF($F139&lt;=30000,10,IF($F139&lt;=50000,50,IF($F139&lt;=300000,100,500))))))&gt;0),IF($F139&lt;=3000,1,IF($F139&lt;=5000,5,IF($F139&lt;=30000,10,IF($F139&lt;=50000,50,IF($F139&lt;=300000,100,500))))),0))</f>
      </c>
      <c r="O139" s="492" t="str">
        <f>IF(OR($B139="",$F139="",$H139=""),"",IF($S139="✅売却済","―決済済―",IF($C139="売",IF($H139&lt;=$M139,"🟢利確",IF(AND($R139&lt;&gt;"",$H139&gt;=$R139),"🟠TRAIL",IF($H139&gt;=$N139,"🔴損切",IF($W139&gt;=V811設定!$B$6,"⏱時間決済",IF($H139&gt;=$F139*(1+V811設定!$B$3*0.7),"⚠️損切接近","保持継続"))))),IF($H139&gt;=$M139,"🟢利確",IF(AND($R139&lt;&gt;"",$H139&lt;=$R139),"🟠TRAIL",IF($H139&lt;=$N139,"🔴損切",IF($W139&gt;=V811設定!$B$6,"⏱時間決済",IF($H139&lt;=$F139*(1-V811設定!$B$3*0.7),"⚠️損切接近","保持継続"))))))))</f>
      </c>
      <c r="P139" s="491"/>
      <c r="Q139" s="491"/>
      <c r="R139" s="491" t="str">
        <f>IF(OR($F139="",$H139="",$N139=""),"",IF($S139="✅売却済","",IF($C139="売",IF($H139&gt;$F139*(1-V811設定!$B$3),$N139,MIN($N139,IF($Q139="",$N139,$Q139*1.03))),IF($H139&lt;$F139*(1+V811設定!$B$3),$N139,MAX($N139,IF($P139="",$N139,$P139*0.97))))))</f>
      </c>
      <c r="S139" s="586" t="str">
        <f>IF(B139="","",IF(T139&lt;&gt;"","✅売却済",IF(OR(H139="",L139=""),"📌保有中",IF(L139&gt;=0.06,"🟢利確推奨",IF(L139&gt;=0.05,"🟡利確直近",IF(L139&gt;=0.045,"🔵トレーリング検討",IF(L139&gt;-0.03,"📌保有中",IF(L139&gt;-0.04,"⚠️損切注意","🔴損切り"))))))))</f>
        <v/>
      </c>
      <c r="T139" s="594"/>
      <c r="U139" s="491"/>
      <c r="V139" s="701" t="str">
        <f>IF(OR(F139="",G139="",U139=""),"",IF(C139="売",(F139-U139)*G139,(U139-F139)*G139))</f>
        <v/>
      </c>
      <c r="W139" s="493" t="str">
        <f>IF(OR($E139="",$B139=""),"",IF($T139&lt;&gt;"",$T139-$E139,TODAY()-$E139)+1)</f>
        <v/>
      </c>
      <c r="X139" s="489" t="str">
        <f>IF(OR($AH139="",$AH139="保有中"),"",$AH139)</f>
        <v/>
      </c>
      <c r="Y139" s="488"/>
      <c r="Z139" s="710"/>
      <c r="AD139" s="608"/>
      <c r="AE139" s="600" t="str">
        <f>IF($E139="","",WORKDAY($E139,12))</f>
        <v/>
      </c>
      <c r="AF139" s="600" t="str" cm="1">
        <f t="array" aca="1" ref="AF139" ca="1">IF(OR($B139="",$M139=""),"",IFERROR(IF($C139="売",_xlfn.MINIFS(安値!$E$3:$IT$3,安値!$E$3:$IT$3,"&gt;"&amp;$E139,安値!$E$3:$IT$3,"&lt;="&amp;$AE139,OFFSET(安値!$E$6:$IT$6,MATCH(TEXT($B139,"0"),TEXT(銘柄管理!$B$6:$B$305,"0"),0)-1,0),"&lt;="&amp;$M139),_xlfn.MINIFS(高値!$E$3:$IT$3,高値!$E$3:$IT$3,"&gt;"&amp;$E139,高値!$E$3:$IT$3,"&lt;="&amp;$AE139,OFFSET(高値!$E$6:$IT$6,MATCH(TEXT($B139,"0"),TEXT(銘柄管理!$B$6:$B$305,"0"),0)-1,0),"&gt;="&amp;$M139)),""))</f>
        <v/>
      </c>
      <c r="AG139" s="600" t="str" cm="1">
        <f t="array" aca="1" ref="AG139" ca="1">IF(OR($B139="",$N139=""),"",IFERROR(IF($C139="売",_xlfn.MINIFS(高値!$E$3:$IT$3,高値!$E$3:$IT$3,"&gt;"&amp;$E139,高値!$E$3:$IT$3,"&lt;="&amp;$AE139,OFFSET(高値!$E$6:$IT$6,MATCH(TEXT($B139,"0"),TEXT(銘柄管理!$B$6:$B$305,"0"),0)-1,0),"&gt;="&amp;$N139),_xlfn.MINIFS(安値!$E$3:$IT$3,安値!$E$3:$IT$3,"&gt;"&amp;$E139,安値!$E$3:$IT$3,"&lt;="&amp;$AE139,OFFSET(安値!$E$6:$IT$6,MATCH(TEXT($B139,"0"),TEXT(銘柄管理!$B$6:$B$305,"0"),0)-1,0),"&lt;="&amp;$N139)),""))</f>
        <v/>
      </c>
      <c r="AH139" s="600" t="str">
        <f>IF(OR($B139="",$M139=""),"",IF(AND(N($AF139)=0,N($AG139)=0),IF(AND(ISNUMBER($H139),$H139&gt;0,IF($C139="売",$H139&gt;=$N139,$H139&lt;=$N139)),"損切確定",IF(AND(ISNUMBER($H139),$H139&gt;0,IF($C139="売",$H139&lt;=$M139,$H139&gt;=$M139)),"利益確定",IF($AE139&lt;=TODAY(),"日数制限","保有中"))),IF(N($AG139)=0,"利益確定",IF(N($AF139)=0,"損切確定",IF($AG139&lt;=$AF139,"損切確定","利益確定")))))</f>
        <v/>
      </c>
      <c r="AI139" s="600" t="str" cm="1">
        <f t="array" ref="AI139">IFERROR(INDEX(始値!$E$6:$IT$305,MATCH(TEXT($B139,"0"),TEXT(銘柄管理!$B$6:$B$305,"0"),0),MATCH($AE139,始値!$E$3:$IT$3,0)),"")</f>
        <v/>
      </c>
      <c r="AJ139" s="608" t="str">
        <f>IF(OR($V139="",$F139="",$G139=""),"",$V139/($F139*$G139))</f>
        <v/>
      </c>
      <c r="AK139" s="600" t="str">
        <f>IF($V139="","",IF($V139&gt;0,"○勝",IF($V139&lt;0,"●負","△引分")))</f>
        <v/>
      </c>
    </row>
    <row r="140" spans="1:37" ht="35.4" customHeight="1">
      <c r="A140" s="619" t="str">
        <f>IF(B140="","",HYPERLINK("https://kabutan.jp/stock/?code="&amp;B140,"株探"))</f>
        <v/>
      </c>
      <c r="B140" s="489"/>
      <c r="C140" s="489"/>
      <c r="D140" s="489" t="str" cm="1">
        <f t="array" ref="D140">_xll.RssMarket(B140, "銘柄名称")</f>
        <v/>
      </c>
      <c r="E140" s="716"/>
      <c r="F140" s="698" t="str" cm="1">
        <f t="array" aca="1" ref="F140" ca="1">IFERROR(_xlfn.LET(_xlpm.r,MATCH(TEXT($B140,"0"),TEXT(銘柄管理!$B$6:$B$305,"0"),0),_xlpm.t,MOD(NOW(),1),_xlpm.c,IF($E140=TODAY(),IF(_xlpm.t&gt;=TIME(15,30,0),NA(),1),IF(MATCH($E140,始値!$E$3:$IT$3,0)=1,1,MATCH($E140,始値!$E$3:$IT$3,0)+1)),_xlpm.v,INDEX(始値!$C$6:$IT$305,_xlpm.r,_xlpm.c),IF(N(_xlpm.v)=0,"",_xlpm.v)),"")</f>
        <v/>
      </c>
      <c r="G140" s="489"/>
      <c r="H140" s="491" t="str" cm="1">
        <f t="array" ref="H140">_xll.RssMarket(B140, "現在値")</f>
        <v/>
      </c>
      <c r="I140" s="491" t="str" cm="1">
        <f t="array" ref="I140">_xll.RssMarket(B140, "出来高加重平均")</f>
        <v/>
      </c>
      <c r="J140" s="701" t="str" cm="1">
        <f t="array" ref="J140">_xll.RssMarket($B140, "前日比")</f>
        <v/>
      </c>
      <c r="K140" s="701" t="str">
        <f>IF(OR(F140="",G140="",H140=""),"",IF(C140="売",(F140-H140)*G140,(H140-F140)*G140))</f>
        <v/>
      </c>
      <c r="L140" s="706" t="str">
        <f>IF(OR(F140="",H140=""),"",IF(C140="売",(F140-H140)/F140,(H140-F140)/F140))</f>
        <v/>
      </c>
      <c r="M140" s="491" t="str">
        <f>IF($F140="","",$F140*IF($C140="売",1-V811設定!$B$4,1+V811設定!$B$4)-MOD($F140*IF($C140="売",1-V811設定!$B$4,1+V811設定!$B$4),IF($F140&lt;=3000,1,IF($F140&lt;=5000,5,IF($F140&lt;=30000,10,IF($F140&lt;=50000,50,IF($F140&lt;=300000,100,500))))))+IF(AND($C140="売",MOD($F140*IF($C140="売",1-V811設定!$B$4,1+V811設定!$B$4),IF($F140&lt;=3000,1,IF($F140&lt;=5000,5,IF($F140&lt;=30000,10,IF($F140&lt;=50000,50,IF($F140&lt;=300000,100,500))))))&gt;0),IF($F140&lt;=3000,1,IF($F140&lt;=5000,5,IF($F140&lt;=30000,10,IF($F140&lt;=50000,50,IF($F140&lt;=300000,100,500))))),0))</f>
      </c>
      <c r="N140" s="491" t="str">
        <f>IF($F140="","",$F140*IF($C140="売",1+V811設定!$B$3,1-V811設定!$B$3)-MOD($F140*IF($C140="売",1+V811設定!$B$3,1-V811設定!$B$3),IF($F140&lt;=3000,1,IF($F140&lt;=5000,5,IF($F140&lt;=30000,10,IF($F140&lt;=50000,50,IF($F140&lt;=300000,100,500))))))+IF(AND($C140="売",MOD($F140*IF($C140="売",1+V811設定!$B$3,1-V811設定!$B$3),IF($F140&lt;=3000,1,IF($F140&lt;=5000,5,IF($F140&lt;=30000,10,IF($F140&lt;=50000,50,IF($F140&lt;=300000,100,500))))))&gt;0),IF($F140&lt;=3000,1,IF($F140&lt;=5000,5,IF($F140&lt;=30000,10,IF($F140&lt;=50000,50,IF($F140&lt;=300000,100,500))))),0))</f>
      </c>
      <c r="O140" s="492" t="str">
        <f>IF(OR($B140="",$F140="",$H140=""),"",IF($S140="✅売却済","―決済済―",IF($C140="売",IF($H140&lt;=$M140,"🟢利確",IF(AND($R140&lt;&gt;"",$H140&gt;=$R140),"🟠TRAIL",IF($H140&gt;=$N140,"🔴損切",IF($W140&gt;=V811設定!$B$6,"⏱時間決済",IF($H140&gt;=$F140*(1+V811設定!$B$3*0.7),"⚠️損切接近","保持継続"))))),IF($H140&gt;=$M140,"🟢利確",IF(AND($R140&lt;&gt;"",$H140&lt;=$R140),"🟠TRAIL",IF($H140&lt;=$N140,"🔴損切",IF($W140&gt;=V811設定!$B$6,"⏱時間決済",IF($H140&lt;=$F140*(1-V811設定!$B$3*0.7),"⚠️損切接近","保持継続"))))))))</f>
      </c>
      <c r="P140" s="491"/>
      <c r="Q140" s="491"/>
      <c r="R140" s="491" t="str">
        <f>IF(OR($F140="",$H140="",$N140=""),"",IF($S140="✅売却済","",IF($C140="売",IF($H140&gt;$F140*(1-V811設定!$B$3),$N140,MIN($N140,IF($Q140="",$N140,$Q140*1.03))),IF($H140&lt;$F140*(1+V811設定!$B$3),$N140,MAX($N140,IF($P140="",$N140,$P140*0.97))))))</f>
      </c>
      <c r="S140" s="586" t="str">
        <f>IF(B140="","",IF(T140&lt;&gt;"","✅売却済",IF(OR(H140="",L140=""),"📌保有中",IF(L140&gt;=0.06,"🟢利確推奨",IF(L140&gt;=0.05,"🟡利確直近",IF(L140&gt;=0.045,"🔵トレーリング検討",IF(L140&gt;-0.03,"📌保有中",IF(L140&gt;-0.04,"⚠️損切注意","🔴損切り"))))))))</f>
        <v/>
      </c>
      <c r="T140" s="594"/>
      <c r="U140" s="491"/>
      <c r="V140" s="701" t="str">
        <f>IF(OR(F140="",G140="",U140=""),"",IF(C140="売",(F140-U140)*G140,(U140-F140)*G140))</f>
        <v/>
      </c>
      <c r="W140" s="493" t="str">
        <f>IF(OR($E140="",$B140=""),"",IF($T140&lt;&gt;"",$T140-$E140,TODAY()-$E140)+1)</f>
        <v/>
      </c>
      <c r="X140" s="489" t="str">
        <f>IF(OR($AH140="",$AH140="保有中"),"",$AH140)</f>
        <v/>
      </c>
      <c r="Y140" s="488"/>
      <c r="Z140" s="710"/>
      <c r="AD140" s="608"/>
      <c r="AE140" s="600" t="str">
        <f>IF($E140="","",WORKDAY($E140,12))</f>
        <v/>
      </c>
      <c r="AF140" s="600" t="str" cm="1">
        <f t="array" aca="1" ref="AF140" ca="1">IF(OR($B140="",$M140=""),"",IFERROR(IF($C140="売",_xlfn.MINIFS(安値!$E$3:$IT$3,安値!$E$3:$IT$3,"&gt;"&amp;$E140,安値!$E$3:$IT$3,"&lt;="&amp;$AE140,OFFSET(安値!$E$6:$IT$6,MATCH(TEXT($B140,"0"),TEXT(銘柄管理!$B$6:$B$305,"0"),0)-1,0),"&lt;="&amp;$M140),_xlfn.MINIFS(高値!$E$3:$IT$3,高値!$E$3:$IT$3,"&gt;"&amp;$E140,高値!$E$3:$IT$3,"&lt;="&amp;$AE140,OFFSET(高値!$E$6:$IT$6,MATCH(TEXT($B140,"0"),TEXT(銘柄管理!$B$6:$B$305,"0"),0)-1,0),"&gt;="&amp;$M140)),""))</f>
        <v/>
      </c>
      <c r="AG140" s="600" t="str" cm="1">
        <f t="array" aca="1" ref="AG140" ca="1">IF(OR($B140="",$N140=""),"",IFERROR(IF($C140="売",_xlfn.MINIFS(高値!$E$3:$IT$3,高値!$E$3:$IT$3,"&gt;"&amp;$E140,高値!$E$3:$IT$3,"&lt;="&amp;$AE140,OFFSET(高値!$E$6:$IT$6,MATCH(TEXT($B140,"0"),TEXT(銘柄管理!$B$6:$B$305,"0"),0)-1,0),"&gt;="&amp;$N140),_xlfn.MINIFS(安値!$E$3:$IT$3,安値!$E$3:$IT$3,"&gt;"&amp;$E140,安値!$E$3:$IT$3,"&lt;="&amp;$AE140,OFFSET(安値!$E$6:$IT$6,MATCH(TEXT($B140,"0"),TEXT(銘柄管理!$B$6:$B$305,"0"),0)-1,0),"&lt;="&amp;$N140)),""))</f>
        <v/>
      </c>
      <c r="AH140" s="600" t="str">
        <f>IF(OR($B140="",$M140=""),"",IF(AND(N($AF140)=0,N($AG140)=0),IF(AND(ISNUMBER($H140),$H140&gt;0,IF($C140="売",$H140&gt;=$N140,$H140&lt;=$N140)),"損切確定",IF(AND(ISNUMBER($H140),$H140&gt;0,IF($C140="売",$H140&lt;=$M140,$H140&gt;=$M140)),"利益確定",IF($AE140&lt;=TODAY(),"日数制限","保有中"))),IF(N($AG140)=0,"利益確定",IF(N($AF140)=0,"損切確定",IF($AG140&lt;=$AF140,"損切確定","利益確定")))))</f>
        <v/>
      </c>
      <c r="AI140" s="600" t="str" cm="1">
        <f t="array" ref="AI140">IFERROR(INDEX(始値!$E$6:$IT$305,MATCH(TEXT($B140,"0"),TEXT(銘柄管理!$B$6:$B$305,"0"),0),MATCH($AE140,始値!$E$3:$IT$3,0)),"")</f>
        <v/>
      </c>
      <c r="AJ140" s="608" t="str">
        <f>IF(OR($V140="",$F140="",$G140=""),"",$V140/($F140*$G140))</f>
        <v/>
      </c>
      <c r="AK140" s="600" t="str">
        <f>IF($V140="","",IF($V140&gt;0,"○勝",IF($V140&lt;0,"●負","△引分")))</f>
        <v/>
      </c>
    </row>
    <row r="141" spans="1:37" ht="35.4" customHeight="1">
      <c r="A141" s="619" t="str">
        <f>IF(B141="","",HYPERLINK("https://kabutan.jp/stock/?code="&amp;B141,"株探"))</f>
        <v/>
      </c>
      <c r="B141" s="489"/>
      <c r="C141" s="489"/>
      <c r="D141" s="489" t="str" cm="1">
        <f t="array" ref="D141">_xll.RssMarket(B141, "銘柄名称")</f>
        <v/>
      </c>
      <c r="E141" s="716"/>
      <c r="F141" s="698" t="str" cm="1">
        <f t="array" aca="1" ref="F141" ca="1">IFERROR(_xlfn.LET(_xlpm.r,MATCH(TEXT($B141,"0"),TEXT(銘柄管理!$B$6:$B$305,"0"),0),_xlpm.t,MOD(NOW(),1),_xlpm.c,IF($E141=TODAY(),IF(_xlpm.t&gt;=TIME(15,30,0),NA(),1),IF(MATCH($E141,始値!$E$3:$IT$3,0)=1,1,MATCH($E141,始値!$E$3:$IT$3,0)+1)),_xlpm.v,INDEX(始値!$C$6:$IT$305,_xlpm.r,_xlpm.c),IF(N(_xlpm.v)=0,"",_xlpm.v)),"")</f>
        <v/>
      </c>
      <c r="G141" s="489"/>
      <c r="H141" s="491" t="str" cm="1">
        <f t="array" ref="H141">_xll.RssMarket(B141, "現在値")</f>
        <v/>
      </c>
      <c r="I141" s="491" t="str" cm="1">
        <f t="array" ref="I141">_xll.RssMarket(B141, "出来高加重平均")</f>
        <v/>
      </c>
      <c r="J141" s="701" t="str" cm="1">
        <f t="array" ref="J141">_xll.RssMarket($B141, "前日比")</f>
        <v/>
      </c>
      <c r="K141" s="701" t="str">
        <f>IF(OR(F141="",G141="",H141=""),"",IF(C141="売",(F141-H141)*G141,(H141-F141)*G141))</f>
        <v/>
      </c>
      <c r="L141" s="706" t="str">
        <f>IF(OR(F141="",H141=""),"",IF(C141="売",(F141-H141)/F141,(H141-F141)/F141))</f>
        <v/>
      </c>
      <c r="M141" s="491" t="str">
        <f>IF($F141="","",$F141*IF($C141="売",1-V811設定!$B$4,1+V811設定!$B$4)-MOD($F141*IF($C141="売",1-V811設定!$B$4,1+V811設定!$B$4),IF($F141&lt;=3000,1,IF($F141&lt;=5000,5,IF($F141&lt;=30000,10,IF($F141&lt;=50000,50,IF($F141&lt;=300000,100,500))))))+IF(AND($C141="売",MOD($F141*IF($C141="売",1-V811設定!$B$4,1+V811設定!$B$4),IF($F141&lt;=3000,1,IF($F141&lt;=5000,5,IF($F141&lt;=30000,10,IF($F141&lt;=50000,50,IF($F141&lt;=300000,100,500))))))&gt;0),IF($F141&lt;=3000,1,IF($F141&lt;=5000,5,IF($F141&lt;=30000,10,IF($F141&lt;=50000,50,IF($F141&lt;=300000,100,500))))),0))</f>
      </c>
      <c r="N141" s="491" t="str">
        <f>IF($F141="","",$F141*IF($C141="売",1+V811設定!$B$3,1-V811設定!$B$3)-MOD($F141*IF($C141="売",1+V811設定!$B$3,1-V811設定!$B$3),IF($F141&lt;=3000,1,IF($F141&lt;=5000,5,IF($F141&lt;=30000,10,IF($F141&lt;=50000,50,IF($F141&lt;=300000,100,500))))))+IF(AND($C141="売",MOD($F141*IF($C141="売",1+V811設定!$B$3,1-V811設定!$B$3),IF($F141&lt;=3000,1,IF($F141&lt;=5000,5,IF($F141&lt;=30000,10,IF($F141&lt;=50000,50,IF($F141&lt;=300000,100,500))))))&gt;0),IF($F141&lt;=3000,1,IF($F141&lt;=5000,5,IF($F141&lt;=30000,10,IF($F141&lt;=50000,50,IF($F141&lt;=300000,100,500))))),0))</f>
      </c>
      <c r="O141" s="492" t="str">
        <f>IF(OR($B141="",$F141="",$H141=""),"",IF($S141="✅売却済","―決済済―",IF($C141="売",IF($H141&lt;=$M141,"🟢利確",IF(AND($R141&lt;&gt;"",$H141&gt;=$R141),"🟠TRAIL",IF($H141&gt;=$N141,"🔴損切",IF($W141&gt;=V811設定!$B$6,"⏱時間決済",IF($H141&gt;=$F141*(1+V811設定!$B$3*0.7),"⚠️損切接近","保持継続"))))),IF($H141&gt;=$M141,"🟢利確",IF(AND($R141&lt;&gt;"",$H141&lt;=$R141),"🟠TRAIL",IF($H141&lt;=$N141,"🔴損切",IF($W141&gt;=V811設定!$B$6,"⏱時間決済",IF($H141&lt;=$F141*(1-V811設定!$B$3*0.7),"⚠️損切接近","保持継続"))))))))</f>
      </c>
      <c r="P141" s="491"/>
      <c r="Q141" s="491"/>
      <c r="R141" s="491" t="str">
        <f>IF(OR($F141="",$H141="",$N141=""),"",IF($S141="✅売却済","",IF($C141="売",IF($H141&gt;$F141*(1-V811設定!$B$3),$N141,MIN($N141,IF($Q141="",$N141,$Q141*1.03))),IF($H141&lt;$F141*(1+V811設定!$B$3),$N141,MAX($N141,IF($P141="",$N141,$P141*0.97))))))</f>
      </c>
      <c r="S141" s="586" t="str">
        <f>IF(B141="","",IF(T141&lt;&gt;"","✅売却済",IF(OR(H141="",L141=""),"📌保有中",IF(L141&gt;=0.06,"🟢利確推奨",IF(L141&gt;=0.05,"🟡利確直近",IF(L141&gt;=0.045,"🔵トレーリング検討",IF(L141&gt;-0.03,"📌保有中",IF(L141&gt;-0.04,"⚠️損切注意","🔴損切り"))))))))</f>
        <v/>
      </c>
      <c r="T141" s="594"/>
      <c r="U141" s="491"/>
      <c r="V141" s="701" t="str">
        <f>IF(OR(F141="",G141="",U141=""),"",IF(C141="売",(F141-U141)*G141,(U141-F141)*G141))</f>
        <v/>
      </c>
      <c r="W141" s="493" t="str">
        <f>IF(OR($E141="",$B141=""),"",IF($T141&lt;&gt;"",$T141-$E141,TODAY()-$E141)+1)</f>
        <v/>
      </c>
      <c r="X141" s="489" t="str">
        <f>IF(OR($AH141="",$AH141="保有中"),"",$AH141)</f>
        <v/>
      </c>
      <c r="Y141" s="488"/>
      <c r="Z141" s="710"/>
      <c r="AD141" s="608"/>
      <c r="AE141" s="600" t="str">
        <f>IF($E141="","",WORKDAY($E141,12))</f>
        <v/>
      </c>
      <c r="AF141" s="600" t="str" cm="1">
        <f t="array" aca="1" ref="AF141" ca="1">IF(OR($B141="",$M141=""),"",IFERROR(IF($C141="売",_xlfn.MINIFS(安値!$E$3:$IT$3,安値!$E$3:$IT$3,"&gt;"&amp;$E141,安値!$E$3:$IT$3,"&lt;="&amp;$AE141,OFFSET(安値!$E$6:$IT$6,MATCH(TEXT($B141,"0"),TEXT(銘柄管理!$B$6:$B$305,"0"),0)-1,0),"&lt;="&amp;$M141),_xlfn.MINIFS(高値!$E$3:$IT$3,高値!$E$3:$IT$3,"&gt;"&amp;$E141,高値!$E$3:$IT$3,"&lt;="&amp;$AE141,OFFSET(高値!$E$6:$IT$6,MATCH(TEXT($B141,"0"),TEXT(銘柄管理!$B$6:$B$305,"0"),0)-1,0),"&gt;="&amp;$M141)),""))</f>
        <v/>
      </c>
      <c r="AG141" s="600" t="str" cm="1">
        <f t="array" aca="1" ref="AG141" ca="1">IF(OR($B141="",$N141=""),"",IFERROR(IF($C141="売",_xlfn.MINIFS(高値!$E$3:$IT$3,高値!$E$3:$IT$3,"&gt;"&amp;$E141,高値!$E$3:$IT$3,"&lt;="&amp;$AE141,OFFSET(高値!$E$6:$IT$6,MATCH(TEXT($B141,"0"),TEXT(銘柄管理!$B$6:$B$305,"0"),0)-1,0),"&gt;="&amp;$N141),_xlfn.MINIFS(安値!$E$3:$IT$3,安値!$E$3:$IT$3,"&gt;"&amp;$E141,安値!$E$3:$IT$3,"&lt;="&amp;$AE141,OFFSET(安値!$E$6:$IT$6,MATCH(TEXT($B141,"0"),TEXT(銘柄管理!$B$6:$B$305,"0"),0)-1,0),"&lt;="&amp;$N141)),""))</f>
        <v/>
      </c>
      <c r="AH141" s="600" t="str">
        <f>IF(OR($B141="",$M141=""),"",IF(AND(N($AF141)=0,N($AG141)=0),IF(AND(ISNUMBER($H141),$H141&gt;0,IF($C141="売",$H141&gt;=$N141,$H141&lt;=$N141)),"損切確定",IF(AND(ISNUMBER($H141),$H141&gt;0,IF($C141="売",$H141&lt;=$M141,$H141&gt;=$M141)),"利益確定",IF($AE141&lt;=TODAY(),"日数制限","保有中"))),IF(N($AG141)=0,"利益確定",IF(N($AF141)=0,"損切確定",IF($AG141&lt;=$AF141,"損切確定","利益確定")))))</f>
        <v/>
      </c>
      <c r="AI141" s="600" t="str" cm="1">
        <f t="array" ref="AI141">IFERROR(INDEX(始値!$E$6:$IT$305,MATCH(TEXT($B141,"0"),TEXT(銘柄管理!$B$6:$B$305,"0"),0),MATCH($AE141,始値!$E$3:$IT$3,0)),"")</f>
        <v/>
      </c>
      <c r="AJ141" s="608" t="str">
        <f>IF(OR($V141="",$F141="",$G141=""),"",$V141/($F141*$G141))</f>
        <v/>
      </c>
      <c r="AK141" s="600" t="str">
        <f>IF($V141="","",IF($V141&gt;0,"○勝",IF($V141&lt;0,"●負","△引分")))</f>
        <v/>
      </c>
    </row>
    <row r="142" spans="1:37" ht="35.4" customHeight="1">
      <c r="A142" s="619" t="str">
        <f>IF(B142="","",HYPERLINK("https://kabutan.jp/stock/?code="&amp;B142,"株探"))</f>
        <v/>
      </c>
      <c r="B142" s="489"/>
      <c r="C142" s="489"/>
      <c r="D142" s="489" t="str" cm="1">
        <f t="array" ref="D142">_xll.RssMarket(B142, "銘柄名称")</f>
        <v/>
      </c>
      <c r="E142" s="716"/>
      <c r="F142" s="698" t="str" cm="1">
        <f t="array" aca="1" ref="F142" ca="1">IFERROR(_xlfn.LET(_xlpm.r,MATCH(TEXT($B142,"0"),TEXT(銘柄管理!$B$6:$B$305,"0"),0),_xlpm.t,MOD(NOW(),1),_xlpm.c,IF($E142=TODAY(),IF(_xlpm.t&gt;=TIME(15,30,0),NA(),1),IF(MATCH($E142,始値!$E$3:$IT$3,0)=1,1,MATCH($E142,始値!$E$3:$IT$3,0)+1)),_xlpm.v,INDEX(始値!$C$6:$IT$305,_xlpm.r,_xlpm.c),IF(N(_xlpm.v)=0,"",_xlpm.v)),"")</f>
        <v/>
      </c>
      <c r="G142" s="489"/>
      <c r="H142" s="491" t="str" cm="1">
        <f t="array" ref="H142">_xll.RssMarket(B142, "現在値")</f>
        <v/>
      </c>
      <c r="I142" s="491" t="str" cm="1">
        <f t="array" ref="I142">_xll.RssMarket(B142, "出来高加重平均")</f>
        <v/>
      </c>
      <c r="J142" s="701" t="str" cm="1">
        <f t="array" ref="J142">_xll.RssMarket($B142, "前日比")</f>
        <v/>
      </c>
      <c r="K142" s="701" t="str">
        <f>IF(OR(F142="",G142="",H142=""),"",IF(C142="売",(F142-H142)*G142,(H142-F142)*G142))</f>
        <v/>
      </c>
      <c r="L142" s="706" t="str">
        <f>IF(OR(F142="",H142=""),"",IF(C142="売",(F142-H142)/F142,(H142-F142)/F142))</f>
        <v/>
      </c>
      <c r="M142" s="491" t="str">
        <f>IF($F142="","",$F142*IF($C142="売",1-V811設定!$B$4,1+V811設定!$B$4)-MOD($F142*IF($C142="売",1-V811設定!$B$4,1+V811設定!$B$4),IF($F142&lt;=3000,1,IF($F142&lt;=5000,5,IF($F142&lt;=30000,10,IF($F142&lt;=50000,50,IF($F142&lt;=300000,100,500))))))+IF(AND($C142="売",MOD($F142*IF($C142="売",1-V811設定!$B$4,1+V811設定!$B$4),IF($F142&lt;=3000,1,IF($F142&lt;=5000,5,IF($F142&lt;=30000,10,IF($F142&lt;=50000,50,IF($F142&lt;=300000,100,500))))))&gt;0),IF($F142&lt;=3000,1,IF($F142&lt;=5000,5,IF($F142&lt;=30000,10,IF($F142&lt;=50000,50,IF($F142&lt;=300000,100,500))))),0))</f>
      </c>
      <c r="N142" s="491" t="str">
        <f>IF($F142="","",$F142*IF($C142="売",1+V811設定!$B$3,1-V811設定!$B$3)-MOD($F142*IF($C142="売",1+V811設定!$B$3,1-V811設定!$B$3),IF($F142&lt;=3000,1,IF($F142&lt;=5000,5,IF($F142&lt;=30000,10,IF($F142&lt;=50000,50,IF($F142&lt;=300000,100,500))))))+IF(AND($C142="売",MOD($F142*IF($C142="売",1+V811設定!$B$3,1-V811設定!$B$3),IF($F142&lt;=3000,1,IF($F142&lt;=5000,5,IF($F142&lt;=30000,10,IF($F142&lt;=50000,50,IF($F142&lt;=300000,100,500))))))&gt;0),IF($F142&lt;=3000,1,IF($F142&lt;=5000,5,IF($F142&lt;=30000,10,IF($F142&lt;=50000,50,IF($F142&lt;=300000,100,500))))),0))</f>
      </c>
      <c r="O142" s="492" t="str">
        <f>IF(OR($B142="",$F142="",$H142=""),"",IF($S142="✅売却済","―決済済―",IF($C142="売",IF($H142&lt;=$M142,"🟢利確",IF(AND($R142&lt;&gt;"",$H142&gt;=$R142),"🟠TRAIL",IF($H142&gt;=$N142,"🔴損切",IF($W142&gt;=V811設定!$B$6,"⏱時間決済",IF($H142&gt;=$F142*(1+V811設定!$B$3*0.7),"⚠️損切接近","保持継続"))))),IF($H142&gt;=$M142,"🟢利確",IF(AND($R142&lt;&gt;"",$H142&lt;=$R142),"🟠TRAIL",IF($H142&lt;=$N142,"🔴損切",IF($W142&gt;=V811設定!$B$6,"⏱時間決済",IF($H142&lt;=$F142*(1-V811設定!$B$3*0.7),"⚠️損切接近","保持継続"))))))))</f>
      </c>
      <c r="P142" s="491"/>
      <c r="Q142" s="491"/>
      <c r="R142" s="491" t="str">
        <f>IF(OR($F142="",$H142="",$N142=""),"",IF($S142="✅売却済","",IF($C142="売",IF($H142&gt;$F142*(1-V811設定!$B$3),$N142,MIN($N142,IF($Q142="",$N142,$Q142*1.03))),IF($H142&lt;$F142*(1+V811設定!$B$3),$N142,MAX($N142,IF($P142="",$N142,$P142*0.97))))))</f>
      </c>
      <c r="S142" s="586" t="str">
        <f>IF(B142="","",IF(T142&lt;&gt;"","✅売却済",IF(OR(H142="",L142=""),"📌保有中",IF(L142&gt;=0.06,"🟢利確推奨",IF(L142&gt;=0.05,"🟡利確直近",IF(L142&gt;=0.045,"🔵トレーリング検討",IF(L142&gt;-0.03,"📌保有中",IF(L142&gt;-0.04,"⚠️損切注意","🔴損切り"))))))))</f>
        <v/>
      </c>
      <c r="T142" s="594"/>
      <c r="U142" s="491"/>
      <c r="V142" s="701" t="str">
        <f>IF(OR(F142="",G142="",U142=""),"",IF(C142="売",(F142-U142)*G142,(U142-F142)*G142))</f>
        <v/>
      </c>
      <c r="W142" s="493" t="str">
        <f>IF(OR($E142="",$B142=""),"",IF($T142&lt;&gt;"",$T142-$E142,TODAY()-$E142)+1)</f>
        <v/>
      </c>
      <c r="X142" s="489" t="str">
        <f>IF(OR($AH142="",$AH142="保有中"),"",$AH142)</f>
        <v/>
      </c>
      <c r="Y142" s="488"/>
      <c r="Z142" s="710"/>
      <c r="AD142" s="608"/>
      <c r="AE142" s="600" t="str">
        <f>IF($E142="","",WORKDAY($E142,12))</f>
        <v/>
      </c>
      <c r="AF142" s="600" t="str" cm="1">
        <f t="array" aca="1" ref="AF142" ca="1">IF(OR($B142="",$M142=""),"",IFERROR(IF($C142="売",_xlfn.MINIFS(安値!$E$3:$IT$3,安値!$E$3:$IT$3,"&gt;"&amp;$E142,安値!$E$3:$IT$3,"&lt;="&amp;$AE142,OFFSET(安値!$E$6:$IT$6,MATCH(TEXT($B142,"0"),TEXT(銘柄管理!$B$6:$B$305,"0"),0)-1,0),"&lt;="&amp;$M142),_xlfn.MINIFS(高値!$E$3:$IT$3,高値!$E$3:$IT$3,"&gt;"&amp;$E142,高値!$E$3:$IT$3,"&lt;="&amp;$AE142,OFFSET(高値!$E$6:$IT$6,MATCH(TEXT($B142,"0"),TEXT(銘柄管理!$B$6:$B$305,"0"),0)-1,0),"&gt;="&amp;$M142)),""))</f>
        <v/>
      </c>
      <c r="AG142" s="600" t="str" cm="1">
        <f t="array" aca="1" ref="AG142" ca="1">IF(OR($B142="",$N142=""),"",IFERROR(IF($C142="売",_xlfn.MINIFS(高値!$E$3:$IT$3,高値!$E$3:$IT$3,"&gt;"&amp;$E142,高値!$E$3:$IT$3,"&lt;="&amp;$AE142,OFFSET(高値!$E$6:$IT$6,MATCH(TEXT($B142,"0"),TEXT(銘柄管理!$B$6:$B$305,"0"),0)-1,0),"&gt;="&amp;$N142),_xlfn.MINIFS(安値!$E$3:$IT$3,安値!$E$3:$IT$3,"&gt;"&amp;$E142,安値!$E$3:$IT$3,"&lt;="&amp;$AE142,OFFSET(安値!$E$6:$IT$6,MATCH(TEXT($B142,"0"),TEXT(銘柄管理!$B$6:$B$305,"0"),0)-1,0),"&lt;="&amp;$N142)),""))</f>
        <v/>
      </c>
      <c r="AH142" s="600" t="str">
        <f>IF(OR($B142="",$M142=""),"",IF(AND(N($AF142)=0,N($AG142)=0),IF(AND(ISNUMBER($H142),$H142&gt;0,IF($C142="売",$H142&gt;=$N142,$H142&lt;=$N142)),"損切確定",IF(AND(ISNUMBER($H142),$H142&gt;0,IF($C142="売",$H142&lt;=$M142,$H142&gt;=$M142)),"利益確定",IF($AE142&lt;=TODAY(),"日数制限","保有中"))),IF(N($AG142)=0,"利益確定",IF(N($AF142)=0,"損切確定",IF($AG142&lt;=$AF142,"損切確定","利益確定")))))</f>
        <v/>
      </c>
      <c r="AI142" s="600" t="str" cm="1">
        <f t="array" ref="AI142">IFERROR(INDEX(始値!$E$6:$IT$305,MATCH(TEXT($B142,"0"),TEXT(銘柄管理!$B$6:$B$305,"0"),0),MATCH($AE142,始値!$E$3:$IT$3,0)),"")</f>
        <v/>
      </c>
      <c r="AJ142" s="608" t="str">
        <f>IF(OR($V142="",$F142="",$G142=""),"",$V142/($F142*$G142))</f>
        <v/>
      </c>
      <c r="AK142" s="600" t="str">
        <f>IF($V142="","",IF($V142&gt;0,"○勝",IF($V142&lt;0,"●負","△引分")))</f>
        <v/>
      </c>
    </row>
    <row r="143" spans="1:37" ht="35.4" customHeight="1">
      <c r="A143" s="619" t="str">
        <f>IF(B143="","",HYPERLINK("https://kabutan.jp/stock/?code="&amp;B143,"株探"))</f>
        <v/>
      </c>
      <c r="B143" s="489"/>
      <c r="C143" s="489"/>
      <c r="D143" s="489" t="str" cm="1">
        <f t="array" ref="D143">_xll.RssMarket(B143, "銘柄名称")</f>
        <v/>
      </c>
      <c r="E143" s="716"/>
      <c r="F143" s="698" t="str" cm="1">
        <f t="array" aca="1" ref="F143" ca="1">IFERROR(_xlfn.LET(_xlpm.r,MATCH(TEXT($B143,"0"),TEXT(銘柄管理!$B$6:$B$305,"0"),0),_xlpm.t,MOD(NOW(),1),_xlpm.c,IF($E143=TODAY(),IF(_xlpm.t&gt;=TIME(15,30,0),NA(),1),IF(MATCH($E143,始値!$E$3:$IT$3,0)=1,1,MATCH($E143,始値!$E$3:$IT$3,0)+1)),_xlpm.v,INDEX(始値!$C$6:$IT$305,_xlpm.r,_xlpm.c),IF(N(_xlpm.v)=0,"",_xlpm.v)),"")</f>
        <v/>
      </c>
      <c r="G143" s="489"/>
      <c r="H143" s="491" t="str" cm="1">
        <f t="array" ref="H143">_xll.RssMarket(B143, "現在値")</f>
        <v/>
      </c>
      <c r="I143" s="491" t="str" cm="1">
        <f t="array" ref="I143">_xll.RssMarket(B143, "出来高加重平均")</f>
        <v/>
      </c>
      <c r="J143" s="701" t="str" cm="1">
        <f t="array" ref="J143">_xll.RssMarket($B143, "前日比")</f>
        <v/>
      </c>
      <c r="K143" s="701" t="str">
        <f>IF(OR(F143="",G143="",H143=""),"",IF(C143="売",(F143-H143)*G143,(H143-F143)*G143))</f>
        <v/>
      </c>
      <c r="L143" s="706" t="str">
        <f>IF(OR(F143="",H143=""),"",IF(C143="売",(F143-H143)/F143,(H143-F143)/F143))</f>
        <v/>
      </c>
      <c r="M143" s="491" t="str">
        <f>IF($F143="","",$F143*IF($C143="売",1-V811設定!$B$4,1+V811設定!$B$4)-MOD($F143*IF($C143="売",1-V811設定!$B$4,1+V811設定!$B$4),IF($F143&lt;=3000,1,IF($F143&lt;=5000,5,IF($F143&lt;=30000,10,IF($F143&lt;=50000,50,IF($F143&lt;=300000,100,500))))))+IF(AND($C143="売",MOD($F143*IF($C143="売",1-V811設定!$B$4,1+V811設定!$B$4),IF($F143&lt;=3000,1,IF($F143&lt;=5000,5,IF($F143&lt;=30000,10,IF($F143&lt;=50000,50,IF($F143&lt;=300000,100,500))))))&gt;0),IF($F143&lt;=3000,1,IF($F143&lt;=5000,5,IF($F143&lt;=30000,10,IF($F143&lt;=50000,50,IF($F143&lt;=300000,100,500))))),0))</f>
      </c>
      <c r="N143" s="491" t="str">
        <f>IF($F143="","",$F143*IF($C143="売",1+V811設定!$B$3,1-V811設定!$B$3)-MOD($F143*IF($C143="売",1+V811設定!$B$3,1-V811設定!$B$3),IF($F143&lt;=3000,1,IF($F143&lt;=5000,5,IF($F143&lt;=30000,10,IF($F143&lt;=50000,50,IF($F143&lt;=300000,100,500))))))+IF(AND($C143="売",MOD($F143*IF($C143="売",1+V811設定!$B$3,1-V811設定!$B$3),IF($F143&lt;=3000,1,IF($F143&lt;=5000,5,IF($F143&lt;=30000,10,IF($F143&lt;=50000,50,IF($F143&lt;=300000,100,500))))))&gt;0),IF($F143&lt;=3000,1,IF($F143&lt;=5000,5,IF($F143&lt;=30000,10,IF($F143&lt;=50000,50,IF($F143&lt;=300000,100,500))))),0))</f>
      </c>
      <c r="O143" s="492" t="str">
        <f>IF(OR($B143="",$F143="",$H143=""),"",IF($S143="✅売却済","―決済済―",IF($C143="売",IF($H143&lt;=$M143,"🟢利確",IF(AND($R143&lt;&gt;"",$H143&gt;=$R143),"🟠TRAIL",IF($H143&gt;=$N143,"🔴損切",IF($W143&gt;=V811設定!$B$6,"⏱時間決済",IF($H143&gt;=$F143*(1+V811設定!$B$3*0.7),"⚠️損切接近","保持継続"))))),IF($H143&gt;=$M143,"🟢利確",IF(AND($R143&lt;&gt;"",$H143&lt;=$R143),"🟠TRAIL",IF($H143&lt;=$N143,"🔴損切",IF($W143&gt;=V811設定!$B$6,"⏱時間決済",IF($H143&lt;=$F143*(1-V811設定!$B$3*0.7),"⚠️損切接近","保持継続"))))))))</f>
      </c>
      <c r="P143" s="491"/>
      <c r="Q143" s="491"/>
      <c r="R143" s="491" t="str">
        <f>IF(OR($F143="",$H143="",$N143=""),"",IF($S143="✅売却済","",IF($C143="売",IF($H143&gt;$F143*(1-V811設定!$B$3),$N143,MIN($N143,IF($Q143="",$N143,$Q143*1.03))),IF($H143&lt;$F143*(1+V811設定!$B$3),$N143,MAX($N143,IF($P143="",$N143,$P143*0.97))))))</f>
      </c>
      <c r="S143" s="586" t="str">
        <f>IF(B143="","",IF(T143&lt;&gt;"","✅売却済",IF(OR(H143="",L143=""),"📌保有中",IF(L143&gt;=0.06,"🟢利確推奨",IF(L143&gt;=0.05,"🟡利確直近",IF(L143&gt;=0.045,"🔵トレーリング検討",IF(L143&gt;-0.03,"📌保有中",IF(L143&gt;-0.04,"⚠️損切注意","🔴損切り"))))))))</f>
        <v/>
      </c>
      <c r="T143" s="594"/>
      <c r="U143" s="491"/>
      <c r="V143" s="701" t="str">
        <f>IF(OR(F143="",G143="",U143=""),"",IF(C143="売",(F143-U143)*G143,(U143-F143)*G143))</f>
        <v/>
      </c>
      <c r="W143" s="493" t="str">
        <f>IF(OR($E143="",$B143=""),"",IF($T143&lt;&gt;"",$T143-$E143,TODAY()-$E143)+1)</f>
        <v/>
      </c>
      <c r="X143" s="489" t="str">
        <f>IF(OR($AH143="",$AH143="保有中"),"",$AH143)</f>
        <v/>
      </c>
      <c r="Y143" s="488"/>
      <c r="Z143" s="710"/>
      <c r="AD143" s="608"/>
      <c r="AE143" s="600" t="str">
        <f>IF($E143="","",WORKDAY($E143,12))</f>
        <v/>
      </c>
      <c r="AF143" s="600" t="str" cm="1">
        <f t="array" aca="1" ref="AF143" ca="1">IF(OR($B143="",$M143=""),"",IFERROR(IF($C143="売",_xlfn.MINIFS(安値!$E$3:$IT$3,安値!$E$3:$IT$3,"&gt;"&amp;$E143,安値!$E$3:$IT$3,"&lt;="&amp;$AE143,OFFSET(安値!$E$6:$IT$6,MATCH(TEXT($B143,"0"),TEXT(銘柄管理!$B$6:$B$305,"0"),0)-1,0),"&lt;="&amp;$M143),_xlfn.MINIFS(高値!$E$3:$IT$3,高値!$E$3:$IT$3,"&gt;"&amp;$E143,高値!$E$3:$IT$3,"&lt;="&amp;$AE143,OFFSET(高値!$E$6:$IT$6,MATCH(TEXT($B143,"0"),TEXT(銘柄管理!$B$6:$B$305,"0"),0)-1,0),"&gt;="&amp;$M143)),""))</f>
        <v/>
      </c>
      <c r="AG143" s="600" t="str" cm="1">
        <f t="array" aca="1" ref="AG143" ca="1">IF(OR($B143="",$N143=""),"",IFERROR(IF($C143="売",_xlfn.MINIFS(高値!$E$3:$IT$3,高値!$E$3:$IT$3,"&gt;"&amp;$E143,高値!$E$3:$IT$3,"&lt;="&amp;$AE143,OFFSET(高値!$E$6:$IT$6,MATCH(TEXT($B143,"0"),TEXT(銘柄管理!$B$6:$B$305,"0"),0)-1,0),"&gt;="&amp;$N143),_xlfn.MINIFS(安値!$E$3:$IT$3,安値!$E$3:$IT$3,"&gt;"&amp;$E143,安値!$E$3:$IT$3,"&lt;="&amp;$AE143,OFFSET(安値!$E$6:$IT$6,MATCH(TEXT($B143,"0"),TEXT(銘柄管理!$B$6:$B$305,"0"),0)-1,0),"&lt;="&amp;$N143)),""))</f>
        <v/>
      </c>
      <c r="AH143" s="600" t="str">
        <f>IF(OR($B143="",$M143=""),"",IF(AND(N($AF143)=0,N($AG143)=0),IF(AND(ISNUMBER($H143),$H143&gt;0,IF($C143="売",$H143&gt;=$N143,$H143&lt;=$N143)),"損切確定",IF(AND(ISNUMBER($H143),$H143&gt;0,IF($C143="売",$H143&lt;=$M143,$H143&gt;=$M143)),"利益確定",IF($AE143&lt;=TODAY(),"日数制限","保有中"))),IF(N($AG143)=0,"利益確定",IF(N($AF143)=0,"損切確定",IF($AG143&lt;=$AF143,"損切確定","利益確定")))))</f>
        <v/>
      </c>
      <c r="AI143" s="600" t="str" cm="1">
        <f t="array" ref="AI143">IFERROR(INDEX(始値!$E$6:$IT$305,MATCH(TEXT($B143,"0"),TEXT(銘柄管理!$B$6:$B$305,"0"),0),MATCH($AE143,始値!$E$3:$IT$3,0)),"")</f>
        <v/>
      </c>
      <c r="AJ143" s="608" t="str">
        <f>IF(OR($V143="",$F143="",$G143=""),"",$V143/($F143*$G143))</f>
        <v/>
      </c>
      <c r="AK143" s="600" t="str">
        <f>IF($V143="","",IF($V143&gt;0,"○勝",IF($V143&lt;0,"●負","△引分")))</f>
        <v/>
      </c>
    </row>
    <row r="144" spans="1:37" ht="35.4" customHeight="1">
      <c r="A144" s="619" t="str">
        <f>IF(B144="","",HYPERLINK("https://kabutan.jp/stock/?code="&amp;B144,"株探"))</f>
        <v/>
      </c>
      <c r="B144" s="489"/>
      <c r="C144" s="489"/>
      <c r="D144" s="489" t="str" cm="1">
        <f t="array" ref="D144">_xll.RssMarket(B144, "銘柄名称")</f>
        <v/>
      </c>
      <c r="E144" s="716"/>
      <c r="F144" s="698" t="str" cm="1">
        <f t="array" aca="1" ref="F144" ca="1">IFERROR(_xlfn.LET(_xlpm.r,MATCH(TEXT($B144,"0"),TEXT(銘柄管理!$B$6:$B$305,"0"),0),_xlpm.t,MOD(NOW(),1),_xlpm.c,IF($E144=TODAY(),IF(_xlpm.t&gt;=TIME(15,30,0),NA(),1),IF(MATCH($E144,始値!$E$3:$IT$3,0)=1,1,MATCH($E144,始値!$E$3:$IT$3,0)+1)),_xlpm.v,INDEX(始値!$C$6:$IT$305,_xlpm.r,_xlpm.c),IF(N(_xlpm.v)=0,"",_xlpm.v)),"")</f>
        <v/>
      </c>
      <c r="G144" s="489"/>
      <c r="H144" s="491" t="str" cm="1">
        <f t="array" ref="H144">_xll.RssMarket(B144, "現在値")</f>
        <v/>
      </c>
      <c r="I144" s="491" t="str" cm="1">
        <f t="array" ref="I144">_xll.RssMarket(B144, "出来高加重平均")</f>
        <v/>
      </c>
      <c r="J144" s="701" t="str" cm="1">
        <f t="array" ref="J144">_xll.RssMarket($B144, "前日比")</f>
        <v/>
      </c>
      <c r="K144" s="701" t="str">
        <f>IF(OR(F144="",G144="",H144=""),"",IF(C144="売",(F144-H144)*G144,(H144-F144)*G144))</f>
        <v/>
      </c>
      <c r="L144" s="706" t="str">
        <f>IF(OR(F144="",H144=""),"",IF(C144="売",(F144-H144)/F144,(H144-F144)/F144))</f>
        <v/>
      </c>
      <c r="M144" s="491" t="str">
        <f>IF($F144="","",$F144*IF($C144="売",1-V811設定!$B$4,1+V811設定!$B$4)-MOD($F144*IF($C144="売",1-V811設定!$B$4,1+V811設定!$B$4),IF($F144&lt;=3000,1,IF($F144&lt;=5000,5,IF($F144&lt;=30000,10,IF($F144&lt;=50000,50,IF($F144&lt;=300000,100,500))))))+IF(AND($C144="売",MOD($F144*IF($C144="売",1-V811設定!$B$4,1+V811設定!$B$4),IF($F144&lt;=3000,1,IF($F144&lt;=5000,5,IF($F144&lt;=30000,10,IF($F144&lt;=50000,50,IF($F144&lt;=300000,100,500))))))&gt;0),IF($F144&lt;=3000,1,IF($F144&lt;=5000,5,IF($F144&lt;=30000,10,IF($F144&lt;=50000,50,IF($F144&lt;=300000,100,500))))),0))</f>
      </c>
      <c r="N144" s="491" t="str">
        <f>IF($F144="","",$F144*IF($C144="売",1+V811設定!$B$3,1-V811設定!$B$3)-MOD($F144*IF($C144="売",1+V811設定!$B$3,1-V811設定!$B$3),IF($F144&lt;=3000,1,IF($F144&lt;=5000,5,IF($F144&lt;=30000,10,IF($F144&lt;=50000,50,IF($F144&lt;=300000,100,500))))))+IF(AND($C144="売",MOD($F144*IF($C144="売",1+V811設定!$B$3,1-V811設定!$B$3),IF($F144&lt;=3000,1,IF($F144&lt;=5000,5,IF($F144&lt;=30000,10,IF($F144&lt;=50000,50,IF($F144&lt;=300000,100,500))))))&gt;0),IF($F144&lt;=3000,1,IF($F144&lt;=5000,5,IF($F144&lt;=30000,10,IF($F144&lt;=50000,50,IF($F144&lt;=300000,100,500))))),0))</f>
      </c>
      <c r="O144" s="492" t="str">
        <f>IF(OR($B144="",$F144="",$H144=""),"",IF($S144="✅売却済","―決済済―",IF($C144="売",IF($H144&lt;=$M144,"🟢利確",IF(AND($R144&lt;&gt;"",$H144&gt;=$R144),"🟠TRAIL",IF($H144&gt;=$N144,"🔴損切",IF($W144&gt;=V811設定!$B$6,"⏱時間決済",IF($H144&gt;=$F144*(1+V811設定!$B$3*0.7),"⚠️損切接近","保持継続"))))),IF($H144&gt;=$M144,"🟢利確",IF(AND($R144&lt;&gt;"",$H144&lt;=$R144),"🟠TRAIL",IF($H144&lt;=$N144,"🔴損切",IF($W144&gt;=V811設定!$B$6,"⏱時間決済",IF($H144&lt;=$F144*(1-V811設定!$B$3*0.7),"⚠️損切接近","保持継続"))))))))</f>
      </c>
      <c r="P144" s="491"/>
      <c r="Q144" s="491"/>
      <c r="R144" s="491" t="str">
        <f>IF(OR($F144="",$H144="",$N144=""),"",IF($S144="✅売却済","",IF($C144="売",IF($H144&gt;$F144*(1-V811設定!$B$3),$N144,MIN($N144,IF($Q144="",$N144,$Q144*1.03))),IF($H144&lt;$F144*(1+V811設定!$B$3),$N144,MAX($N144,IF($P144="",$N144,$P144*0.97))))))</f>
      </c>
      <c r="S144" s="586" t="str">
        <f>IF(B144="","",IF(T144&lt;&gt;"","✅売却済",IF(OR(H144="",L144=""),"📌保有中",IF(L144&gt;=0.06,"🟢利確推奨",IF(L144&gt;=0.05,"🟡利確直近",IF(L144&gt;=0.045,"🔵トレーリング検討",IF(L144&gt;-0.03,"📌保有中",IF(L144&gt;-0.04,"⚠️損切注意","🔴損切り"))))))))</f>
        <v/>
      </c>
      <c r="T144" s="594"/>
      <c r="U144" s="491"/>
      <c r="V144" s="701" t="str">
        <f>IF(OR(F144="",G144="",U144=""),"",IF(C144="売",(F144-U144)*G144,(U144-F144)*G144))</f>
        <v/>
      </c>
      <c r="W144" s="493" t="str">
        <f>IF(OR($E144="",$B144=""),"",IF($T144&lt;&gt;"",$T144-$E144,TODAY()-$E144)+1)</f>
        <v/>
      </c>
      <c r="X144" s="489" t="str">
        <f>IF(OR($AH144="",$AH144="保有中"),"",$AH144)</f>
        <v/>
      </c>
      <c r="Y144" s="488"/>
      <c r="Z144" s="710"/>
      <c r="AD144" s="608"/>
      <c r="AE144" s="600" t="str">
        <f>IF($E144="","",WORKDAY($E144,12))</f>
        <v/>
      </c>
      <c r="AF144" s="600" t="str" cm="1">
        <f t="array" aca="1" ref="AF144" ca="1">IF(OR($B144="",$M144=""),"",IFERROR(IF($C144="売",_xlfn.MINIFS(安値!$E$3:$IT$3,安値!$E$3:$IT$3,"&gt;"&amp;$E144,安値!$E$3:$IT$3,"&lt;="&amp;$AE144,OFFSET(安値!$E$6:$IT$6,MATCH(TEXT($B144,"0"),TEXT(銘柄管理!$B$6:$B$305,"0"),0)-1,0),"&lt;="&amp;$M144),_xlfn.MINIFS(高値!$E$3:$IT$3,高値!$E$3:$IT$3,"&gt;"&amp;$E144,高値!$E$3:$IT$3,"&lt;="&amp;$AE144,OFFSET(高値!$E$6:$IT$6,MATCH(TEXT($B144,"0"),TEXT(銘柄管理!$B$6:$B$305,"0"),0)-1,0),"&gt;="&amp;$M144)),""))</f>
        <v/>
      </c>
      <c r="AG144" s="600" t="str" cm="1">
        <f t="array" aca="1" ref="AG144" ca="1">IF(OR($B144="",$N144=""),"",IFERROR(IF($C144="売",_xlfn.MINIFS(高値!$E$3:$IT$3,高値!$E$3:$IT$3,"&gt;"&amp;$E144,高値!$E$3:$IT$3,"&lt;="&amp;$AE144,OFFSET(高値!$E$6:$IT$6,MATCH(TEXT($B144,"0"),TEXT(銘柄管理!$B$6:$B$305,"0"),0)-1,0),"&gt;="&amp;$N144),_xlfn.MINIFS(安値!$E$3:$IT$3,安値!$E$3:$IT$3,"&gt;"&amp;$E144,安値!$E$3:$IT$3,"&lt;="&amp;$AE144,OFFSET(安値!$E$6:$IT$6,MATCH(TEXT($B144,"0"),TEXT(銘柄管理!$B$6:$B$305,"0"),0)-1,0),"&lt;="&amp;$N144)),""))</f>
        <v/>
      </c>
      <c r="AH144" s="600" t="str">
        <f>IF(OR($B144="",$M144=""),"",IF(AND(N($AF144)=0,N($AG144)=0),IF(AND(ISNUMBER($H144),$H144&gt;0,IF($C144="売",$H144&gt;=$N144,$H144&lt;=$N144)),"損切確定",IF(AND(ISNUMBER($H144),$H144&gt;0,IF($C144="売",$H144&lt;=$M144,$H144&gt;=$M144)),"利益確定",IF($AE144&lt;=TODAY(),"日数制限","保有中"))),IF(N($AG144)=0,"利益確定",IF(N($AF144)=0,"損切確定",IF($AG144&lt;=$AF144,"損切確定","利益確定")))))</f>
        <v/>
      </c>
      <c r="AI144" s="600" t="str" cm="1">
        <f t="array" ref="AI144">IFERROR(INDEX(始値!$E$6:$IT$305,MATCH(TEXT($B144,"0"),TEXT(銘柄管理!$B$6:$B$305,"0"),0),MATCH($AE144,始値!$E$3:$IT$3,0)),"")</f>
        <v/>
      </c>
      <c r="AJ144" s="608" t="str">
        <f>IF(OR($V144="",$F144="",$G144=""),"",$V144/($F144*$G144))</f>
        <v/>
      </c>
      <c r="AK144" s="600" t="str">
        <f>IF($V144="","",IF($V144&gt;0,"○勝",IF($V144&lt;0,"●負","△引分")))</f>
        <v/>
      </c>
    </row>
    <row r="145" spans="1:37" ht="35.4" customHeight="1">
      <c r="A145" s="619" t="str">
        <f>IF(B145="","",HYPERLINK("https://kabutan.jp/stock/?code="&amp;B145,"株探"))</f>
        <v/>
      </c>
      <c r="B145" s="489"/>
      <c r="C145" s="489"/>
      <c r="D145" s="489" t="str" cm="1">
        <f t="array" ref="D145">_xll.RssMarket(B145, "銘柄名称")</f>
        <v/>
      </c>
      <c r="E145" s="716"/>
      <c r="F145" s="698" t="str" cm="1">
        <f t="array" aca="1" ref="F145" ca="1">IFERROR(_xlfn.LET(_xlpm.r,MATCH(TEXT($B145,"0"),TEXT(銘柄管理!$B$6:$B$305,"0"),0),_xlpm.t,MOD(NOW(),1),_xlpm.c,IF($E145=TODAY(),IF(_xlpm.t&gt;=TIME(15,30,0),NA(),1),IF(MATCH($E145,始値!$E$3:$IT$3,0)=1,1,MATCH($E145,始値!$E$3:$IT$3,0)+1)),_xlpm.v,INDEX(始値!$C$6:$IT$305,_xlpm.r,_xlpm.c),IF(N(_xlpm.v)=0,"",_xlpm.v)),"")</f>
        <v/>
      </c>
      <c r="G145" s="489"/>
      <c r="H145" s="491" t="str" cm="1">
        <f t="array" ref="H145">_xll.RssMarket(B145, "現在値")</f>
        <v/>
      </c>
      <c r="I145" s="491" t="str" cm="1">
        <f t="array" ref="I145">_xll.RssMarket(B145, "出来高加重平均")</f>
        <v/>
      </c>
      <c r="J145" s="701" t="str" cm="1">
        <f t="array" ref="J145">_xll.RssMarket($B145, "前日比")</f>
        <v/>
      </c>
      <c r="K145" s="701" t="str">
        <f>IF(OR(F145="",G145="",H145=""),"",IF(C145="売",(F145-H145)*G145,(H145-F145)*G145))</f>
        <v/>
      </c>
      <c r="L145" s="706" t="str">
        <f>IF(OR(F145="",H145=""),"",IF(C145="売",(F145-H145)/F145,(H145-F145)/F145))</f>
        <v/>
      </c>
      <c r="M145" s="491" t="str">
        <f>IF($F145="","",$F145*IF($C145="売",1-V811設定!$B$4,1+V811設定!$B$4)-MOD($F145*IF($C145="売",1-V811設定!$B$4,1+V811設定!$B$4),IF($F145&lt;=3000,1,IF($F145&lt;=5000,5,IF($F145&lt;=30000,10,IF($F145&lt;=50000,50,IF($F145&lt;=300000,100,500))))))+IF(AND($C145="売",MOD($F145*IF($C145="売",1-V811設定!$B$4,1+V811設定!$B$4),IF($F145&lt;=3000,1,IF($F145&lt;=5000,5,IF($F145&lt;=30000,10,IF($F145&lt;=50000,50,IF($F145&lt;=300000,100,500))))))&gt;0),IF($F145&lt;=3000,1,IF($F145&lt;=5000,5,IF($F145&lt;=30000,10,IF($F145&lt;=50000,50,IF($F145&lt;=300000,100,500))))),0))</f>
      </c>
      <c r="N145" s="491" t="str">
        <f>IF($F145="","",$F145*IF($C145="売",1+V811設定!$B$3,1-V811設定!$B$3)-MOD($F145*IF($C145="売",1+V811設定!$B$3,1-V811設定!$B$3),IF($F145&lt;=3000,1,IF($F145&lt;=5000,5,IF($F145&lt;=30000,10,IF($F145&lt;=50000,50,IF($F145&lt;=300000,100,500))))))+IF(AND($C145="売",MOD($F145*IF($C145="売",1+V811設定!$B$3,1-V811設定!$B$3),IF($F145&lt;=3000,1,IF($F145&lt;=5000,5,IF($F145&lt;=30000,10,IF($F145&lt;=50000,50,IF($F145&lt;=300000,100,500))))))&gt;0),IF($F145&lt;=3000,1,IF($F145&lt;=5000,5,IF($F145&lt;=30000,10,IF($F145&lt;=50000,50,IF($F145&lt;=300000,100,500))))),0))</f>
      </c>
      <c r="O145" s="492" t="str">
        <f>IF(OR($B145="",$F145="",$H145=""),"",IF($S145="✅売却済","―決済済―",IF($C145="売",IF($H145&lt;=$M145,"🟢利確",IF(AND($R145&lt;&gt;"",$H145&gt;=$R145),"🟠TRAIL",IF($H145&gt;=$N145,"🔴損切",IF($W145&gt;=V811設定!$B$6,"⏱時間決済",IF($H145&gt;=$F145*(1+V811設定!$B$3*0.7),"⚠️損切接近","保持継続"))))),IF($H145&gt;=$M145,"🟢利確",IF(AND($R145&lt;&gt;"",$H145&lt;=$R145),"🟠TRAIL",IF($H145&lt;=$N145,"🔴損切",IF($W145&gt;=V811設定!$B$6,"⏱時間決済",IF($H145&lt;=$F145*(1-V811設定!$B$3*0.7),"⚠️損切接近","保持継続"))))))))</f>
      </c>
      <c r="P145" s="491"/>
      <c r="Q145" s="491"/>
      <c r="R145" s="491" t="str">
        <f>IF(OR($F145="",$H145="",$N145=""),"",IF($S145="✅売却済","",IF($C145="売",IF($H145&gt;$F145*(1-V811設定!$B$3),$N145,MIN($N145,IF($Q145="",$N145,$Q145*1.03))),IF($H145&lt;$F145*(1+V811設定!$B$3),$N145,MAX($N145,IF($P145="",$N145,$P145*0.97))))))</f>
      </c>
      <c r="S145" s="586" t="str">
        <f>IF(B145="","",IF(T145&lt;&gt;"","✅売却済",IF(OR(H145="",L145=""),"📌保有中",IF(L145&gt;=0.06,"🟢利確推奨",IF(L145&gt;=0.05,"🟡利確直近",IF(L145&gt;=0.045,"🔵トレーリング検討",IF(L145&gt;-0.03,"📌保有中",IF(L145&gt;-0.04,"⚠️損切注意","🔴損切り"))))))))</f>
        <v/>
      </c>
      <c r="T145" s="594"/>
      <c r="U145" s="491"/>
      <c r="V145" s="701" t="str">
        <f>IF(OR(F145="",G145="",U145=""),"",IF(C145="売",(F145-U145)*G145,(U145-F145)*G145))</f>
        <v/>
      </c>
      <c r="W145" s="493" t="str">
        <f>IF(OR($E145="",$B145=""),"",IF($T145&lt;&gt;"",$T145-$E145,TODAY()-$E145)+1)</f>
        <v/>
      </c>
      <c r="X145" s="489" t="str">
        <f>IF(OR($AH145="",$AH145="保有中"),"",$AH145)</f>
        <v/>
      </c>
      <c r="Y145" s="488"/>
      <c r="Z145" s="710"/>
      <c r="AD145" s="608"/>
      <c r="AE145" s="600" t="str">
        <f>IF($E145="","",WORKDAY($E145,12))</f>
        <v/>
      </c>
      <c r="AF145" s="600" t="str" cm="1">
        <f t="array" aca="1" ref="AF145" ca="1">IF(OR($B145="",$M145=""),"",IFERROR(IF($C145="売",_xlfn.MINIFS(安値!$E$3:$IT$3,安値!$E$3:$IT$3,"&gt;"&amp;$E145,安値!$E$3:$IT$3,"&lt;="&amp;$AE145,OFFSET(安値!$E$6:$IT$6,MATCH(TEXT($B145,"0"),TEXT(銘柄管理!$B$6:$B$305,"0"),0)-1,0),"&lt;="&amp;$M145),_xlfn.MINIFS(高値!$E$3:$IT$3,高値!$E$3:$IT$3,"&gt;"&amp;$E145,高値!$E$3:$IT$3,"&lt;="&amp;$AE145,OFFSET(高値!$E$6:$IT$6,MATCH(TEXT($B145,"0"),TEXT(銘柄管理!$B$6:$B$305,"0"),0)-1,0),"&gt;="&amp;$M145)),""))</f>
        <v/>
      </c>
      <c r="AG145" s="600" t="str" cm="1">
        <f t="array" aca="1" ref="AG145" ca="1">IF(OR($B145="",$N145=""),"",IFERROR(IF($C145="売",_xlfn.MINIFS(高値!$E$3:$IT$3,高値!$E$3:$IT$3,"&gt;"&amp;$E145,高値!$E$3:$IT$3,"&lt;="&amp;$AE145,OFFSET(高値!$E$6:$IT$6,MATCH(TEXT($B145,"0"),TEXT(銘柄管理!$B$6:$B$305,"0"),0)-1,0),"&gt;="&amp;$N145),_xlfn.MINIFS(安値!$E$3:$IT$3,安値!$E$3:$IT$3,"&gt;"&amp;$E145,安値!$E$3:$IT$3,"&lt;="&amp;$AE145,OFFSET(安値!$E$6:$IT$6,MATCH(TEXT($B145,"0"),TEXT(銘柄管理!$B$6:$B$305,"0"),0)-1,0),"&lt;="&amp;$N145)),""))</f>
        <v/>
      </c>
      <c r="AH145" s="600" t="str">
        <f>IF(OR($B145="",$M145=""),"",IF(AND(N($AF145)=0,N($AG145)=0),IF(AND(ISNUMBER($H145),$H145&gt;0,IF($C145="売",$H145&gt;=$N145,$H145&lt;=$N145)),"損切確定",IF(AND(ISNUMBER($H145),$H145&gt;0,IF($C145="売",$H145&lt;=$M145,$H145&gt;=$M145)),"利益確定",IF($AE145&lt;=TODAY(),"日数制限","保有中"))),IF(N($AG145)=0,"利益確定",IF(N($AF145)=0,"損切確定",IF($AG145&lt;=$AF145,"損切確定","利益確定")))))</f>
        <v/>
      </c>
      <c r="AI145" s="600" t="str" cm="1">
        <f t="array" ref="AI145">IFERROR(INDEX(始値!$E$6:$IT$305,MATCH(TEXT($B145,"0"),TEXT(銘柄管理!$B$6:$B$305,"0"),0),MATCH($AE145,始値!$E$3:$IT$3,0)),"")</f>
        <v/>
      </c>
      <c r="AJ145" s="608" t="str">
        <f>IF(OR($V145="",$F145="",$G145=""),"",$V145/($F145*$G145))</f>
        <v/>
      </c>
      <c r="AK145" s="600" t="str">
        <f>IF($V145="","",IF($V145&gt;0,"○勝",IF($V145&lt;0,"●負","△引分")))</f>
        <v/>
      </c>
    </row>
    <row r="146" spans="1:37" ht="35.4" customHeight="1">
      <c r="A146" s="619" t="str">
        <f>IF(B146="","",HYPERLINK("https://kabutan.jp/stock/?code="&amp;B146,"株探"))</f>
        <v/>
      </c>
      <c r="B146" s="489"/>
      <c r="C146" s="489"/>
      <c r="D146" s="489" t="str" cm="1">
        <f t="array" ref="D146">_xll.RssMarket(B146, "銘柄名称")</f>
        <v/>
      </c>
      <c r="E146" s="716"/>
      <c r="F146" s="698" t="str" cm="1">
        <f t="array" aca="1" ref="F146" ca="1">IFERROR(_xlfn.LET(_xlpm.r,MATCH(TEXT($B146,"0"),TEXT(銘柄管理!$B$6:$B$305,"0"),0),_xlpm.t,MOD(NOW(),1),_xlpm.c,IF($E146=TODAY(),IF(_xlpm.t&gt;=TIME(15,30,0),NA(),1),IF(MATCH($E146,始値!$E$3:$IT$3,0)=1,1,MATCH($E146,始値!$E$3:$IT$3,0)+1)),_xlpm.v,INDEX(始値!$C$6:$IT$305,_xlpm.r,_xlpm.c),IF(N(_xlpm.v)=0,"",_xlpm.v)),"")</f>
        <v/>
      </c>
      <c r="G146" s="489"/>
      <c r="H146" s="491" t="str" cm="1">
        <f t="array" ref="H146">_xll.RssMarket(B146, "現在値")</f>
        <v/>
      </c>
      <c r="I146" s="491" t="str" cm="1">
        <f t="array" ref="I146">_xll.RssMarket(B146, "出来高加重平均")</f>
        <v/>
      </c>
      <c r="J146" s="701" t="str" cm="1">
        <f t="array" ref="J146">_xll.RssMarket($B146, "前日比")</f>
        <v/>
      </c>
      <c r="K146" s="701" t="str">
        <f>IF(OR(F146="",G146="",H146=""),"",IF(C146="売",(F146-H146)*G146,(H146-F146)*G146))</f>
        <v/>
      </c>
      <c r="L146" s="706" t="str">
        <f>IF(OR(F146="",H146=""),"",IF(C146="売",(F146-H146)/F146,(H146-F146)/F146))</f>
        <v/>
      </c>
      <c r="M146" s="491" t="str">
        <f>IF($F146="","",$F146*IF($C146="売",1-V811設定!$B$4,1+V811設定!$B$4)-MOD($F146*IF($C146="売",1-V811設定!$B$4,1+V811設定!$B$4),IF($F146&lt;=3000,1,IF($F146&lt;=5000,5,IF($F146&lt;=30000,10,IF($F146&lt;=50000,50,IF($F146&lt;=300000,100,500))))))+IF(AND($C146="売",MOD($F146*IF($C146="売",1-V811設定!$B$4,1+V811設定!$B$4),IF($F146&lt;=3000,1,IF($F146&lt;=5000,5,IF($F146&lt;=30000,10,IF($F146&lt;=50000,50,IF($F146&lt;=300000,100,500))))))&gt;0),IF($F146&lt;=3000,1,IF($F146&lt;=5000,5,IF($F146&lt;=30000,10,IF($F146&lt;=50000,50,IF($F146&lt;=300000,100,500))))),0))</f>
      </c>
      <c r="N146" s="491" t="str">
        <f>IF($F146="","",$F146*IF($C146="売",1+V811設定!$B$3,1-V811設定!$B$3)-MOD($F146*IF($C146="売",1+V811設定!$B$3,1-V811設定!$B$3),IF($F146&lt;=3000,1,IF($F146&lt;=5000,5,IF($F146&lt;=30000,10,IF($F146&lt;=50000,50,IF($F146&lt;=300000,100,500))))))+IF(AND($C146="売",MOD($F146*IF($C146="売",1+V811設定!$B$3,1-V811設定!$B$3),IF($F146&lt;=3000,1,IF($F146&lt;=5000,5,IF($F146&lt;=30000,10,IF($F146&lt;=50000,50,IF($F146&lt;=300000,100,500))))))&gt;0),IF($F146&lt;=3000,1,IF($F146&lt;=5000,5,IF($F146&lt;=30000,10,IF($F146&lt;=50000,50,IF($F146&lt;=300000,100,500))))),0))</f>
      </c>
      <c r="O146" s="492" t="str">
        <f>IF(OR($B146="",$F146="",$H146=""),"",IF($S146="✅売却済","―決済済―",IF($C146="売",IF($H146&lt;=$M146,"🟢利確",IF(AND($R146&lt;&gt;"",$H146&gt;=$R146),"🟠TRAIL",IF($H146&gt;=$N146,"🔴損切",IF($W146&gt;=V811設定!$B$6,"⏱時間決済",IF($H146&gt;=$F146*(1+V811設定!$B$3*0.7),"⚠️損切接近","保持継続"))))),IF($H146&gt;=$M146,"🟢利確",IF(AND($R146&lt;&gt;"",$H146&lt;=$R146),"🟠TRAIL",IF($H146&lt;=$N146,"🔴損切",IF($W146&gt;=V811設定!$B$6,"⏱時間決済",IF($H146&lt;=$F146*(1-V811設定!$B$3*0.7),"⚠️損切接近","保持継続"))))))))</f>
      </c>
      <c r="P146" s="491"/>
      <c r="Q146" s="491"/>
      <c r="R146" s="491" t="str">
        <f>IF(OR($F146="",$H146="",$N146=""),"",IF($S146="✅売却済","",IF($C146="売",IF($H146&gt;$F146*(1-V811設定!$B$3),$N146,MIN($N146,IF($Q146="",$N146,$Q146*1.03))),IF($H146&lt;$F146*(1+V811設定!$B$3),$N146,MAX($N146,IF($P146="",$N146,$P146*0.97))))))</f>
      </c>
      <c r="S146" s="586" t="str">
        <f>IF(B146="","",IF(T146&lt;&gt;"","✅売却済",IF(OR(H146="",L146=""),"📌保有中",IF(L146&gt;=0.06,"🟢利確推奨",IF(L146&gt;=0.05,"🟡利確直近",IF(L146&gt;=0.045,"🔵トレーリング検討",IF(L146&gt;-0.03,"📌保有中",IF(L146&gt;-0.04,"⚠️損切注意","🔴損切り"))))))))</f>
        <v/>
      </c>
      <c r="T146" s="594"/>
      <c r="U146" s="491"/>
      <c r="V146" s="701" t="str">
        <f>IF(OR(F146="",G146="",U146=""),"",IF(C146="売",(F146-U146)*G146,(U146-F146)*G146))</f>
        <v/>
      </c>
      <c r="W146" s="493" t="str">
        <f>IF(OR($E146="",$B146=""),"",IF($T146&lt;&gt;"",$T146-$E146,TODAY()-$E146)+1)</f>
        <v/>
      </c>
      <c r="X146" s="489" t="str">
        <f>IF(OR($AH146="",$AH146="保有中"),"",$AH146)</f>
        <v/>
      </c>
      <c r="Y146" s="488"/>
      <c r="Z146" s="710"/>
      <c r="AD146" s="608"/>
      <c r="AE146" s="600" t="str">
        <f>IF($E146="","",WORKDAY($E146,12))</f>
        <v/>
      </c>
      <c r="AF146" s="600" t="str" cm="1">
        <f t="array" aca="1" ref="AF146" ca="1">IF(OR($B146="",$M146=""),"",IFERROR(IF($C146="売",_xlfn.MINIFS(安値!$E$3:$IT$3,安値!$E$3:$IT$3,"&gt;"&amp;$E146,安値!$E$3:$IT$3,"&lt;="&amp;$AE146,OFFSET(安値!$E$6:$IT$6,MATCH(TEXT($B146,"0"),TEXT(銘柄管理!$B$6:$B$305,"0"),0)-1,0),"&lt;="&amp;$M146),_xlfn.MINIFS(高値!$E$3:$IT$3,高値!$E$3:$IT$3,"&gt;"&amp;$E146,高値!$E$3:$IT$3,"&lt;="&amp;$AE146,OFFSET(高値!$E$6:$IT$6,MATCH(TEXT($B146,"0"),TEXT(銘柄管理!$B$6:$B$305,"0"),0)-1,0),"&gt;="&amp;$M146)),""))</f>
        <v/>
      </c>
      <c r="AG146" s="600" t="str" cm="1">
        <f t="array" aca="1" ref="AG146" ca="1">IF(OR($B146="",$N146=""),"",IFERROR(IF($C146="売",_xlfn.MINIFS(高値!$E$3:$IT$3,高値!$E$3:$IT$3,"&gt;"&amp;$E146,高値!$E$3:$IT$3,"&lt;="&amp;$AE146,OFFSET(高値!$E$6:$IT$6,MATCH(TEXT($B146,"0"),TEXT(銘柄管理!$B$6:$B$305,"0"),0)-1,0),"&gt;="&amp;$N146),_xlfn.MINIFS(安値!$E$3:$IT$3,安値!$E$3:$IT$3,"&gt;"&amp;$E146,安値!$E$3:$IT$3,"&lt;="&amp;$AE146,OFFSET(安値!$E$6:$IT$6,MATCH(TEXT($B146,"0"),TEXT(銘柄管理!$B$6:$B$305,"0"),0)-1,0),"&lt;="&amp;$N146)),""))</f>
        <v/>
      </c>
      <c r="AH146" s="600" t="str">
        <f>IF(OR($B146="",$M146=""),"",IF(AND(N($AF146)=0,N($AG146)=0),IF(AND(ISNUMBER($H146),$H146&gt;0,IF($C146="売",$H146&gt;=$N146,$H146&lt;=$N146)),"損切確定",IF(AND(ISNUMBER($H146),$H146&gt;0,IF($C146="売",$H146&lt;=$M146,$H146&gt;=$M146)),"利益確定",IF($AE146&lt;=TODAY(),"日数制限","保有中"))),IF(N($AG146)=0,"利益確定",IF(N($AF146)=0,"損切確定",IF($AG146&lt;=$AF146,"損切確定","利益確定")))))</f>
        <v/>
      </c>
      <c r="AI146" s="600" t="str" cm="1">
        <f t="array" ref="AI146">IFERROR(INDEX(始値!$E$6:$IT$305,MATCH(TEXT($B146,"0"),TEXT(銘柄管理!$B$6:$B$305,"0"),0),MATCH($AE146,始値!$E$3:$IT$3,0)),"")</f>
        <v/>
      </c>
      <c r="AJ146" s="608" t="str">
        <f>IF(OR($V146="",$F146="",$G146=""),"",$V146/($F146*$G146))</f>
        <v/>
      </c>
      <c r="AK146" s="600" t="str">
        <f>IF($V146="","",IF($V146&gt;0,"○勝",IF($V146&lt;0,"●負","△引分")))</f>
        <v/>
      </c>
    </row>
    <row r="147" spans="1:37" ht="35.4" customHeight="1">
      <c r="A147" s="619" t="str">
        <f>IF(B147="","",HYPERLINK("https://kabutan.jp/stock/?code="&amp;B147,"株探"))</f>
        <v/>
      </c>
      <c r="B147" s="489"/>
      <c r="C147" s="489"/>
      <c r="D147" s="489" t="str" cm="1">
        <f t="array" ref="D147">_xll.RssMarket(B147, "銘柄名称")</f>
        <v/>
      </c>
      <c r="E147" s="716"/>
      <c r="F147" s="698" t="str" cm="1">
        <f t="array" aca="1" ref="F147" ca="1">IFERROR(_xlfn.LET(_xlpm.r,MATCH(TEXT($B147,"0"),TEXT(銘柄管理!$B$6:$B$305,"0"),0),_xlpm.t,MOD(NOW(),1),_xlpm.c,IF($E147=TODAY(),IF(_xlpm.t&gt;=TIME(15,30,0),NA(),1),IF(MATCH($E147,始値!$E$3:$IT$3,0)=1,1,MATCH($E147,始値!$E$3:$IT$3,0)+1)),_xlpm.v,INDEX(始値!$C$6:$IT$305,_xlpm.r,_xlpm.c),IF(N(_xlpm.v)=0,"",_xlpm.v)),"")</f>
        <v/>
      </c>
      <c r="G147" s="489"/>
      <c r="H147" s="491" t="str" cm="1">
        <f t="array" ref="H147">_xll.RssMarket(B147, "現在値")</f>
        <v/>
      </c>
      <c r="I147" s="491" t="str" cm="1">
        <f t="array" ref="I147">_xll.RssMarket(B147, "出来高加重平均")</f>
        <v/>
      </c>
      <c r="J147" s="701" t="str" cm="1">
        <f t="array" ref="J147">_xll.RssMarket($B147, "前日比")</f>
        <v/>
      </c>
      <c r="K147" s="701" t="str">
        <f>IF(OR(F147="",G147="",H147=""),"",IF(C147="売",(F147-H147)*G147,(H147-F147)*G147))</f>
        <v/>
      </c>
      <c r="L147" s="706" t="str">
        <f>IF(OR(F147="",H147=""),"",IF(C147="売",(F147-H147)/F147,(H147-F147)/F147))</f>
        <v/>
      </c>
      <c r="M147" s="491" t="str">
        <f>IF($F147="","",$F147*IF($C147="売",1-V811設定!$B$4,1+V811設定!$B$4)-MOD($F147*IF($C147="売",1-V811設定!$B$4,1+V811設定!$B$4),IF($F147&lt;=3000,1,IF($F147&lt;=5000,5,IF($F147&lt;=30000,10,IF($F147&lt;=50000,50,IF($F147&lt;=300000,100,500))))))+IF(AND($C147="売",MOD($F147*IF($C147="売",1-V811設定!$B$4,1+V811設定!$B$4),IF($F147&lt;=3000,1,IF($F147&lt;=5000,5,IF($F147&lt;=30000,10,IF($F147&lt;=50000,50,IF($F147&lt;=300000,100,500))))))&gt;0),IF($F147&lt;=3000,1,IF($F147&lt;=5000,5,IF($F147&lt;=30000,10,IF($F147&lt;=50000,50,IF($F147&lt;=300000,100,500))))),0))</f>
      </c>
      <c r="N147" s="491" t="str">
        <f>IF($F147="","",$F147*IF($C147="売",1+V811設定!$B$3,1-V811設定!$B$3)-MOD($F147*IF($C147="売",1+V811設定!$B$3,1-V811設定!$B$3),IF($F147&lt;=3000,1,IF($F147&lt;=5000,5,IF($F147&lt;=30000,10,IF($F147&lt;=50000,50,IF($F147&lt;=300000,100,500))))))+IF(AND($C147="売",MOD($F147*IF($C147="売",1+V811設定!$B$3,1-V811設定!$B$3),IF($F147&lt;=3000,1,IF($F147&lt;=5000,5,IF($F147&lt;=30000,10,IF($F147&lt;=50000,50,IF($F147&lt;=300000,100,500))))))&gt;0),IF($F147&lt;=3000,1,IF($F147&lt;=5000,5,IF($F147&lt;=30000,10,IF($F147&lt;=50000,50,IF($F147&lt;=300000,100,500))))),0))</f>
      </c>
      <c r="O147" s="492" t="str">
        <f>IF(OR($B147="",$F147="",$H147=""),"",IF($S147="✅売却済","―決済済―",IF($C147="売",IF($H147&lt;=$M147,"🟢利確",IF(AND($R147&lt;&gt;"",$H147&gt;=$R147),"🟠TRAIL",IF($H147&gt;=$N147,"🔴損切",IF($W147&gt;=V811設定!$B$6,"⏱時間決済",IF($H147&gt;=$F147*(1+V811設定!$B$3*0.7),"⚠️損切接近","保持継続"))))),IF($H147&gt;=$M147,"🟢利確",IF(AND($R147&lt;&gt;"",$H147&lt;=$R147),"🟠TRAIL",IF($H147&lt;=$N147,"🔴損切",IF($W147&gt;=V811設定!$B$6,"⏱時間決済",IF($H147&lt;=$F147*(1-V811設定!$B$3*0.7),"⚠️損切接近","保持継続"))))))))</f>
      </c>
      <c r="P147" s="491"/>
      <c r="Q147" s="491"/>
      <c r="R147" s="491" t="str">
        <f>IF(OR($F147="",$H147="",$N147=""),"",IF($S147="✅売却済","",IF($C147="売",IF($H147&gt;$F147*(1-V811設定!$B$3),$N147,MIN($N147,IF($Q147="",$N147,$Q147*1.03))),IF($H147&lt;$F147*(1+V811設定!$B$3),$N147,MAX($N147,IF($P147="",$N147,$P147*0.97))))))</f>
      </c>
      <c r="S147" s="586" t="str">
        <f>IF(B147="","",IF(T147&lt;&gt;"","✅売却済",IF(OR(H147="",L147=""),"📌保有中",IF(L147&gt;=0.06,"🟢利確推奨",IF(L147&gt;=0.05,"🟡利確直近",IF(L147&gt;=0.045,"🔵トレーリング検討",IF(L147&gt;-0.03,"📌保有中",IF(L147&gt;-0.04,"⚠️損切注意","🔴損切り"))))))))</f>
        <v/>
      </c>
      <c r="T147" s="594"/>
      <c r="U147" s="491"/>
      <c r="V147" s="701" t="str">
        <f>IF(OR(F147="",G147="",U147=""),"",IF(C147="売",(F147-U147)*G147,(U147-F147)*G147))</f>
        <v/>
      </c>
      <c r="W147" s="493" t="str">
        <f>IF(OR($E147="",$B147=""),"",IF($T147&lt;&gt;"",$T147-$E147,TODAY()-$E147)+1)</f>
        <v/>
      </c>
      <c r="X147" s="489" t="str">
        <f>IF(OR($AH147="",$AH147="保有中"),"",$AH147)</f>
        <v/>
      </c>
      <c r="Y147" s="488"/>
      <c r="Z147" s="710"/>
      <c r="AD147" s="608"/>
      <c r="AE147" s="600" t="str">
        <f>IF($E147="","",WORKDAY($E147,12))</f>
        <v/>
      </c>
      <c r="AF147" s="600" t="str" cm="1">
        <f t="array" aca="1" ref="AF147" ca="1">IF(OR($B147="",$M147=""),"",IFERROR(IF($C147="売",_xlfn.MINIFS(安値!$E$3:$IT$3,安値!$E$3:$IT$3,"&gt;"&amp;$E147,安値!$E$3:$IT$3,"&lt;="&amp;$AE147,OFFSET(安値!$E$6:$IT$6,MATCH(TEXT($B147,"0"),TEXT(銘柄管理!$B$6:$B$305,"0"),0)-1,0),"&lt;="&amp;$M147),_xlfn.MINIFS(高値!$E$3:$IT$3,高値!$E$3:$IT$3,"&gt;"&amp;$E147,高値!$E$3:$IT$3,"&lt;="&amp;$AE147,OFFSET(高値!$E$6:$IT$6,MATCH(TEXT($B147,"0"),TEXT(銘柄管理!$B$6:$B$305,"0"),0)-1,0),"&gt;="&amp;$M147)),""))</f>
        <v/>
      </c>
      <c r="AG147" s="600" t="str" cm="1">
        <f t="array" aca="1" ref="AG147" ca="1">IF(OR($B147="",$N147=""),"",IFERROR(IF($C147="売",_xlfn.MINIFS(高値!$E$3:$IT$3,高値!$E$3:$IT$3,"&gt;"&amp;$E147,高値!$E$3:$IT$3,"&lt;="&amp;$AE147,OFFSET(高値!$E$6:$IT$6,MATCH(TEXT($B147,"0"),TEXT(銘柄管理!$B$6:$B$305,"0"),0)-1,0),"&gt;="&amp;$N147),_xlfn.MINIFS(安値!$E$3:$IT$3,安値!$E$3:$IT$3,"&gt;"&amp;$E147,安値!$E$3:$IT$3,"&lt;="&amp;$AE147,OFFSET(安値!$E$6:$IT$6,MATCH(TEXT($B147,"0"),TEXT(銘柄管理!$B$6:$B$305,"0"),0)-1,0),"&lt;="&amp;$N147)),""))</f>
        <v/>
      </c>
      <c r="AH147" s="600" t="str">
        <f>IF(OR($B147="",$M147=""),"",IF(AND(N($AF147)=0,N($AG147)=0),IF(AND(ISNUMBER($H147),$H147&gt;0,IF($C147="売",$H147&gt;=$N147,$H147&lt;=$N147)),"損切確定",IF(AND(ISNUMBER($H147),$H147&gt;0,IF($C147="売",$H147&lt;=$M147,$H147&gt;=$M147)),"利益確定",IF($AE147&lt;=TODAY(),"日数制限","保有中"))),IF(N($AG147)=0,"利益確定",IF(N($AF147)=0,"損切確定",IF($AG147&lt;=$AF147,"損切確定","利益確定")))))</f>
        <v/>
      </c>
      <c r="AI147" s="600" t="str" cm="1">
        <f t="array" ref="AI147">IFERROR(INDEX(始値!$E$6:$IT$305,MATCH(TEXT($B147,"0"),TEXT(銘柄管理!$B$6:$B$305,"0"),0),MATCH($AE147,始値!$E$3:$IT$3,0)),"")</f>
        <v/>
      </c>
      <c r="AJ147" s="608" t="str">
        <f>IF(OR($V147="",$F147="",$G147=""),"",$V147/($F147*$G147))</f>
        <v/>
      </c>
      <c r="AK147" s="600" t="str">
        <f>IF($V147="","",IF($V147&gt;0,"○勝",IF($V147&lt;0,"●負","△引分")))</f>
        <v/>
      </c>
    </row>
    <row r="148" spans="1:37" ht="35.4" customHeight="1">
      <c r="A148" s="619" t="str">
        <f>IF(B148="","",HYPERLINK("https://kabutan.jp/stock/?code="&amp;B148,"株探"))</f>
        <v/>
      </c>
      <c r="B148" s="489"/>
      <c r="C148" s="489"/>
      <c r="D148" s="489" t="str" cm="1">
        <f t="array" ref="D148">_xll.RssMarket(B148, "銘柄名称")</f>
        <v/>
      </c>
      <c r="E148" s="716"/>
      <c r="F148" s="698" t="str" cm="1">
        <f t="array" aca="1" ref="F148" ca="1">IFERROR(_xlfn.LET(_xlpm.r,MATCH(TEXT($B148,"0"),TEXT(銘柄管理!$B$6:$B$305,"0"),0),_xlpm.t,MOD(NOW(),1),_xlpm.c,IF($E148=TODAY(),IF(_xlpm.t&gt;=TIME(15,30,0),NA(),1),IF(MATCH($E148,始値!$E$3:$IT$3,0)=1,1,MATCH($E148,始値!$E$3:$IT$3,0)+1)),_xlpm.v,INDEX(始値!$C$6:$IT$305,_xlpm.r,_xlpm.c),IF(N(_xlpm.v)=0,"",_xlpm.v)),"")</f>
        <v/>
      </c>
      <c r="G148" s="489"/>
      <c r="H148" s="491" t="str" cm="1">
        <f t="array" ref="H148">_xll.RssMarket(B148, "現在値")</f>
        <v/>
      </c>
      <c r="I148" s="491" t="str" cm="1">
        <f t="array" ref="I148">_xll.RssMarket(B148, "出来高加重平均")</f>
        <v/>
      </c>
      <c r="J148" s="701" t="str" cm="1">
        <f t="array" ref="J148">_xll.RssMarket($B148, "前日比")</f>
        <v/>
      </c>
      <c r="K148" s="701" t="str">
        <f>IF(OR(F148="",G148="",H148=""),"",IF(C148="売",(F148-H148)*G148,(H148-F148)*G148))</f>
        <v/>
      </c>
      <c r="L148" s="706" t="str">
        <f>IF(OR(F148="",H148=""),"",IF(C148="売",(F148-H148)/F148,(H148-F148)/F148))</f>
        <v/>
      </c>
      <c r="M148" s="491" t="str">
        <f>IF($F148="","",$F148*IF($C148="売",1-V811設定!$B$4,1+V811設定!$B$4)-MOD($F148*IF($C148="売",1-V811設定!$B$4,1+V811設定!$B$4),IF($F148&lt;=3000,1,IF($F148&lt;=5000,5,IF($F148&lt;=30000,10,IF($F148&lt;=50000,50,IF($F148&lt;=300000,100,500))))))+IF(AND($C148="売",MOD($F148*IF($C148="売",1-V811設定!$B$4,1+V811設定!$B$4),IF($F148&lt;=3000,1,IF($F148&lt;=5000,5,IF($F148&lt;=30000,10,IF($F148&lt;=50000,50,IF($F148&lt;=300000,100,500))))))&gt;0),IF($F148&lt;=3000,1,IF($F148&lt;=5000,5,IF($F148&lt;=30000,10,IF($F148&lt;=50000,50,IF($F148&lt;=300000,100,500))))),0))</f>
      </c>
      <c r="N148" s="491" t="str">
        <f>IF($F148="","",$F148*IF($C148="売",1+V811設定!$B$3,1-V811設定!$B$3)-MOD($F148*IF($C148="売",1+V811設定!$B$3,1-V811設定!$B$3),IF($F148&lt;=3000,1,IF($F148&lt;=5000,5,IF($F148&lt;=30000,10,IF($F148&lt;=50000,50,IF($F148&lt;=300000,100,500))))))+IF(AND($C148="売",MOD($F148*IF($C148="売",1+V811設定!$B$3,1-V811設定!$B$3),IF($F148&lt;=3000,1,IF($F148&lt;=5000,5,IF($F148&lt;=30000,10,IF($F148&lt;=50000,50,IF($F148&lt;=300000,100,500))))))&gt;0),IF($F148&lt;=3000,1,IF($F148&lt;=5000,5,IF($F148&lt;=30000,10,IF($F148&lt;=50000,50,IF($F148&lt;=300000,100,500))))),0))</f>
      </c>
      <c r="O148" s="492" t="str">
        <f>IF(OR($B148="",$F148="",$H148=""),"",IF($S148="✅売却済","―決済済―",IF($C148="売",IF($H148&lt;=$M148,"🟢利確",IF(AND($R148&lt;&gt;"",$H148&gt;=$R148),"🟠TRAIL",IF($H148&gt;=$N148,"🔴損切",IF($W148&gt;=V811設定!$B$6,"⏱時間決済",IF($H148&gt;=$F148*(1+V811設定!$B$3*0.7),"⚠️損切接近","保持継続"))))),IF($H148&gt;=$M148,"🟢利確",IF(AND($R148&lt;&gt;"",$H148&lt;=$R148),"🟠TRAIL",IF($H148&lt;=$N148,"🔴損切",IF($W148&gt;=V811設定!$B$6,"⏱時間決済",IF($H148&lt;=$F148*(1-V811設定!$B$3*0.7),"⚠️損切接近","保持継続"))))))))</f>
      </c>
      <c r="P148" s="491"/>
      <c r="Q148" s="491"/>
      <c r="R148" s="491" t="str">
        <f>IF(OR($F148="",$H148="",$N148=""),"",IF($S148="✅売却済","",IF($C148="売",IF($H148&gt;$F148*(1-V811設定!$B$3),$N148,MIN($N148,IF($Q148="",$N148,$Q148*1.03))),IF($H148&lt;$F148*(1+V811設定!$B$3),$N148,MAX($N148,IF($P148="",$N148,$P148*0.97))))))</f>
      </c>
      <c r="S148" s="586" t="str">
        <f>IF(B148="","",IF(T148&lt;&gt;"","✅売却済",IF(OR(H148="",L148=""),"📌保有中",IF(L148&gt;=0.06,"🟢利確推奨",IF(L148&gt;=0.05,"🟡利確直近",IF(L148&gt;=0.045,"🔵トレーリング検討",IF(L148&gt;-0.03,"📌保有中",IF(L148&gt;-0.04,"⚠️損切注意","🔴損切り"))))))))</f>
        <v/>
      </c>
      <c r="T148" s="594"/>
      <c r="U148" s="491"/>
      <c r="V148" s="701" t="str">
        <f>IF(OR(F148="",G148="",U148=""),"",IF(C148="売",(F148-U148)*G148,(U148-F148)*G148))</f>
        <v/>
      </c>
      <c r="W148" s="493" t="str">
        <f>IF(OR($E148="",$B148=""),"",IF($T148&lt;&gt;"",$T148-$E148,TODAY()-$E148)+1)</f>
        <v/>
      </c>
      <c r="X148" s="489" t="str">
        <f>IF(OR($AH148="",$AH148="保有中"),"",$AH148)</f>
        <v/>
      </c>
      <c r="Y148" s="488"/>
      <c r="Z148" s="710"/>
      <c r="AD148" s="608"/>
      <c r="AE148" s="600" t="str">
        <f>IF($E148="","",WORKDAY($E148,12))</f>
        <v/>
      </c>
      <c r="AF148" s="600" t="str" cm="1">
        <f t="array" aca="1" ref="AF148" ca="1">IF(OR($B148="",$M148=""),"",IFERROR(IF($C148="売",_xlfn.MINIFS(安値!$E$3:$IT$3,安値!$E$3:$IT$3,"&gt;"&amp;$E148,安値!$E$3:$IT$3,"&lt;="&amp;$AE148,OFFSET(安値!$E$6:$IT$6,MATCH(TEXT($B148,"0"),TEXT(銘柄管理!$B$6:$B$305,"0"),0)-1,0),"&lt;="&amp;$M148),_xlfn.MINIFS(高値!$E$3:$IT$3,高値!$E$3:$IT$3,"&gt;"&amp;$E148,高値!$E$3:$IT$3,"&lt;="&amp;$AE148,OFFSET(高値!$E$6:$IT$6,MATCH(TEXT($B148,"0"),TEXT(銘柄管理!$B$6:$B$305,"0"),0)-1,0),"&gt;="&amp;$M148)),""))</f>
        <v/>
      </c>
      <c r="AG148" s="600" t="str" cm="1">
        <f t="array" aca="1" ref="AG148" ca="1">IF(OR($B148="",$N148=""),"",IFERROR(IF($C148="売",_xlfn.MINIFS(高値!$E$3:$IT$3,高値!$E$3:$IT$3,"&gt;"&amp;$E148,高値!$E$3:$IT$3,"&lt;="&amp;$AE148,OFFSET(高値!$E$6:$IT$6,MATCH(TEXT($B148,"0"),TEXT(銘柄管理!$B$6:$B$305,"0"),0)-1,0),"&gt;="&amp;$N148),_xlfn.MINIFS(安値!$E$3:$IT$3,安値!$E$3:$IT$3,"&gt;"&amp;$E148,安値!$E$3:$IT$3,"&lt;="&amp;$AE148,OFFSET(安値!$E$6:$IT$6,MATCH(TEXT($B148,"0"),TEXT(銘柄管理!$B$6:$B$305,"0"),0)-1,0),"&lt;="&amp;$N148)),""))</f>
        <v/>
      </c>
      <c r="AH148" s="600" t="str">
        <f>IF(OR($B148="",$M148=""),"",IF(AND(N($AF148)=0,N($AG148)=0),IF(AND(ISNUMBER($H148),$H148&gt;0,IF($C148="売",$H148&gt;=$N148,$H148&lt;=$N148)),"損切確定",IF(AND(ISNUMBER($H148),$H148&gt;0,IF($C148="売",$H148&lt;=$M148,$H148&gt;=$M148)),"利益確定",IF($AE148&lt;=TODAY(),"日数制限","保有中"))),IF(N($AG148)=0,"利益確定",IF(N($AF148)=0,"損切確定",IF($AG148&lt;=$AF148,"損切確定","利益確定")))))</f>
        <v/>
      </c>
      <c r="AI148" s="600" t="str" cm="1">
        <f t="array" ref="AI148">IFERROR(INDEX(始値!$E$6:$IT$305,MATCH(TEXT($B148,"0"),TEXT(銘柄管理!$B$6:$B$305,"0"),0),MATCH($AE148,始値!$E$3:$IT$3,0)),"")</f>
        <v/>
      </c>
      <c r="AJ148" s="608" t="str">
        <f>IF(OR($V148="",$F148="",$G148=""),"",$V148/($F148*$G148))</f>
        <v/>
      </c>
      <c r="AK148" s="600" t="str">
        <f>IF($V148="","",IF($V148&gt;0,"○勝",IF($V148&lt;0,"●負","△引分")))</f>
        <v/>
      </c>
    </row>
    <row r="149" spans="1:37" ht="35.4" customHeight="1">
      <c r="A149" s="619" t="str">
        <f>IF(B149="","",HYPERLINK("https://kabutan.jp/stock/?code="&amp;B149,"株探"))</f>
        <v/>
      </c>
      <c r="B149" s="489"/>
      <c r="C149" s="489"/>
      <c r="D149" s="489" t="str" cm="1">
        <f t="array" ref="D149">_xll.RssMarket(B149, "銘柄名称")</f>
        <v/>
      </c>
      <c r="E149" s="716"/>
      <c r="F149" s="698" t="str" cm="1">
        <f t="array" aca="1" ref="F149" ca="1">IFERROR(_xlfn.LET(_xlpm.r,MATCH(TEXT($B149,"0"),TEXT(銘柄管理!$B$6:$B$305,"0"),0),_xlpm.t,MOD(NOW(),1),_xlpm.c,IF($E149=TODAY(),IF(_xlpm.t&gt;=TIME(15,30,0),NA(),1),IF(MATCH($E149,始値!$E$3:$IT$3,0)=1,1,MATCH($E149,始値!$E$3:$IT$3,0)+1)),_xlpm.v,INDEX(始値!$C$6:$IT$305,_xlpm.r,_xlpm.c),IF(N(_xlpm.v)=0,"",_xlpm.v)),"")</f>
        <v/>
      </c>
      <c r="G149" s="489"/>
      <c r="H149" s="491" t="str" cm="1">
        <f t="array" ref="H149">_xll.RssMarket(B149, "現在値")</f>
        <v/>
      </c>
      <c r="I149" s="491" t="str" cm="1">
        <f t="array" ref="I149">_xll.RssMarket(B149, "出来高加重平均")</f>
        <v/>
      </c>
      <c r="J149" s="701" t="str" cm="1">
        <f t="array" ref="J149">_xll.RssMarket($B149, "前日比")</f>
        <v/>
      </c>
      <c r="K149" s="701" t="str">
        <f>IF(OR(F149="",G149="",H149=""),"",IF(C149="売",(F149-H149)*G149,(H149-F149)*G149))</f>
        <v/>
      </c>
      <c r="L149" s="706" t="str">
        <f>IF(OR(F149="",H149=""),"",IF(C149="売",(F149-H149)/F149,(H149-F149)/F149))</f>
        <v/>
      </c>
      <c r="M149" s="491" t="str">
        <f>IF($F149="","",$F149*IF($C149="売",1-V811設定!$B$4,1+V811設定!$B$4)-MOD($F149*IF($C149="売",1-V811設定!$B$4,1+V811設定!$B$4),IF($F149&lt;=3000,1,IF($F149&lt;=5000,5,IF($F149&lt;=30000,10,IF($F149&lt;=50000,50,IF($F149&lt;=300000,100,500))))))+IF(AND($C149="売",MOD($F149*IF($C149="売",1-V811設定!$B$4,1+V811設定!$B$4),IF($F149&lt;=3000,1,IF($F149&lt;=5000,5,IF($F149&lt;=30000,10,IF($F149&lt;=50000,50,IF($F149&lt;=300000,100,500))))))&gt;0),IF($F149&lt;=3000,1,IF($F149&lt;=5000,5,IF($F149&lt;=30000,10,IF($F149&lt;=50000,50,IF($F149&lt;=300000,100,500))))),0))</f>
      </c>
      <c r="N149" s="491" t="str">
        <f>IF($F149="","",$F149*IF($C149="売",1+V811設定!$B$3,1-V811設定!$B$3)-MOD($F149*IF($C149="売",1+V811設定!$B$3,1-V811設定!$B$3),IF($F149&lt;=3000,1,IF($F149&lt;=5000,5,IF($F149&lt;=30000,10,IF($F149&lt;=50000,50,IF($F149&lt;=300000,100,500))))))+IF(AND($C149="売",MOD($F149*IF($C149="売",1+V811設定!$B$3,1-V811設定!$B$3),IF($F149&lt;=3000,1,IF($F149&lt;=5000,5,IF($F149&lt;=30000,10,IF($F149&lt;=50000,50,IF($F149&lt;=300000,100,500))))))&gt;0),IF($F149&lt;=3000,1,IF($F149&lt;=5000,5,IF($F149&lt;=30000,10,IF($F149&lt;=50000,50,IF($F149&lt;=300000,100,500))))),0))</f>
      </c>
      <c r="O149" s="492" t="str">
        <f>IF(OR($B149="",$F149="",$H149=""),"",IF($S149="✅売却済","―決済済―",IF($C149="売",IF($H149&lt;=$M149,"🟢利確",IF(AND($R149&lt;&gt;"",$H149&gt;=$R149),"🟠TRAIL",IF($H149&gt;=$N149,"🔴損切",IF($W149&gt;=V811設定!$B$6,"⏱時間決済",IF($H149&gt;=$F149*(1+V811設定!$B$3*0.7),"⚠️損切接近","保持継続"))))),IF($H149&gt;=$M149,"🟢利確",IF(AND($R149&lt;&gt;"",$H149&lt;=$R149),"🟠TRAIL",IF($H149&lt;=$N149,"🔴損切",IF($W149&gt;=V811設定!$B$6,"⏱時間決済",IF($H149&lt;=$F149*(1-V811設定!$B$3*0.7),"⚠️損切接近","保持継続"))))))))</f>
      </c>
      <c r="P149" s="491"/>
      <c r="Q149" s="491"/>
      <c r="R149" s="491" t="str">
        <f>IF(OR($F149="",$H149="",$N149=""),"",IF($S149="✅売却済","",IF($C149="売",IF($H149&gt;$F149*(1-V811設定!$B$3),$N149,MIN($N149,IF($Q149="",$N149,$Q149*1.03))),IF($H149&lt;$F149*(1+V811設定!$B$3),$N149,MAX($N149,IF($P149="",$N149,$P149*0.97))))))</f>
      </c>
      <c r="S149" s="586" t="str">
        <f>IF(B149="","",IF(T149&lt;&gt;"","✅売却済",IF(OR(H149="",L149=""),"📌保有中",IF(L149&gt;=0.06,"🟢利確推奨",IF(L149&gt;=0.05,"🟡利確直近",IF(L149&gt;=0.045,"🔵トレーリング検討",IF(L149&gt;-0.03,"📌保有中",IF(L149&gt;-0.04,"⚠️損切注意","🔴損切り"))))))))</f>
        <v/>
      </c>
      <c r="T149" s="594"/>
      <c r="U149" s="491"/>
      <c r="V149" s="701" t="str">
        <f>IF(OR(F149="",G149="",U149=""),"",IF(C149="売",(F149-U149)*G149,(U149-F149)*G149))</f>
        <v/>
      </c>
      <c r="W149" s="493" t="str">
        <f>IF(OR($E149="",$B149=""),"",IF($T149&lt;&gt;"",$T149-$E149,TODAY()-$E149)+1)</f>
        <v/>
      </c>
      <c r="X149" s="489" t="str">
        <f>IF(OR($AH149="",$AH149="保有中"),"",$AH149)</f>
        <v/>
      </c>
      <c r="Y149" s="488"/>
      <c r="Z149" s="710"/>
      <c r="AD149" s="608"/>
      <c r="AE149" s="600" t="str">
        <f>IF($E149="","",WORKDAY($E149,12))</f>
        <v/>
      </c>
      <c r="AF149" s="600" t="str" cm="1">
        <f t="array" aca="1" ref="AF149" ca="1">IF(OR($B149="",$M149=""),"",IFERROR(IF($C149="売",_xlfn.MINIFS(安値!$E$3:$IT$3,安値!$E$3:$IT$3,"&gt;"&amp;$E149,安値!$E$3:$IT$3,"&lt;="&amp;$AE149,OFFSET(安値!$E$6:$IT$6,MATCH(TEXT($B149,"0"),TEXT(銘柄管理!$B$6:$B$305,"0"),0)-1,0),"&lt;="&amp;$M149),_xlfn.MINIFS(高値!$E$3:$IT$3,高値!$E$3:$IT$3,"&gt;"&amp;$E149,高値!$E$3:$IT$3,"&lt;="&amp;$AE149,OFFSET(高値!$E$6:$IT$6,MATCH(TEXT($B149,"0"),TEXT(銘柄管理!$B$6:$B$305,"0"),0)-1,0),"&gt;="&amp;$M149)),""))</f>
        <v/>
      </c>
      <c r="AG149" s="600" t="str" cm="1">
        <f t="array" aca="1" ref="AG149" ca="1">IF(OR($B149="",$N149=""),"",IFERROR(IF($C149="売",_xlfn.MINIFS(高値!$E$3:$IT$3,高値!$E$3:$IT$3,"&gt;"&amp;$E149,高値!$E$3:$IT$3,"&lt;="&amp;$AE149,OFFSET(高値!$E$6:$IT$6,MATCH(TEXT($B149,"0"),TEXT(銘柄管理!$B$6:$B$305,"0"),0)-1,0),"&gt;="&amp;$N149),_xlfn.MINIFS(安値!$E$3:$IT$3,安値!$E$3:$IT$3,"&gt;"&amp;$E149,安値!$E$3:$IT$3,"&lt;="&amp;$AE149,OFFSET(安値!$E$6:$IT$6,MATCH(TEXT($B149,"0"),TEXT(銘柄管理!$B$6:$B$305,"0"),0)-1,0),"&lt;="&amp;$N149)),""))</f>
        <v/>
      </c>
      <c r="AH149" s="600" t="str">
        <f>IF(OR($B149="",$M149=""),"",IF(AND(N($AF149)=0,N($AG149)=0),IF(AND(ISNUMBER($H149),$H149&gt;0,IF($C149="売",$H149&gt;=$N149,$H149&lt;=$N149)),"損切確定",IF(AND(ISNUMBER($H149),$H149&gt;0,IF($C149="売",$H149&lt;=$M149,$H149&gt;=$M149)),"利益確定",IF($AE149&lt;=TODAY(),"日数制限","保有中"))),IF(N($AG149)=0,"利益確定",IF(N($AF149)=0,"損切確定",IF($AG149&lt;=$AF149,"損切確定","利益確定")))))</f>
        <v/>
      </c>
      <c r="AI149" s="600" t="str" cm="1">
        <f t="array" ref="AI149">IFERROR(INDEX(始値!$E$6:$IT$305,MATCH(TEXT($B149,"0"),TEXT(銘柄管理!$B$6:$B$305,"0"),0),MATCH($AE149,始値!$E$3:$IT$3,0)),"")</f>
        <v/>
      </c>
      <c r="AJ149" s="608" t="str">
        <f>IF(OR($V149="",$F149="",$G149=""),"",$V149/($F149*$G149))</f>
        <v/>
      </c>
      <c r="AK149" s="600" t="str">
        <f>IF($V149="","",IF($V149&gt;0,"○勝",IF($V149&lt;0,"●負","△引分")))</f>
        <v/>
      </c>
    </row>
    <row r="150" spans="1:37" ht="35.4" customHeight="1">
      <c r="A150" s="619" t="str">
        <f>IF(B150="","",HYPERLINK("https://kabutan.jp/stock/?code="&amp;B150,"株探"))</f>
        <v/>
      </c>
      <c r="B150" s="489"/>
      <c r="C150" s="489"/>
      <c r="D150" s="489" t="str" cm="1">
        <f t="array" ref="D150">_xll.RssMarket(B150, "銘柄名称")</f>
        <v/>
      </c>
      <c r="E150" s="716"/>
      <c r="F150" s="698" t="str" cm="1">
        <f t="array" aca="1" ref="F150" ca="1">IFERROR(_xlfn.LET(_xlpm.r,MATCH(TEXT($B150,"0"),TEXT(銘柄管理!$B$6:$B$305,"0"),0),_xlpm.t,MOD(NOW(),1),_xlpm.c,IF($E150=TODAY(),IF(_xlpm.t&gt;=TIME(15,30,0),NA(),1),IF(MATCH($E150,始値!$E$3:$IT$3,0)=1,1,MATCH($E150,始値!$E$3:$IT$3,0)+1)),_xlpm.v,INDEX(始値!$C$6:$IT$305,_xlpm.r,_xlpm.c),IF(N(_xlpm.v)=0,"",_xlpm.v)),"")</f>
        <v/>
      </c>
      <c r="G150" s="489"/>
      <c r="H150" s="491" t="str" cm="1">
        <f t="array" ref="H150">_xll.RssMarket(B150, "現在値")</f>
        <v/>
      </c>
      <c r="I150" s="491" t="str" cm="1">
        <f t="array" ref="I150">_xll.RssMarket(B150, "出来高加重平均")</f>
        <v/>
      </c>
      <c r="J150" s="701" t="str" cm="1">
        <f t="array" ref="J150">_xll.RssMarket($B150, "前日比")</f>
        <v/>
      </c>
      <c r="K150" s="701" t="str">
        <f>IF(OR(F150="",G150="",H150=""),"",IF(C150="売",(F150-H150)*G150,(H150-F150)*G150))</f>
        <v/>
      </c>
      <c r="L150" s="706" t="str">
        <f>IF(OR(F150="",H150=""),"",IF(C150="売",(F150-H150)/F150,(H150-F150)/F150))</f>
        <v/>
      </c>
      <c r="M150" s="491" t="str">
        <f>IF($F150="","",$F150*IF($C150="売",1-V811設定!$B$4,1+V811設定!$B$4)-MOD($F150*IF($C150="売",1-V811設定!$B$4,1+V811設定!$B$4),IF($F150&lt;=3000,1,IF($F150&lt;=5000,5,IF($F150&lt;=30000,10,IF($F150&lt;=50000,50,IF($F150&lt;=300000,100,500))))))+IF(AND($C150="売",MOD($F150*IF($C150="売",1-V811設定!$B$4,1+V811設定!$B$4),IF($F150&lt;=3000,1,IF($F150&lt;=5000,5,IF($F150&lt;=30000,10,IF($F150&lt;=50000,50,IF($F150&lt;=300000,100,500))))))&gt;0),IF($F150&lt;=3000,1,IF($F150&lt;=5000,5,IF($F150&lt;=30000,10,IF($F150&lt;=50000,50,IF($F150&lt;=300000,100,500))))),0))</f>
      </c>
      <c r="N150" s="491" t="str">
        <f>IF($F150="","",$F150*IF($C150="売",1+V811設定!$B$3,1-V811設定!$B$3)-MOD($F150*IF($C150="売",1+V811設定!$B$3,1-V811設定!$B$3),IF($F150&lt;=3000,1,IF($F150&lt;=5000,5,IF($F150&lt;=30000,10,IF($F150&lt;=50000,50,IF($F150&lt;=300000,100,500))))))+IF(AND($C150="売",MOD($F150*IF($C150="売",1+V811設定!$B$3,1-V811設定!$B$3),IF($F150&lt;=3000,1,IF($F150&lt;=5000,5,IF($F150&lt;=30000,10,IF($F150&lt;=50000,50,IF($F150&lt;=300000,100,500))))))&gt;0),IF($F150&lt;=3000,1,IF($F150&lt;=5000,5,IF($F150&lt;=30000,10,IF($F150&lt;=50000,50,IF($F150&lt;=300000,100,500))))),0))</f>
      </c>
      <c r="O150" s="492" t="str">
        <f>IF(OR($B150="",$F150="",$H150=""),"",IF($S150="✅売却済","―決済済―",IF($C150="売",IF($H150&lt;=$M150,"🟢利確",IF(AND($R150&lt;&gt;"",$H150&gt;=$R150),"🟠TRAIL",IF($H150&gt;=$N150,"🔴損切",IF($W150&gt;=V811設定!$B$6,"⏱時間決済",IF($H150&gt;=$F150*(1+V811設定!$B$3*0.7),"⚠️損切接近","保持継続"))))),IF($H150&gt;=$M150,"🟢利確",IF(AND($R150&lt;&gt;"",$H150&lt;=$R150),"🟠TRAIL",IF($H150&lt;=$N150,"🔴損切",IF($W150&gt;=V811設定!$B$6,"⏱時間決済",IF($H150&lt;=$F150*(1-V811設定!$B$3*0.7),"⚠️損切接近","保持継続"))))))))</f>
      </c>
      <c r="P150" s="491"/>
      <c r="Q150" s="491"/>
      <c r="R150" s="491" t="str">
        <f>IF(OR($F150="",$H150="",$N150=""),"",IF($S150="✅売却済","",IF($C150="売",IF($H150&gt;$F150*(1-V811設定!$B$3),$N150,MIN($N150,IF($Q150="",$N150,$Q150*1.03))),IF($H150&lt;$F150*(1+V811設定!$B$3),$N150,MAX($N150,IF($P150="",$N150,$P150*0.97))))))</f>
      </c>
      <c r="S150" s="586" t="str">
        <f>IF(B150="","",IF(T150&lt;&gt;"","✅売却済",IF(OR(H150="",L150=""),"📌保有中",IF(L150&gt;=0.06,"🟢利確推奨",IF(L150&gt;=0.05,"🟡利確直近",IF(L150&gt;=0.045,"🔵トレーリング検討",IF(L150&gt;-0.03,"📌保有中",IF(L150&gt;-0.04,"⚠️損切注意","🔴損切り"))))))))</f>
        <v/>
      </c>
      <c r="T150" s="594"/>
      <c r="U150" s="491"/>
      <c r="V150" s="701" t="str">
        <f>IF(OR(F150="",G150="",U150=""),"",IF(C150="売",(F150-U150)*G150,(U150-F150)*G150))</f>
        <v/>
      </c>
      <c r="W150" s="493" t="str">
        <f>IF(OR($E150="",$B150=""),"",IF($T150&lt;&gt;"",$T150-$E150,TODAY()-$E150)+1)</f>
        <v/>
      </c>
      <c r="X150" s="489" t="str">
        <f>IF(OR($AH150="",$AH150="保有中"),"",$AH150)</f>
        <v/>
      </c>
      <c r="Y150" s="488"/>
      <c r="Z150" s="710"/>
      <c r="AD150" s="608"/>
      <c r="AE150" s="600" t="str">
        <f>IF($E150="","",WORKDAY($E150,12))</f>
        <v/>
      </c>
      <c r="AF150" s="600" t="str" cm="1">
        <f t="array" aca="1" ref="AF150" ca="1">IF(OR($B150="",$M150=""),"",IFERROR(IF($C150="売",_xlfn.MINIFS(安値!$E$3:$IT$3,安値!$E$3:$IT$3,"&gt;"&amp;$E150,安値!$E$3:$IT$3,"&lt;="&amp;$AE150,OFFSET(安値!$E$6:$IT$6,MATCH(TEXT($B150,"0"),TEXT(銘柄管理!$B$6:$B$305,"0"),0)-1,0),"&lt;="&amp;$M150),_xlfn.MINIFS(高値!$E$3:$IT$3,高値!$E$3:$IT$3,"&gt;"&amp;$E150,高値!$E$3:$IT$3,"&lt;="&amp;$AE150,OFFSET(高値!$E$6:$IT$6,MATCH(TEXT($B150,"0"),TEXT(銘柄管理!$B$6:$B$305,"0"),0)-1,0),"&gt;="&amp;$M150)),""))</f>
        <v/>
      </c>
      <c r="AG150" s="600" t="str" cm="1">
        <f t="array" aca="1" ref="AG150" ca="1">IF(OR($B150="",$N150=""),"",IFERROR(IF($C150="売",_xlfn.MINIFS(高値!$E$3:$IT$3,高値!$E$3:$IT$3,"&gt;"&amp;$E150,高値!$E$3:$IT$3,"&lt;="&amp;$AE150,OFFSET(高値!$E$6:$IT$6,MATCH(TEXT($B150,"0"),TEXT(銘柄管理!$B$6:$B$305,"0"),0)-1,0),"&gt;="&amp;$N150),_xlfn.MINIFS(安値!$E$3:$IT$3,安値!$E$3:$IT$3,"&gt;"&amp;$E150,安値!$E$3:$IT$3,"&lt;="&amp;$AE150,OFFSET(安値!$E$6:$IT$6,MATCH(TEXT($B150,"0"),TEXT(銘柄管理!$B$6:$B$305,"0"),0)-1,0),"&lt;="&amp;$N150)),""))</f>
        <v/>
      </c>
      <c r="AH150" s="600" t="str">
        <f>IF(OR($B150="",$M150=""),"",IF(AND(N($AF150)=0,N($AG150)=0),IF(AND(ISNUMBER($H150),$H150&gt;0,IF($C150="売",$H150&gt;=$N150,$H150&lt;=$N150)),"損切確定",IF(AND(ISNUMBER($H150),$H150&gt;0,IF($C150="売",$H150&lt;=$M150,$H150&gt;=$M150)),"利益確定",IF($AE150&lt;=TODAY(),"日数制限","保有中"))),IF(N($AG150)=0,"利益確定",IF(N($AF150)=0,"損切確定",IF($AG150&lt;=$AF150,"損切確定","利益確定")))))</f>
        <v/>
      </c>
      <c r="AI150" s="600" t="str" cm="1">
        <f t="array" ref="AI150">IFERROR(INDEX(始値!$E$6:$IT$305,MATCH(TEXT($B150,"0"),TEXT(銘柄管理!$B$6:$B$305,"0"),0),MATCH($AE150,始値!$E$3:$IT$3,0)),"")</f>
        <v/>
      </c>
      <c r="AJ150" s="608" t="str">
        <f>IF(OR($V150="",$F150="",$G150=""),"",$V150/($F150*$G150))</f>
        <v/>
      </c>
      <c r="AK150" s="600" t="str">
        <f>IF($V150="","",IF($V150&gt;0,"○勝",IF($V150&lt;0,"●負","△引分")))</f>
        <v/>
      </c>
    </row>
    <row r="151" spans="1:37" ht="35.4" customHeight="1">
      <c r="A151" s="619" t="str">
        <f>IF(B151="","",HYPERLINK("https://kabutan.jp/stock/?code="&amp;B151,"株探"))</f>
        <v/>
      </c>
      <c r="B151" s="489"/>
      <c r="C151" s="489"/>
      <c r="D151" s="489" t="str" cm="1">
        <f t="array" ref="D151">_xll.RssMarket(B151, "銘柄名称")</f>
        <v/>
      </c>
      <c r="E151" s="716"/>
      <c r="F151" s="698" t="str" cm="1">
        <f t="array" aca="1" ref="F151" ca="1">IFERROR(_xlfn.LET(_xlpm.r,MATCH(TEXT($B151,"0"),TEXT(銘柄管理!$B$6:$B$305,"0"),0),_xlpm.t,MOD(NOW(),1),_xlpm.c,IF($E151=TODAY(),IF(_xlpm.t&gt;=TIME(15,30,0),NA(),1),IF(MATCH($E151,始値!$E$3:$IT$3,0)=1,1,MATCH($E151,始値!$E$3:$IT$3,0)+1)),_xlpm.v,INDEX(始値!$C$6:$IT$305,_xlpm.r,_xlpm.c),IF(N(_xlpm.v)=0,"",_xlpm.v)),"")</f>
        <v/>
      </c>
      <c r="G151" s="489"/>
      <c r="H151" s="491" t="str" cm="1">
        <f t="array" ref="H151">_xll.RssMarket(B151, "現在値")</f>
        <v/>
      </c>
      <c r="I151" s="491" t="str" cm="1">
        <f t="array" ref="I151">_xll.RssMarket(B151, "出来高加重平均")</f>
        <v/>
      </c>
      <c r="J151" s="701" t="str" cm="1">
        <f t="array" ref="J151">_xll.RssMarket($B151, "前日比")</f>
        <v/>
      </c>
      <c r="K151" s="701" t="str">
        <f>IF(OR(F151="",G151="",H151=""),"",IF(C151="売",(F151-H151)*G151,(H151-F151)*G151))</f>
        <v/>
      </c>
      <c r="L151" s="706" t="str">
        <f>IF(OR(F151="",H151=""),"",IF(C151="売",(F151-H151)/F151,(H151-F151)/F151))</f>
        <v/>
      </c>
      <c r="M151" s="491" t="str">
        <f>IF($F151="","",$F151*IF($C151="売",1-V811設定!$B$4,1+V811設定!$B$4)-MOD($F151*IF($C151="売",1-V811設定!$B$4,1+V811設定!$B$4),IF($F151&lt;=3000,1,IF($F151&lt;=5000,5,IF($F151&lt;=30000,10,IF($F151&lt;=50000,50,IF($F151&lt;=300000,100,500))))))+IF(AND($C151="売",MOD($F151*IF($C151="売",1-V811設定!$B$4,1+V811設定!$B$4),IF($F151&lt;=3000,1,IF($F151&lt;=5000,5,IF($F151&lt;=30000,10,IF($F151&lt;=50000,50,IF($F151&lt;=300000,100,500))))))&gt;0),IF($F151&lt;=3000,1,IF($F151&lt;=5000,5,IF($F151&lt;=30000,10,IF($F151&lt;=50000,50,IF($F151&lt;=300000,100,500))))),0))</f>
      </c>
      <c r="N151" s="491" t="str">
        <f>IF($F151="","",$F151*IF($C151="売",1+V811設定!$B$3,1-V811設定!$B$3)-MOD($F151*IF($C151="売",1+V811設定!$B$3,1-V811設定!$B$3),IF($F151&lt;=3000,1,IF($F151&lt;=5000,5,IF($F151&lt;=30000,10,IF($F151&lt;=50000,50,IF($F151&lt;=300000,100,500))))))+IF(AND($C151="売",MOD($F151*IF($C151="売",1+V811設定!$B$3,1-V811設定!$B$3),IF($F151&lt;=3000,1,IF($F151&lt;=5000,5,IF($F151&lt;=30000,10,IF($F151&lt;=50000,50,IF($F151&lt;=300000,100,500))))))&gt;0),IF($F151&lt;=3000,1,IF($F151&lt;=5000,5,IF($F151&lt;=30000,10,IF($F151&lt;=50000,50,IF($F151&lt;=300000,100,500))))),0))</f>
      </c>
      <c r="O151" s="492" t="str">
        <f>IF(OR($B151="",$F151="",$H151=""),"",IF($S151="✅売却済","―決済済―",IF($C151="売",IF($H151&lt;=$M151,"🟢利確",IF(AND($R151&lt;&gt;"",$H151&gt;=$R151),"🟠TRAIL",IF($H151&gt;=$N151,"🔴損切",IF($W151&gt;=V811設定!$B$6,"⏱時間決済",IF($H151&gt;=$F151*(1+V811設定!$B$3*0.7),"⚠️損切接近","保持継続"))))),IF($H151&gt;=$M151,"🟢利確",IF(AND($R151&lt;&gt;"",$H151&lt;=$R151),"🟠TRAIL",IF($H151&lt;=$N151,"🔴損切",IF($W151&gt;=V811設定!$B$6,"⏱時間決済",IF($H151&lt;=$F151*(1-V811設定!$B$3*0.7),"⚠️損切接近","保持継続"))))))))</f>
      </c>
      <c r="P151" s="491"/>
      <c r="Q151" s="491"/>
      <c r="R151" s="491" t="str">
        <f>IF(OR($F151="",$H151="",$N151=""),"",IF($S151="✅売却済","",IF($C151="売",IF($H151&gt;$F151*(1-V811設定!$B$3),$N151,MIN($N151,IF($Q151="",$N151,$Q151*1.03))),IF($H151&lt;$F151*(1+V811設定!$B$3),$N151,MAX($N151,IF($P151="",$N151,$P151*0.97))))))</f>
      </c>
      <c r="S151" s="586" t="str">
        <f>IF(B151="","",IF(T151&lt;&gt;"","✅売却済",IF(OR(H151="",L151=""),"📌保有中",IF(L151&gt;=0.06,"🟢利確推奨",IF(L151&gt;=0.05,"🟡利確直近",IF(L151&gt;=0.045,"🔵トレーリング検討",IF(L151&gt;-0.03,"📌保有中",IF(L151&gt;-0.04,"⚠️損切注意","🔴損切り"))))))))</f>
        <v/>
      </c>
      <c r="T151" s="594"/>
      <c r="U151" s="491"/>
      <c r="V151" s="701" t="str">
        <f>IF(OR(F151="",G151="",U151=""),"",IF(C151="売",(F151-U151)*G151,(U151-F151)*G151))</f>
        <v/>
      </c>
      <c r="W151" s="493" t="str">
        <f>IF(OR($E151="",$B151=""),"",IF($T151&lt;&gt;"",$T151-$E151,TODAY()-$E151)+1)</f>
        <v/>
      </c>
      <c r="X151" s="489" t="str">
        <f>IF(OR($AH151="",$AH151="保有中"),"",$AH151)</f>
        <v/>
      </c>
      <c r="Y151" s="488"/>
      <c r="Z151" s="710"/>
      <c r="AD151" s="608"/>
      <c r="AE151" s="600" t="str">
        <f>IF($E151="","",WORKDAY($E151,12))</f>
        <v/>
      </c>
      <c r="AF151" s="600" t="str" cm="1">
        <f t="array" aca="1" ref="AF151" ca="1">IF(OR($B151="",$M151=""),"",IFERROR(IF($C151="売",_xlfn.MINIFS(安値!$E$3:$IT$3,安値!$E$3:$IT$3,"&gt;"&amp;$E151,安値!$E$3:$IT$3,"&lt;="&amp;$AE151,OFFSET(安値!$E$6:$IT$6,MATCH(TEXT($B151,"0"),TEXT(銘柄管理!$B$6:$B$305,"0"),0)-1,0),"&lt;="&amp;$M151),_xlfn.MINIFS(高値!$E$3:$IT$3,高値!$E$3:$IT$3,"&gt;"&amp;$E151,高値!$E$3:$IT$3,"&lt;="&amp;$AE151,OFFSET(高値!$E$6:$IT$6,MATCH(TEXT($B151,"0"),TEXT(銘柄管理!$B$6:$B$305,"0"),0)-1,0),"&gt;="&amp;$M151)),""))</f>
        <v/>
      </c>
      <c r="AG151" s="600" t="str" cm="1">
        <f t="array" aca="1" ref="AG151" ca="1">IF(OR($B151="",$N151=""),"",IFERROR(IF($C151="売",_xlfn.MINIFS(高値!$E$3:$IT$3,高値!$E$3:$IT$3,"&gt;"&amp;$E151,高値!$E$3:$IT$3,"&lt;="&amp;$AE151,OFFSET(高値!$E$6:$IT$6,MATCH(TEXT($B151,"0"),TEXT(銘柄管理!$B$6:$B$305,"0"),0)-1,0),"&gt;="&amp;$N151),_xlfn.MINIFS(安値!$E$3:$IT$3,安値!$E$3:$IT$3,"&gt;"&amp;$E151,安値!$E$3:$IT$3,"&lt;="&amp;$AE151,OFFSET(安値!$E$6:$IT$6,MATCH(TEXT($B151,"0"),TEXT(銘柄管理!$B$6:$B$305,"0"),0)-1,0),"&lt;="&amp;$N151)),""))</f>
        <v/>
      </c>
      <c r="AH151" s="600" t="str">
        <f>IF(OR($B151="",$M151=""),"",IF(AND(N($AF151)=0,N($AG151)=0),IF(AND(ISNUMBER($H151),$H151&gt;0,IF($C151="売",$H151&gt;=$N151,$H151&lt;=$N151)),"損切確定",IF(AND(ISNUMBER($H151),$H151&gt;0,IF($C151="売",$H151&lt;=$M151,$H151&gt;=$M151)),"利益確定",IF($AE151&lt;=TODAY(),"日数制限","保有中"))),IF(N($AG151)=0,"利益確定",IF(N($AF151)=0,"損切確定",IF($AG151&lt;=$AF151,"損切確定","利益確定")))))</f>
        <v/>
      </c>
      <c r="AI151" s="600" t="str" cm="1">
        <f t="array" ref="AI151">IFERROR(INDEX(始値!$E$6:$IT$305,MATCH(TEXT($B151,"0"),TEXT(銘柄管理!$B$6:$B$305,"0"),0),MATCH($AE151,始値!$E$3:$IT$3,0)),"")</f>
        <v/>
      </c>
      <c r="AJ151" s="608" t="str">
        <f>IF(OR($V151="",$F151="",$G151=""),"",$V151/($F151*$G151))</f>
        <v/>
      </c>
      <c r="AK151" s="600" t="str">
        <f>IF($V151="","",IF($V151&gt;0,"○勝",IF($V151&lt;0,"●負","△引分")))</f>
        <v/>
      </c>
    </row>
    <row r="152" spans="1:37" ht="35.4" customHeight="1">
      <c r="A152" s="619" t="str">
        <f>IF(B152="","",HYPERLINK("https://kabutan.jp/stock/?code="&amp;B152,"株探"))</f>
        <v/>
      </c>
      <c r="B152" s="489"/>
      <c r="C152" s="489"/>
      <c r="D152" s="489" t="str" cm="1">
        <f t="array" ref="D152">_xll.RssMarket(B152, "銘柄名称")</f>
        <v/>
      </c>
      <c r="E152" s="716"/>
      <c r="F152" s="698" t="str" cm="1">
        <f t="array" aca="1" ref="F152" ca="1">IFERROR(_xlfn.LET(_xlpm.r,MATCH(TEXT($B152,"0"),TEXT(銘柄管理!$B$6:$B$305,"0"),0),_xlpm.t,MOD(NOW(),1),_xlpm.c,IF($E152=TODAY(),IF(_xlpm.t&gt;=TIME(15,30,0),NA(),1),IF(MATCH($E152,始値!$E$3:$IT$3,0)=1,1,MATCH($E152,始値!$E$3:$IT$3,0)+1)),_xlpm.v,INDEX(始値!$C$6:$IT$305,_xlpm.r,_xlpm.c),IF(N(_xlpm.v)=0,"",_xlpm.v)),"")</f>
        <v/>
      </c>
      <c r="G152" s="489"/>
      <c r="H152" s="491" t="str" cm="1">
        <f t="array" ref="H152">_xll.RssMarket(B152, "現在値")</f>
        <v/>
      </c>
      <c r="I152" s="491" t="str" cm="1">
        <f t="array" ref="I152">_xll.RssMarket(B152, "出来高加重平均")</f>
        <v/>
      </c>
      <c r="J152" s="701" t="str" cm="1">
        <f t="array" ref="J152">_xll.RssMarket($B152, "前日比")</f>
        <v/>
      </c>
      <c r="K152" s="701" t="str">
        <f>IF(OR(F152="",G152="",H152=""),"",IF(C152="売",(F152-H152)*G152,(H152-F152)*G152))</f>
        <v/>
      </c>
      <c r="L152" s="706" t="str">
        <f>IF(OR(F152="",H152=""),"",IF(C152="売",(F152-H152)/F152,(H152-F152)/F152))</f>
        <v/>
      </c>
      <c r="M152" s="491" t="str">
        <f>IF($F152="","",$F152*IF($C152="売",1-V811設定!$B$4,1+V811設定!$B$4)-MOD($F152*IF($C152="売",1-V811設定!$B$4,1+V811設定!$B$4),IF($F152&lt;=3000,1,IF($F152&lt;=5000,5,IF($F152&lt;=30000,10,IF($F152&lt;=50000,50,IF($F152&lt;=300000,100,500))))))+IF(AND($C152="売",MOD($F152*IF($C152="売",1-V811設定!$B$4,1+V811設定!$B$4),IF($F152&lt;=3000,1,IF($F152&lt;=5000,5,IF($F152&lt;=30000,10,IF($F152&lt;=50000,50,IF($F152&lt;=300000,100,500))))))&gt;0),IF($F152&lt;=3000,1,IF($F152&lt;=5000,5,IF($F152&lt;=30000,10,IF($F152&lt;=50000,50,IF($F152&lt;=300000,100,500))))),0))</f>
      </c>
      <c r="N152" s="491" t="str">
        <f>IF($F152="","",$F152*IF($C152="売",1+V811設定!$B$3,1-V811設定!$B$3)-MOD($F152*IF($C152="売",1+V811設定!$B$3,1-V811設定!$B$3),IF($F152&lt;=3000,1,IF($F152&lt;=5000,5,IF($F152&lt;=30000,10,IF($F152&lt;=50000,50,IF($F152&lt;=300000,100,500))))))+IF(AND($C152="売",MOD($F152*IF($C152="売",1+V811設定!$B$3,1-V811設定!$B$3),IF($F152&lt;=3000,1,IF($F152&lt;=5000,5,IF($F152&lt;=30000,10,IF($F152&lt;=50000,50,IF($F152&lt;=300000,100,500))))))&gt;0),IF($F152&lt;=3000,1,IF($F152&lt;=5000,5,IF($F152&lt;=30000,10,IF($F152&lt;=50000,50,IF($F152&lt;=300000,100,500))))),0))</f>
      </c>
      <c r="O152" s="492" t="str">
        <f>IF(OR($B152="",$F152="",$H152=""),"",IF($S152="✅売却済","―決済済―",IF($C152="売",IF($H152&lt;=$M152,"🟢利確",IF(AND($R152&lt;&gt;"",$H152&gt;=$R152),"🟠TRAIL",IF($H152&gt;=$N152,"🔴損切",IF($W152&gt;=V811設定!$B$6,"⏱時間決済",IF($H152&gt;=$F152*(1+V811設定!$B$3*0.7),"⚠️損切接近","保持継続"))))),IF($H152&gt;=$M152,"🟢利確",IF(AND($R152&lt;&gt;"",$H152&lt;=$R152),"🟠TRAIL",IF($H152&lt;=$N152,"🔴損切",IF($W152&gt;=V811設定!$B$6,"⏱時間決済",IF($H152&lt;=$F152*(1-V811設定!$B$3*0.7),"⚠️損切接近","保持継続"))))))))</f>
      </c>
      <c r="P152" s="491"/>
      <c r="Q152" s="491"/>
      <c r="R152" s="491" t="str">
        <f>IF(OR($F152="",$H152="",$N152=""),"",IF($S152="✅売却済","",IF($C152="売",IF($H152&gt;$F152*(1-V811設定!$B$3),$N152,MIN($N152,IF($Q152="",$N152,$Q152*1.03))),IF($H152&lt;$F152*(1+V811設定!$B$3),$N152,MAX($N152,IF($P152="",$N152,$P152*0.97))))))</f>
      </c>
      <c r="S152" s="586" t="str">
        <f>IF(B152="","",IF(T152&lt;&gt;"","✅売却済",IF(OR(H152="",L152=""),"📌保有中",IF(L152&gt;=0.06,"🟢利確推奨",IF(L152&gt;=0.05,"🟡利確直近",IF(L152&gt;=0.045,"🔵トレーリング検討",IF(L152&gt;-0.03,"📌保有中",IF(L152&gt;-0.04,"⚠️損切注意","🔴損切り"))))))))</f>
        <v/>
      </c>
      <c r="T152" s="594"/>
      <c r="U152" s="491"/>
      <c r="V152" s="701" t="str">
        <f>IF(OR(F152="",G152="",U152=""),"",IF(C152="売",(F152-U152)*G152,(U152-F152)*G152))</f>
        <v/>
      </c>
      <c r="W152" s="493" t="str">
        <f>IF(OR($E152="",$B152=""),"",IF($T152&lt;&gt;"",$T152-$E152,TODAY()-$E152)+1)</f>
        <v/>
      </c>
      <c r="X152" s="489" t="str">
        <f>IF(OR($AH152="",$AH152="保有中"),"",$AH152)</f>
        <v/>
      </c>
      <c r="Y152" s="488"/>
      <c r="Z152" s="710"/>
      <c r="AD152" s="608"/>
      <c r="AE152" s="600" t="str">
        <f>IF($E152="","",WORKDAY($E152,12))</f>
        <v/>
      </c>
      <c r="AF152" s="600" t="str" cm="1">
        <f t="array" aca="1" ref="AF152" ca="1">IF(OR($B152="",$M152=""),"",IFERROR(IF($C152="売",_xlfn.MINIFS(安値!$E$3:$IT$3,安値!$E$3:$IT$3,"&gt;"&amp;$E152,安値!$E$3:$IT$3,"&lt;="&amp;$AE152,OFFSET(安値!$E$6:$IT$6,MATCH(TEXT($B152,"0"),TEXT(銘柄管理!$B$6:$B$305,"0"),0)-1,0),"&lt;="&amp;$M152),_xlfn.MINIFS(高値!$E$3:$IT$3,高値!$E$3:$IT$3,"&gt;"&amp;$E152,高値!$E$3:$IT$3,"&lt;="&amp;$AE152,OFFSET(高値!$E$6:$IT$6,MATCH(TEXT($B152,"0"),TEXT(銘柄管理!$B$6:$B$305,"0"),0)-1,0),"&gt;="&amp;$M152)),""))</f>
        <v/>
      </c>
      <c r="AG152" s="600" t="str" cm="1">
        <f t="array" aca="1" ref="AG152" ca="1">IF(OR($B152="",$N152=""),"",IFERROR(IF($C152="売",_xlfn.MINIFS(高値!$E$3:$IT$3,高値!$E$3:$IT$3,"&gt;"&amp;$E152,高値!$E$3:$IT$3,"&lt;="&amp;$AE152,OFFSET(高値!$E$6:$IT$6,MATCH(TEXT($B152,"0"),TEXT(銘柄管理!$B$6:$B$305,"0"),0)-1,0),"&gt;="&amp;$N152),_xlfn.MINIFS(安値!$E$3:$IT$3,安値!$E$3:$IT$3,"&gt;"&amp;$E152,安値!$E$3:$IT$3,"&lt;="&amp;$AE152,OFFSET(安値!$E$6:$IT$6,MATCH(TEXT($B152,"0"),TEXT(銘柄管理!$B$6:$B$305,"0"),0)-1,0),"&lt;="&amp;$N152)),""))</f>
        <v/>
      </c>
      <c r="AH152" s="600" t="str">
        <f>IF(OR($B152="",$M152=""),"",IF(AND(N($AF152)=0,N($AG152)=0),IF(AND(ISNUMBER($H152),$H152&gt;0,IF($C152="売",$H152&gt;=$N152,$H152&lt;=$N152)),"損切確定",IF(AND(ISNUMBER($H152),$H152&gt;0,IF($C152="売",$H152&lt;=$M152,$H152&gt;=$M152)),"利益確定",IF($AE152&lt;=TODAY(),"日数制限","保有中"))),IF(N($AG152)=0,"利益確定",IF(N($AF152)=0,"損切確定",IF($AG152&lt;=$AF152,"損切確定","利益確定")))))</f>
        <v/>
      </c>
      <c r="AI152" s="600" t="str" cm="1">
        <f t="array" ref="AI152">IFERROR(INDEX(始値!$E$6:$IT$305,MATCH(TEXT($B152,"0"),TEXT(銘柄管理!$B$6:$B$305,"0"),0),MATCH($AE152,始値!$E$3:$IT$3,0)),"")</f>
        <v/>
      </c>
      <c r="AJ152" s="608" t="str">
        <f>IF(OR($V152="",$F152="",$G152=""),"",$V152/($F152*$G152))</f>
        <v/>
      </c>
      <c r="AK152" s="600" t="str">
        <f>IF($V152="","",IF($V152&gt;0,"○勝",IF($V152&lt;0,"●負","△引分")))</f>
        <v/>
      </c>
    </row>
    <row r="153" spans="1:37" ht="35.4" customHeight="1">
      <c r="A153" s="619" t="str">
        <f>IF(B153="","",HYPERLINK("https://kabutan.jp/stock/?code="&amp;B153,"株探"))</f>
        <v/>
      </c>
      <c r="B153" s="489"/>
      <c r="C153" s="489"/>
      <c r="D153" s="489" t="str" cm="1">
        <f t="array" ref="D153">_xll.RssMarket(B153, "銘柄名称")</f>
        <v/>
      </c>
      <c r="E153" s="716"/>
      <c r="F153" s="698" t="str" cm="1">
        <f t="array" aca="1" ref="F153" ca="1">IFERROR(_xlfn.LET(_xlpm.r,MATCH(TEXT($B153,"0"),TEXT(銘柄管理!$B$6:$B$305,"0"),0),_xlpm.t,MOD(NOW(),1),_xlpm.c,IF($E153=TODAY(),IF(_xlpm.t&gt;=TIME(15,30,0),NA(),1),IF(MATCH($E153,始値!$E$3:$IT$3,0)=1,1,MATCH($E153,始値!$E$3:$IT$3,0)+1)),_xlpm.v,INDEX(始値!$C$6:$IT$305,_xlpm.r,_xlpm.c),IF(N(_xlpm.v)=0,"",_xlpm.v)),"")</f>
        <v/>
      </c>
      <c r="G153" s="489"/>
      <c r="H153" s="491" t="str" cm="1">
        <f t="array" ref="H153">_xll.RssMarket(B153, "現在値")</f>
        <v/>
      </c>
      <c r="I153" s="491" t="str" cm="1">
        <f t="array" ref="I153">_xll.RssMarket(B153, "出来高加重平均")</f>
        <v/>
      </c>
      <c r="J153" s="701" t="str" cm="1">
        <f t="array" ref="J153">_xll.RssMarket($B153, "前日比")</f>
        <v/>
      </c>
      <c r="K153" s="701" t="str">
        <f>IF(OR(F153="",G153="",H153=""),"",IF(C153="売",(F153-H153)*G153,(H153-F153)*G153))</f>
        <v/>
      </c>
      <c r="L153" s="706" t="str">
        <f>IF(OR(F153="",H153=""),"",IF(C153="売",(F153-H153)/F153,(H153-F153)/F153))</f>
        <v/>
      </c>
      <c r="M153" s="491" t="str">
        <f>IF($F153="","",$F153*IF($C153="売",1-V811設定!$B$4,1+V811設定!$B$4)-MOD($F153*IF($C153="売",1-V811設定!$B$4,1+V811設定!$B$4),IF($F153&lt;=3000,1,IF($F153&lt;=5000,5,IF($F153&lt;=30000,10,IF($F153&lt;=50000,50,IF($F153&lt;=300000,100,500))))))+IF(AND($C153="売",MOD($F153*IF($C153="売",1-V811設定!$B$4,1+V811設定!$B$4),IF($F153&lt;=3000,1,IF($F153&lt;=5000,5,IF($F153&lt;=30000,10,IF($F153&lt;=50000,50,IF($F153&lt;=300000,100,500))))))&gt;0),IF($F153&lt;=3000,1,IF($F153&lt;=5000,5,IF($F153&lt;=30000,10,IF($F153&lt;=50000,50,IF($F153&lt;=300000,100,500))))),0))</f>
      </c>
      <c r="N153" s="491" t="str">
        <f>IF($F153="","",$F153*IF($C153="売",1+V811設定!$B$3,1-V811設定!$B$3)-MOD($F153*IF($C153="売",1+V811設定!$B$3,1-V811設定!$B$3),IF($F153&lt;=3000,1,IF($F153&lt;=5000,5,IF($F153&lt;=30000,10,IF($F153&lt;=50000,50,IF($F153&lt;=300000,100,500))))))+IF(AND($C153="売",MOD($F153*IF($C153="売",1+V811設定!$B$3,1-V811設定!$B$3),IF($F153&lt;=3000,1,IF($F153&lt;=5000,5,IF($F153&lt;=30000,10,IF($F153&lt;=50000,50,IF($F153&lt;=300000,100,500))))))&gt;0),IF($F153&lt;=3000,1,IF($F153&lt;=5000,5,IF($F153&lt;=30000,10,IF($F153&lt;=50000,50,IF($F153&lt;=300000,100,500))))),0))</f>
      </c>
      <c r="O153" s="492" t="str">
        <f>IF(OR($B153="",$F153="",$H153=""),"",IF($S153="✅売却済","―決済済―",IF($C153="売",IF($H153&lt;=$M153,"🟢利確",IF(AND($R153&lt;&gt;"",$H153&gt;=$R153),"🟠TRAIL",IF($H153&gt;=$N153,"🔴損切",IF($W153&gt;=V811設定!$B$6,"⏱時間決済",IF($H153&gt;=$F153*(1+V811設定!$B$3*0.7),"⚠️損切接近","保持継続"))))),IF($H153&gt;=$M153,"🟢利確",IF(AND($R153&lt;&gt;"",$H153&lt;=$R153),"🟠TRAIL",IF($H153&lt;=$N153,"🔴損切",IF($W153&gt;=V811設定!$B$6,"⏱時間決済",IF($H153&lt;=$F153*(1-V811設定!$B$3*0.7),"⚠️損切接近","保持継続"))))))))</f>
      </c>
      <c r="P153" s="491"/>
      <c r="Q153" s="491"/>
      <c r="R153" s="491" t="str">
        <f>IF(OR($F153="",$H153="",$N153=""),"",IF($S153="✅売却済","",IF($C153="売",IF($H153&gt;$F153*(1-V811設定!$B$3),$N153,MIN($N153,IF($Q153="",$N153,$Q153*1.03))),IF($H153&lt;$F153*(1+V811設定!$B$3),$N153,MAX($N153,IF($P153="",$N153,$P153*0.97))))))</f>
      </c>
      <c r="S153" s="586" t="str">
        <f>IF(B153="","",IF(T153&lt;&gt;"","✅売却済",IF(OR(H153="",L153=""),"📌保有中",IF(L153&gt;=0.06,"🟢利確推奨",IF(L153&gt;=0.05,"🟡利確直近",IF(L153&gt;=0.045,"🔵トレーリング検討",IF(L153&gt;-0.03,"📌保有中",IF(L153&gt;-0.04,"⚠️損切注意","🔴損切り"))))))))</f>
        <v/>
      </c>
      <c r="T153" s="594"/>
      <c r="U153" s="491"/>
      <c r="V153" s="701" t="str">
        <f>IF(OR(F153="",G153="",U153=""),"",IF(C153="売",(F153-U153)*G153,(U153-F153)*G153))</f>
        <v/>
      </c>
      <c r="W153" s="493" t="str">
        <f>IF(OR($E153="",$B153=""),"",IF($T153&lt;&gt;"",$T153-$E153,TODAY()-$E153)+1)</f>
        <v/>
      </c>
      <c r="X153" s="489" t="str">
        <f>IF(OR($AH153="",$AH153="保有中"),"",$AH153)</f>
        <v/>
      </c>
      <c r="Y153" s="488"/>
      <c r="Z153" s="710"/>
      <c r="AD153" s="608"/>
      <c r="AE153" s="600" t="str">
        <f>IF($E153="","",WORKDAY($E153,12))</f>
        <v/>
      </c>
      <c r="AF153" s="600" t="str" cm="1">
        <f t="array" aca="1" ref="AF153" ca="1">IF(OR($B153="",$M153=""),"",IFERROR(IF($C153="売",_xlfn.MINIFS(安値!$E$3:$IT$3,安値!$E$3:$IT$3,"&gt;"&amp;$E153,安値!$E$3:$IT$3,"&lt;="&amp;$AE153,OFFSET(安値!$E$6:$IT$6,MATCH(TEXT($B153,"0"),TEXT(銘柄管理!$B$6:$B$305,"0"),0)-1,0),"&lt;="&amp;$M153),_xlfn.MINIFS(高値!$E$3:$IT$3,高値!$E$3:$IT$3,"&gt;"&amp;$E153,高値!$E$3:$IT$3,"&lt;="&amp;$AE153,OFFSET(高値!$E$6:$IT$6,MATCH(TEXT($B153,"0"),TEXT(銘柄管理!$B$6:$B$305,"0"),0)-1,0),"&gt;="&amp;$M153)),""))</f>
        <v/>
      </c>
      <c r="AG153" s="600" t="str" cm="1">
        <f t="array" aca="1" ref="AG153" ca="1">IF(OR($B153="",$N153=""),"",IFERROR(IF($C153="売",_xlfn.MINIFS(高値!$E$3:$IT$3,高値!$E$3:$IT$3,"&gt;"&amp;$E153,高値!$E$3:$IT$3,"&lt;="&amp;$AE153,OFFSET(高値!$E$6:$IT$6,MATCH(TEXT($B153,"0"),TEXT(銘柄管理!$B$6:$B$305,"0"),0)-1,0),"&gt;="&amp;$N153),_xlfn.MINIFS(安値!$E$3:$IT$3,安値!$E$3:$IT$3,"&gt;"&amp;$E153,安値!$E$3:$IT$3,"&lt;="&amp;$AE153,OFFSET(安値!$E$6:$IT$6,MATCH(TEXT($B153,"0"),TEXT(銘柄管理!$B$6:$B$305,"0"),0)-1,0),"&lt;="&amp;$N153)),""))</f>
        <v/>
      </c>
      <c r="AH153" s="600" t="str">
        <f>IF(OR($B153="",$M153=""),"",IF(AND(N($AF153)=0,N($AG153)=0),IF(AND(ISNUMBER($H153),$H153&gt;0,IF($C153="売",$H153&gt;=$N153,$H153&lt;=$N153)),"損切確定",IF(AND(ISNUMBER($H153),$H153&gt;0,IF($C153="売",$H153&lt;=$M153,$H153&gt;=$M153)),"利益確定",IF($AE153&lt;=TODAY(),"日数制限","保有中"))),IF(N($AG153)=0,"利益確定",IF(N($AF153)=0,"損切確定",IF($AG153&lt;=$AF153,"損切確定","利益確定")))))</f>
        <v/>
      </c>
      <c r="AI153" s="600" t="str" cm="1">
        <f t="array" ref="AI153">IFERROR(INDEX(始値!$E$6:$IT$305,MATCH(TEXT($B153,"0"),TEXT(銘柄管理!$B$6:$B$305,"0"),0),MATCH($AE153,始値!$E$3:$IT$3,0)),"")</f>
        <v/>
      </c>
      <c r="AJ153" s="608" t="str">
        <f>IF(OR($V153="",$F153="",$G153=""),"",$V153/($F153*$G153))</f>
        <v/>
      </c>
      <c r="AK153" s="600" t="str">
        <f>IF($V153="","",IF($V153&gt;0,"○勝",IF($V153&lt;0,"●負","△引分")))</f>
        <v/>
      </c>
    </row>
    <row r="154" spans="1:37" ht="35.4" customHeight="1">
      <c r="A154" s="619" t="str">
        <f>IF(B154="","",HYPERLINK("https://kabutan.jp/stock/?code="&amp;B154,"株探"))</f>
        <v/>
      </c>
      <c r="B154" s="489"/>
      <c r="C154" s="489"/>
      <c r="D154" s="489" t="str" cm="1">
        <f t="array" ref="D154">_xll.RssMarket(B154, "銘柄名称")</f>
        <v/>
      </c>
      <c r="E154" s="716"/>
      <c r="F154" s="698" t="str" cm="1">
        <f t="array" aca="1" ref="F154" ca="1">IFERROR(_xlfn.LET(_xlpm.r,MATCH(TEXT($B154,"0"),TEXT(銘柄管理!$B$6:$B$305,"0"),0),_xlpm.t,MOD(NOW(),1),_xlpm.c,IF($E154=TODAY(),IF(_xlpm.t&gt;=TIME(15,30,0),NA(),1),IF(MATCH($E154,始値!$E$3:$IT$3,0)=1,1,MATCH($E154,始値!$E$3:$IT$3,0)+1)),_xlpm.v,INDEX(始値!$C$6:$IT$305,_xlpm.r,_xlpm.c),IF(N(_xlpm.v)=0,"",_xlpm.v)),"")</f>
        <v/>
      </c>
      <c r="G154" s="489"/>
      <c r="H154" s="491" t="str" cm="1">
        <f t="array" ref="H154">_xll.RssMarket(B154, "現在値")</f>
        <v/>
      </c>
      <c r="I154" s="491" t="str" cm="1">
        <f t="array" ref="I154">_xll.RssMarket(B154, "出来高加重平均")</f>
        <v/>
      </c>
      <c r="J154" s="701" t="str" cm="1">
        <f t="array" ref="J154">_xll.RssMarket($B154, "前日比")</f>
        <v/>
      </c>
      <c r="K154" s="701" t="str">
        <f>IF(OR(F154="",G154="",H154=""),"",IF(C154="売",(F154-H154)*G154,(H154-F154)*G154))</f>
        <v/>
      </c>
      <c r="L154" s="706" t="str">
        <f>IF(OR(F154="",H154=""),"",IF(C154="売",(F154-H154)/F154,(H154-F154)/F154))</f>
        <v/>
      </c>
      <c r="M154" s="491" t="str">
        <f>IF($F154="","",$F154*IF($C154="売",1-V811設定!$B$4,1+V811設定!$B$4)-MOD($F154*IF($C154="売",1-V811設定!$B$4,1+V811設定!$B$4),IF($F154&lt;=3000,1,IF($F154&lt;=5000,5,IF($F154&lt;=30000,10,IF($F154&lt;=50000,50,IF($F154&lt;=300000,100,500))))))+IF(AND($C154="売",MOD($F154*IF($C154="売",1-V811設定!$B$4,1+V811設定!$B$4),IF($F154&lt;=3000,1,IF($F154&lt;=5000,5,IF($F154&lt;=30000,10,IF($F154&lt;=50000,50,IF($F154&lt;=300000,100,500))))))&gt;0),IF($F154&lt;=3000,1,IF($F154&lt;=5000,5,IF($F154&lt;=30000,10,IF($F154&lt;=50000,50,IF($F154&lt;=300000,100,500))))),0))</f>
      </c>
      <c r="N154" s="491" t="str">
        <f>IF($F154="","",$F154*IF($C154="売",1+V811設定!$B$3,1-V811設定!$B$3)-MOD($F154*IF($C154="売",1+V811設定!$B$3,1-V811設定!$B$3),IF($F154&lt;=3000,1,IF($F154&lt;=5000,5,IF($F154&lt;=30000,10,IF($F154&lt;=50000,50,IF($F154&lt;=300000,100,500))))))+IF(AND($C154="売",MOD($F154*IF($C154="売",1+V811設定!$B$3,1-V811設定!$B$3),IF($F154&lt;=3000,1,IF($F154&lt;=5000,5,IF($F154&lt;=30000,10,IF($F154&lt;=50000,50,IF($F154&lt;=300000,100,500))))))&gt;0),IF($F154&lt;=3000,1,IF($F154&lt;=5000,5,IF($F154&lt;=30000,10,IF($F154&lt;=50000,50,IF($F154&lt;=300000,100,500))))),0))</f>
      </c>
      <c r="O154" s="492" t="str">
        <f>IF(OR($B154="",$F154="",$H154=""),"",IF($S154="✅売却済","―決済済―",IF($C154="売",IF($H154&lt;=$M154,"🟢利確",IF(AND($R154&lt;&gt;"",$H154&gt;=$R154),"🟠TRAIL",IF($H154&gt;=$N154,"🔴損切",IF($W154&gt;=V811設定!$B$6,"⏱時間決済",IF($H154&gt;=$F154*(1+V811設定!$B$3*0.7),"⚠️損切接近","保持継続"))))),IF($H154&gt;=$M154,"🟢利確",IF(AND($R154&lt;&gt;"",$H154&lt;=$R154),"🟠TRAIL",IF($H154&lt;=$N154,"🔴損切",IF($W154&gt;=V811設定!$B$6,"⏱時間決済",IF($H154&lt;=$F154*(1-V811設定!$B$3*0.7),"⚠️損切接近","保持継続"))))))))</f>
      </c>
      <c r="P154" s="491"/>
      <c r="Q154" s="491"/>
      <c r="R154" s="491" t="str">
        <f>IF(OR($F154="",$H154="",$N154=""),"",IF($S154="✅売却済","",IF($C154="売",IF($H154&gt;$F154*(1-V811設定!$B$3),$N154,MIN($N154,IF($Q154="",$N154,$Q154*1.03))),IF($H154&lt;$F154*(1+V811設定!$B$3),$N154,MAX($N154,IF($P154="",$N154,$P154*0.97))))))</f>
      </c>
      <c r="S154" s="586" t="str">
        <f>IF(B154="","",IF(T154&lt;&gt;"","✅売却済",IF(OR(H154="",L154=""),"📌保有中",IF(L154&gt;=0.06,"🟢利確推奨",IF(L154&gt;=0.05,"🟡利確直近",IF(L154&gt;=0.045,"🔵トレーリング検討",IF(L154&gt;-0.03,"📌保有中",IF(L154&gt;-0.04,"⚠️損切注意","🔴損切り"))))))))</f>
        <v/>
      </c>
      <c r="T154" s="594"/>
      <c r="U154" s="491"/>
      <c r="V154" s="701" t="str">
        <f>IF(OR(F154="",G154="",U154=""),"",IF(C154="売",(F154-U154)*G154,(U154-F154)*G154))</f>
        <v/>
      </c>
      <c r="W154" s="493" t="str">
        <f>IF(OR($E154="",$B154=""),"",IF($T154&lt;&gt;"",$T154-$E154,TODAY()-$E154)+1)</f>
        <v/>
      </c>
      <c r="X154" s="489" t="str">
        <f>IF(OR($AH154="",$AH154="保有中"),"",$AH154)</f>
        <v/>
      </c>
      <c r="Y154" s="488"/>
      <c r="Z154" s="710"/>
      <c r="AD154" s="608"/>
      <c r="AE154" s="600" t="str">
        <f>IF($E154="","",WORKDAY($E154,12))</f>
        <v/>
      </c>
      <c r="AF154" s="600" t="str" cm="1">
        <f t="array" aca="1" ref="AF154" ca="1">IF(OR($B154="",$M154=""),"",IFERROR(IF($C154="売",_xlfn.MINIFS(安値!$E$3:$IT$3,安値!$E$3:$IT$3,"&gt;"&amp;$E154,安値!$E$3:$IT$3,"&lt;="&amp;$AE154,OFFSET(安値!$E$6:$IT$6,MATCH(TEXT($B154,"0"),TEXT(銘柄管理!$B$6:$B$305,"0"),0)-1,0),"&lt;="&amp;$M154),_xlfn.MINIFS(高値!$E$3:$IT$3,高値!$E$3:$IT$3,"&gt;"&amp;$E154,高値!$E$3:$IT$3,"&lt;="&amp;$AE154,OFFSET(高値!$E$6:$IT$6,MATCH(TEXT($B154,"0"),TEXT(銘柄管理!$B$6:$B$305,"0"),0)-1,0),"&gt;="&amp;$M154)),""))</f>
        <v/>
      </c>
      <c r="AG154" s="600" t="str" cm="1">
        <f t="array" aca="1" ref="AG154" ca="1">IF(OR($B154="",$N154=""),"",IFERROR(IF($C154="売",_xlfn.MINIFS(高値!$E$3:$IT$3,高値!$E$3:$IT$3,"&gt;"&amp;$E154,高値!$E$3:$IT$3,"&lt;="&amp;$AE154,OFFSET(高値!$E$6:$IT$6,MATCH(TEXT($B154,"0"),TEXT(銘柄管理!$B$6:$B$305,"0"),0)-1,0),"&gt;="&amp;$N154),_xlfn.MINIFS(安値!$E$3:$IT$3,安値!$E$3:$IT$3,"&gt;"&amp;$E154,安値!$E$3:$IT$3,"&lt;="&amp;$AE154,OFFSET(安値!$E$6:$IT$6,MATCH(TEXT($B154,"0"),TEXT(銘柄管理!$B$6:$B$305,"0"),0)-1,0),"&lt;="&amp;$N154)),""))</f>
        <v/>
      </c>
      <c r="AH154" s="600" t="str">
        <f>IF(OR($B154="",$M154=""),"",IF(AND(N($AF154)=0,N($AG154)=0),IF(AND(ISNUMBER($H154),$H154&gt;0,IF($C154="売",$H154&gt;=$N154,$H154&lt;=$N154)),"損切確定",IF(AND(ISNUMBER($H154),$H154&gt;0,IF($C154="売",$H154&lt;=$M154,$H154&gt;=$M154)),"利益確定",IF($AE154&lt;=TODAY(),"日数制限","保有中"))),IF(N($AG154)=0,"利益確定",IF(N($AF154)=0,"損切確定",IF($AG154&lt;=$AF154,"損切確定","利益確定")))))</f>
        <v/>
      </c>
      <c r="AI154" s="600" t="str" cm="1">
        <f t="array" ref="AI154">IFERROR(INDEX(始値!$E$6:$IT$305,MATCH(TEXT($B154,"0"),TEXT(銘柄管理!$B$6:$B$305,"0"),0),MATCH($AE154,始値!$E$3:$IT$3,0)),"")</f>
        <v/>
      </c>
      <c r="AJ154" s="608" t="str">
        <f>IF(OR($V154="",$F154="",$G154=""),"",$V154/($F154*$G154))</f>
        <v/>
      </c>
      <c r="AK154" s="600" t="str">
        <f>IF($V154="","",IF($V154&gt;0,"○勝",IF($V154&lt;0,"●負","△引分")))</f>
        <v/>
      </c>
    </row>
    <row r="155" spans="1:37" ht="35.4" customHeight="1">
      <c r="A155" s="619" t="str">
        <f>IF(B155="","",HYPERLINK("https://kabutan.jp/stock/?code="&amp;B155,"株探"))</f>
        <v/>
      </c>
      <c r="B155" s="489"/>
      <c r="C155" s="489"/>
      <c r="D155" s="489" t="str" cm="1">
        <f t="array" ref="D155">_xll.RssMarket(B155, "銘柄名称")</f>
        <v/>
      </c>
      <c r="E155" s="716"/>
      <c r="F155" s="698" t="str" cm="1">
        <f t="array" aca="1" ref="F155" ca="1">IFERROR(_xlfn.LET(_xlpm.r,MATCH(TEXT($B155,"0"),TEXT(銘柄管理!$B$6:$B$305,"0"),0),_xlpm.t,MOD(NOW(),1),_xlpm.c,IF($E155=TODAY(),IF(_xlpm.t&gt;=TIME(15,30,0),NA(),1),IF(MATCH($E155,始値!$E$3:$IT$3,0)=1,1,MATCH($E155,始値!$E$3:$IT$3,0)+1)),_xlpm.v,INDEX(始値!$C$6:$IT$305,_xlpm.r,_xlpm.c),IF(N(_xlpm.v)=0,"",_xlpm.v)),"")</f>
        <v/>
      </c>
      <c r="G155" s="489"/>
      <c r="H155" s="491" t="str" cm="1">
        <f t="array" ref="H155">_xll.RssMarket(B155, "現在値")</f>
        <v/>
      </c>
      <c r="I155" s="491" t="str" cm="1">
        <f t="array" ref="I155">_xll.RssMarket(B155, "出来高加重平均")</f>
        <v/>
      </c>
      <c r="J155" s="701" t="str" cm="1">
        <f t="array" ref="J155">_xll.RssMarket($B155, "前日比")</f>
        <v/>
      </c>
      <c r="K155" s="701" t="str">
        <f>IF(OR(F155="",G155="",H155=""),"",IF(C155="売",(F155-H155)*G155,(H155-F155)*G155))</f>
        <v/>
      </c>
      <c r="L155" s="706" t="str">
        <f>IF(OR(F155="",H155=""),"",IF(C155="売",(F155-H155)/F155,(H155-F155)/F155))</f>
        <v/>
      </c>
      <c r="M155" s="491" t="str">
        <f>IF($F155="","",$F155*IF($C155="売",1-V811設定!$B$4,1+V811設定!$B$4)-MOD($F155*IF($C155="売",1-V811設定!$B$4,1+V811設定!$B$4),IF($F155&lt;=3000,1,IF($F155&lt;=5000,5,IF($F155&lt;=30000,10,IF($F155&lt;=50000,50,IF($F155&lt;=300000,100,500))))))+IF(AND($C155="売",MOD($F155*IF($C155="売",1-V811設定!$B$4,1+V811設定!$B$4),IF($F155&lt;=3000,1,IF($F155&lt;=5000,5,IF($F155&lt;=30000,10,IF($F155&lt;=50000,50,IF($F155&lt;=300000,100,500))))))&gt;0),IF($F155&lt;=3000,1,IF($F155&lt;=5000,5,IF($F155&lt;=30000,10,IF($F155&lt;=50000,50,IF($F155&lt;=300000,100,500))))),0))</f>
      </c>
      <c r="N155" s="491" t="str">
        <f>IF($F155="","",$F155*IF($C155="売",1+V811設定!$B$3,1-V811設定!$B$3)-MOD($F155*IF($C155="売",1+V811設定!$B$3,1-V811設定!$B$3),IF($F155&lt;=3000,1,IF($F155&lt;=5000,5,IF($F155&lt;=30000,10,IF($F155&lt;=50000,50,IF($F155&lt;=300000,100,500))))))+IF(AND($C155="売",MOD($F155*IF($C155="売",1+V811設定!$B$3,1-V811設定!$B$3),IF($F155&lt;=3000,1,IF($F155&lt;=5000,5,IF($F155&lt;=30000,10,IF($F155&lt;=50000,50,IF($F155&lt;=300000,100,500))))))&gt;0),IF($F155&lt;=3000,1,IF($F155&lt;=5000,5,IF($F155&lt;=30000,10,IF($F155&lt;=50000,50,IF($F155&lt;=300000,100,500))))),0))</f>
      </c>
      <c r="O155" s="492" t="str">
        <f>IF(OR($B155="",$F155="",$H155=""),"",IF($S155="✅売却済","―決済済―",IF($C155="売",IF($H155&lt;=$M155,"🟢利確",IF(AND($R155&lt;&gt;"",$H155&gt;=$R155),"🟠TRAIL",IF($H155&gt;=$N155,"🔴損切",IF($W155&gt;=V811設定!$B$6,"⏱時間決済",IF($H155&gt;=$F155*(1+V811設定!$B$3*0.7),"⚠️損切接近","保持継続"))))),IF($H155&gt;=$M155,"🟢利確",IF(AND($R155&lt;&gt;"",$H155&lt;=$R155),"🟠TRAIL",IF($H155&lt;=$N155,"🔴損切",IF($W155&gt;=V811設定!$B$6,"⏱時間決済",IF($H155&lt;=$F155*(1-V811設定!$B$3*0.7),"⚠️損切接近","保持継続"))))))))</f>
      </c>
      <c r="P155" s="491"/>
      <c r="Q155" s="491"/>
      <c r="R155" s="491" t="str">
        <f>IF(OR($F155="",$H155="",$N155=""),"",IF($S155="✅売却済","",IF($C155="売",IF($H155&gt;$F155*(1-V811設定!$B$3),$N155,MIN($N155,IF($Q155="",$N155,$Q155*1.03))),IF($H155&lt;$F155*(1+V811設定!$B$3),$N155,MAX($N155,IF($P155="",$N155,$P155*0.97))))))</f>
      </c>
      <c r="S155" s="586" t="str">
        <f>IF(B155="","",IF(T155&lt;&gt;"","✅売却済",IF(OR(H155="",L155=""),"📌保有中",IF(L155&gt;=0.06,"🟢利確推奨",IF(L155&gt;=0.05,"🟡利確直近",IF(L155&gt;=0.045,"🔵トレーリング検討",IF(L155&gt;-0.03,"📌保有中",IF(L155&gt;-0.04,"⚠️損切注意","🔴損切り"))))))))</f>
        <v/>
      </c>
      <c r="T155" s="594"/>
      <c r="U155" s="491"/>
      <c r="V155" s="701" t="str">
        <f>IF(OR(F155="",G155="",U155=""),"",IF(C155="売",(F155-U155)*G155,(U155-F155)*G155))</f>
        <v/>
      </c>
      <c r="W155" s="493" t="str">
        <f>IF(OR($E155="",$B155=""),"",IF($T155&lt;&gt;"",$T155-$E155,TODAY()-$E155)+1)</f>
        <v/>
      </c>
      <c r="X155" s="489" t="str">
        <f>IF(OR($AH155="",$AH155="保有中"),"",$AH155)</f>
        <v/>
      </c>
      <c r="Y155" s="488"/>
      <c r="Z155" s="710"/>
      <c r="AD155" s="608"/>
      <c r="AE155" s="600" t="str">
        <f>IF($E155="","",WORKDAY($E155,12))</f>
        <v/>
      </c>
      <c r="AF155" s="600" t="str" cm="1">
        <f t="array" aca="1" ref="AF155" ca="1">IF(OR($B155="",$M155=""),"",IFERROR(IF($C155="売",_xlfn.MINIFS(安値!$E$3:$IT$3,安値!$E$3:$IT$3,"&gt;"&amp;$E155,安値!$E$3:$IT$3,"&lt;="&amp;$AE155,OFFSET(安値!$E$6:$IT$6,MATCH(TEXT($B155,"0"),TEXT(銘柄管理!$B$6:$B$305,"0"),0)-1,0),"&lt;="&amp;$M155),_xlfn.MINIFS(高値!$E$3:$IT$3,高値!$E$3:$IT$3,"&gt;"&amp;$E155,高値!$E$3:$IT$3,"&lt;="&amp;$AE155,OFFSET(高値!$E$6:$IT$6,MATCH(TEXT($B155,"0"),TEXT(銘柄管理!$B$6:$B$305,"0"),0)-1,0),"&gt;="&amp;$M155)),""))</f>
        <v/>
      </c>
      <c r="AG155" s="600" t="str" cm="1">
        <f t="array" aca="1" ref="AG155" ca="1">IF(OR($B155="",$N155=""),"",IFERROR(IF($C155="売",_xlfn.MINIFS(高値!$E$3:$IT$3,高値!$E$3:$IT$3,"&gt;"&amp;$E155,高値!$E$3:$IT$3,"&lt;="&amp;$AE155,OFFSET(高値!$E$6:$IT$6,MATCH(TEXT($B155,"0"),TEXT(銘柄管理!$B$6:$B$305,"0"),0)-1,0),"&gt;="&amp;$N155),_xlfn.MINIFS(安値!$E$3:$IT$3,安値!$E$3:$IT$3,"&gt;"&amp;$E155,安値!$E$3:$IT$3,"&lt;="&amp;$AE155,OFFSET(安値!$E$6:$IT$6,MATCH(TEXT($B155,"0"),TEXT(銘柄管理!$B$6:$B$305,"0"),0)-1,0),"&lt;="&amp;$N155)),""))</f>
        <v/>
      </c>
      <c r="AH155" s="600" t="str">
        <f>IF(OR($B155="",$M155=""),"",IF(AND(N($AF155)=0,N($AG155)=0),IF(AND(ISNUMBER($H155),$H155&gt;0,IF($C155="売",$H155&gt;=$N155,$H155&lt;=$N155)),"損切確定",IF(AND(ISNUMBER($H155),$H155&gt;0,IF($C155="売",$H155&lt;=$M155,$H155&gt;=$M155)),"利益確定",IF($AE155&lt;=TODAY(),"日数制限","保有中"))),IF(N($AG155)=0,"利益確定",IF(N($AF155)=0,"損切確定",IF($AG155&lt;=$AF155,"損切確定","利益確定")))))</f>
        <v/>
      </c>
      <c r="AI155" s="600" t="str" cm="1">
        <f t="array" ref="AI155">IFERROR(INDEX(始値!$E$6:$IT$305,MATCH(TEXT($B155,"0"),TEXT(銘柄管理!$B$6:$B$305,"0"),0),MATCH($AE155,始値!$E$3:$IT$3,0)),"")</f>
        <v/>
      </c>
      <c r="AJ155" s="608" t="str">
        <f>IF(OR($V155="",$F155="",$G155=""),"",$V155/($F155*$G155))</f>
        <v/>
      </c>
      <c r="AK155" s="600" t="str">
        <f>IF($V155="","",IF($V155&gt;0,"○勝",IF($V155&lt;0,"●負","△引分")))</f>
        <v/>
      </c>
    </row>
    <row r="156" spans="1:37" ht="35.4" customHeight="1">
      <c r="A156" s="619" t="str">
        <f>IF(B156="","",HYPERLINK("https://kabutan.jp/stock/?code="&amp;B156,"株探"))</f>
        <v/>
      </c>
      <c r="B156" s="489"/>
      <c r="C156" s="489"/>
      <c r="D156" s="489" t="str" cm="1">
        <f t="array" ref="D156">_xll.RssMarket(B156, "銘柄名称")</f>
        <v/>
      </c>
      <c r="E156" s="716"/>
      <c r="F156" s="698" t="str" cm="1">
        <f t="array" aca="1" ref="F156" ca="1">IFERROR(_xlfn.LET(_xlpm.r,MATCH(TEXT($B156,"0"),TEXT(銘柄管理!$B$6:$B$305,"0"),0),_xlpm.t,MOD(NOW(),1),_xlpm.c,IF($E156=TODAY(),IF(_xlpm.t&gt;=TIME(15,30,0),NA(),1),IF(MATCH($E156,始値!$E$3:$IT$3,0)=1,1,MATCH($E156,始値!$E$3:$IT$3,0)+1)),_xlpm.v,INDEX(始値!$C$6:$IT$305,_xlpm.r,_xlpm.c),IF(N(_xlpm.v)=0,"",_xlpm.v)),"")</f>
        <v/>
      </c>
      <c r="G156" s="489"/>
      <c r="H156" s="491" t="str" cm="1">
        <f t="array" ref="H156">_xll.RssMarket(B156, "現在値")</f>
        <v/>
      </c>
      <c r="I156" s="491" t="str" cm="1">
        <f t="array" ref="I156">_xll.RssMarket(B156, "出来高加重平均")</f>
        <v/>
      </c>
      <c r="J156" s="701" t="str" cm="1">
        <f t="array" ref="J156">_xll.RssMarket($B156, "前日比")</f>
        <v/>
      </c>
      <c r="K156" s="701" t="str">
        <f>IF(OR(F156="",G156="",H156=""),"",IF(C156="売",(F156-H156)*G156,(H156-F156)*G156))</f>
        <v/>
      </c>
      <c r="L156" s="706" t="str">
        <f>IF(OR(F156="",H156=""),"",IF(C156="売",(F156-H156)/F156,(H156-F156)/F156))</f>
        <v/>
      </c>
      <c r="M156" s="491" t="str">
        <f>IF($F156="","",$F156*IF($C156="売",1-V811設定!$B$4,1+V811設定!$B$4)-MOD($F156*IF($C156="売",1-V811設定!$B$4,1+V811設定!$B$4),IF($F156&lt;=3000,1,IF($F156&lt;=5000,5,IF($F156&lt;=30000,10,IF($F156&lt;=50000,50,IF($F156&lt;=300000,100,500))))))+IF(AND($C156="売",MOD($F156*IF($C156="売",1-V811設定!$B$4,1+V811設定!$B$4),IF($F156&lt;=3000,1,IF($F156&lt;=5000,5,IF($F156&lt;=30000,10,IF($F156&lt;=50000,50,IF($F156&lt;=300000,100,500))))))&gt;0),IF($F156&lt;=3000,1,IF($F156&lt;=5000,5,IF($F156&lt;=30000,10,IF($F156&lt;=50000,50,IF($F156&lt;=300000,100,500))))),0))</f>
      </c>
      <c r="N156" s="491" t="str">
        <f>IF($F156="","",$F156*IF($C156="売",1+V811設定!$B$3,1-V811設定!$B$3)-MOD($F156*IF($C156="売",1+V811設定!$B$3,1-V811設定!$B$3),IF($F156&lt;=3000,1,IF($F156&lt;=5000,5,IF($F156&lt;=30000,10,IF($F156&lt;=50000,50,IF($F156&lt;=300000,100,500))))))+IF(AND($C156="売",MOD($F156*IF($C156="売",1+V811設定!$B$3,1-V811設定!$B$3),IF($F156&lt;=3000,1,IF($F156&lt;=5000,5,IF($F156&lt;=30000,10,IF($F156&lt;=50000,50,IF($F156&lt;=300000,100,500))))))&gt;0),IF($F156&lt;=3000,1,IF($F156&lt;=5000,5,IF($F156&lt;=30000,10,IF($F156&lt;=50000,50,IF($F156&lt;=300000,100,500))))),0))</f>
      </c>
      <c r="O156" s="492" t="str">
        <f>IF(OR($B156="",$F156="",$H156=""),"",IF($S156="✅売却済","―決済済―",IF($C156="売",IF($H156&lt;=$M156,"🟢利確",IF(AND($R156&lt;&gt;"",$H156&gt;=$R156),"🟠TRAIL",IF($H156&gt;=$N156,"🔴損切",IF($W156&gt;=V811設定!$B$6,"⏱時間決済",IF($H156&gt;=$F156*(1+V811設定!$B$3*0.7),"⚠️損切接近","保持継続"))))),IF($H156&gt;=$M156,"🟢利確",IF(AND($R156&lt;&gt;"",$H156&lt;=$R156),"🟠TRAIL",IF($H156&lt;=$N156,"🔴損切",IF($W156&gt;=V811設定!$B$6,"⏱時間決済",IF($H156&lt;=$F156*(1-V811設定!$B$3*0.7),"⚠️損切接近","保持継続"))))))))</f>
      </c>
      <c r="P156" s="491"/>
      <c r="Q156" s="491"/>
      <c r="R156" s="491" t="str">
        <f>IF(OR($F156="",$H156="",$N156=""),"",IF($S156="✅売却済","",IF($C156="売",IF($H156&gt;$F156*(1-V811設定!$B$3),$N156,MIN($N156,IF($Q156="",$N156,$Q156*1.03))),IF($H156&lt;$F156*(1+V811設定!$B$3),$N156,MAX($N156,IF($P156="",$N156,$P156*0.97))))))</f>
      </c>
      <c r="S156" s="586" t="str">
        <f>IF(B156="","",IF(T156&lt;&gt;"","✅売却済",IF(OR(H156="",L156=""),"📌保有中",IF(L156&gt;=0.06,"🟢利確推奨",IF(L156&gt;=0.05,"🟡利確直近",IF(L156&gt;=0.045,"🔵トレーリング検討",IF(L156&gt;-0.03,"📌保有中",IF(L156&gt;-0.04,"⚠️損切注意","🔴損切り"))))))))</f>
        <v/>
      </c>
      <c r="T156" s="594"/>
      <c r="U156" s="491"/>
      <c r="V156" s="701" t="str">
        <f>IF(OR(F156="",G156="",U156=""),"",IF(C156="売",(F156-U156)*G156,(U156-F156)*G156))</f>
        <v/>
      </c>
      <c r="W156" s="493" t="str">
        <f>IF(OR($E156="",$B156=""),"",IF($T156&lt;&gt;"",$T156-$E156,TODAY()-$E156)+1)</f>
        <v/>
      </c>
      <c r="X156" s="489" t="str">
        <f>IF(OR($AH156="",$AH156="保有中"),"",$AH156)</f>
        <v/>
      </c>
      <c r="Y156" s="488"/>
      <c r="Z156" s="710"/>
      <c r="AD156" s="608"/>
      <c r="AE156" s="600" t="str">
        <f>IF($E156="","",WORKDAY($E156,12))</f>
        <v/>
      </c>
      <c r="AF156" s="600" t="str" cm="1">
        <f t="array" aca="1" ref="AF156" ca="1">IF(OR($B156="",$M156=""),"",IFERROR(IF($C156="売",_xlfn.MINIFS(安値!$E$3:$IT$3,安値!$E$3:$IT$3,"&gt;"&amp;$E156,安値!$E$3:$IT$3,"&lt;="&amp;$AE156,OFFSET(安値!$E$6:$IT$6,MATCH(TEXT($B156,"0"),TEXT(銘柄管理!$B$6:$B$305,"0"),0)-1,0),"&lt;="&amp;$M156),_xlfn.MINIFS(高値!$E$3:$IT$3,高値!$E$3:$IT$3,"&gt;"&amp;$E156,高値!$E$3:$IT$3,"&lt;="&amp;$AE156,OFFSET(高値!$E$6:$IT$6,MATCH(TEXT($B156,"0"),TEXT(銘柄管理!$B$6:$B$305,"0"),0)-1,0),"&gt;="&amp;$M156)),""))</f>
        <v/>
      </c>
      <c r="AG156" s="600" t="str" cm="1">
        <f t="array" aca="1" ref="AG156" ca="1">IF(OR($B156="",$N156=""),"",IFERROR(IF($C156="売",_xlfn.MINIFS(高値!$E$3:$IT$3,高値!$E$3:$IT$3,"&gt;"&amp;$E156,高値!$E$3:$IT$3,"&lt;="&amp;$AE156,OFFSET(高値!$E$6:$IT$6,MATCH(TEXT($B156,"0"),TEXT(銘柄管理!$B$6:$B$305,"0"),0)-1,0),"&gt;="&amp;$N156),_xlfn.MINIFS(安値!$E$3:$IT$3,安値!$E$3:$IT$3,"&gt;"&amp;$E156,安値!$E$3:$IT$3,"&lt;="&amp;$AE156,OFFSET(安値!$E$6:$IT$6,MATCH(TEXT($B156,"0"),TEXT(銘柄管理!$B$6:$B$305,"0"),0)-1,0),"&lt;="&amp;$N156)),""))</f>
        <v/>
      </c>
      <c r="AH156" s="600" t="str">
        <f>IF(OR($B156="",$M156=""),"",IF(AND(N($AF156)=0,N($AG156)=0),IF(AND(ISNUMBER($H156),$H156&gt;0,IF($C156="売",$H156&gt;=$N156,$H156&lt;=$N156)),"損切確定",IF(AND(ISNUMBER($H156),$H156&gt;0,IF($C156="売",$H156&lt;=$M156,$H156&gt;=$M156)),"利益確定",IF($AE156&lt;=TODAY(),"日数制限","保有中"))),IF(N($AG156)=0,"利益確定",IF(N($AF156)=0,"損切確定",IF($AG156&lt;=$AF156,"損切確定","利益確定")))))</f>
        <v/>
      </c>
      <c r="AI156" s="600" t="str" cm="1">
        <f t="array" ref="AI156">IFERROR(INDEX(始値!$E$6:$IT$305,MATCH(TEXT($B156,"0"),TEXT(銘柄管理!$B$6:$B$305,"0"),0),MATCH($AE156,始値!$E$3:$IT$3,0)),"")</f>
        <v/>
      </c>
      <c r="AJ156" s="608" t="str">
        <f>IF(OR($V156="",$F156="",$G156=""),"",$V156/($F156*$G156))</f>
        <v/>
      </c>
      <c r="AK156" s="600" t="str">
        <f>IF($V156="","",IF($V156&gt;0,"○勝",IF($V156&lt;0,"●負","△引分")))</f>
        <v/>
      </c>
    </row>
    <row r="157" spans="1:37" ht="35.4" customHeight="1">
      <c r="A157" s="619" t="str">
        <f>IF(B157="","",HYPERLINK("https://kabutan.jp/stock/?code="&amp;B157,"株探"))</f>
        <v/>
      </c>
      <c r="B157" s="489"/>
      <c r="C157" s="489"/>
      <c r="D157" s="489" t="str" cm="1">
        <f t="array" ref="D157">_xll.RssMarket(B157, "銘柄名称")</f>
        <v/>
      </c>
      <c r="E157" s="716"/>
      <c r="F157" s="698" t="str" cm="1">
        <f t="array" aca="1" ref="F157" ca="1">IFERROR(_xlfn.LET(_xlpm.r,MATCH(TEXT($B157,"0"),TEXT(銘柄管理!$B$6:$B$305,"0"),0),_xlpm.t,MOD(NOW(),1),_xlpm.c,IF($E157=TODAY(),IF(_xlpm.t&gt;=TIME(15,30,0),NA(),1),IF(MATCH($E157,始値!$E$3:$IT$3,0)=1,1,MATCH($E157,始値!$E$3:$IT$3,0)+1)),_xlpm.v,INDEX(始値!$C$6:$IT$305,_xlpm.r,_xlpm.c),IF(N(_xlpm.v)=0,"",_xlpm.v)),"")</f>
        <v/>
      </c>
      <c r="G157" s="489"/>
      <c r="H157" s="491" t="str" cm="1">
        <f t="array" ref="H157">_xll.RssMarket(B157, "現在値")</f>
        <v/>
      </c>
      <c r="I157" s="491" t="str" cm="1">
        <f t="array" ref="I157">_xll.RssMarket(B157, "出来高加重平均")</f>
        <v/>
      </c>
      <c r="J157" s="701" t="str" cm="1">
        <f t="array" ref="J157">_xll.RssMarket($B157, "前日比")</f>
        <v/>
      </c>
      <c r="K157" s="701" t="str">
        <f>IF(OR(F157="",G157="",H157=""),"",IF(C157="売",(F157-H157)*G157,(H157-F157)*G157))</f>
        <v/>
      </c>
      <c r="L157" s="706" t="str">
        <f>IF(OR(F157="",H157=""),"",IF(C157="売",(F157-H157)/F157,(H157-F157)/F157))</f>
        <v/>
      </c>
      <c r="M157" s="491" t="str">
        <f>IF($F157="","",$F157*IF($C157="売",1-V811設定!$B$4,1+V811設定!$B$4)-MOD($F157*IF($C157="売",1-V811設定!$B$4,1+V811設定!$B$4),IF($F157&lt;=3000,1,IF($F157&lt;=5000,5,IF($F157&lt;=30000,10,IF($F157&lt;=50000,50,IF($F157&lt;=300000,100,500))))))+IF(AND($C157="売",MOD($F157*IF($C157="売",1-V811設定!$B$4,1+V811設定!$B$4),IF($F157&lt;=3000,1,IF($F157&lt;=5000,5,IF($F157&lt;=30000,10,IF($F157&lt;=50000,50,IF($F157&lt;=300000,100,500))))))&gt;0),IF($F157&lt;=3000,1,IF($F157&lt;=5000,5,IF($F157&lt;=30000,10,IF($F157&lt;=50000,50,IF($F157&lt;=300000,100,500))))),0))</f>
      </c>
      <c r="N157" s="491" t="str">
        <f>IF($F157="","",$F157*IF($C157="売",1+V811設定!$B$3,1-V811設定!$B$3)-MOD($F157*IF($C157="売",1+V811設定!$B$3,1-V811設定!$B$3),IF($F157&lt;=3000,1,IF($F157&lt;=5000,5,IF($F157&lt;=30000,10,IF($F157&lt;=50000,50,IF($F157&lt;=300000,100,500))))))+IF(AND($C157="売",MOD($F157*IF($C157="売",1+V811設定!$B$3,1-V811設定!$B$3),IF($F157&lt;=3000,1,IF($F157&lt;=5000,5,IF($F157&lt;=30000,10,IF($F157&lt;=50000,50,IF($F157&lt;=300000,100,500))))))&gt;0),IF($F157&lt;=3000,1,IF($F157&lt;=5000,5,IF($F157&lt;=30000,10,IF($F157&lt;=50000,50,IF($F157&lt;=300000,100,500))))),0))</f>
      </c>
      <c r="O157" s="492" t="str">
        <f>IF(OR($B157="",$F157="",$H157=""),"",IF($S157="✅売却済","―決済済―",IF($C157="売",IF($H157&lt;=$M157,"🟢利確",IF(AND($R157&lt;&gt;"",$H157&gt;=$R157),"🟠TRAIL",IF($H157&gt;=$N157,"🔴損切",IF($W157&gt;=V811設定!$B$6,"⏱時間決済",IF($H157&gt;=$F157*(1+V811設定!$B$3*0.7),"⚠️損切接近","保持継続"))))),IF($H157&gt;=$M157,"🟢利確",IF(AND($R157&lt;&gt;"",$H157&lt;=$R157),"🟠TRAIL",IF($H157&lt;=$N157,"🔴損切",IF($W157&gt;=V811設定!$B$6,"⏱時間決済",IF($H157&lt;=$F157*(1-V811設定!$B$3*0.7),"⚠️損切接近","保持継続"))))))))</f>
      </c>
      <c r="P157" s="491"/>
      <c r="Q157" s="491"/>
      <c r="R157" s="491" t="str">
        <f>IF(OR($F157="",$H157="",$N157=""),"",IF($S157="✅売却済","",IF($C157="売",IF($H157&gt;$F157*(1-V811設定!$B$3),$N157,MIN($N157,IF($Q157="",$N157,$Q157*1.03))),IF($H157&lt;$F157*(1+V811設定!$B$3),$N157,MAX($N157,IF($P157="",$N157,$P157*0.97))))))</f>
      </c>
      <c r="S157" s="586" t="str">
        <f>IF(B157="","",IF(T157&lt;&gt;"","✅売却済",IF(OR(H157="",L157=""),"📌保有中",IF(L157&gt;=0.06,"🟢利確推奨",IF(L157&gt;=0.05,"🟡利確直近",IF(L157&gt;=0.045,"🔵トレーリング検討",IF(L157&gt;-0.03,"📌保有中",IF(L157&gt;-0.04,"⚠️損切注意","🔴損切り"))))))))</f>
        <v/>
      </c>
      <c r="T157" s="594"/>
      <c r="U157" s="491"/>
      <c r="V157" s="701" t="str">
        <f>IF(OR(F157="",G157="",U157=""),"",IF(C157="売",(F157-U157)*G157,(U157-F157)*G157))</f>
        <v/>
      </c>
      <c r="W157" s="493" t="str">
        <f>IF(OR($E157="",$B157=""),"",IF($T157&lt;&gt;"",$T157-$E157,TODAY()-$E157)+1)</f>
        <v/>
      </c>
      <c r="X157" s="489" t="str">
        <f>IF(OR($AH157="",$AH157="保有中"),"",$AH157)</f>
        <v/>
      </c>
      <c r="Y157" s="488"/>
      <c r="Z157" s="710"/>
      <c r="AD157" s="608"/>
      <c r="AE157" s="600" t="str">
        <f>IF($E157="","",WORKDAY($E157,12))</f>
        <v/>
      </c>
      <c r="AF157" s="600" t="str" cm="1">
        <f t="array" aca="1" ref="AF157" ca="1">IF(OR($B157="",$M157=""),"",IFERROR(IF($C157="売",_xlfn.MINIFS(安値!$E$3:$IT$3,安値!$E$3:$IT$3,"&gt;"&amp;$E157,安値!$E$3:$IT$3,"&lt;="&amp;$AE157,OFFSET(安値!$E$6:$IT$6,MATCH(TEXT($B157,"0"),TEXT(銘柄管理!$B$6:$B$305,"0"),0)-1,0),"&lt;="&amp;$M157),_xlfn.MINIFS(高値!$E$3:$IT$3,高値!$E$3:$IT$3,"&gt;"&amp;$E157,高値!$E$3:$IT$3,"&lt;="&amp;$AE157,OFFSET(高値!$E$6:$IT$6,MATCH(TEXT($B157,"0"),TEXT(銘柄管理!$B$6:$B$305,"0"),0)-1,0),"&gt;="&amp;$M157)),""))</f>
        <v/>
      </c>
      <c r="AG157" s="600" t="str" cm="1">
        <f t="array" aca="1" ref="AG157" ca="1">IF(OR($B157="",$N157=""),"",IFERROR(IF($C157="売",_xlfn.MINIFS(高値!$E$3:$IT$3,高値!$E$3:$IT$3,"&gt;"&amp;$E157,高値!$E$3:$IT$3,"&lt;="&amp;$AE157,OFFSET(高値!$E$6:$IT$6,MATCH(TEXT($B157,"0"),TEXT(銘柄管理!$B$6:$B$305,"0"),0)-1,0),"&gt;="&amp;$N157),_xlfn.MINIFS(安値!$E$3:$IT$3,安値!$E$3:$IT$3,"&gt;"&amp;$E157,安値!$E$3:$IT$3,"&lt;="&amp;$AE157,OFFSET(安値!$E$6:$IT$6,MATCH(TEXT($B157,"0"),TEXT(銘柄管理!$B$6:$B$305,"0"),0)-1,0),"&lt;="&amp;$N157)),""))</f>
        <v/>
      </c>
      <c r="AH157" s="600" t="str">
        <f>IF(OR($B157="",$M157=""),"",IF(AND(N($AF157)=0,N($AG157)=0),IF(AND(ISNUMBER($H157),$H157&gt;0,IF($C157="売",$H157&gt;=$N157,$H157&lt;=$N157)),"損切確定",IF(AND(ISNUMBER($H157),$H157&gt;0,IF($C157="売",$H157&lt;=$M157,$H157&gt;=$M157)),"利益確定",IF($AE157&lt;=TODAY(),"日数制限","保有中"))),IF(N($AG157)=0,"利益確定",IF(N($AF157)=0,"損切確定",IF($AG157&lt;=$AF157,"損切確定","利益確定")))))</f>
        <v/>
      </c>
      <c r="AI157" s="600" t="str" cm="1">
        <f t="array" ref="AI157">IFERROR(INDEX(始値!$E$6:$IT$305,MATCH(TEXT($B157,"0"),TEXT(銘柄管理!$B$6:$B$305,"0"),0),MATCH($AE157,始値!$E$3:$IT$3,0)),"")</f>
        <v/>
      </c>
      <c r="AJ157" s="608" t="str">
        <f>IF(OR($V157="",$F157="",$G157=""),"",$V157/($F157*$G157))</f>
        <v/>
      </c>
      <c r="AK157" s="600" t="str">
        <f>IF($V157="","",IF($V157&gt;0,"○勝",IF($V157&lt;0,"●負","△引分")))</f>
        <v/>
      </c>
    </row>
    <row r="158" spans="1:37" ht="35.4" customHeight="1">
      <c r="A158" s="619" t="str">
        <f>IF(B158="","",HYPERLINK("https://kabutan.jp/stock/?code="&amp;B158,"株探"))</f>
        <v/>
      </c>
      <c r="B158" s="489"/>
      <c r="C158" s="489"/>
      <c r="D158" s="489" t="str" cm="1">
        <f t="array" ref="D158">_xll.RssMarket(B158, "銘柄名称")</f>
        <v/>
      </c>
      <c r="E158" s="716"/>
      <c r="F158" s="698" t="str" cm="1">
        <f t="array" aca="1" ref="F158" ca="1">IFERROR(_xlfn.LET(_xlpm.r,MATCH(TEXT($B158,"0"),TEXT(銘柄管理!$B$6:$B$305,"0"),0),_xlpm.t,MOD(NOW(),1),_xlpm.c,IF($E158=TODAY(),IF(_xlpm.t&gt;=TIME(15,30,0),NA(),1),IF(MATCH($E158,始値!$E$3:$IT$3,0)=1,1,MATCH($E158,始値!$E$3:$IT$3,0)+1)),_xlpm.v,INDEX(始値!$C$6:$IT$305,_xlpm.r,_xlpm.c),IF(N(_xlpm.v)=0,"",_xlpm.v)),"")</f>
        <v/>
      </c>
      <c r="G158" s="489"/>
      <c r="H158" s="491" t="str" cm="1">
        <f t="array" ref="H158">_xll.RssMarket(B158, "現在値")</f>
        <v/>
      </c>
      <c r="I158" s="491" t="str" cm="1">
        <f t="array" ref="I158">_xll.RssMarket(B158, "出来高加重平均")</f>
        <v/>
      </c>
      <c r="J158" s="701" t="str" cm="1">
        <f t="array" ref="J158">_xll.RssMarket($B158, "前日比")</f>
        <v/>
      </c>
      <c r="K158" s="701" t="str">
        <f>IF(OR(F158="",G158="",H158=""),"",IF(C158="売",(F158-H158)*G158,(H158-F158)*G158))</f>
        <v/>
      </c>
      <c r="L158" s="706" t="str">
        <f>IF(OR(F158="",H158=""),"",IF(C158="売",(F158-H158)/F158,(H158-F158)/F158))</f>
        <v/>
      </c>
      <c r="M158" s="491" t="str">
        <f>IF($F158="","",$F158*IF($C158="売",1-V811設定!$B$4,1+V811設定!$B$4)-MOD($F158*IF($C158="売",1-V811設定!$B$4,1+V811設定!$B$4),IF($F158&lt;=3000,1,IF($F158&lt;=5000,5,IF($F158&lt;=30000,10,IF($F158&lt;=50000,50,IF($F158&lt;=300000,100,500))))))+IF(AND($C158="売",MOD($F158*IF($C158="売",1-V811設定!$B$4,1+V811設定!$B$4),IF($F158&lt;=3000,1,IF($F158&lt;=5000,5,IF($F158&lt;=30000,10,IF($F158&lt;=50000,50,IF($F158&lt;=300000,100,500))))))&gt;0),IF($F158&lt;=3000,1,IF($F158&lt;=5000,5,IF($F158&lt;=30000,10,IF($F158&lt;=50000,50,IF($F158&lt;=300000,100,500))))),0))</f>
      </c>
      <c r="N158" s="491" t="str">
        <f>IF($F158="","",$F158*IF($C158="売",1+V811設定!$B$3,1-V811設定!$B$3)-MOD($F158*IF($C158="売",1+V811設定!$B$3,1-V811設定!$B$3),IF($F158&lt;=3000,1,IF($F158&lt;=5000,5,IF($F158&lt;=30000,10,IF($F158&lt;=50000,50,IF($F158&lt;=300000,100,500))))))+IF(AND($C158="売",MOD($F158*IF($C158="売",1+V811設定!$B$3,1-V811設定!$B$3),IF($F158&lt;=3000,1,IF($F158&lt;=5000,5,IF($F158&lt;=30000,10,IF($F158&lt;=50000,50,IF($F158&lt;=300000,100,500))))))&gt;0),IF($F158&lt;=3000,1,IF($F158&lt;=5000,5,IF($F158&lt;=30000,10,IF($F158&lt;=50000,50,IF($F158&lt;=300000,100,500))))),0))</f>
      </c>
      <c r="O158" s="492" t="str">
        <f>IF(OR($B158="",$F158="",$H158=""),"",IF($S158="✅売却済","―決済済―",IF($C158="売",IF($H158&lt;=$M158,"🟢利確",IF(AND($R158&lt;&gt;"",$H158&gt;=$R158),"🟠TRAIL",IF($H158&gt;=$N158,"🔴損切",IF($W158&gt;=V811設定!$B$6,"⏱時間決済",IF($H158&gt;=$F158*(1+V811設定!$B$3*0.7),"⚠️損切接近","保持継続"))))),IF($H158&gt;=$M158,"🟢利確",IF(AND($R158&lt;&gt;"",$H158&lt;=$R158),"🟠TRAIL",IF($H158&lt;=$N158,"🔴損切",IF($W158&gt;=V811設定!$B$6,"⏱時間決済",IF($H158&lt;=$F158*(1-V811設定!$B$3*0.7),"⚠️損切接近","保持継続"))))))))</f>
      </c>
      <c r="P158" s="491"/>
      <c r="Q158" s="491"/>
      <c r="R158" s="491" t="str">
        <f>IF(OR($F158="",$H158="",$N158=""),"",IF($S158="✅売却済","",IF($C158="売",IF($H158&gt;$F158*(1-V811設定!$B$3),$N158,MIN($N158,IF($Q158="",$N158,$Q158*1.03))),IF($H158&lt;$F158*(1+V811設定!$B$3),$N158,MAX($N158,IF($P158="",$N158,$P158*0.97))))))</f>
      </c>
      <c r="S158" s="586" t="str">
        <f>IF(B158="","",IF(T158&lt;&gt;"","✅売却済",IF(OR(H158="",L158=""),"📌保有中",IF(L158&gt;=0.06,"🟢利確推奨",IF(L158&gt;=0.05,"🟡利確直近",IF(L158&gt;=0.045,"🔵トレーリング検討",IF(L158&gt;-0.03,"📌保有中",IF(L158&gt;-0.04,"⚠️損切注意","🔴損切り"))))))))</f>
        <v/>
      </c>
      <c r="T158" s="594"/>
      <c r="U158" s="491"/>
      <c r="V158" s="701" t="str">
        <f>IF(OR(F158="",G158="",U158=""),"",IF(C158="売",(F158-U158)*G158,(U158-F158)*G158))</f>
        <v/>
      </c>
      <c r="W158" s="493" t="str">
        <f>IF(OR($E158="",$B158=""),"",IF($T158&lt;&gt;"",$T158-$E158,TODAY()-$E158)+1)</f>
        <v/>
      </c>
      <c r="X158" s="489" t="str">
        <f>IF(OR($AH158="",$AH158="保有中"),"",$AH158)</f>
        <v/>
      </c>
      <c r="Y158" s="488"/>
      <c r="Z158" s="710"/>
      <c r="AD158" s="608"/>
      <c r="AE158" s="600" t="str">
        <f>IF($E158="","",WORKDAY($E158,12))</f>
        <v/>
      </c>
      <c r="AF158" s="600" t="str" cm="1">
        <f t="array" aca="1" ref="AF158" ca="1">IF(OR($B158="",$M158=""),"",IFERROR(IF($C158="売",_xlfn.MINIFS(安値!$E$3:$IT$3,安値!$E$3:$IT$3,"&gt;"&amp;$E158,安値!$E$3:$IT$3,"&lt;="&amp;$AE158,OFFSET(安値!$E$6:$IT$6,MATCH(TEXT($B158,"0"),TEXT(銘柄管理!$B$6:$B$305,"0"),0)-1,0),"&lt;="&amp;$M158),_xlfn.MINIFS(高値!$E$3:$IT$3,高値!$E$3:$IT$3,"&gt;"&amp;$E158,高値!$E$3:$IT$3,"&lt;="&amp;$AE158,OFFSET(高値!$E$6:$IT$6,MATCH(TEXT($B158,"0"),TEXT(銘柄管理!$B$6:$B$305,"0"),0)-1,0),"&gt;="&amp;$M158)),""))</f>
        <v/>
      </c>
      <c r="AG158" s="600" t="str" cm="1">
        <f t="array" aca="1" ref="AG158" ca="1">IF(OR($B158="",$N158=""),"",IFERROR(IF($C158="売",_xlfn.MINIFS(高値!$E$3:$IT$3,高値!$E$3:$IT$3,"&gt;"&amp;$E158,高値!$E$3:$IT$3,"&lt;="&amp;$AE158,OFFSET(高値!$E$6:$IT$6,MATCH(TEXT($B158,"0"),TEXT(銘柄管理!$B$6:$B$305,"0"),0)-1,0),"&gt;="&amp;$N158),_xlfn.MINIFS(安値!$E$3:$IT$3,安値!$E$3:$IT$3,"&gt;"&amp;$E158,安値!$E$3:$IT$3,"&lt;="&amp;$AE158,OFFSET(安値!$E$6:$IT$6,MATCH(TEXT($B158,"0"),TEXT(銘柄管理!$B$6:$B$305,"0"),0)-1,0),"&lt;="&amp;$N158)),""))</f>
        <v/>
      </c>
      <c r="AH158" s="600" t="str">
        <f>IF(OR($B158="",$M158=""),"",IF(AND(N($AF158)=0,N($AG158)=0),IF(AND(ISNUMBER($H158),$H158&gt;0,IF($C158="売",$H158&gt;=$N158,$H158&lt;=$N158)),"損切確定",IF(AND(ISNUMBER($H158),$H158&gt;0,IF($C158="売",$H158&lt;=$M158,$H158&gt;=$M158)),"利益確定",IF($AE158&lt;=TODAY(),"日数制限","保有中"))),IF(N($AG158)=0,"利益確定",IF(N($AF158)=0,"損切確定",IF($AG158&lt;=$AF158,"損切確定","利益確定")))))</f>
        <v/>
      </c>
      <c r="AI158" s="600" t="str" cm="1">
        <f t="array" ref="AI158">IFERROR(INDEX(始値!$E$6:$IT$305,MATCH(TEXT($B158,"0"),TEXT(銘柄管理!$B$6:$B$305,"0"),0),MATCH($AE158,始値!$E$3:$IT$3,0)),"")</f>
        <v/>
      </c>
      <c r="AJ158" s="608" t="str">
        <f>IF(OR($V158="",$F158="",$G158=""),"",$V158/($F158*$G158))</f>
        <v/>
      </c>
      <c r="AK158" s="600" t="str">
        <f>IF($V158="","",IF($V158&gt;0,"○勝",IF($V158&lt;0,"●負","△引分")))</f>
        <v/>
      </c>
    </row>
    <row r="159" spans="1:37" ht="35.4" customHeight="1">
      <c r="A159" s="619" t="str">
        <f>IF(B159="","",HYPERLINK("https://kabutan.jp/stock/?code="&amp;B159,"株探"))</f>
        <v/>
      </c>
      <c r="B159" s="489"/>
      <c r="C159" s="489"/>
      <c r="D159" s="489" t="str" cm="1">
        <f t="array" ref="D159">_xll.RssMarket(B159, "銘柄名称")</f>
        <v/>
      </c>
      <c r="E159" s="716"/>
      <c r="F159" s="698" t="str" cm="1">
        <f t="array" aca="1" ref="F159" ca="1">IFERROR(_xlfn.LET(_xlpm.r,MATCH(TEXT($B159,"0"),TEXT(銘柄管理!$B$6:$B$305,"0"),0),_xlpm.t,MOD(NOW(),1),_xlpm.c,IF($E159=TODAY(),IF(_xlpm.t&gt;=TIME(15,30,0),NA(),1),IF(MATCH($E159,始値!$E$3:$IT$3,0)=1,1,MATCH($E159,始値!$E$3:$IT$3,0)+1)),_xlpm.v,INDEX(始値!$C$6:$IT$305,_xlpm.r,_xlpm.c),IF(N(_xlpm.v)=0,"",_xlpm.v)),"")</f>
        <v/>
      </c>
      <c r="G159" s="489"/>
      <c r="H159" s="491" t="str" cm="1">
        <f t="array" ref="H159">_xll.RssMarket(B159, "現在値")</f>
        <v/>
      </c>
      <c r="I159" s="491" t="str" cm="1">
        <f t="array" ref="I159">_xll.RssMarket(B159, "出来高加重平均")</f>
        <v/>
      </c>
      <c r="J159" s="701" t="str" cm="1">
        <f t="array" ref="J159">_xll.RssMarket($B159, "前日比")</f>
        <v/>
      </c>
      <c r="K159" s="701" t="str">
        <f>IF(OR(F159="",G159="",H159=""),"",IF(C159="売",(F159-H159)*G159,(H159-F159)*G159))</f>
        <v/>
      </c>
      <c r="L159" s="706" t="str">
        <f>IF(OR(F159="",H159=""),"",IF(C159="売",(F159-H159)/F159,(H159-F159)/F159))</f>
        <v/>
      </c>
      <c r="M159" s="491" t="str">
        <f>IF($F159="","",$F159*IF($C159="売",1-V811設定!$B$4,1+V811設定!$B$4)-MOD($F159*IF($C159="売",1-V811設定!$B$4,1+V811設定!$B$4),IF($F159&lt;=3000,1,IF($F159&lt;=5000,5,IF($F159&lt;=30000,10,IF($F159&lt;=50000,50,IF($F159&lt;=300000,100,500))))))+IF(AND($C159="売",MOD($F159*IF($C159="売",1-V811設定!$B$4,1+V811設定!$B$4),IF($F159&lt;=3000,1,IF($F159&lt;=5000,5,IF($F159&lt;=30000,10,IF($F159&lt;=50000,50,IF($F159&lt;=300000,100,500))))))&gt;0),IF($F159&lt;=3000,1,IF($F159&lt;=5000,5,IF($F159&lt;=30000,10,IF($F159&lt;=50000,50,IF($F159&lt;=300000,100,500))))),0))</f>
      </c>
      <c r="N159" s="491" t="str">
        <f>IF($F159="","",$F159*IF($C159="売",1+V811設定!$B$3,1-V811設定!$B$3)-MOD($F159*IF($C159="売",1+V811設定!$B$3,1-V811設定!$B$3),IF($F159&lt;=3000,1,IF($F159&lt;=5000,5,IF($F159&lt;=30000,10,IF($F159&lt;=50000,50,IF($F159&lt;=300000,100,500))))))+IF(AND($C159="売",MOD($F159*IF($C159="売",1+V811設定!$B$3,1-V811設定!$B$3),IF($F159&lt;=3000,1,IF($F159&lt;=5000,5,IF($F159&lt;=30000,10,IF($F159&lt;=50000,50,IF($F159&lt;=300000,100,500))))))&gt;0),IF($F159&lt;=3000,1,IF($F159&lt;=5000,5,IF($F159&lt;=30000,10,IF($F159&lt;=50000,50,IF($F159&lt;=300000,100,500))))),0))</f>
      </c>
      <c r="O159" s="492" t="str">
        <f>IF(OR($B159="",$F159="",$H159=""),"",IF($S159="✅売却済","―決済済―",IF($C159="売",IF($H159&lt;=$M159,"🟢利確",IF(AND($R159&lt;&gt;"",$H159&gt;=$R159),"🟠TRAIL",IF($H159&gt;=$N159,"🔴損切",IF($W159&gt;=V811設定!$B$6,"⏱時間決済",IF($H159&gt;=$F159*(1+V811設定!$B$3*0.7),"⚠️損切接近","保持継続"))))),IF($H159&gt;=$M159,"🟢利確",IF(AND($R159&lt;&gt;"",$H159&lt;=$R159),"🟠TRAIL",IF($H159&lt;=$N159,"🔴損切",IF($W159&gt;=V811設定!$B$6,"⏱時間決済",IF($H159&lt;=$F159*(1-V811設定!$B$3*0.7),"⚠️損切接近","保持継続"))))))))</f>
      </c>
      <c r="P159" s="491"/>
      <c r="Q159" s="491"/>
      <c r="R159" s="491" t="str">
        <f>IF(OR($F159="",$H159="",$N159=""),"",IF($S159="✅売却済","",IF($C159="売",IF($H159&gt;$F159*(1-V811設定!$B$3),$N159,MIN($N159,IF($Q159="",$N159,$Q159*1.03))),IF($H159&lt;$F159*(1+V811設定!$B$3),$N159,MAX($N159,IF($P159="",$N159,$P159*0.97))))))</f>
      </c>
      <c r="S159" s="586" t="str">
        <f>IF(B159="","",IF(T159&lt;&gt;"","✅売却済",IF(OR(H159="",L159=""),"📌保有中",IF(L159&gt;=0.06,"🟢利確推奨",IF(L159&gt;=0.05,"🟡利確直近",IF(L159&gt;=0.045,"🔵トレーリング検討",IF(L159&gt;-0.03,"📌保有中",IF(L159&gt;-0.04,"⚠️損切注意","🔴損切り"))))))))</f>
        <v/>
      </c>
      <c r="T159" s="594"/>
      <c r="U159" s="491"/>
      <c r="V159" s="701" t="str">
        <f>IF(OR(F159="",G159="",U159=""),"",IF(C159="売",(F159-U159)*G159,(U159-F159)*G159))</f>
        <v/>
      </c>
      <c r="W159" s="493" t="str">
        <f>IF(OR($E159="",$B159=""),"",IF($T159&lt;&gt;"",$T159-$E159,TODAY()-$E159)+1)</f>
        <v/>
      </c>
      <c r="X159" s="489" t="str">
        <f>IF(OR($AH159="",$AH159="保有中"),"",$AH159)</f>
        <v/>
      </c>
      <c r="Y159" s="488"/>
      <c r="Z159" s="710"/>
      <c r="AD159" s="608"/>
      <c r="AE159" s="600" t="str">
        <f>IF($E159="","",WORKDAY($E159,12))</f>
        <v/>
      </c>
      <c r="AF159" s="600" t="str" cm="1">
        <f t="array" aca="1" ref="AF159" ca="1">IF(OR($B159="",$M159=""),"",IFERROR(IF($C159="売",_xlfn.MINIFS(安値!$E$3:$IT$3,安値!$E$3:$IT$3,"&gt;"&amp;$E159,安値!$E$3:$IT$3,"&lt;="&amp;$AE159,OFFSET(安値!$E$6:$IT$6,MATCH(TEXT($B159,"0"),TEXT(銘柄管理!$B$6:$B$305,"0"),0)-1,0),"&lt;="&amp;$M159),_xlfn.MINIFS(高値!$E$3:$IT$3,高値!$E$3:$IT$3,"&gt;"&amp;$E159,高値!$E$3:$IT$3,"&lt;="&amp;$AE159,OFFSET(高値!$E$6:$IT$6,MATCH(TEXT($B159,"0"),TEXT(銘柄管理!$B$6:$B$305,"0"),0)-1,0),"&gt;="&amp;$M159)),""))</f>
        <v/>
      </c>
      <c r="AG159" s="600" t="str" cm="1">
        <f t="array" aca="1" ref="AG159" ca="1">IF(OR($B159="",$N159=""),"",IFERROR(IF($C159="売",_xlfn.MINIFS(高値!$E$3:$IT$3,高値!$E$3:$IT$3,"&gt;"&amp;$E159,高値!$E$3:$IT$3,"&lt;="&amp;$AE159,OFFSET(高値!$E$6:$IT$6,MATCH(TEXT($B159,"0"),TEXT(銘柄管理!$B$6:$B$305,"0"),0)-1,0),"&gt;="&amp;$N159),_xlfn.MINIFS(安値!$E$3:$IT$3,安値!$E$3:$IT$3,"&gt;"&amp;$E159,安値!$E$3:$IT$3,"&lt;="&amp;$AE159,OFFSET(安値!$E$6:$IT$6,MATCH(TEXT($B159,"0"),TEXT(銘柄管理!$B$6:$B$305,"0"),0)-1,0),"&lt;="&amp;$N159)),""))</f>
        <v/>
      </c>
      <c r="AH159" s="600" t="str">
        <f>IF(OR($B159="",$M159=""),"",IF(AND(N($AF159)=0,N($AG159)=0),IF(AND(ISNUMBER($H159),$H159&gt;0,IF($C159="売",$H159&gt;=$N159,$H159&lt;=$N159)),"損切確定",IF(AND(ISNUMBER($H159),$H159&gt;0,IF($C159="売",$H159&lt;=$M159,$H159&gt;=$M159)),"利益確定",IF($AE159&lt;=TODAY(),"日数制限","保有中"))),IF(N($AG159)=0,"利益確定",IF(N($AF159)=0,"損切確定",IF($AG159&lt;=$AF159,"損切確定","利益確定")))))</f>
        <v/>
      </c>
      <c r="AI159" s="600" t="str" cm="1">
        <f t="array" ref="AI159">IFERROR(INDEX(始値!$E$6:$IT$305,MATCH(TEXT($B159,"0"),TEXT(銘柄管理!$B$6:$B$305,"0"),0),MATCH($AE159,始値!$E$3:$IT$3,0)),"")</f>
        <v/>
      </c>
      <c r="AJ159" s="608" t="str">
        <f>IF(OR($V159="",$F159="",$G159=""),"",$V159/($F159*$G159))</f>
        <v/>
      </c>
      <c r="AK159" s="600" t="str">
        <f>IF($V159="","",IF($V159&gt;0,"○勝",IF($V159&lt;0,"●負","△引分")))</f>
        <v/>
      </c>
    </row>
    <row r="160" spans="1:37" ht="35.4" customHeight="1">
      <c r="A160" s="619" t="str">
        <f>IF(B160="","",HYPERLINK("https://kabutan.jp/stock/?code="&amp;B160,"株探"))</f>
        <v/>
      </c>
      <c r="B160" s="489"/>
      <c r="C160" s="489"/>
      <c r="D160" s="489" t="str" cm="1">
        <f t="array" ref="D160">_xll.RssMarket(B160, "銘柄名称")</f>
        <v/>
      </c>
      <c r="E160" s="716"/>
      <c r="F160" s="698" t="str" cm="1">
        <f t="array" aca="1" ref="F160" ca="1">IFERROR(_xlfn.LET(_xlpm.r,MATCH(TEXT($B160,"0"),TEXT(銘柄管理!$B$6:$B$305,"0"),0),_xlpm.t,MOD(NOW(),1),_xlpm.c,IF($E160=TODAY(),IF(_xlpm.t&gt;=TIME(15,30,0),NA(),1),IF(MATCH($E160,始値!$E$3:$IT$3,0)=1,1,MATCH($E160,始値!$E$3:$IT$3,0)+1)),_xlpm.v,INDEX(始値!$C$6:$IT$305,_xlpm.r,_xlpm.c),IF(N(_xlpm.v)=0,"",_xlpm.v)),"")</f>
        <v/>
      </c>
      <c r="G160" s="489"/>
      <c r="H160" s="491" t="str" cm="1">
        <f t="array" ref="H160">_xll.RssMarket(B160, "現在値")</f>
        <v/>
      </c>
      <c r="I160" s="491" t="str" cm="1">
        <f t="array" ref="I160">_xll.RssMarket(B160, "出来高加重平均")</f>
        <v/>
      </c>
      <c r="J160" s="701" t="str" cm="1">
        <f t="array" ref="J160">_xll.RssMarket($B160, "前日比")</f>
        <v/>
      </c>
      <c r="K160" s="701" t="str">
        <f>IF(OR(F160="",G160="",H160=""),"",IF(C160="売",(F160-H160)*G160,(H160-F160)*G160))</f>
        <v/>
      </c>
      <c r="L160" s="706" t="str">
        <f>IF(OR(F160="",H160=""),"",IF(C160="売",(F160-H160)/F160,(H160-F160)/F160))</f>
        <v/>
      </c>
      <c r="M160" s="491" t="str">
        <f>IF($F160="","",$F160*IF($C160="売",1-V811設定!$B$4,1+V811設定!$B$4)-MOD($F160*IF($C160="売",1-V811設定!$B$4,1+V811設定!$B$4),IF($F160&lt;=3000,1,IF($F160&lt;=5000,5,IF($F160&lt;=30000,10,IF($F160&lt;=50000,50,IF($F160&lt;=300000,100,500))))))+IF(AND($C160="売",MOD($F160*IF($C160="売",1-V811設定!$B$4,1+V811設定!$B$4),IF($F160&lt;=3000,1,IF($F160&lt;=5000,5,IF($F160&lt;=30000,10,IF($F160&lt;=50000,50,IF($F160&lt;=300000,100,500))))))&gt;0),IF($F160&lt;=3000,1,IF($F160&lt;=5000,5,IF($F160&lt;=30000,10,IF($F160&lt;=50000,50,IF($F160&lt;=300000,100,500))))),0))</f>
      </c>
      <c r="N160" s="491" t="str">
        <f>IF($F160="","",$F160*IF($C160="売",1+V811設定!$B$3,1-V811設定!$B$3)-MOD($F160*IF($C160="売",1+V811設定!$B$3,1-V811設定!$B$3),IF($F160&lt;=3000,1,IF($F160&lt;=5000,5,IF($F160&lt;=30000,10,IF($F160&lt;=50000,50,IF($F160&lt;=300000,100,500))))))+IF(AND($C160="売",MOD($F160*IF($C160="売",1+V811設定!$B$3,1-V811設定!$B$3),IF($F160&lt;=3000,1,IF($F160&lt;=5000,5,IF($F160&lt;=30000,10,IF($F160&lt;=50000,50,IF($F160&lt;=300000,100,500))))))&gt;0),IF($F160&lt;=3000,1,IF($F160&lt;=5000,5,IF($F160&lt;=30000,10,IF($F160&lt;=50000,50,IF($F160&lt;=300000,100,500))))),0))</f>
      </c>
      <c r="O160" s="492" t="str">
        <f>IF(OR($B160="",$F160="",$H160=""),"",IF($S160="✅売却済","―決済済―",IF($C160="売",IF($H160&lt;=$M160,"🟢利確",IF(AND($R160&lt;&gt;"",$H160&gt;=$R160),"🟠TRAIL",IF($H160&gt;=$N160,"🔴損切",IF($W160&gt;=V811設定!$B$6,"⏱時間決済",IF($H160&gt;=$F160*(1+V811設定!$B$3*0.7),"⚠️損切接近","保持継続"))))),IF($H160&gt;=$M160,"🟢利確",IF(AND($R160&lt;&gt;"",$H160&lt;=$R160),"🟠TRAIL",IF($H160&lt;=$N160,"🔴損切",IF($W160&gt;=V811設定!$B$6,"⏱時間決済",IF($H160&lt;=$F160*(1-V811設定!$B$3*0.7),"⚠️損切接近","保持継続"))))))))</f>
      </c>
      <c r="P160" s="491"/>
      <c r="Q160" s="491"/>
      <c r="R160" s="491" t="str">
        <f>IF(OR($F160="",$H160="",$N160=""),"",IF($S160="✅売却済","",IF($C160="売",IF($H160&gt;$F160*(1-V811設定!$B$3),$N160,MIN($N160,IF($Q160="",$N160,$Q160*1.03))),IF($H160&lt;$F160*(1+V811設定!$B$3),$N160,MAX($N160,IF($P160="",$N160,$P160*0.97))))))</f>
      </c>
      <c r="S160" s="586" t="str">
        <f>IF(B160="","",IF(T160&lt;&gt;"","✅売却済",IF(OR(H160="",L160=""),"📌保有中",IF(L160&gt;=0.06,"🟢利確推奨",IF(L160&gt;=0.05,"🟡利確直近",IF(L160&gt;=0.045,"🔵トレーリング検討",IF(L160&gt;-0.03,"📌保有中",IF(L160&gt;-0.04,"⚠️損切注意","🔴損切り"))))))))</f>
        <v/>
      </c>
      <c r="T160" s="594"/>
      <c r="U160" s="491"/>
      <c r="V160" s="701" t="str">
        <f>IF(OR(F160="",G160="",U160=""),"",IF(C160="売",(F160-U160)*G160,(U160-F160)*G160))</f>
        <v/>
      </c>
      <c r="W160" s="493" t="str">
        <f>IF(OR($E160="",$B160=""),"",IF($T160&lt;&gt;"",$T160-$E160,TODAY()-$E160)+1)</f>
        <v/>
      </c>
      <c r="X160" s="489" t="str">
        <f>IF(OR($AH160="",$AH160="保有中"),"",$AH160)</f>
        <v/>
      </c>
      <c r="Y160" s="488"/>
      <c r="Z160" s="710"/>
      <c r="AD160" s="608"/>
      <c r="AE160" s="600" t="str">
        <f>IF($E160="","",WORKDAY($E160,12))</f>
        <v/>
      </c>
      <c r="AF160" s="600" t="str" cm="1">
        <f t="array" aca="1" ref="AF160" ca="1">IF(OR($B160="",$M160=""),"",IFERROR(IF($C160="売",_xlfn.MINIFS(安値!$E$3:$IT$3,安値!$E$3:$IT$3,"&gt;"&amp;$E160,安値!$E$3:$IT$3,"&lt;="&amp;$AE160,OFFSET(安値!$E$6:$IT$6,MATCH(TEXT($B160,"0"),TEXT(銘柄管理!$B$6:$B$305,"0"),0)-1,0),"&lt;="&amp;$M160),_xlfn.MINIFS(高値!$E$3:$IT$3,高値!$E$3:$IT$3,"&gt;"&amp;$E160,高値!$E$3:$IT$3,"&lt;="&amp;$AE160,OFFSET(高値!$E$6:$IT$6,MATCH(TEXT($B160,"0"),TEXT(銘柄管理!$B$6:$B$305,"0"),0)-1,0),"&gt;="&amp;$M160)),""))</f>
        <v/>
      </c>
      <c r="AG160" s="600" t="str" cm="1">
        <f t="array" aca="1" ref="AG160" ca="1">IF(OR($B160="",$N160=""),"",IFERROR(IF($C160="売",_xlfn.MINIFS(高値!$E$3:$IT$3,高値!$E$3:$IT$3,"&gt;"&amp;$E160,高値!$E$3:$IT$3,"&lt;="&amp;$AE160,OFFSET(高値!$E$6:$IT$6,MATCH(TEXT($B160,"0"),TEXT(銘柄管理!$B$6:$B$305,"0"),0)-1,0),"&gt;="&amp;$N160),_xlfn.MINIFS(安値!$E$3:$IT$3,安値!$E$3:$IT$3,"&gt;"&amp;$E160,安値!$E$3:$IT$3,"&lt;="&amp;$AE160,OFFSET(安値!$E$6:$IT$6,MATCH(TEXT($B160,"0"),TEXT(銘柄管理!$B$6:$B$305,"0"),0)-1,0),"&lt;="&amp;$N160)),""))</f>
        <v/>
      </c>
      <c r="AH160" s="600" t="str">
        <f>IF(OR($B160="",$M160=""),"",IF(AND(N($AF160)=0,N($AG160)=0),IF(AND(ISNUMBER($H160),$H160&gt;0,IF($C160="売",$H160&gt;=$N160,$H160&lt;=$N160)),"損切確定",IF(AND(ISNUMBER($H160),$H160&gt;0,IF($C160="売",$H160&lt;=$M160,$H160&gt;=$M160)),"利益確定",IF($AE160&lt;=TODAY(),"日数制限","保有中"))),IF(N($AG160)=0,"利益確定",IF(N($AF160)=0,"損切確定",IF($AG160&lt;=$AF160,"損切確定","利益確定")))))</f>
        <v/>
      </c>
      <c r="AI160" s="600" t="str" cm="1">
        <f t="array" ref="AI160">IFERROR(INDEX(始値!$E$6:$IT$305,MATCH(TEXT($B160,"0"),TEXT(銘柄管理!$B$6:$B$305,"0"),0),MATCH($AE160,始値!$E$3:$IT$3,0)),"")</f>
        <v/>
      </c>
      <c r="AJ160" s="608" t="str">
        <f>IF(OR($V160="",$F160="",$G160=""),"",$V160/($F160*$G160))</f>
        <v/>
      </c>
      <c r="AK160" s="600" t="str">
        <f>IF($V160="","",IF($V160&gt;0,"○勝",IF($V160&lt;0,"●負","△引分")))</f>
        <v/>
      </c>
    </row>
    <row r="161" spans="1:37" ht="35.4" customHeight="1">
      <c r="A161" s="619" t="str">
        <f>IF(B161="","",HYPERLINK("https://kabutan.jp/stock/?code="&amp;B161,"株探"))</f>
        <v/>
      </c>
      <c r="B161" s="489"/>
      <c r="C161" s="489"/>
      <c r="D161" s="489" t="str" cm="1">
        <f t="array" ref="D161">_xll.RssMarket(B161, "銘柄名称")</f>
        <v/>
      </c>
      <c r="E161" s="716"/>
      <c r="F161" s="698" t="str" cm="1">
        <f t="array" aca="1" ref="F161" ca="1">IFERROR(_xlfn.LET(_xlpm.r,MATCH(TEXT($B161,"0"),TEXT(銘柄管理!$B$6:$B$305,"0"),0),_xlpm.t,MOD(NOW(),1),_xlpm.c,IF($E161=TODAY(),IF(_xlpm.t&gt;=TIME(15,30,0),NA(),1),IF(MATCH($E161,始値!$E$3:$IT$3,0)=1,1,MATCH($E161,始値!$E$3:$IT$3,0)+1)),_xlpm.v,INDEX(始値!$C$6:$IT$305,_xlpm.r,_xlpm.c),IF(N(_xlpm.v)=0,"",_xlpm.v)),"")</f>
        <v/>
      </c>
      <c r="G161" s="489"/>
      <c r="H161" s="491" t="str" cm="1">
        <f t="array" ref="H161">_xll.RssMarket(B161, "現在値")</f>
        <v/>
      </c>
      <c r="I161" s="491" t="str" cm="1">
        <f t="array" ref="I161">_xll.RssMarket(B161, "出来高加重平均")</f>
        <v/>
      </c>
      <c r="J161" s="701" t="str" cm="1">
        <f t="array" ref="J161">_xll.RssMarket($B161, "前日比")</f>
        <v/>
      </c>
      <c r="K161" s="701" t="str">
        <f>IF(OR(F161="",G161="",H161=""),"",IF(C161="売",(F161-H161)*G161,(H161-F161)*G161))</f>
        <v/>
      </c>
      <c r="L161" s="706" t="str">
        <f>IF(OR(F161="",H161=""),"",IF(C161="売",(F161-H161)/F161,(H161-F161)/F161))</f>
        <v/>
      </c>
      <c r="M161" s="491" t="str">
        <f>IF($F161="","",$F161*IF($C161="売",1-V811設定!$B$4,1+V811設定!$B$4)-MOD($F161*IF($C161="売",1-V811設定!$B$4,1+V811設定!$B$4),IF($F161&lt;=3000,1,IF($F161&lt;=5000,5,IF($F161&lt;=30000,10,IF($F161&lt;=50000,50,IF($F161&lt;=300000,100,500))))))+IF(AND($C161="売",MOD($F161*IF($C161="売",1-V811設定!$B$4,1+V811設定!$B$4),IF($F161&lt;=3000,1,IF($F161&lt;=5000,5,IF($F161&lt;=30000,10,IF($F161&lt;=50000,50,IF($F161&lt;=300000,100,500))))))&gt;0),IF($F161&lt;=3000,1,IF($F161&lt;=5000,5,IF($F161&lt;=30000,10,IF($F161&lt;=50000,50,IF($F161&lt;=300000,100,500))))),0))</f>
      </c>
      <c r="N161" s="491" t="str">
        <f>IF($F161="","",$F161*IF($C161="売",1+V811設定!$B$3,1-V811設定!$B$3)-MOD($F161*IF($C161="売",1+V811設定!$B$3,1-V811設定!$B$3),IF($F161&lt;=3000,1,IF($F161&lt;=5000,5,IF($F161&lt;=30000,10,IF($F161&lt;=50000,50,IF($F161&lt;=300000,100,500))))))+IF(AND($C161="売",MOD($F161*IF($C161="売",1+V811設定!$B$3,1-V811設定!$B$3),IF($F161&lt;=3000,1,IF($F161&lt;=5000,5,IF($F161&lt;=30000,10,IF($F161&lt;=50000,50,IF($F161&lt;=300000,100,500))))))&gt;0),IF($F161&lt;=3000,1,IF($F161&lt;=5000,5,IF($F161&lt;=30000,10,IF($F161&lt;=50000,50,IF($F161&lt;=300000,100,500))))),0))</f>
      </c>
      <c r="O161" s="492" t="str">
        <f>IF(OR($B161="",$F161="",$H161=""),"",IF($S161="✅売却済","―決済済―",IF($C161="売",IF($H161&lt;=$M161,"🟢利確",IF(AND($R161&lt;&gt;"",$H161&gt;=$R161),"🟠TRAIL",IF($H161&gt;=$N161,"🔴損切",IF($W161&gt;=V811設定!$B$6,"⏱時間決済",IF($H161&gt;=$F161*(1+V811設定!$B$3*0.7),"⚠️損切接近","保持継続"))))),IF($H161&gt;=$M161,"🟢利確",IF(AND($R161&lt;&gt;"",$H161&lt;=$R161),"🟠TRAIL",IF($H161&lt;=$N161,"🔴損切",IF($W161&gt;=V811設定!$B$6,"⏱時間決済",IF($H161&lt;=$F161*(1-V811設定!$B$3*0.7),"⚠️損切接近","保持継続"))))))))</f>
      </c>
      <c r="P161" s="491"/>
      <c r="Q161" s="491"/>
      <c r="R161" s="491" t="str">
        <f>IF(OR($F161="",$H161="",$N161=""),"",IF($S161="✅売却済","",IF($C161="売",IF($H161&gt;$F161*(1-V811設定!$B$3),$N161,MIN($N161,IF($Q161="",$N161,$Q161*1.03))),IF($H161&lt;$F161*(1+V811設定!$B$3),$N161,MAX($N161,IF($P161="",$N161,$P161*0.97))))))</f>
      </c>
      <c r="S161" s="586" t="str">
        <f>IF(B161="","",IF(T161&lt;&gt;"","✅売却済",IF(OR(H161="",L161=""),"📌保有中",IF(L161&gt;=0.06,"🟢利確推奨",IF(L161&gt;=0.05,"🟡利確直近",IF(L161&gt;=0.045,"🔵トレーリング検討",IF(L161&gt;-0.03,"📌保有中",IF(L161&gt;-0.04,"⚠️損切注意","🔴損切り"))))))))</f>
        <v/>
      </c>
      <c r="T161" s="594"/>
      <c r="U161" s="491"/>
      <c r="V161" s="701" t="str">
        <f>IF(OR(F161="",G161="",U161=""),"",IF(C161="売",(F161-U161)*G161,(U161-F161)*G161))</f>
        <v/>
      </c>
      <c r="W161" s="493" t="str">
        <f>IF(OR($E161="",$B161=""),"",IF($T161&lt;&gt;"",$T161-$E161,TODAY()-$E161)+1)</f>
        <v/>
      </c>
      <c r="X161" s="489" t="str">
        <f>IF(OR($AH161="",$AH161="保有中"),"",$AH161)</f>
        <v/>
      </c>
      <c r="Y161" s="488"/>
      <c r="Z161" s="710"/>
      <c r="AD161" s="608"/>
      <c r="AE161" s="600" t="str">
        <f>IF($E161="","",WORKDAY($E161,12))</f>
        <v/>
      </c>
      <c r="AF161" s="600" t="str" cm="1">
        <f t="array" aca="1" ref="AF161" ca="1">IF(OR($B161="",$M161=""),"",IFERROR(IF($C161="売",_xlfn.MINIFS(安値!$E$3:$IT$3,安値!$E$3:$IT$3,"&gt;"&amp;$E161,安値!$E$3:$IT$3,"&lt;="&amp;$AE161,OFFSET(安値!$E$6:$IT$6,MATCH(TEXT($B161,"0"),TEXT(銘柄管理!$B$6:$B$305,"0"),0)-1,0),"&lt;="&amp;$M161),_xlfn.MINIFS(高値!$E$3:$IT$3,高値!$E$3:$IT$3,"&gt;"&amp;$E161,高値!$E$3:$IT$3,"&lt;="&amp;$AE161,OFFSET(高値!$E$6:$IT$6,MATCH(TEXT($B161,"0"),TEXT(銘柄管理!$B$6:$B$305,"0"),0)-1,0),"&gt;="&amp;$M161)),""))</f>
        <v/>
      </c>
      <c r="AG161" s="600" t="str" cm="1">
        <f t="array" aca="1" ref="AG161" ca="1">IF(OR($B161="",$N161=""),"",IFERROR(IF($C161="売",_xlfn.MINIFS(高値!$E$3:$IT$3,高値!$E$3:$IT$3,"&gt;"&amp;$E161,高値!$E$3:$IT$3,"&lt;="&amp;$AE161,OFFSET(高値!$E$6:$IT$6,MATCH(TEXT($B161,"0"),TEXT(銘柄管理!$B$6:$B$305,"0"),0)-1,0),"&gt;="&amp;$N161),_xlfn.MINIFS(安値!$E$3:$IT$3,安値!$E$3:$IT$3,"&gt;"&amp;$E161,安値!$E$3:$IT$3,"&lt;="&amp;$AE161,OFFSET(安値!$E$6:$IT$6,MATCH(TEXT($B161,"0"),TEXT(銘柄管理!$B$6:$B$305,"0"),0)-1,0),"&lt;="&amp;$N161)),""))</f>
        <v/>
      </c>
      <c r="AH161" s="600" t="str">
        <f>IF(OR($B161="",$M161=""),"",IF(AND(N($AF161)=0,N($AG161)=0),IF(AND(ISNUMBER($H161),$H161&gt;0,IF($C161="売",$H161&gt;=$N161,$H161&lt;=$N161)),"損切確定",IF(AND(ISNUMBER($H161),$H161&gt;0,IF($C161="売",$H161&lt;=$M161,$H161&gt;=$M161)),"利益確定",IF($AE161&lt;=TODAY(),"日数制限","保有中"))),IF(N($AG161)=0,"利益確定",IF(N($AF161)=0,"損切確定",IF($AG161&lt;=$AF161,"損切確定","利益確定")))))</f>
        <v/>
      </c>
      <c r="AI161" s="600" t="str" cm="1">
        <f t="array" ref="AI161">IFERROR(INDEX(始値!$E$6:$IT$305,MATCH(TEXT($B161,"0"),TEXT(銘柄管理!$B$6:$B$305,"0"),0),MATCH($AE161,始値!$E$3:$IT$3,0)),"")</f>
        <v/>
      </c>
      <c r="AJ161" s="608" t="str">
        <f>IF(OR($V161="",$F161="",$G161=""),"",$V161/($F161*$G161))</f>
        <v/>
      </c>
      <c r="AK161" s="600" t="str">
        <f>IF($V161="","",IF($V161&gt;0,"○勝",IF($V161&lt;0,"●負","△引分")))</f>
        <v/>
      </c>
    </row>
    <row r="162" spans="1:37" ht="35.4" customHeight="1">
      <c r="A162" s="619" t="str">
        <f>IF(B162="","",HYPERLINK("https://kabutan.jp/stock/?code="&amp;B162,"株探"))</f>
        <v/>
      </c>
      <c r="B162" s="489"/>
      <c r="C162" s="489"/>
      <c r="D162" s="489" t="str" cm="1">
        <f t="array" ref="D162">_xll.RssMarket(B162, "銘柄名称")</f>
        <v/>
      </c>
      <c r="E162" s="716"/>
      <c r="F162" s="698" t="str" cm="1">
        <f t="array" aca="1" ref="F162" ca="1">IFERROR(_xlfn.LET(_xlpm.r,MATCH(TEXT($B162,"0"),TEXT(銘柄管理!$B$6:$B$305,"0"),0),_xlpm.t,MOD(NOW(),1),_xlpm.c,IF($E162=TODAY(),IF(_xlpm.t&gt;=TIME(15,30,0),NA(),1),IF(MATCH($E162,始値!$E$3:$IT$3,0)=1,1,MATCH($E162,始値!$E$3:$IT$3,0)+1)),_xlpm.v,INDEX(始値!$C$6:$IT$305,_xlpm.r,_xlpm.c),IF(N(_xlpm.v)=0,"",_xlpm.v)),"")</f>
        <v/>
      </c>
      <c r="G162" s="489"/>
      <c r="H162" s="491" t="str" cm="1">
        <f t="array" ref="H162">_xll.RssMarket(B162, "現在値")</f>
        <v/>
      </c>
      <c r="I162" s="491" t="str" cm="1">
        <f t="array" ref="I162">_xll.RssMarket(B162, "出来高加重平均")</f>
        <v/>
      </c>
      <c r="J162" s="701" t="str" cm="1">
        <f t="array" ref="J162">_xll.RssMarket($B162, "前日比")</f>
        <v/>
      </c>
      <c r="K162" s="701" t="str">
        <f>IF(OR(F162="",G162="",H162=""),"",IF(C162="売",(F162-H162)*G162,(H162-F162)*G162))</f>
        <v/>
      </c>
      <c r="L162" s="706" t="str">
        <f>IF(OR(F162="",H162=""),"",IF(C162="売",(F162-H162)/F162,(H162-F162)/F162))</f>
        <v/>
      </c>
      <c r="M162" s="491" t="str">
        <f>IF($F162="","",$F162*IF($C162="売",1-V811設定!$B$4,1+V811設定!$B$4)-MOD($F162*IF($C162="売",1-V811設定!$B$4,1+V811設定!$B$4),IF($F162&lt;=3000,1,IF($F162&lt;=5000,5,IF($F162&lt;=30000,10,IF($F162&lt;=50000,50,IF($F162&lt;=300000,100,500))))))+IF(AND($C162="売",MOD($F162*IF($C162="売",1-V811設定!$B$4,1+V811設定!$B$4),IF($F162&lt;=3000,1,IF($F162&lt;=5000,5,IF($F162&lt;=30000,10,IF($F162&lt;=50000,50,IF($F162&lt;=300000,100,500))))))&gt;0),IF($F162&lt;=3000,1,IF($F162&lt;=5000,5,IF($F162&lt;=30000,10,IF($F162&lt;=50000,50,IF($F162&lt;=300000,100,500))))),0))</f>
      </c>
      <c r="N162" s="491" t="str">
        <f>IF($F162="","",$F162*IF($C162="売",1+V811設定!$B$3,1-V811設定!$B$3)-MOD($F162*IF($C162="売",1+V811設定!$B$3,1-V811設定!$B$3),IF($F162&lt;=3000,1,IF($F162&lt;=5000,5,IF($F162&lt;=30000,10,IF($F162&lt;=50000,50,IF($F162&lt;=300000,100,500))))))+IF(AND($C162="売",MOD($F162*IF($C162="売",1+V811設定!$B$3,1-V811設定!$B$3),IF($F162&lt;=3000,1,IF($F162&lt;=5000,5,IF($F162&lt;=30000,10,IF($F162&lt;=50000,50,IF($F162&lt;=300000,100,500))))))&gt;0),IF($F162&lt;=3000,1,IF($F162&lt;=5000,5,IF($F162&lt;=30000,10,IF($F162&lt;=50000,50,IF($F162&lt;=300000,100,500))))),0))</f>
      </c>
      <c r="O162" s="492" t="str">
        <f>IF(OR($B162="",$F162="",$H162=""),"",IF($S162="✅売却済","―決済済―",IF($C162="売",IF($H162&lt;=$M162,"🟢利確",IF(AND($R162&lt;&gt;"",$H162&gt;=$R162),"🟠TRAIL",IF($H162&gt;=$N162,"🔴損切",IF($W162&gt;=V811設定!$B$6,"⏱時間決済",IF($H162&gt;=$F162*(1+V811設定!$B$3*0.7),"⚠️損切接近","保持継続"))))),IF($H162&gt;=$M162,"🟢利確",IF(AND($R162&lt;&gt;"",$H162&lt;=$R162),"🟠TRAIL",IF($H162&lt;=$N162,"🔴損切",IF($W162&gt;=V811設定!$B$6,"⏱時間決済",IF($H162&lt;=$F162*(1-V811設定!$B$3*0.7),"⚠️損切接近","保持継続"))))))))</f>
      </c>
      <c r="P162" s="491"/>
      <c r="Q162" s="491"/>
      <c r="R162" s="491" t="str">
        <f>IF(OR($F162="",$H162="",$N162=""),"",IF($S162="✅売却済","",IF($C162="売",IF($H162&gt;$F162*(1-V811設定!$B$3),$N162,MIN($N162,IF($Q162="",$N162,$Q162*1.03))),IF($H162&lt;$F162*(1+V811設定!$B$3),$N162,MAX($N162,IF($P162="",$N162,$P162*0.97))))))</f>
      </c>
      <c r="S162" s="586" t="str">
        <f>IF(B162="","",IF(T162&lt;&gt;"","✅売却済",IF(OR(H162="",L162=""),"📌保有中",IF(L162&gt;=0.06,"🟢利確推奨",IF(L162&gt;=0.05,"🟡利確直近",IF(L162&gt;=0.045,"🔵トレーリング検討",IF(L162&gt;-0.03,"📌保有中",IF(L162&gt;-0.04,"⚠️損切注意","🔴損切り"))))))))</f>
        <v/>
      </c>
      <c r="T162" s="594"/>
      <c r="U162" s="491"/>
      <c r="V162" s="701" t="str">
        <f>IF(OR(F162="",G162="",U162=""),"",IF(C162="売",(F162-U162)*G162,(U162-F162)*G162))</f>
        <v/>
      </c>
      <c r="W162" s="493" t="str">
        <f>IF(OR($E162="",$B162=""),"",IF($T162&lt;&gt;"",$T162-$E162,TODAY()-$E162)+1)</f>
        <v/>
      </c>
      <c r="X162" s="489" t="str">
        <f>IF(OR($AH162="",$AH162="保有中"),"",$AH162)</f>
        <v/>
      </c>
      <c r="Y162" s="488"/>
      <c r="Z162" s="710"/>
      <c r="AD162" s="608"/>
      <c r="AE162" s="600" t="str">
        <f>IF($E162="","",WORKDAY($E162,12))</f>
        <v/>
      </c>
      <c r="AF162" s="600" t="str" cm="1">
        <f t="array" aca="1" ref="AF162" ca="1">IF(OR($B162="",$M162=""),"",IFERROR(IF($C162="売",_xlfn.MINIFS(安値!$E$3:$IT$3,安値!$E$3:$IT$3,"&gt;"&amp;$E162,安値!$E$3:$IT$3,"&lt;="&amp;$AE162,OFFSET(安値!$E$6:$IT$6,MATCH(TEXT($B162,"0"),TEXT(銘柄管理!$B$6:$B$305,"0"),0)-1,0),"&lt;="&amp;$M162),_xlfn.MINIFS(高値!$E$3:$IT$3,高値!$E$3:$IT$3,"&gt;"&amp;$E162,高値!$E$3:$IT$3,"&lt;="&amp;$AE162,OFFSET(高値!$E$6:$IT$6,MATCH(TEXT($B162,"0"),TEXT(銘柄管理!$B$6:$B$305,"0"),0)-1,0),"&gt;="&amp;$M162)),""))</f>
        <v/>
      </c>
      <c r="AG162" s="600" t="str" cm="1">
        <f t="array" aca="1" ref="AG162" ca="1">IF(OR($B162="",$N162=""),"",IFERROR(IF($C162="売",_xlfn.MINIFS(高値!$E$3:$IT$3,高値!$E$3:$IT$3,"&gt;"&amp;$E162,高値!$E$3:$IT$3,"&lt;="&amp;$AE162,OFFSET(高値!$E$6:$IT$6,MATCH(TEXT($B162,"0"),TEXT(銘柄管理!$B$6:$B$305,"0"),0)-1,0),"&gt;="&amp;$N162),_xlfn.MINIFS(安値!$E$3:$IT$3,安値!$E$3:$IT$3,"&gt;"&amp;$E162,安値!$E$3:$IT$3,"&lt;="&amp;$AE162,OFFSET(安値!$E$6:$IT$6,MATCH(TEXT($B162,"0"),TEXT(銘柄管理!$B$6:$B$305,"0"),0)-1,0),"&lt;="&amp;$N162)),""))</f>
        <v/>
      </c>
      <c r="AH162" s="600" t="str">
        <f>IF(OR($B162="",$M162=""),"",IF(AND(N($AF162)=0,N($AG162)=0),IF(AND(ISNUMBER($H162),$H162&gt;0,IF($C162="売",$H162&gt;=$N162,$H162&lt;=$N162)),"損切確定",IF(AND(ISNUMBER($H162),$H162&gt;0,IF($C162="売",$H162&lt;=$M162,$H162&gt;=$M162)),"利益確定",IF($AE162&lt;=TODAY(),"日数制限","保有中"))),IF(N($AG162)=0,"利益確定",IF(N($AF162)=0,"損切確定",IF($AG162&lt;=$AF162,"損切確定","利益確定")))))</f>
        <v/>
      </c>
      <c r="AI162" s="600" t="str" cm="1">
        <f t="array" ref="AI162">IFERROR(INDEX(始値!$E$6:$IT$305,MATCH(TEXT($B162,"0"),TEXT(銘柄管理!$B$6:$B$305,"0"),0),MATCH($AE162,始値!$E$3:$IT$3,0)),"")</f>
        <v/>
      </c>
      <c r="AJ162" s="608" t="str">
        <f>IF(OR($V162="",$F162="",$G162=""),"",$V162/($F162*$G162))</f>
        <v/>
      </c>
      <c r="AK162" s="600" t="str">
        <f>IF($V162="","",IF($V162&gt;0,"○勝",IF($V162&lt;0,"●負","△引分")))</f>
        <v/>
      </c>
    </row>
    <row r="163" spans="1:37" ht="35.4" customHeight="1">
      <c r="A163" s="619" t="str">
        <f>IF(B163="","",HYPERLINK("https://kabutan.jp/stock/?code="&amp;B163,"株探"))</f>
        <v/>
      </c>
      <c r="B163" s="489"/>
      <c r="C163" s="489"/>
      <c r="D163" s="489" t="str" cm="1">
        <f t="array" ref="D163">_xll.RssMarket(B163, "銘柄名称")</f>
        <v/>
      </c>
      <c r="E163" s="716"/>
      <c r="F163" s="698" t="str" cm="1">
        <f t="array" aca="1" ref="F163" ca="1">IFERROR(_xlfn.LET(_xlpm.r,MATCH(TEXT($B163,"0"),TEXT(銘柄管理!$B$6:$B$305,"0"),0),_xlpm.t,MOD(NOW(),1),_xlpm.c,IF($E163=TODAY(),IF(_xlpm.t&gt;=TIME(15,30,0),NA(),1),IF(MATCH($E163,始値!$E$3:$IT$3,0)=1,1,MATCH($E163,始値!$E$3:$IT$3,0)+1)),_xlpm.v,INDEX(始値!$C$6:$IT$305,_xlpm.r,_xlpm.c),IF(N(_xlpm.v)=0,"",_xlpm.v)),"")</f>
        <v/>
      </c>
      <c r="G163" s="489"/>
      <c r="H163" s="491" t="str" cm="1">
        <f t="array" ref="H163">_xll.RssMarket(B163, "現在値")</f>
        <v/>
      </c>
      <c r="I163" s="491" t="str" cm="1">
        <f t="array" ref="I163">_xll.RssMarket(B163, "出来高加重平均")</f>
        <v/>
      </c>
      <c r="J163" s="701" t="str" cm="1">
        <f t="array" ref="J163">_xll.RssMarket($B163, "前日比")</f>
        <v/>
      </c>
      <c r="K163" s="701" t="str">
        <f>IF(OR(F163="",G163="",H163=""),"",IF(C163="売",(F163-H163)*G163,(H163-F163)*G163))</f>
        <v/>
      </c>
      <c r="L163" s="706" t="str">
        <f>IF(OR(F163="",H163=""),"",IF(C163="売",(F163-H163)/F163,(H163-F163)/F163))</f>
        <v/>
      </c>
      <c r="M163" s="491" t="str">
        <f>IF($F163="","",$F163*IF($C163="売",1-V811設定!$B$4,1+V811設定!$B$4)-MOD($F163*IF($C163="売",1-V811設定!$B$4,1+V811設定!$B$4),IF($F163&lt;=3000,1,IF($F163&lt;=5000,5,IF($F163&lt;=30000,10,IF($F163&lt;=50000,50,IF($F163&lt;=300000,100,500))))))+IF(AND($C163="売",MOD($F163*IF($C163="売",1-V811設定!$B$4,1+V811設定!$B$4),IF($F163&lt;=3000,1,IF($F163&lt;=5000,5,IF($F163&lt;=30000,10,IF($F163&lt;=50000,50,IF($F163&lt;=300000,100,500))))))&gt;0),IF($F163&lt;=3000,1,IF($F163&lt;=5000,5,IF($F163&lt;=30000,10,IF($F163&lt;=50000,50,IF($F163&lt;=300000,100,500))))),0))</f>
      </c>
      <c r="N163" s="491" t="str">
        <f>IF($F163="","",$F163*IF($C163="売",1+V811設定!$B$3,1-V811設定!$B$3)-MOD($F163*IF($C163="売",1+V811設定!$B$3,1-V811設定!$B$3),IF($F163&lt;=3000,1,IF($F163&lt;=5000,5,IF($F163&lt;=30000,10,IF($F163&lt;=50000,50,IF($F163&lt;=300000,100,500))))))+IF(AND($C163="売",MOD($F163*IF($C163="売",1+V811設定!$B$3,1-V811設定!$B$3),IF($F163&lt;=3000,1,IF($F163&lt;=5000,5,IF($F163&lt;=30000,10,IF($F163&lt;=50000,50,IF($F163&lt;=300000,100,500))))))&gt;0),IF($F163&lt;=3000,1,IF($F163&lt;=5000,5,IF($F163&lt;=30000,10,IF($F163&lt;=50000,50,IF($F163&lt;=300000,100,500))))),0))</f>
      </c>
      <c r="O163" s="492" t="str">
        <f>IF(OR($B163="",$F163="",$H163=""),"",IF($S163="✅売却済","―決済済―",IF($C163="売",IF($H163&lt;=$M163,"🟢利確",IF(AND($R163&lt;&gt;"",$H163&gt;=$R163),"🟠TRAIL",IF($H163&gt;=$N163,"🔴損切",IF($W163&gt;=V811設定!$B$6,"⏱時間決済",IF($H163&gt;=$F163*(1+V811設定!$B$3*0.7),"⚠️損切接近","保持継続"))))),IF($H163&gt;=$M163,"🟢利確",IF(AND($R163&lt;&gt;"",$H163&lt;=$R163),"🟠TRAIL",IF($H163&lt;=$N163,"🔴損切",IF($W163&gt;=V811設定!$B$6,"⏱時間決済",IF($H163&lt;=$F163*(1-V811設定!$B$3*0.7),"⚠️損切接近","保持継続"))))))))</f>
      </c>
      <c r="P163" s="491"/>
      <c r="Q163" s="491"/>
      <c r="R163" s="491" t="str">
        <f>IF(OR($F163="",$H163="",$N163=""),"",IF($S163="✅売却済","",IF($C163="売",IF($H163&gt;$F163*(1-V811設定!$B$3),$N163,MIN($N163,IF($Q163="",$N163,$Q163*1.03))),IF($H163&lt;$F163*(1+V811設定!$B$3),$N163,MAX($N163,IF($P163="",$N163,$P163*0.97))))))</f>
      </c>
      <c r="S163" s="586" t="str">
        <f>IF(B163="","",IF(T163&lt;&gt;"","✅売却済",IF(OR(H163="",L163=""),"📌保有中",IF(L163&gt;=0.06,"🟢利確推奨",IF(L163&gt;=0.05,"🟡利確直近",IF(L163&gt;=0.045,"🔵トレーリング検討",IF(L163&gt;-0.03,"📌保有中",IF(L163&gt;-0.04,"⚠️損切注意","🔴損切り"))))))))</f>
        <v/>
      </c>
      <c r="T163" s="594"/>
      <c r="U163" s="491"/>
      <c r="V163" s="701" t="str">
        <f>IF(OR(F163="",G163="",U163=""),"",IF(C163="売",(F163-U163)*G163,(U163-F163)*G163))</f>
        <v/>
      </c>
      <c r="W163" s="493" t="str">
        <f>IF(OR($E163="",$B163=""),"",IF($T163&lt;&gt;"",$T163-$E163,TODAY()-$E163)+1)</f>
        <v/>
      </c>
      <c r="X163" s="489" t="str">
        <f>IF(OR($AH163="",$AH163="保有中"),"",$AH163)</f>
        <v/>
      </c>
      <c r="Y163" s="488"/>
      <c r="Z163" s="710"/>
      <c r="AD163" s="608"/>
      <c r="AE163" s="600" t="str">
        <f>IF($E163="","",WORKDAY($E163,12))</f>
        <v/>
      </c>
      <c r="AF163" s="600" t="str" cm="1">
        <f t="array" aca="1" ref="AF163" ca="1">IF(OR($B163="",$M163=""),"",IFERROR(IF($C163="売",_xlfn.MINIFS(安値!$E$3:$IT$3,安値!$E$3:$IT$3,"&gt;"&amp;$E163,安値!$E$3:$IT$3,"&lt;="&amp;$AE163,OFFSET(安値!$E$6:$IT$6,MATCH(TEXT($B163,"0"),TEXT(銘柄管理!$B$6:$B$305,"0"),0)-1,0),"&lt;="&amp;$M163),_xlfn.MINIFS(高値!$E$3:$IT$3,高値!$E$3:$IT$3,"&gt;"&amp;$E163,高値!$E$3:$IT$3,"&lt;="&amp;$AE163,OFFSET(高値!$E$6:$IT$6,MATCH(TEXT($B163,"0"),TEXT(銘柄管理!$B$6:$B$305,"0"),0)-1,0),"&gt;="&amp;$M163)),""))</f>
        <v/>
      </c>
      <c r="AG163" s="600" t="str" cm="1">
        <f t="array" aca="1" ref="AG163" ca="1">IF(OR($B163="",$N163=""),"",IFERROR(IF($C163="売",_xlfn.MINIFS(高値!$E$3:$IT$3,高値!$E$3:$IT$3,"&gt;"&amp;$E163,高値!$E$3:$IT$3,"&lt;="&amp;$AE163,OFFSET(高値!$E$6:$IT$6,MATCH(TEXT($B163,"0"),TEXT(銘柄管理!$B$6:$B$305,"0"),0)-1,0),"&gt;="&amp;$N163),_xlfn.MINIFS(安値!$E$3:$IT$3,安値!$E$3:$IT$3,"&gt;"&amp;$E163,安値!$E$3:$IT$3,"&lt;="&amp;$AE163,OFFSET(安値!$E$6:$IT$6,MATCH(TEXT($B163,"0"),TEXT(銘柄管理!$B$6:$B$305,"0"),0)-1,0),"&lt;="&amp;$N163)),""))</f>
        <v/>
      </c>
      <c r="AH163" s="600" t="str">
        <f>IF(OR($B163="",$M163=""),"",IF(AND(N($AF163)=0,N($AG163)=0),IF(AND(ISNUMBER($H163),$H163&gt;0,IF($C163="売",$H163&gt;=$N163,$H163&lt;=$N163)),"損切確定",IF(AND(ISNUMBER($H163),$H163&gt;0,IF($C163="売",$H163&lt;=$M163,$H163&gt;=$M163)),"利益確定",IF($AE163&lt;=TODAY(),"日数制限","保有中"))),IF(N($AG163)=0,"利益確定",IF(N($AF163)=0,"損切確定",IF($AG163&lt;=$AF163,"損切確定","利益確定")))))</f>
        <v/>
      </c>
      <c r="AI163" s="600" t="str" cm="1">
        <f t="array" ref="AI163">IFERROR(INDEX(始値!$E$6:$IT$305,MATCH(TEXT($B163,"0"),TEXT(銘柄管理!$B$6:$B$305,"0"),0),MATCH($AE163,始値!$E$3:$IT$3,0)),"")</f>
        <v/>
      </c>
      <c r="AJ163" s="608" t="str">
        <f>IF(OR($V163="",$F163="",$G163=""),"",$V163/($F163*$G163))</f>
        <v/>
      </c>
      <c r="AK163" s="600" t="str">
        <f>IF($V163="","",IF($V163&gt;0,"○勝",IF($V163&lt;0,"●負","△引分")))</f>
        <v/>
      </c>
    </row>
    <row r="164" spans="1:37" ht="35.4" customHeight="1">
      <c r="A164" s="619" t="str">
        <f>IF(B164="","",HYPERLINK("https://kabutan.jp/stock/?code="&amp;B164,"株探"))</f>
        <v/>
      </c>
      <c r="B164" s="489"/>
      <c r="C164" s="489"/>
      <c r="D164" s="489" t="str" cm="1">
        <f t="array" ref="D164">_xll.RssMarket(B164, "銘柄名称")</f>
        <v/>
      </c>
      <c r="E164" s="716"/>
      <c r="F164" s="698" t="str" cm="1">
        <f t="array" aca="1" ref="F164" ca="1">IFERROR(_xlfn.LET(_xlpm.r,MATCH(TEXT($B164,"0"),TEXT(銘柄管理!$B$6:$B$305,"0"),0),_xlpm.t,MOD(NOW(),1),_xlpm.c,IF($E164=TODAY(),IF(_xlpm.t&gt;=TIME(15,30,0),NA(),1),IF(MATCH($E164,始値!$E$3:$IT$3,0)=1,1,MATCH($E164,始値!$E$3:$IT$3,0)+1)),_xlpm.v,INDEX(始値!$C$6:$IT$305,_xlpm.r,_xlpm.c),IF(N(_xlpm.v)=0,"",_xlpm.v)),"")</f>
        <v/>
      </c>
      <c r="G164" s="489"/>
      <c r="H164" s="491" t="str" cm="1">
        <f t="array" ref="H164">_xll.RssMarket(B164, "現在値")</f>
        <v/>
      </c>
      <c r="I164" s="491" t="str" cm="1">
        <f t="array" ref="I164">_xll.RssMarket(B164, "出来高加重平均")</f>
        <v/>
      </c>
      <c r="J164" s="701" t="str" cm="1">
        <f t="array" ref="J164">_xll.RssMarket($B164, "前日比")</f>
        <v/>
      </c>
      <c r="K164" s="701" t="str">
        <f>IF(OR(F164="",G164="",H164=""),"",IF(C164="売",(F164-H164)*G164,(H164-F164)*G164))</f>
        <v/>
      </c>
      <c r="L164" s="706" t="str">
        <f>IF(OR(F164="",H164=""),"",IF(C164="売",(F164-H164)/F164,(H164-F164)/F164))</f>
        <v/>
      </c>
      <c r="M164" s="491" t="str">
        <f>IF($F164="","",$F164*IF($C164="売",1-V811設定!$B$4,1+V811設定!$B$4)-MOD($F164*IF($C164="売",1-V811設定!$B$4,1+V811設定!$B$4),IF($F164&lt;=3000,1,IF($F164&lt;=5000,5,IF($F164&lt;=30000,10,IF($F164&lt;=50000,50,IF($F164&lt;=300000,100,500))))))+IF(AND($C164="売",MOD($F164*IF($C164="売",1-V811設定!$B$4,1+V811設定!$B$4),IF($F164&lt;=3000,1,IF($F164&lt;=5000,5,IF($F164&lt;=30000,10,IF($F164&lt;=50000,50,IF($F164&lt;=300000,100,500))))))&gt;0),IF($F164&lt;=3000,1,IF($F164&lt;=5000,5,IF($F164&lt;=30000,10,IF($F164&lt;=50000,50,IF($F164&lt;=300000,100,500))))),0))</f>
      </c>
      <c r="N164" s="491" t="str">
        <f>IF($F164="","",$F164*IF($C164="売",1+V811設定!$B$3,1-V811設定!$B$3)-MOD($F164*IF($C164="売",1+V811設定!$B$3,1-V811設定!$B$3),IF($F164&lt;=3000,1,IF($F164&lt;=5000,5,IF($F164&lt;=30000,10,IF($F164&lt;=50000,50,IF($F164&lt;=300000,100,500))))))+IF(AND($C164="売",MOD($F164*IF($C164="売",1+V811設定!$B$3,1-V811設定!$B$3),IF($F164&lt;=3000,1,IF($F164&lt;=5000,5,IF($F164&lt;=30000,10,IF($F164&lt;=50000,50,IF($F164&lt;=300000,100,500))))))&gt;0),IF($F164&lt;=3000,1,IF($F164&lt;=5000,5,IF($F164&lt;=30000,10,IF($F164&lt;=50000,50,IF($F164&lt;=300000,100,500))))),0))</f>
      </c>
      <c r="O164" s="492" t="str">
        <f>IF(OR($B164="",$F164="",$H164=""),"",IF($S164="✅売却済","―決済済―",IF($C164="売",IF($H164&lt;=$M164,"🟢利確",IF(AND($R164&lt;&gt;"",$H164&gt;=$R164),"🟠TRAIL",IF($H164&gt;=$N164,"🔴損切",IF($W164&gt;=V811設定!$B$6,"⏱時間決済",IF($H164&gt;=$F164*(1+V811設定!$B$3*0.7),"⚠️損切接近","保持継続"))))),IF($H164&gt;=$M164,"🟢利確",IF(AND($R164&lt;&gt;"",$H164&lt;=$R164),"🟠TRAIL",IF($H164&lt;=$N164,"🔴損切",IF($W164&gt;=V811設定!$B$6,"⏱時間決済",IF($H164&lt;=$F164*(1-V811設定!$B$3*0.7),"⚠️損切接近","保持継続"))))))))</f>
      </c>
      <c r="P164" s="491"/>
      <c r="Q164" s="491"/>
      <c r="R164" s="491" t="str">
        <f>IF(OR($F164="",$H164="",$N164=""),"",IF($S164="✅売却済","",IF($C164="売",IF($H164&gt;$F164*(1-V811設定!$B$3),$N164,MIN($N164,IF($Q164="",$N164,$Q164*1.03))),IF($H164&lt;$F164*(1+V811設定!$B$3),$N164,MAX($N164,IF($P164="",$N164,$P164*0.97))))))</f>
      </c>
      <c r="S164" s="586" t="str">
        <f>IF(B164="","",IF(T164&lt;&gt;"","✅売却済",IF(OR(H164="",L164=""),"📌保有中",IF(L164&gt;=0.06,"🟢利確推奨",IF(L164&gt;=0.05,"🟡利確直近",IF(L164&gt;=0.045,"🔵トレーリング検討",IF(L164&gt;-0.03,"📌保有中",IF(L164&gt;-0.04,"⚠️損切注意","🔴損切り"))))))))</f>
        <v/>
      </c>
      <c r="T164" s="594"/>
      <c r="U164" s="491"/>
      <c r="V164" s="701" t="str">
        <f>IF(OR(F164="",G164="",U164=""),"",IF(C164="売",(F164-U164)*G164,(U164-F164)*G164))</f>
        <v/>
      </c>
      <c r="W164" s="493" t="str">
        <f>IF(OR($E164="",$B164=""),"",IF($T164&lt;&gt;"",$T164-$E164,TODAY()-$E164)+1)</f>
        <v/>
      </c>
      <c r="X164" s="489" t="str">
        <f>IF(OR($AH164="",$AH164="保有中"),"",$AH164)</f>
        <v/>
      </c>
      <c r="Y164" s="488"/>
      <c r="Z164" s="710"/>
      <c r="AD164" s="608"/>
      <c r="AE164" s="600" t="str">
        <f>IF($E164="","",WORKDAY($E164,12))</f>
        <v/>
      </c>
      <c r="AF164" s="600" t="str" cm="1">
        <f t="array" aca="1" ref="AF164" ca="1">IF(OR($B164="",$M164=""),"",IFERROR(IF($C164="売",_xlfn.MINIFS(安値!$E$3:$IT$3,安値!$E$3:$IT$3,"&gt;"&amp;$E164,安値!$E$3:$IT$3,"&lt;="&amp;$AE164,OFFSET(安値!$E$6:$IT$6,MATCH(TEXT($B164,"0"),TEXT(銘柄管理!$B$6:$B$305,"0"),0)-1,0),"&lt;="&amp;$M164),_xlfn.MINIFS(高値!$E$3:$IT$3,高値!$E$3:$IT$3,"&gt;"&amp;$E164,高値!$E$3:$IT$3,"&lt;="&amp;$AE164,OFFSET(高値!$E$6:$IT$6,MATCH(TEXT($B164,"0"),TEXT(銘柄管理!$B$6:$B$305,"0"),0)-1,0),"&gt;="&amp;$M164)),""))</f>
        <v/>
      </c>
      <c r="AG164" s="600" t="str" cm="1">
        <f t="array" aca="1" ref="AG164" ca="1">IF(OR($B164="",$N164=""),"",IFERROR(IF($C164="売",_xlfn.MINIFS(高値!$E$3:$IT$3,高値!$E$3:$IT$3,"&gt;"&amp;$E164,高値!$E$3:$IT$3,"&lt;="&amp;$AE164,OFFSET(高値!$E$6:$IT$6,MATCH(TEXT($B164,"0"),TEXT(銘柄管理!$B$6:$B$305,"0"),0)-1,0),"&gt;="&amp;$N164),_xlfn.MINIFS(安値!$E$3:$IT$3,安値!$E$3:$IT$3,"&gt;"&amp;$E164,安値!$E$3:$IT$3,"&lt;="&amp;$AE164,OFFSET(安値!$E$6:$IT$6,MATCH(TEXT($B164,"0"),TEXT(銘柄管理!$B$6:$B$305,"0"),0)-1,0),"&lt;="&amp;$N164)),""))</f>
        <v/>
      </c>
      <c r="AH164" s="600" t="str">
        <f>IF(OR($B164="",$M164=""),"",IF(AND(N($AF164)=0,N($AG164)=0),IF(AND(ISNUMBER($H164),$H164&gt;0,IF($C164="売",$H164&gt;=$N164,$H164&lt;=$N164)),"損切確定",IF(AND(ISNUMBER($H164),$H164&gt;0,IF($C164="売",$H164&lt;=$M164,$H164&gt;=$M164)),"利益確定",IF($AE164&lt;=TODAY(),"日数制限","保有中"))),IF(N($AG164)=0,"利益確定",IF(N($AF164)=0,"損切確定",IF($AG164&lt;=$AF164,"損切確定","利益確定")))))</f>
        <v/>
      </c>
      <c r="AI164" s="600" t="str" cm="1">
        <f t="array" ref="AI164">IFERROR(INDEX(始値!$E$6:$IT$305,MATCH(TEXT($B164,"0"),TEXT(銘柄管理!$B$6:$B$305,"0"),0),MATCH($AE164,始値!$E$3:$IT$3,0)),"")</f>
        <v/>
      </c>
      <c r="AJ164" s="608" t="str">
        <f>IF(OR($V164="",$F164="",$G164=""),"",$V164/($F164*$G164))</f>
        <v/>
      </c>
      <c r="AK164" s="600" t="str">
        <f>IF($V164="","",IF($V164&gt;0,"○勝",IF($V164&lt;0,"●負","△引分")))</f>
        <v/>
      </c>
    </row>
    <row r="165" spans="1:37" ht="35.4" customHeight="1">
      <c r="A165" s="619" t="str">
        <f>IF(B165="","",HYPERLINK("https://kabutan.jp/stock/?code="&amp;B165,"株探"))</f>
        <v/>
      </c>
      <c r="B165" s="489"/>
      <c r="C165" s="489"/>
      <c r="D165" s="489" t="str" cm="1">
        <f t="array" ref="D165">_xll.RssMarket(B165, "銘柄名称")</f>
        <v/>
      </c>
      <c r="E165" s="716"/>
      <c r="F165" s="698" t="str" cm="1">
        <f t="array" aca="1" ref="F165" ca="1">IFERROR(_xlfn.LET(_xlpm.r,MATCH(TEXT($B165,"0"),TEXT(銘柄管理!$B$6:$B$305,"0"),0),_xlpm.t,MOD(NOW(),1),_xlpm.c,IF($E165=TODAY(),IF(_xlpm.t&gt;=TIME(15,30,0),NA(),1),IF(MATCH($E165,始値!$E$3:$IT$3,0)=1,1,MATCH($E165,始値!$E$3:$IT$3,0)+1)),_xlpm.v,INDEX(始値!$C$6:$IT$305,_xlpm.r,_xlpm.c),IF(N(_xlpm.v)=0,"",_xlpm.v)),"")</f>
        <v/>
      </c>
      <c r="G165" s="489"/>
      <c r="H165" s="491" t="str" cm="1">
        <f t="array" ref="H165">_xll.RssMarket(B165, "現在値")</f>
        <v/>
      </c>
      <c r="I165" s="491" t="str" cm="1">
        <f t="array" ref="I165">_xll.RssMarket(B165, "出来高加重平均")</f>
        <v/>
      </c>
      <c r="J165" s="701" t="str" cm="1">
        <f t="array" ref="J165">_xll.RssMarket($B165, "前日比")</f>
        <v/>
      </c>
      <c r="K165" s="701" t="str">
        <f>IF(OR(F165="",G165="",H165=""),"",IF(C165="売",(F165-H165)*G165,(H165-F165)*G165))</f>
        <v/>
      </c>
      <c r="L165" s="706" t="str">
        <f>IF(OR(F165="",H165=""),"",IF(C165="売",(F165-H165)/F165,(H165-F165)/F165))</f>
        <v/>
      </c>
      <c r="M165" s="491" t="str">
        <f>IF($F165="","",$F165*IF($C165="売",1-V811設定!$B$4,1+V811設定!$B$4)-MOD($F165*IF($C165="売",1-V811設定!$B$4,1+V811設定!$B$4),IF($F165&lt;=3000,1,IF($F165&lt;=5000,5,IF($F165&lt;=30000,10,IF($F165&lt;=50000,50,IF($F165&lt;=300000,100,500))))))+IF(AND($C165="売",MOD($F165*IF($C165="売",1-V811設定!$B$4,1+V811設定!$B$4),IF($F165&lt;=3000,1,IF($F165&lt;=5000,5,IF($F165&lt;=30000,10,IF($F165&lt;=50000,50,IF($F165&lt;=300000,100,500))))))&gt;0),IF($F165&lt;=3000,1,IF($F165&lt;=5000,5,IF($F165&lt;=30000,10,IF($F165&lt;=50000,50,IF($F165&lt;=300000,100,500))))),0))</f>
      </c>
      <c r="N165" s="491" t="str">
        <f>IF($F165="","",$F165*IF($C165="売",1+V811設定!$B$3,1-V811設定!$B$3)-MOD($F165*IF($C165="売",1+V811設定!$B$3,1-V811設定!$B$3),IF($F165&lt;=3000,1,IF($F165&lt;=5000,5,IF($F165&lt;=30000,10,IF($F165&lt;=50000,50,IF($F165&lt;=300000,100,500))))))+IF(AND($C165="売",MOD($F165*IF($C165="売",1+V811設定!$B$3,1-V811設定!$B$3),IF($F165&lt;=3000,1,IF($F165&lt;=5000,5,IF($F165&lt;=30000,10,IF($F165&lt;=50000,50,IF($F165&lt;=300000,100,500))))))&gt;0),IF($F165&lt;=3000,1,IF($F165&lt;=5000,5,IF($F165&lt;=30000,10,IF($F165&lt;=50000,50,IF($F165&lt;=300000,100,500))))),0))</f>
      </c>
      <c r="O165" s="492" t="str">
        <f>IF(OR($B165="",$F165="",$H165=""),"",IF($S165="✅売却済","―決済済―",IF($C165="売",IF($H165&lt;=$M165,"🟢利確",IF(AND($R165&lt;&gt;"",$H165&gt;=$R165),"🟠TRAIL",IF($H165&gt;=$N165,"🔴損切",IF($W165&gt;=V811設定!$B$6,"⏱時間決済",IF($H165&gt;=$F165*(1+V811設定!$B$3*0.7),"⚠️損切接近","保持継続"))))),IF($H165&gt;=$M165,"🟢利確",IF(AND($R165&lt;&gt;"",$H165&lt;=$R165),"🟠TRAIL",IF($H165&lt;=$N165,"🔴損切",IF($W165&gt;=V811設定!$B$6,"⏱時間決済",IF($H165&lt;=$F165*(1-V811設定!$B$3*0.7),"⚠️損切接近","保持継続"))))))))</f>
      </c>
      <c r="P165" s="491"/>
      <c r="Q165" s="491"/>
      <c r="R165" s="491" t="str">
        <f>IF(OR($F165="",$H165="",$N165=""),"",IF($S165="✅売却済","",IF($C165="売",IF($H165&gt;$F165*(1-V811設定!$B$3),$N165,MIN($N165,IF($Q165="",$N165,$Q165*1.03))),IF($H165&lt;$F165*(1+V811設定!$B$3),$N165,MAX($N165,IF($P165="",$N165,$P165*0.97))))))</f>
      </c>
      <c r="S165" s="586" t="str">
        <f>IF(B165="","",IF(T165&lt;&gt;"","✅売却済",IF(OR(H165="",L165=""),"📌保有中",IF(L165&gt;=0.06,"🟢利確推奨",IF(L165&gt;=0.05,"🟡利確直近",IF(L165&gt;=0.045,"🔵トレーリング検討",IF(L165&gt;-0.03,"📌保有中",IF(L165&gt;-0.04,"⚠️損切注意","🔴損切り"))))))))</f>
        <v/>
      </c>
      <c r="T165" s="594"/>
      <c r="U165" s="491"/>
      <c r="V165" s="701" t="str">
        <f>IF(OR(F165="",G165="",U165=""),"",IF(C165="売",(F165-U165)*G165,(U165-F165)*G165))</f>
        <v/>
      </c>
      <c r="W165" s="493" t="str">
        <f>IF(OR($E165="",$B165=""),"",IF($T165&lt;&gt;"",$T165-$E165,TODAY()-$E165)+1)</f>
        <v/>
      </c>
      <c r="X165" s="489" t="str">
        <f>IF(OR($AH165="",$AH165="保有中"),"",$AH165)</f>
        <v/>
      </c>
      <c r="Y165" s="488"/>
      <c r="Z165" s="710"/>
      <c r="AD165" s="608"/>
      <c r="AE165" s="600" t="str">
        <f>IF($E165="","",WORKDAY($E165,12))</f>
        <v/>
      </c>
      <c r="AF165" s="600" t="str" cm="1">
        <f t="array" aca="1" ref="AF165" ca="1">IF(OR($B165="",$M165=""),"",IFERROR(IF($C165="売",_xlfn.MINIFS(安値!$E$3:$IT$3,安値!$E$3:$IT$3,"&gt;"&amp;$E165,安値!$E$3:$IT$3,"&lt;="&amp;$AE165,OFFSET(安値!$E$6:$IT$6,MATCH(TEXT($B165,"0"),TEXT(銘柄管理!$B$6:$B$305,"0"),0)-1,0),"&lt;="&amp;$M165),_xlfn.MINIFS(高値!$E$3:$IT$3,高値!$E$3:$IT$3,"&gt;"&amp;$E165,高値!$E$3:$IT$3,"&lt;="&amp;$AE165,OFFSET(高値!$E$6:$IT$6,MATCH(TEXT($B165,"0"),TEXT(銘柄管理!$B$6:$B$305,"0"),0)-1,0),"&gt;="&amp;$M165)),""))</f>
        <v/>
      </c>
      <c r="AG165" s="600" t="str" cm="1">
        <f t="array" aca="1" ref="AG165" ca="1">IF(OR($B165="",$N165=""),"",IFERROR(IF($C165="売",_xlfn.MINIFS(高値!$E$3:$IT$3,高値!$E$3:$IT$3,"&gt;"&amp;$E165,高値!$E$3:$IT$3,"&lt;="&amp;$AE165,OFFSET(高値!$E$6:$IT$6,MATCH(TEXT($B165,"0"),TEXT(銘柄管理!$B$6:$B$305,"0"),0)-1,0),"&gt;="&amp;$N165),_xlfn.MINIFS(安値!$E$3:$IT$3,安値!$E$3:$IT$3,"&gt;"&amp;$E165,安値!$E$3:$IT$3,"&lt;="&amp;$AE165,OFFSET(安値!$E$6:$IT$6,MATCH(TEXT($B165,"0"),TEXT(銘柄管理!$B$6:$B$305,"0"),0)-1,0),"&lt;="&amp;$N165)),""))</f>
        <v/>
      </c>
      <c r="AH165" s="600" t="str">
        <f>IF(OR($B165="",$M165=""),"",IF(AND(N($AF165)=0,N($AG165)=0),IF(AND(ISNUMBER($H165),$H165&gt;0,IF($C165="売",$H165&gt;=$N165,$H165&lt;=$N165)),"損切確定",IF(AND(ISNUMBER($H165),$H165&gt;0,IF($C165="売",$H165&lt;=$M165,$H165&gt;=$M165)),"利益確定",IF($AE165&lt;=TODAY(),"日数制限","保有中"))),IF(N($AG165)=0,"利益確定",IF(N($AF165)=0,"損切確定",IF($AG165&lt;=$AF165,"損切確定","利益確定")))))</f>
        <v/>
      </c>
      <c r="AI165" s="600" t="str" cm="1">
        <f t="array" ref="AI165">IFERROR(INDEX(始値!$E$6:$IT$305,MATCH(TEXT($B165,"0"),TEXT(銘柄管理!$B$6:$B$305,"0"),0),MATCH($AE165,始値!$E$3:$IT$3,0)),"")</f>
        <v/>
      </c>
      <c r="AJ165" s="608" t="str">
        <f>IF(OR($V165="",$F165="",$G165=""),"",$V165/($F165*$G165))</f>
        <v/>
      </c>
      <c r="AK165" s="600" t="str">
        <f>IF($V165="","",IF($V165&gt;0,"○勝",IF($V165&lt;0,"●負","△引分")))</f>
        <v/>
      </c>
    </row>
    <row r="166" spans="1:37" ht="35.4" customHeight="1">
      <c r="A166" s="619" t="str">
        <f>IF(B166="","",HYPERLINK("https://kabutan.jp/stock/?code="&amp;B166,"株探"))</f>
        <v/>
      </c>
      <c r="B166" s="489"/>
      <c r="C166" s="489"/>
      <c r="D166" s="489" t="str" cm="1">
        <f t="array" ref="D166">_xll.RssMarket(B166, "銘柄名称")</f>
        <v/>
      </c>
      <c r="E166" s="716"/>
      <c r="F166" s="698" t="str" cm="1">
        <f t="array" aca="1" ref="F166" ca="1">IFERROR(_xlfn.LET(_xlpm.r,MATCH(TEXT($B166,"0"),TEXT(銘柄管理!$B$6:$B$305,"0"),0),_xlpm.t,MOD(NOW(),1),_xlpm.c,IF($E166=TODAY(),IF(_xlpm.t&gt;=TIME(15,30,0),NA(),1),IF(MATCH($E166,始値!$E$3:$IT$3,0)=1,1,MATCH($E166,始値!$E$3:$IT$3,0)+1)),_xlpm.v,INDEX(始値!$C$6:$IT$305,_xlpm.r,_xlpm.c),IF(N(_xlpm.v)=0,"",_xlpm.v)),"")</f>
        <v/>
      </c>
      <c r="G166" s="489"/>
      <c r="H166" s="491" t="str" cm="1">
        <f t="array" ref="H166">_xll.RssMarket(B166, "現在値")</f>
        <v/>
      </c>
      <c r="I166" s="491" t="str" cm="1">
        <f t="array" ref="I166">_xll.RssMarket(B166, "出来高加重平均")</f>
        <v/>
      </c>
      <c r="J166" s="701" t="str" cm="1">
        <f t="array" ref="J166">_xll.RssMarket($B166, "前日比")</f>
        <v/>
      </c>
      <c r="K166" s="701" t="str">
        <f>IF(OR(F166="",G166="",H166=""),"",IF(C166="売",(F166-H166)*G166,(H166-F166)*G166))</f>
        <v/>
      </c>
      <c r="L166" s="706" t="str">
        <f>IF(OR(F166="",H166=""),"",IF(C166="売",(F166-H166)/F166,(H166-F166)/F166))</f>
        <v/>
      </c>
      <c r="M166" s="491" t="str">
        <f>IF($F166="","",$F166*IF($C166="売",1-V811設定!$B$4,1+V811設定!$B$4)-MOD($F166*IF($C166="売",1-V811設定!$B$4,1+V811設定!$B$4),IF($F166&lt;=3000,1,IF($F166&lt;=5000,5,IF($F166&lt;=30000,10,IF($F166&lt;=50000,50,IF($F166&lt;=300000,100,500))))))+IF(AND($C166="売",MOD($F166*IF($C166="売",1-V811設定!$B$4,1+V811設定!$B$4),IF($F166&lt;=3000,1,IF($F166&lt;=5000,5,IF($F166&lt;=30000,10,IF($F166&lt;=50000,50,IF($F166&lt;=300000,100,500))))))&gt;0),IF($F166&lt;=3000,1,IF($F166&lt;=5000,5,IF($F166&lt;=30000,10,IF($F166&lt;=50000,50,IF($F166&lt;=300000,100,500))))),0))</f>
      </c>
      <c r="N166" s="491" t="str">
        <f>IF($F166="","",$F166*IF($C166="売",1+V811設定!$B$3,1-V811設定!$B$3)-MOD($F166*IF($C166="売",1+V811設定!$B$3,1-V811設定!$B$3),IF($F166&lt;=3000,1,IF($F166&lt;=5000,5,IF($F166&lt;=30000,10,IF($F166&lt;=50000,50,IF($F166&lt;=300000,100,500))))))+IF(AND($C166="売",MOD($F166*IF($C166="売",1+V811設定!$B$3,1-V811設定!$B$3),IF($F166&lt;=3000,1,IF($F166&lt;=5000,5,IF($F166&lt;=30000,10,IF($F166&lt;=50000,50,IF($F166&lt;=300000,100,500))))))&gt;0),IF($F166&lt;=3000,1,IF($F166&lt;=5000,5,IF($F166&lt;=30000,10,IF($F166&lt;=50000,50,IF($F166&lt;=300000,100,500))))),0))</f>
      </c>
      <c r="O166" s="492" t="str">
        <f>IF(OR($B166="",$F166="",$H166=""),"",IF($S166="✅売却済","―決済済―",IF($C166="売",IF($H166&lt;=$M166,"🟢利確",IF(AND($R166&lt;&gt;"",$H166&gt;=$R166),"🟠TRAIL",IF($H166&gt;=$N166,"🔴損切",IF($W166&gt;=V811設定!$B$6,"⏱時間決済",IF($H166&gt;=$F166*(1+V811設定!$B$3*0.7),"⚠️損切接近","保持継続"))))),IF($H166&gt;=$M166,"🟢利確",IF(AND($R166&lt;&gt;"",$H166&lt;=$R166),"🟠TRAIL",IF($H166&lt;=$N166,"🔴損切",IF($W166&gt;=V811設定!$B$6,"⏱時間決済",IF($H166&lt;=$F166*(1-V811設定!$B$3*0.7),"⚠️損切接近","保持継続"))))))))</f>
      </c>
      <c r="P166" s="491"/>
      <c r="Q166" s="491"/>
      <c r="R166" s="491" t="str">
        <f>IF(OR($F166="",$H166="",$N166=""),"",IF($S166="✅売却済","",IF($C166="売",IF($H166&gt;$F166*(1-V811設定!$B$3),$N166,MIN($N166,IF($Q166="",$N166,$Q166*1.03))),IF($H166&lt;$F166*(1+V811設定!$B$3),$N166,MAX($N166,IF($P166="",$N166,$P166*0.97))))))</f>
      </c>
      <c r="S166" s="586" t="str">
        <f>IF(B166="","",IF(T166&lt;&gt;"","✅売却済",IF(OR(H166="",L166=""),"📌保有中",IF(L166&gt;=0.06,"🟢利確推奨",IF(L166&gt;=0.05,"🟡利確直近",IF(L166&gt;=0.045,"🔵トレーリング検討",IF(L166&gt;-0.03,"📌保有中",IF(L166&gt;-0.04,"⚠️損切注意","🔴損切り"))))))))</f>
        <v/>
      </c>
      <c r="T166" s="594"/>
      <c r="U166" s="491"/>
      <c r="V166" s="701" t="str">
        <f>IF(OR(F166="",G166="",U166=""),"",IF(C166="売",(F166-U166)*G166,(U166-F166)*G166))</f>
        <v/>
      </c>
      <c r="W166" s="493" t="str">
        <f>IF(OR($E166="",$B166=""),"",IF($T166&lt;&gt;"",$T166-$E166,TODAY()-$E166)+1)</f>
        <v/>
      </c>
      <c r="X166" s="489" t="str">
        <f>IF(OR($AH166="",$AH166="保有中"),"",$AH166)</f>
        <v/>
      </c>
      <c r="Y166" s="488"/>
      <c r="Z166" s="710"/>
      <c r="AD166" s="608"/>
      <c r="AE166" s="600" t="str">
        <f>IF($E166="","",WORKDAY($E166,12))</f>
        <v/>
      </c>
      <c r="AF166" s="600" t="str" cm="1">
        <f t="array" aca="1" ref="AF166" ca="1">IF(OR($B166="",$M166=""),"",IFERROR(IF($C166="売",_xlfn.MINIFS(安値!$E$3:$IT$3,安値!$E$3:$IT$3,"&gt;"&amp;$E166,安値!$E$3:$IT$3,"&lt;="&amp;$AE166,OFFSET(安値!$E$6:$IT$6,MATCH(TEXT($B166,"0"),TEXT(銘柄管理!$B$6:$B$305,"0"),0)-1,0),"&lt;="&amp;$M166),_xlfn.MINIFS(高値!$E$3:$IT$3,高値!$E$3:$IT$3,"&gt;"&amp;$E166,高値!$E$3:$IT$3,"&lt;="&amp;$AE166,OFFSET(高値!$E$6:$IT$6,MATCH(TEXT($B166,"0"),TEXT(銘柄管理!$B$6:$B$305,"0"),0)-1,0),"&gt;="&amp;$M166)),""))</f>
        <v/>
      </c>
      <c r="AG166" s="600" t="str" cm="1">
        <f t="array" aca="1" ref="AG166" ca="1">IF(OR($B166="",$N166=""),"",IFERROR(IF($C166="売",_xlfn.MINIFS(高値!$E$3:$IT$3,高値!$E$3:$IT$3,"&gt;"&amp;$E166,高値!$E$3:$IT$3,"&lt;="&amp;$AE166,OFFSET(高値!$E$6:$IT$6,MATCH(TEXT($B166,"0"),TEXT(銘柄管理!$B$6:$B$305,"0"),0)-1,0),"&gt;="&amp;$N166),_xlfn.MINIFS(安値!$E$3:$IT$3,安値!$E$3:$IT$3,"&gt;"&amp;$E166,安値!$E$3:$IT$3,"&lt;="&amp;$AE166,OFFSET(安値!$E$6:$IT$6,MATCH(TEXT($B166,"0"),TEXT(銘柄管理!$B$6:$B$305,"0"),0)-1,0),"&lt;="&amp;$N166)),""))</f>
        <v/>
      </c>
      <c r="AH166" s="600" t="str">
        <f>IF(OR($B166="",$M166=""),"",IF(AND(N($AF166)=0,N($AG166)=0),IF(AND(ISNUMBER($H166),$H166&gt;0,IF($C166="売",$H166&gt;=$N166,$H166&lt;=$N166)),"損切確定",IF(AND(ISNUMBER($H166),$H166&gt;0,IF($C166="売",$H166&lt;=$M166,$H166&gt;=$M166)),"利益確定",IF($AE166&lt;=TODAY(),"日数制限","保有中"))),IF(N($AG166)=0,"利益確定",IF(N($AF166)=0,"損切確定",IF($AG166&lt;=$AF166,"損切確定","利益確定")))))</f>
        <v/>
      </c>
      <c r="AI166" s="600" t="str" cm="1">
        <f t="array" ref="AI166">IFERROR(INDEX(始値!$E$6:$IT$305,MATCH(TEXT($B166,"0"),TEXT(銘柄管理!$B$6:$B$305,"0"),0),MATCH($AE166,始値!$E$3:$IT$3,0)),"")</f>
        <v/>
      </c>
      <c r="AJ166" s="608" t="str">
        <f>IF(OR($V166="",$F166="",$G166=""),"",$V166/($F166*$G166))</f>
        <v/>
      </c>
      <c r="AK166" s="600" t="str">
        <f>IF($V166="","",IF($V166&gt;0,"○勝",IF($V166&lt;0,"●負","△引分")))</f>
        <v/>
      </c>
    </row>
    <row r="167" spans="1:37" ht="35.4" customHeight="1">
      <c r="A167" s="619" t="str">
        <f>IF(B167="","",HYPERLINK("https://kabutan.jp/stock/?code="&amp;B167,"株探"))</f>
        <v/>
      </c>
      <c r="B167" s="489"/>
      <c r="C167" s="489"/>
      <c r="D167" s="489" t="str" cm="1">
        <f t="array" ref="D167">_xll.RssMarket(B167, "銘柄名称")</f>
        <v/>
      </c>
      <c r="E167" s="716"/>
      <c r="F167" s="698" t="str" cm="1">
        <f t="array" aca="1" ref="F167" ca="1">IFERROR(_xlfn.LET(_xlpm.r,MATCH(TEXT($B167,"0"),TEXT(銘柄管理!$B$6:$B$305,"0"),0),_xlpm.t,MOD(NOW(),1),_xlpm.c,IF($E167=TODAY(),IF(_xlpm.t&gt;=TIME(15,30,0),NA(),1),IF(MATCH($E167,始値!$E$3:$IT$3,0)=1,1,MATCH($E167,始値!$E$3:$IT$3,0)+1)),_xlpm.v,INDEX(始値!$C$6:$IT$305,_xlpm.r,_xlpm.c),IF(N(_xlpm.v)=0,"",_xlpm.v)),"")</f>
        <v/>
      </c>
      <c r="G167" s="489"/>
      <c r="H167" s="491" t="str" cm="1">
        <f t="array" ref="H167">_xll.RssMarket(B167, "現在値")</f>
        <v/>
      </c>
      <c r="I167" s="491" t="str" cm="1">
        <f t="array" ref="I167">_xll.RssMarket(B167, "出来高加重平均")</f>
        <v/>
      </c>
      <c r="J167" s="701" t="str" cm="1">
        <f t="array" ref="J167">_xll.RssMarket($B167, "前日比")</f>
        <v/>
      </c>
      <c r="K167" s="701" t="str">
        <f>IF(OR(F167="",G167="",H167=""),"",IF(C167="売",(F167-H167)*G167,(H167-F167)*G167))</f>
        <v/>
      </c>
      <c r="L167" s="706" t="str">
        <f>IF(OR(F167="",H167=""),"",IF(C167="売",(F167-H167)/F167,(H167-F167)/F167))</f>
        <v/>
      </c>
      <c r="M167" s="491" t="str">
        <f>IF($F167="","",$F167*IF($C167="売",1-V811設定!$B$4,1+V811設定!$B$4)-MOD($F167*IF($C167="売",1-V811設定!$B$4,1+V811設定!$B$4),IF($F167&lt;=3000,1,IF($F167&lt;=5000,5,IF($F167&lt;=30000,10,IF($F167&lt;=50000,50,IF($F167&lt;=300000,100,500))))))+IF(AND($C167="売",MOD($F167*IF($C167="売",1-V811設定!$B$4,1+V811設定!$B$4),IF($F167&lt;=3000,1,IF($F167&lt;=5000,5,IF($F167&lt;=30000,10,IF($F167&lt;=50000,50,IF($F167&lt;=300000,100,500))))))&gt;0),IF($F167&lt;=3000,1,IF($F167&lt;=5000,5,IF($F167&lt;=30000,10,IF($F167&lt;=50000,50,IF($F167&lt;=300000,100,500))))),0))</f>
      </c>
      <c r="N167" s="491" t="str">
        <f>IF($F167="","",$F167*IF($C167="売",1+V811設定!$B$3,1-V811設定!$B$3)-MOD($F167*IF($C167="売",1+V811設定!$B$3,1-V811設定!$B$3),IF($F167&lt;=3000,1,IF($F167&lt;=5000,5,IF($F167&lt;=30000,10,IF($F167&lt;=50000,50,IF($F167&lt;=300000,100,500))))))+IF(AND($C167="売",MOD($F167*IF($C167="売",1+V811設定!$B$3,1-V811設定!$B$3),IF($F167&lt;=3000,1,IF($F167&lt;=5000,5,IF($F167&lt;=30000,10,IF($F167&lt;=50000,50,IF($F167&lt;=300000,100,500))))))&gt;0),IF($F167&lt;=3000,1,IF($F167&lt;=5000,5,IF($F167&lt;=30000,10,IF($F167&lt;=50000,50,IF($F167&lt;=300000,100,500))))),0))</f>
      </c>
      <c r="O167" s="492" t="str">
        <f>IF(OR($B167="",$F167="",$H167=""),"",IF($S167="✅売却済","―決済済―",IF($C167="売",IF($H167&lt;=$M167,"🟢利確",IF(AND($R167&lt;&gt;"",$H167&gt;=$R167),"🟠TRAIL",IF($H167&gt;=$N167,"🔴損切",IF($W167&gt;=V811設定!$B$6,"⏱時間決済",IF($H167&gt;=$F167*(1+V811設定!$B$3*0.7),"⚠️損切接近","保持継続"))))),IF($H167&gt;=$M167,"🟢利確",IF(AND($R167&lt;&gt;"",$H167&lt;=$R167),"🟠TRAIL",IF($H167&lt;=$N167,"🔴損切",IF($W167&gt;=V811設定!$B$6,"⏱時間決済",IF($H167&lt;=$F167*(1-V811設定!$B$3*0.7),"⚠️損切接近","保持継続"))))))))</f>
      </c>
      <c r="P167" s="491"/>
      <c r="Q167" s="491"/>
      <c r="R167" s="491" t="str">
        <f>IF(OR($F167="",$H167="",$N167=""),"",IF($S167="✅売却済","",IF($C167="売",IF($H167&gt;$F167*(1-V811設定!$B$3),$N167,MIN($N167,IF($Q167="",$N167,$Q167*1.03))),IF($H167&lt;$F167*(1+V811設定!$B$3),$N167,MAX($N167,IF($P167="",$N167,$P167*0.97))))))</f>
      </c>
      <c r="S167" s="586" t="str">
        <f>IF(B167="","",IF(T167&lt;&gt;"","✅売却済",IF(OR(H167="",L167=""),"📌保有中",IF(L167&gt;=0.06,"🟢利確推奨",IF(L167&gt;=0.05,"🟡利確直近",IF(L167&gt;=0.045,"🔵トレーリング検討",IF(L167&gt;-0.03,"📌保有中",IF(L167&gt;-0.04,"⚠️損切注意","🔴損切り"))))))))</f>
        <v/>
      </c>
      <c r="T167" s="594"/>
      <c r="U167" s="491"/>
      <c r="V167" s="701" t="str">
        <f>IF(OR(F167="",G167="",U167=""),"",IF(C167="売",(F167-U167)*G167,(U167-F167)*G167))</f>
        <v/>
      </c>
      <c r="W167" s="493" t="str">
        <f>IF(OR($E167="",$B167=""),"",IF($T167&lt;&gt;"",$T167-$E167,TODAY()-$E167)+1)</f>
        <v/>
      </c>
      <c r="X167" s="489" t="str">
        <f>IF(OR($AH167="",$AH167="保有中"),"",$AH167)</f>
        <v/>
      </c>
      <c r="Y167" s="488"/>
      <c r="Z167" s="710"/>
      <c r="AD167" s="608"/>
      <c r="AE167" s="600" t="str">
        <f>IF($E167="","",WORKDAY($E167,12))</f>
        <v/>
      </c>
      <c r="AF167" s="600" t="str" cm="1">
        <f t="array" aca="1" ref="AF167" ca="1">IF(OR($B167="",$M167=""),"",IFERROR(IF($C167="売",_xlfn.MINIFS(安値!$E$3:$IT$3,安値!$E$3:$IT$3,"&gt;"&amp;$E167,安値!$E$3:$IT$3,"&lt;="&amp;$AE167,OFFSET(安値!$E$6:$IT$6,MATCH(TEXT($B167,"0"),TEXT(銘柄管理!$B$6:$B$305,"0"),0)-1,0),"&lt;="&amp;$M167),_xlfn.MINIFS(高値!$E$3:$IT$3,高値!$E$3:$IT$3,"&gt;"&amp;$E167,高値!$E$3:$IT$3,"&lt;="&amp;$AE167,OFFSET(高値!$E$6:$IT$6,MATCH(TEXT($B167,"0"),TEXT(銘柄管理!$B$6:$B$305,"0"),0)-1,0),"&gt;="&amp;$M167)),""))</f>
        <v/>
      </c>
      <c r="AG167" s="600" t="str" cm="1">
        <f t="array" aca="1" ref="AG167" ca="1">IF(OR($B167="",$N167=""),"",IFERROR(IF($C167="売",_xlfn.MINIFS(高値!$E$3:$IT$3,高値!$E$3:$IT$3,"&gt;"&amp;$E167,高値!$E$3:$IT$3,"&lt;="&amp;$AE167,OFFSET(高値!$E$6:$IT$6,MATCH(TEXT($B167,"0"),TEXT(銘柄管理!$B$6:$B$305,"0"),0)-1,0),"&gt;="&amp;$N167),_xlfn.MINIFS(安値!$E$3:$IT$3,安値!$E$3:$IT$3,"&gt;"&amp;$E167,安値!$E$3:$IT$3,"&lt;="&amp;$AE167,OFFSET(安値!$E$6:$IT$6,MATCH(TEXT($B167,"0"),TEXT(銘柄管理!$B$6:$B$305,"0"),0)-1,0),"&lt;="&amp;$N167)),""))</f>
        <v/>
      </c>
      <c r="AH167" s="600" t="str">
        <f>IF(OR($B167="",$M167=""),"",IF(AND(N($AF167)=0,N($AG167)=0),IF(AND(ISNUMBER($H167),$H167&gt;0,IF($C167="売",$H167&gt;=$N167,$H167&lt;=$N167)),"損切確定",IF(AND(ISNUMBER($H167),$H167&gt;0,IF($C167="売",$H167&lt;=$M167,$H167&gt;=$M167)),"利益確定",IF($AE167&lt;=TODAY(),"日数制限","保有中"))),IF(N($AG167)=0,"利益確定",IF(N($AF167)=0,"損切確定",IF($AG167&lt;=$AF167,"損切確定","利益確定")))))</f>
        <v/>
      </c>
      <c r="AI167" s="600" t="str" cm="1">
        <f t="array" ref="AI167">IFERROR(INDEX(始値!$E$6:$IT$305,MATCH(TEXT($B167,"0"),TEXT(銘柄管理!$B$6:$B$305,"0"),0),MATCH($AE167,始値!$E$3:$IT$3,0)),"")</f>
        <v/>
      </c>
      <c r="AJ167" s="608" t="str">
        <f>IF(OR($V167="",$F167="",$G167=""),"",$V167/($F167*$G167))</f>
        <v/>
      </c>
      <c r="AK167" s="600" t="str">
        <f>IF($V167="","",IF($V167&gt;0,"○勝",IF($V167&lt;0,"●負","△引分")))</f>
        <v/>
      </c>
    </row>
    <row r="168" spans="1:37" ht="35.4" customHeight="1">
      <c r="A168" s="619" t="str">
        <f>IF(B168="","",HYPERLINK("https://kabutan.jp/stock/?code="&amp;B168,"株探"))</f>
        <v/>
      </c>
      <c r="B168" s="489"/>
      <c r="C168" s="489"/>
      <c r="D168" s="489" t="str" cm="1">
        <f t="array" ref="D168">_xll.RssMarket(B168, "銘柄名称")</f>
        <v/>
      </c>
      <c r="E168" s="716"/>
      <c r="F168" s="698" t="str" cm="1">
        <f t="array" aca="1" ref="F168" ca="1">IFERROR(_xlfn.LET(_xlpm.r,MATCH(TEXT($B168,"0"),TEXT(銘柄管理!$B$6:$B$305,"0"),0),_xlpm.t,MOD(NOW(),1),_xlpm.c,IF($E168=TODAY(),IF(_xlpm.t&gt;=TIME(15,30,0),NA(),1),IF(MATCH($E168,始値!$E$3:$IT$3,0)=1,1,MATCH($E168,始値!$E$3:$IT$3,0)+1)),_xlpm.v,INDEX(始値!$C$6:$IT$305,_xlpm.r,_xlpm.c),IF(N(_xlpm.v)=0,"",_xlpm.v)),"")</f>
        <v/>
      </c>
      <c r="G168" s="489"/>
      <c r="H168" s="491" t="str" cm="1">
        <f t="array" ref="H168">_xll.RssMarket(B168, "現在値")</f>
        <v/>
      </c>
      <c r="I168" s="491" t="str" cm="1">
        <f t="array" ref="I168">_xll.RssMarket(B168, "出来高加重平均")</f>
        <v/>
      </c>
      <c r="J168" s="701" t="str" cm="1">
        <f t="array" ref="J168">_xll.RssMarket($B168, "前日比")</f>
        <v/>
      </c>
      <c r="K168" s="701" t="str">
        <f>IF(OR(F168="",G168="",H168=""),"",IF(C168="売",(F168-H168)*G168,(H168-F168)*G168))</f>
        <v/>
      </c>
      <c r="L168" s="706" t="str">
        <f>IF(OR(F168="",H168=""),"",IF(C168="売",(F168-H168)/F168,(H168-F168)/F168))</f>
        <v/>
      </c>
      <c r="M168" s="491" t="str">
        <f>IF($F168="","",$F168*IF($C168="売",1-V811設定!$B$4,1+V811設定!$B$4)-MOD($F168*IF($C168="売",1-V811設定!$B$4,1+V811設定!$B$4),IF($F168&lt;=3000,1,IF($F168&lt;=5000,5,IF($F168&lt;=30000,10,IF($F168&lt;=50000,50,IF($F168&lt;=300000,100,500))))))+IF(AND($C168="売",MOD($F168*IF($C168="売",1-V811設定!$B$4,1+V811設定!$B$4),IF($F168&lt;=3000,1,IF($F168&lt;=5000,5,IF($F168&lt;=30000,10,IF($F168&lt;=50000,50,IF($F168&lt;=300000,100,500))))))&gt;0),IF($F168&lt;=3000,1,IF($F168&lt;=5000,5,IF($F168&lt;=30000,10,IF($F168&lt;=50000,50,IF($F168&lt;=300000,100,500))))),0))</f>
      </c>
      <c r="N168" s="491" t="str">
        <f>IF($F168="","",$F168*IF($C168="売",1+V811設定!$B$3,1-V811設定!$B$3)-MOD($F168*IF($C168="売",1+V811設定!$B$3,1-V811設定!$B$3),IF($F168&lt;=3000,1,IF($F168&lt;=5000,5,IF($F168&lt;=30000,10,IF($F168&lt;=50000,50,IF($F168&lt;=300000,100,500))))))+IF(AND($C168="売",MOD($F168*IF($C168="売",1+V811設定!$B$3,1-V811設定!$B$3),IF($F168&lt;=3000,1,IF($F168&lt;=5000,5,IF($F168&lt;=30000,10,IF($F168&lt;=50000,50,IF($F168&lt;=300000,100,500))))))&gt;0),IF($F168&lt;=3000,1,IF($F168&lt;=5000,5,IF($F168&lt;=30000,10,IF($F168&lt;=50000,50,IF($F168&lt;=300000,100,500))))),0))</f>
      </c>
      <c r="O168" s="492" t="str">
        <f>IF(OR($B168="",$F168="",$H168=""),"",IF($S168="✅売却済","―決済済―",IF($C168="売",IF($H168&lt;=$M168,"🟢利確",IF(AND($R168&lt;&gt;"",$H168&gt;=$R168),"🟠TRAIL",IF($H168&gt;=$N168,"🔴損切",IF($W168&gt;=V811設定!$B$6,"⏱時間決済",IF($H168&gt;=$F168*(1+V811設定!$B$3*0.7),"⚠️損切接近","保持継続"))))),IF($H168&gt;=$M168,"🟢利確",IF(AND($R168&lt;&gt;"",$H168&lt;=$R168),"🟠TRAIL",IF($H168&lt;=$N168,"🔴損切",IF($W168&gt;=V811設定!$B$6,"⏱時間決済",IF($H168&lt;=$F168*(1-V811設定!$B$3*0.7),"⚠️損切接近","保持継続"))))))))</f>
      </c>
      <c r="P168" s="491"/>
      <c r="Q168" s="491"/>
      <c r="R168" s="491" t="str">
        <f>IF(OR($F168="",$H168="",$N168=""),"",IF($S168="✅売却済","",IF($C168="売",IF($H168&gt;$F168*(1-V811設定!$B$3),$N168,MIN($N168,IF($Q168="",$N168,$Q168*1.03))),IF($H168&lt;$F168*(1+V811設定!$B$3),$N168,MAX($N168,IF($P168="",$N168,$P168*0.97))))))</f>
      </c>
      <c r="S168" s="586" t="str">
        <f>IF(B168="","",IF(T168&lt;&gt;"","✅売却済",IF(OR(H168="",L168=""),"📌保有中",IF(L168&gt;=0.06,"🟢利確推奨",IF(L168&gt;=0.05,"🟡利確直近",IF(L168&gt;=0.045,"🔵トレーリング検討",IF(L168&gt;-0.03,"📌保有中",IF(L168&gt;-0.04,"⚠️損切注意","🔴損切り"))))))))</f>
        <v/>
      </c>
      <c r="T168" s="594"/>
      <c r="U168" s="491"/>
      <c r="V168" s="701" t="str">
        <f>IF(OR(F168="",G168="",U168=""),"",IF(C168="売",(F168-U168)*G168,(U168-F168)*G168))</f>
        <v/>
      </c>
      <c r="W168" s="493" t="str">
        <f>IF(OR($E168="",$B168=""),"",IF($T168&lt;&gt;"",$T168-$E168,TODAY()-$E168)+1)</f>
        <v/>
      </c>
      <c r="X168" s="489" t="str">
        <f>IF(OR($AH168="",$AH168="保有中"),"",$AH168)</f>
        <v/>
      </c>
      <c r="Y168" s="488"/>
      <c r="Z168" s="710"/>
      <c r="AD168" s="608"/>
      <c r="AE168" s="600" t="str">
        <f>IF($E168="","",WORKDAY($E168,12))</f>
        <v/>
      </c>
      <c r="AF168" s="600" t="str" cm="1">
        <f t="array" aca="1" ref="AF168" ca="1">IF(OR($B168="",$M168=""),"",IFERROR(IF($C168="売",_xlfn.MINIFS(安値!$E$3:$IT$3,安値!$E$3:$IT$3,"&gt;"&amp;$E168,安値!$E$3:$IT$3,"&lt;="&amp;$AE168,OFFSET(安値!$E$6:$IT$6,MATCH(TEXT($B168,"0"),TEXT(銘柄管理!$B$6:$B$305,"0"),0)-1,0),"&lt;="&amp;$M168),_xlfn.MINIFS(高値!$E$3:$IT$3,高値!$E$3:$IT$3,"&gt;"&amp;$E168,高値!$E$3:$IT$3,"&lt;="&amp;$AE168,OFFSET(高値!$E$6:$IT$6,MATCH(TEXT($B168,"0"),TEXT(銘柄管理!$B$6:$B$305,"0"),0)-1,0),"&gt;="&amp;$M168)),""))</f>
        <v/>
      </c>
      <c r="AG168" s="600" t="str" cm="1">
        <f t="array" aca="1" ref="AG168" ca="1">IF(OR($B168="",$N168=""),"",IFERROR(IF($C168="売",_xlfn.MINIFS(高値!$E$3:$IT$3,高値!$E$3:$IT$3,"&gt;"&amp;$E168,高値!$E$3:$IT$3,"&lt;="&amp;$AE168,OFFSET(高値!$E$6:$IT$6,MATCH(TEXT($B168,"0"),TEXT(銘柄管理!$B$6:$B$305,"0"),0)-1,0),"&gt;="&amp;$N168),_xlfn.MINIFS(安値!$E$3:$IT$3,安値!$E$3:$IT$3,"&gt;"&amp;$E168,安値!$E$3:$IT$3,"&lt;="&amp;$AE168,OFFSET(安値!$E$6:$IT$6,MATCH(TEXT($B168,"0"),TEXT(銘柄管理!$B$6:$B$305,"0"),0)-1,0),"&lt;="&amp;$N168)),""))</f>
        <v/>
      </c>
      <c r="AH168" s="600" t="str">
        <f>IF(OR($B168="",$M168=""),"",IF(AND(N($AF168)=0,N($AG168)=0),IF(AND(ISNUMBER($H168),$H168&gt;0,IF($C168="売",$H168&gt;=$N168,$H168&lt;=$N168)),"損切確定",IF(AND(ISNUMBER($H168),$H168&gt;0,IF($C168="売",$H168&lt;=$M168,$H168&gt;=$M168)),"利益確定",IF($AE168&lt;=TODAY(),"日数制限","保有中"))),IF(N($AG168)=0,"利益確定",IF(N($AF168)=0,"損切確定",IF($AG168&lt;=$AF168,"損切確定","利益確定")))))</f>
        <v/>
      </c>
      <c r="AI168" s="600" t="str" cm="1">
        <f t="array" ref="AI168">IFERROR(INDEX(始値!$E$6:$IT$305,MATCH(TEXT($B168,"0"),TEXT(銘柄管理!$B$6:$B$305,"0"),0),MATCH($AE168,始値!$E$3:$IT$3,0)),"")</f>
        <v/>
      </c>
      <c r="AJ168" s="608" t="str">
        <f>IF(OR($V168="",$F168="",$G168=""),"",$V168/($F168*$G168))</f>
        <v/>
      </c>
      <c r="AK168" s="600" t="str">
        <f>IF($V168="","",IF($V168&gt;0,"○勝",IF($V168&lt;0,"●負","△引分")))</f>
        <v/>
      </c>
    </row>
    <row r="169" spans="1:37" ht="35.4" customHeight="1">
      <c r="A169" s="619" t="str">
        <f>IF(B169="","",HYPERLINK("https://kabutan.jp/stock/?code="&amp;B169,"株探"))</f>
        <v/>
      </c>
      <c r="B169" s="489"/>
      <c r="C169" s="489"/>
      <c r="D169" s="489" t="str" cm="1">
        <f t="array" ref="D169">_xll.RssMarket(B169, "銘柄名称")</f>
        <v/>
      </c>
      <c r="E169" s="716"/>
      <c r="F169" s="698" t="str" cm="1">
        <f t="array" aca="1" ref="F169" ca="1">IFERROR(_xlfn.LET(_xlpm.r,MATCH(TEXT($B169,"0"),TEXT(銘柄管理!$B$6:$B$305,"0"),0),_xlpm.t,MOD(NOW(),1),_xlpm.c,IF($E169=TODAY(),IF(_xlpm.t&gt;=TIME(15,30,0),NA(),1),IF(MATCH($E169,始値!$E$3:$IT$3,0)=1,1,MATCH($E169,始値!$E$3:$IT$3,0)+1)),_xlpm.v,INDEX(始値!$C$6:$IT$305,_xlpm.r,_xlpm.c),IF(N(_xlpm.v)=0,"",_xlpm.v)),"")</f>
        <v/>
      </c>
      <c r="G169" s="489"/>
      <c r="H169" s="491" t="str" cm="1">
        <f t="array" ref="H169">_xll.RssMarket(B169, "現在値")</f>
        <v/>
      </c>
      <c r="I169" s="491" t="str" cm="1">
        <f t="array" ref="I169">_xll.RssMarket(B169, "出来高加重平均")</f>
        <v/>
      </c>
      <c r="J169" s="701" t="str" cm="1">
        <f t="array" ref="J169">_xll.RssMarket($B169, "前日比")</f>
        <v/>
      </c>
      <c r="K169" s="701" t="str">
        <f>IF(OR(F169="",G169="",H169=""),"",IF(C169="売",(F169-H169)*G169,(H169-F169)*G169))</f>
        <v/>
      </c>
      <c r="L169" s="706" t="str">
        <f>IF(OR(F169="",H169=""),"",IF(C169="売",(F169-H169)/F169,(H169-F169)/F169))</f>
        <v/>
      </c>
      <c r="M169" s="491" t="str">
        <f>IF($F169="","",$F169*IF($C169="売",1-V811設定!$B$4,1+V811設定!$B$4)-MOD($F169*IF($C169="売",1-V811設定!$B$4,1+V811設定!$B$4),IF($F169&lt;=3000,1,IF($F169&lt;=5000,5,IF($F169&lt;=30000,10,IF($F169&lt;=50000,50,IF($F169&lt;=300000,100,500))))))+IF(AND($C169="売",MOD($F169*IF($C169="売",1-V811設定!$B$4,1+V811設定!$B$4),IF($F169&lt;=3000,1,IF($F169&lt;=5000,5,IF($F169&lt;=30000,10,IF($F169&lt;=50000,50,IF($F169&lt;=300000,100,500))))))&gt;0),IF($F169&lt;=3000,1,IF($F169&lt;=5000,5,IF($F169&lt;=30000,10,IF($F169&lt;=50000,50,IF($F169&lt;=300000,100,500))))),0))</f>
      </c>
      <c r="N169" s="491" t="str">
        <f>IF($F169="","",$F169*IF($C169="売",1+V811設定!$B$3,1-V811設定!$B$3)-MOD($F169*IF($C169="売",1+V811設定!$B$3,1-V811設定!$B$3),IF($F169&lt;=3000,1,IF($F169&lt;=5000,5,IF($F169&lt;=30000,10,IF($F169&lt;=50000,50,IF($F169&lt;=300000,100,500))))))+IF(AND($C169="売",MOD($F169*IF($C169="売",1+V811設定!$B$3,1-V811設定!$B$3),IF($F169&lt;=3000,1,IF($F169&lt;=5000,5,IF($F169&lt;=30000,10,IF($F169&lt;=50000,50,IF($F169&lt;=300000,100,500))))))&gt;0),IF($F169&lt;=3000,1,IF($F169&lt;=5000,5,IF($F169&lt;=30000,10,IF($F169&lt;=50000,50,IF($F169&lt;=300000,100,500))))),0))</f>
      </c>
      <c r="O169" s="492" t="str">
        <f>IF(OR($B169="",$F169="",$H169=""),"",IF($S169="✅売却済","―決済済―",IF($C169="売",IF($H169&lt;=$M169,"🟢利確",IF(AND($R169&lt;&gt;"",$H169&gt;=$R169),"🟠TRAIL",IF($H169&gt;=$N169,"🔴損切",IF($W169&gt;=V811設定!$B$6,"⏱時間決済",IF($H169&gt;=$F169*(1+V811設定!$B$3*0.7),"⚠️損切接近","保持継続"))))),IF($H169&gt;=$M169,"🟢利確",IF(AND($R169&lt;&gt;"",$H169&lt;=$R169),"🟠TRAIL",IF($H169&lt;=$N169,"🔴損切",IF($W169&gt;=V811設定!$B$6,"⏱時間決済",IF($H169&lt;=$F169*(1-V811設定!$B$3*0.7),"⚠️損切接近","保持継続"))))))))</f>
      </c>
      <c r="P169" s="491"/>
      <c r="Q169" s="491"/>
      <c r="R169" s="491" t="str">
        <f>IF(OR($F169="",$H169="",$N169=""),"",IF($S169="✅売却済","",IF($C169="売",IF($H169&gt;$F169*(1-V811設定!$B$3),$N169,MIN($N169,IF($Q169="",$N169,$Q169*1.03))),IF($H169&lt;$F169*(1+V811設定!$B$3),$N169,MAX($N169,IF($P169="",$N169,$P169*0.97))))))</f>
      </c>
      <c r="S169" s="586" t="str">
        <f>IF(B169="","",IF(T169&lt;&gt;"","✅売却済",IF(OR(H169="",L169=""),"📌保有中",IF(L169&gt;=0.06,"🟢利確推奨",IF(L169&gt;=0.05,"🟡利確直近",IF(L169&gt;=0.045,"🔵トレーリング検討",IF(L169&gt;-0.03,"📌保有中",IF(L169&gt;-0.04,"⚠️損切注意","🔴損切り"))))))))</f>
        <v/>
      </c>
      <c r="T169" s="594"/>
      <c r="U169" s="491"/>
      <c r="V169" s="701" t="str">
        <f>IF(OR(F169="",G169="",U169=""),"",IF(C169="売",(F169-U169)*G169,(U169-F169)*G169))</f>
        <v/>
      </c>
      <c r="W169" s="493" t="str">
        <f>IF(OR($E169="",$B169=""),"",IF($T169&lt;&gt;"",$T169-$E169,TODAY()-$E169)+1)</f>
        <v/>
      </c>
      <c r="X169" s="489" t="str">
        <f>IF(OR($AH169="",$AH169="保有中"),"",$AH169)</f>
        <v/>
      </c>
      <c r="Y169" s="488"/>
      <c r="Z169" s="710"/>
      <c r="AD169" s="608"/>
      <c r="AE169" s="600" t="str">
        <f>IF($E169="","",WORKDAY($E169,12))</f>
        <v/>
      </c>
      <c r="AF169" s="600" t="str" cm="1">
        <f t="array" aca="1" ref="AF169" ca="1">IF(OR($B169="",$M169=""),"",IFERROR(IF($C169="売",_xlfn.MINIFS(安値!$E$3:$IT$3,安値!$E$3:$IT$3,"&gt;"&amp;$E169,安値!$E$3:$IT$3,"&lt;="&amp;$AE169,OFFSET(安値!$E$6:$IT$6,MATCH(TEXT($B169,"0"),TEXT(銘柄管理!$B$6:$B$305,"0"),0)-1,0),"&lt;="&amp;$M169),_xlfn.MINIFS(高値!$E$3:$IT$3,高値!$E$3:$IT$3,"&gt;"&amp;$E169,高値!$E$3:$IT$3,"&lt;="&amp;$AE169,OFFSET(高値!$E$6:$IT$6,MATCH(TEXT($B169,"0"),TEXT(銘柄管理!$B$6:$B$305,"0"),0)-1,0),"&gt;="&amp;$M169)),""))</f>
        <v/>
      </c>
      <c r="AG169" s="600" t="str" cm="1">
        <f t="array" aca="1" ref="AG169" ca="1">IF(OR($B169="",$N169=""),"",IFERROR(IF($C169="売",_xlfn.MINIFS(高値!$E$3:$IT$3,高値!$E$3:$IT$3,"&gt;"&amp;$E169,高値!$E$3:$IT$3,"&lt;="&amp;$AE169,OFFSET(高値!$E$6:$IT$6,MATCH(TEXT($B169,"0"),TEXT(銘柄管理!$B$6:$B$305,"0"),0)-1,0),"&gt;="&amp;$N169),_xlfn.MINIFS(安値!$E$3:$IT$3,安値!$E$3:$IT$3,"&gt;"&amp;$E169,安値!$E$3:$IT$3,"&lt;="&amp;$AE169,OFFSET(安値!$E$6:$IT$6,MATCH(TEXT($B169,"0"),TEXT(銘柄管理!$B$6:$B$305,"0"),0)-1,0),"&lt;="&amp;$N169)),""))</f>
        <v/>
      </c>
      <c r="AH169" s="600" t="str">
        <f>IF(OR($B169="",$M169=""),"",IF(AND(N($AF169)=0,N($AG169)=0),IF(AND(ISNUMBER($H169),$H169&gt;0,IF($C169="売",$H169&gt;=$N169,$H169&lt;=$N169)),"損切確定",IF(AND(ISNUMBER($H169),$H169&gt;0,IF($C169="売",$H169&lt;=$M169,$H169&gt;=$M169)),"利益確定",IF($AE169&lt;=TODAY(),"日数制限","保有中"))),IF(N($AG169)=0,"利益確定",IF(N($AF169)=0,"損切確定",IF($AG169&lt;=$AF169,"損切確定","利益確定")))))</f>
        <v/>
      </c>
      <c r="AI169" s="600" t="str" cm="1">
        <f t="array" ref="AI169">IFERROR(INDEX(始値!$E$6:$IT$305,MATCH(TEXT($B169,"0"),TEXT(銘柄管理!$B$6:$B$305,"0"),0),MATCH($AE169,始値!$E$3:$IT$3,0)),"")</f>
        <v/>
      </c>
      <c r="AJ169" s="608" t="str">
        <f>IF(OR($V169="",$F169="",$G169=""),"",$V169/($F169*$G169))</f>
        <v/>
      </c>
      <c r="AK169" s="600" t="str">
        <f>IF($V169="","",IF($V169&gt;0,"○勝",IF($V169&lt;0,"●負","△引分")))</f>
        <v/>
      </c>
    </row>
    <row r="170" spans="1:37" ht="35.4" customHeight="1">
      <c r="A170" s="619" t="str">
        <f>IF(B170="","",HYPERLINK("https://kabutan.jp/stock/?code="&amp;B170,"株探"))</f>
        <v/>
      </c>
      <c r="B170" s="489"/>
      <c r="C170" s="489"/>
      <c r="D170" s="489" t="str" cm="1">
        <f t="array" ref="D170">_xll.RssMarket(B170, "銘柄名称")</f>
        <v/>
      </c>
      <c r="E170" s="716"/>
      <c r="F170" s="698" t="str" cm="1">
        <f t="array" aca="1" ref="F170" ca="1">IFERROR(_xlfn.LET(_xlpm.r,MATCH(TEXT($B170,"0"),TEXT(銘柄管理!$B$6:$B$305,"0"),0),_xlpm.t,MOD(NOW(),1),_xlpm.c,IF($E170=TODAY(),IF(_xlpm.t&gt;=TIME(15,30,0),NA(),1),IF(MATCH($E170,始値!$E$3:$IT$3,0)=1,1,MATCH($E170,始値!$E$3:$IT$3,0)+1)),_xlpm.v,INDEX(始値!$C$6:$IT$305,_xlpm.r,_xlpm.c),IF(N(_xlpm.v)=0,"",_xlpm.v)),"")</f>
        <v/>
      </c>
      <c r="G170" s="489"/>
      <c r="H170" s="491" t="str" cm="1">
        <f t="array" ref="H170">_xll.RssMarket(B170, "現在値")</f>
        <v/>
      </c>
      <c r="I170" s="491" t="str" cm="1">
        <f t="array" ref="I170">_xll.RssMarket(B170, "出来高加重平均")</f>
        <v/>
      </c>
      <c r="J170" s="701" t="str" cm="1">
        <f t="array" ref="J170">_xll.RssMarket($B170, "前日比")</f>
        <v/>
      </c>
      <c r="K170" s="701" t="str">
        <f>IF(OR(F170="",G170="",H170=""),"",IF(C170="売",(F170-H170)*G170,(H170-F170)*G170))</f>
        <v/>
      </c>
      <c r="L170" s="706" t="str">
        <f>IF(OR(F170="",H170=""),"",IF(C170="売",(F170-H170)/F170,(H170-F170)/F170))</f>
        <v/>
      </c>
      <c r="M170" s="491" t="str">
        <f>IF($F170="","",$F170*IF($C170="売",1-V811設定!$B$4,1+V811設定!$B$4)-MOD($F170*IF($C170="売",1-V811設定!$B$4,1+V811設定!$B$4),IF($F170&lt;=3000,1,IF($F170&lt;=5000,5,IF($F170&lt;=30000,10,IF($F170&lt;=50000,50,IF($F170&lt;=300000,100,500))))))+IF(AND($C170="売",MOD($F170*IF($C170="売",1-V811設定!$B$4,1+V811設定!$B$4),IF($F170&lt;=3000,1,IF($F170&lt;=5000,5,IF($F170&lt;=30000,10,IF($F170&lt;=50000,50,IF($F170&lt;=300000,100,500))))))&gt;0),IF($F170&lt;=3000,1,IF($F170&lt;=5000,5,IF($F170&lt;=30000,10,IF($F170&lt;=50000,50,IF($F170&lt;=300000,100,500))))),0))</f>
      </c>
      <c r="N170" s="491" t="str">
        <f>IF($F170="","",$F170*IF($C170="売",1+V811設定!$B$3,1-V811設定!$B$3)-MOD($F170*IF($C170="売",1+V811設定!$B$3,1-V811設定!$B$3),IF($F170&lt;=3000,1,IF($F170&lt;=5000,5,IF($F170&lt;=30000,10,IF($F170&lt;=50000,50,IF($F170&lt;=300000,100,500))))))+IF(AND($C170="売",MOD($F170*IF($C170="売",1+V811設定!$B$3,1-V811設定!$B$3),IF($F170&lt;=3000,1,IF($F170&lt;=5000,5,IF($F170&lt;=30000,10,IF($F170&lt;=50000,50,IF($F170&lt;=300000,100,500))))))&gt;0),IF($F170&lt;=3000,1,IF($F170&lt;=5000,5,IF($F170&lt;=30000,10,IF($F170&lt;=50000,50,IF($F170&lt;=300000,100,500))))),0))</f>
      </c>
      <c r="O170" s="492" t="str">
        <f>IF(OR($B170="",$F170="",$H170=""),"",IF($S170="✅売却済","―決済済―",IF($C170="売",IF($H170&lt;=$M170,"🟢利確",IF(AND($R170&lt;&gt;"",$H170&gt;=$R170),"🟠TRAIL",IF($H170&gt;=$N170,"🔴損切",IF($W170&gt;=V811設定!$B$6,"⏱時間決済",IF($H170&gt;=$F170*(1+V811設定!$B$3*0.7),"⚠️損切接近","保持継続"))))),IF($H170&gt;=$M170,"🟢利確",IF(AND($R170&lt;&gt;"",$H170&lt;=$R170),"🟠TRAIL",IF($H170&lt;=$N170,"🔴損切",IF($W170&gt;=V811設定!$B$6,"⏱時間決済",IF($H170&lt;=$F170*(1-V811設定!$B$3*0.7),"⚠️損切接近","保持継続"))))))))</f>
      </c>
      <c r="P170" s="491"/>
      <c r="Q170" s="491"/>
      <c r="R170" s="491" t="str">
        <f>IF(OR($F170="",$H170="",$N170=""),"",IF($S170="✅売却済","",IF($C170="売",IF($H170&gt;$F170*(1-V811設定!$B$3),$N170,MIN($N170,IF($Q170="",$N170,$Q170*1.03))),IF($H170&lt;$F170*(1+V811設定!$B$3),$N170,MAX($N170,IF($P170="",$N170,$P170*0.97))))))</f>
      </c>
      <c r="S170" s="586" t="str">
        <f>IF(B170="","",IF(T170&lt;&gt;"","✅売却済",IF(OR(H170="",L170=""),"📌保有中",IF(L170&gt;=0.06,"🟢利確推奨",IF(L170&gt;=0.05,"🟡利確直近",IF(L170&gt;=0.045,"🔵トレーリング検討",IF(L170&gt;-0.03,"📌保有中",IF(L170&gt;-0.04,"⚠️損切注意","🔴損切り"))))))))</f>
        <v/>
      </c>
      <c r="T170" s="594"/>
      <c r="U170" s="491"/>
      <c r="V170" s="701" t="str">
        <f>IF(OR(F170="",G170="",U170=""),"",IF(C170="売",(F170-U170)*G170,(U170-F170)*G170))</f>
        <v/>
      </c>
      <c r="W170" s="493" t="str">
        <f>IF(OR($E170="",$B170=""),"",IF($T170&lt;&gt;"",$T170-$E170,TODAY()-$E170)+1)</f>
        <v/>
      </c>
      <c r="X170" s="489" t="str">
        <f>IF(OR($AH170="",$AH170="保有中"),"",$AH170)</f>
        <v/>
      </c>
      <c r="Y170" s="488"/>
      <c r="Z170" s="710"/>
      <c r="AD170" s="608"/>
      <c r="AE170" s="600" t="str">
        <f>IF($E170="","",WORKDAY($E170,12))</f>
        <v/>
      </c>
      <c r="AF170" s="600" t="str" cm="1">
        <f t="array" aca="1" ref="AF170" ca="1">IF(OR($B170="",$M170=""),"",IFERROR(IF($C170="売",_xlfn.MINIFS(安値!$E$3:$IT$3,安値!$E$3:$IT$3,"&gt;"&amp;$E170,安値!$E$3:$IT$3,"&lt;="&amp;$AE170,OFFSET(安値!$E$6:$IT$6,MATCH(TEXT($B170,"0"),TEXT(銘柄管理!$B$6:$B$305,"0"),0)-1,0),"&lt;="&amp;$M170),_xlfn.MINIFS(高値!$E$3:$IT$3,高値!$E$3:$IT$3,"&gt;"&amp;$E170,高値!$E$3:$IT$3,"&lt;="&amp;$AE170,OFFSET(高値!$E$6:$IT$6,MATCH(TEXT($B170,"0"),TEXT(銘柄管理!$B$6:$B$305,"0"),0)-1,0),"&gt;="&amp;$M170)),""))</f>
        <v/>
      </c>
      <c r="AG170" s="600" t="str" cm="1">
        <f t="array" aca="1" ref="AG170" ca="1">IF(OR($B170="",$N170=""),"",IFERROR(IF($C170="売",_xlfn.MINIFS(高値!$E$3:$IT$3,高値!$E$3:$IT$3,"&gt;"&amp;$E170,高値!$E$3:$IT$3,"&lt;="&amp;$AE170,OFFSET(高値!$E$6:$IT$6,MATCH(TEXT($B170,"0"),TEXT(銘柄管理!$B$6:$B$305,"0"),0)-1,0),"&gt;="&amp;$N170),_xlfn.MINIFS(安値!$E$3:$IT$3,安値!$E$3:$IT$3,"&gt;"&amp;$E170,安値!$E$3:$IT$3,"&lt;="&amp;$AE170,OFFSET(安値!$E$6:$IT$6,MATCH(TEXT($B170,"0"),TEXT(銘柄管理!$B$6:$B$305,"0"),0)-1,0),"&lt;="&amp;$N170)),""))</f>
        <v/>
      </c>
      <c r="AH170" s="600" t="str">
        <f>IF(OR($B170="",$M170=""),"",IF(AND(N($AF170)=0,N($AG170)=0),IF(AND(ISNUMBER($H170),$H170&gt;0,IF($C170="売",$H170&gt;=$N170,$H170&lt;=$N170)),"損切確定",IF(AND(ISNUMBER($H170),$H170&gt;0,IF($C170="売",$H170&lt;=$M170,$H170&gt;=$M170)),"利益確定",IF($AE170&lt;=TODAY(),"日数制限","保有中"))),IF(N($AG170)=0,"利益確定",IF(N($AF170)=0,"損切確定",IF($AG170&lt;=$AF170,"損切確定","利益確定")))))</f>
        <v/>
      </c>
      <c r="AI170" s="600" t="str" cm="1">
        <f t="array" ref="AI170">IFERROR(INDEX(始値!$E$6:$IT$305,MATCH(TEXT($B170,"0"),TEXT(銘柄管理!$B$6:$B$305,"0"),0),MATCH($AE170,始値!$E$3:$IT$3,0)),"")</f>
        <v/>
      </c>
      <c r="AJ170" s="608" t="str">
        <f>IF(OR($V170="",$F170="",$G170=""),"",$V170/($F170*$G170))</f>
        <v/>
      </c>
      <c r="AK170" s="600" t="str">
        <f>IF($V170="","",IF($V170&gt;0,"○勝",IF($V170&lt;0,"●負","△引分")))</f>
        <v/>
      </c>
    </row>
    <row r="171" spans="1:37" ht="35.4" customHeight="1">
      <c r="A171" s="619" t="str">
        <f>IF(B171="","",HYPERLINK("https://kabutan.jp/stock/?code="&amp;B171,"株探"))</f>
        <v/>
      </c>
      <c r="B171" s="489"/>
      <c r="C171" s="489"/>
      <c r="D171" s="489" t="str" cm="1">
        <f t="array" ref="D171">_xll.RssMarket(B171, "銘柄名称")</f>
        <v/>
      </c>
      <c r="E171" s="716"/>
      <c r="F171" s="698" t="str" cm="1">
        <f t="array" aca="1" ref="F171" ca="1">IFERROR(_xlfn.LET(_xlpm.r,MATCH(TEXT($B171,"0"),TEXT(銘柄管理!$B$6:$B$305,"0"),0),_xlpm.t,MOD(NOW(),1),_xlpm.c,IF($E171=TODAY(),IF(_xlpm.t&gt;=TIME(15,30,0),NA(),1),IF(MATCH($E171,始値!$E$3:$IT$3,0)=1,1,MATCH($E171,始値!$E$3:$IT$3,0)+1)),_xlpm.v,INDEX(始値!$C$6:$IT$305,_xlpm.r,_xlpm.c),IF(N(_xlpm.v)=0,"",_xlpm.v)),"")</f>
        <v/>
      </c>
      <c r="G171" s="489"/>
      <c r="H171" s="491" t="str" cm="1">
        <f t="array" ref="H171">_xll.RssMarket(B171, "現在値")</f>
        <v/>
      </c>
      <c r="I171" s="491" t="str" cm="1">
        <f t="array" ref="I171">_xll.RssMarket(B171, "出来高加重平均")</f>
        <v/>
      </c>
      <c r="J171" s="701" t="str" cm="1">
        <f t="array" ref="J171">_xll.RssMarket($B171, "前日比")</f>
        <v/>
      </c>
      <c r="K171" s="701" t="str">
        <f>IF(OR(F171="",G171="",H171=""),"",IF(C171="売",(F171-H171)*G171,(H171-F171)*G171))</f>
        <v/>
      </c>
      <c r="L171" s="706" t="str">
        <f>IF(OR(F171="",H171=""),"",IF(C171="売",(F171-H171)/F171,(H171-F171)/F171))</f>
        <v/>
      </c>
      <c r="M171" s="491" t="str">
        <f>IF($F171="","",$F171*IF($C171="売",1-V811設定!$B$4,1+V811設定!$B$4)-MOD($F171*IF($C171="売",1-V811設定!$B$4,1+V811設定!$B$4),IF($F171&lt;=3000,1,IF($F171&lt;=5000,5,IF($F171&lt;=30000,10,IF($F171&lt;=50000,50,IF($F171&lt;=300000,100,500))))))+IF(AND($C171="売",MOD($F171*IF($C171="売",1-V811設定!$B$4,1+V811設定!$B$4),IF($F171&lt;=3000,1,IF($F171&lt;=5000,5,IF($F171&lt;=30000,10,IF($F171&lt;=50000,50,IF($F171&lt;=300000,100,500))))))&gt;0),IF($F171&lt;=3000,1,IF($F171&lt;=5000,5,IF($F171&lt;=30000,10,IF($F171&lt;=50000,50,IF($F171&lt;=300000,100,500))))),0))</f>
      </c>
      <c r="N171" s="491" t="str">
        <f>IF($F171="","",$F171*IF($C171="売",1+V811設定!$B$3,1-V811設定!$B$3)-MOD($F171*IF($C171="売",1+V811設定!$B$3,1-V811設定!$B$3),IF($F171&lt;=3000,1,IF($F171&lt;=5000,5,IF($F171&lt;=30000,10,IF($F171&lt;=50000,50,IF($F171&lt;=300000,100,500))))))+IF(AND($C171="売",MOD($F171*IF($C171="売",1+V811設定!$B$3,1-V811設定!$B$3),IF($F171&lt;=3000,1,IF($F171&lt;=5000,5,IF($F171&lt;=30000,10,IF($F171&lt;=50000,50,IF($F171&lt;=300000,100,500))))))&gt;0),IF($F171&lt;=3000,1,IF($F171&lt;=5000,5,IF($F171&lt;=30000,10,IF($F171&lt;=50000,50,IF($F171&lt;=300000,100,500))))),0))</f>
      </c>
      <c r="O171" s="492" t="str">
        <f>IF(OR($B171="",$F171="",$H171=""),"",IF($S171="✅売却済","―決済済―",IF($C171="売",IF($H171&lt;=$M171,"🟢利確",IF(AND($R171&lt;&gt;"",$H171&gt;=$R171),"🟠TRAIL",IF($H171&gt;=$N171,"🔴損切",IF($W171&gt;=V811設定!$B$6,"⏱時間決済",IF($H171&gt;=$F171*(1+V811設定!$B$3*0.7),"⚠️損切接近","保持継続"))))),IF($H171&gt;=$M171,"🟢利確",IF(AND($R171&lt;&gt;"",$H171&lt;=$R171),"🟠TRAIL",IF($H171&lt;=$N171,"🔴損切",IF($W171&gt;=V811設定!$B$6,"⏱時間決済",IF($H171&lt;=$F171*(1-V811設定!$B$3*0.7),"⚠️損切接近","保持継続"))))))))</f>
      </c>
      <c r="P171" s="491"/>
      <c r="Q171" s="491"/>
      <c r="R171" s="491" t="str">
        <f>IF(OR($F171="",$H171="",$N171=""),"",IF($S171="✅売却済","",IF($C171="売",IF($H171&gt;$F171*(1-V811設定!$B$3),$N171,MIN($N171,IF($Q171="",$N171,$Q171*1.03))),IF($H171&lt;$F171*(1+V811設定!$B$3),$N171,MAX($N171,IF($P171="",$N171,$P171*0.97))))))</f>
      </c>
      <c r="S171" s="586" t="str">
        <f>IF(B171="","",IF(T171&lt;&gt;"","✅売却済",IF(OR(H171="",L171=""),"📌保有中",IF(L171&gt;=0.06,"🟢利確推奨",IF(L171&gt;=0.05,"🟡利確直近",IF(L171&gt;=0.045,"🔵トレーリング検討",IF(L171&gt;-0.03,"📌保有中",IF(L171&gt;-0.04,"⚠️損切注意","🔴損切り"))))))))</f>
        <v/>
      </c>
      <c r="T171" s="594"/>
      <c r="U171" s="491"/>
      <c r="V171" s="701" t="str">
        <f>IF(OR(F171="",G171="",U171=""),"",IF(C171="売",(F171-U171)*G171,(U171-F171)*G171))</f>
        <v/>
      </c>
      <c r="W171" s="493" t="str">
        <f>IF(OR($E171="",$B171=""),"",IF($T171&lt;&gt;"",$T171-$E171,TODAY()-$E171)+1)</f>
        <v/>
      </c>
      <c r="X171" s="489" t="str">
        <f>IF(OR($AH171="",$AH171="保有中"),"",$AH171)</f>
        <v/>
      </c>
      <c r="Y171" s="488"/>
      <c r="Z171" s="710"/>
      <c r="AD171" s="608"/>
      <c r="AE171" s="600" t="str">
        <f>IF($E171="","",WORKDAY($E171,12))</f>
        <v/>
      </c>
      <c r="AF171" s="600" t="str" cm="1">
        <f t="array" aca="1" ref="AF171" ca="1">IF(OR($B171="",$M171=""),"",IFERROR(IF($C171="売",_xlfn.MINIFS(安値!$E$3:$IT$3,安値!$E$3:$IT$3,"&gt;"&amp;$E171,安値!$E$3:$IT$3,"&lt;="&amp;$AE171,OFFSET(安値!$E$6:$IT$6,MATCH(TEXT($B171,"0"),TEXT(銘柄管理!$B$6:$B$305,"0"),0)-1,0),"&lt;="&amp;$M171),_xlfn.MINIFS(高値!$E$3:$IT$3,高値!$E$3:$IT$3,"&gt;"&amp;$E171,高値!$E$3:$IT$3,"&lt;="&amp;$AE171,OFFSET(高値!$E$6:$IT$6,MATCH(TEXT($B171,"0"),TEXT(銘柄管理!$B$6:$B$305,"0"),0)-1,0),"&gt;="&amp;$M171)),""))</f>
        <v/>
      </c>
      <c r="AG171" s="600" t="str" cm="1">
        <f t="array" aca="1" ref="AG171" ca="1">IF(OR($B171="",$N171=""),"",IFERROR(IF($C171="売",_xlfn.MINIFS(高値!$E$3:$IT$3,高値!$E$3:$IT$3,"&gt;"&amp;$E171,高値!$E$3:$IT$3,"&lt;="&amp;$AE171,OFFSET(高値!$E$6:$IT$6,MATCH(TEXT($B171,"0"),TEXT(銘柄管理!$B$6:$B$305,"0"),0)-1,0),"&gt;="&amp;$N171),_xlfn.MINIFS(安値!$E$3:$IT$3,安値!$E$3:$IT$3,"&gt;"&amp;$E171,安値!$E$3:$IT$3,"&lt;="&amp;$AE171,OFFSET(安値!$E$6:$IT$6,MATCH(TEXT($B171,"0"),TEXT(銘柄管理!$B$6:$B$305,"0"),0)-1,0),"&lt;="&amp;$N171)),""))</f>
        <v/>
      </c>
      <c r="AH171" s="600" t="str">
        <f>IF(OR($B171="",$M171=""),"",IF(AND(N($AF171)=0,N($AG171)=0),IF(AND(ISNUMBER($H171),$H171&gt;0,IF($C171="売",$H171&gt;=$N171,$H171&lt;=$N171)),"損切確定",IF(AND(ISNUMBER($H171),$H171&gt;0,IF($C171="売",$H171&lt;=$M171,$H171&gt;=$M171)),"利益確定",IF($AE171&lt;=TODAY(),"日数制限","保有中"))),IF(N($AG171)=0,"利益確定",IF(N($AF171)=0,"損切確定",IF($AG171&lt;=$AF171,"損切確定","利益確定")))))</f>
        <v/>
      </c>
      <c r="AI171" s="600" t="str" cm="1">
        <f t="array" ref="AI171">IFERROR(INDEX(始値!$E$6:$IT$305,MATCH(TEXT($B171,"0"),TEXT(銘柄管理!$B$6:$B$305,"0"),0),MATCH($AE171,始値!$E$3:$IT$3,0)),"")</f>
        <v/>
      </c>
      <c r="AJ171" s="608" t="str">
        <f>IF(OR($V171="",$F171="",$G171=""),"",$V171/($F171*$G171))</f>
        <v/>
      </c>
      <c r="AK171" s="600" t="str">
        <f>IF($V171="","",IF($V171&gt;0,"○勝",IF($V171&lt;0,"●負","△引分")))</f>
        <v/>
      </c>
    </row>
    <row r="172" spans="1:37" ht="35.4" customHeight="1">
      <c r="A172" s="619" t="str">
        <f>IF(B172="","",HYPERLINK("https://kabutan.jp/stock/?code="&amp;B172,"株探"))</f>
        <v/>
      </c>
      <c r="B172" s="489"/>
      <c r="C172" s="489"/>
      <c r="D172" s="489" t="str" cm="1">
        <f t="array" ref="D172">_xll.RssMarket(B172, "銘柄名称")</f>
        <v/>
      </c>
      <c r="E172" s="716"/>
      <c r="F172" s="698" t="str" cm="1">
        <f t="array" aca="1" ref="F172" ca="1">IFERROR(_xlfn.LET(_xlpm.r,MATCH(TEXT($B172,"0"),TEXT(銘柄管理!$B$6:$B$305,"0"),0),_xlpm.t,MOD(NOW(),1),_xlpm.c,IF($E172=TODAY(),IF(_xlpm.t&gt;=TIME(15,30,0),NA(),1),IF(MATCH($E172,始値!$E$3:$IT$3,0)=1,1,MATCH($E172,始値!$E$3:$IT$3,0)+1)),_xlpm.v,INDEX(始値!$C$6:$IT$305,_xlpm.r,_xlpm.c),IF(N(_xlpm.v)=0,"",_xlpm.v)),"")</f>
        <v/>
      </c>
      <c r="G172" s="489"/>
      <c r="H172" s="491" t="str" cm="1">
        <f t="array" ref="H172">_xll.RssMarket(B172, "現在値")</f>
        <v/>
      </c>
      <c r="I172" s="491" t="str" cm="1">
        <f t="array" ref="I172">_xll.RssMarket(B172, "出来高加重平均")</f>
        <v/>
      </c>
      <c r="J172" s="701" t="str" cm="1">
        <f t="array" ref="J172">_xll.RssMarket($B172, "前日比")</f>
        <v/>
      </c>
      <c r="K172" s="701" t="str">
        <f>IF(OR(F172="",G172="",H172=""),"",IF(C172="売",(F172-H172)*G172,(H172-F172)*G172))</f>
        <v/>
      </c>
      <c r="L172" s="706" t="str">
        <f>IF(OR(F172="",H172=""),"",IF(C172="売",(F172-H172)/F172,(H172-F172)/F172))</f>
        <v/>
      </c>
      <c r="M172" s="491" t="str">
        <f>IF($F172="","",$F172*IF($C172="売",1-V811設定!$B$4,1+V811設定!$B$4)-MOD($F172*IF($C172="売",1-V811設定!$B$4,1+V811設定!$B$4),IF($F172&lt;=3000,1,IF($F172&lt;=5000,5,IF($F172&lt;=30000,10,IF($F172&lt;=50000,50,IF($F172&lt;=300000,100,500))))))+IF(AND($C172="売",MOD($F172*IF($C172="売",1-V811設定!$B$4,1+V811設定!$B$4),IF($F172&lt;=3000,1,IF($F172&lt;=5000,5,IF($F172&lt;=30000,10,IF($F172&lt;=50000,50,IF($F172&lt;=300000,100,500))))))&gt;0),IF($F172&lt;=3000,1,IF($F172&lt;=5000,5,IF($F172&lt;=30000,10,IF($F172&lt;=50000,50,IF($F172&lt;=300000,100,500))))),0))</f>
      </c>
      <c r="N172" s="491" t="str">
        <f>IF($F172="","",$F172*IF($C172="売",1+V811設定!$B$3,1-V811設定!$B$3)-MOD($F172*IF($C172="売",1+V811設定!$B$3,1-V811設定!$B$3),IF($F172&lt;=3000,1,IF($F172&lt;=5000,5,IF($F172&lt;=30000,10,IF($F172&lt;=50000,50,IF($F172&lt;=300000,100,500))))))+IF(AND($C172="売",MOD($F172*IF($C172="売",1+V811設定!$B$3,1-V811設定!$B$3),IF($F172&lt;=3000,1,IF($F172&lt;=5000,5,IF($F172&lt;=30000,10,IF($F172&lt;=50000,50,IF($F172&lt;=300000,100,500))))))&gt;0),IF($F172&lt;=3000,1,IF($F172&lt;=5000,5,IF($F172&lt;=30000,10,IF($F172&lt;=50000,50,IF($F172&lt;=300000,100,500))))),0))</f>
      </c>
      <c r="O172" s="492" t="str">
        <f>IF(OR($B172="",$F172="",$H172=""),"",IF($S172="✅売却済","―決済済―",IF($C172="売",IF($H172&lt;=$M172,"🟢利確",IF(AND($R172&lt;&gt;"",$H172&gt;=$R172),"🟠TRAIL",IF($H172&gt;=$N172,"🔴損切",IF($W172&gt;=V811設定!$B$6,"⏱時間決済",IF($H172&gt;=$F172*(1+V811設定!$B$3*0.7),"⚠️損切接近","保持継続"))))),IF($H172&gt;=$M172,"🟢利確",IF(AND($R172&lt;&gt;"",$H172&lt;=$R172),"🟠TRAIL",IF($H172&lt;=$N172,"🔴損切",IF($W172&gt;=V811設定!$B$6,"⏱時間決済",IF($H172&lt;=$F172*(1-V811設定!$B$3*0.7),"⚠️損切接近","保持継続"))))))))</f>
      </c>
      <c r="P172" s="491"/>
      <c r="Q172" s="491"/>
      <c r="R172" s="491" t="str">
        <f>IF(OR($F172="",$H172="",$N172=""),"",IF($S172="✅売却済","",IF($C172="売",IF($H172&gt;$F172*(1-V811設定!$B$3),$N172,MIN($N172,IF($Q172="",$N172,$Q172*1.03))),IF($H172&lt;$F172*(1+V811設定!$B$3),$N172,MAX($N172,IF($P172="",$N172,$P172*0.97))))))</f>
      </c>
      <c r="S172" s="586" t="str">
        <f>IF(B172="","",IF(T172&lt;&gt;"","✅売却済",IF(OR(H172="",L172=""),"📌保有中",IF(L172&gt;=0.06,"🟢利確推奨",IF(L172&gt;=0.05,"🟡利確直近",IF(L172&gt;=0.045,"🔵トレーリング検討",IF(L172&gt;-0.03,"📌保有中",IF(L172&gt;-0.04,"⚠️損切注意","🔴損切り"))))))))</f>
        <v/>
      </c>
      <c r="T172" s="594"/>
      <c r="U172" s="491"/>
      <c r="V172" s="701" t="str">
        <f>IF(OR(F172="",G172="",U172=""),"",IF(C172="売",(F172-U172)*G172,(U172-F172)*G172))</f>
        <v/>
      </c>
      <c r="W172" s="493" t="str">
        <f>IF(OR($E172="",$B172=""),"",IF($T172&lt;&gt;"",$T172-$E172,TODAY()-$E172)+1)</f>
        <v/>
      </c>
      <c r="X172" s="489" t="str">
        <f>IF(OR($AH172="",$AH172="保有中"),"",$AH172)</f>
        <v/>
      </c>
      <c r="Y172" s="488"/>
      <c r="Z172" s="710"/>
      <c r="AD172" s="608"/>
      <c r="AE172" s="600" t="str">
        <f>IF($E172="","",WORKDAY($E172,12))</f>
        <v/>
      </c>
      <c r="AF172" s="600" t="str" cm="1">
        <f t="array" aca="1" ref="AF172" ca="1">IF(OR($B172="",$M172=""),"",IFERROR(IF($C172="売",_xlfn.MINIFS(安値!$E$3:$IT$3,安値!$E$3:$IT$3,"&gt;"&amp;$E172,安値!$E$3:$IT$3,"&lt;="&amp;$AE172,OFFSET(安値!$E$6:$IT$6,MATCH(TEXT($B172,"0"),TEXT(銘柄管理!$B$6:$B$305,"0"),0)-1,0),"&lt;="&amp;$M172),_xlfn.MINIFS(高値!$E$3:$IT$3,高値!$E$3:$IT$3,"&gt;"&amp;$E172,高値!$E$3:$IT$3,"&lt;="&amp;$AE172,OFFSET(高値!$E$6:$IT$6,MATCH(TEXT($B172,"0"),TEXT(銘柄管理!$B$6:$B$305,"0"),0)-1,0),"&gt;="&amp;$M172)),""))</f>
        <v/>
      </c>
      <c r="AG172" s="600" t="str" cm="1">
        <f t="array" aca="1" ref="AG172" ca="1">IF(OR($B172="",$N172=""),"",IFERROR(IF($C172="売",_xlfn.MINIFS(高値!$E$3:$IT$3,高値!$E$3:$IT$3,"&gt;"&amp;$E172,高値!$E$3:$IT$3,"&lt;="&amp;$AE172,OFFSET(高値!$E$6:$IT$6,MATCH(TEXT($B172,"0"),TEXT(銘柄管理!$B$6:$B$305,"0"),0)-1,0),"&gt;="&amp;$N172),_xlfn.MINIFS(安値!$E$3:$IT$3,安値!$E$3:$IT$3,"&gt;"&amp;$E172,安値!$E$3:$IT$3,"&lt;="&amp;$AE172,OFFSET(安値!$E$6:$IT$6,MATCH(TEXT($B172,"0"),TEXT(銘柄管理!$B$6:$B$305,"0"),0)-1,0),"&lt;="&amp;$N172)),""))</f>
        <v/>
      </c>
      <c r="AH172" s="600" t="str">
        <f>IF(OR($B172="",$M172=""),"",IF(AND(N($AF172)=0,N($AG172)=0),IF(AND(ISNUMBER($H172),$H172&gt;0,IF($C172="売",$H172&gt;=$N172,$H172&lt;=$N172)),"損切確定",IF(AND(ISNUMBER($H172),$H172&gt;0,IF($C172="売",$H172&lt;=$M172,$H172&gt;=$M172)),"利益確定",IF($AE172&lt;=TODAY(),"日数制限","保有中"))),IF(N($AG172)=0,"利益確定",IF(N($AF172)=0,"損切確定",IF($AG172&lt;=$AF172,"損切確定","利益確定")))))</f>
        <v/>
      </c>
      <c r="AI172" s="600" t="str" cm="1">
        <f t="array" ref="AI172">IFERROR(INDEX(始値!$E$6:$IT$305,MATCH(TEXT($B172,"0"),TEXT(銘柄管理!$B$6:$B$305,"0"),0),MATCH($AE172,始値!$E$3:$IT$3,0)),"")</f>
        <v/>
      </c>
      <c r="AJ172" s="608" t="str">
        <f>IF(OR($V172="",$F172="",$G172=""),"",$V172/($F172*$G172))</f>
        <v/>
      </c>
      <c r="AK172" s="600" t="str">
        <f>IF($V172="","",IF($V172&gt;0,"○勝",IF($V172&lt;0,"●負","△引分")))</f>
        <v/>
      </c>
    </row>
    <row r="173" spans="1:37" ht="35.4" customHeight="1">
      <c r="A173" s="620" t="str">
        <f>IF(B173="","",HYPERLINK("https://kabutan.jp/stock/?code="&amp;B173,"株探"))</f>
        <v/>
      </c>
      <c r="B173" s="444"/>
      <c r="C173" s="444"/>
      <c r="D173" s="444" t="str" cm="1">
        <f t="array" ref="D173">_xll.RssMarket(B173, "銘柄名称")</f>
        <v/>
      </c>
      <c r="E173" s="716"/>
      <c r="F173" s="698" t="str" cm="1">
        <f t="array" aca="1" ref="F173" ca="1">IFERROR(_xlfn.LET(_xlpm.r,MATCH(TEXT($B173,"0"),TEXT(銘柄管理!$B$6:$B$305,"0"),0),_xlpm.t,MOD(NOW(),1),_xlpm.c,IF($E173=TODAY(),IF(_xlpm.t&gt;=TIME(15,30,0),NA(),1),IF(MATCH($E173,始値!$E$3:$IT$3,0)=1,1,MATCH($E173,始値!$E$3:$IT$3,0)+1)),_xlpm.v,INDEX(始値!$C$6:$IT$305,_xlpm.r,_xlpm.c),IF(N(_xlpm.v)=0,"",_xlpm.v)),"")</f>
        <v/>
      </c>
      <c r="G173" s="444"/>
      <c r="H173" s="445" t="str" cm="1">
        <f t="array" ref="H173">_xll.RssMarket(B173, "現在値")</f>
        <v/>
      </c>
      <c r="I173" s="445" t="str" cm="1">
        <f t="array" ref="I173">_xll.RssMarket(B173, "出来高加重平均")</f>
        <v/>
      </c>
      <c r="J173" s="702" t="str" cm="1">
        <f t="array" ref="J173">_xll.RssMarket($B173, "前日比")</f>
        <v/>
      </c>
      <c r="K173" s="702" t="str">
        <f>IF(OR(F173="",G173="",H173=""),"",IF(C173="売",(F173-H173)*G173,(H173-F173)*G173))</f>
        <v/>
      </c>
      <c r="L173" s="707" t="str">
        <f>IF(OR(F173="",H173=""),"",IF(C173="売",(F173-H173)/F173,(H173-F173)/F173))</f>
        <v/>
      </c>
      <c r="M173" s="445" t="str">
        <f>IF($F173="","",$F173*IF($C173="売",1-V811設定!$B$4,1+V811設定!$B$4)-MOD($F173*IF($C173="売",1-V811設定!$B$4,1+V811設定!$B$4),IF($F173&lt;=3000,1,IF($F173&lt;=5000,5,IF($F173&lt;=30000,10,IF($F173&lt;=50000,50,IF($F173&lt;=300000,100,500))))))+IF(AND($C173="売",MOD($F173*IF($C173="売",1-V811設定!$B$4,1+V811設定!$B$4),IF($F173&lt;=3000,1,IF($F173&lt;=5000,5,IF($F173&lt;=30000,10,IF($F173&lt;=50000,50,IF($F173&lt;=300000,100,500))))))&gt;0),IF($F173&lt;=3000,1,IF($F173&lt;=5000,5,IF($F173&lt;=30000,10,IF($F173&lt;=50000,50,IF($F173&lt;=300000,100,500))))),0))</f>
      </c>
      <c r="N173" s="445" t="str">
        <f>IF($F173="","",$F173*IF($C173="売",1+V811設定!$B$3,1-V811設定!$B$3)-MOD($F173*IF($C173="売",1+V811設定!$B$3,1-V811設定!$B$3),IF($F173&lt;=3000,1,IF($F173&lt;=5000,5,IF($F173&lt;=30000,10,IF($F173&lt;=50000,50,IF($F173&lt;=300000,100,500))))))+IF(AND($C173="売",MOD($F173*IF($C173="売",1+V811設定!$B$3,1-V811設定!$B$3),IF($F173&lt;=3000,1,IF($F173&lt;=5000,5,IF($F173&lt;=30000,10,IF($F173&lt;=50000,50,IF($F173&lt;=300000,100,500))))))&gt;0),IF($F173&lt;=3000,1,IF($F173&lt;=5000,5,IF($F173&lt;=30000,10,IF($F173&lt;=50000,50,IF($F173&lt;=300000,100,500))))),0))</f>
      </c>
      <c r="O173" s="477" t="str">
        <f>IF(OR($B173="",$F173="",$H173=""),"",IF($S173="✅売却済","―決済済―",IF($C173="売",IF($H173&lt;=$M173,"🟢利確",IF(AND($R173&lt;&gt;"",$H173&gt;=$R173),"🟠TRAIL",IF($H173&gt;=$N173,"🔴損切",IF($W173&gt;=V811設定!$B$6,"⏱時間決済",IF($H173&gt;=$F173*(1+V811設定!$B$3*0.7),"⚠️損切接近","保持継続"))))),IF($H173&gt;=$M173,"🟢利確",IF(AND($R173&lt;&gt;"",$H173&lt;=$R173),"🟠TRAIL",IF($H173&lt;=$N173,"🔴損切",IF($W173&gt;=V811設定!$B$6,"⏱時間決済",IF($H173&lt;=$F173*(1-V811設定!$B$3*0.7),"⚠️損切接近","保持継続"))))))))</f>
      </c>
      <c r="P173" s="445"/>
      <c r="Q173" s="445"/>
      <c r="R173" s="445" t="str">
        <f>IF(OR($F173="",$H173="",$N173=""),"",IF($S173="✅売却済","",IF($C173="売",IF($H173&gt;$F173*(1-V811設定!$B$3),$N173,MIN($N173,IF($Q173="",$N173,$Q173*1.03))),IF($H173&lt;$F173*(1+V811設定!$B$3),$N173,MAX($N173,IF($P173="",$N173,$P173*0.97))))))</f>
      </c>
      <c r="S173" s="587" t="str">
        <f>IF(B173="","",IF(T173&lt;&gt;"","✅売却済",IF(OR(H173="",L173=""),"📌保有中",IF(L173&gt;=0.06,"🟢利確推奨",IF(L173&gt;=0.05,"🟡利確直近",IF(L173&gt;=0.045,"🔵トレーリング検討",IF(L173&gt;-0.03,"📌保有中",IF(L173&gt;-0.04,"⚠️損切注意","🔴損切り"))))))))</f>
        <v/>
      </c>
      <c r="T173" s="595"/>
      <c r="U173" s="445"/>
      <c r="V173" s="702" t="str">
        <f>IF(OR(F173="",G173="",U173=""),"",IF(C173="売",(F173-U173)*G173,(U173-F173)*G173))</f>
        <v/>
      </c>
      <c r="W173" s="446" t="str">
        <f>IF(OR($E173="",$B173=""),"",IF($T173&lt;&gt;"",$T173-$E173,TODAY()-$E173)+1)</f>
        <v/>
      </c>
      <c r="X173" s="444" t="str">
        <f>IF(OR($AH173="",$AH173="保有中"),"",$AH173)</f>
        <v/>
      </c>
      <c r="Y173" s="488"/>
      <c r="Z173" s="710"/>
      <c r="AD173" s="608"/>
      <c r="AE173" s="600" t="str">
        <f>IF($E173="","",WORKDAY($E173,12))</f>
        <v/>
      </c>
      <c r="AF173" s="600" t="str" cm="1">
        <f t="array" aca="1" ref="AF173" ca="1">IF(OR($B173="",$M173=""),"",IFERROR(IF($C173="売",_xlfn.MINIFS(安値!$E$3:$IT$3,安値!$E$3:$IT$3,"&gt;"&amp;$E173,安値!$E$3:$IT$3,"&lt;="&amp;$AE173,OFFSET(安値!$E$6:$IT$6,MATCH(TEXT($B173,"0"),TEXT(銘柄管理!$B$6:$B$305,"0"),0)-1,0),"&lt;="&amp;$M173),_xlfn.MINIFS(高値!$E$3:$IT$3,高値!$E$3:$IT$3,"&gt;"&amp;$E173,高値!$E$3:$IT$3,"&lt;="&amp;$AE173,OFFSET(高値!$E$6:$IT$6,MATCH(TEXT($B173,"0"),TEXT(銘柄管理!$B$6:$B$305,"0"),0)-1,0),"&gt;="&amp;$M173)),""))</f>
        <v/>
      </c>
      <c r="AG173" s="600" t="str" cm="1">
        <f t="array" aca="1" ref="AG173" ca="1">IF(OR($B173="",$N173=""),"",IFERROR(IF($C173="売",_xlfn.MINIFS(高値!$E$3:$IT$3,高値!$E$3:$IT$3,"&gt;"&amp;$E173,高値!$E$3:$IT$3,"&lt;="&amp;$AE173,OFFSET(高値!$E$6:$IT$6,MATCH(TEXT($B173,"0"),TEXT(銘柄管理!$B$6:$B$305,"0"),0)-1,0),"&gt;="&amp;$N173),_xlfn.MINIFS(安値!$E$3:$IT$3,安値!$E$3:$IT$3,"&gt;"&amp;$E173,安値!$E$3:$IT$3,"&lt;="&amp;$AE173,OFFSET(安値!$E$6:$IT$6,MATCH(TEXT($B173,"0"),TEXT(銘柄管理!$B$6:$B$305,"0"),0)-1,0),"&lt;="&amp;$N173)),""))</f>
        <v/>
      </c>
      <c r="AH173" s="600" t="str">
        <f>IF(OR($B173="",$M173=""),"",IF(AND(N($AF173)=0,N($AG173)=0),IF(AND(ISNUMBER($H173),$H173&gt;0,IF($C173="売",$H173&gt;=$N173,$H173&lt;=$N173)),"損切確定",IF(AND(ISNUMBER($H173),$H173&gt;0,IF($C173="売",$H173&lt;=$M173,$H173&gt;=$M173)),"利益確定",IF($AE173&lt;=TODAY(),"日数制限","保有中"))),IF(N($AG173)=0,"利益確定",IF(N($AF173)=0,"損切確定",IF($AG173&lt;=$AF173,"損切確定","利益確定")))))</f>
        <v/>
      </c>
      <c r="AI173" s="600" t="str" cm="1">
        <f t="array" ref="AI173">IFERROR(INDEX(始値!$E$6:$IT$305,MATCH(TEXT($B173,"0"),TEXT(銘柄管理!$B$6:$B$305,"0"),0),MATCH($AE173,始値!$E$3:$IT$3,0)),"")</f>
        <v/>
      </c>
      <c r="AJ173" s="608" t="str">
        <f>IF(OR($V173="",$F173="",$G173=""),"",$V173/($F173*$G173))</f>
        <v/>
      </c>
      <c r="AK173" s="600" t="str">
        <f>IF($V173="","",IF($V173&gt;0,"○勝",IF($V173&lt;0,"●負","△引分")))</f>
        <v/>
      </c>
    </row>
    <row r="174" spans="1:37" ht="35.4" customHeight="1">
      <c r="A174" s="620" t="str">
        <f>IF(B174="","",HYPERLINK("https://kabutan.jp/stock/?code="&amp;B174,"株探"))</f>
        <v/>
      </c>
      <c r="B174" s="444"/>
      <c r="C174" s="444"/>
      <c r="D174" s="444" t="str" cm="1">
        <f t="array" ref="D174">_xll.RssMarket(B174, "銘柄名称")</f>
        <v/>
      </c>
      <c r="E174" s="716"/>
      <c r="F174" s="698" t="str" cm="1">
        <f t="array" aca="1" ref="F174" ca="1">IFERROR(_xlfn.LET(_xlpm.r,MATCH(TEXT($B174,"0"),TEXT(銘柄管理!$B$6:$B$305,"0"),0),_xlpm.t,MOD(NOW(),1),_xlpm.c,IF($E174=TODAY(),IF(_xlpm.t&gt;=TIME(15,30,0),NA(),1),IF(MATCH($E174,始値!$E$3:$IT$3,0)=1,1,MATCH($E174,始値!$E$3:$IT$3,0)+1)),_xlpm.v,INDEX(始値!$C$6:$IT$305,_xlpm.r,_xlpm.c),IF(N(_xlpm.v)=0,"",_xlpm.v)),"")</f>
        <v/>
      </c>
      <c r="G174" s="444"/>
      <c r="H174" s="445" t="str" cm="1">
        <f t="array" ref="H174">_xll.RssMarket(B174, "現在値")</f>
        <v/>
      </c>
      <c r="I174" s="445" t="str" cm="1">
        <f t="array" ref="I174">_xll.RssMarket(B174, "出来高加重平均")</f>
        <v/>
      </c>
      <c r="J174" s="702" t="str" cm="1">
        <f t="array" ref="J174">_xll.RssMarket($B174, "前日比")</f>
        <v/>
      </c>
      <c r="K174" s="702" t="str">
        <f>IF(OR(F174="",G174="",H174=""),"",IF(C174="売",(F174-H174)*G174,(H174-F174)*G174))</f>
        <v/>
      </c>
      <c r="L174" s="707" t="str">
        <f>IF(OR(F174="",H174=""),"",IF(C174="売",(F174-H174)/F174,(H174-F174)/F174))</f>
        <v/>
      </c>
      <c r="M174" s="445" t="str">
        <f>IF($F174="","",$F174*IF($C174="売",1-V811設定!$B$4,1+V811設定!$B$4)-MOD($F174*IF($C174="売",1-V811設定!$B$4,1+V811設定!$B$4),IF($F174&lt;=3000,1,IF($F174&lt;=5000,5,IF($F174&lt;=30000,10,IF($F174&lt;=50000,50,IF($F174&lt;=300000,100,500))))))+IF(AND($C174="売",MOD($F174*IF($C174="売",1-V811設定!$B$4,1+V811設定!$B$4),IF($F174&lt;=3000,1,IF($F174&lt;=5000,5,IF($F174&lt;=30000,10,IF($F174&lt;=50000,50,IF($F174&lt;=300000,100,500))))))&gt;0),IF($F174&lt;=3000,1,IF($F174&lt;=5000,5,IF($F174&lt;=30000,10,IF($F174&lt;=50000,50,IF($F174&lt;=300000,100,500))))),0))</f>
      </c>
      <c r="N174" s="445" t="str">
        <f>IF($F174="","",$F174*IF($C174="売",1+V811設定!$B$3,1-V811設定!$B$3)-MOD($F174*IF($C174="売",1+V811設定!$B$3,1-V811設定!$B$3),IF($F174&lt;=3000,1,IF($F174&lt;=5000,5,IF($F174&lt;=30000,10,IF($F174&lt;=50000,50,IF($F174&lt;=300000,100,500))))))+IF(AND($C174="売",MOD($F174*IF($C174="売",1+V811設定!$B$3,1-V811設定!$B$3),IF($F174&lt;=3000,1,IF($F174&lt;=5000,5,IF($F174&lt;=30000,10,IF($F174&lt;=50000,50,IF($F174&lt;=300000,100,500))))))&gt;0),IF($F174&lt;=3000,1,IF($F174&lt;=5000,5,IF($F174&lt;=30000,10,IF($F174&lt;=50000,50,IF($F174&lt;=300000,100,500))))),0))</f>
      </c>
      <c r="O174" s="477" t="str">
        <f>IF(OR($B174="",$F174="",$H174=""),"",IF($S174="✅売却済","―決済済―",IF($C174="売",IF($H174&lt;=$M174,"🟢利確",IF(AND($R174&lt;&gt;"",$H174&gt;=$R174),"🟠TRAIL",IF($H174&gt;=$N174,"🔴損切",IF($W174&gt;=V811設定!$B$6,"⏱時間決済",IF($H174&gt;=$F174*(1+V811設定!$B$3*0.7),"⚠️損切接近","保持継続"))))),IF($H174&gt;=$M174,"🟢利確",IF(AND($R174&lt;&gt;"",$H174&lt;=$R174),"🟠TRAIL",IF($H174&lt;=$N174,"🔴損切",IF($W174&gt;=V811設定!$B$6,"⏱時間決済",IF($H174&lt;=$F174*(1-V811設定!$B$3*0.7),"⚠️損切接近","保持継続"))))))))</f>
      </c>
      <c r="P174" s="445"/>
      <c r="Q174" s="445"/>
      <c r="R174" s="445" t="str">
        <f>IF(OR($F174="",$H174="",$N174=""),"",IF($S174="✅売却済","",IF($C174="売",IF($H174&gt;$F174*(1-V811設定!$B$3),$N174,MIN($N174,IF($Q174="",$N174,$Q174*1.03))),IF($H174&lt;$F174*(1+V811設定!$B$3),$N174,MAX($N174,IF($P174="",$N174,$P174*0.97))))))</f>
      </c>
      <c r="S174" s="587" t="str">
        <f>IF(B174="","",IF(T174&lt;&gt;"","✅売却済",IF(OR(H174="",L174=""),"📌保有中",IF(L174&gt;=0.06,"🟢利確推奨",IF(L174&gt;=0.05,"🟡利確直近",IF(L174&gt;=0.045,"🔵トレーリング検討",IF(L174&gt;-0.03,"📌保有中",IF(L174&gt;-0.04,"⚠️損切注意","🔴損切り"))))))))</f>
        <v/>
      </c>
      <c r="T174" s="595"/>
      <c r="U174" s="445"/>
      <c r="V174" s="702" t="str">
        <f>IF(OR(F174="",G174="",U174=""),"",IF(C174="売",(F174-U174)*G174,(U174-F174)*G174))</f>
        <v/>
      </c>
      <c r="W174" s="446" t="str">
        <f>IF(OR($E174="",$B174=""),"",IF($T174&lt;&gt;"",$T174-$E174,TODAY()-$E174)+1)</f>
        <v/>
      </c>
      <c r="X174" s="444" t="str">
        <f>IF(OR($AH174="",$AH174="保有中"),"",$AH174)</f>
        <v/>
      </c>
      <c r="Y174" s="488"/>
      <c r="Z174" s="710"/>
      <c r="AD174" s="608"/>
      <c r="AE174" s="600" t="str">
        <f>IF($E174="","",WORKDAY($E174,12))</f>
        <v/>
      </c>
      <c r="AF174" s="600" t="str" cm="1">
        <f t="array" aca="1" ref="AF174" ca="1">IF(OR($B174="",$M174=""),"",IFERROR(IF($C174="売",_xlfn.MINIFS(安値!$E$3:$IT$3,安値!$E$3:$IT$3,"&gt;"&amp;$E174,安値!$E$3:$IT$3,"&lt;="&amp;$AE174,OFFSET(安値!$E$6:$IT$6,MATCH(TEXT($B174,"0"),TEXT(銘柄管理!$B$6:$B$305,"0"),0)-1,0),"&lt;="&amp;$M174),_xlfn.MINIFS(高値!$E$3:$IT$3,高値!$E$3:$IT$3,"&gt;"&amp;$E174,高値!$E$3:$IT$3,"&lt;="&amp;$AE174,OFFSET(高値!$E$6:$IT$6,MATCH(TEXT($B174,"0"),TEXT(銘柄管理!$B$6:$B$305,"0"),0)-1,0),"&gt;="&amp;$M174)),""))</f>
        <v/>
      </c>
      <c r="AG174" s="600" t="str" cm="1">
        <f t="array" aca="1" ref="AG174" ca="1">IF(OR($B174="",$N174=""),"",IFERROR(IF($C174="売",_xlfn.MINIFS(高値!$E$3:$IT$3,高値!$E$3:$IT$3,"&gt;"&amp;$E174,高値!$E$3:$IT$3,"&lt;="&amp;$AE174,OFFSET(高値!$E$6:$IT$6,MATCH(TEXT($B174,"0"),TEXT(銘柄管理!$B$6:$B$305,"0"),0)-1,0),"&gt;="&amp;$N174),_xlfn.MINIFS(安値!$E$3:$IT$3,安値!$E$3:$IT$3,"&gt;"&amp;$E174,安値!$E$3:$IT$3,"&lt;="&amp;$AE174,OFFSET(安値!$E$6:$IT$6,MATCH(TEXT($B174,"0"),TEXT(銘柄管理!$B$6:$B$305,"0"),0)-1,0),"&lt;="&amp;$N174)),""))</f>
        <v/>
      </c>
      <c r="AH174" s="600" t="str">
        <f>IF(OR($B174="",$M174=""),"",IF(AND(N($AF174)=0,N($AG174)=0),IF(AND(ISNUMBER($H174),$H174&gt;0,IF($C174="売",$H174&gt;=$N174,$H174&lt;=$N174)),"損切確定",IF(AND(ISNUMBER($H174),$H174&gt;0,IF($C174="売",$H174&lt;=$M174,$H174&gt;=$M174)),"利益確定",IF($AE174&lt;=TODAY(),"日数制限","保有中"))),IF(N($AG174)=0,"利益確定",IF(N($AF174)=0,"損切確定",IF($AG174&lt;=$AF174,"損切確定","利益確定")))))</f>
        <v/>
      </c>
      <c r="AI174" s="600" t="str" cm="1">
        <f t="array" ref="AI174">IFERROR(INDEX(始値!$E$6:$IT$305,MATCH(TEXT($B174,"0"),TEXT(銘柄管理!$B$6:$B$305,"0"),0),MATCH($AE174,始値!$E$3:$IT$3,0)),"")</f>
        <v/>
      </c>
      <c r="AJ174" s="608" t="str">
        <f>IF(OR($V174="",$F174="",$G174=""),"",$V174/($F174*$G174))</f>
        <v/>
      </c>
      <c r="AK174" s="600" t="str">
        <f>IF($V174="","",IF($V174&gt;0,"○勝",IF($V174&lt;0,"●負","△引分")))</f>
        <v/>
      </c>
    </row>
    <row r="175" spans="1:37" ht="35.4" customHeight="1">
      <c r="A175" s="620" t="str">
        <f>IF(B175="","",HYPERLINK("https://kabutan.jp/stock/?code="&amp;B175,"株探"))</f>
        <v/>
      </c>
      <c r="B175" s="444"/>
      <c r="C175" s="444"/>
      <c r="D175" s="444" t="str" cm="1">
        <f t="array" ref="D175">_xll.RssMarket(B175, "銘柄名称")</f>
        <v/>
      </c>
      <c r="E175" s="716"/>
      <c r="F175" s="698" t="str" cm="1">
        <f t="array" aca="1" ref="F175" ca="1">IFERROR(_xlfn.LET(_xlpm.r,MATCH(TEXT($B175,"0"),TEXT(銘柄管理!$B$6:$B$305,"0"),0),_xlpm.t,MOD(NOW(),1),_xlpm.c,IF($E175=TODAY(),IF(_xlpm.t&gt;=TIME(15,30,0),NA(),1),IF(MATCH($E175,始値!$E$3:$IT$3,0)=1,1,MATCH($E175,始値!$E$3:$IT$3,0)+1)),_xlpm.v,INDEX(始値!$C$6:$IT$305,_xlpm.r,_xlpm.c),IF(N(_xlpm.v)=0,"",_xlpm.v)),"")</f>
        <v/>
      </c>
      <c r="G175" s="444"/>
      <c r="H175" s="445" t="str" cm="1">
        <f t="array" ref="H175">_xll.RssMarket(B175, "現在値")</f>
        <v/>
      </c>
      <c r="I175" s="445" t="str" cm="1">
        <f t="array" ref="I175">_xll.RssMarket(B175, "出来高加重平均")</f>
        <v/>
      </c>
      <c r="J175" s="702" t="str" cm="1">
        <f t="array" ref="J175">_xll.RssMarket($B175, "前日比")</f>
        <v/>
      </c>
      <c r="K175" s="702" t="str">
        <f>IF(OR(F175="",G175="",H175=""),"",IF(C175="売",(F175-H175)*G175,(H175-F175)*G175))</f>
        <v/>
      </c>
      <c r="L175" s="707" t="str">
        <f>IF(OR(F175="",H175=""),"",IF(C175="売",(F175-H175)/F175,(H175-F175)/F175))</f>
        <v/>
      </c>
      <c r="M175" s="445" t="str">
        <f>IF($F175="","",$F175*IF($C175="売",1-V811設定!$B$4,1+V811設定!$B$4)-MOD($F175*IF($C175="売",1-V811設定!$B$4,1+V811設定!$B$4),IF($F175&lt;=3000,1,IF($F175&lt;=5000,5,IF($F175&lt;=30000,10,IF($F175&lt;=50000,50,IF($F175&lt;=300000,100,500))))))+IF(AND($C175="売",MOD($F175*IF($C175="売",1-V811設定!$B$4,1+V811設定!$B$4),IF($F175&lt;=3000,1,IF($F175&lt;=5000,5,IF($F175&lt;=30000,10,IF($F175&lt;=50000,50,IF($F175&lt;=300000,100,500))))))&gt;0),IF($F175&lt;=3000,1,IF($F175&lt;=5000,5,IF($F175&lt;=30000,10,IF($F175&lt;=50000,50,IF($F175&lt;=300000,100,500))))),0))</f>
      </c>
      <c r="N175" s="445" t="str">
        <f>IF($F175="","",$F175*IF($C175="売",1+V811設定!$B$3,1-V811設定!$B$3)-MOD($F175*IF($C175="売",1+V811設定!$B$3,1-V811設定!$B$3),IF($F175&lt;=3000,1,IF($F175&lt;=5000,5,IF($F175&lt;=30000,10,IF($F175&lt;=50000,50,IF($F175&lt;=300000,100,500))))))+IF(AND($C175="売",MOD($F175*IF($C175="売",1+V811設定!$B$3,1-V811設定!$B$3),IF($F175&lt;=3000,1,IF($F175&lt;=5000,5,IF($F175&lt;=30000,10,IF($F175&lt;=50000,50,IF($F175&lt;=300000,100,500))))))&gt;0),IF($F175&lt;=3000,1,IF($F175&lt;=5000,5,IF($F175&lt;=30000,10,IF($F175&lt;=50000,50,IF($F175&lt;=300000,100,500))))),0))</f>
      </c>
      <c r="O175" s="477" t="str">
        <f>IF(OR($B175="",$F175="",$H175=""),"",IF($S175="✅売却済","―決済済―",IF($C175="売",IF($H175&lt;=$M175,"🟢利確",IF(AND($R175&lt;&gt;"",$H175&gt;=$R175),"🟠TRAIL",IF($H175&gt;=$N175,"🔴損切",IF($W175&gt;=V811設定!$B$6,"⏱時間決済",IF($H175&gt;=$F175*(1+V811設定!$B$3*0.7),"⚠️損切接近","保持継続"))))),IF($H175&gt;=$M175,"🟢利確",IF(AND($R175&lt;&gt;"",$H175&lt;=$R175),"🟠TRAIL",IF($H175&lt;=$N175,"🔴損切",IF($W175&gt;=V811設定!$B$6,"⏱時間決済",IF($H175&lt;=$F175*(1-V811設定!$B$3*0.7),"⚠️損切接近","保持継続"))))))))</f>
      </c>
      <c r="P175" s="445"/>
      <c r="Q175" s="445"/>
      <c r="R175" s="445" t="str">
        <f>IF(OR($F175="",$H175="",$N175=""),"",IF($S175="✅売却済","",IF($C175="売",IF($H175&gt;$F175*(1-V811設定!$B$3),$N175,MIN($N175,IF($Q175="",$N175,$Q175*1.03))),IF($H175&lt;$F175*(1+V811設定!$B$3),$N175,MAX($N175,IF($P175="",$N175,$P175*0.97))))))</f>
      </c>
      <c r="S175" s="587" t="str">
        <f>IF(B175="","",IF(T175&lt;&gt;"","✅売却済",IF(OR(H175="",L175=""),"📌保有中",IF(L175&gt;=0.06,"🟢利確推奨",IF(L175&gt;=0.05,"🟡利確直近",IF(L175&gt;=0.045,"🔵トレーリング検討",IF(L175&gt;-0.03,"📌保有中",IF(L175&gt;-0.04,"⚠️損切注意","🔴損切り"))))))))</f>
        <v/>
      </c>
      <c r="T175" s="595"/>
      <c r="U175" s="445"/>
      <c r="V175" s="702" t="str">
        <f>IF(OR(F175="",G175="",U175=""),"",IF(C175="売",(F175-U175)*G175,(U175-F175)*G175))</f>
        <v/>
      </c>
      <c r="W175" s="446" t="str">
        <f>IF(OR($E175="",$B175=""),"",IF($T175&lt;&gt;"",$T175-$E175,TODAY()-$E175)+1)</f>
        <v/>
      </c>
      <c r="X175" s="444" t="str">
        <f>IF(OR($AH175="",$AH175="保有中"),"",$AH175)</f>
        <v/>
      </c>
      <c r="Y175" s="488"/>
      <c r="Z175" s="710"/>
      <c r="AD175" s="608"/>
      <c r="AE175" s="600" t="str">
        <f>IF($E175="","",WORKDAY($E175,12))</f>
        <v/>
      </c>
      <c r="AF175" s="600" t="str" cm="1">
        <f t="array" aca="1" ref="AF175" ca="1">IF(OR($B175="",$M175=""),"",IFERROR(IF($C175="売",_xlfn.MINIFS(安値!$E$3:$IT$3,安値!$E$3:$IT$3,"&gt;"&amp;$E175,安値!$E$3:$IT$3,"&lt;="&amp;$AE175,OFFSET(安値!$E$6:$IT$6,MATCH(TEXT($B175,"0"),TEXT(銘柄管理!$B$6:$B$305,"0"),0)-1,0),"&lt;="&amp;$M175),_xlfn.MINIFS(高値!$E$3:$IT$3,高値!$E$3:$IT$3,"&gt;"&amp;$E175,高値!$E$3:$IT$3,"&lt;="&amp;$AE175,OFFSET(高値!$E$6:$IT$6,MATCH(TEXT($B175,"0"),TEXT(銘柄管理!$B$6:$B$305,"0"),0)-1,0),"&gt;="&amp;$M175)),""))</f>
        <v/>
      </c>
      <c r="AG175" s="600" t="str" cm="1">
        <f t="array" aca="1" ref="AG175" ca="1">IF(OR($B175="",$N175=""),"",IFERROR(IF($C175="売",_xlfn.MINIFS(高値!$E$3:$IT$3,高値!$E$3:$IT$3,"&gt;"&amp;$E175,高値!$E$3:$IT$3,"&lt;="&amp;$AE175,OFFSET(高値!$E$6:$IT$6,MATCH(TEXT($B175,"0"),TEXT(銘柄管理!$B$6:$B$305,"0"),0)-1,0),"&gt;="&amp;$N175),_xlfn.MINIFS(安値!$E$3:$IT$3,安値!$E$3:$IT$3,"&gt;"&amp;$E175,安値!$E$3:$IT$3,"&lt;="&amp;$AE175,OFFSET(安値!$E$6:$IT$6,MATCH(TEXT($B175,"0"),TEXT(銘柄管理!$B$6:$B$305,"0"),0)-1,0),"&lt;="&amp;$N175)),""))</f>
        <v/>
      </c>
      <c r="AH175" s="600" t="str">
        <f>IF(OR($B175="",$M175=""),"",IF(AND(N($AF175)=0,N($AG175)=0),IF(AND(ISNUMBER($H175),$H175&gt;0,IF($C175="売",$H175&gt;=$N175,$H175&lt;=$N175)),"損切確定",IF(AND(ISNUMBER($H175),$H175&gt;0,IF($C175="売",$H175&lt;=$M175,$H175&gt;=$M175)),"利益確定",IF($AE175&lt;=TODAY(),"日数制限","保有中"))),IF(N($AG175)=0,"利益確定",IF(N($AF175)=0,"損切確定",IF($AG175&lt;=$AF175,"損切確定","利益確定")))))</f>
        <v/>
      </c>
      <c r="AI175" s="600" t="str" cm="1">
        <f t="array" ref="AI175">IFERROR(INDEX(始値!$E$6:$IT$305,MATCH(TEXT($B175,"0"),TEXT(銘柄管理!$B$6:$B$305,"0"),0),MATCH($AE175,始値!$E$3:$IT$3,0)),"")</f>
        <v/>
      </c>
      <c r="AJ175" s="608" t="str">
        <f>IF(OR($V175="",$F175="",$G175=""),"",$V175/($F175*$G175))</f>
        <v/>
      </c>
      <c r="AK175" s="600" t="str">
        <f>IF($V175="","",IF($V175&gt;0,"○勝",IF($V175&lt;0,"●負","△引分")))</f>
        <v/>
      </c>
    </row>
    <row r="176" spans="1:37" ht="35.4" customHeight="1">
      <c r="A176" s="621" t="str">
        <f>IF(B176="","",HYPERLINK("https://kabutan.jp/stock/?code="&amp;B176,"株探"))</f>
        <v/>
      </c>
      <c r="B176" s="480"/>
      <c r="C176" s="480"/>
      <c r="D176" s="480" t="str" cm="1">
        <f t="array" ref="D176">_xll.RssMarket(B176, "銘柄名称")</f>
        <v/>
      </c>
      <c r="E176" s="717"/>
      <c r="F176" s="698" t="str" cm="1">
        <f t="array" aca="1" ref="F176" ca="1">IFERROR(_xlfn.LET(_xlpm.r,MATCH(TEXT($B176,"0"),TEXT(銘柄管理!$B$6:$B$305,"0"),0),_xlpm.t,MOD(NOW(),1),_xlpm.c,IF($E176=TODAY(),IF(_xlpm.t&gt;=TIME(15,30,0),NA(),1),IF(MATCH($E176,始値!$E$3:$IT$3,0)=1,1,MATCH($E176,始値!$E$3:$IT$3,0)+1)),_xlpm.v,INDEX(始値!$C$6:$IT$305,_xlpm.r,_xlpm.c),IF(N(_xlpm.v)=0,"",_xlpm.v)),"")</f>
        <v/>
      </c>
      <c r="G176" s="480"/>
      <c r="H176" s="480" t="str" cm="1">
        <f t="array" ref="H176">_xll.RssMarket(B176, "現在値")</f>
        <v/>
      </c>
      <c r="I176" s="480" t="str" cm="1">
        <f t="array" ref="I176">_xll.RssMarket(B176, "出来高加重平均")</f>
        <v/>
      </c>
      <c r="J176" s="702" t="str" cm="1">
        <f t="array" ref="J176">_xll.RssMarket($B176, "前日比")</f>
        <v/>
      </c>
      <c r="K176" s="703" t="str">
        <f>IF(OR(F176="",G176="",H176=""),"",IF(C176="売",(F176-H176)*G176,(H176-F176)*G176))</f>
        <v/>
      </c>
      <c r="L176" s="708" t="str">
        <f>IF(OR(F176="",H176=""),"",IF(C176="売",(F176-H176)/F176,(H176-F176)/F176))</f>
        <v/>
      </c>
      <c r="M176" s="598" t="str">
        <f>IF($F176="","",$F176*IF($C176="売",1-V811設定!$B$4,1+V811設定!$B$4)-MOD($F176*IF($C176="売",1-V811設定!$B$4,1+V811設定!$B$4),IF($F176&lt;=3000,1,IF($F176&lt;=5000,5,IF($F176&lt;=30000,10,IF($F176&lt;=50000,50,IF($F176&lt;=300000,100,500))))))+IF(AND($C176="売",MOD($F176*IF($C176="売",1-V811設定!$B$4,1+V811設定!$B$4),IF($F176&lt;=3000,1,IF($F176&lt;=5000,5,IF($F176&lt;=30000,10,IF($F176&lt;=50000,50,IF($F176&lt;=300000,100,500))))))&gt;0),IF($F176&lt;=3000,1,IF($F176&lt;=5000,5,IF($F176&lt;=30000,10,IF($F176&lt;=50000,50,IF($F176&lt;=300000,100,500))))),0))</f>
      </c>
      <c r="N176" s="598" t="str">
        <f>IF($F176="","",$F176*IF($C176="売",1+V811設定!$B$3,1-V811設定!$B$3)-MOD($F176*IF($C176="売",1+V811設定!$B$3,1-V811設定!$B$3),IF($F176&lt;=3000,1,IF($F176&lt;=5000,5,IF($F176&lt;=30000,10,IF($F176&lt;=50000,50,IF($F176&lt;=300000,100,500))))))+IF(AND($C176="売",MOD($F176*IF($C176="売",1+V811設定!$B$3,1-V811設定!$B$3),IF($F176&lt;=3000,1,IF($F176&lt;=5000,5,IF($F176&lt;=30000,10,IF($F176&lt;=50000,50,IF($F176&lt;=300000,100,500))))))&gt;0),IF($F176&lt;=3000,1,IF($F176&lt;=5000,5,IF($F176&lt;=30000,10,IF($F176&lt;=50000,50,IF($F176&lt;=300000,100,500))))),0))</f>
      </c>
      <c r="O176" s="478" t="str">
        <f>IF(OR($B176="",$F176="",$H176=""),"",IF($S176="✅売却済","―決済済―",IF($C176="売",IF($H176&lt;=$M176,"🟢利確",IF(AND($R176&lt;&gt;"",$H176&gt;=$R176),"🟠TRAIL",IF($H176&gt;=$N176,"🔴損切",IF($W176&gt;=V811設定!$B$6,"⏱時間決済",IF($H176&gt;=$F176*(1+V811設定!$B$3*0.7),"⚠️損切接近","保持継続"))))),IF($H176&gt;=$M176,"🟢利確",IF(AND($R176&lt;&gt;"",$H176&lt;=$R176),"🟠TRAIL",IF($H176&lt;=$N176,"🔴損切",IF($W176&gt;=V811設定!$B$6,"⏱時間決済",IF($H176&lt;=$F176*(1-V811設定!$B$3*0.7),"⚠️損切接近","保持継続"))))))))</f>
      </c>
      <c r="P176" s="445"/>
      <c r="Q176" s="445"/>
      <c r="R176" s="480" t="str">
        <f>IF(OR($F176="",$H176="",$N176=""),"",IF($S176="✅売却済","",IF($C176="売",IF($H176&gt;$F176*(1-V811設定!$B$3),$N176,MIN($N176,IF($Q176="",$N176,$Q176*1.03))),IF($H176&lt;$F176*(1+V811設定!$B$3),$N176,MAX($N176,IF($P176="",$N176,$P176*0.97))))))</f>
      </c>
      <c r="S176" s="480" t="str">
        <f>IF(B176="","",IF(T176&lt;&gt;"","✅売却済",IF(OR(H176="",L176=""),"📌保有中",IF(L176&gt;=0.06,"🟢利確推奨",IF(L176&gt;=0.05,"🟡利確直近",IF(L176&gt;=0.045,"🔵トレーリング検討",IF(L176&gt;-0.03,"📌保有中",IF(L176&gt;-0.04,"⚠️損切注意","🔴損切り"))))))))</f>
        <v/>
      </c>
      <c r="T176" s="596"/>
      <c r="U176" s="598"/>
      <c r="V176" s="703" t="str">
        <f>IF(OR(F176="",G176="",U176=""),"",IF(C176="売",(F176-U176)*G176,(U176-F176)*G176))</f>
        <v/>
      </c>
      <c r="W176" s="480" t="str">
        <f>IF(OR($E176="",$B176=""),"",IF($T176&lt;&gt;"",$T176-$E176,TODAY()-$E176)+1)</f>
        <v/>
      </c>
      <c r="X176" s="480" t="str">
        <f>IF(OR($AH176="",$AH176="保有中"),"",$AH176)</f>
        <v/>
      </c>
      <c r="Y176" s="488"/>
      <c r="Z176" s="710"/>
      <c r="AD176" s="608"/>
      <c r="AE176" s="600" t="str">
        <f>IF($E176="","",WORKDAY($E176,12))</f>
        <v/>
      </c>
      <c r="AF176" s="600" t="str" cm="1">
        <f t="array" aca="1" ref="AF176" ca="1">IF(OR($B176="",$M176=""),"",IFERROR(IF($C176="売",_xlfn.MINIFS(安値!$E$3:$IT$3,安値!$E$3:$IT$3,"&gt;"&amp;$E176,安値!$E$3:$IT$3,"&lt;="&amp;$AE176,OFFSET(安値!$E$6:$IT$6,MATCH(TEXT($B176,"0"),TEXT(銘柄管理!$B$6:$B$305,"0"),0)-1,0),"&lt;="&amp;$M176),_xlfn.MINIFS(高値!$E$3:$IT$3,高値!$E$3:$IT$3,"&gt;"&amp;$E176,高値!$E$3:$IT$3,"&lt;="&amp;$AE176,OFFSET(高値!$E$6:$IT$6,MATCH(TEXT($B176,"0"),TEXT(銘柄管理!$B$6:$B$305,"0"),0)-1,0),"&gt;="&amp;$M176)),""))</f>
        <v/>
      </c>
      <c r="AG176" s="600" t="str" cm="1">
        <f t="array" aca="1" ref="AG176" ca="1">IF(OR($B176="",$N176=""),"",IFERROR(IF($C176="売",_xlfn.MINIFS(高値!$E$3:$IT$3,高値!$E$3:$IT$3,"&gt;"&amp;$E176,高値!$E$3:$IT$3,"&lt;="&amp;$AE176,OFFSET(高値!$E$6:$IT$6,MATCH(TEXT($B176,"0"),TEXT(銘柄管理!$B$6:$B$305,"0"),0)-1,0),"&gt;="&amp;$N176),_xlfn.MINIFS(安値!$E$3:$IT$3,安値!$E$3:$IT$3,"&gt;"&amp;$E176,安値!$E$3:$IT$3,"&lt;="&amp;$AE176,OFFSET(安値!$E$6:$IT$6,MATCH(TEXT($B176,"0"),TEXT(銘柄管理!$B$6:$B$305,"0"),0)-1,0),"&lt;="&amp;$N176)),""))</f>
        <v/>
      </c>
      <c r="AH176" s="600" t="str">
        <f>IF(OR($B176="",$M176=""),"",IF(AND(N($AF176)=0,N($AG176)=0),IF(AND(ISNUMBER($H176),$H176&gt;0,IF($C176="売",$H176&gt;=$N176,$H176&lt;=$N176)),"損切確定",IF(AND(ISNUMBER($H176),$H176&gt;0,IF($C176="売",$H176&lt;=$M176,$H176&gt;=$M176)),"利益確定",IF($AE176&lt;=TODAY(),"日数制限","保有中"))),IF(N($AG176)=0,"利益確定",IF(N($AF176)=0,"損切確定",IF($AG176&lt;=$AF176,"損切確定","利益確定")))))</f>
        <v/>
      </c>
      <c r="AI176" s="600" t="str" cm="1">
        <f t="array" ref="AI176">IFERROR(INDEX(始値!$E$6:$IT$305,MATCH(TEXT($B176,"0"),TEXT(銘柄管理!$B$6:$B$305,"0"),0),MATCH($AE176,始値!$E$3:$IT$3,0)),"")</f>
        <v/>
      </c>
      <c r="AJ176" s="608" t="str">
        <f>IF(OR($V176="",$F176="",$G176=""),"",$V176/($F176*$G176))</f>
        <v/>
      </c>
      <c r="AK176" s="600" t="str">
        <f>IF($V176="","",IF($V176&gt;0,"○勝",IF($V176&lt;0,"●負","△引分")))</f>
        <v/>
      </c>
    </row>
    <row r="177" spans="1:37" ht="35.4" customHeight="1">
      <c r="A177" s="621" t="str">
        <f>IF(B177="","",HYPERLINK("https://kabutan.jp/stock/?code="&amp;B177,"株探"))</f>
        <v/>
      </c>
      <c r="B177" s="480"/>
      <c r="C177" s="480"/>
      <c r="D177" s="480" t="str" cm="1">
        <f t="array" ref="D177">_xll.RssMarket(B177, "銘柄名称")</f>
        <v/>
      </c>
      <c r="E177" s="717"/>
      <c r="F177" s="698" t="str" cm="1">
        <f t="array" aca="1" ref="F177" ca="1">IFERROR(_xlfn.LET(_xlpm.r,MATCH(TEXT($B177,"0"),TEXT(銘柄管理!$B$6:$B$305,"0"),0),_xlpm.t,MOD(NOW(),1),_xlpm.c,IF($E177=TODAY(),IF(_xlpm.t&gt;=TIME(15,30,0),NA(),1),IF(MATCH($E177,始値!$E$3:$IT$3,0)=1,1,MATCH($E177,始値!$E$3:$IT$3,0)+1)),_xlpm.v,INDEX(始値!$C$6:$IT$305,_xlpm.r,_xlpm.c),IF(N(_xlpm.v)=0,"",_xlpm.v)),"")</f>
        <v/>
      </c>
      <c r="G177" s="480"/>
      <c r="H177" s="480" t="str" cm="1">
        <f t="array" ref="H177">_xll.RssMarket(B177, "現在値")</f>
        <v/>
      </c>
      <c r="I177" s="480" t="str" cm="1">
        <f t="array" ref="I177">_xll.RssMarket(B177, "出来高加重平均")</f>
        <v/>
      </c>
      <c r="J177" s="702" t="str" cm="1">
        <f t="array" ref="J177">_xll.RssMarket($B177, "前日比")</f>
        <v/>
      </c>
      <c r="K177" s="703" t="str">
        <f>IF(OR(F177="",G177="",H177=""),"",IF(C177="売",(F177-H177)*G177,(H177-F177)*G177))</f>
        <v/>
      </c>
      <c r="L177" s="708" t="str">
        <f>IF(OR(F177="",H177=""),"",IF(C177="売",(F177-H177)/F177,(H177-F177)/F177))</f>
        <v/>
      </c>
      <c r="M177" s="598" t="str">
        <f>IF($F177="","",$F177*IF($C177="売",1-V811設定!$B$4,1+V811設定!$B$4)-MOD($F177*IF($C177="売",1-V811設定!$B$4,1+V811設定!$B$4),IF($F177&lt;=3000,1,IF($F177&lt;=5000,5,IF($F177&lt;=30000,10,IF($F177&lt;=50000,50,IF($F177&lt;=300000,100,500))))))+IF(AND($C177="売",MOD($F177*IF($C177="売",1-V811設定!$B$4,1+V811設定!$B$4),IF($F177&lt;=3000,1,IF($F177&lt;=5000,5,IF($F177&lt;=30000,10,IF($F177&lt;=50000,50,IF($F177&lt;=300000,100,500))))))&gt;0),IF($F177&lt;=3000,1,IF($F177&lt;=5000,5,IF($F177&lt;=30000,10,IF($F177&lt;=50000,50,IF($F177&lt;=300000,100,500))))),0))</f>
      </c>
      <c r="N177" s="598" t="str">
        <f>IF($F177="","",$F177*IF($C177="売",1+V811設定!$B$3,1-V811設定!$B$3)-MOD($F177*IF($C177="売",1+V811設定!$B$3,1-V811設定!$B$3),IF($F177&lt;=3000,1,IF($F177&lt;=5000,5,IF($F177&lt;=30000,10,IF($F177&lt;=50000,50,IF($F177&lt;=300000,100,500))))))+IF(AND($C177="売",MOD($F177*IF($C177="売",1+V811設定!$B$3,1-V811設定!$B$3),IF($F177&lt;=3000,1,IF($F177&lt;=5000,5,IF($F177&lt;=30000,10,IF($F177&lt;=50000,50,IF($F177&lt;=300000,100,500))))))&gt;0),IF($F177&lt;=3000,1,IF($F177&lt;=5000,5,IF($F177&lt;=30000,10,IF($F177&lt;=50000,50,IF($F177&lt;=300000,100,500))))),0))</f>
      </c>
      <c r="O177" s="478" t="str">
        <f>IF(OR($B177="",$F177="",$H177=""),"",IF($S177="✅売却済","―決済済―",IF($C177="売",IF($H177&lt;=$M177,"🟢利確",IF(AND($R177&lt;&gt;"",$H177&gt;=$R177),"🟠TRAIL",IF($H177&gt;=$N177,"🔴損切",IF($W177&gt;=V811設定!$B$6,"⏱時間決済",IF($H177&gt;=$F177*(1+V811設定!$B$3*0.7),"⚠️損切接近","保持継続"))))),IF($H177&gt;=$M177,"🟢利確",IF(AND($R177&lt;&gt;"",$H177&lt;=$R177),"🟠TRAIL",IF($H177&lt;=$N177,"🔴損切",IF($W177&gt;=V811設定!$B$6,"⏱時間決済",IF($H177&lt;=$F177*(1-V811設定!$B$3*0.7),"⚠️損切接近","保持継続"))))))))</f>
      </c>
      <c r="P177" s="445"/>
      <c r="Q177" s="445"/>
      <c r="R177" s="480" t="str">
        <f>IF(OR($F177="",$H177="",$N177=""),"",IF($S177="✅売却済","",IF($C177="売",IF($H177&gt;$F177*(1-V811設定!$B$3),$N177,MIN($N177,IF($Q177="",$N177,$Q177*1.03))),IF($H177&lt;$F177*(1+V811設定!$B$3),$N177,MAX($N177,IF($P177="",$N177,$P177*0.97))))))</f>
      </c>
      <c r="S177" s="480" t="str">
        <f>IF(B177="","",IF(T177&lt;&gt;"","✅売却済",IF(OR(H177="",L177=""),"📌保有中",IF(L177&gt;=0.06,"🟢利確推奨",IF(L177&gt;=0.05,"🟡利確直近",IF(L177&gt;=0.045,"🔵トレーリング検討",IF(L177&gt;-0.03,"📌保有中",IF(L177&gt;-0.04,"⚠️損切注意","🔴損切り"))))))))</f>
        <v/>
      </c>
      <c r="T177" s="596"/>
      <c r="U177" s="598"/>
      <c r="V177" s="703" t="str">
        <f>IF(OR(F177="",G177="",U177=""),"",IF(C177="売",(F177-U177)*G177,(U177-F177)*G177))</f>
        <v/>
      </c>
      <c r="W177" s="480" t="str">
        <f>IF(OR($E177="",$B177=""),"",IF($T177&lt;&gt;"",$T177-$E177,TODAY()-$E177)+1)</f>
        <v/>
      </c>
      <c r="X177" s="480" t="str">
        <f>IF(OR($AH177="",$AH177="保有中"),"",$AH177)</f>
        <v/>
      </c>
      <c r="Y177" s="488"/>
      <c r="Z177" s="710"/>
      <c r="AD177" s="608"/>
      <c r="AE177" s="600" t="str">
        <f>IF($E177="","",WORKDAY($E177,12))</f>
        <v/>
      </c>
      <c r="AF177" s="600" t="str" cm="1">
        <f t="array" aca="1" ref="AF177" ca="1">IF(OR($B177="",$M177=""),"",IFERROR(IF($C177="売",_xlfn.MINIFS(安値!$E$3:$IT$3,安値!$E$3:$IT$3,"&gt;"&amp;$E177,安値!$E$3:$IT$3,"&lt;="&amp;$AE177,OFFSET(安値!$E$6:$IT$6,MATCH(TEXT($B177,"0"),TEXT(銘柄管理!$B$6:$B$305,"0"),0)-1,0),"&lt;="&amp;$M177),_xlfn.MINIFS(高値!$E$3:$IT$3,高値!$E$3:$IT$3,"&gt;"&amp;$E177,高値!$E$3:$IT$3,"&lt;="&amp;$AE177,OFFSET(高値!$E$6:$IT$6,MATCH(TEXT($B177,"0"),TEXT(銘柄管理!$B$6:$B$305,"0"),0)-1,0),"&gt;="&amp;$M177)),""))</f>
        <v/>
      </c>
      <c r="AG177" s="600" t="str" cm="1">
        <f t="array" aca="1" ref="AG177" ca="1">IF(OR($B177="",$N177=""),"",IFERROR(IF($C177="売",_xlfn.MINIFS(高値!$E$3:$IT$3,高値!$E$3:$IT$3,"&gt;"&amp;$E177,高値!$E$3:$IT$3,"&lt;="&amp;$AE177,OFFSET(高値!$E$6:$IT$6,MATCH(TEXT($B177,"0"),TEXT(銘柄管理!$B$6:$B$305,"0"),0)-1,0),"&gt;="&amp;$N177),_xlfn.MINIFS(安値!$E$3:$IT$3,安値!$E$3:$IT$3,"&gt;"&amp;$E177,安値!$E$3:$IT$3,"&lt;="&amp;$AE177,OFFSET(安値!$E$6:$IT$6,MATCH(TEXT($B177,"0"),TEXT(銘柄管理!$B$6:$B$305,"0"),0)-1,0),"&lt;="&amp;$N177)),""))</f>
        <v/>
      </c>
      <c r="AH177" s="600" t="str">
        <f>IF(OR($B177="",$M177=""),"",IF(AND(N($AF177)=0,N($AG177)=0),IF(AND(ISNUMBER($H177),$H177&gt;0,IF($C177="売",$H177&gt;=$N177,$H177&lt;=$N177)),"損切確定",IF(AND(ISNUMBER($H177),$H177&gt;0,IF($C177="売",$H177&lt;=$M177,$H177&gt;=$M177)),"利益確定",IF($AE177&lt;=TODAY(),"日数制限","保有中"))),IF(N($AG177)=0,"利益確定",IF(N($AF177)=0,"損切確定",IF($AG177&lt;=$AF177,"損切確定","利益確定")))))</f>
        <v/>
      </c>
      <c r="AI177" s="600" t="str" cm="1">
        <f t="array" ref="AI177">IFERROR(INDEX(始値!$E$6:$IT$305,MATCH(TEXT($B177,"0"),TEXT(銘柄管理!$B$6:$B$305,"0"),0),MATCH($AE177,始値!$E$3:$IT$3,0)),"")</f>
        <v/>
      </c>
      <c r="AJ177" s="608" t="str">
        <f>IF(OR($V177="",$F177="",$G177=""),"",$V177/($F177*$G177))</f>
        <v/>
      </c>
      <c r="AK177" s="600" t="str">
        <f>IF($V177="","",IF($V177&gt;0,"○勝",IF($V177&lt;0,"●負","△引分")))</f>
        <v/>
      </c>
    </row>
    <row r="178" spans="1:37" ht="35.4" customHeight="1">
      <c r="A178" s="621" t="str">
        <f>IF(B178="","",HYPERLINK("https://kabutan.jp/stock/?code="&amp;B178,"株探"))</f>
        <v/>
      </c>
      <c r="B178" s="480"/>
      <c r="C178" s="480"/>
      <c r="D178" s="480" t="str" cm="1">
        <f t="array" ref="D178">_xll.RssMarket(B178, "銘柄名称")</f>
        <v/>
      </c>
      <c r="E178" s="717"/>
      <c r="F178" s="698" t="str" cm="1">
        <f t="array" aca="1" ref="F178" ca="1">IFERROR(_xlfn.LET(_xlpm.r,MATCH(TEXT($B178,"0"),TEXT(銘柄管理!$B$6:$B$305,"0"),0),_xlpm.t,MOD(NOW(),1),_xlpm.c,IF($E178=TODAY(),IF(_xlpm.t&gt;=TIME(15,30,0),NA(),1),IF(MATCH($E178,始値!$E$3:$IT$3,0)=1,1,MATCH($E178,始値!$E$3:$IT$3,0)+1)),_xlpm.v,INDEX(始値!$C$6:$IT$305,_xlpm.r,_xlpm.c),IF(N(_xlpm.v)=0,"",_xlpm.v)),"")</f>
        <v/>
      </c>
      <c r="G178" s="480"/>
      <c r="H178" s="480" t="str" cm="1">
        <f t="array" ref="H178">_xll.RssMarket(B178, "現在値")</f>
        <v/>
      </c>
      <c r="I178" s="480" t="str" cm="1">
        <f t="array" ref="I178">_xll.RssMarket(B178, "出来高加重平均")</f>
        <v/>
      </c>
      <c r="J178" s="702" t="str" cm="1">
        <f t="array" ref="J178">_xll.RssMarket($B178, "前日比")</f>
        <v/>
      </c>
      <c r="K178" s="703" t="str">
        <f>IF(OR(F178="",G178="",H178=""),"",IF(C178="売",(F178-H178)*G178,(H178-F178)*G178))</f>
        <v/>
      </c>
      <c r="L178" s="708" t="str">
        <f>IF(OR(F178="",H178=""),"",IF(C178="売",(F178-H178)/F178,(H178-F178)/F178))</f>
        <v/>
      </c>
      <c r="M178" s="598" t="str">
        <f>IF($F178="","",$F178*IF($C178="売",1-V811設定!$B$4,1+V811設定!$B$4)-MOD($F178*IF($C178="売",1-V811設定!$B$4,1+V811設定!$B$4),IF($F178&lt;=3000,1,IF($F178&lt;=5000,5,IF($F178&lt;=30000,10,IF($F178&lt;=50000,50,IF($F178&lt;=300000,100,500))))))+IF(AND($C178="売",MOD($F178*IF($C178="売",1-V811設定!$B$4,1+V811設定!$B$4),IF($F178&lt;=3000,1,IF($F178&lt;=5000,5,IF($F178&lt;=30000,10,IF($F178&lt;=50000,50,IF($F178&lt;=300000,100,500))))))&gt;0),IF($F178&lt;=3000,1,IF($F178&lt;=5000,5,IF($F178&lt;=30000,10,IF($F178&lt;=50000,50,IF($F178&lt;=300000,100,500))))),0))</f>
      </c>
      <c r="N178" s="598" t="str">
        <f>IF($F178="","",$F178*IF($C178="売",1+V811設定!$B$3,1-V811設定!$B$3)-MOD($F178*IF($C178="売",1+V811設定!$B$3,1-V811設定!$B$3),IF($F178&lt;=3000,1,IF($F178&lt;=5000,5,IF($F178&lt;=30000,10,IF($F178&lt;=50000,50,IF($F178&lt;=300000,100,500))))))+IF(AND($C178="売",MOD($F178*IF($C178="売",1+V811設定!$B$3,1-V811設定!$B$3),IF($F178&lt;=3000,1,IF($F178&lt;=5000,5,IF($F178&lt;=30000,10,IF($F178&lt;=50000,50,IF($F178&lt;=300000,100,500))))))&gt;0),IF($F178&lt;=3000,1,IF($F178&lt;=5000,5,IF($F178&lt;=30000,10,IF($F178&lt;=50000,50,IF($F178&lt;=300000,100,500))))),0))</f>
      </c>
      <c r="O178" s="478" t="str">
        <f>IF(OR($B178="",$F178="",$H178=""),"",IF($S178="✅売却済","―決済済―",IF($C178="売",IF($H178&lt;=$M178,"🟢利確",IF(AND($R178&lt;&gt;"",$H178&gt;=$R178),"🟠TRAIL",IF($H178&gt;=$N178,"🔴損切",IF($W178&gt;=V811設定!$B$6,"⏱時間決済",IF($H178&gt;=$F178*(1+V811設定!$B$3*0.7),"⚠️損切接近","保持継続"))))),IF($H178&gt;=$M178,"🟢利確",IF(AND($R178&lt;&gt;"",$H178&lt;=$R178),"🟠TRAIL",IF($H178&lt;=$N178,"🔴損切",IF($W178&gt;=V811設定!$B$6,"⏱時間決済",IF($H178&lt;=$F178*(1-V811設定!$B$3*0.7),"⚠️損切接近","保持継続"))))))))</f>
      </c>
      <c r="P178" s="445"/>
      <c r="Q178" s="445"/>
      <c r="R178" s="480" t="str">
        <f>IF(OR($F178="",$H178="",$N178=""),"",IF($S178="✅売却済","",IF($C178="売",IF($H178&gt;$F178*(1-V811設定!$B$3),$N178,MIN($N178,IF($Q178="",$N178,$Q178*1.03))),IF($H178&lt;$F178*(1+V811設定!$B$3),$N178,MAX($N178,IF($P178="",$N178,$P178*0.97))))))</f>
      </c>
      <c r="S178" s="480" t="str">
        <f>IF(B178="","",IF(T178&lt;&gt;"","✅売却済",IF(OR(H178="",L178=""),"📌保有中",IF(L178&gt;=0.06,"🟢利確推奨",IF(L178&gt;=0.05,"🟡利確直近",IF(L178&gt;=0.045,"🔵トレーリング検討",IF(L178&gt;-0.03,"📌保有中",IF(L178&gt;-0.04,"⚠️損切注意","🔴損切り"))))))))</f>
        <v/>
      </c>
      <c r="T178" s="596"/>
      <c r="U178" s="598"/>
      <c r="V178" s="703" t="str">
        <f>IF(OR(F178="",G178="",U178=""),"",IF(C178="売",(F178-U178)*G178,(U178-F178)*G178))</f>
        <v/>
      </c>
      <c r="W178" s="480" t="str">
        <f>IF(OR($E178="",$B178=""),"",IF($T178&lt;&gt;"",$T178-$E178,TODAY()-$E178)+1)</f>
        <v/>
      </c>
      <c r="X178" s="480" t="str">
        <f>IF(OR($AH178="",$AH178="保有中"),"",$AH178)</f>
        <v/>
      </c>
      <c r="Y178" s="488"/>
      <c r="Z178" s="710"/>
      <c r="AD178" s="608"/>
      <c r="AE178" s="600" t="str">
        <f>IF($E178="","",WORKDAY($E178,12))</f>
        <v/>
      </c>
      <c r="AF178" s="600" t="str" cm="1">
        <f t="array" aca="1" ref="AF178" ca="1">IF(OR($B178="",$M178=""),"",IFERROR(IF($C178="売",_xlfn.MINIFS(安値!$E$3:$IT$3,安値!$E$3:$IT$3,"&gt;"&amp;$E178,安値!$E$3:$IT$3,"&lt;="&amp;$AE178,OFFSET(安値!$E$6:$IT$6,MATCH(TEXT($B178,"0"),TEXT(銘柄管理!$B$6:$B$305,"0"),0)-1,0),"&lt;="&amp;$M178),_xlfn.MINIFS(高値!$E$3:$IT$3,高値!$E$3:$IT$3,"&gt;"&amp;$E178,高値!$E$3:$IT$3,"&lt;="&amp;$AE178,OFFSET(高値!$E$6:$IT$6,MATCH(TEXT($B178,"0"),TEXT(銘柄管理!$B$6:$B$305,"0"),0)-1,0),"&gt;="&amp;$M178)),""))</f>
        <v/>
      </c>
      <c r="AG178" s="600" t="str" cm="1">
        <f t="array" aca="1" ref="AG178" ca="1">IF(OR($B178="",$N178=""),"",IFERROR(IF($C178="売",_xlfn.MINIFS(高値!$E$3:$IT$3,高値!$E$3:$IT$3,"&gt;"&amp;$E178,高値!$E$3:$IT$3,"&lt;="&amp;$AE178,OFFSET(高値!$E$6:$IT$6,MATCH(TEXT($B178,"0"),TEXT(銘柄管理!$B$6:$B$305,"0"),0)-1,0),"&gt;="&amp;$N178),_xlfn.MINIFS(安値!$E$3:$IT$3,安値!$E$3:$IT$3,"&gt;"&amp;$E178,安値!$E$3:$IT$3,"&lt;="&amp;$AE178,OFFSET(安値!$E$6:$IT$6,MATCH(TEXT($B178,"0"),TEXT(銘柄管理!$B$6:$B$305,"0"),0)-1,0),"&lt;="&amp;$N178)),""))</f>
        <v/>
      </c>
      <c r="AH178" s="600" t="str">
        <f>IF(OR($B178="",$M178=""),"",IF(AND(N($AF178)=0,N($AG178)=0),IF(AND(ISNUMBER($H178),$H178&gt;0,IF($C178="売",$H178&gt;=$N178,$H178&lt;=$N178)),"損切確定",IF(AND(ISNUMBER($H178),$H178&gt;0,IF($C178="売",$H178&lt;=$M178,$H178&gt;=$M178)),"利益確定",IF($AE178&lt;=TODAY(),"日数制限","保有中"))),IF(N($AG178)=0,"利益確定",IF(N($AF178)=0,"損切確定",IF($AG178&lt;=$AF178,"損切確定","利益確定")))))</f>
        <v/>
      </c>
      <c r="AI178" s="600" t="str" cm="1">
        <f t="array" ref="AI178">IFERROR(INDEX(始値!$E$6:$IT$305,MATCH(TEXT($B178,"0"),TEXT(銘柄管理!$B$6:$B$305,"0"),0),MATCH($AE178,始値!$E$3:$IT$3,0)),"")</f>
        <v/>
      </c>
      <c r="AJ178" s="608" t="str">
        <f>IF(OR($V178="",$F178="",$G178=""),"",$V178/($F178*$G178))</f>
        <v/>
      </c>
      <c r="AK178" s="600" t="str">
        <f>IF($V178="","",IF($V178&gt;0,"○勝",IF($V178&lt;0,"●負","△引分")))</f>
        <v/>
      </c>
    </row>
    <row r="179" spans="1:37" ht="17.25" customHeight="1">
      <c r="A179" s="621" t="str">
        <f>IF(B179="","",HYPERLINK("https://kabutan.jp/stock/?code="&amp;B179,"株探"))</f>
        <v/>
      </c>
      <c r="B179" s="480"/>
      <c r="C179" s="480"/>
      <c r="D179" s="480" t="str" cm="1">
        <f t="array" ref="D179">_xll.RssMarket(B179, "銘柄名称")</f>
        <v/>
      </c>
      <c r="E179" s="717"/>
      <c r="F179" s="698" t="str" cm="1">
        <f t="array" aca="1" ref="F179" ca="1">IFERROR(_xlfn.LET(_xlpm.r,MATCH(TEXT($B179,"0"),TEXT(銘柄管理!$B$6:$B$305,"0"),0),_xlpm.t,MOD(NOW(),1),_xlpm.c,IF($E179=TODAY(),IF(_xlpm.t&gt;=TIME(15,30,0),NA(),1),IF(MATCH($E179,始値!$E$3:$IT$3,0)=1,1,MATCH($E179,始値!$E$3:$IT$3,0)+1)),_xlpm.v,INDEX(始値!$C$6:$IT$305,_xlpm.r,_xlpm.c),IF(N(_xlpm.v)=0,"",_xlpm.v)),"")</f>
        <v/>
      </c>
      <c r="G179" s="480"/>
      <c r="H179" s="480" t="str" cm="1">
        <f t="array" ref="H179">_xll.RssMarket(B179, "現在値")</f>
        <v/>
      </c>
      <c r="I179" s="480" t="str" cm="1">
        <f t="array" ref="I179">_xll.RssMarket(B179, "出来高加重平均")</f>
        <v/>
      </c>
      <c r="J179" s="702" t="str" cm="1">
        <f t="array" ref="J179">_xll.RssMarket($B179, "前日比")</f>
        <v/>
      </c>
      <c r="K179" s="703" t="str">
        <f>IF(OR(F179="",G179="",H179=""),"",IF(C179="売",(F179-H179)*G179,(H179-F179)*G179))</f>
        <v/>
      </c>
      <c r="L179" s="708" t="str">
        <f>IF(OR(F179="",H179=""),"",IF(C179="売",(F179-H179)/F179,(H179-F179)/F179))</f>
        <v/>
      </c>
      <c r="M179" s="598" t="str">
        <f>IF($F179="","",$F179*IF($C179="売",1-V811設定!$B$4,1+V811設定!$B$4)-MOD($F179*IF($C179="売",1-V811設定!$B$4,1+V811設定!$B$4),IF($F179&lt;=3000,1,IF($F179&lt;=5000,5,IF($F179&lt;=30000,10,IF($F179&lt;=50000,50,IF($F179&lt;=300000,100,500))))))+IF(AND($C179="売",MOD($F179*IF($C179="売",1-V811設定!$B$4,1+V811設定!$B$4),IF($F179&lt;=3000,1,IF($F179&lt;=5000,5,IF($F179&lt;=30000,10,IF($F179&lt;=50000,50,IF($F179&lt;=300000,100,500))))))&gt;0),IF($F179&lt;=3000,1,IF($F179&lt;=5000,5,IF($F179&lt;=30000,10,IF($F179&lt;=50000,50,IF($F179&lt;=300000,100,500))))),0))</f>
      </c>
      <c r="N179" s="598" t="str">
        <f>IF($F179="","",$F179*IF($C179="売",1+V811設定!$B$3,1-V811設定!$B$3)-MOD($F179*IF($C179="売",1+V811設定!$B$3,1-V811設定!$B$3),IF($F179&lt;=3000,1,IF($F179&lt;=5000,5,IF($F179&lt;=30000,10,IF($F179&lt;=50000,50,IF($F179&lt;=300000,100,500))))))+IF(AND($C179="売",MOD($F179*IF($C179="売",1+V811設定!$B$3,1-V811設定!$B$3),IF($F179&lt;=3000,1,IF($F179&lt;=5000,5,IF($F179&lt;=30000,10,IF($F179&lt;=50000,50,IF($F179&lt;=300000,100,500))))))&gt;0),IF($F179&lt;=3000,1,IF($F179&lt;=5000,5,IF($F179&lt;=30000,10,IF($F179&lt;=50000,50,IF($F179&lt;=300000,100,500))))),0))</f>
      </c>
      <c r="O179" s="478" t="str">
        <f>IF(OR($B179="",$F179="",$H179=""),"",IF($S179="✅売却済","―決済済―",IF($C179="売",IF($H179&lt;=$M179,"🟢利確",IF(AND($R179&lt;&gt;"",$H179&gt;=$R179),"🟠TRAIL",IF($H179&gt;=$N179,"🔴損切",IF($W179&gt;=V811設定!$B$6,"⏱時間決済",IF($H179&gt;=$F179*(1+V811設定!$B$3*0.7),"⚠️損切接近","保持継続"))))),IF($H179&gt;=$M179,"🟢利確",IF(AND($R179&lt;&gt;"",$H179&lt;=$R179),"🟠TRAIL",IF($H179&lt;=$N179,"🔴損切",IF($W179&gt;=V811設定!$B$6,"⏱時間決済",IF($H179&lt;=$F179*(1-V811設定!$B$3*0.7),"⚠️損切接近","保持継続"))))))))</f>
      </c>
      <c r="P179" s="445"/>
      <c r="Q179" s="445"/>
      <c r="R179" s="480" t="str">
        <f>IF(OR($F179="",$H179="",$N179=""),"",IF($S179="✅売却済","",IF($C179="売",IF($H179&gt;$F179*(1-V811設定!$B$3),$N179,MIN($N179,IF($Q179="",$N179,$Q179*1.03))),IF($H179&lt;$F179*(1+V811設定!$B$3),$N179,MAX($N179,IF($P179="",$N179,$P179*0.97))))))</f>
      </c>
      <c r="S179" s="480" t="str">
        <f>IF(B179="","",IF(T179&lt;&gt;"","✅売却済",IF(OR(H179="",L179=""),"📌保有中",IF(L179&gt;=0.06,"🟢利確推奨",IF(L179&gt;=0.05,"🟡利確直近",IF(L179&gt;=0.045,"🔵トレーリング検討",IF(L179&gt;-0.03,"📌保有中",IF(L179&gt;-0.04,"⚠️損切注意","🔴損切り"))))))))</f>
        <v/>
      </c>
      <c r="T179" s="596"/>
      <c r="U179" s="598"/>
      <c r="V179" s="703" t="str">
        <f>IF(OR(F179="",G179="",U179=""),"",IF(C179="売",(F179-U179)*G179,(U179-F179)*G179))</f>
        <v/>
      </c>
      <c r="W179" s="480" t="str">
        <f>IF(OR($E179="",$B179=""),"",IF($T179&lt;&gt;"",$T179-$E179,TODAY()-$E179)+1)</f>
        <v/>
      </c>
      <c r="X179" s="480" t="str">
        <f>IF(OR($AH179="",$AH179="保有中"),"",$AH179)</f>
        <v/>
      </c>
      <c r="Y179" s="488"/>
      <c r="Z179" s="710"/>
      <c r="AD179" s="608"/>
      <c r="AE179" s="600" t="str">
        <f>IF($E179="","",WORKDAY($E179,12))</f>
        <v/>
      </c>
      <c r="AF179" s="600" t="str" cm="1">
        <f t="array" aca="1" ref="AF179" ca="1">IF(OR($B179="",$M179=""),"",IFERROR(IF($C179="売",_xlfn.MINIFS(安値!$E$3:$IT$3,安値!$E$3:$IT$3,"&gt;"&amp;$E179,安値!$E$3:$IT$3,"&lt;="&amp;$AE179,OFFSET(安値!$E$6:$IT$6,MATCH(TEXT($B179,"0"),TEXT(銘柄管理!$B$6:$B$305,"0"),0)-1,0),"&lt;="&amp;$M179),_xlfn.MINIFS(高値!$E$3:$IT$3,高値!$E$3:$IT$3,"&gt;"&amp;$E179,高値!$E$3:$IT$3,"&lt;="&amp;$AE179,OFFSET(高値!$E$6:$IT$6,MATCH(TEXT($B179,"0"),TEXT(銘柄管理!$B$6:$B$305,"0"),0)-1,0),"&gt;="&amp;$M179)),""))</f>
        <v/>
      </c>
      <c r="AG179" s="600" t="str" cm="1">
        <f t="array" aca="1" ref="AG179" ca="1">IF(OR($B179="",$N179=""),"",IFERROR(IF($C179="売",_xlfn.MINIFS(高値!$E$3:$IT$3,高値!$E$3:$IT$3,"&gt;"&amp;$E179,高値!$E$3:$IT$3,"&lt;="&amp;$AE179,OFFSET(高値!$E$6:$IT$6,MATCH(TEXT($B179,"0"),TEXT(銘柄管理!$B$6:$B$305,"0"),0)-1,0),"&gt;="&amp;$N179),_xlfn.MINIFS(安値!$E$3:$IT$3,安値!$E$3:$IT$3,"&gt;"&amp;$E179,安値!$E$3:$IT$3,"&lt;="&amp;$AE179,OFFSET(安値!$E$6:$IT$6,MATCH(TEXT($B179,"0"),TEXT(銘柄管理!$B$6:$B$305,"0"),0)-1,0),"&lt;="&amp;$N179)),""))</f>
        <v/>
      </c>
      <c r="AH179" s="600" t="str">
        <f>IF(OR($B179="",$M179=""),"",IF(AND(N($AF179)=0,N($AG179)=0),IF(AND(ISNUMBER($H179),$H179&gt;0,IF($C179="売",$H179&gt;=$N179,$H179&lt;=$N179)),"損切確定",IF(AND(ISNUMBER($H179),$H179&gt;0,IF($C179="売",$H179&lt;=$M179,$H179&gt;=$M179)),"利益確定",IF($AE179&lt;=TODAY(),"日数制限","保有中"))),IF(N($AG179)=0,"利益確定",IF(N($AF179)=0,"損切確定",IF($AG179&lt;=$AF179,"損切確定","利益確定")))))</f>
        <v/>
      </c>
      <c r="AI179" s="600" t="str" cm="1">
        <f t="array" ref="AI179">IFERROR(INDEX(始値!$E$6:$IT$305,MATCH(TEXT($B179,"0"),TEXT(銘柄管理!$B$6:$B$305,"0"),0),MATCH($AE179,始値!$E$3:$IT$3,0)),"")</f>
        <v/>
      </c>
      <c r="AJ179" s="608" t="str">
        <f>IF(OR($V179="",$F179="",$G179=""),"",$V179/($F179*$G179))</f>
        <v/>
      </c>
      <c r="AK179" s="600" t="str">
        <f>IF($V179="","",IF($V179&gt;0,"○勝",IF($V179&lt;0,"●負","△引分")))</f>
        <v/>
      </c>
    </row>
    <row r="180" spans="1:37" ht="17.25" customHeight="1">
      <c r="A180" s="621" t="str">
        <f>IF(B180="","",HYPERLINK("https://kabutan.jp/stock/?code="&amp;B180,"株探"))</f>
        <v/>
      </c>
      <c r="B180" s="480"/>
      <c r="C180" s="480"/>
      <c r="D180" s="480" t="str" cm="1">
        <f t="array" ref="D180">_xll.RssMarket(B180, "銘柄名称")</f>
        <v/>
      </c>
      <c r="E180" s="717"/>
      <c r="F180" s="698" t="str" cm="1">
        <f t="array" aca="1" ref="F180" ca="1">IFERROR(_xlfn.LET(_xlpm.r,MATCH(TEXT($B180,"0"),TEXT(銘柄管理!$B$6:$B$305,"0"),0),_xlpm.t,MOD(NOW(),1),_xlpm.c,IF($E180=TODAY(),IF(_xlpm.t&gt;=TIME(15,30,0),NA(),1),IF(MATCH($E180,始値!$E$3:$IT$3,0)=1,1,MATCH($E180,始値!$E$3:$IT$3,0)+1)),_xlpm.v,INDEX(始値!$C$6:$IT$305,_xlpm.r,_xlpm.c),IF(N(_xlpm.v)=0,"",_xlpm.v)),"")</f>
        <v/>
      </c>
      <c r="G180" s="480"/>
      <c r="H180" s="480" t="str" cm="1">
        <f t="array" ref="H180">_xll.RssMarket(B180, "現在値")</f>
        <v/>
      </c>
      <c r="I180" s="480" t="str" cm="1">
        <f t="array" ref="I180">_xll.RssMarket(B180, "出来高加重平均")</f>
        <v/>
      </c>
      <c r="J180" s="702" t="str" cm="1">
        <f t="array" ref="J180">_xll.RssMarket($B180, "前日比")</f>
        <v/>
      </c>
      <c r="K180" s="703" t="str">
        <f>IF(OR(F180="",G180="",H180=""),"",IF(C180="売",(F180-H180)*G180,(H180-F180)*G180))</f>
        <v/>
      </c>
      <c r="L180" s="708" t="str">
        <f>IF(OR(F180="",H180=""),"",IF(C180="売",(F180-H180)/F180,(H180-F180)/F180))</f>
        <v/>
      </c>
      <c r="M180" s="598" t="str">
        <f>IF($F180="","",$F180*IF($C180="売",1-V811設定!$B$4,1+V811設定!$B$4)-MOD($F180*IF($C180="売",1-V811設定!$B$4,1+V811設定!$B$4),IF($F180&lt;=3000,1,IF($F180&lt;=5000,5,IF($F180&lt;=30000,10,IF($F180&lt;=50000,50,IF($F180&lt;=300000,100,500))))))+IF(AND($C180="売",MOD($F180*IF($C180="売",1-V811設定!$B$4,1+V811設定!$B$4),IF($F180&lt;=3000,1,IF($F180&lt;=5000,5,IF($F180&lt;=30000,10,IF($F180&lt;=50000,50,IF($F180&lt;=300000,100,500))))))&gt;0),IF($F180&lt;=3000,1,IF($F180&lt;=5000,5,IF($F180&lt;=30000,10,IF($F180&lt;=50000,50,IF($F180&lt;=300000,100,500))))),0))</f>
      </c>
      <c r="N180" s="598" t="str">
        <f>IF($F180="","",$F180*IF($C180="売",1+V811設定!$B$3,1-V811設定!$B$3)-MOD($F180*IF($C180="売",1+V811設定!$B$3,1-V811設定!$B$3),IF($F180&lt;=3000,1,IF($F180&lt;=5000,5,IF($F180&lt;=30000,10,IF($F180&lt;=50000,50,IF($F180&lt;=300000,100,500))))))+IF(AND($C180="売",MOD($F180*IF($C180="売",1+V811設定!$B$3,1-V811設定!$B$3),IF($F180&lt;=3000,1,IF($F180&lt;=5000,5,IF($F180&lt;=30000,10,IF($F180&lt;=50000,50,IF($F180&lt;=300000,100,500))))))&gt;0),IF($F180&lt;=3000,1,IF($F180&lt;=5000,5,IF($F180&lt;=30000,10,IF($F180&lt;=50000,50,IF($F180&lt;=300000,100,500))))),0))</f>
      </c>
      <c r="O180" s="478" t="str">
        <f>IF(OR($B180="",$F180="",$H180=""),"",IF($S180="✅売却済","―決済済―",IF($C180="売",IF($H180&lt;=$M180,"🟢利確",IF(AND($R180&lt;&gt;"",$H180&gt;=$R180),"🟠TRAIL",IF($H180&gt;=$N180,"🔴損切",IF($W180&gt;=V811設定!$B$6,"⏱時間決済",IF($H180&gt;=$F180*(1+V811設定!$B$3*0.7),"⚠️損切接近","保持継続"))))),IF($H180&gt;=$M180,"🟢利確",IF(AND($R180&lt;&gt;"",$H180&lt;=$R180),"🟠TRAIL",IF($H180&lt;=$N180,"🔴損切",IF($W180&gt;=V811設定!$B$6,"⏱時間決済",IF($H180&lt;=$F180*(1-V811設定!$B$3*0.7),"⚠️損切接近","保持継続"))))))))</f>
      </c>
      <c r="P180" s="445"/>
      <c r="Q180" s="445"/>
      <c r="R180" s="480" t="str">
        <f>IF(OR($F180="",$H180="",$N180=""),"",IF($S180="✅売却済","",IF($C180="売",IF($H180&gt;$F180*(1-V811設定!$B$3),$N180,MIN($N180,IF($Q180="",$N180,$Q180*1.03))),IF($H180&lt;$F180*(1+V811設定!$B$3),$N180,MAX($N180,IF($P180="",$N180,$P180*0.97))))))</f>
      </c>
      <c r="S180" s="480" t="str">
        <f>IF(B180="","",IF(T180&lt;&gt;"","✅売却済",IF(OR(H180="",L180=""),"📌保有中",IF(L180&gt;=0.06,"🟢利確推奨",IF(L180&gt;=0.05,"🟡利確直近",IF(L180&gt;=0.045,"🔵トレーリング検討",IF(L180&gt;-0.03,"📌保有中",IF(L180&gt;-0.04,"⚠️損切注意","🔴損切り"))))))))</f>
        <v/>
      </c>
      <c r="T180" s="596"/>
      <c r="U180" s="598"/>
      <c r="V180" s="703" t="str">
        <f>IF(OR(F180="",G180="",U180=""),"",IF(C180="売",(F180-U180)*G180,(U180-F180)*G180))</f>
        <v/>
      </c>
      <c r="W180" s="480" t="str">
        <f>IF(OR($E180="",$B180=""),"",IF($T180&lt;&gt;"",$T180-$E180,TODAY()-$E180)+1)</f>
        <v/>
      </c>
      <c r="X180" s="480" t="str">
        <f>IF(OR($AH180="",$AH180="保有中"),"",$AH180)</f>
        <v/>
      </c>
      <c r="Y180" s="488"/>
      <c r="Z180" s="710"/>
      <c r="AD180" s="608"/>
      <c r="AE180" s="600" t="str">
        <f>IF($E180="","",WORKDAY($E180,12))</f>
        <v/>
      </c>
      <c r="AF180" s="600" t="str" cm="1">
        <f t="array" aca="1" ref="AF180" ca="1">IF(OR($B180="",$M180=""),"",IFERROR(IF($C180="売",_xlfn.MINIFS(安値!$E$3:$IT$3,安値!$E$3:$IT$3,"&gt;"&amp;$E180,安値!$E$3:$IT$3,"&lt;="&amp;$AE180,OFFSET(安値!$E$6:$IT$6,MATCH(TEXT($B180,"0"),TEXT(銘柄管理!$B$6:$B$305,"0"),0)-1,0),"&lt;="&amp;$M180),_xlfn.MINIFS(高値!$E$3:$IT$3,高値!$E$3:$IT$3,"&gt;"&amp;$E180,高値!$E$3:$IT$3,"&lt;="&amp;$AE180,OFFSET(高値!$E$6:$IT$6,MATCH(TEXT($B180,"0"),TEXT(銘柄管理!$B$6:$B$305,"0"),0)-1,0),"&gt;="&amp;$M180)),""))</f>
        <v/>
      </c>
      <c r="AG180" s="600" t="str" cm="1">
        <f t="array" aca="1" ref="AG180" ca="1">IF(OR($B180="",$N180=""),"",IFERROR(IF($C180="売",_xlfn.MINIFS(高値!$E$3:$IT$3,高値!$E$3:$IT$3,"&gt;"&amp;$E180,高値!$E$3:$IT$3,"&lt;="&amp;$AE180,OFFSET(高値!$E$6:$IT$6,MATCH(TEXT($B180,"0"),TEXT(銘柄管理!$B$6:$B$305,"0"),0)-1,0),"&gt;="&amp;$N180),_xlfn.MINIFS(安値!$E$3:$IT$3,安値!$E$3:$IT$3,"&gt;"&amp;$E180,安値!$E$3:$IT$3,"&lt;="&amp;$AE180,OFFSET(安値!$E$6:$IT$6,MATCH(TEXT($B180,"0"),TEXT(銘柄管理!$B$6:$B$305,"0"),0)-1,0),"&lt;="&amp;$N180)),""))</f>
        <v/>
      </c>
      <c r="AH180" s="600" t="str">
        <f>IF(OR($B180="",$M180=""),"",IF(AND(N($AF180)=0,N($AG180)=0),IF(AND(ISNUMBER($H180),$H180&gt;0,IF($C180="売",$H180&gt;=$N180,$H180&lt;=$N180)),"損切確定",IF(AND(ISNUMBER($H180),$H180&gt;0,IF($C180="売",$H180&lt;=$M180,$H180&gt;=$M180)),"利益確定",IF($AE180&lt;=TODAY(),"日数制限","保有中"))),IF(N($AG180)=0,"利益確定",IF(N($AF180)=0,"損切確定",IF($AG180&lt;=$AF180,"損切確定","利益確定")))))</f>
        <v/>
      </c>
      <c r="AI180" s="600" t="str" cm="1">
        <f t="array" ref="AI180">IFERROR(INDEX(始値!$E$6:$IT$305,MATCH(TEXT($B180,"0"),TEXT(銘柄管理!$B$6:$B$305,"0"),0),MATCH($AE180,始値!$E$3:$IT$3,0)),"")</f>
        <v/>
      </c>
      <c r="AJ180" s="608" t="str">
        <f>IF(OR($V180="",$F180="",$G180=""),"",$V180/($F180*$G180))</f>
        <v/>
      </c>
      <c r="AK180" s="600" t="str">
        <f>IF($V180="","",IF($V180&gt;0,"○勝",IF($V180&lt;0,"●負","△引分")))</f>
        <v/>
      </c>
    </row>
    <row r="181" spans="1:37" ht="17.25" customHeight="1">
      <c r="A181" s="621" t="str">
        <f>IF(B181="","",HYPERLINK("https://kabutan.jp/stock/?code="&amp;B181,"株探"))</f>
        <v/>
      </c>
      <c r="B181" s="480"/>
      <c r="C181" s="480"/>
      <c r="D181" s="480" t="str" cm="1">
        <f t="array" ref="D181">_xll.RssMarket(B181, "銘柄名称")</f>
        <v/>
      </c>
      <c r="E181" s="717"/>
      <c r="F181" s="698" t="str" cm="1">
        <f t="array" aca="1" ref="F181" ca="1">IFERROR(_xlfn.LET(_xlpm.r,MATCH(TEXT($B181,"0"),TEXT(銘柄管理!$B$6:$B$305,"0"),0),_xlpm.t,MOD(NOW(),1),_xlpm.c,IF($E181=TODAY(),IF(_xlpm.t&gt;=TIME(15,30,0),NA(),1),IF(MATCH($E181,始値!$E$3:$IT$3,0)=1,1,MATCH($E181,始値!$E$3:$IT$3,0)+1)),_xlpm.v,INDEX(始値!$C$6:$IT$305,_xlpm.r,_xlpm.c),IF(N(_xlpm.v)=0,"",_xlpm.v)),"")</f>
        <v/>
      </c>
      <c r="G181" s="480"/>
      <c r="H181" s="480" t="str" cm="1">
        <f t="array" ref="H181">_xll.RssMarket(B181, "現在値")</f>
        <v/>
      </c>
      <c r="I181" s="480" t="str" cm="1">
        <f t="array" ref="I181">_xll.RssMarket(B181, "出来高加重平均")</f>
        <v/>
      </c>
      <c r="J181" s="702" t="str" cm="1">
        <f t="array" ref="J181">_xll.RssMarket($B181, "前日比")</f>
        <v/>
      </c>
      <c r="K181" s="703" t="str">
        <f>IF(OR(F181="",G181="",H181=""),"",IF(C181="売",(F181-H181)*G181,(H181-F181)*G181))</f>
        <v/>
      </c>
      <c r="L181" s="708" t="str">
        <f>IF(OR(F181="",H181=""),"",IF(C181="売",(F181-H181)/F181,(H181-F181)/F181))</f>
        <v/>
      </c>
      <c r="M181" s="598" t="str">
        <f>IF($F181="","",$F181*IF($C181="売",1-V811設定!$B$4,1+V811設定!$B$4)-MOD($F181*IF($C181="売",1-V811設定!$B$4,1+V811設定!$B$4),IF($F181&lt;=3000,1,IF($F181&lt;=5000,5,IF($F181&lt;=30000,10,IF($F181&lt;=50000,50,IF($F181&lt;=300000,100,500))))))+IF(AND($C181="売",MOD($F181*IF($C181="売",1-V811設定!$B$4,1+V811設定!$B$4),IF($F181&lt;=3000,1,IF($F181&lt;=5000,5,IF($F181&lt;=30000,10,IF($F181&lt;=50000,50,IF($F181&lt;=300000,100,500))))))&gt;0),IF($F181&lt;=3000,1,IF($F181&lt;=5000,5,IF($F181&lt;=30000,10,IF($F181&lt;=50000,50,IF($F181&lt;=300000,100,500))))),0))</f>
      </c>
      <c r="N181" s="598" t="str">
        <f>IF($F181="","",$F181*IF($C181="売",1+V811設定!$B$3,1-V811設定!$B$3)-MOD($F181*IF($C181="売",1+V811設定!$B$3,1-V811設定!$B$3),IF($F181&lt;=3000,1,IF($F181&lt;=5000,5,IF($F181&lt;=30000,10,IF($F181&lt;=50000,50,IF($F181&lt;=300000,100,500))))))+IF(AND($C181="売",MOD($F181*IF($C181="売",1+V811設定!$B$3,1-V811設定!$B$3),IF($F181&lt;=3000,1,IF($F181&lt;=5000,5,IF($F181&lt;=30000,10,IF($F181&lt;=50000,50,IF($F181&lt;=300000,100,500))))))&gt;0),IF($F181&lt;=3000,1,IF($F181&lt;=5000,5,IF($F181&lt;=30000,10,IF($F181&lt;=50000,50,IF($F181&lt;=300000,100,500))))),0))</f>
      </c>
      <c r="O181" s="478" t="str">
        <f>IF(OR($B181="",$F181="",$H181=""),"",IF($S181="✅売却済","―決済済―",IF($C181="売",IF($H181&lt;=$M181,"🟢利確",IF(AND($R181&lt;&gt;"",$H181&gt;=$R181),"🟠TRAIL",IF($H181&gt;=$N181,"🔴損切",IF($W181&gt;=V811設定!$B$6,"⏱時間決済",IF($H181&gt;=$F181*(1+V811設定!$B$3*0.7),"⚠️損切接近","保持継続"))))),IF($H181&gt;=$M181,"🟢利確",IF(AND($R181&lt;&gt;"",$H181&lt;=$R181),"🟠TRAIL",IF($H181&lt;=$N181,"🔴損切",IF($W181&gt;=V811設定!$B$6,"⏱時間決済",IF($H181&lt;=$F181*(1-V811設定!$B$3*0.7),"⚠️損切接近","保持継続"))))))))</f>
      </c>
      <c r="P181" s="445"/>
      <c r="Q181" s="445"/>
      <c r="R181" s="480" t="str">
        <f>IF(OR($F181="",$H181="",$N181=""),"",IF($S181="✅売却済","",IF($C181="売",IF($H181&gt;$F181*(1-V811設定!$B$3),$N181,MIN($N181,IF($Q181="",$N181,$Q181*1.03))),IF($H181&lt;$F181*(1+V811設定!$B$3),$N181,MAX($N181,IF($P181="",$N181,$P181*0.97))))))</f>
      </c>
      <c r="S181" s="480" t="str">
        <f>IF(B181="","",IF(T181&lt;&gt;"","✅売却済",IF(OR(H181="",L181=""),"📌保有中",IF(L181&gt;=0.06,"🟢利確推奨",IF(L181&gt;=0.05,"🟡利確直近",IF(L181&gt;=0.045,"🔵トレーリング検討",IF(L181&gt;-0.03,"📌保有中",IF(L181&gt;-0.04,"⚠️損切注意","🔴損切り"))))))))</f>
        <v/>
      </c>
      <c r="T181" s="596"/>
      <c r="U181" s="598"/>
      <c r="V181" s="703" t="str">
        <f>IF(OR(F181="",G181="",U181=""),"",IF(C181="売",(F181-U181)*G181,(U181-F181)*G181))</f>
        <v/>
      </c>
      <c r="W181" s="480" t="str">
        <f>IF(OR($E181="",$B181=""),"",IF($T181&lt;&gt;"",$T181-$E181,TODAY()-$E181)+1)</f>
        <v/>
      </c>
      <c r="X181" s="480" t="str">
        <f>IF(OR($AH181="",$AH181="保有中"),"",$AH181)</f>
        <v/>
      </c>
      <c r="Y181" s="488"/>
      <c r="Z181" s="710"/>
      <c r="AD181" s="608"/>
      <c r="AE181" s="600" t="str">
        <f>IF($E181="","",WORKDAY($E181,12))</f>
        <v/>
      </c>
      <c r="AF181" s="600" t="str" cm="1">
        <f t="array" aca="1" ref="AF181" ca="1">IF(OR($B181="",$M181=""),"",IFERROR(IF($C181="売",_xlfn.MINIFS(安値!$E$3:$IT$3,安値!$E$3:$IT$3,"&gt;"&amp;$E181,安値!$E$3:$IT$3,"&lt;="&amp;$AE181,OFFSET(安値!$E$6:$IT$6,MATCH(TEXT($B181,"0"),TEXT(銘柄管理!$B$6:$B$305,"0"),0)-1,0),"&lt;="&amp;$M181),_xlfn.MINIFS(高値!$E$3:$IT$3,高値!$E$3:$IT$3,"&gt;"&amp;$E181,高値!$E$3:$IT$3,"&lt;="&amp;$AE181,OFFSET(高値!$E$6:$IT$6,MATCH(TEXT($B181,"0"),TEXT(銘柄管理!$B$6:$B$305,"0"),0)-1,0),"&gt;="&amp;$M181)),""))</f>
        <v/>
      </c>
      <c r="AG181" s="600" t="str" cm="1">
        <f t="array" aca="1" ref="AG181" ca="1">IF(OR($B181="",$N181=""),"",IFERROR(IF($C181="売",_xlfn.MINIFS(高値!$E$3:$IT$3,高値!$E$3:$IT$3,"&gt;"&amp;$E181,高値!$E$3:$IT$3,"&lt;="&amp;$AE181,OFFSET(高値!$E$6:$IT$6,MATCH(TEXT($B181,"0"),TEXT(銘柄管理!$B$6:$B$305,"0"),0)-1,0),"&gt;="&amp;$N181),_xlfn.MINIFS(安値!$E$3:$IT$3,安値!$E$3:$IT$3,"&gt;"&amp;$E181,安値!$E$3:$IT$3,"&lt;="&amp;$AE181,OFFSET(安値!$E$6:$IT$6,MATCH(TEXT($B181,"0"),TEXT(銘柄管理!$B$6:$B$305,"0"),0)-1,0),"&lt;="&amp;$N181)),""))</f>
        <v/>
      </c>
      <c r="AH181" s="600" t="str">
        <f>IF(OR($B181="",$M181=""),"",IF(AND(N($AF181)=0,N($AG181)=0),IF(AND(ISNUMBER($H181),$H181&gt;0,IF($C181="売",$H181&gt;=$N181,$H181&lt;=$N181)),"損切確定",IF(AND(ISNUMBER($H181),$H181&gt;0,IF($C181="売",$H181&lt;=$M181,$H181&gt;=$M181)),"利益確定",IF($AE181&lt;=TODAY(),"日数制限","保有中"))),IF(N($AG181)=0,"利益確定",IF(N($AF181)=0,"損切確定",IF($AG181&lt;=$AF181,"損切確定","利益確定")))))</f>
        <v/>
      </c>
      <c r="AI181" s="600" t="str" cm="1">
        <f t="array" ref="AI181">IFERROR(INDEX(始値!$E$6:$IT$305,MATCH(TEXT($B181,"0"),TEXT(銘柄管理!$B$6:$B$305,"0"),0),MATCH($AE181,始値!$E$3:$IT$3,0)),"")</f>
        <v/>
      </c>
      <c r="AJ181" s="608" t="str">
        <f>IF(OR($V181="",$F181="",$G181=""),"",$V181/($F181*$G181))</f>
        <v/>
      </c>
      <c r="AK181" s="600" t="str">
        <f>IF($V181="","",IF($V181&gt;0,"○勝",IF($V181&lt;0,"●負","△引分")))</f>
        <v/>
      </c>
    </row>
    <row r="182" spans="1:37" ht="17.25" customHeight="1">
      <c r="A182" s="621" t="str">
        <f>IF(B182="","",HYPERLINK("https://kabutan.jp/stock/?code="&amp;B182,"株探"))</f>
        <v/>
      </c>
      <c r="B182" s="480"/>
      <c r="C182" s="480"/>
      <c r="D182" s="480" t="str" cm="1">
        <f t="array" ref="D182">_xll.RssMarket(B182, "銘柄名称")</f>
        <v/>
      </c>
      <c r="E182" s="717"/>
      <c r="F182" s="698" t="str" cm="1">
        <f t="array" aca="1" ref="F182" ca="1">IFERROR(_xlfn.LET(_xlpm.r,MATCH(TEXT($B182,"0"),TEXT(銘柄管理!$B$6:$B$305,"0"),0),_xlpm.t,MOD(NOW(),1),_xlpm.c,IF($E182=TODAY(),IF(_xlpm.t&gt;=TIME(15,30,0),NA(),1),IF(MATCH($E182,始値!$E$3:$IT$3,0)=1,1,MATCH($E182,始値!$E$3:$IT$3,0)+1)),_xlpm.v,INDEX(始値!$C$6:$IT$305,_xlpm.r,_xlpm.c),IF(N(_xlpm.v)=0,"",_xlpm.v)),"")</f>
        <v/>
      </c>
      <c r="G182" s="480"/>
      <c r="H182" s="480" t="str" cm="1">
        <f t="array" ref="H182">_xll.RssMarket(B182, "現在値")</f>
        <v/>
      </c>
      <c r="I182" s="480" t="str" cm="1">
        <f t="array" ref="I182">_xll.RssMarket(B182, "出来高加重平均")</f>
        <v/>
      </c>
      <c r="J182" s="702" t="str" cm="1">
        <f t="array" ref="J182">_xll.RssMarket($B182, "前日比")</f>
        <v/>
      </c>
      <c r="K182" s="703" t="str">
        <f>IF(OR(F182="",G182="",H182=""),"",IF(C182="売",(F182-H182)*G182,(H182-F182)*G182))</f>
        <v/>
      </c>
      <c r="L182" s="708" t="str">
        <f>IF(OR(F182="",H182=""),"",IF(C182="売",(F182-H182)/F182,(H182-F182)/F182))</f>
        <v/>
      </c>
      <c r="M182" s="598" t="str">
        <f>IF($F182="","",$F182*IF($C182="売",1-V811設定!$B$4,1+V811設定!$B$4)-MOD($F182*IF($C182="売",1-V811設定!$B$4,1+V811設定!$B$4),IF($F182&lt;=3000,1,IF($F182&lt;=5000,5,IF($F182&lt;=30000,10,IF($F182&lt;=50000,50,IF($F182&lt;=300000,100,500))))))+IF(AND($C182="売",MOD($F182*IF($C182="売",1-V811設定!$B$4,1+V811設定!$B$4),IF($F182&lt;=3000,1,IF($F182&lt;=5000,5,IF($F182&lt;=30000,10,IF($F182&lt;=50000,50,IF($F182&lt;=300000,100,500))))))&gt;0),IF($F182&lt;=3000,1,IF($F182&lt;=5000,5,IF($F182&lt;=30000,10,IF($F182&lt;=50000,50,IF($F182&lt;=300000,100,500))))),0))</f>
      </c>
      <c r="N182" s="598" t="str">
        <f>IF($F182="","",$F182*IF($C182="売",1+V811設定!$B$3,1-V811設定!$B$3)-MOD($F182*IF($C182="売",1+V811設定!$B$3,1-V811設定!$B$3),IF($F182&lt;=3000,1,IF($F182&lt;=5000,5,IF($F182&lt;=30000,10,IF($F182&lt;=50000,50,IF($F182&lt;=300000,100,500))))))+IF(AND($C182="売",MOD($F182*IF($C182="売",1+V811設定!$B$3,1-V811設定!$B$3),IF($F182&lt;=3000,1,IF($F182&lt;=5000,5,IF($F182&lt;=30000,10,IF($F182&lt;=50000,50,IF($F182&lt;=300000,100,500))))))&gt;0),IF($F182&lt;=3000,1,IF($F182&lt;=5000,5,IF($F182&lt;=30000,10,IF($F182&lt;=50000,50,IF($F182&lt;=300000,100,500))))),0))</f>
      </c>
      <c r="O182" s="478" t="str">
        <f>IF(OR($B182="",$F182="",$H182=""),"",IF($S182="✅売却済","―決済済―",IF($C182="売",IF($H182&lt;=$M182,"🟢利確",IF(AND($R182&lt;&gt;"",$H182&gt;=$R182),"🟠TRAIL",IF($H182&gt;=$N182,"🔴損切",IF($W182&gt;=V811設定!$B$6,"⏱時間決済",IF($H182&gt;=$F182*(1+V811設定!$B$3*0.7),"⚠️損切接近","保持継続"))))),IF($H182&gt;=$M182,"🟢利確",IF(AND($R182&lt;&gt;"",$H182&lt;=$R182),"🟠TRAIL",IF($H182&lt;=$N182,"🔴損切",IF($W182&gt;=V811設定!$B$6,"⏱時間決済",IF($H182&lt;=$F182*(1-V811設定!$B$3*0.7),"⚠️損切接近","保持継続"))))))))</f>
      </c>
      <c r="P182" s="445"/>
      <c r="Q182" s="445"/>
      <c r="R182" s="480" t="str">
        <f>IF(OR($F182="",$H182="",$N182=""),"",IF($S182="✅売却済","",IF($C182="売",IF($H182&gt;$F182*(1-V811設定!$B$3),$N182,MIN($N182,IF($Q182="",$N182,$Q182*1.03))),IF($H182&lt;$F182*(1+V811設定!$B$3),$N182,MAX($N182,IF($P182="",$N182,$P182*0.97))))))</f>
      </c>
      <c r="S182" s="480" t="str">
        <f>IF(B182="","",IF(T182&lt;&gt;"","✅売却済",IF(OR(H182="",L182=""),"📌保有中",IF(L182&gt;=0.06,"🟢利確推奨",IF(L182&gt;=0.05,"🟡利確直近",IF(L182&gt;=0.045,"🔵トレーリング検討",IF(L182&gt;-0.03,"📌保有中",IF(L182&gt;-0.04,"⚠️損切注意","🔴損切り"))))))))</f>
        <v/>
      </c>
      <c r="T182" s="596"/>
      <c r="U182" s="598"/>
      <c r="V182" s="703" t="str">
        <f>IF(OR(F182="",G182="",U182=""),"",IF(C182="売",(F182-U182)*G182,(U182-F182)*G182))</f>
        <v/>
      </c>
      <c r="W182" s="480" t="str">
        <f>IF(OR($E182="",$B182=""),"",IF($T182&lt;&gt;"",$T182-$E182,TODAY()-$E182)+1)</f>
        <v/>
      </c>
      <c r="X182" s="480" t="str">
        <f>IF(OR($AH182="",$AH182="保有中"),"",$AH182)</f>
        <v/>
      </c>
      <c r="Y182" s="488"/>
      <c r="Z182" s="710"/>
      <c r="AD182" s="608"/>
      <c r="AE182" s="600" t="str">
        <f>IF($E182="","",WORKDAY($E182,12))</f>
        <v/>
      </c>
      <c r="AF182" s="600" t="str" cm="1">
        <f t="array" aca="1" ref="AF182" ca="1">IF(OR($B182="",$M182=""),"",IFERROR(IF($C182="売",_xlfn.MINIFS(安値!$E$3:$IT$3,安値!$E$3:$IT$3,"&gt;"&amp;$E182,安値!$E$3:$IT$3,"&lt;="&amp;$AE182,OFFSET(安値!$E$6:$IT$6,MATCH(TEXT($B182,"0"),TEXT(銘柄管理!$B$6:$B$305,"0"),0)-1,0),"&lt;="&amp;$M182),_xlfn.MINIFS(高値!$E$3:$IT$3,高値!$E$3:$IT$3,"&gt;"&amp;$E182,高値!$E$3:$IT$3,"&lt;="&amp;$AE182,OFFSET(高値!$E$6:$IT$6,MATCH(TEXT($B182,"0"),TEXT(銘柄管理!$B$6:$B$305,"0"),0)-1,0),"&gt;="&amp;$M182)),""))</f>
        <v/>
      </c>
      <c r="AG182" s="600" t="str" cm="1">
        <f t="array" aca="1" ref="AG182" ca="1">IF(OR($B182="",$N182=""),"",IFERROR(IF($C182="売",_xlfn.MINIFS(高値!$E$3:$IT$3,高値!$E$3:$IT$3,"&gt;"&amp;$E182,高値!$E$3:$IT$3,"&lt;="&amp;$AE182,OFFSET(高値!$E$6:$IT$6,MATCH(TEXT($B182,"0"),TEXT(銘柄管理!$B$6:$B$305,"0"),0)-1,0),"&gt;="&amp;$N182),_xlfn.MINIFS(安値!$E$3:$IT$3,安値!$E$3:$IT$3,"&gt;"&amp;$E182,安値!$E$3:$IT$3,"&lt;="&amp;$AE182,OFFSET(安値!$E$6:$IT$6,MATCH(TEXT($B182,"0"),TEXT(銘柄管理!$B$6:$B$305,"0"),0)-1,0),"&lt;="&amp;$N182)),""))</f>
        <v/>
      </c>
      <c r="AH182" s="600" t="str">
        <f>IF(OR($B182="",$M182=""),"",IF(AND(N($AF182)=0,N($AG182)=0),IF(AND(ISNUMBER($H182),$H182&gt;0,IF($C182="売",$H182&gt;=$N182,$H182&lt;=$N182)),"損切確定",IF(AND(ISNUMBER($H182),$H182&gt;0,IF($C182="売",$H182&lt;=$M182,$H182&gt;=$M182)),"利益確定",IF($AE182&lt;=TODAY(),"日数制限","保有中"))),IF(N($AG182)=0,"利益確定",IF(N($AF182)=0,"損切確定",IF($AG182&lt;=$AF182,"損切確定","利益確定")))))</f>
        <v/>
      </c>
      <c r="AI182" s="600" t="str" cm="1">
        <f t="array" ref="AI182">IFERROR(INDEX(始値!$E$6:$IT$305,MATCH(TEXT($B182,"0"),TEXT(銘柄管理!$B$6:$B$305,"0"),0),MATCH($AE182,始値!$E$3:$IT$3,0)),"")</f>
        <v/>
      </c>
      <c r="AJ182" s="608" t="str">
        <f>IF(OR($V182="",$F182="",$G182=""),"",$V182/($F182*$G182))</f>
        <v/>
      </c>
      <c r="AK182" s="600" t="str">
        <f>IF($V182="","",IF($V182&gt;0,"○勝",IF($V182&lt;0,"●負","△引分")))</f>
        <v/>
      </c>
    </row>
    <row r="183" spans="1:37" ht="17.25" customHeight="1">
      <c r="A183" s="621" t="str">
        <f>IF(B183="","",HYPERLINK("https://kabutan.jp/stock/?code="&amp;B183,"株探"))</f>
        <v/>
      </c>
      <c r="B183" s="480"/>
      <c r="C183" s="480"/>
      <c r="D183" s="480" t="str" cm="1">
        <f t="array" ref="D183">_xll.RssMarket(B183, "銘柄名称")</f>
        <v/>
      </c>
      <c r="E183" s="717"/>
      <c r="F183" s="698" t="str" cm="1">
        <f t="array" aca="1" ref="F183" ca="1">IFERROR(_xlfn.LET(_xlpm.r,MATCH(TEXT($B183,"0"),TEXT(銘柄管理!$B$6:$B$305,"0"),0),_xlpm.t,MOD(NOW(),1),_xlpm.c,IF($E183=TODAY(),IF(_xlpm.t&gt;=TIME(15,30,0),NA(),1),IF(MATCH($E183,始値!$E$3:$IT$3,0)=1,1,MATCH($E183,始値!$E$3:$IT$3,0)+1)),_xlpm.v,INDEX(始値!$C$6:$IT$305,_xlpm.r,_xlpm.c),IF(N(_xlpm.v)=0,"",_xlpm.v)),"")</f>
        <v/>
      </c>
      <c r="G183" s="480"/>
      <c r="H183" s="480" t="str" cm="1">
        <f t="array" ref="H183">_xll.RssMarket(B183, "現在値")</f>
        <v/>
      </c>
      <c r="I183" s="480" t="str" cm="1">
        <f t="array" ref="I183">_xll.RssMarket(B183, "出来高加重平均")</f>
        <v/>
      </c>
      <c r="J183" s="702" t="str" cm="1">
        <f t="array" ref="J183">_xll.RssMarket($B183, "前日比")</f>
        <v/>
      </c>
      <c r="K183" s="703" t="str">
        <f>IF(OR(F183="",G183="",H183=""),"",IF(C183="売",(F183-H183)*G183,(H183-F183)*G183))</f>
        <v/>
      </c>
      <c r="L183" s="708" t="str">
        <f>IF(OR(F183="",H183=""),"",IF(C183="売",(F183-H183)/F183,(H183-F183)/F183))</f>
        <v/>
      </c>
      <c r="M183" s="598" t="str">
        <f>IF($F183="","",$F183*IF($C183="売",1-V811設定!$B$4,1+V811設定!$B$4)-MOD($F183*IF($C183="売",1-V811設定!$B$4,1+V811設定!$B$4),IF($F183&lt;=3000,1,IF($F183&lt;=5000,5,IF($F183&lt;=30000,10,IF($F183&lt;=50000,50,IF($F183&lt;=300000,100,500))))))+IF(AND($C183="売",MOD($F183*IF($C183="売",1-V811設定!$B$4,1+V811設定!$B$4),IF($F183&lt;=3000,1,IF($F183&lt;=5000,5,IF($F183&lt;=30000,10,IF($F183&lt;=50000,50,IF($F183&lt;=300000,100,500))))))&gt;0),IF($F183&lt;=3000,1,IF($F183&lt;=5000,5,IF($F183&lt;=30000,10,IF($F183&lt;=50000,50,IF($F183&lt;=300000,100,500))))),0))</f>
      </c>
      <c r="N183" s="598" t="str">
        <f>IF($F183="","",$F183*IF($C183="売",1+V811設定!$B$3,1-V811設定!$B$3)-MOD($F183*IF($C183="売",1+V811設定!$B$3,1-V811設定!$B$3),IF($F183&lt;=3000,1,IF($F183&lt;=5000,5,IF($F183&lt;=30000,10,IF($F183&lt;=50000,50,IF($F183&lt;=300000,100,500))))))+IF(AND($C183="売",MOD($F183*IF($C183="売",1+V811設定!$B$3,1-V811設定!$B$3),IF($F183&lt;=3000,1,IF($F183&lt;=5000,5,IF($F183&lt;=30000,10,IF($F183&lt;=50000,50,IF($F183&lt;=300000,100,500))))))&gt;0),IF($F183&lt;=3000,1,IF($F183&lt;=5000,5,IF($F183&lt;=30000,10,IF($F183&lt;=50000,50,IF($F183&lt;=300000,100,500))))),0))</f>
      </c>
      <c r="O183" s="478" t="str">
        <f>IF(OR($B183="",$F183="",$H183=""),"",IF($S183="✅売却済","―決済済―",IF($C183="売",IF($H183&lt;=$M183,"🟢利確",IF(AND($R183&lt;&gt;"",$H183&gt;=$R183),"🟠TRAIL",IF($H183&gt;=$N183,"🔴損切",IF($W183&gt;=V811設定!$B$6,"⏱時間決済",IF($H183&gt;=$F183*(1+V811設定!$B$3*0.7),"⚠️損切接近","保持継続"))))),IF($H183&gt;=$M183,"🟢利確",IF(AND($R183&lt;&gt;"",$H183&lt;=$R183),"🟠TRAIL",IF($H183&lt;=$N183,"🔴損切",IF($W183&gt;=V811設定!$B$6,"⏱時間決済",IF($H183&lt;=$F183*(1-V811設定!$B$3*0.7),"⚠️損切接近","保持継続"))))))))</f>
      </c>
      <c r="P183" s="445"/>
      <c r="Q183" s="445"/>
      <c r="R183" s="480" t="str">
        <f>IF(OR($F183="",$H183="",$N183=""),"",IF($S183="✅売却済","",IF($C183="売",IF($H183&gt;$F183*(1-V811設定!$B$3),$N183,MIN($N183,IF($Q183="",$N183,$Q183*1.03))),IF($H183&lt;$F183*(1+V811設定!$B$3),$N183,MAX($N183,IF($P183="",$N183,$P183*0.97))))))</f>
      </c>
      <c r="S183" s="480" t="str">
        <f>IF(B183="","",IF(T183&lt;&gt;"","✅売却済",IF(OR(H183="",L183=""),"📌保有中",IF(L183&gt;=0.06,"🟢利確推奨",IF(L183&gt;=0.05,"🟡利確直近",IF(L183&gt;=0.045,"🔵トレーリング検討",IF(L183&gt;-0.03,"📌保有中",IF(L183&gt;-0.04,"⚠️損切注意","🔴損切り"))))))))</f>
        <v/>
      </c>
      <c r="T183" s="596"/>
      <c r="U183" s="598"/>
      <c r="V183" s="703" t="str">
        <f>IF(OR(F183="",G183="",U183=""),"",IF(C183="売",(F183-U183)*G183,(U183-F183)*G183))</f>
        <v/>
      </c>
      <c r="W183" s="480" t="str">
        <f>IF(OR($E183="",$B183=""),"",IF($T183&lt;&gt;"",$T183-$E183,TODAY()-$E183)+1)</f>
        <v/>
      </c>
      <c r="X183" s="480" t="str">
        <f>IF(OR($AH183="",$AH183="保有中"),"",$AH183)</f>
        <v/>
      </c>
      <c r="Y183" s="488"/>
      <c r="Z183" s="710"/>
      <c r="AD183" s="608"/>
      <c r="AE183" s="600" t="str">
        <f>IF($E183="","",WORKDAY($E183,12))</f>
        <v/>
      </c>
      <c r="AF183" s="600" t="str" cm="1">
        <f t="array" aca="1" ref="AF183" ca="1">IF(OR($B183="",$M183=""),"",IFERROR(IF($C183="売",_xlfn.MINIFS(安値!$E$3:$IT$3,安値!$E$3:$IT$3,"&gt;"&amp;$E183,安値!$E$3:$IT$3,"&lt;="&amp;$AE183,OFFSET(安値!$E$6:$IT$6,MATCH(TEXT($B183,"0"),TEXT(銘柄管理!$B$6:$B$305,"0"),0)-1,0),"&lt;="&amp;$M183),_xlfn.MINIFS(高値!$E$3:$IT$3,高値!$E$3:$IT$3,"&gt;"&amp;$E183,高値!$E$3:$IT$3,"&lt;="&amp;$AE183,OFFSET(高値!$E$6:$IT$6,MATCH(TEXT($B183,"0"),TEXT(銘柄管理!$B$6:$B$305,"0"),0)-1,0),"&gt;="&amp;$M183)),""))</f>
        <v/>
      </c>
      <c r="AG183" s="600" t="str" cm="1">
        <f t="array" aca="1" ref="AG183" ca="1">IF(OR($B183="",$N183=""),"",IFERROR(IF($C183="売",_xlfn.MINIFS(高値!$E$3:$IT$3,高値!$E$3:$IT$3,"&gt;"&amp;$E183,高値!$E$3:$IT$3,"&lt;="&amp;$AE183,OFFSET(高値!$E$6:$IT$6,MATCH(TEXT($B183,"0"),TEXT(銘柄管理!$B$6:$B$305,"0"),0)-1,0),"&gt;="&amp;$N183),_xlfn.MINIFS(安値!$E$3:$IT$3,安値!$E$3:$IT$3,"&gt;"&amp;$E183,安値!$E$3:$IT$3,"&lt;="&amp;$AE183,OFFSET(安値!$E$6:$IT$6,MATCH(TEXT($B183,"0"),TEXT(銘柄管理!$B$6:$B$305,"0"),0)-1,0),"&lt;="&amp;$N183)),""))</f>
        <v/>
      </c>
      <c r="AH183" s="600" t="str">
        <f>IF(OR($B183="",$M183=""),"",IF(AND(N($AF183)=0,N($AG183)=0),IF(AND(ISNUMBER($H183),$H183&gt;0,IF($C183="売",$H183&gt;=$N183,$H183&lt;=$N183)),"損切確定",IF(AND(ISNUMBER($H183),$H183&gt;0,IF($C183="売",$H183&lt;=$M183,$H183&gt;=$M183)),"利益確定",IF($AE183&lt;=TODAY(),"日数制限","保有中"))),IF(N($AG183)=0,"利益確定",IF(N($AF183)=0,"損切確定",IF($AG183&lt;=$AF183,"損切確定","利益確定")))))</f>
        <v/>
      </c>
      <c r="AI183" s="600" t="str" cm="1">
        <f t="array" ref="AI183">IFERROR(INDEX(始値!$E$6:$IT$305,MATCH(TEXT($B183,"0"),TEXT(銘柄管理!$B$6:$B$305,"0"),0),MATCH($AE183,始値!$E$3:$IT$3,0)),"")</f>
        <v/>
      </c>
      <c r="AJ183" s="608" t="str">
        <f>IF(OR($V183="",$F183="",$G183=""),"",$V183/($F183*$G183))</f>
        <v/>
      </c>
      <c r="AK183" s="600" t="str">
        <f>IF($V183="","",IF($V183&gt;0,"○勝",IF($V183&lt;0,"●負","△引分")))</f>
        <v/>
      </c>
    </row>
    <row r="184" spans="1:37" ht="17.25" customHeight="1">
      <c r="A184" s="621" t="str">
        <f>IF(B184="","",HYPERLINK("https://kabutan.jp/stock/?code="&amp;B184,"株探"))</f>
        <v/>
      </c>
      <c r="B184" s="480"/>
      <c r="C184" s="480"/>
      <c r="D184" s="480" t="str" cm="1">
        <f t="array" ref="D184">_xll.RssMarket(B184, "銘柄名称")</f>
        <v/>
      </c>
      <c r="E184" s="717"/>
      <c r="F184" s="698" t="str" cm="1">
        <f t="array" aca="1" ref="F184" ca="1">IFERROR(_xlfn.LET(_xlpm.r,MATCH(TEXT($B184,"0"),TEXT(銘柄管理!$B$6:$B$305,"0"),0),_xlpm.t,MOD(NOW(),1),_xlpm.c,IF($E184=TODAY(),IF(_xlpm.t&gt;=TIME(15,30,0),NA(),1),IF(MATCH($E184,始値!$E$3:$IT$3,0)=1,1,MATCH($E184,始値!$E$3:$IT$3,0)+1)),_xlpm.v,INDEX(始値!$C$6:$IT$305,_xlpm.r,_xlpm.c),IF(N(_xlpm.v)=0,"",_xlpm.v)),"")</f>
        <v/>
      </c>
      <c r="G184" s="480"/>
      <c r="H184" s="480" t="str" cm="1">
        <f t="array" ref="H184">_xll.RssMarket(B184, "現在値")</f>
        <v/>
      </c>
      <c r="I184" s="480" t="str" cm="1">
        <f t="array" ref="I184">_xll.RssMarket(B184, "出来高加重平均")</f>
        <v/>
      </c>
      <c r="J184" s="702" t="str" cm="1">
        <f t="array" ref="J184">_xll.RssMarket($B184, "前日比")</f>
        <v/>
      </c>
      <c r="K184" s="703" t="str">
        <f>IF(OR(F184="",G184="",H184=""),"",IF(C184="売",(F184-H184)*G184,(H184-F184)*G184))</f>
        <v/>
      </c>
      <c r="L184" s="708" t="str">
        <f>IF(OR(F184="",H184=""),"",IF(C184="売",(F184-H184)/F184,(H184-F184)/F184))</f>
        <v/>
      </c>
      <c r="M184" s="598" t="str">
        <f>IF($F184="","",$F184*IF($C184="売",1-V811設定!$B$4,1+V811設定!$B$4)-MOD($F184*IF($C184="売",1-V811設定!$B$4,1+V811設定!$B$4),IF($F184&lt;=3000,1,IF($F184&lt;=5000,5,IF($F184&lt;=30000,10,IF($F184&lt;=50000,50,IF($F184&lt;=300000,100,500))))))+IF(AND($C184="売",MOD($F184*IF($C184="売",1-V811設定!$B$4,1+V811設定!$B$4),IF($F184&lt;=3000,1,IF($F184&lt;=5000,5,IF($F184&lt;=30000,10,IF($F184&lt;=50000,50,IF($F184&lt;=300000,100,500))))))&gt;0),IF($F184&lt;=3000,1,IF($F184&lt;=5000,5,IF($F184&lt;=30000,10,IF($F184&lt;=50000,50,IF($F184&lt;=300000,100,500))))),0))</f>
      </c>
      <c r="N184" s="598" t="str">
        <f>IF($F184="","",$F184*IF($C184="売",1+V811設定!$B$3,1-V811設定!$B$3)-MOD($F184*IF($C184="売",1+V811設定!$B$3,1-V811設定!$B$3),IF($F184&lt;=3000,1,IF($F184&lt;=5000,5,IF($F184&lt;=30000,10,IF($F184&lt;=50000,50,IF($F184&lt;=300000,100,500))))))+IF(AND($C184="売",MOD($F184*IF($C184="売",1+V811設定!$B$3,1-V811設定!$B$3),IF($F184&lt;=3000,1,IF($F184&lt;=5000,5,IF($F184&lt;=30000,10,IF($F184&lt;=50000,50,IF($F184&lt;=300000,100,500))))))&gt;0),IF($F184&lt;=3000,1,IF($F184&lt;=5000,5,IF($F184&lt;=30000,10,IF($F184&lt;=50000,50,IF($F184&lt;=300000,100,500))))),0))</f>
      </c>
      <c r="O184" s="478" t="str">
        <f>IF(OR($B184="",$F184="",$H184=""),"",IF($S184="✅売却済","―決済済―",IF($C184="売",IF($H184&lt;=$M184,"🟢利確",IF(AND($R184&lt;&gt;"",$H184&gt;=$R184),"🟠TRAIL",IF($H184&gt;=$N184,"🔴損切",IF($W184&gt;=V811設定!$B$6,"⏱時間決済",IF($H184&gt;=$F184*(1+V811設定!$B$3*0.7),"⚠️損切接近","保持継続"))))),IF($H184&gt;=$M184,"🟢利確",IF(AND($R184&lt;&gt;"",$H184&lt;=$R184),"🟠TRAIL",IF($H184&lt;=$N184,"🔴損切",IF($W184&gt;=V811設定!$B$6,"⏱時間決済",IF($H184&lt;=$F184*(1-V811設定!$B$3*0.7),"⚠️損切接近","保持継続"))))))))</f>
      </c>
      <c r="P184" s="445"/>
      <c r="Q184" s="445"/>
      <c r="R184" s="480" t="str">
        <f>IF(OR($F184="",$H184="",$N184=""),"",IF($S184="✅売却済","",IF($C184="売",IF($H184&gt;$F184*(1-V811設定!$B$3),$N184,MIN($N184,IF($Q184="",$N184,$Q184*1.03))),IF($H184&lt;$F184*(1+V811設定!$B$3),$N184,MAX($N184,IF($P184="",$N184,$P184*0.97))))))</f>
      </c>
      <c r="S184" s="480" t="str">
        <f>IF(B184="","",IF(T184&lt;&gt;"","✅売却済",IF(OR(H184="",L184=""),"📌保有中",IF(L184&gt;=0.06,"🟢利確推奨",IF(L184&gt;=0.05,"🟡利確直近",IF(L184&gt;=0.045,"🔵トレーリング検討",IF(L184&gt;-0.03,"📌保有中",IF(L184&gt;-0.04,"⚠️損切注意","🔴損切り"))))))))</f>
        <v/>
      </c>
      <c r="T184" s="596"/>
      <c r="U184" s="598"/>
      <c r="V184" s="703" t="str">
        <f>IF(OR(F184="",G184="",U184=""),"",IF(C184="売",(F184-U184)*G184,(U184-F184)*G184))</f>
        <v/>
      </c>
      <c r="W184" s="480" t="str">
        <f>IF(OR($E184="",$B184=""),"",IF($T184&lt;&gt;"",$T184-$E184,TODAY()-$E184)+1)</f>
        <v/>
      </c>
      <c r="X184" s="480" t="str">
        <f>IF(OR($AH184="",$AH184="保有中"),"",$AH184)</f>
        <v/>
      </c>
      <c r="Y184" s="488"/>
      <c r="Z184" s="710"/>
      <c r="AD184" s="608"/>
      <c r="AE184" s="600" t="str">
        <f>IF($E184="","",WORKDAY($E184,12))</f>
        <v/>
      </c>
      <c r="AF184" s="600" t="str" cm="1">
        <f t="array" aca="1" ref="AF184" ca="1">IF(OR($B184="",$M184=""),"",IFERROR(IF($C184="売",_xlfn.MINIFS(安値!$E$3:$IT$3,安値!$E$3:$IT$3,"&gt;"&amp;$E184,安値!$E$3:$IT$3,"&lt;="&amp;$AE184,OFFSET(安値!$E$6:$IT$6,MATCH(TEXT($B184,"0"),TEXT(銘柄管理!$B$6:$B$305,"0"),0)-1,0),"&lt;="&amp;$M184),_xlfn.MINIFS(高値!$E$3:$IT$3,高値!$E$3:$IT$3,"&gt;"&amp;$E184,高値!$E$3:$IT$3,"&lt;="&amp;$AE184,OFFSET(高値!$E$6:$IT$6,MATCH(TEXT($B184,"0"),TEXT(銘柄管理!$B$6:$B$305,"0"),0)-1,0),"&gt;="&amp;$M184)),""))</f>
        <v/>
      </c>
      <c r="AG184" s="600" t="str" cm="1">
        <f t="array" aca="1" ref="AG184" ca="1">IF(OR($B184="",$N184=""),"",IFERROR(IF($C184="売",_xlfn.MINIFS(高値!$E$3:$IT$3,高値!$E$3:$IT$3,"&gt;"&amp;$E184,高値!$E$3:$IT$3,"&lt;="&amp;$AE184,OFFSET(高値!$E$6:$IT$6,MATCH(TEXT($B184,"0"),TEXT(銘柄管理!$B$6:$B$305,"0"),0)-1,0),"&gt;="&amp;$N184),_xlfn.MINIFS(安値!$E$3:$IT$3,安値!$E$3:$IT$3,"&gt;"&amp;$E184,安値!$E$3:$IT$3,"&lt;="&amp;$AE184,OFFSET(安値!$E$6:$IT$6,MATCH(TEXT($B184,"0"),TEXT(銘柄管理!$B$6:$B$305,"0"),0)-1,0),"&lt;="&amp;$N184)),""))</f>
        <v/>
      </c>
      <c r="AH184" s="600" t="str">
        <f>IF(OR($B184="",$M184=""),"",IF(AND(N($AF184)=0,N($AG184)=0),IF(AND(ISNUMBER($H184),$H184&gt;0,IF($C184="売",$H184&gt;=$N184,$H184&lt;=$N184)),"損切確定",IF(AND(ISNUMBER($H184),$H184&gt;0,IF($C184="売",$H184&lt;=$M184,$H184&gt;=$M184)),"利益確定",IF($AE184&lt;=TODAY(),"日数制限","保有中"))),IF(N($AG184)=0,"利益確定",IF(N($AF184)=0,"損切確定",IF($AG184&lt;=$AF184,"損切確定","利益確定")))))</f>
        <v/>
      </c>
      <c r="AI184" s="600" t="str" cm="1">
        <f t="array" ref="AI184">IFERROR(INDEX(始値!$E$6:$IT$305,MATCH(TEXT($B184,"0"),TEXT(銘柄管理!$B$6:$B$305,"0"),0),MATCH($AE184,始値!$E$3:$IT$3,0)),"")</f>
        <v/>
      </c>
      <c r="AJ184" s="608" t="str">
        <f>IF(OR($V184="",$F184="",$G184=""),"",$V184/($F184*$G184))</f>
        <v/>
      </c>
      <c r="AK184" s="600" t="str">
        <f>IF($V184="","",IF($V184&gt;0,"○勝",IF($V184&lt;0,"●負","△引分")))</f>
        <v/>
      </c>
    </row>
    <row r="185" spans="1:37" ht="17.25" customHeight="1">
      <c r="A185" s="621" t="str">
        <f>IF(B185="","",HYPERLINK("https://kabutan.jp/stock/?code="&amp;B185,"株探"))</f>
        <v/>
      </c>
      <c r="B185" s="480"/>
      <c r="C185" s="480"/>
      <c r="D185" s="480" t="str" cm="1">
        <f t="array" ref="D185">_xll.RssMarket(B185, "銘柄名称")</f>
        <v/>
      </c>
      <c r="E185" s="717"/>
      <c r="F185" s="698" t="str" cm="1">
        <f t="array" aca="1" ref="F185" ca="1">IFERROR(_xlfn.LET(_xlpm.r,MATCH(TEXT($B185,"0"),TEXT(銘柄管理!$B$6:$B$305,"0"),0),_xlpm.t,MOD(NOW(),1),_xlpm.c,IF($E185=TODAY(),IF(_xlpm.t&gt;=TIME(15,30,0),NA(),1),IF(MATCH($E185,始値!$E$3:$IT$3,0)=1,1,MATCH($E185,始値!$E$3:$IT$3,0)+1)),_xlpm.v,INDEX(始値!$C$6:$IT$305,_xlpm.r,_xlpm.c),IF(N(_xlpm.v)=0,"",_xlpm.v)),"")</f>
        <v/>
      </c>
      <c r="G185" s="480"/>
      <c r="H185" s="480" t="str" cm="1">
        <f t="array" ref="H185">_xll.RssMarket(B185, "現在値")</f>
        <v/>
      </c>
      <c r="I185" s="480" t="str" cm="1">
        <f t="array" ref="I185">_xll.RssMarket(B185, "出来高加重平均")</f>
        <v/>
      </c>
      <c r="J185" s="702" t="str" cm="1">
        <f t="array" ref="J185">_xll.RssMarket($B185, "前日比")</f>
        <v/>
      </c>
      <c r="K185" s="703" t="str">
        <f>IF(OR(F185="",G185="",H185=""),"",IF(C185="売",(F185-H185)*G185,(H185-F185)*G185))</f>
        <v/>
      </c>
      <c r="L185" s="708" t="str">
        <f>IF(OR(F185="",H185=""),"",IF(C185="売",(F185-H185)/F185,(H185-F185)/F185))</f>
        <v/>
      </c>
      <c r="M185" s="598" t="str">
        <f>IF($F185="","",$F185*IF($C185="売",1-V811設定!$B$4,1+V811設定!$B$4)-MOD($F185*IF($C185="売",1-V811設定!$B$4,1+V811設定!$B$4),IF($F185&lt;=3000,1,IF($F185&lt;=5000,5,IF($F185&lt;=30000,10,IF($F185&lt;=50000,50,IF($F185&lt;=300000,100,500))))))+IF(AND($C185="売",MOD($F185*IF($C185="売",1-V811設定!$B$4,1+V811設定!$B$4),IF($F185&lt;=3000,1,IF($F185&lt;=5000,5,IF($F185&lt;=30000,10,IF($F185&lt;=50000,50,IF($F185&lt;=300000,100,500))))))&gt;0),IF($F185&lt;=3000,1,IF($F185&lt;=5000,5,IF($F185&lt;=30000,10,IF($F185&lt;=50000,50,IF($F185&lt;=300000,100,500))))),0))</f>
      </c>
      <c r="N185" s="598" t="str">
        <f>IF($F185="","",$F185*IF($C185="売",1+V811設定!$B$3,1-V811設定!$B$3)-MOD($F185*IF($C185="売",1+V811設定!$B$3,1-V811設定!$B$3),IF($F185&lt;=3000,1,IF($F185&lt;=5000,5,IF($F185&lt;=30000,10,IF($F185&lt;=50000,50,IF($F185&lt;=300000,100,500))))))+IF(AND($C185="売",MOD($F185*IF($C185="売",1+V811設定!$B$3,1-V811設定!$B$3),IF($F185&lt;=3000,1,IF($F185&lt;=5000,5,IF($F185&lt;=30000,10,IF($F185&lt;=50000,50,IF($F185&lt;=300000,100,500))))))&gt;0),IF($F185&lt;=3000,1,IF($F185&lt;=5000,5,IF($F185&lt;=30000,10,IF($F185&lt;=50000,50,IF($F185&lt;=300000,100,500))))),0))</f>
      </c>
      <c r="O185" s="478" t="str">
        <f>IF(OR($B185="",$F185="",$H185=""),"",IF($S185="✅売却済","―決済済―",IF($C185="売",IF($H185&lt;=$M185,"🟢利確",IF(AND($R185&lt;&gt;"",$H185&gt;=$R185),"🟠TRAIL",IF($H185&gt;=$N185,"🔴損切",IF($W185&gt;=V811設定!$B$6,"⏱時間決済",IF($H185&gt;=$F185*(1+V811設定!$B$3*0.7),"⚠️損切接近","保持継続"))))),IF($H185&gt;=$M185,"🟢利確",IF(AND($R185&lt;&gt;"",$H185&lt;=$R185),"🟠TRAIL",IF($H185&lt;=$N185,"🔴損切",IF($W185&gt;=V811設定!$B$6,"⏱時間決済",IF($H185&lt;=$F185*(1-V811設定!$B$3*0.7),"⚠️損切接近","保持継続"))))))))</f>
      </c>
      <c r="P185" s="445"/>
      <c r="Q185" s="445"/>
      <c r="R185" s="480" t="str">
        <f>IF(OR($F185="",$H185="",$N185=""),"",IF($S185="✅売却済","",IF($C185="売",IF($H185&gt;$F185*(1-V811設定!$B$3),$N185,MIN($N185,IF($Q185="",$N185,$Q185*1.03))),IF($H185&lt;$F185*(1+V811設定!$B$3),$N185,MAX($N185,IF($P185="",$N185,$P185*0.97))))))</f>
      </c>
      <c r="S185" s="480" t="str">
        <f>IF(B185="","",IF(T185&lt;&gt;"","✅売却済",IF(OR(H185="",L185=""),"📌保有中",IF(L185&gt;=0.06,"🟢利確推奨",IF(L185&gt;=0.05,"🟡利確直近",IF(L185&gt;=0.045,"🔵トレーリング検討",IF(L185&gt;-0.03,"📌保有中",IF(L185&gt;-0.04,"⚠️損切注意","🔴損切り"))))))))</f>
        <v/>
      </c>
      <c r="T185" s="596"/>
      <c r="U185" s="598"/>
      <c r="V185" s="703" t="str">
        <f>IF(OR(F185="",G185="",U185=""),"",IF(C185="売",(F185-U185)*G185,(U185-F185)*G185))</f>
        <v/>
      </c>
      <c r="W185" s="480" t="str">
        <f>IF(OR($E185="",$B185=""),"",IF($T185&lt;&gt;"",$T185-$E185,TODAY()-$E185)+1)</f>
        <v/>
      </c>
      <c r="X185" s="480" t="str">
        <f>IF(OR($AH185="",$AH185="保有中"),"",$AH185)</f>
        <v/>
      </c>
      <c r="Y185" s="488"/>
      <c r="Z185" s="710"/>
      <c r="AD185" s="608"/>
      <c r="AE185" s="600" t="str">
        <f>IF($E185="","",WORKDAY($E185,12))</f>
        <v/>
      </c>
      <c r="AF185" s="600" t="str" cm="1">
        <f t="array" aca="1" ref="AF185" ca="1">IF(OR($B185="",$M185=""),"",IFERROR(IF($C185="売",_xlfn.MINIFS(安値!$E$3:$IT$3,安値!$E$3:$IT$3,"&gt;"&amp;$E185,安値!$E$3:$IT$3,"&lt;="&amp;$AE185,OFFSET(安値!$E$6:$IT$6,MATCH(TEXT($B185,"0"),TEXT(銘柄管理!$B$6:$B$305,"0"),0)-1,0),"&lt;="&amp;$M185),_xlfn.MINIFS(高値!$E$3:$IT$3,高値!$E$3:$IT$3,"&gt;"&amp;$E185,高値!$E$3:$IT$3,"&lt;="&amp;$AE185,OFFSET(高値!$E$6:$IT$6,MATCH(TEXT($B185,"0"),TEXT(銘柄管理!$B$6:$B$305,"0"),0)-1,0),"&gt;="&amp;$M185)),""))</f>
        <v/>
      </c>
      <c r="AG185" s="600" t="str" cm="1">
        <f t="array" aca="1" ref="AG185" ca="1">IF(OR($B185="",$N185=""),"",IFERROR(IF($C185="売",_xlfn.MINIFS(高値!$E$3:$IT$3,高値!$E$3:$IT$3,"&gt;"&amp;$E185,高値!$E$3:$IT$3,"&lt;="&amp;$AE185,OFFSET(高値!$E$6:$IT$6,MATCH(TEXT($B185,"0"),TEXT(銘柄管理!$B$6:$B$305,"0"),0)-1,0),"&gt;="&amp;$N185),_xlfn.MINIFS(安値!$E$3:$IT$3,安値!$E$3:$IT$3,"&gt;"&amp;$E185,安値!$E$3:$IT$3,"&lt;="&amp;$AE185,OFFSET(安値!$E$6:$IT$6,MATCH(TEXT($B185,"0"),TEXT(銘柄管理!$B$6:$B$305,"0"),0)-1,0),"&lt;="&amp;$N185)),""))</f>
        <v/>
      </c>
      <c r="AH185" s="600" t="str">
        <f>IF(OR($B185="",$M185=""),"",IF(AND(N($AF185)=0,N($AG185)=0),IF(AND(ISNUMBER($H185),$H185&gt;0,IF($C185="売",$H185&gt;=$N185,$H185&lt;=$N185)),"損切確定",IF(AND(ISNUMBER($H185),$H185&gt;0,IF($C185="売",$H185&lt;=$M185,$H185&gt;=$M185)),"利益確定",IF($AE185&lt;=TODAY(),"日数制限","保有中"))),IF(N($AG185)=0,"利益確定",IF(N($AF185)=0,"損切確定",IF($AG185&lt;=$AF185,"損切確定","利益確定")))))</f>
        <v/>
      </c>
      <c r="AI185" s="600" t="str" cm="1">
        <f t="array" ref="AI185">IFERROR(INDEX(始値!$E$6:$IT$305,MATCH(TEXT($B185,"0"),TEXT(銘柄管理!$B$6:$B$305,"0"),0),MATCH($AE185,始値!$E$3:$IT$3,0)),"")</f>
        <v/>
      </c>
      <c r="AJ185" s="608" t="str">
        <f>IF(OR($V185="",$F185="",$G185=""),"",$V185/($F185*$G185))</f>
        <v/>
      </c>
      <c r="AK185" s="600" t="str">
        <f>IF($V185="","",IF($V185&gt;0,"○勝",IF($V185&lt;0,"●負","△引分")))</f>
        <v/>
      </c>
    </row>
    <row r="186" spans="1:37" ht="17.25" customHeight="1">
      <c r="A186" s="621" t="str">
        <f>IF(B186="","",HYPERLINK("https://kabutan.jp/stock/?code="&amp;B186,"株探"))</f>
        <v/>
      </c>
      <c r="B186" s="480"/>
      <c r="C186" s="480"/>
      <c r="D186" s="480" t="str" cm="1">
        <f t="array" ref="D186">_xll.RssMarket(B186, "銘柄名称")</f>
        <v/>
      </c>
      <c r="E186" s="717"/>
      <c r="F186" s="698" t="str" cm="1">
        <f t="array" aca="1" ref="F186" ca="1">IFERROR(_xlfn.LET(_xlpm.r,MATCH(TEXT($B186,"0"),TEXT(銘柄管理!$B$6:$B$305,"0"),0),_xlpm.t,MOD(NOW(),1),_xlpm.c,IF($E186=TODAY(),IF(_xlpm.t&gt;=TIME(15,30,0),NA(),1),IF(MATCH($E186,始値!$E$3:$IT$3,0)=1,1,MATCH($E186,始値!$E$3:$IT$3,0)+1)),_xlpm.v,INDEX(始値!$C$6:$IT$305,_xlpm.r,_xlpm.c),IF(N(_xlpm.v)=0,"",_xlpm.v)),"")</f>
        <v/>
      </c>
      <c r="G186" s="480"/>
      <c r="H186" s="480" t="str" cm="1">
        <f t="array" ref="H186">_xll.RssMarket(B186, "現在値")</f>
        <v/>
      </c>
      <c r="I186" s="480" t="str" cm="1">
        <f t="array" ref="I186">_xll.RssMarket(B186, "出来高加重平均")</f>
        <v/>
      </c>
      <c r="J186" s="702" t="str" cm="1">
        <f t="array" ref="J186">_xll.RssMarket($B186, "前日比")</f>
        <v/>
      </c>
      <c r="K186" s="703" t="str">
        <f>IF(OR(F186="",G186="",H186=""),"",IF(C186="売",(F186-H186)*G186,(H186-F186)*G186))</f>
        <v/>
      </c>
      <c r="L186" s="708" t="str">
        <f>IF(OR(F186="",H186=""),"",IF(C186="売",(F186-H186)/F186,(H186-F186)/F186))</f>
        <v/>
      </c>
      <c r="M186" s="598" t="str">
        <f>IF($F186="","",$F186*IF($C186="売",1-V811設定!$B$4,1+V811設定!$B$4)-MOD($F186*IF($C186="売",1-V811設定!$B$4,1+V811設定!$B$4),IF($F186&lt;=3000,1,IF($F186&lt;=5000,5,IF($F186&lt;=30000,10,IF($F186&lt;=50000,50,IF($F186&lt;=300000,100,500))))))+IF(AND($C186="売",MOD($F186*IF($C186="売",1-V811設定!$B$4,1+V811設定!$B$4),IF($F186&lt;=3000,1,IF($F186&lt;=5000,5,IF($F186&lt;=30000,10,IF($F186&lt;=50000,50,IF($F186&lt;=300000,100,500))))))&gt;0),IF($F186&lt;=3000,1,IF($F186&lt;=5000,5,IF($F186&lt;=30000,10,IF($F186&lt;=50000,50,IF($F186&lt;=300000,100,500))))),0))</f>
      </c>
      <c r="N186" s="598" t="str">
        <f>IF($F186="","",$F186*IF($C186="売",1+V811設定!$B$3,1-V811設定!$B$3)-MOD($F186*IF($C186="売",1+V811設定!$B$3,1-V811設定!$B$3),IF($F186&lt;=3000,1,IF($F186&lt;=5000,5,IF($F186&lt;=30000,10,IF($F186&lt;=50000,50,IF($F186&lt;=300000,100,500))))))+IF(AND($C186="売",MOD($F186*IF($C186="売",1+V811設定!$B$3,1-V811設定!$B$3),IF($F186&lt;=3000,1,IF($F186&lt;=5000,5,IF($F186&lt;=30000,10,IF($F186&lt;=50000,50,IF($F186&lt;=300000,100,500))))))&gt;0),IF($F186&lt;=3000,1,IF($F186&lt;=5000,5,IF($F186&lt;=30000,10,IF($F186&lt;=50000,50,IF($F186&lt;=300000,100,500))))),0))</f>
      </c>
      <c r="O186" s="478" t="str">
        <f>IF(OR($B186="",$F186="",$H186=""),"",IF($S186="✅売却済","―決済済―",IF($C186="売",IF($H186&lt;=$M186,"🟢利確",IF(AND($R186&lt;&gt;"",$H186&gt;=$R186),"🟠TRAIL",IF($H186&gt;=$N186,"🔴損切",IF($W186&gt;=V811設定!$B$6,"⏱時間決済",IF($H186&gt;=$F186*(1+V811設定!$B$3*0.7),"⚠️損切接近","保持継続"))))),IF($H186&gt;=$M186,"🟢利確",IF(AND($R186&lt;&gt;"",$H186&lt;=$R186),"🟠TRAIL",IF($H186&lt;=$N186,"🔴損切",IF($W186&gt;=V811設定!$B$6,"⏱時間決済",IF($H186&lt;=$F186*(1-V811設定!$B$3*0.7),"⚠️損切接近","保持継続"))))))))</f>
      </c>
      <c r="P186" s="445"/>
      <c r="Q186" s="445"/>
      <c r="R186" s="480" t="str">
        <f>IF(OR($F186="",$H186="",$N186=""),"",IF($S186="✅売却済","",IF($C186="売",IF($H186&gt;$F186*(1-V811設定!$B$3),$N186,MIN($N186,IF($Q186="",$N186,$Q186*1.03))),IF($H186&lt;$F186*(1+V811設定!$B$3),$N186,MAX($N186,IF($P186="",$N186,$P186*0.97))))))</f>
      </c>
      <c r="S186" s="480" t="str">
        <f>IF(B186="","",IF(T186&lt;&gt;"","✅売却済",IF(OR(H186="",L186=""),"📌保有中",IF(L186&gt;=0.06,"🟢利確推奨",IF(L186&gt;=0.05,"🟡利確直近",IF(L186&gt;=0.045,"🔵トレーリング検討",IF(L186&gt;-0.03,"📌保有中",IF(L186&gt;-0.04,"⚠️損切注意","🔴損切り"))))))))</f>
        <v/>
      </c>
      <c r="T186" s="596"/>
      <c r="U186" s="598"/>
      <c r="V186" s="703" t="str">
        <f>IF(OR(F186="",G186="",U186=""),"",IF(C186="売",(F186-U186)*G186,(U186-F186)*G186))</f>
        <v/>
      </c>
      <c r="W186" s="480" t="str">
        <f>IF(OR($E186="",$B186=""),"",IF($T186&lt;&gt;"",$T186-$E186,TODAY()-$E186)+1)</f>
        <v/>
      </c>
      <c r="X186" s="480" t="str">
        <f>IF(OR($AH186="",$AH186="保有中"),"",$AH186)</f>
        <v/>
      </c>
      <c r="Y186" s="488"/>
      <c r="Z186" s="710"/>
      <c r="AD186" s="608"/>
      <c r="AE186" s="600" t="str">
        <f>IF($E186="","",WORKDAY($E186,12))</f>
        <v/>
      </c>
      <c r="AF186" s="600" t="str" cm="1">
        <f t="array" aca="1" ref="AF186" ca="1">IF(OR($B186="",$M186=""),"",IFERROR(IF($C186="売",_xlfn.MINIFS(安値!$E$3:$IT$3,安値!$E$3:$IT$3,"&gt;"&amp;$E186,安値!$E$3:$IT$3,"&lt;="&amp;$AE186,OFFSET(安値!$E$6:$IT$6,MATCH(TEXT($B186,"0"),TEXT(銘柄管理!$B$6:$B$305,"0"),0)-1,0),"&lt;="&amp;$M186),_xlfn.MINIFS(高値!$E$3:$IT$3,高値!$E$3:$IT$3,"&gt;"&amp;$E186,高値!$E$3:$IT$3,"&lt;="&amp;$AE186,OFFSET(高値!$E$6:$IT$6,MATCH(TEXT($B186,"0"),TEXT(銘柄管理!$B$6:$B$305,"0"),0)-1,0),"&gt;="&amp;$M186)),""))</f>
        <v/>
      </c>
      <c r="AG186" s="600" t="str" cm="1">
        <f t="array" aca="1" ref="AG186" ca="1">IF(OR($B186="",$N186=""),"",IFERROR(IF($C186="売",_xlfn.MINIFS(高値!$E$3:$IT$3,高値!$E$3:$IT$3,"&gt;"&amp;$E186,高値!$E$3:$IT$3,"&lt;="&amp;$AE186,OFFSET(高値!$E$6:$IT$6,MATCH(TEXT($B186,"0"),TEXT(銘柄管理!$B$6:$B$305,"0"),0)-1,0),"&gt;="&amp;$N186),_xlfn.MINIFS(安値!$E$3:$IT$3,安値!$E$3:$IT$3,"&gt;"&amp;$E186,安値!$E$3:$IT$3,"&lt;="&amp;$AE186,OFFSET(安値!$E$6:$IT$6,MATCH(TEXT($B186,"0"),TEXT(銘柄管理!$B$6:$B$305,"0"),0)-1,0),"&lt;="&amp;$N186)),""))</f>
        <v/>
      </c>
      <c r="AH186" s="600" t="str">
        <f>IF(OR($B186="",$M186=""),"",IF(AND(N($AF186)=0,N($AG186)=0),IF(AND(ISNUMBER($H186),$H186&gt;0,IF($C186="売",$H186&gt;=$N186,$H186&lt;=$N186)),"損切確定",IF(AND(ISNUMBER($H186),$H186&gt;0,IF($C186="売",$H186&lt;=$M186,$H186&gt;=$M186)),"利益確定",IF($AE186&lt;=TODAY(),"日数制限","保有中"))),IF(N($AG186)=0,"利益確定",IF(N($AF186)=0,"損切確定",IF($AG186&lt;=$AF186,"損切確定","利益確定")))))</f>
        <v/>
      </c>
      <c r="AI186" s="600" t="str" cm="1">
        <f t="array" ref="AI186">IFERROR(INDEX(始値!$E$6:$IT$305,MATCH(TEXT($B186,"0"),TEXT(銘柄管理!$B$6:$B$305,"0"),0),MATCH($AE186,始値!$E$3:$IT$3,0)),"")</f>
        <v/>
      </c>
      <c r="AJ186" s="608" t="str">
        <f>IF(OR($V186="",$F186="",$G186=""),"",$V186/($F186*$G186))</f>
        <v/>
      </c>
      <c r="AK186" s="600" t="str">
        <f>IF($V186="","",IF($V186&gt;0,"○勝",IF($V186&lt;0,"●負","△引分")))</f>
        <v/>
      </c>
    </row>
    <row r="187" spans="1:37" ht="17.25" customHeight="1">
      <c r="A187" s="621" t="str">
        <f>IF(B187="","",HYPERLINK("https://kabutan.jp/stock/?code="&amp;B187,"株探"))</f>
        <v/>
      </c>
      <c r="B187" s="480"/>
      <c r="C187" s="480"/>
      <c r="D187" s="480" t="str" cm="1">
        <f t="array" ref="D187">_xll.RssMarket(B187, "銘柄名称")</f>
        <v/>
      </c>
      <c r="E187" s="717"/>
      <c r="F187" s="698" t="str" cm="1">
        <f t="array" aca="1" ref="F187" ca="1">IFERROR(_xlfn.LET(_xlpm.r,MATCH(TEXT($B187,"0"),TEXT(銘柄管理!$B$6:$B$305,"0"),0),_xlpm.t,MOD(NOW(),1),_xlpm.c,IF($E187=TODAY(),IF(_xlpm.t&gt;=TIME(15,30,0),NA(),1),IF(MATCH($E187,始値!$E$3:$IT$3,0)=1,1,MATCH($E187,始値!$E$3:$IT$3,0)+1)),_xlpm.v,INDEX(始値!$C$6:$IT$305,_xlpm.r,_xlpm.c),IF(N(_xlpm.v)=0,"",_xlpm.v)),"")</f>
        <v/>
      </c>
      <c r="G187" s="480"/>
      <c r="H187" s="480" t="str" cm="1">
        <f t="array" ref="H187">_xll.RssMarket(B187, "現在値")</f>
        <v/>
      </c>
      <c r="I187" s="480" t="str" cm="1">
        <f t="array" ref="I187">_xll.RssMarket(B187, "出来高加重平均")</f>
        <v/>
      </c>
      <c r="J187" s="702" t="str" cm="1">
        <f t="array" ref="J187">_xll.RssMarket($B187, "前日比")</f>
        <v/>
      </c>
      <c r="K187" s="703" t="str">
        <f>IF(OR(F187="",G187="",H187=""),"",IF(C187="売",(F187-H187)*G187,(H187-F187)*G187))</f>
        <v/>
      </c>
      <c r="L187" s="708" t="str">
        <f>IF(OR(F187="",H187=""),"",IF(C187="売",(F187-H187)/F187,(H187-F187)/F187))</f>
        <v/>
      </c>
      <c r="M187" s="598" t="str">
        <f>IF($F187="","",$F187*IF($C187="売",1-V811設定!$B$4,1+V811設定!$B$4)-MOD($F187*IF($C187="売",1-V811設定!$B$4,1+V811設定!$B$4),IF($F187&lt;=3000,1,IF($F187&lt;=5000,5,IF($F187&lt;=30000,10,IF($F187&lt;=50000,50,IF($F187&lt;=300000,100,500))))))+IF(AND($C187="売",MOD($F187*IF($C187="売",1-V811設定!$B$4,1+V811設定!$B$4),IF($F187&lt;=3000,1,IF($F187&lt;=5000,5,IF($F187&lt;=30000,10,IF($F187&lt;=50000,50,IF($F187&lt;=300000,100,500))))))&gt;0),IF($F187&lt;=3000,1,IF($F187&lt;=5000,5,IF($F187&lt;=30000,10,IF($F187&lt;=50000,50,IF($F187&lt;=300000,100,500))))),0))</f>
      </c>
      <c r="N187" s="598" t="str">
        <f>IF($F187="","",$F187*IF($C187="売",1+V811設定!$B$3,1-V811設定!$B$3)-MOD($F187*IF($C187="売",1+V811設定!$B$3,1-V811設定!$B$3),IF($F187&lt;=3000,1,IF($F187&lt;=5000,5,IF($F187&lt;=30000,10,IF($F187&lt;=50000,50,IF($F187&lt;=300000,100,500))))))+IF(AND($C187="売",MOD($F187*IF($C187="売",1+V811設定!$B$3,1-V811設定!$B$3),IF($F187&lt;=3000,1,IF($F187&lt;=5000,5,IF($F187&lt;=30000,10,IF($F187&lt;=50000,50,IF($F187&lt;=300000,100,500))))))&gt;0),IF($F187&lt;=3000,1,IF($F187&lt;=5000,5,IF($F187&lt;=30000,10,IF($F187&lt;=50000,50,IF($F187&lt;=300000,100,500))))),0))</f>
      </c>
      <c r="O187" s="478" t="str">
        <f>IF(OR($B187="",$F187="",$H187=""),"",IF($S187="✅売却済","―決済済―",IF($C187="売",IF($H187&lt;=$M187,"🟢利確",IF(AND($R187&lt;&gt;"",$H187&gt;=$R187),"🟠TRAIL",IF($H187&gt;=$N187,"🔴損切",IF($W187&gt;=V811設定!$B$6,"⏱時間決済",IF($H187&gt;=$F187*(1+V811設定!$B$3*0.7),"⚠️損切接近","保持継続"))))),IF($H187&gt;=$M187,"🟢利確",IF(AND($R187&lt;&gt;"",$H187&lt;=$R187),"🟠TRAIL",IF($H187&lt;=$N187,"🔴損切",IF($W187&gt;=V811設定!$B$6,"⏱時間決済",IF($H187&lt;=$F187*(1-V811設定!$B$3*0.7),"⚠️損切接近","保持継続"))))))))</f>
      </c>
      <c r="P187" s="445"/>
      <c r="Q187" s="445"/>
      <c r="R187" s="480" t="str">
        <f>IF(OR($F187="",$H187="",$N187=""),"",IF($S187="✅売却済","",IF($C187="売",IF($H187&gt;$F187*(1-V811設定!$B$3),$N187,MIN($N187,IF($Q187="",$N187,$Q187*1.03))),IF($H187&lt;$F187*(1+V811設定!$B$3),$N187,MAX($N187,IF($P187="",$N187,$P187*0.97))))))</f>
      </c>
      <c r="S187" s="480" t="str">
        <f>IF(B187="","",IF(T187&lt;&gt;"","✅売却済",IF(OR(H187="",L187=""),"📌保有中",IF(L187&gt;=0.06,"🟢利確推奨",IF(L187&gt;=0.05,"🟡利確直近",IF(L187&gt;=0.045,"🔵トレーリング検討",IF(L187&gt;-0.03,"📌保有中",IF(L187&gt;-0.04,"⚠️損切注意","🔴損切り"))))))))</f>
        <v/>
      </c>
      <c r="T187" s="596"/>
      <c r="U187" s="598"/>
      <c r="V187" s="703" t="str">
        <f>IF(OR(F187="",G187="",U187=""),"",IF(C187="売",(F187-U187)*G187,(U187-F187)*G187))</f>
        <v/>
      </c>
      <c r="W187" s="480" t="str">
        <f>IF(OR($E187="",$B187=""),"",IF($T187&lt;&gt;"",$T187-$E187,TODAY()-$E187)+1)</f>
        <v/>
      </c>
      <c r="X187" s="480" t="str">
        <f>IF(OR($AH187="",$AH187="保有中"),"",$AH187)</f>
        <v/>
      </c>
      <c r="Y187" s="488"/>
      <c r="Z187" s="710"/>
      <c r="AD187" s="608"/>
      <c r="AE187" s="600" t="str">
        <f>IF($E187="","",WORKDAY($E187,12))</f>
        <v/>
      </c>
      <c r="AF187" s="600" t="str" cm="1">
        <f t="array" aca="1" ref="AF187" ca="1">IF(OR($B187="",$M187=""),"",IFERROR(IF($C187="売",_xlfn.MINIFS(安値!$E$3:$IT$3,安値!$E$3:$IT$3,"&gt;"&amp;$E187,安値!$E$3:$IT$3,"&lt;="&amp;$AE187,OFFSET(安値!$E$6:$IT$6,MATCH(TEXT($B187,"0"),TEXT(銘柄管理!$B$6:$B$305,"0"),0)-1,0),"&lt;="&amp;$M187),_xlfn.MINIFS(高値!$E$3:$IT$3,高値!$E$3:$IT$3,"&gt;"&amp;$E187,高値!$E$3:$IT$3,"&lt;="&amp;$AE187,OFFSET(高値!$E$6:$IT$6,MATCH(TEXT($B187,"0"),TEXT(銘柄管理!$B$6:$B$305,"0"),0)-1,0),"&gt;="&amp;$M187)),""))</f>
        <v/>
      </c>
      <c r="AG187" s="600" t="str" cm="1">
        <f t="array" aca="1" ref="AG187" ca="1">IF(OR($B187="",$N187=""),"",IFERROR(IF($C187="売",_xlfn.MINIFS(高値!$E$3:$IT$3,高値!$E$3:$IT$3,"&gt;"&amp;$E187,高値!$E$3:$IT$3,"&lt;="&amp;$AE187,OFFSET(高値!$E$6:$IT$6,MATCH(TEXT($B187,"0"),TEXT(銘柄管理!$B$6:$B$305,"0"),0)-1,0),"&gt;="&amp;$N187),_xlfn.MINIFS(安値!$E$3:$IT$3,安値!$E$3:$IT$3,"&gt;"&amp;$E187,安値!$E$3:$IT$3,"&lt;="&amp;$AE187,OFFSET(安値!$E$6:$IT$6,MATCH(TEXT($B187,"0"),TEXT(銘柄管理!$B$6:$B$305,"0"),0)-1,0),"&lt;="&amp;$N187)),""))</f>
        <v/>
      </c>
      <c r="AH187" s="600" t="str">
        <f>IF(OR($B187="",$M187=""),"",IF(AND(N($AF187)=0,N($AG187)=0),IF(AND(ISNUMBER($H187),$H187&gt;0,IF($C187="売",$H187&gt;=$N187,$H187&lt;=$N187)),"損切確定",IF(AND(ISNUMBER($H187),$H187&gt;0,IF($C187="売",$H187&lt;=$M187,$H187&gt;=$M187)),"利益確定",IF($AE187&lt;=TODAY(),"日数制限","保有中"))),IF(N($AG187)=0,"利益確定",IF(N($AF187)=0,"損切確定",IF($AG187&lt;=$AF187,"損切確定","利益確定")))))</f>
        <v/>
      </c>
      <c r="AI187" s="600" t="str" cm="1">
        <f t="array" ref="AI187">IFERROR(INDEX(始値!$E$6:$IT$305,MATCH(TEXT($B187,"0"),TEXT(銘柄管理!$B$6:$B$305,"0"),0),MATCH($AE187,始値!$E$3:$IT$3,0)),"")</f>
        <v/>
      </c>
      <c r="AJ187" s="608" t="str">
        <f>IF(OR($V187="",$F187="",$G187=""),"",$V187/($F187*$G187))</f>
        <v/>
      </c>
      <c r="AK187" s="600" t="str">
        <f>IF($V187="","",IF($V187&gt;0,"○勝",IF($V187&lt;0,"●負","△引分")))</f>
        <v/>
      </c>
    </row>
    <row r="188" spans="1:37" ht="17.25" customHeight="1">
      <c r="A188" s="621" t="str">
        <f>IF(B188="","",HYPERLINK("https://kabutan.jp/stock/?code="&amp;B188,"株探"))</f>
        <v/>
      </c>
      <c r="B188" s="480"/>
      <c r="C188" s="480"/>
      <c r="D188" s="480" t="str" cm="1">
        <f t="array" ref="D188">_xll.RssMarket(B188, "銘柄名称")</f>
        <v/>
      </c>
      <c r="E188" s="717"/>
      <c r="F188" s="698" t="str" cm="1">
        <f t="array" aca="1" ref="F188" ca="1">IFERROR(_xlfn.LET(_xlpm.r,MATCH(TEXT($B188,"0"),TEXT(銘柄管理!$B$6:$B$305,"0"),0),_xlpm.t,MOD(NOW(),1),_xlpm.c,IF($E188=TODAY(),IF(_xlpm.t&gt;=TIME(15,30,0),NA(),1),IF(MATCH($E188,始値!$E$3:$IT$3,0)=1,1,MATCH($E188,始値!$E$3:$IT$3,0)+1)),_xlpm.v,INDEX(始値!$C$6:$IT$305,_xlpm.r,_xlpm.c),IF(N(_xlpm.v)=0,"",_xlpm.v)),"")</f>
        <v/>
      </c>
      <c r="G188" s="480"/>
      <c r="H188" s="480" t="str" cm="1">
        <f t="array" ref="H188">_xll.RssMarket(B188, "現在値")</f>
        <v/>
      </c>
      <c r="I188" s="480" t="str" cm="1">
        <f t="array" ref="I188">_xll.RssMarket(B188, "出来高加重平均")</f>
        <v/>
      </c>
      <c r="J188" s="702" t="str" cm="1">
        <f t="array" ref="J188">_xll.RssMarket($B188, "前日比")</f>
        <v/>
      </c>
      <c r="K188" s="703" t="str">
        <f>IF(OR(F188="",G188="",H188=""),"",IF(C188="売",(F188-H188)*G188,(H188-F188)*G188))</f>
        <v/>
      </c>
      <c r="L188" s="708" t="str">
        <f>IF(OR(F188="",H188=""),"",IF(C188="売",(F188-H188)/F188,(H188-F188)/F188))</f>
        <v/>
      </c>
      <c r="M188" s="598" t="str">
        <f>IF($F188="","",$F188*IF($C188="売",1-V811設定!$B$4,1+V811設定!$B$4)-MOD($F188*IF($C188="売",1-V811設定!$B$4,1+V811設定!$B$4),IF($F188&lt;=3000,1,IF($F188&lt;=5000,5,IF($F188&lt;=30000,10,IF($F188&lt;=50000,50,IF($F188&lt;=300000,100,500))))))+IF(AND($C188="売",MOD($F188*IF($C188="売",1-V811設定!$B$4,1+V811設定!$B$4),IF($F188&lt;=3000,1,IF($F188&lt;=5000,5,IF($F188&lt;=30000,10,IF($F188&lt;=50000,50,IF($F188&lt;=300000,100,500))))))&gt;0),IF($F188&lt;=3000,1,IF($F188&lt;=5000,5,IF($F188&lt;=30000,10,IF($F188&lt;=50000,50,IF($F188&lt;=300000,100,500))))),0))</f>
      </c>
      <c r="N188" s="598" t="str">
        <f>IF($F188="","",$F188*IF($C188="売",1+V811設定!$B$3,1-V811設定!$B$3)-MOD($F188*IF($C188="売",1+V811設定!$B$3,1-V811設定!$B$3),IF($F188&lt;=3000,1,IF($F188&lt;=5000,5,IF($F188&lt;=30000,10,IF($F188&lt;=50000,50,IF($F188&lt;=300000,100,500))))))+IF(AND($C188="売",MOD($F188*IF($C188="売",1+V811設定!$B$3,1-V811設定!$B$3),IF($F188&lt;=3000,1,IF($F188&lt;=5000,5,IF($F188&lt;=30000,10,IF($F188&lt;=50000,50,IF($F188&lt;=300000,100,500))))))&gt;0),IF($F188&lt;=3000,1,IF($F188&lt;=5000,5,IF($F188&lt;=30000,10,IF($F188&lt;=50000,50,IF($F188&lt;=300000,100,500))))),0))</f>
      </c>
      <c r="O188" s="478" t="str">
        <f>IF(OR($B188="",$F188="",$H188=""),"",IF($S188="✅売却済","―決済済―",IF($C188="売",IF($H188&lt;=$M188,"🟢利確",IF(AND($R188&lt;&gt;"",$H188&gt;=$R188),"🟠TRAIL",IF($H188&gt;=$N188,"🔴損切",IF($W188&gt;=V811設定!$B$6,"⏱時間決済",IF($H188&gt;=$F188*(1+V811設定!$B$3*0.7),"⚠️損切接近","保持継続"))))),IF($H188&gt;=$M188,"🟢利確",IF(AND($R188&lt;&gt;"",$H188&lt;=$R188),"🟠TRAIL",IF($H188&lt;=$N188,"🔴損切",IF($W188&gt;=V811設定!$B$6,"⏱時間決済",IF($H188&lt;=$F188*(1-V811設定!$B$3*0.7),"⚠️損切接近","保持継続"))))))))</f>
      </c>
      <c r="P188" s="445"/>
      <c r="Q188" s="445"/>
      <c r="R188" s="480" t="str">
        <f>IF(OR($F188="",$H188="",$N188=""),"",IF($S188="✅売却済","",IF($C188="売",IF($H188&gt;$F188*(1-V811設定!$B$3),$N188,MIN($N188,IF($Q188="",$N188,$Q188*1.03))),IF($H188&lt;$F188*(1+V811設定!$B$3),$N188,MAX($N188,IF($P188="",$N188,$P188*0.97))))))</f>
      </c>
      <c r="S188" s="480" t="str">
        <f>IF(B188="","",IF(T188&lt;&gt;"","✅売却済",IF(OR(H188="",L188=""),"📌保有中",IF(L188&gt;=0.06,"🟢利確推奨",IF(L188&gt;=0.05,"🟡利確直近",IF(L188&gt;=0.045,"🔵トレーリング検討",IF(L188&gt;-0.03,"📌保有中",IF(L188&gt;-0.04,"⚠️損切注意","🔴損切り"))))))))</f>
        <v/>
      </c>
      <c r="T188" s="596"/>
      <c r="U188" s="598"/>
      <c r="V188" s="703" t="str">
        <f>IF(OR(F188="",G188="",U188=""),"",IF(C188="売",(F188-U188)*G188,(U188-F188)*G188))</f>
        <v/>
      </c>
      <c r="W188" s="480" t="str">
        <f>IF(OR($E188="",$B188=""),"",IF($T188&lt;&gt;"",$T188-$E188,TODAY()-$E188)+1)</f>
        <v/>
      </c>
      <c r="X188" s="480" t="str">
        <f>IF(OR($AH188="",$AH188="保有中"),"",$AH188)</f>
        <v/>
      </c>
      <c r="Y188" s="488"/>
      <c r="Z188" s="710"/>
      <c r="AD188" s="608"/>
      <c r="AE188" s="600" t="str">
        <f>IF($E188="","",WORKDAY($E188,12))</f>
        <v/>
      </c>
      <c r="AF188" s="600" t="str" cm="1">
        <f t="array" aca="1" ref="AF188" ca="1">IF(OR($B188="",$M188=""),"",IFERROR(IF($C188="売",_xlfn.MINIFS(安値!$E$3:$IT$3,安値!$E$3:$IT$3,"&gt;"&amp;$E188,安値!$E$3:$IT$3,"&lt;="&amp;$AE188,OFFSET(安値!$E$6:$IT$6,MATCH(TEXT($B188,"0"),TEXT(銘柄管理!$B$6:$B$305,"0"),0)-1,0),"&lt;="&amp;$M188),_xlfn.MINIFS(高値!$E$3:$IT$3,高値!$E$3:$IT$3,"&gt;"&amp;$E188,高値!$E$3:$IT$3,"&lt;="&amp;$AE188,OFFSET(高値!$E$6:$IT$6,MATCH(TEXT($B188,"0"),TEXT(銘柄管理!$B$6:$B$305,"0"),0)-1,0),"&gt;="&amp;$M188)),""))</f>
        <v/>
      </c>
      <c r="AG188" s="600" t="str" cm="1">
        <f t="array" aca="1" ref="AG188" ca="1">IF(OR($B188="",$N188=""),"",IFERROR(IF($C188="売",_xlfn.MINIFS(高値!$E$3:$IT$3,高値!$E$3:$IT$3,"&gt;"&amp;$E188,高値!$E$3:$IT$3,"&lt;="&amp;$AE188,OFFSET(高値!$E$6:$IT$6,MATCH(TEXT($B188,"0"),TEXT(銘柄管理!$B$6:$B$305,"0"),0)-1,0),"&gt;="&amp;$N188),_xlfn.MINIFS(安値!$E$3:$IT$3,安値!$E$3:$IT$3,"&gt;"&amp;$E188,安値!$E$3:$IT$3,"&lt;="&amp;$AE188,OFFSET(安値!$E$6:$IT$6,MATCH(TEXT($B188,"0"),TEXT(銘柄管理!$B$6:$B$305,"0"),0)-1,0),"&lt;="&amp;$N188)),""))</f>
        <v/>
      </c>
      <c r="AH188" s="600" t="str">
        <f>IF(OR($B188="",$M188=""),"",IF(AND(N($AF188)=0,N($AG188)=0),IF(AND(ISNUMBER($H188),$H188&gt;0,IF($C188="売",$H188&gt;=$N188,$H188&lt;=$N188)),"損切確定",IF(AND(ISNUMBER($H188),$H188&gt;0,IF($C188="売",$H188&lt;=$M188,$H188&gt;=$M188)),"利益確定",IF($AE188&lt;=TODAY(),"日数制限","保有中"))),IF(N($AG188)=0,"利益確定",IF(N($AF188)=0,"損切確定",IF($AG188&lt;=$AF188,"損切確定","利益確定")))))</f>
        <v/>
      </c>
      <c r="AI188" s="600" t="str" cm="1">
        <f t="array" ref="AI188">IFERROR(INDEX(始値!$E$6:$IT$305,MATCH(TEXT($B188,"0"),TEXT(銘柄管理!$B$6:$B$305,"0"),0),MATCH($AE188,始値!$E$3:$IT$3,0)),"")</f>
        <v/>
      </c>
      <c r="AJ188" s="608" t="str">
        <f>IF(OR($V188="",$F188="",$G188=""),"",$V188/($F188*$G188))</f>
        <v/>
      </c>
      <c r="AK188" s="600" t="str">
        <f>IF($V188="","",IF($V188&gt;0,"○勝",IF($V188&lt;0,"●負","△引分")))</f>
        <v/>
      </c>
    </row>
    <row r="189" spans="1:37" ht="17.25" customHeight="1">
      <c r="A189" s="621" t="str">
        <f>IF(B189="","",HYPERLINK("https://kabutan.jp/stock/?code="&amp;B189,"株探"))</f>
        <v/>
      </c>
      <c r="B189" s="480"/>
      <c r="C189" s="480"/>
      <c r="D189" s="480" t="str" cm="1">
        <f t="array" ref="D189">_xll.RssMarket(B189, "銘柄名称")</f>
        <v/>
      </c>
      <c r="E189" s="717"/>
      <c r="F189" s="698" t="str" cm="1">
        <f t="array" aca="1" ref="F189" ca="1">IFERROR(_xlfn.LET(_xlpm.r,MATCH(TEXT($B189,"0"),TEXT(銘柄管理!$B$6:$B$305,"0"),0),_xlpm.t,MOD(NOW(),1),_xlpm.c,IF($E189=TODAY(),IF(_xlpm.t&gt;=TIME(15,30,0),NA(),1),IF(MATCH($E189,始値!$E$3:$IT$3,0)=1,1,MATCH($E189,始値!$E$3:$IT$3,0)+1)),_xlpm.v,INDEX(始値!$C$6:$IT$305,_xlpm.r,_xlpm.c),IF(N(_xlpm.v)=0,"",_xlpm.v)),"")</f>
        <v/>
      </c>
      <c r="G189" s="480"/>
      <c r="H189" s="480" t="str" cm="1">
        <f t="array" ref="H189">_xll.RssMarket(B189, "現在値")</f>
        <v/>
      </c>
      <c r="I189" s="480" t="str" cm="1">
        <f t="array" ref="I189">_xll.RssMarket(B189, "出来高加重平均")</f>
        <v/>
      </c>
      <c r="J189" s="702" t="str" cm="1">
        <f t="array" ref="J189">_xll.RssMarket($B189, "前日比")</f>
        <v/>
      </c>
      <c r="K189" s="703" t="str">
        <f>IF(OR(F189="",G189="",H189=""),"",IF(C189="売",(F189-H189)*G189,(H189-F189)*G189))</f>
        <v/>
      </c>
      <c r="L189" s="708" t="str">
        <f>IF(OR(F189="",H189=""),"",IF(C189="売",(F189-H189)/F189,(H189-F189)/F189))</f>
        <v/>
      </c>
      <c r="M189" s="598" t="str">
        <f>IF($F189="","",$F189*IF($C189="売",1-V811設定!$B$4,1+V811設定!$B$4)-MOD($F189*IF($C189="売",1-V811設定!$B$4,1+V811設定!$B$4),IF($F189&lt;=3000,1,IF($F189&lt;=5000,5,IF($F189&lt;=30000,10,IF($F189&lt;=50000,50,IF($F189&lt;=300000,100,500))))))+IF(AND($C189="売",MOD($F189*IF($C189="売",1-V811設定!$B$4,1+V811設定!$B$4),IF($F189&lt;=3000,1,IF($F189&lt;=5000,5,IF($F189&lt;=30000,10,IF($F189&lt;=50000,50,IF($F189&lt;=300000,100,500))))))&gt;0),IF($F189&lt;=3000,1,IF($F189&lt;=5000,5,IF($F189&lt;=30000,10,IF($F189&lt;=50000,50,IF($F189&lt;=300000,100,500))))),0))</f>
      </c>
      <c r="N189" s="598" t="str">
        <f>IF($F189="","",$F189*IF($C189="売",1+V811設定!$B$3,1-V811設定!$B$3)-MOD($F189*IF($C189="売",1+V811設定!$B$3,1-V811設定!$B$3),IF($F189&lt;=3000,1,IF($F189&lt;=5000,5,IF($F189&lt;=30000,10,IF($F189&lt;=50000,50,IF($F189&lt;=300000,100,500))))))+IF(AND($C189="売",MOD($F189*IF($C189="売",1+V811設定!$B$3,1-V811設定!$B$3),IF($F189&lt;=3000,1,IF($F189&lt;=5000,5,IF($F189&lt;=30000,10,IF($F189&lt;=50000,50,IF($F189&lt;=300000,100,500))))))&gt;0),IF($F189&lt;=3000,1,IF($F189&lt;=5000,5,IF($F189&lt;=30000,10,IF($F189&lt;=50000,50,IF($F189&lt;=300000,100,500))))),0))</f>
      </c>
      <c r="O189" s="478" t="str">
        <f>IF(OR($B189="",$F189="",$H189=""),"",IF($S189="✅売却済","―決済済―",IF($C189="売",IF($H189&lt;=$M189,"🟢利確",IF(AND($R189&lt;&gt;"",$H189&gt;=$R189),"🟠TRAIL",IF($H189&gt;=$N189,"🔴損切",IF($W189&gt;=V811設定!$B$6,"⏱時間決済",IF($H189&gt;=$F189*(1+V811設定!$B$3*0.7),"⚠️損切接近","保持継続"))))),IF($H189&gt;=$M189,"🟢利確",IF(AND($R189&lt;&gt;"",$H189&lt;=$R189),"🟠TRAIL",IF($H189&lt;=$N189,"🔴損切",IF($W189&gt;=V811設定!$B$6,"⏱時間決済",IF($H189&lt;=$F189*(1-V811設定!$B$3*0.7),"⚠️損切接近","保持継続"))))))))</f>
      </c>
      <c r="P189" s="445"/>
      <c r="Q189" s="445"/>
      <c r="R189" s="480" t="str">
        <f>IF(OR($F189="",$H189="",$N189=""),"",IF($S189="✅売却済","",IF($C189="売",IF($H189&gt;$F189*(1-V811設定!$B$3),$N189,MIN($N189,IF($Q189="",$N189,$Q189*1.03))),IF($H189&lt;$F189*(1+V811設定!$B$3),$N189,MAX($N189,IF($P189="",$N189,$P189*0.97))))))</f>
      </c>
      <c r="S189" s="480" t="str">
        <f>IF(B189="","",IF(T189&lt;&gt;"","✅売却済",IF(OR(H189="",L189=""),"📌保有中",IF(L189&gt;=0.06,"🟢利確推奨",IF(L189&gt;=0.05,"🟡利確直近",IF(L189&gt;=0.045,"🔵トレーリング検討",IF(L189&gt;-0.03,"📌保有中",IF(L189&gt;-0.04,"⚠️損切注意","🔴損切り"))))))))</f>
        <v/>
      </c>
      <c r="T189" s="596"/>
      <c r="U189" s="598"/>
      <c r="V189" s="703" t="str">
        <f>IF(OR(F189="",G189="",U189=""),"",IF(C189="売",(F189-U189)*G189,(U189-F189)*G189))</f>
        <v/>
      </c>
      <c r="W189" s="480" t="str">
        <f>IF(OR($E189="",$B189=""),"",IF($T189&lt;&gt;"",$T189-$E189,TODAY()-$E189)+1)</f>
        <v/>
      </c>
      <c r="X189" s="480" t="str">
        <f>IF(OR($AH189="",$AH189="保有中"),"",$AH189)</f>
        <v/>
      </c>
      <c r="Y189" s="488"/>
      <c r="Z189" s="710"/>
      <c r="AD189" s="608"/>
      <c r="AE189" s="600" t="str">
        <f>IF($E189="","",WORKDAY($E189,12))</f>
        <v/>
      </c>
      <c r="AF189" s="600" t="str" cm="1">
        <f t="array" aca="1" ref="AF189" ca="1">IF(OR($B189="",$M189=""),"",IFERROR(IF($C189="売",_xlfn.MINIFS(安値!$E$3:$IT$3,安値!$E$3:$IT$3,"&gt;"&amp;$E189,安値!$E$3:$IT$3,"&lt;="&amp;$AE189,OFFSET(安値!$E$6:$IT$6,MATCH(TEXT($B189,"0"),TEXT(銘柄管理!$B$6:$B$305,"0"),0)-1,0),"&lt;="&amp;$M189),_xlfn.MINIFS(高値!$E$3:$IT$3,高値!$E$3:$IT$3,"&gt;"&amp;$E189,高値!$E$3:$IT$3,"&lt;="&amp;$AE189,OFFSET(高値!$E$6:$IT$6,MATCH(TEXT($B189,"0"),TEXT(銘柄管理!$B$6:$B$305,"0"),0)-1,0),"&gt;="&amp;$M189)),""))</f>
        <v/>
      </c>
      <c r="AG189" s="600" t="str" cm="1">
        <f t="array" aca="1" ref="AG189" ca="1">IF(OR($B189="",$N189=""),"",IFERROR(IF($C189="売",_xlfn.MINIFS(高値!$E$3:$IT$3,高値!$E$3:$IT$3,"&gt;"&amp;$E189,高値!$E$3:$IT$3,"&lt;="&amp;$AE189,OFFSET(高値!$E$6:$IT$6,MATCH(TEXT($B189,"0"),TEXT(銘柄管理!$B$6:$B$305,"0"),0)-1,0),"&gt;="&amp;$N189),_xlfn.MINIFS(安値!$E$3:$IT$3,安値!$E$3:$IT$3,"&gt;"&amp;$E189,安値!$E$3:$IT$3,"&lt;="&amp;$AE189,OFFSET(安値!$E$6:$IT$6,MATCH(TEXT($B189,"0"),TEXT(銘柄管理!$B$6:$B$305,"0"),0)-1,0),"&lt;="&amp;$N189)),""))</f>
        <v/>
      </c>
      <c r="AH189" s="600" t="str">
        <f>IF(OR($B189="",$M189=""),"",IF(AND(N($AF189)=0,N($AG189)=0),IF(AND(ISNUMBER($H189),$H189&gt;0,IF($C189="売",$H189&gt;=$N189,$H189&lt;=$N189)),"損切確定",IF(AND(ISNUMBER($H189),$H189&gt;0,IF($C189="売",$H189&lt;=$M189,$H189&gt;=$M189)),"利益確定",IF($AE189&lt;=TODAY(),"日数制限","保有中"))),IF(N($AG189)=0,"利益確定",IF(N($AF189)=0,"損切確定",IF($AG189&lt;=$AF189,"損切確定","利益確定")))))</f>
        <v/>
      </c>
      <c r="AI189" s="600" t="str" cm="1">
        <f t="array" ref="AI189">IFERROR(INDEX(始値!$E$6:$IT$305,MATCH(TEXT($B189,"0"),TEXT(銘柄管理!$B$6:$B$305,"0"),0),MATCH($AE189,始値!$E$3:$IT$3,0)),"")</f>
        <v/>
      </c>
      <c r="AJ189" s="608" t="str">
        <f>IF(OR($V189="",$F189="",$G189=""),"",$V189/($F189*$G189))</f>
        <v/>
      </c>
      <c r="AK189" s="600" t="str">
        <f>IF($V189="","",IF($V189&gt;0,"○勝",IF($V189&lt;0,"●負","△引分")))</f>
        <v/>
      </c>
    </row>
    <row r="190" spans="1:37" ht="17.25" customHeight="1">
      <c r="A190" s="621" t="str">
        <f>IF(B190="","",HYPERLINK("https://kabutan.jp/stock/?code="&amp;B190,"株探"))</f>
        <v/>
      </c>
      <c r="B190" s="480"/>
      <c r="C190" s="480"/>
      <c r="D190" s="480" t="str" cm="1">
        <f t="array" ref="D190">_xll.RssMarket(B190, "銘柄名称")</f>
        <v/>
      </c>
      <c r="E190" s="717"/>
      <c r="F190" s="698" t="str" cm="1">
        <f t="array" aca="1" ref="F190" ca="1">IFERROR(_xlfn.LET(_xlpm.r,MATCH(TEXT($B190,"0"),TEXT(銘柄管理!$B$6:$B$305,"0"),0),_xlpm.t,MOD(NOW(),1),_xlpm.c,IF($E190=TODAY(),IF(_xlpm.t&gt;=TIME(15,30,0),NA(),1),IF(MATCH($E190,始値!$E$3:$IT$3,0)=1,1,MATCH($E190,始値!$E$3:$IT$3,0)+1)),_xlpm.v,INDEX(始値!$C$6:$IT$305,_xlpm.r,_xlpm.c),IF(N(_xlpm.v)=0,"",_xlpm.v)),"")</f>
        <v/>
      </c>
      <c r="G190" s="480"/>
      <c r="H190" s="480" t="str" cm="1">
        <f t="array" ref="H190">_xll.RssMarket(B190, "現在値")</f>
        <v/>
      </c>
      <c r="I190" s="480" t="str" cm="1">
        <f t="array" ref="I190">_xll.RssMarket(B190, "出来高加重平均")</f>
        <v/>
      </c>
      <c r="J190" s="702" t="str" cm="1">
        <f t="array" ref="J190">_xll.RssMarket($B190, "前日比")</f>
        <v/>
      </c>
      <c r="K190" s="703" t="str">
        <f>IF(OR(F190="",G190="",H190=""),"",IF(C190="売",(F190-H190)*G190,(H190-F190)*G190))</f>
        <v/>
      </c>
      <c r="L190" s="708" t="str">
        <f>IF(OR(F190="",H190=""),"",IF(C190="売",(F190-H190)/F190,(H190-F190)/F190))</f>
        <v/>
      </c>
      <c r="M190" s="598" t="str">
        <f>IF($F190="","",$F190*IF($C190="売",1-V811設定!$B$4,1+V811設定!$B$4)-MOD($F190*IF($C190="売",1-V811設定!$B$4,1+V811設定!$B$4),IF($F190&lt;=3000,1,IF($F190&lt;=5000,5,IF($F190&lt;=30000,10,IF($F190&lt;=50000,50,IF($F190&lt;=300000,100,500))))))+IF(AND($C190="売",MOD($F190*IF($C190="売",1-V811設定!$B$4,1+V811設定!$B$4),IF($F190&lt;=3000,1,IF($F190&lt;=5000,5,IF($F190&lt;=30000,10,IF($F190&lt;=50000,50,IF($F190&lt;=300000,100,500))))))&gt;0),IF($F190&lt;=3000,1,IF($F190&lt;=5000,5,IF($F190&lt;=30000,10,IF($F190&lt;=50000,50,IF($F190&lt;=300000,100,500))))),0))</f>
      </c>
      <c r="N190" s="598" t="str">
        <f>IF($F190="","",$F190*IF($C190="売",1+V811設定!$B$3,1-V811設定!$B$3)-MOD($F190*IF($C190="売",1+V811設定!$B$3,1-V811設定!$B$3),IF($F190&lt;=3000,1,IF($F190&lt;=5000,5,IF($F190&lt;=30000,10,IF($F190&lt;=50000,50,IF($F190&lt;=300000,100,500))))))+IF(AND($C190="売",MOD($F190*IF($C190="売",1+V811設定!$B$3,1-V811設定!$B$3),IF($F190&lt;=3000,1,IF($F190&lt;=5000,5,IF($F190&lt;=30000,10,IF($F190&lt;=50000,50,IF($F190&lt;=300000,100,500))))))&gt;0),IF($F190&lt;=3000,1,IF($F190&lt;=5000,5,IF($F190&lt;=30000,10,IF($F190&lt;=50000,50,IF($F190&lt;=300000,100,500))))),0))</f>
      </c>
      <c r="O190" s="478" t="str">
        <f>IF(OR($B190="",$F190="",$H190=""),"",IF($S190="✅売却済","―決済済―",IF($C190="売",IF($H190&lt;=$M190,"🟢利確",IF(AND($R190&lt;&gt;"",$H190&gt;=$R190),"🟠TRAIL",IF($H190&gt;=$N190,"🔴損切",IF($W190&gt;=V811設定!$B$6,"⏱時間決済",IF($H190&gt;=$F190*(1+V811設定!$B$3*0.7),"⚠️損切接近","保持継続"))))),IF($H190&gt;=$M190,"🟢利確",IF(AND($R190&lt;&gt;"",$H190&lt;=$R190),"🟠TRAIL",IF($H190&lt;=$N190,"🔴損切",IF($W190&gt;=V811設定!$B$6,"⏱時間決済",IF($H190&lt;=$F190*(1-V811設定!$B$3*0.7),"⚠️損切接近","保持継続"))))))))</f>
      </c>
      <c r="P190" s="445"/>
      <c r="Q190" s="445"/>
      <c r="R190" s="480" t="str">
        <f>IF(OR($F190="",$H190="",$N190=""),"",IF($S190="✅売却済","",IF($C190="売",IF($H190&gt;$F190*(1-V811設定!$B$3),$N190,MIN($N190,IF($Q190="",$N190,$Q190*1.03))),IF($H190&lt;$F190*(1+V811設定!$B$3),$N190,MAX($N190,IF($P190="",$N190,$P190*0.97))))))</f>
      </c>
      <c r="S190" s="480" t="str">
        <f>IF(B190="","",IF(T190&lt;&gt;"","✅売却済",IF(OR(H190="",L190=""),"📌保有中",IF(L190&gt;=0.06,"🟢利確推奨",IF(L190&gt;=0.05,"🟡利確直近",IF(L190&gt;=0.045,"🔵トレーリング検討",IF(L190&gt;-0.03,"📌保有中",IF(L190&gt;-0.04,"⚠️損切注意","🔴損切り"))))))))</f>
        <v/>
      </c>
      <c r="T190" s="596"/>
      <c r="U190" s="598"/>
      <c r="V190" s="703" t="str">
        <f>IF(OR(F190="",G190="",U190=""),"",IF(C190="売",(F190-U190)*G190,(U190-F190)*G190))</f>
        <v/>
      </c>
      <c r="W190" s="480" t="str">
        <f>IF(OR($E190="",$B190=""),"",IF($T190&lt;&gt;"",$T190-$E190,TODAY()-$E190)+1)</f>
        <v/>
      </c>
      <c r="X190" s="480" t="str">
        <f>IF(OR($AH190="",$AH190="保有中"),"",$AH190)</f>
        <v/>
      </c>
      <c r="Y190" s="488"/>
      <c r="Z190" s="710"/>
      <c r="AD190" s="608"/>
      <c r="AE190" s="600" t="str">
        <f>IF($E190="","",WORKDAY($E190,12))</f>
        <v/>
      </c>
      <c r="AF190" s="600" t="str" cm="1">
        <f t="array" aca="1" ref="AF190" ca="1">IF(OR($B190="",$M190=""),"",IFERROR(IF($C190="売",_xlfn.MINIFS(安値!$E$3:$IT$3,安値!$E$3:$IT$3,"&gt;"&amp;$E190,安値!$E$3:$IT$3,"&lt;="&amp;$AE190,OFFSET(安値!$E$6:$IT$6,MATCH(TEXT($B190,"0"),TEXT(銘柄管理!$B$6:$B$305,"0"),0)-1,0),"&lt;="&amp;$M190),_xlfn.MINIFS(高値!$E$3:$IT$3,高値!$E$3:$IT$3,"&gt;"&amp;$E190,高値!$E$3:$IT$3,"&lt;="&amp;$AE190,OFFSET(高値!$E$6:$IT$6,MATCH(TEXT($B190,"0"),TEXT(銘柄管理!$B$6:$B$305,"0"),0)-1,0),"&gt;="&amp;$M190)),""))</f>
        <v/>
      </c>
      <c r="AG190" s="600" t="str" cm="1">
        <f t="array" aca="1" ref="AG190" ca="1">IF(OR($B190="",$N190=""),"",IFERROR(IF($C190="売",_xlfn.MINIFS(高値!$E$3:$IT$3,高値!$E$3:$IT$3,"&gt;"&amp;$E190,高値!$E$3:$IT$3,"&lt;="&amp;$AE190,OFFSET(高値!$E$6:$IT$6,MATCH(TEXT($B190,"0"),TEXT(銘柄管理!$B$6:$B$305,"0"),0)-1,0),"&gt;="&amp;$N190),_xlfn.MINIFS(安値!$E$3:$IT$3,安値!$E$3:$IT$3,"&gt;"&amp;$E190,安値!$E$3:$IT$3,"&lt;="&amp;$AE190,OFFSET(安値!$E$6:$IT$6,MATCH(TEXT($B190,"0"),TEXT(銘柄管理!$B$6:$B$305,"0"),0)-1,0),"&lt;="&amp;$N190)),""))</f>
        <v/>
      </c>
      <c r="AH190" s="600" t="str">
        <f>IF(OR($B190="",$M190=""),"",IF(AND(N($AF190)=0,N($AG190)=0),IF(AND(ISNUMBER($H190),$H190&gt;0,IF($C190="売",$H190&gt;=$N190,$H190&lt;=$N190)),"損切確定",IF(AND(ISNUMBER($H190),$H190&gt;0,IF($C190="売",$H190&lt;=$M190,$H190&gt;=$M190)),"利益確定",IF($AE190&lt;=TODAY(),"日数制限","保有中"))),IF(N($AG190)=0,"利益確定",IF(N($AF190)=0,"損切確定",IF($AG190&lt;=$AF190,"損切確定","利益確定")))))</f>
        <v/>
      </c>
      <c r="AI190" s="600" t="str" cm="1">
        <f t="array" ref="AI190">IFERROR(INDEX(始値!$E$6:$IT$305,MATCH(TEXT($B190,"0"),TEXT(銘柄管理!$B$6:$B$305,"0"),0),MATCH($AE190,始値!$E$3:$IT$3,0)),"")</f>
        <v/>
      </c>
      <c r="AJ190" s="608" t="str">
        <f>IF(OR($V190="",$F190="",$G190=""),"",$V190/($F190*$G190))</f>
        <v/>
      </c>
      <c r="AK190" s="600" t="str">
        <f>IF($V190="","",IF($V190&gt;0,"○勝",IF($V190&lt;0,"●負","△引分")))</f>
        <v/>
      </c>
    </row>
    <row r="191" spans="1:37" ht="17.25" customHeight="1">
      <c r="A191" s="621" t="str">
        <f>IF(B191="","",HYPERLINK("https://kabutan.jp/stock/?code="&amp;B191,"株探"))</f>
        <v/>
      </c>
      <c r="B191" s="480"/>
      <c r="C191" s="480"/>
      <c r="D191" s="480" t="str" cm="1">
        <f t="array" ref="D191">_xll.RssMarket(B191, "銘柄名称")</f>
        <v/>
      </c>
      <c r="E191" s="717"/>
      <c r="F191" s="698" t="str" cm="1">
        <f t="array" aca="1" ref="F191" ca="1">IFERROR(_xlfn.LET(_xlpm.r,MATCH(TEXT($B191,"0"),TEXT(銘柄管理!$B$6:$B$305,"0"),0),_xlpm.t,MOD(NOW(),1),_xlpm.c,IF($E191=TODAY(),IF(_xlpm.t&gt;=TIME(15,30,0),NA(),1),IF(MATCH($E191,始値!$E$3:$IT$3,0)=1,1,MATCH($E191,始値!$E$3:$IT$3,0)+1)),_xlpm.v,INDEX(始値!$C$6:$IT$305,_xlpm.r,_xlpm.c),IF(N(_xlpm.v)=0,"",_xlpm.v)),"")</f>
        <v/>
      </c>
      <c r="G191" s="480"/>
      <c r="H191" s="480" t="str" cm="1">
        <f t="array" ref="H191">_xll.RssMarket(B191, "現在値")</f>
        <v/>
      </c>
      <c r="I191" s="480" t="str" cm="1">
        <f t="array" ref="I191">_xll.RssMarket(B191, "出来高加重平均")</f>
        <v/>
      </c>
      <c r="J191" s="702" t="str" cm="1">
        <f t="array" ref="J191">_xll.RssMarket($B191, "前日比")</f>
        <v/>
      </c>
      <c r="K191" s="703" t="str">
        <f>IF(OR(F191="",G191="",H191=""),"",IF(C191="売",(F191-H191)*G191,(H191-F191)*G191))</f>
        <v/>
      </c>
      <c r="L191" s="708" t="str">
        <f>IF(OR(F191="",H191=""),"",IF(C191="売",(F191-H191)/F191,(H191-F191)/F191))</f>
        <v/>
      </c>
      <c r="M191" s="598" t="str">
        <f>IF($F191="","",$F191*IF($C191="売",1-V811設定!$B$4,1+V811設定!$B$4)-MOD($F191*IF($C191="売",1-V811設定!$B$4,1+V811設定!$B$4),IF($F191&lt;=3000,1,IF($F191&lt;=5000,5,IF($F191&lt;=30000,10,IF($F191&lt;=50000,50,IF($F191&lt;=300000,100,500))))))+IF(AND($C191="売",MOD($F191*IF($C191="売",1-V811設定!$B$4,1+V811設定!$B$4),IF($F191&lt;=3000,1,IF($F191&lt;=5000,5,IF($F191&lt;=30000,10,IF($F191&lt;=50000,50,IF($F191&lt;=300000,100,500))))))&gt;0),IF($F191&lt;=3000,1,IF($F191&lt;=5000,5,IF($F191&lt;=30000,10,IF($F191&lt;=50000,50,IF($F191&lt;=300000,100,500))))),0))</f>
      </c>
      <c r="N191" s="598" t="str">
        <f>IF($F191="","",$F191*IF($C191="売",1+V811設定!$B$3,1-V811設定!$B$3)-MOD($F191*IF($C191="売",1+V811設定!$B$3,1-V811設定!$B$3),IF($F191&lt;=3000,1,IF($F191&lt;=5000,5,IF($F191&lt;=30000,10,IF($F191&lt;=50000,50,IF($F191&lt;=300000,100,500))))))+IF(AND($C191="売",MOD($F191*IF($C191="売",1+V811設定!$B$3,1-V811設定!$B$3),IF($F191&lt;=3000,1,IF($F191&lt;=5000,5,IF($F191&lt;=30000,10,IF($F191&lt;=50000,50,IF($F191&lt;=300000,100,500))))))&gt;0),IF($F191&lt;=3000,1,IF($F191&lt;=5000,5,IF($F191&lt;=30000,10,IF($F191&lt;=50000,50,IF($F191&lt;=300000,100,500))))),0))</f>
      </c>
      <c r="O191" s="478" t="str">
        <f>IF(OR($B191="",$F191="",$H191=""),"",IF($S191="✅売却済","―決済済―",IF($C191="売",IF($H191&lt;=$M191,"🟢利確",IF(AND($R191&lt;&gt;"",$H191&gt;=$R191),"🟠TRAIL",IF($H191&gt;=$N191,"🔴損切",IF($W191&gt;=V811設定!$B$6,"⏱時間決済",IF($H191&gt;=$F191*(1+V811設定!$B$3*0.7),"⚠️損切接近","保持継続"))))),IF($H191&gt;=$M191,"🟢利確",IF(AND($R191&lt;&gt;"",$H191&lt;=$R191),"🟠TRAIL",IF($H191&lt;=$N191,"🔴損切",IF($W191&gt;=V811設定!$B$6,"⏱時間決済",IF($H191&lt;=$F191*(1-V811設定!$B$3*0.7),"⚠️損切接近","保持継続"))))))))</f>
      </c>
      <c r="P191" s="445"/>
      <c r="Q191" s="445"/>
      <c r="R191" s="480" t="str">
        <f>IF(OR($F191="",$H191="",$N191=""),"",IF($S191="✅売却済","",IF($C191="売",IF($H191&gt;$F191*(1-V811設定!$B$3),$N191,MIN($N191,IF($Q191="",$N191,$Q191*1.03))),IF($H191&lt;$F191*(1+V811設定!$B$3),$N191,MAX($N191,IF($P191="",$N191,$P191*0.97))))))</f>
      </c>
      <c r="S191" s="480" t="str">
        <f>IF(B191="","",IF(T191&lt;&gt;"","✅売却済",IF(OR(H191="",L191=""),"📌保有中",IF(L191&gt;=0.06,"🟢利確推奨",IF(L191&gt;=0.05,"🟡利確直近",IF(L191&gt;=0.045,"🔵トレーリング検討",IF(L191&gt;-0.03,"📌保有中",IF(L191&gt;-0.04,"⚠️損切注意","🔴損切り"))))))))</f>
        <v/>
      </c>
      <c r="T191" s="596"/>
      <c r="U191" s="598"/>
      <c r="V191" s="703" t="str">
        <f>IF(OR(F191="",G191="",U191=""),"",IF(C191="売",(F191-U191)*G191,(U191-F191)*G191))</f>
        <v/>
      </c>
      <c r="W191" s="480" t="str">
        <f>IF(OR($E191="",$B191=""),"",IF($T191&lt;&gt;"",$T191-$E191,TODAY()-$E191)+1)</f>
        <v/>
      </c>
      <c r="X191" s="480" t="str">
        <f>IF(OR($AH191="",$AH191="保有中"),"",$AH191)</f>
        <v/>
      </c>
      <c r="Y191" s="488"/>
      <c r="Z191" s="710"/>
      <c r="AD191" s="608"/>
      <c r="AE191" s="600" t="str">
        <f>IF($E191="","",WORKDAY($E191,12))</f>
        <v/>
      </c>
      <c r="AF191" s="600" t="str" cm="1">
        <f t="array" aca="1" ref="AF191" ca="1">IF(OR($B191="",$M191=""),"",IFERROR(IF($C191="売",_xlfn.MINIFS(安値!$E$3:$IT$3,安値!$E$3:$IT$3,"&gt;"&amp;$E191,安値!$E$3:$IT$3,"&lt;="&amp;$AE191,OFFSET(安値!$E$6:$IT$6,MATCH(TEXT($B191,"0"),TEXT(銘柄管理!$B$6:$B$305,"0"),0)-1,0),"&lt;="&amp;$M191),_xlfn.MINIFS(高値!$E$3:$IT$3,高値!$E$3:$IT$3,"&gt;"&amp;$E191,高値!$E$3:$IT$3,"&lt;="&amp;$AE191,OFFSET(高値!$E$6:$IT$6,MATCH(TEXT($B191,"0"),TEXT(銘柄管理!$B$6:$B$305,"0"),0)-1,0),"&gt;="&amp;$M191)),""))</f>
        <v/>
      </c>
      <c r="AG191" s="600" t="str" cm="1">
        <f t="array" aca="1" ref="AG191" ca="1">IF(OR($B191="",$N191=""),"",IFERROR(IF($C191="売",_xlfn.MINIFS(高値!$E$3:$IT$3,高値!$E$3:$IT$3,"&gt;"&amp;$E191,高値!$E$3:$IT$3,"&lt;="&amp;$AE191,OFFSET(高値!$E$6:$IT$6,MATCH(TEXT($B191,"0"),TEXT(銘柄管理!$B$6:$B$305,"0"),0)-1,0),"&gt;="&amp;$N191),_xlfn.MINIFS(安値!$E$3:$IT$3,安値!$E$3:$IT$3,"&gt;"&amp;$E191,安値!$E$3:$IT$3,"&lt;="&amp;$AE191,OFFSET(安値!$E$6:$IT$6,MATCH(TEXT($B191,"0"),TEXT(銘柄管理!$B$6:$B$305,"0"),0)-1,0),"&lt;="&amp;$N191)),""))</f>
        <v/>
      </c>
      <c r="AH191" s="600" t="str">
        <f>IF(OR($B191="",$M191=""),"",IF(AND(N($AF191)=0,N($AG191)=0),IF(AND(ISNUMBER($H191),$H191&gt;0,IF($C191="売",$H191&gt;=$N191,$H191&lt;=$N191)),"損切確定",IF(AND(ISNUMBER($H191),$H191&gt;0,IF($C191="売",$H191&lt;=$M191,$H191&gt;=$M191)),"利益確定",IF($AE191&lt;=TODAY(),"日数制限","保有中"))),IF(N($AG191)=0,"利益確定",IF(N($AF191)=0,"損切確定",IF($AG191&lt;=$AF191,"損切確定","利益確定")))))</f>
        <v/>
      </c>
      <c r="AI191" s="600" t="str" cm="1">
        <f t="array" ref="AI191">IFERROR(INDEX(始値!$E$6:$IT$305,MATCH(TEXT($B191,"0"),TEXT(銘柄管理!$B$6:$B$305,"0"),0),MATCH($AE191,始値!$E$3:$IT$3,0)),"")</f>
        <v/>
      </c>
      <c r="AJ191" s="608" t="str">
        <f>IF(OR($V191="",$F191="",$G191=""),"",$V191/($F191*$G191))</f>
        <v/>
      </c>
      <c r="AK191" s="600" t="str">
        <f>IF($V191="","",IF($V191&gt;0,"○勝",IF($V191&lt;0,"●負","△引分")))</f>
        <v/>
      </c>
    </row>
    <row r="192" spans="1:37" ht="17.25" customHeight="1">
      <c r="A192" s="621" t="str">
        <f>IF(B192="","",HYPERLINK("https://kabutan.jp/stock/?code="&amp;B192,"株探"))</f>
        <v/>
      </c>
      <c r="B192" s="480"/>
      <c r="C192" s="480"/>
      <c r="D192" s="480" t="str" cm="1">
        <f t="array" ref="D192">_xll.RssMarket(B192, "銘柄名称")</f>
        <v/>
      </c>
      <c r="E192" s="717"/>
      <c r="F192" s="698" t="str" cm="1">
        <f t="array" aca="1" ref="F192" ca="1">IFERROR(_xlfn.LET(_xlpm.r,MATCH(TEXT($B192,"0"),TEXT(銘柄管理!$B$6:$B$305,"0"),0),_xlpm.t,MOD(NOW(),1),_xlpm.c,IF($E192=TODAY(),IF(_xlpm.t&gt;=TIME(15,30,0),NA(),1),IF(MATCH($E192,始値!$E$3:$IT$3,0)=1,1,MATCH($E192,始値!$E$3:$IT$3,0)+1)),_xlpm.v,INDEX(始値!$C$6:$IT$305,_xlpm.r,_xlpm.c),IF(N(_xlpm.v)=0,"",_xlpm.v)),"")</f>
        <v/>
      </c>
      <c r="G192" s="480"/>
      <c r="H192" s="480" t="str" cm="1">
        <f t="array" ref="H192">_xll.RssMarket(B192, "現在値")</f>
        <v/>
      </c>
      <c r="I192" s="480" t="str" cm="1">
        <f t="array" ref="I192">_xll.RssMarket(B192, "出来高加重平均")</f>
        <v/>
      </c>
      <c r="J192" s="702" t="str" cm="1">
        <f t="array" ref="J192">_xll.RssMarket($B192, "前日比")</f>
        <v/>
      </c>
      <c r="K192" s="703" t="str">
        <f>IF(OR(F192="",G192="",H192=""),"",IF(C192="売",(F192-H192)*G192,(H192-F192)*G192))</f>
        <v/>
      </c>
      <c r="L192" s="708" t="str">
        <f>IF(OR(F192="",H192=""),"",IF(C192="売",(F192-H192)/F192,(H192-F192)/F192))</f>
        <v/>
      </c>
      <c r="M192" s="598" t="str">
        <f>IF($F192="","",$F192*IF($C192="売",1-V811設定!$B$4,1+V811設定!$B$4)-MOD($F192*IF($C192="売",1-V811設定!$B$4,1+V811設定!$B$4),IF($F192&lt;=3000,1,IF($F192&lt;=5000,5,IF($F192&lt;=30000,10,IF($F192&lt;=50000,50,IF($F192&lt;=300000,100,500))))))+IF(AND($C192="売",MOD($F192*IF($C192="売",1-V811設定!$B$4,1+V811設定!$B$4),IF($F192&lt;=3000,1,IF($F192&lt;=5000,5,IF($F192&lt;=30000,10,IF($F192&lt;=50000,50,IF($F192&lt;=300000,100,500))))))&gt;0),IF($F192&lt;=3000,1,IF($F192&lt;=5000,5,IF($F192&lt;=30000,10,IF($F192&lt;=50000,50,IF($F192&lt;=300000,100,500))))),0))</f>
      </c>
      <c r="N192" s="598" t="str">
        <f>IF($F192="","",$F192*IF($C192="売",1+V811設定!$B$3,1-V811設定!$B$3)-MOD($F192*IF($C192="売",1+V811設定!$B$3,1-V811設定!$B$3),IF($F192&lt;=3000,1,IF($F192&lt;=5000,5,IF($F192&lt;=30000,10,IF($F192&lt;=50000,50,IF($F192&lt;=300000,100,500))))))+IF(AND($C192="売",MOD($F192*IF($C192="売",1+V811設定!$B$3,1-V811設定!$B$3),IF($F192&lt;=3000,1,IF($F192&lt;=5000,5,IF($F192&lt;=30000,10,IF($F192&lt;=50000,50,IF($F192&lt;=300000,100,500))))))&gt;0),IF($F192&lt;=3000,1,IF($F192&lt;=5000,5,IF($F192&lt;=30000,10,IF($F192&lt;=50000,50,IF($F192&lt;=300000,100,500))))),0))</f>
      </c>
      <c r="O192" s="478" t="str">
        <f>IF(OR($B192="",$F192="",$H192=""),"",IF($S192="✅売却済","―決済済―",IF($C192="売",IF($H192&lt;=$M192,"🟢利確",IF(AND($R192&lt;&gt;"",$H192&gt;=$R192),"🟠TRAIL",IF($H192&gt;=$N192,"🔴損切",IF($W192&gt;=V811設定!$B$6,"⏱時間決済",IF($H192&gt;=$F192*(1+V811設定!$B$3*0.7),"⚠️損切接近","保持継続"))))),IF($H192&gt;=$M192,"🟢利確",IF(AND($R192&lt;&gt;"",$H192&lt;=$R192),"🟠TRAIL",IF($H192&lt;=$N192,"🔴損切",IF($W192&gt;=V811設定!$B$6,"⏱時間決済",IF($H192&lt;=$F192*(1-V811設定!$B$3*0.7),"⚠️損切接近","保持継続"))))))))</f>
      </c>
      <c r="P192" s="445"/>
      <c r="Q192" s="445"/>
      <c r="R192" s="480" t="str">
        <f>IF(OR($F192="",$H192="",$N192=""),"",IF($S192="✅売却済","",IF($C192="売",IF($H192&gt;$F192*(1-V811設定!$B$3),$N192,MIN($N192,IF($Q192="",$N192,$Q192*1.03))),IF($H192&lt;$F192*(1+V811設定!$B$3),$N192,MAX($N192,IF($P192="",$N192,$P192*0.97))))))</f>
      </c>
      <c r="S192" s="480" t="str">
        <f>IF(B192="","",IF(T192&lt;&gt;"","✅売却済",IF(OR(H192="",L192=""),"📌保有中",IF(L192&gt;=0.06,"🟢利確推奨",IF(L192&gt;=0.05,"🟡利確直近",IF(L192&gt;=0.045,"🔵トレーリング検討",IF(L192&gt;-0.03,"📌保有中",IF(L192&gt;-0.04,"⚠️損切注意","🔴損切り"))))))))</f>
        <v/>
      </c>
      <c r="T192" s="596"/>
      <c r="U192" s="598"/>
      <c r="V192" s="703" t="str">
        <f>IF(OR(F192="",G192="",U192=""),"",IF(C192="売",(F192-U192)*G192,(U192-F192)*G192))</f>
        <v/>
      </c>
      <c r="W192" s="480" t="str">
        <f>IF(OR($E192="",$B192=""),"",IF($T192&lt;&gt;"",$T192-$E192,TODAY()-$E192)+1)</f>
        <v/>
      </c>
      <c r="X192" s="480" t="str">
        <f>IF(OR($AH192="",$AH192="保有中"),"",$AH192)</f>
        <v/>
      </c>
      <c r="Y192" s="488"/>
      <c r="Z192" s="710"/>
      <c r="AD192" s="608"/>
      <c r="AE192" s="600" t="str">
        <f>IF($E192="","",WORKDAY($E192,12))</f>
        <v/>
      </c>
      <c r="AF192" s="600" t="str" cm="1">
        <f t="array" aca="1" ref="AF192" ca="1">IF(OR($B192="",$M192=""),"",IFERROR(IF($C192="売",_xlfn.MINIFS(安値!$E$3:$IT$3,安値!$E$3:$IT$3,"&gt;"&amp;$E192,安値!$E$3:$IT$3,"&lt;="&amp;$AE192,OFFSET(安値!$E$6:$IT$6,MATCH(TEXT($B192,"0"),TEXT(銘柄管理!$B$6:$B$305,"0"),0)-1,0),"&lt;="&amp;$M192),_xlfn.MINIFS(高値!$E$3:$IT$3,高値!$E$3:$IT$3,"&gt;"&amp;$E192,高値!$E$3:$IT$3,"&lt;="&amp;$AE192,OFFSET(高値!$E$6:$IT$6,MATCH(TEXT($B192,"0"),TEXT(銘柄管理!$B$6:$B$305,"0"),0)-1,0),"&gt;="&amp;$M192)),""))</f>
        <v/>
      </c>
      <c r="AG192" s="600" t="str" cm="1">
        <f t="array" aca="1" ref="AG192" ca="1">IF(OR($B192="",$N192=""),"",IFERROR(IF($C192="売",_xlfn.MINIFS(高値!$E$3:$IT$3,高値!$E$3:$IT$3,"&gt;"&amp;$E192,高値!$E$3:$IT$3,"&lt;="&amp;$AE192,OFFSET(高値!$E$6:$IT$6,MATCH(TEXT($B192,"0"),TEXT(銘柄管理!$B$6:$B$305,"0"),0)-1,0),"&gt;="&amp;$N192),_xlfn.MINIFS(安値!$E$3:$IT$3,安値!$E$3:$IT$3,"&gt;"&amp;$E192,安値!$E$3:$IT$3,"&lt;="&amp;$AE192,OFFSET(安値!$E$6:$IT$6,MATCH(TEXT($B192,"0"),TEXT(銘柄管理!$B$6:$B$305,"0"),0)-1,0),"&lt;="&amp;$N192)),""))</f>
        <v/>
      </c>
      <c r="AH192" s="600" t="str">
        <f>IF(OR($B192="",$M192=""),"",IF(AND(N($AF192)=0,N($AG192)=0),IF(AND(ISNUMBER($H192),$H192&gt;0,IF($C192="売",$H192&gt;=$N192,$H192&lt;=$N192)),"損切確定",IF(AND(ISNUMBER($H192),$H192&gt;0,IF($C192="売",$H192&lt;=$M192,$H192&gt;=$M192)),"利益確定",IF($AE192&lt;=TODAY(),"日数制限","保有中"))),IF(N($AG192)=0,"利益確定",IF(N($AF192)=0,"損切確定",IF($AG192&lt;=$AF192,"損切確定","利益確定")))))</f>
        <v/>
      </c>
      <c r="AI192" s="600" t="str" cm="1">
        <f t="array" ref="AI192">IFERROR(INDEX(始値!$E$6:$IT$305,MATCH(TEXT($B192,"0"),TEXT(銘柄管理!$B$6:$B$305,"0"),0),MATCH($AE192,始値!$E$3:$IT$3,0)),"")</f>
        <v/>
      </c>
      <c r="AJ192" s="608" t="str">
        <f>IF(OR($V192="",$F192="",$G192=""),"",$V192/($F192*$G192))</f>
        <v/>
      </c>
      <c r="AK192" s="600" t="str">
        <f>IF($V192="","",IF($V192&gt;0,"○勝",IF($V192&lt;0,"●負","△引分")))</f>
        <v/>
      </c>
    </row>
    <row r="193" spans="1:37" ht="17.25" customHeight="1">
      <c r="A193" s="621" t="str">
        <f>IF(B193="","",HYPERLINK("https://kabutan.jp/stock/?code="&amp;B193,"株探"))</f>
        <v/>
      </c>
      <c r="B193" s="480"/>
      <c r="C193" s="480"/>
      <c r="D193" s="480" t="str" cm="1">
        <f t="array" ref="D193">_xll.RssMarket(B193, "銘柄名称")</f>
        <v/>
      </c>
      <c r="E193" s="717"/>
      <c r="F193" s="698" t="str" cm="1">
        <f t="array" aca="1" ref="F193" ca="1">IFERROR(_xlfn.LET(_xlpm.r,MATCH(TEXT($B193,"0"),TEXT(銘柄管理!$B$6:$B$305,"0"),0),_xlpm.t,MOD(NOW(),1),_xlpm.c,IF($E193=TODAY(),IF(_xlpm.t&gt;=TIME(15,30,0),NA(),1),IF(MATCH($E193,始値!$E$3:$IT$3,0)=1,1,MATCH($E193,始値!$E$3:$IT$3,0)+1)),_xlpm.v,INDEX(始値!$C$6:$IT$305,_xlpm.r,_xlpm.c),IF(N(_xlpm.v)=0,"",_xlpm.v)),"")</f>
        <v/>
      </c>
      <c r="G193" s="480"/>
      <c r="H193" s="480" t="str" cm="1">
        <f t="array" ref="H193">_xll.RssMarket(B193, "現在値")</f>
        <v/>
      </c>
      <c r="I193" s="480" t="str" cm="1">
        <f t="array" ref="I193">_xll.RssMarket(B193, "出来高加重平均")</f>
        <v/>
      </c>
      <c r="J193" s="702" t="str" cm="1">
        <f t="array" ref="J193">_xll.RssMarket($B193, "前日比")</f>
        <v/>
      </c>
      <c r="K193" s="703" t="str">
        <f>IF(OR(F193="",G193="",H193=""),"",IF(C193="売",(F193-H193)*G193,(H193-F193)*G193))</f>
        <v/>
      </c>
      <c r="L193" s="708" t="str">
        <f>IF(OR(F193="",H193=""),"",IF(C193="売",(F193-H193)/F193,(H193-F193)/F193))</f>
        <v/>
      </c>
      <c r="M193" s="598" t="str">
        <f>IF($F193="","",$F193*IF($C193="売",1-V811設定!$B$4,1+V811設定!$B$4)-MOD($F193*IF($C193="売",1-V811設定!$B$4,1+V811設定!$B$4),IF($F193&lt;=3000,1,IF($F193&lt;=5000,5,IF($F193&lt;=30000,10,IF($F193&lt;=50000,50,IF($F193&lt;=300000,100,500))))))+IF(AND($C193="売",MOD($F193*IF($C193="売",1-V811設定!$B$4,1+V811設定!$B$4),IF($F193&lt;=3000,1,IF($F193&lt;=5000,5,IF($F193&lt;=30000,10,IF($F193&lt;=50000,50,IF($F193&lt;=300000,100,500))))))&gt;0),IF($F193&lt;=3000,1,IF($F193&lt;=5000,5,IF($F193&lt;=30000,10,IF($F193&lt;=50000,50,IF($F193&lt;=300000,100,500))))),0))</f>
      </c>
      <c r="N193" s="598" t="str">
        <f>IF($F193="","",$F193*IF($C193="売",1+V811設定!$B$3,1-V811設定!$B$3)-MOD($F193*IF($C193="売",1+V811設定!$B$3,1-V811設定!$B$3),IF($F193&lt;=3000,1,IF($F193&lt;=5000,5,IF($F193&lt;=30000,10,IF($F193&lt;=50000,50,IF($F193&lt;=300000,100,500))))))+IF(AND($C193="売",MOD($F193*IF($C193="売",1+V811設定!$B$3,1-V811設定!$B$3),IF($F193&lt;=3000,1,IF($F193&lt;=5000,5,IF($F193&lt;=30000,10,IF($F193&lt;=50000,50,IF($F193&lt;=300000,100,500))))))&gt;0),IF($F193&lt;=3000,1,IF($F193&lt;=5000,5,IF($F193&lt;=30000,10,IF($F193&lt;=50000,50,IF($F193&lt;=300000,100,500))))),0))</f>
      </c>
      <c r="O193" s="478" t="str">
        <f>IF(OR($B193="",$F193="",$H193=""),"",IF($S193="✅売却済","―決済済―",IF($C193="売",IF($H193&lt;=$M193,"🟢利確",IF(AND($R193&lt;&gt;"",$H193&gt;=$R193),"🟠TRAIL",IF($H193&gt;=$N193,"🔴損切",IF($W193&gt;=V811設定!$B$6,"⏱時間決済",IF($H193&gt;=$F193*(1+V811設定!$B$3*0.7),"⚠️損切接近","保持継続"))))),IF($H193&gt;=$M193,"🟢利確",IF(AND($R193&lt;&gt;"",$H193&lt;=$R193),"🟠TRAIL",IF($H193&lt;=$N193,"🔴損切",IF($W193&gt;=V811設定!$B$6,"⏱時間決済",IF($H193&lt;=$F193*(1-V811設定!$B$3*0.7),"⚠️損切接近","保持継続"))))))))</f>
      </c>
      <c r="P193" s="445"/>
      <c r="Q193" s="445"/>
      <c r="R193" s="480" t="str">
        <f>IF(OR($F193="",$H193="",$N193=""),"",IF($S193="✅売却済","",IF($C193="売",IF($H193&gt;$F193*(1-V811設定!$B$3),$N193,MIN($N193,IF($Q193="",$N193,$Q193*1.03))),IF($H193&lt;$F193*(1+V811設定!$B$3),$N193,MAX($N193,IF($P193="",$N193,$P193*0.97))))))</f>
      </c>
      <c r="S193" s="480" t="str">
        <f>IF(B193="","",IF(T193&lt;&gt;"","✅売却済",IF(OR(H193="",L193=""),"📌保有中",IF(L193&gt;=0.06,"🟢利確推奨",IF(L193&gt;=0.05,"🟡利確直近",IF(L193&gt;=0.045,"🔵トレーリング検討",IF(L193&gt;-0.03,"📌保有中",IF(L193&gt;-0.04,"⚠️損切注意","🔴損切り"))))))))</f>
        <v/>
      </c>
      <c r="T193" s="596"/>
      <c r="U193" s="598"/>
      <c r="V193" s="703" t="str">
        <f>IF(OR(F193="",G193="",U193=""),"",IF(C193="売",(F193-U193)*G193,(U193-F193)*G193))</f>
        <v/>
      </c>
      <c r="W193" s="480" t="str">
        <f>IF(OR($E193="",$B193=""),"",IF($T193&lt;&gt;"",$T193-$E193,TODAY()-$E193)+1)</f>
        <v/>
      </c>
      <c r="X193" s="480" t="str">
        <f>IF(OR($AH193="",$AH193="保有中"),"",$AH193)</f>
        <v/>
      </c>
      <c r="Y193" s="488"/>
      <c r="Z193" s="710"/>
      <c r="AD193" s="608"/>
      <c r="AE193" s="600" t="str">
        <f>IF($E193="","",WORKDAY($E193,12))</f>
        <v/>
      </c>
      <c r="AF193" s="600" t="str" cm="1">
        <f t="array" aca="1" ref="AF193" ca="1">IF(OR($B193="",$M193=""),"",IFERROR(IF($C193="売",_xlfn.MINIFS(安値!$E$3:$IT$3,安値!$E$3:$IT$3,"&gt;"&amp;$E193,安値!$E$3:$IT$3,"&lt;="&amp;$AE193,OFFSET(安値!$E$6:$IT$6,MATCH(TEXT($B193,"0"),TEXT(銘柄管理!$B$6:$B$305,"0"),0)-1,0),"&lt;="&amp;$M193),_xlfn.MINIFS(高値!$E$3:$IT$3,高値!$E$3:$IT$3,"&gt;"&amp;$E193,高値!$E$3:$IT$3,"&lt;="&amp;$AE193,OFFSET(高値!$E$6:$IT$6,MATCH(TEXT($B193,"0"),TEXT(銘柄管理!$B$6:$B$305,"0"),0)-1,0),"&gt;="&amp;$M193)),""))</f>
        <v/>
      </c>
      <c r="AG193" s="600" t="str" cm="1">
        <f t="array" aca="1" ref="AG193" ca="1">IF(OR($B193="",$N193=""),"",IFERROR(IF($C193="売",_xlfn.MINIFS(高値!$E$3:$IT$3,高値!$E$3:$IT$3,"&gt;"&amp;$E193,高値!$E$3:$IT$3,"&lt;="&amp;$AE193,OFFSET(高値!$E$6:$IT$6,MATCH(TEXT($B193,"0"),TEXT(銘柄管理!$B$6:$B$305,"0"),0)-1,0),"&gt;="&amp;$N193),_xlfn.MINIFS(安値!$E$3:$IT$3,安値!$E$3:$IT$3,"&gt;"&amp;$E193,安値!$E$3:$IT$3,"&lt;="&amp;$AE193,OFFSET(安値!$E$6:$IT$6,MATCH(TEXT($B193,"0"),TEXT(銘柄管理!$B$6:$B$305,"0"),0)-1,0),"&lt;="&amp;$N193)),""))</f>
        <v/>
      </c>
      <c r="AH193" s="600" t="str">
        <f>IF(OR($B193="",$M193=""),"",IF(AND(N($AF193)=0,N($AG193)=0),IF(AND(ISNUMBER($H193),$H193&gt;0,IF($C193="売",$H193&gt;=$N193,$H193&lt;=$N193)),"損切確定",IF(AND(ISNUMBER($H193),$H193&gt;0,IF($C193="売",$H193&lt;=$M193,$H193&gt;=$M193)),"利益確定",IF($AE193&lt;=TODAY(),"日数制限","保有中"))),IF(N($AG193)=0,"利益確定",IF(N($AF193)=0,"損切確定",IF($AG193&lt;=$AF193,"損切確定","利益確定")))))</f>
        <v/>
      </c>
      <c r="AI193" s="600" t="str" cm="1">
        <f t="array" ref="AI193">IFERROR(INDEX(始値!$E$6:$IT$305,MATCH(TEXT($B193,"0"),TEXT(銘柄管理!$B$6:$B$305,"0"),0),MATCH($AE193,始値!$E$3:$IT$3,0)),"")</f>
        <v/>
      </c>
      <c r="AJ193" s="608" t="str">
        <f>IF(OR($V193="",$F193="",$G193=""),"",$V193/($F193*$G193))</f>
        <v/>
      </c>
      <c r="AK193" s="600" t="str">
        <f>IF($V193="","",IF($V193&gt;0,"○勝",IF($V193&lt;0,"●負","△引分")))</f>
        <v/>
      </c>
    </row>
    <row r="194" spans="1:37" ht="17.25" customHeight="1">
      <c r="A194" s="621" t="str">
        <f>IF(B194="","",HYPERLINK("https://kabutan.jp/stock/?code="&amp;B194,"株探"))</f>
        <v/>
      </c>
      <c r="B194" s="480"/>
      <c r="C194" s="480"/>
      <c r="D194" s="480" t="str" cm="1">
        <f t="array" ref="D194">_xll.RssMarket(B194, "銘柄名称")</f>
        <v/>
      </c>
      <c r="E194" s="717"/>
      <c r="F194" s="698" t="str" cm="1">
        <f t="array" aca="1" ref="F194" ca="1">IFERROR(_xlfn.LET(_xlpm.r,MATCH(TEXT($B194,"0"),TEXT(銘柄管理!$B$6:$B$305,"0"),0),_xlpm.t,MOD(NOW(),1),_xlpm.c,IF($E194=TODAY(),IF(_xlpm.t&gt;=TIME(15,30,0),NA(),1),IF(MATCH($E194,始値!$E$3:$IT$3,0)=1,1,MATCH($E194,始値!$E$3:$IT$3,0)+1)),_xlpm.v,INDEX(始値!$C$6:$IT$305,_xlpm.r,_xlpm.c),IF(N(_xlpm.v)=0,"",_xlpm.v)),"")</f>
        <v/>
      </c>
      <c r="G194" s="480"/>
      <c r="H194" s="480" t="str" cm="1">
        <f t="array" ref="H194">_xll.RssMarket(B194, "現在値")</f>
        <v/>
      </c>
      <c r="I194" s="480" t="str" cm="1">
        <f t="array" ref="I194">_xll.RssMarket(B194, "出来高加重平均")</f>
        <v/>
      </c>
      <c r="J194" s="702" t="str" cm="1">
        <f t="array" ref="J194">_xll.RssMarket($B194, "前日比")</f>
        <v/>
      </c>
      <c r="K194" s="703" t="str">
        <f>IF(OR(F194="",G194="",H194=""),"",IF(C194="売",(F194-H194)*G194,(H194-F194)*G194))</f>
        <v/>
      </c>
      <c r="L194" s="708" t="str">
        <f>IF(OR(F194="",H194=""),"",IF(C194="売",(F194-H194)/F194,(H194-F194)/F194))</f>
        <v/>
      </c>
      <c r="M194" s="598" t="str">
        <f>IF($F194="","",$F194*IF($C194="売",1-V811設定!$B$4,1+V811設定!$B$4)-MOD($F194*IF($C194="売",1-V811設定!$B$4,1+V811設定!$B$4),IF($F194&lt;=3000,1,IF($F194&lt;=5000,5,IF($F194&lt;=30000,10,IF($F194&lt;=50000,50,IF($F194&lt;=300000,100,500))))))+IF(AND($C194="売",MOD($F194*IF($C194="売",1-V811設定!$B$4,1+V811設定!$B$4),IF($F194&lt;=3000,1,IF($F194&lt;=5000,5,IF($F194&lt;=30000,10,IF($F194&lt;=50000,50,IF($F194&lt;=300000,100,500))))))&gt;0),IF($F194&lt;=3000,1,IF($F194&lt;=5000,5,IF($F194&lt;=30000,10,IF($F194&lt;=50000,50,IF($F194&lt;=300000,100,500))))),0))</f>
      </c>
      <c r="N194" s="598" t="str">
        <f>IF($F194="","",$F194*IF($C194="売",1+V811設定!$B$3,1-V811設定!$B$3)-MOD($F194*IF($C194="売",1+V811設定!$B$3,1-V811設定!$B$3),IF($F194&lt;=3000,1,IF($F194&lt;=5000,5,IF($F194&lt;=30000,10,IF($F194&lt;=50000,50,IF($F194&lt;=300000,100,500))))))+IF(AND($C194="売",MOD($F194*IF($C194="売",1+V811設定!$B$3,1-V811設定!$B$3),IF($F194&lt;=3000,1,IF($F194&lt;=5000,5,IF($F194&lt;=30000,10,IF($F194&lt;=50000,50,IF($F194&lt;=300000,100,500))))))&gt;0),IF($F194&lt;=3000,1,IF($F194&lt;=5000,5,IF($F194&lt;=30000,10,IF($F194&lt;=50000,50,IF($F194&lt;=300000,100,500))))),0))</f>
      </c>
      <c r="O194" s="478" t="str">
        <f>IF(OR($B194="",$F194="",$H194=""),"",IF($S194="✅売却済","―決済済―",IF($C194="売",IF($H194&lt;=$M194,"🟢利確",IF(AND($R194&lt;&gt;"",$H194&gt;=$R194),"🟠TRAIL",IF($H194&gt;=$N194,"🔴損切",IF($W194&gt;=V811設定!$B$6,"⏱時間決済",IF($H194&gt;=$F194*(1+V811設定!$B$3*0.7),"⚠️損切接近","保持継続"))))),IF($H194&gt;=$M194,"🟢利確",IF(AND($R194&lt;&gt;"",$H194&lt;=$R194),"🟠TRAIL",IF($H194&lt;=$N194,"🔴損切",IF($W194&gt;=V811設定!$B$6,"⏱時間決済",IF($H194&lt;=$F194*(1-V811設定!$B$3*0.7),"⚠️損切接近","保持継続"))))))))</f>
      </c>
      <c r="P194" s="445"/>
      <c r="Q194" s="445"/>
      <c r="R194" s="480" t="str">
        <f>IF(OR($F194="",$H194="",$N194=""),"",IF($S194="✅売却済","",IF($C194="売",IF($H194&gt;$F194*(1-V811設定!$B$3),$N194,MIN($N194,IF($Q194="",$N194,$Q194*1.03))),IF($H194&lt;$F194*(1+V811設定!$B$3),$N194,MAX($N194,IF($P194="",$N194,$P194*0.97))))))</f>
      </c>
      <c r="S194" s="480" t="str">
        <f>IF(B194="","",IF(T194&lt;&gt;"","✅売却済",IF(OR(H194="",L194=""),"📌保有中",IF(L194&gt;=0.06,"🟢利確推奨",IF(L194&gt;=0.05,"🟡利確直近",IF(L194&gt;=0.045,"🔵トレーリング検討",IF(L194&gt;-0.03,"📌保有中",IF(L194&gt;-0.04,"⚠️損切注意","🔴損切り"))))))))</f>
        <v/>
      </c>
      <c r="T194" s="596"/>
      <c r="U194" s="598"/>
      <c r="V194" s="703" t="str">
        <f>IF(OR(F194="",G194="",U194=""),"",IF(C194="売",(F194-U194)*G194,(U194-F194)*G194))</f>
        <v/>
      </c>
      <c r="W194" s="480" t="str">
        <f>IF(OR($E194="",$B194=""),"",IF($T194&lt;&gt;"",$T194-$E194,TODAY()-$E194)+1)</f>
        <v/>
      </c>
      <c r="X194" s="480" t="str">
        <f>IF(OR($AH194="",$AH194="保有中"),"",$AH194)</f>
        <v/>
      </c>
      <c r="Y194" s="488"/>
      <c r="Z194" s="710"/>
      <c r="AD194" s="608"/>
      <c r="AE194" s="600" t="str">
        <f>IF($E194="","",WORKDAY($E194,12))</f>
        <v/>
      </c>
      <c r="AF194" s="600" t="str" cm="1">
        <f t="array" aca="1" ref="AF194" ca="1">IF(OR($B194="",$M194=""),"",IFERROR(IF($C194="売",_xlfn.MINIFS(安値!$E$3:$IT$3,安値!$E$3:$IT$3,"&gt;"&amp;$E194,安値!$E$3:$IT$3,"&lt;="&amp;$AE194,OFFSET(安値!$E$6:$IT$6,MATCH(TEXT($B194,"0"),TEXT(銘柄管理!$B$6:$B$305,"0"),0)-1,0),"&lt;="&amp;$M194),_xlfn.MINIFS(高値!$E$3:$IT$3,高値!$E$3:$IT$3,"&gt;"&amp;$E194,高値!$E$3:$IT$3,"&lt;="&amp;$AE194,OFFSET(高値!$E$6:$IT$6,MATCH(TEXT($B194,"0"),TEXT(銘柄管理!$B$6:$B$305,"0"),0)-1,0),"&gt;="&amp;$M194)),""))</f>
        <v/>
      </c>
      <c r="AG194" s="600" t="str" cm="1">
        <f t="array" aca="1" ref="AG194" ca="1">IF(OR($B194="",$N194=""),"",IFERROR(IF($C194="売",_xlfn.MINIFS(高値!$E$3:$IT$3,高値!$E$3:$IT$3,"&gt;"&amp;$E194,高値!$E$3:$IT$3,"&lt;="&amp;$AE194,OFFSET(高値!$E$6:$IT$6,MATCH(TEXT($B194,"0"),TEXT(銘柄管理!$B$6:$B$305,"0"),0)-1,0),"&gt;="&amp;$N194),_xlfn.MINIFS(安値!$E$3:$IT$3,安値!$E$3:$IT$3,"&gt;"&amp;$E194,安値!$E$3:$IT$3,"&lt;="&amp;$AE194,OFFSET(安値!$E$6:$IT$6,MATCH(TEXT($B194,"0"),TEXT(銘柄管理!$B$6:$B$305,"0"),0)-1,0),"&lt;="&amp;$N194)),""))</f>
        <v/>
      </c>
      <c r="AH194" s="600" t="str">
        <f>IF(OR($B194="",$M194=""),"",IF(AND(N($AF194)=0,N($AG194)=0),IF(AND(ISNUMBER($H194),$H194&gt;0,IF($C194="売",$H194&gt;=$N194,$H194&lt;=$N194)),"損切確定",IF(AND(ISNUMBER($H194),$H194&gt;0,IF($C194="売",$H194&lt;=$M194,$H194&gt;=$M194)),"利益確定",IF($AE194&lt;=TODAY(),"日数制限","保有中"))),IF(N($AG194)=0,"利益確定",IF(N($AF194)=0,"損切確定",IF($AG194&lt;=$AF194,"損切確定","利益確定")))))</f>
        <v/>
      </c>
      <c r="AI194" s="600" t="str" cm="1">
        <f t="array" ref="AI194">IFERROR(INDEX(始値!$E$6:$IT$305,MATCH(TEXT($B194,"0"),TEXT(銘柄管理!$B$6:$B$305,"0"),0),MATCH($AE194,始値!$E$3:$IT$3,0)),"")</f>
        <v/>
      </c>
      <c r="AJ194" s="608" t="str">
        <f>IF(OR($V194="",$F194="",$G194=""),"",$V194/($F194*$G194))</f>
        <v/>
      </c>
      <c r="AK194" s="600" t="str">
        <f>IF($V194="","",IF($V194&gt;0,"○勝",IF($V194&lt;0,"●負","△引分")))</f>
        <v/>
      </c>
    </row>
    <row r="195" spans="1:37" ht="17.25" customHeight="1">
      <c r="A195" s="621" t="str">
        <f>IF(B195="","",HYPERLINK("https://kabutan.jp/stock/?code="&amp;B195,"株探"))</f>
        <v/>
      </c>
      <c r="B195" s="480"/>
      <c r="C195" s="480"/>
      <c r="D195" s="480" t="str" cm="1">
        <f t="array" ref="D195">_xll.RssMarket(B195, "銘柄名称")</f>
        <v/>
      </c>
      <c r="E195" s="717"/>
      <c r="F195" s="698" t="str" cm="1">
        <f t="array" aca="1" ref="F195" ca="1">IFERROR(_xlfn.LET(_xlpm.r,MATCH(TEXT($B195,"0"),TEXT(銘柄管理!$B$6:$B$305,"0"),0),_xlpm.t,MOD(NOW(),1),_xlpm.c,IF($E195=TODAY(),IF(_xlpm.t&gt;=TIME(15,30,0),NA(),1),IF(MATCH($E195,始値!$E$3:$IT$3,0)=1,1,MATCH($E195,始値!$E$3:$IT$3,0)+1)),_xlpm.v,INDEX(始値!$C$6:$IT$305,_xlpm.r,_xlpm.c),IF(N(_xlpm.v)=0,"",_xlpm.v)),"")</f>
        <v/>
      </c>
      <c r="G195" s="480"/>
      <c r="H195" s="480" t="str" cm="1">
        <f t="array" ref="H195">_xll.RssMarket(B195, "現在値")</f>
        <v/>
      </c>
      <c r="I195" s="480" t="str" cm="1">
        <f t="array" ref="I195">_xll.RssMarket(B195, "出来高加重平均")</f>
        <v/>
      </c>
      <c r="J195" s="702" t="str" cm="1">
        <f t="array" ref="J195">_xll.RssMarket($B195, "前日比")</f>
        <v/>
      </c>
      <c r="K195" s="703" t="str">
        <f>IF(OR(F195="",G195="",H195=""),"",IF(C195="売",(F195-H195)*G195,(H195-F195)*G195))</f>
        <v/>
      </c>
      <c r="L195" s="708" t="str">
        <f>IF(OR(F195="",H195=""),"",IF(C195="売",(F195-H195)/F195,(H195-F195)/F195))</f>
        <v/>
      </c>
      <c r="M195" s="598" t="str">
        <f>IF($F195="","",$F195*IF($C195="売",1-V811設定!$B$4,1+V811設定!$B$4)-MOD($F195*IF($C195="売",1-V811設定!$B$4,1+V811設定!$B$4),IF($F195&lt;=3000,1,IF($F195&lt;=5000,5,IF($F195&lt;=30000,10,IF($F195&lt;=50000,50,IF($F195&lt;=300000,100,500))))))+IF(AND($C195="売",MOD($F195*IF($C195="売",1-V811設定!$B$4,1+V811設定!$B$4),IF($F195&lt;=3000,1,IF($F195&lt;=5000,5,IF($F195&lt;=30000,10,IF($F195&lt;=50000,50,IF($F195&lt;=300000,100,500))))))&gt;0),IF($F195&lt;=3000,1,IF($F195&lt;=5000,5,IF($F195&lt;=30000,10,IF($F195&lt;=50000,50,IF($F195&lt;=300000,100,500))))),0))</f>
      </c>
      <c r="N195" s="598" t="str">
        <f>IF($F195="","",$F195*IF($C195="売",1+V811設定!$B$3,1-V811設定!$B$3)-MOD($F195*IF($C195="売",1+V811設定!$B$3,1-V811設定!$B$3),IF($F195&lt;=3000,1,IF($F195&lt;=5000,5,IF($F195&lt;=30000,10,IF($F195&lt;=50000,50,IF($F195&lt;=300000,100,500))))))+IF(AND($C195="売",MOD($F195*IF($C195="売",1+V811設定!$B$3,1-V811設定!$B$3),IF($F195&lt;=3000,1,IF($F195&lt;=5000,5,IF($F195&lt;=30000,10,IF($F195&lt;=50000,50,IF($F195&lt;=300000,100,500))))))&gt;0),IF($F195&lt;=3000,1,IF($F195&lt;=5000,5,IF($F195&lt;=30000,10,IF($F195&lt;=50000,50,IF($F195&lt;=300000,100,500))))),0))</f>
      </c>
      <c r="O195" s="478" t="str">
        <f>IF(OR($B195="",$F195="",$H195=""),"",IF($S195="✅売却済","―決済済―",IF($C195="売",IF($H195&lt;=$M195,"🟢利確",IF(AND($R195&lt;&gt;"",$H195&gt;=$R195),"🟠TRAIL",IF($H195&gt;=$N195,"🔴損切",IF($W195&gt;=V811設定!$B$6,"⏱時間決済",IF($H195&gt;=$F195*(1+V811設定!$B$3*0.7),"⚠️損切接近","保持継続"))))),IF($H195&gt;=$M195,"🟢利確",IF(AND($R195&lt;&gt;"",$H195&lt;=$R195),"🟠TRAIL",IF($H195&lt;=$N195,"🔴損切",IF($W195&gt;=V811設定!$B$6,"⏱時間決済",IF($H195&lt;=$F195*(1-V811設定!$B$3*0.7),"⚠️損切接近","保持継続"))))))))</f>
      </c>
      <c r="P195" s="445"/>
      <c r="Q195" s="445"/>
      <c r="R195" s="480" t="str">
        <f>IF(OR($F195="",$H195="",$N195=""),"",IF($S195="✅売却済","",IF($C195="売",IF($H195&gt;$F195*(1-V811設定!$B$3),$N195,MIN($N195,IF($Q195="",$N195,$Q195*1.03))),IF($H195&lt;$F195*(1+V811設定!$B$3),$N195,MAX($N195,IF($P195="",$N195,$P195*0.97))))))</f>
      </c>
      <c r="S195" s="480" t="str">
        <f>IF(B195="","",IF(T195&lt;&gt;"","✅売却済",IF(OR(H195="",L195=""),"📌保有中",IF(L195&gt;=0.06,"🟢利確推奨",IF(L195&gt;=0.05,"🟡利確直近",IF(L195&gt;=0.045,"🔵トレーリング検討",IF(L195&gt;-0.03,"📌保有中",IF(L195&gt;-0.04,"⚠️損切注意","🔴損切り"))))))))</f>
        <v/>
      </c>
      <c r="T195" s="596"/>
      <c r="U195" s="598"/>
      <c r="V195" s="703" t="str">
        <f>IF(OR(F195="",G195="",U195=""),"",IF(C195="売",(F195-U195)*G195,(U195-F195)*G195))</f>
        <v/>
      </c>
      <c r="W195" s="480" t="str">
        <f>IF(OR($E195="",$B195=""),"",IF($T195&lt;&gt;"",$T195-$E195,TODAY()-$E195)+1)</f>
        <v/>
      </c>
      <c r="X195" s="480" t="str">
        <f>IF(OR($AH195="",$AH195="保有中"),"",$AH195)</f>
        <v/>
      </c>
      <c r="Y195" s="488"/>
      <c r="Z195" s="710"/>
      <c r="AD195" s="608"/>
      <c r="AE195" s="600" t="str">
        <f>IF($E195="","",WORKDAY($E195,12))</f>
        <v/>
      </c>
      <c r="AF195" s="600" t="str" cm="1">
        <f t="array" aca="1" ref="AF195" ca="1">IF(OR($B195="",$M195=""),"",IFERROR(IF($C195="売",_xlfn.MINIFS(安値!$E$3:$IT$3,安値!$E$3:$IT$3,"&gt;"&amp;$E195,安値!$E$3:$IT$3,"&lt;="&amp;$AE195,OFFSET(安値!$E$6:$IT$6,MATCH(TEXT($B195,"0"),TEXT(銘柄管理!$B$6:$B$305,"0"),0)-1,0),"&lt;="&amp;$M195),_xlfn.MINIFS(高値!$E$3:$IT$3,高値!$E$3:$IT$3,"&gt;"&amp;$E195,高値!$E$3:$IT$3,"&lt;="&amp;$AE195,OFFSET(高値!$E$6:$IT$6,MATCH(TEXT($B195,"0"),TEXT(銘柄管理!$B$6:$B$305,"0"),0)-1,0),"&gt;="&amp;$M195)),""))</f>
        <v/>
      </c>
      <c r="AG195" s="600" t="str" cm="1">
        <f t="array" aca="1" ref="AG195" ca="1">IF(OR($B195="",$N195=""),"",IFERROR(IF($C195="売",_xlfn.MINIFS(高値!$E$3:$IT$3,高値!$E$3:$IT$3,"&gt;"&amp;$E195,高値!$E$3:$IT$3,"&lt;="&amp;$AE195,OFFSET(高値!$E$6:$IT$6,MATCH(TEXT($B195,"0"),TEXT(銘柄管理!$B$6:$B$305,"0"),0)-1,0),"&gt;="&amp;$N195),_xlfn.MINIFS(安値!$E$3:$IT$3,安値!$E$3:$IT$3,"&gt;"&amp;$E195,安値!$E$3:$IT$3,"&lt;="&amp;$AE195,OFFSET(安値!$E$6:$IT$6,MATCH(TEXT($B195,"0"),TEXT(銘柄管理!$B$6:$B$305,"0"),0)-1,0),"&lt;="&amp;$N195)),""))</f>
        <v/>
      </c>
      <c r="AH195" s="600" t="str">
        <f>IF(OR($B195="",$M195=""),"",IF(AND(N($AF195)=0,N($AG195)=0),IF(AND(ISNUMBER($H195),$H195&gt;0,IF($C195="売",$H195&gt;=$N195,$H195&lt;=$N195)),"損切確定",IF(AND(ISNUMBER($H195),$H195&gt;0,IF($C195="売",$H195&lt;=$M195,$H195&gt;=$M195)),"利益確定",IF($AE195&lt;=TODAY(),"日数制限","保有中"))),IF(N($AG195)=0,"利益確定",IF(N($AF195)=0,"損切確定",IF($AG195&lt;=$AF195,"損切確定","利益確定")))))</f>
        <v/>
      </c>
      <c r="AI195" s="600" t="str" cm="1">
        <f t="array" ref="AI195">IFERROR(INDEX(始値!$E$6:$IT$305,MATCH(TEXT($B195,"0"),TEXT(銘柄管理!$B$6:$B$305,"0"),0),MATCH($AE195,始値!$E$3:$IT$3,0)),"")</f>
        <v/>
      </c>
      <c r="AJ195" s="608" t="str">
        <f>IF(OR($V195="",$F195="",$G195=""),"",$V195/($F195*$G195))</f>
        <v/>
      </c>
      <c r="AK195" s="600" t="str">
        <f>IF($V195="","",IF($V195&gt;0,"○勝",IF($V195&lt;0,"●負","△引分")))</f>
        <v/>
      </c>
    </row>
    <row r="196" spans="1:37" ht="17.25" customHeight="1">
      <c r="A196" s="621" t="str">
        <f>IF(B196="","",HYPERLINK("https://kabutan.jp/stock/?code="&amp;B196,"株探"))</f>
        <v/>
      </c>
      <c r="B196" s="480"/>
      <c r="C196" s="480"/>
      <c r="D196" s="480" t="str" cm="1">
        <f t="array" ref="D196">_xll.RssMarket(B196, "銘柄名称")</f>
        <v/>
      </c>
      <c r="E196" s="717"/>
      <c r="F196" s="698" t="str" cm="1">
        <f t="array" aca="1" ref="F196" ca="1">IFERROR(_xlfn.LET(_xlpm.r,MATCH(TEXT($B196,"0"),TEXT(銘柄管理!$B$6:$B$305,"0"),0),_xlpm.t,MOD(NOW(),1),_xlpm.c,IF($E196=TODAY(),IF(_xlpm.t&gt;=TIME(15,30,0),NA(),1),IF(MATCH($E196,始値!$E$3:$IT$3,0)=1,1,MATCH($E196,始値!$E$3:$IT$3,0)+1)),_xlpm.v,INDEX(始値!$C$6:$IT$305,_xlpm.r,_xlpm.c),IF(N(_xlpm.v)=0,"",_xlpm.v)),"")</f>
        <v/>
      </c>
      <c r="G196" s="480"/>
      <c r="H196" s="480" t="str" cm="1">
        <f t="array" ref="H196">_xll.RssMarket(B196, "現在値")</f>
        <v/>
      </c>
      <c r="I196" s="480" t="str" cm="1">
        <f t="array" ref="I196">_xll.RssMarket(B196, "出来高加重平均")</f>
        <v/>
      </c>
      <c r="J196" s="702" t="str" cm="1">
        <f t="array" ref="J196">_xll.RssMarket($B196, "前日比")</f>
        <v/>
      </c>
      <c r="K196" s="703" t="str">
        <f>IF(OR(F196="",G196="",H196=""),"",IF(C196="売",(F196-H196)*G196,(H196-F196)*G196))</f>
        <v/>
      </c>
      <c r="L196" s="708" t="str">
        <f>IF(OR(F196="",H196=""),"",IF(C196="売",(F196-H196)/F196,(H196-F196)/F196))</f>
        <v/>
      </c>
      <c r="M196" s="598" t="str">
        <f>IF($F196="","",$F196*IF($C196="売",1-V811設定!$B$4,1+V811設定!$B$4)-MOD($F196*IF($C196="売",1-V811設定!$B$4,1+V811設定!$B$4),IF($F196&lt;=3000,1,IF($F196&lt;=5000,5,IF($F196&lt;=30000,10,IF($F196&lt;=50000,50,IF($F196&lt;=300000,100,500))))))+IF(AND($C196="売",MOD($F196*IF($C196="売",1-V811設定!$B$4,1+V811設定!$B$4),IF($F196&lt;=3000,1,IF($F196&lt;=5000,5,IF($F196&lt;=30000,10,IF($F196&lt;=50000,50,IF($F196&lt;=300000,100,500))))))&gt;0),IF($F196&lt;=3000,1,IF($F196&lt;=5000,5,IF($F196&lt;=30000,10,IF($F196&lt;=50000,50,IF($F196&lt;=300000,100,500))))),0))</f>
      </c>
      <c r="N196" s="598" t="str">
        <f>IF($F196="","",$F196*IF($C196="売",1+V811設定!$B$3,1-V811設定!$B$3)-MOD($F196*IF($C196="売",1+V811設定!$B$3,1-V811設定!$B$3),IF($F196&lt;=3000,1,IF($F196&lt;=5000,5,IF($F196&lt;=30000,10,IF($F196&lt;=50000,50,IF($F196&lt;=300000,100,500))))))+IF(AND($C196="売",MOD($F196*IF($C196="売",1+V811設定!$B$3,1-V811設定!$B$3),IF($F196&lt;=3000,1,IF($F196&lt;=5000,5,IF($F196&lt;=30000,10,IF($F196&lt;=50000,50,IF($F196&lt;=300000,100,500))))))&gt;0),IF($F196&lt;=3000,1,IF($F196&lt;=5000,5,IF($F196&lt;=30000,10,IF($F196&lt;=50000,50,IF($F196&lt;=300000,100,500))))),0))</f>
      </c>
      <c r="O196" s="478" t="str">
        <f>IF(OR($B196="",$F196="",$H196=""),"",IF($S196="✅売却済","―決済済―",IF($C196="売",IF($H196&lt;=$M196,"🟢利確",IF(AND($R196&lt;&gt;"",$H196&gt;=$R196),"🟠TRAIL",IF($H196&gt;=$N196,"🔴損切",IF($W196&gt;=V811設定!$B$6,"⏱時間決済",IF($H196&gt;=$F196*(1+V811設定!$B$3*0.7),"⚠️損切接近","保持継続"))))),IF($H196&gt;=$M196,"🟢利確",IF(AND($R196&lt;&gt;"",$H196&lt;=$R196),"🟠TRAIL",IF($H196&lt;=$N196,"🔴損切",IF($W196&gt;=V811設定!$B$6,"⏱時間決済",IF($H196&lt;=$F196*(1-V811設定!$B$3*0.7),"⚠️損切接近","保持継続"))))))))</f>
      </c>
      <c r="P196" s="445"/>
      <c r="Q196" s="445"/>
      <c r="R196" s="480" t="str">
        <f>IF(OR($F196="",$H196="",$N196=""),"",IF($S196="✅売却済","",IF($C196="売",IF($H196&gt;$F196*(1-V811設定!$B$3),$N196,MIN($N196,IF($Q196="",$N196,$Q196*1.03))),IF($H196&lt;$F196*(1+V811設定!$B$3),$N196,MAX($N196,IF($P196="",$N196,$P196*0.97))))))</f>
      </c>
      <c r="S196" s="480" t="str">
        <f>IF(B196="","",IF(T196&lt;&gt;"","✅売却済",IF(OR(H196="",L196=""),"📌保有中",IF(L196&gt;=0.06,"🟢利確推奨",IF(L196&gt;=0.05,"🟡利確直近",IF(L196&gt;=0.045,"🔵トレーリング検討",IF(L196&gt;-0.03,"📌保有中",IF(L196&gt;-0.04,"⚠️損切注意","🔴損切り"))))))))</f>
        <v/>
      </c>
      <c r="T196" s="596"/>
      <c r="U196" s="598"/>
      <c r="V196" s="703" t="str">
        <f>IF(OR(F196="",G196="",U196=""),"",IF(C196="売",(F196-U196)*G196,(U196-F196)*G196))</f>
        <v/>
      </c>
      <c r="W196" s="480" t="str">
        <f>IF(OR($E196="",$B196=""),"",IF($T196&lt;&gt;"",$T196-$E196,TODAY()-$E196)+1)</f>
        <v/>
      </c>
      <c r="X196" s="480" t="str">
        <f>IF(OR($AH196="",$AH196="保有中"),"",$AH196)</f>
        <v/>
      </c>
      <c r="Y196" s="488"/>
      <c r="Z196" s="710"/>
      <c r="AD196" s="608"/>
      <c r="AE196" s="600" t="str">
        <f>IF($E196="","",WORKDAY($E196,12))</f>
        <v/>
      </c>
      <c r="AF196" s="600" t="str" cm="1">
        <f t="array" aca="1" ref="AF196" ca="1">IF(OR($B196="",$M196=""),"",IFERROR(IF($C196="売",_xlfn.MINIFS(安値!$E$3:$IT$3,安値!$E$3:$IT$3,"&gt;"&amp;$E196,安値!$E$3:$IT$3,"&lt;="&amp;$AE196,OFFSET(安値!$E$6:$IT$6,MATCH(TEXT($B196,"0"),TEXT(銘柄管理!$B$6:$B$305,"0"),0)-1,0),"&lt;="&amp;$M196),_xlfn.MINIFS(高値!$E$3:$IT$3,高値!$E$3:$IT$3,"&gt;"&amp;$E196,高値!$E$3:$IT$3,"&lt;="&amp;$AE196,OFFSET(高値!$E$6:$IT$6,MATCH(TEXT($B196,"0"),TEXT(銘柄管理!$B$6:$B$305,"0"),0)-1,0),"&gt;="&amp;$M196)),""))</f>
        <v/>
      </c>
      <c r="AG196" s="600" t="str" cm="1">
        <f t="array" aca="1" ref="AG196" ca="1">IF(OR($B196="",$N196=""),"",IFERROR(IF($C196="売",_xlfn.MINIFS(高値!$E$3:$IT$3,高値!$E$3:$IT$3,"&gt;"&amp;$E196,高値!$E$3:$IT$3,"&lt;="&amp;$AE196,OFFSET(高値!$E$6:$IT$6,MATCH(TEXT($B196,"0"),TEXT(銘柄管理!$B$6:$B$305,"0"),0)-1,0),"&gt;="&amp;$N196),_xlfn.MINIFS(安値!$E$3:$IT$3,安値!$E$3:$IT$3,"&gt;"&amp;$E196,安値!$E$3:$IT$3,"&lt;="&amp;$AE196,OFFSET(安値!$E$6:$IT$6,MATCH(TEXT($B196,"0"),TEXT(銘柄管理!$B$6:$B$305,"0"),0)-1,0),"&lt;="&amp;$N196)),""))</f>
        <v/>
      </c>
      <c r="AH196" s="600" t="str">
        <f>IF(OR($B196="",$M196=""),"",IF(AND(N($AF196)=0,N($AG196)=0),IF(AND(ISNUMBER($H196),$H196&gt;0,IF($C196="売",$H196&gt;=$N196,$H196&lt;=$N196)),"損切確定",IF(AND(ISNUMBER($H196),$H196&gt;0,IF($C196="売",$H196&lt;=$M196,$H196&gt;=$M196)),"利益確定",IF($AE196&lt;=TODAY(),"日数制限","保有中"))),IF(N($AG196)=0,"利益確定",IF(N($AF196)=0,"損切確定",IF($AG196&lt;=$AF196,"損切確定","利益確定")))))</f>
        <v/>
      </c>
      <c r="AI196" s="600" t="str" cm="1">
        <f t="array" ref="AI196">IFERROR(INDEX(始値!$E$6:$IT$305,MATCH(TEXT($B196,"0"),TEXT(銘柄管理!$B$6:$B$305,"0"),0),MATCH($AE196,始値!$E$3:$IT$3,0)),"")</f>
        <v/>
      </c>
      <c r="AJ196" s="608" t="str">
        <f>IF(OR($V196="",$F196="",$G196=""),"",$V196/($F196*$G196))</f>
        <v/>
      </c>
      <c r="AK196" s="600" t="str">
        <f>IF($V196="","",IF($V196&gt;0,"○勝",IF($V196&lt;0,"●負","△引分")))</f>
        <v/>
      </c>
    </row>
    <row r="197" spans="1:37" ht="17.25" customHeight="1">
      <c r="A197" s="621" t="str">
        <f>IF(B197="","",HYPERLINK("https://kabutan.jp/stock/?code="&amp;B197,"株探"))</f>
        <v/>
      </c>
      <c r="B197" s="480"/>
      <c r="C197" s="480"/>
      <c r="D197" s="480" t="str" cm="1">
        <f t="array" ref="D197">_xll.RssMarket(B197, "銘柄名称")</f>
        <v/>
      </c>
      <c r="E197" s="717"/>
      <c r="F197" s="698" t="str" cm="1">
        <f t="array" aca="1" ref="F197" ca="1">IFERROR(_xlfn.LET(_xlpm.r,MATCH(TEXT($B197,"0"),TEXT(銘柄管理!$B$6:$B$305,"0"),0),_xlpm.t,MOD(NOW(),1),_xlpm.c,IF($E197=TODAY(),IF(_xlpm.t&gt;=TIME(15,30,0),NA(),1),IF(MATCH($E197,始値!$E$3:$IT$3,0)=1,1,MATCH($E197,始値!$E$3:$IT$3,0)+1)),_xlpm.v,INDEX(始値!$C$6:$IT$305,_xlpm.r,_xlpm.c),IF(N(_xlpm.v)=0,"",_xlpm.v)),"")</f>
        <v/>
      </c>
      <c r="G197" s="480"/>
      <c r="H197" s="480" t="str" cm="1">
        <f t="array" ref="H197">_xll.RssMarket(B197, "現在値")</f>
        <v/>
      </c>
      <c r="I197" s="480" t="str" cm="1">
        <f t="array" ref="I197">_xll.RssMarket(B197, "出来高加重平均")</f>
        <v/>
      </c>
      <c r="J197" s="702" t="str" cm="1">
        <f t="array" ref="J197">_xll.RssMarket($B197, "前日比")</f>
        <v/>
      </c>
      <c r="K197" s="703" t="str">
        <f>IF(OR(F197="",G197="",H197=""),"",IF(C197="売",(F197-H197)*G197,(H197-F197)*G197))</f>
        <v/>
      </c>
      <c r="L197" s="708" t="str">
        <f>IF(OR(F197="",H197=""),"",IF(C197="売",(F197-H197)/F197,(H197-F197)/F197))</f>
        <v/>
      </c>
      <c r="M197" s="598" t="str">
        <f>IF($F197="","",$F197*IF($C197="売",1-V811設定!$B$4,1+V811設定!$B$4)-MOD($F197*IF($C197="売",1-V811設定!$B$4,1+V811設定!$B$4),IF($F197&lt;=3000,1,IF($F197&lt;=5000,5,IF($F197&lt;=30000,10,IF($F197&lt;=50000,50,IF($F197&lt;=300000,100,500))))))+IF(AND($C197="売",MOD($F197*IF($C197="売",1-V811設定!$B$4,1+V811設定!$B$4),IF($F197&lt;=3000,1,IF($F197&lt;=5000,5,IF($F197&lt;=30000,10,IF($F197&lt;=50000,50,IF($F197&lt;=300000,100,500))))))&gt;0),IF($F197&lt;=3000,1,IF($F197&lt;=5000,5,IF($F197&lt;=30000,10,IF($F197&lt;=50000,50,IF($F197&lt;=300000,100,500))))),0))</f>
      </c>
      <c r="N197" s="598" t="str">
        <f>IF($F197="","",$F197*IF($C197="売",1+V811設定!$B$3,1-V811設定!$B$3)-MOD($F197*IF($C197="売",1+V811設定!$B$3,1-V811設定!$B$3),IF($F197&lt;=3000,1,IF($F197&lt;=5000,5,IF($F197&lt;=30000,10,IF($F197&lt;=50000,50,IF($F197&lt;=300000,100,500))))))+IF(AND($C197="売",MOD($F197*IF($C197="売",1+V811設定!$B$3,1-V811設定!$B$3),IF($F197&lt;=3000,1,IF($F197&lt;=5000,5,IF($F197&lt;=30000,10,IF($F197&lt;=50000,50,IF($F197&lt;=300000,100,500))))))&gt;0),IF($F197&lt;=3000,1,IF($F197&lt;=5000,5,IF($F197&lt;=30000,10,IF($F197&lt;=50000,50,IF($F197&lt;=300000,100,500))))),0))</f>
      </c>
      <c r="O197" s="478" t="str">
        <f>IF(OR($B197="",$F197="",$H197=""),"",IF($S197="✅売却済","―決済済―",IF($C197="売",IF($H197&lt;=$M197,"🟢利確",IF(AND($R197&lt;&gt;"",$H197&gt;=$R197),"🟠TRAIL",IF($H197&gt;=$N197,"🔴損切",IF($W197&gt;=V811設定!$B$6,"⏱時間決済",IF($H197&gt;=$F197*(1+V811設定!$B$3*0.7),"⚠️損切接近","保持継続"))))),IF($H197&gt;=$M197,"🟢利確",IF(AND($R197&lt;&gt;"",$H197&lt;=$R197),"🟠TRAIL",IF($H197&lt;=$N197,"🔴損切",IF($W197&gt;=V811設定!$B$6,"⏱時間決済",IF($H197&lt;=$F197*(1-V811設定!$B$3*0.7),"⚠️損切接近","保持継続"))))))))</f>
      </c>
      <c r="P197" s="445"/>
      <c r="Q197" s="445"/>
      <c r="R197" s="480" t="str">
        <f>IF(OR($F197="",$H197="",$N197=""),"",IF($S197="✅売却済","",IF($C197="売",IF($H197&gt;$F197*(1-V811設定!$B$3),$N197,MIN($N197,IF($Q197="",$N197,$Q197*1.03))),IF($H197&lt;$F197*(1+V811設定!$B$3),$N197,MAX($N197,IF($P197="",$N197,$P197*0.97))))))</f>
      </c>
      <c r="S197" s="480" t="str">
        <f>IF(B197="","",IF(T197&lt;&gt;"","✅売却済",IF(OR(H197="",L197=""),"📌保有中",IF(L197&gt;=0.06,"🟢利確推奨",IF(L197&gt;=0.05,"🟡利確直近",IF(L197&gt;=0.045,"🔵トレーリング検討",IF(L197&gt;-0.03,"📌保有中",IF(L197&gt;-0.04,"⚠️損切注意","🔴損切り"))))))))</f>
        <v/>
      </c>
      <c r="T197" s="596"/>
      <c r="U197" s="598"/>
      <c r="V197" s="703" t="str">
        <f>IF(OR(F197="",G197="",U197=""),"",IF(C197="売",(F197-U197)*G197,(U197-F197)*G197))</f>
        <v/>
      </c>
      <c r="W197" s="480" t="str">
        <f>IF(OR($E197="",$B197=""),"",IF($T197&lt;&gt;"",$T197-$E197,TODAY()-$E197)+1)</f>
        <v/>
      </c>
      <c r="X197" s="480" t="str">
        <f>IF(OR($AH197="",$AH197="保有中"),"",$AH197)</f>
        <v/>
      </c>
      <c r="Y197" s="488"/>
      <c r="Z197" s="710"/>
      <c r="AD197" s="608"/>
      <c r="AE197" s="600" t="str">
        <f>IF($E197="","",WORKDAY($E197,12))</f>
        <v/>
      </c>
      <c r="AF197" s="600" t="str" cm="1">
        <f t="array" aca="1" ref="AF197" ca="1">IF(OR($B197="",$M197=""),"",IFERROR(IF($C197="売",_xlfn.MINIFS(安値!$E$3:$IT$3,安値!$E$3:$IT$3,"&gt;"&amp;$E197,安値!$E$3:$IT$3,"&lt;="&amp;$AE197,OFFSET(安値!$E$6:$IT$6,MATCH(TEXT($B197,"0"),TEXT(銘柄管理!$B$6:$B$305,"0"),0)-1,0),"&lt;="&amp;$M197),_xlfn.MINIFS(高値!$E$3:$IT$3,高値!$E$3:$IT$3,"&gt;"&amp;$E197,高値!$E$3:$IT$3,"&lt;="&amp;$AE197,OFFSET(高値!$E$6:$IT$6,MATCH(TEXT($B197,"0"),TEXT(銘柄管理!$B$6:$B$305,"0"),0)-1,0),"&gt;="&amp;$M197)),""))</f>
        <v/>
      </c>
      <c r="AG197" s="600" t="str" cm="1">
        <f t="array" aca="1" ref="AG197" ca="1">IF(OR($B197="",$N197=""),"",IFERROR(IF($C197="売",_xlfn.MINIFS(高値!$E$3:$IT$3,高値!$E$3:$IT$3,"&gt;"&amp;$E197,高値!$E$3:$IT$3,"&lt;="&amp;$AE197,OFFSET(高値!$E$6:$IT$6,MATCH(TEXT($B197,"0"),TEXT(銘柄管理!$B$6:$B$305,"0"),0)-1,0),"&gt;="&amp;$N197),_xlfn.MINIFS(安値!$E$3:$IT$3,安値!$E$3:$IT$3,"&gt;"&amp;$E197,安値!$E$3:$IT$3,"&lt;="&amp;$AE197,OFFSET(安値!$E$6:$IT$6,MATCH(TEXT($B197,"0"),TEXT(銘柄管理!$B$6:$B$305,"0"),0)-1,0),"&lt;="&amp;$N197)),""))</f>
        <v/>
      </c>
      <c r="AH197" s="600" t="str">
        <f>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00" t="str" cm="1">
        <f t="array" ref="AI197">IFERROR(INDEX(始値!$E$6:$IT$305,MATCH(TEXT($B197,"0"),TEXT(銘柄管理!$B$6:$B$305,"0"),0),MATCH($AE197,始値!$E$3:$IT$3,0)),"")</f>
        <v/>
      </c>
      <c r="AJ197" s="608" t="str">
        <f>IF(OR($V197="",$F197="",$G197=""),"",$V197/($F197*$G197))</f>
        <v/>
      </c>
      <c r="AK197" s="600" t="str">
        <f>IF($V197="","",IF($V197&gt;0,"○勝",IF($V197&lt;0,"●負","△引分")))</f>
        <v/>
      </c>
    </row>
    <row r="198" spans="1:37" ht="17.25" customHeight="1">
      <c r="A198" s="621" t="str">
        <f>IF(B198="","",HYPERLINK("https://kabutan.jp/stock/?code="&amp;B198,"株探"))</f>
        <v/>
      </c>
      <c r="B198" s="480"/>
      <c r="C198" s="480"/>
      <c r="D198" s="480" t="str" cm="1">
        <f t="array" ref="D198">_xll.RssMarket(B198, "銘柄名称")</f>
        <v/>
      </c>
      <c r="E198" s="717"/>
      <c r="F198" s="698" t="str" cm="1">
        <f t="array" aca="1" ref="F198" ca="1">IFERROR(_xlfn.LET(_xlpm.r,MATCH(TEXT($B198,"0"),TEXT(銘柄管理!$B$6:$B$305,"0"),0),_xlpm.t,MOD(NOW(),1),_xlpm.c,IF($E198=TODAY(),IF(_xlpm.t&gt;=TIME(15,30,0),NA(),1),IF(MATCH($E198,始値!$E$3:$IT$3,0)=1,1,MATCH($E198,始値!$E$3:$IT$3,0)+1)),_xlpm.v,INDEX(始値!$C$6:$IT$305,_xlpm.r,_xlpm.c),IF(N(_xlpm.v)=0,"",_xlpm.v)),"")</f>
        <v/>
      </c>
      <c r="G198" s="480"/>
      <c r="H198" s="480" t="str" cm="1">
        <f t="array" ref="H198">_xll.RssMarket(B198, "現在値")</f>
        <v/>
      </c>
      <c r="I198" s="480" t="str" cm="1">
        <f t="array" ref="I198">_xll.RssMarket(B198, "出来高加重平均")</f>
        <v/>
      </c>
      <c r="J198" s="702" t="str" cm="1">
        <f t="array" ref="J198">_xll.RssMarket($B198, "前日比")</f>
        <v/>
      </c>
      <c r="K198" s="703" t="str">
        <f>IF(OR(F198="",G198="",H198=""),"",IF(C198="売",(F198-H198)*G198,(H198-F198)*G198))</f>
        <v/>
      </c>
      <c r="L198" s="708" t="str">
        <f>IF(OR(F198="",H198=""),"",IF(C198="売",(F198-H198)/F198,(H198-F198)/F198))</f>
        <v/>
      </c>
      <c r="M198" s="598" t="str">
        <f>IF($F198="","",$F198*IF($C198="売",1-V811設定!$B$4,1+V811設定!$B$4)-MOD($F198*IF($C198="売",1-V811設定!$B$4,1+V811設定!$B$4),IF($F198&lt;=3000,1,IF($F198&lt;=5000,5,IF($F198&lt;=30000,10,IF($F198&lt;=50000,50,IF($F198&lt;=300000,100,500))))))+IF(AND($C198="売",MOD($F198*IF($C198="売",1-V811設定!$B$4,1+V811設定!$B$4),IF($F198&lt;=3000,1,IF($F198&lt;=5000,5,IF($F198&lt;=30000,10,IF($F198&lt;=50000,50,IF($F198&lt;=300000,100,500))))))&gt;0),IF($F198&lt;=3000,1,IF($F198&lt;=5000,5,IF($F198&lt;=30000,10,IF($F198&lt;=50000,50,IF($F198&lt;=300000,100,500))))),0))</f>
      </c>
      <c r="N198" s="598" t="str">
        <f>IF($F198="","",$F198*IF($C198="売",1+V811設定!$B$3,1-V811設定!$B$3)-MOD($F198*IF($C198="売",1+V811設定!$B$3,1-V811設定!$B$3),IF($F198&lt;=3000,1,IF($F198&lt;=5000,5,IF($F198&lt;=30000,10,IF($F198&lt;=50000,50,IF($F198&lt;=300000,100,500))))))+IF(AND($C198="売",MOD($F198*IF($C198="売",1+V811設定!$B$3,1-V811設定!$B$3),IF($F198&lt;=3000,1,IF($F198&lt;=5000,5,IF($F198&lt;=30000,10,IF($F198&lt;=50000,50,IF($F198&lt;=300000,100,500))))))&gt;0),IF($F198&lt;=3000,1,IF($F198&lt;=5000,5,IF($F198&lt;=30000,10,IF($F198&lt;=50000,50,IF($F198&lt;=300000,100,500))))),0))</f>
      </c>
      <c r="O198" s="478" t="str">
        <f>IF(OR($B198="",$F198="",$H198=""),"",IF($S198="✅売却済","―決済済―",IF($C198="売",IF($H198&lt;=$M198,"🟢利確",IF(AND($R198&lt;&gt;"",$H198&gt;=$R198),"🟠TRAIL",IF($H198&gt;=$N198,"🔴損切",IF($W198&gt;=V811設定!$B$6,"⏱時間決済",IF($H198&gt;=$F198*(1+V811設定!$B$3*0.7),"⚠️損切接近","保持継続"))))),IF($H198&gt;=$M198,"🟢利確",IF(AND($R198&lt;&gt;"",$H198&lt;=$R198),"🟠TRAIL",IF($H198&lt;=$N198,"🔴損切",IF($W198&gt;=V811設定!$B$6,"⏱時間決済",IF($H198&lt;=$F198*(1-V811設定!$B$3*0.7),"⚠️損切接近","保持継続"))))))))</f>
      </c>
      <c r="P198" s="445"/>
      <c r="Q198" s="445"/>
      <c r="R198" s="480" t="str">
        <f>IF(OR($F198="",$H198="",$N198=""),"",IF($S198="✅売却済","",IF($C198="売",IF($H198&gt;$F198*(1-V811設定!$B$3),$N198,MIN($N198,IF($Q198="",$N198,$Q198*1.03))),IF($H198&lt;$F198*(1+V811設定!$B$3),$N198,MAX($N198,IF($P198="",$N198,$P198*0.97))))))</f>
      </c>
      <c r="S198" s="480" t="str">
        <f>IF(B198="","",IF(T198&lt;&gt;"","✅売却済",IF(OR(H198="",L198=""),"📌保有中",IF(L198&gt;=0.06,"🟢利確推奨",IF(L198&gt;=0.05,"🟡利確直近",IF(L198&gt;=0.045,"🔵トレーリング検討",IF(L198&gt;-0.03,"📌保有中",IF(L198&gt;-0.04,"⚠️損切注意","🔴損切り"))))))))</f>
        <v/>
      </c>
      <c r="T198" s="596"/>
      <c r="U198" s="598"/>
      <c r="V198" s="703" t="str">
        <f>IF(OR(F198="",G198="",U198=""),"",IF(C198="売",(F198-U198)*G198,(U198-F198)*G198))</f>
        <v/>
      </c>
      <c r="W198" s="480" t="str">
        <f>IF(OR($E198="",$B198=""),"",IF($T198&lt;&gt;"",$T198-$E198,TODAY()-$E198)+1)</f>
        <v/>
      </c>
      <c r="X198" s="480" t="str">
        <f>IF(OR($AH198="",$AH198="保有中"),"",$AH198)</f>
        <v/>
      </c>
      <c r="Y198" s="488"/>
      <c r="Z198" s="710"/>
      <c r="AD198" s="608"/>
      <c r="AE198" s="600" t="str">
        <f>IF($E198="","",WORKDAY($E198,12))</f>
        <v/>
      </c>
      <c r="AF198" s="600" t="str" cm="1">
        <f t="array" aca="1" ref="AF198" ca="1">IF(OR($B198="",$M198=""),"",IFERROR(IF($C198="売",_xlfn.MINIFS(安値!$E$3:$IT$3,安値!$E$3:$IT$3,"&gt;"&amp;$E198,安値!$E$3:$IT$3,"&lt;="&amp;$AE198,OFFSET(安値!$E$6:$IT$6,MATCH(TEXT($B198,"0"),TEXT(銘柄管理!$B$6:$B$305,"0"),0)-1,0),"&lt;="&amp;$M198),_xlfn.MINIFS(高値!$E$3:$IT$3,高値!$E$3:$IT$3,"&gt;"&amp;$E198,高値!$E$3:$IT$3,"&lt;="&amp;$AE198,OFFSET(高値!$E$6:$IT$6,MATCH(TEXT($B198,"0"),TEXT(銘柄管理!$B$6:$B$305,"0"),0)-1,0),"&gt;="&amp;$M198)),""))</f>
        <v/>
      </c>
      <c r="AG198" s="600" t="str" cm="1">
        <f t="array" aca="1" ref="AG198" ca="1">IF(OR($B198="",$N198=""),"",IFERROR(IF($C198="売",_xlfn.MINIFS(高値!$E$3:$IT$3,高値!$E$3:$IT$3,"&gt;"&amp;$E198,高値!$E$3:$IT$3,"&lt;="&amp;$AE198,OFFSET(高値!$E$6:$IT$6,MATCH(TEXT($B198,"0"),TEXT(銘柄管理!$B$6:$B$305,"0"),0)-1,0),"&gt;="&amp;$N198),_xlfn.MINIFS(安値!$E$3:$IT$3,安値!$E$3:$IT$3,"&gt;"&amp;$E198,安値!$E$3:$IT$3,"&lt;="&amp;$AE198,OFFSET(安値!$E$6:$IT$6,MATCH(TEXT($B198,"0"),TEXT(銘柄管理!$B$6:$B$305,"0"),0)-1,0),"&lt;="&amp;$N198)),""))</f>
        <v/>
      </c>
      <c r="AH198" s="600" t="str">
        <f>IF(OR($B198="",$M198=""),"",IF(AND(N($AF198)=0,N($AG198)=0),IF(AND(ISNUMBER($H198),$H198&gt;0,IF($C198="売",$H198&gt;=$N198,$H198&lt;=$N198)),"損切確定",IF(AND(ISNUMBER($H198),$H198&gt;0,IF($C198="売",$H198&lt;=$M198,$H198&gt;=$M198)),"利益確定",IF($AE198&lt;=TODAY(),"日数制限","保有中"))),IF(N($AG198)=0,"利益確定",IF(N($AF198)=0,"損切確定",IF($AG198&lt;=$AF198,"損切確定","利益確定")))))</f>
        <v/>
      </c>
      <c r="AI198" s="600" t="str" cm="1">
        <f t="array" ref="AI198">IFERROR(INDEX(始値!$E$6:$IT$305,MATCH(TEXT($B198,"0"),TEXT(銘柄管理!$B$6:$B$305,"0"),0),MATCH($AE198,始値!$E$3:$IT$3,0)),"")</f>
        <v/>
      </c>
      <c r="AJ198" s="608" t="str">
        <f>IF(OR($V198="",$F198="",$G198=""),"",$V198/($F198*$G198))</f>
        <v/>
      </c>
      <c r="AK198" s="600" t="str">
        <f>IF($V198="","",IF($V198&gt;0,"○勝",IF($V198&lt;0,"●負","△引分")))</f>
        <v/>
      </c>
    </row>
    <row r="199" spans="1:37" ht="17.25" customHeight="1">
      <c r="A199" s="621" t="str">
        <f>IF(B199="","",HYPERLINK("https://kabutan.jp/stock/?code="&amp;B199,"株探"))</f>
        <v/>
      </c>
      <c r="B199" s="480"/>
      <c r="C199" s="480"/>
      <c r="D199" s="480" t="str" cm="1">
        <f t="array" ref="D199">_xll.RssMarket(B199, "銘柄名称")</f>
        <v/>
      </c>
      <c r="E199" s="717"/>
      <c r="F199" s="698" t="str" cm="1">
        <f t="array" aca="1" ref="F199" ca="1">IFERROR(_xlfn.LET(_xlpm.r,MATCH(TEXT($B199,"0"),TEXT(銘柄管理!$B$6:$B$305,"0"),0),_xlpm.t,MOD(NOW(),1),_xlpm.c,IF($E199=TODAY(),IF(_xlpm.t&gt;=TIME(15,30,0),NA(),1),IF(MATCH($E199,始値!$E$3:$IT$3,0)=1,1,MATCH($E199,始値!$E$3:$IT$3,0)+1)),_xlpm.v,INDEX(始値!$C$6:$IT$305,_xlpm.r,_xlpm.c),IF(N(_xlpm.v)=0,"",_xlpm.v)),"")</f>
        <v/>
      </c>
      <c r="G199" s="480"/>
      <c r="H199" s="480" t="str" cm="1">
        <f t="array" ref="H199">_xll.RssMarket(B199, "現在値")</f>
        <v/>
      </c>
      <c r="I199" s="480" t="str" cm="1">
        <f t="array" ref="I199">_xll.RssMarket(B199, "出来高加重平均")</f>
        <v/>
      </c>
      <c r="J199" s="702" t="str" cm="1">
        <f t="array" ref="J199">_xll.RssMarket($B199, "前日比")</f>
        <v/>
      </c>
      <c r="K199" s="703" t="str">
        <f>IF(OR(F199="",G199="",H199=""),"",IF(C199="売",(F199-H199)*G199,(H199-F199)*G199))</f>
        <v/>
      </c>
      <c r="L199" s="708" t="str">
        <f>IF(OR(F199="",H199=""),"",IF(C199="売",(F199-H199)/F199,(H199-F199)/F199))</f>
        <v/>
      </c>
      <c r="M199" s="598" t="str">
        <f>IF($F199="","",$F199*IF($C199="売",1-V811設定!$B$4,1+V811設定!$B$4)-MOD($F199*IF($C199="売",1-V811設定!$B$4,1+V811設定!$B$4),IF($F199&lt;=3000,1,IF($F199&lt;=5000,5,IF($F199&lt;=30000,10,IF($F199&lt;=50000,50,IF($F199&lt;=300000,100,500))))))+IF(AND($C199="売",MOD($F199*IF($C199="売",1-V811設定!$B$4,1+V811設定!$B$4),IF($F199&lt;=3000,1,IF($F199&lt;=5000,5,IF($F199&lt;=30000,10,IF($F199&lt;=50000,50,IF($F199&lt;=300000,100,500))))))&gt;0),IF($F199&lt;=3000,1,IF($F199&lt;=5000,5,IF($F199&lt;=30000,10,IF($F199&lt;=50000,50,IF($F199&lt;=300000,100,500))))),0))</f>
      </c>
      <c r="N199" s="598" t="str">
        <f>IF($F199="","",$F199*IF($C199="売",1+V811設定!$B$3,1-V811設定!$B$3)-MOD($F199*IF($C199="売",1+V811設定!$B$3,1-V811設定!$B$3),IF($F199&lt;=3000,1,IF($F199&lt;=5000,5,IF($F199&lt;=30000,10,IF($F199&lt;=50000,50,IF($F199&lt;=300000,100,500))))))+IF(AND($C199="売",MOD($F199*IF($C199="売",1+V811設定!$B$3,1-V811設定!$B$3),IF($F199&lt;=3000,1,IF($F199&lt;=5000,5,IF($F199&lt;=30000,10,IF($F199&lt;=50000,50,IF($F199&lt;=300000,100,500))))))&gt;0),IF($F199&lt;=3000,1,IF($F199&lt;=5000,5,IF($F199&lt;=30000,10,IF($F199&lt;=50000,50,IF($F199&lt;=300000,100,500))))),0))</f>
      </c>
      <c r="O199" s="478" t="str">
        <f>IF(OR($B199="",$F199="",$H199=""),"",IF($S199="✅売却済","―決済済―",IF($C199="売",IF($H199&lt;=$M199,"🟢利確",IF(AND($R199&lt;&gt;"",$H199&gt;=$R199),"🟠TRAIL",IF($H199&gt;=$N199,"🔴損切",IF($W199&gt;=V811設定!$B$6,"⏱時間決済",IF($H199&gt;=$F199*(1+V811設定!$B$3*0.7),"⚠️損切接近","保持継続"))))),IF($H199&gt;=$M199,"🟢利確",IF(AND($R199&lt;&gt;"",$H199&lt;=$R199),"🟠TRAIL",IF($H199&lt;=$N199,"🔴損切",IF($W199&gt;=V811設定!$B$6,"⏱時間決済",IF($H199&lt;=$F199*(1-V811設定!$B$3*0.7),"⚠️損切接近","保持継続"))))))))</f>
      </c>
      <c r="P199" s="445"/>
      <c r="Q199" s="445"/>
      <c r="R199" s="480" t="str">
        <f>IF(OR($F199="",$H199="",$N199=""),"",IF($S199="✅売却済","",IF($C199="売",IF($H199&gt;$F199*(1-V811設定!$B$3),$N199,MIN($N199,IF($Q199="",$N199,$Q199*1.03))),IF($H199&lt;$F199*(1+V811設定!$B$3),$N199,MAX($N199,IF($P199="",$N199,$P199*0.97))))))</f>
      </c>
      <c r="S199" s="480" t="str">
        <f>IF(B199="","",IF(T199&lt;&gt;"","✅売却済",IF(OR(H199="",L199=""),"📌保有中",IF(L199&gt;=0.06,"🟢利確推奨",IF(L199&gt;=0.05,"🟡利確直近",IF(L199&gt;=0.045,"🔵トレーリング検討",IF(L199&gt;-0.03,"📌保有中",IF(L199&gt;-0.04,"⚠️損切注意","🔴損切り"))))))))</f>
        <v/>
      </c>
      <c r="T199" s="596"/>
      <c r="U199" s="598"/>
      <c r="V199" s="703" t="str">
        <f>IF(OR(F199="",G199="",U199=""),"",IF(C199="売",(F199-U199)*G199,(U199-F199)*G199))</f>
        <v/>
      </c>
      <c r="W199" s="480" t="str">
        <f>IF(OR($E199="",$B199=""),"",IF($T199&lt;&gt;"",$T199-$E199,TODAY()-$E199)+1)</f>
        <v/>
      </c>
      <c r="X199" s="480" t="str">
        <f>IF(OR($AH199="",$AH199="保有中"),"",$AH199)</f>
        <v/>
      </c>
      <c r="Y199" s="488"/>
      <c r="Z199" s="710"/>
      <c r="AD199" s="608"/>
      <c r="AE199" s="600" t="str">
        <f>IF($E199="","",WORKDAY($E199,12))</f>
        <v/>
      </c>
      <c r="AF199" s="600" t="str" cm="1">
        <f t="array" aca="1" ref="AF199" ca="1">IF(OR($B199="",$M199=""),"",IFERROR(IF($C199="売",_xlfn.MINIFS(安値!$E$3:$IT$3,安値!$E$3:$IT$3,"&gt;"&amp;$E199,安値!$E$3:$IT$3,"&lt;="&amp;$AE199,OFFSET(安値!$E$6:$IT$6,MATCH(TEXT($B199,"0"),TEXT(銘柄管理!$B$6:$B$305,"0"),0)-1,0),"&lt;="&amp;$M199),_xlfn.MINIFS(高値!$E$3:$IT$3,高値!$E$3:$IT$3,"&gt;"&amp;$E199,高値!$E$3:$IT$3,"&lt;="&amp;$AE199,OFFSET(高値!$E$6:$IT$6,MATCH(TEXT($B199,"0"),TEXT(銘柄管理!$B$6:$B$305,"0"),0)-1,0),"&gt;="&amp;$M199)),""))</f>
        <v/>
      </c>
      <c r="AG199" s="600" t="str" cm="1">
        <f t="array" aca="1" ref="AG199" ca="1">IF(OR($B199="",$N199=""),"",IFERROR(IF($C199="売",_xlfn.MINIFS(高値!$E$3:$IT$3,高値!$E$3:$IT$3,"&gt;"&amp;$E199,高値!$E$3:$IT$3,"&lt;="&amp;$AE199,OFFSET(高値!$E$6:$IT$6,MATCH(TEXT($B199,"0"),TEXT(銘柄管理!$B$6:$B$305,"0"),0)-1,0),"&gt;="&amp;$N199),_xlfn.MINIFS(安値!$E$3:$IT$3,安値!$E$3:$IT$3,"&gt;"&amp;$E199,安値!$E$3:$IT$3,"&lt;="&amp;$AE199,OFFSET(安値!$E$6:$IT$6,MATCH(TEXT($B199,"0"),TEXT(銘柄管理!$B$6:$B$305,"0"),0)-1,0),"&lt;="&amp;$N199)),""))</f>
        <v/>
      </c>
      <c r="AH199" s="600" t="str">
        <f>IF(OR($B199="",$M199=""),"",IF(AND(N($AF199)=0,N($AG199)=0),IF(AND(ISNUMBER($H199),$H199&gt;0,IF($C199="売",$H199&gt;=$N199,$H199&lt;=$N199)),"損切確定",IF(AND(ISNUMBER($H199),$H199&gt;0,IF($C199="売",$H199&lt;=$M199,$H199&gt;=$M199)),"利益確定",IF($AE199&lt;=TODAY(),"日数制限","保有中"))),IF(N($AG199)=0,"利益確定",IF(N($AF199)=0,"損切確定",IF($AG199&lt;=$AF199,"損切確定","利益確定")))))</f>
        <v/>
      </c>
      <c r="AI199" s="600" t="str" cm="1">
        <f t="array" ref="AI199">IFERROR(INDEX(始値!$E$6:$IT$305,MATCH(TEXT($B199,"0"),TEXT(銘柄管理!$B$6:$B$305,"0"),0),MATCH($AE199,始値!$E$3:$IT$3,0)),"")</f>
        <v/>
      </c>
      <c r="AJ199" s="608" t="str">
        <f>IF(OR($V199="",$F199="",$G199=""),"",$V199/($F199*$G199))</f>
        <v/>
      </c>
      <c r="AK199" s="600" t="str">
        <f>IF($V199="","",IF($V199&gt;0,"○勝",IF($V199&lt;0,"●負","△引分")))</f>
        <v/>
      </c>
    </row>
    <row r="200" spans="1:37" ht="17.25" customHeight="1">
      <c r="A200" s="621" t="str">
        <f>IF(B200="","",HYPERLINK("https://kabutan.jp/stock/?code="&amp;B200,"株探"))</f>
        <v/>
      </c>
      <c r="B200" s="480"/>
      <c r="C200" s="480"/>
      <c r="D200" s="480" t="str" cm="1">
        <f t="array" ref="D200">_xll.RssMarket(B200, "銘柄名称")</f>
        <v/>
      </c>
      <c r="E200" s="717"/>
      <c r="F200" s="698" t="str" cm="1">
        <f t="array" aca="1" ref="F200" ca="1">IFERROR(_xlfn.LET(_xlpm.r,MATCH(TEXT($B200,"0"),TEXT(銘柄管理!$B$6:$B$305,"0"),0),_xlpm.t,MOD(NOW(),1),_xlpm.c,IF($E200=TODAY(),IF(_xlpm.t&gt;=TIME(15,30,0),NA(),1),IF(MATCH($E200,始値!$E$3:$IT$3,0)=1,1,MATCH($E200,始値!$E$3:$IT$3,0)+1)),_xlpm.v,INDEX(始値!$C$6:$IT$305,_xlpm.r,_xlpm.c),IF(N(_xlpm.v)=0,"",_xlpm.v)),"")</f>
        <v/>
      </c>
      <c r="G200" s="480"/>
      <c r="H200" s="480" t="str" cm="1">
        <f t="array" ref="H200">_xll.RssMarket(B200, "現在値")</f>
        <v/>
      </c>
      <c r="I200" s="480" t="str" cm="1">
        <f t="array" ref="I200">_xll.RssMarket(B200, "出来高加重平均")</f>
        <v/>
      </c>
      <c r="J200" s="702" t="str" cm="1">
        <f t="array" ref="J200">_xll.RssMarket($B200, "前日比")</f>
        <v/>
      </c>
      <c r="K200" s="703" t="str">
        <f>IF(OR(F200="",G200="",H200=""),"",IF(C200="売",(F200-H200)*G200,(H200-F200)*G200))</f>
        <v/>
      </c>
      <c r="L200" s="708" t="str">
        <f>IF(OR(F200="",H200=""),"",IF(C200="売",(F200-H200)/F200,(H200-F200)/F200))</f>
        <v/>
      </c>
      <c r="M200" s="598" t="str">
        <f>IF($F200="","",$F200*IF($C200="売",1-V811設定!$B$4,1+V811設定!$B$4)-MOD($F200*IF($C200="売",1-V811設定!$B$4,1+V811設定!$B$4),IF($F200&lt;=3000,1,IF($F200&lt;=5000,5,IF($F200&lt;=30000,10,IF($F200&lt;=50000,50,IF($F200&lt;=300000,100,500))))))+IF(AND($C200="売",MOD($F200*IF($C200="売",1-V811設定!$B$4,1+V811設定!$B$4),IF($F200&lt;=3000,1,IF($F200&lt;=5000,5,IF($F200&lt;=30000,10,IF($F200&lt;=50000,50,IF($F200&lt;=300000,100,500))))))&gt;0),IF($F200&lt;=3000,1,IF($F200&lt;=5000,5,IF($F200&lt;=30000,10,IF($F200&lt;=50000,50,IF($F200&lt;=300000,100,500))))),0))</f>
      </c>
      <c r="N200" s="598" t="str">
        <f>IF($F200="","",$F200*IF($C200="売",1+V811設定!$B$3,1-V811設定!$B$3)-MOD($F200*IF($C200="売",1+V811設定!$B$3,1-V811設定!$B$3),IF($F200&lt;=3000,1,IF($F200&lt;=5000,5,IF($F200&lt;=30000,10,IF($F200&lt;=50000,50,IF($F200&lt;=300000,100,500))))))+IF(AND($C200="売",MOD($F200*IF($C200="売",1+V811設定!$B$3,1-V811設定!$B$3),IF($F200&lt;=3000,1,IF($F200&lt;=5000,5,IF($F200&lt;=30000,10,IF($F200&lt;=50000,50,IF($F200&lt;=300000,100,500))))))&gt;0),IF($F200&lt;=3000,1,IF($F200&lt;=5000,5,IF($F200&lt;=30000,10,IF($F200&lt;=50000,50,IF($F200&lt;=300000,100,500))))),0))</f>
      </c>
      <c r="O200" s="478" t="str">
        <f>IF(OR($B200="",$F200="",$H200=""),"",IF($S200="✅売却済","―決済済―",IF($C200="売",IF($H200&lt;=$M200,"🟢利確",IF(AND($R200&lt;&gt;"",$H200&gt;=$R200),"🟠TRAIL",IF($H200&gt;=$N200,"🔴損切",IF($W200&gt;=V811設定!$B$6,"⏱時間決済",IF($H200&gt;=$F200*(1+V811設定!$B$3*0.7),"⚠️損切接近","保持継続"))))),IF($H200&gt;=$M200,"🟢利確",IF(AND($R200&lt;&gt;"",$H200&lt;=$R200),"🟠TRAIL",IF($H200&lt;=$N200,"🔴損切",IF($W200&gt;=V811設定!$B$6,"⏱時間決済",IF($H200&lt;=$F200*(1-V811設定!$B$3*0.7),"⚠️損切接近","保持継続"))))))))</f>
      </c>
      <c r="P200" s="445"/>
      <c r="Q200" s="445"/>
      <c r="R200" s="480" t="str">
        <f>IF(OR($F200="",$H200="",$N200=""),"",IF($S200="✅売却済","",IF($C200="売",IF($H200&gt;$F200*(1-V811設定!$B$3),$N200,MIN($N200,IF($Q200="",$N200,$Q200*1.03))),IF($H200&lt;$F200*(1+V811設定!$B$3),$N200,MAX($N200,IF($P200="",$N200,$P200*0.97))))))</f>
      </c>
      <c r="S200" s="480" t="str">
        <f>IF(B200="","",IF(T200&lt;&gt;"","✅売却済",IF(OR(H200="",L200=""),"📌保有中",IF(L200&gt;=0.06,"🟢利確推奨",IF(L200&gt;=0.05,"🟡利確直近",IF(L200&gt;=0.045,"🔵トレーリング検討",IF(L200&gt;-0.03,"📌保有中",IF(L200&gt;-0.04,"⚠️損切注意","🔴損切り"))))))))</f>
        <v/>
      </c>
      <c r="T200" s="596"/>
      <c r="U200" s="598"/>
      <c r="V200" s="703" t="str">
        <f>IF(OR(F200="",G200="",U200=""),"",IF(C200="売",(F200-U200)*G200,(U200-F200)*G200))</f>
        <v/>
      </c>
      <c r="W200" s="480" t="str">
        <f>IF(OR($E200="",$B200=""),"",IF($T200&lt;&gt;"",$T200-$E200,TODAY()-$E200)+1)</f>
        <v/>
      </c>
      <c r="X200" s="480" t="str">
        <f>IF(OR($AH200="",$AH200="保有中"),"",$AH200)</f>
        <v/>
      </c>
      <c r="Y200" s="488"/>
      <c r="Z200" s="710"/>
      <c r="AD200" s="608"/>
      <c r="AE200" s="600" t="str">
        <f>IF($E200="","",WORKDAY($E200,12))</f>
        <v/>
      </c>
      <c r="AF200" s="600" t="str" cm="1">
        <f t="array" aca="1" ref="AF200" ca="1">IF(OR($B200="",$M200=""),"",IFERROR(IF($C200="売",_xlfn.MINIFS(安値!$E$3:$IT$3,安値!$E$3:$IT$3,"&gt;"&amp;$E200,安値!$E$3:$IT$3,"&lt;="&amp;$AE200,OFFSET(安値!$E$6:$IT$6,MATCH(TEXT($B200,"0"),TEXT(銘柄管理!$B$6:$B$305,"0"),0)-1,0),"&lt;="&amp;$M200),_xlfn.MINIFS(高値!$E$3:$IT$3,高値!$E$3:$IT$3,"&gt;"&amp;$E200,高値!$E$3:$IT$3,"&lt;="&amp;$AE200,OFFSET(高値!$E$6:$IT$6,MATCH(TEXT($B200,"0"),TEXT(銘柄管理!$B$6:$B$305,"0"),0)-1,0),"&gt;="&amp;$M200)),""))</f>
        <v/>
      </c>
      <c r="AG200" s="600" t="str" cm="1">
        <f t="array" aca="1" ref="AG200" ca="1">IF(OR($B200="",$N200=""),"",IFERROR(IF($C200="売",_xlfn.MINIFS(高値!$E$3:$IT$3,高値!$E$3:$IT$3,"&gt;"&amp;$E200,高値!$E$3:$IT$3,"&lt;="&amp;$AE200,OFFSET(高値!$E$6:$IT$6,MATCH(TEXT($B200,"0"),TEXT(銘柄管理!$B$6:$B$305,"0"),0)-1,0),"&gt;="&amp;$N200),_xlfn.MINIFS(安値!$E$3:$IT$3,安値!$E$3:$IT$3,"&gt;"&amp;$E200,安値!$E$3:$IT$3,"&lt;="&amp;$AE200,OFFSET(安値!$E$6:$IT$6,MATCH(TEXT($B200,"0"),TEXT(銘柄管理!$B$6:$B$305,"0"),0)-1,0),"&lt;="&amp;$N200)),""))</f>
        <v/>
      </c>
      <c r="AH200" s="600" t="str">
        <f>IF(OR($B200="",$M200=""),"",IF(AND(N($AF200)=0,N($AG200)=0),IF(AND(ISNUMBER($H200),$H200&gt;0,IF($C200="売",$H200&gt;=$N200,$H200&lt;=$N200)),"損切確定",IF(AND(ISNUMBER($H200),$H200&gt;0,IF($C200="売",$H200&lt;=$M200,$H200&gt;=$M200)),"利益確定",IF($AE200&lt;=TODAY(),"日数制限","保有中"))),IF(N($AG200)=0,"利益確定",IF(N($AF200)=0,"損切確定",IF($AG200&lt;=$AF200,"損切確定","利益確定")))))</f>
        <v/>
      </c>
      <c r="AI200" s="600" t="str" cm="1">
        <f t="array" ref="AI200">IFERROR(INDEX(始値!$E$6:$IT$305,MATCH(TEXT($B200,"0"),TEXT(銘柄管理!$B$6:$B$305,"0"),0),MATCH($AE200,始値!$E$3:$IT$3,0)),"")</f>
        <v/>
      </c>
      <c r="AJ200" s="608" t="str">
        <f>IF(OR($V200="",$F200="",$G200=""),"",$V200/($F200*$G200))</f>
        <v/>
      </c>
      <c r="AK200" s="600" t="str">
        <f>IF($V200="","",IF($V200&gt;0,"○勝",IF($V200&lt;0,"●負","△引分")))</f>
        <v/>
      </c>
    </row>
    <row r="201" spans="1:37" ht="17.25" customHeight="1">
      <c r="A201" s="621" t="str">
        <f>IF(B201="","",HYPERLINK("https://kabutan.jp/stock/?code="&amp;B201,"株探"))</f>
        <v/>
      </c>
      <c r="B201" s="480"/>
      <c r="C201" s="480"/>
      <c r="D201" s="480" t="str" cm="1">
        <f t="array" ref="D201">_xll.RssMarket(B201, "銘柄名称")</f>
        <v/>
      </c>
      <c r="E201" s="717"/>
      <c r="F201" s="698" t="str" cm="1">
        <f t="array" aca="1" ref="F201" ca="1">IFERROR(_xlfn.LET(_xlpm.r,MATCH(TEXT($B201,"0"),TEXT(銘柄管理!$B$6:$B$305,"0"),0),_xlpm.t,MOD(NOW(),1),_xlpm.c,IF($E201=TODAY(),IF(_xlpm.t&gt;=TIME(15,30,0),NA(),1),IF(MATCH($E201,始値!$E$3:$IT$3,0)=1,1,MATCH($E201,始値!$E$3:$IT$3,0)+1)),_xlpm.v,INDEX(始値!$C$6:$IT$305,_xlpm.r,_xlpm.c),IF(N(_xlpm.v)=0,"",_xlpm.v)),"")</f>
        <v/>
      </c>
      <c r="G201" s="480"/>
      <c r="H201" s="480" t="str" cm="1">
        <f t="array" ref="H201">_xll.RssMarket(B201, "現在値")</f>
        <v/>
      </c>
      <c r="I201" s="480" t="str" cm="1">
        <f t="array" ref="I201">_xll.RssMarket(B201, "出来高加重平均")</f>
        <v/>
      </c>
      <c r="J201" s="702" t="str" cm="1">
        <f t="array" ref="J201">_xll.RssMarket($B201, "前日比")</f>
        <v/>
      </c>
      <c r="K201" s="703" t="str">
        <f>IF(OR(F201="",G201="",H201=""),"",IF(C201="売",(F201-H201)*G201,(H201-F201)*G201))</f>
        <v/>
      </c>
      <c r="L201" s="708" t="str">
        <f>IF(OR(F201="",H201=""),"",IF(C201="売",(F201-H201)/F201,(H201-F201)/F201))</f>
        <v/>
      </c>
      <c r="M201" s="598" t="str">
        <f>IF($F201="","",$F201*IF($C201="売",1-V811設定!$B$4,1+V811設定!$B$4)-MOD($F201*IF($C201="売",1-V811設定!$B$4,1+V811設定!$B$4),IF($F201&lt;=3000,1,IF($F201&lt;=5000,5,IF($F201&lt;=30000,10,IF($F201&lt;=50000,50,IF($F201&lt;=300000,100,500))))))+IF(AND($C201="売",MOD($F201*IF($C201="売",1-V811設定!$B$4,1+V811設定!$B$4),IF($F201&lt;=3000,1,IF($F201&lt;=5000,5,IF($F201&lt;=30000,10,IF($F201&lt;=50000,50,IF($F201&lt;=300000,100,500))))))&gt;0),IF($F201&lt;=3000,1,IF($F201&lt;=5000,5,IF($F201&lt;=30000,10,IF($F201&lt;=50000,50,IF($F201&lt;=300000,100,500))))),0))</f>
      </c>
      <c r="N201" s="598" t="str">
        <f>IF($F201="","",$F201*IF($C201="売",1+V811設定!$B$3,1-V811設定!$B$3)-MOD($F201*IF($C201="売",1+V811設定!$B$3,1-V811設定!$B$3),IF($F201&lt;=3000,1,IF($F201&lt;=5000,5,IF($F201&lt;=30000,10,IF($F201&lt;=50000,50,IF($F201&lt;=300000,100,500))))))+IF(AND($C201="売",MOD($F201*IF($C201="売",1+V811設定!$B$3,1-V811設定!$B$3),IF($F201&lt;=3000,1,IF($F201&lt;=5000,5,IF($F201&lt;=30000,10,IF($F201&lt;=50000,50,IF($F201&lt;=300000,100,500))))))&gt;0),IF($F201&lt;=3000,1,IF($F201&lt;=5000,5,IF($F201&lt;=30000,10,IF($F201&lt;=50000,50,IF($F201&lt;=300000,100,500))))),0))</f>
      </c>
      <c r="O201" s="478" t="str">
        <f>IF(OR($B201="",$F201="",$H201=""),"",IF($S201="✅売却済","―決済済―",IF($C201="売",IF($H201&lt;=$M201,"🟢利確",IF(AND($R201&lt;&gt;"",$H201&gt;=$R201),"🟠TRAIL",IF($H201&gt;=$N201,"🔴損切",IF($W201&gt;=V811設定!$B$6,"⏱時間決済",IF($H201&gt;=$F201*(1+V811設定!$B$3*0.7),"⚠️損切接近","保持継続"))))),IF($H201&gt;=$M201,"🟢利確",IF(AND($R201&lt;&gt;"",$H201&lt;=$R201),"🟠TRAIL",IF($H201&lt;=$N201,"🔴損切",IF($W201&gt;=V811設定!$B$6,"⏱時間決済",IF($H201&lt;=$F201*(1-V811設定!$B$3*0.7),"⚠️損切接近","保持継続"))))))))</f>
      </c>
      <c r="P201" s="445"/>
      <c r="Q201" s="445"/>
      <c r="R201" s="480" t="str">
        <f>IF(OR($F201="",$H201="",$N201=""),"",IF($S201="✅売却済","",IF($C201="売",IF($H201&gt;$F201*(1-V811設定!$B$3),$N201,MIN($N201,IF($Q201="",$N201,$Q201*1.03))),IF($H201&lt;$F201*(1+V811設定!$B$3),$N201,MAX($N201,IF($P201="",$N201,$P201*0.97))))))</f>
      </c>
      <c r="S201" s="480" t="str">
        <f>IF(B201="","",IF(T201&lt;&gt;"","✅売却済",IF(OR(H201="",L201=""),"📌保有中",IF(L201&gt;=0.06,"🟢利確推奨",IF(L201&gt;=0.05,"🟡利確直近",IF(L201&gt;=0.045,"🔵トレーリング検討",IF(L201&gt;-0.03,"📌保有中",IF(L201&gt;-0.04,"⚠️損切注意","🔴損切り"))))))))</f>
        <v/>
      </c>
      <c r="T201" s="596"/>
      <c r="U201" s="598"/>
      <c r="V201" s="703" t="str">
        <f>IF(OR(F201="",G201="",U201=""),"",IF(C201="売",(F201-U201)*G201,(U201-F201)*G201))</f>
        <v/>
      </c>
      <c r="W201" s="480" t="str">
        <f>IF(OR($E201="",$B201=""),"",IF($T201&lt;&gt;"",$T201-$E201,TODAY()-$E201)+1)</f>
        <v/>
      </c>
      <c r="X201" s="480" t="str">
        <f>IF(OR($AH201="",$AH201="保有中"),"",$AH201)</f>
        <v/>
      </c>
      <c r="Y201" s="488"/>
      <c r="Z201" s="710"/>
      <c r="AD201" s="608"/>
      <c r="AE201" s="600" t="str">
        <f>IF($E201="","",WORKDAY($E201,12))</f>
        <v/>
      </c>
      <c r="AF201" s="600" t="str" cm="1">
        <f t="array" aca="1" ref="AF201" ca="1">IF(OR($B201="",$M201=""),"",IFERROR(IF($C201="売",_xlfn.MINIFS(安値!$E$3:$IT$3,安値!$E$3:$IT$3,"&gt;"&amp;$E201,安値!$E$3:$IT$3,"&lt;="&amp;$AE201,OFFSET(安値!$E$6:$IT$6,MATCH(TEXT($B201,"0"),TEXT(銘柄管理!$B$6:$B$305,"0"),0)-1,0),"&lt;="&amp;$M201),_xlfn.MINIFS(高値!$E$3:$IT$3,高値!$E$3:$IT$3,"&gt;"&amp;$E201,高値!$E$3:$IT$3,"&lt;="&amp;$AE201,OFFSET(高値!$E$6:$IT$6,MATCH(TEXT($B201,"0"),TEXT(銘柄管理!$B$6:$B$305,"0"),0)-1,0),"&gt;="&amp;$M201)),""))</f>
        <v/>
      </c>
      <c r="AG201" s="600" t="str" cm="1">
        <f t="array" aca="1" ref="AG201" ca="1">IF(OR($B201="",$N201=""),"",IFERROR(IF($C201="売",_xlfn.MINIFS(高値!$E$3:$IT$3,高値!$E$3:$IT$3,"&gt;"&amp;$E201,高値!$E$3:$IT$3,"&lt;="&amp;$AE201,OFFSET(高値!$E$6:$IT$6,MATCH(TEXT($B201,"0"),TEXT(銘柄管理!$B$6:$B$305,"0"),0)-1,0),"&gt;="&amp;$N201),_xlfn.MINIFS(安値!$E$3:$IT$3,安値!$E$3:$IT$3,"&gt;"&amp;$E201,安値!$E$3:$IT$3,"&lt;="&amp;$AE201,OFFSET(安値!$E$6:$IT$6,MATCH(TEXT($B201,"0"),TEXT(銘柄管理!$B$6:$B$305,"0"),0)-1,0),"&lt;="&amp;$N201)),""))</f>
        <v/>
      </c>
      <c r="AH201" s="600" t="str">
        <f>IF(OR($B201="",$M201=""),"",IF(AND(N($AF201)=0,N($AG201)=0),IF(AND(ISNUMBER($H201),$H201&gt;0,IF($C201="売",$H201&gt;=$N201,$H201&lt;=$N201)),"損切確定",IF(AND(ISNUMBER($H201),$H201&gt;0,IF($C201="売",$H201&lt;=$M201,$H201&gt;=$M201)),"利益確定",IF($AE201&lt;=TODAY(),"日数制限","保有中"))),IF(N($AG201)=0,"利益確定",IF(N($AF201)=0,"損切確定",IF($AG201&lt;=$AF201,"損切確定","利益確定")))))</f>
        <v/>
      </c>
      <c r="AI201" s="600" t="str" cm="1">
        <f t="array" ref="AI201">IFERROR(INDEX(始値!$E$6:$IT$305,MATCH(TEXT($B201,"0"),TEXT(銘柄管理!$B$6:$B$305,"0"),0),MATCH($AE201,始値!$E$3:$IT$3,0)),"")</f>
        <v/>
      </c>
      <c r="AJ201" s="608" t="str">
        <f>IF(OR($V201="",$F201="",$G201=""),"",$V201/($F201*$G201))</f>
        <v/>
      </c>
      <c r="AK201" s="600" t="str">
        <f>IF($V201="","",IF($V201&gt;0,"○勝",IF($V201&lt;0,"●負","△引分")))</f>
        <v/>
      </c>
    </row>
    <row r="202" spans="1:37" ht="17.25" customHeight="1">
      <c r="A202" s="621" t="str">
        <f>IF(B202="","",HYPERLINK("https://kabutan.jp/stock/?code="&amp;B202,"株探"))</f>
        <v/>
      </c>
      <c r="B202" s="480"/>
      <c r="C202" s="480"/>
      <c r="D202" s="480" t="str" cm="1">
        <f t="array" ref="D202">_xll.RssMarket(B202, "銘柄名称")</f>
        <v/>
      </c>
      <c r="E202" s="717"/>
      <c r="F202" s="698" t="str" cm="1">
        <f t="array" aca="1" ref="F202" ca="1">IFERROR(_xlfn.LET(_xlpm.r,MATCH(TEXT($B202,"0"),TEXT(銘柄管理!$B$6:$B$305,"0"),0),_xlpm.t,MOD(NOW(),1),_xlpm.c,IF($E202=TODAY(),IF(_xlpm.t&gt;=TIME(15,30,0),NA(),1),IF(MATCH($E202,始値!$E$3:$IT$3,0)=1,1,MATCH($E202,始値!$E$3:$IT$3,0)+1)),_xlpm.v,INDEX(始値!$C$6:$IT$305,_xlpm.r,_xlpm.c),IF(N(_xlpm.v)=0,"",_xlpm.v)),"")</f>
        <v/>
      </c>
      <c r="G202" s="480"/>
      <c r="H202" s="480" t="str" cm="1">
        <f t="array" ref="H202">_xll.RssMarket(B202, "現在値")</f>
        <v/>
      </c>
      <c r="I202" s="480" t="str" cm="1">
        <f t="array" ref="I202">_xll.RssMarket(B202, "出来高加重平均")</f>
        <v/>
      </c>
      <c r="J202" s="702" t="str" cm="1">
        <f t="array" ref="J202">_xll.RssMarket($B202, "前日比")</f>
        <v/>
      </c>
      <c r="K202" s="703" t="str">
        <f>IF(OR(F202="",G202="",H202=""),"",IF(C202="売",(F202-H202)*G202,(H202-F202)*G202))</f>
        <v/>
      </c>
      <c r="L202" s="708" t="str">
        <f>IF(OR(F202="",H202=""),"",IF(C202="売",(F202-H202)/F202,(H202-F202)/F202))</f>
        <v/>
      </c>
      <c r="M202" s="598" t="str">
        <f>IF($F202="","",$F202*IF($C202="売",1-V811設定!$B$4,1+V811設定!$B$4)-MOD($F202*IF($C202="売",1-V811設定!$B$4,1+V811設定!$B$4),IF($F202&lt;=3000,1,IF($F202&lt;=5000,5,IF($F202&lt;=30000,10,IF($F202&lt;=50000,50,IF($F202&lt;=300000,100,500))))))+IF(AND($C202="売",MOD($F202*IF($C202="売",1-V811設定!$B$4,1+V811設定!$B$4),IF($F202&lt;=3000,1,IF($F202&lt;=5000,5,IF($F202&lt;=30000,10,IF($F202&lt;=50000,50,IF($F202&lt;=300000,100,500))))))&gt;0),IF($F202&lt;=3000,1,IF($F202&lt;=5000,5,IF($F202&lt;=30000,10,IF($F202&lt;=50000,50,IF($F202&lt;=300000,100,500))))),0))</f>
      </c>
      <c r="N202" s="598" t="str">
        <f>IF($F202="","",$F202*IF($C202="売",1+V811設定!$B$3,1-V811設定!$B$3)-MOD($F202*IF($C202="売",1+V811設定!$B$3,1-V811設定!$B$3),IF($F202&lt;=3000,1,IF($F202&lt;=5000,5,IF($F202&lt;=30000,10,IF($F202&lt;=50000,50,IF($F202&lt;=300000,100,500))))))+IF(AND($C202="売",MOD($F202*IF($C202="売",1+V811設定!$B$3,1-V811設定!$B$3),IF($F202&lt;=3000,1,IF($F202&lt;=5000,5,IF($F202&lt;=30000,10,IF($F202&lt;=50000,50,IF($F202&lt;=300000,100,500))))))&gt;0),IF($F202&lt;=3000,1,IF($F202&lt;=5000,5,IF($F202&lt;=30000,10,IF($F202&lt;=50000,50,IF($F202&lt;=300000,100,500))))),0))</f>
      </c>
      <c r="O202" s="478" t="str">
        <f>IF(OR($B202="",$F202="",$H202=""),"",IF($S202="✅売却済","―決済済―",IF($C202="売",IF($H202&lt;=$M202,"🟢利確",IF(AND($R202&lt;&gt;"",$H202&gt;=$R202),"🟠TRAIL",IF($H202&gt;=$N202,"🔴損切",IF($W202&gt;=V811設定!$B$6,"⏱時間決済",IF($H202&gt;=$F202*(1+V811設定!$B$3*0.7),"⚠️損切接近","保持継続"))))),IF($H202&gt;=$M202,"🟢利確",IF(AND($R202&lt;&gt;"",$H202&lt;=$R202),"🟠TRAIL",IF($H202&lt;=$N202,"🔴損切",IF($W202&gt;=V811設定!$B$6,"⏱時間決済",IF($H202&lt;=$F202*(1-V811設定!$B$3*0.7),"⚠️損切接近","保持継続"))))))))</f>
      </c>
      <c r="P202" s="445"/>
      <c r="Q202" s="445"/>
      <c r="R202" s="480" t="str">
        <f>IF(OR($F202="",$H202="",$N202=""),"",IF($S202="✅売却済","",IF($C202="売",IF($H202&gt;$F202*(1-V811設定!$B$3),$N202,MIN($N202,IF($Q202="",$N202,$Q202*1.03))),IF($H202&lt;$F202*(1+V811設定!$B$3),$N202,MAX($N202,IF($P202="",$N202,$P202*0.97))))))</f>
      </c>
      <c r="S202" s="480" t="str">
        <f>IF(B202="","",IF(T202&lt;&gt;"","✅売却済",IF(OR(H202="",L202=""),"📌保有中",IF(L202&gt;=0.06,"🟢利確推奨",IF(L202&gt;=0.05,"🟡利確直近",IF(L202&gt;=0.045,"🔵トレーリング検討",IF(L202&gt;-0.03,"📌保有中",IF(L202&gt;-0.04,"⚠️損切注意","🔴損切り"))))))))</f>
        <v/>
      </c>
      <c r="T202" s="596"/>
      <c r="U202" s="598"/>
      <c r="V202" s="703" t="str">
        <f>IF(OR(F202="",G202="",U202=""),"",IF(C202="売",(F202-U202)*G202,(U202-F202)*G202))</f>
        <v/>
      </c>
      <c r="W202" s="480" t="str">
        <f>IF(OR($E202="",$B202=""),"",IF($T202&lt;&gt;"",$T202-$E202,TODAY()-$E202)+1)</f>
        <v/>
      </c>
      <c r="X202" s="480" t="str">
        <f>IF(OR($AH202="",$AH202="保有中"),"",$AH202)</f>
        <v/>
      </c>
      <c r="Y202" s="488"/>
      <c r="Z202" s="710"/>
      <c r="AD202" s="608"/>
      <c r="AE202" s="600" t="str">
        <f>IF($E202="","",WORKDAY($E202,12))</f>
        <v/>
      </c>
      <c r="AF202" s="600" t="str" cm="1">
        <f t="array" aca="1" ref="AF202" ca="1">IF(OR($B202="",$M202=""),"",IFERROR(IF($C202="売",_xlfn.MINIFS(安値!$E$3:$IT$3,安値!$E$3:$IT$3,"&gt;"&amp;$E202,安値!$E$3:$IT$3,"&lt;="&amp;$AE202,OFFSET(安値!$E$6:$IT$6,MATCH(TEXT($B202,"0"),TEXT(銘柄管理!$B$6:$B$305,"0"),0)-1,0),"&lt;="&amp;$M202),_xlfn.MINIFS(高値!$E$3:$IT$3,高値!$E$3:$IT$3,"&gt;"&amp;$E202,高値!$E$3:$IT$3,"&lt;="&amp;$AE202,OFFSET(高値!$E$6:$IT$6,MATCH(TEXT($B202,"0"),TEXT(銘柄管理!$B$6:$B$305,"0"),0)-1,0),"&gt;="&amp;$M202)),""))</f>
        <v/>
      </c>
      <c r="AG202" s="600" t="str" cm="1">
        <f t="array" aca="1" ref="AG202" ca="1">IF(OR($B202="",$N202=""),"",IFERROR(IF($C202="売",_xlfn.MINIFS(高値!$E$3:$IT$3,高値!$E$3:$IT$3,"&gt;"&amp;$E202,高値!$E$3:$IT$3,"&lt;="&amp;$AE202,OFFSET(高値!$E$6:$IT$6,MATCH(TEXT($B202,"0"),TEXT(銘柄管理!$B$6:$B$305,"0"),0)-1,0),"&gt;="&amp;$N202),_xlfn.MINIFS(安値!$E$3:$IT$3,安値!$E$3:$IT$3,"&gt;"&amp;$E202,安値!$E$3:$IT$3,"&lt;="&amp;$AE202,OFFSET(安値!$E$6:$IT$6,MATCH(TEXT($B202,"0"),TEXT(銘柄管理!$B$6:$B$305,"0"),0)-1,0),"&lt;="&amp;$N202)),""))</f>
        <v/>
      </c>
      <c r="AH202" s="600" t="str">
        <f>IF(OR($B202="",$M202=""),"",IF(AND(N($AF202)=0,N($AG202)=0),IF(AND(ISNUMBER($H202),$H202&gt;0,IF($C202="売",$H202&gt;=$N202,$H202&lt;=$N202)),"損切確定",IF(AND(ISNUMBER($H202),$H202&gt;0,IF($C202="売",$H202&lt;=$M202,$H202&gt;=$M202)),"利益確定",IF($AE202&lt;=TODAY(),"日数制限","保有中"))),IF(N($AG202)=0,"利益確定",IF(N($AF202)=0,"損切確定",IF($AG202&lt;=$AF202,"損切確定","利益確定")))))</f>
        <v/>
      </c>
      <c r="AI202" s="600" t="str" cm="1">
        <f t="array" ref="AI202">IFERROR(INDEX(始値!$E$6:$IT$305,MATCH(TEXT($B202,"0"),TEXT(銘柄管理!$B$6:$B$305,"0"),0),MATCH($AE202,始値!$E$3:$IT$3,0)),"")</f>
        <v/>
      </c>
      <c r="AJ202" s="608" t="str">
        <f>IF(OR($V202="",$F202="",$G202=""),"",$V202/($F202*$G202))</f>
        <v/>
      </c>
      <c r="AK202" s="600" t="str">
        <f>IF($V202="","",IF($V202&gt;0,"○勝",IF($V202&lt;0,"●負","△引分")))</f>
        <v/>
      </c>
    </row>
    <row r="203" spans="1:37" ht="17.25" customHeight="1">
      <c r="A203" s="621" t="str">
        <f>IF(B203="","",HYPERLINK("https://kabutan.jp/stock/?code="&amp;B203,"株探"))</f>
        <v/>
      </c>
      <c r="B203" s="480"/>
      <c r="C203" s="480"/>
      <c r="D203" s="480" t="str" cm="1">
        <f t="array" ref="D203">_xll.RssMarket(B203, "銘柄名称")</f>
        <v/>
      </c>
      <c r="E203" s="717"/>
      <c r="F203" s="698" t="str" cm="1">
        <f t="array" aca="1" ref="F203" ca="1">IFERROR(_xlfn.LET(_xlpm.r,MATCH(TEXT($B203,"0"),TEXT(銘柄管理!$B$6:$B$305,"0"),0),_xlpm.t,MOD(NOW(),1),_xlpm.c,IF($E203=TODAY(),IF(_xlpm.t&gt;=TIME(15,30,0),NA(),1),IF(MATCH($E203,始値!$E$3:$IT$3,0)=1,1,MATCH($E203,始値!$E$3:$IT$3,0)+1)),_xlpm.v,INDEX(始値!$C$6:$IT$305,_xlpm.r,_xlpm.c),IF(N(_xlpm.v)=0,"",_xlpm.v)),"")</f>
        <v/>
      </c>
      <c r="G203" s="480"/>
      <c r="H203" s="480" t="str" cm="1">
        <f t="array" ref="H203">_xll.RssMarket(B203, "現在値")</f>
        <v/>
      </c>
      <c r="I203" s="480" t="str" cm="1">
        <f t="array" ref="I203">_xll.RssMarket(B203, "出来高加重平均")</f>
        <v/>
      </c>
      <c r="J203" s="702" t="str" cm="1">
        <f t="array" ref="J203">_xll.RssMarket($B203, "前日比")</f>
        <v/>
      </c>
      <c r="K203" s="703" t="str">
        <f>IF(OR(F203="",G203="",H203=""),"",IF(C203="売",(F203-H203)*G203,(H203-F203)*G203))</f>
        <v/>
      </c>
      <c r="L203" s="708" t="str">
        <f>IF(OR(F203="",H203=""),"",IF(C203="売",(F203-H203)/F203,(H203-F203)/F203))</f>
        <v/>
      </c>
      <c r="M203" s="598" t="str">
        <f>IF($F203="","",$F203*IF($C203="売",1-V811設定!$B$4,1+V811設定!$B$4)-MOD($F203*IF($C203="売",1-V811設定!$B$4,1+V811設定!$B$4),IF($F203&lt;=3000,1,IF($F203&lt;=5000,5,IF($F203&lt;=30000,10,IF($F203&lt;=50000,50,IF($F203&lt;=300000,100,500))))))+IF(AND($C203="売",MOD($F203*IF($C203="売",1-V811設定!$B$4,1+V811設定!$B$4),IF($F203&lt;=3000,1,IF($F203&lt;=5000,5,IF($F203&lt;=30000,10,IF($F203&lt;=50000,50,IF($F203&lt;=300000,100,500))))))&gt;0),IF($F203&lt;=3000,1,IF($F203&lt;=5000,5,IF($F203&lt;=30000,10,IF($F203&lt;=50000,50,IF($F203&lt;=300000,100,500))))),0))</f>
      </c>
      <c r="N203" s="598" t="str">
        <f>IF($F203="","",$F203*IF($C203="売",1+V811設定!$B$3,1-V811設定!$B$3)-MOD($F203*IF($C203="売",1+V811設定!$B$3,1-V811設定!$B$3),IF($F203&lt;=3000,1,IF($F203&lt;=5000,5,IF($F203&lt;=30000,10,IF($F203&lt;=50000,50,IF($F203&lt;=300000,100,500))))))+IF(AND($C203="売",MOD($F203*IF($C203="売",1+V811設定!$B$3,1-V811設定!$B$3),IF($F203&lt;=3000,1,IF($F203&lt;=5000,5,IF($F203&lt;=30000,10,IF($F203&lt;=50000,50,IF($F203&lt;=300000,100,500))))))&gt;0),IF($F203&lt;=3000,1,IF($F203&lt;=5000,5,IF($F203&lt;=30000,10,IF($F203&lt;=50000,50,IF($F203&lt;=300000,100,500))))),0))</f>
      </c>
      <c r="O203" s="478" t="str">
        <f>IF(OR($B203="",$F203="",$H203=""),"",IF($S203="✅売却済","―決済済―",IF($C203="売",IF($H203&lt;=$M203,"🟢利確",IF(AND($R203&lt;&gt;"",$H203&gt;=$R203),"🟠TRAIL",IF($H203&gt;=$N203,"🔴損切",IF($W203&gt;=V811設定!$B$6,"⏱時間決済",IF($H203&gt;=$F203*(1+V811設定!$B$3*0.7),"⚠️損切接近","保持継続"))))),IF($H203&gt;=$M203,"🟢利確",IF(AND($R203&lt;&gt;"",$H203&lt;=$R203),"🟠TRAIL",IF($H203&lt;=$N203,"🔴損切",IF($W203&gt;=V811設定!$B$6,"⏱時間決済",IF($H203&lt;=$F203*(1-V811設定!$B$3*0.7),"⚠️損切接近","保持継続"))))))))</f>
      </c>
      <c r="P203" s="445"/>
      <c r="Q203" s="445"/>
      <c r="R203" s="480" t="str">
        <f>IF(OR($F203="",$H203="",$N203=""),"",IF($S203="✅売却済","",IF($C203="売",IF($H203&gt;$F203*(1-V811設定!$B$3),$N203,MIN($N203,IF($Q203="",$N203,$Q203*1.03))),IF($H203&lt;$F203*(1+V811設定!$B$3),$N203,MAX($N203,IF($P203="",$N203,$P203*0.97))))))</f>
      </c>
      <c r="S203" s="480" t="str">
        <f>IF(B203="","",IF(T203&lt;&gt;"","✅売却済",IF(OR(H203="",L203=""),"📌保有中",IF(L203&gt;=0.06,"🟢利確推奨",IF(L203&gt;=0.05,"🟡利確直近",IF(L203&gt;=0.045,"🔵トレーリング検討",IF(L203&gt;-0.03,"📌保有中",IF(L203&gt;-0.04,"⚠️損切注意","🔴損切り"))))))))</f>
        <v/>
      </c>
      <c r="T203" s="596"/>
      <c r="U203" s="598"/>
      <c r="V203" s="703" t="str">
        <f>IF(OR(F203="",G203="",U203=""),"",IF(C203="売",(F203-U203)*G203,(U203-F203)*G203))</f>
        <v/>
      </c>
      <c r="W203" s="480" t="str">
        <f>IF(OR($E203="",$B203=""),"",IF($T203&lt;&gt;"",$T203-$E203,TODAY()-$E203)+1)</f>
        <v/>
      </c>
      <c r="X203" s="480" t="str">
        <f>IF(OR($AH203="",$AH203="保有中"),"",$AH203)</f>
        <v/>
      </c>
      <c r="Y203" s="488"/>
      <c r="Z203" s="710"/>
      <c r="AD203" s="608"/>
      <c r="AE203" s="600" t="str">
        <f>IF($E203="","",WORKDAY($E203,12))</f>
        <v/>
      </c>
      <c r="AF203" s="600" t="str" cm="1">
        <f t="array" aca="1" ref="AF203" ca="1">IF(OR($B203="",$M203=""),"",IFERROR(IF($C203="売",_xlfn.MINIFS(安値!$E$3:$IT$3,安値!$E$3:$IT$3,"&gt;"&amp;$E203,安値!$E$3:$IT$3,"&lt;="&amp;$AE203,OFFSET(安値!$E$6:$IT$6,MATCH(TEXT($B203,"0"),TEXT(銘柄管理!$B$6:$B$305,"0"),0)-1,0),"&lt;="&amp;$M203),_xlfn.MINIFS(高値!$E$3:$IT$3,高値!$E$3:$IT$3,"&gt;"&amp;$E203,高値!$E$3:$IT$3,"&lt;="&amp;$AE203,OFFSET(高値!$E$6:$IT$6,MATCH(TEXT($B203,"0"),TEXT(銘柄管理!$B$6:$B$305,"0"),0)-1,0),"&gt;="&amp;$M203)),""))</f>
        <v/>
      </c>
      <c r="AG203" s="600" t="str" cm="1">
        <f t="array" aca="1" ref="AG203" ca="1">IF(OR($B203="",$N203=""),"",IFERROR(IF($C203="売",_xlfn.MINIFS(高値!$E$3:$IT$3,高値!$E$3:$IT$3,"&gt;"&amp;$E203,高値!$E$3:$IT$3,"&lt;="&amp;$AE203,OFFSET(高値!$E$6:$IT$6,MATCH(TEXT($B203,"0"),TEXT(銘柄管理!$B$6:$B$305,"0"),0)-1,0),"&gt;="&amp;$N203),_xlfn.MINIFS(安値!$E$3:$IT$3,安値!$E$3:$IT$3,"&gt;"&amp;$E203,安値!$E$3:$IT$3,"&lt;="&amp;$AE203,OFFSET(安値!$E$6:$IT$6,MATCH(TEXT($B203,"0"),TEXT(銘柄管理!$B$6:$B$305,"0"),0)-1,0),"&lt;="&amp;$N203)),""))</f>
        <v/>
      </c>
      <c r="AH203" s="600" t="str">
        <f>IF(OR($B203="",$M203=""),"",IF(AND(N($AF203)=0,N($AG203)=0),IF(AND(ISNUMBER($H203),$H203&gt;0,IF($C203="売",$H203&gt;=$N203,$H203&lt;=$N203)),"損切確定",IF(AND(ISNUMBER($H203),$H203&gt;0,IF($C203="売",$H203&lt;=$M203,$H203&gt;=$M203)),"利益確定",IF($AE203&lt;=TODAY(),"日数制限","保有中"))),IF(N($AG203)=0,"利益確定",IF(N($AF203)=0,"損切確定",IF($AG203&lt;=$AF203,"損切確定","利益確定")))))</f>
        <v/>
      </c>
      <c r="AI203" s="600" t="str" cm="1">
        <f t="array" ref="AI203">IFERROR(INDEX(始値!$E$6:$IT$305,MATCH(TEXT($B203,"0"),TEXT(銘柄管理!$B$6:$B$305,"0"),0),MATCH($AE203,始値!$E$3:$IT$3,0)),"")</f>
        <v/>
      </c>
      <c r="AJ203" s="608" t="str">
        <f>IF(OR($V203="",$F203="",$G203=""),"",$V203/($F203*$G203))</f>
        <v/>
      </c>
      <c r="AK203" s="600" t="str">
        <f>IF($V203="","",IF($V203&gt;0,"○勝",IF($V203&lt;0,"●負","△引分")))</f>
        <v/>
      </c>
    </row>
    <row r="204" spans="1:37" ht="17.25" customHeight="1">
      <c r="A204" s="621" t="str">
        <f>IF(B204="","",HYPERLINK("https://kabutan.jp/stock/?code="&amp;B204,"株探"))</f>
        <v/>
      </c>
      <c r="B204" s="480"/>
      <c r="C204" s="480"/>
      <c r="D204" s="480" t="str" cm="1">
        <f t="array" ref="D204">_xll.RssMarket(B204, "銘柄名称")</f>
        <v/>
      </c>
      <c r="E204" s="717"/>
      <c r="F204" s="698" t="str" cm="1">
        <f t="array" aca="1" ref="F204" ca="1">IFERROR(_xlfn.LET(_xlpm.r,MATCH(TEXT($B204,"0"),TEXT(銘柄管理!$B$6:$B$305,"0"),0),_xlpm.t,MOD(NOW(),1),_xlpm.c,IF($E204=TODAY(),IF(_xlpm.t&gt;=TIME(15,30,0),NA(),1),IF(MATCH($E204,始値!$E$3:$IT$3,0)=1,1,MATCH($E204,始値!$E$3:$IT$3,0)+1)),_xlpm.v,INDEX(始値!$C$6:$IT$305,_xlpm.r,_xlpm.c),IF(N(_xlpm.v)=0,"",_xlpm.v)),"")</f>
        <v/>
      </c>
      <c r="G204" s="480"/>
      <c r="H204" s="480" t="str" cm="1">
        <f t="array" ref="H204">_xll.RssMarket(B204, "現在値")</f>
        <v/>
      </c>
      <c r="I204" s="480" t="str" cm="1">
        <f t="array" ref="I204">_xll.RssMarket(B204, "出来高加重平均")</f>
        <v/>
      </c>
      <c r="J204" s="702" t="str" cm="1">
        <f t="array" ref="J204">_xll.RssMarket($B204, "前日比")</f>
        <v/>
      </c>
      <c r="K204" s="703" t="str">
        <f>IF(OR(F204="",G204="",H204=""),"",IF(C204="売",(F204-H204)*G204,(H204-F204)*G204))</f>
        <v/>
      </c>
      <c r="L204" s="708" t="str">
        <f>IF(OR(F204="",H204=""),"",IF(C204="売",(F204-H204)/F204,(H204-F204)/F204))</f>
        <v/>
      </c>
      <c r="M204" s="598" t="str">
        <f>IF($F204="","",$F204*IF($C204="売",1-V811設定!$B$4,1+V811設定!$B$4)-MOD($F204*IF($C204="売",1-V811設定!$B$4,1+V811設定!$B$4),IF($F204&lt;=3000,1,IF($F204&lt;=5000,5,IF($F204&lt;=30000,10,IF($F204&lt;=50000,50,IF($F204&lt;=300000,100,500))))))+IF(AND($C204="売",MOD($F204*IF($C204="売",1-V811設定!$B$4,1+V811設定!$B$4),IF($F204&lt;=3000,1,IF($F204&lt;=5000,5,IF($F204&lt;=30000,10,IF($F204&lt;=50000,50,IF($F204&lt;=300000,100,500))))))&gt;0),IF($F204&lt;=3000,1,IF($F204&lt;=5000,5,IF($F204&lt;=30000,10,IF($F204&lt;=50000,50,IF($F204&lt;=300000,100,500))))),0))</f>
      </c>
      <c r="N204" s="598" t="str">
        <f>IF($F204="","",$F204*IF($C204="売",1+V811設定!$B$3,1-V811設定!$B$3)-MOD($F204*IF($C204="売",1+V811設定!$B$3,1-V811設定!$B$3),IF($F204&lt;=3000,1,IF($F204&lt;=5000,5,IF($F204&lt;=30000,10,IF($F204&lt;=50000,50,IF($F204&lt;=300000,100,500))))))+IF(AND($C204="売",MOD($F204*IF($C204="売",1+V811設定!$B$3,1-V811設定!$B$3),IF($F204&lt;=3000,1,IF($F204&lt;=5000,5,IF($F204&lt;=30000,10,IF($F204&lt;=50000,50,IF($F204&lt;=300000,100,500))))))&gt;0),IF($F204&lt;=3000,1,IF($F204&lt;=5000,5,IF($F204&lt;=30000,10,IF($F204&lt;=50000,50,IF($F204&lt;=300000,100,500))))),0))</f>
      </c>
      <c r="O204" s="478" t="str">
        <f>IF(OR($B204="",$F204="",$H204=""),"",IF($S204="✅売却済","―決済済―",IF($C204="売",IF($H204&lt;=$M204,"🟢利確",IF(AND($R204&lt;&gt;"",$H204&gt;=$R204),"🟠TRAIL",IF($H204&gt;=$N204,"🔴損切",IF($W204&gt;=V811設定!$B$6,"⏱時間決済",IF($H204&gt;=$F204*(1+V811設定!$B$3*0.7),"⚠️損切接近","保持継続"))))),IF($H204&gt;=$M204,"🟢利確",IF(AND($R204&lt;&gt;"",$H204&lt;=$R204),"🟠TRAIL",IF($H204&lt;=$N204,"🔴損切",IF($W204&gt;=V811設定!$B$6,"⏱時間決済",IF($H204&lt;=$F204*(1-V811設定!$B$3*0.7),"⚠️損切接近","保持継続"))))))))</f>
      </c>
      <c r="P204" s="445"/>
      <c r="Q204" s="445"/>
      <c r="R204" s="480" t="str">
        <f>IF(OR($F204="",$H204="",$N204=""),"",IF($S204="✅売却済","",IF($C204="売",IF($H204&gt;$F204*(1-V811設定!$B$3),$N204,MIN($N204,IF($Q204="",$N204,$Q204*1.03))),IF($H204&lt;$F204*(1+V811設定!$B$3),$N204,MAX($N204,IF($P204="",$N204,$P204*0.97))))))</f>
      </c>
      <c r="S204" s="480" t="str">
        <f>IF(B204="","",IF(T204&lt;&gt;"","✅売却済",IF(OR(H204="",L204=""),"📌保有中",IF(L204&gt;=0.06,"🟢利確推奨",IF(L204&gt;=0.05,"🟡利確直近",IF(L204&gt;=0.045,"🔵トレーリング検討",IF(L204&gt;-0.03,"📌保有中",IF(L204&gt;-0.04,"⚠️損切注意","🔴損切り"))))))))</f>
        <v/>
      </c>
      <c r="T204" s="596"/>
      <c r="U204" s="598"/>
      <c r="V204" s="703" t="str">
        <f>IF(OR(F204="",G204="",U204=""),"",IF(C204="売",(F204-U204)*G204,(U204-F204)*G204))</f>
        <v/>
      </c>
      <c r="W204" s="480" t="str">
        <f>IF(OR($E204="",$B204=""),"",IF($T204&lt;&gt;"",$T204-$E204,TODAY()-$E204)+1)</f>
        <v/>
      </c>
      <c r="X204" s="480" t="str">
        <f>IF(OR($AH204="",$AH204="保有中"),"",$AH204)</f>
        <v/>
      </c>
      <c r="Y204" s="488"/>
      <c r="Z204" s="710"/>
      <c r="AD204" s="608"/>
      <c r="AE204" s="600" t="str">
        <f>IF($E204="","",WORKDAY($E204,12))</f>
        <v/>
      </c>
      <c r="AF204" s="600" t="str" cm="1">
        <f t="array" aca="1" ref="AF204" ca="1">IF(OR($B204="",$M204=""),"",IFERROR(IF($C204="売",_xlfn.MINIFS(安値!$E$3:$IT$3,安値!$E$3:$IT$3,"&gt;"&amp;$E204,安値!$E$3:$IT$3,"&lt;="&amp;$AE204,OFFSET(安値!$E$6:$IT$6,MATCH(TEXT($B204,"0"),TEXT(銘柄管理!$B$6:$B$305,"0"),0)-1,0),"&lt;="&amp;$M204),_xlfn.MINIFS(高値!$E$3:$IT$3,高値!$E$3:$IT$3,"&gt;"&amp;$E204,高値!$E$3:$IT$3,"&lt;="&amp;$AE204,OFFSET(高値!$E$6:$IT$6,MATCH(TEXT($B204,"0"),TEXT(銘柄管理!$B$6:$B$305,"0"),0)-1,0),"&gt;="&amp;$M204)),""))</f>
        <v/>
      </c>
      <c r="AG204" s="600" t="str" cm="1">
        <f t="array" aca="1" ref="AG204" ca="1">IF(OR($B204="",$N204=""),"",IFERROR(IF($C204="売",_xlfn.MINIFS(高値!$E$3:$IT$3,高値!$E$3:$IT$3,"&gt;"&amp;$E204,高値!$E$3:$IT$3,"&lt;="&amp;$AE204,OFFSET(高値!$E$6:$IT$6,MATCH(TEXT($B204,"0"),TEXT(銘柄管理!$B$6:$B$305,"0"),0)-1,0),"&gt;="&amp;$N204),_xlfn.MINIFS(安値!$E$3:$IT$3,安値!$E$3:$IT$3,"&gt;"&amp;$E204,安値!$E$3:$IT$3,"&lt;="&amp;$AE204,OFFSET(安値!$E$6:$IT$6,MATCH(TEXT($B204,"0"),TEXT(銘柄管理!$B$6:$B$305,"0"),0)-1,0),"&lt;="&amp;$N204)),""))</f>
        <v/>
      </c>
      <c r="AH204" s="600" t="str">
        <f>IF(OR($B204="",$M204=""),"",IF(AND(N($AF204)=0,N($AG204)=0),IF(AND(ISNUMBER($H204),$H204&gt;0,IF($C204="売",$H204&gt;=$N204,$H204&lt;=$N204)),"損切確定",IF(AND(ISNUMBER($H204),$H204&gt;0,IF($C204="売",$H204&lt;=$M204,$H204&gt;=$M204)),"利益確定",IF($AE204&lt;=TODAY(),"日数制限","保有中"))),IF(N($AG204)=0,"利益確定",IF(N($AF204)=0,"損切確定",IF($AG204&lt;=$AF204,"損切確定","利益確定")))))</f>
        <v/>
      </c>
      <c r="AI204" s="600" t="str" cm="1">
        <f t="array" ref="AI204">IFERROR(INDEX(始値!$E$6:$IT$305,MATCH(TEXT($B204,"0"),TEXT(銘柄管理!$B$6:$B$305,"0"),0),MATCH($AE204,始値!$E$3:$IT$3,0)),"")</f>
        <v/>
      </c>
      <c r="AJ204" s="608" t="str">
        <f>IF(OR($V204="",$F204="",$G204=""),"",$V204/($F204*$G204))</f>
        <v/>
      </c>
      <c r="AK204" s="600" t="str">
        <f>IF($V204="","",IF($V204&gt;0,"○勝",IF($V204&lt;0,"●負","△引分")))</f>
        <v/>
      </c>
    </row>
    <row r="205" spans="1:37" ht="17.25" customHeight="1">
      <c r="A205" s="621" t="str">
        <f>IF(B205="","",HYPERLINK("https://kabutan.jp/stock/?code="&amp;B205,"株探"))</f>
        <v/>
      </c>
      <c r="B205" s="480"/>
      <c r="C205" s="480"/>
      <c r="D205" s="480" t="str" cm="1">
        <f t="array" ref="D205">_xll.RssMarket(B205, "銘柄名称")</f>
        <v/>
      </c>
      <c r="E205" s="717"/>
      <c r="F205" s="698" t="str" cm="1">
        <f t="array" aca="1" ref="F205" ca="1">IFERROR(_xlfn.LET(_xlpm.r,MATCH(TEXT($B205,"0"),TEXT(銘柄管理!$B$6:$B$305,"0"),0),_xlpm.t,MOD(NOW(),1),_xlpm.c,IF($E205=TODAY(),IF(_xlpm.t&gt;=TIME(15,30,0),NA(),1),IF(MATCH($E205,始値!$E$3:$IT$3,0)=1,1,MATCH($E205,始値!$E$3:$IT$3,0)+1)),_xlpm.v,INDEX(始値!$C$6:$IT$305,_xlpm.r,_xlpm.c),IF(N(_xlpm.v)=0,"",_xlpm.v)),"")</f>
        <v/>
      </c>
      <c r="G205" s="480"/>
      <c r="H205" s="480" t="str" cm="1">
        <f t="array" ref="H205">_xll.RssMarket(B205, "現在値")</f>
        <v/>
      </c>
      <c r="I205" s="480" t="str" cm="1">
        <f t="array" ref="I205">_xll.RssMarket(B205, "出来高加重平均")</f>
        <v/>
      </c>
      <c r="J205" s="702" t="str" cm="1">
        <f t="array" ref="J205">_xll.RssMarket($B205, "前日比")</f>
        <v/>
      </c>
      <c r="K205" s="703" t="str">
        <f>IF(OR(F205="",G205="",H205=""),"",IF(C205="売",(F205-H205)*G205,(H205-F205)*G205))</f>
        <v/>
      </c>
      <c r="L205" s="708" t="str">
        <f>IF(OR(F205="",H205=""),"",IF(C205="売",(F205-H205)/F205,(H205-F205)/F205))</f>
        <v/>
      </c>
      <c r="M205" s="598" t="str">
        <f>IF($F205="","",$F205*IF($C205="売",1-V811設定!$B$4,1+V811設定!$B$4)-MOD($F205*IF($C205="売",1-V811設定!$B$4,1+V811設定!$B$4),IF($F205&lt;=3000,1,IF($F205&lt;=5000,5,IF($F205&lt;=30000,10,IF($F205&lt;=50000,50,IF($F205&lt;=300000,100,500))))))+IF(AND($C205="売",MOD($F205*IF($C205="売",1-V811設定!$B$4,1+V811設定!$B$4),IF($F205&lt;=3000,1,IF($F205&lt;=5000,5,IF($F205&lt;=30000,10,IF($F205&lt;=50000,50,IF($F205&lt;=300000,100,500))))))&gt;0),IF($F205&lt;=3000,1,IF($F205&lt;=5000,5,IF($F205&lt;=30000,10,IF($F205&lt;=50000,50,IF($F205&lt;=300000,100,500))))),0))</f>
      </c>
      <c r="N205" s="598" t="str">
        <f>IF($F205="","",$F205*IF($C205="売",1+V811設定!$B$3,1-V811設定!$B$3)-MOD($F205*IF($C205="売",1+V811設定!$B$3,1-V811設定!$B$3),IF($F205&lt;=3000,1,IF($F205&lt;=5000,5,IF($F205&lt;=30000,10,IF($F205&lt;=50000,50,IF($F205&lt;=300000,100,500))))))+IF(AND($C205="売",MOD($F205*IF($C205="売",1+V811設定!$B$3,1-V811設定!$B$3),IF($F205&lt;=3000,1,IF($F205&lt;=5000,5,IF($F205&lt;=30000,10,IF($F205&lt;=50000,50,IF($F205&lt;=300000,100,500))))))&gt;0),IF($F205&lt;=3000,1,IF($F205&lt;=5000,5,IF($F205&lt;=30000,10,IF($F205&lt;=50000,50,IF($F205&lt;=300000,100,500))))),0))</f>
      </c>
      <c r="O205" s="478" t="str">
        <f>IF(OR($B205="",$F205="",$H205=""),"",IF($S205="✅売却済","―決済済―",IF($C205="売",IF($H205&lt;=$M205,"🟢利確",IF(AND($R205&lt;&gt;"",$H205&gt;=$R205),"🟠TRAIL",IF($H205&gt;=$N205,"🔴損切",IF($W205&gt;=V811設定!$B$6,"⏱時間決済",IF($H205&gt;=$F205*(1+V811設定!$B$3*0.7),"⚠️損切接近","保持継続"))))),IF($H205&gt;=$M205,"🟢利確",IF(AND($R205&lt;&gt;"",$H205&lt;=$R205),"🟠TRAIL",IF($H205&lt;=$N205,"🔴損切",IF($W205&gt;=V811設定!$B$6,"⏱時間決済",IF($H205&lt;=$F205*(1-V811設定!$B$3*0.7),"⚠️損切接近","保持継続"))))))))</f>
      </c>
      <c r="P205" s="445"/>
      <c r="Q205" s="445"/>
      <c r="R205" s="480" t="str">
        <f>IF(OR($F205="",$H205="",$N205=""),"",IF($S205="✅売却済","",IF($C205="売",IF($H205&gt;$F205*(1-V811設定!$B$3),$N205,MIN($N205,IF($Q205="",$N205,$Q205*1.03))),IF($H205&lt;$F205*(1+V811設定!$B$3),$N205,MAX($N205,IF($P205="",$N205,$P205*0.97))))))</f>
      </c>
      <c r="S205" s="480" t="str">
        <f>IF(B205="","",IF(T205&lt;&gt;"","✅売却済",IF(OR(H205="",L205=""),"📌保有中",IF(L205&gt;=0.06,"🟢利確推奨",IF(L205&gt;=0.05,"🟡利確直近",IF(L205&gt;=0.045,"🔵トレーリング検討",IF(L205&gt;-0.03,"📌保有中",IF(L205&gt;-0.04,"⚠️損切注意","🔴損切り"))))))))</f>
        <v/>
      </c>
      <c r="T205" s="596"/>
      <c r="U205" s="598"/>
      <c r="V205" s="703" t="str">
        <f>IF(OR(F205="",G205="",U205=""),"",IF(C205="売",(F205-U205)*G205,(U205-F205)*G205))</f>
        <v/>
      </c>
      <c r="W205" s="480" t="str">
        <f>IF(OR($E205="",$B205=""),"",IF($T205&lt;&gt;"",$T205-$E205,TODAY()-$E205)+1)</f>
        <v/>
      </c>
      <c r="X205" s="480" t="str">
        <f>IF(OR($AH205="",$AH205="保有中"),"",$AH205)</f>
        <v/>
      </c>
      <c r="Y205" s="488"/>
      <c r="Z205" s="710"/>
      <c r="AD205" s="608"/>
      <c r="AE205" s="600" t="str">
        <f>IF($E205="","",WORKDAY($E205,12))</f>
        <v/>
      </c>
      <c r="AF205" s="600" t="str" cm="1">
        <f t="array" aca="1" ref="AF205" ca="1">IF(OR($B205="",$M205=""),"",IFERROR(IF($C205="売",_xlfn.MINIFS(安値!$E$3:$IT$3,安値!$E$3:$IT$3,"&gt;"&amp;$E205,安値!$E$3:$IT$3,"&lt;="&amp;$AE205,OFFSET(安値!$E$6:$IT$6,MATCH(TEXT($B205,"0"),TEXT(銘柄管理!$B$6:$B$305,"0"),0)-1,0),"&lt;="&amp;$M205),_xlfn.MINIFS(高値!$E$3:$IT$3,高値!$E$3:$IT$3,"&gt;"&amp;$E205,高値!$E$3:$IT$3,"&lt;="&amp;$AE205,OFFSET(高値!$E$6:$IT$6,MATCH(TEXT($B205,"0"),TEXT(銘柄管理!$B$6:$B$305,"0"),0)-1,0),"&gt;="&amp;$M205)),""))</f>
        <v/>
      </c>
      <c r="AG205" s="600" t="str" cm="1">
        <f t="array" aca="1" ref="AG205" ca="1">IF(OR($B205="",$N205=""),"",IFERROR(IF($C205="売",_xlfn.MINIFS(高値!$E$3:$IT$3,高値!$E$3:$IT$3,"&gt;"&amp;$E205,高値!$E$3:$IT$3,"&lt;="&amp;$AE205,OFFSET(高値!$E$6:$IT$6,MATCH(TEXT($B205,"0"),TEXT(銘柄管理!$B$6:$B$305,"0"),0)-1,0),"&gt;="&amp;$N205),_xlfn.MINIFS(安値!$E$3:$IT$3,安値!$E$3:$IT$3,"&gt;"&amp;$E205,安値!$E$3:$IT$3,"&lt;="&amp;$AE205,OFFSET(安値!$E$6:$IT$6,MATCH(TEXT($B205,"0"),TEXT(銘柄管理!$B$6:$B$305,"0"),0)-1,0),"&lt;="&amp;$N205)),""))</f>
        <v/>
      </c>
      <c r="AH205" s="600" t="str">
        <f>IF(OR($B205="",$M205=""),"",IF(AND(N($AF205)=0,N($AG205)=0),IF(AND(ISNUMBER($H205),$H205&gt;0,IF($C205="売",$H205&gt;=$N205,$H205&lt;=$N205)),"損切確定",IF(AND(ISNUMBER($H205),$H205&gt;0,IF($C205="売",$H205&lt;=$M205,$H205&gt;=$M205)),"利益確定",IF($AE205&lt;=TODAY(),"日数制限","保有中"))),IF(N($AG205)=0,"利益確定",IF(N($AF205)=0,"損切確定",IF($AG205&lt;=$AF205,"損切確定","利益確定")))))</f>
        <v/>
      </c>
      <c r="AI205" s="600" t="str" cm="1">
        <f t="array" ref="AI205">IFERROR(INDEX(始値!$E$6:$IT$305,MATCH(TEXT($B205,"0"),TEXT(銘柄管理!$B$6:$B$305,"0"),0),MATCH($AE205,始値!$E$3:$IT$3,0)),"")</f>
        <v/>
      </c>
      <c r="AJ205" s="608" t="str">
        <f>IF(OR($V205="",$F205="",$G205=""),"",$V205/($F205*$G205))</f>
        <v/>
      </c>
      <c r="AK205" s="600" t="str">
        <f>IF($V205="","",IF($V205&gt;0,"○勝",IF($V205&lt;0,"●負","△引分")))</f>
        <v/>
      </c>
    </row>
    <row r="206" spans="1:37" ht="17.25" customHeight="1">
      <c r="A206" s="621" t="str">
        <f>IF(B206="","",HYPERLINK("https://kabutan.jp/stock/?code="&amp;B206,"株探"))</f>
        <v/>
      </c>
      <c r="B206" s="480"/>
      <c r="C206" s="480"/>
      <c r="D206" s="480" t="str" cm="1">
        <f t="array" ref="D206">_xll.RssMarket(B206, "銘柄名称")</f>
        <v/>
      </c>
      <c r="E206" s="717"/>
      <c r="F206" s="698" t="str" cm="1">
        <f t="array" aca="1" ref="F206" ca="1">IFERROR(_xlfn.LET(_xlpm.r,MATCH(TEXT($B206,"0"),TEXT(銘柄管理!$B$6:$B$305,"0"),0),_xlpm.t,MOD(NOW(),1),_xlpm.c,IF($E206=TODAY(),IF(_xlpm.t&gt;=TIME(15,30,0),NA(),1),IF(MATCH($E206,始値!$E$3:$IT$3,0)=1,1,MATCH($E206,始値!$E$3:$IT$3,0)+1)),_xlpm.v,INDEX(始値!$C$6:$IT$305,_xlpm.r,_xlpm.c),IF(N(_xlpm.v)=0,"",_xlpm.v)),"")</f>
        <v/>
      </c>
      <c r="G206" s="480"/>
      <c r="H206" s="480" t="str" cm="1">
        <f t="array" ref="H206">_xll.RssMarket(B206, "現在値")</f>
        <v/>
      </c>
      <c r="I206" s="480" t="str" cm="1">
        <f t="array" ref="I206">_xll.RssMarket(B206, "出来高加重平均")</f>
        <v/>
      </c>
      <c r="J206" s="702" t="str" cm="1">
        <f t="array" ref="J206">_xll.RssMarket($B206, "前日比")</f>
        <v/>
      </c>
      <c r="K206" s="703" t="str">
        <f>IF(OR(F206="",G206="",H206=""),"",IF(C206="売",(F206-H206)*G206,(H206-F206)*G206))</f>
        <v/>
      </c>
      <c r="L206" s="708" t="str">
        <f>IF(OR(F206="",H206=""),"",IF(C206="売",(F206-H206)/F206,(H206-F206)/F206))</f>
        <v/>
      </c>
      <c r="M206" s="598" t="str">
        <f>IF($F206="","",$F206*IF($C206="売",1-V811設定!$B$4,1+V811設定!$B$4)-MOD($F206*IF($C206="売",1-V811設定!$B$4,1+V811設定!$B$4),IF($F206&lt;=3000,1,IF($F206&lt;=5000,5,IF($F206&lt;=30000,10,IF($F206&lt;=50000,50,IF($F206&lt;=300000,100,500))))))+IF(AND($C206="売",MOD($F206*IF($C206="売",1-V811設定!$B$4,1+V811設定!$B$4),IF($F206&lt;=3000,1,IF($F206&lt;=5000,5,IF($F206&lt;=30000,10,IF($F206&lt;=50000,50,IF($F206&lt;=300000,100,500))))))&gt;0),IF($F206&lt;=3000,1,IF($F206&lt;=5000,5,IF($F206&lt;=30000,10,IF($F206&lt;=50000,50,IF($F206&lt;=300000,100,500))))),0))</f>
      </c>
      <c r="N206" s="598" t="str">
        <f>IF($F206="","",$F206*IF($C206="売",1+V811設定!$B$3,1-V811設定!$B$3)-MOD($F206*IF($C206="売",1+V811設定!$B$3,1-V811設定!$B$3),IF($F206&lt;=3000,1,IF($F206&lt;=5000,5,IF($F206&lt;=30000,10,IF($F206&lt;=50000,50,IF($F206&lt;=300000,100,500))))))+IF(AND($C206="売",MOD($F206*IF($C206="売",1+V811設定!$B$3,1-V811設定!$B$3),IF($F206&lt;=3000,1,IF($F206&lt;=5000,5,IF($F206&lt;=30000,10,IF($F206&lt;=50000,50,IF($F206&lt;=300000,100,500))))))&gt;0),IF($F206&lt;=3000,1,IF($F206&lt;=5000,5,IF($F206&lt;=30000,10,IF($F206&lt;=50000,50,IF($F206&lt;=300000,100,500))))),0))</f>
      </c>
      <c r="O206" s="478" t="str">
        <f>IF(OR($B206="",$F206="",$H206=""),"",IF($S206="✅売却済","―決済済―",IF($C206="売",IF($H206&lt;=$M206,"🟢利確",IF(AND($R206&lt;&gt;"",$H206&gt;=$R206),"🟠TRAIL",IF($H206&gt;=$N206,"🔴損切",IF($W206&gt;=V811設定!$B$6,"⏱時間決済",IF($H206&gt;=$F206*(1+V811設定!$B$3*0.7),"⚠️損切接近","保持継続"))))),IF($H206&gt;=$M206,"🟢利確",IF(AND($R206&lt;&gt;"",$H206&lt;=$R206),"🟠TRAIL",IF($H206&lt;=$N206,"🔴損切",IF($W206&gt;=V811設定!$B$6,"⏱時間決済",IF($H206&lt;=$F206*(1-V811設定!$B$3*0.7),"⚠️損切接近","保持継続"))))))))</f>
      </c>
      <c r="P206" s="445"/>
      <c r="Q206" s="445"/>
      <c r="R206" s="480" t="str">
        <f>IF(OR($F206="",$H206="",$N206=""),"",IF($S206="✅売却済","",IF($C206="売",IF($H206&gt;$F206*(1-V811設定!$B$3),$N206,MIN($N206,IF($Q206="",$N206,$Q206*1.03))),IF($H206&lt;$F206*(1+V811設定!$B$3),$N206,MAX($N206,IF($P206="",$N206,$P206*0.97))))))</f>
      </c>
      <c r="S206" s="480" t="str">
        <f>IF(B206="","",IF(T206&lt;&gt;"","✅売却済",IF(OR(H206="",L206=""),"📌保有中",IF(L206&gt;=0.06,"🟢利確推奨",IF(L206&gt;=0.05,"🟡利確直近",IF(L206&gt;=0.045,"🔵トレーリング検討",IF(L206&gt;-0.03,"📌保有中",IF(L206&gt;-0.04,"⚠️損切注意","🔴損切り"))))))))</f>
        <v/>
      </c>
      <c r="T206" s="596"/>
      <c r="U206" s="598"/>
      <c r="V206" s="703" t="str">
        <f>IF(OR(F206="",G206="",U206=""),"",IF(C206="売",(F206-U206)*G206,(U206-F206)*G206))</f>
        <v/>
      </c>
      <c r="W206" s="480" t="str">
        <f>IF(OR($E206="",$B206=""),"",IF($T206&lt;&gt;"",$T206-$E206,TODAY()-$E206)+1)</f>
        <v/>
      </c>
      <c r="X206" s="480" t="str">
        <f>IF(OR($AH206="",$AH206="保有中"),"",$AH206)</f>
        <v/>
      </c>
      <c r="Y206" s="488"/>
      <c r="Z206" s="710"/>
      <c r="AD206" s="608"/>
      <c r="AE206" s="600" t="str">
        <f>IF($E206="","",WORKDAY($E206,12))</f>
        <v/>
      </c>
      <c r="AF206" s="600" t="str" cm="1">
        <f t="array" aca="1" ref="AF206" ca="1">IF(OR($B206="",$M206=""),"",IFERROR(IF($C206="売",_xlfn.MINIFS(安値!$E$3:$IT$3,安値!$E$3:$IT$3,"&gt;"&amp;$E206,安値!$E$3:$IT$3,"&lt;="&amp;$AE206,OFFSET(安値!$E$6:$IT$6,MATCH(TEXT($B206,"0"),TEXT(銘柄管理!$B$6:$B$305,"0"),0)-1,0),"&lt;="&amp;$M206),_xlfn.MINIFS(高値!$E$3:$IT$3,高値!$E$3:$IT$3,"&gt;"&amp;$E206,高値!$E$3:$IT$3,"&lt;="&amp;$AE206,OFFSET(高値!$E$6:$IT$6,MATCH(TEXT($B206,"0"),TEXT(銘柄管理!$B$6:$B$305,"0"),0)-1,0),"&gt;="&amp;$M206)),""))</f>
        <v/>
      </c>
      <c r="AG206" s="600" t="str" cm="1">
        <f t="array" aca="1" ref="AG206" ca="1">IF(OR($B206="",$N206=""),"",IFERROR(IF($C206="売",_xlfn.MINIFS(高値!$E$3:$IT$3,高値!$E$3:$IT$3,"&gt;"&amp;$E206,高値!$E$3:$IT$3,"&lt;="&amp;$AE206,OFFSET(高値!$E$6:$IT$6,MATCH(TEXT($B206,"0"),TEXT(銘柄管理!$B$6:$B$305,"0"),0)-1,0),"&gt;="&amp;$N206),_xlfn.MINIFS(安値!$E$3:$IT$3,安値!$E$3:$IT$3,"&gt;"&amp;$E206,安値!$E$3:$IT$3,"&lt;="&amp;$AE206,OFFSET(安値!$E$6:$IT$6,MATCH(TEXT($B206,"0"),TEXT(銘柄管理!$B$6:$B$305,"0"),0)-1,0),"&lt;="&amp;$N206)),""))</f>
        <v/>
      </c>
      <c r="AH206" s="600" t="str">
        <f>IF(OR($B206="",$M206=""),"",IF(AND(N($AF206)=0,N($AG206)=0),IF(AND(ISNUMBER($H206),$H206&gt;0,IF($C206="売",$H206&gt;=$N206,$H206&lt;=$N206)),"損切確定",IF(AND(ISNUMBER($H206),$H206&gt;0,IF($C206="売",$H206&lt;=$M206,$H206&gt;=$M206)),"利益確定",IF($AE206&lt;=TODAY(),"日数制限","保有中"))),IF(N($AG206)=0,"利益確定",IF(N($AF206)=0,"損切確定",IF($AG206&lt;=$AF206,"損切確定","利益確定")))))</f>
        <v/>
      </c>
      <c r="AI206" s="600" t="str" cm="1">
        <f t="array" ref="AI206">IFERROR(INDEX(始値!$E$6:$IT$305,MATCH(TEXT($B206,"0"),TEXT(銘柄管理!$B$6:$B$305,"0"),0),MATCH($AE206,始値!$E$3:$IT$3,0)),"")</f>
        <v/>
      </c>
      <c r="AJ206" s="608" t="str">
        <f>IF(OR($V206="",$F206="",$G206=""),"",$V206/($F206*$G206))</f>
        <v/>
      </c>
      <c r="AK206" s="600" t="str">
        <f>IF($V206="","",IF($V206&gt;0,"○勝",IF($V206&lt;0,"●負","△引分")))</f>
        <v/>
      </c>
    </row>
    <row r="207" spans="1:37" ht="17.25" customHeight="1">
      <c r="A207" s="621" t="str">
        <f>IF(B207="","",HYPERLINK("https://kabutan.jp/stock/?code="&amp;B207,"株探"))</f>
        <v/>
      </c>
      <c r="B207" s="480"/>
      <c r="C207" s="480"/>
      <c r="D207" s="480" t="str" cm="1">
        <f t="array" ref="D207">_xll.RssMarket(B207, "銘柄名称")</f>
        <v/>
      </c>
      <c r="E207" s="717"/>
      <c r="F207" s="698" t="str" cm="1">
        <f t="array" aca="1" ref="F207" ca="1">IFERROR(_xlfn.LET(_xlpm.r,MATCH(TEXT($B207,"0"),TEXT(銘柄管理!$B$6:$B$305,"0"),0),_xlpm.t,MOD(NOW(),1),_xlpm.c,IF($E207=TODAY(),IF(_xlpm.t&gt;=TIME(15,30,0),NA(),1),IF(MATCH($E207,始値!$E$3:$IT$3,0)=1,1,MATCH($E207,始値!$E$3:$IT$3,0)+1)),_xlpm.v,INDEX(始値!$C$6:$IT$305,_xlpm.r,_xlpm.c),IF(N(_xlpm.v)=0,"",_xlpm.v)),"")</f>
        <v/>
      </c>
      <c r="G207" s="480"/>
      <c r="H207" s="480" t="str" cm="1">
        <f t="array" ref="H207">_xll.RssMarket(B207, "現在値")</f>
        <v/>
      </c>
      <c r="I207" s="480" t="str" cm="1">
        <f t="array" ref="I207">_xll.RssMarket(B207, "出来高加重平均")</f>
        <v/>
      </c>
      <c r="J207" s="702" t="str" cm="1">
        <f t="array" ref="J207">_xll.RssMarket($B207, "前日比")</f>
        <v/>
      </c>
      <c r="K207" s="703" t="str">
        <f>IF(OR(F207="",G207="",H207=""),"",IF(C207="売",(F207-H207)*G207,(H207-F207)*G207))</f>
        <v/>
      </c>
      <c r="L207" s="708" t="str">
        <f>IF(OR(F207="",H207=""),"",IF(C207="売",(F207-H207)/F207,(H207-F207)/F207))</f>
        <v/>
      </c>
      <c r="M207" s="598" t="str">
        <f>IF($F207="","",$F207*IF($C207="売",1-V811設定!$B$4,1+V811設定!$B$4)-MOD($F207*IF($C207="売",1-V811設定!$B$4,1+V811設定!$B$4),IF($F207&lt;=3000,1,IF($F207&lt;=5000,5,IF($F207&lt;=30000,10,IF($F207&lt;=50000,50,IF($F207&lt;=300000,100,500))))))+IF(AND($C207="売",MOD($F207*IF($C207="売",1-V811設定!$B$4,1+V811設定!$B$4),IF($F207&lt;=3000,1,IF($F207&lt;=5000,5,IF($F207&lt;=30000,10,IF($F207&lt;=50000,50,IF($F207&lt;=300000,100,500))))))&gt;0),IF($F207&lt;=3000,1,IF($F207&lt;=5000,5,IF($F207&lt;=30000,10,IF($F207&lt;=50000,50,IF($F207&lt;=300000,100,500))))),0))</f>
      </c>
      <c r="N207" s="598" t="str">
        <f>IF($F207="","",$F207*IF($C207="売",1+V811設定!$B$3,1-V811設定!$B$3)-MOD($F207*IF($C207="売",1+V811設定!$B$3,1-V811設定!$B$3),IF($F207&lt;=3000,1,IF($F207&lt;=5000,5,IF($F207&lt;=30000,10,IF($F207&lt;=50000,50,IF($F207&lt;=300000,100,500))))))+IF(AND($C207="売",MOD($F207*IF($C207="売",1+V811設定!$B$3,1-V811設定!$B$3),IF($F207&lt;=3000,1,IF($F207&lt;=5000,5,IF($F207&lt;=30000,10,IF($F207&lt;=50000,50,IF($F207&lt;=300000,100,500))))))&gt;0),IF($F207&lt;=3000,1,IF($F207&lt;=5000,5,IF($F207&lt;=30000,10,IF($F207&lt;=50000,50,IF($F207&lt;=300000,100,500))))),0))</f>
      </c>
      <c r="O207" s="478" t="str">
        <f>IF(OR($B207="",$F207="",$H207=""),"",IF($S207="✅売却済","―決済済―",IF($C207="売",IF($H207&lt;=$M207,"🟢利確",IF(AND($R207&lt;&gt;"",$H207&gt;=$R207),"🟠TRAIL",IF($H207&gt;=$N207,"🔴損切",IF($W207&gt;=V811設定!$B$6,"⏱時間決済",IF($H207&gt;=$F207*(1+V811設定!$B$3*0.7),"⚠️損切接近","保持継続"))))),IF($H207&gt;=$M207,"🟢利確",IF(AND($R207&lt;&gt;"",$H207&lt;=$R207),"🟠TRAIL",IF($H207&lt;=$N207,"🔴損切",IF($W207&gt;=V811設定!$B$6,"⏱時間決済",IF($H207&lt;=$F207*(1-V811設定!$B$3*0.7),"⚠️損切接近","保持継続"))))))))</f>
      </c>
      <c r="P207" s="445"/>
      <c r="Q207" s="445"/>
      <c r="R207" s="480" t="str">
        <f>IF(OR($F207="",$H207="",$N207=""),"",IF($S207="✅売却済","",IF($C207="売",IF($H207&gt;$F207*(1-V811設定!$B$3),$N207,MIN($N207,IF($Q207="",$N207,$Q207*1.03))),IF($H207&lt;$F207*(1+V811設定!$B$3),$N207,MAX($N207,IF($P207="",$N207,$P207*0.97))))))</f>
      </c>
      <c r="S207" s="480" t="str">
        <f>IF(B207="","",IF(T207&lt;&gt;"","✅売却済",IF(OR(H207="",L207=""),"📌保有中",IF(L207&gt;=0.06,"🟢利確推奨",IF(L207&gt;=0.05,"🟡利確直近",IF(L207&gt;=0.045,"🔵トレーリング検討",IF(L207&gt;-0.03,"📌保有中",IF(L207&gt;-0.04,"⚠️損切注意","🔴損切り"))))))))</f>
        <v/>
      </c>
      <c r="T207" s="596"/>
      <c r="U207" s="598"/>
      <c r="V207" s="703" t="str">
        <f>IF(OR(F207="",G207="",U207=""),"",IF(C207="売",(F207-U207)*G207,(U207-F207)*G207))</f>
        <v/>
      </c>
      <c r="W207" s="480" t="str">
        <f>IF(OR($E207="",$B207=""),"",IF($T207&lt;&gt;"",$T207-$E207,TODAY()-$E207)+1)</f>
        <v/>
      </c>
      <c r="X207" s="480" t="str">
        <f>IF(OR($AH207="",$AH207="保有中"),"",$AH207)</f>
        <v/>
      </c>
      <c r="Y207" s="488"/>
      <c r="Z207" s="710"/>
      <c r="AD207" s="608"/>
      <c r="AE207" s="600" t="str">
        <f>IF($E207="","",WORKDAY($E207,12))</f>
        <v/>
      </c>
      <c r="AF207" s="600" t="str" cm="1">
        <f t="array" aca="1" ref="AF207" ca="1">IF(OR($B207="",$M207=""),"",IFERROR(IF($C207="売",_xlfn.MINIFS(安値!$E$3:$IT$3,安値!$E$3:$IT$3,"&gt;"&amp;$E207,安値!$E$3:$IT$3,"&lt;="&amp;$AE207,OFFSET(安値!$E$6:$IT$6,MATCH(TEXT($B207,"0"),TEXT(銘柄管理!$B$6:$B$305,"0"),0)-1,0),"&lt;="&amp;$M207),_xlfn.MINIFS(高値!$E$3:$IT$3,高値!$E$3:$IT$3,"&gt;"&amp;$E207,高値!$E$3:$IT$3,"&lt;="&amp;$AE207,OFFSET(高値!$E$6:$IT$6,MATCH(TEXT($B207,"0"),TEXT(銘柄管理!$B$6:$B$305,"0"),0)-1,0),"&gt;="&amp;$M207)),""))</f>
        <v/>
      </c>
      <c r="AG207" s="600" t="str" cm="1">
        <f t="array" aca="1" ref="AG207" ca="1">IF(OR($B207="",$N207=""),"",IFERROR(IF($C207="売",_xlfn.MINIFS(高値!$E$3:$IT$3,高値!$E$3:$IT$3,"&gt;"&amp;$E207,高値!$E$3:$IT$3,"&lt;="&amp;$AE207,OFFSET(高値!$E$6:$IT$6,MATCH(TEXT($B207,"0"),TEXT(銘柄管理!$B$6:$B$305,"0"),0)-1,0),"&gt;="&amp;$N207),_xlfn.MINIFS(安値!$E$3:$IT$3,安値!$E$3:$IT$3,"&gt;"&amp;$E207,安値!$E$3:$IT$3,"&lt;="&amp;$AE207,OFFSET(安値!$E$6:$IT$6,MATCH(TEXT($B207,"0"),TEXT(銘柄管理!$B$6:$B$305,"0"),0)-1,0),"&lt;="&amp;$N207)),""))</f>
        <v/>
      </c>
      <c r="AH207" s="600" t="str">
        <f>IF(OR($B207="",$M207=""),"",IF(AND(N($AF207)=0,N($AG207)=0),IF(AND(ISNUMBER($H207),$H207&gt;0,IF($C207="売",$H207&gt;=$N207,$H207&lt;=$N207)),"損切確定",IF(AND(ISNUMBER($H207),$H207&gt;0,IF($C207="売",$H207&lt;=$M207,$H207&gt;=$M207)),"利益確定",IF($AE207&lt;=TODAY(),"日数制限","保有中"))),IF(N($AG207)=0,"利益確定",IF(N($AF207)=0,"損切確定",IF($AG207&lt;=$AF207,"損切確定","利益確定")))))</f>
        <v/>
      </c>
      <c r="AI207" s="600" t="str" cm="1">
        <f t="array" ref="AI207">IFERROR(INDEX(始値!$E$6:$IT$305,MATCH(TEXT($B207,"0"),TEXT(銘柄管理!$B$6:$B$305,"0"),0),MATCH($AE207,始値!$E$3:$IT$3,0)),"")</f>
        <v/>
      </c>
      <c r="AJ207" s="608" t="str">
        <f>IF(OR($V207="",$F207="",$G207=""),"",$V207/($F207*$G207))</f>
        <v/>
      </c>
      <c r="AK207" s="600" t="str">
        <f>IF($V207="","",IF($V207&gt;0,"○勝",IF($V207&lt;0,"●負","△引分")))</f>
        <v/>
      </c>
    </row>
    <row r="208" spans="1:37" ht="17.25" customHeight="1">
      <c r="A208" s="621" t="str">
        <f>IF(B208="","",HYPERLINK("https://kabutan.jp/stock/?code="&amp;B208,"株探"))</f>
        <v/>
      </c>
      <c r="B208" s="480"/>
      <c r="C208" s="480"/>
      <c r="D208" s="480" t="str" cm="1">
        <f t="array" ref="D208">_xll.RssMarket(B208, "銘柄名称")</f>
        <v/>
      </c>
      <c r="E208" s="717"/>
      <c r="F208" s="698" t="str" cm="1">
        <f t="array" aca="1" ref="F208" ca="1">IFERROR(_xlfn.LET(_xlpm.r,MATCH(TEXT($B208,"0"),TEXT(銘柄管理!$B$6:$B$305,"0"),0),_xlpm.t,MOD(NOW(),1),_xlpm.c,IF($E208=TODAY(),IF(_xlpm.t&gt;=TIME(15,30,0),NA(),1),IF(MATCH($E208,始値!$E$3:$IT$3,0)=1,1,MATCH($E208,始値!$E$3:$IT$3,0)+1)),_xlpm.v,INDEX(始値!$C$6:$IT$305,_xlpm.r,_xlpm.c),IF(N(_xlpm.v)=0,"",_xlpm.v)),"")</f>
        <v/>
      </c>
      <c r="G208" s="480"/>
      <c r="H208" s="480" t="str" cm="1">
        <f t="array" ref="H208">_xll.RssMarket(B208, "現在値")</f>
        <v/>
      </c>
      <c r="I208" s="480" t="str" cm="1">
        <f t="array" ref="I208">_xll.RssMarket(B208, "出来高加重平均")</f>
        <v/>
      </c>
      <c r="J208" s="702" t="str" cm="1">
        <f t="array" ref="J208">_xll.RssMarket($B208, "前日比")</f>
        <v/>
      </c>
      <c r="K208" s="703" t="str">
        <f>IF(OR(F208="",G208="",H208=""),"",IF(C208="売",(F208-H208)*G208,(H208-F208)*G208))</f>
        <v/>
      </c>
      <c r="L208" s="708" t="str">
        <f>IF(OR(F208="",H208=""),"",IF(C208="売",(F208-H208)/F208,(H208-F208)/F208))</f>
        <v/>
      </c>
      <c r="M208" s="598" t="str">
        <f>IF($F208="","",$F208*IF($C208="売",1-V811設定!$B$4,1+V811設定!$B$4)-MOD($F208*IF($C208="売",1-V811設定!$B$4,1+V811設定!$B$4),IF($F208&lt;=3000,1,IF($F208&lt;=5000,5,IF($F208&lt;=30000,10,IF($F208&lt;=50000,50,IF($F208&lt;=300000,100,500))))))+IF(AND($C208="売",MOD($F208*IF($C208="売",1-V811設定!$B$4,1+V811設定!$B$4),IF($F208&lt;=3000,1,IF($F208&lt;=5000,5,IF($F208&lt;=30000,10,IF($F208&lt;=50000,50,IF($F208&lt;=300000,100,500))))))&gt;0),IF($F208&lt;=3000,1,IF($F208&lt;=5000,5,IF($F208&lt;=30000,10,IF($F208&lt;=50000,50,IF($F208&lt;=300000,100,500))))),0))</f>
      </c>
      <c r="N208" s="598" t="str">
        <f>IF($F208="","",$F208*IF($C208="売",1+V811設定!$B$3,1-V811設定!$B$3)-MOD($F208*IF($C208="売",1+V811設定!$B$3,1-V811設定!$B$3),IF($F208&lt;=3000,1,IF($F208&lt;=5000,5,IF($F208&lt;=30000,10,IF($F208&lt;=50000,50,IF($F208&lt;=300000,100,500))))))+IF(AND($C208="売",MOD($F208*IF($C208="売",1+V811設定!$B$3,1-V811設定!$B$3),IF($F208&lt;=3000,1,IF($F208&lt;=5000,5,IF($F208&lt;=30000,10,IF($F208&lt;=50000,50,IF($F208&lt;=300000,100,500))))))&gt;0),IF($F208&lt;=3000,1,IF($F208&lt;=5000,5,IF($F208&lt;=30000,10,IF($F208&lt;=50000,50,IF($F208&lt;=300000,100,500))))),0))</f>
      </c>
      <c r="O208" s="478" t="str">
        <f>IF(OR($B208="",$F208="",$H208=""),"",IF($S208="✅売却済","―決済済―",IF($C208="売",IF($H208&lt;=$M208,"🟢利確",IF(AND($R208&lt;&gt;"",$H208&gt;=$R208),"🟠TRAIL",IF($H208&gt;=$N208,"🔴損切",IF($W208&gt;=V811設定!$B$6,"⏱時間決済",IF($H208&gt;=$F208*(1+V811設定!$B$3*0.7),"⚠️損切接近","保持継続"))))),IF($H208&gt;=$M208,"🟢利確",IF(AND($R208&lt;&gt;"",$H208&lt;=$R208),"🟠TRAIL",IF($H208&lt;=$N208,"🔴損切",IF($W208&gt;=V811設定!$B$6,"⏱時間決済",IF($H208&lt;=$F208*(1-V811設定!$B$3*0.7),"⚠️損切接近","保持継続"))))))))</f>
      </c>
      <c r="P208" s="445"/>
      <c r="Q208" s="445"/>
      <c r="R208" s="480" t="str">
        <f>IF(OR($F208="",$H208="",$N208=""),"",IF($S208="✅売却済","",IF($C208="売",IF($H208&gt;$F208*(1-V811設定!$B$3),$N208,MIN($N208,IF($Q208="",$N208,$Q208*1.03))),IF($H208&lt;$F208*(1+V811設定!$B$3),$N208,MAX($N208,IF($P208="",$N208,$P208*0.97))))))</f>
      </c>
      <c r="S208" s="480" t="str">
        <f>IF(B208="","",IF(T208&lt;&gt;"","✅売却済",IF(OR(H208="",L208=""),"📌保有中",IF(L208&gt;=0.06,"🟢利確推奨",IF(L208&gt;=0.05,"🟡利確直近",IF(L208&gt;=0.045,"🔵トレーリング検討",IF(L208&gt;-0.03,"📌保有中",IF(L208&gt;-0.04,"⚠️損切注意","🔴損切り"))))))))</f>
        <v/>
      </c>
      <c r="T208" s="596"/>
      <c r="U208" s="598"/>
      <c r="V208" s="703" t="str">
        <f>IF(OR(F208="",G208="",U208=""),"",IF(C208="売",(F208-U208)*G208,(U208-F208)*G208))</f>
        <v/>
      </c>
      <c r="W208" s="480" t="str">
        <f>IF(OR($E208="",$B208=""),"",IF($T208&lt;&gt;"",$T208-$E208,TODAY()-$E208)+1)</f>
        <v/>
      </c>
      <c r="X208" s="480" t="str">
        <f>IF(OR($AH208="",$AH208="保有中"),"",$AH208)</f>
        <v/>
      </c>
      <c r="Y208" s="488"/>
      <c r="Z208" s="710"/>
      <c r="AD208" s="608"/>
      <c r="AE208" s="600" t="str">
        <f>IF($E208="","",WORKDAY($E208,12))</f>
        <v/>
      </c>
      <c r="AF208" s="600" t="str" cm="1">
        <f t="array" aca="1" ref="AF208" ca="1">IF(OR($B208="",$M208=""),"",IFERROR(IF($C208="売",_xlfn.MINIFS(安値!$E$3:$IT$3,安値!$E$3:$IT$3,"&gt;"&amp;$E208,安値!$E$3:$IT$3,"&lt;="&amp;$AE208,OFFSET(安値!$E$6:$IT$6,MATCH(TEXT($B208,"0"),TEXT(銘柄管理!$B$6:$B$305,"0"),0)-1,0),"&lt;="&amp;$M208),_xlfn.MINIFS(高値!$E$3:$IT$3,高値!$E$3:$IT$3,"&gt;"&amp;$E208,高値!$E$3:$IT$3,"&lt;="&amp;$AE208,OFFSET(高値!$E$6:$IT$6,MATCH(TEXT($B208,"0"),TEXT(銘柄管理!$B$6:$B$305,"0"),0)-1,0),"&gt;="&amp;$M208)),""))</f>
        <v/>
      </c>
      <c r="AG208" s="600" t="str" cm="1">
        <f t="array" aca="1" ref="AG208" ca="1">IF(OR($B208="",$N208=""),"",IFERROR(IF($C208="売",_xlfn.MINIFS(高値!$E$3:$IT$3,高値!$E$3:$IT$3,"&gt;"&amp;$E208,高値!$E$3:$IT$3,"&lt;="&amp;$AE208,OFFSET(高値!$E$6:$IT$6,MATCH(TEXT($B208,"0"),TEXT(銘柄管理!$B$6:$B$305,"0"),0)-1,0),"&gt;="&amp;$N208),_xlfn.MINIFS(安値!$E$3:$IT$3,安値!$E$3:$IT$3,"&gt;"&amp;$E208,安値!$E$3:$IT$3,"&lt;="&amp;$AE208,OFFSET(安値!$E$6:$IT$6,MATCH(TEXT($B208,"0"),TEXT(銘柄管理!$B$6:$B$305,"0"),0)-1,0),"&lt;="&amp;$N208)),""))</f>
        <v/>
      </c>
      <c r="AH208" s="600" t="str">
        <f>IF(OR($B208="",$M208=""),"",IF(AND(N($AF208)=0,N($AG208)=0),IF(AND(ISNUMBER($H208),$H208&gt;0,IF($C208="売",$H208&gt;=$N208,$H208&lt;=$N208)),"損切確定",IF(AND(ISNUMBER($H208),$H208&gt;0,IF($C208="売",$H208&lt;=$M208,$H208&gt;=$M208)),"利益確定",IF($AE208&lt;=TODAY(),"日数制限","保有中"))),IF(N($AG208)=0,"利益確定",IF(N($AF208)=0,"損切確定",IF($AG208&lt;=$AF208,"損切確定","利益確定")))))</f>
        <v/>
      </c>
      <c r="AI208" s="600" t="str" cm="1">
        <f t="array" ref="AI208">IFERROR(INDEX(始値!$E$6:$IT$305,MATCH(TEXT($B208,"0"),TEXT(銘柄管理!$B$6:$B$305,"0"),0),MATCH($AE208,始値!$E$3:$IT$3,0)),"")</f>
        <v/>
      </c>
      <c r="AJ208" s="608" t="str">
        <f>IF(OR($V208="",$F208="",$G208=""),"",$V208/($F208*$G208))</f>
        <v/>
      </c>
      <c r="AK208" s="600" t="str">
        <f>IF($V208="","",IF($V208&gt;0,"○勝",IF($V208&lt;0,"●負","△引分")))</f>
        <v/>
      </c>
    </row>
    <row r="209" spans="1:37" ht="17.25" customHeight="1">
      <c r="A209" s="621" t="str">
        <f>IF(B209="","",HYPERLINK("https://kabutan.jp/stock/?code="&amp;B209,"株探"))</f>
        <v/>
      </c>
      <c r="B209" s="480"/>
      <c r="C209" s="480"/>
      <c r="D209" s="480" t="str" cm="1">
        <f t="array" ref="D209">_xll.RssMarket(B209, "銘柄名称")</f>
        <v/>
      </c>
      <c r="E209" s="717"/>
      <c r="F209" s="698" t="str" cm="1">
        <f t="array" aca="1" ref="F209" ca="1">IFERROR(_xlfn.LET(_xlpm.r,MATCH(TEXT($B209,"0"),TEXT(銘柄管理!$B$6:$B$305,"0"),0),_xlpm.t,MOD(NOW(),1),_xlpm.c,IF($E209=TODAY(),IF(_xlpm.t&gt;=TIME(15,30,0),NA(),1),IF(MATCH($E209,始値!$E$3:$IT$3,0)=1,1,MATCH($E209,始値!$E$3:$IT$3,0)+1)),_xlpm.v,INDEX(始値!$C$6:$IT$305,_xlpm.r,_xlpm.c),IF(N(_xlpm.v)=0,"",_xlpm.v)),"")</f>
        <v/>
      </c>
      <c r="G209" s="480"/>
      <c r="H209" s="480" t="str" cm="1">
        <f t="array" ref="H209">_xll.RssMarket(B209, "現在値")</f>
        <v/>
      </c>
      <c r="I209" s="480" t="str" cm="1">
        <f t="array" ref="I209">_xll.RssMarket(B209, "出来高加重平均")</f>
        <v/>
      </c>
      <c r="J209" s="702" t="str" cm="1">
        <f t="array" ref="J209">_xll.RssMarket($B209, "前日比")</f>
        <v/>
      </c>
      <c r="K209" s="703" t="str">
        <f>IF(OR(F209="",G209="",H209=""),"",IF(C209="売",(F209-H209)*G209,(H209-F209)*G209))</f>
        <v/>
      </c>
      <c r="L209" s="708" t="str">
        <f>IF(OR(F209="",H209=""),"",IF(C209="売",(F209-H209)/F209,(H209-F209)/F209))</f>
        <v/>
      </c>
      <c r="M209" s="598" t="str">
        <f>IF($F209="","",$F209*IF($C209="売",1-V811設定!$B$4,1+V811設定!$B$4)-MOD($F209*IF($C209="売",1-V811設定!$B$4,1+V811設定!$B$4),IF($F209&lt;=3000,1,IF($F209&lt;=5000,5,IF($F209&lt;=30000,10,IF($F209&lt;=50000,50,IF($F209&lt;=300000,100,500))))))+IF(AND($C209="売",MOD($F209*IF($C209="売",1-V811設定!$B$4,1+V811設定!$B$4),IF($F209&lt;=3000,1,IF($F209&lt;=5000,5,IF($F209&lt;=30000,10,IF($F209&lt;=50000,50,IF($F209&lt;=300000,100,500))))))&gt;0),IF($F209&lt;=3000,1,IF($F209&lt;=5000,5,IF($F209&lt;=30000,10,IF($F209&lt;=50000,50,IF($F209&lt;=300000,100,500))))),0))</f>
      </c>
      <c r="N209" s="598" t="str">
        <f>IF($F209="","",$F209*IF($C209="売",1+V811設定!$B$3,1-V811設定!$B$3)-MOD($F209*IF($C209="売",1+V811設定!$B$3,1-V811設定!$B$3),IF($F209&lt;=3000,1,IF($F209&lt;=5000,5,IF($F209&lt;=30000,10,IF($F209&lt;=50000,50,IF($F209&lt;=300000,100,500))))))+IF(AND($C209="売",MOD($F209*IF($C209="売",1+V811設定!$B$3,1-V811設定!$B$3),IF($F209&lt;=3000,1,IF($F209&lt;=5000,5,IF($F209&lt;=30000,10,IF($F209&lt;=50000,50,IF($F209&lt;=300000,100,500))))))&gt;0),IF($F209&lt;=3000,1,IF($F209&lt;=5000,5,IF($F209&lt;=30000,10,IF($F209&lt;=50000,50,IF($F209&lt;=300000,100,500))))),0))</f>
      </c>
      <c r="O209" s="478" t="str">
        <f>IF(OR($B209="",$F209="",$H209=""),"",IF($S209="✅売却済","―決済済―",IF($C209="売",IF($H209&lt;=$M209,"🟢利確",IF(AND($R209&lt;&gt;"",$H209&gt;=$R209),"🟠TRAIL",IF($H209&gt;=$N209,"🔴損切",IF($W209&gt;=V811設定!$B$6,"⏱時間決済",IF($H209&gt;=$F209*(1+V811設定!$B$3*0.7),"⚠️損切接近","保持継続"))))),IF($H209&gt;=$M209,"🟢利確",IF(AND($R209&lt;&gt;"",$H209&lt;=$R209),"🟠TRAIL",IF($H209&lt;=$N209,"🔴損切",IF($W209&gt;=V811設定!$B$6,"⏱時間決済",IF($H209&lt;=$F209*(1-V811設定!$B$3*0.7),"⚠️損切接近","保持継続"))))))))</f>
      </c>
      <c r="P209" s="445"/>
      <c r="Q209" s="445"/>
      <c r="R209" s="480" t="str">
        <f>IF(OR($F209="",$H209="",$N209=""),"",IF($S209="✅売却済","",IF($C209="売",IF($H209&gt;$F209*(1-V811設定!$B$3),$N209,MIN($N209,IF($Q209="",$N209,$Q209*1.03))),IF($H209&lt;$F209*(1+V811設定!$B$3),$N209,MAX($N209,IF($P209="",$N209,$P209*0.97))))))</f>
      </c>
      <c r="S209" s="480" t="str">
        <f>IF(B209="","",IF(T209&lt;&gt;"","✅売却済",IF(OR(H209="",L209=""),"📌保有中",IF(L209&gt;=0.06,"🟢利確推奨",IF(L209&gt;=0.05,"🟡利確直近",IF(L209&gt;=0.045,"🔵トレーリング検討",IF(L209&gt;-0.03,"📌保有中",IF(L209&gt;-0.04,"⚠️損切注意","🔴損切り"))))))))</f>
        <v/>
      </c>
      <c r="T209" s="596"/>
      <c r="U209" s="598"/>
      <c r="V209" s="703" t="str">
        <f>IF(OR(F209="",G209="",U209=""),"",IF(C209="売",(F209-U209)*G209,(U209-F209)*G209))</f>
        <v/>
      </c>
      <c r="W209" s="480" t="str">
        <f>IF(OR($E209="",$B209=""),"",IF($T209&lt;&gt;"",$T209-$E209,TODAY()-$E209)+1)</f>
        <v/>
      </c>
      <c r="X209" s="480" t="str">
        <f>IF(OR($AH209="",$AH209="保有中"),"",$AH209)</f>
        <v/>
      </c>
      <c r="Y209" s="488"/>
      <c r="Z209" s="710"/>
      <c r="AD209" s="608"/>
      <c r="AE209" s="600" t="str">
        <f>IF($E209="","",WORKDAY($E209,12))</f>
        <v/>
      </c>
      <c r="AF209" s="600" t="str" cm="1">
        <f t="array" aca="1" ref="AF209" ca="1">IF(OR($B209="",$M209=""),"",IFERROR(IF($C209="売",_xlfn.MINIFS(安値!$E$3:$IT$3,安値!$E$3:$IT$3,"&gt;"&amp;$E209,安値!$E$3:$IT$3,"&lt;="&amp;$AE209,OFFSET(安値!$E$6:$IT$6,MATCH(TEXT($B209,"0"),TEXT(銘柄管理!$B$6:$B$305,"0"),0)-1,0),"&lt;="&amp;$M209),_xlfn.MINIFS(高値!$E$3:$IT$3,高値!$E$3:$IT$3,"&gt;"&amp;$E209,高値!$E$3:$IT$3,"&lt;="&amp;$AE209,OFFSET(高値!$E$6:$IT$6,MATCH(TEXT($B209,"0"),TEXT(銘柄管理!$B$6:$B$305,"0"),0)-1,0),"&gt;="&amp;$M209)),""))</f>
        <v/>
      </c>
      <c r="AG209" s="600" t="str" cm="1">
        <f t="array" aca="1" ref="AG209" ca="1">IF(OR($B209="",$N209=""),"",IFERROR(IF($C209="売",_xlfn.MINIFS(高値!$E$3:$IT$3,高値!$E$3:$IT$3,"&gt;"&amp;$E209,高値!$E$3:$IT$3,"&lt;="&amp;$AE209,OFFSET(高値!$E$6:$IT$6,MATCH(TEXT($B209,"0"),TEXT(銘柄管理!$B$6:$B$305,"0"),0)-1,0),"&gt;="&amp;$N209),_xlfn.MINIFS(安値!$E$3:$IT$3,安値!$E$3:$IT$3,"&gt;"&amp;$E209,安値!$E$3:$IT$3,"&lt;="&amp;$AE209,OFFSET(安値!$E$6:$IT$6,MATCH(TEXT($B209,"0"),TEXT(銘柄管理!$B$6:$B$305,"0"),0)-1,0),"&lt;="&amp;$N209)),""))</f>
        <v/>
      </c>
      <c r="AH209" s="600" t="str">
        <f>IF(OR($B209="",$M209=""),"",IF(AND(N($AF209)=0,N($AG209)=0),IF(AND(ISNUMBER($H209),$H209&gt;0,IF($C209="売",$H209&gt;=$N209,$H209&lt;=$N209)),"損切確定",IF(AND(ISNUMBER($H209),$H209&gt;0,IF($C209="売",$H209&lt;=$M209,$H209&gt;=$M209)),"利益確定",IF($AE209&lt;=TODAY(),"日数制限","保有中"))),IF(N($AG209)=0,"利益確定",IF(N($AF209)=0,"損切確定",IF($AG209&lt;=$AF209,"損切確定","利益確定")))))</f>
        <v/>
      </c>
      <c r="AI209" s="600" t="str" cm="1">
        <f t="array" ref="AI209">IFERROR(INDEX(始値!$E$6:$IT$305,MATCH(TEXT($B209,"0"),TEXT(銘柄管理!$B$6:$B$305,"0"),0),MATCH($AE209,始値!$E$3:$IT$3,0)),"")</f>
        <v/>
      </c>
      <c r="AJ209" s="608" t="str">
        <f>IF(OR($V209="",$F209="",$G209=""),"",$V209/($F209*$G209))</f>
        <v/>
      </c>
      <c r="AK209" s="600" t="str">
        <f>IF($V209="","",IF($V209&gt;0,"○勝",IF($V209&lt;0,"●負","△引分")))</f>
        <v/>
      </c>
    </row>
    <row r="210" spans="1:37" ht="17.25" customHeight="1">
      <c r="A210" s="621" t="str">
        <f>IF(B210="","",HYPERLINK("https://kabutan.jp/stock/?code="&amp;B210,"株探"))</f>
        <v/>
      </c>
      <c r="B210" s="480"/>
      <c r="C210" s="480"/>
      <c r="D210" s="480" t="str" cm="1">
        <f t="array" ref="D210">_xll.RssMarket(B210, "銘柄名称")</f>
        <v/>
      </c>
      <c r="E210" s="717"/>
      <c r="F210" s="698" t="str" cm="1">
        <f t="array" aca="1" ref="F210" ca="1">IFERROR(_xlfn.LET(_xlpm.r,MATCH(TEXT($B210,"0"),TEXT(銘柄管理!$B$6:$B$305,"0"),0),_xlpm.t,MOD(NOW(),1),_xlpm.c,IF($E210=TODAY(),IF(_xlpm.t&gt;=TIME(15,30,0),NA(),1),IF(MATCH($E210,始値!$E$3:$IT$3,0)=1,1,MATCH($E210,始値!$E$3:$IT$3,0)+1)),_xlpm.v,INDEX(始値!$C$6:$IT$305,_xlpm.r,_xlpm.c),IF(N(_xlpm.v)=0,"",_xlpm.v)),"")</f>
        <v/>
      </c>
      <c r="G210" s="480"/>
      <c r="H210" s="480" t="str" cm="1">
        <f t="array" ref="H210">_xll.RssMarket(B210, "現在値")</f>
        <v/>
      </c>
      <c r="I210" s="480" t="str" cm="1">
        <f t="array" ref="I210">_xll.RssMarket(B210, "出来高加重平均")</f>
        <v/>
      </c>
      <c r="J210" s="702" t="str" cm="1">
        <f t="array" ref="J210">_xll.RssMarket($B210, "前日比")</f>
        <v/>
      </c>
      <c r="K210" s="703" t="str">
        <f>IF(OR(F210="",G210="",H210=""),"",IF(C210="売",(F210-H210)*G210,(H210-F210)*G210))</f>
        <v/>
      </c>
      <c r="L210" s="708" t="str">
        <f>IF(OR(F210="",H210=""),"",IF(C210="売",(F210-H210)/F210,(H210-F210)/F210))</f>
        <v/>
      </c>
      <c r="M210" s="598" t="str">
        <f>IF($F210="","",$F210*IF($C210="売",1-V811設定!$B$4,1+V811設定!$B$4)-MOD($F210*IF($C210="売",1-V811設定!$B$4,1+V811設定!$B$4),IF($F210&lt;=3000,1,IF($F210&lt;=5000,5,IF($F210&lt;=30000,10,IF($F210&lt;=50000,50,IF($F210&lt;=300000,100,500))))))+IF(AND($C210="売",MOD($F210*IF($C210="売",1-V811設定!$B$4,1+V811設定!$B$4),IF($F210&lt;=3000,1,IF($F210&lt;=5000,5,IF($F210&lt;=30000,10,IF($F210&lt;=50000,50,IF($F210&lt;=300000,100,500))))))&gt;0),IF($F210&lt;=3000,1,IF($F210&lt;=5000,5,IF($F210&lt;=30000,10,IF($F210&lt;=50000,50,IF($F210&lt;=300000,100,500))))),0))</f>
      </c>
      <c r="N210" s="598" t="str">
        <f>IF($F210="","",$F210*IF($C210="売",1+V811設定!$B$3,1-V811設定!$B$3)-MOD($F210*IF($C210="売",1+V811設定!$B$3,1-V811設定!$B$3),IF($F210&lt;=3000,1,IF($F210&lt;=5000,5,IF($F210&lt;=30000,10,IF($F210&lt;=50000,50,IF($F210&lt;=300000,100,500))))))+IF(AND($C210="売",MOD($F210*IF($C210="売",1+V811設定!$B$3,1-V811設定!$B$3),IF($F210&lt;=3000,1,IF($F210&lt;=5000,5,IF($F210&lt;=30000,10,IF($F210&lt;=50000,50,IF($F210&lt;=300000,100,500))))))&gt;0),IF($F210&lt;=3000,1,IF($F210&lt;=5000,5,IF($F210&lt;=30000,10,IF($F210&lt;=50000,50,IF($F210&lt;=300000,100,500))))),0))</f>
      </c>
      <c r="O210" s="478" t="str">
        <f>IF(OR($B210="",$F210="",$H210=""),"",IF($S210="✅売却済","―決済済―",IF($C210="売",IF($H210&lt;=$M210,"🟢利確",IF(AND($R210&lt;&gt;"",$H210&gt;=$R210),"🟠TRAIL",IF($H210&gt;=$N210,"🔴損切",IF($W210&gt;=V811設定!$B$6,"⏱時間決済",IF($H210&gt;=$F210*(1+V811設定!$B$3*0.7),"⚠️損切接近","保持継続"))))),IF($H210&gt;=$M210,"🟢利確",IF(AND($R210&lt;&gt;"",$H210&lt;=$R210),"🟠TRAIL",IF($H210&lt;=$N210,"🔴損切",IF($W210&gt;=V811設定!$B$6,"⏱時間決済",IF($H210&lt;=$F210*(1-V811設定!$B$3*0.7),"⚠️損切接近","保持継続"))))))))</f>
      </c>
      <c r="P210" s="445"/>
      <c r="Q210" s="445"/>
      <c r="R210" s="480" t="str">
        <f>IF(OR($F210="",$H210="",$N210=""),"",IF($S210="✅売却済","",IF($C210="売",IF($H210&gt;$F210*(1-V811設定!$B$3),$N210,MIN($N210,IF($Q210="",$N210,$Q210*1.03))),IF($H210&lt;$F210*(1+V811設定!$B$3),$N210,MAX($N210,IF($P210="",$N210,$P210*0.97))))))</f>
      </c>
      <c r="S210" s="480" t="str">
        <f>IF(B210="","",IF(T210&lt;&gt;"","✅売却済",IF(OR(H210="",L210=""),"📌保有中",IF(L210&gt;=0.06,"🟢利確推奨",IF(L210&gt;=0.05,"🟡利確直近",IF(L210&gt;=0.045,"🔵トレーリング検討",IF(L210&gt;-0.03,"📌保有中",IF(L210&gt;-0.04,"⚠️損切注意","🔴損切り"))))))))</f>
        <v/>
      </c>
      <c r="T210" s="596"/>
      <c r="U210" s="598"/>
      <c r="V210" s="703" t="str">
        <f>IF(OR(F210="",G210="",U210=""),"",IF(C210="売",(F210-U210)*G210,(U210-F210)*G210))</f>
        <v/>
      </c>
      <c r="W210" s="480" t="str">
        <f>IF(OR($E210="",$B210=""),"",IF($T210&lt;&gt;"",$T210-$E210,TODAY()-$E210)+1)</f>
        <v/>
      </c>
      <c r="X210" s="480" t="str">
        <f>IF(OR($AH210="",$AH210="保有中"),"",$AH210)</f>
        <v/>
      </c>
      <c r="Y210" s="488"/>
      <c r="Z210" s="710"/>
      <c r="AD210" s="608"/>
      <c r="AE210" s="600" t="str">
        <f>IF($E210="","",WORKDAY($E210,12))</f>
        <v/>
      </c>
      <c r="AF210" s="600" t="str" cm="1">
        <f t="array" aca="1" ref="AF210" ca="1">IF(OR($B210="",$M210=""),"",IFERROR(IF($C210="売",_xlfn.MINIFS(安値!$E$3:$IT$3,安値!$E$3:$IT$3,"&gt;"&amp;$E210,安値!$E$3:$IT$3,"&lt;="&amp;$AE210,OFFSET(安値!$E$6:$IT$6,MATCH(TEXT($B210,"0"),TEXT(銘柄管理!$B$6:$B$305,"0"),0)-1,0),"&lt;="&amp;$M210),_xlfn.MINIFS(高値!$E$3:$IT$3,高値!$E$3:$IT$3,"&gt;"&amp;$E210,高値!$E$3:$IT$3,"&lt;="&amp;$AE210,OFFSET(高値!$E$6:$IT$6,MATCH(TEXT($B210,"0"),TEXT(銘柄管理!$B$6:$B$305,"0"),0)-1,0),"&gt;="&amp;$M210)),""))</f>
        <v/>
      </c>
      <c r="AG210" s="600" t="str" cm="1">
        <f t="array" aca="1" ref="AG210" ca="1">IF(OR($B210="",$N210=""),"",IFERROR(IF($C210="売",_xlfn.MINIFS(高値!$E$3:$IT$3,高値!$E$3:$IT$3,"&gt;"&amp;$E210,高値!$E$3:$IT$3,"&lt;="&amp;$AE210,OFFSET(高値!$E$6:$IT$6,MATCH(TEXT($B210,"0"),TEXT(銘柄管理!$B$6:$B$305,"0"),0)-1,0),"&gt;="&amp;$N210),_xlfn.MINIFS(安値!$E$3:$IT$3,安値!$E$3:$IT$3,"&gt;"&amp;$E210,安値!$E$3:$IT$3,"&lt;="&amp;$AE210,OFFSET(安値!$E$6:$IT$6,MATCH(TEXT($B210,"0"),TEXT(銘柄管理!$B$6:$B$305,"0"),0)-1,0),"&lt;="&amp;$N210)),""))</f>
        <v/>
      </c>
      <c r="AH210" s="600" t="str">
        <f>IF(OR($B210="",$M210=""),"",IF(AND(N($AF210)=0,N($AG210)=0),IF(AND(ISNUMBER($H210),$H210&gt;0,IF($C210="売",$H210&gt;=$N210,$H210&lt;=$N210)),"損切確定",IF(AND(ISNUMBER($H210),$H210&gt;0,IF($C210="売",$H210&lt;=$M210,$H210&gt;=$M210)),"利益確定",IF($AE210&lt;=TODAY(),"日数制限","保有中"))),IF(N($AG210)=0,"利益確定",IF(N($AF210)=0,"損切確定",IF($AG210&lt;=$AF210,"損切確定","利益確定")))))</f>
        <v/>
      </c>
      <c r="AI210" s="600" t="str" cm="1">
        <f t="array" ref="AI210">IFERROR(INDEX(始値!$E$6:$IT$305,MATCH(TEXT($B210,"0"),TEXT(銘柄管理!$B$6:$B$305,"0"),0),MATCH($AE210,始値!$E$3:$IT$3,0)),"")</f>
        <v/>
      </c>
      <c r="AJ210" s="608" t="str">
        <f>IF(OR($V210="",$F210="",$G210=""),"",$V210/($F210*$G210))</f>
        <v/>
      </c>
      <c r="AK210" s="600" t="str">
        <f>IF($V210="","",IF($V210&gt;0,"○勝",IF($V210&lt;0,"●負","△引分")))</f>
        <v/>
      </c>
    </row>
    <row r="211" spans="1:37" ht="17.25" customHeight="1">
      <c r="A211" s="621" t="str">
        <f>IF(B211="","",HYPERLINK("https://kabutan.jp/stock/?code="&amp;B211,"株探"))</f>
        <v/>
      </c>
      <c r="B211" s="480"/>
      <c r="C211" s="480"/>
      <c r="D211" s="480" t="str" cm="1">
        <f t="array" ref="D211">_xll.RssMarket(B211, "銘柄名称")</f>
        <v/>
      </c>
      <c r="E211" s="717"/>
      <c r="F211" s="698" t="str" cm="1">
        <f t="array" aca="1" ref="F211" ca="1">IFERROR(_xlfn.LET(_xlpm.r,MATCH(TEXT($B211,"0"),TEXT(銘柄管理!$B$6:$B$305,"0"),0),_xlpm.t,MOD(NOW(),1),_xlpm.c,IF($E211=TODAY(),IF(_xlpm.t&gt;=TIME(15,30,0),NA(),1),IF(MATCH($E211,始値!$E$3:$IT$3,0)=1,1,MATCH($E211,始値!$E$3:$IT$3,0)+1)),_xlpm.v,INDEX(始値!$C$6:$IT$305,_xlpm.r,_xlpm.c),IF(N(_xlpm.v)=0,"",_xlpm.v)),"")</f>
        <v/>
      </c>
      <c r="G211" s="480"/>
      <c r="H211" s="480" t="str" cm="1">
        <f t="array" ref="H211">_xll.RssMarket(B211, "現在値")</f>
        <v/>
      </c>
      <c r="I211" s="480" t="str" cm="1">
        <f t="array" ref="I211">_xll.RssMarket(B211, "出来高加重平均")</f>
        <v/>
      </c>
      <c r="J211" s="702" t="str" cm="1">
        <f t="array" ref="J211">_xll.RssMarket($B211, "前日比")</f>
        <v/>
      </c>
      <c r="K211" s="703" t="str">
        <f>IF(OR(F211="",G211="",H211=""),"",IF(C211="売",(F211-H211)*G211,(H211-F211)*G211))</f>
        <v/>
      </c>
      <c r="L211" s="708" t="str">
        <f>IF(OR(F211="",H211=""),"",IF(C211="売",(F211-H211)/F211,(H211-F211)/F211))</f>
        <v/>
      </c>
      <c r="M211" s="598" t="str">
        <f>IF($F211="","",$F211*IF($C211="売",1-V811設定!$B$4,1+V811設定!$B$4)-MOD($F211*IF($C211="売",1-V811設定!$B$4,1+V811設定!$B$4),IF($F211&lt;=3000,1,IF($F211&lt;=5000,5,IF($F211&lt;=30000,10,IF($F211&lt;=50000,50,IF($F211&lt;=300000,100,500))))))+IF(AND($C211="売",MOD($F211*IF($C211="売",1-V811設定!$B$4,1+V811設定!$B$4),IF($F211&lt;=3000,1,IF($F211&lt;=5000,5,IF($F211&lt;=30000,10,IF($F211&lt;=50000,50,IF($F211&lt;=300000,100,500))))))&gt;0),IF($F211&lt;=3000,1,IF($F211&lt;=5000,5,IF($F211&lt;=30000,10,IF($F211&lt;=50000,50,IF($F211&lt;=300000,100,500))))),0))</f>
      </c>
      <c r="N211" s="598" t="str">
        <f>IF($F211="","",$F211*IF($C211="売",1+V811設定!$B$3,1-V811設定!$B$3)-MOD($F211*IF($C211="売",1+V811設定!$B$3,1-V811設定!$B$3),IF($F211&lt;=3000,1,IF($F211&lt;=5000,5,IF($F211&lt;=30000,10,IF($F211&lt;=50000,50,IF($F211&lt;=300000,100,500))))))+IF(AND($C211="売",MOD($F211*IF($C211="売",1+V811設定!$B$3,1-V811設定!$B$3),IF($F211&lt;=3000,1,IF($F211&lt;=5000,5,IF($F211&lt;=30000,10,IF($F211&lt;=50000,50,IF($F211&lt;=300000,100,500))))))&gt;0),IF($F211&lt;=3000,1,IF($F211&lt;=5000,5,IF($F211&lt;=30000,10,IF($F211&lt;=50000,50,IF($F211&lt;=300000,100,500))))),0))</f>
      </c>
      <c r="O211" s="478" t="str">
        <f>IF(OR($B211="",$F211="",$H211=""),"",IF($S211="✅売却済","―決済済―",IF($C211="売",IF($H211&lt;=$M211,"🟢利確",IF(AND($R211&lt;&gt;"",$H211&gt;=$R211),"🟠TRAIL",IF($H211&gt;=$N211,"🔴損切",IF($W211&gt;=V811設定!$B$6,"⏱時間決済",IF($H211&gt;=$F211*(1+V811設定!$B$3*0.7),"⚠️損切接近","保持継続"))))),IF($H211&gt;=$M211,"🟢利確",IF(AND($R211&lt;&gt;"",$H211&lt;=$R211),"🟠TRAIL",IF($H211&lt;=$N211,"🔴損切",IF($W211&gt;=V811設定!$B$6,"⏱時間決済",IF($H211&lt;=$F211*(1-V811設定!$B$3*0.7),"⚠️損切接近","保持継続"))))))))</f>
      </c>
      <c r="P211" s="445"/>
      <c r="Q211" s="445"/>
      <c r="R211" s="480" t="str">
        <f>IF(OR($F211="",$H211="",$N211=""),"",IF($S211="✅売却済","",IF($C211="売",IF($H211&gt;$F211*(1-V811設定!$B$3),$N211,MIN($N211,IF($Q211="",$N211,$Q211*1.03))),IF($H211&lt;$F211*(1+V811設定!$B$3),$N211,MAX($N211,IF($P211="",$N211,$P211*0.97))))))</f>
      </c>
      <c r="S211" s="480" t="str">
        <f>IF(B211="","",IF(T211&lt;&gt;"","✅売却済",IF(OR(H211="",L211=""),"📌保有中",IF(L211&gt;=0.06,"🟢利確推奨",IF(L211&gt;=0.05,"🟡利確直近",IF(L211&gt;=0.045,"🔵トレーリング検討",IF(L211&gt;-0.03,"📌保有中",IF(L211&gt;-0.04,"⚠️損切注意","🔴損切り"))))))))</f>
        <v/>
      </c>
      <c r="T211" s="596"/>
      <c r="U211" s="598"/>
      <c r="V211" s="703" t="str">
        <f>IF(OR(F211="",G211="",U211=""),"",IF(C211="売",(F211-U211)*G211,(U211-F211)*G211))</f>
        <v/>
      </c>
      <c r="W211" s="480" t="str">
        <f>IF(OR($E211="",$B211=""),"",IF($T211&lt;&gt;"",$T211-$E211,TODAY()-$E211)+1)</f>
        <v/>
      </c>
      <c r="X211" s="480" t="str">
        <f>IF(OR($AH211="",$AH211="保有中"),"",$AH211)</f>
        <v/>
      </c>
      <c r="Y211" s="488"/>
      <c r="Z211" s="710"/>
      <c r="AD211" s="608"/>
      <c r="AE211" s="600" t="str">
        <f>IF($E211="","",WORKDAY($E211,12))</f>
        <v/>
      </c>
      <c r="AF211" s="600" t="str" cm="1">
        <f t="array" aca="1" ref="AF211" ca="1">IF(OR($B211="",$M211=""),"",IFERROR(IF($C211="売",_xlfn.MINIFS(安値!$E$3:$IT$3,安値!$E$3:$IT$3,"&gt;"&amp;$E211,安値!$E$3:$IT$3,"&lt;="&amp;$AE211,OFFSET(安値!$E$6:$IT$6,MATCH(TEXT($B211,"0"),TEXT(銘柄管理!$B$6:$B$305,"0"),0)-1,0),"&lt;="&amp;$M211),_xlfn.MINIFS(高値!$E$3:$IT$3,高値!$E$3:$IT$3,"&gt;"&amp;$E211,高値!$E$3:$IT$3,"&lt;="&amp;$AE211,OFFSET(高値!$E$6:$IT$6,MATCH(TEXT($B211,"0"),TEXT(銘柄管理!$B$6:$B$305,"0"),0)-1,0),"&gt;="&amp;$M211)),""))</f>
        <v/>
      </c>
      <c r="AG211" s="600" t="str" cm="1">
        <f t="array" aca="1" ref="AG211" ca="1">IF(OR($B211="",$N211=""),"",IFERROR(IF($C211="売",_xlfn.MINIFS(高値!$E$3:$IT$3,高値!$E$3:$IT$3,"&gt;"&amp;$E211,高値!$E$3:$IT$3,"&lt;="&amp;$AE211,OFFSET(高値!$E$6:$IT$6,MATCH(TEXT($B211,"0"),TEXT(銘柄管理!$B$6:$B$305,"0"),0)-1,0),"&gt;="&amp;$N211),_xlfn.MINIFS(安値!$E$3:$IT$3,安値!$E$3:$IT$3,"&gt;"&amp;$E211,安値!$E$3:$IT$3,"&lt;="&amp;$AE211,OFFSET(安値!$E$6:$IT$6,MATCH(TEXT($B211,"0"),TEXT(銘柄管理!$B$6:$B$305,"0"),0)-1,0),"&lt;="&amp;$N211)),""))</f>
        <v/>
      </c>
      <c r="AH211" s="600" t="str">
        <f>IF(OR($B211="",$M211=""),"",IF(AND(N($AF211)=0,N($AG211)=0),IF(AND(ISNUMBER($H211),$H211&gt;0,IF($C211="売",$H211&gt;=$N211,$H211&lt;=$N211)),"損切確定",IF(AND(ISNUMBER($H211),$H211&gt;0,IF($C211="売",$H211&lt;=$M211,$H211&gt;=$M211)),"利益確定",IF($AE211&lt;=TODAY(),"日数制限","保有中"))),IF(N($AG211)=0,"利益確定",IF(N($AF211)=0,"損切確定",IF($AG211&lt;=$AF211,"損切確定","利益確定")))))</f>
        <v/>
      </c>
      <c r="AI211" s="600" t="str" cm="1">
        <f t="array" ref="AI211">IFERROR(INDEX(始値!$E$6:$IT$305,MATCH(TEXT($B211,"0"),TEXT(銘柄管理!$B$6:$B$305,"0"),0),MATCH($AE211,始値!$E$3:$IT$3,0)),"")</f>
        <v/>
      </c>
      <c r="AJ211" s="608" t="str">
        <f>IF(OR($V211="",$F211="",$G211=""),"",$V211/($F211*$G211))</f>
        <v/>
      </c>
      <c r="AK211" s="600" t="str">
        <f>IF($V211="","",IF($V211&gt;0,"○勝",IF($V211&lt;0,"●負","△引分")))</f>
        <v/>
      </c>
    </row>
    <row r="212" spans="1:37" ht="17.25" customHeight="1">
      <c r="A212" s="621" t="str">
        <f>IF(B212="","",HYPERLINK("https://kabutan.jp/stock/?code="&amp;B212,"株探"))</f>
        <v/>
      </c>
      <c r="B212" s="480"/>
      <c r="C212" s="480"/>
      <c r="D212" s="480" t="str" cm="1">
        <f t="array" ref="D212">_xll.RssMarket(B212, "銘柄名称")</f>
        <v/>
      </c>
      <c r="E212" s="717"/>
      <c r="F212" s="698" t="str" cm="1">
        <f t="array" aca="1" ref="F212" ca="1">IFERROR(_xlfn.LET(_xlpm.r,MATCH(TEXT($B212,"0"),TEXT(銘柄管理!$B$6:$B$305,"0"),0),_xlpm.t,MOD(NOW(),1),_xlpm.c,IF($E212=TODAY(),IF(_xlpm.t&gt;=TIME(15,30,0),NA(),1),IF(MATCH($E212,始値!$E$3:$IT$3,0)=1,1,MATCH($E212,始値!$E$3:$IT$3,0)+1)),_xlpm.v,INDEX(始値!$C$6:$IT$305,_xlpm.r,_xlpm.c),IF(N(_xlpm.v)=0,"",_xlpm.v)),"")</f>
        <v/>
      </c>
      <c r="G212" s="480"/>
      <c r="H212" s="480" t="str" cm="1">
        <f t="array" ref="H212">_xll.RssMarket(B212, "現在値")</f>
        <v/>
      </c>
      <c r="I212" s="480" t="str" cm="1">
        <f t="array" ref="I212">_xll.RssMarket(B212, "出来高加重平均")</f>
        <v/>
      </c>
      <c r="J212" s="702" t="str" cm="1">
        <f t="array" ref="J212">_xll.RssMarket($B212, "前日比")</f>
        <v/>
      </c>
      <c r="K212" s="703" t="str">
        <f>IF(OR(F212="",G212="",H212=""),"",IF(C212="売",(F212-H212)*G212,(H212-F212)*G212))</f>
        <v/>
      </c>
      <c r="L212" s="708" t="str">
        <f>IF(OR(F212="",H212=""),"",IF(C212="売",(F212-H212)/F212,(H212-F212)/F212))</f>
        <v/>
      </c>
      <c r="M212" s="598" t="str">
        <f>IF($F212="","",$F212*IF($C212="売",1-V811設定!$B$4,1+V811設定!$B$4)-MOD($F212*IF($C212="売",1-V811設定!$B$4,1+V811設定!$B$4),IF($F212&lt;=3000,1,IF($F212&lt;=5000,5,IF($F212&lt;=30000,10,IF($F212&lt;=50000,50,IF($F212&lt;=300000,100,500))))))+IF(AND($C212="売",MOD($F212*IF($C212="売",1-V811設定!$B$4,1+V811設定!$B$4),IF($F212&lt;=3000,1,IF($F212&lt;=5000,5,IF($F212&lt;=30000,10,IF($F212&lt;=50000,50,IF($F212&lt;=300000,100,500))))))&gt;0),IF($F212&lt;=3000,1,IF($F212&lt;=5000,5,IF($F212&lt;=30000,10,IF($F212&lt;=50000,50,IF($F212&lt;=300000,100,500))))),0))</f>
      </c>
      <c r="N212" s="598" t="str">
        <f>IF($F212="","",$F212*IF($C212="売",1+V811設定!$B$3,1-V811設定!$B$3)-MOD($F212*IF($C212="売",1+V811設定!$B$3,1-V811設定!$B$3),IF($F212&lt;=3000,1,IF($F212&lt;=5000,5,IF($F212&lt;=30000,10,IF($F212&lt;=50000,50,IF($F212&lt;=300000,100,500))))))+IF(AND($C212="売",MOD($F212*IF($C212="売",1+V811設定!$B$3,1-V811設定!$B$3),IF($F212&lt;=3000,1,IF($F212&lt;=5000,5,IF($F212&lt;=30000,10,IF($F212&lt;=50000,50,IF($F212&lt;=300000,100,500))))))&gt;0),IF($F212&lt;=3000,1,IF($F212&lt;=5000,5,IF($F212&lt;=30000,10,IF($F212&lt;=50000,50,IF($F212&lt;=300000,100,500))))),0))</f>
      </c>
      <c r="O212" s="478" t="str">
        <f>IF(OR($B212="",$F212="",$H212=""),"",IF($S212="✅売却済","―決済済―",IF($C212="売",IF($H212&lt;=$M212,"🟢利確",IF(AND($R212&lt;&gt;"",$H212&gt;=$R212),"🟠TRAIL",IF($H212&gt;=$N212,"🔴損切",IF($W212&gt;=V811設定!$B$6,"⏱時間決済",IF($H212&gt;=$F212*(1+V811設定!$B$3*0.7),"⚠️損切接近","保持継続"))))),IF($H212&gt;=$M212,"🟢利確",IF(AND($R212&lt;&gt;"",$H212&lt;=$R212),"🟠TRAIL",IF($H212&lt;=$N212,"🔴損切",IF($W212&gt;=V811設定!$B$6,"⏱時間決済",IF($H212&lt;=$F212*(1-V811設定!$B$3*0.7),"⚠️損切接近","保持継続"))))))))</f>
      </c>
      <c r="P212" s="445"/>
      <c r="Q212" s="445"/>
      <c r="R212" s="480" t="str">
        <f>IF(OR($F212="",$H212="",$N212=""),"",IF($S212="✅売却済","",IF($C212="売",IF($H212&gt;$F212*(1-V811設定!$B$3),$N212,MIN($N212,IF($Q212="",$N212,$Q212*1.03))),IF($H212&lt;$F212*(1+V811設定!$B$3),$N212,MAX($N212,IF($P212="",$N212,$P212*0.97))))))</f>
      </c>
      <c r="S212" s="480" t="str">
        <f>IF(B212="","",IF(T212&lt;&gt;"","✅売却済",IF(OR(H212="",L212=""),"📌保有中",IF(L212&gt;=0.06,"🟢利確推奨",IF(L212&gt;=0.05,"🟡利確直近",IF(L212&gt;=0.045,"🔵トレーリング検討",IF(L212&gt;-0.03,"📌保有中",IF(L212&gt;-0.04,"⚠️損切注意","🔴損切り"))))))))</f>
        <v/>
      </c>
      <c r="T212" s="596"/>
      <c r="U212" s="598"/>
      <c r="V212" s="703" t="str">
        <f>IF(OR(F212="",G212="",U212=""),"",IF(C212="売",(F212-U212)*G212,(U212-F212)*G212))</f>
        <v/>
      </c>
      <c r="W212" s="480" t="str">
        <f>IF(OR($E212="",$B212=""),"",IF($T212&lt;&gt;"",$T212-$E212,TODAY()-$E212)+1)</f>
        <v/>
      </c>
      <c r="X212" s="480" t="str">
        <f>IF(OR($AH212="",$AH212="保有中"),"",$AH212)</f>
        <v/>
      </c>
      <c r="Y212" s="488"/>
      <c r="Z212" s="710"/>
      <c r="AD212" s="608"/>
      <c r="AE212" s="600" t="str">
        <f>IF($E212="","",WORKDAY($E212,12))</f>
        <v/>
      </c>
      <c r="AF212" s="600" t="str" cm="1">
        <f t="array" aca="1" ref="AF212" ca="1">IF(OR($B212="",$M212=""),"",IFERROR(IF($C212="売",_xlfn.MINIFS(安値!$E$3:$IT$3,安値!$E$3:$IT$3,"&gt;"&amp;$E212,安値!$E$3:$IT$3,"&lt;="&amp;$AE212,OFFSET(安値!$E$6:$IT$6,MATCH(TEXT($B212,"0"),TEXT(銘柄管理!$B$6:$B$305,"0"),0)-1,0),"&lt;="&amp;$M212),_xlfn.MINIFS(高値!$E$3:$IT$3,高値!$E$3:$IT$3,"&gt;"&amp;$E212,高値!$E$3:$IT$3,"&lt;="&amp;$AE212,OFFSET(高値!$E$6:$IT$6,MATCH(TEXT($B212,"0"),TEXT(銘柄管理!$B$6:$B$305,"0"),0)-1,0),"&gt;="&amp;$M212)),""))</f>
        <v/>
      </c>
      <c r="AG212" s="600" t="str" cm="1">
        <f t="array" aca="1" ref="AG212" ca="1">IF(OR($B212="",$N212=""),"",IFERROR(IF($C212="売",_xlfn.MINIFS(高値!$E$3:$IT$3,高値!$E$3:$IT$3,"&gt;"&amp;$E212,高値!$E$3:$IT$3,"&lt;="&amp;$AE212,OFFSET(高値!$E$6:$IT$6,MATCH(TEXT($B212,"0"),TEXT(銘柄管理!$B$6:$B$305,"0"),0)-1,0),"&gt;="&amp;$N212),_xlfn.MINIFS(安値!$E$3:$IT$3,安値!$E$3:$IT$3,"&gt;"&amp;$E212,安値!$E$3:$IT$3,"&lt;="&amp;$AE212,OFFSET(安値!$E$6:$IT$6,MATCH(TEXT($B212,"0"),TEXT(銘柄管理!$B$6:$B$305,"0"),0)-1,0),"&lt;="&amp;$N212)),""))</f>
        <v/>
      </c>
      <c r="AH212" s="600" t="str">
        <f>IF(OR($B212="",$M212=""),"",IF(AND(N($AF212)=0,N($AG212)=0),IF(AND(ISNUMBER($H212),$H212&gt;0,IF($C212="売",$H212&gt;=$N212,$H212&lt;=$N212)),"損切確定",IF(AND(ISNUMBER($H212),$H212&gt;0,IF($C212="売",$H212&lt;=$M212,$H212&gt;=$M212)),"利益確定",IF($AE212&lt;=TODAY(),"日数制限","保有中"))),IF(N($AG212)=0,"利益確定",IF(N($AF212)=0,"損切確定",IF($AG212&lt;=$AF212,"損切確定","利益確定")))))</f>
        <v/>
      </c>
      <c r="AI212" s="600" t="str" cm="1">
        <f t="array" ref="AI212">IFERROR(INDEX(始値!$E$6:$IT$305,MATCH(TEXT($B212,"0"),TEXT(銘柄管理!$B$6:$B$305,"0"),0),MATCH($AE212,始値!$E$3:$IT$3,0)),"")</f>
        <v/>
      </c>
      <c r="AJ212" s="608" t="str">
        <f>IF(OR($V212="",$F212="",$G212=""),"",$V212/($F212*$G212))</f>
        <v/>
      </c>
      <c r="AK212" s="600" t="str">
        <f>IF($V212="","",IF($V212&gt;0,"○勝",IF($V212&lt;0,"●負","△引分")))</f>
        <v/>
      </c>
    </row>
    <row r="213" spans="1:37" ht="17.25" customHeight="1">
      <c r="A213" s="621" t="str">
        <f>IF(B213="","",HYPERLINK("https://kabutan.jp/stock/?code="&amp;B213,"株探"))</f>
        <v/>
      </c>
      <c r="B213" s="480"/>
      <c r="C213" s="480"/>
      <c r="D213" s="480" t="str" cm="1">
        <f t="array" ref="D213">_xll.RssMarket(B213, "銘柄名称")</f>
        <v/>
      </c>
      <c r="E213" s="717"/>
      <c r="F213" s="698" t="str" cm="1">
        <f t="array" aca="1" ref="F213" ca="1">IFERROR(_xlfn.LET(_xlpm.r,MATCH(TEXT($B213,"0"),TEXT(銘柄管理!$B$6:$B$305,"0"),0),_xlpm.t,MOD(NOW(),1),_xlpm.c,IF($E213=TODAY(),IF(_xlpm.t&gt;=TIME(15,30,0),NA(),1),IF(MATCH($E213,始値!$E$3:$IT$3,0)=1,1,MATCH($E213,始値!$E$3:$IT$3,0)+1)),_xlpm.v,INDEX(始値!$C$6:$IT$305,_xlpm.r,_xlpm.c),IF(N(_xlpm.v)=0,"",_xlpm.v)),"")</f>
        <v/>
      </c>
      <c r="G213" s="480"/>
      <c r="H213" s="480" t="str" cm="1">
        <f t="array" ref="H213">_xll.RssMarket(B213, "現在値")</f>
        <v/>
      </c>
      <c r="I213" s="480" t="str" cm="1">
        <f t="array" ref="I213">_xll.RssMarket(B213, "出来高加重平均")</f>
        <v/>
      </c>
      <c r="J213" s="702" t="str" cm="1">
        <f t="array" ref="J213">_xll.RssMarket($B213, "前日比")</f>
        <v/>
      </c>
      <c r="K213" s="703" t="str">
        <f>IF(OR(F213="",G213="",H213=""),"",IF(C213="売",(F213-H213)*G213,(H213-F213)*G213))</f>
        <v/>
      </c>
      <c r="L213" s="708" t="str">
        <f>IF(OR(F213="",H213=""),"",IF(C213="売",(F213-H213)/F213,(H213-F213)/F213))</f>
        <v/>
      </c>
      <c r="M213" s="598" t="str">
        <f>IF($F213="","",$F213*IF($C213="売",1-V811設定!$B$4,1+V811設定!$B$4)-MOD($F213*IF($C213="売",1-V811設定!$B$4,1+V811設定!$B$4),IF($F213&lt;=3000,1,IF($F213&lt;=5000,5,IF($F213&lt;=30000,10,IF($F213&lt;=50000,50,IF($F213&lt;=300000,100,500))))))+IF(AND($C213="売",MOD($F213*IF($C213="売",1-V811設定!$B$4,1+V811設定!$B$4),IF($F213&lt;=3000,1,IF($F213&lt;=5000,5,IF($F213&lt;=30000,10,IF($F213&lt;=50000,50,IF($F213&lt;=300000,100,500))))))&gt;0),IF($F213&lt;=3000,1,IF($F213&lt;=5000,5,IF($F213&lt;=30000,10,IF($F213&lt;=50000,50,IF($F213&lt;=300000,100,500))))),0))</f>
      </c>
      <c r="N213" s="598" t="str">
        <f>IF($F213="","",$F213*IF($C213="売",1+V811設定!$B$3,1-V811設定!$B$3)-MOD($F213*IF($C213="売",1+V811設定!$B$3,1-V811設定!$B$3),IF($F213&lt;=3000,1,IF($F213&lt;=5000,5,IF($F213&lt;=30000,10,IF($F213&lt;=50000,50,IF($F213&lt;=300000,100,500))))))+IF(AND($C213="売",MOD($F213*IF($C213="売",1+V811設定!$B$3,1-V811設定!$B$3),IF($F213&lt;=3000,1,IF($F213&lt;=5000,5,IF($F213&lt;=30000,10,IF($F213&lt;=50000,50,IF($F213&lt;=300000,100,500))))))&gt;0),IF($F213&lt;=3000,1,IF($F213&lt;=5000,5,IF($F213&lt;=30000,10,IF($F213&lt;=50000,50,IF($F213&lt;=300000,100,500))))),0))</f>
      </c>
      <c r="O213" s="478" t="str">
        <f>IF(OR($B213="",$F213="",$H213=""),"",IF($S213="✅売却済","―決済済―",IF($C213="売",IF($H213&lt;=$M213,"🟢利確",IF(AND($R213&lt;&gt;"",$H213&gt;=$R213),"🟠TRAIL",IF($H213&gt;=$N213,"🔴損切",IF($W213&gt;=V811設定!$B$6,"⏱時間決済",IF($H213&gt;=$F213*(1+V811設定!$B$3*0.7),"⚠️損切接近","保持継続"))))),IF($H213&gt;=$M213,"🟢利確",IF(AND($R213&lt;&gt;"",$H213&lt;=$R213),"🟠TRAIL",IF($H213&lt;=$N213,"🔴損切",IF($W213&gt;=V811設定!$B$6,"⏱時間決済",IF($H213&lt;=$F213*(1-V811設定!$B$3*0.7),"⚠️損切接近","保持継続"))))))))</f>
      </c>
      <c r="P213" s="445"/>
      <c r="Q213" s="445"/>
      <c r="R213" s="480" t="str">
        <f>IF(OR($F213="",$H213="",$N213=""),"",IF($S213="✅売却済","",IF($C213="売",IF($H213&gt;$F213*(1-V811設定!$B$3),$N213,MIN($N213,IF($Q213="",$N213,$Q213*1.03))),IF($H213&lt;$F213*(1+V811設定!$B$3),$N213,MAX($N213,IF($P213="",$N213,$P213*0.97))))))</f>
      </c>
      <c r="S213" s="480" t="str">
        <f>IF(B213="","",IF(T213&lt;&gt;"","✅売却済",IF(OR(H213="",L213=""),"📌保有中",IF(L213&gt;=0.06,"🟢利確推奨",IF(L213&gt;=0.05,"🟡利確直近",IF(L213&gt;=0.045,"🔵トレーリング検討",IF(L213&gt;-0.03,"📌保有中",IF(L213&gt;-0.04,"⚠️損切注意","🔴損切り"))))))))</f>
        <v/>
      </c>
      <c r="T213" s="596"/>
      <c r="U213" s="598"/>
      <c r="V213" s="703" t="str">
        <f>IF(OR(F213="",G213="",U213=""),"",IF(C213="売",(F213-U213)*G213,(U213-F213)*G213))</f>
        <v/>
      </c>
      <c r="W213" s="480" t="str">
        <f>IF(OR($E213="",$B213=""),"",IF($T213&lt;&gt;"",$T213-$E213,TODAY()-$E213)+1)</f>
        <v/>
      </c>
      <c r="X213" s="480" t="str">
        <f>IF(OR($AH213="",$AH213="保有中"),"",$AH213)</f>
        <v/>
      </c>
      <c r="Y213" s="488"/>
      <c r="Z213" s="710"/>
      <c r="AD213" s="608"/>
      <c r="AE213" s="600" t="str">
        <f>IF($E213="","",WORKDAY($E213,12))</f>
        <v/>
      </c>
      <c r="AF213" s="600" t="str" cm="1">
        <f t="array" aca="1" ref="AF213" ca="1">IF(OR($B213="",$M213=""),"",IFERROR(IF($C213="売",_xlfn.MINIFS(安値!$E$3:$IT$3,安値!$E$3:$IT$3,"&gt;"&amp;$E213,安値!$E$3:$IT$3,"&lt;="&amp;$AE213,OFFSET(安値!$E$6:$IT$6,MATCH(TEXT($B213,"0"),TEXT(銘柄管理!$B$6:$B$305,"0"),0)-1,0),"&lt;="&amp;$M213),_xlfn.MINIFS(高値!$E$3:$IT$3,高値!$E$3:$IT$3,"&gt;"&amp;$E213,高値!$E$3:$IT$3,"&lt;="&amp;$AE213,OFFSET(高値!$E$6:$IT$6,MATCH(TEXT($B213,"0"),TEXT(銘柄管理!$B$6:$B$305,"0"),0)-1,0),"&gt;="&amp;$M213)),""))</f>
        <v/>
      </c>
      <c r="AG213" s="600" t="str" cm="1">
        <f t="array" aca="1" ref="AG213" ca="1">IF(OR($B213="",$N213=""),"",IFERROR(IF($C213="売",_xlfn.MINIFS(高値!$E$3:$IT$3,高値!$E$3:$IT$3,"&gt;"&amp;$E213,高値!$E$3:$IT$3,"&lt;="&amp;$AE213,OFFSET(高値!$E$6:$IT$6,MATCH(TEXT($B213,"0"),TEXT(銘柄管理!$B$6:$B$305,"0"),0)-1,0),"&gt;="&amp;$N213),_xlfn.MINIFS(安値!$E$3:$IT$3,安値!$E$3:$IT$3,"&gt;"&amp;$E213,安値!$E$3:$IT$3,"&lt;="&amp;$AE213,OFFSET(安値!$E$6:$IT$6,MATCH(TEXT($B213,"0"),TEXT(銘柄管理!$B$6:$B$305,"0"),0)-1,0),"&lt;="&amp;$N213)),""))</f>
        <v/>
      </c>
      <c r="AH213" s="600" t="str">
        <f>IF(OR($B213="",$M213=""),"",IF(AND(N($AF213)=0,N($AG213)=0),IF(AND(ISNUMBER($H213),$H213&gt;0,IF($C213="売",$H213&gt;=$N213,$H213&lt;=$N213)),"損切確定",IF(AND(ISNUMBER($H213),$H213&gt;0,IF($C213="売",$H213&lt;=$M213,$H213&gt;=$M213)),"利益確定",IF($AE213&lt;=TODAY(),"日数制限","保有中"))),IF(N($AG213)=0,"利益確定",IF(N($AF213)=0,"損切確定",IF($AG213&lt;=$AF213,"損切確定","利益確定")))))</f>
        <v/>
      </c>
      <c r="AI213" s="600" t="str" cm="1">
        <f t="array" ref="AI213">IFERROR(INDEX(始値!$E$6:$IT$305,MATCH(TEXT($B213,"0"),TEXT(銘柄管理!$B$6:$B$305,"0"),0),MATCH($AE213,始値!$E$3:$IT$3,0)),"")</f>
        <v/>
      </c>
      <c r="AJ213" s="608" t="str">
        <f>IF(OR($V213="",$F213="",$G213=""),"",$V213/($F213*$G213))</f>
        <v/>
      </c>
      <c r="AK213" s="600" t="str">
        <f>IF($V213="","",IF($V213&gt;0,"○勝",IF($V213&lt;0,"●負","△引分")))</f>
        <v/>
      </c>
    </row>
    <row r="214" spans="1:37" ht="17.25" customHeight="1">
      <c r="A214" s="621" t="str">
        <f>IF(B214="","",HYPERLINK("https://kabutan.jp/stock/?code="&amp;B214,"株探"))</f>
        <v/>
      </c>
      <c r="B214" s="480"/>
      <c r="C214" s="480"/>
      <c r="D214" s="480" t="str" cm="1">
        <f t="array" ref="D214">_xll.RssMarket(B214, "銘柄名称")</f>
        <v/>
      </c>
      <c r="E214" s="717"/>
      <c r="F214" s="698" t="str" cm="1">
        <f t="array" aca="1" ref="F214" ca="1">IFERROR(_xlfn.LET(_xlpm.r,MATCH(TEXT($B214,"0"),TEXT(銘柄管理!$B$6:$B$305,"0"),0),_xlpm.t,MOD(NOW(),1),_xlpm.c,IF($E214=TODAY(),IF(_xlpm.t&gt;=TIME(15,30,0),NA(),1),IF(MATCH($E214,始値!$E$3:$IT$3,0)=1,1,MATCH($E214,始値!$E$3:$IT$3,0)+1)),_xlpm.v,INDEX(始値!$C$6:$IT$305,_xlpm.r,_xlpm.c),IF(N(_xlpm.v)=0,"",_xlpm.v)),"")</f>
        <v/>
      </c>
      <c r="G214" s="480"/>
      <c r="H214" s="480" t="str" cm="1">
        <f t="array" ref="H214">_xll.RssMarket(B214, "現在値")</f>
        <v/>
      </c>
      <c r="I214" s="480" t="str" cm="1">
        <f t="array" ref="I214">_xll.RssMarket(B214, "出来高加重平均")</f>
        <v/>
      </c>
      <c r="J214" s="702" t="str" cm="1">
        <f t="array" ref="J214">_xll.RssMarket($B214, "前日比")</f>
        <v/>
      </c>
      <c r="K214" s="703" t="str">
        <f>IF(OR(F214="",G214="",H214=""),"",IF(C214="売",(F214-H214)*G214,(H214-F214)*G214))</f>
        <v/>
      </c>
      <c r="L214" s="708" t="str">
        <f>IF(OR(F214="",H214=""),"",IF(C214="売",(F214-H214)/F214,(H214-F214)/F214))</f>
        <v/>
      </c>
      <c r="M214" s="598" t="str">
        <f>IF($F214="","",$F214*IF($C214="売",1-V811設定!$B$4,1+V811設定!$B$4)-MOD($F214*IF($C214="売",1-V811設定!$B$4,1+V811設定!$B$4),IF($F214&lt;=3000,1,IF($F214&lt;=5000,5,IF($F214&lt;=30000,10,IF($F214&lt;=50000,50,IF($F214&lt;=300000,100,500))))))+IF(AND($C214="売",MOD($F214*IF($C214="売",1-V811設定!$B$4,1+V811設定!$B$4),IF($F214&lt;=3000,1,IF($F214&lt;=5000,5,IF($F214&lt;=30000,10,IF($F214&lt;=50000,50,IF($F214&lt;=300000,100,500))))))&gt;0),IF($F214&lt;=3000,1,IF($F214&lt;=5000,5,IF($F214&lt;=30000,10,IF($F214&lt;=50000,50,IF($F214&lt;=300000,100,500))))),0))</f>
      </c>
      <c r="N214" s="598" t="str">
        <f>IF($F214="","",$F214*IF($C214="売",1+V811設定!$B$3,1-V811設定!$B$3)-MOD($F214*IF($C214="売",1+V811設定!$B$3,1-V811設定!$B$3),IF($F214&lt;=3000,1,IF($F214&lt;=5000,5,IF($F214&lt;=30000,10,IF($F214&lt;=50000,50,IF($F214&lt;=300000,100,500))))))+IF(AND($C214="売",MOD($F214*IF($C214="売",1+V811設定!$B$3,1-V811設定!$B$3),IF($F214&lt;=3000,1,IF($F214&lt;=5000,5,IF($F214&lt;=30000,10,IF($F214&lt;=50000,50,IF($F214&lt;=300000,100,500))))))&gt;0),IF($F214&lt;=3000,1,IF($F214&lt;=5000,5,IF($F214&lt;=30000,10,IF($F214&lt;=50000,50,IF($F214&lt;=300000,100,500))))),0))</f>
      </c>
      <c r="O214" s="478" t="str">
        <f>IF(OR($B214="",$F214="",$H214=""),"",IF($S214="✅売却済","―決済済―",IF($C214="売",IF($H214&lt;=$M214,"🟢利確",IF(AND($R214&lt;&gt;"",$H214&gt;=$R214),"🟠TRAIL",IF($H214&gt;=$N214,"🔴損切",IF($W214&gt;=V811設定!$B$6,"⏱時間決済",IF($H214&gt;=$F214*(1+V811設定!$B$3*0.7),"⚠️損切接近","保持継続"))))),IF($H214&gt;=$M214,"🟢利確",IF(AND($R214&lt;&gt;"",$H214&lt;=$R214),"🟠TRAIL",IF($H214&lt;=$N214,"🔴損切",IF($W214&gt;=V811設定!$B$6,"⏱時間決済",IF($H214&lt;=$F214*(1-V811設定!$B$3*0.7),"⚠️損切接近","保持継続"))))))))</f>
      </c>
      <c r="P214" s="445"/>
      <c r="Q214" s="445"/>
      <c r="R214" s="480" t="str">
        <f>IF(OR($F214="",$H214="",$N214=""),"",IF($S214="✅売却済","",IF($C214="売",IF($H214&gt;$F214*(1-V811設定!$B$3),$N214,MIN($N214,IF($Q214="",$N214,$Q214*1.03))),IF($H214&lt;$F214*(1+V811設定!$B$3),$N214,MAX($N214,IF($P214="",$N214,$P214*0.97))))))</f>
      </c>
      <c r="S214" s="480" t="str">
        <f>IF(B214="","",IF(T214&lt;&gt;"","✅売却済",IF(OR(H214="",L214=""),"📌保有中",IF(L214&gt;=0.06,"🟢利確推奨",IF(L214&gt;=0.05,"🟡利確直近",IF(L214&gt;=0.045,"🔵トレーリング検討",IF(L214&gt;-0.03,"📌保有中",IF(L214&gt;-0.04,"⚠️損切注意","🔴損切り"))))))))</f>
        <v/>
      </c>
      <c r="T214" s="596"/>
      <c r="U214" s="598"/>
      <c r="V214" s="703" t="str">
        <f>IF(OR(F214="",G214="",U214=""),"",IF(C214="売",(F214-U214)*G214,(U214-F214)*G214))</f>
        <v/>
      </c>
      <c r="W214" s="480" t="str">
        <f>IF(OR($E214="",$B214=""),"",IF($T214&lt;&gt;"",$T214-$E214,TODAY()-$E214)+1)</f>
        <v/>
      </c>
      <c r="X214" s="480" t="str">
        <f>IF(OR($AH214="",$AH214="保有中"),"",$AH214)</f>
        <v/>
      </c>
      <c r="Y214" s="488"/>
      <c r="Z214" s="710"/>
      <c r="AD214" s="608"/>
      <c r="AE214" s="600" t="str">
        <f>IF($E214="","",WORKDAY($E214,12))</f>
        <v/>
      </c>
      <c r="AF214" s="600" t="str" cm="1">
        <f t="array" aca="1" ref="AF214" ca="1">IF(OR($B214="",$M214=""),"",IFERROR(IF($C214="売",_xlfn.MINIFS(安値!$E$3:$IT$3,安値!$E$3:$IT$3,"&gt;"&amp;$E214,安値!$E$3:$IT$3,"&lt;="&amp;$AE214,OFFSET(安値!$E$6:$IT$6,MATCH(TEXT($B214,"0"),TEXT(銘柄管理!$B$6:$B$305,"0"),0)-1,0),"&lt;="&amp;$M214),_xlfn.MINIFS(高値!$E$3:$IT$3,高値!$E$3:$IT$3,"&gt;"&amp;$E214,高値!$E$3:$IT$3,"&lt;="&amp;$AE214,OFFSET(高値!$E$6:$IT$6,MATCH(TEXT($B214,"0"),TEXT(銘柄管理!$B$6:$B$305,"0"),0)-1,0),"&gt;="&amp;$M214)),""))</f>
        <v/>
      </c>
      <c r="AG214" s="600" t="str" cm="1">
        <f t="array" aca="1" ref="AG214" ca="1">IF(OR($B214="",$N214=""),"",IFERROR(IF($C214="売",_xlfn.MINIFS(高値!$E$3:$IT$3,高値!$E$3:$IT$3,"&gt;"&amp;$E214,高値!$E$3:$IT$3,"&lt;="&amp;$AE214,OFFSET(高値!$E$6:$IT$6,MATCH(TEXT($B214,"0"),TEXT(銘柄管理!$B$6:$B$305,"0"),0)-1,0),"&gt;="&amp;$N214),_xlfn.MINIFS(安値!$E$3:$IT$3,安値!$E$3:$IT$3,"&gt;"&amp;$E214,安値!$E$3:$IT$3,"&lt;="&amp;$AE214,OFFSET(安値!$E$6:$IT$6,MATCH(TEXT($B214,"0"),TEXT(銘柄管理!$B$6:$B$305,"0"),0)-1,0),"&lt;="&amp;$N214)),""))</f>
        <v/>
      </c>
      <c r="AH214" s="600" t="str">
        <f>IF(OR($B214="",$M214=""),"",IF(AND(N($AF214)=0,N($AG214)=0),IF(AND(ISNUMBER($H214),$H214&gt;0,IF($C214="売",$H214&gt;=$N214,$H214&lt;=$N214)),"損切確定",IF(AND(ISNUMBER($H214),$H214&gt;0,IF($C214="売",$H214&lt;=$M214,$H214&gt;=$M214)),"利益確定",IF($AE214&lt;=TODAY(),"日数制限","保有中"))),IF(N($AG214)=0,"利益確定",IF(N($AF214)=0,"損切確定",IF($AG214&lt;=$AF214,"損切確定","利益確定")))))</f>
        <v/>
      </c>
      <c r="AI214" s="600" t="str" cm="1">
        <f t="array" ref="AI214">IFERROR(INDEX(始値!$E$6:$IT$305,MATCH(TEXT($B214,"0"),TEXT(銘柄管理!$B$6:$B$305,"0"),0),MATCH($AE214,始値!$E$3:$IT$3,0)),"")</f>
        <v/>
      </c>
      <c r="AJ214" s="608" t="str">
        <f>IF(OR($V214="",$F214="",$G214=""),"",$V214/($F214*$G214))</f>
        <v/>
      </c>
      <c r="AK214" s="600" t="str">
        <f>IF($V214="","",IF($V214&gt;0,"○勝",IF($V214&lt;0,"●負","△引分")))</f>
        <v/>
      </c>
    </row>
    <row r="215" spans="1:37" ht="17.25" customHeight="1">
      <c r="A215" s="621" t="str">
        <f>IF(B215="","",HYPERLINK("https://kabutan.jp/stock/?code="&amp;B215,"株探"))</f>
        <v/>
      </c>
      <c r="B215" s="480"/>
      <c r="C215" s="480"/>
      <c r="D215" s="480" t="str" cm="1">
        <f t="array" ref="D215">_xll.RssMarket(B215, "銘柄名称")</f>
        <v/>
      </c>
      <c r="E215" s="717"/>
      <c r="F215" s="698" t="str" cm="1">
        <f t="array" aca="1" ref="F215" ca="1">IFERROR(_xlfn.LET(_xlpm.r,MATCH(TEXT($B215,"0"),TEXT(銘柄管理!$B$6:$B$305,"0"),0),_xlpm.t,MOD(NOW(),1),_xlpm.c,IF($E215=TODAY(),IF(_xlpm.t&gt;=TIME(15,30,0),NA(),1),IF(MATCH($E215,始値!$E$3:$IT$3,0)=1,1,MATCH($E215,始値!$E$3:$IT$3,0)+1)),_xlpm.v,INDEX(始値!$C$6:$IT$305,_xlpm.r,_xlpm.c),IF(N(_xlpm.v)=0,"",_xlpm.v)),"")</f>
        <v/>
      </c>
      <c r="G215" s="480"/>
      <c r="H215" s="480" t="str" cm="1">
        <f t="array" ref="H215">_xll.RssMarket(B215, "現在値")</f>
        <v/>
      </c>
      <c r="I215" s="480" t="str" cm="1">
        <f t="array" ref="I215">_xll.RssMarket(B215, "出来高加重平均")</f>
        <v/>
      </c>
      <c r="J215" s="702" t="str" cm="1">
        <f t="array" ref="J215">_xll.RssMarket($B215, "前日比")</f>
        <v/>
      </c>
      <c r="K215" s="703" t="str">
        <f>IF(OR(F215="",G215="",H215=""),"",IF(C215="売",(F215-H215)*G215,(H215-F215)*G215))</f>
        <v/>
      </c>
      <c r="L215" s="708" t="str">
        <f>IF(OR(F215="",H215=""),"",IF(C215="売",(F215-H215)/F215,(H215-F215)/F215))</f>
        <v/>
      </c>
      <c r="M215" s="598" t="str">
        <f>IF($F215="","",$F215*IF($C215="売",1-V811設定!$B$4,1+V811設定!$B$4)-MOD($F215*IF($C215="売",1-V811設定!$B$4,1+V811設定!$B$4),IF($F215&lt;=3000,1,IF($F215&lt;=5000,5,IF($F215&lt;=30000,10,IF($F215&lt;=50000,50,IF($F215&lt;=300000,100,500))))))+IF(AND($C215="売",MOD($F215*IF($C215="売",1-V811設定!$B$4,1+V811設定!$B$4),IF($F215&lt;=3000,1,IF($F215&lt;=5000,5,IF($F215&lt;=30000,10,IF($F215&lt;=50000,50,IF($F215&lt;=300000,100,500))))))&gt;0),IF($F215&lt;=3000,1,IF($F215&lt;=5000,5,IF($F215&lt;=30000,10,IF($F215&lt;=50000,50,IF($F215&lt;=300000,100,500))))),0))</f>
      </c>
      <c r="N215" s="598" t="str">
        <f>IF($F215="","",$F215*IF($C215="売",1+V811設定!$B$3,1-V811設定!$B$3)-MOD($F215*IF($C215="売",1+V811設定!$B$3,1-V811設定!$B$3),IF($F215&lt;=3000,1,IF($F215&lt;=5000,5,IF($F215&lt;=30000,10,IF($F215&lt;=50000,50,IF($F215&lt;=300000,100,500))))))+IF(AND($C215="売",MOD($F215*IF($C215="売",1+V811設定!$B$3,1-V811設定!$B$3),IF($F215&lt;=3000,1,IF($F215&lt;=5000,5,IF($F215&lt;=30000,10,IF($F215&lt;=50000,50,IF($F215&lt;=300000,100,500))))))&gt;0),IF($F215&lt;=3000,1,IF($F215&lt;=5000,5,IF($F215&lt;=30000,10,IF($F215&lt;=50000,50,IF($F215&lt;=300000,100,500))))),0))</f>
      </c>
      <c r="O215" s="478" t="str">
        <f>IF(OR($B215="",$F215="",$H215=""),"",IF($S215="✅売却済","―決済済―",IF($C215="売",IF($H215&lt;=$M215,"🟢利確",IF(AND($R215&lt;&gt;"",$H215&gt;=$R215),"🟠TRAIL",IF($H215&gt;=$N215,"🔴損切",IF($W215&gt;=V811設定!$B$6,"⏱時間決済",IF($H215&gt;=$F215*(1+V811設定!$B$3*0.7),"⚠️損切接近","保持継続"))))),IF($H215&gt;=$M215,"🟢利確",IF(AND($R215&lt;&gt;"",$H215&lt;=$R215),"🟠TRAIL",IF($H215&lt;=$N215,"🔴損切",IF($W215&gt;=V811設定!$B$6,"⏱時間決済",IF($H215&lt;=$F215*(1-V811設定!$B$3*0.7),"⚠️損切接近","保持継続"))))))))</f>
      </c>
      <c r="P215" s="445"/>
      <c r="Q215" s="445"/>
      <c r="R215" s="480" t="str">
        <f>IF(OR($F215="",$H215="",$N215=""),"",IF($S215="✅売却済","",IF($C215="売",IF($H215&gt;$F215*(1-V811設定!$B$3),$N215,MIN($N215,IF($Q215="",$N215,$Q215*1.03))),IF($H215&lt;$F215*(1+V811設定!$B$3),$N215,MAX($N215,IF($P215="",$N215,$P215*0.97))))))</f>
      </c>
      <c r="S215" s="480" t="str">
        <f>IF(B215="","",IF(T215&lt;&gt;"","✅売却済",IF(OR(H215="",L215=""),"📌保有中",IF(L215&gt;=0.06,"🟢利確推奨",IF(L215&gt;=0.05,"🟡利確直近",IF(L215&gt;=0.045,"🔵トレーリング検討",IF(L215&gt;-0.03,"📌保有中",IF(L215&gt;-0.04,"⚠️損切注意","🔴損切り"))))))))</f>
        <v/>
      </c>
      <c r="T215" s="596"/>
      <c r="U215" s="598"/>
      <c r="V215" s="703" t="str">
        <f>IF(OR(F215="",G215="",U215=""),"",IF(C215="売",(F215-U215)*G215,(U215-F215)*G215))</f>
        <v/>
      </c>
      <c r="W215" s="480" t="str">
        <f>IF(OR($E215="",$B215=""),"",IF($T215&lt;&gt;"",$T215-$E215,TODAY()-$E215)+1)</f>
        <v/>
      </c>
      <c r="X215" s="480" t="str">
        <f>IF(OR($AH215="",$AH215="保有中"),"",$AH215)</f>
        <v/>
      </c>
      <c r="Y215" s="488"/>
      <c r="Z215" s="710"/>
      <c r="AD215" s="608"/>
      <c r="AE215" s="600" t="str">
        <f>IF($E215="","",WORKDAY($E215,12))</f>
        <v/>
      </c>
      <c r="AF215" s="600" t="str" cm="1">
        <f t="array" aca="1" ref="AF215" ca="1">IF(OR($B215="",$M215=""),"",IFERROR(IF($C215="売",_xlfn.MINIFS(安値!$E$3:$IT$3,安値!$E$3:$IT$3,"&gt;"&amp;$E215,安値!$E$3:$IT$3,"&lt;="&amp;$AE215,OFFSET(安値!$E$6:$IT$6,MATCH(TEXT($B215,"0"),TEXT(銘柄管理!$B$6:$B$305,"0"),0)-1,0),"&lt;="&amp;$M215),_xlfn.MINIFS(高値!$E$3:$IT$3,高値!$E$3:$IT$3,"&gt;"&amp;$E215,高値!$E$3:$IT$3,"&lt;="&amp;$AE215,OFFSET(高値!$E$6:$IT$6,MATCH(TEXT($B215,"0"),TEXT(銘柄管理!$B$6:$B$305,"0"),0)-1,0),"&gt;="&amp;$M215)),""))</f>
        <v/>
      </c>
      <c r="AG215" s="600" t="str" cm="1">
        <f t="array" aca="1" ref="AG215" ca="1">IF(OR($B215="",$N215=""),"",IFERROR(IF($C215="売",_xlfn.MINIFS(高値!$E$3:$IT$3,高値!$E$3:$IT$3,"&gt;"&amp;$E215,高値!$E$3:$IT$3,"&lt;="&amp;$AE215,OFFSET(高値!$E$6:$IT$6,MATCH(TEXT($B215,"0"),TEXT(銘柄管理!$B$6:$B$305,"0"),0)-1,0),"&gt;="&amp;$N215),_xlfn.MINIFS(安値!$E$3:$IT$3,安値!$E$3:$IT$3,"&gt;"&amp;$E215,安値!$E$3:$IT$3,"&lt;="&amp;$AE215,OFFSET(安値!$E$6:$IT$6,MATCH(TEXT($B215,"0"),TEXT(銘柄管理!$B$6:$B$305,"0"),0)-1,0),"&lt;="&amp;$N215)),""))</f>
        <v/>
      </c>
      <c r="AH215" s="600" t="str">
        <f>IF(OR($B215="",$M215=""),"",IF(AND(N($AF215)=0,N($AG215)=0),IF(AND(ISNUMBER($H215),$H215&gt;0,IF($C215="売",$H215&gt;=$N215,$H215&lt;=$N215)),"損切確定",IF(AND(ISNUMBER($H215),$H215&gt;0,IF($C215="売",$H215&lt;=$M215,$H215&gt;=$M215)),"利益確定",IF($AE215&lt;=TODAY(),"日数制限","保有中"))),IF(N($AG215)=0,"利益確定",IF(N($AF215)=0,"損切確定",IF($AG215&lt;=$AF215,"損切確定","利益確定")))))</f>
        <v/>
      </c>
      <c r="AI215" s="600" t="str" cm="1">
        <f t="array" ref="AI215">IFERROR(INDEX(始値!$E$6:$IT$305,MATCH(TEXT($B215,"0"),TEXT(銘柄管理!$B$6:$B$305,"0"),0),MATCH($AE215,始値!$E$3:$IT$3,0)),"")</f>
        <v/>
      </c>
      <c r="AJ215" s="608" t="str">
        <f>IF(OR($V215="",$F215="",$G215=""),"",$V215/($F215*$G215))</f>
        <v/>
      </c>
      <c r="AK215" s="600" t="str">
        <f>IF($V215="","",IF($V215&gt;0,"○勝",IF($V215&lt;0,"●負","△引分")))</f>
        <v/>
      </c>
    </row>
    <row r="216" spans="1:37" ht="17.25" customHeight="1">
      <c r="A216" s="621" t="str">
        <f>IF(B216="","",HYPERLINK("https://kabutan.jp/stock/?code="&amp;B216,"株探"))</f>
        <v/>
      </c>
      <c r="B216" s="480"/>
      <c r="C216" s="480"/>
      <c r="D216" s="480" t="str" cm="1">
        <f t="array" ref="D216">_xll.RssMarket(B216, "銘柄名称")</f>
        <v/>
      </c>
      <c r="E216" s="717"/>
      <c r="F216" s="698" t="str" cm="1">
        <f t="array" aca="1" ref="F216" ca="1">IFERROR(_xlfn.LET(_xlpm.r,MATCH(TEXT($B216,"0"),TEXT(銘柄管理!$B$6:$B$305,"0"),0),_xlpm.t,MOD(NOW(),1),_xlpm.c,IF($E216=TODAY(),IF(_xlpm.t&gt;=TIME(15,30,0),NA(),1),IF(MATCH($E216,始値!$E$3:$IT$3,0)=1,1,MATCH($E216,始値!$E$3:$IT$3,0)+1)),_xlpm.v,INDEX(始値!$C$6:$IT$305,_xlpm.r,_xlpm.c),IF(N(_xlpm.v)=0,"",_xlpm.v)),"")</f>
        <v/>
      </c>
      <c r="G216" s="480"/>
      <c r="H216" s="480" t="str" cm="1">
        <f t="array" ref="H216">_xll.RssMarket(B216, "現在値")</f>
        <v/>
      </c>
      <c r="I216" s="480" t="str" cm="1">
        <f t="array" ref="I216">_xll.RssMarket(B216, "出来高加重平均")</f>
        <v/>
      </c>
      <c r="J216" s="702" t="str" cm="1">
        <f t="array" ref="J216">_xll.RssMarket($B216, "前日比")</f>
        <v/>
      </c>
      <c r="K216" s="703" t="str">
        <f>IF(OR(F216="",G216="",H216=""),"",IF(C216="売",(F216-H216)*G216,(H216-F216)*G216))</f>
        <v/>
      </c>
      <c r="L216" s="708" t="str">
        <f>IF(OR(F216="",H216=""),"",IF(C216="売",(F216-H216)/F216,(H216-F216)/F216))</f>
        <v/>
      </c>
      <c r="M216" s="598" t="str">
        <f>IF($F216="","",$F216*IF($C216="売",1-V811設定!$B$4,1+V811設定!$B$4)-MOD($F216*IF($C216="売",1-V811設定!$B$4,1+V811設定!$B$4),IF($F216&lt;=3000,1,IF($F216&lt;=5000,5,IF($F216&lt;=30000,10,IF($F216&lt;=50000,50,IF($F216&lt;=300000,100,500))))))+IF(AND($C216="売",MOD($F216*IF($C216="売",1-V811設定!$B$4,1+V811設定!$B$4),IF($F216&lt;=3000,1,IF($F216&lt;=5000,5,IF($F216&lt;=30000,10,IF($F216&lt;=50000,50,IF($F216&lt;=300000,100,500))))))&gt;0),IF($F216&lt;=3000,1,IF($F216&lt;=5000,5,IF($F216&lt;=30000,10,IF($F216&lt;=50000,50,IF($F216&lt;=300000,100,500))))),0))</f>
      </c>
      <c r="N216" s="598" t="str">
        <f>IF($F216="","",$F216*IF($C216="売",1+V811設定!$B$3,1-V811設定!$B$3)-MOD($F216*IF($C216="売",1+V811設定!$B$3,1-V811設定!$B$3),IF($F216&lt;=3000,1,IF($F216&lt;=5000,5,IF($F216&lt;=30000,10,IF($F216&lt;=50000,50,IF($F216&lt;=300000,100,500))))))+IF(AND($C216="売",MOD($F216*IF($C216="売",1+V811設定!$B$3,1-V811設定!$B$3),IF($F216&lt;=3000,1,IF($F216&lt;=5000,5,IF($F216&lt;=30000,10,IF($F216&lt;=50000,50,IF($F216&lt;=300000,100,500))))))&gt;0),IF($F216&lt;=3000,1,IF($F216&lt;=5000,5,IF($F216&lt;=30000,10,IF($F216&lt;=50000,50,IF($F216&lt;=300000,100,500))))),0))</f>
      </c>
      <c r="O216" s="478" t="str">
        <f>IF(OR($B216="",$F216="",$H216=""),"",IF($S216="✅売却済","―決済済―",IF($C216="売",IF($H216&lt;=$M216,"🟢利確",IF(AND($R216&lt;&gt;"",$H216&gt;=$R216),"🟠TRAIL",IF($H216&gt;=$N216,"🔴損切",IF($W216&gt;=V811設定!$B$6,"⏱時間決済",IF($H216&gt;=$F216*(1+V811設定!$B$3*0.7),"⚠️損切接近","保持継続"))))),IF($H216&gt;=$M216,"🟢利確",IF(AND($R216&lt;&gt;"",$H216&lt;=$R216),"🟠TRAIL",IF($H216&lt;=$N216,"🔴損切",IF($W216&gt;=V811設定!$B$6,"⏱時間決済",IF($H216&lt;=$F216*(1-V811設定!$B$3*0.7),"⚠️損切接近","保持継続"))))))))</f>
      </c>
      <c r="P216" s="445"/>
      <c r="Q216" s="445"/>
      <c r="R216" s="480" t="str">
        <f>IF(OR($F216="",$H216="",$N216=""),"",IF($S216="✅売却済","",IF($C216="売",IF($H216&gt;$F216*(1-V811設定!$B$3),$N216,MIN($N216,IF($Q216="",$N216,$Q216*1.03))),IF($H216&lt;$F216*(1+V811設定!$B$3),$N216,MAX($N216,IF($P216="",$N216,$P216*0.97))))))</f>
      </c>
      <c r="S216" s="480" t="str">
        <f>IF(B216="","",IF(T216&lt;&gt;"","✅売却済",IF(OR(H216="",L216=""),"📌保有中",IF(L216&gt;=0.06,"🟢利確推奨",IF(L216&gt;=0.05,"🟡利確直近",IF(L216&gt;=0.045,"🔵トレーリング検討",IF(L216&gt;-0.03,"📌保有中",IF(L216&gt;-0.04,"⚠️損切注意","🔴損切り"))))))))</f>
        <v/>
      </c>
      <c r="T216" s="596"/>
      <c r="U216" s="598"/>
      <c r="V216" s="703" t="str">
        <f>IF(OR(F216="",G216="",U216=""),"",IF(C216="売",(F216-U216)*G216,(U216-F216)*G216))</f>
        <v/>
      </c>
      <c r="W216" s="480" t="str">
        <f>IF(OR($E216="",$B216=""),"",IF($T216&lt;&gt;"",$T216-$E216,TODAY()-$E216)+1)</f>
        <v/>
      </c>
      <c r="X216" s="480" t="str">
        <f>IF(OR($AH216="",$AH216="保有中"),"",$AH216)</f>
        <v/>
      </c>
      <c r="Y216" s="488"/>
      <c r="Z216" s="710"/>
      <c r="AD216" s="608"/>
      <c r="AE216" s="600" t="str">
        <f>IF($E216="","",WORKDAY($E216,12))</f>
        <v/>
      </c>
      <c r="AF216" s="600" t="str" cm="1">
        <f t="array" aca="1" ref="AF216" ca="1">IF(OR($B216="",$M216=""),"",IFERROR(IF($C216="売",_xlfn.MINIFS(安値!$E$3:$IT$3,安値!$E$3:$IT$3,"&gt;"&amp;$E216,安値!$E$3:$IT$3,"&lt;="&amp;$AE216,OFFSET(安値!$E$6:$IT$6,MATCH(TEXT($B216,"0"),TEXT(銘柄管理!$B$6:$B$305,"0"),0)-1,0),"&lt;="&amp;$M216),_xlfn.MINIFS(高値!$E$3:$IT$3,高値!$E$3:$IT$3,"&gt;"&amp;$E216,高値!$E$3:$IT$3,"&lt;="&amp;$AE216,OFFSET(高値!$E$6:$IT$6,MATCH(TEXT($B216,"0"),TEXT(銘柄管理!$B$6:$B$305,"0"),0)-1,0),"&gt;="&amp;$M216)),""))</f>
        <v/>
      </c>
      <c r="AG216" s="600" t="str" cm="1">
        <f t="array" aca="1" ref="AG216" ca="1">IF(OR($B216="",$N216=""),"",IFERROR(IF($C216="売",_xlfn.MINIFS(高値!$E$3:$IT$3,高値!$E$3:$IT$3,"&gt;"&amp;$E216,高値!$E$3:$IT$3,"&lt;="&amp;$AE216,OFFSET(高値!$E$6:$IT$6,MATCH(TEXT($B216,"0"),TEXT(銘柄管理!$B$6:$B$305,"0"),0)-1,0),"&gt;="&amp;$N216),_xlfn.MINIFS(安値!$E$3:$IT$3,安値!$E$3:$IT$3,"&gt;"&amp;$E216,安値!$E$3:$IT$3,"&lt;="&amp;$AE216,OFFSET(安値!$E$6:$IT$6,MATCH(TEXT($B216,"0"),TEXT(銘柄管理!$B$6:$B$305,"0"),0)-1,0),"&lt;="&amp;$N216)),""))</f>
        <v/>
      </c>
      <c r="AH216" s="600" t="str">
        <f>IF(OR($B216="",$M216=""),"",IF(AND(N($AF216)=0,N($AG216)=0),IF(AND(ISNUMBER($H216),$H216&gt;0,IF($C216="売",$H216&gt;=$N216,$H216&lt;=$N216)),"損切確定",IF(AND(ISNUMBER($H216),$H216&gt;0,IF($C216="売",$H216&lt;=$M216,$H216&gt;=$M216)),"利益確定",IF($AE216&lt;=TODAY(),"日数制限","保有中"))),IF(N($AG216)=0,"利益確定",IF(N($AF216)=0,"損切確定",IF($AG216&lt;=$AF216,"損切確定","利益確定")))))</f>
        <v/>
      </c>
      <c r="AI216" s="600" t="str" cm="1">
        <f t="array" ref="AI216">IFERROR(INDEX(始値!$E$6:$IT$305,MATCH(TEXT($B216,"0"),TEXT(銘柄管理!$B$6:$B$305,"0"),0),MATCH($AE216,始値!$E$3:$IT$3,0)),"")</f>
        <v/>
      </c>
      <c r="AJ216" s="608" t="str">
        <f>IF(OR($V216="",$F216="",$G216=""),"",$V216/($F216*$G216))</f>
        <v/>
      </c>
      <c r="AK216" s="600" t="str">
        <f>IF($V216="","",IF($V216&gt;0,"○勝",IF($V216&lt;0,"●負","△引分")))</f>
        <v/>
      </c>
    </row>
    <row r="217" spans="1:37" ht="17.25" customHeight="1">
      <c r="A217" s="621" t="str">
        <f>IF(B217="","",HYPERLINK("https://kabutan.jp/stock/?code="&amp;B217,"株探"))</f>
        <v/>
      </c>
      <c r="B217" s="480"/>
      <c r="C217" s="480"/>
      <c r="D217" s="480" t="str" cm="1">
        <f t="array" ref="D217">_xll.RssMarket(B217, "銘柄名称")</f>
        <v/>
      </c>
      <c r="E217" s="717"/>
      <c r="F217" s="698" t="str" cm="1">
        <f t="array" aca="1" ref="F217" ca="1">IFERROR(_xlfn.LET(_xlpm.r,MATCH(TEXT($B217,"0"),TEXT(銘柄管理!$B$6:$B$305,"0"),0),_xlpm.t,MOD(NOW(),1),_xlpm.c,IF($E217=TODAY(),IF(_xlpm.t&gt;=TIME(15,30,0),NA(),1),IF(MATCH($E217,始値!$E$3:$IT$3,0)=1,1,MATCH($E217,始値!$E$3:$IT$3,0)+1)),_xlpm.v,INDEX(始値!$C$6:$IT$305,_xlpm.r,_xlpm.c),IF(N(_xlpm.v)=0,"",_xlpm.v)),"")</f>
        <v/>
      </c>
      <c r="G217" s="480"/>
      <c r="H217" s="480" t="str" cm="1">
        <f t="array" ref="H217">_xll.RssMarket(B217, "現在値")</f>
        <v/>
      </c>
      <c r="I217" s="480" t="str" cm="1">
        <f t="array" ref="I217">_xll.RssMarket(B217, "出来高加重平均")</f>
        <v/>
      </c>
      <c r="J217" s="702" t="str" cm="1">
        <f t="array" ref="J217">_xll.RssMarket($B217, "前日比")</f>
        <v/>
      </c>
      <c r="K217" s="703" t="str">
        <f>IF(OR(F217="",G217="",H217=""),"",IF(C217="売",(F217-H217)*G217,(H217-F217)*G217))</f>
        <v/>
      </c>
      <c r="L217" s="708" t="str">
        <f>IF(OR(F217="",H217=""),"",IF(C217="売",(F217-H217)/F217,(H217-F217)/F217))</f>
        <v/>
      </c>
      <c r="M217" s="598" t="str">
        <f>IF($F217="","",$F217*IF($C217="売",1-V811設定!$B$4,1+V811設定!$B$4)-MOD($F217*IF($C217="売",1-V811設定!$B$4,1+V811設定!$B$4),IF($F217&lt;=3000,1,IF($F217&lt;=5000,5,IF($F217&lt;=30000,10,IF($F217&lt;=50000,50,IF($F217&lt;=300000,100,500))))))+IF(AND($C217="売",MOD($F217*IF($C217="売",1-V811設定!$B$4,1+V811設定!$B$4),IF($F217&lt;=3000,1,IF($F217&lt;=5000,5,IF($F217&lt;=30000,10,IF($F217&lt;=50000,50,IF($F217&lt;=300000,100,500))))))&gt;0),IF($F217&lt;=3000,1,IF($F217&lt;=5000,5,IF($F217&lt;=30000,10,IF($F217&lt;=50000,50,IF($F217&lt;=300000,100,500))))),0))</f>
      </c>
      <c r="N217" s="598" t="str">
        <f>IF($F217="","",$F217*IF($C217="売",1+V811設定!$B$3,1-V811設定!$B$3)-MOD($F217*IF($C217="売",1+V811設定!$B$3,1-V811設定!$B$3),IF($F217&lt;=3000,1,IF($F217&lt;=5000,5,IF($F217&lt;=30000,10,IF($F217&lt;=50000,50,IF($F217&lt;=300000,100,500))))))+IF(AND($C217="売",MOD($F217*IF($C217="売",1+V811設定!$B$3,1-V811設定!$B$3),IF($F217&lt;=3000,1,IF($F217&lt;=5000,5,IF($F217&lt;=30000,10,IF($F217&lt;=50000,50,IF($F217&lt;=300000,100,500))))))&gt;0),IF($F217&lt;=3000,1,IF($F217&lt;=5000,5,IF($F217&lt;=30000,10,IF($F217&lt;=50000,50,IF($F217&lt;=300000,100,500))))),0))</f>
      </c>
      <c r="O217" s="478" t="str">
        <f>IF(OR($B217="",$F217="",$H217=""),"",IF($S217="✅売却済","―決済済―",IF($C217="売",IF($H217&lt;=$M217,"🟢利確",IF(AND($R217&lt;&gt;"",$H217&gt;=$R217),"🟠TRAIL",IF($H217&gt;=$N217,"🔴損切",IF($W217&gt;=V811設定!$B$6,"⏱時間決済",IF($H217&gt;=$F217*(1+V811設定!$B$3*0.7),"⚠️損切接近","保持継続"))))),IF($H217&gt;=$M217,"🟢利確",IF(AND($R217&lt;&gt;"",$H217&lt;=$R217),"🟠TRAIL",IF($H217&lt;=$N217,"🔴損切",IF($W217&gt;=V811設定!$B$6,"⏱時間決済",IF($H217&lt;=$F217*(1-V811設定!$B$3*0.7),"⚠️損切接近","保持継続"))))))))</f>
      </c>
      <c r="P217" s="445"/>
      <c r="Q217" s="445"/>
      <c r="R217" s="480" t="str">
        <f>IF(OR($F217="",$H217="",$N217=""),"",IF($S217="✅売却済","",IF($C217="売",IF($H217&gt;$F217*(1-V811設定!$B$3),$N217,MIN($N217,IF($Q217="",$N217,$Q217*1.03))),IF($H217&lt;$F217*(1+V811設定!$B$3),$N217,MAX($N217,IF($P217="",$N217,$P217*0.97))))))</f>
      </c>
      <c r="S217" s="480" t="str">
        <f>IF(B217="","",IF(T217&lt;&gt;"","✅売却済",IF(OR(H217="",L217=""),"📌保有中",IF(L217&gt;=0.06,"🟢利確推奨",IF(L217&gt;=0.05,"🟡利確直近",IF(L217&gt;=0.045,"🔵トレーリング検討",IF(L217&gt;-0.03,"📌保有中",IF(L217&gt;-0.04,"⚠️損切注意","🔴損切り"))))))))</f>
        <v/>
      </c>
      <c r="T217" s="596"/>
      <c r="U217" s="598"/>
      <c r="V217" s="703" t="str">
        <f>IF(OR(F217="",G217="",U217=""),"",IF(C217="売",(F217-U217)*G217,(U217-F217)*G217))</f>
        <v/>
      </c>
      <c r="W217" s="480" t="str">
        <f>IF(OR($E217="",$B217=""),"",IF($T217&lt;&gt;"",$T217-$E217,TODAY()-$E217)+1)</f>
        <v/>
      </c>
      <c r="X217" s="480" t="str">
        <f>IF(OR($AH217="",$AH217="保有中"),"",$AH217)</f>
        <v/>
      </c>
      <c r="Y217" s="488"/>
      <c r="Z217" s="710"/>
      <c r="AD217" s="608"/>
      <c r="AE217" s="600" t="str">
        <f>IF($E217="","",WORKDAY($E217,12))</f>
        <v/>
      </c>
      <c r="AF217" s="600" t="str" cm="1">
        <f t="array" aca="1" ref="AF217" ca="1">IF(OR($B217="",$M217=""),"",IFERROR(IF($C217="売",_xlfn.MINIFS(安値!$E$3:$IT$3,安値!$E$3:$IT$3,"&gt;"&amp;$E217,安値!$E$3:$IT$3,"&lt;="&amp;$AE217,OFFSET(安値!$E$6:$IT$6,MATCH(TEXT($B217,"0"),TEXT(銘柄管理!$B$6:$B$305,"0"),0)-1,0),"&lt;="&amp;$M217),_xlfn.MINIFS(高値!$E$3:$IT$3,高値!$E$3:$IT$3,"&gt;"&amp;$E217,高値!$E$3:$IT$3,"&lt;="&amp;$AE217,OFFSET(高値!$E$6:$IT$6,MATCH(TEXT($B217,"0"),TEXT(銘柄管理!$B$6:$B$305,"0"),0)-1,0),"&gt;="&amp;$M217)),""))</f>
        <v/>
      </c>
      <c r="AG217" s="600" t="str" cm="1">
        <f t="array" aca="1" ref="AG217" ca="1">IF(OR($B217="",$N217=""),"",IFERROR(IF($C217="売",_xlfn.MINIFS(高値!$E$3:$IT$3,高値!$E$3:$IT$3,"&gt;"&amp;$E217,高値!$E$3:$IT$3,"&lt;="&amp;$AE217,OFFSET(高値!$E$6:$IT$6,MATCH(TEXT($B217,"0"),TEXT(銘柄管理!$B$6:$B$305,"0"),0)-1,0),"&gt;="&amp;$N217),_xlfn.MINIFS(安値!$E$3:$IT$3,安値!$E$3:$IT$3,"&gt;"&amp;$E217,安値!$E$3:$IT$3,"&lt;="&amp;$AE217,OFFSET(安値!$E$6:$IT$6,MATCH(TEXT($B217,"0"),TEXT(銘柄管理!$B$6:$B$305,"0"),0)-1,0),"&lt;="&amp;$N217)),""))</f>
        <v/>
      </c>
      <c r="AH217" s="600" t="str">
        <f>IF(OR($B217="",$M217=""),"",IF(AND(N($AF217)=0,N($AG217)=0),IF(AND(ISNUMBER($H217),$H217&gt;0,IF($C217="売",$H217&gt;=$N217,$H217&lt;=$N217)),"損切確定",IF(AND(ISNUMBER($H217),$H217&gt;0,IF($C217="売",$H217&lt;=$M217,$H217&gt;=$M217)),"利益確定",IF($AE217&lt;=TODAY(),"日数制限","保有中"))),IF(N($AG217)=0,"利益確定",IF(N($AF217)=0,"損切確定",IF($AG217&lt;=$AF217,"損切確定","利益確定")))))</f>
        <v/>
      </c>
      <c r="AI217" s="600" t="str" cm="1">
        <f t="array" ref="AI217">IFERROR(INDEX(始値!$E$6:$IT$305,MATCH(TEXT($B217,"0"),TEXT(銘柄管理!$B$6:$B$305,"0"),0),MATCH($AE217,始値!$E$3:$IT$3,0)),"")</f>
        <v/>
      </c>
      <c r="AJ217" s="608" t="str">
        <f>IF(OR($V217="",$F217="",$G217=""),"",$V217/($F217*$G217))</f>
        <v/>
      </c>
      <c r="AK217" s="600" t="str">
        <f>IF($V217="","",IF($V217&gt;0,"○勝",IF($V217&lt;0,"●負","△引分")))</f>
        <v/>
      </c>
    </row>
    <row r="218" spans="1:37" ht="17.25" customHeight="1">
      <c r="A218" s="621" t="str">
        <f>IF(B218="","",HYPERLINK("https://kabutan.jp/stock/?code="&amp;B218,"株探"))</f>
        <v/>
      </c>
      <c r="B218" s="480"/>
      <c r="C218" s="480"/>
      <c r="D218" s="480" t="str" cm="1">
        <f t="array" ref="D218">_xll.RssMarket(B218, "銘柄名称")</f>
        <v/>
      </c>
      <c r="E218" s="717"/>
      <c r="F218" s="698" t="str" cm="1">
        <f t="array" aca="1" ref="F218" ca="1">IFERROR(_xlfn.LET(_xlpm.r,MATCH(TEXT($B218,"0"),TEXT(銘柄管理!$B$6:$B$305,"0"),0),_xlpm.t,MOD(NOW(),1),_xlpm.c,IF($E218=TODAY(),IF(_xlpm.t&gt;=TIME(15,30,0),NA(),1),IF(MATCH($E218,始値!$E$3:$IT$3,0)=1,1,MATCH($E218,始値!$E$3:$IT$3,0)+1)),_xlpm.v,INDEX(始値!$C$6:$IT$305,_xlpm.r,_xlpm.c),IF(N(_xlpm.v)=0,"",_xlpm.v)),"")</f>
        <v/>
      </c>
      <c r="G218" s="480"/>
      <c r="H218" s="480" t="str" cm="1">
        <f t="array" ref="H218">_xll.RssMarket(B218, "現在値")</f>
        <v/>
      </c>
      <c r="I218" s="480" t="str" cm="1">
        <f t="array" ref="I218">_xll.RssMarket(B218, "出来高加重平均")</f>
        <v/>
      </c>
      <c r="J218" s="702" t="str" cm="1">
        <f t="array" ref="J218">_xll.RssMarket($B218, "前日比")</f>
        <v/>
      </c>
      <c r="K218" s="703" t="str">
        <f>IF(OR(F218="",G218="",H218=""),"",IF(C218="売",(F218-H218)*G218,(H218-F218)*G218))</f>
        <v/>
      </c>
      <c r="L218" s="708" t="str">
        <f>IF(OR(F218="",H218=""),"",IF(C218="売",(F218-H218)/F218,(H218-F218)/F218))</f>
        <v/>
      </c>
      <c r="M218" s="598" t="str">
        <f>IF($F218="","",$F218*IF($C218="売",1-V811設定!$B$4,1+V811設定!$B$4)-MOD($F218*IF($C218="売",1-V811設定!$B$4,1+V811設定!$B$4),IF($F218&lt;=3000,1,IF($F218&lt;=5000,5,IF($F218&lt;=30000,10,IF($F218&lt;=50000,50,IF($F218&lt;=300000,100,500))))))+IF(AND($C218="売",MOD($F218*IF($C218="売",1-V811設定!$B$4,1+V811設定!$B$4),IF($F218&lt;=3000,1,IF($F218&lt;=5000,5,IF($F218&lt;=30000,10,IF($F218&lt;=50000,50,IF($F218&lt;=300000,100,500))))))&gt;0),IF($F218&lt;=3000,1,IF($F218&lt;=5000,5,IF($F218&lt;=30000,10,IF($F218&lt;=50000,50,IF($F218&lt;=300000,100,500))))),0))</f>
      </c>
      <c r="N218" s="598" t="str">
        <f>IF($F218="","",$F218*IF($C218="売",1+V811設定!$B$3,1-V811設定!$B$3)-MOD($F218*IF($C218="売",1+V811設定!$B$3,1-V811設定!$B$3),IF($F218&lt;=3000,1,IF($F218&lt;=5000,5,IF($F218&lt;=30000,10,IF($F218&lt;=50000,50,IF($F218&lt;=300000,100,500))))))+IF(AND($C218="売",MOD($F218*IF($C218="売",1+V811設定!$B$3,1-V811設定!$B$3),IF($F218&lt;=3000,1,IF($F218&lt;=5000,5,IF($F218&lt;=30000,10,IF($F218&lt;=50000,50,IF($F218&lt;=300000,100,500))))))&gt;0),IF($F218&lt;=3000,1,IF($F218&lt;=5000,5,IF($F218&lt;=30000,10,IF($F218&lt;=50000,50,IF($F218&lt;=300000,100,500))))),0))</f>
      </c>
      <c r="O218" s="478" t="str">
        <f>IF(OR($B218="",$F218="",$H218=""),"",IF($S218="✅売却済","―決済済―",IF($C218="売",IF($H218&lt;=$M218,"🟢利確",IF(AND($R218&lt;&gt;"",$H218&gt;=$R218),"🟠TRAIL",IF($H218&gt;=$N218,"🔴損切",IF($W218&gt;=V811設定!$B$6,"⏱時間決済",IF($H218&gt;=$F218*(1+V811設定!$B$3*0.7),"⚠️損切接近","保持継続"))))),IF($H218&gt;=$M218,"🟢利確",IF(AND($R218&lt;&gt;"",$H218&lt;=$R218),"🟠TRAIL",IF($H218&lt;=$N218,"🔴損切",IF($W218&gt;=V811設定!$B$6,"⏱時間決済",IF($H218&lt;=$F218*(1-V811設定!$B$3*0.7),"⚠️損切接近","保持継続"))))))))</f>
      </c>
      <c r="P218" s="445"/>
      <c r="Q218" s="445"/>
      <c r="R218" s="480" t="str">
        <f>IF(OR($F218="",$H218="",$N218=""),"",IF($S218="✅売却済","",IF($C218="売",IF($H218&gt;$F218*(1-V811設定!$B$3),$N218,MIN($N218,IF($Q218="",$N218,$Q218*1.03))),IF($H218&lt;$F218*(1+V811設定!$B$3),$N218,MAX($N218,IF($P218="",$N218,$P218*0.97))))))</f>
      </c>
      <c r="S218" s="480" t="str">
        <f>IF(B218="","",IF(T218&lt;&gt;"","✅売却済",IF(OR(H218="",L218=""),"📌保有中",IF(L218&gt;=0.06,"🟢利確推奨",IF(L218&gt;=0.05,"🟡利確直近",IF(L218&gt;=0.045,"🔵トレーリング検討",IF(L218&gt;-0.03,"📌保有中",IF(L218&gt;-0.04,"⚠️損切注意","🔴損切り"))))))))</f>
        <v/>
      </c>
      <c r="T218" s="596"/>
      <c r="U218" s="598"/>
      <c r="V218" s="703" t="str">
        <f>IF(OR(F218="",G218="",U218=""),"",IF(C218="売",(F218-U218)*G218,(U218-F218)*G218))</f>
        <v/>
      </c>
      <c r="W218" s="480" t="str">
        <f>IF(OR($E218="",$B218=""),"",IF($T218&lt;&gt;"",$T218-$E218,TODAY()-$E218)+1)</f>
        <v/>
      </c>
      <c r="X218" s="480" t="str">
        <f>IF(OR($AH218="",$AH218="保有中"),"",$AH218)</f>
        <v/>
      </c>
      <c r="Y218" s="488"/>
      <c r="Z218" s="710"/>
      <c r="AD218" s="608"/>
      <c r="AE218" s="600" t="str">
        <f>IF($E218="","",WORKDAY($E218,12))</f>
        <v/>
      </c>
      <c r="AF218" s="600" t="str" cm="1">
        <f t="array" aca="1" ref="AF218" ca="1">IF(OR($B218="",$M218=""),"",IFERROR(IF($C218="売",_xlfn.MINIFS(安値!$E$3:$IT$3,安値!$E$3:$IT$3,"&gt;"&amp;$E218,安値!$E$3:$IT$3,"&lt;="&amp;$AE218,OFFSET(安値!$E$6:$IT$6,MATCH(TEXT($B218,"0"),TEXT(銘柄管理!$B$6:$B$305,"0"),0)-1,0),"&lt;="&amp;$M218),_xlfn.MINIFS(高値!$E$3:$IT$3,高値!$E$3:$IT$3,"&gt;"&amp;$E218,高値!$E$3:$IT$3,"&lt;="&amp;$AE218,OFFSET(高値!$E$6:$IT$6,MATCH(TEXT($B218,"0"),TEXT(銘柄管理!$B$6:$B$305,"0"),0)-1,0),"&gt;="&amp;$M218)),""))</f>
        <v/>
      </c>
      <c r="AG218" s="600" t="str" cm="1">
        <f t="array" aca="1" ref="AG218" ca="1">IF(OR($B218="",$N218=""),"",IFERROR(IF($C218="売",_xlfn.MINIFS(高値!$E$3:$IT$3,高値!$E$3:$IT$3,"&gt;"&amp;$E218,高値!$E$3:$IT$3,"&lt;="&amp;$AE218,OFFSET(高値!$E$6:$IT$6,MATCH(TEXT($B218,"0"),TEXT(銘柄管理!$B$6:$B$305,"0"),0)-1,0),"&gt;="&amp;$N218),_xlfn.MINIFS(安値!$E$3:$IT$3,安値!$E$3:$IT$3,"&gt;"&amp;$E218,安値!$E$3:$IT$3,"&lt;="&amp;$AE218,OFFSET(安値!$E$6:$IT$6,MATCH(TEXT($B218,"0"),TEXT(銘柄管理!$B$6:$B$305,"0"),0)-1,0),"&lt;="&amp;$N218)),""))</f>
        <v/>
      </c>
      <c r="AH218" s="600" t="str">
        <f>IF(OR($B218="",$M218=""),"",IF(AND(N($AF218)=0,N($AG218)=0),IF(AND(ISNUMBER($H218),$H218&gt;0,IF($C218="売",$H218&gt;=$N218,$H218&lt;=$N218)),"損切確定",IF(AND(ISNUMBER($H218),$H218&gt;0,IF($C218="売",$H218&lt;=$M218,$H218&gt;=$M218)),"利益確定",IF($AE218&lt;=TODAY(),"日数制限","保有中"))),IF(N($AG218)=0,"利益確定",IF(N($AF218)=0,"損切確定",IF($AG218&lt;=$AF218,"損切確定","利益確定")))))</f>
        <v/>
      </c>
      <c r="AI218" s="600" t="str" cm="1">
        <f t="array" ref="AI218">IFERROR(INDEX(始値!$E$6:$IT$305,MATCH(TEXT($B218,"0"),TEXT(銘柄管理!$B$6:$B$305,"0"),0),MATCH($AE218,始値!$E$3:$IT$3,0)),"")</f>
        <v/>
      </c>
      <c r="AJ218" s="608" t="str">
        <f>IF(OR($V218="",$F218="",$G218=""),"",$V218/($F218*$G218))</f>
        <v/>
      </c>
      <c r="AK218" s="600" t="str">
        <f>IF($V218="","",IF($V218&gt;0,"○勝",IF($V218&lt;0,"●負","△引分")))</f>
        <v/>
      </c>
    </row>
    <row r="219" spans="1:37" ht="17.25" customHeight="1">
      <c r="A219" s="621" t="str">
        <f>IF(B219="","",HYPERLINK("https://kabutan.jp/stock/?code="&amp;B219,"株探"))</f>
        <v/>
      </c>
      <c r="B219" s="480"/>
      <c r="C219" s="480"/>
      <c r="D219" s="480" t="str" cm="1">
        <f t="array" ref="D219">_xll.RssMarket(B219, "銘柄名称")</f>
        <v/>
      </c>
      <c r="E219" s="717"/>
      <c r="F219" s="698" t="str" cm="1">
        <f t="array" aca="1" ref="F219" ca="1">IFERROR(_xlfn.LET(_xlpm.r,MATCH(TEXT($B219,"0"),TEXT(銘柄管理!$B$6:$B$305,"0"),0),_xlpm.t,MOD(NOW(),1),_xlpm.c,IF($E219=TODAY(),IF(_xlpm.t&gt;=TIME(15,30,0),NA(),1),IF(MATCH($E219,始値!$E$3:$IT$3,0)=1,1,MATCH($E219,始値!$E$3:$IT$3,0)+1)),_xlpm.v,INDEX(始値!$C$6:$IT$305,_xlpm.r,_xlpm.c),IF(N(_xlpm.v)=0,"",_xlpm.v)),"")</f>
        <v/>
      </c>
      <c r="G219" s="480"/>
      <c r="H219" s="480" t="str" cm="1">
        <f t="array" ref="H219">_xll.RssMarket(B219, "現在値")</f>
        <v/>
      </c>
      <c r="I219" s="480" t="str" cm="1">
        <f t="array" ref="I219">_xll.RssMarket(B219, "出来高加重平均")</f>
        <v/>
      </c>
      <c r="J219" s="702" t="str" cm="1">
        <f t="array" ref="J219">_xll.RssMarket($B219, "前日比")</f>
        <v/>
      </c>
      <c r="K219" s="703" t="str">
        <f>IF(OR(F219="",G219="",H219=""),"",IF(C219="売",(F219-H219)*G219,(H219-F219)*G219))</f>
        <v/>
      </c>
      <c r="L219" s="708" t="str">
        <f>IF(OR(F219="",H219=""),"",IF(C219="売",(F219-H219)/F219,(H219-F219)/F219))</f>
        <v/>
      </c>
      <c r="M219" s="598" t="str">
        <f>IF($F219="","",$F219*IF($C219="売",1-V811設定!$B$4,1+V811設定!$B$4)-MOD($F219*IF($C219="売",1-V811設定!$B$4,1+V811設定!$B$4),IF($F219&lt;=3000,1,IF($F219&lt;=5000,5,IF($F219&lt;=30000,10,IF($F219&lt;=50000,50,IF($F219&lt;=300000,100,500))))))+IF(AND($C219="売",MOD($F219*IF($C219="売",1-V811設定!$B$4,1+V811設定!$B$4),IF($F219&lt;=3000,1,IF($F219&lt;=5000,5,IF($F219&lt;=30000,10,IF($F219&lt;=50000,50,IF($F219&lt;=300000,100,500))))))&gt;0),IF($F219&lt;=3000,1,IF($F219&lt;=5000,5,IF($F219&lt;=30000,10,IF($F219&lt;=50000,50,IF($F219&lt;=300000,100,500))))),0))</f>
      </c>
      <c r="N219" s="598" t="str">
        <f>IF($F219="","",$F219*IF($C219="売",1+V811設定!$B$3,1-V811設定!$B$3)-MOD($F219*IF($C219="売",1+V811設定!$B$3,1-V811設定!$B$3),IF($F219&lt;=3000,1,IF($F219&lt;=5000,5,IF($F219&lt;=30000,10,IF($F219&lt;=50000,50,IF($F219&lt;=300000,100,500))))))+IF(AND($C219="売",MOD($F219*IF($C219="売",1+V811設定!$B$3,1-V811設定!$B$3),IF($F219&lt;=3000,1,IF($F219&lt;=5000,5,IF($F219&lt;=30000,10,IF($F219&lt;=50000,50,IF($F219&lt;=300000,100,500))))))&gt;0),IF($F219&lt;=3000,1,IF($F219&lt;=5000,5,IF($F219&lt;=30000,10,IF($F219&lt;=50000,50,IF($F219&lt;=300000,100,500))))),0))</f>
      </c>
      <c r="O219" s="478" t="str">
        <f>IF(OR($B219="",$F219="",$H219=""),"",IF($S219="✅売却済","―決済済―",IF($C219="売",IF($H219&lt;=$M219,"🟢利確",IF(AND($R219&lt;&gt;"",$H219&gt;=$R219),"🟠TRAIL",IF($H219&gt;=$N219,"🔴損切",IF($W219&gt;=V811設定!$B$6,"⏱時間決済",IF($H219&gt;=$F219*(1+V811設定!$B$3*0.7),"⚠️損切接近","保持継続"))))),IF($H219&gt;=$M219,"🟢利確",IF(AND($R219&lt;&gt;"",$H219&lt;=$R219),"🟠TRAIL",IF($H219&lt;=$N219,"🔴損切",IF($W219&gt;=V811設定!$B$6,"⏱時間決済",IF($H219&lt;=$F219*(1-V811設定!$B$3*0.7),"⚠️損切接近","保持継続"))))))))</f>
      </c>
      <c r="P219" s="445"/>
      <c r="Q219" s="445"/>
      <c r="R219" s="480" t="str">
        <f>IF(OR($F219="",$H219="",$N219=""),"",IF($S219="✅売却済","",IF($C219="売",IF($H219&gt;$F219*(1-V811設定!$B$3),$N219,MIN($N219,IF($Q219="",$N219,$Q219*1.03))),IF($H219&lt;$F219*(1+V811設定!$B$3),$N219,MAX($N219,IF($P219="",$N219,$P219*0.97))))))</f>
      </c>
      <c r="S219" s="480" t="str">
        <f>IF(B219="","",IF(T219&lt;&gt;"","✅売却済",IF(OR(H219="",L219=""),"📌保有中",IF(L219&gt;=0.06,"🟢利確推奨",IF(L219&gt;=0.05,"🟡利確直近",IF(L219&gt;=0.045,"🔵トレーリング検討",IF(L219&gt;-0.03,"📌保有中",IF(L219&gt;-0.04,"⚠️損切注意","🔴損切り"))))))))</f>
        <v/>
      </c>
      <c r="T219" s="596"/>
      <c r="U219" s="598"/>
      <c r="V219" s="703" t="str">
        <f>IF(OR(F219="",G219="",U219=""),"",IF(C219="売",(F219-U219)*G219,(U219-F219)*G219))</f>
        <v/>
      </c>
      <c r="W219" s="480" t="str">
        <f>IF(OR($E219="",$B219=""),"",IF($T219&lt;&gt;"",$T219-$E219,TODAY()-$E219)+1)</f>
        <v/>
      </c>
      <c r="X219" s="480" t="str">
        <f>IF(OR($AH219="",$AH219="保有中"),"",$AH219)</f>
        <v/>
      </c>
      <c r="Y219" s="488"/>
      <c r="Z219" s="710"/>
      <c r="AD219" s="608"/>
      <c r="AE219" s="600" t="str">
        <f>IF($E219="","",WORKDAY($E219,12))</f>
        <v/>
      </c>
      <c r="AF219" s="600" t="str" cm="1">
        <f t="array" aca="1" ref="AF219" ca="1">IF(OR($B219="",$M219=""),"",IFERROR(IF($C219="売",_xlfn.MINIFS(安値!$E$3:$IT$3,安値!$E$3:$IT$3,"&gt;"&amp;$E219,安値!$E$3:$IT$3,"&lt;="&amp;$AE219,OFFSET(安値!$E$6:$IT$6,MATCH(TEXT($B219,"0"),TEXT(銘柄管理!$B$6:$B$305,"0"),0)-1,0),"&lt;="&amp;$M219),_xlfn.MINIFS(高値!$E$3:$IT$3,高値!$E$3:$IT$3,"&gt;"&amp;$E219,高値!$E$3:$IT$3,"&lt;="&amp;$AE219,OFFSET(高値!$E$6:$IT$6,MATCH(TEXT($B219,"0"),TEXT(銘柄管理!$B$6:$B$305,"0"),0)-1,0),"&gt;="&amp;$M219)),""))</f>
        <v/>
      </c>
      <c r="AG219" s="600" t="str" cm="1">
        <f t="array" aca="1" ref="AG219" ca="1">IF(OR($B219="",$N219=""),"",IFERROR(IF($C219="売",_xlfn.MINIFS(高値!$E$3:$IT$3,高値!$E$3:$IT$3,"&gt;"&amp;$E219,高値!$E$3:$IT$3,"&lt;="&amp;$AE219,OFFSET(高値!$E$6:$IT$6,MATCH(TEXT($B219,"0"),TEXT(銘柄管理!$B$6:$B$305,"0"),0)-1,0),"&gt;="&amp;$N219),_xlfn.MINIFS(安値!$E$3:$IT$3,安値!$E$3:$IT$3,"&gt;"&amp;$E219,安値!$E$3:$IT$3,"&lt;="&amp;$AE219,OFFSET(安値!$E$6:$IT$6,MATCH(TEXT($B219,"0"),TEXT(銘柄管理!$B$6:$B$305,"0"),0)-1,0),"&lt;="&amp;$N219)),""))</f>
        <v/>
      </c>
      <c r="AH219" s="600" t="str">
        <f>IF(OR($B219="",$M219=""),"",IF(AND(N($AF219)=0,N($AG219)=0),IF(AND(ISNUMBER($H219),$H219&gt;0,IF($C219="売",$H219&gt;=$N219,$H219&lt;=$N219)),"損切確定",IF(AND(ISNUMBER($H219),$H219&gt;0,IF($C219="売",$H219&lt;=$M219,$H219&gt;=$M219)),"利益確定",IF($AE219&lt;=TODAY(),"日数制限","保有中"))),IF(N($AG219)=0,"利益確定",IF(N($AF219)=0,"損切確定",IF($AG219&lt;=$AF219,"損切確定","利益確定")))))</f>
        <v/>
      </c>
      <c r="AI219" s="600" t="str" cm="1">
        <f t="array" ref="AI219">IFERROR(INDEX(始値!$E$6:$IT$305,MATCH(TEXT($B219,"0"),TEXT(銘柄管理!$B$6:$B$305,"0"),0),MATCH($AE219,始値!$E$3:$IT$3,0)),"")</f>
        <v/>
      </c>
      <c r="AJ219" s="608" t="str">
        <f>IF(OR($V219="",$F219="",$G219=""),"",$V219/($F219*$G219))</f>
        <v/>
      </c>
      <c r="AK219" s="600" t="str">
        <f>IF($V219="","",IF($V219&gt;0,"○勝",IF($V219&lt;0,"●負","△引分")))</f>
        <v/>
      </c>
    </row>
    <row r="220" spans="1:37" ht="17.25" customHeight="1">
      <c r="A220" s="621" t="str">
        <f>IF(B220="","",HYPERLINK("https://kabutan.jp/stock/?code="&amp;B220,"株探"))</f>
        <v/>
      </c>
      <c r="B220" s="480"/>
      <c r="C220" s="480"/>
      <c r="D220" s="480" t="str" cm="1">
        <f t="array" ref="D220">_xll.RssMarket(B220, "銘柄名称")</f>
        <v/>
      </c>
      <c r="E220" s="717"/>
      <c r="F220" s="698" t="str" cm="1">
        <f t="array" aca="1" ref="F220" ca="1">IFERROR(_xlfn.LET(_xlpm.r,MATCH(TEXT($B220,"0"),TEXT(銘柄管理!$B$6:$B$305,"0"),0),_xlpm.t,MOD(NOW(),1),_xlpm.c,IF($E220=TODAY(),IF(_xlpm.t&gt;=TIME(15,30,0),NA(),1),IF(MATCH($E220,始値!$E$3:$IT$3,0)=1,1,MATCH($E220,始値!$E$3:$IT$3,0)+1)),_xlpm.v,INDEX(始値!$C$6:$IT$305,_xlpm.r,_xlpm.c),IF(N(_xlpm.v)=0,"",_xlpm.v)),"")</f>
        <v/>
      </c>
      <c r="G220" s="480"/>
      <c r="H220" s="480" t="str" cm="1">
        <f t="array" ref="H220">_xll.RssMarket(B220, "現在値")</f>
        <v/>
      </c>
      <c r="I220" s="480" t="str" cm="1">
        <f t="array" ref="I220">_xll.RssMarket(B220, "出来高加重平均")</f>
        <v/>
      </c>
      <c r="J220" s="702" t="str" cm="1">
        <f t="array" ref="J220">_xll.RssMarket($B220, "前日比")</f>
        <v/>
      </c>
      <c r="K220" s="703" t="str">
        <f>IF(OR(F220="",G220="",H220=""),"",IF(C220="売",(F220-H220)*G220,(H220-F220)*G220))</f>
        <v/>
      </c>
      <c r="L220" s="708" t="str">
        <f>IF(OR(F220="",H220=""),"",IF(C220="売",(F220-H220)/F220,(H220-F220)/F220))</f>
        <v/>
      </c>
      <c r="M220" s="598" t="str">
        <f>IF($F220="","",$F220*IF($C220="売",1-V811設定!$B$4,1+V811設定!$B$4)-MOD($F220*IF($C220="売",1-V811設定!$B$4,1+V811設定!$B$4),IF($F220&lt;=3000,1,IF($F220&lt;=5000,5,IF($F220&lt;=30000,10,IF($F220&lt;=50000,50,IF($F220&lt;=300000,100,500))))))+IF(AND($C220="売",MOD($F220*IF($C220="売",1-V811設定!$B$4,1+V811設定!$B$4),IF($F220&lt;=3000,1,IF($F220&lt;=5000,5,IF($F220&lt;=30000,10,IF($F220&lt;=50000,50,IF($F220&lt;=300000,100,500))))))&gt;0),IF($F220&lt;=3000,1,IF($F220&lt;=5000,5,IF($F220&lt;=30000,10,IF($F220&lt;=50000,50,IF($F220&lt;=300000,100,500))))),0))</f>
      </c>
      <c r="N220" s="598" t="str">
        <f>IF($F220="","",$F220*IF($C220="売",1+V811設定!$B$3,1-V811設定!$B$3)-MOD($F220*IF($C220="売",1+V811設定!$B$3,1-V811設定!$B$3),IF($F220&lt;=3000,1,IF($F220&lt;=5000,5,IF($F220&lt;=30000,10,IF($F220&lt;=50000,50,IF($F220&lt;=300000,100,500))))))+IF(AND($C220="売",MOD($F220*IF($C220="売",1+V811設定!$B$3,1-V811設定!$B$3),IF($F220&lt;=3000,1,IF($F220&lt;=5000,5,IF($F220&lt;=30000,10,IF($F220&lt;=50000,50,IF($F220&lt;=300000,100,500))))))&gt;0),IF($F220&lt;=3000,1,IF($F220&lt;=5000,5,IF($F220&lt;=30000,10,IF($F220&lt;=50000,50,IF($F220&lt;=300000,100,500))))),0))</f>
      </c>
      <c r="O220" s="478" t="str">
        <f>IF(OR($B220="",$F220="",$H220=""),"",IF($S220="✅売却済","―決済済―",IF($C220="売",IF($H220&lt;=$M220,"🟢利確",IF(AND($R220&lt;&gt;"",$H220&gt;=$R220),"🟠TRAIL",IF($H220&gt;=$N220,"🔴損切",IF($W220&gt;=V811設定!$B$6,"⏱時間決済",IF($H220&gt;=$F220*(1+V811設定!$B$3*0.7),"⚠️損切接近","保持継続"))))),IF($H220&gt;=$M220,"🟢利確",IF(AND($R220&lt;&gt;"",$H220&lt;=$R220),"🟠TRAIL",IF($H220&lt;=$N220,"🔴損切",IF($W220&gt;=V811設定!$B$6,"⏱時間決済",IF($H220&lt;=$F220*(1-V811設定!$B$3*0.7),"⚠️損切接近","保持継続"))))))))</f>
      </c>
      <c r="P220" s="445"/>
      <c r="Q220" s="445"/>
      <c r="R220" s="480" t="str">
        <f>IF(OR($F220="",$H220="",$N220=""),"",IF($S220="✅売却済","",IF($C220="売",IF($H220&gt;$F220*(1-V811設定!$B$3),$N220,MIN($N220,IF($Q220="",$N220,$Q220*1.03))),IF($H220&lt;$F220*(1+V811設定!$B$3),$N220,MAX($N220,IF($P220="",$N220,$P220*0.97))))))</f>
      </c>
      <c r="S220" s="480" t="str">
        <f>IF(B220="","",IF(T220&lt;&gt;"","✅売却済",IF(OR(H220="",L220=""),"📌保有中",IF(L220&gt;=0.06,"🟢利確推奨",IF(L220&gt;=0.05,"🟡利確直近",IF(L220&gt;=0.045,"🔵トレーリング検討",IF(L220&gt;-0.03,"📌保有中",IF(L220&gt;-0.04,"⚠️損切注意","🔴損切り"))))))))</f>
        <v/>
      </c>
      <c r="T220" s="596"/>
      <c r="U220" s="598"/>
      <c r="V220" s="703" t="str">
        <f>IF(OR(F220="",G220="",U220=""),"",IF(C220="売",(F220-U220)*G220,(U220-F220)*G220))</f>
        <v/>
      </c>
      <c r="W220" s="480" t="str">
        <f>IF(OR($E220="",$B220=""),"",IF($T220&lt;&gt;"",$T220-$E220,TODAY()-$E220)+1)</f>
        <v/>
      </c>
      <c r="X220" s="480" t="str">
        <f>IF(OR($AH220="",$AH220="保有中"),"",$AH220)</f>
        <v/>
      </c>
      <c r="Y220" s="488"/>
      <c r="Z220" s="710"/>
      <c r="AD220" s="608"/>
      <c r="AE220" s="600" t="str">
        <f>IF($E220="","",WORKDAY($E220,12))</f>
        <v/>
      </c>
      <c r="AF220" s="600" t="str" cm="1">
        <f t="array" aca="1" ref="AF220" ca="1">IF(OR($B220="",$M220=""),"",IFERROR(IF($C220="売",_xlfn.MINIFS(安値!$E$3:$IT$3,安値!$E$3:$IT$3,"&gt;"&amp;$E220,安値!$E$3:$IT$3,"&lt;="&amp;$AE220,OFFSET(安値!$E$6:$IT$6,MATCH(TEXT($B220,"0"),TEXT(銘柄管理!$B$6:$B$305,"0"),0)-1,0),"&lt;="&amp;$M220),_xlfn.MINIFS(高値!$E$3:$IT$3,高値!$E$3:$IT$3,"&gt;"&amp;$E220,高値!$E$3:$IT$3,"&lt;="&amp;$AE220,OFFSET(高値!$E$6:$IT$6,MATCH(TEXT($B220,"0"),TEXT(銘柄管理!$B$6:$B$305,"0"),0)-1,0),"&gt;="&amp;$M220)),""))</f>
        <v/>
      </c>
      <c r="AG220" s="600" t="str" cm="1">
        <f t="array" aca="1" ref="AG220" ca="1">IF(OR($B220="",$N220=""),"",IFERROR(IF($C220="売",_xlfn.MINIFS(高値!$E$3:$IT$3,高値!$E$3:$IT$3,"&gt;"&amp;$E220,高値!$E$3:$IT$3,"&lt;="&amp;$AE220,OFFSET(高値!$E$6:$IT$6,MATCH(TEXT($B220,"0"),TEXT(銘柄管理!$B$6:$B$305,"0"),0)-1,0),"&gt;="&amp;$N220),_xlfn.MINIFS(安値!$E$3:$IT$3,安値!$E$3:$IT$3,"&gt;"&amp;$E220,安値!$E$3:$IT$3,"&lt;="&amp;$AE220,OFFSET(安値!$E$6:$IT$6,MATCH(TEXT($B220,"0"),TEXT(銘柄管理!$B$6:$B$305,"0"),0)-1,0),"&lt;="&amp;$N220)),""))</f>
        <v/>
      </c>
      <c r="AH220" s="600" t="str">
        <f>IF(OR($B220="",$M220=""),"",IF(AND(N($AF220)=0,N($AG220)=0),IF(AND(ISNUMBER($H220),$H220&gt;0,IF($C220="売",$H220&gt;=$N220,$H220&lt;=$N220)),"損切確定",IF(AND(ISNUMBER($H220),$H220&gt;0,IF($C220="売",$H220&lt;=$M220,$H220&gt;=$M220)),"利益確定",IF($AE220&lt;=TODAY(),"日数制限","保有中"))),IF(N($AG220)=0,"利益確定",IF(N($AF220)=0,"損切確定",IF($AG220&lt;=$AF220,"損切確定","利益確定")))))</f>
        <v/>
      </c>
      <c r="AI220" s="600" t="str" cm="1">
        <f t="array" ref="AI220">IFERROR(INDEX(始値!$E$6:$IT$305,MATCH(TEXT($B220,"0"),TEXT(銘柄管理!$B$6:$B$305,"0"),0),MATCH($AE220,始値!$E$3:$IT$3,0)),"")</f>
        <v/>
      </c>
      <c r="AJ220" s="608" t="str">
        <f>IF(OR($V220="",$F220="",$G220=""),"",$V220/($F220*$G220))</f>
        <v/>
      </c>
      <c r="AK220" s="600" t="str">
        <f>IF($V220="","",IF($V220&gt;0,"○勝",IF($V220&lt;0,"●負","△引分")))</f>
        <v/>
      </c>
    </row>
    <row r="221" spans="1:37" ht="17.25" customHeight="1">
      <c r="A221" s="621" t="str">
        <f>IF(B221="","",HYPERLINK("https://kabutan.jp/stock/?code="&amp;B221,"株探"))</f>
        <v/>
      </c>
      <c r="B221" s="480"/>
      <c r="C221" s="480"/>
      <c r="D221" s="480" t="str" cm="1">
        <f t="array" ref="D221">_xll.RssMarket(B221, "銘柄名称")</f>
        <v/>
      </c>
      <c r="E221" s="717"/>
      <c r="F221" s="698" t="str" cm="1">
        <f t="array" aca="1" ref="F221" ca="1">IFERROR(_xlfn.LET(_xlpm.r,MATCH(TEXT($B221,"0"),TEXT(銘柄管理!$B$6:$B$305,"0"),0),_xlpm.t,MOD(NOW(),1),_xlpm.c,IF($E221=TODAY(),IF(_xlpm.t&gt;=TIME(15,30,0),NA(),1),IF(MATCH($E221,始値!$E$3:$IT$3,0)=1,1,MATCH($E221,始値!$E$3:$IT$3,0)+1)),_xlpm.v,INDEX(始値!$C$6:$IT$305,_xlpm.r,_xlpm.c),IF(N(_xlpm.v)=0,"",_xlpm.v)),"")</f>
        <v/>
      </c>
      <c r="G221" s="480"/>
      <c r="H221" s="480" t="str" cm="1">
        <f t="array" ref="H221">_xll.RssMarket(B221, "現在値")</f>
        <v/>
      </c>
      <c r="I221" s="480" t="str" cm="1">
        <f t="array" ref="I221">_xll.RssMarket(B221, "出来高加重平均")</f>
        <v/>
      </c>
      <c r="J221" s="702" t="str" cm="1">
        <f t="array" ref="J221">_xll.RssMarket($B221, "前日比")</f>
        <v/>
      </c>
      <c r="K221" s="703" t="str">
        <f>IF(OR(F221="",G221="",H221=""),"",IF(C221="売",(F221-H221)*G221,(H221-F221)*G221))</f>
        <v/>
      </c>
      <c r="L221" s="708" t="str">
        <f>IF(OR(F221="",H221=""),"",IF(C221="売",(F221-H221)/F221,(H221-F221)/F221))</f>
        <v/>
      </c>
      <c r="M221" s="598" t="str">
        <f>IF($F221="","",$F221*IF($C221="売",1-V811設定!$B$4,1+V811設定!$B$4)-MOD($F221*IF($C221="売",1-V811設定!$B$4,1+V811設定!$B$4),IF($F221&lt;=3000,1,IF($F221&lt;=5000,5,IF($F221&lt;=30000,10,IF($F221&lt;=50000,50,IF($F221&lt;=300000,100,500))))))+IF(AND($C221="売",MOD($F221*IF($C221="売",1-V811設定!$B$4,1+V811設定!$B$4),IF($F221&lt;=3000,1,IF($F221&lt;=5000,5,IF($F221&lt;=30000,10,IF($F221&lt;=50000,50,IF($F221&lt;=300000,100,500))))))&gt;0),IF($F221&lt;=3000,1,IF($F221&lt;=5000,5,IF($F221&lt;=30000,10,IF($F221&lt;=50000,50,IF($F221&lt;=300000,100,500))))),0))</f>
      </c>
      <c r="N221" s="598" t="str">
        <f>IF($F221="","",$F221*IF($C221="売",1+V811設定!$B$3,1-V811設定!$B$3)-MOD($F221*IF($C221="売",1+V811設定!$B$3,1-V811設定!$B$3),IF($F221&lt;=3000,1,IF($F221&lt;=5000,5,IF($F221&lt;=30000,10,IF($F221&lt;=50000,50,IF($F221&lt;=300000,100,500))))))+IF(AND($C221="売",MOD($F221*IF($C221="売",1+V811設定!$B$3,1-V811設定!$B$3),IF($F221&lt;=3000,1,IF($F221&lt;=5000,5,IF($F221&lt;=30000,10,IF($F221&lt;=50000,50,IF($F221&lt;=300000,100,500))))))&gt;0),IF($F221&lt;=3000,1,IF($F221&lt;=5000,5,IF($F221&lt;=30000,10,IF($F221&lt;=50000,50,IF($F221&lt;=300000,100,500))))),0))</f>
      </c>
      <c r="O221" s="478" t="str">
        <f>IF(OR($B221="",$F221="",$H221=""),"",IF($S221="✅売却済","―決済済―",IF($C221="売",IF($H221&lt;=$M221,"🟢利確",IF(AND($R221&lt;&gt;"",$H221&gt;=$R221),"🟠TRAIL",IF($H221&gt;=$N221,"🔴損切",IF($W221&gt;=V811設定!$B$6,"⏱時間決済",IF($H221&gt;=$F221*(1+V811設定!$B$3*0.7),"⚠️損切接近","保持継続"))))),IF($H221&gt;=$M221,"🟢利確",IF(AND($R221&lt;&gt;"",$H221&lt;=$R221),"🟠TRAIL",IF($H221&lt;=$N221,"🔴損切",IF($W221&gt;=V811設定!$B$6,"⏱時間決済",IF($H221&lt;=$F221*(1-V811設定!$B$3*0.7),"⚠️損切接近","保持継続"))))))))</f>
      </c>
      <c r="P221" s="445"/>
      <c r="Q221" s="445"/>
      <c r="R221" s="480" t="str">
        <f>IF(OR($F221="",$H221="",$N221=""),"",IF($S221="✅売却済","",IF($C221="売",IF($H221&gt;$F221*(1-V811設定!$B$3),$N221,MIN($N221,IF($Q221="",$N221,$Q221*1.03))),IF($H221&lt;$F221*(1+V811設定!$B$3),$N221,MAX($N221,IF($P221="",$N221,$P221*0.97))))))</f>
      </c>
      <c r="S221" s="480" t="str">
        <f>IF(B221="","",IF(T221&lt;&gt;"","✅売却済",IF(OR(H221="",L221=""),"📌保有中",IF(L221&gt;=0.06,"🟢利確推奨",IF(L221&gt;=0.05,"🟡利確直近",IF(L221&gt;=0.045,"🔵トレーリング検討",IF(L221&gt;-0.03,"📌保有中",IF(L221&gt;-0.04,"⚠️損切注意","🔴損切り"))))))))</f>
        <v/>
      </c>
      <c r="T221" s="596"/>
      <c r="U221" s="598"/>
      <c r="V221" s="703" t="str">
        <f>IF(OR(F221="",G221="",U221=""),"",IF(C221="売",(F221-U221)*G221,(U221-F221)*G221))</f>
        <v/>
      </c>
      <c r="W221" s="480" t="str">
        <f>IF(OR($E221="",$B221=""),"",IF($T221&lt;&gt;"",$T221-$E221,TODAY()-$E221)+1)</f>
        <v/>
      </c>
      <c r="X221" s="480" t="str">
        <f>IF(OR($AH221="",$AH221="保有中"),"",$AH221)</f>
        <v/>
      </c>
      <c r="Y221" s="488"/>
      <c r="Z221" s="710"/>
      <c r="AD221" s="608"/>
      <c r="AE221" s="600" t="str">
        <f>IF($E221="","",WORKDAY($E221,12))</f>
        <v/>
      </c>
      <c r="AF221" s="600" t="str" cm="1">
        <f t="array" aca="1" ref="AF221" ca="1">IF(OR($B221="",$M221=""),"",IFERROR(IF($C221="売",_xlfn.MINIFS(安値!$E$3:$IT$3,安値!$E$3:$IT$3,"&gt;"&amp;$E221,安値!$E$3:$IT$3,"&lt;="&amp;$AE221,OFFSET(安値!$E$6:$IT$6,MATCH(TEXT($B221,"0"),TEXT(銘柄管理!$B$6:$B$305,"0"),0)-1,0),"&lt;="&amp;$M221),_xlfn.MINIFS(高値!$E$3:$IT$3,高値!$E$3:$IT$3,"&gt;"&amp;$E221,高値!$E$3:$IT$3,"&lt;="&amp;$AE221,OFFSET(高値!$E$6:$IT$6,MATCH(TEXT($B221,"0"),TEXT(銘柄管理!$B$6:$B$305,"0"),0)-1,0),"&gt;="&amp;$M221)),""))</f>
        <v/>
      </c>
      <c r="AG221" s="600" t="str" cm="1">
        <f t="array" aca="1" ref="AG221" ca="1">IF(OR($B221="",$N221=""),"",IFERROR(IF($C221="売",_xlfn.MINIFS(高値!$E$3:$IT$3,高値!$E$3:$IT$3,"&gt;"&amp;$E221,高値!$E$3:$IT$3,"&lt;="&amp;$AE221,OFFSET(高値!$E$6:$IT$6,MATCH(TEXT($B221,"0"),TEXT(銘柄管理!$B$6:$B$305,"0"),0)-1,0),"&gt;="&amp;$N221),_xlfn.MINIFS(安値!$E$3:$IT$3,安値!$E$3:$IT$3,"&gt;"&amp;$E221,安値!$E$3:$IT$3,"&lt;="&amp;$AE221,OFFSET(安値!$E$6:$IT$6,MATCH(TEXT($B221,"0"),TEXT(銘柄管理!$B$6:$B$305,"0"),0)-1,0),"&lt;="&amp;$N221)),""))</f>
        <v/>
      </c>
      <c r="AH221" s="600" t="str">
        <f>IF(OR($B221="",$M221=""),"",IF(AND(N($AF221)=0,N($AG221)=0),IF(AND(ISNUMBER($H221),$H221&gt;0,IF($C221="売",$H221&gt;=$N221,$H221&lt;=$N221)),"損切確定",IF(AND(ISNUMBER($H221),$H221&gt;0,IF($C221="売",$H221&lt;=$M221,$H221&gt;=$M221)),"利益確定",IF($AE221&lt;=TODAY(),"日数制限","保有中"))),IF(N($AG221)=0,"利益確定",IF(N($AF221)=0,"損切確定",IF($AG221&lt;=$AF221,"損切確定","利益確定")))))</f>
        <v/>
      </c>
      <c r="AI221" s="600" t="str" cm="1">
        <f t="array" ref="AI221">IFERROR(INDEX(始値!$E$6:$IT$305,MATCH(TEXT($B221,"0"),TEXT(銘柄管理!$B$6:$B$305,"0"),0),MATCH($AE221,始値!$E$3:$IT$3,0)),"")</f>
        <v/>
      </c>
      <c r="AJ221" s="608" t="str">
        <f>IF(OR($V221="",$F221="",$G221=""),"",$V221/($F221*$G221))</f>
        <v/>
      </c>
      <c r="AK221" s="600" t="str">
        <f>IF($V221="","",IF($V221&gt;0,"○勝",IF($V221&lt;0,"●負","△引分")))</f>
        <v/>
      </c>
    </row>
    <row r="222" spans="1:37" ht="17.25" customHeight="1">
      <c r="A222" s="621" t="str">
        <f>IF(B222="","",HYPERLINK("https://kabutan.jp/stock/?code="&amp;B222,"株探"))</f>
        <v/>
      </c>
      <c r="B222" s="480"/>
      <c r="C222" s="480"/>
      <c r="D222" s="480" t="str" cm="1">
        <f t="array" ref="D222">_xll.RssMarket(B222, "銘柄名称")</f>
        <v/>
      </c>
      <c r="E222" s="717"/>
      <c r="F222" s="698" t="str" cm="1">
        <f t="array" aca="1" ref="F222" ca="1">IFERROR(_xlfn.LET(_xlpm.r,MATCH(TEXT($B222,"0"),TEXT(銘柄管理!$B$6:$B$305,"0"),0),_xlpm.t,MOD(NOW(),1),_xlpm.c,IF($E222=TODAY(),IF(_xlpm.t&gt;=TIME(15,30,0),NA(),1),IF(MATCH($E222,始値!$E$3:$IT$3,0)=1,1,MATCH($E222,始値!$E$3:$IT$3,0)+1)),_xlpm.v,INDEX(始値!$C$6:$IT$305,_xlpm.r,_xlpm.c),IF(N(_xlpm.v)=0,"",_xlpm.v)),"")</f>
        <v/>
      </c>
      <c r="G222" s="480"/>
      <c r="H222" s="480" t="str" cm="1">
        <f t="array" ref="H222">_xll.RssMarket(B222, "現在値")</f>
        <v/>
      </c>
      <c r="I222" s="480" t="str" cm="1">
        <f t="array" ref="I222">_xll.RssMarket(B222, "出来高加重平均")</f>
        <v/>
      </c>
      <c r="J222" s="702" t="str" cm="1">
        <f t="array" ref="J222">_xll.RssMarket($B222, "前日比")</f>
        <v/>
      </c>
      <c r="K222" s="703" t="str">
        <f>IF(OR(F222="",G222="",H222=""),"",IF(C222="売",(F222-H222)*G222,(H222-F222)*G222))</f>
        <v/>
      </c>
      <c r="L222" s="708" t="str">
        <f>IF(OR(F222="",H222=""),"",IF(C222="売",(F222-H222)/F222,(H222-F222)/F222))</f>
        <v/>
      </c>
      <c r="M222" s="598" t="str">
        <f>IF($F222="","",$F222*IF($C222="売",1-V811設定!$B$4,1+V811設定!$B$4)-MOD($F222*IF($C222="売",1-V811設定!$B$4,1+V811設定!$B$4),IF($F222&lt;=3000,1,IF($F222&lt;=5000,5,IF($F222&lt;=30000,10,IF($F222&lt;=50000,50,IF($F222&lt;=300000,100,500))))))+IF(AND($C222="売",MOD($F222*IF($C222="売",1-V811設定!$B$4,1+V811設定!$B$4),IF($F222&lt;=3000,1,IF($F222&lt;=5000,5,IF($F222&lt;=30000,10,IF($F222&lt;=50000,50,IF($F222&lt;=300000,100,500))))))&gt;0),IF($F222&lt;=3000,1,IF($F222&lt;=5000,5,IF($F222&lt;=30000,10,IF($F222&lt;=50000,50,IF($F222&lt;=300000,100,500))))),0))</f>
      </c>
      <c r="N222" s="598" t="str">
        <f>IF($F222="","",$F222*IF($C222="売",1+V811設定!$B$3,1-V811設定!$B$3)-MOD($F222*IF($C222="売",1+V811設定!$B$3,1-V811設定!$B$3),IF($F222&lt;=3000,1,IF($F222&lt;=5000,5,IF($F222&lt;=30000,10,IF($F222&lt;=50000,50,IF($F222&lt;=300000,100,500))))))+IF(AND($C222="売",MOD($F222*IF($C222="売",1+V811設定!$B$3,1-V811設定!$B$3),IF($F222&lt;=3000,1,IF($F222&lt;=5000,5,IF($F222&lt;=30000,10,IF($F222&lt;=50000,50,IF($F222&lt;=300000,100,500))))))&gt;0),IF($F222&lt;=3000,1,IF($F222&lt;=5000,5,IF($F222&lt;=30000,10,IF($F222&lt;=50000,50,IF($F222&lt;=300000,100,500))))),0))</f>
      </c>
      <c r="O222" s="478" t="str">
        <f>IF(OR($B222="",$F222="",$H222=""),"",IF($S222="✅売却済","―決済済―",IF($C222="売",IF($H222&lt;=$M222,"🟢利確",IF(AND($R222&lt;&gt;"",$H222&gt;=$R222),"🟠TRAIL",IF($H222&gt;=$N222,"🔴損切",IF($W222&gt;=V811設定!$B$6,"⏱時間決済",IF($H222&gt;=$F222*(1+V811設定!$B$3*0.7),"⚠️損切接近","保持継続"))))),IF($H222&gt;=$M222,"🟢利確",IF(AND($R222&lt;&gt;"",$H222&lt;=$R222),"🟠TRAIL",IF($H222&lt;=$N222,"🔴損切",IF($W222&gt;=V811設定!$B$6,"⏱時間決済",IF($H222&lt;=$F222*(1-V811設定!$B$3*0.7),"⚠️損切接近","保持継続"))))))))</f>
      </c>
      <c r="P222" s="445"/>
      <c r="Q222" s="445"/>
      <c r="R222" s="480" t="str">
        <f>IF(OR($F222="",$H222="",$N222=""),"",IF($S222="✅売却済","",IF($C222="売",IF($H222&gt;$F222*(1-V811設定!$B$3),$N222,MIN($N222,IF($Q222="",$N222,$Q222*1.03))),IF($H222&lt;$F222*(1+V811設定!$B$3),$N222,MAX($N222,IF($P222="",$N222,$P222*0.97))))))</f>
      </c>
      <c r="S222" s="480" t="str">
        <f>IF(B222="","",IF(T222&lt;&gt;"","✅売却済",IF(OR(H222="",L222=""),"📌保有中",IF(L222&gt;=0.06,"🟢利確推奨",IF(L222&gt;=0.05,"🟡利確直近",IF(L222&gt;=0.045,"🔵トレーリング検討",IF(L222&gt;-0.03,"📌保有中",IF(L222&gt;-0.04,"⚠️損切注意","🔴損切り"))))))))</f>
        <v/>
      </c>
      <c r="T222" s="596"/>
      <c r="U222" s="598"/>
      <c r="V222" s="703" t="str">
        <f>IF(OR(F222="",G222="",U222=""),"",IF(C222="売",(F222-U222)*G222,(U222-F222)*G222))</f>
        <v/>
      </c>
      <c r="W222" s="480" t="str">
        <f>IF(OR($E222="",$B222=""),"",IF($T222&lt;&gt;"",$T222-$E222,TODAY()-$E222)+1)</f>
        <v/>
      </c>
      <c r="X222" s="480" t="str">
        <f>IF(OR($AH222="",$AH222="保有中"),"",$AH222)</f>
        <v/>
      </c>
      <c r="Y222" s="488"/>
      <c r="Z222" s="710"/>
      <c r="AD222" s="608"/>
      <c r="AE222" s="600" t="str">
        <f>IF($E222="","",WORKDAY($E222,12))</f>
        <v/>
      </c>
      <c r="AF222" s="600" t="str" cm="1">
        <f t="array" aca="1" ref="AF222" ca="1">IF(OR($B222="",$M222=""),"",IFERROR(IF($C222="売",_xlfn.MINIFS(安値!$E$3:$IT$3,安値!$E$3:$IT$3,"&gt;"&amp;$E222,安値!$E$3:$IT$3,"&lt;="&amp;$AE222,OFFSET(安値!$E$6:$IT$6,MATCH(TEXT($B222,"0"),TEXT(銘柄管理!$B$6:$B$305,"0"),0)-1,0),"&lt;="&amp;$M222),_xlfn.MINIFS(高値!$E$3:$IT$3,高値!$E$3:$IT$3,"&gt;"&amp;$E222,高値!$E$3:$IT$3,"&lt;="&amp;$AE222,OFFSET(高値!$E$6:$IT$6,MATCH(TEXT($B222,"0"),TEXT(銘柄管理!$B$6:$B$305,"0"),0)-1,0),"&gt;="&amp;$M222)),""))</f>
        <v/>
      </c>
      <c r="AG222" s="600" t="str" cm="1">
        <f t="array" aca="1" ref="AG222" ca="1">IF(OR($B222="",$N222=""),"",IFERROR(IF($C222="売",_xlfn.MINIFS(高値!$E$3:$IT$3,高値!$E$3:$IT$3,"&gt;"&amp;$E222,高値!$E$3:$IT$3,"&lt;="&amp;$AE222,OFFSET(高値!$E$6:$IT$6,MATCH(TEXT($B222,"0"),TEXT(銘柄管理!$B$6:$B$305,"0"),0)-1,0),"&gt;="&amp;$N222),_xlfn.MINIFS(安値!$E$3:$IT$3,安値!$E$3:$IT$3,"&gt;"&amp;$E222,安値!$E$3:$IT$3,"&lt;="&amp;$AE222,OFFSET(安値!$E$6:$IT$6,MATCH(TEXT($B222,"0"),TEXT(銘柄管理!$B$6:$B$305,"0"),0)-1,0),"&lt;="&amp;$N222)),""))</f>
        <v/>
      </c>
      <c r="AH222" s="600" t="str">
        <f>IF(OR($B222="",$M222=""),"",IF(AND(N($AF222)=0,N($AG222)=0),IF(AND(ISNUMBER($H222),$H222&gt;0,IF($C222="売",$H222&gt;=$N222,$H222&lt;=$N222)),"損切確定",IF(AND(ISNUMBER($H222),$H222&gt;0,IF($C222="売",$H222&lt;=$M222,$H222&gt;=$M222)),"利益確定",IF($AE222&lt;=TODAY(),"日数制限","保有中"))),IF(N($AG222)=0,"利益確定",IF(N($AF222)=0,"損切確定",IF($AG222&lt;=$AF222,"損切確定","利益確定")))))</f>
        <v/>
      </c>
      <c r="AI222" s="600" t="str" cm="1">
        <f t="array" ref="AI222">IFERROR(INDEX(始値!$E$6:$IT$305,MATCH(TEXT($B222,"0"),TEXT(銘柄管理!$B$6:$B$305,"0"),0),MATCH($AE222,始値!$E$3:$IT$3,0)),"")</f>
        <v/>
      </c>
      <c r="AJ222" s="608" t="str">
        <f>IF(OR($V222="",$F222="",$G222=""),"",$V222/($F222*$G222))</f>
        <v/>
      </c>
      <c r="AK222" s="600" t="str">
        <f>IF($V222="","",IF($V222&gt;0,"○勝",IF($V222&lt;0,"●負","△引分")))</f>
        <v/>
      </c>
    </row>
    <row r="223" spans="1:37" ht="17.25" customHeight="1">
      <c r="A223" s="621" t="str">
        <f>IF(B223="","",HYPERLINK("https://kabutan.jp/stock/?code="&amp;B223,"株探"))</f>
        <v/>
      </c>
      <c r="B223" s="480"/>
      <c r="C223" s="480"/>
      <c r="D223" s="480" t="str" cm="1">
        <f t="array" ref="D223">_xll.RssMarket(B223, "銘柄名称")</f>
        <v/>
      </c>
      <c r="E223" s="717"/>
      <c r="F223" s="698" t="str" cm="1">
        <f t="array" aca="1" ref="F223" ca="1">IFERROR(_xlfn.LET(_xlpm.r,MATCH(TEXT($B223,"0"),TEXT(銘柄管理!$B$6:$B$305,"0"),0),_xlpm.t,MOD(NOW(),1),_xlpm.c,IF($E223=TODAY(),IF(_xlpm.t&gt;=TIME(15,30,0),NA(),1),IF(MATCH($E223,始値!$E$3:$IT$3,0)=1,1,MATCH($E223,始値!$E$3:$IT$3,0)+1)),_xlpm.v,INDEX(始値!$C$6:$IT$305,_xlpm.r,_xlpm.c),IF(N(_xlpm.v)=0,"",_xlpm.v)),"")</f>
        <v/>
      </c>
      <c r="G223" s="480"/>
      <c r="H223" s="480" t="str" cm="1">
        <f t="array" ref="H223">_xll.RssMarket(B223, "現在値")</f>
        <v/>
      </c>
      <c r="I223" s="480" t="str" cm="1">
        <f t="array" ref="I223">_xll.RssMarket(B223, "出来高加重平均")</f>
        <v/>
      </c>
      <c r="J223" s="702" t="str" cm="1">
        <f t="array" ref="J223">_xll.RssMarket($B223, "前日比")</f>
        <v/>
      </c>
      <c r="K223" s="703" t="str">
        <f>IF(OR(F223="",G223="",H223=""),"",IF(C223="売",(F223-H223)*G223,(H223-F223)*G223))</f>
        <v/>
      </c>
      <c r="L223" s="708" t="str">
        <f>IF(OR(F223="",H223=""),"",IF(C223="売",(F223-H223)/F223,(H223-F223)/F223))</f>
        <v/>
      </c>
      <c r="M223" s="598" t="str">
        <f>IF($F223="","",$F223*IF($C223="売",1-V811設定!$B$4,1+V811設定!$B$4)-MOD($F223*IF($C223="売",1-V811設定!$B$4,1+V811設定!$B$4),IF($F223&lt;=3000,1,IF($F223&lt;=5000,5,IF($F223&lt;=30000,10,IF($F223&lt;=50000,50,IF($F223&lt;=300000,100,500))))))+IF(AND($C223="売",MOD($F223*IF($C223="売",1-V811設定!$B$4,1+V811設定!$B$4),IF($F223&lt;=3000,1,IF($F223&lt;=5000,5,IF($F223&lt;=30000,10,IF($F223&lt;=50000,50,IF($F223&lt;=300000,100,500))))))&gt;0),IF($F223&lt;=3000,1,IF($F223&lt;=5000,5,IF($F223&lt;=30000,10,IF($F223&lt;=50000,50,IF($F223&lt;=300000,100,500))))),0))</f>
      </c>
      <c r="N223" s="598" t="str">
        <f>IF($F223="","",$F223*IF($C223="売",1+V811設定!$B$3,1-V811設定!$B$3)-MOD($F223*IF($C223="売",1+V811設定!$B$3,1-V811設定!$B$3),IF($F223&lt;=3000,1,IF($F223&lt;=5000,5,IF($F223&lt;=30000,10,IF($F223&lt;=50000,50,IF($F223&lt;=300000,100,500))))))+IF(AND($C223="売",MOD($F223*IF($C223="売",1+V811設定!$B$3,1-V811設定!$B$3),IF($F223&lt;=3000,1,IF($F223&lt;=5000,5,IF($F223&lt;=30000,10,IF($F223&lt;=50000,50,IF($F223&lt;=300000,100,500))))))&gt;0),IF($F223&lt;=3000,1,IF($F223&lt;=5000,5,IF($F223&lt;=30000,10,IF($F223&lt;=50000,50,IF($F223&lt;=300000,100,500))))),0))</f>
      </c>
      <c r="O223" s="478" t="str">
        <f>IF(OR($B223="",$F223="",$H223=""),"",IF($S223="✅売却済","―決済済―",IF($C223="売",IF($H223&lt;=$M223,"🟢利確",IF(AND($R223&lt;&gt;"",$H223&gt;=$R223),"🟠TRAIL",IF($H223&gt;=$N223,"🔴損切",IF($W223&gt;=V811設定!$B$6,"⏱時間決済",IF($H223&gt;=$F223*(1+V811設定!$B$3*0.7),"⚠️損切接近","保持継続"))))),IF($H223&gt;=$M223,"🟢利確",IF(AND($R223&lt;&gt;"",$H223&lt;=$R223),"🟠TRAIL",IF($H223&lt;=$N223,"🔴損切",IF($W223&gt;=V811設定!$B$6,"⏱時間決済",IF($H223&lt;=$F223*(1-V811設定!$B$3*0.7),"⚠️損切接近","保持継続"))))))))</f>
      </c>
      <c r="P223" s="445"/>
      <c r="Q223" s="445"/>
      <c r="R223" s="480" t="str">
        <f>IF(OR($F223="",$H223="",$N223=""),"",IF($S223="✅売却済","",IF($C223="売",IF($H223&gt;$F223*(1-V811設定!$B$3),$N223,MIN($N223,IF($Q223="",$N223,$Q223*1.03))),IF($H223&lt;$F223*(1+V811設定!$B$3),$N223,MAX($N223,IF($P223="",$N223,$P223*0.97))))))</f>
      </c>
      <c r="S223" s="480" t="str">
        <f>IF(B223="","",IF(T223&lt;&gt;"","✅売却済",IF(OR(H223="",L223=""),"📌保有中",IF(L223&gt;=0.06,"🟢利確推奨",IF(L223&gt;=0.05,"🟡利確直近",IF(L223&gt;=0.045,"🔵トレーリング検討",IF(L223&gt;-0.03,"📌保有中",IF(L223&gt;-0.04,"⚠️損切注意","🔴損切り"))))))))</f>
        <v/>
      </c>
      <c r="T223" s="596"/>
      <c r="U223" s="598"/>
      <c r="V223" s="703" t="str">
        <f>IF(OR(F223="",G223="",U223=""),"",IF(C223="売",(F223-U223)*G223,(U223-F223)*G223))</f>
        <v/>
      </c>
      <c r="W223" s="480" t="str">
        <f>IF(OR($E223="",$B223=""),"",IF($T223&lt;&gt;"",$T223-$E223,TODAY()-$E223)+1)</f>
        <v/>
      </c>
      <c r="X223" s="480" t="str">
        <f>IF(OR($AH223="",$AH223="保有中"),"",$AH223)</f>
        <v/>
      </c>
      <c r="Y223" s="488"/>
      <c r="Z223" s="710"/>
      <c r="AD223" s="608"/>
      <c r="AE223" s="600" t="str">
        <f>IF($E223="","",WORKDAY($E223,12))</f>
        <v/>
      </c>
      <c r="AF223" s="600" t="str" cm="1">
        <f t="array" aca="1" ref="AF223" ca="1">IF(OR($B223="",$M223=""),"",IFERROR(IF($C223="売",_xlfn.MINIFS(安値!$E$3:$IT$3,安値!$E$3:$IT$3,"&gt;"&amp;$E223,安値!$E$3:$IT$3,"&lt;="&amp;$AE223,OFFSET(安値!$E$6:$IT$6,MATCH(TEXT($B223,"0"),TEXT(銘柄管理!$B$6:$B$305,"0"),0)-1,0),"&lt;="&amp;$M223),_xlfn.MINIFS(高値!$E$3:$IT$3,高値!$E$3:$IT$3,"&gt;"&amp;$E223,高値!$E$3:$IT$3,"&lt;="&amp;$AE223,OFFSET(高値!$E$6:$IT$6,MATCH(TEXT($B223,"0"),TEXT(銘柄管理!$B$6:$B$305,"0"),0)-1,0),"&gt;="&amp;$M223)),""))</f>
        <v/>
      </c>
      <c r="AG223" s="600" t="str" cm="1">
        <f t="array" aca="1" ref="AG223" ca="1">IF(OR($B223="",$N223=""),"",IFERROR(IF($C223="売",_xlfn.MINIFS(高値!$E$3:$IT$3,高値!$E$3:$IT$3,"&gt;"&amp;$E223,高値!$E$3:$IT$3,"&lt;="&amp;$AE223,OFFSET(高値!$E$6:$IT$6,MATCH(TEXT($B223,"0"),TEXT(銘柄管理!$B$6:$B$305,"0"),0)-1,0),"&gt;="&amp;$N223),_xlfn.MINIFS(安値!$E$3:$IT$3,安値!$E$3:$IT$3,"&gt;"&amp;$E223,安値!$E$3:$IT$3,"&lt;="&amp;$AE223,OFFSET(安値!$E$6:$IT$6,MATCH(TEXT($B223,"0"),TEXT(銘柄管理!$B$6:$B$305,"0"),0)-1,0),"&lt;="&amp;$N223)),""))</f>
        <v/>
      </c>
      <c r="AH223" s="600" t="str">
        <f>IF(OR($B223="",$M223=""),"",IF(AND(N($AF223)=0,N($AG223)=0),IF(AND(ISNUMBER($H223),$H223&gt;0,IF($C223="売",$H223&gt;=$N223,$H223&lt;=$N223)),"損切確定",IF(AND(ISNUMBER($H223),$H223&gt;0,IF($C223="売",$H223&lt;=$M223,$H223&gt;=$M223)),"利益確定",IF($AE223&lt;=TODAY(),"日数制限","保有中"))),IF(N($AG223)=0,"利益確定",IF(N($AF223)=0,"損切確定",IF($AG223&lt;=$AF223,"損切確定","利益確定")))))</f>
        <v/>
      </c>
      <c r="AI223" s="600" t="str" cm="1">
        <f t="array" ref="AI223">IFERROR(INDEX(始値!$E$6:$IT$305,MATCH(TEXT($B223,"0"),TEXT(銘柄管理!$B$6:$B$305,"0"),0),MATCH($AE223,始値!$E$3:$IT$3,0)),"")</f>
        <v/>
      </c>
      <c r="AJ223" s="608" t="str">
        <f>IF(OR($V223="",$F223="",$G223=""),"",$V223/($F223*$G223))</f>
        <v/>
      </c>
      <c r="AK223" s="600" t="str">
        <f>IF($V223="","",IF($V223&gt;0,"○勝",IF($V223&lt;0,"●負","△引分")))</f>
        <v/>
      </c>
    </row>
    <row r="224" spans="1:37" ht="17.25" customHeight="1">
      <c r="A224" s="621" t="str">
        <f>IF(B224="","",HYPERLINK("https://kabutan.jp/stock/?code="&amp;B224,"株探"))</f>
        <v/>
      </c>
      <c r="B224" s="480"/>
      <c r="C224" s="480"/>
      <c r="D224" s="480" t="str" cm="1">
        <f t="array" ref="D224">_xll.RssMarket(B224, "銘柄名称")</f>
        <v/>
      </c>
      <c r="E224" s="717"/>
      <c r="F224" s="698" t="str" cm="1">
        <f t="array" aca="1" ref="F224" ca="1">IFERROR(_xlfn.LET(_xlpm.r,MATCH(TEXT($B224,"0"),TEXT(銘柄管理!$B$6:$B$305,"0"),0),_xlpm.t,MOD(NOW(),1),_xlpm.c,IF($E224=TODAY(),IF(_xlpm.t&gt;=TIME(15,30,0),NA(),1),IF(MATCH($E224,始値!$E$3:$IT$3,0)=1,1,MATCH($E224,始値!$E$3:$IT$3,0)+1)),_xlpm.v,INDEX(始値!$C$6:$IT$305,_xlpm.r,_xlpm.c),IF(N(_xlpm.v)=0,"",_xlpm.v)),"")</f>
        <v/>
      </c>
      <c r="G224" s="480"/>
      <c r="H224" s="480" t="str" cm="1">
        <f t="array" ref="H224">_xll.RssMarket(B224, "現在値")</f>
        <v/>
      </c>
      <c r="I224" s="480" t="str" cm="1">
        <f t="array" ref="I224">_xll.RssMarket(B224, "出来高加重平均")</f>
        <v/>
      </c>
      <c r="J224" s="702" t="str" cm="1">
        <f t="array" ref="J224">_xll.RssMarket($B224, "前日比")</f>
        <v/>
      </c>
      <c r="K224" s="703" t="str">
        <f>IF(OR(F224="",G224="",H224=""),"",IF(C224="売",(F224-H224)*G224,(H224-F224)*G224))</f>
        <v/>
      </c>
      <c r="L224" s="708" t="str">
        <f>IF(OR(F224="",H224=""),"",IF(C224="売",(F224-H224)/F224,(H224-F224)/F224))</f>
        <v/>
      </c>
      <c r="M224" s="598" t="str">
        <f>IF($F224="","",$F224*IF($C224="売",1-V811設定!$B$4,1+V811設定!$B$4)-MOD($F224*IF($C224="売",1-V811設定!$B$4,1+V811設定!$B$4),IF($F224&lt;=3000,1,IF($F224&lt;=5000,5,IF($F224&lt;=30000,10,IF($F224&lt;=50000,50,IF($F224&lt;=300000,100,500))))))+IF(AND($C224="売",MOD($F224*IF($C224="売",1-V811設定!$B$4,1+V811設定!$B$4),IF($F224&lt;=3000,1,IF($F224&lt;=5000,5,IF($F224&lt;=30000,10,IF($F224&lt;=50000,50,IF($F224&lt;=300000,100,500))))))&gt;0),IF($F224&lt;=3000,1,IF($F224&lt;=5000,5,IF($F224&lt;=30000,10,IF($F224&lt;=50000,50,IF($F224&lt;=300000,100,500))))),0))</f>
      </c>
      <c r="N224" s="598" t="str">
        <f>IF($F224="","",$F224*IF($C224="売",1+V811設定!$B$3,1-V811設定!$B$3)-MOD($F224*IF($C224="売",1+V811設定!$B$3,1-V811設定!$B$3),IF($F224&lt;=3000,1,IF($F224&lt;=5000,5,IF($F224&lt;=30000,10,IF($F224&lt;=50000,50,IF($F224&lt;=300000,100,500))))))+IF(AND($C224="売",MOD($F224*IF($C224="売",1+V811設定!$B$3,1-V811設定!$B$3),IF($F224&lt;=3000,1,IF($F224&lt;=5000,5,IF($F224&lt;=30000,10,IF($F224&lt;=50000,50,IF($F224&lt;=300000,100,500))))))&gt;0),IF($F224&lt;=3000,1,IF($F224&lt;=5000,5,IF($F224&lt;=30000,10,IF($F224&lt;=50000,50,IF($F224&lt;=300000,100,500))))),0))</f>
      </c>
      <c r="O224" s="478" t="str">
        <f>IF(OR($B224="",$F224="",$H224=""),"",IF($S224="✅売却済","―決済済―",IF($C224="売",IF($H224&lt;=$M224,"🟢利確",IF(AND($R224&lt;&gt;"",$H224&gt;=$R224),"🟠TRAIL",IF($H224&gt;=$N224,"🔴損切",IF($W224&gt;=V811設定!$B$6,"⏱時間決済",IF($H224&gt;=$F224*(1+V811設定!$B$3*0.7),"⚠️損切接近","保持継続"))))),IF($H224&gt;=$M224,"🟢利確",IF(AND($R224&lt;&gt;"",$H224&lt;=$R224),"🟠TRAIL",IF($H224&lt;=$N224,"🔴損切",IF($W224&gt;=V811設定!$B$6,"⏱時間決済",IF($H224&lt;=$F224*(1-V811設定!$B$3*0.7),"⚠️損切接近","保持継続"))))))))</f>
      </c>
      <c r="P224" s="445"/>
      <c r="Q224" s="445"/>
      <c r="R224" s="480" t="str">
        <f>IF(OR($F224="",$H224="",$N224=""),"",IF($S224="✅売却済","",IF($C224="売",IF($H224&gt;$F224*(1-V811設定!$B$3),$N224,MIN($N224,IF($Q224="",$N224,$Q224*1.03))),IF($H224&lt;$F224*(1+V811設定!$B$3),$N224,MAX($N224,IF($P224="",$N224,$P224*0.97))))))</f>
      </c>
      <c r="S224" s="480" t="str">
        <f>IF(B224="","",IF(T224&lt;&gt;"","✅売却済",IF(OR(H224="",L224=""),"📌保有中",IF(L224&gt;=0.06,"🟢利確推奨",IF(L224&gt;=0.05,"🟡利確直近",IF(L224&gt;=0.045,"🔵トレーリング検討",IF(L224&gt;-0.03,"📌保有中",IF(L224&gt;-0.04,"⚠️損切注意","🔴損切り"))))))))</f>
        <v/>
      </c>
      <c r="T224" s="596"/>
      <c r="U224" s="598"/>
      <c r="V224" s="703" t="str">
        <f>IF(OR(F224="",G224="",U224=""),"",IF(C224="売",(F224-U224)*G224,(U224-F224)*G224))</f>
        <v/>
      </c>
      <c r="W224" s="480" t="str">
        <f>IF(OR($E224="",$B224=""),"",IF($T224&lt;&gt;"",$T224-$E224,TODAY()-$E224)+1)</f>
        <v/>
      </c>
      <c r="X224" s="480" t="str">
        <f>IF(OR($AH224="",$AH224="保有中"),"",$AH224)</f>
        <v/>
      </c>
      <c r="Y224" s="488"/>
      <c r="Z224" s="710"/>
      <c r="AD224" s="608"/>
      <c r="AE224" s="600" t="str">
        <f>IF($E224="","",WORKDAY($E224,12))</f>
        <v/>
      </c>
      <c r="AF224" s="600" t="str" cm="1">
        <f t="array" aca="1" ref="AF224" ca="1">IF(OR($B224="",$M224=""),"",IFERROR(IF($C224="売",_xlfn.MINIFS(安値!$E$3:$IT$3,安値!$E$3:$IT$3,"&gt;"&amp;$E224,安値!$E$3:$IT$3,"&lt;="&amp;$AE224,OFFSET(安値!$E$6:$IT$6,MATCH(TEXT($B224,"0"),TEXT(銘柄管理!$B$6:$B$305,"0"),0)-1,0),"&lt;="&amp;$M224),_xlfn.MINIFS(高値!$E$3:$IT$3,高値!$E$3:$IT$3,"&gt;"&amp;$E224,高値!$E$3:$IT$3,"&lt;="&amp;$AE224,OFFSET(高値!$E$6:$IT$6,MATCH(TEXT($B224,"0"),TEXT(銘柄管理!$B$6:$B$305,"0"),0)-1,0),"&gt;="&amp;$M224)),""))</f>
        <v/>
      </c>
      <c r="AG224" s="600" t="str" cm="1">
        <f t="array" aca="1" ref="AG224" ca="1">IF(OR($B224="",$N224=""),"",IFERROR(IF($C224="売",_xlfn.MINIFS(高値!$E$3:$IT$3,高値!$E$3:$IT$3,"&gt;"&amp;$E224,高値!$E$3:$IT$3,"&lt;="&amp;$AE224,OFFSET(高値!$E$6:$IT$6,MATCH(TEXT($B224,"0"),TEXT(銘柄管理!$B$6:$B$305,"0"),0)-1,0),"&gt;="&amp;$N224),_xlfn.MINIFS(安値!$E$3:$IT$3,安値!$E$3:$IT$3,"&gt;"&amp;$E224,安値!$E$3:$IT$3,"&lt;="&amp;$AE224,OFFSET(安値!$E$6:$IT$6,MATCH(TEXT($B224,"0"),TEXT(銘柄管理!$B$6:$B$305,"0"),0)-1,0),"&lt;="&amp;$N224)),""))</f>
        <v/>
      </c>
      <c r="AH224" s="600" t="str">
        <f>IF(OR($B224="",$M224=""),"",IF(AND(N($AF224)=0,N($AG224)=0),IF(AND(ISNUMBER($H224),$H224&gt;0,IF($C224="売",$H224&gt;=$N224,$H224&lt;=$N224)),"損切確定",IF(AND(ISNUMBER($H224),$H224&gt;0,IF($C224="売",$H224&lt;=$M224,$H224&gt;=$M224)),"利益確定",IF($AE224&lt;=TODAY(),"日数制限","保有中"))),IF(N($AG224)=0,"利益確定",IF(N($AF224)=0,"損切確定",IF($AG224&lt;=$AF224,"損切確定","利益確定")))))</f>
        <v/>
      </c>
      <c r="AI224" s="600" t="str" cm="1">
        <f t="array" ref="AI224">IFERROR(INDEX(始値!$E$6:$IT$305,MATCH(TEXT($B224,"0"),TEXT(銘柄管理!$B$6:$B$305,"0"),0),MATCH($AE224,始値!$E$3:$IT$3,0)),"")</f>
        <v/>
      </c>
      <c r="AJ224" s="608" t="str">
        <f>IF(OR($V224="",$F224="",$G224=""),"",$V224/($F224*$G224))</f>
        <v/>
      </c>
      <c r="AK224" s="600" t="str">
        <f>IF($V224="","",IF($V224&gt;0,"○勝",IF($V224&lt;0,"●負","△引分")))</f>
        <v/>
      </c>
    </row>
    <row r="225" spans="1:37" ht="17.25" customHeight="1">
      <c r="A225" s="621" t="str">
        <f>IF(B225="","",HYPERLINK("https://kabutan.jp/stock/?code="&amp;B225,"株探"))</f>
        <v/>
      </c>
      <c r="B225" s="480"/>
      <c r="C225" s="480"/>
      <c r="D225" s="480" t="str" cm="1">
        <f t="array" ref="D225">_xll.RssMarket(B225, "銘柄名称")</f>
        <v/>
      </c>
      <c r="E225" s="717"/>
      <c r="F225" s="698" t="str" cm="1">
        <f t="array" aca="1" ref="F225" ca="1">IFERROR(_xlfn.LET(_xlpm.r,MATCH(TEXT($B225,"0"),TEXT(銘柄管理!$B$6:$B$305,"0"),0),_xlpm.t,MOD(NOW(),1),_xlpm.c,IF($E225=TODAY(),IF(_xlpm.t&gt;=TIME(15,30,0),NA(),1),IF(MATCH($E225,始値!$E$3:$IT$3,0)=1,1,MATCH($E225,始値!$E$3:$IT$3,0)+1)),_xlpm.v,INDEX(始値!$C$6:$IT$305,_xlpm.r,_xlpm.c),IF(N(_xlpm.v)=0,"",_xlpm.v)),"")</f>
        <v/>
      </c>
      <c r="G225" s="480"/>
      <c r="H225" s="480" t="str" cm="1">
        <f t="array" ref="H225">_xll.RssMarket(B225, "現在値")</f>
        <v/>
      </c>
      <c r="I225" s="480" t="str" cm="1">
        <f t="array" ref="I225">_xll.RssMarket(B225, "出来高加重平均")</f>
        <v/>
      </c>
      <c r="J225" s="702" t="str" cm="1">
        <f t="array" ref="J225">_xll.RssMarket($B225, "前日比")</f>
        <v/>
      </c>
      <c r="K225" s="703" t="str">
        <f>IF(OR(F225="",G225="",H225=""),"",IF(C225="売",(F225-H225)*G225,(H225-F225)*G225))</f>
        <v/>
      </c>
      <c r="L225" s="708" t="str">
        <f>IF(OR(F225="",H225=""),"",IF(C225="売",(F225-H225)/F225,(H225-F225)/F225))</f>
        <v/>
      </c>
      <c r="M225" s="598" t="str">
        <f>IF($F225="","",$F225*IF($C225="売",1-V811設定!$B$4,1+V811設定!$B$4)-MOD($F225*IF($C225="売",1-V811設定!$B$4,1+V811設定!$B$4),IF($F225&lt;=3000,1,IF($F225&lt;=5000,5,IF($F225&lt;=30000,10,IF($F225&lt;=50000,50,IF($F225&lt;=300000,100,500))))))+IF(AND($C225="売",MOD($F225*IF($C225="売",1-V811設定!$B$4,1+V811設定!$B$4),IF($F225&lt;=3000,1,IF($F225&lt;=5000,5,IF($F225&lt;=30000,10,IF($F225&lt;=50000,50,IF($F225&lt;=300000,100,500))))))&gt;0),IF($F225&lt;=3000,1,IF($F225&lt;=5000,5,IF($F225&lt;=30000,10,IF($F225&lt;=50000,50,IF($F225&lt;=300000,100,500))))),0))</f>
      </c>
      <c r="N225" s="598" t="str">
        <f>IF($F225="","",$F225*IF($C225="売",1+V811設定!$B$3,1-V811設定!$B$3)-MOD($F225*IF($C225="売",1+V811設定!$B$3,1-V811設定!$B$3),IF($F225&lt;=3000,1,IF($F225&lt;=5000,5,IF($F225&lt;=30000,10,IF($F225&lt;=50000,50,IF($F225&lt;=300000,100,500))))))+IF(AND($C225="売",MOD($F225*IF($C225="売",1+V811設定!$B$3,1-V811設定!$B$3),IF($F225&lt;=3000,1,IF($F225&lt;=5000,5,IF($F225&lt;=30000,10,IF($F225&lt;=50000,50,IF($F225&lt;=300000,100,500))))))&gt;0),IF($F225&lt;=3000,1,IF($F225&lt;=5000,5,IF($F225&lt;=30000,10,IF($F225&lt;=50000,50,IF($F225&lt;=300000,100,500))))),0))</f>
      </c>
      <c r="O225" s="478" t="str">
        <f>IF(OR($B225="",$F225="",$H225=""),"",IF($S225="✅売却済","―決済済―",IF($C225="売",IF($H225&lt;=$M225,"🟢利確",IF(AND($R225&lt;&gt;"",$H225&gt;=$R225),"🟠TRAIL",IF($H225&gt;=$N225,"🔴損切",IF($W225&gt;=V811設定!$B$6,"⏱時間決済",IF($H225&gt;=$F225*(1+V811設定!$B$3*0.7),"⚠️損切接近","保持継続"))))),IF($H225&gt;=$M225,"🟢利確",IF(AND($R225&lt;&gt;"",$H225&lt;=$R225),"🟠TRAIL",IF($H225&lt;=$N225,"🔴損切",IF($W225&gt;=V811設定!$B$6,"⏱時間決済",IF($H225&lt;=$F225*(1-V811設定!$B$3*0.7),"⚠️損切接近","保持継続"))))))))</f>
      </c>
      <c r="P225" s="445"/>
      <c r="Q225" s="445"/>
      <c r="R225" s="480" t="str">
        <f>IF(OR($F225="",$H225="",$N225=""),"",IF($S225="✅売却済","",IF($C225="売",IF($H225&gt;$F225*(1-V811設定!$B$3),$N225,MIN($N225,IF($Q225="",$N225,$Q225*1.03))),IF($H225&lt;$F225*(1+V811設定!$B$3),$N225,MAX($N225,IF($P225="",$N225,$P225*0.97))))))</f>
      </c>
      <c r="S225" s="480" t="str">
        <f>IF(B225="","",IF(T225&lt;&gt;"","✅売却済",IF(OR(H225="",L225=""),"📌保有中",IF(L225&gt;=0.06,"🟢利確推奨",IF(L225&gt;=0.05,"🟡利確直近",IF(L225&gt;=0.045,"🔵トレーリング検討",IF(L225&gt;-0.03,"📌保有中",IF(L225&gt;-0.04,"⚠️損切注意","🔴損切り"))))))))</f>
        <v/>
      </c>
      <c r="T225" s="596"/>
      <c r="U225" s="598"/>
      <c r="V225" s="703" t="str">
        <f>IF(OR(F225="",G225="",U225=""),"",IF(C225="売",(F225-U225)*G225,(U225-F225)*G225))</f>
        <v/>
      </c>
      <c r="W225" s="480" t="str">
        <f>IF(OR($E225="",$B225=""),"",IF($T225&lt;&gt;"",$T225-$E225,TODAY()-$E225)+1)</f>
        <v/>
      </c>
      <c r="X225" s="480" t="str">
        <f>IF(OR($AH225="",$AH225="保有中"),"",$AH225)</f>
        <v/>
      </c>
      <c r="Y225" s="488"/>
      <c r="Z225" s="710"/>
      <c r="AD225" s="608"/>
      <c r="AE225" s="600" t="str">
        <f>IF($E225="","",WORKDAY($E225,12))</f>
        <v/>
      </c>
      <c r="AF225" s="600" t="str" cm="1">
        <f t="array" aca="1" ref="AF225" ca="1">IF(OR($B225="",$M225=""),"",IFERROR(IF($C225="売",_xlfn.MINIFS(安値!$E$3:$IT$3,安値!$E$3:$IT$3,"&gt;"&amp;$E225,安値!$E$3:$IT$3,"&lt;="&amp;$AE225,OFFSET(安値!$E$6:$IT$6,MATCH(TEXT($B225,"0"),TEXT(銘柄管理!$B$6:$B$305,"0"),0)-1,0),"&lt;="&amp;$M225),_xlfn.MINIFS(高値!$E$3:$IT$3,高値!$E$3:$IT$3,"&gt;"&amp;$E225,高値!$E$3:$IT$3,"&lt;="&amp;$AE225,OFFSET(高値!$E$6:$IT$6,MATCH(TEXT($B225,"0"),TEXT(銘柄管理!$B$6:$B$305,"0"),0)-1,0),"&gt;="&amp;$M225)),""))</f>
        <v/>
      </c>
      <c r="AG225" s="600" t="str" cm="1">
        <f t="array" aca="1" ref="AG225" ca="1">IF(OR($B225="",$N225=""),"",IFERROR(IF($C225="売",_xlfn.MINIFS(高値!$E$3:$IT$3,高値!$E$3:$IT$3,"&gt;"&amp;$E225,高値!$E$3:$IT$3,"&lt;="&amp;$AE225,OFFSET(高値!$E$6:$IT$6,MATCH(TEXT($B225,"0"),TEXT(銘柄管理!$B$6:$B$305,"0"),0)-1,0),"&gt;="&amp;$N225),_xlfn.MINIFS(安値!$E$3:$IT$3,安値!$E$3:$IT$3,"&gt;"&amp;$E225,安値!$E$3:$IT$3,"&lt;="&amp;$AE225,OFFSET(安値!$E$6:$IT$6,MATCH(TEXT($B225,"0"),TEXT(銘柄管理!$B$6:$B$305,"0"),0)-1,0),"&lt;="&amp;$N225)),""))</f>
        <v/>
      </c>
      <c r="AH225" s="600" t="str">
        <f>IF(OR($B225="",$M225=""),"",IF(AND(N($AF225)=0,N($AG225)=0),IF(AND(ISNUMBER($H225),$H225&gt;0,IF($C225="売",$H225&gt;=$N225,$H225&lt;=$N225)),"損切確定",IF(AND(ISNUMBER($H225),$H225&gt;0,IF($C225="売",$H225&lt;=$M225,$H225&gt;=$M225)),"利益確定",IF($AE225&lt;=TODAY(),"日数制限","保有中"))),IF(N($AG225)=0,"利益確定",IF(N($AF225)=0,"損切確定",IF($AG225&lt;=$AF225,"損切確定","利益確定")))))</f>
        <v/>
      </c>
      <c r="AI225" s="600" t="str" cm="1">
        <f t="array" ref="AI225">IFERROR(INDEX(始値!$E$6:$IT$305,MATCH(TEXT($B225,"0"),TEXT(銘柄管理!$B$6:$B$305,"0"),0),MATCH($AE225,始値!$E$3:$IT$3,0)),"")</f>
        <v/>
      </c>
      <c r="AJ225" s="608" t="str">
        <f>IF(OR($V225="",$F225="",$G225=""),"",$V225/($F225*$G225))</f>
        <v/>
      </c>
      <c r="AK225" s="600" t="str">
        <f>IF($V225="","",IF($V225&gt;0,"○勝",IF($V225&lt;0,"●負","△引分")))</f>
        <v/>
      </c>
    </row>
    <row r="226" spans="1:37" ht="17.25" customHeight="1">
      <c r="A226" s="621" t="str">
        <f>IF(B226="","",HYPERLINK("https://kabutan.jp/stock/?code="&amp;B226,"株探"))</f>
        <v/>
      </c>
      <c r="B226" s="480"/>
      <c r="C226" s="480"/>
      <c r="D226" s="480" t="str" cm="1">
        <f t="array" ref="D226">_xll.RssMarket(B226, "銘柄名称")</f>
        <v/>
      </c>
      <c r="E226" s="717"/>
      <c r="F226" s="698" t="str" cm="1">
        <f t="array" aca="1" ref="F226" ca="1">IFERROR(_xlfn.LET(_xlpm.r,MATCH(TEXT($B226,"0"),TEXT(銘柄管理!$B$6:$B$305,"0"),0),_xlpm.t,MOD(NOW(),1),_xlpm.c,IF($E226=TODAY(),IF(_xlpm.t&gt;=TIME(15,30,0),NA(),1),IF(MATCH($E226,始値!$E$3:$IT$3,0)=1,1,MATCH($E226,始値!$E$3:$IT$3,0)+1)),_xlpm.v,INDEX(始値!$C$6:$IT$305,_xlpm.r,_xlpm.c),IF(N(_xlpm.v)=0,"",_xlpm.v)),"")</f>
        <v/>
      </c>
      <c r="G226" s="480"/>
      <c r="H226" s="480" t="str" cm="1">
        <f t="array" ref="H226">_xll.RssMarket(B226, "現在値")</f>
        <v/>
      </c>
      <c r="I226" s="480" t="str" cm="1">
        <f t="array" ref="I226">_xll.RssMarket(B226, "出来高加重平均")</f>
        <v/>
      </c>
      <c r="J226" s="702" t="str" cm="1">
        <f t="array" ref="J226">_xll.RssMarket($B226, "前日比")</f>
        <v/>
      </c>
      <c r="K226" s="703" t="str">
        <f>IF(OR(F226="",G226="",H226=""),"",IF(C226="売",(F226-H226)*G226,(H226-F226)*G226))</f>
        <v/>
      </c>
      <c r="L226" s="708" t="str">
        <f>IF(OR(F226="",H226=""),"",IF(C226="売",(F226-H226)/F226,(H226-F226)/F226))</f>
        <v/>
      </c>
      <c r="M226" s="598" t="str">
        <f>IF($F226="","",$F226*IF($C226="売",1-V811設定!$B$4,1+V811設定!$B$4)-MOD($F226*IF($C226="売",1-V811設定!$B$4,1+V811設定!$B$4),IF($F226&lt;=3000,1,IF($F226&lt;=5000,5,IF($F226&lt;=30000,10,IF($F226&lt;=50000,50,IF($F226&lt;=300000,100,500))))))+IF(AND($C226="売",MOD($F226*IF($C226="売",1-V811設定!$B$4,1+V811設定!$B$4),IF($F226&lt;=3000,1,IF($F226&lt;=5000,5,IF($F226&lt;=30000,10,IF($F226&lt;=50000,50,IF($F226&lt;=300000,100,500))))))&gt;0),IF($F226&lt;=3000,1,IF($F226&lt;=5000,5,IF($F226&lt;=30000,10,IF($F226&lt;=50000,50,IF($F226&lt;=300000,100,500))))),0))</f>
      </c>
      <c r="N226" s="598" t="str">
        <f>IF($F226="","",$F226*IF($C226="売",1+V811設定!$B$3,1-V811設定!$B$3)-MOD($F226*IF($C226="売",1+V811設定!$B$3,1-V811設定!$B$3),IF($F226&lt;=3000,1,IF($F226&lt;=5000,5,IF($F226&lt;=30000,10,IF($F226&lt;=50000,50,IF($F226&lt;=300000,100,500))))))+IF(AND($C226="売",MOD($F226*IF($C226="売",1+V811設定!$B$3,1-V811設定!$B$3),IF($F226&lt;=3000,1,IF($F226&lt;=5000,5,IF($F226&lt;=30000,10,IF($F226&lt;=50000,50,IF($F226&lt;=300000,100,500))))))&gt;0),IF($F226&lt;=3000,1,IF($F226&lt;=5000,5,IF($F226&lt;=30000,10,IF($F226&lt;=50000,50,IF($F226&lt;=300000,100,500))))),0))</f>
      </c>
      <c r="O226" s="478" t="str">
        <f>IF(OR($B226="",$F226="",$H226=""),"",IF($S226="✅売却済","―決済済―",IF($C226="売",IF($H226&lt;=$M226,"🟢利確",IF(AND($R226&lt;&gt;"",$H226&gt;=$R226),"🟠TRAIL",IF($H226&gt;=$N226,"🔴損切",IF($W226&gt;=V811設定!$B$6,"⏱時間決済",IF($H226&gt;=$F226*(1+V811設定!$B$3*0.7),"⚠️損切接近","保持継続"))))),IF($H226&gt;=$M226,"🟢利確",IF(AND($R226&lt;&gt;"",$H226&lt;=$R226),"🟠TRAIL",IF($H226&lt;=$N226,"🔴損切",IF($W226&gt;=V811設定!$B$6,"⏱時間決済",IF($H226&lt;=$F226*(1-V811設定!$B$3*0.7),"⚠️損切接近","保持継続"))))))))</f>
      </c>
      <c r="P226" s="445"/>
      <c r="Q226" s="445"/>
      <c r="R226" s="480" t="str">
        <f>IF(OR($F226="",$H226="",$N226=""),"",IF($S226="✅売却済","",IF($C226="売",IF($H226&gt;$F226*(1-V811設定!$B$3),$N226,MIN($N226,IF($Q226="",$N226,$Q226*1.03))),IF($H226&lt;$F226*(1+V811設定!$B$3),$N226,MAX($N226,IF($P226="",$N226,$P226*0.97))))))</f>
      </c>
      <c r="S226" s="480" t="str">
        <f>IF(B226="","",IF(T226&lt;&gt;"","✅売却済",IF(OR(H226="",L226=""),"📌保有中",IF(L226&gt;=0.06,"🟢利確推奨",IF(L226&gt;=0.05,"🟡利確直近",IF(L226&gt;=0.045,"🔵トレーリング検討",IF(L226&gt;-0.03,"📌保有中",IF(L226&gt;-0.04,"⚠️損切注意","🔴損切り"))))))))</f>
        <v/>
      </c>
      <c r="T226" s="596"/>
      <c r="U226" s="598"/>
      <c r="V226" s="703" t="str">
        <f>IF(OR(F226="",G226="",U226=""),"",IF(C226="売",(F226-U226)*G226,(U226-F226)*G226))</f>
        <v/>
      </c>
      <c r="W226" s="480" t="str">
        <f>IF(OR($E226="",$B226=""),"",IF($T226&lt;&gt;"",$T226-$E226,TODAY()-$E226)+1)</f>
        <v/>
      </c>
      <c r="X226" s="480" t="str">
        <f>IF(OR($AH226="",$AH226="保有中"),"",$AH226)</f>
        <v/>
      </c>
      <c r="Y226" s="488"/>
      <c r="Z226" s="710"/>
      <c r="AD226" s="608"/>
      <c r="AE226" s="600" t="str">
        <f>IF($E226="","",WORKDAY($E226,12))</f>
        <v/>
      </c>
      <c r="AF226" s="600" t="str" cm="1">
        <f t="array" aca="1" ref="AF226" ca="1">IF(OR($B226="",$M226=""),"",IFERROR(IF($C226="売",_xlfn.MINIFS(安値!$E$3:$IT$3,安値!$E$3:$IT$3,"&gt;"&amp;$E226,安値!$E$3:$IT$3,"&lt;="&amp;$AE226,OFFSET(安値!$E$6:$IT$6,MATCH(TEXT($B226,"0"),TEXT(銘柄管理!$B$6:$B$305,"0"),0)-1,0),"&lt;="&amp;$M226),_xlfn.MINIFS(高値!$E$3:$IT$3,高値!$E$3:$IT$3,"&gt;"&amp;$E226,高値!$E$3:$IT$3,"&lt;="&amp;$AE226,OFFSET(高値!$E$6:$IT$6,MATCH(TEXT($B226,"0"),TEXT(銘柄管理!$B$6:$B$305,"0"),0)-1,0),"&gt;="&amp;$M226)),""))</f>
        <v/>
      </c>
      <c r="AG226" s="600" t="str" cm="1">
        <f t="array" aca="1" ref="AG226" ca="1">IF(OR($B226="",$N226=""),"",IFERROR(IF($C226="売",_xlfn.MINIFS(高値!$E$3:$IT$3,高値!$E$3:$IT$3,"&gt;"&amp;$E226,高値!$E$3:$IT$3,"&lt;="&amp;$AE226,OFFSET(高値!$E$6:$IT$6,MATCH(TEXT($B226,"0"),TEXT(銘柄管理!$B$6:$B$305,"0"),0)-1,0),"&gt;="&amp;$N226),_xlfn.MINIFS(安値!$E$3:$IT$3,安値!$E$3:$IT$3,"&gt;"&amp;$E226,安値!$E$3:$IT$3,"&lt;="&amp;$AE226,OFFSET(安値!$E$6:$IT$6,MATCH(TEXT($B226,"0"),TEXT(銘柄管理!$B$6:$B$305,"0"),0)-1,0),"&lt;="&amp;$N226)),""))</f>
        <v/>
      </c>
      <c r="AH226" s="600" t="str">
        <f>IF(OR($B226="",$M226=""),"",IF(AND(N($AF226)=0,N($AG226)=0),IF(AND(ISNUMBER($H226),$H226&gt;0,IF($C226="売",$H226&gt;=$N226,$H226&lt;=$N226)),"損切確定",IF(AND(ISNUMBER($H226),$H226&gt;0,IF($C226="売",$H226&lt;=$M226,$H226&gt;=$M226)),"利益確定",IF($AE226&lt;=TODAY(),"日数制限","保有中"))),IF(N($AG226)=0,"利益確定",IF(N($AF226)=0,"損切確定",IF($AG226&lt;=$AF226,"損切確定","利益確定")))))</f>
        <v/>
      </c>
      <c r="AI226" s="600" t="str" cm="1">
        <f t="array" ref="AI226">IFERROR(INDEX(始値!$E$6:$IT$305,MATCH(TEXT($B226,"0"),TEXT(銘柄管理!$B$6:$B$305,"0"),0),MATCH($AE226,始値!$E$3:$IT$3,0)),"")</f>
        <v/>
      </c>
      <c r="AJ226" s="608" t="str">
        <f>IF(OR($V226="",$F226="",$G226=""),"",$V226/($F226*$G226))</f>
        <v/>
      </c>
      <c r="AK226" s="600" t="str">
        <f>IF($V226="","",IF($V226&gt;0,"○勝",IF($V226&lt;0,"●負","△引分")))</f>
        <v/>
      </c>
    </row>
    <row r="227" spans="1:37" ht="17.25" customHeight="1">
      <c r="A227" s="621" t="str">
        <f>IF(B227="","",HYPERLINK("https://kabutan.jp/stock/?code="&amp;B227,"株探"))</f>
        <v/>
      </c>
      <c r="B227" s="480"/>
      <c r="C227" s="480"/>
      <c r="D227" s="480" t="str" cm="1">
        <f t="array" ref="D227">_xll.RssMarket(B227, "銘柄名称")</f>
        <v/>
      </c>
      <c r="E227" s="717"/>
      <c r="F227" s="698" t="str" cm="1">
        <f t="array" aca="1" ref="F227" ca="1">IFERROR(_xlfn.LET(_xlpm.r,MATCH(TEXT($B227,"0"),TEXT(銘柄管理!$B$6:$B$305,"0"),0),_xlpm.t,MOD(NOW(),1),_xlpm.c,IF($E227=TODAY(),IF(_xlpm.t&gt;=TIME(15,30,0),NA(),1),IF(MATCH($E227,始値!$E$3:$IT$3,0)=1,1,MATCH($E227,始値!$E$3:$IT$3,0)+1)),_xlpm.v,INDEX(始値!$C$6:$IT$305,_xlpm.r,_xlpm.c),IF(N(_xlpm.v)=0,"",_xlpm.v)),"")</f>
        <v/>
      </c>
      <c r="G227" s="480"/>
      <c r="H227" s="480" t="str" cm="1">
        <f t="array" ref="H227">_xll.RssMarket(B227, "現在値")</f>
        <v/>
      </c>
      <c r="I227" s="480" t="str" cm="1">
        <f t="array" ref="I227">_xll.RssMarket(B227, "出来高加重平均")</f>
        <v/>
      </c>
      <c r="J227" s="702" t="str" cm="1">
        <f t="array" ref="J227">_xll.RssMarket($B227, "前日比")</f>
        <v/>
      </c>
      <c r="K227" s="703" t="str">
        <f>IF(OR(F227="",G227="",H227=""),"",IF(C227="売",(F227-H227)*G227,(H227-F227)*G227))</f>
        <v/>
      </c>
      <c r="L227" s="708" t="str">
        <f>IF(OR(F227="",H227=""),"",IF(C227="売",(F227-H227)/F227,(H227-F227)/F227))</f>
        <v/>
      </c>
      <c r="M227" s="598" t="str">
        <f>IF($F227="","",$F227*IF($C227="売",1-V811設定!$B$4,1+V811設定!$B$4)-MOD($F227*IF($C227="売",1-V811設定!$B$4,1+V811設定!$B$4),IF($F227&lt;=3000,1,IF($F227&lt;=5000,5,IF($F227&lt;=30000,10,IF($F227&lt;=50000,50,IF($F227&lt;=300000,100,500))))))+IF(AND($C227="売",MOD($F227*IF($C227="売",1-V811設定!$B$4,1+V811設定!$B$4),IF($F227&lt;=3000,1,IF($F227&lt;=5000,5,IF($F227&lt;=30000,10,IF($F227&lt;=50000,50,IF($F227&lt;=300000,100,500))))))&gt;0),IF($F227&lt;=3000,1,IF($F227&lt;=5000,5,IF($F227&lt;=30000,10,IF($F227&lt;=50000,50,IF($F227&lt;=300000,100,500))))),0))</f>
      </c>
      <c r="N227" s="598" t="str">
        <f>IF($F227="","",$F227*IF($C227="売",1+V811設定!$B$3,1-V811設定!$B$3)-MOD($F227*IF($C227="売",1+V811設定!$B$3,1-V811設定!$B$3),IF($F227&lt;=3000,1,IF($F227&lt;=5000,5,IF($F227&lt;=30000,10,IF($F227&lt;=50000,50,IF($F227&lt;=300000,100,500))))))+IF(AND($C227="売",MOD($F227*IF($C227="売",1+V811設定!$B$3,1-V811設定!$B$3),IF($F227&lt;=3000,1,IF($F227&lt;=5000,5,IF($F227&lt;=30000,10,IF($F227&lt;=50000,50,IF($F227&lt;=300000,100,500))))))&gt;0),IF($F227&lt;=3000,1,IF($F227&lt;=5000,5,IF($F227&lt;=30000,10,IF($F227&lt;=50000,50,IF($F227&lt;=300000,100,500))))),0))</f>
      </c>
      <c r="O227" s="478" t="str">
        <f>IF(OR($B227="",$F227="",$H227=""),"",IF($S227="✅売却済","―決済済―",IF($C227="売",IF($H227&lt;=$M227,"🟢利確",IF(AND($R227&lt;&gt;"",$H227&gt;=$R227),"🟠TRAIL",IF($H227&gt;=$N227,"🔴損切",IF($W227&gt;=V811設定!$B$6,"⏱時間決済",IF($H227&gt;=$F227*(1+V811設定!$B$3*0.7),"⚠️損切接近","保持継続"))))),IF($H227&gt;=$M227,"🟢利確",IF(AND($R227&lt;&gt;"",$H227&lt;=$R227),"🟠TRAIL",IF($H227&lt;=$N227,"🔴損切",IF($W227&gt;=V811設定!$B$6,"⏱時間決済",IF($H227&lt;=$F227*(1-V811設定!$B$3*0.7),"⚠️損切接近","保持継続"))))))))</f>
      </c>
      <c r="P227" s="445"/>
      <c r="Q227" s="445"/>
      <c r="R227" s="480" t="str">
        <f>IF(OR($F227="",$H227="",$N227=""),"",IF($S227="✅売却済","",IF($C227="売",IF($H227&gt;$F227*(1-V811設定!$B$3),$N227,MIN($N227,IF($Q227="",$N227,$Q227*1.03))),IF($H227&lt;$F227*(1+V811設定!$B$3),$N227,MAX($N227,IF($P227="",$N227,$P227*0.97))))))</f>
      </c>
      <c r="S227" s="480" t="str">
        <f>IF(B227="","",IF(T227&lt;&gt;"","✅売却済",IF(OR(H227="",L227=""),"📌保有中",IF(L227&gt;=0.06,"🟢利確推奨",IF(L227&gt;=0.05,"🟡利確直近",IF(L227&gt;=0.045,"🔵トレーリング検討",IF(L227&gt;-0.03,"📌保有中",IF(L227&gt;-0.04,"⚠️損切注意","🔴損切り"))))))))</f>
        <v/>
      </c>
      <c r="T227" s="596"/>
      <c r="U227" s="598"/>
      <c r="V227" s="703" t="str">
        <f>IF(OR(F227="",G227="",U227=""),"",IF(C227="売",(F227-U227)*G227,(U227-F227)*G227))</f>
        <v/>
      </c>
      <c r="W227" s="480" t="str">
        <f>IF(OR($E227="",$B227=""),"",IF($T227&lt;&gt;"",$T227-$E227,TODAY()-$E227)+1)</f>
        <v/>
      </c>
      <c r="X227" s="480" t="str">
        <f>IF(OR($AH227="",$AH227="保有中"),"",$AH227)</f>
        <v/>
      </c>
      <c r="Y227" s="488"/>
      <c r="Z227" s="710"/>
      <c r="AD227" s="608"/>
      <c r="AE227" s="600" t="str">
        <f>IF($E227="","",WORKDAY($E227,12))</f>
        <v/>
      </c>
      <c r="AF227" s="600" t="str" cm="1">
        <f t="array" aca="1" ref="AF227" ca="1">IF(OR($B227="",$M227=""),"",IFERROR(IF($C227="売",_xlfn.MINIFS(安値!$E$3:$IT$3,安値!$E$3:$IT$3,"&gt;"&amp;$E227,安値!$E$3:$IT$3,"&lt;="&amp;$AE227,OFFSET(安値!$E$6:$IT$6,MATCH(TEXT($B227,"0"),TEXT(銘柄管理!$B$6:$B$305,"0"),0)-1,0),"&lt;="&amp;$M227),_xlfn.MINIFS(高値!$E$3:$IT$3,高値!$E$3:$IT$3,"&gt;"&amp;$E227,高値!$E$3:$IT$3,"&lt;="&amp;$AE227,OFFSET(高値!$E$6:$IT$6,MATCH(TEXT($B227,"0"),TEXT(銘柄管理!$B$6:$B$305,"0"),0)-1,0),"&gt;="&amp;$M227)),""))</f>
        <v/>
      </c>
      <c r="AG227" s="600" t="str" cm="1">
        <f t="array" aca="1" ref="AG227" ca="1">IF(OR($B227="",$N227=""),"",IFERROR(IF($C227="売",_xlfn.MINIFS(高値!$E$3:$IT$3,高値!$E$3:$IT$3,"&gt;"&amp;$E227,高値!$E$3:$IT$3,"&lt;="&amp;$AE227,OFFSET(高値!$E$6:$IT$6,MATCH(TEXT($B227,"0"),TEXT(銘柄管理!$B$6:$B$305,"0"),0)-1,0),"&gt;="&amp;$N227),_xlfn.MINIFS(安値!$E$3:$IT$3,安値!$E$3:$IT$3,"&gt;"&amp;$E227,安値!$E$3:$IT$3,"&lt;="&amp;$AE227,OFFSET(安値!$E$6:$IT$6,MATCH(TEXT($B227,"0"),TEXT(銘柄管理!$B$6:$B$305,"0"),0)-1,0),"&lt;="&amp;$N227)),""))</f>
        <v/>
      </c>
      <c r="AH227" s="600" t="str">
        <f>IF(OR($B227="",$M227=""),"",IF(AND(N($AF227)=0,N($AG227)=0),IF(AND(ISNUMBER($H227),$H227&gt;0,IF($C227="売",$H227&gt;=$N227,$H227&lt;=$N227)),"損切確定",IF(AND(ISNUMBER($H227),$H227&gt;0,IF($C227="売",$H227&lt;=$M227,$H227&gt;=$M227)),"利益確定",IF($AE227&lt;=TODAY(),"日数制限","保有中"))),IF(N($AG227)=0,"利益確定",IF(N($AF227)=0,"損切確定",IF($AG227&lt;=$AF227,"損切確定","利益確定")))))</f>
        <v/>
      </c>
      <c r="AI227" s="600" t="str" cm="1">
        <f t="array" ref="AI227">IFERROR(INDEX(始値!$E$6:$IT$305,MATCH(TEXT($B227,"0"),TEXT(銘柄管理!$B$6:$B$305,"0"),0),MATCH($AE227,始値!$E$3:$IT$3,0)),"")</f>
        <v/>
      </c>
      <c r="AJ227" s="608" t="str">
        <f>IF(OR($V227="",$F227="",$G227=""),"",$V227/($F227*$G227))</f>
        <v/>
      </c>
      <c r="AK227" s="600" t="str">
        <f>IF($V227="","",IF($V227&gt;0,"○勝",IF($V227&lt;0,"●負","△引分")))</f>
        <v/>
      </c>
    </row>
    <row r="228" spans="1:37" ht="17.25" customHeight="1">
      <c r="A228" s="621" t="str">
        <f>IF(B228="","",HYPERLINK("https://kabutan.jp/stock/?code="&amp;B228,"株探"))</f>
        <v/>
      </c>
      <c r="B228" s="480"/>
      <c r="C228" s="480"/>
      <c r="D228" s="480" t="str" cm="1">
        <f t="array" ref="D228">_xll.RssMarket(B228, "銘柄名称")</f>
        <v/>
      </c>
      <c r="E228" s="717"/>
      <c r="F228" s="698" t="str" cm="1">
        <f t="array" aca="1" ref="F228" ca="1">IFERROR(_xlfn.LET(_xlpm.r,MATCH(TEXT($B228,"0"),TEXT(銘柄管理!$B$6:$B$305,"0"),0),_xlpm.t,MOD(NOW(),1),_xlpm.c,IF($E228=TODAY(),IF(_xlpm.t&gt;=TIME(15,30,0),NA(),1),IF(MATCH($E228,始値!$E$3:$IT$3,0)=1,1,MATCH($E228,始値!$E$3:$IT$3,0)+1)),_xlpm.v,INDEX(始値!$C$6:$IT$305,_xlpm.r,_xlpm.c),IF(N(_xlpm.v)=0,"",_xlpm.v)),"")</f>
        <v/>
      </c>
      <c r="G228" s="480"/>
      <c r="H228" s="480" t="str" cm="1">
        <f t="array" ref="H228">_xll.RssMarket(B228, "現在値")</f>
        <v/>
      </c>
      <c r="I228" s="480" t="str" cm="1">
        <f t="array" ref="I228">_xll.RssMarket(B228, "出来高加重平均")</f>
        <v/>
      </c>
      <c r="J228" s="702" t="str" cm="1">
        <f t="array" ref="J228">_xll.RssMarket($B228, "前日比")</f>
        <v/>
      </c>
      <c r="K228" s="703" t="str">
        <f>IF(OR(F228="",G228="",H228=""),"",IF(C228="売",(F228-H228)*G228,(H228-F228)*G228))</f>
        <v/>
      </c>
      <c r="L228" s="708" t="str">
        <f>IF(OR(F228="",H228=""),"",IF(C228="売",(F228-H228)/F228,(H228-F228)/F228))</f>
        <v/>
      </c>
      <c r="M228" s="598" t="str">
        <f>IF($F228="","",$F228*IF($C228="売",1-V811設定!$B$4,1+V811設定!$B$4)-MOD($F228*IF($C228="売",1-V811設定!$B$4,1+V811設定!$B$4),IF($F228&lt;=3000,1,IF($F228&lt;=5000,5,IF($F228&lt;=30000,10,IF($F228&lt;=50000,50,IF($F228&lt;=300000,100,500))))))+IF(AND($C228="売",MOD($F228*IF($C228="売",1-V811設定!$B$4,1+V811設定!$B$4),IF($F228&lt;=3000,1,IF($F228&lt;=5000,5,IF($F228&lt;=30000,10,IF($F228&lt;=50000,50,IF($F228&lt;=300000,100,500))))))&gt;0),IF($F228&lt;=3000,1,IF($F228&lt;=5000,5,IF($F228&lt;=30000,10,IF($F228&lt;=50000,50,IF($F228&lt;=300000,100,500))))),0))</f>
      </c>
      <c r="N228" s="598" t="str">
        <f>IF($F228="","",$F228*IF($C228="売",1+V811設定!$B$3,1-V811設定!$B$3)-MOD($F228*IF($C228="売",1+V811設定!$B$3,1-V811設定!$B$3),IF($F228&lt;=3000,1,IF($F228&lt;=5000,5,IF($F228&lt;=30000,10,IF($F228&lt;=50000,50,IF($F228&lt;=300000,100,500))))))+IF(AND($C228="売",MOD($F228*IF($C228="売",1+V811設定!$B$3,1-V811設定!$B$3),IF($F228&lt;=3000,1,IF($F228&lt;=5000,5,IF($F228&lt;=30000,10,IF($F228&lt;=50000,50,IF($F228&lt;=300000,100,500))))))&gt;0),IF($F228&lt;=3000,1,IF($F228&lt;=5000,5,IF($F228&lt;=30000,10,IF($F228&lt;=50000,50,IF($F228&lt;=300000,100,500))))),0))</f>
      </c>
      <c r="O228" s="478" t="str">
        <f>IF(OR($B228="",$F228="",$H228=""),"",IF($S228="✅売却済","―決済済―",IF($C228="売",IF($H228&lt;=$M228,"🟢利確",IF(AND($R228&lt;&gt;"",$H228&gt;=$R228),"🟠TRAIL",IF($H228&gt;=$N228,"🔴損切",IF($W228&gt;=V811設定!$B$6,"⏱時間決済",IF($H228&gt;=$F228*(1+V811設定!$B$3*0.7),"⚠️損切接近","保持継続"))))),IF($H228&gt;=$M228,"🟢利確",IF(AND($R228&lt;&gt;"",$H228&lt;=$R228),"🟠TRAIL",IF($H228&lt;=$N228,"🔴損切",IF($W228&gt;=V811設定!$B$6,"⏱時間決済",IF($H228&lt;=$F228*(1-V811設定!$B$3*0.7),"⚠️損切接近","保持継続"))))))))</f>
      </c>
      <c r="P228" s="445"/>
      <c r="Q228" s="445"/>
      <c r="R228" s="480" t="str">
        <f>IF(OR($F228="",$H228="",$N228=""),"",IF($S228="✅売却済","",IF($C228="売",IF($H228&gt;$F228*(1-V811設定!$B$3),$N228,MIN($N228,IF($Q228="",$N228,$Q228*1.03))),IF($H228&lt;$F228*(1+V811設定!$B$3),$N228,MAX($N228,IF($P228="",$N228,$P228*0.97))))))</f>
      </c>
      <c r="S228" s="480" t="str">
        <f>IF(B228="","",IF(T228&lt;&gt;"","✅売却済",IF(OR(H228="",L228=""),"📌保有中",IF(L228&gt;=0.06,"🟢利確推奨",IF(L228&gt;=0.05,"🟡利確直近",IF(L228&gt;=0.045,"🔵トレーリング検討",IF(L228&gt;-0.03,"📌保有中",IF(L228&gt;-0.04,"⚠️損切注意","🔴損切り"))))))))</f>
        <v/>
      </c>
      <c r="T228" s="596"/>
      <c r="U228" s="598"/>
      <c r="V228" s="703" t="str">
        <f>IF(OR(F228="",G228="",U228=""),"",IF(C228="売",(F228-U228)*G228,(U228-F228)*G228))</f>
        <v/>
      </c>
      <c r="W228" s="480" t="str">
        <f>IF(OR($E228="",$B228=""),"",IF($T228&lt;&gt;"",$T228-$E228,TODAY()-$E228)+1)</f>
        <v/>
      </c>
      <c r="X228" s="480" t="str">
        <f>IF(OR($AH228="",$AH228="保有中"),"",$AH228)</f>
        <v/>
      </c>
      <c r="Y228" s="488"/>
      <c r="Z228" s="710"/>
      <c r="AD228" s="608"/>
      <c r="AE228" s="600" t="str">
        <f>IF($E228="","",WORKDAY($E228,12))</f>
        <v/>
      </c>
      <c r="AF228" s="600" t="str" cm="1">
        <f t="array" aca="1" ref="AF228" ca="1">IF(OR($B228="",$M228=""),"",IFERROR(IF($C228="売",_xlfn.MINIFS(安値!$E$3:$IT$3,安値!$E$3:$IT$3,"&gt;"&amp;$E228,安値!$E$3:$IT$3,"&lt;="&amp;$AE228,OFFSET(安値!$E$6:$IT$6,MATCH(TEXT($B228,"0"),TEXT(銘柄管理!$B$6:$B$305,"0"),0)-1,0),"&lt;="&amp;$M228),_xlfn.MINIFS(高値!$E$3:$IT$3,高値!$E$3:$IT$3,"&gt;"&amp;$E228,高値!$E$3:$IT$3,"&lt;="&amp;$AE228,OFFSET(高値!$E$6:$IT$6,MATCH(TEXT($B228,"0"),TEXT(銘柄管理!$B$6:$B$305,"0"),0)-1,0),"&gt;="&amp;$M228)),""))</f>
        <v/>
      </c>
      <c r="AG228" s="600" t="str" cm="1">
        <f t="array" aca="1" ref="AG228" ca="1">IF(OR($B228="",$N228=""),"",IFERROR(IF($C228="売",_xlfn.MINIFS(高値!$E$3:$IT$3,高値!$E$3:$IT$3,"&gt;"&amp;$E228,高値!$E$3:$IT$3,"&lt;="&amp;$AE228,OFFSET(高値!$E$6:$IT$6,MATCH(TEXT($B228,"0"),TEXT(銘柄管理!$B$6:$B$305,"0"),0)-1,0),"&gt;="&amp;$N228),_xlfn.MINIFS(安値!$E$3:$IT$3,安値!$E$3:$IT$3,"&gt;"&amp;$E228,安値!$E$3:$IT$3,"&lt;="&amp;$AE228,OFFSET(安値!$E$6:$IT$6,MATCH(TEXT($B228,"0"),TEXT(銘柄管理!$B$6:$B$305,"0"),0)-1,0),"&lt;="&amp;$N228)),""))</f>
        <v/>
      </c>
      <c r="AH228" s="600" t="str">
        <f>IF(OR($B228="",$M228=""),"",IF(AND(N($AF228)=0,N($AG228)=0),IF(AND(ISNUMBER($H228),$H228&gt;0,IF($C228="売",$H228&gt;=$N228,$H228&lt;=$N228)),"損切確定",IF(AND(ISNUMBER($H228),$H228&gt;0,IF($C228="売",$H228&lt;=$M228,$H228&gt;=$M228)),"利益確定",IF($AE228&lt;=TODAY(),"日数制限","保有中"))),IF(N($AG228)=0,"利益確定",IF(N($AF228)=0,"損切確定",IF($AG228&lt;=$AF228,"損切確定","利益確定")))))</f>
        <v/>
      </c>
      <c r="AI228" s="600" t="str" cm="1">
        <f t="array" ref="AI228">IFERROR(INDEX(始値!$E$6:$IT$305,MATCH(TEXT($B228,"0"),TEXT(銘柄管理!$B$6:$B$305,"0"),0),MATCH($AE228,始値!$E$3:$IT$3,0)),"")</f>
        <v/>
      </c>
      <c r="AJ228" s="608" t="str">
        <f>IF(OR($V228="",$F228="",$G228=""),"",$V228/($F228*$G228))</f>
        <v/>
      </c>
      <c r="AK228" s="600" t="str">
        <f>IF($V228="","",IF($V228&gt;0,"○勝",IF($V228&lt;0,"●負","△引分")))</f>
        <v/>
      </c>
    </row>
    <row r="229" spans="1:37" ht="17.25" customHeight="1">
      <c r="A229" s="621" t="str">
        <f>IF(B229="","",HYPERLINK("https://kabutan.jp/stock/?code="&amp;B229,"株探"))</f>
        <v/>
      </c>
      <c r="B229" s="480"/>
      <c r="C229" s="480"/>
      <c r="D229" s="480" t="str" cm="1">
        <f t="array" ref="D229">_xll.RssMarket(B229, "銘柄名称")</f>
        <v/>
      </c>
      <c r="E229" s="717"/>
      <c r="F229" s="698" t="str" cm="1">
        <f t="array" aca="1" ref="F229" ca="1">IFERROR(_xlfn.LET(_xlpm.r,MATCH(TEXT($B229,"0"),TEXT(銘柄管理!$B$6:$B$305,"0"),0),_xlpm.t,MOD(NOW(),1),_xlpm.c,IF($E229=TODAY(),IF(_xlpm.t&gt;=TIME(15,30,0),NA(),1),IF(MATCH($E229,始値!$E$3:$IT$3,0)=1,1,MATCH($E229,始値!$E$3:$IT$3,0)+1)),_xlpm.v,INDEX(始値!$C$6:$IT$305,_xlpm.r,_xlpm.c),IF(N(_xlpm.v)=0,"",_xlpm.v)),"")</f>
        <v/>
      </c>
      <c r="G229" s="480"/>
      <c r="H229" s="480" t="str" cm="1">
        <f t="array" ref="H229">_xll.RssMarket(B229, "現在値")</f>
        <v/>
      </c>
      <c r="I229" s="480" t="str" cm="1">
        <f t="array" ref="I229">_xll.RssMarket(B229, "出来高加重平均")</f>
        <v/>
      </c>
      <c r="J229" s="702" t="str" cm="1">
        <f t="array" ref="J229">_xll.RssMarket($B229, "前日比")</f>
        <v/>
      </c>
      <c r="K229" s="703" t="str">
        <f>IF(OR(F229="",G229="",H229=""),"",IF(C229="売",(F229-H229)*G229,(H229-F229)*G229))</f>
        <v/>
      </c>
      <c r="L229" s="708" t="str">
        <f>IF(OR(F229="",H229=""),"",IF(C229="売",(F229-H229)/F229,(H229-F229)/F229))</f>
        <v/>
      </c>
      <c r="M229" s="598" t="str">
        <f>IF($F229="","",$F229*IF($C229="売",1-V811設定!$B$4,1+V811設定!$B$4)-MOD($F229*IF($C229="売",1-V811設定!$B$4,1+V811設定!$B$4),IF($F229&lt;=3000,1,IF($F229&lt;=5000,5,IF($F229&lt;=30000,10,IF($F229&lt;=50000,50,IF($F229&lt;=300000,100,500))))))+IF(AND($C229="売",MOD($F229*IF($C229="売",1-V811設定!$B$4,1+V811設定!$B$4),IF($F229&lt;=3000,1,IF($F229&lt;=5000,5,IF($F229&lt;=30000,10,IF($F229&lt;=50000,50,IF($F229&lt;=300000,100,500))))))&gt;0),IF($F229&lt;=3000,1,IF($F229&lt;=5000,5,IF($F229&lt;=30000,10,IF($F229&lt;=50000,50,IF($F229&lt;=300000,100,500))))),0))</f>
      </c>
      <c r="N229" s="598" t="str">
        <f>IF($F229="","",$F229*IF($C229="売",1+V811設定!$B$3,1-V811設定!$B$3)-MOD($F229*IF($C229="売",1+V811設定!$B$3,1-V811設定!$B$3),IF($F229&lt;=3000,1,IF($F229&lt;=5000,5,IF($F229&lt;=30000,10,IF($F229&lt;=50000,50,IF($F229&lt;=300000,100,500))))))+IF(AND($C229="売",MOD($F229*IF($C229="売",1+V811設定!$B$3,1-V811設定!$B$3),IF($F229&lt;=3000,1,IF($F229&lt;=5000,5,IF($F229&lt;=30000,10,IF($F229&lt;=50000,50,IF($F229&lt;=300000,100,500))))))&gt;0),IF($F229&lt;=3000,1,IF($F229&lt;=5000,5,IF($F229&lt;=30000,10,IF($F229&lt;=50000,50,IF($F229&lt;=300000,100,500))))),0))</f>
      </c>
      <c r="O229" s="478" t="str">
        <f>IF(OR($B229="",$F229="",$H229=""),"",IF($S229="✅売却済","―決済済―",IF($C229="売",IF($H229&lt;=$M229,"🟢利確",IF(AND($R229&lt;&gt;"",$H229&gt;=$R229),"🟠TRAIL",IF($H229&gt;=$N229,"🔴損切",IF($W229&gt;=V811設定!$B$6,"⏱時間決済",IF($H229&gt;=$F229*(1+V811設定!$B$3*0.7),"⚠️損切接近","保持継続"))))),IF($H229&gt;=$M229,"🟢利確",IF(AND($R229&lt;&gt;"",$H229&lt;=$R229),"🟠TRAIL",IF($H229&lt;=$N229,"🔴損切",IF($W229&gt;=V811設定!$B$6,"⏱時間決済",IF($H229&lt;=$F229*(1-V811設定!$B$3*0.7),"⚠️損切接近","保持継続"))))))))</f>
      </c>
      <c r="P229" s="445"/>
      <c r="Q229" s="445"/>
      <c r="R229" s="480" t="str">
        <f>IF(OR($F229="",$H229="",$N229=""),"",IF($S229="✅売却済","",IF($C229="売",IF($H229&gt;$F229*(1-V811設定!$B$3),$N229,MIN($N229,IF($Q229="",$N229,$Q229*1.03))),IF($H229&lt;$F229*(1+V811設定!$B$3),$N229,MAX($N229,IF($P229="",$N229,$P229*0.97))))))</f>
      </c>
      <c r="S229" s="480" t="str">
        <f>IF(B229="","",IF(T229&lt;&gt;"","✅売却済",IF(OR(H229="",L229=""),"📌保有中",IF(L229&gt;=0.06,"🟢利確推奨",IF(L229&gt;=0.05,"🟡利確直近",IF(L229&gt;=0.045,"🔵トレーリング検討",IF(L229&gt;-0.03,"📌保有中",IF(L229&gt;-0.04,"⚠️損切注意","🔴損切り"))))))))</f>
        <v/>
      </c>
      <c r="T229" s="596"/>
      <c r="U229" s="598"/>
      <c r="V229" s="703" t="str">
        <f>IF(OR(F229="",G229="",U229=""),"",IF(C229="売",(F229-U229)*G229,(U229-F229)*G229))</f>
        <v/>
      </c>
      <c r="W229" s="480" t="str">
        <f>IF(OR($E229="",$B229=""),"",IF($T229&lt;&gt;"",$T229-$E229,TODAY()-$E229)+1)</f>
        <v/>
      </c>
      <c r="X229" s="480" t="str">
        <f>IF(OR($AH229="",$AH229="保有中"),"",$AH229)</f>
        <v/>
      </c>
      <c r="Y229" s="488"/>
      <c r="Z229" s="710"/>
      <c r="AD229" s="608"/>
      <c r="AE229" s="600" t="str">
        <f>IF($E229="","",WORKDAY($E229,12))</f>
        <v/>
      </c>
      <c r="AF229" s="600" t="str" cm="1">
        <f t="array" aca="1" ref="AF229" ca="1">IF(OR($B229="",$M229=""),"",IFERROR(IF($C229="売",_xlfn.MINIFS(安値!$E$3:$IT$3,安値!$E$3:$IT$3,"&gt;"&amp;$E229,安値!$E$3:$IT$3,"&lt;="&amp;$AE229,OFFSET(安値!$E$6:$IT$6,MATCH(TEXT($B229,"0"),TEXT(銘柄管理!$B$6:$B$305,"0"),0)-1,0),"&lt;="&amp;$M229),_xlfn.MINIFS(高値!$E$3:$IT$3,高値!$E$3:$IT$3,"&gt;"&amp;$E229,高値!$E$3:$IT$3,"&lt;="&amp;$AE229,OFFSET(高値!$E$6:$IT$6,MATCH(TEXT($B229,"0"),TEXT(銘柄管理!$B$6:$B$305,"0"),0)-1,0),"&gt;="&amp;$M229)),""))</f>
        <v/>
      </c>
      <c r="AG229" s="600" t="str" cm="1">
        <f t="array" aca="1" ref="AG229" ca="1">IF(OR($B229="",$N229=""),"",IFERROR(IF($C229="売",_xlfn.MINIFS(高値!$E$3:$IT$3,高値!$E$3:$IT$3,"&gt;"&amp;$E229,高値!$E$3:$IT$3,"&lt;="&amp;$AE229,OFFSET(高値!$E$6:$IT$6,MATCH(TEXT($B229,"0"),TEXT(銘柄管理!$B$6:$B$305,"0"),0)-1,0),"&gt;="&amp;$N229),_xlfn.MINIFS(安値!$E$3:$IT$3,安値!$E$3:$IT$3,"&gt;"&amp;$E229,安値!$E$3:$IT$3,"&lt;="&amp;$AE229,OFFSET(安値!$E$6:$IT$6,MATCH(TEXT($B229,"0"),TEXT(銘柄管理!$B$6:$B$305,"0"),0)-1,0),"&lt;="&amp;$N229)),""))</f>
        <v/>
      </c>
      <c r="AH229" s="600" t="str">
        <f>IF(OR($B229="",$M229=""),"",IF(AND(N($AF229)=0,N($AG229)=0),IF(AND(ISNUMBER($H229),$H229&gt;0,IF($C229="売",$H229&gt;=$N229,$H229&lt;=$N229)),"損切確定",IF(AND(ISNUMBER($H229),$H229&gt;0,IF($C229="売",$H229&lt;=$M229,$H229&gt;=$M229)),"利益確定",IF($AE229&lt;=TODAY(),"日数制限","保有中"))),IF(N($AG229)=0,"利益確定",IF(N($AF229)=0,"損切確定",IF($AG229&lt;=$AF229,"損切確定","利益確定")))))</f>
        <v/>
      </c>
      <c r="AI229" s="600" t="str" cm="1">
        <f t="array" ref="AI229">IFERROR(INDEX(始値!$E$6:$IT$305,MATCH(TEXT($B229,"0"),TEXT(銘柄管理!$B$6:$B$305,"0"),0),MATCH($AE229,始値!$E$3:$IT$3,0)),"")</f>
        <v/>
      </c>
      <c r="AJ229" s="608" t="str">
        <f>IF(OR($V229="",$F229="",$G229=""),"",$V229/($F229*$G229))</f>
        <v/>
      </c>
      <c r="AK229" s="600" t="str">
        <f>IF($V229="","",IF($V229&gt;0,"○勝",IF($V229&lt;0,"●負","△引分")))</f>
        <v/>
      </c>
    </row>
    <row r="230" spans="1:37" ht="17.25" customHeight="1">
      <c r="A230" s="621" t="str">
        <f>IF(B230="","",HYPERLINK("https://kabutan.jp/stock/?code="&amp;B230,"株探"))</f>
        <v/>
      </c>
      <c r="B230" s="480"/>
      <c r="C230" s="480"/>
      <c r="D230" s="480" t="str" cm="1">
        <f t="array" ref="D230">_xll.RssMarket(B230, "銘柄名称")</f>
        <v/>
      </c>
      <c r="E230" s="717"/>
      <c r="F230" s="698" t="str" cm="1">
        <f t="array" aca="1" ref="F230" ca="1">IFERROR(_xlfn.LET(_xlpm.r,MATCH(TEXT($B230,"0"),TEXT(銘柄管理!$B$6:$B$305,"0"),0),_xlpm.t,MOD(NOW(),1),_xlpm.c,IF($E230=TODAY(),IF(_xlpm.t&gt;=TIME(15,30,0),NA(),1),IF(MATCH($E230,始値!$E$3:$IT$3,0)=1,1,MATCH($E230,始値!$E$3:$IT$3,0)+1)),_xlpm.v,INDEX(始値!$C$6:$IT$305,_xlpm.r,_xlpm.c),IF(N(_xlpm.v)=0,"",_xlpm.v)),"")</f>
        <v/>
      </c>
      <c r="G230" s="480"/>
      <c r="H230" s="480" t="str" cm="1">
        <f t="array" ref="H230">_xll.RssMarket(B230, "現在値")</f>
        <v/>
      </c>
      <c r="I230" s="480" t="str" cm="1">
        <f t="array" ref="I230">_xll.RssMarket(B230, "出来高加重平均")</f>
        <v/>
      </c>
      <c r="J230" s="702" t="str" cm="1">
        <f t="array" ref="J230">_xll.RssMarket($B230, "前日比")</f>
        <v/>
      </c>
      <c r="K230" s="703" t="str">
        <f>IF(OR(F230="",G230="",H230=""),"",IF(C230="売",(F230-H230)*G230,(H230-F230)*G230))</f>
        <v/>
      </c>
      <c r="L230" s="708" t="str">
        <f>IF(OR(F230="",H230=""),"",IF(C230="売",(F230-H230)/F230,(H230-F230)/F230))</f>
        <v/>
      </c>
      <c r="M230" s="598" t="str">
        <f>IF($F230="","",$F230*IF($C230="売",1-V811設定!$B$4,1+V811設定!$B$4)-MOD($F230*IF($C230="売",1-V811設定!$B$4,1+V811設定!$B$4),IF($F230&lt;=3000,1,IF($F230&lt;=5000,5,IF($F230&lt;=30000,10,IF($F230&lt;=50000,50,IF($F230&lt;=300000,100,500))))))+IF(AND($C230="売",MOD($F230*IF($C230="売",1-V811設定!$B$4,1+V811設定!$B$4),IF($F230&lt;=3000,1,IF($F230&lt;=5000,5,IF($F230&lt;=30000,10,IF($F230&lt;=50000,50,IF($F230&lt;=300000,100,500))))))&gt;0),IF($F230&lt;=3000,1,IF($F230&lt;=5000,5,IF($F230&lt;=30000,10,IF($F230&lt;=50000,50,IF($F230&lt;=300000,100,500))))),0))</f>
      </c>
      <c r="N230" s="598" t="str">
        <f>IF($F230="","",$F230*IF($C230="売",1+V811設定!$B$3,1-V811設定!$B$3)-MOD($F230*IF($C230="売",1+V811設定!$B$3,1-V811設定!$B$3),IF($F230&lt;=3000,1,IF($F230&lt;=5000,5,IF($F230&lt;=30000,10,IF($F230&lt;=50000,50,IF($F230&lt;=300000,100,500))))))+IF(AND($C230="売",MOD($F230*IF($C230="売",1+V811設定!$B$3,1-V811設定!$B$3),IF($F230&lt;=3000,1,IF($F230&lt;=5000,5,IF($F230&lt;=30000,10,IF($F230&lt;=50000,50,IF($F230&lt;=300000,100,500))))))&gt;0),IF($F230&lt;=3000,1,IF($F230&lt;=5000,5,IF($F230&lt;=30000,10,IF($F230&lt;=50000,50,IF($F230&lt;=300000,100,500))))),0))</f>
      </c>
      <c r="O230" s="478" t="str">
        <f>IF(OR($B230="",$F230="",$H230=""),"",IF($S230="✅売却済","―決済済―",IF($C230="売",IF($H230&lt;=$M230,"🟢利確",IF(AND($R230&lt;&gt;"",$H230&gt;=$R230),"🟠TRAIL",IF($H230&gt;=$N230,"🔴損切",IF($W230&gt;=V811設定!$B$6,"⏱時間決済",IF($H230&gt;=$F230*(1+V811設定!$B$3*0.7),"⚠️損切接近","保持継続"))))),IF($H230&gt;=$M230,"🟢利確",IF(AND($R230&lt;&gt;"",$H230&lt;=$R230),"🟠TRAIL",IF($H230&lt;=$N230,"🔴損切",IF($W230&gt;=V811設定!$B$6,"⏱時間決済",IF($H230&lt;=$F230*(1-V811設定!$B$3*0.7),"⚠️損切接近","保持継続"))))))))</f>
      </c>
      <c r="P230" s="445"/>
      <c r="Q230" s="445"/>
      <c r="R230" s="480" t="str">
        <f>IF(OR($F230="",$H230="",$N230=""),"",IF($S230="✅売却済","",IF($C230="売",IF($H230&gt;$F230*(1-V811設定!$B$3),$N230,MIN($N230,IF($Q230="",$N230,$Q230*1.03))),IF($H230&lt;$F230*(1+V811設定!$B$3),$N230,MAX($N230,IF($P230="",$N230,$P230*0.97))))))</f>
      </c>
      <c r="S230" s="480" t="str">
        <f>IF(B230="","",IF(T230&lt;&gt;"","✅売却済",IF(OR(H230="",L230=""),"📌保有中",IF(L230&gt;=0.06,"🟢利確推奨",IF(L230&gt;=0.05,"🟡利確直近",IF(L230&gt;=0.045,"🔵トレーリング検討",IF(L230&gt;-0.03,"📌保有中",IF(L230&gt;-0.04,"⚠️損切注意","🔴損切り"))))))))</f>
        <v/>
      </c>
      <c r="T230" s="596"/>
      <c r="U230" s="598"/>
      <c r="V230" s="703" t="str">
        <f>IF(OR(F230="",G230="",U230=""),"",IF(C230="売",(F230-U230)*G230,(U230-F230)*G230))</f>
        <v/>
      </c>
      <c r="W230" s="480" t="str">
        <f>IF(OR($E230="",$B230=""),"",IF($T230&lt;&gt;"",$T230-$E230,TODAY()-$E230)+1)</f>
        <v/>
      </c>
      <c r="X230" s="480" t="str">
        <f>IF(OR($AH230="",$AH230="保有中"),"",$AH230)</f>
        <v/>
      </c>
      <c r="Y230" s="488"/>
      <c r="Z230" s="710"/>
      <c r="AD230" s="608"/>
      <c r="AE230" s="600" t="str">
        <f>IF($E230="","",WORKDAY($E230,12))</f>
        <v/>
      </c>
      <c r="AF230" s="600" t="str" cm="1">
        <f t="array" aca="1" ref="AF230" ca="1">IF(OR($B230="",$M230=""),"",IFERROR(IF($C230="売",_xlfn.MINIFS(安値!$E$3:$IT$3,安値!$E$3:$IT$3,"&gt;"&amp;$E230,安値!$E$3:$IT$3,"&lt;="&amp;$AE230,OFFSET(安値!$E$6:$IT$6,MATCH(TEXT($B230,"0"),TEXT(銘柄管理!$B$6:$B$305,"0"),0)-1,0),"&lt;="&amp;$M230),_xlfn.MINIFS(高値!$E$3:$IT$3,高値!$E$3:$IT$3,"&gt;"&amp;$E230,高値!$E$3:$IT$3,"&lt;="&amp;$AE230,OFFSET(高値!$E$6:$IT$6,MATCH(TEXT($B230,"0"),TEXT(銘柄管理!$B$6:$B$305,"0"),0)-1,0),"&gt;="&amp;$M230)),""))</f>
        <v/>
      </c>
      <c r="AG230" s="600" t="str" cm="1">
        <f t="array" aca="1" ref="AG230" ca="1">IF(OR($B230="",$N230=""),"",IFERROR(IF($C230="売",_xlfn.MINIFS(高値!$E$3:$IT$3,高値!$E$3:$IT$3,"&gt;"&amp;$E230,高値!$E$3:$IT$3,"&lt;="&amp;$AE230,OFFSET(高値!$E$6:$IT$6,MATCH(TEXT($B230,"0"),TEXT(銘柄管理!$B$6:$B$305,"0"),0)-1,0),"&gt;="&amp;$N230),_xlfn.MINIFS(安値!$E$3:$IT$3,安値!$E$3:$IT$3,"&gt;"&amp;$E230,安値!$E$3:$IT$3,"&lt;="&amp;$AE230,OFFSET(安値!$E$6:$IT$6,MATCH(TEXT($B230,"0"),TEXT(銘柄管理!$B$6:$B$305,"0"),0)-1,0),"&lt;="&amp;$N230)),""))</f>
        <v/>
      </c>
      <c r="AH230" s="600" t="str">
        <f>IF(OR($B230="",$M230=""),"",IF(AND(N($AF230)=0,N($AG230)=0),IF(AND(ISNUMBER($H230),$H230&gt;0,IF($C230="売",$H230&gt;=$N230,$H230&lt;=$N230)),"損切確定",IF(AND(ISNUMBER($H230),$H230&gt;0,IF($C230="売",$H230&lt;=$M230,$H230&gt;=$M230)),"利益確定",IF($AE230&lt;=TODAY(),"日数制限","保有中"))),IF(N($AG230)=0,"利益確定",IF(N($AF230)=0,"損切確定",IF($AG230&lt;=$AF230,"損切確定","利益確定")))))</f>
        <v/>
      </c>
      <c r="AI230" s="600" t="str" cm="1">
        <f t="array" ref="AI230">IFERROR(INDEX(始値!$E$6:$IT$305,MATCH(TEXT($B230,"0"),TEXT(銘柄管理!$B$6:$B$305,"0"),0),MATCH($AE230,始値!$E$3:$IT$3,0)),"")</f>
        <v/>
      </c>
      <c r="AJ230" s="608" t="str">
        <f>IF(OR($V230="",$F230="",$G230=""),"",$V230/($F230*$G230))</f>
        <v/>
      </c>
      <c r="AK230" s="600" t="str">
        <f>IF($V230="","",IF($V230&gt;0,"○勝",IF($V230&lt;0,"●負","△引分")))</f>
        <v/>
      </c>
    </row>
    <row r="231" spans="1:37" ht="17.25" customHeight="1">
      <c r="A231" s="621" t="str">
        <f>IF(B231="","",HYPERLINK("https://kabutan.jp/stock/?code="&amp;B231,"株探"))</f>
        <v/>
      </c>
      <c r="B231" s="480"/>
      <c r="C231" s="480"/>
      <c r="D231" s="480" t="str" cm="1">
        <f t="array" ref="D231">_xll.RssMarket(B231, "銘柄名称")</f>
        <v/>
      </c>
      <c r="E231" s="717"/>
      <c r="F231" s="698" t="str" cm="1">
        <f t="array" aca="1" ref="F231" ca="1">IFERROR(_xlfn.LET(_xlpm.r,MATCH(TEXT($B231,"0"),TEXT(銘柄管理!$B$6:$B$305,"0"),0),_xlpm.t,MOD(NOW(),1),_xlpm.c,IF($E231=TODAY(),IF(_xlpm.t&gt;=TIME(15,30,0),NA(),1),IF(MATCH($E231,始値!$E$3:$IT$3,0)=1,1,MATCH($E231,始値!$E$3:$IT$3,0)+1)),_xlpm.v,INDEX(始値!$C$6:$IT$305,_xlpm.r,_xlpm.c),IF(N(_xlpm.v)=0,"",_xlpm.v)),"")</f>
        <v/>
      </c>
      <c r="G231" s="480"/>
      <c r="H231" s="480" t="str" cm="1">
        <f t="array" ref="H231">_xll.RssMarket(B231, "現在値")</f>
        <v/>
      </c>
      <c r="I231" s="480" t="str" cm="1">
        <f t="array" ref="I231">_xll.RssMarket(B231, "出来高加重平均")</f>
        <v/>
      </c>
      <c r="J231" s="702" t="str" cm="1">
        <f t="array" ref="J231">_xll.RssMarket($B231, "前日比")</f>
        <v/>
      </c>
      <c r="K231" s="703" t="str">
        <f>IF(OR(F231="",G231="",H231=""),"",IF(C231="売",(F231-H231)*G231,(H231-F231)*G231))</f>
        <v/>
      </c>
      <c r="L231" s="708" t="str">
        <f>IF(OR(F231="",H231=""),"",IF(C231="売",(F231-H231)/F231,(H231-F231)/F231))</f>
        <v/>
      </c>
      <c r="M231" s="598" t="str">
        <f>IF($F231="","",$F231*IF($C231="売",1-V811設定!$B$4,1+V811設定!$B$4)-MOD($F231*IF($C231="売",1-V811設定!$B$4,1+V811設定!$B$4),IF($F231&lt;=3000,1,IF($F231&lt;=5000,5,IF($F231&lt;=30000,10,IF($F231&lt;=50000,50,IF($F231&lt;=300000,100,500))))))+IF(AND($C231="売",MOD($F231*IF($C231="売",1-V811設定!$B$4,1+V811設定!$B$4),IF($F231&lt;=3000,1,IF($F231&lt;=5000,5,IF($F231&lt;=30000,10,IF($F231&lt;=50000,50,IF($F231&lt;=300000,100,500))))))&gt;0),IF($F231&lt;=3000,1,IF($F231&lt;=5000,5,IF($F231&lt;=30000,10,IF($F231&lt;=50000,50,IF($F231&lt;=300000,100,500))))),0))</f>
      </c>
      <c r="N231" s="598" t="str">
        <f>IF($F231="","",$F231*IF($C231="売",1+V811設定!$B$3,1-V811設定!$B$3)-MOD($F231*IF($C231="売",1+V811設定!$B$3,1-V811設定!$B$3),IF($F231&lt;=3000,1,IF($F231&lt;=5000,5,IF($F231&lt;=30000,10,IF($F231&lt;=50000,50,IF($F231&lt;=300000,100,500))))))+IF(AND($C231="売",MOD($F231*IF($C231="売",1+V811設定!$B$3,1-V811設定!$B$3),IF($F231&lt;=3000,1,IF($F231&lt;=5000,5,IF($F231&lt;=30000,10,IF($F231&lt;=50000,50,IF($F231&lt;=300000,100,500))))))&gt;0),IF($F231&lt;=3000,1,IF($F231&lt;=5000,5,IF($F231&lt;=30000,10,IF($F231&lt;=50000,50,IF($F231&lt;=300000,100,500))))),0))</f>
      </c>
      <c r="O231" s="478" t="str">
        <f>IF(OR($B231="",$F231="",$H231=""),"",IF($S231="✅売却済","―決済済―",IF($C231="売",IF($H231&lt;=$M231,"🟢利確",IF(AND($R231&lt;&gt;"",$H231&gt;=$R231),"🟠TRAIL",IF($H231&gt;=$N231,"🔴損切",IF($W231&gt;=V811設定!$B$6,"⏱時間決済",IF($H231&gt;=$F231*(1+V811設定!$B$3*0.7),"⚠️損切接近","保持継続"))))),IF($H231&gt;=$M231,"🟢利確",IF(AND($R231&lt;&gt;"",$H231&lt;=$R231),"🟠TRAIL",IF($H231&lt;=$N231,"🔴損切",IF($W231&gt;=V811設定!$B$6,"⏱時間決済",IF($H231&lt;=$F231*(1-V811設定!$B$3*0.7),"⚠️損切接近","保持継続"))))))))</f>
      </c>
      <c r="P231" s="445"/>
      <c r="Q231" s="445"/>
      <c r="R231" s="480" t="str">
        <f>IF(OR($F231="",$H231="",$N231=""),"",IF($S231="✅売却済","",IF($C231="売",IF($H231&gt;$F231*(1-V811設定!$B$3),$N231,MIN($N231,IF($Q231="",$N231,$Q231*1.03))),IF($H231&lt;$F231*(1+V811設定!$B$3),$N231,MAX($N231,IF($P231="",$N231,$P231*0.97))))))</f>
      </c>
      <c r="S231" s="480" t="str">
        <f>IF(B231="","",IF(T231&lt;&gt;"","✅売却済",IF(OR(H231="",L231=""),"📌保有中",IF(L231&gt;=0.06,"🟢利確推奨",IF(L231&gt;=0.05,"🟡利確直近",IF(L231&gt;=0.045,"🔵トレーリング検討",IF(L231&gt;-0.03,"📌保有中",IF(L231&gt;-0.04,"⚠️損切注意","🔴損切り"))))))))</f>
        <v/>
      </c>
      <c r="T231" s="596"/>
      <c r="U231" s="598"/>
      <c r="V231" s="703" t="str">
        <f>IF(OR(F231="",G231="",U231=""),"",IF(C231="売",(F231-U231)*G231,(U231-F231)*G231))</f>
        <v/>
      </c>
      <c r="W231" s="480" t="str">
        <f>IF(OR($E231="",$B231=""),"",IF($T231&lt;&gt;"",$T231-$E231,TODAY()-$E231)+1)</f>
        <v/>
      </c>
      <c r="X231" s="480" t="str">
        <f>IF(OR($AH231="",$AH231="保有中"),"",$AH231)</f>
        <v/>
      </c>
      <c r="Y231" s="488"/>
      <c r="Z231" s="710"/>
      <c r="AD231" s="608"/>
      <c r="AE231" s="600" t="str">
        <f>IF($E231="","",WORKDAY($E231,12))</f>
        <v/>
      </c>
      <c r="AF231" s="600" t="str" cm="1">
        <f t="array" aca="1" ref="AF231" ca="1">IF(OR($B231="",$M231=""),"",IFERROR(IF($C231="売",_xlfn.MINIFS(安値!$E$3:$IT$3,安値!$E$3:$IT$3,"&gt;"&amp;$E231,安値!$E$3:$IT$3,"&lt;="&amp;$AE231,OFFSET(安値!$E$6:$IT$6,MATCH(TEXT($B231,"0"),TEXT(銘柄管理!$B$6:$B$305,"0"),0)-1,0),"&lt;="&amp;$M231),_xlfn.MINIFS(高値!$E$3:$IT$3,高値!$E$3:$IT$3,"&gt;"&amp;$E231,高値!$E$3:$IT$3,"&lt;="&amp;$AE231,OFFSET(高値!$E$6:$IT$6,MATCH(TEXT($B231,"0"),TEXT(銘柄管理!$B$6:$B$305,"0"),0)-1,0),"&gt;="&amp;$M231)),""))</f>
        <v/>
      </c>
      <c r="AG231" s="600" t="str" cm="1">
        <f t="array" aca="1" ref="AG231" ca="1">IF(OR($B231="",$N231=""),"",IFERROR(IF($C231="売",_xlfn.MINIFS(高値!$E$3:$IT$3,高値!$E$3:$IT$3,"&gt;"&amp;$E231,高値!$E$3:$IT$3,"&lt;="&amp;$AE231,OFFSET(高値!$E$6:$IT$6,MATCH(TEXT($B231,"0"),TEXT(銘柄管理!$B$6:$B$305,"0"),0)-1,0),"&gt;="&amp;$N231),_xlfn.MINIFS(安値!$E$3:$IT$3,安値!$E$3:$IT$3,"&gt;"&amp;$E231,安値!$E$3:$IT$3,"&lt;="&amp;$AE231,OFFSET(安値!$E$6:$IT$6,MATCH(TEXT($B231,"0"),TEXT(銘柄管理!$B$6:$B$305,"0"),0)-1,0),"&lt;="&amp;$N231)),""))</f>
        <v/>
      </c>
      <c r="AH231" s="600" t="str">
        <f>IF(OR($B231="",$M231=""),"",IF(AND(N($AF231)=0,N($AG231)=0),IF(AND(ISNUMBER($H231),$H231&gt;0,IF($C231="売",$H231&gt;=$N231,$H231&lt;=$N231)),"損切確定",IF(AND(ISNUMBER($H231),$H231&gt;0,IF($C231="売",$H231&lt;=$M231,$H231&gt;=$M231)),"利益確定",IF($AE231&lt;=TODAY(),"日数制限","保有中"))),IF(N($AG231)=0,"利益確定",IF(N($AF231)=0,"損切確定",IF($AG231&lt;=$AF231,"損切確定","利益確定")))))</f>
        <v/>
      </c>
      <c r="AI231" s="600" t="str" cm="1">
        <f t="array" ref="AI231">IFERROR(INDEX(始値!$E$6:$IT$305,MATCH(TEXT($B231,"0"),TEXT(銘柄管理!$B$6:$B$305,"0"),0),MATCH($AE231,始値!$E$3:$IT$3,0)),"")</f>
        <v/>
      </c>
      <c r="AJ231" s="608" t="str">
        <f>IF(OR($V231="",$F231="",$G231=""),"",$V231/($F231*$G231))</f>
        <v/>
      </c>
      <c r="AK231" s="600" t="str">
        <f>IF($V231="","",IF($V231&gt;0,"○勝",IF($V231&lt;0,"●負","△引分")))</f>
        <v/>
      </c>
    </row>
    <row r="232" spans="1:37" ht="17.25" customHeight="1">
      <c r="A232" s="621" t="str">
        <f>IF(B232="","",HYPERLINK("https://kabutan.jp/stock/?code="&amp;B232,"株探"))</f>
        <v/>
      </c>
      <c r="B232" s="480"/>
      <c r="C232" s="480"/>
      <c r="D232" s="480" t="str" cm="1">
        <f t="array" ref="D232">_xll.RssMarket(B232, "銘柄名称")</f>
        <v/>
      </c>
      <c r="E232" s="717"/>
      <c r="F232" s="698" t="str" cm="1">
        <f t="array" aca="1" ref="F232" ca="1">IFERROR(_xlfn.LET(_xlpm.r,MATCH(TEXT($B232,"0"),TEXT(銘柄管理!$B$6:$B$305,"0"),0),_xlpm.t,MOD(NOW(),1),_xlpm.c,IF($E232=TODAY(),IF(_xlpm.t&gt;=TIME(15,30,0),NA(),1),IF(MATCH($E232,始値!$E$3:$IT$3,0)=1,1,MATCH($E232,始値!$E$3:$IT$3,0)+1)),_xlpm.v,INDEX(始値!$C$6:$IT$305,_xlpm.r,_xlpm.c),IF(N(_xlpm.v)=0,"",_xlpm.v)),"")</f>
        <v/>
      </c>
      <c r="G232" s="480"/>
      <c r="H232" s="480" t="str" cm="1">
        <f t="array" ref="H232">_xll.RssMarket(B232, "現在値")</f>
        <v/>
      </c>
      <c r="I232" s="480" t="str" cm="1">
        <f t="array" ref="I232">_xll.RssMarket(B232, "出来高加重平均")</f>
        <v/>
      </c>
      <c r="J232" s="702" t="str" cm="1">
        <f t="array" ref="J232">_xll.RssMarket($B232, "前日比")</f>
        <v/>
      </c>
      <c r="K232" s="703" t="str">
        <f>IF(OR(F232="",G232="",H232=""),"",IF(C232="売",(F232-H232)*G232,(H232-F232)*G232))</f>
        <v/>
      </c>
      <c r="L232" s="708" t="str">
        <f>IF(OR(F232="",H232=""),"",IF(C232="売",(F232-H232)/F232,(H232-F232)/F232))</f>
        <v/>
      </c>
      <c r="M232" s="598" t="str">
        <f>IF($F232="","",$F232*IF($C232="売",1-V811設定!$B$4,1+V811設定!$B$4)-MOD($F232*IF($C232="売",1-V811設定!$B$4,1+V811設定!$B$4),IF($F232&lt;=3000,1,IF($F232&lt;=5000,5,IF($F232&lt;=30000,10,IF($F232&lt;=50000,50,IF($F232&lt;=300000,100,500))))))+IF(AND($C232="売",MOD($F232*IF($C232="売",1-V811設定!$B$4,1+V811設定!$B$4),IF($F232&lt;=3000,1,IF($F232&lt;=5000,5,IF($F232&lt;=30000,10,IF($F232&lt;=50000,50,IF($F232&lt;=300000,100,500))))))&gt;0),IF($F232&lt;=3000,1,IF($F232&lt;=5000,5,IF($F232&lt;=30000,10,IF($F232&lt;=50000,50,IF($F232&lt;=300000,100,500))))),0))</f>
      </c>
      <c r="N232" s="598" t="str">
        <f>IF($F232="","",$F232*IF($C232="売",1+V811設定!$B$3,1-V811設定!$B$3)-MOD($F232*IF($C232="売",1+V811設定!$B$3,1-V811設定!$B$3),IF($F232&lt;=3000,1,IF($F232&lt;=5000,5,IF($F232&lt;=30000,10,IF($F232&lt;=50000,50,IF($F232&lt;=300000,100,500))))))+IF(AND($C232="売",MOD($F232*IF($C232="売",1+V811設定!$B$3,1-V811設定!$B$3),IF($F232&lt;=3000,1,IF($F232&lt;=5000,5,IF($F232&lt;=30000,10,IF($F232&lt;=50000,50,IF($F232&lt;=300000,100,500))))))&gt;0),IF($F232&lt;=3000,1,IF($F232&lt;=5000,5,IF($F232&lt;=30000,10,IF($F232&lt;=50000,50,IF($F232&lt;=300000,100,500))))),0))</f>
      </c>
      <c r="O232" s="478" t="str">
        <f>IF(OR($B232="",$F232="",$H232=""),"",IF($S232="✅売却済","―決済済―",IF($C232="売",IF($H232&lt;=$M232,"🟢利確",IF(AND($R232&lt;&gt;"",$H232&gt;=$R232),"🟠TRAIL",IF($H232&gt;=$N232,"🔴損切",IF($W232&gt;=V811設定!$B$6,"⏱時間決済",IF($H232&gt;=$F232*(1+V811設定!$B$3*0.7),"⚠️損切接近","保持継続"))))),IF($H232&gt;=$M232,"🟢利確",IF(AND($R232&lt;&gt;"",$H232&lt;=$R232),"🟠TRAIL",IF($H232&lt;=$N232,"🔴損切",IF($W232&gt;=V811設定!$B$6,"⏱時間決済",IF($H232&lt;=$F232*(1-V811設定!$B$3*0.7),"⚠️損切接近","保持継続"))))))))</f>
      </c>
      <c r="P232" s="445"/>
      <c r="Q232" s="445"/>
      <c r="R232" s="480" t="str">
        <f>IF(OR($F232="",$H232="",$N232=""),"",IF($S232="✅売却済","",IF($C232="売",IF($H232&gt;$F232*(1-V811設定!$B$3),$N232,MIN($N232,IF($Q232="",$N232,$Q232*1.03))),IF($H232&lt;$F232*(1+V811設定!$B$3),$N232,MAX($N232,IF($P232="",$N232,$P232*0.97))))))</f>
      </c>
      <c r="S232" s="480" t="str">
        <f>IF(B232="","",IF(T232&lt;&gt;"","✅売却済",IF(OR(H232="",L232=""),"📌保有中",IF(L232&gt;=0.06,"🟢利確推奨",IF(L232&gt;=0.05,"🟡利確直近",IF(L232&gt;=0.045,"🔵トレーリング検討",IF(L232&gt;-0.03,"📌保有中",IF(L232&gt;-0.04,"⚠️損切注意","🔴損切り"))))))))</f>
        <v/>
      </c>
      <c r="T232" s="596"/>
      <c r="U232" s="598"/>
      <c r="V232" s="703" t="str">
        <f>IF(OR(F232="",G232="",U232=""),"",IF(C232="売",(F232-U232)*G232,(U232-F232)*G232))</f>
        <v/>
      </c>
      <c r="W232" s="480" t="str">
        <f>IF(OR($E232="",$B232=""),"",IF($T232&lt;&gt;"",$T232-$E232,TODAY()-$E232)+1)</f>
        <v/>
      </c>
      <c r="X232" s="480" t="str">
        <f>IF(OR($AH232="",$AH232="保有中"),"",$AH232)</f>
        <v/>
      </c>
      <c r="Y232" s="488"/>
      <c r="Z232" s="710"/>
      <c r="AD232" s="608"/>
      <c r="AE232" s="600" t="str">
        <f>IF($E232="","",WORKDAY($E232,12))</f>
        <v/>
      </c>
      <c r="AF232" s="600" t="str" cm="1">
        <f t="array" aca="1" ref="AF232" ca="1">IF(OR($B232="",$M232=""),"",IFERROR(IF($C232="売",_xlfn.MINIFS(安値!$E$3:$IT$3,安値!$E$3:$IT$3,"&gt;"&amp;$E232,安値!$E$3:$IT$3,"&lt;="&amp;$AE232,OFFSET(安値!$E$6:$IT$6,MATCH(TEXT($B232,"0"),TEXT(銘柄管理!$B$6:$B$305,"0"),0)-1,0),"&lt;="&amp;$M232),_xlfn.MINIFS(高値!$E$3:$IT$3,高値!$E$3:$IT$3,"&gt;"&amp;$E232,高値!$E$3:$IT$3,"&lt;="&amp;$AE232,OFFSET(高値!$E$6:$IT$6,MATCH(TEXT($B232,"0"),TEXT(銘柄管理!$B$6:$B$305,"0"),0)-1,0),"&gt;="&amp;$M232)),""))</f>
        <v/>
      </c>
      <c r="AG232" s="600" t="str" cm="1">
        <f t="array" aca="1" ref="AG232" ca="1">IF(OR($B232="",$N232=""),"",IFERROR(IF($C232="売",_xlfn.MINIFS(高値!$E$3:$IT$3,高値!$E$3:$IT$3,"&gt;"&amp;$E232,高値!$E$3:$IT$3,"&lt;="&amp;$AE232,OFFSET(高値!$E$6:$IT$6,MATCH(TEXT($B232,"0"),TEXT(銘柄管理!$B$6:$B$305,"0"),0)-1,0),"&gt;="&amp;$N232),_xlfn.MINIFS(安値!$E$3:$IT$3,安値!$E$3:$IT$3,"&gt;"&amp;$E232,安値!$E$3:$IT$3,"&lt;="&amp;$AE232,OFFSET(安値!$E$6:$IT$6,MATCH(TEXT($B232,"0"),TEXT(銘柄管理!$B$6:$B$305,"0"),0)-1,0),"&lt;="&amp;$N232)),""))</f>
        <v/>
      </c>
      <c r="AH232" s="600" t="str">
        <f>IF(OR($B232="",$M232=""),"",IF(AND(N($AF232)=0,N($AG232)=0),IF(AND(ISNUMBER($H232),$H232&gt;0,IF($C232="売",$H232&gt;=$N232,$H232&lt;=$N232)),"損切確定",IF(AND(ISNUMBER($H232),$H232&gt;0,IF($C232="売",$H232&lt;=$M232,$H232&gt;=$M232)),"利益確定",IF($AE232&lt;=TODAY(),"日数制限","保有中"))),IF(N($AG232)=0,"利益確定",IF(N($AF232)=0,"損切確定",IF($AG232&lt;=$AF232,"損切確定","利益確定")))))</f>
        <v/>
      </c>
      <c r="AI232" s="600" t="str" cm="1">
        <f t="array" ref="AI232">IFERROR(INDEX(始値!$E$6:$IT$305,MATCH(TEXT($B232,"0"),TEXT(銘柄管理!$B$6:$B$305,"0"),0),MATCH($AE232,始値!$E$3:$IT$3,0)),"")</f>
        <v/>
      </c>
      <c r="AJ232" s="608" t="str">
        <f>IF(OR($V232="",$F232="",$G232=""),"",$V232/($F232*$G232))</f>
        <v/>
      </c>
      <c r="AK232" s="600" t="str">
        <f>IF($V232="","",IF($V232&gt;0,"○勝",IF($V232&lt;0,"●負","△引分")))</f>
        <v/>
      </c>
    </row>
    <row r="233" spans="1:37" ht="17.25" customHeight="1">
      <c r="A233" s="621" t="str">
        <f>IF(B233="","",HYPERLINK("https://kabutan.jp/stock/?code="&amp;B233,"株探"))</f>
        <v/>
      </c>
      <c r="B233" s="480"/>
      <c r="C233" s="480"/>
      <c r="D233" s="480" t="str" cm="1">
        <f t="array" ref="D233">_xll.RssMarket(B233, "銘柄名称")</f>
        <v/>
      </c>
      <c r="E233" s="717"/>
      <c r="F233" s="698" t="str" cm="1">
        <f t="array" aca="1" ref="F233" ca="1">IFERROR(_xlfn.LET(_xlpm.r,MATCH(TEXT($B233,"0"),TEXT(銘柄管理!$B$6:$B$305,"0"),0),_xlpm.t,MOD(NOW(),1),_xlpm.c,IF($E233=TODAY(),IF(_xlpm.t&gt;=TIME(15,30,0),NA(),1),IF(MATCH($E233,始値!$E$3:$IT$3,0)=1,1,MATCH($E233,始値!$E$3:$IT$3,0)+1)),_xlpm.v,INDEX(始値!$C$6:$IT$305,_xlpm.r,_xlpm.c),IF(N(_xlpm.v)=0,"",_xlpm.v)),"")</f>
        <v/>
      </c>
      <c r="G233" s="480"/>
      <c r="H233" s="480" t="str" cm="1">
        <f t="array" ref="H233">_xll.RssMarket(B233, "現在値")</f>
        <v/>
      </c>
      <c r="I233" s="480" t="str" cm="1">
        <f t="array" ref="I233">_xll.RssMarket(B233, "出来高加重平均")</f>
        <v/>
      </c>
      <c r="J233" s="702" t="str" cm="1">
        <f t="array" ref="J233">_xll.RssMarket($B233, "前日比")</f>
        <v/>
      </c>
      <c r="K233" s="703" t="str">
        <f>IF(OR(F233="",G233="",H233=""),"",IF(C233="売",(F233-H233)*G233,(H233-F233)*G233))</f>
        <v/>
      </c>
      <c r="L233" s="708" t="str">
        <f>IF(OR(F233="",H233=""),"",IF(C233="売",(F233-H233)/F233,(H233-F233)/F233))</f>
        <v/>
      </c>
      <c r="M233" s="598" t="str">
        <f>IF($F233="","",$F233*IF($C233="売",1-V811設定!$B$4,1+V811設定!$B$4)-MOD($F233*IF($C233="売",1-V811設定!$B$4,1+V811設定!$B$4),IF($F233&lt;=3000,1,IF($F233&lt;=5000,5,IF($F233&lt;=30000,10,IF($F233&lt;=50000,50,IF($F233&lt;=300000,100,500))))))+IF(AND($C233="売",MOD($F233*IF($C233="売",1-V811設定!$B$4,1+V811設定!$B$4),IF($F233&lt;=3000,1,IF($F233&lt;=5000,5,IF($F233&lt;=30000,10,IF($F233&lt;=50000,50,IF($F233&lt;=300000,100,500))))))&gt;0),IF($F233&lt;=3000,1,IF($F233&lt;=5000,5,IF($F233&lt;=30000,10,IF($F233&lt;=50000,50,IF($F233&lt;=300000,100,500))))),0))</f>
      </c>
      <c r="N233" s="598" t="str">
        <f>IF($F233="","",$F233*IF($C233="売",1+V811設定!$B$3,1-V811設定!$B$3)-MOD($F233*IF($C233="売",1+V811設定!$B$3,1-V811設定!$B$3),IF($F233&lt;=3000,1,IF($F233&lt;=5000,5,IF($F233&lt;=30000,10,IF($F233&lt;=50000,50,IF($F233&lt;=300000,100,500))))))+IF(AND($C233="売",MOD($F233*IF($C233="売",1+V811設定!$B$3,1-V811設定!$B$3),IF($F233&lt;=3000,1,IF($F233&lt;=5000,5,IF($F233&lt;=30000,10,IF($F233&lt;=50000,50,IF($F233&lt;=300000,100,500))))))&gt;0),IF($F233&lt;=3000,1,IF($F233&lt;=5000,5,IF($F233&lt;=30000,10,IF($F233&lt;=50000,50,IF($F233&lt;=300000,100,500))))),0))</f>
      </c>
      <c r="O233" s="478" t="str">
        <f>IF(OR($B233="",$F233="",$H233=""),"",IF($S233="✅売却済","―決済済―",IF($C233="売",IF($H233&lt;=$M233,"🟢利確",IF(AND($R233&lt;&gt;"",$H233&gt;=$R233),"🟠TRAIL",IF($H233&gt;=$N233,"🔴損切",IF($W233&gt;=V811設定!$B$6,"⏱時間決済",IF($H233&gt;=$F233*(1+V811設定!$B$3*0.7),"⚠️損切接近","保持継続"))))),IF($H233&gt;=$M233,"🟢利確",IF(AND($R233&lt;&gt;"",$H233&lt;=$R233),"🟠TRAIL",IF($H233&lt;=$N233,"🔴損切",IF($W233&gt;=V811設定!$B$6,"⏱時間決済",IF($H233&lt;=$F233*(1-V811設定!$B$3*0.7),"⚠️損切接近","保持継続"))))))))</f>
      </c>
      <c r="P233" s="445"/>
      <c r="Q233" s="445"/>
      <c r="R233" s="480" t="str">
        <f>IF(OR($F233="",$H233="",$N233=""),"",IF($S233="✅売却済","",IF($C233="売",IF($H233&gt;$F233*(1-V811設定!$B$3),$N233,MIN($N233,IF($Q233="",$N233,$Q233*1.03))),IF($H233&lt;$F233*(1+V811設定!$B$3),$N233,MAX($N233,IF($P233="",$N233,$P233*0.97))))))</f>
      </c>
      <c r="S233" s="480" t="str">
        <f>IF(B233="","",IF(T233&lt;&gt;"","✅売却済",IF(OR(H233="",L233=""),"📌保有中",IF(L233&gt;=0.06,"🟢利確推奨",IF(L233&gt;=0.05,"🟡利確直近",IF(L233&gt;=0.045,"🔵トレーリング検討",IF(L233&gt;-0.03,"📌保有中",IF(L233&gt;-0.04,"⚠️損切注意","🔴損切り"))))))))</f>
        <v/>
      </c>
      <c r="T233" s="596"/>
      <c r="U233" s="598"/>
      <c r="V233" s="703" t="str">
        <f>IF(OR(F233="",G233="",U233=""),"",IF(C233="売",(F233-U233)*G233,(U233-F233)*G233))</f>
        <v/>
      </c>
      <c r="W233" s="480" t="str">
        <f>IF(OR($E233="",$B233=""),"",IF($T233&lt;&gt;"",$T233-$E233,TODAY()-$E233)+1)</f>
        <v/>
      </c>
      <c r="X233" s="480" t="str">
        <f>IF(OR($AH233="",$AH233="保有中"),"",$AH233)</f>
        <v/>
      </c>
      <c r="Y233" s="488"/>
      <c r="Z233" s="710"/>
      <c r="AD233" s="608"/>
      <c r="AE233" s="600" t="str">
        <f>IF($E233="","",WORKDAY($E233,12))</f>
        <v/>
      </c>
      <c r="AF233" s="600" t="str" cm="1">
        <f t="array" aca="1" ref="AF233" ca="1">IF(OR($B233="",$M233=""),"",IFERROR(IF($C233="売",_xlfn.MINIFS(安値!$E$3:$IT$3,安値!$E$3:$IT$3,"&gt;"&amp;$E233,安値!$E$3:$IT$3,"&lt;="&amp;$AE233,OFFSET(安値!$E$6:$IT$6,MATCH(TEXT($B233,"0"),TEXT(銘柄管理!$B$6:$B$305,"0"),0)-1,0),"&lt;="&amp;$M233),_xlfn.MINIFS(高値!$E$3:$IT$3,高値!$E$3:$IT$3,"&gt;"&amp;$E233,高値!$E$3:$IT$3,"&lt;="&amp;$AE233,OFFSET(高値!$E$6:$IT$6,MATCH(TEXT($B233,"0"),TEXT(銘柄管理!$B$6:$B$305,"0"),0)-1,0),"&gt;="&amp;$M233)),""))</f>
        <v/>
      </c>
      <c r="AG233" s="600" t="str" cm="1">
        <f t="array" aca="1" ref="AG233" ca="1">IF(OR($B233="",$N233=""),"",IFERROR(IF($C233="売",_xlfn.MINIFS(高値!$E$3:$IT$3,高値!$E$3:$IT$3,"&gt;"&amp;$E233,高値!$E$3:$IT$3,"&lt;="&amp;$AE233,OFFSET(高値!$E$6:$IT$6,MATCH(TEXT($B233,"0"),TEXT(銘柄管理!$B$6:$B$305,"0"),0)-1,0),"&gt;="&amp;$N233),_xlfn.MINIFS(安値!$E$3:$IT$3,安値!$E$3:$IT$3,"&gt;"&amp;$E233,安値!$E$3:$IT$3,"&lt;="&amp;$AE233,OFFSET(安値!$E$6:$IT$6,MATCH(TEXT($B233,"0"),TEXT(銘柄管理!$B$6:$B$305,"0"),0)-1,0),"&lt;="&amp;$N233)),""))</f>
        <v/>
      </c>
      <c r="AH233" s="600" t="str">
        <f>IF(OR($B233="",$M233=""),"",IF(AND(N($AF233)=0,N($AG233)=0),IF(AND(ISNUMBER($H233),$H233&gt;0,IF($C233="売",$H233&gt;=$N233,$H233&lt;=$N233)),"損切確定",IF(AND(ISNUMBER($H233),$H233&gt;0,IF($C233="売",$H233&lt;=$M233,$H233&gt;=$M233)),"利益確定",IF($AE233&lt;=TODAY(),"日数制限","保有中"))),IF(N($AG233)=0,"利益確定",IF(N($AF233)=0,"損切確定",IF($AG233&lt;=$AF233,"損切確定","利益確定")))))</f>
        <v/>
      </c>
      <c r="AI233" s="600" t="str" cm="1">
        <f t="array" ref="AI233">IFERROR(INDEX(始値!$E$6:$IT$305,MATCH(TEXT($B233,"0"),TEXT(銘柄管理!$B$6:$B$305,"0"),0),MATCH($AE233,始値!$E$3:$IT$3,0)),"")</f>
        <v/>
      </c>
      <c r="AJ233" s="608" t="str">
        <f>IF(OR($V233="",$F233="",$G233=""),"",$V233/($F233*$G233))</f>
        <v/>
      </c>
      <c r="AK233" s="600" t="str">
        <f>IF($V233="","",IF($V233&gt;0,"○勝",IF($V233&lt;0,"●負","△引分")))</f>
        <v/>
      </c>
    </row>
    <row r="234" spans="1:37" ht="17.25" customHeight="1">
      <c r="A234" s="621" t="str">
        <f>IF(B234="","",HYPERLINK("https://kabutan.jp/stock/?code="&amp;B234,"株探"))</f>
        <v/>
      </c>
      <c r="B234" s="480"/>
      <c r="C234" s="480"/>
      <c r="D234" s="480" t="str" cm="1">
        <f t="array" ref="D234">_xll.RssMarket(B234, "銘柄名称")</f>
        <v/>
      </c>
      <c r="E234" s="717"/>
      <c r="F234" s="698" t="str" cm="1">
        <f t="array" aca="1" ref="F234" ca="1">IFERROR(_xlfn.LET(_xlpm.r,MATCH(TEXT($B234,"0"),TEXT(銘柄管理!$B$6:$B$305,"0"),0),_xlpm.t,MOD(NOW(),1),_xlpm.c,IF($E234=TODAY(),IF(_xlpm.t&gt;=TIME(15,30,0),NA(),1),IF(MATCH($E234,始値!$E$3:$IT$3,0)=1,1,MATCH($E234,始値!$E$3:$IT$3,0)+1)),_xlpm.v,INDEX(始値!$C$6:$IT$305,_xlpm.r,_xlpm.c),IF(N(_xlpm.v)=0,"",_xlpm.v)),"")</f>
        <v/>
      </c>
      <c r="G234" s="480"/>
      <c r="H234" s="480" t="str" cm="1">
        <f t="array" ref="H234">_xll.RssMarket(B234, "現在値")</f>
        <v/>
      </c>
      <c r="I234" s="480" t="str" cm="1">
        <f t="array" ref="I234">_xll.RssMarket(B234, "出来高加重平均")</f>
        <v/>
      </c>
      <c r="J234" s="702" t="str" cm="1">
        <f t="array" ref="J234">_xll.RssMarket($B234, "前日比")</f>
        <v/>
      </c>
      <c r="K234" s="703" t="str">
        <f>IF(OR(F234="",G234="",H234=""),"",IF(C234="売",(F234-H234)*G234,(H234-F234)*G234))</f>
        <v/>
      </c>
      <c r="L234" s="708" t="str">
        <f>IF(OR(F234="",H234=""),"",IF(C234="売",(F234-H234)/F234,(H234-F234)/F234))</f>
        <v/>
      </c>
      <c r="M234" s="598" t="str">
        <f>IF($F234="","",$F234*IF($C234="売",1-V811設定!$B$4,1+V811設定!$B$4)-MOD($F234*IF($C234="売",1-V811設定!$B$4,1+V811設定!$B$4),IF($F234&lt;=3000,1,IF($F234&lt;=5000,5,IF($F234&lt;=30000,10,IF($F234&lt;=50000,50,IF($F234&lt;=300000,100,500))))))+IF(AND($C234="売",MOD($F234*IF($C234="売",1-V811設定!$B$4,1+V811設定!$B$4),IF($F234&lt;=3000,1,IF($F234&lt;=5000,5,IF($F234&lt;=30000,10,IF($F234&lt;=50000,50,IF($F234&lt;=300000,100,500))))))&gt;0),IF($F234&lt;=3000,1,IF($F234&lt;=5000,5,IF($F234&lt;=30000,10,IF($F234&lt;=50000,50,IF($F234&lt;=300000,100,500))))),0))</f>
      </c>
      <c r="N234" s="598" t="str">
        <f>IF($F234="","",$F234*IF($C234="売",1+V811設定!$B$3,1-V811設定!$B$3)-MOD($F234*IF($C234="売",1+V811設定!$B$3,1-V811設定!$B$3),IF($F234&lt;=3000,1,IF($F234&lt;=5000,5,IF($F234&lt;=30000,10,IF($F234&lt;=50000,50,IF($F234&lt;=300000,100,500))))))+IF(AND($C234="売",MOD($F234*IF($C234="売",1+V811設定!$B$3,1-V811設定!$B$3),IF($F234&lt;=3000,1,IF($F234&lt;=5000,5,IF($F234&lt;=30000,10,IF($F234&lt;=50000,50,IF($F234&lt;=300000,100,500))))))&gt;0),IF($F234&lt;=3000,1,IF($F234&lt;=5000,5,IF($F234&lt;=30000,10,IF($F234&lt;=50000,50,IF($F234&lt;=300000,100,500))))),0))</f>
      </c>
      <c r="O234" s="478" t="str">
        <f>IF(OR($B234="",$F234="",$H234=""),"",IF($S234="✅売却済","―決済済―",IF($C234="売",IF($H234&lt;=$M234,"🟢利確",IF(AND($R234&lt;&gt;"",$H234&gt;=$R234),"🟠TRAIL",IF($H234&gt;=$N234,"🔴損切",IF($W234&gt;=V811設定!$B$6,"⏱時間決済",IF($H234&gt;=$F234*(1+V811設定!$B$3*0.7),"⚠️損切接近","保持継続"))))),IF($H234&gt;=$M234,"🟢利確",IF(AND($R234&lt;&gt;"",$H234&lt;=$R234),"🟠TRAIL",IF($H234&lt;=$N234,"🔴損切",IF($W234&gt;=V811設定!$B$6,"⏱時間決済",IF($H234&lt;=$F234*(1-V811設定!$B$3*0.7),"⚠️損切接近","保持継続"))))))))</f>
      </c>
      <c r="P234" s="445"/>
      <c r="Q234" s="445"/>
      <c r="R234" s="480" t="str">
        <f>IF(OR($F234="",$H234="",$N234=""),"",IF($S234="✅売却済","",IF($C234="売",IF($H234&gt;$F234*(1-V811設定!$B$3),$N234,MIN($N234,IF($Q234="",$N234,$Q234*1.03))),IF($H234&lt;$F234*(1+V811設定!$B$3),$N234,MAX($N234,IF($P234="",$N234,$P234*0.97))))))</f>
      </c>
      <c r="S234" s="480" t="str">
        <f>IF(B234="","",IF(T234&lt;&gt;"","✅売却済",IF(OR(H234="",L234=""),"📌保有中",IF(L234&gt;=0.06,"🟢利確推奨",IF(L234&gt;=0.05,"🟡利確直近",IF(L234&gt;=0.045,"🔵トレーリング検討",IF(L234&gt;-0.03,"📌保有中",IF(L234&gt;-0.04,"⚠️損切注意","🔴損切り"))))))))</f>
        <v/>
      </c>
      <c r="T234" s="596"/>
      <c r="U234" s="598"/>
      <c r="V234" s="703" t="str">
        <f>IF(OR(F234="",G234="",U234=""),"",IF(C234="売",(F234-U234)*G234,(U234-F234)*G234))</f>
        <v/>
      </c>
      <c r="W234" s="480" t="str">
        <f>IF(OR($E234="",$B234=""),"",IF($T234&lt;&gt;"",$T234-$E234,TODAY()-$E234)+1)</f>
        <v/>
      </c>
      <c r="X234" s="480" t="str">
        <f>IF(OR($AH234="",$AH234="保有中"),"",$AH234)</f>
        <v/>
      </c>
      <c r="Y234" s="488"/>
      <c r="Z234" s="710"/>
      <c r="AD234" s="608"/>
      <c r="AE234" s="600" t="str">
        <f>IF($E234="","",WORKDAY($E234,12))</f>
        <v/>
      </c>
      <c r="AF234" s="600" t="str" cm="1">
        <f t="array" aca="1" ref="AF234" ca="1">IF(OR($B234="",$M234=""),"",IFERROR(IF($C234="売",_xlfn.MINIFS(安値!$E$3:$IT$3,安値!$E$3:$IT$3,"&gt;"&amp;$E234,安値!$E$3:$IT$3,"&lt;="&amp;$AE234,OFFSET(安値!$E$6:$IT$6,MATCH(TEXT($B234,"0"),TEXT(銘柄管理!$B$6:$B$305,"0"),0)-1,0),"&lt;="&amp;$M234),_xlfn.MINIFS(高値!$E$3:$IT$3,高値!$E$3:$IT$3,"&gt;"&amp;$E234,高値!$E$3:$IT$3,"&lt;="&amp;$AE234,OFFSET(高値!$E$6:$IT$6,MATCH(TEXT($B234,"0"),TEXT(銘柄管理!$B$6:$B$305,"0"),0)-1,0),"&gt;="&amp;$M234)),""))</f>
        <v/>
      </c>
      <c r="AG234" s="600" t="str" cm="1">
        <f t="array" aca="1" ref="AG234" ca="1">IF(OR($B234="",$N234=""),"",IFERROR(IF($C234="売",_xlfn.MINIFS(高値!$E$3:$IT$3,高値!$E$3:$IT$3,"&gt;"&amp;$E234,高値!$E$3:$IT$3,"&lt;="&amp;$AE234,OFFSET(高値!$E$6:$IT$6,MATCH(TEXT($B234,"0"),TEXT(銘柄管理!$B$6:$B$305,"0"),0)-1,0),"&gt;="&amp;$N234),_xlfn.MINIFS(安値!$E$3:$IT$3,安値!$E$3:$IT$3,"&gt;"&amp;$E234,安値!$E$3:$IT$3,"&lt;="&amp;$AE234,OFFSET(安値!$E$6:$IT$6,MATCH(TEXT($B234,"0"),TEXT(銘柄管理!$B$6:$B$305,"0"),0)-1,0),"&lt;="&amp;$N234)),""))</f>
        <v/>
      </c>
      <c r="AH234" s="600" t="str">
        <f>IF(OR($B234="",$M234=""),"",IF(AND(N($AF234)=0,N($AG234)=0),IF(AND(ISNUMBER($H234),$H234&gt;0,IF($C234="売",$H234&gt;=$N234,$H234&lt;=$N234)),"損切確定",IF(AND(ISNUMBER($H234),$H234&gt;0,IF($C234="売",$H234&lt;=$M234,$H234&gt;=$M234)),"利益確定",IF($AE234&lt;=TODAY(),"日数制限","保有中"))),IF(N($AG234)=0,"利益確定",IF(N($AF234)=0,"損切確定",IF($AG234&lt;=$AF234,"損切確定","利益確定")))))</f>
        <v/>
      </c>
      <c r="AI234" s="600" t="str" cm="1">
        <f t="array" ref="AI234">IFERROR(INDEX(始値!$E$6:$IT$305,MATCH(TEXT($B234,"0"),TEXT(銘柄管理!$B$6:$B$305,"0"),0),MATCH($AE234,始値!$E$3:$IT$3,0)),"")</f>
        <v/>
      </c>
      <c r="AJ234" s="608" t="str">
        <f>IF(OR($V234="",$F234="",$G234=""),"",$V234/($F234*$G234))</f>
        <v/>
      </c>
      <c r="AK234" s="600" t="str">
        <f>IF($V234="","",IF($V234&gt;0,"○勝",IF($V234&lt;0,"●負","△引分")))</f>
        <v/>
      </c>
    </row>
    <row r="235" spans="1:37" ht="17.25" customHeight="1">
      <c r="A235" s="621" t="str">
        <f>IF(B235="","",HYPERLINK("https://kabutan.jp/stock/?code="&amp;B235,"株探"))</f>
        <v/>
      </c>
      <c r="B235" s="480"/>
      <c r="C235" s="480"/>
      <c r="D235" s="480" t="str" cm="1">
        <f t="array" ref="D235">_xll.RssMarket(B235, "銘柄名称")</f>
        <v/>
      </c>
      <c r="E235" s="717"/>
      <c r="F235" s="698" t="str" cm="1">
        <f t="array" aca="1" ref="F235" ca="1">IFERROR(_xlfn.LET(_xlpm.r,MATCH(TEXT($B235,"0"),TEXT(銘柄管理!$B$6:$B$305,"0"),0),_xlpm.t,MOD(NOW(),1),_xlpm.c,IF($E235=TODAY(),IF(_xlpm.t&gt;=TIME(15,30,0),NA(),1),IF(MATCH($E235,始値!$E$3:$IT$3,0)=1,1,MATCH($E235,始値!$E$3:$IT$3,0)+1)),_xlpm.v,INDEX(始値!$C$6:$IT$305,_xlpm.r,_xlpm.c),IF(N(_xlpm.v)=0,"",_xlpm.v)),"")</f>
        <v/>
      </c>
      <c r="G235" s="480"/>
      <c r="H235" s="480" t="str" cm="1">
        <f t="array" ref="H235">_xll.RssMarket(B235, "現在値")</f>
        <v/>
      </c>
      <c r="I235" s="480" t="str" cm="1">
        <f t="array" ref="I235">_xll.RssMarket(B235, "出来高加重平均")</f>
        <v/>
      </c>
      <c r="J235" s="702" t="str" cm="1">
        <f t="array" ref="J235">_xll.RssMarket($B235, "前日比")</f>
        <v/>
      </c>
      <c r="K235" s="703" t="str">
        <f>IF(OR(F235="",G235="",H235=""),"",IF(C235="売",(F235-H235)*G235,(H235-F235)*G235))</f>
        <v/>
      </c>
      <c r="L235" s="708" t="str">
        <f>IF(OR(F235="",H235=""),"",IF(C235="売",(F235-H235)/F235,(H235-F235)/F235))</f>
        <v/>
      </c>
      <c r="M235" s="598" t="str">
        <f>IF($F235="","",$F235*IF($C235="売",1-V811設定!$B$4,1+V811設定!$B$4)-MOD($F235*IF($C235="売",1-V811設定!$B$4,1+V811設定!$B$4),IF($F235&lt;=3000,1,IF($F235&lt;=5000,5,IF($F235&lt;=30000,10,IF($F235&lt;=50000,50,IF($F235&lt;=300000,100,500))))))+IF(AND($C235="売",MOD($F235*IF($C235="売",1-V811設定!$B$4,1+V811設定!$B$4),IF($F235&lt;=3000,1,IF($F235&lt;=5000,5,IF($F235&lt;=30000,10,IF($F235&lt;=50000,50,IF($F235&lt;=300000,100,500))))))&gt;0),IF($F235&lt;=3000,1,IF($F235&lt;=5000,5,IF($F235&lt;=30000,10,IF($F235&lt;=50000,50,IF($F235&lt;=300000,100,500))))),0))</f>
      </c>
      <c r="N235" s="598" t="str">
        <f>IF($F235="","",$F235*IF($C235="売",1+V811設定!$B$3,1-V811設定!$B$3)-MOD($F235*IF($C235="売",1+V811設定!$B$3,1-V811設定!$B$3),IF($F235&lt;=3000,1,IF($F235&lt;=5000,5,IF($F235&lt;=30000,10,IF($F235&lt;=50000,50,IF($F235&lt;=300000,100,500))))))+IF(AND($C235="売",MOD($F235*IF($C235="売",1+V811設定!$B$3,1-V811設定!$B$3),IF($F235&lt;=3000,1,IF($F235&lt;=5000,5,IF($F235&lt;=30000,10,IF($F235&lt;=50000,50,IF($F235&lt;=300000,100,500))))))&gt;0),IF($F235&lt;=3000,1,IF($F235&lt;=5000,5,IF($F235&lt;=30000,10,IF($F235&lt;=50000,50,IF($F235&lt;=300000,100,500))))),0))</f>
      </c>
      <c r="O235" s="478" t="str">
        <f>IF(OR($B235="",$F235="",$H235=""),"",IF($S235="✅売却済","―決済済―",IF($C235="売",IF($H235&lt;=$M235,"🟢利確",IF(AND($R235&lt;&gt;"",$H235&gt;=$R235),"🟠TRAIL",IF($H235&gt;=$N235,"🔴損切",IF($W235&gt;=V811設定!$B$6,"⏱時間決済",IF($H235&gt;=$F235*(1+V811設定!$B$3*0.7),"⚠️損切接近","保持継続"))))),IF($H235&gt;=$M235,"🟢利確",IF(AND($R235&lt;&gt;"",$H235&lt;=$R235),"🟠TRAIL",IF($H235&lt;=$N235,"🔴損切",IF($W235&gt;=V811設定!$B$6,"⏱時間決済",IF($H235&lt;=$F235*(1-V811設定!$B$3*0.7),"⚠️損切接近","保持継続"))))))))</f>
      </c>
      <c r="P235" s="445"/>
      <c r="Q235" s="445"/>
      <c r="R235" s="480" t="str">
        <f>IF(OR($F235="",$H235="",$N235=""),"",IF($S235="✅売却済","",IF($C235="売",IF($H235&gt;$F235*(1-V811設定!$B$3),$N235,MIN($N235,IF($Q235="",$N235,$Q235*1.03))),IF($H235&lt;$F235*(1+V811設定!$B$3),$N235,MAX($N235,IF($P235="",$N235,$P235*0.97))))))</f>
      </c>
      <c r="S235" s="480" t="str">
        <f>IF(B235="","",IF(T235&lt;&gt;"","✅売却済",IF(OR(H235="",L235=""),"📌保有中",IF(L235&gt;=0.06,"🟢利確推奨",IF(L235&gt;=0.05,"🟡利確直近",IF(L235&gt;=0.045,"🔵トレーリング検討",IF(L235&gt;-0.03,"📌保有中",IF(L235&gt;-0.04,"⚠️損切注意","🔴損切り"))))))))</f>
        <v/>
      </c>
      <c r="T235" s="596"/>
      <c r="U235" s="598"/>
      <c r="V235" s="703" t="str">
        <f>IF(OR(F235="",G235="",U235=""),"",IF(C235="売",(F235-U235)*G235,(U235-F235)*G235))</f>
        <v/>
      </c>
      <c r="W235" s="480" t="str">
        <f>IF(OR($E235="",$B235=""),"",IF($T235&lt;&gt;"",$T235-$E235,TODAY()-$E235)+1)</f>
        <v/>
      </c>
      <c r="X235" s="480" t="str">
        <f>IF(OR($AH235="",$AH235="保有中"),"",$AH235)</f>
        <v/>
      </c>
      <c r="Y235" s="488"/>
      <c r="Z235" s="710"/>
      <c r="AD235" s="608"/>
      <c r="AE235" s="600" t="str">
        <f>IF($E235="","",WORKDAY($E235,12))</f>
        <v/>
      </c>
      <c r="AF235" s="600" t="str" cm="1">
        <f t="array" aca="1" ref="AF235" ca="1">IF(OR($B235="",$M235=""),"",IFERROR(IF($C235="売",_xlfn.MINIFS(安値!$E$3:$IT$3,安値!$E$3:$IT$3,"&gt;"&amp;$E235,安値!$E$3:$IT$3,"&lt;="&amp;$AE235,OFFSET(安値!$E$6:$IT$6,MATCH(TEXT($B235,"0"),TEXT(銘柄管理!$B$6:$B$305,"0"),0)-1,0),"&lt;="&amp;$M235),_xlfn.MINIFS(高値!$E$3:$IT$3,高値!$E$3:$IT$3,"&gt;"&amp;$E235,高値!$E$3:$IT$3,"&lt;="&amp;$AE235,OFFSET(高値!$E$6:$IT$6,MATCH(TEXT($B235,"0"),TEXT(銘柄管理!$B$6:$B$305,"0"),0)-1,0),"&gt;="&amp;$M235)),""))</f>
        <v/>
      </c>
      <c r="AG235" s="600" t="str" cm="1">
        <f t="array" aca="1" ref="AG235" ca="1">IF(OR($B235="",$N235=""),"",IFERROR(IF($C235="売",_xlfn.MINIFS(高値!$E$3:$IT$3,高値!$E$3:$IT$3,"&gt;"&amp;$E235,高値!$E$3:$IT$3,"&lt;="&amp;$AE235,OFFSET(高値!$E$6:$IT$6,MATCH(TEXT($B235,"0"),TEXT(銘柄管理!$B$6:$B$305,"0"),0)-1,0),"&gt;="&amp;$N235),_xlfn.MINIFS(安値!$E$3:$IT$3,安値!$E$3:$IT$3,"&gt;"&amp;$E235,安値!$E$3:$IT$3,"&lt;="&amp;$AE235,OFFSET(安値!$E$6:$IT$6,MATCH(TEXT($B235,"0"),TEXT(銘柄管理!$B$6:$B$305,"0"),0)-1,0),"&lt;="&amp;$N235)),""))</f>
        <v/>
      </c>
      <c r="AH235" s="600" t="str">
        <f>IF(OR($B235="",$M235=""),"",IF(AND(N($AF235)=0,N($AG235)=0),IF(AND(ISNUMBER($H235),$H235&gt;0,IF($C235="売",$H235&gt;=$N235,$H235&lt;=$N235)),"損切確定",IF(AND(ISNUMBER($H235),$H235&gt;0,IF($C235="売",$H235&lt;=$M235,$H235&gt;=$M235)),"利益確定",IF($AE235&lt;=TODAY(),"日数制限","保有中"))),IF(N($AG235)=0,"利益確定",IF(N($AF235)=0,"損切確定",IF($AG235&lt;=$AF235,"損切確定","利益確定")))))</f>
        <v/>
      </c>
      <c r="AI235" s="600" t="str" cm="1">
        <f t="array" ref="AI235">IFERROR(INDEX(始値!$E$6:$IT$305,MATCH(TEXT($B235,"0"),TEXT(銘柄管理!$B$6:$B$305,"0"),0),MATCH($AE235,始値!$E$3:$IT$3,0)),"")</f>
        <v/>
      </c>
      <c r="AJ235" s="608" t="str">
        <f>IF(OR($V235="",$F235="",$G235=""),"",$V235/($F235*$G235))</f>
        <v/>
      </c>
      <c r="AK235" s="600" t="str">
        <f>IF($V235="","",IF($V235&gt;0,"○勝",IF($V235&lt;0,"●負","△引分")))</f>
        <v/>
      </c>
    </row>
    <row r="236" spans="1:37" ht="17.25" customHeight="1">
      <c r="A236" s="621" t="str">
        <f>IF(B236="","",HYPERLINK("https://kabutan.jp/stock/?code="&amp;B236,"株探"))</f>
        <v/>
      </c>
      <c r="B236" s="480"/>
      <c r="C236" s="480"/>
      <c r="D236" s="480" t="str" cm="1">
        <f t="array" ref="D236">_xll.RssMarket(B236, "銘柄名称")</f>
        <v/>
      </c>
      <c r="E236" s="717"/>
      <c r="F236" s="698" t="str" cm="1">
        <f t="array" aca="1" ref="F236" ca="1">IFERROR(_xlfn.LET(_xlpm.r,MATCH(TEXT($B236,"0"),TEXT(銘柄管理!$B$6:$B$305,"0"),0),_xlpm.t,MOD(NOW(),1),_xlpm.c,IF($E236=TODAY(),IF(_xlpm.t&gt;=TIME(15,30,0),NA(),1),IF(MATCH($E236,始値!$E$3:$IT$3,0)=1,1,MATCH($E236,始値!$E$3:$IT$3,0)+1)),_xlpm.v,INDEX(始値!$C$6:$IT$305,_xlpm.r,_xlpm.c),IF(N(_xlpm.v)=0,"",_xlpm.v)),"")</f>
        <v/>
      </c>
      <c r="G236" s="480"/>
      <c r="H236" s="480" t="str" cm="1">
        <f t="array" ref="H236">_xll.RssMarket(B236, "現在値")</f>
        <v/>
      </c>
      <c r="I236" s="480" t="str" cm="1">
        <f t="array" ref="I236">_xll.RssMarket(B236, "出来高加重平均")</f>
        <v/>
      </c>
      <c r="J236" s="702" t="str" cm="1">
        <f t="array" ref="J236">_xll.RssMarket($B236, "前日比")</f>
        <v/>
      </c>
      <c r="K236" s="703" t="str">
        <f>IF(OR(F236="",G236="",H236=""),"",IF(C236="売",(F236-H236)*G236,(H236-F236)*G236))</f>
        <v/>
      </c>
      <c r="L236" s="708" t="str">
        <f>IF(OR(F236="",H236=""),"",IF(C236="売",(F236-H236)/F236,(H236-F236)/F236))</f>
        <v/>
      </c>
      <c r="M236" s="598" t="str">
        <f>IF($F236="","",$F236*IF($C236="売",1-V811設定!$B$4,1+V811設定!$B$4)-MOD($F236*IF($C236="売",1-V811設定!$B$4,1+V811設定!$B$4),IF($F236&lt;=3000,1,IF($F236&lt;=5000,5,IF($F236&lt;=30000,10,IF($F236&lt;=50000,50,IF($F236&lt;=300000,100,500))))))+IF(AND($C236="売",MOD($F236*IF($C236="売",1-V811設定!$B$4,1+V811設定!$B$4),IF($F236&lt;=3000,1,IF($F236&lt;=5000,5,IF($F236&lt;=30000,10,IF($F236&lt;=50000,50,IF($F236&lt;=300000,100,500))))))&gt;0),IF($F236&lt;=3000,1,IF($F236&lt;=5000,5,IF($F236&lt;=30000,10,IF($F236&lt;=50000,50,IF($F236&lt;=300000,100,500))))),0))</f>
      </c>
      <c r="N236" s="598" t="str">
        <f>IF($F236="","",$F236*IF($C236="売",1+V811設定!$B$3,1-V811設定!$B$3)-MOD($F236*IF($C236="売",1+V811設定!$B$3,1-V811設定!$B$3),IF($F236&lt;=3000,1,IF($F236&lt;=5000,5,IF($F236&lt;=30000,10,IF($F236&lt;=50000,50,IF($F236&lt;=300000,100,500))))))+IF(AND($C236="売",MOD($F236*IF($C236="売",1+V811設定!$B$3,1-V811設定!$B$3),IF($F236&lt;=3000,1,IF($F236&lt;=5000,5,IF($F236&lt;=30000,10,IF($F236&lt;=50000,50,IF($F236&lt;=300000,100,500))))))&gt;0),IF($F236&lt;=3000,1,IF($F236&lt;=5000,5,IF($F236&lt;=30000,10,IF($F236&lt;=50000,50,IF($F236&lt;=300000,100,500))))),0))</f>
      </c>
      <c r="O236" s="478" t="str">
        <f>IF(OR($B236="",$F236="",$H236=""),"",IF($S236="✅売却済","―決済済―",IF($C236="売",IF($H236&lt;=$M236,"🟢利確",IF(AND($R236&lt;&gt;"",$H236&gt;=$R236),"🟠TRAIL",IF($H236&gt;=$N236,"🔴損切",IF($W236&gt;=V811設定!$B$6,"⏱時間決済",IF($H236&gt;=$F236*(1+V811設定!$B$3*0.7),"⚠️損切接近","保持継続"))))),IF($H236&gt;=$M236,"🟢利確",IF(AND($R236&lt;&gt;"",$H236&lt;=$R236),"🟠TRAIL",IF($H236&lt;=$N236,"🔴損切",IF($W236&gt;=V811設定!$B$6,"⏱時間決済",IF($H236&lt;=$F236*(1-V811設定!$B$3*0.7),"⚠️損切接近","保持継続"))))))))</f>
      </c>
      <c r="P236" s="445"/>
      <c r="Q236" s="445"/>
      <c r="R236" s="480" t="str">
        <f>IF(OR($F236="",$H236="",$N236=""),"",IF($S236="✅売却済","",IF($C236="売",IF($H236&gt;$F236*(1-V811設定!$B$3),$N236,MIN($N236,IF($Q236="",$N236,$Q236*1.03))),IF($H236&lt;$F236*(1+V811設定!$B$3),$N236,MAX($N236,IF($P236="",$N236,$P236*0.97))))))</f>
      </c>
      <c r="S236" s="480" t="str">
        <f>IF(B236="","",IF(T236&lt;&gt;"","✅売却済",IF(OR(H236="",L236=""),"📌保有中",IF(L236&gt;=0.06,"🟢利確推奨",IF(L236&gt;=0.05,"🟡利確直近",IF(L236&gt;=0.045,"🔵トレーリング検討",IF(L236&gt;-0.03,"📌保有中",IF(L236&gt;-0.04,"⚠️損切注意","🔴損切り"))))))))</f>
        <v/>
      </c>
      <c r="T236" s="596"/>
      <c r="U236" s="598"/>
      <c r="V236" s="703" t="str">
        <f>IF(OR(F236="",G236="",U236=""),"",IF(C236="売",(F236-U236)*G236,(U236-F236)*G236))</f>
        <v/>
      </c>
      <c r="W236" s="480" t="str">
        <f>IF(OR($E236="",$B236=""),"",IF($T236&lt;&gt;"",$T236-$E236,TODAY()-$E236)+1)</f>
        <v/>
      </c>
      <c r="X236" s="480" t="str">
        <f>IF(OR($AH236="",$AH236="保有中"),"",$AH236)</f>
        <v/>
      </c>
      <c r="Y236" s="488"/>
      <c r="Z236" s="710"/>
      <c r="AD236" s="608"/>
      <c r="AE236" s="600" t="str">
        <f>IF($E236="","",WORKDAY($E236,12))</f>
        <v/>
      </c>
      <c r="AF236" s="600" t="str" cm="1">
        <f t="array" aca="1" ref="AF236" ca="1">IF(OR($B236="",$M236=""),"",IFERROR(IF($C236="売",_xlfn.MINIFS(安値!$E$3:$IT$3,安値!$E$3:$IT$3,"&gt;"&amp;$E236,安値!$E$3:$IT$3,"&lt;="&amp;$AE236,OFFSET(安値!$E$6:$IT$6,MATCH(TEXT($B236,"0"),TEXT(銘柄管理!$B$6:$B$305,"0"),0)-1,0),"&lt;="&amp;$M236),_xlfn.MINIFS(高値!$E$3:$IT$3,高値!$E$3:$IT$3,"&gt;"&amp;$E236,高値!$E$3:$IT$3,"&lt;="&amp;$AE236,OFFSET(高値!$E$6:$IT$6,MATCH(TEXT($B236,"0"),TEXT(銘柄管理!$B$6:$B$305,"0"),0)-1,0),"&gt;="&amp;$M236)),""))</f>
        <v/>
      </c>
      <c r="AG236" s="600" t="str" cm="1">
        <f t="array" aca="1" ref="AG236" ca="1">IF(OR($B236="",$N236=""),"",IFERROR(IF($C236="売",_xlfn.MINIFS(高値!$E$3:$IT$3,高値!$E$3:$IT$3,"&gt;"&amp;$E236,高値!$E$3:$IT$3,"&lt;="&amp;$AE236,OFFSET(高値!$E$6:$IT$6,MATCH(TEXT($B236,"0"),TEXT(銘柄管理!$B$6:$B$305,"0"),0)-1,0),"&gt;="&amp;$N236),_xlfn.MINIFS(安値!$E$3:$IT$3,安値!$E$3:$IT$3,"&gt;"&amp;$E236,安値!$E$3:$IT$3,"&lt;="&amp;$AE236,OFFSET(安値!$E$6:$IT$6,MATCH(TEXT($B236,"0"),TEXT(銘柄管理!$B$6:$B$305,"0"),0)-1,0),"&lt;="&amp;$N236)),""))</f>
        <v/>
      </c>
      <c r="AH236" s="600" t="str">
        <f>IF(OR($B236="",$M236=""),"",IF(AND(N($AF236)=0,N($AG236)=0),IF(AND(ISNUMBER($H236),$H236&gt;0,IF($C236="売",$H236&gt;=$N236,$H236&lt;=$N236)),"損切確定",IF(AND(ISNUMBER($H236),$H236&gt;0,IF($C236="売",$H236&lt;=$M236,$H236&gt;=$M236)),"利益確定",IF($AE236&lt;=TODAY(),"日数制限","保有中"))),IF(N($AG236)=0,"利益確定",IF(N($AF236)=0,"損切確定",IF($AG236&lt;=$AF236,"損切確定","利益確定")))))</f>
        <v/>
      </c>
      <c r="AI236" s="600" t="str" cm="1">
        <f t="array" ref="AI236">IFERROR(INDEX(始値!$E$6:$IT$305,MATCH(TEXT($B236,"0"),TEXT(銘柄管理!$B$6:$B$305,"0"),0),MATCH($AE236,始値!$E$3:$IT$3,0)),"")</f>
        <v/>
      </c>
      <c r="AJ236" s="608" t="str">
        <f>IF(OR($V236="",$F236="",$G236=""),"",$V236/($F236*$G236))</f>
        <v/>
      </c>
      <c r="AK236" s="600" t="str">
        <f>IF($V236="","",IF($V236&gt;0,"○勝",IF($V236&lt;0,"●負","△引分")))</f>
        <v/>
      </c>
    </row>
    <row r="237" spans="1:37" ht="17.25" customHeight="1">
      <c r="A237" s="621" t="str">
        <f>IF(B237="","",HYPERLINK("https://kabutan.jp/stock/?code="&amp;B237,"株探"))</f>
        <v/>
      </c>
      <c r="B237" s="480"/>
      <c r="C237" s="480"/>
      <c r="D237" s="480" t="str" cm="1">
        <f t="array" ref="D237">_xll.RssMarket(B237, "銘柄名称")</f>
        <v/>
      </c>
      <c r="E237" s="717"/>
      <c r="F237" s="698" t="str" cm="1">
        <f t="array" aca="1" ref="F237" ca="1">IFERROR(_xlfn.LET(_xlpm.r,MATCH(TEXT($B237,"0"),TEXT(銘柄管理!$B$6:$B$305,"0"),0),_xlpm.t,MOD(NOW(),1),_xlpm.c,IF($E237=TODAY(),IF(_xlpm.t&gt;=TIME(15,30,0),NA(),1),IF(MATCH($E237,始値!$E$3:$IT$3,0)=1,1,MATCH($E237,始値!$E$3:$IT$3,0)+1)),_xlpm.v,INDEX(始値!$C$6:$IT$305,_xlpm.r,_xlpm.c),IF(N(_xlpm.v)=0,"",_xlpm.v)),"")</f>
        <v/>
      </c>
      <c r="G237" s="480"/>
      <c r="H237" s="480" t="str" cm="1">
        <f t="array" ref="H237">_xll.RssMarket(B237, "現在値")</f>
        <v/>
      </c>
      <c r="I237" s="480" t="str" cm="1">
        <f t="array" ref="I237">_xll.RssMarket(B237, "出来高加重平均")</f>
        <v/>
      </c>
      <c r="J237" s="702" t="str" cm="1">
        <f t="array" ref="J237">_xll.RssMarket($B237, "前日比")</f>
        <v/>
      </c>
      <c r="K237" s="703" t="str">
        <f>IF(OR(F237="",G237="",H237=""),"",IF(C237="売",(F237-H237)*G237,(H237-F237)*G237))</f>
        <v/>
      </c>
      <c r="L237" s="708" t="str">
        <f>IF(OR(F237="",H237=""),"",IF(C237="売",(F237-H237)/F237,(H237-F237)/F237))</f>
        <v/>
      </c>
      <c r="M237" s="598" t="str">
        <f>IF($F237="","",$F237*IF($C237="売",1-V811設定!$B$4,1+V811設定!$B$4)-MOD($F237*IF($C237="売",1-V811設定!$B$4,1+V811設定!$B$4),IF($F237&lt;=3000,1,IF($F237&lt;=5000,5,IF($F237&lt;=30000,10,IF($F237&lt;=50000,50,IF($F237&lt;=300000,100,500))))))+IF(AND($C237="売",MOD($F237*IF($C237="売",1-V811設定!$B$4,1+V811設定!$B$4),IF($F237&lt;=3000,1,IF($F237&lt;=5000,5,IF($F237&lt;=30000,10,IF($F237&lt;=50000,50,IF($F237&lt;=300000,100,500))))))&gt;0),IF($F237&lt;=3000,1,IF($F237&lt;=5000,5,IF($F237&lt;=30000,10,IF($F237&lt;=50000,50,IF($F237&lt;=300000,100,500))))),0))</f>
      </c>
      <c r="N237" s="598" t="str">
        <f>IF($F237="","",$F237*IF($C237="売",1+V811設定!$B$3,1-V811設定!$B$3)-MOD($F237*IF($C237="売",1+V811設定!$B$3,1-V811設定!$B$3),IF($F237&lt;=3000,1,IF($F237&lt;=5000,5,IF($F237&lt;=30000,10,IF($F237&lt;=50000,50,IF($F237&lt;=300000,100,500))))))+IF(AND($C237="売",MOD($F237*IF($C237="売",1+V811設定!$B$3,1-V811設定!$B$3),IF($F237&lt;=3000,1,IF($F237&lt;=5000,5,IF($F237&lt;=30000,10,IF($F237&lt;=50000,50,IF($F237&lt;=300000,100,500))))))&gt;0),IF($F237&lt;=3000,1,IF($F237&lt;=5000,5,IF($F237&lt;=30000,10,IF($F237&lt;=50000,50,IF($F237&lt;=300000,100,500))))),0))</f>
      </c>
      <c r="O237" s="478" t="str">
        <f>IF(OR($B237="",$F237="",$H237=""),"",IF($S237="✅売却済","―決済済―",IF($C237="売",IF($H237&lt;=$M237,"🟢利確",IF(AND($R237&lt;&gt;"",$H237&gt;=$R237),"🟠TRAIL",IF($H237&gt;=$N237,"🔴損切",IF($W237&gt;=V811設定!$B$6,"⏱時間決済",IF($H237&gt;=$F237*(1+V811設定!$B$3*0.7),"⚠️損切接近","保持継続"))))),IF($H237&gt;=$M237,"🟢利確",IF(AND($R237&lt;&gt;"",$H237&lt;=$R237),"🟠TRAIL",IF($H237&lt;=$N237,"🔴損切",IF($W237&gt;=V811設定!$B$6,"⏱時間決済",IF($H237&lt;=$F237*(1-V811設定!$B$3*0.7),"⚠️損切接近","保持継続"))))))))</f>
      </c>
      <c r="P237" s="445"/>
      <c r="Q237" s="445"/>
      <c r="R237" s="480" t="str">
        <f>IF(OR($F237="",$H237="",$N237=""),"",IF($S237="✅売却済","",IF($C237="売",IF($H237&gt;$F237*(1-V811設定!$B$3),$N237,MIN($N237,IF($Q237="",$N237,$Q237*1.03))),IF($H237&lt;$F237*(1+V811設定!$B$3),$N237,MAX($N237,IF($P237="",$N237,$P237*0.97))))))</f>
      </c>
      <c r="S237" s="480" t="str">
        <f>IF(B237="","",IF(T237&lt;&gt;"","✅売却済",IF(OR(H237="",L237=""),"📌保有中",IF(L237&gt;=0.06,"🟢利確推奨",IF(L237&gt;=0.05,"🟡利確直近",IF(L237&gt;=0.045,"🔵トレーリング検討",IF(L237&gt;-0.03,"📌保有中",IF(L237&gt;-0.04,"⚠️損切注意","🔴損切り"))))))))</f>
        <v/>
      </c>
      <c r="T237" s="596"/>
      <c r="U237" s="598"/>
      <c r="V237" s="703" t="str">
        <f>IF(OR(F237="",G237="",U237=""),"",IF(C237="売",(F237-U237)*G237,(U237-F237)*G237))</f>
        <v/>
      </c>
      <c r="W237" s="480" t="str">
        <f>IF(OR($E237="",$B237=""),"",IF($T237&lt;&gt;"",$T237-$E237,TODAY()-$E237)+1)</f>
        <v/>
      </c>
      <c r="X237" s="480" t="str">
        <f>IF(OR($AH237="",$AH237="保有中"),"",$AH237)</f>
        <v/>
      </c>
      <c r="Y237" s="488"/>
      <c r="Z237" s="710"/>
      <c r="AD237" s="608"/>
      <c r="AE237" s="600" t="str">
        <f>IF($E237="","",WORKDAY($E237,12))</f>
        <v/>
      </c>
      <c r="AF237" s="600" t="str" cm="1">
        <f t="array" aca="1" ref="AF237" ca="1">IF(OR($B237="",$M237=""),"",IFERROR(IF($C237="売",_xlfn.MINIFS(安値!$E$3:$IT$3,安値!$E$3:$IT$3,"&gt;"&amp;$E237,安値!$E$3:$IT$3,"&lt;="&amp;$AE237,OFFSET(安値!$E$6:$IT$6,MATCH(TEXT($B237,"0"),TEXT(銘柄管理!$B$6:$B$305,"0"),0)-1,0),"&lt;="&amp;$M237),_xlfn.MINIFS(高値!$E$3:$IT$3,高値!$E$3:$IT$3,"&gt;"&amp;$E237,高値!$E$3:$IT$3,"&lt;="&amp;$AE237,OFFSET(高値!$E$6:$IT$6,MATCH(TEXT($B237,"0"),TEXT(銘柄管理!$B$6:$B$305,"0"),0)-1,0),"&gt;="&amp;$M237)),""))</f>
        <v/>
      </c>
      <c r="AG237" s="600" t="str" cm="1">
        <f t="array" aca="1" ref="AG237" ca="1">IF(OR($B237="",$N237=""),"",IFERROR(IF($C237="売",_xlfn.MINIFS(高値!$E$3:$IT$3,高値!$E$3:$IT$3,"&gt;"&amp;$E237,高値!$E$3:$IT$3,"&lt;="&amp;$AE237,OFFSET(高値!$E$6:$IT$6,MATCH(TEXT($B237,"0"),TEXT(銘柄管理!$B$6:$B$305,"0"),0)-1,0),"&gt;="&amp;$N237),_xlfn.MINIFS(安値!$E$3:$IT$3,安値!$E$3:$IT$3,"&gt;"&amp;$E237,安値!$E$3:$IT$3,"&lt;="&amp;$AE237,OFFSET(安値!$E$6:$IT$6,MATCH(TEXT($B237,"0"),TEXT(銘柄管理!$B$6:$B$305,"0"),0)-1,0),"&lt;="&amp;$N237)),""))</f>
        <v/>
      </c>
      <c r="AH237" s="600" t="str">
        <f>IF(OR($B237="",$M237=""),"",IF(AND(N($AF237)=0,N($AG237)=0),IF(AND(ISNUMBER($H237),$H237&gt;0,IF($C237="売",$H237&gt;=$N237,$H237&lt;=$N237)),"損切確定",IF(AND(ISNUMBER($H237),$H237&gt;0,IF($C237="売",$H237&lt;=$M237,$H237&gt;=$M237)),"利益確定",IF($AE237&lt;=TODAY(),"日数制限","保有中"))),IF(N($AG237)=0,"利益確定",IF(N($AF237)=0,"損切確定",IF($AG237&lt;=$AF237,"損切確定","利益確定")))))</f>
        <v/>
      </c>
      <c r="AI237" s="600" t="str" cm="1">
        <f t="array" ref="AI237">IFERROR(INDEX(始値!$E$6:$IT$305,MATCH(TEXT($B237,"0"),TEXT(銘柄管理!$B$6:$B$305,"0"),0),MATCH($AE237,始値!$E$3:$IT$3,0)),"")</f>
        <v/>
      </c>
      <c r="AJ237" s="608" t="str">
        <f>IF(OR($V237="",$F237="",$G237=""),"",$V237/($F237*$G237))</f>
        <v/>
      </c>
      <c r="AK237" s="600" t="str">
        <f>IF($V237="","",IF($V237&gt;0,"○勝",IF($V237&lt;0,"●負","△引分")))</f>
        <v/>
      </c>
    </row>
    <row r="238" spans="1:37" ht="17.25" customHeight="1">
      <c r="A238" s="621" t="str">
        <f>IF(B238="","",HYPERLINK("https://kabutan.jp/stock/?code="&amp;B238,"株探"))</f>
        <v/>
      </c>
      <c r="B238" s="480"/>
      <c r="C238" s="480"/>
      <c r="D238" s="480" t="str" cm="1">
        <f t="array" ref="D238">_xll.RssMarket(B238, "銘柄名称")</f>
        <v/>
      </c>
      <c r="E238" s="717"/>
      <c r="F238" s="698" t="str" cm="1">
        <f t="array" aca="1" ref="F238" ca="1">IFERROR(_xlfn.LET(_xlpm.r,MATCH(TEXT($B238,"0"),TEXT(銘柄管理!$B$6:$B$305,"0"),0),_xlpm.t,MOD(NOW(),1),_xlpm.c,IF($E238=TODAY(),IF(_xlpm.t&gt;=TIME(15,30,0),NA(),1),IF(MATCH($E238,始値!$E$3:$IT$3,0)=1,1,MATCH($E238,始値!$E$3:$IT$3,0)+1)),_xlpm.v,INDEX(始値!$C$6:$IT$305,_xlpm.r,_xlpm.c),IF(N(_xlpm.v)=0,"",_xlpm.v)),"")</f>
        <v/>
      </c>
      <c r="G238" s="480"/>
      <c r="H238" s="480" t="str" cm="1">
        <f t="array" ref="H238">_xll.RssMarket(B238, "現在値")</f>
        <v/>
      </c>
      <c r="I238" s="480" t="str" cm="1">
        <f t="array" ref="I238">_xll.RssMarket(B238, "出来高加重平均")</f>
        <v/>
      </c>
      <c r="J238" s="702" t="str" cm="1">
        <f t="array" ref="J238">_xll.RssMarket($B238, "前日比")</f>
        <v/>
      </c>
      <c r="K238" s="703" t="str">
        <f>IF(OR(F238="",G238="",H238=""),"",IF(C238="売",(F238-H238)*G238,(H238-F238)*G238))</f>
        <v/>
      </c>
      <c r="L238" s="708" t="str">
        <f>IF(OR(F238="",H238=""),"",IF(C238="売",(F238-H238)/F238,(H238-F238)/F238))</f>
        <v/>
      </c>
      <c r="M238" s="598" t="str">
        <f>IF($F238="","",$F238*IF($C238="売",1-V811設定!$B$4,1+V811設定!$B$4)-MOD($F238*IF($C238="売",1-V811設定!$B$4,1+V811設定!$B$4),IF($F238&lt;=3000,1,IF($F238&lt;=5000,5,IF($F238&lt;=30000,10,IF($F238&lt;=50000,50,IF($F238&lt;=300000,100,500))))))+IF(AND($C238="売",MOD($F238*IF($C238="売",1-V811設定!$B$4,1+V811設定!$B$4),IF($F238&lt;=3000,1,IF($F238&lt;=5000,5,IF($F238&lt;=30000,10,IF($F238&lt;=50000,50,IF($F238&lt;=300000,100,500))))))&gt;0),IF($F238&lt;=3000,1,IF($F238&lt;=5000,5,IF($F238&lt;=30000,10,IF($F238&lt;=50000,50,IF($F238&lt;=300000,100,500))))),0))</f>
      </c>
      <c r="N238" s="598" t="str">
        <f>IF($F238="","",$F238*IF($C238="売",1+V811設定!$B$3,1-V811設定!$B$3)-MOD($F238*IF($C238="売",1+V811設定!$B$3,1-V811設定!$B$3),IF($F238&lt;=3000,1,IF($F238&lt;=5000,5,IF($F238&lt;=30000,10,IF($F238&lt;=50000,50,IF($F238&lt;=300000,100,500))))))+IF(AND($C238="売",MOD($F238*IF($C238="売",1+V811設定!$B$3,1-V811設定!$B$3),IF($F238&lt;=3000,1,IF($F238&lt;=5000,5,IF($F238&lt;=30000,10,IF($F238&lt;=50000,50,IF($F238&lt;=300000,100,500))))))&gt;0),IF($F238&lt;=3000,1,IF($F238&lt;=5000,5,IF($F238&lt;=30000,10,IF($F238&lt;=50000,50,IF($F238&lt;=300000,100,500))))),0))</f>
      </c>
      <c r="O238" s="478" t="str">
        <f>IF(OR($B238="",$F238="",$H238=""),"",IF($S238="✅売却済","―決済済―",IF($C238="売",IF($H238&lt;=$M238,"🟢利確",IF(AND($R238&lt;&gt;"",$H238&gt;=$R238),"🟠TRAIL",IF($H238&gt;=$N238,"🔴損切",IF($W238&gt;=V811設定!$B$6,"⏱時間決済",IF($H238&gt;=$F238*(1+V811設定!$B$3*0.7),"⚠️損切接近","保持継続"))))),IF($H238&gt;=$M238,"🟢利確",IF(AND($R238&lt;&gt;"",$H238&lt;=$R238),"🟠TRAIL",IF($H238&lt;=$N238,"🔴損切",IF($W238&gt;=V811設定!$B$6,"⏱時間決済",IF($H238&lt;=$F238*(1-V811設定!$B$3*0.7),"⚠️損切接近","保持継続"))))))))</f>
      </c>
      <c r="P238" s="445"/>
      <c r="Q238" s="445"/>
      <c r="R238" s="480" t="str">
        <f>IF(OR($F238="",$H238="",$N238=""),"",IF($S238="✅売却済","",IF($C238="売",IF($H238&gt;$F238*(1-V811設定!$B$3),$N238,MIN($N238,IF($Q238="",$N238,$Q238*1.03))),IF($H238&lt;$F238*(1+V811設定!$B$3),$N238,MAX($N238,IF($P238="",$N238,$P238*0.97))))))</f>
      </c>
      <c r="S238" s="480" t="str">
        <f>IF(B238="","",IF(T238&lt;&gt;"","✅売却済",IF(OR(H238="",L238=""),"📌保有中",IF(L238&gt;=0.06,"🟢利確推奨",IF(L238&gt;=0.05,"🟡利確直近",IF(L238&gt;=0.045,"🔵トレーリング検討",IF(L238&gt;-0.03,"📌保有中",IF(L238&gt;-0.04,"⚠️損切注意","🔴損切り"))))))))</f>
        <v/>
      </c>
      <c r="T238" s="596"/>
      <c r="U238" s="598"/>
      <c r="V238" s="703" t="str">
        <f>IF(OR(F238="",G238="",U238=""),"",IF(C238="売",(F238-U238)*G238,(U238-F238)*G238))</f>
        <v/>
      </c>
      <c r="W238" s="480" t="str">
        <f>IF(OR($E238="",$B238=""),"",IF($T238&lt;&gt;"",$T238-$E238,TODAY()-$E238)+1)</f>
        <v/>
      </c>
      <c r="X238" s="480" t="str">
        <f>IF(OR($AH238="",$AH238="保有中"),"",$AH238)</f>
        <v/>
      </c>
      <c r="Y238" s="488"/>
      <c r="Z238" s="710"/>
      <c r="AD238" s="608"/>
      <c r="AE238" s="600" t="str">
        <f>IF($E238="","",WORKDAY($E238,12))</f>
        <v/>
      </c>
      <c r="AF238" s="600" t="str" cm="1">
        <f t="array" aca="1" ref="AF238" ca="1">IF(OR($B238="",$M238=""),"",IFERROR(IF($C238="売",_xlfn.MINIFS(安値!$E$3:$IT$3,安値!$E$3:$IT$3,"&gt;"&amp;$E238,安値!$E$3:$IT$3,"&lt;="&amp;$AE238,OFFSET(安値!$E$6:$IT$6,MATCH(TEXT($B238,"0"),TEXT(銘柄管理!$B$6:$B$305,"0"),0)-1,0),"&lt;="&amp;$M238),_xlfn.MINIFS(高値!$E$3:$IT$3,高値!$E$3:$IT$3,"&gt;"&amp;$E238,高値!$E$3:$IT$3,"&lt;="&amp;$AE238,OFFSET(高値!$E$6:$IT$6,MATCH(TEXT($B238,"0"),TEXT(銘柄管理!$B$6:$B$305,"0"),0)-1,0),"&gt;="&amp;$M238)),""))</f>
        <v/>
      </c>
      <c r="AG238" s="600" t="str" cm="1">
        <f t="array" aca="1" ref="AG238" ca="1">IF(OR($B238="",$N238=""),"",IFERROR(IF($C238="売",_xlfn.MINIFS(高値!$E$3:$IT$3,高値!$E$3:$IT$3,"&gt;"&amp;$E238,高値!$E$3:$IT$3,"&lt;="&amp;$AE238,OFFSET(高値!$E$6:$IT$6,MATCH(TEXT($B238,"0"),TEXT(銘柄管理!$B$6:$B$305,"0"),0)-1,0),"&gt;="&amp;$N238),_xlfn.MINIFS(安値!$E$3:$IT$3,安値!$E$3:$IT$3,"&gt;"&amp;$E238,安値!$E$3:$IT$3,"&lt;="&amp;$AE238,OFFSET(安値!$E$6:$IT$6,MATCH(TEXT($B238,"0"),TEXT(銘柄管理!$B$6:$B$305,"0"),0)-1,0),"&lt;="&amp;$N238)),""))</f>
        <v/>
      </c>
      <c r="AH238" s="600" t="str">
        <f>IF(OR($B238="",$M238=""),"",IF(AND(N($AF238)=0,N($AG238)=0),IF(AND(ISNUMBER($H238),$H238&gt;0,IF($C238="売",$H238&gt;=$N238,$H238&lt;=$N238)),"損切確定",IF(AND(ISNUMBER($H238),$H238&gt;0,IF($C238="売",$H238&lt;=$M238,$H238&gt;=$M238)),"利益確定",IF($AE238&lt;=TODAY(),"日数制限","保有中"))),IF(N($AG238)=0,"利益確定",IF(N($AF238)=0,"損切確定",IF($AG238&lt;=$AF238,"損切確定","利益確定")))))</f>
        <v/>
      </c>
      <c r="AI238" s="600" t="str" cm="1">
        <f t="array" ref="AI238">IFERROR(INDEX(始値!$E$6:$IT$305,MATCH(TEXT($B238,"0"),TEXT(銘柄管理!$B$6:$B$305,"0"),0),MATCH($AE238,始値!$E$3:$IT$3,0)),"")</f>
        <v/>
      </c>
      <c r="AJ238" s="608" t="str">
        <f>IF(OR($V238="",$F238="",$G238=""),"",$V238/($F238*$G238))</f>
        <v/>
      </c>
      <c r="AK238" s="600" t="str">
        <f>IF($V238="","",IF($V238&gt;0,"○勝",IF($V238&lt;0,"●負","△引分")))</f>
        <v/>
      </c>
    </row>
    <row r="239" spans="1:37" ht="17.25" customHeight="1">
      <c r="A239" s="621" t="str">
        <f>IF(B239="","",HYPERLINK("https://kabutan.jp/stock/?code="&amp;B239,"株探"))</f>
        <v/>
      </c>
      <c r="B239" s="480"/>
      <c r="C239" s="480"/>
      <c r="D239" s="480" t="str" cm="1">
        <f t="array" ref="D239">_xll.RssMarket(B239, "銘柄名称")</f>
        <v/>
      </c>
      <c r="E239" s="717"/>
      <c r="F239" s="698" t="str" cm="1">
        <f t="array" aca="1" ref="F239" ca="1">IFERROR(_xlfn.LET(_xlpm.r,MATCH(TEXT($B239,"0"),TEXT(銘柄管理!$B$6:$B$305,"0"),0),_xlpm.t,MOD(NOW(),1),_xlpm.c,IF($E239=TODAY(),IF(_xlpm.t&gt;=TIME(15,30,0),NA(),1),IF(MATCH($E239,始値!$E$3:$IT$3,0)=1,1,MATCH($E239,始値!$E$3:$IT$3,0)+1)),_xlpm.v,INDEX(始値!$C$6:$IT$305,_xlpm.r,_xlpm.c),IF(N(_xlpm.v)=0,"",_xlpm.v)),"")</f>
        <v/>
      </c>
      <c r="G239" s="480"/>
      <c r="H239" s="480" t="str" cm="1">
        <f t="array" ref="H239">_xll.RssMarket(B239, "現在値")</f>
        <v/>
      </c>
      <c r="I239" s="480" t="str" cm="1">
        <f t="array" ref="I239">_xll.RssMarket(B239, "出来高加重平均")</f>
        <v/>
      </c>
      <c r="J239" s="702" t="str" cm="1">
        <f t="array" ref="J239">_xll.RssMarket($B239, "前日比")</f>
        <v/>
      </c>
      <c r="K239" s="703" t="str">
        <f>IF(OR(F239="",G239="",H239=""),"",IF(C239="売",(F239-H239)*G239,(H239-F239)*G239))</f>
        <v/>
      </c>
      <c r="L239" s="708" t="str">
        <f>IF(OR(F239="",H239=""),"",IF(C239="売",(F239-H239)/F239,(H239-F239)/F239))</f>
        <v/>
      </c>
      <c r="M239" s="598" t="str">
        <f>IF($F239="","",$F239*IF($C239="売",1-V811設定!$B$4,1+V811設定!$B$4)-MOD($F239*IF($C239="売",1-V811設定!$B$4,1+V811設定!$B$4),IF($F239&lt;=3000,1,IF($F239&lt;=5000,5,IF($F239&lt;=30000,10,IF($F239&lt;=50000,50,IF($F239&lt;=300000,100,500))))))+IF(AND($C239="売",MOD($F239*IF($C239="売",1-V811設定!$B$4,1+V811設定!$B$4),IF($F239&lt;=3000,1,IF($F239&lt;=5000,5,IF($F239&lt;=30000,10,IF($F239&lt;=50000,50,IF($F239&lt;=300000,100,500))))))&gt;0),IF($F239&lt;=3000,1,IF($F239&lt;=5000,5,IF($F239&lt;=30000,10,IF($F239&lt;=50000,50,IF($F239&lt;=300000,100,500))))),0))</f>
      </c>
      <c r="N239" s="598" t="str">
        <f>IF($F239="","",$F239*IF($C239="売",1+V811設定!$B$3,1-V811設定!$B$3)-MOD($F239*IF($C239="売",1+V811設定!$B$3,1-V811設定!$B$3),IF($F239&lt;=3000,1,IF($F239&lt;=5000,5,IF($F239&lt;=30000,10,IF($F239&lt;=50000,50,IF($F239&lt;=300000,100,500))))))+IF(AND($C239="売",MOD($F239*IF($C239="売",1+V811設定!$B$3,1-V811設定!$B$3),IF($F239&lt;=3000,1,IF($F239&lt;=5000,5,IF($F239&lt;=30000,10,IF($F239&lt;=50000,50,IF($F239&lt;=300000,100,500))))))&gt;0),IF($F239&lt;=3000,1,IF($F239&lt;=5000,5,IF($F239&lt;=30000,10,IF($F239&lt;=50000,50,IF($F239&lt;=300000,100,500))))),0))</f>
      </c>
      <c r="O239" s="478" t="str">
        <f>IF(OR($B239="",$F239="",$H239=""),"",IF($S239="✅売却済","―決済済―",IF($C239="売",IF($H239&lt;=$M239,"🟢利確",IF(AND($R239&lt;&gt;"",$H239&gt;=$R239),"🟠TRAIL",IF($H239&gt;=$N239,"🔴損切",IF($W239&gt;=V811設定!$B$6,"⏱時間決済",IF($H239&gt;=$F239*(1+V811設定!$B$3*0.7),"⚠️損切接近","保持継続"))))),IF($H239&gt;=$M239,"🟢利確",IF(AND($R239&lt;&gt;"",$H239&lt;=$R239),"🟠TRAIL",IF($H239&lt;=$N239,"🔴損切",IF($W239&gt;=V811設定!$B$6,"⏱時間決済",IF($H239&lt;=$F239*(1-V811設定!$B$3*0.7),"⚠️損切接近","保持継続"))))))))</f>
      </c>
      <c r="P239" s="445"/>
      <c r="Q239" s="445"/>
      <c r="R239" s="480" t="str">
        <f>IF(OR($F239="",$H239="",$N239=""),"",IF($S239="✅売却済","",IF($C239="売",IF($H239&gt;$F239*(1-V811設定!$B$3),$N239,MIN($N239,IF($Q239="",$N239,$Q239*1.03))),IF($H239&lt;$F239*(1+V811設定!$B$3),$N239,MAX($N239,IF($P239="",$N239,$P239*0.97))))))</f>
      </c>
      <c r="S239" s="480" t="str">
        <f>IF(B239="","",IF(T239&lt;&gt;"","✅売却済",IF(OR(H239="",L239=""),"📌保有中",IF(L239&gt;=0.06,"🟢利確推奨",IF(L239&gt;=0.05,"🟡利確直近",IF(L239&gt;=0.045,"🔵トレーリング検討",IF(L239&gt;-0.03,"📌保有中",IF(L239&gt;-0.04,"⚠️損切注意","🔴損切り"))))))))</f>
        <v/>
      </c>
      <c r="T239" s="596"/>
      <c r="U239" s="598"/>
      <c r="V239" s="703" t="str">
        <f>IF(OR(F239="",G239="",U239=""),"",IF(C239="売",(F239-U239)*G239,(U239-F239)*G239))</f>
        <v/>
      </c>
      <c r="W239" s="480" t="str">
        <f>IF(OR($E239="",$B239=""),"",IF($T239&lt;&gt;"",$T239-$E239,TODAY()-$E239)+1)</f>
        <v/>
      </c>
      <c r="X239" s="480" t="str">
        <f>IF(OR($AH239="",$AH239="保有中"),"",$AH239)</f>
        <v/>
      </c>
      <c r="Y239" s="488"/>
      <c r="Z239" s="710"/>
      <c r="AD239" s="608"/>
      <c r="AE239" s="600" t="str">
        <f>IF($E239="","",WORKDAY($E239,12))</f>
        <v/>
      </c>
      <c r="AF239" s="600" t="str" cm="1">
        <f t="array" aca="1" ref="AF239" ca="1">IF(OR($B239="",$M239=""),"",IFERROR(IF($C239="売",_xlfn.MINIFS(安値!$E$3:$IT$3,安値!$E$3:$IT$3,"&gt;"&amp;$E239,安値!$E$3:$IT$3,"&lt;="&amp;$AE239,OFFSET(安値!$E$6:$IT$6,MATCH(TEXT($B239,"0"),TEXT(銘柄管理!$B$6:$B$305,"0"),0)-1,0),"&lt;="&amp;$M239),_xlfn.MINIFS(高値!$E$3:$IT$3,高値!$E$3:$IT$3,"&gt;"&amp;$E239,高値!$E$3:$IT$3,"&lt;="&amp;$AE239,OFFSET(高値!$E$6:$IT$6,MATCH(TEXT($B239,"0"),TEXT(銘柄管理!$B$6:$B$305,"0"),0)-1,0),"&gt;="&amp;$M239)),""))</f>
        <v/>
      </c>
      <c r="AG239" s="600" t="str" cm="1">
        <f t="array" aca="1" ref="AG239" ca="1">IF(OR($B239="",$N239=""),"",IFERROR(IF($C239="売",_xlfn.MINIFS(高値!$E$3:$IT$3,高値!$E$3:$IT$3,"&gt;"&amp;$E239,高値!$E$3:$IT$3,"&lt;="&amp;$AE239,OFFSET(高値!$E$6:$IT$6,MATCH(TEXT($B239,"0"),TEXT(銘柄管理!$B$6:$B$305,"0"),0)-1,0),"&gt;="&amp;$N239),_xlfn.MINIFS(安値!$E$3:$IT$3,安値!$E$3:$IT$3,"&gt;"&amp;$E239,安値!$E$3:$IT$3,"&lt;="&amp;$AE239,OFFSET(安値!$E$6:$IT$6,MATCH(TEXT($B239,"0"),TEXT(銘柄管理!$B$6:$B$305,"0"),0)-1,0),"&lt;="&amp;$N239)),""))</f>
        <v/>
      </c>
      <c r="AH239" s="600" t="str">
        <f>IF(OR($B239="",$M239=""),"",IF(AND(N($AF239)=0,N($AG239)=0),IF(AND(ISNUMBER($H239),$H239&gt;0,IF($C239="売",$H239&gt;=$N239,$H239&lt;=$N239)),"損切確定",IF(AND(ISNUMBER($H239),$H239&gt;0,IF($C239="売",$H239&lt;=$M239,$H239&gt;=$M239)),"利益確定",IF($AE239&lt;=TODAY(),"日数制限","保有中"))),IF(N($AG239)=0,"利益確定",IF(N($AF239)=0,"損切確定",IF($AG239&lt;=$AF239,"損切確定","利益確定")))))</f>
        <v/>
      </c>
      <c r="AI239" s="600" t="str" cm="1">
        <f t="array" ref="AI239">IFERROR(INDEX(始値!$E$6:$IT$305,MATCH(TEXT($B239,"0"),TEXT(銘柄管理!$B$6:$B$305,"0"),0),MATCH($AE239,始値!$E$3:$IT$3,0)),"")</f>
        <v/>
      </c>
      <c r="AJ239" s="608" t="str">
        <f>IF(OR($V239="",$F239="",$G239=""),"",$V239/($F239*$G239))</f>
        <v/>
      </c>
      <c r="AK239" s="600" t="str">
        <f>IF($V239="","",IF($V239&gt;0,"○勝",IF($V239&lt;0,"●負","△引分")))</f>
        <v/>
      </c>
    </row>
    <row r="240" spans="1:37" ht="17.25" customHeight="1">
      <c r="A240" s="621" t="str">
        <f>IF(B240="","",HYPERLINK("https://kabutan.jp/stock/?code="&amp;B240,"株探"))</f>
        <v/>
      </c>
      <c r="B240" s="480"/>
      <c r="C240" s="480"/>
      <c r="D240" s="480" t="str" cm="1">
        <f t="array" ref="D240">_xll.RssMarket(B240, "銘柄名称")</f>
        <v/>
      </c>
      <c r="E240" s="717"/>
      <c r="F240" s="698" t="str" cm="1">
        <f t="array" aca="1" ref="F240" ca="1">IFERROR(_xlfn.LET(_xlpm.r,MATCH(TEXT($B240,"0"),TEXT(銘柄管理!$B$6:$B$305,"0"),0),_xlpm.t,MOD(NOW(),1),_xlpm.c,IF($E240=TODAY(),IF(_xlpm.t&gt;=TIME(15,30,0),NA(),1),IF(MATCH($E240,始値!$E$3:$IT$3,0)=1,1,MATCH($E240,始値!$E$3:$IT$3,0)+1)),_xlpm.v,INDEX(始値!$C$6:$IT$305,_xlpm.r,_xlpm.c),IF(N(_xlpm.v)=0,"",_xlpm.v)),"")</f>
        <v/>
      </c>
      <c r="G240" s="480"/>
      <c r="H240" s="480" t="str" cm="1">
        <f t="array" ref="H240">_xll.RssMarket(B240, "現在値")</f>
        <v/>
      </c>
      <c r="I240" s="480" t="str" cm="1">
        <f t="array" ref="I240">_xll.RssMarket(B240, "出来高加重平均")</f>
        <v/>
      </c>
      <c r="J240" s="702" t="str" cm="1">
        <f t="array" ref="J240">_xll.RssMarket($B240, "前日比")</f>
        <v/>
      </c>
      <c r="K240" s="703" t="str">
        <f>IF(OR(F240="",G240="",H240=""),"",IF(C240="売",(F240-H240)*G240,(H240-F240)*G240))</f>
        <v/>
      </c>
      <c r="L240" s="708" t="str">
        <f>IF(OR(F240="",H240=""),"",IF(C240="売",(F240-H240)/F240,(H240-F240)/F240))</f>
        <v/>
      </c>
      <c r="M240" s="598" t="str">
        <f>IF($F240="","",$F240*IF($C240="売",1-V811設定!$B$4,1+V811設定!$B$4)-MOD($F240*IF($C240="売",1-V811設定!$B$4,1+V811設定!$B$4),IF($F240&lt;=3000,1,IF($F240&lt;=5000,5,IF($F240&lt;=30000,10,IF($F240&lt;=50000,50,IF($F240&lt;=300000,100,500))))))+IF(AND($C240="売",MOD($F240*IF($C240="売",1-V811設定!$B$4,1+V811設定!$B$4),IF($F240&lt;=3000,1,IF($F240&lt;=5000,5,IF($F240&lt;=30000,10,IF($F240&lt;=50000,50,IF($F240&lt;=300000,100,500))))))&gt;0),IF($F240&lt;=3000,1,IF($F240&lt;=5000,5,IF($F240&lt;=30000,10,IF($F240&lt;=50000,50,IF($F240&lt;=300000,100,500))))),0))</f>
      </c>
      <c r="N240" s="598" t="str">
        <f>IF($F240="","",$F240*IF($C240="売",1+V811設定!$B$3,1-V811設定!$B$3)-MOD($F240*IF($C240="売",1+V811設定!$B$3,1-V811設定!$B$3),IF($F240&lt;=3000,1,IF($F240&lt;=5000,5,IF($F240&lt;=30000,10,IF($F240&lt;=50000,50,IF($F240&lt;=300000,100,500))))))+IF(AND($C240="売",MOD($F240*IF($C240="売",1+V811設定!$B$3,1-V811設定!$B$3),IF($F240&lt;=3000,1,IF($F240&lt;=5000,5,IF($F240&lt;=30000,10,IF($F240&lt;=50000,50,IF($F240&lt;=300000,100,500))))))&gt;0),IF($F240&lt;=3000,1,IF($F240&lt;=5000,5,IF($F240&lt;=30000,10,IF($F240&lt;=50000,50,IF($F240&lt;=300000,100,500))))),0))</f>
      </c>
      <c r="O240" s="478" t="str">
        <f>IF(OR($B240="",$F240="",$H240=""),"",IF($S240="✅売却済","―決済済―",IF($C240="売",IF($H240&lt;=$M240,"🟢利確",IF(AND($R240&lt;&gt;"",$H240&gt;=$R240),"🟠TRAIL",IF($H240&gt;=$N240,"🔴損切",IF($W240&gt;=V811設定!$B$6,"⏱時間決済",IF($H240&gt;=$F240*(1+V811設定!$B$3*0.7),"⚠️損切接近","保持継続"))))),IF($H240&gt;=$M240,"🟢利確",IF(AND($R240&lt;&gt;"",$H240&lt;=$R240),"🟠TRAIL",IF($H240&lt;=$N240,"🔴損切",IF($W240&gt;=V811設定!$B$6,"⏱時間決済",IF($H240&lt;=$F240*(1-V811設定!$B$3*0.7),"⚠️損切接近","保持継続"))))))))</f>
      </c>
      <c r="P240" s="445"/>
      <c r="Q240" s="445"/>
      <c r="R240" s="480" t="str">
        <f>IF(OR($F240="",$H240="",$N240=""),"",IF($S240="✅売却済","",IF($C240="売",IF($H240&gt;$F240*(1-V811設定!$B$3),$N240,MIN($N240,IF($Q240="",$N240,$Q240*1.03))),IF($H240&lt;$F240*(1+V811設定!$B$3),$N240,MAX($N240,IF($P240="",$N240,$P240*0.97))))))</f>
      </c>
      <c r="S240" s="480" t="str">
        <f>IF(B240="","",IF(T240&lt;&gt;"","✅売却済",IF(OR(H240="",L240=""),"📌保有中",IF(L240&gt;=0.06,"🟢利確推奨",IF(L240&gt;=0.05,"🟡利確直近",IF(L240&gt;=0.045,"🔵トレーリング検討",IF(L240&gt;-0.03,"📌保有中",IF(L240&gt;-0.04,"⚠️損切注意","🔴損切り"))))))))</f>
        <v/>
      </c>
      <c r="T240" s="596"/>
      <c r="U240" s="598"/>
      <c r="V240" s="703" t="str">
        <f>IF(OR(F240="",G240="",U240=""),"",IF(C240="売",(F240-U240)*G240,(U240-F240)*G240))</f>
        <v/>
      </c>
      <c r="W240" s="480" t="str">
        <f>IF(OR($E240="",$B240=""),"",IF($T240&lt;&gt;"",$T240-$E240,TODAY()-$E240)+1)</f>
        <v/>
      </c>
      <c r="X240" s="480" t="str">
        <f>IF(OR($AH240="",$AH240="保有中"),"",$AH240)</f>
        <v/>
      </c>
      <c r="Y240" s="488"/>
      <c r="Z240" s="710"/>
      <c r="AD240" s="608"/>
      <c r="AE240" s="600" t="str">
        <f>IF($E240="","",WORKDAY($E240,12))</f>
        <v/>
      </c>
      <c r="AF240" s="600" t="str" cm="1">
        <f t="array" aca="1" ref="AF240" ca="1">IF(OR($B240="",$M240=""),"",IFERROR(IF($C240="売",_xlfn.MINIFS(安値!$E$3:$IT$3,安値!$E$3:$IT$3,"&gt;"&amp;$E240,安値!$E$3:$IT$3,"&lt;="&amp;$AE240,OFFSET(安値!$E$6:$IT$6,MATCH(TEXT($B240,"0"),TEXT(銘柄管理!$B$6:$B$305,"0"),0)-1,0),"&lt;="&amp;$M240),_xlfn.MINIFS(高値!$E$3:$IT$3,高値!$E$3:$IT$3,"&gt;"&amp;$E240,高値!$E$3:$IT$3,"&lt;="&amp;$AE240,OFFSET(高値!$E$6:$IT$6,MATCH(TEXT($B240,"0"),TEXT(銘柄管理!$B$6:$B$305,"0"),0)-1,0),"&gt;="&amp;$M240)),""))</f>
        <v/>
      </c>
      <c r="AG240" s="600" t="str" cm="1">
        <f t="array" aca="1" ref="AG240" ca="1">IF(OR($B240="",$N240=""),"",IFERROR(IF($C240="売",_xlfn.MINIFS(高値!$E$3:$IT$3,高値!$E$3:$IT$3,"&gt;"&amp;$E240,高値!$E$3:$IT$3,"&lt;="&amp;$AE240,OFFSET(高値!$E$6:$IT$6,MATCH(TEXT($B240,"0"),TEXT(銘柄管理!$B$6:$B$305,"0"),0)-1,0),"&gt;="&amp;$N240),_xlfn.MINIFS(安値!$E$3:$IT$3,安値!$E$3:$IT$3,"&gt;"&amp;$E240,安値!$E$3:$IT$3,"&lt;="&amp;$AE240,OFFSET(安値!$E$6:$IT$6,MATCH(TEXT($B240,"0"),TEXT(銘柄管理!$B$6:$B$305,"0"),0)-1,0),"&lt;="&amp;$N240)),""))</f>
        <v/>
      </c>
      <c r="AH240" s="600" t="str">
        <f>IF(OR($B240="",$M240=""),"",IF(AND(N($AF240)=0,N($AG240)=0),IF(AND(ISNUMBER($H240),$H240&gt;0,IF($C240="売",$H240&gt;=$N240,$H240&lt;=$N240)),"損切確定",IF(AND(ISNUMBER($H240),$H240&gt;0,IF($C240="売",$H240&lt;=$M240,$H240&gt;=$M240)),"利益確定",IF($AE240&lt;=TODAY(),"日数制限","保有中"))),IF(N($AG240)=0,"利益確定",IF(N($AF240)=0,"損切確定",IF($AG240&lt;=$AF240,"損切確定","利益確定")))))</f>
        <v/>
      </c>
      <c r="AI240" s="600" t="str" cm="1">
        <f t="array" ref="AI240">IFERROR(INDEX(始値!$E$6:$IT$305,MATCH(TEXT($B240,"0"),TEXT(銘柄管理!$B$6:$B$305,"0"),0),MATCH($AE240,始値!$E$3:$IT$3,0)),"")</f>
        <v/>
      </c>
      <c r="AJ240" s="608" t="str">
        <f>IF(OR($V240="",$F240="",$G240=""),"",$V240/($F240*$G240))</f>
        <v/>
      </c>
      <c r="AK240" s="600" t="str">
        <f>IF($V240="","",IF($V240&gt;0,"○勝",IF($V240&lt;0,"●負","△引分")))</f>
        <v/>
      </c>
    </row>
    <row r="241" spans="1:37" ht="17.25" customHeight="1">
      <c r="A241" s="621" t="str">
        <f>IF(B241="","",HYPERLINK("https://kabutan.jp/stock/?code="&amp;B241,"株探"))</f>
        <v/>
      </c>
      <c r="B241" s="480"/>
      <c r="C241" s="480"/>
      <c r="D241" s="480" t="str" cm="1">
        <f t="array" ref="D241">_xll.RssMarket(B241, "銘柄名称")</f>
        <v/>
      </c>
      <c r="E241" s="717"/>
      <c r="F241" s="698" t="str" cm="1">
        <f t="array" aca="1" ref="F241" ca="1">IFERROR(_xlfn.LET(_xlpm.r,MATCH(TEXT($B241,"0"),TEXT(銘柄管理!$B$6:$B$305,"0"),0),_xlpm.t,MOD(NOW(),1),_xlpm.c,IF($E241=TODAY(),IF(_xlpm.t&gt;=TIME(15,30,0),NA(),1),IF(MATCH($E241,始値!$E$3:$IT$3,0)=1,1,MATCH($E241,始値!$E$3:$IT$3,0)+1)),_xlpm.v,INDEX(始値!$C$6:$IT$305,_xlpm.r,_xlpm.c),IF(N(_xlpm.v)=0,"",_xlpm.v)),"")</f>
        <v/>
      </c>
      <c r="G241" s="480"/>
      <c r="H241" s="480" t="str" cm="1">
        <f t="array" ref="H241">_xll.RssMarket(B241, "現在値")</f>
        <v/>
      </c>
      <c r="I241" s="480" t="str" cm="1">
        <f t="array" ref="I241">_xll.RssMarket(B241, "出来高加重平均")</f>
        <v/>
      </c>
      <c r="J241" s="702" t="str" cm="1">
        <f t="array" ref="J241">_xll.RssMarket($B241, "前日比")</f>
        <v/>
      </c>
      <c r="K241" s="703" t="str">
        <f>IF(OR(F241="",G241="",H241=""),"",IF(C241="売",(F241-H241)*G241,(H241-F241)*G241))</f>
        <v/>
      </c>
      <c r="L241" s="708" t="str">
        <f>IF(OR(F241="",H241=""),"",IF(C241="売",(F241-H241)/F241,(H241-F241)/F241))</f>
        <v/>
      </c>
      <c r="M241" s="598" t="str">
        <f>IF($F241="","",$F241*IF($C241="売",1-V811設定!$B$4,1+V811設定!$B$4)-MOD($F241*IF($C241="売",1-V811設定!$B$4,1+V811設定!$B$4),IF($F241&lt;=3000,1,IF($F241&lt;=5000,5,IF($F241&lt;=30000,10,IF($F241&lt;=50000,50,IF($F241&lt;=300000,100,500))))))+IF(AND($C241="売",MOD($F241*IF($C241="売",1-V811設定!$B$4,1+V811設定!$B$4),IF($F241&lt;=3000,1,IF($F241&lt;=5000,5,IF($F241&lt;=30000,10,IF($F241&lt;=50000,50,IF($F241&lt;=300000,100,500))))))&gt;0),IF($F241&lt;=3000,1,IF($F241&lt;=5000,5,IF($F241&lt;=30000,10,IF($F241&lt;=50000,50,IF($F241&lt;=300000,100,500))))),0))</f>
      </c>
      <c r="N241" s="598" t="str">
        <f>IF($F241="","",$F241*IF($C241="売",1+V811設定!$B$3,1-V811設定!$B$3)-MOD($F241*IF($C241="売",1+V811設定!$B$3,1-V811設定!$B$3),IF($F241&lt;=3000,1,IF($F241&lt;=5000,5,IF($F241&lt;=30000,10,IF($F241&lt;=50000,50,IF($F241&lt;=300000,100,500))))))+IF(AND($C241="売",MOD($F241*IF($C241="売",1+V811設定!$B$3,1-V811設定!$B$3),IF($F241&lt;=3000,1,IF($F241&lt;=5000,5,IF($F241&lt;=30000,10,IF($F241&lt;=50000,50,IF($F241&lt;=300000,100,500))))))&gt;0),IF($F241&lt;=3000,1,IF($F241&lt;=5000,5,IF($F241&lt;=30000,10,IF($F241&lt;=50000,50,IF($F241&lt;=300000,100,500))))),0))</f>
      </c>
      <c r="O241" s="478" t="str">
        <f>IF(OR($B241="",$F241="",$H241=""),"",IF($S241="✅売却済","―決済済―",IF($C241="売",IF($H241&lt;=$M241,"🟢利確",IF(AND($R241&lt;&gt;"",$H241&gt;=$R241),"🟠TRAIL",IF($H241&gt;=$N241,"🔴損切",IF($W241&gt;=V811設定!$B$6,"⏱時間決済",IF($H241&gt;=$F241*(1+V811設定!$B$3*0.7),"⚠️損切接近","保持継続"))))),IF($H241&gt;=$M241,"🟢利確",IF(AND($R241&lt;&gt;"",$H241&lt;=$R241),"🟠TRAIL",IF($H241&lt;=$N241,"🔴損切",IF($W241&gt;=V811設定!$B$6,"⏱時間決済",IF($H241&lt;=$F241*(1-V811設定!$B$3*0.7),"⚠️損切接近","保持継続"))))))))</f>
      </c>
      <c r="P241" s="445"/>
      <c r="Q241" s="445"/>
      <c r="R241" s="480" t="str">
        <f>IF(OR($F241="",$H241="",$N241=""),"",IF($S241="✅売却済","",IF($C241="売",IF($H241&gt;$F241*(1-V811設定!$B$3),$N241,MIN($N241,IF($Q241="",$N241,$Q241*1.03))),IF($H241&lt;$F241*(1+V811設定!$B$3),$N241,MAX($N241,IF($P241="",$N241,$P241*0.97))))))</f>
      </c>
      <c r="S241" s="480" t="str">
        <f>IF(B241="","",IF(T241&lt;&gt;"","✅売却済",IF(OR(H241="",L241=""),"📌保有中",IF(L241&gt;=0.06,"🟢利確推奨",IF(L241&gt;=0.05,"🟡利確直近",IF(L241&gt;=0.045,"🔵トレーリング検討",IF(L241&gt;-0.03,"📌保有中",IF(L241&gt;-0.04,"⚠️損切注意","🔴損切り"))))))))</f>
        <v/>
      </c>
      <c r="T241" s="596"/>
      <c r="U241" s="598"/>
      <c r="V241" s="703" t="str">
        <f>IF(OR(F241="",G241="",U241=""),"",IF(C241="売",(F241-U241)*G241,(U241-F241)*G241))</f>
        <v/>
      </c>
      <c r="W241" s="480" t="str">
        <f>IF(OR($E241="",$B241=""),"",IF($T241&lt;&gt;"",$T241-$E241,TODAY()-$E241)+1)</f>
        <v/>
      </c>
      <c r="X241" s="480" t="str">
        <f>IF(OR($AH241="",$AH241="保有中"),"",$AH241)</f>
        <v/>
      </c>
      <c r="Y241" s="488"/>
      <c r="Z241" s="710"/>
      <c r="AD241" s="608"/>
      <c r="AE241" s="600" t="str">
        <f>IF($E241="","",WORKDAY($E241,12))</f>
        <v/>
      </c>
      <c r="AF241" s="600" t="str" cm="1">
        <f t="array" aca="1" ref="AF241" ca="1">IF(OR($B241="",$M241=""),"",IFERROR(IF($C241="売",_xlfn.MINIFS(安値!$E$3:$IT$3,安値!$E$3:$IT$3,"&gt;"&amp;$E241,安値!$E$3:$IT$3,"&lt;="&amp;$AE241,OFFSET(安値!$E$6:$IT$6,MATCH(TEXT($B241,"0"),TEXT(銘柄管理!$B$6:$B$305,"0"),0)-1,0),"&lt;="&amp;$M241),_xlfn.MINIFS(高値!$E$3:$IT$3,高値!$E$3:$IT$3,"&gt;"&amp;$E241,高値!$E$3:$IT$3,"&lt;="&amp;$AE241,OFFSET(高値!$E$6:$IT$6,MATCH(TEXT($B241,"0"),TEXT(銘柄管理!$B$6:$B$305,"0"),0)-1,0),"&gt;="&amp;$M241)),""))</f>
        <v/>
      </c>
      <c r="AG241" s="600" t="str" cm="1">
        <f t="array" aca="1" ref="AG241" ca="1">IF(OR($B241="",$N241=""),"",IFERROR(IF($C241="売",_xlfn.MINIFS(高値!$E$3:$IT$3,高値!$E$3:$IT$3,"&gt;"&amp;$E241,高値!$E$3:$IT$3,"&lt;="&amp;$AE241,OFFSET(高値!$E$6:$IT$6,MATCH(TEXT($B241,"0"),TEXT(銘柄管理!$B$6:$B$305,"0"),0)-1,0),"&gt;="&amp;$N241),_xlfn.MINIFS(安値!$E$3:$IT$3,安値!$E$3:$IT$3,"&gt;"&amp;$E241,安値!$E$3:$IT$3,"&lt;="&amp;$AE241,OFFSET(安値!$E$6:$IT$6,MATCH(TEXT($B241,"0"),TEXT(銘柄管理!$B$6:$B$305,"0"),0)-1,0),"&lt;="&amp;$N241)),""))</f>
        <v/>
      </c>
      <c r="AH241" s="600" t="str">
        <f>IF(OR($B241="",$M241=""),"",IF(AND(N($AF241)=0,N($AG241)=0),IF(AND(ISNUMBER($H241),$H241&gt;0,IF($C241="売",$H241&gt;=$N241,$H241&lt;=$N241)),"損切確定",IF(AND(ISNUMBER($H241),$H241&gt;0,IF($C241="売",$H241&lt;=$M241,$H241&gt;=$M241)),"利益確定",IF($AE241&lt;=TODAY(),"日数制限","保有中"))),IF(N($AG241)=0,"利益確定",IF(N($AF241)=0,"損切確定",IF($AG241&lt;=$AF241,"損切確定","利益確定")))))</f>
        <v/>
      </c>
      <c r="AI241" s="600" t="str" cm="1">
        <f t="array" ref="AI241">IFERROR(INDEX(始値!$E$6:$IT$305,MATCH(TEXT($B241,"0"),TEXT(銘柄管理!$B$6:$B$305,"0"),0),MATCH($AE241,始値!$E$3:$IT$3,0)),"")</f>
        <v/>
      </c>
      <c r="AJ241" s="608" t="str">
        <f>IF(OR($V241="",$F241="",$G241=""),"",$V241/($F241*$G241))</f>
        <v/>
      </c>
      <c r="AK241" s="600" t="str">
        <f>IF($V241="","",IF($V241&gt;0,"○勝",IF($V241&lt;0,"●負","△引分")))</f>
        <v/>
      </c>
    </row>
    <row r="242" spans="1:37" ht="17.25" customHeight="1">
      <c r="A242" s="621" t="str">
        <f>IF(B242="","",HYPERLINK("https://kabutan.jp/stock/?code="&amp;B242,"株探"))</f>
        <v/>
      </c>
      <c r="B242" s="480"/>
      <c r="C242" s="480"/>
      <c r="D242" s="480" t="str" cm="1">
        <f t="array" ref="D242">_xll.RssMarket(B242, "銘柄名称")</f>
        <v/>
      </c>
      <c r="E242" s="717"/>
      <c r="F242" s="698" t="str" cm="1">
        <f t="array" aca="1" ref="F242" ca="1">IFERROR(_xlfn.LET(_xlpm.r,MATCH(TEXT($B242,"0"),TEXT(銘柄管理!$B$6:$B$305,"0"),0),_xlpm.t,MOD(NOW(),1),_xlpm.c,IF($E242=TODAY(),IF(_xlpm.t&gt;=TIME(15,30,0),NA(),1),IF(MATCH($E242,始値!$E$3:$IT$3,0)=1,1,MATCH($E242,始値!$E$3:$IT$3,0)+1)),_xlpm.v,INDEX(始値!$C$6:$IT$305,_xlpm.r,_xlpm.c),IF(N(_xlpm.v)=0,"",_xlpm.v)),"")</f>
        <v/>
      </c>
      <c r="G242" s="480"/>
      <c r="H242" s="480" t="str" cm="1">
        <f t="array" ref="H242">_xll.RssMarket(B242, "現在値")</f>
        <v/>
      </c>
      <c r="I242" s="480" t="str" cm="1">
        <f t="array" ref="I242">_xll.RssMarket(B242, "出来高加重平均")</f>
        <v/>
      </c>
      <c r="J242" s="702" t="str" cm="1">
        <f t="array" ref="J242">_xll.RssMarket($B242, "前日比")</f>
        <v/>
      </c>
      <c r="K242" s="703" t="str">
        <f>IF(OR(F242="",G242="",H242=""),"",IF(C242="売",(F242-H242)*G242,(H242-F242)*G242))</f>
        <v/>
      </c>
      <c r="L242" s="708" t="str">
        <f>IF(OR(F242="",H242=""),"",IF(C242="売",(F242-H242)/F242,(H242-F242)/F242))</f>
        <v/>
      </c>
      <c r="M242" s="598" t="str">
        <f>IF($F242="","",$F242*IF($C242="売",1-V811設定!$B$4,1+V811設定!$B$4)-MOD($F242*IF($C242="売",1-V811設定!$B$4,1+V811設定!$B$4),IF($F242&lt;=3000,1,IF($F242&lt;=5000,5,IF($F242&lt;=30000,10,IF($F242&lt;=50000,50,IF($F242&lt;=300000,100,500))))))+IF(AND($C242="売",MOD($F242*IF($C242="売",1-V811設定!$B$4,1+V811設定!$B$4),IF($F242&lt;=3000,1,IF($F242&lt;=5000,5,IF($F242&lt;=30000,10,IF($F242&lt;=50000,50,IF($F242&lt;=300000,100,500))))))&gt;0),IF($F242&lt;=3000,1,IF($F242&lt;=5000,5,IF($F242&lt;=30000,10,IF($F242&lt;=50000,50,IF($F242&lt;=300000,100,500))))),0))</f>
      </c>
      <c r="N242" s="598" t="str">
        <f>IF($F242="","",$F242*IF($C242="売",1+V811設定!$B$3,1-V811設定!$B$3)-MOD($F242*IF($C242="売",1+V811設定!$B$3,1-V811設定!$B$3),IF($F242&lt;=3000,1,IF($F242&lt;=5000,5,IF($F242&lt;=30000,10,IF($F242&lt;=50000,50,IF($F242&lt;=300000,100,500))))))+IF(AND($C242="売",MOD($F242*IF($C242="売",1+V811設定!$B$3,1-V811設定!$B$3),IF($F242&lt;=3000,1,IF($F242&lt;=5000,5,IF($F242&lt;=30000,10,IF($F242&lt;=50000,50,IF($F242&lt;=300000,100,500))))))&gt;0),IF($F242&lt;=3000,1,IF($F242&lt;=5000,5,IF($F242&lt;=30000,10,IF($F242&lt;=50000,50,IF($F242&lt;=300000,100,500))))),0))</f>
      </c>
      <c r="O242" s="478" t="str">
        <f>IF(OR($B242="",$F242="",$H242=""),"",IF($S242="✅売却済","―決済済―",IF($C242="売",IF($H242&lt;=$M242,"🟢利確",IF(AND($R242&lt;&gt;"",$H242&gt;=$R242),"🟠TRAIL",IF($H242&gt;=$N242,"🔴損切",IF($W242&gt;=V811設定!$B$6,"⏱時間決済",IF($H242&gt;=$F242*(1+V811設定!$B$3*0.7),"⚠️損切接近","保持継続"))))),IF($H242&gt;=$M242,"🟢利確",IF(AND($R242&lt;&gt;"",$H242&lt;=$R242),"🟠TRAIL",IF($H242&lt;=$N242,"🔴損切",IF($W242&gt;=V811設定!$B$6,"⏱時間決済",IF($H242&lt;=$F242*(1-V811設定!$B$3*0.7),"⚠️損切接近","保持継続"))))))))</f>
      </c>
      <c r="P242" s="445"/>
      <c r="Q242" s="445"/>
      <c r="R242" s="480" t="str">
        <f>IF(OR($F242="",$H242="",$N242=""),"",IF($S242="✅売却済","",IF($C242="売",IF($H242&gt;$F242*(1-V811設定!$B$3),$N242,MIN($N242,IF($Q242="",$N242,$Q242*1.03))),IF($H242&lt;$F242*(1+V811設定!$B$3),$N242,MAX($N242,IF($P242="",$N242,$P242*0.97))))))</f>
      </c>
      <c r="S242" s="480" t="str">
        <f>IF(B242="","",IF(T242&lt;&gt;"","✅売却済",IF(OR(H242="",L242=""),"📌保有中",IF(L242&gt;=0.06,"🟢利確推奨",IF(L242&gt;=0.05,"🟡利確直近",IF(L242&gt;=0.045,"🔵トレーリング検討",IF(L242&gt;-0.03,"📌保有中",IF(L242&gt;-0.04,"⚠️損切注意","🔴損切り"))))))))</f>
        <v/>
      </c>
      <c r="T242" s="596"/>
      <c r="U242" s="598"/>
      <c r="V242" s="703" t="str">
        <f>IF(OR(F242="",G242="",U242=""),"",IF(C242="売",(F242-U242)*G242,(U242-F242)*G242))</f>
        <v/>
      </c>
      <c r="W242" s="480" t="str">
        <f>IF(OR($E242="",$B242=""),"",IF($T242&lt;&gt;"",$T242-$E242,TODAY()-$E242)+1)</f>
        <v/>
      </c>
      <c r="X242" s="480" t="str">
        <f>IF(OR($AH242="",$AH242="保有中"),"",$AH242)</f>
        <v/>
      </c>
      <c r="Y242" s="488"/>
      <c r="Z242" s="710"/>
      <c r="AD242" s="608"/>
      <c r="AE242" s="600" t="str">
        <f>IF($E242="","",WORKDAY($E242,12))</f>
        <v/>
      </c>
      <c r="AF242" s="600" t="str" cm="1">
        <f t="array" aca="1" ref="AF242" ca="1">IF(OR($B242="",$M242=""),"",IFERROR(IF($C242="売",_xlfn.MINIFS(安値!$E$3:$IT$3,安値!$E$3:$IT$3,"&gt;"&amp;$E242,安値!$E$3:$IT$3,"&lt;="&amp;$AE242,OFFSET(安値!$E$6:$IT$6,MATCH(TEXT($B242,"0"),TEXT(銘柄管理!$B$6:$B$305,"0"),0)-1,0),"&lt;="&amp;$M242),_xlfn.MINIFS(高値!$E$3:$IT$3,高値!$E$3:$IT$3,"&gt;"&amp;$E242,高値!$E$3:$IT$3,"&lt;="&amp;$AE242,OFFSET(高値!$E$6:$IT$6,MATCH(TEXT($B242,"0"),TEXT(銘柄管理!$B$6:$B$305,"0"),0)-1,0),"&gt;="&amp;$M242)),""))</f>
        <v/>
      </c>
      <c r="AG242" s="600" t="str" cm="1">
        <f t="array" aca="1" ref="AG242" ca="1">IF(OR($B242="",$N242=""),"",IFERROR(IF($C242="売",_xlfn.MINIFS(高値!$E$3:$IT$3,高値!$E$3:$IT$3,"&gt;"&amp;$E242,高値!$E$3:$IT$3,"&lt;="&amp;$AE242,OFFSET(高値!$E$6:$IT$6,MATCH(TEXT($B242,"0"),TEXT(銘柄管理!$B$6:$B$305,"0"),0)-1,0),"&gt;="&amp;$N242),_xlfn.MINIFS(安値!$E$3:$IT$3,安値!$E$3:$IT$3,"&gt;"&amp;$E242,安値!$E$3:$IT$3,"&lt;="&amp;$AE242,OFFSET(安値!$E$6:$IT$6,MATCH(TEXT($B242,"0"),TEXT(銘柄管理!$B$6:$B$305,"0"),0)-1,0),"&lt;="&amp;$N242)),""))</f>
        <v/>
      </c>
      <c r="AH242" s="600" t="str">
        <f>IF(OR($B242="",$M242=""),"",IF(AND(N($AF242)=0,N($AG242)=0),IF(AND(ISNUMBER($H242),$H242&gt;0,IF($C242="売",$H242&gt;=$N242,$H242&lt;=$N242)),"損切確定",IF(AND(ISNUMBER($H242),$H242&gt;0,IF($C242="売",$H242&lt;=$M242,$H242&gt;=$M242)),"利益確定",IF($AE242&lt;=TODAY(),"日数制限","保有中"))),IF(N($AG242)=0,"利益確定",IF(N($AF242)=0,"損切確定",IF($AG242&lt;=$AF242,"損切確定","利益確定")))))</f>
        <v/>
      </c>
      <c r="AI242" s="600" t="str" cm="1">
        <f t="array" ref="AI242">IFERROR(INDEX(始値!$E$6:$IT$305,MATCH(TEXT($B242,"0"),TEXT(銘柄管理!$B$6:$B$305,"0"),0),MATCH($AE242,始値!$E$3:$IT$3,0)),"")</f>
        <v/>
      </c>
      <c r="AJ242" s="608" t="str">
        <f>IF(OR($V242="",$F242="",$G242=""),"",$V242/($F242*$G242))</f>
        <v/>
      </c>
      <c r="AK242" s="600" t="str">
        <f>IF($V242="","",IF($V242&gt;0,"○勝",IF($V242&lt;0,"●負","△引分")))</f>
        <v/>
      </c>
    </row>
    <row r="243" spans="1:37" ht="17.25" customHeight="1">
      <c r="A243" s="621" t="str">
        <f>IF(B243="","",HYPERLINK("https://kabutan.jp/stock/?code="&amp;B243,"株探"))</f>
        <v/>
      </c>
      <c r="B243" s="480"/>
      <c r="C243" s="480"/>
      <c r="D243" s="480" t="str" cm="1">
        <f t="array" ref="D243">_xll.RssMarket(B243, "銘柄名称")</f>
        <v/>
      </c>
      <c r="E243" s="717"/>
      <c r="F243" s="698" t="str" cm="1">
        <f t="array" aca="1" ref="F243" ca="1">IFERROR(_xlfn.LET(_xlpm.r,MATCH(TEXT($B243,"0"),TEXT(銘柄管理!$B$6:$B$305,"0"),0),_xlpm.t,MOD(NOW(),1),_xlpm.c,IF($E243=TODAY(),IF(_xlpm.t&gt;=TIME(15,30,0),NA(),1),IF(MATCH($E243,始値!$E$3:$IT$3,0)=1,1,MATCH($E243,始値!$E$3:$IT$3,0)+1)),_xlpm.v,INDEX(始値!$C$6:$IT$305,_xlpm.r,_xlpm.c),IF(N(_xlpm.v)=0,"",_xlpm.v)),"")</f>
        <v/>
      </c>
      <c r="G243" s="480"/>
      <c r="H243" s="480" t="str" cm="1">
        <f t="array" ref="H243">_xll.RssMarket(B243, "現在値")</f>
        <v/>
      </c>
      <c r="I243" s="480" t="str" cm="1">
        <f t="array" ref="I243">_xll.RssMarket(B243, "出来高加重平均")</f>
        <v/>
      </c>
      <c r="J243" s="702" t="str" cm="1">
        <f t="array" ref="J243">_xll.RssMarket($B243, "前日比")</f>
        <v/>
      </c>
      <c r="K243" s="703" t="str">
        <f>IF(OR(F243="",G243="",H243=""),"",IF(C243="売",(F243-H243)*G243,(H243-F243)*G243))</f>
        <v/>
      </c>
      <c r="L243" s="708" t="str">
        <f>IF(OR(F243="",H243=""),"",IF(C243="売",(F243-H243)/F243,(H243-F243)/F243))</f>
        <v/>
      </c>
      <c r="M243" s="598" t="str">
        <f>IF($F243="","",$F243*IF($C243="売",1-V811設定!$B$4,1+V811設定!$B$4)-MOD($F243*IF($C243="売",1-V811設定!$B$4,1+V811設定!$B$4),IF($F243&lt;=3000,1,IF($F243&lt;=5000,5,IF($F243&lt;=30000,10,IF($F243&lt;=50000,50,IF($F243&lt;=300000,100,500))))))+IF(AND($C243="売",MOD($F243*IF($C243="売",1-V811設定!$B$4,1+V811設定!$B$4),IF($F243&lt;=3000,1,IF($F243&lt;=5000,5,IF($F243&lt;=30000,10,IF($F243&lt;=50000,50,IF($F243&lt;=300000,100,500))))))&gt;0),IF($F243&lt;=3000,1,IF($F243&lt;=5000,5,IF($F243&lt;=30000,10,IF($F243&lt;=50000,50,IF($F243&lt;=300000,100,500))))),0))</f>
      </c>
      <c r="N243" s="598" t="str">
        <f>IF($F243="","",$F243*IF($C243="売",1+V811設定!$B$3,1-V811設定!$B$3)-MOD($F243*IF($C243="売",1+V811設定!$B$3,1-V811設定!$B$3),IF($F243&lt;=3000,1,IF($F243&lt;=5000,5,IF($F243&lt;=30000,10,IF($F243&lt;=50000,50,IF($F243&lt;=300000,100,500))))))+IF(AND($C243="売",MOD($F243*IF($C243="売",1+V811設定!$B$3,1-V811設定!$B$3),IF($F243&lt;=3000,1,IF($F243&lt;=5000,5,IF($F243&lt;=30000,10,IF($F243&lt;=50000,50,IF($F243&lt;=300000,100,500))))))&gt;0),IF($F243&lt;=3000,1,IF($F243&lt;=5000,5,IF($F243&lt;=30000,10,IF($F243&lt;=50000,50,IF($F243&lt;=300000,100,500))))),0))</f>
      </c>
      <c r="O243" s="478" t="str">
        <f>IF(OR($B243="",$F243="",$H243=""),"",IF($S243="✅売却済","―決済済―",IF($C243="売",IF($H243&lt;=$M243,"🟢利確",IF(AND($R243&lt;&gt;"",$H243&gt;=$R243),"🟠TRAIL",IF($H243&gt;=$N243,"🔴損切",IF($W243&gt;=V811設定!$B$6,"⏱時間決済",IF($H243&gt;=$F243*(1+V811設定!$B$3*0.7),"⚠️損切接近","保持継続"))))),IF($H243&gt;=$M243,"🟢利確",IF(AND($R243&lt;&gt;"",$H243&lt;=$R243),"🟠TRAIL",IF($H243&lt;=$N243,"🔴損切",IF($W243&gt;=V811設定!$B$6,"⏱時間決済",IF($H243&lt;=$F243*(1-V811設定!$B$3*0.7),"⚠️損切接近","保持継続"))))))))</f>
      </c>
      <c r="P243" s="445"/>
      <c r="Q243" s="445"/>
      <c r="R243" s="480" t="str">
        <f>IF(OR($F243="",$H243="",$N243=""),"",IF($S243="✅売却済","",IF($C243="売",IF($H243&gt;$F243*(1-V811設定!$B$3),$N243,MIN($N243,IF($Q243="",$N243,$Q243*1.03))),IF($H243&lt;$F243*(1+V811設定!$B$3),$N243,MAX($N243,IF($P243="",$N243,$P243*0.97))))))</f>
      </c>
      <c r="S243" s="480" t="str">
        <f>IF(B243="","",IF(T243&lt;&gt;"","✅売却済",IF(OR(H243="",L243=""),"📌保有中",IF(L243&gt;=0.06,"🟢利確推奨",IF(L243&gt;=0.05,"🟡利確直近",IF(L243&gt;=0.045,"🔵トレーリング検討",IF(L243&gt;-0.03,"📌保有中",IF(L243&gt;-0.04,"⚠️損切注意","🔴損切り"))))))))</f>
        <v/>
      </c>
      <c r="T243" s="596"/>
      <c r="U243" s="598"/>
      <c r="V243" s="703" t="str">
        <f>IF(OR(F243="",G243="",U243=""),"",IF(C243="売",(F243-U243)*G243,(U243-F243)*G243))</f>
        <v/>
      </c>
      <c r="W243" s="480" t="str">
        <f>IF(OR($E243="",$B243=""),"",IF($T243&lt;&gt;"",$T243-$E243,TODAY()-$E243)+1)</f>
        <v/>
      </c>
      <c r="X243" s="480" t="str">
        <f>IF(OR($AH243="",$AH243="保有中"),"",$AH243)</f>
        <v/>
      </c>
      <c r="Y243" s="488"/>
      <c r="Z243" s="710"/>
      <c r="AD243" s="608"/>
      <c r="AE243" s="600" t="str">
        <f>IF($E243="","",WORKDAY($E243,12))</f>
        <v/>
      </c>
      <c r="AF243" s="600" t="str" cm="1">
        <f t="array" aca="1" ref="AF243" ca="1">IF(OR($B243="",$M243=""),"",IFERROR(IF($C243="売",_xlfn.MINIFS(安値!$E$3:$IT$3,安値!$E$3:$IT$3,"&gt;"&amp;$E243,安値!$E$3:$IT$3,"&lt;="&amp;$AE243,OFFSET(安値!$E$6:$IT$6,MATCH(TEXT($B243,"0"),TEXT(銘柄管理!$B$6:$B$305,"0"),0)-1,0),"&lt;="&amp;$M243),_xlfn.MINIFS(高値!$E$3:$IT$3,高値!$E$3:$IT$3,"&gt;"&amp;$E243,高値!$E$3:$IT$3,"&lt;="&amp;$AE243,OFFSET(高値!$E$6:$IT$6,MATCH(TEXT($B243,"0"),TEXT(銘柄管理!$B$6:$B$305,"0"),0)-1,0),"&gt;="&amp;$M243)),""))</f>
        <v/>
      </c>
      <c r="AG243" s="600" t="str" cm="1">
        <f t="array" aca="1" ref="AG243" ca="1">IF(OR($B243="",$N243=""),"",IFERROR(IF($C243="売",_xlfn.MINIFS(高値!$E$3:$IT$3,高値!$E$3:$IT$3,"&gt;"&amp;$E243,高値!$E$3:$IT$3,"&lt;="&amp;$AE243,OFFSET(高値!$E$6:$IT$6,MATCH(TEXT($B243,"0"),TEXT(銘柄管理!$B$6:$B$305,"0"),0)-1,0),"&gt;="&amp;$N243),_xlfn.MINIFS(安値!$E$3:$IT$3,安値!$E$3:$IT$3,"&gt;"&amp;$E243,安値!$E$3:$IT$3,"&lt;="&amp;$AE243,OFFSET(安値!$E$6:$IT$6,MATCH(TEXT($B243,"0"),TEXT(銘柄管理!$B$6:$B$305,"0"),0)-1,0),"&lt;="&amp;$N243)),""))</f>
        <v/>
      </c>
      <c r="AH243" s="600" t="str">
        <f>IF(OR($B243="",$M243=""),"",IF(AND(N($AF243)=0,N($AG243)=0),IF(AND(ISNUMBER($H243),$H243&gt;0,IF($C243="売",$H243&gt;=$N243,$H243&lt;=$N243)),"損切確定",IF(AND(ISNUMBER($H243),$H243&gt;0,IF($C243="売",$H243&lt;=$M243,$H243&gt;=$M243)),"利益確定",IF($AE243&lt;=TODAY(),"日数制限","保有中"))),IF(N($AG243)=0,"利益確定",IF(N($AF243)=0,"損切確定",IF($AG243&lt;=$AF243,"損切確定","利益確定")))))</f>
        <v/>
      </c>
      <c r="AI243" s="600" t="str" cm="1">
        <f t="array" ref="AI243">IFERROR(INDEX(始値!$E$6:$IT$305,MATCH(TEXT($B243,"0"),TEXT(銘柄管理!$B$6:$B$305,"0"),0),MATCH($AE243,始値!$E$3:$IT$3,0)),"")</f>
        <v/>
      </c>
      <c r="AJ243" s="608" t="str">
        <f>IF(OR($V243="",$F243="",$G243=""),"",$V243/($F243*$G243))</f>
        <v/>
      </c>
      <c r="AK243" s="600" t="str">
        <f>IF($V243="","",IF($V243&gt;0,"○勝",IF($V243&lt;0,"●負","△引分")))</f>
        <v/>
      </c>
    </row>
    <row r="244" spans="1:37" ht="17.25" customHeight="1">
      <c r="A244" s="621" t="str">
        <f>IF(B244="","",HYPERLINK("https://kabutan.jp/stock/?code="&amp;B244,"株探"))</f>
        <v/>
      </c>
      <c r="B244" s="480"/>
      <c r="C244" s="480"/>
      <c r="D244" s="480" t="str" cm="1">
        <f t="array" ref="D244">_xll.RssMarket(B244, "銘柄名称")</f>
        <v/>
      </c>
      <c r="E244" s="717"/>
      <c r="F244" s="698" t="str" cm="1">
        <f t="array" aca="1" ref="F244" ca="1">IFERROR(_xlfn.LET(_xlpm.r,MATCH(TEXT($B244,"0"),TEXT(銘柄管理!$B$6:$B$305,"0"),0),_xlpm.t,MOD(NOW(),1),_xlpm.c,IF($E244=TODAY(),IF(_xlpm.t&gt;=TIME(15,30,0),NA(),1),IF(MATCH($E244,始値!$E$3:$IT$3,0)=1,1,MATCH($E244,始値!$E$3:$IT$3,0)+1)),_xlpm.v,INDEX(始値!$C$6:$IT$305,_xlpm.r,_xlpm.c),IF(N(_xlpm.v)=0,"",_xlpm.v)),"")</f>
        <v/>
      </c>
      <c r="G244" s="480"/>
      <c r="H244" s="480" t="str" cm="1">
        <f t="array" ref="H244">_xll.RssMarket(B244, "現在値")</f>
        <v/>
      </c>
      <c r="I244" s="480" t="str" cm="1">
        <f t="array" ref="I244">_xll.RssMarket(B244, "出来高加重平均")</f>
        <v/>
      </c>
      <c r="J244" s="702" t="str" cm="1">
        <f t="array" ref="J244">_xll.RssMarket($B244, "前日比")</f>
        <v/>
      </c>
      <c r="K244" s="703" t="str">
        <f>IF(OR(F244="",G244="",H244=""),"",IF(C244="売",(F244-H244)*G244,(H244-F244)*G244))</f>
        <v/>
      </c>
      <c r="L244" s="708" t="str">
        <f>IF(OR(F244="",H244=""),"",IF(C244="売",(F244-H244)/F244,(H244-F244)/F244))</f>
        <v/>
      </c>
      <c r="M244" s="598" t="str">
        <f>IF($F244="","",$F244*IF($C244="売",1-V811設定!$B$4,1+V811設定!$B$4)-MOD($F244*IF($C244="売",1-V811設定!$B$4,1+V811設定!$B$4),IF($F244&lt;=3000,1,IF($F244&lt;=5000,5,IF($F244&lt;=30000,10,IF($F244&lt;=50000,50,IF($F244&lt;=300000,100,500))))))+IF(AND($C244="売",MOD($F244*IF($C244="売",1-V811設定!$B$4,1+V811設定!$B$4),IF($F244&lt;=3000,1,IF($F244&lt;=5000,5,IF($F244&lt;=30000,10,IF($F244&lt;=50000,50,IF($F244&lt;=300000,100,500))))))&gt;0),IF($F244&lt;=3000,1,IF($F244&lt;=5000,5,IF($F244&lt;=30000,10,IF($F244&lt;=50000,50,IF($F244&lt;=300000,100,500))))),0))</f>
      </c>
      <c r="N244" s="598" t="str">
        <f>IF($F244="","",$F244*IF($C244="売",1+V811設定!$B$3,1-V811設定!$B$3)-MOD($F244*IF($C244="売",1+V811設定!$B$3,1-V811設定!$B$3),IF($F244&lt;=3000,1,IF($F244&lt;=5000,5,IF($F244&lt;=30000,10,IF($F244&lt;=50000,50,IF($F244&lt;=300000,100,500))))))+IF(AND($C244="売",MOD($F244*IF($C244="売",1+V811設定!$B$3,1-V811設定!$B$3),IF($F244&lt;=3000,1,IF($F244&lt;=5000,5,IF($F244&lt;=30000,10,IF($F244&lt;=50000,50,IF($F244&lt;=300000,100,500))))))&gt;0),IF($F244&lt;=3000,1,IF($F244&lt;=5000,5,IF($F244&lt;=30000,10,IF($F244&lt;=50000,50,IF($F244&lt;=300000,100,500))))),0))</f>
      </c>
      <c r="O244" s="478" t="str">
        <f>IF(OR($B244="",$F244="",$H244=""),"",IF($S244="✅売却済","―決済済―",IF($C244="売",IF($H244&lt;=$M244,"🟢利確",IF(AND($R244&lt;&gt;"",$H244&gt;=$R244),"🟠TRAIL",IF($H244&gt;=$N244,"🔴損切",IF($W244&gt;=V811設定!$B$6,"⏱時間決済",IF($H244&gt;=$F244*(1+V811設定!$B$3*0.7),"⚠️損切接近","保持継続"))))),IF($H244&gt;=$M244,"🟢利確",IF(AND($R244&lt;&gt;"",$H244&lt;=$R244),"🟠TRAIL",IF($H244&lt;=$N244,"🔴損切",IF($W244&gt;=V811設定!$B$6,"⏱時間決済",IF($H244&lt;=$F244*(1-V811設定!$B$3*0.7),"⚠️損切接近","保持継続"))))))))</f>
      </c>
      <c r="P244" s="445"/>
      <c r="Q244" s="445"/>
      <c r="R244" s="480" t="str">
        <f>IF(OR($F244="",$H244="",$N244=""),"",IF($S244="✅売却済","",IF($C244="売",IF($H244&gt;$F244*(1-V811設定!$B$3),$N244,MIN($N244,IF($Q244="",$N244,$Q244*1.03))),IF($H244&lt;$F244*(1+V811設定!$B$3),$N244,MAX($N244,IF($P244="",$N244,$P244*0.97))))))</f>
      </c>
      <c r="S244" s="480" t="str">
        <f>IF(B244="","",IF(T244&lt;&gt;"","✅売却済",IF(OR(H244="",L244=""),"📌保有中",IF(L244&gt;=0.06,"🟢利確推奨",IF(L244&gt;=0.05,"🟡利確直近",IF(L244&gt;=0.045,"🔵トレーリング検討",IF(L244&gt;-0.03,"📌保有中",IF(L244&gt;-0.04,"⚠️損切注意","🔴損切り"))))))))</f>
        <v/>
      </c>
      <c r="T244" s="596"/>
      <c r="U244" s="598"/>
      <c r="V244" s="703" t="str">
        <f>IF(OR(F244="",G244="",U244=""),"",IF(C244="売",(F244-U244)*G244,(U244-F244)*G244))</f>
        <v/>
      </c>
      <c r="W244" s="480" t="str">
        <f>IF(OR($E244="",$B244=""),"",IF($T244&lt;&gt;"",$T244-$E244,TODAY()-$E244)+1)</f>
        <v/>
      </c>
      <c r="X244" s="480" t="str">
        <f>IF(OR($AH244="",$AH244="保有中"),"",$AH244)</f>
        <v/>
      </c>
      <c r="Y244" s="488"/>
      <c r="Z244" s="710"/>
      <c r="AD244" s="608"/>
      <c r="AE244" s="600" t="str">
        <f>IF($E244="","",WORKDAY($E244,12))</f>
        <v/>
      </c>
      <c r="AF244" s="600" t="str" cm="1">
        <f t="array" aca="1" ref="AF244" ca="1">IF(OR($B244="",$M244=""),"",IFERROR(IF($C244="売",_xlfn.MINIFS(安値!$E$3:$IT$3,安値!$E$3:$IT$3,"&gt;"&amp;$E244,安値!$E$3:$IT$3,"&lt;="&amp;$AE244,OFFSET(安値!$E$6:$IT$6,MATCH(TEXT($B244,"0"),TEXT(銘柄管理!$B$6:$B$305,"0"),0)-1,0),"&lt;="&amp;$M244),_xlfn.MINIFS(高値!$E$3:$IT$3,高値!$E$3:$IT$3,"&gt;"&amp;$E244,高値!$E$3:$IT$3,"&lt;="&amp;$AE244,OFFSET(高値!$E$6:$IT$6,MATCH(TEXT($B244,"0"),TEXT(銘柄管理!$B$6:$B$305,"0"),0)-1,0),"&gt;="&amp;$M244)),""))</f>
        <v/>
      </c>
      <c r="AG244" s="600" t="str" cm="1">
        <f t="array" aca="1" ref="AG244" ca="1">IF(OR($B244="",$N244=""),"",IFERROR(IF($C244="売",_xlfn.MINIFS(高値!$E$3:$IT$3,高値!$E$3:$IT$3,"&gt;"&amp;$E244,高値!$E$3:$IT$3,"&lt;="&amp;$AE244,OFFSET(高値!$E$6:$IT$6,MATCH(TEXT($B244,"0"),TEXT(銘柄管理!$B$6:$B$305,"0"),0)-1,0),"&gt;="&amp;$N244),_xlfn.MINIFS(安値!$E$3:$IT$3,安値!$E$3:$IT$3,"&gt;"&amp;$E244,安値!$E$3:$IT$3,"&lt;="&amp;$AE244,OFFSET(安値!$E$6:$IT$6,MATCH(TEXT($B244,"0"),TEXT(銘柄管理!$B$6:$B$305,"0"),0)-1,0),"&lt;="&amp;$N244)),""))</f>
        <v/>
      </c>
      <c r="AH244" s="600" t="str">
        <f>IF(OR($B244="",$M244=""),"",IF(AND(N($AF244)=0,N($AG244)=0),IF(AND(ISNUMBER($H244),$H244&gt;0,IF($C244="売",$H244&gt;=$N244,$H244&lt;=$N244)),"損切確定",IF(AND(ISNUMBER($H244),$H244&gt;0,IF($C244="売",$H244&lt;=$M244,$H244&gt;=$M244)),"利益確定",IF($AE244&lt;=TODAY(),"日数制限","保有中"))),IF(N($AG244)=0,"利益確定",IF(N($AF244)=0,"損切確定",IF($AG244&lt;=$AF244,"損切確定","利益確定")))))</f>
        <v/>
      </c>
      <c r="AI244" s="600" t="str" cm="1">
        <f t="array" ref="AI244">IFERROR(INDEX(始値!$E$6:$IT$305,MATCH(TEXT($B244,"0"),TEXT(銘柄管理!$B$6:$B$305,"0"),0),MATCH($AE244,始値!$E$3:$IT$3,0)),"")</f>
        <v/>
      </c>
      <c r="AJ244" s="608" t="str">
        <f>IF(OR($V244="",$F244="",$G244=""),"",$V244/($F244*$G244))</f>
        <v/>
      </c>
      <c r="AK244" s="600" t="str">
        <f>IF($V244="","",IF($V244&gt;0,"○勝",IF($V244&lt;0,"●負","△引分")))</f>
        <v/>
      </c>
    </row>
    <row r="245" spans="1:37" ht="17.25" customHeight="1">
      <c r="A245" s="621" t="str">
        <f>IF(B245="","",HYPERLINK("https://kabutan.jp/stock/?code="&amp;B245,"株探"))</f>
        <v/>
      </c>
      <c r="B245" s="480"/>
      <c r="C245" s="480"/>
      <c r="D245" s="480" t="str" cm="1">
        <f t="array" ref="D245">_xll.RssMarket(B245, "銘柄名称")</f>
        <v/>
      </c>
      <c r="E245" s="717"/>
      <c r="F245" s="698" t="str" cm="1">
        <f t="array" aca="1" ref="F245" ca="1">IFERROR(_xlfn.LET(_xlpm.r,MATCH(TEXT($B245,"0"),TEXT(銘柄管理!$B$6:$B$305,"0"),0),_xlpm.t,MOD(NOW(),1),_xlpm.c,IF($E245=TODAY(),IF(_xlpm.t&gt;=TIME(15,30,0),NA(),1),IF(MATCH($E245,始値!$E$3:$IT$3,0)=1,1,MATCH($E245,始値!$E$3:$IT$3,0)+1)),_xlpm.v,INDEX(始値!$C$6:$IT$305,_xlpm.r,_xlpm.c),IF(N(_xlpm.v)=0,"",_xlpm.v)),"")</f>
        <v/>
      </c>
      <c r="G245" s="480"/>
      <c r="H245" s="480" t="str" cm="1">
        <f t="array" ref="H245">_xll.RssMarket(B245, "現在値")</f>
        <v/>
      </c>
      <c r="I245" s="480" t="str" cm="1">
        <f t="array" ref="I245">_xll.RssMarket(B245, "出来高加重平均")</f>
        <v/>
      </c>
      <c r="J245" s="702" t="str" cm="1">
        <f t="array" ref="J245">_xll.RssMarket($B245, "前日比")</f>
        <v/>
      </c>
      <c r="K245" s="703" t="str">
        <f>IF(OR(F245="",G245="",H245=""),"",IF(C245="売",(F245-H245)*G245,(H245-F245)*G245))</f>
        <v/>
      </c>
      <c r="L245" s="708" t="str">
        <f>IF(OR(F245="",H245=""),"",IF(C245="売",(F245-H245)/F245,(H245-F245)/F245))</f>
        <v/>
      </c>
      <c r="M245" s="598" t="str">
        <f>IF($F245="","",$F245*IF($C245="売",1-V811設定!$B$4,1+V811設定!$B$4)-MOD($F245*IF($C245="売",1-V811設定!$B$4,1+V811設定!$B$4),IF($F245&lt;=3000,1,IF($F245&lt;=5000,5,IF($F245&lt;=30000,10,IF($F245&lt;=50000,50,IF($F245&lt;=300000,100,500))))))+IF(AND($C245="売",MOD($F245*IF($C245="売",1-V811設定!$B$4,1+V811設定!$B$4),IF($F245&lt;=3000,1,IF($F245&lt;=5000,5,IF($F245&lt;=30000,10,IF($F245&lt;=50000,50,IF($F245&lt;=300000,100,500))))))&gt;0),IF($F245&lt;=3000,1,IF($F245&lt;=5000,5,IF($F245&lt;=30000,10,IF($F245&lt;=50000,50,IF($F245&lt;=300000,100,500))))),0))</f>
      </c>
      <c r="N245" s="598" t="str">
        <f>IF($F245="","",$F245*IF($C245="売",1+V811設定!$B$3,1-V811設定!$B$3)-MOD($F245*IF($C245="売",1+V811設定!$B$3,1-V811設定!$B$3),IF($F245&lt;=3000,1,IF($F245&lt;=5000,5,IF($F245&lt;=30000,10,IF($F245&lt;=50000,50,IF($F245&lt;=300000,100,500))))))+IF(AND($C245="売",MOD($F245*IF($C245="売",1+V811設定!$B$3,1-V811設定!$B$3),IF($F245&lt;=3000,1,IF($F245&lt;=5000,5,IF($F245&lt;=30000,10,IF($F245&lt;=50000,50,IF($F245&lt;=300000,100,500))))))&gt;0),IF($F245&lt;=3000,1,IF($F245&lt;=5000,5,IF($F245&lt;=30000,10,IF($F245&lt;=50000,50,IF($F245&lt;=300000,100,500))))),0))</f>
      </c>
      <c r="O245" s="478" t="str">
        <f>IF(OR($B245="",$F245="",$H245=""),"",IF($S245="✅売却済","―決済済―",IF($C245="売",IF($H245&lt;=$M245,"🟢利確",IF(AND($R245&lt;&gt;"",$H245&gt;=$R245),"🟠TRAIL",IF($H245&gt;=$N245,"🔴損切",IF($W245&gt;=V811設定!$B$6,"⏱時間決済",IF($H245&gt;=$F245*(1+V811設定!$B$3*0.7),"⚠️損切接近","保持継続"))))),IF($H245&gt;=$M245,"🟢利確",IF(AND($R245&lt;&gt;"",$H245&lt;=$R245),"🟠TRAIL",IF($H245&lt;=$N245,"🔴損切",IF($W245&gt;=V811設定!$B$6,"⏱時間決済",IF($H245&lt;=$F245*(1-V811設定!$B$3*0.7),"⚠️損切接近","保持継続"))))))))</f>
      </c>
      <c r="P245" s="445"/>
      <c r="Q245" s="445"/>
      <c r="R245" s="480" t="str">
        <f>IF(OR($F245="",$H245="",$N245=""),"",IF($S245="✅売却済","",IF($C245="売",IF($H245&gt;$F245*(1-V811設定!$B$3),$N245,MIN($N245,IF($Q245="",$N245,$Q245*1.03))),IF($H245&lt;$F245*(1+V811設定!$B$3),$N245,MAX($N245,IF($P245="",$N245,$P245*0.97))))))</f>
      </c>
      <c r="S245" s="480" t="str">
        <f>IF(B245="","",IF(T245&lt;&gt;"","✅売却済",IF(OR(H245="",L245=""),"📌保有中",IF(L245&gt;=0.06,"🟢利確推奨",IF(L245&gt;=0.05,"🟡利確直近",IF(L245&gt;=0.045,"🔵トレーリング検討",IF(L245&gt;-0.03,"📌保有中",IF(L245&gt;-0.04,"⚠️損切注意","🔴損切り"))))))))</f>
        <v/>
      </c>
      <c r="T245" s="596"/>
      <c r="U245" s="598"/>
      <c r="V245" s="703" t="str">
        <f>IF(OR(F245="",G245="",U245=""),"",IF(C245="売",(F245-U245)*G245,(U245-F245)*G245))</f>
        <v/>
      </c>
      <c r="W245" s="480" t="str">
        <f>IF(OR($E245="",$B245=""),"",IF($T245&lt;&gt;"",$T245-$E245,TODAY()-$E245)+1)</f>
        <v/>
      </c>
      <c r="X245" s="480" t="str">
        <f>IF(OR($AH245="",$AH245="保有中"),"",$AH245)</f>
        <v/>
      </c>
      <c r="Y245" s="488"/>
      <c r="Z245" s="710"/>
      <c r="AD245" s="608"/>
      <c r="AE245" s="600" t="str">
        <f>IF($E245="","",WORKDAY($E245,12))</f>
        <v/>
      </c>
      <c r="AF245" s="600" t="str" cm="1">
        <f t="array" aca="1" ref="AF245" ca="1">IF(OR($B245="",$M245=""),"",IFERROR(IF($C245="売",_xlfn.MINIFS(安値!$E$3:$IT$3,安値!$E$3:$IT$3,"&gt;"&amp;$E245,安値!$E$3:$IT$3,"&lt;="&amp;$AE245,OFFSET(安値!$E$6:$IT$6,MATCH(TEXT($B245,"0"),TEXT(銘柄管理!$B$6:$B$305,"0"),0)-1,0),"&lt;="&amp;$M245),_xlfn.MINIFS(高値!$E$3:$IT$3,高値!$E$3:$IT$3,"&gt;"&amp;$E245,高値!$E$3:$IT$3,"&lt;="&amp;$AE245,OFFSET(高値!$E$6:$IT$6,MATCH(TEXT($B245,"0"),TEXT(銘柄管理!$B$6:$B$305,"0"),0)-1,0),"&gt;="&amp;$M245)),""))</f>
        <v/>
      </c>
      <c r="AG245" s="600" t="str" cm="1">
        <f t="array" aca="1" ref="AG245" ca="1">IF(OR($B245="",$N245=""),"",IFERROR(IF($C245="売",_xlfn.MINIFS(高値!$E$3:$IT$3,高値!$E$3:$IT$3,"&gt;"&amp;$E245,高値!$E$3:$IT$3,"&lt;="&amp;$AE245,OFFSET(高値!$E$6:$IT$6,MATCH(TEXT($B245,"0"),TEXT(銘柄管理!$B$6:$B$305,"0"),0)-1,0),"&gt;="&amp;$N245),_xlfn.MINIFS(安値!$E$3:$IT$3,安値!$E$3:$IT$3,"&gt;"&amp;$E245,安値!$E$3:$IT$3,"&lt;="&amp;$AE245,OFFSET(安値!$E$6:$IT$6,MATCH(TEXT($B245,"0"),TEXT(銘柄管理!$B$6:$B$305,"0"),0)-1,0),"&lt;="&amp;$N245)),""))</f>
        <v/>
      </c>
      <c r="AH245" s="600" t="str">
        <f>IF(OR($B245="",$M245=""),"",IF(AND(N($AF245)=0,N($AG245)=0),IF(AND(ISNUMBER($H245),$H245&gt;0,IF($C245="売",$H245&gt;=$N245,$H245&lt;=$N245)),"損切確定",IF(AND(ISNUMBER($H245),$H245&gt;0,IF($C245="売",$H245&lt;=$M245,$H245&gt;=$M245)),"利益確定",IF($AE245&lt;=TODAY(),"日数制限","保有中"))),IF(N($AG245)=0,"利益確定",IF(N($AF245)=0,"損切確定",IF($AG245&lt;=$AF245,"損切確定","利益確定")))))</f>
        <v/>
      </c>
      <c r="AI245" s="600" t="str" cm="1">
        <f t="array" ref="AI245">IFERROR(INDEX(始値!$E$6:$IT$305,MATCH(TEXT($B245,"0"),TEXT(銘柄管理!$B$6:$B$305,"0"),0),MATCH($AE245,始値!$E$3:$IT$3,0)),"")</f>
        <v/>
      </c>
      <c r="AJ245" s="608" t="str">
        <f>IF(OR($V245="",$F245="",$G245=""),"",$V245/($F245*$G245))</f>
        <v/>
      </c>
      <c r="AK245" s="600" t="str">
        <f>IF($V245="","",IF($V245&gt;0,"○勝",IF($V245&lt;0,"●負","△引分")))</f>
        <v/>
      </c>
    </row>
    <row r="246" spans="1:37" ht="17.25" customHeight="1">
      <c r="A246" s="621" t="str">
        <f>IF(B246="","",HYPERLINK("https://kabutan.jp/stock/?code="&amp;B246,"株探"))</f>
        <v/>
      </c>
      <c r="B246" s="480"/>
      <c r="C246" s="480"/>
      <c r="D246" s="480" t="str" cm="1">
        <f t="array" ref="D246">_xll.RssMarket(B246, "銘柄名称")</f>
        <v/>
      </c>
      <c r="E246" s="717"/>
      <c r="F246" s="698" t="str" cm="1">
        <f t="array" aca="1" ref="F246" ca="1">IFERROR(_xlfn.LET(_xlpm.r,MATCH(TEXT($B246,"0"),TEXT(銘柄管理!$B$6:$B$305,"0"),0),_xlpm.t,MOD(NOW(),1),_xlpm.c,IF($E246=TODAY(),IF(_xlpm.t&gt;=TIME(15,30,0),NA(),1),IF(MATCH($E246,始値!$E$3:$IT$3,0)=1,1,MATCH($E246,始値!$E$3:$IT$3,0)+1)),_xlpm.v,INDEX(始値!$C$6:$IT$305,_xlpm.r,_xlpm.c),IF(N(_xlpm.v)=0,"",_xlpm.v)),"")</f>
        <v/>
      </c>
      <c r="G246" s="480"/>
      <c r="H246" s="480" t="str" cm="1">
        <f t="array" ref="H246">_xll.RssMarket(B246, "現在値")</f>
        <v/>
      </c>
      <c r="I246" s="480" t="str" cm="1">
        <f t="array" ref="I246">_xll.RssMarket(B246, "出来高加重平均")</f>
        <v/>
      </c>
      <c r="J246" s="702" t="str" cm="1">
        <f t="array" ref="J246">_xll.RssMarket($B246, "前日比")</f>
        <v/>
      </c>
      <c r="K246" s="703" t="str">
        <f>IF(OR(F246="",G246="",H246=""),"",IF(C246="売",(F246-H246)*G246,(H246-F246)*G246))</f>
        <v/>
      </c>
      <c r="L246" s="708" t="str">
        <f>IF(OR(F246="",H246=""),"",IF(C246="売",(F246-H246)/F246,(H246-F246)/F246))</f>
        <v/>
      </c>
      <c r="M246" s="598" t="str">
        <f>IF($F246="","",$F246*IF($C246="売",1-V811設定!$B$4,1+V811設定!$B$4)-MOD($F246*IF($C246="売",1-V811設定!$B$4,1+V811設定!$B$4),IF($F246&lt;=3000,1,IF($F246&lt;=5000,5,IF($F246&lt;=30000,10,IF($F246&lt;=50000,50,IF($F246&lt;=300000,100,500))))))+IF(AND($C246="売",MOD($F246*IF($C246="売",1-V811設定!$B$4,1+V811設定!$B$4),IF($F246&lt;=3000,1,IF($F246&lt;=5000,5,IF($F246&lt;=30000,10,IF($F246&lt;=50000,50,IF($F246&lt;=300000,100,500))))))&gt;0),IF($F246&lt;=3000,1,IF($F246&lt;=5000,5,IF($F246&lt;=30000,10,IF($F246&lt;=50000,50,IF($F246&lt;=300000,100,500))))),0))</f>
      </c>
      <c r="N246" s="598" t="str">
        <f>IF($F246="","",$F246*IF($C246="売",1+V811設定!$B$3,1-V811設定!$B$3)-MOD($F246*IF($C246="売",1+V811設定!$B$3,1-V811設定!$B$3),IF($F246&lt;=3000,1,IF($F246&lt;=5000,5,IF($F246&lt;=30000,10,IF($F246&lt;=50000,50,IF($F246&lt;=300000,100,500))))))+IF(AND($C246="売",MOD($F246*IF($C246="売",1+V811設定!$B$3,1-V811設定!$B$3),IF($F246&lt;=3000,1,IF($F246&lt;=5000,5,IF($F246&lt;=30000,10,IF($F246&lt;=50000,50,IF($F246&lt;=300000,100,500))))))&gt;0),IF($F246&lt;=3000,1,IF($F246&lt;=5000,5,IF($F246&lt;=30000,10,IF($F246&lt;=50000,50,IF($F246&lt;=300000,100,500))))),0))</f>
      </c>
      <c r="O246" s="478" t="str">
        <f>IF(OR($B246="",$F246="",$H246=""),"",IF($S246="✅売却済","―決済済―",IF($C246="売",IF($H246&lt;=$M246,"🟢利確",IF(AND($R246&lt;&gt;"",$H246&gt;=$R246),"🟠TRAIL",IF($H246&gt;=$N246,"🔴損切",IF($W246&gt;=V811設定!$B$6,"⏱時間決済",IF($H246&gt;=$F246*(1+V811設定!$B$3*0.7),"⚠️損切接近","保持継続"))))),IF($H246&gt;=$M246,"🟢利確",IF(AND($R246&lt;&gt;"",$H246&lt;=$R246),"🟠TRAIL",IF($H246&lt;=$N246,"🔴損切",IF($W246&gt;=V811設定!$B$6,"⏱時間決済",IF($H246&lt;=$F246*(1-V811設定!$B$3*0.7),"⚠️損切接近","保持継続"))))))))</f>
      </c>
      <c r="P246" s="445"/>
      <c r="Q246" s="445"/>
      <c r="R246" s="480" t="str">
        <f>IF(OR($F246="",$H246="",$N246=""),"",IF($S246="✅売却済","",IF($C246="売",IF($H246&gt;$F246*(1-V811設定!$B$3),$N246,MIN($N246,IF($Q246="",$N246,$Q246*1.03))),IF($H246&lt;$F246*(1+V811設定!$B$3),$N246,MAX($N246,IF($P246="",$N246,$P246*0.97))))))</f>
      </c>
      <c r="S246" s="480" t="str">
        <f>IF(B246="","",IF(T246&lt;&gt;"","✅売却済",IF(OR(H246="",L246=""),"📌保有中",IF(L246&gt;=0.06,"🟢利確推奨",IF(L246&gt;=0.05,"🟡利確直近",IF(L246&gt;=0.045,"🔵トレーリング検討",IF(L246&gt;-0.03,"📌保有中",IF(L246&gt;-0.04,"⚠️損切注意","🔴損切り"))))))))</f>
        <v/>
      </c>
      <c r="T246" s="596"/>
      <c r="U246" s="598"/>
      <c r="V246" s="703" t="str">
        <f>IF(OR(F246="",G246="",U246=""),"",IF(C246="売",(F246-U246)*G246,(U246-F246)*G246))</f>
        <v/>
      </c>
      <c r="W246" s="480" t="str">
        <f>IF(OR($E246="",$B246=""),"",IF($T246&lt;&gt;"",$T246-$E246,TODAY()-$E246)+1)</f>
        <v/>
      </c>
      <c r="X246" s="480" t="str">
        <f>IF(OR($AH246="",$AH246="保有中"),"",$AH246)</f>
        <v/>
      </c>
      <c r="Y246" s="488"/>
      <c r="Z246" s="710"/>
      <c r="AD246" s="608"/>
      <c r="AE246" s="600" t="str">
        <f>IF($E246="","",WORKDAY($E246,12))</f>
        <v/>
      </c>
      <c r="AF246" s="600" t="str" cm="1">
        <f t="array" aca="1" ref="AF246" ca="1">IF(OR($B246="",$M246=""),"",IFERROR(IF($C246="売",_xlfn.MINIFS(安値!$E$3:$IT$3,安値!$E$3:$IT$3,"&gt;"&amp;$E246,安値!$E$3:$IT$3,"&lt;="&amp;$AE246,OFFSET(安値!$E$6:$IT$6,MATCH(TEXT($B246,"0"),TEXT(銘柄管理!$B$6:$B$305,"0"),0)-1,0),"&lt;="&amp;$M246),_xlfn.MINIFS(高値!$E$3:$IT$3,高値!$E$3:$IT$3,"&gt;"&amp;$E246,高値!$E$3:$IT$3,"&lt;="&amp;$AE246,OFFSET(高値!$E$6:$IT$6,MATCH(TEXT($B246,"0"),TEXT(銘柄管理!$B$6:$B$305,"0"),0)-1,0),"&gt;="&amp;$M246)),""))</f>
        <v/>
      </c>
      <c r="AG246" s="600" t="str" cm="1">
        <f t="array" aca="1" ref="AG246" ca="1">IF(OR($B246="",$N246=""),"",IFERROR(IF($C246="売",_xlfn.MINIFS(高値!$E$3:$IT$3,高値!$E$3:$IT$3,"&gt;"&amp;$E246,高値!$E$3:$IT$3,"&lt;="&amp;$AE246,OFFSET(高値!$E$6:$IT$6,MATCH(TEXT($B246,"0"),TEXT(銘柄管理!$B$6:$B$305,"0"),0)-1,0),"&gt;="&amp;$N246),_xlfn.MINIFS(安値!$E$3:$IT$3,安値!$E$3:$IT$3,"&gt;"&amp;$E246,安値!$E$3:$IT$3,"&lt;="&amp;$AE246,OFFSET(安値!$E$6:$IT$6,MATCH(TEXT($B246,"0"),TEXT(銘柄管理!$B$6:$B$305,"0"),0)-1,0),"&lt;="&amp;$N246)),""))</f>
        <v/>
      </c>
      <c r="AH246" s="600" t="str">
        <f>IF(OR($B246="",$M246=""),"",IF(AND(N($AF246)=0,N($AG246)=0),IF(AND(ISNUMBER($H246),$H246&gt;0,IF($C246="売",$H246&gt;=$N246,$H246&lt;=$N246)),"損切確定",IF(AND(ISNUMBER($H246),$H246&gt;0,IF($C246="売",$H246&lt;=$M246,$H246&gt;=$M246)),"利益確定",IF($AE246&lt;=TODAY(),"日数制限","保有中"))),IF(N($AG246)=0,"利益確定",IF(N($AF246)=0,"損切確定",IF($AG246&lt;=$AF246,"損切確定","利益確定")))))</f>
        <v/>
      </c>
      <c r="AI246" s="600" t="str" cm="1">
        <f t="array" ref="AI246">IFERROR(INDEX(始値!$E$6:$IT$305,MATCH(TEXT($B246,"0"),TEXT(銘柄管理!$B$6:$B$305,"0"),0),MATCH($AE246,始値!$E$3:$IT$3,0)),"")</f>
        <v/>
      </c>
      <c r="AJ246" s="608" t="str">
        <f>IF(OR($V246="",$F246="",$G246=""),"",$V246/($F246*$G246))</f>
        <v/>
      </c>
      <c r="AK246" s="600" t="str">
        <f>IF($V246="","",IF($V246&gt;0,"○勝",IF($V246&lt;0,"●負","△引分")))</f>
        <v/>
      </c>
    </row>
    <row r="247" spans="1:37" ht="17.25" customHeight="1">
      <c r="A247" s="621" t="str">
        <f>IF(B247="","",HYPERLINK("https://kabutan.jp/stock/?code="&amp;B247,"株探"))</f>
        <v/>
      </c>
      <c r="B247" s="480"/>
      <c r="C247" s="480"/>
      <c r="D247" s="480" t="str" cm="1">
        <f t="array" ref="D247">_xll.RssMarket(B247, "銘柄名称")</f>
        <v/>
      </c>
      <c r="E247" s="717"/>
      <c r="F247" s="698" t="str" cm="1">
        <f t="array" aca="1" ref="F247" ca="1">IFERROR(_xlfn.LET(_xlpm.r,MATCH(TEXT($B247,"0"),TEXT(銘柄管理!$B$6:$B$305,"0"),0),_xlpm.t,MOD(NOW(),1),_xlpm.c,IF($E247=TODAY(),IF(_xlpm.t&gt;=TIME(15,30,0),NA(),1),IF(MATCH($E247,始値!$E$3:$IT$3,0)=1,1,MATCH($E247,始値!$E$3:$IT$3,0)+1)),_xlpm.v,INDEX(始値!$C$6:$IT$305,_xlpm.r,_xlpm.c),IF(N(_xlpm.v)=0,"",_xlpm.v)),"")</f>
        <v/>
      </c>
      <c r="G247" s="480"/>
      <c r="H247" s="480" t="str" cm="1">
        <f t="array" ref="H247">_xll.RssMarket(B247, "現在値")</f>
        <v/>
      </c>
      <c r="I247" s="480" t="str" cm="1">
        <f t="array" ref="I247">_xll.RssMarket(B247, "出来高加重平均")</f>
        <v/>
      </c>
      <c r="J247" s="702" t="str" cm="1">
        <f t="array" ref="J247">_xll.RssMarket($B247, "前日比")</f>
        <v/>
      </c>
      <c r="K247" s="703" t="str">
        <f>IF(OR(F247="",G247="",H247=""),"",IF(C247="売",(F247-H247)*G247,(H247-F247)*G247))</f>
        <v/>
      </c>
      <c r="L247" s="708" t="str">
        <f>IF(OR(F247="",H247=""),"",IF(C247="売",(F247-H247)/F247,(H247-F247)/F247))</f>
        <v/>
      </c>
      <c r="M247" s="598" t="str">
        <f>IF($F247="","",$F247*IF($C247="売",1-V811設定!$B$4,1+V811設定!$B$4)-MOD($F247*IF($C247="売",1-V811設定!$B$4,1+V811設定!$B$4),IF($F247&lt;=3000,1,IF($F247&lt;=5000,5,IF($F247&lt;=30000,10,IF($F247&lt;=50000,50,IF($F247&lt;=300000,100,500))))))+IF(AND($C247="売",MOD($F247*IF($C247="売",1-V811設定!$B$4,1+V811設定!$B$4),IF($F247&lt;=3000,1,IF($F247&lt;=5000,5,IF($F247&lt;=30000,10,IF($F247&lt;=50000,50,IF($F247&lt;=300000,100,500))))))&gt;0),IF($F247&lt;=3000,1,IF($F247&lt;=5000,5,IF($F247&lt;=30000,10,IF($F247&lt;=50000,50,IF($F247&lt;=300000,100,500))))),0))</f>
      </c>
      <c r="N247" s="598" t="str">
        <f>IF($F247="","",$F247*IF($C247="売",1+V811設定!$B$3,1-V811設定!$B$3)-MOD($F247*IF($C247="売",1+V811設定!$B$3,1-V811設定!$B$3),IF($F247&lt;=3000,1,IF($F247&lt;=5000,5,IF($F247&lt;=30000,10,IF($F247&lt;=50000,50,IF($F247&lt;=300000,100,500))))))+IF(AND($C247="売",MOD($F247*IF($C247="売",1+V811設定!$B$3,1-V811設定!$B$3),IF($F247&lt;=3000,1,IF($F247&lt;=5000,5,IF($F247&lt;=30000,10,IF($F247&lt;=50000,50,IF($F247&lt;=300000,100,500))))))&gt;0),IF($F247&lt;=3000,1,IF($F247&lt;=5000,5,IF($F247&lt;=30000,10,IF($F247&lt;=50000,50,IF($F247&lt;=300000,100,500))))),0))</f>
      </c>
      <c r="O247" s="478" t="str">
        <f>IF(OR($B247="",$F247="",$H247=""),"",IF($S247="✅売却済","―決済済―",IF($C247="売",IF($H247&lt;=$M247,"🟢利確",IF(AND($R247&lt;&gt;"",$H247&gt;=$R247),"🟠TRAIL",IF($H247&gt;=$N247,"🔴損切",IF($W247&gt;=V811設定!$B$6,"⏱時間決済",IF($H247&gt;=$F247*(1+V811設定!$B$3*0.7),"⚠️損切接近","保持継続"))))),IF($H247&gt;=$M247,"🟢利確",IF(AND($R247&lt;&gt;"",$H247&lt;=$R247),"🟠TRAIL",IF($H247&lt;=$N247,"🔴損切",IF($W247&gt;=V811設定!$B$6,"⏱時間決済",IF($H247&lt;=$F247*(1-V811設定!$B$3*0.7),"⚠️損切接近","保持継続"))))))))</f>
      </c>
      <c r="P247" s="445"/>
      <c r="Q247" s="445"/>
      <c r="R247" s="480" t="str">
        <f>IF(OR($F247="",$H247="",$N247=""),"",IF($S247="✅売却済","",IF($C247="売",IF($H247&gt;$F247*(1-V811設定!$B$3),$N247,MIN($N247,IF($Q247="",$N247,$Q247*1.03))),IF($H247&lt;$F247*(1+V811設定!$B$3),$N247,MAX($N247,IF($P247="",$N247,$P247*0.97))))))</f>
      </c>
      <c r="S247" s="480" t="str">
        <f>IF(B247="","",IF(T247&lt;&gt;"","✅売却済",IF(OR(H247="",L247=""),"📌保有中",IF(L247&gt;=0.06,"🟢利確推奨",IF(L247&gt;=0.05,"🟡利確直近",IF(L247&gt;=0.045,"🔵トレーリング検討",IF(L247&gt;-0.03,"📌保有中",IF(L247&gt;-0.04,"⚠️損切注意","🔴損切り"))))))))</f>
        <v/>
      </c>
      <c r="T247" s="596"/>
      <c r="U247" s="598"/>
      <c r="V247" s="703" t="str">
        <f>IF(OR(F247="",G247="",U247=""),"",IF(C247="売",(F247-U247)*G247,(U247-F247)*G247))</f>
        <v/>
      </c>
      <c r="W247" s="480" t="str">
        <f>IF(OR($E247="",$B247=""),"",IF($T247&lt;&gt;"",$T247-$E247,TODAY()-$E247)+1)</f>
        <v/>
      </c>
      <c r="X247" s="480" t="str">
        <f>IF(OR($AH247="",$AH247="保有中"),"",$AH247)</f>
        <v/>
      </c>
      <c r="Y247" s="488"/>
      <c r="Z247" s="710"/>
      <c r="AD247" s="608"/>
      <c r="AE247" s="600" t="str">
        <f>IF($E247="","",WORKDAY($E247,12))</f>
        <v/>
      </c>
      <c r="AF247" s="600" t="str" cm="1">
        <f t="array" aca="1" ref="AF247" ca="1">IF(OR($B247="",$M247=""),"",IFERROR(IF($C247="売",_xlfn.MINIFS(安値!$E$3:$IT$3,安値!$E$3:$IT$3,"&gt;"&amp;$E247,安値!$E$3:$IT$3,"&lt;="&amp;$AE247,OFFSET(安値!$E$6:$IT$6,MATCH(TEXT($B247,"0"),TEXT(銘柄管理!$B$6:$B$305,"0"),0)-1,0),"&lt;="&amp;$M247),_xlfn.MINIFS(高値!$E$3:$IT$3,高値!$E$3:$IT$3,"&gt;"&amp;$E247,高値!$E$3:$IT$3,"&lt;="&amp;$AE247,OFFSET(高値!$E$6:$IT$6,MATCH(TEXT($B247,"0"),TEXT(銘柄管理!$B$6:$B$305,"0"),0)-1,0),"&gt;="&amp;$M247)),""))</f>
        <v/>
      </c>
      <c r="AG247" s="600" t="str" cm="1">
        <f t="array" aca="1" ref="AG247" ca="1">IF(OR($B247="",$N247=""),"",IFERROR(IF($C247="売",_xlfn.MINIFS(高値!$E$3:$IT$3,高値!$E$3:$IT$3,"&gt;"&amp;$E247,高値!$E$3:$IT$3,"&lt;="&amp;$AE247,OFFSET(高値!$E$6:$IT$6,MATCH(TEXT($B247,"0"),TEXT(銘柄管理!$B$6:$B$305,"0"),0)-1,0),"&gt;="&amp;$N247),_xlfn.MINIFS(安値!$E$3:$IT$3,安値!$E$3:$IT$3,"&gt;"&amp;$E247,安値!$E$3:$IT$3,"&lt;="&amp;$AE247,OFFSET(安値!$E$6:$IT$6,MATCH(TEXT($B247,"0"),TEXT(銘柄管理!$B$6:$B$305,"0"),0)-1,0),"&lt;="&amp;$N247)),""))</f>
        <v/>
      </c>
      <c r="AH247" s="600" t="str">
        <f>IF(OR($B247="",$M247=""),"",IF(AND(N($AF247)=0,N($AG247)=0),IF(AND(ISNUMBER($H247),$H247&gt;0,IF($C247="売",$H247&gt;=$N247,$H247&lt;=$N247)),"損切確定",IF(AND(ISNUMBER($H247),$H247&gt;0,IF($C247="売",$H247&lt;=$M247,$H247&gt;=$M247)),"利益確定",IF($AE247&lt;=TODAY(),"日数制限","保有中"))),IF(N($AG247)=0,"利益確定",IF(N($AF247)=0,"損切確定",IF($AG247&lt;=$AF247,"損切確定","利益確定")))))</f>
        <v/>
      </c>
      <c r="AI247" s="600" t="str" cm="1">
        <f t="array" ref="AI247">IFERROR(INDEX(始値!$E$6:$IT$305,MATCH(TEXT($B247,"0"),TEXT(銘柄管理!$B$6:$B$305,"0"),0),MATCH($AE247,始値!$E$3:$IT$3,0)),"")</f>
        <v/>
      </c>
      <c r="AJ247" s="608" t="str">
        <f>IF(OR($V247="",$F247="",$G247=""),"",$V247/($F247*$G247))</f>
        <v/>
      </c>
      <c r="AK247" s="600" t="str">
        <f>IF($V247="","",IF($V247&gt;0,"○勝",IF($V247&lt;0,"●負","△引分")))</f>
        <v/>
      </c>
    </row>
    <row r="248" spans="1:37" ht="17.25" customHeight="1">
      <c r="A248" s="621" t="str">
        <f>IF(B248="","",HYPERLINK("https://kabutan.jp/stock/?code="&amp;B248,"株探"))</f>
        <v/>
      </c>
      <c r="B248" s="480"/>
      <c r="C248" s="480"/>
      <c r="D248" s="480" t="str" cm="1">
        <f t="array" ref="D248">_xll.RssMarket(B248, "銘柄名称")</f>
        <v/>
      </c>
      <c r="E248" s="717"/>
      <c r="F248" s="698" t="str" cm="1">
        <f t="array" aca="1" ref="F248" ca="1">IFERROR(_xlfn.LET(_xlpm.r,MATCH(TEXT($B248,"0"),TEXT(銘柄管理!$B$6:$B$305,"0"),0),_xlpm.t,MOD(NOW(),1),_xlpm.c,IF($E248=TODAY(),IF(_xlpm.t&gt;=TIME(15,30,0),NA(),1),IF(MATCH($E248,始値!$E$3:$IT$3,0)=1,1,MATCH($E248,始値!$E$3:$IT$3,0)+1)),_xlpm.v,INDEX(始値!$C$6:$IT$305,_xlpm.r,_xlpm.c),IF(N(_xlpm.v)=0,"",_xlpm.v)),"")</f>
        <v/>
      </c>
      <c r="G248" s="480"/>
      <c r="H248" s="480" t="str" cm="1">
        <f t="array" ref="H248">_xll.RssMarket(B248, "現在値")</f>
        <v/>
      </c>
      <c r="I248" s="480" t="str" cm="1">
        <f t="array" ref="I248">_xll.RssMarket(B248, "出来高加重平均")</f>
        <v/>
      </c>
      <c r="J248" s="702" t="str" cm="1">
        <f t="array" ref="J248">_xll.RssMarket($B248, "前日比")</f>
        <v/>
      </c>
      <c r="K248" s="703" t="str">
        <f>IF(OR(F248="",G248="",H248=""),"",IF(C248="売",(F248-H248)*G248,(H248-F248)*G248))</f>
        <v/>
      </c>
      <c r="L248" s="708" t="str">
        <f>IF(OR(F248="",H248=""),"",IF(C248="売",(F248-H248)/F248,(H248-F248)/F248))</f>
        <v/>
      </c>
      <c r="M248" s="598" t="str">
        <f>IF($F248="","",$F248*IF($C248="売",1-V811設定!$B$4,1+V811設定!$B$4)-MOD($F248*IF($C248="売",1-V811設定!$B$4,1+V811設定!$B$4),IF($F248&lt;=3000,1,IF($F248&lt;=5000,5,IF($F248&lt;=30000,10,IF($F248&lt;=50000,50,IF($F248&lt;=300000,100,500))))))+IF(AND($C248="売",MOD($F248*IF($C248="売",1-V811設定!$B$4,1+V811設定!$B$4),IF($F248&lt;=3000,1,IF($F248&lt;=5000,5,IF($F248&lt;=30000,10,IF($F248&lt;=50000,50,IF($F248&lt;=300000,100,500))))))&gt;0),IF($F248&lt;=3000,1,IF($F248&lt;=5000,5,IF($F248&lt;=30000,10,IF($F248&lt;=50000,50,IF($F248&lt;=300000,100,500))))),0))</f>
      </c>
      <c r="N248" s="598" t="str">
        <f>IF($F248="","",$F248*IF($C248="売",1+V811設定!$B$3,1-V811設定!$B$3)-MOD($F248*IF($C248="売",1+V811設定!$B$3,1-V811設定!$B$3),IF($F248&lt;=3000,1,IF($F248&lt;=5000,5,IF($F248&lt;=30000,10,IF($F248&lt;=50000,50,IF($F248&lt;=300000,100,500))))))+IF(AND($C248="売",MOD($F248*IF($C248="売",1+V811設定!$B$3,1-V811設定!$B$3),IF($F248&lt;=3000,1,IF($F248&lt;=5000,5,IF($F248&lt;=30000,10,IF($F248&lt;=50000,50,IF($F248&lt;=300000,100,500))))))&gt;0),IF($F248&lt;=3000,1,IF($F248&lt;=5000,5,IF($F248&lt;=30000,10,IF($F248&lt;=50000,50,IF($F248&lt;=300000,100,500))))),0))</f>
      </c>
      <c r="O248" s="478" t="str">
        <f>IF(OR($B248="",$F248="",$H248=""),"",IF($S248="✅売却済","―決済済―",IF($C248="売",IF($H248&lt;=$M248,"🟢利確",IF(AND($R248&lt;&gt;"",$H248&gt;=$R248),"🟠TRAIL",IF($H248&gt;=$N248,"🔴損切",IF($W248&gt;=V811設定!$B$6,"⏱時間決済",IF($H248&gt;=$F248*(1+V811設定!$B$3*0.7),"⚠️損切接近","保持継続"))))),IF($H248&gt;=$M248,"🟢利確",IF(AND($R248&lt;&gt;"",$H248&lt;=$R248),"🟠TRAIL",IF($H248&lt;=$N248,"🔴損切",IF($W248&gt;=V811設定!$B$6,"⏱時間決済",IF($H248&lt;=$F248*(1-V811設定!$B$3*0.7),"⚠️損切接近","保持継続"))))))))</f>
      </c>
      <c r="P248" s="445"/>
      <c r="Q248" s="445"/>
      <c r="R248" s="480" t="str">
        <f>IF(OR($F248="",$H248="",$N248=""),"",IF($S248="✅売却済","",IF($C248="売",IF($H248&gt;$F248*(1-V811設定!$B$3),$N248,MIN($N248,IF($Q248="",$N248,$Q248*1.03))),IF($H248&lt;$F248*(1+V811設定!$B$3),$N248,MAX($N248,IF($P248="",$N248,$P248*0.97))))))</f>
      </c>
      <c r="S248" s="480" t="str">
        <f>IF(B248="","",IF(T248&lt;&gt;"","✅売却済",IF(OR(H248="",L248=""),"📌保有中",IF(L248&gt;=0.06,"🟢利確推奨",IF(L248&gt;=0.05,"🟡利確直近",IF(L248&gt;=0.045,"🔵トレーリング検討",IF(L248&gt;-0.03,"📌保有中",IF(L248&gt;-0.04,"⚠️損切注意","🔴損切り"))))))))</f>
        <v/>
      </c>
      <c r="T248" s="596"/>
      <c r="U248" s="598"/>
      <c r="V248" s="703" t="str">
        <f>IF(OR(F248="",G248="",U248=""),"",IF(C248="売",(F248-U248)*G248,(U248-F248)*G248))</f>
        <v/>
      </c>
      <c r="W248" s="480" t="str">
        <f>IF(OR($E248="",$B248=""),"",IF($T248&lt;&gt;"",$T248-$E248,TODAY()-$E248)+1)</f>
        <v/>
      </c>
      <c r="X248" s="480" t="str">
        <f>IF(OR($AH248="",$AH248="保有中"),"",$AH248)</f>
        <v/>
      </c>
      <c r="Y248" s="488"/>
      <c r="Z248" s="710"/>
      <c r="AD248" s="608"/>
      <c r="AE248" s="600" t="str">
        <f>IF($E248="","",WORKDAY($E248,12))</f>
        <v/>
      </c>
      <c r="AF248" s="600" t="str" cm="1">
        <f t="array" aca="1" ref="AF248" ca="1">IF(OR($B248="",$M248=""),"",IFERROR(IF($C248="売",_xlfn.MINIFS(安値!$E$3:$IT$3,安値!$E$3:$IT$3,"&gt;"&amp;$E248,安値!$E$3:$IT$3,"&lt;="&amp;$AE248,OFFSET(安値!$E$6:$IT$6,MATCH(TEXT($B248,"0"),TEXT(銘柄管理!$B$6:$B$305,"0"),0)-1,0),"&lt;="&amp;$M248),_xlfn.MINIFS(高値!$E$3:$IT$3,高値!$E$3:$IT$3,"&gt;"&amp;$E248,高値!$E$3:$IT$3,"&lt;="&amp;$AE248,OFFSET(高値!$E$6:$IT$6,MATCH(TEXT($B248,"0"),TEXT(銘柄管理!$B$6:$B$305,"0"),0)-1,0),"&gt;="&amp;$M248)),""))</f>
        <v/>
      </c>
      <c r="AG248" s="600" t="str" cm="1">
        <f t="array" aca="1" ref="AG248" ca="1">IF(OR($B248="",$N248=""),"",IFERROR(IF($C248="売",_xlfn.MINIFS(高値!$E$3:$IT$3,高値!$E$3:$IT$3,"&gt;"&amp;$E248,高値!$E$3:$IT$3,"&lt;="&amp;$AE248,OFFSET(高値!$E$6:$IT$6,MATCH(TEXT($B248,"0"),TEXT(銘柄管理!$B$6:$B$305,"0"),0)-1,0),"&gt;="&amp;$N248),_xlfn.MINIFS(安値!$E$3:$IT$3,安値!$E$3:$IT$3,"&gt;"&amp;$E248,安値!$E$3:$IT$3,"&lt;="&amp;$AE248,OFFSET(安値!$E$6:$IT$6,MATCH(TEXT($B248,"0"),TEXT(銘柄管理!$B$6:$B$305,"0"),0)-1,0),"&lt;="&amp;$N248)),""))</f>
        <v/>
      </c>
      <c r="AH248" s="600" t="str">
        <f>IF(OR($B248="",$M248=""),"",IF(AND(N($AF248)=0,N($AG248)=0),IF(AND(ISNUMBER($H248),$H248&gt;0,IF($C248="売",$H248&gt;=$N248,$H248&lt;=$N248)),"損切確定",IF(AND(ISNUMBER($H248),$H248&gt;0,IF($C248="売",$H248&lt;=$M248,$H248&gt;=$M248)),"利益確定",IF($AE248&lt;=TODAY(),"日数制限","保有中"))),IF(N($AG248)=0,"利益確定",IF(N($AF248)=0,"損切確定",IF($AG248&lt;=$AF248,"損切確定","利益確定")))))</f>
        <v/>
      </c>
      <c r="AI248" s="600" t="str" cm="1">
        <f t="array" ref="AI248">IFERROR(INDEX(始値!$E$6:$IT$305,MATCH(TEXT($B248,"0"),TEXT(銘柄管理!$B$6:$B$305,"0"),0),MATCH($AE248,始値!$E$3:$IT$3,0)),"")</f>
        <v/>
      </c>
      <c r="AJ248" s="608" t="str">
        <f>IF(OR($V248="",$F248="",$G248=""),"",$V248/($F248*$G248))</f>
        <v/>
      </c>
      <c r="AK248" s="600" t="str">
        <f>IF($V248="","",IF($V248&gt;0,"○勝",IF($V248&lt;0,"●負","△引分")))</f>
        <v/>
      </c>
    </row>
    <row r="249" spans="1:37" ht="17.25" customHeight="1">
      <c r="A249" s="621" t="str">
        <f>IF(B249="","",HYPERLINK("https://kabutan.jp/stock/?code="&amp;B249,"株探"))</f>
        <v/>
      </c>
      <c r="B249" s="480"/>
      <c r="C249" s="480"/>
      <c r="D249" s="480" t="str" cm="1">
        <f t="array" ref="D249">_xll.RssMarket(B249, "銘柄名称")</f>
        <v/>
      </c>
      <c r="E249" s="717"/>
      <c r="F249" s="698" t="str" cm="1">
        <f t="array" aca="1" ref="F249" ca="1">IFERROR(_xlfn.LET(_xlpm.r,MATCH(TEXT($B249,"0"),TEXT(銘柄管理!$B$6:$B$305,"0"),0),_xlpm.t,MOD(NOW(),1),_xlpm.c,IF($E249=TODAY(),IF(_xlpm.t&gt;=TIME(15,30,0),NA(),1),IF(MATCH($E249,始値!$E$3:$IT$3,0)=1,1,MATCH($E249,始値!$E$3:$IT$3,0)+1)),_xlpm.v,INDEX(始値!$C$6:$IT$305,_xlpm.r,_xlpm.c),IF(N(_xlpm.v)=0,"",_xlpm.v)),"")</f>
        <v/>
      </c>
      <c r="G249" s="480"/>
      <c r="H249" s="480" t="str" cm="1">
        <f t="array" ref="H249">_xll.RssMarket(B249, "現在値")</f>
        <v/>
      </c>
      <c r="I249" s="480" t="str" cm="1">
        <f t="array" ref="I249">_xll.RssMarket(B249, "出来高加重平均")</f>
        <v/>
      </c>
      <c r="J249" s="702" t="str" cm="1">
        <f t="array" ref="J249">_xll.RssMarket($B249, "前日比")</f>
        <v/>
      </c>
      <c r="K249" s="703" t="str">
        <f>IF(OR(F249="",G249="",H249=""),"",IF(C249="売",(F249-H249)*G249,(H249-F249)*G249))</f>
        <v/>
      </c>
      <c r="L249" s="708" t="str">
        <f>IF(OR(F249="",H249=""),"",IF(C249="売",(F249-H249)/F249,(H249-F249)/F249))</f>
        <v/>
      </c>
      <c r="M249" s="598" t="str">
        <f>IF($F249="","",$F249*IF($C249="売",1-V811設定!$B$4,1+V811設定!$B$4)-MOD($F249*IF($C249="売",1-V811設定!$B$4,1+V811設定!$B$4),IF($F249&lt;=3000,1,IF($F249&lt;=5000,5,IF($F249&lt;=30000,10,IF($F249&lt;=50000,50,IF($F249&lt;=300000,100,500))))))+IF(AND($C249="売",MOD($F249*IF($C249="売",1-V811設定!$B$4,1+V811設定!$B$4),IF($F249&lt;=3000,1,IF($F249&lt;=5000,5,IF($F249&lt;=30000,10,IF($F249&lt;=50000,50,IF($F249&lt;=300000,100,500))))))&gt;0),IF($F249&lt;=3000,1,IF($F249&lt;=5000,5,IF($F249&lt;=30000,10,IF($F249&lt;=50000,50,IF($F249&lt;=300000,100,500))))),0))</f>
      </c>
      <c r="N249" s="598" t="str">
        <f>IF($F249="","",$F249*IF($C249="売",1+V811設定!$B$3,1-V811設定!$B$3)-MOD($F249*IF($C249="売",1+V811設定!$B$3,1-V811設定!$B$3),IF($F249&lt;=3000,1,IF($F249&lt;=5000,5,IF($F249&lt;=30000,10,IF($F249&lt;=50000,50,IF($F249&lt;=300000,100,500))))))+IF(AND($C249="売",MOD($F249*IF($C249="売",1+V811設定!$B$3,1-V811設定!$B$3),IF($F249&lt;=3000,1,IF($F249&lt;=5000,5,IF($F249&lt;=30000,10,IF($F249&lt;=50000,50,IF($F249&lt;=300000,100,500))))))&gt;0),IF($F249&lt;=3000,1,IF($F249&lt;=5000,5,IF($F249&lt;=30000,10,IF($F249&lt;=50000,50,IF($F249&lt;=300000,100,500))))),0))</f>
      </c>
      <c r="O249" s="478" t="str">
        <f>IF(OR($B249="",$F249="",$H249=""),"",IF($S249="✅売却済","―決済済―",IF($C249="売",IF($H249&lt;=$M249,"🟢利確",IF(AND($R249&lt;&gt;"",$H249&gt;=$R249),"🟠TRAIL",IF($H249&gt;=$N249,"🔴損切",IF($W249&gt;=V811設定!$B$6,"⏱時間決済",IF($H249&gt;=$F249*(1+V811設定!$B$3*0.7),"⚠️損切接近","保持継続"))))),IF($H249&gt;=$M249,"🟢利確",IF(AND($R249&lt;&gt;"",$H249&lt;=$R249),"🟠TRAIL",IF($H249&lt;=$N249,"🔴損切",IF($W249&gt;=V811設定!$B$6,"⏱時間決済",IF($H249&lt;=$F249*(1-V811設定!$B$3*0.7),"⚠️損切接近","保持継続"))))))))</f>
      </c>
      <c r="P249" s="445"/>
      <c r="Q249" s="445"/>
      <c r="R249" s="480" t="str">
        <f>IF(OR($F249="",$H249="",$N249=""),"",IF($S249="✅売却済","",IF($C249="売",IF($H249&gt;$F249*(1-V811設定!$B$3),$N249,MIN($N249,IF($Q249="",$N249,$Q249*1.03))),IF($H249&lt;$F249*(1+V811設定!$B$3),$N249,MAX($N249,IF($P249="",$N249,$P249*0.97))))))</f>
      </c>
      <c r="S249" s="480" t="str">
        <f>IF(B249="","",IF(T249&lt;&gt;"","✅売却済",IF(OR(H249="",L249=""),"📌保有中",IF(L249&gt;=0.06,"🟢利確推奨",IF(L249&gt;=0.05,"🟡利確直近",IF(L249&gt;=0.045,"🔵トレーリング検討",IF(L249&gt;-0.03,"📌保有中",IF(L249&gt;-0.04,"⚠️損切注意","🔴損切り"))))))))</f>
        <v/>
      </c>
      <c r="T249" s="596"/>
      <c r="U249" s="598"/>
      <c r="V249" s="703" t="str">
        <f>IF(OR(F249="",G249="",U249=""),"",IF(C249="売",(F249-U249)*G249,(U249-F249)*G249))</f>
        <v/>
      </c>
      <c r="W249" s="480" t="str">
        <f>IF(OR($E249="",$B249=""),"",IF($T249&lt;&gt;"",$T249-$E249,TODAY()-$E249)+1)</f>
        <v/>
      </c>
      <c r="X249" s="480" t="str">
        <f>IF(OR($AH249="",$AH249="保有中"),"",$AH249)</f>
        <v/>
      </c>
      <c r="Y249" s="488"/>
      <c r="Z249" s="710"/>
      <c r="AD249" s="608"/>
      <c r="AE249" s="600" t="str">
        <f>IF($E249="","",WORKDAY($E249,12))</f>
        <v/>
      </c>
      <c r="AF249" s="600" t="str" cm="1">
        <f t="array" aca="1" ref="AF249" ca="1">IF(OR($B249="",$M249=""),"",IFERROR(IF($C249="売",_xlfn.MINIFS(安値!$E$3:$IT$3,安値!$E$3:$IT$3,"&gt;"&amp;$E249,安値!$E$3:$IT$3,"&lt;="&amp;$AE249,OFFSET(安値!$E$6:$IT$6,MATCH(TEXT($B249,"0"),TEXT(銘柄管理!$B$6:$B$305,"0"),0)-1,0),"&lt;="&amp;$M249),_xlfn.MINIFS(高値!$E$3:$IT$3,高値!$E$3:$IT$3,"&gt;"&amp;$E249,高値!$E$3:$IT$3,"&lt;="&amp;$AE249,OFFSET(高値!$E$6:$IT$6,MATCH(TEXT($B249,"0"),TEXT(銘柄管理!$B$6:$B$305,"0"),0)-1,0),"&gt;="&amp;$M249)),""))</f>
        <v/>
      </c>
      <c r="AG249" s="600" t="str" cm="1">
        <f t="array" aca="1" ref="AG249" ca="1">IF(OR($B249="",$N249=""),"",IFERROR(IF($C249="売",_xlfn.MINIFS(高値!$E$3:$IT$3,高値!$E$3:$IT$3,"&gt;"&amp;$E249,高値!$E$3:$IT$3,"&lt;="&amp;$AE249,OFFSET(高値!$E$6:$IT$6,MATCH(TEXT($B249,"0"),TEXT(銘柄管理!$B$6:$B$305,"0"),0)-1,0),"&gt;="&amp;$N249),_xlfn.MINIFS(安値!$E$3:$IT$3,安値!$E$3:$IT$3,"&gt;"&amp;$E249,安値!$E$3:$IT$3,"&lt;="&amp;$AE249,OFFSET(安値!$E$6:$IT$6,MATCH(TEXT($B249,"0"),TEXT(銘柄管理!$B$6:$B$305,"0"),0)-1,0),"&lt;="&amp;$N249)),""))</f>
        <v/>
      </c>
      <c r="AH249" s="600" t="str">
        <f>IF(OR($B249="",$M249=""),"",IF(AND(N($AF249)=0,N($AG249)=0),IF(AND(ISNUMBER($H249),$H249&gt;0,IF($C249="売",$H249&gt;=$N249,$H249&lt;=$N249)),"損切確定",IF(AND(ISNUMBER($H249),$H249&gt;0,IF($C249="売",$H249&lt;=$M249,$H249&gt;=$M249)),"利益確定",IF($AE249&lt;=TODAY(),"日数制限","保有中"))),IF(N($AG249)=0,"利益確定",IF(N($AF249)=0,"損切確定",IF($AG249&lt;=$AF249,"損切確定","利益確定")))))</f>
        <v/>
      </c>
      <c r="AI249" s="600" t="str" cm="1">
        <f t="array" ref="AI249">IFERROR(INDEX(始値!$E$6:$IT$305,MATCH(TEXT($B249,"0"),TEXT(銘柄管理!$B$6:$B$305,"0"),0),MATCH($AE249,始値!$E$3:$IT$3,0)),"")</f>
        <v/>
      </c>
      <c r="AJ249" s="608" t="str">
        <f>IF(OR($V249="",$F249="",$G249=""),"",$V249/($F249*$G249))</f>
        <v/>
      </c>
      <c r="AK249" s="600" t="str">
        <f>IF($V249="","",IF($V249&gt;0,"○勝",IF($V249&lt;0,"●負","△引分")))</f>
        <v/>
      </c>
    </row>
    <row r="250" spans="1:37" ht="17.25" customHeight="1">
      <c r="A250" s="621" t="str">
        <f>IF(B250="","",HYPERLINK("https://kabutan.jp/stock/?code="&amp;B250,"株探"))</f>
        <v/>
      </c>
      <c r="B250" s="480"/>
      <c r="C250" s="480"/>
      <c r="D250" s="480" t="str" cm="1">
        <f t="array" ref="D250">_xll.RssMarket(B250, "銘柄名称")</f>
        <v/>
      </c>
      <c r="E250" s="717"/>
      <c r="F250" s="698" t="str" cm="1">
        <f t="array" aca="1" ref="F250" ca="1">IFERROR(_xlfn.LET(_xlpm.r,MATCH(TEXT($B250,"0"),TEXT(銘柄管理!$B$6:$B$305,"0"),0),_xlpm.t,MOD(NOW(),1),_xlpm.c,IF($E250=TODAY(),IF(_xlpm.t&gt;=TIME(15,30,0),NA(),1),IF(MATCH($E250,始値!$E$3:$IT$3,0)=1,1,MATCH($E250,始値!$E$3:$IT$3,0)+1)),_xlpm.v,INDEX(始値!$C$6:$IT$305,_xlpm.r,_xlpm.c),IF(N(_xlpm.v)=0,"",_xlpm.v)),"")</f>
        <v/>
      </c>
      <c r="G250" s="480"/>
      <c r="H250" s="480" t="str" cm="1">
        <f t="array" ref="H250">_xll.RssMarket(B250, "現在値")</f>
        <v/>
      </c>
      <c r="I250" s="480" t="str" cm="1">
        <f t="array" ref="I250">_xll.RssMarket(B250, "出来高加重平均")</f>
        <v/>
      </c>
      <c r="J250" s="702" t="str" cm="1">
        <f t="array" ref="J250">_xll.RssMarket($B250, "前日比")</f>
        <v/>
      </c>
      <c r="K250" s="703" t="str">
        <f>IF(OR(F250="",G250="",H250=""),"",IF(C250="売",(F250-H250)*G250,(H250-F250)*G250))</f>
        <v/>
      </c>
      <c r="L250" s="708" t="str">
        <f>IF(OR(F250="",H250=""),"",IF(C250="売",(F250-H250)/F250,(H250-F250)/F250))</f>
        <v/>
      </c>
      <c r="M250" s="598" t="str">
        <f>IF($F250="","",$F250*IF($C250="売",1-V811設定!$B$4,1+V811設定!$B$4)-MOD($F250*IF($C250="売",1-V811設定!$B$4,1+V811設定!$B$4),IF($F250&lt;=3000,1,IF($F250&lt;=5000,5,IF($F250&lt;=30000,10,IF($F250&lt;=50000,50,IF($F250&lt;=300000,100,500))))))+IF(AND($C250="売",MOD($F250*IF($C250="売",1-V811設定!$B$4,1+V811設定!$B$4),IF($F250&lt;=3000,1,IF($F250&lt;=5000,5,IF($F250&lt;=30000,10,IF($F250&lt;=50000,50,IF($F250&lt;=300000,100,500))))))&gt;0),IF($F250&lt;=3000,1,IF($F250&lt;=5000,5,IF($F250&lt;=30000,10,IF($F250&lt;=50000,50,IF($F250&lt;=300000,100,500))))),0))</f>
      </c>
      <c r="N250" s="598" t="str">
        <f>IF($F250="","",$F250*IF($C250="売",1+V811設定!$B$3,1-V811設定!$B$3)-MOD($F250*IF($C250="売",1+V811設定!$B$3,1-V811設定!$B$3),IF($F250&lt;=3000,1,IF($F250&lt;=5000,5,IF($F250&lt;=30000,10,IF($F250&lt;=50000,50,IF($F250&lt;=300000,100,500))))))+IF(AND($C250="売",MOD($F250*IF($C250="売",1+V811設定!$B$3,1-V811設定!$B$3),IF($F250&lt;=3000,1,IF($F250&lt;=5000,5,IF($F250&lt;=30000,10,IF($F250&lt;=50000,50,IF($F250&lt;=300000,100,500))))))&gt;0),IF($F250&lt;=3000,1,IF($F250&lt;=5000,5,IF($F250&lt;=30000,10,IF($F250&lt;=50000,50,IF($F250&lt;=300000,100,500))))),0))</f>
      </c>
      <c r="O250" s="478" t="str">
        <f>IF(OR($B250="",$F250="",$H250=""),"",IF($S250="✅売却済","―決済済―",IF($C250="売",IF($H250&lt;=$M250,"🟢利確",IF(AND($R250&lt;&gt;"",$H250&gt;=$R250),"🟠TRAIL",IF($H250&gt;=$N250,"🔴損切",IF($W250&gt;=V811設定!$B$6,"⏱時間決済",IF($H250&gt;=$F250*(1+V811設定!$B$3*0.7),"⚠️損切接近","保持継続"))))),IF($H250&gt;=$M250,"🟢利確",IF(AND($R250&lt;&gt;"",$H250&lt;=$R250),"🟠TRAIL",IF($H250&lt;=$N250,"🔴損切",IF($W250&gt;=V811設定!$B$6,"⏱時間決済",IF($H250&lt;=$F250*(1-V811設定!$B$3*0.7),"⚠️損切接近","保持継続"))))))))</f>
      </c>
      <c r="P250" s="445"/>
      <c r="Q250" s="445"/>
      <c r="R250" s="480" t="str">
        <f>IF(OR($F250="",$H250="",$N250=""),"",IF($S250="✅売却済","",IF($C250="売",IF($H250&gt;$F250*(1-V811設定!$B$3),$N250,MIN($N250,IF($Q250="",$N250,$Q250*1.03))),IF($H250&lt;$F250*(1+V811設定!$B$3),$N250,MAX($N250,IF($P250="",$N250,$P250*0.97))))))</f>
      </c>
      <c r="S250" s="480" t="str">
        <f>IF(B250="","",IF(T250&lt;&gt;"","✅売却済",IF(OR(H250="",L250=""),"📌保有中",IF(L250&gt;=0.06,"🟢利確推奨",IF(L250&gt;=0.05,"🟡利確直近",IF(L250&gt;=0.045,"🔵トレーリング検討",IF(L250&gt;-0.03,"📌保有中",IF(L250&gt;-0.04,"⚠️損切注意","🔴損切り"))))))))</f>
        <v/>
      </c>
      <c r="T250" s="596"/>
      <c r="U250" s="598"/>
      <c r="V250" s="703" t="str">
        <f>IF(OR(F250="",G250="",U250=""),"",IF(C250="売",(F250-U250)*G250,(U250-F250)*G250))</f>
        <v/>
      </c>
      <c r="W250" s="480" t="str">
        <f>IF(OR($E250="",$B250=""),"",IF($T250&lt;&gt;"",$T250-$E250,TODAY()-$E250)+1)</f>
        <v/>
      </c>
      <c r="X250" s="480" t="str">
        <f>IF(OR($AH250="",$AH250="保有中"),"",$AH250)</f>
        <v/>
      </c>
      <c r="Y250" s="488"/>
      <c r="Z250" s="710"/>
      <c r="AD250" s="608"/>
      <c r="AE250" s="600" t="str">
        <f>IF($E250="","",WORKDAY($E250,12))</f>
        <v/>
      </c>
      <c r="AF250" s="600" t="str" cm="1">
        <f t="array" aca="1" ref="AF250" ca="1">IF(OR($B250="",$M250=""),"",IFERROR(IF($C250="売",_xlfn.MINIFS(安値!$E$3:$IT$3,安値!$E$3:$IT$3,"&gt;"&amp;$E250,安値!$E$3:$IT$3,"&lt;="&amp;$AE250,OFFSET(安値!$E$6:$IT$6,MATCH(TEXT($B250,"0"),TEXT(銘柄管理!$B$6:$B$305,"0"),0)-1,0),"&lt;="&amp;$M250),_xlfn.MINIFS(高値!$E$3:$IT$3,高値!$E$3:$IT$3,"&gt;"&amp;$E250,高値!$E$3:$IT$3,"&lt;="&amp;$AE250,OFFSET(高値!$E$6:$IT$6,MATCH(TEXT($B250,"0"),TEXT(銘柄管理!$B$6:$B$305,"0"),0)-1,0),"&gt;="&amp;$M250)),""))</f>
        <v/>
      </c>
      <c r="AG250" s="600" t="str" cm="1">
        <f t="array" aca="1" ref="AG250" ca="1">IF(OR($B250="",$N250=""),"",IFERROR(IF($C250="売",_xlfn.MINIFS(高値!$E$3:$IT$3,高値!$E$3:$IT$3,"&gt;"&amp;$E250,高値!$E$3:$IT$3,"&lt;="&amp;$AE250,OFFSET(高値!$E$6:$IT$6,MATCH(TEXT($B250,"0"),TEXT(銘柄管理!$B$6:$B$305,"0"),0)-1,0),"&gt;="&amp;$N250),_xlfn.MINIFS(安値!$E$3:$IT$3,安値!$E$3:$IT$3,"&gt;"&amp;$E250,安値!$E$3:$IT$3,"&lt;="&amp;$AE250,OFFSET(安値!$E$6:$IT$6,MATCH(TEXT($B250,"0"),TEXT(銘柄管理!$B$6:$B$305,"0"),0)-1,0),"&lt;="&amp;$N250)),""))</f>
        <v/>
      </c>
      <c r="AH250" s="600" t="str">
        <f>IF(OR($B250="",$M250=""),"",IF(AND(N($AF250)=0,N($AG250)=0),IF(AND(ISNUMBER($H250),$H250&gt;0,IF($C250="売",$H250&gt;=$N250,$H250&lt;=$N250)),"損切確定",IF(AND(ISNUMBER($H250),$H250&gt;0,IF($C250="売",$H250&lt;=$M250,$H250&gt;=$M250)),"利益確定",IF($AE250&lt;=TODAY(),"日数制限","保有中"))),IF(N($AG250)=0,"利益確定",IF(N($AF250)=0,"損切確定",IF($AG250&lt;=$AF250,"損切確定","利益確定")))))</f>
        <v/>
      </c>
      <c r="AI250" s="600" t="str" cm="1">
        <f t="array" ref="AI250">IFERROR(INDEX(始値!$E$6:$IT$305,MATCH(TEXT($B250,"0"),TEXT(銘柄管理!$B$6:$B$305,"0"),0),MATCH($AE250,始値!$E$3:$IT$3,0)),"")</f>
        <v/>
      </c>
      <c r="AJ250" s="608" t="str">
        <f>IF(OR($V250="",$F250="",$G250=""),"",$V250/($F250*$G250))</f>
        <v/>
      </c>
      <c r="AK250" s="600" t="str">
        <f>IF($V250="","",IF($V250&gt;0,"○勝",IF($V250&lt;0,"●負","△引分")))</f>
        <v/>
      </c>
    </row>
    <row r="251" spans="1:37" ht="17.25" customHeight="1">
      <c r="A251" s="621" t="str">
        <f>IF(B251="","",HYPERLINK("https://kabutan.jp/stock/?code="&amp;B251,"株探"))</f>
        <v/>
      </c>
      <c r="B251" s="480"/>
      <c r="C251" s="480"/>
      <c r="D251" s="480" t="str" cm="1">
        <f t="array" ref="D251">_xll.RssMarket(B251, "銘柄名称")</f>
        <v/>
      </c>
      <c r="E251" s="717"/>
      <c r="F251" s="698" t="str" cm="1">
        <f t="array" aca="1" ref="F251" ca="1">IFERROR(_xlfn.LET(_xlpm.r,MATCH(TEXT($B251,"0"),TEXT(銘柄管理!$B$6:$B$305,"0"),0),_xlpm.t,MOD(NOW(),1),_xlpm.c,IF($E251=TODAY(),IF(_xlpm.t&gt;=TIME(15,30,0),NA(),1),IF(MATCH($E251,始値!$E$3:$IT$3,0)=1,1,MATCH($E251,始値!$E$3:$IT$3,0)+1)),_xlpm.v,INDEX(始値!$C$6:$IT$305,_xlpm.r,_xlpm.c),IF(N(_xlpm.v)=0,"",_xlpm.v)),"")</f>
        <v/>
      </c>
      <c r="G251" s="480"/>
      <c r="H251" s="480" t="str" cm="1">
        <f t="array" ref="H251">_xll.RssMarket(B251, "現在値")</f>
        <v/>
      </c>
      <c r="I251" s="480" t="str" cm="1">
        <f t="array" ref="I251">_xll.RssMarket(B251, "出来高加重平均")</f>
        <v/>
      </c>
      <c r="J251" s="702" t="str" cm="1">
        <f t="array" ref="J251">_xll.RssMarket($B251, "前日比")</f>
        <v/>
      </c>
      <c r="K251" s="703" t="str">
        <f>IF(OR(F251="",G251="",H251=""),"",IF(C251="売",(F251-H251)*G251,(H251-F251)*G251))</f>
        <v/>
      </c>
      <c r="L251" s="708" t="str">
        <f>IF(OR(F251="",H251=""),"",IF(C251="売",(F251-H251)/F251,(H251-F251)/F251))</f>
        <v/>
      </c>
      <c r="M251" s="598" t="str">
        <f>IF($F251="","",$F251*IF($C251="売",1-V811設定!$B$4,1+V811設定!$B$4)-MOD($F251*IF($C251="売",1-V811設定!$B$4,1+V811設定!$B$4),IF($F251&lt;=3000,1,IF($F251&lt;=5000,5,IF($F251&lt;=30000,10,IF($F251&lt;=50000,50,IF($F251&lt;=300000,100,500))))))+IF(AND($C251="売",MOD($F251*IF($C251="売",1-V811設定!$B$4,1+V811設定!$B$4),IF($F251&lt;=3000,1,IF($F251&lt;=5000,5,IF($F251&lt;=30000,10,IF($F251&lt;=50000,50,IF($F251&lt;=300000,100,500))))))&gt;0),IF($F251&lt;=3000,1,IF($F251&lt;=5000,5,IF($F251&lt;=30000,10,IF($F251&lt;=50000,50,IF($F251&lt;=300000,100,500))))),0))</f>
      </c>
      <c r="N251" s="598" t="str">
        <f>IF($F251="","",$F251*IF($C251="売",1+V811設定!$B$3,1-V811設定!$B$3)-MOD($F251*IF($C251="売",1+V811設定!$B$3,1-V811設定!$B$3),IF($F251&lt;=3000,1,IF($F251&lt;=5000,5,IF($F251&lt;=30000,10,IF($F251&lt;=50000,50,IF($F251&lt;=300000,100,500))))))+IF(AND($C251="売",MOD($F251*IF($C251="売",1+V811設定!$B$3,1-V811設定!$B$3),IF($F251&lt;=3000,1,IF($F251&lt;=5000,5,IF($F251&lt;=30000,10,IF($F251&lt;=50000,50,IF($F251&lt;=300000,100,500))))))&gt;0),IF($F251&lt;=3000,1,IF($F251&lt;=5000,5,IF($F251&lt;=30000,10,IF($F251&lt;=50000,50,IF($F251&lt;=300000,100,500))))),0))</f>
      </c>
      <c r="O251" s="478" t="str">
        <f>IF(OR($B251="",$F251="",$H251=""),"",IF($S251="✅売却済","―決済済―",IF($C251="売",IF($H251&lt;=$M251,"🟢利確",IF(AND($R251&lt;&gt;"",$H251&gt;=$R251),"🟠TRAIL",IF($H251&gt;=$N251,"🔴損切",IF($W251&gt;=V811設定!$B$6,"⏱時間決済",IF($H251&gt;=$F251*(1+V811設定!$B$3*0.7),"⚠️損切接近","保持継続"))))),IF($H251&gt;=$M251,"🟢利確",IF(AND($R251&lt;&gt;"",$H251&lt;=$R251),"🟠TRAIL",IF($H251&lt;=$N251,"🔴損切",IF($W251&gt;=V811設定!$B$6,"⏱時間決済",IF($H251&lt;=$F251*(1-V811設定!$B$3*0.7),"⚠️損切接近","保持継続"))))))))</f>
      </c>
      <c r="P251" s="445"/>
      <c r="Q251" s="445"/>
      <c r="R251" s="480" t="str">
        <f>IF(OR($F251="",$H251="",$N251=""),"",IF($S251="✅売却済","",IF($C251="売",IF($H251&gt;$F251*(1-V811設定!$B$3),$N251,MIN($N251,IF($Q251="",$N251,$Q251*1.03))),IF($H251&lt;$F251*(1+V811設定!$B$3),$N251,MAX($N251,IF($P251="",$N251,$P251*0.97))))))</f>
      </c>
      <c r="S251" s="480" t="str">
        <f>IF(B251="","",IF(T251&lt;&gt;"","✅売却済",IF(OR(H251="",L251=""),"📌保有中",IF(L251&gt;=0.06,"🟢利確推奨",IF(L251&gt;=0.05,"🟡利確直近",IF(L251&gt;=0.045,"🔵トレーリング検討",IF(L251&gt;-0.03,"📌保有中",IF(L251&gt;-0.04,"⚠️損切注意","🔴損切り"))))))))</f>
        <v/>
      </c>
      <c r="T251" s="596"/>
      <c r="U251" s="598"/>
      <c r="V251" s="703" t="str">
        <f>IF(OR(F251="",G251="",U251=""),"",IF(C251="売",(F251-U251)*G251,(U251-F251)*G251))</f>
        <v/>
      </c>
      <c r="W251" s="480" t="str">
        <f>IF(OR($E251="",$B251=""),"",IF($T251&lt;&gt;"",$T251-$E251,TODAY()-$E251)+1)</f>
        <v/>
      </c>
      <c r="X251" s="480" t="str">
        <f>IF(OR($AH251="",$AH251="保有中"),"",$AH251)</f>
        <v/>
      </c>
      <c r="Y251" s="488"/>
      <c r="Z251" s="710"/>
      <c r="AD251" s="608"/>
      <c r="AE251" s="600" t="str">
        <f>IF($E251="","",WORKDAY($E251,12))</f>
        <v/>
      </c>
      <c r="AF251" s="600" t="str" cm="1">
        <f t="array" aca="1" ref="AF251" ca="1">IF(OR($B251="",$M251=""),"",IFERROR(IF($C251="売",_xlfn.MINIFS(安値!$E$3:$IT$3,安値!$E$3:$IT$3,"&gt;"&amp;$E251,安値!$E$3:$IT$3,"&lt;="&amp;$AE251,OFFSET(安値!$E$6:$IT$6,MATCH(TEXT($B251,"0"),TEXT(銘柄管理!$B$6:$B$305,"0"),0)-1,0),"&lt;="&amp;$M251),_xlfn.MINIFS(高値!$E$3:$IT$3,高値!$E$3:$IT$3,"&gt;"&amp;$E251,高値!$E$3:$IT$3,"&lt;="&amp;$AE251,OFFSET(高値!$E$6:$IT$6,MATCH(TEXT($B251,"0"),TEXT(銘柄管理!$B$6:$B$305,"0"),0)-1,0),"&gt;="&amp;$M251)),""))</f>
        <v/>
      </c>
      <c r="AG251" s="600" t="str" cm="1">
        <f t="array" aca="1" ref="AG251" ca="1">IF(OR($B251="",$N251=""),"",IFERROR(IF($C251="売",_xlfn.MINIFS(高値!$E$3:$IT$3,高値!$E$3:$IT$3,"&gt;"&amp;$E251,高値!$E$3:$IT$3,"&lt;="&amp;$AE251,OFFSET(高値!$E$6:$IT$6,MATCH(TEXT($B251,"0"),TEXT(銘柄管理!$B$6:$B$305,"0"),0)-1,0),"&gt;="&amp;$N251),_xlfn.MINIFS(安値!$E$3:$IT$3,安値!$E$3:$IT$3,"&gt;"&amp;$E251,安値!$E$3:$IT$3,"&lt;="&amp;$AE251,OFFSET(安値!$E$6:$IT$6,MATCH(TEXT($B251,"0"),TEXT(銘柄管理!$B$6:$B$305,"0"),0)-1,0),"&lt;="&amp;$N251)),""))</f>
        <v/>
      </c>
      <c r="AH251" s="600" t="str">
        <f>IF(OR($B251="",$M251=""),"",IF(AND(N($AF251)=0,N($AG251)=0),IF(AND(ISNUMBER($H251),$H251&gt;0,IF($C251="売",$H251&gt;=$N251,$H251&lt;=$N251)),"損切確定",IF(AND(ISNUMBER($H251),$H251&gt;0,IF($C251="売",$H251&lt;=$M251,$H251&gt;=$M251)),"利益確定",IF($AE251&lt;=TODAY(),"日数制限","保有中"))),IF(N($AG251)=0,"利益確定",IF(N($AF251)=0,"損切確定",IF($AG251&lt;=$AF251,"損切確定","利益確定")))))</f>
        <v/>
      </c>
      <c r="AI251" s="600" t="str" cm="1">
        <f t="array" ref="AI251">IFERROR(INDEX(始値!$E$6:$IT$305,MATCH(TEXT($B251,"0"),TEXT(銘柄管理!$B$6:$B$305,"0"),0),MATCH($AE251,始値!$E$3:$IT$3,0)),"")</f>
        <v/>
      </c>
      <c r="AJ251" s="608" t="str">
        <f>IF(OR($V251="",$F251="",$G251=""),"",$V251/($F251*$G251))</f>
        <v/>
      </c>
      <c r="AK251" s="600" t="str">
        <f>IF($V251="","",IF($V251&gt;0,"○勝",IF($V251&lt;0,"●負","△引分")))</f>
        <v/>
      </c>
    </row>
    <row r="252" spans="1:37" ht="17.25" customHeight="1">
      <c r="A252" s="621" t="str">
        <f>IF(B252="","",HYPERLINK("https://kabutan.jp/stock/?code="&amp;B252,"株探"))</f>
        <v/>
      </c>
      <c r="B252" s="480"/>
      <c r="C252" s="480"/>
      <c r="D252" s="480" t="str" cm="1">
        <f t="array" ref="D252">_xll.RssMarket(B252, "銘柄名称")</f>
        <v/>
      </c>
      <c r="E252" s="717"/>
      <c r="F252" s="698" t="str" cm="1">
        <f t="array" aca="1" ref="F252" ca="1">IFERROR(_xlfn.LET(_xlpm.r,MATCH(TEXT($B252,"0"),TEXT(銘柄管理!$B$6:$B$305,"0"),0),_xlpm.t,MOD(NOW(),1),_xlpm.c,IF($E252=TODAY(),IF(_xlpm.t&gt;=TIME(15,30,0),NA(),1),IF(MATCH($E252,始値!$E$3:$IT$3,0)=1,1,MATCH($E252,始値!$E$3:$IT$3,0)+1)),_xlpm.v,INDEX(始値!$C$6:$IT$305,_xlpm.r,_xlpm.c),IF(N(_xlpm.v)=0,"",_xlpm.v)),"")</f>
        <v/>
      </c>
      <c r="G252" s="480"/>
      <c r="H252" s="480" t="str" cm="1">
        <f t="array" ref="H252">_xll.RssMarket(B252, "現在値")</f>
        <v/>
      </c>
      <c r="I252" s="480" t="str" cm="1">
        <f t="array" ref="I252">_xll.RssMarket(B252, "出来高加重平均")</f>
        <v/>
      </c>
      <c r="J252" s="702" t="str" cm="1">
        <f t="array" ref="J252">_xll.RssMarket($B252, "前日比")</f>
        <v/>
      </c>
      <c r="K252" s="703" t="str">
        <f>IF(OR(F252="",G252="",H252=""),"",IF(C252="売",(F252-H252)*G252,(H252-F252)*G252))</f>
        <v/>
      </c>
      <c r="L252" s="708" t="str">
        <f>IF(OR(F252="",H252=""),"",IF(C252="売",(F252-H252)/F252,(H252-F252)/F252))</f>
        <v/>
      </c>
      <c r="M252" s="598" t="str">
        <f>IF($F252="","",$F252*IF($C252="売",1-V811設定!$B$4,1+V811設定!$B$4)-MOD($F252*IF($C252="売",1-V811設定!$B$4,1+V811設定!$B$4),IF($F252&lt;=3000,1,IF($F252&lt;=5000,5,IF($F252&lt;=30000,10,IF($F252&lt;=50000,50,IF($F252&lt;=300000,100,500))))))+IF(AND($C252="売",MOD($F252*IF($C252="売",1-V811設定!$B$4,1+V811設定!$B$4),IF($F252&lt;=3000,1,IF($F252&lt;=5000,5,IF($F252&lt;=30000,10,IF($F252&lt;=50000,50,IF($F252&lt;=300000,100,500))))))&gt;0),IF($F252&lt;=3000,1,IF($F252&lt;=5000,5,IF($F252&lt;=30000,10,IF($F252&lt;=50000,50,IF($F252&lt;=300000,100,500))))),0))</f>
      </c>
      <c r="N252" s="598" t="str">
        <f>IF($F252="","",$F252*IF($C252="売",1+V811設定!$B$3,1-V811設定!$B$3)-MOD($F252*IF($C252="売",1+V811設定!$B$3,1-V811設定!$B$3),IF($F252&lt;=3000,1,IF($F252&lt;=5000,5,IF($F252&lt;=30000,10,IF($F252&lt;=50000,50,IF($F252&lt;=300000,100,500))))))+IF(AND($C252="売",MOD($F252*IF($C252="売",1+V811設定!$B$3,1-V811設定!$B$3),IF($F252&lt;=3000,1,IF($F252&lt;=5000,5,IF($F252&lt;=30000,10,IF($F252&lt;=50000,50,IF($F252&lt;=300000,100,500))))))&gt;0),IF($F252&lt;=3000,1,IF($F252&lt;=5000,5,IF($F252&lt;=30000,10,IF($F252&lt;=50000,50,IF($F252&lt;=300000,100,500))))),0))</f>
      </c>
      <c r="O252" s="478" t="str">
        <f>IF(OR($B252="",$F252="",$H252=""),"",IF($S252="✅売却済","―決済済―",IF($C252="売",IF($H252&lt;=$M252,"🟢利確",IF(AND($R252&lt;&gt;"",$H252&gt;=$R252),"🟠TRAIL",IF($H252&gt;=$N252,"🔴損切",IF($W252&gt;=V811設定!$B$6,"⏱時間決済",IF($H252&gt;=$F252*(1+V811設定!$B$3*0.7),"⚠️損切接近","保持継続"))))),IF($H252&gt;=$M252,"🟢利確",IF(AND($R252&lt;&gt;"",$H252&lt;=$R252),"🟠TRAIL",IF($H252&lt;=$N252,"🔴損切",IF($W252&gt;=V811設定!$B$6,"⏱時間決済",IF($H252&lt;=$F252*(1-V811設定!$B$3*0.7),"⚠️損切接近","保持継続"))))))))</f>
      </c>
      <c r="P252" s="445"/>
      <c r="Q252" s="445"/>
      <c r="R252" s="480" t="str">
        <f>IF(OR($F252="",$H252="",$N252=""),"",IF($S252="✅売却済","",IF($C252="売",IF($H252&gt;$F252*(1-V811設定!$B$3),$N252,MIN($N252,IF($Q252="",$N252,$Q252*1.03))),IF($H252&lt;$F252*(1+V811設定!$B$3),$N252,MAX($N252,IF($P252="",$N252,$P252*0.97))))))</f>
      </c>
      <c r="S252" s="480" t="str">
        <f>IF(B252="","",IF(T252&lt;&gt;"","✅売却済",IF(OR(H252="",L252=""),"📌保有中",IF(L252&gt;=0.06,"🟢利確推奨",IF(L252&gt;=0.05,"🟡利確直近",IF(L252&gt;=0.045,"🔵トレーリング検討",IF(L252&gt;-0.03,"📌保有中",IF(L252&gt;-0.04,"⚠️損切注意","🔴損切り"))))))))</f>
        <v/>
      </c>
      <c r="T252" s="596"/>
      <c r="U252" s="598"/>
      <c r="V252" s="703" t="str">
        <f>IF(OR(F252="",G252="",U252=""),"",IF(C252="売",(F252-U252)*G252,(U252-F252)*G252))</f>
        <v/>
      </c>
      <c r="W252" s="480" t="str">
        <f>IF(OR($E252="",$B252=""),"",IF($T252&lt;&gt;"",$T252-$E252,TODAY()-$E252)+1)</f>
        <v/>
      </c>
      <c r="X252" s="480" t="str">
        <f>IF(OR($AH252="",$AH252="保有中"),"",$AH252)</f>
        <v/>
      </c>
      <c r="Y252" s="488"/>
      <c r="Z252" s="710"/>
      <c r="AD252" s="608"/>
      <c r="AE252" s="600" t="str">
        <f>IF($E252="","",WORKDAY($E252,12))</f>
        <v/>
      </c>
      <c r="AF252" s="600" t="str" cm="1">
        <f t="array" aca="1" ref="AF252" ca="1">IF(OR($B252="",$M252=""),"",IFERROR(IF($C252="売",_xlfn.MINIFS(安値!$E$3:$IT$3,安値!$E$3:$IT$3,"&gt;"&amp;$E252,安値!$E$3:$IT$3,"&lt;="&amp;$AE252,OFFSET(安値!$E$6:$IT$6,MATCH(TEXT($B252,"0"),TEXT(銘柄管理!$B$6:$B$305,"0"),0)-1,0),"&lt;="&amp;$M252),_xlfn.MINIFS(高値!$E$3:$IT$3,高値!$E$3:$IT$3,"&gt;"&amp;$E252,高値!$E$3:$IT$3,"&lt;="&amp;$AE252,OFFSET(高値!$E$6:$IT$6,MATCH(TEXT($B252,"0"),TEXT(銘柄管理!$B$6:$B$305,"0"),0)-1,0),"&gt;="&amp;$M252)),""))</f>
        <v/>
      </c>
      <c r="AG252" s="600" t="str" cm="1">
        <f t="array" aca="1" ref="AG252" ca="1">IF(OR($B252="",$N252=""),"",IFERROR(IF($C252="売",_xlfn.MINIFS(高値!$E$3:$IT$3,高値!$E$3:$IT$3,"&gt;"&amp;$E252,高値!$E$3:$IT$3,"&lt;="&amp;$AE252,OFFSET(高値!$E$6:$IT$6,MATCH(TEXT($B252,"0"),TEXT(銘柄管理!$B$6:$B$305,"0"),0)-1,0),"&gt;="&amp;$N252),_xlfn.MINIFS(安値!$E$3:$IT$3,安値!$E$3:$IT$3,"&gt;"&amp;$E252,安値!$E$3:$IT$3,"&lt;="&amp;$AE252,OFFSET(安値!$E$6:$IT$6,MATCH(TEXT($B252,"0"),TEXT(銘柄管理!$B$6:$B$305,"0"),0)-1,0),"&lt;="&amp;$N252)),""))</f>
        <v/>
      </c>
      <c r="AH252" s="600" t="str">
        <f>IF(OR($B252="",$M252=""),"",IF(AND(N($AF252)=0,N($AG252)=0),IF(AND(ISNUMBER($H252),$H252&gt;0,IF($C252="売",$H252&gt;=$N252,$H252&lt;=$N252)),"損切確定",IF(AND(ISNUMBER($H252),$H252&gt;0,IF($C252="売",$H252&lt;=$M252,$H252&gt;=$M252)),"利益確定",IF($AE252&lt;=TODAY(),"日数制限","保有中"))),IF(N($AG252)=0,"利益確定",IF(N($AF252)=0,"損切確定",IF($AG252&lt;=$AF252,"損切確定","利益確定")))))</f>
        <v/>
      </c>
      <c r="AI252" s="600" t="str" cm="1">
        <f t="array" ref="AI252">IFERROR(INDEX(始値!$E$6:$IT$305,MATCH(TEXT($B252,"0"),TEXT(銘柄管理!$B$6:$B$305,"0"),0),MATCH($AE252,始値!$E$3:$IT$3,0)),"")</f>
        <v/>
      </c>
      <c r="AJ252" s="608" t="str">
        <f>IF(OR($V252="",$F252="",$G252=""),"",$V252/($F252*$G252))</f>
        <v/>
      </c>
      <c r="AK252" s="600" t="str">
        <f>IF($V252="","",IF($V252&gt;0,"○勝",IF($V252&lt;0,"●負","△引分")))</f>
        <v/>
      </c>
    </row>
    <row r="253" spans="1:37" ht="17.25" customHeight="1">
      <c r="A253" s="621" t="str">
        <f>IF(B253="","",HYPERLINK("https://kabutan.jp/stock/?code="&amp;B253,"株探"))</f>
        <v/>
      </c>
      <c r="B253" s="480"/>
      <c r="C253" s="480"/>
      <c r="D253" s="480" t="str" cm="1">
        <f t="array" ref="D253">_xll.RssMarket(B253, "銘柄名称")</f>
        <v/>
      </c>
      <c r="E253" s="717"/>
      <c r="F253" s="698" t="str" cm="1">
        <f t="array" aca="1" ref="F253" ca="1">IFERROR(_xlfn.LET(_xlpm.r,MATCH(TEXT($B253,"0"),TEXT(銘柄管理!$B$6:$B$305,"0"),0),_xlpm.t,MOD(NOW(),1),_xlpm.c,IF($E253=TODAY(),IF(_xlpm.t&gt;=TIME(15,30,0),NA(),1),IF(MATCH($E253,始値!$E$3:$IT$3,0)=1,1,MATCH($E253,始値!$E$3:$IT$3,0)+1)),_xlpm.v,INDEX(始値!$C$6:$IT$305,_xlpm.r,_xlpm.c),IF(N(_xlpm.v)=0,"",_xlpm.v)),"")</f>
        <v/>
      </c>
      <c r="G253" s="480"/>
      <c r="H253" s="480" t="str" cm="1">
        <f t="array" ref="H253">_xll.RssMarket(B253, "現在値")</f>
        <v/>
      </c>
      <c r="I253" s="480" t="str" cm="1">
        <f t="array" ref="I253">_xll.RssMarket(B253, "出来高加重平均")</f>
        <v/>
      </c>
      <c r="J253" s="702" t="str" cm="1">
        <f t="array" ref="J253">_xll.RssMarket($B253, "前日比")</f>
        <v/>
      </c>
      <c r="K253" s="703" t="str">
        <f>IF(OR(F253="",G253="",H253=""),"",IF(C253="売",(F253-H253)*G253,(H253-F253)*G253))</f>
        <v/>
      </c>
      <c r="L253" s="708" t="str">
        <f>IF(OR(F253="",H253=""),"",IF(C253="売",(F253-H253)/F253,(H253-F253)/F253))</f>
        <v/>
      </c>
      <c r="M253" s="598" t="str">
        <f>IF($F253="","",$F253*IF($C253="売",1-V811設定!$B$4,1+V811設定!$B$4)-MOD($F253*IF($C253="売",1-V811設定!$B$4,1+V811設定!$B$4),IF($F253&lt;=3000,1,IF($F253&lt;=5000,5,IF($F253&lt;=30000,10,IF($F253&lt;=50000,50,IF($F253&lt;=300000,100,500))))))+IF(AND($C253="売",MOD($F253*IF($C253="売",1-V811設定!$B$4,1+V811設定!$B$4),IF($F253&lt;=3000,1,IF($F253&lt;=5000,5,IF($F253&lt;=30000,10,IF($F253&lt;=50000,50,IF($F253&lt;=300000,100,500))))))&gt;0),IF($F253&lt;=3000,1,IF($F253&lt;=5000,5,IF($F253&lt;=30000,10,IF($F253&lt;=50000,50,IF($F253&lt;=300000,100,500))))),0))</f>
      </c>
      <c r="N253" s="598" t="str">
        <f>IF($F253="","",$F253*IF($C253="売",1+V811設定!$B$3,1-V811設定!$B$3)-MOD($F253*IF($C253="売",1+V811設定!$B$3,1-V811設定!$B$3),IF($F253&lt;=3000,1,IF($F253&lt;=5000,5,IF($F253&lt;=30000,10,IF($F253&lt;=50000,50,IF($F253&lt;=300000,100,500))))))+IF(AND($C253="売",MOD($F253*IF($C253="売",1+V811設定!$B$3,1-V811設定!$B$3),IF($F253&lt;=3000,1,IF($F253&lt;=5000,5,IF($F253&lt;=30000,10,IF($F253&lt;=50000,50,IF($F253&lt;=300000,100,500))))))&gt;0),IF($F253&lt;=3000,1,IF($F253&lt;=5000,5,IF($F253&lt;=30000,10,IF($F253&lt;=50000,50,IF($F253&lt;=300000,100,500))))),0))</f>
      </c>
      <c r="O253" s="478" t="str">
        <f>IF(OR($B253="",$F253="",$H253=""),"",IF($S253="✅売却済","―決済済―",IF($C253="売",IF($H253&lt;=$M253,"🟢利確",IF(AND($R253&lt;&gt;"",$H253&gt;=$R253),"🟠TRAIL",IF($H253&gt;=$N253,"🔴損切",IF($W253&gt;=V811設定!$B$6,"⏱時間決済",IF($H253&gt;=$F253*(1+V811設定!$B$3*0.7),"⚠️損切接近","保持継続"))))),IF($H253&gt;=$M253,"🟢利確",IF(AND($R253&lt;&gt;"",$H253&lt;=$R253),"🟠TRAIL",IF($H253&lt;=$N253,"🔴損切",IF($W253&gt;=V811設定!$B$6,"⏱時間決済",IF($H253&lt;=$F253*(1-V811設定!$B$3*0.7),"⚠️損切接近","保持継続"))))))))</f>
      </c>
      <c r="P253" s="445"/>
      <c r="Q253" s="445"/>
      <c r="R253" s="480" t="str">
        <f>IF(OR($F253="",$H253="",$N253=""),"",IF($S253="✅売却済","",IF($C253="売",IF($H253&gt;$F253*(1-V811設定!$B$3),$N253,MIN($N253,IF($Q253="",$N253,$Q253*1.03))),IF($H253&lt;$F253*(1+V811設定!$B$3),$N253,MAX($N253,IF($P253="",$N253,$P253*0.97))))))</f>
      </c>
      <c r="S253" s="480" t="str">
        <f>IF(B253="","",IF(T253&lt;&gt;"","✅売却済",IF(OR(H253="",L253=""),"📌保有中",IF(L253&gt;=0.06,"🟢利確推奨",IF(L253&gt;=0.05,"🟡利確直近",IF(L253&gt;=0.045,"🔵トレーリング検討",IF(L253&gt;-0.03,"📌保有中",IF(L253&gt;-0.04,"⚠️損切注意","🔴損切り"))))))))</f>
        <v/>
      </c>
      <c r="T253" s="596"/>
      <c r="U253" s="598"/>
      <c r="V253" s="703" t="str">
        <f>IF(OR(F253="",G253="",U253=""),"",IF(C253="売",(F253-U253)*G253,(U253-F253)*G253))</f>
        <v/>
      </c>
      <c r="W253" s="480" t="str">
        <f>IF(OR($E253="",$B253=""),"",IF($T253&lt;&gt;"",$T253-$E253,TODAY()-$E253)+1)</f>
        <v/>
      </c>
      <c r="X253" s="480" t="str">
        <f>IF(OR($AH253="",$AH253="保有中"),"",$AH253)</f>
        <v/>
      </c>
      <c r="Y253" s="488"/>
      <c r="Z253" s="710"/>
      <c r="AD253" s="608"/>
      <c r="AE253" s="600" t="str">
        <f>IF($E253="","",WORKDAY($E253,12))</f>
        <v/>
      </c>
      <c r="AF253" s="600" t="str" cm="1">
        <f t="array" aca="1" ref="AF253" ca="1">IF(OR($B253="",$M253=""),"",IFERROR(IF($C253="売",_xlfn.MINIFS(安値!$E$3:$IT$3,安値!$E$3:$IT$3,"&gt;"&amp;$E253,安値!$E$3:$IT$3,"&lt;="&amp;$AE253,OFFSET(安値!$E$6:$IT$6,MATCH(TEXT($B253,"0"),TEXT(銘柄管理!$B$6:$B$305,"0"),0)-1,0),"&lt;="&amp;$M253),_xlfn.MINIFS(高値!$E$3:$IT$3,高値!$E$3:$IT$3,"&gt;"&amp;$E253,高値!$E$3:$IT$3,"&lt;="&amp;$AE253,OFFSET(高値!$E$6:$IT$6,MATCH(TEXT($B253,"0"),TEXT(銘柄管理!$B$6:$B$305,"0"),0)-1,0),"&gt;="&amp;$M253)),""))</f>
        <v/>
      </c>
      <c r="AG253" s="600" t="str" cm="1">
        <f t="array" aca="1" ref="AG253" ca="1">IF(OR($B253="",$N253=""),"",IFERROR(IF($C253="売",_xlfn.MINIFS(高値!$E$3:$IT$3,高値!$E$3:$IT$3,"&gt;"&amp;$E253,高値!$E$3:$IT$3,"&lt;="&amp;$AE253,OFFSET(高値!$E$6:$IT$6,MATCH(TEXT($B253,"0"),TEXT(銘柄管理!$B$6:$B$305,"0"),0)-1,0),"&gt;="&amp;$N253),_xlfn.MINIFS(安値!$E$3:$IT$3,安値!$E$3:$IT$3,"&gt;"&amp;$E253,安値!$E$3:$IT$3,"&lt;="&amp;$AE253,OFFSET(安値!$E$6:$IT$6,MATCH(TEXT($B253,"0"),TEXT(銘柄管理!$B$6:$B$305,"0"),0)-1,0),"&lt;="&amp;$N253)),""))</f>
        <v/>
      </c>
      <c r="AH253" s="600" t="str">
        <f>IF(OR($B253="",$M253=""),"",IF(AND(N($AF253)=0,N($AG253)=0),IF(AND(ISNUMBER($H253),$H253&gt;0,IF($C253="売",$H253&gt;=$N253,$H253&lt;=$N253)),"損切確定",IF(AND(ISNUMBER($H253),$H253&gt;0,IF($C253="売",$H253&lt;=$M253,$H253&gt;=$M253)),"利益確定",IF($AE253&lt;=TODAY(),"日数制限","保有中"))),IF(N($AG253)=0,"利益確定",IF(N($AF253)=0,"損切確定",IF($AG253&lt;=$AF253,"損切確定","利益確定")))))</f>
        <v/>
      </c>
      <c r="AI253" s="600" t="str" cm="1">
        <f t="array" ref="AI253">IFERROR(INDEX(始値!$E$6:$IT$305,MATCH(TEXT($B253,"0"),TEXT(銘柄管理!$B$6:$B$305,"0"),0),MATCH($AE253,始値!$E$3:$IT$3,0)),"")</f>
        <v/>
      </c>
      <c r="AJ253" s="608" t="str">
        <f>IF(OR($V253="",$F253="",$G253=""),"",$V253/($F253*$G253))</f>
        <v/>
      </c>
      <c r="AK253" s="600" t="str">
        <f>IF($V253="","",IF($V253&gt;0,"○勝",IF($V253&lt;0,"●負","△引分")))</f>
        <v/>
      </c>
    </row>
    <row r="254" spans="1:37" ht="17.25" customHeight="1">
      <c r="A254" s="621" t="str">
        <f>IF(B254="","",HYPERLINK("https://kabutan.jp/stock/?code="&amp;B254,"株探"))</f>
        <v/>
      </c>
      <c r="B254" s="480"/>
      <c r="C254" s="480"/>
      <c r="D254" s="480" t="str" cm="1">
        <f t="array" ref="D254">_xll.RssMarket(B254, "銘柄名称")</f>
        <v/>
      </c>
      <c r="E254" s="717"/>
      <c r="F254" s="698" t="str" cm="1">
        <f t="array" aca="1" ref="F254" ca="1">IFERROR(_xlfn.LET(_xlpm.r,MATCH(TEXT($B254,"0"),TEXT(銘柄管理!$B$6:$B$305,"0"),0),_xlpm.t,MOD(NOW(),1),_xlpm.c,IF($E254=TODAY(),IF(_xlpm.t&gt;=TIME(15,30,0),NA(),1),IF(MATCH($E254,始値!$E$3:$IT$3,0)=1,1,MATCH($E254,始値!$E$3:$IT$3,0)+1)),_xlpm.v,INDEX(始値!$C$6:$IT$305,_xlpm.r,_xlpm.c),IF(N(_xlpm.v)=0,"",_xlpm.v)),"")</f>
        <v/>
      </c>
      <c r="G254" s="480"/>
      <c r="H254" s="480" t="str" cm="1">
        <f t="array" ref="H254">_xll.RssMarket(B254, "現在値")</f>
        <v/>
      </c>
      <c r="I254" s="480" t="str" cm="1">
        <f t="array" ref="I254">_xll.RssMarket(B254, "出来高加重平均")</f>
        <v/>
      </c>
      <c r="J254" s="702" t="str" cm="1">
        <f t="array" ref="J254">_xll.RssMarket($B254, "前日比")</f>
        <v/>
      </c>
      <c r="K254" s="703" t="str">
        <f>IF(OR(F254="",G254="",H254=""),"",IF(C254="売",(F254-H254)*G254,(H254-F254)*G254))</f>
        <v/>
      </c>
      <c r="L254" s="708" t="str">
        <f>IF(OR(F254="",H254=""),"",IF(C254="売",(F254-H254)/F254,(H254-F254)/F254))</f>
        <v/>
      </c>
      <c r="M254" s="598" t="str">
        <f>IF($F254="","",$F254*IF($C254="売",1-V811設定!$B$4,1+V811設定!$B$4)-MOD($F254*IF($C254="売",1-V811設定!$B$4,1+V811設定!$B$4),IF($F254&lt;=3000,1,IF($F254&lt;=5000,5,IF($F254&lt;=30000,10,IF($F254&lt;=50000,50,IF($F254&lt;=300000,100,500))))))+IF(AND($C254="売",MOD($F254*IF($C254="売",1-V811設定!$B$4,1+V811設定!$B$4),IF($F254&lt;=3000,1,IF($F254&lt;=5000,5,IF($F254&lt;=30000,10,IF($F254&lt;=50000,50,IF($F254&lt;=300000,100,500))))))&gt;0),IF($F254&lt;=3000,1,IF($F254&lt;=5000,5,IF($F254&lt;=30000,10,IF($F254&lt;=50000,50,IF($F254&lt;=300000,100,500))))),0))</f>
      </c>
      <c r="N254" s="598" t="str">
        <f>IF($F254="","",$F254*IF($C254="売",1+V811設定!$B$3,1-V811設定!$B$3)-MOD($F254*IF($C254="売",1+V811設定!$B$3,1-V811設定!$B$3),IF($F254&lt;=3000,1,IF($F254&lt;=5000,5,IF($F254&lt;=30000,10,IF($F254&lt;=50000,50,IF($F254&lt;=300000,100,500))))))+IF(AND($C254="売",MOD($F254*IF($C254="売",1+V811設定!$B$3,1-V811設定!$B$3),IF($F254&lt;=3000,1,IF($F254&lt;=5000,5,IF($F254&lt;=30000,10,IF($F254&lt;=50000,50,IF($F254&lt;=300000,100,500))))))&gt;0),IF($F254&lt;=3000,1,IF($F254&lt;=5000,5,IF($F254&lt;=30000,10,IF($F254&lt;=50000,50,IF($F254&lt;=300000,100,500))))),0))</f>
      </c>
      <c r="O254" s="478" t="str">
        <f>IF(OR($B254="",$F254="",$H254=""),"",IF($S254="✅売却済","―決済済―",IF($C254="売",IF($H254&lt;=$M254,"🟢利確",IF(AND($R254&lt;&gt;"",$H254&gt;=$R254),"🟠TRAIL",IF($H254&gt;=$N254,"🔴損切",IF($W254&gt;=V811設定!$B$6,"⏱時間決済",IF($H254&gt;=$F254*(1+V811設定!$B$3*0.7),"⚠️損切接近","保持継続"))))),IF($H254&gt;=$M254,"🟢利確",IF(AND($R254&lt;&gt;"",$H254&lt;=$R254),"🟠TRAIL",IF($H254&lt;=$N254,"🔴損切",IF($W254&gt;=V811設定!$B$6,"⏱時間決済",IF($H254&lt;=$F254*(1-V811設定!$B$3*0.7),"⚠️損切接近","保持継続"))))))))</f>
      </c>
      <c r="P254" s="445"/>
      <c r="Q254" s="445"/>
      <c r="R254" s="480" t="str">
        <f>IF(OR($F254="",$H254="",$N254=""),"",IF($S254="✅売却済","",IF($C254="売",IF($H254&gt;$F254*(1-V811設定!$B$3),$N254,MIN($N254,IF($Q254="",$N254,$Q254*1.03))),IF($H254&lt;$F254*(1+V811設定!$B$3),$N254,MAX($N254,IF($P254="",$N254,$P254*0.97))))))</f>
      </c>
      <c r="S254" s="480" t="str">
        <f>IF(B254="","",IF(T254&lt;&gt;"","✅売却済",IF(OR(H254="",L254=""),"📌保有中",IF(L254&gt;=0.06,"🟢利確推奨",IF(L254&gt;=0.05,"🟡利確直近",IF(L254&gt;=0.045,"🔵トレーリング検討",IF(L254&gt;-0.03,"📌保有中",IF(L254&gt;-0.04,"⚠️損切注意","🔴損切り"))))))))</f>
        <v/>
      </c>
      <c r="T254" s="596"/>
      <c r="U254" s="598"/>
      <c r="V254" s="703" t="str">
        <f>IF(OR(F254="",G254="",U254=""),"",IF(C254="売",(F254-U254)*G254,(U254-F254)*G254))</f>
        <v/>
      </c>
      <c r="W254" s="480" t="str">
        <f>IF(OR($E254="",$B254=""),"",IF($T254&lt;&gt;"",$T254-$E254,TODAY()-$E254)+1)</f>
        <v/>
      </c>
      <c r="X254" s="480" t="str">
        <f>IF(OR($AH254="",$AH254="保有中"),"",$AH254)</f>
        <v/>
      </c>
      <c r="Y254" s="488"/>
      <c r="Z254" s="710"/>
      <c r="AD254" s="608"/>
      <c r="AE254" s="600" t="str">
        <f>IF($E254="","",WORKDAY($E254,12))</f>
        <v/>
      </c>
      <c r="AF254" s="600" t="str" cm="1">
        <f t="array" aca="1" ref="AF254" ca="1">IF(OR($B254="",$M254=""),"",IFERROR(IF($C254="売",_xlfn.MINIFS(安値!$E$3:$IT$3,安値!$E$3:$IT$3,"&gt;"&amp;$E254,安値!$E$3:$IT$3,"&lt;="&amp;$AE254,OFFSET(安値!$E$6:$IT$6,MATCH(TEXT($B254,"0"),TEXT(銘柄管理!$B$6:$B$305,"0"),0)-1,0),"&lt;="&amp;$M254),_xlfn.MINIFS(高値!$E$3:$IT$3,高値!$E$3:$IT$3,"&gt;"&amp;$E254,高値!$E$3:$IT$3,"&lt;="&amp;$AE254,OFFSET(高値!$E$6:$IT$6,MATCH(TEXT($B254,"0"),TEXT(銘柄管理!$B$6:$B$305,"0"),0)-1,0),"&gt;="&amp;$M254)),""))</f>
        <v/>
      </c>
      <c r="AG254" s="600" t="str" cm="1">
        <f t="array" aca="1" ref="AG254" ca="1">IF(OR($B254="",$N254=""),"",IFERROR(IF($C254="売",_xlfn.MINIFS(高値!$E$3:$IT$3,高値!$E$3:$IT$3,"&gt;"&amp;$E254,高値!$E$3:$IT$3,"&lt;="&amp;$AE254,OFFSET(高値!$E$6:$IT$6,MATCH(TEXT($B254,"0"),TEXT(銘柄管理!$B$6:$B$305,"0"),0)-1,0),"&gt;="&amp;$N254),_xlfn.MINIFS(安値!$E$3:$IT$3,安値!$E$3:$IT$3,"&gt;"&amp;$E254,安値!$E$3:$IT$3,"&lt;="&amp;$AE254,OFFSET(安値!$E$6:$IT$6,MATCH(TEXT($B254,"0"),TEXT(銘柄管理!$B$6:$B$305,"0"),0)-1,0),"&lt;="&amp;$N254)),""))</f>
        <v/>
      </c>
      <c r="AH254" s="600" t="str">
        <f>IF(OR($B254="",$M254=""),"",IF(AND(N($AF254)=0,N($AG254)=0),IF(AND(ISNUMBER($H254),$H254&gt;0,IF($C254="売",$H254&gt;=$N254,$H254&lt;=$N254)),"損切確定",IF(AND(ISNUMBER($H254),$H254&gt;0,IF($C254="売",$H254&lt;=$M254,$H254&gt;=$M254)),"利益確定",IF($AE254&lt;=TODAY(),"日数制限","保有中"))),IF(N($AG254)=0,"利益確定",IF(N($AF254)=0,"損切確定",IF($AG254&lt;=$AF254,"損切確定","利益確定")))))</f>
        <v/>
      </c>
      <c r="AI254" s="600" t="str" cm="1">
        <f t="array" ref="AI254">IFERROR(INDEX(始値!$E$6:$IT$305,MATCH(TEXT($B254,"0"),TEXT(銘柄管理!$B$6:$B$305,"0"),0),MATCH($AE254,始値!$E$3:$IT$3,0)),"")</f>
        <v/>
      </c>
      <c r="AJ254" s="608" t="str">
        <f>IF(OR($V254="",$F254="",$G254=""),"",$V254/($F254*$G254))</f>
        <v/>
      </c>
      <c r="AK254" s="600" t="str">
        <f>IF($V254="","",IF($V254&gt;0,"○勝",IF($V254&lt;0,"●負","△引分")))</f>
        <v/>
      </c>
    </row>
    <row r="255" spans="1:37" ht="17.25" customHeight="1">
      <c r="A255" s="621" t="str">
        <f>IF(B255="","",HYPERLINK("https://kabutan.jp/stock/?code="&amp;B255,"株探"))</f>
        <v/>
      </c>
      <c r="B255" s="480"/>
      <c r="C255" s="480"/>
      <c r="D255" s="480" t="str" cm="1">
        <f t="array" ref="D255">_xll.RssMarket(B255, "銘柄名称")</f>
        <v/>
      </c>
      <c r="E255" s="717"/>
      <c r="F255" s="698" t="str" cm="1">
        <f t="array" aca="1" ref="F255" ca="1">IFERROR(_xlfn.LET(_xlpm.r,MATCH(TEXT($B255,"0"),TEXT(銘柄管理!$B$6:$B$305,"0"),0),_xlpm.t,MOD(NOW(),1),_xlpm.c,IF($E255=TODAY(),IF(_xlpm.t&gt;=TIME(15,30,0),NA(),1),IF(MATCH($E255,始値!$E$3:$IT$3,0)=1,1,MATCH($E255,始値!$E$3:$IT$3,0)+1)),_xlpm.v,INDEX(始値!$C$6:$IT$305,_xlpm.r,_xlpm.c),IF(N(_xlpm.v)=0,"",_xlpm.v)),"")</f>
        <v/>
      </c>
      <c r="G255" s="480"/>
      <c r="H255" s="480" t="str" cm="1">
        <f t="array" ref="H255">_xll.RssMarket(B255, "現在値")</f>
        <v/>
      </c>
      <c r="I255" s="480" t="str" cm="1">
        <f t="array" ref="I255">_xll.RssMarket(B255, "出来高加重平均")</f>
        <v/>
      </c>
      <c r="J255" s="702" t="str" cm="1">
        <f t="array" ref="J255">_xll.RssMarket($B255, "前日比")</f>
        <v/>
      </c>
      <c r="K255" s="703" t="str">
        <f>IF(OR(F255="",G255="",H255=""),"",IF(C255="売",(F255-H255)*G255,(H255-F255)*G255))</f>
        <v/>
      </c>
      <c r="L255" s="708" t="str">
        <f>IF(OR(F255="",H255=""),"",IF(C255="売",(F255-H255)/F255,(H255-F255)/F255))</f>
        <v/>
      </c>
      <c r="M255" s="598" t="str">
        <f>IF($F255="","",$F255*IF($C255="売",1-V811設定!$B$4,1+V811設定!$B$4)-MOD($F255*IF($C255="売",1-V811設定!$B$4,1+V811設定!$B$4),IF($F255&lt;=3000,1,IF($F255&lt;=5000,5,IF($F255&lt;=30000,10,IF($F255&lt;=50000,50,IF($F255&lt;=300000,100,500))))))+IF(AND($C255="売",MOD($F255*IF($C255="売",1-V811設定!$B$4,1+V811設定!$B$4),IF($F255&lt;=3000,1,IF($F255&lt;=5000,5,IF($F255&lt;=30000,10,IF($F255&lt;=50000,50,IF($F255&lt;=300000,100,500))))))&gt;0),IF($F255&lt;=3000,1,IF($F255&lt;=5000,5,IF($F255&lt;=30000,10,IF($F255&lt;=50000,50,IF($F255&lt;=300000,100,500))))),0))</f>
      </c>
      <c r="N255" s="598" t="str">
        <f>IF($F255="","",$F255*IF($C255="売",1+V811設定!$B$3,1-V811設定!$B$3)-MOD($F255*IF($C255="売",1+V811設定!$B$3,1-V811設定!$B$3),IF($F255&lt;=3000,1,IF($F255&lt;=5000,5,IF($F255&lt;=30000,10,IF($F255&lt;=50000,50,IF($F255&lt;=300000,100,500))))))+IF(AND($C255="売",MOD($F255*IF($C255="売",1+V811設定!$B$3,1-V811設定!$B$3),IF($F255&lt;=3000,1,IF($F255&lt;=5000,5,IF($F255&lt;=30000,10,IF($F255&lt;=50000,50,IF($F255&lt;=300000,100,500))))))&gt;0),IF($F255&lt;=3000,1,IF($F255&lt;=5000,5,IF($F255&lt;=30000,10,IF($F255&lt;=50000,50,IF($F255&lt;=300000,100,500))))),0))</f>
      </c>
      <c r="O255" s="478" t="str">
        <f>IF(OR($B255="",$F255="",$H255=""),"",IF($S255="✅売却済","―決済済―",IF($C255="売",IF($H255&lt;=$M255,"🟢利確",IF(AND($R255&lt;&gt;"",$H255&gt;=$R255),"🟠TRAIL",IF($H255&gt;=$N255,"🔴損切",IF($W255&gt;=V811設定!$B$6,"⏱時間決済",IF($H255&gt;=$F255*(1+V811設定!$B$3*0.7),"⚠️損切接近","保持継続"))))),IF($H255&gt;=$M255,"🟢利確",IF(AND($R255&lt;&gt;"",$H255&lt;=$R255),"🟠TRAIL",IF($H255&lt;=$N255,"🔴損切",IF($W255&gt;=V811設定!$B$6,"⏱時間決済",IF($H255&lt;=$F255*(1-V811設定!$B$3*0.7),"⚠️損切接近","保持継続"))))))))</f>
      </c>
      <c r="P255" s="445"/>
      <c r="Q255" s="445"/>
      <c r="R255" s="480" t="str">
        <f>IF(OR($F255="",$H255="",$N255=""),"",IF($S255="✅売却済","",IF($C255="売",IF($H255&gt;$F255*(1-V811設定!$B$3),$N255,MIN($N255,IF($Q255="",$N255,$Q255*1.03))),IF($H255&lt;$F255*(1+V811設定!$B$3),$N255,MAX($N255,IF($P255="",$N255,$P255*0.97))))))</f>
      </c>
      <c r="S255" s="480" t="str">
        <f>IF(B255="","",IF(T255&lt;&gt;"","✅売却済",IF(OR(H255="",L255=""),"📌保有中",IF(L255&gt;=0.06,"🟢利確推奨",IF(L255&gt;=0.05,"🟡利確直近",IF(L255&gt;=0.045,"🔵トレーリング検討",IF(L255&gt;-0.03,"📌保有中",IF(L255&gt;-0.04,"⚠️損切注意","🔴損切り"))))))))</f>
        <v/>
      </c>
      <c r="T255" s="596"/>
      <c r="U255" s="598"/>
      <c r="V255" s="703" t="str">
        <f>IF(OR(F255="",G255="",U255=""),"",IF(C255="売",(F255-U255)*G255,(U255-F255)*G255))</f>
        <v/>
      </c>
      <c r="W255" s="480" t="str">
        <f>IF(OR($E255="",$B255=""),"",IF($T255&lt;&gt;"",$T255-$E255,TODAY()-$E255)+1)</f>
        <v/>
      </c>
      <c r="X255" s="480" t="str">
        <f>IF(OR($AH255="",$AH255="保有中"),"",$AH255)</f>
        <v/>
      </c>
      <c r="Y255" s="488"/>
      <c r="Z255" s="710"/>
      <c r="AD255" s="608"/>
      <c r="AE255" s="600" t="str">
        <f>IF($E255="","",WORKDAY($E255,12))</f>
        <v/>
      </c>
      <c r="AF255" s="600" t="str" cm="1">
        <f t="array" aca="1" ref="AF255" ca="1">IF(OR($B255="",$M255=""),"",IFERROR(IF($C255="売",_xlfn.MINIFS(安値!$E$3:$IT$3,安値!$E$3:$IT$3,"&gt;"&amp;$E255,安値!$E$3:$IT$3,"&lt;="&amp;$AE255,OFFSET(安値!$E$6:$IT$6,MATCH(TEXT($B255,"0"),TEXT(銘柄管理!$B$6:$B$305,"0"),0)-1,0),"&lt;="&amp;$M255),_xlfn.MINIFS(高値!$E$3:$IT$3,高値!$E$3:$IT$3,"&gt;"&amp;$E255,高値!$E$3:$IT$3,"&lt;="&amp;$AE255,OFFSET(高値!$E$6:$IT$6,MATCH(TEXT($B255,"0"),TEXT(銘柄管理!$B$6:$B$305,"0"),0)-1,0),"&gt;="&amp;$M255)),""))</f>
        <v/>
      </c>
      <c r="AG255" s="600" t="str" cm="1">
        <f t="array" aca="1" ref="AG255" ca="1">IF(OR($B255="",$N255=""),"",IFERROR(IF($C255="売",_xlfn.MINIFS(高値!$E$3:$IT$3,高値!$E$3:$IT$3,"&gt;"&amp;$E255,高値!$E$3:$IT$3,"&lt;="&amp;$AE255,OFFSET(高値!$E$6:$IT$6,MATCH(TEXT($B255,"0"),TEXT(銘柄管理!$B$6:$B$305,"0"),0)-1,0),"&gt;="&amp;$N255),_xlfn.MINIFS(安値!$E$3:$IT$3,安値!$E$3:$IT$3,"&gt;"&amp;$E255,安値!$E$3:$IT$3,"&lt;="&amp;$AE255,OFFSET(安値!$E$6:$IT$6,MATCH(TEXT($B255,"0"),TEXT(銘柄管理!$B$6:$B$305,"0"),0)-1,0),"&lt;="&amp;$N255)),""))</f>
        <v/>
      </c>
      <c r="AH255" s="600" t="str">
        <f>IF(OR($B255="",$M255=""),"",IF(AND(N($AF255)=0,N($AG255)=0),IF(AND(ISNUMBER($H255),$H255&gt;0,IF($C255="売",$H255&gt;=$N255,$H255&lt;=$N255)),"損切確定",IF(AND(ISNUMBER($H255),$H255&gt;0,IF($C255="売",$H255&lt;=$M255,$H255&gt;=$M255)),"利益確定",IF($AE255&lt;=TODAY(),"日数制限","保有中"))),IF(N($AG255)=0,"利益確定",IF(N($AF255)=0,"損切確定",IF($AG255&lt;=$AF255,"損切確定","利益確定")))))</f>
        <v/>
      </c>
      <c r="AI255" s="600" t="str" cm="1">
        <f t="array" ref="AI255">IFERROR(INDEX(始値!$E$6:$IT$305,MATCH(TEXT($B255,"0"),TEXT(銘柄管理!$B$6:$B$305,"0"),0),MATCH($AE255,始値!$E$3:$IT$3,0)),"")</f>
        <v/>
      </c>
      <c r="AJ255" s="608" t="str">
        <f>IF(OR($V255="",$F255="",$G255=""),"",$V255/($F255*$G255))</f>
        <v/>
      </c>
      <c r="AK255" s="600" t="str">
        <f>IF($V255="","",IF($V255&gt;0,"○勝",IF($V255&lt;0,"●負","△引分")))</f>
        <v/>
      </c>
    </row>
    <row r="256" spans="1:37" ht="17.25" customHeight="1">
      <c r="A256" s="621" t="str">
        <f>IF(B256="","",HYPERLINK("https://kabutan.jp/stock/?code="&amp;B256,"株探"))</f>
        <v/>
      </c>
      <c r="B256" s="480"/>
      <c r="C256" s="480"/>
      <c r="D256" s="480" t="str" cm="1">
        <f t="array" ref="D256">_xll.RssMarket(B256, "銘柄名称")</f>
        <v/>
      </c>
      <c r="E256" s="717"/>
      <c r="F256" s="698" t="str" cm="1">
        <f t="array" aca="1" ref="F256" ca="1">IFERROR(_xlfn.LET(_xlpm.r,MATCH(TEXT($B256,"0"),TEXT(銘柄管理!$B$6:$B$305,"0"),0),_xlpm.t,MOD(NOW(),1),_xlpm.c,IF($E256=TODAY(),IF(_xlpm.t&gt;=TIME(15,30,0),NA(),1),IF(MATCH($E256,始値!$E$3:$IT$3,0)=1,1,MATCH($E256,始値!$E$3:$IT$3,0)+1)),_xlpm.v,INDEX(始値!$C$6:$IT$305,_xlpm.r,_xlpm.c),IF(N(_xlpm.v)=0,"",_xlpm.v)),"")</f>
        <v/>
      </c>
      <c r="G256" s="480"/>
      <c r="H256" s="480" t="str" cm="1">
        <f t="array" ref="H256">_xll.RssMarket(B256, "現在値")</f>
        <v/>
      </c>
      <c r="I256" s="480" t="str" cm="1">
        <f t="array" ref="I256">_xll.RssMarket(B256, "出来高加重平均")</f>
        <v/>
      </c>
      <c r="J256" s="702" t="str" cm="1">
        <f t="array" ref="J256">_xll.RssMarket($B256, "前日比")</f>
        <v/>
      </c>
      <c r="K256" s="703" t="str">
        <f>IF(OR(F256="",G256="",H256=""),"",IF(C256="売",(F256-H256)*G256,(H256-F256)*G256))</f>
        <v/>
      </c>
      <c r="L256" s="708" t="str">
        <f>IF(OR(F256="",H256=""),"",IF(C256="売",(F256-H256)/F256,(H256-F256)/F256))</f>
        <v/>
      </c>
      <c r="M256" s="598" t="str">
        <f>IF($F256="","",$F256*IF($C256="売",1-V811設定!$B$4,1+V811設定!$B$4)-MOD($F256*IF($C256="売",1-V811設定!$B$4,1+V811設定!$B$4),IF($F256&lt;=3000,1,IF($F256&lt;=5000,5,IF($F256&lt;=30000,10,IF($F256&lt;=50000,50,IF($F256&lt;=300000,100,500))))))+IF(AND($C256="売",MOD($F256*IF($C256="売",1-V811設定!$B$4,1+V811設定!$B$4),IF($F256&lt;=3000,1,IF($F256&lt;=5000,5,IF($F256&lt;=30000,10,IF($F256&lt;=50000,50,IF($F256&lt;=300000,100,500))))))&gt;0),IF($F256&lt;=3000,1,IF($F256&lt;=5000,5,IF($F256&lt;=30000,10,IF($F256&lt;=50000,50,IF($F256&lt;=300000,100,500))))),0))</f>
      </c>
      <c r="N256" s="598" t="str">
        <f>IF($F256="","",$F256*IF($C256="売",1+V811設定!$B$3,1-V811設定!$B$3)-MOD($F256*IF($C256="売",1+V811設定!$B$3,1-V811設定!$B$3),IF($F256&lt;=3000,1,IF($F256&lt;=5000,5,IF($F256&lt;=30000,10,IF($F256&lt;=50000,50,IF($F256&lt;=300000,100,500))))))+IF(AND($C256="売",MOD($F256*IF($C256="売",1+V811設定!$B$3,1-V811設定!$B$3),IF($F256&lt;=3000,1,IF($F256&lt;=5000,5,IF($F256&lt;=30000,10,IF($F256&lt;=50000,50,IF($F256&lt;=300000,100,500))))))&gt;0),IF($F256&lt;=3000,1,IF($F256&lt;=5000,5,IF($F256&lt;=30000,10,IF($F256&lt;=50000,50,IF($F256&lt;=300000,100,500))))),0))</f>
      </c>
      <c r="O256" s="478" t="str">
        <f>IF(OR($B256="",$F256="",$H256=""),"",IF($S256="✅売却済","―決済済―",IF($C256="売",IF($H256&lt;=$M256,"🟢利確",IF(AND($R256&lt;&gt;"",$H256&gt;=$R256),"🟠TRAIL",IF($H256&gt;=$N256,"🔴損切",IF($W256&gt;=V811設定!$B$6,"⏱時間決済",IF($H256&gt;=$F256*(1+V811設定!$B$3*0.7),"⚠️損切接近","保持継続"))))),IF($H256&gt;=$M256,"🟢利確",IF(AND($R256&lt;&gt;"",$H256&lt;=$R256),"🟠TRAIL",IF($H256&lt;=$N256,"🔴損切",IF($W256&gt;=V811設定!$B$6,"⏱時間決済",IF($H256&lt;=$F256*(1-V811設定!$B$3*0.7),"⚠️損切接近","保持継続"))))))))</f>
      </c>
      <c r="P256" s="445"/>
      <c r="Q256" s="445"/>
      <c r="R256" s="480" t="str">
        <f>IF(OR($F256="",$H256="",$N256=""),"",IF($S256="✅売却済","",IF($C256="売",IF($H256&gt;$F256*(1-V811設定!$B$3),$N256,MIN($N256,IF($Q256="",$N256,$Q256*1.03))),IF($H256&lt;$F256*(1+V811設定!$B$3),$N256,MAX($N256,IF($P256="",$N256,$P256*0.97))))))</f>
      </c>
      <c r="S256" s="480" t="str">
        <f>IF(B256="","",IF(T256&lt;&gt;"","✅売却済",IF(OR(H256="",L256=""),"📌保有中",IF(L256&gt;=0.06,"🟢利確推奨",IF(L256&gt;=0.05,"🟡利確直近",IF(L256&gt;=0.045,"🔵トレーリング検討",IF(L256&gt;-0.03,"📌保有中",IF(L256&gt;-0.04,"⚠️損切注意","🔴損切り"))))))))</f>
        <v/>
      </c>
      <c r="T256" s="596"/>
      <c r="U256" s="598"/>
      <c r="V256" s="703" t="str">
        <f>IF(OR(F256="",G256="",U256=""),"",IF(C256="売",(F256-U256)*G256,(U256-F256)*G256))</f>
        <v/>
      </c>
      <c r="W256" s="480" t="str">
        <f>IF(OR($E256="",$B256=""),"",IF($T256&lt;&gt;"",$T256-$E256,TODAY()-$E256)+1)</f>
        <v/>
      </c>
      <c r="X256" s="480" t="str">
        <f>IF(OR($AH256="",$AH256="保有中"),"",$AH256)</f>
        <v/>
      </c>
      <c r="Y256" s="488"/>
      <c r="Z256" s="710"/>
      <c r="AD256" s="608"/>
      <c r="AE256" s="600" t="str">
        <f>IF($E256="","",WORKDAY($E256,12))</f>
        <v/>
      </c>
      <c r="AF256" s="600" t="str" cm="1">
        <f t="array" aca="1" ref="AF256" ca="1">IF(OR($B256="",$M256=""),"",IFERROR(IF($C256="売",_xlfn.MINIFS(安値!$E$3:$IT$3,安値!$E$3:$IT$3,"&gt;"&amp;$E256,安値!$E$3:$IT$3,"&lt;="&amp;$AE256,OFFSET(安値!$E$6:$IT$6,MATCH(TEXT($B256,"0"),TEXT(銘柄管理!$B$6:$B$305,"0"),0)-1,0),"&lt;="&amp;$M256),_xlfn.MINIFS(高値!$E$3:$IT$3,高値!$E$3:$IT$3,"&gt;"&amp;$E256,高値!$E$3:$IT$3,"&lt;="&amp;$AE256,OFFSET(高値!$E$6:$IT$6,MATCH(TEXT($B256,"0"),TEXT(銘柄管理!$B$6:$B$305,"0"),0)-1,0),"&gt;="&amp;$M256)),""))</f>
        <v/>
      </c>
      <c r="AG256" s="600" t="str" cm="1">
        <f t="array" aca="1" ref="AG256" ca="1">IF(OR($B256="",$N256=""),"",IFERROR(IF($C256="売",_xlfn.MINIFS(高値!$E$3:$IT$3,高値!$E$3:$IT$3,"&gt;"&amp;$E256,高値!$E$3:$IT$3,"&lt;="&amp;$AE256,OFFSET(高値!$E$6:$IT$6,MATCH(TEXT($B256,"0"),TEXT(銘柄管理!$B$6:$B$305,"0"),0)-1,0),"&gt;="&amp;$N256),_xlfn.MINIFS(安値!$E$3:$IT$3,安値!$E$3:$IT$3,"&gt;"&amp;$E256,安値!$E$3:$IT$3,"&lt;="&amp;$AE256,OFFSET(安値!$E$6:$IT$6,MATCH(TEXT($B256,"0"),TEXT(銘柄管理!$B$6:$B$305,"0"),0)-1,0),"&lt;="&amp;$N256)),""))</f>
        <v/>
      </c>
      <c r="AH256" s="600" t="str">
        <f>IF(OR($B256="",$M256=""),"",IF(AND(N($AF256)=0,N($AG256)=0),IF(AND(ISNUMBER($H256),$H256&gt;0,IF($C256="売",$H256&gt;=$N256,$H256&lt;=$N256)),"損切確定",IF(AND(ISNUMBER($H256),$H256&gt;0,IF($C256="売",$H256&lt;=$M256,$H256&gt;=$M256)),"利益確定",IF($AE256&lt;=TODAY(),"日数制限","保有中"))),IF(N($AG256)=0,"利益確定",IF(N($AF256)=0,"損切確定",IF($AG256&lt;=$AF256,"損切確定","利益確定")))))</f>
        <v/>
      </c>
      <c r="AI256" s="600" t="str" cm="1">
        <f t="array" ref="AI256">IFERROR(INDEX(始値!$E$6:$IT$305,MATCH(TEXT($B256,"0"),TEXT(銘柄管理!$B$6:$B$305,"0"),0),MATCH($AE256,始値!$E$3:$IT$3,0)),"")</f>
        <v/>
      </c>
      <c r="AJ256" s="608" t="str">
        <f>IF(OR($V256="",$F256="",$G256=""),"",$V256/($F256*$G256))</f>
        <v/>
      </c>
      <c r="AK256" s="600" t="str">
        <f>IF($V256="","",IF($V256&gt;0,"○勝",IF($V256&lt;0,"●負","△引分")))</f>
        <v/>
      </c>
    </row>
    <row r="257" spans="1:37" ht="17.25" customHeight="1">
      <c r="A257" s="621" t="str">
        <f>IF(B257="","",HYPERLINK("https://kabutan.jp/stock/?code="&amp;B257,"株探"))</f>
        <v/>
      </c>
      <c r="B257" s="480"/>
      <c r="C257" s="480"/>
      <c r="D257" s="480" t="str" cm="1">
        <f t="array" ref="D257">_xll.RssMarket(B257, "銘柄名称")</f>
        <v/>
      </c>
      <c r="E257" s="717"/>
      <c r="F257" s="698" t="str" cm="1">
        <f t="array" aca="1" ref="F257" ca="1">IFERROR(_xlfn.LET(_xlpm.r,MATCH(TEXT($B257,"0"),TEXT(銘柄管理!$B$6:$B$305,"0"),0),_xlpm.t,MOD(NOW(),1),_xlpm.c,IF($E257=TODAY(),IF(_xlpm.t&gt;=TIME(15,30,0),NA(),1),IF(MATCH($E257,始値!$E$3:$IT$3,0)=1,1,MATCH($E257,始値!$E$3:$IT$3,0)+1)),_xlpm.v,INDEX(始値!$C$6:$IT$305,_xlpm.r,_xlpm.c),IF(N(_xlpm.v)=0,"",_xlpm.v)),"")</f>
        <v/>
      </c>
      <c r="G257" s="480"/>
      <c r="H257" s="480" t="str" cm="1">
        <f t="array" ref="H257">_xll.RssMarket(B257, "現在値")</f>
        <v/>
      </c>
      <c r="I257" s="480" t="str" cm="1">
        <f t="array" ref="I257">_xll.RssMarket(B257, "出来高加重平均")</f>
        <v/>
      </c>
      <c r="J257" s="702" t="str" cm="1">
        <f t="array" ref="J257">_xll.RssMarket($B257, "前日比")</f>
        <v/>
      </c>
      <c r="K257" s="703" t="str">
        <f>IF(OR(F257="",G257="",H257=""),"",IF(C257="売",(F257-H257)*G257,(H257-F257)*G257))</f>
        <v/>
      </c>
      <c r="L257" s="708" t="str">
        <f>IF(OR(F257="",H257=""),"",IF(C257="売",(F257-H257)/F257,(H257-F257)/F257))</f>
        <v/>
      </c>
      <c r="M257" s="598" t="str">
        <f>IF($F257="","",$F257*IF($C257="売",1-V811設定!$B$4,1+V811設定!$B$4)-MOD($F257*IF($C257="売",1-V811設定!$B$4,1+V811設定!$B$4),IF($F257&lt;=3000,1,IF($F257&lt;=5000,5,IF($F257&lt;=30000,10,IF($F257&lt;=50000,50,IF($F257&lt;=300000,100,500))))))+IF(AND($C257="売",MOD($F257*IF($C257="売",1-V811設定!$B$4,1+V811設定!$B$4),IF($F257&lt;=3000,1,IF($F257&lt;=5000,5,IF($F257&lt;=30000,10,IF($F257&lt;=50000,50,IF($F257&lt;=300000,100,500))))))&gt;0),IF($F257&lt;=3000,1,IF($F257&lt;=5000,5,IF($F257&lt;=30000,10,IF($F257&lt;=50000,50,IF($F257&lt;=300000,100,500))))),0))</f>
      </c>
      <c r="N257" s="598" t="str">
        <f>IF($F257="","",$F257*IF($C257="売",1+V811設定!$B$3,1-V811設定!$B$3)-MOD($F257*IF($C257="売",1+V811設定!$B$3,1-V811設定!$B$3),IF($F257&lt;=3000,1,IF($F257&lt;=5000,5,IF($F257&lt;=30000,10,IF($F257&lt;=50000,50,IF($F257&lt;=300000,100,500))))))+IF(AND($C257="売",MOD($F257*IF($C257="売",1+V811設定!$B$3,1-V811設定!$B$3),IF($F257&lt;=3000,1,IF($F257&lt;=5000,5,IF($F257&lt;=30000,10,IF($F257&lt;=50000,50,IF($F257&lt;=300000,100,500))))))&gt;0),IF($F257&lt;=3000,1,IF($F257&lt;=5000,5,IF($F257&lt;=30000,10,IF($F257&lt;=50000,50,IF($F257&lt;=300000,100,500))))),0))</f>
      </c>
      <c r="O257" s="478" t="str">
        <f>IF(OR($B257="",$F257="",$H257=""),"",IF($S257="✅売却済","―決済済―",IF($C257="売",IF($H257&lt;=$M257,"🟢利確",IF(AND($R257&lt;&gt;"",$H257&gt;=$R257),"🟠TRAIL",IF($H257&gt;=$N257,"🔴損切",IF($W257&gt;=V811設定!$B$6,"⏱時間決済",IF($H257&gt;=$F257*(1+V811設定!$B$3*0.7),"⚠️損切接近","保持継続"))))),IF($H257&gt;=$M257,"🟢利確",IF(AND($R257&lt;&gt;"",$H257&lt;=$R257),"🟠TRAIL",IF($H257&lt;=$N257,"🔴損切",IF($W257&gt;=V811設定!$B$6,"⏱時間決済",IF($H257&lt;=$F257*(1-V811設定!$B$3*0.7),"⚠️損切接近","保持継続"))))))))</f>
      </c>
      <c r="P257" s="445"/>
      <c r="Q257" s="445"/>
      <c r="R257" s="480" t="str">
        <f>IF(OR($F257="",$H257="",$N257=""),"",IF($S257="✅売却済","",IF($C257="売",IF($H257&gt;$F257*(1-V811設定!$B$3),$N257,MIN($N257,IF($Q257="",$N257,$Q257*1.03))),IF($H257&lt;$F257*(1+V811設定!$B$3),$N257,MAX($N257,IF($P257="",$N257,$P257*0.97))))))</f>
      </c>
      <c r="S257" s="480" t="str">
        <f>IF(B257="","",IF(T257&lt;&gt;"","✅売却済",IF(OR(H257="",L257=""),"📌保有中",IF(L257&gt;=0.06,"🟢利確推奨",IF(L257&gt;=0.05,"🟡利確直近",IF(L257&gt;=0.045,"🔵トレーリング検討",IF(L257&gt;-0.03,"📌保有中",IF(L257&gt;-0.04,"⚠️損切注意","🔴損切り"))))))))</f>
        <v/>
      </c>
      <c r="T257" s="596"/>
      <c r="U257" s="598"/>
      <c r="V257" s="703" t="str">
        <f>IF(OR(F257="",G257="",U257=""),"",IF(C257="売",(F257-U257)*G257,(U257-F257)*G257))</f>
        <v/>
      </c>
      <c r="W257" s="480" t="str">
        <f>IF(OR($E257="",$B257=""),"",IF($T257&lt;&gt;"",$T257-$E257,TODAY()-$E257)+1)</f>
        <v/>
      </c>
      <c r="X257" s="480" t="str">
        <f>IF(OR($AH257="",$AH257="保有中"),"",$AH257)</f>
        <v/>
      </c>
      <c r="Y257" s="488"/>
      <c r="Z257" s="710"/>
      <c r="AD257" s="608"/>
      <c r="AE257" s="600" t="str">
        <f>IF($E257="","",WORKDAY($E257,12))</f>
        <v/>
      </c>
      <c r="AF257" s="600" t="str" cm="1">
        <f t="array" aca="1" ref="AF257" ca="1">IF(OR($B257="",$M257=""),"",IFERROR(IF($C257="売",_xlfn.MINIFS(安値!$E$3:$IT$3,安値!$E$3:$IT$3,"&gt;"&amp;$E257,安値!$E$3:$IT$3,"&lt;="&amp;$AE257,OFFSET(安値!$E$6:$IT$6,MATCH(TEXT($B257,"0"),TEXT(銘柄管理!$B$6:$B$305,"0"),0)-1,0),"&lt;="&amp;$M257),_xlfn.MINIFS(高値!$E$3:$IT$3,高値!$E$3:$IT$3,"&gt;"&amp;$E257,高値!$E$3:$IT$3,"&lt;="&amp;$AE257,OFFSET(高値!$E$6:$IT$6,MATCH(TEXT($B257,"0"),TEXT(銘柄管理!$B$6:$B$305,"0"),0)-1,0),"&gt;="&amp;$M257)),""))</f>
        <v/>
      </c>
      <c r="AG257" s="600" t="str" cm="1">
        <f t="array" aca="1" ref="AG257" ca="1">IF(OR($B257="",$N257=""),"",IFERROR(IF($C257="売",_xlfn.MINIFS(高値!$E$3:$IT$3,高値!$E$3:$IT$3,"&gt;"&amp;$E257,高値!$E$3:$IT$3,"&lt;="&amp;$AE257,OFFSET(高値!$E$6:$IT$6,MATCH(TEXT($B257,"0"),TEXT(銘柄管理!$B$6:$B$305,"0"),0)-1,0),"&gt;="&amp;$N257),_xlfn.MINIFS(安値!$E$3:$IT$3,安値!$E$3:$IT$3,"&gt;"&amp;$E257,安値!$E$3:$IT$3,"&lt;="&amp;$AE257,OFFSET(安値!$E$6:$IT$6,MATCH(TEXT($B257,"0"),TEXT(銘柄管理!$B$6:$B$305,"0"),0)-1,0),"&lt;="&amp;$N257)),""))</f>
        <v/>
      </c>
      <c r="AH257" s="600" t="str">
        <f>IF(OR($B257="",$M257=""),"",IF(AND(N($AF257)=0,N($AG257)=0),IF(AND(ISNUMBER($H257),$H257&gt;0,IF($C257="売",$H257&gt;=$N257,$H257&lt;=$N257)),"損切確定",IF(AND(ISNUMBER($H257),$H257&gt;0,IF($C257="売",$H257&lt;=$M257,$H257&gt;=$M257)),"利益確定",IF($AE257&lt;=TODAY(),"日数制限","保有中"))),IF(N($AG257)=0,"利益確定",IF(N($AF257)=0,"損切確定",IF($AG257&lt;=$AF257,"損切確定","利益確定")))))</f>
        <v/>
      </c>
      <c r="AI257" s="600" t="str" cm="1">
        <f t="array" ref="AI257">IFERROR(INDEX(始値!$E$6:$IT$305,MATCH(TEXT($B257,"0"),TEXT(銘柄管理!$B$6:$B$305,"0"),0),MATCH($AE257,始値!$E$3:$IT$3,0)),"")</f>
        <v/>
      </c>
      <c r="AJ257" s="608" t="str">
        <f>IF(OR($V257="",$F257="",$G257=""),"",$V257/($F257*$G257))</f>
        <v/>
      </c>
      <c r="AK257" s="600" t="str">
        <f>IF($V257="","",IF($V257&gt;0,"○勝",IF($V257&lt;0,"●負","△引分")))</f>
        <v/>
      </c>
    </row>
    <row r="258" spans="1:37" ht="17.25" customHeight="1">
      <c r="A258" s="621" t="str">
        <f>IF(B258="","",HYPERLINK("https://kabutan.jp/stock/?code="&amp;B258,"株探"))</f>
        <v/>
      </c>
      <c r="B258" s="480"/>
      <c r="C258" s="480"/>
      <c r="D258" s="480" t="str" cm="1">
        <f t="array" ref="D258">_xll.RssMarket(B258, "銘柄名称")</f>
        <v/>
      </c>
      <c r="E258" s="717"/>
      <c r="F258" s="698" t="str" cm="1">
        <f t="array" aca="1" ref="F258" ca="1">IFERROR(_xlfn.LET(_xlpm.r,MATCH(TEXT($B258,"0"),TEXT(銘柄管理!$B$6:$B$305,"0"),0),_xlpm.t,MOD(NOW(),1),_xlpm.c,IF($E258=TODAY(),IF(_xlpm.t&gt;=TIME(15,30,0),NA(),1),IF(MATCH($E258,始値!$E$3:$IT$3,0)=1,1,MATCH($E258,始値!$E$3:$IT$3,0)+1)),_xlpm.v,INDEX(始値!$C$6:$IT$305,_xlpm.r,_xlpm.c),IF(N(_xlpm.v)=0,"",_xlpm.v)),"")</f>
        <v/>
      </c>
      <c r="G258" s="480"/>
      <c r="H258" s="480" t="str" cm="1">
        <f t="array" ref="H258">_xll.RssMarket(B258, "現在値")</f>
        <v/>
      </c>
      <c r="I258" s="480" t="str" cm="1">
        <f t="array" ref="I258">_xll.RssMarket(B258, "出来高加重平均")</f>
        <v/>
      </c>
      <c r="J258" s="702" t="str" cm="1">
        <f t="array" ref="J258">_xll.RssMarket($B258, "前日比")</f>
        <v/>
      </c>
      <c r="K258" s="703" t="str">
        <f>IF(OR(F258="",G258="",H258=""),"",IF(C258="売",(F258-H258)*G258,(H258-F258)*G258))</f>
        <v/>
      </c>
      <c r="L258" s="708" t="str">
        <f>IF(OR(F258="",H258=""),"",IF(C258="売",(F258-H258)/F258,(H258-F258)/F258))</f>
        <v/>
      </c>
      <c r="M258" s="598" t="str">
        <f>IF($F258="","",$F258*IF($C258="売",1-V811設定!$B$4,1+V811設定!$B$4)-MOD($F258*IF($C258="売",1-V811設定!$B$4,1+V811設定!$B$4),IF($F258&lt;=3000,1,IF($F258&lt;=5000,5,IF($F258&lt;=30000,10,IF($F258&lt;=50000,50,IF($F258&lt;=300000,100,500))))))+IF(AND($C258="売",MOD($F258*IF($C258="売",1-V811設定!$B$4,1+V811設定!$B$4),IF($F258&lt;=3000,1,IF($F258&lt;=5000,5,IF($F258&lt;=30000,10,IF($F258&lt;=50000,50,IF($F258&lt;=300000,100,500))))))&gt;0),IF($F258&lt;=3000,1,IF($F258&lt;=5000,5,IF($F258&lt;=30000,10,IF($F258&lt;=50000,50,IF($F258&lt;=300000,100,500))))),0))</f>
      </c>
      <c r="N258" s="598" t="str">
        <f>IF($F258="","",$F258*IF($C258="売",1+V811設定!$B$3,1-V811設定!$B$3)-MOD($F258*IF($C258="売",1+V811設定!$B$3,1-V811設定!$B$3),IF($F258&lt;=3000,1,IF($F258&lt;=5000,5,IF($F258&lt;=30000,10,IF($F258&lt;=50000,50,IF($F258&lt;=300000,100,500))))))+IF(AND($C258="売",MOD($F258*IF($C258="売",1+V811設定!$B$3,1-V811設定!$B$3),IF($F258&lt;=3000,1,IF($F258&lt;=5000,5,IF($F258&lt;=30000,10,IF($F258&lt;=50000,50,IF($F258&lt;=300000,100,500))))))&gt;0),IF($F258&lt;=3000,1,IF($F258&lt;=5000,5,IF($F258&lt;=30000,10,IF($F258&lt;=50000,50,IF($F258&lt;=300000,100,500))))),0))</f>
      </c>
      <c r="O258" s="478" t="str">
        <f>IF(OR($B258="",$F258="",$H258=""),"",IF($S258="✅売却済","―決済済―",IF($C258="売",IF($H258&lt;=$M258,"🟢利確",IF(AND($R258&lt;&gt;"",$H258&gt;=$R258),"🟠TRAIL",IF($H258&gt;=$N258,"🔴損切",IF($W258&gt;=V811設定!$B$6,"⏱時間決済",IF($H258&gt;=$F258*(1+V811設定!$B$3*0.7),"⚠️損切接近","保持継続"))))),IF($H258&gt;=$M258,"🟢利確",IF(AND($R258&lt;&gt;"",$H258&lt;=$R258),"🟠TRAIL",IF($H258&lt;=$N258,"🔴損切",IF($W258&gt;=V811設定!$B$6,"⏱時間決済",IF($H258&lt;=$F258*(1-V811設定!$B$3*0.7),"⚠️損切接近","保持継続"))))))))</f>
      </c>
      <c r="P258" s="445"/>
      <c r="Q258" s="445"/>
      <c r="R258" s="480" t="str">
        <f>IF(OR($F258="",$H258="",$N258=""),"",IF($S258="✅売却済","",IF($C258="売",IF($H258&gt;$F258*(1-V811設定!$B$3),$N258,MIN($N258,IF($Q258="",$N258,$Q258*1.03))),IF($H258&lt;$F258*(1+V811設定!$B$3),$N258,MAX($N258,IF($P258="",$N258,$P258*0.97))))))</f>
      </c>
      <c r="S258" s="480" t="str">
        <f>IF(B258="","",IF(T258&lt;&gt;"","✅売却済",IF(OR(H258="",L258=""),"📌保有中",IF(L258&gt;=0.06,"🟢利確推奨",IF(L258&gt;=0.05,"🟡利確直近",IF(L258&gt;=0.045,"🔵トレーリング検討",IF(L258&gt;-0.03,"📌保有中",IF(L258&gt;-0.04,"⚠️損切注意","🔴損切り"))))))))</f>
        <v/>
      </c>
      <c r="T258" s="596"/>
      <c r="U258" s="598"/>
      <c r="V258" s="703" t="str">
        <f>IF(OR(F258="",G258="",U258=""),"",IF(C258="売",(F258-U258)*G258,(U258-F258)*G258))</f>
        <v/>
      </c>
      <c r="W258" s="480" t="str">
        <f>IF(OR($E258="",$B258=""),"",IF($T258&lt;&gt;"",$T258-$E258,TODAY()-$E258)+1)</f>
        <v/>
      </c>
      <c r="X258" s="480" t="str">
        <f>IF(OR($AH258="",$AH258="保有中"),"",$AH258)</f>
        <v/>
      </c>
      <c r="Y258" s="488"/>
      <c r="Z258" s="710"/>
      <c r="AD258" s="608"/>
      <c r="AE258" s="600" t="str">
        <f>IF($E258="","",WORKDAY($E258,12))</f>
        <v/>
      </c>
      <c r="AF258" s="600" t="str" cm="1">
        <f t="array" aca="1" ref="AF258" ca="1">IF(OR($B258="",$M258=""),"",IFERROR(IF($C258="売",_xlfn.MINIFS(安値!$E$3:$IT$3,安値!$E$3:$IT$3,"&gt;"&amp;$E258,安値!$E$3:$IT$3,"&lt;="&amp;$AE258,OFFSET(安値!$E$6:$IT$6,MATCH(TEXT($B258,"0"),TEXT(銘柄管理!$B$6:$B$305,"0"),0)-1,0),"&lt;="&amp;$M258),_xlfn.MINIFS(高値!$E$3:$IT$3,高値!$E$3:$IT$3,"&gt;"&amp;$E258,高値!$E$3:$IT$3,"&lt;="&amp;$AE258,OFFSET(高値!$E$6:$IT$6,MATCH(TEXT($B258,"0"),TEXT(銘柄管理!$B$6:$B$305,"0"),0)-1,0),"&gt;="&amp;$M258)),""))</f>
        <v/>
      </c>
      <c r="AG258" s="600" t="str" cm="1">
        <f t="array" aca="1" ref="AG258" ca="1">IF(OR($B258="",$N258=""),"",IFERROR(IF($C258="売",_xlfn.MINIFS(高値!$E$3:$IT$3,高値!$E$3:$IT$3,"&gt;"&amp;$E258,高値!$E$3:$IT$3,"&lt;="&amp;$AE258,OFFSET(高値!$E$6:$IT$6,MATCH(TEXT($B258,"0"),TEXT(銘柄管理!$B$6:$B$305,"0"),0)-1,0),"&gt;="&amp;$N258),_xlfn.MINIFS(安値!$E$3:$IT$3,安値!$E$3:$IT$3,"&gt;"&amp;$E258,安値!$E$3:$IT$3,"&lt;="&amp;$AE258,OFFSET(安値!$E$6:$IT$6,MATCH(TEXT($B258,"0"),TEXT(銘柄管理!$B$6:$B$305,"0"),0)-1,0),"&lt;="&amp;$N258)),""))</f>
        <v/>
      </c>
      <c r="AH258" s="600" t="str">
        <f>IF(OR($B258="",$M258=""),"",IF(AND(N($AF258)=0,N($AG258)=0),IF(AND(ISNUMBER($H258),$H258&gt;0,IF($C258="売",$H258&gt;=$N258,$H258&lt;=$N258)),"損切確定",IF(AND(ISNUMBER($H258),$H258&gt;0,IF($C258="売",$H258&lt;=$M258,$H258&gt;=$M258)),"利益確定",IF($AE258&lt;=TODAY(),"日数制限","保有中"))),IF(N($AG258)=0,"利益確定",IF(N($AF258)=0,"損切確定",IF($AG258&lt;=$AF258,"損切確定","利益確定")))))</f>
        <v/>
      </c>
      <c r="AI258" s="600" t="str" cm="1">
        <f t="array" ref="AI258">IFERROR(INDEX(始値!$E$6:$IT$305,MATCH(TEXT($B258,"0"),TEXT(銘柄管理!$B$6:$B$305,"0"),0),MATCH($AE258,始値!$E$3:$IT$3,0)),"")</f>
        <v/>
      </c>
      <c r="AJ258" s="608" t="str">
        <f>IF(OR($V258="",$F258="",$G258=""),"",$V258/($F258*$G258))</f>
        <v/>
      </c>
      <c r="AK258" s="600" t="str">
        <f>IF($V258="","",IF($V258&gt;0,"○勝",IF($V258&lt;0,"●負","△引分")))</f>
        <v/>
      </c>
    </row>
    <row r="259" spans="1:37" ht="17.25" customHeight="1">
      <c r="A259" s="621" t="str">
        <f>IF(B259="","",HYPERLINK("https://kabutan.jp/stock/?code="&amp;B259,"株探"))</f>
        <v/>
      </c>
      <c r="B259" s="480"/>
      <c r="C259" s="480"/>
      <c r="D259" s="480" t="str" cm="1">
        <f t="array" ref="D259">_xll.RssMarket(B259, "銘柄名称")</f>
        <v/>
      </c>
      <c r="E259" s="717"/>
      <c r="F259" s="698" t="str" cm="1">
        <f t="array" aca="1" ref="F259" ca="1">IFERROR(_xlfn.LET(_xlpm.r,MATCH(TEXT($B259,"0"),TEXT(銘柄管理!$B$6:$B$305,"0"),0),_xlpm.t,MOD(NOW(),1),_xlpm.c,IF($E259=TODAY(),IF(_xlpm.t&gt;=TIME(15,30,0),NA(),1),IF(MATCH($E259,始値!$E$3:$IT$3,0)=1,1,MATCH($E259,始値!$E$3:$IT$3,0)+1)),_xlpm.v,INDEX(始値!$C$6:$IT$305,_xlpm.r,_xlpm.c),IF(N(_xlpm.v)=0,"",_xlpm.v)),"")</f>
        <v/>
      </c>
      <c r="G259" s="480"/>
      <c r="H259" s="480" t="str" cm="1">
        <f t="array" ref="H259">_xll.RssMarket(B259, "現在値")</f>
        <v/>
      </c>
      <c r="I259" s="480" t="str" cm="1">
        <f t="array" ref="I259">_xll.RssMarket(B259, "出来高加重平均")</f>
        <v/>
      </c>
      <c r="J259" s="702" t="str" cm="1">
        <f t="array" ref="J259">_xll.RssMarket($B259, "前日比")</f>
        <v/>
      </c>
      <c r="K259" s="703" t="str">
        <f>IF(OR(F259="",G259="",H259=""),"",IF(C259="売",(F259-H259)*G259,(H259-F259)*G259))</f>
        <v/>
      </c>
      <c r="L259" s="708" t="str">
        <f>IF(OR(F259="",H259=""),"",IF(C259="売",(F259-H259)/F259,(H259-F259)/F259))</f>
        <v/>
      </c>
      <c r="M259" s="598" t="str">
        <f>IF($F259="","",$F259*IF($C259="売",1-V811設定!$B$4,1+V811設定!$B$4)-MOD($F259*IF($C259="売",1-V811設定!$B$4,1+V811設定!$B$4),IF($F259&lt;=3000,1,IF($F259&lt;=5000,5,IF($F259&lt;=30000,10,IF($F259&lt;=50000,50,IF($F259&lt;=300000,100,500))))))+IF(AND($C259="売",MOD($F259*IF($C259="売",1-V811設定!$B$4,1+V811設定!$B$4),IF($F259&lt;=3000,1,IF($F259&lt;=5000,5,IF($F259&lt;=30000,10,IF($F259&lt;=50000,50,IF($F259&lt;=300000,100,500))))))&gt;0),IF($F259&lt;=3000,1,IF($F259&lt;=5000,5,IF($F259&lt;=30000,10,IF($F259&lt;=50000,50,IF($F259&lt;=300000,100,500))))),0))</f>
      </c>
      <c r="N259" s="598" t="str">
        <f>IF($F259="","",$F259*IF($C259="売",1+V811設定!$B$3,1-V811設定!$B$3)-MOD($F259*IF($C259="売",1+V811設定!$B$3,1-V811設定!$B$3),IF($F259&lt;=3000,1,IF($F259&lt;=5000,5,IF($F259&lt;=30000,10,IF($F259&lt;=50000,50,IF($F259&lt;=300000,100,500))))))+IF(AND($C259="売",MOD($F259*IF($C259="売",1+V811設定!$B$3,1-V811設定!$B$3),IF($F259&lt;=3000,1,IF($F259&lt;=5000,5,IF($F259&lt;=30000,10,IF($F259&lt;=50000,50,IF($F259&lt;=300000,100,500))))))&gt;0),IF($F259&lt;=3000,1,IF($F259&lt;=5000,5,IF($F259&lt;=30000,10,IF($F259&lt;=50000,50,IF($F259&lt;=300000,100,500))))),0))</f>
      </c>
      <c r="O259" s="478" t="str">
        <f>IF(OR($B259="",$F259="",$H259=""),"",IF($S259="✅売却済","―決済済―",IF($C259="売",IF($H259&lt;=$M259,"🟢利確",IF(AND($R259&lt;&gt;"",$H259&gt;=$R259),"🟠TRAIL",IF($H259&gt;=$N259,"🔴損切",IF($W259&gt;=V811設定!$B$6,"⏱時間決済",IF($H259&gt;=$F259*(1+V811設定!$B$3*0.7),"⚠️損切接近","保持継続"))))),IF($H259&gt;=$M259,"🟢利確",IF(AND($R259&lt;&gt;"",$H259&lt;=$R259),"🟠TRAIL",IF($H259&lt;=$N259,"🔴損切",IF($W259&gt;=V811設定!$B$6,"⏱時間決済",IF($H259&lt;=$F259*(1-V811設定!$B$3*0.7),"⚠️損切接近","保持継続"))))))))</f>
      </c>
      <c r="P259" s="445"/>
      <c r="Q259" s="445"/>
      <c r="R259" s="480" t="str">
        <f>IF(OR($F259="",$H259="",$N259=""),"",IF($S259="✅売却済","",IF($C259="売",IF($H259&gt;$F259*(1-V811設定!$B$3),$N259,MIN($N259,IF($Q259="",$N259,$Q259*1.03))),IF($H259&lt;$F259*(1+V811設定!$B$3),$N259,MAX($N259,IF($P259="",$N259,$P259*0.97))))))</f>
      </c>
      <c r="S259" s="480" t="str">
        <f>IF(B259="","",IF(T259&lt;&gt;"","✅売却済",IF(OR(H259="",L259=""),"📌保有中",IF(L259&gt;=0.06,"🟢利確推奨",IF(L259&gt;=0.05,"🟡利確直近",IF(L259&gt;=0.045,"🔵トレーリング検討",IF(L259&gt;-0.03,"📌保有中",IF(L259&gt;-0.04,"⚠️損切注意","🔴損切り"))))))))</f>
        <v/>
      </c>
      <c r="T259" s="596"/>
      <c r="U259" s="598"/>
      <c r="V259" s="703" t="str">
        <f>IF(OR(F259="",G259="",U259=""),"",IF(C259="売",(F259-U259)*G259,(U259-F259)*G259))</f>
        <v/>
      </c>
      <c r="W259" s="480" t="str">
        <f>IF(OR($E259="",$B259=""),"",IF($T259&lt;&gt;"",$T259-$E259,TODAY()-$E259)+1)</f>
        <v/>
      </c>
      <c r="X259" s="480" t="str">
        <f>IF(OR($AH259="",$AH259="保有中"),"",$AH259)</f>
        <v/>
      </c>
      <c r="Y259" s="488"/>
      <c r="Z259" s="710"/>
      <c r="AD259" s="608"/>
      <c r="AE259" s="600" t="str">
        <f>IF($E259="","",WORKDAY($E259,12))</f>
        <v/>
      </c>
      <c r="AF259" s="600" t="str" cm="1">
        <f t="array" aca="1" ref="AF259" ca="1">IF(OR($B259="",$M259=""),"",IFERROR(IF($C259="売",_xlfn.MINIFS(安値!$E$3:$IT$3,安値!$E$3:$IT$3,"&gt;"&amp;$E259,安値!$E$3:$IT$3,"&lt;="&amp;$AE259,OFFSET(安値!$E$6:$IT$6,MATCH(TEXT($B259,"0"),TEXT(銘柄管理!$B$6:$B$305,"0"),0)-1,0),"&lt;="&amp;$M259),_xlfn.MINIFS(高値!$E$3:$IT$3,高値!$E$3:$IT$3,"&gt;"&amp;$E259,高値!$E$3:$IT$3,"&lt;="&amp;$AE259,OFFSET(高値!$E$6:$IT$6,MATCH(TEXT($B259,"0"),TEXT(銘柄管理!$B$6:$B$305,"0"),0)-1,0),"&gt;="&amp;$M259)),""))</f>
        <v/>
      </c>
      <c r="AG259" s="600" t="str" cm="1">
        <f t="array" aca="1" ref="AG259" ca="1">IF(OR($B259="",$N259=""),"",IFERROR(IF($C259="売",_xlfn.MINIFS(高値!$E$3:$IT$3,高値!$E$3:$IT$3,"&gt;"&amp;$E259,高値!$E$3:$IT$3,"&lt;="&amp;$AE259,OFFSET(高値!$E$6:$IT$6,MATCH(TEXT($B259,"0"),TEXT(銘柄管理!$B$6:$B$305,"0"),0)-1,0),"&gt;="&amp;$N259),_xlfn.MINIFS(安値!$E$3:$IT$3,安値!$E$3:$IT$3,"&gt;"&amp;$E259,安値!$E$3:$IT$3,"&lt;="&amp;$AE259,OFFSET(安値!$E$6:$IT$6,MATCH(TEXT($B259,"0"),TEXT(銘柄管理!$B$6:$B$305,"0"),0)-1,0),"&lt;="&amp;$N259)),""))</f>
        <v/>
      </c>
      <c r="AH259" s="600" t="str">
        <f>IF(OR($B259="",$M259=""),"",IF(AND(N($AF259)=0,N($AG259)=0),IF(AND(ISNUMBER($H259),$H259&gt;0,IF($C259="売",$H259&gt;=$N259,$H259&lt;=$N259)),"損切確定",IF(AND(ISNUMBER($H259),$H259&gt;0,IF($C259="売",$H259&lt;=$M259,$H259&gt;=$M259)),"利益確定",IF($AE259&lt;=TODAY(),"日数制限","保有中"))),IF(N($AG259)=0,"利益確定",IF(N($AF259)=0,"損切確定",IF($AG259&lt;=$AF259,"損切確定","利益確定")))))</f>
        <v/>
      </c>
      <c r="AI259" s="600" t="str" cm="1">
        <f t="array" ref="AI259">IFERROR(INDEX(始値!$E$6:$IT$305,MATCH(TEXT($B259,"0"),TEXT(銘柄管理!$B$6:$B$305,"0"),0),MATCH($AE259,始値!$E$3:$IT$3,0)),"")</f>
        <v/>
      </c>
      <c r="AJ259" s="608" t="str">
        <f>IF(OR($V259="",$F259="",$G259=""),"",$V259/($F259*$G259))</f>
        <v/>
      </c>
      <c r="AK259" s="600" t="str">
        <f>IF($V259="","",IF($V259&gt;0,"○勝",IF($V259&lt;0,"●負","△引分")))</f>
        <v/>
      </c>
    </row>
    <row r="260" spans="1:37" ht="17.25" customHeight="1">
      <c r="A260" s="621" t="str">
        <f>IF(B260="","",HYPERLINK("https://kabutan.jp/stock/?code="&amp;B260,"株探"))</f>
        <v/>
      </c>
      <c r="B260" s="480"/>
      <c r="C260" s="480"/>
      <c r="D260" s="480" t="str" cm="1">
        <f t="array" ref="D260">_xll.RssMarket(B260, "銘柄名称")</f>
        <v/>
      </c>
      <c r="E260" s="717"/>
      <c r="F260" s="698" t="str" cm="1">
        <f t="array" aca="1" ref="F260" ca="1">IFERROR(_xlfn.LET(_xlpm.r,MATCH(TEXT($B260,"0"),TEXT(銘柄管理!$B$6:$B$305,"0"),0),_xlpm.t,MOD(NOW(),1),_xlpm.c,IF($E260=TODAY(),IF(_xlpm.t&gt;=TIME(15,30,0),NA(),1),IF(MATCH($E260,始値!$E$3:$IT$3,0)=1,1,MATCH($E260,始値!$E$3:$IT$3,0)+1)),_xlpm.v,INDEX(始値!$C$6:$IT$305,_xlpm.r,_xlpm.c),IF(N(_xlpm.v)=0,"",_xlpm.v)),"")</f>
        <v/>
      </c>
      <c r="G260" s="480"/>
      <c r="H260" s="480" t="str" cm="1">
        <f t="array" ref="H260">_xll.RssMarket(B260, "現在値")</f>
        <v/>
      </c>
      <c r="I260" s="480" t="str" cm="1">
        <f t="array" ref="I260">_xll.RssMarket(B260, "出来高加重平均")</f>
        <v/>
      </c>
      <c r="J260" s="702" t="str" cm="1">
        <f t="array" ref="J260">_xll.RssMarket($B260, "前日比")</f>
        <v/>
      </c>
      <c r="K260" s="703" t="str">
        <f>IF(OR(F260="",G260="",H260=""),"",IF(C260="売",(F260-H260)*G260,(H260-F260)*G260))</f>
        <v/>
      </c>
      <c r="L260" s="708" t="str">
        <f>IF(OR(F260="",H260=""),"",IF(C260="売",(F260-H260)/F260,(H260-F260)/F260))</f>
        <v/>
      </c>
      <c r="M260" s="598" t="str">
        <f>IF($F260="","",$F260*IF($C260="売",1-V811設定!$B$4,1+V811設定!$B$4)-MOD($F260*IF($C260="売",1-V811設定!$B$4,1+V811設定!$B$4),IF($F260&lt;=3000,1,IF($F260&lt;=5000,5,IF($F260&lt;=30000,10,IF($F260&lt;=50000,50,IF($F260&lt;=300000,100,500))))))+IF(AND($C260="売",MOD($F260*IF($C260="売",1-V811設定!$B$4,1+V811設定!$B$4),IF($F260&lt;=3000,1,IF($F260&lt;=5000,5,IF($F260&lt;=30000,10,IF($F260&lt;=50000,50,IF($F260&lt;=300000,100,500))))))&gt;0),IF($F260&lt;=3000,1,IF($F260&lt;=5000,5,IF($F260&lt;=30000,10,IF($F260&lt;=50000,50,IF($F260&lt;=300000,100,500))))),0))</f>
      </c>
      <c r="N260" s="598" t="str">
        <f>IF($F260="","",$F260*IF($C260="売",1+V811設定!$B$3,1-V811設定!$B$3)-MOD($F260*IF($C260="売",1+V811設定!$B$3,1-V811設定!$B$3),IF($F260&lt;=3000,1,IF($F260&lt;=5000,5,IF($F260&lt;=30000,10,IF($F260&lt;=50000,50,IF($F260&lt;=300000,100,500))))))+IF(AND($C260="売",MOD($F260*IF($C260="売",1+V811設定!$B$3,1-V811設定!$B$3),IF($F260&lt;=3000,1,IF($F260&lt;=5000,5,IF($F260&lt;=30000,10,IF($F260&lt;=50000,50,IF($F260&lt;=300000,100,500))))))&gt;0),IF($F260&lt;=3000,1,IF($F260&lt;=5000,5,IF($F260&lt;=30000,10,IF($F260&lt;=50000,50,IF($F260&lt;=300000,100,500))))),0))</f>
      </c>
      <c r="O260" s="478" t="str">
        <f>IF(OR($B260="",$F260="",$H260=""),"",IF($S260="✅売却済","―決済済―",IF($C260="売",IF($H260&lt;=$M260,"🟢利確",IF(AND($R260&lt;&gt;"",$H260&gt;=$R260),"🟠TRAIL",IF($H260&gt;=$N260,"🔴損切",IF($W260&gt;=V811設定!$B$6,"⏱時間決済",IF($H260&gt;=$F260*(1+V811設定!$B$3*0.7),"⚠️損切接近","保持継続"))))),IF($H260&gt;=$M260,"🟢利確",IF(AND($R260&lt;&gt;"",$H260&lt;=$R260),"🟠TRAIL",IF($H260&lt;=$N260,"🔴損切",IF($W260&gt;=V811設定!$B$6,"⏱時間決済",IF($H260&lt;=$F260*(1-V811設定!$B$3*0.7),"⚠️損切接近","保持継続"))))))))</f>
      </c>
      <c r="P260" s="445"/>
      <c r="Q260" s="445"/>
      <c r="R260" s="480" t="str">
        <f>IF(OR($F260="",$H260="",$N260=""),"",IF($S260="✅売却済","",IF($C260="売",IF($H260&gt;$F260*(1-V811設定!$B$3),$N260,MIN($N260,IF($Q260="",$N260,$Q260*1.03))),IF($H260&lt;$F260*(1+V811設定!$B$3),$N260,MAX($N260,IF($P260="",$N260,$P260*0.97))))))</f>
      </c>
      <c r="S260" s="480" t="str">
        <f>IF(B260="","",IF(T260&lt;&gt;"","✅売却済",IF(OR(H260="",L260=""),"📌保有中",IF(L260&gt;=0.06,"🟢利確推奨",IF(L260&gt;=0.05,"🟡利確直近",IF(L260&gt;=0.045,"🔵トレーリング検討",IF(L260&gt;-0.03,"📌保有中",IF(L260&gt;-0.04,"⚠️損切注意","🔴損切り"))))))))</f>
        <v/>
      </c>
      <c r="T260" s="596"/>
      <c r="U260" s="598"/>
      <c r="V260" s="703" t="str">
        <f>IF(OR(F260="",G260="",U260=""),"",IF(C260="売",(F260-U260)*G260,(U260-F260)*G260))</f>
        <v/>
      </c>
      <c r="W260" s="480" t="str">
        <f>IF(OR($E260="",$B260=""),"",IF($T260&lt;&gt;"",$T260-$E260,TODAY()-$E260)+1)</f>
        <v/>
      </c>
      <c r="X260" s="480" t="str">
        <f>IF(OR($AH260="",$AH260="保有中"),"",$AH260)</f>
        <v/>
      </c>
      <c r="Y260" s="488"/>
      <c r="Z260" s="710"/>
      <c r="AD260" s="608"/>
      <c r="AE260" s="600" t="str">
        <f>IF($E260="","",WORKDAY($E260,12))</f>
        <v/>
      </c>
      <c r="AF260" s="600" t="str" cm="1">
        <f t="array" aca="1" ref="AF260" ca="1">IF(OR($B260="",$M260=""),"",IFERROR(IF($C260="売",_xlfn.MINIFS(安値!$E$3:$IT$3,安値!$E$3:$IT$3,"&gt;"&amp;$E260,安値!$E$3:$IT$3,"&lt;="&amp;$AE260,OFFSET(安値!$E$6:$IT$6,MATCH(TEXT($B260,"0"),TEXT(銘柄管理!$B$6:$B$305,"0"),0)-1,0),"&lt;="&amp;$M260),_xlfn.MINIFS(高値!$E$3:$IT$3,高値!$E$3:$IT$3,"&gt;"&amp;$E260,高値!$E$3:$IT$3,"&lt;="&amp;$AE260,OFFSET(高値!$E$6:$IT$6,MATCH(TEXT($B260,"0"),TEXT(銘柄管理!$B$6:$B$305,"0"),0)-1,0),"&gt;="&amp;$M260)),""))</f>
        <v/>
      </c>
      <c r="AG260" s="600" t="str" cm="1">
        <f t="array" aca="1" ref="AG260" ca="1">IF(OR($B260="",$N260=""),"",IFERROR(IF($C260="売",_xlfn.MINIFS(高値!$E$3:$IT$3,高値!$E$3:$IT$3,"&gt;"&amp;$E260,高値!$E$3:$IT$3,"&lt;="&amp;$AE260,OFFSET(高値!$E$6:$IT$6,MATCH(TEXT($B260,"0"),TEXT(銘柄管理!$B$6:$B$305,"0"),0)-1,0),"&gt;="&amp;$N260),_xlfn.MINIFS(安値!$E$3:$IT$3,安値!$E$3:$IT$3,"&gt;"&amp;$E260,安値!$E$3:$IT$3,"&lt;="&amp;$AE260,OFFSET(安値!$E$6:$IT$6,MATCH(TEXT($B260,"0"),TEXT(銘柄管理!$B$6:$B$305,"0"),0)-1,0),"&lt;="&amp;$N260)),""))</f>
        <v/>
      </c>
      <c r="AH260" s="600" t="str">
        <f>IF(OR($B260="",$M260=""),"",IF(AND(N($AF260)=0,N($AG260)=0),IF(AND(ISNUMBER($H260),$H260&gt;0,IF($C260="売",$H260&gt;=$N260,$H260&lt;=$N260)),"損切確定",IF(AND(ISNUMBER($H260),$H260&gt;0,IF($C260="売",$H260&lt;=$M260,$H260&gt;=$M260)),"利益確定",IF($AE260&lt;=TODAY(),"日数制限","保有中"))),IF(N($AG260)=0,"利益確定",IF(N($AF260)=0,"損切確定",IF($AG260&lt;=$AF260,"損切確定","利益確定")))))</f>
        <v/>
      </c>
      <c r="AI260" s="600" t="str" cm="1">
        <f t="array" ref="AI260">IFERROR(INDEX(始値!$E$6:$IT$305,MATCH(TEXT($B260,"0"),TEXT(銘柄管理!$B$6:$B$305,"0"),0),MATCH($AE260,始値!$E$3:$IT$3,0)),"")</f>
        <v/>
      </c>
      <c r="AJ260" s="608" t="str">
        <f>IF(OR($V260="",$F260="",$G260=""),"",$V260/($F260*$G260))</f>
        <v/>
      </c>
      <c r="AK260" s="600" t="str">
        <f>IF($V260="","",IF($V260&gt;0,"○勝",IF($V260&lt;0,"●負","△引分")))</f>
        <v/>
      </c>
    </row>
    <row r="261" spans="1:37" ht="17.25" customHeight="1">
      <c r="A261" s="621" t="str">
        <f>IF(B261="","",HYPERLINK("https://kabutan.jp/stock/?code="&amp;B261,"株探"))</f>
        <v/>
      </c>
      <c r="B261" s="480"/>
      <c r="C261" s="480"/>
      <c r="D261" s="480" t="str" cm="1">
        <f t="array" ref="D261">_xll.RssMarket(B261, "銘柄名称")</f>
        <v/>
      </c>
      <c r="E261" s="717"/>
      <c r="F261" s="698" t="str" cm="1">
        <f t="array" aca="1" ref="F261" ca="1">IFERROR(_xlfn.LET(_xlpm.r,MATCH(TEXT($B261,"0"),TEXT(銘柄管理!$B$6:$B$305,"0"),0),_xlpm.t,MOD(NOW(),1),_xlpm.c,IF($E261=TODAY(),IF(_xlpm.t&gt;=TIME(15,30,0),NA(),1),IF(MATCH($E261,始値!$E$3:$IT$3,0)=1,1,MATCH($E261,始値!$E$3:$IT$3,0)+1)),_xlpm.v,INDEX(始値!$C$6:$IT$305,_xlpm.r,_xlpm.c),IF(N(_xlpm.v)=0,"",_xlpm.v)),"")</f>
        <v/>
      </c>
      <c r="G261" s="480"/>
      <c r="H261" s="480" t="str" cm="1">
        <f t="array" ref="H261">_xll.RssMarket(B261, "現在値")</f>
        <v/>
      </c>
      <c r="I261" s="480" t="str" cm="1">
        <f t="array" ref="I261">_xll.RssMarket(B261, "出来高加重平均")</f>
        <v/>
      </c>
      <c r="J261" s="702" t="str" cm="1">
        <f t="array" ref="J261">_xll.RssMarket($B261, "前日比")</f>
        <v/>
      </c>
      <c r="K261" s="703" t="str">
        <f>IF(OR(F261="",G261="",H261=""),"",IF(C261="売",(F261-H261)*G261,(H261-F261)*G261))</f>
        <v/>
      </c>
      <c r="L261" s="708" t="str">
        <f>IF(OR(F261="",H261=""),"",IF(C261="売",(F261-H261)/F261,(H261-F261)/F261))</f>
        <v/>
      </c>
      <c r="M261" s="598" t="str">
        <f>IF($F261="","",$F261*IF($C261="売",1-V811設定!$B$4,1+V811設定!$B$4)-MOD($F261*IF($C261="売",1-V811設定!$B$4,1+V811設定!$B$4),IF($F261&lt;=3000,1,IF($F261&lt;=5000,5,IF($F261&lt;=30000,10,IF($F261&lt;=50000,50,IF($F261&lt;=300000,100,500))))))+IF(AND($C261="売",MOD($F261*IF($C261="売",1-V811設定!$B$4,1+V811設定!$B$4),IF($F261&lt;=3000,1,IF($F261&lt;=5000,5,IF($F261&lt;=30000,10,IF($F261&lt;=50000,50,IF($F261&lt;=300000,100,500))))))&gt;0),IF($F261&lt;=3000,1,IF($F261&lt;=5000,5,IF($F261&lt;=30000,10,IF($F261&lt;=50000,50,IF($F261&lt;=300000,100,500))))),0))</f>
      </c>
      <c r="N261" s="598" t="str">
        <f>IF($F261="","",$F261*IF($C261="売",1+V811設定!$B$3,1-V811設定!$B$3)-MOD($F261*IF($C261="売",1+V811設定!$B$3,1-V811設定!$B$3),IF($F261&lt;=3000,1,IF($F261&lt;=5000,5,IF($F261&lt;=30000,10,IF($F261&lt;=50000,50,IF($F261&lt;=300000,100,500))))))+IF(AND($C261="売",MOD($F261*IF($C261="売",1+V811設定!$B$3,1-V811設定!$B$3),IF($F261&lt;=3000,1,IF($F261&lt;=5000,5,IF($F261&lt;=30000,10,IF($F261&lt;=50000,50,IF($F261&lt;=300000,100,500))))))&gt;0),IF($F261&lt;=3000,1,IF($F261&lt;=5000,5,IF($F261&lt;=30000,10,IF($F261&lt;=50000,50,IF($F261&lt;=300000,100,500))))),0))</f>
      </c>
      <c r="O261" s="478" t="str">
        <f>IF(OR($B261="",$F261="",$H261=""),"",IF($S261="✅売却済","―決済済―",IF($C261="売",IF($H261&lt;=$M261,"🟢利確",IF(AND($R261&lt;&gt;"",$H261&gt;=$R261),"🟠TRAIL",IF($H261&gt;=$N261,"🔴損切",IF($W261&gt;=V811設定!$B$6,"⏱時間決済",IF($H261&gt;=$F261*(1+V811設定!$B$3*0.7),"⚠️損切接近","保持継続"))))),IF($H261&gt;=$M261,"🟢利確",IF(AND($R261&lt;&gt;"",$H261&lt;=$R261),"🟠TRAIL",IF($H261&lt;=$N261,"🔴損切",IF($W261&gt;=V811設定!$B$6,"⏱時間決済",IF($H261&lt;=$F261*(1-V811設定!$B$3*0.7),"⚠️損切接近","保持継続"))))))))</f>
      </c>
      <c r="P261" s="445"/>
      <c r="Q261" s="445"/>
      <c r="R261" s="480" t="str">
        <f>IF(OR($F261="",$H261="",$N261=""),"",IF($S261="✅売却済","",IF($C261="売",IF($H261&gt;$F261*(1-V811設定!$B$3),$N261,MIN($N261,IF($Q261="",$N261,$Q261*1.03))),IF($H261&lt;$F261*(1+V811設定!$B$3),$N261,MAX($N261,IF($P261="",$N261,$P261*0.97))))))</f>
      </c>
      <c r="S261" s="480" t="str">
        <f>IF(B261="","",IF(T261&lt;&gt;"","✅売却済",IF(OR(H261="",L261=""),"📌保有中",IF(L261&gt;=0.06,"🟢利確推奨",IF(L261&gt;=0.05,"🟡利確直近",IF(L261&gt;=0.045,"🔵トレーリング検討",IF(L261&gt;-0.03,"📌保有中",IF(L261&gt;-0.04,"⚠️損切注意","🔴損切り"))))))))</f>
        <v/>
      </c>
      <c r="T261" s="596"/>
      <c r="U261" s="598"/>
      <c r="V261" s="703" t="str">
        <f>IF(OR(F261="",G261="",U261=""),"",IF(C261="売",(F261-U261)*G261,(U261-F261)*G261))</f>
        <v/>
      </c>
      <c r="W261" s="480" t="str">
        <f>IF(OR($E261="",$B261=""),"",IF($T261&lt;&gt;"",$T261-$E261,TODAY()-$E261)+1)</f>
        <v/>
      </c>
      <c r="X261" s="480" t="str">
        <f>IF(OR($AH261="",$AH261="保有中"),"",$AH261)</f>
        <v/>
      </c>
      <c r="Y261" s="488"/>
      <c r="Z261" s="710"/>
      <c r="AD261" s="608"/>
      <c r="AE261" s="600" t="str">
        <f>IF($E261="","",WORKDAY($E261,12))</f>
        <v/>
      </c>
      <c r="AF261" s="600" t="str" cm="1">
        <f t="array" aca="1" ref="AF261" ca="1">IF(OR($B261="",$M261=""),"",IFERROR(IF($C261="売",_xlfn.MINIFS(安値!$E$3:$IT$3,安値!$E$3:$IT$3,"&gt;"&amp;$E261,安値!$E$3:$IT$3,"&lt;="&amp;$AE261,OFFSET(安値!$E$6:$IT$6,MATCH(TEXT($B261,"0"),TEXT(銘柄管理!$B$6:$B$305,"0"),0)-1,0),"&lt;="&amp;$M261),_xlfn.MINIFS(高値!$E$3:$IT$3,高値!$E$3:$IT$3,"&gt;"&amp;$E261,高値!$E$3:$IT$3,"&lt;="&amp;$AE261,OFFSET(高値!$E$6:$IT$6,MATCH(TEXT($B261,"0"),TEXT(銘柄管理!$B$6:$B$305,"0"),0)-1,0),"&gt;="&amp;$M261)),""))</f>
        <v/>
      </c>
      <c r="AG261" s="600" t="str" cm="1">
        <f t="array" aca="1" ref="AG261" ca="1">IF(OR($B261="",$N261=""),"",IFERROR(IF($C261="売",_xlfn.MINIFS(高値!$E$3:$IT$3,高値!$E$3:$IT$3,"&gt;"&amp;$E261,高値!$E$3:$IT$3,"&lt;="&amp;$AE261,OFFSET(高値!$E$6:$IT$6,MATCH(TEXT($B261,"0"),TEXT(銘柄管理!$B$6:$B$305,"0"),0)-1,0),"&gt;="&amp;$N261),_xlfn.MINIFS(安値!$E$3:$IT$3,安値!$E$3:$IT$3,"&gt;"&amp;$E261,安値!$E$3:$IT$3,"&lt;="&amp;$AE261,OFFSET(安値!$E$6:$IT$6,MATCH(TEXT($B261,"0"),TEXT(銘柄管理!$B$6:$B$305,"0"),0)-1,0),"&lt;="&amp;$N261)),""))</f>
        <v/>
      </c>
      <c r="AH261" s="600" t="str">
        <f>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00" t="str" cm="1">
        <f t="array" ref="AI261">IFERROR(INDEX(始値!$E$6:$IT$305,MATCH(TEXT($B261,"0"),TEXT(銘柄管理!$B$6:$B$305,"0"),0),MATCH($AE261,始値!$E$3:$IT$3,0)),"")</f>
        <v/>
      </c>
      <c r="AJ261" s="608" t="str">
        <f>IF(OR($V261="",$F261="",$G261=""),"",$V261/($F261*$G261))</f>
        <v/>
      </c>
      <c r="AK261" s="600" t="str">
        <f>IF($V261="","",IF($V261&gt;0,"○勝",IF($V261&lt;0,"●負","△引分")))</f>
        <v/>
      </c>
    </row>
    <row r="262" spans="1:37" ht="17.25" customHeight="1">
      <c r="A262" s="621" t="str">
        <f>IF(B262="","",HYPERLINK("https://kabutan.jp/stock/?code="&amp;B262,"株探"))</f>
        <v/>
      </c>
      <c r="B262" s="480"/>
      <c r="C262" s="480"/>
      <c r="D262" s="480" t="str" cm="1">
        <f t="array" ref="D262">_xll.RssMarket(B262, "銘柄名称")</f>
        <v/>
      </c>
      <c r="E262" s="717"/>
      <c r="F262" s="698" t="str" cm="1">
        <f t="array" aca="1" ref="F262" ca="1">IFERROR(_xlfn.LET(_xlpm.r,MATCH(TEXT($B262,"0"),TEXT(銘柄管理!$B$6:$B$305,"0"),0),_xlpm.t,MOD(NOW(),1),_xlpm.c,IF($E262=TODAY(),IF(_xlpm.t&gt;=TIME(15,30,0),NA(),1),IF(MATCH($E262,始値!$E$3:$IT$3,0)=1,1,MATCH($E262,始値!$E$3:$IT$3,0)+1)),_xlpm.v,INDEX(始値!$C$6:$IT$305,_xlpm.r,_xlpm.c),IF(N(_xlpm.v)=0,"",_xlpm.v)),"")</f>
        <v/>
      </c>
      <c r="G262" s="480"/>
      <c r="H262" s="480" t="str" cm="1">
        <f t="array" ref="H262">_xll.RssMarket(B262, "現在値")</f>
        <v/>
      </c>
      <c r="I262" s="480" t="str" cm="1">
        <f t="array" ref="I262">_xll.RssMarket(B262, "出来高加重平均")</f>
        <v/>
      </c>
      <c r="J262" s="702" t="str" cm="1">
        <f t="array" ref="J262">_xll.RssMarket($B262, "前日比")</f>
        <v/>
      </c>
      <c r="K262" s="703" t="str">
        <f>IF(OR(F262="",G262="",H262=""),"",IF(C262="売",(F262-H262)*G262,(H262-F262)*G262))</f>
        <v/>
      </c>
      <c r="L262" s="708" t="str">
        <f>IF(OR(F262="",H262=""),"",IF(C262="売",(F262-H262)/F262,(H262-F262)/F262))</f>
        <v/>
      </c>
      <c r="M262" s="598" t="str">
        <f>IF($F262="","",$F262*IF($C262="売",1-V811設定!$B$4,1+V811設定!$B$4)-MOD($F262*IF($C262="売",1-V811設定!$B$4,1+V811設定!$B$4),IF($F262&lt;=3000,1,IF($F262&lt;=5000,5,IF($F262&lt;=30000,10,IF($F262&lt;=50000,50,IF($F262&lt;=300000,100,500))))))+IF(AND($C262="売",MOD($F262*IF($C262="売",1-V811設定!$B$4,1+V811設定!$B$4),IF($F262&lt;=3000,1,IF($F262&lt;=5000,5,IF($F262&lt;=30000,10,IF($F262&lt;=50000,50,IF($F262&lt;=300000,100,500))))))&gt;0),IF($F262&lt;=3000,1,IF($F262&lt;=5000,5,IF($F262&lt;=30000,10,IF($F262&lt;=50000,50,IF($F262&lt;=300000,100,500))))),0))</f>
      </c>
      <c r="N262" s="598" t="str">
        <f>IF($F262="","",$F262*IF($C262="売",1+V811設定!$B$3,1-V811設定!$B$3)-MOD($F262*IF($C262="売",1+V811設定!$B$3,1-V811設定!$B$3),IF($F262&lt;=3000,1,IF($F262&lt;=5000,5,IF($F262&lt;=30000,10,IF($F262&lt;=50000,50,IF($F262&lt;=300000,100,500))))))+IF(AND($C262="売",MOD($F262*IF($C262="売",1+V811設定!$B$3,1-V811設定!$B$3),IF($F262&lt;=3000,1,IF($F262&lt;=5000,5,IF($F262&lt;=30000,10,IF($F262&lt;=50000,50,IF($F262&lt;=300000,100,500))))))&gt;0),IF($F262&lt;=3000,1,IF($F262&lt;=5000,5,IF($F262&lt;=30000,10,IF($F262&lt;=50000,50,IF($F262&lt;=300000,100,500))))),0))</f>
      </c>
      <c r="O262" s="478" t="str">
        <f>IF(OR($B262="",$F262="",$H262=""),"",IF($S262="✅売却済","―決済済―",IF($C262="売",IF($H262&lt;=$M262,"🟢利確",IF(AND($R262&lt;&gt;"",$H262&gt;=$R262),"🟠TRAIL",IF($H262&gt;=$N262,"🔴損切",IF($W262&gt;=V811設定!$B$6,"⏱時間決済",IF($H262&gt;=$F262*(1+V811設定!$B$3*0.7),"⚠️損切接近","保持継続"))))),IF($H262&gt;=$M262,"🟢利確",IF(AND($R262&lt;&gt;"",$H262&lt;=$R262),"🟠TRAIL",IF($H262&lt;=$N262,"🔴損切",IF($W262&gt;=V811設定!$B$6,"⏱時間決済",IF($H262&lt;=$F262*(1-V811設定!$B$3*0.7),"⚠️損切接近","保持継続"))))))))</f>
      </c>
      <c r="P262" s="445"/>
      <c r="Q262" s="445"/>
      <c r="R262" s="480" t="str">
        <f>IF(OR($F262="",$H262="",$N262=""),"",IF($S262="✅売却済","",IF($C262="売",IF($H262&gt;$F262*(1-V811設定!$B$3),$N262,MIN($N262,IF($Q262="",$N262,$Q262*1.03))),IF($H262&lt;$F262*(1+V811設定!$B$3),$N262,MAX($N262,IF($P262="",$N262,$P262*0.97))))))</f>
      </c>
      <c r="S262" s="480" t="str">
        <f>IF(B262="","",IF(T262&lt;&gt;"","✅売却済",IF(OR(H262="",L262=""),"📌保有中",IF(L262&gt;=0.06,"🟢利確推奨",IF(L262&gt;=0.05,"🟡利確直近",IF(L262&gt;=0.045,"🔵トレーリング検討",IF(L262&gt;-0.03,"📌保有中",IF(L262&gt;-0.04,"⚠️損切注意","🔴損切り"))))))))</f>
        <v/>
      </c>
      <c r="T262" s="596"/>
      <c r="U262" s="598"/>
      <c r="V262" s="703" t="str">
        <f>IF(OR(F262="",G262="",U262=""),"",IF(C262="売",(F262-U262)*G262,(U262-F262)*G262))</f>
        <v/>
      </c>
      <c r="W262" s="480" t="str">
        <f>IF(OR($E262="",$B262=""),"",IF($T262&lt;&gt;"",$T262-$E262,TODAY()-$E262)+1)</f>
        <v/>
      </c>
      <c r="X262" s="480" t="str">
        <f>IF(OR($AH262="",$AH262="保有中"),"",$AH262)</f>
        <v/>
      </c>
      <c r="Y262" s="488"/>
      <c r="Z262" s="710"/>
      <c r="AD262" s="608"/>
      <c r="AE262" s="600" t="str">
        <f>IF($E262="","",WORKDAY($E262,12))</f>
        <v/>
      </c>
      <c r="AF262" s="600" t="str" cm="1">
        <f t="array" aca="1" ref="AF262" ca="1">IF(OR($B262="",$M262=""),"",IFERROR(IF($C262="売",_xlfn.MINIFS(安値!$E$3:$IT$3,安値!$E$3:$IT$3,"&gt;"&amp;$E262,安値!$E$3:$IT$3,"&lt;="&amp;$AE262,OFFSET(安値!$E$6:$IT$6,MATCH(TEXT($B262,"0"),TEXT(銘柄管理!$B$6:$B$305,"0"),0)-1,0),"&lt;="&amp;$M262),_xlfn.MINIFS(高値!$E$3:$IT$3,高値!$E$3:$IT$3,"&gt;"&amp;$E262,高値!$E$3:$IT$3,"&lt;="&amp;$AE262,OFFSET(高値!$E$6:$IT$6,MATCH(TEXT($B262,"0"),TEXT(銘柄管理!$B$6:$B$305,"0"),0)-1,0),"&gt;="&amp;$M262)),""))</f>
        <v/>
      </c>
      <c r="AG262" s="600" t="str" cm="1">
        <f t="array" aca="1" ref="AG262" ca="1">IF(OR($B262="",$N262=""),"",IFERROR(IF($C262="売",_xlfn.MINIFS(高値!$E$3:$IT$3,高値!$E$3:$IT$3,"&gt;"&amp;$E262,高値!$E$3:$IT$3,"&lt;="&amp;$AE262,OFFSET(高値!$E$6:$IT$6,MATCH(TEXT($B262,"0"),TEXT(銘柄管理!$B$6:$B$305,"0"),0)-1,0),"&gt;="&amp;$N262),_xlfn.MINIFS(安値!$E$3:$IT$3,安値!$E$3:$IT$3,"&gt;"&amp;$E262,安値!$E$3:$IT$3,"&lt;="&amp;$AE262,OFFSET(安値!$E$6:$IT$6,MATCH(TEXT($B262,"0"),TEXT(銘柄管理!$B$6:$B$305,"0"),0)-1,0),"&lt;="&amp;$N262)),""))</f>
        <v/>
      </c>
      <c r="AH262" s="600" t="str">
        <f>IF(OR($B262="",$M262=""),"",IF(AND(N($AF262)=0,N($AG262)=0),IF(AND(ISNUMBER($H262),$H262&gt;0,IF($C262="売",$H262&gt;=$N262,$H262&lt;=$N262)),"損切確定",IF(AND(ISNUMBER($H262),$H262&gt;0,IF($C262="売",$H262&lt;=$M262,$H262&gt;=$M262)),"利益確定",IF($AE262&lt;=TODAY(),"日数制限","保有中"))),IF(N($AG262)=0,"利益確定",IF(N($AF262)=0,"損切確定",IF($AG262&lt;=$AF262,"損切確定","利益確定")))))</f>
        <v/>
      </c>
      <c r="AI262" s="600" t="str" cm="1">
        <f t="array" ref="AI262">IFERROR(INDEX(始値!$E$6:$IT$305,MATCH(TEXT($B262,"0"),TEXT(銘柄管理!$B$6:$B$305,"0"),0),MATCH($AE262,始値!$E$3:$IT$3,0)),"")</f>
        <v/>
      </c>
      <c r="AJ262" s="608" t="str">
        <f>IF(OR($V262="",$F262="",$G262=""),"",$V262/($F262*$G262))</f>
        <v/>
      </c>
      <c r="AK262" s="600" t="str">
        <f>IF($V262="","",IF($V262&gt;0,"○勝",IF($V262&lt;0,"●負","△引分")))</f>
        <v/>
      </c>
    </row>
    <row r="263" spans="1:37" ht="17.25" customHeight="1">
      <c r="A263" s="621" t="str">
        <f>IF(B263="","",HYPERLINK("https://kabutan.jp/stock/?code="&amp;B263,"株探"))</f>
        <v/>
      </c>
      <c r="B263" s="480"/>
      <c r="C263" s="480"/>
      <c r="D263" s="480" t="str" cm="1">
        <f t="array" ref="D263">_xll.RssMarket(B263, "銘柄名称")</f>
        <v/>
      </c>
      <c r="E263" s="717"/>
      <c r="F263" s="698" t="str" cm="1">
        <f t="array" aca="1" ref="F263" ca="1">IFERROR(_xlfn.LET(_xlpm.r,MATCH(TEXT($B263,"0"),TEXT(銘柄管理!$B$6:$B$305,"0"),0),_xlpm.t,MOD(NOW(),1),_xlpm.c,IF($E263=TODAY(),IF(_xlpm.t&gt;=TIME(15,30,0),NA(),1),IF(MATCH($E263,始値!$E$3:$IT$3,0)=1,1,MATCH($E263,始値!$E$3:$IT$3,0)+1)),_xlpm.v,INDEX(始値!$C$6:$IT$305,_xlpm.r,_xlpm.c),IF(N(_xlpm.v)=0,"",_xlpm.v)),"")</f>
        <v/>
      </c>
      <c r="G263" s="480"/>
      <c r="H263" s="480" t="str" cm="1">
        <f t="array" ref="H263">_xll.RssMarket(B263, "現在値")</f>
        <v/>
      </c>
      <c r="I263" s="480" t="str" cm="1">
        <f t="array" ref="I263">_xll.RssMarket(B263, "出来高加重平均")</f>
        <v/>
      </c>
      <c r="J263" s="702" t="str" cm="1">
        <f t="array" ref="J263">_xll.RssMarket($B263, "前日比")</f>
        <v/>
      </c>
      <c r="K263" s="703" t="str">
        <f>IF(OR(F263="",G263="",H263=""),"",IF(C263="売",(F263-H263)*G263,(H263-F263)*G263))</f>
        <v/>
      </c>
      <c r="L263" s="708" t="str">
        <f>IF(OR(F263="",H263=""),"",IF(C263="売",(F263-H263)/F263,(H263-F263)/F263))</f>
        <v/>
      </c>
      <c r="M263" s="598" t="str">
        <f>IF($F263="","",$F263*IF($C263="売",1-V811設定!$B$4,1+V811設定!$B$4)-MOD($F263*IF($C263="売",1-V811設定!$B$4,1+V811設定!$B$4),IF($F263&lt;=3000,1,IF($F263&lt;=5000,5,IF($F263&lt;=30000,10,IF($F263&lt;=50000,50,IF($F263&lt;=300000,100,500))))))+IF(AND($C263="売",MOD($F263*IF($C263="売",1-V811設定!$B$4,1+V811設定!$B$4),IF($F263&lt;=3000,1,IF($F263&lt;=5000,5,IF($F263&lt;=30000,10,IF($F263&lt;=50000,50,IF($F263&lt;=300000,100,500))))))&gt;0),IF($F263&lt;=3000,1,IF($F263&lt;=5000,5,IF($F263&lt;=30000,10,IF($F263&lt;=50000,50,IF($F263&lt;=300000,100,500))))),0))</f>
      </c>
      <c r="N263" s="598" t="str">
        <f>IF($F263="","",$F263*IF($C263="売",1+V811設定!$B$3,1-V811設定!$B$3)-MOD($F263*IF($C263="売",1+V811設定!$B$3,1-V811設定!$B$3),IF($F263&lt;=3000,1,IF($F263&lt;=5000,5,IF($F263&lt;=30000,10,IF($F263&lt;=50000,50,IF($F263&lt;=300000,100,500))))))+IF(AND($C263="売",MOD($F263*IF($C263="売",1+V811設定!$B$3,1-V811設定!$B$3),IF($F263&lt;=3000,1,IF($F263&lt;=5000,5,IF($F263&lt;=30000,10,IF($F263&lt;=50000,50,IF($F263&lt;=300000,100,500))))))&gt;0),IF($F263&lt;=3000,1,IF($F263&lt;=5000,5,IF($F263&lt;=30000,10,IF($F263&lt;=50000,50,IF($F263&lt;=300000,100,500))))),0))</f>
      </c>
      <c r="O263" s="478" t="str">
        <f>IF(OR($B263="",$F263="",$H263=""),"",IF($S263="✅売却済","―決済済―",IF($C263="売",IF($H263&lt;=$M263,"🟢利確",IF(AND($R263&lt;&gt;"",$H263&gt;=$R263),"🟠TRAIL",IF($H263&gt;=$N263,"🔴損切",IF($W263&gt;=V811設定!$B$6,"⏱時間決済",IF($H263&gt;=$F263*(1+V811設定!$B$3*0.7),"⚠️損切接近","保持継続"))))),IF($H263&gt;=$M263,"🟢利確",IF(AND($R263&lt;&gt;"",$H263&lt;=$R263),"🟠TRAIL",IF($H263&lt;=$N263,"🔴損切",IF($W263&gt;=V811設定!$B$6,"⏱時間決済",IF($H263&lt;=$F263*(1-V811設定!$B$3*0.7),"⚠️損切接近","保持継続"))))))))</f>
      </c>
      <c r="P263" s="445"/>
      <c r="Q263" s="445"/>
      <c r="R263" s="480" t="str">
        <f>IF(OR($F263="",$H263="",$N263=""),"",IF($S263="✅売却済","",IF($C263="売",IF($H263&gt;$F263*(1-V811設定!$B$3),$N263,MIN($N263,IF($Q263="",$N263,$Q263*1.03))),IF($H263&lt;$F263*(1+V811設定!$B$3),$N263,MAX($N263,IF($P263="",$N263,$P263*0.97))))))</f>
      </c>
      <c r="S263" s="480" t="str">
        <f>IF(B263="","",IF(T263&lt;&gt;"","✅売却済",IF(OR(H263="",L263=""),"📌保有中",IF(L263&gt;=0.06,"🟢利確推奨",IF(L263&gt;=0.05,"🟡利確直近",IF(L263&gt;=0.045,"🔵トレーリング検討",IF(L263&gt;-0.03,"📌保有中",IF(L263&gt;-0.04,"⚠️損切注意","🔴損切り"))))))))</f>
        <v/>
      </c>
      <c r="T263" s="596"/>
      <c r="U263" s="598"/>
      <c r="V263" s="703" t="str">
        <f>IF(OR(F263="",G263="",U263=""),"",IF(C263="売",(F263-U263)*G263,(U263-F263)*G263))</f>
        <v/>
      </c>
      <c r="W263" s="480" t="str">
        <f>IF(OR($E263="",$B263=""),"",IF($T263&lt;&gt;"",$T263-$E263,TODAY()-$E263)+1)</f>
        <v/>
      </c>
      <c r="X263" s="480" t="str">
        <f>IF(OR($AH263="",$AH263="保有中"),"",$AH263)</f>
        <v/>
      </c>
      <c r="Y263" s="488"/>
      <c r="Z263" s="710"/>
      <c r="AD263" s="608"/>
      <c r="AE263" s="600" t="str">
        <f>IF($E263="","",WORKDAY($E263,12))</f>
        <v/>
      </c>
      <c r="AF263" s="600" t="str" cm="1">
        <f t="array" aca="1" ref="AF263" ca="1">IF(OR($B263="",$M263=""),"",IFERROR(IF($C263="売",_xlfn.MINIFS(安値!$E$3:$IT$3,安値!$E$3:$IT$3,"&gt;"&amp;$E263,安値!$E$3:$IT$3,"&lt;="&amp;$AE263,OFFSET(安値!$E$6:$IT$6,MATCH(TEXT($B263,"0"),TEXT(銘柄管理!$B$6:$B$305,"0"),0)-1,0),"&lt;="&amp;$M263),_xlfn.MINIFS(高値!$E$3:$IT$3,高値!$E$3:$IT$3,"&gt;"&amp;$E263,高値!$E$3:$IT$3,"&lt;="&amp;$AE263,OFFSET(高値!$E$6:$IT$6,MATCH(TEXT($B263,"0"),TEXT(銘柄管理!$B$6:$B$305,"0"),0)-1,0),"&gt;="&amp;$M263)),""))</f>
        <v/>
      </c>
      <c r="AG263" s="600" t="str" cm="1">
        <f t="array" aca="1" ref="AG263" ca="1">IF(OR($B263="",$N263=""),"",IFERROR(IF($C263="売",_xlfn.MINIFS(高値!$E$3:$IT$3,高値!$E$3:$IT$3,"&gt;"&amp;$E263,高値!$E$3:$IT$3,"&lt;="&amp;$AE263,OFFSET(高値!$E$6:$IT$6,MATCH(TEXT($B263,"0"),TEXT(銘柄管理!$B$6:$B$305,"0"),0)-1,0),"&gt;="&amp;$N263),_xlfn.MINIFS(安値!$E$3:$IT$3,安値!$E$3:$IT$3,"&gt;"&amp;$E263,安値!$E$3:$IT$3,"&lt;="&amp;$AE263,OFFSET(安値!$E$6:$IT$6,MATCH(TEXT($B263,"0"),TEXT(銘柄管理!$B$6:$B$305,"0"),0)-1,0),"&lt;="&amp;$N263)),""))</f>
        <v/>
      </c>
      <c r="AH263" s="600" t="str">
        <f>IF(OR($B263="",$M263=""),"",IF(AND(N($AF263)=0,N($AG263)=0),IF(AND(ISNUMBER($H263),$H263&gt;0,IF($C263="売",$H263&gt;=$N263,$H263&lt;=$N263)),"損切確定",IF(AND(ISNUMBER($H263),$H263&gt;0,IF($C263="売",$H263&lt;=$M263,$H263&gt;=$M263)),"利益確定",IF($AE263&lt;=TODAY(),"日数制限","保有中"))),IF(N($AG263)=0,"利益確定",IF(N($AF263)=0,"損切確定",IF($AG263&lt;=$AF263,"損切確定","利益確定")))))</f>
        <v/>
      </c>
      <c r="AI263" s="600" t="str" cm="1">
        <f t="array" ref="AI263">IFERROR(INDEX(始値!$E$6:$IT$305,MATCH(TEXT($B263,"0"),TEXT(銘柄管理!$B$6:$B$305,"0"),0),MATCH($AE263,始値!$E$3:$IT$3,0)),"")</f>
        <v/>
      </c>
      <c r="AJ263" s="608" t="str">
        <f>IF(OR($V263="",$F263="",$G263=""),"",$V263/($F263*$G263))</f>
        <v/>
      </c>
      <c r="AK263" s="600" t="str">
        <f>IF($V263="","",IF($V263&gt;0,"○勝",IF($V263&lt;0,"●負","△引分")))</f>
        <v/>
      </c>
    </row>
    <row r="264" spans="1:37" ht="17.25" customHeight="1">
      <c r="A264" s="621" t="str">
        <f>IF(B264="","",HYPERLINK("https://kabutan.jp/stock/?code="&amp;B264,"株探"))</f>
        <v/>
      </c>
      <c r="B264" s="480"/>
      <c r="C264" s="480"/>
      <c r="D264" s="480" t="str" cm="1">
        <f t="array" ref="D264">_xll.RssMarket(B264, "銘柄名称")</f>
        <v/>
      </c>
      <c r="E264" s="717"/>
      <c r="F264" s="698" t="str" cm="1">
        <f t="array" aca="1" ref="F264" ca="1">IFERROR(_xlfn.LET(_xlpm.r,MATCH(TEXT($B264,"0"),TEXT(銘柄管理!$B$6:$B$305,"0"),0),_xlpm.t,MOD(NOW(),1),_xlpm.c,IF($E264=TODAY(),IF(_xlpm.t&gt;=TIME(15,30,0),NA(),1),IF(MATCH($E264,始値!$E$3:$IT$3,0)=1,1,MATCH($E264,始値!$E$3:$IT$3,0)+1)),_xlpm.v,INDEX(始値!$C$6:$IT$305,_xlpm.r,_xlpm.c),IF(N(_xlpm.v)=0,"",_xlpm.v)),"")</f>
        <v/>
      </c>
      <c r="G264" s="480"/>
      <c r="H264" s="480" t="str" cm="1">
        <f t="array" ref="H264">_xll.RssMarket(B264, "現在値")</f>
        <v/>
      </c>
      <c r="I264" s="480" t="str" cm="1">
        <f t="array" ref="I264">_xll.RssMarket(B264, "出来高加重平均")</f>
        <v/>
      </c>
      <c r="J264" s="702" t="str" cm="1">
        <f t="array" ref="J264">_xll.RssMarket($B264, "前日比")</f>
        <v/>
      </c>
      <c r="K264" s="703" t="str">
        <f>IF(OR(F264="",G264="",H264=""),"",IF(C264="売",(F264-H264)*G264,(H264-F264)*G264))</f>
        <v/>
      </c>
      <c r="L264" s="708" t="str">
        <f>IF(OR(F264="",H264=""),"",IF(C264="売",(F264-H264)/F264,(H264-F264)/F264))</f>
        <v/>
      </c>
      <c r="M264" s="598" t="str">
        <f>IF($F264="","",$F264*IF($C264="売",1-V811設定!$B$4,1+V811設定!$B$4)-MOD($F264*IF($C264="売",1-V811設定!$B$4,1+V811設定!$B$4),IF($F264&lt;=3000,1,IF($F264&lt;=5000,5,IF($F264&lt;=30000,10,IF($F264&lt;=50000,50,IF($F264&lt;=300000,100,500))))))+IF(AND($C264="売",MOD($F264*IF($C264="売",1-V811設定!$B$4,1+V811設定!$B$4),IF($F264&lt;=3000,1,IF($F264&lt;=5000,5,IF($F264&lt;=30000,10,IF($F264&lt;=50000,50,IF($F264&lt;=300000,100,500))))))&gt;0),IF($F264&lt;=3000,1,IF($F264&lt;=5000,5,IF($F264&lt;=30000,10,IF($F264&lt;=50000,50,IF($F264&lt;=300000,100,500))))),0))</f>
      </c>
      <c r="N264" s="598" t="str">
        <f>IF($F264="","",$F264*IF($C264="売",1+V811設定!$B$3,1-V811設定!$B$3)-MOD($F264*IF($C264="売",1+V811設定!$B$3,1-V811設定!$B$3),IF($F264&lt;=3000,1,IF($F264&lt;=5000,5,IF($F264&lt;=30000,10,IF($F264&lt;=50000,50,IF($F264&lt;=300000,100,500))))))+IF(AND($C264="売",MOD($F264*IF($C264="売",1+V811設定!$B$3,1-V811設定!$B$3),IF($F264&lt;=3000,1,IF($F264&lt;=5000,5,IF($F264&lt;=30000,10,IF($F264&lt;=50000,50,IF($F264&lt;=300000,100,500))))))&gt;0),IF($F264&lt;=3000,1,IF($F264&lt;=5000,5,IF($F264&lt;=30000,10,IF($F264&lt;=50000,50,IF($F264&lt;=300000,100,500))))),0))</f>
      </c>
      <c r="O264" s="478" t="str">
        <f>IF(OR($B264="",$F264="",$H264=""),"",IF($S264="✅売却済","―決済済―",IF($C264="売",IF($H264&lt;=$M264,"🟢利確",IF(AND($R264&lt;&gt;"",$H264&gt;=$R264),"🟠TRAIL",IF($H264&gt;=$N264,"🔴損切",IF($W264&gt;=V811設定!$B$6,"⏱時間決済",IF($H264&gt;=$F264*(1+V811設定!$B$3*0.7),"⚠️損切接近","保持継続"))))),IF($H264&gt;=$M264,"🟢利確",IF(AND($R264&lt;&gt;"",$H264&lt;=$R264),"🟠TRAIL",IF($H264&lt;=$N264,"🔴損切",IF($W264&gt;=V811設定!$B$6,"⏱時間決済",IF($H264&lt;=$F264*(1-V811設定!$B$3*0.7),"⚠️損切接近","保持継続"))))))))</f>
      </c>
      <c r="P264" s="445"/>
      <c r="Q264" s="445"/>
      <c r="R264" s="480" t="str">
        <f>IF(OR($F264="",$H264="",$N264=""),"",IF($S264="✅売却済","",IF($C264="売",IF($H264&gt;$F264*(1-V811設定!$B$3),$N264,MIN($N264,IF($Q264="",$N264,$Q264*1.03))),IF($H264&lt;$F264*(1+V811設定!$B$3),$N264,MAX($N264,IF($P264="",$N264,$P264*0.97))))))</f>
      </c>
      <c r="S264" s="480" t="str">
        <f>IF(B264="","",IF(T264&lt;&gt;"","✅売却済",IF(OR(H264="",L264=""),"📌保有中",IF(L264&gt;=0.06,"🟢利確推奨",IF(L264&gt;=0.05,"🟡利確直近",IF(L264&gt;=0.045,"🔵トレーリング検討",IF(L264&gt;-0.03,"📌保有中",IF(L264&gt;-0.04,"⚠️損切注意","🔴損切り"))))))))</f>
        <v/>
      </c>
      <c r="T264" s="596"/>
      <c r="U264" s="598"/>
      <c r="V264" s="703" t="str">
        <f>IF(OR(F264="",G264="",U264=""),"",IF(C264="売",(F264-U264)*G264,(U264-F264)*G264))</f>
        <v/>
      </c>
      <c r="W264" s="480" t="str">
        <f>IF(OR($E264="",$B264=""),"",IF($T264&lt;&gt;"",$T264-$E264,TODAY()-$E264)+1)</f>
        <v/>
      </c>
      <c r="X264" s="480" t="str">
        <f>IF(OR($AH264="",$AH264="保有中"),"",$AH264)</f>
        <v/>
      </c>
      <c r="Y264" s="488"/>
      <c r="Z264" s="710"/>
      <c r="AD264" s="608"/>
      <c r="AE264" s="600" t="str">
        <f>IF($E264="","",WORKDAY($E264,12))</f>
        <v/>
      </c>
      <c r="AF264" s="600" t="str" cm="1">
        <f t="array" aca="1" ref="AF264" ca="1">IF(OR($B264="",$M264=""),"",IFERROR(IF($C264="売",_xlfn.MINIFS(安値!$E$3:$IT$3,安値!$E$3:$IT$3,"&gt;"&amp;$E264,安値!$E$3:$IT$3,"&lt;="&amp;$AE264,OFFSET(安値!$E$6:$IT$6,MATCH(TEXT($B264,"0"),TEXT(銘柄管理!$B$6:$B$305,"0"),0)-1,0),"&lt;="&amp;$M264),_xlfn.MINIFS(高値!$E$3:$IT$3,高値!$E$3:$IT$3,"&gt;"&amp;$E264,高値!$E$3:$IT$3,"&lt;="&amp;$AE264,OFFSET(高値!$E$6:$IT$6,MATCH(TEXT($B264,"0"),TEXT(銘柄管理!$B$6:$B$305,"0"),0)-1,0),"&gt;="&amp;$M264)),""))</f>
        <v/>
      </c>
      <c r="AG264" s="600" t="str" cm="1">
        <f t="array" aca="1" ref="AG264" ca="1">IF(OR($B264="",$N264=""),"",IFERROR(IF($C264="売",_xlfn.MINIFS(高値!$E$3:$IT$3,高値!$E$3:$IT$3,"&gt;"&amp;$E264,高値!$E$3:$IT$3,"&lt;="&amp;$AE264,OFFSET(高値!$E$6:$IT$6,MATCH(TEXT($B264,"0"),TEXT(銘柄管理!$B$6:$B$305,"0"),0)-1,0),"&gt;="&amp;$N264),_xlfn.MINIFS(安値!$E$3:$IT$3,安値!$E$3:$IT$3,"&gt;"&amp;$E264,安値!$E$3:$IT$3,"&lt;="&amp;$AE264,OFFSET(安値!$E$6:$IT$6,MATCH(TEXT($B264,"0"),TEXT(銘柄管理!$B$6:$B$305,"0"),0)-1,0),"&lt;="&amp;$N264)),""))</f>
        <v/>
      </c>
      <c r="AH264" s="600" t="str">
        <f>IF(OR($B264="",$M264=""),"",IF(AND(N($AF264)=0,N($AG264)=0),IF(AND(ISNUMBER($H264),$H264&gt;0,IF($C264="売",$H264&gt;=$N264,$H264&lt;=$N264)),"損切確定",IF(AND(ISNUMBER($H264),$H264&gt;0,IF($C264="売",$H264&lt;=$M264,$H264&gt;=$M264)),"利益確定",IF($AE264&lt;=TODAY(),"日数制限","保有中"))),IF(N($AG264)=0,"利益確定",IF(N($AF264)=0,"損切確定",IF($AG264&lt;=$AF264,"損切確定","利益確定")))))</f>
        <v/>
      </c>
      <c r="AI264" s="600" t="str" cm="1">
        <f t="array" ref="AI264">IFERROR(INDEX(始値!$E$6:$IT$305,MATCH(TEXT($B264,"0"),TEXT(銘柄管理!$B$6:$B$305,"0"),0),MATCH($AE264,始値!$E$3:$IT$3,0)),"")</f>
        <v/>
      </c>
      <c r="AJ264" s="608" t="str">
        <f>IF(OR($V264="",$F264="",$G264=""),"",$V264/($F264*$G264))</f>
        <v/>
      </c>
      <c r="AK264" s="600" t="str">
        <f>IF($V264="","",IF($V264&gt;0,"○勝",IF($V264&lt;0,"●負","△引分")))</f>
        <v/>
      </c>
    </row>
    <row r="265" spans="1:37" ht="17.25" customHeight="1">
      <c r="A265" s="621" t="str">
        <f>IF(B265="","",HYPERLINK("https://kabutan.jp/stock/?code="&amp;B265,"株探"))</f>
        <v/>
      </c>
      <c r="B265" s="480"/>
      <c r="C265" s="480"/>
      <c r="D265" s="480" t="str" cm="1">
        <f t="array" ref="D265">_xll.RssMarket(B265, "銘柄名称")</f>
        <v/>
      </c>
      <c r="E265" s="717"/>
      <c r="F265" s="698" t="str" cm="1">
        <f t="array" aca="1" ref="F265" ca="1">IFERROR(_xlfn.LET(_xlpm.r,MATCH(TEXT($B265,"0"),TEXT(銘柄管理!$B$6:$B$305,"0"),0),_xlpm.t,MOD(NOW(),1),_xlpm.c,IF($E265=TODAY(),IF(_xlpm.t&gt;=TIME(15,30,0),NA(),1),IF(MATCH($E265,始値!$E$3:$IT$3,0)=1,1,MATCH($E265,始値!$E$3:$IT$3,0)+1)),_xlpm.v,INDEX(始値!$C$6:$IT$305,_xlpm.r,_xlpm.c),IF(N(_xlpm.v)=0,"",_xlpm.v)),"")</f>
        <v/>
      </c>
      <c r="G265" s="480"/>
      <c r="H265" s="480" t="str" cm="1">
        <f t="array" ref="H265">_xll.RssMarket(B265, "現在値")</f>
        <v/>
      </c>
      <c r="I265" s="480" t="str" cm="1">
        <f t="array" ref="I265">_xll.RssMarket(B265, "出来高加重平均")</f>
        <v/>
      </c>
      <c r="J265" s="702" t="str" cm="1">
        <f t="array" ref="J265">_xll.RssMarket($B265, "前日比")</f>
        <v/>
      </c>
      <c r="K265" s="703" t="str">
        <f>IF(OR(F265="",G265="",H265=""),"",IF(C265="売",(F265-H265)*G265,(H265-F265)*G265))</f>
        <v/>
      </c>
      <c r="L265" s="708" t="str">
        <f>IF(OR(F265="",H265=""),"",IF(C265="売",(F265-H265)/F265,(H265-F265)/F265))</f>
        <v/>
      </c>
      <c r="M265" s="598" t="str">
        <f>IF($F265="","",$F265*IF($C265="売",1-V811設定!$B$4,1+V811設定!$B$4)-MOD($F265*IF($C265="売",1-V811設定!$B$4,1+V811設定!$B$4),IF($F265&lt;=3000,1,IF($F265&lt;=5000,5,IF($F265&lt;=30000,10,IF($F265&lt;=50000,50,IF($F265&lt;=300000,100,500))))))+IF(AND($C265="売",MOD($F265*IF($C265="売",1-V811設定!$B$4,1+V811設定!$B$4),IF($F265&lt;=3000,1,IF($F265&lt;=5000,5,IF($F265&lt;=30000,10,IF($F265&lt;=50000,50,IF($F265&lt;=300000,100,500))))))&gt;0),IF($F265&lt;=3000,1,IF($F265&lt;=5000,5,IF($F265&lt;=30000,10,IF($F265&lt;=50000,50,IF($F265&lt;=300000,100,500))))),0))</f>
      </c>
      <c r="N265" s="598" t="str">
        <f>IF($F265="","",$F265*IF($C265="売",1+V811設定!$B$3,1-V811設定!$B$3)-MOD($F265*IF($C265="売",1+V811設定!$B$3,1-V811設定!$B$3),IF($F265&lt;=3000,1,IF($F265&lt;=5000,5,IF($F265&lt;=30000,10,IF($F265&lt;=50000,50,IF($F265&lt;=300000,100,500))))))+IF(AND($C265="売",MOD($F265*IF($C265="売",1+V811設定!$B$3,1-V811設定!$B$3),IF($F265&lt;=3000,1,IF($F265&lt;=5000,5,IF($F265&lt;=30000,10,IF($F265&lt;=50000,50,IF($F265&lt;=300000,100,500))))))&gt;0),IF($F265&lt;=3000,1,IF($F265&lt;=5000,5,IF($F265&lt;=30000,10,IF($F265&lt;=50000,50,IF($F265&lt;=300000,100,500))))),0))</f>
      </c>
      <c r="O265" s="478" t="str">
        <f>IF(OR($B265="",$F265="",$H265=""),"",IF($S265="✅売却済","―決済済―",IF($C265="売",IF($H265&lt;=$M265,"🟢利確",IF(AND($R265&lt;&gt;"",$H265&gt;=$R265),"🟠TRAIL",IF($H265&gt;=$N265,"🔴損切",IF($W265&gt;=V811設定!$B$6,"⏱時間決済",IF($H265&gt;=$F265*(1+V811設定!$B$3*0.7),"⚠️損切接近","保持継続"))))),IF($H265&gt;=$M265,"🟢利確",IF(AND($R265&lt;&gt;"",$H265&lt;=$R265),"🟠TRAIL",IF($H265&lt;=$N265,"🔴損切",IF($W265&gt;=V811設定!$B$6,"⏱時間決済",IF($H265&lt;=$F265*(1-V811設定!$B$3*0.7),"⚠️損切接近","保持継続"))))))))</f>
      </c>
      <c r="P265" s="445"/>
      <c r="Q265" s="445"/>
      <c r="R265" s="480" t="str">
        <f>IF(OR($F265="",$H265="",$N265=""),"",IF($S265="✅売却済","",IF($C265="売",IF($H265&gt;$F265*(1-V811設定!$B$3),$N265,MIN($N265,IF($Q265="",$N265,$Q265*1.03))),IF($H265&lt;$F265*(1+V811設定!$B$3),$N265,MAX($N265,IF($P265="",$N265,$P265*0.97))))))</f>
      </c>
      <c r="S265" s="480" t="str">
        <f>IF(B265="","",IF(T265&lt;&gt;"","✅売却済",IF(OR(H265="",L265=""),"📌保有中",IF(L265&gt;=0.06,"🟢利確推奨",IF(L265&gt;=0.05,"🟡利確直近",IF(L265&gt;=0.045,"🔵トレーリング検討",IF(L265&gt;-0.03,"📌保有中",IF(L265&gt;-0.04,"⚠️損切注意","🔴損切り"))))))))</f>
        <v/>
      </c>
      <c r="T265" s="596"/>
      <c r="U265" s="598"/>
      <c r="V265" s="703" t="str">
        <f>IF(OR(F265="",G265="",U265=""),"",IF(C265="売",(F265-U265)*G265,(U265-F265)*G265))</f>
        <v/>
      </c>
      <c r="W265" s="480" t="str">
        <f>IF(OR($E265="",$B265=""),"",IF($T265&lt;&gt;"",$T265-$E265,TODAY()-$E265)+1)</f>
        <v/>
      </c>
      <c r="X265" s="480" t="str">
        <f>IF(OR($AH265="",$AH265="保有中"),"",$AH265)</f>
        <v/>
      </c>
      <c r="Y265" s="488"/>
      <c r="Z265" s="710"/>
      <c r="AD265" s="608"/>
      <c r="AE265" s="600" t="str">
        <f>IF($E265="","",WORKDAY($E265,12))</f>
        <v/>
      </c>
      <c r="AF265" s="600" t="str" cm="1">
        <f t="array" aca="1" ref="AF265" ca="1">IF(OR($B265="",$M265=""),"",IFERROR(IF($C265="売",_xlfn.MINIFS(安値!$E$3:$IT$3,安値!$E$3:$IT$3,"&gt;"&amp;$E265,安値!$E$3:$IT$3,"&lt;="&amp;$AE265,OFFSET(安値!$E$6:$IT$6,MATCH(TEXT($B265,"0"),TEXT(銘柄管理!$B$6:$B$305,"0"),0)-1,0),"&lt;="&amp;$M265),_xlfn.MINIFS(高値!$E$3:$IT$3,高値!$E$3:$IT$3,"&gt;"&amp;$E265,高値!$E$3:$IT$3,"&lt;="&amp;$AE265,OFFSET(高値!$E$6:$IT$6,MATCH(TEXT($B265,"0"),TEXT(銘柄管理!$B$6:$B$305,"0"),0)-1,0),"&gt;="&amp;$M265)),""))</f>
        <v/>
      </c>
      <c r="AG265" s="600" t="str" cm="1">
        <f t="array" aca="1" ref="AG265" ca="1">IF(OR($B265="",$N265=""),"",IFERROR(IF($C265="売",_xlfn.MINIFS(高値!$E$3:$IT$3,高値!$E$3:$IT$3,"&gt;"&amp;$E265,高値!$E$3:$IT$3,"&lt;="&amp;$AE265,OFFSET(高値!$E$6:$IT$6,MATCH(TEXT($B265,"0"),TEXT(銘柄管理!$B$6:$B$305,"0"),0)-1,0),"&gt;="&amp;$N265),_xlfn.MINIFS(安値!$E$3:$IT$3,安値!$E$3:$IT$3,"&gt;"&amp;$E265,安値!$E$3:$IT$3,"&lt;="&amp;$AE265,OFFSET(安値!$E$6:$IT$6,MATCH(TEXT($B265,"0"),TEXT(銘柄管理!$B$6:$B$305,"0"),0)-1,0),"&lt;="&amp;$N265)),""))</f>
        <v/>
      </c>
      <c r="AH265" s="600" t="str">
        <f>IF(OR($B265="",$M265=""),"",IF(AND(N($AF265)=0,N($AG265)=0),IF(AND(ISNUMBER($H265),$H265&gt;0,IF($C265="売",$H265&gt;=$N265,$H265&lt;=$N265)),"損切確定",IF(AND(ISNUMBER($H265),$H265&gt;0,IF($C265="売",$H265&lt;=$M265,$H265&gt;=$M265)),"利益確定",IF($AE265&lt;=TODAY(),"日数制限","保有中"))),IF(N($AG265)=0,"利益確定",IF(N($AF265)=0,"損切確定",IF($AG265&lt;=$AF265,"損切確定","利益確定")))))</f>
        <v/>
      </c>
      <c r="AI265" s="600" t="str" cm="1">
        <f t="array" ref="AI265">IFERROR(INDEX(始値!$E$6:$IT$305,MATCH(TEXT($B265,"0"),TEXT(銘柄管理!$B$6:$B$305,"0"),0),MATCH($AE265,始値!$E$3:$IT$3,0)),"")</f>
        <v/>
      </c>
      <c r="AJ265" s="608" t="str">
        <f>IF(OR($V265="",$F265="",$G265=""),"",$V265/($F265*$G265))</f>
        <v/>
      </c>
      <c r="AK265" s="600" t="str">
        <f>IF($V265="","",IF($V265&gt;0,"○勝",IF($V265&lt;0,"●負","△引分")))</f>
        <v/>
      </c>
    </row>
    <row r="266" spans="1:37" ht="17.25" customHeight="1">
      <c r="A266" s="621" t="str">
        <f>IF(B266="","",HYPERLINK("https://kabutan.jp/stock/?code="&amp;B266,"株探"))</f>
        <v/>
      </c>
      <c r="B266" s="480"/>
      <c r="C266" s="480"/>
      <c r="D266" s="480" t="str" cm="1">
        <f t="array" ref="D266">_xll.RssMarket(B266, "銘柄名称")</f>
        <v/>
      </c>
      <c r="E266" s="717"/>
      <c r="F266" s="698" t="str" cm="1">
        <f t="array" aca="1" ref="F266" ca="1">IFERROR(_xlfn.LET(_xlpm.r,MATCH(TEXT($B266,"0"),TEXT(銘柄管理!$B$6:$B$305,"0"),0),_xlpm.t,MOD(NOW(),1),_xlpm.c,IF($E266=TODAY(),IF(_xlpm.t&gt;=TIME(15,30,0),NA(),1),IF(MATCH($E266,始値!$E$3:$IT$3,0)=1,1,MATCH($E266,始値!$E$3:$IT$3,0)+1)),_xlpm.v,INDEX(始値!$C$6:$IT$305,_xlpm.r,_xlpm.c),IF(N(_xlpm.v)=0,"",_xlpm.v)),"")</f>
        <v/>
      </c>
      <c r="G266" s="480"/>
      <c r="H266" s="480" t="str" cm="1">
        <f t="array" ref="H266">_xll.RssMarket(B266, "現在値")</f>
        <v/>
      </c>
      <c r="I266" s="480" t="str" cm="1">
        <f t="array" ref="I266">_xll.RssMarket(B266, "出来高加重平均")</f>
        <v/>
      </c>
      <c r="J266" s="702" t="str" cm="1">
        <f t="array" ref="J266">_xll.RssMarket($B266, "前日比")</f>
        <v/>
      </c>
      <c r="K266" s="703" t="str">
        <f>IF(OR(F266="",G266="",H266=""),"",IF(C266="売",(F266-H266)*G266,(H266-F266)*G266))</f>
        <v/>
      </c>
      <c r="L266" s="708" t="str">
        <f>IF(OR(F266="",H266=""),"",IF(C266="売",(F266-H266)/F266,(H266-F266)/F266))</f>
        <v/>
      </c>
      <c r="M266" s="598" t="str">
        <f>IF($F266="","",$F266*IF($C266="売",1-V811設定!$B$4,1+V811設定!$B$4)-MOD($F266*IF($C266="売",1-V811設定!$B$4,1+V811設定!$B$4),IF($F266&lt;=3000,1,IF($F266&lt;=5000,5,IF($F266&lt;=30000,10,IF($F266&lt;=50000,50,IF($F266&lt;=300000,100,500))))))+IF(AND($C266="売",MOD($F266*IF($C266="売",1-V811設定!$B$4,1+V811設定!$B$4),IF($F266&lt;=3000,1,IF($F266&lt;=5000,5,IF($F266&lt;=30000,10,IF($F266&lt;=50000,50,IF($F266&lt;=300000,100,500))))))&gt;0),IF($F266&lt;=3000,1,IF($F266&lt;=5000,5,IF($F266&lt;=30000,10,IF($F266&lt;=50000,50,IF($F266&lt;=300000,100,500))))),0))</f>
      </c>
      <c r="N266" s="598" t="str">
        <f>IF($F266="","",$F266*IF($C266="売",1+V811設定!$B$3,1-V811設定!$B$3)-MOD($F266*IF($C266="売",1+V811設定!$B$3,1-V811設定!$B$3),IF($F266&lt;=3000,1,IF($F266&lt;=5000,5,IF($F266&lt;=30000,10,IF($F266&lt;=50000,50,IF($F266&lt;=300000,100,500))))))+IF(AND($C266="売",MOD($F266*IF($C266="売",1+V811設定!$B$3,1-V811設定!$B$3),IF($F266&lt;=3000,1,IF($F266&lt;=5000,5,IF($F266&lt;=30000,10,IF($F266&lt;=50000,50,IF($F266&lt;=300000,100,500))))))&gt;0),IF($F266&lt;=3000,1,IF($F266&lt;=5000,5,IF($F266&lt;=30000,10,IF($F266&lt;=50000,50,IF($F266&lt;=300000,100,500))))),0))</f>
      </c>
      <c r="O266" s="478" t="str">
        <f>IF(OR($B266="",$F266="",$H266=""),"",IF($S266="✅売却済","―決済済―",IF($C266="売",IF($H266&lt;=$M266,"🟢利確",IF(AND($R266&lt;&gt;"",$H266&gt;=$R266),"🟠TRAIL",IF($H266&gt;=$N266,"🔴損切",IF($W266&gt;=V811設定!$B$6,"⏱時間決済",IF($H266&gt;=$F266*(1+V811設定!$B$3*0.7),"⚠️損切接近","保持継続"))))),IF($H266&gt;=$M266,"🟢利確",IF(AND($R266&lt;&gt;"",$H266&lt;=$R266),"🟠TRAIL",IF($H266&lt;=$N266,"🔴損切",IF($W266&gt;=V811設定!$B$6,"⏱時間決済",IF($H266&lt;=$F266*(1-V811設定!$B$3*0.7),"⚠️損切接近","保持継続"))))))))</f>
      </c>
      <c r="P266" s="445"/>
      <c r="Q266" s="445"/>
      <c r="R266" s="480" t="str">
        <f>IF(OR($F266="",$H266="",$N266=""),"",IF($S266="✅売却済","",IF($C266="売",IF($H266&gt;$F266*(1-V811設定!$B$3),$N266,MIN($N266,IF($Q266="",$N266,$Q266*1.03))),IF($H266&lt;$F266*(1+V811設定!$B$3),$N266,MAX($N266,IF($P266="",$N266,$P266*0.97))))))</f>
      </c>
      <c r="S266" s="480" t="str">
        <f>IF(B266="","",IF(T266&lt;&gt;"","✅売却済",IF(OR(H266="",L266=""),"📌保有中",IF(L266&gt;=0.06,"🟢利確推奨",IF(L266&gt;=0.05,"🟡利確直近",IF(L266&gt;=0.045,"🔵トレーリング検討",IF(L266&gt;-0.03,"📌保有中",IF(L266&gt;-0.04,"⚠️損切注意","🔴損切り"))))))))</f>
        <v/>
      </c>
      <c r="T266" s="596"/>
      <c r="U266" s="598"/>
      <c r="V266" s="703" t="str">
        <f>IF(OR(F266="",G266="",U266=""),"",IF(C266="売",(F266-U266)*G266,(U266-F266)*G266))</f>
        <v/>
      </c>
      <c r="W266" s="480" t="str">
        <f>IF(OR($E266="",$B266=""),"",IF($T266&lt;&gt;"",$T266-$E266,TODAY()-$E266)+1)</f>
        <v/>
      </c>
      <c r="X266" s="480" t="str">
        <f>IF(OR($AH266="",$AH266="保有中"),"",$AH266)</f>
        <v/>
      </c>
      <c r="Y266" s="488"/>
      <c r="Z266" s="710"/>
      <c r="AD266" s="608"/>
      <c r="AE266" s="600" t="str">
        <f>IF($E266="","",WORKDAY($E266,12))</f>
        <v/>
      </c>
      <c r="AF266" s="600" t="str" cm="1">
        <f t="array" aca="1" ref="AF266" ca="1">IF(OR($B266="",$M266=""),"",IFERROR(IF($C266="売",_xlfn.MINIFS(安値!$E$3:$IT$3,安値!$E$3:$IT$3,"&gt;"&amp;$E266,安値!$E$3:$IT$3,"&lt;="&amp;$AE266,OFFSET(安値!$E$6:$IT$6,MATCH(TEXT($B266,"0"),TEXT(銘柄管理!$B$6:$B$305,"0"),0)-1,0),"&lt;="&amp;$M266),_xlfn.MINIFS(高値!$E$3:$IT$3,高値!$E$3:$IT$3,"&gt;"&amp;$E266,高値!$E$3:$IT$3,"&lt;="&amp;$AE266,OFFSET(高値!$E$6:$IT$6,MATCH(TEXT($B266,"0"),TEXT(銘柄管理!$B$6:$B$305,"0"),0)-1,0),"&gt;="&amp;$M266)),""))</f>
        <v/>
      </c>
      <c r="AG266" s="600" t="str" cm="1">
        <f t="array" aca="1" ref="AG266" ca="1">IF(OR($B266="",$N266=""),"",IFERROR(IF($C266="売",_xlfn.MINIFS(高値!$E$3:$IT$3,高値!$E$3:$IT$3,"&gt;"&amp;$E266,高値!$E$3:$IT$3,"&lt;="&amp;$AE266,OFFSET(高値!$E$6:$IT$6,MATCH(TEXT($B266,"0"),TEXT(銘柄管理!$B$6:$B$305,"0"),0)-1,0),"&gt;="&amp;$N266),_xlfn.MINIFS(安値!$E$3:$IT$3,安値!$E$3:$IT$3,"&gt;"&amp;$E266,安値!$E$3:$IT$3,"&lt;="&amp;$AE266,OFFSET(安値!$E$6:$IT$6,MATCH(TEXT($B266,"0"),TEXT(銘柄管理!$B$6:$B$305,"0"),0)-1,0),"&lt;="&amp;$N266)),""))</f>
        <v/>
      </c>
      <c r="AH266" s="600" t="str">
        <f>IF(OR($B266="",$M266=""),"",IF(AND(N($AF266)=0,N($AG266)=0),IF(AND(ISNUMBER($H266),$H266&gt;0,IF($C266="売",$H266&gt;=$N266,$H266&lt;=$N266)),"損切確定",IF(AND(ISNUMBER($H266),$H266&gt;0,IF($C266="売",$H266&lt;=$M266,$H266&gt;=$M266)),"利益確定",IF($AE266&lt;=TODAY(),"日数制限","保有中"))),IF(N($AG266)=0,"利益確定",IF(N($AF266)=0,"損切確定",IF($AG266&lt;=$AF266,"損切確定","利益確定")))))</f>
        <v/>
      </c>
      <c r="AI266" s="600" t="str" cm="1">
        <f t="array" ref="AI266">IFERROR(INDEX(始値!$E$6:$IT$305,MATCH(TEXT($B266,"0"),TEXT(銘柄管理!$B$6:$B$305,"0"),0),MATCH($AE266,始値!$E$3:$IT$3,0)),"")</f>
        <v/>
      </c>
      <c r="AJ266" s="608" t="str">
        <f>IF(OR($V266="",$F266="",$G266=""),"",$V266/($F266*$G266))</f>
        <v/>
      </c>
      <c r="AK266" s="600" t="str">
        <f>IF($V266="","",IF($V266&gt;0,"○勝",IF($V266&lt;0,"●負","△引分")))</f>
        <v/>
      </c>
    </row>
    <row r="267" spans="1:37" ht="17.25" customHeight="1">
      <c r="A267" s="621" t="str">
        <f>IF(B267="","",HYPERLINK("https://kabutan.jp/stock/?code="&amp;B267,"株探"))</f>
        <v/>
      </c>
      <c r="B267" s="480"/>
      <c r="C267" s="480"/>
      <c r="D267" s="480" t="str" cm="1">
        <f t="array" ref="D267">_xll.RssMarket(B267, "銘柄名称")</f>
        <v/>
      </c>
      <c r="E267" s="717"/>
      <c r="F267" s="698" t="str" cm="1">
        <f t="array" aca="1" ref="F267" ca="1">IFERROR(_xlfn.LET(_xlpm.r,MATCH(TEXT($B267,"0"),TEXT(銘柄管理!$B$6:$B$305,"0"),0),_xlpm.t,MOD(NOW(),1),_xlpm.c,IF($E267=TODAY(),IF(_xlpm.t&gt;=TIME(15,30,0),NA(),1),IF(MATCH($E267,始値!$E$3:$IT$3,0)=1,1,MATCH($E267,始値!$E$3:$IT$3,0)+1)),_xlpm.v,INDEX(始値!$C$6:$IT$305,_xlpm.r,_xlpm.c),IF(N(_xlpm.v)=0,"",_xlpm.v)),"")</f>
        <v/>
      </c>
      <c r="G267" s="480"/>
      <c r="H267" s="480" t="str" cm="1">
        <f t="array" ref="H267">_xll.RssMarket(B267, "現在値")</f>
        <v/>
      </c>
      <c r="I267" s="480" t="str" cm="1">
        <f t="array" ref="I267">_xll.RssMarket(B267, "出来高加重平均")</f>
        <v/>
      </c>
      <c r="J267" s="702" t="str" cm="1">
        <f t="array" ref="J267">_xll.RssMarket($B267, "前日比")</f>
        <v/>
      </c>
      <c r="K267" s="703" t="str">
        <f>IF(OR(F267="",G267="",H267=""),"",IF(C267="売",(F267-H267)*G267,(H267-F267)*G267))</f>
        <v/>
      </c>
      <c r="L267" s="708" t="str">
        <f>IF(OR(F267="",H267=""),"",IF(C267="売",(F267-H267)/F267,(H267-F267)/F267))</f>
        <v/>
      </c>
      <c r="M267" s="598" t="str">
        <f>IF($F267="","",$F267*IF($C267="売",1-V811設定!$B$4,1+V811設定!$B$4)-MOD($F267*IF($C267="売",1-V811設定!$B$4,1+V811設定!$B$4),IF($F267&lt;=3000,1,IF($F267&lt;=5000,5,IF($F267&lt;=30000,10,IF($F267&lt;=50000,50,IF($F267&lt;=300000,100,500))))))+IF(AND($C267="売",MOD($F267*IF($C267="売",1-V811設定!$B$4,1+V811設定!$B$4),IF($F267&lt;=3000,1,IF($F267&lt;=5000,5,IF($F267&lt;=30000,10,IF($F267&lt;=50000,50,IF($F267&lt;=300000,100,500))))))&gt;0),IF($F267&lt;=3000,1,IF($F267&lt;=5000,5,IF($F267&lt;=30000,10,IF($F267&lt;=50000,50,IF($F267&lt;=300000,100,500))))),0))</f>
      </c>
      <c r="N267" s="598" t="str">
        <f>IF($F267="","",$F267*IF($C267="売",1+V811設定!$B$3,1-V811設定!$B$3)-MOD($F267*IF($C267="売",1+V811設定!$B$3,1-V811設定!$B$3),IF($F267&lt;=3000,1,IF($F267&lt;=5000,5,IF($F267&lt;=30000,10,IF($F267&lt;=50000,50,IF($F267&lt;=300000,100,500))))))+IF(AND($C267="売",MOD($F267*IF($C267="売",1+V811設定!$B$3,1-V811設定!$B$3),IF($F267&lt;=3000,1,IF($F267&lt;=5000,5,IF($F267&lt;=30000,10,IF($F267&lt;=50000,50,IF($F267&lt;=300000,100,500))))))&gt;0),IF($F267&lt;=3000,1,IF($F267&lt;=5000,5,IF($F267&lt;=30000,10,IF($F267&lt;=50000,50,IF($F267&lt;=300000,100,500))))),0))</f>
      </c>
      <c r="O267" s="478" t="str">
        <f>IF(OR($B267="",$F267="",$H267=""),"",IF($S267="✅売却済","―決済済―",IF($C267="売",IF($H267&lt;=$M267,"🟢利確",IF(AND($R267&lt;&gt;"",$H267&gt;=$R267),"🟠TRAIL",IF($H267&gt;=$N267,"🔴損切",IF($W267&gt;=V811設定!$B$6,"⏱時間決済",IF($H267&gt;=$F267*(1+V811設定!$B$3*0.7),"⚠️損切接近","保持継続"))))),IF($H267&gt;=$M267,"🟢利確",IF(AND($R267&lt;&gt;"",$H267&lt;=$R267),"🟠TRAIL",IF($H267&lt;=$N267,"🔴損切",IF($W267&gt;=V811設定!$B$6,"⏱時間決済",IF($H267&lt;=$F267*(1-V811設定!$B$3*0.7),"⚠️損切接近","保持継続"))))))))</f>
      </c>
      <c r="P267" s="445"/>
      <c r="Q267" s="445"/>
      <c r="R267" s="480" t="str">
        <f>IF(OR($F267="",$H267="",$N267=""),"",IF($S267="✅売却済","",IF($C267="売",IF($H267&gt;$F267*(1-V811設定!$B$3),$N267,MIN($N267,IF($Q267="",$N267,$Q267*1.03))),IF($H267&lt;$F267*(1+V811設定!$B$3),$N267,MAX($N267,IF($P267="",$N267,$P267*0.97))))))</f>
      </c>
      <c r="S267" s="480" t="str">
        <f>IF(B267="","",IF(T267&lt;&gt;"","✅売却済",IF(OR(H267="",L267=""),"📌保有中",IF(L267&gt;=0.06,"🟢利確推奨",IF(L267&gt;=0.05,"🟡利確直近",IF(L267&gt;=0.045,"🔵トレーリング検討",IF(L267&gt;-0.03,"📌保有中",IF(L267&gt;-0.04,"⚠️損切注意","🔴損切り"))))))))</f>
        <v/>
      </c>
      <c r="T267" s="596"/>
      <c r="U267" s="598"/>
      <c r="V267" s="703" t="str">
        <f>IF(OR(F267="",G267="",U267=""),"",IF(C267="売",(F267-U267)*G267,(U267-F267)*G267))</f>
        <v/>
      </c>
      <c r="W267" s="480" t="str">
        <f>IF(OR($E267="",$B267=""),"",IF($T267&lt;&gt;"",$T267-$E267,TODAY()-$E267)+1)</f>
        <v/>
      </c>
      <c r="X267" s="480" t="str">
        <f>IF(OR($AH267="",$AH267="保有中"),"",$AH267)</f>
        <v/>
      </c>
      <c r="Y267" s="488"/>
      <c r="Z267" s="710"/>
      <c r="AD267" s="608"/>
      <c r="AE267" s="600" t="str">
        <f>IF($E267="","",WORKDAY($E267,12))</f>
        <v/>
      </c>
      <c r="AF267" s="600" t="str" cm="1">
        <f t="array" aca="1" ref="AF267" ca="1">IF(OR($B267="",$M267=""),"",IFERROR(IF($C267="売",_xlfn.MINIFS(安値!$E$3:$IT$3,安値!$E$3:$IT$3,"&gt;"&amp;$E267,安値!$E$3:$IT$3,"&lt;="&amp;$AE267,OFFSET(安値!$E$6:$IT$6,MATCH(TEXT($B267,"0"),TEXT(銘柄管理!$B$6:$B$305,"0"),0)-1,0),"&lt;="&amp;$M267),_xlfn.MINIFS(高値!$E$3:$IT$3,高値!$E$3:$IT$3,"&gt;"&amp;$E267,高値!$E$3:$IT$3,"&lt;="&amp;$AE267,OFFSET(高値!$E$6:$IT$6,MATCH(TEXT($B267,"0"),TEXT(銘柄管理!$B$6:$B$305,"0"),0)-1,0),"&gt;="&amp;$M267)),""))</f>
        <v/>
      </c>
      <c r="AG267" s="600" t="str" cm="1">
        <f t="array" aca="1" ref="AG267" ca="1">IF(OR($B267="",$N267=""),"",IFERROR(IF($C267="売",_xlfn.MINIFS(高値!$E$3:$IT$3,高値!$E$3:$IT$3,"&gt;"&amp;$E267,高値!$E$3:$IT$3,"&lt;="&amp;$AE267,OFFSET(高値!$E$6:$IT$6,MATCH(TEXT($B267,"0"),TEXT(銘柄管理!$B$6:$B$305,"0"),0)-1,0),"&gt;="&amp;$N267),_xlfn.MINIFS(安値!$E$3:$IT$3,安値!$E$3:$IT$3,"&gt;"&amp;$E267,安値!$E$3:$IT$3,"&lt;="&amp;$AE267,OFFSET(安値!$E$6:$IT$6,MATCH(TEXT($B267,"0"),TEXT(銘柄管理!$B$6:$B$305,"0"),0)-1,0),"&lt;="&amp;$N267)),""))</f>
        <v/>
      </c>
      <c r="AH267" s="600" t="str">
        <f>IF(OR($B267="",$M267=""),"",IF(AND(N($AF267)=0,N($AG267)=0),IF(AND(ISNUMBER($H267),$H267&gt;0,IF($C267="売",$H267&gt;=$N267,$H267&lt;=$N267)),"損切確定",IF(AND(ISNUMBER($H267),$H267&gt;0,IF($C267="売",$H267&lt;=$M267,$H267&gt;=$M267)),"利益確定",IF($AE267&lt;=TODAY(),"日数制限","保有中"))),IF(N($AG267)=0,"利益確定",IF(N($AF267)=0,"損切確定",IF($AG267&lt;=$AF267,"損切確定","利益確定")))))</f>
        <v/>
      </c>
      <c r="AI267" s="600" t="str" cm="1">
        <f t="array" ref="AI267">IFERROR(INDEX(始値!$E$6:$IT$305,MATCH(TEXT($B267,"0"),TEXT(銘柄管理!$B$6:$B$305,"0"),0),MATCH($AE267,始値!$E$3:$IT$3,0)),"")</f>
        <v/>
      </c>
      <c r="AJ267" s="608" t="str">
        <f>IF(OR($V267="",$F267="",$G267=""),"",$V267/($F267*$G267))</f>
        <v/>
      </c>
      <c r="AK267" s="600" t="str">
        <f>IF($V267="","",IF($V267&gt;0,"○勝",IF($V267&lt;0,"●負","△引分")))</f>
        <v/>
      </c>
    </row>
    <row r="268" spans="1:37" ht="17.25" customHeight="1">
      <c r="A268" s="621" t="str">
        <f>IF(B268="","",HYPERLINK("https://kabutan.jp/stock/?code="&amp;B268,"株探"))</f>
        <v/>
      </c>
      <c r="B268" s="480"/>
      <c r="C268" s="480"/>
      <c r="D268" s="480" t="str" cm="1">
        <f t="array" ref="D268">_xll.RssMarket(B268, "銘柄名称")</f>
        <v/>
      </c>
      <c r="E268" s="717"/>
      <c r="F268" s="698" t="str" cm="1">
        <f t="array" aca="1" ref="F268" ca="1">IFERROR(_xlfn.LET(_xlpm.r,MATCH(TEXT($B268,"0"),TEXT(銘柄管理!$B$6:$B$305,"0"),0),_xlpm.t,MOD(NOW(),1),_xlpm.c,IF($E268=TODAY(),IF(_xlpm.t&gt;=TIME(15,30,0),NA(),1),IF(MATCH($E268,始値!$E$3:$IT$3,0)=1,1,MATCH($E268,始値!$E$3:$IT$3,0)+1)),_xlpm.v,INDEX(始値!$C$6:$IT$305,_xlpm.r,_xlpm.c),IF(N(_xlpm.v)=0,"",_xlpm.v)),"")</f>
        <v/>
      </c>
      <c r="G268" s="480"/>
      <c r="H268" s="480" t="str" cm="1">
        <f t="array" ref="H268">_xll.RssMarket(B268, "現在値")</f>
        <v/>
      </c>
      <c r="I268" s="480" t="str" cm="1">
        <f t="array" ref="I268">_xll.RssMarket(B268, "出来高加重平均")</f>
        <v/>
      </c>
      <c r="J268" s="702" t="str" cm="1">
        <f t="array" ref="J268">_xll.RssMarket($B268, "前日比")</f>
        <v/>
      </c>
      <c r="K268" s="703" t="str">
        <f>IF(OR(F268="",G268="",H268=""),"",IF(C268="売",(F268-H268)*G268,(H268-F268)*G268))</f>
        <v/>
      </c>
      <c r="L268" s="708" t="str">
        <f>IF(OR(F268="",H268=""),"",IF(C268="売",(F268-H268)/F268,(H268-F268)/F268))</f>
        <v/>
      </c>
      <c r="M268" s="598" t="str">
        <f>IF($F268="","",$F268*IF($C268="売",1-V811設定!$B$4,1+V811設定!$B$4)-MOD($F268*IF($C268="売",1-V811設定!$B$4,1+V811設定!$B$4),IF($F268&lt;=3000,1,IF($F268&lt;=5000,5,IF($F268&lt;=30000,10,IF($F268&lt;=50000,50,IF($F268&lt;=300000,100,500))))))+IF(AND($C268="売",MOD($F268*IF($C268="売",1-V811設定!$B$4,1+V811設定!$B$4),IF($F268&lt;=3000,1,IF($F268&lt;=5000,5,IF($F268&lt;=30000,10,IF($F268&lt;=50000,50,IF($F268&lt;=300000,100,500))))))&gt;0),IF($F268&lt;=3000,1,IF($F268&lt;=5000,5,IF($F268&lt;=30000,10,IF($F268&lt;=50000,50,IF($F268&lt;=300000,100,500))))),0))</f>
      </c>
      <c r="N268" s="598" t="str">
        <f>IF($F268="","",$F268*IF($C268="売",1+V811設定!$B$3,1-V811設定!$B$3)-MOD($F268*IF($C268="売",1+V811設定!$B$3,1-V811設定!$B$3),IF($F268&lt;=3000,1,IF($F268&lt;=5000,5,IF($F268&lt;=30000,10,IF($F268&lt;=50000,50,IF($F268&lt;=300000,100,500))))))+IF(AND($C268="売",MOD($F268*IF($C268="売",1+V811設定!$B$3,1-V811設定!$B$3),IF($F268&lt;=3000,1,IF($F268&lt;=5000,5,IF($F268&lt;=30000,10,IF($F268&lt;=50000,50,IF($F268&lt;=300000,100,500))))))&gt;0),IF($F268&lt;=3000,1,IF($F268&lt;=5000,5,IF($F268&lt;=30000,10,IF($F268&lt;=50000,50,IF($F268&lt;=300000,100,500))))),0))</f>
      </c>
      <c r="O268" s="478" t="str">
        <f>IF(OR($B268="",$F268="",$H268=""),"",IF($S268="✅売却済","―決済済―",IF($C268="売",IF($H268&lt;=$M268,"🟢利確",IF(AND($R268&lt;&gt;"",$H268&gt;=$R268),"🟠TRAIL",IF($H268&gt;=$N268,"🔴損切",IF($W268&gt;=V811設定!$B$6,"⏱時間決済",IF($H268&gt;=$F268*(1+V811設定!$B$3*0.7),"⚠️損切接近","保持継続"))))),IF($H268&gt;=$M268,"🟢利確",IF(AND($R268&lt;&gt;"",$H268&lt;=$R268),"🟠TRAIL",IF($H268&lt;=$N268,"🔴損切",IF($W268&gt;=V811設定!$B$6,"⏱時間決済",IF($H268&lt;=$F268*(1-V811設定!$B$3*0.7),"⚠️損切接近","保持継続"))))))))</f>
      </c>
      <c r="P268" s="445"/>
      <c r="Q268" s="445"/>
      <c r="R268" s="480" t="str">
        <f>IF(OR($F268="",$H268="",$N268=""),"",IF($S268="✅売却済","",IF($C268="売",IF($H268&gt;$F268*(1-V811設定!$B$3),$N268,MIN($N268,IF($Q268="",$N268,$Q268*1.03))),IF($H268&lt;$F268*(1+V811設定!$B$3),$N268,MAX($N268,IF($P268="",$N268,$P268*0.97))))))</f>
      </c>
      <c r="S268" s="480" t="str">
        <f>IF(B268="","",IF(T268&lt;&gt;"","✅売却済",IF(OR(H268="",L268=""),"📌保有中",IF(L268&gt;=0.06,"🟢利確推奨",IF(L268&gt;=0.05,"🟡利確直近",IF(L268&gt;=0.045,"🔵トレーリング検討",IF(L268&gt;-0.03,"📌保有中",IF(L268&gt;-0.04,"⚠️損切注意","🔴損切り"))))))))</f>
        <v/>
      </c>
      <c r="T268" s="596"/>
      <c r="U268" s="598"/>
      <c r="V268" s="703" t="str">
        <f>IF(OR(F268="",G268="",U268=""),"",IF(C268="売",(F268-U268)*G268,(U268-F268)*G268))</f>
        <v/>
      </c>
      <c r="W268" s="480" t="str">
        <f>IF(OR($E268="",$B268=""),"",IF($T268&lt;&gt;"",$T268-$E268,TODAY()-$E268)+1)</f>
        <v/>
      </c>
      <c r="X268" s="480" t="str">
        <f>IF(OR($AH268="",$AH268="保有中"),"",$AH268)</f>
        <v/>
      </c>
      <c r="Y268" s="488"/>
      <c r="Z268" s="710"/>
      <c r="AD268" s="608"/>
      <c r="AE268" s="600" t="str">
        <f>IF($E268="","",WORKDAY($E268,12))</f>
        <v/>
      </c>
      <c r="AF268" s="600" t="str" cm="1">
        <f t="array" aca="1" ref="AF268" ca="1">IF(OR($B268="",$M268=""),"",IFERROR(IF($C268="売",_xlfn.MINIFS(安値!$E$3:$IT$3,安値!$E$3:$IT$3,"&gt;"&amp;$E268,安値!$E$3:$IT$3,"&lt;="&amp;$AE268,OFFSET(安値!$E$6:$IT$6,MATCH(TEXT($B268,"0"),TEXT(銘柄管理!$B$6:$B$305,"0"),0)-1,0),"&lt;="&amp;$M268),_xlfn.MINIFS(高値!$E$3:$IT$3,高値!$E$3:$IT$3,"&gt;"&amp;$E268,高値!$E$3:$IT$3,"&lt;="&amp;$AE268,OFFSET(高値!$E$6:$IT$6,MATCH(TEXT($B268,"0"),TEXT(銘柄管理!$B$6:$B$305,"0"),0)-1,0),"&gt;="&amp;$M268)),""))</f>
        <v/>
      </c>
      <c r="AG268" s="600" t="str" cm="1">
        <f t="array" aca="1" ref="AG268" ca="1">IF(OR($B268="",$N268=""),"",IFERROR(IF($C268="売",_xlfn.MINIFS(高値!$E$3:$IT$3,高値!$E$3:$IT$3,"&gt;"&amp;$E268,高値!$E$3:$IT$3,"&lt;="&amp;$AE268,OFFSET(高値!$E$6:$IT$6,MATCH(TEXT($B268,"0"),TEXT(銘柄管理!$B$6:$B$305,"0"),0)-1,0),"&gt;="&amp;$N268),_xlfn.MINIFS(安値!$E$3:$IT$3,安値!$E$3:$IT$3,"&gt;"&amp;$E268,安値!$E$3:$IT$3,"&lt;="&amp;$AE268,OFFSET(安値!$E$6:$IT$6,MATCH(TEXT($B268,"0"),TEXT(銘柄管理!$B$6:$B$305,"0"),0)-1,0),"&lt;="&amp;$N268)),""))</f>
        <v/>
      </c>
      <c r="AH268" s="600" t="str">
        <f>IF(OR($B268="",$M268=""),"",IF(AND(N($AF268)=0,N($AG268)=0),IF(AND(ISNUMBER($H268),$H268&gt;0,IF($C268="売",$H268&gt;=$N268,$H268&lt;=$N268)),"損切確定",IF(AND(ISNUMBER($H268),$H268&gt;0,IF($C268="売",$H268&lt;=$M268,$H268&gt;=$M268)),"利益確定",IF($AE268&lt;=TODAY(),"日数制限","保有中"))),IF(N($AG268)=0,"利益確定",IF(N($AF268)=0,"損切確定",IF($AG268&lt;=$AF268,"損切確定","利益確定")))))</f>
        <v/>
      </c>
      <c r="AI268" s="600" t="str" cm="1">
        <f t="array" ref="AI268">IFERROR(INDEX(始値!$E$6:$IT$305,MATCH(TEXT($B268,"0"),TEXT(銘柄管理!$B$6:$B$305,"0"),0),MATCH($AE268,始値!$E$3:$IT$3,0)),"")</f>
        <v/>
      </c>
      <c r="AJ268" s="608" t="str">
        <f>IF(OR($V268="",$F268="",$G268=""),"",$V268/($F268*$G268))</f>
        <v/>
      </c>
      <c r="AK268" s="600" t="str">
        <f>IF($V268="","",IF($V268&gt;0,"○勝",IF($V268&lt;0,"●負","△引分")))</f>
        <v/>
      </c>
    </row>
    <row r="269" spans="1:37" ht="17.25" customHeight="1">
      <c r="A269" s="621" t="str">
        <f>IF(B269="","",HYPERLINK("https://kabutan.jp/stock/?code="&amp;B269,"株探"))</f>
        <v/>
      </c>
      <c r="B269" s="480"/>
      <c r="C269" s="480"/>
      <c r="D269" s="480" t="str" cm="1">
        <f t="array" ref="D269">_xll.RssMarket(B269, "銘柄名称")</f>
        <v/>
      </c>
      <c r="E269" s="717"/>
      <c r="F269" s="698" t="str" cm="1">
        <f t="array" aca="1" ref="F269" ca="1">IFERROR(_xlfn.LET(_xlpm.r,MATCH(TEXT($B269,"0"),TEXT(銘柄管理!$B$6:$B$305,"0"),0),_xlpm.t,MOD(NOW(),1),_xlpm.c,IF($E269=TODAY(),IF(_xlpm.t&gt;=TIME(15,30,0),NA(),1),IF(MATCH($E269,始値!$E$3:$IT$3,0)=1,1,MATCH($E269,始値!$E$3:$IT$3,0)+1)),_xlpm.v,INDEX(始値!$C$6:$IT$305,_xlpm.r,_xlpm.c),IF(N(_xlpm.v)=0,"",_xlpm.v)),"")</f>
        <v/>
      </c>
      <c r="G269" s="480"/>
      <c r="H269" s="480" t="str" cm="1">
        <f t="array" ref="H269">_xll.RssMarket(B269, "現在値")</f>
        <v/>
      </c>
      <c r="I269" s="480" t="str" cm="1">
        <f t="array" ref="I269">_xll.RssMarket(B269, "出来高加重平均")</f>
        <v/>
      </c>
      <c r="J269" s="702" t="str" cm="1">
        <f t="array" ref="J269">_xll.RssMarket($B269, "前日比")</f>
        <v/>
      </c>
      <c r="K269" s="703" t="str">
        <f>IF(OR(F269="",G269="",H269=""),"",IF(C269="売",(F269-H269)*G269,(H269-F269)*G269))</f>
        <v/>
      </c>
      <c r="L269" s="708" t="str">
        <f>IF(OR(F269="",H269=""),"",IF(C269="売",(F269-H269)/F269,(H269-F269)/F269))</f>
        <v/>
      </c>
      <c r="M269" s="598" t="str">
        <f>IF($F269="","",$F269*IF($C269="売",1-V811設定!$B$4,1+V811設定!$B$4)-MOD($F269*IF($C269="売",1-V811設定!$B$4,1+V811設定!$B$4),IF($F269&lt;=3000,1,IF($F269&lt;=5000,5,IF($F269&lt;=30000,10,IF($F269&lt;=50000,50,IF($F269&lt;=300000,100,500))))))+IF(AND($C269="売",MOD($F269*IF($C269="売",1-V811設定!$B$4,1+V811設定!$B$4),IF($F269&lt;=3000,1,IF($F269&lt;=5000,5,IF($F269&lt;=30000,10,IF($F269&lt;=50000,50,IF($F269&lt;=300000,100,500))))))&gt;0),IF($F269&lt;=3000,1,IF($F269&lt;=5000,5,IF($F269&lt;=30000,10,IF($F269&lt;=50000,50,IF($F269&lt;=300000,100,500))))),0))</f>
      </c>
      <c r="N269" s="598" t="str">
        <f>IF($F269="","",$F269*IF($C269="売",1+V811設定!$B$3,1-V811設定!$B$3)-MOD($F269*IF($C269="売",1+V811設定!$B$3,1-V811設定!$B$3),IF($F269&lt;=3000,1,IF($F269&lt;=5000,5,IF($F269&lt;=30000,10,IF($F269&lt;=50000,50,IF($F269&lt;=300000,100,500))))))+IF(AND($C269="売",MOD($F269*IF($C269="売",1+V811設定!$B$3,1-V811設定!$B$3),IF($F269&lt;=3000,1,IF($F269&lt;=5000,5,IF($F269&lt;=30000,10,IF($F269&lt;=50000,50,IF($F269&lt;=300000,100,500))))))&gt;0),IF($F269&lt;=3000,1,IF($F269&lt;=5000,5,IF($F269&lt;=30000,10,IF($F269&lt;=50000,50,IF($F269&lt;=300000,100,500))))),0))</f>
      </c>
      <c r="O269" s="478" t="str">
        <f>IF(OR($B269="",$F269="",$H269=""),"",IF($S269="✅売却済","―決済済―",IF($C269="売",IF($H269&lt;=$M269,"🟢利確",IF(AND($R269&lt;&gt;"",$H269&gt;=$R269),"🟠TRAIL",IF($H269&gt;=$N269,"🔴損切",IF($W269&gt;=V811設定!$B$6,"⏱時間決済",IF($H269&gt;=$F269*(1+V811設定!$B$3*0.7),"⚠️損切接近","保持継続"))))),IF($H269&gt;=$M269,"🟢利確",IF(AND($R269&lt;&gt;"",$H269&lt;=$R269),"🟠TRAIL",IF($H269&lt;=$N269,"🔴損切",IF($W269&gt;=V811設定!$B$6,"⏱時間決済",IF($H269&lt;=$F269*(1-V811設定!$B$3*0.7),"⚠️損切接近","保持継続"))))))))</f>
      </c>
      <c r="P269" s="445"/>
      <c r="Q269" s="445"/>
      <c r="R269" s="480" t="str">
        <f>IF(OR($F269="",$H269="",$N269=""),"",IF($S269="✅売却済","",IF($C269="売",IF($H269&gt;$F269*(1-V811設定!$B$3),$N269,MIN($N269,IF($Q269="",$N269,$Q269*1.03))),IF($H269&lt;$F269*(1+V811設定!$B$3),$N269,MAX($N269,IF($P269="",$N269,$P269*0.97))))))</f>
      </c>
      <c r="S269" s="480" t="str">
        <f>IF(B269="","",IF(T269&lt;&gt;"","✅売却済",IF(OR(H269="",L269=""),"📌保有中",IF(L269&gt;=0.06,"🟢利確推奨",IF(L269&gt;=0.05,"🟡利確直近",IF(L269&gt;=0.045,"🔵トレーリング検討",IF(L269&gt;-0.03,"📌保有中",IF(L269&gt;-0.04,"⚠️損切注意","🔴損切り"))))))))</f>
        <v/>
      </c>
      <c r="T269" s="596"/>
      <c r="U269" s="598"/>
      <c r="V269" s="703" t="str">
        <f>IF(OR(F269="",G269="",U269=""),"",IF(C269="売",(F269-U269)*G269,(U269-F269)*G269))</f>
        <v/>
      </c>
      <c r="W269" s="480" t="str">
        <f>IF(OR($E269="",$B269=""),"",IF($T269&lt;&gt;"",$T269-$E269,TODAY()-$E269)+1)</f>
        <v/>
      </c>
      <c r="X269" s="480" t="str">
        <f>IF(OR($AH269="",$AH269="保有中"),"",$AH269)</f>
        <v/>
      </c>
      <c r="Y269" s="488"/>
      <c r="Z269" s="710"/>
      <c r="AD269" s="608"/>
      <c r="AE269" s="600" t="str">
        <f>IF($E269="","",WORKDAY($E269,12))</f>
        <v/>
      </c>
      <c r="AF269" s="600" t="str" cm="1">
        <f t="array" aca="1" ref="AF269" ca="1">IF(OR($B269="",$M269=""),"",IFERROR(IF($C269="売",_xlfn.MINIFS(安値!$E$3:$IT$3,安値!$E$3:$IT$3,"&gt;"&amp;$E269,安値!$E$3:$IT$3,"&lt;="&amp;$AE269,OFFSET(安値!$E$6:$IT$6,MATCH(TEXT($B269,"0"),TEXT(銘柄管理!$B$6:$B$305,"0"),0)-1,0),"&lt;="&amp;$M269),_xlfn.MINIFS(高値!$E$3:$IT$3,高値!$E$3:$IT$3,"&gt;"&amp;$E269,高値!$E$3:$IT$3,"&lt;="&amp;$AE269,OFFSET(高値!$E$6:$IT$6,MATCH(TEXT($B269,"0"),TEXT(銘柄管理!$B$6:$B$305,"0"),0)-1,0),"&gt;="&amp;$M269)),""))</f>
        <v/>
      </c>
      <c r="AG269" s="600" t="str" cm="1">
        <f t="array" aca="1" ref="AG269" ca="1">IF(OR($B269="",$N269=""),"",IFERROR(IF($C269="売",_xlfn.MINIFS(高値!$E$3:$IT$3,高値!$E$3:$IT$3,"&gt;"&amp;$E269,高値!$E$3:$IT$3,"&lt;="&amp;$AE269,OFFSET(高値!$E$6:$IT$6,MATCH(TEXT($B269,"0"),TEXT(銘柄管理!$B$6:$B$305,"0"),0)-1,0),"&gt;="&amp;$N269),_xlfn.MINIFS(安値!$E$3:$IT$3,安値!$E$3:$IT$3,"&gt;"&amp;$E269,安値!$E$3:$IT$3,"&lt;="&amp;$AE269,OFFSET(安値!$E$6:$IT$6,MATCH(TEXT($B269,"0"),TEXT(銘柄管理!$B$6:$B$305,"0"),0)-1,0),"&lt;="&amp;$N269)),""))</f>
        <v/>
      </c>
      <c r="AH269" s="600" t="str">
        <f>IF(OR($B269="",$M269=""),"",IF(AND(N($AF269)=0,N($AG269)=0),IF(AND(ISNUMBER($H269),$H269&gt;0,IF($C269="売",$H269&gt;=$N269,$H269&lt;=$N269)),"損切確定",IF(AND(ISNUMBER($H269),$H269&gt;0,IF($C269="売",$H269&lt;=$M269,$H269&gt;=$M269)),"利益確定",IF($AE269&lt;=TODAY(),"日数制限","保有中"))),IF(N($AG269)=0,"利益確定",IF(N($AF269)=0,"損切確定",IF($AG269&lt;=$AF269,"損切確定","利益確定")))))</f>
        <v/>
      </c>
      <c r="AI269" s="600" t="str" cm="1">
        <f t="array" ref="AI269">IFERROR(INDEX(始値!$E$6:$IT$305,MATCH(TEXT($B269,"0"),TEXT(銘柄管理!$B$6:$B$305,"0"),0),MATCH($AE269,始値!$E$3:$IT$3,0)),"")</f>
        <v/>
      </c>
      <c r="AJ269" s="608" t="str">
        <f>IF(OR($V269="",$F269="",$G269=""),"",$V269/($F269*$G269))</f>
        <v/>
      </c>
      <c r="AK269" s="600" t="str">
        <f>IF($V269="","",IF($V269&gt;0,"○勝",IF($V269&lt;0,"●負","△引分")))</f>
        <v/>
      </c>
    </row>
    <row r="270" spans="1:37" ht="17.25" customHeight="1">
      <c r="A270" s="621" t="str">
        <f>IF(B270="","",HYPERLINK("https://kabutan.jp/stock/?code="&amp;B270,"株探"))</f>
        <v/>
      </c>
      <c r="B270" s="480"/>
      <c r="C270" s="480"/>
      <c r="D270" s="480" t="str" cm="1">
        <f t="array" ref="D270">_xll.RssMarket(B270, "銘柄名称")</f>
        <v/>
      </c>
      <c r="E270" s="717"/>
      <c r="F270" s="698" t="str" cm="1">
        <f t="array" aca="1" ref="F270" ca="1">IFERROR(_xlfn.LET(_xlpm.r,MATCH(TEXT($B270,"0"),TEXT(銘柄管理!$B$6:$B$305,"0"),0),_xlpm.t,MOD(NOW(),1),_xlpm.c,IF($E270=TODAY(),IF(_xlpm.t&gt;=TIME(15,30,0),NA(),1),IF(MATCH($E270,始値!$E$3:$IT$3,0)=1,1,MATCH($E270,始値!$E$3:$IT$3,0)+1)),_xlpm.v,INDEX(始値!$C$6:$IT$305,_xlpm.r,_xlpm.c),IF(N(_xlpm.v)=0,"",_xlpm.v)),"")</f>
        <v/>
      </c>
      <c r="G270" s="480"/>
      <c r="H270" s="480" t="str" cm="1">
        <f t="array" ref="H270">_xll.RssMarket(B270, "現在値")</f>
        <v/>
      </c>
      <c r="I270" s="480" t="str" cm="1">
        <f t="array" ref="I270">_xll.RssMarket(B270, "出来高加重平均")</f>
        <v/>
      </c>
      <c r="J270" s="702" t="str" cm="1">
        <f t="array" ref="J270">_xll.RssMarket($B270, "前日比")</f>
        <v/>
      </c>
      <c r="K270" s="703" t="str">
        <f>IF(OR(F270="",G270="",H270=""),"",IF(C270="売",(F270-H270)*G270,(H270-F270)*G270))</f>
        <v/>
      </c>
      <c r="L270" s="708" t="str">
        <f>IF(OR(F270="",H270=""),"",IF(C270="売",(F270-H270)/F270,(H270-F270)/F270))</f>
        <v/>
      </c>
      <c r="M270" s="598" t="str">
        <f>IF($F270="","",$F270*IF($C270="売",1-V811設定!$B$4,1+V811設定!$B$4)-MOD($F270*IF($C270="売",1-V811設定!$B$4,1+V811設定!$B$4),IF($F270&lt;=3000,1,IF($F270&lt;=5000,5,IF($F270&lt;=30000,10,IF($F270&lt;=50000,50,IF($F270&lt;=300000,100,500))))))+IF(AND($C270="売",MOD($F270*IF($C270="売",1-V811設定!$B$4,1+V811設定!$B$4),IF($F270&lt;=3000,1,IF($F270&lt;=5000,5,IF($F270&lt;=30000,10,IF($F270&lt;=50000,50,IF($F270&lt;=300000,100,500))))))&gt;0),IF($F270&lt;=3000,1,IF($F270&lt;=5000,5,IF($F270&lt;=30000,10,IF($F270&lt;=50000,50,IF($F270&lt;=300000,100,500))))),0))</f>
      </c>
      <c r="N270" s="598" t="str">
        <f>IF($F270="","",$F270*IF($C270="売",1+V811設定!$B$3,1-V811設定!$B$3)-MOD($F270*IF($C270="売",1+V811設定!$B$3,1-V811設定!$B$3),IF($F270&lt;=3000,1,IF($F270&lt;=5000,5,IF($F270&lt;=30000,10,IF($F270&lt;=50000,50,IF($F270&lt;=300000,100,500))))))+IF(AND($C270="売",MOD($F270*IF($C270="売",1+V811設定!$B$3,1-V811設定!$B$3),IF($F270&lt;=3000,1,IF($F270&lt;=5000,5,IF($F270&lt;=30000,10,IF($F270&lt;=50000,50,IF($F270&lt;=300000,100,500))))))&gt;0),IF($F270&lt;=3000,1,IF($F270&lt;=5000,5,IF($F270&lt;=30000,10,IF($F270&lt;=50000,50,IF($F270&lt;=300000,100,500))))),0))</f>
      </c>
      <c r="O270" s="478" t="str">
        <f>IF(OR($B270="",$F270="",$H270=""),"",IF($S270="✅売却済","―決済済―",IF($C270="売",IF($H270&lt;=$M270,"🟢利確",IF(AND($R270&lt;&gt;"",$H270&gt;=$R270),"🟠TRAIL",IF($H270&gt;=$N270,"🔴損切",IF($W270&gt;=V811設定!$B$6,"⏱時間決済",IF($H270&gt;=$F270*(1+V811設定!$B$3*0.7),"⚠️損切接近","保持継続"))))),IF($H270&gt;=$M270,"🟢利確",IF(AND($R270&lt;&gt;"",$H270&lt;=$R270),"🟠TRAIL",IF($H270&lt;=$N270,"🔴損切",IF($W270&gt;=V811設定!$B$6,"⏱時間決済",IF($H270&lt;=$F270*(1-V811設定!$B$3*0.7),"⚠️損切接近","保持継続"))))))))</f>
      </c>
      <c r="P270" s="445"/>
      <c r="Q270" s="445"/>
      <c r="R270" s="480" t="str">
        <f>IF(OR($F270="",$H270="",$N270=""),"",IF($S270="✅売却済","",IF($C270="売",IF($H270&gt;$F270*(1-V811設定!$B$3),$N270,MIN($N270,IF($Q270="",$N270,$Q270*1.03))),IF($H270&lt;$F270*(1+V811設定!$B$3),$N270,MAX($N270,IF($P270="",$N270,$P270*0.97))))))</f>
      </c>
      <c r="S270" s="480" t="str">
        <f>IF(B270="","",IF(T270&lt;&gt;"","✅売却済",IF(OR(H270="",L270=""),"📌保有中",IF(L270&gt;=0.06,"🟢利確推奨",IF(L270&gt;=0.05,"🟡利確直近",IF(L270&gt;=0.045,"🔵トレーリング検討",IF(L270&gt;-0.03,"📌保有中",IF(L270&gt;-0.04,"⚠️損切注意","🔴損切り"))))))))</f>
        <v/>
      </c>
      <c r="T270" s="596"/>
      <c r="U270" s="598"/>
      <c r="V270" s="703" t="str">
        <f>IF(OR(F270="",G270="",U270=""),"",IF(C270="売",(F270-U270)*G270,(U270-F270)*G270))</f>
        <v/>
      </c>
      <c r="W270" s="480" t="str">
        <f>IF(OR($E270="",$B270=""),"",IF($T270&lt;&gt;"",$T270-$E270,TODAY()-$E270)+1)</f>
        <v/>
      </c>
      <c r="X270" s="480" t="str">
        <f>IF(OR($AH270="",$AH270="保有中"),"",$AH270)</f>
        <v/>
      </c>
      <c r="Y270" s="488"/>
      <c r="Z270" s="710"/>
      <c r="AD270" s="608"/>
      <c r="AE270" s="600" t="str">
        <f>IF($E270="","",WORKDAY($E270,12))</f>
        <v/>
      </c>
      <c r="AF270" s="600" t="str" cm="1">
        <f t="array" aca="1" ref="AF270" ca="1">IF(OR($B270="",$M270=""),"",IFERROR(IF($C270="売",_xlfn.MINIFS(安値!$E$3:$IT$3,安値!$E$3:$IT$3,"&gt;"&amp;$E270,安値!$E$3:$IT$3,"&lt;="&amp;$AE270,OFFSET(安値!$E$6:$IT$6,MATCH(TEXT($B270,"0"),TEXT(銘柄管理!$B$6:$B$305,"0"),0)-1,0),"&lt;="&amp;$M270),_xlfn.MINIFS(高値!$E$3:$IT$3,高値!$E$3:$IT$3,"&gt;"&amp;$E270,高値!$E$3:$IT$3,"&lt;="&amp;$AE270,OFFSET(高値!$E$6:$IT$6,MATCH(TEXT($B270,"0"),TEXT(銘柄管理!$B$6:$B$305,"0"),0)-1,0),"&gt;="&amp;$M270)),""))</f>
        <v/>
      </c>
      <c r="AG270" s="600" t="str" cm="1">
        <f t="array" aca="1" ref="AG270" ca="1">IF(OR($B270="",$N270=""),"",IFERROR(IF($C270="売",_xlfn.MINIFS(高値!$E$3:$IT$3,高値!$E$3:$IT$3,"&gt;"&amp;$E270,高値!$E$3:$IT$3,"&lt;="&amp;$AE270,OFFSET(高値!$E$6:$IT$6,MATCH(TEXT($B270,"0"),TEXT(銘柄管理!$B$6:$B$305,"0"),0)-1,0),"&gt;="&amp;$N270),_xlfn.MINIFS(安値!$E$3:$IT$3,安値!$E$3:$IT$3,"&gt;"&amp;$E270,安値!$E$3:$IT$3,"&lt;="&amp;$AE270,OFFSET(安値!$E$6:$IT$6,MATCH(TEXT($B270,"0"),TEXT(銘柄管理!$B$6:$B$305,"0"),0)-1,0),"&lt;="&amp;$N270)),""))</f>
        <v/>
      </c>
      <c r="AH270" s="600" t="str">
        <f>IF(OR($B270="",$M270=""),"",IF(AND(N($AF270)=0,N($AG270)=0),IF(AND(ISNUMBER($H270),$H270&gt;0,IF($C270="売",$H270&gt;=$N270,$H270&lt;=$N270)),"損切確定",IF(AND(ISNUMBER($H270),$H270&gt;0,IF($C270="売",$H270&lt;=$M270,$H270&gt;=$M270)),"利益確定",IF($AE270&lt;=TODAY(),"日数制限","保有中"))),IF(N($AG270)=0,"利益確定",IF(N($AF270)=0,"損切確定",IF($AG270&lt;=$AF270,"損切確定","利益確定")))))</f>
        <v/>
      </c>
      <c r="AI270" s="600" t="str" cm="1">
        <f t="array" ref="AI270">IFERROR(INDEX(始値!$E$6:$IT$305,MATCH(TEXT($B270,"0"),TEXT(銘柄管理!$B$6:$B$305,"0"),0),MATCH($AE270,始値!$E$3:$IT$3,0)),"")</f>
        <v/>
      </c>
      <c r="AJ270" s="608" t="str">
        <f>IF(OR($V270="",$F270="",$G270=""),"",$V270/($F270*$G270))</f>
        <v/>
      </c>
      <c r="AK270" s="600" t="str">
        <f>IF($V270="","",IF($V270&gt;0,"○勝",IF($V270&lt;0,"●負","△引分")))</f>
        <v/>
      </c>
    </row>
    <row r="271" spans="1:37" ht="17.25" customHeight="1">
      <c r="A271" s="621" t="str">
        <f>IF(B271="","",HYPERLINK("https://kabutan.jp/stock/?code="&amp;B271,"株探"))</f>
        <v/>
      </c>
      <c r="B271" s="480"/>
      <c r="C271" s="480"/>
      <c r="D271" s="480" t="str" cm="1">
        <f t="array" ref="D271">_xll.RssMarket(B271, "銘柄名称")</f>
        <v/>
      </c>
      <c r="E271" s="717"/>
      <c r="F271" s="698" t="str" cm="1">
        <f t="array" aca="1" ref="F271" ca="1">IFERROR(_xlfn.LET(_xlpm.r,MATCH(TEXT($B271,"0"),TEXT(銘柄管理!$B$6:$B$305,"0"),0),_xlpm.t,MOD(NOW(),1),_xlpm.c,IF($E271=TODAY(),IF(_xlpm.t&gt;=TIME(15,30,0),NA(),1),IF(MATCH($E271,始値!$E$3:$IT$3,0)=1,1,MATCH($E271,始値!$E$3:$IT$3,0)+1)),_xlpm.v,INDEX(始値!$C$6:$IT$305,_xlpm.r,_xlpm.c),IF(N(_xlpm.v)=0,"",_xlpm.v)),"")</f>
        <v/>
      </c>
      <c r="G271" s="480"/>
      <c r="H271" s="480" t="str" cm="1">
        <f t="array" ref="H271">_xll.RssMarket(B271, "現在値")</f>
        <v/>
      </c>
      <c r="I271" s="480" t="str" cm="1">
        <f t="array" ref="I271">_xll.RssMarket(B271, "出来高加重平均")</f>
        <v/>
      </c>
      <c r="J271" s="702" t="str" cm="1">
        <f t="array" ref="J271">_xll.RssMarket($B271, "前日比")</f>
        <v/>
      </c>
      <c r="K271" s="703" t="str">
        <f>IF(OR(F271="",G271="",H271=""),"",IF(C271="売",(F271-H271)*G271,(H271-F271)*G271))</f>
        <v/>
      </c>
      <c r="L271" s="708" t="str">
        <f>IF(OR(F271="",H271=""),"",IF(C271="売",(F271-H271)/F271,(H271-F271)/F271))</f>
        <v/>
      </c>
      <c r="M271" s="598" t="str">
        <f>IF($F271="","",$F271*IF($C271="売",1-V811設定!$B$4,1+V811設定!$B$4)-MOD($F271*IF($C271="売",1-V811設定!$B$4,1+V811設定!$B$4),IF($F271&lt;=3000,1,IF($F271&lt;=5000,5,IF($F271&lt;=30000,10,IF($F271&lt;=50000,50,IF($F271&lt;=300000,100,500))))))+IF(AND($C271="売",MOD($F271*IF($C271="売",1-V811設定!$B$4,1+V811設定!$B$4),IF($F271&lt;=3000,1,IF($F271&lt;=5000,5,IF($F271&lt;=30000,10,IF($F271&lt;=50000,50,IF($F271&lt;=300000,100,500))))))&gt;0),IF($F271&lt;=3000,1,IF($F271&lt;=5000,5,IF($F271&lt;=30000,10,IF($F271&lt;=50000,50,IF($F271&lt;=300000,100,500))))),0))</f>
      </c>
      <c r="N271" s="598" t="str">
        <f>IF($F271="","",$F271*IF($C271="売",1+V811設定!$B$3,1-V811設定!$B$3)-MOD($F271*IF($C271="売",1+V811設定!$B$3,1-V811設定!$B$3),IF($F271&lt;=3000,1,IF($F271&lt;=5000,5,IF($F271&lt;=30000,10,IF($F271&lt;=50000,50,IF($F271&lt;=300000,100,500))))))+IF(AND($C271="売",MOD($F271*IF($C271="売",1+V811設定!$B$3,1-V811設定!$B$3),IF($F271&lt;=3000,1,IF($F271&lt;=5000,5,IF($F271&lt;=30000,10,IF($F271&lt;=50000,50,IF($F271&lt;=300000,100,500))))))&gt;0),IF($F271&lt;=3000,1,IF($F271&lt;=5000,5,IF($F271&lt;=30000,10,IF($F271&lt;=50000,50,IF($F271&lt;=300000,100,500))))),0))</f>
      </c>
      <c r="O271" s="478" t="str">
        <f>IF(OR($B271="",$F271="",$H271=""),"",IF($S271="✅売却済","―決済済―",IF($C271="売",IF($H271&lt;=$M271,"🟢利確",IF(AND($R271&lt;&gt;"",$H271&gt;=$R271),"🟠TRAIL",IF($H271&gt;=$N271,"🔴損切",IF($W271&gt;=V811設定!$B$6,"⏱時間決済",IF($H271&gt;=$F271*(1+V811設定!$B$3*0.7),"⚠️損切接近","保持継続"))))),IF($H271&gt;=$M271,"🟢利確",IF(AND($R271&lt;&gt;"",$H271&lt;=$R271),"🟠TRAIL",IF($H271&lt;=$N271,"🔴損切",IF($W271&gt;=V811設定!$B$6,"⏱時間決済",IF($H271&lt;=$F271*(1-V811設定!$B$3*0.7),"⚠️損切接近","保持継続"))))))))</f>
      </c>
      <c r="P271" s="445"/>
      <c r="Q271" s="445"/>
      <c r="R271" s="480" t="str">
        <f>IF(OR($F271="",$H271="",$N271=""),"",IF($S271="✅売却済","",IF($C271="売",IF($H271&gt;$F271*(1-V811設定!$B$3),$N271,MIN($N271,IF($Q271="",$N271,$Q271*1.03))),IF($H271&lt;$F271*(1+V811設定!$B$3),$N271,MAX($N271,IF($P271="",$N271,$P271*0.97))))))</f>
      </c>
      <c r="S271" s="480" t="str">
        <f>IF(B271="","",IF(T271&lt;&gt;"","✅売却済",IF(OR(H271="",L271=""),"📌保有中",IF(L271&gt;=0.06,"🟢利確推奨",IF(L271&gt;=0.05,"🟡利確直近",IF(L271&gt;=0.045,"🔵トレーリング検討",IF(L271&gt;-0.03,"📌保有中",IF(L271&gt;-0.04,"⚠️損切注意","🔴損切り"))))))))</f>
        <v/>
      </c>
      <c r="T271" s="596"/>
      <c r="U271" s="598"/>
      <c r="V271" s="703" t="str">
        <f>IF(OR(F271="",G271="",U271=""),"",IF(C271="売",(F271-U271)*G271,(U271-F271)*G271))</f>
        <v/>
      </c>
      <c r="W271" s="480" t="str">
        <f>IF(OR($E271="",$B271=""),"",IF($T271&lt;&gt;"",$T271-$E271,TODAY()-$E271)+1)</f>
        <v/>
      </c>
      <c r="X271" s="480" t="str">
        <f>IF(OR($AH271="",$AH271="保有中"),"",$AH271)</f>
        <v/>
      </c>
      <c r="Y271" s="488"/>
      <c r="Z271" s="710"/>
      <c r="AD271" s="608"/>
      <c r="AE271" s="600" t="str">
        <f>IF($E271="","",WORKDAY($E271,12))</f>
        <v/>
      </c>
      <c r="AF271" s="600" t="str" cm="1">
        <f t="array" aca="1" ref="AF271" ca="1">IF(OR($B271="",$M271=""),"",IFERROR(IF($C271="売",_xlfn.MINIFS(安値!$E$3:$IT$3,安値!$E$3:$IT$3,"&gt;"&amp;$E271,安値!$E$3:$IT$3,"&lt;="&amp;$AE271,OFFSET(安値!$E$6:$IT$6,MATCH(TEXT($B271,"0"),TEXT(銘柄管理!$B$6:$B$305,"0"),0)-1,0),"&lt;="&amp;$M271),_xlfn.MINIFS(高値!$E$3:$IT$3,高値!$E$3:$IT$3,"&gt;"&amp;$E271,高値!$E$3:$IT$3,"&lt;="&amp;$AE271,OFFSET(高値!$E$6:$IT$6,MATCH(TEXT($B271,"0"),TEXT(銘柄管理!$B$6:$B$305,"0"),0)-1,0),"&gt;="&amp;$M271)),""))</f>
        <v/>
      </c>
      <c r="AG271" s="600" t="str" cm="1">
        <f t="array" aca="1" ref="AG271" ca="1">IF(OR($B271="",$N271=""),"",IFERROR(IF($C271="売",_xlfn.MINIFS(高値!$E$3:$IT$3,高値!$E$3:$IT$3,"&gt;"&amp;$E271,高値!$E$3:$IT$3,"&lt;="&amp;$AE271,OFFSET(高値!$E$6:$IT$6,MATCH(TEXT($B271,"0"),TEXT(銘柄管理!$B$6:$B$305,"0"),0)-1,0),"&gt;="&amp;$N271),_xlfn.MINIFS(安値!$E$3:$IT$3,安値!$E$3:$IT$3,"&gt;"&amp;$E271,安値!$E$3:$IT$3,"&lt;="&amp;$AE271,OFFSET(安値!$E$6:$IT$6,MATCH(TEXT($B271,"0"),TEXT(銘柄管理!$B$6:$B$305,"0"),0)-1,0),"&lt;="&amp;$N271)),""))</f>
        <v/>
      </c>
      <c r="AH271" s="600" t="str">
        <f>IF(OR($B271="",$M271=""),"",IF(AND(N($AF271)=0,N($AG271)=0),IF(AND(ISNUMBER($H271),$H271&gt;0,IF($C271="売",$H271&gt;=$N271,$H271&lt;=$N271)),"損切確定",IF(AND(ISNUMBER($H271),$H271&gt;0,IF($C271="売",$H271&lt;=$M271,$H271&gt;=$M271)),"利益確定",IF($AE271&lt;=TODAY(),"日数制限","保有中"))),IF(N($AG271)=0,"利益確定",IF(N($AF271)=0,"損切確定",IF($AG271&lt;=$AF271,"損切確定","利益確定")))))</f>
        <v/>
      </c>
      <c r="AI271" s="600" t="str" cm="1">
        <f t="array" ref="AI271">IFERROR(INDEX(始値!$E$6:$IT$305,MATCH(TEXT($B271,"0"),TEXT(銘柄管理!$B$6:$B$305,"0"),0),MATCH($AE271,始値!$E$3:$IT$3,0)),"")</f>
        <v/>
      </c>
      <c r="AJ271" s="608" t="str">
        <f>IF(OR($V271="",$F271="",$G271=""),"",$V271/($F271*$G271))</f>
        <v/>
      </c>
      <c r="AK271" s="600" t="str">
        <f>IF($V271="","",IF($V271&gt;0,"○勝",IF($V271&lt;0,"●負","△引分")))</f>
        <v/>
      </c>
    </row>
    <row r="272" spans="1:37" ht="17.25" customHeight="1">
      <c r="A272" s="621" t="str">
        <f>IF(B272="","",HYPERLINK("https://kabutan.jp/stock/?code="&amp;B272,"株探"))</f>
        <v/>
      </c>
      <c r="B272" s="480"/>
      <c r="C272" s="480"/>
      <c r="D272" s="480" t="str" cm="1">
        <f t="array" ref="D272">_xll.RssMarket(B272, "銘柄名称")</f>
        <v/>
      </c>
      <c r="E272" s="717"/>
      <c r="F272" s="698" t="str" cm="1">
        <f t="array" aca="1" ref="F272" ca="1">IFERROR(_xlfn.LET(_xlpm.r,MATCH(TEXT($B272,"0"),TEXT(銘柄管理!$B$6:$B$305,"0"),0),_xlpm.t,MOD(NOW(),1),_xlpm.c,IF($E272=TODAY(),IF(_xlpm.t&gt;=TIME(15,30,0),NA(),1),IF(MATCH($E272,始値!$E$3:$IT$3,0)=1,1,MATCH($E272,始値!$E$3:$IT$3,0)+1)),_xlpm.v,INDEX(始値!$C$6:$IT$305,_xlpm.r,_xlpm.c),IF(N(_xlpm.v)=0,"",_xlpm.v)),"")</f>
        <v/>
      </c>
      <c r="G272" s="480"/>
      <c r="H272" s="480" t="str" cm="1">
        <f t="array" ref="H272">_xll.RssMarket(B272, "現在値")</f>
        <v/>
      </c>
      <c r="I272" s="480" t="str" cm="1">
        <f t="array" ref="I272">_xll.RssMarket(B272, "出来高加重平均")</f>
        <v/>
      </c>
      <c r="J272" s="702" t="str" cm="1">
        <f t="array" ref="J272">_xll.RssMarket($B272, "前日比")</f>
        <v/>
      </c>
      <c r="K272" s="703" t="str">
        <f>IF(OR(F272="",G272="",H272=""),"",IF(C272="売",(F272-H272)*G272,(H272-F272)*G272))</f>
        <v/>
      </c>
      <c r="L272" s="708" t="str">
        <f>IF(OR(F272="",H272=""),"",IF(C272="売",(F272-H272)/F272,(H272-F272)/F272))</f>
        <v/>
      </c>
      <c r="M272" s="598" t="str">
        <f>IF($F272="","",$F272*IF($C272="売",1-V811設定!$B$4,1+V811設定!$B$4)-MOD($F272*IF($C272="売",1-V811設定!$B$4,1+V811設定!$B$4),IF($F272&lt;=3000,1,IF($F272&lt;=5000,5,IF($F272&lt;=30000,10,IF($F272&lt;=50000,50,IF($F272&lt;=300000,100,500))))))+IF(AND($C272="売",MOD($F272*IF($C272="売",1-V811設定!$B$4,1+V811設定!$B$4),IF($F272&lt;=3000,1,IF($F272&lt;=5000,5,IF($F272&lt;=30000,10,IF($F272&lt;=50000,50,IF($F272&lt;=300000,100,500))))))&gt;0),IF($F272&lt;=3000,1,IF($F272&lt;=5000,5,IF($F272&lt;=30000,10,IF($F272&lt;=50000,50,IF($F272&lt;=300000,100,500))))),0))</f>
      </c>
      <c r="N272" s="598" t="str">
        <f>IF($F272="","",$F272*IF($C272="売",1+V811設定!$B$3,1-V811設定!$B$3)-MOD($F272*IF($C272="売",1+V811設定!$B$3,1-V811設定!$B$3),IF($F272&lt;=3000,1,IF($F272&lt;=5000,5,IF($F272&lt;=30000,10,IF($F272&lt;=50000,50,IF($F272&lt;=300000,100,500))))))+IF(AND($C272="売",MOD($F272*IF($C272="売",1+V811設定!$B$3,1-V811設定!$B$3),IF($F272&lt;=3000,1,IF($F272&lt;=5000,5,IF($F272&lt;=30000,10,IF($F272&lt;=50000,50,IF($F272&lt;=300000,100,500))))))&gt;0),IF($F272&lt;=3000,1,IF($F272&lt;=5000,5,IF($F272&lt;=30000,10,IF($F272&lt;=50000,50,IF($F272&lt;=300000,100,500))))),0))</f>
      </c>
      <c r="O272" s="478" t="str">
        <f>IF(OR($B272="",$F272="",$H272=""),"",IF($S272="✅売却済","―決済済―",IF($C272="売",IF($H272&lt;=$M272,"🟢利確",IF(AND($R272&lt;&gt;"",$H272&gt;=$R272),"🟠TRAIL",IF($H272&gt;=$N272,"🔴損切",IF($W272&gt;=V811設定!$B$6,"⏱時間決済",IF($H272&gt;=$F272*(1+V811設定!$B$3*0.7),"⚠️損切接近","保持継続"))))),IF($H272&gt;=$M272,"🟢利確",IF(AND($R272&lt;&gt;"",$H272&lt;=$R272),"🟠TRAIL",IF($H272&lt;=$N272,"🔴損切",IF($W272&gt;=V811設定!$B$6,"⏱時間決済",IF($H272&lt;=$F272*(1-V811設定!$B$3*0.7),"⚠️損切接近","保持継続"))))))))</f>
      </c>
      <c r="P272" s="445"/>
      <c r="Q272" s="445"/>
      <c r="R272" s="480" t="str">
        <f>IF(OR($F272="",$H272="",$N272=""),"",IF($S272="✅売却済","",IF($C272="売",IF($H272&gt;$F272*(1-V811設定!$B$3),$N272,MIN($N272,IF($Q272="",$N272,$Q272*1.03))),IF($H272&lt;$F272*(1+V811設定!$B$3),$N272,MAX($N272,IF($P272="",$N272,$P272*0.97))))))</f>
      </c>
      <c r="S272" s="480" t="str">
        <f>IF(B272="","",IF(T272&lt;&gt;"","✅売却済",IF(OR(H272="",L272=""),"📌保有中",IF(L272&gt;=0.06,"🟢利確推奨",IF(L272&gt;=0.05,"🟡利確直近",IF(L272&gt;=0.045,"🔵トレーリング検討",IF(L272&gt;-0.03,"📌保有中",IF(L272&gt;-0.04,"⚠️損切注意","🔴損切り"))))))))</f>
        <v/>
      </c>
      <c r="T272" s="596"/>
      <c r="U272" s="598"/>
      <c r="V272" s="703" t="str">
        <f>IF(OR(F272="",G272="",U272=""),"",IF(C272="売",(F272-U272)*G272,(U272-F272)*G272))</f>
        <v/>
      </c>
      <c r="W272" s="480" t="str">
        <f>IF(OR($E272="",$B272=""),"",IF($T272&lt;&gt;"",$T272-$E272,TODAY()-$E272)+1)</f>
        <v/>
      </c>
      <c r="X272" s="480" t="str">
        <f>IF(OR($AH272="",$AH272="保有中"),"",$AH272)</f>
        <v/>
      </c>
      <c r="Y272" s="488"/>
      <c r="Z272" s="710"/>
      <c r="AD272" s="608"/>
      <c r="AE272" s="600" t="str">
        <f>IF($E272="","",WORKDAY($E272,12))</f>
        <v/>
      </c>
      <c r="AF272" s="600" t="str" cm="1">
        <f t="array" aca="1" ref="AF272" ca="1">IF(OR($B272="",$M272=""),"",IFERROR(IF($C272="売",_xlfn.MINIFS(安値!$E$3:$IT$3,安値!$E$3:$IT$3,"&gt;"&amp;$E272,安値!$E$3:$IT$3,"&lt;="&amp;$AE272,OFFSET(安値!$E$6:$IT$6,MATCH(TEXT($B272,"0"),TEXT(銘柄管理!$B$6:$B$305,"0"),0)-1,0),"&lt;="&amp;$M272),_xlfn.MINIFS(高値!$E$3:$IT$3,高値!$E$3:$IT$3,"&gt;"&amp;$E272,高値!$E$3:$IT$3,"&lt;="&amp;$AE272,OFFSET(高値!$E$6:$IT$6,MATCH(TEXT($B272,"0"),TEXT(銘柄管理!$B$6:$B$305,"0"),0)-1,0),"&gt;="&amp;$M272)),""))</f>
        <v/>
      </c>
      <c r="AG272" s="600" t="str" cm="1">
        <f t="array" aca="1" ref="AG272" ca="1">IF(OR($B272="",$N272=""),"",IFERROR(IF($C272="売",_xlfn.MINIFS(高値!$E$3:$IT$3,高値!$E$3:$IT$3,"&gt;"&amp;$E272,高値!$E$3:$IT$3,"&lt;="&amp;$AE272,OFFSET(高値!$E$6:$IT$6,MATCH(TEXT($B272,"0"),TEXT(銘柄管理!$B$6:$B$305,"0"),0)-1,0),"&gt;="&amp;$N272),_xlfn.MINIFS(安値!$E$3:$IT$3,安値!$E$3:$IT$3,"&gt;"&amp;$E272,安値!$E$3:$IT$3,"&lt;="&amp;$AE272,OFFSET(安値!$E$6:$IT$6,MATCH(TEXT($B272,"0"),TEXT(銘柄管理!$B$6:$B$305,"0"),0)-1,0),"&lt;="&amp;$N272)),""))</f>
        <v/>
      </c>
      <c r="AH272" s="600" t="str">
        <f>IF(OR($B272="",$M272=""),"",IF(AND(N($AF272)=0,N($AG272)=0),IF(AND(ISNUMBER($H272),$H272&gt;0,IF($C272="売",$H272&gt;=$N272,$H272&lt;=$N272)),"損切確定",IF(AND(ISNUMBER($H272),$H272&gt;0,IF($C272="売",$H272&lt;=$M272,$H272&gt;=$M272)),"利益確定",IF($AE272&lt;=TODAY(),"日数制限","保有中"))),IF(N($AG272)=0,"利益確定",IF(N($AF272)=0,"損切確定",IF($AG272&lt;=$AF272,"損切確定","利益確定")))))</f>
        <v/>
      </c>
      <c r="AI272" s="600" t="str" cm="1">
        <f t="array" ref="AI272">IFERROR(INDEX(始値!$E$6:$IT$305,MATCH(TEXT($B272,"0"),TEXT(銘柄管理!$B$6:$B$305,"0"),0),MATCH($AE272,始値!$E$3:$IT$3,0)),"")</f>
        <v/>
      </c>
      <c r="AJ272" s="608" t="str">
        <f>IF(OR($V272="",$F272="",$G272=""),"",$V272/($F272*$G272))</f>
        <v/>
      </c>
      <c r="AK272" s="600" t="str">
        <f>IF($V272="","",IF($V272&gt;0,"○勝",IF($V272&lt;0,"●負","△引分")))</f>
        <v/>
      </c>
    </row>
    <row r="273" spans="1:37" ht="17.25" customHeight="1">
      <c r="A273" s="621" t="str">
        <f>IF(B273="","",HYPERLINK("https://kabutan.jp/stock/?code="&amp;B273,"株探"))</f>
        <v/>
      </c>
      <c r="B273" s="480"/>
      <c r="C273" s="480"/>
      <c r="D273" s="480" t="str" cm="1">
        <f t="array" ref="D273">_xll.RssMarket(B273, "銘柄名称")</f>
        <v/>
      </c>
      <c r="E273" s="717"/>
      <c r="F273" s="698" t="str" cm="1">
        <f t="array" aca="1" ref="F273" ca="1">IFERROR(_xlfn.LET(_xlpm.r,MATCH(TEXT($B273,"0"),TEXT(銘柄管理!$B$6:$B$305,"0"),0),_xlpm.t,MOD(NOW(),1),_xlpm.c,IF($E273=TODAY(),IF(_xlpm.t&gt;=TIME(15,30,0),NA(),1),IF(MATCH($E273,始値!$E$3:$IT$3,0)=1,1,MATCH($E273,始値!$E$3:$IT$3,0)+1)),_xlpm.v,INDEX(始値!$C$6:$IT$305,_xlpm.r,_xlpm.c),IF(N(_xlpm.v)=0,"",_xlpm.v)),"")</f>
        <v/>
      </c>
      <c r="G273" s="480"/>
      <c r="H273" s="480" t="str" cm="1">
        <f t="array" ref="H273">_xll.RssMarket(B273, "現在値")</f>
        <v/>
      </c>
      <c r="I273" s="480" t="str" cm="1">
        <f t="array" ref="I273">_xll.RssMarket(B273, "出来高加重平均")</f>
        <v/>
      </c>
      <c r="J273" s="702" t="str" cm="1">
        <f t="array" ref="J273">_xll.RssMarket($B273, "前日比")</f>
        <v/>
      </c>
      <c r="K273" s="703" t="str">
        <f>IF(OR(F273="",G273="",H273=""),"",IF(C273="売",(F273-H273)*G273,(H273-F273)*G273))</f>
        <v/>
      </c>
      <c r="L273" s="708" t="str">
        <f>IF(OR(F273="",H273=""),"",IF(C273="売",(F273-H273)/F273,(H273-F273)/F273))</f>
        <v/>
      </c>
      <c r="M273" s="598" t="str">
        <f>IF($F273="","",$F273*IF($C273="売",1-V811設定!$B$4,1+V811設定!$B$4)-MOD($F273*IF($C273="売",1-V811設定!$B$4,1+V811設定!$B$4),IF($F273&lt;=3000,1,IF($F273&lt;=5000,5,IF($F273&lt;=30000,10,IF($F273&lt;=50000,50,IF($F273&lt;=300000,100,500))))))+IF(AND($C273="売",MOD($F273*IF($C273="売",1-V811設定!$B$4,1+V811設定!$B$4),IF($F273&lt;=3000,1,IF($F273&lt;=5000,5,IF($F273&lt;=30000,10,IF($F273&lt;=50000,50,IF($F273&lt;=300000,100,500))))))&gt;0),IF($F273&lt;=3000,1,IF($F273&lt;=5000,5,IF($F273&lt;=30000,10,IF($F273&lt;=50000,50,IF($F273&lt;=300000,100,500))))),0))</f>
      </c>
      <c r="N273" s="598" t="str">
        <f>IF($F273="","",$F273*IF($C273="売",1+V811設定!$B$3,1-V811設定!$B$3)-MOD($F273*IF($C273="売",1+V811設定!$B$3,1-V811設定!$B$3),IF($F273&lt;=3000,1,IF($F273&lt;=5000,5,IF($F273&lt;=30000,10,IF($F273&lt;=50000,50,IF($F273&lt;=300000,100,500))))))+IF(AND($C273="売",MOD($F273*IF($C273="売",1+V811設定!$B$3,1-V811設定!$B$3),IF($F273&lt;=3000,1,IF($F273&lt;=5000,5,IF($F273&lt;=30000,10,IF($F273&lt;=50000,50,IF($F273&lt;=300000,100,500))))))&gt;0),IF($F273&lt;=3000,1,IF($F273&lt;=5000,5,IF($F273&lt;=30000,10,IF($F273&lt;=50000,50,IF($F273&lt;=300000,100,500))))),0))</f>
      </c>
      <c r="O273" s="478" t="str">
        <f>IF(OR($B273="",$F273="",$H273=""),"",IF($S273="✅売却済","―決済済―",IF($C273="売",IF($H273&lt;=$M273,"🟢利確",IF(AND($R273&lt;&gt;"",$H273&gt;=$R273),"🟠TRAIL",IF($H273&gt;=$N273,"🔴損切",IF($W273&gt;=V811設定!$B$6,"⏱時間決済",IF($H273&gt;=$F273*(1+V811設定!$B$3*0.7),"⚠️損切接近","保持継続"))))),IF($H273&gt;=$M273,"🟢利確",IF(AND($R273&lt;&gt;"",$H273&lt;=$R273),"🟠TRAIL",IF($H273&lt;=$N273,"🔴損切",IF($W273&gt;=V811設定!$B$6,"⏱時間決済",IF($H273&lt;=$F273*(1-V811設定!$B$3*0.7),"⚠️損切接近","保持継続"))))))))</f>
      </c>
      <c r="P273" s="445"/>
      <c r="Q273" s="445"/>
      <c r="R273" s="480" t="str">
        <f>IF(OR($F273="",$H273="",$N273=""),"",IF($S273="✅売却済","",IF($C273="売",IF($H273&gt;$F273*(1-V811設定!$B$3),$N273,MIN($N273,IF($Q273="",$N273,$Q273*1.03))),IF($H273&lt;$F273*(1+V811設定!$B$3),$N273,MAX($N273,IF($P273="",$N273,$P273*0.97))))))</f>
      </c>
      <c r="S273" s="480" t="str">
        <f>IF(B273="","",IF(T273&lt;&gt;"","✅売却済",IF(OR(H273="",L273=""),"📌保有中",IF(L273&gt;=0.06,"🟢利確推奨",IF(L273&gt;=0.05,"🟡利確直近",IF(L273&gt;=0.045,"🔵トレーリング検討",IF(L273&gt;-0.03,"📌保有中",IF(L273&gt;-0.04,"⚠️損切注意","🔴損切り"))))))))</f>
        <v/>
      </c>
      <c r="T273" s="596"/>
      <c r="U273" s="598"/>
      <c r="V273" s="703" t="str">
        <f>IF(OR(F273="",G273="",U273=""),"",IF(C273="売",(F273-U273)*G273,(U273-F273)*G273))</f>
        <v/>
      </c>
      <c r="W273" s="480" t="str">
        <f>IF(OR($E273="",$B273=""),"",IF($T273&lt;&gt;"",$T273-$E273,TODAY()-$E273)+1)</f>
        <v/>
      </c>
      <c r="X273" s="480" t="str">
        <f>IF(OR($AH273="",$AH273="保有中"),"",$AH273)</f>
        <v/>
      </c>
      <c r="Y273" s="488"/>
      <c r="Z273" s="710"/>
      <c r="AD273" s="608"/>
      <c r="AE273" s="600" t="str">
        <f>IF($E273="","",WORKDAY($E273,12))</f>
        <v/>
      </c>
      <c r="AF273" s="600" t="str" cm="1">
        <f t="array" aca="1" ref="AF273" ca="1">IF(OR($B273="",$M273=""),"",IFERROR(IF($C273="売",_xlfn.MINIFS(安値!$E$3:$IT$3,安値!$E$3:$IT$3,"&gt;"&amp;$E273,安値!$E$3:$IT$3,"&lt;="&amp;$AE273,OFFSET(安値!$E$6:$IT$6,MATCH(TEXT($B273,"0"),TEXT(銘柄管理!$B$6:$B$305,"0"),0)-1,0),"&lt;="&amp;$M273),_xlfn.MINIFS(高値!$E$3:$IT$3,高値!$E$3:$IT$3,"&gt;"&amp;$E273,高値!$E$3:$IT$3,"&lt;="&amp;$AE273,OFFSET(高値!$E$6:$IT$6,MATCH(TEXT($B273,"0"),TEXT(銘柄管理!$B$6:$B$305,"0"),0)-1,0),"&gt;="&amp;$M273)),""))</f>
        <v/>
      </c>
      <c r="AG273" s="600" t="str" cm="1">
        <f t="array" aca="1" ref="AG273" ca="1">IF(OR($B273="",$N273=""),"",IFERROR(IF($C273="売",_xlfn.MINIFS(高値!$E$3:$IT$3,高値!$E$3:$IT$3,"&gt;"&amp;$E273,高値!$E$3:$IT$3,"&lt;="&amp;$AE273,OFFSET(高値!$E$6:$IT$6,MATCH(TEXT($B273,"0"),TEXT(銘柄管理!$B$6:$B$305,"0"),0)-1,0),"&gt;="&amp;$N273),_xlfn.MINIFS(安値!$E$3:$IT$3,安値!$E$3:$IT$3,"&gt;"&amp;$E273,安値!$E$3:$IT$3,"&lt;="&amp;$AE273,OFFSET(安値!$E$6:$IT$6,MATCH(TEXT($B273,"0"),TEXT(銘柄管理!$B$6:$B$305,"0"),0)-1,0),"&lt;="&amp;$N273)),""))</f>
        <v/>
      </c>
      <c r="AH273" s="600" t="str">
        <f>IF(OR($B273="",$M273=""),"",IF(AND(N($AF273)=0,N($AG273)=0),IF(AND(ISNUMBER($H273),$H273&gt;0,IF($C273="売",$H273&gt;=$N273,$H273&lt;=$N273)),"損切確定",IF(AND(ISNUMBER($H273),$H273&gt;0,IF($C273="売",$H273&lt;=$M273,$H273&gt;=$M273)),"利益確定",IF($AE273&lt;=TODAY(),"日数制限","保有中"))),IF(N($AG273)=0,"利益確定",IF(N($AF273)=0,"損切確定",IF($AG273&lt;=$AF273,"損切確定","利益確定")))))</f>
        <v/>
      </c>
      <c r="AI273" s="600" t="str" cm="1">
        <f t="array" ref="AI273">IFERROR(INDEX(始値!$E$6:$IT$305,MATCH(TEXT($B273,"0"),TEXT(銘柄管理!$B$6:$B$305,"0"),0),MATCH($AE273,始値!$E$3:$IT$3,0)),"")</f>
        <v/>
      </c>
      <c r="AJ273" s="608" t="str">
        <f>IF(OR($V273="",$F273="",$G273=""),"",$V273/($F273*$G273))</f>
        <v/>
      </c>
      <c r="AK273" s="600" t="str">
        <f>IF($V273="","",IF($V273&gt;0,"○勝",IF($V273&lt;0,"●負","△引分")))</f>
        <v/>
      </c>
    </row>
    <row r="274" spans="1:37" ht="17.25" customHeight="1">
      <c r="A274" s="621" t="str">
        <f>IF(B274="","",HYPERLINK("https://kabutan.jp/stock/?code="&amp;B274,"株探"))</f>
        <v/>
      </c>
      <c r="B274" s="480"/>
      <c r="C274" s="480"/>
      <c r="D274" s="480" t="str" cm="1">
        <f t="array" ref="D274">_xll.RssMarket(B274, "銘柄名称")</f>
        <v/>
      </c>
      <c r="E274" s="717"/>
      <c r="F274" s="698" t="str" cm="1">
        <f t="array" aca="1" ref="F274" ca="1">IFERROR(_xlfn.LET(_xlpm.r,MATCH(TEXT($B274,"0"),TEXT(銘柄管理!$B$6:$B$305,"0"),0),_xlpm.t,MOD(NOW(),1),_xlpm.c,IF($E274=TODAY(),IF(_xlpm.t&gt;=TIME(15,30,0),NA(),1),IF(MATCH($E274,始値!$E$3:$IT$3,0)=1,1,MATCH($E274,始値!$E$3:$IT$3,0)+1)),_xlpm.v,INDEX(始値!$C$6:$IT$305,_xlpm.r,_xlpm.c),IF(N(_xlpm.v)=0,"",_xlpm.v)),"")</f>
        <v/>
      </c>
      <c r="G274" s="480"/>
      <c r="H274" s="480" t="str" cm="1">
        <f t="array" ref="H274">_xll.RssMarket(B274, "現在値")</f>
        <v/>
      </c>
      <c r="I274" s="480" t="str" cm="1">
        <f t="array" ref="I274">_xll.RssMarket(B274, "出来高加重平均")</f>
        <v/>
      </c>
      <c r="J274" s="702" t="str" cm="1">
        <f t="array" ref="J274">_xll.RssMarket($B274, "前日比")</f>
        <v/>
      </c>
      <c r="K274" s="703" t="str">
        <f>IF(OR(F274="",G274="",H274=""),"",IF(C274="売",(F274-H274)*G274,(H274-F274)*G274))</f>
        <v/>
      </c>
      <c r="L274" s="708" t="str">
        <f>IF(OR(F274="",H274=""),"",IF(C274="売",(F274-H274)/F274,(H274-F274)/F274))</f>
        <v/>
      </c>
      <c r="M274" s="598" t="str">
        <f>IF($F274="","",$F274*IF($C274="売",1-V811設定!$B$4,1+V811設定!$B$4)-MOD($F274*IF($C274="売",1-V811設定!$B$4,1+V811設定!$B$4),IF($F274&lt;=3000,1,IF($F274&lt;=5000,5,IF($F274&lt;=30000,10,IF($F274&lt;=50000,50,IF($F274&lt;=300000,100,500))))))+IF(AND($C274="売",MOD($F274*IF($C274="売",1-V811設定!$B$4,1+V811設定!$B$4),IF($F274&lt;=3000,1,IF($F274&lt;=5000,5,IF($F274&lt;=30000,10,IF($F274&lt;=50000,50,IF($F274&lt;=300000,100,500))))))&gt;0),IF($F274&lt;=3000,1,IF($F274&lt;=5000,5,IF($F274&lt;=30000,10,IF($F274&lt;=50000,50,IF($F274&lt;=300000,100,500))))),0))</f>
      </c>
      <c r="N274" s="598" t="str">
        <f>IF($F274="","",$F274*IF($C274="売",1+V811設定!$B$3,1-V811設定!$B$3)-MOD($F274*IF($C274="売",1+V811設定!$B$3,1-V811設定!$B$3),IF($F274&lt;=3000,1,IF($F274&lt;=5000,5,IF($F274&lt;=30000,10,IF($F274&lt;=50000,50,IF($F274&lt;=300000,100,500))))))+IF(AND($C274="売",MOD($F274*IF($C274="売",1+V811設定!$B$3,1-V811設定!$B$3),IF($F274&lt;=3000,1,IF($F274&lt;=5000,5,IF($F274&lt;=30000,10,IF($F274&lt;=50000,50,IF($F274&lt;=300000,100,500))))))&gt;0),IF($F274&lt;=3000,1,IF($F274&lt;=5000,5,IF($F274&lt;=30000,10,IF($F274&lt;=50000,50,IF($F274&lt;=300000,100,500))))),0))</f>
      </c>
      <c r="O274" s="478" t="str">
        <f>IF(OR($B274="",$F274="",$H274=""),"",IF($S274="✅売却済","―決済済―",IF($C274="売",IF($H274&lt;=$M274,"🟢利確",IF(AND($R274&lt;&gt;"",$H274&gt;=$R274),"🟠TRAIL",IF($H274&gt;=$N274,"🔴損切",IF($W274&gt;=V811設定!$B$6,"⏱時間決済",IF($H274&gt;=$F274*(1+V811設定!$B$3*0.7),"⚠️損切接近","保持継続"))))),IF($H274&gt;=$M274,"🟢利確",IF(AND($R274&lt;&gt;"",$H274&lt;=$R274),"🟠TRAIL",IF($H274&lt;=$N274,"🔴損切",IF($W274&gt;=V811設定!$B$6,"⏱時間決済",IF($H274&lt;=$F274*(1-V811設定!$B$3*0.7),"⚠️損切接近","保持継続"))))))))</f>
      </c>
      <c r="P274" s="445"/>
      <c r="Q274" s="445"/>
      <c r="R274" s="480" t="str">
        <f>IF(OR($F274="",$H274="",$N274=""),"",IF($S274="✅売却済","",IF($C274="売",IF($H274&gt;$F274*(1-V811設定!$B$3),$N274,MIN($N274,IF($Q274="",$N274,$Q274*1.03))),IF($H274&lt;$F274*(1+V811設定!$B$3),$N274,MAX($N274,IF($P274="",$N274,$P274*0.97))))))</f>
      </c>
      <c r="S274" s="480" t="str">
        <f>IF(B274="","",IF(T274&lt;&gt;"","✅売却済",IF(OR(H274="",L274=""),"📌保有中",IF(L274&gt;=0.06,"🟢利確推奨",IF(L274&gt;=0.05,"🟡利確直近",IF(L274&gt;=0.045,"🔵トレーリング検討",IF(L274&gt;-0.03,"📌保有中",IF(L274&gt;-0.04,"⚠️損切注意","🔴損切り"))))))))</f>
        <v/>
      </c>
      <c r="T274" s="596"/>
      <c r="U274" s="598"/>
      <c r="V274" s="703" t="str">
        <f>IF(OR(F274="",G274="",U274=""),"",IF(C274="売",(F274-U274)*G274,(U274-F274)*G274))</f>
        <v/>
      </c>
      <c r="W274" s="480" t="str">
        <f>IF(OR($E274="",$B274=""),"",IF($T274&lt;&gt;"",$T274-$E274,TODAY()-$E274)+1)</f>
        <v/>
      </c>
      <c r="X274" s="480" t="str">
        <f>IF(OR($AH274="",$AH274="保有中"),"",$AH274)</f>
        <v/>
      </c>
      <c r="Y274" s="488"/>
      <c r="Z274" s="710"/>
      <c r="AD274" s="608"/>
      <c r="AE274" s="600" t="str">
        <f>IF($E274="","",WORKDAY($E274,12))</f>
        <v/>
      </c>
      <c r="AF274" s="600" t="str" cm="1">
        <f t="array" aca="1" ref="AF274" ca="1">IF(OR($B274="",$M274=""),"",IFERROR(IF($C274="売",_xlfn.MINIFS(安値!$E$3:$IT$3,安値!$E$3:$IT$3,"&gt;"&amp;$E274,安値!$E$3:$IT$3,"&lt;="&amp;$AE274,OFFSET(安値!$E$6:$IT$6,MATCH(TEXT($B274,"0"),TEXT(銘柄管理!$B$6:$B$305,"0"),0)-1,0),"&lt;="&amp;$M274),_xlfn.MINIFS(高値!$E$3:$IT$3,高値!$E$3:$IT$3,"&gt;"&amp;$E274,高値!$E$3:$IT$3,"&lt;="&amp;$AE274,OFFSET(高値!$E$6:$IT$6,MATCH(TEXT($B274,"0"),TEXT(銘柄管理!$B$6:$B$305,"0"),0)-1,0),"&gt;="&amp;$M274)),""))</f>
        <v/>
      </c>
      <c r="AG274" s="600" t="str" cm="1">
        <f t="array" aca="1" ref="AG274" ca="1">IF(OR($B274="",$N274=""),"",IFERROR(IF($C274="売",_xlfn.MINIFS(高値!$E$3:$IT$3,高値!$E$3:$IT$3,"&gt;"&amp;$E274,高値!$E$3:$IT$3,"&lt;="&amp;$AE274,OFFSET(高値!$E$6:$IT$6,MATCH(TEXT($B274,"0"),TEXT(銘柄管理!$B$6:$B$305,"0"),0)-1,0),"&gt;="&amp;$N274),_xlfn.MINIFS(安値!$E$3:$IT$3,安値!$E$3:$IT$3,"&gt;"&amp;$E274,安値!$E$3:$IT$3,"&lt;="&amp;$AE274,OFFSET(安値!$E$6:$IT$6,MATCH(TEXT($B274,"0"),TEXT(銘柄管理!$B$6:$B$305,"0"),0)-1,0),"&lt;="&amp;$N274)),""))</f>
        <v/>
      </c>
      <c r="AH274" s="600" t="str">
        <f>IF(OR($B274="",$M274=""),"",IF(AND(N($AF274)=0,N($AG274)=0),IF(AND(ISNUMBER($H274),$H274&gt;0,IF($C274="売",$H274&gt;=$N274,$H274&lt;=$N274)),"損切確定",IF(AND(ISNUMBER($H274),$H274&gt;0,IF($C274="売",$H274&lt;=$M274,$H274&gt;=$M274)),"利益確定",IF($AE274&lt;=TODAY(),"日数制限","保有中"))),IF(N($AG274)=0,"利益確定",IF(N($AF274)=0,"損切確定",IF($AG274&lt;=$AF274,"損切確定","利益確定")))))</f>
        <v/>
      </c>
      <c r="AI274" s="600" t="str" cm="1">
        <f t="array" ref="AI274">IFERROR(INDEX(始値!$E$6:$IT$305,MATCH(TEXT($B274,"0"),TEXT(銘柄管理!$B$6:$B$305,"0"),0),MATCH($AE274,始値!$E$3:$IT$3,0)),"")</f>
        <v/>
      </c>
      <c r="AJ274" s="608" t="str">
        <f>IF(OR($V274="",$F274="",$G274=""),"",$V274/($F274*$G274))</f>
        <v/>
      </c>
      <c r="AK274" s="600" t="str">
        <f>IF($V274="","",IF($V274&gt;0,"○勝",IF($V274&lt;0,"●負","△引分")))</f>
        <v/>
      </c>
    </row>
    <row r="275" spans="1:37" ht="17.25" customHeight="1">
      <c r="A275" s="621" t="str">
        <f>IF(B275="","",HYPERLINK("https://kabutan.jp/stock/?code="&amp;B275,"株探"))</f>
        <v/>
      </c>
      <c r="B275" s="480"/>
      <c r="C275" s="480"/>
      <c r="D275" s="480" t="str" cm="1">
        <f t="array" ref="D275">_xll.RssMarket(B275, "銘柄名称")</f>
        <v/>
      </c>
      <c r="E275" s="717"/>
      <c r="F275" s="698" t="str" cm="1">
        <f t="array" aca="1" ref="F275" ca="1">IFERROR(_xlfn.LET(_xlpm.r,MATCH(TEXT($B275,"0"),TEXT(銘柄管理!$B$6:$B$305,"0"),0),_xlpm.t,MOD(NOW(),1),_xlpm.c,IF($E275=TODAY(),IF(_xlpm.t&gt;=TIME(15,30,0),NA(),1),IF(MATCH($E275,始値!$E$3:$IT$3,0)=1,1,MATCH($E275,始値!$E$3:$IT$3,0)+1)),_xlpm.v,INDEX(始値!$C$6:$IT$305,_xlpm.r,_xlpm.c),IF(N(_xlpm.v)=0,"",_xlpm.v)),"")</f>
        <v/>
      </c>
      <c r="G275" s="480"/>
      <c r="H275" s="480" t="str" cm="1">
        <f t="array" ref="H275">_xll.RssMarket(B275, "現在値")</f>
        <v/>
      </c>
      <c r="I275" s="480" t="str" cm="1">
        <f t="array" ref="I275">_xll.RssMarket(B275, "出来高加重平均")</f>
        <v/>
      </c>
      <c r="J275" s="702" t="str" cm="1">
        <f t="array" ref="J275">_xll.RssMarket($B275, "前日比")</f>
        <v/>
      </c>
      <c r="K275" s="703" t="str">
        <f>IF(OR(F275="",G275="",H275=""),"",IF(C275="売",(F275-H275)*G275,(H275-F275)*G275))</f>
        <v/>
      </c>
      <c r="L275" s="708" t="str">
        <f>IF(OR(F275="",H275=""),"",IF(C275="売",(F275-H275)/F275,(H275-F275)/F275))</f>
        <v/>
      </c>
      <c r="M275" s="598" t="str">
        <f>IF($F275="","",$F275*IF($C275="売",1-V811設定!$B$4,1+V811設定!$B$4)-MOD($F275*IF($C275="売",1-V811設定!$B$4,1+V811設定!$B$4),IF($F275&lt;=3000,1,IF($F275&lt;=5000,5,IF($F275&lt;=30000,10,IF($F275&lt;=50000,50,IF($F275&lt;=300000,100,500))))))+IF(AND($C275="売",MOD($F275*IF($C275="売",1-V811設定!$B$4,1+V811設定!$B$4),IF($F275&lt;=3000,1,IF($F275&lt;=5000,5,IF($F275&lt;=30000,10,IF($F275&lt;=50000,50,IF($F275&lt;=300000,100,500))))))&gt;0),IF($F275&lt;=3000,1,IF($F275&lt;=5000,5,IF($F275&lt;=30000,10,IF($F275&lt;=50000,50,IF($F275&lt;=300000,100,500))))),0))</f>
      </c>
      <c r="N275" s="598" t="str">
        <f>IF($F275="","",$F275*IF($C275="売",1+V811設定!$B$3,1-V811設定!$B$3)-MOD($F275*IF($C275="売",1+V811設定!$B$3,1-V811設定!$B$3),IF($F275&lt;=3000,1,IF($F275&lt;=5000,5,IF($F275&lt;=30000,10,IF($F275&lt;=50000,50,IF($F275&lt;=300000,100,500))))))+IF(AND($C275="売",MOD($F275*IF($C275="売",1+V811設定!$B$3,1-V811設定!$B$3),IF($F275&lt;=3000,1,IF($F275&lt;=5000,5,IF($F275&lt;=30000,10,IF($F275&lt;=50000,50,IF($F275&lt;=300000,100,500))))))&gt;0),IF($F275&lt;=3000,1,IF($F275&lt;=5000,5,IF($F275&lt;=30000,10,IF($F275&lt;=50000,50,IF($F275&lt;=300000,100,500))))),0))</f>
      </c>
      <c r="O275" s="478" t="str">
        <f>IF(OR($B275="",$F275="",$H275=""),"",IF($S275="✅売却済","―決済済―",IF($C275="売",IF($H275&lt;=$M275,"🟢利確",IF(AND($R275&lt;&gt;"",$H275&gt;=$R275),"🟠TRAIL",IF($H275&gt;=$N275,"🔴損切",IF($W275&gt;=V811設定!$B$6,"⏱時間決済",IF($H275&gt;=$F275*(1+V811設定!$B$3*0.7),"⚠️損切接近","保持継続"))))),IF($H275&gt;=$M275,"🟢利確",IF(AND($R275&lt;&gt;"",$H275&lt;=$R275),"🟠TRAIL",IF($H275&lt;=$N275,"🔴損切",IF($W275&gt;=V811設定!$B$6,"⏱時間決済",IF($H275&lt;=$F275*(1-V811設定!$B$3*0.7),"⚠️損切接近","保持継続"))))))))</f>
      </c>
      <c r="P275" s="445"/>
      <c r="Q275" s="445"/>
      <c r="R275" s="480" t="str">
        <f>IF(OR($F275="",$H275="",$N275=""),"",IF($S275="✅売却済","",IF($C275="売",IF($H275&gt;$F275*(1-V811設定!$B$3),$N275,MIN($N275,IF($Q275="",$N275,$Q275*1.03))),IF($H275&lt;$F275*(1+V811設定!$B$3),$N275,MAX($N275,IF($P275="",$N275,$P275*0.97))))))</f>
      </c>
      <c r="S275" s="480" t="str">
        <f>IF(B275="","",IF(T275&lt;&gt;"","✅売却済",IF(OR(H275="",L275=""),"📌保有中",IF(L275&gt;=0.06,"🟢利確推奨",IF(L275&gt;=0.05,"🟡利確直近",IF(L275&gt;=0.045,"🔵トレーリング検討",IF(L275&gt;-0.03,"📌保有中",IF(L275&gt;-0.04,"⚠️損切注意","🔴損切り"))))))))</f>
        <v/>
      </c>
      <c r="T275" s="596"/>
      <c r="U275" s="598"/>
      <c r="V275" s="703" t="str">
        <f>IF(OR(F275="",G275="",U275=""),"",IF(C275="売",(F275-U275)*G275,(U275-F275)*G275))</f>
        <v/>
      </c>
      <c r="W275" s="480" t="str">
        <f>IF(OR($E275="",$B275=""),"",IF($T275&lt;&gt;"",$T275-$E275,TODAY()-$E275)+1)</f>
        <v/>
      </c>
      <c r="X275" s="480" t="str">
        <f>IF(OR($AH275="",$AH275="保有中"),"",$AH275)</f>
        <v/>
      </c>
      <c r="Y275" s="488"/>
      <c r="Z275" s="710"/>
      <c r="AD275" s="608"/>
      <c r="AE275" s="600" t="str">
        <f>IF($E275="","",WORKDAY($E275,12))</f>
        <v/>
      </c>
      <c r="AF275" s="600" t="str" cm="1">
        <f t="array" aca="1" ref="AF275" ca="1">IF(OR($B275="",$M275=""),"",IFERROR(IF($C275="売",_xlfn.MINIFS(安値!$E$3:$IT$3,安値!$E$3:$IT$3,"&gt;"&amp;$E275,安値!$E$3:$IT$3,"&lt;="&amp;$AE275,OFFSET(安値!$E$6:$IT$6,MATCH(TEXT($B275,"0"),TEXT(銘柄管理!$B$6:$B$305,"0"),0)-1,0),"&lt;="&amp;$M275),_xlfn.MINIFS(高値!$E$3:$IT$3,高値!$E$3:$IT$3,"&gt;"&amp;$E275,高値!$E$3:$IT$3,"&lt;="&amp;$AE275,OFFSET(高値!$E$6:$IT$6,MATCH(TEXT($B275,"0"),TEXT(銘柄管理!$B$6:$B$305,"0"),0)-1,0),"&gt;="&amp;$M275)),""))</f>
        <v/>
      </c>
      <c r="AG275" s="600" t="str" cm="1">
        <f t="array" aca="1" ref="AG275" ca="1">IF(OR($B275="",$N275=""),"",IFERROR(IF($C275="売",_xlfn.MINIFS(高値!$E$3:$IT$3,高値!$E$3:$IT$3,"&gt;"&amp;$E275,高値!$E$3:$IT$3,"&lt;="&amp;$AE275,OFFSET(高値!$E$6:$IT$6,MATCH(TEXT($B275,"0"),TEXT(銘柄管理!$B$6:$B$305,"0"),0)-1,0),"&gt;="&amp;$N275),_xlfn.MINIFS(安値!$E$3:$IT$3,安値!$E$3:$IT$3,"&gt;"&amp;$E275,安値!$E$3:$IT$3,"&lt;="&amp;$AE275,OFFSET(安値!$E$6:$IT$6,MATCH(TEXT($B275,"0"),TEXT(銘柄管理!$B$6:$B$305,"0"),0)-1,0),"&lt;="&amp;$N275)),""))</f>
        <v/>
      </c>
      <c r="AH275" s="600" t="str">
        <f>IF(OR($B275="",$M275=""),"",IF(AND(N($AF275)=0,N($AG275)=0),IF(AND(ISNUMBER($H275),$H275&gt;0,IF($C275="売",$H275&gt;=$N275,$H275&lt;=$N275)),"損切確定",IF(AND(ISNUMBER($H275),$H275&gt;0,IF($C275="売",$H275&lt;=$M275,$H275&gt;=$M275)),"利益確定",IF($AE275&lt;=TODAY(),"日数制限","保有中"))),IF(N($AG275)=0,"利益確定",IF(N($AF275)=0,"損切確定",IF($AG275&lt;=$AF275,"損切確定","利益確定")))))</f>
        <v/>
      </c>
      <c r="AI275" s="600" t="str" cm="1">
        <f t="array" ref="AI275">IFERROR(INDEX(始値!$E$6:$IT$305,MATCH(TEXT($B275,"0"),TEXT(銘柄管理!$B$6:$B$305,"0"),0),MATCH($AE275,始値!$E$3:$IT$3,0)),"")</f>
        <v/>
      </c>
      <c r="AJ275" s="608" t="str">
        <f>IF(OR($V275="",$F275="",$G275=""),"",$V275/($F275*$G275))</f>
        <v/>
      </c>
      <c r="AK275" s="600" t="str">
        <f>IF($V275="","",IF($V275&gt;0,"○勝",IF($V275&lt;0,"●負","△引分")))</f>
        <v/>
      </c>
    </row>
    <row r="276" spans="1:37" ht="17.25" customHeight="1">
      <c r="A276" s="621" t="str">
        <f>IF(B276="","",HYPERLINK("https://kabutan.jp/stock/?code="&amp;B276,"株探"))</f>
        <v/>
      </c>
      <c r="B276" s="480"/>
      <c r="C276" s="480"/>
      <c r="D276" s="480" t="str" cm="1">
        <f t="array" ref="D276">_xll.RssMarket(B276, "銘柄名称")</f>
        <v/>
      </c>
      <c r="E276" s="717"/>
      <c r="F276" s="698" t="str" cm="1">
        <f t="array" aca="1" ref="F276" ca="1">IFERROR(_xlfn.LET(_xlpm.r,MATCH(TEXT($B276,"0"),TEXT(銘柄管理!$B$6:$B$305,"0"),0),_xlpm.t,MOD(NOW(),1),_xlpm.c,IF($E276=TODAY(),IF(_xlpm.t&gt;=TIME(15,30,0),NA(),1),IF(MATCH($E276,始値!$E$3:$IT$3,0)=1,1,MATCH($E276,始値!$E$3:$IT$3,0)+1)),_xlpm.v,INDEX(始値!$C$6:$IT$305,_xlpm.r,_xlpm.c),IF(N(_xlpm.v)=0,"",_xlpm.v)),"")</f>
        <v/>
      </c>
      <c r="G276" s="480"/>
      <c r="H276" s="480" t="str" cm="1">
        <f t="array" ref="H276">_xll.RssMarket(B276, "現在値")</f>
        <v/>
      </c>
      <c r="I276" s="480" t="str" cm="1">
        <f t="array" ref="I276">_xll.RssMarket(B276, "出来高加重平均")</f>
        <v/>
      </c>
      <c r="J276" s="702" t="str" cm="1">
        <f t="array" ref="J276">_xll.RssMarket($B276, "前日比")</f>
        <v/>
      </c>
      <c r="K276" s="703" t="str">
        <f>IF(OR(F276="",G276="",H276=""),"",IF(C276="売",(F276-H276)*G276,(H276-F276)*G276))</f>
        <v/>
      </c>
      <c r="L276" s="708" t="str">
        <f>IF(OR(F276="",H276=""),"",IF(C276="売",(F276-H276)/F276,(H276-F276)/F276))</f>
        <v/>
      </c>
      <c r="M276" s="598" t="str">
        <f>IF($F276="","",$F276*IF($C276="売",1-V811設定!$B$4,1+V811設定!$B$4)-MOD($F276*IF($C276="売",1-V811設定!$B$4,1+V811設定!$B$4),IF($F276&lt;=3000,1,IF($F276&lt;=5000,5,IF($F276&lt;=30000,10,IF($F276&lt;=50000,50,IF($F276&lt;=300000,100,500))))))+IF(AND($C276="売",MOD($F276*IF($C276="売",1-V811設定!$B$4,1+V811設定!$B$4),IF($F276&lt;=3000,1,IF($F276&lt;=5000,5,IF($F276&lt;=30000,10,IF($F276&lt;=50000,50,IF($F276&lt;=300000,100,500))))))&gt;0),IF($F276&lt;=3000,1,IF($F276&lt;=5000,5,IF($F276&lt;=30000,10,IF($F276&lt;=50000,50,IF($F276&lt;=300000,100,500))))),0))</f>
      </c>
      <c r="N276" s="598" t="str">
        <f>IF($F276="","",$F276*IF($C276="売",1+V811設定!$B$3,1-V811設定!$B$3)-MOD($F276*IF($C276="売",1+V811設定!$B$3,1-V811設定!$B$3),IF($F276&lt;=3000,1,IF($F276&lt;=5000,5,IF($F276&lt;=30000,10,IF($F276&lt;=50000,50,IF($F276&lt;=300000,100,500))))))+IF(AND($C276="売",MOD($F276*IF($C276="売",1+V811設定!$B$3,1-V811設定!$B$3),IF($F276&lt;=3000,1,IF($F276&lt;=5000,5,IF($F276&lt;=30000,10,IF($F276&lt;=50000,50,IF($F276&lt;=300000,100,500))))))&gt;0),IF($F276&lt;=3000,1,IF($F276&lt;=5000,5,IF($F276&lt;=30000,10,IF($F276&lt;=50000,50,IF($F276&lt;=300000,100,500))))),0))</f>
      </c>
      <c r="O276" s="478" t="str">
        <f>IF(OR($B276="",$F276="",$H276=""),"",IF($S276="✅売却済","―決済済―",IF($C276="売",IF($H276&lt;=$M276,"🟢利確",IF(AND($R276&lt;&gt;"",$H276&gt;=$R276),"🟠TRAIL",IF($H276&gt;=$N276,"🔴損切",IF($W276&gt;=V811設定!$B$6,"⏱時間決済",IF($H276&gt;=$F276*(1+V811設定!$B$3*0.7),"⚠️損切接近","保持継続"))))),IF($H276&gt;=$M276,"🟢利確",IF(AND($R276&lt;&gt;"",$H276&lt;=$R276),"🟠TRAIL",IF($H276&lt;=$N276,"🔴損切",IF($W276&gt;=V811設定!$B$6,"⏱時間決済",IF($H276&lt;=$F276*(1-V811設定!$B$3*0.7),"⚠️損切接近","保持継続"))))))))</f>
      </c>
      <c r="P276" s="445"/>
      <c r="Q276" s="445"/>
      <c r="R276" s="480" t="str">
        <f>IF(OR($F276="",$H276="",$N276=""),"",IF($S276="✅売却済","",IF($C276="売",IF($H276&gt;$F276*(1-V811設定!$B$3),$N276,MIN($N276,IF($Q276="",$N276,$Q276*1.03))),IF($H276&lt;$F276*(1+V811設定!$B$3),$N276,MAX($N276,IF($P276="",$N276,$P276*0.97))))))</f>
      </c>
      <c r="S276" s="480" t="str">
        <f>IF(B276="","",IF(T276&lt;&gt;"","✅売却済",IF(OR(H276="",L276=""),"📌保有中",IF(L276&gt;=0.06,"🟢利確推奨",IF(L276&gt;=0.05,"🟡利確直近",IF(L276&gt;=0.045,"🔵トレーリング検討",IF(L276&gt;-0.03,"📌保有中",IF(L276&gt;-0.04,"⚠️損切注意","🔴損切り"))))))))</f>
        <v/>
      </c>
      <c r="T276" s="596"/>
      <c r="U276" s="598"/>
      <c r="V276" s="703" t="str">
        <f>IF(OR(F276="",G276="",U276=""),"",IF(C276="売",(F276-U276)*G276,(U276-F276)*G276))</f>
        <v/>
      </c>
      <c r="W276" s="480" t="str">
        <f>IF(OR($E276="",$B276=""),"",IF($T276&lt;&gt;"",$T276-$E276,TODAY()-$E276)+1)</f>
        <v/>
      </c>
      <c r="X276" s="480" t="str">
        <f>IF(OR($AH276="",$AH276="保有中"),"",$AH276)</f>
        <v/>
      </c>
      <c r="Y276" s="488"/>
      <c r="Z276" s="710"/>
      <c r="AD276" s="608"/>
      <c r="AE276" s="600" t="str">
        <f>IF($E276="","",WORKDAY($E276,12))</f>
        <v/>
      </c>
      <c r="AF276" s="600" t="str" cm="1">
        <f t="array" aca="1" ref="AF276" ca="1">IF(OR($B276="",$M276=""),"",IFERROR(IF($C276="売",_xlfn.MINIFS(安値!$E$3:$IT$3,安値!$E$3:$IT$3,"&gt;"&amp;$E276,安値!$E$3:$IT$3,"&lt;="&amp;$AE276,OFFSET(安値!$E$6:$IT$6,MATCH(TEXT($B276,"0"),TEXT(銘柄管理!$B$6:$B$305,"0"),0)-1,0),"&lt;="&amp;$M276),_xlfn.MINIFS(高値!$E$3:$IT$3,高値!$E$3:$IT$3,"&gt;"&amp;$E276,高値!$E$3:$IT$3,"&lt;="&amp;$AE276,OFFSET(高値!$E$6:$IT$6,MATCH(TEXT($B276,"0"),TEXT(銘柄管理!$B$6:$B$305,"0"),0)-1,0),"&gt;="&amp;$M276)),""))</f>
        <v/>
      </c>
      <c r="AG276" s="600" t="str" cm="1">
        <f t="array" aca="1" ref="AG276" ca="1">IF(OR($B276="",$N276=""),"",IFERROR(IF($C276="売",_xlfn.MINIFS(高値!$E$3:$IT$3,高値!$E$3:$IT$3,"&gt;"&amp;$E276,高値!$E$3:$IT$3,"&lt;="&amp;$AE276,OFFSET(高値!$E$6:$IT$6,MATCH(TEXT($B276,"0"),TEXT(銘柄管理!$B$6:$B$305,"0"),0)-1,0),"&gt;="&amp;$N276),_xlfn.MINIFS(安値!$E$3:$IT$3,安値!$E$3:$IT$3,"&gt;"&amp;$E276,安値!$E$3:$IT$3,"&lt;="&amp;$AE276,OFFSET(安値!$E$6:$IT$6,MATCH(TEXT($B276,"0"),TEXT(銘柄管理!$B$6:$B$305,"0"),0)-1,0),"&lt;="&amp;$N276)),""))</f>
        <v/>
      </c>
      <c r="AH276" s="600" t="str">
        <f>IF(OR($B276="",$M276=""),"",IF(AND(N($AF276)=0,N($AG276)=0),IF(AND(ISNUMBER($H276),$H276&gt;0,IF($C276="売",$H276&gt;=$N276,$H276&lt;=$N276)),"損切確定",IF(AND(ISNUMBER($H276),$H276&gt;0,IF($C276="売",$H276&lt;=$M276,$H276&gt;=$M276)),"利益確定",IF($AE276&lt;=TODAY(),"日数制限","保有中"))),IF(N($AG276)=0,"利益確定",IF(N($AF276)=0,"損切確定",IF($AG276&lt;=$AF276,"損切確定","利益確定")))))</f>
        <v/>
      </c>
      <c r="AI276" s="600" t="str" cm="1">
        <f t="array" ref="AI276">IFERROR(INDEX(始値!$E$6:$IT$305,MATCH(TEXT($B276,"0"),TEXT(銘柄管理!$B$6:$B$305,"0"),0),MATCH($AE276,始値!$E$3:$IT$3,0)),"")</f>
        <v/>
      </c>
      <c r="AJ276" s="608" t="str">
        <f>IF(OR($V276="",$F276="",$G276=""),"",$V276/($F276*$G276))</f>
        <v/>
      </c>
      <c r="AK276" s="600" t="str">
        <f>IF($V276="","",IF($V276&gt;0,"○勝",IF($V276&lt;0,"●負","△引分")))</f>
        <v/>
      </c>
    </row>
    <row r="277" spans="1:37" ht="17.25" customHeight="1">
      <c r="A277" s="621" t="str">
        <f>IF(B277="","",HYPERLINK("https://kabutan.jp/stock/?code="&amp;B277,"株探"))</f>
        <v/>
      </c>
      <c r="B277" s="480"/>
      <c r="C277" s="480"/>
      <c r="D277" s="480" t="str" cm="1">
        <f t="array" ref="D277">_xll.RssMarket(B277, "銘柄名称")</f>
        <v/>
      </c>
      <c r="E277" s="717"/>
      <c r="F277" s="698" t="str" cm="1">
        <f t="array" aca="1" ref="F277" ca="1">IFERROR(_xlfn.LET(_xlpm.r,MATCH(TEXT($B277,"0"),TEXT(銘柄管理!$B$6:$B$305,"0"),0),_xlpm.t,MOD(NOW(),1),_xlpm.c,IF($E277=TODAY(),IF(_xlpm.t&gt;=TIME(15,30,0),NA(),1),IF(MATCH($E277,始値!$E$3:$IT$3,0)=1,1,MATCH($E277,始値!$E$3:$IT$3,0)+1)),_xlpm.v,INDEX(始値!$C$6:$IT$305,_xlpm.r,_xlpm.c),IF(N(_xlpm.v)=0,"",_xlpm.v)),"")</f>
        <v/>
      </c>
      <c r="G277" s="480"/>
      <c r="H277" s="480" t="str" cm="1">
        <f t="array" ref="H277">_xll.RssMarket(B277, "現在値")</f>
        <v/>
      </c>
      <c r="I277" s="480" t="str" cm="1">
        <f t="array" ref="I277">_xll.RssMarket(B277, "出来高加重平均")</f>
        <v/>
      </c>
      <c r="J277" s="702" t="str" cm="1">
        <f t="array" ref="J277">_xll.RssMarket($B277, "前日比")</f>
        <v/>
      </c>
      <c r="K277" s="703" t="str">
        <f>IF(OR(F277="",G277="",H277=""),"",IF(C277="売",(F277-H277)*G277,(H277-F277)*G277))</f>
        <v/>
      </c>
      <c r="L277" s="708" t="str">
        <f>IF(OR(F277="",H277=""),"",IF(C277="売",(F277-H277)/F277,(H277-F277)/F277))</f>
        <v/>
      </c>
      <c r="M277" s="598" t="str">
        <f>IF($F277="","",$F277*IF($C277="売",1-V811設定!$B$4,1+V811設定!$B$4)-MOD($F277*IF($C277="売",1-V811設定!$B$4,1+V811設定!$B$4),IF($F277&lt;=3000,1,IF($F277&lt;=5000,5,IF($F277&lt;=30000,10,IF($F277&lt;=50000,50,IF($F277&lt;=300000,100,500))))))+IF(AND($C277="売",MOD($F277*IF($C277="売",1-V811設定!$B$4,1+V811設定!$B$4),IF($F277&lt;=3000,1,IF($F277&lt;=5000,5,IF($F277&lt;=30000,10,IF($F277&lt;=50000,50,IF($F277&lt;=300000,100,500))))))&gt;0),IF($F277&lt;=3000,1,IF($F277&lt;=5000,5,IF($F277&lt;=30000,10,IF($F277&lt;=50000,50,IF($F277&lt;=300000,100,500))))),0))</f>
      </c>
      <c r="N277" s="598" t="str">
        <f>IF($F277="","",$F277*IF($C277="売",1+V811設定!$B$3,1-V811設定!$B$3)-MOD($F277*IF($C277="売",1+V811設定!$B$3,1-V811設定!$B$3),IF($F277&lt;=3000,1,IF($F277&lt;=5000,5,IF($F277&lt;=30000,10,IF($F277&lt;=50000,50,IF($F277&lt;=300000,100,500))))))+IF(AND($C277="売",MOD($F277*IF($C277="売",1+V811設定!$B$3,1-V811設定!$B$3),IF($F277&lt;=3000,1,IF($F277&lt;=5000,5,IF($F277&lt;=30000,10,IF($F277&lt;=50000,50,IF($F277&lt;=300000,100,500))))))&gt;0),IF($F277&lt;=3000,1,IF($F277&lt;=5000,5,IF($F277&lt;=30000,10,IF($F277&lt;=50000,50,IF($F277&lt;=300000,100,500))))),0))</f>
      </c>
      <c r="O277" s="478" t="str">
        <f>IF(OR($B277="",$F277="",$H277=""),"",IF($S277="✅売却済","―決済済―",IF($C277="売",IF($H277&lt;=$M277,"🟢利確",IF(AND($R277&lt;&gt;"",$H277&gt;=$R277),"🟠TRAIL",IF($H277&gt;=$N277,"🔴損切",IF($W277&gt;=V811設定!$B$6,"⏱時間決済",IF($H277&gt;=$F277*(1+V811設定!$B$3*0.7),"⚠️損切接近","保持継続"))))),IF($H277&gt;=$M277,"🟢利確",IF(AND($R277&lt;&gt;"",$H277&lt;=$R277),"🟠TRAIL",IF($H277&lt;=$N277,"🔴損切",IF($W277&gt;=V811設定!$B$6,"⏱時間決済",IF($H277&lt;=$F277*(1-V811設定!$B$3*0.7),"⚠️損切接近","保持継続"))))))))</f>
      </c>
      <c r="P277" s="445"/>
      <c r="Q277" s="445"/>
      <c r="R277" s="480" t="str">
        <f>IF(OR($F277="",$H277="",$N277=""),"",IF($S277="✅売却済","",IF($C277="売",IF($H277&gt;$F277*(1-V811設定!$B$3),$N277,MIN($N277,IF($Q277="",$N277,$Q277*1.03))),IF($H277&lt;$F277*(1+V811設定!$B$3),$N277,MAX($N277,IF($P277="",$N277,$P277*0.97))))))</f>
      </c>
      <c r="S277" s="480" t="str">
        <f>IF(B277="","",IF(T277&lt;&gt;"","✅売却済",IF(OR(H277="",L277=""),"📌保有中",IF(L277&gt;=0.06,"🟢利確推奨",IF(L277&gt;=0.05,"🟡利確直近",IF(L277&gt;=0.045,"🔵トレーリング検討",IF(L277&gt;-0.03,"📌保有中",IF(L277&gt;-0.04,"⚠️損切注意","🔴損切り"))))))))</f>
        <v/>
      </c>
      <c r="T277" s="596"/>
      <c r="U277" s="598"/>
      <c r="V277" s="703" t="str">
        <f>IF(OR(F277="",G277="",U277=""),"",IF(C277="売",(F277-U277)*G277,(U277-F277)*G277))</f>
        <v/>
      </c>
      <c r="W277" s="480" t="str">
        <f>IF(OR($E277="",$B277=""),"",IF($T277&lt;&gt;"",$T277-$E277,TODAY()-$E277)+1)</f>
        <v/>
      </c>
      <c r="X277" s="480" t="str">
        <f>IF(OR($AH277="",$AH277="保有中"),"",$AH277)</f>
        <v/>
      </c>
      <c r="Y277" s="488"/>
      <c r="Z277" s="710"/>
      <c r="AD277" s="608"/>
      <c r="AE277" s="600" t="str">
        <f>IF($E277="","",WORKDAY($E277,12))</f>
        <v/>
      </c>
      <c r="AF277" s="600" t="str" cm="1">
        <f t="array" aca="1" ref="AF277" ca="1">IF(OR($B277="",$M277=""),"",IFERROR(IF($C277="売",_xlfn.MINIFS(安値!$E$3:$IT$3,安値!$E$3:$IT$3,"&gt;"&amp;$E277,安値!$E$3:$IT$3,"&lt;="&amp;$AE277,OFFSET(安値!$E$6:$IT$6,MATCH(TEXT($B277,"0"),TEXT(銘柄管理!$B$6:$B$305,"0"),0)-1,0),"&lt;="&amp;$M277),_xlfn.MINIFS(高値!$E$3:$IT$3,高値!$E$3:$IT$3,"&gt;"&amp;$E277,高値!$E$3:$IT$3,"&lt;="&amp;$AE277,OFFSET(高値!$E$6:$IT$6,MATCH(TEXT($B277,"0"),TEXT(銘柄管理!$B$6:$B$305,"0"),0)-1,0),"&gt;="&amp;$M277)),""))</f>
        <v/>
      </c>
      <c r="AG277" s="600" t="str" cm="1">
        <f t="array" aca="1" ref="AG277" ca="1">IF(OR($B277="",$N277=""),"",IFERROR(IF($C277="売",_xlfn.MINIFS(高値!$E$3:$IT$3,高値!$E$3:$IT$3,"&gt;"&amp;$E277,高値!$E$3:$IT$3,"&lt;="&amp;$AE277,OFFSET(高値!$E$6:$IT$6,MATCH(TEXT($B277,"0"),TEXT(銘柄管理!$B$6:$B$305,"0"),0)-1,0),"&gt;="&amp;$N277),_xlfn.MINIFS(安値!$E$3:$IT$3,安値!$E$3:$IT$3,"&gt;"&amp;$E277,安値!$E$3:$IT$3,"&lt;="&amp;$AE277,OFFSET(安値!$E$6:$IT$6,MATCH(TEXT($B277,"0"),TEXT(銘柄管理!$B$6:$B$305,"0"),0)-1,0),"&lt;="&amp;$N277)),""))</f>
        <v/>
      </c>
      <c r="AH277" s="600" t="str">
        <f>IF(OR($B277="",$M277=""),"",IF(AND(N($AF277)=0,N($AG277)=0),IF(AND(ISNUMBER($H277),$H277&gt;0,IF($C277="売",$H277&gt;=$N277,$H277&lt;=$N277)),"損切確定",IF(AND(ISNUMBER($H277),$H277&gt;0,IF($C277="売",$H277&lt;=$M277,$H277&gt;=$M277)),"利益確定",IF($AE277&lt;=TODAY(),"日数制限","保有中"))),IF(N($AG277)=0,"利益確定",IF(N($AF277)=0,"損切確定",IF($AG277&lt;=$AF277,"損切確定","利益確定")))))</f>
        <v/>
      </c>
      <c r="AI277" s="600" t="str" cm="1">
        <f t="array" ref="AI277">IFERROR(INDEX(始値!$E$6:$IT$305,MATCH(TEXT($B277,"0"),TEXT(銘柄管理!$B$6:$B$305,"0"),0),MATCH($AE277,始値!$E$3:$IT$3,0)),"")</f>
        <v/>
      </c>
      <c r="AJ277" s="608" t="str">
        <f>IF(OR($V277="",$F277="",$G277=""),"",$V277/($F277*$G277))</f>
        <v/>
      </c>
      <c r="AK277" s="600" t="str">
        <f>IF($V277="","",IF($V277&gt;0,"○勝",IF($V277&lt;0,"●負","△引分")))</f>
        <v/>
      </c>
    </row>
    <row r="278" spans="1:37" ht="17.25" customHeight="1">
      <c r="A278" s="621" t="str">
        <f>IF(B278="","",HYPERLINK("https://kabutan.jp/stock/?code="&amp;B278,"株探"))</f>
        <v/>
      </c>
      <c r="B278" s="480"/>
      <c r="C278" s="480"/>
      <c r="D278" s="480" t="str" cm="1">
        <f t="array" ref="D278">_xll.RssMarket(B278, "銘柄名称")</f>
        <v/>
      </c>
      <c r="E278" s="717"/>
      <c r="F278" s="698" t="str" cm="1">
        <f t="array" aca="1" ref="F278" ca="1">IFERROR(_xlfn.LET(_xlpm.r,MATCH(TEXT($B278,"0"),TEXT(銘柄管理!$B$6:$B$305,"0"),0),_xlpm.t,MOD(NOW(),1),_xlpm.c,IF($E278=TODAY(),IF(_xlpm.t&gt;=TIME(15,30,0),NA(),1),IF(MATCH($E278,始値!$E$3:$IT$3,0)=1,1,MATCH($E278,始値!$E$3:$IT$3,0)+1)),_xlpm.v,INDEX(始値!$C$6:$IT$305,_xlpm.r,_xlpm.c),IF(N(_xlpm.v)=0,"",_xlpm.v)),"")</f>
        <v/>
      </c>
      <c r="G278" s="480"/>
      <c r="H278" s="480" t="str" cm="1">
        <f t="array" ref="H278">_xll.RssMarket(B278, "現在値")</f>
        <v/>
      </c>
      <c r="I278" s="480" t="str" cm="1">
        <f t="array" ref="I278">_xll.RssMarket(B278, "出来高加重平均")</f>
        <v/>
      </c>
      <c r="J278" s="702" t="str" cm="1">
        <f t="array" ref="J278">_xll.RssMarket($B278, "前日比")</f>
        <v/>
      </c>
      <c r="K278" s="703" t="str">
        <f>IF(OR(F278="",G278="",H278=""),"",IF(C278="売",(F278-H278)*G278,(H278-F278)*G278))</f>
        <v/>
      </c>
      <c r="L278" s="708" t="str">
        <f>IF(OR(F278="",H278=""),"",IF(C278="売",(F278-H278)/F278,(H278-F278)/F278))</f>
        <v/>
      </c>
      <c r="M278" s="598" t="str">
        <f>IF($F278="","",$F278*IF($C278="売",1-V811設定!$B$4,1+V811設定!$B$4)-MOD($F278*IF($C278="売",1-V811設定!$B$4,1+V811設定!$B$4),IF($F278&lt;=3000,1,IF($F278&lt;=5000,5,IF($F278&lt;=30000,10,IF($F278&lt;=50000,50,IF($F278&lt;=300000,100,500))))))+IF(AND($C278="売",MOD($F278*IF($C278="売",1-V811設定!$B$4,1+V811設定!$B$4),IF($F278&lt;=3000,1,IF($F278&lt;=5000,5,IF($F278&lt;=30000,10,IF($F278&lt;=50000,50,IF($F278&lt;=300000,100,500))))))&gt;0),IF($F278&lt;=3000,1,IF($F278&lt;=5000,5,IF($F278&lt;=30000,10,IF($F278&lt;=50000,50,IF($F278&lt;=300000,100,500))))),0))</f>
      </c>
      <c r="N278" s="598" t="str">
        <f>IF($F278="","",$F278*IF($C278="売",1+V811設定!$B$3,1-V811設定!$B$3)-MOD($F278*IF($C278="売",1+V811設定!$B$3,1-V811設定!$B$3),IF($F278&lt;=3000,1,IF($F278&lt;=5000,5,IF($F278&lt;=30000,10,IF($F278&lt;=50000,50,IF($F278&lt;=300000,100,500))))))+IF(AND($C278="売",MOD($F278*IF($C278="売",1+V811設定!$B$3,1-V811設定!$B$3),IF($F278&lt;=3000,1,IF($F278&lt;=5000,5,IF($F278&lt;=30000,10,IF($F278&lt;=50000,50,IF($F278&lt;=300000,100,500))))))&gt;0),IF($F278&lt;=3000,1,IF($F278&lt;=5000,5,IF($F278&lt;=30000,10,IF($F278&lt;=50000,50,IF($F278&lt;=300000,100,500))))),0))</f>
      </c>
      <c r="O278" s="478" t="str">
        <f>IF(OR($B278="",$F278="",$H278=""),"",IF($S278="✅売却済","―決済済―",IF($C278="売",IF($H278&lt;=$M278,"🟢利確",IF(AND($R278&lt;&gt;"",$H278&gt;=$R278),"🟠TRAIL",IF($H278&gt;=$N278,"🔴損切",IF($W278&gt;=V811設定!$B$6,"⏱時間決済",IF($H278&gt;=$F278*(1+V811設定!$B$3*0.7),"⚠️損切接近","保持継続"))))),IF($H278&gt;=$M278,"🟢利確",IF(AND($R278&lt;&gt;"",$H278&lt;=$R278),"🟠TRAIL",IF($H278&lt;=$N278,"🔴損切",IF($W278&gt;=V811設定!$B$6,"⏱時間決済",IF($H278&lt;=$F278*(1-V811設定!$B$3*0.7),"⚠️損切接近","保持継続"))))))))</f>
      </c>
      <c r="P278" s="445"/>
      <c r="Q278" s="445"/>
      <c r="R278" s="480" t="str">
        <f>IF(OR($F278="",$H278="",$N278=""),"",IF($S278="✅売却済","",IF($C278="売",IF($H278&gt;$F278*(1-V811設定!$B$3),$N278,MIN($N278,IF($Q278="",$N278,$Q278*1.03))),IF($H278&lt;$F278*(1+V811設定!$B$3),$N278,MAX($N278,IF($P278="",$N278,$P278*0.97))))))</f>
      </c>
      <c r="S278" s="480" t="str">
        <f>IF(B278="","",IF(T278&lt;&gt;"","✅売却済",IF(OR(H278="",L278=""),"📌保有中",IF(L278&gt;=0.06,"🟢利確推奨",IF(L278&gt;=0.05,"🟡利確直近",IF(L278&gt;=0.045,"🔵トレーリング検討",IF(L278&gt;-0.03,"📌保有中",IF(L278&gt;-0.04,"⚠️損切注意","🔴損切り"))))))))</f>
        <v/>
      </c>
      <c r="T278" s="596"/>
      <c r="U278" s="598"/>
      <c r="V278" s="703" t="str">
        <f>IF(OR(F278="",G278="",U278=""),"",IF(C278="売",(F278-U278)*G278,(U278-F278)*G278))</f>
        <v/>
      </c>
      <c r="W278" s="480" t="str">
        <f>IF(OR($E278="",$B278=""),"",IF($T278&lt;&gt;"",$T278-$E278,TODAY()-$E278)+1)</f>
        <v/>
      </c>
      <c r="X278" s="480" t="str">
        <f>IF(OR($AH278="",$AH278="保有中"),"",$AH278)</f>
        <v/>
      </c>
      <c r="Y278" s="488"/>
      <c r="Z278" s="710"/>
      <c r="AD278" s="608"/>
      <c r="AE278" s="600" t="str">
        <f>IF($E278="","",WORKDAY($E278,12))</f>
        <v/>
      </c>
      <c r="AF278" s="600" t="str" cm="1">
        <f t="array" aca="1" ref="AF278" ca="1">IF(OR($B278="",$M278=""),"",IFERROR(IF($C278="売",_xlfn.MINIFS(安値!$E$3:$IT$3,安値!$E$3:$IT$3,"&gt;"&amp;$E278,安値!$E$3:$IT$3,"&lt;="&amp;$AE278,OFFSET(安値!$E$6:$IT$6,MATCH(TEXT($B278,"0"),TEXT(銘柄管理!$B$6:$B$305,"0"),0)-1,0),"&lt;="&amp;$M278),_xlfn.MINIFS(高値!$E$3:$IT$3,高値!$E$3:$IT$3,"&gt;"&amp;$E278,高値!$E$3:$IT$3,"&lt;="&amp;$AE278,OFFSET(高値!$E$6:$IT$6,MATCH(TEXT($B278,"0"),TEXT(銘柄管理!$B$6:$B$305,"0"),0)-1,0),"&gt;="&amp;$M278)),""))</f>
        <v/>
      </c>
      <c r="AG278" s="600" t="str" cm="1">
        <f t="array" aca="1" ref="AG278" ca="1">IF(OR($B278="",$N278=""),"",IFERROR(IF($C278="売",_xlfn.MINIFS(高値!$E$3:$IT$3,高値!$E$3:$IT$3,"&gt;"&amp;$E278,高値!$E$3:$IT$3,"&lt;="&amp;$AE278,OFFSET(高値!$E$6:$IT$6,MATCH(TEXT($B278,"0"),TEXT(銘柄管理!$B$6:$B$305,"0"),0)-1,0),"&gt;="&amp;$N278),_xlfn.MINIFS(安値!$E$3:$IT$3,安値!$E$3:$IT$3,"&gt;"&amp;$E278,安値!$E$3:$IT$3,"&lt;="&amp;$AE278,OFFSET(安値!$E$6:$IT$6,MATCH(TEXT($B278,"0"),TEXT(銘柄管理!$B$6:$B$305,"0"),0)-1,0),"&lt;="&amp;$N278)),""))</f>
        <v/>
      </c>
      <c r="AH278" s="600" t="str">
        <f>IF(OR($B278="",$M278=""),"",IF(AND(N($AF278)=0,N($AG278)=0),IF(AND(ISNUMBER($H278),$H278&gt;0,IF($C278="売",$H278&gt;=$N278,$H278&lt;=$N278)),"損切確定",IF(AND(ISNUMBER($H278),$H278&gt;0,IF($C278="売",$H278&lt;=$M278,$H278&gt;=$M278)),"利益確定",IF($AE278&lt;=TODAY(),"日数制限","保有中"))),IF(N($AG278)=0,"利益確定",IF(N($AF278)=0,"損切確定",IF($AG278&lt;=$AF278,"損切確定","利益確定")))))</f>
        <v/>
      </c>
      <c r="AI278" s="600" t="str" cm="1">
        <f t="array" ref="AI278">IFERROR(INDEX(始値!$E$6:$IT$305,MATCH(TEXT($B278,"0"),TEXT(銘柄管理!$B$6:$B$305,"0"),0),MATCH($AE278,始値!$E$3:$IT$3,0)),"")</f>
        <v/>
      </c>
      <c r="AJ278" s="608" t="str">
        <f>IF(OR($V278="",$F278="",$G278=""),"",$V278/($F278*$G278))</f>
        <v/>
      </c>
      <c r="AK278" s="600" t="str">
        <f>IF($V278="","",IF($V278&gt;0,"○勝",IF($V278&lt;0,"●負","△引分")))</f>
        <v/>
      </c>
    </row>
    <row r="279" spans="1:37" ht="17.25" customHeight="1">
      <c r="A279" s="621" t="str">
        <f>IF(B279="","",HYPERLINK("https://kabutan.jp/stock/?code="&amp;B279,"株探"))</f>
        <v/>
      </c>
      <c r="B279" s="480"/>
      <c r="C279" s="480"/>
      <c r="D279" s="480" t="str" cm="1">
        <f t="array" ref="D279">_xll.RssMarket(B279, "銘柄名称")</f>
        <v/>
      </c>
      <c r="E279" s="717"/>
      <c r="F279" s="698" t="str" cm="1">
        <f t="array" aca="1" ref="F279" ca="1">IFERROR(_xlfn.LET(_xlpm.r,MATCH(TEXT($B279,"0"),TEXT(銘柄管理!$B$6:$B$305,"0"),0),_xlpm.t,MOD(NOW(),1),_xlpm.c,IF($E279=TODAY(),IF(_xlpm.t&gt;=TIME(15,30,0),NA(),1),IF(MATCH($E279,始値!$E$3:$IT$3,0)=1,1,MATCH($E279,始値!$E$3:$IT$3,0)+1)),_xlpm.v,INDEX(始値!$C$6:$IT$305,_xlpm.r,_xlpm.c),IF(N(_xlpm.v)=0,"",_xlpm.v)),"")</f>
        <v/>
      </c>
      <c r="G279" s="480"/>
      <c r="H279" s="480" t="str" cm="1">
        <f t="array" ref="H279">_xll.RssMarket(B279, "現在値")</f>
        <v/>
      </c>
      <c r="I279" s="480" t="str" cm="1">
        <f t="array" ref="I279">_xll.RssMarket(B279, "出来高加重平均")</f>
        <v/>
      </c>
      <c r="J279" s="702" t="str" cm="1">
        <f t="array" ref="J279">_xll.RssMarket($B279, "前日比")</f>
        <v/>
      </c>
      <c r="K279" s="703" t="str">
        <f>IF(OR(F279="",G279="",H279=""),"",IF(C279="売",(F279-H279)*G279,(H279-F279)*G279))</f>
        <v/>
      </c>
      <c r="L279" s="708" t="str">
        <f>IF(OR(F279="",H279=""),"",IF(C279="売",(F279-H279)/F279,(H279-F279)/F279))</f>
        <v/>
      </c>
      <c r="M279" s="598" t="str">
        <f>IF($F279="","",$F279*IF($C279="売",1-V811設定!$B$4,1+V811設定!$B$4)-MOD($F279*IF($C279="売",1-V811設定!$B$4,1+V811設定!$B$4),IF($F279&lt;=3000,1,IF($F279&lt;=5000,5,IF($F279&lt;=30000,10,IF($F279&lt;=50000,50,IF($F279&lt;=300000,100,500))))))+IF(AND($C279="売",MOD($F279*IF($C279="売",1-V811設定!$B$4,1+V811設定!$B$4),IF($F279&lt;=3000,1,IF($F279&lt;=5000,5,IF($F279&lt;=30000,10,IF($F279&lt;=50000,50,IF($F279&lt;=300000,100,500))))))&gt;0),IF($F279&lt;=3000,1,IF($F279&lt;=5000,5,IF($F279&lt;=30000,10,IF($F279&lt;=50000,50,IF($F279&lt;=300000,100,500))))),0))</f>
      </c>
      <c r="N279" s="598" t="str">
        <f>IF($F279="","",$F279*IF($C279="売",1+V811設定!$B$3,1-V811設定!$B$3)-MOD($F279*IF($C279="売",1+V811設定!$B$3,1-V811設定!$B$3),IF($F279&lt;=3000,1,IF($F279&lt;=5000,5,IF($F279&lt;=30000,10,IF($F279&lt;=50000,50,IF($F279&lt;=300000,100,500))))))+IF(AND($C279="売",MOD($F279*IF($C279="売",1+V811設定!$B$3,1-V811設定!$B$3),IF($F279&lt;=3000,1,IF($F279&lt;=5000,5,IF($F279&lt;=30000,10,IF($F279&lt;=50000,50,IF($F279&lt;=300000,100,500))))))&gt;0),IF($F279&lt;=3000,1,IF($F279&lt;=5000,5,IF($F279&lt;=30000,10,IF($F279&lt;=50000,50,IF($F279&lt;=300000,100,500))))),0))</f>
      </c>
      <c r="O279" s="478" t="str">
        <f>IF(OR($B279="",$F279="",$H279=""),"",IF($S279="✅売却済","―決済済―",IF($C279="売",IF($H279&lt;=$M279,"🟢利確",IF(AND($R279&lt;&gt;"",$H279&gt;=$R279),"🟠TRAIL",IF($H279&gt;=$N279,"🔴損切",IF($W279&gt;=V811設定!$B$6,"⏱時間決済",IF($H279&gt;=$F279*(1+V811設定!$B$3*0.7),"⚠️損切接近","保持継続"))))),IF($H279&gt;=$M279,"🟢利確",IF(AND($R279&lt;&gt;"",$H279&lt;=$R279),"🟠TRAIL",IF($H279&lt;=$N279,"🔴損切",IF($W279&gt;=V811設定!$B$6,"⏱時間決済",IF($H279&lt;=$F279*(1-V811設定!$B$3*0.7),"⚠️損切接近","保持継続"))))))))</f>
      </c>
      <c r="P279" s="445"/>
      <c r="Q279" s="445"/>
      <c r="R279" s="480" t="str">
        <f>IF(OR($F279="",$H279="",$N279=""),"",IF($S279="✅売却済","",IF($C279="売",IF($H279&gt;$F279*(1-V811設定!$B$3),$N279,MIN($N279,IF($Q279="",$N279,$Q279*1.03))),IF($H279&lt;$F279*(1+V811設定!$B$3),$N279,MAX($N279,IF($P279="",$N279,$P279*0.97))))))</f>
      </c>
      <c r="S279" s="480" t="str">
        <f>IF(B279="","",IF(T279&lt;&gt;"","✅売却済",IF(OR(H279="",L279=""),"📌保有中",IF(L279&gt;=0.06,"🟢利確推奨",IF(L279&gt;=0.05,"🟡利確直近",IF(L279&gt;=0.045,"🔵トレーリング検討",IF(L279&gt;-0.03,"📌保有中",IF(L279&gt;-0.04,"⚠️損切注意","🔴損切り"))))))))</f>
        <v/>
      </c>
      <c r="T279" s="596"/>
      <c r="U279" s="598"/>
      <c r="V279" s="703" t="str">
        <f>IF(OR(F279="",G279="",U279=""),"",IF(C279="売",(F279-U279)*G279,(U279-F279)*G279))</f>
        <v/>
      </c>
      <c r="W279" s="480" t="str">
        <f>IF(OR($E279="",$B279=""),"",IF($T279&lt;&gt;"",$T279-$E279,TODAY()-$E279)+1)</f>
        <v/>
      </c>
      <c r="X279" s="480" t="str">
        <f>IF(OR($AH279="",$AH279="保有中"),"",$AH279)</f>
        <v/>
      </c>
      <c r="Y279" s="488"/>
      <c r="Z279" s="710"/>
      <c r="AD279" s="608"/>
      <c r="AE279" s="600" t="str">
        <f>IF($E279="","",WORKDAY($E279,12))</f>
        <v/>
      </c>
      <c r="AF279" s="600" t="str" cm="1">
        <f t="array" aca="1" ref="AF279" ca="1">IF(OR($B279="",$M279=""),"",IFERROR(IF($C279="売",_xlfn.MINIFS(安値!$E$3:$IT$3,安値!$E$3:$IT$3,"&gt;"&amp;$E279,安値!$E$3:$IT$3,"&lt;="&amp;$AE279,OFFSET(安値!$E$6:$IT$6,MATCH(TEXT($B279,"0"),TEXT(銘柄管理!$B$6:$B$305,"0"),0)-1,0),"&lt;="&amp;$M279),_xlfn.MINIFS(高値!$E$3:$IT$3,高値!$E$3:$IT$3,"&gt;"&amp;$E279,高値!$E$3:$IT$3,"&lt;="&amp;$AE279,OFFSET(高値!$E$6:$IT$6,MATCH(TEXT($B279,"0"),TEXT(銘柄管理!$B$6:$B$305,"0"),0)-1,0),"&gt;="&amp;$M279)),""))</f>
        <v/>
      </c>
      <c r="AG279" s="600" t="str" cm="1">
        <f t="array" aca="1" ref="AG279" ca="1">IF(OR($B279="",$N279=""),"",IFERROR(IF($C279="売",_xlfn.MINIFS(高値!$E$3:$IT$3,高値!$E$3:$IT$3,"&gt;"&amp;$E279,高値!$E$3:$IT$3,"&lt;="&amp;$AE279,OFFSET(高値!$E$6:$IT$6,MATCH(TEXT($B279,"0"),TEXT(銘柄管理!$B$6:$B$305,"0"),0)-1,0),"&gt;="&amp;$N279),_xlfn.MINIFS(安値!$E$3:$IT$3,安値!$E$3:$IT$3,"&gt;"&amp;$E279,安値!$E$3:$IT$3,"&lt;="&amp;$AE279,OFFSET(安値!$E$6:$IT$6,MATCH(TEXT($B279,"0"),TEXT(銘柄管理!$B$6:$B$305,"0"),0)-1,0),"&lt;="&amp;$N279)),""))</f>
        <v/>
      </c>
      <c r="AH279" s="600" t="str">
        <f>IF(OR($B279="",$M279=""),"",IF(AND(N($AF279)=0,N($AG279)=0),IF(AND(ISNUMBER($H279),$H279&gt;0,IF($C279="売",$H279&gt;=$N279,$H279&lt;=$N279)),"損切確定",IF(AND(ISNUMBER($H279),$H279&gt;0,IF($C279="売",$H279&lt;=$M279,$H279&gt;=$M279)),"利益確定",IF($AE279&lt;=TODAY(),"日数制限","保有中"))),IF(N($AG279)=0,"利益確定",IF(N($AF279)=0,"損切確定",IF($AG279&lt;=$AF279,"損切確定","利益確定")))))</f>
        <v/>
      </c>
      <c r="AI279" s="600" t="str" cm="1">
        <f t="array" ref="AI279">IFERROR(INDEX(始値!$E$6:$IT$305,MATCH(TEXT($B279,"0"),TEXT(銘柄管理!$B$6:$B$305,"0"),0),MATCH($AE279,始値!$E$3:$IT$3,0)),"")</f>
        <v/>
      </c>
      <c r="AJ279" s="608" t="str">
        <f>IF(OR($V279="",$F279="",$G279=""),"",$V279/($F279*$G279))</f>
        <v/>
      </c>
      <c r="AK279" s="600" t="str">
        <f>IF($V279="","",IF($V279&gt;0,"○勝",IF($V279&lt;0,"●負","△引分")))</f>
        <v/>
      </c>
    </row>
    <row r="280" spans="1:37" ht="17.25" customHeight="1">
      <c r="A280" s="621" t="str">
        <f>IF(B280="","",HYPERLINK("https://kabutan.jp/stock/?code="&amp;B280,"株探"))</f>
        <v/>
      </c>
      <c r="B280" s="480"/>
      <c r="C280" s="480"/>
      <c r="D280" s="480" t="str" cm="1">
        <f t="array" ref="D280">_xll.RssMarket(B280, "銘柄名称")</f>
        <v/>
      </c>
      <c r="E280" s="717"/>
      <c r="F280" s="698" t="str" cm="1">
        <f t="array" aca="1" ref="F280" ca="1">IFERROR(_xlfn.LET(_xlpm.r,MATCH(TEXT($B280,"0"),TEXT(銘柄管理!$B$6:$B$305,"0"),0),_xlpm.t,MOD(NOW(),1),_xlpm.c,IF($E280=TODAY(),IF(_xlpm.t&gt;=TIME(15,30,0),NA(),1),IF(MATCH($E280,始値!$E$3:$IT$3,0)=1,1,MATCH($E280,始値!$E$3:$IT$3,0)+1)),_xlpm.v,INDEX(始値!$C$6:$IT$305,_xlpm.r,_xlpm.c),IF(N(_xlpm.v)=0,"",_xlpm.v)),"")</f>
        <v/>
      </c>
      <c r="G280" s="480"/>
      <c r="H280" s="480" t="str" cm="1">
        <f t="array" ref="H280">_xll.RssMarket(B280, "現在値")</f>
        <v/>
      </c>
      <c r="I280" s="480" t="str" cm="1">
        <f t="array" ref="I280">_xll.RssMarket(B280, "出来高加重平均")</f>
        <v/>
      </c>
      <c r="J280" s="702" t="str" cm="1">
        <f t="array" ref="J280">_xll.RssMarket($B280, "前日比")</f>
        <v/>
      </c>
      <c r="K280" s="703" t="str">
        <f>IF(OR(F280="",G280="",H280=""),"",IF(C280="売",(F280-H280)*G280,(H280-F280)*G280))</f>
        <v/>
      </c>
      <c r="L280" s="708" t="str">
        <f>IF(OR(F280="",H280=""),"",IF(C280="売",(F280-H280)/F280,(H280-F280)/F280))</f>
        <v/>
      </c>
      <c r="M280" s="598" t="str">
        <f>IF($F280="","",$F280*IF($C280="売",1-V811設定!$B$4,1+V811設定!$B$4)-MOD($F280*IF($C280="売",1-V811設定!$B$4,1+V811設定!$B$4),IF($F280&lt;=3000,1,IF($F280&lt;=5000,5,IF($F280&lt;=30000,10,IF($F280&lt;=50000,50,IF($F280&lt;=300000,100,500))))))+IF(AND($C280="売",MOD($F280*IF($C280="売",1-V811設定!$B$4,1+V811設定!$B$4),IF($F280&lt;=3000,1,IF($F280&lt;=5000,5,IF($F280&lt;=30000,10,IF($F280&lt;=50000,50,IF($F280&lt;=300000,100,500))))))&gt;0),IF($F280&lt;=3000,1,IF($F280&lt;=5000,5,IF($F280&lt;=30000,10,IF($F280&lt;=50000,50,IF($F280&lt;=300000,100,500))))),0))</f>
      </c>
      <c r="N280" s="598" t="str">
        <f>IF($F280="","",$F280*IF($C280="売",1+V811設定!$B$3,1-V811設定!$B$3)-MOD($F280*IF($C280="売",1+V811設定!$B$3,1-V811設定!$B$3),IF($F280&lt;=3000,1,IF($F280&lt;=5000,5,IF($F280&lt;=30000,10,IF($F280&lt;=50000,50,IF($F280&lt;=300000,100,500))))))+IF(AND($C280="売",MOD($F280*IF($C280="売",1+V811設定!$B$3,1-V811設定!$B$3),IF($F280&lt;=3000,1,IF($F280&lt;=5000,5,IF($F280&lt;=30000,10,IF($F280&lt;=50000,50,IF($F280&lt;=300000,100,500))))))&gt;0),IF($F280&lt;=3000,1,IF($F280&lt;=5000,5,IF($F280&lt;=30000,10,IF($F280&lt;=50000,50,IF($F280&lt;=300000,100,500))))),0))</f>
      </c>
      <c r="O280" s="478" t="str">
        <f>IF(OR($B280="",$F280="",$H280=""),"",IF($S280="✅売却済","―決済済―",IF($C280="売",IF($H280&lt;=$M280,"🟢利確",IF(AND($R280&lt;&gt;"",$H280&gt;=$R280),"🟠TRAIL",IF($H280&gt;=$N280,"🔴損切",IF($W280&gt;=V811設定!$B$6,"⏱時間決済",IF($H280&gt;=$F280*(1+V811設定!$B$3*0.7),"⚠️損切接近","保持継続"))))),IF($H280&gt;=$M280,"🟢利確",IF(AND($R280&lt;&gt;"",$H280&lt;=$R280),"🟠TRAIL",IF($H280&lt;=$N280,"🔴損切",IF($W280&gt;=V811設定!$B$6,"⏱時間決済",IF($H280&lt;=$F280*(1-V811設定!$B$3*0.7),"⚠️損切接近","保持継続"))))))))</f>
      </c>
      <c r="P280" s="445"/>
      <c r="Q280" s="445"/>
      <c r="R280" s="480" t="str">
        <f>IF(OR($F280="",$H280="",$N280=""),"",IF($S280="✅売却済","",IF($C280="売",IF($H280&gt;$F280*(1-V811設定!$B$3),$N280,MIN($N280,IF($Q280="",$N280,$Q280*1.03))),IF($H280&lt;$F280*(1+V811設定!$B$3),$N280,MAX($N280,IF($P280="",$N280,$P280*0.97))))))</f>
      </c>
      <c r="S280" s="480" t="str">
        <f>IF(B280="","",IF(T280&lt;&gt;"","✅売却済",IF(OR(H280="",L280=""),"📌保有中",IF(L280&gt;=0.06,"🟢利確推奨",IF(L280&gt;=0.05,"🟡利確直近",IF(L280&gt;=0.045,"🔵トレーリング検討",IF(L280&gt;-0.03,"📌保有中",IF(L280&gt;-0.04,"⚠️損切注意","🔴損切り"))))))))</f>
        <v/>
      </c>
      <c r="T280" s="596"/>
      <c r="U280" s="598"/>
      <c r="V280" s="703" t="str">
        <f>IF(OR(F280="",G280="",U280=""),"",IF(C280="売",(F280-U280)*G280,(U280-F280)*G280))</f>
        <v/>
      </c>
      <c r="W280" s="480" t="str">
        <f>IF(OR($E280="",$B280=""),"",IF($T280&lt;&gt;"",$T280-$E280,TODAY()-$E280)+1)</f>
        <v/>
      </c>
      <c r="X280" s="480" t="str">
        <f>IF(OR($AH280="",$AH280="保有中"),"",$AH280)</f>
        <v/>
      </c>
      <c r="Y280" s="488"/>
      <c r="Z280" s="710"/>
      <c r="AD280" s="608"/>
      <c r="AE280" s="600" t="str">
        <f>IF($E280="","",WORKDAY($E280,12))</f>
        <v/>
      </c>
      <c r="AF280" s="600" t="str" cm="1">
        <f t="array" aca="1" ref="AF280" ca="1">IF(OR($B280="",$M280=""),"",IFERROR(IF($C280="売",_xlfn.MINIFS(安値!$E$3:$IT$3,安値!$E$3:$IT$3,"&gt;"&amp;$E280,安値!$E$3:$IT$3,"&lt;="&amp;$AE280,OFFSET(安値!$E$6:$IT$6,MATCH(TEXT($B280,"0"),TEXT(銘柄管理!$B$6:$B$305,"0"),0)-1,0),"&lt;="&amp;$M280),_xlfn.MINIFS(高値!$E$3:$IT$3,高値!$E$3:$IT$3,"&gt;"&amp;$E280,高値!$E$3:$IT$3,"&lt;="&amp;$AE280,OFFSET(高値!$E$6:$IT$6,MATCH(TEXT($B280,"0"),TEXT(銘柄管理!$B$6:$B$305,"0"),0)-1,0),"&gt;="&amp;$M280)),""))</f>
        <v/>
      </c>
      <c r="AG280" s="600" t="str" cm="1">
        <f t="array" aca="1" ref="AG280" ca="1">IF(OR($B280="",$N280=""),"",IFERROR(IF($C280="売",_xlfn.MINIFS(高値!$E$3:$IT$3,高値!$E$3:$IT$3,"&gt;"&amp;$E280,高値!$E$3:$IT$3,"&lt;="&amp;$AE280,OFFSET(高値!$E$6:$IT$6,MATCH(TEXT($B280,"0"),TEXT(銘柄管理!$B$6:$B$305,"0"),0)-1,0),"&gt;="&amp;$N280),_xlfn.MINIFS(安値!$E$3:$IT$3,安値!$E$3:$IT$3,"&gt;"&amp;$E280,安値!$E$3:$IT$3,"&lt;="&amp;$AE280,OFFSET(安値!$E$6:$IT$6,MATCH(TEXT($B280,"0"),TEXT(銘柄管理!$B$6:$B$305,"0"),0)-1,0),"&lt;="&amp;$N280)),""))</f>
        <v/>
      </c>
      <c r="AH280" s="600" t="str">
        <f>IF(OR($B280="",$M280=""),"",IF(AND(N($AF280)=0,N($AG280)=0),IF(AND(ISNUMBER($H280),$H280&gt;0,IF($C280="売",$H280&gt;=$N280,$H280&lt;=$N280)),"損切確定",IF(AND(ISNUMBER($H280),$H280&gt;0,IF($C280="売",$H280&lt;=$M280,$H280&gt;=$M280)),"利益確定",IF($AE280&lt;=TODAY(),"日数制限","保有中"))),IF(N($AG280)=0,"利益確定",IF(N($AF280)=0,"損切確定",IF($AG280&lt;=$AF280,"損切確定","利益確定")))))</f>
        <v/>
      </c>
      <c r="AI280" s="600" t="str" cm="1">
        <f t="array" ref="AI280">IFERROR(INDEX(始値!$E$6:$IT$305,MATCH(TEXT($B280,"0"),TEXT(銘柄管理!$B$6:$B$305,"0"),0),MATCH($AE280,始値!$E$3:$IT$3,0)),"")</f>
        <v/>
      </c>
      <c r="AJ280" s="608" t="str">
        <f>IF(OR($V280="",$F280="",$G280=""),"",$V280/($F280*$G280))</f>
        <v/>
      </c>
      <c r="AK280" s="600" t="str">
        <f>IF($V280="","",IF($V280&gt;0,"○勝",IF($V280&lt;0,"●負","△引分")))</f>
        <v/>
      </c>
    </row>
    <row r="281" spans="1:37" ht="17.25" customHeight="1">
      <c r="A281" s="621" t="str">
        <f>IF(B281="","",HYPERLINK("https://kabutan.jp/stock/?code="&amp;B281,"株探"))</f>
        <v/>
      </c>
      <c r="B281" s="480"/>
      <c r="C281" s="480"/>
      <c r="D281" s="480" t="str" cm="1">
        <f t="array" ref="D281">_xll.RssMarket(B281, "銘柄名称")</f>
        <v/>
      </c>
      <c r="E281" s="717"/>
      <c r="F281" s="698" t="str" cm="1">
        <f t="array" aca="1" ref="F281" ca="1">IFERROR(_xlfn.LET(_xlpm.r,MATCH(TEXT($B281,"0"),TEXT(銘柄管理!$B$6:$B$305,"0"),0),_xlpm.t,MOD(NOW(),1),_xlpm.c,IF($E281=TODAY(),IF(_xlpm.t&gt;=TIME(15,30,0),NA(),1),IF(MATCH($E281,始値!$E$3:$IT$3,0)=1,1,MATCH($E281,始値!$E$3:$IT$3,0)+1)),_xlpm.v,INDEX(始値!$C$6:$IT$305,_xlpm.r,_xlpm.c),IF(N(_xlpm.v)=0,"",_xlpm.v)),"")</f>
        <v/>
      </c>
      <c r="G281" s="480"/>
      <c r="H281" s="480" t="str" cm="1">
        <f t="array" ref="H281">_xll.RssMarket(B281, "現在値")</f>
        <v/>
      </c>
      <c r="I281" s="480" t="str" cm="1">
        <f t="array" ref="I281">_xll.RssMarket(B281, "出来高加重平均")</f>
        <v/>
      </c>
      <c r="J281" s="702" t="str" cm="1">
        <f t="array" ref="J281">_xll.RssMarket($B281, "前日比")</f>
        <v/>
      </c>
      <c r="K281" s="703" t="str">
        <f>IF(OR(F281="",G281="",H281=""),"",IF(C281="売",(F281-H281)*G281,(H281-F281)*G281))</f>
        <v/>
      </c>
      <c r="L281" s="708" t="str">
        <f>IF(OR(F281="",H281=""),"",IF(C281="売",(F281-H281)/F281,(H281-F281)/F281))</f>
        <v/>
      </c>
      <c r="M281" s="598" t="str">
        <f>IF($F281="","",$F281*IF($C281="売",1-V811設定!$B$4,1+V811設定!$B$4)-MOD($F281*IF($C281="売",1-V811設定!$B$4,1+V811設定!$B$4),IF($F281&lt;=3000,1,IF($F281&lt;=5000,5,IF($F281&lt;=30000,10,IF($F281&lt;=50000,50,IF($F281&lt;=300000,100,500))))))+IF(AND($C281="売",MOD($F281*IF($C281="売",1-V811設定!$B$4,1+V811設定!$B$4),IF($F281&lt;=3000,1,IF($F281&lt;=5000,5,IF($F281&lt;=30000,10,IF($F281&lt;=50000,50,IF($F281&lt;=300000,100,500))))))&gt;0),IF($F281&lt;=3000,1,IF($F281&lt;=5000,5,IF($F281&lt;=30000,10,IF($F281&lt;=50000,50,IF($F281&lt;=300000,100,500))))),0))</f>
      </c>
      <c r="N281" s="598" t="str">
        <f>IF($F281="","",$F281*IF($C281="売",1+V811設定!$B$3,1-V811設定!$B$3)-MOD($F281*IF($C281="売",1+V811設定!$B$3,1-V811設定!$B$3),IF($F281&lt;=3000,1,IF($F281&lt;=5000,5,IF($F281&lt;=30000,10,IF($F281&lt;=50000,50,IF($F281&lt;=300000,100,500))))))+IF(AND($C281="売",MOD($F281*IF($C281="売",1+V811設定!$B$3,1-V811設定!$B$3),IF($F281&lt;=3000,1,IF($F281&lt;=5000,5,IF($F281&lt;=30000,10,IF($F281&lt;=50000,50,IF($F281&lt;=300000,100,500))))))&gt;0),IF($F281&lt;=3000,1,IF($F281&lt;=5000,5,IF($F281&lt;=30000,10,IF($F281&lt;=50000,50,IF($F281&lt;=300000,100,500))))),0))</f>
      </c>
      <c r="O281" s="478" t="str">
        <f>IF(OR($B281="",$F281="",$H281=""),"",IF($S281="✅売却済","―決済済―",IF($C281="売",IF($H281&lt;=$M281,"🟢利確",IF(AND($R281&lt;&gt;"",$H281&gt;=$R281),"🟠TRAIL",IF($H281&gt;=$N281,"🔴損切",IF($W281&gt;=V811設定!$B$6,"⏱時間決済",IF($H281&gt;=$F281*(1+V811設定!$B$3*0.7),"⚠️損切接近","保持継続"))))),IF($H281&gt;=$M281,"🟢利確",IF(AND($R281&lt;&gt;"",$H281&lt;=$R281),"🟠TRAIL",IF($H281&lt;=$N281,"🔴損切",IF($W281&gt;=V811設定!$B$6,"⏱時間決済",IF($H281&lt;=$F281*(1-V811設定!$B$3*0.7),"⚠️損切接近","保持継続"))))))))</f>
      </c>
      <c r="P281" s="445"/>
      <c r="Q281" s="445"/>
      <c r="R281" s="480" t="str">
        <f>IF(OR($F281="",$H281="",$N281=""),"",IF($S281="✅売却済","",IF($C281="売",IF($H281&gt;$F281*(1-V811設定!$B$3),$N281,MIN($N281,IF($Q281="",$N281,$Q281*1.03))),IF($H281&lt;$F281*(1+V811設定!$B$3),$N281,MAX($N281,IF($P281="",$N281,$P281*0.97))))))</f>
      </c>
      <c r="S281" s="480" t="str">
        <f>IF(B281="","",IF(T281&lt;&gt;"","✅売却済",IF(OR(H281="",L281=""),"📌保有中",IF(L281&gt;=0.06,"🟢利確推奨",IF(L281&gt;=0.05,"🟡利確直近",IF(L281&gt;=0.045,"🔵トレーリング検討",IF(L281&gt;-0.03,"📌保有中",IF(L281&gt;-0.04,"⚠️損切注意","🔴損切り"))))))))</f>
        <v/>
      </c>
      <c r="T281" s="596"/>
      <c r="U281" s="598"/>
      <c r="V281" s="703" t="str">
        <f>IF(OR(F281="",G281="",U281=""),"",IF(C281="売",(F281-U281)*G281,(U281-F281)*G281))</f>
        <v/>
      </c>
      <c r="W281" s="480" t="str">
        <f>IF(OR($E281="",$B281=""),"",IF($T281&lt;&gt;"",$T281-$E281,TODAY()-$E281)+1)</f>
        <v/>
      </c>
      <c r="X281" s="480" t="str">
        <f>IF(OR($AH281="",$AH281="保有中"),"",$AH281)</f>
        <v/>
      </c>
      <c r="Y281" s="488"/>
      <c r="Z281" s="710"/>
      <c r="AD281" s="608"/>
      <c r="AE281" s="600" t="str">
        <f>IF($E281="","",WORKDAY($E281,12))</f>
        <v/>
      </c>
      <c r="AF281" s="600" t="str" cm="1">
        <f t="array" aca="1" ref="AF281" ca="1">IF(OR($B281="",$M281=""),"",IFERROR(IF($C281="売",_xlfn.MINIFS(安値!$E$3:$IT$3,安値!$E$3:$IT$3,"&gt;"&amp;$E281,安値!$E$3:$IT$3,"&lt;="&amp;$AE281,OFFSET(安値!$E$6:$IT$6,MATCH(TEXT($B281,"0"),TEXT(銘柄管理!$B$6:$B$305,"0"),0)-1,0),"&lt;="&amp;$M281),_xlfn.MINIFS(高値!$E$3:$IT$3,高値!$E$3:$IT$3,"&gt;"&amp;$E281,高値!$E$3:$IT$3,"&lt;="&amp;$AE281,OFFSET(高値!$E$6:$IT$6,MATCH(TEXT($B281,"0"),TEXT(銘柄管理!$B$6:$B$305,"0"),0)-1,0),"&gt;="&amp;$M281)),""))</f>
        <v/>
      </c>
      <c r="AG281" s="600" t="str" cm="1">
        <f t="array" aca="1" ref="AG281" ca="1">IF(OR($B281="",$N281=""),"",IFERROR(IF($C281="売",_xlfn.MINIFS(高値!$E$3:$IT$3,高値!$E$3:$IT$3,"&gt;"&amp;$E281,高値!$E$3:$IT$3,"&lt;="&amp;$AE281,OFFSET(高値!$E$6:$IT$6,MATCH(TEXT($B281,"0"),TEXT(銘柄管理!$B$6:$B$305,"0"),0)-1,0),"&gt;="&amp;$N281),_xlfn.MINIFS(安値!$E$3:$IT$3,安値!$E$3:$IT$3,"&gt;"&amp;$E281,安値!$E$3:$IT$3,"&lt;="&amp;$AE281,OFFSET(安値!$E$6:$IT$6,MATCH(TEXT($B281,"0"),TEXT(銘柄管理!$B$6:$B$305,"0"),0)-1,0),"&lt;="&amp;$N281)),""))</f>
        <v/>
      </c>
      <c r="AH281" s="600" t="str">
        <f>IF(OR($B281="",$M281=""),"",IF(AND(N($AF281)=0,N($AG281)=0),IF(AND(ISNUMBER($H281),$H281&gt;0,IF($C281="売",$H281&gt;=$N281,$H281&lt;=$N281)),"損切確定",IF(AND(ISNUMBER($H281),$H281&gt;0,IF($C281="売",$H281&lt;=$M281,$H281&gt;=$M281)),"利益確定",IF($AE281&lt;=TODAY(),"日数制限","保有中"))),IF(N($AG281)=0,"利益確定",IF(N($AF281)=0,"損切確定",IF($AG281&lt;=$AF281,"損切確定","利益確定")))))</f>
        <v/>
      </c>
      <c r="AI281" s="600" t="str" cm="1">
        <f t="array" ref="AI281">IFERROR(INDEX(始値!$E$6:$IT$305,MATCH(TEXT($B281,"0"),TEXT(銘柄管理!$B$6:$B$305,"0"),0),MATCH($AE281,始値!$E$3:$IT$3,0)),"")</f>
        <v/>
      </c>
      <c r="AJ281" s="608" t="str">
        <f>IF(OR($V281="",$F281="",$G281=""),"",$V281/($F281*$G281))</f>
        <v/>
      </c>
      <c r="AK281" s="600" t="str">
        <f>IF($V281="","",IF($V281&gt;0,"○勝",IF($V281&lt;0,"●負","△引分")))</f>
        <v/>
      </c>
    </row>
    <row r="282" spans="1:37" ht="17.25" customHeight="1">
      <c r="A282" s="621" t="str">
        <f>IF(B282="","",HYPERLINK("https://kabutan.jp/stock/?code="&amp;B282,"株探"))</f>
        <v/>
      </c>
      <c r="B282" s="480"/>
      <c r="C282" s="480"/>
      <c r="D282" s="480" t="str" cm="1">
        <f t="array" ref="D282">_xll.RssMarket(B282, "銘柄名称")</f>
        <v/>
      </c>
      <c r="E282" s="717"/>
      <c r="F282" s="698" t="str" cm="1">
        <f t="array" aca="1" ref="F282" ca="1">IFERROR(_xlfn.LET(_xlpm.r,MATCH(TEXT($B282,"0"),TEXT(銘柄管理!$B$6:$B$305,"0"),0),_xlpm.t,MOD(NOW(),1),_xlpm.c,IF($E282=TODAY(),IF(_xlpm.t&gt;=TIME(15,30,0),NA(),1),IF(MATCH($E282,始値!$E$3:$IT$3,0)=1,1,MATCH($E282,始値!$E$3:$IT$3,0)+1)),_xlpm.v,INDEX(始値!$C$6:$IT$305,_xlpm.r,_xlpm.c),IF(N(_xlpm.v)=0,"",_xlpm.v)),"")</f>
        <v/>
      </c>
      <c r="G282" s="480"/>
      <c r="H282" s="480" t="str" cm="1">
        <f t="array" ref="H282">_xll.RssMarket(B282, "現在値")</f>
        <v/>
      </c>
      <c r="I282" s="480" t="str" cm="1">
        <f t="array" ref="I282">_xll.RssMarket(B282, "出来高加重平均")</f>
        <v/>
      </c>
      <c r="J282" s="702" t="str" cm="1">
        <f t="array" ref="J282">_xll.RssMarket($B282, "前日比")</f>
        <v/>
      </c>
      <c r="K282" s="703" t="str">
        <f>IF(OR(F282="",G282="",H282=""),"",IF(C282="売",(F282-H282)*G282,(H282-F282)*G282))</f>
        <v/>
      </c>
      <c r="L282" s="708" t="str">
        <f>IF(OR(F282="",H282=""),"",IF(C282="売",(F282-H282)/F282,(H282-F282)/F282))</f>
        <v/>
      </c>
      <c r="M282" s="598" t="str">
        <f>IF($F282="","",$F282*IF($C282="売",1-V811設定!$B$4,1+V811設定!$B$4)-MOD($F282*IF($C282="売",1-V811設定!$B$4,1+V811設定!$B$4),IF($F282&lt;=3000,1,IF($F282&lt;=5000,5,IF($F282&lt;=30000,10,IF($F282&lt;=50000,50,IF($F282&lt;=300000,100,500))))))+IF(AND($C282="売",MOD($F282*IF($C282="売",1-V811設定!$B$4,1+V811設定!$B$4),IF($F282&lt;=3000,1,IF($F282&lt;=5000,5,IF($F282&lt;=30000,10,IF($F282&lt;=50000,50,IF($F282&lt;=300000,100,500))))))&gt;0),IF($F282&lt;=3000,1,IF($F282&lt;=5000,5,IF($F282&lt;=30000,10,IF($F282&lt;=50000,50,IF($F282&lt;=300000,100,500))))),0))</f>
      </c>
      <c r="N282" s="598" t="str">
        <f>IF($F282="","",$F282*IF($C282="売",1+V811設定!$B$3,1-V811設定!$B$3)-MOD($F282*IF($C282="売",1+V811設定!$B$3,1-V811設定!$B$3),IF($F282&lt;=3000,1,IF($F282&lt;=5000,5,IF($F282&lt;=30000,10,IF($F282&lt;=50000,50,IF($F282&lt;=300000,100,500))))))+IF(AND($C282="売",MOD($F282*IF($C282="売",1+V811設定!$B$3,1-V811設定!$B$3),IF($F282&lt;=3000,1,IF($F282&lt;=5000,5,IF($F282&lt;=30000,10,IF($F282&lt;=50000,50,IF($F282&lt;=300000,100,500))))))&gt;0),IF($F282&lt;=3000,1,IF($F282&lt;=5000,5,IF($F282&lt;=30000,10,IF($F282&lt;=50000,50,IF($F282&lt;=300000,100,500))))),0))</f>
      </c>
      <c r="O282" s="478" t="str">
        <f>IF(OR($B282="",$F282="",$H282=""),"",IF($S282="✅売却済","―決済済―",IF($C282="売",IF($H282&lt;=$M282,"🟢利確",IF(AND($R282&lt;&gt;"",$H282&gt;=$R282),"🟠TRAIL",IF($H282&gt;=$N282,"🔴損切",IF($W282&gt;=V811設定!$B$6,"⏱時間決済",IF($H282&gt;=$F282*(1+V811設定!$B$3*0.7),"⚠️損切接近","保持継続"))))),IF($H282&gt;=$M282,"🟢利確",IF(AND($R282&lt;&gt;"",$H282&lt;=$R282),"🟠TRAIL",IF($H282&lt;=$N282,"🔴損切",IF($W282&gt;=V811設定!$B$6,"⏱時間決済",IF($H282&lt;=$F282*(1-V811設定!$B$3*0.7),"⚠️損切接近","保持継続"))))))))</f>
      </c>
      <c r="P282" s="445"/>
      <c r="Q282" s="445"/>
      <c r="R282" s="480" t="str">
        <f>IF(OR($F282="",$H282="",$N282=""),"",IF($S282="✅売却済","",IF($C282="売",IF($H282&gt;$F282*(1-V811設定!$B$3),$N282,MIN($N282,IF($Q282="",$N282,$Q282*1.03))),IF($H282&lt;$F282*(1+V811設定!$B$3),$N282,MAX($N282,IF($P282="",$N282,$P282*0.97))))))</f>
      </c>
      <c r="S282" s="480" t="str">
        <f>IF(B282="","",IF(T282&lt;&gt;"","✅売却済",IF(OR(H282="",L282=""),"📌保有中",IF(L282&gt;=0.06,"🟢利確推奨",IF(L282&gt;=0.05,"🟡利確直近",IF(L282&gt;=0.045,"🔵トレーリング検討",IF(L282&gt;-0.03,"📌保有中",IF(L282&gt;-0.04,"⚠️損切注意","🔴損切り"))))))))</f>
        <v/>
      </c>
      <c r="T282" s="596"/>
      <c r="U282" s="598"/>
      <c r="V282" s="703" t="str">
        <f>IF(OR(F282="",G282="",U282=""),"",IF(C282="売",(F282-U282)*G282,(U282-F282)*G282))</f>
        <v/>
      </c>
      <c r="W282" s="480" t="str">
        <f>IF(OR($E282="",$B282=""),"",IF($T282&lt;&gt;"",$T282-$E282,TODAY()-$E282)+1)</f>
        <v/>
      </c>
      <c r="X282" s="480" t="str">
        <f>IF(OR($AH282="",$AH282="保有中"),"",$AH282)</f>
        <v/>
      </c>
      <c r="Y282" s="488"/>
      <c r="Z282" s="710"/>
      <c r="AD282" s="608"/>
      <c r="AE282" s="600" t="str">
        <f>IF($E282="","",WORKDAY($E282,12))</f>
        <v/>
      </c>
      <c r="AF282" s="600" t="str" cm="1">
        <f t="array" aca="1" ref="AF282" ca="1">IF(OR($B282="",$M282=""),"",IFERROR(IF($C282="売",_xlfn.MINIFS(安値!$E$3:$IT$3,安値!$E$3:$IT$3,"&gt;"&amp;$E282,安値!$E$3:$IT$3,"&lt;="&amp;$AE282,OFFSET(安値!$E$6:$IT$6,MATCH(TEXT($B282,"0"),TEXT(銘柄管理!$B$6:$B$305,"0"),0)-1,0),"&lt;="&amp;$M282),_xlfn.MINIFS(高値!$E$3:$IT$3,高値!$E$3:$IT$3,"&gt;"&amp;$E282,高値!$E$3:$IT$3,"&lt;="&amp;$AE282,OFFSET(高値!$E$6:$IT$6,MATCH(TEXT($B282,"0"),TEXT(銘柄管理!$B$6:$B$305,"0"),0)-1,0),"&gt;="&amp;$M282)),""))</f>
        <v/>
      </c>
      <c r="AG282" s="600" t="str" cm="1">
        <f t="array" aca="1" ref="AG282" ca="1">IF(OR($B282="",$N282=""),"",IFERROR(IF($C282="売",_xlfn.MINIFS(高値!$E$3:$IT$3,高値!$E$3:$IT$3,"&gt;"&amp;$E282,高値!$E$3:$IT$3,"&lt;="&amp;$AE282,OFFSET(高値!$E$6:$IT$6,MATCH(TEXT($B282,"0"),TEXT(銘柄管理!$B$6:$B$305,"0"),0)-1,0),"&gt;="&amp;$N282),_xlfn.MINIFS(安値!$E$3:$IT$3,安値!$E$3:$IT$3,"&gt;"&amp;$E282,安値!$E$3:$IT$3,"&lt;="&amp;$AE282,OFFSET(安値!$E$6:$IT$6,MATCH(TEXT($B282,"0"),TEXT(銘柄管理!$B$6:$B$305,"0"),0)-1,0),"&lt;="&amp;$N282)),""))</f>
        <v/>
      </c>
      <c r="AH282" s="600" t="str">
        <f>IF(OR($B282="",$M282=""),"",IF(AND(N($AF282)=0,N($AG282)=0),IF(AND(ISNUMBER($H282),$H282&gt;0,IF($C282="売",$H282&gt;=$N282,$H282&lt;=$N282)),"損切確定",IF(AND(ISNUMBER($H282),$H282&gt;0,IF($C282="売",$H282&lt;=$M282,$H282&gt;=$M282)),"利益確定",IF($AE282&lt;=TODAY(),"日数制限","保有中"))),IF(N($AG282)=0,"利益確定",IF(N($AF282)=0,"損切確定",IF($AG282&lt;=$AF282,"損切確定","利益確定")))))</f>
        <v/>
      </c>
      <c r="AI282" s="600" t="str" cm="1">
        <f t="array" ref="AI282">IFERROR(INDEX(始値!$E$6:$IT$305,MATCH(TEXT($B282,"0"),TEXT(銘柄管理!$B$6:$B$305,"0"),0),MATCH($AE282,始値!$E$3:$IT$3,0)),"")</f>
        <v/>
      </c>
      <c r="AJ282" s="608" t="str">
        <f>IF(OR($V282="",$F282="",$G282=""),"",$V282/($F282*$G282))</f>
        <v/>
      </c>
      <c r="AK282" s="600" t="str">
        <f>IF($V282="","",IF($V282&gt;0,"○勝",IF($V282&lt;0,"●負","△引分")))</f>
        <v/>
      </c>
    </row>
    <row r="283" spans="1:37" ht="17.25" customHeight="1">
      <c r="A283" s="621" t="str">
        <f>IF(B283="","",HYPERLINK("https://kabutan.jp/stock/?code="&amp;B283,"株探"))</f>
        <v/>
      </c>
      <c r="B283" s="480"/>
      <c r="C283" s="480"/>
      <c r="D283" s="480" t="str" cm="1">
        <f t="array" ref="D283">_xll.RssMarket(B283, "銘柄名称")</f>
        <v/>
      </c>
      <c r="E283" s="717"/>
      <c r="F283" s="698" t="str" cm="1">
        <f t="array" aca="1" ref="F283" ca="1">IFERROR(_xlfn.LET(_xlpm.r,MATCH(TEXT($B283,"0"),TEXT(銘柄管理!$B$6:$B$305,"0"),0),_xlpm.t,MOD(NOW(),1),_xlpm.c,IF($E283=TODAY(),IF(_xlpm.t&gt;=TIME(15,30,0),NA(),1),IF(MATCH($E283,始値!$E$3:$IT$3,0)=1,1,MATCH($E283,始値!$E$3:$IT$3,0)+1)),_xlpm.v,INDEX(始値!$C$6:$IT$305,_xlpm.r,_xlpm.c),IF(N(_xlpm.v)=0,"",_xlpm.v)),"")</f>
        <v/>
      </c>
      <c r="G283" s="480"/>
      <c r="H283" s="480" t="str" cm="1">
        <f t="array" ref="H283">_xll.RssMarket(B283, "現在値")</f>
        <v/>
      </c>
      <c r="I283" s="480" t="str" cm="1">
        <f t="array" ref="I283">_xll.RssMarket(B283, "出来高加重平均")</f>
        <v/>
      </c>
      <c r="J283" s="702" t="str" cm="1">
        <f t="array" ref="J283">_xll.RssMarket($B283, "前日比")</f>
        <v/>
      </c>
      <c r="K283" s="703" t="str">
        <f>IF(OR(F283="",G283="",H283=""),"",IF(C283="売",(F283-H283)*G283,(H283-F283)*G283))</f>
        <v/>
      </c>
      <c r="L283" s="708" t="str">
        <f>IF(OR(F283="",H283=""),"",IF(C283="売",(F283-H283)/F283,(H283-F283)/F283))</f>
        <v/>
      </c>
      <c r="M283" s="598" t="str">
        <f>IF($F283="","",$F283*IF($C283="売",1-V811設定!$B$4,1+V811設定!$B$4)-MOD($F283*IF($C283="売",1-V811設定!$B$4,1+V811設定!$B$4),IF($F283&lt;=3000,1,IF($F283&lt;=5000,5,IF($F283&lt;=30000,10,IF($F283&lt;=50000,50,IF($F283&lt;=300000,100,500))))))+IF(AND($C283="売",MOD($F283*IF($C283="売",1-V811設定!$B$4,1+V811設定!$B$4),IF($F283&lt;=3000,1,IF($F283&lt;=5000,5,IF($F283&lt;=30000,10,IF($F283&lt;=50000,50,IF($F283&lt;=300000,100,500))))))&gt;0),IF($F283&lt;=3000,1,IF($F283&lt;=5000,5,IF($F283&lt;=30000,10,IF($F283&lt;=50000,50,IF($F283&lt;=300000,100,500))))),0))</f>
      </c>
      <c r="N283" s="598" t="str">
        <f>IF($F283="","",$F283*IF($C283="売",1+V811設定!$B$3,1-V811設定!$B$3)-MOD($F283*IF($C283="売",1+V811設定!$B$3,1-V811設定!$B$3),IF($F283&lt;=3000,1,IF($F283&lt;=5000,5,IF($F283&lt;=30000,10,IF($F283&lt;=50000,50,IF($F283&lt;=300000,100,500))))))+IF(AND($C283="売",MOD($F283*IF($C283="売",1+V811設定!$B$3,1-V811設定!$B$3),IF($F283&lt;=3000,1,IF($F283&lt;=5000,5,IF($F283&lt;=30000,10,IF($F283&lt;=50000,50,IF($F283&lt;=300000,100,500))))))&gt;0),IF($F283&lt;=3000,1,IF($F283&lt;=5000,5,IF($F283&lt;=30000,10,IF($F283&lt;=50000,50,IF($F283&lt;=300000,100,500))))),0))</f>
      </c>
      <c r="O283" s="478" t="str">
        <f>IF(OR($B283="",$F283="",$H283=""),"",IF($S283="✅売却済","―決済済―",IF($C283="売",IF($H283&lt;=$M283,"🟢利確",IF(AND($R283&lt;&gt;"",$H283&gt;=$R283),"🟠TRAIL",IF($H283&gt;=$N283,"🔴損切",IF($W283&gt;=V811設定!$B$6,"⏱時間決済",IF($H283&gt;=$F283*(1+V811設定!$B$3*0.7),"⚠️損切接近","保持継続"))))),IF($H283&gt;=$M283,"🟢利確",IF(AND($R283&lt;&gt;"",$H283&lt;=$R283),"🟠TRAIL",IF($H283&lt;=$N283,"🔴損切",IF($W283&gt;=V811設定!$B$6,"⏱時間決済",IF($H283&lt;=$F283*(1-V811設定!$B$3*0.7),"⚠️損切接近","保持継続"))))))))</f>
      </c>
      <c r="P283" s="445"/>
      <c r="Q283" s="445"/>
      <c r="R283" s="480" t="str">
        <f>IF(OR($F283="",$H283="",$N283=""),"",IF($S283="✅売却済","",IF($C283="売",IF($H283&gt;$F283*(1-V811設定!$B$3),$N283,MIN($N283,IF($Q283="",$N283,$Q283*1.03))),IF($H283&lt;$F283*(1+V811設定!$B$3),$N283,MAX($N283,IF($P283="",$N283,$P283*0.97))))))</f>
      </c>
      <c r="S283" s="480" t="str">
        <f>IF(B283="","",IF(T283&lt;&gt;"","✅売却済",IF(OR(H283="",L283=""),"📌保有中",IF(L283&gt;=0.06,"🟢利確推奨",IF(L283&gt;=0.05,"🟡利確直近",IF(L283&gt;=0.045,"🔵トレーリング検討",IF(L283&gt;-0.03,"📌保有中",IF(L283&gt;-0.04,"⚠️損切注意","🔴損切り"))))))))</f>
        <v/>
      </c>
      <c r="T283" s="596"/>
      <c r="U283" s="598"/>
      <c r="V283" s="703" t="str">
        <f>IF(OR(F283="",G283="",U283=""),"",IF(C283="売",(F283-U283)*G283,(U283-F283)*G283))</f>
        <v/>
      </c>
      <c r="W283" s="480" t="str">
        <f>IF(OR($E283="",$B283=""),"",IF($T283&lt;&gt;"",$T283-$E283,TODAY()-$E283)+1)</f>
        <v/>
      </c>
      <c r="X283" s="480" t="str">
        <f>IF(OR($AH283="",$AH283="保有中"),"",$AH283)</f>
        <v/>
      </c>
      <c r="Y283" s="488"/>
      <c r="Z283" s="710"/>
      <c r="AD283" s="608"/>
      <c r="AE283" s="600" t="str">
        <f>IF($E283="","",WORKDAY($E283,12))</f>
        <v/>
      </c>
      <c r="AF283" s="600" t="str" cm="1">
        <f t="array" aca="1" ref="AF283" ca="1">IF(OR($B283="",$M283=""),"",IFERROR(IF($C283="売",_xlfn.MINIFS(安値!$E$3:$IT$3,安値!$E$3:$IT$3,"&gt;"&amp;$E283,安値!$E$3:$IT$3,"&lt;="&amp;$AE283,OFFSET(安値!$E$6:$IT$6,MATCH(TEXT($B283,"0"),TEXT(銘柄管理!$B$6:$B$305,"0"),0)-1,0),"&lt;="&amp;$M283),_xlfn.MINIFS(高値!$E$3:$IT$3,高値!$E$3:$IT$3,"&gt;"&amp;$E283,高値!$E$3:$IT$3,"&lt;="&amp;$AE283,OFFSET(高値!$E$6:$IT$6,MATCH(TEXT($B283,"0"),TEXT(銘柄管理!$B$6:$B$305,"0"),0)-1,0),"&gt;="&amp;$M283)),""))</f>
        <v/>
      </c>
      <c r="AG283" s="600" t="str" cm="1">
        <f t="array" aca="1" ref="AG283" ca="1">IF(OR($B283="",$N283=""),"",IFERROR(IF($C283="売",_xlfn.MINIFS(高値!$E$3:$IT$3,高値!$E$3:$IT$3,"&gt;"&amp;$E283,高値!$E$3:$IT$3,"&lt;="&amp;$AE283,OFFSET(高値!$E$6:$IT$6,MATCH(TEXT($B283,"0"),TEXT(銘柄管理!$B$6:$B$305,"0"),0)-1,0),"&gt;="&amp;$N283),_xlfn.MINIFS(安値!$E$3:$IT$3,安値!$E$3:$IT$3,"&gt;"&amp;$E283,安値!$E$3:$IT$3,"&lt;="&amp;$AE283,OFFSET(安値!$E$6:$IT$6,MATCH(TEXT($B283,"0"),TEXT(銘柄管理!$B$6:$B$305,"0"),0)-1,0),"&lt;="&amp;$N283)),""))</f>
        <v/>
      </c>
      <c r="AH283" s="600" t="str">
        <f>IF(OR($B283="",$M283=""),"",IF(AND(N($AF283)=0,N($AG283)=0),IF(AND(ISNUMBER($H283),$H283&gt;0,IF($C283="売",$H283&gt;=$N283,$H283&lt;=$N283)),"損切確定",IF(AND(ISNUMBER($H283),$H283&gt;0,IF($C283="売",$H283&lt;=$M283,$H283&gt;=$M283)),"利益確定",IF($AE283&lt;=TODAY(),"日数制限","保有中"))),IF(N($AG283)=0,"利益確定",IF(N($AF283)=0,"損切確定",IF($AG283&lt;=$AF283,"損切確定","利益確定")))))</f>
        <v/>
      </c>
      <c r="AI283" s="600" t="str" cm="1">
        <f t="array" ref="AI283">IFERROR(INDEX(始値!$E$6:$IT$305,MATCH(TEXT($B283,"0"),TEXT(銘柄管理!$B$6:$B$305,"0"),0),MATCH($AE283,始値!$E$3:$IT$3,0)),"")</f>
        <v/>
      </c>
      <c r="AJ283" s="608" t="str">
        <f>IF(OR($V283="",$F283="",$G283=""),"",$V283/($F283*$G283))</f>
        <v/>
      </c>
      <c r="AK283" s="600" t="str">
        <f>IF($V283="","",IF($V283&gt;0,"○勝",IF($V283&lt;0,"●負","△引分")))</f>
        <v/>
      </c>
    </row>
    <row r="284" spans="1:37" ht="17.25" customHeight="1">
      <c r="A284" s="621" t="str">
        <f>IF(B284="","",HYPERLINK("https://kabutan.jp/stock/?code="&amp;B284,"株探"))</f>
        <v/>
      </c>
      <c r="B284" s="480"/>
      <c r="C284" s="480"/>
      <c r="D284" s="480" t="str" cm="1">
        <f t="array" ref="D284">_xll.RssMarket(B284, "銘柄名称")</f>
        <v/>
      </c>
      <c r="E284" s="717"/>
      <c r="F284" s="698" t="str" cm="1">
        <f t="array" aca="1" ref="F284" ca="1">IFERROR(_xlfn.LET(_xlpm.r,MATCH(TEXT($B284,"0"),TEXT(銘柄管理!$B$6:$B$305,"0"),0),_xlpm.t,MOD(NOW(),1),_xlpm.c,IF($E284=TODAY(),IF(_xlpm.t&gt;=TIME(15,30,0),NA(),1),IF(MATCH($E284,始値!$E$3:$IT$3,0)=1,1,MATCH($E284,始値!$E$3:$IT$3,0)+1)),_xlpm.v,INDEX(始値!$C$6:$IT$305,_xlpm.r,_xlpm.c),IF(N(_xlpm.v)=0,"",_xlpm.v)),"")</f>
        <v/>
      </c>
      <c r="G284" s="480"/>
      <c r="H284" s="480" t="str" cm="1">
        <f t="array" ref="H284">_xll.RssMarket(B284, "現在値")</f>
        <v/>
      </c>
      <c r="I284" s="480" t="str" cm="1">
        <f t="array" ref="I284">_xll.RssMarket(B284, "出来高加重平均")</f>
        <v/>
      </c>
      <c r="J284" s="702" t="str" cm="1">
        <f t="array" ref="J284">_xll.RssMarket($B284, "前日比")</f>
        <v/>
      </c>
      <c r="K284" s="703" t="str">
        <f>IF(OR(F284="",G284="",H284=""),"",IF(C284="売",(F284-H284)*G284,(H284-F284)*G284))</f>
        <v/>
      </c>
      <c r="L284" s="708" t="str">
        <f>IF(OR(F284="",H284=""),"",IF(C284="売",(F284-H284)/F284,(H284-F284)/F284))</f>
        <v/>
      </c>
      <c r="M284" s="598" t="str">
        <f>IF($F284="","",$F284*IF($C284="売",1-V811設定!$B$4,1+V811設定!$B$4)-MOD($F284*IF($C284="売",1-V811設定!$B$4,1+V811設定!$B$4),IF($F284&lt;=3000,1,IF($F284&lt;=5000,5,IF($F284&lt;=30000,10,IF($F284&lt;=50000,50,IF($F284&lt;=300000,100,500))))))+IF(AND($C284="売",MOD($F284*IF($C284="売",1-V811設定!$B$4,1+V811設定!$B$4),IF($F284&lt;=3000,1,IF($F284&lt;=5000,5,IF($F284&lt;=30000,10,IF($F284&lt;=50000,50,IF($F284&lt;=300000,100,500))))))&gt;0),IF($F284&lt;=3000,1,IF($F284&lt;=5000,5,IF($F284&lt;=30000,10,IF($F284&lt;=50000,50,IF($F284&lt;=300000,100,500))))),0))</f>
      </c>
      <c r="N284" s="598" t="str">
        <f>IF($F284="","",$F284*IF($C284="売",1+V811設定!$B$3,1-V811設定!$B$3)-MOD($F284*IF($C284="売",1+V811設定!$B$3,1-V811設定!$B$3),IF($F284&lt;=3000,1,IF($F284&lt;=5000,5,IF($F284&lt;=30000,10,IF($F284&lt;=50000,50,IF($F284&lt;=300000,100,500))))))+IF(AND($C284="売",MOD($F284*IF($C284="売",1+V811設定!$B$3,1-V811設定!$B$3),IF($F284&lt;=3000,1,IF($F284&lt;=5000,5,IF($F284&lt;=30000,10,IF($F284&lt;=50000,50,IF($F284&lt;=300000,100,500))))))&gt;0),IF($F284&lt;=3000,1,IF($F284&lt;=5000,5,IF($F284&lt;=30000,10,IF($F284&lt;=50000,50,IF($F284&lt;=300000,100,500))))),0))</f>
      </c>
      <c r="O284" s="478" t="str">
        <f>IF(OR($B284="",$F284="",$H284=""),"",IF($S284="✅売却済","―決済済―",IF($C284="売",IF($H284&lt;=$M284,"🟢利確",IF(AND($R284&lt;&gt;"",$H284&gt;=$R284),"🟠TRAIL",IF($H284&gt;=$N284,"🔴損切",IF($W284&gt;=V811設定!$B$6,"⏱時間決済",IF($H284&gt;=$F284*(1+V811設定!$B$3*0.7),"⚠️損切接近","保持継続"))))),IF($H284&gt;=$M284,"🟢利確",IF(AND($R284&lt;&gt;"",$H284&lt;=$R284),"🟠TRAIL",IF($H284&lt;=$N284,"🔴損切",IF($W284&gt;=V811設定!$B$6,"⏱時間決済",IF($H284&lt;=$F284*(1-V811設定!$B$3*0.7),"⚠️損切接近","保持継続"))))))))</f>
      </c>
      <c r="P284" s="445"/>
      <c r="Q284" s="445"/>
      <c r="R284" s="480" t="str">
        <f>IF(OR($F284="",$H284="",$N284=""),"",IF($S284="✅売却済","",IF($C284="売",IF($H284&gt;$F284*(1-V811設定!$B$3),$N284,MIN($N284,IF($Q284="",$N284,$Q284*1.03))),IF($H284&lt;$F284*(1+V811設定!$B$3),$N284,MAX($N284,IF($P284="",$N284,$P284*0.97))))))</f>
      </c>
      <c r="S284" s="480" t="str">
        <f>IF(B284="","",IF(T284&lt;&gt;"","✅売却済",IF(OR(H284="",L284=""),"📌保有中",IF(L284&gt;=0.06,"🟢利確推奨",IF(L284&gt;=0.05,"🟡利確直近",IF(L284&gt;=0.045,"🔵トレーリング検討",IF(L284&gt;-0.03,"📌保有中",IF(L284&gt;-0.04,"⚠️損切注意","🔴損切り"))))))))</f>
        <v/>
      </c>
      <c r="T284" s="596"/>
      <c r="U284" s="598"/>
      <c r="V284" s="703" t="str">
        <f>IF(OR(F284="",G284="",U284=""),"",IF(C284="売",(F284-U284)*G284,(U284-F284)*G284))</f>
        <v/>
      </c>
      <c r="W284" s="480" t="str">
        <f>IF(OR($E284="",$B284=""),"",IF($T284&lt;&gt;"",$T284-$E284,TODAY()-$E284)+1)</f>
        <v/>
      </c>
      <c r="X284" s="480" t="str">
        <f>IF(OR($AH284="",$AH284="保有中"),"",$AH284)</f>
        <v/>
      </c>
      <c r="Y284" s="488"/>
      <c r="Z284" s="710"/>
      <c r="AD284" s="608"/>
      <c r="AE284" s="600" t="str">
        <f>IF($E284="","",WORKDAY($E284,12))</f>
        <v/>
      </c>
      <c r="AF284" s="600" t="str" cm="1">
        <f t="array" aca="1" ref="AF284" ca="1">IF(OR($B284="",$M284=""),"",IFERROR(IF($C284="売",_xlfn.MINIFS(安値!$E$3:$IT$3,安値!$E$3:$IT$3,"&gt;"&amp;$E284,安値!$E$3:$IT$3,"&lt;="&amp;$AE284,OFFSET(安値!$E$6:$IT$6,MATCH(TEXT($B284,"0"),TEXT(銘柄管理!$B$6:$B$305,"0"),0)-1,0),"&lt;="&amp;$M284),_xlfn.MINIFS(高値!$E$3:$IT$3,高値!$E$3:$IT$3,"&gt;"&amp;$E284,高値!$E$3:$IT$3,"&lt;="&amp;$AE284,OFFSET(高値!$E$6:$IT$6,MATCH(TEXT($B284,"0"),TEXT(銘柄管理!$B$6:$B$305,"0"),0)-1,0),"&gt;="&amp;$M284)),""))</f>
        <v/>
      </c>
      <c r="AG284" s="600" t="str" cm="1">
        <f t="array" aca="1" ref="AG284" ca="1">IF(OR($B284="",$N284=""),"",IFERROR(IF($C284="売",_xlfn.MINIFS(高値!$E$3:$IT$3,高値!$E$3:$IT$3,"&gt;"&amp;$E284,高値!$E$3:$IT$3,"&lt;="&amp;$AE284,OFFSET(高値!$E$6:$IT$6,MATCH(TEXT($B284,"0"),TEXT(銘柄管理!$B$6:$B$305,"0"),0)-1,0),"&gt;="&amp;$N284),_xlfn.MINIFS(安値!$E$3:$IT$3,安値!$E$3:$IT$3,"&gt;"&amp;$E284,安値!$E$3:$IT$3,"&lt;="&amp;$AE284,OFFSET(安値!$E$6:$IT$6,MATCH(TEXT($B284,"0"),TEXT(銘柄管理!$B$6:$B$305,"0"),0)-1,0),"&lt;="&amp;$N284)),""))</f>
        <v/>
      </c>
      <c r="AH284" s="600" t="str">
        <f>IF(OR($B284="",$M284=""),"",IF(AND(N($AF284)=0,N($AG284)=0),IF(AND(ISNUMBER($H284),$H284&gt;0,IF($C284="売",$H284&gt;=$N284,$H284&lt;=$N284)),"損切確定",IF(AND(ISNUMBER($H284),$H284&gt;0,IF($C284="売",$H284&lt;=$M284,$H284&gt;=$M284)),"利益確定",IF($AE284&lt;=TODAY(),"日数制限","保有中"))),IF(N($AG284)=0,"利益確定",IF(N($AF284)=0,"損切確定",IF($AG284&lt;=$AF284,"損切確定","利益確定")))))</f>
        <v/>
      </c>
      <c r="AI284" s="600" t="str" cm="1">
        <f t="array" ref="AI284">IFERROR(INDEX(始値!$E$6:$IT$305,MATCH(TEXT($B284,"0"),TEXT(銘柄管理!$B$6:$B$305,"0"),0),MATCH($AE284,始値!$E$3:$IT$3,0)),"")</f>
        <v/>
      </c>
      <c r="AJ284" s="608" t="str">
        <f>IF(OR($V284="",$F284="",$G284=""),"",$V284/($F284*$G284))</f>
        <v/>
      </c>
      <c r="AK284" s="600" t="str">
        <f>IF($V284="","",IF($V284&gt;0,"○勝",IF($V284&lt;0,"●負","△引分")))</f>
        <v/>
      </c>
    </row>
    <row r="285" spans="1:37" ht="17.25" customHeight="1">
      <c r="A285" s="621" t="str">
        <f>IF(B285="","",HYPERLINK("https://kabutan.jp/stock/?code="&amp;B285,"株探"))</f>
        <v/>
      </c>
      <c r="B285" s="480"/>
      <c r="C285" s="480"/>
      <c r="D285" s="480" t="str" cm="1">
        <f t="array" ref="D285">_xll.RssMarket(B285, "銘柄名称")</f>
        <v/>
      </c>
      <c r="E285" s="717"/>
      <c r="F285" s="698" t="str" cm="1">
        <f t="array" aca="1" ref="F285" ca="1">IFERROR(_xlfn.LET(_xlpm.r,MATCH(TEXT($B285,"0"),TEXT(銘柄管理!$B$6:$B$305,"0"),0),_xlpm.t,MOD(NOW(),1),_xlpm.c,IF($E285=TODAY(),IF(_xlpm.t&gt;=TIME(15,30,0),NA(),1),IF(MATCH($E285,始値!$E$3:$IT$3,0)=1,1,MATCH($E285,始値!$E$3:$IT$3,0)+1)),_xlpm.v,INDEX(始値!$C$6:$IT$305,_xlpm.r,_xlpm.c),IF(N(_xlpm.v)=0,"",_xlpm.v)),"")</f>
        <v/>
      </c>
      <c r="G285" s="480"/>
      <c r="H285" s="480" t="str" cm="1">
        <f t="array" ref="H285">_xll.RssMarket(B285, "現在値")</f>
        <v/>
      </c>
      <c r="I285" s="480" t="str" cm="1">
        <f t="array" ref="I285">_xll.RssMarket(B285, "出来高加重平均")</f>
        <v/>
      </c>
      <c r="J285" s="702" t="str" cm="1">
        <f t="array" ref="J285">_xll.RssMarket($B285, "前日比")</f>
        <v/>
      </c>
      <c r="K285" s="703" t="str">
        <f>IF(OR(F285="",G285="",H285=""),"",IF(C285="売",(F285-H285)*G285,(H285-F285)*G285))</f>
        <v/>
      </c>
      <c r="L285" s="708" t="str">
        <f>IF(OR(F285="",H285=""),"",IF(C285="売",(F285-H285)/F285,(H285-F285)/F285))</f>
        <v/>
      </c>
      <c r="M285" s="598" t="str">
        <f>IF($F285="","",$F285*IF($C285="売",1-V811設定!$B$4,1+V811設定!$B$4)-MOD($F285*IF($C285="売",1-V811設定!$B$4,1+V811設定!$B$4),IF($F285&lt;=3000,1,IF($F285&lt;=5000,5,IF($F285&lt;=30000,10,IF($F285&lt;=50000,50,IF($F285&lt;=300000,100,500))))))+IF(AND($C285="売",MOD($F285*IF($C285="売",1-V811設定!$B$4,1+V811設定!$B$4),IF($F285&lt;=3000,1,IF($F285&lt;=5000,5,IF($F285&lt;=30000,10,IF($F285&lt;=50000,50,IF($F285&lt;=300000,100,500))))))&gt;0),IF($F285&lt;=3000,1,IF($F285&lt;=5000,5,IF($F285&lt;=30000,10,IF($F285&lt;=50000,50,IF($F285&lt;=300000,100,500))))),0))</f>
      </c>
      <c r="N285" s="598" t="str">
        <f>IF($F285="","",$F285*IF($C285="売",1+V811設定!$B$3,1-V811設定!$B$3)-MOD($F285*IF($C285="売",1+V811設定!$B$3,1-V811設定!$B$3),IF($F285&lt;=3000,1,IF($F285&lt;=5000,5,IF($F285&lt;=30000,10,IF($F285&lt;=50000,50,IF($F285&lt;=300000,100,500))))))+IF(AND($C285="売",MOD($F285*IF($C285="売",1+V811設定!$B$3,1-V811設定!$B$3),IF($F285&lt;=3000,1,IF($F285&lt;=5000,5,IF($F285&lt;=30000,10,IF($F285&lt;=50000,50,IF($F285&lt;=300000,100,500))))))&gt;0),IF($F285&lt;=3000,1,IF($F285&lt;=5000,5,IF($F285&lt;=30000,10,IF($F285&lt;=50000,50,IF($F285&lt;=300000,100,500))))),0))</f>
      </c>
      <c r="O285" s="478" t="str">
        <f>IF(OR($B285="",$F285="",$H285=""),"",IF($S285="✅売却済","―決済済―",IF($C285="売",IF($H285&lt;=$M285,"🟢利確",IF(AND($R285&lt;&gt;"",$H285&gt;=$R285),"🟠TRAIL",IF($H285&gt;=$N285,"🔴損切",IF($W285&gt;=V811設定!$B$6,"⏱時間決済",IF($H285&gt;=$F285*(1+V811設定!$B$3*0.7),"⚠️損切接近","保持継続"))))),IF($H285&gt;=$M285,"🟢利確",IF(AND($R285&lt;&gt;"",$H285&lt;=$R285),"🟠TRAIL",IF($H285&lt;=$N285,"🔴損切",IF($W285&gt;=V811設定!$B$6,"⏱時間決済",IF($H285&lt;=$F285*(1-V811設定!$B$3*0.7),"⚠️損切接近","保持継続"))))))))</f>
      </c>
      <c r="P285" s="445"/>
      <c r="Q285" s="445"/>
      <c r="R285" s="480" t="str">
        <f>IF(OR($F285="",$H285="",$N285=""),"",IF($S285="✅売却済","",IF($C285="売",IF($H285&gt;$F285*(1-V811設定!$B$3),$N285,MIN($N285,IF($Q285="",$N285,$Q285*1.03))),IF($H285&lt;$F285*(1+V811設定!$B$3),$N285,MAX($N285,IF($P285="",$N285,$P285*0.97))))))</f>
      </c>
      <c r="S285" s="480" t="str">
        <f>IF(B285="","",IF(T285&lt;&gt;"","✅売却済",IF(OR(H285="",L285=""),"📌保有中",IF(L285&gt;=0.06,"🟢利確推奨",IF(L285&gt;=0.05,"🟡利確直近",IF(L285&gt;=0.045,"🔵トレーリング検討",IF(L285&gt;-0.03,"📌保有中",IF(L285&gt;-0.04,"⚠️損切注意","🔴損切り"))))))))</f>
        <v/>
      </c>
      <c r="T285" s="596"/>
      <c r="U285" s="598"/>
      <c r="V285" s="703" t="str">
        <f>IF(OR(F285="",G285="",U285=""),"",IF(C285="売",(F285-U285)*G285,(U285-F285)*G285))</f>
        <v/>
      </c>
      <c r="W285" s="480" t="str">
        <f>IF(OR($E285="",$B285=""),"",IF($T285&lt;&gt;"",$T285-$E285,TODAY()-$E285)+1)</f>
        <v/>
      </c>
      <c r="X285" s="480" t="str">
        <f>IF(OR($AH285="",$AH285="保有中"),"",$AH285)</f>
        <v/>
      </c>
      <c r="Y285" s="488"/>
      <c r="Z285" s="710"/>
      <c r="AD285" s="608"/>
      <c r="AE285" s="600" t="str">
        <f>IF($E285="","",WORKDAY($E285,12))</f>
        <v/>
      </c>
      <c r="AF285" s="600" t="str" cm="1">
        <f t="array" aca="1" ref="AF285" ca="1">IF(OR($B285="",$M285=""),"",IFERROR(IF($C285="売",_xlfn.MINIFS(安値!$E$3:$IT$3,安値!$E$3:$IT$3,"&gt;"&amp;$E285,安値!$E$3:$IT$3,"&lt;="&amp;$AE285,OFFSET(安値!$E$6:$IT$6,MATCH(TEXT($B285,"0"),TEXT(銘柄管理!$B$6:$B$305,"0"),0)-1,0),"&lt;="&amp;$M285),_xlfn.MINIFS(高値!$E$3:$IT$3,高値!$E$3:$IT$3,"&gt;"&amp;$E285,高値!$E$3:$IT$3,"&lt;="&amp;$AE285,OFFSET(高値!$E$6:$IT$6,MATCH(TEXT($B285,"0"),TEXT(銘柄管理!$B$6:$B$305,"0"),0)-1,0),"&gt;="&amp;$M285)),""))</f>
        <v/>
      </c>
      <c r="AG285" s="600" t="str" cm="1">
        <f t="array" aca="1" ref="AG285" ca="1">IF(OR($B285="",$N285=""),"",IFERROR(IF($C285="売",_xlfn.MINIFS(高値!$E$3:$IT$3,高値!$E$3:$IT$3,"&gt;"&amp;$E285,高値!$E$3:$IT$3,"&lt;="&amp;$AE285,OFFSET(高値!$E$6:$IT$6,MATCH(TEXT($B285,"0"),TEXT(銘柄管理!$B$6:$B$305,"0"),0)-1,0),"&gt;="&amp;$N285),_xlfn.MINIFS(安値!$E$3:$IT$3,安値!$E$3:$IT$3,"&gt;"&amp;$E285,安値!$E$3:$IT$3,"&lt;="&amp;$AE285,OFFSET(安値!$E$6:$IT$6,MATCH(TEXT($B285,"0"),TEXT(銘柄管理!$B$6:$B$305,"0"),0)-1,0),"&lt;="&amp;$N285)),""))</f>
        <v/>
      </c>
      <c r="AH285" s="600" t="str">
        <f>IF(OR($B285="",$M285=""),"",IF(AND(N($AF285)=0,N($AG285)=0),IF(AND(ISNUMBER($H285),$H285&gt;0,IF($C285="売",$H285&gt;=$N285,$H285&lt;=$N285)),"損切確定",IF(AND(ISNUMBER($H285),$H285&gt;0,IF($C285="売",$H285&lt;=$M285,$H285&gt;=$M285)),"利益確定",IF($AE285&lt;=TODAY(),"日数制限","保有中"))),IF(N($AG285)=0,"利益確定",IF(N($AF285)=0,"損切確定",IF($AG285&lt;=$AF285,"損切確定","利益確定")))))</f>
        <v/>
      </c>
      <c r="AI285" s="600" t="str" cm="1">
        <f t="array" ref="AI285">IFERROR(INDEX(始値!$E$6:$IT$305,MATCH(TEXT($B285,"0"),TEXT(銘柄管理!$B$6:$B$305,"0"),0),MATCH($AE285,始値!$E$3:$IT$3,0)),"")</f>
        <v/>
      </c>
      <c r="AJ285" s="608" t="str">
        <f>IF(OR($V285="",$F285="",$G285=""),"",$V285/($F285*$G285))</f>
        <v/>
      </c>
      <c r="AK285" s="600" t="str">
        <f>IF($V285="","",IF($V285&gt;0,"○勝",IF($V285&lt;0,"●負","△引分")))</f>
        <v/>
      </c>
    </row>
    <row r="286" spans="1:37" ht="17.25" customHeight="1">
      <c r="A286" s="621" t="str">
        <f>IF(B286="","",HYPERLINK("https://kabutan.jp/stock/?code="&amp;B286,"株探"))</f>
        <v/>
      </c>
      <c r="B286" s="480"/>
      <c r="C286" s="480"/>
      <c r="D286" s="480" t="str" cm="1">
        <f t="array" ref="D286">_xll.RssMarket(B286, "銘柄名称")</f>
        <v/>
      </c>
      <c r="E286" s="717"/>
      <c r="F286" s="698" t="str" cm="1">
        <f t="array" aca="1" ref="F286" ca="1">IFERROR(_xlfn.LET(_xlpm.r,MATCH(TEXT($B286,"0"),TEXT(銘柄管理!$B$6:$B$305,"0"),0),_xlpm.t,MOD(NOW(),1),_xlpm.c,IF($E286=TODAY(),IF(_xlpm.t&gt;=TIME(15,30,0),NA(),1),IF(MATCH($E286,始値!$E$3:$IT$3,0)=1,1,MATCH($E286,始値!$E$3:$IT$3,0)+1)),_xlpm.v,INDEX(始値!$C$6:$IT$305,_xlpm.r,_xlpm.c),IF(N(_xlpm.v)=0,"",_xlpm.v)),"")</f>
        <v/>
      </c>
      <c r="G286" s="480"/>
      <c r="H286" s="480" t="str" cm="1">
        <f t="array" ref="H286">_xll.RssMarket(B286, "現在値")</f>
        <v/>
      </c>
      <c r="I286" s="480" t="str" cm="1">
        <f t="array" ref="I286">_xll.RssMarket(B286, "出来高加重平均")</f>
        <v/>
      </c>
      <c r="J286" s="702" t="str" cm="1">
        <f t="array" ref="J286">_xll.RssMarket($B286, "前日比")</f>
        <v/>
      </c>
      <c r="K286" s="703" t="str">
        <f>IF(OR(F286="",G286="",H286=""),"",IF(C286="売",(F286-H286)*G286,(H286-F286)*G286))</f>
        <v/>
      </c>
      <c r="L286" s="708" t="str">
        <f>IF(OR(F286="",H286=""),"",IF(C286="売",(F286-H286)/F286,(H286-F286)/F286))</f>
        <v/>
      </c>
      <c r="M286" s="598" t="str">
        <f>IF($F286="","",$F286*IF($C286="売",1-V811設定!$B$4,1+V811設定!$B$4)-MOD($F286*IF($C286="売",1-V811設定!$B$4,1+V811設定!$B$4),IF($F286&lt;=3000,1,IF($F286&lt;=5000,5,IF($F286&lt;=30000,10,IF($F286&lt;=50000,50,IF($F286&lt;=300000,100,500))))))+IF(AND($C286="売",MOD($F286*IF($C286="売",1-V811設定!$B$4,1+V811設定!$B$4),IF($F286&lt;=3000,1,IF($F286&lt;=5000,5,IF($F286&lt;=30000,10,IF($F286&lt;=50000,50,IF($F286&lt;=300000,100,500))))))&gt;0),IF($F286&lt;=3000,1,IF($F286&lt;=5000,5,IF($F286&lt;=30000,10,IF($F286&lt;=50000,50,IF($F286&lt;=300000,100,500))))),0))</f>
      </c>
      <c r="N286" s="598" t="str">
        <f>IF($F286="","",$F286*IF($C286="売",1+V811設定!$B$3,1-V811設定!$B$3)-MOD($F286*IF($C286="売",1+V811設定!$B$3,1-V811設定!$B$3),IF($F286&lt;=3000,1,IF($F286&lt;=5000,5,IF($F286&lt;=30000,10,IF($F286&lt;=50000,50,IF($F286&lt;=300000,100,500))))))+IF(AND($C286="売",MOD($F286*IF($C286="売",1+V811設定!$B$3,1-V811設定!$B$3),IF($F286&lt;=3000,1,IF($F286&lt;=5000,5,IF($F286&lt;=30000,10,IF($F286&lt;=50000,50,IF($F286&lt;=300000,100,500))))))&gt;0),IF($F286&lt;=3000,1,IF($F286&lt;=5000,5,IF($F286&lt;=30000,10,IF($F286&lt;=50000,50,IF($F286&lt;=300000,100,500))))),0))</f>
      </c>
      <c r="O286" s="478" t="str">
        <f>IF(OR($B286="",$F286="",$H286=""),"",IF($S286="✅売却済","―決済済―",IF($C286="売",IF($H286&lt;=$M286,"🟢利確",IF(AND($R286&lt;&gt;"",$H286&gt;=$R286),"🟠TRAIL",IF($H286&gt;=$N286,"🔴損切",IF($W286&gt;=V811設定!$B$6,"⏱時間決済",IF($H286&gt;=$F286*(1+V811設定!$B$3*0.7),"⚠️損切接近","保持継続"))))),IF($H286&gt;=$M286,"🟢利確",IF(AND($R286&lt;&gt;"",$H286&lt;=$R286),"🟠TRAIL",IF($H286&lt;=$N286,"🔴損切",IF($W286&gt;=V811設定!$B$6,"⏱時間決済",IF($H286&lt;=$F286*(1-V811設定!$B$3*0.7),"⚠️損切接近","保持継続"))))))))</f>
      </c>
      <c r="P286" s="445"/>
      <c r="Q286" s="445"/>
      <c r="R286" s="480" t="str">
        <f>IF(OR($F286="",$H286="",$N286=""),"",IF($S286="✅売却済","",IF($C286="売",IF($H286&gt;$F286*(1-V811設定!$B$3),$N286,MIN($N286,IF($Q286="",$N286,$Q286*1.03))),IF($H286&lt;$F286*(1+V811設定!$B$3),$N286,MAX($N286,IF($P286="",$N286,$P286*0.97))))))</f>
      </c>
      <c r="S286" s="480" t="str">
        <f>IF(B286="","",IF(T286&lt;&gt;"","✅売却済",IF(OR(H286="",L286=""),"📌保有中",IF(L286&gt;=0.06,"🟢利確推奨",IF(L286&gt;=0.05,"🟡利確直近",IF(L286&gt;=0.045,"🔵トレーリング検討",IF(L286&gt;-0.03,"📌保有中",IF(L286&gt;-0.04,"⚠️損切注意","🔴損切り"))))))))</f>
        <v/>
      </c>
      <c r="T286" s="596"/>
      <c r="U286" s="598"/>
      <c r="V286" s="703" t="str">
        <f>IF(OR(F286="",G286="",U286=""),"",IF(C286="売",(F286-U286)*G286,(U286-F286)*G286))</f>
        <v/>
      </c>
      <c r="W286" s="480" t="str">
        <f>IF(OR($E286="",$B286=""),"",IF($T286&lt;&gt;"",$T286-$E286,TODAY()-$E286)+1)</f>
        <v/>
      </c>
      <c r="X286" s="480" t="str">
        <f>IF(OR($AH286="",$AH286="保有中"),"",$AH286)</f>
        <v/>
      </c>
      <c r="Y286" s="488"/>
      <c r="Z286" s="710"/>
      <c r="AD286" s="608"/>
      <c r="AE286" s="600" t="str">
        <f>IF($E286="","",WORKDAY($E286,12))</f>
        <v/>
      </c>
      <c r="AF286" s="600" t="str" cm="1">
        <f t="array" aca="1" ref="AF286" ca="1">IF(OR($B286="",$M286=""),"",IFERROR(IF($C286="売",_xlfn.MINIFS(安値!$E$3:$IT$3,安値!$E$3:$IT$3,"&gt;"&amp;$E286,安値!$E$3:$IT$3,"&lt;="&amp;$AE286,OFFSET(安値!$E$6:$IT$6,MATCH(TEXT($B286,"0"),TEXT(銘柄管理!$B$6:$B$305,"0"),0)-1,0),"&lt;="&amp;$M286),_xlfn.MINIFS(高値!$E$3:$IT$3,高値!$E$3:$IT$3,"&gt;"&amp;$E286,高値!$E$3:$IT$3,"&lt;="&amp;$AE286,OFFSET(高値!$E$6:$IT$6,MATCH(TEXT($B286,"0"),TEXT(銘柄管理!$B$6:$B$305,"0"),0)-1,0),"&gt;="&amp;$M286)),""))</f>
        <v/>
      </c>
      <c r="AG286" s="600" t="str" cm="1">
        <f t="array" aca="1" ref="AG286" ca="1">IF(OR($B286="",$N286=""),"",IFERROR(IF($C286="売",_xlfn.MINIFS(高値!$E$3:$IT$3,高値!$E$3:$IT$3,"&gt;"&amp;$E286,高値!$E$3:$IT$3,"&lt;="&amp;$AE286,OFFSET(高値!$E$6:$IT$6,MATCH(TEXT($B286,"0"),TEXT(銘柄管理!$B$6:$B$305,"0"),0)-1,0),"&gt;="&amp;$N286),_xlfn.MINIFS(安値!$E$3:$IT$3,安値!$E$3:$IT$3,"&gt;"&amp;$E286,安値!$E$3:$IT$3,"&lt;="&amp;$AE286,OFFSET(安値!$E$6:$IT$6,MATCH(TEXT($B286,"0"),TEXT(銘柄管理!$B$6:$B$305,"0"),0)-1,0),"&lt;="&amp;$N286)),""))</f>
        <v/>
      </c>
      <c r="AH286" s="600" t="str">
        <f>IF(OR($B286="",$M286=""),"",IF(AND(N($AF286)=0,N($AG286)=0),IF(AND(ISNUMBER($H286),$H286&gt;0,IF($C286="売",$H286&gt;=$N286,$H286&lt;=$N286)),"損切確定",IF(AND(ISNUMBER($H286),$H286&gt;0,IF($C286="売",$H286&lt;=$M286,$H286&gt;=$M286)),"利益確定",IF($AE286&lt;=TODAY(),"日数制限","保有中"))),IF(N($AG286)=0,"利益確定",IF(N($AF286)=0,"損切確定",IF($AG286&lt;=$AF286,"損切確定","利益確定")))))</f>
        <v/>
      </c>
      <c r="AI286" s="600" t="str" cm="1">
        <f t="array" ref="AI286">IFERROR(INDEX(始値!$E$6:$IT$305,MATCH(TEXT($B286,"0"),TEXT(銘柄管理!$B$6:$B$305,"0"),0),MATCH($AE286,始値!$E$3:$IT$3,0)),"")</f>
        <v/>
      </c>
      <c r="AJ286" s="608" t="str">
        <f>IF(OR($V286="",$F286="",$G286=""),"",$V286/($F286*$G286))</f>
        <v/>
      </c>
      <c r="AK286" s="600" t="str">
        <f>IF($V286="","",IF($V286&gt;0,"○勝",IF($V286&lt;0,"●負","△引分")))</f>
        <v/>
      </c>
    </row>
    <row r="287" spans="1:37" ht="17.25" customHeight="1">
      <c r="A287" s="621" t="str">
        <f>IF(B287="","",HYPERLINK("https://kabutan.jp/stock/?code="&amp;B287,"株探"))</f>
        <v/>
      </c>
      <c r="B287" s="480"/>
      <c r="C287" s="480"/>
      <c r="D287" s="480" t="str" cm="1">
        <f t="array" ref="D287">_xll.RssMarket(B287, "銘柄名称")</f>
        <v/>
      </c>
      <c r="E287" s="717"/>
      <c r="F287" s="698" t="str" cm="1">
        <f t="array" aca="1" ref="F287" ca="1">IFERROR(_xlfn.LET(_xlpm.r,MATCH(TEXT($B287,"0"),TEXT(銘柄管理!$B$6:$B$305,"0"),0),_xlpm.t,MOD(NOW(),1),_xlpm.c,IF($E287=TODAY(),IF(_xlpm.t&gt;=TIME(15,30,0),NA(),1),IF(MATCH($E287,始値!$E$3:$IT$3,0)=1,1,MATCH($E287,始値!$E$3:$IT$3,0)+1)),_xlpm.v,INDEX(始値!$C$6:$IT$305,_xlpm.r,_xlpm.c),IF(N(_xlpm.v)=0,"",_xlpm.v)),"")</f>
        <v/>
      </c>
      <c r="G287" s="480"/>
      <c r="H287" s="480" t="str" cm="1">
        <f t="array" ref="H287">_xll.RssMarket(B287, "現在値")</f>
        <v/>
      </c>
      <c r="I287" s="480" t="str" cm="1">
        <f t="array" ref="I287">_xll.RssMarket(B287, "出来高加重平均")</f>
        <v/>
      </c>
      <c r="J287" s="702" t="str" cm="1">
        <f t="array" ref="J287">_xll.RssMarket($B287, "前日比")</f>
        <v/>
      </c>
      <c r="K287" s="703" t="str">
        <f>IF(OR(F287="",G287="",H287=""),"",IF(C287="売",(F287-H287)*G287,(H287-F287)*G287))</f>
        <v/>
      </c>
      <c r="L287" s="708" t="str">
        <f>IF(OR(F287="",H287=""),"",IF(C287="売",(F287-H287)/F287,(H287-F287)/F287))</f>
        <v/>
      </c>
      <c r="M287" s="598" t="str">
        <f>IF($F287="","",$F287*IF($C287="売",1-V811設定!$B$4,1+V811設定!$B$4)-MOD($F287*IF($C287="売",1-V811設定!$B$4,1+V811設定!$B$4),IF($F287&lt;=3000,1,IF($F287&lt;=5000,5,IF($F287&lt;=30000,10,IF($F287&lt;=50000,50,IF($F287&lt;=300000,100,500))))))+IF(AND($C287="売",MOD($F287*IF($C287="売",1-V811設定!$B$4,1+V811設定!$B$4),IF($F287&lt;=3000,1,IF($F287&lt;=5000,5,IF($F287&lt;=30000,10,IF($F287&lt;=50000,50,IF($F287&lt;=300000,100,500))))))&gt;0),IF($F287&lt;=3000,1,IF($F287&lt;=5000,5,IF($F287&lt;=30000,10,IF($F287&lt;=50000,50,IF($F287&lt;=300000,100,500))))),0))</f>
      </c>
      <c r="N287" s="598" t="str">
        <f>IF($F287="","",$F287*IF($C287="売",1+V811設定!$B$3,1-V811設定!$B$3)-MOD($F287*IF($C287="売",1+V811設定!$B$3,1-V811設定!$B$3),IF($F287&lt;=3000,1,IF($F287&lt;=5000,5,IF($F287&lt;=30000,10,IF($F287&lt;=50000,50,IF($F287&lt;=300000,100,500))))))+IF(AND($C287="売",MOD($F287*IF($C287="売",1+V811設定!$B$3,1-V811設定!$B$3),IF($F287&lt;=3000,1,IF($F287&lt;=5000,5,IF($F287&lt;=30000,10,IF($F287&lt;=50000,50,IF($F287&lt;=300000,100,500))))))&gt;0),IF($F287&lt;=3000,1,IF($F287&lt;=5000,5,IF($F287&lt;=30000,10,IF($F287&lt;=50000,50,IF($F287&lt;=300000,100,500))))),0))</f>
      </c>
      <c r="O287" s="478" t="str">
        <f>IF(OR($B287="",$F287="",$H287=""),"",IF($S287="✅売却済","―決済済―",IF($C287="売",IF($H287&lt;=$M287,"🟢利確",IF(AND($R287&lt;&gt;"",$H287&gt;=$R287),"🟠TRAIL",IF($H287&gt;=$N287,"🔴損切",IF($W287&gt;=V811設定!$B$6,"⏱時間決済",IF($H287&gt;=$F287*(1+V811設定!$B$3*0.7),"⚠️損切接近","保持継続"))))),IF($H287&gt;=$M287,"🟢利確",IF(AND($R287&lt;&gt;"",$H287&lt;=$R287),"🟠TRAIL",IF($H287&lt;=$N287,"🔴損切",IF($W287&gt;=V811設定!$B$6,"⏱時間決済",IF($H287&lt;=$F287*(1-V811設定!$B$3*0.7),"⚠️損切接近","保持継続"))))))))</f>
      </c>
      <c r="P287" s="445"/>
      <c r="Q287" s="445"/>
      <c r="R287" s="480" t="str">
        <f>IF(OR($F287="",$H287="",$N287=""),"",IF($S287="✅売却済","",IF($C287="売",IF($H287&gt;$F287*(1-V811設定!$B$3),$N287,MIN($N287,IF($Q287="",$N287,$Q287*1.03))),IF($H287&lt;$F287*(1+V811設定!$B$3),$N287,MAX($N287,IF($P287="",$N287,$P287*0.97))))))</f>
      </c>
      <c r="S287" s="480" t="str">
        <f>IF(B287="","",IF(T287&lt;&gt;"","✅売却済",IF(OR(H287="",L287=""),"📌保有中",IF(L287&gt;=0.06,"🟢利確推奨",IF(L287&gt;=0.05,"🟡利確直近",IF(L287&gt;=0.045,"🔵トレーリング検討",IF(L287&gt;-0.03,"📌保有中",IF(L287&gt;-0.04,"⚠️損切注意","🔴損切り"))))))))</f>
        <v/>
      </c>
      <c r="T287" s="596"/>
      <c r="U287" s="598"/>
      <c r="V287" s="703" t="str">
        <f>IF(OR(F287="",G287="",U287=""),"",IF(C287="売",(F287-U287)*G287,(U287-F287)*G287))</f>
        <v/>
      </c>
      <c r="W287" s="480" t="str">
        <f>IF(OR($E287="",$B287=""),"",IF($T287&lt;&gt;"",$T287-$E287,TODAY()-$E287)+1)</f>
        <v/>
      </c>
      <c r="X287" s="480" t="str">
        <f>IF(OR($AH287="",$AH287="保有中"),"",$AH287)</f>
        <v/>
      </c>
      <c r="Y287" s="488"/>
      <c r="Z287" s="710"/>
      <c r="AD287" s="608"/>
      <c r="AE287" s="600" t="str">
        <f>IF($E287="","",WORKDAY($E287,12))</f>
        <v/>
      </c>
      <c r="AF287" s="600" t="str" cm="1">
        <f t="array" aca="1" ref="AF287" ca="1">IF(OR($B287="",$M287=""),"",IFERROR(IF($C287="売",_xlfn.MINIFS(安値!$E$3:$IT$3,安値!$E$3:$IT$3,"&gt;"&amp;$E287,安値!$E$3:$IT$3,"&lt;="&amp;$AE287,OFFSET(安値!$E$6:$IT$6,MATCH(TEXT($B287,"0"),TEXT(銘柄管理!$B$6:$B$305,"0"),0)-1,0),"&lt;="&amp;$M287),_xlfn.MINIFS(高値!$E$3:$IT$3,高値!$E$3:$IT$3,"&gt;"&amp;$E287,高値!$E$3:$IT$3,"&lt;="&amp;$AE287,OFFSET(高値!$E$6:$IT$6,MATCH(TEXT($B287,"0"),TEXT(銘柄管理!$B$6:$B$305,"0"),0)-1,0),"&gt;="&amp;$M287)),""))</f>
        <v/>
      </c>
      <c r="AG287" s="600" t="str" cm="1">
        <f t="array" aca="1" ref="AG287" ca="1">IF(OR($B287="",$N287=""),"",IFERROR(IF($C287="売",_xlfn.MINIFS(高値!$E$3:$IT$3,高値!$E$3:$IT$3,"&gt;"&amp;$E287,高値!$E$3:$IT$3,"&lt;="&amp;$AE287,OFFSET(高値!$E$6:$IT$6,MATCH(TEXT($B287,"0"),TEXT(銘柄管理!$B$6:$B$305,"0"),0)-1,0),"&gt;="&amp;$N287),_xlfn.MINIFS(安値!$E$3:$IT$3,安値!$E$3:$IT$3,"&gt;"&amp;$E287,安値!$E$3:$IT$3,"&lt;="&amp;$AE287,OFFSET(安値!$E$6:$IT$6,MATCH(TEXT($B287,"0"),TEXT(銘柄管理!$B$6:$B$305,"0"),0)-1,0),"&lt;="&amp;$N287)),""))</f>
        <v/>
      </c>
      <c r="AH287" s="600" t="str">
        <f>IF(OR($B287="",$M287=""),"",IF(AND(N($AF287)=0,N($AG287)=0),IF(AND(ISNUMBER($H287),$H287&gt;0,IF($C287="売",$H287&gt;=$N287,$H287&lt;=$N287)),"損切確定",IF(AND(ISNUMBER($H287),$H287&gt;0,IF($C287="売",$H287&lt;=$M287,$H287&gt;=$M287)),"利益確定",IF($AE287&lt;=TODAY(),"日数制限","保有中"))),IF(N($AG287)=0,"利益確定",IF(N($AF287)=0,"損切確定",IF($AG287&lt;=$AF287,"損切確定","利益確定")))))</f>
        <v/>
      </c>
      <c r="AI287" s="600" t="str" cm="1">
        <f t="array" ref="AI287">IFERROR(INDEX(始値!$E$6:$IT$305,MATCH(TEXT($B287,"0"),TEXT(銘柄管理!$B$6:$B$305,"0"),0),MATCH($AE287,始値!$E$3:$IT$3,0)),"")</f>
        <v/>
      </c>
      <c r="AJ287" s="608" t="str">
        <f>IF(OR($V287="",$F287="",$G287=""),"",$V287/($F287*$G287))</f>
        <v/>
      </c>
      <c r="AK287" s="600" t="str">
        <f>IF($V287="","",IF($V287&gt;0,"○勝",IF($V287&lt;0,"●負","△引分")))</f>
        <v/>
      </c>
    </row>
    <row r="288" spans="1:37" ht="17.25" customHeight="1">
      <c r="A288" s="621" t="str">
        <f>IF(B288="","",HYPERLINK("https://kabutan.jp/stock/?code="&amp;B288,"株探"))</f>
        <v/>
      </c>
      <c r="B288" s="480"/>
      <c r="C288" s="480"/>
      <c r="D288" s="480" t="str" cm="1">
        <f t="array" ref="D288">_xll.RssMarket(B288, "銘柄名称")</f>
        <v/>
      </c>
      <c r="E288" s="717"/>
      <c r="F288" s="698" t="str" cm="1">
        <f t="array" aca="1" ref="F288" ca="1">IFERROR(_xlfn.LET(_xlpm.r,MATCH(TEXT($B288,"0"),TEXT(銘柄管理!$B$6:$B$305,"0"),0),_xlpm.t,MOD(NOW(),1),_xlpm.c,IF($E288=TODAY(),IF(_xlpm.t&gt;=TIME(15,30,0),NA(),1),IF(MATCH($E288,始値!$E$3:$IT$3,0)=1,1,MATCH($E288,始値!$E$3:$IT$3,0)+1)),_xlpm.v,INDEX(始値!$C$6:$IT$305,_xlpm.r,_xlpm.c),IF(N(_xlpm.v)=0,"",_xlpm.v)),"")</f>
        <v/>
      </c>
      <c r="G288" s="480"/>
      <c r="H288" s="480" t="str" cm="1">
        <f t="array" ref="H288">_xll.RssMarket(B288, "現在値")</f>
        <v/>
      </c>
      <c r="I288" s="480" t="str" cm="1">
        <f t="array" ref="I288">_xll.RssMarket(B288, "出来高加重平均")</f>
        <v/>
      </c>
      <c r="J288" s="702" t="str" cm="1">
        <f t="array" ref="J288">_xll.RssMarket($B288, "前日比")</f>
        <v/>
      </c>
      <c r="K288" s="703" t="str">
        <f>IF(OR(F288="",G288="",H288=""),"",IF(C288="売",(F288-H288)*G288,(H288-F288)*G288))</f>
        <v/>
      </c>
      <c r="L288" s="708" t="str">
        <f>IF(OR(F288="",H288=""),"",IF(C288="売",(F288-H288)/F288,(H288-F288)/F288))</f>
        <v/>
      </c>
      <c r="M288" s="598" t="str">
        <f>IF($F288="","",$F288*IF($C288="売",1-V811設定!$B$4,1+V811設定!$B$4)-MOD($F288*IF($C288="売",1-V811設定!$B$4,1+V811設定!$B$4),IF($F288&lt;=3000,1,IF($F288&lt;=5000,5,IF($F288&lt;=30000,10,IF($F288&lt;=50000,50,IF($F288&lt;=300000,100,500))))))+IF(AND($C288="売",MOD($F288*IF($C288="売",1-V811設定!$B$4,1+V811設定!$B$4),IF($F288&lt;=3000,1,IF($F288&lt;=5000,5,IF($F288&lt;=30000,10,IF($F288&lt;=50000,50,IF($F288&lt;=300000,100,500))))))&gt;0),IF($F288&lt;=3000,1,IF($F288&lt;=5000,5,IF($F288&lt;=30000,10,IF($F288&lt;=50000,50,IF($F288&lt;=300000,100,500))))),0))</f>
      </c>
      <c r="N288" s="598" t="str">
        <f>IF($F288="","",$F288*IF($C288="売",1+V811設定!$B$3,1-V811設定!$B$3)-MOD($F288*IF($C288="売",1+V811設定!$B$3,1-V811設定!$B$3),IF($F288&lt;=3000,1,IF($F288&lt;=5000,5,IF($F288&lt;=30000,10,IF($F288&lt;=50000,50,IF($F288&lt;=300000,100,500))))))+IF(AND($C288="売",MOD($F288*IF($C288="売",1+V811設定!$B$3,1-V811設定!$B$3),IF($F288&lt;=3000,1,IF($F288&lt;=5000,5,IF($F288&lt;=30000,10,IF($F288&lt;=50000,50,IF($F288&lt;=300000,100,500))))))&gt;0),IF($F288&lt;=3000,1,IF($F288&lt;=5000,5,IF($F288&lt;=30000,10,IF($F288&lt;=50000,50,IF($F288&lt;=300000,100,500))))),0))</f>
      </c>
      <c r="O288" s="478" t="str">
        <f>IF(OR($B288="",$F288="",$H288=""),"",IF($S288="✅売却済","―決済済―",IF($C288="売",IF($H288&lt;=$M288,"🟢利確",IF(AND($R288&lt;&gt;"",$H288&gt;=$R288),"🟠TRAIL",IF($H288&gt;=$N288,"🔴損切",IF($W288&gt;=V811設定!$B$6,"⏱時間決済",IF($H288&gt;=$F288*(1+V811設定!$B$3*0.7),"⚠️損切接近","保持継続"))))),IF($H288&gt;=$M288,"🟢利確",IF(AND($R288&lt;&gt;"",$H288&lt;=$R288),"🟠TRAIL",IF($H288&lt;=$N288,"🔴損切",IF($W288&gt;=V811設定!$B$6,"⏱時間決済",IF($H288&lt;=$F288*(1-V811設定!$B$3*0.7),"⚠️損切接近","保持継続"))))))))</f>
      </c>
      <c r="P288" s="445"/>
      <c r="Q288" s="445"/>
      <c r="R288" s="480" t="str">
        <f>IF(OR($F288="",$H288="",$N288=""),"",IF($S288="✅売却済","",IF($C288="売",IF($H288&gt;$F288*(1-V811設定!$B$3),$N288,MIN($N288,IF($Q288="",$N288,$Q288*1.03))),IF($H288&lt;$F288*(1+V811設定!$B$3),$N288,MAX($N288,IF($P288="",$N288,$P288*0.97))))))</f>
      </c>
      <c r="S288" s="480" t="str">
        <f>IF(B288="","",IF(T288&lt;&gt;"","✅売却済",IF(OR(H288="",L288=""),"📌保有中",IF(L288&gt;=0.06,"🟢利確推奨",IF(L288&gt;=0.05,"🟡利確直近",IF(L288&gt;=0.045,"🔵トレーリング検討",IF(L288&gt;-0.03,"📌保有中",IF(L288&gt;-0.04,"⚠️損切注意","🔴損切り"))))))))</f>
        <v/>
      </c>
      <c r="T288" s="596"/>
      <c r="U288" s="598"/>
      <c r="V288" s="703" t="str">
        <f>IF(OR(F288="",G288="",U288=""),"",IF(C288="売",(F288-U288)*G288,(U288-F288)*G288))</f>
        <v/>
      </c>
      <c r="W288" s="480" t="str">
        <f>IF(OR($E288="",$B288=""),"",IF($T288&lt;&gt;"",$T288-$E288,TODAY()-$E288)+1)</f>
        <v/>
      </c>
      <c r="X288" s="480" t="str">
        <f>IF(OR($AH288="",$AH288="保有中"),"",$AH288)</f>
        <v/>
      </c>
      <c r="Y288" s="488"/>
      <c r="Z288" s="710"/>
      <c r="AD288" s="608"/>
      <c r="AE288" s="600" t="str">
        <f>IF($E288="","",WORKDAY($E288,12))</f>
        <v/>
      </c>
      <c r="AF288" s="600" t="str" cm="1">
        <f t="array" aca="1" ref="AF288" ca="1">IF(OR($B288="",$M288=""),"",IFERROR(IF($C288="売",_xlfn.MINIFS(安値!$E$3:$IT$3,安値!$E$3:$IT$3,"&gt;"&amp;$E288,安値!$E$3:$IT$3,"&lt;="&amp;$AE288,OFFSET(安値!$E$6:$IT$6,MATCH(TEXT($B288,"0"),TEXT(銘柄管理!$B$6:$B$305,"0"),0)-1,0),"&lt;="&amp;$M288),_xlfn.MINIFS(高値!$E$3:$IT$3,高値!$E$3:$IT$3,"&gt;"&amp;$E288,高値!$E$3:$IT$3,"&lt;="&amp;$AE288,OFFSET(高値!$E$6:$IT$6,MATCH(TEXT($B288,"0"),TEXT(銘柄管理!$B$6:$B$305,"0"),0)-1,0),"&gt;="&amp;$M288)),""))</f>
        <v/>
      </c>
      <c r="AG288" s="600" t="str" cm="1">
        <f t="array" aca="1" ref="AG288" ca="1">IF(OR($B288="",$N288=""),"",IFERROR(IF($C288="売",_xlfn.MINIFS(高値!$E$3:$IT$3,高値!$E$3:$IT$3,"&gt;"&amp;$E288,高値!$E$3:$IT$3,"&lt;="&amp;$AE288,OFFSET(高値!$E$6:$IT$6,MATCH(TEXT($B288,"0"),TEXT(銘柄管理!$B$6:$B$305,"0"),0)-1,0),"&gt;="&amp;$N288),_xlfn.MINIFS(安値!$E$3:$IT$3,安値!$E$3:$IT$3,"&gt;"&amp;$E288,安値!$E$3:$IT$3,"&lt;="&amp;$AE288,OFFSET(安値!$E$6:$IT$6,MATCH(TEXT($B288,"0"),TEXT(銘柄管理!$B$6:$B$305,"0"),0)-1,0),"&lt;="&amp;$N288)),""))</f>
        <v/>
      </c>
      <c r="AH288" s="600" t="str">
        <f>IF(OR($B288="",$M288=""),"",IF(AND(N($AF288)=0,N($AG288)=0),IF(AND(ISNUMBER($H288),$H288&gt;0,IF($C288="売",$H288&gt;=$N288,$H288&lt;=$N288)),"損切確定",IF(AND(ISNUMBER($H288),$H288&gt;0,IF($C288="売",$H288&lt;=$M288,$H288&gt;=$M288)),"利益確定",IF($AE288&lt;=TODAY(),"日数制限","保有中"))),IF(N($AG288)=0,"利益確定",IF(N($AF288)=0,"損切確定",IF($AG288&lt;=$AF288,"損切確定","利益確定")))))</f>
        <v/>
      </c>
      <c r="AI288" s="600" t="str" cm="1">
        <f t="array" ref="AI288">IFERROR(INDEX(始値!$E$6:$IT$305,MATCH(TEXT($B288,"0"),TEXT(銘柄管理!$B$6:$B$305,"0"),0),MATCH($AE288,始値!$E$3:$IT$3,0)),"")</f>
        <v/>
      </c>
      <c r="AJ288" s="608" t="str">
        <f>IF(OR($V288="",$F288="",$G288=""),"",$V288/($F288*$G288))</f>
        <v/>
      </c>
      <c r="AK288" s="600" t="str">
        <f>IF($V288="","",IF($V288&gt;0,"○勝",IF($V288&lt;0,"●負","△引分")))</f>
        <v/>
      </c>
    </row>
    <row r="289" spans="1:37" ht="17.25" customHeight="1">
      <c r="A289" s="621" t="str">
        <f>IF(B289="","",HYPERLINK("https://kabutan.jp/stock/?code="&amp;B289,"株探"))</f>
        <v/>
      </c>
      <c r="B289" s="480"/>
      <c r="C289" s="480"/>
      <c r="D289" s="480" t="str" cm="1">
        <f t="array" ref="D289">_xll.RssMarket(B289, "銘柄名称")</f>
        <v/>
      </c>
      <c r="E289" s="717"/>
      <c r="F289" s="698" t="str" cm="1">
        <f t="array" aca="1" ref="F289" ca="1">IFERROR(_xlfn.LET(_xlpm.r,MATCH(TEXT($B289,"0"),TEXT(銘柄管理!$B$6:$B$305,"0"),0),_xlpm.t,MOD(NOW(),1),_xlpm.c,IF($E289=TODAY(),IF(_xlpm.t&gt;=TIME(15,30,0),NA(),1),IF(MATCH($E289,始値!$E$3:$IT$3,0)=1,1,MATCH($E289,始値!$E$3:$IT$3,0)+1)),_xlpm.v,INDEX(始値!$C$6:$IT$305,_xlpm.r,_xlpm.c),IF(N(_xlpm.v)=0,"",_xlpm.v)),"")</f>
        <v/>
      </c>
      <c r="G289" s="480"/>
      <c r="H289" s="480" t="str" cm="1">
        <f t="array" ref="H289">_xll.RssMarket(B289, "現在値")</f>
        <v/>
      </c>
      <c r="I289" s="480" t="str" cm="1">
        <f t="array" ref="I289">_xll.RssMarket(B289, "出来高加重平均")</f>
        <v/>
      </c>
      <c r="J289" s="702" t="str" cm="1">
        <f t="array" ref="J289">_xll.RssMarket($B289, "前日比")</f>
        <v/>
      </c>
      <c r="K289" s="703" t="str">
        <f>IF(OR(F289="",G289="",H289=""),"",IF(C289="売",(F289-H289)*G289,(H289-F289)*G289))</f>
        <v/>
      </c>
      <c r="L289" s="708" t="str">
        <f>IF(OR(F289="",H289=""),"",IF(C289="売",(F289-H289)/F289,(H289-F289)/F289))</f>
        <v/>
      </c>
      <c r="M289" s="598" t="str">
        <f>IF($F289="","",$F289*IF($C289="売",1-V811設定!$B$4,1+V811設定!$B$4)-MOD($F289*IF($C289="売",1-V811設定!$B$4,1+V811設定!$B$4),IF($F289&lt;=3000,1,IF($F289&lt;=5000,5,IF($F289&lt;=30000,10,IF($F289&lt;=50000,50,IF($F289&lt;=300000,100,500))))))+IF(AND($C289="売",MOD($F289*IF($C289="売",1-V811設定!$B$4,1+V811設定!$B$4),IF($F289&lt;=3000,1,IF($F289&lt;=5000,5,IF($F289&lt;=30000,10,IF($F289&lt;=50000,50,IF($F289&lt;=300000,100,500))))))&gt;0),IF($F289&lt;=3000,1,IF($F289&lt;=5000,5,IF($F289&lt;=30000,10,IF($F289&lt;=50000,50,IF($F289&lt;=300000,100,500))))),0))</f>
      </c>
      <c r="N289" s="598" t="str">
        <f>IF($F289="","",$F289*IF($C289="売",1+V811設定!$B$3,1-V811設定!$B$3)-MOD($F289*IF($C289="売",1+V811設定!$B$3,1-V811設定!$B$3),IF($F289&lt;=3000,1,IF($F289&lt;=5000,5,IF($F289&lt;=30000,10,IF($F289&lt;=50000,50,IF($F289&lt;=300000,100,500))))))+IF(AND($C289="売",MOD($F289*IF($C289="売",1+V811設定!$B$3,1-V811設定!$B$3),IF($F289&lt;=3000,1,IF($F289&lt;=5000,5,IF($F289&lt;=30000,10,IF($F289&lt;=50000,50,IF($F289&lt;=300000,100,500))))))&gt;0),IF($F289&lt;=3000,1,IF($F289&lt;=5000,5,IF($F289&lt;=30000,10,IF($F289&lt;=50000,50,IF($F289&lt;=300000,100,500))))),0))</f>
      </c>
      <c r="O289" s="478" t="str">
        <f>IF(OR($B289="",$F289="",$H289=""),"",IF($S289="✅売却済","―決済済―",IF($C289="売",IF($H289&lt;=$M289,"🟢利確",IF(AND($R289&lt;&gt;"",$H289&gt;=$R289),"🟠TRAIL",IF($H289&gt;=$N289,"🔴損切",IF($W289&gt;=V811設定!$B$6,"⏱時間決済",IF($H289&gt;=$F289*(1+V811設定!$B$3*0.7),"⚠️損切接近","保持継続"))))),IF($H289&gt;=$M289,"🟢利確",IF(AND($R289&lt;&gt;"",$H289&lt;=$R289),"🟠TRAIL",IF($H289&lt;=$N289,"🔴損切",IF($W289&gt;=V811設定!$B$6,"⏱時間決済",IF($H289&lt;=$F289*(1-V811設定!$B$3*0.7),"⚠️損切接近","保持継続"))))))))</f>
      </c>
      <c r="P289" s="445"/>
      <c r="Q289" s="445"/>
      <c r="R289" s="480" t="str">
        <f>IF(OR($F289="",$H289="",$N289=""),"",IF($S289="✅売却済","",IF($C289="売",IF($H289&gt;$F289*(1-V811設定!$B$3),$N289,MIN($N289,IF($Q289="",$N289,$Q289*1.03))),IF($H289&lt;$F289*(1+V811設定!$B$3),$N289,MAX($N289,IF($P289="",$N289,$P289*0.97))))))</f>
      </c>
      <c r="S289" s="480" t="str">
        <f>IF(B289="","",IF(T289&lt;&gt;"","✅売却済",IF(OR(H289="",L289=""),"📌保有中",IF(L289&gt;=0.06,"🟢利確推奨",IF(L289&gt;=0.05,"🟡利確直近",IF(L289&gt;=0.045,"🔵トレーリング検討",IF(L289&gt;-0.03,"📌保有中",IF(L289&gt;-0.04,"⚠️損切注意","🔴損切り"))))))))</f>
        <v/>
      </c>
      <c r="T289" s="596"/>
      <c r="U289" s="598"/>
      <c r="V289" s="703" t="str">
        <f>IF(OR(F289="",G289="",U289=""),"",IF(C289="売",(F289-U289)*G289,(U289-F289)*G289))</f>
        <v/>
      </c>
      <c r="W289" s="480" t="str">
        <f>IF(OR($E289="",$B289=""),"",IF($T289&lt;&gt;"",$T289-$E289,TODAY()-$E289)+1)</f>
        <v/>
      </c>
      <c r="X289" s="480" t="str">
        <f>IF(OR($AH289="",$AH289="保有中"),"",$AH289)</f>
        <v/>
      </c>
      <c r="Y289" s="488"/>
      <c r="Z289" s="710"/>
      <c r="AD289" s="608"/>
      <c r="AE289" s="600" t="str">
        <f>IF($E289="","",WORKDAY($E289,12))</f>
        <v/>
      </c>
      <c r="AF289" s="600" t="str" cm="1">
        <f t="array" aca="1" ref="AF289" ca="1">IF(OR($B289="",$M289=""),"",IFERROR(IF($C289="売",_xlfn.MINIFS(安値!$E$3:$IT$3,安値!$E$3:$IT$3,"&gt;"&amp;$E289,安値!$E$3:$IT$3,"&lt;="&amp;$AE289,OFFSET(安値!$E$6:$IT$6,MATCH(TEXT($B289,"0"),TEXT(銘柄管理!$B$6:$B$305,"0"),0)-1,0),"&lt;="&amp;$M289),_xlfn.MINIFS(高値!$E$3:$IT$3,高値!$E$3:$IT$3,"&gt;"&amp;$E289,高値!$E$3:$IT$3,"&lt;="&amp;$AE289,OFFSET(高値!$E$6:$IT$6,MATCH(TEXT($B289,"0"),TEXT(銘柄管理!$B$6:$B$305,"0"),0)-1,0),"&gt;="&amp;$M289)),""))</f>
        <v/>
      </c>
      <c r="AG289" s="600" t="str" cm="1">
        <f t="array" aca="1" ref="AG289" ca="1">IF(OR($B289="",$N289=""),"",IFERROR(IF($C289="売",_xlfn.MINIFS(高値!$E$3:$IT$3,高値!$E$3:$IT$3,"&gt;"&amp;$E289,高値!$E$3:$IT$3,"&lt;="&amp;$AE289,OFFSET(高値!$E$6:$IT$6,MATCH(TEXT($B289,"0"),TEXT(銘柄管理!$B$6:$B$305,"0"),0)-1,0),"&gt;="&amp;$N289),_xlfn.MINIFS(安値!$E$3:$IT$3,安値!$E$3:$IT$3,"&gt;"&amp;$E289,安値!$E$3:$IT$3,"&lt;="&amp;$AE289,OFFSET(安値!$E$6:$IT$6,MATCH(TEXT($B289,"0"),TEXT(銘柄管理!$B$6:$B$305,"0"),0)-1,0),"&lt;="&amp;$N289)),""))</f>
        <v/>
      </c>
      <c r="AH289" s="600" t="str">
        <f>IF(OR($B289="",$M289=""),"",IF(AND(N($AF289)=0,N($AG289)=0),IF(AND(ISNUMBER($H289),$H289&gt;0,IF($C289="売",$H289&gt;=$N289,$H289&lt;=$N289)),"損切確定",IF(AND(ISNUMBER($H289),$H289&gt;0,IF($C289="売",$H289&lt;=$M289,$H289&gt;=$M289)),"利益確定",IF($AE289&lt;=TODAY(),"日数制限","保有中"))),IF(N($AG289)=0,"利益確定",IF(N($AF289)=0,"損切確定",IF($AG289&lt;=$AF289,"損切確定","利益確定")))))</f>
        <v/>
      </c>
      <c r="AI289" s="600" t="str" cm="1">
        <f t="array" ref="AI289">IFERROR(INDEX(始値!$E$6:$IT$305,MATCH(TEXT($B289,"0"),TEXT(銘柄管理!$B$6:$B$305,"0"),0),MATCH($AE289,始値!$E$3:$IT$3,0)),"")</f>
        <v/>
      </c>
      <c r="AJ289" s="608" t="str">
        <f>IF(OR($V289="",$F289="",$G289=""),"",$V289/($F289*$G289))</f>
        <v/>
      </c>
      <c r="AK289" s="600" t="str">
        <f>IF($V289="","",IF($V289&gt;0,"○勝",IF($V289&lt;0,"●負","△引分")))</f>
        <v/>
      </c>
    </row>
    <row r="290" spans="1:37" ht="17.25" customHeight="1">
      <c r="A290" s="621" t="str">
        <f>IF(B290="","",HYPERLINK("https://kabutan.jp/stock/?code="&amp;B290,"株探"))</f>
        <v/>
      </c>
      <c r="B290" s="480"/>
      <c r="C290" s="480"/>
      <c r="D290" s="480" t="str" cm="1">
        <f t="array" ref="D290">_xll.RssMarket(B290, "銘柄名称")</f>
        <v/>
      </c>
      <c r="E290" s="717"/>
      <c r="F290" s="698" t="str" cm="1">
        <f t="array" aca="1" ref="F290" ca="1">IFERROR(_xlfn.LET(_xlpm.r,MATCH(TEXT($B290,"0"),TEXT(銘柄管理!$B$6:$B$305,"0"),0),_xlpm.t,MOD(NOW(),1),_xlpm.c,IF($E290=TODAY(),IF(_xlpm.t&gt;=TIME(15,30,0),NA(),1),IF(MATCH($E290,始値!$E$3:$IT$3,0)=1,1,MATCH($E290,始値!$E$3:$IT$3,0)+1)),_xlpm.v,INDEX(始値!$C$6:$IT$305,_xlpm.r,_xlpm.c),IF(N(_xlpm.v)=0,"",_xlpm.v)),"")</f>
        <v/>
      </c>
      <c r="G290" s="480"/>
      <c r="H290" s="480" t="str" cm="1">
        <f t="array" ref="H290">_xll.RssMarket(B290, "現在値")</f>
        <v/>
      </c>
      <c r="I290" s="480" t="str" cm="1">
        <f t="array" ref="I290">_xll.RssMarket(B290, "出来高加重平均")</f>
        <v/>
      </c>
      <c r="J290" s="702" t="str" cm="1">
        <f t="array" ref="J290">_xll.RssMarket($B290, "前日比")</f>
        <v/>
      </c>
      <c r="K290" s="703" t="str">
        <f>IF(OR(F290="",G290="",H290=""),"",IF(C290="売",(F290-H290)*G290,(H290-F290)*G290))</f>
        <v/>
      </c>
      <c r="L290" s="708" t="str">
        <f>IF(OR(F290="",H290=""),"",IF(C290="売",(F290-H290)/F290,(H290-F290)/F290))</f>
        <v/>
      </c>
      <c r="M290" s="598" t="str">
        <f>IF($F290="","",$F290*IF($C290="売",1-V811設定!$B$4,1+V811設定!$B$4)-MOD($F290*IF($C290="売",1-V811設定!$B$4,1+V811設定!$B$4),IF($F290&lt;=3000,1,IF($F290&lt;=5000,5,IF($F290&lt;=30000,10,IF($F290&lt;=50000,50,IF($F290&lt;=300000,100,500))))))+IF(AND($C290="売",MOD($F290*IF($C290="売",1-V811設定!$B$4,1+V811設定!$B$4),IF($F290&lt;=3000,1,IF($F290&lt;=5000,5,IF($F290&lt;=30000,10,IF($F290&lt;=50000,50,IF($F290&lt;=300000,100,500))))))&gt;0),IF($F290&lt;=3000,1,IF($F290&lt;=5000,5,IF($F290&lt;=30000,10,IF($F290&lt;=50000,50,IF($F290&lt;=300000,100,500))))),0))</f>
      </c>
      <c r="N290" s="598" t="str">
        <f>IF($F290="","",$F290*IF($C290="売",1+V811設定!$B$3,1-V811設定!$B$3)-MOD($F290*IF($C290="売",1+V811設定!$B$3,1-V811設定!$B$3),IF($F290&lt;=3000,1,IF($F290&lt;=5000,5,IF($F290&lt;=30000,10,IF($F290&lt;=50000,50,IF($F290&lt;=300000,100,500))))))+IF(AND($C290="売",MOD($F290*IF($C290="売",1+V811設定!$B$3,1-V811設定!$B$3),IF($F290&lt;=3000,1,IF($F290&lt;=5000,5,IF($F290&lt;=30000,10,IF($F290&lt;=50000,50,IF($F290&lt;=300000,100,500))))))&gt;0),IF($F290&lt;=3000,1,IF($F290&lt;=5000,5,IF($F290&lt;=30000,10,IF($F290&lt;=50000,50,IF($F290&lt;=300000,100,500))))),0))</f>
      </c>
      <c r="O290" s="478" t="str">
        <f>IF(OR($B290="",$F290="",$H290=""),"",IF($S290="✅売却済","―決済済―",IF($C290="売",IF($H290&lt;=$M290,"🟢利確",IF(AND($R290&lt;&gt;"",$H290&gt;=$R290),"🟠TRAIL",IF($H290&gt;=$N290,"🔴損切",IF($W290&gt;=V811設定!$B$6,"⏱時間決済",IF($H290&gt;=$F290*(1+V811設定!$B$3*0.7),"⚠️損切接近","保持継続"))))),IF($H290&gt;=$M290,"🟢利確",IF(AND($R290&lt;&gt;"",$H290&lt;=$R290),"🟠TRAIL",IF($H290&lt;=$N290,"🔴損切",IF($W290&gt;=V811設定!$B$6,"⏱時間決済",IF($H290&lt;=$F290*(1-V811設定!$B$3*0.7),"⚠️損切接近","保持継続"))))))))</f>
      </c>
      <c r="P290" s="445"/>
      <c r="Q290" s="445"/>
      <c r="R290" s="480" t="str">
        <f>IF(OR($F290="",$H290="",$N290=""),"",IF($S290="✅売却済","",IF($C290="売",IF($H290&gt;$F290*(1-V811設定!$B$3),$N290,MIN($N290,IF($Q290="",$N290,$Q290*1.03))),IF($H290&lt;$F290*(1+V811設定!$B$3),$N290,MAX($N290,IF($P290="",$N290,$P290*0.97))))))</f>
      </c>
      <c r="S290" s="480" t="str">
        <f>IF(B290="","",IF(T290&lt;&gt;"","✅売却済",IF(OR(H290="",L290=""),"📌保有中",IF(L290&gt;=0.06,"🟢利確推奨",IF(L290&gt;=0.05,"🟡利確直近",IF(L290&gt;=0.045,"🔵トレーリング検討",IF(L290&gt;-0.03,"📌保有中",IF(L290&gt;-0.04,"⚠️損切注意","🔴損切り"))))))))</f>
        <v/>
      </c>
      <c r="T290" s="596"/>
      <c r="U290" s="598"/>
      <c r="V290" s="703" t="str">
        <f>IF(OR(F290="",G290="",U290=""),"",IF(C290="売",(F290-U290)*G290,(U290-F290)*G290))</f>
        <v/>
      </c>
      <c r="W290" s="480" t="str">
        <f>IF(OR($E290="",$B290=""),"",IF($T290&lt;&gt;"",$T290-$E290,TODAY()-$E290)+1)</f>
        <v/>
      </c>
      <c r="X290" s="480" t="str">
        <f>IF(OR($AH290="",$AH290="保有中"),"",$AH290)</f>
        <v/>
      </c>
      <c r="Y290" s="488"/>
      <c r="Z290" s="710"/>
      <c r="AD290" s="608"/>
      <c r="AE290" s="600" t="str">
        <f>IF($E290="","",WORKDAY($E290,12))</f>
        <v/>
      </c>
      <c r="AF290" s="600" t="str" cm="1">
        <f t="array" aca="1" ref="AF290" ca="1">IF(OR($B290="",$M290=""),"",IFERROR(IF($C290="売",_xlfn.MINIFS(安値!$E$3:$IT$3,安値!$E$3:$IT$3,"&gt;"&amp;$E290,安値!$E$3:$IT$3,"&lt;="&amp;$AE290,OFFSET(安値!$E$6:$IT$6,MATCH(TEXT($B290,"0"),TEXT(銘柄管理!$B$6:$B$305,"0"),0)-1,0),"&lt;="&amp;$M290),_xlfn.MINIFS(高値!$E$3:$IT$3,高値!$E$3:$IT$3,"&gt;"&amp;$E290,高値!$E$3:$IT$3,"&lt;="&amp;$AE290,OFFSET(高値!$E$6:$IT$6,MATCH(TEXT($B290,"0"),TEXT(銘柄管理!$B$6:$B$305,"0"),0)-1,0),"&gt;="&amp;$M290)),""))</f>
        <v/>
      </c>
      <c r="AG290" s="600" t="str" cm="1">
        <f t="array" aca="1" ref="AG290" ca="1">IF(OR($B290="",$N290=""),"",IFERROR(IF($C290="売",_xlfn.MINIFS(高値!$E$3:$IT$3,高値!$E$3:$IT$3,"&gt;"&amp;$E290,高値!$E$3:$IT$3,"&lt;="&amp;$AE290,OFFSET(高値!$E$6:$IT$6,MATCH(TEXT($B290,"0"),TEXT(銘柄管理!$B$6:$B$305,"0"),0)-1,0),"&gt;="&amp;$N290),_xlfn.MINIFS(安値!$E$3:$IT$3,安値!$E$3:$IT$3,"&gt;"&amp;$E290,安値!$E$3:$IT$3,"&lt;="&amp;$AE290,OFFSET(安値!$E$6:$IT$6,MATCH(TEXT($B290,"0"),TEXT(銘柄管理!$B$6:$B$305,"0"),0)-1,0),"&lt;="&amp;$N290)),""))</f>
        <v/>
      </c>
      <c r="AH290" s="600" t="str">
        <f>IF(OR($B290="",$M290=""),"",IF(AND(N($AF290)=0,N($AG290)=0),IF(AND(ISNUMBER($H290),$H290&gt;0,IF($C290="売",$H290&gt;=$N290,$H290&lt;=$N290)),"損切確定",IF(AND(ISNUMBER($H290),$H290&gt;0,IF($C290="売",$H290&lt;=$M290,$H290&gt;=$M290)),"利益確定",IF($AE290&lt;=TODAY(),"日数制限","保有中"))),IF(N($AG290)=0,"利益確定",IF(N($AF290)=0,"損切確定",IF($AG290&lt;=$AF290,"損切確定","利益確定")))))</f>
        <v/>
      </c>
      <c r="AI290" s="600" t="str" cm="1">
        <f t="array" ref="AI290">IFERROR(INDEX(始値!$E$6:$IT$305,MATCH(TEXT($B290,"0"),TEXT(銘柄管理!$B$6:$B$305,"0"),0),MATCH($AE290,始値!$E$3:$IT$3,0)),"")</f>
        <v/>
      </c>
      <c r="AJ290" s="608" t="str">
        <f>IF(OR($V290="",$F290="",$G290=""),"",$V290/($F290*$G290))</f>
        <v/>
      </c>
      <c r="AK290" s="600" t="str">
        <f>IF($V290="","",IF($V290&gt;0,"○勝",IF($V290&lt;0,"●負","△引分")))</f>
        <v/>
      </c>
    </row>
    <row r="291" spans="1:37" ht="17.25" customHeight="1">
      <c r="A291" s="621" t="str">
        <f>IF(B291="","",HYPERLINK("https://kabutan.jp/stock/?code="&amp;B291,"株探"))</f>
        <v/>
      </c>
      <c r="B291" s="480"/>
      <c r="C291" s="480"/>
      <c r="D291" s="480" t="str" cm="1">
        <f t="array" ref="D291">_xll.RssMarket(B291, "銘柄名称")</f>
        <v/>
      </c>
      <c r="E291" s="717"/>
      <c r="F291" s="698" t="str" cm="1">
        <f t="array" aca="1" ref="F291" ca="1">IFERROR(_xlfn.LET(_xlpm.r,MATCH(TEXT($B291,"0"),TEXT(銘柄管理!$B$6:$B$305,"0"),0),_xlpm.t,MOD(NOW(),1),_xlpm.c,IF($E291=TODAY(),IF(_xlpm.t&gt;=TIME(15,30,0),NA(),1),IF(MATCH($E291,始値!$E$3:$IT$3,0)=1,1,MATCH($E291,始値!$E$3:$IT$3,0)+1)),_xlpm.v,INDEX(始値!$C$6:$IT$305,_xlpm.r,_xlpm.c),IF(N(_xlpm.v)=0,"",_xlpm.v)),"")</f>
        <v/>
      </c>
      <c r="G291" s="480"/>
      <c r="H291" s="480" t="str" cm="1">
        <f t="array" ref="H291">_xll.RssMarket(B291, "現在値")</f>
        <v/>
      </c>
      <c r="I291" s="480" t="str" cm="1">
        <f t="array" ref="I291">_xll.RssMarket(B291, "出来高加重平均")</f>
        <v/>
      </c>
      <c r="J291" s="702" t="str" cm="1">
        <f t="array" ref="J291">_xll.RssMarket($B291, "前日比")</f>
        <v/>
      </c>
      <c r="K291" s="703" t="str">
        <f>IF(OR(F291="",G291="",H291=""),"",IF(C291="売",(F291-H291)*G291,(H291-F291)*G291))</f>
        <v/>
      </c>
      <c r="L291" s="708" t="str">
        <f>IF(OR(F291="",H291=""),"",IF(C291="売",(F291-H291)/F291,(H291-F291)/F291))</f>
        <v/>
      </c>
      <c r="M291" s="598" t="str">
        <f>IF($F291="","",$F291*IF($C291="売",1-V811設定!$B$4,1+V811設定!$B$4)-MOD($F291*IF($C291="売",1-V811設定!$B$4,1+V811設定!$B$4),IF($F291&lt;=3000,1,IF($F291&lt;=5000,5,IF($F291&lt;=30000,10,IF($F291&lt;=50000,50,IF($F291&lt;=300000,100,500))))))+IF(AND($C291="売",MOD($F291*IF($C291="売",1-V811設定!$B$4,1+V811設定!$B$4),IF($F291&lt;=3000,1,IF($F291&lt;=5000,5,IF($F291&lt;=30000,10,IF($F291&lt;=50000,50,IF($F291&lt;=300000,100,500))))))&gt;0),IF($F291&lt;=3000,1,IF($F291&lt;=5000,5,IF($F291&lt;=30000,10,IF($F291&lt;=50000,50,IF($F291&lt;=300000,100,500))))),0))</f>
      </c>
      <c r="N291" s="598" t="str">
        <f>IF($F291="","",$F291*IF($C291="売",1+V811設定!$B$3,1-V811設定!$B$3)-MOD($F291*IF($C291="売",1+V811設定!$B$3,1-V811設定!$B$3),IF($F291&lt;=3000,1,IF($F291&lt;=5000,5,IF($F291&lt;=30000,10,IF($F291&lt;=50000,50,IF($F291&lt;=300000,100,500))))))+IF(AND($C291="売",MOD($F291*IF($C291="売",1+V811設定!$B$3,1-V811設定!$B$3),IF($F291&lt;=3000,1,IF($F291&lt;=5000,5,IF($F291&lt;=30000,10,IF($F291&lt;=50000,50,IF($F291&lt;=300000,100,500))))))&gt;0),IF($F291&lt;=3000,1,IF($F291&lt;=5000,5,IF($F291&lt;=30000,10,IF($F291&lt;=50000,50,IF($F291&lt;=300000,100,500))))),0))</f>
      </c>
      <c r="O291" s="478" t="str">
        <f>IF(OR($B291="",$F291="",$H291=""),"",IF($S291="✅売却済","―決済済―",IF($C291="売",IF($H291&lt;=$M291,"🟢利確",IF(AND($R291&lt;&gt;"",$H291&gt;=$R291),"🟠TRAIL",IF($H291&gt;=$N291,"🔴損切",IF($W291&gt;=V811設定!$B$6,"⏱時間決済",IF($H291&gt;=$F291*(1+V811設定!$B$3*0.7),"⚠️損切接近","保持継続"))))),IF($H291&gt;=$M291,"🟢利確",IF(AND($R291&lt;&gt;"",$H291&lt;=$R291),"🟠TRAIL",IF($H291&lt;=$N291,"🔴損切",IF($W291&gt;=V811設定!$B$6,"⏱時間決済",IF($H291&lt;=$F291*(1-V811設定!$B$3*0.7),"⚠️損切接近","保持継続"))))))))</f>
      </c>
      <c r="P291" s="445"/>
      <c r="Q291" s="445"/>
      <c r="R291" s="480" t="str">
        <f>IF(OR($F291="",$H291="",$N291=""),"",IF($S291="✅売却済","",IF($C291="売",IF($H291&gt;$F291*(1-V811設定!$B$3),$N291,MIN($N291,IF($Q291="",$N291,$Q291*1.03))),IF($H291&lt;$F291*(1+V811設定!$B$3),$N291,MAX($N291,IF($P291="",$N291,$P291*0.97))))))</f>
      </c>
      <c r="S291" s="480" t="str">
        <f>IF(B291="","",IF(T291&lt;&gt;"","✅売却済",IF(OR(H291="",L291=""),"📌保有中",IF(L291&gt;=0.06,"🟢利確推奨",IF(L291&gt;=0.05,"🟡利確直近",IF(L291&gt;=0.045,"🔵トレーリング検討",IF(L291&gt;-0.03,"📌保有中",IF(L291&gt;-0.04,"⚠️損切注意","🔴損切り"))))))))</f>
        <v/>
      </c>
      <c r="T291" s="596"/>
      <c r="U291" s="598"/>
      <c r="V291" s="703" t="str">
        <f>IF(OR(F291="",G291="",U291=""),"",IF(C291="売",(F291-U291)*G291,(U291-F291)*G291))</f>
        <v/>
      </c>
      <c r="W291" s="480" t="str">
        <f>IF(OR($E291="",$B291=""),"",IF($T291&lt;&gt;"",$T291-$E291,TODAY()-$E291)+1)</f>
        <v/>
      </c>
      <c r="X291" s="480" t="str">
        <f>IF(OR($AH291="",$AH291="保有中"),"",$AH291)</f>
        <v/>
      </c>
      <c r="Y291" s="488"/>
      <c r="Z291" s="710"/>
      <c r="AD291" s="608"/>
      <c r="AE291" s="600" t="str">
        <f>IF($E291="","",WORKDAY($E291,12))</f>
        <v/>
      </c>
      <c r="AF291" s="600" t="str" cm="1">
        <f t="array" aca="1" ref="AF291" ca="1">IF(OR($B291="",$M291=""),"",IFERROR(IF($C291="売",_xlfn.MINIFS(安値!$E$3:$IT$3,安値!$E$3:$IT$3,"&gt;"&amp;$E291,安値!$E$3:$IT$3,"&lt;="&amp;$AE291,OFFSET(安値!$E$6:$IT$6,MATCH(TEXT($B291,"0"),TEXT(銘柄管理!$B$6:$B$305,"0"),0)-1,0),"&lt;="&amp;$M291),_xlfn.MINIFS(高値!$E$3:$IT$3,高値!$E$3:$IT$3,"&gt;"&amp;$E291,高値!$E$3:$IT$3,"&lt;="&amp;$AE291,OFFSET(高値!$E$6:$IT$6,MATCH(TEXT($B291,"0"),TEXT(銘柄管理!$B$6:$B$305,"0"),0)-1,0),"&gt;="&amp;$M291)),""))</f>
        <v/>
      </c>
      <c r="AG291" s="600" t="str" cm="1">
        <f t="array" aca="1" ref="AG291" ca="1">IF(OR($B291="",$N291=""),"",IFERROR(IF($C291="売",_xlfn.MINIFS(高値!$E$3:$IT$3,高値!$E$3:$IT$3,"&gt;"&amp;$E291,高値!$E$3:$IT$3,"&lt;="&amp;$AE291,OFFSET(高値!$E$6:$IT$6,MATCH(TEXT($B291,"0"),TEXT(銘柄管理!$B$6:$B$305,"0"),0)-1,0),"&gt;="&amp;$N291),_xlfn.MINIFS(安値!$E$3:$IT$3,安値!$E$3:$IT$3,"&gt;"&amp;$E291,安値!$E$3:$IT$3,"&lt;="&amp;$AE291,OFFSET(安値!$E$6:$IT$6,MATCH(TEXT($B291,"0"),TEXT(銘柄管理!$B$6:$B$305,"0"),0)-1,0),"&lt;="&amp;$N291)),""))</f>
        <v/>
      </c>
      <c r="AH291" s="600" t="str">
        <f>IF(OR($B291="",$M291=""),"",IF(AND(N($AF291)=0,N($AG291)=0),IF(AND(ISNUMBER($H291),$H291&gt;0,IF($C291="売",$H291&gt;=$N291,$H291&lt;=$N291)),"損切確定",IF(AND(ISNUMBER($H291),$H291&gt;0,IF($C291="売",$H291&lt;=$M291,$H291&gt;=$M291)),"利益確定",IF($AE291&lt;=TODAY(),"日数制限","保有中"))),IF(N($AG291)=0,"利益確定",IF(N($AF291)=0,"損切確定",IF($AG291&lt;=$AF291,"損切確定","利益確定")))))</f>
        <v/>
      </c>
      <c r="AI291" s="600" t="str" cm="1">
        <f t="array" ref="AI291">IFERROR(INDEX(始値!$E$6:$IT$305,MATCH(TEXT($B291,"0"),TEXT(銘柄管理!$B$6:$B$305,"0"),0),MATCH($AE291,始値!$E$3:$IT$3,0)),"")</f>
        <v/>
      </c>
      <c r="AJ291" s="608" t="str">
        <f>IF(OR($V291="",$F291="",$G291=""),"",$V291/($F291*$G291))</f>
        <v/>
      </c>
      <c r="AK291" s="600" t="str">
        <f>IF($V291="","",IF($V291&gt;0,"○勝",IF($V291&lt;0,"●負","△引分")))</f>
        <v/>
      </c>
    </row>
    <row r="292" spans="1:37" ht="17.25" customHeight="1">
      <c r="A292" s="621" t="str">
        <f>IF(B292="","",HYPERLINK("https://kabutan.jp/stock/?code="&amp;B292,"株探"))</f>
        <v/>
      </c>
      <c r="B292" s="480"/>
      <c r="C292" s="480"/>
      <c r="D292" s="480" t="str" cm="1">
        <f t="array" ref="D292">_xll.RssMarket(B292, "銘柄名称")</f>
        <v/>
      </c>
      <c r="E292" s="717"/>
      <c r="F292" s="698" t="str" cm="1">
        <f t="array" aca="1" ref="F292" ca="1">IFERROR(_xlfn.LET(_xlpm.r,MATCH(TEXT($B292,"0"),TEXT(銘柄管理!$B$6:$B$305,"0"),0),_xlpm.t,MOD(NOW(),1),_xlpm.c,IF($E292=TODAY(),IF(_xlpm.t&gt;=TIME(15,30,0),NA(),1),IF(MATCH($E292,始値!$E$3:$IT$3,0)=1,1,MATCH($E292,始値!$E$3:$IT$3,0)+1)),_xlpm.v,INDEX(始値!$C$6:$IT$305,_xlpm.r,_xlpm.c),IF(N(_xlpm.v)=0,"",_xlpm.v)),"")</f>
        <v/>
      </c>
      <c r="G292" s="480"/>
      <c r="H292" s="480" t="str" cm="1">
        <f t="array" ref="H292">_xll.RssMarket(B292, "現在値")</f>
        <v/>
      </c>
      <c r="I292" s="480" t="str" cm="1">
        <f t="array" ref="I292">_xll.RssMarket(B292, "出来高加重平均")</f>
        <v/>
      </c>
      <c r="J292" s="702" t="str" cm="1">
        <f t="array" ref="J292">_xll.RssMarket($B292, "前日比")</f>
        <v/>
      </c>
      <c r="K292" s="703" t="str">
        <f>IF(OR(F292="",G292="",H292=""),"",IF(C292="売",(F292-H292)*G292,(H292-F292)*G292))</f>
        <v/>
      </c>
      <c r="L292" s="708" t="str">
        <f>IF(OR(F292="",H292=""),"",IF(C292="売",(F292-H292)/F292,(H292-F292)/F292))</f>
        <v/>
      </c>
      <c r="M292" s="598" t="str">
        <f>IF($F292="","",$F292*IF($C292="売",1-V811設定!$B$4,1+V811設定!$B$4)-MOD($F292*IF($C292="売",1-V811設定!$B$4,1+V811設定!$B$4),IF($F292&lt;=3000,1,IF($F292&lt;=5000,5,IF($F292&lt;=30000,10,IF($F292&lt;=50000,50,IF($F292&lt;=300000,100,500))))))+IF(AND($C292="売",MOD($F292*IF($C292="売",1-V811設定!$B$4,1+V811設定!$B$4),IF($F292&lt;=3000,1,IF($F292&lt;=5000,5,IF($F292&lt;=30000,10,IF($F292&lt;=50000,50,IF($F292&lt;=300000,100,500))))))&gt;0),IF($F292&lt;=3000,1,IF($F292&lt;=5000,5,IF($F292&lt;=30000,10,IF($F292&lt;=50000,50,IF($F292&lt;=300000,100,500))))),0))</f>
      </c>
      <c r="N292" s="598" t="str">
        <f>IF($F292="","",$F292*IF($C292="売",1+V811設定!$B$3,1-V811設定!$B$3)-MOD($F292*IF($C292="売",1+V811設定!$B$3,1-V811設定!$B$3),IF($F292&lt;=3000,1,IF($F292&lt;=5000,5,IF($F292&lt;=30000,10,IF($F292&lt;=50000,50,IF($F292&lt;=300000,100,500))))))+IF(AND($C292="売",MOD($F292*IF($C292="売",1+V811設定!$B$3,1-V811設定!$B$3),IF($F292&lt;=3000,1,IF($F292&lt;=5000,5,IF($F292&lt;=30000,10,IF($F292&lt;=50000,50,IF($F292&lt;=300000,100,500))))))&gt;0),IF($F292&lt;=3000,1,IF($F292&lt;=5000,5,IF($F292&lt;=30000,10,IF($F292&lt;=50000,50,IF($F292&lt;=300000,100,500))))),0))</f>
      </c>
      <c r="O292" s="478" t="str">
        <f>IF(OR($B292="",$F292="",$H292=""),"",IF($S292="✅売却済","―決済済―",IF($C292="売",IF($H292&lt;=$M292,"🟢利確",IF(AND($R292&lt;&gt;"",$H292&gt;=$R292),"🟠TRAIL",IF($H292&gt;=$N292,"🔴損切",IF($W292&gt;=V811設定!$B$6,"⏱時間決済",IF($H292&gt;=$F292*(1+V811設定!$B$3*0.7),"⚠️損切接近","保持継続"))))),IF($H292&gt;=$M292,"🟢利確",IF(AND($R292&lt;&gt;"",$H292&lt;=$R292),"🟠TRAIL",IF($H292&lt;=$N292,"🔴損切",IF($W292&gt;=V811設定!$B$6,"⏱時間決済",IF($H292&lt;=$F292*(1-V811設定!$B$3*0.7),"⚠️損切接近","保持継続"))))))))</f>
      </c>
      <c r="P292" s="445"/>
      <c r="Q292" s="445"/>
      <c r="R292" s="480" t="str">
        <f>IF(OR($F292="",$H292="",$N292=""),"",IF($S292="✅売却済","",IF($C292="売",IF($H292&gt;$F292*(1-V811設定!$B$3),$N292,MIN($N292,IF($Q292="",$N292,$Q292*1.03))),IF($H292&lt;$F292*(1+V811設定!$B$3),$N292,MAX($N292,IF($P292="",$N292,$P292*0.97))))))</f>
      </c>
      <c r="S292" s="480" t="str">
        <f>IF(B292="","",IF(T292&lt;&gt;"","✅売却済",IF(OR(H292="",L292=""),"📌保有中",IF(L292&gt;=0.06,"🟢利確推奨",IF(L292&gt;=0.05,"🟡利確直近",IF(L292&gt;=0.045,"🔵トレーリング検討",IF(L292&gt;-0.03,"📌保有中",IF(L292&gt;-0.04,"⚠️損切注意","🔴損切り"))))))))</f>
        <v/>
      </c>
      <c r="T292" s="596"/>
      <c r="U292" s="598"/>
      <c r="V292" s="703" t="str">
        <f>IF(OR(F292="",G292="",U292=""),"",IF(C292="売",(F292-U292)*G292,(U292-F292)*G292))</f>
        <v/>
      </c>
      <c r="W292" s="480" t="str">
        <f>IF(OR($E292="",$B292=""),"",IF($T292&lt;&gt;"",$T292-$E292,TODAY()-$E292)+1)</f>
        <v/>
      </c>
      <c r="X292" s="480" t="str">
        <f>IF(OR($AH292="",$AH292="保有中"),"",$AH292)</f>
        <v/>
      </c>
      <c r="Y292" s="488"/>
      <c r="Z292" s="710"/>
      <c r="AD292" s="608"/>
      <c r="AE292" s="600" t="str">
        <f>IF($E292="","",WORKDAY($E292,12))</f>
        <v/>
      </c>
      <c r="AF292" s="600" t="str" cm="1">
        <f t="array" aca="1" ref="AF292" ca="1">IF(OR($B292="",$M292=""),"",IFERROR(IF($C292="売",_xlfn.MINIFS(安値!$E$3:$IT$3,安値!$E$3:$IT$3,"&gt;"&amp;$E292,安値!$E$3:$IT$3,"&lt;="&amp;$AE292,OFFSET(安値!$E$6:$IT$6,MATCH(TEXT($B292,"0"),TEXT(銘柄管理!$B$6:$B$305,"0"),0)-1,0),"&lt;="&amp;$M292),_xlfn.MINIFS(高値!$E$3:$IT$3,高値!$E$3:$IT$3,"&gt;"&amp;$E292,高値!$E$3:$IT$3,"&lt;="&amp;$AE292,OFFSET(高値!$E$6:$IT$6,MATCH(TEXT($B292,"0"),TEXT(銘柄管理!$B$6:$B$305,"0"),0)-1,0),"&gt;="&amp;$M292)),""))</f>
        <v/>
      </c>
      <c r="AG292" s="600" t="str" cm="1">
        <f t="array" aca="1" ref="AG292" ca="1">IF(OR($B292="",$N292=""),"",IFERROR(IF($C292="売",_xlfn.MINIFS(高値!$E$3:$IT$3,高値!$E$3:$IT$3,"&gt;"&amp;$E292,高値!$E$3:$IT$3,"&lt;="&amp;$AE292,OFFSET(高値!$E$6:$IT$6,MATCH(TEXT($B292,"0"),TEXT(銘柄管理!$B$6:$B$305,"0"),0)-1,0),"&gt;="&amp;$N292),_xlfn.MINIFS(安値!$E$3:$IT$3,安値!$E$3:$IT$3,"&gt;"&amp;$E292,安値!$E$3:$IT$3,"&lt;="&amp;$AE292,OFFSET(安値!$E$6:$IT$6,MATCH(TEXT($B292,"0"),TEXT(銘柄管理!$B$6:$B$305,"0"),0)-1,0),"&lt;="&amp;$N292)),""))</f>
        <v/>
      </c>
      <c r="AH292" s="600" t="str">
        <f>IF(OR($B292="",$M292=""),"",IF(AND(N($AF292)=0,N($AG292)=0),IF(AND(ISNUMBER($H292),$H292&gt;0,IF($C292="売",$H292&gt;=$N292,$H292&lt;=$N292)),"損切確定",IF(AND(ISNUMBER($H292),$H292&gt;0,IF($C292="売",$H292&lt;=$M292,$H292&gt;=$M292)),"利益確定",IF($AE292&lt;=TODAY(),"日数制限","保有中"))),IF(N($AG292)=0,"利益確定",IF(N($AF292)=0,"損切確定",IF($AG292&lt;=$AF292,"損切確定","利益確定")))))</f>
        <v/>
      </c>
      <c r="AI292" s="600" t="str" cm="1">
        <f t="array" ref="AI292">IFERROR(INDEX(始値!$E$6:$IT$305,MATCH(TEXT($B292,"0"),TEXT(銘柄管理!$B$6:$B$305,"0"),0),MATCH($AE292,始値!$E$3:$IT$3,0)),"")</f>
        <v/>
      </c>
      <c r="AJ292" s="608" t="str">
        <f>IF(OR($V292="",$F292="",$G292=""),"",$V292/($F292*$G292))</f>
        <v/>
      </c>
      <c r="AK292" s="600" t="str">
        <f>IF($V292="","",IF($V292&gt;0,"○勝",IF($V292&lt;0,"●負","△引分")))</f>
        <v/>
      </c>
    </row>
    <row r="293" spans="1:37" ht="17.25" customHeight="1">
      <c r="A293" s="621" t="str">
        <f>IF(B293="","",HYPERLINK("https://kabutan.jp/stock/?code="&amp;B293,"株探"))</f>
        <v/>
      </c>
      <c r="B293" s="480"/>
      <c r="C293" s="480"/>
      <c r="D293" s="480" t="str" cm="1">
        <f t="array" ref="D293">_xll.RssMarket(B293, "銘柄名称")</f>
        <v/>
      </c>
      <c r="E293" s="717"/>
      <c r="F293" s="698" t="str" cm="1">
        <f t="array" aca="1" ref="F293" ca="1">IFERROR(_xlfn.LET(_xlpm.r,MATCH(TEXT($B293,"0"),TEXT(銘柄管理!$B$6:$B$305,"0"),0),_xlpm.t,MOD(NOW(),1),_xlpm.c,IF($E293=TODAY(),IF(_xlpm.t&gt;=TIME(15,30,0),NA(),1),IF(MATCH($E293,始値!$E$3:$IT$3,0)=1,1,MATCH($E293,始値!$E$3:$IT$3,0)+1)),_xlpm.v,INDEX(始値!$C$6:$IT$305,_xlpm.r,_xlpm.c),IF(N(_xlpm.v)=0,"",_xlpm.v)),"")</f>
        <v/>
      </c>
      <c r="G293" s="480"/>
      <c r="H293" s="480" t="str" cm="1">
        <f t="array" ref="H293">_xll.RssMarket(B293, "現在値")</f>
        <v/>
      </c>
      <c r="I293" s="480" t="str" cm="1">
        <f t="array" ref="I293">_xll.RssMarket(B293, "出来高加重平均")</f>
        <v/>
      </c>
      <c r="J293" s="702" t="str" cm="1">
        <f t="array" ref="J293">_xll.RssMarket($B293, "前日比")</f>
        <v/>
      </c>
      <c r="K293" s="703" t="str">
        <f>IF(OR(F293="",G293="",H293=""),"",IF(C293="売",(F293-H293)*G293,(H293-F293)*G293))</f>
        <v/>
      </c>
      <c r="L293" s="708" t="str">
        <f>IF(OR(F293="",H293=""),"",IF(C293="売",(F293-H293)/F293,(H293-F293)/F293))</f>
        <v/>
      </c>
      <c r="M293" s="598" t="str">
        <f>IF($F293="","",$F293*IF($C293="売",1-V811設定!$B$4,1+V811設定!$B$4)-MOD($F293*IF($C293="売",1-V811設定!$B$4,1+V811設定!$B$4),IF($F293&lt;=3000,1,IF($F293&lt;=5000,5,IF($F293&lt;=30000,10,IF($F293&lt;=50000,50,IF($F293&lt;=300000,100,500))))))+IF(AND($C293="売",MOD($F293*IF($C293="売",1-V811設定!$B$4,1+V811設定!$B$4),IF($F293&lt;=3000,1,IF($F293&lt;=5000,5,IF($F293&lt;=30000,10,IF($F293&lt;=50000,50,IF($F293&lt;=300000,100,500))))))&gt;0),IF($F293&lt;=3000,1,IF($F293&lt;=5000,5,IF($F293&lt;=30000,10,IF($F293&lt;=50000,50,IF($F293&lt;=300000,100,500))))),0))</f>
      </c>
      <c r="N293" s="598" t="str">
        <f>IF($F293="","",$F293*IF($C293="売",1+V811設定!$B$3,1-V811設定!$B$3)-MOD($F293*IF($C293="売",1+V811設定!$B$3,1-V811設定!$B$3),IF($F293&lt;=3000,1,IF($F293&lt;=5000,5,IF($F293&lt;=30000,10,IF($F293&lt;=50000,50,IF($F293&lt;=300000,100,500))))))+IF(AND($C293="売",MOD($F293*IF($C293="売",1+V811設定!$B$3,1-V811設定!$B$3),IF($F293&lt;=3000,1,IF($F293&lt;=5000,5,IF($F293&lt;=30000,10,IF($F293&lt;=50000,50,IF($F293&lt;=300000,100,500))))))&gt;0),IF($F293&lt;=3000,1,IF($F293&lt;=5000,5,IF($F293&lt;=30000,10,IF($F293&lt;=50000,50,IF($F293&lt;=300000,100,500))))),0))</f>
      </c>
      <c r="O293" s="478" t="str">
        <f>IF(OR($B293="",$F293="",$H293=""),"",IF($S293="✅売却済","―決済済―",IF($C293="売",IF($H293&lt;=$M293,"🟢利確",IF(AND($R293&lt;&gt;"",$H293&gt;=$R293),"🟠TRAIL",IF($H293&gt;=$N293,"🔴損切",IF($W293&gt;=V811設定!$B$6,"⏱時間決済",IF($H293&gt;=$F293*(1+V811設定!$B$3*0.7),"⚠️損切接近","保持継続"))))),IF($H293&gt;=$M293,"🟢利確",IF(AND($R293&lt;&gt;"",$H293&lt;=$R293),"🟠TRAIL",IF($H293&lt;=$N293,"🔴損切",IF($W293&gt;=V811設定!$B$6,"⏱時間決済",IF($H293&lt;=$F293*(1-V811設定!$B$3*0.7),"⚠️損切接近","保持継続"))))))))</f>
      </c>
      <c r="P293" s="445"/>
      <c r="Q293" s="445"/>
      <c r="R293" s="480" t="str">
        <f>IF(OR($F293="",$H293="",$N293=""),"",IF($S293="✅売却済","",IF($C293="売",IF($H293&gt;$F293*(1-V811設定!$B$3),$N293,MIN($N293,IF($Q293="",$N293,$Q293*1.03))),IF($H293&lt;$F293*(1+V811設定!$B$3),$N293,MAX($N293,IF($P293="",$N293,$P293*0.97))))))</f>
      </c>
      <c r="S293" s="480" t="str">
        <f>IF(B293="","",IF(T293&lt;&gt;"","✅売却済",IF(OR(H293="",L293=""),"📌保有中",IF(L293&gt;=0.06,"🟢利確推奨",IF(L293&gt;=0.05,"🟡利確直近",IF(L293&gt;=0.045,"🔵トレーリング検討",IF(L293&gt;-0.03,"📌保有中",IF(L293&gt;-0.04,"⚠️損切注意","🔴損切り"))))))))</f>
        <v/>
      </c>
      <c r="T293" s="596"/>
      <c r="U293" s="598"/>
      <c r="V293" s="703" t="str">
        <f>IF(OR(F293="",G293="",U293=""),"",IF(C293="売",(F293-U293)*G293,(U293-F293)*G293))</f>
        <v/>
      </c>
      <c r="W293" s="480" t="str">
        <f>IF(OR($E293="",$B293=""),"",IF($T293&lt;&gt;"",$T293-$E293,TODAY()-$E293)+1)</f>
        <v/>
      </c>
      <c r="X293" s="480" t="str">
        <f>IF(OR($AH293="",$AH293="保有中"),"",$AH293)</f>
        <v/>
      </c>
      <c r="Y293" s="488"/>
      <c r="Z293" s="710"/>
      <c r="AD293" s="608"/>
      <c r="AE293" s="600" t="str">
        <f>IF($E293="","",WORKDAY($E293,12))</f>
        <v/>
      </c>
      <c r="AF293" s="600" t="str" cm="1">
        <f t="array" aca="1" ref="AF293" ca="1">IF(OR($B293="",$M293=""),"",IFERROR(IF($C293="売",_xlfn.MINIFS(安値!$E$3:$IT$3,安値!$E$3:$IT$3,"&gt;"&amp;$E293,安値!$E$3:$IT$3,"&lt;="&amp;$AE293,OFFSET(安値!$E$6:$IT$6,MATCH(TEXT($B293,"0"),TEXT(銘柄管理!$B$6:$B$305,"0"),0)-1,0),"&lt;="&amp;$M293),_xlfn.MINIFS(高値!$E$3:$IT$3,高値!$E$3:$IT$3,"&gt;"&amp;$E293,高値!$E$3:$IT$3,"&lt;="&amp;$AE293,OFFSET(高値!$E$6:$IT$6,MATCH(TEXT($B293,"0"),TEXT(銘柄管理!$B$6:$B$305,"0"),0)-1,0),"&gt;="&amp;$M293)),""))</f>
        <v/>
      </c>
      <c r="AG293" s="600" t="str" cm="1">
        <f t="array" aca="1" ref="AG293" ca="1">IF(OR($B293="",$N293=""),"",IFERROR(IF($C293="売",_xlfn.MINIFS(高値!$E$3:$IT$3,高値!$E$3:$IT$3,"&gt;"&amp;$E293,高値!$E$3:$IT$3,"&lt;="&amp;$AE293,OFFSET(高値!$E$6:$IT$6,MATCH(TEXT($B293,"0"),TEXT(銘柄管理!$B$6:$B$305,"0"),0)-1,0),"&gt;="&amp;$N293),_xlfn.MINIFS(安値!$E$3:$IT$3,安値!$E$3:$IT$3,"&gt;"&amp;$E293,安値!$E$3:$IT$3,"&lt;="&amp;$AE293,OFFSET(安値!$E$6:$IT$6,MATCH(TEXT($B293,"0"),TEXT(銘柄管理!$B$6:$B$305,"0"),0)-1,0),"&lt;="&amp;$N293)),""))</f>
        <v/>
      </c>
      <c r="AH293" s="600" t="str">
        <f>IF(OR($B293="",$M293=""),"",IF(AND(N($AF293)=0,N($AG293)=0),IF(AND(ISNUMBER($H293),$H293&gt;0,IF($C293="売",$H293&gt;=$N293,$H293&lt;=$N293)),"損切確定",IF(AND(ISNUMBER($H293),$H293&gt;0,IF($C293="売",$H293&lt;=$M293,$H293&gt;=$M293)),"利益確定",IF($AE293&lt;=TODAY(),"日数制限","保有中"))),IF(N($AG293)=0,"利益確定",IF(N($AF293)=0,"損切確定",IF($AG293&lt;=$AF293,"損切確定","利益確定")))))</f>
        <v/>
      </c>
      <c r="AI293" s="600" t="str" cm="1">
        <f t="array" ref="AI293">IFERROR(INDEX(始値!$E$6:$IT$305,MATCH(TEXT($B293,"0"),TEXT(銘柄管理!$B$6:$B$305,"0"),0),MATCH($AE293,始値!$E$3:$IT$3,0)),"")</f>
        <v/>
      </c>
      <c r="AJ293" s="608" t="str">
        <f>IF(OR($V293="",$F293="",$G293=""),"",$V293/($F293*$G293))</f>
        <v/>
      </c>
      <c r="AK293" s="600" t="str">
        <f>IF($V293="","",IF($V293&gt;0,"○勝",IF($V293&lt;0,"●負","△引分")))</f>
        <v/>
      </c>
    </row>
    <row r="294" spans="1:37" ht="17.25" customHeight="1">
      <c r="A294" s="621" t="str">
        <f>IF(B294="","",HYPERLINK("https://kabutan.jp/stock/?code="&amp;B294,"株探"))</f>
        <v/>
      </c>
      <c r="B294" s="480"/>
      <c r="C294" s="480"/>
      <c r="D294" s="480" t="str" cm="1">
        <f t="array" ref="D294">_xll.RssMarket(B294, "銘柄名称")</f>
        <v/>
      </c>
      <c r="E294" s="717"/>
      <c r="F294" s="698" t="str" cm="1">
        <f t="array" aca="1" ref="F294" ca="1">IFERROR(_xlfn.LET(_xlpm.r,MATCH(TEXT($B294,"0"),TEXT(銘柄管理!$B$6:$B$305,"0"),0),_xlpm.t,MOD(NOW(),1),_xlpm.c,IF($E294=TODAY(),IF(_xlpm.t&gt;=TIME(15,30,0),NA(),1),IF(MATCH($E294,始値!$E$3:$IT$3,0)=1,1,MATCH($E294,始値!$E$3:$IT$3,0)+1)),_xlpm.v,INDEX(始値!$C$6:$IT$305,_xlpm.r,_xlpm.c),IF(N(_xlpm.v)=0,"",_xlpm.v)),"")</f>
        <v/>
      </c>
      <c r="G294" s="480"/>
      <c r="H294" s="480" t="str" cm="1">
        <f t="array" ref="H294">_xll.RssMarket(B294, "現在値")</f>
        <v/>
      </c>
      <c r="I294" s="480" t="str" cm="1">
        <f t="array" ref="I294">_xll.RssMarket(B294, "出来高加重平均")</f>
        <v/>
      </c>
      <c r="J294" s="702" t="str" cm="1">
        <f t="array" ref="J294">_xll.RssMarket($B294, "前日比")</f>
        <v/>
      </c>
      <c r="K294" s="703" t="str">
        <f>IF(OR(F294="",G294="",H294=""),"",IF(C294="売",(F294-H294)*G294,(H294-F294)*G294))</f>
        <v/>
      </c>
      <c r="L294" s="708" t="str">
        <f>IF(OR(F294="",H294=""),"",IF(C294="売",(F294-H294)/F294,(H294-F294)/F294))</f>
        <v/>
      </c>
      <c r="M294" s="598" t="str">
        <f>IF($F294="","",$F294*IF($C294="売",1-V811設定!$B$4,1+V811設定!$B$4)-MOD($F294*IF($C294="売",1-V811設定!$B$4,1+V811設定!$B$4),IF($F294&lt;=3000,1,IF($F294&lt;=5000,5,IF($F294&lt;=30000,10,IF($F294&lt;=50000,50,IF($F294&lt;=300000,100,500))))))+IF(AND($C294="売",MOD($F294*IF($C294="売",1-V811設定!$B$4,1+V811設定!$B$4),IF($F294&lt;=3000,1,IF($F294&lt;=5000,5,IF($F294&lt;=30000,10,IF($F294&lt;=50000,50,IF($F294&lt;=300000,100,500))))))&gt;0),IF($F294&lt;=3000,1,IF($F294&lt;=5000,5,IF($F294&lt;=30000,10,IF($F294&lt;=50000,50,IF($F294&lt;=300000,100,500))))),0))</f>
      </c>
      <c r="N294" s="598" t="str">
        <f>IF($F294="","",$F294*IF($C294="売",1+V811設定!$B$3,1-V811設定!$B$3)-MOD($F294*IF($C294="売",1+V811設定!$B$3,1-V811設定!$B$3),IF($F294&lt;=3000,1,IF($F294&lt;=5000,5,IF($F294&lt;=30000,10,IF($F294&lt;=50000,50,IF($F294&lt;=300000,100,500))))))+IF(AND($C294="売",MOD($F294*IF($C294="売",1+V811設定!$B$3,1-V811設定!$B$3),IF($F294&lt;=3000,1,IF($F294&lt;=5000,5,IF($F294&lt;=30000,10,IF($F294&lt;=50000,50,IF($F294&lt;=300000,100,500))))))&gt;0),IF($F294&lt;=3000,1,IF($F294&lt;=5000,5,IF($F294&lt;=30000,10,IF($F294&lt;=50000,50,IF($F294&lt;=300000,100,500))))),0))</f>
      </c>
      <c r="O294" s="478" t="str">
        <f>IF(OR($B294="",$F294="",$H294=""),"",IF($S294="✅売却済","―決済済―",IF($C294="売",IF($H294&lt;=$M294,"🟢利確",IF(AND($R294&lt;&gt;"",$H294&gt;=$R294),"🟠TRAIL",IF($H294&gt;=$N294,"🔴損切",IF($W294&gt;=V811設定!$B$6,"⏱時間決済",IF($H294&gt;=$F294*(1+V811設定!$B$3*0.7),"⚠️損切接近","保持継続"))))),IF($H294&gt;=$M294,"🟢利確",IF(AND($R294&lt;&gt;"",$H294&lt;=$R294),"🟠TRAIL",IF($H294&lt;=$N294,"🔴損切",IF($W294&gt;=V811設定!$B$6,"⏱時間決済",IF($H294&lt;=$F294*(1-V811設定!$B$3*0.7),"⚠️損切接近","保持継続"))))))))</f>
      </c>
      <c r="P294" s="445"/>
      <c r="Q294" s="445"/>
      <c r="R294" s="480" t="str">
        <f>IF(OR($F294="",$H294="",$N294=""),"",IF($S294="✅売却済","",IF($C294="売",IF($H294&gt;$F294*(1-V811設定!$B$3),$N294,MIN($N294,IF($Q294="",$N294,$Q294*1.03))),IF($H294&lt;$F294*(1+V811設定!$B$3),$N294,MAX($N294,IF($P294="",$N294,$P294*0.97))))))</f>
      </c>
      <c r="S294" s="480" t="str">
        <f>IF(B294="","",IF(T294&lt;&gt;"","✅売却済",IF(OR(H294="",L294=""),"📌保有中",IF(L294&gt;=0.06,"🟢利確推奨",IF(L294&gt;=0.05,"🟡利確直近",IF(L294&gt;=0.045,"🔵トレーリング検討",IF(L294&gt;-0.03,"📌保有中",IF(L294&gt;-0.04,"⚠️損切注意","🔴損切り"))))))))</f>
        <v/>
      </c>
      <c r="T294" s="596"/>
      <c r="U294" s="598"/>
      <c r="V294" s="703" t="str">
        <f>IF(OR(F294="",G294="",U294=""),"",IF(C294="売",(F294-U294)*G294,(U294-F294)*G294))</f>
        <v/>
      </c>
      <c r="W294" s="480" t="str">
        <f>IF(OR($E294="",$B294=""),"",IF($T294&lt;&gt;"",$T294-$E294,TODAY()-$E294)+1)</f>
        <v/>
      </c>
      <c r="X294" s="480" t="str">
        <f>IF(OR($AH294="",$AH294="保有中"),"",$AH294)</f>
        <v/>
      </c>
      <c r="Y294" s="488"/>
      <c r="Z294" s="710"/>
      <c r="AD294" s="608"/>
      <c r="AE294" s="600" t="str">
        <f>IF($E294="","",WORKDAY($E294,12))</f>
        <v/>
      </c>
      <c r="AF294" s="600" t="str" cm="1">
        <f t="array" aca="1" ref="AF294" ca="1">IF(OR($B294="",$M294=""),"",IFERROR(IF($C294="売",_xlfn.MINIFS(安値!$E$3:$IT$3,安値!$E$3:$IT$3,"&gt;"&amp;$E294,安値!$E$3:$IT$3,"&lt;="&amp;$AE294,OFFSET(安値!$E$6:$IT$6,MATCH(TEXT($B294,"0"),TEXT(銘柄管理!$B$6:$B$305,"0"),0)-1,0),"&lt;="&amp;$M294),_xlfn.MINIFS(高値!$E$3:$IT$3,高値!$E$3:$IT$3,"&gt;"&amp;$E294,高値!$E$3:$IT$3,"&lt;="&amp;$AE294,OFFSET(高値!$E$6:$IT$6,MATCH(TEXT($B294,"0"),TEXT(銘柄管理!$B$6:$B$305,"0"),0)-1,0),"&gt;="&amp;$M294)),""))</f>
        <v/>
      </c>
      <c r="AG294" s="600" t="str" cm="1">
        <f t="array" aca="1" ref="AG294" ca="1">IF(OR($B294="",$N294=""),"",IFERROR(IF($C294="売",_xlfn.MINIFS(高値!$E$3:$IT$3,高値!$E$3:$IT$3,"&gt;"&amp;$E294,高値!$E$3:$IT$3,"&lt;="&amp;$AE294,OFFSET(高値!$E$6:$IT$6,MATCH(TEXT($B294,"0"),TEXT(銘柄管理!$B$6:$B$305,"0"),0)-1,0),"&gt;="&amp;$N294),_xlfn.MINIFS(安値!$E$3:$IT$3,安値!$E$3:$IT$3,"&gt;"&amp;$E294,安値!$E$3:$IT$3,"&lt;="&amp;$AE294,OFFSET(安値!$E$6:$IT$6,MATCH(TEXT($B294,"0"),TEXT(銘柄管理!$B$6:$B$305,"0"),0)-1,0),"&lt;="&amp;$N294)),""))</f>
        <v/>
      </c>
      <c r="AH294" s="600" t="str">
        <f>IF(OR($B294="",$M294=""),"",IF(AND(N($AF294)=0,N($AG294)=0),IF(AND(ISNUMBER($H294),$H294&gt;0,IF($C294="売",$H294&gt;=$N294,$H294&lt;=$N294)),"損切確定",IF(AND(ISNUMBER($H294),$H294&gt;0,IF($C294="売",$H294&lt;=$M294,$H294&gt;=$M294)),"利益確定",IF($AE294&lt;=TODAY(),"日数制限","保有中"))),IF(N($AG294)=0,"利益確定",IF(N($AF294)=0,"損切確定",IF($AG294&lt;=$AF294,"損切確定","利益確定")))))</f>
        <v/>
      </c>
      <c r="AI294" s="600" t="str" cm="1">
        <f t="array" ref="AI294">IFERROR(INDEX(始値!$E$6:$IT$305,MATCH(TEXT($B294,"0"),TEXT(銘柄管理!$B$6:$B$305,"0"),0),MATCH($AE294,始値!$E$3:$IT$3,0)),"")</f>
        <v/>
      </c>
      <c r="AJ294" s="608" t="str">
        <f>IF(OR($V294="",$F294="",$G294=""),"",$V294/($F294*$G294))</f>
        <v/>
      </c>
      <c r="AK294" s="600" t="str">
        <f>IF($V294="","",IF($V294&gt;0,"○勝",IF($V294&lt;0,"●負","△引分")))</f>
        <v/>
      </c>
    </row>
    <row r="295" spans="1:37" ht="17.25" customHeight="1">
      <c r="A295" s="621" t="str">
        <f>IF(B295="","",HYPERLINK("https://kabutan.jp/stock/?code="&amp;B295,"株探"))</f>
        <v/>
      </c>
      <c r="B295" s="480"/>
      <c r="C295" s="480"/>
      <c r="D295" s="480" t="str" cm="1">
        <f t="array" ref="D295">_xll.RssMarket(B295, "銘柄名称")</f>
        <v/>
      </c>
      <c r="E295" s="717"/>
      <c r="F295" s="698" t="str" cm="1">
        <f t="array" aca="1" ref="F295" ca="1">IFERROR(_xlfn.LET(_xlpm.r,MATCH(TEXT($B295,"0"),TEXT(銘柄管理!$B$6:$B$305,"0"),0),_xlpm.t,MOD(NOW(),1),_xlpm.c,IF($E295=TODAY(),IF(_xlpm.t&gt;=TIME(15,30,0),NA(),1),IF(MATCH($E295,始値!$E$3:$IT$3,0)=1,1,MATCH($E295,始値!$E$3:$IT$3,0)+1)),_xlpm.v,INDEX(始値!$C$6:$IT$305,_xlpm.r,_xlpm.c),IF(N(_xlpm.v)=0,"",_xlpm.v)),"")</f>
        <v/>
      </c>
      <c r="G295" s="480"/>
      <c r="H295" s="480" t="str" cm="1">
        <f t="array" ref="H295">_xll.RssMarket(B295, "現在値")</f>
        <v/>
      </c>
      <c r="I295" s="480" t="str" cm="1">
        <f t="array" ref="I295">_xll.RssMarket(B295, "出来高加重平均")</f>
        <v/>
      </c>
      <c r="J295" s="702" t="str" cm="1">
        <f t="array" ref="J295">_xll.RssMarket($B295, "前日比")</f>
        <v/>
      </c>
      <c r="K295" s="703" t="str">
        <f>IF(OR(F295="",G295="",H295=""),"",IF(C295="売",(F295-H295)*G295,(H295-F295)*G295))</f>
        <v/>
      </c>
      <c r="L295" s="708" t="str">
        <f>IF(OR(F295="",H295=""),"",IF(C295="売",(F295-H295)/F295,(H295-F295)/F295))</f>
        <v/>
      </c>
      <c r="M295" s="598" t="str">
        <f>IF($F295="","",$F295*IF($C295="売",1-V811設定!$B$4,1+V811設定!$B$4)-MOD($F295*IF($C295="売",1-V811設定!$B$4,1+V811設定!$B$4),IF($F295&lt;=3000,1,IF($F295&lt;=5000,5,IF($F295&lt;=30000,10,IF($F295&lt;=50000,50,IF($F295&lt;=300000,100,500))))))+IF(AND($C295="売",MOD($F295*IF($C295="売",1-V811設定!$B$4,1+V811設定!$B$4),IF($F295&lt;=3000,1,IF($F295&lt;=5000,5,IF($F295&lt;=30000,10,IF($F295&lt;=50000,50,IF($F295&lt;=300000,100,500))))))&gt;0),IF($F295&lt;=3000,1,IF($F295&lt;=5000,5,IF($F295&lt;=30000,10,IF($F295&lt;=50000,50,IF($F295&lt;=300000,100,500))))),0))</f>
      </c>
      <c r="N295" s="598" t="str">
        <f>IF($F295="","",$F295*IF($C295="売",1+V811設定!$B$3,1-V811設定!$B$3)-MOD($F295*IF($C295="売",1+V811設定!$B$3,1-V811設定!$B$3),IF($F295&lt;=3000,1,IF($F295&lt;=5000,5,IF($F295&lt;=30000,10,IF($F295&lt;=50000,50,IF($F295&lt;=300000,100,500))))))+IF(AND($C295="売",MOD($F295*IF($C295="売",1+V811設定!$B$3,1-V811設定!$B$3),IF($F295&lt;=3000,1,IF($F295&lt;=5000,5,IF($F295&lt;=30000,10,IF($F295&lt;=50000,50,IF($F295&lt;=300000,100,500))))))&gt;0),IF($F295&lt;=3000,1,IF($F295&lt;=5000,5,IF($F295&lt;=30000,10,IF($F295&lt;=50000,50,IF($F295&lt;=300000,100,500))))),0))</f>
      </c>
      <c r="O295" s="478" t="str">
        <f>IF(OR($B295="",$F295="",$H295=""),"",IF($S295="✅売却済","―決済済―",IF($C295="売",IF($H295&lt;=$M295,"🟢利確",IF(AND($R295&lt;&gt;"",$H295&gt;=$R295),"🟠TRAIL",IF($H295&gt;=$N295,"🔴損切",IF($W295&gt;=V811設定!$B$6,"⏱時間決済",IF($H295&gt;=$F295*(1+V811設定!$B$3*0.7),"⚠️損切接近","保持継続"))))),IF($H295&gt;=$M295,"🟢利確",IF(AND($R295&lt;&gt;"",$H295&lt;=$R295),"🟠TRAIL",IF($H295&lt;=$N295,"🔴損切",IF($W295&gt;=V811設定!$B$6,"⏱時間決済",IF($H295&lt;=$F295*(1-V811設定!$B$3*0.7),"⚠️損切接近","保持継続"))))))))</f>
      </c>
      <c r="P295" s="445"/>
      <c r="Q295" s="445"/>
      <c r="R295" s="480" t="str">
        <f>IF(OR($F295="",$H295="",$N295=""),"",IF($S295="✅売却済","",IF($C295="売",IF($H295&gt;$F295*(1-V811設定!$B$3),$N295,MIN($N295,IF($Q295="",$N295,$Q295*1.03))),IF($H295&lt;$F295*(1+V811設定!$B$3),$N295,MAX($N295,IF($P295="",$N295,$P295*0.97))))))</f>
      </c>
      <c r="S295" s="480" t="str">
        <f>IF(B295="","",IF(T295&lt;&gt;"","✅売却済",IF(OR(H295="",L295=""),"📌保有中",IF(L295&gt;=0.06,"🟢利確推奨",IF(L295&gt;=0.05,"🟡利確直近",IF(L295&gt;=0.045,"🔵トレーリング検討",IF(L295&gt;-0.03,"📌保有中",IF(L295&gt;-0.04,"⚠️損切注意","🔴損切り"))))))))</f>
        <v/>
      </c>
      <c r="T295" s="596"/>
      <c r="U295" s="598"/>
      <c r="V295" s="703" t="str">
        <f>IF(OR(F295="",G295="",U295=""),"",IF(C295="売",(F295-U295)*G295,(U295-F295)*G295))</f>
        <v/>
      </c>
      <c r="W295" s="480" t="str">
        <f>IF(OR($E295="",$B295=""),"",IF($T295&lt;&gt;"",$T295-$E295,TODAY()-$E295)+1)</f>
        <v/>
      </c>
      <c r="X295" s="480" t="str">
        <f>IF(OR($AH295="",$AH295="保有中"),"",$AH295)</f>
        <v/>
      </c>
      <c r="Y295" s="488"/>
      <c r="Z295" s="710"/>
      <c r="AD295" s="608"/>
      <c r="AE295" s="600" t="str">
        <f>IF($E295="","",WORKDAY($E295,12))</f>
        <v/>
      </c>
      <c r="AF295" s="600" t="str" cm="1">
        <f t="array" aca="1" ref="AF295" ca="1">IF(OR($B295="",$M295=""),"",IFERROR(IF($C295="売",_xlfn.MINIFS(安値!$E$3:$IT$3,安値!$E$3:$IT$3,"&gt;"&amp;$E295,安値!$E$3:$IT$3,"&lt;="&amp;$AE295,OFFSET(安値!$E$6:$IT$6,MATCH(TEXT($B295,"0"),TEXT(銘柄管理!$B$6:$B$305,"0"),0)-1,0),"&lt;="&amp;$M295),_xlfn.MINIFS(高値!$E$3:$IT$3,高値!$E$3:$IT$3,"&gt;"&amp;$E295,高値!$E$3:$IT$3,"&lt;="&amp;$AE295,OFFSET(高値!$E$6:$IT$6,MATCH(TEXT($B295,"0"),TEXT(銘柄管理!$B$6:$B$305,"0"),0)-1,0),"&gt;="&amp;$M295)),""))</f>
        <v/>
      </c>
      <c r="AG295" s="600" t="str" cm="1">
        <f t="array" aca="1" ref="AG295" ca="1">IF(OR($B295="",$N295=""),"",IFERROR(IF($C295="売",_xlfn.MINIFS(高値!$E$3:$IT$3,高値!$E$3:$IT$3,"&gt;"&amp;$E295,高値!$E$3:$IT$3,"&lt;="&amp;$AE295,OFFSET(高値!$E$6:$IT$6,MATCH(TEXT($B295,"0"),TEXT(銘柄管理!$B$6:$B$305,"0"),0)-1,0),"&gt;="&amp;$N295),_xlfn.MINIFS(安値!$E$3:$IT$3,安値!$E$3:$IT$3,"&gt;"&amp;$E295,安値!$E$3:$IT$3,"&lt;="&amp;$AE295,OFFSET(安値!$E$6:$IT$6,MATCH(TEXT($B295,"0"),TEXT(銘柄管理!$B$6:$B$305,"0"),0)-1,0),"&lt;="&amp;$N295)),""))</f>
        <v/>
      </c>
      <c r="AH295" s="600" t="str">
        <f>IF(OR($B295="",$M295=""),"",IF(AND(N($AF295)=0,N($AG295)=0),IF(AND(ISNUMBER($H295),$H295&gt;0,IF($C295="売",$H295&gt;=$N295,$H295&lt;=$N295)),"損切確定",IF(AND(ISNUMBER($H295),$H295&gt;0,IF($C295="売",$H295&lt;=$M295,$H295&gt;=$M295)),"利益確定",IF($AE295&lt;=TODAY(),"日数制限","保有中"))),IF(N($AG295)=0,"利益確定",IF(N($AF295)=0,"損切確定",IF($AG295&lt;=$AF295,"損切確定","利益確定")))))</f>
        <v/>
      </c>
      <c r="AI295" s="600" t="str" cm="1">
        <f t="array" ref="AI295">IFERROR(INDEX(始値!$E$6:$IT$305,MATCH(TEXT($B295,"0"),TEXT(銘柄管理!$B$6:$B$305,"0"),0),MATCH($AE295,始値!$E$3:$IT$3,0)),"")</f>
        <v/>
      </c>
      <c r="AJ295" s="608" t="str">
        <f>IF(OR($V295="",$F295="",$G295=""),"",$V295/($F295*$G295))</f>
        <v/>
      </c>
      <c r="AK295" s="600" t="str">
        <f>IF($V295="","",IF($V295&gt;0,"○勝",IF($V295&lt;0,"●負","△引分")))</f>
        <v/>
      </c>
    </row>
    <row r="296" spans="1:37" ht="17.25" customHeight="1">
      <c r="A296" s="621" t="str">
        <f>IF(B296="","",HYPERLINK("https://kabutan.jp/stock/?code="&amp;B296,"株探"))</f>
        <v/>
      </c>
      <c r="B296" s="480"/>
      <c r="C296" s="480"/>
      <c r="D296" s="480" t="str" cm="1">
        <f t="array" ref="D296">_xll.RssMarket(B296, "銘柄名称")</f>
        <v/>
      </c>
      <c r="E296" s="717"/>
      <c r="F296" s="698" t="str" cm="1">
        <f t="array" aca="1" ref="F296" ca="1">IFERROR(_xlfn.LET(_xlpm.r,MATCH(TEXT($B296,"0"),TEXT(銘柄管理!$B$6:$B$305,"0"),0),_xlpm.t,MOD(NOW(),1),_xlpm.c,IF($E296=TODAY(),IF(_xlpm.t&gt;=TIME(15,30,0),NA(),1),IF(MATCH($E296,始値!$E$3:$IT$3,0)=1,1,MATCH($E296,始値!$E$3:$IT$3,0)+1)),_xlpm.v,INDEX(始値!$C$6:$IT$305,_xlpm.r,_xlpm.c),IF(N(_xlpm.v)=0,"",_xlpm.v)),"")</f>
        <v/>
      </c>
      <c r="G296" s="480"/>
      <c r="H296" s="480" t="str" cm="1">
        <f t="array" ref="H296">_xll.RssMarket(B296, "現在値")</f>
        <v/>
      </c>
      <c r="I296" s="480" t="str" cm="1">
        <f t="array" ref="I296">_xll.RssMarket(B296, "出来高加重平均")</f>
        <v/>
      </c>
      <c r="J296" s="702" t="str" cm="1">
        <f t="array" ref="J296">_xll.RssMarket($B296, "前日比")</f>
        <v/>
      </c>
      <c r="K296" s="703" t="str">
        <f>IF(OR(F296="",G296="",H296=""),"",IF(C296="売",(F296-H296)*G296,(H296-F296)*G296))</f>
        <v/>
      </c>
      <c r="L296" s="708" t="str">
        <f>IF(OR(F296="",H296=""),"",IF(C296="売",(F296-H296)/F296,(H296-F296)/F296))</f>
        <v/>
      </c>
      <c r="M296" s="598" t="str">
        <f>IF($F296="","",$F296*IF($C296="売",1-V811設定!$B$4,1+V811設定!$B$4)-MOD($F296*IF($C296="売",1-V811設定!$B$4,1+V811設定!$B$4),IF($F296&lt;=3000,1,IF($F296&lt;=5000,5,IF($F296&lt;=30000,10,IF($F296&lt;=50000,50,IF($F296&lt;=300000,100,500))))))+IF(AND($C296="売",MOD($F296*IF($C296="売",1-V811設定!$B$4,1+V811設定!$B$4),IF($F296&lt;=3000,1,IF($F296&lt;=5000,5,IF($F296&lt;=30000,10,IF($F296&lt;=50000,50,IF($F296&lt;=300000,100,500))))))&gt;0),IF($F296&lt;=3000,1,IF($F296&lt;=5000,5,IF($F296&lt;=30000,10,IF($F296&lt;=50000,50,IF($F296&lt;=300000,100,500))))),0))</f>
      </c>
      <c r="N296" s="598" t="str">
        <f>IF($F296="","",$F296*IF($C296="売",1+V811設定!$B$3,1-V811設定!$B$3)-MOD($F296*IF($C296="売",1+V811設定!$B$3,1-V811設定!$B$3),IF($F296&lt;=3000,1,IF($F296&lt;=5000,5,IF($F296&lt;=30000,10,IF($F296&lt;=50000,50,IF($F296&lt;=300000,100,500))))))+IF(AND($C296="売",MOD($F296*IF($C296="売",1+V811設定!$B$3,1-V811設定!$B$3),IF($F296&lt;=3000,1,IF($F296&lt;=5000,5,IF($F296&lt;=30000,10,IF($F296&lt;=50000,50,IF($F296&lt;=300000,100,500))))))&gt;0),IF($F296&lt;=3000,1,IF($F296&lt;=5000,5,IF($F296&lt;=30000,10,IF($F296&lt;=50000,50,IF($F296&lt;=300000,100,500))))),0))</f>
      </c>
      <c r="O296" s="478" t="str">
        <f>IF(OR($B296="",$F296="",$H296=""),"",IF($S296="✅売却済","―決済済―",IF($C296="売",IF($H296&lt;=$M296,"🟢利確",IF(AND($R296&lt;&gt;"",$H296&gt;=$R296),"🟠TRAIL",IF($H296&gt;=$N296,"🔴損切",IF($W296&gt;=V811設定!$B$6,"⏱時間決済",IF($H296&gt;=$F296*(1+V811設定!$B$3*0.7),"⚠️損切接近","保持継続"))))),IF($H296&gt;=$M296,"🟢利確",IF(AND($R296&lt;&gt;"",$H296&lt;=$R296),"🟠TRAIL",IF($H296&lt;=$N296,"🔴損切",IF($W296&gt;=V811設定!$B$6,"⏱時間決済",IF($H296&lt;=$F296*(1-V811設定!$B$3*0.7),"⚠️損切接近","保持継続"))))))))</f>
      </c>
      <c r="P296" s="445"/>
      <c r="Q296" s="445"/>
      <c r="R296" s="480" t="str">
        <f>IF(OR($F296="",$H296="",$N296=""),"",IF($S296="✅売却済","",IF($C296="売",IF($H296&gt;$F296*(1-V811設定!$B$3),$N296,MIN($N296,IF($Q296="",$N296,$Q296*1.03))),IF($H296&lt;$F296*(1+V811設定!$B$3),$N296,MAX($N296,IF($P296="",$N296,$P296*0.97))))))</f>
      </c>
      <c r="S296" s="480" t="str">
        <f>IF(B296="","",IF(T296&lt;&gt;"","✅売却済",IF(OR(H296="",L296=""),"📌保有中",IF(L296&gt;=0.06,"🟢利確推奨",IF(L296&gt;=0.05,"🟡利確直近",IF(L296&gt;=0.045,"🔵トレーリング検討",IF(L296&gt;-0.03,"📌保有中",IF(L296&gt;-0.04,"⚠️損切注意","🔴損切り"))))))))</f>
        <v/>
      </c>
      <c r="T296" s="596"/>
      <c r="U296" s="598"/>
      <c r="V296" s="703" t="str">
        <f>IF(OR(F296="",G296="",U296=""),"",IF(C296="売",(F296-U296)*G296,(U296-F296)*G296))</f>
        <v/>
      </c>
      <c r="W296" s="480" t="str">
        <f>IF(OR($E296="",$B296=""),"",IF($T296&lt;&gt;"",$T296-$E296,TODAY()-$E296)+1)</f>
        <v/>
      </c>
      <c r="X296" s="480" t="str">
        <f>IF(OR($AH296="",$AH296="保有中"),"",$AH296)</f>
        <v/>
      </c>
      <c r="Y296" s="488"/>
      <c r="Z296" s="710"/>
      <c r="AD296" s="608"/>
      <c r="AE296" s="600" t="str">
        <f>IF($E296="","",WORKDAY($E296,12))</f>
        <v/>
      </c>
      <c r="AF296" s="600" t="str" cm="1">
        <f t="array" aca="1" ref="AF296" ca="1">IF(OR($B296="",$M296=""),"",IFERROR(IF($C296="売",_xlfn.MINIFS(安値!$E$3:$IT$3,安値!$E$3:$IT$3,"&gt;"&amp;$E296,安値!$E$3:$IT$3,"&lt;="&amp;$AE296,OFFSET(安値!$E$6:$IT$6,MATCH(TEXT($B296,"0"),TEXT(銘柄管理!$B$6:$B$305,"0"),0)-1,0),"&lt;="&amp;$M296),_xlfn.MINIFS(高値!$E$3:$IT$3,高値!$E$3:$IT$3,"&gt;"&amp;$E296,高値!$E$3:$IT$3,"&lt;="&amp;$AE296,OFFSET(高値!$E$6:$IT$6,MATCH(TEXT($B296,"0"),TEXT(銘柄管理!$B$6:$B$305,"0"),0)-1,0),"&gt;="&amp;$M296)),""))</f>
        <v/>
      </c>
      <c r="AG296" s="600" t="str" cm="1">
        <f t="array" aca="1" ref="AG296" ca="1">IF(OR($B296="",$N296=""),"",IFERROR(IF($C296="売",_xlfn.MINIFS(高値!$E$3:$IT$3,高値!$E$3:$IT$3,"&gt;"&amp;$E296,高値!$E$3:$IT$3,"&lt;="&amp;$AE296,OFFSET(高値!$E$6:$IT$6,MATCH(TEXT($B296,"0"),TEXT(銘柄管理!$B$6:$B$305,"0"),0)-1,0),"&gt;="&amp;$N296),_xlfn.MINIFS(安値!$E$3:$IT$3,安値!$E$3:$IT$3,"&gt;"&amp;$E296,安値!$E$3:$IT$3,"&lt;="&amp;$AE296,OFFSET(安値!$E$6:$IT$6,MATCH(TEXT($B296,"0"),TEXT(銘柄管理!$B$6:$B$305,"0"),0)-1,0),"&lt;="&amp;$N296)),""))</f>
        <v/>
      </c>
      <c r="AH296" s="600" t="str">
        <f>IF(OR($B296="",$M296=""),"",IF(AND(N($AF296)=0,N($AG296)=0),IF(AND(ISNUMBER($H296),$H296&gt;0,IF($C296="売",$H296&gt;=$N296,$H296&lt;=$N296)),"損切確定",IF(AND(ISNUMBER($H296),$H296&gt;0,IF($C296="売",$H296&lt;=$M296,$H296&gt;=$M296)),"利益確定",IF($AE296&lt;=TODAY(),"日数制限","保有中"))),IF(N($AG296)=0,"利益確定",IF(N($AF296)=0,"損切確定",IF($AG296&lt;=$AF296,"損切確定","利益確定")))))</f>
        <v/>
      </c>
      <c r="AI296" s="600" t="str" cm="1">
        <f t="array" ref="AI296">IFERROR(INDEX(始値!$E$6:$IT$305,MATCH(TEXT($B296,"0"),TEXT(銘柄管理!$B$6:$B$305,"0"),0),MATCH($AE296,始値!$E$3:$IT$3,0)),"")</f>
        <v/>
      </c>
      <c r="AJ296" s="608" t="str">
        <f>IF(OR($V296="",$F296="",$G296=""),"",$V296/($F296*$G296))</f>
        <v/>
      </c>
      <c r="AK296" s="600" t="str">
        <f>IF($V296="","",IF($V296&gt;0,"○勝",IF($V296&lt;0,"●負","△引分")))</f>
        <v/>
      </c>
    </row>
    <row r="297" spans="1:37" ht="17.25" customHeight="1">
      <c r="A297" s="621" t="str">
        <f>IF(B297="","",HYPERLINK("https://kabutan.jp/stock/?code="&amp;B297,"株探"))</f>
        <v/>
      </c>
      <c r="B297" s="480"/>
      <c r="C297" s="480"/>
      <c r="D297" s="480" t="str" cm="1">
        <f t="array" ref="D297">_xll.RssMarket(B297, "銘柄名称")</f>
        <v/>
      </c>
      <c r="E297" s="717"/>
      <c r="F297" s="698" t="str" cm="1">
        <f t="array" aca="1" ref="F297" ca="1">IFERROR(_xlfn.LET(_xlpm.r,MATCH(TEXT($B297,"0"),TEXT(銘柄管理!$B$6:$B$305,"0"),0),_xlpm.t,MOD(NOW(),1),_xlpm.c,IF($E297=TODAY(),IF(_xlpm.t&gt;=TIME(15,30,0),NA(),1),IF(MATCH($E297,始値!$E$3:$IT$3,0)=1,1,MATCH($E297,始値!$E$3:$IT$3,0)+1)),_xlpm.v,INDEX(始値!$C$6:$IT$305,_xlpm.r,_xlpm.c),IF(N(_xlpm.v)=0,"",_xlpm.v)),"")</f>
        <v/>
      </c>
      <c r="G297" s="480"/>
      <c r="H297" s="480" t="str" cm="1">
        <f t="array" ref="H297">_xll.RssMarket(B297, "現在値")</f>
        <v/>
      </c>
      <c r="I297" s="480" t="str" cm="1">
        <f t="array" ref="I297">_xll.RssMarket(B297, "出来高加重平均")</f>
        <v/>
      </c>
      <c r="J297" s="702" t="str" cm="1">
        <f t="array" ref="J297">_xll.RssMarket($B297, "前日比")</f>
        <v/>
      </c>
      <c r="K297" s="703" t="str">
        <f>IF(OR(F297="",G297="",H297=""),"",IF(C297="売",(F297-H297)*G297,(H297-F297)*G297))</f>
        <v/>
      </c>
      <c r="L297" s="708" t="str">
        <f>IF(OR(F297="",H297=""),"",IF(C297="売",(F297-H297)/F297,(H297-F297)/F297))</f>
        <v/>
      </c>
      <c r="M297" s="598" t="str">
        <f>IF($F297="","",$F297*IF($C297="売",1-V811設定!$B$4,1+V811設定!$B$4)-MOD($F297*IF($C297="売",1-V811設定!$B$4,1+V811設定!$B$4),IF($F297&lt;=3000,1,IF($F297&lt;=5000,5,IF($F297&lt;=30000,10,IF($F297&lt;=50000,50,IF($F297&lt;=300000,100,500))))))+IF(AND($C297="売",MOD($F297*IF($C297="売",1-V811設定!$B$4,1+V811設定!$B$4),IF($F297&lt;=3000,1,IF($F297&lt;=5000,5,IF($F297&lt;=30000,10,IF($F297&lt;=50000,50,IF($F297&lt;=300000,100,500))))))&gt;0),IF($F297&lt;=3000,1,IF($F297&lt;=5000,5,IF($F297&lt;=30000,10,IF($F297&lt;=50000,50,IF($F297&lt;=300000,100,500))))),0))</f>
      </c>
      <c r="N297" s="598" t="str">
        <f>IF($F297="","",$F297*IF($C297="売",1+V811設定!$B$3,1-V811設定!$B$3)-MOD($F297*IF($C297="売",1+V811設定!$B$3,1-V811設定!$B$3),IF($F297&lt;=3000,1,IF($F297&lt;=5000,5,IF($F297&lt;=30000,10,IF($F297&lt;=50000,50,IF($F297&lt;=300000,100,500))))))+IF(AND($C297="売",MOD($F297*IF($C297="売",1+V811設定!$B$3,1-V811設定!$B$3),IF($F297&lt;=3000,1,IF($F297&lt;=5000,5,IF($F297&lt;=30000,10,IF($F297&lt;=50000,50,IF($F297&lt;=300000,100,500))))))&gt;0),IF($F297&lt;=3000,1,IF($F297&lt;=5000,5,IF($F297&lt;=30000,10,IF($F297&lt;=50000,50,IF($F297&lt;=300000,100,500))))),0))</f>
      </c>
      <c r="O297" s="478" t="str">
        <f>IF(OR($B297="",$F297="",$H297=""),"",IF($S297="✅売却済","―決済済―",IF($C297="売",IF($H297&lt;=$M297,"🟢利確",IF(AND($R297&lt;&gt;"",$H297&gt;=$R297),"🟠TRAIL",IF($H297&gt;=$N297,"🔴損切",IF($W297&gt;=V811設定!$B$6,"⏱時間決済",IF($H297&gt;=$F297*(1+V811設定!$B$3*0.7),"⚠️損切接近","保持継続"))))),IF($H297&gt;=$M297,"🟢利確",IF(AND($R297&lt;&gt;"",$H297&lt;=$R297),"🟠TRAIL",IF($H297&lt;=$N297,"🔴損切",IF($W297&gt;=V811設定!$B$6,"⏱時間決済",IF($H297&lt;=$F297*(1-V811設定!$B$3*0.7),"⚠️損切接近","保持継続"))))))))</f>
      </c>
      <c r="P297" s="445"/>
      <c r="Q297" s="445"/>
      <c r="R297" s="480" t="str">
        <f>IF(OR($F297="",$H297="",$N297=""),"",IF($S297="✅売却済","",IF($C297="売",IF($H297&gt;$F297*(1-V811設定!$B$3),$N297,MIN($N297,IF($Q297="",$N297,$Q297*1.03))),IF($H297&lt;$F297*(1+V811設定!$B$3),$N297,MAX($N297,IF($P297="",$N297,$P297*0.97))))))</f>
      </c>
      <c r="S297" s="480" t="str">
        <f>IF(B297="","",IF(T297&lt;&gt;"","✅売却済",IF(OR(H297="",L297=""),"📌保有中",IF(L297&gt;=0.06,"🟢利確推奨",IF(L297&gt;=0.05,"🟡利確直近",IF(L297&gt;=0.045,"🔵トレーリング検討",IF(L297&gt;-0.03,"📌保有中",IF(L297&gt;-0.04,"⚠️損切注意","🔴損切り"))))))))</f>
        <v/>
      </c>
      <c r="T297" s="596"/>
      <c r="U297" s="598"/>
      <c r="V297" s="703" t="str">
        <f>IF(OR(F297="",G297="",U297=""),"",IF(C297="売",(F297-U297)*G297,(U297-F297)*G297))</f>
        <v/>
      </c>
      <c r="W297" s="480" t="str">
        <f>IF(OR($E297="",$B297=""),"",IF($T297&lt;&gt;"",$T297-$E297,TODAY()-$E297)+1)</f>
        <v/>
      </c>
      <c r="X297" s="480" t="str">
        <f>IF(OR($AH297="",$AH297="保有中"),"",$AH297)</f>
        <v/>
      </c>
      <c r="Y297" s="488"/>
      <c r="Z297" s="710"/>
      <c r="AD297" s="608"/>
      <c r="AE297" s="600" t="str">
        <f>IF($E297="","",WORKDAY($E297,12))</f>
        <v/>
      </c>
      <c r="AF297" s="600" t="str" cm="1">
        <f t="array" aca="1" ref="AF297" ca="1">IF(OR($B297="",$M297=""),"",IFERROR(IF($C297="売",_xlfn.MINIFS(安値!$E$3:$IT$3,安値!$E$3:$IT$3,"&gt;"&amp;$E297,安値!$E$3:$IT$3,"&lt;="&amp;$AE297,OFFSET(安値!$E$6:$IT$6,MATCH(TEXT($B297,"0"),TEXT(銘柄管理!$B$6:$B$305,"0"),0)-1,0),"&lt;="&amp;$M297),_xlfn.MINIFS(高値!$E$3:$IT$3,高値!$E$3:$IT$3,"&gt;"&amp;$E297,高値!$E$3:$IT$3,"&lt;="&amp;$AE297,OFFSET(高値!$E$6:$IT$6,MATCH(TEXT($B297,"0"),TEXT(銘柄管理!$B$6:$B$305,"0"),0)-1,0),"&gt;="&amp;$M297)),""))</f>
        <v/>
      </c>
      <c r="AG297" s="600" t="str" cm="1">
        <f t="array" aca="1" ref="AG297" ca="1">IF(OR($B297="",$N297=""),"",IFERROR(IF($C297="売",_xlfn.MINIFS(高値!$E$3:$IT$3,高値!$E$3:$IT$3,"&gt;"&amp;$E297,高値!$E$3:$IT$3,"&lt;="&amp;$AE297,OFFSET(高値!$E$6:$IT$6,MATCH(TEXT($B297,"0"),TEXT(銘柄管理!$B$6:$B$305,"0"),0)-1,0),"&gt;="&amp;$N297),_xlfn.MINIFS(安値!$E$3:$IT$3,安値!$E$3:$IT$3,"&gt;"&amp;$E297,安値!$E$3:$IT$3,"&lt;="&amp;$AE297,OFFSET(安値!$E$6:$IT$6,MATCH(TEXT($B297,"0"),TEXT(銘柄管理!$B$6:$B$305,"0"),0)-1,0),"&lt;="&amp;$N297)),""))</f>
        <v/>
      </c>
      <c r="AH297" s="600" t="str">
        <f>IF(OR($B297="",$M297=""),"",IF(AND(N($AF297)=0,N($AG297)=0),IF(AND(ISNUMBER($H297),$H297&gt;0,IF($C297="売",$H297&gt;=$N297,$H297&lt;=$N297)),"損切確定",IF(AND(ISNUMBER($H297),$H297&gt;0,IF($C297="売",$H297&lt;=$M297,$H297&gt;=$M297)),"利益確定",IF($AE297&lt;=TODAY(),"日数制限","保有中"))),IF(N($AG297)=0,"利益確定",IF(N($AF297)=0,"損切確定",IF($AG297&lt;=$AF297,"損切確定","利益確定")))))</f>
        <v/>
      </c>
      <c r="AI297" s="600" t="str" cm="1">
        <f t="array" ref="AI297">IFERROR(INDEX(始値!$E$6:$IT$305,MATCH(TEXT($B297,"0"),TEXT(銘柄管理!$B$6:$B$305,"0"),0),MATCH($AE297,始値!$E$3:$IT$3,0)),"")</f>
        <v/>
      </c>
      <c r="AJ297" s="608" t="str">
        <f>IF(OR($V297="",$F297="",$G297=""),"",$V297/($F297*$G297))</f>
        <v/>
      </c>
      <c r="AK297" s="600" t="str">
        <f>IF($V297="","",IF($V297&gt;0,"○勝",IF($V297&lt;0,"●負","△引分")))</f>
        <v/>
      </c>
    </row>
    <row r="298" spans="1:37" ht="17.25" customHeight="1">
      <c r="A298" s="621" t="str">
        <f>IF(B298="","",HYPERLINK("https://kabutan.jp/stock/?code="&amp;B298,"株探"))</f>
        <v/>
      </c>
      <c r="B298" s="480"/>
      <c r="C298" s="480"/>
      <c r="D298" s="480" t="str" cm="1">
        <f t="array" ref="D298">_xll.RssMarket(B298, "銘柄名称")</f>
        <v/>
      </c>
      <c r="E298" s="717"/>
      <c r="F298" s="698" t="str" cm="1">
        <f t="array" aca="1" ref="F298" ca="1">IFERROR(_xlfn.LET(_xlpm.r,MATCH(TEXT($B298,"0"),TEXT(銘柄管理!$B$6:$B$305,"0"),0),_xlpm.t,MOD(NOW(),1),_xlpm.c,IF($E298=TODAY(),IF(_xlpm.t&gt;=TIME(15,30,0),NA(),1),IF(MATCH($E298,始値!$E$3:$IT$3,0)=1,1,MATCH($E298,始値!$E$3:$IT$3,0)+1)),_xlpm.v,INDEX(始値!$C$6:$IT$305,_xlpm.r,_xlpm.c),IF(N(_xlpm.v)=0,"",_xlpm.v)),"")</f>
        <v/>
      </c>
      <c r="G298" s="480"/>
      <c r="H298" s="480" t="str" cm="1">
        <f t="array" ref="H298">_xll.RssMarket(B298, "現在値")</f>
        <v/>
      </c>
      <c r="I298" s="480" t="str" cm="1">
        <f t="array" ref="I298">_xll.RssMarket(B298, "出来高加重平均")</f>
        <v/>
      </c>
      <c r="J298" s="702" t="str" cm="1">
        <f t="array" ref="J298">_xll.RssMarket($B298, "前日比")</f>
        <v/>
      </c>
      <c r="K298" s="703" t="str">
        <f>IF(OR(F298="",G298="",H298=""),"",IF(C298="売",(F298-H298)*G298,(H298-F298)*G298))</f>
        <v/>
      </c>
      <c r="L298" s="708" t="str">
        <f>IF(OR(F298="",H298=""),"",IF(C298="売",(F298-H298)/F298,(H298-F298)/F298))</f>
        <v/>
      </c>
      <c r="M298" s="598" t="str">
        <f>IF($F298="","",$F298*IF($C298="売",1-V811設定!$B$4,1+V811設定!$B$4)-MOD($F298*IF($C298="売",1-V811設定!$B$4,1+V811設定!$B$4),IF($F298&lt;=3000,1,IF($F298&lt;=5000,5,IF($F298&lt;=30000,10,IF($F298&lt;=50000,50,IF($F298&lt;=300000,100,500))))))+IF(AND($C298="売",MOD($F298*IF($C298="売",1-V811設定!$B$4,1+V811設定!$B$4),IF($F298&lt;=3000,1,IF($F298&lt;=5000,5,IF($F298&lt;=30000,10,IF($F298&lt;=50000,50,IF($F298&lt;=300000,100,500))))))&gt;0),IF($F298&lt;=3000,1,IF($F298&lt;=5000,5,IF($F298&lt;=30000,10,IF($F298&lt;=50000,50,IF($F298&lt;=300000,100,500))))),0))</f>
      </c>
      <c r="N298" s="598" t="str">
        <f>IF($F298="","",$F298*IF($C298="売",1+V811設定!$B$3,1-V811設定!$B$3)-MOD($F298*IF($C298="売",1+V811設定!$B$3,1-V811設定!$B$3),IF($F298&lt;=3000,1,IF($F298&lt;=5000,5,IF($F298&lt;=30000,10,IF($F298&lt;=50000,50,IF($F298&lt;=300000,100,500))))))+IF(AND($C298="売",MOD($F298*IF($C298="売",1+V811設定!$B$3,1-V811設定!$B$3),IF($F298&lt;=3000,1,IF($F298&lt;=5000,5,IF($F298&lt;=30000,10,IF($F298&lt;=50000,50,IF($F298&lt;=300000,100,500))))))&gt;0),IF($F298&lt;=3000,1,IF($F298&lt;=5000,5,IF($F298&lt;=30000,10,IF($F298&lt;=50000,50,IF($F298&lt;=300000,100,500))))),0))</f>
      </c>
      <c r="O298" s="478" t="str">
        <f>IF(OR($B298="",$F298="",$H298=""),"",IF($S298="✅売却済","―決済済―",IF($C298="売",IF($H298&lt;=$M298,"🟢利確",IF(AND($R298&lt;&gt;"",$H298&gt;=$R298),"🟠TRAIL",IF($H298&gt;=$N298,"🔴損切",IF($W298&gt;=V811設定!$B$6,"⏱時間決済",IF($H298&gt;=$F298*(1+V811設定!$B$3*0.7),"⚠️損切接近","保持継続"))))),IF($H298&gt;=$M298,"🟢利確",IF(AND($R298&lt;&gt;"",$H298&lt;=$R298),"🟠TRAIL",IF($H298&lt;=$N298,"🔴損切",IF($W298&gt;=V811設定!$B$6,"⏱時間決済",IF($H298&lt;=$F298*(1-V811設定!$B$3*0.7),"⚠️損切接近","保持継続"))))))))</f>
      </c>
      <c r="P298" s="445"/>
      <c r="Q298" s="445"/>
      <c r="R298" s="480" t="str">
        <f>IF(OR($F298="",$H298="",$N298=""),"",IF($S298="✅売却済","",IF($C298="売",IF($H298&gt;$F298*(1-V811設定!$B$3),$N298,MIN($N298,IF($Q298="",$N298,$Q298*1.03))),IF($H298&lt;$F298*(1+V811設定!$B$3),$N298,MAX($N298,IF($P298="",$N298,$P298*0.97))))))</f>
      </c>
      <c r="S298" s="480" t="str">
        <f>IF(B298="","",IF(T298&lt;&gt;"","✅売却済",IF(OR(H298="",L298=""),"📌保有中",IF(L298&gt;=0.06,"🟢利確推奨",IF(L298&gt;=0.05,"🟡利確直近",IF(L298&gt;=0.045,"🔵トレーリング検討",IF(L298&gt;-0.03,"📌保有中",IF(L298&gt;-0.04,"⚠️損切注意","🔴損切り"))))))))</f>
        <v/>
      </c>
      <c r="T298" s="596"/>
      <c r="U298" s="598"/>
      <c r="V298" s="703" t="str">
        <f>IF(OR(F298="",G298="",U298=""),"",IF(C298="売",(F298-U298)*G298,(U298-F298)*G298))</f>
        <v/>
      </c>
      <c r="W298" s="480" t="str">
        <f>IF(OR($E298="",$B298=""),"",IF($T298&lt;&gt;"",$T298-$E298,TODAY()-$E298)+1)</f>
        <v/>
      </c>
      <c r="X298" s="480" t="str">
        <f>IF(OR($AH298="",$AH298="保有中"),"",$AH298)</f>
        <v/>
      </c>
      <c r="Y298" s="488"/>
      <c r="Z298" s="710"/>
      <c r="AD298" s="608"/>
      <c r="AE298" s="600" t="str">
        <f>IF($E298="","",WORKDAY($E298,12))</f>
        <v/>
      </c>
      <c r="AF298" s="600" t="str" cm="1">
        <f t="array" aca="1" ref="AF298" ca="1">IF(OR($B298="",$M298=""),"",IFERROR(IF($C298="売",_xlfn.MINIFS(安値!$E$3:$IT$3,安値!$E$3:$IT$3,"&gt;"&amp;$E298,安値!$E$3:$IT$3,"&lt;="&amp;$AE298,OFFSET(安値!$E$6:$IT$6,MATCH(TEXT($B298,"0"),TEXT(銘柄管理!$B$6:$B$305,"0"),0)-1,0),"&lt;="&amp;$M298),_xlfn.MINIFS(高値!$E$3:$IT$3,高値!$E$3:$IT$3,"&gt;"&amp;$E298,高値!$E$3:$IT$3,"&lt;="&amp;$AE298,OFFSET(高値!$E$6:$IT$6,MATCH(TEXT($B298,"0"),TEXT(銘柄管理!$B$6:$B$305,"0"),0)-1,0),"&gt;="&amp;$M298)),""))</f>
        <v/>
      </c>
      <c r="AG298" s="600" t="str" cm="1">
        <f t="array" aca="1" ref="AG298" ca="1">IF(OR($B298="",$N298=""),"",IFERROR(IF($C298="売",_xlfn.MINIFS(高値!$E$3:$IT$3,高値!$E$3:$IT$3,"&gt;"&amp;$E298,高値!$E$3:$IT$3,"&lt;="&amp;$AE298,OFFSET(高値!$E$6:$IT$6,MATCH(TEXT($B298,"0"),TEXT(銘柄管理!$B$6:$B$305,"0"),0)-1,0),"&gt;="&amp;$N298),_xlfn.MINIFS(安値!$E$3:$IT$3,安値!$E$3:$IT$3,"&gt;"&amp;$E298,安値!$E$3:$IT$3,"&lt;="&amp;$AE298,OFFSET(安値!$E$6:$IT$6,MATCH(TEXT($B298,"0"),TEXT(銘柄管理!$B$6:$B$305,"0"),0)-1,0),"&lt;="&amp;$N298)),""))</f>
        <v/>
      </c>
      <c r="AH298" s="600" t="str">
        <f>IF(OR($B298="",$M298=""),"",IF(AND(N($AF298)=0,N($AG298)=0),IF(AND(ISNUMBER($H298),$H298&gt;0,IF($C298="売",$H298&gt;=$N298,$H298&lt;=$N298)),"損切確定",IF(AND(ISNUMBER($H298),$H298&gt;0,IF($C298="売",$H298&lt;=$M298,$H298&gt;=$M298)),"利益確定",IF($AE298&lt;=TODAY(),"日数制限","保有中"))),IF(N($AG298)=0,"利益確定",IF(N($AF298)=0,"損切確定",IF($AG298&lt;=$AF298,"損切確定","利益確定")))))</f>
        <v/>
      </c>
      <c r="AI298" s="600" t="str" cm="1">
        <f t="array" ref="AI298">IFERROR(INDEX(始値!$E$6:$IT$305,MATCH(TEXT($B298,"0"),TEXT(銘柄管理!$B$6:$B$305,"0"),0),MATCH($AE298,始値!$E$3:$IT$3,0)),"")</f>
        <v/>
      </c>
      <c r="AJ298" s="608" t="str">
        <f>IF(OR($V298="",$F298="",$G298=""),"",$V298/($F298*$G298))</f>
        <v/>
      </c>
      <c r="AK298" s="600" t="str">
        <f>IF($V298="","",IF($V298&gt;0,"○勝",IF($V298&lt;0,"●負","△引分")))</f>
        <v/>
      </c>
    </row>
    <row r="299" spans="1:37" ht="36" customHeight="1">
      <c r="A299" s="621" t="str">
        <f>IF(B299="","",HYPERLINK("https://kabutan.jp/stock/?code="&amp;B299,"株探"))</f>
        <v/>
      </c>
      <c r="B299" s="480"/>
      <c r="C299" s="480"/>
      <c r="D299" s="480" t="str" cm="1">
        <f t="array" ref="D299">_xll.RssMarket(B299, "銘柄名称")</f>
        <v/>
      </c>
      <c r="E299" s="717"/>
      <c r="F299" s="698" t="str" cm="1">
        <f t="array" aca="1" ref="F299" ca="1">IFERROR(_xlfn.LET(_xlpm.r,MATCH(TEXT($B299,"0"),TEXT(銘柄管理!$B$6:$B$305,"0"),0),_xlpm.t,MOD(NOW(),1),_xlpm.c,IF($E299=TODAY(),IF(_xlpm.t&gt;=TIME(15,30,0),NA(),1),IF(MATCH($E299,始値!$E$3:$IT$3,0)=1,1,MATCH($E299,始値!$E$3:$IT$3,0)+1)),_xlpm.v,INDEX(始値!$C$6:$IT$305,_xlpm.r,_xlpm.c),IF(N(_xlpm.v)=0,"",_xlpm.v)),"")</f>
        <v/>
      </c>
      <c r="G299" s="480"/>
      <c r="H299" s="480" t="str" cm="1">
        <f t="array" ref="H299">_xll.RssMarket(B299, "現在値")</f>
        <v/>
      </c>
      <c r="I299" s="480" t="str" cm="1">
        <f t="array" ref="I299">_xll.RssMarket(B299, "出来高加重平均")</f>
        <v/>
      </c>
      <c r="J299" s="702" t="str" cm="1">
        <f t="array" ref="J299">_xll.RssMarket($B299, "前日比")</f>
        <v/>
      </c>
      <c r="K299" s="703" t="str">
        <f>IF(OR(F299="",G299="",H299=""),"",IF(C299="売",(F299-H299)*G299,(H299-F299)*G299))</f>
        <v/>
      </c>
      <c r="L299" s="708" t="str">
        <f>IF(OR(F299="",H299=""),"",IF(C299="売",(F299-H299)/F299,(H299-F299)/F299))</f>
        <v/>
      </c>
      <c r="M299" s="598" t="str">
        <f>IF($F299="","",$F299*IF($C299="売",1-V811設定!$B$4,1+V811設定!$B$4)-MOD($F299*IF($C299="売",1-V811設定!$B$4,1+V811設定!$B$4),IF($F299&lt;=3000,1,IF($F299&lt;=5000,5,IF($F299&lt;=30000,10,IF($F299&lt;=50000,50,IF($F299&lt;=300000,100,500))))))+IF(AND($C299="売",MOD($F299*IF($C299="売",1-V811設定!$B$4,1+V811設定!$B$4),IF($F299&lt;=3000,1,IF($F299&lt;=5000,5,IF($F299&lt;=30000,10,IF($F299&lt;=50000,50,IF($F299&lt;=300000,100,500))))))&gt;0),IF($F299&lt;=3000,1,IF($F299&lt;=5000,5,IF($F299&lt;=30000,10,IF($F299&lt;=50000,50,IF($F299&lt;=300000,100,500))))),0))</f>
      </c>
      <c r="N299" s="598" t="str">
        <f>IF($F299="","",$F299*IF($C299="売",1+V811設定!$B$3,1-V811設定!$B$3)-MOD($F299*IF($C299="売",1+V811設定!$B$3,1-V811設定!$B$3),IF($F299&lt;=3000,1,IF($F299&lt;=5000,5,IF($F299&lt;=30000,10,IF($F299&lt;=50000,50,IF($F299&lt;=300000,100,500))))))+IF(AND($C299="売",MOD($F299*IF($C299="売",1+V811設定!$B$3,1-V811設定!$B$3),IF($F299&lt;=3000,1,IF($F299&lt;=5000,5,IF($F299&lt;=30000,10,IF($F299&lt;=50000,50,IF($F299&lt;=300000,100,500))))))&gt;0),IF($F299&lt;=3000,1,IF($F299&lt;=5000,5,IF($F299&lt;=30000,10,IF($F299&lt;=50000,50,IF($F299&lt;=300000,100,500))))),0))</f>
      </c>
      <c r="O299" s="478" t="str">
        <f>IF(OR($B299="",$F299="",$H299=""),"",IF($S299="✅売却済","―決済済―",IF($C299="売",IF($H299&lt;=$M299,"🟢利確",IF(AND($R299&lt;&gt;"",$H299&gt;=$R299),"🟠TRAIL",IF($H299&gt;=$N299,"🔴損切",IF($W299&gt;=V811設定!$B$6,"⏱時間決済",IF($H299&gt;=$F299*(1+V811設定!$B$3*0.7),"⚠️損切接近","保持継続"))))),IF($H299&gt;=$M299,"🟢利確",IF(AND($R299&lt;&gt;"",$H299&lt;=$R299),"🟠TRAIL",IF($H299&lt;=$N299,"🔴損切",IF($W299&gt;=V811設定!$B$6,"⏱時間決済",IF($H299&lt;=$F299*(1-V811設定!$B$3*0.7),"⚠️損切接近","保持継続"))))))))</f>
      </c>
      <c r="P299" s="445"/>
      <c r="Q299" s="445"/>
      <c r="R299" s="480" t="str">
        <f>IF(OR($F299="",$H299="",$N299=""),"",IF($S299="✅売却済","",IF($C299="売",IF($H299&gt;$F299*(1-V811設定!$B$3),$N299,MIN($N299,IF($Q299="",$N299,$Q299*1.03))),IF($H299&lt;$F299*(1+V811設定!$B$3),$N299,MAX($N299,IF($P299="",$N299,$P299*0.97))))))</f>
      </c>
      <c r="S299" s="480" t="str">
        <f>IF(B299="","",IF(T299&lt;&gt;"","✅売却済",IF(OR(H299="",L299=""),"📌保有中",IF(L299&gt;=0.06,"🟢利確推奨",IF(L299&gt;=0.05,"🟡利確直近",IF(L299&gt;=0.045,"🔵トレーリング検討",IF(L299&gt;-0.03,"📌保有中",IF(L299&gt;-0.04,"⚠️損切注意","🔴損切り"))))))))</f>
        <v/>
      </c>
      <c r="T299" s="596"/>
      <c r="U299" s="598"/>
      <c r="V299" s="703" t="str">
        <f>IF(OR(F299="",G299="",U299=""),"",IF(C299="売",(F299-U299)*G299,(U299-F299)*G299))</f>
        <v/>
      </c>
      <c r="W299" s="480" t="str">
        <f>IF(OR($E299="",$B299=""),"",IF($T299&lt;&gt;"",$T299-$E299,TODAY()-$E299)+1)</f>
        <v/>
      </c>
      <c r="X299" s="480" t="str">
        <f>IF(OR($AH299="",$AH299="保有中"),"",$AH299)</f>
        <v/>
      </c>
      <c r="Y299" s="488"/>
      <c r="Z299" s="710"/>
      <c r="AD299" s="608"/>
      <c r="AE299" s="600" t="str">
        <f>IF($E299="","",WORKDAY($E299,12))</f>
        <v/>
      </c>
      <c r="AF299" s="600" t="str" cm="1">
        <f t="array" aca="1" ref="AF299" ca="1">IF(OR($B299="",$M299=""),"",IFERROR(IF($C299="売",_xlfn.MINIFS(安値!$E$3:$IT$3,安値!$E$3:$IT$3,"&gt;"&amp;$E299,安値!$E$3:$IT$3,"&lt;="&amp;$AE299,OFFSET(安値!$E$6:$IT$6,MATCH(TEXT($B299,"0"),TEXT(銘柄管理!$B$6:$B$305,"0"),0)-1,0),"&lt;="&amp;$M299),_xlfn.MINIFS(高値!$E$3:$IT$3,高値!$E$3:$IT$3,"&gt;"&amp;$E299,高値!$E$3:$IT$3,"&lt;="&amp;$AE299,OFFSET(高値!$E$6:$IT$6,MATCH(TEXT($B299,"0"),TEXT(銘柄管理!$B$6:$B$305,"0"),0)-1,0),"&gt;="&amp;$M299)),""))</f>
        <v/>
      </c>
      <c r="AG299" s="600" t="str" cm="1">
        <f t="array" aca="1" ref="AG299" ca="1">IF(OR($B299="",$N299=""),"",IFERROR(IF($C299="売",_xlfn.MINIFS(高値!$E$3:$IT$3,高値!$E$3:$IT$3,"&gt;"&amp;$E299,高値!$E$3:$IT$3,"&lt;="&amp;$AE299,OFFSET(高値!$E$6:$IT$6,MATCH(TEXT($B299,"0"),TEXT(銘柄管理!$B$6:$B$305,"0"),0)-1,0),"&gt;="&amp;$N299),_xlfn.MINIFS(安値!$E$3:$IT$3,安値!$E$3:$IT$3,"&gt;"&amp;$E299,安値!$E$3:$IT$3,"&lt;="&amp;$AE299,OFFSET(安値!$E$6:$IT$6,MATCH(TEXT($B299,"0"),TEXT(銘柄管理!$B$6:$B$305,"0"),0)-1,0),"&lt;="&amp;$N299)),""))</f>
        <v/>
      </c>
      <c r="AH299" s="600" t="str">
        <f>IF(OR($B299="",$M299=""),"",IF(AND(N($AF299)=0,N($AG299)=0),IF(AND(ISNUMBER($H299),$H299&gt;0,IF($C299="売",$H299&gt;=$N299,$H299&lt;=$N299)),"損切確定",IF(AND(ISNUMBER($H299),$H299&gt;0,IF($C299="売",$H299&lt;=$M299,$H299&gt;=$M299)),"利益確定",IF($AE299&lt;=TODAY(),"日数制限","保有中"))),IF(N($AG299)=0,"利益確定",IF(N($AF299)=0,"損切確定",IF($AG299&lt;=$AF299,"損切確定","利益確定")))))</f>
        <v/>
      </c>
      <c r="AI299" s="600" t="str" cm="1">
        <f t="array" ref="AI299">IFERROR(INDEX(始値!$E$6:$IT$305,MATCH(TEXT($B299,"0"),TEXT(銘柄管理!$B$6:$B$305,"0"),0),MATCH($AE299,始値!$E$3:$IT$3,0)),"")</f>
        <v/>
      </c>
      <c r="AJ299" s="608" t="str">
        <f>IF(OR($V299="",$F299="",$G299=""),"",$V299/($F299*$G299))</f>
        <v/>
      </c>
      <c r="AK299" s="600" t="str">
        <f>IF($V299="","",IF($V299&gt;0,"○勝",IF($V299&lt;0,"●負","△引分")))</f>
        <v/>
      </c>
    </row>
    <row r="300" spans="1:37" ht="37.799999999999997" customHeight="1">
      <c r="A300" s="621" t="str">
        <f>IF(B300="","",HYPERLINK("https://kabutan.jp/stock/?code="&amp;B300,"株探"))</f>
        <v/>
      </c>
      <c r="B300" s="480"/>
      <c r="C300" s="480"/>
      <c r="D300" s="480" t="str" cm="1">
        <f t="array" ref="D300">_xll.RssMarket(B300, "銘柄名称")</f>
        <v/>
      </c>
      <c r="E300" s="717"/>
      <c r="F300" s="698" t="str" cm="1">
        <f t="array" aca="1" ref="F300" ca="1">IFERROR(_xlfn.LET(_xlpm.r,MATCH(TEXT($B300,"0"),TEXT(銘柄管理!$B$6:$B$305,"0"),0),_xlpm.t,MOD(NOW(),1),_xlpm.c,IF($E300=TODAY(),IF(_xlpm.t&gt;=TIME(15,30,0),NA(),1),IF(MATCH($E300,始値!$E$3:$IT$3,0)=1,1,MATCH($E300,始値!$E$3:$IT$3,0)+1)),_xlpm.v,INDEX(始値!$C$6:$IT$305,_xlpm.r,_xlpm.c),IF(N(_xlpm.v)=0,"",_xlpm.v)),"")</f>
        <v/>
      </c>
      <c r="G300" s="480"/>
      <c r="H300" s="480" t="str" cm="1">
        <f t="array" ref="H300">_xll.RssMarket(B300, "現在値")</f>
        <v/>
      </c>
      <c r="I300" s="480" t="str" cm="1">
        <f t="array" ref="I300">_xll.RssMarket(B300, "出来高加重平均")</f>
        <v/>
      </c>
      <c r="J300" s="702" t="str" cm="1">
        <f t="array" ref="J300">_xll.RssMarket($B300, "前日比")</f>
        <v/>
      </c>
      <c r="K300" s="703" t="str">
        <f>IF(OR(F300="",G300="",H300=""),"",IF(C300="売",(F300-H300)*G300,(H300-F300)*G300))</f>
        <v/>
      </c>
      <c r="L300" s="708" t="str">
        <f>IF(OR(F300="",H300=""),"",IF(C300="売",(F300-H300)/F300,(H300-F300)/F300))</f>
        <v/>
      </c>
      <c r="M300" s="598" t="str">
        <f>IF($F300="","",$F300*IF($C300="売",1-V811設定!$B$4,1+V811設定!$B$4)-MOD($F300*IF($C300="売",1-V811設定!$B$4,1+V811設定!$B$4),IF($F300&lt;=3000,1,IF($F300&lt;=5000,5,IF($F300&lt;=30000,10,IF($F300&lt;=50000,50,IF($F300&lt;=300000,100,500))))))+IF(AND($C300="売",MOD($F300*IF($C300="売",1-V811設定!$B$4,1+V811設定!$B$4),IF($F300&lt;=3000,1,IF($F300&lt;=5000,5,IF($F300&lt;=30000,10,IF($F300&lt;=50000,50,IF($F300&lt;=300000,100,500))))))&gt;0),IF($F300&lt;=3000,1,IF($F300&lt;=5000,5,IF($F300&lt;=30000,10,IF($F300&lt;=50000,50,IF($F300&lt;=300000,100,500))))),0))</f>
      </c>
      <c r="N300" s="598" t="str">
        <f>IF($F300="","",$F300*IF($C300="売",1+V811設定!$B$3,1-V811設定!$B$3)-MOD($F300*IF($C300="売",1+V811設定!$B$3,1-V811設定!$B$3),IF($F300&lt;=3000,1,IF($F300&lt;=5000,5,IF($F300&lt;=30000,10,IF($F300&lt;=50000,50,IF($F300&lt;=300000,100,500))))))+IF(AND($C300="売",MOD($F300*IF($C300="売",1+V811設定!$B$3,1-V811設定!$B$3),IF($F300&lt;=3000,1,IF($F300&lt;=5000,5,IF($F300&lt;=30000,10,IF($F300&lt;=50000,50,IF($F300&lt;=300000,100,500))))))&gt;0),IF($F300&lt;=3000,1,IF($F300&lt;=5000,5,IF($F300&lt;=30000,10,IF($F300&lt;=50000,50,IF($F300&lt;=300000,100,500))))),0))</f>
      </c>
      <c r="O300" s="478" t="str">
        <f>IF(OR($B300="",$F300="",$H300=""),"",IF($S300="✅売却済","―決済済―",IF($C300="売",IF($H300&lt;=$M300,"🟢利確",IF(AND($R300&lt;&gt;"",$H300&gt;=$R300),"🟠TRAIL",IF($H300&gt;=$N300,"🔴損切",IF($W300&gt;=V811設定!$B$6,"⏱時間決済",IF($H300&gt;=$F300*(1+V811設定!$B$3*0.7),"⚠️損切接近","保持継続"))))),IF($H300&gt;=$M300,"🟢利確",IF(AND($R300&lt;&gt;"",$H300&lt;=$R300),"🟠TRAIL",IF($H300&lt;=$N300,"🔴損切",IF($W300&gt;=V811設定!$B$6,"⏱時間決済",IF($H300&lt;=$F300*(1-V811設定!$B$3*0.7),"⚠️損切接近","保持継続"))))))))</f>
      </c>
      <c r="P300" s="445"/>
      <c r="Q300" s="445"/>
      <c r="R300" s="480" t="str">
        <f>IF(OR($F300="",$H300="",$N300=""),"",IF($S300="✅売却済","",IF($C300="売",IF($H300&gt;$F300*(1-V811設定!$B$3),$N300,MIN($N300,IF($Q300="",$N300,$Q300*1.03))),IF($H300&lt;$F300*(1+V811設定!$B$3),$N300,MAX($N300,IF($P300="",$N300,$P300*0.97))))))</f>
      </c>
      <c r="S300" s="480" t="str">
        <f>IF(B300="","",IF(T300&lt;&gt;"","✅売却済",IF(OR(H300="",L300=""),"📌保有中",IF(L300&gt;=0.06,"🟢利確推奨",IF(L300&gt;=0.05,"🟡利確直近",IF(L300&gt;=0.045,"🔵トレーリング検討",IF(L300&gt;-0.03,"📌保有中",IF(L300&gt;-0.04,"⚠️損切注意","🔴損切り"))))))))</f>
        <v/>
      </c>
      <c r="T300" s="596"/>
      <c r="U300" s="598"/>
      <c r="V300" s="703" t="str">
        <f>IF(OR(F300="",G300="",U300=""),"",IF(C300="売",(F300-U300)*G300,(U300-F300)*G300))</f>
        <v/>
      </c>
      <c r="W300" s="480" t="str">
        <f>IF(OR($E300="",$B300=""),"",IF($T300&lt;&gt;"",$T300-$E300,TODAY()-$E300)+1)</f>
        <v/>
      </c>
      <c r="X300" s="480" t="str">
        <f>IF(OR($AH300="",$AH300="保有中"),"",$AH300)</f>
        <v/>
      </c>
      <c r="Y300" s="488"/>
      <c r="Z300" s="710"/>
      <c r="AD300" s="608"/>
      <c r="AE300" s="600" t="str">
        <f>IF($E300="","",WORKDAY($E300,12))</f>
        <v/>
      </c>
      <c r="AF300" s="600" t="str" cm="1">
        <f t="array" aca="1" ref="AF300" ca="1">IF(OR($B300="",$M300=""),"",IFERROR(IF($C300="売",_xlfn.MINIFS(安値!$E$3:$IT$3,安値!$E$3:$IT$3,"&gt;"&amp;$E300,安値!$E$3:$IT$3,"&lt;="&amp;$AE300,OFFSET(安値!$E$6:$IT$6,MATCH(TEXT($B300,"0"),TEXT(銘柄管理!$B$6:$B$305,"0"),0)-1,0),"&lt;="&amp;$M300),_xlfn.MINIFS(高値!$E$3:$IT$3,高値!$E$3:$IT$3,"&gt;"&amp;$E300,高値!$E$3:$IT$3,"&lt;="&amp;$AE300,OFFSET(高値!$E$6:$IT$6,MATCH(TEXT($B300,"0"),TEXT(銘柄管理!$B$6:$B$305,"0"),0)-1,0),"&gt;="&amp;$M300)),""))</f>
        <v/>
      </c>
      <c r="AG300" s="600" t="str" cm="1">
        <f t="array" aca="1" ref="AG300" ca="1">IF(OR($B300="",$N300=""),"",IFERROR(IF($C300="売",_xlfn.MINIFS(高値!$E$3:$IT$3,高値!$E$3:$IT$3,"&gt;"&amp;$E300,高値!$E$3:$IT$3,"&lt;="&amp;$AE300,OFFSET(高値!$E$6:$IT$6,MATCH(TEXT($B300,"0"),TEXT(銘柄管理!$B$6:$B$305,"0"),0)-1,0),"&gt;="&amp;$N300),_xlfn.MINIFS(安値!$E$3:$IT$3,安値!$E$3:$IT$3,"&gt;"&amp;$E300,安値!$E$3:$IT$3,"&lt;="&amp;$AE300,OFFSET(安値!$E$6:$IT$6,MATCH(TEXT($B300,"0"),TEXT(銘柄管理!$B$6:$B$305,"0"),0)-1,0),"&lt;="&amp;$N300)),""))</f>
        <v/>
      </c>
      <c r="AH300" s="600" t="str">
        <f>IF(OR($B300="",$M300=""),"",IF(AND(N($AF300)=0,N($AG300)=0),IF(AND(ISNUMBER($H300),$H300&gt;0,IF($C300="売",$H300&gt;=$N300,$H300&lt;=$N300)),"損切確定",IF(AND(ISNUMBER($H300),$H300&gt;0,IF($C300="売",$H300&lt;=$M300,$H300&gt;=$M300)),"利益確定",IF($AE300&lt;=TODAY(),"日数制限","保有中"))),IF(N($AG300)=0,"利益確定",IF(N($AF300)=0,"損切確定",IF($AG300&lt;=$AF300,"損切確定","利益確定")))))</f>
        <v/>
      </c>
      <c r="AI300" s="600" t="str" cm="1">
        <f t="array" ref="AI300">IFERROR(INDEX(始値!$E$6:$IT$305,MATCH(TEXT($B300,"0"),TEXT(銘柄管理!$B$6:$B$305,"0"),0),MATCH($AE300,始値!$E$3:$IT$3,0)),"")</f>
        <v/>
      </c>
      <c r="AJ300" s="608" t="str">
        <f>IF(OR($V300="",$F300="",$G300=""),"",$V300/($F300*$G300))</f>
        <v/>
      </c>
      <c r="AK300" s="600" t="str">
        <f>IF($V300="","",IF($V300&gt;0,"○勝",IF($V300&lt;0,"●負","△引分")))</f>
        <v/>
      </c>
    </row>
    <row r="301" spans="1:37" ht="17.25" customHeight="1">
      <c r="A301" s="621" t="str">
        <f>IF(B301="","",HYPERLINK("https://kabutan.jp/stock/?code="&amp;B301,"株探"))</f>
        <v/>
      </c>
      <c r="B301" s="480"/>
      <c r="C301" s="480"/>
      <c r="D301" s="480" t="str" cm="1">
        <f t="array" ref="D301">_xll.RssMarket(B301, "銘柄名称")</f>
        <v/>
      </c>
      <c r="E301" s="717"/>
      <c r="F301" s="698" t="str" cm="1">
        <f t="array" aca="1" ref="F301" ca="1">IFERROR(_xlfn.LET(_xlpm.r,MATCH(TEXT($B301,"0"),TEXT(銘柄管理!$B$6:$B$305,"0"),0),_xlpm.t,MOD(NOW(),1),_xlpm.c,IF($E301=TODAY(),IF(_xlpm.t&gt;=TIME(15,30,0),NA(),1),IF(MATCH($E301,始値!$E$3:$IT$3,0)=1,1,MATCH($E301,始値!$E$3:$IT$3,0)+1)),_xlpm.v,INDEX(始値!$C$6:$IT$305,_xlpm.r,_xlpm.c),IF(N(_xlpm.v)=0,"",_xlpm.v)),"")</f>
        <v/>
      </c>
      <c r="G301" s="480"/>
      <c r="H301" s="480" t="str" cm="1">
        <f t="array" ref="H301">_xll.RssMarket(B301, "現在値")</f>
        <v/>
      </c>
      <c r="I301" s="480" t="str" cm="1">
        <f t="array" ref="I301">_xll.RssMarket(B301, "出来高加重平均")</f>
        <v/>
      </c>
      <c r="J301" s="702" t="str" cm="1">
        <f t="array" ref="J301">_xll.RssMarket($B301, "前日比")</f>
        <v/>
      </c>
      <c r="K301" s="703" t="str">
        <f>IF(OR(F301="",G301="",H301=""),"",IF(C301="売",(F301-H301)*G301,(H301-F301)*G301))</f>
        <v/>
      </c>
      <c r="L301" s="708" t="str">
        <f>IF(OR(F301="",H301=""),"",IF(C301="売",(F301-H301)/F301,(H301-F301)/F301))</f>
        <v/>
      </c>
      <c r="M301" s="598" t="str">
        <f>IF($F301="","",$F301*IF($C301="売",1-V811設定!$B$4,1+V811設定!$B$4)-MOD($F301*IF($C301="売",1-V811設定!$B$4,1+V811設定!$B$4),IF($F301&lt;=3000,1,IF($F301&lt;=5000,5,IF($F301&lt;=30000,10,IF($F301&lt;=50000,50,IF($F301&lt;=300000,100,500))))))+IF(AND($C301="売",MOD($F301*IF($C301="売",1-V811設定!$B$4,1+V811設定!$B$4),IF($F301&lt;=3000,1,IF($F301&lt;=5000,5,IF($F301&lt;=30000,10,IF($F301&lt;=50000,50,IF($F301&lt;=300000,100,500))))))&gt;0),IF($F301&lt;=3000,1,IF($F301&lt;=5000,5,IF($F301&lt;=30000,10,IF($F301&lt;=50000,50,IF($F301&lt;=300000,100,500))))),0))</f>
      </c>
      <c r="N301" s="598" t="str">
        <f>IF($F301="","",$F301*IF($C301="売",1+V811設定!$B$3,1-V811設定!$B$3)-MOD($F301*IF($C301="売",1+V811設定!$B$3,1-V811設定!$B$3),IF($F301&lt;=3000,1,IF($F301&lt;=5000,5,IF($F301&lt;=30000,10,IF($F301&lt;=50000,50,IF($F301&lt;=300000,100,500))))))+IF(AND($C301="売",MOD($F301*IF($C301="売",1+V811設定!$B$3,1-V811設定!$B$3),IF($F301&lt;=3000,1,IF($F301&lt;=5000,5,IF($F301&lt;=30000,10,IF($F301&lt;=50000,50,IF($F301&lt;=300000,100,500))))))&gt;0),IF($F301&lt;=3000,1,IF($F301&lt;=5000,5,IF($F301&lt;=30000,10,IF($F301&lt;=50000,50,IF($F301&lt;=300000,100,500))))),0))</f>
      </c>
      <c r="O301" s="478" t="str">
        <f>IF(OR($B301="",$F301="",$H301=""),"",IF($S301="✅売却済","―決済済―",IF($C301="売",IF($H301&lt;=$M301,"🟢利確",IF(AND($R301&lt;&gt;"",$H301&gt;=$R301),"🟠TRAIL",IF($H301&gt;=$N301,"🔴損切",IF($W301&gt;=V811設定!$B$6,"⏱時間決済",IF($H301&gt;=$F301*(1+V811設定!$B$3*0.7),"⚠️損切接近","保持継続"))))),IF($H301&gt;=$M301,"🟢利確",IF(AND($R301&lt;&gt;"",$H301&lt;=$R301),"🟠TRAIL",IF($H301&lt;=$N301,"🔴損切",IF($W301&gt;=V811設定!$B$6,"⏱時間決済",IF($H301&lt;=$F301*(1-V811設定!$B$3*0.7),"⚠️損切接近","保持継続"))))))))</f>
      </c>
      <c r="P301" s="445"/>
      <c r="Q301" s="445"/>
      <c r="R301" s="480" t="str">
        <f>IF(OR($F301="",$H301="",$N301=""),"",IF($S301="✅売却済","",IF($C301="売",IF($H301&gt;$F301*(1-V811設定!$B$3),$N301,MIN($N301,IF($Q301="",$N301,$Q301*1.03))),IF($H301&lt;$F301*(1+V811設定!$B$3),$N301,MAX($N301,IF($P301="",$N301,$P301*0.97))))))</f>
      </c>
      <c r="S301" s="480" t="str">
        <f>IF(B301="","",IF(T301&lt;&gt;"","✅売却済",IF(OR(H301="",L301=""),"📌保有中",IF(L301&gt;=0.06,"🟢利確推奨",IF(L301&gt;=0.05,"🟡利確直近",IF(L301&gt;=0.045,"🔵トレーリング検討",IF(L301&gt;-0.03,"📌保有中",IF(L301&gt;-0.04,"⚠️損切注意","🔴損切り"))))))))</f>
        <v/>
      </c>
      <c r="T301" s="596"/>
      <c r="U301" s="598"/>
      <c r="V301" s="703" t="str">
        <f>IF(OR(F301="",G301="",U301=""),"",IF(C301="売",(F301-U301)*G301,(U301-F301)*G301))</f>
        <v/>
      </c>
      <c r="W301" s="480" t="str">
        <f>IF(OR($E301="",$B301=""),"",IF($T301&lt;&gt;"",$T301-$E301,TODAY()-$E301)+1)</f>
        <v/>
      </c>
      <c r="X301" s="480" t="str">
        <f>IF(OR($AH301="",$AH301="保有中"),"",$AH301)</f>
        <v/>
      </c>
      <c r="Y301" s="488"/>
      <c r="Z301" s="710"/>
      <c r="AD301" s="608"/>
      <c r="AE301" s="600" t="str">
        <f>IF($E301="","",WORKDAY($E301,12))</f>
        <v/>
      </c>
      <c r="AF301" s="600" t="str" cm="1">
        <f t="array" aca="1" ref="AF301" ca="1">IF(OR($B301="",$M301=""),"",IFERROR(IF($C301="売",_xlfn.MINIFS(安値!$E$3:$IT$3,安値!$E$3:$IT$3,"&gt;"&amp;$E301,安値!$E$3:$IT$3,"&lt;="&amp;$AE301,OFFSET(安値!$E$6:$IT$6,MATCH(TEXT($B301,"0"),TEXT(銘柄管理!$B$6:$B$305,"0"),0)-1,0),"&lt;="&amp;$M301),_xlfn.MINIFS(高値!$E$3:$IT$3,高値!$E$3:$IT$3,"&gt;"&amp;$E301,高値!$E$3:$IT$3,"&lt;="&amp;$AE301,OFFSET(高値!$E$6:$IT$6,MATCH(TEXT($B301,"0"),TEXT(銘柄管理!$B$6:$B$305,"0"),0)-1,0),"&gt;="&amp;$M301)),""))</f>
        <v/>
      </c>
      <c r="AG301" s="600" t="str" cm="1">
        <f t="array" aca="1" ref="AG301" ca="1">IF(OR($B301="",$N301=""),"",IFERROR(IF($C301="売",_xlfn.MINIFS(高値!$E$3:$IT$3,高値!$E$3:$IT$3,"&gt;"&amp;$E301,高値!$E$3:$IT$3,"&lt;="&amp;$AE301,OFFSET(高値!$E$6:$IT$6,MATCH(TEXT($B301,"0"),TEXT(銘柄管理!$B$6:$B$305,"0"),0)-1,0),"&gt;="&amp;$N301),_xlfn.MINIFS(安値!$E$3:$IT$3,安値!$E$3:$IT$3,"&gt;"&amp;$E301,安値!$E$3:$IT$3,"&lt;="&amp;$AE301,OFFSET(安値!$E$6:$IT$6,MATCH(TEXT($B301,"0"),TEXT(銘柄管理!$B$6:$B$305,"0"),0)-1,0),"&lt;="&amp;$N301)),""))</f>
        <v/>
      </c>
      <c r="AH301" s="600" t="str">
        <f>IF(OR($B301="",$M301=""),"",IF(AND(N($AF301)=0,N($AG301)=0),IF(AND(ISNUMBER($H301),$H301&gt;0,IF($C301="売",$H301&gt;=$N301,$H301&lt;=$N301)),"損切確定",IF(AND(ISNUMBER($H301),$H301&gt;0,IF($C301="売",$H301&lt;=$M301,$H301&gt;=$M301)),"利益確定",IF($AE301&lt;=TODAY(),"日数制限","保有中"))),IF(N($AG301)=0,"利益確定",IF(N($AF301)=0,"損切確定",IF($AG301&lt;=$AF301,"損切確定","利益確定")))))</f>
        <v/>
      </c>
      <c r="AI301" s="600" t="str" cm="1">
        <f t="array" ref="AI301">IFERROR(INDEX(始値!$E$6:$IT$305,MATCH(TEXT($B301,"0"),TEXT(銘柄管理!$B$6:$B$305,"0"),0),MATCH($AE301,始値!$E$3:$IT$3,0)),"")</f>
        <v/>
      </c>
      <c r="AJ301" s="608" t="str">
        <f>IF(OR($V301="",$F301="",$G301=""),"",$V301/($F301*$G301))</f>
        <v/>
      </c>
      <c r="AK301" s="600" t="str">
        <f>IF($V301="","",IF($V301&gt;0,"○勝",IF($V301&lt;0,"●負","△引分")))</f>
        <v/>
      </c>
    </row>
    <row r="302" spans="1:37" ht="17.25" customHeight="1">
      <c r="A302" s="621" t="str">
        <f>IF(B302="","",HYPERLINK("https://kabutan.jp/stock/?code="&amp;B302,"株探"))</f>
        <v/>
      </c>
      <c r="B302" s="480"/>
      <c r="C302" s="480"/>
      <c r="D302" s="480" t="str" cm="1">
        <f t="array" ref="D302">_xll.RssMarket(B302, "銘柄名称")</f>
        <v/>
      </c>
      <c r="E302" s="717"/>
      <c r="F302" s="698" t="str" cm="1">
        <f t="array" aca="1" ref="F302" ca="1">IFERROR(_xlfn.LET(_xlpm.r,MATCH(TEXT($B302,"0"),TEXT(銘柄管理!$B$6:$B$305,"0"),0),_xlpm.t,MOD(NOW(),1),_xlpm.c,IF($E302=TODAY(),IF(_xlpm.t&gt;=TIME(15,30,0),NA(),1),IF(MATCH($E302,始値!$E$3:$IT$3,0)=1,1,MATCH($E302,始値!$E$3:$IT$3,0)+1)),_xlpm.v,INDEX(始値!$C$6:$IT$305,_xlpm.r,_xlpm.c),IF(N(_xlpm.v)=0,"",_xlpm.v)),"")</f>
        <v/>
      </c>
      <c r="G302" s="480"/>
      <c r="H302" s="480" t="str" cm="1">
        <f t="array" ref="H302">_xll.RssMarket(B302, "現在値")</f>
        <v/>
      </c>
      <c r="I302" s="480" t="str" cm="1">
        <f t="array" ref="I302">_xll.RssMarket(B302, "出来高加重平均")</f>
        <v/>
      </c>
      <c r="J302" s="702" t="str" cm="1">
        <f t="array" ref="J302">_xll.RssMarket($B302, "前日比")</f>
        <v/>
      </c>
      <c r="K302" s="703" t="str">
        <f>IF(OR(F302="",G302="",H302=""),"",IF(C302="売",(F302-H302)*G302,(H302-F302)*G302))</f>
        <v/>
      </c>
      <c r="L302" s="708" t="str">
        <f>IF(OR(F302="",H302=""),"",IF(C302="売",(F302-H302)/F302,(H302-F302)/F302))</f>
        <v/>
      </c>
      <c r="M302" s="598" t="str">
        <f>IF($F302="","",$F302*IF($C302="売",1-V811設定!$B$4,1+V811設定!$B$4)-MOD($F302*IF($C302="売",1-V811設定!$B$4,1+V811設定!$B$4),IF($F302&lt;=3000,1,IF($F302&lt;=5000,5,IF($F302&lt;=30000,10,IF($F302&lt;=50000,50,IF($F302&lt;=300000,100,500))))))+IF(AND($C302="売",MOD($F302*IF($C302="売",1-V811設定!$B$4,1+V811設定!$B$4),IF($F302&lt;=3000,1,IF($F302&lt;=5000,5,IF($F302&lt;=30000,10,IF($F302&lt;=50000,50,IF($F302&lt;=300000,100,500))))))&gt;0),IF($F302&lt;=3000,1,IF($F302&lt;=5000,5,IF($F302&lt;=30000,10,IF($F302&lt;=50000,50,IF($F302&lt;=300000,100,500))))),0))</f>
      </c>
      <c r="N302" s="598" t="str">
        <f>IF($F302="","",$F302*IF($C302="売",1+V811設定!$B$3,1-V811設定!$B$3)-MOD($F302*IF($C302="売",1+V811設定!$B$3,1-V811設定!$B$3),IF($F302&lt;=3000,1,IF($F302&lt;=5000,5,IF($F302&lt;=30000,10,IF($F302&lt;=50000,50,IF($F302&lt;=300000,100,500))))))+IF(AND($C302="売",MOD($F302*IF($C302="売",1+V811設定!$B$3,1-V811設定!$B$3),IF($F302&lt;=3000,1,IF($F302&lt;=5000,5,IF($F302&lt;=30000,10,IF($F302&lt;=50000,50,IF($F302&lt;=300000,100,500))))))&gt;0),IF($F302&lt;=3000,1,IF($F302&lt;=5000,5,IF($F302&lt;=30000,10,IF($F302&lt;=50000,50,IF($F302&lt;=300000,100,500))))),0))</f>
      </c>
      <c r="O302" s="478" t="str">
        <f>IF(OR($B302="",$F302="",$H302=""),"",IF($S302="✅売却済","―決済済―",IF($C302="売",IF($H302&lt;=$M302,"🟢利確",IF(AND($R302&lt;&gt;"",$H302&gt;=$R302),"🟠TRAIL",IF($H302&gt;=$N302,"🔴損切",IF($W302&gt;=V811設定!$B$6,"⏱時間決済",IF($H302&gt;=$F302*(1+V811設定!$B$3*0.7),"⚠️損切接近","保持継続"))))),IF($H302&gt;=$M302,"🟢利確",IF(AND($R302&lt;&gt;"",$H302&lt;=$R302),"🟠TRAIL",IF($H302&lt;=$N302,"🔴損切",IF($W302&gt;=V811設定!$B$6,"⏱時間決済",IF($H302&lt;=$F302*(1-V811設定!$B$3*0.7),"⚠️損切接近","保持継続"))))))))</f>
      </c>
      <c r="P302" s="445"/>
      <c r="Q302" s="445"/>
      <c r="R302" s="480" t="str">
        <f>IF(OR($F302="",$H302="",$N302=""),"",IF($S302="✅売却済","",IF($C302="売",IF($H302&gt;$F302*(1-V811設定!$B$3),$N302,MIN($N302,IF($Q302="",$N302,$Q302*1.03))),IF($H302&lt;$F302*(1+V811設定!$B$3),$N302,MAX($N302,IF($P302="",$N302,$P302*0.97))))))</f>
      </c>
      <c r="S302" s="480" t="str">
        <f>IF(B302="","",IF(T302&lt;&gt;"","✅売却済",IF(OR(H302="",L302=""),"📌保有中",IF(L302&gt;=0.06,"🟢利確推奨",IF(L302&gt;=0.05,"🟡利確直近",IF(L302&gt;=0.045,"🔵トレーリング検討",IF(L302&gt;-0.03,"📌保有中",IF(L302&gt;-0.04,"⚠️損切注意","🔴損切り"))))))))</f>
        <v/>
      </c>
      <c r="T302" s="596"/>
      <c r="U302" s="598"/>
      <c r="V302" s="703" t="str">
        <f>IF(OR(F302="",G302="",U302=""),"",IF(C302="売",(F302-U302)*G302,(U302-F302)*G302))</f>
        <v/>
      </c>
      <c r="W302" s="480" t="str">
        <f>IF(OR($E302="",$B302=""),"",IF($T302&lt;&gt;"",$T302-$E302,TODAY()-$E302)+1)</f>
        <v/>
      </c>
      <c r="X302" s="480" t="str">
        <f>IF(OR($AH302="",$AH302="保有中"),"",$AH302)</f>
        <v/>
      </c>
      <c r="Y302" s="488"/>
      <c r="Z302" s="710"/>
      <c r="AD302" s="608"/>
      <c r="AE302" s="600" t="str">
        <f>IF($E302="","",WORKDAY($E302,12))</f>
        <v/>
      </c>
      <c r="AF302" s="600" t="str" cm="1">
        <f t="array" aca="1" ref="AF302" ca="1">IF(OR($B302="",$M302=""),"",IFERROR(IF($C302="売",_xlfn.MINIFS(安値!$E$3:$IT$3,安値!$E$3:$IT$3,"&gt;"&amp;$E302,安値!$E$3:$IT$3,"&lt;="&amp;$AE302,OFFSET(安値!$E$6:$IT$6,MATCH(TEXT($B302,"0"),TEXT(銘柄管理!$B$6:$B$305,"0"),0)-1,0),"&lt;="&amp;$M302),_xlfn.MINIFS(高値!$E$3:$IT$3,高値!$E$3:$IT$3,"&gt;"&amp;$E302,高値!$E$3:$IT$3,"&lt;="&amp;$AE302,OFFSET(高値!$E$6:$IT$6,MATCH(TEXT($B302,"0"),TEXT(銘柄管理!$B$6:$B$305,"0"),0)-1,0),"&gt;="&amp;$M302)),""))</f>
        <v/>
      </c>
      <c r="AG302" s="600" t="str" cm="1">
        <f t="array" aca="1" ref="AG302" ca="1">IF(OR($B302="",$N302=""),"",IFERROR(IF($C302="売",_xlfn.MINIFS(高値!$E$3:$IT$3,高値!$E$3:$IT$3,"&gt;"&amp;$E302,高値!$E$3:$IT$3,"&lt;="&amp;$AE302,OFFSET(高値!$E$6:$IT$6,MATCH(TEXT($B302,"0"),TEXT(銘柄管理!$B$6:$B$305,"0"),0)-1,0),"&gt;="&amp;$N302),_xlfn.MINIFS(安値!$E$3:$IT$3,安値!$E$3:$IT$3,"&gt;"&amp;$E302,安値!$E$3:$IT$3,"&lt;="&amp;$AE302,OFFSET(安値!$E$6:$IT$6,MATCH(TEXT($B302,"0"),TEXT(銘柄管理!$B$6:$B$305,"0"),0)-1,0),"&lt;="&amp;$N302)),""))</f>
        <v/>
      </c>
      <c r="AH302" s="600" t="str">
        <f>IF(OR($B302="",$M302=""),"",IF(AND(N($AF302)=0,N($AG302)=0),IF(AND(ISNUMBER($H302),$H302&gt;0,IF($C302="売",$H302&gt;=$N302,$H302&lt;=$N302)),"損切確定",IF(AND(ISNUMBER($H302),$H302&gt;0,IF($C302="売",$H302&lt;=$M302,$H302&gt;=$M302)),"利益確定",IF($AE302&lt;=TODAY(),"日数制限","保有中"))),IF(N($AG302)=0,"利益確定",IF(N($AF302)=0,"損切確定",IF($AG302&lt;=$AF302,"損切確定","利益確定")))))</f>
        <v/>
      </c>
      <c r="AI302" s="600" t="str" cm="1">
        <f t="array" ref="AI302">IFERROR(INDEX(始値!$E$6:$IT$305,MATCH(TEXT($B302,"0"),TEXT(銘柄管理!$B$6:$B$305,"0"),0),MATCH($AE302,始値!$E$3:$IT$3,0)),"")</f>
        <v/>
      </c>
      <c r="AJ302" s="608" t="str">
        <f>IF(OR($V302="",$F302="",$G302=""),"",$V302/($F302*$G302))</f>
        <v/>
      </c>
      <c r="AK302" s="600" t="str">
        <f>IF($V302="","",IF($V302&gt;0,"○勝",IF($V302&lt;0,"●負","△引分")))</f>
        <v/>
      </c>
    </row>
    <row r="303" spans="1:37" ht="17.25" customHeight="1">
      <c r="A303" s="621" t="str">
        <f>IF(B303="","",HYPERLINK("https://kabutan.jp/stock/?code="&amp;B303,"株探"))</f>
        <v/>
      </c>
      <c r="B303" s="480"/>
      <c r="C303" s="480"/>
      <c r="D303" s="480" t="str" cm="1">
        <f t="array" ref="D303">_xll.RssMarket(B303, "銘柄名称")</f>
        <v/>
      </c>
      <c r="E303" s="717"/>
      <c r="F303" s="698" t="str" cm="1">
        <f t="array" aca="1" ref="F303" ca="1">IFERROR(_xlfn.LET(_xlpm.r,MATCH(TEXT($B303,"0"),TEXT(銘柄管理!$B$6:$B$305,"0"),0),_xlpm.t,MOD(NOW(),1),_xlpm.c,IF($E303=TODAY(),IF(_xlpm.t&gt;=TIME(15,30,0),NA(),1),IF(MATCH($E303,始値!$E$3:$IT$3,0)=1,1,MATCH($E303,始値!$E$3:$IT$3,0)+1)),_xlpm.v,INDEX(始値!$C$6:$IT$305,_xlpm.r,_xlpm.c),IF(N(_xlpm.v)=0,"",_xlpm.v)),"")</f>
        <v/>
      </c>
      <c r="G303" s="480"/>
      <c r="H303" s="480" t="str" cm="1">
        <f t="array" ref="H303">_xll.RssMarket(B303, "現在値")</f>
        <v/>
      </c>
      <c r="I303" s="480" t="str" cm="1">
        <f t="array" ref="I303">_xll.RssMarket(B303, "出来高加重平均")</f>
        <v/>
      </c>
      <c r="J303" s="702" t="str" cm="1">
        <f t="array" ref="J303">_xll.RssMarket($B303, "前日比")</f>
        <v/>
      </c>
      <c r="K303" s="703" t="str">
        <f>IF(OR(F303="",G303="",H303=""),"",IF(C303="売",(F303-H303)*G303,(H303-F303)*G303))</f>
        <v/>
      </c>
      <c r="L303" s="708" t="str">
        <f>IF(OR(F303="",H303=""),"",IF(C303="売",(F303-H303)/F303,(H303-F303)/F303))</f>
        <v/>
      </c>
      <c r="M303" s="598" t="str">
        <f>IF($F303="","",$F303*IF($C303="売",1-V811設定!$B$4,1+V811設定!$B$4)-MOD($F303*IF($C303="売",1-V811設定!$B$4,1+V811設定!$B$4),IF($F303&lt;=3000,1,IF($F303&lt;=5000,5,IF($F303&lt;=30000,10,IF($F303&lt;=50000,50,IF($F303&lt;=300000,100,500))))))+IF(AND($C303="売",MOD($F303*IF($C303="売",1-V811設定!$B$4,1+V811設定!$B$4),IF($F303&lt;=3000,1,IF($F303&lt;=5000,5,IF($F303&lt;=30000,10,IF($F303&lt;=50000,50,IF($F303&lt;=300000,100,500))))))&gt;0),IF($F303&lt;=3000,1,IF($F303&lt;=5000,5,IF($F303&lt;=30000,10,IF($F303&lt;=50000,50,IF($F303&lt;=300000,100,500))))),0))</f>
      </c>
      <c r="N303" s="598" t="str">
        <f>IF($F303="","",$F303*IF($C303="売",1+V811設定!$B$3,1-V811設定!$B$3)-MOD($F303*IF($C303="売",1+V811設定!$B$3,1-V811設定!$B$3),IF($F303&lt;=3000,1,IF($F303&lt;=5000,5,IF($F303&lt;=30000,10,IF($F303&lt;=50000,50,IF($F303&lt;=300000,100,500))))))+IF(AND($C303="売",MOD($F303*IF($C303="売",1+V811設定!$B$3,1-V811設定!$B$3),IF($F303&lt;=3000,1,IF($F303&lt;=5000,5,IF($F303&lt;=30000,10,IF($F303&lt;=50000,50,IF($F303&lt;=300000,100,500))))))&gt;0),IF($F303&lt;=3000,1,IF($F303&lt;=5000,5,IF($F303&lt;=30000,10,IF($F303&lt;=50000,50,IF($F303&lt;=300000,100,500))))),0))</f>
      </c>
      <c r="O303" s="478" t="str">
        <f>IF(OR($B303="",$F303="",$H303=""),"",IF($S303="✅売却済","―決済済―",IF($C303="売",IF($H303&lt;=$M303,"🟢利確",IF(AND($R303&lt;&gt;"",$H303&gt;=$R303),"🟠TRAIL",IF($H303&gt;=$N303,"🔴損切",IF($W303&gt;=V811設定!$B$6,"⏱時間決済",IF($H303&gt;=$F303*(1+V811設定!$B$3*0.7),"⚠️損切接近","保持継続"))))),IF($H303&gt;=$M303,"🟢利確",IF(AND($R303&lt;&gt;"",$H303&lt;=$R303),"🟠TRAIL",IF($H303&lt;=$N303,"🔴損切",IF($W303&gt;=V811設定!$B$6,"⏱時間決済",IF($H303&lt;=$F303*(1-V811設定!$B$3*0.7),"⚠️損切接近","保持継続"))))))))</f>
      </c>
      <c r="P303" s="445"/>
      <c r="Q303" s="445"/>
      <c r="R303" s="480" t="str">
        <f>IF(OR($F303="",$H303="",$N303=""),"",IF($S303="✅売却済","",IF($C303="売",IF($H303&gt;$F303*(1-V811設定!$B$3),$N303,MIN($N303,IF($Q303="",$N303,$Q303*1.03))),IF($H303&lt;$F303*(1+V811設定!$B$3),$N303,MAX($N303,IF($P303="",$N303,$P303*0.97))))))</f>
      </c>
      <c r="S303" s="480" t="str">
        <f>IF(B303="","",IF(T303&lt;&gt;"","✅売却済",IF(OR(H303="",L303=""),"📌保有中",IF(L303&gt;=0.06,"🟢利確推奨",IF(L303&gt;=0.05,"🟡利確直近",IF(L303&gt;=0.045,"🔵トレーリング検討",IF(L303&gt;-0.03,"📌保有中",IF(L303&gt;-0.04,"⚠️損切注意","🔴損切り"))))))))</f>
        <v/>
      </c>
      <c r="T303" s="596"/>
      <c r="U303" s="598"/>
      <c r="V303" s="703" t="str">
        <f>IF(OR(F303="",G303="",U303=""),"",IF(C303="売",(F303-U303)*G303,(U303-F303)*G303))</f>
        <v/>
      </c>
      <c r="W303" s="480" t="str">
        <f>IF(OR($E303="",$B303=""),"",IF($T303&lt;&gt;"",$T303-$E303,TODAY()-$E303)+1)</f>
        <v/>
      </c>
      <c r="X303" s="480" t="str">
        <f>IF(OR($AH303="",$AH303="保有中"),"",$AH303)</f>
        <v/>
      </c>
      <c r="Y303" s="488"/>
      <c r="Z303" s="710"/>
      <c r="AD303" s="608"/>
      <c r="AE303" s="600" t="str">
        <f>IF($E303="","",WORKDAY($E303,12))</f>
        <v/>
      </c>
      <c r="AF303" s="600" t="str" cm="1">
        <f t="array" aca="1" ref="AF303" ca="1">IF(OR($B303="",$M303=""),"",IFERROR(IF($C303="売",_xlfn.MINIFS(安値!$E$3:$IT$3,安値!$E$3:$IT$3,"&gt;"&amp;$E303,安値!$E$3:$IT$3,"&lt;="&amp;$AE303,OFFSET(安値!$E$6:$IT$6,MATCH(TEXT($B303,"0"),TEXT(銘柄管理!$B$6:$B$305,"0"),0)-1,0),"&lt;="&amp;$M303),_xlfn.MINIFS(高値!$E$3:$IT$3,高値!$E$3:$IT$3,"&gt;"&amp;$E303,高値!$E$3:$IT$3,"&lt;="&amp;$AE303,OFFSET(高値!$E$6:$IT$6,MATCH(TEXT($B303,"0"),TEXT(銘柄管理!$B$6:$B$305,"0"),0)-1,0),"&gt;="&amp;$M303)),""))</f>
        <v/>
      </c>
      <c r="AG303" s="600" t="str" cm="1">
        <f t="array" aca="1" ref="AG303" ca="1">IF(OR($B303="",$N303=""),"",IFERROR(IF($C303="売",_xlfn.MINIFS(高値!$E$3:$IT$3,高値!$E$3:$IT$3,"&gt;"&amp;$E303,高値!$E$3:$IT$3,"&lt;="&amp;$AE303,OFFSET(高値!$E$6:$IT$6,MATCH(TEXT($B303,"0"),TEXT(銘柄管理!$B$6:$B$305,"0"),0)-1,0),"&gt;="&amp;$N303),_xlfn.MINIFS(安値!$E$3:$IT$3,安値!$E$3:$IT$3,"&gt;"&amp;$E303,安値!$E$3:$IT$3,"&lt;="&amp;$AE303,OFFSET(安値!$E$6:$IT$6,MATCH(TEXT($B303,"0"),TEXT(銘柄管理!$B$6:$B$305,"0"),0)-1,0),"&lt;="&amp;$N303)),""))</f>
        <v/>
      </c>
      <c r="AH303" s="600" t="str">
        <f>IF(OR($B303="",$M303=""),"",IF(AND(N($AF303)=0,N($AG303)=0),IF(AND(ISNUMBER($H303),$H303&gt;0,IF($C303="売",$H303&gt;=$N303,$H303&lt;=$N303)),"損切確定",IF(AND(ISNUMBER($H303),$H303&gt;0,IF($C303="売",$H303&lt;=$M303,$H303&gt;=$M303)),"利益確定",IF($AE303&lt;=TODAY(),"日数制限","保有中"))),IF(N($AG303)=0,"利益確定",IF(N($AF303)=0,"損切確定",IF($AG303&lt;=$AF303,"損切確定","利益確定")))))</f>
        <v/>
      </c>
      <c r="AI303" s="600" t="str" cm="1">
        <f t="array" ref="AI303">IFERROR(INDEX(始値!$E$6:$IT$305,MATCH(TEXT($B303,"0"),TEXT(銘柄管理!$B$6:$B$305,"0"),0),MATCH($AE303,始値!$E$3:$IT$3,0)),"")</f>
        <v/>
      </c>
      <c r="AJ303" s="608" t="str">
        <f>IF(OR($V303="",$F303="",$G303=""),"",$V303/($F303*$G303))</f>
        <v/>
      </c>
      <c r="AK303" s="600" t="str">
        <f>IF($V303="","",IF($V303&gt;0,"○勝",IF($V303&lt;0,"●負","△引分")))</f>
        <v/>
      </c>
    </row>
    <row r="304" spans="1:37" ht="17.25" customHeight="1">
      <c r="A304" s="621" t="str">
        <f>IF(B304="","",HYPERLINK("https://kabutan.jp/stock/?code="&amp;B304,"株探"))</f>
        <v/>
      </c>
      <c r="B304" s="480"/>
      <c r="C304" s="480"/>
      <c r="D304" s="480" t="str" cm="1">
        <f t="array" ref="D304">_xll.RssMarket(B304, "銘柄名称")</f>
        <v/>
      </c>
      <c r="E304" s="717"/>
      <c r="F304" s="698" t="str" cm="1">
        <f t="array" aca="1" ref="F304" ca="1">IFERROR(_xlfn.LET(_xlpm.r,MATCH(TEXT($B304,"0"),TEXT(銘柄管理!$B$6:$B$305,"0"),0),_xlpm.t,MOD(NOW(),1),_xlpm.c,IF($E304=TODAY(),IF(_xlpm.t&gt;=TIME(15,30,0),NA(),1),IF(MATCH($E304,始値!$E$3:$IT$3,0)=1,1,MATCH($E304,始値!$E$3:$IT$3,0)+1)),_xlpm.v,INDEX(始値!$C$6:$IT$305,_xlpm.r,_xlpm.c),IF(N(_xlpm.v)=0,"",_xlpm.v)),"")</f>
        <v/>
      </c>
      <c r="G304" s="480"/>
      <c r="H304" s="480" t="str" cm="1">
        <f t="array" ref="H304">_xll.RssMarket(B304, "現在値")</f>
        <v/>
      </c>
      <c r="I304" s="480" t="str" cm="1">
        <f t="array" ref="I304">_xll.RssMarket(B304, "出来高加重平均")</f>
        <v/>
      </c>
      <c r="J304" s="702" t="str" cm="1">
        <f t="array" ref="J304">_xll.RssMarket($B304, "前日比")</f>
        <v/>
      </c>
      <c r="K304" s="703" t="str">
        <f>IF(OR(F304="",G304="",H304=""),"",IF(C304="売",(F304-H304)*G304,(H304-F304)*G304))</f>
        <v/>
      </c>
      <c r="L304" s="708" t="str">
        <f>IF(OR(F304="",H304=""),"",IF(C304="売",(F304-H304)/F304,(H304-F304)/F304))</f>
        <v/>
      </c>
      <c r="M304" s="598" t="str">
        <f>IF($F304="","",$F304*IF($C304="売",1-V811設定!$B$4,1+V811設定!$B$4)-MOD($F304*IF($C304="売",1-V811設定!$B$4,1+V811設定!$B$4),IF($F304&lt;=3000,1,IF($F304&lt;=5000,5,IF($F304&lt;=30000,10,IF($F304&lt;=50000,50,IF($F304&lt;=300000,100,500))))))+IF(AND($C304="売",MOD($F304*IF($C304="売",1-V811設定!$B$4,1+V811設定!$B$4),IF($F304&lt;=3000,1,IF($F304&lt;=5000,5,IF($F304&lt;=30000,10,IF($F304&lt;=50000,50,IF($F304&lt;=300000,100,500))))))&gt;0),IF($F304&lt;=3000,1,IF($F304&lt;=5000,5,IF($F304&lt;=30000,10,IF($F304&lt;=50000,50,IF($F304&lt;=300000,100,500))))),0))</f>
      </c>
      <c r="N304" s="598" t="str">
        <f>IF($F304="","",$F304*IF($C304="売",1+V811設定!$B$3,1-V811設定!$B$3)-MOD($F304*IF($C304="売",1+V811設定!$B$3,1-V811設定!$B$3),IF($F304&lt;=3000,1,IF($F304&lt;=5000,5,IF($F304&lt;=30000,10,IF($F304&lt;=50000,50,IF($F304&lt;=300000,100,500))))))+IF(AND($C304="売",MOD($F304*IF($C304="売",1+V811設定!$B$3,1-V811設定!$B$3),IF($F304&lt;=3000,1,IF($F304&lt;=5000,5,IF($F304&lt;=30000,10,IF($F304&lt;=50000,50,IF($F304&lt;=300000,100,500))))))&gt;0),IF($F304&lt;=3000,1,IF($F304&lt;=5000,5,IF($F304&lt;=30000,10,IF($F304&lt;=50000,50,IF($F304&lt;=300000,100,500))))),0))</f>
      </c>
      <c r="O304" s="478" t="str">
        <f>IF(OR($B304="",$F304="",$H304=""),"",IF($S304="✅売却済","―決済済―",IF($C304="売",IF($H304&lt;=$M304,"🟢利確",IF(AND($R304&lt;&gt;"",$H304&gt;=$R304),"🟠TRAIL",IF($H304&gt;=$N304,"🔴損切",IF($W304&gt;=V811設定!$B$6,"⏱時間決済",IF($H304&gt;=$F304*(1+V811設定!$B$3*0.7),"⚠️損切接近","保持継続"))))),IF($H304&gt;=$M304,"🟢利確",IF(AND($R304&lt;&gt;"",$H304&lt;=$R304),"🟠TRAIL",IF($H304&lt;=$N304,"🔴損切",IF($W304&gt;=V811設定!$B$6,"⏱時間決済",IF($H304&lt;=$F304*(1-V811設定!$B$3*0.7),"⚠️損切接近","保持継続"))))))))</f>
      </c>
      <c r="P304" s="445"/>
      <c r="Q304" s="445"/>
      <c r="R304" s="480" t="str">
        <f>IF(OR($F304="",$H304="",$N304=""),"",IF($S304="✅売却済","",IF($C304="売",IF($H304&gt;$F304*(1-V811設定!$B$3),$N304,MIN($N304,IF($Q304="",$N304,$Q304*1.03))),IF($H304&lt;$F304*(1+V811設定!$B$3),$N304,MAX($N304,IF($P304="",$N304,$P304*0.97))))))</f>
      </c>
      <c r="S304" s="480" t="str">
        <f>IF(B304="","",IF(T304&lt;&gt;"","✅売却済",IF(OR(H304="",L304=""),"📌保有中",IF(L304&gt;=0.06,"🟢利確推奨",IF(L304&gt;=0.05,"🟡利確直近",IF(L304&gt;=0.045,"🔵トレーリング検討",IF(L304&gt;-0.03,"📌保有中",IF(L304&gt;-0.04,"⚠️損切注意","🔴損切り"))))))))</f>
        <v/>
      </c>
      <c r="T304" s="596"/>
      <c r="U304" s="598"/>
      <c r="V304" s="703" t="str">
        <f>IF(OR(F304="",G304="",U304=""),"",IF(C304="売",(F304-U304)*G304,(U304-F304)*G304))</f>
        <v/>
      </c>
      <c r="W304" s="480" t="str">
        <f>IF(OR($E304="",$B304=""),"",IF($T304&lt;&gt;"",$T304-$E304,TODAY()-$E304)+1)</f>
        <v/>
      </c>
      <c r="X304" s="480" t="str">
        <f>IF(OR($AH304="",$AH304="保有中"),"",$AH304)</f>
        <v/>
      </c>
      <c r="Y304" s="488"/>
      <c r="Z304" s="710"/>
      <c r="AD304" s="608"/>
      <c r="AE304" s="600" t="str">
        <f>IF($E304="","",WORKDAY($E304,12))</f>
        <v/>
      </c>
      <c r="AF304" s="600" t="str" cm="1">
        <f t="array" aca="1" ref="AF304" ca="1">IF(OR($B304="",$M304=""),"",IFERROR(IF($C304="売",_xlfn.MINIFS(安値!$E$3:$IT$3,安値!$E$3:$IT$3,"&gt;"&amp;$E304,安値!$E$3:$IT$3,"&lt;="&amp;$AE304,OFFSET(安値!$E$6:$IT$6,MATCH(TEXT($B304,"0"),TEXT(銘柄管理!$B$6:$B$305,"0"),0)-1,0),"&lt;="&amp;$M304),_xlfn.MINIFS(高値!$E$3:$IT$3,高値!$E$3:$IT$3,"&gt;"&amp;$E304,高値!$E$3:$IT$3,"&lt;="&amp;$AE304,OFFSET(高値!$E$6:$IT$6,MATCH(TEXT($B304,"0"),TEXT(銘柄管理!$B$6:$B$305,"0"),0)-1,0),"&gt;="&amp;$M304)),""))</f>
        <v/>
      </c>
      <c r="AG304" s="600" t="str" cm="1">
        <f t="array" aca="1" ref="AG304" ca="1">IF(OR($B304="",$N304=""),"",IFERROR(IF($C304="売",_xlfn.MINIFS(高値!$E$3:$IT$3,高値!$E$3:$IT$3,"&gt;"&amp;$E304,高値!$E$3:$IT$3,"&lt;="&amp;$AE304,OFFSET(高値!$E$6:$IT$6,MATCH(TEXT($B304,"0"),TEXT(銘柄管理!$B$6:$B$305,"0"),0)-1,0),"&gt;="&amp;$N304),_xlfn.MINIFS(安値!$E$3:$IT$3,安値!$E$3:$IT$3,"&gt;"&amp;$E304,安値!$E$3:$IT$3,"&lt;="&amp;$AE304,OFFSET(安値!$E$6:$IT$6,MATCH(TEXT($B304,"0"),TEXT(銘柄管理!$B$6:$B$305,"0"),0)-1,0),"&lt;="&amp;$N304)),""))</f>
        <v/>
      </c>
      <c r="AH304" s="600" t="str">
        <f>IF(OR($B304="",$M304=""),"",IF(AND(N($AF304)=0,N($AG304)=0),IF(AND(ISNUMBER($H304),$H304&gt;0,IF($C304="売",$H304&gt;=$N304,$H304&lt;=$N304)),"損切確定",IF(AND(ISNUMBER($H304),$H304&gt;0,IF($C304="売",$H304&lt;=$M304,$H304&gt;=$M304)),"利益確定",IF($AE304&lt;=TODAY(),"日数制限","保有中"))),IF(N($AG304)=0,"利益確定",IF(N($AF304)=0,"損切確定",IF($AG304&lt;=$AF304,"損切確定","利益確定")))))</f>
        <v/>
      </c>
      <c r="AI304" s="600" t="str" cm="1">
        <f t="array" ref="AI304">IFERROR(INDEX(始値!$E$6:$IT$305,MATCH(TEXT($B304,"0"),TEXT(銘柄管理!$B$6:$B$305,"0"),0),MATCH($AE304,始値!$E$3:$IT$3,0)),"")</f>
        <v/>
      </c>
      <c r="AJ304" s="608" t="str">
        <f>IF(OR($V304="",$F304="",$G304=""),"",$V304/($F304*$G304))</f>
        <v/>
      </c>
      <c r="AK304" s="600" t="str">
        <f>IF($V304="","",IF($V304&gt;0,"○勝",IF($V304&lt;0,"●負","△引分")))</f>
        <v/>
      </c>
    </row>
    <row r="305" spans="1:37" ht="17.25" customHeight="1">
      <c r="A305" s="621" t="str">
        <f>IF(B305="","",HYPERLINK("https://kabutan.jp/stock/?code="&amp;B305,"株探"))</f>
        <v/>
      </c>
      <c r="B305" s="480"/>
      <c r="C305" s="480"/>
      <c r="D305" s="480" t="str" cm="1">
        <f t="array" ref="D305">_xll.RssMarket(B305, "銘柄名称")</f>
        <v/>
      </c>
      <c r="E305" s="717"/>
      <c r="F305" s="698" t="str" cm="1">
        <f t="array" aca="1" ref="F305" ca="1">IFERROR(_xlfn.LET(_xlpm.r,MATCH(TEXT($B305,"0"),TEXT(銘柄管理!$B$6:$B$305,"0"),0),_xlpm.t,MOD(NOW(),1),_xlpm.c,IF($E305=TODAY(),IF(_xlpm.t&gt;=TIME(15,30,0),NA(),1),IF(MATCH($E305,始値!$E$3:$IT$3,0)=1,1,MATCH($E305,始値!$E$3:$IT$3,0)+1)),_xlpm.v,INDEX(始値!$C$6:$IT$305,_xlpm.r,_xlpm.c),IF(N(_xlpm.v)=0,"",_xlpm.v)),"")</f>
        <v/>
      </c>
      <c r="G305" s="480"/>
      <c r="H305" s="480" t="str" cm="1">
        <f t="array" ref="H305">_xll.RssMarket(B305, "現在値")</f>
        <v/>
      </c>
      <c r="I305" s="480" t="str" cm="1">
        <f t="array" ref="I305">_xll.RssMarket(B305, "出来高加重平均")</f>
        <v/>
      </c>
      <c r="J305" s="702" t="str" cm="1">
        <f t="array" ref="J305">_xll.RssMarket($B305, "前日比")</f>
        <v/>
      </c>
      <c r="K305" s="703" t="str">
        <f>IF(OR(F305="",G305="",H305=""),"",IF(C305="売",(F305-H305)*G305,(H305-F305)*G305))</f>
        <v/>
      </c>
      <c r="L305" s="708" t="str">
        <f>IF(OR(F305="",H305=""),"",IF(C305="売",(F305-H305)/F305,(H305-F305)/F305))</f>
        <v/>
      </c>
      <c r="M305" s="598" t="str">
        <f>IF($F305="","",$F305*IF($C305="売",1-V811設定!$B$4,1+V811設定!$B$4)-MOD($F305*IF($C305="売",1-V811設定!$B$4,1+V811設定!$B$4),IF($F305&lt;=3000,1,IF($F305&lt;=5000,5,IF($F305&lt;=30000,10,IF($F305&lt;=50000,50,IF($F305&lt;=300000,100,500))))))+IF(AND($C305="売",MOD($F305*IF($C305="売",1-V811設定!$B$4,1+V811設定!$B$4),IF($F305&lt;=3000,1,IF($F305&lt;=5000,5,IF($F305&lt;=30000,10,IF($F305&lt;=50000,50,IF($F305&lt;=300000,100,500))))))&gt;0),IF($F305&lt;=3000,1,IF($F305&lt;=5000,5,IF($F305&lt;=30000,10,IF($F305&lt;=50000,50,IF($F305&lt;=300000,100,500))))),0))</f>
      </c>
      <c r="N305" s="598" t="str">
        <f>IF($F305="","",$F305*IF($C305="売",1+V811設定!$B$3,1-V811設定!$B$3)-MOD($F305*IF($C305="売",1+V811設定!$B$3,1-V811設定!$B$3),IF($F305&lt;=3000,1,IF($F305&lt;=5000,5,IF($F305&lt;=30000,10,IF($F305&lt;=50000,50,IF($F305&lt;=300000,100,500))))))+IF(AND($C305="売",MOD($F305*IF($C305="売",1+V811設定!$B$3,1-V811設定!$B$3),IF($F305&lt;=3000,1,IF($F305&lt;=5000,5,IF($F305&lt;=30000,10,IF($F305&lt;=50000,50,IF($F305&lt;=300000,100,500))))))&gt;0),IF($F305&lt;=3000,1,IF($F305&lt;=5000,5,IF($F305&lt;=30000,10,IF($F305&lt;=50000,50,IF($F305&lt;=300000,100,500))))),0))</f>
      </c>
      <c r="O305" s="478" t="str">
        <f>IF(OR($B305="",$F305="",$H305=""),"",IF($S305="✅売却済","―決済済―",IF($C305="売",IF($H305&lt;=$M305,"🟢利確",IF(AND($R305&lt;&gt;"",$H305&gt;=$R305),"🟠TRAIL",IF($H305&gt;=$N305,"🔴損切",IF($W305&gt;=V811設定!$B$6,"⏱時間決済",IF($H305&gt;=$F305*(1+V811設定!$B$3*0.7),"⚠️損切接近","保持継続"))))),IF($H305&gt;=$M305,"🟢利確",IF(AND($R305&lt;&gt;"",$H305&lt;=$R305),"🟠TRAIL",IF($H305&lt;=$N305,"🔴損切",IF($W305&gt;=V811設定!$B$6,"⏱時間決済",IF($H305&lt;=$F305*(1-V811設定!$B$3*0.7),"⚠️損切接近","保持継続"))))))))</f>
      </c>
      <c r="P305" s="445"/>
      <c r="Q305" s="445"/>
      <c r="R305" s="480" t="str">
        <f>IF(OR($F305="",$H305="",$N305=""),"",IF($S305="✅売却済","",IF($C305="売",IF($H305&gt;$F305*(1-V811設定!$B$3),$N305,MIN($N305,IF($Q305="",$N305,$Q305*1.03))),IF($H305&lt;$F305*(1+V811設定!$B$3),$N305,MAX($N305,IF($P305="",$N305,$P305*0.97))))))</f>
      </c>
      <c r="S305" s="480" t="str">
        <f>IF(B305="","",IF(T305&lt;&gt;"","✅売却済",IF(OR(H305="",L305=""),"📌保有中",IF(L305&gt;=0.06,"🟢利確推奨",IF(L305&gt;=0.05,"🟡利確直近",IF(L305&gt;=0.045,"🔵トレーリング検討",IF(L305&gt;-0.03,"📌保有中",IF(L305&gt;-0.04,"⚠️損切注意","🔴損切り"))))))))</f>
        <v/>
      </c>
      <c r="T305" s="596"/>
      <c r="U305" s="598"/>
      <c r="V305" s="703" t="str">
        <f>IF(OR(F305="",G305="",U305=""),"",IF(C305="売",(F305-U305)*G305,(U305-F305)*G305))</f>
        <v/>
      </c>
      <c r="W305" s="480" t="str">
        <f>IF(OR($E305="",$B305=""),"",IF($T305&lt;&gt;"",$T305-$E305,TODAY()-$E305)+1)</f>
        <v/>
      </c>
      <c r="X305" s="480" t="str">
        <f>IF(OR($AH305="",$AH305="保有中"),"",$AH305)</f>
        <v/>
      </c>
      <c r="Y305" s="488"/>
      <c r="Z305" s="710"/>
      <c r="AD305" s="608"/>
      <c r="AE305" s="600" t="str">
        <f>IF($E305="","",WORKDAY($E305,12))</f>
        <v/>
      </c>
      <c r="AF305" s="600" t="str" cm="1">
        <f t="array" aca="1" ref="AF305" ca="1">IF(OR($B305="",$M305=""),"",IFERROR(IF($C305="売",_xlfn.MINIFS(安値!$E$3:$IT$3,安値!$E$3:$IT$3,"&gt;"&amp;$E305,安値!$E$3:$IT$3,"&lt;="&amp;$AE305,OFFSET(安値!$E$6:$IT$6,MATCH(TEXT($B305,"0"),TEXT(銘柄管理!$B$6:$B$305,"0"),0)-1,0),"&lt;="&amp;$M305),_xlfn.MINIFS(高値!$E$3:$IT$3,高値!$E$3:$IT$3,"&gt;"&amp;$E305,高値!$E$3:$IT$3,"&lt;="&amp;$AE305,OFFSET(高値!$E$6:$IT$6,MATCH(TEXT($B305,"0"),TEXT(銘柄管理!$B$6:$B$305,"0"),0)-1,0),"&gt;="&amp;$M305)),""))</f>
        <v/>
      </c>
      <c r="AG305" s="600" t="str" cm="1">
        <f t="array" aca="1" ref="AG305" ca="1">IF(OR($B305="",$N305=""),"",IFERROR(IF($C305="売",_xlfn.MINIFS(高値!$E$3:$IT$3,高値!$E$3:$IT$3,"&gt;"&amp;$E305,高値!$E$3:$IT$3,"&lt;="&amp;$AE305,OFFSET(高値!$E$6:$IT$6,MATCH(TEXT($B305,"0"),TEXT(銘柄管理!$B$6:$B$305,"0"),0)-1,0),"&gt;="&amp;$N305),_xlfn.MINIFS(安値!$E$3:$IT$3,安値!$E$3:$IT$3,"&gt;"&amp;$E305,安値!$E$3:$IT$3,"&lt;="&amp;$AE305,OFFSET(安値!$E$6:$IT$6,MATCH(TEXT($B305,"0"),TEXT(銘柄管理!$B$6:$B$305,"0"),0)-1,0),"&lt;="&amp;$N305)),""))</f>
        <v/>
      </c>
      <c r="AH305" s="600" t="str">
        <f>IF(OR($B305="",$M305=""),"",IF(AND(N($AF305)=0,N($AG305)=0),IF(AND(ISNUMBER($H305),$H305&gt;0,IF($C305="売",$H305&gt;=$N305,$H305&lt;=$N305)),"損切確定",IF(AND(ISNUMBER($H305),$H305&gt;0,IF($C305="売",$H305&lt;=$M305,$H305&gt;=$M305)),"利益確定",IF($AE305&lt;=TODAY(),"日数制限","保有中"))),IF(N($AG305)=0,"利益確定",IF(N($AF305)=0,"損切確定",IF($AG305&lt;=$AF305,"損切確定","利益確定")))))</f>
        <v/>
      </c>
      <c r="AI305" s="600" t="str" cm="1">
        <f t="array" ref="AI305">IFERROR(INDEX(始値!$E$6:$IT$305,MATCH(TEXT($B305,"0"),TEXT(銘柄管理!$B$6:$B$305,"0"),0),MATCH($AE305,始値!$E$3:$IT$3,0)),"")</f>
        <v/>
      </c>
      <c r="AJ305" s="608" t="str">
        <f>IF(OR($V305="",$F305="",$G305=""),"",$V305/($F305*$G305))</f>
        <v/>
      </c>
      <c r="AK305" s="600" t="str">
        <f>IF($V305="","",IF($V305&gt;0,"○勝",IF($V305&lt;0,"●負","△引分")))</f>
        <v/>
      </c>
    </row>
    <row r="306" spans="1:37" ht="17.25" customHeight="1">
      <c r="A306" s="621" t="str">
        <f>IF(B306="","",HYPERLINK("https://kabutan.jp/stock/?code="&amp;B306,"株探"))</f>
        <v/>
      </c>
      <c r="B306" s="480"/>
      <c r="C306" s="480"/>
      <c r="D306" s="480" t="str" cm="1">
        <f t="array" ref="D306">_xll.RssMarket(B306, "銘柄名称")</f>
        <v/>
      </c>
      <c r="E306" s="717"/>
      <c r="F306" s="698" t="str" cm="1">
        <f t="array" aca="1" ref="F306" ca="1">IFERROR(_xlfn.LET(_xlpm.r,MATCH(TEXT($B306,"0"),TEXT(銘柄管理!$B$6:$B$305,"0"),0),_xlpm.t,MOD(NOW(),1),_xlpm.c,IF($E306=TODAY(),IF(_xlpm.t&gt;=TIME(15,30,0),NA(),1),IF(MATCH($E306,始値!$E$3:$IT$3,0)=1,1,MATCH($E306,始値!$E$3:$IT$3,0)+1)),_xlpm.v,INDEX(始値!$C$6:$IT$305,_xlpm.r,_xlpm.c),IF(N(_xlpm.v)=0,"",_xlpm.v)),"")</f>
        <v/>
      </c>
      <c r="G306" s="480"/>
      <c r="H306" s="480" t="str" cm="1">
        <f t="array" ref="H306">_xll.RssMarket(B306, "現在値")</f>
        <v/>
      </c>
      <c r="I306" s="480" t="str" cm="1">
        <f t="array" ref="I306">_xll.RssMarket(B306, "出来高加重平均")</f>
        <v/>
      </c>
      <c r="J306" s="702" t="str" cm="1">
        <f t="array" ref="J306">_xll.RssMarket($B306, "前日比")</f>
        <v/>
      </c>
      <c r="K306" s="703" t="str">
        <f>IF(OR(F306="",G306="",H306=""),"",IF(C306="売",(F306-H306)*G306,(H306-F306)*G306))</f>
        <v/>
      </c>
      <c r="L306" s="708" t="str">
        <f>IF(OR(F306="",H306=""),"",IF(C306="売",(F306-H306)/F306,(H306-F306)/F306))</f>
        <v/>
      </c>
      <c r="M306" s="598" t="str">
        <f>IF($F306="","",$F306*IF($C306="売",1-V811設定!$B$4,1+V811設定!$B$4)-MOD($F306*IF($C306="売",1-V811設定!$B$4,1+V811設定!$B$4),IF($F306&lt;=3000,1,IF($F306&lt;=5000,5,IF($F306&lt;=30000,10,IF($F306&lt;=50000,50,IF($F306&lt;=300000,100,500))))))+IF(AND($C306="売",MOD($F306*IF($C306="売",1-V811設定!$B$4,1+V811設定!$B$4),IF($F306&lt;=3000,1,IF($F306&lt;=5000,5,IF($F306&lt;=30000,10,IF($F306&lt;=50000,50,IF($F306&lt;=300000,100,500))))))&gt;0),IF($F306&lt;=3000,1,IF($F306&lt;=5000,5,IF($F306&lt;=30000,10,IF($F306&lt;=50000,50,IF($F306&lt;=300000,100,500))))),0))</f>
      </c>
      <c r="N306" s="598" t="str">
        <f>IF($F306="","",$F306*IF($C306="売",1+V811設定!$B$3,1-V811設定!$B$3)-MOD($F306*IF($C306="売",1+V811設定!$B$3,1-V811設定!$B$3),IF($F306&lt;=3000,1,IF($F306&lt;=5000,5,IF($F306&lt;=30000,10,IF($F306&lt;=50000,50,IF($F306&lt;=300000,100,500))))))+IF(AND($C306="売",MOD($F306*IF($C306="売",1+V811設定!$B$3,1-V811設定!$B$3),IF($F306&lt;=3000,1,IF($F306&lt;=5000,5,IF($F306&lt;=30000,10,IF($F306&lt;=50000,50,IF($F306&lt;=300000,100,500))))))&gt;0),IF($F306&lt;=3000,1,IF($F306&lt;=5000,5,IF($F306&lt;=30000,10,IF($F306&lt;=50000,50,IF($F306&lt;=300000,100,500))))),0))</f>
      </c>
      <c r="O306" s="478" t="str">
        <f>IF(OR($B306="",$F306="",$H306=""),"",IF($S306="✅売却済","―決済済―",IF($C306="売",IF($H306&lt;=$M306,"🟢利確",IF(AND($R306&lt;&gt;"",$H306&gt;=$R306),"🟠TRAIL",IF($H306&gt;=$N306,"🔴損切",IF($W306&gt;=V811設定!$B$6,"⏱時間決済",IF($H306&gt;=$F306*(1+V811設定!$B$3*0.7),"⚠️損切接近","保持継続"))))),IF($H306&gt;=$M306,"🟢利確",IF(AND($R306&lt;&gt;"",$H306&lt;=$R306),"🟠TRAIL",IF($H306&lt;=$N306,"🔴損切",IF($W306&gt;=V811設定!$B$6,"⏱時間決済",IF($H306&lt;=$F306*(1-V811設定!$B$3*0.7),"⚠️損切接近","保持継続"))))))))</f>
      </c>
      <c r="P306" s="445"/>
      <c r="Q306" s="445"/>
      <c r="R306" s="480" t="str">
        <f>IF(OR($F306="",$H306="",$N306=""),"",IF($S306="✅売却済","",IF($C306="売",IF($H306&gt;$F306*(1-V811設定!$B$3),$N306,MIN($N306,IF($Q306="",$N306,$Q306*1.03))),IF($H306&lt;$F306*(1+V811設定!$B$3),$N306,MAX($N306,IF($P306="",$N306,$P306*0.97))))))</f>
      </c>
      <c r="S306" s="480" t="str">
        <f>IF(B306="","",IF(T306&lt;&gt;"","✅売却済",IF(OR(H306="",L306=""),"📌保有中",IF(L306&gt;=0.06,"🟢利確推奨",IF(L306&gt;=0.05,"🟡利確直近",IF(L306&gt;=0.045,"🔵トレーリング検討",IF(L306&gt;-0.03,"📌保有中",IF(L306&gt;-0.04,"⚠️損切注意","🔴損切り"))))))))</f>
        <v/>
      </c>
      <c r="T306" s="596"/>
      <c r="U306" s="598"/>
      <c r="V306" s="703" t="str">
        <f>IF(OR(F306="",G306="",U306=""),"",IF(C306="売",(F306-U306)*G306,(U306-F306)*G306))</f>
        <v/>
      </c>
      <c r="W306" s="480" t="str">
        <f>IF(OR($E306="",$B306=""),"",IF($T306&lt;&gt;"",$T306-$E306,TODAY()-$E306)+1)</f>
        <v/>
      </c>
      <c r="X306" s="480" t="str">
        <f>IF(OR($AH306="",$AH306="保有中"),"",$AH306)</f>
        <v/>
      </c>
      <c r="Y306" s="488"/>
      <c r="Z306" s="710"/>
      <c r="AD306" s="608"/>
      <c r="AE306" s="600" t="str">
        <f>IF($E306="","",WORKDAY($E306,12))</f>
        <v/>
      </c>
      <c r="AF306" s="600" t="str" cm="1">
        <f t="array" aca="1" ref="AF306" ca="1">IF(OR($B306="",$M306=""),"",IFERROR(IF($C306="売",_xlfn.MINIFS(安値!$E$3:$IT$3,安値!$E$3:$IT$3,"&gt;"&amp;$E306,安値!$E$3:$IT$3,"&lt;="&amp;$AE306,OFFSET(安値!$E$6:$IT$6,MATCH(TEXT($B306,"0"),TEXT(銘柄管理!$B$6:$B$305,"0"),0)-1,0),"&lt;="&amp;$M306),_xlfn.MINIFS(高値!$E$3:$IT$3,高値!$E$3:$IT$3,"&gt;"&amp;$E306,高値!$E$3:$IT$3,"&lt;="&amp;$AE306,OFFSET(高値!$E$6:$IT$6,MATCH(TEXT($B306,"0"),TEXT(銘柄管理!$B$6:$B$305,"0"),0)-1,0),"&gt;="&amp;$M306)),""))</f>
        <v/>
      </c>
      <c r="AG306" s="600" t="str" cm="1">
        <f t="array" aca="1" ref="AG306" ca="1">IF(OR($B306="",$N306=""),"",IFERROR(IF($C306="売",_xlfn.MINIFS(高値!$E$3:$IT$3,高値!$E$3:$IT$3,"&gt;"&amp;$E306,高値!$E$3:$IT$3,"&lt;="&amp;$AE306,OFFSET(高値!$E$6:$IT$6,MATCH(TEXT($B306,"0"),TEXT(銘柄管理!$B$6:$B$305,"0"),0)-1,0),"&gt;="&amp;$N306),_xlfn.MINIFS(安値!$E$3:$IT$3,安値!$E$3:$IT$3,"&gt;"&amp;$E306,安値!$E$3:$IT$3,"&lt;="&amp;$AE306,OFFSET(安値!$E$6:$IT$6,MATCH(TEXT($B306,"0"),TEXT(銘柄管理!$B$6:$B$305,"0"),0)-1,0),"&lt;="&amp;$N306)),""))</f>
        <v/>
      </c>
      <c r="AH306" s="600" t="str">
        <f>IF(OR($B306="",$M306=""),"",IF(AND(N($AF306)=0,N($AG306)=0),IF(AND(ISNUMBER($H306),$H306&gt;0,IF($C306="売",$H306&gt;=$N306,$H306&lt;=$N306)),"損切確定",IF(AND(ISNUMBER($H306),$H306&gt;0,IF($C306="売",$H306&lt;=$M306,$H306&gt;=$M306)),"利益確定",IF($AE306&lt;=TODAY(),"日数制限","保有中"))),IF(N($AG306)=0,"利益確定",IF(N($AF306)=0,"損切確定",IF($AG306&lt;=$AF306,"損切確定","利益確定")))))</f>
        <v/>
      </c>
      <c r="AI306" s="600" t="str" cm="1">
        <f t="array" ref="AI306">IFERROR(INDEX(始値!$E$6:$IT$305,MATCH(TEXT($B306,"0"),TEXT(銘柄管理!$B$6:$B$305,"0"),0),MATCH($AE306,始値!$E$3:$IT$3,0)),"")</f>
        <v/>
      </c>
      <c r="AJ306" s="608" t="str">
        <f>IF(OR($V306="",$F306="",$G306=""),"",$V306/($F306*$G306))</f>
        <v/>
      </c>
      <c r="AK306" s="600" t="str">
        <f>IF($V306="","",IF($V306&gt;0,"○勝",IF($V306&lt;0,"●負","△引分")))</f>
        <v/>
      </c>
    </row>
    <row r="307" spans="1:37" ht="17.25" customHeight="1">
      <c r="A307" s="621" t="str">
        <f>IF(B307="","",HYPERLINK("https://kabutan.jp/stock/?code="&amp;B307,"株探"))</f>
        <v/>
      </c>
      <c r="B307" s="480"/>
      <c r="C307" s="480"/>
      <c r="D307" s="480" t="str" cm="1">
        <f t="array" ref="D307">_xll.RssMarket(B307, "銘柄名称")</f>
        <v/>
      </c>
      <c r="E307" s="717"/>
      <c r="F307" s="698" t="str" cm="1">
        <f t="array" aca="1" ref="F307" ca="1">IFERROR(_xlfn.LET(_xlpm.r,MATCH(TEXT($B307,"0"),TEXT(銘柄管理!$B$6:$B$305,"0"),0),_xlpm.t,MOD(NOW(),1),_xlpm.c,IF($E307=TODAY(),IF(_xlpm.t&gt;=TIME(15,30,0),NA(),1),IF(MATCH($E307,始値!$E$3:$IT$3,0)=1,1,MATCH($E307,始値!$E$3:$IT$3,0)+1)),_xlpm.v,INDEX(始値!$C$6:$IT$305,_xlpm.r,_xlpm.c),IF(N(_xlpm.v)=0,"",_xlpm.v)),"")</f>
        <v/>
      </c>
      <c r="G307" s="480"/>
      <c r="H307" s="480" t="str" cm="1">
        <f t="array" ref="H307">_xll.RssMarket(B307, "現在値")</f>
        <v/>
      </c>
      <c r="I307" s="480" t="str" cm="1">
        <f t="array" ref="I307">_xll.RssMarket(B307, "出来高加重平均")</f>
        <v/>
      </c>
      <c r="J307" s="702" t="str" cm="1">
        <f t="array" ref="J307">_xll.RssMarket($B307, "前日比")</f>
        <v/>
      </c>
      <c r="K307" s="703" t="str">
        <f>IF(OR(F307="",G307="",H307=""),"",IF(C307="売",(F307-H307)*G307,(H307-F307)*G307))</f>
        <v/>
      </c>
      <c r="L307" s="708" t="str">
        <f>IF(OR(F307="",H307=""),"",IF(C307="売",(F307-H307)/F307,(H307-F307)/F307))</f>
        <v/>
      </c>
      <c r="M307" s="598" t="str">
        <f>IF($F307="","",$F307*IF($C307="売",1-V811設定!$B$4,1+V811設定!$B$4)-MOD($F307*IF($C307="売",1-V811設定!$B$4,1+V811設定!$B$4),IF($F307&lt;=3000,1,IF($F307&lt;=5000,5,IF($F307&lt;=30000,10,IF($F307&lt;=50000,50,IF($F307&lt;=300000,100,500))))))+IF(AND($C307="売",MOD($F307*IF($C307="売",1-V811設定!$B$4,1+V811設定!$B$4),IF($F307&lt;=3000,1,IF($F307&lt;=5000,5,IF($F307&lt;=30000,10,IF($F307&lt;=50000,50,IF($F307&lt;=300000,100,500))))))&gt;0),IF($F307&lt;=3000,1,IF($F307&lt;=5000,5,IF($F307&lt;=30000,10,IF($F307&lt;=50000,50,IF($F307&lt;=300000,100,500))))),0))</f>
      </c>
      <c r="N307" s="598" t="str">
        <f>IF($F307="","",$F307*IF($C307="売",1+V811設定!$B$3,1-V811設定!$B$3)-MOD($F307*IF($C307="売",1+V811設定!$B$3,1-V811設定!$B$3),IF($F307&lt;=3000,1,IF($F307&lt;=5000,5,IF($F307&lt;=30000,10,IF($F307&lt;=50000,50,IF($F307&lt;=300000,100,500))))))+IF(AND($C307="売",MOD($F307*IF($C307="売",1+V811設定!$B$3,1-V811設定!$B$3),IF($F307&lt;=3000,1,IF($F307&lt;=5000,5,IF($F307&lt;=30000,10,IF($F307&lt;=50000,50,IF($F307&lt;=300000,100,500))))))&gt;0),IF($F307&lt;=3000,1,IF($F307&lt;=5000,5,IF($F307&lt;=30000,10,IF($F307&lt;=50000,50,IF($F307&lt;=300000,100,500))))),0))</f>
      </c>
      <c r="O307" s="478" t="str">
        <f>IF(OR($B307="",$F307="",$H307=""),"",IF($S307="✅売却済","―決済済―",IF($C307="売",IF($H307&lt;=$M307,"🟢利確",IF(AND($R307&lt;&gt;"",$H307&gt;=$R307),"🟠TRAIL",IF($H307&gt;=$N307,"🔴損切",IF($W307&gt;=V811設定!$B$6,"⏱時間決済",IF($H307&gt;=$F307*(1+V811設定!$B$3*0.7),"⚠️損切接近","保持継続"))))),IF($H307&gt;=$M307,"🟢利確",IF(AND($R307&lt;&gt;"",$H307&lt;=$R307),"🟠TRAIL",IF($H307&lt;=$N307,"🔴損切",IF($W307&gt;=V811設定!$B$6,"⏱時間決済",IF($H307&lt;=$F307*(1-V811設定!$B$3*0.7),"⚠️損切接近","保持継続"))))))))</f>
      </c>
      <c r="P307" s="445"/>
      <c r="Q307" s="445"/>
      <c r="R307" s="480" t="str">
        <f>IF(OR($F307="",$H307="",$N307=""),"",IF($S307="✅売却済","",IF($C307="売",IF($H307&gt;$F307*(1-V811設定!$B$3),$N307,MIN($N307,IF($Q307="",$N307,$Q307*1.03))),IF($H307&lt;$F307*(1+V811設定!$B$3),$N307,MAX($N307,IF($P307="",$N307,$P307*0.97))))))</f>
      </c>
      <c r="S307" s="480" t="str">
        <f>IF(B307="","",IF(T307&lt;&gt;"","✅売却済",IF(OR(H307="",L307=""),"📌保有中",IF(L307&gt;=0.06,"🟢利確推奨",IF(L307&gt;=0.05,"🟡利確直近",IF(L307&gt;=0.045,"🔵トレーリング検討",IF(L307&gt;-0.03,"📌保有中",IF(L307&gt;-0.04,"⚠️損切注意","🔴損切り"))))))))</f>
        <v/>
      </c>
      <c r="T307" s="596"/>
      <c r="U307" s="598"/>
      <c r="V307" s="703" t="str">
        <f>IF(OR(F307="",G307="",U307=""),"",IF(C307="売",(F307-U307)*G307,(U307-F307)*G307))</f>
        <v/>
      </c>
      <c r="W307" s="480" t="str">
        <f>IF(OR($E307="",$B307=""),"",IF($T307&lt;&gt;"",$T307-$E307,TODAY()-$E307)+1)</f>
        <v/>
      </c>
      <c r="X307" s="480" t="str">
        <f>IF(OR($AH307="",$AH307="保有中"),"",$AH307)</f>
        <v/>
      </c>
      <c r="Y307" s="488"/>
      <c r="Z307" s="710"/>
      <c r="AD307" s="608"/>
      <c r="AE307" s="600" t="str">
        <f>IF($E307="","",WORKDAY($E307,12))</f>
        <v/>
      </c>
      <c r="AF307" s="600" t="str" cm="1">
        <f t="array" aca="1" ref="AF307" ca="1">IF(OR($B307="",$M307=""),"",IFERROR(IF($C307="売",_xlfn.MINIFS(安値!$E$3:$IT$3,安値!$E$3:$IT$3,"&gt;"&amp;$E307,安値!$E$3:$IT$3,"&lt;="&amp;$AE307,OFFSET(安値!$E$6:$IT$6,MATCH(TEXT($B307,"0"),TEXT(銘柄管理!$B$6:$B$305,"0"),0)-1,0),"&lt;="&amp;$M307),_xlfn.MINIFS(高値!$E$3:$IT$3,高値!$E$3:$IT$3,"&gt;"&amp;$E307,高値!$E$3:$IT$3,"&lt;="&amp;$AE307,OFFSET(高値!$E$6:$IT$6,MATCH(TEXT($B307,"0"),TEXT(銘柄管理!$B$6:$B$305,"0"),0)-1,0),"&gt;="&amp;$M307)),""))</f>
        <v/>
      </c>
      <c r="AG307" s="600" t="str" cm="1">
        <f t="array" aca="1" ref="AG307" ca="1">IF(OR($B307="",$N307=""),"",IFERROR(IF($C307="売",_xlfn.MINIFS(高値!$E$3:$IT$3,高値!$E$3:$IT$3,"&gt;"&amp;$E307,高値!$E$3:$IT$3,"&lt;="&amp;$AE307,OFFSET(高値!$E$6:$IT$6,MATCH(TEXT($B307,"0"),TEXT(銘柄管理!$B$6:$B$305,"0"),0)-1,0),"&gt;="&amp;$N307),_xlfn.MINIFS(安値!$E$3:$IT$3,安値!$E$3:$IT$3,"&gt;"&amp;$E307,安値!$E$3:$IT$3,"&lt;="&amp;$AE307,OFFSET(安値!$E$6:$IT$6,MATCH(TEXT($B307,"0"),TEXT(銘柄管理!$B$6:$B$305,"0"),0)-1,0),"&lt;="&amp;$N307)),""))</f>
        <v/>
      </c>
      <c r="AH307" s="600" t="str">
        <f>IF(OR($B307="",$M307=""),"",IF(AND(N($AF307)=0,N($AG307)=0),IF(AND(ISNUMBER($H307),$H307&gt;0,IF($C307="売",$H307&gt;=$N307,$H307&lt;=$N307)),"損切確定",IF(AND(ISNUMBER($H307),$H307&gt;0,IF($C307="売",$H307&lt;=$M307,$H307&gt;=$M307)),"利益確定",IF($AE307&lt;=TODAY(),"日数制限","保有中"))),IF(N($AG307)=0,"利益確定",IF(N($AF307)=0,"損切確定",IF($AG307&lt;=$AF307,"損切確定","利益確定")))))</f>
        <v/>
      </c>
      <c r="AI307" s="600" t="str" cm="1">
        <f t="array" ref="AI307">IFERROR(INDEX(始値!$E$6:$IT$305,MATCH(TEXT($B307,"0"),TEXT(銘柄管理!$B$6:$B$305,"0"),0),MATCH($AE307,始値!$E$3:$IT$3,0)),"")</f>
        <v/>
      </c>
      <c r="AJ307" s="608" t="str">
        <f>IF(OR($V307="",$F307="",$G307=""),"",$V307/($F307*$G307))</f>
        <v/>
      </c>
      <c r="AK307" s="600" t="str">
        <f>IF($V307="","",IF($V307&gt;0,"○勝",IF($V307&lt;0,"●負","△引分")))</f>
        <v/>
      </c>
    </row>
    <row r="308" spans="1:37" ht="17.25" customHeight="1">
      <c r="A308" s="621" t="str">
        <f>IF(B308="","",HYPERLINK("https://kabutan.jp/stock/?code="&amp;B308,"株探"))</f>
        <v/>
      </c>
      <c r="B308" s="480"/>
      <c r="C308" s="480"/>
      <c r="D308" s="480" t="str" cm="1">
        <f t="array" ref="D308">_xll.RssMarket(B308, "銘柄名称")</f>
        <v/>
      </c>
      <c r="E308" s="717"/>
      <c r="F308" s="698" t="str" cm="1">
        <f t="array" aca="1" ref="F308" ca="1">IFERROR(_xlfn.LET(_xlpm.r,MATCH(TEXT($B308,"0"),TEXT(銘柄管理!$B$6:$B$305,"0"),0),_xlpm.t,MOD(NOW(),1),_xlpm.c,IF($E308=TODAY(),IF(_xlpm.t&gt;=TIME(15,30,0),NA(),1),IF(MATCH($E308,始値!$E$3:$IT$3,0)=1,1,MATCH($E308,始値!$E$3:$IT$3,0)+1)),_xlpm.v,INDEX(始値!$C$6:$IT$305,_xlpm.r,_xlpm.c),IF(N(_xlpm.v)=0,"",_xlpm.v)),"")</f>
        <v/>
      </c>
      <c r="G308" s="480"/>
      <c r="H308" s="480" t="str" cm="1">
        <f t="array" ref="H308">_xll.RssMarket(B308, "現在値")</f>
        <v/>
      </c>
      <c r="I308" s="480" t="str" cm="1">
        <f t="array" ref="I308">_xll.RssMarket(B308, "出来高加重平均")</f>
        <v/>
      </c>
      <c r="J308" s="702" t="str" cm="1">
        <f t="array" ref="J308">_xll.RssMarket($B308, "前日比")</f>
        <v/>
      </c>
      <c r="K308" s="703" t="str">
        <f>IF(OR(F308="",G308="",H308=""),"",IF(C308="売",(F308-H308)*G308,(H308-F308)*G308))</f>
        <v/>
      </c>
      <c r="L308" s="708" t="str">
        <f>IF(OR(F308="",H308=""),"",IF(C308="売",(F308-H308)/F308,(H308-F308)/F308))</f>
        <v/>
      </c>
      <c r="M308" s="598" t="str">
        <f>IF($F308="","",$F308*IF($C308="売",1-V811設定!$B$4,1+V811設定!$B$4)-MOD($F308*IF($C308="売",1-V811設定!$B$4,1+V811設定!$B$4),IF($F308&lt;=3000,1,IF($F308&lt;=5000,5,IF($F308&lt;=30000,10,IF($F308&lt;=50000,50,IF($F308&lt;=300000,100,500))))))+IF(AND($C308="売",MOD($F308*IF($C308="売",1-V811設定!$B$4,1+V811設定!$B$4),IF($F308&lt;=3000,1,IF($F308&lt;=5000,5,IF($F308&lt;=30000,10,IF($F308&lt;=50000,50,IF($F308&lt;=300000,100,500))))))&gt;0),IF($F308&lt;=3000,1,IF($F308&lt;=5000,5,IF($F308&lt;=30000,10,IF($F308&lt;=50000,50,IF($F308&lt;=300000,100,500))))),0))</f>
      </c>
      <c r="N308" s="598" t="str">
        <f>IF($F308="","",$F308*IF($C308="売",1+V811設定!$B$3,1-V811設定!$B$3)-MOD($F308*IF($C308="売",1+V811設定!$B$3,1-V811設定!$B$3),IF($F308&lt;=3000,1,IF($F308&lt;=5000,5,IF($F308&lt;=30000,10,IF($F308&lt;=50000,50,IF($F308&lt;=300000,100,500))))))+IF(AND($C308="売",MOD($F308*IF($C308="売",1+V811設定!$B$3,1-V811設定!$B$3),IF($F308&lt;=3000,1,IF($F308&lt;=5000,5,IF($F308&lt;=30000,10,IF($F308&lt;=50000,50,IF($F308&lt;=300000,100,500))))))&gt;0),IF($F308&lt;=3000,1,IF($F308&lt;=5000,5,IF($F308&lt;=30000,10,IF($F308&lt;=50000,50,IF($F308&lt;=300000,100,500))))),0))</f>
      </c>
      <c r="O308" s="478" t="str">
        <f>IF(OR($B308="",$F308="",$H308=""),"",IF($S308="✅売却済","―決済済―",IF($C308="売",IF($H308&lt;=$M308,"🟢利確",IF(AND($R308&lt;&gt;"",$H308&gt;=$R308),"🟠TRAIL",IF($H308&gt;=$N308,"🔴損切",IF($W308&gt;=V811設定!$B$6,"⏱時間決済",IF($H308&gt;=$F308*(1+V811設定!$B$3*0.7),"⚠️損切接近","保持継続"))))),IF($H308&gt;=$M308,"🟢利確",IF(AND($R308&lt;&gt;"",$H308&lt;=$R308),"🟠TRAIL",IF($H308&lt;=$N308,"🔴損切",IF($W308&gt;=V811設定!$B$6,"⏱時間決済",IF($H308&lt;=$F308*(1-V811設定!$B$3*0.7),"⚠️損切接近","保持継続"))))))))</f>
      </c>
      <c r="P308" s="445"/>
      <c r="Q308" s="445"/>
      <c r="R308" s="480" t="str">
        <f>IF(OR($F308="",$H308="",$N308=""),"",IF($S308="✅売却済","",IF($C308="売",IF($H308&gt;$F308*(1-V811設定!$B$3),$N308,MIN($N308,IF($Q308="",$N308,$Q308*1.03))),IF($H308&lt;$F308*(1+V811設定!$B$3),$N308,MAX($N308,IF($P308="",$N308,$P308*0.97))))))</f>
      </c>
      <c r="S308" s="480" t="str">
        <f>IF(B308="","",IF(T308&lt;&gt;"","✅売却済",IF(OR(H308="",L308=""),"📌保有中",IF(L308&gt;=0.06,"🟢利確推奨",IF(L308&gt;=0.05,"🟡利確直近",IF(L308&gt;=0.045,"🔵トレーリング検討",IF(L308&gt;-0.03,"📌保有中",IF(L308&gt;-0.04,"⚠️損切注意","🔴損切り"))))))))</f>
        <v/>
      </c>
      <c r="T308" s="596"/>
      <c r="U308" s="598"/>
      <c r="V308" s="703" t="str">
        <f>IF(OR(F308="",G308="",U308=""),"",IF(C308="売",(F308-U308)*G308,(U308-F308)*G308))</f>
        <v/>
      </c>
      <c r="W308" s="480" t="str">
        <f>IF(OR($E308="",$B308=""),"",IF($T308&lt;&gt;"",$T308-$E308,TODAY()-$E308)+1)</f>
        <v/>
      </c>
      <c r="X308" s="480" t="str">
        <f>IF(OR($AH308="",$AH308="保有中"),"",$AH308)</f>
        <v/>
      </c>
      <c r="Y308" s="488"/>
      <c r="Z308" s="710"/>
      <c r="AD308" s="608"/>
      <c r="AE308" s="600" t="str">
        <f>IF($E308="","",WORKDAY($E308,12))</f>
        <v/>
      </c>
      <c r="AF308" s="600" t="str" cm="1">
        <f t="array" aca="1" ref="AF308" ca="1">IF(OR($B308="",$M308=""),"",IFERROR(IF($C308="売",_xlfn.MINIFS(安値!$E$3:$IT$3,安値!$E$3:$IT$3,"&gt;"&amp;$E308,安値!$E$3:$IT$3,"&lt;="&amp;$AE308,OFFSET(安値!$E$6:$IT$6,MATCH(TEXT($B308,"0"),TEXT(銘柄管理!$B$6:$B$305,"0"),0)-1,0),"&lt;="&amp;$M308),_xlfn.MINIFS(高値!$E$3:$IT$3,高値!$E$3:$IT$3,"&gt;"&amp;$E308,高値!$E$3:$IT$3,"&lt;="&amp;$AE308,OFFSET(高値!$E$6:$IT$6,MATCH(TEXT($B308,"0"),TEXT(銘柄管理!$B$6:$B$305,"0"),0)-1,0),"&gt;="&amp;$M308)),""))</f>
        <v/>
      </c>
      <c r="AG308" s="600" t="str" cm="1">
        <f t="array" aca="1" ref="AG308" ca="1">IF(OR($B308="",$N308=""),"",IFERROR(IF($C308="売",_xlfn.MINIFS(高値!$E$3:$IT$3,高値!$E$3:$IT$3,"&gt;"&amp;$E308,高値!$E$3:$IT$3,"&lt;="&amp;$AE308,OFFSET(高値!$E$6:$IT$6,MATCH(TEXT($B308,"0"),TEXT(銘柄管理!$B$6:$B$305,"0"),0)-1,0),"&gt;="&amp;$N308),_xlfn.MINIFS(安値!$E$3:$IT$3,安値!$E$3:$IT$3,"&gt;"&amp;$E308,安値!$E$3:$IT$3,"&lt;="&amp;$AE308,OFFSET(安値!$E$6:$IT$6,MATCH(TEXT($B308,"0"),TEXT(銘柄管理!$B$6:$B$305,"0"),0)-1,0),"&lt;="&amp;$N308)),""))</f>
        <v/>
      </c>
      <c r="AH308" s="600" t="str">
        <f>IF(OR($B308="",$M308=""),"",IF(AND(N($AF308)=0,N($AG308)=0),IF(AND(ISNUMBER($H308),$H308&gt;0,IF($C308="売",$H308&gt;=$N308,$H308&lt;=$N308)),"損切確定",IF(AND(ISNUMBER($H308),$H308&gt;0,IF($C308="売",$H308&lt;=$M308,$H308&gt;=$M308)),"利益確定",IF($AE308&lt;=TODAY(),"日数制限","保有中"))),IF(N($AG308)=0,"利益確定",IF(N($AF308)=0,"損切確定",IF($AG308&lt;=$AF308,"損切確定","利益確定")))))</f>
        <v/>
      </c>
      <c r="AI308" s="600" t="str" cm="1">
        <f t="array" ref="AI308">IFERROR(INDEX(始値!$E$6:$IT$305,MATCH(TEXT($B308,"0"),TEXT(銘柄管理!$B$6:$B$305,"0"),0),MATCH($AE308,始値!$E$3:$IT$3,0)),"")</f>
        <v/>
      </c>
      <c r="AJ308" s="608" t="str">
        <f>IF(OR($V308="",$F308="",$G308=""),"",$V308/($F308*$G308))</f>
        <v/>
      </c>
      <c r="AK308" s="600" t="str">
        <f>IF($V308="","",IF($V308&gt;0,"○勝",IF($V308&lt;0,"●負","△引分")))</f>
        <v/>
      </c>
    </row>
    <row r="309" spans="1:37" ht="17.25" customHeight="1">
      <c r="A309" s="621" t="str">
        <f>IF(B309="","",HYPERLINK("https://kabutan.jp/stock/?code="&amp;B309,"株探"))</f>
        <v/>
      </c>
      <c r="B309" s="480"/>
      <c r="C309" s="480"/>
      <c r="D309" s="480" t="str" cm="1">
        <f t="array" ref="D309">_xll.RssMarket(B309, "銘柄名称")</f>
        <v/>
      </c>
      <c r="E309" s="717"/>
      <c r="F309" s="698" t="str" cm="1">
        <f t="array" aca="1" ref="F309" ca="1">IFERROR(_xlfn.LET(_xlpm.r,MATCH(TEXT($B309,"0"),TEXT(銘柄管理!$B$6:$B$305,"0"),0),_xlpm.t,MOD(NOW(),1),_xlpm.c,IF($E309=TODAY(),IF(_xlpm.t&gt;=TIME(15,30,0),NA(),1),IF(MATCH($E309,始値!$E$3:$IT$3,0)=1,1,MATCH($E309,始値!$E$3:$IT$3,0)+1)),_xlpm.v,INDEX(始値!$C$6:$IT$305,_xlpm.r,_xlpm.c),IF(N(_xlpm.v)=0,"",_xlpm.v)),"")</f>
        <v/>
      </c>
      <c r="G309" s="480"/>
      <c r="H309" s="480" t="str" cm="1">
        <f t="array" ref="H309">_xll.RssMarket(B309, "現在値")</f>
        <v/>
      </c>
      <c r="I309" s="480" t="str" cm="1">
        <f t="array" ref="I309">_xll.RssMarket(B309, "出来高加重平均")</f>
        <v/>
      </c>
      <c r="J309" s="702" t="str" cm="1">
        <f t="array" ref="J309">_xll.RssMarket($B309, "前日比")</f>
        <v/>
      </c>
      <c r="K309" s="703" t="str">
        <f>IF(OR(F309="",G309="",H309=""),"",IF(C309="売",(F309-H309)*G309,(H309-F309)*G309))</f>
        <v/>
      </c>
      <c r="L309" s="708" t="str">
        <f>IF(OR(F309="",H309=""),"",IF(C309="売",(F309-H309)/F309,(H309-F309)/F309))</f>
        <v/>
      </c>
      <c r="M309" s="598" t="str">
        <f>IF($F309="","",$F309*IF($C309="売",1-V811設定!$B$4,1+V811設定!$B$4)-MOD($F309*IF($C309="売",1-V811設定!$B$4,1+V811設定!$B$4),IF($F309&lt;=3000,1,IF($F309&lt;=5000,5,IF($F309&lt;=30000,10,IF($F309&lt;=50000,50,IF($F309&lt;=300000,100,500))))))+IF(AND($C309="売",MOD($F309*IF($C309="売",1-V811設定!$B$4,1+V811設定!$B$4),IF($F309&lt;=3000,1,IF($F309&lt;=5000,5,IF($F309&lt;=30000,10,IF($F309&lt;=50000,50,IF($F309&lt;=300000,100,500))))))&gt;0),IF($F309&lt;=3000,1,IF($F309&lt;=5000,5,IF($F309&lt;=30000,10,IF($F309&lt;=50000,50,IF($F309&lt;=300000,100,500))))),0))</f>
      </c>
      <c r="N309" s="598" t="str">
        <f>IF($F309="","",$F309*IF($C309="売",1+V811設定!$B$3,1-V811設定!$B$3)-MOD($F309*IF($C309="売",1+V811設定!$B$3,1-V811設定!$B$3),IF($F309&lt;=3000,1,IF($F309&lt;=5000,5,IF($F309&lt;=30000,10,IF($F309&lt;=50000,50,IF($F309&lt;=300000,100,500))))))+IF(AND($C309="売",MOD($F309*IF($C309="売",1+V811設定!$B$3,1-V811設定!$B$3),IF($F309&lt;=3000,1,IF($F309&lt;=5000,5,IF($F309&lt;=30000,10,IF($F309&lt;=50000,50,IF($F309&lt;=300000,100,500))))))&gt;0),IF($F309&lt;=3000,1,IF($F309&lt;=5000,5,IF($F309&lt;=30000,10,IF($F309&lt;=50000,50,IF($F309&lt;=300000,100,500))))),0))</f>
      </c>
      <c r="O309" s="478" t="str">
        <f>IF(OR($B309="",$F309="",$H309=""),"",IF($S309="✅売却済","―決済済―",IF($C309="売",IF($H309&lt;=$M309,"🟢利確",IF(AND($R309&lt;&gt;"",$H309&gt;=$R309),"🟠TRAIL",IF($H309&gt;=$N309,"🔴損切",IF($W309&gt;=V811設定!$B$6,"⏱時間決済",IF($H309&gt;=$F309*(1+V811設定!$B$3*0.7),"⚠️損切接近","保持継続"))))),IF($H309&gt;=$M309,"🟢利確",IF(AND($R309&lt;&gt;"",$H309&lt;=$R309),"🟠TRAIL",IF($H309&lt;=$N309,"🔴損切",IF($W309&gt;=V811設定!$B$6,"⏱時間決済",IF($H309&lt;=$F309*(1-V811設定!$B$3*0.7),"⚠️損切接近","保持継続"))))))))</f>
      </c>
      <c r="P309" s="445"/>
      <c r="Q309" s="445"/>
      <c r="R309" s="480" t="str">
        <f>IF(OR($F309="",$H309="",$N309=""),"",IF($S309="✅売却済","",IF($C309="売",IF($H309&gt;$F309*(1-V811設定!$B$3),$N309,MIN($N309,IF($Q309="",$N309,$Q309*1.03))),IF($H309&lt;$F309*(1+V811設定!$B$3),$N309,MAX($N309,IF($P309="",$N309,$P309*0.97))))))</f>
      </c>
      <c r="S309" s="480" t="str">
        <f>IF(B309="","",IF(T309&lt;&gt;"","✅売却済",IF(OR(H309="",L309=""),"📌保有中",IF(L309&gt;=0.06,"🟢利確推奨",IF(L309&gt;=0.05,"🟡利確直近",IF(L309&gt;=0.045,"🔵トレーリング検討",IF(L309&gt;-0.03,"📌保有中",IF(L309&gt;-0.04,"⚠️損切注意","🔴損切り"))))))))</f>
        <v/>
      </c>
      <c r="T309" s="596"/>
      <c r="U309" s="598"/>
      <c r="V309" s="703" t="str">
        <f>IF(OR(F309="",G309="",U309=""),"",IF(C309="売",(F309-U309)*G309,(U309-F309)*G309))</f>
        <v/>
      </c>
      <c r="W309" s="480" t="str">
        <f>IF(OR($E309="",$B309=""),"",IF($T309&lt;&gt;"",$T309-$E309,TODAY()-$E309)+1)</f>
        <v/>
      </c>
      <c r="X309" s="480" t="str">
        <f>IF(OR($AH309="",$AH309="保有中"),"",$AH309)</f>
        <v/>
      </c>
      <c r="Y309" s="488"/>
      <c r="Z309" s="710"/>
      <c r="AD309" s="608"/>
      <c r="AE309" s="600" t="str">
        <f>IF($E309="","",WORKDAY($E309,12))</f>
        <v/>
      </c>
      <c r="AF309" s="600" t="str" cm="1">
        <f t="array" aca="1" ref="AF309" ca="1">IF(OR($B309="",$M309=""),"",IFERROR(IF($C309="売",_xlfn.MINIFS(安値!$E$3:$IT$3,安値!$E$3:$IT$3,"&gt;"&amp;$E309,安値!$E$3:$IT$3,"&lt;="&amp;$AE309,OFFSET(安値!$E$6:$IT$6,MATCH(TEXT($B309,"0"),TEXT(銘柄管理!$B$6:$B$305,"0"),0)-1,0),"&lt;="&amp;$M309),_xlfn.MINIFS(高値!$E$3:$IT$3,高値!$E$3:$IT$3,"&gt;"&amp;$E309,高値!$E$3:$IT$3,"&lt;="&amp;$AE309,OFFSET(高値!$E$6:$IT$6,MATCH(TEXT($B309,"0"),TEXT(銘柄管理!$B$6:$B$305,"0"),0)-1,0),"&gt;="&amp;$M309)),""))</f>
        <v/>
      </c>
      <c r="AG309" s="600" t="str" cm="1">
        <f t="array" aca="1" ref="AG309" ca="1">IF(OR($B309="",$N309=""),"",IFERROR(IF($C309="売",_xlfn.MINIFS(高値!$E$3:$IT$3,高値!$E$3:$IT$3,"&gt;"&amp;$E309,高値!$E$3:$IT$3,"&lt;="&amp;$AE309,OFFSET(高値!$E$6:$IT$6,MATCH(TEXT($B309,"0"),TEXT(銘柄管理!$B$6:$B$305,"0"),0)-1,0),"&gt;="&amp;$N309),_xlfn.MINIFS(安値!$E$3:$IT$3,安値!$E$3:$IT$3,"&gt;"&amp;$E309,安値!$E$3:$IT$3,"&lt;="&amp;$AE309,OFFSET(安値!$E$6:$IT$6,MATCH(TEXT($B309,"0"),TEXT(銘柄管理!$B$6:$B$305,"0"),0)-1,0),"&lt;="&amp;$N309)),""))</f>
        <v/>
      </c>
      <c r="AH309" s="600" t="str">
        <f>IF(OR($B309="",$M309=""),"",IF(AND(N($AF309)=0,N($AG309)=0),IF(AND(ISNUMBER($H309),$H309&gt;0,IF($C309="売",$H309&gt;=$N309,$H309&lt;=$N309)),"損切確定",IF(AND(ISNUMBER($H309),$H309&gt;0,IF($C309="売",$H309&lt;=$M309,$H309&gt;=$M309)),"利益確定",IF($AE309&lt;=TODAY(),"日数制限","保有中"))),IF(N($AG309)=0,"利益確定",IF(N($AF309)=0,"損切確定",IF($AG309&lt;=$AF309,"損切確定","利益確定")))))</f>
        <v/>
      </c>
      <c r="AI309" s="600" t="str" cm="1">
        <f t="array" ref="AI309">IFERROR(INDEX(始値!$E$6:$IT$305,MATCH(TEXT($B309,"0"),TEXT(銘柄管理!$B$6:$B$305,"0"),0),MATCH($AE309,始値!$E$3:$IT$3,0)),"")</f>
        <v/>
      </c>
      <c r="AJ309" s="608" t="str">
        <f>IF(OR($V309="",$F309="",$G309=""),"",$V309/($F309*$G309))</f>
        <v/>
      </c>
      <c r="AK309" s="600" t="str">
        <f>IF($V309="","",IF($V309&gt;0,"○勝",IF($V309&lt;0,"●負","△引分")))</f>
        <v/>
      </c>
    </row>
    <row r="310" spans="1:37" ht="17.25" customHeight="1">
      <c r="A310" s="621" t="str">
        <f>IF(B310="","",HYPERLINK("https://kabutan.jp/stock/?code="&amp;B310,"株探"))</f>
        <v/>
      </c>
      <c r="B310" s="480"/>
      <c r="C310" s="480"/>
      <c r="D310" s="480" t="str" cm="1">
        <f t="array" ref="D310">_xll.RssMarket(B310, "銘柄名称")</f>
        <v/>
      </c>
      <c r="E310" s="717"/>
      <c r="F310" s="698" t="str" cm="1">
        <f t="array" aca="1" ref="F310" ca="1">IFERROR(_xlfn.LET(_xlpm.r,MATCH(TEXT($B310,"0"),TEXT(銘柄管理!$B$6:$B$305,"0"),0),_xlpm.t,MOD(NOW(),1),_xlpm.c,IF($E310=TODAY(),IF(_xlpm.t&gt;=TIME(15,30,0),NA(),1),IF(MATCH($E310,始値!$E$3:$IT$3,0)=1,1,MATCH($E310,始値!$E$3:$IT$3,0)+1)),_xlpm.v,INDEX(始値!$C$6:$IT$305,_xlpm.r,_xlpm.c),IF(N(_xlpm.v)=0,"",_xlpm.v)),"")</f>
        <v/>
      </c>
      <c r="G310" s="480"/>
      <c r="H310" s="480" t="str" cm="1">
        <f t="array" ref="H310">_xll.RssMarket(B310, "現在値")</f>
        <v/>
      </c>
      <c r="I310" s="480" t="str" cm="1">
        <f t="array" ref="I310">_xll.RssMarket(B310, "出来高加重平均")</f>
        <v/>
      </c>
      <c r="J310" s="702" t="str" cm="1">
        <f t="array" ref="J310">_xll.RssMarket($B310, "前日比")</f>
        <v/>
      </c>
      <c r="K310" s="703" t="str">
        <f>IF(OR(F310="",G310="",H310=""),"",IF(C310="売",(F310-H310)*G310,(H310-F310)*G310))</f>
        <v/>
      </c>
      <c r="L310" s="708" t="str">
        <f>IF(OR(F310="",H310=""),"",IF(C310="売",(F310-H310)/F310,(H310-F310)/F310))</f>
        <v/>
      </c>
      <c r="M310" s="598" t="str">
        <f>IF($F310="","",$F310*IF($C310="売",1-V811設定!$B$4,1+V811設定!$B$4)-MOD($F310*IF($C310="売",1-V811設定!$B$4,1+V811設定!$B$4),IF($F310&lt;=3000,1,IF($F310&lt;=5000,5,IF($F310&lt;=30000,10,IF($F310&lt;=50000,50,IF($F310&lt;=300000,100,500))))))+IF(AND($C310="売",MOD($F310*IF($C310="売",1-V811設定!$B$4,1+V811設定!$B$4),IF($F310&lt;=3000,1,IF($F310&lt;=5000,5,IF($F310&lt;=30000,10,IF($F310&lt;=50000,50,IF($F310&lt;=300000,100,500))))))&gt;0),IF($F310&lt;=3000,1,IF($F310&lt;=5000,5,IF($F310&lt;=30000,10,IF($F310&lt;=50000,50,IF($F310&lt;=300000,100,500))))),0))</f>
      </c>
      <c r="N310" s="598" t="str">
        <f>IF($F310="","",$F310*IF($C310="売",1+V811設定!$B$3,1-V811設定!$B$3)-MOD($F310*IF($C310="売",1+V811設定!$B$3,1-V811設定!$B$3),IF($F310&lt;=3000,1,IF($F310&lt;=5000,5,IF($F310&lt;=30000,10,IF($F310&lt;=50000,50,IF($F310&lt;=300000,100,500))))))+IF(AND($C310="売",MOD($F310*IF($C310="売",1+V811設定!$B$3,1-V811設定!$B$3),IF($F310&lt;=3000,1,IF($F310&lt;=5000,5,IF($F310&lt;=30000,10,IF($F310&lt;=50000,50,IF($F310&lt;=300000,100,500))))))&gt;0),IF($F310&lt;=3000,1,IF($F310&lt;=5000,5,IF($F310&lt;=30000,10,IF($F310&lt;=50000,50,IF($F310&lt;=300000,100,500))))),0))</f>
      </c>
      <c r="O310" s="478" t="str">
        <f>IF(OR($B310="",$F310="",$H310=""),"",IF($S310="✅売却済","―決済済―",IF($C310="売",IF($H310&lt;=$M310,"🟢利確",IF(AND($R310&lt;&gt;"",$H310&gt;=$R310),"🟠TRAIL",IF($H310&gt;=$N310,"🔴損切",IF($W310&gt;=V811設定!$B$6,"⏱時間決済",IF($H310&gt;=$F310*(1+V811設定!$B$3*0.7),"⚠️損切接近","保持継続"))))),IF($H310&gt;=$M310,"🟢利確",IF(AND($R310&lt;&gt;"",$H310&lt;=$R310),"🟠TRAIL",IF($H310&lt;=$N310,"🔴損切",IF($W310&gt;=V811設定!$B$6,"⏱時間決済",IF($H310&lt;=$F310*(1-V811設定!$B$3*0.7),"⚠️損切接近","保持継続"))))))))</f>
      </c>
      <c r="P310" s="445"/>
      <c r="Q310" s="445"/>
      <c r="R310" s="480" t="str">
        <f>IF(OR($F310="",$H310="",$N310=""),"",IF($S310="✅売却済","",IF($C310="売",IF($H310&gt;$F310*(1-V811設定!$B$3),$N310,MIN($N310,IF($Q310="",$N310,$Q310*1.03))),IF($H310&lt;$F310*(1+V811設定!$B$3),$N310,MAX($N310,IF($P310="",$N310,$P310*0.97))))))</f>
      </c>
      <c r="S310" s="480" t="str">
        <f>IF(B310="","",IF(T310&lt;&gt;"","✅売却済",IF(OR(H310="",L310=""),"📌保有中",IF(L310&gt;=0.06,"🟢利確推奨",IF(L310&gt;=0.05,"🟡利確直近",IF(L310&gt;=0.045,"🔵トレーリング検討",IF(L310&gt;-0.03,"📌保有中",IF(L310&gt;-0.04,"⚠️損切注意","🔴損切り"))))))))</f>
        <v/>
      </c>
      <c r="T310" s="596"/>
      <c r="U310" s="598"/>
      <c r="V310" s="703" t="str">
        <f>IF(OR(F310="",G310="",U310=""),"",IF(C310="売",(F310-U310)*G310,(U310-F310)*G310))</f>
        <v/>
      </c>
      <c r="W310" s="480" t="str">
        <f>IF(OR($E310="",$B310=""),"",IF($T310&lt;&gt;"",$T310-$E310,TODAY()-$E310)+1)</f>
        <v/>
      </c>
      <c r="X310" s="480" t="str">
        <f>IF(OR($AH310="",$AH310="保有中"),"",$AH310)</f>
        <v/>
      </c>
      <c r="Y310" s="488"/>
      <c r="Z310" s="710"/>
      <c r="AD310" s="608"/>
      <c r="AE310" s="600" t="str">
        <f>IF($E310="","",WORKDAY($E310,12))</f>
        <v/>
      </c>
      <c r="AF310" s="600" t="str" cm="1">
        <f t="array" aca="1" ref="AF310" ca="1">IF(OR($B310="",$M310=""),"",IFERROR(IF($C310="売",_xlfn.MINIFS(安値!$E$3:$IT$3,安値!$E$3:$IT$3,"&gt;"&amp;$E310,安値!$E$3:$IT$3,"&lt;="&amp;$AE310,OFFSET(安値!$E$6:$IT$6,MATCH(TEXT($B310,"0"),TEXT(銘柄管理!$B$6:$B$305,"0"),0)-1,0),"&lt;="&amp;$M310),_xlfn.MINIFS(高値!$E$3:$IT$3,高値!$E$3:$IT$3,"&gt;"&amp;$E310,高値!$E$3:$IT$3,"&lt;="&amp;$AE310,OFFSET(高値!$E$6:$IT$6,MATCH(TEXT($B310,"0"),TEXT(銘柄管理!$B$6:$B$305,"0"),0)-1,0),"&gt;="&amp;$M310)),""))</f>
        <v/>
      </c>
      <c r="AG310" s="600" t="str" cm="1">
        <f t="array" aca="1" ref="AG310" ca="1">IF(OR($B310="",$N310=""),"",IFERROR(IF($C310="売",_xlfn.MINIFS(高値!$E$3:$IT$3,高値!$E$3:$IT$3,"&gt;"&amp;$E310,高値!$E$3:$IT$3,"&lt;="&amp;$AE310,OFFSET(高値!$E$6:$IT$6,MATCH(TEXT($B310,"0"),TEXT(銘柄管理!$B$6:$B$305,"0"),0)-1,0),"&gt;="&amp;$N310),_xlfn.MINIFS(安値!$E$3:$IT$3,安値!$E$3:$IT$3,"&gt;"&amp;$E310,安値!$E$3:$IT$3,"&lt;="&amp;$AE310,OFFSET(安値!$E$6:$IT$6,MATCH(TEXT($B310,"0"),TEXT(銘柄管理!$B$6:$B$305,"0"),0)-1,0),"&lt;="&amp;$N310)),""))</f>
        <v/>
      </c>
      <c r="AH310" s="600" t="str">
        <f>IF(OR($B310="",$M310=""),"",IF(AND(N($AF310)=0,N($AG310)=0),IF(AND(ISNUMBER($H310),$H310&gt;0,IF($C310="売",$H310&gt;=$N310,$H310&lt;=$N310)),"損切確定",IF(AND(ISNUMBER($H310),$H310&gt;0,IF($C310="売",$H310&lt;=$M310,$H310&gt;=$M310)),"利益確定",IF($AE310&lt;=TODAY(),"日数制限","保有中"))),IF(N($AG310)=0,"利益確定",IF(N($AF310)=0,"損切確定",IF($AG310&lt;=$AF310,"損切確定","利益確定")))))</f>
        <v/>
      </c>
      <c r="AI310" s="600" t="str" cm="1">
        <f t="array" ref="AI310">IFERROR(INDEX(始値!$E$6:$IT$305,MATCH(TEXT($B310,"0"),TEXT(銘柄管理!$B$6:$B$305,"0"),0),MATCH($AE310,始値!$E$3:$IT$3,0)),"")</f>
        <v/>
      </c>
      <c r="AJ310" s="608" t="str">
        <f>IF(OR($V310="",$F310="",$G310=""),"",$V310/($F310*$G310))</f>
        <v/>
      </c>
      <c r="AK310" s="600" t="str">
        <f>IF($V310="","",IF($V310&gt;0,"○勝",IF($V310&lt;0,"●負","△引分")))</f>
        <v/>
      </c>
    </row>
    <row r="311" spans="1:37" ht="17.25" customHeight="1">
      <c r="A311" s="621" t="str">
        <f>IF(B311="","",HYPERLINK("https://kabutan.jp/stock/?code="&amp;B311,"株探"))</f>
        <v/>
      </c>
      <c r="B311" s="480"/>
      <c r="C311" s="480"/>
      <c r="D311" s="480" t="str" cm="1">
        <f t="array" ref="D311">_xll.RssMarket(B311, "銘柄名称")</f>
        <v/>
      </c>
      <c r="E311" s="717"/>
      <c r="F311" s="698" t="str" cm="1">
        <f t="array" aca="1" ref="F311" ca="1">IFERROR(_xlfn.LET(_xlpm.r,MATCH(TEXT($B311,"0"),TEXT(銘柄管理!$B$6:$B$305,"0"),0),_xlpm.t,MOD(NOW(),1),_xlpm.c,IF($E311=TODAY(),IF(_xlpm.t&gt;=TIME(15,30,0),NA(),1),IF(MATCH($E311,始値!$E$3:$IT$3,0)=1,1,MATCH($E311,始値!$E$3:$IT$3,0)+1)),_xlpm.v,INDEX(始値!$C$6:$IT$305,_xlpm.r,_xlpm.c),IF(N(_xlpm.v)=0,"",_xlpm.v)),"")</f>
        <v/>
      </c>
      <c r="G311" s="480"/>
      <c r="H311" s="480" t="str" cm="1">
        <f t="array" ref="H311">_xll.RssMarket(B311, "現在値")</f>
        <v/>
      </c>
      <c r="I311" s="480" t="str" cm="1">
        <f t="array" ref="I311">_xll.RssMarket(B311, "出来高加重平均")</f>
        <v/>
      </c>
      <c r="J311" s="702" t="str" cm="1">
        <f t="array" ref="J311">_xll.RssMarket($B311, "前日比")</f>
        <v/>
      </c>
      <c r="K311" s="703" t="str">
        <f>IF(OR(F311="",G311="",H311=""),"",IF(C311="売",(F311-H311)*G311,(H311-F311)*G311))</f>
        <v/>
      </c>
      <c r="L311" s="708" t="str">
        <f>IF(OR(F311="",H311=""),"",IF(C311="売",(F311-H311)/F311,(H311-F311)/F311))</f>
        <v/>
      </c>
      <c r="M311" s="598" t="str">
        <f>IF($F311="","",$F311*IF($C311="売",1-V811設定!$B$4,1+V811設定!$B$4)-MOD($F311*IF($C311="売",1-V811設定!$B$4,1+V811設定!$B$4),IF($F311&lt;=3000,1,IF($F311&lt;=5000,5,IF($F311&lt;=30000,10,IF($F311&lt;=50000,50,IF($F311&lt;=300000,100,500))))))+IF(AND($C311="売",MOD($F311*IF($C311="売",1-V811設定!$B$4,1+V811設定!$B$4),IF($F311&lt;=3000,1,IF($F311&lt;=5000,5,IF($F311&lt;=30000,10,IF($F311&lt;=50000,50,IF($F311&lt;=300000,100,500))))))&gt;0),IF($F311&lt;=3000,1,IF($F311&lt;=5000,5,IF($F311&lt;=30000,10,IF($F311&lt;=50000,50,IF($F311&lt;=300000,100,500))))),0))</f>
      </c>
      <c r="N311" s="598" t="str">
        <f>IF($F311="","",$F311*IF($C311="売",1+V811設定!$B$3,1-V811設定!$B$3)-MOD($F311*IF($C311="売",1+V811設定!$B$3,1-V811設定!$B$3),IF($F311&lt;=3000,1,IF($F311&lt;=5000,5,IF($F311&lt;=30000,10,IF($F311&lt;=50000,50,IF($F311&lt;=300000,100,500))))))+IF(AND($C311="売",MOD($F311*IF($C311="売",1+V811設定!$B$3,1-V811設定!$B$3),IF($F311&lt;=3000,1,IF($F311&lt;=5000,5,IF($F311&lt;=30000,10,IF($F311&lt;=50000,50,IF($F311&lt;=300000,100,500))))))&gt;0),IF($F311&lt;=3000,1,IF($F311&lt;=5000,5,IF($F311&lt;=30000,10,IF($F311&lt;=50000,50,IF($F311&lt;=300000,100,500))))),0))</f>
      </c>
      <c r="O311" s="478" t="str">
        <f>IF(OR($B311="",$F311="",$H311=""),"",IF($S311="✅売却済","―決済済―",IF($C311="売",IF($H311&lt;=$M311,"🟢利確",IF(AND($R311&lt;&gt;"",$H311&gt;=$R311),"🟠TRAIL",IF($H311&gt;=$N311,"🔴損切",IF($W311&gt;=V811設定!$B$6,"⏱時間決済",IF($H311&gt;=$F311*(1+V811設定!$B$3*0.7),"⚠️損切接近","保持継続"))))),IF($H311&gt;=$M311,"🟢利確",IF(AND($R311&lt;&gt;"",$H311&lt;=$R311),"🟠TRAIL",IF($H311&lt;=$N311,"🔴損切",IF($W311&gt;=V811設定!$B$6,"⏱時間決済",IF($H311&lt;=$F311*(1-V811設定!$B$3*0.7),"⚠️損切接近","保持継続"))))))))</f>
      </c>
      <c r="P311" s="445"/>
      <c r="Q311" s="445"/>
      <c r="R311" s="480" t="str">
        <f>IF(OR($F311="",$H311="",$N311=""),"",IF($S311="✅売却済","",IF($C311="売",IF($H311&gt;$F311*(1-V811設定!$B$3),$N311,MIN($N311,IF($Q311="",$N311,$Q311*1.03))),IF($H311&lt;$F311*(1+V811設定!$B$3),$N311,MAX($N311,IF($P311="",$N311,$P311*0.97))))))</f>
      </c>
      <c r="S311" s="480" t="str">
        <f>IF(B311="","",IF(T311&lt;&gt;"","✅売却済",IF(OR(H311="",L311=""),"📌保有中",IF(L311&gt;=0.06,"🟢利確推奨",IF(L311&gt;=0.05,"🟡利確直近",IF(L311&gt;=0.045,"🔵トレーリング検討",IF(L311&gt;-0.03,"📌保有中",IF(L311&gt;-0.04,"⚠️損切注意","🔴損切り"))))))))</f>
        <v/>
      </c>
      <c r="T311" s="596"/>
      <c r="U311" s="598"/>
      <c r="V311" s="703" t="str">
        <f>IF(OR(F311="",G311="",U311=""),"",IF(C311="売",(F311-U311)*G311,(U311-F311)*G311))</f>
        <v/>
      </c>
      <c r="W311" s="480" t="str">
        <f>IF(OR($E311="",$B311=""),"",IF($T311&lt;&gt;"",$T311-$E311,TODAY()-$E311)+1)</f>
        <v/>
      </c>
      <c r="X311" s="480" t="str">
        <f>IF(OR($AH311="",$AH311="保有中"),"",$AH311)</f>
        <v/>
      </c>
      <c r="Y311" s="488"/>
      <c r="Z311" s="710"/>
      <c r="AD311" s="608"/>
      <c r="AE311" s="600" t="str">
        <f>IF($E311="","",WORKDAY($E311,12))</f>
        <v/>
      </c>
      <c r="AF311" s="600" t="str" cm="1">
        <f t="array" aca="1" ref="AF311" ca="1">IF(OR($B311="",$M311=""),"",IFERROR(IF($C311="売",_xlfn.MINIFS(安値!$E$3:$IT$3,安値!$E$3:$IT$3,"&gt;"&amp;$E311,安値!$E$3:$IT$3,"&lt;="&amp;$AE311,OFFSET(安値!$E$6:$IT$6,MATCH(TEXT($B311,"0"),TEXT(銘柄管理!$B$6:$B$305,"0"),0)-1,0),"&lt;="&amp;$M311),_xlfn.MINIFS(高値!$E$3:$IT$3,高値!$E$3:$IT$3,"&gt;"&amp;$E311,高値!$E$3:$IT$3,"&lt;="&amp;$AE311,OFFSET(高値!$E$6:$IT$6,MATCH(TEXT($B311,"0"),TEXT(銘柄管理!$B$6:$B$305,"0"),0)-1,0),"&gt;="&amp;$M311)),""))</f>
        <v/>
      </c>
      <c r="AG311" s="600" t="str" cm="1">
        <f t="array" aca="1" ref="AG311" ca="1">IF(OR($B311="",$N311=""),"",IFERROR(IF($C311="売",_xlfn.MINIFS(高値!$E$3:$IT$3,高値!$E$3:$IT$3,"&gt;"&amp;$E311,高値!$E$3:$IT$3,"&lt;="&amp;$AE311,OFFSET(高値!$E$6:$IT$6,MATCH(TEXT($B311,"0"),TEXT(銘柄管理!$B$6:$B$305,"0"),0)-1,0),"&gt;="&amp;$N311),_xlfn.MINIFS(安値!$E$3:$IT$3,安値!$E$3:$IT$3,"&gt;"&amp;$E311,安値!$E$3:$IT$3,"&lt;="&amp;$AE311,OFFSET(安値!$E$6:$IT$6,MATCH(TEXT($B311,"0"),TEXT(銘柄管理!$B$6:$B$305,"0"),0)-1,0),"&lt;="&amp;$N311)),""))</f>
        <v/>
      </c>
      <c r="AH311" s="600" t="str">
        <f>IF(OR($B311="",$M311=""),"",IF(AND(N($AF311)=0,N($AG311)=0),IF(AND(ISNUMBER($H311),$H311&gt;0,IF($C311="売",$H311&gt;=$N311,$H311&lt;=$N311)),"損切確定",IF(AND(ISNUMBER($H311),$H311&gt;0,IF($C311="売",$H311&lt;=$M311,$H311&gt;=$M311)),"利益確定",IF($AE311&lt;=TODAY(),"日数制限","保有中"))),IF(N($AG311)=0,"利益確定",IF(N($AF311)=0,"損切確定",IF($AG311&lt;=$AF311,"損切確定","利益確定")))))</f>
        <v/>
      </c>
      <c r="AI311" s="600" t="str" cm="1">
        <f t="array" ref="AI311">IFERROR(INDEX(始値!$E$6:$IT$305,MATCH(TEXT($B311,"0"),TEXT(銘柄管理!$B$6:$B$305,"0"),0),MATCH($AE311,始値!$E$3:$IT$3,0)),"")</f>
        <v/>
      </c>
      <c r="AJ311" s="608" t="str">
        <f>IF(OR($V311="",$F311="",$G311=""),"",$V311/($F311*$G311))</f>
        <v/>
      </c>
      <c r="AK311" s="600" t="str">
        <f>IF($V311="","",IF($V311&gt;0,"○勝",IF($V311&lt;0,"●負","△引分")))</f>
        <v/>
      </c>
    </row>
    <row r="312" spans="1:37" ht="17.25" customHeight="1">
      <c r="A312" s="621" t="str">
        <f>IF(B312="","",HYPERLINK("https://kabutan.jp/stock/?code="&amp;B312,"株探"))</f>
        <v/>
      </c>
      <c r="B312" s="480"/>
      <c r="C312" s="480"/>
      <c r="D312" s="480" t="str" cm="1">
        <f t="array" ref="D312">_xll.RssMarket(B312, "銘柄名称")</f>
        <v/>
      </c>
      <c r="E312" s="717"/>
      <c r="F312" s="698" t="str" cm="1">
        <f t="array" aca="1" ref="F312" ca="1">IFERROR(_xlfn.LET(_xlpm.r,MATCH(TEXT($B312,"0"),TEXT(銘柄管理!$B$6:$B$305,"0"),0),_xlpm.t,MOD(NOW(),1),_xlpm.c,IF($E312=TODAY(),IF(_xlpm.t&gt;=TIME(15,30,0),NA(),1),IF(MATCH($E312,始値!$E$3:$IT$3,0)=1,1,MATCH($E312,始値!$E$3:$IT$3,0)+1)),_xlpm.v,INDEX(始値!$C$6:$IT$305,_xlpm.r,_xlpm.c),IF(N(_xlpm.v)=0,"",_xlpm.v)),"")</f>
        <v/>
      </c>
      <c r="G312" s="480"/>
      <c r="H312" s="480" t="str" cm="1">
        <f t="array" ref="H312">_xll.RssMarket(B312, "現在値")</f>
        <v/>
      </c>
      <c r="I312" s="480" t="str" cm="1">
        <f t="array" ref="I312">_xll.RssMarket(B312, "出来高加重平均")</f>
        <v/>
      </c>
      <c r="J312" s="702" t="str" cm="1">
        <f t="array" ref="J312">_xll.RssMarket($B312, "前日比")</f>
        <v/>
      </c>
      <c r="K312" s="703" t="str">
        <f>IF(OR(F312="",G312="",H312=""),"",IF(C312="売",(F312-H312)*G312,(H312-F312)*G312))</f>
        <v/>
      </c>
      <c r="L312" s="708" t="str">
        <f>IF(OR(F312="",H312=""),"",IF(C312="売",(F312-H312)/F312,(H312-F312)/F312))</f>
        <v/>
      </c>
      <c r="M312" s="598" t="str">
        <f>IF($F312="","",$F312*IF($C312="売",1-V811設定!$B$4,1+V811設定!$B$4)-MOD($F312*IF($C312="売",1-V811設定!$B$4,1+V811設定!$B$4),IF($F312&lt;=3000,1,IF($F312&lt;=5000,5,IF($F312&lt;=30000,10,IF($F312&lt;=50000,50,IF($F312&lt;=300000,100,500))))))+IF(AND($C312="売",MOD($F312*IF($C312="売",1-V811設定!$B$4,1+V811設定!$B$4),IF($F312&lt;=3000,1,IF($F312&lt;=5000,5,IF($F312&lt;=30000,10,IF($F312&lt;=50000,50,IF($F312&lt;=300000,100,500))))))&gt;0),IF($F312&lt;=3000,1,IF($F312&lt;=5000,5,IF($F312&lt;=30000,10,IF($F312&lt;=50000,50,IF($F312&lt;=300000,100,500))))),0))</f>
      </c>
      <c r="N312" s="598" t="str">
        <f>IF($F312="","",$F312*IF($C312="売",1+V811設定!$B$3,1-V811設定!$B$3)-MOD($F312*IF($C312="売",1+V811設定!$B$3,1-V811設定!$B$3),IF($F312&lt;=3000,1,IF($F312&lt;=5000,5,IF($F312&lt;=30000,10,IF($F312&lt;=50000,50,IF($F312&lt;=300000,100,500))))))+IF(AND($C312="売",MOD($F312*IF($C312="売",1+V811設定!$B$3,1-V811設定!$B$3),IF($F312&lt;=3000,1,IF($F312&lt;=5000,5,IF($F312&lt;=30000,10,IF($F312&lt;=50000,50,IF($F312&lt;=300000,100,500))))))&gt;0),IF($F312&lt;=3000,1,IF($F312&lt;=5000,5,IF($F312&lt;=30000,10,IF($F312&lt;=50000,50,IF($F312&lt;=300000,100,500))))),0))</f>
      </c>
      <c r="O312" s="478" t="str">
        <f>IF(OR($B312="",$F312="",$H312=""),"",IF($S312="✅売却済","―決済済―",IF($C312="売",IF($H312&lt;=$M312,"🟢利確",IF(AND($R312&lt;&gt;"",$H312&gt;=$R312),"🟠TRAIL",IF($H312&gt;=$N312,"🔴損切",IF($W312&gt;=V811設定!$B$6,"⏱時間決済",IF($H312&gt;=$F312*(1+V811設定!$B$3*0.7),"⚠️損切接近","保持継続"))))),IF($H312&gt;=$M312,"🟢利確",IF(AND($R312&lt;&gt;"",$H312&lt;=$R312),"🟠TRAIL",IF($H312&lt;=$N312,"🔴損切",IF($W312&gt;=V811設定!$B$6,"⏱時間決済",IF($H312&lt;=$F312*(1-V811設定!$B$3*0.7),"⚠️損切接近","保持継続"))))))))</f>
      </c>
      <c r="P312" s="445"/>
      <c r="Q312" s="445"/>
      <c r="R312" s="480" t="str">
        <f>IF(OR($F312="",$H312="",$N312=""),"",IF($S312="✅売却済","",IF($C312="売",IF($H312&gt;$F312*(1-V811設定!$B$3),$N312,MIN($N312,IF($Q312="",$N312,$Q312*1.03))),IF($H312&lt;$F312*(1+V811設定!$B$3),$N312,MAX($N312,IF($P312="",$N312,$P312*0.97))))))</f>
      </c>
      <c r="S312" s="480" t="str">
        <f>IF(B312="","",IF(T312&lt;&gt;"","✅売却済",IF(OR(H312="",L312=""),"📌保有中",IF(L312&gt;=0.06,"🟢利確推奨",IF(L312&gt;=0.05,"🟡利確直近",IF(L312&gt;=0.045,"🔵トレーリング検討",IF(L312&gt;-0.03,"📌保有中",IF(L312&gt;-0.04,"⚠️損切注意","🔴損切り"))))))))</f>
        <v/>
      </c>
      <c r="T312" s="596"/>
      <c r="U312" s="598"/>
      <c r="V312" s="703" t="str">
        <f>IF(OR(F312="",G312="",U312=""),"",IF(C312="売",(F312-U312)*G312,(U312-F312)*G312))</f>
        <v/>
      </c>
      <c r="W312" s="480" t="str">
        <f>IF(OR($E312="",$B312=""),"",IF($T312&lt;&gt;"",$T312-$E312,TODAY()-$E312)+1)</f>
        <v/>
      </c>
      <c r="X312" s="480" t="str">
        <f>IF(OR($AH312="",$AH312="保有中"),"",$AH312)</f>
        <v/>
      </c>
      <c r="Y312" s="488"/>
      <c r="Z312" s="710"/>
      <c r="AD312" s="608"/>
      <c r="AE312" s="600" t="str">
        <f>IF($E312="","",WORKDAY($E312,12))</f>
        <v/>
      </c>
      <c r="AF312" s="600" t="str" cm="1">
        <f t="array" aca="1" ref="AF312" ca="1">IF(OR($B312="",$M312=""),"",IFERROR(IF($C312="売",_xlfn.MINIFS(安値!$E$3:$IT$3,安値!$E$3:$IT$3,"&gt;"&amp;$E312,安値!$E$3:$IT$3,"&lt;="&amp;$AE312,OFFSET(安値!$E$6:$IT$6,MATCH(TEXT($B312,"0"),TEXT(銘柄管理!$B$6:$B$305,"0"),0)-1,0),"&lt;="&amp;$M312),_xlfn.MINIFS(高値!$E$3:$IT$3,高値!$E$3:$IT$3,"&gt;"&amp;$E312,高値!$E$3:$IT$3,"&lt;="&amp;$AE312,OFFSET(高値!$E$6:$IT$6,MATCH(TEXT($B312,"0"),TEXT(銘柄管理!$B$6:$B$305,"0"),0)-1,0),"&gt;="&amp;$M312)),""))</f>
        <v/>
      </c>
      <c r="AG312" s="600" t="str" cm="1">
        <f t="array" aca="1" ref="AG312" ca="1">IF(OR($B312="",$N312=""),"",IFERROR(IF($C312="売",_xlfn.MINIFS(高値!$E$3:$IT$3,高値!$E$3:$IT$3,"&gt;"&amp;$E312,高値!$E$3:$IT$3,"&lt;="&amp;$AE312,OFFSET(高値!$E$6:$IT$6,MATCH(TEXT($B312,"0"),TEXT(銘柄管理!$B$6:$B$305,"0"),0)-1,0),"&gt;="&amp;$N312),_xlfn.MINIFS(安値!$E$3:$IT$3,安値!$E$3:$IT$3,"&gt;"&amp;$E312,安値!$E$3:$IT$3,"&lt;="&amp;$AE312,OFFSET(安値!$E$6:$IT$6,MATCH(TEXT($B312,"0"),TEXT(銘柄管理!$B$6:$B$305,"0"),0)-1,0),"&lt;="&amp;$N312)),""))</f>
        <v/>
      </c>
      <c r="AH312" s="600" t="str">
        <f>IF(OR($B312="",$M312=""),"",IF(AND(N($AF312)=0,N($AG312)=0),IF(AND(ISNUMBER($H312),$H312&gt;0,IF($C312="売",$H312&gt;=$N312,$H312&lt;=$N312)),"損切確定",IF(AND(ISNUMBER($H312),$H312&gt;0,IF($C312="売",$H312&lt;=$M312,$H312&gt;=$M312)),"利益確定",IF($AE312&lt;=TODAY(),"日数制限","保有中"))),IF(N($AG312)=0,"利益確定",IF(N($AF312)=0,"損切確定",IF($AG312&lt;=$AF312,"損切確定","利益確定")))))</f>
        <v/>
      </c>
      <c r="AI312" s="600" t="str" cm="1">
        <f t="array" ref="AI312">IFERROR(INDEX(始値!$E$6:$IT$305,MATCH(TEXT($B312,"0"),TEXT(銘柄管理!$B$6:$B$305,"0"),0),MATCH($AE312,始値!$E$3:$IT$3,0)),"")</f>
        <v/>
      </c>
      <c r="AJ312" s="608" t="str">
        <f>IF(OR($V312="",$F312="",$G312=""),"",$V312/($F312*$G312))</f>
        <v/>
      </c>
      <c r="AK312" s="600" t="str">
        <f>IF($V312="","",IF($V312&gt;0,"○勝",IF($V312&lt;0,"●負","△引分")))</f>
        <v/>
      </c>
    </row>
    <row r="313" spans="1:37" ht="17.25" customHeight="1">
      <c r="A313" s="621" t="str">
        <f>IF(B313="","",HYPERLINK("https://kabutan.jp/stock/?code="&amp;B313,"株探"))</f>
        <v/>
      </c>
      <c r="B313" s="480"/>
      <c r="C313" s="480"/>
      <c r="D313" s="480" t="str" cm="1">
        <f t="array" ref="D313">_xll.RssMarket(B313, "銘柄名称")</f>
        <v/>
      </c>
      <c r="E313" s="717"/>
      <c r="F313" s="698" t="str" cm="1">
        <f t="array" aca="1" ref="F313" ca="1">IFERROR(_xlfn.LET(_xlpm.r,MATCH(TEXT($B313,"0"),TEXT(銘柄管理!$B$6:$B$305,"0"),0),_xlpm.t,MOD(NOW(),1),_xlpm.c,IF($E313=TODAY(),IF(_xlpm.t&gt;=TIME(15,30,0),NA(),1),IF(MATCH($E313,始値!$E$3:$IT$3,0)=1,1,MATCH($E313,始値!$E$3:$IT$3,0)+1)),_xlpm.v,INDEX(始値!$C$6:$IT$305,_xlpm.r,_xlpm.c),IF(N(_xlpm.v)=0,"",_xlpm.v)),"")</f>
        <v/>
      </c>
      <c r="G313" s="480"/>
      <c r="H313" s="480" t="str" cm="1">
        <f t="array" ref="H313">_xll.RssMarket(B313, "現在値")</f>
        <v/>
      </c>
      <c r="I313" s="480" t="str" cm="1">
        <f t="array" ref="I313">_xll.RssMarket(B313, "出来高加重平均")</f>
        <v/>
      </c>
      <c r="J313" s="702" t="str" cm="1">
        <f t="array" ref="J313">_xll.RssMarket($B313, "前日比")</f>
        <v/>
      </c>
      <c r="K313" s="703" t="str">
        <f>IF(OR(F313="",G313="",H313=""),"",IF(C313="売",(F313-H313)*G313,(H313-F313)*G313))</f>
        <v/>
      </c>
      <c r="L313" s="708" t="str">
        <f>IF(OR(F313="",H313=""),"",IF(C313="売",(F313-H313)/F313,(H313-F313)/F313))</f>
        <v/>
      </c>
      <c r="M313" s="598" t="str">
        <f>IF($F313="","",$F313*IF($C313="売",1-V811設定!$B$4,1+V811設定!$B$4)-MOD($F313*IF($C313="売",1-V811設定!$B$4,1+V811設定!$B$4),IF($F313&lt;=3000,1,IF($F313&lt;=5000,5,IF($F313&lt;=30000,10,IF($F313&lt;=50000,50,IF($F313&lt;=300000,100,500))))))+IF(AND($C313="売",MOD($F313*IF($C313="売",1-V811設定!$B$4,1+V811設定!$B$4),IF($F313&lt;=3000,1,IF($F313&lt;=5000,5,IF($F313&lt;=30000,10,IF($F313&lt;=50000,50,IF($F313&lt;=300000,100,500))))))&gt;0),IF($F313&lt;=3000,1,IF($F313&lt;=5000,5,IF($F313&lt;=30000,10,IF($F313&lt;=50000,50,IF($F313&lt;=300000,100,500))))),0))</f>
      </c>
      <c r="N313" s="598" t="str">
        <f>IF($F313="","",$F313*IF($C313="売",1+V811設定!$B$3,1-V811設定!$B$3)-MOD($F313*IF($C313="売",1+V811設定!$B$3,1-V811設定!$B$3),IF($F313&lt;=3000,1,IF($F313&lt;=5000,5,IF($F313&lt;=30000,10,IF($F313&lt;=50000,50,IF($F313&lt;=300000,100,500))))))+IF(AND($C313="売",MOD($F313*IF($C313="売",1+V811設定!$B$3,1-V811設定!$B$3),IF($F313&lt;=3000,1,IF($F313&lt;=5000,5,IF($F313&lt;=30000,10,IF($F313&lt;=50000,50,IF($F313&lt;=300000,100,500))))))&gt;0),IF($F313&lt;=3000,1,IF($F313&lt;=5000,5,IF($F313&lt;=30000,10,IF($F313&lt;=50000,50,IF($F313&lt;=300000,100,500))))),0))</f>
      </c>
      <c r="O313" s="478" t="str">
        <f>IF(OR($B313="",$F313="",$H313=""),"",IF($S313="✅売却済","―決済済―",IF($C313="売",IF($H313&lt;=$M313,"🟢利確",IF(AND($R313&lt;&gt;"",$H313&gt;=$R313),"🟠TRAIL",IF($H313&gt;=$N313,"🔴損切",IF($W313&gt;=V811設定!$B$6,"⏱時間決済",IF($H313&gt;=$F313*(1+V811設定!$B$3*0.7),"⚠️損切接近","保持継続"))))),IF($H313&gt;=$M313,"🟢利確",IF(AND($R313&lt;&gt;"",$H313&lt;=$R313),"🟠TRAIL",IF($H313&lt;=$N313,"🔴損切",IF($W313&gt;=V811設定!$B$6,"⏱時間決済",IF($H313&lt;=$F313*(1-V811設定!$B$3*0.7),"⚠️損切接近","保持継続"))))))))</f>
      </c>
      <c r="P313" s="445"/>
      <c r="Q313" s="445"/>
      <c r="R313" s="480" t="str">
        <f>IF(OR($F313="",$H313="",$N313=""),"",IF($S313="✅売却済","",IF($C313="売",IF($H313&gt;$F313*(1-V811設定!$B$3),$N313,MIN($N313,IF($Q313="",$N313,$Q313*1.03))),IF($H313&lt;$F313*(1+V811設定!$B$3),$N313,MAX($N313,IF($P313="",$N313,$P313*0.97))))))</f>
      </c>
      <c r="S313" s="480" t="str">
        <f>IF(B313="","",IF(T313&lt;&gt;"","✅売却済",IF(OR(H313="",L313=""),"📌保有中",IF(L313&gt;=0.06,"🟢利確推奨",IF(L313&gt;=0.05,"🟡利確直近",IF(L313&gt;=0.045,"🔵トレーリング検討",IF(L313&gt;-0.03,"📌保有中",IF(L313&gt;-0.04,"⚠️損切注意","🔴損切り"))))))))</f>
        <v/>
      </c>
      <c r="T313" s="596"/>
      <c r="U313" s="598"/>
      <c r="V313" s="703" t="str">
        <f>IF(OR(F313="",G313="",U313=""),"",IF(C313="売",(F313-U313)*G313,(U313-F313)*G313))</f>
        <v/>
      </c>
      <c r="W313" s="480" t="str">
        <f>IF(OR($E313="",$B313=""),"",IF($T313&lt;&gt;"",$T313-$E313,TODAY()-$E313)+1)</f>
        <v/>
      </c>
      <c r="X313" s="480" t="str">
        <f>IF(OR($AH313="",$AH313="保有中"),"",$AH313)</f>
        <v/>
      </c>
      <c r="Y313" s="488"/>
      <c r="Z313" s="710"/>
      <c r="AD313" s="608"/>
      <c r="AE313" s="600" t="str">
        <f>IF($E313="","",WORKDAY($E313,12))</f>
        <v/>
      </c>
      <c r="AF313" s="600" t="str" cm="1">
        <f t="array" aca="1" ref="AF313" ca="1">IF(OR($B313="",$M313=""),"",IFERROR(IF($C313="売",_xlfn.MINIFS(安値!$E$3:$IT$3,安値!$E$3:$IT$3,"&gt;"&amp;$E313,安値!$E$3:$IT$3,"&lt;="&amp;$AE313,OFFSET(安値!$E$6:$IT$6,MATCH(TEXT($B313,"0"),TEXT(銘柄管理!$B$6:$B$305,"0"),0)-1,0),"&lt;="&amp;$M313),_xlfn.MINIFS(高値!$E$3:$IT$3,高値!$E$3:$IT$3,"&gt;"&amp;$E313,高値!$E$3:$IT$3,"&lt;="&amp;$AE313,OFFSET(高値!$E$6:$IT$6,MATCH(TEXT($B313,"0"),TEXT(銘柄管理!$B$6:$B$305,"0"),0)-1,0),"&gt;="&amp;$M313)),""))</f>
        <v/>
      </c>
      <c r="AG313" s="600" t="str" cm="1">
        <f t="array" aca="1" ref="AG313" ca="1">IF(OR($B313="",$N313=""),"",IFERROR(IF($C313="売",_xlfn.MINIFS(高値!$E$3:$IT$3,高値!$E$3:$IT$3,"&gt;"&amp;$E313,高値!$E$3:$IT$3,"&lt;="&amp;$AE313,OFFSET(高値!$E$6:$IT$6,MATCH(TEXT($B313,"0"),TEXT(銘柄管理!$B$6:$B$305,"0"),0)-1,0),"&gt;="&amp;$N313),_xlfn.MINIFS(安値!$E$3:$IT$3,安値!$E$3:$IT$3,"&gt;"&amp;$E313,安値!$E$3:$IT$3,"&lt;="&amp;$AE313,OFFSET(安値!$E$6:$IT$6,MATCH(TEXT($B313,"0"),TEXT(銘柄管理!$B$6:$B$305,"0"),0)-1,0),"&lt;="&amp;$N313)),""))</f>
        <v/>
      </c>
      <c r="AH313" s="600" t="str">
        <f>IF(OR($B313="",$M313=""),"",IF(AND(N($AF313)=0,N($AG313)=0),IF(AND(ISNUMBER($H313),$H313&gt;0,IF($C313="売",$H313&gt;=$N313,$H313&lt;=$N313)),"損切確定",IF(AND(ISNUMBER($H313),$H313&gt;0,IF($C313="売",$H313&lt;=$M313,$H313&gt;=$M313)),"利益確定",IF($AE313&lt;=TODAY(),"日数制限","保有中"))),IF(N($AG313)=0,"利益確定",IF(N($AF313)=0,"損切確定",IF($AG313&lt;=$AF313,"損切確定","利益確定")))))</f>
        <v/>
      </c>
      <c r="AI313" s="600" t="str" cm="1">
        <f t="array" ref="AI313">IFERROR(INDEX(始値!$E$6:$IT$305,MATCH(TEXT($B313,"0"),TEXT(銘柄管理!$B$6:$B$305,"0"),0),MATCH($AE313,始値!$E$3:$IT$3,0)),"")</f>
        <v/>
      </c>
      <c r="AJ313" s="608" t="str">
        <f>IF(OR($V313="",$F313="",$G313=""),"",$V313/($F313*$G313))</f>
        <v/>
      </c>
      <c r="AK313" s="600" t="str">
        <f>IF($V313="","",IF($V313&gt;0,"○勝",IF($V313&lt;0,"●負","△引分")))</f>
        <v/>
      </c>
    </row>
    <row r="314" spans="1:37" ht="17.25" customHeight="1">
      <c r="A314" s="621" t="str">
        <f>IF(B314="","",HYPERLINK("https://kabutan.jp/stock/?code="&amp;B314,"株探"))</f>
        <v/>
      </c>
      <c r="B314" s="480"/>
      <c r="C314" s="480"/>
      <c r="D314" s="480" t="str" cm="1">
        <f t="array" ref="D314">_xll.RssMarket(B314, "銘柄名称")</f>
        <v/>
      </c>
      <c r="E314" s="717"/>
      <c r="F314" s="698" t="str" cm="1">
        <f t="array" aca="1" ref="F314" ca="1">IFERROR(_xlfn.LET(_xlpm.r,MATCH(TEXT($B314,"0"),TEXT(銘柄管理!$B$6:$B$305,"0"),0),_xlpm.t,MOD(NOW(),1),_xlpm.c,IF($E314=TODAY(),IF(_xlpm.t&gt;=TIME(15,30,0),NA(),1),IF(MATCH($E314,始値!$E$3:$IT$3,0)=1,1,MATCH($E314,始値!$E$3:$IT$3,0)+1)),_xlpm.v,INDEX(始値!$C$6:$IT$305,_xlpm.r,_xlpm.c),IF(N(_xlpm.v)=0,"",_xlpm.v)),"")</f>
        <v/>
      </c>
      <c r="G314" s="480"/>
      <c r="H314" s="480" t="str" cm="1">
        <f t="array" ref="H314">_xll.RssMarket(B314, "現在値")</f>
        <v/>
      </c>
      <c r="I314" s="480" t="str" cm="1">
        <f t="array" ref="I314">_xll.RssMarket(B314, "出来高加重平均")</f>
        <v/>
      </c>
      <c r="J314" s="702" t="str" cm="1">
        <f t="array" ref="J314">_xll.RssMarket($B314, "前日比")</f>
        <v/>
      </c>
      <c r="K314" s="703" t="str">
        <f>IF(OR(F314="",G314="",H314=""),"",IF(C314="売",(F314-H314)*G314,(H314-F314)*G314))</f>
        <v/>
      </c>
      <c r="L314" s="708" t="str">
        <f>IF(OR(F314="",H314=""),"",IF(C314="売",(F314-H314)/F314,(H314-F314)/F314))</f>
        <v/>
      </c>
      <c r="M314" s="598" t="str">
        <f>IF($F314="","",$F314*IF($C314="売",1-V811設定!$B$4,1+V811設定!$B$4)-MOD($F314*IF($C314="売",1-V811設定!$B$4,1+V811設定!$B$4),IF($F314&lt;=3000,1,IF($F314&lt;=5000,5,IF($F314&lt;=30000,10,IF($F314&lt;=50000,50,IF($F314&lt;=300000,100,500))))))+IF(AND($C314="売",MOD($F314*IF($C314="売",1-V811設定!$B$4,1+V811設定!$B$4),IF($F314&lt;=3000,1,IF($F314&lt;=5000,5,IF($F314&lt;=30000,10,IF($F314&lt;=50000,50,IF($F314&lt;=300000,100,500))))))&gt;0),IF($F314&lt;=3000,1,IF($F314&lt;=5000,5,IF($F314&lt;=30000,10,IF($F314&lt;=50000,50,IF($F314&lt;=300000,100,500))))),0))</f>
      </c>
      <c r="N314" s="598" t="str">
        <f>IF($F314="","",$F314*IF($C314="売",1+V811設定!$B$3,1-V811設定!$B$3)-MOD($F314*IF($C314="売",1+V811設定!$B$3,1-V811設定!$B$3),IF($F314&lt;=3000,1,IF($F314&lt;=5000,5,IF($F314&lt;=30000,10,IF($F314&lt;=50000,50,IF($F314&lt;=300000,100,500))))))+IF(AND($C314="売",MOD($F314*IF($C314="売",1+V811設定!$B$3,1-V811設定!$B$3),IF($F314&lt;=3000,1,IF($F314&lt;=5000,5,IF($F314&lt;=30000,10,IF($F314&lt;=50000,50,IF($F314&lt;=300000,100,500))))))&gt;0),IF($F314&lt;=3000,1,IF($F314&lt;=5000,5,IF($F314&lt;=30000,10,IF($F314&lt;=50000,50,IF($F314&lt;=300000,100,500))))),0))</f>
      </c>
      <c r="O314" s="478" t="str">
        <f>IF(OR($B314="",$F314="",$H314=""),"",IF($S314="✅売却済","―決済済―",IF($C314="売",IF($H314&lt;=$M314,"🟢利確",IF(AND($R314&lt;&gt;"",$H314&gt;=$R314),"🟠TRAIL",IF($H314&gt;=$N314,"🔴損切",IF($W314&gt;=V811設定!$B$6,"⏱時間決済",IF($H314&gt;=$F314*(1+V811設定!$B$3*0.7),"⚠️損切接近","保持継続"))))),IF($H314&gt;=$M314,"🟢利確",IF(AND($R314&lt;&gt;"",$H314&lt;=$R314),"🟠TRAIL",IF($H314&lt;=$N314,"🔴損切",IF($W314&gt;=V811設定!$B$6,"⏱時間決済",IF($H314&lt;=$F314*(1-V811設定!$B$3*0.7),"⚠️損切接近","保持継続"))))))))</f>
      </c>
      <c r="P314" s="445"/>
      <c r="Q314" s="445"/>
      <c r="R314" s="480" t="str">
        <f>IF(OR($F314="",$H314="",$N314=""),"",IF($S314="✅売却済","",IF($C314="売",IF($H314&gt;$F314*(1-V811設定!$B$3),$N314,MIN($N314,IF($Q314="",$N314,$Q314*1.03))),IF($H314&lt;$F314*(1+V811設定!$B$3),$N314,MAX($N314,IF($P314="",$N314,$P314*0.97))))))</f>
      </c>
      <c r="S314" s="480" t="str">
        <f>IF(B314="","",IF(T314&lt;&gt;"","✅売却済",IF(OR(H314="",L314=""),"📌保有中",IF(L314&gt;=0.06,"🟢利確推奨",IF(L314&gt;=0.05,"🟡利確直近",IF(L314&gt;=0.045,"🔵トレーリング検討",IF(L314&gt;-0.03,"📌保有中",IF(L314&gt;-0.04,"⚠️損切注意","🔴損切り"))))))))</f>
        <v/>
      </c>
      <c r="T314" s="596"/>
      <c r="U314" s="598"/>
      <c r="V314" s="703" t="str">
        <f>IF(OR(F314="",G314="",U314=""),"",IF(C314="売",(F314-U314)*G314,(U314-F314)*G314))</f>
        <v/>
      </c>
      <c r="W314" s="480" t="str">
        <f>IF(OR($E314="",$B314=""),"",IF($T314&lt;&gt;"",$T314-$E314,TODAY()-$E314)+1)</f>
        <v/>
      </c>
      <c r="X314" s="480" t="str">
        <f>IF(OR($AH314="",$AH314="保有中"),"",$AH314)</f>
        <v/>
      </c>
      <c r="Y314" s="488"/>
      <c r="Z314" s="710"/>
      <c r="AD314" s="608"/>
      <c r="AE314" s="600" t="str">
        <f>IF($E314="","",WORKDAY($E314,12))</f>
        <v/>
      </c>
      <c r="AF314" s="600" t="str" cm="1">
        <f t="array" aca="1" ref="AF314" ca="1">IF(OR($B314="",$M314=""),"",IFERROR(IF($C314="売",_xlfn.MINIFS(安値!$E$3:$IT$3,安値!$E$3:$IT$3,"&gt;"&amp;$E314,安値!$E$3:$IT$3,"&lt;="&amp;$AE314,OFFSET(安値!$E$6:$IT$6,MATCH(TEXT($B314,"0"),TEXT(銘柄管理!$B$6:$B$305,"0"),0)-1,0),"&lt;="&amp;$M314),_xlfn.MINIFS(高値!$E$3:$IT$3,高値!$E$3:$IT$3,"&gt;"&amp;$E314,高値!$E$3:$IT$3,"&lt;="&amp;$AE314,OFFSET(高値!$E$6:$IT$6,MATCH(TEXT($B314,"0"),TEXT(銘柄管理!$B$6:$B$305,"0"),0)-1,0),"&gt;="&amp;$M314)),""))</f>
        <v/>
      </c>
      <c r="AG314" s="600" t="str" cm="1">
        <f t="array" aca="1" ref="AG314" ca="1">IF(OR($B314="",$N314=""),"",IFERROR(IF($C314="売",_xlfn.MINIFS(高値!$E$3:$IT$3,高値!$E$3:$IT$3,"&gt;"&amp;$E314,高値!$E$3:$IT$3,"&lt;="&amp;$AE314,OFFSET(高値!$E$6:$IT$6,MATCH(TEXT($B314,"0"),TEXT(銘柄管理!$B$6:$B$305,"0"),0)-1,0),"&gt;="&amp;$N314),_xlfn.MINIFS(安値!$E$3:$IT$3,安値!$E$3:$IT$3,"&gt;"&amp;$E314,安値!$E$3:$IT$3,"&lt;="&amp;$AE314,OFFSET(安値!$E$6:$IT$6,MATCH(TEXT($B314,"0"),TEXT(銘柄管理!$B$6:$B$305,"0"),0)-1,0),"&lt;="&amp;$N314)),""))</f>
        <v/>
      </c>
      <c r="AH314" s="600" t="str">
        <f>IF(OR($B314="",$M314=""),"",IF(AND(N($AF314)=0,N($AG314)=0),IF(AND(ISNUMBER($H314),$H314&gt;0,IF($C314="売",$H314&gt;=$N314,$H314&lt;=$N314)),"損切確定",IF(AND(ISNUMBER($H314),$H314&gt;0,IF($C314="売",$H314&lt;=$M314,$H314&gt;=$M314)),"利益確定",IF($AE314&lt;=TODAY(),"日数制限","保有中"))),IF(N($AG314)=0,"利益確定",IF(N($AF314)=0,"損切確定",IF($AG314&lt;=$AF314,"損切確定","利益確定")))))</f>
        <v/>
      </c>
      <c r="AI314" s="600" t="str" cm="1">
        <f t="array" ref="AI314">IFERROR(INDEX(始値!$E$6:$IT$305,MATCH(TEXT($B314,"0"),TEXT(銘柄管理!$B$6:$B$305,"0"),0),MATCH($AE314,始値!$E$3:$IT$3,0)),"")</f>
        <v/>
      </c>
      <c r="AJ314" s="608" t="str">
        <f>IF(OR($V314="",$F314="",$G314=""),"",$V314/($F314*$G314))</f>
        <v/>
      </c>
      <c r="AK314" s="600" t="str">
        <f>IF($V314="","",IF($V314&gt;0,"○勝",IF($V314&lt;0,"●負","△引分")))</f>
        <v/>
      </c>
    </row>
    <row r="315" spans="1:37" ht="17.25" customHeight="1">
      <c r="A315" s="621" t="str">
        <f>IF(B315="","",HYPERLINK("https://kabutan.jp/stock/?code="&amp;B315,"株探"))</f>
        <v/>
      </c>
      <c r="B315" s="480"/>
      <c r="C315" s="480"/>
      <c r="D315" s="480" t="str" cm="1">
        <f t="array" ref="D315">_xll.RssMarket(B315, "銘柄名称")</f>
        <v/>
      </c>
      <c r="E315" s="717"/>
      <c r="F315" s="698" t="str" cm="1">
        <f t="array" aca="1" ref="F315" ca="1">IFERROR(_xlfn.LET(_xlpm.r,MATCH(TEXT($B315,"0"),TEXT(銘柄管理!$B$6:$B$305,"0"),0),_xlpm.t,MOD(NOW(),1),_xlpm.c,IF($E315=TODAY(),IF(_xlpm.t&gt;=TIME(15,30,0),NA(),1),IF(MATCH($E315,始値!$E$3:$IT$3,0)=1,1,MATCH($E315,始値!$E$3:$IT$3,0)+1)),_xlpm.v,INDEX(始値!$C$6:$IT$305,_xlpm.r,_xlpm.c),IF(N(_xlpm.v)=0,"",_xlpm.v)),"")</f>
        <v/>
      </c>
      <c r="G315" s="480"/>
      <c r="H315" s="480" t="str" cm="1">
        <f t="array" ref="H315">_xll.RssMarket(B315, "現在値")</f>
        <v/>
      </c>
      <c r="I315" s="480" t="str" cm="1">
        <f t="array" ref="I315">_xll.RssMarket(B315, "出来高加重平均")</f>
        <v/>
      </c>
      <c r="J315" s="702" t="str" cm="1">
        <f t="array" ref="J315">_xll.RssMarket($B315, "前日比")</f>
        <v/>
      </c>
      <c r="K315" s="703" t="str">
        <f>IF(OR(F315="",G315="",H315=""),"",IF(C315="売",(F315-H315)*G315,(H315-F315)*G315))</f>
        <v/>
      </c>
      <c r="L315" s="708" t="str">
        <f>IF(OR(F315="",H315=""),"",IF(C315="売",(F315-H315)/F315,(H315-F315)/F315))</f>
        <v/>
      </c>
      <c r="M315" s="598" t="str">
        <f>IF($F315="","",$F315*IF($C315="売",1-V811設定!$B$4,1+V811設定!$B$4)-MOD($F315*IF($C315="売",1-V811設定!$B$4,1+V811設定!$B$4),IF($F315&lt;=3000,1,IF($F315&lt;=5000,5,IF($F315&lt;=30000,10,IF($F315&lt;=50000,50,IF($F315&lt;=300000,100,500))))))+IF(AND($C315="売",MOD($F315*IF($C315="売",1-V811設定!$B$4,1+V811設定!$B$4),IF($F315&lt;=3000,1,IF($F315&lt;=5000,5,IF($F315&lt;=30000,10,IF($F315&lt;=50000,50,IF($F315&lt;=300000,100,500))))))&gt;0),IF($F315&lt;=3000,1,IF($F315&lt;=5000,5,IF($F315&lt;=30000,10,IF($F315&lt;=50000,50,IF($F315&lt;=300000,100,500))))),0))</f>
      </c>
      <c r="N315" s="598" t="str">
        <f>IF($F315="","",$F315*IF($C315="売",1+V811設定!$B$3,1-V811設定!$B$3)-MOD($F315*IF($C315="売",1+V811設定!$B$3,1-V811設定!$B$3),IF($F315&lt;=3000,1,IF($F315&lt;=5000,5,IF($F315&lt;=30000,10,IF($F315&lt;=50000,50,IF($F315&lt;=300000,100,500))))))+IF(AND($C315="売",MOD($F315*IF($C315="売",1+V811設定!$B$3,1-V811設定!$B$3),IF($F315&lt;=3000,1,IF($F315&lt;=5000,5,IF($F315&lt;=30000,10,IF($F315&lt;=50000,50,IF($F315&lt;=300000,100,500))))))&gt;0),IF($F315&lt;=3000,1,IF($F315&lt;=5000,5,IF($F315&lt;=30000,10,IF($F315&lt;=50000,50,IF($F315&lt;=300000,100,500))))),0))</f>
      </c>
      <c r="O315" s="478" t="str">
        <f>IF(OR($B315="",$F315="",$H315=""),"",IF($S315="✅売却済","―決済済―",IF($C315="売",IF($H315&lt;=$M315,"🟢利確",IF(AND($R315&lt;&gt;"",$H315&gt;=$R315),"🟠TRAIL",IF($H315&gt;=$N315,"🔴損切",IF($W315&gt;=V811設定!$B$6,"⏱時間決済",IF($H315&gt;=$F315*(1+V811設定!$B$3*0.7),"⚠️損切接近","保持継続"))))),IF($H315&gt;=$M315,"🟢利確",IF(AND($R315&lt;&gt;"",$H315&lt;=$R315),"🟠TRAIL",IF($H315&lt;=$N315,"🔴損切",IF($W315&gt;=V811設定!$B$6,"⏱時間決済",IF($H315&lt;=$F315*(1-V811設定!$B$3*0.7),"⚠️損切接近","保持継続"))))))))</f>
      </c>
      <c r="P315" s="445"/>
      <c r="Q315" s="445"/>
      <c r="R315" s="480" t="str">
        <f>IF(OR($F315="",$H315="",$N315=""),"",IF($S315="✅売却済","",IF($C315="売",IF($H315&gt;$F315*(1-V811設定!$B$3),$N315,MIN($N315,IF($Q315="",$N315,$Q315*1.03))),IF($H315&lt;$F315*(1+V811設定!$B$3),$N315,MAX($N315,IF($P315="",$N315,$P315*0.97))))))</f>
      </c>
      <c r="S315" s="480" t="str">
        <f>IF(B315="","",IF(T315&lt;&gt;"","✅売却済",IF(OR(H315="",L315=""),"📌保有中",IF(L315&gt;=0.06,"🟢利確推奨",IF(L315&gt;=0.05,"🟡利確直近",IF(L315&gt;=0.045,"🔵トレーリング検討",IF(L315&gt;-0.03,"📌保有中",IF(L315&gt;-0.04,"⚠️損切注意","🔴損切り"))))))))</f>
        <v/>
      </c>
      <c r="T315" s="596"/>
      <c r="U315" s="598"/>
      <c r="V315" s="703" t="str">
        <f>IF(OR(F315="",G315="",U315=""),"",IF(C315="売",(F315-U315)*G315,(U315-F315)*G315))</f>
        <v/>
      </c>
      <c r="W315" s="480" t="str">
        <f>IF(OR($E315="",$B315=""),"",IF($T315&lt;&gt;"",$T315-$E315,TODAY()-$E315)+1)</f>
        <v/>
      </c>
      <c r="X315" s="480" t="str">
        <f>IF(OR($AH315="",$AH315="保有中"),"",$AH315)</f>
        <v/>
      </c>
      <c r="Y315" s="488"/>
      <c r="Z315" s="710"/>
      <c r="AD315" s="608"/>
      <c r="AE315" s="600" t="str">
        <f>IF($E315="","",WORKDAY($E315,12))</f>
        <v/>
      </c>
      <c r="AF315" s="600" t="str" cm="1">
        <f t="array" aca="1" ref="AF315" ca="1">IF(OR($B315="",$M315=""),"",IFERROR(IF($C315="売",_xlfn.MINIFS(安値!$E$3:$IT$3,安値!$E$3:$IT$3,"&gt;"&amp;$E315,安値!$E$3:$IT$3,"&lt;="&amp;$AE315,OFFSET(安値!$E$6:$IT$6,MATCH(TEXT($B315,"0"),TEXT(銘柄管理!$B$6:$B$305,"0"),0)-1,0),"&lt;="&amp;$M315),_xlfn.MINIFS(高値!$E$3:$IT$3,高値!$E$3:$IT$3,"&gt;"&amp;$E315,高値!$E$3:$IT$3,"&lt;="&amp;$AE315,OFFSET(高値!$E$6:$IT$6,MATCH(TEXT($B315,"0"),TEXT(銘柄管理!$B$6:$B$305,"0"),0)-1,0),"&gt;="&amp;$M315)),""))</f>
        <v/>
      </c>
      <c r="AG315" s="600" t="str" cm="1">
        <f t="array" aca="1" ref="AG315" ca="1">IF(OR($B315="",$N315=""),"",IFERROR(IF($C315="売",_xlfn.MINIFS(高値!$E$3:$IT$3,高値!$E$3:$IT$3,"&gt;"&amp;$E315,高値!$E$3:$IT$3,"&lt;="&amp;$AE315,OFFSET(高値!$E$6:$IT$6,MATCH(TEXT($B315,"0"),TEXT(銘柄管理!$B$6:$B$305,"0"),0)-1,0),"&gt;="&amp;$N315),_xlfn.MINIFS(安値!$E$3:$IT$3,安値!$E$3:$IT$3,"&gt;"&amp;$E315,安値!$E$3:$IT$3,"&lt;="&amp;$AE315,OFFSET(安値!$E$6:$IT$6,MATCH(TEXT($B315,"0"),TEXT(銘柄管理!$B$6:$B$305,"0"),0)-1,0),"&lt;="&amp;$N315)),""))</f>
        <v/>
      </c>
      <c r="AH315" s="600" t="str">
        <f>IF(OR($B315="",$M315=""),"",IF(AND(N($AF315)=0,N($AG315)=0),IF(AND(ISNUMBER($H315),$H315&gt;0,IF($C315="売",$H315&gt;=$N315,$H315&lt;=$N315)),"損切確定",IF(AND(ISNUMBER($H315),$H315&gt;0,IF($C315="売",$H315&lt;=$M315,$H315&gt;=$M315)),"利益確定",IF($AE315&lt;=TODAY(),"日数制限","保有中"))),IF(N($AG315)=0,"利益確定",IF(N($AF315)=0,"損切確定",IF($AG315&lt;=$AF315,"損切確定","利益確定")))))</f>
        <v/>
      </c>
      <c r="AI315" s="600" t="str" cm="1">
        <f t="array" ref="AI315">IFERROR(INDEX(始値!$E$6:$IT$305,MATCH(TEXT($B315,"0"),TEXT(銘柄管理!$B$6:$B$305,"0"),0),MATCH($AE315,始値!$E$3:$IT$3,0)),"")</f>
        <v/>
      </c>
      <c r="AJ315" s="608" t="str">
        <f>IF(OR($V315="",$F315="",$G315=""),"",$V315/($F315*$G315))</f>
        <v/>
      </c>
      <c r="AK315" s="600" t="str">
        <f>IF($V315="","",IF($V315&gt;0,"○勝",IF($V315&lt;0,"●負","△引分")))</f>
        <v/>
      </c>
    </row>
    <row r="316" spans="1:37" ht="17.25" customHeight="1">
      <c r="A316" s="621" t="str">
        <f>IF(B316="","",HYPERLINK("https://kabutan.jp/stock/?code="&amp;B316,"株探"))</f>
        <v/>
      </c>
      <c r="B316" s="480"/>
      <c r="C316" s="480"/>
      <c r="D316" s="480" t="str" cm="1">
        <f t="array" ref="D316">_xll.RssMarket(B316, "銘柄名称")</f>
        <v/>
      </c>
      <c r="E316" s="717"/>
      <c r="F316" s="698" t="str" cm="1">
        <f t="array" aca="1" ref="F316" ca="1">IFERROR(_xlfn.LET(_xlpm.r,MATCH(TEXT($B316,"0"),TEXT(銘柄管理!$B$6:$B$305,"0"),0),_xlpm.t,MOD(NOW(),1),_xlpm.c,IF($E316=TODAY(),IF(_xlpm.t&gt;=TIME(15,30,0),NA(),1),IF(MATCH($E316,始値!$E$3:$IT$3,0)=1,1,MATCH($E316,始値!$E$3:$IT$3,0)+1)),_xlpm.v,INDEX(始値!$C$6:$IT$305,_xlpm.r,_xlpm.c),IF(N(_xlpm.v)=0,"",_xlpm.v)),"")</f>
        <v/>
      </c>
      <c r="G316" s="480"/>
      <c r="H316" s="480" t="str" cm="1">
        <f t="array" ref="H316">_xll.RssMarket(B316, "現在値")</f>
        <v/>
      </c>
      <c r="I316" s="480" t="str" cm="1">
        <f t="array" ref="I316">_xll.RssMarket(B316, "出来高加重平均")</f>
        <v/>
      </c>
      <c r="J316" s="702" t="str" cm="1">
        <f t="array" ref="J316">_xll.RssMarket($B316, "前日比")</f>
        <v/>
      </c>
      <c r="K316" s="703" t="str">
        <f>IF(OR(F316="",G316="",H316=""),"",IF(C316="売",(F316-H316)*G316,(H316-F316)*G316))</f>
        <v/>
      </c>
      <c r="L316" s="708" t="str">
        <f>IF(OR(F316="",H316=""),"",IF(C316="売",(F316-H316)/F316,(H316-F316)/F316))</f>
        <v/>
      </c>
      <c r="M316" s="598" t="str">
        <f>IF($F316="","",$F316*IF($C316="売",1-V811設定!$B$4,1+V811設定!$B$4)-MOD($F316*IF($C316="売",1-V811設定!$B$4,1+V811設定!$B$4),IF($F316&lt;=3000,1,IF($F316&lt;=5000,5,IF($F316&lt;=30000,10,IF($F316&lt;=50000,50,IF($F316&lt;=300000,100,500))))))+IF(AND($C316="売",MOD($F316*IF($C316="売",1-V811設定!$B$4,1+V811設定!$B$4),IF($F316&lt;=3000,1,IF($F316&lt;=5000,5,IF($F316&lt;=30000,10,IF($F316&lt;=50000,50,IF($F316&lt;=300000,100,500))))))&gt;0),IF($F316&lt;=3000,1,IF($F316&lt;=5000,5,IF($F316&lt;=30000,10,IF($F316&lt;=50000,50,IF($F316&lt;=300000,100,500))))),0))</f>
      </c>
      <c r="N316" s="598" t="str">
        <f>IF($F316="","",$F316*IF($C316="売",1+V811設定!$B$3,1-V811設定!$B$3)-MOD($F316*IF($C316="売",1+V811設定!$B$3,1-V811設定!$B$3),IF($F316&lt;=3000,1,IF($F316&lt;=5000,5,IF($F316&lt;=30000,10,IF($F316&lt;=50000,50,IF($F316&lt;=300000,100,500))))))+IF(AND($C316="売",MOD($F316*IF($C316="売",1+V811設定!$B$3,1-V811設定!$B$3),IF($F316&lt;=3000,1,IF($F316&lt;=5000,5,IF($F316&lt;=30000,10,IF($F316&lt;=50000,50,IF($F316&lt;=300000,100,500))))))&gt;0),IF($F316&lt;=3000,1,IF($F316&lt;=5000,5,IF($F316&lt;=30000,10,IF($F316&lt;=50000,50,IF($F316&lt;=300000,100,500))))),0))</f>
      </c>
      <c r="O316" s="478" t="str">
        <f>IF(OR($B316="",$F316="",$H316=""),"",IF($S316="✅売却済","―決済済―",IF($C316="売",IF($H316&lt;=$M316,"🟢利確",IF(AND($R316&lt;&gt;"",$H316&gt;=$R316),"🟠TRAIL",IF($H316&gt;=$N316,"🔴損切",IF($W316&gt;=V811設定!$B$6,"⏱時間決済",IF($H316&gt;=$F316*(1+V811設定!$B$3*0.7),"⚠️損切接近","保持継続"))))),IF($H316&gt;=$M316,"🟢利確",IF(AND($R316&lt;&gt;"",$H316&lt;=$R316),"🟠TRAIL",IF($H316&lt;=$N316,"🔴損切",IF($W316&gt;=V811設定!$B$6,"⏱時間決済",IF($H316&lt;=$F316*(1-V811設定!$B$3*0.7),"⚠️損切接近","保持継続"))))))))</f>
      </c>
      <c r="P316" s="445"/>
      <c r="Q316" s="445"/>
      <c r="R316" s="480" t="str">
        <f>IF(OR($F316="",$H316="",$N316=""),"",IF($S316="✅売却済","",IF($C316="売",IF($H316&gt;$F316*(1-V811設定!$B$3),$N316,MIN($N316,IF($Q316="",$N316,$Q316*1.03))),IF($H316&lt;$F316*(1+V811設定!$B$3),$N316,MAX($N316,IF($P316="",$N316,$P316*0.97))))))</f>
      </c>
      <c r="S316" s="480" t="str">
        <f>IF(B316="","",IF(T316&lt;&gt;"","✅売却済",IF(OR(H316="",L316=""),"📌保有中",IF(L316&gt;=0.06,"🟢利確推奨",IF(L316&gt;=0.05,"🟡利確直近",IF(L316&gt;=0.045,"🔵トレーリング検討",IF(L316&gt;-0.03,"📌保有中",IF(L316&gt;-0.04,"⚠️損切注意","🔴損切り"))))))))</f>
        <v/>
      </c>
      <c r="T316" s="596"/>
      <c r="U316" s="598"/>
      <c r="V316" s="703" t="str">
        <f>IF(OR(F316="",G316="",U316=""),"",IF(C316="売",(F316-U316)*G316,(U316-F316)*G316))</f>
        <v/>
      </c>
      <c r="W316" s="480" t="str">
        <f>IF(OR($E316="",$B316=""),"",IF($T316&lt;&gt;"",$T316-$E316,TODAY()-$E316)+1)</f>
        <v/>
      </c>
      <c r="X316" s="480" t="str">
        <f>IF(OR($AH316="",$AH316="保有中"),"",$AH316)</f>
        <v/>
      </c>
      <c r="Y316" s="488"/>
      <c r="Z316" s="710"/>
      <c r="AD316" s="608"/>
      <c r="AE316" s="600" t="str">
        <f>IF($E316="","",WORKDAY($E316,12))</f>
        <v/>
      </c>
      <c r="AF316" s="600" t="str" cm="1">
        <f t="array" aca="1" ref="AF316" ca="1">IF(OR($B316="",$M316=""),"",IFERROR(IF($C316="売",_xlfn.MINIFS(安値!$E$3:$IT$3,安値!$E$3:$IT$3,"&gt;"&amp;$E316,安値!$E$3:$IT$3,"&lt;="&amp;$AE316,OFFSET(安値!$E$6:$IT$6,MATCH(TEXT($B316,"0"),TEXT(銘柄管理!$B$6:$B$305,"0"),0)-1,0),"&lt;="&amp;$M316),_xlfn.MINIFS(高値!$E$3:$IT$3,高値!$E$3:$IT$3,"&gt;"&amp;$E316,高値!$E$3:$IT$3,"&lt;="&amp;$AE316,OFFSET(高値!$E$6:$IT$6,MATCH(TEXT($B316,"0"),TEXT(銘柄管理!$B$6:$B$305,"0"),0)-1,0),"&gt;="&amp;$M316)),""))</f>
        <v/>
      </c>
      <c r="AG316" s="600" t="str" cm="1">
        <f t="array" aca="1" ref="AG316" ca="1">IF(OR($B316="",$N316=""),"",IFERROR(IF($C316="売",_xlfn.MINIFS(高値!$E$3:$IT$3,高値!$E$3:$IT$3,"&gt;"&amp;$E316,高値!$E$3:$IT$3,"&lt;="&amp;$AE316,OFFSET(高値!$E$6:$IT$6,MATCH(TEXT($B316,"0"),TEXT(銘柄管理!$B$6:$B$305,"0"),0)-1,0),"&gt;="&amp;$N316),_xlfn.MINIFS(安値!$E$3:$IT$3,安値!$E$3:$IT$3,"&gt;"&amp;$E316,安値!$E$3:$IT$3,"&lt;="&amp;$AE316,OFFSET(安値!$E$6:$IT$6,MATCH(TEXT($B316,"0"),TEXT(銘柄管理!$B$6:$B$305,"0"),0)-1,0),"&lt;="&amp;$N316)),""))</f>
        <v/>
      </c>
      <c r="AH316" s="600" t="str">
        <f>IF(OR($B316="",$M316=""),"",IF(AND(N($AF316)=0,N($AG316)=0),IF(AND(ISNUMBER($H316),$H316&gt;0,IF($C316="売",$H316&gt;=$N316,$H316&lt;=$N316)),"損切確定",IF(AND(ISNUMBER($H316),$H316&gt;0,IF($C316="売",$H316&lt;=$M316,$H316&gt;=$M316)),"利益確定",IF($AE316&lt;=TODAY(),"日数制限","保有中"))),IF(N($AG316)=0,"利益確定",IF(N($AF316)=0,"損切確定",IF($AG316&lt;=$AF316,"損切確定","利益確定")))))</f>
        <v/>
      </c>
      <c r="AI316" s="600" t="str" cm="1">
        <f t="array" ref="AI316">IFERROR(INDEX(始値!$E$6:$IT$305,MATCH(TEXT($B316,"0"),TEXT(銘柄管理!$B$6:$B$305,"0"),0),MATCH($AE316,始値!$E$3:$IT$3,0)),"")</f>
        <v/>
      </c>
      <c r="AJ316" s="608" t="str">
        <f>IF(OR($V316="",$F316="",$G316=""),"",$V316/($F316*$G316))</f>
        <v/>
      </c>
      <c r="AK316" s="600" t="str">
        <f>IF($V316="","",IF($V316&gt;0,"○勝",IF($V316&lt;0,"●負","△引分")))</f>
        <v/>
      </c>
    </row>
    <row r="317" spans="1:37" ht="17.25" customHeight="1">
      <c r="A317" s="621" t="str">
        <f>IF(B317="","",HYPERLINK("https://kabutan.jp/stock/?code="&amp;B317,"株探"))</f>
        <v/>
      </c>
      <c r="B317" s="480"/>
      <c r="C317" s="480"/>
      <c r="D317" s="480" t="str" cm="1">
        <f t="array" ref="D317">_xll.RssMarket(B317, "銘柄名称")</f>
        <v/>
      </c>
      <c r="E317" s="717"/>
      <c r="F317" s="698" t="str" cm="1">
        <f t="array" aca="1" ref="F317" ca="1">IFERROR(_xlfn.LET(_xlpm.r,MATCH(TEXT($B317,"0"),TEXT(銘柄管理!$B$6:$B$305,"0"),0),_xlpm.t,MOD(NOW(),1),_xlpm.c,IF($E317=TODAY(),IF(_xlpm.t&gt;=TIME(15,30,0),NA(),1),IF(MATCH($E317,始値!$E$3:$IT$3,0)=1,1,MATCH($E317,始値!$E$3:$IT$3,0)+1)),_xlpm.v,INDEX(始値!$C$6:$IT$305,_xlpm.r,_xlpm.c),IF(N(_xlpm.v)=0,"",_xlpm.v)),"")</f>
        <v/>
      </c>
      <c r="G317" s="480"/>
      <c r="H317" s="480" t="str" cm="1">
        <f t="array" ref="H317">_xll.RssMarket(B317, "現在値")</f>
        <v/>
      </c>
      <c r="I317" s="480" t="str" cm="1">
        <f t="array" ref="I317">_xll.RssMarket(B317, "出来高加重平均")</f>
        <v/>
      </c>
      <c r="J317" s="702" t="str" cm="1">
        <f t="array" ref="J317">_xll.RssMarket($B317, "前日比")</f>
        <v/>
      </c>
      <c r="K317" s="703" t="str">
        <f>IF(OR(F317="",G317="",H317=""),"",IF(C317="売",(F317-H317)*G317,(H317-F317)*G317))</f>
        <v/>
      </c>
      <c r="L317" s="708" t="str">
        <f>IF(OR(F317="",H317=""),"",IF(C317="売",(F317-H317)/F317,(H317-F317)/F317))</f>
        <v/>
      </c>
      <c r="M317" s="598" t="str">
        <f>IF($F317="","",$F317*IF($C317="売",1-V811設定!$B$4,1+V811設定!$B$4)-MOD($F317*IF($C317="売",1-V811設定!$B$4,1+V811設定!$B$4),IF($F317&lt;=3000,1,IF($F317&lt;=5000,5,IF($F317&lt;=30000,10,IF($F317&lt;=50000,50,IF($F317&lt;=300000,100,500))))))+IF(AND($C317="売",MOD($F317*IF($C317="売",1-V811設定!$B$4,1+V811設定!$B$4),IF($F317&lt;=3000,1,IF($F317&lt;=5000,5,IF($F317&lt;=30000,10,IF($F317&lt;=50000,50,IF($F317&lt;=300000,100,500))))))&gt;0),IF($F317&lt;=3000,1,IF($F317&lt;=5000,5,IF($F317&lt;=30000,10,IF($F317&lt;=50000,50,IF($F317&lt;=300000,100,500))))),0))</f>
      </c>
      <c r="N317" s="598" t="str">
        <f>IF($F317="","",$F317*IF($C317="売",1+V811設定!$B$3,1-V811設定!$B$3)-MOD($F317*IF($C317="売",1+V811設定!$B$3,1-V811設定!$B$3),IF($F317&lt;=3000,1,IF($F317&lt;=5000,5,IF($F317&lt;=30000,10,IF($F317&lt;=50000,50,IF($F317&lt;=300000,100,500))))))+IF(AND($C317="売",MOD($F317*IF($C317="売",1+V811設定!$B$3,1-V811設定!$B$3),IF($F317&lt;=3000,1,IF($F317&lt;=5000,5,IF($F317&lt;=30000,10,IF($F317&lt;=50000,50,IF($F317&lt;=300000,100,500))))))&gt;0),IF($F317&lt;=3000,1,IF($F317&lt;=5000,5,IF($F317&lt;=30000,10,IF($F317&lt;=50000,50,IF($F317&lt;=300000,100,500))))),0))</f>
      </c>
      <c r="O317" s="478" t="str">
        <f>IF(OR($B317="",$F317="",$H317=""),"",IF($S317="✅売却済","―決済済―",IF($C317="売",IF($H317&lt;=$M317,"🟢利確",IF(AND($R317&lt;&gt;"",$H317&gt;=$R317),"🟠TRAIL",IF($H317&gt;=$N317,"🔴損切",IF($W317&gt;=V811設定!$B$6,"⏱時間決済",IF($H317&gt;=$F317*(1+V811設定!$B$3*0.7),"⚠️損切接近","保持継続"))))),IF($H317&gt;=$M317,"🟢利確",IF(AND($R317&lt;&gt;"",$H317&lt;=$R317),"🟠TRAIL",IF($H317&lt;=$N317,"🔴損切",IF($W317&gt;=V811設定!$B$6,"⏱時間決済",IF($H317&lt;=$F317*(1-V811設定!$B$3*0.7),"⚠️損切接近","保持継続"))))))))</f>
      </c>
      <c r="P317" s="445"/>
      <c r="Q317" s="445"/>
      <c r="R317" s="480" t="str">
        <f>IF(OR($F317="",$H317="",$N317=""),"",IF($S317="✅売却済","",IF($C317="売",IF($H317&gt;$F317*(1-V811設定!$B$3),$N317,MIN($N317,IF($Q317="",$N317,$Q317*1.03))),IF($H317&lt;$F317*(1+V811設定!$B$3),$N317,MAX($N317,IF($P317="",$N317,$P317*0.97))))))</f>
      </c>
      <c r="S317" s="480" t="str">
        <f>IF(B317="","",IF(T317&lt;&gt;"","✅売却済",IF(OR(H317="",L317=""),"📌保有中",IF(L317&gt;=0.06,"🟢利確推奨",IF(L317&gt;=0.05,"🟡利確直近",IF(L317&gt;=0.045,"🔵トレーリング検討",IF(L317&gt;-0.03,"📌保有中",IF(L317&gt;-0.04,"⚠️損切注意","🔴損切り"))))))))</f>
        <v/>
      </c>
      <c r="T317" s="596"/>
      <c r="U317" s="598"/>
      <c r="V317" s="703" t="str">
        <f>IF(OR(F317="",G317="",U317=""),"",IF(C317="売",(F317-U317)*G317,(U317-F317)*G317))</f>
        <v/>
      </c>
      <c r="W317" s="480" t="str">
        <f>IF(OR($E317="",$B317=""),"",IF($T317&lt;&gt;"",$T317-$E317,TODAY()-$E317)+1)</f>
        <v/>
      </c>
      <c r="X317" s="480" t="str">
        <f>IF(OR($AH317="",$AH317="保有中"),"",$AH317)</f>
        <v/>
      </c>
      <c r="Y317" s="488"/>
      <c r="Z317" s="710"/>
      <c r="AD317" s="608"/>
      <c r="AE317" s="600" t="str">
        <f>IF($E317="","",WORKDAY($E317,12))</f>
        <v/>
      </c>
      <c r="AF317" s="600" t="str" cm="1">
        <f t="array" aca="1" ref="AF317" ca="1">IF(OR($B317="",$M317=""),"",IFERROR(IF($C317="売",_xlfn.MINIFS(安値!$E$3:$IT$3,安値!$E$3:$IT$3,"&gt;"&amp;$E317,安値!$E$3:$IT$3,"&lt;="&amp;$AE317,OFFSET(安値!$E$6:$IT$6,MATCH(TEXT($B317,"0"),TEXT(銘柄管理!$B$6:$B$305,"0"),0)-1,0),"&lt;="&amp;$M317),_xlfn.MINIFS(高値!$E$3:$IT$3,高値!$E$3:$IT$3,"&gt;"&amp;$E317,高値!$E$3:$IT$3,"&lt;="&amp;$AE317,OFFSET(高値!$E$6:$IT$6,MATCH(TEXT($B317,"0"),TEXT(銘柄管理!$B$6:$B$305,"0"),0)-1,0),"&gt;="&amp;$M317)),""))</f>
        <v/>
      </c>
      <c r="AG317" s="600" t="str" cm="1">
        <f t="array" aca="1" ref="AG317" ca="1">IF(OR($B317="",$N317=""),"",IFERROR(IF($C317="売",_xlfn.MINIFS(高値!$E$3:$IT$3,高値!$E$3:$IT$3,"&gt;"&amp;$E317,高値!$E$3:$IT$3,"&lt;="&amp;$AE317,OFFSET(高値!$E$6:$IT$6,MATCH(TEXT($B317,"0"),TEXT(銘柄管理!$B$6:$B$305,"0"),0)-1,0),"&gt;="&amp;$N317),_xlfn.MINIFS(安値!$E$3:$IT$3,安値!$E$3:$IT$3,"&gt;"&amp;$E317,安値!$E$3:$IT$3,"&lt;="&amp;$AE317,OFFSET(安値!$E$6:$IT$6,MATCH(TEXT($B317,"0"),TEXT(銘柄管理!$B$6:$B$305,"0"),0)-1,0),"&lt;="&amp;$N317)),""))</f>
        <v/>
      </c>
      <c r="AH317" s="600" t="str">
        <f>IF(OR($B317="",$M317=""),"",IF(AND(N($AF317)=0,N($AG317)=0),IF(AND(ISNUMBER($H317),$H317&gt;0,IF($C317="売",$H317&gt;=$N317,$H317&lt;=$N317)),"損切確定",IF(AND(ISNUMBER($H317),$H317&gt;0,IF($C317="売",$H317&lt;=$M317,$H317&gt;=$M317)),"利益確定",IF($AE317&lt;=TODAY(),"日数制限","保有中"))),IF(N($AG317)=0,"利益確定",IF(N($AF317)=0,"損切確定",IF($AG317&lt;=$AF317,"損切確定","利益確定")))))</f>
        <v/>
      </c>
      <c r="AI317" s="600" t="str" cm="1">
        <f t="array" ref="AI317">IFERROR(INDEX(始値!$E$6:$IT$305,MATCH(TEXT($B317,"0"),TEXT(銘柄管理!$B$6:$B$305,"0"),0),MATCH($AE317,始値!$E$3:$IT$3,0)),"")</f>
        <v/>
      </c>
      <c r="AJ317" s="608" t="str">
        <f>IF(OR($V317="",$F317="",$G317=""),"",$V317/($F317*$G317))</f>
        <v/>
      </c>
      <c r="AK317" s="600" t="str">
        <f>IF($V317="","",IF($V317&gt;0,"○勝",IF($V317&lt;0,"●負","△引分")))</f>
        <v/>
      </c>
    </row>
    <row r="318" spans="1:37" ht="17.25" customHeight="1">
      <c r="A318" s="621" t="str">
        <f>IF(B318="","",HYPERLINK("https://kabutan.jp/stock/?code="&amp;B318,"株探"))</f>
        <v/>
      </c>
      <c r="B318" s="480"/>
      <c r="C318" s="480"/>
      <c r="D318" s="480" t="str" cm="1">
        <f t="array" ref="D318">_xll.RssMarket(B318, "銘柄名称")</f>
        <v/>
      </c>
      <c r="E318" s="717"/>
      <c r="F318" s="698" t="str" cm="1">
        <f t="array" aca="1" ref="F318" ca="1">IFERROR(_xlfn.LET(_xlpm.r,MATCH(TEXT($B318,"0"),TEXT(銘柄管理!$B$6:$B$305,"0"),0),_xlpm.t,MOD(NOW(),1),_xlpm.c,IF($E318=TODAY(),IF(_xlpm.t&gt;=TIME(15,30,0),NA(),1),IF(MATCH($E318,始値!$E$3:$IT$3,0)=1,1,MATCH($E318,始値!$E$3:$IT$3,0)+1)),_xlpm.v,INDEX(始値!$C$6:$IT$305,_xlpm.r,_xlpm.c),IF(N(_xlpm.v)=0,"",_xlpm.v)),"")</f>
        <v/>
      </c>
      <c r="G318" s="480"/>
      <c r="H318" s="480" t="str" cm="1">
        <f t="array" ref="H318">_xll.RssMarket(B318, "現在値")</f>
        <v/>
      </c>
      <c r="I318" s="480" t="str" cm="1">
        <f t="array" ref="I318">_xll.RssMarket(B318, "出来高加重平均")</f>
        <v/>
      </c>
      <c r="J318" s="702" t="str" cm="1">
        <f t="array" ref="J318">_xll.RssMarket($B318, "前日比")</f>
        <v/>
      </c>
      <c r="K318" s="703" t="str">
        <f>IF(OR(F318="",G318="",H318=""),"",IF(C318="売",(F318-H318)*G318,(H318-F318)*G318))</f>
        <v/>
      </c>
      <c r="L318" s="708" t="str">
        <f>IF(OR(F318="",H318=""),"",IF(C318="売",(F318-H318)/F318,(H318-F318)/F318))</f>
        <v/>
      </c>
      <c r="M318" s="598" t="str">
        <f>IF($F318="","",$F318*IF($C318="売",1-V811設定!$B$4,1+V811設定!$B$4)-MOD($F318*IF($C318="売",1-V811設定!$B$4,1+V811設定!$B$4),IF($F318&lt;=3000,1,IF($F318&lt;=5000,5,IF($F318&lt;=30000,10,IF($F318&lt;=50000,50,IF($F318&lt;=300000,100,500))))))+IF(AND($C318="売",MOD($F318*IF($C318="売",1-V811設定!$B$4,1+V811設定!$B$4),IF($F318&lt;=3000,1,IF($F318&lt;=5000,5,IF($F318&lt;=30000,10,IF($F318&lt;=50000,50,IF($F318&lt;=300000,100,500))))))&gt;0),IF($F318&lt;=3000,1,IF($F318&lt;=5000,5,IF($F318&lt;=30000,10,IF($F318&lt;=50000,50,IF($F318&lt;=300000,100,500))))),0))</f>
      </c>
      <c r="N318" s="598" t="str">
        <f>IF($F318="","",$F318*IF($C318="売",1+V811設定!$B$3,1-V811設定!$B$3)-MOD($F318*IF($C318="売",1+V811設定!$B$3,1-V811設定!$B$3),IF($F318&lt;=3000,1,IF($F318&lt;=5000,5,IF($F318&lt;=30000,10,IF($F318&lt;=50000,50,IF($F318&lt;=300000,100,500))))))+IF(AND($C318="売",MOD($F318*IF($C318="売",1+V811設定!$B$3,1-V811設定!$B$3),IF($F318&lt;=3000,1,IF($F318&lt;=5000,5,IF($F318&lt;=30000,10,IF($F318&lt;=50000,50,IF($F318&lt;=300000,100,500))))))&gt;0),IF($F318&lt;=3000,1,IF($F318&lt;=5000,5,IF($F318&lt;=30000,10,IF($F318&lt;=50000,50,IF($F318&lt;=300000,100,500))))),0))</f>
      </c>
      <c r="O318" s="478" t="str">
        <f>IF(OR($B318="",$F318="",$H318=""),"",IF($S318="✅売却済","―決済済―",IF($C318="売",IF($H318&lt;=$M318,"🟢利確",IF(AND($R318&lt;&gt;"",$H318&gt;=$R318),"🟠TRAIL",IF($H318&gt;=$N318,"🔴損切",IF($W318&gt;=V811設定!$B$6,"⏱時間決済",IF($H318&gt;=$F318*(1+V811設定!$B$3*0.7),"⚠️損切接近","保持継続"))))),IF($H318&gt;=$M318,"🟢利確",IF(AND($R318&lt;&gt;"",$H318&lt;=$R318),"🟠TRAIL",IF($H318&lt;=$N318,"🔴損切",IF($W318&gt;=V811設定!$B$6,"⏱時間決済",IF($H318&lt;=$F318*(1-V811設定!$B$3*0.7),"⚠️損切接近","保持継続"))))))))</f>
      </c>
      <c r="P318" s="445"/>
      <c r="Q318" s="445"/>
      <c r="R318" s="480" t="str">
        <f>IF(OR($F318="",$H318="",$N318=""),"",IF($S318="✅売却済","",IF($C318="売",IF($H318&gt;$F318*(1-V811設定!$B$3),$N318,MIN($N318,IF($Q318="",$N318,$Q318*1.03))),IF($H318&lt;$F318*(1+V811設定!$B$3),$N318,MAX($N318,IF($P318="",$N318,$P318*0.97))))))</f>
      </c>
      <c r="S318" s="480" t="str">
        <f>IF(B318="","",IF(T318&lt;&gt;"","✅売却済",IF(OR(H318="",L318=""),"📌保有中",IF(L318&gt;=0.06,"🟢利確推奨",IF(L318&gt;=0.05,"🟡利確直近",IF(L318&gt;=0.045,"🔵トレーリング検討",IF(L318&gt;-0.03,"📌保有中",IF(L318&gt;-0.04,"⚠️損切注意","🔴損切り"))))))))</f>
        <v/>
      </c>
      <c r="T318" s="596"/>
      <c r="U318" s="598"/>
      <c r="V318" s="703" t="str">
        <f>IF(OR(F318="",G318="",U318=""),"",IF(C318="売",(F318-U318)*G318,(U318-F318)*G318))</f>
        <v/>
      </c>
      <c r="W318" s="480" t="str">
        <f>IF(OR($E318="",$B318=""),"",IF($T318&lt;&gt;"",$T318-$E318,TODAY()-$E318)+1)</f>
        <v/>
      </c>
      <c r="X318" s="480" t="str">
        <f>IF(OR($AH318="",$AH318="保有中"),"",$AH318)</f>
        <v/>
      </c>
      <c r="Y318" s="488"/>
      <c r="Z318" s="710"/>
      <c r="AD318" s="608"/>
      <c r="AE318" s="600" t="str">
        <f>IF($E318="","",WORKDAY($E318,12))</f>
        <v/>
      </c>
      <c r="AF318" s="600" t="str" cm="1">
        <f t="array" aca="1" ref="AF318" ca="1">IF(OR($B318="",$M318=""),"",IFERROR(IF($C318="売",_xlfn.MINIFS(安値!$E$3:$IT$3,安値!$E$3:$IT$3,"&gt;"&amp;$E318,安値!$E$3:$IT$3,"&lt;="&amp;$AE318,OFFSET(安値!$E$6:$IT$6,MATCH(TEXT($B318,"0"),TEXT(銘柄管理!$B$6:$B$305,"0"),0)-1,0),"&lt;="&amp;$M318),_xlfn.MINIFS(高値!$E$3:$IT$3,高値!$E$3:$IT$3,"&gt;"&amp;$E318,高値!$E$3:$IT$3,"&lt;="&amp;$AE318,OFFSET(高値!$E$6:$IT$6,MATCH(TEXT($B318,"0"),TEXT(銘柄管理!$B$6:$B$305,"0"),0)-1,0),"&gt;="&amp;$M318)),""))</f>
        <v/>
      </c>
      <c r="AG318" s="600" t="str" cm="1">
        <f t="array" aca="1" ref="AG318" ca="1">IF(OR($B318="",$N318=""),"",IFERROR(IF($C318="売",_xlfn.MINIFS(高値!$E$3:$IT$3,高値!$E$3:$IT$3,"&gt;"&amp;$E318,高値!$E$3:$IT$3,"&lt;="&amp;$AE318,OFFSET(高値!$E$6:$IT$6,MATCH(TEXT($B318,"0"),TEXT(銘柄管理!$B$6:$B$305,"0"),0)-1,0),"&gt;="&amp;$N318),_xlfn.MINIFS(安値!$E$3:$IT$3,安値!$E$3:$IT$3,"&gt;"&amp;$E318,安値!$E$3:$IT$3,"&lt;="&amp;$AE318,OFFSET(安値!$E$6:$IT$6,MATCH(TEXT($B318,"0"),TEXT(銘柄管理!$B$6:$B$305,"0"),0)-1,0),"&lt;="&amp;$N318)),""))</f>
        <v/>
      </c>
      <c r="AH318" s="600" t="str">
        <f>IF(OR($B318="",$M318=""),"",IF(AND(N($AF318)=0,N($AG318)=0),IF(AND(ISNUMBER($H318),$H318&gt;0,IF($C318="売",$H318&gt;=$N318,$H318&lt;=$N318)),"損切確定",IF(AND(ISNUMBER($H318),$H318&gt;0,IF($C318="売",$H318&lt;=$M318,$H318&gt;=$M318)),"利益確定",IF($AE318&lt;=TODAY(),"日数制限","保有中"))),IF(N($AG318)=0,"利益確定",IF(N($AF318)=0,"損切確定",IF($AG318&lt;=$AF318,"損切確定","利益確定")))))</f>
        <v/>
      </c>
      <c r="AI318" s="600" t="str" cm="1">
        <f t="array" ref="AI318">IFERROR(INDEX(始値!$E$6:$IT$305,MATCH(TEXT($B318,"0"),TEXT(銘柄管理!$B$6:$B$305,"0"),0),MATCH($AE318,始値!$E$3:$IT$3,0)),"")</f>
        <v/>
      </c>
      <c r="AJ318" s="608" t="str">
        <f>IF(OR($V318="",$F318="",$G318=""),"",$V318/($F318*$G318))</f>
        <v/>
      </c>
      <c r="AK318" s="600" t="str">
        <f>IF($V318="","",IF($V318&gt;0,"○勝",IF($V318&lt;0,"●負","△引分")))</f>
        <v/>
      </c>
    </row>
    <row r="319" spans="1:37" ht="17.25" customHeight="1">
      <c r="A319" s="621" t="str">
        <f>IF(B319="","",HYPERLINK("https://kabutan.jp/stock/?code="&amp;B319,"株探"))</f>
        <v/>
      </c>
      <c r="B319" s="480"/>
      <c r="C319" s="480"/>
      <c r="D319" s="480" t="str" cm="1">
        <f t="array" ref="D319">_xll.RssMarket(B319, "銘柄名称")</f>
        <v/>
      </c>
      <c r="E319" s="717"/>
      <c r="F319" s="698" t="str" cm="1">
        <f t="array" aca="1" ref="F319" ca="1">IFERROR(_xlfn.LET(_xlpm.r,MATCH(TEXT($B319,"0"),TEXT(銘柄管理!$B$6:$B$305,"0"),0),_xlpm.t,MOD(NOW(),1),_xlpm.c,IF($E319=TODAY(),IF(_xlpm.t&gt;=TIME(15,30,0),NA(),1),IF(MATCH($E319,始値!$E$3:$IT$3,0)=1,1,MATCH($E319,始値!$E$3:$IT$3,0)+1)),_xlpm.v,INDEX(始値!$C$6:$IT$305,_xlpm.r,_xlpm.c),IF(N(_xlpm.v)=0,"",_xlpm.v)),"")</f>
        <v/>
      </c>
      <c r="G319" s="480"/>
      <c r="H319" s="480" t="str" cm="1">
        <f t="array" ref="H319">_xll.RssMarket(B319, "現在値")</f>
        <v/>
      </c>
      <c r="I319" s="480" t="str" cm="1">
        <f t="array" ref="I319">_xll.RssMarket(B319, "出来高加重平均")</f>
        <v/>
      </c>
      <c r="J319" s="702" t="str" cm="1">
        <f t="array" ref="J319">_xll.RssMarket($B319, "前日比")</f>
        <v/>
      </c>
      <c r="K319" s="703" t="str">
        <f>IF(OR(F319="",G319="",H319=""),"",IF(C319="売",(F319-H319)*G319,(H319-F319)*G319))</f>
        <v/>
      </c>
      <c r="L319" s="708" t="str">
        <f>IF(OR(F319="",H319=""),"",IF(C319="売",(F319-H319)/F319,(H319-F319)/F319))</f>
        <v/>
      </c>
      <c r="M319" s="598" t="str">
        <f>IF($F319="","",$F319*IF($C319="売",1-V811設定!$B$4,1+V811設定!$B$4)-MOD($F319*IF($C319="売",1-V811設定!$B$4,1+V811設定!$B$4),IF($F319&lt;=3000,1,IF($F319&lt;=5000,5,IF($F319&lt;=30000,10,IF($F319&lt;=50000,50,IF($F319&lt;=300000,100,500))))))+IF(AND($C319="売",MOD($F319*IF($C319="売",1-V811設定!$B$4,1+V811設定!$B$4),IF($F319&lt;=3000,1,IF($F319&lt;=5000,5,IF($F319&lt;=30000,10,IF($F319&lt;=50000,50,IF($F319&lt;=300000,100,500))))))&gt;0),IF($F319&lt;=3000,1,IF($F319&lt;=5000,5,IF($F319&lt;=30000,10,IF($F319&lt;=50000,50,IF($F319&lt;=300000,100,500))))),0))</f>
      </c>
      <c r="N319" s="598" t="str">
        <f>IF($F319="","",$F319*IF($C319="売",1+V811設定!$B$3,1-V811設定!$B$3)-MOD($F319*IF($C319="売",1+V811設定!$B$3,1-V811設定!$B$3),IF($F319&lt;=3000,1,IF($F319&lt;=5000,5,IF($F319&lt;=30000,10,IF($F319&lt;=50000,50,IF($F319&lt;=300000,100,500))))))+IF(AND($C319="売",MOD($F319*IF($C319="売",1+V811設定!$B$3,1-V811設定!$B$3),IF($F319&lt;=3000,1,IF($F319&lt;=5000,5,IF($F319&lt;=30000,10,IF($F319&lt;=50000,50,IF($F319&lt;=300000,100,500))))))&gt;0),IF($F319&lt;=3000,1,IF($F319&lt;=5000,5,IF($F319&lt;=30000,10,IF($F319&lt;=50000,50,IF($F319&lt;=300000,100,500))))),0))</f>
      </c>
      <c r="O319" s="478" t="str">
        <f>IF(OR($B319="",$F319="",$H319=""),"",IF($S319="✅売却済","―決済済―",IF($C319="売",IF($H319&lt;=$M319,"🟢利確",IF(AND($R319&lt;&gt;"",$H319&gt;=$R319),"🟠TRAIL",IF($H319&gt;=$N319,"🔴損切",IF($W319&gt;=V811設定!$B$6,"⏱時間決済",IF($H319&gt;=$F319*(1+V811設定!$B$3*0.7),"⚠️損切接近","保持継続"))))),IF($H319&gt;=$M319,"🟢利確",IF(AND($R319&lt;&gt;"",$H319&lt;=$R319),"🟠TRAIL",IF($H319&lt;=$N319,"🔴損切",IF($W319&gt;=V811設定!$B$6,"⏱時間決済",IF($H319&lt;=$F319*(1-V811設定!$B$3*0.7),"⚠️損切接近","保持継続"))))))))</f>
      </c>
      <c r="P319" s="445"/>
      <c r="Q319" s="445"/>
      <c r="R319" s="480" t="str">
        <f>IF(OR($F319="",$H319="",$N319=""),"",IF($S319="✅売却済","",IF($C319="売",IF($H319&gt;$F319*(1-V811設定!$B$3),$N319,MIN($N319,IF($Q319="",$N319,$Q319*1.03))),IF($H319&lt;$F319*(1+V811設定!$B$3),$N319,MAX($N319,IF($P319="",$N319,$P319*0.97))))))</f>
      </c>
      <c r="S319" s="480" t="str">
        <f>IF(B319="","",IF(T319&lt;&gt;"","✅売却済",IF(OR(H319="",L319=""),"📌保有中",IF(L319&gt;=0.06,"🟢利確推奨",IF(L319&gt;=0.05,"🟡利確直近",IF(L319&gt;=0.045,"🔵トレーリング検討",IF(L319&gt;-0.03,"📌保有中",IF(L319&gt;-0.04,"⚠️損切注意","🔴損切り"))))))))</f>
        <v/>
      </c>
      <c r="T319" s="596"/>
      <c r="U319" s="598"/>
      <c r="V319" s="703" t="str">
        <f>IF(OR(F319="",G319="",U319=""),"",IF(C319="売",(F319-U319)*G319,(U319-F319)*G319))</f>
        <v/>
      </c>
      <c r="W319" s="480" t="str">
        <f>IF(OR($E319="",$B319=""),"",IF($T319&lt;&gt;"",$T319-$E319,TODAY()-$E319)+1)</f>
        <v/>
      </c>
      <c r="X319" s="480" t="str">
        <f>IF(OR($AH319="",$AH319="保有中"),"",$AH319)</f>
        <v/>
      </c>
      <c r="Y319" s="488"/>
      <c r="Z319" s="710"/>
      <c r="AD319" s="608"/>
      <c r="AE319" s="600" t="str">
        <f>IF($E319="","",WORKDAY($E319,12))</f>
        <v/>
      </c>
      <c r="AF319" s="600" t="str" cm="1">
        <f t="array" aca="1" ref="AF319" ca="1">IF(OR($B319="",$M319=""),"",IFERROR(IF($C319="売",_xlfn.MINIFS(安値!$E$3:$IT$3,安値!$E$3:$IT$3,"&gt;"&amp;$E319,安値!$E$3:$IT$3,"&lt;="&amp;$AE319,OFFSET(安値!$E$6:$IT$6,MATCH(TEXT($B319,"0"),TEXT(銘柄管理!$B$6:$B$305,"0"),0)-1,0),"&lt;="&amp;$M319),_xlfn.MINIFS(高値!$E$3:$IT$3,高値!$E$3:$IT$3,"&gt;"&amp;$E319,高値!$E$3:$IT$3,"&lt;="&amp;$AE319,OFFSET(高値!$E$6:$IT$6,MATCH(TEXT($B319,"0"),TEXT(銘柄管理!$B$6:$B$305,"0"),0)-1,0),"&gt;="&amp;$M319)),""))</f>
        <v/>
      </c>
      <c r="AG319" s="600" t="str" cm="1">
        <f t="array" aca="1" ref="AG319" ca="1">IF(OR($B319="",$N319=""),"",IFERROR(IF($C319="売",_xlfn.MINIFS(高値!$E$3:$IT$3,高値!$E$3:$IT$3,"&gt;"&amp;$E319,高値!$E$3:$IT$3,"&lt;="&amp;$AE319,OFFSET(高値!$E$6:$IT$6,MATCH(TEXT($B319,"0"),TEXT(銘柄管理!$B$6:$B$305,"0"),0)-1,0),"&gt;="&amp;$N319),_xlfn.MINIFS(安値!$E$3:$IT$3,安値!$E$3:$IT$3,"&gt;"&amp;$E319,安値!$E$3:$IT$3,"&lt;="&amp;$AE319,OFFSET(安値!$E$6:$IT$6,MATCH(TEXT($B319,"0"),TEXT(銘柄管理!$B$6:$B$305,"0"),0)-1,0),"&lt;="&amp;$N319)),""))</f>
        <v/>
      </c>
      <c r="AH319" s="600" t="str">
        <f>IF(OR($B319="",$M319=""),"",IF(AND(N($AF319)=0,N($AG319)=0),IF(AND(ISNUMBER($H319),$H319&gt;0,IF($C319="売",$H319&gt;=$N319,$H319&lt;=$N319)),"損切確定",IF(AND(ISNUMBER($H319),$H319&gt;0,IF($C319="売",$H319&lt;=$M319,$H319&gt;=$M319)),"利益確定",IF($AE319&lt;=TODAY(),"日数制限","保有中"))),IF(N($AG319)=0,"利益確定",IF(N($AF319)=0,"損切確定",IF($AG319&lt;=$AF319,"損切確定","利益確定")))))</f>
        <v/>
      </c>
      <c r="AI319" s="600" t="str" cm="1">
        <f t="array" ref="AI319">IFERROR(INDEX(始値!$E$6:$IT$305,MATCH(TEXT($B319,"0"),TEXT(銘柄管理!$B$6:$B$305,"0"),0),MATCH($AE319,始値!$E$3:$IT$3,0)),"")</f>
        <v/>
      </c>
      <c r="AJ319" s="608" t="str">
        <f>IF(OR($V319="",$F319="",$G319=""),"",$V319/($F319*$G319))</f>
        <v/>
      </c>
      <c r="AK319" s="600" t="str">
        <f>IF($V319="","",IF($V319&gt;0,"○勝",IF($V319&lt;0,"●負","△引分")))</f>
        <v/>
      </c>
    </row>
    <row r="320" spans="1:37" ht="17.25" customHeight="1">
      <c r="A320" s="621" t="str">
        <f>IF(B320="","",HYPERLINK("https://kabutan.jp/stock/?code="&amp;B320,"株探"))</f>
        <v/>
      </c>
      <c r="B320" s="480"/>
      <c r="C320" s="480"/>
      <c r="D320" s="480" t="str" cm="1">
        <f t="array" ref="D320">_xll.RssMarket(B320, "銘柄名称")</f>
        <v/>
      </c>
      <c r="E320" s="717"/>
      <c r="F320" s="698" t="str" cm="1">
        <f t="array" aca="1" ref="F320" ca="1">IFERROR(_xlfn.LET(_xlpm.r,MATCH(TEXT($B320,"0"),TEXT(銘柄管理!$B$6:$B$305,"0"),0),_xlpm.t,MOD(NOW(),1),_xlpm.c,IF($E320=TODAY(),IF(_xlpm.t&gt;=TIME(15,30,0),NA(),1),IF(MATCH($E320,始値!$E$3:$IT$3,0)=1,1,MATCH($E320,始値!$E$3:$IT$3,0)+1)),_xlpm.v,INDEX(始値!$C$6:$IT$305,_xlpm.r,_xlpm.c),IF(N(_xlpm.v)=0,"",_xlpm.v)),"")</f>
        <v/>
      </c>
      <c r="G320" s="480"/>
      <c r="H320" s="480" t="str" cm="1">
        <f t="array" ref="H320">_xll.RssMarket(B320, "現在値")</f>
        <v/>
      </c>
      <c r="I320" s="480" t="str" cm="1">
        <f t="array" ref="I320">_xll.RssMarket(B320, "出来高加重平均")</f>
        <v/>
      </c>
      <c r="J320" s="702" t="str" cm="1">
        <f t="array" ref="J320">_xll.RssMarket($B320, "前日比")</f>
        <v/>
      </c>
      <c r="K320" s="703" t="str">
        <f>IF(OR(F320="",G320="",H320=""),"",IF(C320="売",(F320-H320)*G320,(H320-F320)*G320))</f>
        <v/>
      </c>
      <c r="L320" s="708" t="str">
        <f>IF(OR(F320="",H320=""),"",IF(C320="売",(F320-H320)/F320,(H320-F320)/F320))</f>
        <v/>
      </c>
      <c r="M320" s="598" t="str">
        <f>IF($F320="","",$F320*IF($C320="売",1-V811設定!$B$4,1+V811設定!$B$4)-MOD($F320*IF($C320="売",1-V811設定!$B$4,1+V811設定!$B$4),IF($F320&lt;=3000,1,IF($F320&lt;=5000,5,IF($F320&lt;=30000,10,IF($F320&lt;=50000,50,IF($F320&lt;=300000,100,500))))))+IF(AND($C320="売",MOD($F320*IF($C320="売",1-V811設定!$B$4,1+V811設定!$B$4),IF($F320&lt;=3000,1,IF($F320&lt;=5000,5,IF($F320&lt;=30000,10,IF($F320&lt;=50000,50,IF($F320&lt;=300000,100,500))))))&gt;0),IF($F320&lt;=3000,1,IF($F320&lt;=5000,5,IF($F320&lt;=30000,10,IF($F320&lt;=50000,50,IF($F320&lt;=300000,100,500))))),0))</f>
      </c>
      <c r="N320" s="598" t="str">
        <f>IF($F320="","",$F320*IF($C320="売",1+V811設定!$B$3,1-V811設定!$B$3)-MOD($F320*IF($C320="売",1+V811設定!$B$3,1-V811設定!$B$3),IF($F320&lt;=3000,1,IF($F320&lt;=5000,5,IF($F320&lt;=30000,10,IF($F320&lt;=50000,50,IF($F320&lt;=300000,100,500))))))+IF(AND($C320="売",MOD($F320*IF($C320="売",1+V811設定!$B$3,1-V811設定!$B$3),IF($F320&lt;=3000,1,IF($F320&lt;=5000,5,IF($F320&lt;=30000,10,IF($F320&lt;=50000,50,IF($F320&lt;=300000,100,500))))))&gt;0),IF($F320&lt;=3000,1,IF($F320&lt;=5000,5,IF($F320&lt;=30000,10,IF($F320&lt;=50000,50,IF($F320&lt;=300000,100,500))))),0))</f>
      </c>
      <c r="O320" s="478" t="str">
        <f>IF(OR($B320="",$F320="",$H320=""),"",IF($S320="✅売却済","―決済済―",IF($C320="売",IF($H320&lt;=$M320,"🟢利確",IF(AND($R320&lt;&gt;"",$H320&gt;=$R320),"🟠TRAIL",IF($H320&gt;=$N320,"🔴損切",IF($W320&gt;=V811設定!$B$6,"⏱時間決済",IF($H320&gt;=$F320*(1+V811設定!$B$3*0.7),"⚠️損切接近","保持継続"))))),IF($H320&gt;=$M320,"🟢利確",IF(AND($R320&lt;&gt;"",$H320&lt;=$R320),"🟠TRAIL",IF($H320&lt;=$N320,"🔴損切",IF($W320&gt;=V811設定!$B$6,"⏱時間決済",IF($H320&lt;=$F320*(1-V811設定!$B$3*0.7),"⚠️損切接近","保持継続"))))))))</f>
      </c>
      <c r="P320" s="445"/>
      <c r="Q320" s="445"/>
      <c r="R320" s="480" t="str">
        <f>IF(OR($F320="",$H320="",$N320=""),"",IF($S320="✅売却済","",IF($C320="売",IF($H320&gt;$F320*(1-V811設定!$B$3),$N320,MIN($N320,IF($Q320="",$N320,$Q320*1.03))),IF($H320&lt;$F320*(1+V811設定!$B$3),$N320,MAX($N320,IF($P320="",$N320,$P320*0.97))))))</f>
      </c>
      <c r="S320" s="480" t="str">
        <f>IF(B320="","",IF(T320&lt;&gt;"","✅売却済",IF(OR(H320="",L320=""),"📌保有中",IF(L320&gt;=0.06,"🟢利確推奨",IF(L320&gt;=0.05,"🟡利確直近",IF(L320&gt;=0.045,"🔵トレーリング検討",IF(L320&gt;-0.03,"📌保有中",IF(L320&gt;-0.04,"⚠️損切注意","🔴損切り"))))))))</f>
        <v/>
      </c>
      <c r="T320" s="596"/>
      <c r="U320" s="598"/>
      <c r="V320" s="703" t="str">
        <f>IF(OR(F320="",G320="",U320=""),"",IF(C320="売",(F320-U320)*G320,(U320-F320)*G320))</f>
        <v/>
      </c>
      <c r="W320" s="480" t="str">
        <f>IF(OR($E320="",$B320=""),"",IF($T320&lt;&gt;"",$T320-$E320,TODAY()-$E320)+1)</f>
        <v/>
      </c>
      <c r="X320" s="480" t="str">
        <f>IF(OR($AH320="",$AH320="保有中"),"",$AH320)</f>
        <v/>
      </c>
      <c r="Y320" s="488"/>
      <c r="Z320" s="710"/>
      <c r="AD320" s="608"/>
      <c r="AE320" s="600" t="str">
        <f>IF($E320="","",WORKDAY($E320,12))</f>
        <v/>
      </c>
      <c r="AF320" s="600" t="str" cm="1">
        <f t="array" aca="1" ref="AF320" ca="1">IF(OR($B320="",$M320=""),"",IFERROR(IF($C320="売",_xlfn.MINIFS(安値!$E$3:$IT$3,安値!$E$3:$IT$3,"&gt;"&amp;$E320,安値!$E$3:$IT$3,"&lt;="&amp;$AE320,OFFSET(安値!$E$6:$IT$6,MATCH(TEXT($B320,"0"),TEXT(銘柄管理!$B$6:$B$305,"0"),0)-1,0),"&lt;="&amp;$M320),_xlfn.MINIFS(高値!$E$3:$IT$3,高値!$E$3:$IT$3,"&gt;"&amp;$E320,高値!$E$3:$IT$3,"&lt;="&amp;$AE320,OFFSET(高値!$E$6:$IT$6,MATCH(TEXT($B320,"0"),TEXT(銘柄管理!$B$6:$B$305,"0"),0)-1,0),"&gt;="&amp;$M320)),""))</f>
        <v/>
      </c>
      <c r="AG320" s="600" t="str" cm="1">
        <f t="array" aca="1" ref="AG320" ca="1">IF(OR($B320="",$N320=""),"",IFERROR(IF($C320="売",_xlfn.MINIFS(高値!$E$3:$IT$3,高値!$E$3:$IT$3,"&gt;"&amp;$E320,高値!$E$3:$IT$3,"&lt;="&amp;$AE320,OFFSET(高値!$E$6:$IT$6,MATCH(TEXT($B320,"0"),TEXT(銘柄管理!$B$6:$B$305,"0"),0)-1,0),"&gt;="&amp;$N320),_xlfn.MINIFS(安値!$E$3:$IT$3,安値!$E$3:$IT$3,"&gt;"&amp;$E320,安値!$E$3:$IT$3,"&lt;="&amp;$AE320,OFFSET(安値!$E$6:$IT$6,MATCH(TEXT($B320,"0"),TEXT(銘柄管理!$B$6:$B$305,"0"),0)-1,0),"&lt;="&amp;$N320)),""))</f>
        <v/>
      </c>
      <c r="AH320" s="600" t="str">
        <f>IF(OR($B320="",$M320=""),"",IF(AND(N($AF320)=0,N($AG320)=0),IF(AND(ISNUMBER($H320),$H320&gt;0,IF($C320="売",$H320&gt;=$N320,$H320&lt;=$N320)),"損切確定",IF(AND(ISNUMBER($H320),$H320&gt;0,IF($C320="売",$H320&lt;=$M320,$H320&gt;=$M320)),"利益確定",IF($AE320&lt;=TODAY(),"日数制限","保有中"))),IF(N($AG320)=0,"利益確定",IF(N($AF320)=0,"損切確定",IF($AG320&lt;=$AF320,"損切確定","利益確定")))))</f>
        <v/>
      </c>
      <c r="AI320" s="600" t="str" cm="1">
        <f t="array" ref="AI320">IFERROR(INDEX(始値!$E$6:$IT$305,MATCH(TEXT($B320,"0"),TEXT(銘柄管理!$B$6:$B$305,"0"),0),MATCH($AE320,始値!$E$3:$IT$3,0)),"")</f>
        <v/>
      </c>
      <c r="AJ320" s="608" t="str">
        <f>IF(OR($V320="",$F320="",$G320=""),"",$V320/($F320*$G320))</f>
        <v/>
      </c>
      <c r="AK320" s="600" t="str">
        <f>IF($V320="","",IF($V320&gt;0,"○勝",IF($V320&lt;0,"●負","△引分")))</f>
        <v/>
      </c>
    </row>
    <row r="321" spans="1:37" ht="17.25" customHeight="1">
      <c r="A321" s="622" t="str">
        <f>IF(B321="","",HYPERLINK("https://kabutan.jp/stock/?code="&amp;B321,"株探"))</f>
        <v/>
      </c>
      <c r="D321" s="440" t="str" cm="1">
        <f t="array" ref="D321">_xll.RssMarket(B321, "銘柄名称")</f>
        <v/>
      </c>
      <c r="E321" s="717"/>
      <c r="F321" s="698" t="str" cm="1">
        <f t="array" aca="1" ref="F321" ca="1">IFERROR(_xlfn.LET(_xlpm.r,MATCH(TEXT($B321,"0"),TEXT(銘柄管理!$B$6:$B$305,"0"),0),_xlpm.t,MOD(NOW(),1),_xlpm.c,IF($E321=TODAY(),IF(_xlpm.t&gt;=TIME(15,30,0),NA(),1),IF(MATCH($E321,始値!$E$3:$IT$3,0)=1,1,MATCH($E321,始値!$E$3:$IT$3,0)+1)),_xlpm.v,INDEX(始値!$C$6:$IT$305,_xlpm.r,_xlpm.c),IF(N(_xlpm.v)=0,"",_xlpm.v)),"")</f>
        <v/>
      </c>
      <c r="H321" s="440" t="str" cm="1">
        <f t="array" ref="H321">_xll.RssMarket(B321, "現在値")</f>
        <v/>
      </c>
      <c r="I321" s="440" t="str" cm="1">
        <f t="array" ref="I321">_xll.RssMarket(B321, "出来高加重平均")</f>
        <v/>
      </c>
      <c r="J321" s="702" t="str" cm="1">
        <f t="array" ref="J321">_xll.RssMarket($B321, "前日比")</f>
        <v/>
      </c>
      <c r="K321" s="704" t="str">
        <f>IF(OR(F321="",G321="",H321=""),"",IF(C321="売",(F321-H321)*G321,(H321-F321)*G321))</f>
        <v/>
      </c>
      <c r="L321" s="709" t="str">
        <f>IF(OR(F321="",H321=""),"",IF(C321="売",(F321-H321)/F321,(H321-F321)/F321))</f>
        <v/>
      </c>
      <c r="M321" s="599" t="str">
        <f>IF($F321="","",$F321*IF($C321="売",1-V811設定!$B$4,1+V811設定!$B$4)-MOD($F321*IF($C321="売",1-V811設定!$B$4,1+V811設定!$B$4),IF($F321&lt;=3000,1,IF($F321&lt;=5000,5,IF($F321&lt;=30000,10,IF($F321&lt;=50000,50,IF($F321&lt;=300000,100,500))))))+IF(AND($C321="売",MOD($F321*IF($C321="売",1-V811設定!$B$4,1+V811設定!$B$4),IF($F321&lt;=3000,1,IF($F321&lt;=5000,5,IF($F321&lt;=30000,10,IF($F321&lt;=50000,50,IF($F321&lt;=300000,100,500))))))&gt;0),IF($F321&lt;=3000,1,IF($F321&lt;=5000,5,IF($F321&lt;=30000,10,IF($F321&lt;=50000,50,IF($F321&lt;=300000,100,500))))),0))</f>
      </c>
      <c r="N321" s="599" t="str">
        <f>IF($F321="","",$F321*IF($C321="売",1+V811設定!$B$3,1-V811設定!$B$3)-MOD($F321*IF($C321="売",1+V811設定!$B$3,1-V811設定!$B$3),IF($F321&lt;=3000,1,IF($F321&lt;=5000,5,IF($F321&lt;=30000,10,IF($F321&lt;=50000,50,IF($F321&lt;=300000,100,500))))))+IF(AND($C321="売",MOD($F321*IF($C321="売",1+V811設定!$B$3,1-V811設定!$B$3),IF($F321&lt;=3000,1,IF($F321&lt;=5000,5,IF($F321&lt;=30000,10,IF($F321&lt;=50000,50,IF($F321&lt;=300000,100,500))))))&gt;0),IF($F321&lt;=3000,1,IF($F321&lt;=5000,5,IF($F321&lt;=30000,10,IF($F321&lt;=50000,50,IF($F321&lt;=300000,100,500))))),0))</f>
      </c>
      <c r="O321" s="478" t="str">
        <f>IF(OR($B321="",$F321="",$H321=""),"",IF($S321="✅売却済","―決済済―",IF($C321="売",IF($H321&lt;=$M321,"🟢利確",IF(AND($R321&lt;&gt;"",$H321&gt;=$R321),"🟠TRAIL",IF($H321&gt;=$N321,"🔴損切",IF($W321&gt;=V811設定!$B$6,"⏱時間決済",IF($H321&gt;=$F321*(1+V811設定!$B$3*0.7),"⚠️損切接近","保持継続"))))),IF($H321&gt;=$M321,"🟢利確",IF(AND($R321&lt;&gt;"",$H321&lt;=$R321),"🟠TRAIL",IF($H321&lt;=$N321,"🔴損切",IF($W321&gt;=V811設定!$B$6,"⏱時間決済",IF($H321&lt;=$F321*(1-V811設定!$B$3*0.7),"⚠️損切接近","保持継続"))))))))</f>
      </c>
      <c r="P321" s="445"/>
      <c r="Q321" s="445"/>
      <c r="R321" s="440" t="str">
        <f>IF(OR($F321="",$H321="",$N321=""),"",IF($S321="✅売却済","",IF($C321="売",IF($H321&gt;$F321*(1-V811設定!$B$3),$N321,MIN($N321,IF($Q321="",$N321,$Q321*1.03))),IF($H321&lt;$F321*(1+V811設定!$B$3),$N321,MAX($N321,IF($P321="",$N321,$P321*0.97))))))</f>
      </c>
      <c r="S321" s="440" t="str">
        <f>IF(B321="","",IF(T321&lt;&gt;"","✅売却済",IF(OR(H321="",L321=""),"📌保有中",IF(L321&gt;=0.06,"🟢利確推奨",IF(L321&gt;=0.05,"🟡利確直近",IF(L321&gt;=0.045,"🔵トレーリング検討",IF(L321&gt;-0.03,"📌保有中",IF(L321&gt;-0.04,"⚠️損切注意","🔴損切り"))))))))</f>
        <v/>
      </c>
      <c r="T321" s="597"/>
      <c r="U321" s="599"/>
      <c r="V321" s="704" t="str">
        <f>IF(OR(F321="",G321="",U321=""),"",IF(C321="売",(F321-U321)*G321,(U321-F321)*G321))</f>
        <v/>
      </c>
      <c r="W321" s="440" t="str">
        <f>IF(OR($E321="",$B321=""),"",IF($T321&lt;&gt;"",$T321-$E321,TODAY()-$E321)+1)</f>
        <v/>
      </c>
      <c r="X321" s="440" t="str">
        <f>IF(OR($AH321="",$AH321="保有中"),"",$AH321)</f>
        <v/>
      </c>
      <c r="AD321" s="608"/>
      <c r="AE321" s="600" t="str">
        <f>IF($E321="","",WORKDAY($E321,12))</f>
        <v/>
      </c>
      <c r="AF321" s="600" t="str" cm="1">
        <f t="array" aca="1" ref="AF321" ca="1">IF(OR($B321="",$M321=""),"",IFERROR(IF($C321="売",_xlfn.MINIFS(安値!$E$3:$IT$3,安値!$E$3:$IT$3,"&gt;"&amp;$E321,安値!$E$3:$IT$3,"&lt;="&amp;$AE321,OFFSET(安値!$E$6:$IT$6,MATCH(TEXT($B321,"0"),TEXT(銘柄管理!$B$6:$B$305,"0"),0)-1,0),"&lt;="&amp;$M321),_xlfn.MINIFS(高値!$E$3:$IT$3,高値!$E$3:$IT$3,"&gt;"&amp;$E321,高値!$E$3:$IT$3,"&lt;="&amp;$AE321,OFFSET(高値!$E$6:$IT$6,MATCH(TEXT($B321,"0"),TEXT(銘柄管理!$B$6:$B$305,"0"),0)-1,0),"&gt;="&amp;$M321)),""))</f>
        <v/>
      </c>
      <c r="AG321" s="600" t="str" cm="1">
        <f t="array" aca="1" ref="AG321" ca="1">IF(OR($B321="",$N321=""),"",IFERROR(IF($C321="売",_xlfn.MINIFS(高値!$E$3:$IT$3,高値!$E$3:$IT$3,"&gt;"&amp;$E321,高値!$E$3:$IT$3,"&lt;="&amp;$AE321,OFFSET(高値!$E$6:$IT$6,MATCH(TEXT($B321,"0"),TEXT(銘柄管理!$B$6:$B$305,"0"),0)-1,0),"&gt;="&amp;$N321),_xlfn.MINIFS(安値!$E$3:$IT$3,安値!$E$3:$IT$3,"&gt;"&amp;$E321,安値!$E$3:$IT$3,"&lt;="&amp;$AE321,OFFSET(安値!$E$6:$IT$6,MATCH(TEXT($B321,"0"),TEXT(銘柄管理!$B$6:$B$305,"0"),0)-1,0),"&lt;="&amp;$N321)),""))</f>
        <v/>
      </c>
      <c r="AH321" s="600" t="str">
        <f>IF(OR($B321="",$M321=""),"",IF(AND(N($AF321)=0,N($AG321)=0),IF(AND(ISNUMBER($H321),$H321&gt;0,IF($C321="売",$H321&gt;=$N321,$H321&lt;=$N321)),"損切確定",IF(AND(ISNUMBER($H321),$H321&gt;0,IF($C321="売",$H321&lt;=$M321,$H321&gt;=$M321)),"利益確定",IF($AE321&lt;=TODAY(),"日数制限","保有中"))),IF(N($AG321)=0,"利益確定",IF(N($AF321)=0,"損切確定",IF($AG321&lt;=$AF321,"損切確定","利益確定")))))</f>
        <v/>
      </c>
      <c r="AI321" s="600" t="str" cm="1">
        <f t="array" ref="AI321">IFERROR(INDEX(始値!$E$6:$IT$305,MATCH(TEXT($B321,"0"),TEXT(銘柄管理!$B$6:$B$305,"0"),0),MATCH($AE321,始値!$E$3:$IT$3,0)),"")</f>
        <v/>
      </c>
      <c r="AJ321" s="608" t="str">
        <f>IF(OR($V321="",$F321="",$G321=""),"",$V321/($F321*$G321))</f>
        <v/>
      </c>
      <c r="AK321" s="600" t="str">
        <f>IF($V321="","",IF($V321&gt;0,"○勝",IF($V321&lt;0,"●負","△引分")))</f>
        <v/>
      </c>
    </row>
    <row r="322" spans="1:37" ht="17.25" customHeight="1">
      <c r="A322" s="622" t="str">
        <f>IF(B322="","",HYPERLINK("https://kabutan.jp/stock/?code="&amp;B322,"株探"))</f>
        <v/>
      </c>
      <c r="D322" s="440" t="str" cm="1">
        <f t="array" ref="D322">_xll.RssMarket(B322, "銘柄名称")</f>
        <v/>
      </c>
      <c r="E322" s="717"/>
      <c r="F322" s="698" t="str" cm="1">
        <f t="array" aca="1" ref="F322" ca="1">IFERROR(_xlfn.LET(_xlpm.r,MATCH(TEXT($B322,"0"),TEXT(銘柄管理!$B$6:$B$305,"0"),0),_xlpm.t,MOD(NOW(),1),_xlpm.c,IF($E322=TODAY(),IF(_xlpm.t&gt;=TIME(15,30,0),NA(),1),IF(MATCH($E322,始値!$E$3:$IT$3,0)=1,1,MATCH($E322,始値!$E$3:$IT$3,0)+1)),_xlpm.v,INDEX(始値!$C$6:$IT$305,_xlpm.r,_xlpm.c),IF(N(_xlpm.v)=0,"",_xlpm.v)),"")</f>
        <v/>
      </c>
      <c r="H322" s="440" t="str" cm="1">
        <f t="array" ref="H322">_xll.RssMarket(B322, "現在値")</f>
        <v/>
      </c>
      <c r="I322" s="440" t="str" cm="1">
        <f t="array" ref="I322">_xll.RssMarket(B322, "出来高加重平均")</f>
        <v/>
      </c>
      <c r="J322" s="702" t="str" cm="1">
        <f t="array" ref="J322">_xll.RssMarket($B322, "前日比")</f>
        <v/>
      </c>
      <c r="K322" s="704" t="str">
        <f>IF(OR(F322="",G322="",H322=""),"",IF(C322="売",(F322-H322)*G322,(H322-F322)*G322))</f>
        <v/>
      </c>
      <c r="L322" s="709" t="str">
        <f>IF(OR(F322="",H322=""),"",IF(C322="売",(F322-H322)/F322,(H322-F322)/F322))</f>
        <v/>
      </c>
      <c r="M322" s="599" t="str">
        <f>IF($F322="","",$F322*IF($C322="売",1-V811設定!$B$4,1+V811設定!$B$4)-MOD($F322*IF($C322="売",1-V811設定!$B$4,1+V811設定!$B$4),IF($F322&lt;=3000,1,IF($F322&lt;=5000,5,IF($F322&lt;=30000,10,IF($F322&lt;=50000,50,IF($F322&lt;=300000,100,500))))))+IF(AND($C322="売",MOD($F322*IF($C322="売",1-V811設定!$B$4,1+V811設定!$B$4),IF($F322&lt;=3000,1,IF($F322&lt;=5000,5,IF($F322&lt;=30000,10,IF($F322&lt;=50000,50,IF($F322&lt;=300000,100,500))))))&gt;0),IF($F322&lt;=3000,1,IF($F322&lt;=5000,5,IF($F322&lt;=30000,10,IF($F322&lt;=50000,50,IF($F322&lt;=300000,100,500))))),0))</f>
      </c>
      <c r="N322" s="599" t="str">
        <f>IF($F322="","",$F322*IF($C322="売",1+V811設定!$B$3,1-V811設定!$B$3)-MOD($F322*IF($C322="売",1+V811設定!$B$3,1-V811設定!$B$3),IF($F322&lt;=3000,1,IF($F322&lt;=5000,5,IF($F322&lt;=30000,10,IF($F322&lt;=50000,50,IF($F322&lt;=300000,100,500))))))+IF(AND($C322="売",MOD($F322*IF($C322="売",1+V811設定!$B$3,1-V811設定!$B$3),IF($F322&lt;=3000,1,IF($F322&lt;=5000,5,IF($F322&lt;=30000,10,IF($F322&lt;=50000,50,IF($F322&lt;=300000,100,500))))))&gt;0),IF($F322&lt;=3000,1,IF($F322&lt;=5000,5,IF($F322&lt;=30000,10,IF($F322&lt;=50000,50,IF($F322&lt;=300000,100,500))))),0))</f>
      </c>
      <c r="O322" s="478" t="str">
        <f>IF(OR($B322="",$F322="",$H322=""),"",IF($S322="✅売却済","―決済済―",IF($C322="売",IF($H322&lt;=$M322,"🟢利確",IF(AND($R322&lt;&gt;"",$H322&gt;=$R322),"🟠TRAIL",IF($H322&gt;=$N322,"🔴損切",IF($W322&gt;=V811設定!$B$6,"⏱時間決済",IF($H322&gt;=$F322*(1+V811設定!$B$3*0.7),"⚠️損切接近","保持継続"))))),IF($H322&gt;=$M322,"🟢利確",IF(AND($R322&lt;&gt;"",$H322&lt;=$R322),"🟠TRAIL",IF($H322&lt;=$N322,"🔴損切",IF($W322&gt;=V811設定!$B$6,"⏱時間決済",IF($H322&lt;=$F322*(1-V811設定!$B$3*0.7),"⚠️損切接近","保持継続"))))))))</f>
      </c>
      <c r="P322" s="445"/>
      <c r="Q322" s="445"/>
      <c r="R322" s="440" t="str">
        <f>IF(OR($F322="",$H322="",$N322=""),"",IF($S322="✅売却済","",IF($C322="売",IF($H322&gt;$F322*(1-V811設定!$B$3),$N322,MIN($N322,IF($Q322="",$N322,$Q322*1.03))),IF($H322&lt;$F322*(1+V811設定!$B$3),$N322,MAX($N322,IF($P322="",$N322,$P322*0.97))))))</f>
      </c>
      <c r="S322" s="440" t="str">
        <f>IF(B322="","",IF(T322&lt;&gt;"","✅売却済",IF(OR(H322="",L322=""),"📌保有中",IF(L322&gt;=0.06,"🟢利確推奨",IF(L322&gt;=0.05,"🟡利確直近",IF(L322&gt;=0.045,"🔵トレーリング検討",IF(L322&gt;-0.03,"📌保有中",IF(L322&gt;-0.04,"⚠️損切注意","🔴損切り"))))))))</f>
        <v/>
      </c>
      <c r="T322" s="597"/>
      <c r="U322" s="599"/>
      <c r="V322" s="704" t="str">
        <f>IF(OR(F322="",G322="",U322=""),"",IF(C322="売",(F322-U322)*G322,(U322-F322)*G322))</f>
        <v/>
      </c>
      <c r="W322" s="440" t="str">
        <f>IF(OR($E322="",$B322=""),"",IF($T322&lt;&gt;"",$T322-$E322,TODAY()-$E322)+1)</f>
        <v/>
      </c>
      <c r="X322" s="440" t="str">
        <f>IF(OR($AH322="",$AH322="保有中"),"",$AH322)</f>
        <v/>
      </c>
      <c r="AD322" s="608"/>
      <c r="AE322" s="600" t="str">
        <f>IF($E322="","",WORKDAY($E322,12))</f>
        <v/>
      </c>
      <c r="AF322" s="600" t="str" cm="1">
        <f t="array" aca="1" ref="AF322" ca="1">IF(OR($B322="",$M322=""),"",IFERROR(IF($C322="売",_xlfn.MINIFS(安値!$E$3:$IT$3,安値!$E$3:$IT$3,"&gt;"&amp;$E322,安値!$E$3:$IT$3,"&lt;="&amp;$AE322,OFFSET(安値!$E$6:$IT$6,MATCH(TEXT($B322,"0"),TEXT(銘柄管理!$B$6:$B$305,"0"),0)-1,0),"&lt;="&amp;$M322),_xlfn.MINIFS(高値!$E$3:$IT$3,高値!$E$3:$IT$3,"&gt;"&amp;$E322,高値!$E$3:$IT$3,"&lt;="&amp;$AE322,OFFSET(高値!$E$6:$IT$6,MATCH(TEXT($B322,"0"),TEXT(銘柄管理!$B$6:$B$305,"0"),0)-1,0),"&gt;="&amp;$M322)),""))</f>
        <v/>
      </c>
      <c r="AG322" s="600" t="str" cm="1">
        <f t="array" aca="1" ref="AG322" ca="1">IF(OR($B322="",$N322=""),"",IFERROR(IF($C322="売",_xlfn.MINIFS(高値!$E$3:$IT$3,高値!$E$3:$IT$3,"&gt;"&amp;$E322,高値!$E$3:$IT$3,"&lt;="&amp;$AE322,OFFSET(高値!$E$6:$IT$6,MATCH(TEXT($B322,"0"),TEXT(銘柄管理!$B$6:$B$305,"0"),0)-1,0),"&gt;="&amp;$N322),_xlfn.MINIFS(安値!$E$3:$IT$3,安値!$E$3:$IT$3,"&gt;"&amp;$E322,安値!$E$3:$IT$3,"&lt;="&amp;$AE322,OFFSET(安値!$E$6:$IT$6,MATCH(TEXT($B322,"0"),TEXT(銘柄管理!$B$6:$B$305,"0"),0)-1,0),"&lt;="&amp;$N322)),""))</f>
        <v/>
      </c>
      <c r="AH322" s="600" t="str">
        <f>IF(OR($B322="",$M322=""),"",IF(AND(N($AF322)=0,N($AG322)=0),IF(AND(ISNUMBER($H322),$H322&gt;0,IF($C322="売",$H322&gt;=$N322,$H322&lt;=$N322)),"損切確定",IF(AND(ISNUMBER($H322),$H322&gt;0,IF($C322="売",$H322&lt;=$M322,$H322&gt;=$M322)),"利益確定",IF($AE322&lt;=TODAY(),"日数制限","保有中"))),IF(N($AG322)=0,"利益確定",IF(N($AF322)=0,"損切確定",IF($AG322&lt;=$AF322,"損切確定","利益確定")))))</f>
        <v/>
      </c>
      <c r="AI322" s="600" t="str" cm="1">
        <f t="array" ref="AI322">IFERROR(INDEX(始値!$E$6:$IT$305,MATCH(TEXT($B322,"0"),TEXT(銘柄管理!$B$6:$B$305,"0"),0),MATCH($AE322,始値!$E$3:$IT$3,0)),"")</f>
        <v/>
      </c>
      <c r="AJ322" s="608" t="str">
        <f>IF(OR($V322="",$F322="",$G322=""),"",$V322/($F322*$G322))</f>
        <v/>
      </c>
      <c r="AK322" s="600" t="str">
        <f>IF($V322="","",IF($V322&gt;0,"○勝",IF($V322&lt;0,"●負","△引分")))</f>
        <v/>
      </c>
    </row>
    <row r="323" spans="1:37" ht="17.25" customHeight="1">
      <c r="A323" s="622" t="str">
        <f>IF(B323="","",HYPERLINK("https://kabutan.jp/stock/?code="&amp;B323,"株探"))</f>
        <v/>
      </c>
      <c r="D323" s="440" t="str" cm="1">
        <f t="array" ref="D323">_xll.RssMarket(B323, "銘柄名称")</f>
        <v/>
      </c>
      <c r="E323" s="717"/>
      <c r="F323" s="698" t="str" cm="1">
        <f t="array" aca="1" ref="F323" ca="1">IFERROR(_xlfn.LET(_xlpm.r,MATCH(TEXT($B323,"0"),TEXT(銘柄管理!$B$6:$B$305,"0"),0),_xlpm.t,MOD(NOW(),1),_xlpm.c,IF($E323=TODAY(),IF(_xlpm.t&gt;=TIME(15,30,0),NA(),1),IF(MATCH($E323,始値!$E$3:$IT$3,0)=1,1,MATCH($E323,始値!$E$3:$IT$3,0)+1)),_xlpm.v,INDEX(始値!$C$6:$IT$305,_xlpm.r,_xlpm.c),IF(N(_xlpm.v)=0,"",_xlpm.v)),"")</f>
        <v/>
      </c>
      <c r="H323" s="440" t="str" cm="1">
        <f t="array" ref="H323">_xll.RssMarket(B323, "現在値")</f>
        <v/>
      </c>
      <c r="I323" s="440" t="str" cm="1">
        <f t="array" ref="I323">_xll.RssMarket(B323, "出来高加重平均")</f>
        <v/>
      </c>
      <c r="J323" s="702" t="str" cm="1">
        <f t="array" ref="J323">_xll.RssMarket($B323, "前日比")</f>
        <v/>
      </c>
      <c r="K323" s="704" t="str">
        <f>IF(OR(F323="",G323="",H323=""),"",IF(C323="売",(F323-H323)*G323,(H323-F323)*G323))</f>
        <v/>
      </c>
      <c r="L323" s="709" t="str">
        <f>IF(OR(F323="",H323=""),"",IF(C323="売",(F323-H323)/F323,(H323-F323)/F323))</f>
        <v/>
      </c>
      <c r="M323" s="599" t="str">
        <f>IF($F323="","",$F323*IF($C323="売",1-V811設定!$B$4,1+V811設定!$B$4)-MOD($F323*IF($C323="売",1-V811設定!$B$4,1+V811設定!$B$4),IF($F323&lt;=3000,1,IF($F323&lt;=5000,5,IF($F323&lt;=30000,10,IF($F323&lt;=50000,50,IF($F323&lt;=300000,100,500))))))+IF(AND($C323="売",MOD($F323*IF($C323="売",1-V811設定!$B$4,1+V811設定!$B$4),IF($F323&lt;=3000,1,IF($F323&lt;=5000,5,IF($F323&lt;=30000,10,IF($F323&lt;=50000,50,IF($F323&lt;=300000,100,500))))))&gt;0),IF($F323&lt;=3000,1,IF($F323&lt;=5000,5,IF($F323&lt;=30000,10,IF($F323&lt;=50000,50,IF($F323&lt;=300000,100,500))))),0))</f>
      </c>
      <c r="N323" s="599" t="str">
        <f>IF($F323="","",$F323*IF($C323="売",1+V811設定!$B$3,1-V811設定!$B$3)-MOD($F323*IF($C323="売",1+V811設定!$B$3,1-V811設定!$B$3),IF($F323&lt;=3000,1,IF($F323&lt;=5000,5,IF($F323&lt;=30000,10,IF($F323&lt;=50000,50,IF($F323&lt;=300000,100,500))))))+IF(AND($C323="売",MOD($F323*IF($C323="売",1+V811設定!$B$3,1-V811設定!$B$3),IF($F323&lt;=3000,1,IF($F323&lt;=5000,5,IF($F323&lt;=30000,10,IF($F323&lt;=50000,50,IF($F323&lt;=300000,100,500))))))&gt;0),IF($F323&lt;=3000,1,IF($F323&lt;=5000,5,IF($F323&lt;=30000,10,IF($F323&lt;=50000,50,IF($F323&lt;=300000,100,500))))),0))</f>
      </c>
      <c r="O323" s="478" t="str">
        <f>IF(OR($B323="",$F323="",$H323=""),"",IF($S323="✅売却済","―決済済―",IF($C323="売",IF($H323&lt;=$M323,"🟢利確",IF(AND($R323&lt;&gt;"",$H323&gt;=$R323),"🟠TRAIL",IF($H323&gt;=$N323,"🔴損切",IF($W323&gt;=V811設定!$B$6,"⏱時間決済",IF($H323&gt;=$F323*(1+V811設定!$B$3*0.7),"⚠️損切接近","保持継続"))))),IF($H323&gt;=$M323,"🟢利確",IF(AND($R323&lt;&gt;"",$H323&lt;=$R323),"🟠TRAIL",IF($H323&lt;=$N323,"🔴損切",IF($W323&gt;=V811設定!$B$6,"⏱時間決済",IF($H323&lt;=$F323*(1-V811設定!$B$3*0.7),"⚠️損切接近","保持継続"))))))))</f>
      </c>
      <c r="P323" s="445"/>
      <c r="Q323" s="445"/>
      <c r="R323" s="440" t="str">
        <f>IF(OR($F323="",$H323="",$N323=""),"",IF($S323="✅売却済","",IF($C323="売",IF($H323&gt;$F323*(1-V811設定!$B$3),$N323,MIN($N323,IF($Q323="",$N323,$Q323*1.03))),IF($H323&lt;$F323*(1+V811設定!$B$3),$N323,MAX($N323,IF($P323="",$N323,$P323*0.97))))))</f>
      </c>
      <c r="S323" s="440" t="str">
        <f>IF(B323="","",IF(T323&lt;&gt;"","✅売却済",IF(OR(H323="",L323=""),"📌保有中",IF(L323&gt;=0.06,"🟢利確推奨",IF(L323&gt;=0.05,"🟡利確直近",IF(L323&gt;=0.045,"🔵トレーリング検討",IF(L323&gt;-0.03,"📌保有中",IF(L323&gt;-0.04,"⚠️損切注意","🔴損切り"))))))))</f>
        <v/>
      </c>
      <c r="T323" s="597"/>
      <c r="U323" s="599"/>
      <c r="V323" s="704" t="str">
        <f>IF(OR(F323="",G323="",U323=""),"",IF(C323="売",(F323-U323)*G323,(U323-F323)*G323))</f>
        <v/>
      </c>
      <c r="W323" s="440" t="str">
        <f>IF(OR($E323="",$B323=""),"",IF($T323&lt;&gt;"",$T323-$E323,TODAY()-$E323)+1)</f>
        <v/>
      </c>
      <c r="X323" s="440" t="str">
        <f>IF(OR($AH323="",$AH323="保有中"),"",$AH323)</f>
        <v/>
      </c>
      <c r="AD323" s="608"/>
      <c r="AE323" s="600" t="str">
        <f>IF($E323="","",WORKDAY($E323,12))</f>
        <v/>
      </c>
      <c r="AF323" s="600" t="str" cm="1">
        <f t="array" aca="1" ref="AF323" ca="1">IF(OR($B323="",$M323=""),"",IFERROR(IF($C323="売",_xlfn.MINIFS(安値!$E$3:$IT$3,安値!$E$3:$IT$3,"&gt;"&amp;$E323,安値!$E$3:$IT$3,"&lt;="&amp;$AE323,OFFSET(安値!$E$6:$IT$6,MATCH(TEXT($B323,"0"),TEXT(銘柄管理!$B$6:$B$305,"0"),0)-1,0),"&lt;="&amp;$M323),_xlfn.MINIFS(高値!$E$3:$IT$3,高値!$E$3:$IT$3,"&gt;"&amp;$E323,高値!$E$3:$IT$3,"&lt;="&amp;$AE323,OFFSET(高値!$E$6:$IT$6,MATCH(TEXT($B323,"0"),TEXT(銘柄管理!$B$6:$B$305,"0"),0)-1,0),"&gt;="&amp;$M323)),""))</f>
        <v/>
      </c>
      <c r="AG323" s="600" t="str" cm="1">
        <f t="array" aca="1" ref="AG323" ca="1">IF(OR($B323="",$N323=""),"",IFERROR(IF($C323="売",_xlfn.MINIFS(高値!$E$3:$IT$3,高値!$E$3:$IT$3,"&gt;"&amp;$E323,高値!$E$3:$IT$3,"&lt;="&amp;$AE323,OFFSET(高値!$E$6:$IT$6,MATCH(TEXT($B323,"0"),TEXT(銘柄管理!$B$6:$B$305,"0"),0)-1,0),"&gt;="&amp;$N323),_xlfn.MINIFS(安値!$E$3:$IT$3,安値!$E$3:$IT$3,"&gt;"&amp;$E323,安値!$E$3:$IT$3,"&lt;="&amp;$AE323,OFFSET(安値!$E$6:$IT$6,MATCH(TEXT($B323,"0"),TEXT(銘柄管理!$B$6:$B$305,"0"),0)-1,0),"&lt;="&amp;$N323)),""))</f>
        <v/>
      </c>
      <c r="AH323" s="600" t="str">
        <f>IF(OR($B323="",$M323=""),"",IF(AND(N($AF323)=0,N($AG323)=0),IF(AND(ISNUMBER($H323),$H323&gt;0,IF($C323="売",$H323&gt;=$N323,$H323&lt;=$N323)),"損切確定",IF(AND(ISNUMBER($H323),$H323&gt;0,IF($C323="売",$H323&lt;=$M323,$H323&gt;=$M323)),"利益確定",IF($AE323&lt;=TODAY(),"日数制限","保有中"))),IF(N($AG323)=0,"利益確定",IF(N($AF323)=0,"損切確定",IF($AG323&lt;=$AF323,"損切確定","利益確定")))))</f>
        <v/>
      </c>
      <c r="AI323" s="600" t="str" cm="1">
        <f t="array" ref="AI323">IFERROR(INDEX(始値!$E$6:$IT$305,MATCH(TEXT($B323,"0"),TEXT(銘柄管理!$B$6:$B$305,"0"),0),MATCH($AE323,始値!$E$3:$IT$3,0)),"")</f>
        <v/>
      </c>
      <c r="AJ323" s="608" t="str">
        <f>IF(OR($V323="",$F323="",$G323=""),"",$V323/($F323*$G323))</f>
        <v/>
      </c>
      <c r="AK323" s="600" t="str">
        <f>IF($V323="","",IF($V323&gt;0,"○勝",IF($V323&lt;0,"●負","△引分")))</f>
        <v/>
      </c>
    </row>
    <row r="324" spans="1:37" ht="17.25" customHeight="1">
      <c r="A324" s="622" t="str">
        <f>IF(B324="","",HYPERLINK("https://kabutan.jp/stock/?code="&amp;B324,"株探"))</f>
        <v/>
      </c>
      <c r="D324" s="440" t="str" cm="1">
        <f t="array" ref="D324">_xll.RssMarket(B324, "銘柄名称")</f>
        <v/>
      </c>
      <c r="E324" s="717"/>
      <c r="F324" s="698" t="str" cm="1">
        <f t="array" aca="1" ref="F324" ca="1">IFERROR(_xlfn.LET(_xlpm.r,MATCH(TEXT($B324,"0"),TEXT(銘柄管理!$B$6:$B$305,"0"),0),_xlpm.t,MOD(NOW(),1),_xlpm.c,IF($E324=TODAY(),IF(_xlpm.t&gt;=TIME(15,30,0),NA(),1),IF(MATCH($E324,始値!$E$3:$IT$3,0)=1,1,MATCH($E324,始値!$E$3:$IT$3,0)+1)),_xlpm.v,INDEX(始値!$C$6:$IT$305,_xlpm.r,_xlpm.c),IF(N(_xlpm.v)=0,"",_xlpm.v)),"")</f>
        <v/>
      </c>
      <c r="H324" s="440" t="str" cm="1">
        <f t="array" ref="H324">_xll.RssMarket(B324, "現在値")</f>
        <v/>
      </c>
      <c r="I324" s="440" t="str" cm="1">
        <f t="array" ref="I324">_xll.RssMarket(B324, "出来高加重平均")</f>
        <v/>
      </c>
      <c r="J324" s="702" t="str" cm="1">
        <f t="array" ref="J324">_xll.RssMarket($B324, "前日比")</f>
        <v/>
      </c>
      <c r="K324" s="704" t="str">
        <f>IF(OR(F324="",G324="",H324=""),"",IF(C324="売",(F324-H324)*G324,(H324-F324)*G324))</f>
        <v/>
      </c>
      <c r="L324" s="709" t="str">
        <f>IF(OR(F324="",H324=""),"",IF(C324="売",(F324-H324)/F324,(H324-F324)/F324))</f>
        <v/>
      </c>
      <c r="M324" s="599" t="str">
        <f>IF($F324="","",$F324*IF($C324="売",1-V811設定!$B$4,1+V811設定!$B$4)-MOD($F324*IF($C324="売",1-V811設定!$B$4,1+V811設定!$B$4),IF($F324&lt;=3000,1,IF($F324&lt;=5000,5,IF($F324&lt;=30000,10,IF($F324&lt;=50000,50,IF($F324&lt;=300000,100,500))))))+IF(AND($C324="売",MOD($F324*IF($C324="売",1-V811設定!$B$4,1+V811設定!$B$4),IF($F324&lt;=3000,1,IF($F324&lt;=5000,5,IF($F324&lt;=30000,10,IF($F324&lt;=50000,50,IF($F324&lt;=300000,100,500))))))&gt;0),IF($F324&lt;=3000,1,IF($F324&lt;=5000,5,IF($F324&lt;=30000,10,IF($F324&lt;=50000,50,IF($F324&lt;=300000,100,500))))),0))</f>
      </c>
      <c r="N324" s="599" t="str">
        <f>IF($F324="","",$F324*IF($C324="売",1+V811設定!$B$3,1-V811設定!$B$3)-MOD($F324*IF($C324="売",1+V811設定!$B$3,1-V811設定!$B$3),IF($F324&lt;=3000,1,IF($F324&lt;=5000,5,IF($F324&lt;=30000,10,IF($F324&lt;=50000,50,IF($F324&lt;=300000,100,500))))))+IF(AND($C324="売",MOD($F324*IF($C324="売",1+V811設定!$B$3,1-V811設定!$B$3),IF($F324&lt;=3000,1,IF($F324&lt;=5000,5,IF($F324&lt;=30000,10,IF($F324&lt;=50000,50,IF($F324&lt;=300000,100,500))))))&gt;0),IF($F324&lt;=3000,1,IF($F324&lt;=5000,5,IF($F324&lt;=30000,10,IF($F324&lt;=50000,50,IF($F324&lt;=300000,100,500))))),0))</f>
      </c>
      <c r="O324" s="478" t="str">
        <f>IF(OR($B324="",$F324="",$H324=""),"",IF($S324="✅売却済","―決済済―",IF($C324="売",IF($H324&lt;=$M324,"🟢利確",IF(AND($R324&lt;&gt;"",$H324&gt;=$R324),"🟠TRAIL",IF($H324&gt;=$N324,"🔴損切",IF($W324&gt;=V811設定!$B$6,"⏱時間決済",IF($H324&gt;=$F324*(1+V811設定!$B$3*0.7),"⚠️損切接近","保持継続"))))),IF($H324&gt;=$M324,"🟢利確",IF(AND($R324&lt;&gt;"",$H324&lt;=$R324),"🟠TRAIL",IF($H324&lt;=$N324,"🔴損切",IF($W324&gt;=V811設定!$B$6,"⏱時間決済",IF($H324&lt;=$F324*(1-V811設定!$B$3*0.7),"⚠️損切接近","保持継続"))))))))</f>
      </c>
      <c r="P324" s="445"/>
      <c r="Q324" s="445"/>
      <c r="R324" s="440" t="str">
        <f>IF(OR($F324="",$H324="",$N324=""),"",IF($S324="✅売却済","",IF($C324="売",IF($H324&gt;$F324*(1-V811設定!$B$3),$N324,MIN($N324,IF($Q324="",$N324,$Q324*1.03))),IF($H324&lt;$F324*(1+V811設定!$B$3),$N324,MAX($N324,IF($P324="",$N324,$P324*0.97))))))</f>
      </c>
      <c r="S324" s="440" t="str">
        <f>IF(B324="","",IF(T324&lt;&gt;"","✅売却済",IF(OR(H324="",L324=""),"📌保有中",IF(L324&gt;=0.06,"🟢利確推奨",IF(L324&gt;=0.05,"🟡利確直近",IF(L324&gt;=0.045,"🔵トレーリング検討",IF(L324&gt;-0.03,"📌保有中",IF(L324&gt;-0.04,"⚠️損切注意","🔴損切り"))))))))</f>
        <v/>
      </c>
      <c r="T324" s="597"/>
      <c r="U324" s="599"/>
      <c r="V324" s="704" t="str">
        <f>IF(OR(F324="",G324="",U324=""),"",IF(C324="売",(F324-U324)*G324,(U324-F324)*G324))</f>
        <v/>
      </c>
      <c r="W324" s="440" t="str">
        <f>IF(OR($E324="",$B324=""),"",IF($T324&lt;&gt;"",$T324-$E324,TODAY()-$E324)+1)</f>
        <v/>
      </c>
      <c r="X324" s="440" t="str">
        <f>IF(OR($AH324="",$AH324="保有中"),"",$AH324)</f>
        <v/>
      </c>
      <c r="AD324" s="608"/>
      <c r="AE324" s="600" t="str">
        <f>IF($E324="","",WORKDAY($E324,12))</f>
        <v/>
      </c>
      <c r="AF324" s="600" t="str" cm="1">
        <f t="array" aca="1" ref="AF324" ca="1">IF(OR($B324="",$M324=""),"",IFERROR(IF($C324="売",_xlfn.MINIFS(安値!$E$3:$IT$3,安値!$E$3:$IT$3,"&gt;"&amp;$E324,安値!$E$3:$IT$3,"&lt;="&amp;$AE324,OFFSET(安値!$E$6:$IT$6,MATCH(TEXT($B324,"0"),TEXT(銘柄管理!$B$6:$B$305,"0"),0)-1,0),"&lt;="&amp;$M324),_xlfn.MINIFS(高値!$E$3:$IT$3,高値!$E$3:$IT$3,"&gt;"&amp;$E324,高値!$E$3:$IT$3,"&lt;="&amp;$AE324,OFFSET(高値!$E$6:$IT$6,MATCH(TEXT($B324,"0"),TEXT(銘柄管理!$B$6:$B$305,"0"),0)-1,0),"&gt;="&amp;$M324)),""))</f>
        <v/>
      </c>
      <c r="AG324" s="600" t="str" cm="1">
        <f t="array" aca="1" ref="AG324" ca="1">IF(OR($B324="",$N324=""),"",IFERROR(IF($C324="売",_xlfn.MINIFS(高値!$E$3:$IT$3,高値!$E$3:$IT$3,"&gt;"&amp;$E324,高値!$E$3:$IT$3,"&lt;="&amp;$AE324,OFFSET(高値!$E$6:$IT$6,MATCH(TEXT($B324,"0"),TEXT(銘柄管理!$B$6:$B$305,"0"),0)-1,0),"&gt;="&amp;$N324),_xlfn.MINIFS(安値!$E$3:$IT$3,安値!$E$3:$IT$3,"&gt;"&amp;$E324,安値!$E$3:$IT$3,"&lt;="&amp;$AE324,OFFSET(安値!$E$6:$IT$6,MATCH(TEXT($B324,"0"),TEXT(銘柄管理!$B$6:$B$305,"0"),0)-1,0),"&lt;="&amp;$N324)),""))</f>
        <v/>
      </c>
      <c r="AH324" s="600" t="str">
        <f>IF(OR($B324="",$M324=""),"",IF(AND(N($AF324)=0,N($AG324)=0),IF(AND(ISNUMBER($H324),$H324&gt;0,IF($C324="売",$H324&gt;=$N324,$H324&lt;=$N324)),"損切確定",IF(AND(ISNUMBER($H324),$H324&gt;0,IF($C324="売",$H324&lt;=$M324,$H324&gt;=$M324)),"利益確定",IF($AE324&lt;=TODAY(),"日数制限","保有中"))),IF(N($AG324)=0,"利益確定",IF(N($AF324)=0,"損切確定",IF($AG324&lt;=$AF324,"損切確定","利益確定")))))</f>
        <v/>
      </c>
      <c r="AI324" s="600" t="str" cm="1">
        <f t="array" ref="AI324">IFERROR(INDEX(始値!$E$6:$IT$305,MATCH(TEXT($B324,"0"),TEXT(銘柄管理!$B$6:$B$305,"0"),0),MATCH($AE324,始値!$E$3:$IT$3,0)),"")</f>
        <v/>
      </c>
      <c r="AJ324" s="608" t="str">
        <f>IF(OR($V324="",$F324="",$G324=""),"",$V324/($F324*$G324))</f>
        <v/>
      </c>
      <c r="AK324" s="600" t="str">
        <f>IF($V324="","",IF($V324&gt;0,"○勝",IF($V324&lt;0,"●負","△引分")))</f>
        <v/>
      </c>
    </row>
    <row r="325" spans="1:37" ht="17.25" customHeight="1">
      <c r="A325" s="622" t="str">
        <f>IF(B325="","",HYPERLINK("https://kabutan.jp/stock/?code="&amp;B325,"株探"))</f>
        <v/>
      </c>
      <c r="D325" s="440" t="str" cm="1">
        <f t="array" ref="D325">_xll.RssMarket(B325, "銘柄名称")</f>
        <v/>
      </c>
      <c r="E325" s="717"/>
      <c r="F325" s="698" t="str" cm="1">
        <f t="array" aca="1" ref="F325" ca="1">IFERROR(_xlfn.LET(_xlpm.r,MATCH(TEXT($B325,"0"),TEXT(銘柄管理!$B$6:$B$305,"0"),0),_xlpm.t,MOD(NOW(),1),_xlpm.c,IF($E325=TODAY(),IF(_xlpm.t&gt;=TIME(15,30,0),NA(),1),IF(MATCH($E325,始値!$E$3:$IT$3,0)=1,1,MATCH($E325,始値!$E$3:$IT$3,0)+1)),_xlpm.v,INDEX(始値!$C$6:$IT$305,_xlpm.r,_xlpm.c),IF(N(_xlpm.v)=0,"",_xlpm.v)),"")</f>
        <v/>
      </c>
      <c r="H325" s="440" t="str" cm="1">
        <f t="array" ref="H325">_xll.RssMarket(B325, "現在値")</f>
        <v/>
      </c>
      <c r="I325" s="440" t="str" cm="1">
        <f t="array" ref="I325">_xll.RssMarket(B325, "出来高加重平均")</f>
        <v/>
      </c>
      <c r="J325" s="702" t="str" cm="1">
        <f t="array" ref="J325">_xll.RssMarket($B325, "前日比")</f>
        <v/>
      </c>
      <c r="K325" s="704" t="str">
        <f>IF(OR(F325="",G325="",H325=""),"",IF(C325="売",(F325-H325)*G325,(H325-F325)*G325))</f>
        <v/>
      </c>
      <c r="L325" s="709" t="str">
        <f>IF(OR(F325="",H325=""),"",IF(C325="売",(F325-H325)/F325,(H325-F325)/F325))</f>
        <v/>
      </c>
      <c r="M325" s="599" t="str">
        <f>IF($F325="","",$F325*IF($C325="売",1-V811設定!$B$4,1+V811設定!$B$4)-MOD($F325*IF($C325="売",1-V811設定!$B$4,1+V811設定!$B$4),IF($F325&lt;=3000,1,IF($F325&lt;=5000,5,IF($F325&lt;=30000,10,IF($F325&lt;=50000,50,IF($F325&lt;=300000,100,500))))))+IF(AND($C325="売",MOD($F325*IF($C325="売",1-V811設定!$B$4,1+V811設定!$B$4),IF($F325&lt;=3000,1,IF($F325&lt;=5000,5,IF($F325&lt;=30000,10,IF($F325&lt;=50000,50,IF($F325&lt;=300000,100,500))))))&gt;0),IF($F325&lt;=3000,1,IF($F325&lt;=5000,5,IF($F325&lt;=30000,10,IF($F325&lt;=50000,50,IF($F325&lt;=300000,100,500))))),0))</f>
      </c>
      <c r="N325" s="599" t="str">
        <f>IF($F325="","",$F325*IF($C325="売",1+V811設定!$B$3,1-V811設定!$B$3)-MOD($F325*IF($C325="売",1+V811設定!$B$3,1-V811設定!$B$3),IF($F325&lt;=3000,1,IF($F325&lt;=5000,5,IF($F325&lt;=30000,10,IF($F325&lt;=50000,50,IF($F325&lt;=300000,100,500))))))+IF(AND($C325="売",MOD($F325*IF($C325="売",1+V811設定!$B$3,1-V811設定!$B$3),IF($F325&lt;=3000,1,IF($F325&lt;=5000,5,IF($F325&lt;=30000,10,IF($F325&lt;=50000,50,IF($F325&lt;=300000,100,500))))))&gt;0),IF($F325&lt;=3000,1,IF($F325&lt;=5000,5,IF($F325&lt;=30000,10,IF($F325&lt;=50000,50,IF($F325&lt;=300000,100,500))))),0))</f>
      </c>
      <c r="O325" s="478" t="str">
        <f>IF(OR($B325="",$F325="",$H325=""),"",IF($S325="✅売却済","―決済済―",IF($C325="売",IF($H325&lt;=$M325,"🟢利確",IF(AND($R325&lt;&gt;"",$H325&gt;=$R325),"🟠TRAIL",IF($H325&gt;=$N325,"🔴損切",IF($W325&gt;=V811設定!$B$6,"⏱時間決済",IF($H325&gt;=$F325*(1+V811設定!$B$3*0.7),"⚠️損切接近","保持継続"))))),IF($H325&gt;=$M325,"🟢利確",IF(AND($R325&lt;&gt;"",$H325&lt;=$R325),"🟠TRAIL",IF($H325&lt;=$N325,"🔴損切",IF($W325&gt;=V811設定!$B$6,"⏱時間決済",IF($H325&lt;=$F325*(1-V811設定!$B$3*0.7),"⚠️損切接近","保持継続"))))))))</f>
      </c>
      <c r="P325" s="445"/>
      <c r="Q325" s="445"/>
      <c r="R325" s="440" t="str">
        <f>IF(OR($F325="",$H325="",$N325=""),"",IF($S325="✅売却済","",IF($C325="売",IF($H325&gt;$F325*(1-V811設定!$B$3),$N325,MIN($N325,IF($Q325="",$N325,$Q325*1.03))),IF($H325&lt;$F325*(1+V811設定!$B$3),$N325,MAX($N325,IF($P325="",$N325,$P325*0.97))))))</f>
      </c>
      <c r="S325" s="440" t="str">
        <f>IF(B325="","",IF(T325&lt;&gt;"","✅売却済",IF(OR(H325="",L325=""),"📌保有中",IF(L325&gt;=0.06,"🟢利確推奨",IF(L325&gt;=0.05,"🟡利確直近",IF(L325&gt;=0.045,"🔵トレーリング検討",IF(L325&gt;-0.03,"📌保有中",IF(L325&gt;-0.04,"⚠️損切注意","🔴損切り"))))))))</f>
        <v/>
      </c>
      <c r="T325" s="597"/>
      <c r="U325" s="599"/>
      <c r="V325" s="704" t="str">
        <f>IF(OR(F325="",G325="",U325=""),"",IF(C325="売",(F325-U325)*G325,(U325-F325)*G325))</f>
        <v/>
      </c>
      <c r="W325" s="440" t="str">
        <f>IF(OR($E325="",$B325=""),"",IF($T325&lt;&gt;"",$T325-$E325,TODAY()-$E325)+1)</f>
        <v/>
      </c>
      <c r="X325" s="440" t="str">
        <f>IF(OR($AH325="",$AH325="保有中"),"",$AH325)</f>
        <v/>
      </c>
      <c r="AD325" s="608"/>
      <c r="AE325" s="600" t="str">
        <f>IF($E325="","",WORKDAY($E325,12))</f>
        <v/>
      </c>
      <c r="AF325" s="600" t="str" cm="1">
        <f t="array" aca="1" ref="AF325" ca="1">IF(OR($B325="",$M325=""),"",IFERROR(IF($C325="売",_xlfn.MINIFS(安値!$E$3:$IT$3,安値!$E$3:$IT$3,"&gt;"&amp;$E325,安値!$E$3:$IT$3,"&lt;="&amp;$AE325,OFFSET(安値!$E$6:$IT$6,MATCH(TEXT($B325,"0"),TEXT(銘柄管理!$B$6:$B$305,"0"),0)-1,0),"&lt;="&amp;$M325),_xlfn.MINIFS(高値!$E$3:$IT$3,高値!$E$3:$IT$3,"&gt;"&amp;$E325,高値!$E$3:$IT$3,"&lt;="&amp;$AE325,OFFSET(高値!$E$6:$IT$6,MATCH(TEXT($B325,"0"),TEXT(銘柄管理!$B$6:$B$305,"0"),0)-1,0),"&gt;="&amp;$M325)),""))</f>
        <v/>
      </c>
      <c r="AG325" s="600" t="str" cm="1">
        <f t="array" aca="1" ref="AG325" ca="1">IF(OR($B325="",$N325=""),"",IFERROR(IF($C325="売",_xlfn.MINIFS(高値!$E$3:$IT$3,高値!$E$3:$IT$3,"&gt;"&amp;$E325,高値!$E$3:$IT$3,"&lt;="&amp;$AE325,OFFSET(高値!$E$6:$IT$6,MATCH(TEXT($B325,"0"),TEXT(銘柄管理!$B$6:$B$305,"0"),0)-1,0),"&gt;="&amp;$N325),_xlfn.MINIFS(安値!$E$3:$IT$3,安値!$E$3:$IT$3,"&gt;"&amp;$E325,安値!$E$3:$IT$3,"&lt;="&amp;$AE325,OFFSET(安値!$E$6:$IT$6,MATCH(TEXT($B325,"0"),TEXT(銘柄管理!$B$6:$B$305,"0"),0)-1,0),"&lt;="&amp;$N325)),""))</f>
        <v/>
      </c>
      <c r="AH325" s="600" t="str">
        <f>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00" t="str" cm="1">
        <f t="array" ref="AI325">IFERROR(INDEX(始値!$E$6:$IT$305,MATCH(TEXT($B325,"0"),TEXT(銘柄管理!$B$6:$B$305,"0"),0),MATCH($AE325,始値!$E$3:$IT$3,0)),"")</f>
        <v/>
      </c>
      <c r="AJ325" s="608" t="str">
        <f>IF(OR($V325="",$F325="",$G325=""),"",$V325/($F325*$G325))</f>
        <v/>
      </c>
      <c r="AK325" s="600" t="str">
        <f>IF($V325="","",IF($V325&gt;0,"○勝",IF($V325&lt;0,"●負","△引分")))</f>
        <v/>
      </c>
    </row>
    <row r="326" spans="1:37" ht="17.25" customHeight="1">
      <c r="A326" s="622" t="str">
        <f>IF(B326="","",HYPERLINK("https://kabutan.jp/stock/?code="&amp;B326,"株探"))</f>
        <v/>
      </c>
      <c r="D326" s="440" t="str" cm="1">
        <f t="array" ref="D326">_xll.RssMarket(B326, "銘柄名称")</f>
        <v/>
      </c>
      <c r="E326" s="717"/>
      <c r="F326" s="698" t="str" cm="1">
        <f t="array" aca="1" ref="F326" ca="1">IFERROR(_xlfn.LET(_xlpm.r,MATCH(TEXT($B326,"0"),TEXT(銘柄管理!$B$6:$B$305,"0"),0),_xlpm.t,MOD(NOW(),1),_xlpm.c,IF($E326=TODAY(),IF(_xlpm.t&gt;=TIME(15,30,0),NA(),1),IF(MATCH($E326,始値!$E$3:$IT$3,0)=1,1,MATCH($E326,始値!$E$3:$IT$3,0)+1)),_xlpm.v,INDEX(始値!$C$6:$IT$305,_xlpm.r,_xlpm.c),IF(N(_xlpm.v)=0,"",_xlpm.v)),"")</f>
        <v/>
      </c>
      <c r="H326" s="440" t="str" cm="1">
        <f t="array" ref="H326">_xll.RssMarket(B326, "現在値")</f>
        <v/>
      </c>
      <c r="I326" s="440" t="str" cm="1">
        <f t="array" ref="I326">_xll.RssMarket(B326, "出来高加重平均")</f>
        <v/>
      </c>
      <c r="J326" s="702" t="str" cm="1">
        <f t="array" ref="J326">_xll.RssMarket($B326, "前日比")</f>
        <v/>
      </c>
      <c r="K326" s="704" t="str">
        <f>IF(OR(F326="",G326="",H326=""),"",IF(C326="売",(F326-H326)*G326,(H326-F326)*G326))</f>
        <v/>
      </c>
      <c r="L326" s="709" t="str">
        <f>IF(OR(F326="",H326=""),"",IF(C326="売",(F326-H326)/F326,(H326-F326)/F326))</f>
        <v/>
      </c>
      <c r="M326" s="599" t="str">
        <f>IF($F326="","",$F326*IF($C326="売",1-V811設定!$B$4,1+V811設定!$B$4)-MOD($F326*IF($C326="売",1-V811設定!$B$4,1+V811設定!$B$4),IF($F326&lt;=3000,1,IF($F326&lt;=5000,5,IF($F326&lt;=30000,10,IF($F326&lt;=50000,50,IF($F326&lt;=300000,100,500))))))+IF(AND($C326="売",MOD($F326*IF($C326="売",1-V811設定!$B$4,1+V811設定!$B$4),IF($F326&lt;=3000,1,IF($F326&lt;=5000,5,IF($F326&lt;=30000,10,IF($F326&lt;=50000,50,IF($F326&lt;=300000,100,500))))))&gt;0),IF($F326&lt;=3000,1,IF($F326&lt;=5000,5,IF($F326&lt;=30000,10,IF($F326&lt;=50000,50,IF($F326&lt;=300000,100,500))))),0))</f>
      </c>
      <c r="N326" s="599" t="str">
        <f>IF($F326="","",$F326*IF($C326="売",1+V811設定!$B$3,1-V811設定!$B$3)-MOD($F326*IF($C326="売",1+V811設定!$B$3,1-V811設定!$B$3),IF($F326&lt;=3000,1,IF($F326&lt;=5000,5,IF($F326&lt;=30000,10,IF($F326&lt;=50000,50,IF($F326&lt;=300000,100,500))))))+IF(AND($C326="売",MOD($F326*IF($C326="売",1+V811設定!$B$3,1-V811設定!$B$3),IF($F326&lt;=3000,1,IF($F326&lt;=5000,5,IF($F326&lt;=30000,10,IF($F326&lt;=50000,50,IF($F326&lt;=300000,100,500))))))&gt;0),IF($F326&lt;=3000,1,IF($F326&lt;=5000,5,IF($F326&lt;=30000,10,IF($F326&lt;=50000,50,IF($F326&lt;=300000,100,500))))),0))</f>
      </c>
      <c r="O326" s="478" t="str">
        <f>IF(OR($B326="",$F326="",$H326=""),"",IF($S326="✅売却済","―決済済―",IF($C326="売",IF($H326&lt;=$M326,"🟢利確",IF(AND($R326&lt;&gt;"",$H326&gt;=$R326),"🟠TRAIL",IF($H326&gt;=$N326,"🔴損切",IF($W326&gt;=V811設定!$B$6,"⏱時間決済",IF($H326&gt;=$F326*(1+V811設定!$B$3*0.7),"⚠️損切接近","保持継続"))))),IF($H326&gt;=$M326,"🟢利確",IF(AND($R326&lt;&gt;"",$H326&lt;=$R326),"🟠TRAIL",IF($H326&lt;=$N326,"🔴損切",IF($W326&gt;=V811設定!$B$6,"⏱時間決済",IF($H326&lt;=$F326*(1-V811設定!$B$3*0.7),"⚠️損切接近","保持継続"))))))))</f>
      </c>
      <c r="P326" s="445"/>
      <c r="Q326" s="445"/>
      <c r="R326" s="440" t="str">
        <f>IF(OR($F326="",$H326="",$N326=""),"",IF($S326="✅売却済","",IF($C326="売",IF($H326&gt;$F326*(1-V811設定!$B$3),$N326,MIN($N326,IF($Q326="",$N326,$Q326*1.03))),IF($H326&lt;$F326*(1+V811設定!$B$3),$N326,MAX($N326,IF($P326="",$N326,$P326*0.97))))))</f>
      </c>
      <c r="S326" s="440" t="str">
        <f>IF(B326="","",IF(T326&lt;&gt;"","✅売却済",IF(OR(H326="",L326=""),"📌保有中",IF(L326&gt;=0.06,"🟢利確推奨",IF(L326&gt;=0.05,"🟡利確直近",IF(L326&gt;=0.045,"🔵トレーリング検討",IF(L326&gt;-0.03,"📌保有中",IF(L326&gt;-0.04,"⚠️損切注意","🔴損切り"))))))))</f>
        <v/>
      </c>
      <c r="T326" s="597"/>
      <c r="U326" s="599"/>
      <c r="V326" s="704" t="str">
        <f>IF(OR(F326="",G326="",U326=""),"",IF(C326="売",(F326-U326)*G326,(U326-F326)*G326))</f>
        <v/>
      </c>
      <c r="W326" s="440" t="str">
        <f>IF(OR($E326="",$B326=""),"",IF($T326&lt;&gt;"",$T326-$E326,TODAY()-$E326)+1)</f>
        <v/>
      </c>
      <c r="X326" s="440" t="str">
        <f>IF(OR($AH326="",$AH326="保有中"),"",$AH326)</f>
        <v/>
      </c>
      <c r="AD326" s="608"/>
      <c r="AE326" s="600" t="str">
        <f>IF($E326="","",WORKDAY($E326,12))</f>
        <v/>
      </c>
      <c r="AF326" s="600" t="str" cm="1">
        <f t="array" aca="1" ref="AF326" ca="1">IF(OR($B326="",$M326=""),"",IFERROR(IF($C326="売",_xlfn.MINIFS(安値!$E$3:$IT$3,安値!$E$3:$IT$3,"&gt;"&amp;$E326,安値!$E$3:$IT$3,"&lt;="&amp;$AE326,OFFSET(安値!$E$6:$IT$6,MATCH(TEXT($B326,"0"),TEXT(銘柄管理!$B$6:$B$305,"0"),0)-1,0),"&lt;="&amp;$M326),_xlfn.MINIFS(高値!$E$3:$IT$3,高値!$E$3:$IT$3,"&gt;"&amp;$E326,高値!$E$3:$IT$3,"&lt;="&amp;$AE326,OFFSET(高値!$E$6:$IT$6,MATCH(TEXT($B326,"0"),TEXT(銘柄管理!$B$6:$B$305,"0"),0)-1,0),"&gt;="&amp;$M326)),""))</f>
        <v/>
      </c>
      <c r="AG326" s="600" t="str" cm="1">
        <f t="array" aca="1" ref="AG326" ca="1">IF(OR($B326="",$N326=""),"",IFERROR(IF($C326="売",_xlfn.MINIFS(高値!$E$3:$IT$3,高値!$E$3:$IT$3,"&gt;"&amp;$E326,高値!$E$3:$IT$3,"&lt;="&amp;$AE326,OFFSET(高値!$E$6:$IT$6,MATCH(TEXT($B326,"0"),TEXT(銘柄管理!$B$6:$B$305,"0"),0)-1,0),"&gt;="&amp;$N326),_xlfn.MINIFS(安値!$E$3:$IT$3,安値!$E$3:$IT$3,"&gt;"&amp;$E326,安値!$E$3:$IT$3,"&lt;="&amp;$AE326,OFFSET(安値!$E$6:$IT$6,MATCH(TEXT($B326,"0"),TEXT(銘柄管理!$B$6:$B$305,"0"),0)-1,0),"&lt;="&amp;$N326)),""))</f>
        <v/>
      </c>
      <c r="AH326" s="600" t="str">
        <f>IF(OR($B326="",$M326=""),"",IF(AND(N($AF326)=0,N($AG326)=0),IF(AND(ISNUMBER($H326),$H326&gt;0,IF($C326="売",$H326&gt;=$N326,$H326&lt;=$N326)),"損切確定",IF(AND(ISNUMBER($H326),$H326&gt;0,IF($C326="売",$H326&lt;=$M326,$H326&gt;=$M326)),"利益確定",IF($AE326&lt;=TODAY(),"日数制限","保有中"))),IF(N($AG326)=0,"利益確定",IF(N($AF326)=0,"損切確定",IF($AG326&lt;=$AF326,"損切確定","利益確定")))))</f>
        <v/>
      </c>
      <c r="AI326" s="600" t="str" cm="1">
        <f t="array" ref="AI326">IFERROR(INDEX(始値!$E$6:$IT$305,MATCH(TEXT($B326,"0"),TEXT(銘柄管理!$B$6:$B$305,"0"),0),MATCH($AE326,始値!$E$3:$IT$3,0)),"")</f>
        <v/>
      </c>
      <c r="AJ326" s="608" t="str">
        <f>IF(OR($V326="",$F326="",$G326=""),"",$V326/($F326*$G326))</f>
        <v/>
      </c>
      <c r="AK326" s="600" t="str">
        <f>IF($V326="","",IF($V326&gt;0,"○勝",IF($V326&lt;0,"●負","△引分")))</f>
        <v/>
      </c>
    </row>
    <row r="327" spans="1:37" ht="17.25" customHeight="1">
      <c r="A327" s="622" t="str">
        <f>IF(B327="","",HYPERLINK("https://kabutan.jp/stock/?code="&amp;B327,"株探"))</f>
        <v/>
      </c>
      <c r="D327" s="440" t="str" cm="1">
        <f t="array" ref="D327">_xll.RssMarket(B327, "銘柄名称")</f>
        <v/>
      </c>
      <c r="E327" s="717"/>
      <c r="F327" s="698" t="str" cm="1">
        <f t="array" aca="1" ref="F327" ca="1">IFERROR(_xlfn.LET(_xlpm.r,MATCH(TEXT($B327,"0"),TEXT(銘柄管理!$B$6:$B$305,"0"),0),_xlpm.t,MOD(NOW(),1),_xlpm.c,IF($E327=TODAY(),IF(_xlpm.t&gt;=TIME(15,30,0),NA(),1),IF(MATCH($E327,始値!$E$3:$IT$3,0)=1,1,MATCH($E327,始値!$E$3:$IT$3,0)+1)),_xlpm.v,INDEX(始値!$C$6:$IT$305,_xlpm.r,_xlpm.c),IF(N(_xlpm.v)=0,"",_xlpm.v)),"")</f>
        <v/>
      </c>
      <c r="H327" s="440" t="str" cm="1">
        <f t="array" ref="H327">_xll.RssMarket(B327, "現在値")</f>
        <v/>
      </c>
      <c r="I327" s="440" t="str" cm="1">
        <f t="array" ref="I327">_xll.RssMarket(B327, "出来高加重平均")</f>
        <v/>
      </c>
      <c r="J327" s="702" t="str" cm="1">
        <f t="array" ref="J327">_xll.RssMarket($B327, "前日比")</f>
        <v/>
      </c>
      <c r="K327" s="704" t="str">
        <f>IF(OR(F327="",G327="",H327=""),"",IF(C327="売",(F327-H327)*G327,(H327-F327)*G327))</f>
        <v/>
      </c>
      <c r="L327" s="709" t="str">
        <f>IF(OR(F327="",H327=""),"",IF(C327="売",(F327-H327)/F327,(H327-F327)/F327))</f>
        <v/>
      </c>
      <c r="M327" s="599" t="str">
        <f>IF($F327="","",$F327*IF($C327="売",1-V811設定!$B$4,1+V811設定!$B$4)-MOD($F327*IF($C327="売",1-V811設定!$B$4,1+V811設定!$B$4),IF($F327&lt;=3000,1,IF($F327&lt;=5000,5,IF($F327&lt;=30000,10,IF($F327&lt;=50000,50,IF($F327&lt;=300000,100,500))))))+IF(AND($C327="売",MOD($F327*IF($C327="売",1-V811設定!$B$4,1+V811設定!$B$4),IF($F327&lt;=3000,1,IF($F327&lt;=5000,5,IF($F327&lt;=30000,10,IF($F327&lt;=50000,50,IF($F327&lt;=300000,100,500))))))&gt;0),IF($F327&lt;=3000,1,IF($F327&lt;=5000,5,IF($F327&lt;=30000,10,IF($F327&lt;=50000,50,IF($F327&lt;=300000,100,500))))),0))</f>
      </c>
      <c r="N327" s="599" t="str">
        <f>IF($F327="","",$F327*IF($C327="売",1+V811設定!$B$3,1-V811設定!$B$3)-MOD($F327*IF($C327="売",1+V811設定!$B$3,1-V811設定!$B$3),IF($F327&lt;=3000,1,IF($F327&lt;=5000,5,IF($F327&lt;=30000,10,IF($F327&lt;=50000,50,IF($F327&lt;=300000,100,500))))))+IF(AND($C327="売",MOD($F327*IF($C327="売",1+V811設定!$B$3,1-V811設定!$B$3),IF($F327&lt;=3000,1,IF($F327&lt;=5000,5,IF($F327&lt;=30000,10,IF($F327&lt;=50000,50,IF($F327&lt;=300000,100,500))))))&gt;0),IF($F327&lt;=3000,1,IF($F327&lt;=5000,5,IF($F327&lt;=30000,10,IF($F327&lt;=50000,50,IF($F327&lt;=300000,100,500))))),0))</f>
      </c>
      <c r="O327" s="478" t="str">
        <f>IF(OR($B327="",$F327="",$H327=""),"",IF($S327="✅売却済","―決済済―",IF($C327="売",IF($H327&lt;=$M327,"🟢利確",IF(AND($R327&lt;&gt;"",$H327&gt;=$R327),"🟠TRAIL",IF($H327&gt;=$N327,"🔴損切",IF($W327&gt;=V811設定!$B$6,"⏱時間決済",IF($H327&gt;=$F327*(1+V811設定!$B$3*0.7),"⚠️損切接近","保持継続"))))),IF($H327&gt;=$M327,"🟢利確",IF(AND($R327&lt;&gt;"",$H327&lt;=$R327),"🟠TRAIL",IF($H327&lt;=$N327,"🔴損切",IF($W327&gt;=V811設定!$B$6,"⏱時間決済",IF($H327&lt;=$F327*(1-V811設定!$B$3*0.7),"⚠️損切接近","保持継続"))))))))</f>
      </c>
      <c r="P327" s="445"/>
      <c r="Q327" s="445"/>
      <c r="R327" s="440" t="str">
        <f>IF(OR($F327="",$H327="",$N327=""),"",IF($S327="✅売却済","",IF($C327="売",IF($H327&gt;$F327*(1-V811設定!$B$3),$N327,MIN($N327,IF($Q327="",$N327,$Q327*1.03))),IF($H327&lt;$F327*(1+V811設定!$B$3),$N327,MAX($N327,IF($P327="",$N327,$P327*0.97))))))</f>
      </c>
      <c r="S327" s="440" t="str">
        <f>IF(B327="","",IF(T327&lt;&gt;"","✅売却済",IF(OR(H327="",L327=""),"📌保有中",IF(L327&gt;=0.06,"🟢利確推奨",IF(L327&gt;=0.05,"🟡利確直近",IF(L327&gt;=0.045,"🔵トレーリング検討",IF(L327&gt;-0.03,"📌保有中",IF(L327&gt;-0.04,"⚠️損切注意","🔴損切り"))))))))</f>
        <v/>
      </c>
      <c r="T327" s="597"/>
      <c r="U327" s="599"/>
      <c r="V327" s="704" t="str">
        <f>IF(OR(F327="",G327="",U327=""),"",IF(C327="売",(F327-U327)*G327,(U327-F327)*G327))</f>
        <v/>
      </c>
      <c r="W327" s="440" t="str">
        <f>IF(OR($E327="",$B327=""),"",IF($T327&lt;&gt;"",$T327-$E327,TODAY()-$E327)+1)</f>
        <v/>
      </c>
      <c r="X327" s="440" t="str">
        <f>IF(OR($AH327="",$AH327="保有中"),"",$AH327)</f>
        <v/>
      </c>
      <c r="AD327" s="608"/>
      <c r="AE327" s="600" t="str">
        <f>IF($E327="","",WORKDAY($E327,12))</f>
        <v/>
      </c>
      <c r="AF327" s="600" t="str" cm="1">
        <f t="array" aca="1" ref="AF327" ca="1">IF(OR($B327="",$M327=""),"",IFERROR(IF($C327="売",_xlfn.MINIFS(安値!$E$3:$IT$3,安値!$E$3:$IT$3,"&gt;"&amp;$E327,安値!$E$3:$IT$3,"&lt;="&amp;$AE327,OFFSET(安値!$E$6:$IT$6,MATCH(TEXT($B327,"0"),TEXT(銘柄管理!$B$6:$B$305,"0"),0)-1,0),"&lt;="&amp;$M327),_xlfn.MINIFS(高値!$E$3:$IT$3,高値!$E$3:$IT$3,"&gt;"&amp;$E327,高値!$E$3:$IT$3,"&lt;="&amp;$AE327,OFFSET(高値!$E$6:$IT$6,MATCH(TEXT($B327,"0"),TEXT(銘柄管理!$B$6:$B$305,"0"),0)-1,0),"&gt;="&amp;$M327)),""))</f>
        <v/>
      </c>
      <c r="AG327" s="600" t="str" cm="1">
        <f t="array" aca="1" ref="AG327" ca="1">IF(OR($B327="",$N327=""),"",IFERROR(IF($C327="売",_xlfn.MINIFS(高値!$E$3:$IT$3,高値!$E$3:$IT$3,"&gt;"&amp;$E327,高値!$E$3:$IT$3,"&lt;="&amp;$AE327,OFFSET(高値!$E$6:$IT$6,MATCH(TEXT($B327,"0"),TEXT(銘柄管理!$B$6:$B$305,"0"),0)-1,0),"&gt;="&amp;$N327),_xlfn.MINIFS(安値!$E$3:$IT$3,安値!$E$3:$IT$3,"&gt;"&amp;$E327,安値!$E$3:$IT$3,"&lt;="&amp;$AE327,OFFSET(安値!$E$6:$IT$6,MATCH(TEXT($B327,"0"),TEXT(銘柄管理!$B$6:$B$305,"0"),0)-1,0),"&lt;="&amp;$N327)),""))</f>
        <v/>
      </c>
      <c r="AH327" s="600" t="str">
        <f>IF(OR($B327="",$M327=""),"",IF(AND(N($AF327)=0,N($AG327)=0),IF(AND(ISNUMBER($H327),$H327&gt;0,IF($C327="売",$H327&gt;=$N327,$H327&lt;=$N327)),"損切確定",IF(AND(ISNUMBER($H327),$H327&gt;0,IF($C327="売",$H327&lt;=$M327,$H327&gt;=$M327)),"利益確定",IF($AE327&lt;=TODAY(),"日数制限","保有中"))),IF(N($AG327)=0,"利益確定",IF(N($AF327)=0,"損切確定",IF($AG327&lt;=$AF327,"損切確定","利益確定")))))</f>
        <v/>
      </c>
      <c r="AI327" s="600" t="str" cm="1">
        <f t="array" ref="AI327">IFERROR(INDEX(始値!$E$6:$IT$305,MATCH(TEXT($B327,"0"),TEXT(銘柄管理!$B$6:$B$305,"0"),0),MATCH($AE327,始値!$E$3:$IT$3,0)),"")</f>
        <v/>
      </c>
      <c r="AJ327" s="608" t="str">
        <f>IF(OR($V327="",$F327="",$G327=""),"",$V327/($F327*$G327))</f>
        <v/>
      </c>
      <c r="AK327" s="600" t="str">
        <f>IF($V327="","",IF($V327&gt;0,"○勝",IF($V327&lt;0,"●負","△引分")))</f>
        <v/>
      </c>
    </row>
    <row r="328" spans="1:37" ht="17.25" customHeight="1">
      <c r="A328" s="622" t="str">
        <f>IF(B328="","",HYPERLINK("https://kabutan.jp/stock/?code="&amp;B328,"株探"))</f>
        <v/>
      </c>
      <c r="D328" s="440" t="str" cm="1">
        <f t="array" ref="D328">_xll.RssMarket(B328, "銘柄名称")</f>
        <v/>
      </c>
      <c r="E328" s="717"/>
      <c r="F328" s="698" t="str" cm="1">
        <f t="array" aca="1" ref="F328" ca="1">IFERROR(_xlfn.LET(_xlpm.r,MATCH(TEXT($B328,"0"),TEXT(銘柄管理!$B$6:$B$305,"0"),0),_xlpm.t,MOD(NOW(),1),_xlpm.c,IF($E328=TODAY(),IF(_xlpm.t&gt;=TIME(15,30,0),NA(),1),IF(MATCH($E328,始値!$E$3:$IT$3,0)=1,1,MATCH($E328,始値!$E$3:$IT$3,0)+1)),_xlpm.v,INDEX(始値!$C$6:$IT$305,_xlpm.r,_xlpm.c),IF(N(_xlpm.v)=0,"",_xlpm.v)),"")</f>
        <v/>
      </c>
      <c r="H328" s="440" t="str" cm="1">
        <f t="array" ref="H328">_xll.RssMarket(B328, "現在値")</f>
        <v/>
      </c>
      <c r="I328" s="440" t="str" cm="1">
        <f t="array" ref="I328">_xll.RssMarket(B328, "出来高加重平均")</f>
        <v/>
      </c>
      <c r="J328" s="702" t="str" cm="1">
        <f t="array" ref="J328">_xll.RssMarket($B328, "前日比")</f>
        <v/>
      </c>
      <c r="K328" s="704" t="str">
        <f>IF(OR(F328="",G328="",H328=""),"",IF(C328="売",(F328-H328)*G328,(H328-F328)*G328))</f>
        <v/>
      </c>
      <c r="L328" s="709" t="str">
        <f>IF(OR(F328="",H328=""),"",IF(C328="売",(F328-H328)/F328,(H328-F328)/F328))</f>
        <v/>
      </c>
      <c r="M328" s="599" t="str">
        <f>IF($F328="","",$F328*IF($C328="売",1-V811設定!$B$4,1+V811設定!$B$4)-MOD($F328*IF($C328="売",1-V811設定!$B$4,1+V811設定!$B$4),IF($F328&lt;=3000,1,IF($F328&lt;=5000,5,IF($F328&lt;=30000,10,IF($F328&lt;=50000,50,IF($F328&lt;=300000,100,500))))))+IF(AND($C328="売",MOD($F328*IF($C328="売",1-V811設定!$B$4,1+V811設定!$B$4),IF($F328&lt;=3000,1,IF($F328&lt;=5000,5,IF($F328&lt;=30000,10,IF($F328&lt;=50000,50,IF($F328&lt;=300000,100,500))))))&gt;0),IF($F328&lt;=3000,1,IF($F328&lt;=5000,5,IF($F328&lt;=30000,10,IF($F328&lt;=50000,50,IF($F328&lt;=300000,100,500))))),0))</f>
      </c>
      <c r="N328" s="599" t="str">
        <f>IF($F328="","",$F328*IF($C328="売",1+V811設定!$B$3,1-V811設定!$B$3)-MOD($F328*IF($C328="売",1+V811設定!$B$3,1-V811設定!$B$3),IF($F328&lt;=3000,1,IF($F328&lt;=5000,5,IF($F328&lt;=30000,10,IF($F328&lt;=50000,50,IF($F328&lt;=300000,100,500))))))+IF(AND($C328="売",MOD($F328*IF($C328="売",1+V811設定!$B$3,1-V811設定!$B$3),IF($F328&lt;=3000,1,IF($F328&lt;=5000,5,IF($F328&lt;=30000,10,IF($F328&lt;=50000,50,IF($F328&lt;=300000,100,500))))))&gt;0),IF($F328&lt;=3000,1,IF($F328&lt;=5000,5,IF($F328&lt;=30000,10,IF($F328&lt;=50000,50,IF($F328&lt;=300000,100,500))))),0))</f>
      </c>
      <c r="O328" s="478" t="str">
        <f>IF(OR($B328="",$F328="",$H328=""),"",IF($S328="✅売却済","―決済済―",IF($C328="売",IF($H328&lt;=$M328,"🟢利確",IF(AND($R328&lt;&gt;"",$H328&gt;=$R328),"🟠TRAIL",IF($H328&gt;=$N328,"🔴損切",IF($W328&gt;=V811設定!$B$6,"⏱時間決済",IF($H328&gt;=$F328*(1+V811設定!$B$3*0.7),"⚠️損切接近","保持継続"))))),IF($H328&gt;=$M328,"🟢利確",IF(AND($R328&lt;&gt;"",$H328&lt;=$R328),"🟠TRAIL",IF($H328&lt;=$N328,"🔴損切",IF($W328&gt;=V811設定!$B$6,"⏱時間決済",IF($H328&lt;=$F328*(1-V811設定!$B$3*0.7),"⚠️損切接近","保持継続"))))))))</f>
      </c>
      <c r="P328" s="445"/>
      <c r="Q328" s="445"/>
      <c r="R328" s="440" t="str">
        <f>IF(OR($F328="",$H328="",$N328=""),"",IF($S328="✅売却済","",IF($C328="売",IF($H328&gt;$F328*(1-V811設定!$B$3),$N328,MIN($N328,IF($Q328="",$N328,$Q328*1.03))),IF($H328&lt;$F328*(1+V811設定!$B$3),$N328,MAX($N328,IF($P328="",$N328,$P328*0.97))))))</f>
      </c>
      <c r="S328" s="440" t="str">
        <f>IF(B328="","",IF(T328&lt;&gt;"","✅売却済",IF(OR(H328="",L328=""),"📌保有中",IF(L328&gt;=0.06,"🟢利確推奨",IF(L328&gt;=0.05,"🟡利確直近",IF(L328&gt;=0.045,"🔵トレーリング検討",IF(L328&gt;-0.03,"📌保有中",IF(L328&gt;-0.04,"⚠️損切注意","🔴損切り"))))))))</f>
        <v/>
      </c>
      <c r="T328" s="597"/>
      <c r="U328" s="599"/>
      <c r="V328" s="704" t="str">
        <f>IF(OR(F328="",G328="",U328=""),"",IF(C328="売",(F328-U328)*G328,(U328-F328)*G328))</f>
        <v/>
      </c>
      <c r="W328" s="440" t="str">
        <f>IF(OR($E328="",$B328=""),"",IF($T328&lt;&gt;"",$T328-$E328,TODAY()-$E328)+1)</f>
        <v/>
      </c>
      <c r="X328" s="440" t="str">
        <f>IF(OR($AH328="",$AH328="保有中"),"",$AH328)</f>
        <v/>
      </c>
      <c r="AD328" s="608"/>
      <c r="AE328" s="600" t="str">
        <f>IF($E328="","",WORKDAY($E328,12))</f>
        <v/>
      </c>
      <c r="AF328" s="600" t="str" cm="1">
        <f t="array" aca="1" ref="AF328" ca="1">IF(OR($B328="",$M328=""),"",IFERROR(IF($C328="売",_xlfn.MINIFS(安値!$E$3:$IT$3,安値!$E$3:$IT$3,"&gt;"&amp;$E328,安値!$E$3:$IT$3,"&lt;="&amp;$AE328,OFFSET(安値!$E$6:$IT$6,MATCH(TEXT($B328,"0"),TEXT(銘柄管理!$B$6:$B$305,"0"),0)-1,0),"&lt;="&amp;$M328),_xlfn.MINIFS(高値!$E$3:$IT$3,高値!$E$3:$IT$3,"&gt;"&amp;$E328,高値!$E$3:$IT$3,"&lt;="&amp;$AE328,OFFSET(高値!$E$6:$IT$6,MATCH(TEXT($B328,"0"),TEXT(銘柄管理!$B$6:$B$305,"0"),0)-1,0),"&gt;="&amp;$M328)),""))</f>
        <v/>
      </c>
      <c r="AG328" s="600" t="str" cm="1">
        <f t="array" aca="1" ref="AG328" ca="1">IF(OR($B328="",$N328=""),"",IFERROR(IF($C328="売",_xlfn.MINIFS(高値!$E$3:$IT$3,高値!$E$3:$IT$3,"&gt;"&amp;$E328,高値!$E$3:$IT$3,"&lt;="&amp;$AE328,OFFSET(高値!$E$6:$IT$6,MATCH(TEXT($B328,"0"),TEXT(銘柄管理!$B$6:$B$305,"0"),0)-1,0),"&gt;="&amp;$N328),_xlfn.MINIFS(安値!$E$3:$IT$3,安値!$E$3:$IT$3,"&gt;"&amp;$E328,安値!$E$3:$IT$3,"&lt;="&amp;$AE328,OFFSET(安値!$E$6:$IT$6,MATCH(TEXT($B328,"0"),TEXT(銘柄管理!$B$6:$B$305,"0"),0)-1,0),"&lt;="&amp;$N328)),""))</f>
        <v/>
      </c>
      <c r="AH328" s="600" t="str">
        <f>IF(OR($B328="",$M328=""),"",IF(AND(N($AF328)=0,N($AG328)=0),IF(AND(ISNUMBER($H328),$H328&gt;0,IF($C328="売",$H328&gt;=$N328,$H328&lt;=$N328)),"損切確定",IF(AND(ISNUMBER($H328),$H328&gt;0,IF($C328="売",$H328&lt;=$M328,$H328&gt;=$M328)),"利益確定",IF($AE328&lt;=TODAY(),"日数制限","保有中"))),IF(N($AG328)=0,"利益確定",IF(N($AF328)=0,"損切確定",IF($AG328&lt;=$AF328,"損切確定","利益確定")))))</f>
        <v/>
      </c>
      <c r="AI328" s="600" t="str" cm="1">
        <f t="array" ref="AI328">IFERROR(INDEX(始値!$E$6:$IT$305,MATCH(TEXT($B328,"0"),TEXT(銘柄管理!$B$6:$B$305,"0"),0),MATCH($AE328,始値!$E$3:$IT$3,0)),"")</f>
        <v/>
      </c>
      <c r="AJ328" s="608" t="str">
        <f>IF(OR($V328="",$F328="",$G328=""),"",$V328/($F328*$G328))</f>
        <v/>
      </c>
      <c r="AK328" s="600" t="str">
        <f>IF($V328="","",IF($V328&gt;0,"○勝",IF($V328&lt;0,"●負","△引分")))</f>
        <v/>
      </c>
    </row>
    <row r="329" spans="1:37" ht="17.25" customHeight="1">
      <c r="A329" s="622" t="str">
        <f>IF(B329="","",HYPERLINK("https://kabutan.jp/stock/?code="&amp;B329,"株探"))</f>
        <v/>
      </c>
      <c r="D329" s="440" t="str" cm="1">
        <f t="array" ref="D329">_xll.RssMarket(B329, "銘柄名称")</f>
        <v/>
      </c>
      <c r="E329" s="717"/>
      <c r="F329" s="698" t="str" cm="1">
        <f t="array" aca="1" ref="F329" ca="1">IFERROR(_xlfn.LET(_xlpm.r,MATCH(TEXT($B329,"0"),TEXT(銘柄管理!$B$6:$B$305,"0"),0),_xlpm.t,MOD(NOW(),1),_xlpm.c,IF($E329=TODAY(),IF(_xlpm.t&gt;=TIME(15,30,0),NA(),1),IF(MATCH($E329,始値!$E$3:$IT$3,0)=1,1,MATCH($E329,始値!$E$3:$IT$3,0)+1)),_xlpm.v,INDEX(始値!$C$6:$IT$305,_xlpm.r,_xlpm.c),IF(N(_xlpm.v)=0,"",_xlpm.v)),"")</f>
        <v/>
      </c>
      <c r="H329" s="440" t="str" cm="1">
        <f t="array" ref="H329">_xll.RssMarket(B329, "現在値")</f>
        <v/>
      </c>
      <c r="I329" s="440" t="str" cm="1">
        <f t="array" ref="I329">_xll.RssMarket(B329, "出来高加重平均")</f>
        <v/>
      </c>
      <c r="J329" s="702" t="str" cm="1">
        <f t="array" ref="J329">_xll.RssMarket($B329, "前日比")</f>
        <v/>
      </c>
      <c r="K329" s="704" t="str">
        <f>IF(OR(F329="",G329="",H329=""),"",IF(C329="売",(F329-H329)*G329,(H329-F329)*G329))</f>
        <v/>
      </c>
      <c r="L329" s="709" t="str">
        <f>IF(OR(F329="",H329=""),"",IF(C329="売",(F329-H329)/F329,(H329-F329)/F329))</f>
        <v/>
      </c>
      <c r="M329" s="599" t="str">
        <f>IF($F329="","",$F329*IF($C329="売",1-V811設定!$B$4,1+V811設定!$B$4)-MOD($F329*IF($C329="売",1-V811設定!$B$4,1+V811設定!$B$4),IF($F329&lt;=3000,1,IF($F329&lt;=5000,5,IF($F329&lt;=30000,10,IF($F329&lt;=50000,50,IF($F329&lt;=300000,100,500))))))+IF(AND($C329="売",MOD($F329*IF($C329="売",1-V811設定!$B$4,1+V811設定!$B$4),IF($F329&lt;=3000,1,IF($F329&lt;=5000,5,IF($F329&lt;=30000,10,IF($F329&lt;=50000,50,IF($F329&lt;=300000,100,500))))))&gt;0),IF($F329&lt;=3000,1,IF($F329&lt;=5000,5,IF($F329&lt;=30000,10,IF($F329&lt;=50000,50,IF($F329&lt;=300000,100,500))))),0))</f>
      </c>
      <c r="N329" s="599" t="str">
        <f>IF($F329="","",$F329*IF($C329="売",1+V811設定!$B$3,1-V811設定!$B$3)-MOD($F329*IF($C329="売",1+V811設定!$B$3,1-V811設定!$B$3),IF($F329&lt;=3000,1,IF($F329&lt;=5000,5,IF($F329&lt;=30000,10,IF($F329&lt;=50000,50,IF($F329&lt;=300000,100,500))))))+IF(AND($C329="売",MOD($F329*IF($C329="売",1+V811設定!$B$3,1-V811設定!$B$3),IF($F329&lt;=3000,1,IF($F329&lt;=5000,5,IF($F329&lt;=30000,10,IF($F329&lt;=50000,50,IF($F329&lt;=300000,100,500))))))&gt;0),IF($F329&lt;=3000,1,IF($F329&lt;=5000,5,IF($F329&lt;=30000,10,IF($F329&lt;=50000,50,IF($F329&lt;=300000,100,500))))),0))</f>
      </c>
      <c r="O329" s="478" t="str">
        <f>IF(OR($B329="",$F329="",$H329=""),"",IF($S329="✅売却済","―決済済―",IF($C329="売",IF($H329&lt;=$M329,"🟢利確",IF(AND($R329&lt;&gt;"",$H329&gt;=$R329),"🟠TRAIL",IF($H329&gt;=$N329,"🔴損切",IF($W329&gt;=V811設定!$B$6,"⏱時間決済",IF($H329&gt;=$F329*(1+V811設定!$B$3*0.7),"⚠️損切接近","保持継続"))))),IF($H329&gt;=$M329,"🟢利確",IF(AND($R329&lt;&gt;"",$H329&lt;=$R329),"🟠TRAIL",IF($H329&lt;=$N329,"🔴損切",IF($W329&gt;=V811設定!$B$6,"⏱時間決済",IF($H329&lt;=$F329*(1-V811設定!$B$3*0.7),"⚠️損切接近","保持継続"))))))))</f>
      </c>
      <c r="P329" s="445"/>
      <c r="Q329" s="445"/>
      <c r="R329" s="440" t="str">
        <f>IF(OR($F329="",$H329="",$N329=""),"",IF($S329="✅売却済","",IF($C329="売",IF($H329&gt;$F329*(1-V811設定!$B$3),$N329,MIN($N329,IF($Q329="",$N329,$Q329*1.03))),IF($H329&lt;$F329*(1+V811設定!$B$3),$N329,MAX($N329,IF($P329="",$N329,$P329*0.97))))))</f>
      </c>
      <c r="S329" s="440" t="str">
        <f>IF(B329="","",IF(T329&lt;&gt;"","✅売却済",IF(OR(H329="",L329=""),"📌保有中",IF(L329&gt;=0.06,"🟢利確推奨",IF(L329&gt;=0.05,"🟡利確直近",IF(L329&gt;=0.045,"🔵トレーリング検討",IF(L329&gt;-0.03,"📌保有中",IF(L329&gt;-0.04,"⚠️損切注意","🔴損切り"))))))))</f>
        <v/>
      </c>
      <c r="T329" s="597"/>
      <c r="U329" s="599"/>
      <c r="V329" s="704" t="str">
        <f>IF(OR(F329="",G329="",U329=""),"",IF(C329="売",(F329-U329)*G329,(U329-F329)*G329))</f>
        <v/>
      </c>
      <c r="W329" s="440" t="str">
        <f>IF(OR($E329="",$B329=""),"",IF($T329&lt;&gt;"",$T329-$E329,TODAY()-$E329)+1)</f>
        <v/>
      </c>
      <c r="X329" s="440" t="str">
        <f>IF(OR($AH329="",$AH329="保有中"),"",$AH329)</f>
        <v/>
      </c>
      <c r="AD329" s="608"/>
      <c r="AE329" s="600" t="str">
        <f>IF($E329="","",WORKDAY($E329,12))</f>
        <v/>
      </c>
      <c r="AF329" s="600" t="str" cm="1">
        <f t="array" aca="1" ref="AF329" ca="1">IF(OR($B329="",$M329=""),"",IFERROR(IF($C329="売",_xlfn.MINIFS(安値!$E$3:$IT$3,安値!$E$3:$IT$3,"&gt;"&amp;$E329,安値!$E$3:$IT$3,"&lt;="&amp;$AE329,OFFSET(安値!$E$6:$IT$6,MATCH(TEXT($B329,"0"),TEXT(銘柄管理!$B$6:$B$305,"0"),0)-1,0),"&lt;="&amp;$M329),_xlfn.MINIFS(高値!$E$3:$IT$3,高値!$E$3:$IT$3,"&gt;"&amp;$E329,高値!$E$3:$IT$3,"&lt;="&amp;$AE329,OFFSET(高値!$E$6:$IT$6,MATCH(TEXT($B329,"0"),TEXT(銘柄管理!$B$6:$B$305,"0"),0)-1,0),"&gt;="&amp;$M329)),""))</f>
        <v/>
      </c>
      <c r="AG329" s="600" t="str" cm="1">
        <f t="array" aca="1" ref="AG329" ca="1">IF(OR($B329="",$N329=""),"",IFERROR(IF($C329="売",_xlfn.MINIFS(高値!$E$3:$IT$3,高値!$E$3:$IT$3,"&gt;"&amp;$E329,高値!$E$3:$IT$3,"&lt;="&amp;$AE329,OFFSET(高値!$E$6:$IT$6,MATCH(TEXT($B329,"0"),TEXT(銘柄管理!$B$6:$B$305,"0"),0)-1,0),"&gt;="&amp;$N329),_xlfn.MINIFS(安値!$E$3:$IT$3,安値!$E$3:$IT$3,"&gt;"&amp;$E329,安値!$E$3:$IT$3,"&lt;="&amp;$AE329,OFFSET(安値!$E$6:$IT$6,MATCH(TEXT($B329,"0"),TEXT(銘柄管理!$B$6:$B$305,"0"),0)-1,0),"&lt;="&amp;$N329)),""))</f>
        <v/>
      </c>
      <c r="AH329" s="600" t="str">
        <f>IF(OR($B329="",$M329=""),"",IF(AND(N($AF329)=0,N($AG329)=0),IF(AND(ISNUMBER($H329),$H329&gt;0,IF($C329="売",$H329&gt;=$N329,$H329&lt;=$N329)),"損切確定",IF(AND(ISNUMBER($H329),$H329&gt;0,IF($C329="売",$H329&lt;=$M329,$H329&gt;=$M329)),"利益確定",IF($AE329&lt;=TODAY(),"日数制限","保有中"))),IF(N($AG329)=0,"利益確定",IF(N($AF329)=0,"損切確定",IF($AG329&lt;=$AF329,"損切確定","利益確定")))))</f>
        <v/>
      </c>
      <c r="AI329" s="600" t="str" cm="1">
        <f t="array" ref="AI329">IFERROR(INDEX(始値!$E$6:$IT$305,MATCH(TEXT($B329,"0"),TEXT(銘柄管理!$B$6:$B$305,"0"),0),MATCH($AE329,始値!$E$3:$IT$3,0)),"")</f>
        <v/>
      </c>
      <c r="AJ329" s="608" t="str">
        <f>IF(OR($V329="",$F329="",$G329=""),"",$V329/($F329*$G329))</f>
        <v/>
      </c>
      <c r="AK329" s="600" t="str">
        <f>IF($V329="","",IF($V329&gt;0,"○勝",IF($V329&lt;0,"●負","△引分")))</f>
        <v/>
      </c>
    </row>
    <row r="330" spans="1:37" ht="17.25" customHeight="1">
      <c r="A330" s="622" t="str">
        <f>IF(B330="","",HYPERLINK("https://kabutan.jp/stock/?code="&amp;B330,"株探"))</f>
        <v/>
      </c>
      <c r="D330" s="440" t="str" cm="1">
        <f t="array" ref="D330">_xll.RssMarket(B330, "銘柄名称")</f>
        <v/>
      </c>
      <c r="E330" s="717"/>
      <c r="F330" s="698" t="str" cm="1">
        <f t="array" aca="1" ref="F330" ca="1">IFERROR(_xlfn.LET(_xlpm.r,MATCH(TEXT($B330,"0"),TEXT(銘柄管理!$B$6:$B$305,"0"),0),_xlpm.t,MOD(NOW(),1),_xlpm.c,IF($E330=TODAY(),IF(_xlpm.t&gt;=TIME(15,30,0),NA(),1),IF(MATCH($E330,始値!$E$3:$IT$3,0)=1,1,MATCH($E330,始値!$E$3:$IT$3,0)+1)),_xlpm.v,INDEX(始値!$C$6:$IT$305,_xlpm.r,_xlpm.c),IF(N(_xlpm.v)=0,"",_xlpm.v)),"")</f>
        <v/>
      </c>
      <c r="H330" s="440" t="str" cm="1">
        <f t="array" ref="H330">_xll.RssMarket(B330, "現在値")</f>
        <v/>
      </c>
      <c r="I330" s="440" t="str" cm="1">
        <f t="array" ref="I330">_xll.RssMarket(B330, "出来高加重平均")</f>
        <v/>
      </c>
      <c r="J330" s="702" t="str" cm="1">
        <f t="array" ref="J330">_xll.RssMarket($B330, "前日比")</f>
        <v/>
      </c>
      <c r="K330" s="704" t="str">
        <f>IF(OR(F330="",G330="",H330=""),"",IF(C330="売",(F330-H330)*G330,(H330-F330)*G330))</f>
        <v/>
      </c>
      <c r="L330" s="709" t="str">
        <f>IF(OR(F330="",H330=""),"",IF(C330="売",(F330-H330)/F330,(H330-F330)/F330))</f>
        <v/>
      </c>
      <c r="M330" s="599" t="str">
        <f>IF($F330="","",$F330*IF($C330="売",1-V811設定!$B$4,1+V811設定!$B$4)-MOD($F330*IF($C330="売",1-V811設定!$B$4,1+V811設定!$B$4),IF($F330&lt;=3000,1,IF($F330&lt;=5000,5,IF($F330&lt;=30000,10,IF($F330&lt;=50000,50,IF($F330&lt;=300000,100,500))))))+IF(AND($C330="売",MOD($F330*IF($C330="売",1-V811設定!$B$4,1+V811設定!$B$4),IF($F330&lt;=3000,1,IF($F330&lt;=5000,5,IF($F330&lt;=30000,10,IF($F330&lt;=50000,50,IF($F330&lt;=300000,100,500))))))&gt;0),IF($F330&lt;=3000,1,IF($F330&lt;=5000,5,IF($F330&lt;=30000,10,IF($F330&lt;=50000,50,IF($F330&lt;=300000,100,500))))),0))</f>
      </c>
      <c r="N330" s="599" t="str">
        <f>IF($F330="","",$F330*IF($C330="売",1+V811設定!$B$3,1-V811設定!$B$3)-MOD($F330*IF($C330="売",1+V811設定!$B$3,1-V811設定!$B$3),IF($F330&lt;=3000,1,IF($F330&lt;=5000,5,IF($F330&lt;=30000,10,IF($F330&lt;=50000,50,IF($F330&lt;=300000,100,500))))))+IF(AND($C330="売",MOD($F330*IF($C330="売",1+V811設定!$B$3,1-V811設定!$B$3),IF($F330&lt;=3000,1,IF($F330&lt;=5000,5,IF($F330&lt;=30000,10,IF($F330&lt;=50000,50,IF($F330&lt;=300000,100,500))))))&gt;0),IF($F330&lt;=3000,1,IF($F330&lt;=5000,5,IF($F330&lt;=30000,10,IF($F330&lt;=50000,50,IF($F330&lt;=300000,100,500))))),0))</f>
      </c>
      <c r="O330" s="478" t="str">
        <f>IF(OR($B330="",$F330="",$H330=""),"",IF($S330="✅売却済","―決済済―",IF($C330="売",IF($H330&lt;=$M330,"🟢利確",IF(AND($R330&lt;&gt;"",$H330&gt;=$R330),"🟠TRAIL",IF($H330&gt;=$N330,"🔴損切",IF($W330&gt;=V811設定!$B$6,"⏱時間決済",IF($H330&gt;=$F330*(1+V811設定!$B$3*0.7),"⚠️損切接近","保持継続"))))),IF($H330&gt;=$M330,"🟢利確",IF(AND($R330&lt;&gt;"",$H330&lt;=$R330),"🟠TRAIL",IF($H330&lt;=$N330,"🔴損切",IF($W330&gt;=V811設定!$B$6,"⏱時間決済",IF($H330&lt;=$F330*(1-V811設定!$B$3*0.7),"⚠️損切接近","保持継続"))))))))</f>
      </c>
      <c r="P330" s="445"/>
      <c r="Q330" s="445"/>
      <c r="R330" s="440" t="str">
        <f>IF(OR($F330="",$H330="",$N330=""),"",IF($S330="✅売却済","",IF($C330="売",IF($H330&gt;$F330*(1-V811設定!$B$3),$N330,MIN($N330,IF($Q330="",$N330,$Q330*1.03))),IF($H330&lt;$F330*(1+V811設定!$B$3),$N330,MAX($N330,IF($P330="",$N330,$P330*0.97))))))</f>
      </c>
      <c r="S330" s="440" t="str">
        <f>IF(B330="","",IF(T330&lt;&gt;"","✅売却済",IF(OR(H330="",L330=""),"📌保有中",IF(L330&gt;=0.06,"🟢利確推奨",IF(L330&gt;=0.05,"🟡利確直近",IF(L330&gt;=0.045,"🔵トレーリング検討",IF(L330&gt;-0.03,"📌保有中",IF(L330&gt;-0.04,"⚠️損切注意","🔴損切り"))))))))</f>
        <v/>
      </c>
      <c r="T330" s="597"/>
      <c r="U330" s="599"/>
      <c r="V330" s="704" t="str">
        <f>IF(OR(F330="",G330="",U330=""),"",IF(C330="売",(F330-U330)*G330,(U330-F330)*G330))</f>
        <v/>
      </c>
      <c r="W330" s="440" t="str">
        <f>IF(OR($E330="",$B330=""),"",IF($T330&lt;&gt;"",$T330-$E330,TODAY()-$E330)+1)</f>
        <v/>
      </c>
      <c r="X330" s="440" t="str">
        <f>IF(OR($AH330="",$AH330="保有中"),"",$AH330)</f>
        <v/>
      </c>
      <c r="AD330" s="608"/>
      <c r="AE330" s="600" t="str">
        <f>IF($E330="","",WORKDAY($E330,12))</f>
        <v/>
      </c>
      <c r="AF330" s="600" t="str" cm="1">
        <f t="array" aca="1" ref="AF330" ca="1">IF(OR($B330="",$M330=""),"",IFERROR(IF($C330="売",_xlfn.MINIFS(安値!$E$3:$IT$3,安値!$E$3:$IT$3,"&gt;"&amp;$E330,安値!$E$3:$IT$3,"&lt;="&amp;$AE330,OFFSET(安値!$E$6:$IT$6,MATCH(TEXT($B330,"0"),TEXT(銘柄管理!$B$6:$B$305,"0"),0)-1,0),"&lt;="&amp;$M330),_xlfn.MINIFS(高値!$E$3:$IT$3,高値!$E$3:$IT$3,"&gt;"&amp;$E330,高値!$E$3:$IT$3,"&lt;="&amp;$AE330,OFFSET(高値!$E$6:$IT$6,MATCH(TEXT($B330,"0"),TEXT(銘柄管理!$B$6:$B$305,"0"),0)-1,0),"&gt;="&amp;$M330)),""))</f>
        <v/>
      </c>
      <c r="AG330" s="600" t="str" cm="1">
        <f t="array" aca="1" ref="AG330" ca="1">IF(OR($B330="",$N330=""),"",IFERROR(IF($C330="売",_xlfn.MINIFS(高値!$E$3:$IT$3,高値!$E$3:$IT$3,"&gt;"&amp;$E330,高値!$E$3:$IT$3,"&lt;="&amp;$AE330,OFFSET(高値!$E$6:$IT$6,MATCH(TEXT($B330,"0"),TEXT(銘柄管理!$B$6:$B$305,"0"),0)-1,0),"&gt;="&amp;$N330),_xlfn.MINIFS(安値!$E$3:$IT$3,安値!$E$3:$IT$3,"&gt;"&amp;$E330,安値!$E$3:$IT$3,"&lt;="&amp;$AE330,OFFSET(安値!$E$6:$IT$6,MATCH(TEXT($B330,"0"),TEXT(銘柄管理!$B$6:$B$305,"0"),0)-1,0),"&lt;="&amp;$N330)),""))</f>
        <v/>
      </c>
      <c r="AH330" s="600" t="str">
        <f>IF(OR($B330="",$M330=""),"",IF(AND(N($AF330)=0,N($AG330)=0),IF(AND(ISNUMBER($H330),$H330&gt;0,IF($C330="売",$H330&gt;=$N330,$H330&lt;=$N330)),"損切確定",IF(AND(ISNUMBER($H330),$H330&gt;0,IF($C330="売",$H330&lt;=$M330,$H330&gt;=$M330)),"利益確定",IF($AE330&lt;=TODAY(),"日数制限","保有中"))),IF(N($AG330)=0,"利益確定",IF(N($AF330)=0,"損切確定",IF($AG330&lt;=$AF330,"損切確定","利益確定")))))</f>
        <v/>
      </c>
      <c r="AI330" s="600" t="str" cm="1">
        <f t="array" ref="AI330">IFERROR(INDEX(始値!$E$6:$IT$305,MATCH(TEXT($B330,"0"),TEXT(銘柄管理!$B$6:$B$305,"0"),0),MATCH($AE330,始値!$E$3:$IT$3,0)),"")</f>
        <v/>
      </c>
      <c r="AJ330" s="608" t="str">
        <f>IF(OR($V330="",$F330="",$G330=""),"",$V330/($F330*$G330))</f>
        <v/>
      </c>
      <c r="AK330" s="600" t="str">
        <f>IF($V330="","",IF($V330&gt;0,"○勝",IF($V330&lt;0,"●負","△引分")))</f>
        <v/>
      </c>
    </row>
    <row r="331" spans="1:37" ht="17.25" customHeight="1">
      <c r="A331" s="622" t="str">
        <f>IF(B331="","",HYPERLINK("https://kabutan.jp/stock/?code="&amp;B331,"株探"))</f>
        <v/>
      </c>
      <c r="D331" s="440" t="str" cm="1">
        <f t="array" ref="D331">_xll.RssMarket(B331, "銘柄名称")</f>
        <v/>
      </c>
      <c r="E331" s="717"/>
      <c r="F331" s="698" t="str" cm="1">
        <f t="array" aca="1" ref="F331" ca="1">IFERROR(_xlfn.LET(_xlpm.r,MATCH(TEXT($B331,"0"),TEXT(銘柄管理!$B$6:$B$305,"0"),0),_xlpm.t,MOD(NOW(),1),_xlpm.c,IF($E331=TODAY(),IF(_xlpm.t&gt;=TIME(15,30,0),NA(),1),IF(MATCH($E331,始値!$E$3:$IT$3,0)=1,1,MATCH($E331,始値!$E$3:$IT$3,0)+1)),_xlpm.v,INDEX(始値!$C$6:$IT$305,_xlpm.r,_xlpm.c),IF(N(_xlpm.v)=0,"",_xlpm.v)),"")</f>
        <v/>
      </c>
      <c r="H331" s="440" t="str" cm="1">
        <f t="array" ref="H331">_xll.RssMarket(B331, "現在値")</f>
        <v/>
      </c>
      <c r="I331" s="440" t="str" cm="1">
        <f t="array" ref="I331">_xll.RssMarket(B331, "出来高加重平均")</f>
        <v/>
      </c>
      <c r="J331" s="702" t="str" cm="1">
        <f t="array" ref="J331">_xll.RssMarket($B331, "前日比")</f>
        <v/>
      </c>
      <c r="K331" s="704" t="str">
        <f>IF(OR(F331="",G331="",H331=""),"",IF(C331="売",(F331-H331)*G331,(H331-F331)*G331))</f>
        <v/>
      </c>
      <c r="L331" s="709" t="str">
        <f>IF(OR(F331="",H331=""),"",IF(C331="売",(F331-H331)/F331,(H331-F331)/F331))</f>
        <v/>
      </c>
      <c r="M331" s="599" t="str">
        <f>IF($F331="","",$F331*IF($C331="売",1-V811設定!$B$4,1+V811設定!$B$4)-MOD($F331*IF($C331="売",1-V811設定!$B$4,1+V811設定!$B$4),IF($F331&lt;=3000,1,IF($F331&lt;=5000,5,IF($F331&lt;=30000,10,IF($F331&lt;=50000,50,IF($F331&lt;=300000,100,500))))))+IF(AND($C331="売",MOD($F331*IF($C331="売",1-V811設定!$B$4,1+V811設定!$B$4),IF($F331&lt;=3000,1,IF($F331&lt;=5000,5,IF($F331&lt;=30000,10,IF($F331&lt;=50000,50,IF($F331&lt;=300000,100,500))))))&gt;0),IF($F331&lt;=3000,1,IF($F331&lt;=5000,5,IF($F331&lt;=30000,10,IF($F331&lt;=50000,50,IF($F331&lt;=300000,100,500))))),0))</f>
      </c>
      <c r="N331" s="599" t="str">
        <f>IF($F331="","",$F331*IF($C331="売",1+V811設定!$B$3,1-V811設定!$B$3)-MOD($F331*IF($C331="売",1+V811設定!$B$3,1-V811設定!$B$3),IF($F331&lt;=3000,1,IF($F331&lt;=5000,5,IF($F331&lt;=30000,10,IF($F331&lt;=50000,50,IF($F331&lt;=300000,100,500))))))+IF(AND($C331="売",MOD($F331*IF($C331="売",1+V811設定!$B$3,1-V811設定!$B$3),IF($F331&lt;=3000,1,IF($F331&lt;=5000,5,IF($F331&lt;=30000,10,IF($F331&lt;=50000,50,IF($F331&lt;=300000,100,500))))))&gt;0),IF($F331&lt;=3000,1,IF($F331&lt;=5000,5,IF($F331&lt;=30000,10,IF($F331&lt;=50000,50,IF($F331&lt;=300000,100,500))))),0))</f>
      </c>
      <c r="O331" s="478" t="str">
        <f>IF(OR($B331="",$F331="",$H331=""),"",IF($S331="✅売却済","―決済済―",IF($C331="売",IF($H331&lt;=$M331,"🟢利確",IF(AND($R331&lt;&gt;"",$H331&gt;=$R331),"🟠TRAIL",IF($H331&gt;=$N331,"🔴損切",IF($W331&gt;=V811設定!$B$6,"⏱時間決済",IF($H331&gt;=$F331*(1+V811設定!$B$3*0.7),"⚠️損切接近","保持継続"))))),IF($H331&gt;=$M331,"🟢利確",IF(AND($R331&lt;&gt;"",$H331&lt;=$R331),"🟠TRAIL",IF($H331&lt;=$N331,"🔴損切",IF($W331&gt;=V811設定!$B$6,"⏱時間決済",IF($H331&lt;=$F331*(1-V811設定!$B$3*0.7),"⚠️損切接近","保持継続"))))))))</f>
      </c>
      <c r="P331" s="445"/>
      <c r="Q331" s="445"/>
      <c r="R331" s="440" t="str">
        <f>IF(OR($F331="",$H331="",$N331=""),"",IF($S331="✅売却済","",IF($C331="売",IF($H331&gt;$F331*(1-V811設定!$B$3),$N331,MIN($N331,IF($Q331="",$N331,$Q331*1.03))),IF($H331&lt;$F331*(1+V811設定!$B$3),$N331,MAX($N331,IF($P331="",$N331,$P331*0.97))))))</f>
      </c>
      <c r="S331" s="440" t="str">
        <f>IF(B331="","",IF(T331&lt;&gt;"","✅売却済",IF(OR(H331="",L331=""),"📌保有中",IF(L331&gt;=0.06,"🟢利確推奨",IF(L331&gt;=0.05,"🟡利確直近",IF(L331&gt;=0.045,"🔵トレーリング検討",IF(L331&gt;-0.03,"📌保有中",IF(L331&gt;-0.04,"⚠️損切注意","🔴損切り"))))))))</f>
        <v/>
      </c>
      <c r="T331" s="597"/>
      <c r="U331" s="599"/>
      <c r="V331" s="704" t="str">
        <f>IF(OR(F331="",G331="",U331=""),"",IF(C331="売",(F331-U331)*G331,(U331-F331)*G331))</f>
        <v/>
      </c>
      <c r="W331" s="440" t="str">
        <f>IF(OR($E331="",$B331=""),"",IF($T331&lt;&gt;"",$T331-$E331,TODAY()-$E331)+1)</f>
        <v/>
      </c>
      <c r="X331" s="440" t="str">
        <f>IF(OR($AH331="",$AH331="保有中"),"",$AH331)</f>
        <v/>
      </c>
      <c r="AD331" s="608"/>
      <c r="AE331" s="600" t="str">
        <f>IF($E331="","",WORKDAY($E331,12))</f>
        <v/>
      </c>
      <c r="AF331" s="600" t="str" cm="1">
        <f t="array" aca="1" ref="AF331" ca="1">IF(OR($B331="",$M331=""),"",IFERROR(IF($C331="売",_xlfn.MINIFS(安値!$E$3:$IT$3,安値!$E$3:$IT$3,"&gt;"&amp;$E331,安値!$E$3:$IT$3,"&lt;="&amp;$AE331,OFFSET(安値!$E$6:$IT$6,MATCH(TEXT($B331,"0"),TEXT(銘柄管理!$B$6:$B$305,"0"),0)-1,0),"&lt;="&amp;$M331),_xlfn.MINIFS(高値!$E$3:$IT$3,高値!$E$3:$IT$3,"&gt;"&amp;$E331,高値!$E$3:$IT$3,"&lt;="&amp;$AE331,OFFSET(高値!$E$6:$IT$6,MATCH(TEXT($B331,"0"),TEXT(銘柄管理!$B$6:$B$305,"0"),0)-1,0),"&gt;="&amp;$M331)),""))</f>
        <v/>
      </c>
      <c r="AG331" s="600" t="str" cm="1">
        <f t="array" aca="1" ref="AG331" ca="1">IF(OR($B331="",$N331=""),"",IFERROR(IF($C331="売",_xlfn.MINIFS(高値!$E$3:$IT$3,高値!$E$3:$IT$3,"&gt;"&amp;$E331,高値!$E$3:$IT$3,"&lt;="&amp;$AE331,OFFSET(高値!$E$6:$IT$6,MATCH(TEXT($B331,"0"),TEXT(銘柄管理!$B$6:$B$305,"0"),0)-1,0),"&gt;="&amp;$N331),_xlfn.MINIFS(安値!$E$3:$IT$3,安値!$E$3:$IT$3,"&gt;"&amp;$E331,安値!$E$3:$IT$3,"&lt;="&amp;$AE331,OFFSET(安値!$E$6:$IT$6,MATCH(TEXT($B331,"0"),TEXT(銘柄管理!$B$6:$B$305,"0"),0)-1,0),"&lt;="&amp;$N331)),""))</f>
        <v/>
      </c>
      <c r="AH331" s="600" t="str">
        <f>IF(OR($B331="",$M331=""),"",IF(AND(N($AF331)=0,N($AG331)=0),IF(AND(ISNUMBER($H331),$H331&gt;0,IF($C331="売",$H331&gt;=$N331,$H331&lt;=$N331)),"損切確定",IF(AND(ISNUMBER($H331),$H331&gt;0,IF($C331="売",$H331&lt;=$M331,$H331&gt;=$M331)),"利益確定",IF($AE331&lt;=TODAY(),"日数制限","保有中"))),IF(N($AG331)=0,"利益確定",IF(N($AF331)=0,"損切確定",IF($AG331&lt;=$AF331,"損切確定","利益確定")))))</f>
        <v/>
      </c>
      <c r="AI331" s="600" t="str" cm="1">
        <f t="array" ref="AI331">IFERROR(INDEX(始値!$E$6:$IT$305,MATCH(TEXT($B331,"0"),TEXT(銘柄管理!$B$6:$B$305,"0"),0),MATCH($AE331,始値!$E$3:$IT$3,0)),"")</f>
        <v/>
      </c>
      <c r="AJ331" s="608" t="str">
        <f>IF(OR($V331="",$F331="",$G331=""),"",$V331/($F331*$G331))</f>
        <v/>
      </c>
      <c r="AK331" s="600" t="str">
        <f>IF($V331="","",IF($V331&gt;0,"○勝",IF($V331&lt;0,"●負","△引分")))</f>
        <v/>
      </c>
    </row>
    <row r="332" spans="1:37" ht="17.25" customHeight="1">
      <c r="A332" s="622" t="str">
        <f>IF(B332="","",HYPERLINK("https://kabutan.jp/stock/?code="&amp;B332,"株探"))</f>
        <v/>
      </c>
      <c r="D332" s="440" t="str" cm="1">
        <f t="array" ref="D332">_xll.RssMarket(B332, "銘柄名称")</f>
        <v/>
      </c>
      <c r="E332" s="717"/>
      <c r="F332" s="698" t="str" cm="1">
        <f t="array" aca="1" ref="F332" ca="1">IFERROR(_xlfn.LET(_xlpm.r,MATCH(TEXT($B332,"0"),TEXT(銘柄管理!$B$6:$B$305,"0"),0),_xlpm.t,MOD(NOW(),1),_xlpm.c,IF($E332=TODAY(),IF(_xlpm.t&gt;=TIME(15,30,0),NA(),1),IF(MATCH($E332,始値!$E$3:$IT$3,0)=1,1,MATCH($E332,始値!$E$3:$IT$3,0)+1)),_xlpm.v,INDEX(始値!$C$6:$IT$305,_xlpm.r,_xlpm.c),IF(N(_xlpm.v)=0,"",_xlpm.v)),"")</f>
        <v/>
      </c>
      <c r="H332" s="440" t="str" cm="1">
        <f t="array" ref="H332">_xll.RssMarket(B332, "現在値")</f>
        <v/>
      </c>
      <c r="I332" s="440" t="str" cm="1">
        <f t="array" ref="I332">_xll.RssMarket(B332, "出来高加重平均")</f>
        <v/>
      </c>
      <c r="J332" s="702" t="str" cm="1">
        <f t="array" ref="J332">_xll.RssMarket($B332, "前日比")</f>
        <v/>
      </c>
      <c r="K332" s="704" t="str">
        <f>IF(OR(F332="",G332="",H332=""),"",IF(C332="売",(F332-H332)*G332,(H332-F332)*G332))</f>
        <v/>
      </c>
      <c r="L332" s="709" t="str">
        <f>IF(OR(F332="",H332=""),"",IF(C332="売",(F332-H332)/F332,(H332-F332)/F332))</f>
        <v/>
      </c>
      <c r="M332" s="599" t="str">
        <f>IF($F332="","",$F332*IF($C332="売",1-V811設定!$B$4,1+V811設定!$B$4)-MOD($F332*IF($C332="売",1-V811設定!$B$4,1+V811設定!$B$4),IF($F332&lt;=3000,1,IF($F332&lt;=5000,5,IF($F332&lt;=30000,10,IF($F332&lt;=50000,50,IF($F332&lt;=300000,100,500))))))+IF(AND($C332="売",MOD($F332*IF($C332="売",1-V811設定!$B$4,1+V811設定!$B$4),IF($F332&lt;=3000,1,IF($F332&lt;=5000,5,IF($F332&lt;=30000,10,IF($F332&lt;=50000,50,IF($F332&lt;=300000,100,500))))))&gt;0),IF($F332&lt;=3000,1,IF($F332&lt;=5000,5,IF($F332&lt;=30000,10,IF($F332&lt;=50000,50,IF($F332&lt;=300000,100,500))))),0))</f>
      </c>
      <c r="N332" s="599" t="str">
        <f>IF($F332="","",$F332*IF($C332="売",1+V811設定!$B$3,1-V811設定!$B$3)-MOD($F332*IF($C332="売",1+V811設定!$B$3,1-V811設定!$B$3),IF($F332&lt;=3000,1,IF($F332&lt;=5000,5,IF($F332&lt;=30000,10,IF($F332&lt;=50000,50,IF($F332&lt;=300000,100,500))))))+IF(AND($C332="売",MOD($F332*IF($C332="売",1+V811設定!$B$3,1-V811設定!$B$3),IF($F332&lt;=3000,1,IF($F332&lt;=5000,5,IF($F332&lt;=30000,10,IF($F332&lt;=50000,50,IF($F332&lt;=300000,100,500))))))&gt;0),IF($F332&lt;=3000,1,IF($F332&lt;=5000,5,IF($F332&lt;=30000,10,IF($F332&lt;=50000,50,IF($F332&lt;=300000,100,500))))),0))</f>
      </c>
      <c r="O332" s="478" t="str">
        <f>IF(OR($B332="",$F332="",$H332=""),"",IF($S332="✅売却済","―決済済―",IF($C332="売",IF($H332&lt;=$M332,"🟢利確",IF(AND($R332&lt;&gt;"",$H332&gt;=$R332),"🟠TRAIL",IF($H332&gt;=$N332,"🔴損切",IF($W332&gt;=V811設定!$B$6,"⏱時間決済",IF($H332&gt;=$F332*(1+V811設定!$B$3*0.7),"⚠️損切接近","保持継続"))))),IF($H332&gt;=$M332,"🟢利確",IF(AND($R332&lt;&gt;"",$H332&lt;=$R332),"🟠TRAIL",IF($H332&lt;=$N332,"🔴損切",IF($W332&gt;=V811設定!$B$6,"⏱時間決済",IF($H332&lt;=$F332*(1-V811設定!$B$3*0.7),"⚠️損切接近","保持継続"))))))))</f>
      </c>
      <c r="P332" s="445"/>
      <c r="Q332" s="445"/>
      <c r="R332" s="440" t="str">
        <f>IF(OR($F332="",$H332="",$N332=""),"",IF($S332="✅売却済","",IF($C332="売",IF($H332&gt;$F332*(1-V811設定!$B$3),$N332,MIN($N332,IF($Q332="",$N332,$Q332*1.03))),IF($H332&lt;$F332*(1+V811設定!$B$3),$N332,MAX($N332,IF($P332="",$N332,$P332*0.97))))))</f>
      </c>
      <c r="S332" s="440" t="str">
        <f>IF(B332="","",IF(T332&lt;&gt;"","✅売却済",IF(OR(H332="",L332=""),"📌保有中",IF(L332&gt;=0.06,"🟢利確推奨",IF(L332&gt;=0.05,"🟡利確直近",IF(L332&gt;=0.045,"🔵トレーリング検討",IF(L332&gt;-0.03,"📌保有中",IF(L332&gt;-0.04,"⚠️損切注意","🔴損切り"))))))))</f>
        <v/>
      </c>
      <c r="T332" s="597"/>
      <c r="U332" s="599"/>
      <c r="V332" s="704" t="str">
        <f>IF(OR(F332="",G332="",U332=""),"",IF(C332="売",(F332-U332)*G332,(U332-F332)*G332))</f>
        <v/>
      </c>
      <c r="W332" s="440" t="str">
        <f>IF(OR($E332="",$B332=""),"",IF($T332&lt;&gt;"",$T332-$E332,TODAY()-$E332)+1)</f>
        <v/>
      </c>
      <c r="X332" s="440" t="str">
        <f>IF(OR($AH332="",$AH332="保有中"),"",$AH332)</f>
        <v/>
      </c>
      <c r="AD332" s="608"/>
      <c r="AE332" s="600" t="str">
        <f>IF($E332="","",WORKDAY($E332,12))</f>
        <v/>
      </c>
      <c r="AF332" s="600" t="str" cm="1">
        <f t="array" aca="1" ref="AF332" ca="1">IF(OR($B332="",$M332=""),"",IFERROR(IF($C332="売",_xlfn.MINIFS(安値!$E$3:$IT$3,安値!$E$3:$IT$3,"&gt;"&amp;$E332,安値!$E$3:$IT$3,"&lt;="&amp;$AE332,OFFSET(安値!$E$6:$IT$6,MATCH(TEXT($B332,"0"),TEXT(銘柄管理!$B$6:$B$305,"0"),0)-1,0),"&lt;="&amp;$M332),_xlfn.MINIFS(高値!$E$3:$IT$3,高値!$E$3:$IT$3,"&gt;"&amp;$E332,高値!$E$3:$IT$3,"&lt;="&amp;$AE332,OFFSET(高値!$E$6:$IT$6,MATCH(TEXT($B332,"0"),TEXT(銘柄管理!$B$6:$B$305,"0"),0)-1,0),"&gt;="&amp;$M332)),""))</f>
        <v/>
      </c>
      <c r="AG332" s="600" t="str" cm="1">
        <f t="array" aca="1" ref="AG332" ca="1">IF(OR($B332="",$N332=""),"",IFERROR(IF($C332="売",_xlfn.MINIFS(高値!$E$3:$IT$3,高値!$E$3:$IT$3,"&gt;"&amp;$E332,高値!$E$3:$IT$3,"&lt;="&amp;$AE332,OFFSET(高値!$E$6:$IT$6,MATCH(TEXT($B332,"0"),TEXT(銘柄管理!$B$6:$B$305,"0"),0)-1,0),"&gt;="&amp;$N332),_xlfn.MINIFS(安値!$E$3:$IT$3,安値!$E$3:$IT$3,"&gt;"&amp;$E332,安値!$E$3:$IT$3,"&lt;="&amp;$AE332,OFFSET(安値!$E$6:$IT$6,MATCH(TEXT($B332,"0"),TEXT(銘柄管理!$B$6:$B$305,"0"),0)-1,0),"&lt;="&amp;$N332)),""))</f>
        <v/>
      </c>
      <c r="AH332" s="600" t="str">
        <f>IF(OR($B332="",$M332=""),"",IF(AND(N($AF332)=0,N($AG332)=0),IF(AND(ISNUMBER($H332),$H332&gt;0,IF($C332="売",$H332&gt;=$N332,$H332&lt;=$N332)),"損切確定",IF(AND(ISNUMBER($H332),$H332&gt;0,IF($C332="売",$H332&lt;=$M332,$H332&gt;=$M332)),"利益確定",IF($AE332&lt;=TODAY(),"日数制限","保有中"))),IF(N($AG332)=0,"利益確定",IF(N($AF332)=0,"損切確定",IF($AG332&lt;=$AF332,"損切確定","利益確定")))))</f>
        <v/>
      </c>
      <c r="AI332" s="600" t="str" cm="1">
        <f t="array" ref="AI332">IFERROR(INDEX(始値!$E$6:$IT$305,MATCH(TEXT($B332,"0"),TEXT(銘柄管理!$B$6:$B$305,"0"),0),MATCH($AE332,始値!$E$3:$IT$3,0)),"")</f>
        <v/>
      </c>
      <c r="AJ332" s="608" t="str">
        <f>IF(OR($V332="",$F332="",$G332=""),"",$V332/($F332*$G332))</f>
        <v/>
      </c>
      <c r="AK332" s="600" t="str">
        <f>IF($V332="","",IF($V332&gt;0,"○勝",IF($V332&lt;0,"●負","△引分")))</f>
        <v/>
      </c>
    </row>
    <row r="333" spans="1:37" ht="17.25" customHeight="1">
      <c r="A333" s="622" t="str">
        <f>IF(B333="","",HYPERLINK("https://kabutan.jp/stock/?code="&amp;B333,"株探"))</f>
        <v/>
      </c>
      <c r="D333" s="440" t="str" cm="1">
        <f t="array" ref="D333">_xll.RssMarket(B333, "銘柄名称")</f>
        <v/>
      </c>
      <c r="E333" s="717"/>
      <c r="F333" s="698" t="str" cm="1">
        <f t="array" aca="1" ref="F333" ca="1">IFERROR(_xlfn.LET(_xlpm.r,MATCH(TEXT($B333,"0"),TEXT(銘柄管理!$B$6:$B$305,"0"),0),_xlpm.t,MOD(NOW(),1),_xlpm.c,IF($E333=TODAY(),IF(_xlpm.t&gt;=TIME(15,30,0),NA(),1),IF(MATCH($E333,始値!$E$3:$IT$3,0)=1,1,MATCH($E333,始値!$E$3:$IT$3,0)+1)),_xlpm.v,INDEX(始値!$C$6:$IT$305,_xlpm.r,_xlpm.c),IF(N(_xlpm.v)=0,"",_xlpm.v)),"")</f>
        <v/>
      </c>
      <c r="H333" s="440" t="str" cm="1">
        <f t="array" ref="H333">_xll.RssMarket(B333, "現在値")</f>
        <v/>
      </c>
      <c r="I333" s="440" t="str" cm="1">
        <f t="array" ref="I333">_xll.RssMarket(B333, "出来高加重平均")</f>
        <v/>
      </c>
      <c r="J333" s="702" t="str" cm="1">
        <f t="array" ref="J333">_xll.RssMarket($B333, "前日比")</f>
        <v/>
      </c>
      <c r="K333" s="704" t="str">
        <f>IF(OR(F333="",G333="",H333=""),"",IF(C333="売",(F333-H333)*G333,(H333-F333)*G333))</f>
        <v/>
      </c>
      <c r="L333" s="709" t="str">
        <f>IF(OR(F333="",H333=""),"",IF(C333="売",(F333-H333)/F333,(H333-F333)/F333))</f>
        <v/>
      </c>
      <c r="M333" s="599" t="str">
        <f>IF($F333="","",$F333*IF($C333="売",1-V811設定!$B$4,1+V811設定!$B$4)-MOD($F333*IF($C333="売",1-V811設定!$B$4,1+V811設定!$B$4),IF($F333&lt;=3000,1,IF($F333&lt;=5000,5,IF($F333&lt;=30000,10,IF($F333&lt;=50000,50,IF($F333&lt;=300000,100,500))))))+IF(AND($C333="売",MOD($F333*IF($C333="売",1-V811設定!$B$4,1+V811設定!$B$4),IF($F333&lt;=3000,1,IF($F333&lt;=5000,5,IF($F333&lt;=30000,10,IF($F333&lt;=50000,50,IF($F333&lt;=300000,100,500))))))&gt;0),IF($F333&lt;=3000,1,IF($F333&lt;=5000,5,IF($F333&lt;=30000,10,IF($F333&lt;=50000,50,IF($F333&lt;=300000,100,500))))),0))</f>
      </c>
      <c r="N333" s="599" t="str">
        <f>IF($F333="","",$F333*IF($C333="売",1+V811設定!$B$3,1-V811設定!$B$3)-MOD($F333*IF($C333="売",1+V811設定!$B$3,1-V811設定!$B$3),IF($F333&lt;=3000,1,IF($F333&lt;=5000,5,IF($F333&lt;=30000,10,IF($F333&lt;=50000,50,IF($F333&lt;=300000,100,500))))))+IF(AND($C333="売",MOD($F333*IF($C333="売",1+V811設定!$B$3,1-V811設定!$B$3),IF($F333&lt;=3000,1,IF($F333&lt;=5000,5,IF($F333&lt;=30000,10,IF($F333&lt;=50000,50,IF($F333&lt;=300000,100,500))))))&gt;0),IF($F333&lt;=3000,1,IF($F333&lt;=5000,5,IF($F333&lt;=30000,10,IF($F333&lt;=50000,50,IF($F333&lt;=300000,100,500))))),0))</f>
      </c>
      <c r="O333" s="478" t="str">
        <f>IF(OR($B333="",$F333="",$H333=""),"",IF($S333="✅売却済","―決済済―",IF($C333="売",IF($H333&lt;=$M333,"🟢利確",IF(AND($R333&lt;&gt;"",$H333&gt;=$R333),"🟠TRAIL",IF($H333&gt;=$N333,"🔴損切",IF($W333&gt;=V811設定!$B$6,"⏱時間決済",IF($H333&gt;=$F333*(1+V811設定!$B$3*0.7),"⚠️損切接近","保持継続"))))),IF($H333&gt;=$M333,"🟢利確",IF(AND($R333&lt;&gt;"",$H333&lt;=$R333),"🟠TRAIL",IF($H333&lt;=$N333,"🔴損切",IF($W333&gt;=V811設定!$B$6,"⏱時間決済",IF($H333&lt;=$F333*(1-V811設定!$B$3*0.7),"⚠️損切接近","保持継続"))))))))</f>
      </c>
      <c r="P333" s="445"/>
      <c r="Q333" s="445"/>
      <c r="R333" s="440" t="str">
        <f>IF(OR($F333="",$H333="",$N333=""),"",IF($S333="✅売却済","",IF($C333="売",IF($H333&gt;$F333*(1-V811設定!$B$3),$N333,MIN($N333,IF($Q333="",$N333,$Q333*1.03))),IF($H333&lt;$F333*(1+V811設定!$B$3),$N333,MAX($N333,IF($P333="",$N333,$P333*0.97))))))</f>
      </c>
      <c r="S333" s="440" t="str">
        <f>IF(B333="","",IF(T333&lt;&gt;"","✅売却済",IF(OR(H333="",L333=""),"📌保有中",IF(L333&gt;=0.06,"🟢利確推奨",IF(L333&gt;=0.05,"🟡利確直近",IF(L333&gt;=0.045,"🔵トレーリング検討",IF(L333&gt;-0.03,"📌保有中",IF(L333&gt;-0.04,"⚠️損切注意","🔴損切り"))))))))</f>
        <v/>
      </c>
      <c r="T333" s="597"/>
      <c r="U333" s="599"/>
      <c r="V333" s="704" t="str">
        <f>IF(OR(F333="",G333="",U333=""),"",IF(C333="売",(F333-U333)*G333,(U333-F333)*G333))</f>
        <v/>
      </c>
      <c r="W333" s="440" t="str">
        <f>IF(OR($E333="",$B333=""),"",IF($T333&lt;&gt;"",$T333-$E333,TODAY()-$E333)+1)</f>
        <v/>
      </c>
      <c r="X333" s="440" t="str">
        <f>IF(OR($AH333="",$AH333="保有中"),"",$AH333)</f>
        <v/>
      </c>
      <c r="AD333" s="608"/>
      <c r="AE333" s="600" t="str">
        <f>IF($E333="","",WORKDAY($E333,12))</f>
        <v/>
      </c>
      <c r="AF333" s="600" t="str" cm="1">
        <f t="array" aca="1" ref="AF333" ca="1">IF(OR($B333="",$M333=""),"",IFERROR(IF($C333="売",_xlfn.MINIFS(安値!$E$3:$IT$3,安値!$E$3:$IT$3,"&gt;"&amp;$E333,安値!$E$3:$IT$3,"&lt;="&amp;$AE333,OFFSET(安値!$E$6:$IT$6,MATCH(TEXT($B333,"0"),TEXT(銘柄管理!$B$6:$B$305,"0"),0)-1,0),"&lt;="&amp;$M333),_xlfn.MINIFS(高値!$E$3:$IT$3,高値!$E$3:$IT$3,"&gt;"&amp;$E333,高値!$E$3:$IT$3,"&lt;="&amp;$AE333,OFFSET(高値!$E$6:$IT$6,MATCH(TEXT($B333,"0"),TEXT(銘柄管理!$B$6:$B$305,"0"),0)-1,0),"&gt;="&amp;$M333)),""))</f>
        <v/>
      </c>
      <c r="AG333" s="600" t="str" cm="1">
        <f t="array" aca="1" ref="AG333" ca="1">IF(OR($B333="",$N333=""),"",IFERROR(IF($C333="売",_xlfn.MINIFS(高値!$E$3:$IT$3,高値!$E$3:$IT$3,"&gt;"&amp;$E333,高値!$E$3:$IT$3,"&lt;="&amp;$AE333,OFFSET(高値!$E$6:$IT$6,MATCH(TEXT($B333,"0"),TEXT(銘柄管理!$B$6:$B$305,"0"),0)-1,0),"&gt;="&amp;$N333),_xlfn.MINIFS(安値!$E$3:$IT$3,安値!$E$3:$IT$3,"&gt;"&amp;$E333,安値!$E$3:$IT$3,"&lt;="&amp;$AE333,OFFSET(安値!$E$6:$IT$6,MATCH(TEXT($B333,"0"),TEXT(銘柄管理!$B$6:$B$305,"0"),0)-1,0),"&lt;="&amp;$N333)),""))</f>
        <v/>
      </c>
      <c r="AH333" s="600" t="str">
        <f>IF(OR($B333="",$M333=""),"",IF(AND(N($AF333)=0,N($AG333)=0),IF(AND(ISNUMBER($H333),$H333&gt;0,IF($C333="売",$H333&gt;=$N333,$H333&lt;=$N333)),"損切確定",IF(AND(ISNUMBER($H333),$H333&gt;0,IF($C333="売",$H333&lt;=$M333,$H333&gt;=$M333)),"利益確定",IF($AE333&lt;=TODAY(),"日数制限","保有中"))),IF(N($AG333)=0,"利益確定",IF(N($AF333)=0,"損切確定",IF($AG333&lt;=$AF333,"損切確定","利益確定")))))</f>
        <v/>
      </c>
      <c r="AI333" s="600" t="str" cm="1">
        <f t="array" ref="AI333">IFERROR(INDEX(始値!$E$6:$IT$305,MATCH(TEXT($B333,"0"),TEXT(銘柄管理!$B$6:$B$305,"0"),0),MATCH($AE333,始値!$E$3:$IT$3,0)),"")</f>
        <v/>
      </c>
      <c r="AJ333" s="608" t="str">
        <f>IF(OR($V333="",$F333="",$G333=""),"",$V333/($F333*$G333))</f>
        <v/>
      </c>
      <c r="AK333" s="600" t="str">
        <f>IF($V333="","",IF($V333&gt;0,"○勝",IF($V333&lt;0,"●負","△引分")))</f>
        <v/>
      </c>
    </row>
    <row r="334" spans="1:37" ht="17.25" customHeight="1">
      <c r="A334" s="622" t="str">
        <f>IF(B334="","",HYPERLINK("https://kabutan.jp/stock/?code="&amp;B334,"株探"))</f>
        <v/>
      </c>
      <c r="D334" s="440" t="str" cm="1">
        <f t="array" ref="D334">_xll.RssMarket(B334, "銘柄名称")</f>
        <v/>
      </c>
      <c r="E334" s="717"/>
      <c r="F334" s="698" t="str" cm="1">
        <f t="array" aca="1" ref="F334" ca="1">IFERROR(_xlfn.LET(_xlpm.r,MATCH(TEXT($B334,"0"),TEXT(銘柄管理!$B$6:$B$305,"0"),0),_xlpm.t,MOD(NOW(),1),_xlpm.c,IF($E334=TODAY(),IF(_xlpm.t&gt;=TIME(15,30,0),NA(),1),IF(MATCH($E334,始値!$E$3:$IT$3,0)=1,1,MATCH($E334,始値!$E$3:$IT$3,0)+1)),_xlpm.v,INDEX(始値!$C$6:$IT$305,_xlpm.r,_xlpm.c),IF(N(_xlpm.v)=0,"",_xlpm.v)),"")</f>
        <v/>
      </c>
      <c r="H334" s="440" t="str" cm="1">
        <f t="array" ref="H334">_xll.RssMarket(B334, "現在値")</f>
        <v/>
      </c>
      <c r="I334" s="440" t="str" cm="1">
        <f t="array" ref="I334">_xll.RssMarket(B334, "出来高加重平均")</f>
        <v/>
      </c>
      <c r="J334" s="702" t="str" cm="1">
        <f t="array" ref="J334">_xll.RssMarket($B334, "前日比")</f>
        <v/>
      </c>
      <c r="K334" s="704" t="str">
        <f>IF(OR(F334="",G334="",H334=""),"",IF(C334="売",(F334-H334)*G334,(H334-F334)*G334))</f>
        <v/>
      </c>
      <c r="L334" s="709" t="str">
        <f>IF(OR(F334="",H334=""),"",IF(C334="売",(F334-H334)/F334,(H334-F334)/F334))</f>
        <v/>
      </c>
      <c r="M334" s="599" t="str">
        <f>IF($F334="","",$F334*IF($C334="売",1-V811設定!$B$4,1+V811設定!$B$4)-MOD($F334*IF($C334="売",1-V811設定!$B$4,1+V811設定!$B$4),IF($F334&lt;=3000,1,IF($F334&lt;=5000,5,IF($F334&lt;=30000,10,IF($F334&lt;=50000,50,IF($F334&lt;=300000,100,500))))))+IF(AND($C334="売",MOD($F334*IF($C334="売",1-V811設定!$B$4,1+V811設定!$B$4),IF($F334&lt;=3000,1,IF($F334&lt;=5000,5,IF($F334&lt;=30000,10,IF($F334&lt;=50000,50,IF($F334&lt;=300000,100,500))))))&gt;0),IF($F334&lt;=3000,1,IF($F334&lt;=5000,5,IF($F334&lt;=30000,10,IF($F334&lt;=50000,50,IF($F334&lt;=300000,100,500))))),0))</f>
      </c>
      <c r="N334" s="599" t="str">
        <f>IF($F334="","",$F334*IF($C334="売",1+V811設定!$B$3,1-V811設定!$B$3)-MOD($F334*IF($C334="売",1+V811設定!$B$3,1-V811設定!$B$3),IF($F334&lt;=3000,1,IF($F334&lt;=5000,5,IF($F334&lt;=30000,10,IF($F334&lt;=50000,50,IF($F334&lt;=300000,100,500))))))+IF(AND($C334="売",MOD($F334*IF($C334="売",1+V811設定!$B$3,1-V811設定!$B$3),IF($F334&lt;=3000,1,IF($F334&lt;=5000,5,IF($F334&lt;=30000,10,IF($F334&lt;=50000,50,IF($F334&lt;=300000,100,500))))))&gt;0),IF($F334&lt;=3000,1,IF($F334&lt;=5000,5,IF($F334&lt;=30000,10,IF($F334&lt;=50000,50,IF($F334&lt;=300000,100,500))))),0))</f>
      </c>
      <c r="O334" s="478" t="str">
        <f>IF(OR($B334="",$F334="",$H334=""),"",IF($S334="✅売却済","―決済済―",IF($C334="売",IF($H334&lt;=$M334,"🟢利確",IF(AND($R334&lt;&gt;"",$H334&gt;=$R334),"🟠TRAIL",IF($H334&gt;=$N334,"🔴損切",IF($W334&gt;=V811設定!$B$6,"⏱時間決済",IF($H334&gt;=$F334*(1+V811設定!$B$3*0.7),"⚠️損切接近","保持継続"))))),IF($H334&gt;=$M334,"🟢利確",IF(AND($R334&lt;&gt;"",$H334&lt;=$R334),"🟠TRAIL",IF($H334&lt;=$N334,"🔴損切",IF($W334&gt;=V811設定!$B$6,"⏱時間決済",IF($H334&lt;=$F334*(1-V811設定!$B$3*0.7),"⚠️損切接近","保持継続"))))))))</f>
      </c>
      <c r="P334" s="445"/>
      <c r="Q334" s="445"/>
      <c r="R334" s="440" t="str">
        <f>IF(OR($F334="",$H334="",$N334=""),"",IF($S334="✅売却済","",IF($C334="売",IF($H334&gt;$F334*(1-V811設定!$B$3),$N334,MIN($N334,IF($Q334="",$N334,$Q334*1.03))),IF($H334&lt;$F334*(1+V811設定!$B$3),$N334,MAX($N334,IF($P334="",$N334,$P334*0.97))))))</f>
      </c>
      <c r="S334" s="440" t="str">
        <f>IF(B334="","",IF(T334&lt;&gt;"","✅売却済",IF(OR(H334="",L334=""),"📌保有中",IF(L334&gt;=0.06,"🟢利確推奨",IF(L334&gt;=0.05,"🟡利確直近",IF(L334&gt;=0.045,"🔵トレーリング検討",IF(L334&gt;-0.03,"📌保有中",IF(L334&gt;-0.04,"⚠️損切注意","🔴損切り"))))))))</f>
        <v/>
      </c>
      <c r="T334" s="597"/>
      <c r="U334" s="599"/>
      <c r="V334" s="704" t="str">
        <f>IF(OR(F334="",G334="",U334=""),"",IF(C334="売",(F334-U334)*G334,(U334-F334)*G334))</f>
        <v/>
      </c>
      <c r="W334" s="440" t="str">
        <f>IF(OR($E334="",$B334=""),"",IF($T334&lt;&gt;"",$T334-$E334,TODAY()-$E334)+1)</f>
        <v/>
      </c>
      <c r="X334" s="440" t="str">
        <f>IF(OR($AH334="",$AH334="保有中"),"",$AH334)</f>
        <v/>
      </c>
      <c r="AD334" s="608"/>
      <c r="AE334" s="600" t="str">
        <f>IF($E334="","",WORKDAY($E334,12))</f>
        <v/>
      </c>
      <c r="AF334" s="600" t="str" cm="1">
        <f t="array" aca="1" ref="AF334" ca="1">IF(OR($B334="",$M334=""),"",IFERROR(IF($C334="売",_xlfn.MINIFS(安値!$E$3:$IT$3,安値!$E$3:$IT$3,"&gt;"&amp;$E334,安値!$E$3:$IT$3,"&lt;="&amp;$AE334,OFFSET(安値!$E$6:$IT$6,MATCH(TEXT($B334,"0"),TEXT(銘柄管理!$B$6:$B$305,"0"),0)-1,0),"&lt;="&amp;$M334),_xlfn.MINIFS(高値!$E$3:$IT$3,高値!$E$3:$IT$3,"&gt;"&amp;$E334,高値!$E$3:$IT$3,"&lt;="&amp;$AE334,OFFSET(高値!$E$6:$IT$6,MATCH(TEXT($B334,"0"),TEXT(銘柄管理!$B$6:$B$305,"0"),0)-1,0),"&gt;="&amp;$M334)),""))</f>
        <v/>
      </c>
      <c r="AG334" s="600" t="str" cm="1">
        <f t="array" aca="1" ref="AG334" ca="1">IF(OR($B334="",$N334=""),"",IFERROR(IF($C334="売",_xlfn.MINIFS(高値!$E$3:$IT$3,高値!$E$3:$IT$3,"&gt;"&amp;$E334,高値!$E$3:$IT$3,"&lt;="&amp;$AE334,OFFSET(高値!$E$6:$IT$6,MATCH(TEXT($B334,"0"),TEXT(銘柄管理!$B$6:$B$305,"0"),0)-1,0),"&gt;="&amp;$N334),_xlfn.MINIFS(安値!$E$3:$IT$3,安値!$E$3:$IT$3,"&gt;"&amp;$E334,安値!$E$3:$IT$3,"&lt;="&amp;$AE334,OFFSET(安値!$E$6:$IT$6,MATCH(TEXT($B334,"0"),TEXT(銘柄管理!$B$6:$B$305,"0"),0)-1,0),"&lt;="&amp;$N334)),""))</f>
        <v/>
      </c>
      <c r="AH334" s="600" t="str">
        <f>IF(OR($B334="",$M334=""),"",IF(AND(N($AF334)=0,N($AG334)=0),IF(AND(ISNUMBER($H334),$H334&gt;0,IF($C334="売",$H334&gt;=$N334,$H334&lt;=$N334)),"損切確定",IF(AND(ISNUMBER($H334),$H334&gt;0,IF($C334="売",$H334&lt;=$M334,$H334&gt;=$M334)),"利益確定",IF($AE334&lt;=TODAY(),"日数制限","保有中"))),IF(N($AG334)=0,"利益確定",IF(N($AF334)=0,"損切確定",IF($AG334&lt;=$AF334,"損切確定","利益確定")))))</f>
        <v/>
      </c>
      <c r="AI334" s="600" t="str" cm="1">
        <f t="array" ref="AI334">IFERROR(INDEX(始値!$E$6:$IT$305,MATCH(TEXT($B334,"0"),TEXT(銘柄管理!$B$6:$B$305,"0"),0),MATCH($AE334,始値!$E$3:$IT$3,0)),"")</f>
        <v/>
      </c>
      <c r="AJ334" s="608" t="str">
        <f>IF(OR($V334="",$F334="",$G334=""),"",$V334/($F334*$G334))</f>
        <v/>
      </c>
      <c r="AK334" s="600" t="str">
        <f>IF($V334="","",IF($V334&gt;0,"○勝",IF($V334&lt;0,"●負","△引分")))</f>
        <v/>
      </c>
    </row>
    <row r="335" spans="1:37" ht="17.25" customHeight="1">
      <c r="A335" s="622" t="str">
        <f>IF(B335="","",HYPERLINK("https://kabutan.jp/stock/?code="&amp;B335,"株探"))</f>
        <v/>
      </c>
      <c r="D335" s="440" t="str" cm="1">
        <f t="array" ref="D335">_xll.RssMarket(B335, "銘柄名称")</f>
        <v/>
      </c>
      <c r="E335" s="717"/>
      <c r="F335" s="698" t="str" cm="1">
        <f t="array" aca="1" ref="F335" ca="1">IFERROR(_xlfn.LET(_xlpm.r,MATCH(TEXT($B335,"0"),TEXT(銘柄管理!$B$6:$B$305,"0"),0),_xlpm.t,MOD(NOW(),1),_xlpm.c,IF($E335=TODAY(),IF(_xlpm.t&gt;=TIME(15,30,0),NA(),1),IF(MATCH($E335,始値!$E$3:$IT$3,0)=1,1,MATCH($E335,始値!$E$3:$IT$3,0)+1)),_xlpm.v,INDEX(始値!$C$6:$IT$305,_xlpm.r,_xlpm.c),IF(N(_xlpm.v)=0,"",_xlpm.v)),"")</f>
        <v/>
      </c>
      <c r="H335" s="440" t="str" cm="1">
        <f t="array" ref="H335">_xll.RssMarket(B335, "現在値")</f>
        <v/>
      </c>
      <c r="I335" s="440" t="str" cm="1">
        <f t="array" ref="I335">_xll.RssMarket(B335, "出来高加重平均")</f>
        <v/>
      </c>
      <c r="J335" s="702" t="str" cm="1">
        <f t="array" ref="J335">_xll.RssMarket($B335, "前日比")</f>
        <v/>
      </c>
      <c r="K335" s="704" t="str">
        <f>IF(OR(F335="",G335="",H335=""),"",IF(C335="売",(F335-H335)*G335,(H335-F335)*G335))</f>
        <v/>
      </c>
      <c r="L335" s="709" t="str">
        <f>IF(OR(F335="",H335=""),"",IF(C335="売",(F335-H335)/F335,(H335-F335)/F335))</f>
        <v/>
      </c>
      <c r="M335" s="599" t="str">
        <f>IF($F335="","",$F335*IF($C335="売",1-V811設定!$B$4,1+V811設定!$B$4)-MOD($F335*IF($C335="売",1-V811設定!$B$4,1+V811設定!$B$4),IF($F335&lt;=3000,1,IF($F335&lt;=5000,5,IF($F335&lt;=30000,10,IF($F335&lt;=50000,50,IF($F335&lt;=300000,100,500))))))+IF(AND($C335="売",MOD($F335*IF($C335="売",1-V811設定!$B$4,1+V811設定!$B$4),IF($F335&lt;=3000,1,IF($F335&lt;=5000,5,IF($F335&lt;=30000,10,IF($F335&lt;=50000,50,IF($F335&lt;=300000,100,500))))))&gt;0),IF($F335&lt;=3000,1,IF($F335&lt;=5000,5,IF($F335&lt;=30000,10,IF($F335&lt;=50000,50,IF($F335&lt;=300000,100,500))))),0))</f>
      </c>
      <c r="N335" s="599" t="str">
        <f>IF($F335="","",$F335*IF($C335="売",1+V811設定!$B$3,1-V811設定!$B$3)-MOD($F335*IF($C335="売",1+V811設定!$B$3,1-V811設定!$B$3),IF($F335&lt;=3000,1,IF($F335&lt;=5000,5,IF($F335&lt;=30000,10,IF($F335&lt;=50000,50,IF($F335&lt;=300000,100,500))))))+IF(AND($C335="売",MOD($F335*IF($C335="売",1+V811設定!$B$3,1-V811設定!$B$3),IF($F335&lt;=3000,1,IF($F335&lt;=5000,5,IF($F335&lt;=30000,10,IF($F335&lt;=50000,50,IF($F335&lt;=300000,100,500))))))&gt;0),IF($F335&lt;=3000,1,IF($F335&lt;=5000,5,IF($F335&lt;=30000,10,IF($F335&lt;=50000,50,IF($F335&lt;=300000,100,500))))),0))</f>
      </c>
      <c r="O335" s="478" t="str">
        <f>IF(OR($B335="",$F335="",$H335=""),"",IF($S335="✅売却済","―決済済―",IF($C335="売",IF($H335&lt;=$M335,"🟢利確",IF(AND($R335&lt;&gt;"",$H335&gt;=$R335),"🟠TRAIL",IF($H335&gt;=$N335,"🔴損切",IF($W335&gt;=V811設定!$B$6,"⏱時間決済",IF($H335&gt;=$F335*(1+V811設定!$B$3*0.7),"⚠️損切接近","保持継続"))))),IF($H335&gt;=$M335,"🟢利確",IF(AND($R335&lt;&gt;"",$H335&lt;=$R335),"🟠TRAIL",IF($H335&lt;=$N335,"🔴損切",IF($W335&gt;=V811設定!$B$6,"⏱時間決済",IF($H335&lt;=$F335*(1-V811設定!$B$3*0.7),"⚠️損切接近","保持継続"))))))))</f>
      </c>
      <c r="P335" s="445"/>
      <c r="Q335" s="445"/>
      <c r="R335" s="440" t="str">
        <f>IF(OR($F335="",$H335="",$N335=""),"",IF($S335="✅売却済","",IF($C335="売",IF($H335&gt;$F335*(1-V811設定!$B$3),$N335,MIN($N335,IF($Q335="",$N335,$Q335*1.03))),IF($H335&lt;$F335*(1+V811設定!$B$3),$N335,MAX($N335,IF($P335="",$N335,$P335*0.97))))))</f>
      </c>
      <c r="S335" s="440" t="str">
        <f>IF(B335="","",IF(T335&lt;&gt;"","✅売却済",IF(OR(H335="",L335=""),"📌保有中",IF(L335&gt;=0.06,"🟢利確推奨",IF(L335&gt;=0.05,"🟡利確直近",IF(L335&gt;=0.045,"🔵トレーリング検討",IF(L335&gt;-0.03,"📌保有中",IF(L335&gt;-0.04,"⚠️損切注意","🔴損切り"))))))))</f>
        <v/>
      </c>
      <c r="T335" s="597"/>
      <c r="U335" s="599"/>
      <c r="V335" s="704" t="str">
        <f>IF(OR(F335="",G335="",U335=""),"",IF(C335="売",(F335-U335)*G335,(U335-F335)*G335))</f>
        <v/>
      </c>
      <c r="W335" s="440" t="str">
        <f>IF(OR($E335="",$B335=""),"",IF($T335&lt;&gt;"",$T335-$E335,TODAY()-$E335)+1)</f>
        <v/>
      </c>
      <c r="X335" s="440" t="str">
        <f>IF(OR($AH335="",$AH335="保有中"),"",$AH335)</f>
        <v/>
      </c>
      <c r="AD335" s="608"/>
      <c r="AE335" s="600" t="str">
        <f>IF($E335="","",WORKDAY($E335,12))</f>
        <v/>
      </c>
      <c r="AF335" s="600" t="str" cm="1">
        <f t="array" aca="1" ref="AF335" ca="1">IF(OR($B335="",$M335=""),"",IFERROR(IF($C335="売",_xlfn.MINIFS(安値!$E$3:$IT$3,安値!$E$3:$IT$3,"&gt;"&amp;$E335,安値!$E$3:$IT$3,"&lt;="&amp;$AE335,OFFSET(安値!$E$6:$IT$6,MATCH(TEXT($B335,"0"),TEXT(銘柄管理!$B$6:$B$305,"0"),0)-1,0),"&lt;="&amp;$M335),_xlfn.MINIFS(高値!$E$3:$IT$3,高値!$E$3:$IT$3,"&gt;"&amp;$E335,高値!$E$3:$IT$3,"&lt;="&amp;$AE335,OFFSET(高値!$E$6:$IT$6,MATCH(TEXT($B335,"0"),TEXT(銘柄管理!$B$6:$B$305,"0"),0)-1,0),"&gt;="&amp;$M335)),""))</f>
        <v/>
      </c>
      <c r="AG335" s="600" t="str" cm="1">
        <f t="array" aca="1" ref="AG335" ca="1">IF(OR($B335="",$N335=""),"",IFERROR(IF($C335="売",_xlfn.MINIFS(高値!$E$3:$IT$3,高値!$E$3:$IT$3,"&gt;"&amp;$E335,高値!$E$3:$IT$3,"&lt;="&amp;$AE335,OFFSET(高値!$E$6:$IT$6,MATCH(TEXT($B335,"0"),TEXT(銘柄管理!$B$6:$B$305,"0"),0)-1,0),"&gt;="&amp;$N335),_xlfn.MINIFS(安値!$E$3:$IT$3,安値!$E$3:$IT$3,"&gt;"&amp;$E335,安値!$E$3:$IT$3,"&lt;="&amp;$AE335,OFFSET(安値!$E$6:$IT$6,MATCH(TEXT($B335,"0"),TEXT(銘柄管理!$B$6:$B$305,"0"),0)-1,0),"&lt;="&amp;$N335)),""))</f>
        <v/>
      </c>
      <c r="AH335" s="600" t="str">
        <f>IF(OR($B335="",$M335=""),"",IF(AND(N($AF335)=0,N($AG335)=0),IF(AND(ISNUMBER($H335),$H335&gt;0,IF($C335="売",$H335&gt;=$N335,$H335&lt;=$N335)),"損切確定",IF(AND(ISNUMBER($H335),$H335&gt;0,IF($C335="売",$H335&lt;=$M335,$H335&gt;=$M335)),"利益確定",IF($AE335&lt;=TODAY(),"日数制限","保有中"))),IF(N($AG335)=0,"利益確定",IF(N($AF335)=0,"損切確定",IF($AG335&lt;=$AF335,"損切確定","利益確定")))))</f>
        <v/>
      </c>
      <c r="AI335" s="600" t="str" cm="1">
        <f t="array" ref="AI335">IFERROR(INDEX(始値!$E$6:$IT$305,MATCH(TEXT($B335,"0"),TEXT(銘柄管理!$B$6:$B$305,"0"),0),MATCH($AE335,始値!$E$3:$IT$3,0)),"")</f>
        <v/>
      </c>
      <c r="AJ335" s="608" t="str">
        <f>IF(OR($V335="",$F335="",$G335=""),"",$V335/($F335*$G335))</f>
        <v/>
      </c>
      <c r="AK335" s="600" t="str">
        <f>IF($V335="","",IF($V335&gt;0,"○勝",IF($V335&lt;0,"●負","△引分")))</f>
        <v/>
      </c>
    </row>
    <row r="336" spans="1:37" ht="17.25" customHeight="1">
      <c r="A336" s="622" t="str">
        <f>IF(B336="","",HYPERLINK("https://kabutan.jp/stock/?code="&amp;B336,"株探"))</f>
        <v/>
      </c>
      <c r="D336" s="440" t="str" cm="1">
        <f t="array" ref="D336">_xll.RssMarket(B336, "銘柄名称")</f>
        <v/>
      </c>
      <c r="E336" s="717"/>
      <c r="F336" s="698" t="str" cm="1">
        <f t="array" aca="1" ref="F336" ca="1">IFERROR(_xlfn.LET(_xlpm.r,MATCH(TEXT($B336,"0"),TEXT(銘柄管理!$B$6:$B$305,"0"),0),_xlpm.t,MOD(NOW(),1),_xlpm.c,IF($E336=TODAY(),IF(_xlpm.t&gt;=TIME(15,30,0),NA(),1),IF(MATCH($E336,始値!$E$3:$IT$3,0)=1,1,MATCH($E336,始値!$E$3:$IT$3,0)+1)),_xlpm.v,INDEX(始値!$C$6:$IT$305,_xlpm.r,_xlpm.c),IF(N(_xlpm.v)=0,"",_xlpm.v)),"")</f>
        <v/>
      </c>
      <c r="H336" s="440" t="str" cm="1">
        <f t="array" ref="H336">_xll.RssMarket(B336, "現在値")</f>
        <v/>
      </c>
      <c r="I336" s="440" t="str" cm="1">
        <f t="array" ref="I336">_xll.RssMarket(B336, "出来高加重平均")</f>
        <v/>
      </c>
      <c r="J336" s="702" t="str" cm="1">
        <f t="array" ref="J336">_xll.RssMarket($B336, "前日比")</f>
        <v/>
      </c>
      <c r="K336" s="704" t="str">
        <f>IF(OR(F336="",G336="",H336=""),"",IF(C336="売",(F336-H336)*G336,(H336-F336)*G336))</f>
        <v/>
      </c>
      <c r="L336" s="709" t="str">
        <f>IF(OR(F336="",H336=""),"",IF(C336="売",(F336-H336)/F336,(H336-F336)/F336))</f>
        <v/>
      </c>
      <c r="M336" s="599" t="str">
        <f>IF($F336="","",$F336*IF($C336="売",1-V811設定!$B$4,1+V811設定!$B$4)-MOD($F336*IF($C336="売",1-V811設定!$B$4,1+V811設定!$B$4),IF($F336&lt;=3000,1,IF($F336&lt;=5000,5,IF($F336&lt;=30000,10,IF($F336&lt;=50000,50,IF($F336&lt;=300000,100,500))))))+IF(AND($C336="売",MOD($F336*IF($C336="売",1-V811設定!$B$4,1+V811設定!$B$4),IF($F336&lt;=3000,1,IF($F336&lt;=5000,5,IF($F336&lt;=30000,10,IF($F336&lt;=50000,50,IF($F336&lt;=300000,100,500))))))&gt;0),IF($F336&lt;=3000,1,IF($F336&lt;=5000,5,IF($F336&lt;=30000,10,IF($F336&lt;=50000,50,IF($F336&lt;=300000,100,500))))),0))</f>
      </c>
      <c r="N336" s="599" t="str">
        <f>IF($F336="","",$F336*IF($C336="売",1+V811設定!$B$3,1-V811設定!$B$3)-MOD($F336*IF($C336="売",1+V811設定!$B$3,1-V811設定!$B$3),IF($F336&lt;=3000,1,IF($F336&lt;=5000,5,IF($F336&lt;=30000,10,IF($F336&lt;=50000,50,IF($F336&lt;=300000,100,500))))))+IF(AND($C336="売",MOD($F336*IF($C336="売",1+V811設定!$B$3,1-V811設定!$B$3),IF($F336&lt;=3000,1,IF($F336&lt;=5000,5,IF($F336&lt;=30000,10,IF($F336&lt;=50000,50,IF($F336&lt;=300000,100,500))))))&gt;0),IF($F336&lt;=3000,1,IF($F336&lt;=5000,5,IF($F336&lt;=30000,10,IF($F336&lt;=50000,50,IF($F336&lt;=300000,100,500))))),0))</f>
      </c>
      <c r="O336" s="478" t="str">
        <f>IF(OR($B336="",$F336="",$H336=""),"",IF($S336="✅売却済","―決済済―",IF($C336="売",IF($H336&lt;=$M336,"🟢利確",IF(AND($R336&lt;&gt;"",$H336&gt;=$R336),"🟠TRAIL",IF($H336&gt;=$N336,"🔴損切",IF($W336&gt;=V811設定!$B$6,"⏱時間決済",IF($H336&gt;=$F336*(1+V811設定!$B$3*0.7),"⚠️損切接近","保持継続"))))),IF($H336&gt;=$M336,"🟢利確",IF(AND($R336&lt;&gt;"",$H336&lt;=$R336),"🟠TRAIL",IF($H336&lt;=$N336,"🔴損切",IF($W336&gt;=V811設定!$B$6,"⏱時間決済",IF($H336&lt;=$F336*(1-V811設定!$B$3*0.7),"⚠️損切接近","保持継続"))))))))</f>
      </c>
      <c r="P336" s="445"/>
      <c r="Q336" s="445"/>
      <c r="R336" s="440" t="str">
        <f>IF(OR($F336="",$H336="",$N336=""),"",IF($S336="✅売却済","",IF($C336="売",IF($H336&gt;$F336*(1-V811設定!$B$3),$N336,MIN($N336,IF($Q336="",$N336,$Q336*1.03))),IF($H336&lt;$F336*(1+V811設定!$B$3),$N336,MAX($N336,IF($P336="",$N336,$P336*0.97))))))</f>
      </c>
      <c r="S336" s="440" t="str">
        <f>IF(B336="","",IF(T336&lt;&gt;"","✅売却済",IF(OR(H336="",L336=""),"📌保有中",IF(L336&gt;=0.06,"🟢利確推奨",IF(L336&gt;=0.05,"🟡利確直近",IF(L336&gt;=0.045,"🔵トレーリング検討",IF(L336&gt;-0.03,"📌保有中",IF(L336&gt;-0.04,"⚠️損切注意","🔴損切り"))))))))</f>
        <v/>
      </c>
      <c r="T336" s="597"/>
      <c r="U336" s="599"/>
      <c r="V336" s="704" t="str">
        <f>IF(OR(F336="",G336="",U336=""),"",IF(C336="売",(F336-U336)*G336,(U336-F336)*G336))</f>
        <v/>
      </c>
      <c r="W336" s="440" t="str">
        <f>IF(OR($E336="",$B336=""),"",IF($T336&lt;&gt;"",$T336-$E336,TODAY()-$E336)+1)</f>
        <v/>
      </c>
      <c r="X336" s="440" t="str">
        <f>IF(OR($AH336="",$AH336="保有中"),"",$AH336)</f>
        <v/>
      </c>
      <c r="AD336" s="608"/>
      <c r="AE336" s="600" t="str">
        <f>IF($E336="","",WORKDAY($E336,12))</f>
        <v/>
      </c>
      <c r="AF336" s="600" t="str" cm="1">
        <f t="array" aca="1" ref="AF336" ca="1">IF(OR($B336="",$M336=""),"",IFERROR(IF($C336="売",_xlfn.MINIFS(安値!$E$3:$IT$3,安値!$E$3:$IT$3,"&gt;"&amp;$E336,安値!$E$3:$IT$3,"&lt;="&amp;$AE336,OFFSET(安値!$E$6:$IT$6,MATCH(TEXT($B336,"0"),TEXT(銘柄管理!$B$6:$B$305,"0"),0)-1,0),"&lt;="&amp;$M336),_xlfn.MINIFS(高値!$E$3:$IT$3,高値!$E$3:$IT$3,"&gt;"&amp;$E336,高値!$E$3:$IT$3,"&lt;="&amp;$AE336,OFFSET(高値!$E$6:$IT$6,MATCH(TEXT($B336,"0"),TEXT(銘柄管理!$B$6:$B$305,"0"),0)-1,0),"&gt;="&amp;$M336)),""))</f>
        <v/>
      </c>
      <c r="AG336" s="600" t="str" cm="1">
        <f t="array" aca="1" ref="AG336" ca="1">IF(OR($B336="",$N336=""),"",IFERROR(IF($C336="売",_xlfn.MINIFS(高値!$E$3:$IT$3,高値!$E$3:$IT$3,"&gt;"&amp;$E336,高値!$E$3:$IT$3,"&lt;="&amp;$AE336,OFFSET(高値!$E$6:$IT$6,MATCH(TEXT($B336,"0"),TEXT(銘柄管理!$B$6:$B$305,"0"),0)-1,0),"&gt;="&amp;$N336),_xlfn.MINIFS(安値!$E$3:$IT$3,安値!$E$3:$IT$3,"&gt;"&amp;$E336,安値!$E$3:$IT$3,"&lt;="&amp;$AE336,OFFSET(安値!$E$6:$IT$6,MATCH(TEXT($B336,"0"),TEXT(銘柄管理!$B$6:$B$305,"0"),0)-1,0),"&lt;="&amp;$N336)),""))</f>
        <v/>
      </c>
      <c r="AH336" s="600" t="str">
        <f>IF(OR($B336="",$M336=""),"",IF(AND(N($AF336)=0,N($AG336)=0),IF(AND(ISNUMBER($H336),$H336&gt;0,IF($C336="売",$H336&gt;=$N336,$H336&lt;=$N336)),"損切確定",IF(AND(ISNUMBER($H336),$H336&gt;0,IF($C336="売",$H336&lt;=$M336,$H336&gt;=$M336)),"利益確定",IF($AE336&lt;=TODAY(),"日数制限","保有中"))),IF(N($AG336)=0,"利益確定",IF(N($AF336)=0,"損切確定",IF($AG336&lt;=$AF336,"損切確定","利益確定")))))</f>
        <v/>
      </c>
      <c r="AI336" s="600" t="str" cm="1">
        <f t="array" ref="AI336">IFERROR(INDEX(始値!$E$6:$IT$305,MATCH(TEXT($B336,"0"),TEXT(銘柄管理!$B$6:$B$305,"0"),0),MATCH($AE336,始値!$E$3:$IT$3,0)),"")</f>
        <v/>
      </c>
      <c r="AJ336" s="608" t="str">
        <f>IF(OR($V336="",$F336="",$G336=""),"",$V336/($F336*$G336))</f>
        <v/>
      </c>
      <c r="AK336" s="600" t="str">
        <f>IF($V336="","",IF($V336&gt;0,"○勝",IF($V336&lt;0,"●負","△引分")))</f>
        <v/>
      </c>
    </row>
    <row r="337" spans="1:37" ht="17.25" customHeight="1">
      <c r="A337" s="622" t="str">
        <f>IF(B337="","",HYPERLINK("https://kabutan.jp/stock/?code="&amp;B337,"株探"))</f>
        <v/>
      </c>
      <c r="D337" s="440" t="str" cm="1">
        <f t="array" ref="D337">_xll.RssMarket(B337, "銘柄名称")</f>
        <v/>
      </c>
      <c r="E337" s="717"/>
      <c r="F337" s="698" t="str" cm="1">
        <f t="array" aca="1" ref="F337" ca="1">IFERROR(_xlfn.LET(_xlpm.r,MATCH(TEXT($B337,"0"),TEXT(銘柄管理!$B$6:$B$305,"0"),0),_xlpm.t,MOD(NOW(),1),_xlpm.c,IF($E337=TODAY(),IF(_xlpm.t&gt;=TIME(15,30,0),NA(),1),IF(MATCH($E337,始値!$E$3:$IT$3,0)=1,1,MATCH($E337,始値!$E$3:$IT$3,0)+1)),_xlpm.v,INDEX(始値!$C$6:$IT$305,_xlpm.r,_xlpm.c),IF(N(_xlpm.v)=0,"",_xlpm.v)),"")</f>
        <v/>
      </c>
      <c r="H337" s="440" t="str" cm="1">
        <f t="array" ref="H337">_xll.RssMarket(B337, "現在値")</f>
        <v/>
      </c>
      <c r="I337" s="440" t="str" cm="1">
        <f t="array" ref="I337">_xll.RssMarket(B337, "出来高加重平均")</f>
        <v/>
      </c>
      <c r="J337" s="702" t="str" cm="1">
        <f t="array" ref="J337">_xll.RssMarket($B337, "前日比")</f>
        <v/>
      </c>
      <c r="K337" s="704" t="str">
        <f>IF(OR(F337="",G337="",H337=""),"",IF(C337="売",(F337-H337)*G337,(H337-F337)*G337))</f>
        <v/>
      </c>
      <c r="L337" s="709" t="str">
        <f>IF(OR(F337="",H337=""),"",IF(C337="売",(F337-H337)/F337,(H337-F337)/F337))</f>
        <v/>
      </c>
      <c r="M337" s="599" t="str">
        <f>IF($F337="","",$F337*IF($C337="売",1-V811設定!$B$4,1+V811設定!$B$4)-MOD($F337*IF($C337="売",1-V811設定!$B$4,1+V811設定!$B$4),IF($F337&lt;=3000,1,IF($F337&lt;=5000,5,IF($F337&lt;=30000,10,IF($F337&lt;=50000,50,IF($F337&lt;=300000,100,500))))))+IF(AND($C337="売",MOD($F337*IF($C337="売",1-V811設定!$B$4,1+V811設定!$B$4),IF($F337&lt;=3000,1,IF($F337&lt;=5000,5,IF($F337&lt;=30000,10,IF($F337&lt;=50000,50,IF($F337&lt;=300000,100,500))))))&gt;0),IF($F337&lt;=3000,1,IF($F337&lt;=5000,5,IF($F337&lt;=30000,10,IF($F337&lt;=50000,50,IF($F337&lt;=300000,100,500))))),0))</f>
      </c>
      <c r="N337" s="599" t="str">
        <f>IF($F337="","",$F337*IF($C337="売",1+V811設定!$B$3,1-V811設定!$B$3)-MOD($F337*IF($C337="売",1+V811設定!$B$3,1-V811設定!$B$3),IF($F337&lt;=3000,1,IF($F337&lt;=5000,5,IF($F337&lt;=30000,10,IF($F337&lt;=50000,50,IF($F337&lt;=300000,100,500))))))+IF(AND($C337="売",MOD($F337*IF($C337="売",1+V811設定!$B$3,1-V811設定!$B$3),IF($F337&lt;=3000,1,IF($F337&lt;=5000,5,IF($F337&lt;=30000,10,IF($F337&lt;=50000,50,IF($F337&lt;=300000,100,500))))))&gt;0),IF($F337&lt;=3000,1,IF($F337&lt;=5000,5,IF($F337&lt;=30000,10,IF($F337&lt;=50000,50,IF($F337&lt;=300000,100,500))))),0))</f>
      </c>
      <c r="O337" s="478" t="str">
        <f>IF(OR($B337="",$F337="",$H337=""),"",IF($S337="✅売却済","―決済済―",IF($C337="売",IF($H337&lt;=$M337,"🟢利確",IF(AND($R337&lt;&gt;"",$H337&gt;=$R337),"🟠TRAIL",IF($H337&gt;=$N337,"🔴損切",IF($W337&gt;=V811設定!$B$6,"⏱時間決済",IF($H337&gt;=$F337*(1+V811設定!$B$3*0.7),"⚠️損切接近","保持継続"))))),IF($H337&gt;=$M337,"🟢利確",IF(AND($R337&lt;&gt;"",$H337&lt;=$R337),"🟠TRAIL",IF($H337&lt;=$N337,"🔴損切",IF($W337&gt;=V811設定!$B$6,"⏱時間決済",IF($H337&lt;=$F337*(1-V811設定!$B$3*0.7),"⚠️損切接近","保持継続"))))))))</f>
      </c>
      <c r="P337" s="445"/>
      <c r="Q337" s="445"/>
      <c r="R337" s="440" t="str">
        <f>IF(OR($F337="",$H337="",$N337=""),"",IF($S337="✅売却済","",IF($C337="売",IF($H337&gt;$F337*(1-V811設定!$B$3),$N337,MIN($N337,IF($Q337="",$N337,$Q337*1.03))),IF($H337&lt;$F337*(1+V811設定!$B$3),$N337,MAX($N337,IF($P337="",$N337,$P337*0.97))))))</f>
      </c>
      <c r="S337" s="440" t="str">
        <f>IF(B337="","",IF(T337&lt;&gt;"","✅売却済",IF(OR(H337="",L337=""),"📌保有中",IF(L337&gt;=0.06,"🟢利確推奨",IF(L337&gt;=0.05,"🟡利確直近",IF(L337&gt;=0.045,"🔵トレーリング検討",IF(L337&gt;-0.03,"📌保有中",IF(L337&gt;-0.04,"⚠️損切注意","🔴損切り"))))))))</f>
        <v/>
      </c>
      <c r="T337" s="597"/>
      <c r="U337" s="599"/>
      <c r="V337" s="704" t="str">
        <f>IF(OR(F337="",G337="",U337=""),"",IF(C337="売",(F337-U337)*G337,(U337-F337)*G337))</f>
        <v/>
      </c>
      <c r="W337" s="440" t="str">
        <f>IF(OR($E337="",$B337=""),"",IF($T337&lt;&gt;"",$T337-$E337,TODAY()-$E337)+1)</f>
        <v/>
      </c>
      <c r="X337" s="440" t="str">
        <f>IF(OR($AH337="",$AH337="保有中"),"",$AH337)</f>
        <v/>
      </c>
      <c r="AD337" s="608"/>
      <c r="AE337" s="600" t="str">
        <f>IF($E337="","",WORKDAY($E337,12))</f>
        <v/>
      </c>
      <c r="AF337" s="600" t="str" cm="1">
        <f t="array" aca="1" ref="AF337" ca="1">IF(OR($B337="",$M337=""),"",IFERROR(IF($C337="売",_xlfn.MINIFS(安値!$E$3:$IT$3,安値!$E$3:$IT$3,"&gt;"&amp;$E337,安値!$E$3:$IT$3,"&lt;="&amp;$AE337,OFFSET(安値!$E$6:$IT$6,MATCH(TEXT($B337,"0"),TEXT(銘柄管理!$B$6:$B$305,"0"),0)-1,0),"&lt;="&amp;$M337),_xlfn.MINIFS(高値!$E$3:$IT$3,高値!$E$3:$IT$3,"&gt;"&amp;$E337,高値!$E$3:$IT$3,"&lt;="&amp;$AE337,OFFSET(高値!$E$6:$IT$6,MATCH(TEXT($B337,"0"),TEXT(銘柄管理!$B$6:$B$305,"0"),0)-1,0),"&gt;="&amp;$M337)),""))</f>
        <v/>
      </c>
      <c r="AG337" s="600" t="str" cm="1">
        <f t="array" aca="1" ref="AG337" ca="1">IF(OR($B337="",$N337=""),"",IFERROR(IF($C337="売",_xlfn.MINIFS(高値!$E$3:$IT$3,高値!$E$3:$IT$3,"&gt;"&amp;$E337,高値!$E$3:$IT$3,"&lt;="&amp;$AE337,OFFSET(高値!$E$6:$IT$6,MATCH(TEXT($B337,"0"),TEXT(銘柄管理!$B$6:$B$305,"0"),0)-1,0),"&gt;="&amp;$N337),_xlfn.MINIFS(安値!$E$3:$IT$3,安値!$E$3:$IT$3,"&gt;"&amp;$E337,安値!$E$3:$IT$3,"&lt;="&amp;$AE337,OFFSET(安値!$E$6:$IT$6,MATCH(TEXT($B337,"0"),TEXT(銘柄管理!$B$6:$B$305,"0"),0)-1,0),"&lt;="&amp;$N337)),""))</f>
        <v/>
      </c>
      <c r="AH337" s="600" t="str">
        <f>IF(OR($B337="",$M337=""),"",IF(AND(N($AF337)=0,N($AG337)=0),IF(AND(ISNUMBER($H337),$H337&gt;0,IF($C337="売",$H337&gt;=$N337,$H337&lt;=$N337)),"損切確定",IF(AND(ISNUMBER($H337),$H337&gt;0,IF($C337="売",$H337&lt;=$M337,$H337&gt;=$M337)),"利益確定",IF($AE337&lt;=TODAY(),"日数制限","保有中"))),IF(N($AG337)=0,"利益確定",IF(N($AF337)=0,"損切確定",IF($AG337&lt;=$AF337,"損切確定","利益確定")))))</f>
        <v/>
      </c>
      <c r="AI337" s="600" t="str" cm="1">
        <f t="array" ref="AI337">IFERROR(INDEX(始値!$E$6:$IT$305,MATCH(TEXT($B337,"0"),TEXT(銘柄管理!$B$6:$B$305,"0"),0),MATCH($AE337,始値!$E$3:$IT$3,0)),"")</f>
        <v/>
      </c>
      <c r="AJ337" s="608" t="str">
        <f>IF(OR($V337="",$F337="",$G337=""),"",$V337/($F337*$G337))</f>
        <v/>
      </c>
      <c r="AK337" s="600" t="str">
        <f>IF($V337="","",IF($V337&gt;0,"○勝",IF($V337&lt;0,"●負","△引分")))</f>
        <v/>
      </c>
    </row>
    <row r="338" spans="1:37" ht="17.25" customHeight="1">
      <c r="A338" s="622" t="str">
        <f>IF(B338="","",HYPERLINK("https://kabutan.jp/stock/?code="&amp;B338,"株探"))</f>
        <v/>
      </c>
      <c r="D338" s="440" t="str" cm="1">
        <f t="array" ref="D338">_xll.RssMarket(B338, "銘柄名称")</f>
        <v/>
      </c>
      <c r="E338" s="717"/>
      <c r="F338" s="698" t="str" cm="1">
        <f t="array" aca="1" ref="F338" ca="1">IFERROR(_xlfn.LET(_xlpm.r,MATCH(TEXT($B338,"0"),TEXT(銘柄管理!$B$6:$B$305,"0"),0),_xlpm.t,MOD(NOW(),1),_xlpm.c,IF($E338=TODAY(),IF(_xlpm.t&gt;=TIME(15,30,0),NA(),1),IF(MATCH($E338,始値!$E$3:$IT$3,0)=1,1,MATCH($E338,始値!$E$3:$IT$3,0)+1)),_xlpm.v,INDEX(始値!$C$6:$IT$305,_xlpm.r,_xlpm.c),IF(N(_xlpm.v)=0,"",_xlpm.v)),"")</f>
        <v/>
      </c>
      <c r="H338" s="440" t="str" cm="1">
        <f t="array" ref="H338">_xll.RssMarket(B338, "現在値")</f>
        <v/>
      </c>
      <c r="I338" s="440" t="str" cm="1">
        <f t="array" ref="I338">_xll.RssMarket(B338, "出来高加重平均")</f>
        <v/>
      </c>
      <c r="J338" s="702" t="str" cm="1">
        <f t="array" ref="J338">_xll.RssMarket($B338, "前日比")</f>
        <v/>
      </c>
      <c r="K338" s="704" t="str">
        <f>IF(OR(F338="",G338="",H338=""),"",IF(C338="売",(F338-H338)*G338,(H338-F338)*G338))</f>
        <v/>
      </c>
      <c r="L338" s="709" t="str">
        <f>IF(OR(F338="",H338=""),"",IF(C338="売",(F338-H338)/F338,(H338-F338)/F338))</f>
        <v/>
      </c>
      <c r="M338" s="599" t="str">
        <f>IF($F338="","",$F338*IF($C338="売",1-V811設定!$B$4,1+V811設定!$B$4)-MOD($F338*IF($C338="売",1-V811設定!$B$4,1+V811設定!$B$4),IF($F338&lt;=3000,1,IF($F338&lt;=5000,5,IF($F338&lt;=30000,10,IF($F338&lt;=50000,50,IF($F338&lt;=300000,100,500))))))+IF(AND($C338="売",MOD($F338*IF($C338="売",1-V811設定!$B$4,1+V811設定!$B$4),IF($F338&lt;=3000,1,IF($F338&lt;=5000,5,IF($F338&lt;=30000,10,IF($F338&lt;=50000,50,IF($F338&lt;=300000,100,500))))))&gt;0),IF($F338&lt;=3000,1,IF($F338&lt;=5000,5,IF($F338&lt;=30000,10,IF($F338&lt;=50000,50,IF($F338&lt;=300000,100,500))))),0))</f>
      </c>
      <c r="N338" s="599" t="str">
        <f>IF($F338="","",$F338*IF($C338="売",1+V811設定!$B$3,1-V811設定!$B$3)-MOD($F338*IF($C338="売",1+V811設定!$B$3,1-V811設定!$B$3),IF($F338&lt;=3000,1,IF($F338&lt;=5000,5,IF($F338&lt;=30000,10,IF($F338&lt;=50000,50,IF($F338&lt;=300000,100,500))))))+IF(AND($C338="売",MOD($F338*IF($C338="売",1+V811設定!$B$3,1-V811設定!$B$3),IF($F338&lt;=3000,1,IF($F338&lt;=5000,5,IF($F338&lt;=30000,10,IF($F338&lt;=50000,50,IF($F338&lt;=300000,100,500))))))&gt;0),IF($F338&lt;=3000,1,IF($F338&lt;=5000,5,IF($F338&lt;=30000,10,IF($F338&lt;=50000,50,IF($F338&lt;=300000,100,500))))),0))</f>
      </c>
      <c r="O338" s="478" t="str">
        <f>IF(OR($B338="",$F338="",$H338=""),"",IF($S338="✅売却済","―決済済―",IF($C338="売",IF($H338&lt;=$M338,"🟢利確",IF(AND($R338&lt;&gt;"",$H338&gt;=$R338),"🟠TRAIL",IF($H338&gt;=$N338,"🔴損切",IF($W338&gt;=V811設定!$B$6,"⏱時間決済",IF($H338&gt;=$F338*(1+V811設定!$B$3*0.7),"⚠️損切接近","保持継続"))))),IF($H338&gt;=$M338,"🟢利確",IF(AND($R338&lt;&gt;"",$H338&lt;=$R338),"🟠TRAIL",IF($H338&lt;=$N338,"🔴損切",IF($W338&gt;=V811設定!$B$6,"⏱時間決済",IF($H338&lt;=$F338*(1-V811設定!$B$3*0.7),"⚠️損切接近","保持継続"))))))))</f>
      </c>
      <c r="P338" s="445"/>
      <c r="Q338" s="445"/>
      <c r="R338" s="440" t="str">
        <f>IF(OR($F338="",$H338="",$N338=""),"",IF($S338="✅売却済","",IF($C338="売",IF($H338&gt;$F338*(1-V811設定!$B$3),$N338,MIN($N338,IF($Q338="",$N338,$Q338*1.03))),IF($H338&lt;$F338*(1+V811設定!$B$3),$N338,MAX($N338,IF($P338="",$N338,$P338*0.97))))))</f>
      </c>
      <c r="S338" s="440" t="str">
        <f>IF(B338="","",IF(T338&lt;&gt;"","✅売却済",IF(OR(H338="",L338=""),"📌保有中",IF(L338&gt;=0.06,"🟢利確推奨",IF(L338&gt;=0.05,"🟡利確直近",IF(L338&gt;=0.045,"🔵トレーリング検討",IF(L338&gt;-0.03,"📌保有中",IF(L338&gt;-0.04,"⚠️損切注意","🔴損切り"))))))))</f>
        <v/>
      </c>
      <c r="T338" s="597"/>
      <c r="U338" s="599"/>
      <c r="V338" s="704" t="str">
        <f>IF(OR(F338="",G338="",U338=""),"",IF(C338="売",(F338-U338)*G338,(U338-F338)*G338))</f>
        <v/>
      </c>
      <c r="W338" s="440" t="str">
        <f>IF(OR($E338="",$B338=""),"",IF($T338&lt;&gt;"",$T338-$E338,TODAY()-$E338)+1)</f>
        <v/>
      </c>
      <c r="X338" s="440" t="str">
        <f>IF(OR($AH338="",$AH338="保有中"),"",$AH338)</f>
        <v/>
      </c>
      <c r="AD338" s="608"/>
      <c r="AE338" s="600" t="str">
        <f>IF($E338="","",WORKDAY($E338,12))</f>
        <v/>
      </c>
      <c r="AF338" s="600" t="str" cm="1">
        <f t="array" aca="1" ref="AF338" ca="1">IF(OR($B338="",$M338=""),"",IFERROR(IF($C338="売",_xlfn.MINIFS(安値!$E$3:$IT$3,安値!$E$3:$IT$3,"&gt;"&amp;$E338,安値!$E$3:$IT$3,"&lt;="&amp;$AE338,OFFSET(安値!$E$6:$IT$6,MATCH(TEXT($B338,"0"),TEXT(銘柄管理!$B$6:$B$305,"0"),0)-1,0),"&lt;="&amp;$M338),_xlfn.MINIFS(高値!$E$3:$IT$3,高値!$E$3:$IT$3,"&gt;"&amp;$E338,高値!$E$3:$IT$3,"&lt;="&amp;$AE338,OFFSET(高値!$E$6:$IT$6,MATCH(TEXT($B338,"0"),TEXT(銘柄管理!$B$6:$B$305,"0"),0)-1,0),"&gt;="&amp;$M338)),""))</f>
        <v/>
      </c>
      <c r="AG338" s="600" t="str" cm="1">
        <f t="array" aca="1" ref="AG338" ca="1">IF(OR($B338="",$N338=""),"",IFERROR(IF($C338="売",_xlfn.MINIFS(高値!$E$3:$IT$3,高値!$E$3:$IT$3,"&gt;"&amp;$E338,高値!$E$3:$IT$3,"&lt;="&amp;$AE338,OFFSET(高値!$E$6:$IT$6,MATCH(TEXT($B338,"0"),TEXT(銘柄管理!$B$6:$B$305,"0"),0)-1,0),"&gt;="&amp;$N338),_xlfn.MINIFS(安値!$E$3:$IT$3,安値!$E$3:$IT$3,"&gt;"&amp;$E338,安値!$E$3:$IT$3,"&lt;="&amp;$AE338,OFFSET(安値!$E$6:$IT$6,MATCH(TEXT($B338,"0"),TEXT(銘柄管理!$B$6:$B$305,"0"),0)-1,0),"&lt;="&amp;$N338)),""))</f>
        <v/>
      </c>
      <c r="AH338" s="600" t="str">
        <f>IF(OR($B338="",$M338=""),"",IF(AND(N($AF338)=0,N($AG338)=0),IF(AND(ISNUMBER($H338),$H338&gt;0,IF($C338="売",$H338&gt;=$N338,$H338&lt;=$N338)),"損切確定",IF(AND(ISNUMBER($H338),$H338&gt;0,IF($C338="売",$H338&lt;=$M338,$H338&gt;=$M338)),"利益確定",IF($AE338&lt;=TODAY(),"日数制限","保有中"))),IF(N($AG338)=0,"利益確定",IF(N($AF338)=0,"損切確定",IF($AG338&lt;=$AF338,"損切確定","利益確定")))))</f>
        <v/>
      </c>
      <c r="AI338" s="600" t="str" cm="1">
        <f t="array" ref="AI338">IFERROR(INDEX(始値!$E$6:$IT$305,MATCH(TEXT($B338,"0"),TEXT(銘柄管理!$B$6:$B$305,"0"),0),MATCH($AE338,始値!$E$3:$IT$3,0)),"")</f>
        <v/>
      </c>
      <c r="AJ338" s="608" t="str">
        <f>IF(OR($V338="",$F338="",$G338=""),"",$V338/($F338*$G338))</f>
        <v/>
      </c>
      <c r="AK338" s="600" t="str">
        <f>IF($V338="","",IF($V338&gt;0,"○勝",IF($V338&lt;0,"●負","△引分")))</f>
        <v/>
      </c>
    </row>
    <row r="339" spans="1:37" ht="17.25" customHeight="1">
      <c r="A339" s="622" t="str">
        <f>IF(B339="","",HYPERLINK("https://kabutan.jp/stock/?code="&amp;B339,"株探"))</f>
        <v/>
      </c>
      <c r="D339" s="440" t="str" cm="1">
        <f t="array" ref="D339">_xll.RssMarket(B339, "銘柄名称")</f>
        <v/>
      </c>
      <c r="E339" s="717"/>
      <c r="F339" s="698" t="str" cm="1">
        <f t="array" aca="1" ref="F339" ca="1">IFERROR(_xlfn.LET(_xlpm.r,MATCH(TEXT($B339,"0"),TEXT(銘柄管理!$B$6:$B$305,"0"),0),_xlpm.t,MOD(NOW(),1),_xlpm.c,IF($E339=TODAY(),IF(_xlpm.t&gt;=TIME(15,30,0),NA(),1),IF(MATCH($E339,始値!$E$3:$IT$3,0)=1,1,MATCH($E339,始値!$E$3:$IT$3,0)+1)),_xlpm.v,INDEX(始値!$C$6:$IT$305,_xlpm.r,_xlpm.c),IF(N(_xlpm.v)=0,"",_xlpm.v)),"")</f>
        <v/>
      </c>
      <c r="H339" s="440" t="str" cm="1">
        <f t="array" ref="H339">_xll.RssMarket(B339, "現在値")</f>
        <v/>
      </c>
      <c r="I339" s="440" t="str" cm="1">
        <f t="array" ref="I339">_xll.RssMarket(B339, "出来高加重平均")</f>
        <v/>
      </c>
      <c r="J339" s="702" t="str" cm="1">
        <f t="array" ref="J339">_xll.RssMarket($B339, "前日比")</f>
        <v/>
      </c>
      <c r="K339" s="704" t="str">
        <f>IF(OR(F339="",G339="",H339=""),"",IF(C339="売",(F339-H339)*G339,(H339-F339)*G339))</f>
        <v/>
      </c>
      <c r="L339" s="709" t="str">
        <f>IF(OR(F339="",H339=""),"",IF(C339="売",(F339-H339)/F339,(H339-F339)/F339))</f>
        <v/>
      </c>
      <c r="M339" s="599" t="str">
        <f>IF($F339="","",$F339*IF($C339="売",1-V811設定!$B$4,1+V811設定!$B$4)-MOD($F339*IF($C339="売",1-V811設定!$B$4,1+V811設定!$B$4),IF($F339&lt;=3000,1,IF($F339&lt;=5000,5,IF($F339&lt;=30000,10,IF($F339&lt;=50000,50,IF($F339&lt;=300000,100,500))))))+IF(AND($C339="売",MOD($F339*IF($C339="売",1-V811設定!$B$4,1+V811設定!$B$4),IF($F339&lt;=3000,1,IF($F339&lt;=5000,5,IF($F339&lt;=30000,10,IF($F339&lt;=50000,50,IF($F339&lt;=300000,100,500))))))&gt;0),IF($F339&lt;=3000,1,IF($F339&lt;=5000,5,IF($F339&lt;=30000,10,IF($F339&lt;=50000,50,IF($F339&lt;=300000,100,500))))),0))</f>
      </c>
      <c r="N339" s="599" t="str">
        <f>IF($F339="","",$F339*IF($C339="売",1+V811設定!$B$3,1-V811設定!$B$3)-MOD($F339*IF($C339="売",1+V811設定!$B$3,1-V811設定!$B$3),IF($F339&lt;=3000,1,IF($F339&lt;=5000,5,IF($F339&lt;=30000,10,IF($F339&lt;=50000,50,IF($F339&lt;=300000,100,500))))))+IF(AND($C339="売",MOD($F339*IF($C339="売",1+V811設定!$B$3,1-V811設定!$B$3),IF($F339&lt;=3000,1,IF($F339&lt;=5000,5,IF($F339&lt;=30000,10,IF($F339&lt;=50000,50,IF($F339&lt;=300000,100,500))))))&gt;0),IF($F339&lt;=3000,1,IF($F339&lt;=5000,5,IF($F339&lt;=30000,10,IF($F339&lt;=50000,50,IF($F339&lt;=300000,100,500))))),0))</f>
      </c>
      <c r="O339" s="478" t="str">
        <f>IF(OR($B339="",$F339="",$H339=""),"",IF($S339="✅売却済","―決済済―",IF($C339="売",IF($H339&lt;=$M339,"🟢利確",IF(AND($R339&lt;&gt;"",$H339&gt;=$R339),"🟠TRAIL",IF($H339&gt;=$N339,"🔴損切",IF($W339&gt;=V811設定!$B$6,"⏱時間決済",IF($H339&gt;=$F339*(1+V811設定!$B$3*0.7),"⚠️損切接近","保持継続"))))),IF($H339&gt;=$M339,"🟢利確",IF(AND($R339&lt;&gt;"",$H339&lt;=$R339),"🟠TRAIL",IF($H339&lt;=$N339,"🔴損切",IF($W339&gt;=V811設定!$B$6,"⏱時間決済",IF($H339&lt;=$F339*(1-V811設定!$B$3*0.7),"⚠️損切接近","保持継続"))))))))</f>
      </c>
      <c r="P339" s="445"/>
      <c r="Q339" s="445"/>
      <c r="R339" s="440" t="str">
        <f>IF(OR($F339="",$H339="",$N339=""),"",IF($S339="✅売却済","",IF($C339="売",IF($H339&gt;$F339*(1-V811設定!$B$3),$N339,MIN($N339,IF($Q339="",$N339,$Q339*1.03))),IF($H339&lt;$F339*(1+V811設定!$B$3),$N339,MAX($N339,IF($P339="",$N339,$P339*0.97))))))</f>
      </c>
      <c r="S339" s="440" t="str">
        <f>IF(B339="","",IF(T339&lt;&gt;"","✅売却済",IF(OR(H339="",L339=""),"📌保有中",IF(L339&gt;=0.06,"🟢利確推奨",IF(L339&gt;=0.05,"🟡利確直近",IF(L339&gt;=0.045,"🔵トレーリング検討",IF(L339&gt;-0.03,"📌保有中",IF(L339&gt;-0.04,"⚠️損切注意","🔴損切り"))))))))</f>
        <v/>
      </c>
      <c r="T339" s="597"/>
      <c r="U339" s="599"/>
      <c r="V339" s="704" t="str">
        <f>IF(OR(F339="",G339="",U339=""),"",IF(C339="売",(F339-U339)*G339,(U339-F339)*G339))</f>
        <v/>
      </c>
      <c r="W339" s="440" t="str">
        <f>IF(OR($E339="",$B339=""),"",IF($T339&lt;&gt;"",$T339-$E339,TODAY()-$E339)+1)</f>
        <v/>
      </c>
      <c r="X339" s="440" t="str">
        <f>IF(OR($AH339="",$AH339="保有中"),"",$AH339)</f>
        <v/>
      </c>
      <c r="AD339" s="608"/>
      <c r="AE339" s="600" t="str">
        <f>IF($E339="","",WORKDAY($E339,12))</f>
        <v/>
      </c>
      <c r="AF339" s="600" t="str" cm="1">
        <f t="array" aca="1" ref="AF339" ca="1">IF(OR($B339="",$M339=""),"",IFERROR(IF($C339="売",_xlfn.MINIFS(安値!$E$3:$IT$3,安値!$E$3:$IT$3,"&gt;"&amp;$E339,安値!$E$3:$IT$3,"&lt;="&amp;$AE339,OFFSET(安値!$E$6:$IT$6,MATCH(TEXT($B339,"0"),TEXT(銘柄管理!$B$6:$B$305,"0"),0)-1,0),"&lt;="&amp;$M339),_xlfn.MINIFS(高値!$E$3:$IT$3,高値!$E$3:$IT$3,"&gt;"&amp;$E339,高値!$E$3:$IT$3,"&lt;="&amp;$AE339,OFFSET(高値!$E$6:$IT$6,MATCH(TEXT($B339,"0"),TEXT(銘柄管理!$B$6:$B$305,"0"),0)-1,0),"&gt;="&amp;$M339)),""))</f>
        <v/>
      </c>
      <c r="AG339" s="600" t="str" cm="1">
        <f t="array" aca="1" ref="AG339" ca="1">IF(OR($B339="",$N339=""),"",IFERROR(IF($C339="売",_xlfn.MINIFS(高値!$E$3:$IT$3,高値!$E$3:$IT$3,"&gt;"&amp;$E339,高値!$E$3:$IT$3,"&lt;="&amp;$AE339,OFFSET(高値!$E$6:$IT$6,MATCH(TEXT($B339,"0"),TEXT(銘柄管理!$B$6:$B$305,"0"),0)-1,0),"&gt;="&amp;$N339),_xlfn.MINIFS(安値!$E$3:$IT$3,安値!$E$3:$IT$3,"&gt;"&amp;$E339,安値!$E$3:$IT$3,"&lt;="&amp;$AE339,OFFSET(安値!$E$6:$IT$6,MATCH(TEXT($B339,"0"),TEXT(銘柄管理!$B$6:$B$305,"0"),0)-1,0),"&lt;="&amp;$N339)),""))</f>
        <v/>
      </c>
      <c r="AH339" s="600" t="str">
        <f>IF(OR($B339="",$M339=""),"",IF(AND(N($AF339)=0,N($AG339)=0),IF(AND(ISNUMBER($H339),$H339&gt;0,IF($C339="売",$H339&gt;=$N339,$H339&lt;=$N339)),"損切確定",IF(AND(ISNUMBER($H339),$H339&gt;0,IF($C339="売",$H339&lt;=$M339,$H339&gt;=$M339)),"利益確定",IF($AE339&lt;=TODAY(),"日数制限","保有中"))),IF(N($AG339)=0,"利益確定",IF(N($AF339)=0,"損切確定",IF($AG339&lt;=$AF339,"損切確定","利益確定")))))</f>
        <v/>
      </c>
      <c r="AI339" s="600" t="str" cm="1">
        <f t="array" ref="AI339">IFERROR(INDEX(始値!$E$6:$IT$305,MATCH(TEXT($B339,"0"),TEXT(銘柄管理!$B$6:$B$305,"0"),0),MATCH($AE339,始値!$E$3:$IT$3,0)),"")</f>
        <v/>
      </c>
      <c r="AJ339" s="608" t="str">
        <f>IF(OR($V339="",$F339="",$G339=""),"",$V339/($F339*$G339))</f>
        <v/>
      </c>
      <c r="AK339" s="600" t="str">
        <f>IF($V339="","",IF($V339&gt;0,"○勝",IF($V339&lt;0,"●負","△引分")))</f>
        <v/>
      </c>
    </row>
    <row r="340" spans="1:37" ht="17.25" customHeight="1">
      <c r="A340" s="622" t="str">
        <f>IF(B340="","",HYPERLINK("https://kabutan.jp/stock/?code="&amp;B340,"株探"))</f>
        <v/>
      </c>
      <c r="D340" s="440" t="str" cm="1">
        <f t="array" ref="D340">_xll.RssMarket(B340, "銘柄名称")</f>
        <v/>
      </c>
      <c r="E340" s="717"/>
      <c r="F340" s="698" t="str" cm="1">
        <f t="array" aca="1" ref="F340" ca="1">IFERROR(_xlfn.LET(_xlpm.r,MATCH(TEXT($B340,"0"),TEXT(銘柄管理!$B$6:$B$305,"0"),0),_xlpm.t,MOD(NOW(),1),_xlpm.c,IF($E340=TODAY(),IF(_xlpm.t&gt;=TIME(15,30,0),NA(),1),IF(MATCH($E340,始値!$E$3:$IT$3,0)=1,1,MATCH($E340,始値!$E$3:$IT$3,0)+1)),_xlpm.v,INDEX(始値!$C$6:$IT$305,_xlpm.r,_xlpm.c),IF(N(_xlpm.v)=0,"",_xlpm.v)),"")</f>
        <v/>
      </c>
      <c r="H340" s="440" t="str" cm="1">
        <f t="array" ref="H340">_xll.RssMarket(B340, "現在値")</f>
        <v/>
      </c>
      <c r="I340" s="440" t="str" cm="1">
        <f t="array" ref="I340">_xll.RssMarket(B340, "出来高加重平均")</f>
        <v/>
      </c>
      <c r="J340" s="702" t="str" cm="1">
        <f t="array" ref="J340">_xll.RssMarket($B340, "前日比")</f>
        <v/>
      </c>
      <c r="K340" s="704" t="str">
        <f>IF(OR(F340="",G340="",H340=""),"",IF(C340="売",(F340-H340)*G340,(H340-F340)*G340))</f>
        <v/>
      </c>
      <c r="L340" s="709" t="str">
        <f>IF(OR(F340="",H340=""),"",IF(C340="売",(F340-H340)/F340,(H340-F340)/F340))</f>
        <v/>
      </c>
      <c r="M340" s="599" t="str">
        <f>IF($F340="","",$F340*IF($C340="売",1-V811設定!$B$4,1+V811設定!$B$4)-MOD($F340*IF($C340="売",1-V811設定!$B$4,1+V811設定!$B$4),IF($F340&lt;=3000,1,IF($F340&lt;=5000,5,IF($F340&lt;=30000,10,IF($F340&lt;=50000,50,IF($F340&lt;=300000,100,500))))))+IF(AND($C340="売",MOD($F340*IF($C340="売",1-V811設定!$B$4,1+V811設定!$B$4),IF($F340&lt;=3000,1,IF($F340&lt;=5000,5,IF($F340&lt;=30000,10,IF($F340&lt;=50000,50,IF($F340&lt;=300000,100,500))))))&gt;0),IF($F340&lt;=3000,1,IF($F340&lt;=5000,5,IF($F340&lt;=30000,10,IF($F340&lt;=50000,50,IF($F340&lt;=300000,100,500))))),0))</f>
      </c>
      <c r="N340" s="599" t="str">
        <f>IF($F340="","",$F340*IF($C340="売",1+V811設定!$B$3,1-V811設定!$B$3)-MOD($F340*IF($C340="売",1+V811設定!$B$3,1-V811設定!$B$3),IF($F340&lt;=3000,1,IF($F340&lt;=5000,5,IF($F340&lt;=30000,10,IF($F340&lt;=50000,50,IF($F340&lt;=300000,100,500))))))+IF(AND($C340="売",MOD($F340*IF($C340="売",1+V811設定!$B$3,1-V811設定!$B$3),IF($F340&lt;=3000,1,IF($F340&lt;=5000,5,IF($F340&lt;=30000,10,IF($F340&lt;=50000,50,IF($F340&lt;=300000,100,500))))))&gt;0),IF($F340&lt;=3000,1,IF($F340&lt;=5000,5,IF($F340&lt;=30000,10,IF($F340&lt;=50000,50,IF($F340&lt;=300000,100,500))))),0))</f>
      </c>
      <c r="O340" s="478" t="str">
        <f>IF(OR($B340="",$F340="",$H340=""),"",IF($S340="✅売却済","―決済済―",IF($C340="売",IF($H340&lt;=$M340,"🟢利確",IF(AND($R340&lt;&gt;"",$H340&gt;=$R340),"🟠TRAIL",IF($H340&gt;=$N340,"🔴損切",IF($W340&gt;=V811設定!$B$6,"⏱時間決済",IF($H340&gt;=$F340*(1+V811設定!$B$3*0.7),"⚠️損切接近","保持継続"))))),IF($H340&gt;=$M340,"🟢利確",IF(AND($R340&lt;&gt;"",$H340&lt;=$R340),"🟠TRAIL",IF($H340&lt;=$N340,"🔴損切",IF($W340&gt;=V811設定!$B$6,"⏱時間決済",IF($H340&lt;=$F340*(1-V811設定!$B$3*0.7),"⚠️損切接近","保持継続"))))))))</f>
      </c>
      <c r="P340" s="445"/>
      <c r="Q340" s="445"/>
      <c r="R340" s="440" t="str">
        <f>IF(OR($F340="",$H340="",$N340=""),"",IF($S340="✅売却済","",IF($C340="売",IF($H340&gt;$F340*(1-V811設定!$B$3),$N340,MIN($N340,IF($Q340="",$N340,$Q340*1.03))),IF($H340&lt;$F340*(1+V811設定!$B$3),$N340,MAX($N340,IF($P340="",$N340,$P340*0.97))))))</f>
      </c>
      <c r="S340" s="440" t="str">
        <f>IF(B340="","",IF(T340&lt;&gt;"","✅売却済",IF(OR(H340="",L340=""),"📌保有中",IF(L340&gt;=0.06,"🟢利確推奨",IF(L340&gt;=0.05,"🟡利確直近",IF(L340&gt;=0.045,"🔵トレーリング検討",IF(L340&gt;-0.03,"📌保有中",IF(L340&gt;-0.04,"⚠️損切注意","🔴損切り"))))))))</f>
        <v/>
      </c>
      <c r="T340" s="597"/>
      <c r="U340" s="599"/>
      <c r="V340" s="704" t="str">
        <f>IF(OR(F340="",G340="",U340=""),"",IF(C340="売",(F340-U340)*G340,(U340-F340)*G340))</f>
        <v/>
      </c>
      <c r="W340" s="440" t="str">
        <f>IF(OR($E340="",$B340=""),"",IF($T340&lt;&gt;"",$T340-$E340,TODAY()-$E340)+1)</f>
        <v/>
      </c>
      <c r="X340" s="440" t="str">
        <f>IF(OR($AH340="",$AH340="保有中"),"",$AH340)</f>
        <v/>
      </c>
      <c r="AD340" s="608"/>
      <c r="AE340" s="600" t="str">
        <f>IF($E340="","",WORKDAY($E340,12))</f>
        <v/>
      </c>
      <c r="AF340" s="600" t="str" cm="1">
        <f t="array" aca="1" ref="AF340" ca="1">IF(OR($B340="",$M340=""),"",IFERROR(IF($C340="売",_xlfn.MINIFS(安値!$E$3:$IT$3,安値!$E$3:$IT$3,"&gt;"&amp;$E340,安値!$E$3:$IT$3,"&lt;="&amp;$AE340,OFFSET(安値!$E$6:$IT$6,MATCH(TEXT($B340,"0"),TEXT(銘柄管理!$B$6:$B$305,"0"),0)-1,0),"&lt;="&amp;$M340),_xlfn.MINIFS(高値!$E$3:$IT$3,高値!$E$3:$IT$3,"&gt;"&amp;$E340,高値!$E$3:$IT$3,"&lt;="&amp;$AE340,OFFSET(高値!$E$6:$IT$6,MATCH(TEXT($B340,"0"),TEXT(銘柄管理!$B$6:$B$305,"0"),0)-1,0),"&gt;="&amp;$M340)),""))</f>
        <v/>
      </c>
      <c r="AG340" s="600" t="str" cm="1">
        <f t="array" aca="1" ref="AG340" ca="1">IF(OR($B340="",$N340=""),"",IFERROR(IF($C340="売",_xlfn.MINIFS(高値!$E$3:$IT$3,高値!$E$3:$IT$3,"&gt;"&amp;$E340,高値!$E$3:$IT$3,"&lt;="&amp;$AE340,OFFSET(高値!$E$6:$IT$6,MATCH(TEXT($B340,"0"),TEXT(銘柄管理!$B$6:$B$305,"0"),0)-1,0),"&gt;="&amp;$N340),_xlfn.MINIFS(安値!$E$3:$IT$3,安値!$E$3:$IT$3,"&gt;"&amp;$E340,安値!$E$3:$IT$3,"&lt;="&amp;$AE340,OFFSET(安値!$E$6:$IT$6,MATCH(TEXT($B340,"0"),TEXT(銘柄管理!$B$6:$B$305,"0"),0)-1,0),"&lt;="&amp;$N340)),""))</f>
        <v/>
      </c>
      <c r="AH340" s="600" t="str">
        <f>IF(OR($B340="",$M340=""),"",IF(AND(N($AF340)=0,N($AG340)=0),IF(AND(ISNUMBER($H340),$H340&gt;0,IF($C340="売",$H340&gt;=$N340,$H340&lt;=$N340)),"損切確定",IF(AND(ISNUMBER($H340),$H340&gt;0,IF($C340="売",$H340&lt;=$M340,$H340&gt;=$M340)),"利益確定",IF($AE340&lt;=TODAY(),"日数制限","保有中"))),IF(N($AG340)=0,"利益確定",IF(N($AF340)=0,"損切確定",IF($AG340&lt;=$AF340,"損切確定","利益確定")))))</f>
        <v/>
      </c>
      <c r="AI340" s="600" t="str" cm="1">
        <f t="array" ref="AI340">IFERROR(INDEX(始値!$E$6:$IT$305,MATCH(TEXT($B340,"0"),TEXT(銘柄管理!$B$6:$B$305,"0"),0),MATCH($AE340,始値!$E$3:$IT$3,0)),"")</f>
        <v/>
      </c>
      <c r="AJ340" s="608" t="str">
        <f>IF(OR($V340="",$F340="",$G340=""),"",$V340/($F340*$G340))</f>
        <v/>
      </c>
      <c r="AK340" s="600" t="str">
        <f>IF($V340="","",IF($V340&gt;0,"○勝",IF($V340&lt;0,"●負","△引分")))</f>
        <v/>
      </c>
    </row>
    <row r="341" spans="1:37" ht="17.25" customHeight="1">
      <c r="A341" s="622" t="str">
        <f>IF(B341="","",HYPERLINK("https://kabutan.jp/stock/?code="&amp;B341,"株探"))</f>
        <v/>
      </c>
      <c r="D341" s="440" t="str" cm="1">
        <f t="array" ref="D341">_xll.RssMarket(B341, "銘柄名称")</f>
        <v/>
      </c>
      <c r="E341" s="717"/>
      <c r="F341" s="698" t="str" cm="1">
        <f t="array" aca="1" ref="F341" ca="1">IFERROR(_xlfn.LET(_xlpm.r,MATCH(TEXT($B341,"0"),TEXT(銘柄管理!$B$6:$B$305,"0"),0),_xlpm.t,MOD(NOW(),1),_xlpm.c,IF($E341=TODAY(),IF(_xlpm.t&gt;=TIME(15,30,0),NA(),1),IF(MATCH($E341,始値!$E$3:$IT$3,0)=1,1,MATCH($E341,始値!$E$3:$IT$3,0)+1)),_xlpm.v,INDEX(始値!$C$6:$IT$305,_xlpm.r,_xlpm.c),IF(N(_xlpm.v)=0,"",_xlpm.v)),"")</f>
        <v/>
      </c>
      <c r="H341" s="440" t="str" cm="1">
        <f t="array" ref="H341">_xll.RssMarket(B341, "現在値")</f>
        <v/>
      </c>
      <c r="I341" s="440" t="str" cm="1">
        <f t="array" ref="I341">_xll.RssMarket(B341, "出来高加重平均")</f>
        <v/>
      </c>
      <c r="J341" s="702" t="str" cm="1">
        <f t="array" ref="J341">_xll.RssMarket($B341, "前日比")</f>
        <v/>
      </c>
      <c r="K341" s="704" t="str">
        <f>IF(OR(F341="",G341="",H341=""),"",IF(C341="売",(F341-H341)*G341,(H341-F341)*G341))</f>
        <v/>
      </c>
      <c r="L341" s="709" t="str">
        <f>IF(OR(F341="",H341=""),"",IF(C341="売",(F341-H341)/F341,(H341-F341)/F341))</f>
        <v/>
      </c>
      <c r="M341" s="599" t="str">
        <f>IF($F341="","",$F341*IF($C341="売",1-V811設定!$B$4,1+V811設定!$B$4)-MOD($F341*IF($C341="売",1-V811設定!$B$4,1+V811設定!$B$4),IF($F341&lt;=3000,1,IF($F341&lt;=5000,5,IF($F341&lt;=30000,10,IF($F341&lt;=50000,50,IF($F341&lt;=300000,100,500))))))+IF(AND($C341="売",MOD($F341*IF($C341="売",1-V811設定!$B$4,1+V811設定!$B$4),IF($F341&lt;=3000,1,IF($F341&lt;=5000,5,IF($F341&lt;=30000,10,IF($F341&lt;=50000,50,IF($F341&lt;=300000,100,500))))))&gt;0),IF($F341&lt;=3000,1,IF($F341&lt;=5000,5,IF($F341&lt;=30000,10,IF($F341&lt;=50000,50,IF($F341&lt;=300000,100,500))))),0))</f>
      </c>
      <c r="N341" s="599" t="str">
        <f>IF($F341="","",$F341*IF($C341="売",1+V811設定!$B$3,1-V811設定!$B$3)-MOD($F341*IF($C341="売",1+V811設定!$B$3,1-V811設定!$B$3),IF($F341&lt;=3000,1,IF($F341&lt;=5000,5,IF($F341&lt;=30000,10,IF($F341&lt;=50000,50,IF($F341&lt;=300000,100,500))))))+IF(AND($C341="売",MOD($F341*IF($C341="売",1+V811設定!$B$3,1-V811設定!$B$3),IF($F341&lt;=3000,1,IF($F341&lt;=5000,5,IF($F341&lt;=30000,10,IF($F341&lt;=50000,50,IF($F341&lt;=300000,100,500))))))&gt;0),IF($F341&lt;=3000,1,IF($F341&lt;=5000,5,IF($F341&lt;=30000,10,IF($F341&lt;=50000,50,IF($F341&lt;=300000,100,500))))),0))</f>
      </c>
      <c r="O341" s="478" t="str">
        <f>IF(OR($B341="",$F341="",$H341=""),"",IF($S341="✅売却済","―決済済―",IF($C341="売",IF($H341&lt;=$M341,"🟢利確",IF(AND($R341&lt;&gt;"",$H341&gt;=$R341),"🟠TRAIL",IF($H341&gt;=$N341,"🔴損切",IF($W341&gt;=V811設定!$B$6,"⏱時間決済",IF($H341&gt;=$F341*(1+V811設定!$B$3*0.7),"⚠️損切接近","保持継続"))))),IF($H341&gt;=$M341,"🟢利確",IF(AND($R341&lt;&gt;"",$H341&lt;=$R341),"🟠TRAIL",IF($H341&lt;=$N341,"🔴損切",IF($W341&gt;=V811設定!$B$6,"⏱時間決済",IF($H341&lt;=$F341*(1-V811設定!$B$3*0.7),"⚠️損切接近","保持継続"))))))))</f>
      </c>
      <c r="P341" s="445"/>
      <c r="Q341" s="445"/>
      <c r="R341" s="440" t="str">
        <f>IF(OR($F341="",$H341="",$N341=""),"",IF($S341="✅売却済","",IF($C341="売",IF($H341&gt;$F341*(1-V811設定!$B$3),$N341,MIN($N341,IF($Q341="",$N341,$Q341*1.03))),IF($H341&lt;$F341*(1+V811設定!$B$3),$N341,MAX($N341,IF($P341="",$N341,$P341*0.97))))))</f>
      </c>
      <c r="S341" s="440" t="str">
        <f>IF(B341="","",IF(T341&lt;&gt;"","✅売却済",IF(OR(H341="",L341=""),"📌保有中",IF(L341&gt;=0.06,"🟢利確推奨",IF(L341&gt;=0.05,"🟡利確直近",IF(L341&gt;=0.045,"🔵トレーリング検討",IF(L341&gt;-0.03,"📌保有中",IF(L341&gt;-0.04,"⚠️損切注意","🔴損切り"))))))))</f>
        <v/>
      </c>
      <c r="T341" s="597"/>
      <c r="U341" s="599"/>
      <c r="V341" s="704" t="str">
        <f>IF(OR(F341="",G341="",U341=""),"",IF(C341="売",(F341-U341)*G341,(U341-F341)*G341))</f>
        <v/>
      </c>
      <c r="W341" s="440" t="str">
        <f>IF(OR($E341="",$B341=""),"",IF($T341&lt;&gt;"",$T341-$E341,TODAY()-$E341)+1)</f>
        <v/>
      </c>
      <c r="X341" s="440" t="str">
        <f>IF(OR($AH341="",$AH341="保有中"),"",$AH341)</f>
        <v/>
      </c>
      <c r="AD341" s="608"/>
      <c r="AE341" s="600" t="str">
        <f>IF($E341="","",WORKDAY($E341,12))</f>
        <v/>
      </c>
      <c r="AF341" s="600" t="str" cm="1">
        <f t="array" aca="1" ref="AF341" ca="1">IF(OR($B341="",$M341=""),"",IFERROR(IF($C341="売",_xlfn.MINIFS(安値!$E$3:$IT$3,安値!$E$3:$IT$3,"&gt;"&amp;$E341,安値!$E$3:$IT$3,"&lt;="&amp;$AE341,OFFSET(安値!$E$6:$IT$6,MATCH(TEXT($B341,"0"),TEXT(銘柄管理!$B$6:$B$305,"0"),0)-1,0),"&lt;="&amp;$M341),_xlfn.MINIFS(高値!$E$3:$IT$3,高値!$E$3:$IT$3,"&gt;"&amp;$E341,高値!$E$3:$IT$3,"&lt;="&amp;$AE341,OFFSET(高値!$E$6:$IT$6,MATCH(TEXT($B341,"0"),TEXT(銘柄管理!$B$6:$B$305,"0"),0)-1,0),"&gt;="&amp;$M341)),""))</f>
        <v/>
      </c>
      <c r="AG341" s="600" t="str" cm="1">
        <f t="array" aca="1" ref="AG341" ca="1">IF(OR($B341="",$N341=""),"",IFERROR(IF($C341="売",_xlfn.MINIFS(高値!$E$3:$IT$3,高値!$E$3:$IT$3,"&gt;"&amp;$E341,高値!$E$3:$IT$3,"&lt;="&amp;$AE341,OFFSET(高値!$E$6:$IT$6,MATCH(TEXT($B341,"0"),TEXT(銘柄管理!$B$6:$B$305,"0"),0)-1,0),"&gt;="&amp;$N341),_xlfn.MINIFS(安値!$E$3:$IT$3,安値!$E$3:$IT$3,"&gt;"&amp;$E341,安値!$E$3:$IT$3,"&lt;="&amp;$AE341,OFFSET(安値!$E$6:$IT$6,MATCH(TEXT($B341,"0"),TEXT(銘柄管理!$B$6:$B$305,"0"),0)-1,0),"&lt;="&amp;$N341)),""))</f>
        <v/>
      </c>
      <c r="AH341" s="600" t="str">
        <f>IF(OR($B341="",$M341=""),"",IF(AND(N($AF341)=0,N($AG341)=0),IF(AND(ISNUMBER($H341),$H341&gt;0,IF($C341="売",$H341&gt;=$N341,$H341&lt;=$N341)),"損切確定",IF(AND(ISNUMBER($H341),$H341&gt;0,IF($C341="売",$H341&lt;=$M341,$H341&gt;=$M341)),"利益確定",IF($AE341&lt;=TODAY(),"日数制限","保有中"))),IF(N($AG341)=0,"利益確定",IF(N($AF341)=0,"損切確定",IF($AG341&lt;=$AF341,"損切確定","利益確定")))))</f>
        <v/>
      </c>
      <c r="AI341" s="600" t="str" cm="1">
        <f t="array" ref="AI341">IFERROR(INDEX(始値!$E$6:$IT$305,MATCH(TEXT($B341,"0"),TEXT(銘柄管理!$B$6:$B$305,"0"),0),MATCH($AE341,始値!$E$3:$IT$3,0)),"")</f>
        <v/>
      </c>
      <c r="AJ341" s="608" t="str">
        <f>IF(OR($V341="",$F341="",$G341=""),"",$V341/($F341*$G341))</f>
        <v/>
      </c>
      <c r="AK341" s="600" t="str">
        <f>IF($V341="","",IF($V341&gt;0,"○勝",IF($V341&lt;0,"●負","△引分")))</f>
        <v/>
      </c>
    </row>
    <row r="342" spans="1:37" ht="17.25" customHeight="1">
      <c r="A342" s="622" t="str">
        <f>IF(B342="","",HYPERLINK("https://kabutan.jp/stock/?code="&amp;B342,"株探"))</f>
        <v/>
      </c>
      <c r="D342" s="440" t="str" cm="1">
        <f t="array" ref="D342">_xll.RssMarket(B342, "銘柄名称")</f>
        <v/>
      </c>
      <c r="E342" s="717"/>
      <c r="F342" s="698" t="str" cm="1">
        <f t="array" aca="1" ref="F342" ca="1">IFERROR(_xlfn.LET(_xlpm.r,MATCH(TEXT($B342,"0"),TEXT(銘柄管理!$B$6:$B$305,"0"),0),_xlpm.t,MOD(NOW(),1),_xlpm.c,IF($E342=TODAY(),IF(_xlpm.t&gt;=TIME(15,30,0),NA(),1),IF(MATCH($E342,始値!$E$3:$IT$3,0)=1,1,MATCH($E342,始値!$E$3:$IT$3,0)+1)),_xlpm.v,INDEX(始値!$C$6:$IT$305,_xlpm.r,_xlpm.c),IF(N(_xlpm.v)=0,"",_xlpm.v)),"")</f>
        <v/>
      </c>
      <c r="H342" s="440" t="str" cm="1">
        <f t="array" ref="H342">_xll.RssMarket(B342, "現在値")</f>
        <v/>
      </c>
      <c r="I342" s="440" t="str" cm="1">
        <f t="array" ref="I342">_xll.RssMarket(B342, "出来高加重平均")</f>
        <v/>
      </c>
      <c r="J342" s="702" t="str" cm="1">
        <f t="array" ref="J342">_xll.RssMarket($B342, "前日比")</f>
        <v/>
      </c>
      <c r="K342" s="704" t="str">
        <f>IF(OR(F342="",G342="",H342=""),"",IF(C342="売",(F342-H342)*G342,(H342-F342)*G342))</f>
        <v/>
      </c>
      <c r="L342" s="709" t="str">
        <f>IF(OR(F342="",H342=""),"",IF(C342="売",(F342-H342)/F342,(H342-F342)/F342))</f>
        <v/>
      </c>
      <c r="M342" s="599" t="str">
        <f>IF($F342="","",$F342*IF($C342="売",1-V811設定!$B$4,1+V811設定!$B$4)-MOD($F342*IF($C342="売",1-V811設定!$B$4,1+V811設定!$B$4),IF($F342&lt;=3000,1,IF($F342&lt;=5000,5,IF($F342&lt;=30000,10,IF($F342&lt;=50000,50,IF($F342&lt;=300000,100,500))))))+IF(AND($C342="売",MOD($F342*IF($C342="売",1-V811設定!$B$4,1+V811設定!$B$4),IF($F342&lt;=3000,1,IF($F342&lt;=5000,5,IF($F342&lt;=30000,10,IF($F342&lt;=50000,50,IF($F342&lt;=300000,100,500))))))&gt;0),IF($F342&lt;=3000,1,IF($F342&lt;=5000,5,IF($F342&lt;=30000,10,IF($F342&lt;=50000,50,IF($F342&lt;=300000,100,500))))),0))</f>
      </c>
      <c r="N342" s="599" t="str">
        <f>IF($F342="","",$F342*IF($C342="売",1+V811設定!$B$3,1-V811設定!$B$3)-MOD($F342*IF($C342="売",1+V811設定!$B$3,1-V811設定!$B$3),IF($F342&lt;=3000,1,IF($F342&lt;=5000,5,IF($F342&lt;=30000,10,IF($F342&lt;=50000,50,IF($F342&lt;=300000,100,500))))))+IF(AND($C342="売",MOD($F342*IF($C342="売",1+V811設定!$B$3,1-V811設定!$B$3),IF($F342&lt;=3000,1,IF($F342&lt;=5000,5,IF($F342&lt;=30000,10,IF($F342&lt;=50000,50,IF($F342&lt;=300000,100,500))))))&gt;0),IF($F342&lt;=3000,1,IF($F342&lt;=5000,5,IF($F342&lt;=30000,10,IF($F342&lt;=50000,50,IF($F342&lt;=300000,100,500))))),0))</f>
      </c>
      <c r="O342" s="478" t="str">
        <f>IF(OR($B342="",$F342="",$H342=""),"",IF($S342="✅売却済","―決済済―",IF($C342="売",IF($H342&lt;=$M342,"🟢利確",IF(AND($R342&lt;&gt;"",$H342&gt;=$R342),"🟠TRAIL",IF($H342&gt;=$N342,"🔴損切",IF($W342&gt;=V811設定!$B$6,"⏱時間決済",IF($H342&gt;=$F342*(1+V811設定!$B$3*0.7),"⚠️損切接近","保持継続"))))),IF($H342&gt;=$M342,"🟢利確",IF(AND($R342&lt;&gt;"",$H342&lt;=$R342),"🟠TRAIL",IF($H342&lt;=$N342,"🔴損切",IF($W342&gt;=V811設定!$B$6,"⏱時間決済",IF($H342&lt;=$F342*(1-V811設定!$B$3*0.7),"⚠️損切接近","保持継続"))))))))</f>
      </c>
      <c r="P342" s="445"/>
      <c r="Q342" s="445"/>
      <c r="R342" s="440" t="str">
        <f>IF(OR($F342="",$H342="",$N342=""),"",IF($S342="✅売却済","",IF($C342="売",IF($H342&gt;$F342*(1-V811設定!$B$3),$N342,MIN($N342,IF($Q342="",$N342,$Q342*1.03))),IF($H342&lt;$F342*(1+V811設定!$B$3),$N342,MAX($N342,IF($P342="",$N342,$P342*0.97))))))</f>
      </c>
      <c r="S342" s="440" t="str">
        <f>IF(B342="","",IF(T342&lt;&gt;"","✅売却済",IF(OR(H342="",L342=""),"📌保有中",IF(L342&gt;=0.06,"🟢利確推奨",IF(L342&gt;=0.05,"🟡利確直近",IF(L342&gt;=0.045,"🔵トレーリング検討",IF(L342&gt;-0.03,"📌保有中",IF(L342&gt;-0.04,"⚠️損切注意","🔴損切り"))))))))</f>
        <v/>
      </c>
      <c r="T342" s="597"/>
      <c r="U342" s="599"/>
      <c r="V342" s="704" t="str">
        <f>IF(OR(F342="",G342="",U342=""),"",IF(C342="売",(F342-U342)*G342,(U342-F342)*G342))</f>
        <v/>
      </c>
      <c r="W342" s="440" t="str">
        <f>IF(OR($E342="",$B342=""),"",IF($T342&lt;&gt;"",$T342-$E342,TODAY()-$E342)+1)</f>
        <v/>
      </c>
      <c r="X342" s="440" t="str">
        <f>IF(OR($AH342="",$AH342="保有中"),"",$AH342)</f>
        <v/>
      </c>
      <c r="AD342" s="608"/>
      <c r="AE342" s="600" t="str">
        <f>IF($E342="","",WORKDAY($E342,12))</f>
        <v/>
      </c>
      <c r="AF342" s="600" t="str" cm="1">
        <f t="array" aca="1" ref="AF342" ca="1">IF(OR($B342="",$M342=""),"",IFERROR(IF($C342="売",_xlfn.MINIFS(安値!$E$3:$IT$3,安値!$E$3:$IT$3,"&gt;"&amp;$E342,安値!$E$3:$IT$3,"&lt;="&amp;$AE342,OFFSET(安値!$E$6:$IT$6,MATCH(TEXT($B342,"0"),TEXT(銘柄管理!$B$6:$B$305,"0"),0)-1,0),"&lt;="&amp;$M342),_xlfn.MINIFS(高値!$E$3:$IT$3,高値!$E$3:$IT$3,"&gt;"&amp;$E342,高値!$E$3:$IT$3,"&lt;="&amp;$AE342,OFFSET(高値!$E$6:$IT$6,MATCH(TEXT($B342,"0"),TEXT(銘柄管理!$B$6:$B$305,"0"),0)-1,0),"&gt;="&amp;$M342)),""))</f>
        <v/>
      </c>
      <c r="AG342" s="600" t="str" cm="1">
        <f t="array" aca="1" ref="AG342" ca="1">IF(OR($B342="",$N342=""),"",IFERROR(IF($C342="売",_xlfn.MINIFS(高値!$E$3:$IT$3,高値!$E$3:$IT$3,"&gt;"&amp;$E342,高値!$E$3:$IT$3,"&lt;="&amp;$AE342,OFFSET(高値!$E$6:$IT$6,MATCH(TEXT($B342,"0"),TEXT(銘柄管理!$B$6:$B$305,"0"),0)-1,0),"&gt;="&amp;$N342),_xlfn.MINIFS(安値!$E$3:$IT$3,安値!$E$3:$IT$3,"&gt;"&amp;$E342,安値!$E$3:$IT$3,"&lt;="&amp;$AE342,OFFSET(安値!$E$6:$IT$6,MATCH(TEXT($B342,"0"),TEXT(銘柄管理!$B$6:$B$305,"0"),0)-1,0),"&lt;="&amp;$N342)),""))</f>
        <v/>
      </c>
      <c r="AH342" s="600" t="str">
        <f>IF(OR($B342="",$M342=""),"",IF(AND(N($AF342)=0,N($AG342)=0),IF(AND(ISNUMBER($H342),$H342&gt;0,IF($C342="売",$H342&gt;=$N342,$H342&lt;=$N342)),"損切確定",IF(AND(ISNUMBER($H342),$H342&gt;0,IF($C342="売",$H342&lt;=$M342,$H342&gt;=$M342)),"利益確定",IF($AE342&lt;=TODAY(),"日数制限","保有中"))),IF(N($AG342)=0,"利益確定",IF(N($AF342)=0,"損切確定",IF($AG342&lt;=$AF342,"損切確定","利益確定")))))</f>
        <v/>
      </c>
      <c r="AI342" s="600" t="str" cm="1">
        <f t="array" ref="AI342">IFERROR(INDEX(始値!$E$6:$IT$305,MATCH(TEXT($B342,"0"),TEXT(銘柄管理!$B$6:$B$305,"0"),0),MATCH($AE342,始値!$E$3:$IT$3,0)),"")</f>
        <v/>
      </c>
      <c r="AJ342" s="608" t="str">
        <f>IF(OR($V342="",$F342="",$G342=""),"",$V342/($F342*$G342))</f>
        <v/>
      </c>
      <c r="AK342" s="600" t="str">
        <f>IF($V342="","",IF($V342&gt;0,"○勝",IF($V342&lt;0,"●負","△引分")))</f>
        <v/>
      </c>
    </row>
    <row r="343" spans="1:37" ht="17.25" customHeight="1">
      <c r="A343" s="622" t="str">
        <f>IF(B343="","",HYPERLINK("https://kabutan.jp/stock/?code="&amp;B343,"株探"))</f>
        <v/>
      </c>
      <c r="D343" s="440" t="str" cm="1">
        <f t="array" ref="D343">_xll.RssMarket(B343, "銘柄名称")</f>
        <v/>
      </c>
      <c r="E343" s="717"/>
      <c r="F343" s="698" t="str" cm="1">
        <f t="array" aca="1" ref="F343" ca="1">IFERROR(_xlfn.LET(_xlpm.r,MATCH(TEXT($B343,"0"),TEXT(銘柄管理!$B$6:$B$305,"0"),0),_xlpm.t,MOD(NOW(),1),_xlpm.c,IF($E343=TODAY(),IF(_xlpm.t&gt;=TIME(15,30,0),NA(),1),IF(MATCH($E343,始値!$E$3:$IT$3,0)=1,1,MATCH($E343,始値!$E$3:$IT$3,0)+1)),_xlpm.v,INDEX(始値!$C$6:$IT$305,_xlpm.r,_xlpm.c),IF(N(_xlpm.v)=0,"",_xlpm.v)),"")</f>
        <v/>
      </c>
      <c r="H343" s="440" t="str" cm="1">
        <f t="array" ref="H343">_xll.RssMarket(B343, "現在値")</f>
        <v/>
      </c>
      <c r="I343" s="440" t="str" cm="1">
        <f t="array" ref="I343">_xll.RssMarket(B343, "出来高加重平均")</f>
        <v/>
      </c>
      <c r="J343" s="702" t="str" cm="1">
        <f t="array" ref="J343">_xll.RssMarket($B343, "前日比")</f>
        <v/>
      </c>
      <c r="K343" s="704" t="str">
        <f>IF(OR(F343="",G343="",H343=""),"",IF(C343="売",(F343-H343)*G343,(H343-F343)*G343))</f>
        <v/>
      </c>
      <c r="L343" s="709" t="str">
        <f>IF(OR(F343="",H343=""),"",IF(C343="売",(F343-H343)/F343,(H343-F343)/F343))</f>
        <v/>
      </c>
      <c r="M343" s="599" t="str">
        <f>IF($F343="","",$F343*IF($C343="売",1-V811設定!$B$4,1+V811設定!$B$4)-MOD($F343*IF($C343="売",1-V811設定!$B$4,1+V811設定!$B$4),IF($F343&lt;=3000,1,IF($F343&lt;=5000,5,IF($F343&lt;=30000,10,IF($F343&lt;=50000,50,IF($F343&lt;=300000,100,500))))))+IF(AND($C343="売",MOD($F343*IF($C343="売",1-V811設定!$B$4,1+V811設定!$B$4),IF($F343&lt;=3000,1,IF($F343&lt;=5000,5,IF($F343&lt;=30000,10,IF($F343&lt;=50000,50,IF($F343&lt;=300000,100,500))))))&gt;0),IF($F343&lt;=3000,1,IF($F343&lt;=5000,5,IF($F343&lt;=30000,10,IF($F343&lt;=50000,50,IF($F343&lt;=300000,100,500))))),0))</f>
      </c>
      <c r="N343" s="599" t="str">
        <f>IF($F343="","",$F343*IF($C343="売",1+V811設定!$B$3,1-V811設定!$B$3)-MOD($F343*IF($C343="売",1+V811設定!$B$3,1-V811設定!$B$3),IF($F343&lt;=3000,1,IF($F343&lt;=5000,5,IF($F343&lt;=30000,10,IF($F343&lt;=50000,50,IF($F343&lt;=300000,100,500))))))+IF(AND($C343="売",MOD($F343*IF($C343="売",1+V811設定!$B$3,1-V811設定!$B$3),IF($F343&lt;=3000,1,IF($F343&lt;=5000,5,IF($F343&lt;=30000,10,IF($F343&lt;=50000,50,IF($F343&lt;=300000,100,500))))))&gt;0),IF($F343&lt;=3000,1,IF($F343&lt;=5000,5,IF($F343&lt;=30000,10,IF($F343&lt;=50000,50,IF($F343&lt;=300000,100,500))))),0))</f>
      </c>
      <c r="O343" s="478" t="str">
        <f>IF(OR($B343="",$F343="",$H343=""),"",IF($S343="✅売却済","―決済済―",IF($C343="売",IF($H343&lt;=$M343,"🟢利確",IF(AND($R343&lt;&gt;"",$H343&gt;=$R343),"🟠TRAIL",IF($H343&gt;=$N343,"🔴損切",IF($W343&gt;=V811設定!$B$6,"⏱時間決済",IF($H343&gt;=$F343*(1+V811設定!$B$3*0.7),"⚠️損切接近","保持継続"))))),IF($H343&gt;=$M343,"🟢利確",IF(AND($R343&lt;&gt;"",$H343&lt;=$R343),"🟠TRAIL",IF($H343&lt;=$N343,"🔴損切",IF($W343&gt;=V811設定!$B$6,"⏱時間決済",IF($H343&lt;=$F343*(1-V811設定!$B$3*0.7),"⚠️損切接近","保持継続"))))))))</f>
      </c>
      <c r="P343" s="445"/>
      <c r="Q343" s="445"/>
      <c r="R343" s="440" t="str">
        <f>IF(OR($F343="",$H343="",$N343=""),"",IF($S343="✅売却済","",IF($C343="売",IF($H343&gt;$F343*(1-V811設定!$B$3),$N343,MIN($N343,IF($Q343="",$N343,$Q343*1.03))),IF($H343&lt;$F343*(1+V811設定!$B$3),$N343,MAX($N343,IF($P343="",$N343,$P343*0.97))))))</f>
      </c>
      <c r="S343" s="440" t="str">
        <f>IF(B343="","",IF(T343&lt;&gt;"","✅売却済",IF(OR(H343="",L343=""),"📌保有中",IF(L343&gt;=0.06,"🟢利確推奨",IF(L343&gt;=0.05,"🟡利確直近",IF(L343&gt;=0.045,"🔵トレーリング検討",IF(L343&gt;-0.03,"📌保有中",IF(L343&gt;-0.04,"⚠️損切注意","🔴損切り"))))))))</f>
        <v/>
      </c>
      <c r="T343" s="597"/>
      <c r="U343" s="599"/>
      <c r="V343" s="704" t="str">
        <f>IF(OR(F343="",G343="",U343=""),"",IF(C343="売",(F343-U343)*G343,(U343-F343)*G343))</f>
        <v/>
      </c>
      <c r="W343" s="440" t="str">
        <f>IF(OR($E343="",$B343=""),"",IF($T343&lt;&gt;"",$T343-$E343,TODAY()-$E343)+1)</f>
        <v/>
      </c>
      <c r="X343" s="440" t="str">
        <f>IF(OR($AH343="",$AH343="保有中"),"",$AH343)</f>
        <v/>
      </c>
      <c r="AD343" s="608"/>
      <c r="AE343" s="600" t="str">
        <f>IF($E343="","",WORKDAY($E343,12))</f>
        <v/>
      </c>
      <c r="AF343" s="600" t="str" cm="1">
        <f t="array" aca="1" ref="AF343" ca="1">IF(OR($B343="",$M343=""),"",IFERROR(IF($C343="売",_xlfn.MINIFS(安値!$E$3:$IT$3,安値!$E$3:$IT$3,"&gt;"&amp;$E343,安値!$E$3:$IT$3,"&lt;="&amp;$AE343,OFFSET(安値!$E$6:$IT$6,MATCH(TEXT($B343,"0"),TEXT(銘柄管理!$B$6:$B$305,"0"),0)-1,0),"&lt;="&amp;$M343),_xlfn.MINIFS(高値!$E$3:$IT$3,高値!$E$3:$IT$3,"&gt;"&amp;$E343,高値!$E$3:$IT$3,"&lt;="&amp;$AE343,OFFSET(高値!$E$6:$IT$6,MATCH(TEXT($B343,"0"),TEXT(銘柄管理!$B$6:$B$305,"0"),0)-1,0),"&gt;="&amp;$M343)),""))</f>
        <v/>
      </c>
      <c r="AG343" s="600" t="str" cm="1">
        <f t="array" aca="1" ref="AG343" ca="1">IF(OR($B343="",$N343=""),"",IFERROR(IF($C343="売",_xlfn.MINIFS(高値!$E$3:$IT$3,高値!$E$3:$IT$3,"&gt;"&amp;$E343,高値!$E$3:$IT$3,"&lt;="&amp;$AE343,OFFSET(高値!$E$6:$IT$6,MATCH(TEXT($B343,"0"),TEXT(銘柄管理!$B$6:$B$305,"0"),0)-1,0),"&gt;="&amp;$N343),_xlfn.MINIFS(安値!$E$3:$IT$3,安値!$E$3:$IT$3,"&gt;"&amp;$E343,安値!$E$3:$IT$3,"&lt;="&amp;$AE343,OFFSET(安値!$E$6:$IT$6,MATCH(TEXT($B343,"0"),TEXT(銘柄管理!$B$6:$B$305,"0"),0)-1,0),"&lt;="&amp;$N343)),""))</f>
        <v/>
      </c>
      <c r="AH343" s="600" t="str">
        <f>IF(OR($B343="",$M343=""),"",IF(AND(N($AF343)=0,N($AG343)=0),IF(AND(ISNUMBER($H343),$H343&gt;0,IF($C343="売",$H343&gt;=$N343,$H343&lt;=$N343)),"損切確定",IF(AND(ISNUMBER($H343),$H343&gt;0,IF($C343="売",$H343&lt;=$M343,$H343&gt;=$M343)),"利益確定",IF($AE343&lt;=TODAY(),"日数制限","保有中"))),IF(N($AG343)=0,"利益確定",IF(N($AF343)=0,"損切確定",IF($AG343&lt;=$AF343,"損切確定","利益確定")))))</f>
        <v/>
      </c>
      <c r="AI343" s="600" t="str" cm="1">
        <f t="array" ref="AI343">IFERROR(INDEX(始値!$E$6:$IT$305,MATCH(TEXT($B343,"0"),TEXT(銘柄管理!$B$6:$B$305,"0"),0),MATCH($AE343,始値!$E$3:$IT$3,0)),"")</f>
        <v/>
      </c>
      <c r="AJ343" s="608" t="str">
        <f>IF(OR($V343="",$F343="",$G343=""),"",$V343/($F343*$G343))</f>
        <v/>
      </c>
      <c r="AK343" s="600" t="str">
        <f>IF($V343="","",IF($V343&gt;0,"○勝",IF($V343&lt;0,"●負","△引分")))</f>
        <v/>
      </c>
    </row>
    <row r="344" spans="1:37" ht="17.25" customHeight="1">
      <c r="A344" s="622" t="str">
        <f>IF(B344="","",HYPERLINK("https://kabutan.jp/stock/?code="&amp;B344,"株探"))</f>
        <v/>
      </c>
      <c r="D344" s="440" t="str" cm="1">
        <f t="array" ref="D344">_xll.RssMarket(B344, "銘柄名称")</f>
        <v/>
      </c>
      <c r="E344" s="717"/>
      <c r="F344" s="698" t="str" cm="1">
        <f t="array" aca="1" ref="F344" ca="1">IFERROR(_xlfn.LET(_xlpm.r,MATCH(TEXT($B344,"0"),TEXT(銘柄管理!$B$6:$B$305,"0"),0),_xlpm.t,MOD(NOW(),1),_xlpm.c,IF($E344=TODAY(),IF(_xlpm.t&gt;=TIME(15,30,0),NA(),1),IF(MATCH($E344,始値!$E$3:$IT$3,0)=1,1,MATCH($E344,始値!$E$3:$IT$3,0)+1)),_xlpm.v,INDEX(始値!$C$6:$IT$305,_xlpm.r,_xlpm.c),IF(N(_xlpm.v)=0,"",_xlpm.v)),"")</f>
        <v/>
      </c>
      <c r="H344" s="440" t="str" cm="1">
        <f t="array" ref="H344">_xll.RssMarket(B344, "現在値")</f>
        <v/>
      </c>
      <c r="I344" s="440" t="str" cm="1">
        <f t="array" ref="I344">_xll.RssMarket(B344, "出来高加重平均")</f>
        <v/>
      </c>
      <c r="J344" s="702" t="str" cm="1">
        <f t="array" ref="J344">_xll.RssMarket($B344, "前日比")</f>
        <v/>
      </c>
      <c r="K344" s="704" t="str">
        <f>IF(OR(F344="",G344="",H344=""),"",IF(C344="売",(F344-H344)*G344,(H344-F344)*G344))</f>
        <v/>
      </c>
      <c r="L344" s="709" t="str">
        <f>IF(OR(F344="",H344=""),"",IF(C344="売",(F344-H344)/F344,(H344-F344)/F344))</f>
        <v/>
      </c>
      <c r="M344" s="599" t="str">
        <f>IF($F344="","",$F344*IF($C344="売",1-V811設定!$B$4,1+V811設定!$B$4)-MOD($F344*IF($C344="売",1-V811設定!$B$4,1+V811設定!$B$4),IF($F344&lt;=3000,1,IF($F344&lt;=5000,5,IF($F344&lt;=30000,10,IF($F344&lt;=50000,50,IF($F344&lt;=300000,100,500))))))+IF(AND($C344="売",MOD($F344*IF($C344="売",1-V811設定!$B$4,1+V811設定!$B$4),IF($F344&lt;=3000,1,IF($F344&lt;=5000,5,IF($F344&lt;=30000,10,IF($F344&lt;=50000,50,IF($F344&lt;=300000,100,500))))))&gt;0),IF($F344&lt;=3000,1,IF($F344&lt;=5000,5,IF($F344&lt;=30000,10,IF($F344&lt;=50000,50,IF($F344&lt;=300000,100,500))))),0))</f>
      </c>
      <c r="N344" s="599" t="str">
        <f>IF($F344="","",$F344*IF($C344="売",1+V811設定!$B$3,1-V811設定!$B$3)-MOD($F344*IF($C344="売",1+V811設定!$B$3,1-V811設定!$B$3),IF($F344&lt;=3000,1,IF($F344&lt;=5000,5,IF($F344&lt;=30000,10,IF($F344&lt;=50000,50,IF($F344&lt;=300000,100,500))))))+IF(AND($C344="売",MOD($F344*IF($C344="売",1+V811設定!$B$3,1-V811設定!$B$3),IF($F344&lt;=3000,1,IF($F344&lt;=5000,5,IF($F344&lt;=30000,10,IF($F344&lt;=50000,50,IF($F344&lt;=300000,100,500))))))&gt;0),IF($F344&lt;=3000,1,IF($F344&lt;=5000,5,IF($F344&lt;=30000,10,IF($F344&lt;=50000,50,IF($F344&lt;=300000,100,500))))),0))</f>
      </c>
      <c r="O344" s="478" t="str">
        <f>IF(OR($B344="",$F344="",$H344=""),"",IF($S344="✅売却済","―決済済―",IF($C344="売",IF($H344&lt;=$M344,"🟢利確",IF(AND($R344&lt;&gt;"",$H344&gt;=$R344),"🟠TRAIL",IF($H344&gt;=$N344,"🔴損切",IF($W344&gt;=V811設定!$B$6,"⏱時間決済",IF($H344&gt;=$F344*(1+V811設定!$B$3*0.7),"⚠️損切接近","保持継続"))))),IF($H344&gt;=$M344,"🟢利確",IF(AND($R344&lt;&gt;"",$H344&lt;=$R344),"🟠TRAIL",IF($H344&lt;=$N344,"🔴損切",IF($W344&gt;=V811設定!$B$6,"⏱時間決済",IF($H344&lt;=$F344*(1-V811設定!$B$3*0.7),"⚠️損切接近","保持継続"))))))))</f>
      </c>
      <c r="P344" s="445"/>
      <c r="R344" s="440" t="str">
        <f>IF(OR($F344="",$H344="",$N344=""),"",IF($S344="✅売却済","",IF($C344="売",IF($H344&gt;$F344*(1-V811設定!$B$3),$N344,MIN($N344,IF($Q344="",$N344,$Q344*1.03))),IF($H344&lt;$F344*(1+V811設定!$B$3),$N344,MAX($N344,IF($P344="",$N344,$P344*0.97))))))</f>
      </c>
      <c r="S344" s="440" t="str">
        <f>IF(B344="","",IF(T344&lt;&gt;"","✅売却済",IF(OR(H344="",L344=""),"📌保有中",IF(L344&gt;=0.06,"🟢利確推奨",IF(L344&gt;=0.05,"🟡利確直近",IF(L344&gt;=0.045,"🔵トレーリング検討",IF(L344&gt;-0.03,"📌保有中",IF(L344&gt;-0.04,"⚠️損切注意","🔴損切り"))))))))</f>
        <v/>
      </c>
      <c r="T344" s="597"/>
      <c r="U344" s="599"/>
      <c r="V344" s="704" t="str">
        <f>IF(OR(F344="",G344="",U344=""),"",IF(C344="売",(F344-U344)*G344,(U344-F344)*G344))</f>
        <v/>
      </c>
      <c r="W344" s="440" t="str">
        <f>IF(OR($E344="",$B344=""),"",IF($T344&lt;&gt;"",$T344-$E344,TODAY()-$E344)+1)</f>
        <v/>
      </c>
      <c r="X344" s="440" t="str">
        <f>IF(OR($AH344="",$AH344="保有中"),"",$AH344)</f>
        <v/>
      </c>
      <c r="AD344" s="608"/>
      <c r="AE344" s="600" t="str">
        <f>IF($E344="","",WORKDAY($E344,12))</f>
        <v/>
      </c>
      <c r="AF344" s="600" t="str" cm="1">
        <f t="array" aca="1" ref="AF344" ca="1">IF(OR($B344="",$M344=""),"",IFERROR(IF($C344="売",_xlfn.MINIFS(安値!$E$3:$IT$3,安値!$E$3:$IT$3,"&gt;"&amp;$E344,安値!$E$3:$IT$3,"&lt;="&amp;$AE344,OFFSET(安値!$E$6:$IT$6,MATCH(TEXT($B344,"0"),TEXT(銘柄管理!$B$6:$B$305,"0"),0)-1,0),"&lt;="&amp;$M344),_xlfn.MINIFS(高値!$E$3:$IT$3,高値!$E$3:$IT$3,"&gt;"&amp;$E344,高値!$E$3:$IT$3,"&lt;="&amp;$AE344,OFFSET(高値!$E$6:$IT$6,MATCH(TEXT($B344,"0"),TEXT(銘柄管理!$B$6:$B$305,"0"),0)-1,0),"&gt;="&amp;$M344)),""))</f>
        <v/>
      </c>
      <c r="AG344" s="600" t="str" cm="1">
        <f t="array" aca="1" ref="AG344" ca="1">IF(OR($B344="",$N344=""),"",IFERROR(IF($C344="売",_xlfn.MINIFS(高値!$E$3:$IT$3,高値!$E$3:$IT$3,"&gt;"&amp;$E344,高値!$E$3:$IT$3,"&lt;="&amp;$AE344,OFFSET(高値!$E$6:$IT$6,MATCH(TEXT($B344,"0"),TEXT(銘柄管理!$B$6:$B$305,"0"),0)-1,0),"&gt;="&amp;$N344),_xlfn.MINIFS(安値!$E$3:$IT$3,安値!$E$3:$IT$3,"&gt;"&amp;$E344,安値!$E$3:$IT$3,"&lt;="&amp;$AE344,OFFSET(安値!$E$6:$IT$6,MATCH(TEXT($B344,"0"),TEXT(銘柄管理!$B$6:$B$305,"0"),0)-1,0),"&lt;="&amp;$N344)),""))</f>
        <v/>
      </c>
      <c r="AH344" s="600" t="str">
        <f>IF(OR($B344="",$M344=""),"",IF(AND(N($AF344)=0,N($AG344)=0),IF(AND(ISNUMBER($H344),$H344&gt;0,IF($C344="売",$H344&gt;=$N344,$H344&lt;=$N344)),"損切確定",IF(AND(ISNUMBER($H344),$H344&gt;0,IF($C344="売",$H344&lt;=$M344,$H344&gt;=$M344)),"利益確定",IF($AE344&lt;=TODAY(),"日数制限","保有中"))),IF(N($AG344)=0,"利益確定",IF(N($AF344)=0,"損切確定",IF($AG344&lt;=$AF344,"損切確定","利益確定")))))</f>
        <v/>
      </c>
      <c r="AI344" s="600" t="str" cm="1">
        <f t="array" ref="AI344">IFERROR(INDEX(始値!$E$6:$IT$305,MATCH(TEXT($B344,"0"),TEXT(銘柄管理!$B$6:$B$305,"0"),0),MATCH($AE344,始値!$E$3:$IT$3,0)),"")</f>
        <v/>
      </c>
      <c r="AJ344" s="608" t="str">
        <f>IF(OR($V344="",$F344="",$G344=""),"",$V344/($F344*$G344))</f>
        <v/>
      </c>
      <c r="AK344" s="600" t="str">
        <f>IF($V344="","",IF($V344&gt;0,"○勝",IF($V344&lt;0,"●負","△引分")))</f>
        <v/>
      </c>
    </row>
    <row r="345" spans="1:37" ht="17.25" customHeight="1">
      <c r="A345" s="622" t="str">
        <f>IF(B345="","",HYPERLINK("https://kabutan.jp/stock/?code="&amp;B345,"株探"))</f>
        <v/>
      </c>
      <c r="D345" s="440" t="str" cm="1">
        <f t="array" ref="D345">_xll.RssMarket(B345, "銘柄名称")</f>
        <v/>
      </c>
      <c r="E345" s="717"/>
      <c r="F345" s="698" t="str" cm="1">
        <f t="array" aca="1" ref="F345" ca="1">IFERROR(_xlfn.LET(_xlpm.r,MATCH(TEXT($B345,"0"),TEXT(銘柄管理!$B$6:$B$305,"0"),0),_xlpm.t,MOD(NOW(),1),_xlpm.c,IF($E345=TODAY(),IF(_xlpm.t&gt;=TIME(15,30,0),NA(),1),IF(MATCH($E345,始値!$E$3:$IT$3,0)=1,1,MATCH($E345,始値!$E$3:$IT$3,0)+1)),_xlpm.v,INDEX(始値!$C$6:$IT$305,_xlpm.r,_xlpm.c),IF(N(_xlpm.v)=0,"",_xlpm.v)),"")</f>
        <v/>
      </c>
      <c r="H345" s="440" t="str" cm="1">
        <f t="array" ref="H345">_xll.RssMarket(B345, "現在値")</f>
        <v/>
      </c>
      <c r="I345" s="440" t="str" cm="1">
        <f t="array" ref="I345">_xll.RssMarket(B345, "出来高加重平均")</f>
        <v/>
      </c>
      <c r="J345" s="702" t="str" cm="1">
        <f t="array" ref="J345">_xll.RssMarket($B345, "前日比")</f>
        <v/>
      </c>
      <c r="K345" s="704" t="str">
        <f>IF(OR(F345="",G345="",H345=""),"",IF(C345="売",(F345-H345)*G345,(H345-F345)*G345))</f>
        <v/>
      </c>
      <c r="L345" s="709" t="str">
        <f>IF(OR(F345="",H345=""),"",IF(C345="売",(F345-H345)/F345,(H345-F345)/F345))</f>
        <v/>
      </c>
      <c r="M345" s="599" t="str">
        <f>IF($F345="","",$F345*IF($C345="売",1-V811設定!$B$4,1+V811設定!$B$4)-MOD($F345*IF($C345="売",1-V811設定!$B$4,1+V811設定!$B$4),IF($F345&lt;=3000,1,IF($F345&lt;=5000,5,IF($F345&lt;=30000,10,IF($F345&lt;=50000,50,IF($F345&lt;=300000,100,500))))))+IF(AND($C345="売",MOD($F345*IF($C345="売",1-V811設定!$B$4,1+V811設定!$B$4),IF($F345&lt;=3000,1,IF($F345&lt;=5000,5,IF($F345&lt;=30000,10,IF($F345&lt;=50000,50,IF($F345&lt;=300000,100,500))))))&gt;0),IF($F345&lt;=3000,1,IF($F345&lt;=5000,5,IF($F345&lt;=30000,10,IF($F345&lt;=50000,50,IF($F345&lt;=300000,100,500))))),0))</f>
      </c>
      <c r="N345" s="599" t="str">
        <f>IF($F345="","",$F345*IF($C345="売",1+V811設定!$B$3,1-V811設定!$B$3)-MOD($F345*IF($C345="売",1+V811設定!$B$3,1-V811設定!$B$3),IF($F345&lt;=3000,1,IF($F345&lt;=5000,5,IF($F345&lt;=30000,10,IF($F345&lt;=50000,50,IF($F345&lt;=300000,100,500))))))+IF(AND($C345="売",MOD($F345*IF($C345="売",1+V811設定!$B$3,1-V811設定!$B$3),IF($F345&lt;=3000,1,IF($F345&lt;=5000,5,IF($F345&lt;=30000,10,IF($F345&lt;=50000,50,IF($F345&lt;=300000,100,500))))))&gt;0),IF($F345&lt;=3000,1,IF($F345&lt;=5000,5,IF($F345&lt;=30000,10,IF($F345&lt;=50000,50,IF($F345&lt;=300000,100,500))))),0))</f>
      </c>
      <c r="O345" s="478" t="str">
        <f>IF(OR($B345="",$F345="",$H345=""),"",IF($S345="✅売却済","―決済済―",IF($C345="売",IF($H345&lt;=$M345,"🟢利確",IF(AND($R345&lt;&gt;"",$H345&gt;=$R345),"🟠TRAIL",IF($H345&gt;=$N345,"🔴損切",IF($W345&gt;=V811設定!$B$6,"⏱時間決済",IF($H345&gt;=$F345*(1+V811設定!$B$3*0.7),"⚠️損切接近","保持継続"))))),IF($H345&gt;=$M345,"🟢利確",IF(AND($R345&lt;&gt;"",$H345&lt;=$R345),"🟠TRAIL",IF($H345&lt;=$N345,"🔴損切",IF($W345&gt;=V811設定!$B$6,"⏱時間決済",IF($H345&lt;=$F345*(1-V811設定!$B$3*0.7),"⚠️損切接近","保持継続"))))))))</f>
      </c>
      <c r="P345" s="445"/>
      <c r="R345" s="440" t="str">
        <f>IF(OR($F345="",$H345="",$N345=""),"",IF($S345="✅売却済","",IF($C345="売",IF($H345&gt;$F345*(1-V811設定!$B$3),$N345,MIN($N345,IF($Q345="",$N345,$Q345*1.03))),IF($H345&lt;$F345*(1+V811設定!$B$3),$N345,MAX($N345,IF($P345="",$N345,$P345*0.97))))))</f>
      </c>
      <c r="S345" s="440" t="str">
        <f>IF(B345="","",IF(T345&lt;&gt;"","✅売却済",IF(OR(H345="",L345=""),"📌保有中",IF(L345&gt;=0.06,"🟢利確推奨",IF(L345&gt;=0.05,"🟡利確直近",IF(L345&gt;=0.045,"🔵トレーリング検討",IF(L345&gt;-0.03,"📌保有中",IF(L345&gt;-0.04,"⚠️損切注意","🔴損切り"))))))))</f>
        <v/>
      </c>
      <c r="T345" s="597"/>
      <c r="U345" s="599"/>
      <c r="V345" s="704" t="str">
        <f>IF(OR(F345="",G345="",U345=""),"",IF(C345="売",(F345-U345)*G345,(U345-F345)*G345))</f>
        <v/>
      </c>
      <c r="W345" s="440" t="str">
        <f>IF(OR($E345="",$B345=""),"",IF($T345&lt;&gt;"",$T345-$E345,TODAY()-$E345)+1)</f>
        <v/>
      </c>
      <c r="X345" s="440" t="str">
        <f>IF(OR($AH345="",$AH345="保有中"),"",$AH345)</f>
        <v/>
      </c>
      <c r="AD345" s="608"/>
      <c r="AE345" s="600" t="str">
        <f>IF($E345="","",WORKDAY($E345,12))</f>
        <v/>
      </c>
      <c r="AF345" s="600" t="str" cm="1">
        <f t="array" aca="1" ref="AF345" ca="1">IF(OR($B345="",$M345=""),"",IFERROR(IF($C345="売",_xlfn.MINIFS(安値!$E$3:$IT$3,安値!$E$3:$IT$3,"&gt;"&amp;$E345,安値!$E$3:$IT$3,"&lt;="&amp;$AE345,OFFSET(安値!$E$6:$IT$6,MATCH(TEXT($B345,"0"),TEXT(銘柄管理!$B$6:$B$305,"0"),0)-1,0),"&lt;="&amp;$M345),_xlfn.MINIFS(高値!$E$3:$IT$3,高値!$E$3:$IT$3,"&gt;"&amp;$E345,高値!$E$3:$IT$3,"&lt;="&amp;$AE345,OFFSET(高値!$E$6:$IT$6,MATCH(TEXT($B345,"0"),TEXT(銘柄管理!$B$6:$B$305,"0"),0)-1,0),"&gt;="&amp;$M345)),""))</f>
        <v/>
      </c>
      <c r="AG345" s="600" t="str" cm="1">
        <f t="array" aca="1" ref="AG345" ca="1">IF(OR($B345="",$N345=""),"",IFERROR(IF($C345="売",_xlfn.MINIFS(高値!$E$3:$IT$3,高値!$E$3:$IT$3,"&gt;"&amp;$E345,高値!$E$3:$IT$3,"&lt;="&amp;$AE345,OFFSET(高値!$E$6:$IT$6,MATCH(TEXT($B345,"0"),TEXT(銘柄管理!$B$6:$B$305,"0"),0)-1,0),"&gt;="&amp;$N345),_xlfn.MINIFS(安値!$E$3:$IT$3,安値!$E$3:$IT$3,"&gt;"&amp;$E345,安値!$E$3:$IT$3,"&lt;="&amp;$AE345,OFFSET(安値!$E$6:$IT$6,MATCH(TEXT($B345,"0"),TEXT(銘柄管理!$B$6:$B$305,"0"),0)-1,0),"&lt;="&amp;$N345)),""))</f>
        <v/>
      </c>
      <c r="AH345" s="600" t="str">
        <f>IF(OR($B345="",$M345=""),"",IF(AND(N($AF345)=0,N($AG345)=0),IF(AND(ISNUMBER($H345),$H345&gt;0,IF($C345="売",$H345&gt;=$N345,$H345&lt;=$N345)),"損切確定",IF(AND(ISNUMBER($H345),$H345&gt;0,IF($C345="売",$H345&lt;=$M345,$H345&gt;=$M345)),"利益確定",IF($AE345&lt;=TODAY(),"日数制限","保有中"))),IF(N($AG345)=0,"利益確定",IF(N($AF345)=0,"損切確定",IF($AG345&lt;=$AF345,"損切確定","利益確定")))))</f>
        <v/>
      </c>
      <c r="AI345" s="600" t="str" cm="1">
        <f t="array" ref="AI345">IFERROR(INDEX(始値!$E$6:$IT$305,MATCH(TEXT($B345,"0"),TEXT(銘柄管理!$B$6:$B$305,"0"),0),MATCH($AE345,始値!$E$3:$IT$3,0)),"")</f>
        <v/>
      </c>
      <c r="AJ345" s="608" t="str">
        <f>IF(OR($V345="",$F345="",$G345=""),"",$V345/($F345*$G345))</f>
        <v/>
      </c>
      <c r="AK345" s="600" t="str">
        <f>IF($V345="","",IF($V345&gt;0,"○勝",IF($V345&lt;0,"●負","△引分")))</f>
        <v/>
      </c>
    </row>
    <row r="346" spans="1:37" ht="17.25" customHeight="1">
      <c r="A346" s="622" t="str">
        <f>IF(B346="","",HYPERLINK("https://kabutan.jp/stock/?code="&amp;B346,"株探"))</f>
        <v/>
      </c>
      <c r="D346" s="440" t="str" cm="1">
        <f t="array" ref="D346">_xll.RssMarket(B346, "銘柄名称")</f>
        <v/>
      </c>
      <c r="E346" s="717"/>
      <c r="F346" s="698" t="str" cm="1">
        <f t="array" aca="1" ref="F346" ca="1">IFERROR(_xlfn.LET(_xlpm.r,MATCH(TEXT($B346,"0"),TEXT(銘柄管理!$B$6:$B$305,"0"),0),_xlpm.t,MOD(NOW(),1),_xlpm.c,IF($E346=TODAY(),IF(_xlpm.t&gt;=TIME(15,30,0),NA(),1),IF(MATCH($E346,始値!$E$3:$IT$3,0)=1,1,MATCH($E346,始値!$E$3:$IT$3,0)+1)),_xlpm.v,INDEX(始値!$C$6:$IT$305,_xlpm.r,_xlpm.c),IF(N(_xlpm.v)=0,"",_xlpm.v)),"")</f>
        <v/>
      </c>
      <c r="H346" s="440" t="str" cm="1">
        <f t="array" ref="H346">_xll.RssMarket(B346, "現在値")</f>
        <v/>
      </c>
      <c r="I346" s="440" t="str" cm="1">
        <f t="array" ref="I346">_xll.RssMarket(B346, "出来高加重平均")</f>
        <v/>
      </c>
      <c r="J346" s="702" t="str" cm="1">
        <f t="array" ref="J346">_xll.RssMarket($B346, "前日比")</f>
        <v/>
      </c>
      <c r="K346" s="704" t="str">
        <f>IF(OR(F346="",G346="",H346=""),"",IF(C346="売",(F346-H346)*G346,(H346-F346)*G346))</f>
        <v/>
      </c>
      <c r="L346" s="709" t="str">
        <f>IF(OR(F346="",H346=""),"",IF(C346="売",(F346-H346)/F346,(H346-F346)/F346))</f>
        <v/>
      </c>
      <c r="M346" s="599" t="str">
        <f>IF($F346="","",$F346*IF($C346="売",1-V811設定!$B$4,1+V811設定!$B$4)-MOD($F346*IF($C346="売",1-V811設定!$B$4,1+V811設定!$B$4),IF($F346&lt;=3000,1,IF($F346&lt;=5000,5,IF($F346&lt;=30000,10,IF($F346&lt;=50000,50,IF($F346&lt;=300000,100,500))))))+IF(AND($C346="売",MOD($F346*IF($C346="売",1-V811設定!$B$4,1+V811設定!$B$4),IF($F346&lt;=3000,1,IF($F346&lt;=5000,5,IF($F346&lt;=30000,10,IF($F346&lt;=50000,50,IF($F346&lt;=300000,100,500))))))&gt;0),IF($F346&lt;=3000,1,IF($F346&lt;=5000,5,IF($F346&lt;=30000,10,IF($F346&lt;=50000,50,IF($F346&lt;=300000,100,500))))),0))</f>
      </c>
      <c r="N346" s="599" t="str">
        <f>IF($F346="","",$F346*IF($C346="売",1+V811設定!$B$3,1-V811設定!$B$3)-MOD($F346*IF($C346="売",1+V811設定!$B$3,1-V811設定!$B$3),IF($F346&lt;=3000,1,IF($F346&lt;=5000,5,IF($F346&lt;=30000,10,IF($F346&lt;=50000,50,IF($F346&lt;=300000,100,500))))))+IF(AND($C346="売",MOD($F346*IF($C346="売",1+V811設定!$B$3,1-V811設定!$B$3),IF($F346&lt;=3000,1,IF($F346&lt;=5000,5,IF($F346&lt;=30000,10,IF($F346&lt;=50000,50,IF($F346&lt;=300000,100,500))))))&gt;0),IF($F346&lt;=3000,1,IF($F346&lt;=5000,5,IF($F346&lt;=30000,10,IF($F346&lt;=50000,50,IF($F346&lt;=300000,100,500))))),0))</f>
      </c>
      <c r="O346" s="478" t="str">
        <f>IF(OR($B346="",$F346="",$H346=""),"",IF($S346="✅売却済","―決済済―",IF($C346="売",IF($H346&lt;=$M346,"🟢利確",IF(AND($R346&lt;&gt;"",$H346&gt;=$R346),"🟠TRAIL",IF($H346&gt;=$N346,"🔴損切",IF($W346&gt;=V811設定!$B$6,"⏱時間決済",IF($H346&gt;=$F346*(1+V811設定!$B$3*0.7),"⚠️損切接近","保持継続"))))),IF($H346&gt;=$M346,"🟢利確",IF(AND($R346&lt;&gt;"",$H346&lt;=$R346),"🟠TRAIL",IF($H346&lt;=$N346,"🔴損切",IF($W346&gt;=V811設定!$B$6,"⏱時間決済",IF($H346&lt;=$F346*(1-V811設定!$B$3*0.7),"⚠️損切接近","保持継続"))))))))</f>
      </c>
      <c r="P346" s="445"/>
      <c r="R346" s="440" t="str">
        <f>IF(OR($F346="",$H346="",$N346=""),"",IF($S346="✅売却済","",IF($C346="売",IF($H346&gt;$F346*(1-V811設定!$B$3),$N346,MIN($N346,IF($Q346="",$N346,$Q346*1.03))),IF($H346&lt;$F346*(1+V811設定!$B$3),$N346,MAX($N346,IF($P346="",$N346,$P346*0.97))))))</f>
      </c>
      <c r="S346" s="440" t="str">
        <f>IF(B346="","",IF(T346&lt;&gt;"","✅売却済",IF(OR(H346="",L346=""),"📌保有中",IF(L346&gt;=0.06,"🟢利確推奨",IF(L346&gt;=0.05,"🟡利確直近",IF(L346&gt;=0.045,"🔵トレーリング検討",IF(L346&gt;-0.03,"📌保有中",IF(L346&gt;-0.04,"⚠️損切注意","🔴損切り"))))))))</f>
        <v/>
      </c>
      <c r="T346" s="597"/>
      <c r="U346" s="599"/>
      <c r="V346" s="704" t="str">
        <f>IF(OR(F346="",G346="",U346=""),"",IF(C346="売",(F346-U346)*G346,(U346-F346)*G346))</f>
        <v/>
      </c>
      <c r="W346" s="440" t="str">
        <f>IF(OR($E346="",$B346=""),"",IF($T346&lt;&gt;"",$T346-$E346,TODAY()-$E346)+1)</f>
        <v/>
      </c>
      <c r="X346" s="440" t="str">
        <f>IF(OR($AH346="",$AH346="保有中"),"",$AH346)</f>
        <v/>
      </c>
      <c r="AD346" s="608"/>
      <c r="AE346" s="600" t="str">
        <f>IF($E346="","",WORKDAY($E346,12))</f>
        <v/>
      </c>
      <c r="AF346" s="600" t="str" cm="1">
        <f t="array" aca="1" ref="AF346" ca="1">IF(OR($B346="",$M346=""),"",IFERROR(IF($C346="売",_xlfn.MINIFS(安値!$E$3:$IT$3,安値!$E$3:$IT$3,"&gt;"&amp;$E346,安値!$E$3:$IT$3,"&lt;="&amp;$AE346,OFFSET(安値!$E$6:$IT$6,MATCH(TEXT($B346,"0"),TEXT(銘柄管理!$B$6:$B$305,"0"),0)-1,0),"&lt;="&amp;$M346),_xlfn.MINIFS(高値!$E$3:$IT$3,高値!$E$3:$IT$3,"&gt;"&amp;$E346,高値!$E$3:$IT$3,"&lt;="&amp;$AE346,OFFSET(高値!$E$6:$IT$6,MATCH(TEXT($B346,"0"),TEXT(銘柄管理!$B$6:$B$305,"0"),0)-1,0),"&gt;="&amp;$M346)),""))</f>
        <v/>
      </c>
      <c r="AG346" s="600" t="str" cm="1">
        <f t="array" aca="1" ref="AG346" ca="1">IF(OR($B346="",$N346=""),"",IFERROR(IF($C346="売",_xlfn.MINIFS(高値!$E$3:$IT$3,高値!$E$3:$IT$3,"&gt;"&amp;$E346,高値!$E$3:$IT$3,"&lt;="&amp;$AE346,OFFSET(高値!$E$6:$IT$6,MATCH(TEXT($B346,"0"),TEXT(銘柄管理!$B$6:$B$305,"0"),0)-1,0),"&gt;="&amp;$N346),_xlfn.MINIFS(安値!$E$3:$IT$3,安値!$E$3:$IT$3,"&gt;"&amp;$E346,安値!$E$3:$IT$3,"&lt;="&amp;$AE346,OFFSET(安値!$E$6:$IT$6,MATCH(TEXT($B346,"0"),TEXT(銘柄管理!$B$6:$B$305,"0"),0)-1,0),"&lt;="&amp;$N346)),""))</f>
        <v/>
      </c>
      <c r="AH346" s="600" t="str">
        <f>IF(OR($B346="",$M346=""),"",IF(AND(N($AF346)=0,N($AG346)=0),IF(AND(ISNUMBER($H346),$H346&gt;0,IF($C346="売",$H346&gt;=$N346,$H346&lt;=$N346)),"損切確定",IF(AND(ISNUMBER($H346),$H346&gt;0,IF($C346="売",$H346&lt;=$M346,$H346&gt;=$M346)),"利益確定",IF($AE346&lt;=TODAY(),"日数制限","保有中"))),IF(N($AG346)=0,"利益確定",IF(N($AF346)=0,"損切確定",IF($AG346&lt;=$AF346,"損切確定","利益確定")))))</f>
        <v/>
      </c>
      <c r="AI346" s="600" t="str" cm="1">
        <f t="array" ref="AI346">IFERROR(INDEX(始値!$E$6:$IT$305,MATCH(TEXT($B346,"0"),TEXT(銘柄管理!$B$6:$B$305,"0"),0),MATCH($AE346,始値!$E$3:$IT$3,0)),"")</f>
        <v/>
      </c>
      <c r="AJ346" s="608" t="str">
        <f>IF(OR($V346="",$F346="",$G346=""),"",$V346/($F346*$G346))</f>
        <v/>
      </c>
      <c r="AK346" s="600" t="str">
        <f>IF($V346="","",IF($V346&gt;0,"○勝",IF($V346&lt;0,"●負","△引分")))</f>
        <v/>
      </c>
    </row>
    <row r="347" spans="1:37" ht="17.25" customHeight="1">
      <c r="A347" s="622" t="str">
        <f>IF(B347="","",HYPERLINK("https://kabutan.jp/stock/?code="&amp;B347,"株探"))</f>
        <v/>
      </c>
      <c r="D347" s="440" t="str" cm="1">
        <f t="array" ref="D347">_xll.RssMarket(B347, "銘柄名称")</f>
        <v/>
      </c>
      <c r="E347" s="717"/>
      <c r="F347" s="698" t="str" cm="1">
        <f t="array" aca="1" ref="F347" ca="1">IFERROR(_xlfn.LET(_xlpm.r,MATCH(TEXT($B347,"0"),TEXT(銘柄管理!$B$6:$B$305,"0"),0),_xlpm.t,MOD(NOW(),1),_xlpm.c,IF($E347=TODAY(),IF(_xlpm.t&gt;=TIME(15,30,0),NA(),1),IF(MATCH($E347,始値!$E$3:$IT$3,0)=1,1,MATCH($E347,始値!$E$3:$IT$3,0)+1)),_xlpm.v,INDEX(始値!$C$6:$IT$305,_xlpm.r,_xlpm.c),IF(N(_xlpm.v)=0,"",_xlpm.v)),"")</f>
        <v/>
      </c>
      <c r="H347" s="440" t="str" cm="1">
        <f t="array" ref="H347">_xll.RssMarket(B347, "現在値")</f>
        <v/>
      </c>
      <c r="I347" s="440" t="str" cm="1">
        <f t="array" ref="I347">_xll.RssMarket(B347, "出来高加重平均")</f>
        <v/>
      </c>
      <c r="J347" s="702" t="str" cm="1">
        <f t="array" ref="J347">_xll.RssMarket($B347, "前日比")</f>
        <v/>
      </c>
      <c r="K347" s="704" t="str">
        <f>IF(OR(F347="",G347="",H347=""),"",IF(C347="売",(F347-H347)*G347,(H347-F347)*G347))</f>
        <v/>
      </c>
      <c r="L347" s="709" t="str">
        <f>IF(OR(F347="",H347=""),"",IF(C347="売",(F347-H347)/F347,(H347-F347)/F347))</f>
        <v/>
      </c>
      <c r="M347" s="599" t="str">
        <f>IF($F347="","",$F347*IF($C347="売",1-V811設定!$B$4,1+V811設定!$B$4)-MOD($F347*IF($C347="売",1-V811設定!$B$4,1+V811設定!$B$4),IF($F347&lt;=3000,1,IF($F347&lt;=5000,5,IF($F347&lt;=30000,10,IF($F347&lt;=50000,50,IF($F347&lt;=300000,100,500))))))+IF(AND($C347="売",MOD($F347*IF($C347="売",1-V811設定!$B$4,1+V811設定!$B$4),IF($F347&lt;=3000,1,IF($F347&lt;=5000,5,IF($F347&lt;=30000,10,IF($F347&lt;=50000,50,IF($F347&lt;=300000,100,500))))))&gt;0),IF($F347&lt;=3000,1,IF($F347&lt;=5000,5,IF($F347&lt;=30000,10,IF($F347&lt;=50000,50,IF($F347&lt;=300000,100,500))))),0))</f>
      </c>
      <c r="N347" s="599" t="str">
        <f>IF($F347="","",$F347*IF($C347="売",1+V811設定!$B$3,1-V811設定!$B$3)-MOD($F347*IF($C347="売",1+V811設定!$B$3,1-V811設定!$B$3),IF($F347&lt;=3000,1,IF($F347&lt;=5000,5,IF($F347&lt;=30000,10,IF($F347&lt;=50000,50,IF($F347&lt;=300000,100,500))))))+IF(AND($C347="売",MOD($F347*IF($C347="売",1+V811設定!$B$3,1-V811設定!$B$3),IF($F347&lt;=3000,1,IF($F347&lt;=5000,5,IF($F347&lt;=30000,10,IF($F347&lt;=50000,50,IF($F347&lt;=300000,100,500))))))&gt;0),IF($F347&lt;=3000,1,IF($F347&lt;=5000,5,IF($F347&lt;=30000,10,IF($F347&lt;=50000,50,IF($F347&lt;=300000,100,500))))),0))</f>
      </c>
      <c r="O347" s="478" t="str">
        <f>IF(OR($B347="",$F347="",$H347=""),"",IF($S347="✅売却済","―決済済―",IF($C347="売",IF($H347&lt;=$M347,"🟢利確",IF(AND($R347&lt;&gt;"",$H347&gt;=$R347),"🟠TRAIL",IF($H347&gt;=$N347,"🔴損切",IF($W347&gt;=V811設定!$B$6,"⏱時間決済",IF($H347&gt;=$F347*(1+V811設定!$B$3*0.7),"⚠️損切接近","保持継続"))))),IF($H347&gt;=$M347,"🟢利確",IF(AND($R347&lt;&gt;"",$H347&lt;=$R347),"🟠TRAIL",IF($H347&lt;=$N347,"🔴損切",IF($W347&gt;=V811設定!$B$6,"⏱時間決済",IF($H347&lt;=$F347*(1-V811設定!$B$3*0.7),"⚠️損切接近","保持継続"))))))))</f>
      </c>
      <c r="P347" s="445"/>
      <c r="R347" s="440" t="str">
        <f>IF(OR($F347="",$H347="",$N347=""),"",IF($S347="✅売却済","",IF($C347="売",IF($H347&gt;$F347*(1-V811設定!$B$3),$N347,MIN($N347,IF($Q347="",$N347,$Q347*1.03))),IF($H347&lt;$F347*(1+V811設定!$B$3),$N347,MAX($N347,IF($P347="",$N347,$P347*0.97))))))</f>
      </c>
      <c r="S347" s="440" t="str">
        <f>IF(B347="","",IF(T347&lt;&gt;"","✅売却済",IF(OR(H347="",L347=""),"📌保有中",IF(L347&gt;=0.06,"🟢利確推奨",IF(L347&gt;=0.05,"🟡利確直近",IF(L347&gt;=0.045,"🔵トレーリング検討",IF(L347&gt;-0.03,"📌保有中",IF(L347&gt;-0.04,"⚠️損切注意","🔴損切り"))))))))</f>
        <v/>
      </c>
      <c r="T347" s="597"/>
      <c r="U347" s="599"/>
      <c r="V347" s="704" t="str">
        <f>IF(OR(F347="",G347="",U347=""),"",IF(C347="売",(F347-U347)*G347,(U347-F347)*G347))</f>
        <v/>
      </c>
      <c r="W347" s="440" t="str">
        <f>IF(OR($E347="",$B347=""),"",IF($T347&lt;&gt;"",$T347-$E347,TODAY()-$E347)+1)</f>
        <v/>
      </c>
      <c r="X347" s="440" t="str">
        <f>IF(OR($AH347="",$AH347="保有中"),"",$AH347)</f>
        <v/>
      </c>
      <c r="AD347" s="608"/>
      <c r="AE347" s="600" t="str">
        <f>IF($E347="","",WORKDAY($E347,12))</f>
        <v/>
      </c>
      <c r="AF347" s="600" t="str" cm="1">
        <f t="array" aca="1" ref="AF347" ca="1">IF(OR($B347="",$M347=""),"",IFERROR(IF($C347="売",_xlfn.MINIFS(安値!$E$3:$IT$3,安値!$E$3:$IT$3,"&gt;"&amp;$E347,安値!$E$3:$IT$3,"&lt;="&amp;$AE347,OFFSET(安値!$E$6:$IT$6,MATCH(TEXT($B347,"0"),TEXT(銘柄管理!$B$6:$B$305,"0"),0)-1,0),"&lt;="&amp;$M347),_xlfn.MINIFS(高値!$E$3:$IT$3,高値!$E$3:$IT$3,"&gt;"&amp;$E347,高値!$E$3:$IT$3,"&lt;="&amp;$AE347,OFFSET(高値!$E$6:$IT$6,MATCH(TEXT($B347,"0"),TEXT(銘柄管理!$B$6:$B$305,"0"),0)-1,0),"&gt;="&amp;$M347)),""))</f>
        <v/>
      </c>
      <c r="AG347" s="600" t="str" cm="1">
        <f t="array" aca="1" ref="AG347" ca="1">IF(OR($B347="",$N347=""),"",IFERROR(IF($C347="売",_xlfn.MINIFS(高値!$E$3:$IT$3,高値!$E$3:$IT$3,"&gt;"&amp;$E347,高値!$E$3:$IT$3,"&lt;="&amp;$AE347,OFFSET(高値!$E$6:$IT$6,MATCH(TEXT($B347,"0"),TEXT(銘柄管理!$B$6:$B$305,"0"),0)-1,0),"&gt;="&amp;$N347),_xlfn.MINIFS(安値!$E$3:$IT$3,安値!$E$3:$IT$3,"&gt;"&amp;$E347,安値!$E$3:$IT$3,"&lt;="&amp;$AE347,OFFSET(安値!$E$6:$IT$6,MATCH(TEXT($B347,"0"),TEXT(銘柄管理!$B$6:$B$305,"0"),0)-1,0),"&lt;="&amp;$N347)),""))</f>
        <v/>
      </c>
      <c r="AH347" s="600" t="str">
        <f>IF(OR($B347="",$M347=""),"",IF(AND(N($AF347)=0,N($AG347)=0),IF(AND(ISNUMBER($H347),$H347&gt;0,IF($C347="売",$H347&gt;=$N347,$H347&lt;=$N347)),"損切確定",IF(AND(ISNUMBER($H347),$H347&gt;0,IF($C347="売",$H347&lt;=$M347,$H347&gt;=$M347)),"利益確定",IF($AE347&lt;=TODAY(),"日数制限","保有中"))),IF(N($AG347)=0,"利益確定",IF(N($AF347)=0,"損切確定",IF($AG347&lt;=$AF347,"損切確定","利益確定")))))</f>
        <v/>
      </c>
      <c r="AI347" s="600" t="str" cm="1">
        <f t="array" ref="AI347">IFERROR(INDEX(始値!$E$6:$IT$305,MATCH(TEXT($B347,"0"),TEXT(銘柄管理!$B$6:$B$305,"0"),0),MATCH($AE347,始値!$E$3:$IT$3,0)),"")</f>
        <v/>
      </c>
      <c r="AJ347" s="608" t="str">
        <f>IF(OR($V347="",$F347="",$G347=""),"",$V347/($F347*$G347))</f>
        <v/>
      </c>
      <c r="AK347" s="600" t="str">
        <f>IF($V347="","",IF($V347&gt;0,"○勝",IF($V347&lt;0,"●負","△引分")))</f>
        <v/>
      </c>
    </row>
    <row r="348" spans="1:37" ht="17.25" customHeight="1">
      <c r="A348" s="622" t="str">
        <f>IF(B348="","",HYPERLINK("https://kabutan.jp/stock/?code="&amp;B348,"株探"))</f>
        <v/>
      </c>
      <c r="D348" s="440" t="str" cm="1">
        <f t="array" ref="D348">_xll.RssMarket(B348, "銘柄名称")</f>
        <v/>
      </c>
      <c r="E348" s="717"/>
      <c r="F348" s="698" t="str" cm="1">
        <f t="array" aca="1" ref="F348" ca="1">IFERROR(_xlfn.LET(_xlpm.r,MATCH(TEXT($B348,"0"),TEXT(銘柄管理!$B$6:$B$305,"0"),0),_xlpm.t,MOD(NOW(),1),_xlpm.c,IF($E348=TODAY(),IF(_xlpm.t&gt;=TIME(15,30,0),NA(),1),IF(MATCH($E348,始値!$E$3:$IT$3,0)=1,1,MATCH($E348,始値!$E$3:$IT$3,0)+1)),_xlpm.v,INDEX(始値!$C$6:$IT$305,_xlpm.r,_xlpm.c),IF(N(_xlpm.v)=0,"",_xlpm.v)),"")</f>
        <v/>
      </c>
      <c r="H348" s="440" t="str" cm="1">
        <f t="array" ref="H348">_xll.RssMarket(B348, "現在値")</f>
        <v/>
      </c>
      <c r="I348" s="440" t="str" cm="1">
        <f t="array" ref="I348">_xll.RssMarket(B348, "出来高加重平均")</f>
        <v/>
      </c>
      <c r="J348" s="702" t="str" cm="1">
        <f t="array" ref="J348">_xll.RssMarket($B348, "前日比")</f>
        <v/>
      </c>
      <c r="K348" s="704" t="str">
        <f>IF(OR(F348="",G348="",H348=""),"",IF(C348="売",(F348-H348)*G348,(H348-F348)*G348))</f>
        <v/>
      </c>
      <c r="L348" s="709" t="str">
        <f>IF(OR(F348="",H348=""),"",IF(C348="売",(F348-H348)/F348,(H348-F348)/F348))</f>
        <v/>
      </c>
      <c r="M348" s="599" t="str">
        <f>IF($F348="","",$F348*IF($C348="売",1-V811設定!$B$4,1+V811設定!$B$4)-MOD($F348*IF($C348="売",1-V811設定!$B$4,1+V811設定!$B$4),IF($F348&lt;=3000,1,IF($F348&lt;=5000,5,IF($F348&lt;=30000,10,IF($F348&lt;=50000,50,IF($F348&lt;=300000,100,500))))))+IF(AND($C348="売",MOD($F348*IF($C348="売",1-V811設定!$B$4,1+V811設定!$B$4),IF($F348&lt;=3000,1,IF($F348&lt;=5000,5,IF($F348&lt;=30000,10,IF($F348&lt;=50000,50,IF($F348&lt;=300000,100,500))))))&gt;0),IF($F348&lt;=3000,1,IF($F348&lt;=5000,5,IF($F348&lt;=30000,10,IF($F348&lt;=50000,50,IF($F348&lt;=300000,100,500))))),0))</f>
      </c>
      <c r="N348" s="599" t="str">
        <f>IF($F348="","",$F348*IF($C348="売",1+V811設定!$B$3,1-V811設定!$B$3)-MOD($F348*IF($C348="売",1+V811設定!$B$3,1-V811設定!$B$3),IF($F348&lt;=3000,1,IF($F348&lt;=5000,5,IF($F348&lt;=30000,10,IF($F348&lt;=50000,50,IF($F348&lt;=300000,100,500))))))+IF(AND($C348="売",MOD($F348*IF($C348="売",1+V811設定!$B$3,1-V811設定!$B$3),IF($F348&lt;=3000,1,IF($F348&lt;=5000,5,IF($F348&lt;=30000,10,IF($F348&lt;=50000,50,IF($F348&lt;=300000,100,500))))))&gt;0),IF($F348&lt;=3000,1,IF($F348&lt;=5000,5,IF($F348&lt;=30000,10,IF($F348&lt;=50000,50,IF($F348&lt;=300000,100,500))))),0))</f>
      </c>
      <c r="O348" s="478" t="str">
        <f>IF(OR($B348="",$F348="",$H348=""),"",IF($S348="✅売却済","―決済済―",IF($C348="売",IF($H348&lt;=$M348,"🟢利確",IF(AND($R348&lt;&gt;"",$H348&gt;=$R348),"🟠TRAIL",IF($H348&gt;=$N348,"🔴損切",IF($W348&gt;=V811設定!$B$6,"⏱時間決済",IF($H348&gt;=$F348*(1+V811設定!$B$3*0.7),"⚠️損切接近","保持継続"))))),IF($H348&gt;=$M348,"🟢利確",IF(AND($R348&lt;&gt;"",$H348&lt;=$R348),"🟠TRAIL",IF($H348&lt;=$N348,"🔴損切",IF($W348&gt;=V811設定!$B$6,"⏱時間決済",IF($H348&lt;=$F348*(1-V811設定!$B$3*0.7),"⚠️損切接近","保持継続"))))))))</f>
      </c>
      <c r="P348" s="445"/>
      <c r="R348" s="440" t="str">
        <f>IF(OR($F348="",$H348="",$N348=""),"",IF($S348="✅売却済","",IF($C348="売",IF($H348&gt;$F348*(1-V811設定!$B$3),$N348,MIN($N348,IF($Q348="",$N348,$Q348*1.03))),IF($H348&lt;$F348*(1+V811設定!$B$3),$N348,MAX($N348,IF($P348="",$N348,$P348*0.97))))))</f>
      </c>
      <c r="S348" s="440" t="str">
        <f>IF(B348="","",IF(T348&lt;&gt;"","✅売却済",IF(OR(H348="",L348=""),"📌保有中",IF(L348&gt;=0.06,"🟢利確推奨",IF(L348&gt;=0.05,"🟡利確直近",IF(L348&gt;=0.045,"🔵トレーリング検討",IF(L348&gt;-0.03,"📌保有中",IF(L348&gt;-0.04,"⚠️損切注意","🔴損切り"))))))))</f>
        <v/>
      </c>
      <c r="T348" s="597"/>
      <c r="U348" s="599"/>
      <c r="V348" s="704" t="str">
        <f>IF(OR(F348="",G348="",U348=""),"",IF(C348="売",(F348-U348)*G348,(U348-F348)*G348))</f>
        <v/>
      </c>
      <c r="W348" s="440" t="str">
        <f>IF(OR($E348="",$B348=""),"",IF($T348&lt;&gt;"",$T348-$E348,TODAY()-$E348)+1)</f>
        <v/>
      </c>
      <c r="X348" s="440" t="str">
        <f>IF(OR($AH348="",$AH348="保有中"),"",$AH348)</f>
        <v/>
      </c>
      <c r="AD348" s="608"/>
      <c r="AE348" s="600" t="str">
        <f>IF($E348="","",WORKDAY($E348,12))</f>
        <v/>
      </c>
      <c r="AF348" s="600" t="str" cm="1">
        <f t="array" aca="1" ref="AF348" ca="1">IF(OR($B348="",$M348=""),"",IFERROR(IF($C348="売",_xlfn.MINIFS(安値!$E$3:$IT$3,安値!$E$3:$IT$3,"&gt;"&amp;$E348,安値!$E$3:$IT$3,"&lt;="&amp;$AE348,OFFSET(安値!$E$6:$IT$6,MATCH(TEXT($B348,"0"),TEXT(銘柄管理!$B$6:$B$305,"0"),0)-1,0),"&lt;="&amp;$M348),_xlfn.MINIFS(高値!$E$3:$IT$3,高値!$E$3:$IT$3,"&gt;"&amp;$E348,高値!$E$3:$IT$3,"&lt;="&amp;$AE348,OFFSET(高値!$E$6:$IT$6,MATCH(TEXT($B348,"0"),TEXT(銘柄管理!$B$6:$B$305,"0"),0)-1,0),"&gt;="&amp;$M348)),""))</f>
        <v/>
      </c>
      <c r="AG348" s="600" t="str" cm="1">
        <f t="array" aca="1" ref="AG348" ca="1">IF(OR($B348="",$N348=""),"",IFERROR(IF($C348="売",_xlfn.MINIFS(高値!$E$3:$IT$3,高値!$E$3:$IT$3,"&gt;"&amp;$E348,高値!$E$3:$IT$3,"&lt;="&amp;$AE348,OFFSET(高値!$E$6:$IT$6,MATCH(TEXT($B348,"0"),TEXT(銘柄管理!$B$6:$B$305,"0"),0)-1,0),"&gt;="&amp;$N348),_xlfn.MINIFS(安値!$E$3:$IT$3,安値!$E$3:$IT$3,"&gt;"&amp;$E348,安値!$E$3:$IT$3,"&lt;="&amp;$AE348,OFFSET(安値!$E$6:$IT$6,MATCH(TEXT($B348,"0"),TEXT(銘柄管理!$B$6:$B$305,"0"),0)-1,0),"&lt;="&amp;$N348)),""))</f>
        <v/>
      </c>
      <c r="AH348" s="600" t="str">
        <f>IF(OR($B348="",$M348=""),"",IF(AND(N($AF348)=0,N($AG348)=0),IF(AND(ISNUMBER($H348),$H348&gt;0,IF($C348="売",$H348&gt;=$N348,$H348&lt;=$N348)),"損切確定",IF(AND(ISNUMBER($H348),$H348&gt;0,IF($C348="売",$H348&lt;=$M348,$H348&gt;=$M348)),"利益確定",IF($AE348&lt;=TODAY(),"日数制限","保有中"))),IF(N($AG348)=0,"利益確定",IF(N($AF348)=0,"損切確定",IF($AG348&lt;=$AF348,"損切確定","利益確定")))))</f>
        <v/>
      </c>
      <c r="AI348" s="600" t="str" cm="1">
        <f t="array" ref="AI348">IFERROR(INDEX(始値!$E$6:$IT$305,MATCH(TEXT($B348,"0"),TEXT(銘柄管理!$B$6:$B$305,"0"),0),MATCH($AE348,始値!$E$3:$IT$3,0)),"")</f>
        <v/>
      </c>
      <c r="AJ348" s="608" t="str">
        <f>IF(OR($V348="",$F348="",$G348=""),"",$V348/($F348*$G348))</f>
        <v/>
      </c>
      <c r="AK348" s="600" t="str">
        <f>IF($V348="","",IF($V348&gt;0,"○勝",IF($V348&lt;0,"●負","△引分")))</f>
        <v/>
      </c>
    </row>
    <row r="349" spans="1:37" ht="17.25" customHeight="1">
      <c r="A349" s="622" t="str">
        <f>IF(B349="","",HYPERLINK("https://kabutan.jp/stock/?code="&amp;B349,"株探"))</f>
        <v/>
      </c>
      <c r="D349" s="440" t="str" cm="1">
        <f t="array" ref="D349">_xll.RssMarket(B349, "銘柄名称")</f>
        <v/>
      </c>
      <c r="E349" s="717"/>
      <c r="F349" s="698" t="str" cm="1">
        <f t="array" aca="1" ref="F349" ca="1">IFERROR(_xlfn.LET(_xlpm.r,MATCH(TEXT($B349,"0"),TEXT(銘柄管理!$B$6:$B$305,"0"),0),_xlpm.t,MOD(NOW(),1),_xlpm.c,IF($E349=TODAY(),IF(_xlpm.t&gt;=TIME(15,30,0),NA(),1),IF(MATCH($E349,始値!$E$3:$IT$3,0)=1,1,MATCH($E349,始値!$E$3:$IT$3,0)+1)),_xlpm.v,INDEX(始値!$C$6:$IT$305,_xlpm.r,_xlpm.c),IF(N(_xlpm.v)=0,"",_xlpm.v)),"")</f>
        <v/>
      </c>
      <c r="H349" s="440" t="str" cm="1">
        <f t="array" ref="H349">_xll.RssMarket(B349, "現在値")</f>
        <v/>
      </c>
      <c r="I349" s="440" t="str" cm="1">
        <f t="array" ref="I349">_xll.RssMarket(B349, "出来高加重平均")</f>
        <v/>
      </c>
      <c r="J349" s="702" t="str" cm="1">
        <f t="array" ref="J349">_xll.RssMarket($B349, "前日比")</f>
        <v/>
      </c>
      <c r="K349" s="704" t="str">
        <f>IF(OR(F349="",G349="",H349=""),"",IF(C349="売",(F349-H349)*G349,(H349-F349)*G349))</f>
        <v/>
      </c>
      <c r="L349" s="709" t="str">
        <f>IF(OR(F349="",H349=""),"",IF(C349="売",(F349-H349)/F349,(H349-F349)/F349))</f>
        <v/>
      </c>
      <c r="M349" s="599" t="str">
        <f>IF($F349="","",$F349*IF($C349="売",1-V811設定!$B$4,1+V811設定!$B$4)-MOD($F349*IF($C349="売",1-V811設定!$B$4,1+V811設定!$B$4),IF($F349&lt;=3000,1,IF($F349&lt;=5000,5,IF($F349&lt;=30000,10,IF($F349&lt;=50000,50,IF($F349&lt;=300000,100,500))))))+IF(AND($C349="売",MOD($F349*IF($C349="売",1-V811設定!$B$4,1+V811設定!$B$4),IF($F349&lt;=3000,1,IF($F349&lt;=5000,5,IF($F349&lt;=30000,10,IF($F349&lt;=50000,50,IF($F349&lt;=300000,100,500))))))&gt;0),IF($F349&lt;=3000,1,IF($F349&lt;=5000,5,IF($F349&lt;=30000,10,IF($F349&lt;=50000,50,IF($F349&lt;=300000,100,500))))),0))</f>
      </c>
      <c r="N349" s="599" t="str">
        <f>IF($F349="","",$F349*IF($C349="売",1+V811設定!$B$3,1-V811設定!$B$3)-MOD($F349*IF($C349="売",1+V811設定!$B$3,1-V811設定!$B$3),IF($F349&lt;=3000,1,IF($F349&lt;=5000,5,IF($F349&lt;=30000,10,IF($F349&lt;=50000,50,IF($F349&lt;=300000,100,500))))))+IF(AND($C349="売",MOD($F349*IF($C349="売",1+V811設定!$B$3,1-V811設定!$B$3),IF($F349&lt;=3000,1,IF($F349&lt;=5000,5,IF($F349&lt;=30000,10,IF($F349&lt;=50000,50,IF($F349&lt;=300000,100,500))))))&gt;0),IF($F349&lt;=3000,1,IF($F349&lt;=5000,5,IF($F349&lt;=30000,10,IF($F349&lt;=50000,50,IF($F349&lt;=300000,100,500))))),0))</f>
      </c>
      <c r="O349" s="478" t="str">
        <f>IF(OR($B349="",$F349="",$H349=""),"",IF($S349="✅売却済","―決済済―",IF($C349="売",IF($H349&lt;=$M349,"🟢利確",IF(AND($R349&lt;&gt;"",$H349&gt;=$R349),"🟠TRAIL",IF($H349&gt;=$N349,"🔴損切",IF($W349&gt;=V811設定!$B$6,"⏱時間決済",IF($H349&gt;=$F349*(1+V811設定!$B$3*0.7),"⚠️損切接近","保持継続"))))),IF($H349&gt;=$M349,"🟢利確",IF(AND($R349&lt;&gt;"",$H349&lt;=$R349),"🟠TRAIL",IF($H349&lt;=$N349,"🔴損切",IF($W349&gt;=V811設定!$B$6,"⏱時間決済",IF($H349&lt;=$F349*(1-V811設定!$B$3*0.7),"⚠️損切接近","保持継続"))))))))</f>
      </c>
      <c r="P349" s="445"/>
      <c r="R349" s="440" t="str">
        <f>IF(OR($F349="",$H349="",$N349=""),"",IF($S349="✅売却済","",IF($C349="売",IF($H349&gt;$F349*(1-V811設定!$B$3),$N349,MIN($N349,IF($Q349="",$N349,$Q349*1.03))),IF($H349&lt;$F349*(1+V811設定!$B$3),$N349,MAX($N349,IF($P349="",$N349,$P349*0.97))))))</f>
      </c>
      <c r="S349" s="440" t="str">
        <f>IF(B349="","",IF(T349&lt;&gt;"","✅売却済",IF(OR(H349="",L349=""),"📌保有中",IF(L349&gt;=0.06,"🟢利確推奨",IF(L349&gt;=0.05,"🟡利確直近",IF(L349&gt;=0.045,"🔵トレーリング検討",IF(L349&gt;-0.03,"📌保有中",IF(L349&gt;-0.04,"⚠️損切注意","🔴損切り"))))))))</f>
        <v/>
      </c>
      <c r="T349" s="597"/>
      <c r="U349" s="599"/>
      <c r="V349" s="704" t="str">
        <f>IF(OR(F349="",G349="",U349=""),"",IF(C349="売",(F349-U349)*G349,(U349-F349)*G349))</f>
        <v/>
      </c>
      <c r="W349" s="440" t="str">
        <f>IF(OR($E349="",$B349=""),"",IF($T349&lt;&gt;"",$T349-$E349,TODAY()-$E349)+1)</f>
        <v/>
      </c>
      <c r="X349" s="440" t="str">
        <f>IF(OR($AH349="",$AH349="保有中"),"",$AH349)</f>
        <v/>
      </c>
      <c r="AD349" s="608"/>
      <c r="AE349" s="600" t="str">
        <f>IF($E349="","",WORKDAY($E349,12))</f>
        <v/>
      </c>
      <c r="AF349" s="600" t="str" cm="1">
        <f t="array" aca="1" ref="AF349" ca="1">IF(OR($B349="",$M349=""),"",IFERROR(IF($C349="売",_xlfn.MINIFS(安値!$E$3:$IT$3,安値!$E$3:$IT$3,"&gt;"&amp;$E349,安値!$E$3:$IT$3,"&lt;="&amp;$AE349,OFFSET(安値!$E$6:$IT$6,MATCH(TEXT($B349,"0"),TEXT(銘柄管理!$B$6:$B$305,"0"),0)-1,0),"&lt;="&amp;$M349),_xlfn.MINIFS(高値!$E$3:$IT$3,高値!$E$3:$IT$3,"&gt;"&amp;$E349,高値!$E$3:$IT$3,"&lt;="&amp;$AE349,OFFSET(高値!$E$6:$IT$6,MATCH(TEXT($B349,"0"),TEXT(銘柄管理!$B$6:$B$305,"0"),0)-1,0),"&gt;="&amp;$M349)),""))</f>
        <v/>
      </c>
      <c r="AG349" s="600" t="str" cm="1">
        <f t="array" aca="1" ref="AG349" ca="1">IF(OR($B349="",$N349=""),"",IFERROR(IF($C349="売",_xlfn.MINIFS(高値!$E$3:$IT$3,高値!$E$3:$IT$3,"&gt;"&amp;$E349,高値!$E$3:$IT$3,"&lt;="&amp;$AE349,OFFSET(高値!$E$6:$IT$6,MATCH(TEXT($B349,"0"),TEXT(銘柄管理!$B$6:$B$305,"0"),0)-1,0),"&gt;="&amp;$N349),_xlfn.MINIFS(安値!$E$3:$IT$3,安値!$E$3:$IT$3,"&gt;"&amp;$E349,安値!$E$3:$IT$3,"&lt;="&amp;$AE349,OFFSET(安値!$E$6:$IT$6,MATCH(TEXT($B349,"0"),TEXT(銘柄管理!$B$6:$B$305,"0"),0)-1,0),"&lt;="&amp;$N349)),""))</f>
        <v/>
      </c>
      <c r="AH349" s="600" t="str">
        <f>IF(OR($B349="",$M349=""),"",IF(AND(N($AF349)=0,N($AG349)=0),IF(AND(ISNUMBER($H349),$H349&gt;0,IF($C349="売",$H349&gt;=$N349,$H349&lt;=$N349)),"損切確定",IF(AND(ISNUMBER($H349),$H349&gt;0,IF($C349="売",$H349&lt;=$M349,$H349&gt;=$M349)),"利益確定",IF($AE349&lt;=TODAY(),"日数制限","保有中"))),IF(N($AG349)=0,"利益確定",IF(N($AF349)=0,"損切確定",IF($AG349&lt;=$AF349,"損切確定","利益確定")))))</f>
        <v/>
      </c>
      <c r="AI349" s="600" t="str" cm="1">
        <f t="array" ref="AI349">IFERROR(INDEX(始値!$E$6:$IT$305,MATCH(TEXT($B349,"0"),TEXT(銘柄管理!$B$6:$B$305,"0"),0),MATCH($AE349,始値!$E$3:$IT$3,0)),"")</f>
        <v/>
      </c>
      <c r="AJ349" s="608" t="str">
        <f>IF(OR($V349="",$F349="",$G349=""),"",$V349/($F349*$G349))</f>
        <v/>
      </c>
      <c r="AK349" s="600" t="str">
        <f>IF($V349="","",IF($V349&gt;0,"○勝",IF($V349&lt;0,"●負","△引分")))</f>
        <v/>
      </c>
    </row>
    <row r="350" spans="1:37" ht="17.25" customHeight="1">
      <c r="A350" s="622" t="str">
        <f>IF(B350="","",HYPERLINK("https://kabutan.jp/stock/?code="&amp;B350,"株探"))</f>
        <v/>
      </c>
      <c r="D350" s="440" t="str" cm="1">
        <f t="array" ref="D350">_xll.RssMarket(B350, "銘柄名称")</f>
        <v/>
      </c>
      <c r="E350" s="717"/>
      <c r="F350" s="698" t="str" cm="1">
        <f t="array" aca="1" ref="F350" ca="1">IFERROR(_xlfn.LET(_xlpm.r,MATCH(TEXT($B350,"0"),TEXT(銘柄管理!$B$6:$B$305,"0"),0),_xlpm.t,MOD(NOW(),1),_xlpm.c,IF($E350=TODAY(),IF(_xlpm.t&gt;=TIME(15,30,0),NA(),1),IF(MATCH($E350,始値!$E$3:$IT$3,0)=1,1,MATCH($E350,始値!$E$3:$IT$3,0)+1)),_xlpm.v,INDEX(始値!$C$6:$IT$305,_xlpm.r,_xlpm.c),IF(N(_xlpm.v)=0,"",_xlpm.v)),"")</f>
        <v/>
      </c>
      <c r="H350" s="440" t="str" cm="1">
        <f t="array" ref="H350">_xll.RssMarket(B350, "現在値")</f>
        <v/>
      </c>
      <c r="I350" s="440" t="str" cm="1">
        <f t="array" ref="I350">_xll.RssMarket(B350, "出来高加重平均")</f>
        <v/>
      </c>
      <c r="J350" s="702" t="str" cm="1">
        <f t="array" ref="J350">_xll.RssMarket($B350, "前日比")</f>
        <v/>
      </c>
      <c r="K350" s="704" t="str">
        <f>IF(OR(F350="",G350="",H350=""),"",IF(C350="売",(F350-H350)*G350,(H350-F350)*G350))</f>
        <v/>
      </c>
      <c r="L350" s="709" t="str">
        <f>IF(OR(F350="",H350=""),"",IF(C350="売",(F350-H350)/F350,(H350-F350)/F350))</f>
        <v/>
      </c>
      <c r="M350" s="599" t="str">
        <f>IF($F350="","",$F350*IF($C350="売",1-V811設定!$B$4,1+V811設定!$B$4)-MOD($F350*IF($C350="売",1-V811設定!$B$4,1+V811設定!$B$4),IF($F350&lt;=3000,1,IF($F350&lt;=5000,5,IF($F350&lt;=30000,10,IF($F350&lt;=50000,50,IF($F350&lt;=300000,100,500))))))+IF(AND($C350="売",MOD($F350*IF($C350="売",1-V811設定!$B$4,1+V811設定!$B$4),IF($F350&lt;=3000,1,IF($F350&lt;=5000,5,IF($F350&lt;=30000,10,IF($F350&lt;=50000,50,IF($F350&lt;=300000,100,500))))))&gt;0),IF($F350&lt;=3000,1,IF($F350&lt;=5000,5,IF($F350&lt;=30000,10,IF($F350&lt;=50000,50,IF($F350&lt;=300000,100,500))))),0))</f>
      </c>
      <c r="N350" s="599" t="str">
        <f>IF($F350="","",$F350*IF($C350="売",1+V811設定!$B$3,1-V811設定!$B$3)-MOD($F350*IF($C350="売",1+V811設定!$B$3,1-V811設定!$B$3),IF($F350&lt;=3000,1,IF($F350&lt;=5000,5,IF($F350&lt;=30000,10,IF($F350&lt;=50000,50,IF($F350&lt;=300000,100,500))))))+IF(AND($C350="売",MOD($F350*IF($C350="売",1+V811設定!$B$3,1-V811設定!$B$3),IF($F350&lt;=3000,1,IF($F350&lt;=5000,5,IF($F350&lt;=30000,10,IF($F350&lt;=50000,50,IF($F350&lt;=300000,100,500))))))&gt;0),IF($F350&lt;=3000,1,IF($F350&lt;=5000,5,IF($F350&lt;=30000,10,IF($F350&lt;=50000,50,IF($F350&lt;=300000,100,500))))),0))</f>
      </c>
      <c r="O350" s="478" t="str">
        <f>IF(OR($B350="",$F350="",$H350=""),"",IF($S350="✅売却済","―決済済―",IF($C350="売",IF($H350&lt;=$M350,"🟢利確",IF(AND($R350&lt;&gt;"",$H350&gt;=$R350),"🟠TRAIL",IF($H350&gt;=$N350,"🔴損切",IF($W350&gt;=V811設定!$B$6,"⏱時間決済",IF($H350&gt;=$F350*(1+V811設定!$B$3*0.7),"⚠️損切接近","保持継続"))))),IF($H350&gt;=$M350,"🟢利確",IF(AND($R350&lt;&gt;"",$H350&lt;=$R350),"🟠TRAIL",IF($H350&lt;=$N350,"🔴損切",IF($W350&gt;=V811設定!$B$6,"⏱時間決済",IF($H350&lt;=$F350*(1-V811設定!$B$3*0.7),"⚠️損切接近","保持継続"))))))))</f>
      </c>
      <c r="P350" s="445"/>
      <c r="R350" s="440" t="str">
        <f>IF(OR($F350="",$H350="",$N350=""),"",IF($S350="✅売却済","",IF($C350="売",IF($H350&gt;$F350*(1-V811設定!$B$3),$N350,MIN($N350,IF($Q350="",$N350,$Q350*1.03))),IF($H350&lt;$F350*(1+V811設定!$B$3),$N350,MAX($N350,IF($P350="",$N350,$P350*0.97))))))</f>
      </c>
      <c r="S350" s="440" t="str">
        <f>IF(B350="","",IF(T350&lt;&gt;"","✅売却済",IF(OR(H350="",L350=""),"📌保有中",IF(L350&gt;=0.06,"🟢利確推奨",IF(L350&gt;=0.05,"🟡利確直近",IF(L350&gt;=0.045,"🔵トレーリング検討",IF(L350&gt;-0.03,"📌保有中",IF(L350&gt;-0.04,"⚠️損切注意","🔴損切り"))))))))</f>
        <v/>
      </c>
      <c r="T350" s="597"/>
      <c r="U350" s="599"/>
      <c r="V350" s="704" t="str">
        <f>IF(OR(F350="",G350="",U350=""),"",IF(C350="売",(F350-U350)*G350,(U350-F350)*G350))</f>
        <v/>
      </c>
      <c r="W350" s="440" t="str">
        <f>IF(OR($E350="",$B350=""),"",IF($T350&lt;&gt;"",$T350-$E350,TODAY()-$E350)+1)</f>
        <v/>
      </c>
      <c r="X350" s="440" t="str">
        <f>IF(OR($AH350="",$AH350="保有中"),"",$AH350)</f>
        <v/>
      </c>
      <c r="AD350" s="608"/>
      <c r="AE350" s="600" t="str">
        <f>IF($E350="","",WORKDAY($E350,12))</f>
        <v/>
      </c>
      <c r="AF350" s="600" t="str" cm="1">
        <f t="array" aca="1" ref="AF350" ca="1">IF(OR($B350="",$M350=""),"",IFERROR(IF($C350="売",_xlfn.MINIFS(安値!$E$3:$IT$3,安値!$E$3:$IT$3,"&gt;"&amp;$E350,安値!$E$3:$IT$3,"&lt;="&amp;$AE350,OFFSET(安値!$E$6:$IT$6,MATCH(TEXT($B350,"0"),TEXT(銘柄管理!$B$6:$B$305,"0"),0)-1,0),"&lt;="&amp;$M350),_xlfn.MINIFS(高値!$E$3:$IT$3,高値!$E$3:$IT$3,"&gt;"&amp;$E350,高値!$E$3:$IT$3,"&lt;="&amp;$AE350,OFFSET(高値!$E$6:$IT$6,MATCH(TEXT($B350,"0"),TEXT(銘柄管理!$B$6:$B$305,"0"),0)-1,0),"&gt;="&amp;$M350)),""))</f>
        <v/>
      </c>
      <c r="AG350" s="600" t="str" cm="1">
        <f t="array" aca="1" ref="AG350" ca="1">IF(OR($B350="",$N350=""),"",IFERROR(IF($C350="売",_xlfn.MINIFS(高値!$E$3:$IT$3,高値!$E$3:$IT$3,"&gt;"&amp;$E350,高値!$E$3:$IT$3,"&lt;="&amp;$AE350,OFFSET(高値!$E$6:$IT$6,MATCH(TEXT($B350,"0"),TEXT(銘柄管理!$B$6:$B$305,"0"),0)-1,0),"&gt;="&amp;$N350),_xlfn.MINIFS(安値!$E$3:$IT$3,安値!$E$3:$IT$3,"&gt;"&amp;$E350,安値!$E$3:$IT$3,"&lt;="&amp;$AE350,OFFSET(安値!$E$6:$IT$6,MATCH(TEXT($B350,"0"),TEXT(銘柄管理!$B$6:$B$305,"0"),0)-1,0),"&lt;="&amp;$N350)),""))</f>
        <v/>
      </c>
      <c r="AH350" s="600" t="str">
        <f>IF(OR($B350="",$M350=""),"",IF(AND(N($AF350)=0,N($AG350)=0),IF(AND(ISNUMBER($H350),$H350&gt;0,IF($C350="売",$H350&gt;=$N350,$H350&lt;=$N350)),"損切確定",IF(AND(ISNUMBER($H350),$H350&gt;0,IF($C350="売",$H350&lt;=$M350,$H350&gt;=$M350)),"利益確定",IF($AE350&lt;=TODAY(),"日数制限","保有中"))),IF(N($AG350)=0,"利益確定",IF(N($AF350)=0,"損切確定",IF($AG350&lt;=$AF350,"損切確定","利益確定")))))</f>
        <v/>
      </c>
      <c r="AI350" s="600" t="str" cm="1">
        <f t="array" ref="AI350">IFERROR(INDEX(始値!$E$6:$IT$305,MATCH(TEXT($B350,"0"),TEXT(銘柄管理!$B$6:$B$305,"0"),0),MATCH($AE350,始値!$E$3:$IT$3,0)),"")</f>
        <v/>
      </c>
      <c r="AJ350" s="608" t="str">
        <f>IF(OR($V350="",$F350="",$G350=""),"",$V350/($F350*$G350))</f>
        <v/>
      </c>
      <c r="AK350" s="600" t="str">
        <f>IF($V350="","",IF($V350&gt;0,"○勝",IF($V350&lt;0,"●負","△引分")))</f>
        <v/>
      </c>
    </row>
    <row r="351" spans="1:37" ht="17.25" customHeight="1">
      <c r="A351" s="622" t="str">
        <f>IF(B351="","",HYPERLINK("https://kabutan.jp/stock/?code="&amp;B351,"株探"))</f>
        <v/>
      </c>
      <c r="D351" s="440" t="str" cm="1">
        <f t="array" ref="D351">_xll.RssMarket(B351, "銘柄名称")</f>
        <v/>
      </c>
      <c r="E351" s="717"/>
      <c r="F351" s="698" t="str" cm="1">
        <f t="array" aca="1" ref="F351" ca="1">IFERROR(_xlfn.LET(_xlpm.r,MATCH(TEXT($B351,"0"),TEXT(銘柄管理!$B$6:$B$305,"0"),0),_xlpm.t,MOD(NOW(),1),_xlpm.c,IF($E351=TODAY(),IF(_xlpm.t&gt;=TIME(15,30,0),NA(),1),IF(MATCH($E351,始値!$E$3:$IT$3,0)=1,1,MATCH($E351,始値!$E$3:$IT$3,0)+1)),_xlpm.v,INDEX(始値!$C$6:$IT$305,_xlpm.r,_xlpm.c),IF(N(_xlpm.v)=0,"",_xlpm.v)),"")</f>
        <v/>
      </c>
      <c r="H351" s="440" t="str" cm="1">
        <f t="array" ref="H351">_xll.RssMarket(B351, "現在値")</f>
        <v/>
      </c>
      <c r="I351" s="440" t="str" cm="1">
        <f t="array" ref="I351">_xll.RssMarket(B351, "出来高加重平均")</f>
        <v/>
      </c>
      <c r="J351" s="704" t="str" cm="1">
        <f t="array" ref="J351">_xll.RssMarket($B351, "前日比")</f>
        <v/>
      </c>
      <c r="K351" s="704" t="str">
        <f>IF(OR(F351="",G351="",H351=""),"",IF(C351="売",(F351-H351)*G351,(H351-F351)*G351))</f>
        <v/>
      </c>
      <c r="L351" s="709" t="str">
        <f>IF(OR(F351="",H351=""),"",IF(C351="売",(F351-H351)/F351,(H351-F351)/F351))</f>
        <v/>
      </c>
      <c r="M351" s="599" t="str">
        <f>IF($F351="","",$F351*IF($C351="売",1-V811設定!$B$4,1+V811設定!$B$4)-MOD($F351*IF($C351="売",1-V811設定!$B$4,1+V811設定!$B$4),IF($F351&lt;=3000,1,IF($F351&lt;=5000,5,IF($F351&lt;=30000,10,IF($F351&lt;=50000,50,IF($F351&lt;=300000,100,500))))))+IF(AND($C351="売",MOD($F351*IF($C351="売",1-V811設定!$B$4,1+V811設定!$B$4),IF($F351&lt;=3000,1,IF($F351&lt;=5000,5,IF($F351&lt;=30000,10,IF($F351&lt;=50000,50,IF($F351&lt;=300000,100,500))))))&gt;0),IF($F351&lt;=3000,1,IF($F351&lt;=5000,5,IF($F351&lt;=30000,10,IF($F351&lt;=50000,50,IF($F351&lt;=300000,100,500))))),0))</f>
      </c>
      <c r="N351" s="599" t="str">
        <f>IF($F351="","",$F351*IF($C351="売",1+V811設定!$B$3,1-V811設定!$B$3)-MOD($F351*IF($C351="売",1+V811設定!$B$3,1-V811設定!$B$3),IF($F351&lt;=3000,1,IF($F351&lt;=5000,5,IF($F351&lt;=30000,10,IF($F351&lt;=50000,50,IF($F351&lt;=300000,100,500))))))+IF(AND($C351="売",MOD($F351*IF($C351="売",1+V811設定!$B$3,1-V811設定!$B$3),IF($F351&lt;=3000,1,IF($F351&lt;=5000,5,IF($F351&lt;=30000,10,IF($F351&lt;=50000,50,IF($F351&lt;=300000,100,500))))))&gt;0),IF($F351&lt;=3000,1,IF($F351&lt;=5000,5,IF($F351&lt;=30000,10,IF($F351&lt;=50000,50,IF($F351&lt;=300000,100,500))))),0))</f>
      </c>
      <c r="O351" s="478" t="str">
        <f>IF(OR($B351="",$F351="",$H351=""),"",IF($S351="✅売却済","―決済済―",IF($C351="売",IF($H351&lt;=$M351,"🟢利確",IF(AND($R351&lt;&gt;"",$H351&gt;=$R351),"🟠TRAIL",IF($H351&gt;=$N351,"🔴損切",IF($W351&gt;=V811設定!$B$6,"⏱時間決済",IF($H351&gt;=$F351*(1+V811設定!$B$3*0.7),"⚠️損切接近","保持継続"))))),IF($H351&gt;=$M351,"🟢利確",IF(AND($R351&lt;&gt;"",$H351&lt;=$R351),"🟠TRAIL",IF($H351&lt;=$N351,"🔴損切",IF($W351&gt;=V811設定!$B$6,"⏱時間決済",IF($H351&lt;=$F351*(1-V811設定!$B$3*0.7),"⚠️損切接近","保持継続"))))))))</f>
      </c>
      <c r="P351" s="445"/>
      <c r="R351" s="440" t="str">
        <f>IF(OR($F351="",$H351="",$N351=""),"",IF($S351="✅売却済","",IF($C351="売",IF($H351&gt;$F351*(1-V811設定!$B$3),$N351,MIN($N351,IF($Q351="",$N351,$Q351*1.03))),IF($H351&lt;$F351*(1+V811設定!$B$3),$N351,MAX($N351,IF($P351="",$N351,$P351*0.97))))))</f>
      </c>
      <c r="S351" s="440" t="str">
        <f>IF(B351="","",IF(T351&lt;&gt;"","✅売却済",IF(OR(H351="",L351=""),"📌保有中",IF(L351&gt;=0.06,"🟢利確推奨",IF(L351&gt;=0.05,"🟡利確直近",IF(L351&gt;=0.045,"🔵トレーリング検討",IF(L351&gt;-0.03,"📌保有中",IF(L351&gt;-0.04,"⚠️損切注意","🔴損切り"))))))))</f>
        <v/>
      </c>
      <c r="T351" s="597"/>
      <c r="U351" s="599"/>
      <c r="V351" s="704" t="str">
        <f>IF(OR(F351="",G351="",U351=""),"",IF(C351="売",(F351-U351)*G351,(U351-F351)*G351))</f>
        <v/>
      </c>
      <c r="W351" s="440" t="str">
        <f>IF(OR($E351="",$B351=""),"",IF($T351&lt;&gt;"",$T351-$E351,TODAY()-$E351)+1)</f>
        <v/>
      </c>
      <c r="X351" s="440" t="str">
        <f>IF(OR($AH351="",$AH351="保有中"),"",$AH351)</f>
        <v/>
      </c>
      <c r="AD351" s="608"/>
      <c r="AE351" s="600" t="str">
        <f>IF($E351="","",WORKDAY($E351,12))</f>
        <v/>
      </c>
      <c r="AF351" s="600" t="str" cm="1">
        <f t="array" aca="1" ref="AF351" ca="1">IF(OR($B351="",$M351=""),"",IFERROR(IF($C351="売",_xlfn.MINIFS(安値!$E$3:$IT$3,安値!$E$3:$IT$3,"&gt;"&amp;$E351,安値!$E$3:$IT$3,"&lt;="&amp;$AE351,OFFSET(安値!$E$6:$IT$6,MATCH(TEXT($B351,"0"),TEXT(銘柄管理!$B$6:$B$305,"0"),0)-1,0),"&lt;="&amp;$M351),_xlfn.MINIFS(高値!$E$3:$IT$3,高値!$E$3:$IT$3,"&gt;"&amp;$E351,高値!$E$3:$IT$3,"&lt;="&amp;$AE351,OFFSET(高値!$E$6:$IT$6,MATCH(TEXT($B351,"0"),TEXT(銘柄管理!$B$6:$B$305,"0"),0)-1,0),"&gt;="&amp;$M351)),""))</f>
        <v/>
      </c>
      <c r="AG351" s="600" t="str" cm="1">
        <f t="array" aca="1" ref="AG351" ca="1">IF(OR($B351="",$N351=""),"",IFERROR(IF($C351="売",_xlfn.MINIFS(高値!$E$3:$IT$3,高値!$E$3:$IT$3,"&gt;"&amp;$E351,高値!$E$3:$IT$3,"&lt;="&amp;$AE351,OFFSET(高値!$E$6:$IT$6,MATCH(TEXT($B351,"0"),TEXT(銘柄管理!$B$6:$B$305,"0"),0)-1,0),"&gt;="&amp;$N351),_xlfn.MINIFS(安値!$E$3:$IT$3,安値!$E$3:$IT$3,"&gt;"&amp;$E351,安値!$E$3:$IT$3,"&lt;="&amp;$AE351,OFFSET(安値!$E$6:$IT$6,MATCH(TEXT($B351,"0"),TEXT(銘柄管理!$B$6:$B$305,"0"),0)-1,0),"&lt;="&amp;$N351)),""))</f>
        <v/>
      </c>
      <c r="AH351" s="600" t="str">
        <f>IF(OR($B351="",$M351=""),"",IF(AND(N($AF351)=0,N($AG351)=0),IF(AND(ISNUMBER($H351),$H351&gt;0,IF($C351="売",$H351&gt;=$N351,$H351&lt;=$N351)),"損切確定",IF(AND(ISNUMBER($H351),$H351&gt;0,IF($C351="売",$H351&lt;=$M351,$H351&gt;=$M351)),"利益確定",IF($AE351&lt;=TODAY(),"日数制限","保有中"))),IF(N($AG351)=0,"利益確定",IF(N($AF351)=0,"損切確定",IF($AG351&lt;=$AF351,"損切確定","利益確定")))))</f>
        <v/>
      </c>
      <c r="AI351" s="600" t="str" cm="1">
        <f t="array" ref="AI351">IFERROR(INDEX(始値!$E$6:$IT$305,MATCH(TEXT($B351,"0"),TEXT(銘柄管理!$B$6:$B$305,"0"),0),MATCH($AE351,始値!$E$3:$IT$3,0)),"")</f>
        <v/>
      </c>
      <c r="AJ351" s="608" t="str">
        <f>IF(OR($V351="",$F351="",$G351=""),"",$V351/($F351*$G351))</f>
        <v/>
      </c>
      <c r="AK351" s="600" t="str">
        <f>IF($V351="","",IF($V351&gt;0,"○勝",IF($V351&lt;0,"●負","△引分")))</f>
        <v/>
      </c>
    </row>
    <row r="352" spans="1:37" ht="17.25" customHeight="1">
      <c r="A352" s="622" t="str">
        <f>IF(B352="","",HYPERLINK("https://kabutan.jp/stock/?code="&amp;B352,"株探"))</f>
        <v/>
      </c>
      <c r="D352" s="440" t="str" cm="1">
        <f t="array" ref="D352">_xll.RssMarket(B352, "銘柄名称")</f>
        <v/>
      </c>
      <c r="E352" s="717"/>
      <c r="F352" s="698" t="str" cm="1">
        <f t="array" aca="1" ref="F352" ca="1">IFERROR(_xlfn.LET(_xlpm.r,MATCH(TEXT($B352,"0"),TEXT(銘柄管理!$B$6:$B$305,"0"),0),_xlpm.t,MOD(NOW(),1),_xlpm.c,IF($E352=TODAY(),IF(_xlpm.t&gt;=TIME(15,30,0),NA(),1),IF(MATCH($E352,始値!$E$3:$IT$3,0)=1,1,MATCH($E352,始値!$E$3:$IT$3,0)+1)),_xlpm.v,INDEX(始値!$C$6:$IT$305,_xlpm.r,_xlpm.c),IF(N(_xlpm.v)=0,"",_xlpm.v)),"")</f>
        <v/>
      </c>
      <c r="H352" s="440" t="str" cm="1">
        <f t="array" ref="H352">_xll.RssMarket(B352, "現在値")</f>
        <v/>
      </c>
      <c r="I352" s="440" t="str" cm="1">
        <f t="array" ref="I352">_xll.RssMarket(B352, "出来高加重平均")</f>
        <v/>
      </c>
      <c r="J352" s="704" t="str" cm="1">
        <f t="array" ref="J352">_xll.RssMarket($B352, "前日比")</f>
        <v/>
      </c>
      <c r="K352" s="704" t="str">
        <f>IF(OR(F352="",G352="",H352=""),"",IF(C352="売",(F352-H352)*G352,(H352-F352)*G352))</f>
        <v/>
      </c>
      <c r="L352" s="709" t="str">
        <f>IF(OR(F352="",H352=""),"",IF(C352="売",(F352-H352)/F352,(H352-F352)/F352))</f>
        <v/>
      </c>
      <c r="M352" s="599" t="str">
        <f>IF($F352="","",$F352*IF($C352="売",1-V811設定!$B$4,1+V811設定!$B$4)-MOD($F352*IF($C352="売",1-V811設定!$B$4,1+V811設定!$B$4),IF($F352&lt;=3000,1,IF($F352&lt;=5000,5,IF($F352&lt;=30000,10,IF($F352&lt;=50000,50,IF($F352&lt;=300000,100,500))))))+IF(AND($C352="売",MOD($F352*IF($C352="売",1-V811設定!$B$4,1+V811設定!$B$4),IF($F352&lt;=3000,1,IF($F352&lt;=5000,5,IF($F352&lt;=30000,10,IF($F352&lt;=50000,50,IF($F352&lt;=300000,100,500))))))&gt;0),IF($F352&lt;=3000,1,IF($F352&lt;=5000,5,IF($F352&lt;=30000,10,IF($F352&lt;=50000,50,IF($F352&lt;=300000,100,500))))),0))</f>
      </c>
      <c r="N352" s="599" t="str">
        <f>IF($F352="","",$F352*IF($C352="売",1+V811設定!$B$3,1-V811設定!$B$3)-MOD($F352*IF($C352="売",1+V811設定!$B$3,1-V811設定!$B$3),IF($F352&lt;=3000,1,IF($F352&lt;=5000,5,IF($F352&lt;=30000,10,IF($F352&lt;=50000,50,IF($F352&lt;=300000,100,500))))))+IF(AND($C352="売",MOD($F352*IF($C352="売",1+V811設定!$B$3,1-V811設定!$B$3),IF($F352&lt;=3000,1,IF($F352&lt;=5000,5,IF($F352&lt;=30000,10,IF($F352&lt;=50000,50,IF($F352&lt;=300000,100,500))))))&gt;0),IF($F352&lt;=3000,1,IF($F352&lt;=5000,5,IF($F352&lt;=30000,10,IF($F352&lt;=50000,50,IF($F352&lt;=300000,100,500))))),0))</f>
      </c>
      <c r="O352" s="478" t="str">
        <f>IF(OR($B352="",$F352="",$H352=""),"",IF($S352="✅売却済","―決済済―",IF($C352="売",IF($H352&lt;=$M352,"🟢利確",IF(AND($R352&lt;&gt;"",$H352&gt;=$R352),"🟠TRAIL",IF($H352&gt;=$N352,"🔴損切",IF($W352&gt;=V811設定!$B$6,"⏱時間決済",IF($H352&gt;=$F352*(1+V811設定!$B$3*0.7),"⚠️損切接近","保持継続"))))),IF($H352&gt;=$M352,"🟢利確",IF(AND($R352&lt;&gt;"",$H352&lt;=$R352),"🟠TRAIL",IF($H352&lt;=$N352,"🔴損切",IF($W352&gt;=V811設定!$B$6,"⏱時間決済",IF($H352&lt;=$F352*(1-V811設定!$B$3*0.7),"⚠️損切接近","保持継続"))))))))</f>
      </c>
      <c r="P352" s="445"/>
      <c r="R352" s="440" t="str">
        <f>IF(OR($F352="",$H352="",$N352=""),"",IF($S352="✅売却済","",IF($C352="売",IF($H352&gt;$F352*(1-V811設定!$B$3),$N352,MIN($N352,IF($Q352="",$N352,$Q352*1.03))),IF($H352&lt;$F352*(1+V811設定!$B$3),$N352,MAX($N352,IF($P352="",$N352,$P352*0.97))))))</f>
      </c>
      <c r="S352" s="440" t="str">
        <f>IF(B352="","",IF(T352&lt;&gt;"","✅売却済",IF(OR(H352="",L352=""),"📌保有中",IF(L352&gt;=0.06,"🟢利確推奨",IF(L352&gt;=0.05,"🟡利確直近",IF(L352&gt;=0.045,"🔵トレーリング検討",IF(L352&gt;-0.03,"📌保有中",IF(L352&gt;-0.04,"⚠️損切注意","🔴損切り"))))))))</f>
        <v/>
      </c>
      <c r="T352" s="597"/>
      <c r="U352" s="599"/>
      <c r="V352" s="704" t="str">
        <f>IF(OR(F352="",G352="",U352=""),"",IF(C352="売",(F352-U352)*G352,(U352-F352)*G352))</f>
        <v/>
      </c>
      <c r="W352" s="440" t="str">
        <f>IF(OR($E352="",$B352=""),"",IF($T352&lt;&gt;"",$T352-$E352,TODAY()-$E352)+1)</f>
        <v/>
      </c>
      <c r="X352" s="440" t="str">
        <f>IF(OR($AH352="",$AH352="保有中"),"",$AH352)</f>
        <v/>
      </c>
      <c r="AD352" s="608"/>
      <c r="AE352" s="600" t="str">
        <f>IF($E352="","",WORKDAY($E352,12))</f>
        <v/>
      </c>
      <c r="AF352" s="600" t="str" cm="1">
        <f t="array" aca="1" ref="AF352" ca="1">IF(OR($B352="",$M352=""),"",IFERROR(IF($C352="売",_xlfn.MINIFS(安値!$E$3:$IT$3,安値!$E$3:$IT$3,"&gt;"&amp;$E352,安値!$E$3:$IT$3,"&lt;="&amp;$AE352,OFFSET(安値!$E$6:$IT$6,MATCH(TEXT($B352,"0"),TEXT(銘柄管理!$B$6:$B$305,"0"),0)-1,0),"&lt;="&amp;$M352),_xlfn.MINIFS(高値!$E$3:$IT$3,高値!$E$3:$IT$3,"&gt;"&amp;$E352,高値!$E$3:$IT$3,"&lt;="&amp;$AE352,OFFSET(高値!$E$6:$IT$6,MATCH(TEXT($B352,"0"),TEXT(銘柄管理!$B$6:$B$305,"0"),0)-1,0),"&gt;="&amp;$M352)),""))</f>
        <v/>
      </c>
      <c r="AG352" s="600" t="str" cm="1">
        <f t="array" aca="1" ref="AG352" ca="1">IF(OR($B352="",$N352=""),"",IFERROR(IF($C352="売",_xlfn.MINIFS(高値!$E$3:$IT$3,高値!$E$3:$IT$3,"&gt;"&amp;$E352,高値!$E$3:$IT$3,"&lt;="&amp;$AE352,OFFSET(高値!$E$6:$IT$6,MATCH(TEXT($B352,"0"),TEXT(銘柄管理!$B$6:$B$305,"0"),0)-1,0),"&gt;="&amp;$N352),_xlfn.MINIFS(安値!$E$3:$IT$3,安値!$E$3:$IT$3,"&gt;"&amp;$E352,安値!$E$3:$IT$3,"&lt;="&amp;$AE352,OFFSET(安値!$E$6:$IT$6,MATCH(TEXT($B352,"0"),TEXT(銘柄管理!$B$6:$B$305,"0"),0)-1,0),"&lt;="&amp;$N352)),""))</f>
        <v/>
      </c>
      <c r="AH352" s="600" t="str">
        <f>IF(OR($B352="",$M352=""),"",IF(AND(N($AF352)=0,N($AG352)=0),IF(AND(ISNUMBER($H352),$H352&gt;0,IF($C352="売",$H352&gt;=$N352,$H352&lt;=$N352)),"損切確定",IF(AND(ISNUMBER($H352),$H352&gt;0,IF($C352="売",$H352&lt;=$M352,$H352&gt;=$M352)),"利益確定",IF($AE352&lt;=TODAY(),"日数制限","保有中"))),IF(N($AG352)=0,"利益確定",IF(N($AF352)=0,"損切確定",IF($AG352&lt;=$AF352,"損切確定","利益確定")))))</f>
        <v/>
      </c>
      <c r="AI352" s="600" t="str" cm="1">
        <f t="array" ref="AI352">IFERROR(INDEX(始値!$E$6:$IT$305,MATCH(TEXT($B352,"0"),TEXT(銘柄管理!$B$6:$B$305,"0"),0),MATCH($AE352,始値!$E$3:$IT$3,0)),"")</f>
        <v/>
      </c>
      <c r="AJ352" s="608" t="str">
        <f>IF(OR($V352="",$F352="",$G352=""),"",$V352/($F352*$G352))</f>
        <v/>
      </c>
      <c r="AK352" s="600" t="str">
        <f>IF($V352="","",IF($V352&gt;0,"○勝",IF($V352&lt;0,"●負","△引分")))</f>
        <v/>
      </c>
    </row>
    <row r="353" spans="1:37" ht="17.25" customHeight="1">
      <c r="A353" s="622" t="str">
        <f>IF(B353="","",HYPERLINK("https://kabutan.jp/stock/?code="&amp;B353,"株探"))</f>
        <v/>
      </c>
      <c r="D353" s="440" t="str" cm="1">
        <f t="array" ref="D353">_xll.RssMarket(B353, "銘柄名称")</f>
        <v/>
      </c>
      <c r="E353" s="717"/>
      <c r="F353" s="698" t="str" cm="1">
        <f t="array" aca="1" ref="F353" ca="1">IFERROR(_xlfn.LET(_xlpm.r,MATCH(TEXT($B353,"0"),TEXT(銘柄管理!$B$6:$B$305,"0"),0),_xlpm.t,MOD(NOW(),1),_xlpm.c,IF($E353=TODAY(),IF(_xlpm.t&gt;=TIME(15,30,0),NA(),1),IF(MATCH($E353,始値!$E$3:$IT$3,0)=1,1,MATCH($E353,始値!$E$3:$IT$3,0)+1)),_xlpm.v,INDEX(始値!$C$6:$IT$305,_xlpm.r,_xlpm.c),IF(N(_xlpm.v)=0,"",_xlpm.v)),"")</f>
        <v/>
      </c>
      <c r="H353" s="440" t="str" cm="1">
        <f t="array" ref="H353">_xll.RssMarket(B353, "現在値")</f>
        <v/>
      </c>
      <c r="I353" s="440" t="str" cm="1">
        <f t="array" ref="I353">_xll.RssMarket(B353, "出来高加重平均")</f>
        <v/>
      </c>
      <c r="J353" s="704" t="str" cm="1">
        <f t="array" ref="J353">_xll.RssMarket($B353, "前日比")</f>
        <v/>
      </c>
      <c r="K353" s="704" t="str">
        <f>IF(OR(F353="",G353="",H353=""),"",IF(C353="売",(F353-H353)*G353,(H353-F353)*G353))</f>
        <v/>
      </c>
      <c r="L353" s="709" t="str">
        <f>IF(OR(F353="",H353=""),"",IF(C353="売",(F353-H353)/F353,(H353-F353)/F353))</f>
        <v/>
      </c>
      <c r="M353" s="599" t="str">
        <f>IF($F353="","",$F353*IF($C353="売",1-V811設定!$B$4,1+V811設定!$B$4)-MOD($F353*IF($C353="売",1-V811設定!$B$4,1+V811設定!$B$4),IF($F353&lt;=3000,1,IF($F353&lt;=5000,5,IF($F353&lt;=30000,10,IF($F353&lt;=50000,50,IF($F353&lt;=300000,100,500))))))+IF(AND($C353="売",MOD($F353*IF($C353="売",1-V811設定!$B$4,1+V811設定!$B$4),IF($F353&lt;=3000,1,IF($F353&lt;=5000,5,IF($F353&lt;=30000,10,IF($F353&lt;=50000,50,IF($F353&lt;=300000,100,500))))))&gt;0),IF($F353&lt;=3000,1,IF($F353&lt;=5000,5,IF($F353&lt;=30000,10,IF($F353&lt;=50000,50,IF($F353&lt;=300000,100,500))))),0))</f>
      </c>
      <c r="N353" s="599" t="str">
        <f>IF($F353="","",$F353*IF($C353="売",1+V811設定!$B$3,1-V811設定!$B$3)-MOD($F353*IF($C353="売",1+V811設定!$B$3,1-V811設定!$B$3),IF($F353&lt;=3000,1,IF($F353&lt;=5000,5,IF($F353&lt;=30000,10,IF($F353&lt;=50000,50,IF($F353&lt;=300000,100,500))))))+IF(AND($C353="売",MOD($F353*IF($C353="売",1+V811設定!$B$3,1-V811設定!$B$3),IF($F353&lt;=3000,1,IF($F353&lt;=5000,5,IF($F353&lt;=30000,10,IF($F353&lt;=50000,50,IF($F353&lt;=300000,100,500))))))&gt;0),IF($F353&lt;=3000,1,IF($F353&lt;=5000,5,IF($F353&lt;=30000,10,IF($F353&lt;=50000,50,IF($F353&lt;=300000,100,500))))),0))</f>
      </c>
      <c r="O353" s="478" t="str">
        <f>IF(OR($B353="",$F353="",$H353=""),"",IF($S353="✅売却済","―決済済―",IF($C353="売",IF($H353&lt;=$M353,"🟢利確",IF(AND($R353&lt;&gt;"",$H353&gt;=$R353),"🟠TRAIL",IF($H353&gt;=$N353,"🔴損切",IF($W353&gt;=V811設定!$B$6,"⏱時間決済",IF($H353&gt;=$F353*(1+V811設定!$B$3*0.7),"⚠️損切接近","保持継続"))))),IF($H353&gt;=$M353,"🟢利確",IF(AND($R353&lt;&gt;"",$H353&lt;=$R353),"🟠TRAIL",IF($H353&lt;=$N353,"🔴損切",IF($W353&gt;=V811設定!$B$6,"⏱時間決済",IF($H353&lt;=$F353*(1-V811設定!$B$3*0.7),"⚠️損切接近","保持継続"))))))))</f>
      </c>
      <c r="P353" s="445"/>
      <c r="R353" s="440" t="str">
        <f>IF(OR($F353="",$H353="",$N353=""),"",IF($S353="✅売却済","",IF($C353="売",IF($H353&gt;$F353*(1-V811設定!$B$3),$N353,MIN($N353,IF($Q353="",$N353,$Q353*1.03))),IF($H353&lt;$F353*(1+V811設定!$B$3),$N353,MAX($N353,IF($P353="",$N353,$P353*0.97))))))</f>
      </c>
      <c r="S353" s="440" t="str">
        <f>IF(B353="","",IF(T353&lt;&gt;"","✅売却済",IF(OR(H353="",L353=""),"📌保有中",IF(L353&gt;=0.06,"🟢利確推奨",IF(L353&gt;=0.05,"🟡利確直近",IF(L353&gt;=0.045,"🔵トレーリング検討",IF(L353&gt;-0.03,"📌保有中",IF(L353&gt;-0.04,"⚠️損切注意","🔴損切り"))))))))</f>
        <v/>
      </c>
      <c r="T353" s="597"/>
      <c r="U353" s="599"/>
      <c r="V353" s="704" t="str">
        <f>IF(OR(F353="",G353="",U353=""),"",IF(C353="売",(F353-U353)*G353,(U353-F353)*G353))</f>
        <v/>
      </c>
      <c r="W353" s="440" t="str">
        <f>IF(OR($E353="",$B353=""),"",IF($T353&lt;&gt;"",$T353-$E353,TODAY()-$E353)+1)</f>
        <v/>
      </c>
      <c r="X353" s="440" t="str">
        <f>IF(OR($AH353="",$AH353="保有中"),"",$AH353)</f>
        <v/>
      </c>
      <c r="AD353" s="608"/>
      <c r="AE353" s="600" t="str">
        <f>IF($E353="","",WORKDAY($E353,12))</f>
        <v/>
      </c>
      <c r="AF353" s="600" t="str" cm="1">
        <f t="array" aca="1" ref="AF353" ca="1">IF(OR($B353="",$M353=""),"",IFERROR(IF($C353="売",_xlfn.MINIFS(安値!$E$3:$IT$3,安値!$E$3:$IT$3,"&gt;"&amp;$E353,安値!$E$3:$IT$3,"&lt;="&amp;$AE353,OFFSET(安値!$E$6:$IT$6,MATCH(TEXT($B353,"0"),TEXT(銘柄管理!$B$6:$B$305,"0"),0)-1,0),"&lt;="&amp;$M353),_xlfn.MINIFS(高値!$E$3:$IT$3,高値!$E$3:$IT$3,"&gt;"&amp;$E353,高値!$E$3:$IT$3,"&lt;="&amp;$AE353,OFFSET(高値!$E$6:$IT$6,MATCH(TEXT($B353,"0"),TEXT(銘柄管理!$B$6:$B$305,"0"),0)-1,0),"&gt;="&amp;$M353)),""))</f>
        <v/>
      </c>
      <c r="AG353" s="600" t="str" cm="1">
        <f t="array" aca="1" ref="AG353" ca="1">IF(OR($B353="",$N353=""),"",IFERROR(IF($C353="売",_xlfn.MINIFS(高値!$E$3:$IT$3,高値!$E$3:$IT$3,"&gt;"&amp;$E353,高値!$E$3:$IT$3,"&lt;="&amp;$AE353,OFFSET(高値!$E$6:$IT$6,MATCH(TEXT($B353,"0"),TEXT(銘柄管理!$B$6:$B$305,"0"),0)-1,0),"&gt;="&amp;$N353),_xlfn.MINIFS(安値!$E$3:$IT$3,安値!$E$3:$IT$3,"&gt;"&amp;$E353,安値!$E$3:$IT$3,"&lt;="&amp;$AE353,OFFSET(安値!$E$6:$IT$6,MATCH(TEXT($B353,"0"),TEXT(銘柄管理!$B$6:$B$305,"0"),0)-1,0),"&lt;="&amp;$N353)),""))</f>
        <v/>
      </c>
      <c r="AH353" s="600" t="str">
        <f>IF(OR($B353="",$M353=""),"",IF(AND(N($AF353)=0,N($AG353)=0),IF(AND(ISNUMBER($H353),$H353&gt;0,IF($C353="売",$H353&gt;=$N353,$H353&lt;=$N353)),"損切確定",IF(AND(ISNUMBER($H353),$H353&gt;0,IF($C353="売",$H353&lt;=$M353,$H353&gt;=$M353)),"利益確定",IF($AE353&lt;=TODAY(),"日数制限","保有中"))),IF(N($AG353)=0,"利益確定",IF(N($AF353)=0,"損切確定",IF($AG353&lt;=$AF353,"損切確定","利益確定")))))</f>
        <v/>
      </c>
      <c r="AI353" s="600" t="str" cm="1">
        <f t="array" ref="AI353">IFERROR(INDEX(始値!$E$6:$IT$305,MATCH(TEXT($B353,"0"),TEXT(銘柄管理!$B$6:$B$305,"0"),0),MATCH($AE353,始値!$E$3:$IT$3,0)),"")</f>
        <v/>
      </c>
      <c r="AJ353" s="608" t="str">
        <f>IF(OR($V353="",$F353="",$G353=""),"",$V353/($F353*$G353))</f>
        <v/>
      </c>
      <c r="AK353" s="600" t="str">
        <f>IF($V353="","",IF($V353&gt;0,"○勝",IF($V353&lt;0,"●負","△引分")))</f>
        <v/>
      </c>
    </row>
    <row r="354" spans="1:37" ht="17.25" customHeight="1">
      <c r="A354" s="622" t="str">
        <f>IF(B354="","",HYPERLINK("https://kabutan.jp/stock/?code="&amp;B354,"株探"))</f>
        <v/>
      </c>
      <c r="D354" s="440" t="str" cm="1">
        <f t="array" ref="D354">_xll.RssMarket(B354, "銘柄名称")</f>
        <v/>
      </c>
      <c r="E354" s="717"/>
      <c r="F354" s="698" t="str" cm="1">
        <f t="array" aca="1" ref="F354" ca="1">IFERROR(_xlfn.LET(_xlpm.r,MATCH(TEXT($B354,"0"),TEXT(銘柄管理!$B$6:$B$305,"0"),0),_xlpm.t,MOD(NOW(),1),_xlpm.c,IF($E354=TODAY(),IF(_xlpm.t&gt;=TIME(15,30,0),NA(),1),IF(MATCH($E354,始値!$E$3:$IT$3,0)=1,1,MATCH($E354,始値!$E$3:$IT$3,0)+1)),_xlpm.v,INDEX(始値!$C$6:$IT$305,_xlpm.r,_xlpm.c),IF(N(_xlpm.v)=0,"",_xlpm.v)),"")</f>
        <v/>
      </c>
      <c r="H354" s="440" t="str" cm="1">
        <f t="array" ref="H354">_xll.RssMarket(B354, "現在値")</f>
        <v/>
      </c>
      <c r="I354" s="440" t="str" cm="1">
        <f t="array" ref="I354">_xll.RssMarket(B354, "出来高加重平均")</f>
        <v/>
      </c>
      <c r="J354" s="704" t="str" cm="1">
        <f t="array" ref="J354">_xll.RssMarket($B354, "前日比")</f>
        <v/>
      </c>
      <c r="K354" s="704" t="str">
        <f>IF(OR(F354="",G354="",H354=""),"",IF(C354="売",(F354-H354)*G354,(H354-F354)*G354))</f>
        <v/>
      </c>
      <c r="L354" s="709" t="str">
        <f>IF(OR(F354="",H354=""),"",IF(C354="売",(F354-H354)/F354,(H354-F354)/F354))</f>
        <v/>
      </c>
      <c r="M354" s="599" t="str">
        <f>IF($F354="","",$F354*IF($C354="売",1-V811設定!$B$4,1+V811設定!$B$4)-MOD($F354*IF($C354="売",1-V811設定!$B$4,1+V811設定!$B$4),IF($F354&lt;=3000,1,IF($F354&lt;=5000,5,IF($F354&lt;=30000,10,IF($F354&lt;=50000,50,IF($F354&lt;=300000,100,500))))))+IF(AND($C354="売",MOD($F354*IF($C354="売",1-V811設定!$B$4,1+V811設定!$B$4),IF($F354&lt;=3000,1,IF($F354&lt;=5000,5,IF($F354&lt;=30000,10,IF($F354&lt;=50000,50,IF($F354&lt;=300000,100,500))))))&gt;0),IF($F354&lt;=3000,1,IF($F354&lt;=5000,5,IF($F354&lt;=30000,10,IF($F354&lt;=50000,50,IF($F354&lt;=300000,100,500))))),0))</f>
      </c>
      <c r="N354" s="599" t="str">
        <f>IF($F354="","",$F354*IF($C354="売",1+V811設定!$B$3,1-V811設定!$B$3)-MOD($F354*IF($C354="売",1+V811設定!$B$3,1-V811設定!$B$3),IF($F354&lt;=3000,1,IF($F354&lt;=5000,5,IF($F354&lt;=30000,10,IF($F354&lt;=50000,50,IF($F354&lt;=300000,100,500))))))+IF(AND($C354="売",MOD($F354*IF($C354="売",1+V811設定!$B$3,1-V811設定!$B$3),IF($F354&lt;=3000,1,IF($F354&lt;=5000,5,IF($F354&lt;=30000,10,IF($F354&lt;=50000,50,IF($F354&lt;=300000,100,500))))))&gt;0),IF($F354&lt;=3000,1,IF($F354&lt;=5000,5,IF($F354&lt;=30000,10,IF($F354&lt;=50000,50,IF($F354&lt;=300000,100,500))))),0))</f>
      </c>
      <c r="O354" s="478" t="str">
        <f>IF(OR($B354="",$F354="",$H354=""),"",IF($S354="✅売却済","―決済済―",IF($C354="売",IF($H354&lt;=$M354,"🟢利確",IF(AND($R354&lt;&gt;"",$H354&gt;=$R354),"🟠TRAIL",IF($H354&gt;=$N354,"🔴損切",IF($W354&gt;=V811設定!$B$6,"⏱時間決済",IF($H354&gt;=$F354*(1+V811設定!$B$3*0.7),"⚠️損切接近","保持継続"))))),IF($H354&gt;=$M354,"🟢利確",IF(AND($R354&lt;&gt;"",$H354&lt;=$R354),"🟠TRAIL",IF($H354&lt;=$N354,"🔴損切",IF($W354&gt;=V811設定!$B$6,"⏱時間決済",IF($H354&lt;=$F354*(1-V811設定!$B$3*0.7),"⚠️損切接近","保持継続"))))))))</f>
      </c>
      <c r="P354" s="445"/>
      <c r="R354" s="440" t="str">
        <f>IF(OR($F354="",$H354="",$N354=""),"",IF($S354="✅売却済","",IF($C354="売",IF($H354&gt;$F354*(1-V811設定!$B$3),$N354,MIN($N354,IF($Q354="",$N354,$Q354*1.03))),IF($H354&lt;$F354*(1+V811設定!$B$3),$N354,MAX($N354,IF($P354="",$N354,$P354*0.97))))))</f>
      </c>
      <c r="S354" s="440" t="str">
        <f>IF(B354="","",IF(T354&lt;&gt;"","✅売却済",IF(OR(H354="",L354=""),"📌保有中",IF(L354&gt;=0.06,"🟢利確推奨",IF(L354&gt;=0.05,"🟡利確直近",IF(L354&gt;=0.045,"🔵トレーリング検討",IF(L354&gt;-0.03,"📌保有中",IF(L354&gt;-0.04,"⚠️損切注意","🔴損切り"))))))))</f>
        <v/>
      </c>
      <c r="T354" s="597"/>
      <c r="U354" s="599"/>
      <c r="V354" s="704" t="str">
        <f>IF(OR(F354="",G354="",U354=""),"",IF(C354="売",(F354-U354)*G354,(U354-F354)*G354))</f>
        <v/>
      </c>
      <c r="W354" s="440" t="str">
        <f>IF(OR($E354="",$B354=""),"",IF($T354&lt;&gt;"",$T354-$E354,TODAY()-$E354)+1)</f>
        <v/>
      </c>
      <c r="X354" s="440" t="str">
        <f>IF(OR($AH354="",$AH354="保有中"),"",$AH354)</f>
        <v/>
      </c>
      <c r="AD354" s="608"/>
      <c r="AE354" s="600" t="str">
        <f>IF($E354="","",WORKDAY($E354,12))</f>
        <v/>
      </c>
      <c r="AF354" s="600" t="str" cm="1">
        <f t="array" aca="1" ref="AF354" ca="1">IF(OR($B354="",$M354=""),"",IFERROR(IF($C354="売",_xlfn.MINIFS(安値!$E$3:$IT$3,安値!$E$3:$IT$3,"&gt;"&amp;$E354,安値!$E$3:$IT$3,"&lt;="&amp;$AE354,OFFSET(安値!$E$6:$IT$6,MATCH(TEXT($B354,"0"),TEXT(銘柄管理!$B$6:$B$305,"0"),0)-1,0),"&lt;="&amp;$M354),_xlfn.MINIFS(高値!$E$3:$IT$3,高値!$E$3:$IT$3,"&gt;"&amp;$E354,高値!$E$3:$IT$3,"&lt;="&amp;$AE354,OFFSET(高値!$E$6:$IT$6,MATCH(TEXT($B354,"0"),TEXT(銘柄管理!$B$6:$B$305,"0"),0)-1,0),"&gt;="&amp;$M354)),""))</f>
        <v/>
      </c>
      <c r="AG354" s="600" t="str" cm="1">
        <f t="array" aca="1" ref="AG354" ca="1">IF(OR($B354="",$N354=""),"",IFERROR(IF($C354="売",_xlfn.MINIFS(高値!$E$3:$IT$3,高値!$E$3:$IT$3,"&gt;"&amp;$E354,高値!$E$3:$IT$3,"&lt;="&amp;$AE354,OFFSET(高値!$E$6:$IT$6,MATCH(TEXT($B354,"0"),TEXT(銘柄管理!$B$6:$B$305,"0"),0)-1,0),"&gt;="&amp;$N354),_xlfn.MINIFS(安値!$E$3:$IT$3,安値!$E$3:$IT$3,"&gt;"&amp;$E354,安値!$E$3:$IT$3,"&lt;="&amp;$AE354,OFFSET(安値!$E$6:$IT$6,MATCH(TEXT($B354,"0"),TEXT(銘柄管理!$B$6:$B$305,"0"),0)-1,0),"&lt;="&amp;$N354)),""))</f>
        <v/>
      </c>
      <c r="AH354" s="600" t="str">
        <f>IF(OR($B354="",$M354=""),"",IF(AND(N($AF354)=0,N($AG354)=0),IF(AND(ISNUMBER($H354),$H354&gt;0,IF($C354="売",$H354&gt;=$N354,$H354&lt;=$N354)),"損切確定",IF(AND(ISNUMBER($H354),$H354&gt;0,IF($C354="売",$H354&lt;=$M354,$H354&gt;=$M354)),"利益確定",IF($AE354&lt;=TODAY(),"日数制限","保有中"))),IF(N($AG354)=0,"利益確定",IF(N($AF354)=0,"損切確定",IF($AG354&lt;=$AF354,"損切確定","利益確定")))))</f>
        <v/>
      </c>
      <c r="AI354" s="600" t="str" cm="1">
        <f t="array" ref="AI354">IFERROR(INDEX(始値!$E$6:$IT$305,MATCH(TEXT($B354,"0"),TEXT(銘柄管理!$B$6:$B$305,"0"),0),MATCH($AE354,始値!$E$3:$IT$3,0)),"")</f>
        <v/>
      </c>
      <c r="AJ354" s="608" t="str">
        <f>IF(OR($V354="",$F354="",$G354=""),"",$V354/($F354*$G354))</f>
        <v/>
      </c>
      <c r="AK354" s="600" t="str">
        <f>IF($V354="","",IF($V354&gt;0,"○勝",IF($V354&lt;0,"●負","△引分")))</f>
        <v/>
      </c>
    </row>
    <row r="355" spans="1:37" ht="17.25" customHeight="1">
      <c r="A355" s="622" t="str">
        <f>IF(B355="","",HYPERLINK("https://kabutan.jp/stock/?code="&amp;B355,"株探"))</f>
        <v/>
      </c>
      <c r="D355" s="440" t="str" cm="1">
        <f t="array" ref="D355">_xll.RssMarket(B355, "銘柄名称")</f>
        <v/>
      </c>
      <c r="E355" s="717"/>
      <c r="F355" s="698" t="str" cm="1">
        <f t="array" aca="1" ref="F355" ca="1">IFERROR(_xlfn.LET(_xlpm.r,MATCH(TEXT($B355,"0"),TEXT(銘柄管理!$B$6:$B$305,"0"),0),_xlpm.t,MOD(NOW(),1),_xlpm.c,IF($E355=TODAY(),IF(_xlpm.t&gt;=TIME(15,30,0),NA(),1),IF(MATCH($E355,始値!$E$3:$IT$3,0)=1,1,MATCH($E355,始値!$E$3:$IT$3,0)+1)),_xlpm.v,INDEX(始値!$C$6:$IT$305,_xlpm.r,_xlpm.c),IF(N(_xlpm.v)=0,"",_xlpm.v)),"")</f>
        <v/>
      </c>
      <c r="H355" s="440" t="str" cm="1">
        <f t="array" ref="H355">_xll.RssMarket(B355, "現在値")</f>
        <v/>
      </c>
      <c r="I355" s="440" t="str" cm="1">
        <f t="array" ref="I355">_xll.RssMarket(B355, "出来高加重平均")</f>
        <v/>
      </c>
      <c r="J355" s="704" t="str" cm="1">
        <f t="array" ref="J355">_xll.RssMarket($B355, "前日比")</f>
        <v/>
      </c>
      <c r="K355" s="704" t="str">
        <f>IF(OR(F355="",G355="",H355=""),"",IF(C355="売",(F355-H355)*G355,(H355-F355)*G355))</f>
        <v/>
      </c>
      <c r="L355" s="709" t="str">
        <f>IF(OR(F355="",H355=""),"",IF(C355="売",(F355-H355)/F355,(H355-F355)/F355))</f>
        <v/>
      </c>
      <c r="M355" s="599" t="str">
        <f>IF($F355="","",$F355*IF($C355="売",1-V811設定!$B$4,1+V811設定!$B$4)-MOD($F355*IF($C355="売",1-V811設定!$B$4,1+V811設定!$B$4),IF($F355&lt;=3000,1,IF($F355&lt;=5000,5,IF($F355&lt;=30000,10,IF($F355&lt;=50000,50,IF($F355&lt;=300000,100,500))))))+IF(AND($C355="売",MOD($F355*IF($C355="売",1-V811設定!$B$4,1+V811設定!$B$4),IF($F355&lt;=3000,1,IF($F355&lt;=5000,5,IF($F355&lt;=30000,10,IF($F355&lt;=50000,50,IF($F355&lt;=300000,100,500))))))&gt;0),IF($F355&lt;=3000,1,IF($F355&lt;=5000,5,IF($F355&lt;=30000,10,IF($F355&lt;=50000,50,IF($F355&lt;=300000,100,500))))),0))</f>
      </c>
      <c r="N355" s="599" t="str">
        <f>IF($F355="","",$F355*IF($C355="売",1+V811設定!$B$3,1-V811設定!$B$3)-MOD($F355*IF($C355="売",1+V811設定!$B$3,1-V811設定!$B$3),IF($F355&lt;=3000,1,IF($F355&lt;=5000,5,IF($F355&lt;=30000,10,IF($F355&lt;=50000,50,IF($F355&lt;=300000,100,500))))))+IF(AND($C355="売",MOD($F355*IF($C355="売",1+V811設定!$B$3,1-V811設定!$B$3),IF($F355&lt;=3000,1,IF($F355&lt;=5000,5,IF($F355&lt;=30000,10,IF($F355&lt;=50000,50,IF($F355&lt;=300000,100,500))))))&gt;0),IF($F355&lt;=3000,1,IF($F355&lt;=5000,5,IF($F355&lt;=30000,10,IF($F355&lt;=50000,50,IF($F355&lt;=300000,100,500))))),0))</f>
      </c>
      <c r="O355" s="478" t="str">
        <f>IF(OR($B355="",$F355="",$H355=""),"",IF($S355="✅売却済","―決済済―",IF($C355="売",IF($H355&lt;=$M355,"🟢利確",IF(AND($R355&lt;&gt;"",$H355&gt;=$R355),"🟠TRAIL",IF($H355&gt;=$N355,"🔴損切",IF($W355&gt;=V811設定!$B$6,"⏱時間決済",IF($H355&gt;=$F355*(1+V811設定!$B$3*0.7),"⚠️損切接近","保持継続"))))),IF($H355&gt;=$M355,"🟢利確",IF(AND($R355&lt;&gt;"",$H355&lt;=$R355),"🟠TRAIL",IF($H355&lt;=$N355,"🔴損切",IF($W355&gt;=V811設定!$B$6,"⏱時間決済",IF($H355&lt;=$F355*(1-V811設定!$B$3*0.7),"⚠️損切接近","保持継続"))))))))</f>
      </c>
      <c r="P355" s="445"/>
      <c r="R355" s="440" t="str">
        <f>IF(OR($F355="",$H355="",$N355=""),"",IF($S355="✅売却済","",IF($C355="売",IF($H355&gt;$F355*(1-V811設定!$B$3),$N355,MIN($N355,IF($Q355="",$N355,$Q355*1.03))),IF($H355&lt;$F355*(1+V811設定!$B$3),$N355,MAX($N355,IF($P355="",$N355,$P355*0.97))))))</f>
      </c>
      <c r="S355" s="440" t="str">
        <f>IF(B355="","",IF(T355&lt;&gt;"","✅売却済",IF(OR(H355="",L355=""),"📌保有中",IF(L355&gt;=0.06,"🟢利確推奨",IF(L355&gt;=0.05,"🟡利確直近",IF(L355&gt;=0.045,"🔵トレーリング検討",IF(L355&gt;-0.03,"📌保有中",IF(L355&gt;-0.04,"⚠️損切注意","🔴損切り"))))))))</f>
        <v/>
      </c>
      <c r="T355" s="597"/>
      <c r="U355" s="599"/>
      <c r="V355" s="704" t="str">
        <f>IF(OR(F355="",G355="",U355=""),"",IF(C355="売",(F355-U355)*G355,(U355-F355)*G355))</f>
        <v/>
      </c>
      <c r="W355" s="440" t="str">
        <f>IF(OR($E355="",$B355=""),"",IF($T355&lt;&gt;"",$T355-$E355,TODAY()-$E355)+1)</f>
        <v/>
      </c>
      <c r="X355" s="440" t="str">
        <f>IF(OR($AH355="",$AH355="保有中"),"",$AH355)</f>
        <v/>
      </c>
      <c r="AD355" s="608"/>
      <c r="AE355" s="600" t="str">
        <f>IF($E355="","",WORKDAY($E355,12))</f>
        <v/>
      </c>
      <c r="AF355" s="600" t="str" cm="1">
        <f t="array" aca="1" ref="AF355" ca="1">IF(OR($B355="",$M355=""),"",IFERROR(IF($C355="売",_xlfn.MINIFS(安値!$E$3:$IT$3,安値!$E$3:$IT$3,"&gt;"&amp;$E355,安値!$E$3:$IT$3,"&lt;="&amp;$AE355,OFFSET(安値!$E$6:$IT$6,MATCH(TEXT($B355,"0"),TEXT(銘柄管理!$B$6:$B$305,"0"),0)-1,0),"&lt;="&amp;$M355),_xlfn.MINIFS(高値!$E$3:$IT$3,高値!$E$3:$IT$3,"&gt;"&amp;$E355,高値!$E$3:$IT$3,"&lt;="&amp;$AE355,OFFSET(高値!$E$6:$IT$6,MATCH(TEXT($B355,"0"),TEXT(銘柄管理!$B$6:$B$305,"0"),0)-1,0),"&gt;="&amp;$M355)),""))</f>
        <v/>
      </c>
      <c r="AG355" s="600" t="str" cm="1">
        <f t="array" aca="1" ref="AG355" ca="1">IF(OR($B355="",$N355=""),"",IFERROR(IF($C355="売",_xlfn.MINIFS(高値!$E$3:$IT$3,高値!$E$3:$IT$3,"&gt;"&amp;$E355,高値!$E$3:$IT$3,"&lt;="&amp;$AE355,OFFSET(高値!$E$6:$IT$6,MATCH(TEXT($B355,"0"),TEXT(銘柄管理!$B$6:$B$305,"0"),0)-1,0),"&gt;="&amp;$N355),_xlfn.MINIFS(安値!$E$3:$IT$3,安値!$E$3:$IT$3,"&gt;"&amp;$E355,安値!$E$3:$IT$3,"&lt;="&amp;$AE355,OFFSET(安値!$E$6:$IT$6,MATCH(TEXT($B355,"0"),TEXT(銘柄管理!$B$6:$B$305,"0"),0)-1,0),"&lt;="&amp;$N355)),""))</f>
        <v/>
      </c>
      <c r="AH355" s="600" t="str">
        <f>IF(OR($B355="",$M355=""),"",IF(AND(N($AF355)=0,N($AG355)=0),IF(AND(ISNUMBER($H355),$H355&gt;0,IF($C355="売",$H355&gt;=$N355,$H355&lt;=$N355)),"損切確定",IF(AND(ISNUMBER($H355),$H355&gt;0,IF($C355="売",$H355&lt;=$M355,$H355&gt;=$M355)),"利益確定",IF($AE355&lt;=TODAY(),"日数制限","保有中"))),IF(N($AG355)=0,"利益確定",IF(N($AF355)=0,"損切確定",IF($AG355&lt;=$AF355,"損切確定","利益確定")))))</f>
        <v/>
      </c>
      <c r="AI355" s="600" t="str" cm="1">
        <f t="array" ref="AI355">IFERROR(INDEX(始値!$E$6:$IT$305,MATCH(TEXT($B355,"0"),TEXT(銘柄管理!$B$6:$B$305,"0"),0),MATCH($AE355,始値!$E$3:$IT$3,0)),"")</f>
        <v/>
      </c>
      <c r="AJ355" s="608" t="str">
        <f>IF(OR($V355="",$F355="",$G355=""),"",$V355/($F355*$G355))</f>
        <v/>
      </c>
      <c r="AK355" s="600" t="str">
        <f>IF($V355="","",IF($V355&gt;0,"○勝",IF($V355&lt;0,"●負","△引分")))</f>
        <v/>
      </c>
    </row>
    <row r="356" spans="1:37" ht="17.25" customHeight="1">
      <c r="A356" s="622" t="str">
        <f>IF(B356="","",HYPERLINK("https://kabutan.jp/stock/?code="&amp;B356,"株探"))</f>
        <v/>
      </c>
      <c r="D356" s="440" t="str" cm="1">
        <f t="array" ref="D356">_xll.RssMarket(B356, "銘柄名称")</f>
        <v/>
      </c>
      <c r="E356" s="717"/>
      <c r="F356" s="698" t="str" cm="1">
        <f t="array" aca="1" ref="F356" ca="1">IFERROR(_xlfn.LET(_xlpm.r,MATCH(TEXT($B356,"0"),TEXT(銘柄管理!$B$6:$B$305,"0"),0),_xlpm.t,MOD(NOW(),1),_xlpm.c,IF($E356=TODAY(),IF(_xlpm.t&gt;=TIME(15,30,0),NA(),1),IF(MATCH($E356,始値!$E$3:$IT$3,0)=1,1,MATCH($E356,始値!$E$3:$IT$3,0)+1)),_xlpm.v,INDEX(始値!$C$6:$IT$305,_xlpm.r,_xlpm.c),IF(N(_xlpm.v)=0,"",_xlpm.v)),"")</f>
        <v/>
      </c>
      <c r="H356" s="440" t="str" cm="1">
        <f t="array" ref="H356">_xll.RssMarket(B356, "現在値")</f>
        <v/>
      </c>
      <c r="I356" s="440" t="str" cm="1">
        <f t="array" ref="I356">_xll.RssMarket(B356, "出来高加重平均")</f>
        <v/>
      </c>
      <c r="J356" s="704" t="str" cm="1">
        <f t="array" ref="J356">_xll.RssMarket($B356, "前日比")</f>
        <v/>
      </c>
      <c r="K356" s="704" t="str">
        <f>IF(OR(F356="",G356="",H356=""),"",IF(C356="売",(F356-H356)*G356,(H356-F356)*G356))</f>
        <v/>
      </c>
      <c r="L356" s="709" t="str">
        <f>IF(OR(F356="",H356=""),"",IF(C356="売",(F356-H356)/F356,(H356-F356)/F356))</f>
        <v/>
      </c>
      <c r="M356" s="599" t="str">
        <f>IF($F356="","",$F356*IF($C356="売",1-V811設定!$B$4,1+V811設定!$B$4)-MOD($F356*IF($C356="売",1-V811設定!$B$4,1+V811設定!$B$4),IF($F356&lt;=3000,1,IF($F356&lt;=5000,5,IF($F356&lt;=30000,10,IF($F356&lt;=50000,50,IF($F356&lt;=300000,100,500))))))+IF(AND($C356="売",MOD($F356*IF($C356="売",1-V811設定!$B$4,1+V811設定!$B$4),IF($F356&lt;=3000,1,IF($F356&lt;=5000,5,IF($F356&lt;=30000,10,IF($F356&lt;=50000,50,IF($F356&lt;=300000,100,500))))))&gt;0),IF($F356&lt;=3000,1,IF($F356&lt;=5000,5,IF($F356&lt;=30000,10,IF($F356&lt;=50000,50,IF($F356&lt;=300000,100,500))))),0))</f>
      </c>
      <c r="N356" s="599" t="str">
        <f>IF($F356="","",$F356*IF($C356="売",1+V811設定!$B$3,1-V811設定!$B$3)-MOD($F356*IF($C356="売",1+V811設定!$B$3,1-V811設定!$B$3),IF($F356&lt;=3000,1,IF($F356&lt;=5000,5,IF($F356&lt;=30000,10,IF($F356&lt;=50000,50,IF($F356&lt;=300000,100,500))))))+IF(AND($C356="売",MOD($F356*IF($C356="売",1+V811設定!$B$3,1-V811設定!$B$3),IF($F356&lt;=3000,1,IF($F356&lt;=5000,5,IF($F356&lt;=30000,10,IF($F356&lt;=50000,50,IF($F356&lt;=300000,100,500))))))&gt;0),IF($F356&lt;=3000,1,IF($F356&lt;=5000,5,IF($F356&lt;=30000,10,IF($F356&lt;=50000,50,IF($F356&lt;=300000,100,500))))),0))</f>
      </c>
      <c r="O356" s="478" t="str">
        <f>IF(OR($B356="",$F356="",$H356=""),"",IF($S356="✅売却済","―決済済―",IF($C356="売",IF($H356&lt;=$M356,"🟢利確",IF(AND($R356&lt;&gt;"",$H356&gt;=$R356),"🟠TRAIL",IF($H356&gt;=$N356,"🔴損切",IF($W356&gt;=V811設定!$B$6,"⏱時間決済",IF($H356&gt;=$F356*(1+V811設定!$B$3*0.7),"⚠️損切接近","保持継続"))))),IF($H356&gt;=$M356,"🟢利確",IF(AND($R356&lt;&gt;"",$H356&lt;=$R356),"🟠TRAIL",IF($H356&lt;=$N356,"🔴損切",IF($W356&gt;=V811設定!$B$6,"⏱時間決済",IF($H356&lt;=$F356*(1-V811設定!$B$3*0.7),"⚠️損切接近","保持継続"))))))))</f>
      </c>
      <c r="P356" s="445"/>
      <c r="R356" s="440" t="str">
        <f>IF(OR($F356="",$H356="",$N356=""),"",IF($S356="✅売却済","",IF($C356="売",IF($H356&gt;$F356*(1-V811設定!$B$3),$N356,MIN($N356,IF($Q356="",$N356,$Q356*1.03))),IF($H356&lt;$F356*(1+V811設定!$B$3),$N356,MAX($N356,IF($P356="",$N356,$P356*0.97))))))</f>
      </c>
      <c r="S356" s="440" t="str">
        <f>IF(B356="","",IF(T356&lt;&gt;"","✅売却済",IF(OR(H356="",L356=""),"📌保有中",IF(L356&gt;=0.06,"🟢利確推奨",IF(L356&gt;=0.05,"🟡利確直近",IF(L356&gt;=0.045,"🔵トレーリング検討",IF(L356&gt;-0.03,"📌保有中",IF(L356&gt;-0.04,"⚠️損切注意","🔴損切り"))))))))</f>
        <v/>
      </c>
      <c r="T356" s="597"/>
      <c r="U356" s="599"/>
      <c r="V356" s="704" t="str">
        <f>IF(OR(F356="",G356="",U356=""),"",IF(C356="売",(F356-U356)*G356,(U356-F356)*G356))</f>
        <v/>
      </c>
      <c r="W356" s="440" t="str">
        <f>IF(OR($E356="",$B356=""),"",IF($T356&lt;&gt;"",$T356-$E356,TODAY()-$E356)+1)</f>
        <v/>
      </c>
      <c r="X356" s="440" t="str">
        <f>IF(OR($AH356="",$AH356="保有中"),"",$AH356)</f>
        <v/>
      </c>
      <c r="AD356" s="608"/>
      <c r="AE356" s="600" t="str">
        <f>IF($E356="","",WORKDAY($E356,12))</f>
        <v/>
      </c>
      <c r="AF356" s="600" t="str" cm="1">
        <f t="array" aca="1" ref="AF356" ca="1">IF(OR($B356="",$M356=""),"",IFERROR(IF($C356="売",_xlfn.MINIFS(安値!$E$3:$IT$3,安値!$E$3:$IT$3,"&gt;"&amp;$E356,安値!$E$3:$IT$3,"&lt;="&amp;$AE356,OFFSET(安値!$E$6:$IT$6,MATCH(TEXT($B356,"0"),TEXT(銘柄管理!$B$6:$B$305,"0"),0)-1,0),"&lt;="&amp;$M356),_xlfn.MINIFS(高値!$E$3:$IT$3,高値!$E$3:$IT$3,"&gt;"&amp;$E356,高値!$E$3:$IT$3,"&lt;="&amp;$AE356,OFFSET(高値!$E$6:$IT$6,MATCH(TEXT($B356,"0"),TEXT(銘柄管理!$B$6:$B$305,"0"),0)-1,0),"&gt;="&amp;$M356)),""))</f>
        <v/>
      </c>
      <c r="AG356" s="600" t="str" cm="1">
        <f t="array" aca="1" ref="AG356" ca="1">IF(OR($B356="",$N356=""),"",IFERROR(IF($C356="売",_xlfn.MINIFS(高値!$E$3:$IT$3,高値!$E$3:$IT$3,"&gt;"&amp;$E356,高値!$E$3:$IT$3,"&lt;="&amp;$AE356,OFFSET(高値!$E$6:$IT$6,MATCH(TEXT($B356,"0"),TEXT(銘柄管理!$B$6:$B$305,"0"),0)-1,0),"&gt;="&amp;$N356),_xlfn.MINIFS(安値!$E$3:$IT$3,安値!$E$3:$IT$3,"&gt;"&amp;$E356,安値!$E$3:$IT$3,"&lt;="&amp;$AE356,OFFSET(安値!$E$6:$IT$6,MATCH(TEXT($B356,"0"),TEXT(銘柄管理!$B$6:$B$305,"0"),0)-1,0),"&lt;="&amp;$N356)),""))</f>
        <v/>
      </c>
      <c r="AH356" s="600" t="str">
        <f>IF(OR($B356="",$M356=""),"",IF(AND(N($AF356)=0,N($AG356)=0),IF(AND(ISNUMBER($H356),$H356&gt;0,IF($C356="売",$H356&gt;=$N356,$H356&lt;=$N356)),"損切確定",IF(AND(ISNUMBER($H356),$H356&gt;0,IF($C356="売",$H356&lt;=$M356,$H356&gt;=$M356)),"利益確定",IF($AE356&lt;=TODAY(),"日数制限","保有中"))),IF(N($AG356)=0,"利益確定",IF(N($AF356)=0,"損切確定",IF($AG356&lt;=$AF356,"損切確定","利益確定")))))</f>
        <v/>
      </c>
      <c r="AI356" s="600" t="str" cm="1">
        <f t="array" ref="AI356">IFERROR(INDEX(始値!$E$6:$IT$305,MATCH(TEXT($B356,"0"),TEXT(銘柄管理!$B$6:$B$305,"0"),0),MATCH($AE356,始値!$E$3:$IT$3,0)),"")</f>
        <v/>
      </c>
      <c r="AJ356" s="608" t="str">
        <f>IF(OR($V356="",$F356="",$G356=""),"",$V356/($F356*$G356))</f>
        <v/>
      </c>
      <c r="AK356" s="600" t="str">
        <f>IF($V356="","",IF($V356&gt;0,"○勝",IF($V356&lt;0,"●負","△引分")))</f>
        <v/>
      </c>
    </row>
    <row r="357" spans="1:37" ht="17.25" customHeight="1">
      <c r="A357" s="622" t="str">
        <f>IF(B357="","",HYPERLINK("https://kabutan.jp/stock/?code="&amp;B357,"株探"))</f>
        <v/>
      </c>
      <c r="D357" s="440" t="str" cm="1">
        <f t="array" ref="D357">_xll.RssMarket(B357, "銘柄名称")</f>
        <v/>
      </c>
      <c r="E357" s="717"/>
      <c r="F357" s="698" t="str" cm="1">
        <f t="array" aca="1" ref="F357" ca="1">IFERROR(_xlfn.LET(_xlpm.r,MATCH(TEXT($B357,"0"),TEXT(銘柄管理!$B$6:$B$305,"0"),0),_xlpm.t,MOD(NOW(),1),_xlpm.c,IF($E357=TODAY(),IF(_xlpm.t&gt;=TIME(15,30,0),NA(),1),IF(MATCH($E357,始値!$E$3:$IT$3,0)=1,1,MATCH($E357,始値!$E$3:$IT$3,0)+1)),_xlpm.v,INDEX(始値!$C$6:$IT$305,_xlpm.r,_xlpm.c),IF(N(_xlpm.v)=0,"",_xlpm.v)),"")</f>
        <v/>
      </c>
      <c r="H357" s="440" t="str" cm="1">
        <f t="array" ref="H357">_xll.RssMarket(B357, "現在値")</f>
        <v/>
      </c>
      <c r="I357" s="440" t="str" cm="1">
        <f t="array" ref="I357">_xll.RssMarket(B357, "出来高加重平均")</f>
        <v/>
      </c>
      <c r="J357" s="704" t="str" cm="1">
        <f t="array" ref="J357">_xll.RssMarket($B357, "前日比")</f>
        <v/>
      </c>
      <c r="K357" s="704" t="str">
        <f>IF(OR(F357="",G357="",H357=""),"",IF(C357="売",(F357-H357)*G357,(H357-F357)*G357))</f>
        <v/>
      </c>
      <c r="L357" s="709" t="str">
        <f>IF(OR(F357="",H357=""),"",IF(C357="売",(F357-H357)/F357,(H357-F357)/F357))</f>
        <v/>
      </c>
      <c r="M357" s="599" t="str">
        <f>IF($F357="","",$F357*IF($C357="売",1-V811設定!$B$4,1+V811設定!$B$4)-MOD($F357*IF($C357="売",1-V811設定!$B$4,1+V811設定!$B$4),IF($F357&lt;=3000,1,IF($F357&lt;=5000,5,IF($F357&lt;=30000,10,IF($F357&lt;=50000,50,IF($F357&lt;=300000,100,500))))))+IF(AND($C357="売",MOD($F357*IF($C357="売",1-V811設定!$B$4,1+V811設定!$B$4),IF($F357&lt;=3000,1,IF($F357&lt;=5000,5,IF($F357&lt;=30000,10,IF($F357&lt;=50000,50,IF($F357&lt;=300000,100,500))))))&gt;0),IF($F357&lt;=3000,1,IF($F357&lt;=5000,5,IF($F357&lt;=30000,10,IF($F357&lt;=50000,50,IF($F357&lt;=300000,100,500))))),0))</f>
      </c>
      <c r="N357" s="599" t="str">
        <f>IF($F357="","",$F357*IF($C357="売",1+V811設定!$B$3,1-V811設定!$B$3)-MOD($F357*IF($C357="売",1+V811設定!$B$3,1-V811設定!$B$3),IF($F357&lt;=3000,1,IF($F357&lt;=5000,5,IF($F357&lt;=30000,10,IF($F357&lt;=50000,50,IF($F357&lt;=300000,100,500))))))+IF(AND($C357="売",MOD($F357*IF($C357="売",1+V811設定!$B$3,1-V811設定!$B$3),IF($F357&lt;=3000,1,IF($F357&lt;=5000,5,IF($F357&lt;=30000,10,IF($F357&lt;=50000,50,IF($F357&lt;=300000,100,500))))))&gt;0),IF($F357&lt;=3000,1,IF($F357&lt;=5000,5,IF($F357&lt;=30000,10,IF($F357&lt;=50000,50,IF($F357&lt;=300000,100,500))))),0))</f>
      </c>
      <c r="O357" s="478" t="str">
        <f>IF(OR($B357="",$F357="",$H357=""),"",IF($S357="✅売却済","―決済済―",IF($C357="売",IF($H357&lt;=$M357,"🟢利確",IF(AND($R357&lt;&gt;"",$H357&gt;=$R357),"🟠TRAIL",IF($H357&gt;=$N357,"🔴損切",IF($W357&gt;=V811設定!$B$6,"⏱時間決済",IF($H357&gt;=$F357*(1+V811設定!$B$3*0.7),"⚠️損切接近","保持継続"))))),IF($H357&gt;=$M357,"🟢利確",IF(AND($R357&lt;&gt;"",$H357&lt;=$R357),"🟠TRAIL",IF($H357&lt;=$N357,"🔴損切",IF($W357&gt;=V811設定!$B$6,"⏱時間決済",IF($H357&lt;=$F357*(1-V811設定!$B$3*0.7),"⚠️損切接近","保持継続"))))))))</f>
      </c>
      <c r="P357" s="445"/>
      <c r="R357" s="440" t="str">
        <f>IF(OR($F357="",$H357="",$N357=""),"",IF($S357="✅売却済","",IF($C357="売",IF($H357&gt;$F357*(1-V811設定!$B$3),$N357,MIN($N357,IF($Q357="",$N357,$Q357*1.03))),IF($H357&lt;$F357*(1+V811設定!$B$3),$N357,MAX($N357,IF($P357="",$N357,$P357*0.97))))))</f>
      </c>
      <c r="S357" s="440" t="str">
        <f>IF(B357="","",IF(T357&lt;&gt;"","✅売却済",IF(OR(H357="",L357=""),"📌保有中",IF(L357&gt;=0.06,"🟢利確推奨",IF(L357&gt;=0.05,"🟡利確直近",IF(L357&gt;=0.045,"🔵トレーリング検討",IF(L357&gt;-0.03,"📌保有中",IF(L357&gt;-0.04,"⚠️損切注意","🔴損切り"))))))))</f>
        <v/>
      </c>
      <c r="T357" s="597"/>
      <c r="U357" s="599"/>
      <c r="V357" s="704" t="str">
        <f>IF(OR(F357="",G357="",U357=""),"",IF(C357="売",(F357-U357)*G357,(U357-F357)*G357))</f>
        <v/>
      </c>
      <c r="W357" s="440" t="str">
        <f>IF(OR($E357="",$B357=""),"",IF($T357&lt;&gt;"",$T357-$E357,TODAY()-$E357)+1)</f>
        <v/>
      </c>
      <c r="X357" s="440" t="str">
        <f>IF(OR($AH357="",$AH357="保有中"),"",$AH357)</f>
        <v/>
      </c>
      <c r="AD357" s="608"/>
      <c r="AE357" s="600" t="str">
        <f>IF($E357="","",WORKDAY($E357,12))</f>
        <v/>
      </c>
      <c r="AF357" s="600" t="str" cm="1">
        <f t="array" aca="1" ref="AF357" ca="1">IF(OR($B357="",$M357=""),"",IFERROR(IF($C357="売",_xlfn.MINIFS(安値!$E$3:$IT$3,安値!$E$3:$IT$3,"&gt;"&amp;$E357,安値!$E$3:$IT$3,"&lt;="&amp;$AE357,OFFSET(安値!$E$6:$IT$6,MATCH(TEXT($B357,"0"),TEXT(銘柄管理!$B$6:$B$305,"0"),0)-1,0),"&lt;="&amp;$M357),_xlfn.MINIFS(高値!$E$3:$IT$3,高値!$E$3:$IT$3,"&gt;"&amp;$E357,高値!$E$3:$IT$3,"&lt;="&amp;$AE357,OFFSET(高値!$E$6:$IT$6,MATCH(TEXT($B357,"0"),TEXT(銘柄管理!$B$6:$B$305,"0"),0)-1,0),"&gt;="&amp;$M357)),""))</f>
        <v/>
      </c>
      <c r="AG357" s="600" t="str" cm="1">
        <f t="array" aca="1" ref="AG357" ca="1">IF(OR($B357="",$N357=""),"",IFERROR(IF($C357="売",_xlfn.MINIFS(高値!$E$3:$IT$3,高値!$E$3:$IT$3,"&gt;"&amp;$E357,高値!$E$3:$IT$3,"&lt;="&amp;$AE357,OFFSET(高値!$E$6:$IT$6,MATCH(TEXT($B357,"0"),TEXT(銘柄管理!$B$6:$B$305,"0"),0)-1,0),"&gt;="&amp;$N357),_xlfn.MINIFS(安値!$E$3:$IT$3,安値!$E$3:$IT$3,"&gt;"&amp;$E357,安値!$E$3:$IT$3,"&lt;="&amp;$AE357,OFFSET(安値!$E$6:$IT$6,MATCH(TEXT($B357,"0"),TEXT(銘柄管理!$B$6:$B$305,"0"),0)-1,0),"&lt;="&amp;$N357)),""))</f>
        <v/>
      </c>
      <c r="AH357" s="600" t="str">
        <f>IF(OR($B357="",$M357=""),"",IF(AND(N($AF357)=0,N($AG357)=0),IF(AND(ISNUMBER($H357),$H357&gt;0,IF($C357="売",$H357&gt;=$N357,$H357&lt;=$N357)),"損切確定",IF(AND(ISNUMBER($H357),$H357&gt;0,IF($C357="売",$H357&lt;=$M357,$H357&gt;=$M357)),"利益確定",IF($AE357&lt;=TODAY(),"日数制限","保有中"))),IF(N($AG357)=0,"利益確定",IF(N($AF357)=0,"損切確定",IF($AG357&lt;=$AF357,"損切確定","利益確定")))))</f>
        <v/>
      </c>
      <c r="AI357" s="600" t="str" cm="1">
        <f t="array" ref="AI357">IFERROR(INDEX(始値!$E$6:$IT$305,MATCH(TEXT($B357,"0"),TEXT(銘柄管理!$B$6:$B$305,"0"),0),MATCH($AE357,始値!$E$3:$IT$3,0)),"")</f>
        <v/>
      </c>
      <c r="AJ357" s="608" t="str">
        <f>IF(OR($V357="",$F357="",$G357=""),"",$V357/($F357*$G357))</f>
        <v/>
      </c>
      <c r="AK357" s="600" t="str">
        <f>IF($V357="","",IF($V357&gt;0,"○勝",IF($V357&lt;0,"●負","△引分")))</f>
        <v/>
      </c>
    </row>
    <row r="358" spans="1:37" ht="17.25" customHeight="1">
      <c r="A358" s="622" t="str">
        <f>IF(B358="","",HYPERLINK("https://kabutan.jp/stock/?code="&amp;B358,"株探"))</f>
        <v/>
      </c>
      <c r="D358" s="440" t="str" cm="1">
        <f t="array" ref="D358">_xll.RssMarket(B358, "銘柄名称")</f>
        <v/>
      </c>
      <c r="E358" s="717"/>
      <c r="F358" s="698" t="str" cm="1">
        <f t="array" aca="1" ref="F358" ca="1">IFERROR(_xlfn.LET(_xlpm.r,MATCH(TEXT($B358,"0"),TEXT(銘柄管理!$B$6:$B$305,"0"),0),_xlpm.t,MOD(NOW(),1),_xlpm.c,IF($E358=TODAY(),IF(_xlpm.t&gt;=TIME(15,30,0),NA(),1),IF(MATCH($E358,始値!$E$3:$IT$3,0)=1,1,MATCH($E358,始値!$E$3:$IT$3,0)+1)),_xlpm.v,INDEX(始値!$C$6:$IT$305,_xlpm.r,_xlpm.c),IF(N(_xlpm.v)=0,"",_xlpm.v)),"")</f>
        <v/>
      </c>
      <c r="H358" s="440" t="str" cm="1">
        <f t="array" ref="H358">_xll.RssMarket(B358, "現在値")</f>
        <v/>
      </c>
      <c r="I358" s="440" t="str" cm="1">
        <f t="array" ref="I358">_xll.RssMarket(B358, "出来高加重平均")</f>
        <v/>
      </c>
      <c r="J358" s="704" t="str" cm="1">
        <f t="array" ref="J358">_xll.RssMarket($B358, "前日比")</f>
        <v/>
      </c>
      <c r="K358" s="704" t="str">
        <f>IF(OR(F358="",G358="",H358=""),"",IF(C358="売",(F358-H358)*G358,(H358-F358)*G358))</f>
        <v/>
      </c>
      <c r="L358" s="709" t="str">
        <f>IF(OR(F358="",H358=""),"",IF(C358="売",(F358-H358)/F358,(H358-F358)/F358))</f>
        <v/>
      </c>
      <c r="M358" s="599" t="str">
        <f>IF($F358="","",$F358*IF($C358="売",1-V811設定!$B$4,1+V811設定!$B$4)-MOD($F358*IF($C358="売",1-V811設定!$B$4,1+V811設定!$B$4),IF($F358&lt;=3000,1,IF($F358&lt;=5000,5,IF($F358&lt;=30000,10,IF($F358&lt;=50000,50,IF($F358&lt;=300000,100,500))))))+IF(AND($C358="売",MOD($F358*IF($C358="売",1-V811設定!$B$4,1+V811設定!$B$4),IF($F358&lt;=3000,1,IF($F358&lt;=5000,5,IF($F358&lt;=30000,10,IF($F358&lt;=50000,50,IF($F358&lt;=300000,100,500))))))&gt;0),IF($F358&lt;=3000,1,IF($F358&lt;=5000,5,IF($F358&lt;=30000,10,IF($F358&lt;=50000,50,IF($F358&lt;=300000,100,500))))),0))</f>
      </c>
      <c r="N358" s="599" t="str">
        <f>IF($F358="","",$F358*IF($C358="売",1+V811設定!$B$3,1-V811設定!$B$3)-MOD($F358*IF($C358="売",1+V811設定!$B$3,1-V811設定!$B$3),IF($F358&lt;=3000,1,IF($F358&lt;=5000,5,IF($F358&lt;=30000,10,IF($F358&lt;=50000,50,IF($F358&lt;=300000,100,500))))))+IF(AND($C358="売",MOD($F358*IF($C358="売",1+V811設定!$B$3,1-V811設定!$B$3),IF($F358&lt;=3000,1,IF($F358&lt;=5000,5,IF($F358&lt;=30000,10,IF($F358&lt;=50000,50,IF($F358&lt;=300000,100,500))))))&gt;0),IF($F358&lt;=3000,1,IF($F358&lt;=5000,5,IF($F358&lt;=30000,10,IF($F358&lt;=50000,50,IF($F358&lt;=300000,100,500))))),0))</f>
      </c>
      <c r="O358" s="478" t="str">
        <f>IF(OR($B358="",$F358="",$H358=""),"",IF($S358="✅売却済","―決済済―",IF($C358="売",IF($H358&lt;=$M358,"🟢利確",IF(AND($R358&lt;&gt;"",$H358&gt;=$R358),"🟠TRAIL",IF($H358&gt;=$N358,"🔴損切",IF($W358&gt;=V811設定!$B$6,"⏱時間決済",IF($H358&gt;=$F358*(1+V811設定!$B$3*0.7),"⚠️損切接近","保持継続"))))),IF($H358&gt;=$M358,"🟢利確",IF(AND($R358&lt;&gt;"",$H358&lt;=$R358),"🟠TRAIL",IF($H358&lt;=$N358,"🔴損切",IF($W358&gt;=V811設定!$B$6,"⏱時間決済",IF($H358&lt;=$F358*(1-V811設定!$B$3*0.7),"⚠️損切接近","保持継続"))))))))</f>
      </c>
      <c r="P358" s="445"/>
      <c r="R358" s="440" t="str">
        <f>IF(OR($F358="",$H358="",$N358=""),"",IF($S358="✅売却済","",IF($C358="売",IF($H358&gt;$F358*(1-V811設定!$B$3),$N358,MIN($N358,IF($Q358="",$N358,$Q358*1.03))),IF($H358&lt;$F358*(1+V811設定!$B$3),$N358,MAX($N358,IF($P358="",$N358,$P358*0.97))))))</f>
      </c>
      <c r="S358" s="440" t="str">
        <f>IF(B358="","",IF(T358&lt;&gt;"","✅売却済",IF(OR(H358="",L358=""),"📌保有中",IF(L358&gt;=0.06,"🟢利確推奨",IF(L358&gt;=0.05,"🟡利確直近",IF(L358&gt;=0.045,"🔵トレーリング検討",IF(L358&gt;-0.03,"📌保有中",IF(L358&gt;-0.04,"⚠️損切注意","🔴損切り"))))))))</f>
        <v/>
      </c>
      <c r="T358" s="597"/>
      <c r="U358" s="599"/>
      <c r="V358" s="704" t="str">
        <f>IF(OR(F358="",G358="",U358=""),"",IF(C358="売",(F358-U358)*G358,(U358-F358)*G358))</f>
        <v/>
      </c>
      <c r="W358" s="440" t="str">
        <f>IF(OR($E358="",$B358=""),"",IF($T358&lt;&gt;"",$T358-$E358,TODAY()-$E358)+1)</f>
        <v/>
      </c>
      <c r="X358" s="440" t="str">
        <f>IF(OR($AH358="",$AH358="保有中"),"",$AH358)</f>
        <v/>
      </c>
      <c r="AD358" s="608"/>
      <c r="AE358" s="600" t="str">
        <f>IF($E358="","",WORKDAY($E358,12))</f>
        <v/>
      </c>
      <c r="AF358" s="600" t="str" cm="1">
        <f t="array" aca="1" ref="AF358" ca="1">IF(OR($B358="",$M358=""),"",IFERROR(IF($C358="売",_xlfn.MINIFS(安値!$E$3:$IT$3,安値!$E$3:$IT$3,"&gt;"&amp;$E358,安値!$E$3:$IT$3,"&lt;="&amp;$AE358,OFFSET(安値!$E$6:$IT$6,MATCH(TEXT($B358,"0"),TEXT(銘柄管理!$B$6:$B$305,"0"),0)-1,0),"&lt;="&amp;$M358),_xlfn.MINIFS(高値!$E$3:$IT$3,高値!$E$3:$IT$3,"&gt;"&amp;$E358,高値!$E$3:$IT$3,"&lt;="&amp;$AE358,OFFSET(高値!$E$6:$IT$6,MATCH(TEXT($B358,"0"),TEXT(銘柄管理!$B$6:$B$305,"0"),0)-1,0),"&gt;="&amp;$M358)),""))</f>
        <v/>
      </c>
      <c r="AG358" s="600" t="str" cm="1">
        <f t="array" aca="1" ref="AG358" ca="1">IF(OR($B358="",$N358=""),"",IFERROR(IF($C358="売",_xlfn.MINIFS(高値!$E$3:$IT$3,高値!$E$3:$IT$3,"&gt;"&amp;$E358,高値!$E$3:$IT$3,"&lt;="&amp;$AE358,OFFSET(高値!$E$6:$IT$6,MATCH(TEXT($B358,"0"),TEXT(銘柄管理!$B$6:$B$305,"0"),0)-1,0),"&gt;="&amp;$N358),_xlfn.MINIFS(安値!$E$3:$IT$3,安値!$E$3:$IT$3,"&gt;"&amp;$E358,安値!$E$3:$IT$3,"&lt;="&amp;$AE358,OFFSET(安値!$E$6:$IT$6,MATCH(TEXT($B358,"0"),TEXT(銘柄管理!$B$6:$B$305,"0"),0)-1,0),"&lt;="&amp;$N358)),""))</f>
        <v/>
      </c>
      <c r="AH358" s="600" t="str">
        <f>IF(OR($B358="",$M358=""),"",IF(AND(N($AF358)=0,N($AG358)=0),IF(AND(ISNUMBER($H358),$H358&gt;0,IF($C358="売",$H358&gt;=$N358,$H358&lt;=$N358)),"損切確定",IF(AND(ISNUMBER($H358),$H358&gt;0,IF($C358="売",$H358&lt;=$M358,$H358&gt;=$M358)),"利益確定",IF($AE358&lt;=TODAY(),"日数制限","保有中"))),IF(N($AG358)=0,"利益確定",IF(N($AF358)=0,"損切確定",IF($AG358&lt;=$AF358,"損切確定","利益確定")))))</f>
        <v/>
      </c>
      <c r="AI358" s="600" t="str" cm="1">
        <f t="array" ref="AI358">IFERROR(INDEX(始値!$E$6:$IT$305,MATCH(TEXT($B358,"0"),TEXT(銘柄管理!$B$6:$B$305,"0"),0),MATCH($AE358,始値!$E$3:$IT$3,0)),"")</f>
        <v/>
      </c>
      <c r="AJ358" s="608" t="str">
        <f>IF(OR($V358="",$F358="",$G358=""),"",$V358/($F358*$G358))</f>
        <v/>
      </c>
      <c r="AK358" s="600" t="str">
        <f>IF($V358="","",IF($V358&gt;0,"○勝",IF($V358&lt;0,"●負","△引分")))</f>
        <v/>
      </c>
    </row>
    <row r="359" spans="1:37" ht="17.25" customHeight="1">
      <c r="A359" s="622" t="str">
        <f>IF(B359="","",HYPERLINK("https://kabutan.jp/stock/?code="&amp;B359,"株探"))</f>
        <v/>
      </c>
      <c r="D359" s="440" t="str" cm="1">
        <f t="array" ref="D359">_xll.RssMarket(B359, "銘柄名称")</f>
        <v/>
      </c>
      <c r="E359" s="717"/>
      <c r="F359" s="698" t="str" cm="1">
        <f t="array" aca="1" ref="F359" ca="1">IFERROR(_xlfn.LET(_xlpm.r,MATCH(TEXT($B359,"0"),TEXT(銘柄管理!$B$6:$B$305,"0"),0),_xlpm.t,MOD(NOW(),1),_xlpm.c,IF($E359=TODAY(),IF(_xlpm.t&gt;=TIME(15,30,0),NA(),1),IF(MATCH($E359,始値!$E$3:$IT$3,0)=1,1,MATCH($E359,始値!$E$3:$IT$3,0)+1)),_xlpm.v,INDEX(始値!$C$6:$IT$305,_xlpm.r,_xlpm.c),IF(N(_xlpm.v)=0,"",_xlpm.v)),"")</f>
        <v/>
      </c>
      <c r="H359" s="440" t="str" cm="1">
        <f t="array" ref="H359">_xll.RssMarket(B359, "現在値")</f>
        <v/>
      </c>
      <c r="I359" s="440" t="str" cm="1">
        <f t="array" ref="I359">_xll.RssMarket(B359, "出来高加重平均")</f>
        <v/>
      </c>
      <c r="J359" s="704" t="str" cm="1">
        <f t="array" ref="J359">_xll.RssMarket($B359, "前日比")</f>
        <v/>
      </c>
      <c r="K359" s="704" t="str">
        <f>IF(OR(F359="",G359="",H359=""),"",IF(C359="売",(F359-H359)*G359,(H359-F359)*G359))</f>
        <v/>
      </c>
      <c r="L359" s="709" t="str">
        <f>IF(OR(F359="",H359=""),"",IF(C359="売",(F359-H359)/F359,(H359-F359)/F359))</f>
        <v/>
      </c>
      <c r="M359" s="599" t="str">
        <f>IF($F359="","",$F359*IF($C359="売",1-V811設定!$B$4,1+V811設定!$B$4)-MOD($F359*IF($C359="売",1-V811設定!$B$4,1+V811設定!$B$4),IF($F359&lt;=3000,1,IF($F359&lt;=5000,5,IF($F359&lt;=30000,10,IF($F359&lt;=50000,50,IF($F359&lt;=300000,100,500))))))+IF(AND($C359="売",MOD($F359*IF($C359="売",1-V811設定!$B$4,1+V811設定!$B$4),IF($F359&lt;=3000,1,IF($F359&lt;=5000,5,IF($F359&lt;=30000,10,IF($F359&lt;=50000,50,IF($F359&lt;=300000,100,500))))))&gt;0),IF($F359&lt;=3000,1,IF($F359&lt;=5000,5,IF($F359&lt;=30000,10,IF($F359&lt;=50000,50,IF($F359&lt;=300000,100,500))))),0))</f>
      </c>
      <c r="N359" s="599" t="str">
        <f>IF($F359="","",$F359*IF($C359="売",1+V811設定!$B$3,1-V811設定!$B$3)-MOD($F359*IF($C359="売",1+V811設定!$B$3,1-V811設定!$B$3),IF($F359&lt;=3000,1,IF($F359&lt;=5000,5,IF($F359&lt;=30000,10,IF($F359&lt;=50000,50,IF($F359&lt;=300000,100,500))))))+IF(AND($C359="売",MOD($F359*IF($C359="売",1+V811設定!$B$3,1-V811設定!$B$3),IF($F359&lt;=3000,1,IF($F359&lt;=5000,5,IF($F359&lt;=30000,10,IF($F359&lt;=50000,50,IF($F359&lt;=300000,100,500))))))&gt;0),IF($F359&lt;=3000,1,IF($F359&lt;=5000,5,IF($F359&lt;=30000,10,IF($F359&lt;=50000,50,IF($F359&lt;=300000,100,500))))),0))</f>
      </c>
      <c r="O359" s="478" t="str">
        <f>IF(OR($B359="",$F359="",$H359=""),"",IF($S359="✅売却済","―決済済―",IF($C359="売",IF($H359&lt;=$M359,"🟢利確",IF(AND($R359&lt;&gt;"",$H359&gt;=$R359),"🟠TRAIL",IF($H359&gt;=$N359,"🔴損切",IF($W359&gt;=V811設定!$B$6,"⏱時間決済",IF($H359&gt;=$F359*(1+V811設定!$B$3*0.7),"⚠️損切接近","保持継続"))))),IF($H359&gt;=$M359,"🟢利確",IF(AND($R359&lt;&gt;"",$H359&lt;=$R359),"🟠TRAIL",IF($H359&lt;=$N359,"🔴損切",IF($W359&gt;=V811設定!$B$6,"⏱時間決済",IF($H359&lt;=$F359*(1-V811設定!$B$3*0.7),"⚠️損切接近","保持継続"))))))))</f>
      </c>
      <c r="P359" s="445"/>
      <c r="R359" s="440" t="str">
        <f>IF(OR($F359="",$H359="",$N359=""),"",IF($S359="✅売却済","",IF($C359="売",IF($H359&gt;$F359*(1-V811設定!$B$3),$N359,MIN($N359,IF($Q359="",$N359,$Q359*1.03))),IF($H359&lt;$F359*(1+V811設定!$B$3),$N359,MAX($N359,IF($P359="",$N359,$P359*0.97))))))</f>
      </c>
      <c r="S359" s="440" t="str">
        <f>IF(B359="","",IF(T359&lt;&gt;"","✅売却済",IF(OR(H359="",L359=""),"📌保有中",IF(L359&gt;=0.06,"🟢利確推奨",IF(L359&gt;=0.05,"🟡利確直近",IF(L359&gt;=0.045,"🔵トレーリング検討",IF(L359&gt;-0.03,"📌保有中",IF(L359&gt;-0.04,"⚠️損切注意","🔴損切り"))))))))</f>
        <v/>
      </c>
      <c r="T359" s="597"/>
      <c r="U359" s="599"/>
      <c r="V359" s="704" t="str">
        <f>IF(OR(F359="",G359="",U359=""),"",IF(C359="売",(F359-U359)*G359,(U359-F359)*G359))</f>
        <v/>
      </c>
      <c r="W359" s="440" t="str">
        <f>IF(OR($E359="",$B359=""),"",IF($T359&lt;&gt;"",$T359-$E359,TODAY()-$E359)+1)</f>
        <v/>
      </c>
      <c r="X359" s="440" t="str">
        <f>IF(OR($AH359="",$AH359="保有中"),"",$AH359)</f>
        <v/>
      </c>
      <c r="AD359" s="608"/>
      <c r="AE359" s="600" t="str">
        <f>IF($E359="","",WORKDAY($E359,12))</f>
        <v/>
      </c>
      <c r="AF359" s="600" t="str" cm="1">
        <f t="array" aca="1" ref="AF359" ca="1">IF(OR($B359="",$M359=""),"",IFERROR(IF($C359="売",_xlfn.MINIFS(安値!$E$3:$IT$3,安値!$E$3:$IT$3,"&gt;"&amp;$E359,安値!$E$3:$IT$3,"&lt;="&amp;$AE359,OFFSET(安値!$E$6:$IT$6,MATCH(TEXT($B359,"0"),TEXT(銘柄管理!$B$6:$B$305,"0"),0)-1,0),"&lt;="&amp;$M359),_xlfn.MINIFS(高値!$E$3:$IT$3,高値!$E$3:$IT$3,"&gt;"&amp;$E359,高値!$E$3:$IT$3,"&lt;="&amp;$AE359,OFFSET(高値!$E$6:$IT$6,MATCH(TEXT($B359,"0"),TEXT(銘柄管理!$B$6:$B$305,"0"),0)-1,0),"&gt;="&amp;$M359)),""))</f>
        <v/>
      </c>
      <c r="AG359" s="600" t="str" cm="1">
        <f t="array" aca="1" ref="AG359" ca="1">IF(OR($B359="",$N359=""),"",IFERROR(IF($C359="売",_xlfn.MINIFS(高値!$E$3:$IT$3,高値!$E$3:$IT$3,"&gt;"&amp;$E359,高値!$E$3:$IT$3,"&lt;="&amp;$AE359,OFFSET(高値!$E$6:$IT$6,MATCH(TEXT($B359,"0"),TEXT(銘柄管理!$B$6:$B$305,"0"),0)-1,0),"&gt;="&amp;$N359),_xlfn.MINIFS(安値!$E$3:$IT$3,安値!$E$3:$IT$3,"&gt;"&amp;$E359,安値!$E$3:$IT$3,"&lt;="&amp;$AE359,OFFSET(安値!$E$6:$IT$6,MATCH(TEXT($B359,"0"),TEXT(銘柄管理!$B$6:$B$305,"0"),0)-1,0),"&lt;="&amp;$N359)),""))</f>
        <v/>
      </c>
      <c r="AH359" s="600" t="str">
        <f>IF(OR($B359="",$M359=""),"",IF(AND(N($AF359)=0,N($AG359)=0),IF(AND(ISNUMBER($H359),$H359&gt;0,IF($C359="売",$H359&gt;=$N359,$H359&lt;=$N359)),"損切確定",IF(AND(ISNUMBER($H359),$H359&gt;0,IF($C359="売",$H359&lt;=$M359,$H359&gt;=$M359)),"利益確定",IF($AE359&lt;=TODAY(),"日数制限","保有中"))),IF(N($AG359)=0,"利益確定",IF(N($AF359)=0,"損切確定",IF($AG359&lt;=$AF359,"損切確定","利益確定")))))</f>
        <v/>
      </c>
      <c r="AI359" s="600" t="str" cm="1">
        <f t="array" ref="AI359">IFERROR(INDEX(始値!$E$6:$IT$305,MATCH(TEXT($B359,"0"),TEXT(銘柄管理!$B$6:$B$305,"0"),0),MATCH($AE359,始値!$E$3:$IT$3,0)),"")</f>
        <v/>
      </c>
      <c r="AJ359" s="608" t="str">
        <f>IF(OR($V359="",$F359="",$G359=""),"",$V359/($F359*$G359))</f>
        <v/>
      </c>
      <c r="AK359" s="600" t="str">
        <f>IF($V359="","",IF($V359&gt;0,"○勝",IF($V359&lt;0,"●負","△引分")))</f>
        <v/>
      </c>
    </row>
    <row r="360" spans="1:37" ht="17.25" customHeight="1">
      <c r="A360" s="622" t="str">
        <f>IF(B360="","",HYPERLINK("https://kabutan.jp/stock/?code="&amp;B360,"株探"))</f>
        <v/>
      </c>
      <c r="D360" s="440" t="str" cm="1">
        <f t="array" ref="D360">_xll.RssMarket(B360, "銘柄名称")</f>
        <v/>
      </c>
      <c r="E360" s="717"/>
      <c r="F360" s="698" t="str" cm="1">
        <f t="array" aca="1" ref="F360" ca="1">IFERROR(_xlfn.LET(_xlpm.r,MATCH(TEXT($B360,"0"),TEXT(銘柄管理!$B$6:$B$305,"0"),0),_xlpm.t,MOD(NOW(),1),_xlpm.c,IF($E360=TODAY(),IF(_xlpm.t&gt;=TIME(15,30,0),NA(),1),IF(MATCH($E360,始値!$E$3:$IT$3,0)=1,1,MATCH($E360,始値!$E$3:$IT$3,0)+1)),_xlpm.v,INDEX(始値!$C$6:$IT$305,_xlpm.r,_xlpm.c),IF(N(_xlpm.v)=0,"",_xlpm.v)),"")</f>
        <v/>
      </c>
      <c r="H360" s="440" t="str" cm="1">
        <f t="array" ref="H360">_xll.RssMarket(B360, "現在値")</f>
        <v/>
      </c>
      <c r="I360" s="440" t="str" cm="1">
        <f t="array" ref="I360">_xll.RssMarket(B360, "出来高加重平均")</f>
        <v/>
      </c>
      <c r="J360" s="704" t="str" cm="1">
        <f t="array" ref="J360">_xll.RssMarket($B360, "前日比")</f>
        <v/>
      </c>
      <c r="K360" s="704" t="str">
        <f>IF(OR(F360="",G360="",H360=""),"",IF(C360="売",(F360-H360)*G360,(H360-F360)*G360))</f>
        <v/>
      </c>
      <c r="L360" s="709" t="str">
        <f>IF(OR(F360="",H360=""),"",IF(C360="売",(F360-H360)/F360,(H360-F360)/F360))</f>
        <v/>
      </c>
      <c r="M360" s="599" t="str">
        <f>IF($F360="","",$F360*IF($C360="売",1-V811設定!$B$4,1+V811設定!$B$4)-MOD($F360*IF($C360="売",1-V811設定!$B$4,1+V811設定!$B$4),IF($F360&lt;=3000,1,IF($F360&lt;=5000,5,IF($F360&lt;=30000,10,IF($F360&lt;=50000,50,IF($F360&lt;=300000,100,500))))))+IF(AND($C360="売",MOD($F360*IF($C360="売",1-V811設定!$B$4,1+V811設定!$B$4),IF($F360&lt;=3000,1,IF($F360&lt;=5000,5,IF($F360&lt;=30000,10,IF($F360&lt;=50000,50,IF($F360&lt;=300000,100,500))))))&gt;0),IF($F360&lt;=3000,1,IF($F360&lt;=5000,5,IF($F360&lt;=30000,10,IF($F360&lt;=50000,50,IF($F360&lt;=300000,100,500))))),0))</f>
      </c>
      <c r="N360" s="599" t="str">
        <f>IF($F360="","",$F360*IF($C360="売",1+V811設定!$B$3,1-V811設定!$B$3)-MOD($F360*IF($C360="売",1+V811設定!$B$3,1-V811設定!$B$3),IF($F360&lt;=3000,1,IF($F360&lt;=5000,5,IF($F360&lt;=30000,10,IF($F360&lt;=50000,50,IF($F360&lt;=300000,100,500))))))+IF(AND($C360="売",MOD($F360*IF($C360="売",1+V811設定!$B$3,1-V811設定!$B$3),IF($F360&lt;=3000,1,IF($F360&lt;=5000,5,IF($F360&lt;=30000,10,IF($F360&lt;=50000,50,IF($F360&lt;=300000,100,500))))))&gt;0),IF($F360&lt;=3000,1,IF($F360&lt;=5000,5,IF($F360&lt;=30000,10,IF($F360&lt;=50000,50,IF($F360&lt;=300000,100,500))))),0))</f>
      </c>
      <c r="O360" s="478" t="str">
        <f>IF(OR($B360="",$F360="",$H360=""),"",IF($S360="✅売却済","―決済済―",IF($C360="売",IF($H360&lt;=$M360,"🟢利確",IF(AND($R360&lt;&gt;"",$H360&gt;=$R360),"🟠TRAIL",IF($H360&gt;=$N360,"🔴損切",IF($W360&gt;=V811設定!$B$6,"⏱時間決済",IF($H360&gt;=$F360*(1+V811設定!$B$3*0.7),"⚠️損切接近","保持継続"))))),IF($H360&gt;=$M360,"🟢利確",IF(AND($R360&lt;&gt;"",$H360&lt;=$R360),"🟠TRAIL",IF($H360&lt;=$N360,"🔴損切",IF($W360&gt;=V811設定!$B$6,"⏱時間決済",IF($H360&lt;=$F360*(1-V811設定!$B$3*0.7),"⚠️損切接近","保持継続"))))))))</f>
      </c>
      <c r="P360" s="445"/>
      <c r="R360" s="440" t="str">
        <f>IF(OR($F360="",$H360="",$N360=""),"",IF($S360="✅売却済","",IF($C360="売",IF($H360&gt;$F360*(1-V811設定!$B$3),$N360,MIN($N360,IF($Q360="",$N360,$Q360*1.03))),IF($H360&lt;$F360*(1+V811設定!$B$3),$N360,MAX($N360,IF($P360="",$N360,$P360*0.97))))))</f>
      </c>
      <c r="S360" s="440" t="str">
        <f>IF(B360="","",IF(T360&lt;&gt;"","✅売却済",IF(OR(H360="",L360=""),"📌保有中",IF(L360&gt;=0.06,"🟢利確推奨",IF(L360&gt;=0.05,"🟡利確直近",IF(L360&gt;=0.045,"🔵トレーリング検討",IF(L360&gt;-0.03,"📌保有中",IF(L360&gt;-0.04,"⚠️損切注意","🔴損切り"))))))))</f>
        <v/>
      </c>
      <c r="T360" s="597"/>
      <c r="U360" s="599"/>
      <c r="V360" s="704" t="str">
        <f>IF(OR(F360="",G360="",U360=""),"",IF(C360="売",(F360-U360)*G360,(U360-F360)*G360))</f>
        <v/>
      </c>
      <c r="W360" s="440" t="str">
        <f>IF(OR($E360="",$B360=""),"",IF($T360&lt;&gt;"",$T360-$E360,TODAY()-$E360)+1)</f>
        <v/>
      </c>
      <c r="X360" s="440" t="str">
        <f>IF(OR($AH360="",$AH360="保有中"),"",$AH360)</f>
        <v/>
      </c>
      <c r="AD360" s="608"/>
      <c r="AE360" s="600" t="str">
        <f>IF($E360="","",WORKDAY($E360,12))</f>
        <v/>
      </c>
      <c r="AF360" s="600" t="str" cm="1">
        <f t="array" aca="1" ref="AF360" ca="1">IF(OR($B360="",$M360=""),"",IFERROR(IF($C360="売",_xlfn.MINIFS(安値!$E$3:$IT$3,安値!$E$3:$IT$3,"&gt;"&amp;$E360,安値!$E$3:$IT$3,"&lt;="&amp;$AE360,OFFSET(安値!$E$6:$IT$6,MATCH(TEXT($B360,"0"),TEXT(銘柄管理!$B$6:$B$305,"0"),0)-1,0),"&lt;="&amp;$M360),_xlfn.MINIFS(高値!$E$3:$IT$3,高値!$E$3:$IT$3,"&gt;"&amp;$E360,高値!$E$3:$IT$3,"&lt;="&amp;$AE360,OFFSET(高値!$E$6:$IT$6,MATCH(TEXT($B360,"0"),TEXT(銘柄管理!$B$6:$B$305,"0"),0)-1,0),"&gt;="&amp;$M360)),""))</f>
        <v/>
      </c>
      <c r="AG360" s="600" t="str" cm="1">
        <f t="array" aca="1" ref="AG360" ca="1">IF(OR($B360="",$N360=""),"",IFERROR(IF($C360="売",_xlfn.MINIFS(高値!$E$3:$IT$3,高値!$E$3:$IT$3,"&gt;"&amp;$E360,高値!$E$3:$IT$3,"&lt;="&amp;$AE360,OFFSET(高値!$E$6:$IT$6,MATCH(TEXT($B360,"0"),TEXT(銘柄管理!$B$6:$B$305,"0"),0)-1,0),"&gt;="&amp;$N360),_xlfn.MINIFS(安値!$E$3:$IT$3,安値!$E$3:$IT$3,"&gt;"&amp;$E360,安値!$E$3:$IT$3,"&lt;="&amp;$AE360,OFFSET(安値!$E$6:$IT$6,MATCH(TEXT($B360,"0"),TEXT(銘柄管理!$B$6:$B$305,"0"),0)-1,0),"&lt;="&amp;$N360)),""))</f>
        <v/>
      </c>
      <c r="AH360" s="600" t="str">
        <f>IF(OR($B360="",$M360=""),"",IF(AND(N($AF360)=0,N($AG360)=0),IF(AND(ISNUMBER($H360),$H360&gt;0,IF($C360="売",$H360&gt;=$N360,$H360&lt;=$N360)),"損切確定",IF(AND(ISNUMBER($H360),$H360&gt;0,IF($C360="売",$H360&lt;=$M360,$H360&gt;=$M360)),"利益確定",IF($AE360&lt;=TODAY(),"日数制限","保有中"))),IF(N($AG360)=0,"利益確定",IF(N($AF360)=0,"損切確定",IF($AG360&lt;=$AF360,"損切確定","利益確定")))))</f>
        <v/>
      </c>
      <c r="AI360" s="600" t="str" cm="1">
        <f t="array" ref="AI360">IFERROR(INDEX(始値!$E$6:$IT$305,MATCH(TEXT($B360,"0"),TEXT(銘柄管理!$B$6:$B$305,"0"),0),MATCH($AE360,始値!$E$3:$IT$3,0)),"")</f>
        <v/>
      </c>
      <c r="AJ360" s="608" t="str">
        <f>IF(OR($V360="",$F360="",$G360=""),"",$V360/($F360*$G360))</f>
        <v/>
      </c>
      <c r="AK360" s="600" t="str">
        <f>IF($V360="","",IF($V360&gt;0,"○勝",IF($V360&lt;0,"●負","△引分")))</f>
        <v/>
      </c>
    </row>
    <row r="361" spans="1:37" ht="17.25" customHeight="1">
      <c r="A361" s="622" t="str">
        <f>IF(B361="","",HYPERLINK("https://kabutan.jp/stock/?code="&amp;B361,"株探"))</f>
        <v/>
      </c>
      <c r="D361" s="440" t="str" cm="1">
        <f t="array" ref="D361">_xll.RssMarket(B361, "銘柄名称")</f>
        <v/>
      </c>
      <c r="E361" s="717"/>
      <c r="F361" s="698" t="str" cm="1">
        <f t="array" aca="1" ref="F361" ca="1">IFERROR(_xlfn.LET(_xlpm.r,MATCH(TEXT($B361,"0"),TEXT(銘柄管理!$B$6:$B$305,"0"),0),_xlpm.t,MOD(NOW(),1),_xlpm.c,IF($E361=TODAY(),IF(_xlpm.t&gt;=TIME(15,30,0),NA(),1),IF(MATCH($E361,始値!$E$3:$IT$3,0)=1,1,MATCH($E361,始値!$E$3:$IT$3,0)+1)),_xlpm.v,INDEX(始値!$C$6:$IT$305,_xlpm.r,_xlpm.c),IF(N(_xlpm.v)=0,"",_xlpm.v)),"")</f>
        <v/>
      </c>
      <c r="H361" s="440" t="str" cm="1">
        <f t="array" ref="H361">_xll.RssMarket(B361, "現在値")</f>
        <v/>
      </c>
      <c r="I361" s="440" t="str" cm="1">
        <f t="array" ref="I361">_xll.RssMarket(B361, "出来高加重平均")</f>
        <v/>
      </c>
      <c r="J361" s="704" t="str" cm="1">
        <f t="array" ref="J361">_xll.RssMarket($B361, "前日比")</f>
        <v/>
      </c>
      <c r="K361" s="704" t="str">
        <f>IF(OR(F361="",G361="",H361=""),"",IF(C361="売",(F361-H361)*G361,(H361-F361)*G361))</f>
        <v/>
      </c>
      <c r="L361" s="709" t="str">
        <f>IF(OR(F361="",H361=""),"",IF(C361="売",(F361-H361)/F361,(H361-F361)/F361))</f>
        <v/>
      </c>
      <c r="M361" s="599" t="str">
        <f>IF($F361="","",$F361*IF($C361="売",1-V811設定!$B$4,1+V811設定!$B$4)-MOD($F361*IF($C361="売",1-V811設定!$B$4,1+V811設定!$B$4),IF($F361&lt;=3000,1,IF($F361&lt;=5000,5,IF($F361&lt;=30000,10,IF($F361&lt;=50000,50,IF($F361&lt;=300000,100,500))))))+IF(AND($C361="売",MOD($F361*IF($C361="売",1-V811設定!$B$4,1+V811設定!$B$4),IF($F361&lt;=3000,1,IF($F361&lt;=5000,5,IF($F361&lt;=30000,10,IF($F361&lt;=50000,50,IF($F361&lt;=300000,100,500))))))&gt;0),IF($F361&lt;=3000,1,IF($F361&lt;=5000,5,IF($F361&lt;=30000,10,IF($F361&lt;=50000,50,IF($F361&lt;=300000,100,500))))),0))</f>
      </c>
      <c r="N361" s="599" t="str">
        <f>IF($F361="","",$F361*IF($C361="売",1+V811設定!$B$3,1-V811設定!$B$3)-MOD($F361*IF($C361="売",1+V811設定!$B$3,1-V811設定!$B$3),IF($F361&lt;=3000,1,IF($F361&lt;=5000,5,IF($F361&lt;=30000,10,IF($F361&lt;=50000,50,IF($F361&lt;=300000,100,500))))))+IF(AND($C361="売",MOD($F361*IF($C361="売",1+V811設定!$B$3,1-V811設定!$B$3),IF($F361&lt;=3000,1,IF($F361&lt;=5000,5,IF($F361&lt;=30000,10,IF($F361&lt;=50000,50,IF($F361&lt;=300000,100,500))))))&gt;0),IF($F361&lt;=3000,1,IF($F361&lt;=5000,5,IF($F361&lt;=30000,10,IF($F361&lt;=50000,50,IF($F361&lt;=300000,100,500))))),0))</f>
      </c>
      <c r="O361" s="478" t="str">
        <f>IF(OR($B361="",$F361="",$H361=""),"",IF($S361="✅売却済","―決済済―",IF($C361="売",IF($H361&lt;=$M361,"🟢利確",IF(AND($R361&lt;&gt;"",$H361&gt;=$R361),"🟠TRAIL",IF($H361&gt;=$N361,"🔴損切",IF($W361&gt;=V811設定!$B$6,"⏱時間決済",IF($H361&gt;=$F361*(1+V811設定!$B$3*0.7),"⚠️損切接近","保持継続"))))),IF($H361&gt;=$M361,"🟢利確",IF(AND($R361&lt;&gt;"",$H361&lt;=$R361),"🟠TRAIL",IF($H361&lt;=$N361,"🔴損切",IF($W361&gt;=V811設定!$B$6,"⏱時間決済",IF($H361&lt;=$F361*(1-V811設定!$B$3*0.7),"⚠️損切接近","保持継続"))))))))</f>
      </c>
      <c r="P361" s="445"/>
      <c r="R361" s="440" t="str">
        <f>IF(OR($F361="",$H361="",$N361=""),"",IF($S361="✅売却済","",IF($C361="売",IF($H361&gt;$F361*(1-V811設定!$B$3),$N361,MIN($N361,IF($Q361="",$N361,$Q361*1.03))),IF($H361&lt;$F361*(1+V811設定!$B$3),$N361,MAX($N361,IF($P361="",$N361,$P361*0.97))))))</f>
      </c>
      <c r="S361" s="440" t="str">
        <f>IF(B361="","",IF(T361&lt;&gt;"","✅売却済",IF(OR(H361="",L361=""),"📌保有中",IF(L361&gt;=0.06,"🟢利確推奨",IF(L361&gt;=0.05,"🟡利確直近",IF(L361&gt;=0.045,"🔵トレーリング検討",IF(L361&gt;-0.03,"📌保有中",IF(L361&gt;-0.04,"⚠️損切注意","🔴損切り"))))))))</f>
        <v/>
      </c>
      <c r="T361" s="597"/>
      <c r="U361" s="599"/>
      <c r="V361" s="704" t="str">
        <f>IF(OR(F361="",G361="",U361=""),"",IF(C361="売",(F361-U361)*G361,(U361-F361)*G361))</f>
        <v/>
      </c>
      <c r="W361" s="440" t="str">
        <f>IF(OR($E361="",$B361=""),"",IF($T361&lt;&gt;"",$T361-$E361,TODAY()-$E361)+1)</f>
        <v/>
      </c>
      <c r="X361" s="440" t="str">
        <f>IF(OR($AH361="",$AH361="保有中"),"",$AH361)</f>
        <v/>
      </c>
      <c r="AD361" s="608"/>
      <c r="AE361" s="600" t="str">
        <f>IF($E361="","",WORKDAY($E361,12))</f>
        <v/>
      </c>
      <c r="AF361" s="600" t="str" cm="1">
        <f t="array" aca="1" ref="AF361" ca="1">IF(OR($B361="",$M361=""),"",IFERROR(IF($C361="売",_xlfn.MINIFS(安値!$E$3:$IT$3,安値!$E$3:$IT$3,"&gt;"&amp;$E361,安値!$E$3:$IT$3,"&lt;="&amp;$AE361,OFFSET(安値!$E$6:$IT$6,MATCH(TEXT($B361,"0"),TEXT(銘柄管理!$B$6:$B$305,"0"),0)-1,0),"&lt;="&amp;$M361),_xlfn.MINIFS(高値!$E$3:$IT$3,高値!$E$3:$IT$3,"&gt;"&amp;$E361,高値!$E$3:$IT$3,"&lt;="&amp;$AE361,OFFSET(高値!$E$6:$IT$6,MATCH(TEXT($B361,"0"),TEXT(銘柄管理!$B$6:$B$305,"0"),0)-1,0),"&gt;="&amp;$M361)),""))</f>
        <v/>
      </c>
      <c r="AG361" s="600" t="str" cm="1">
        <f t="array" aca="1" ref="AG361" ca="1">IF(OR($B361="",$N361=""),"",IFERROR(IF($C361="売",_xlfn.MINIFS(高値!$E$3:$IT$3,高値!$E$3:$IT$3,"&gt;"&amp;$E361,高値!$E$3:$IT$3,"&lt;="&amp;$AE361,OFFSET(高値!$E$6:$IT$6,MATCH(TEXT($B361,"0"),TEXT(銘柄管理!$B$6:$B$305,"0"),0)-1,0),"&gt;="&amp;$N361),_xlfn.MINIFS(安値!$E$3:$IT$3,安値!$E$3:$IT$3,"&gt;"&amp;$E361,安値!$E$3:$IT$3,"&lt;="&amp;$AE361,OFFSET(安値!$E$6:$IT$6,MATCH(TEXT($B361,"0"),TEXT(銘柄管理!$B$6:$B$305,"0"),0)-1,0),"&lt;="&amp;$N361)),""))</f>
        <v/>
      </c>
      <c r="AH361" s="600" t="str">
        <f>IF(OR($B361="",$M361=""),"",IF(AND(N($AF361)=0,N($AG361)=0),IF(AND(ISNUMBER($H361),$H361&gt;0,IF($C361="売",$H361&gt;=$N361,$H361&lt;=$N361)),"損切確定",IF(AND(ISNUMBER($H361),$H361&gt;0,IF($C361="売",$H361&lt;=$M361,$H361&gt;=$M361)),"利益確定",IF($AE361&lt;=TODAY(),"日数制限","保有中"))),IF(N($AG361)=0,"利益確定",IF(N($AF361)=0,"損切確定",IF($AG361&lt;=$AF361,"損切確定","利益確定")))))</f>
        <v/>
      </c>
      <c r="AI361" s="600" t="str" cm="1">
        <f t="array" ref="AI361">IFERROR(INDEX(始値!$E$6:$IT$305,MATCH(TEXT($B361,"0"),TEXT(銘柄管理!$B$6:$B$305,"0"),0),MATCH($AE361,始値!$E$3:$IT$3,0)),"")</f>
        <v/>
      </c>
      <c r="AJ361" s="608" t="str">
        <f>IF(OR($V361="",$F361="",$G361=""),"",$V361/($F361*$G361))</f>
        <v/>
      </c>
      <c r="AK361" s="600" t="str">
        <f>IF($V361="","",IF($V361&gt;0,"○勝",IF($V361&lt;0,"●負","△引分")))</f>
        <v/>
      </c>
    </row>
    <row r="362" spans="1:37" ht="17.25" customHeight="1">
      <c r="A362" s="622" t="str">
        <f>IF(B362="","",HYPERLINK("https://kabutan.jp/stock/?code="&amp;B362,"株探"))</f>
        <v/>
      </c>
      <c r="D362" s="440" t="str" cm="1">
        <f t="array" ref="D362">_xll.RssMarket(B362, "銘柄名称")</f>
        <v/>
      </c>
      <c r="E362" s="717"/>
      <c r="F362" s="698" t="str" cm="1">
        <f t="array" aca="1" ref="F362" ca="1">IFERROR(_xlfn.LET(_xlpm.r,MATCH(TEXT($B362,"0"),TEXT(銘柄管理!$B$6:$B$305,"0"),0),_xlpm.t,MOD(NOW(),1),_xlpm.c,IF($E362=TODAY(),IF(_xlpm.t&gt;=TIME(15,30,0),NA(),1),IF(MATCH($E362,始値!$E$3:$IT$3,0)=1,1,MATCH($E362,始値!$E$3:$IT$3,0)+1)),_xlpm.v,INDEX(始値!$C$6:$IT$305,_xlpm.r,_xlpm.c),IF(N(_xlpm.v)=0,"",_xlpm.v)),"")</f>
        <v/>
      </c>
      <c r="H362" s="440" t="str" cm="1">
        <f t="array" ref="H362">_xll.RssMarket(B362, "現在値")</f>
        <v/>
      </c>
      <c r="I362" s="440" t="str" cm="1">
        <f t="array" ref="I362">_xll.RssMarket(B362, "出来高加重平均")</f>
        <v/>
      </c>
      <c r="J362" s="704" t="str" cm="1">
        <f t="array" ref="J362">_xll.RssMarket($B362, "前日比")</f>
        <v/>
      </c>
      <c r="K362" s="704" t="str">
        <f>IF(OR(F362="",G362="",H362=""),"",IF(C362="売",(F362-H362)*G362,(H362-F362)*G362))</f>
        <v/>
      </c>
      <c r="L362" s="709" t="str">
        <f>IF(OR(F362="",H362=""),"",IF(C362="売",(F362-H362)/F362,(H362-F362)/F362))</f>
        <v/>
      </c>
      <c r="M362" s="599" t="str">
        <f>IF($F362="","",$F362*IF($C362="売",1-V811設定!$B$4,1+V811設定!$B$4)-MOD($F362*IF($C362="売",1-V811設定!$B$4,1+V811設定!$B$4),IF($F362&lt;=3000,1,IF($F362&lt;=5000,5,IF($F362&lt;=30000,10,IF($F362&lt;=50000,50,IF($F362&lt;=300000,100,500))))))+IF(AND($C362="売",MOD($F362*IF($C362="売",1-V811設定!$B$4,1+V811設定!$B$4),IF($F362&lt;=3000,1,IF($F362&lt;=5000,5,IF($F362&lt;=30000,10,IF($F362&lt;=50000,50,IF($F362&lt;=300000,100,500))))))&gt;0),IF($F362&lt;=3000,1,IF($F362&lt;=5000,5,IF($F362&lt;=30000,10,IF($F362&lt;=50000,50,IF($F362&lt;=300000,100,500))))),0))</f>
      </c>
      <c r="N362" s="599" t="str">
        <f>IF($F362="","",$F362*IF($C362="売",1+V811設定!$B$3,1-V811設定!$B$3)-MOD($F362*IF($C362="売",1+V811設定!$B$3,1-V811設定!$B$3),IF($F362&lt;=3000,1,IF($F362&lt;=5000,5,IF($F362&lt;=30000,10,IF($F362&lt;=50000,50,IF($F362&lt;=300000,100,500))))))+IF(AND($C362="売",MOD($F362*IF($C362="売",1+V811設定!$B$3,1-V811設定!$B$3),IF($F362&lt;=3000,1,IF($F362&lt;=5000,5,IF($F362&lt;=30000,10,IF($F362&lt;=50000,50,IF($F362&lt;=300000,100,500))))))&gt;0),IF($F362&lt;=3000,1,IF($F362&lt;=5000,5,IF($F362&lt;=30000,10,IF($F362&lt;=50000,50,IF($F362&lt;=300000,100,500))))),0))</f>
      </c>
      <c r="O362" s="478" t="str">
        <f>IF(OR($B362="",$F362="",$H362=""),"",IF($S362="✅売却済","―決済済―",IF($C362="売",IF($H362&lt;=$M362,"🟢利確",IF(AND($R362&lt;&gt;"",$H362&gt;=$R362),"🟠TRAIL",IF($H362&gt;=$N362,"🔴損切",IF($W362&gt;=V811設定!$B$6,"⏱時間決済",IF($H362&gt;=$F362*(1+V811設定!$B$3*0.7),"⚠️損切接近","保持継続"))))),IF($H362&gt;=$M362,"🟢利確",IF(AND($R362&lt;&gt;"",$H362&lt;=$R362),"🟠TRAIL",IF($H362&lt;=$N362,"🔴損切",IF($W362&gt;=V811設定!$B$6,"⏱時間決済",IF($H362&lt;=$F362*(1-V811設定!$B$3*0.7),"⚠️損切接近","保持継続"))))))))</f>
      </c>
      <c r="P362" s="445"/>
      <c r="R362" s="440" t="str">
        <f>IF(OR($F362="",$H362="",$N362=""),"",IF($S362="✅売却済","",IF($C362="売",IF($H362&gt;$F362*(1-V811設定!$B$3),$N362,MIN($N362,IF($Q362="",$N362,$Q362*1.03))),IF($H362&lt;$F362*(1+V811設定!$B$3),$N362,MAX($N362,IF($P362="",$N362,$P362*0.97))))))</f>
      </c>
      <c r="S362" s="440" t="str">
        <f>IF(B362="","",IF(T362&lt;&gt;"","✅売却済",IF(OR(H362="",L362=""),"📌保有中",IF(L362&gt;=0.06,"🟢利確推奨",IF(L362&gt;=0.05,"🟡利確直近",IF(L362&gt;=0.045,"🔵トレーリング検討",IF(L362&gt;-0.03,"📌保有中",IF(L362&gt;-0.04,"⚠️損切注意","🔴損切り"))))))))</f>
        <v/>
      </c>
      <c r="T362" s="597"/>
      <c r="U362" s="599"/>
      <c r="V362" s="704" t="str">
        <f>IF(OR(F362="",G362="",U362=""),"",IF(C362="売",(F362-U362)*G362,(U362-F362)*G362))</f>
        <v/>
      </c>
      <c r="W362" s="440" t="str">
        <f>IF(OR($E362="",$B362=""),"",IF($T362&lt;&gt;"",$T362-$E362,TODAY()-$E362)+1)</f>
        <v/>
      </c>
      <c r="X362" s="440" t="str">
        <f>IF(OR($AH362="",$AH362="保有中"),"",$AH362)</f>
        <v/>
      </c>
      <c r="AD362" s="608"/>
      <c r="AE362" s="600" t="str">
        <f>IF($E362="","",WORKDAY($E362,12))</f>
        <v/>
      </c>
      <c r="AF362" s="600" t="str" cm="1">
        <f t="array" aca="1" ref="AF362" ca="1">IF(OR($B362="",$M362=""),"",IFERROR(IF($C362="売",_xlfn.MINIFS(安値!$E$3:$IT$3,安値!$E$3:$IT$3,"&gt;"&amp;$E362,安値!$E$3:$IT$3,"&lt;="&amp;$AE362,OFFSET(安値!$E$6:$IT$6,MATCH(TEXT($B362,"0"),TEXT(銘柄管理!$B$6:$B$305,"0"),0)-1,0),"&lt;="&amp;$M362),_xlfn.MINIFS(高値!$E$3:$IT$3,高値!$E$3:$IT$3,"&gt;"&amp;$E362,高値!$E$3:$IT$3,"&lt;="&amp;$AE362,OFFSET(高値!$E$6:$IT$6,MATCH(TEXT($B362,"0"),TEXT(銘柄管理!$B$6:$B$305,"0"),0)-1,0),"&gt;="&amp;$M362)),""))</f>
        <v/>
      </c>
      <c r="AG362" s="600" t="str" cm="1">
        <f t="array" aca="1" ref="AG362" ca="1">IF(OR($B362="",$N362=""),"",IFERROR(IF($C362="売",_xlfn.MINIFS(高値!$E$3:$IT$3,高値!$E$3:$IT$3,"&gt;"&amp;$E362,高値!$E$3:$IT$3,"&lt;="&amp;$AE362,OFFSET(高値!$E$6:$IT$6,MATCH(TEXT($B362,"0"),TEXT(銘柄管理!$B$6:$B$305,"0"),0)-1,0),"&gt;="&amp;$N362),_xlfn.MINIFS(安値!$E$3:$IT$3,安値!$E$3:$IT$3,"&gt;"&amp;$E362,安値!$E$3:$IT$3,"&lt;="&amp;$AE362,OFFSET(安値!$E$6:$IT$6,MATCH(TEXT($B362,"0"),TEXT(銘柄管理!$B$6:$B$305,"0"),0)-1,0),"&lt;="&amp;$N362)),""))</f>
        <v/>
      </c>
      <c r="AH362" s="600" t="str">
        <f>IF(OR($B362="",$M362=""),"",IF(AND(N($AF362)=0,N($AG362)=0),IF(AND(ISNUMBER($H362),$H362&gt;0,IF($C362="売",$H362&gt;=$N362,$H362&lt;=$N362)),"損切確定",IF(AND(ISNUMBER($H362),$H362&gt;0,IF($C362="売",$H362&lt;=$M362,$H362&gt;=$M362)),"利益確定",IF($AE362&lt;=TODAY(),"日数制限","保有中"))),IF(N($AG362)=0,"利益確定",IF(N($AF362)=0,"損切確定",IF($AG362&lt;=$AF362,"損切確定","利益確定")))))</f>
        <v/>
      </c>
      <c r="AI362" s="600" t="str" cm="1">
        <f t="array" ref="AI362">IFERROR(INDEX(始値!$E$6:$IT$305,MATCH(TEXT($B362,"0"),TEXT(銘柄管理!$B$6:$B$305,"0"),0),MATCH($AE362,始値!$E$3:$IT$3,0)),"")</f>
        <v/>
      </c>
      <c r="AJ362" s="608" t="str">
        <f>IF(OR($V362="",$F362="",$G362=""),"",$V362/($F362*$G362))</f>
        <v/>
      </c>
      <c r="AK362" s="600" t="str">
        <f>IF($V362="","",IF($V362&gt;0,"○勝",IF($V362&lt;0,"●負","△引分")))</f>
        <v/>
      </c>
    </row>
    <row r="363" spans="1:37" ht="17.25" customHeight="1">
      <c r="A363" s="622" t="str">
        <f>IF(B363="","",HYPERLINK("https://kabutan.jp/stock/?code="&amp;B363,"株探"))</f>
        <v/>
      </c>
      <c r="D363" s="440" t="str" cm="1">
        <f t="array" ref="D363">_xll.RssMarket(B363, "銘柄名称")</f>
        <v/>
      </c>
      <c r="E363" s="717"/>
      <c r="F363" s="698" t="str" cm="1">
        <f t="array" aca="1" ref="F363" ca="1">IFERROR(_xlfn.LET(_xlpm.r,MATCH(TEXT($B363,"0"),TEXT(銘柄管理!$B$6:$B$305,"0"),0),_xlpm.t,MOD(NOW(),1),_xlpm.c,IF($E363=TODAY(),IF(_xlpm.t&gt;=TIME(15,30,0),NA(),1),IF(MATCH($E363,始値!$E$3:$IT$3,0)=1,1,MATCH($E363,始値!$E$3:$IT$3,0)+1)),_xlpm.v,INDEX(始値!$C$6:$IT$305,_xlpm.r,_xlpm.c),IF(N(_xlpm.v)=0,"",_xlpm.v)),"")</f>
        <v/>
      </c>
      <c r="H363" s="440" t="str" cm="1">
        <f t="array" ref="H363">_xll.RssMarket(B363, "現在値")</f>
        <v/>
      </c>
      <c r="I363" s="440" t="str" cm="1">
        <f t="array" ref="I363">_xll.RssMarket(B363, "出来高加重平均")</f>
        <v/>
      </c>
      <c r="J363" s="704" t="str" cm="1">
        <f t="array" ref="J363">_xll.RssMarket($B363, "前日比")</f>
        <v/>
      </c>
      <c r="K363" s="704" t="str">
        <f>IF(OR(F363="",G363="",H363=""),"",IF(C363="売",(F363-H363)*G363,(H363-F363)*G363))</f>
        <v/>
      </c>
      <c r="L363" s="709" t="str">
        <f>IF(OR(F363="",H363=""),"",IF(C363="売",(F363-H363)/F363,(H363-F363)/F363))</f>
        <v/>
      </c>
      <c r="M363" s="599" t="str">
        <f>IF($F363="","",$F363*IF($C363="売",1-V811設定!$B$4,1+V811設定!$B$4)-MOD($F363*IF($C363="売",1-V811設定!$B$4,1+V811設定!$B$4),IF($F363&lt;=3000,1,IF($F363&lt;=5000,5,IF($F363&lt;=30000,10,IF($F363&lt;=50000,50,IF($F363&lt;=300000,100,500))))))+IF(AND($C363="売",MOD($F363*IF($C363="売",1-V811設定!$B$4,1+V811設定!$B$4),IF($F363&lt;=3000,1,IF($F363&lt;=5000,5,IF($F363&lt;=30000,10,IF($F363&lt;=50000,50,IF($F363&lt;=300000,100,500))))))&gt;0),IF($F363&lt;=3000,1,IF($F363&lt;=5000,5,IF($F363&lt;=30000,10,IF($F363&lt;=50000,50,IF($F363&lt;=300000,100,500))))),0))</f>
      </c>
      <c r="N363" s="599" t="str">
        <f>IF($F363="","",$F363*IF($C363="売",1+V811設定!$B$3,1-V811設定!$B$3)-MOD($F363*IF($C363="売",1+V811設定!$B$3,1-V811設定!$B$3),IF($F363&lt;=3000,1,IF($F363&lt;=5000,5,IF($F363&lt;=30000,10,IF($F363&lt;=50000,50,IF($F363&lt;=300000,100,500))))))+IF(AND($C363="売",MOD($F363*IF($C363="売",1+V811設定!$B$3,1-V811設定!$B$3),IF($F363&lt;=3000,1,IF($F363&lt;=5000,5,IF($F363&lt;=30000,10,IF($F363&lt;=50000,50,IF($F363&lt;=300000,100,500))))))&gt;0),IF($F363&lt;=3000,1,IF($F363&lt;=5000,5,IF($F363&lt;=30000,10,IF($F363&lt;=50000,50,IF($F363&lt;=300000,100,500))))),0))</f>
      </c>
      <c r="O363" s="478" t="str">
        <f>IF(OR($B363="",$F363="",$H363=""),"",IF($S363="✅売却済","―決済済―",IF($C363="売",IF($H363&lt;=$M363,"🟢利確",IF(AND($R363&lt;&gt;"",$H363&gt;=$R363),"🟠TRAIL",IF($H363&gt;=$N363,"🔴損切",IF($W363&gt;=V811設定!$B$6,"⏱時間決済",IF($H363&gt;=$F363*(1+V811設定!$B$3*0.7),"⚠️損切接近","保持継続"))))),IF($H363&gt;=$M363,"🟢利確",IF(AND($R363&lt;&gt;"",$H363&lt;=$R363),"🟠TRAIL",IF($H363&lt;=$N363,"🔴損切",IF($W363&gt;=V811設定!$B$6,"⏱時間決済",IF($H363&lt;=$F363*(1-V811設定!$B$3*0.7),"⚠️損切接近","保持継続"))))))))</f>
      </c>
      <c r="P363" s="445"/>
      <c r="R363" s="440" t="str">
        <f>IF(OR($F363="",$H363="",$N363=""),"",IF($S363="✅売却済","",IF($C363="売",IF($H363&gt;$F363*(1-V811設定!$B$3),$N363,MIN($N363,IF($Q363="",$N363,$Q363*1.03))),IF($H363&lt;$F363*(1+V811設定!$B$3),$N363,MAX($N363,IF($P363="",$N363,$P363*0.97))))))</f>
      </c>
      <c r="S363" s="440" t="str">
        <f>IF(B363="","",IF(T363&lt;&gt;"","✅売却済",IF(OR(H363="",L363=""),"📌保有中",IF(L363&gt;=0.06,"🟢利確推奨",IF(L363&gt;=0.05,"🟡利確直近",IF(L363&gt;=0.045,"🔵トレーリング検討",IF(L363&gt;-0.03,"📌保有中",IF(L363&gt;-0.04,"⚠️損切注意","🔴損切り"))))))))</f>
        <v/>
      </c>
      <c r="T363" s="597"/>
      <c r="U363" s="599"/>
      <c r="V363" s="704" t="str">
        <f>IF(OR(F363="",G363="",U363=""),"",IF(C363="売",(F363-U363)*G363,(U363-F363)*G363))</f>
        <v/>
      </c>
      <c r="W363" s="440" t="str">
        <f>IF(OR($E363="",$B363=""),"",IF($T363&lt;&gt;"",$T363-$E363,TODAY()-$E363)+1)</f>
        <v/>
      </c>
      <c r="X363" s="440" t="str">
        <f>IF(OR($AH363="",$AH363="保有中"),"",$AH363)</f>
        <v/>
      </c>
      <c r="AD363" s="608"/>
      <c r="AE363" s="600" t="str">
        <f>IF($E363="","",WORKDAY($E363,12))</f>
        <v/>
      </c>
      <c r="AF363" s="600" t="str" cm="1">
        <f t="array" aca="1" ref="AF363" ca="1">IF(OR($B363="",$M363=""),"",IFERROR(IF($C363="売",_xlfn.MINIFS(安値!$E$3:$IT$3,安値!$E$3:$IT$3,"&gt;"&amp;$E363,安値!$E$3:$IT$3,"&lt;="&amp;$AE363,OFFSET(安値!$E$6:$IT$6,MATCH(TEXT($B363,"0"),TEXT(銘柄管理!$B$6:$B$305,"0"),0)-1,0),"&lt;="&amp;$M363),_xlfn.MINIFS(高値!$E$3:$IT$3,高値!$E$3:$IT$3,"&gt;"&amp;$E363,高値!$E$3:$IT$3,"&lt;="&amp;$AE363,OFFSET(高値!$E$6:$IT$6,MATCH(TEXT($B363,"0"),TEXT(銘柄管理!$B$6:$B$305,"0"),0)-1,0),"&gt;="&amp;$M363)),""))</f>
        <v/>
      </c>
      <c r="AG363" s="600" t="str" cm="1">
        <f t="array" aca="1" ref="AG363" ca="1">IF(OR($B363="",$N363=""),"",IFERROR(IF($C363="売",_xlfn.MINIFS(高値!$E$3:$IT$3,高値!$E$3:$IT$3,"&gt;"&amp;$E363,高値!$E$3:$IT$3,"&lt;="&amp;$AE363,OFFSET(高値!$E$6:$IT$6,MATCH(TEXT($B363,"0"),TEXT(銘柄管理!$B$6:$B$305,"0"),0)-1,0),"&gt;="&amp;$N363),_xlfn.MINIFS(安値!$E$3:$IT$3,安値!$E$3:$IT$3,"&gt;"&amp;$E363,安値!$E$3:$IT$3,"&lt;="&amp;$AE363,OFFSET(安値!$E$6:$IT$6,MATCH(TEXT($B363,"0"),TEXT(銘柄管理!$B$6:$B$305,"0"),0)-1,0),"&lt;="&amp;$N363)),""))</f>
        <v/>
      </c>
      <c r="AH363" s="600" t="str">
        <f>IF(OR($B363="",$M363=""),"",IF(AND(N($AF363)=0,N($AG363)=0),IF(AND(ISNUMBER($H363),$H363&gt;0,IF($C363="売",$H363&gt;=$N363,$H363&lt;=$N363)),"損切確定",IF(AND(ISNUMBER($H363),$H363&gt;0,IF($C363="売",$H363&lt;=$M363,$H363&gt;=$M363)),"利益確定",IF($AE363&lt;=TODAY(),"日数制限","保有中"))),IF(N($AG363)=0,"利益確定",IF(N($AF363)=0,"損切確定",IF($AG363&lt;=$AF363,"損切確定","利益確定")))))</f>
        <v/>
      </c>
      <c r="AI363" s="600" t="str" cm="1">
        <f t="array" ref="AI363">IFERROR(INDEX(始値!$E$6:$IT$305,MATCH(TEXT($B363,"0"),TEXT(銘柄管理!$B$6:$B$305,"0"),0),MATCH($AE363,始値!$E$3:$IT$3,0)),"")</f>
        <v/>
      </c>
      <c r="AJ363" s="608" t="str">
        <f>IF(OR($V363="",$F363="",$G363=""),"",$V363/($F363*$G363))</f>
        <v/>
      </c>
      <c r="AK363" s="600" t="str">
        <f>IF($V363="","",IF($V363&gt;0,"○勝",IF($V363&lt;0,"●負","△引分")))</f>
        <v/>
      </c>
    </row>
    <row r="364" spans="1:37" ht="17.25" customHeight="1">
      <c r="A364" s="622" t="str">
        <f>IF(B364="","",HYPERLINK("https://kabutan.jp/stock/?code="&amp;B364,"株探"))</f>
        <v/>
      </c>
      <c r="D364" s="440" t="str" cm="1">
        <f t="array" ref="D364">_xll.RssMarket(B364, "銘柄名称")</f>
        <v/>
      </c>
      <c r="E364" s="717"/>
      <c r="F364" s="698" t="str" cm="1">
        <f t="array" aca="1" ref="F364" ca="1">IFERROR(_xlfn.LET(_xlpm.r,MATCH(TEXT($B364,"0"),TEXT(銘柄管理!$B$6:$B$305,"0"),0),_xlpm.t,MOD(NOW(),1),_xlpm.c,IF($E364=TODAY(),IF(_xlpm.t&gt;=TIME(15,30,0),NA(),1),IF(MATCH($E364,始値!$E$3:$IT$3,0)=1,1,MATCH($E364,始値!$E$3:$IT$3,0)+1)),_xlpm.v,INDEX(始値!$C$6:$IT$305,_xlpm.r,_xlpm.c),IF(N(_xlpm.v)=0,"",_xlpm.v)),"")</f>
        <v/>
      </c>
      <c r="H364" s="440" t="str" cm="1">
        <f t="array" ref="H364">_xll.RssMarket(B364, "現在値")</f>
        <v/>
      </c>
      <c r="I364" s="440" t="str" cm="1">
        <f t="array" ref="I364">_xll.RssMarket(B364, "出来高加重平均")</f>
        <v/>
      </c>
      <c r="J364" s="704" t="str" cm="1">
        <f t="array" ref="J364">_xll.RssMarket($B364, "前日比")</f>
        <v/>
      </c>
      <c r="K364" s="704" t="str">
        <f>IF(OR(F364="",G364="",H364=""),"",IF(C364="売",(F364-H364)*G364,(H364-F364)*G364))</f>
        <v/>
      </c>
      <c r="L364" s="709" t="str">
        <f>IF(OR(F364="",H364=""),"",IF(C364="売",(F364-H364)/F364,(H364-F364)/F364))</f>
        <v/>
      </c>
      <c r="M364" s="599" t="str">
        <f>IF($F364="","",$F364*IF($C364="売",1-V811設定!$B$4,1+V811設定!$B$4)-MOD($F364*IF($C364="売",1-V811設定!$B$4,1+V811設定!$B$4),IF($F364&lt;=3000,1,IF($F364&lt;=5000,5,IF($F364&lt;=30000,10,IF($F364&lt;=50000,50,IF($F364&lt;=300000,100,500))))))+IF(AND($C364="売",MOD($F364*IF($C364="売",1-V811設定!$B$4,1+V811設定!$B$4),IF($F364&lt;=3000,1,IF($F364&lt;=5000,5,IF($F364&lt;=30000,10,IF($F364&lt;=50000,50,IF($F364&lt;=300000,100,500))))))&gt;0),IF($F364&lt;=3000,1,IF($F364&lt;=5000,5,IF($F364&lt;=30000,10,IF($F364&lt;=50000,50,IF($F364&lt;=300000,100,500))))),0))</f>
      </c>
      <c r="N364" s="599" t="str">
        <f>IF($F364="","",$F364*IF($C364="売",1+V811設定!$B$3,1-V811設定!$B$3)-MOD($F364*IF($C364="売",1+V811設定!$B$3,1-V811設定!$B$3),IF($F364&lt;=3000,1,IF($F364&lt;=5000,5,IF($F364&lt;=30000,10,IF($F364&lt;=50000,50,IF($F364&lt;=300000,100,500))))))+IF(AND($C364="売",MOD($F364*IF($C364="売",1+V811設定!$B$3,1-V811設定!$B$3),IF($F364&lt;=3000,1,IF($F364&lt;=5000,5,IF($F364&lt;=30000,10,IF($F364&lt;=50000,50,IF($F364&lt;=300000,100,500))))))&gt;0),IF($F364&lt;=3000,1,IF($F364&lt;=5000,5,IF($F364&lt;=30000,10,IF($F364&lt;=50000,50,IF($F364&lt;=300000,100,500))))),0))</f>
      </c>
      <c r="O364" s="478" t="str">
        <f>IF(OR($B364="",$F364="",$H364=""),"",IF($S364="✅売却済","―決済済―",IF($C364="売",IF($H364&lt;=$M364,"🟢利確",IF(AND($R364&lt;&gt;"",$H364&gt;=$R364),"🟠TRAIL",IF($H364&gt;=$N364,"🔴損切",IF($W364&gt;=V811設定!$B$6,"⏱時間決済",IF($H364&gt;=$F364*(1+V811設定!$B$3*0.7),"⚠️損切接近","保持継続"))))),IF($H364&gt;=$M364,"🟢利確",IF(AND($R364&lt;&gt;"",$H364&lt;=$R364),"🟠TRAIL",IF($H364&lt;=$N364,"🔴損切",IF($W364&gt;=V811設定!$B$6,"⏱時間決済",IF($H364&lt;=$F364*(1-V811設定!$B$3*0.7),"⚠️損切接近","保持継続"))))))))</f>
      </c>
      <c r="P364" s="445"/>
      <c r="R364" s="440" t="str">
        <f>IF(OR($F364="",$H364="",$N364=""),"",IF($S364="✅売却済","",IF($C364="売",IF($H364&gt;$F364*(1-V811設定!$B$3),$N364,MIN($N364,IF($Q364="",$N364,$Q364*1.03))),IF($H364&lt;$F364*(1+V811設定!$B$3),$N364,MAX($N364,IF($P364="",$N364,$P364*0.97))))))</f>
      </c>
      <c r="S364" s="440" t="str">
        <f>IF(B364="","",IF(T364&lt;&gt;"","✅売却済",IF(OR(H364="",L364=""),"📌保有中",IF(L364&gt;=0.06,"🟢利確推奨",IF(L364&gt;=0.05,"🟡利確直近",IF(L364&gt;=0.045,"🔵トレーリング検討",IF(L364&gt;-0.03,"📌保有中",IF(L364&gt;-0.04,"⚠️損切注意","🔴損切り"))))))))</f>
        <v/>
      </c>
      <c r="T364" s="597"/>
      <c r="U364" s="599"/>
      <c r="V364" s="704" t="str">
        <f>IF(OR(F364="",G364="",U364=""),"",IF(C364="売",(F364-U364)*G364,(U364-F364)*G364))</f>
        <v/>
      </c>
      <c r="W364" s="440" t="str">
        <f>IF(OR($E364="",$B364=""),"",IF($T364&lt;&gt;"",$T364-$E364,TODAY()-$E364)+1)</f>
        <v/>
      </c>
      <c r="X364" s="440" t="str">
        <f>IF(OR($AH364="",$AH364="保有中"),"",$AH364)</f>
        <v/>
      </c>
      <c r="AD364" s="608"/>
      <c r="AE364" s="600" t="str">
        <f>IF($E364="","",WORKDAY($E364,12))</f>
        <v/>
      </c>
      <c r="AF364" s="600" t="str" cm="1">
        <f t="array" aca="1" ref="AF364" ca="1">IF(OR($B364="",$M364=""),"",IFERROR(IF($C364="売",_xlfn.MINIFS(安値!$E$3:$IT$3,安値!$E$3:$IT$3,"&gt;"&amp;$E364,安値!$E$3:$IT$3,"&lt;="&amp;$AE364,OFFSET(安値!$E$6:$IT$6,MATCH(TEXT($B364,"0"),TEXT(銘柄管理!$B$6:$B$305,"0"),0)-1,0),"&lt;="&amp;$M364),_xlfn.MINIFS(高値!$E$3:$IT$3,高値!$E$3:$IT$3,"&gt;"&amp;$E364,高値!$E$3:$IT$3,"&lt;="&amp;$AE364,OFFSET(高値!$E$6:$IT$6,MATCH(TEXT($B364,"0"),TEXT(銘柄管理!$B$6:$B$305,"0"),0)-1,0),"&gt;="&amp;$M364)),""))</f>
        <v/>
      </c>
      <c r="AG364" s="600" t="str" cm="1">
        <f t="array" aca="1" ref="AG364" ca="1">IF(OR($B364="",$N364=""),"",IFERROR(IF($C364="売",_xlfn.MINIFS(高値!$E$3:$IT$3,高値!$E$3:$IT$3,"&gt;"&amp;$E364,高値!$E$3:$IT$3,"&lt;="&amp;$AE364,OFFSET(高値!$E$6:$IT$6,MATCH(TEXT($B364,"0"),TEXT(銘柄管理!$B$6:$B$305,"0"),0)-1,0),"&gt;="&amp;$N364),_xlfn.MINIFS(安値!$E$3:$IT$3,安値!$E$3:$IT$3,"&gt;"&amp;$E364,安値!$E$3:$IT$3,"&lt;="&amp;$AE364,OFFSET(安値!$E$6:$IT$6,MATCH(TEXT($B364,"0"),TEXT(銘柄管理!$B$6:$B$305,"0"),0)-1,0),"&lt;="&amp;$N364)),""))</f>
        <v/>
      </c>
      <c r="AH364" s="600" t="str">
        <f>IF(OR($B364="",$M364=""),"",IF(AND(N($AF364)=0,N($AG364)=0),IF(AND(ISNUMBER($H364),$H364&gt;0,IF($C364="売",$H364&gt;=$N364,$H364&lt;=$N364)),"損切確定",IF(AND(ISNUMBER($H364),$H364&gt;0,IF($C364="売",$H364&lt;=$M364,$H364&gt;=$M364)),"利益確定",IF($AE364&lt;=TODAY(),"日数制限","保有中"))),IF(N($AG364)=0,"利益確定",IF(N($AF364)=0,"損切確定",IF($AG364&lt;=$AF364,"損切確定","利益確定")))))</f>
        <v/>
      </c>
      <c r="AI364" s="600" t="str" cm="1">
        <f t="array" ref="AI364">IFERROR(INDEX(始値!$E$6:$IT$305,MATCH(TEXT($B364,"0"),TEXT(銘柄管理!$B$6:$B$305,"0"),0),MATCH($AE364,始値!$E$3:$IT$3,0)),"")</f>
        <v/>
      </c>
      <c r="AJ364" s="608" t="str">
        <f>IF(OR($V364="",$F364="",$G364=""),"",$V364/($F364*$G364))</f>
        <v/>
      </c>
      <c r="AK364" s="600" t="str">
        <f>IF($V364="","",IF($V364&gt;0,"○勝",IF($V364&lt;0,"●負","△引分")))</f>
        <v/>
      </c>
    </row>
    <row r="365" spans="1:37" ht="17.25" customHeight="1">
      <c r="A365" s="622" t="str">
        <f>IF(B365="","",HYPERLINK("https://kabutan.jp/stock/?code="&amp;B365,"株探"))</f>
        <v/>
      </c>
      <c r="D365" s="440" t="str" cm="1">
        <f t="array" ref="D365">_xll.RssMarket(B365, "銘柄名称")</f>
        <v/>
      </c>
      <c r="E365" s="717"/>
      <c r="F365" s="698" t="str" cm="1">
        <f t="array" aca="1" ref="F365" ca="1">IFERROR(_xlfn.LET(_xlpm.r,MATCH(TEXT($B365,"0"),TEXT(銘柄管理!$B$6:$B$305,"0"),0),_xlpm.t,MOD(NOW(),1),_xlpm.c,IF($E365=TODAY(),IF(_xlpm.t&gt;=TIME(15,30,0),NA(),1),IF(MATCH($E365,始値!$E$3:$IT$3,0)=1,1,MATCH($E365,始値!$E$3:$IT$3,0)+1)),_xlpm.v,INDEX(始値!$C$6:$IT$305,_xlpm.r,_xlpm.c),IF(N(_xlpm.v)=0,"",_xlpm.v)),"")</f>
        <v/>
      </c>
      <c r="H365" s="440" t="str" cm="1">
        <f t="array" ref="H365">_xll.RssMarket(B365, "現在値")</f>
        <v/>
      </c>
      <c r="I365" s="440" t="str" cm="1">
        <f t="array" ref="I365">_xll.RssMarket(B365, "出来高加重平均")</f>
        <v/>
      </c>
      <c r="J365" s="704" t="str" cm="1">
        <f t="array" ref="J365">_xll.RssMarket($B365, "前日比")</f>
        <v/>
      </c>
      <c r="K365" s="704" t="str">
        <f>IF(OR(F365="",G365="",H365=""),"",IF(C365="売",(F365-H365)*G365,(H365-F365)*G365))</f>
        <v/>
      </c>
      <c r="L365" s="709" t="str">
        <f>IF(OR(F365="",H365=""),"",IF(C365="売",(F365-H365)/F365,(H365-F365)/F365))</f>
        <v/>
      </c>
      <c r="M365" s="599" t="str">
        <f>IF($F365="","",$F365*IF($C365="売",1-V811設定!$B$4,1+V811設定!$B$4)-MOD($F365*IF($C365="売",1-V811設定!$B$4,1+V811設定!$B$4),IF($F365&lt;=3000,1,IF($F365&lt;=5000,5,IF($F365&lt;=30000,10,IF($F365&lt;=50000,50,IF($F365&lt;=300000,100,500))))))+IF(AND($C365="売",MOD($F365*IF($C365="売",1-V811設定!$B$4,1+V811設定!$B$4),IF($F365&lt;=3000,1,IF($F365&lt;=5000,5,IF($F365&lt;=30000,10,IF($F365&lt;=50000,50,IF($F365&lt;=300000,100,500))))))&gt;0),IF($F365&lt;=3000,1,IF($F365&lt;=5000,5,IF($F365&lt;=30000,10,IF($F365&lt;=50000,50,IF($F365&lt;=300000,100,500))))),0))</f>
      </c>
      <c r="N365" s="599" t="str">
        <f>IF($F365="","",$F365*IF($C365="売",1+V811設定!$B$3,1-V811設定!$B$3)-MOD($F365*IF($C365="売",1+V811設定!$B$3,1-V811設定!$B$3),IF($F365&lt;=3000,1,IF($F365&lt;=5000,5,IF($F365&lt;=30000,10,IF($F365&lt;=50000,50,IF($F365&lt;=300000,100,500))))))+IF(AND($C365="売",MOD($F365*IF($C365="売",1+V811設定!$B$3,1-V811設定!$B$3),IF($F365&lt;=3000,1,IF($F365&lt;=5000,5,IF($F365&lt;=30000,10,IF($F365&lt;=50000,50,IF($F365&lt;=300000,100,500))))))&gt;0),IF($F365&lt;=3000,1,IF($F365&lt;=5000,5,IF($F365&lt;=30000,10,IF($F365&lt;=50000,50,IF($F365&lt;=300000,100,500))))),0))</f>
      </c>
      <c r="O365" s="478" t="str">
        <f>IF(OR($B365="",$F365="",$H365=""),"",IF($S365="✅売却済","―決済済―",IF($C365="売",IF($H365&lt;=$M365,"🟢利確",IF(AND($R365&lt;&gt;"",$H365&gt;=$R365),"🟠TRAIL",IF($H365&gt;=$N365,"🔴損切",IF($W365&gt;=V811設定!$B$6,"⏱時間決済",IF($H365&gt;=$F365*(1+V811設定!$B$3*0.7),"⚠️損切接近","保持継続"))))),IF($H365&gt;=$M365,"🟢利確",IF(AND($R365&lt;&gt;"",$H365&lt;=$R365),"🟠TRAIL",IF($H365&lt;=$N365,"🔴損切",IF($W365&gt;=V811設定!$B$6,"⏱時間決済",IF($H365&lt;=$F365*(1-V811設定!$B$3*0.7),"⚠️損切接近","保持継続"))))))))</f>
      </c>
      <c r="P365" s="445"/>
      <c r="R365" s="440" t="str">
        <f>IF(OR($F365="",$H365="",$N365=""),"",IF($S365="✅売却済","",IF($C365="売",IF($H365&gt;$F365*(1-V811設定!$B$3),$N365,MIN($N365,IF($Q365="",$N365,$Q365*1.03))),IF($H365&lt;$F365*(1+V811設定!$B$3),$N365,MAX($N365,IF($P365="",$N365,$P365*0.97))))))</f>
      </c>
      <c r="S365" s="440" t="str">
        <f>IF(B365="","",IF(T365&lt;&gt;"","✅売却済",IF(OR(H365="",L365=""),"📌保有中",IF(L365&gt;=0.06,"🟢利確推奨",IF(L365&gt;=0.05,"🟡利確直近",IF(L365&gt;=0.045,"🔵トレーリング検討",IF(L365&gt;-0.03,"📌保有中",IF(L365&gt;-0.04,"⚠️損切注意","🔴損切り"))))))))</f>
        <v/>
      </c>
      <c r="T365" s="597"/>
      <c r="U365" s="599"/>
      <c r="V365" s="704" t="str">
        <f>IF(OR(F365="",G365="",U365=""),"",IF(C365="売",(F365-U365)*G365,(U365-F365)*G365))</f>
        <v/>
      </c>
      <c r="W365" s="440" t="str">
        <f>IF(OR($E365="",$B365=""),"",IF($T365&lt;&gt;"",$T365-$E365,TODAY()-$E365)+1)</f>
        <v/>
      </c>
      <c r="X365" s="440" t="str">
        <f>IF(OR($AH365="",$AH365="保有中"),"",$AH365)</f>
        <v/>
      </c>
      <c r="AD365" s="608"/>
      <c r="AE365" s="600" t="str">
        <f>IF($E365="","",WORKDAY($E365,12))</f>
        <v/>
      </c>
      <c r="AF365" s="600" t="str" cm="1">
        <f t="array" aca="1" ref="AF365" ca="1">IF(OR($B365="",$M365=""),"",IFERROR(IF($C365="売",_xlfn.MINIFS(安値!$E$3:$IT$3,安値!$E$3:$IT$3,"&gt;"&amp;$E365,安値!$E$3:$IT$3,"&lt;="&amp;$AE365,OFFSET(安値!$E$6:$IT$6,MATCH(TEXT($B365,"0"),TEXT(銘柄管理!$B$6:$B$305,"0"),0)-1,0),"&lt;="&amp;$M365),_xlfn.MINIFS(高値!$E$3:$IT$3,高値!$E$3:$IT$3,"&gt;"&amp;$E365,高値!$E$3:$IT$3,"&lt;="&amp;$AE365,OFFSET(高値!$E$6:$IT$6,MATCH(TEXT($B365,"0"),TEXT(銘柄管理!$B$6:$B$305,"0"),0)-1,0),"&gt;="&amp;$M365)),""))</f>
        <v/>
      </c>
      <c r="AG365" s="600" t="str" cm="1">
        <f t="array" aca="1" ref="AG365" ca="1">IF(OR($B365="",$N365=""),"",IFERROR(IF($C365="売",_xlfn.MINIFS(高値!$E$3:$IT$3,高値!$E$3:$IT$3,"&gt;"&amp;$E365,高値!$E$3:$IT$3,"&lt;="&amp;$AE365,OFFSET(高値!$E$6:$IT$6,MATCH(TEXT($B365,"0"),TEXT(銘柄管理!$B$6:$B$305,"0"),0)-1,0),"&gt;="&amp;$N365),_xlfn.MINIFS(安値!$E$3:$IT$3,安値!$E$3:$IT$3,"&gt;"&amp;$E365,安値!$E$3:$IT$3,"&lt;="&amp;$AE365,OFFSET(安値!$E$6:$IT$6,MATCH(TEXT($B365,"0"),TEXT(銘柄管理!$B$6:$B$305,"0"),0)-1,0),"&lt;="&amp;$N365)),""))</f>
        <v/>
      </c>
      <c r="AH365" s="600" t="str">
        <f>IF(OR($B365="",$M365=""),"",IF(AND(N($AF365)=0,N($AG365)=0),IF(AND(ISNUMBER($H365),$H365&gt;0,IF($C365="売",$H365&gt;=$N365,$H365&lt;=$N365)),"損切確定",IF(AND(ISNUMBER($H365),$H365&gt;0,IF($C365="売",$H365&lt;=$M365,$H365&gt;=$M365)),"利益確定",IF($AE365&lt;=TODAY(),"日数制限","保有中"))),IF(N($AG365)=0,"利益確定",IF(N($AF365)=0,"損切確定",IF($AG365&lt;=$AF365,"損切確定","利益確定")))))</f>
        <v/>
      </c>
      <c r="AI365" s="600" t="str" cm="1">
        <f t="array" ref="AI365">IFERROR(INDEX(始値!$E$6:$IT$305,MATCH(TEXT($B365,"0"),TEXT(銘柄管理!$B$6:$B$305,"0"),0),MATCH($AE365,始値!$E$3:$IT$3,0)),"")</f>
        <v/>
      </c>
      <c r="AJ365" s="608" t="str">
        <f>IF(OR($V365="",$F365="",$G365=""),"",$V365/($F365*$G365))</f>
        <v/>
      </c>
      <c r="AK365" s="600" t="str">
        <f>IF($V365="","",IF($V365&gt;0,"○勝",IF($V365&lt;0,"●負","△引分")))</f>
        <v/>
      </c>
    </row>
    <row r="366" spans="1:37" ht="17.25" customHeight="1">
      <c r="A366" s="622" t="str">
        <f>IF(B366="","",HYPERLINK("https://kabutan.jp/stock/?code="&amp;B366,"株探"))</f>
        <v/>
      </c>
      <c r="D366" s="440" t="str" cm="1">
        <f t="array" ref="D366">_xll.RssMarket(B366, "銘柄名称")</f>
        <v/>
      </c>
      <c r="E366" s="717"/>
      <c r="F366" s="698" t="str" cm="1">
        <f t="array" aca="1" ref="F366" ca="1">IFERROR(_xlfn.LET(_xlpm.r,MATCH(TEXT($B366,"0"),TEXT(銘柄管理!$B$6:$B$305,"0"),0),_xlpm.t,MOD(NOW(),1),_xlpm.c,IF($E366=TODAY(),IF(_xlpm.t&gt;=TIME(15,30,0),NA(),1),IF(MATCH($E366,始値!$E$3:$IT$3,0)=1,1,MATCH($E366,始値!$E$3:$IT$3,0)+1)),_xlpm.v,INDEX(始値!$C$6:$IT$305,_xlpm.r,_xlpm.c),IF(N(_xlpm.v)=0,"",_xlpm.v)),"")</f>
        <v/>
      </c>
      <c r="H366" s="440" t="str" cm="1">
        <f t="array" ref="H366">_xll.RssMarket(B366, "現在値")</f>
        <v/>
      </c>
      <c r="I366" s="440" t="str" cm="1">
        <f t="array" ref="I366">_xll.RssMarket(B366, "出来高加重平均")</f>
        <v/>
      </c>
      <c r="J366" s="704" t="str" cm="1">
        <f t="array" ref="J366">_xll.RssMarket($B366, "前日比")</f>
        <v/>
      </c>
      <c r="K366" s="704" t="str">
        <f>IF(OR(F366="",G366="",H366=""),"",IF(C366="売",(F366-H366)*G366,(H366-F366)*G366))</f>
        <v/>
      </c>
      <c r="L366" s="709" t="str">
        <f>IF(OR(F366="",H366=""),"",IF(C366="売",(F366-H366)/F366,(H366-F366)/F366))</f>
        <v/>
      </c>
      <c r="M366" s="599" t="str">
        <f>IF($F366="","",$F366*IF($C366="売",1-V811設定!$B$4,1+V811設定!$B$4)-MOD($F366*IF($C366="売",1-V811設定!$B$4,1+V811設定!$B$4),IF($F366&lt;=3000,1,IF($F366&lt;=5000,5,IF($F366&lt;=30000,10,IF($F366&lt;=50000,50,IF($F366&lt;=300000,100,500))))))+IF(AND($C366="売",MOD($F366*IF($C366="売",1-V811設定!$B$4,1+V811設定!$B$4),IF($F366&lt;=3000,1,IF($F366&lt;=5000,5,IF($F366&lt;=30000,10,IF($F366&lt;=50000,50,IF($F366&lt;=300000,100,500))))))&gt;0),IF($F366&lt;=3000,1,IF($F366&lt;=5000,5,IF($F366&lt;=30000,10,IF($F366&lt;=50000,50,IF($F366&lt;=300000,100,500))))),0))</f>
      </c>
      <c r="N366" s="599" t="str">
        <f>IF($F366="","",$F366*IF($C366="売",1+V811設定!$B$3,1-V811設定!$B$3)-MOD($F366*IF($C366="売",1+V811設定!$B$3,1-V811設定!$B$3),IF($F366&lt;=3000,1,IF($F366&lt;=5000,5,IF($F366&lt;=30000,10,IF($F366&lt;=50000,50,IF($F366&lt;=300000,100,500))))))+IF(AND($C366="売",MOD($F366*IF($C366="売",1+V811設定!$B$3,1-V811設定!$B$3),IF($F366&lt;=3000,1,IF($F366&lt;=5000,5,IF($F366&lt;=30000,10,IF($F366&lt;=50000,50,IF($F366&lt;=300000,100,500))))))&gt;0),IF($F366&lt;=3000,1,IF($F366&lt;=5000,5,IF($F366&lt;=30000,10,IF($F366&lt;=50000,50,IF($F366&lt;=300000,100,500))))),0))</f>
      </c>
      <c r="O366" s="478" t="str">
        <f>IF(OR($B366="",$F366="",$H366=""),"",IF($S366="✅売却済","―決済済―",IF($C366="売",IF($H366&lt;=$M366,"🟢利確",IF(AND($R366&lt;&gt;"",$H366&gt;=$R366),"🟠TRAIL",IF($H366&gt;=$N366,"🔴損切",IF($W366&gt;=V811設定!$B$6,"⏱時間決済",IF($H366&gt;=$F366*(1+V811設定!$B$3*0.7),"⚠️損切接近","保持継続"))))),IF($H366&gt;=$M366,"🟢利確",IF(AND($R366&lt;&gt;"",$H366&lt;=$R366),"🟠TRAIL",IF($H366&lt;=$N366,"🔴損切",IF($W366&gt;=V811設定!$B$6,"⏱時間決済",IF($H366&lt;=$F366*(1-V811設定!$B$3*0.7),"⚠️損切接近","保持継続"))))))))</f>
      </c>
      <c r="P366" s="445"/>
      <c r="R366" s="440" t="str">
        <f>IF(OR($F366="",$H366="",$N366=""),"",IF($S366="✅売却済","",IF($C366="売",IF($H366&gt;$F366*(1-V811設定!$B$3),$N366,MIN($N366,IF($Q366="",$N366,$Q366*1.03))),IF($H366&lt;$F366*(1+V811設定!$B$3),$N366,MAX($N366,IF($P366="",$N366,$P366*0.97))))))</f>
      </c>
      <c r="S366" s="440" t="str">
        <f>IF(B366="","",IF(T366&lt;&gt;"","✅売却済",IF(OR(H366="",L366=""),"📌保有中",IF(L366&gt;=0.06,"🟢利確推奨",IF(L366&gt;=0.05,"🟡利確直近",IF(L366&gt;=0.045,"🔵トレーリング検討",IF(L366&gt;-0.03,"📌保有中",IF(L366&gt;-0.04,"⚠️損切注意","🔴損切り"))))))))</f>
        <v/>
      </c>
      <c r="T366" s="597"/>
      <c r="U366" s="599"/>
      <c r="V366" s="704" t="str">
        <f>IF(OR(F366="",G366="",U366=""),"",IF(C366="売",(F366-U366)*G366,(U366-F366)*G366))</f>
        <v/>
      </c>
      <c r="W366" s="440" t="str">
        <f>IF(OR($E366="",$B366=""),"",IF($T366&lt;&gt;"",$T366-$E366,TODAY()-$E366)+1)</f>
        <v/>
      </c>
      <c r="X366" s="440" t="str">
        <f>IF(OR($AH366="",$AH366="保有中"),"",$AH366)</f>
        <v/>
      </c>
      <c r="AD366" s="608"/>
      <c r="AE366" s="600" t="str">
        <f>IF($E366="","",WORKDAY($E366,12))</f>
        <v/>
      </c>
      <c r="AF366" s="600" t="str" cm="1">
        <f t="array" aca="1" ref="AF366" ca="1">IF(OR($B366="",$M366=""),"",IFERROR(IF($C366="売",_xlfn.MINIFS(安値!$E$3:$IT$3,安値!$E$3:$IT$3,"&gt;"&amp;$E366,安値!$E$3:$IT$3,"&lt;="&amp;$AE366,OFFSET(安値!$E$6:$IT$6,MATCH(TEXT($B366,"0"),TEXT(銘柄管理!$B$6:$B$305,"0"),0)-1,0),"&lt;="&amp;$M366),_xlfn.MINIFS(高値!$E$3:$IT$3,高値!$E$3:$IT$3,"&gt;"&amp;$E366,高値!$E$3:$IT$3,"&lt;="&amp;$AE366,OFFSET(高値!$E$6:$IT$6,MATCH(TEXT($B366,"0"),TEXT(銘柄管理!$B$6:$B$305,"0"),0)-1,0),"&gt;="&amp;$M366)),""))</f>
        <v/>
      </c>
      <c r="AG366" s="600" t="str" cm="1">
        <f t="array" aca="1" ref="AG366" ca="1">IF(OR($B366="",$N366=""),"",IFERROR(IF($C366="売",_xlfn.MINIFS(高値!$E$3:$IT$3,高値!$E$3:$IT$3,"&gt;"&amp;$E366,高値!$E$3:$IT$3,"&lt;="&amp;$AE366,OFFSET(高値!$E$6:$IT$6,MATCH(TEXT($B366,"0"),TEXT(銘柄管理!$B$6:$B$305,"0"),0)-1,0),"&gt;="&amp;$N366),_xlfn.MINIFS(安値!$E$3:$IT$3,安値!$E$3:$IT$3,"&gt;"&amp;$E366,安値!$E$3:$IT$3,"&lt;="&amp;$AE366,OFFSET(安値!$E$6:$IT$6,MATCH(TEXT($B366,"0"),TEXT(銘柄管理!$B$6:$B$305,"0"),0)-1,0),"&lt;="&amp;$N366)),""))</f>
        <v/>
      </c>
      <c r="AH366" s="600" t="str">
        <f>IF(OR($B366="",$M366=""),"",IF(AND(N($AF366)=0,N($AG366)=0),IF(AND(ISNUMBER($H366),$H366&gt;0,IF($C366="売",$H366&gt;=$N366,$H366&lt;=$N366)),"損切確定",IF(AND(ISNUMBER($H366),$H366&gt;0,IF($C366="売",$H366&lt;=$M366,$H366&gt;=$M366)),"利益確定",IF($AE366&lt;=TODAY(),"日数制限","保有中"))),IF(N($AG366)=0,"利益確定",IF(N($AF366)=0,"損切確定",IF($AG366&lt;=$AF366,"損切確定","利益確定")))))</f>
        <v/>
      </c>
      <c r="AI366" s="600" t="str" cm="1">
        <f t="array" ref="AI366">IFERROR(INDEX(始値!$E$6:$IT$305,MATCH(TEXT($B366,"0"),TEXT(銘柄管理!$B$6:$B$305,"0"),0),MATCH($AE366,始値!$E$3:$IT$3,0)),"")</f>
        <v/>
      </c>
      <c r="AJ366" s="608" t="str">
        <f>IF(OR($V366="",$F366="",$G366=""),"",$V366/($F366*$G366))</f>
        <v/>
      </c>
      <c r="AK366" s="600" t="str">
        <f>IF($V366="","",IF($V366&gt;0,"○勝",IF($V366&lt;0,"●負","△引分")))</f>
        <v/>
      </c>
    </row>
    <row r="367" spans="1:37" ht="17.25" customHeight="1">
      <c r="A367" s="622" t="str">
        <f>IF(B367="","",HYPERLINK("https://kabutan.jp/stock/?code="&amp;B367,"株探"))</f>
        <v/>
      </c>
      <c r="D367" s="440" t="str" cm="1">
        <f t="array" ref="D367">_xll.RssMarket(B367, "銘柄名称")</f>
        <v/>
      </c>
      <c r="E367" s="717"/>
      <c r="F367" s="698" t="str" cm="1">
        <f t="array" aca="1" ref="F367" ca="1">IFERROR(_xlfn.LET(_xlpm.r,MATCH(TEXT($B367,"0"),TEXT(銘柄管理!$B$6:$B$305,"0"),0),_xlpm.t,MOD(NOW(),1),_xlpm.c,IF($E367=TODAY(),IF(_xlpm.t&gt;=TIME(15,30,0),NA(),1),IF(MATCH($E367,始値!$E$3:$IT$3,0)=1,1,MATCH($E367,始値!$E$3:$IT$3,0)+1)),_xlpm.v,INDEX(始値!$C$6:$IT$305,_xlpm.r,_xlpm.c),IF(N(_xlpm.v)=0,"",_xlpm.v)),"")</f>
        <v/>
      </c>
      <c r="H367" s="440" t="str" cm="1">
        <f t="array" ref="H367">_xll.RssMarket(B367, "現在値")</f>
        <v/>
      </c>
      <c r="I367" s="440" t="str" cm="1">
        <f t="array" ref="I367">_xll.RssMarket(B367, "出来高加重平均")</f>
        <v/>
      </c>
      <c r="J367" s="704" t="str" cm="1">
        <f t="array" ref="J367">_xll.RssMarket($B367, "前日比")</f>
        <v/>
      </c>
      <c r="K367" s="704" t="str">
        <f>IF(OR(F367="",G367="",H367=""),"",IF(C367="売",(F367-H367)*G367,(H367-F367)*G367))</f>
        <v/>
      </c>
      <c r="L367" s="709" t="str">
        <f>IF(OR(F367="",H367=""),"",IF(C367="売",(F367-H367)/F367,(H367-F367)/F367))</f>
        <v/>
      </c>
      <c r="M367" s="599" t="str">
        <f>IF($F367="","",$F367*IF($C367="売",1-V811設定!$B$4,1+V811設定!$B$4)-MOD($F367*IF($C367="売",1-V811設定!$B$4,1+V811設定!$B$4),IF($F367&lt;=3000,1,IF($F367&lt;=5000,5,IF($F367&lt;=30000,10,IF($F367&lt;=50000,50,IF($F367&lt;=300000,100,500))))))+IF(AND($C367="売",MOD($F367*IF($C367="売",1-V811設定!$B$4,1+V811設定!$B$4),IF($F367&lt;=3000,1,IF($F367&lt;=5000,5,IF($F367&lt;=30000,10,IF($F367&lt;=50000,50,IF($F367&lt;=300000,100,500))))))&gt;0),IF($F367&lt;=3000,1,IF($F367&lt;=5000,5,IF($F367&lt;=30000,10,IF($F367&lt;=50000,50,IF($F367&lt;=300000,100,500))))),0))</f>
      </c>
      <c r="N367" s="599" t="str">
        <f>IF($F367="","",$F367*IF($C367="売",1+V811設定!$B$3,1-V811設定!$B$3)-MOD($F367*IF($C367="売",1+V811設定!$B$3,1-V811設定!$B$3),IF($F367&lt;=3000,1,IF($F367&lt;=5000,5,IF($F367&lt;=30000,10,IF($F367&lt;=50000,50,IF($F367&lt;=300000,100,500))))))+IF(AND($C367="売",MOD($F367*IF($C367="売",1+V811設定!$B$3,1-V811設定!$B$3),IF($F367&lt;=3000,1,IF($F367&lt;=5000,5,IF($F367&lt;=30000,10,IF($F367&lt;=50000,50,IF($F367&lt;=300000,100,500))))))&gt;0),IF($F367&lt;=3000,1,IF($F367&lt;=5000,5,IF($F367&lt;=30000,10,IF($F367&lt;=50000,50,IF($F367&lt;=300000,100,500))))),0))</f>
      </c>
      <c r="O367" s="478" t="str">
        <f>IF(OR($B367="",$F367="",$H367=""),"",IF($S367="✅売却済","―決済済―",IF($C367="売",IF($H367&lt;=$M367,"🟢利確",IF(AND($R367&lt;&gt;"",$H367&gt;=$R367),"🟠TRAIL",IF($H367&gt;=$N367,"🔴損切",IF($W367&gt;=V811設定!$B$6,"⏱時間決済",IF($H367&gt;=$F367*(1+V811設定!$B$3*0.7),"⚠️損切接近","保持継続"))))),IF($H367&gt;=$M367,"🟢利確",IF(AND($R367&lt;&gt;"",$H367&lt;=$R367),"🟠TRAIL",IF($H367&lt;=$N367,"🔴損切",IF($W367&gt;=V811設定!$B$6,"⏱時間決済",IF($H367&lt;=$F367*(1-V811設定!$B$3*0.7),"⚠️損切接近","保持継続"))))))))</f>
      </c>
      <c r="P367" s="445"/>
      <c r="R367" s="440" t="str">
        <f>IF(OR($F367="",$H367="",$N367=""),"",IF($S367="✅売却済","",IF($C367="売",IF($H367&gt;$F367*(1-V811設定!$B$3),$N367,MIN($N367,IF($Q367="",$N367,$Q367*1.03))),IF($H367&lt;$F367*(1+V811設定!$B$3),$N367,MAX($N367,IF($P367="",$N367,$P367*0.97))))))</f>
      </c>
      <c r="S367" s="440" t="str">
        <f>IF(B367="","",IF(T367&lt;&gt;"","✅売却済",IF(OR(H367="",L367=""),"📌保有中",IF(L367&gt;=0.06,"🟢利確推奨",IF(L367&gt;=0.05,"🟡利確直近",IF(L367&gt;=0.045,"🔵トレーリング検討",IF(L367&gt;-0.03,"📌保有中",IF(L367&gt;-0.04,"⚠️損切注意","🔴損切り"))))))))</f>
        <v/>
      </c>
      <c r="T367" s="597"/>
      <c r="U367" s="599"/>
      <c r="V367" s="704" t="str">
        <f>IF(OR(F367="",G367="",U367=""),"",IF(C367="売",(F367-U367)*G367,(U367-F367)*G367))</f>
        <v/>
      </c>
      <c r="W367" s="440" t="str">
        <f>IF(OR($E367="",$B367=""),"",IF($T367&lt;&gt;"",$T367-$E367,TODAY()-$E367)+1)</f>
        <v/>
      </c>
      <c r="X367" s="440" t="str">
        <f>IF(OR($AH367="",$AH367="保有中"),"",$AH367)</f>
        <v/>
      </c>
      <c r="AD367" s="608"/>
      <c r="AE367" s="600" t="str">
        <f>IF($E367="","",WORKDAY($E367,12))</f>
        <v/>
      </c>
      <c r="AF367" s="600" t="str" cm="1">
        <f t="array" aca="1" ref="AF367" ca="1">IF(OR($B367="",$M367=""),"",IFERROR(IF($C367="売",_xlfn.MINIFS(安値!$E$3:$IT$3,安値!$E$3:$IT$3,"&gt;"&amp;$E367,安値!$E$3:$IT$3,"&lt;="&amp;$AE367,OFFSET(安値!$E$6:$IT$6,MATCH(TEXT($B367,"0"),TEXT(銘柄管理!$B$6:$B$305,"0"),0)-1,0),"&lt;="&amp;$M367),_xlfn.MINIFS(高値!$E$3:$IT$3,高値!$E$3:$IT$3,"&gt;"&amp;$E367,高値!$E$3:$IT$3,"&lt;="&amp;$AE367,OFFSET(高値!$E$6:$IT$6,MATCH(TEXT($B367,"0"),TEXT(銘柄管理!$B$6:$B$305,"0"),0)-1,0),"&gt;="&amp;$M367)),""))</f>
        <v/>
      </c>
      <c r="AG367" s="600" t="str" cm="1">
        <f t="array" aca="1" ref="AG367" ca="1">IF(OR($B367="",$N367=""),"",IFERROR(IF($C367="売",_xlfn.MINIFS(高値!$E$3:$IT$3,高値!$E$3:$IT$3,"&gt;"&amp;$E367,高値!$E$3:$IT$3,"&lt;="&amp;$AE367,OFFSET(高値!$E$6:$IT$6,MATCH(TEXT($B367,"0"),TEXT(銘柄管理!$B$6:$B$305,"0"),0)-1,0),"&gt;="&amp;$N367),_xlfn.MINIFS(安値!$E$3:$IT$3,安値!$E$3:$IT$3,"&gt;"&amp;$E367,安値!$E$3:$IT$3,"&lt;="&amp;$AE367,OFFSET(安値!$E$6:$IT$6,MATCH(TEXT($B367,"0"),TEXT(銘柄管理!$B$6:$B$305,"0"),0)-1,0),"&lt;="&amp;$N367)),""))</f>
        <v/>
      </c>
      <c r="AH367" s="600" t="str">
        <f>IF(OR($B367="",$M367=""),"",IF(AND(N($AF367)=0,N($AG367)=0),IF(AND(ISNUMBER($H367),$H367&gt;0,IF($C367="売",$H367&gt;=$N367,$H367&lt;=$N367)),"損切確定",IF(AND(ISNUMBER($H367),$H367&gt;0,IF($C367="売",$H367&lt;=$M367,$H367&gt;=$M367)),"利益確定",IF($AE367&lt;=TODAY(),"日数制限","保有中"))),IF(N($AG367)=0,"利益確定",IF(N($AF367)=0,"損切確定",IF($AG367&lt;=$AF367,"損切確定","利益確定")))))</f>
        <v/>
      </c>
      <c r="AI367" s="600" t="str" cm="1">
        <f t="array" ref="AI367">IFERROR(INDEX(始値!$E$6:$IT$305,MATCH(TEXT($B367,"0"),TEXT(銘柄管理!$B$6:$B$305,"0"),0),MATCH($AE367,始値!$E$3:$IT$3,0)),"")</f>
        <v/>
      </c>
      <c r="AJ367" s="608" t="str">
        <f>IF(OR($V367="",$F367="",$G367=""),"",$V367/($F367*$G367))</f>
        <v/>
      </c>
      <c r="AK367" s="600" t="str">
        <f>IF($V367="","",IF($V367&gt;0,"○勝",IF($V367&lt;0,"●負","△引分")))</f>
        <v/>
      </c>
    </row>
    <row r="368" spans="1:37" ht="17.25" customHeight="1">
      <c r="A368" s="622" t="str">
        <f>IF(B368="","",HYPERLINK("https://kabutan.jp/stock/?code="&amp;B368,"株探"))</f>
        <v/>
      </c>
      <c r="D368" s="440" t="str" cm="1">
        <f t="array" ref="D368">_xll.RssMarket(B368, "銘柄名称")</f>
        <v/>
      </c>
      <c r="E368" s="717"/>
      <c r="F368" s="698" t="str" cm="1">
        <f t="array" aca="1" ref="F368" ca="1">IFERROR(_xlfn.LET(_xlpm.r,MATCH(TEXT($B368,"0"),TEXT(銘柄管理!$B$6:$B$305,"0"),0),_xlpm.t,MOD(NOW(),1),_xlpm.c,IF($E368=TODAY(),IF(_xlpm.t&gt;=TIME(15,30,0),NA(),1),IF(MATCH($E368,始値!$E$3:$IT$3,0)=1,1,MATCH($E368,始値!$E$3:$IT$3,0)+1)),_xlpm.v,INDEX(始値!$C$6:$IT$305,_xlpm.r,_xlpm.c),IF(N(_xlpm.v)=0,"",_xlpm.v)),"")</f>
        <v/>
      </c>
      <c r="H368" s="440" t="str" cm="1">
        <f t="array" ref="H368">_xll.RssMarket(B368, "現在値")</f>
        <v/>
      </c>
      <c r="I368" s="440" t="str" cm="1">
        <f t="array" ref="I368">_xll.RssMarket(B368, "出来高加重平均")</f>
        <v/>
      </c>
      <c r="J368" s="704" t="str" cm="1">
        <f t="array" ref="J368">_xll.RssMarket($B368, "前日比")</f>
        <v/>
      </c>
      <c r="K368" s="704" t="str">
        <f>IF(OR(F368="",G368="",H368=""),"",IF(C368="売",(F368-H368)*G368,(H368-F368)*G368))</f>
        <v/>
      </c>
      <c r="L368" s="709" t="str">
        <f>IF(OR(F368="",H368=""),"",IF(C368="売",(F368-H368)/F368,(H368-F368)/F368))</f>
        <v/>
      </c>
      <c r="M368" s="599" t="str">
        <f>IF($F368="","",$F368*IF($C368="売",1-V811設定!$B$4,1+V811設定!$B$4)-MOD($F368*IF($C368="売",1-V811設定!$B$4,1+V811設定!$B$4),IF($F368&lt;=3000,1,IF($F368&lt;=5000,5,IF($F368&lt;=30000,10,IF($F368&lt;=50000,50,IF($F368&lt;=300000,100,500))))))+IF(AND($C368="売",MOD($F368*IF($C368="売",1-V811設定!$B$4,1+V811設定!$B$4),IF($F368&lt;=3000,1,IF($F368&lt;=5000,5,IF($F368&lt;=30000,10,IF($F368&lt;=50000,50,IF($F368&lt;=300000,100,500))))))&gt;0),IF($F368&lt;=3000,1,IF($F368&lt;=5000,5,IF($F368&lt;=30000,10,IF($F368&lt;=50000,50,IF($F368&lt;=300000,100,500))))),0))</f>
      </c>
      <c r="N368" s="599" t="str">
        <f>IF($F368="","",$F368*IF($C368="売",1+V811設定!$B$3,1-V811設定!$B$3)-MOD($F368*IF($C368="売",1+V811設定!$B$3,1-V811設定!$B$3),IF($F368&lt;=3000,1,IF($F368&lt;=5000,5,IF($F368&lt;=30000,10,IF($F368&lt;=50000,50,IF($F368&lt;=300000,100,500))))))+IF(AND($C368="売",MOD($F368*IF($C368="売",1+V811設定!$B$3,1-V811設定!$B$3),IF($F368&lt;=3000,1,IF($F368&lt;=5000,5,IF($F368&lt;=30000,10,IF($F368&lt;=50000,50,IF($F368&lt;=300000,100,500))))))&gt;0),IF($F368&lt;=3000,1,IF($F368&lt;=5000,5,IF($F368&lt;=30000,10,IF($F368&lt;=50000,50,IF($F368&lt;=300000,100,500))))),0))</f>
      </c>
      <c r="O368" s="478" t="str">
        <f>IF(OR($B368="",$F368="",$H368=""),"",IF($S368="✅売却済","―決済済―",IF($C368="売",IF($H368&lt;=$M368,"🟢利確",IF(AND($R368&lt;&gt;"",$H368&gt;=$R368),"🟠TRAIL",IF($H368&gt;=$N368,"🔴損切",IF($W368&gt;=V811設定!$B$6,"⏱時間決済",IF($H368&gt;=$F368*(1+V811設定!$B$3*0.7),"⚠️損切接近","保持継続"))))),IF($H368&gt;=$M368,"🟢利確",IF(AND($R368&lt;&gt;"",$H368&lt;=$R368),"🟠TRAIL",IF($H368&lt;=$N368,"🔴損切",IF($W368&gt;=V811設定!$B$6,"⏱時間決済",IF($H368&lt;=$F368*(1-V811設定!$B$3*0.7),"⚠️損切接近","保持継続"))))))))</f>
      </c>
      <c r="P368" s="445"/>
      <c r="R368" s="440" t="str">
        <f>IF(OR($F368="",$H368="",$N368=""),"",IF($S368="✅売却済","",IF($C368="売",IF($H368&gt;$F368*(1-V811設定!$B$3),$N368,MIN($N368,IF($Q368="",$N368,$Q368*1.03))),IF($H368&lt;$F368*(1+V811設定!$B$3),$N368,MAX($N368,IF($P368="",$N368,$P368*0.97))))))</f>
      </c>
      <c r="S368" s="440" t="str">
        <f>IF(B368="","",IF(T368&lt;&gt;"","✅売却済",IF(OR(H368="",L368=""),"📌保有中",IF(L368&gt;=0.06,"🟢利確推奨",IF(L368&gt;=0.05,"🟡利確直近",IF(L368&gt;=0.045,"🔵トレーリング検討",IF(L368&gt;-0.03,"📌保有中",IF(L368&gt;-0.04,"⚠️損切注意","🔴損切り"))))))))</f>
        <v/>
      </c>
      <c r="T368" s="597"/>
      <c r="U368" s="599"/>
      <c r="V368" s="704" t="str">
        <f>IF(OR(F368="",G368="",U368=""),"",IF(C368="売",(F368-U368)*G368,(U368-F368)*G368))</f>
        <v/>
      </c>
      <c r="W368" s="440" t="str">
        <f>IF(OR($E368="",$B368=""),"",IF($T368&lt;&gt;"",$T368-$E368,TODAY()-$E368)+1)</f>
        <v/>
      </c>
      <c r="X368" s="440" t="str">
        <f>IF(OR($AH368="",$AH368="保有中"),"",$AH368)</f>
        <v/>
      </c>
      <c r="AD368" s="608"/>
      <c r="AE368" s="600" t="str">
        <f>IF($E368="","",WORKDAY($E368,12))</f>
        <v/>
      </c>
      <c r="AF368" s="600" t="str" cm="1">
        <f t="array" aca="1" ref="AF368" ca="1">IF(OR($B368="",$M368=""),"",IFERROR(IF($C368="売",_xlfn.MINIFS(安値!$E$3:$IT$3,安値!$E$3:$IT$3,"&gt;"&amp;$E368,安値!$E$3:$IT$3,"&lt;="&amp;$AE368,OFFSET(安値!$E$6:$IT$6,MATCH(TEXT($B368,"0"),TEXT(銘柄管理!$B$6:$B$305,"0"),0)-1,0),"&lt;="&amp;$M368),_xlfn.MINIFS(高値!$E$3:$IT$3,高値!$E$3:$IT$3,"&gt;"&amp;$E368,高値!$E$3:$IT$3,"&lt;="&amp;$AE368,OFFSET(高値!$E$6:$IT$6,MATCH(TEXT($B368,"0"),TEXT(銘柄管理!$B$6:$B$305,"0"),0)-1,0),"&gt;="&amp;$M368)),""))</f>
        <v/>
      </c>
      <c r="AG368" s="600" t="str" cm="1">
        <f t="array" aca="1" ref="AG368" ca="1">IF(OR($B368="",$N368=""),"",IFERROR(IF($C368="売",_xlfn.MINIFS(高値!$E$3:$IT$3,高値!$E$3:$IT$3,"&gt;"&amp;$E368,高値!$E$3:$IT$3,"&lt;="&amp;$AE368,OFFSET(高値!$E$6:$IT$6,MATCH(TEXT($B368,"0"),TEXT(銘柄管理!$B$6:$B$305,"0"),0)-1,0),"&gt;="&amp;$N368),_xlfn.MINIFS(安値!$E$3:$IT$3,安値!$E$3:$IT$3,"&gt;"&amp;$E368,安値!$E$3:$IT$3,"&lt;="&amp;$AE368,OFFSET(安値!$E$6:$IT$6,MATCH(TEXT($B368,"0"),TEXT(銘柄管理!$B$6:$B$305,"0"),0)-1,0),"&lt;="&amp;$N368)),""))</f>
        <v/>
      </c>
      <c r="AH368" s="600" t="str">
        <f>IF(OR($B368="",$M368=""),"",IF(AND(N($AF368)=0,N($AG368)=0),IF(AND(ISNUMBER($H368),$H368&gt;0,IF($C368="売",$H368&gt;=$N368,$H368&lt;=$N368)),"損切確定",IF(AND(ISNUMBER($H368),$H368&gt;0,IF($C368="売",$H368&lt;=$M368,$H368&gt;=$M368)),"利益確定",IF($AE368&lt;=TODAY(),"日数制限","保有中"))),IF(N($AG368)=0,"利益確定",IF(N($AF368)=0,"損切確定",IF($AG368&lt;=$AF368,"損切確定","利益確定")))))</f>
        <v/>
      </c>
      <c r="AI368" s="600" t="str" cm="1">
        <f t="array" ref="AI368">IFERROR(INDEX(始値!$E$6:$IT$305,MATCH(TEXT($B368,"0"),TEXT(銘柄管理!$B$6:$B$305,"0"),0),MATCH($AE368,始値!$E$3:$IT$3,0)),"")</f>
        <v/>
      </c>
      <c r="AJ368" s="608" t="str">
        <f>IF(OR($V368="",$F368="",$G368=""),"",$V368/($F368*$G368))</f>
        <v/>
      </c>
      <c r="AK368" s="600" t="str">
        <f>IF($V368="","",IF($V368&gt;0,"○勝",IF($V368&lt;0,"●負","△引分")))</f>
        <v/>
      </c>
    </row>
    <row r="369" spans="1:37" ht="17.25" customHeight="1">
      <c r="A369" s="622" t="str">
        <f>IF(B369="","",HYPERLINK("https://kabutan.jp/stock/?code="&amp;B369,"株探"))</f>
        <v/>
      </c>
      <c r="D369" s="440" t="str" cm="1">
        <f t="array" ref="D369">_xll.RssMarket(B369, "銘柄名称")</f>
        <v/>
      </c>
      <c r="E369" s="717"/>
      <c r="F369" s="698" t="str" cm="1">
        <f t="array" aca="1" ref="F369" ca="1">IFERROR(_xlfn.LET(_xlpm.r,MATCH(TEXT($B369,"0"),TEXT(銘柄管理!$B$6:$B$305,"0"),0),_xlpm.t,MOD(NOW(),1),_xlpm.c,IF($E369=TODAY(),IF(_xlpm.t&gt;=TIME(15,30,0),NA(),1),IF(MATCH($E369,始値!$E$3:$IT$3,0)=1,1,MATCH($E369,始値!$E$3:$IT$3,0)+1)),_xlpm.v,INDEX(始値!$C$6:$IT$305,_xlpm.r,_xlpm.c),IF(N(_xlpm.v)=0,"",_xlpm.v)),"")</f>
        <v/>
      </c>
      <c r="H369" s="440" t="str" cm="1">
        <f t="array" ref="H369">_xll.RssMarket(B369, "現在値")</f>
        <v/>
      </c>
      <c r="I369" s="440" t="str" cm="1">
        <f t="array" ref="I369">_xll.RssMarket(B369, "出来高加重平均")</f>
        <v/>
      </c>
      <c r="J369" s="704" t="str" cm="1">
        <f t="array" ref="J369">_xll.RssMarket($B369, "前日比")</f>
        <v/>
      </c>
      <c r="K369" s="704" t="str">
        <f>IF(OR(F369="",G369="",H369=""),"",IF(C369="売",(F369-H369)*G369,(H369-F369)*G369))</f>
        <v/>
      </c>
      <c r="L369" s="709" t="str">
        <f>IF(OR(F369="",H369=""),"",IF(C369="売",(F369-H369)/F369,(H369-F369)/F369))</f>
        <v/>
      </c>
      <c r="M369" s="599" t="str">
        <f>IF($F369="","",$F369*IF($C369="売",1-V811設定!$B$4,1+V811設定!$B$4)-MOD($F369*IF($C369="売",1-V811設定!$B$4,1+V811設定!$B$4),IF($F369&lt;=3000,1,IF($F369&lt;=5000,5,IF($F369&lt;=30000,10,IF($F369&lt;=50000,50,IF($F369&lt;=300000,100,500))))))+IF(AND($C369="売",MOD($F369*IF($C369="売",1-V811設定!$B$4,1+V811設定!$B$4),IF($F369&lt;=3000,1,IF($F369&lt;=5000,5,IF($F369&lt;=30000,10,IF($F369&lt;=50000,50,IF($F369&lt;=300000,100,500))))))&gt;0),IF($F369&lt;=3000,1,IF($F369&lt;=5000,5,IF($F369&lt;=30000,10,IF($F369&lt;=50000,50,IF($F369&lt;=300000,100,500))))),0))</f>
      </c>
      <c r="N369" s="599" t="str">
        <f>IF($F369="","",$F369*IF($C369="売",1+V811設定!$B$3,1-V811設定!$B$3)-MOD($F369*IF($C369="売",1+V811設定!$B$3,1-V811設定!$B$3),IF($F369&lt;=3000,1,IF($F369&lt;=5000,5,IF($F369&lt;=30000,10,IF($F369&lt;=50000,50,IF($F369&lt;=300000,100,500))))))+IF(AND($C369="売",MOD($F369*IF($C369="売",1+V811設定!$B$3,1-V811設定!$B$3),IF($F369&lt;=3000,1,IF($F369&lt;=5000,5,IF($F369&lt;=30000,10,IF($F369&lt;=50000,50,IF($F369&lt;=300000,100,500))))))&gt;0),IF($F369&lt;=3000,1,IF($F369&lt;=5000,5,IF($F369&lt;=30000,10,IF($F369&lt;=50000,50,IF($F369&lt;=300000,100,500))))),0))</f>
      </c>
      <c r="O369" s="478" t="str">
        <f>IF(OR($B369="",$F369="",$H369=""),"",IF($S369="✅売却済","―決済済―",IF($C369="売",IF($H369&lt;=$M369,"🟢利確",IF(AND($R369&lt;&gt;"",$H369&gt;=$R369),"🟠TRAIL",IF($H369&gt;=$N369,"🔴損切",IF($W369&gt;=V811設定!$B$6,"⏱時間決済",IF($H369&gt;=$F369*(1+V811設定!$B$3*0.7),"⚠️損切接近","保持継続"))))),IF($H369&gt;=$M369,"🟢利確",IF(AND($R369&lt;&gt;"",$H369&lt;=$R369),"🟠TRAIL",IF($H369&lt;=$N369,"🔴損切",IF($W369&gt;=V811設定!$B$6,"⏱時間決済",IF($H369&lt;=$F369*(1-V811設定!$B$3*0.7),"⚠️損切接近","保持継続"))))))))</f>
      </c>
      <c r="P369" s="445"/>
      <c r="R369" s="440" t="str">
        <f>IF(OR($F369="",$H369="",$N369=""),"",IF($S369="✅売却済","",IF($C369="売",IF($H369&gt;$F369*(1-V811設定!$B$3),$N369,MIN($N369,IF($Q369="",$N369,$Q369*1.03))),IF($H369&lt;$F369*(1+V811設定!$B$3),$N369,MAX($N369,IF($P369="",$N369,$P369*0.97))))))</f>
      </c>
      <c r="S369" s="440" t="str">
        <f>IF(B369="","",IF(T369&lt;&gt;"","✅売却済",IF(OR(H369="",L369=""),"📌保有中",IF(L369&gt;=0.06,"🟢利確推奨",IF(L369&gt;=0.05,"🟡利確直近",IF(L369&gt;=0.045,"🔵トレーリング検討",IF(L369&gt;-0.03,"📌保有中",IF(L369&gt;-0.04,"⚠️損切注意","🔴損切り"))))))))</f>
        <v/>
      </c>
      <c r="T369" s="597"/>
      <c r="U369" s="599"/>
      <c r="V369" s="704" t="str">
        <f>IF(OR(F369="",G369="",U369=""),"",IF(C369="売",(F369-U369)*G369,(U369-F369)*G369))</f>
        <v/>
      </c>
      <c r="W369" s="440" t="str">
        <f>IF(OR($E369="",$B369=""),"",IF($T369&lt;&gt;"",$T369-$E369,TODAY()-$E369)+1)</f>
        <v/>
      </c>
      <c r="X369" s="440" t="str">
        <f>IF(OR($AH369="",$AH369="保有中"),"",$AH369)</f>
        <v/>
      </c>
      <c r="AD369" s="608"/>
      <c r="AE369" s="600" t="str">
        <f>IF($E369="","",WORKDAY($E369,12))</f>
        <v/>
      </c>
      <c r="AF369" s="600" t="str" cm="1">
        <f t="array" aca="1" ref="AF369" ca="1">IF(OR($B369="",$M369=""),"",IFERROR(IF($C369="売",_xlfn.MINIFS(安値!$E$3:$IT$3,安値!$E$3:$IT$3,"&gt;"&amp;$E369,安値!$E$3:$IT$3,"&lt;="&amp;$AE369,OFFSET(安値!$E$6:$IT$6,MATCH(TEXT($B369,"0"),TEXT(銘柄管理!$B$6:$B$305,"0"),0)-1,0),"&lt;="&amp;$M369),_xlfn.MINIFS(高値!$E$3:$IT$3,高値!$E$3:$IT$3,"&gt;"&amp;$E369,高値!$E$3:$IT$3,"&lt;="&amp;$AE369,OFFSET(高値!$E$6:$IT$6,MATCH(TEXT($B369,"0"),TEXT(銘柄管理!$B$6:$B$305,"0"),0)-1,0),"&gt;="&amp;$M369)),""))</f>
        <v/>
      </c>
      <c r="AG369" s="600" t="str" cm="1">
        <f t="array" aca="1" ref="AG369" ca="1">IF(OR($B369="",$N369=""),"",IFERROR(IF($C369="売",_xlfn.MINIFS(高値!$E$3:$IT$3,高値!$E$3:$IT$3,"&gt;"&amp;$E369,高値!$E$3:$IT$3,"&lt;="&amp;$AE369,OFFSET(高値!$E$6:$IT$6,MATCH(TEXT($B369,"0"),TEXT(銘柄管理!$B$6:$B$305,"0"),0)-1,0),"&gt;="&amp;$N369),_xlfn.MINIFS(安値!$E$3:$IT$3,安値!$E$3:$IT$3,"&gt;"&amp;$E369,安値!$E$3:$IT$3,"&lt;="&amp;$AE369,OFFSET(安値!$E$6:$IT$6,MATCH(TEXT($B369,"0"),TEXT(銘柄管理!$B$6:$B$305,"0"),0)-1,0),"&lt;="&amp;$N369)),""))</f>
        <v/>
      </c>
      <c r="AH369" s="600" t="str">
        <f>IF(OR($B369="",$M369=""),"",IF(AND(N($AF369)=0,N($AG369)=0),IF(AND(ISNUMBER($H369),$H369&gt;0,IF($C369="売",$H369&gt;=$N369,$H369&lt;=$N369)),"損切確定",IF(AND(ISNUMBER($H369),$H369&gt;0,IF($C369="売",$H369&lt;=$M369,$H369&gt;=$M369)),"利益確定",IF($AE369&lt;=TODAY(),"日数制限","保有中"))),IF(N($AG369)=0,"利益確定",IF(N($AF369)=0,"損切確定",IF($AG369&lt;=$AF369,"損切確定","利益確定")))))</f>
        <v/>
      </c>
      <c r="AI369" s="600" t="str" cm="1">
        <f t="array" ref="AI369">IFERROR(INDEX(始値!$E$6:$IT$305,MATCH(TEXT($B369,"0"),TEXT(銘柄管理!$B$6:$B$305,"0"),0),MATCH($AE369,始値!$E$3:$IT$3,0)),"")</f>
        <v/>
      </c>
      <c r="AJ369" s="608" t="str">
        <f>IF(OR($V369="",$F369="",$G369=""),"",$V369/($F369*$G369))</f>
        <v/>
      </c>
      <c r="AK369" s="600" t="str">
        <f>IF($V369="","",IF($V369&gt;0,"○勝",IF($V369&lt;0,"●負","△引分")))</f>
        <v/>
      </c>
    </row>
    <row r="370" spans="1:37" ht="17.25" customHeight="1">
      <c r="A370" s="622" t="str">
        <f>IF(B370="","",HYPERLINK("https://kabutan.jp/stock/?code="&amp;B370,"株探"))</f>
        <v/>
      </c>
      <c r="D370" s="440" t="str" cm="1">
        <f t="array" ref="D370">_xll.RssMarket(B370, "銘柄名称")</f>
        <v/>
      </c>
      <c r="E370" s="717"/>
      <c r="F370" s="698" t="str" cm="1">
        <f t="array" aca="1" ref="F370" ca="1">IFERROR(_xlfn.LET(_xlpm.r,MATCH(TEXT($B370,"0"),TEXT(銘柄管理!$B$6:$B$305,"0"),0),_xlpm.t,MOD(NOW(),1),_xlpm.c,IF($E370=TODAY(),IF(_xlpm.t&gt;=TIME(15,30,0),NA(),1),IF(MATCH($E370,始値!$E$3:$IT$3,0)=1,1,MATCH($E370,始値!$E$3:$IT$3,0)+1)),_xlpm.v,INDEX(始値!$C$6:$IT$305,_xlpm.r,_xlpm.c),IF(N(_xlpm.v)=0,"",_xlpm.v)),"")</f>
        <v/>
      </c>
      <c r="H370" s="440" t="str" cm="1">
        <f t="array" ref="H370">_xll.RssMarket(B370, "現在値")</f>
        <v/>
      </c>
      <c r="I370" s="440" t="str" cm="1">
        <f t="array" ref="I370">_xll.RssMarket(B370, "出来高加重平均")</f>
        <v/>
      </c>
      <c r="J370" s="704" t="str" cm="1">
        <f t="array" ref="J370">_xll.RssMarket($B370, "前日比")</f>
        <v/>
      </c>
      <c r="K370" s="704" t="str">
        <f>IF(OR(F370="",G370="",H370=""),"",IF(C370="売",(F370-H370)*G370,(H370-F370)*G370))</f>
        <v/>
      </c>
      <c r="L370" s="709" t="str">
        <f>IF(OR(F370="",H370=""),"",IF(C370="売",(F370-H370)/F370,(H370-F370)/F370))</f>
        <v/>
      </c>
      <c r="M370" s="599" t="str">
        <f>IF($F370="","",$F370*IF($C370="売",1-V811設定!$B$4,1+V811設定!$B$4)-MOD($F370*IF($C370="売",1-V811設定!$B$4,1+V811設定!$B$4),IF($F370&lt;=3000,1,IF($F370&lt;=5000,5,IF($F370&lt;=30000,10,IF($F370&lt;=50000,50,IF($F370&lt;=300000,100,500))))))+IF(AND($C370="売",MOD($F370*IF($C370="売",1-V811設定!$B$4,1+V811設定!$B$4),IF($F370&lt;=3000,1,IF($F370&lt;=5000,5,IF($F370&lt;=30000,10,IF($F370&lt;=50000,50,IF($F370&lt;=300000,100,500))))))&gt;0),IF($F370&lt;=3000,1,IF($F370&lt;=5000,5,IF($F370&lt;=30000,10,IF($F370&lt;=50000,50,IF($F370&lt;=300000,100,500))))),0))</f>
      </c>
      <c r="N370" s="599" t="str">
        <f>IF($F370="","",$F370*IF($C370="売",1+V811設定!$B$3,1-V811設定!$B$3)-MOD($F370*IF($C370="売",1+V811設定!$B$3,1-V811設定!$B$3),IF($F370&lt;=3000,1,IF($F370&lt;=5000,5,IF($F370&lt;=30000,10,IF($F370&lt;=50000,50,IF($F370&lt;=300000,100,500))))))+IF(AND($C370="売",MOD($F370*IF($C370="売",1+V811設定!$B$3,1-V811設定!$B$3),IF($F370&lt;=3000,1,IF($F370&lt;=5000,5,IF($F370&lt;=30000,10,IF($F370&lt;=50000,50,IF($F370&lt;=300000,100,500))))))&gt;0),IF($F370&lt;=3000,1,IF($F370&lt;=5000,5,IF($F370&lt;=30000,10,IF($F370&lt;=50000,50,IF($F370&lt;=300000,100,500))))),0))</f>
      </c>
      <c r="O370" s="478" t="str">
        <f>IF(OR($B370="",$F370="",$H370=""),"",IF($S370="✅売却済","―決済済―",IF($C370="売",IF($H370&lt;=$M370,"🟢利確",IF(AND($R370&lt;&gt;"",$H370&gt;=$R370),"🟠TRAIL",IF($H370&gt;=$N370,"🔴損切",IF($W370&gt;=V811設定!$B$6,"⏱時間決済",IF($H370&gt;=$F370*(1+V811設定!$B$3*0.7),"⚠️損切接近","保持継続"))))),IF($H370&gt;=$M370,"🟢利確",IF(AND($R370&lt;&gt;"",$H370&lt;=$R370),"🟠TRAIL",IF($H370&lt;=$N370,"🔴損切",IF($W370&gt;=V811設定!$B$6,"⏱時間決済",IF($H370&lt;=$F370*(1-V811設定!$B$3*0.7),"⚠️損切接近","保持継続"))))))))</f>
      </c>
      <c r="P370" s="445"/>
      <c r="R370" s="440" t="str">
        <f>IF(OR($F370="",$H370="",$N370=""),"",IF($S370="✅売却済","",IF($C370="売",IF($H370&gt;$F370*(1-V811設定!$B$3),$N370,MIN($N370,IF($Q370="",$N370,$Q370*1.03))),IF($H370&lt;$F370*(1+V811設定!$B$3),$N370,MAX($N370,IF($P370="",$N370,$P370*0.97))))))</f>
      </c>
      <c r="S370" s="440" t="str">
        <f>IF(B370="","",IF(T370&lt;&gt;"","✅売却済",IF(OR(H370="",L370=""),"📌保有中",IF(L370&gt;=0.06,"🟢利確推奨",IF(L370&gt;=0.05,"🟡利確直近",IF(L370&gt;=0.045,"🔵トレーリング検討",IF(L370&gt;-0.03,"📌保有中",IF(L370&gt;-0.04,"⚠️損切注意","🔴損切り"))))))))</f>
        <v/>
      </c>
      <c r="T370" s="597"/>
      <c r="U370" s="599"/>
      <c r="V370" s="704" t="str">
        <f>IF(OR(F370="",G370="",U370=""),"",IF(C370="売",(F370-U370)*G370,(U370-F370)*G370))</f>
        <v/>
      </c>
      <c r="W370" s="440" t="str">
        <f>IF(OR($E370="",$B370=""),"",IF($T370&lt;&gt;"",$T370-$E370,TODAY()-$E370)+1)</f>
        <v/>
      </c>
      <c r="X370" s="440" t="str">
        <f>IF(OR($AH370="",$AH370="保有中"),"",$AH370)</f>
        <v/>
      </c>
      <c r="AD370" s="608"/>
      <c r="AE370" s="600" t="str">
        <f>IF($E370="","",WORKDAY($E370,12))</f>
        <v/>
      </c>
      <c r="AF370" s="600" t="str" cm="1">
        <f t="array" aca="1" ref="AF370" ca="1">IF(OR($B370="",$M370=""),"",IFERROR(IF($C370="売",_xlfn.MINIFS(安値!$E$3:$IT$3,安値!$E$3:$IT$3,"&gt;"&amp;$E370,安値!$E$3:$IT$3,"&lt;="&amp;$AE370,OFFSET(安値!$E$6:$IT$6,MATCH(TEXT($B370,"0"),TEXT(銘柄管理!$B$6:$B$305,"0"),0)-1,0),"&lt;="&amp;$M370),_xlfn.MINIFS(高値!$E$3:$IT$3,高値!$E$3:$IT$3,"&gt;"&amp;$E370,高値!$E$3:$IT$3,"&lt;="&amp;$AE370,OFFSET(高値!$E$6:$IT$6,MATCH(TEXT($B370,"0"),TEXT(銘柄管理!$B$6:$B$305,"0"),0)-1,0),"&gt;="&amp;$M370)),""))</f>
        <v/>
      </c>
      <c r="AG370" s="600" t="str" cm="1">
        <f t="array" aca="1" ref="AG370" ca="1">IF(OR($B370="",$N370=""),"",IFERROR(IF($C370="売",_xlfn.MINIFS(高値!$E$3:$IT$3,高値!$E$3:$IT$3,"&gt;"&amp;$E370,高値!$E$3:$IT$3,"&lt;="&amp;$AE370,OFFSET(高値!$E$6:$IT$6,MATCH(TEXT($B370,"0"),TEXT(銘柄管理!$B$6:$B$305,"0"),0)-1,0),"&gt;="&amp;$N370),_xlfn.MINIFS(安値!$E$3:$IT$3,安値!$E$3:$IT$3,"&gt;"&amp;$E370,安値!$E$3:$IT$3,"&lt;="&amp;$AE370,OFFSET(安値!$E$6:$IT$6,MATCH(TEXT($B370,"0"),TEXT(銘柄管理!$B$6:$B$305,"0"),0)-1,0),"&lt;="&amp;$N370)),""))</f>
        <v/>
      </c>
      <c r="AH370" s="600" t="str">
        <f>IF(OR($B370="",$M370=""),"",IF(AND(N($AF370)=0,N($AG370)=0),IF(AND(ISNUMBER($H370),$H370&gt;0,IF($C370="売",$H370&gt;=$N370,$H370&lt;=$N370)),"損切確定",IF(AND(ISNUMBER($H370),$H370&gt;0,IF($C370="売",$H370&lt;=$M370,$H370&gt;=$M370)),"利益確定",IF($AE370&lt;=TODAY(),"日数制限","保有中"))),IF(N($AG370)=0,"利益確定",IF(N($AF370)=0,"損切確定",IF($AG370&lt;=$AF370,"損切確定","利益確定")))))</f>
        <v/>
      </c>
      <c r="AI370" s="600" t="str" cm="1">
        <f t="array" ref="AI370">IFERROR(INDEX(始値!$E$6:$IT$305,MATCH(TEXT($B370,"0"),TEXT(銘柄管理!$B$6:$B$305,"0"),0),MATCH($AE370,始値!$E$3:$IT$3,0)),"")</f>
        <v/>
      </c>
      <c r="AJ370" s="608" t="str">
        <f>IF(OR($V370="",$F370="",$G370=""),"",$V370/($F370*$G370))</f>
        <v/>
      </c>
      <c r="AK370" s="600" t="str">
        <f>IF($V370="","",IF($V370&gt;0,"○勝",IF($V370&lt;0,"●負","△引分")))</f>
        <v/>
      </c>
    </row>
    <row r="371" spans="1:37" ht="17.25" customHeight="1">
      <c r="A371" s="622" t="str">
        <f>IF(B371="","",HYPERLINK("https://kabutan.jp/stock/?code="&amp;B371,"株探"))</f>
        <v/>
      </c>
      <c r="D371" s="440" t="str" cm="1">
        <f t="array" ref="D371">_xll.RssMarket(B371, "銘柄名称")</f>
        <v/>
      </c>
      <c r="E371" s="717"/>
      <c r="F371" s="698" t="str" cm="1">
        <f t="array" aca="1" ref="F371" ca="1">IFERROR(_xlfn.LET(_xlpm.r,MATCH(TEXT($B371,"0"),TEXT(銘柄管理!$B$6:$B$305,"0"),0),_xlpm.t,MOD(NOW(),1),_xlpm.c,IF($E371=TODAY(),IF(_xlpm.t&gt;=TIME(15,30,0),NA(),1),IF(MATCH($E371,始値!$E$3:$IT$3,0)=1,1,MATCH($E371,始値!$E$3:$IT$3,0)+1)),_xlpm.v,INDEX(始値!$C$6:$IT$305,_xlpm.r,_xlpm.c),IF(N(_xlpm.v)=0,"",_xlpm.v)),"")</f>
        <v/>
      </c>
      <c r="H371" s="440" t="str" cm="1">
        <f t="array" ref="H371">_xll.RssMarket(B371, "現在値")</f>
        <v/>
      </c>
      <c r="I371" s="440" t="str" cm="1">
        <f t="array" ref="I371">_xll.RssMarket(B371, "出来高加重平均")</f>
        <v/>
      </c>
      <c r="J371" s="704" t="str" cm="1">
        <f t="array" ref="J371">_xll.RssMarket($B371, "前日比")</f>
        <v/>
      </c>
      <c r="K371" s="704" t="str">
        <f>IF(OR(F371="",G371="",H371=""),"",IF(C371="売",(F371-H371)*G371,(H371-F371)*G371))</f>
        <v/>
      </c>
      <c r="L371" s="709" t="str">
        <f>IF(OR(F371="",H371=""),"",IF(C371="売",(F371-H371)/F371,(H371-F371)/F371))</f>
        <v/>
      </c>
      <c r="M371" s="599" t="str">
        <f>IF($F371="","",$F371*IF($C371="売",1-V811設定!$B$4,1+V811設定!$B$4)-MOD($F371*IF($C371="売",1-V811設定!$B$4,1+V811設定!$B$4),IF($F371&lt;=3000,1,IF($F371&lt;=5000,5,IF($F371&lt;=30000,10,IF($F371&lt;=50000,50,IF($F371&lt;=300000,100,500))))))+IF(AND($C371="売",MOD($F371*IF($C371="売",1-V811設定!$B$4,1+V811設定!$B$4),IF($F371&lt;=3000,1,IF($F371&lt;=5000,5,IF($F371&lt;=30000,10,IF($F371&lt;=50000,50,IF($F371&lt;=300000,100,500))))))&gt;0),IF($F371&lt;=3000,1,IF($F371&lt;=5000,5,IF($F371&lt;=30000,10,IF($F371&lt;=50000,50,IF($F371&lt;=300000,100,500))))),0))</f>
      </c>
      <c r="N371" s="599" t="str">
        <f>IF($F371="","",$F371*IF($C371="売",1+V811設定!$B$3,1-V811設定!$B$3)-MOD($F371*IF($C371="売",1+V811設定!$B$3,1-V811設定!$B$3),IF($F371&lt;=3000,1,IF($F371&lt;=5000,5,IF($F371&lt;=30000,10,IF($F371&lt;=50000,50,IF($F371&lt;=300000,100,500))))))+IF(AND($C371="売",MOD($F371*IF($C371="売",1+V811設定!$B$3,1-V811設定!$B$3),IF($F371&lt;=3000,1,IF($F371&lt;=5000,5,IF($F371&lt;=30000,10,IF($F371&lt;=50000,50,IF($F371&lt;=300000,100,500))))))&gt;0),IF($F371&lt;=3000,1,IF($F371&lt;=5000,5,IF($F371&lt;=30000,10,IF($F371&lt;=50000,50,IF($F371&lt;=300000,100,500))))),0))</f>
      </c>
      <c r="O371" s="478" t="str">
        <f>IF(OR($B371="",$F371="",$H371=""),"",IF($S371="✅売却済","―決済済―",IF($C371="売",IF($H371&lt;=$M371,"🟢利確",IF(AND($R371&lt;&gt;"",$H371&gt;=$R371),"🟠TRAIL",IF($H371&gt;=$N371,"🔴損切",IF($W371&gt;=V811設定!$B$6,"⏱時間決済",IF($H371&gt;=$F371*(1+V811設定!$B$3*0.7),"⚠️損切接近","保持継続"))))),IF($H371&gt;=$M371,"🟢利確",IF(AND($R371&lt;&gt;"",$H371&lt;=$R371),"🟠TRAIL",IF($H371&lt;=$N371,"🔴損切",IF($W371&gt;=V811設定!$B$6,"⏱時間決済",IF($H371&lt;=$F371*(1-V811設定!$B$3*0.7),"⚠️損切接近","保持継続"))))))))</f>
      </c>
      <c r="P371" s="445"/>
      <c r="R371" s="440" t="str">
        <f>IF(OR($F371="",$H371="",$N371=""),"",IF($S371="✅売却済","",IF($C371="売",IF($H371&gt;$F371*(1-V811設定!$B$3),$N371,MIN($N371,IF($Q371="",$N371,$Q371*1.03))),IF($H371&lt;$F371*(1+V811設定!$B$3),$N371,MAX($N371,IF($P371="",$N371,$P371*0.97))))))</f>
      </c>
      <c r="S371" s="440" t="str">
        <f>IF(B371="","",IF(T371&lt;&gt;"","✅売却済",IF(OR(H371="",L371=""),"📌保有中",IF(L371&gt;=0.06,"🟢利確推奨",IF(L371&gt;=0.05,"🟡利確直近",IF(L371&gt;=0.045,"🔵トレーリング検討",IF(L371&gt;-0.03,"📌保有中",IF(L371&gt;-0.04,"⚠️損切注意","🔴損切り"))))))))</f>
        <v/>
      </c>
      <c r="T371" s="597"/>
      <c r="U371" s="599"/>
      <c r="V371" s="704" t="str">
        <f>IF(OR(F371="",G371="",U371=""),"",IF(C371="売",(F371-U371)*G371,(U371-F371)*G371))</f>
        <v/>
      </c>
      <c r="W371" s="440" t="str">
        <f>IF(OR($E371="",$B371=""),"",IF($T371&lt;&gt;"",$T371-$E371,TODAY()-$E371)+1)</f>
        <v/>
      </c>
      <c r="X371" s="440" t="str">
        <f>IF(OR($AH371="",$AH371="保有中"),"",$AH371)</f>
        <v/>
      </c>
      <c r="AD371" s="608"/>
      <c r="AE371" s="600" t="str">
        <f>IF($E371="","",WORKDAY($E371,12))</f>
        <v/>
      </c>
      <c r="AF371" s="600" t="str" cm="1">
        <f t="array" aca="1" ref="AF371" ca="1">IF(OR($B371="",$M371=""),"",IFERROR(IF($C371="売",_xlfn.MINIFS(安値!$E$3:$IT$3,安値!$E$3:$IT$3,"&gt;"&amp;$E371,安値!$E$3:$IT$3,"&lt;="&amp;$AE371,OFFSET(安値!$E$6:$IT$6,MATCH(TEXT($B371,"0"),TEXT(銘柄管理!$B$6:$B$305,"0"),0)-1,0),"&lt;="&amp;$M371),_xlfn.MINIFS(高値!$E$3:$IT$3,高値!$E$3:$IT$3,"&gt;"&amp;$E371,高値!$E$3:$IT$3,"&lt;="&amp;$AE371,OFFSET(高値!$E$6:$IT$6,MATCH(TEXT($B371,"0"),TEXT(銘柄管理!$B$6:$B$305,"0"),0)-1,0),"&gt;="&amp;$M371)),""))</f>
        <v/>
      </c>
      <c r="AG371" s="600" t="str" cm="1">
        <f t="array" aca="1" ref="AG371" ca="1">IF(OR($B371="",$N371=""),"",IFERROR(IF($C371="売",_xlfn.MINIFS(高値!$E$3:$IT$3,高値!$E$3:$IT$3,"&gt;"&amp;$E371,高値!$E$3:$IT$3,"&lt;="&amp;$AE371,OFFSET(高値!$E$6:$IT$6,MATCH(TEXT($B371,"0"),TEXT(銘柄管理!$B$6:$B$305,"0"),0)-1,0),"&gt;="&amp;$N371),_xlfn.MINIFS(安値!$E$3:$IT$3,安値!$E$3:$IT$3,"&gt;"&amp;$E371,安値!$E$3:$IT$3,"&lt;="&amp;$AE371,OFFSET(安値!$E$6:$IT$6,MATCH(TEXT($B371,"0"),TEXT(銘柄管理!$B$6:$B$305,"0"),0)-1,0),"&lt;="&amp;$N371)),""))</f>
        <v/>
      </c>
      <c r="AH371" s="600" t="str">
        <f>IF(OR($B371="",$M371=""),"",IF(AND(N($AF371)=0,N($AG371)=0),IF(AND(ISNUMBER($H371),$H371&gt;0,IF($C371="売",$H371&gt;=$N371,$H371&lt;=$N371)),"損切確定",IF(AND(ISNUMBER($H371),$H371&gt;0,IF($C371="売",$H371&lt;=$M371,$H371&gt;=$M371)),"利益確定",IF($AE371&lt;=TODAY(),"日数制限","保有中"))),IF(N($AG371)=0,"利益確定",IF(N($AF371)=0,"損切確定",IF($AG371&lt;=$AF371,"損切確定","利益確定")))))</f>
        <v/>
      </c>
      <c r="AI371" s="600" t="str" cm="1">
        <f t="array" ref="AI371">IFERROR(INDEX(始値!$E$6:$IT$305,MATCH(TEXT($B371,"0"),TEXT(銘柄管理!$B$6:$B$305,"0"),0),MATCH($AE371,始値!$E$3:$IT$3,0)),"")</f>
        <v/>
      </c>
      <c r="AJ371" s="608" t="str">
        <f>IF(OR($V371="",$F371="",$G371=""),"",$V371/($F371*$G371))</f>
        <v/>
      </c>
      <c r="AK371" s="600" t="str">
        <f>IF($V371="","",IF($V371&gt;0,"○勝",IF($V371&lt;0,"●負","△引分")))</f>
        <v/>
      </c>
    </row>
    <row r="372" spans="1:37" ht="17.25" customHeight="1">
      <c r="A372" s="622" t="str">
        <f>IF(B372="","",HYPERLINK("https://kabutan.jp/stock/?code="&amp;B372,"株探"))</f>
        <v/>
      </c>
      <c r="D372" s="440" t="str" cm="1">
        <f t="array" ref="D372">_xll.RssMarket(B372, "銘柄名称")</f>
        <v/>
      </c>
      <c r="E372" s="717"/>
      <c r="F372" s="698" t="str" cm="1">
        <f t="array" aca="1" ref="F372" ca="1">IFERROR(_xlfn.LET(_xlpm.r,MATCH(TEXT($B372,"0"),TEXT(銘柄管理!$B$6:$B$305,"0"),0),_xlpm.t,MOD(NOW(),1),_xlpm.c,IF($E372=TODAY(),IF(_xlpm.t&gt;=TIME(15,30,0),NA(),1),IF(MATCH($E372,始値!$E$3:$IT$3,0)=1,1,MATCH($E372,始値!$E$3:$IT$3,0)+1)),_xlpm.v,INDEX(始値!$C$6:$IT$305,_xlpm.r,_xlpm.c),IF(N(_xlpm.v)=0,"",_xlpm.v)),"")</f>
        <v/>
      </c>
      <c r="H372" s="440" t="str" cm="1">
        <f t="array" ref="H372">_xll.RssMarket(B372, "現在値")</f>
        <v/>
      </c>
      <c r="I372" s="440" t="str" cm="1">
        <f t="array" ref="I372">_xll.RssMarket(B372, "出来高加重平均")</f>
        <v/>
      </c>
      <c r="J372" s="704" t="str" cm="1">
        <f t="array" ref="J372">_xll.RssMarket($B372, "前日比")</f>
        <v/>
      </c>
      <c r="K372" s="704" t="str">
        <f>IF(OR(F372="",G372="",H372=""),"",IF(C372="売",(F372-H372)*G372,(H372-F372)*G372))</f>
        <v/>
      </c>
      <c r="L372" s="709" t="str">
        <f>IF(OR(F372="",H372=""),"",IF(C372="売",(F372-H372)/F372,(H372-F372)/F372))</f>
        <v/>
      </c>
      <c r="M372" s="599" t="str">
        <f>IF($F372="","",$F372*IF($C372="売",1-V811設定!$B$4,1+V811設定!$B$4)-MOD($F372*IF($C372="売",1-V811設定!$B$4,1+V811設定!$B$4),IF($F372&lt;=3000,1,IF($F372&lt;=5000,5,IF($F372&lt;=30000,10,IF($F372&lt;=50000,50,IF($F372&lt;=300000,100,500))))))+IF(AND($C372="売",MOD($F372*IF($C372="売",1-V811設定!$B$4,1+V811設定!$B$4),IF($F372&lt;=3000,1,IF($F372&lt;=5000,5,IF($F372&lt;=30000,10,IF($F372&lt;=50000,50,IF($F372&lt;=300000,100,500))))))&gt;0),IF($F372&lt;=3000,1,IF($F372&lt;=5000,5,IF($F372&lt;=30000,10,IF($F372&lt;=50000,50,IF($F372&lt;=300000,100,500))))),0))</f>
      </c>
      <c r="N372" s="599" t="str">
        <f>IF($F372="","",$F372*IF($C372="売",1+V811設定!$B$3,1-V811設定!$B$3)-MOD($F372*IF($C372="売",1+V811設定!$B$3,1-V811設定!$B$3),IF($F372&lt;=3000,1,IF($F372&lt;=5000,5,IF($F372&lt;=30000,10,IF($F372&lt;=50000,50,IF($F372&lt;=300000,100,500))))))+IF(AND($C372="売",MOD($F372*IF($C372="売",1+V811設定!$B$3,1-V811設定!$B$3),IF($F372&lt;=3000,1,IF($F372&lt;=5000,5,IF($F372&lt;=30000,10,IF($F372&lt;=50000,50,IF($F372&lt;=300000,100,500))))))&gt;0),IF($F372&lt;=3000,1,IF($F372&lt;=5000,5,IF($F372&lt;=30000,10,IF($F372&lt;=50000,50,IF($F372&lt;=300000,100,500))))),0))</f>
      </c>
      <c r="O372" s="478" t="str">
        <f>IF(OR($B372="",$F372="",$H372=""),"",IF($S372="✅売却済","―決済済―",IF($C372="売",IF($H372&lt;=$M372,"🟢利確",IF(AND($R372&lt;&gt;"",$H372&gt;=$R372),"🟠TRAIL",IF($H372&gt;=$N372,"🔴損切",IF($W372&gt;=V811設定!$B$6,"⏱時間決済",IF($H372&gt;=$F372*(1+V811設定!$B$3*0.7),"⚠️損切接近","保持継続"))))),IF($H372&gt;=$M372,"🟢利確",IF(AND($R372&lt;&gt;"",$H372&lt;=$R372),"🟠TRAIL",IF($H372&lt;=$N372,"🔴損切",IF($W372&gt;=V811設定!$B$6,"⏱時間決済",IF($H372&lt;=$F372*(1-V811設定!$B$3*0.7),"⚠️損切接近","保持継続"))))))))</f>
      </c>
      <c r="P372" s="445"/>
      <c r="R372" s="440" t="str">
        <f>IF(OR($F372="",$H372="",$N372=""),"",IF($S372="✅売却済","",IF($C372="売",IF($H372&gt;$F372*(1-V811設定!$B$3),$N372,MIN($N372,IF($Q372="",$N372,$Q372*1.03))),IF($H372&lt;$F372*(1+V811設定!$B$3),$N372,MAX($N372,IF($P372="",$N372,$P372*0.97))))))</f>
      </c>
      <c r="S372" s="440" t="str">
        <f>IF(B372="","",IF(T372&lt;&gt;"","✅売却済",IF(OR(H372="",L372=""),"📌保有中",IF(L372&gt;=0.06,"🟢利確推奨",IF(L372&gt;=0.05,"🟡利確直近",IF(L372&gt;=0.045,"🔵トレーリング検討",IF(L372&gt;-0.03,"📌保有中",IF(L372&gt;-0.04,"⚠️損切注意","🔴損切り"))))))))</f>
        <v/>
      </c>
      <c r="T372" s="597"/>
      <c r="U372" s="599"/>
      <c r="V372" s="704" t="str">
        <f>IF(OR(F372="",G372="",U372=""),"",IF(C372="売",(F372-U372)*G372,(U372-F372)*G372))</f>
        <v/>
      </c>
      <c r="W372" s="440" t="str">
        <f>IF(OR($E372="",$B372=""),"",IF($T372&lt;&gt;"",$T372-$E372,TODAY()-$E372)+1)</f>
        <v/>
      </c>
      <c r="X372" s="440" t="str">
        <f>IF(OR($AH372="",$AH372="保有中"),"",$AH372)</f>
        <v/>
      </c>
      <c r="AD372" s="608"/>
      <c r="AE372" s="600" t="str">
        <f>IF($E372="","",WORKDAY($E372,12))</f>
        <v/>
      </c>
      <c r="AF372" s="600" t="str" cm="1">
        <f t="array" aca="1" ref="AF372" ca="1">IF(OR($B372="",$M372=""),"",IFERROR(IF($C372="売",_xlfn.MINIFS(安値!$E$3:$IT$3,安値!$E$3:$IT$3,"&gt;"&amp;$E372,安値!$E$3:$IT$3,"&lt;="&amp;$AE372,OFFSET(安値!$E$6:$IT$6,MATCH(TEXT($B372,"0"),TEXT(銘柄管理!$B$6:$B$305,"0"),0)-1,0),"&lt;="&amp;$M372),_xlfn.MINIFS(高値!$E$3:$IT$3,高値!$E$3:$IT$3,"&gt;"&amp;$E372,高値!$E$3:$IT$3,"&lt;="&amp;$AE372,OFFSET(高値!$E$6:$IT$6,MATCH(TEXT($B372,"0"),TEXT(銘柄管理!$B$6:$B$305,"0"),0)-1,0),"&gt;="&amp;$M372)),""))</f>
        <v/>
      </c>
      <c r="AG372" s="600" t="str" cm="1">
        <f t="array" aca="1" ref="AG372" ca="1">IF(OR($B372="",$N372=""),"",IFERROR(IF($C372="売",_xlfn.MINIFS(高値!$E$3:$IT$3,高値!$E$3:$IT$3,"&gt;"&amp;$E372,高値!$E$3:$IT$3,"&lt;="&amp;$AE372,OFFSET(高値!$E$6:$IT$6,MATCH(TEXT($B372,"0"),TEXT(銘柄管理!$B$6:$B$305,"0"),0)-1,0),"&gt;="&amp;$N372),_xlfn.MINIFS(安値!$E$3:$IT$3,安値!$E$3:$IT$3,"&gt;"&amp;$E372,安値!$E$3:$IT$3,"&lt;="&amp;$AE372,OFFSET(安値!$E$6:$IT$6,MATCH(TEXT($B372,"0"),TEXT(銘柄管理!$B$6:$B$305,"0"),0)-1,0),"&lt;="&amp;$N372)),""))</f>
        <v/>
      </c>
      <c r="AH372" s="600" t="str">
        <f>IF(OR($B372="",$M372=""),"",IF(AND(N($AF372)=0,N($AG372)=0),IF(AND(ISNUMBER($H372),$H372&gt;0,IF($C372="売",$H372&gt;=$N372,$H372&lt;=$N372)),"損切確定",IF(AND(ISNUMBER($H372),$H372&gt;0,IF($C372="売",$H372&lt;=$M372,$H372&gt;=$M372)),"利益確定",IF($AE372&lt;=TODAY(),"日数制限","保有中"))),IF(N($AG372)=0,"利益確定",IF(N($AF372)=0,"損切確定",IF($AG372&lt;=$AF372,"損切確定","利益確定")))))</f>
        <v/>
      </c>
      <c r="AI372" s="600" t="str" cm="1">
        <f t="array" ref="AI372">IFERROR(INDEX(始値!$E$6:$IT$305,MATCH(TEXT($B372,"0"),TEXT(銘柄管理!$B$6:$B$305,"0"),0),MATCH($AE372,始値!$E$3:$IT$3,0)),"")</f>
        <v/>
      </c>
      <c r="AJ372" s="608" t="str">
        <f>IF(OR($V372="",$F372="",$G372=""),"",$V372/($F372*$G372))</f>
        <v/>
      </c>
      <c r="AK372" s="600" t="str">
        <f>IF($V372="","",IF($V372&gt;0,"○勝",IF($V372&lt;0,"●負","△引分")))</f>
        <v/>
      </c>
    </row>
    <row r="373" spans="1:37" ht="17.25" customHeight="1">
      <c r="A373" s="622" t="str">
        <f>IF(B373="","",HYPERLINK("https://kabutan.jp/stock/?code="&amp;B373,"株探"))</f>
        <v/>
      </c>
      <c r="D373" s="440" t="str" cm="1">
        <f t="array" ref="D373">_xll.RssMarket(B373, "銘柄名称")</f>
        <v/>
      </c>
      <c r="E373" s="717"/>
      <c r="F373" s="698" t="str" cm="1">
        <f t="array" aca="1" ref="F373" ca="1">IFERROR(_xlfn.LET(_xlpm.r,MATCH(TEXT($B373,"0"),TEXT(銘柄管理!$B$6:$B$305,"0"),0),_xlpm.t,MOD(NOW(),1),_xlpm.c,IF($E373=TODAY(),IF(_xlpm.t&gt;=TIME(15,30,0),NA(),1),IF(MATCH($E373,始値!$E$3:$IT$3,0)=1,1,MATCH($E373,始値!$E$3:$IT$3,0)+1)),_xlpm.v,INDEX(始値!$C$6:$IT$305,_xlpm.r,_xlpm.c),IF(N(_xlpm.v)=0,"",_xlpm.v)),"")</f>
        <v/>
      </c>
      <c r="H373" s="440" t="str" cm="1">
        <f t="array" ref="H373">_xll.RssMarket(B373, "現在値")</f>
        <v/>
      </c>
      <c r="I373" s="440" t="str" cm="1">
        <f t="array" ref="I373">_xll.RssMarket(B373, "出来高加重平均")</f>
        <v/>
      </c>
      <c r="J373" s="704" t="str" cm="1">
        <f t="array" ref="J373">_xll.RssMarket($B373, "前日比")</f>
        <v/>
      </c>
      <c r="K373" s="704" t="str">
        <f>IF(OR(F373="",G373="",H373=""),"",IF(C373="売",(F373-H373)*G373,(H373-F373)*G373))</f>
        <v/>
      </c>
      <c r="L373" s="709" t="str">
        <f>IF(OR(F373="",H373=""),"",IF(C373="売",(F373-H373)/F373,(H373-F373)/F373))</f>
        <v/>
      </c>
      <c r="M373" s="599" t="str">
        <f>IF($F373="","",$F373*IF($C373="売",1-V811設定!$B$4,1+V811設定!$B$4)-MOD($F373*IF($C373="売",1-V811設定!$B$4,1+V811設定!$B$4),IF($F373&lt;=3000,1,IF($F373&lt;=5000,5,IF($F373&lt;=30000,10,IF($F373&lt;=50000,50,IF($F373&lt;=300000,100,500))))))+IF(AND($C373="売",MOD($F373*IF($C373="売",1-V811設定!$B$4,1+V811設定!$B$4),IF($F373&lt;=3000,1,IF($F373&lt;=5000,5,IF($F373&lt;=30000,10,IF($F373&lt;=50000,50,IF($F373&lt;=300000,100,500))))))&gt;0),IF($F373&lt;=3000,1,IF($F373&lt;=5000,5,IF($F373&lt;=30000,10,IF($F373&lt;=50000,50,IF($F373&lt;=300000,100,500))))),0))</f>
      </c>
      <c r="N373" s="599" t="str">
        <f>IF($F373="","",$F373*IF($C373="売",1+V811設定!$B$3,1-V811設定!$B$3)-MOD($F373*IF($C373="売",1+V811設定!$B$3,1-V811設定!$B$3),IF($F373&lt;=3000,1,IF($F373&lt;=5000,5,IF($F373&lt;=30000,10,IF($F373&lt;=50000,50,IF($F373&lt;=300000,100,500))))))+IF(AND($C373="売",MOD($F373*IF($C373="売",1+V811設定!$B$3,1-V811設定!$B$3),IF($F373&lt;=3000,1,IF($F373&lt;=5000,5,IF($F373&lt;=30000,10,IF($F373&lt;=50000,50,IF($F373&lt;=300000,100,500))))))&gt;0),IF($F373&lt;=3000,1,IF($F373&lt;=5000,5,IF($F373&lt;=30000,10,IF($F373&lt;=50000,50,IF($F373&lt;=300000,100,500))))),0))</f>
      </c>
      <c r="O373" s="478" t="str">
        <f>IF(OR($B373="",$F373="",$H373=""),"",IF($S373="✅売却済","―決済済―",IF($C373="売",IF($H373&lt;=$M373,"🟢利確",IF(AND($R373&lt;&gt;"",$H373&gt;=$R373),"🟠TRAIL",IF($H373&gt;=$N373,"🔴損切",IF($W373&gt;=V811設定!$B$6,"⏱時間決済",IF($H373&gt;=$F373*(1+V811設定!$B$3*0.7),"⚠️損切接近","保持継続"))))),IF($H373&gt;=$M373,"🟢利確",IF(AND($R373&lt;&gt;"",$H373&lt;=$R373),"🟠TRAIL",IF($H373&lt;=$N373,"🔴損切",IF($W373&gt;=V811設定!$B$6,"⏱時間決済",IF($H373&lt;=$F373*(1-V811設定!$B$3*0.7),"⚠️損切接近","保持継続"))))))))</f>
      </c>
      <c r="P373" s="445"/>
      <c r="R373" s="440" t="str">
        <f>IF(OR($F373="",$H373="",$N373=""),"",IF($S373="✅売却済","",IF($C373="売",IF($H373&gt;$F373*(1-V811設定!$B$3),$N373,MIN($N373,IF($Q373="",$N373,$Q373*1.03))),IF($H373&lt;$F373*(1+V811設定!$B$3),$N373,MAX($N373,IF($P373="",$N373,$P373*0.97))))))</f>
      </c>
      <c r="S373" s="440" t="str">
        <f>IF(B373="","",IF(T373&lt;&gt;"","✅売却済",IF(OR(H373="",L373=""),"📌保有中",IF(L373&gt;=0.06,"🟢利確推奨",IF(L373&gt;=0.05,"🟡利確直近",IF(L373&gt;=0.045,"🔵トレーリング検討",IF(L373&gt;-0.03,"📌保有中",IF(L373&gt;-0.04,"⚠️損切注意","🔴損切り"))))))))</f>
        <v/>
      </c>
      <c r="T373" s="597"/>
      <c r="U373" s="599"/>
      <c r="V373" s="704" t="str">
        <f>IF(OR(F373="",G373="",U373=""),"",IF(C373="売",(F373-U373)*G373,(U373-F373)*G373))</f>
        <v/>
      </c>
      <c r="W373" s="440" t="str">
        <f>IF(OR($E373="",$B373=""),"",IF($T373&lt;&gt;"",$T373-$E373,TODAY()-$E373)+1)</f>
        <v/>
      </c>
      <c r="X373" s="440" t="str">
        <f>IF(OR($AH373="",$AH373="保有中"),"",$AH373)</f>
        <v/>
      </c>
      <c r="AD373" s="608"/>
      <c r="AE373" s="600" t="str">
        <f>IF($E373="","",WORKDAY($E373,12))</f>
        <v/>
      </c>
      <c r="AF373" s="600" t="str" cm="1">
        <f t="array" aca="1" ref="AF373" ca="1">IF(OR($B373="",$M373=""),"",IFERROR(IF($C373="売",_xlfn.MINIFS(安値!$E$3:$IT$3,安値!$E$3:$IT$3,"&gt;"&amp;$E373,安値!$E$3:$IT$3,"&lt;="&amp;$AE373,OFFSET(安値!$E$6:$IT$6,MATCH(TEXT($B373,"0"),TEXT(銘柄管理!$B$6:$B$305,"0"),0)-1,0),"&lt;="&amp;$M373),_xlfn.MINIFS(高値!$E$3:$IT$3,高値!$E$3:$IT$3,"&gt;"&amp;$E373,高値!$E$3:$IT$3,"&lt;="&amp;$AE373,OFFSET(高値!$E$6:$IT$6,MATCH(TEXT($B373,"0"),TEXT(銘柄管理!$B$6:$B$305,"0"),0)-1,0),"&gt;="&amp;$M373)),""))</f>
        <v/>
      </c>
      <c r="AG373" s="600" t="str" cm="1">
        <f t="array" aca="1" ref="AG373" ca="1">IF(OR($B373="",$N373=""),"",IFERROR(IF($C373="売",_xlfn.MINIFS(高値!$E$3:$IT$3,高値!$E$3:$IT$3,"&gt;"&amp;$E373,高値!$E$3:$IT$3,"&lt;="&amp;$AE373,OFFSET(高値!$E$6:$IT$6,MATCH(TEXT($B373,"0"),TEXT(銘柄管理!$B$6:$B$305,"0"),0)-1,0),"&gt;="&amp;$N373),_xlfn.MINIFS(安値!$E$3:$IT$3,安値!$E$3:$IT$3,"&gt;"&amp;$E373,安値!$E$3:$IT$3,"&lt;="&amp;$AE373,OFFSET(安値!$E$6:$IT$6,MATCH(TEXT($B373,"0"),TEXT(銘柄管理!$B$6:$B$305,"0"),0)-1,0),"&lt;="&amp;$N373)),""))</f>
        <v/>
      </c>
      <c r="AH373" s="600" t="str">
        <f>IF(OR($B373="",$M373=""),"",IF(AND(N($AF373)=0,N($AG373)=0),IF(AND(ISNUMBER($H373),$H373&gt;0,IF($C373="売",$H373&gt;=$N373,$H373&lt;=$N373)),"損切確定",IF(AND(ISNUMBER($H373),$H373&gt;0,IF($C373="売",$H373&lt;=$M373,$H373&gt;=$M373)),"利益確定",IF($AE373&lt;=TODAY(),"日数制限","保有中"))),IF(N($AG373)=0,"利益確定",IF(N($AF373)=0,"損切確定",IF($AG373&lt;=$AF373,"損切確定","利益確定")))))</f>
        <v/>
      </c>
      <c r="AI373" s="600" t="str" cm="1">
        <f t="array" ref="AI373">IFERROR(INDEX(始値!$E$6:$IT$305,MATCH(TEXT($B373,"0"),TEXT(銘柄管理!$B$6:$B$305,"0"),0),MATCH($AE373,始値!$E$3:$IT$3,0)),"")</f>
        <v/>
      </c>
      <c r="AJ373" s="608" t="str">
        <f>IF(OR($V373="",$F373="",$G373=""),"",$V373/($F373*$G373))</f>
        <v/>
      </c>
      <c r="AK373" s="600" t="str">
        <f>IF($V373="","",IF($V373&gt;0,"○勝",IF($V373&lt;0,"●負","△引分")))</f>
        <v/>
      </c>
    </row>
    <row r="374" spans="1:37" ht="17.25" customHeight="1">
      <c r="A374" s="622" t="str">
        <f>IF(B374="","",HYPERLINK("https://kabutan.jp/stock/?code="&amp;B374,"株探"))</f>
        <v/>
      </c>
      <c r="D374" s="440" t="str" cm="1">
        <f t="array" ref="D374">_xll.RssMarket(B374, "銘柄名称")</f>
        <v/>
      </c>
      <c r="E374" s="717"/>
      <c r="F374" s="698" t="str" cm="1">
        <f t="array" aca="1" ref="F374" ca="1">IFERROR(_xlfn.LET(_xlpm.r,MATCH(TEXT($B374,"0"),TEXT(銘柄管理!$B$6:$B$305,"0"),0),_xlpm.t,MOD(NOW(),1),_xlpm.c,IF($E374=TODAY(),IF(_xlpm.t&gt;=TIME(15,30,0),NA(),1),IF(MATCH($E374,始値!$E$3:$IT$3,0)=1,1,MATCH($E374,始値!$E$3:$IT$3,0)+1)),_xlpm.v,INDEX(始値!$C$6:$IT$305,_xlpm.r,_xlpm.c),IF(N(_xlpm.v)=0,"",_xlpm.v)),"")</f>
        <v/>
      </c>
      <c r="H374" s="440" t="str" cm="1">
        <f t="array" ref="H374">_xll.RssMarket(B374, "現在値")</f>
        <v/>
      </c>
      <c r="I374" s="440" t="str" cm="1">
        <f t="array" ref="I374">_xll.RssMarket(B374, "出来高加重平均")</f>
        <v/>
      </c>
      <c r="J374" s="704" t="str" cm="1">
        <f t="array" ref="J374">_xll.RssMarket($B374, "前日比")</f>
        <v/>
      </c>
      <c r="K374" s="704" t="str">
        <f>IF(OR(F374="",G374="",H374=""),"",IF(C374="売",(F374-H374)*G374,(H374-F374)*G374))</f>
        <v/>
      </c>
      <c r="L374" s="709" t="str">
        <f>IF(OR(F374="",H374=""),"",IF(C374="売",(F374-H374)/F374,(H374-F374)/F374))</f>
        <v/>
      </c>
      <c r="M374" s="599" t="str">
        <f>IF($F374="","",$F374*IF($C374="売",1-V811設定!$B$4,1+V811設定!$B$4)-MOD($F374*IF($C374="売",1-V811設定!$B$4,1+V811設定!$B$4),IF($F374&lt;=3000,1,IF($F374&lt;=5000,5,IF($F374&lt;=30000,10,IF($F374&lt;=50000,50,IF($F374&lt;=300000,100,500))))))+IF(AND($C374="売",MOD($F374*IF($C374="売",1-V811設定!$B$4,1+V811設定!$B$4),IF($F374&lt;=3000,1,IF($F374&lt;=5000,5,IF($F374&lt;=30000,10,IF($F374&lt;=50000,50,IF($F374&lt;=300000,100,500))))))&gt;0),IF($F374&lt;=3000,1,IF($F374&lt;=5000,5,IF($F374&lt;=30000,10,IF($F374&lt;=50000,50,IF($F374&lt;=300000,100,500))))),0))</f>
      </c>
      <c r="N374" s="599" t="str">
        <f>IF($F374="","",$F374*IF($C374="売",1+V811設定!$B$3,1-V811設定!$B$3)-MOD($F374*IF($C374="売",1+V811設定!$B$3,1-V811設定!$B$3),IF($F374&lt;=3000,1,IF($F374&lt;=5000,5,IF($F374&lt;=30000,10,IF($F374&lt;=50000,50,IF($F374&lt;=300000,100,500))))))+IF(AND($C374="売",MOD($F374*IF($C374="売",1+V811設定!$B$3,1-V811設定!$B$3),IF($F374&lt;=3000,1,IF($F374&lt;=5000,5,IF($F374&lt;=30000,10,IF($F374&lt;=50000,50,IF($F374&lt;=300000,100,500))))))&gt;0),IF($F374&lt;=3000,1,IF($F374&lt;=5000,5,IF($F374&lt;=30000,10,IF($F374&lt;=50000,50,IF($F374&lt;=300000,100,500))))),0))</f>
      </c>
      <c r="O374" s="478" t="str">
        <f>IF(OR($B374="",$F374="",$H374=""),"",IF($S374="✅売却済","―決済済―",IF($C374="売",IF($H374&lt;=$M374,"🟢利確",IF(AND($R374&lt;&gt;"",$H374&gt;=$R374),"🟠TRAIL",IF($H374&gt;=$N374,"🔴損切",IF($W374&gt;=V811設定!$B$6,"⏱時間決済",IF($H374&gt;=$F374*(1+V811設定!$B$3*0.7),"⚠️損切接近","保持継続"))))),IF($H374&gt;=$M374,"🟢利確",IF(AND($R374&lt;&gt;"",$H374&lt;=$R374),"🟠TRAIL",IF($H374&lt;=$N374,"🔴損切",IF($W374&gt;=V811設定!$B$6,"⏱時間決済",IF($H374&lt;=$F374*(1-V811設定!$B$3*0.7),"⚠️損切接近","保持継続"))))))))</f>
      </c>
      <c r="P374" s="445"/>
      <c r="R374" s="440" t="str">
        <f>IF(OR($F374="",$H374="",$N374=""),"",IF($S374="✅売却済","",IF($C374="売",IF($H374&gt;$F374*(1-V811設定!$B$3),$N374,MIN($N374,IF($Q374="",$N374,$Q374*1.03))),IF($H374&lt;$F374*(1+V811設定!$B$3),$N374,MAX($N374,IF($P374="",$N374,$P374*0.97))))))</f>
      </c>
      <c r="S374" s="440" t="str">
        <f>IF(B374="","",IF(T374&lt;&gt;"","✅売却済",IF(OR(H374="",L374=""),"📌保有中",IF(L374&gt;=0.06,"🟢利確推奨",IF(L374&gt;=0.05,"🟡利確直近",IF(L374&gt;=0.045,"🔵トレーリング検討",IF(L374&gt;-0.03,"📌保有中",IF(L374&gt;-0.04,"⚠️損切注意","🔴損切り"))))))))</f>
        <v/>
      </c>
      <c r="T374" s="597"/>
      <c r="U374" s="599"/>
      <c r="V374" s="704" t="str">
        <f>IF(OR(F374="",G374="",U374=""),"",IF(C374="売",(F374-U374)*G374,(U374-F374)*G374))</f>
        <v/>
      </c>
      <c r="W374" s="440" t="str">
        <f>IF(OR($E374="",$B374=""),"",IF($T374&lt;&gt;"",$T374-$E374,TODAY()-$E374)+1)</f>
        <v/>
      </c>
      <c r="X374" s="440" t="str">
        <f>IF(OR($AH374="",$AH374="保有中"),"",$AH374)</f>
        <v/>
      </c>
      <c r="AD374" s="608"/>
      <c r="AE374" s="600" t="str">
        <f>IF($E374="","",WORKDAY($E374,12))</f>
        <v/>
      </c>
      <c r="AF374" s="600" t="str" cm="1">
        <f t="array" aca="1" ref="AF374" ca="1">IF(OR($B374="",$M374=""),"",IFERROR(IF($C374="売",_xlfn.MINIFS(安値!$E$3:$IT$3,安値!$E$3:$IT$3,"&gt;"&amp;$E374,安値!$E$3:$IT$3,"&lt;="&amp;$AE374,OFFSET(安値!$E$6:$IT$6,MATCH(TEXT($B374,"0"),TEXT(銘柄管理!$B$6:$B$305,"0"),0)-1,0),"&lt;="&amp;$M374),_xlfn.MINIFS(高値!$E$3:$IT$3,高値!$E$3:$IT$3,"&gt;"&amp;$E374,高値!$E$3:$IT$3,"&lt;="&amp;$AE374,OFFSET(高値!$E$6:$IT$6,MATCH(TEXT($B374,"0"),TEXT(銘柄管理!$B$6:$B$305,"0"),0)-1,0),"&gt;="&amp;$M374)),""))</f>
        <v/>
      </c>
      <c r="AG374" s="600" t="str" cm="1">
        <f t="array" aca="1" ref="AG374" ca="1">IF(OR($B374="",$N374=""),"",IFERROR(IF($C374="売",_xlfn.MINIFS(高値!$E$3:$IT$3,高値!$E$3:$IT$3,"&gt;"&amp;$E374,高値!$E$3:$IT$3,"&lt;="&amp;$AE374,OFFSET(高値!$E$6:$IT$6,MATCH(TEXT($B374,"0"),TEXT(銘柄管理!$B$6:$B$305,"0"),0)-1,0),"&gt;="&amp;$N374),_xlfn.MINIFS(安値!$E$3:$IT$3,安値!$E$3:$IT$3,"&gt;"&amp;$E374,安値!$E$3:$IT$3,"&lt;="&amp;$AE374,OFFSET(安値!$E$6:$IT$6,MATCH(TEXT($B374,"0"),TEXT(銘柄管理!$B$6:$B$305,"0"),0)-1,0),"&lt;="&amp;$N374)),""))</f>
        <v/>
      </c>
      <c r="AH374" s="600" t="str">
        <f>IF(OR($B374="",$M374=""),"",IF(AND(N($AF374)=0,N($AG374)=0),IF(AND(ISNUMBER($H374),$H374&gt;0,IF($C374="売",$H374&gt;=$N374,$H374&lt;=$N374)),"損切確定",IF(AND(ISNUMBER($H374),$H374&gt;0,IF($C374="売",$H374&lt;=$M374,$H374&gt;=$M374)),"利益確定",IF($AE374&lt;=TODAY(),"日数制限","保有中"))),IF(N($AG374)=0,"利益確定",IF(N($AF374)=0,"損切確定",IF($AG374&lt;=$AF374,"損切確定","利益確定")))))</f>
        <v/>
      </c>
      <c r="AI374" s="600" t="str" cm="1">
        <f t="array" ref="AI374">IFERROR(INDEX(始値!$E$6:$IT$305,MATCH(TEXT($B374,"0"),TEXT(銘柄管理!$B$6:$B$305,"0"),0),MATCH($AE374,始値!$E$3:$IT$3,0)),"")</f>
        <v/>
      </c>
      <c r="AJ374" s="608" t="str">
        <f>IF(OR($V374="",$F374="",$G374=""),"",$V374/($F374*$G374))</f>
        <v/>
      </c>
      <c r="AK374" s="600" t="str">
        <f>IF($V374="","",IF($V374&gt;0,"○勝",IF($V374&lt;0,"●負","△引分")))</f>
        <v/>
      </c>
    </row>
    <row r="375" spans="1:37" ht="17.25" customHeight="1">
      <c r="A375" s="622" t="str">
        <f>IF(B375="","",HYPERLINK("https://kabutan.jp/stock/?code="&amp;B375,"株探"))</f>
        <v/>
      </c>
      <c r="D375" s="440" t="str" cm="1">
        <f t="array" ref="D375">_xll.RssMarket(B375, "銘柄名称")</f>
        <v/>
      </c>
      <c r="E375" s="717"/>
      <c r="F375" s="698" t="str" cm="1">
        <f t="array" aca="1" ref="F375" ca="1">IFERROR(_xlfn.LET(_xlpm.r,MATCH(TEXT($B375,"0"),TEXT(銘柄管理!$B$6:$B$305,"0"),0),_xlpm.t,MOD(NOW(),1),_xlpm.c,IF($E375=TODAY(),IF(_xlpm.t&gt;=TIME(15,30,0),NA(),1),IF(MATCH($E375,始値!$E$3:$IT$3,0)=1,1,MATCH($E375,始値!$E$3:$IT$3,0)+1)),_xlpm.v,INDEX(始値!$C$6:$IT$305,_xlpm.r,_xlpm.c),IF(N(_xlpm.v)=0,"",_xlpm.v)),"")</f>
        <v/>
      </c>
      <c r="H375" s="440" t="str" cm="1">
        <f t="array" ref="H375">_xll.RssMarket(B375, "現在値")</f>
        <v/>
      </c>
      <c r="I375" s="440" t="str" cm="1">
        <f t="array" ref="I375">_xll.RssMarket(B375, "出来高加重平均")</f>
        <v/>
      </c>
      <c r="J375" s="704" t="str" cm="1">
        <f t="array" ref="J375">_xll.RssMarket($B375, "前日比")</f>
        <v/>
      </c>
      <c r="K375" s="704" t="str">
        <f>IF(OR(F375="",G375="",H375=""),"",IF(C375="売",(F375-H375)*G375,(H375-F375)*G375))</f>
        <v/>
      </c>
      <c r="L375" s="709" t="str">
        <f>IF(OR(F375="",H375=""),"",IF(C375="売",(F375-H375)/F375,(H375-F375)/F375))</f>
        <v/>
      </c>
      <c r="M375" s="599" t="str">
        <f>IF($F375="","",$F375*IF($C375="売",1-V811設定!$B$4,1+V811設定!$B$4)-MOD($F375*IF($C375="売",1-V811設定!$B$4,1+V811設定!$B$4),IF($F375&lt;=3000,1,IF($F375&lt;=5000,5,IF($F375&lt;=30000,10,IF($F375&lt;=50000,50,IF($F375&lt;=300000,100,500))))))+IF(AND($C375="売",MOD($F375*IF($C375="売",1-V811設定!$B$4,1+V811設定!$B$4),IF($F375&lt;=3000,1,IF($F375&lt;=5000,5,IF($F375&lt;=30000,10,IF($F375&lt;=50000,50,IF($F375&lt;=300000,100,500))))))&gt;0),IF($F375&lt;=3000,1,IF($F375&lt;=5000,5,IF($F375&lt;=30000,10,IF($F375&lt;=50000,50,IF($F375&lt;=300000,100,500))))),0))</f>
      </c>
      <c r="N375" s="599" t="str">
        <f>IF($F375="","",$F375*IF($C375="売",1+V811設定!$B$3,1-V811設定!$B$3)-MOD($F375*IF($C375="売",1+V811設定!$B$3,1-V811設定!$B$3),IF($F375&lt;=3000,1,IF($F375&lt;=5000,5,IF($F375&lt;=30000,10,IF($F375&lt;=50000,50,IF($F375&lt;=300000,100,500))))))+IF(AND($C375="売",MOD($F375*IF($C375="売",1+V811設定!$B$3,1-V811設定!$B$3),IF($F375&lt;=3000,1,IF($F375&lt;=5000,5,IF($F375&lt;=30000,10,IF($F375&lt;=50000,50,IF($F375&lt;=300000,100,500))))))&gt;0),IF($F375&lt;=3000,1,IF($F375&lt;=5000,5,IF($F375&lt;=30000,10,IF($F375&lt;=50000,50,IF($F375&lt;=300000,100,500))))),0))</f>
      </c>
      <c r="O375" s="478" t="str">
        <f>IF(OR($B375="",$F375="",$H375=""),"",IF($S375="✅売却済","―決済済―",IF($C375="売",IF($H375&lt;=$M375,"🟢利確",IF(AND($R375&lt;&gt;"",$H375&gt;=$R375),"🟠TRAIL",IF($H375&gt;=$N375,"🔴損切",IF($W375&gt;=V811設定!$B$6,"⏱時間決済",IF($H375&gt;=$F375*(1+V811設定!$B$3*0.7),"⚠️損切接近","保持継続"))))),IF($H375&gt;=$M375,"🟢利確",IF(AND($R375&lt;&gt;"",$H375&lt;=$R375),"🟠TRAIL",IF($H375&lt;=$N375,"🔴損切",IF($W375&gt;=V811設定!$B$6,"⏱時間決済",IF($H375&lt;=$F375*(1-V811設定!$B$3*0.7),"⚠️損切接近","保持継続"))))))))</f>
      </c>
      <c r="P375" s="445"/>
      <c r="R375" s="440" t="str">
        <f>IF(OR($F375="",$H375="",$N375=""),"",IF($S375="✅売却済","",IF($C375="売",IF($H375&gt;$F375*(1-V811設定!$B$3),$N375,MIN($N375,IF($Q375="",$N375,$Q375*1.03))),IF($H375&lt;$F375*(1+V811設定!$B$3),$N375,MAX($N375,IF($P375="",$N375,$P375*0.97))))))</f>
      </c>
      <c r="S375" s="440" t="str">
        <f>IF(B375="","",IF(T375&lt;&gt;"","✅売却済",IF(OR(H375="",L375=""),"📌保有中",IF(L375&gt;=0.06,"🟢利確推奨",IF(L375&gt;=0.05,"🟡利確直近",IF(L375&gt;=0.045,"🔵トレーリング検討",IF(L375&gt;-0.03,"📌保有中",IF(L375&gt;-0.04,"⚠️損切注意","🔴損切り"))))))))</f>
        <v/>
      </c>
      <c r="T375" s="597"/>
      <c r="U375" s="599"/>
      <c r="V375" s="704" t="str">
        <f>IF(OR(F375="",G375="",U375=""),"",IF(C375="売",(F375-U375)*G375,(U375-F375)*G375))</f>
        <v/>
      </c>
      <c r="W375" s="440" t="str">
        <f>IF(OR($E375="",$B375=""),"",IF($T375&lt;&gt;"",$T375-$E375,TODAY()-$E375)+1)</f>
        <v/>
      </c>
      <c r="X375" s="440" t="str">
        <f>IF(OR($AH375="",$AH375="保有中"),"",$AH375)</f>
        <v/>
      </c>
      <c r="AD375" s="608"/>
      <c r="AE375" s="600" t="str">
        <f>IF($E375="","",WORKDAY($E375,12))</f>
        <v/>
      </c>
      <c r="AF375" s="600" t="str" cm="1">
        <f t="array" aca="1" ref="AF375" ca="1">IF(OR($B375="",$M375=""),"",IFERROR(IF($C375="売",_xlfn.MINIFS(安値!$E$3:$IT$3,安値!$E$3:$IT$3,"&gt;"&amp;$E375,安値!$E$3:$IT$3,"&lt;="&amp;$AE375,OFFSET(安値!$E$6:$IT$6,MATCH(TEXT($B375,"0"),TEXT(銘柄管理!$B$6:$B$305,"0"),0)-1,0),"&lt;="&amp;$M375),_xlfn.MINIFS(高値!$E$3:$IT$3,高値!$E$3:$IT$3,"&gt;"&amp;$E375,高値!$E$3:$IT$3,"&lt;="&amp;$AE375,OFFSET(高値!$E$6:$IT$6,MATCH(TEXT($B375,"0"),TEXT(銘柄管理!$B$6:$B$305,"0"),0)-1,0),"&gt;="&amp;$M375)),""))</f>
        <v/>
      </c>
      <c r="AG375" s="600" t="str" cm="1">
        <f t="array" aca="1" ref="AG375" ca="1">IF(OR($B375="",$N375=""),"",IFERROR(IF($C375="売",_xlfn.MINIFS(高値!$E$3:$IT$3,高値!$E$3:$IT$3,"&gt;"&amp;$E375,高値!$E$3:$IT$3,"&lt;="&amp;$AE375,OFFSET(高値!$E$6:$IT$6,MATCH(TEXT($B375,"0"),TEXT(銘柄管理!$B$6:$B$305,"0"),0)-1,0),"&gt;="&amp;$N375),_xlfn.MINIFS(安値!$E$3:$IT$3,安値!$E$3:$IT$3,"&gt;"&amp;$E375,安値!$E$3:$IT$3,"&lt;="&amp;$AE375,OFFSET(安値!$E$6:$IT$6,MATCH(TEXT($B375,"0"),TEXT(銘柄管理!$B$6:$B$305,"0"),0)-1,0),"&lt;="&amp;$N375)),""))</f>
        <v/>
      </c>
      <c r="AH375" s="600" t="str">
        <f>IF(OR($B375="",$M375=""),"",IF(AND(N($AF375)=0,N($AG375)=0),IF(AND(ISNUMBER($H375),$H375&gt;0,IF($C375="売",$H375&gt;=$N375,$H375&lt;=$N375)),"損切確定",IF(AND(ISNUMBER($H375),$H375&gt;0,IF($C375="売",$H375&lt;=$M375,$H375&gt;=$M375)),"利益確定",IF($AE375&lt;=TODAY(),"日数制限","保有中"))),IF(N($AG375)=0,"利益確定",IF(N($AF375)=0,"損切確定",IF($AG375&lt;=$AF375,"損切確定","利益確定")))))</f>
        <v/>
      </c>
      <c r="AI375" s="600" t="str" cm="1">
        <f t="array" ref="AI375">IFERROR(INDEX(始値!$E$6:$IT$305,MATCH(TEXT($B375,"0"),TEXT(銘柄管理!$B$6:$B$305,"0"),0),MATCH($AE375,始値!$E$3:$IT$3,0)),"")</f>
        <v/>
      </c>
      <c r="AJ375" s="608" t="str">
        <f>IF(OR($V375="",$F375="",$G375=""),"",$V375/($F375*$G375))</f>
        <v/>
      </c>
      <c r="AK375" s="600" t="str">
        <f>IF($V375="","",IF($V375&gt;0,"○勝",IF($V375&lt;0,"●負","△引分")))</f>
        <v/>
      </c>
    </row>
    <row r="376" spans="1:37" ht="17.25" customHeight="1">
      <c r="A376" s="622" t="str">
        <f>IF(B376="","",HYPERLINK("https://kabutan.jp/stock/?code="&amp;B376,"株探"))</f>
        <v/>
      </c>
      <c r="D376" s="440" t="str" cm="1">
        <f t="array" ref="D376">_xll.RssMarket(B376, "銘柄名称")</f>
        <v/>
      </c>
      <c r="E376" s="717"/>
      <c r="F376" s="698" t="str" cm="1">
        <f t="array" aca="1" ref="F376" ca="1">IFERROR(_xlfn.LET(_xlpm.r,MATCH(TEXT($B376,"0"),TEXT(銘柄管理!$B$6:$B$305,"0"),0),_xlpm.t,MOD(NOW(),1),_xlpm.c,IF($E376=TODAY(),IF(_xlpm.t&gt;=TIME(15,30,0),NA(),1),IF(MATCH($E376,始値!$E$3:$IT$3,0)=1,1,MATCH($E376,始値!$E$3:$IT$3,0)+1)),_xlpm.v,INDEX(始値!$C$6:$IT$305,_xlpm.r,_xlpm.c),IF(N(_xlpm.v)=0,"",_xlpm.v)),"")</f>
        <v/>
      </c>
      <c r="H376" s="440" t="str" cm="1">
        <f t="array" ref="H376">_xll.RssMarket(B376, "現在値")</f>
        <v/>
      </c>
      <c r="I376" s="440" t="str" cm="1">
        <f t="array" ref="I376">_xll.RssMarket(B376, "出来高加重平均")</f>
        <v/>
      </c>
      <c r="J376" s="704" t="str" cm="1">
        <f t="array" ref="J376">_xll.RssMarket($B376, "前日比")</f>
        <v/>
      </c>
      <c r="K376" s="704" t="str">
        <f>IF(OR(F376="",G376="",H376=""),"",IF(C376="売",(F376-H376)*G376,(H376-F376)*G376))</f>
        <v/>
      </c>
      <c r="L376" s="709" t="str">
        <f>IF(OR(F376="",H376=""),"",IF(C376="売",(F376-H376)/F376,(H376-F376)/F376))</f>
        <v/>
      </c>
      <c r="M376" s="599" t="str">
        <f>IF($F376="","",$F376*IF($C376="売",1-V811設定!$B$4,1+V811設定!$B$4)-MOD($F376*IF($C376="売",1-V811設定!$B$4,1+V811設定!$B$4),IF($F376&lt;=3000,1,IF($F376&lt;=5000,5,IF($F376&lt;=30000,10,IF($F376&lt;=50000,50,IF($F376&lt;=300000,100,500))))))+IF(AND($C376="売",MOD($F376*IF($C376="売",1-V811設定!$B$4,1+V811設定!$B$4),IF($F376&lt;=3000,1,IF($F376&lt;=5000,5,IF($F376&lt;=30000,10,IF($F376&lt;=50000,50,IF($F376&lt;=300000,100,500))))))&gt;0),IF($F376&lt;=3000,1,IF($F376&lt;=5000,5,IF($F376&lt;=30000,10,IF($F376&lt;=50000,50,IF($F376&lt;=300000,100,500))))),0))</f>
      </c>
      <c r="N376" s="599" t="str">
        <f>IF($F376="","",$F376*IF($C376="売",1+V811設定!$B$3,1-V811設定!$B$3)-MOD($F376*IF($C376="売",1+V811設定!$B$3,1-V811設定!$B$3),IF($F376&lt;=3000,1,IF($F376&lt;=5000,5,IF($F376&lt;=30000,10,IF($F376&lt;=50000,50,IF($F376&lt;=300000,100,500))))))+IF(AND($C376="売",MOD($F376*IF($C376="売",1+V811設定!$B$3,1-V811設定!$B$3),IF($F376&lt;=3000,1,IF($F376&lt;=5000,5,IF($F376&lt;=30000,10,IF($F376&lt;=50000,50,IF($F376&lt;=300000,100,500))))))&gt;0),IF($F376&lt;=3000,1,IF($F376&lt;=5000,5,IF($F376&lt;=30000,10,IF($F376&lt;=50000,50,IF($F376&lt;=300000,100,500))))),0))</f>
      </c>
      <c r="O376" s="478" t="str">
        <f>IF(OR($B376="",$F376="",$H376=""),"",IF($S376="✅売却済","―決済済―",IF($C376="売",IF($H376&lt;=$M376,"🟢利確",IF(AND($R376&lt;&gt;"",$H376&gt;=$R376),"🟠TRAIL",IF($H376&gt;=$N376,"🔴損切",IF($W376&gt;=V811設定!$B$6,"⏱時間決済",IF($H376&gt;=$F376*(1+V811設定!$B$3*0.7),"⚠️損切接近","保持継続"))))),IF($H376&gt;=$M376,"🟢利確",IF(AND($R376&lt;&gt;"",$H376&lt;=$R376),"🟠TRAIL",IF($H376&lt;=$N376,"🔴損切",IF($W376&gt;=V811設定!$B$6,"⏱時間決済",IF($H376&lt;=$F376*(1-V811設定!$B$3*0.7),"⚠️損切接近","保持継続"))))))))</f>
      </c>
      <c r="P376" s="445"/>
      <c r="R376" s="440" t="str">
        <f>IF(OR($F376="",$H376="",$N376=""),"",IF($S376="✅売却済","",IF($C376="売",IF($H376&gt;$F376*(1-V811設定!$B$3),$N376,MIN($N376,IF($Q376="",$N376,$Q376*1.03))),IF($H376&lt;$F376*(1+V811設定!$B$3),$N376,MAX($N376,IF($P376="",$N376,$P376*0.97))))))</f>
      </c>
      <c r="S376" s="440" t="str">
        <f>IF(B376="","",IF(T376&lt;&gt;"","✅売却済",IF(OR(H376="",L376=""),"📌保有中",IF(L376&gt;=0.06,"🟢利確推奨",IF(L376&gt;=0.05,"🟡利確直近",IF(L376&gt;=0.045,"🔵トレーリング検討",IF(L376&gt;-0.03,"📌保有中",IF(L376&gt;-0.04,"⚠️損切注意","🔴損切り"))))))))</f>
        <v/>
      </c>
      <c r="T376" s="597"/>
      <c r="U376" s="599"/>
      <c r="V376" s="704" t="str">
        <f>IF(OR(F376="",G376="",U376=""),"",IF(C376="売",(F376-U376)*G376,(U376-F376)*G376))</f>
        <v/>
      </c>
      <c r="W376" s="440" t="str">
        <f>IF(OR($E376="",$B376=""),"",IF($T376&lt;&gt;"",$T376-$E376,TODAY()-$E376)+1)</f>
        <v/>
      </c>
      <c r="X376" s="440" t="str">
        <f>IF(OR($AH376="",$AH376="保有中"),"",$AH376)</f>
        <v/>
      </c>
      <c r="AD376" s="608"/>
      <c r="AE376" s="600" t="str">
        <f>IF($E376="","",WORKDAY($E376,12))</f>
        <v/>
      </c>
      <c r="AF376" s="600" t="str" cm="1">
        <f t="array" aca="1" ref="AF376" ca="1">IF(OR($B376="",$M376=""),"",IFERROR(IF($C376="売",_xlfn.MINIFS(安値!$E$3:$IT$3,安値!$E$3:$IT$3,"&gt;"&amp;$E376,安値!$E$3:$IT$3,"&lt;="&amp;$AE376,OFFSET(安値!$E$6:$IT$6,MATCH(TEXT($B376,"0"),TEXT(銘柄管理!$B$6:$B$305,"0"),0)-1,0),"&lt;="&amp;$M376),_xlfn.MINIFS(高値!$E$3:$IT$3,高値!$E$3:$IT$3,"&gt;"&amp;$E376,高値!$E$3:$IT$3,"&lt;="&amp;$AE376,OFFSET(高値!$E$6:$IT$6,MATCH(TEXT($B376,"0"),TEXT(銘柄管理!$B$6:$B$305,"0"),0)-1,0),"&gt;="&amp;$M376)),""))</f>
        <v/>
      </c>
      <c r="AG376" s="600" t="str" cm="1">
        <f t="array" aca="1" ref="AG376" ca="1">IF(OR($B376="",$N376=""),"",IFERROR(IF($C376="売",_xlfn.MINIFS(高値!$E$3:$IT$3,高値!$E$3:$IT$3,"&gt;"&amp;$E376,高値!$E$3:$IT$3,"&lt;="&amp;$AE376,OFFSET(高値!$E$6:$IT$6,MATCH(TEXT($B376,"0"),TEXT(銘柄管理!$B$6:$B$305,"0"),0)-1,0),"&gt;="&amp;$N376),_xlfn.MINIFS(安値!$E$3:$IT$3,安値!$E$3:$IT$3,"&gt;"&amp;$E376,安値!$E$3:$IT$3,"&lt;="&amp;$AE376,OFFSET(安値!$E$6:$IT$6,MATCH(TEXT($B376,"0"),TEXT(銘柄管理!$B$6:$B$305,"0"),0)-1,0),"&lt;="&amp;$N376)),""))</f>
        <v/>
      </c>
      <c r="AH376" s="600" t="str">
        <f>IF(OR($B376="",$M376=""),"",IF(AND(N($AF376)=0,N($AG376)=0),IF(AND(ISNUMBER($H376),$H376&gt;0,IF($C376="売",$H376&gt;=$N376,$H376&lt;=$N376)),"損切確定",IF(AND(ISNUMBER($H376),$H376&gt;0,IF($C376="売",$H376&lt;=$M376,$H376&gt;=$M376)),"利益確定",IF($AE376&lt;=TODAY(),"日数制限","保有中"))),IF(N($AG376)=0,"利益確定",IF(N($AF376)=0,"損切確定",IF($AG376&lt;=$AF376,"損切確定","利益確定")))))</f>
        <v/>
      </c>
      <c r="AI376" s="600" t="str" cm="1">
        <f t="array" ref="AI376">IFERROR(INDEX(始値!$E$6:$IT$305,MATCH(TEXT($B376,"0"),TEXT(銘柄管理!$B$6:$B$305,"0"),0),MATCH($AE376,始値!$E$3:$IT$3,0)),"")</f>
        <v/>
      </c>
      <c r="AJ376" s="608" t="str">
        <f>IF(OR($V376="",$F376="",$G376=""),"",$V376/($F376*$G376))</f>
        <v/>
      </c>
      <c r="AK376" s="600" t="str">
        <f>IF($V376="","",IF($V376&gt;0,"○勝",IF($V376&lt;0,"●負","△引分")))</f>
        <v/>
      </c>
    </row>
    <row r="377" spans="1:37" ht="17.25" customHeight="1">
      <c r="A377" s="622" t="str">
        <f>IF(B377="","",HYPERLINK("https://kabutan.jp/stock/?code="&amp;B377,"株探"))</f>
        <v/>
      </c>
      <c r="D377" s="440" t="str" cm="1">
        <f t="array" ref="D377">_xll.RssMarket(B377, "銘柄名称")</f>
        <v/>
      </c>
      <c r="E377" s="717"/>
      <c r="F377" s="698" t="str" cm="1">
        <f t="array" aca="1" ref="F377" ca="1">IFERROR(_xlfn.LET(_xlpm.r,MATCH(TEXT($B377,"0"),TEXT(銘柄管理!$B$6:$B$305,"0"),0),_xlpm.t,MOD(NOW(),1),_xlpm.c,IF($E377=TODAY(),IF(_xlpm.t&gt;=TIME(15,30,0),NA(),1),IF(MATCH($E377,始値!$E$3:$IT$3,0)=1,1,MATCH($E377,始値!$E$3:$IT$3,0)+1)),_xlpm.v,INDEX(始値!$C$6:$IT$305,_xlpm.r,_xlpm.c),IF(N(_xlpm.v)=0,"",_xlpm.v)),"")</f>
        <v/>
      </c>
      <c r="H377" s="440" t="str" cm="1">
        <f t="array" ref="H377">_xll.RssMarket(B377, "現在値")</f>
        <v/>
      </c>
      <c r="I377" s="440" t="str" cm="1">
        <f t="array" ref="I377">_xll.RssMarket(B377, "出来高加重平均")</f>
        <v/>
      </c>
      <c r="J377" s="704" t="str" cm="1">
        <f t="array" ref="J377">_xll.RssMarket($B377, "前日比")</f>
        <v/>
      </c>
      <c r="K377" s="704" t="str">
        <f>IF(OR(F377="",G377="",H377=""),"",IF(C377="売",(F377-H377)*G377,(H377-F377)*G377))</f>
        <v/>
      </c>
      <c r="L377" s="709" t="str">
        <f>IF(OR(F377="",H377=""),"",IF(C377="売",(F377-H377)/F377,(H377-F377)/F377))</f>
        <v/>
      </c>
      <c r="M377" s="599" t="str">
        <f>IF($F377="","",$F377*IF($C377="売",1-V811設定!$B$4,1+V811設定!$B$4)-MOD($F377*IF($C377="売",1-V811設定!$B$4,1+V811設定!$B$4),IF($F377&lt;=3000,1,IF($F377&lt;=5000,5,IF($F377&lt;=30000,10,IF($F377&lt;=50000,50,IF($F377&lt;=300000,100,500))))))+IF(AND($C377="売",MOD($F377*IF($C377="売",1-V811設定!$B$4,1+V811設定!$B$4),IF($F377&lt;=3000,1,IF($F377&lt;=5000,5,IF($F377&lt;=30000,10,IF($F377&lt;=50000,50,IF($F377&lt;=300000,100,500))))))&gt;0),IF($F377&lt;=3000,1,IF($F377&lt;=5000,5,IF($F377&lt;=30000,10,IF($F377&lt;=50000,50,IF($F377&lt;=300000,100,500))))),0))</f>
      </c>
      <c r="N377" s="599" t="str">
        <f>IF($F377="","",$F377*IF($C377="売",1+V811設定!$B$3,1-V811設定!$B$3)-MOD($F377*IF($C377="売",1+V811設定!$B$3,1-V811設定!$B$3),IF($F377&lt;=3000,1,IF($F377&lt;=5000,5,IF($F377&lt;=30000,10,IF($F377&lt;=50000,50,IF($F377&lt;=300000,100,500))))))+IF(AND($C377="売",MOD($F377*IF($C377="売",1+V811設定!$B$3,1-V811設定!$B$3),IF($F377&lt;=3000,1,IF($F377&lt;=5000,5,IF($F377&lt;=30000,10,IF($F377&lt;=50000,50,IF($F377&lt;=300000,100,500))))))&gt;0),IF($F377&lt;=3000,1,IF($F377&lt;=5000,5,IF($F377&lt;=30000,10,IF($F377&lt;=50000,50,IF($F377&lt;=300000,100,500))))),0))</f>
      </c>
      <c r="O377" s="478" t="str">
        <f>IF(OR($B377="",$F377="",$H377=""),"",IF($S377="✅売却済","―決済済―",IF($C377="売",IF($H377&lt;=$M377,"🟢利確",IF(AND($R377&lt;&gt;"",$H377&gt;=$R377),"🟠TRAIL",IF($H377&gt;=$N377,"🔴損切",IF($W377&gt;=V811設定!$B$6,"⏱時間決済",IF($H377&gt;=$F377*(1+V811設定!$B$3*0.7),"⚠️損切接近","保持継続"))))),IF($H377&gt;=$M377,"🟢利確",IF(AND($R377&lt;&gt;"",$H377&lt;=$R377),"🟠TRAIL",IF($H377&lt;=$N377,"🔴損切",IF($W377&gt;=V811設定!$B$6,"⏱時間決済",IF($H377&lt;=$F377*(1-V811設定!$B$3*0.7),"⚠️損切接近","保持継続"))))))))</f>
      </c>
      <c r="P377" s="445"/>
      <c r="R377" s="440" t="str">
        <f>IF(OR($F377="",$H377="",$N377=""),"",IF($S377="✅売却済","",IF($C377="売",IF($H377&gt;$F377*(1-V811設定!$B$3),$N377,MIN($N377,IF($Q377="",$N377,$Q377*1.03))),IF($H377&lt;$F377*(1+V811設定!$B$3),$N377,MAX($N377,IF($P377="",$N377,$P377*0.97))))))</f>
      </c>
      <c r="S377" s="440" t="str">
        <f>IF(B377="","",IF(T377&lt;&gt;"","✅売却済",IF(OR(H377="",L377=""),"📌保有中",IF(L377&gt;=0.06,"🟢利確推奨",IF(L377&gt;=0.05,"🟡利確直近",IF(L377&gt;=0.045,"🔵トレーリング検討",IF(L377&gt;-0.03,"📌保有中",IF(L377&gt;-0.04,"⚠️損切注意","🔴損切り"))))))))</f>
        <v/>
      </c>
      <c r="T377" s="597"/>
      <c r="U377" s="599"/>
      <c r="V377" s="704" t="str">
        <f>IF(OR(F377="",G377="",U377=""),"",IF(C377="売",(F377-U377)*G377,(U377-F377)*G377))</f>
        <v/>
      </c>
      <c r="W377" s="440" t="str">
        <f>IF(OR($E377="",$B377=""),"",IF($T377&lt;&gt;"",$T377-$E377,TODAY()-$E377)+1)</f>
        <v/>
      </c>
      <c r="X377" s="440" t="str">
        <f>IF(OR($AH377="",$AH377="保有中"),"",$AH377)</f>
        <v/>
      </c>
      <c r="AD377" s="608"/>
      <c r="AE377" s="600" t="str">
        <f>IF($E377="","",WORKDAY($E377,12))</f>
        <v/>
      </c>
      <c r="AF377" s="600" t="str" cm="1">
        <f t="array" aca="1" ref="AF377" ca="1">IF(OR($B377="",$M377=""),"",IFERROR(IF($C377="売",_xlfn.MINIFS(安値!$E$3:$IT$3,安値!$E$3:$IT$3,"&gt;"&amp;$E377,安値!$E$3:$IT$3,"&lt;="&amp;$AE377,OFFSET(安値!$E$6:$IT$6,MATCH(TEXT($B377,"0"),TEXT(銘柄管理!$B$6:$B$305,"0"),0)-1,0),"&lt;="&amp;$M377),_xlfn.MINIFS(高値!$E$3:$IT$3,高値!$E$3:$IT$3,"&gt;"&amp;$E377,高値!$E$3:$IT$3,"&lt;="&amp;$AE377,OFFSET(高値!$E$6:$IT$6,MATCH(TEXT($B377,"0"),TEXT(銘柄管理!$B$6:$B$305,"0"),0)-1,0),"&gt;="&amp;$M377)),""))</f>
        <v/>
      </c>
      <c r="AG377" s="600" t="str" cm="1">
        <f t="array" aca="1" ref="AG377" ca="1">IF(OR($B377="",$N377=""),"",IFERROR(IF($C377="売",_xlfn.MINIFS(高値!$E$3:$IT$3,高値!$E$3:$IT$3,"&gt;"&amp;$E377,高値!$E$3:$IT$3,"&lt;="&amp;$AE377,OFFSET(高値!$E$6:$IT$6,MATCH(TEXT($B377,"0"),TEXT(銘柄管理!$B$6:$B$305,"0"),0)-1,0),"&gt;="&amp;$N377),_xlfn.MINIFS(安値!$E$3:$IT$3,安値!$E$3:$IT$3,"&gt;"&amp;$E377,安値!$E$3:$IT$3,"&lt;="&amp;$AE377,OFFSET(安値!$E$6:$IT$6,MATCH(TEXT($B377,"0"),TEXT(銘柄管理!$B$6:$B$305,"0"),0)-1,0),"&lt;="&amp;$N377)),""))</f>
        <v/>
      </c>
      <c r="AH377" s="600" t="str">
        <f>IF(OR($B377="",$M377=""),"",IF(AND(N($AF377)=0,N($AG377)=0),IF(AND(ISNUMBER($H377),$H377&gt;0,IF($C377="売",$H377&gt;=$N377,$H377&lt;=$N377)),"損切確定",IF(AND(ISNUMBER($H377),$H377&gt;0,IF($C377="売",$H377&lt;=$M377,$H377&gt;=$M377)),"利益確定",IF($AE377&lt;=TODAY(),"日数制限","保有中"))),IF(N($AG377)=0,"利益確定",IF(N($AF377)=0,"損切確定",IF($AG377&lt;=$AF377,"損切確定","利益確定")))))</f>
        <v/>
      </c>
      <c r="AI377" s="600" t="str" cm="1">
        <f t="array" ref="AI377">IFERROR(INDEX(始値!$E$6:$IT$305,MATCH(TEXT($B377,"0"),TEXT(銘柄管理!$B$6:$B$305,"0"),0),MATCH($AE377,始値!$E$3:$IT$3,0)),"")</f>
        <v/>
      </c>
      <c r="AJ377" s="608" t="str">
        <f>IF(OR($V377="",$F377="",$G377=""),"",$V377/($F377*$G377))</f>
        <v/>
      </c>
      <c r="AK377" s="600" t="str">
        <f>IF($V377="","",IF($V377&gt;0,"○勝",IF($V377&lt;0,"●負","△引分")))</f>
        <v/>
      </c>
    </row>
    <row r="378" spans="1:37" ht="17.25" customHeight="1">
      <c r="A378" s="622" t="str">
        <f>IF(B378="","",HYPERLINK("https://kabutan.jp/stock/?code="&amp;B378,"株探"))</f>
        <v/>
      </c>
      <c r="D378" s="440" t="str" cm="1">
        <f t="array" ref="D378">_xll.RssMarket(B378, "銘柄名称")</f>
        <v/>
      </c>
      <c r="E378" s="717"/>
      <c r="F378" s="698" t="str" cm="1">
        <f t="array" aca="1" ref="F378" ca="1">IFERROR(_xlfn.LET(_xlpm.r,MATCH(TEXT($B378,"0"),TEXT(銘柄管理!$B$6:$B$305,"0"),0),_xlpm.t,MOD(NOW(),1),_xlpm.c,IF($E378=TODAY(),IF(_xlpm.t&gt;=TIME(15,30,0),NA(),1),IF(MATCH($E378,始値!$E$3:$IT$3,0)=1,1,MATCH($E378,始値!$E$3:$IT$3,0)+1)),_xlpm.v,INDEX(始値!$C$6:$IT$305,_xlpm.r,_xlpm.c),IF(N(_xlpm.v)=0,"",_xlpm.v)),"")</f>
        <v/>
      </c>
      <c r="H378" s="440" t="str" cm="1">
        <f t="array" ref="H378">_xll.RssMarket(B378, "現在値")</f>
        <v/>
      </c>
      <c r="I378" s="440" t="str" cm="1">
        <f t="array" ref="I378">_xll.RssMarket(B378, "出来高加重平均")</f>
        <v/>
      </c>
      <c r="J378" s="704" t="str" cm="1">
        <f t="array" ref="J378">_xll.RssMarket($B378, "前日比")</f>
        <v/>
      </c>
      <c r="K378" s="704" t="str">
        <f>IF(OR(F378="",G378="",H378=""),"",IF(C378="売",(F378-H378)*G378,(H378-F378)*G378))</f>
        <v/>
      </c>
      <c r="L378" s="709" t="str">
        <f>IF(OR(F378="",H378=""),"",IF(C378="売",(F378-H378)/F378,(H378-F378)/F378))</f>
        <v/>
      </c>
      <c r="M378" s="599" t="str">
        <f>IF($F378="","",$F378*IF($C378="売",1-V811設定!$B$4,1+V811設定!$B$4)-MOD($F378*IF($C378="売",1-V811設定!$B$4,1+V811設定!$B$4),IF($F378&lt;=3000,1,IF($F378&lt;=5000,5,IF($F378&lt;=30000,10,IF($F378&lt;=50000,50,IF($F378&lt;=300000,100,500))))))+IF(AND($C378="売",MOD($F378*IF($C378="売",1-V811設定!$B$4,1+V811設定!$B$4),IF($F378&lt;=3000,1,IF($F378&lt;=5000,5,IF($F378&lt;=30000,10,IF($F378&lt;=50000,50,IF($F378&lt;=300000,100,500))))))&gt;0),IF($F378&lt;=3000,1,IF($F378&lt;=5000,5,IF($F378&lt;=30000,10,IF($F378&lt;=50000,50,IF($F378&lt;=300000,100,500))))),0))</f>
      </c>
      <c r="N378" s="599" t="str">
        <f>IF($F378="","",$F378*IF($C378="売",1+V811設定!$B$3,1-V811設定!$B$3)-MOD($F378*IF($C378="売",1+V811設定!$B$3,1-V811設定!$B$3),IF($F378&lt;=3000,1,IF($F378&lt;=5000,5,IF($F378&lt;=30000,10,IF($F378&lt;=50000,50,IF($F378&lt;=300000,100,500))))))+IF(AND($C378="売",MOD($F378*IF($C378="売",1+V811設定!$B$3,1-V811設定!$B$3),IF($F378&lt;=3000,1,IF($F378&lt;=5000,5,IF($F378&lt;=30000,10,IF($F378&lt;=50000,50,IF($F378&lt;=300000,100,500))))))&gt;0),IF($F378&lt;=3000,1,IF($F378&lt;=5000,5,IF($F378&lt;=30000,10,IF($F378&lt;=50000,50,IF($F378&lt;=300000,100,500))))),0))</f>
      </c>
      <c r="O378" s="478" t="str">
        <f>IF(OR($B378="",$F378="",$H378=""),"",IF($S378="✅売却済","―決済済―",IF($C378="売",IF($H378&lt;=$M378,"🟢利確",IF(AND($R378&lt;&gt;"",$H378&gt;=$R378),"🟠TRAIL",IF($H378&gt;=$N378,"🔴損切",IF($W378&gt;=V811設定!$B$6,"⏱時間決済",IF($H378&gt;=$F378*(1+V811設定!$B$3*0.7),"⚠️損切接近","保持継続"))))),IF($H378&gt;=$M378,"🟢利確",IF(AND($R378&lt;&gt;"",$H378&lt;=$R378),"🟠TRAIL",IF($H378&lt;=$N378,"🔴損切",IF($W378&gt;=V811設定!$B$6,"⏱時間決済",IF($H378&lt;=$F378*(1-V811設定!$B$3*0.7),"⚠️損切接近","保持継続"))))))))</f>
      </c>
      <c r="P378" s="445"/>
      <c r="R378" s="440" t="str">
        <f>IF(OR($F378="",$H378="",$N378=""),"",IF($S378="✅売却済","",IF($C378="売",IF($H378&gt;$F378*(1-V811設定!$B$3),$N378,MIN($N378,IF($Q378="",$N378,$Q378*1.03))),IF($H378&lt;$F378*(1+V811設定!$B$3),$N378,MAX($N378,IF($P378="",$N378,$P378*0.97))))))</f>
      </c>
      <c r="S378" s="440" t="str">
        <f>IF(B378="","",IF(T378&lt;&gt;"","✅売却済",IF(OR(H378="",L378=""),"📌保有中",IF(L378&gt;=0.06,"🟢利確推奨",IF(L378&gt;=0.05,"🟡利確直近",IF(L378&gt;=0.045,"🔵トレーリング検討",IF(L378&gt;-0.03,"📌保有中",IF(L378&gt;-0.04,"⚠️損切注意","🔴損切り"))))))))</f>
        <v/>
      </c>
      <c r="T378" s="597"/>
      <c r="U378" s="599"/>
      <c r="V378" s="704" t="str">
        <f>IF(OR(F378="",G378="",U378=""),"",IF(C378="売",(F378-U378)*G378,(U378-F378)*G378))</f>
        <v/>
      </c>
      <c r="W378" s="440" t="str">
        <f>IF(OR($E378="",$B378=""),"",IF($T378&lt;&gt;"",$T378-$E378,TODAY()-$E378)+1)</f>
        <v/>
      </c>
      <c r="X378" s="440" t="str">
        <f>IF(OR($AH378="",$AH378="保有中"),"",$AH378)</f>
        <v/>
      </c>
      <c r="AD378" s="608"/>
      <c r="AE378" s="600" t="str">
        <f>IF($E378="","",WORKDAY($E378,12))</f>
        <v/>
      </c>
      <c r="AF378" s="600" t="str" cm="1">
        <f t="array" aca="1" ref="AF378" ca="1">IF(OR($B378="",$M378=""),"",IFERROR(IF($C378="売",_xlfn.MINIFS(安値!$E$3:$IT$3,安値!$E$3:$IT$3,"&gt;"&amp;$E378,安値!$E$3:$IT$3,"&lt;="&amp;$AE378,OFFSET(安値!$E$6:$IT$6,MATCH(TEXT($B378,"0"),TEXT(銘柄管理!$B$6:$B$305,"0"),0)-1,0),"&lt;="&amp;$M378),_xlfn.MINIFS(高値!$E$3:$IT$3,高値!$E$3:$IT$3,"&gt;"&amp;$E378,高値!$E$3:$IT$3,"&lt;="&amp;$AE378,OFFSET(高値!$E$6:$IT$6,MATCH(TEXT($B378,"0"),TEXT(銘柄管理!$B$6:$B$305,"0"),0)-1,0),"&gt;="&amp;$M378)),""))</f>
        <v/>
      </c>
      <c r="AG378" s="600" t="str" cm="1">
        <f t="array" aca="1" ref="AG378" ca="1">IF(OR($B378="",$N378=""),"",IFERROR(IF($C378="売",_xlfn.MINIFS(高値!$E$3:$IT$3,高値!$E$3:$IT$3,"&gt;"&amp;$E378,高値!$E$3:$IT$3,"&lt;="&amp;$AE378,OFFSET(高値!$E$6:$IT$6,MATCH(TEXT($B378,"0"),TEXT(銘柄管理!$B$6:$B$305,"0"),0)-1,0),"&gt;="&amp;$N378),_xlfn.MINIFS(安値!$E$3:$IT$3,安値!$E$3:$IT$3,"&gt;"&amp;$E378,安値!$E$3:$IT$3,"&lt;="&amp;$AE378,OFFSET(安値!$E$6:$IT$6,MATCH(TEXT($B378,"0"),TEXT(銘柄管理!$B$6:$B$305,"0"),0)-1,0),"&lt;="&amp;$N378)),""))</f>
        <v/>
      </c>
      <c r="AH378" s="600" t="str">
        <f>IF(OR($B378="",$M378=""),"",IF(AND(N($AF378)=0,N($AG378)=0),IF(AND(ISNUMBER($H378),$H378&gt;0,IF($C378="売",$H378&gt;=$N378,$H378&lt;=$N378)),"損切確定",IF(AND(ISNUMBER($H378),$H378&gt;0,IF($C378="売",$H378&lt;=$M378,$H378&gt;=$M378)),"利益確定",IF($AE378&lt;=TODAY(),"日数制限","保有中"))),IF(N($AG378)=0,"利益確定",IF(N($AF378)=0,"損切確定",IF($AG378&lt;=$AF378,"損切確定","利益確定")))))</f>
        <v/>
      </c>
      <c r="AI378" s="600" t="str" cm="1">
        <f t="array" ref="AI378">IFERROR(INDEX(始値!$E$6:$IT$305,MATCH(TEXT($B378,"0"),TEXT(銘柄管理!$B$6:$B$305,"0"),0),MATCH($AE378,始値!$E$3:$IT$3,0)),"")</f>
        <v/>
      </c>
      <c r="AJ378" s="608" t="str">
        <f>IF(OR($V378="",$F378="",$G378=""),"",$V378/($F378*$G378))</f>
        <v/>
      </c>
      <c r="AK378" s="600" t="str">
        <f>IF($V378="","",IF($V378&gt;0,"○勝",IF($V378&lt;0,"●負","△引分")))</f>
        <v/>
      </c>
    </row>
    <row r="379" spans="1:37" ht="17.25" customHeight="1">
      <c r="A379" s="622" t="str">
        <f>IF(B379="","",HYPERLINK("https://kabutan.jp/stock/?code="&amp;B379,"株探"))</f>
        <v/>
      </c>
      <c r="D379" s="440" t="str" cm="1">
        <f t="array" ref="D379">_xll.RssMarket(B379, "銘柄名称")</f>
        <v/>
      </c>
      <c r="E379" s="717"/>
      <c r="F379" s="698" t="str" cm="1">
        <f t="array" aca="1" ref="F379" ca="1">IFERROR(_xlfn.LET(_xlpm.r,MATCH(TEXT($B379,"0"),TEXT(銘柄管理!$B$6:$B$305,"0"),0),_xlpm.t,MOD(NOW(),1),_xlpm.c,IF($E379=TODAY(),IF(_xlpm.t&gt;=TIME(15,30,0),NA(),1),IF(MATCH($E379,始値!$E$3:$IT$3,0)=1,1,MATCH($E379,始値!$E$3:$IT$3,0)+1)),_xlpm.v,INDEX(始値!$C$6:$IT$305,_xlpm.r,_xlpm.c),IF(N(_xlpm.v)=0,"",_xlpm.v)),"")</f>
        <v/>
      </c>
      <c r="H379" s="440" t="str" cm="1">
        <f t="array" ref="H379">_xll.RssMarket(B379, "現在値")</f>
        <v/>
      </c>
      <c r="I379" s="440" t="str" cm="1">
        <f t="array" ref="I379">_xll.RssMarket(B379, "出来高加重平均")</f>
        <v/>
      </c>
      <c r="J379" s="704" t="str" cm="1">
        <f t="array" ref="J379">_xll.RssMarket($B379, "前日比")</f>
        <v/>
      </c>
      <c r="K379" s="704" t="str">
        <f>IF(OR(F379="",G379="",H379=""),"",IF(C379="売",(F379-H379)*G379,(H379-F379)*G379))</f>
        <v/>
      </c>
      <c r="L379" s="709" t="str">
        <f>IF(OR(F379="",H379=""),"",IF(C379="売",(F379-H379)/F379,(H379-F379)/F379))</f>
        <v/>
      </c>
      <c r="M379" s="599" t="str">
        <f>IF($F379="","",$F379*IF($C379="売",1-V811設定!$B$4,1+V811設定!$B$4)-MOD($F379*IF($C379="売",1-V811設定!$B$4,1+V811設定!$B$4),IF($F379&lt;=3000,1,IF($F379&lt;=5000,5,IF($F379&lt;=30000,10,IF($F379&lt;=50000,50,IF($F379&lt;=300000,100,500))))))+IF(AND($C379="売",MOD($F379*IF($C379="売",1-V811設定!$B$4,1+V811設定!$B$4),IF($F379&lt;=3000,1,IF($F379&lt;=5000,5,IF($F379&lt;=30000,10,IF($F379&lt;=50000,50,IF($F379&lt;=300000,100,500))))))&gt;0),IF($F379&lt;=3000,1,IF($F379&lt;=5000,5,IF($F379&lt;=30000,10,IF($F379&lt;=50000,50,IF($F379&lt;=300000,100,500))))),0))</f>
      </c>
      <c r="N379" s="599" t="str">
        <f>IF($F379="","",$F379*IF($C379="売",1+V811設定!$B$3,1-V811設定!$B$3)-MOD($F379*IF($C379="売",1+V811設定!$B$3,1-V811設定!$B$3),IF($F379&lt;=3000,1,IF($F379&lt;=5000,5,IF($F379&lt;=30000,10,IF($F379&lt;=50000,50,IF($F379&lt;=300000,100,500))))))+IF(AND($C379="売",MOD($F379*IF($C379="売",1+V811設定!$B$3,1-V811設定!$B$3),IF($F379&lt;=3000,1,IF($F379&lt;=5000,5,IF($F379&lt;=30000,10,IF($F379&lt;=50000,50,IF($F379&lt;=300000,100,500))))))&gt;0),IF($F379&lt;=3000,1,IF($F379&lt;=5000,5,IF($F379&lt;=30000,10,IF($F379&lt;=50000,50,IF($F379&lt;=300000,100,500))))),0))</f>
      </c>
      <c r="O379" s="478" t="str">
        <f>IF(OR($B379="",$F379="",$H379=""),"",IF($S379="✅売却済","―決済済―",IF($C379="売",IF($H379&lt;=$M379,"🟢利確",IF(AND($R379&lt;&gt;"",$H379&gt;=$R379),"🟠TRAIL",IF($H379&gt;=$N379,"🔴損切",IF($W379&gt;=V811設定!$B$6,"⏱時間決済",IF($H379&gt;=$F379*(1+V811設定!$B$3*0.7),"⚠️損切接近","保持継続"))))),IF($H379&gt;=$M379,"🟢利確",IF(AND($R379&lt;&gt;"",$H379&lt;=$R379),"🟠TRAIL",IF($H379&lt;=$N379,"🔴損切",IF($W379&gt;=V811設定!$B$6,"⏱時間決済",IF($H379&lt;=$F379*(1-V811設定!$B$3*0.7),"⚠️損切接近","保持継続"))))))))</f>
      </c>
      <c r="P379" s="445"/>
      <c r="R379" s="440" t="str">
        <f>IF(OR($F379="",$H379="",$N379=""),"",IF($S379="✅売却済","",IF($C379="売",IF($H379&gt;$F379*(1-V811設定!$B$3),$N379,MIN($N379,IF($Q379="",$N379,$Q379*1.03))),IF($H379&lt;$F379*(1+V811設定!$B$3),$N379,MAX($N379,IF($P379="",$N379,$P379*0.97))))))</f>
      </c>
      <c r="S379" s="440" t="str">
        <f>IF(B379="","",IF(T379&lt;&gt;"","✅売却済",IF(OR(H379="",L379=""),"📌保有中",IF(L379&gt;=0.06,"🟢利確推奨",IF(L379&gt;=0.05,"🟡利確直近",IF(L379&gt;=0.045,"🔵トレーリング検討",IF(L379&gt;-0.03,"📌保有中",IF(L379&gt;-0.04,"⚠️損切注意","🔴損切り"))))))))</f>
        <v/>
      </c>
      <c r="T379" s="597"/>
      <c r="U379" s="599"/>
      <c r="V379" s="704" t="str">
        <f>IF(OR(F379="",G379="",U379=""),"",IF(C379="売",(F379-U379)*G379,(U379-F379)*G379))</f>
        <v/>
      </c>
      <c r="W379" s="440" t="str">
        <f>IF(OR($E379="",$B379=""),"",IF($T379&lt;&gt;"",$T379-$E379,TODAY()-$E379)+1)</f>
        <v/>
      </c>
      <c r="X379" s="440" t="str">
        <f>IF(OR($AH379="",$AH379="保有中"),"",$AH379)</f>
        <v/>
      </c>
      <c r="AD379" s="608"/>
      <c r="AE379" s="600" t="str">
        <f>IF($E379="","",WORKDAY($E379,12))</f>
        <v/>
      </c>
      <c r="AF379" s="600" t="str" cm="1">
        <f t="array" aca="1" ref="AF379" ca="1">IF(OR($B379="",$M379=""),"",IFERROR(IF($C379="売",_xlfn.MINIFS(安値!$E$3:$IT$3,安値!$E$3:$IT$3,"&gt;"&amp;$E379,安値!$E$3:$IT$3,"&lt;="&amp;$AE379,OFFSET(安値!$E$6:$IT$6,MATCH(TEXT($B379,"0"),TEXT(銘柄管理!$B$6:$B$305,"0"),0)-1,0),"&lt;="&amp;$M379),_xlfn.MINIFS(高値!$E$3:$IT$3,高値!$E$3:$IT$3,"&gt;"&amp;$E379,高値!$E$3:$IT$3,"&lt;="&amp;$AE379,OFFSET(高値!$E$6:$IT$6,MATCH(TEXT($B379,"0"),TEXT(銘柄管理!$B$6:$B$305,"0"),0)-1,0),"&gt;="&amp;$M379)),""))</f>
        <v/>
      </c>
      <c r="AG379" s="600" t="str" cm="1">
        <f t="array" aca="1" ref="AG379" ca="1">IF(OR($B379="",$N379=""),"",IFERROR(IF($C379="売",_xlfn.MINIFS(高値!$E$3:$IT$3,高値!$E$3:$IT$3,"&gt;"&amp;$E379,高値!$E$3:$IT$3,"&lt;="&amp;$AE379,OFFSET(高値!$E$6:$IT$6,MATCH(TEXT($B379,"0"),TEXT(銘柄管理!$B$6:$B$305,"0"),0)-1,0),"&gt;="&amp;$N379),_xlfn.MINIFS(安値!$E$3:$IT$3,安値!$E$3:$IT$3,"&gt;"&amp;$E379,安値!$E$3:$IT$3,"&lt;="&amp;$AE379,OFFSET(安値!$E$6:$IT$6,MATCH(TEXT($B379,"0"),TEXT(銘柄管理!$B$6:$B$305,"0"),0)-1,0),"&lt;="&amp;$N379)),""))</f>
        <v/>
      </c>
      <c r="AH379" s="600" t="str">
        <f>IF(OR($B379="",$M379=""),"",IF(AND(N($AF379)=0,N($AG379)=0),IF(AND(ISNUMBER($H379),$H379&gt;0,IF($C379="売",$H379&gt;=$N379,$H379&lt;=$N379)),"損切確定",IF(AND(ISNUMBER($H379),$H379&gt;0,IF($C379="売",$H379&lt;=$M379,$H379&gt;=$M379)),"利益確定",IF($AE379&lt;=TODAY(),"日数制限","保有中"))),IF(N($AG379)=0,"利益確定",IF(N($AF379)=0,"損切確定",IF($AG379&lt;=$AF379,"損切確定","利益確定")))))</f>
        <v/>
      </c>
      <c r="AI379" s="600" t="str" cm="1">
        <f t="array" ref="AI379">IFERROR(INDEX(始値!$E$6:$IT$305,MATCH(TEXT($B379,"0"),TEXT(銘柄管理!$B$6:$B$305,"0"),0),MATCH($AE379,始値!$E$3:$IT$3,0)),"")</f>
        <v/>
      </c>
      <c r="AJ379" s="608" t="str">
        <f>IF(OR($V379="",$F379="",$G379=""),"",$V379/($F379*$G379))</f>
        <v/>
      </c>
      <c r="AK379" s="600" t="str">
        <f>IF($V379="","",IF($V379&gt;0,"○勝",IF($V379&lt;0,"●負","△引分")))</f>
        <v/>
      </c>
    </row>
    <row r="380" spans="1:37" ht="17.25" customHeight="1">
      <c r="A380" s="622" t="str">
        <f>IF(B380="","",HYPERLINK("https://kabutan.jp/stock/?code="&amp;B380,"株探"))</f>
        <v/>
      </c>
      <c r="D380" s="440" t="str" cm="1">
        <f t="array" ref="D380">_xll.RssMarket(B380, "銘柄名称")</f>
        <v/>
      </c>
      <c r="E380" s="717"/>
      <c r="F380" s="698" t="str" cm="1">
        <f t="array" aca="1" ref="F380" ca="1">IFERROR(_xlfn.LET(_xlpm.r,MATCH(TEXT($B380,"0"),TEXT(銘柄管理!$B$6:$B$305,"0"),0),_xlpm.t,MOD(NOW(),1),_xlpm.c,IF($E380=TODAY(),IF(_xlpm.t&gt;=TIME(15,30,0),NA(),1),IF(MATCH($E380,始値!$E$3:$IT$3,0)=1,1,MATCH($E380,始値!$E$3:$IT$3,0)+1)),_xlpm.v,INDEX(始値!$C$6:$IT$305,_xlpm.r,_xlpm.c),IF(N(_xlpm.v)=0,"",_xlpm.v)),"")</f>
        <v/>
      </c>
      <c r="H380" s="440" t="str" cm="1">
        <f t="array" ref="H380">_xll.RssMarket(B380, "現在値")</f>
        <v/>
      </c>
      <c r="I380" s="440" t="str" cm="1">
        <f t="array" ref="I380">_xll.RssMarket(B380, "出来高加重平均")</f>
        <v/>
      </c>
      <c r="J380" s="704" t="str" cm="1">
        <f t="array" ref="J380">_xll.RssMarket($B380, "前日比")</f>
        <v/>
      </c>
      <c r="K380" s="704" t="str">
        <f>IF(OR(F380="",G380="",H380=""),"",IF(C380="売",(F380-H380)*G380,(H380-F380)*G380))</f>
        <v/>
      </c>
      <c r="L380" s="709" t="str">
        <f>IF(OR(F380="",H380=""),"",IF(C380="売",(F380-H380)/F380,(H380-F380)/F380))</f>
        <v/>
      </c>
      <c r="M380" s="599" t="str">
        <f>IF($F380="","",$F380*IF($C380="売",1-V811設定!$B$4,1+V811設定!$B$4)-MOD($F380*IF($C380="売",1-V811設定!$B$4,1+V811設定!$B$4),IF($F380&lt;=3000,1,IF($F380&lt;=5000,5,IF($F380&lt;=30000,10,IF($F380&lt;=50000,50,IF($F380&lt;=300000,100,500))))))+IF(AND($C380="売",MOD($F380*IF($C380="売",1-V811設定!$B$4,1+V811設定!$B$4),IF($F380&lt;=3000,1,IF($F380&lt;=5000,5,IF($F380&lt;=30000,10,IF($F380&lt;=50000,50,IF($F380&lt;=300000,100,500))))))&gt;0),IF($F380&lt;=3000,1,IF($F380&lt;=5000,5,IF($F380&lt;=30000,10,IF($F380&lt;=50000,50,IF($F380&lt;=300000,100,500))))),0))</f>
      </c>
      <c r="N380" s="599" t="str">
        <f>IF($F380="","",$F380*IF($C380="売",1+V811設定!$B$3,1-V811設定!$B$3)-MOD($F380*IF($C380="売",1+V811設定!$B$3,1-V811設定!$B$3),IF($F380&lt;=3000,1,IF($F380&lt;=5000,5,IF($F380&lt;=30000,10,IF($F380&lt;=50000,50,IF($F380&lt;=300000,100,500))))))+IF(AND($C380="売",MOD($F380*IF($C380="売",1+V811設定!$B$3,1-V811設定!$B$3),IF($F380&lt;=3000,1,IF($F380&lt;=5000,5,IF($F380&lt;=30000,10,IF($F380&lt;=50000,50,IF($F380&lt;=300000,100,500))))))&gt;0),IF($F380&lt;=3000,1,IF($F380&lt;=5000,5,IF($F380&lt;=30000,10,IF($F380&lt;=50000,50,IF($F380&lt;=300000,100,500))))),0))</f>
      </c>
      <c r="O380" s="478" t="str">
        <f>IF(OR($B380="",$F380="",$H380=""),"",IF($S380="✅売却済","―決済済―",IF($C380="売",IF($H380&lt;=$M380,"🟢利確",IF(AND($R380&lt;&gt;"",$H380&gt;=$R380),"🟠TRAIL",IF($H380&gt;=$N380,"🔴損切",IF($W380&gt;=V811設定!$B$6,"⏱時間決済",IF($H380&gt;=$F380*(1+V811設定!$B$3*0.7),"⚠️損切接近","保持継続"))))),IF($H380&gt;=$M380,"🟢利確",IF(AND($R380&lt;&gt;"",$H380&lt;=$R380),"🟠TRAIL",IF($H380&lt;=$N380,"🔴損切",IF($W380&gt;=V811設定!$B$6,"⏱時間決済",IF($H380&lt;=$F380*(1-V811設定!$B$3*0.7),"⚠️損切接近","保持継続"))))))))</f>
      </c>
      <c r="P380" s="445"/>
      <c r="R380" s="440" t="str">
        <f>IF(OR($F380="",$H380="",$N380=""),"",IF($S380="✅売却済","",IF($C380="売",IF($H380&gt;$F380*(1-V811設定!$B$3),$N380,MIN($N380,IF($Q380="",$N380,$Q380*1.03))),IF($H380&lt;$F380*(1+V811設定!$B$3),$N380,MAX($N380,IF($P380="",$N380,$P380*0.97))))))</f>
      </c>
      <c r="S380" s="440" t="str">
        <f>IF(B380="","",IF(T380&lt;&gt;"","✅売却済",IF(OR(H380="",L380=""),"📌保有中",IF(L380&gt;=0.06,"🟢利確推奨",IF(L380&gt;=0.05,"🟡利確直近",IF(L380&gt;=0.045,"🔵トレーリング検討",IF(L380&gt;-0.03,"📌保有中",IF(L380&gt;-0.04,"⚠️損切注意","🔴損切り"))))))))</f>
        <v/>
      </c>
      <c r="T380" s="597"/>
      <c r="U380" s="599"/>
      <c r="V380" s="704" t="str">
        <f>IF(OR(F380="",G380="",U380=""),"",IF(C380="売",(F380-U380)*G380,(U380-F380)*G380))</f>
        <v/>
      </c>
      <c r="W380" s="440" t="str">
        <f>IF(OR($E380="",$B380=""),"",IF($T380&lt;&gt;"",$T380-$E380,TODAY()-$E380)+1)</f>
        <v/>
      </c>
      <c r="X380" s="440" t="str">
        <f>IF(OR($AH380="",$AH380="保有中"),"",$AH380)</f>
        <v/>
      </c>
      <c r="AD380" s="608"/>
      <c r="AE380" s="600" t="str">
        <f>IF($E380="","",WORKDAY($E380,12))</f>
        <v/>
      </c>
      <c r="AF380" s="600" t="str" cm="1">
        <f t="array" aca="1" ref="AF380" ca="1">IF(OR($B380="",$M380=""),"",IFERROR(IF($C380="売",_xlfn.MINIFS(安値!$E$3:$IT$3,安値!$E$3:$IT$3,"&gt;"&amp;$E380,安値!$E$3:$IT$3,"&lt;="&amp;$AE380,OFFSET(安値!$E$6:$IT$6,MATCH(TEXT($B380,"0"),TEXT(銘柄管理!$B$6:$B$305,"0"),0)-1,0),"&lt;="&amp;$M380),_xlfn.MINIFS(高値!$E$3:$IT$3,高値!$E$3:$IT$3,"&gt;"&amp;$E380,高値!$E$3:$IT$3,"&lt;="&amp;$AE380,OFFSET(高値!$E$6:$IT$6,MATCH(TEXT($B380,"0"),TEXT(銘柄管理!$B$6:$B$305,"0"),0)-1,0),"&gt;="&amp;$M380)),""))</f>
        <v/>
      </c>
      <c r="AG380" s="600" t="str" cm="1">
        <f t="array" aca="1" ref="AG380" ca="1">IF(OR($B380="",$N380=""),"",IFERROR(IF($C380="売",_xlfn.MINIFS(高値!$E$3:$IT$3,高値!$E$3:$IT$3,"&gt;"&amp;$E380,高値!$E$3:$IT$3,"&lt;="&amp;$AE380,OFFSET(高値!$E$6:$IT$6,MATCH(TEXT($B380,"0"),TEXT(銘柄管理!$B$6:$B$305,"0"),0)-1,0),"&gt;="&amp;$N380),_xlfn.MINIFS(安値!$E$3:$IT$3,安値!$E$3:$IT$3,"&gt;"&amp;$E380,安値!$E$3:$IT$3,"&lt;="&amp;$AE380,OFFSET(安値!$E$6:$IT$6,MATCH(TEXT($B380,"0"),TEXT(銘柄管理!$B$6:$B$305,"0"),0)-1,0),"&lt;="&amp;$N380)),""))</f>
        <v/>
      </c>
      <c r="AH380" s="600" t="str">
        <f>IF(OR($B380="",$M380=""),"",IF(AND(N($AF380)=0,N($AG380)=0),IF(AND(ISNUMBER($H380),$H380&gt;0,IF($C380="売",$H380&gt;=$N380,$H380&lt;=$N380)),"損切確定",IF(AND(ISNUMBER($H380),$H380&gt;0,IF($C380="売",$H380&lt;=$M380,$H380&gt;=$M380)),"利益確定",IF($AE380&lt;=TODAY(),"日数制限","保有中"))),IF(N($AG380)=0,"利益確定",IF(N($AF380)=0,"損切確定",IF($AG380&lt;=$AF380,"損切確定","利益確定")))))</f>
        <v/>
      </c>
      <c r="AI380" s="600" t="str" cm="1">
        <f t="array" ref="AI380">IFERROR(INDEX(始値!$E$6:$IT$305,MATCH(TEXT($B380,"0"),TEXT(銘柄管理!$B$6:$B$305,"0"),0),MATCH($AE380,始値!$E$3:$IT$3,0)),"")</f>
        <v/>
      </c>
      <c r="AJ380" s="608" t="str">
        <f>IF(OR($V380="",$F380="",$G380=""),"",$V380/($F380*$G380))</f>
        <v/>
      </c>
      <c r="AK380" s="600" t="str">
        <f>IF($V380="","",IF($V380&gt;0,"○勝",IF($V380&lt;0,"●負","△引分")))</f>
        <v/>
      </c>
    </row>
    <row r="381" spans="1:37" ht="17.25" customHeight="1">
      <c r="A381" s="622" t="str">
        <f>IF(B381="","",HYPERLINK("https://kabutan.jp/stock/?code="&amp;B381,"株探"))</f>
        <v/>
      </c>
      <c r="D381" s="440" t="str" cm="1">
        <f t="array" ref="D381">_xll.RssMarket(B381, "銘柄名称")</f>
        <v/>
      </c>
      <c r="E381" s="717"/>
      <c r="F381" s="698" t="str" cm="1">
        <f t="array" aca="1" ref="F381" ca="1">IFERROR(_xlfn.LET(_xlpm.r,MATCH(TEXT($B381,"0"),TEXT(銘柄管理!$B$6:$B$305,"0"),0),_xlpm.t,MOD(NOW(),1),_xlpm.c,IF($E381=TODAY(),IF(_xlpm.t&gt;=TIME(15,30,0),NA(),1),IF(MATCH($E381,始値!$E$3:$IT$3,0)=1,1,MATCH($E381,始値!$E$3:$IT$3,0)+1)),_xlpm.v,INDEX(始値!$C$6:$IT$305,_xlpm.r,_xlpm.c),IF(N(_xlpm.v)=0,"",_xlpm.v)),"")</f>
        <v/>
      </c>
      <c r="H381" s="440" t="str" cm="1">
        <f t="array" ref="H381">_xll.RssMarket(B381, "現在値")</f>
        <v/>
      </c>
      <c r="I381" s="440" t="str" cm="1">
        <f t="array" ref="I381">_xll.RssMarket(B381, "出来高加重平均")</f>
        <v/>
      </c>
      <c r="J381" s="704" t="str" cm="1">
        <f t="array" ref="J381">_xll.RssMarket($B381, "前日比")</f>
        <v/>
      </c>
      <c r="K381" s="704" t="str">
        <f>IF(OR(F381="",G381="",H381=""),"",IF(C381="売",(F381-H381)*G381,(H381-F381)*G381))</f>
        <v/>
      </c>
      <c r="L381" s="709" t="str">
        <f>IF(OR(F381="",H381=""),"",IF(C381="売",(F381-H381)/F381,(H381-F381)/F381))</f>
        <v/>
      </c>
      <c r="M381" s="599" t="str">
        <f>IF($F381="","",$F381*IF($C381="売",1-V811設定!$B$4,1+V811設定!$B$4)-MOD($F381*IF($C381="売",1-V811設定!$B$4,1+V811設定!$B$4),IF($F381&lt;=3000,1,IF($F381&lt;=5000,5,IF($F381&lt;=30000,10,IF($F381&lt;=50000,50,IF($F381&lt;=300000,100,500))))))+IF(AND($C381="売",MOD($F381*IF($C381="売",1-V811設定!$B$4,1+V811設定!$B$4),IF($F381&lt;=3000,1,IF($F381&lt;=5000,5,IF($F381&lt;=30000,10,IF($F381&lt;=50000,50,IF($F381&lt;=300000,100,500))))))&gt;0),IF($F381&lt;=3000,1,IF($F381&lt;=5000,5,IF($F381&lt;=30000,10,IF($F381&lt;=50000,50,IF($F381&lt;=300000,100,500))))),0))</f>
      </c>
      <c r="N381" s="599" t="str">
        <f>IF($F381="","",$F381*IF($C381="売",1+V811設定!$B$3,1-V811設定!$B$3)-MOD($F381*IF($C381="売",1+V811設定!$B$3,1-V811設定!$B$3),IF($F381&lt;=3000,1,IF($F381&lt;=5000,5,IF($F381&lt;=30000,10,IF($F381&lt;=50000,50,IF($F381&lt;=300000,100,500))))))+IF(AND($C381="売",MOD($F381*IF($C381="売",1+V811設定!$B$3,1-V811設定!$B$3),IF($F381&lt;=3000,1,IF($F381&lt;=5000,5,IF($F381&lt;=30000,10,IF($F381&lt;=50000,50,IF($F381&lt;=300000,100,500))))))&gt;0),IF($F381&lt;=3000,1,IF($F381&lt;=5000,5,IF($F381&lt;=30000,10,IF($F381&lt;=50000,50,IF($F381&lt;=300000,100,500))))),0))</f>
      </c>
      <c r="O381" s="478" t="str">
        <f>IF(OR($B381="",$F381="",$H381=""),"",IF($S381="✅売却済","―決済済―",IF($C381="売",IF($H381&lt;=$M381,"🟢利確",IF(AND($R381&lt;&gt;"",$H381&gt;=$R381),"🟠TRAIL",IF($H381&gt;=$N381,"🔴損切",IF($W381&gt;=V811設定!$B$6,"⏱時間決済",IF($H381&gt;=$F381*(1+V811設定!$B$3*0.7),"⚠️損切接近","保持継続"))))),IF($H381&gt;=$M381,"🟢利確",IF(AND($R381&lt;&gt;"",$H381&lt;=$R381),"🟠TRAIL",IF($H381&lt;=$N381,"🔴損切",IF($W381&gt;=V811設定!$B$6,"⏱時間決済",IF($H381&lt;=$F381*(1-V811設定!$B$3*0.7),"⚠️損切接近","保持継続"))))))))</f>
      </c>
      <c r="P381" s="445"/>
      <c r="R381" s="440" t="str">
        <f>IF(OR($F381="",$H381="",$N381=""),"",IF($S381="✅売却済","",IF($C381="売",IF($H381&gt;$F381*(1-V811設定!$B$3),$N381,MIN($N381,IF($Q381="",$N381,$Q381*1.03))),IF($H381&lt;$F381*(1+V811設定!$B$3),$N381,MAX($N381,IF($P381="",$N381,$P381*0.97))))))</f>
      </c>
      <c r="S381" s="440" t="str">
        <f>IF(B381="","",IF(T381&lt;&gt;"","✅売却済",IF(OR(H381="",L381=""),"📌保有中",IF(L381&gt;=0.06,"🟢利確推奨",IF(L381&gt;=0.05,"🟡利確直近",IF(L381&gt;=0.045,"🔵トレーリング検討",IF(L381&gt;-0.03,"📌保有中",IF(L381&gt;-0.04,"⚠️損切注意","🔴損切り"))))))))</f>
        <v/>
      </c>
      <c r="T381" s="597"/>
      <c r="U381" s="599"/>
      <c r="V381" s="704" t="str">
        <f>IF(OR(F381="",G381="",U381=""),"",IF(C381="売",(F381-U381)*G381,(U381-F381)*G381))</f>
        <v/>
      </c>
      <c r="W381" s="440" t="str">
        <f>IF(OR($E381="",$B381=""),"",IF($T381&lt;&gt;"",$T381-$E381,TODAY()-$E381)+1)</f>
        <v/>
      </c>
      <c r="X381" s="440" t="str">
        <f>IF(OR($AH381="",$AH381="保有中"),"",$AH381)</f>
        <v/>
      </c>
      <c r="AD381" s="608"/>
      <c r="AE381" s="600" t="str">
        <f>IF($E381="","",WORKDAY($E381,12))</f>
        <v/>
      </c>
      <c r="AF381" s="600" t="str" cm="1">
        <f t="array" aca="1" ref="AF381" ca="1">IF(OR($B381="",$M381=""),"",IFERROR(IF($C381="売",_xlfn.MINIFS(安値!$E$3:$IT$3,安値!$E$3:$IT$3,"&gt;"&amp;$E381,安値!$E$3:$IT$3,"&lt;="&amp;$AE381,OFFSET(安値!$E$6:$IT$6,MATCH(TEXT($B381,"0"),TEXT(銘柄管理!$B$6:$B$305,"0"),0)-1,0),"&lt;="&amp;$M381),_xlfn.MINIFS(高値!$E$3:$IT$3,高値!$E$3:$IT$3,"&gt;"&amp;$E381,高値!$E$3:$IT$3,"&lt;="&amp;$AE381,OFFSET(高値!$E$6:$IT$6,MATCH(TEXT($B381,"0"),TEXT(銘柄管理!$B$6:$B$305,"0"),0)-1,0),"&gt;="&amp;$M381)),""))</f>
        <v/>
      </c>
      <c r="AG381" s="600" t="str" cm="1">
        <f t="array" aca="1" ref="AG381" ca="1">IF(OR($B381="",$N381=""),"",IFERROR(IF($C381="売",_xlfn.MINIFS(高値!$E$3:$IT$3,高値!$E$3:$IT$3,"&gt;"&amp;$E381,高値!$E$3:$IT$3,"&lt;="&amp;$AE381,OFFSET(高値!$E$6:$IT$6,MATCH(TEXT($B381,"0"),TEXT(銘柄管理!$B$6:$B$305,"0"),0)-1,0),"&gt;="&amp;$N381),_xlfn.MINIFS(安値!$E$3:$IT$3,安値!$E$3:$IT$3,"&gt;"&amp;$E381,安値!$E$3:$IT$3,"&lt;="&amp;$AE381,OFFSET(安値!$E$6:$IT$6,MATCH(TEXT($B381,"0"),TEXT(銘柄管理!$B$6:$B$305,"0"),0)-1,0),"&lt;="&amp;$N381)),""))</f>
        <v/>
      </c>
      <c r="AH381" s="600" t="str">
        <f>IF(OR($B381="",$M381=""),"",IF(AND(N($AF381)=0,N($AG381)=0),IF(AND(ISNUMBER($H381),$H381&gt;0,IF($C381="売",$H381&gt;=$N381,$H381&lt;=$N381)),"損切確定",IF(AND(ISNUMBER($H381),$H381&gt;0,IF($C381="売",$H381&lt;=$M381,$H381&gt;=$M381)),"利益確定",IF($AE381&lt;=TODAY(),"日数制限","保有中"))),IF(N($AG381)=0,"利益確定",IF(N($AF381)=0,"損切確定",IF($AG381&lt;=$AF381,"損切確定","利益確定")))))</f>
        <v/>
      </c>
      <c r="AI381" s="600" t="str" cm="1">
        <f t="array" ref="AI381">IFERROR(INDEX(始値!$E$6:$IT$305,MATCH(TEXT($B381,"0"),TEXT(銘柄管理!$B$6:$B$305,"0"),0),MATCH($AE381,始値!$E$3:$IT$3,0)),"")</f>
        <v/>
      </c>
      <c r="AJ381" s="608" t="str">
        <f>IF(OR($V381="",$F381="",$G381=""),"",$V381/($F381*$G381))</f>
        <v/>
      </c>
      <c r="AK381" s="600" t="str">
        <f>IF($V381="","",IF($V381&gt;0,"○勝",IF($V381&lt;0,"●負","△引分")))</f>
        <v/>
      </c>
    </row>
    <row r="382" spans="1:37" ht="17.25" customHeight="1">
      <c r="A382" s="622" t="str">
        <f>IF(B382="","",HYPERLINK("https://kabutan.jp/stock/?code="&amp;B382,"株探"))</f>
        <v/>
      </c>
      <c r="D382" s="440" t="str" cm="1">
        <f t="array" ref="D382">_xll.RssMarket(B382, "銘柄名称")</f>
        <v/>
      </c>
      <c r="E382" s="717"/>
      <c r="F382" s="698" t="str" cm="1">
        <f t="array" aca="1" ref="F382" ca="1">IFERROR(_xlfn.LET(_xlpm.r,MATCH(TEXT($B382,"0"),TEXT(銘柄管理!$B$6:$B$305,"0"),0),_xlpm.t,MOD(NOW(),1),_xlpm.c,IF($E382=TODAY(),IF(_xlpm.t&gt;=TIME(15,30,0),NA(),1),IF(MATCH($E382,始値!$E$3:$IT$3,0)=1,1,MATCH($E382,始値!$E$3:$IT$3,0)+1)),_xlpm.v,INDEX(始値!$C$6:$IT$305,_xlpm.r,_xlpm.c),IF(N(_xlpm.v)=0,"",_xlpm.v)),"")</f>
        <v/>
      </c>
      <c r="H382" s="440" t="str" cm="1">
        <f t="array" ref="H382">_xll.RssMarket(B382, "現在値")</f>
        <v/>
      </c>
      <c r="I382" s="440" t="str" cm="1">
        <f t="array" ref="I382">_xll.RssMarket(B382, "出来高加重平均")</f>
        <v/>
      </c>
      <c r="J382" s="704" t="str" cm="1">
        <f t="array" ref="J382">_xll.RssMarket($B382, "前日比")</f>
        <v/>
      </c>
      <c r="K382" s="704" t="str">
        <f>IF(OR(F382="",G382="",H382=""),"",IF(C382="売",(F382-H382)*G382,(H382-F382)*G382))</f>
        <v/>
      </c>
      <c r="L382" s="709" t="str">
        <f>IF(OR(F382="",H382=""),"",IF(C382="売",(F382-H382)/F382,(H382-F382)/F382))</f>
        <v/>
      </c>
      <c r="M382" s="599" t="str">
        <f>IF($F382="","",$F382*IF($C382="売",1-V811設定!$B$4,1+V811設定!$B$4)-MOD($F382*IF($C382="売",1-V811設定!$B$4,1+V811設定!$B$4),IF($F382&lt;=3000,1,IF($F382&lt;=5000,5,IF($F382&lt;=30000,10,IF($F382&lt;=50000,50,IF($F382&lt;=300000,100,500))))))+IF(AND($C382="売",MOD($F382*IF($C382="売",1-V811設定!$B$4,1+V811設定!$B$4),IF($F382&lt;=3000,1,IF($F382&lt;=5000,5,IF($F382&lt;=30000,10,IF($F382&lt;=50000,50,IF($F382&lt;=300000,100,500))))))&gt;0),IF($F382&lt;=3000,1,IF($F382&lt;=5000,5,IF($F382&lt;=30000,10,IF($F382&lt;=50000,50,IF($F382&lt;=300000,100,500))))),0))</f>
      </c>
      <c r="N382" s="599" t="str">
        <f>IF($F382="","",$F382*IF($C382="売",1+V811設定!$B$3,1-V811設定!$B$3)-MOD($F382*IF($C382="売",1+V811設定!$B$3,1-V811設定!$B$3),IF($F382&lt;=3000,1,IF($F382&lt;=5000,5,IF($F382&lt;=30000,10,IF($F382&lt;=50000,50,IF($F382&lt;=300000,100,500))))))+IF(AND($C382="売",MOD($F382*IF($C382="売",1+V811設定!$B$3,1-V811設定!$B$3),IF($F382&lt;=3000,1,IF($F382&lt;=5000,5,IF($F382&lt;=30000,10,IF($F382&lt;=50000,50,IF($F382&lt;=300000,100,500))))))&gt;0),IF($F382&lt;=3000,1,IF($F382&lt;=5000,5,IF($F382&lt;=30000,10,IF($F382&lt;=50000,50,IF($F382&lt;=300000,100,500))))),0))</f>
      </c>
      <c r="O382" s="478" t="str">
        <f>IF(OR($B382="",$F382="",$H382=""),"",IF($S382="✅売却済","―決済済―",IF($C382="売",IF($H382&lt;=$M382,"🟢利確",IF(AND($R382&lt;&gt;"",$H382&gt;=$R382),"🟠TRAIL",IF($H382&gt;=$N382,"🔴損切",IF($W382&gt;=V811設定!$B$6,"⏱時間決済",IF($H382&gt;=$F382*(1+V811設定!$B$3*0.7),"⚠️損切接近","保持継続"))))),IF($H382&gt;=$M382,"🟢利確",IF(AND($R382&lt;&gt;"",$H382&lt;=$R382),"🟠TRAIL",IF($H382&lt;=$N382,"🔴損切",IF($W382&gt;=V811設定!$B$6,"⏱時間決済",IF($H382&lt;=$F382*(1-V811設定!$B$3*0.7),"⚠️損切接近","保持継続"))))))))</f>
      </c>
      <c r="P382" s="445"/>
      <c r="R382" s="440" t="str">
        <f>IF(OR($F382="",$H382="",$N382=""),"",IF($S382="✅売却済","",IF($C382="売",IF($H382&gt;$F382*(1-V811設定!$B$3),$N382,MIN($N382,IF($Q382="",$N382,$Q382*1.03))),IF($H382&lt;$F382*(1+V811設定!$B$3),$N382,MAX($N382,IF($P382="",$N382,$P382*0.97))))))</f>
      </c>
      <c r="S382" s="440" t="str">
        <f>IF(B382="","",IF(T382&lt;&gt;"","✅売却済",IF(OR(H382="",L382=""),"📌保有中",IF(L382&gt;=0.06,"🟢利確推奨",IF(L382&gt;=0.05,"🟡利確直近",IF(L382&gt;=0.045,"🔵トレーリング検討",IF(L382&gt;-0.03,"📌保有中",IF(L382&gt;-0.04,"⚠️損切注意","🔴損切り"))))))))</f>
        <v/>
      </c>
      <c r="T382" s="597"/>
      <c r="U382" s="599"/>
      <c r="V382" s="704" t="str">
        <f>IF(OR(F382="",G382="",U382=""),"",IF(C382="売",(F382-U382)*G382,(U382-F382)*G382))</f>
        <v/>
      </c>
      <c r="W382" s="440" t="str">
        <f>IF(OR($E382="",$B382=""),"",IF($T382&lt;&gt;"",$T382-$E382,TODAY()-$E382)+1)</f>
        <v/>
      </c>
      <c r="X382" s="440" t="str">
        <f>IF(OR($AH382="",$AH382="保有中"),"",$AH382)</f>
        <v/>
      </c>
      <c r="AD382" s="608"/>
      <c r="AE382" s="600" t="str">
        <f>IF($E382="","",WORKDAY($E382,12))</f>
        <v/>
      </c>
      <c r="AF382" s="600" t="str" cm="1">
        <f t="array" aca="1" ref="AF382" ca="1">IF(OR($B382="",$M382=""),"",IFERROR(IF($C382="売",_xlfn.MINIFS(安値!$E$3:$IT$3,安値!$E$3:$IT$3,"&gt;"&amp;$E382,安値!$E$3:$IT$3,"&lt;="&amp;$AE382,OFFSET(安値!$E$6:$IT$6,MATCH(TEXT($B382,"0"),TEXT(銘柄管理!$B$6:$B$305,"0"),0)-1,0),"&lt;="&amp;$M382),_xlfn.MINIFS(高値!$E$3:$IT$3,高値!$E$3:$IT$3,"&gt;"&amp;$E382,高値!$E$3:$IT$3,"&lt;="&amp;$AE382,OFFSET(高値!$E$6:$IT$6,MATCH(TEXT($B382,"0"),TEXT(銘柄管理!$B$6:$B$305,"0"),0)-1,0),"&gt;="&amp;$M382)),""))</f>
        <v/>
      </c>
      <c r="AG382" s="600" t="str" cm="1">
        <f t="array" aca="1" ref="AG382" ca="1">IF(OR($B382="",$N382=""),"",IFERROR(IF($C382="売",_xlfn.MINIFS(高値!$E$3:$IT$3,高値!$E$3:$IT$3,"&gt;"&amp;$E382,高値!$E$3:$IT$3,"&lt;="&amp;$AE382,OFFSET(高値!$E$6:$IT$6,MATCH(TEXT($B382,"0"),TEXT(銘柄管理!$B$6:$B$305,"0"),0)-1,0),"&gt;="&amp;$N382),_xlfn.MINIFS(安値!$E$3:$IT$3,安値!$E$3:$IT$3,"&gt;"&amp;$E382,安値!$E$3:$IT$3,"&lt;="&amp;$AE382,OFFSET(安値!$E$6:$IT$6,MATCH(TEXT($B382,"0"),TEXT(銘柄管理!$B$6:$B$305,"0"),0)-1,0),"&lt;="&amp;$N382)),""))</f>
        <v/>
      </c>
      <c r="AH382" s="600" t="str">
        <f>IF(OR($B382="",$M382=""),"",IF(AND(N($AF382)=0,N($AG382)=0),IF(AND(ISNUMBER($H382),$H382&gt;0,IF($C382="売",$H382&gt;=$N382,$H382&lt;=$N382)),"損切確定",IF(AND(ISNUMBER($H382),$H382&gt;0,IF($C382="売",$H382&lt;=$M382,$H382&gt;=$M382)),"利益確定",IF($AE382&lt;=TODAY(),"日数制限","保有中"))),IF(N($AG382)=0,"利益確定",IF(N($AF382)=0,"損切確定",IF($AG382&lt;=$AF382,"損切確定","利益確定")))))</f>
        <v/>
      </c>
      <c r="AI382" s="600" t="str" cm="1">
        <f t="array" ref="AI382">IFERROR(INDEX(始値!$E$6:$IT$305,MATCH(TEXT($B382,"0"),TEXT(銘柄管理!$B$6:$B$305,"0"),0),MATCH($AE382,始値!$E$3:$IT$3,0)),"")</f>
        <v/>
      </c>
      <c r="AJ382" s="608" t="str">
        <f>IF(OR($V382="",$F382="",$G382=""),"",$V382/($F382*$G382))</f>
        <v/>
      </c>
      <c r="AK382" s="600" t="str">
        <f>IF($V382="","",IF($V382&gt;0,"○勝",IF($V382&lt;0,"●負","△引分")))</f>
        <v/>
      </c>
    </row>
    <row r="383" spans="1:37" ht="17.25" customHeight="1">
      <c r="A383" s="622" t="str">
        <f>IF(B383="","",HYPERLINK("https://kabutan.jp/stock/?code="&amp;B383,"株探"))</f>
        <v/>
      </c>
      <c r="D383" s="440" t="str" cm="1">
        <f t="array" ref="D383">_xll.RssMarket(B383, "銘柄名称")</f>
        <v/>
      </c>
      <c r="E383" s="717"/>
      <c r="F383" s="698" t="str" cm="1">
        <f t="array" aca="1" ref="F383" ca="1">IFERROR(_xlfn.LET(_xlpm.r,MATCH(TEXT($B383,"0"),TEXT(銘柄管理!$B$6:$B$305,"0"),0),_xlpm.t,MOD(NOW(),1),_xlpm.c,IF($E383=TODAY(),IF(_xlpm.t&gt;=TIME(15,30,0),NA(),1),IF(MATCH($E383,始値!$E$3:$IT$3,0)=1,1,MATCH($E383,始値!$E$3:$IT$3,0)+1)),_xlpm.v,INDEX(始値!$C$6:$IT$305,_xlpm.r,_xlpm.c),IF(N(_xlpm.v)=0,"",_xlpm.v)),"")</f>
        <v/>
      </c>
      <c r="H383" s="440" t="str" cm="1">
        <f t="array" ref="H383">_xll.RssMarket(B383, "現在値")</f>
        <v/>
      </c>
      <c r="I383" s="440" t="str" cm="1">
        <f t="array" ref="I383">_xll.RssMarket(B383, "出来高加重平均")</f>
        <v/>
      </c>
      <c r="J383" s="704" t="str" cm="1">
        <f t="array" ref="J383">_xll.RssMarket($B383, "前日比")</f>
        <v/>
      </c>
      <c r="K383" s="704" t="str">
        <f>IF(OR(F383="",G383="",H383=""),"",IF(C383="売",(F383-H383)*G383,(H383-F383)*G383))</f>
        <v/>
      </c>
      <c r="L383" s="709" t="str">
        <f>IF(OR(F383="",H383=""),"",IF(C383="売",(F383-H383)/F383,(H383-F383)/F383))</f>
        <v/>
      </c>
      <c r="M383" s="599" t="str">
        <f>IF($F383="","",$F383*IF($C383="売",1-V811設定!$B$4,1+V811設定!$B$4)-MOD($F383*IF($C383="売",1-V811設定!$B$4,1+V811設定!$B$4),IF($F383&lt;=3000,1,IF($F383&lt;=5000,5,IF($F383&lt;=30000,10,IF($F383&lt;=50000,50,IF($F383&lt;=300000,100,500))))))+IF(AND($C383="売",MOD($F383*IF($C383="売",1-V811設定!$B$4,1+V811設定!$B$4),IF($F383&lt;=3000,1,IF($F383&lt;=5000,5,IF($F383&lt;=30000,10,IF($F383&lt;=50000,50,IF($F383&lt;=300000,100,500))))))&gt;0),IF($F383&lt;=3000,1,IF($F383&lt;=5000,5,IF($F383&lt;=30000,10,IF($F383&lt;=50000,50,IF($F383&lt;=300000,100,500))))),0))</f>
      </c>
      <c r="N383" s="599" t="str">
        <f>IF($F383="","",$F383*IF($C383="売",1+V811設定!$B$3,1-V811設定!$B$3)-MOD($F383*IF($C383="売",1+V811設定!$B$3,1-V811設定!$B$3),IF($F383&lt;=3000,1,IF($F383&lt;=5000,5,IF($F383&lt;=30000,10,IF($F383&lt;=50000,50,IF($F383&lt;=300000,100,500))))))+IF(AND($C383="売",MOD($F383*IF($C383="売",1+V811設定!$B$3,1-V811設定!$B$3),IF($F383&lt;=3000,1,IF($F383&lt;=5000,5,IF($F383&lt;=30000,10,IF($F383&lt;=50000,50,IF($F383&lt;=300000,100,500))))))&gt;0),IF($F383&lt;=3000,1,IF($F383&lt;=5000,5,IF($F383&lt;=30000,10,IF($F383&lt;=50000,50,IF($F383&lt;=300000,100,500))))),0))</f>
      </c>
      <c r="O383" s="478" t="str">
        <f>IF(OR($B383="",$F383="",$H383=""),"",IF($S383="✅売却済","―決済済―",IF($C383="売",IF($H383&lt;=$M383,"🟢利確",IF(AND($R383&lt;&gt;"",$H383&gt;=$R383),"🟠TRAIL",IF($H383&gt;=$N383,"🔴損切",IF($W383&gt;=V811設定!$B$6,"⏱時間決済",IF($H383&gt;=$F383*(1+V811設定!$B$3*0.7),"⚠️損切接近","保持継続"))))),IF($H383&gt;=$M383,"🟢利確",IF(AND($R383&lt;&gt;"",$H383&lt;=$R383),"🟠TRAIL",IF($H383&lt;=$N383,"🔴損切",IF($W383&gt;=V811設定!$B$6,"⏱時間決済",IF($H383&lt;=$F383*(1-V811設定!$B$3*0.7),"⚠️損切接近","保持継続"))))))))</f>
      </c>
      <c r="P383" s="445"/>
      <c r="R383" s="440" t="str">
        <f>IF(OR($F383="",$H383="",$N383=""),"",IF($S383="✅売却済","",IF($C383="売",IF($H383&gt;$F383*(1-V811設定!$B$3),$N383,MIN($N383,IF($Q383="",$N383,$Q383*1.03))),IF($H383&lt;$F383*(1+V811設定!$B$3),$N383,MAX($N383,IF($P383="",$N383,$P383*0.97))))))</f>
      </c>
      <c r="S383" s="440" t="str">
        <f>IF(B383="","",IF(T383&lt;&gt;"","✅売却済",IF(OR(H383="",L383=""),"📌保有中",IF(L383&gt;=0.06,"🟢利確推奨",IF(L383&gt;=0.05,"🟡利確直近",IF(L383&gt;=0.045,"🔵トレーリング検討",IF(L383&gt;-0.03,"📌保有中",IF(L383&gt;-0.04,"⚠️損切注意","🔴損切り"))))))))</f>
        <v/>
      </c>
      <c r="T383" s="597"/>
      <c r="U383" s="599"/>
      <c r="V383" s="704" t="str">
        <f>IF(OR(F383="",G383="",U383=""),"",IF(C383="売",(F383-U383)*G383,(U383-F383)*G383))</f>
        <v/>
      </c>
      <c r="W383" s="440" t="str">
        <f>IF(OR($E383="",$B383=""),"",IF($T383&lt;&gt;"",$T383-$E383,TODAY()-$E383)+1)</f>
        <v/>
      </c>
      <c r="X383" s="440" t="str">
        <f>IF(OR($AH383="",$AH383="保有中"),"",$AH383)</f>
        <v/>
      </c>
      <c r="AD383" s="608"/>
      <c r="AE383" s="600" t="str">
        <f>IF($E383="","",WORKDAY($E383,12))</f>
        <v/>
      </c>
      <c r="AF383" s="600" t="str" cm="1">
        <f t="array" aca="1" ref="AF383" ca="1">IF(OR($B383="",$M383=""),"",IFERROR(IF($C383="売",_xlfn.MINIFS(安値!$E$3:$IT$3,安値!$E$3:$IT$3,"&gt;"&amp;$E383,安値!$E$3:$IT$3,"&lt;="&amp;$AE383,OFFSET(安値!$E$6:$IT$6,MATCH(TEXT($B383,"0"),TEXT(銘柄管理!$B$6:$B$305,"0"),0)-1,0),"&lt;="&amp;$M383),_xlfn.MINIFS(高値!$E$3:$IT$3,高値!$E$3:$IT$3,"&gt;"&amp;$E383,高値!$E$3:$IT$3,"&lt;="&amp;$AE383,OFFSET(高値!$E$6:$IT$6,MATCH(TEXT($B383,"0"),TEXT(銘柄管理!$B$6:$B$305,"0"),0)-1,0),"&gt;="&amp;$M383)),""))</f>
        <v/>
      </c>
      <c r="AG383" s="600" t="str" cm="1">
        <f t="array" aca="1" ref="AG383" ca="1">IF(OR($B383="",$N383=""),"",IFERROR(IF($C383="売",_xlfn.MINIFS(高値!$E$3:$IT$3,高値!$E$3:$IT$3,"&gt;"&amp;$E383,高値!$E$3:$IT$3,"&lt;="&amp;$AE383,OFFSET(高値!$E$6:$IT$6,MATCH(TEXT($B383,"0"),TEXT(銘柄管理!$B$6:$B$305,"0"),0)-1,0),"&gt;="&amp;$N383),_xlfn.MINIFS(安値!$E$3:$IT$3,安値!$E$3:$IT$3,"&gt;"&amp;$E383,安値!$E$3:$IT$3,"&lt;="&amp;$AE383,OFFSET(安値!$E$6:$IT$6,MATCH(TEXT($B383,"0"),TEXT(銘柄管理!$B$6:$B$305,"0"),0)-1,0),"&lt;="&amp;$N383)),""))</f>
        <v/>
      </c>
      <c r="AH383" s="600" t="str">
        <f>IF(OR($B383="",$M383=""),"",IF(AND(N($AF383)=0,N($AG383)=0),IF(AND(ISNUMBER($H383),$H383&gt;0,IF($C383="売",$H383&gt;=$N383,$H383&lt;=$N383)),"損切確定",IF(AND(ISNUMBER($H383),$H383&gt;0,IF($C383="売",$H383&lt;=$M383,$H383&gt;=$M383)),"利益確定",IF($AE383&lt;=TODAY(),"日数制限","保有中"))),IF(N($AG383)=0,"利益確定",IF(N($AF383)=0,"損切確定",IF($AG383&lt;=$AF383,"損切確定","利益確定")))))</f>
        <v/>
      </c>
      <c r="AI383" s="600" t="str" cm="1">
        <f t="array" ref="AI383">IFERROR(INDEX(始値!$E$6:$IT$305,MATCH(TEXT($B383,"0"),TEXT(銘柄管理!$B$6:$B$305,"0"),0),MATCH($AE383,始値!$E$3:$IT$3,0)),"")</f>
        <v/>
      </c>
      <c r="AJ383" s="608" t="str">
        <f>IF(OR($V383="",$F383="",$G383=""),"",$V383/($F383*$G383))</f>
        <v/>
      </c>
      <c r="AK383" s="600" t="str">
        <f>IF($V383="","",IF($V383&gt;0,"○勝",IF($V383&lt;0,"●負","△引分")))</f>
        <v/>
      </c>
    </row>
    <row r="384" spans="1:37" ht="17.25" customHeight="1">
      <c r="A384" s="622" t="str">
        <f>IF(B384="","",HYPERLINK("https://kabutan.jp/stock/?code="&amp;B384,"株探"))</f>
        <v/>
      </c>
      <c r="D384" s="440" t="str" cm="1">
        <f t="array" ref="D384">_xll.RssMarket(B384, "銘柄名称")</f>
        <v/>
      </c>
      <c r="E384" s="717"/>
      <c r="F384" s="698" t="str" cm="1">
        <f t="array" aca="1" ref="F384" ca="1">IFERROR(_xlfn.LET(_xlpm.r,MATCH(TEXT($B384,"0"),TEXT(銘柄管理!$B$6:$B$305,"0"),0),_xlpm.t,MOD(NOW(),1),_xlpm.c,IF($E384=TODAY(),IF(_xlpm.t&gt;=TIME(15,30,0),NA(),1),IF(MATCH($E384,始値!$E$3:$IT$3,0)=1,1,MATCH($E384,始値!$E$3:$IT$3,0)+1)),_xlpm.v,INDEX(始値!$C$6:$IT$305,_xlpm.r,_xlpm.c),IF(N(_xlpm.v)=0,"",_xlpm.v)),"")</f>
        <v/>
      </c>
      <c r="H384" s="440" t="str" cm="1">
        <f t="array" ref="H384">_xll.RssMarket(B384, "現在値")</f>
        <v/>
      </c>
      <c r="I384" s="440" t="str" cm="1">
        <f t="array" ref="I384">_xll.RssMarket(B384, "出来高加重平均")</f>
        <v/>
      </c>
      <c r="J384" s="704" t="str" cm="1">
        <f t="array" ref="J384">_xll.RssMarket($B384, "前日比")</f>
        <v/>
      </c>
      <c r="K384" s="704" t="str">
        <f>IF(OR(F384="",G384="",H384=""),"",IF(C384="売",(F384-H384)*G384,(H384-F384)*G384))</f>
        <v/>
      </c>
      <c r="L384" s="709" t="str">
        <f>IF(OR(F384="",H384=""),"",IF(C384="売",(F384-H384)/F384,(H384-F384)/F384))</f>
        <v/>
      </c>
      <c r="M384" s="599" t="str">
        <f>IF($F384="","",$F384*IF($C384="売",1-V811設定!$B$4,1+V811設定!$B$4)-MOD($F384*IF($C384="売",1-V811設定!$B$4,1+V811設定!$B$4),IF($F384&lt;=3000,1,IF($F384&lt;=5000,5,IF($F384&lt;=30000,10,IF($F384&lt;=50000,50,IF($F384&lt;=300000,100,500))))))+IF(AND($C384="売",MOD($F384*IF($C384="売",1-V811設定!$B$4,1+V811設定!$B$4),IF($F384&lt;=3000,1,IF($F384&lt;=5000,5,IF($F384&lt;=30000,10,IF($F384&lt;=50000,50,IF($F384&lt;=300000,100,500))))))&gt;0),IF($F384&lt;=3000,1,IF($F384&lt;=5000,5,IF($F384&lt;=30000,10,IF($F384&lt;=50000,50,IF($F384&lt;=300000,100,500))))),0))</f>
      </c>
      <c r="N384" s="599" t="str">
        <f>IF($F384="","",$F384*IF($C384="売",1+V811設定!$B$3,1-V811設定!$B$3)-MOD($F384*IF($C384="売",1+V811設定!$B$3,1-V811設定!$B$3),IF($F384&lt;=3000,1,IF($F384&lt;=5000,5,IF($F384&lt;=30000,10,IF($F384&lt;=50000,50,IF($F384&lt;=300000,100,500))))))+IF(AND($C384="売",MOD($F384*IF($C384="売",1+V811設定!$B$3,1-V811設定!$B$3),IF($F384&lt;=3000,1,IF($F384&lt;=5000,5,IF($F384&lt;=30000,10,IF($F384&lt;=50000,50,IF($F384&lt;=300000,100,500))))))&gt;0),IF($F384&lt;=3000,1,IF($F384&lt;=5000,5,IF($F384&lt;=30000,10,IF($F384&lt;=50000,50,IF($F384&lt;=300000,100,500))))),0))</f>
      </c>
      <c r="O384" s="478" t="str">
        <f>IF(OR($B384="",$F384="",$H384=""),"",IF($S384="✅売却済","―決済済―",IF($C384="売",IF($H384&lt;=$M384,"🟢利確",IF(AND($R384&lt;&gt;"",$H384&gt;=$R384),"🟠TRAIL",IF($H384&gt;=$N384,"🔴損切",IF($W384&gt;=V811設定!$B$6,"⏱時間決済",IF($H384&gt;=$F384*(1+V811設定!$B$3*0.7),"⚠️損切接近","保持継続"))))),IF($H384&gt;=$M384,"🟢利確",IF(AND($R384&lt;&gt;"",$H384&lt;=$R384),"🟠TRAIL",IF($H384&lt;=$N384,"🔴損切",IF($W384&gt;=V811設定!$B$6,"⏱時間決済",IF($H384&lt;=$F384*(1-V811設定!$B$3*0.7),"⚠️損切接近","保持継続"))))))))</f>
      </c>
      <c r="P384" s="445"/>
      <c r="R384" s="440" t="str">
        <f>IF(OR($F384="",$H384="",$N384=""),"",IF($S384="✅売却済","",IF($C384="売",IF($H384&gt;$F384*(1-V811設定!$B$3),$N384,MIN($N384,IF($Q384="",$N384,$Q384*1.03))),IF($H384&lt;$F384*(1+V811設定!$B$3),$N384,MAX($N384,IF($P384="",$N384,$P384*0.97))))))</f>
      </c>
      <c r="S384" s="440" t="str">
        <f>IF(B384="","",IF(T384&lt;&gt;"","✅売却済",IF(OR(H384="",L384=""),"📌保有中",IF(L384&gt;=0.06,"🟢利確推奨",IF(L384&gt;=0.05,"🟡利確直近",IF(L384&gt;=0.045,"🔵トレーリング検討",IF(L384&gt;-0.03,"📌保有中",IF(L384&gt;-0.04,"⚠️損切注意","🔴損切り"))))))))</f>
        <v/>
      </c>
      <c r="T384" s="597"/>
      <c r="U384" s="599"/>
      <c r="V384" s="704" t="str">
        <f>IF(OR(F384="",G384="",U384=""),"",IF(C384="売",(F384-U384)*G384,(U384-F384)*G384))</f>
        <v/>
      </c>
      <c r="W384" s="440" t="str">
        <f>IF(OR($E384="",$B384=""),"",IF($T384&lt;&gt;"",$T384-$E384,TODAY()-$E384)+1)</f>
        <v/>
      </c>
      <c r="X384" s="440" t="str">
        <f>IF(OR($AH384="",$AH384="保有中"),"",$AH384)</f>
        <v/>
      </c>
      <c r="AD384" s="608"/>
      <c r="AE384" s="600" t="str">
        <f>IF($E384="","",WORKDAY($E384,12))</f>
        <v/>
      </c>
      <c r="AF384" s="600" t="str" cm="1">
        <f t="array" aca="1" ref="AF384" ca="1">IF(OR($B384="",$M384=""),"",IFERROR(IF($C384="売",_xlfn.MINIFS(安値!$E$3:$IT$3,安値!$E$3:$IT$3,"&gt;"&amp;$E384,安値!$E$3:$IT$3,"&lt;="&amp;$AE384,OFFSET(安値!$E$6:$IT$6,MATCH(TEXT($B384,"0"),TEXT(銘柄管理!$B$6:$B$305,"0"),0)-1,0),"&lt;="&amp;$M384),_xlfn.MINIFS(高値!$E$3:$IT$3,高値!$E$3:$IT$3,"&gt;"&amp;$E384,高値!$E$3:$IT$3,"&lt;="&amp;$AE384,OFFSET(高値!$E$6:$IT$6,MATCH(TEXT($B384,"0"),TEXT(銘柄管理!$B$6:$B$305,"0"),0)-1,0),"&gt;="&amp;$M384)),""))</f>
        <v/>
      </c>
      <c r="AG384" s="600" t="str" cm="1">
        <f t="array" aca="1" ref="AG384" ca="1">IF(OR($B384="",$N384=""),"",IFERROR(IF($C384="売",_xlfn.MINIFS(高値!$E$3:$IT$3,高値!$E$3:$IT$3,"&gt;"&amp;$E384,高値!$E$3:$IT$3,"&lt;="&amp;$AE384,OFFSET(高値!$E$6:$IT$6,MATCH(TEXT($B384,"0"),TEXT(銘柄管理!$B$6:$B$305,"0"),0)-1,0),"&gt;="&amp;$N384),_xlfn.MINIFS(安値!$E$3:$IT$3,安値!$E$3:$IT$3,"&gt;"&amp;$E384,安値!$E$3:$IT$3,"&lt;="&amp;$AE384,OFFSET(安値!$E$6:$IT$6,MATCH(TEXT($B384,"0"),TEXT(銘柄管理!$B$6:$B$305,"0"),0)-1,0),"&lt;="&amp;$N384)),""))</f>
        <v/>
      </c>
      <c r="AH384" s="600" t="str">
        <f>IF(OR($B384="",$M384=""),"",IF(AND(N($AF384)=0,N($AG384)=0),IF(AND(ISNUMBER($H384),$H384&gt;0,IF($C384="売",$H384&gt;=$N384,$H384&lt;=$N384)),"損切確定",IF(AND(ISNUMBER($H384),$H384&gt;0,IF($C384="売",$H384&lt;=$M384,$H384&gt;=$M384)),"利益確定",IF($AE384&lt;=TODAY(),"日数制限","保有中"))),IF(N($AG384)=0,"利益確定",IF(N($AF384)=0,"損切確定",IF($AG384&lt;=$AF384,"損切確定","利益確定")))))</f>
        <v/>
      </c>
      <c r="AI384" s="600" t="str" cm="1">
        <f t="array" ref="AI384">IFERROR(INDEX(始値!$E$6:$IT$305,MATCH(TEXT($B384,"0"),TEXT(銘柄管理!$B$6:$B$305,"0"),0),MATCH($AE384,始値!$E$3:$IT$3,0)),"")</f>
        <v/>
      </c>
      <c r="AJ384" s="608" t="str">
        <f>IF(OR($V384="",$F384="",$G384=""),"",$V384/($F384*$G384))</f>
        <v/>
      </c>
      <c r="AK384" s="600" t="str">
        <f>IF($V384="","",IF($V384&gt;0,"○勝",IF($V384&lt;0,"●負","△引分")))</f>
        <v/>
      </c>
    </row>
    <row r="385" spans="1:37" ht="17.25" customHeight="1">
      <c r="A385" s="622" t="str">
        <f>IF(B385="","",HYPERLINK("https://kabutan.jp/stock/?code="&amp;B385,"株探"))</f>
        <v/>
      </c>
      <c r="D385" s="440" t="str" cm="1">
        <f t="array" ref="D385">_xll.RssMarket(B385, "銘柄名称")</f>
        <v/>
      </c>
      <c r="E385" s="717"/>
      <c r="F385" s="698" t="str" cm="1">
        <f t="array" aca="1" ref="F385" ca="1">IFERROR(_xlfn.LET(_xlpm.r,MATCH(TEXT($B385,"0"),TEXT(銘柄管理!$B$6:$B$305,"0"),0),_xlpm.t,MOD(NOW(),1),_xlpm.c,IF($E385=TODAY(),IF(_xlpm.t&gt;=TIME(15,30,0),NA(),1),IF(MATCH($E385,始値!$E$3:$IT$3,0)=1,1,MATCH($E385,始値!$E$3:$IT$3,0)+1)),_xlpm.v,INDEX(始値!$C$6:$IT$305,_xlpm.r,_xlpm.c),IF(N(_xlpm.v)=0,"",_xlpm.v)),"")</f>
        <v/>
      </c>
      <c r="H385" s="440" t="str" cm="1">
        <f t="array" ref="H385">_xll.RssMarket(B385, "現在値")</f>
        <v/>
      </c>
      <c r="I385" s="440" t="str" cm="1">
        <f t="array" ref="I385">_xll.RssMarket(B385, "出来高加重平均")</f>
        <v/>
      </c>
      <c r="J385" s="704" t="str" cm="1">
        <f t="array" ref="J385">_xll.RssMarket($B385, "前日比")</f>
        <v/>
      </c>
      <c r="K385" s="704" t="str">
        <f>IF(OR(F385="",G385="",H385=""),"",IF(C385="売",(F385-H385)*G385,(H385-F385)*G385))</f>
        <v/>
      </c>
      <c r="L385" s="709" t="str">
        <f>IF(OR(F385="",H385=""),"",IF(C385="売",(F385-H385)/F385,(H385-F385)/F385))</f>
        <v/>
      </c>
      <c r="M385" s="599" t="str">
        <f>IF($F385="","",$F385*IF($C385="売",1-V811設定!$B$4,1+V811設定!$B$4)-MOD($F385*IF($C385="売",1-V811設定!$B$4,1+V811設定!$B$4),IF($F385&lt;=3000,1,IF($F385&lt;=5000,5,IF($F385&lt;=30000,10,IF($F385&lt;=50000,50,IF($F385&lt;=300000,100,500))))))+IF(AND($C385="売",MOD($F385*IF($C385="売",1-V811設定!$B$4,1+V811設定!$B$4),IF($F385&lt;=3000,1,IF($F385&lt;=5000,5,IF($F385&lt;=30000,10,IF($F385&lt;=50000,50,IF($F385&lt;=300000,100,500))))))&gt;0),IF($F385&lt;=3000,1,IF($F385&lt;=5000,5,IF($F385&lt;=30000,10,IF($F385&lt;=50000,50,IF($F385&lt;=300000,100,500))))),0))</f>
      </c>
      <c r="N385" s="599" t="str">
        <f>IF($F385="","",$F385*IF($C385="売",1+V811設定!$B$3,1-V811設定!$B$3)-MOD($F385*IF($C385="売",1+V811設定!$B$3,1-V811設定!$B$3),IF($F385&lt;=3000,1,IF($F385&lt;=5000,5,IF($F385&lt;=30000,10,IF($F385&lt;=50000,50,IF($F385&lt;=300000,100,500))))))+IF(AND($C385="売",MOD($F385*IF($C385="売",1+V811設定!$B$3,1-V811設定!$B$3),IF($F385&lt;=3000,1,IF($F385&lt;=5000,5,IF($F385&lt;=30000,10,IF($F385&lt;=50000,50,IF($F385&lt;=300000,100,500))))))&gt;0),IF($F385&lt;=3000,1,IF($F385&lt;=5000,5,IF($F385&lt;=30000,10,IF($F385&lt;=50000,50,IF($F385&lt;=300000,100,500))))),0))</f>
      </c>
      <c r="O385" s="478" t="str">
        <f>IF(OR($B385="",$F385="",$H385=""),"",IF($S385="✅売却済","―決済済―",IF($C385="売",IF($H385&lt;=$M385,"🟢利確",IF(AND($R385&lt;&gt;"",$H385&gt;=$R385),"🟠TRAIL",IF($H385&gt;=$N385,"🔴損切",IF($W385&gt;=V811設定!$B$6,"⏱時間決済",IF($H385&gt;=$F385*(1+V811設定!$B$3*0.7),"⚠️損切接近","保持継続"))))),IF($H385&gt;=$M385,"🟢利確",IF(AND($R385&lt;&gt;"",$H385&lt;=$R385),"🟠TRAIL",IF($H385&lt;=$N385,"🔴損切",IF($W385&gt;=V811設定!$B$6,"⏱時間決済",IF($H385&lt;=$F385*(1-V811設定!$B$3*0.7),"⚠️損切接近","保持継続"))))))))</f>
      </c>
      <c r="P385" s="445"/>
      <c r="R385" s="440" t="str">
        <f>IF(OR($F385="",$H385="",$N385=""),"",IF($S385="✅売却済","",IF($C385="売",IF($H385&gt;$F385*(1-V811設定!$B$3),$N385,MIN($N385,IF($Q385="",$N385,$Q385*1.03))),IF($H385&lt;$F385*(1+V811設定!$B$3),$N385,MAX($N385,IF($P385="",$N385,$P385*0.97))))))</f>
      </c>
      <c r="S385" s="440" t="str">
        <f>IF(B385="","",IF(T385&lt;&gt;"","✅売却済",IF(OR(H385="",L385=""),"📌保有中",IF(L385&gt;=0.06,"🟢利確推奨",IF(L385&gt;=0.05,"🟡利確直近",IF(L385&gt;=0.045,"🔵トレーリング検討",IF(L385&gt;-0.03,"📌保有中",IF(L385&gt;-0.04,"⚠️損切注意","🔴損切り"))))))))</f>
        <v/>
      </c>
      <c r="T385" s="597"/>
      <c r="U385" s="599"/>
      <c r="V385" s="704" t="str">
        <f>IF(OR(F385="",G385="",U385=""),"",IF(C385="売",(F385-U385)*G385,(U385-F385)*G385))</f>
        <v/>
      </c>
      <c r="W385" s="440" t="str">
        <f>IF(OR($E385="",$B385=""),"",IF($T385&lt;&gt;"",$T385-$E385,TODAY()-$E385)+1)</f>
        <v/>
      </c>
      <c r="X385" s="440" t="str">
        <f>IF(OR($AH385="",$AH385="保有中"),"",$AH385)</f>
        <v/>
      </c>
      <c r="AD385" s="608"/>
      <c r="AE385" s="600" t="str">
        <f>IF($E385="","",WORKDAY($E385,12))</f>
        <v/>
      </c>
      <c r="AF385" s="600" t="str" cm="1">
        <f t="array" aca="1" ref="AF385" ca="1">IF(OR($B385="",$M385=""),"",IFERROR(IF($C385="売",_xlfn.MINIFS(安値!$E$3:$IT$3,安値!$E$3:$IT$3,"&gt;"&amp;$E385,安値!$E$3:$IT$3,"&lt;="&amp;$AE385,OFFSET(安値!$E$6:$IT$6,MATCH(TEXT($B385,"0"),TEXT(銘柄管理!$B$6:$B$305,"0"),0)-1,0),"&lt;="&amp;$M385),_xlfn.MINIFS(高値!$E$3:$IT$3,高値!$E$3:$IT$3,"&gt;"&amp;$E385,高値!$E$3:$IT$3,"&lt;="&amp;$AE385,OFFSET(高値!$E$6:$IT$6,MATCH(TEXT($B385,"0"),TEXT(銘柄管理!$B$6:$B$305,"0"),0)-1,0),"&gt;="&amp;$M385)),""))</f>
        <v/>
      </c>
      <c r="AG385" s="600" t="str" cm="1">
        <f t="array" aca="1" ref="AG385" ca="1">IF(OR($B385="",$N385=""),"",IFERROR(IF($C385="売",_xlfn.MINIFS(高値!$E$3:$IT$3,高値!$E$3:$IT$3,"&gt;"&amp;$E385,高値!$E$3:$IT$3,"&lt;="&amp;$AE385,OFFSET(高値!$E$6:$IT$6,MATCH(TEXT($B385,"0"),TEXT(銘柄管理!$B$6:$B$305,"0"),0)-1,0),"&gt;="&amp;$N385),_xlfn.MINIFS(安値!$E$3:$IT$3,安値!$E$3:$IT$3,"&gt;"&amp;$E385,安値!$E$3:$IT$3,"&lt;="&amp;$AE385,OFFSET(安値!$E$6:$IT$6,MATCH(TEXT($B385,"0"),TEXT(銘柄管理!$B$6:$B$305,"0"),0)-1,0),"&lt;="&amp;$N385)),""))</f>
        <v/>
      </c>
      <c r="AH385" s="600" t="str">
        <f>IF(OR($B385="",$M385=""),"",IF(AND(N($AF385)=0,N($AG385)=0),IF(AND(ISNUMBER($H385),$H385&gt;0,IF($C385="売",$H385&gt;=$N385,$H385&lt;=$N385)),"損切確定",IF(AND(ISNUMBER($H385),$H385&gt;0,IF($C385="売",$H385&lt;=$M385,$H385&gt;=$M385)),"利益確定",IF($AE385&lt;=TODAY(),"日数制限","保有中"))),IF(N($AG385)=0,"利益確定",IF(N($AF385)=0,"損切確定",IF($AG385&lt;=$AF385,"損切確定","利益確定")))))</f>
        <v/>
      </c>
      <c r="AI385" s="600" t="str" cm="1">
        <f t="array" ref="AI385">IFERROR(INDEX(始値!$E$6:$IT$305,MATCH(TEXT($B385,"0"),TEXT(銘柄管理!$B$6:$B$305,"0"),0),MATCH($AE385,始値!$E$3:$IT$3,0)),"")</f>
        <v/>
      </c>
      <c r="AJ385" s="608" t="str">
        <f>IF(OR($V385="",$F385="",$G385=""),"",$V385/($F385*$G385))</f>
        <v/>
      </c>
      <c r="AK385" s="600" t="str">
        <f>IF($V385="","",IF($V385&gt;0,"○勝",IF($V385&lt;0,"●負","△引分")))</f>
        <v/>
      </c>
    </row>
    <row r="386" spans="1:37" ht="17.25" customHeight="1">
      <c r="A386" s="622" t="str">
        <f>IF(B386="","",HYPERLINK("https://kabutan.jp/stock/?code="&amp;B386,"株探"))</f>
        <v/>
      </c>
      <c r="D386" s="440" t="str" cm="1">
        <f t="array" ref="D386">_xll.RssMarket(B386, "銘柄名称")</f>
        <v/>
      </c>
      <c r="E386" s="717"/>
      <c r="F386" s="698" t="str" cm="1">
        <f t="array" aca="1" ref="F386" ca="1">IFERROR(_xlfn.LET(_xlpm.r,MATCH(TEXT($B386,"0"),TEXT(銘柄管理!$B$6:$B$305,"0"),0),_xlpm.t,MOD(NOW(),1),_xlpm.c,IF($E386=TODAY(),IF(_xlpm.t&gt;=TIME(15,30,0),NA(),1),IF(MATCH($E386,始値!$E$3:$IT$3,0)=1,1,MATCH($E386,始値!$E$3:$IT$3,0)+1)),_xlpm.v,INDEX(始値!$C$6:$IT$305,_xlpm.r,_xlpm.c),IF(N(_xlpm.v)=0,"",_xlpm.v)),"")</f>
        <v/>
      </c>
      <c r="H386" s="440" t="str" cm="1">
        <f t="array" ref="H386">_xll.RssMarket(B386, "現在値")</f>
        <v/>
      </c>
      <c r="I386" s="440" t="str" cm="1">
        <f t="array" ref="I386">_xll.RssMarket(B386, "出来高加重平均")</f>
        <v/>
      </c>
      <c r="J386" s="704" t="str" cm="1">
        <f t="array" ref="J386">_xll.RssMarket($B386, "前日比")</f>
        <v/>
      </c>
      <c r="K386" s="704" t="str">
        <f>IF(OR(F386="",G386="",H386=""),"",IF(C386="売",(F386-H386)*G386,(H386-F386)*G386))</f>
        <v/>
      </c>
      <c r="L386" s="709" t="str">
        <f>IF(OR(F386="",H386=""),"",IF(C386="売",(F386-H386)/F386,(H386-F386)/F386))</f>
        <v/>
      </c>
      <c r="M386" s="599" t="str">
        <f>IF($F386="","",$F386*IF($C386="売",1-V811設定!$B$4,1+V811設定!$B$4)-MOD($F386*IF($C386="売",1-V811設定!$B$4,1+V811設定!$B$4),IF($F386&lt;=3000,1,IF($F386&lt;=5000,5,IF($F386&lt;=30000,10,IF($F386&lt;=50000,50,IF($F386&lt;=300000,100,500))))))+IF(AND($C386="売",MOD($F386*IF($C386="売",1-V811設定!$B$4,1+V811設定!$B$4),IF($F386&lt;=3000,1,IF($F386&lt;=5000,5,IF($F386&lt;=30000,10,IF($F386&lt;=50000,50,IF($F386&lt;=300000,100,500))))))&gt;0),IF($F386&lt;=3000,1,IF($F386&lt;=5000,5,IF($F386&lt;=30000,10,IF($F386&lt;=50000,50,IF($F386&lt;=300000,100,500))))),0))</f>
      </c>
      <c r="N386" s="599" t="str">
        <f>IF($F386="","",$F386*IF($C386="売",1+V811設定!$B$3,1-V811設定!$B$3)-MOD($F386*IF($C386="売",1+V811設定!$B$3,1-V811設定!$B$3),IF($F386&lt;=3000,1,IF($F386&lt;=5000,5,IF($F386&lt;=30000,10,IF($F386&lt;=50000,50,IF($F386&lt;=300000,100,500))))))+IF(AND($C386="売",MOD($F386*IF($C386="売",1+V811設定!$B$3,1-V811設定!$B$3),IF($F386&lt;=3000,1,IF($F386&lt;=5000,5,IF($F386&lt;=30000,10,IF($F386&lt;=50000,50,IF($F386&lt;=300000,100,500))))))&gt;0),IF($F386&lt;=3000,1,IF($F386&lt;=5000,5,IF($F386&lt;=30000,10,IF($F386&lt;=50000,50,IF($F386&lt;=300000,100,500))))),0))</f>
      </c>
      <c r="O386" s="478" t="str">
        <f>IF(OR($B386="",$F386="",$H386=""),"",IF($S386="✅売却済","―決済済―",IF($C386="売",IF($H386&lt;=$M386,"🟢利確",IF(AND($R386&lt;&gt;"",$H386&gt;=$R386),"🟠TRAIL",IF($H386&gt;=$N386,"🔴損切",IF($W386&gt;=V811設定!$B$6,"⏱時間決済",IF($H386&gt;=$F386*(1+V811設定!$B$3*0.7),"⚠️損切接近","保持継続"))))),IF($H386&gt;=$M386,"🟢利確",IF(AND($R386&lt;&gt;"",$H386&lt;=$R386),"🟠TRAIL",IF($H386&lt;=$N386,"🔴損切",IF($W386&gt;=V811設定!$B$6,"⏱時間決済",IF($H386&lt;=$F386*(1-V811設定!$B$3*0.7),"⚠️損切接近","保持継続"))))))))</f>
      </c>
      <c r="P386" s="445"/>
      <c r="R386" s="440" t="str">
        <f>IF(OR($F386="",$H386="",$N386=""),"",IF($S386="✅売却済","",IF($C386="売",IF($H386&gt;$F386*(1-V811設定!$B$3),$N386,MIN($N386,IF($Q386="",$N386,$Q386*1.03))),IF($H386&lt;$F386*(1+V811設定!$B$3),$N386,MAX($N386,IF($P386="",$N386,$P386*0.97))))))</f>
      </c>
      <c r="S386" s="440" t="str">
        <f>IF(B386="","",IF(T386&lt;&gt;"","✅売却済",IF(OR(H386="",L386=""),"📌保有中",IF(L386&gt;=0.06,"🟢利確推奨",IF(L386&gt;=0.05,"🟡利確直近",IF(L386&gt;=0.045,"🔵トレーリング検討",IF(L386&gt;-0.03,"📌保有中",IF(L386&gt;-0.04,"⚠️損切注意","🔴損切り"))))))))</f>
        <v/>
      </c>
      <c r="T386" s="597"/>
      <c r="U386" s="599"/>
      <c r="V386" s="704" t="str">
        <f>IF(OR(F386="",G386="",U386=""),"",IF(C386="売",(F386-U386)*G386,(U386-F386)*G386))</f>
        <v/>
      </c>
      <c r="W386" s="440" t="str">
        <f>IF(OR($E386="",$B386=""),"",IF($T386&lt;&gt;"",$T386-$E386,TODAY()-$E386)+1)</f>
        <v/>
      </c>
      <c r="X386" s="440" t="str">
        <f>IF(OR($AH386="",$AH386="保有中"),"",$AH386)</f>
        <v/>
      </c>
      <c r="AD386" s="608"/>
      <c r="AE386" s="600" t="str">
        <f>IF($E386="","",WORKDAY($E386,12))</f>
        <v/>
      </c>
      <c r="AF386" s="600" t="str" cm="1">
        <f t="array" aca="1" ref="AF386" ca="1">IF(OR($B386="",$M386=""),"",IFERROR(IF($C386="売",_xlfn.MINIFS(安値!$E$3:$IT$3,安値!$E$3:$IT$3,"&gt;"&amp;$E386,安値!$E$3:$IT$3,"&lt;="&amp;$AE386,OFFSET(安値!$E$6:$IT$6,MATCH(TEXT($B386,"0"),TEXT(銘柄管理!$B$6:$B$305,"0"),0)-1,0),"&lt;="&amp;$M386),_xlfn.MINIFS(高値!$E$3:$IT$3,高値!$E$3:$IT$3,"&gt;"&amp;$E386,高値!$E$3:$IT$3,"&lt;="&amp;$AE386,OFFSET(高値!$E$6:$IT$6,MATCH(TEXT($B386,"0"),TEXT(銘柄管理!$B$6:$B$305,"0"),0)-1,0),"&gt;="&amp;$M386)),""))</f>
        <v/>
      </c>
      <c r="AG386" s="600" t="str" cm="1">
        <f t="array" aca="1" ref="AG386" ca="1">IF(OR($B386="",$N386=""),"",IFERROR(IF($C386="売",_xlfn.MINIFS(高値!$E$3:$IT$3,高値!$E$3:$IT$3,"&gt;"&amp;$E386,高値!$E$3:$IT$3,"&lt;="&amp;$AE386,OFFSET(高値!$E$6:$IT$6,MATCH(TEXT($B386,"0"),TEXT(銘柄管理!$B$6:$B$305,"0"),0)-1,0),"&gt;="&amp;$N386),_xlfn.MINIFS(安値!$E$3:$IT$3,安値!$E$3:$IT$3,"&gt;"&amp;$E386,安値!$E$3:$IT$3,"&lt;="&amp;$AE386,OFFSET(安値!$E$6:$IT$6,MATCH(TEXT($B386,"0"),TEXT(銘柄管理!$B$6:$B$305,"0"),0)-1,0),"&lt;="&amp;$N386)),""))</f>
        <v/>
      </c>
      <c r="AH386" s="600" t="str">
        <f>IF(OR($B386="",$M386=""),"",IF(AND(N($AF386)=0,N($AG386)=0),IF(AND(ISNUMBER($H386),$H386&gt;0,IF($C386="売",$H386&gt;=$N386,$H386&lt;=$N386)),"損切確定",IF(AND(ISNUMBER($H386),$H386&gt;0,IF($C386="売",$H386&lt;=$M386,$H386&gt;=$M386)),"利益確定",IF($AE386&lt;=TODAY(),"日数制限","保有中"))),IF(N($AG386)=0,"利益確定",IF(N($AF386)=0,"損切確定",IF($AG386&lt;=$AF386,"損切確定","利益確定")))))</f>
        <v/>
      </c>
      <c r="AI386" s="600" t="str" cm="1">
        <f t="array" ref="AI386">IFERROR(INDEX(始値!$E$6:$IT$305,MATCH(TEXT($B386,"0"),TEXT(銘柄管理!$B$6:$B$305,"0"),0),MATCH($AE386,始値!$E$3:$IT$3,0)),"")</f>
        <v/>
      </c>
      <c r="AJ386" s="608" t="str">
        <f>IF(OR($V386="",$F386="",$G386=""),"",$V386/($F386*$G386))</f>
        <v/>
      </c>
      <c r="AK386" s="600" t="str">
        <f>IF($V386="","",IF($V386&gt;0,"○勝",IF($V386&lt;0,"●負","△引分")))</f>
        <v/>
      </c>
    </row>
    <row r="387" spans="1:37" ht="17.25" customHeight="1">
      <c r="A387" s="622" t="str">
        <f>IF(B387="","",HYPERLINK("https://kabutan.jp/stock/?code="&amp;B387,"株探"))</f>
        <v/>
      </c>
      <c r="D387" s="440" t="str" cm="1">
        <f t="array" ref="D387">_xll.RssMarket(B387, "銘柄名称")</f>
        <v/>
      </c>
      <c r="E387" s="717"/>
      <c r="F387" s="698" t="str" cm="1">
        <f t="array" aca="1" ref="F387" ca="1">IFERROR(_xlfn.LET(_xlpm.r,MATCH(TEXT($B387,"0"),TEXT(銘柄管理!$B$6:$B$305,"0"),0),_xlpm.t,MOD(NOW(),1),_xlpm.c,IF($E387=TODAY(),IF(_xlpm.t&gt;=TIME(15,30,0),NA(),1),IF(MATCH($E387,始値!$E$3:$IT$3,0)=1,1,MATCH($E387,始値!$E$3:$IT$3,0)+1)),_xlpm.v,INDEX(始値!$C$6:$IT$305,_xlpm.r,_xlpm.c),IF(N(_xlpm.v)=0,"",_xlpm.v)),"")</f>
        <v/>
      </c>
      <c r="H387" s="440" t="str" cm="1">
        <f t="array" ref="H387">_xll.RssMarket(B387, "現在値")</f>
        <v/>
      </c>
      <c r="I387" s="440" t="str" cm="1">
        <f t="array" ref="I387">_xll.RssMarket(B387, "出来高加重平均")</f>
        <v/>
      </c>
      <c r="J387" s="704" t="str" cm="1">
        <f t="array" ref="J387">_xll.RssMarket($B387, "前日比")</f>
        <v/>
      </c>
      <c r="K387" s="704" t="str">
        <f>IF(OR(F387="",G387="",H387=""),"",IF(C387="売",(F387-H387)*G387,(H387-F387)*G387))</f>
        <v/>
      </c>
      <c r="L387" s="709" t="str">
        <f>IF(OR(F387="",H387=""),"",IF(C387="売",(F387-H387)/F387,(H387-F387)/F387))</f>
        <v/>
      </c>
      <c r="M387" s="599" t="str">
        <f>IF($F387="","",$F387*IF($C387="売",1-V811設定!$B$4,1+V811設定!$B$4)-MOD($F387*IF($C387="売",1-V811設定!$B$4,1+V811設定!$B$4),IF($F387&lt;=3000,1,IF($F387&lt;=5000,5,IF($F387&lt;=30000,10,IF($F387&lt;=50000,50,IF($F387&lt;=300000,100,500))))))+IF(AND($C387="売",MOD($F387*IF($C387="売",1-V811設定!$B$4,1+V811設定!$B$4),IF($F387&lt;=3000,1,IF($F387&lt;=5000,5,IF($F387&lt;=30000,10,IF($F387&lt;=50000,50,IF($F387&lt;=300000,100,500))))))&gt;0),IF($F387&lt;=3000,1,IF($F387&lt;=5000,5,IF($F387&lt;=30000,10,IF($F387&lt;=50000,50,IF($F387&lt;=300000,100,500))))),0))</f>
      </c>
      <c r="N387" s="599" t="str">
        <f>IF($F387="","",$F387*IF($C387="売",1+V811設定!$B$3,1-V811設定!$B$3)-MOD($F387*IF($C387="売",1+V811設定!$B$3,1-V811設定!$B$3),IF($F387&lt;=3000,1,IF($F387&lt;=5000,5,IF($F387&lt;=30000,10,IF($F387&lt;=50000,50,IF($F387&lt;=300000,100,500))))))+IF(AND($C387="売",MOD($F387*IF($C387="売",1+V811設定!$B$3,1-V811設定!$B$3),IF($F387&lt;=3000,1,IF($F387&lt;=5000,5,IF($F387&lt;=30000,10,IF($F387&lt;=50000,50,IF($F387&lt;=300000,100,500))))))&gt;0),IF($F387&lt;=3000,1,IF($F387&lt;=5000,5,IF($F387&lt;=30000,10,IF($F387&lt;=50000,50,IF($F387&lt;=300000,100,500))))),0))</f>
      </c>
      <c r="O387" s="478" t="str">
        <f>IF(OR($B387="",$F387="",$H387=""),"",IF($S387="✅売却済","―決済済―",IF($C387="売",IF($H387&lt;=$M387,"🟢利確",IF(AND($R387&lt;&gt;"",$H387&gt;=$R387),"🟠TRAIL",IF($H387&gt;=$N387,"🔴損切",IF($W387&gt;=V811設定!$B$6,"⏱時間決済",IF($H387&gt;=$F387*(1+V811設定!$B$3*0.7),"⚠️損切接近","保持継続"))))),IF($H387&gt;=$M387,"🟢利確",IF(AND($R387&lt;&gt;"",$H387&lt;=$R387),"🟠TRAIL",IF($H387&lt;=$N387,"🔴損切",IF($W387&gt;=V811設定!$B$6,"⏱時間決済",IF($H387&lt;=$F387*(1-V811設定!$B$3*0.7),"⚠️損切接近","保持継続"))))))))</f>
      </c>
      <c r="P387" s="445"/>
      <c r="R387" s="440" t="str">
        <f>IF(OR($F387="",$H387="",$N387=""),"",IF($S387="✅売却済","",IF($C387="売",IF($H387&gt;$F387*(1-V811設定!$B$3),$N387,MIN($N387,IF($Q387="",$N387,$Q387*1.03))),IF($H387&lt;$F387*(1+V811設定!$B$3),$N387,MAX($N387,IF($P387="",$N387,$P387*0.97))))))</f>
      </c>
      <c r="S387" s="440" t="str">
        <f>IF(B387="","",IF(T387&lt;&gt;"","✅売却済",IF(OR(H387="",L387=""),"📌保有中",IF(L387&gt;=0.06,"🟢利確推奨",IF(L387&gt;=0.05,"🟡利確直近",IF(L387&gt;=0.045,"🔵トレーリング検討",IF(L387&gt;-0.03,"📌保有中",IF(L387&gt;-0.04,"⚠️損切注意","🔴損切り"))))))))</f>
        <v/>
      </c>
      <c r="T387" s="597"/>
      <c r="U387" s="599"/>
      <c r="V387" s="704" t="str">
        <f>IF(OR(F387="",G387="",U387=""),"",IF(C387="売",(F387-U387)*G387,(U387-F387)*G387))</f>
        <v/>
      </c>
      <c r="W387" s="440" t="str">
        <f>IF(OR($E387="",$B387=""),"",IF($T387&lt;&gt;"",$T387-$E387,TODAY()-$E387)+1)</f>
        <v/>
      </c>
      <c r="X387" s="440" t="str">
        <f>IF(OR($AH387="",$AH387="保有中"),"",$AH387)</f>
        <v/>
      </c>
      <c r="AD387" s="608"/>
      <c r="AE387" s="600" t="str">
        <f>IF($E387="","",WORKDAY($E387,12))</f>
        <v/>
      </c>
      <c r="AF387" s="600" t="str" cm="1">
        <f t="array" aca="1" ref="AF387" ca="1">IF(OR($B387="",$M387=""),"",IFERROR(IF($C387="売",_xlfn.MINIFS(安値!$E$3:$IT$3,安値!$E$3:$IT$3,"&gt;"&amp;$E387,安値!$E$3:$IT$3,"&lt;="&amp;$AE387,OFFSET(安値!$E$6:$IT$6,MATCH(TEXT($B387,"0"),TEXT(銘柄管理!$B$6:$B$305,"0"),0)-1,0),"&lt;="&amp;$M387),_xlfn.MINIFS(高値!$E$3:$IT$3,高値!$E$3:$IT$3,"&gt;"&amp;$E387,高値!$E$3:$IT$3,"&lt;="&amp;$AE387,OFFSET(高値!$E$6:$IT$6,MATCH(TEXT($B387,"0"),TEXT(銘柄管理!$B$6:$B$305,"0"),0)-1,0),"&gt;="&amp;$M387)),""))</f>
        <v/>
      </c>
      <c r="AG387" s="600" t="str" cm="1">
        <f t="array" aca="1" ref="AG387" ca="1">IF(OR($B387="",$N387=""),"",IFERROR(IF($C387="売",_xlfn.MINIFS(高値!$E$3:$IT$3,高値!$E$3:$IT$3,"&gt;"&amp;$E387,高値!$E$3:$IT$3,"&lt;="&amp;$AE387,OFFSET(高値!$E$6:$IT$6,MATCH(TEXT($B387,"0"),TEXT(銘柄管理!$B$6:$B$305,"0"),0)-1,0),"&gt;="&amp;$N387),_xlfn.MINIFS(安値!$E$3:$IT$3,安値!$E$3:$IT$3,"&gt;"&amp;$E387,安値!$E$3:$IT$3,"&lt;="&amp;$AE387,OFFSET(安値!$E$6:$IT$6,MATCH(TEXT($B387,"0"),TEXT(銘柄管理!$B$6:$B$305,"0"),0)-1,0),"&lt;="&amp;$N387)),""))</f>
        <v/>
      </c>
      <c r="AH387" s="600" t="str">
        <f>IF(OR($B387="",$M387=""),"",IF(AND(N($AF387)=0,N($AG387)=0),IF(AND(ISNUMBER($H387),$H387&gt;0,IF($C387="売",$H387&gt;=$N387,$H387&lt;=$N387)),"損切確定",IF(AND(ISNUMBER($H387),$H387&gt;0,IF($C387="売",$H387&lt;=$M387,$H387&gt;=$M387)),"利益確定",IF($AE387&lt;=TODAY(),"日数制限","保有中"))),IF(N($AG387)=0,"利益確定",IF(N($AF387)=0,"損切確定",IF($AG387&lt;=$AF387,"損切確定","利益確定")))))</f>
        <v/>
      </c>
      <c r="AI387" s="600" t="str" cm="1">
        <f t="array" ref="AI387">IFERROR(INDEX(始値!$E$6:$IT$305,MATCH(TEXT($B387,"0"),TEXT(銘柄管理!$B$6:$B$305,"0"),0),MATCH($AE387,始値!$E$3:$IT$3,0)),"")</f>
        <v/>
      </c>
      <c r="AJ387" s="608" t="str">
        <f>IF(OR($V387="",$F387="",$G387=""),"",$V387/($F387*$G387))</f>
        <v/>
      </c>
      <c r="AK387" s="600" t="str">
        <f>IF($V387="","",IF($V387&gt;0,"○勝",IF($V387&lt;0,"●負","△引分")))</f>
        <v/>
      </c>
    </row>
    <row r="388" spans="1:37" ht="17.25" customHeight="1">
      <c r="A388" s="622" t="str">
        <f>IF(B388="","",HYPERLINK("https://kabutan.jp/stock/?code="&amp;B388,"株探"))</f>
        <v/>
      </c>
      <c r="D388" s="440" t="str" cm="1">
        <f t="array" ref="D388">_xll.RssMarket(B388, "銘柄名称")</f>
        <v/>
      </c>
      <c r="E388" s="717"/>
      <c r="F388" s="698" t="str" cm="1">
        <f t="array" aca="1" ref="F388" ca="1">IFERROR(_xlfn.LET(_xlpm.r,MATCH(TEXT($B388,"0"),TEXT(銘柄管理!$B$6:$B$305,"0"),0),_xlpm.t,MOD(NOW(),1),_xlpm.c,IF($E388=TODAY(),IF(_xlpm.t&gt;=TIME(15,30,0),NA(),1),IF(MATCH($E388,始値!$E$3:$IT$3,0)=1,1,MATCH($E388,始値!$E$3:$IT$3,0)+1)),_xlpm.v,INDEX(始値!$C$6:$IT$305,_xlpm.r,_xlpm.c),IF(N(_xlpm.v)=0,"",_xlpm.v)),"")</f>
        <v/>
      </c>
      <c r="H388" s="440" t="str" cm="1">
        <f t="array" ref="H388">_xll.RssMarket(B388, "現在値")</f>
        <v/>
      </c>
      <c r="I388" s="440" t="str" cm="1">
        <f t="array" ref="I388">_xll.RssMarket(B388, "出来高加重平均")</f>
        <v/>
      </c>
      <c r="J388" s="704" t="str" cm="1">
        <f t="array" ref="J388">_xll.RssMarket($B388, "前日比")</f>
        <v/>
      </c>
      <c r="K388" s="704" t="str">
        <f>IF(OR(F388="",G388="",H388=""),"",IF(C388="売",(F388-H388)*G388,(H388-F388)*G388))</f>
        <v/>
      </c>
      <c r="L388" s="709" t="str">
        <f>IF(OR(F388="",H388=""),"",IF(C388="売",(F388-H388)/F388,(H388-F388)/F388))</f>
        <v/>
      </c>
      <c r="M388" s="599" t="str">
        <f>IF($F388="","",$F388*IF($C388="売",1-V811設定!$B$4,1+V811設定!$B$4)-MOD($F388*IF($C388="売",1-V811設定!$B$4,1+V811設定!$B$4),IF($F388&lt;=3000,1,IF($F388&lt;=5000,5,IF($F388&lt;=30000,10,IF($F388&lt;=50000,50,IF($F388&lt;=300000,100,500))))))+IF(AND($C388="売",MOD($F388*IF($C388="売",1-V811設定!$B$4,1+V811設定!$B$4),IF($F388&lt;=3000,1,IF($F388&lt;=5000,5,IF($F388&lt;=30000,10,IF($F388&lt;=50000,50,IF($F388&lt;=300000,100,500))))))&gt;0),IF($F388&lt;=3000,1,IF($F388&lt;=5000,5,IF($F388&lt;=30000,10,IF($F388&lt;=50000,50,IF($F388&lt;=300000,100,500))))),0))</f>
      </c>
      <c r="N388" s="599" t="str">
        <f>IF($F388="","",$F388*IF($C388="売",1+V811設定!$B$3,1-V811設定!$B$3)-MOD($F388*IF($C388="売",1+V811設定!$B$3,1-V811設定!$B$3),IF($F388&lt;=3000,1,IF($F388&lt;=5000,5,IF($F388&lt;=30000,10,IF($F388&lt;=50000,50,IF($F388&lt;=300000,100,500))))))+IF(AND($C388="売",MOD($F388*IF($C388="売",1+V811設定!$B$3,1-V811設定!$B$3),IF($F388&lt;=3000,1,IF($F388&lt;=5000,5,IF($F388&lt;=30000,10,IF($F388&lt;=50000,50,IF($F388&lt;=300000,100,500))))))&gt;0),IF($F388&lt;=3000,1,IF($F388&lt;=5000,5,IF($F388&lt;=30000,10,IF($F388&lt;=50000,50,IF($F388&lt;=300000,100,500))))),0))</f>
      </c>
      <c r="O388" s="478" t="str">
        <f>IF(OR($B388="",$F388="",$H388=""),"",IF($S388="✅売却済","―決済済―",IF($C388="売",IF($H388&lt;=$M388,"🟢利確",IF(AND($R388&lt;&gt;"",$H388&gt;=$R388),"🟠TRAIL",IF($H388&gt;=$N388,"🔴損切",IF($W388&gt;=V811設定!$B$6,"⏱時間決済",IF($H388&gt;=$F388*(1+V811設定!$B$3*0.7),"⚠️損切接近","保持継続"))))),IF($H388&gt;=$M388,"🟢利確",IF(AND($R388&lt;&gt;"",$H388&lt;=$R388),"🟠TRAIL",IF($H388&lt;=$N388,"🔴損切",IF($W388&gt;=V811設定!$B$6,"⏱時間決済",IF($H388&lt;=$F388*(1-V811設定!$B$3*0.7),"⚠️損切接近","保持継続"))))))))</f>
      </c>
      <c r="P388" s="445"/>
      <c r="R388" s="440" t="str">
        <f>IF(OR($F388="",$H388="",$N388=""),"",IF($S388="✅売却済","",IF($C388="売",IF($H388&gt;$F388*(1-V811設定!$B$3),$N388,MIN($N388,IF($Q388="",$N388,$Q388*1.03))),IF($H388&lt;$F388*(1+V811設定!$B$3),$N388,MAX($N388,IF($P388="",$N388,$P388*0.97))))))</f>
      </c>
      <c r="S388" s="440" t="str">
        <f>IF(B388="","",IF(T388&lt;&gt;"","✅売却済",IF(OR(H388="",L388=""),"📌保有中",IF(L388&gt;=0.06,"🟢利確推奨",IF(L388&gt;=0.05,"🟡利確直近",IF(L388&gt;=0.045,"🔵トレーリング検討",IF(L388&gt;-0.03,"📌保有中",IF(L388&gt;-0.04,"⚠️損切注意","🔴損切り"))))))))</f>
        <v/>
      </c>
      <c r="T388" s="597"/>
      <c r="U388" s="599"/>
      <c r="V388" s="704" t="str">
        <f>IF(OR(F388="",G388="",U388=""),"",IF(C388="売",(F388-U388)*G388,(U388-F388)*G388))</f>
        <v/>
      </c>
      <c r="W388" s="440" t="str">
        <f>IF(OR($E388="",$B388=""),"",IF($T388&lt;&gt;"",$T388-$E388,TODAY()-$E388)+1)</f>
        <v/>
      </c>
      <c r="X388" s="440" t="str">
        <f>IF(OR($AH388="",$AH388="保有中"),"",$AH388)</f>
        <v/>
      </c>
      <c r="AD388" s="608"/>
      <c r="AE388" s="600" t="str">
        <f>IF($E388="","",WORKDAY($E388,12))</f>
        <v/>
      </c>
      <c r="AF388" s="600" t="str" cm="1">
        <f t="array" aca="1" ref="AF388" ca="1">IF(OR($B388="",$M388=""),"",IFERROR(IF($C388="売",_xlfn.MINIFS(安値!$E$3:$IT$3,安値!$E$3:$IT$3,"&gt;"&amp;$E388,安値!$E$3:$IT$3,"&lt;="&amp;$AE388,OFFSET(安値!$E$6:$IT$6,MATCH(TEXT($B388,"0"),TEXT(銘柄管理!$B$6:$B$305,"0"),0)-1,0),"&lt;="&amp;$M388),_xlfn.MINIFS(高値!$E$3:$IT$3,高値!$E$3:$IT$3,"&gt;"&amp;$E388,高値!$E$3:$IT$3,"&lt;="&amp;$AE388,OFFSET(高値!$E$6:$IT$6,MATCH(TEXT($B388,"0"),TEXT(銘柄管理!$B$6:$B$305,"0"),0)-1,0),"&gt;="&amp;$M388)),""))</f>
        <v/>
      </c>
      <c r="AG388" s="600" t="str" cm="1">
        <f t="array" aca="1" ref="AG388" ca="1">IF(OR($B388="",$N388=""),"",IFERROR(IF($C388="売",_xlfn.MINIFS(高値!$E$3:$IT$3,高値!$E$3:$IT$3,"&gt;"&amp;$E388,高値!$E$3:$IT$3,"&lt;="&amp;$AE388,OFFSET(高値!$E$6:$IT$6,MATCH(TEXT($B388,"0"),TEXT(銘柄管理!$B$6:$B$305,"0"),0)-1,0),"&gt;="&amp;$N388),_xlfn.MINIFS(安値!$E$3:$IT$3,安値!$E$3:$IT$3,"&gt;"&amp;$E388,安値!$E$3:$IT$3,"&lt;="&amp;$AE388,OFFSET(安値!$E$6:$IT$6,MATCH(TEXT($B388,"0"),TEXT(銘柄管理!$B$6:$B$305,"0"),0)-1,0),"&lt;="&amp;$N388)),""))</f>
        <v/>
      </c>
      <c r="AH388" s="600" t="str">
        <f>IF(OR($B388="",$M388=""),"",IF(AND(N($AF388)=0,N($AG388)=0),IF(AND(ISNUMBER($H388),$H388&gt;0,IF($C388="売",$H388&gt;=$N388,$H388&lt;=$N388)),"損切確定",IF(AND(ISNUMBER($H388),$H388&gt;0,IF($C388="売",$H388&lt;=$M388,$H388&gt;=$M388)),"利益確定",IF($AE388&lt;=TODAY(),"日数制限","保有中"))),IF(N($AG388)=0,"利益確定",IF(N($AF388)=0,"損切確定",IF($AG388&lt;=$AF388,"損切確定","利益確定")))))</f>
        <v/>
      </c>
      <c r="AI388" s="600" t="str" cm="1">
        <f t="array" ref="AI388">IFERROR(INDEX(始値!$E$6:$IT$305,MATCH(TEXT($B388,"0"),TEXT(銘柄管理!$B$6:$B$305,"0"),0),MATCH($AE388,始値!$E$3:$IT$3,0)),"")</f>
        <v/>
      </c>
      <c r="AJ388" s="608" t="str">
        <f>IF(OR($V388="",$F388="",$G388=""),"",$V388/($F388*$G388))</f>
        <v/>
      </c>
      <c r="AK388" s="600" t="str">
        <f>IF($V388="","",IF($V388&gt;0,"○勝",IF($V388&lt;0,"●負","△引分")))</f>
        <v/>
      </c>
    </row>
    <row r="389" spans="1:37" ht="17.25" customHeight="1">
      <c r="A389" s="622" t="str">
        <f>IF(B389="","",HYPERLINK("https://kabutan.jp/stock/?code="&amp;B389,"株探"))</f>
        <v/>
      </c>
      <c r="D389" s="440" t="str" cm="1">
        <f t="array" ref="D389">_xll.RssMarket(B389, "銘柄名称")</f>
        <v/>
      </c>
      <c r="E389" s="717"/>
      <c r="F389" s="698" t="str" cm="1">
        <f t="array" aca="1" ref="F389" ca="1">IFERROR(_xlfn.LET(_xlpm.r,MATCH(TEXT($B389,"0"),TEXT(銘柄管理!$B$6:$B$305,"0"),0),_xlpm.t,MOD(NOW(),1),_xlpm.c,IF($E389=TODAY(),IF(_xlpm.t&gt;=TIME(15,30,0),NA(),1),IF(MATCH($E389,始値!$E$3:$IT$3,0)=1,1,MATCH($E389,始値!$E$3:$IT$3,0)+1)),_xlpm.v,INDEX(始値!$C$6:$IT$305,_xlpm.r,_xlpm.c),IF(N(_xlpm.v)=0,"",_xlpm.v)),"")</f>
        <v/>
      </c>
      <c r="H389" s="440" t="str" cm="1">
        <f t="array" ref="H389">_xll.RssMarket(B389, "現在値")</f>
        <v/>
      </c>
      <c r="I389" s="440" t="str" cm="1">
        <f t="array" ref="I389">_xll.RssMarket(B389, "出来高加重平均")</f>
        <v/>
      </c>
      <c r="J389" s="704" t="str" cm="1">
        <f t="array" ref="J389">_xll.RssMarket($B389, "前日比")</f>
        <v/>
      </c>
      <c r="K389" s="704" t="str">
        <f>IF(OR(F389="",G389="",H389=""),"",IF(C389="売",(F389-H389)*G389,(H389-F389)*G389))</f>
        <v/>
      </c>
      <c r="L389" s="709" t="str">
        <f>IF(OR(F389="",H389=""),"",IF(C389="売",(F389-H389)/F389,(H389-F389)/F389))</f>
        <v/>
      </c>
      <c r="M389" s="599" t="str">
        <f>IF($F389="","",$F389*IF($C389="売",1-V811設定!$B$4,1+V811設定!$B$4)-MOD($F389*IF($C389="売",1-V811設定!$B$4,1+V811設定!$B$4),IF($F389&lt;=3000,1,IF($F389&lt;=5000,5,IF($F389&lt;=30000,10,IF($F389&lt;=50000,50,IF($F389&lt;=300000,100,500))))))+IF(AND($C389="売",MOD($F389*IF($C389="売",1-V811設定!$B$4,1+V811設定!$B$4),IF($F389&lt;=3000,1,IF($F389&lt;=5000,5,IF($F389&lt;=30000,10,IF($F389&lt;=50000,50,IF($F389&lt;=300000,100,500))))))&gt;0),IF($F389&lt;=3000,1,IF($F389&lt;=5000,5,IF($F389&lt;=30000,10,IF($F389&lt;=50000,50,IF($F389&lt;=300000,100,500))))),0))</f>
      </c>
      <c r="N389" s="599" t="str">
        <f>IF($F389="","",$F389*IF($C389="売",1+V811設定!$B$3,1-V811設定!$B$3)-MOD($F389*IF($C389="売",1+V811設定!$B$3,1-V811設定!$B$3),IF($F389&lt;=3000,1,IF($F389&lt;=5000,5,IF($F389&lt;=30000,10,IF($F389&lt;=50000,50,IF($F389&lt;=300000,100,500))))))+IF(AND($C389="売",MOD($F389*IF($C389="売",1+V811設定!$B$3,1-V811設定!$B$3),IF($F389&lt;=3000,1,IF($F389&lt;=5000,5,IF($F389&lt;=30000,10,IF($F389&lt;=50000,50,IF($F389&lt;=300000,100,500))))))&gt;0),IF($F389&lt;=3000,1,IF($F389&lt;=5000,5,IF($F389&lt;=30000,10,IF($F389&lt;=50000,50,IF($F389&lt;=300000,100,500))))),0))</f>
      </c>
      <c r="O389" s="478" t="str">
        <f>IF(OR($B389="",$F389="",$H389=""),"",IF($S389="✅売却済","―決済済―",IF($C389="売",IF($H389&lt;=$M389,"🟢利確",IF(AND($R389&lt;&gt;"",$H389&gt;=$R389),"🟠TRAIL",IF($H389&gt;=$N389,"🔴損切",IF($W389&gt;=V811設定!$B$6,"⏱時間決済",IF($H389&gt;=$F389*(1+V811設定!$B$3*0.7),"⚠️損切接近","保持継続"))))),IF($H389&gt;=$M389,"🟢利確",IF(AND($R389&lt;&gt;"",$H389&lt;=$R389),"🟠TRAIL",IF($H389&lt;=$N389,"🔴損切",IF($W389&gt;=V811設定!$B$6,"⏱時間決済",IF($H389&lt;=$F389*(1-V811設定!$B$3*0.7),"⚠️損切接近","保持継続"))))))))</f>
      </c>
      <c r="P389" s="445"/>
      <c r="R389" s="440" t="str">
        <f>IF(OR($F389="",$H389="",$N389=""),"",IF($S389="✅売却済","",IF($C389="売",IF($H389&gt;$F389*(1-V811設定!$B$3),$N389,MIN($N389,IF($Q389="",$N389,$Q389*1.03))),IF($H389&lt;$F389*(1+V811設定!$B$3),$N389,MAX($N389,IF($P389="",$N389,$P389*0.97))))))</f>
      </c>
      <c r="S389" s="440" t="str">
        <f>IF(B389="","",IF(T389&lt;&gt;"","✅売却済",IF(OR(H389="",L389=""),"📌保有中",IF(L389&gt;=0.06,"🟢利確推奨",IF(L389&gt;=0.05,"🟡利確直近",IF(L389&gt;=0.045,"🔵トレーリング検討",IF(L389&gt;-0.03,"📌保有中",IF(L389&gt;-0.04,"⚠️損切注意","🔴損切り"))))))))</f>
        <v/>
      </c>
      <c r="T389" s="597"/>
      <c r="U389" s="599"/>
      <c r="V389" s="704" t="str">
        <f>IF(OR(F389="",G389="",U389=""),"",IF(C389="売",(F389-U389)*G389,(U389-F389)*G389))</f>
        <v/>
      </c>
      <c r="W389" s="440" t="str">
        <f>IF(OR($E389="",$B389=""),"",IF($T389&lt;&gt;"",$T389-$E389,TODAY()-$E389)+1)</f>
        <v/>
      </c>
      <c r="X389" s="440" t="str">
        <f>IF(OR($AH389="",$AH389="保有中"),"",$AH389)</f>
        <v/>
      </c>
      <c r="AD389" s="608"/>
      <c r="AE389" s="600" t="str">
        <f>IF($E389="","",WORKDAY($E389,12))</f>
        <v/>
      </c>
      <c r="AF389" s="600" t="str" cm="1">
        <f t="array" aca="1" ref="AF389" ca="1">IF(OR($B389="",$M389=""),"",IFERROR(IF($C389="売",_xlfn.MINIFS(安値!$E$3:$IT$3,安値!$E$3:$IT$3,"&gt;"&amp;$E389,安値!$E$3:$IT$3,"&lt;="&amp;$AE389,OFFSET(安値!$E$6:$IT$6,MATCH(TEXT($B389,"0"),TEXT(銘柄管理!$B$6:$B$305,"0"),0)-1,0),"&lt;="&amp;$M389),_xlfn.MINIFS(高値!$E$3:$IT$3,高値!$E$3:$IT$3,"&gt;"&amp;$E389,高値!$E$3:$IT$3,"&lt;="&amp;$AE389,OFFSET(高値!$E$6:$IT$6,MATCH(TEXT($B389,"0"),TEXT(銘柄管理!$B$6:$B$305,"0"),0)-1,0),"&gt;="&amp;$M389)),""))</f>
        <v/>
      </c>
      <c r="AG389" s="600" t="str" cm="1">
        <f t="array" aca="1" ref="AG389" ca="1">IF(OR($B389="",$N389=""),"",IFERROR(IF($C389="売",_xlfn.MINIFS(高値!$E$3:$IT$3,高値!$E$3:$IT$3,"&gt;"&amp;$E389,高値!$E$3:$IT$3,"&lt;="&amp;$AE389,OFFSET(高値!$E$6:$IT$6,MATCH(TEXT($B389,"0"),TEXT(銘柄管理!$B$6:$B$305,"0"),0)-1,0),"&gt;="&amp;$N389),_xlfn.MINIFS(安値!$E$3:$IT$3,安値!$E$3:$IT$3,"&gt;"&amp;$E389,安値!$E$3:$IT$3,"&lt;="&amp;$AE389,OFFSET(安値!$E$6:$IT$6,MATCH(TEXT($B389,"0"),TEXT(銘柄管理!$B$6:$B$305,"0"),0)-1,0),"&lt;="&amp;$N389)),""))</f>
        <v/>
      </c>
      <c r="AH389" s="600" t="str">
        <f>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00" t="str" cm="1">
        <f t="array" ref="AI389">IFERROR(INDEX(始値!$E$6:$IT$305,MATCH(TEXT($B389,"0"),TEXT(銘柄管理!$B$6:$B$305,"0"),0),MATCH($AE389,始値!$E$3:$IT$3,0)),"")</f>
        <v/>
      </c>
      <c r="AJ389" s="608" t="str">
        <f>IF(OR($V389="",$F389="",$G389=""),"",$V389/($F389*$G389))</f>
        <v/>
      </c>
      <c r="AK389" s="600" t="str">
        <f>IF($V389="","",IF($V389&gt;0,"○勝",IF($V389&lt;0,"●負","△引分")))</f>
        <v/>
      </c>
    </row>
    <row r="390" spans="1:37" ht="17.25" customHeight="1">
      <c r="A390" s="622" t="str">
        <f>IF(B390="","",HYPERLINK("https://kabutan.jp/stock/?code="&amp;B390,"株探"))</f>
        <v/>
      </c>
      <c r="D390" s="440" t="str" cm="1">
        <f t="array" ref="D390">_xll.RssMarket(B390, "銘柄名称")</f>
        <v/>
      </c>
      <c r="E390" s="717"/>
      <c r="F390" s="698" t="str" cm="1">
        <f t="array" aca="1" ref="F390" ca="1">IFERROR(_xlfn.LET(_xlpm.r,MATCH(TEXT($B390,"0"),TEXT(銘柄管理!$B$6:$B$305,"0"),0),_xlpm.t,MOD(NOW(),1),_xlpm.c,IF($E390=TODAY(),IF(_xlpm.t&gt;=TIME(15,30,0),NA(),1),IF(MATCH($E390,始値!$E$3:$IT$3,0)=1,1,MATCH($E390,始値!$E$3:$IT$3,0)+1)),_xlpm.v,INDEX(始値!$C$6:$IT$305,_xlpm.r,_xlpm.c),IF(N(_xlpm.v)=0,"",_xlpm.v)),"")</f>
        <v/>
      </c>
      <c r="H390" s="440" t="str" cm="1">
        <f t="array" ref="H390">_xll.RssMarket(B390, "現在値")</f>
        <v/>
      </c>
      <c r="I390" s="440" t="str" cm="1">
        <f t="array" ref="I390">_xll.RssMarket(B390, "出来高加重平均")</f>
        <v/>
      </c>
      <c r="J390" s="704" t="str" cm="1">
        <f t="array" ref="J390">_xll.RssMarket($B390, "前日比")</f>
        <v/>
      </c>
      <c r="K390" s="704" t="str">
        <f>IF(OR(F390="",G390="",H390=""),"",IF(C390="売",(F390-H390)*G390,(H390-F390)*G390))</f>
        <v/>
      </c>
      <c r="L390" s="709" t="str">
        <f>IF(OR(F390="",H390=""),"",IF(C390="売",(F390-H390)/F390,(H390-F390)/F390))</f>
        <v/>
      </c>
      <c r="M390" s="599" t="str">
        <f>IF($F390="","",$F390*IF($C390="売",1-V811設定!$B$4,1+V811設定!$B$4)-MOD($F390*IF($C390="売",1-V811設定!$B$4,1+V811設定!$B$4),IF($F390&lt;=3000,1,IF($F390&lt;=5000,5,IF($F390&lt;=30000,10,IF($F390&lt;=50000,50,IF($F390&lt;=300000,100,500))))))+IF(AND($C390="売",MOD($F390*IF($C390="売",1-V811設定!$B$4,1+V811設定!$B$4),IF($F390&lt;=3000,1,IF($F390&lt;=5000,5,IF($F390&lt;=30000,10,IF($F390&lt;=50000,50,IF($F390&lt;=300000,100,500))))))&gt;0),IF($F390&lt;=3000,1,IF($F390&lt;=5000,5,IF($F390&lt;=30000,10,IF($F390&lt;=50000,50,IF($F390&lt;=300000,100,500))))),0))</f>
      </c>
      <c r="N390" s="599" t="str">
        <f>IF($F390="","",$F390*IF($C390="売",1+V811設定!$B$3,1-V811設定!$B$3)-MOD($F390*IF($C390="売",1+V811設定!$B$3,1-V811設定!$B$3),IF($F390&lt;=3000,1,IF($F390&lt;=5000,5,IF($F390&lt;=30000,10,IF($F390&lt;=50000,50,IF($F390&lt;=300000,100,500))))))+IF(AND($C390="売",MOD($F390*IF($C390="売",1+V811設定!$B$3,1-V811設定!$B$3),IF($F390&lt;=3000,1,IF($F390&lt;=5000,5,IF($F390&lt;=30000,10,IF($F390&lt;=50000,50,IF($F390&lt;=300000,100,500))))))&gt;0),IF($F390&lt;=3000,1,IF($F390&lt;=5000,5,IF($F390&lt;=30000,10,IF($F390&lt;=50000,50,IF($F390&lt;=300000,100,500))))),0))</f>
      </c>
      <c r="O390" s="478" t="str">
        <f>IF(OR($B390="",$F390="",$H390=""),"",IF($S390="✅売却済","―決済済―",IF($C390="売",IF($H390&lt;=$M390,"🟢利確",IF(AND($R390&lt;&gt;"",$H390&gt;=$R390),"🟠TRAIL",IF($H390&gt;=$N390,"🔴損切",IF($W390&gt;=V811設定!$B$6,"⏱時間決済",IF($H390&gt;=$F390*(1+V811設定!$B$3*0.7),"⚠️損切接近","保持継続"))))),IF($H390&gt;=$M390,"🟢利確",IF(AND($R390&lt;&gt;"",$H390&lt;=$R390),"🟠TRAIL",IF($H390&lt;=$N390,"🔴損切",IF($W390&gt;=V811設定!$B$6,"⏱時間決済",IF($H390&lt;=$F390*(1-V811設定!$B$3*0.7),"⚠️損切接近","保持継続"))))))))</f>
      </c>
      <c r="P390" s="445"/>
      <c r="R390" s="440" t="str">
        <f>IF(OR($F390="",$H390="",$N390=""),"",IF($S390="✅売却済","",IF($C390="売",IF($H390&gt;$F390*(1-V811設定!$B$3),$N390,MIN($N390,IF($Q390="",$N390,$Q390*1.03))),IF($H390&lt;$F390*(1+V811設定!$B$3),$N390,MAX($N390,IF($P390="",$N390,$P390*0.97))))))</f>
      </c>
      <c r="S390" s="440" t="str">
        <f>IF(B390="","",IF(T390&lt;&gt;"","✅売却済",IF(OR(H390="",L390=""),"📌保有中",IF(L390&gt;=0.06,"🟢利確推奨",IF(L390&gt;=0.05,"🟡利確直近",IF(L390&gt;=0.045,"🔵トレーリング検討",IF(L390&gt;-0.03,"📌保有中",IF(L390&gt;-0.04,"⚠️損切注意","🔴損切り"))))))))</f>
        <v/>
      </c>
      <c r="T390" s="597"/>
      <c r="U390" s="599"/>
      <c r="V390" s="704" t="str">
        <f>IF(OR(F390="",G390="",U390=""),"",IF(C390="売",(F390-U390)*G390,(U390-F390)*G390))</f>
        <v/>
      </c>
      <c r="W390" s="440" t="str">
        <f>IF(OR($E390="",$B390=""),"",IF($T390&lt;&gt;"",$T390-$E390,TODAY()-$E390)+1)</f>
        <v/>
      </c>
      <c r="X390" s="440" t="str">
        <f>IF(OR($AH390="",$AH390="保有中"),"",$AH390)</f>
        <v/>
      </c>
      <c r="AD390" s="608"/>
      <c r="AE390" s="600" t="str">
        <f>IF($E390="","",WORKDAY($E390,12))</f>
        <v/>
      </c>
      <c r="AF390" s="600" t="str" cm="1">
        <f t="array" aca="1" ref="AF390" ca="1">IF(OR($B390="",$M390=""),"",IFERROR(IF($C390="売",_xlfn.MINIFS(安値!$E$3:$IT$3,安値!$E$3:$IT$3,"&gt;"&amp;$E390,安値!$E$3:$IT$3,"&lt;="&amp;$AE390,OFFSET(安値!$E$6:$IT$6,MATCH(TEXT($B390,"0"),TEXT(銘柄管理!$B$6:$B$305,"0"),0)-1,0),"&lt;="&amp;$M390),_xlfn.MINIFS(高値!$E$3:$IT$3,高値!$E$3:$IT$3,"&gt;"&amp;$E390,高値!$E$3:$IT$3,"&lt;="&amp;$AE390,OFFSET(高値!$E$6:$IT$6,MATCH(TEXT($B390,"0"),TEXT(銘柄管理!$B$6:$B$305,"0"),0)-1,0),"&gt;="&amp;$M390)),""))</f>
        <v/>
      </c>
      <c r="AG390" s="600" t="str" cm="1">
        <f t="array" aca="1" ref="AG390" ca="1">IF(OR($B390="",$N390=""),"",IFERROR(IF($C390="売",_xlfn.MINIFS(高値!$E$3:$IT$3,高値!$E$3:$IT$3,"&gt;"&amp;$E390,高値!$E$3:$IT$3,"&lt;="&amp;$AE390,OFFSET(高値!$E$6:$IT$6,MATCH(TEXT($B390,"0"),TEXT(銘柄管理!$B$6:$B$305,"0"),0)-1,0),"&gt;="&amp;$N390),_xlfn.MINIFS(安値!$E$3:$IT$3,安値!$E$3:$IT$3,"&gt;"&amp;$E390,安値!$E$3:$IT$3,"&lt;="&amp;$AE390,OFFSET(安値!$E$6:$IT$6,MATCH(TEXT($B390,"0"),TEXT(銘柄管理!$B$6:$B$305,"0"),0)-1,0),"&lt;="&amp;$N390)),""))</f>
        <v/>
      </c>
      <c r="AH390" s="600" t="str">
        <f>IF(OR($B390="",$M390=""),"",IF(AND(N($AF390)=0,N($AG390)=0),IF(AND(ISNUMBER($H390),$H390&gt;0,IF($C390="売",$H390&gt;=$N390,$H390&lt;=$N390)),"損切確定",IF(AND(ISNUMBER($H390),$H390&gt;0,IF($C390="売",$H390&lt;=$M390,$H390&gt;=$M390)),"利益確定",IF($AE390&lt;=TODAY(),"日数制限","保有中"))),IF(N($AG390)=0,"利益確定",IF(N($AF390)=0,"損切確定",IF($AG390&lt;=$AF390,"損切確定","利益確定")))))</f>
        <v/>
      </c>
      <c r="AI390" s="600" t="str" cm="1">
        <f t="array" ref="AI390">IFERROR(INDEX(始値!$E$6:$IT$305,MATCH(TEXT($B390,"0"),TEXT(銘柄管理!$B$6:$B$305,"0"),0),MATCH($AE390,始値!$E$3:$IT$3,0)),"")</f>
        <v/>
      </c>
      <c r="AJ390" s="608" t="str">
        <f>IF(OR($V390="",$F390="",$G390=""),"",$V390/($F390*$G390))</f>
        <v/>
      </c>
      <c r="AK390" s="600" t="str">
        <f>IF($V390="","",IF($V390&gt;0,"○勝",IF($V390&lt;0,"●負","△引分")))</f>
        <v/>
      </c>
    </row>
    <row r="391" spans="1:37" ht="17.25" customHeight="1">
      <c r="A391" s="622" t="str">
        <f>IF(B391="","",HYPERLINK("https://kabutan.jp/stock/?code="&amp;B391,"株探"))</f>
        <v/>
      </c>
      <c r="D391" s="440" t="str" cm="1">
        <f t="array" ref="D391">_xll.RssMarket(B391, "銘柄名称")</f>
        <v/>
      </c>
      <c r="E391" s="717"/>
      <c r="F391" s="698" t="str" cm="1">
        <f t="array" aca="1" ref="F391" ca="1">IFERROR(_xlfn.LET(_xlpm.r,MATCH(TEXT($B391,"0"),TEXT(銘柄管理!$B$6:$B$305,"0"),0),_xlpm.t,MOD(NOW(),1),_xlpm.c,IF($E391=TODAY(),IF(_xlpm.t&gt;=TIME(15,30,0),NA(),1),IF(MATCH($E391,始値!$E$3:$IT$3,0)=1,1,MATCH($E391,始値!$E$3:$IT$3,0)+1)),_xlpm.v,INDEX(始値!$C$6:$IT$305,_xlpm.r,_xlpm.c),IF(N(_xlpm.v)=0,"",_xlpm.v)),"")</f>
        <v/>
      </c>
      <c r="H391" s="440" t="str" cm="1">
        <f t="array" ref="H391">_xll.RssMarket(B391, "現在値")</f>
        <v/>
      </c>
      <c r="I391" s="440" t="str" cm="1">
        <f t="array" ref="I391">_xll.RssMarket(B391, "出来高加重平均")</f>
        <v/>
      </c>
      <c r="J391" s="704" t="str" cm="1">
        <f t="array" ref="J391">_xll.RssMarket($B391, "前日比")</f>
        <v/>
      </c>
      <c r="K391" s="704" t="str">
        <f>IF(OR(F391="",G391="",H391=""),"",IF(C391="売",(F391-H391)*G391,(H391-F391)*G391))</f>
        <v/>
      </c>
      <c r="L391" s="709" t="str">
        <f>IF(OR(F391="",H391=""),"",IF(C391="売",(F391-H391)/F391,(H391-F391)/F391))</f>
        <v/>
      </c>
      <c r="M391" s="599" t="str">
        <f>IF($F391="","",$F391*IF($C391="売",1-V811設定!$B$4,1+V811設定!$B$4)-MOD($F391*IF($C391="売",1-V811設定!$B$4,1+V811設定!$B$4),IF($F391&lt;=3000,1,IF($F391&lt;=5000,5,IF($F391&lt;=30000,10,IF($F391&lt;=50000,50,IF($F391&lt;=300000,100,500))))))+IF(AND($C391="売",MOD($F391*IF($C391="売",1-V811設定!$B$4,1+V811設定!$B$4),IF($F391&lt;=3000,1,IF($F391&lt;=5000,5,IF($F391&lt;=30000,10,IF($F391&lt;=50000,50,IF($F391&lt;=300000,100,500))))))&gt;0),IF($F391&lt;=3000,1,IF($F391&lt;=5000,5,IF($F391&lt;=30000,10,IF($F391&lt;=50000,50,IF($F391&lt;=300000,100,500))))),0))</f>
      </c>
      <c r="N391" s="599" t="str">
        <f>IF($F391="","",$F391*IF($C391="売",1+V811設定!$B$3,1-V811設定!$B$3)-MOD($F391*IF($C391="売",1+V811設定!$B$3,1-V811設定!$B$3),IF($F391&lt;=3000,1,IF($F391&lt;=5000,5,IF($F391&lt;=30000,10,IF($F391&lt;=50000,50,IF($F391&lt;=300000,100,500))))))+IF(AND($C391="売",MOD($F391*IF($C391="売",1+V811設定!$B$3,1-V811設定!$B$3),IF($F391&lt;=3000,1,IF($F391&lt;=5000,5,IF($F391&lt;=30000,10,IF($F391&lt;=50000,50,IF($F391&lt;=300000,100,500))))))&gt;0),IF($F391&lt;=3000,1,IF($F391&lt;=5000,5,IF($F391&lt;=30000,10,IF($F391&lt;=50000,50,IF($F391&lt;=300000,100,500))))),0))</f>
      </c>
      <c r="O391" s="478" t="str">
        <f>IF(OR($B391="",$F391="",$H391=""),"",IF($S391="✅売却済","―決済済―",IF($C391="売",IF($H391&lt;=$M391,"🟢利確",IF(AND($R391&lt;&gt;"",$H391&gt;=$R391),"🟠TRAIL",IF($H391&gt;=$N391,"🔴損切",IF($W391&gt;=V811設定!$B$6,"⏱時間決済",IF($H391&gt;=$F391*(1+V811設定!$B$3*0.7),"⚠️損切接近","保持継続"))))),IF($H391&gt;=$M391,"🟢利確",IF(AND($R391&lt;&gt;"",$H391&lt;=$R391),"🟠TRAIL",IF($H391&lt;=$N391,"🔴損切",IF($W391&gt;=V811設定!$B$6,"⏱時間決済",IF($H391&lt;=$F391*(1-V811設定!$B$3*0.7),"⚠️損切接近","保持継続"))))))))</f>
      </c>
      <c r="P391" s="445"/>
      <c r="R391" s="440" t="str">
        <f>IF(OR($F391="",$H391="",$N391=""),"",IF($S391="✅売却済","",IF($C391="売",IF($H391&gt;$F391*(1-V811設定!$B$3),$N391,MIN($N391,IF($Q391="",$N391,$Q391*1.03))),IF($H391&lt;$F391*(1+V811設定!$B$3),$N391,MAX($N391,IF($P391="",$N391,$P391*0.97))))))</f>
      </c>
      <c r="S391" s="440" t="str">
        <f>IF(B391="","",IF(T391&lt;&gt;"","✅売却済",IF(OR(H391="",L391=""),"📌保有中",IF(L391&gt;=0.06,"🟢利確推奨",IF(L391&gt;=0.05,"🟡利確直近",IF(L391&gt;=0.045,"🔵トレーリング検討",IF(L391&gt;-0.03,"📌保有中",IF(L391&gt;-0.04,"⚠️損切注意","🔴損切り"))))))))</f>
        <v/>
      </c>
      <c r="T391" s="597"/>
      <c r="U391" s="599"/>
      <c r="V391" s="704" t="str">
        <f>IF(OR(F391="",G391="",U391=""),"",IF(C391="売",(F391-U391)*G391,(U391-F391)*G391))</f>
        <v/>
      </c>
      <c r="W391" s="440" t="str">
        <f>IF(OR($E391="",$B391=""),"",IF($T391&lt;&gt;"",$T391-$E391,TODAY()-$E391)+1)</f>
        <v/>
      </c>
      <c r="X391" s="440" t="str">
        <f>IF(OR($AH391="",$AH391="保有中"),"",$AH391)</f>
        <v/>
      </c>
      <c r="AD391" s="608"/>
      <c r="AE391" s="600" t="str">
        <f>IF($E391="","",WORKDAY($E391,12))</f>
        <v/>
      </c>
      <c r="AF391" s="600" t="str" cm="1">
        <f t="array" aca="1" ref="AF391" ca="1">IF(OR($B391="",$M391=""),"",IFERROR(IF($C391="売",_xlfn.MINIFS(安値!$E$3:$IT$3,安値!$E$3:$IT$3,"&gt;"&amp;$E391,安値!$E$3:$IT$3,"&lt;="&amp;$AE391,OFFSET(安値!$E$6:$IT$6,MATCH(TEXT($B391,"0"),TEXT(銘柄管理!$B$6:$B$305,"0"),0)-1,0),"&lt;="&amp;$M391),_xlfn.MINIFS(高値!$E$3:$IT$3,高値!$E$3:$IT$3,"&gt;"&amp;$E391,高値!$E$3:$IT$3,"&lt;="&amp;$AE391,OFFSET(高値!$E$6:$IT$6,MATCH(TEXT($B391,"0"),TEXT(銘柄管理!$B$6:$B$305,"0"),0)-1,0),"&gt;="&amp;$M391)),""))</f>
        <v/>
      </c>
      <c r="AG391" s="600" t="str" cm="1">
        <f t="array" aca="1" ref="AG391" ca="1">IF(OR($B391="",$N391=""),"",IFERROR(IF($C391="売",_xlfn.MINIFS(高値!$E$3:$IT$3,高値!$E$3:$IT$3,"&gt;"&amp;$E391,高値!$E$3:$IT$3,"&lt;="&amp;$AE391,OFFSET(高値!$E$6:$IT$6,MATCH(TEXT($B391,"0"),TEXT(銘柄管理!$B$6:$B$305,"0"),0)-1,0),"&gt;="&amp;$N391),_xlfn.MINIFS(安値!$E$3:$IT$3,安値!$E$3:$IT$3,"&gt;"&amp;$E391,安値!$E$3:$IT$3,"&lt;="&amp;$AE391,OFFSET(安値!$E$6:$IT$6,MATCH(TEXT($B391,"0"),TEXT(銘柄管理!$B$6:$B$305,"0"),0)-1,0),"&lt;="&amp;$N391)),""))</f>
        <v/>
      </c>
      <c r="AH391" s="600" t="str">
        <f>IF(OR($B391="",$M391=""),"",IF(AND(N($AF391)=0,N($AG391)=0),IF(AND(ISNUMBER($H391),$H391&gt;0,IF($C391="売",$H391&gt;=$N391,$H391&lt;=$N391)),"損切確定",IF(AND(ISNUMBER($H391),$H391&gt;0,IF($C391="売",$H391&lt;=$M391,$H391&gt;=$M391)),"利益確定",IF($AE391&lt;=TODAY(),"日数制限","保有中"))),IF(N($AG391)=0,"利益確定",IF(N($AF391)=0,"損切確定",IF($AG391&lt;=$AF391,"損切確定","利益確定")))))</f>
        <v/>
      </c>
      <c r="AI391" s="600" t="str" cm="1">
        <f t="array" ref="AI391">IFERROR(INDEX(始値!$E$6:$IT$305,MATCH(TEXT($B391,"0"),TEXT(銘柄管理!$B$6:$B$305,"0"),0),MATCH($AE391,始値!$E$3:$IT$3,0)),"")</f>
        <v/>
      </c>
      <c r="AJ391" s="608" t="str">
        <f>IF(OR($V391="",$F391="",$G391=""),"",$V391/($F391*$G391))</f>
        <v/>
      </c>
      <c r="AK391" s="600" t="str">
        <f>IF($V391="","",IF($V391&gt;0,"○勝",IF($V391&lt;0,"●負","△引分")))</f>
        <v/>
      </c>
    </row>
    <row r="392" spans="1:37" ht="17.25" customHeight="1">
      <c r="A392" s="622" t="str">
        <f>IF(B392="","",HYPERLINK("https://kabutan.jp/stock/?code="&amp;B392,"株探"))</f>
        <v/>
      </c>
      <c r="D392" s="440" t="str" cm="1">
        <f t="array" ref="D392">_xll.RssMarket(B392, "銘柄名称")</f>
        <v/>
      </c>
      <c r="E392" s="717"/>
      <c r="F392" s="698" t="str" cm="1">
        <f t="array" aca="1" ref="F392" ca="1">IFERROR(_xlfn.LET(_xlpm.r,MATCH(TEXT($B392,"0"),TEXT(銘柄管理!$B$6:$B$305,"0"),0),_xlpm.t,MOD(NOW(),1),_xlpm.c,IF($E392=TODAY(),IF(_xlpm.t&gt;=TIME(15,30,0),NA(),1),IF(MATCH($E392,始値!$E$3:$IT$3,0)=1,1,MATCH($E392,始値!$E$3:$IT$3,0)+1)),_xlpm.v,INDEX(始値!$C$6:$IT$305,_xlpm.r,_xlpm.c),IF(N(_xlpm.v)=0,"",_xlpm.v)),"")</f>
        <v/>
      </c>
      <c r="H392" s="440" t="str" cm="1">
        <f t="array" ref="H392">_xll.RssMarket(B392, "現在値")</f>
        <v/>
      </c>
      <c r="I392" s="440" t="str" cm="1">
        <f t="array" ref="I392">_xll.RssMarket(B392, "出来高加重平均")</f>
        <v/>
      </c>
      <c r="J392" s="704" t="str" cm="1">
        <f t="array" ref="J392">_xll.RssMarket($B392, "前日比")</f>
        <v/>
      </c>
      <c r="K392" s="704" t="str">
        <f>IF(OR(F392="",G392="",H392=""),"",IF(C392="売",(F392-H392)*G392,(H392-F392)*G392))</f>
        <v/>
      </c>
      <c r="L392" s="709" t="str">
        <f>IF(OR(F392="",H392=""),"",IF(C392="売",(F392-H392)/F392,(H392-F392)/F392))</f>
        <v/>
      </c>
      <c r="M392" s="599" t="str">
        <f>IF($F392="","",$F392*IF($C392="売",1-V811設定!$B$4,1+V811設定!$B$4)-MOD($F392*IF($C392="売",1-V811設定!$B$4,1+V811設定!$B$4),IF($F392&lt;=3000,1,IF($F392&lt;=5000,5,IF($F392&lt;=30000,10,IF($F392&lt;=50000,50,IF($F392&lt;=300000,100,500))))))+IF(AND($C392="売",MOD($F392*IF($C392="売",1-V811設定!$B$4,1+V811設定!$B$4),IF($F392&lt;=3000,1,IF($F392&lt;=5000,5,IF($F392&lt;=30000,10,IF($F392&lt;=50000,50,IF($F392&lt;=300000,100,500))))))&gt;0),IF($F392&lt;=3000,1,IF($F392&lt;=5000,5,IF($F392&lt;=30000,10,IF($F392&lt;=50000,50,IF($F392&lt;=300000,100,500))))),0))</f>
      </c>
      <c r="N392" s="599" t="str">
        <f>IF($F392="","",$F392*IF($C392="売",1+V811設定!$B$3,1-V811設定!$B$3)-MOD($F392*IF($C392="売",1+V811設定!$B$3,1-V811設定!$B$3),IF($F392&lt;=3000,1,IF($F392&lt;=5000,5,IF($F392&lt;=30000,10,IF($F392&lt;=50000,50,IF($F392&lt;=300000,100,500))))))+IF(AND($C392="売",MOD($F392*IF($C392="売",1+V811設定!$B$3,1-V811設定!$B$3),IF($F392&lt;=3000,1,IF($F392&lt;=5000,5,IF($F392&lt;=30000,10,IF($F392&lt;=50000,50,IF($F392&lt;=300000,100,500))))))&gt;0),IF($F392&lt;=3000,1,IF($F392&lt;=5000,5,IF($F392&lt;=30000,10,IF($F392&lt;=50000,50,IF($F392&lt;=300000,100,500))))),0))</f>
      </c>
      <c r="O392" s="478" t="str">
        <f>IF(OR($B392="",$F392="",$H392=""),"",IF($S392="✅売却済","―決済済―",IF($C392="売",IF($H392&lt;=$M392,"🟢利確",IF(AND($R392&lt;&gt;"",$H392&gt;=$R392),"🟠TRAIL",IF($H392&gt;=$N392,"🔴損切",IF($W392&gt;=V811設定!$B$6,"⏱時間決済",IF($H392&gt;=$F392*(1+V811設定!$B$3*0.7),"⚠️損切接近","保持継続"))))),IF($H392&gt;=$M392,"🟢利確",IF(AND($R392&lt;&gt;"",$H392&lt;=$R392),"🟠TRAIL",IF($H392&lt;=$N392,"🔴損切",IF($W392&gt;=V811設定!$B$6,"⏱時間決済",IF($H392&lt;=$F392*(1-V811設定!$B$3*0.7),"⚠️損切接近","保持継続"))))))))</f>
      </c>
      <c r="P392" s="445"/>
      <c r="R392" s="440" t="str">
        <f>IF(OR($F392="",$H392="",$N392=""),"",IF($S392="✅売却済","",IF($C392="売",IF($H392&gt;$F392*(1-V811設定!$B$3),$N392,MIN($N392,IF($Q392="",$N392,$Q392*1.03))),IF($H392&lt;$F392*(1+V811設定!$B$3),$N392,MAX($N392,IF($P392="",$N392,$P392*0.97))))))</f>
      </c>
      <c r="S392" s="440" t="str">
        <f>IF(B392="","",IF(T392&lt;&gt;"","✅売却済",IF(OR(H392="",L392=""),"📌保有中",IF(L392&gt;=0.06,"🟢利確推奨",IF(L392&gt;=0.05,"🟡利確直近",IF(L392&gt;=0.045,"🔵トレーリング検討",IF(L392&gt;-0.03,"📌保有中",IF(L392&gt;-0.04,"⚠️損切注意","🔴損切り"))))))))</f>
        <v/>
      </c>
      <c r="T392" s="597"/>
      <c r="U392" s="599"/>
      <c r="V392" s="704" t="str">
        <f>IF(OR(F392="",G392="",U392=""),"",IF(C392="売",(F392-U392)*G392,(U392-F392)*G392))</f>
        <v/>
      </c>
      <c r="W392" s="440" t="str">
        <f>IF(OR($E392="",$B392=""),"",IF($T392&lt;&gt;"",$T392-$E392,TODAY()-$E392)+1)</f>
        <v/>
      </c>
      <c r="X392" s="440" t="str">
        <f>IF(OR($AH392="",$AH392="保有中"),"",$AH392)</f>
        <v/>
      </c>
      <c r="AD392" s="608"/>
      <c r="AE392" s="600" t="str">
        <f>IF($E392="","",WORKDAY($E392,12))</f>
        <v/>
      </c>
      <c r="AF392" s="600" t="str" cm="1">
        <f t="array" aca="1" ref="AF392" ca="1">IF(OR($B392="",$M392=""),"",IFERROR(IF($C392="売",_xlfn.MINIFS(安値!$E$3:$IT$3,安値!$E$3:$IT$3,"&gt;"&amp;$E392,安値!$E$3:$IT$3,"&lt;="&amp;$AE392,OFFSET(安値!$E$6:$IT$6,MATCH(TEXT($B392,"0"),TEXT(銘柄管理!$B$6:$B$305,"0"),0)-1,0),"&lt;="&amp;$M392),_xlfn.MINIFS(高値!$E$3:$IT$3,高値!$E$3:$IT$3,"&gt;"&amp;$E392,高値!$E$3:$IT$3,"&lt;="&amp;$AE392,OFFSET(高値!$E$6:$IT$6,MATCH(TEXT($B392,"0"),TEXT(銘柄管理!$B$6:$B$305,"0"),0)-1,0),"&gt;="&amp;$M392)),""))</f>
        <v/>
      </c>
      <c r="AG392" s="600" t="str" cm="1">
        <f t="array" aca="1" ref="AG392" ca="1">IF(OR($B392="",$N392=""),"",IFERROR(IF($C392="売",_xlfn.MINIFS(高値!$E$3:$IT$3,高値!$E$3:$IT$3,"&gt;"&amp;$E392,高値!$E$3:$IT$3,"&lt;="&amp;$AE392,OFFSET(高値!$E$6:$IT$6,MATCH(TEXT($B392,"0"),TEXT(銘柄管理!$B$6:$B$305,"0"),0)-1,0),"&gt;="&amp;$N392),_xlfn.MINIFS(安値!$E$3:$IT$3,安値!$E$3:$IT$3,"&gt;"&amp;$E392,安値!$E$3:$IT$3,"&lt;="&amp;$AE392,OFFSET(安値!$E$6:$IT$6,MATCH(TEXT($B392,"0"),TEXT(銘柄管理!$B$6:$B$305,"0"),0)-1,0),"&lt;="&amp;$N392)),""))</f>
        <v/>
      </c>
      <c r="AH392" s="600" t="str">
        <f>IF(OR($B392="",$M392=""),"",IF(AND(N($AF392)=0,N($AG392)=0),IF(AND(ISNUMBER($H392),$H392&gt;0,IF($C392="売",$H392&gt;=$N392,$H392&lt;=$N392)),"損切確定",IF(AND(ISNUMBER($H392),$H392&gt;0,IF($C392="売",$H392&lt;=$M392,$H392&gt;=$M392)),"利益確定",IF($AE392&lt;=TODAY(),"日数制限","保有中"))),IF(N($AG392)=0,"利益確定",IF(N($AF392)=0,"損切確定",IF($AG392&lt;=$AF392,"損切確定","利益確定")))))</f>
        <v/>
      </c>
      <c r="AI392" s="600" t="str" cm="1">
        <f t="array" ref="AI392">IFERROR(INDEX(始値!$E$6:$IT$305,MATCH(TEXT($B392,"0"),TEXT(銘柄管理!$B$6:$B$305,"0"),0),MATCH($AE392,始値!$E$3:$IT$3,0)),"")</f>
        <v/>
      </c>
      <c r="AJ392" s="608" t="str">
        <f>IF(OR($V392="",$F392="",$G392=""),"",$V392/($F392*$G392))</f>
        <v/>
      </c>
      <c r="AK392" s="600" t="str">
        <f>IF($V392="","",IF($V392&gt;0,"○勝",IF($V392&lt;0,"●負","△引分")))</f>
        <v/>
      </c>
    </row>
    <row r="393" spans="1:37" ht="17.25" customHeight="1">
      <c r="A393" s="622" t="str">
        <f>IF(B393="","",HYPERLINK("https://kabutan.jp/stock/?code="&amp;B393,"株探"))</f>
        <v/>
      </c>
      <c r="D393" s="440" t="str" cm="1">
        <f t="array" ref="D393">_xll.RssMarket(B393, "銘柄名称")</f>
        <v/>
      </c>
      <c r="E393" s="717"/>
      <c r="F393" s="698" t="str" cm="1">
        <f t="array" aca="1" ref="F393" ca="1">IFERROR(_xlfn.LET(_xlpm.r,MATCH(TEXT($B393,"0"),TEXT(銘柄管理!$B$6:$B$305,"0"),0),_xlpm.t,MOD(NOW(),1),_xlpm.c,IF($E393=TODAY(),IF(_xlpm.t&gt;=TIME(15,30,0),NA(),1),IF(MATCH($E393,始値!$E$3:$IT$3,0)=1,1,MATCH($E393,始値!$E$3:$IT$3,0)+1)),_xlpm.v,INDEX(始値!$C$6:$IT$305,_xlpm.r,_xlpm.c),IF(N(_xlpm.v)=0,"",_xlpm.v)),"")</f>
        <v/>
      </c>
      <c r="H393" s="440" t="str" cm="1">
        <f t="array" ref="H393">_xll.RssMarket(B393, "現在値")</f>
        <v/>
      </c>
      <c r="I393" s="440" t="str" cm="1">
        <f t="array" ref="I393">_xll.RssMarket(B393, "出来高加重平均")</f>
        <v/>
      </c>
      <c r="J393" s="704" t="str" cm="1">
        <f t="array" ref="J393">_xll.RssMarket($B393, "前日比")</f>
        <v/>
      </c>
      <c r="K393" s="704" t="str">
        <f>IF(OR(F393="",G393="",H393=""),"",IF(C393="売",(F393-H393)*G393,(H393-F393)*G393))</f>
        <v/>
      </c>
      <c r="L393" s="709" t="str">
        <f>IF(OR(F393="",H393=""),"",IF(C393="売",(F393-H393)/F393,(H393-F393)/F393))</f>
        <v/>
      </c>
      <c r="M393" s="599" t="str">
        <f>IF($F393="","",$F393*IF($C393="売",1-V811設定!$B$4,1+V811設定!$B$4)-MOD($F393*IF($C393="売",1-V811設定!$B$4,1+V811設定!$B$4),IF($F393&lt;=3000,1,IF($F393&lt;=5000,5,IF($F393&lt;=30000,10,IF($F393&lt;=50000,50,IF($F393&lt;=300000,100,500))))))+IF(AND($C393="売",MOD($F393*IF($C393="売",1-V811設定!$B$4,1+V811設定!$B$4),IF($F393&lt;=3000,1,IF($F393&lt;=5000,5,IF($F393&lt;=30000,10,IF($F393&lt;=50000,50,IF($F393&lt;=300000,100,500))))))&gt;0),IF($F393&lt;=3000,1,IF($F393&lt;=5000,5,IF($F393&lt;=30000,10,IF($F393&lt;=50000,50,IF($F393&lt;=300000,100,500))))),0))</f>
      </c>
      <c r="N393" s="599" t="str">
        <f>IF($F393="","",$F393*IF($C393="売",1+V811設定!$B$3,1-V811設定!$B$3)-MOD($F393*IF($C393="売",1+V811設定!$B$3,1-V811設定!$B$3),IF($F393&lt;=3000,1,IF($F393&lt;=5000,5,IF($F393&lt;=30000,10,IF($F393&lt;=50000,50,IF($F393&lt;=300000,100,500))))))+IF(AND($C393="売",MOD($F393*IF($C393="売",1+V811設定!$B$3,1-V811設定!$B$3),IF($F393&lt;=3000,1,IF($F393&lt;=5000,5,IF($F393&lt;=30000,10,IF($F393&lt;=50000,50,IF($F393&lt;=300000,100,500))))))&gt;0),IF($F393&lt;=3000,1,IF($F393&lt;=5000,5,IF($F393&lt;=30000,10,IF($F393&lt;=50000,50,IF($F393&lt;=300000,100,500))))),0))</f>
      </c>
      <c r="O393" s="478" t="str">
        <f>IF(OR($B393="",$F393="",$H393=""),"",IF($S393="✅売却済","―決済済―",IF($C393="売",IF($H393&lt;=$M393,"🟢利確",IF(AND($R393&lt;&gt;"",$H393&gt;=$R393),"🟠TRAIL",IF($H393&gt;=$N393,"🔴損切",IF($W393&gt;=V811設定!$B$6,"⏱時間決済",IF($H393&gt;=$F393*(1+V811設定!$B$3*0.7),"⚠️損切接近","保持継続"))))),IF($H393&gt;=$M393,"🟢利確",IF(AND($R393&lt;&gt;"",$H393&lt;=$R393),"🟠TRAIL",IF($H393&lt;=$N393,"🔴損切",IF($W393&gt;=V811設定!$B$6,"⏱時間決済",IF($H393&lt;=$F393*(1-V811設定!$B$3*0.7),"⚠️損切接近","保持継続"))))))))</f>
      </c>
      <c r="P393" s="445"/>
      <c r="R393" s="440" t="str">
        <f>IF(OR($F393="",$H393="",$N393=""),"",IF($S393="✅売却済","",IF($C393="売",IF($H393&gt;$F393*(1-V811設定!$B$3),$N393,MIN($N393,IF($Q393="",$N393,$Q393*1.03))),IF($H393&lt;$F393*(1+V811設定!$B$3),$N393,MAX($N393,IF($P393="",$N393,$P393*0.97))))))</f>
      </c>
      <c r="S393" s="440" t="str">
        <f>IF(B393="","",IF(T393&lt;&gt;"","✅売却済",IF(OR(H393="",L393=""),"📌保有中",IF(L393&gt;=0.06,"🟢利確推奨",IF(L393&gt;=0.05,"🟡利確直近",IF(L393&gt;=0.045,"🔵トレーリング検討",IF(L393&gt;-0.03,"📌保有中",IF(L393&gt;-0.04,"⚠️損切注意","🔴損切り"))))))))</f>
        <v/>
      </c>
      <c r="T393" s="597"/>
      <c r="U393" s="599"/>
      <c r="V393" s="704" t="str">
        <f>IF(OR(F393="",G393="",U393=""),"",IF(C393="売",(F393-U393)*G393,(U393-F393)*G393))</f>
        <v/>
      </c>
      <c r="W393" s="440" t="str">
        <f>IF(OR($E393="",$B393=""),"",IF($T393&lt;&gt;"",$T393-$E393,TODAY()-$E393)+1)</f>
        <v/>
      </c>
      <c r="X393" s="440" t="str">
        <f>IF(OR($AH393="",$AH393="保有中"),"",$AH393)</f>
        <v/>
      </c>
      <c r="AD393" s="608"/>
      <c r="AE393" s="600" t="str">
        <f>IF($E393="","",WORKDAY($E393,12))</f>
        <v/>
      </c>
      <c r="AF393" s="600" t="str" cm="1">
        <f t="array" aca="1" ref="AF393" ca="1">IF(OR($B393="",$M393=""),"",IFERROR(IF($C393="売",_xlfn.MINIFS(安値!$E$3:$IT$3,安値!$E$3:$IT$3,"&gt;"&amp;$E393,安値!$E$3:$IT$3,"&lt;="&amp;$AE393,OFFSET(安値!$E$6:$IT$6,MATCH(TEXT($B393,"0"),TEXT(銘柄管理!$B$6:$B$305,"0"),0)-1,0),"&lt;="&amp;$M393),_xlfn.MINIFS(高値!$E$3:$IT$3,高値!$E$3:$IT$3,"&gt;"&amp;$E393,高値!$E$3:$IT$3,"&lt;="&amp;$AE393,OFFSET(高値!$E$6:$IT$6,MATCH(TEXT($B393,"0"),TEXT(銘柄管理!$B$6:$B$305,"0"),0)-1,0),"&gt;="&amp;$M393)),""))</f>
        <v/>
      </c>
      <c r="AG393" s="600" t="str" cm="1">
        <f t="array" aca="1" ref="AG393" ca="1">IF(OR($B393="",$N393=""),"",IFERROR(IF($C393="売",_xlfn.MINIFS(高値!$E$3:$IT$3,高値!$E$3:$IT$3,"&gt;"&amp;$E393,高値!$E$3:$IT$3,"&lt;="&amp;$AE393,OFFSET(高値!$E$6:$IT$6,MATCH(TEXT($B393,"0"),TEXT(銘柄管理!$B$6:$B$305,"0"),0)-1,0),"&gt;="&amp;$N393),_xlfn.MINIFS(安値!$E$3:$IT$3,安値!$E$3:$IT$3,"&gt;"&amp;$E393,安値!$E$3:$IT$3,"&lt;="&amp;$AE393,OFFSET(安値!$E$6:$IT$6,MATCH(TEXT($B393,"0"),TEXT(銘柄管理!$B$6:$B$305,"0"),0)-1,0),"&lt;="&amp;$N393)),""))</f>
        <v/>
      </c>
      <c r="AH393" s="600" t="str">
        <f>IF(OR($B393="",$M393=""),"",IF(AND(N($AF393)=0,N($AG393)=0),IF(AND(ISNUMBER($H393),$H393&gt;0,IF($C393="売",$H393&gt;=$N393,$H393&lt;=$N393)),"損切確定",IF(AND(ISNUMBER($H393),$H393&gt;0,IF($C393="売",$H393&lt;=$M393,$H393&gt;=$M393)),"利益確定",IF($AE393&lt;=TODAY(),"日数制限","保有中"))),IF(N($AG393)=0,"利益確定",IF(N($AF393)=0,"損切確定",IF($AG393&lt;=$AF393,"損切確定","利益確定")))))</f>
        <v/>
      </c>
      <c r="AI393" s="600" t="str" cm="1">
        <f t="array" ref="AI393">IFERROR(INDEX(始値!$E$6:$IT$305,MATCH(TEXT($B393,"0"),TEXT(銘柄管理!$B$6:$B$305,"0"),0),MATCH($AE393,始値!$E$3:$IT$3,0)),"")</f>
        <v/>
      </c>
      <c r="AJ393" s="608" t="str">
        <f>IF(OR($V393="",$F393="",$G393=""),"",$V393/($F393*$G393))</f>
        <v/>
      </c>
      <c r="AK393" s="600" t="str">
        <f>IF($V393="","",IF($V393&gt;0,"○勝",IF($V393&lt;0,"●負","△引分")))</f>
        <v/>
      </c>
    </row>
    <row r="394" spans="1:37" ht="17.25" customHeight="1">
      <c r="A394" s="622" t="str">
        <f>IF(B394="","",HYPERLINK("https://kabutan.jp/stock/?code="&amp;B394,"株探"))</f>
        <v/>
      </c>
      <c r="D394" s="440" t="str" cm="1">
        <f t="array" ref="D394">_xll.RssMarket(B394, "銘柄名称")</f>
        <v/>
      </c>
      <c r="E394" s="717"/>
      <c r="F394" s="698" t="str" cm="1">
        <f t="array" aca="1" ref="F394" ca="1">IFERROR(_xlfn.LET(_xlpm.r,MATCH(TEXT($B394,"0"),TEXT(銘柄管理!$B$6:$B$305,"0"),0),_xlpm.t,MOD(NOW(),1),_xlpm.c,IF($E394=TODAY(),IF(_xlpm.t&gt;=TIME(15,30,0),NA(),1),IF(MATCH($E394,始値!$E$3:$IT$3,0)=1,1,MATCH($E394,始値!$E$3:$IT$3,0)+1)),_xlpm.v,INDEX(始値!$C$6:$IT$305,_xlpm.r,_xlpm.c),IF(N(_xlpm.v)=0,"",_xlpm.v)),"")</f>
        <v/>
      </c>
      <c r="H394" s="440" t="str" cm="1">
        <f t="array" ref="H394">_xll.RssMarket(B394, "現在値")</f>
        <v/>
      </c>
      <c r="I394" s="440" t="str" cm="1">
        <f t="array" ref="I394">_xll.RssMarket(B394, "出来高加重平均")</f>
        <v/>
      </c>
      <c r="J394" s="704" t="str" cm="1">
        <f t="array" ref="J394">_xll.RssMarket($B394, "前日比")</f>
        <v/>
      </c>
      <c r="K394" s="704" t="str">
        <f>IF(OR(F394="",G394="",H394=""),"",IF(C394="売",(F394-H394)*G394,(H394-F394)*G394))</f>
        <v/>
      </c>
      <c r="L394" s="709" t="str">
        <f>IF(OR(F394="",H394=""),"",IF(C394="売",(F394-H394)/F394,(H394-F394)/F394))</f>
        <v/>
      </c>
      <c r="M394" s="599" t="str">
        <f>IF($F394="","",$F394*IF($C394="売",1-V811設定!$B$4,1+V811設定!$B$4)-MOD($F394*IF($C394="売",1-V811設定!$B$4,1+V811設定!$B$4),IF($F394&lt;=3000,1,IF($F394&lt;=5000,5,IF($F394&lt;=30000,10,IF($F394&lt;=50000,50,IF($F394&lt;=300000,100,500))))))+IF(AND($C394="売",MOD($F394*IF($C394="売",1-V811設定!$B$4,1+V811設定!$B$4),IF($F394&lt;=3000,1,IF($F394&lt;=5000,5,IF($F394&lt;=30000,10,IF($F394&lt;=50000,50,IF($F394&lt;=300000,100,500))))))&gt;0),IF($F394&lt;=3000,1,IF($F394&lt;=5000,5,IF($F394&lt;=30000,10,IF($F394&lt;=50000,50,IF($F394&lt;=300000,100,500))))),0))</f>
      </c>
      <c r="N394" s="599" t="str">
        <f>IF($F394="","",$F394*IF($C394="売",1+V811設定!$B$3,1-V811設定!$B$3)-MOD($F394*IF($C394="売",1+V811設定!$B$3,1-V811設定!$B$3),IF($F394&lt;=3000,1,IF($F394&lt;=5000,5,IF($F394&lt;=30000,10,IF($F394&lt;=50000,50,IF($F394&lt;=300000,100,500))))))+IF(AND($C394="売",MOD($F394*IF($C394="売",1+V811設定!$B$3,1-V811設定!$B$3),IF($F394&lt;=3000,1,IF($F394&lt;=5000,5,IF($F394&lt;=30000,10,IF($F394&lt;=50000,50,IF($F394&lt;=300000,100,500))))))&gt;0),IF($F394&lt;=3000,1,IF($F394&lt;=5000,5,IF($F394&lt;=30000,10,IF($F394&lt;=50000,50,IF($F394&lt;=300000,100,500))))),0))</f>
      </c>
      <c r="O394" s="478" t="str">
        <f>IF(OR($B394="",$F394="",$H394=""),"",IF($S394="✅売却済","―決済済―",IF($C394="売",IF($H394&lt;=$M394,"🟢利確",IF(AND($R394&lt;&gt;"",$H394&gt;=$R394),"🟠TRAIL",IF($H394&gt;=$N394,"🔴損切",IF($W394&gt;=V811設定!$B$6,"⏱時間決済",IF($H394&gt;=$F394*(1+V811設定!$B$3*0.7),"⚠️損切接近","保持継続"))))),IF($H394&gt;=$M394,"🟢利確",IF(AND($R394&lt;&gt;"",$H394&lt;=$R394),"🟠TRAIL",IF($H394&lt;=$N394,"🔴損切",IF($W394&gt;=V811設定!$B$6,"⏱時間決済",IF($H394&lt;=$F394*(1-V811設定!$B$3*0.7),"⚠️損切接近","保持継続"))))))))</f>
      </c>
      <c r="P394" s="445"/>
      <c r="R394" s="440" t="str">
        <f>IF(OR($F394="",$H394="",$N394=""),"",IF($S394="✅売却済","",IF($C394="売",IF($H394&gt;$F394*(1-V811設定!$B$3),$N394,MIN($N394,IF($Q394="",$N394,$Q394*1.03))),IF($H394&lt;$F394*(1+V811設定!$B$3),$N394,MAX($N394,IF($P394="",$N394,$P394*0.97))))))</f>
      </c>
      <c r="S394" s="440" t="str">
        <f>IF(B394="","",IF(T394&lt;&gt;"","✅売却済",IF(OR(H394="",L394=""),"📌保有中",IF(L394&gt;=0.06,"🟢利確推奨",IF(L394&gt;=0.05,"🟡利確直近",IF(L394&gt;=0.045,"🔵トレーリング検討",IF(L394&gt;-0.03,"📌保有中",IF(L394&gt;-0.04,"⚠️損切注意","🔴損切り"))))))))</f>
        <v/>
      </c>
      <c r="T394" s="597"/>
      <c r="U394" s="599"/>
      <c r="V394" s="704" t="str">
        <f>IF(OR(F394="",G394="",U394=""),"",IF(C394="売",(F394-U394)*G394,(U394-F394)*G394))</f>
        <v/>
      </c>
      <c r="W394" s="440" t="str">
        <f>IF(OR($E394="",$B394=""),"",IF($T394&lt;&gt;"",$T394-$E394,TODAY()-$E394)+1)</f>
        <v/>
      </c>
      <c r="X394" s="440" t="str">
        <f>IF(OR($AH394="",$AH394="保有中"),"",$AH394)</f>
        <v/>
      </c>
      <c r="AD394" s="608"/>
      <c r="AE394" s="600" t="str">
        <f>IF($E394="","",WORKDAY($E394,12))</f>
        <v/>
      </c>
      <c r="AF394" s="600" t="str" cm="1">
        <f t="array" aca="1" ref="AF394" ca="1">IF(OR($B394="",$M394=""),"",IFERROR(IF($C394="売",_xlfn.MINIFS(安値!$E$3:$IT$3,安値!$E$3:$IT$3,"&gt;"&amp;$E394,安値!$E$3:$IT$3,"&lt;="&amp;$AE394,OFFSET(安値!$E$6:$IT$6,MATCH(TEXT($B394,"0"),TEXT(銘柄管理!$B$6:$B$305,"0"),0)-1,0),"&lt;="&amp;$M394),_xlfn.MINIFS(高値!$E$3:$IT$3,高値!$E$3:$IT$3,"&gt;"&amp;$E394,高値!$E$3:$IT$3,"&lt;="&amp;$AE394,OFFSET(高値!$E$6:$IT$6,MATCH(TEXT($B394,"0"),TEXT(銘柄管理!$B$6:$B$305,"0"),0)-1,0),"&gt;="&amp;$M394)),""))</f>
        <v/>
      </c>
      <c r="AG394" s="600" t="str" cm="1">
        <f t="array" aca="1" ref="AG394" ca="1">IF(OR($B394="",$N394=""),"",IFERROR(IF($C394="売",_xlfn.MINIFS(高値!$E$3:$IT$3,高値!$E$3:$IT$3,"&gt;"&amp;$E394,高値!$E$3:$IT$3,"&lt;="&amp;$AE394,OFFSET(高値!$E$6:$IT$6,MATCH(TEXT($B394,"0"),TEXT(銘柄管理!$B$6:$B$305,"0"),0)-1,0),"&gt;="&amp;$N394),_xlfn.MINIFS(安値!$E$3:$IT$3,安値!$E$3:$IT$3,"&gt;"&amp;$E394,安値!$E$3:$IT$3,"&lt;="&amp;$AE394,OFFSET(安値!$E$6:$IT$6,MATCH(TEXT($B394,"0"),TEXT(銘柄管理!$B$6:$B$305,"0"),0)-1,0),"&lt;="&amp;$N394)),""))</f>
        <v/>
      </c>
      <c r="AH394" s="600" t="str">
        <f>IF(OR($B394="",$M394=""),"",IF(AND(N($AF394)=0,N($AG394)=0),IF(AND(ISNUMBER($H394),$H394&gt;0,IF($C394="売",$H394&gt;=$N394,$H394&lt;=$N394)),"損切確定",IF(AND(ISNUMBER($H394),$H394&gt;0,IF($C394="売",$H394&lt;=$M394,$H394&gt;=$M394)),"利益確定",IF($AE394&lt;=TODAY(),"日数制限","保有中"))),IF(N($AG394)=0,"利益確定",IF(N($AF394)=0,"損切確定",IF($AG394&lt;=$AF394,"損切確定","利益確定")))))</f>
        <v/>
      </c>
      <c r="AI394" s="600" t="str" cm="1">
        <f t="array" ref="AI394">IFERROR(INDEX(始値!$E$6:$IT$305,MATCH(TEXT($B394,"0"),TEXT(銘柄管理!$B$6:$B$305,"0"),0),MATCH($AE394,始値!$E$3:$IT$3,0)),"")</f>
        <v/>
      </c>
      <c r="AJ394" s="608" t="str">
        <f>IF(OR($V394="",$F394="",$G394=""),"",$V394/($F394*$G394))</f>
        <v/>
      </c>
      <c r="AK394" s="600" t="str">
        <f>IF($V394="","",IF($V394&gt;0,"○勝",IF($V394&lt;0,"●負","△引分")))</f>
        <v/>
      </c>
    </row>
    <row r="395" spans="1:37" ht="17.25" customHeight="1">
      <c r="A395" s="622" t="str">
        <f>IF(B395="","",HYPERLINK("https://kabutan.jp/stock/?code="&amp;B395,"株探"))</f>
        <v/>
      </c>
      <c r="D395" s="440" t="str" cm="1">
        <f t="array" ref="D395">_xll.RssMarket(B395, "銘柄名称")</f>
        <v/>
      </c>
      <c r="E395" s="717"/>
      <c r="F395" s="698" t="str" cm="1">
        <f t="array" aca="1" ref="F395" ca="1">IFERROR(_xlfn.LET(_xlpm.r,MATCH(TEXT($B395,"0"),TEXT(銘柄管理!$B$6:$B$305,"0"),0),_xlpm.t,MOD(NOW(),1),_xlpm.c,IF($E395=TODAY(),IF(_xlpm.t&gt;=TIME(15,30,0),NA(),1),IF(MATCH($E395,始値!$E$3:$IT$3,0)=1,1,MATCH($E395,始値!$E$3:$IT$3,0)+1)),_xlpm.v,INDEX(始値!$C$6:$IT$305,_xlpm.r,_xlpm.c),IF(N(_xlpm.v)=0,"",_xlpm.v)),"")</f>
        <v/>
      </c>
      <c r="H395" s="440" t="str" cm="1">
        <f t="array" ref="H395">_xll.RssMarket(B395, "現在値")</f>
        <v/>
      </c>
      <c r="I395" s="440" t="str" cm="1">
        <f t="array" ref="I395">_xll.RssMarket(B395, "出来高加重平均")</f>
        <v/>
      </c>
      <c r="J395" s="704" t="str" cm="1">
        <f t="array" ref="J395">_xll.RssMarket($B395, "前日比")</f>
        <v/>
      </c>
      <c r="K395" s="704" t="str">
        <f>IF(OR(F395="",G395="",H395=""),"",IF(C395="売",(F395-H395)*G395,(H395-F395)*G395))</f>
        <v/>
      </c>
      <c r="L395" s="709" t="str">
        <f>IF(OR(F395="",H395=""),"",IF(C395="売",(F395-H395)/F395,(H395-F395)/F395))</f>
        <v/>
      </c>
      <c r="M395" s="599" t="str">
        <f>IF($F395="","",$F395*IF($C395="売",1-V811設定!$B$4,1+V811設定!$B$4)-MOD($F395*IF($C395="売",1-V811設定!$B$4,1+V811設定!$B$4),IF($F395&lt;=3000,1,IF($F395&lt;=5000,5,IF($F395&lt;=30000,10,IF($F395&lt;=50000,50,IF($F395&lt;=300000,100,500))))))+IF(AND($C395="売",MOD($F395*IF($C395="売",1-V811設定!$B$4,1+V811設定!$B$4),IF($F395&lt;=3000,1,IF($F395&lt;=5000,5,IF($F395&lt;=30000,10,IF($F395&lt;=50000,50,IF($F395&lt;=300000,100,500))))))&gt;0),IF($F395&lt;=3000,1,IF($F395&lt;=5000,5,IF($F395&lt;=30000,10,IF($F395&lt;=50000,50,IF($F395&lt;=300000,100,500))))),0))</f>
      </c>
      <c r="N395" s="599" t="str">
        <f>IF($F395="","",$F395*IF($C395="売",1+V811設定!$B$3,1-V811設定!$B$3)-MOD($F395*IF($C395="売",1+V811設定!$B$3,1-V811設定!$B$3),IF($F395&lt;=3000,1,IF($F395&lt;=5000,5,IF($F395&lt;=30000,10,IF($F395&lt;=50000,50,IF($F395&lt;=300000,100,500))))))+IF(AND($C395="売",MOD($F395*IF($C395="売",1+V811設定!$B$3,1-V811設定!$B$3),IF($F395&lt;=3000,1,IF($F395&lt;=5000,5,IF($F395&lt;=30000,10,IF($F395&lt;=50000,50,IF($F395&lt;=300000,100,500))))))&gt;0),IF($F395&lt;=3000,1,IF($F395&lt;=5000,5,IF($F395&lt;=30000,10,IF($F395&lt;=50000,50,IF($F395&lt;=300000,100,500))))),0))</f>
      </c>
      <c r="O395" s="478" t="str">
        <f>IF(OR($B395="",$F395="",$H395=""),"",IF($S395="✅売却済","―決済済―",IF($C395="売",IF($H395&lt;=$M395,"🟢利確",IF(AND($R395&lt;&gt;"",$H395&gt;=$R395),"🟠TRAIL",IF($H395&gt;=$N395,"🔴損切",IF($W395&gt;=V811設定!$B$6,"⏱時間決済",IF($H395&gt;=$F395*(1+V811設定!$B$3*0.7),"⚠️損切接近","保持継続"))))),IF($H395&gt;=$M395,"🟢利確",IF(AND($R395&lt;&gt;"",$H395&lt;=$R395),"🟠TRAIL",IF($H395&lt;=$N395,"🔴損切",IF($W395&gt;=V811設定!$B$6,"⏱時間決済",IF($H395&lt;=$F395*(1-V811設定!$B$3*0.7),"⚠️損切接近","保持継続"))))))))</f>
      </c>
      <c r="P395" s="445"/>
      <c r="R395" s="440" t="str">
        <f>IF(OR($F395="",$H395="",$N395=""),"",IF($S395="✅売却済","",IF($C395="売",IF($H395&gt;$F395*(1-V811設定!$B$3),$N395,MIN($N395,IF($Q395="",$N395,$Q395*1.03))),IF($H395&lt;$F395*(1+V811設定!$B$3),$N395,MAX($N395,IF($P395="",$N395,$P395*0.97))))))</f>
      </c>
      <c r="S395" s="440" t="str">
        <f>IF(B395="","",IF(T395&lt;&gt;"","✅売却済",IF(OR(H395="",L395=""),"📌保有中",IF(L395&gt;=0.06,"🟢利確推奨",IF(L395&gt;=0.05,"🟡利確直近",IF(L395&gt;=0.045,"🔵トレーリング検討",IF(L395&gt;-0.03,"📌保有中",IF(L395&gt;-0.04,"⚠️損切注意","🔴損切り"))))))))</f>
        <v/>
      </c>
      <c r="T395" s="597"/>
      <c r="U395" s="599"/>
      <c r="V395" s="704" t="str">
        <f>IF(OR(F395="",G395="",U395=""),"",IF(C395="売",(F395-U395)*G395,(U395-F395)*G395))</f>
        <v/>
      </c>
      <c r="W395" s="440" t="str">
        <f>IF(OR($E395="",$B395=""),"",IF($T395&lt;&gt;"",$T395-$E395,TODAY()-$E395)+1)</f>
        <v/>
      </c>
      <c r="X395" s="440" t="str">
        <f>IF(OR($AH395="",$AH395="保有中"),"",$AH395)</f>
        <v/>
      </c>
      <c r="AD395" s="608"/>
      <c r="AE395" s="600" t="str">
        <f>IF($E395="","",WORKDAY($E395,12))</f>
        <v/>
      </c>
      <c r="AF395" s="600" t="str" cm="1">
        <f t="array" aca="1" ref="AF395" ca="1">IF(OR($B395="",$M395=""),"",IFERROR(IF($C395="売",_xlfn.MINIFS(安値!$E$3:$IT$3,安値!$E$3:$IT$3,"&gt;"&amp;$E395,安値!$E$3:$IT$3,"&lt;="&amp;$AE395,OFFSET(安値!$E$6:$IT$6,MATCH(TEXT($B395,"0"),TEXT(銘柄管理!$B$6:$B$305,"0"),0)-1,0),"&lt;="&amp;$M395),_xlfn.MINIFS(高値!$E$3:$IT$3,高値!$E$3:$IT$3,"&gt;"&amp;$E395,高値!$E$3:$IT$3,"&lt;="&amp;$AE395,OFFSET(高値!$E$6:$IT$6,MATCH(TEXT($B395,"0"),TEXT(銘柄管理!$B$6:$B$305,"0"),0)-1,0),"&gt;="&amp;$M395)),""))</f>
        <v/>
      </c>
      <c r="AG395" s="600" t="str" cm="1">
        <f t="array" aca="1" ref="AG395" ca="1">IF(OR($B395="",$N395=""),"",IFERROR(IF($C395="売",_xlfn.MINIFS(高値!$E$3:$IT$3,高値!$E$3:$IT$3,"&gt;"&amp;$E395,高値!$E$3:$IT$3,"&lt;="&amp;$AE395,OFFSET(高値!$E$6:$IT$6,MATCH(TEXT($B395,"0"),TEXT(銘柄管理!$B$6:$B$305,"0"),0)-1,0),"&gt;="&amp;$N395),_xlfn.MINIFS(安値!$E$3:$IT$3,安値!$E$3:$IT$3,"&gt;"&amp;$E395,安値!$E$3:$IT$3,"&lt;="&amp;$AE395,OFFSET(安値!$E$6:$IT$6,MATCH(TEXT($B395,"0"),TEXT(銘柄管理!$B$6:$B$305,"0"),0)-1,0),"&lt;="&amp;$N395)),""))</f>
        <v/>
      </c>
      <c r="AH395" s="600" t="str">
        <f>IF(OR($B395="",$M395=""),"",IF(AND(N($AF395)=0,N($AG395)=0),IF(AND(ISNUMBER($H395),$H395&gt;0,IF($C395="売",$H395&gt;=$N395,$H395&lt;=$N395)),"損切確定",IF(AND(ISNUMBER($H395),$H395&gt;0,IF($C395="売",$H395&lt;=$M395,$H395&gt;=$M395)),"利益確定",IF($AE395&lt;=TODAY(),"日数制限","保有中"))),IF(N($AG395)=0,"利益確定",IF(N($AF395)=0,"損切確定",IF($AG395&lt;=$AF395,"損切確定","利益確定")))))</f>
        <v/>
      </c>
      <c r="AI395" s="600" t="str" cm="1">
        <f t="array" ref="AI395">IFERROR(INDEX(始値!$E$6:$IT$305,MATCH(TEXT($B395,"0"),TEXT(銘柄管理!$B$6:$B$305,"0"),0),MATCH($AE395,始値!$E$3:$IT$3,0)),"")</f>
        <v/>
      </c>
      <c r="AJ395" s="608" t="str">
        <f>IF(OR($V395="",$F395="",$G395=""),"",$V395/($F395*$G395))</f>
        <v/>
      </c>
      <c r="AK395" s="600" t="str">
        <f>IF($V395="","",IF($V395&gt;0,"○勝",IF($V395&lt;0,"●負","△引分")))</f>
        <v/>
      </c>
    </row>
    <row r="396" spans="1:37" ht="17.25" customHeight="1">
      <c r="A396" s="622" t="str">
        <f>IF(B396="","",HYPERLINK("https://kabutan.jp/stock/?code="&amp;B396,"株探"))</f>
        <v/>
      </c>
      <c r="D396" s="440" t="str" cm="1">
        <f t="array" ref="D396">_xll.RssMarket(B396, "銘柄名称")</f>
        <v/>
      </c>
      <c r="E396" s="717"/>
      <c r="F396" s="698" t="str" cm="1">
        <f t="array" aca="1" ref="F396" ca="1">IFERROR(_xlfn.LET(_xlpm.r,MATCH(TEXT($B396,"0"),TEXT(銘柄管理!$B$6:$B$305,"0"),0),_xlpm.t,MOD(NOW(),1),_xlpm.c,IF($E396=TODAY(),IF(_xlpm.t&gt;=TIME(15,30,0),NA(),1),IF(MATCH($E396,始値!$E$3:$IT$3,0)=1,1,MATCH($E396,始値!$E$3:$IT$3,0)+1)),_xlpm.v,INDEX(始値!$C$6:$IT$305,_xlpm.r,_xlpm.c),IF(N(_xlpm.v)=0,"",_xlpm.v)),"")</f>
        <v/>
      </c>
      <c r="H396" s="440" t="str" cm="1">
        <f t="array" ref="H396">_xll.RssMarket(B396, "現在値")</f>
        <v/>
      </c>
      <c r="I396" s="440" t="str" cm="1">
        <f t="array" ref="I396">_xll.RssMarket(B396, "出来高加重平均")</f>
        <v/>
      </c>
      <c r="J396" s="704" t="str" cm="1">
        <f t="array" ref="J396">_xll.RssMarket($B396, "前日比")</f>
        <v/>
      </c>
      <c r="K396" s="704" t="str">
        <f>IF(OR(F396="",G396="",H396=""),"",IF(C396="売",(F396-H396)*G396,(H396-F396)*G396))</f>
        <v/>
      </c>
      <c r="L396" s="709" t="str">
        <f>IF(OR(F396="",H396=""),"",IF(C396="売",(F396-H396)/F396,(H396-F396)/F396))</f>
        <v/>
      </c>
      <c r="M396" s="599" t="str">
        <f>IF($F396="","",$F396*IF($C396="売",1-V811設定!$B$4,1+V811設定!$B$4)-MOD($F396*IF($C396="売",1-V811設定!$B$4,1+V811設定!$B$4),IF($F396&lt;=3000,1,IF($F396&lt;=5000,5,IF($F396&lt;=30000,10,IF($F396&lt;=50000,50,IF($F396&lt;=300000,100,500))))))+IF(AND($C396="売",MOD($F396*IF($C396="売",1-V811設定!$B$4,1+V811設定!$B$4),IF($F396&lt;=3000,1,IF($F396&lt;=5000,5,IF($F396&lt;=30000,10,IF($F396&lt;=50000,50,IF($F396&lt;=300000,100,500))))))&gt;0),IF($F396&lt;=3000,1,IF($F396&lt;=5000,5,IF($F396&lt;=30000,10,IF($F396&lt;=50000,50,IF($F396&lt;=300000,100,500))))),0))</f>
      </c>
      <c r="N396" s="599" t="str">
        <f>IF($F396="","",$F396*IF($C396="売",1+V811設定!$B$3,1-V811設定!$B$3)-MOD($F396*IF($C396="売",1+V811設定!$B$3,1-V811設定!$B$3),IF($F396&lt;=3000,1,IF($F396&lt;=5000,5,IF($F396&lt;=30000,10,IF($F396&lt;=50000,50,IF($F396&lt;=300000,100,500))))))+IF(AND($C396="売",MOD($F396*IF($C396="売",1+V811設定!$B$3,1-V811設定!$B$3),IF($F396&lt;=3000,1,IF($F396&lt;=5000,5,IF($F396&lt;=30000,10,IF($F396&lt;=50000,50,IF($F396&lt;=300000,100,500))))))&gt;0),IF($F396&lt;=3000,1,IF($F396&lt;=5000,5,IF($F396&lt;=30000,10,IF($F396&lt;=50000,50,IF($F396&lt;=300000,100,500))))),0))</f>
      </c>
      <c r="O396" s="478" t="str">
        <f>IF(OR($B396="",$F396="",$H396=""),"",IF($S396="✅売却済","―決済済―",IF($C396="売",IF($H396&lt;=$M396,"🟢利確",IF(AND($R396&lt;&gt;"",$H396&gt;=$R396),"🟠TRAIL",IF($H396&gt;=$N396,"🔴損切",IF($W396&gt;=V811設定!$B$6,"⏱時間決済",IF($H396&gt;=$F396*(1+V811設定!$B$3*0.7),"⚠️損切接近","保持継続"))))),IF($H396&gt;=$M396,"🟢利確",IF(AND($R396&lt;&gt;"",$H396&lt;=$R396),"🟠TRAIL",IF($H396&lt;=$N396,"🔴損切",IF($W396&gt;=V811設定!$B$6,"⏱時間決済",IF($H396&lt;=$F396*(1-V811設定!$B$3*0.7),"⚠️損切接近","保持継続"))))))))</f>
      </c>
      <c r="P396" s="445"/>
      <c r="R396" s="440" t="str">
        <f>IF(OR($F396="",$H396="",$N396=""),"",IF($S396="✅売却済","",IF($C396="売",IF($H396&gt;$F396*(1-V811設定!$B$3),$N396,MIN($N396,IF($Q396="",$N396,$Q396*1.03))),IF($H396&lt;$F396*(1+V811設定!$B$3),$N396,MAX($N396,IF($P396="",$N396,$P396*0.97))))))</f>
      </c>
      <c r="S396" s="440" t="str">
        <f>IF(B396="","",IF(T396&lt;&gt;"","✅売却済",IF(OR(H396="",L396=""),"📌保有中",IF(L396&gt;=0.06,"🟢利確推奨",IF(L396&gt;=0.05,"🟡利確直近",IF(L396&gt;=0.045,"🔵トレーリング検討",IF(L396&gt;-0.03,"📌保有中",IF(L396&gt;-0.04,"⚠️損切注意","🔴損切り"))))))))</f>
        <v/>
      </c>
      <c r="T396" s="597"/>
      <c r="U396" s="599"/>
      <c r="V396" s="704" t="str">
        <f>IF(OR(F396="",G396="",U396=""),"",IF(C396="売",(F396-U396)*G396,(U396-F396)*G396))</f>
        <v/>
      </c>
      <c r="W396" s="440" t="str">
        <f>IF(OR($E396="",$B396=""),"",IF($T396&lt;&gt;"",$T396-$E396,TODAY()-$E396)+1)</f>
        <v/>
      </c>
      <c r="X396" s="440" t="str">
        <f>IF(OR($AH396="",$AH396="保有中"),"",$AH396)</f>
        <v/>
      </c>
      <c r="AD396" s="608"/>
      <c r="AE396" s="600" t="str">
        <f>IF($E396="","",WORKDAY($E396,12))</f>
        <v/>
      </c>
      <c r="AF396" s="600" t="str" cm="1">
        <f t="array" aca="1" ref="AF396" ca="1">IF(OR($B396="",$M396=""),"",IFERROR(IF($C396="売",_xlfn.MINIFS(安値!$E$3:$IT$3,安値!$E$3:$IT$3,"&gt;"&amp;$E396,安値!$E$3:$IT$3,"&lt;="&amp;$AE396,OFFSET(安値!$E$6:$IT$6,MATCH(TEXT($B396,"0"),TEXT(銘柄管理!$B$6:$B$305,"0"),0)-1,0),"&lt;="&amp;$M396),_xlfn.MINIFS(高値!$E$3:$IT$3,高値!$E$3:$IT$3,"&gt;"&amp;$E396,高値!$E$3:$IT$3,"&lt;="&amp;$AE396,OFFSET(高値!$E$6:$IT$6,MATCH(TEXT($B396,"0"),TEXT(銘柄管理!$B$6:$B$305,"0"),0)-1,0),"&gt;="&amp;$M396)),""))</f>
        <v/>
      </c>
      <c r="AG396" s="600" t="str" cm="1">
        <f t="array" aca="1" ref="AG396" ca="1">IF(OR($B396="",$N396=""),"",IFERROR(IF($C396="売",_xlfn.MINIFS(高値!$E$3:$IT$3,高値!$E$3:$IT$3,"&gt;"&amp;$E396,高値!$E$3:$IT$3,"&lt;="&amp;$AE396,OFFSET(高値!$E$6:$IT$6,MATCH(TEXT($B396,"0"),TEXT(銘柄管理!$B$6:$B$305,"0"),0)-1,0),"&gt;="&amp;$N396),_xlfn.MINIFS(安値!$E$3:$IT$3,安値!$E$3:$IT$3,"&gt;"&amp;$E396,安値!$E$3:$IT$3,"&lt;="&amp;$AE396,OFFSET(安値!$E$6:$IT$6,MATCH(TEXT($B396,"0"),TEXT(銘柄管理!$B$6:$B$305,"0"),0)-1,0),"&lt;="&amp;$N396)),""))</f>
        <v/>
      </c>
      <c r="AH396" s="600" t="str">
        <f>IF(OR($B396="",$M396=""),"",IF(AND(N($AF396)=0,N($AG396)=0),IF(AND(ISNUMBER($H396),$H396&gt;0,IF($C396="売",$H396&gt;=$N396,$H396&lt;=$N396)),"損切確定",IF(AND(ISNUMBER($H396),$H396&gt;0,IF($C396="売",$H396&lt;=$M396,$H396&gt;=$M396)),"利益確定",IF($AE396&lt;=TODAY(),"日数制限","保有中"))),IF(N($AG396)=0,"利益確定",IF(N($AF396)=0,"損切確定",IF($AG396&lt;=$AF396,"損切確定","利益確定")))))</f>
        <v/>
      </c>
      <c r="AI396" s="600" t="str" cm="1">
        <f t="array" ref="AI396">IFERROR(INDEX(始値!$E$6:$IT$305,MATCH(TEXT($B396,"0"),TEXT(銘柄管理!$B$6:$B$305,"0"),0),MATCH($AE396,始値!$E$3:$IT$3,0)),"")</f>
        <v/>
      </c>
      <c r="AJ396" s="608" t="str">
        <f>IF(OR($V396="",$F396="",$G396=""),"",$V396/($F396*$G396))</f>
        <v/>
      </c>
      <c r="AK396" s="600" t="str">
        <f>IF($V396="","",IF($V396&gt;0,"○勝",IF($V396&lt;0,"●負","△引分")))</f>
        <v/>
      </c>
    </row>
    <row r="397" spans="1:37" ht="17.25" customHeight="1">
      <c r="A397" s="622" t="str">
        <f>IF(B397="","",HYPERLINK("https://kabutan.jp/stock/?code="&amp;B397,"株探"))</f>
        <v/>
      </c>
      <c r="D397" s="440" t="str" cm="1">
        <f t="array" ref="D397">_xll.RssMarket(B397, "銘柄名称")</f>
        <v/>
      </c>
      <c r="E397" s="717"/>
      <c r="F397" s="698" t="str" cm="1">
        <f t="array" aca="1" ref="F397" ca="1">IFERROR(_xlfn.LET(_xlpm.r,MATCH(TEXT($B397,"0"),TEXT(銘柄管理!$B$6:$B$305,"0"),0),_xlpm.t,MOD(NOW(),1),_xlpm.c,IF($E397=TODAY(),IF(_xlpm.t&gt;=TIME(15,30,0),NA(),1),IF(MATCH($E397,始値!$E$3:$IT$3,0)=1,1,MATCH($E397,始値!$E$3:$IT$3,0)+1)),_xlpm.v,INDEX(始値!$C$6:$IT$305,_xlpm.r,_xlpm.c),IF(N(_xlpm.v)=0,"",_xlpm.v)),"")</f>
        <v/>
      </c>
      <c r="H397" s="440" t="str" cm="1">
        <f t="array" ref="H397">_xll.RssMarket(B397, "現在値")</f>
        <v/>
      </c>
      <c r="I397" s="440" t="str" cm="1">
        <f t="array" ref="I397">_xll.RssMarket(B397, "出来高加重平均")</f>
        <v/>
      </c>
      <c r="J397" s="704" t="str" cm="1">
        <f t="array" ref="J397">_xll.RssMarket($B397, "前日比")</f>
        <v/>
      </c>
      <c r="K397" s="704" t="str">
        <f>IF(OR(F397="",G397="",H397=""),"",IF(C397="売",(F397-H397)*G397,(H397-F397)*G397))</f>
        <v/>
      </c>
      <c r="L397" s="709" t="str">
        <f>IF(OR(F397="",H397=""),"",IF(C397="売",(F397-H397)/F397,(H397-F397)/F397))</f>
        <v/>
      </c>
      <c r="M397" s="599" t="str">
        <f>IF($F397="","",$F397*IF($C397="売",1-V811設定!$B$4,1+V811設定!$B$4)-MOD($F397*IF($C397="売",1-V811設定!$B$4,1+V811設定!$B$4),IF($F397&lt;=3000,1,IF($F397&lt;=5000,5,IF($F397&lt;=30000,10,IF($F397&lt;=50000,50,IF($F397&lt;=300000,100,500))))))+IF(AND($C397="売",MOD($F397*IF($C397="売",1-V811設定!$B$4,1+V811設定!$B$4),IF($F397&lt;=3000,1,IF($F397&lt;=5000,5,IF($F397&lt;=30000,10,IF($F397&lt;=50000,50,IF($F397&lt;=300000,100,500))))))&gt;0),IF($F397&lt;=3000,1,IF($F397&lt;=5000,5,IF($F397&lt;=30000,10,IF($F397&lt;=50000,50,IF($F397&lt;=300000,100,500))))),0))</f>
      </c>
      <c r="N397" s="599" t="str">
        <f>IF($F397="","",$F397*IF($C397="売",1+V811設定!$B$3,1-V811設定!$B$3)-MOD($F397*IF($C397="売",1+V811設定!$B$3,1-V811設定!$B$3),IF($F397&lt;=3000,1,IF($F397&lt;=5000,5,IF($F397&lt;=30000,10,IF($F397&lt;=50000,50,IF($F397&lt;=300000,100,500))))))+IF(AND($C397="売",MOD($F397*IF($C397="売",1+V811設定!$B$3,1-V811設定!$B$3),IF($F397&lt;=3000,1,IF($F397&lt;=5000,5,IF($F397&lt;=30000,10,IF($F397&lt;=50000,50,IF($F397&lt;=300000,100,500))))))&gt;0),IF($F397&lt;=3000,1,IF($F397&lt;=5000,5,IF($F397&lt;=30000,10,IF($F397&lt;=50000,50,IF($F397&lt;=300000,100,500))))),0))</f>
      </c>
      <c r="O397" s="478" t="str">
        <f>IF(OR($B397="",$F397="",$H397=""),"",IF($S397="✅売却済","―決済済―",IF($C397="売",IF($H397&lt;=$M397,"🟢利確",IF(AND($R397&lt;&gt;"",$H397&gt;=$R397),"🟠TRAIL",IF($H397&gt;=$N397,"🔴損切",IF($W397&gt;=V811設定!$B$6,"⏱時間決済",IF($H397&gt;=$F397*(1+V811設定!$B$3*0.7),"⚠️損切接近","保持継続"))))),IF($H397&gt;=$M397,"🟢利確",IF(AND($R397&lt;&gt;"",$H397&lt;=$R397),"🟠TRAIL",IF($H397&lt;=$N397,"🔴損切",IF($W397&gt;=V811設定!$B$6,"⏱時間決済",IF($H397&lt;=$F397*(1-V811設定!$B$3*0.7),"⚠️損切接近","保持継続"))))))))</f>
      </c>
      <c r="P397" s="445"/>
      <c r="R397" s="440" t="str">
        <f>IF(OR($F397="",$H397="",$N397=""),"",IF($S397="✅売却済","",IF($C397="売",IF($H397&gt;$F397*(1-V811設定!$B$3),$N397,MIN($N397,IF($Q397="",$N397,$Q397*1.03))),IF($H397&lt;$F397*(1+V811設定!$B$3),$N397,MAX($N397,IF($P397="",$N397,$P397*0.97))))))</f>
      </c>
      <c r="S397" s="440" t="str">
        <f>IF(B397="","",IF(T397&lt;&gt;"","✅売却済",IF(OR(H397="",L397=""),"📌保有中",IF(L397&gt;=0.06,"🟢利確推奨",IF(L397&gt;=0.05,"🟡利確直近",IF(L397&gt;=0.045,"🔵トレーリング検討",IF(L397&gt;-0.03,"📌保有中",IF(L397&gt;-0.04,"⚠️損切注意","🔴損切り"))))))))</f>
        <v/>
      </c>
      <c r="T397" s="597"/>
      <c r="U397" s="599"/>
      <c r="V397" s="704" t="str">
        <f>IF(OR(F397="",G397="",U397=""),"",IF(C397="売",(F397-U397)*G397,(U397-F397)*G397))</f>
        <v/>
      </c>
      <c r="W397" s="440" t="str">
        <f>IF(OR($E397="",$B397=""),"",IF($T397&lt;&gt;"",$T397-$E397,TODAY()-$E397)+1)</f>
        <v/>
      </c>
      <c r="X397" s="440" t="str">
        <f>IF(OR($AH397="",$AH397="保有中"),"",$AH397)</f>
        <v/>
      </c>
      <c r="AD397" s="608"/>
      <c r="AE397" s="600" t="str">
        <f>IF($E397="","",WORKDAY($E397,12))</f>
        <v/>
      </c>
      <c r="AF397" s="600" t="str" cm="1">
        <f t="array" aca="1" ref="AF397" ca="1">IF(OR($B397="",$M397=""),"",IFERROR(IF($C397="売",_xlfn.MINIFS(安値!$E$3:$IT$3,安値!$E$3:$IT$3,"&gt;"&amp;$E397,安値!$E$3:$IT$3,"&lt;="&amp;$AE397,OFFSET(安値!$E$6:$IT$6,MATCH(TEXT($B397,"0"),TEXT(銘柄管理!$B$6:$B$305,"0"),0)-1,0),"&lt;="&amp;$M397),_xlfn.MINIFS(高値!$E$3:$IT$3,高値!$E$3:$IT$3,"&gt;"&amp;$E397,高値!$E$3:$IT$3,"&lt;="&amp;$AE397,OFFSET(高値!$E$6:$IT$6,MATCH(TEXT($B397,"0"),TEXT(銘柄管理!$B$6:$B$305,"0"),0)-1,0),"&gt;="&amp;$M397)),""))</f>
        <v/>
      </c>
      <c r="AG397" s="600" t="str" cm="1">
        <f t="array" aca="1" ref="AG397" ca="1">IF(OR($B397="",$N397=""),"",IFERROR(IF($C397="売",_xlfn.MINIFS(高値!$E$3:$IT$3,高値!$E$3:$IT$3,"&gt;"&amp;$E397,高値!$E$3:$IT$3,"&lt;="&amp;$AE397,OFFSET(高値!$E$6:$IT$6,MATCH(TEXT($B397,"0"),TEXT(銘柄管理!$B$6:$B$305,"0"),0)-1,0),"&gt;="&amp;$N397),_xlfn.MINIFS(安値!$E$3:$IT$3,安値!$E$3:$IT$3,"&gt;"&amp;$E397,安値!$E$3:$IT$3,"&lt;="&amp;$AE397,OFFSET(安値!$E$6:$IT$6,MATCH(TEXT($B397,"0"),TEXT(銘柄管理!$B$6:$B$305,"0"),0)-1,0),"&lt;="&amp;$N397)),""))</f>
        <v/>
      </c>
      <c r="AH397" s="600" t="str">
        <f>IF(OR($B397="",$M397=""),"",IF(AND(N($AF397)=0,N($AG397)=0),IF(AND(ISNUMBER($H397),$H397&gt;0,IF($C397="売",$H397&gt;=$N397,$H397&lt;=$N397)),"損切確定",IF(AND(ISNUMBER($H397),$H397&gt;0,IF($C397="売",$H397&lt;=$M397,$H397&gt;=$M397)),"利益確定",IF($AE397&lt;=TODAY(),"日数制限","保有中"))),IF(N($AG397)=0,"利益確定",IF(N($AF397)=0,"損切確定",IF($AG397&lt;=$AF397,"損切確定","利益確定")))))</f>
        <v/>
      </c>
      <c r="AI397" s="600" t="str" cm="1">
        <f t="array" ref="AI397">IFERROR(INDEX(始値!$E$6:$IT$305,MATCH(TEXT($B397,"0"),TEXT(銘柄管理!$B$6:$B$305,"0"),0),MATCH($AE397,始値!$E$3:$IT$3,0)),"")</f>
        <v/>
      </c>
      <c r="AJ397" s="608" t="str">
        <f>IF(OR($V397="",$F397="",$G397=""),"",$V397/($F397*$G397))</f>
        <v/>
      </c>
      <c r="AK397" s="600" t="str">
        <f>IF($V397="","",IF($V397&gt;0,"○勝",IF($V397&lt;0,"●負","△引分")))</f>
        <v/>
      </c>
    </row>
    <row r="398" spans="1:37" ht="17.25" customHeight="1">
      <c r="A398" s="622" t="str">
        <f>IF(B398="","",HYPERLINK("https://kabutan.jp/stock/?code="&amp;B398,"株探"))</f>
        <v/>
      </c>
      <c r="D398" s="440" t="str" cm="1">
        <f t="array" ref="D398">_xll.RssMarket(B398, "銘柄名称")</f>
        <v/>
      </c>
      <c r="E398" s="717"/>
      <c r="F398" s="698" t="str" cm="1">
        <f t="array" aca="1" ref="F398" ca="1">IFERROR(_xlfn.LET(_xlpm.r,MATCH(TEXT($B398,"0"),TEXT(銘柄管理!$B$6:$B$305,"0"),0),_xlpm.t,MOD(NOW(),1),_xlpm.c,IF($E398=TODAY(),IF(_xlpm.t&gt;=TIME(15,30,0),NA(),1),IF(MATCH($E398,始値!$E$3:$IT$3,0)=1,1,MATCH($E398,始値!$E$3:$IT$3,0)+1)),_xlpm.v,INDEX(始値!$C$6:$IT$305,_xlpm.r,_xlpm.c),IF(N(_xlpm.v)=0,"",_xlpm.v)),"")</f>
        <v/>
      </c>
      <c r="H398" s="440" t="str" cm="1">
        <f t="array" ref="H398">_xll.RssMarket(B398, "現在値")</f>
        <v/>
      </c>
      <c r="I398" s="440" t="str" cm="1">
        <f t="array" ref="I398">_xll.RssMarket(B398, "出来高加重平均")</f>
        <v/>
      </c>
      <c r="J398" s="704" t="str" cm="1">
        <f t="array" ref="J398">_xll.RssMarket($B398, "前日比")</f>
        <v/>
      </c>
      <c r="K398" s="704" t="str">
        <f>IF(OR(F398="",G398="",H398=""),"",IF(C398="売",(F398-H398)*G398,(H398-F398)*G398))</f>
        <v/>
      </c>
      <c r="L398" s="709" t="str">
        <f>IF(OR(F398="",H398=""),"",IF(C398="売",(F398-H398)/F398,(H398-F398)/F398))</f>
        <v/>
      </c>
      <c r="M398" s="599" t="str">
        <f>IF($F398="","",$F398*IF($C398="売",1-V811設定!$B$4,1+V811設定!$B$4)-MOD($F398*IF($C398="売",1-V811設定!$B$4,1+V811設定!$B$4),IF($F398&lt;=3000,1,IF($F398&lt;=5000,5,IF($F398&lt;=30000,10,IF($F398&lt;=50000,50,IF($F398&lt;=300000,100,500))))))+IF(AND($C398="売",MOD($F398*IF($C398="売",1-V811設定!$B$4,1+V811設定!$B$4),IF($F398&lt;=3000,1,IF($F398&lt;=5000,5,IF($F398&lt;=30000,10,IF($F398&lt;=50000,50,IF($F398&lt;=300000,100,500))))))&gt;0),IF($F398&lt;=3000,1,IF($F398&lt;=5000,5,IF($F398&lt;=30000,10,IF($F398&lt;=50000,50,IF($F398&lt;=300000,100,500))))),0))</f>
      </c>
      <c r="N398" s="599" t="str">
        <f>IF($F398="","",$F398*IF($C398="売",1+V811設定!$B$3,1-V811設定!$B$3)-MOD($F398*IF($C398="売",1+V811設定!$B$3,1-V811設定!$B$3),IF($F398&lt;=3000,1,IF($F398&lt;=5000,5,IF($F398&lt;=30000,10,IF($F398&lt;=50000,50,IF($F398&lt;=300000,100,500))))))+IF(AND($C398="売",MOD($F398*IF($C398="売",1+V811設定!$B$3,1-V811設定!$B$3),IF($F398&lt;=3000,1,IF($F398&lt;=5000,5,IF($F398&lt;=30000,10,IF($F398&lt;=50000,50,IF($F398&lt;=300000,100,500))))))&gt;0),IF($F398&lt;=3000,1,IF($F398&lt;=5000,5,IF($F398&lt;=30000,10,IF($F398&lt;=50000,50,IF($F398&lt;=300000,100,500))))),0))</f>
      </c>
      <c r="O398" s="478" t="str">
        <f>IF(OR($B398="",$F398="",$H398=""),"",IF($S398="✅売却済","―決済済―",IF($C398="売",IF($H398&lt;=$M398,"🟢利確",IF(AND($R398&lt;&gt;"",$H398&gt;=$R398),"🟠TRAIL",IF($H398&gt;=$N398,"🔴損切",IF($W398&gt;=V811設定!$B$6,"⏱時間決済",IF($H398&gt;=$F398*(1+V811設定!$B$3*0.7),"⚠️損切接近","保持継続"))))),IF($H398&gt;=$M398,"🟢利確",IF(AND($R398&lt;&gt;"",$H398&lt;=$R398),"🟠TRAIL",IF($H398&lt;=$N398,"🔴損切",IF($W398&gt;=V811設定!$B$6,"⏱時間決済",IF($H398&lt;=$F398*(1-V811設定!$B$3*0.7),"⚠️損切接近","保持継続"))))))))</f>
      </c>
      <c r="P398" s="445"/>
      <c r="R398" s="440" t="str">
        <f>IF(OR($F398="",$H398="",$N398=""),"",IF($S398="✅売却済","",IF($C398="売",IF($H398&gt;$F398*(1-V811設定!$B$3),$N398,MIN($N398,IF($Q398="",$N398,$Q398*1.03))),IF($H398&lt;$F398*(1+V811設定!$B$3),$N398,MAX($N398,IF($P398="",$N398,$P398*0.97))))))</f>
      </c>
      <c r="S398" s="440" t="str">
        <f>IF(B398="","",IF(T398&lt;&gt;"","✅売却済",IF(OR(H398="",L398=""),"📌保有中",IF(L398&gt;=0.06,"🟢利確推奨",IF(L398&gt;=0.05,"🟡利確直近",IF(L398&gt;=0.045,"🔵トレーリング検討",IF(L398&gt;-0.03,"📌保有中",IF(L398&gt;-0.04,"⚠️損切注意","🔴損切り"))))))))</f>
        <v/>
      </c>
      <c r="T398" s="597"/>
      <c r="U398" s="599"/>
      <c r="V398" s="704" t="str">
        <f>IF(OR(F398="",G398="",U398=""),"",IF(C398="売",(F398-U398)*G398,(U398-F398)*G398))</f>
        <v/>
      </c>
      <c r="W398" s="440" t="str">
        <f>IF(OR($E398="",$B398=""),"",IF($T398&lt;&gt;"",$T398-$E398,TODAY()-$E398)+1)</f>
        <v/>
      </c>
      <c r="X398" s="440" t="str">
        <f>IF(OR($AH398="",$AH398="保有中"),"",$AH398)</f>
        <v/>
      </c>
      <c r="AD398" s="608"/>
      <c r="AE398" s="600" t="str">
        <f>IF($E398="","",WORKDAY($E398,12))</f>
        <v/>
      </c>
      <c r="AF398" s="600" t="str" cm="1">
        <f t="array" aca="1" ref="AF398" ca="1">IF(OR($B398="",$M398=""),"",IFERROR(IF($C398="売",_xlfn.MINIFS(安値!$E$3:$IT$3,安値!$E$3:$IT$3,"&gt;"&amp;$E398,安値!$E$3:$IT$3,"&lt;="&amp;$AE398,OFFSET(安値!$E$6:$IT$6,MATCH(TEXT($B398,"0"),TEXT(銘柄管理!$B$6:$B$305,"0"),0)-1,0),"&lt;="&amp;$M398),_xlfn.MINIFS(高値!$E$3:$IT$3,高値!$E$3:$IT$3,"&gt;"&amp;$E398,高値!$E$3:$IT$3,"&lt;="&amp;$AE398,OFFSET(高値!$E$6:$IT$6,MATCH(TEXT($B398,"0"),TEXT(銘柄管理!$B$6:$B$305,"0"),0)-1,0),"&gt;="&amp;$M398)),""))</f>
        <v/>
      </c>
      <c r="AG398" s="600" t="str" cm="1">
        <f t="array" aca="1" ref="AG398" ca="1">IF(OR($B398="",$N398=""),"",IFERROR(IF($C398="売",_xlfn.MINIFS(高値!$E$3:$IT$3,高値!$E$3:$IT$3,"&gt;"&amp;$E398,高値!$E$3:$IT$3,"&lt;="&amp;$AE398,OFFSET(高値!$E$6:$IT$6,MATCH(TEXT($B398,"0"),TEXT(銘柄管理!$B$6:$B$305,"0"),0)-1,0),"&gt;="&amp;$N398),_xlfn.MINIFS(安値!$E$3:$IT$3,安値!$E$3:$IT$3,"&gt;"&amp;$E398,安値!$E$3:$IT$3,"&lt;="&amp;$AE398,OFFSET(安値!$E$6:$IT$6,MATCH(TEXT($B398,"0"),TEXT(銘柄管理!$B$6:$B$305,"0"),0)-1,0),"&lt;="&amp;$N398)),""))</f>
        <v/>
      </c>
      <c r="AH398" s="600" t="str">
        <f>IF(OR($B398="",$M398=""),"",IF(AND(N($AF398)=0,N($AG398)=0),IF(AND(ISNUMBER($H398),$H398&gt;0,IF($C398="売",$H398&gt;=$N398,$H398&lt;=$N398)),"損切確定",IF(AND(ISNUMBER($H398),$H398&gt;0,IF($C398="売",$H398&lt;=$M398,$H398&gt;=$M398)),"利益確定",IF($AE398&lt;=TODAY(),"日数制限","保有中"))),IF(N($AG398)=0,"利益確定",IF(N($AF398)=0,"損切確定",IF($AG398&lt;=$AF398,"損切確定","利益確定")))))</f>
        <v/>
      </c>
      <c r="AI398" s="600" t="str" cm="1">
        <f t="array" ref="AI398">IFERROR(INDEX(始値!$E$6:$IT$305,MATCH(TEXT($B398,"0"),TEXT(銘柄管理!$B$6:$B$305,"0"),0),MATCH($AE398,始値!$E$3:$IT$3,0)),"")</f>
        <v/>
      </c>
      <c r="AJ398" s="608" t="str">
        <f>IF(OR($V398="",$F398="",$G398=""),"",$V398/($F398*$G398))</f>
        <v/>
      </c>
      <c r="AK398" s="600" t="str">
        <f>IF($V398="","",IF($V398&gt;0,"○勝",IF($V398&lt;0,"●負","△引分")))</f>
        <v/>
      </c>
    </row>
    <row r="399" spans="1:37" ht="17.25" customHeight="1">
      <c r="A399" s="622" t="str">
        <f>IF(B399="","",HYPERLINK("https://kabutan.jp/stock/?code="&amp;B399,"株探"))</f>
        <v/>
      </c>
      <c r="D399" s="440" t="str" cm="1">
        <f t="array" ref="D399">_xll.RssMarket(B399, "銘柄名称")</f>
        <v/>
      </c>
      <c r="E399" s="717"/>
      <c r="F399" s="698" t="str" cm="1">
        <f t="array" aca="1" ref="F399" ca="1">IFERROR(_xlfn.LET(_xlpm.r,MATCH(TEXT($B399,"0"),TEXT(銘柄管理!$B$6:$B$305,"0"),0),_xlpm.t,MOD(NOW(),1),_xlpm.c,IF($E399=TODAY(),IF(_xlpm.t&gt;=TIME(15,30,0),NA(),1),IF(MATCH($E399,始値!$E$3:$IT$3,0)=1,1,MATCH($E399,始値!$E$3:$IT$3,0)+1)),_xlpm.v,INDEX(始値!$C$6:$IT$305,_xlpm.r,_xlpm.c),IF(N(_xlpm.v)=0,"",_xlpm.v)),"")</f>
        <v/>
      </c>
      <c r="H399" s="440" t="str" cm="1">
        <f t="array" ref="H399">_xll.RssMarket(B399, "現在値")</f>
        <v/>
      </c>
      <c r="I399" s="440" t="str" cm="1">
        <f t="array" ref="I399">_xll.RssMarket(B399, "出来高加重平均")</f>
        <v/>
      </c>
      <c r="J399" s="704" t="str" cm="1">
        <f t="array" ref="J399">_xll.RssMarket($B399, "前日比")</f>
        <v/>
      </c>
      <c r="K399" s="704" t="str">
        <f>IF(OR(F399="",G399="",H399=""),"",IF(C399="売",(F399-H399)*G399,(H399-F399)*G399))</f>
        <v/>
      </c>
      <c r="L399" s="709" t="str">
        <f>IF(OR(F399="",H399=""),"",IF(C399="売",(F399-H399)/F399,(H399-F399)/F399))</f>
        <v/>
      </c>
      <c r="M399" s="599" t="str">
        <f>IF($F399="","",$F399*IF($C399="売",1-V811設定!$B$4,1+V811設定!$B$4)-MOD($F399*IF($C399="売",1-V811設定!$B$4,1+V811設定!$B$4),IF($F399&lt;=3000,1,IF($F399&lt;=5000,5,IF($F399&lt;=30000,10,IF($F399&lt;=50000,50,IF($F399&lt;=300000,100,500))))))+IF(AND($C399="売",MOD($F399*IF($C399="売",1-V811設定!$B$4,1+V811設定!$B$4),IF($F399&lt;=3000,1,IF($F399&lt;=5000,5,IF($F399&lt;=30000,10,IF($F399&lt;=50000,50,IF($F399&lt;=300000,100,500))))))&gt;0),IF($F399&lt;=3000,1,IF($F399&lt;=5000,5,IF($F399&lt;=30000,10,IF($F399&lt;=50000,50,IF($F399&lt;=300000,100,500))))),0))</f>
      </c>
      <c r="N399" s="599" t="str">
        <f>IF($F399="","",$F399*IF($C399="売",1+V811設定!$B$3,1-V811設定!$B$3)-MOD($F399*IF($C399="売",1+V811設定!$B$3,1-V811設定!$B$3),IF($F399&lt;=3000,1,IF($F399&lt;=5000,5,IF($F399&lt;=30000,10,IF($F399&lt;=50000,50,IF($F399&lt;=300000,100,500))))))+IF(AND($C399="売",MOD($F399*IF($C399="売",1+V811設定!$B$3,1-V811設定!$B$3),IF($F399&lt;=3000,1,IF($F399&lt;=5000,5,IF($F399&lt;=30000,10,IF($F399&lt;=50000,50,IF($F399&lt;=300000,100,500))))))&gt;0),IF($F399&lt;=3000,1,IF($F399&lt;=5000,5,IF($F399&lt;=30000,10,IF($F399&lt;=50000,50,IF($F399&lt;=300000,100,500))))),0))</f>
      </c>
      <c r="O399" s="478" t="str">
        <f>IF(OR($B399="",$F399="",$H399=""),"",IF($S399="✅売却済","―決済済―",IF($C399="売",IF($H399&lt;=$M399,"🟢利確",IF(AND($R399&lt;&gt;"",$H399&gt;=$R399),"🟠TRAIL",IF($H399&gt;=$N399,"🔴損切",IF($W399&gt;=V811設定!$B$6,"⏱時間決済",IF($H399&gt;=$F399*(1+V811設定!$B$3*0.7),"⚠️損切接近","保持継続"))))),IF($H399&gt;=$M399,"🟢利確",IF(AND($R399&lt;&gt;"",$H399&lt;=$R399),"🟠TRAIL",IF($H399&lt;=$N399,"🔴損切",IF($W399&gt;=V811設定!$B$6,"⏱時間決済",IF($H399&lt;=$F399*(1-V811設定!$B$3*0.7),"⚠️損切接近","保持継続"))))))))</f>
      </c>
      <c r="P399" s="445"/>
      <c r="R399" s="440" t="str">
        <f>IF(OR($F399="",$H399="",$N399=""),"",IF($S399="✅売却済","",IF($C399="売",IF($H399&gt;$F399*(1-V811設定!$B$3),$N399,MIN($N399,IF($Q399="",$N399,$Q399*1.03))),IF($H399&lt;$F399*(1+V811設定!$B$3),$N399,MAX($N399,IF($P399="",$N399,$P399*0.97))))))</f>
      </c>
      <c r="S399" s="440" t="str">
        <f>IF(B399="","",IF(T399&lt;&gt;"","✅売却済",IF(OR(H399="",L399=""),"📌保有中",IF(L399&gt;=0.06,"🟢利確推奨",IF(L399&gt;=0.05,"🟡利確直近",IF(L399&gt;=0.045,"🔵トレーリング検討",IF(L399&gt;-0.03,"📌保有中",IF(L399&gt;-0.04,"⚠️損切注意","🔴損切り"))))))))</f>
        <v/>
      </c>
      <c r="T399" s="597"/>
      <c r="U399" s="599"/>
      <c r="V399" s="704" t="str">
        <f>IF(OR(F399="",G399="",U399=""),"",IF(C399="売",(F399-U399)*G399,(U399-F399)*G399))</f>
        <v/>
      </c>
      <c r="W399" s="440" t="str">
        <f>IF(OR($E399="",$B399=""),"",IF($T399&lt;&gt;"",$T399-$E399,TODAY()-$E399)+1)</f>
        <v/>
      </c>
      <c r="X399" s="440" t="str">
        <f>IF(OR($AH399="",$AH399="保有中"),"",$AH399)</f>
        <v/>
      </c>
      <c r="AD399" s="608"/>
      <c r="AE399" s="600" t="str">
        <f>IF($E399="","",WORKDAY($E399,12))</f>
        <v/>
      </c>
      <c r="AF399" s="600" t="str" cm="1">
        <f t="array" aca="1" ref="AF399" ca="1">IF(OR($B399="",$M399=""),"",IFERROR(IF($C399="売",_xlfn.MINIFS(安値!$E$3:$IT$3,安値!$E$3:$IT$3,"&gt;"&amp;$E399,安値!$E$3:$IT$3,"&lt;="&amp;$AE399,OFFSET(安値!$E$6:$IT$6,MATCH(TEXT($B399,"0"),TEXT(銘柄管理!$B$6:$B$305,"0"),0)-1,0),"&lt;="&amp;$M399),_xlfn.MINIFS(高値!$E$3:$IT$3,高値!$E$3:$IT$3,"&gt;"&amp;$E399,高値!$E$3:$IT$3,"&lt;="&amp;$AE399,OFFSET(高値!$E$6:$IT$6,MATCH(TEXT($B399,"0"),TEXT(銘柄管理!$B$6:$B$305,"0"),0)-1,0),"&gt;="&amp;$M399)),""))</f>
        <v/>
      </c>
      <c r="AG399" s="600" t="str" cm="1">
        <f t="array" aca="1" ref="AG399" ca="1">IF(OR($B399="",$N399=""),"",IFERROR(IF($C399="売",_xlfn.MINIFS(高値!$E$3:$IT$3,高値!$E$3:$IT$3,"&gt;"&amp;$E399,高値!$E$3:$IT$3,"&lt;="&amp;$AE399,OFFSET(高値!$E$6:$IT$6,MATCH(TEXT($B399,"0"),TEXT(銘柄管理!$B$6:$B$305,"0"),0)-1,0),"&gt;="&amp;$N399),_xlfn.MINIFS(安値!$E$3:$IT$3,安値!$E$3:$IT$3,"&gt;"&amp;$E399,安値!$E$3:$IT$3,"&lt;="&amp;$AE399,OFFSET(安値!$E$6:$IT$6,MATCH(TEXT($B399,"0"),TEXT(銘柄管理!$B$6:$B$305,"0"),0)-1,0),"&lt;="&amp;$N399)),""))</f>
        <v/>
      </c>
      <c r="AH399" s="600" t="str">
        <f>IF(OR($B399="",$M399=""),"",IF(AND(N($AF399)=0,N($AG399)=0),IF(AND(ISNUMBER($H399),$H399&gt;0,IF($C399="売",$H399&gt;=$N399,$H399&lt;=$N399)),"損切確定",IF(AND(ISNUMBER($H399),$H399&gt;0,IF($C399="売",$H399&lt;=$M399,$H399&gt;=$M399)),"利益確定",IF($AE399&lt;=TODAY(),"日数制限","保有中"))),IF(N($AG399)=0,"利益確定",IF(N($AF399)=0,"損切確定",IF($AG399&lt;=$AF399,"損切確定","利益確定")))))</f>
        <v/>
      </c>
      <c r="AI399" s="600" t="str" cm="1">
        <f t="array" ref="AI399">IFERROR(INDEX(始値!$E$6:$IT$305,MATCH(TEXT($B399,"0"),TEXT(銘柄管理!$B$6:$B$305,"0"),0),MATCH($AE399,始値!$E$3:$IT$3,0)),"")</f>
        <v/>
      </c>
      <c r="AJ399" s="608" t="str">
        <f>IF(OR($V399="",$F399="",$G399=""),"",$V399/($F399*$G399))</f>
        <v/>
      </c>
      <c r="AK399" s="600" t="str">
        <f>IF($V399="","",IF($V399&gt;0,"○勝",IF($V399&lt;0,"●負","△引分")))</f>
        <v/>
      </c>
    </row>
    <row r="400" spans="1:37" ht="17.25" customHeight="1">
      <c r="A400" s="622" t="str">
        <f>IF(B400="","",HYPERLINK("https://kabutan.jp/stock/?code="&amp;B400,"株探"))</f>
        <v/>
      </c>
      <c r="D400" s="440" t="str" cm="1">
        <f t="array" ref="D400">_xll.RssMarket(B400, "銘柄名称")</f>
        <v/>
      </c>
      <c r="E400" s="717"/>
      <c r="F400" s="698" t="str" cm="1">
        <f t="array" aca="1" ref="F400" ca="1">IFERROR(_xlfn.LET(_xlpm.r,MATCH(TEXT($B400,"0"),TEXT(銘柄管理!$B$6:$B$305,"0"),0),_xlpm.t,MOD(NOW(),1),_xlpm.c,IF($E400=TODAY(),IF(_xlpm.t&gt;=TIME(15,30,0),NA(),1),IF(MATCH($E400,始値!$E$3:$IT$3,0)=1,1,MATCH($E400,始値!$E$3:$IT$3,0)+1)),_xlpm.v,INDEX(始値!$C$6:$IT$305,_xlpm.r,_xlpm.c),IF(N(_xlpm.v)=0,"",_xlpm.v)),"")</f>
        <v/>
      </c>
      <c r="H400" s="440" t="str" cm="1">
        <f t="array" ref="H400">_xll.RssMarket(B400, "現在値")</f>
        <v/>
      </c>
      <c r="I400" s="440" t="str" cm="1">
        <f t="array" ref="I400">_xll.RssMarket(B400, "出来高加重平均")</f>
        <v/>
      </c>
      <c r="J400" s="704" t="str" cm="1">
        <f t="array" ref="J400">_xll.RssMarket($B400, "前日比")</f>
        <v/>
      </c>
      <c r="K400" s="704" t="str">
        <f>IF(OR(F400="",G400="",H400=""),"",IF(C400="売",(F400-H400)*G400,(H400-F400)*G400))</f>
        <v/>
      </c>
      <c r="L400" s="709" t="str">
        <f>IF(OR(F400="",H400=""),"",IF(C400="売",(F400-H400)/F400,(H400-F400)/F400))</f>
        <v/>
      </c>
      <c r="M400" s="599" t="str">
        <f>IF($F400="","",$F400*IF($C400="売",1-V811設定!$B$4,1+V811設定!$B$4)-MOD($F400*IF($C400="売",1-V811設定!$B$4,1+V811設定!$B$4),IF($F400&lt;=3000,1,IF($F400&lt;=5000,5,IF($F400&lt;=30000,10,IF($F400&lt;=50000,50,IF($F400&lt;=300000,100,500))))))+IF(AND($C400="売",MOD($F400*IF($C400="売",1-V811設定!$B$4,1+V811設定!$B$4),IF($F400&lt;=3000,1,IF($F400&lt;=5000,5,IF($F400&lt;=30000,10,IF($F400&lt;=50000,50,IF($F400&lt;=300000,100,500))))))&gt;0),IF($F400&lt;=3000,1,IF($F400&lt;=5000,5,IF($F400&lt;=30000,10,IF($F400&lt;=50000,50,IF($F400&lt;=300000,100,500))))),0))</f>
      </c>
      <c r="N400" s="599" t="str">
        <f>IF($F400="","",$F400*IF($C400="売",1+V811設定!$B$3,1-V811設定!$B$3)-MOD($F400*IF($C400="売",1+V811設定!$B$3,1-V811設定!$B$3),IF($F400&lt;=3000,1,IF($F400&lt;=5000,5,IF($F400&lt;=30000,10,IF($F400&lt;=50000,50,IF($F400&lt;=300000,100,500))))))+IF(AND($C400="売",MOD($F400*IF($C400="売",1+V811設定!$B$3,1-V811設定!$B$3),IF($F400&lt;=3000,1,IF($F400&lt;=5000,5,IF($F400&lt;=30000,10,IF($F400&lt;=50000,50,IF($F400&lt;=300000,100,500))))))&gt;0),IF($F400&lt;=3000,1,IF($F400&lt;=5000,5,IF($F400&lt;=30000,10,IF($F400&lt;=50000,50,IF($F400&lt;=300000,100,500))))),0))</f>
      </c>
      <c r="O400" s="478" t="str">
        <f>IF(OR($B400="",$F400="",$H400=""),"",IF($S400="✅売却済","―決済済―",IF($C400="売",IF($H400&lt;=$M400,"🟢利確",IF(AND($R400&lt;&gt;"",$H400&gt;=$R400),"🟠TRAIL",IF($H400&gt;=$N400,"🔴損切",IF($W400&gt;=V811設定!$B$6,"⏱時間決済",IF($H400&gt;=$F400*(1+V811設定!$B$3*0.7),"⚠️損切接近","保持継続"))))),IF($H400&gt;=$M400,"🟢利確",IF(AND($R400&lt;&gt;"",$H400&lt;=$R400),"🟠TRAIL",IF($H400&lt;=$N400,"🔴損切",IF($W400&gt;=V811設定!$B$6,"⏱時間決済",IF($H400&lt;=$F400*(1-V811設定!$B$3*0.7),"⚠️損切接近","保持継続"))))))))</f>
      </c>
      <c r="P400" s="445"/>
      <c r="R400" s="440" t="str">
        <f>IF(OR($F400="",$H400="",$N400=""),"",IF($S400="✅売却済","",IF($C400="売",IF($H400&gt;$F400*(1-V811設定!$B$3),$N400,MIN($N400,IF($Q400="",$N400,$Q400*1.03))),IF($H400&lt;$F400*(1+V811設定!$B$3),$N400,MAX($N400,IF($P400="",$N400,$P400*0.97))))))</f>
      </c>
      <c r="S400" s="440" t="str">
        <f>IF(B400="","",IF(T400&lt;&gt;"","✅売却済",IF(OR(H400="",L400=""),"📌保有中",IF(L400&gt;=0.06,"🟢利確推奨",IF(L400&gt;=0.05,"🟡利確直近",IF(L400&gt;=0.045,"🔵トレーリング検討",IF(L400&gt;-0.03,"📌保有中",IF(L400&gt;-0.04,"⚠️損切注意","🔴損切り"))))))))</f>
        <v/>
      </c>
      <c r="T400" s="597"/>
      <c r="U400" s="599"/>
      <c r="V400" s="704" t="str">
        <f>IF(OR(F400="",G400="",U400=""),"",IF(C400="売",(F400-U400)*G400,(U400-F400)*G400))</f>
        <v/>
      </c>
      <c r="W400" s="440" t="str">
        <f>IF(OR($E400="",$B400=""),"",IF($T400&lt;&gt;"",$T400-$E400,TODAY()-$E400)+1)</f>
        <v/>
      </c>
      <c r="X400" s="440" t="str">
        <f>IF(OR($AH400="",$AH400="保有中"),"",$AH400)</f>
        <v/>
      </c>
      <c r="AD400" s="608"/>
      <c r="AE400" s="600" t="str">
        <f>IF($E400="","",WORKDAY($E400,12))</f>
        <v/>
      </c>
      <c r="AF400" s="600" t="str" cm="1">
        <f t="array" aca="1" ref="AF400" ca="1">IF(OR($B400="",$M400=""),"",IFERROR(IF($C400="売",_xlfn.MINIFS(安値!$E$3:$IT$3,安値!$E$3:$IT$3,"&gt;"&amp;$E400,安値!$E$3:$IT$3,"&lt;="&amp;$AE400,OFFSET(安値!$E$6:$IT$6,MATCH(TEXT($B400,"0"),TEXT(銘柄管理!$B$6:$B$305,"0"),0)-1,0),"&lt;="&amp;$M400),_xlfn.MINIFS(高値!$E$3:$IT$3,高値!$E$3:$IT$3,"&gt;"&amp;$E400,高値!$E$3:$IT$3,"&lt;="&amp;$AE400,OFFSET(高値!$E$6:$IT$6,MATCH(TEXT($B400,"0"),TEXT(銘柄管理!$B$6:$B$305,"0"),0)-1,0),"&gt;="&amp;$M400)),""))</f>
        <v/>
      </c>
      <c r="AG400" s="600" t="str" cm="1">
        <f t="array" aca="1" ref="AG400" ca="1">IF(OR($B400="",$N400=""),"",IFERROR(IF($C400="売",_xlfn.MINIFS(高値!$E$3:$IT$3,高値!$E$3:$IT$3,"&gt;"&amp;$E400,高値!$E$3:$IT$3,"&lt;="&amp;$AE400,OFFSET(高値!$E$6:$IT$6,MATCH(TEXT($B400,"0"),TEXT(銘柄管理!$B$6:$B$305,"0"),0)-1,0),"&gt;="&amp;$N400),_xlfn.MINIFS(安値!$E$3:$IT$3,安値!$E$3:$IT$3,"&gt;"&amp;$E400,安値!$E$3:$IT$3,"&lt;="&amp;$AE400,OFFSET(安値!$E$6:$IT$6,MATCH(TEXT($B400,"0"),TEXT(銘柄管理!$B$6:$B$305,"0"),0)-1,0),"&lt;="&amp;$N400)),""))</f>
        <v/>
      </c>
      <c r="AH400" s="600" t="str">
        <f>IF(OR($B400="",$M400=""),"",IF(AND(N($AF400)=0,N($AG400)=0),IF(AND(ISNUMBER($H400),$H400&gt;0,IF($C400="売",$H400&gt;=$N400,$H400&lt;=$N400)),"損切確定",IF(AND(ISNUMBER($H400),$H400&gt;0,IF($C400="売",$H400&lt;=$M400,$H400&gt;=$M400)),"利益確定",IF($AE400&lt;=TODAY(),"日数制限","保有中"))),IF(N($AG400)=0,"利益確定",IF(N($AF400)=0,"損切確定",IF($AG400&lt;=$AF400,"損切確定","利益確定")))))</f>
        <v/>
      </c>
      <c r="AI400" s="600" t="str" cm="1">
        <f t="array" ref="AI400">IFERROR(INDEX(始値!$E$6:$IT$305,MATCH(TEXT($B400,"0"),TEXT(銘柄管理!$B$6:$B$305,"0"),0),MATCH($AE400,始値!$E$3:$IT$3,0)),"")</f>
        <v/>
      </c>
      <c r="AJ400" s="608" t="str">
        <f>IF(OR($V400="",$F400="",$G400=""),"",$V400/($F400*$G400))</f>
        <v/>
      </c>
      <c r="AK400" s="600" t="str">
        <f>IF($V400="","",IF($V400&gt;0,"○勝",IF($V400&lt;0,"●負","△引分")))</f>
        <v/>
      </c>
    </row>
    <row r="401" spans="1:37" ht="17.25" customHeight="1">
      <c r="A401" s="622" t="str">
        <f>IF(B401="","",HYPERLINK("https://kabutan.jp/stock/?code="&amp;B401,"株探"))</f>
        <v/>
      </c>
      <c r="D401" s="440" t="str" cm="1">
        <f t="array" ref="D401">_xll.RssMarket(B401, "銘柄名称")</f>
        <v/>
      </c>
      <c r="E401" s="717"/>
      <c r="F401" s="698" t="str" cm="1">
        <f t="array" aca="1" ref="F401" ca="1">IFERROR(_xlfn.LET(_xlpm.r,MATCH(TEXT($B401,"0"),TEXT(銘柄管理!$B$6:$B$305,"0"),0),_xlpm.t,MOD(NOW(),1),_xlpm.c,IF($E401=TODAY(),IF(_xlpm.t&gt;=TIME(15,30,0),NA(),1),IF(MATCH($E401,始値!$E$3:$IT$3,0)=1,1,MATCH($E401,始値!$E$3:$IT$3,0)+1)),_xlpm.v,INDEX(始値!$C$6:$IT$305,_xlpm.r,_xlpm.c),IF(N(_xlpm.v)=0,"",_xlpm.v)),"")</f>
        <v/>
      </c>
      <c r="H401" s="440" t="str" cm="1">
        <f t="array" ref="H401">_xll.RssMarket(B401, "現在値")</f>
        <v/>
      </c>
      <c r="I401" s="440" t="str" cm="1">
        <f t="array" ref="I401">_xll.RssMarket(B401, "出来高加重平均")</f>
        <v/>
      </c>
      <c r="J401" s="704" t="str" cm="1">
        <f t="array" ref="J401">_xll.RssMarket($B401, "前日比")</f>
        <v/>
      </c>
      <c r="K401" s="704" t="str">
        <f>IF(OR(F401="",G401="",H401=""),"",IF(C401="売",(F401-H401)*G401,(H401-F401)*G401))</f>
        <v/>
      </c>
      <c r="L401" s="709" t="str">
        <f>IF(OR(F401="",H401=""),"",IF(C401="売",(F401-H401)/F401,(H401-F401)/F401))</f>
        <v/>
      </c>
      <c r="M401" s="599" t="str">
        <f>IF($F401="","",$F401*IF($C401="売",1-V811設定!$B$4,1+V811設定!$B$4)-MOD($F401*IF($C401="売",1-V811設定!$B$4,1+V811設定!$B$4),IF($F401&lt;=3000,1,IF($F401&lt;=5000,5,IF($F401&lt;=30000,10,IF($F401&lt;=50000,50,IF($F401&lt;=300000,100,500))))))+IF(AND($C401="売",MOD($F401*IF($C401="売",1-V811設定!$B$4,1+V811設定!$B$4),IF($F401&lt;=3000,1,IF($F401&lt;=5000,5,IF($F401&lt;=30000,10,IF($F401&lt;=50000,50,IF($F401&lt;=300000,100,500))))))&gt;0),IF($F401&lt;=3000,1,IF($F401&lt;=5000,5,IF($F401&lt;=30000,10,IF($F401&lt;=50000,50,IF($F401&lt;=300000,100,500))))),0))</f>
      </c>
      <c r="N401" s="599" t="str">
        <f>IF($F401="","",$F401*IF($C401="売",1+V811設定!$B$3,1-V811設定!$B$3)-MOD($F401*IF($C401="売",1+V811設定!$B$3,1-V811設定!$B$3),IF($F401&lt;=3000,1,IF($F401&lt;=5000,5,IF($F401&lt;=30000,10,IF($F401&lt;=50000,50,IF($F401&lt;=300000,100,500))))))+IF(AND($C401="売",MOD($F401*IF($C401="売",1+V811設定!$B$3,1-V811設定!$B$3),IF($F401&lt;=3000,1,IF($F401&lt;=5000,5,IF($F401&lt;=30000,10,IF($F401&lt;=50000,50,IF($F401&lt;=300000,100,500))))))&gt;0),IF($F401&lt;=3000,1,IF($F401&lt;=5000,5,IF($F401&lt;=30000,10,IF($F401&lt;=50000,50,IF($F401&lt;=300000,100,500))))),0))</f>
      </c>
      <c r="O401" s="478" t="str">
        <f>IF(OR($B401="",$F401="",$H401=""),"",IF($S401="✅売却済","―決済済―",IF($C401="売",IF($H401&lt;=$M401,"🟢利確",IF(AND($R401&lt;&gt;"",$H401&gt;=$R401),"🟠TRAIL",IF($H401&gt;=$N401,"🔴損切",IF($W401&gt;=V811設定!$B$6,"⏱時間決済",IF($H401&gt;=$F401*(1+V811設定!$B$3*0.7),"⚠️損切接近","保持継続"))))),IF($H401&gt;=$M401,"🟢利確",IF(AND($R401&lt;&gt;"",$H401&lt;=$R401),"🟠TRAIL",IF($H401&lt;=$N401,"🔴損切",IF($W401&gt;=V811設定!$B$6,"⏱時間決済",IF($H401&lt;=$F401*(1-V811設定!$B$3*0.7),"⚠️損切接近","保持継続"))))))))</f>
      </c>
      <c r="P401" s="445"/>
      <c r="R401" s="440" t="str">
        <f>IF(OR($F401="",$H401="",$N401=""),"",IF($S401="✅売却済","",IF($C401="売",IF($H401&gt;$F401*(1-V811設定!$B$3),$N401,MIN($N401,IF($Q401="",$N401,$Q401*1.03))),IF($H401&lt;$F401*(1+V811設定!$B$3),$N401,MAX($N401,IF($P401="",$N401,$P401*0.97))))))</f>
      </c>
      <c r="S401" s="440" t="str">
        <f>IF(B401="","",IF(T401&lt;&gt;"","✅売却済",IF(OR(H401="",L401=""),"📌保有中",IF(L401&gt;=0.06,"🟢利確推奨",IF(L401&gt;=0.05,"🟡利確直近",IF(L401&gt;=0.045,"🔵トレーリング検討",IF(L401&gt;-0.03,"📌保有中",IF(L401&gt;-0.04,"⚠️損切注意","🔴損切り"))))))))</f>
        <v/>
      </c>
      <c r="T401" s="597"/>
      <c r="U401" s="599"/>
      <c r="V401" s="704" t="str">
        <f>IF(OR(F401="",G401="",U401=""),"",IF(C401="売",(F401-U401)*G401,(U401-F401)*G401))</f>
        <v/>
      </c>
      <c r="W401" s="440" t="str">
        <f>IF(OR($E401="",$B401=""),"",IF($T401&lt;&gt;"",$T401-$E401,TODAY()-$E401)+1)</f>
        <v/>
      </c>
      <c r="X401" s="440" t="str">
        <f>IF(OR($AH401="",$AH401="保有中"),"",$AH401)</f>
        <v/>
      </c>
      <c r="AD401" s="608"/>
      <c r="AE401" s="600" t="str">
        <f>IF($E401="","",WORKDAY($E401,12))</f>
        <v/>
      </c>
      <c r="AF401" s="600" t="str" cm="1">
        <f t="array" aca="1" ref="AF401" ca="1">IF(OR($B401="",$M401=""),"",IFERROR(IF($C401="売",_xlfn.MINIFS(安値!$E$3:$IT$3,安値!$E$3:$IT$3,"&gt;"&amp;$E401,安値!$E$3:$IT$3,"&lt;="&amp;$AE401,OFFSET(安値!$E$6:$IT$6,MATCH(TEXT($B401,"0"),TEXT(銘柄管理!$B$6:$B$305,"0"),0)-1,0),"&lt;="&amp;$M401),_xlfn.MINIFS(高値!$E$3:$IT$3,高値!$E$3:$IT$3,"&gt;"&amp;$E401,高値!$E$3:$IT$3,"&lt;="&amp;$AE401,OFFSET(高値!$E$6:$IT$6,MATCH(TEXT($B401,"0"),TEXT(銘柄管理!$B$6:$B$305,"0"),0)-1,0),"&gt;="&amp;$M401)),""))</f>
        <v/>
      </c>
      <c r="AG401" s="600" t="str" cm="1">
        <f t="array" aca="1" ref="AG401" ca="1">IF(OR($B401="",$N401=""),"",IFERROR(IF($C401="売",_xlfn.MINIFS(高値!$E$3:$IT$3,高値!$E$3:$IT$3,"&gt;"&amp;$E401,高値!$E$3:$IT$3,"&lt;="&amp;$AE401,OFFSET(高値!$E$6:$IT$6,MATCH(TEXT($B401,"0"),TEXT(銘柄管理!$B$6:$B$305,"0"),0)-1,0),"&gt;="&amp;$N401),_xlfn.MINIFS(安値!$E$3:$IT$3,安値!$E$3:$IT$3,"&gt;"&amp;$E401,安値!$E$3:$IT$3,"&lt;="&amp;$AE401,OFFSET(安値!$E$6:$IT$6,MATCH(TEXT($B401,"0"),TEXT(銘柄管理!$B$6:$B$305,"0"),0)-1,0),"&lt;="&amp;$N401)),""))</f>
        <v/>
      </c>
      <c r="AH401" s="600" t="str">
        <f>IF(OR($B401="",$M401=""),"",IF(AND(N($AF401)=0,N($AG401)=0),IF(AND(ISNUMBER($H401),$H401&gt;0,IF($C401="売",$H401&gt;=$N401,$H401&lt;=$N401)),"損切確定",IF(AND(ISNUMBER($H401),$H401&gt;0,IF($C401="売",$H401&lt;=$M401,$H401&gt;=$M401)),"利益確定",IF($AE401&lt;=TODAY(),"日数制限","保有中"))),IF(N($AG401)=0,"利益確定",IF(N($AF401)=0,"損切確定",IF($AG401&lt;=$AF401,"損切確定","利益確定")))))</f>
        <v/>
      </c>
      <c r="AI401" s="600" t="str" cm="1">
        <f t="array" ref="AI401">IFERROR(INDEX(始値!$E$6:$IT$305,MATCH(TEXT($B401,"0"),TEXT(銘柄管理!$B$6:$B$305,"0"),0),MATCH($AE401,始値!$E$3:$IT$3,0)),"")</f>
        <v/>
      </c>
      <c r="AJ401" s="608" t="str">
        <f>IF(OR($V401="",$F401="",$G401=""),"",$V401/($F401*$G401))</f>
        <v/>
      </c>
      <c r="AK401" s="600" t="str">
        <f>IF($V401="","",IF($V401&gt;0,"○勝",IF($V401&lt;0,"●負","△引分")))</f>
        <v/>
      </c>
    </row>
    <row r="402" spans="1:37" ht="17.25" customHeight="1">
      <c r="A402" s="622" t="str">
        <f>IF(B402="","",HYPERLINK("https://kabutan.jp/stock/?code="&amp;B402,"株探"))</f>
        <v/>
      </c>
      <c r="D402" s="440" t="str" cm="1">
        <f t="array" ref="D402">_xll.RssMarket(B402, "銘柄名称")</f>
        <v/>
      </c>
      <c r="E402" s="717"/>
      <c r="F402" s="698" t="str" cm="1">
        <f t="array" aca="1" ref="F402" ca="1">IFERROR(_xlfn.LET(_xlpm.r,MATCH(TEXT($B402,"0"),TEXT(銘柄管理!$B$6:$B$305,"0"),0),_xlpm.t,MOD(NOW(),1),_xlpm.c,IF($E402=TODAY(),IF(_xlpm.t&gt;=TIME(15,30,0),NA(),1),IF(MATCH($E402,始値!$E$3:$IT$3,0)=1,1,MATCH($E402,始値!$E$3:$IT$3,0)+1)),_xlpm.v,INDEX(始値!$C$6:$IT$305,_xlpm.r,_xlpm.c),IF(N(_xlpm.v)=0,"",_xlpm.v)),"")</f>
        <v/>
      </c>
      <c r="H402" s="440" t="str" cm="1">
        <f t="array" ref="H402">_xll.RssMarket(B402, "現在値")</f>
        <v/>
      </c>
      <c r="I402" s="440" t="str" cm="1">
        <f t="array" ref="I402">_xll.RssMarket(B402, "出来高加重平均")</f>
        <v/>
      </c>
      <c r="J402" s="704" t="str" cm="1">
        <f t="array" ref="J402">_xll.RssMarket($B402, "前日比")</f>
        <v/>
      </c>
      <c r="K402" s="704" t="str">
        <f>IF(OR(F402="",G402="",H402=""),"",IF(C402="売",(F402-H402)*G402,(H402-F402)*G402))</f>
        <v/>
      </c>
      <c r="L402" s="709" t="str">
        <f>IF(OR(F402="",H402=""),"",IF(C402="売",(F402-H402)/F402,(H402-F402)/F402))</f>
        <v/>
      </c>
      <c r="M402" s="599" t="str">
        <f>IF($F402="","",$F402*IF($C402="売",1-V811設定!$B$4,1+V811設定!$B$4)-MOD($F402*IF($C402="売",1-V811設定!$B$4,1+V811設定!$B$4),IF($F402&lt;=3000,1,IF($F402&lt;=5000,5,IF($F402&lt;=30000,10,IF($F402&lt;=50000,50,IF($F402&lt;=300000,100,500))))))+IF(AND($C402="売",MOD($F402*IF($C402="売",1-V811設定!$B$4,1+V811設定!$B$4),IF($F402&lt;=3000,1,IF($F402&lt;=5000,5,IF($F402&lt;=30000,10,IF($F402&lt;=50000,50,IF($F402&lt;=300000,100,500))))))&gt;0),IF($F402&lt;=3000,1,IF($F402&lt;=5000,5,IF($F402&lt;=30000,10,IF($F402&lt;=50000,50,IF($F402&lt;=300000,100,500))))),0))</f>
      </c>
      <c r="N402" s="599" t="str">
        <f>IF($F402="","",$F402*IF($C402="売",1+V811設定!$B$3,1-V811設定!$B$3)-MOD($F402*IF($C402="売",1+V811設定!$B$3,1-V811設定!$B$3),IF($F402&lt;=3000,1,IF($F402&lt;=5000,5,IF($F402&lt;=30000,10,IF($F402&lt;=50000,50,IF($F402&lt;=300000,100,500))))))+IF(AND($C402="売",MOD($F402*IF($C402="売",1+V811設定!$B$3,1-V811設定!$B$3),IF($F402&lt;=3000,1,IF($F402&lt;=5000,5,IF($F402&lt;=30000,10,IF($F402&lt;=50000,50,IF($F402&lt;=300000,100,500))))))&gt;0),IF($F402&lt;=3000,1,IF($F402&lt;=5000,5,IF($F402&lt;=30000,10,IF($F402&lt;=50000,50,IF($F402&lt;=300000,100,500))))),0))</f>
      </c>
      <c r="O402" s="478" t="str">
        <f>IF(OR($B402="",$F402="",$H402=""),"",IF($S402="✅売却済","―決済済―",IF($C402="売",IF($H402&lt;=$M402,"🟢利確",IF(AND($R402&lt;&gt;"",$H402&gt;=$R402),"🟠TRAIL",IF($H402&gt;=$N402,"🔴損切",IF($W402&gt;=V811設定!$B$6,"⏱時間決済",IF($H402&gt;=$F402*(1+V811設定!$B$3*0.7),"⚠️損切接近","保持継続"))))),IF($H402&gt;=$M402,"🟢利確",IF(AND($R402&lt;&gt;"",$H402&lt;=$R402),"🟠TRAIL",IF($H402&lt;=$N402,"🔴損切",IF($W402&gt;=V811設定!$B$6,"⏱時間決済",IF($H402&lt;=$F402*(1-V811設定!$B$3*0.7),"⚠️損切接近","保持継続"))))))))</f>
      </c>
      <c r="P402" s="445"/>
      <c r="R402" s="440" t="str">
        <f>IF(OR($F402="",$H402="",$N402=""),"",IF($S402="✅売却済","",IF($C402="売",IF($H402&gt;$F402*(1-V811設定!$B$3),$N402,MIN($N402,IF($Q402="",$N402,$Q402*1.03))),IF($H402&lt;$F402*(1+V811設定!$B$3),$N402,MAX($N402,IF($P402="",$N402,$P402*0.97))))))</f>
      </c>
      <c r="S402" s="440" t="str">
        <f>IF(B402="","",IF(T402&lt;&gt;"","✅売却済",IF(OR(H402="",L402=""),"📌保有中",IF(L402&gt;=0.06,"🟢利確推奨",IF(L402&gt;=0.05,"🟡利確直近",IF(L402&gt;=0.045,"🔵トレーリング検討",IF(L402&gt;-0.03,"📌保有中",IF(L402&gt;-0.04,"⚠️損切注意","🔴損切り"))))))))</f>
        <v/>
      </c>
      <c r="T402" s="597"/>
      <c r="U402" s="599"/>
      <c r="V402" s="704" t="str">
        <f>IF(OR(F402="",G402="",U402=""),"",IF(C402="売",(F402-U402)*G402,(U402-F402)*G402))</f>
        <v/>
      </c>
      <c r="W402" s="440" t="str">
        <f>IF(OR($E402="",$B402=""),"",IF($T402&lt;&gt;"",$T402-$E402,TODAY()-$E402)+1)</f>
        <v/>
      </c>
      <c r="X402" s="440" t="str">
        <f>IF(OR($AH402="",$AH402="保有中"),"",$AH402)</f>
        <v/>
      </c>
      <c r="AD402" s="608"/>
      <c r="AE402" s="600" t="str">
        <f>IF($E402="","",WORKDAY($E402,12))</f>
        <v/>
      </c>
      <c r="AF402" s="600" t="str" cm="1">
        <f t="array" aca="1" ref="AF402" ca="1">IF(OR($B402="",$M402=""),"",IFERROR(IF($C402="売",_xlfn.MINIFS(安値!$E$3:$IT$3,安値!$E$3:$IT$3,"&gt;"&amp;$E402,安値!$E$3:$IT$3,"&lt;="&amp;$AE402,OFFSET(安値!$E$6:$IT$6,MATCH(TEXT($B402,"0"),TEXT(銘柄管理!$B$6:$B$305,"0"),0)-1,0),"&lt;="&amp;$M402),_xlfn.MINIFS(高値!$E$3:$IT$3,高値!$E$3:$IT$3,"&gt;"&amp;$E402,高値!$E$3:$IT$3,"&lt;="&amp;$AE402,OFFSET(高値!$E$6:$IT$6,MATCH(TEXT($B402,"0"),TEXT(銘柄管理!$B$6:$B$305,"0"),0)-1,0),"&gt;="&amp;$M402)),""))</f>
        <v/>
      </c>
      <c r="AG402" s="600" t="str" cm="1">
        <f t="array" aca="1" ref="AG402" ca="1">IF(OR($B402="",$N402=""),"",IFERROR(IF($C402="売",_xlfn.MINIFS(高値!$E$3:$IT$3,高値!$E$3:$IT$3,"&gt;"&amp;$E402,高値!$E$3:$IT$3,"&lt;="&amp;$AE402,OFFSET(高値!$E$6:$IT$6,MATCH(TEXT($B402,"0"),TEXT(銘柄管理!$B$6:$B$305,"0"),0)-1,0),"&gt;="&amp;$N402),_xlfn.MINIFS(安値!$E$3:$IT$3,安値!$E$3:$IT$3,"&gt;"&amp;$E402,安値!$E$3:$IT$3,"&lt;="&amp;$AE402,OFFSET(安値!$E$6:$IT$6,MATCH(TEXT($B402,"0"),TEXT(銘柄管理!$B$6:$B$305,"0"),0)-1,0),"&lt;="&amp;$N402)),""))</f>
        <v/>
      </c>
      <c r="AH402" s="600" t="str">
        <f>IF(OR($B402="",$M402=""),"",IF(AND(N($AF402)=0,N($AG402)=0),IF(AND(ISNUMBER($H402),$H402&gt;0,IF($C402="売",$H402&gt;=$N402,$H402&lt;=$N402)),"損切確定",IF(AND(ISNUMBER($H402),$H402&gt;0,IF($C402="売",$H402&lt;=$M402,$H402&gt;=$M402)),"利益確定",IF($AE402&lt;=TODAY(),"日数制限","保有中"))),IF(N($AG402)=0,"利益確定",IF(N($AF402)=0,"損切確定",IF($AG402&lt;=$AF402,"損切確定","利益確定")))))</f>
        <v/>
      </c>
      <c r="AI402" s="600" t="str" cm="1">
        <f t="array" ref="AI402">IFERROR(INDEX(始値!$E$6:$IT$305,MATCH(TEXT($B402,"0"),TEXT(銘柄管理!$B$6:$B$305,"0"),0),MATCH($AE402,始値!$E$3:$IT$3,0)),"")</f>
        <v/>
      </c>
      <c r="AJ402" s="608" t="str">
        <f>IF(OR($V402="",$F402="",$G402=""),"",$V402/($F402*$G402))</f>
        <v/>
      </c>
      <c r="AK402" s="600" t="str">
        <f>IF($V402="","",IF($V402&gt;0,"○勝",IF($V402&lt;0,"●負","△引分")))</f>
        <v/>
      </c>
    </row>
    <row r="403" spans="1:37" ht="17.25" customHeight="1">
      <c r="A403" s="622" t="str">
        <f>IF(B403="","",HYPERLINK("https://kabutan.jp/stock/?code="&amp;B403,"株探"))</f>
        <v/>
      </c>
      <c r="D403" s="440" t="str" cm="1">
        <f t="array" ref="D403">_xll.RssMarket(B403, "銘柄名称")</f>
        <v/>
      </c>
      <c r="E403" s="717"/>
      <c r="F403" s="698" t="str" cm="1">
        <f t="array" aca="1" ref="F403" ca="1">IFERROR(_xlfn.LET(_xlpm.r,MATCH(TEXT($B403,"0"),TEXT(銘柄管理!$B$6:$B$305,"0"),0),_xlpm.t,MOD(NOW(),1),_xlpm.c,IF($E403=TODAY(),IF(_xlpm.t&gt;=TIME(15,30,0),NA(),1),IF(MATCH($E403,始値!$E$3:$IT$3,0)=1,1,MATCH($E403,始値!$E$3:$IT$3,0)+1)),_xlpm.v,INDEX(始値!$C$6:$IT$305,_xlpm.r,_xlpm.c),IF(N(_xlpm.v)=0,"",_xlpm.v)),"")</f>
        <v/>
      </c>
      <c r="H403" s="440" t="str" cm="1">
        <f t="array" ref="H403">_xll.RssMarket(B403, "現在値")</f>
        <v/>
      </c>
      <c r="I403" s="440" t="str" cm="1">
        <f t="array" ref="I403">_xll.RssMarket(B403, "出来高加重平均")</f>
        <v/>
      </c>
      <c r="J403" s="704" t="str" cm="1">
        <f t="array" ref="J403">_xll.RssMarket($B403, "前日比")</f>
        <v/>
      </c>
      <c r="K403" s="704" t="str">
        <f>IF(OR(F403="",G403="",H403=""),"",IF(C403="売",(F403-H403)*G403,(H403-F403)*G403))</f>
        <v/>
      </c>
      <c r="L403" s="709" t="str">
        <f>IF(OR(F403="",H403=""),"",IF(C403="売",(F403-H403)/F403,(H403-F403)/F403))</f>
        <v/>
      </c>
      <c r="M403" s="599" t="str">
        <f>IF($F403="","",$F403*IF($C403="売",1-V811設定!$B$4,1+V811設定!$B$4)-MOD($F403*IF($C403="売",1-V811設定!$B$4,1+V811設定!$B$4),IF($F403&lt;=3000,1,IF($F403&lt;=5000,5,IF($F403&lt;=30000,10,IF($F403&lt;=50000,50,IF($F403&lt;=300000,100,500))))))+IF(AND($C403="売",MOD($F403*IF($C403="売",1-V811設定!$B$4,1+V811設定!$B$4),IF($F403&lt;=3000,1,IF($F403&lt;=5000,5,IF($F403&lt;=30000,10,IF($F403&lt;=50000,50,IF($F403&lt;=300000,100,500))))))&gt;0),IF($F403&lt;=3000,1,IF($F403&lt;=5000,5,IF($F403&lt;=30000,10,IF($F403&lt;=50000,50,IF($F403&lt;=300000,100,500))))),0))</f>
      </c>
      <c r="N403" s="599" t="str">
        <f>IF($F403="","",$F403*IF($C403="売",1+V811設定!$B$3,1-V811設定!$B$3)-MOD($F403*IF($C403="売",1+V811設定!$B$3,1-V811設定!$B$3),IF($F403&lt;=3000,1,IF($F403&lt;=5000,5,IF($F403&lt;=30000,10,IF($F403&lt;=50000,50,IF($F403&lt;=300000,100,500))))))+IF(AND($C403="売",MOD($F403*IF($C403="売",1+V811設定!$B$3,1-V811設定!$B$3),IF($F403&lt;=3000,1,IF($F403&lt;=5000,5,IF($F403&lt;=30000,10,IF($F403&lt;=50000,50,IF($F403&lt;=300000,100,500))))))&gt;0),IF($F403&lt;=3000,1,IF($F403&lt;=5000,5,IF($F403&lt;=30000,10,IF($F403&lt;=50000,50,IF($F403&lt;=300000,100,500))))),0))</f>
      </c>
      <c r="O403" s="478" t="str">
        <f>IF(OR($B403="",$F403="",$H403=""),"",IF($S403="✅売却済","―決済済―",IF($C403="売",IF($H403&lt;=$M403,"🟢利確",IF(AND($R403&lt;&gt;"",$H403&gt;=$R403),"🟠TRAIL",IF($H403&gt;=$N403,"🔴損切",IF($W403&gt;=V811設定!$B$6,"⏱時間決済",IF($H403&gt;=$F403*(1+V811設定!$B$3*0.7),"⚠️損切接近","保持継続"))))),IF($H403&gt;=$M403,"🟢利確",IF(AND($R403&lt;&gt;"",$H403&lt;=$R403),"🟠TRAIL",IF($H403&lt;=$N403,"🔴損切",IF($W403&gt;=V811設定!$B$6,"⏱時間決済",IF($H403&lt;=$F403*(1-V811設定!$B$3*0.7),"⚠️損切接近","保持継続"))))))))</f>
      </c>
      <c r="P403" s="445"/>
      <c r="R403" s="440" t="str">
        <f>IF(OR($F403="",$H403="",$N403=""),"",IF($S403="✅売却済","",IF($C403="売",IF($H403&gt;$F403*(1-V811設定!$B$3),$N403,MIN($N403,IF($Q403="",$N403,$Q403*1.03))),IF($H403&lt;$F403*(1+V811設定!$B$3),$N403,MAX($N403,IF($P403="",$N403,$P403*0.97))))))</f>
      </c>
      <c r="S403" s="440" t="str">
        <f>IF(B403="","",IF(T403&lt;&gt;"","✅売却済",IF(OR(H403="",L403=""),"📌保有中",IF(L403&gt;=0.06,"🟢利確推奨",IF(L403&gt;=0.05,"🟡利確直近",IF(L403&gt;=0.045,"🔵トレーリング検討",IF(L403&gt;-0.03,"📌保有中",IF(L403&gt;-0.04,"⚠️損切注意","🔴損切り"))))))))</f>
        <v/>
      </c>
      <c r="T403" s="597"/>
      <c r="U403" s="599"/>
      <c r="V403" s="704" t="str">
        <f>IF(OR(F403="",G403="",U403=""),"",IF(C403="売",(F403-U403)*G403,(U403-F403)*G403))</f>
        <v/>
      </c>
      <c r="W403" s="440" t="str">
        <f>IF(OR($E403="",$B403=""),"",IF($T403&lt;&gt;"",$T403-$E403,TODAY()-$E403)+1)</f>
        <v/>
      </c>
      <c r="X403" s="440" t="str">
        <f>IF(OR($AH403="",$AH403="保有中"),"",$AH403)</f>
        <v/>
      </c>
      <c r="AD403" s="608"/>
      <c r="AE403" s="600" t="str">
        <f>IF($E403="","",WORKDAY($E403,12))</f>
        <v/>
      </c>
      <c r="AF403" s="600" t="str" cm="1">
        <f t="array" aca="1" ref="AF403" ca="1">IF(OR($B403="",$M403=""),"",IFERROR(IF($C403="売",_xlfn.MINIFS(安値!$E$3:$IT$3,安値!$E$3:$IT$3,"&gt;"&amp;$E403,安値!$E$3:$IT$3,"&lt;="&amp;$AE403,OFFSET(安値!$E$6:$IT$6,MATCH(TEXT($B403,"0"),TEXT(銘柄管理!$B$6:$B$305,"0"),0)-1,0),"&lt;="&amp;$M403),_xlfn.MINIFS(高値!$E$3:$IT$3,高値!$E$3:$IT$3,"&gt;"&amp;$E403,高値!$E$3:$IT$3,"&lt;="&amp;$AE403,OFFSET(高値!$E$6:$IT$6,MATCH(TEXT($B403,"0"),TEXT(銘柄管理!$B$6:$B$305,"0"),0)-1,0),"&gt;="&amp;$M403)),""))</f>
        <v/>
      </c>
      <c r="AG403" s="600" t="str" cm="1">
        <f t="array" aca="1" ref="AG403" ca="1">IF(OR($B403="",$N403=""),"",IFERROR(IF($C403="売",_xlfn.MINIFS(高値!$E$3:$IT$3,高値!$E$3:$IT$3,"&gt;"&amp;$E403,高値!$E$3:$IT$3,"&lt;="&amp;$AE403,OFFSET(高値!$E$6:$IT$6,MATCH(TEXT($B403,"0"),TEXT(銘柄管理!$B$6:$B$305,"0"),0)-1,0),"&gt;="&amp;$N403),_xlfn.MINIFS(安値!$E$3:$IT$3,安値!$E$3:$IT$3,"&gt;"&amp;$E403,安値!$E$3:$IT$3,"&lt;="&amp;$AE403,OFFSET(安値!$E$6:$IT$6,MATCH(TEXT($B403,"0"),TEXT(銘柄管理!$B$6:$B$305,"0"),0)-1,0),"&lt;="&amp;$N403)),""))</f>
        <v/>
      </c>
      <c r="AH403" s="600" t="str">
        <f>IF(OR($B403="",$M403=""),"",IF(AND(N($AF403)=0,N($AG403)=0),IF(AND(ISNUMBER($H403),$H403&gt;0,IF($C403="売",$H403&gt;=$N403,$H403&lt;=$N403)),"損切確定",IF(AND(ISNUMBER($H403),$H403&gt;0,IF($C403="売",$H403&lt;=$M403,$H403&gt;=$M403)),"利益確定",IF($AE403&lt;=TODAY(),"日数制限","保有中"))),IF(N($AG403)=0,"利益確定",IF(N($AF403)=0,"損切確定",IF($AG403&lt;=$AF403,"損切確定","利益確定")))))</f>
        <v/>
      </c>
      <c r="AI403" s="600" t="str" cm="1">
        <f t="array" ref="AI403">IFERROR(INDEX(始値!$E$6:$IT$305,MATCH(TEXT($B403,"0"),TEXT(銘柄管理!$B$6:$B$305,"0"),0),MATCH($AE403,始値!$E$3:$IT$3,0)),"")</f>
        <v/>
      </c>
      <c r="AJ403" s="608" t="str">
        <f>IF(OR($V403="",$F403="",$G403=""),"",$V403/($F403*$G403))</f>
        <v/>
      </c>
      <c r="AK403" s="600" t="str">
        <f>IF($V403="","",IF($V403&gt;0,"○勝",IF($V403&lt;0,"●負","△引分")))</f>
        <v/>
      </c>
    </row>
    <row r="404" spans="1:37" ht="17.25" customHeight="1">
      <c r="A404" s="622" t="str">
        <f>IF(B404="","",HYPERLINK("https://kabutan.jp/stock/?code="&amp;B404,"株探"))</f>
        <v/>
      </c>
      <c r="D404" s="440" t="str" cm="1">
        <f t="array" ref="D404">_xll.RssMarket(B404, "銘柄名称")</f>
        <v/>
      </c>
      <c r="E404" s="717"/>
      <c r="F404" s="698" t="str" cm="1">
        <f t="array" aca="1" ref="F404" ca="1">IFERROR(_xlfn.LET(_xlpm.r,MATCH(TEXT($B404,"0"),TEXT(銘柄管理!$B$6:$B$305,"0"),0),_xlpm.t,MOD(NOW(),1),_xlpm.c,IF($E404=TODAY(),IF(_xlpm.t&gt;=TIME(15,30,0),NA(),1),IF(MATCH($E404,始値!$E$3:$IT$3,0)=1,1,MATCH($E404,始値!$E$3:$IT$3,0)+1)),_xlpm.v,INDEX(始値!$C$6:$IT$305,_xlpm.r,_xlpm.c),IF(N(_xlpm.v)=0,"",_xlpm.v)),"")</f>
        <v/>
      </c>
      <c r="H404" s="440" t="str" cm="1">
        <f t="array" ref="H404">_xll.RssMarket(B404, "現在値")</f>
        <v/>
      </c>
      <c r="I404" s="440" t="str" cm="1">
        <f t="array" ref="I404">_xll.RssMarket(B404, "出来高加重平均")</f>
        <v/>
      </c>
      <c r="J404" s="704" t="str" cm="1">
        <f t="array" ref="J404">_xll.RssMarket($B404, "前日比")</f>
        <v/>
      </c>
      <c r="K404" s="704" t="str">
        <f>IF(OR(F404="",G404="",H404=""),"",IF(C404="売",(F404-H404)*G404,(H404-F404)*G404))</f>
        <v/>
      </c>
      <c r="L404" s="709" t="str">
        <f>IF(OR(F404="",H404=""),"",IF(C404="売",(F404-H404)/F404,(H404-F404)/F404))</f>
        <v/>
      </c>
      <c r="M404" s="599" t="str">
        <f>IF($F404="","",$F404*IF($C404="売",1-V811設定!$B$4,1+V811設定!$B$4)-MOD($F404*IF($C404="売",1-V811設定!$B$4,1+V811設定!$B$4),IF($F404&lt;=3000,1,IF($F404&lt;=5000,5,IF($F404&lt;=30000,10,IF($F404&lt;=50000,50,IF($F404&lt;=300000,100,500))))))+IF(AND($C404="売",MOD($F404*IF($C404="売",1-V811設定!$B$4,1+V811設定!$B$4),IF($F404&lt;=3000,1,IF($F404&lt;=5000,5,IF($F404&lt;=30000,10,IF($F404&lt;=50000,50,IF($F404&lt;=300000,100,500))))))&gt;0),IF($F404&lt;=3000,1,IF($F404&lt;=5000,5,IF($F404&lt;=30000,10,IF($F404&lt;=50000,50,IF($F404&lt;=300000,100,500))))),0))</f>
      </c>
      <c r="N404" s="599" t="str">
        <f>IF($F404="","",$F404*IF($C404="売",1+V811設定!$B$3,1-V811設定!$B$3)-MOD($F404*IF($C404="売",1+V811設定!$B$3,1-V811設定!$B$3),IF($F404&lt;=3000,1,IF($F404&lt;=5000,5,IF($F404&lt;=30000,10,IF($F404&lt;=50000,50,IF($F404&lt;=300000,100,500))))))+IF(AND($C404="売",MOD($F404*IF($C404="売",1+V811設定!$B$3,1-V811設定!$B$3),IF($F404&lt;=3000,1,IF($F404&lt;=5000,5,IF($F404&lt;=30000,10,IF($F404&lt;=50000,50,IF($F404&lt;=300000,100,500))))))&gt;0),IF($F404&lt;=3000,1,IF($F404&lt;=5000,5,IF($F404&lt;=30000,10,IF($F404&lt;=50000,50,IF($F404&lt;=300000,100,500))))),0))</f>
      </c>
      <c r="O404" s="478" t="str">
        <f>IF(OR($B404="",$F404="",$H404=""),"",IF($S404="✅売却済","―決済済―",IF($C404="売",IF($H404&lt;=$M404,"🟢利確",IF(AND($R404&lt;&gt;"",$H404&gt;=$R404),"🟠TRAIL",IF($H404&gt;=$N404,"🔴損切",IF($W404&gt;=V811設定!$B$6,"⏱時間決済",IF($H404&gt;=$F404*(1+V811設定!$B$3*0.7),"⚠️損切接近","保持継続"))))),IF($H404&gt;=$M404,"🟢利確",IF(AND($R404&lt;&gt;"",$H404&lt;=$R404),"🟠TRAIL",IF($H404&lt;=$N404,"🔴損切",IF($W404&gt;=V811設定!$B$6,"⏱時間決済",IF($H404&lt;=$F404*(1-V811設定!$B$3*0.7),"⚠️損切接近","保持継続"))))))))</f>
      </c>
      <c r="P404" s="445"/>
      <c r="R404" s="440" t="str">
        <f>IF(OR($F404="",$H404="",$N404=""),"",IF($S404="✅売却済","",IF($C404="売",IF($H404&gt;$F404*(1-V811設定!$B$3),$N404,MIN($N404,IF($Q404="",$N404,$Q404*1.03))),IF($H404&lt;$F404*(1+V811設定!$B$3),$N404,MAX($N404,IF($P404="",$N404,$P404*0.97))))))</f>
      </c>
      <c r="S404" s="440" t="str">
        <f>IF(B404="","",IF(T404&lt;&gt;"","✅売却済",IF(OR(H404="",L404=""),"📌保有中",IF(L404&gt;=0.06,"🟢利確推奨",IF(L404&gt;=0.05,"🟡利確直近",IF(L404&gt;=0.045,"🔵トレーリング検討",IF(L404&gt;-0.03,"📌保有中",IF(L404&gt;-0.04,"⚠️損切注意","🔴損切り"))))))))</f>
        <v/>
      </c>
      <c r="T404" s="597"/>
      <c r="U404" s="599"/>
      <c r="V404" s="704" t="str">
        <f>IF(OR(F404="",G404="",U404=""),"",IF(C404="売",(F404-U404)*G404,(U404-F404)*G404))</f>
        <v/>
      </c>
      <c r="W404" s="440" t="str">
        <f>IF(OR($E404="",$B404=""),"",IF($T404&lt;&gt;"",$T404-$E404,TODAY()-$E404)+1)</f>
        <v/>
      </c>
      <c r="X404" s="440" t="str">
        <f>IF(OR($AH404="",$AH404="保有中"),"",$AH404)</f>
        <v/>
      </c>
      <c r="AD404" s="608"/>
      <c r="AE404" s="600" t="str">
        <f>IF($E404="","",WORKDAY($E404,12))</f>
        <v/>
      </c>
      <c r="AF404" s="600" t="str" cm="1">
        <f t="array" aca="1" ref="AF404" ca="1">IF(OR($B404="",$M404=""),"",IFERROR(IF($C404="売",_xlfn.MINIFS(安値!$E$3:$IT$3,安値!$E$3:$IT$3,"&gt;"&amp;$E404,安値!$E$3:$IT$3,"&lt;="&amp;$AE404,OFFSET(安値!$E$6:$IT$6,MATCH(TEXT($B404,"0"),TEXT(銘柄管理!$B$6:$B$305,"0"),0)-1,0),"&lt;="&amp;$M404),_xlfn.MINIFS(高値!$E$3:$IT$3,高値!$E$3:$IT$3,"&gt;"&amp;$E404,高値!$E$3:$IT$3,"&lt;="&amp;$AE404,OFFSET(高値!$E$6:$IT$6,MATCH(TEXT($B404,"0"),TEXT(銘柄管理!$B$6:$B$305,"0"),0)-1,0),"&gt;="&amp;$M404)),""))</f>
        <v/>
      </c>
      <c r="AG404" s="600" t="str" cm="1">
        <f t="array" aca="1" ref="AG404" ca="1">IF(OR($B404="",$N404=""),"",IFERROR(IF($C404="売",_xlfn.MINIFS(高値!$E$3:$IT$3,高値!$E$3:$IT$3,"&gt;"&amp;$E404,高値!$E$3:$IT$3,"&lt;="&amp;$AE404,OFFSET(高値!$E$6:$IT$6,MATCH(TEXT($B404,"0"),TEXT(銘柄管理!$B$6:$B$305,"0"),0)-1,0),"&gt;="&amp;$N404),_xlfn.MINIFS(安値!$E$3:$IT$3,安値!$E$3:$IT$3,"&gt;"&amp;$E404,安値!$E$3:$IT$3,"&lt;="&amp;$AE404,OFFSET(安値!$E$6:$IT$6,MATCH(TEXT($B404,"0"),TEXT(銘柄管理!$B$6:$B$305,"0"),0)-1,0),"&lt;="&amp;$N404)),""))</f>
        <v/>
      </c>
      <c r="AH404" s="600" t="str">
        <f>IF(OR($B404="",$M404=""),"",IF(AND(N($AF404)=0,N($AG404)=0),IF(AND(ISNUMBER($H404),$H404&gt;0,IF($C404="売",$H404&gt;=$N404,$H404&lt;=$N404)),"損切確定",IF(AND(ISNUMBER($H404),$H404&gt;0,IF($C404="売",$H404&lt;=$M404,$H404&gt;=$M404)),"利益確定",IF($AE404&lt;=TODAY(),"日数制限","保有中"))),IF(N($AG404)=0,"利益確定",IF(N($AF404)=0,"損切確定",IF($AG404&lt;=$AF404,"損切確定","利益確定")))))</f>
        <v/>
      </c>
      <c r="AI404" s="600" t="str" cm="1">
        <f t="array" ref="AI404">IFERROR(INDEX(始値!$E$6:$IT$305,MATCH(TEXT($B404,"0"),TEXT(銘柄管理!$B$6:$B$305,"0"),0),MATCH($AE404,始値!$E$3:$IT$3,0)),"")</f>
        <v/>
      </c>
      <c r="AJ404" s="608" t="str">
        <f>IF(OR($V404="",$F404="",$G404=""),"",$V404/($F404*$G404))</f>
        <v/>
      </c>
      <c r="AK404" s="600" t="str">
        <f>IF($V404="","",IF($V404&gt;0,"○勝",IF($V404&lt;0,"●負","△引分")))</f>
        <v/>
      </c>
    </row>
    <row r="405" spans="1:37" ht="17.25" customHeight="1">
      <c r="A405" s="622" t="str">
        <f>IF(B405="","",HYPERLINK("https://kabutan.jp/stock/?code="&amp;B405,"株探"))</f>
        <v/>
      </c>
      <c r="D405" s="440" t="str" cm="1">
        <f t="array" ref="D405">_xll.RssMarket(B405, "銘柄名称")</f>
        <v/>
      </c>
      <c r="E405" s="717"/>
      <c r="F405" s="698" t="str" cm="1">
        <f t="array" aca="1" ref="F405" ca="1">IFERROR(_xlfn.LET(_xlpm.r,MATCH(TEXT($B405,"0"),TEXT(銘柄管理!$B$6:$B$305,"0"),0),_xlpm.t,MOD(NOW(),1),_xlpm.c,IF($E405=TODAY(),IF(_xlpm.t&gt;=TIME(15,30,0),NA(),1),IF(MATCH($E405,始値!$E$3:$IT$3,0)=1,1,MATCH($E405,始値!$E$3:$IT$3,0)+1)),_xlpm.v,INDEX(始値!$C$6:$IT$305,_xlpm.r,_xlpm.c),IF(N(_xlpm.v)=0,"",_xlpm.v)),"")</f>
        <v/>
      </c>
      <c r="H405" s="440" t="str" cm="1">
        <f t="array" ref="H405">_xll.RssMarket(B405, "現在値")</f>
        <v/>
      </c>
      <c r="I405" s="440" t="str" cm="1">
        <f t="array" ref="I405">_xll.RssMarket(B405, "出来高加重平均")</f>
        <v/>
      </c>
      <c r="J405" s="704" t="str" cm="1">
        <f t="array" ref="J405">_xll.RssMarket($B405, "前日比")</f>
        <v/>
      </c>
      <c r="K405" s="704" t="str">
        <f>IF(OR(F405="",G405="",H405=""),"",IF(C405="売",(F405-H405)*G405,(H405-F405)*G405))</f>
        <v/>
      </c>
      <c r="L405" s="709" t="str">
        <f>IF(OR(F405="",H405=""),"",IF(C405="売",(F405-H405)/F405,(H405-F405)/F405))</f>
        <v/>
      </c>
      <c r="M405" s="599" t="str">
        <f>IF($F405="","",$F405*IF($C405="売",1-V811設定!$B$4,1+V811設定!$B$4)-MOD($F405*IF($C405="売",1-V811設定!$B$4,1+V811設定!$B$4),IF($F405&lt;=3000,1,IF($F405&lt;=5000,5,IF($F405&lt;=30000,10,IF($F405&lt;=50000,50,IF($F405&lt;=300000,100,500))))))+IF(AND($C405="売",MOD($F405*IF($C405="売",1-V811設定!$B$4,1+V811設定!$B$4),IF($F405&lt;=3000,1,IF($F405&lt;=5000,5,IF($F405&lt;=30000,10,IF($F405&lt;=50000,50,IF($F405&lt;=300000,100,500))))))&gt;0),IF($F405&lt;=3000,1,IF($F405&lt;=5000,5,IF($F405&lt;=30000,10,IF($F405&lt;=50000,50,IF($F405&lt;=300000,100,500))))),0))</f>
      </c>
      <c r="N405" s="599" t="str">
        <f>IF($F405="","",$F405*IF($C405="売",1+V811設定!$B$3,1-V811設定!$B$3)-MOD($F405*IF($C405="売",1+V811設定!$B$3,1-V811設定!$B$3),IF($F405&lt;=3000,1,IF($F405&lt;=5000,5,IF($F405&lt;=30000,10,IF($F405&lt;=50000,50,IF($F405&lt;=300000,100,500))))))+IF(AND($C405="売",MOD($F405*IF($C405="売",1+V811設定!$B$3,1-V811設定!$B$3),IF($F405&lt;=3000,1,IF($F405&lt;=5000,5,IF($F405&lt;=30000,10,IF($F405&lt;=50000,50,IF($F405&lt;=300000,100,500))))))&gt;0),IF($F405&lt;=3000,1,IF($F405&lt;=5000,5,IF($F405&lt;=30000,10,IF($F405&lt;=50000,50,IF($F405&lt;=300000,100,500))))),0))</f>
      </c>
      <c r="O405" s="478" t="str">
        <f>IF(OR($B405="",$F405="",$H405=""),"",IF($S405="✅売却済","―決済済―",IF($C405="売",IF($H405&lt;=$M405,"🟢利確",IF(AND($R405&lt;&gt;"",$H405&gt;=$R405),"🟠TRAIL",IF($H405&gt;=$N405,"🔴損切",IF($W405&gt;=V811設定!$B$6,"⏱時間決済",IF($H405&gt;=$F405*(1+V811設定!$B$3*0.7),"⚠️損切接近","保持継続"))))),IF($H405&gt;=$M405,"🟢利確",IF(AND($R405&lt;&gt;"",$H405&lt;=$R405),"🟠TRAIL",IF($H405&lt;=$N405,"🔴損切",IF($W405&gt;=V811設定!$B$6,"⏱時間決済",IF($H405&lt;=$F405*(1-V811設定!$B$3*0.7),"⚠️損切接近","保持継続"))))))))</f>
      </c>
      <c r="P405" s="445"/>
      <c r="R405" s="440" t="str">
        <f>IF(OR($F405="",$H405="",$N405=""),"",IF($S405="✅売却済","",IF($C405="売",IF($H405&gt;$F405*(1-V811設定!$B$3),$N405,MIN($N405,IF($Q405="",$N405,$Q405*1.03))),IF($H405&lt;$F405*(1+V811設定!$B$3),$N405,MAX($N405,IF($P405="",$N405,$P405*0.97))))))</f>
      </c>
      <c r="S405" s="440" t="str">
        <f>IF(B405="","",IF(T405&lt;&gt;"","✅売却済",IF(OR(H405="",L405=""),"📌保有中",IF(L405&gt;=0.06,"🟢利確推奨",IF(L405&gt;=0.05,"🟡利確直近",IF(L405&gt;=0.045,"🔵トレーリング検討",IF(L405&gt;-0.03,"📌保有中",IF(L405&gt;-0.04,"⚠️損切注意","🔴損切り"))))))))</f>
        <v/>
      </c>
      <c r="T405" s="597"/>
      <c r="U405" s="599"/>
      <c r="V405" s="704" t="str">
        <f>IF(OR(F405="",G405="",U405=""),"",IF(C405="売",(F405-U405)*G405,(U405-F405)*G405))</f>
        <v/>
      </c>
      <c r="W405" s="440" t="str">
        <f>IF(OR($E405="",$B405=""),"",IF($T405&lt;&gt;"",$T405-$E405,TODAY()-$E405)+1)</f>
        <v/>
      </c>
      <c r="X405" s="440" t="str">
        <f>IF(OR($AH405="",$AH405="保有中"),"",$AH405)</f>
        <v/>
      </c>
      <c r="AD405" s="608"/>
      <c r="AE405" s="600" t="str">
        <f>IF($E405="","",WORKDAY($E405,12))</f>
        <v/>
      </c>
      <c r="AF405" s="600" t="str" cm="1">
        <f t="array" aca="1" ref="AF405" ca="1">IF(OR($B405="",$M405=""),"",IFERROR(IF($C405="売",_xlfn.MINIFS(安値!$E$3:$IT$3,安値!$E$3:$IT$3,"&gt;"&amp;$E405,安値!$E$3:$IT$3,"&lt;="&amp;$AE405,OFFSET(安値!$E$6:$IT$6,MATCH(TEXT($B405,"0"),TEXT(銘柄管理!$B$6:$B$305,"0"),0)-1,0),"&lt;="&amp;$M405),_xlfn.MINIFS(高値!$E$3:$IT$3,高値!$E$3:$IT$3,"&gt;"&amp;$E405,高値!$E$3:$IT$3,"&lt;="&amp;$AE405,OFFSET(高値!$E$6:$IT$6,MATCH(TEXT($B405,"0"),TEXT(銘柄管理!$B$6:$B$305,"0"),0)-1,0),"&gt;="&amp;$M405)),""))</f>
        <v/>
      </c>
      <c r="AG405" s="600" t="str" cm="1">
        <f t="array" aca="1" ref="AG405" ca="1">IF(OR($B405="",$N405=""),"",IFERROR(IF($C405="売",_xlfn.MINIFS(高値!$E$3:$IT$3,高値!$E$3:$IT$3,"&gt;"&amp;$E405,高値!$E$3:$IT$3,"&lt;="&amp;$AE405,OFFSET(高値!$E$6:$IT$6,MATCH(TEXT($B405,"0"),TEXT(銘柄管理!$B$6:$B$305,"0"),0)-1,0),"&gt;="&amp;$N405),_xlfn.MINIFS(安値!$E$3:$IT$3,安値!$E$3:$IT$3,"&gt;"&amp;$E405,安値!$E$3:$IT$3,"&lt;="&amp;$AE405,OFFSET(安値!$E$6:$IT$6,MATCH(TEXT($B405,"0"),TEXT(銘柄管理!$B$6:$B$305,"0"),0)-1,0),"&lt;="&amp;$N405)),""))</f>
        <v/>
      </c>
      <c r="AH405" s="600" t="str">
        <f>IF(OR($B405="",$M405=""),"",IF(AND(N($AF405)=0,N($AG405)=0),IF(AND(ISNUMBER($H405),$H405&gt;0,IF($C405="売",$H405&gt;=$N405,$H405&lt;=$N405)),"損切確定",IF(AND(ISNUMBER($H405),$H405&gt;0,IF($C405="売",$H405&lt;=$M405,$H405&gt;=$M405)),"利益確定",IF($AE405&lt;=TODAY(),"日数制限","保有中"))),IF(N($AG405)=0,"利益確定",IF(N($AF405)=0,"損切確定",IF($AG405&lt;=$AF405,"損切確定","利益確定")))))</f>
        <v/>
      </c>
      <c r="AI405" s="600" t="str" cm="1">
        <f t="array" ref="AI405">IFERROR(INDEX(始値!$E$6:$IT$305,MATCH(TEXT($B405,"0"),TEXT(銘柄管理!$B$6:$B$305,"0"),0),MATCH($AE405,始値!$E$3:$IT$3,0)),"")</f>
        <v/>
      </c>
      <c r="AJ405" s="608" t="str">
        <f>IF(OR($V405="",$F405="",$G405=""),"",$V405/($F405*$G405))</f>
        <v/>
      </c>
      <c r="AK405" s="600" t="str">
        <f>IF($V405="","",IF($V405&gt;0,"○勝",IF($V405&lt;0,"●負","△引分")))</f>
        <v/>
      </c>
    </row>
    <row r="406" spans="1:37" ht="17.25" customHeight="1">
      <c r="A406" s="622" t="str">
        <f>IF(B406="","",HYPERLINK("https://kabutan.jp/stock/?code="&amp;B406,"株探"))</f>
        <v/>
      </c>
      <c r="D406" s="440" t="str" cm="1">
        <f t="array" ref="D406">_xll.RssMarket(B406, "銘柄名称")</f>
        <v/>
      </c>
      <c r="E406" s="717"/>
      <c r="F406" s="698" t="str" cm="1">
        <f t="array" aca="1" ref="F406" ca="1">IFERROR(_xlfn.LET(_xlpm.r,MATCH(TEXT($B406,"0"),TEXT(銘柄管理!$B$6:$B$305,"0"),0),_xlpm.t,MOD(NOW(),1),_xlpm.c,IF($E406=TODAY(),IF(_xlpm.t&gt;=TIME(15,30,0),NA(),1),IF(MATCH($E406,始値!$E$3:$IT$3,0)=1,1,MATCH($E406,始値!$E$3:$IT$3,0)+1)),_xlpm.v,INDEX(始値!$C$6:$IT$305,_xlpm.r,_xlpm.c),IF(N(_xlpm.v)=0,"",_xlpm.v)),"")</f>
        <v/>
      </c>
      <c r="H406" s="440" t="str" cm="1">
        <f t="array" ref="H406">_xll.RssMarket(B406, "現在値")</f>
        <v/>
      </c>
      <c r="I406" s="440" t="str" cm="1">
        <f t="array" ref="I406">_xll.RssMarket(B406, "出来高加重平均")</f>
        <v/>
      </c>
      <c r="J406" s="704" t="str" cm="1">
        <f t="array" ref="J406">_xll.RssMarket($B406, "前日比")</f>
        <v/>
      </c>
      <c r="K406" s="704" t="str">
        <f>IF(OR(F406="",G406="",H406=""),"",IF(C406="売",(F406-H406)*G406,(H406-F406)*G406))</f>
        <v/>
      </c>
      <c r="L406" s="709" t="str">
        <f>IF(OR(F406="",H406=""),"",IF(C406="売",(F406-H406)/F406,(H406-F406)/F406))</f>
        <v/>
      </c>
      <c r="M406" s="599" t="str">
        <f>IF($F406="","",$F406*IF($C406="売",1-V811設定!$B$4,1+V811設定!$B$4)-MOD($F406*IF($C406="売",1-V811設定!$B$4,1+V811設定!$B$4),IF($F406&lt;=3000,1,IF($F406&lt;=5000,5,IF($F406&lt;=30000,10,IF($F406&lt;=50000,50,IF($F406&lt;=300000,100,500))))))+IF(AND($C406="売",MOD($F406*IF($C406="売",1-V811設定!$B$4,1+V811設定!$B$4),IF($F406&lt;=3000,1,IF($F406&lt;=5000,5,IF($F406&lt;=30000,10,IF($F406&lt;=50000,50,IF($F406&lt;=300000,100,500))))))&gt;0),IF($F406&lt;=3000,1,IF($F406&lt;=5000,5,IF($F406&lt;=30000,10,IF($F406&lt;=50000,50,IF($F406&lt;=300000,100,500))))),0))</f>
      </c>
      <c r="N406" s="599" t="str">
        <f>IF($F406="","",$F406*IF($C406="売",1+V811設定!$B$3,1-V811設定!$B$3)-MOD($F406*IF($C406="売",1+V811設定!$B$3,1-V811設定!$B$3),IF($F406&lt;=3000,1,IF($F406&lt;=5000,5,IF($F406&lt;=30000,10,IF($F406&lt;=50000,50,IF($F406&lt;=300000,100,500))))))+IF(AND($C406="売",MOD($F406*IF($C406="売",1+V811設定!$B$3,1-V811設定!$B$3),IF($F406&lt;=3000,1,IF($F406&lt;=5000,5,IF($F406&lt;=30000,10,IF($F406&lt;=50000,50,IF($F406&lt;=300000,100,500))))))&gt;0),IF($F406&lt;=3000,1,IF($F406&lt;=5000,5,IF($F406&lt;=30000,10,IF($F406&lt;=50000,50,IF($F406&lt;=300000,100,500))))),0))</f>
      </c>
      <c r="O406" s="478" t="str">
        <f>IF(OR($B406="",$F406="",$H406=""),"",IF($S406="✅売却済","―決済済―",IF($C406="売",IF($H406&lt;=$M406,"🟢利確",IF(AND($R406&lt;&gt;"",$H406&gt;=$R406),"🟠TRAIL",IF($H406&gt;=$N406,"🔴損切",IF($W406&gt;=V811設定!$B$6,"⏱時間決済",IF($H406&gt;=$F406*(1+V811設定!$B$3*0.7),"⚠️損切接近","保持継続"))))),IF($H406&gt;=$M406,"🟢利確",IF(AND($R406&lt;&gt;"",$H406&lt;=$R406),"🟠TRAIL",IF($H406&lt;=$N406,"🔴損切",IF($W406&gt;=V811設定!$B$6,"⏱時間決済",IF($H406&lt;=$F406*(1-V811設定!$B$3*0.7),"⚠️損切接近","保持継続"))))))))</f>
      </c>
      <c r="P406" s="445"/>
      <c r="R406" s="440" t="str">
        <f>IF(OR($F406="",$H406="",$N406=""),"",IF($S406="✅売却済","",IF($C406="売",IF($H406&gt;$F406*(1-V811設定!$B$3),$N406,MIN($N406,IF($Q406="",$N406,$Q406*1.03))),IF($H406&lt;$F406*(1+V811設定!$B$3),$N406,MAX($N406,IF($P406="",$N406,$P406*0.97))))))</f>
      </c>
      <c r="S406" s="440" t="str">
        <f>IF(B406="","",IF(T406&lt;&gt;"","✅売却済",IF(OR(H406="",L406=""),"📌保有中",IF(L406&gt;=0.06,"🟢利確推奨",IF(L406&gt;=0.05,"🟡利確直近",IF(L406&gt;=0.045,"🔵トレーリング検討",IF(L406&gt;-0.03,"📌保有中",IF(L406&gt;-0.04,"⚠️損切注意","🔴損切り"))))))))</f>
        <v/>
      </c>
      <c r="T406" s="597"/>
      <c r="U406" s="599"/>
      <c r="V406" s="704" t="str">
        <f>IF(OR(F406="",G406="",U406=""),"",IF(C406="売",(F406-U406)*G406,(U406-F406)*G406))</f>
        <v/>
      </c>
      <c r="W406" s="440" t="str">
        <f>IF(OR($E406="",$B406=""),"",IF($T406&lt;&gt;"",$T406-$E406,TODAY()-$E406)+1)</f>
        <v/>
      </c>
      <c r="X406" s="440" t="str">
        <f>IF(OR($AH406="",$AH406="保有中"),"",$AH406)</f>
        <v/>
      </c>
      <c r="AD406" s="608"/>
      <c r="AE406" s="600" t="str">
        <f>IF($E406="","",WORKDAY($E406,12))</f>
        <v/>
      </c>
      <c r="AF406" s="600" t="str" cm="1">
        <f t="array" aca="1" ref="AF406" ca="1">IF(OR($B406="",$M406=""),"",IFERROR(IF($C406="売",_xlfn.MINIFS(安値!$E$3:$IT$3,安値!$E$3:$IT$3,"&gt;"&amp;$E406,安値!$E$3:$IT$3,"&lt;="&amp;$AE406,OFFSET(安値!$E$6:$IT$6,MATCH(TEXT($B406,"0"),TEXT(銘柄管理!$B$6:$B$305,"0"),0)-1,0),"&lt;="&amp;$M406),_xlfn.MINIFS(高値!$E$3:$IT$3,高値!$E$3:$IT$3,"&gt;"&amp;$E406,高値!$E$3:$IT$3,"&lt;="&amp;$AE406,OFFSET(高値!$E$6:$IT$6,MATCH(TEXT($B406,"0"),TEXT(銘柄管理!$B$6:$B$305,"0"),0)-1,0),"&gt;="&amp;$M406)),""))</f>
        <v/>
      </c>
      <c r="AG406" s="600" t="str" cm="1">
        <f t="array" aca="1" ref="AG406" ca="1">IF(OR($B406="",$N406=""),"",IFERROR(IF($C406="売",_xlfn.MINIFS(高値!$E$3:$IT$3,高値!$E$3:$IT$3,"&gt;"&amp;$E406,高値!$E$3:$IT$3,"&lt;="&amp;$AE406,OFFSET(高値!$E$6:$IT$6,MATCH(TEXT($B406,"0"),TEXT(銘柄管理!$B$6:$B$305,"0"),0)-1,0),"&gt;="&amp;$N406),_xlfn.MINIFS(安値!$E$3:$IT$3,安値!$E$3:$IT$3,"&gt;"&amp;$E406,安値!$E$3:$IT$3,"&lt;="&amp;$AE406,OFFSET(安値!$E$6:$IT$6,MATCH(TEXT($B406,"0"),TEXT(銘柄管理!$B$6:$B$305,"0"),0)-1,0),"&lt;="&amp;$N406)),""))</f>
        <v/>
      </c>
      <c r="AH406" s="600" t="str">
        <f>IF(OR($B406="",$M406=""),"",IF(AND(N($AF406)=0,N($AG406)=0),IF(AND(ISNUMBER($H406),$H406&gt;0,IF($C406="売",$H406&gt;=$N406,$H406&lt;=$N406)),"損切確定",IF(AND(ISNUMBER($H406),$H406&gt;0,IF($C406="売",$H406&lt;=$M406,$H406&gt;=$M406)),"利益確定",IF($AE406&lt;=TODAY(),"日数制限","保有中"))),IF(N($AG406)=0,"利益確定",IF(N($AF406)=0,"損切確定",IF($AG406&lt;=$AF406,"損切確定","利益確定")))))</f>
        <v/>
      </c>
      <c r="AI406" s="600" t="str" cm="1">
        <f t="array" ref="AI406">IFERROR(INDEX(始値!$E$6:$IT$305,MATCH(TEXT($B406,"0"),TEXT(銘柄管理!$B$6:$B$305,"0"),0),MATCH($AE406,始値!$E$3:$IT$3,0)),"")</f>
        <v/>
      </c>
      <c r="AJ406" s="608" t="str">
        <f>IF(OR($V406="",$F406="",$G406=""),"",$V406/($F406*$G406))</f>
        <v/>
      </c>
      <c r="AK406" s="600" t="str">
        <f>IF($V406="","",IF($V406&gt;0,"○勝",IF($V406&lt;0,"●負","△引分")))</f>
        <v/>
      </c>
    </row>
    <row r="407" spans="1:37" ht="17.25" customHeight="1">
      <c r="A407" s="622" t="str">
        <f>IF(B407="","",HYPERLINK("https://kabutan.jp/stock/?code="&amp;B407,"株探"))</f>
        <v/>
      </c>
      <c r="D407" s="440" t="str" cm="1">
        <f t="array" ref="D407">_xll.RssMarket(B407, "銘柄名称")</f>
        <v/>
      </c>
      <c r="E407" s="717"/>
      <c r="F407" s="698" t="str" cm="1">
        <f t="array" aca="1" ref="F407" ca="1">IFERROR(_xlfn.LET(_xlpm.r,MATCH(TEXT($B407,"0"),TEXT(銘柄管理!$B$6:$B$305,"0"),0),_xlpm.t,MOD(NOW(),1),_xlpm.c,IF($E407=TODAY(),IF(_xlpm.t&gt;=TIME(15,30,0),NA(),1),IF(MATCH($E407,始値!$E$3:$IT$3,0)=1,1,MATCH($E407,始値!$E$3:$IT$3,0)+1)),_xlpm.v,INDEX(始値!$C$6:$IT$305,_xlpm.r,_xlpm.c),IF(N(_xlpm.v)=0,"",_xlpm.v)),"")</f>
        <v/>
      </c>
      <c r="H407" s="440" t="str" cm="1">
        <f t="array" ref="H407">_xll.RssMarket(B407, "現在値")</f>
        <v/>
      </c>
      <c r="I407" s="440" t="str" cm="1">
        <f t="array" ref="I407">_xll.RssMarket(B407, "出来高加重平均")</f>
        <v/>
      </c>
      <c r="J407" s="704" t="str" cm="1">
        <f t="array" ref="J407">_xll.RssMarket($B407, "前日比")</f>
        <v/>
      </c>
      <c r="K407" s="704" t="str">
        <f>IF(OR(F407="",G407="",H407=""),"",IF(C407="売",(F407-H407)*G407,(H407-F407)*G407))</f>
        <v/>
      </c>
      <c r="L407" s="709" t="str">
        <f>IF(OR(F407="",H407=""),"",IF(C407="売",(F407-H407)/F407,(H407-F407)/F407))</f>
        <v/>
      </c>
      <c r="M407" s="599" t="str">
        <f>IF($F407="","",$F407*IF($C407="売",1-V811設定!$B$4,1+V811設定!$B$4)-MOD($F407*IF($C407="売",1-V811設定!$B$4,1+V811設定!$B$4),IF($F407&lt;=3000,1,IF($F407&lt;=5000,5,IF($F407&lt;=30000,10,IF($F407&lt;=50000,50,IF($F407&lt;=300000,100,500))))))+IF(AND($C407="売",MOD($F407*IF($C407="売",1-V811設定!$B$4,1+V811設定!$B$4),IF($F407&lt;=3000,1,IF($F407&lt;=5000,5,IF($F407&lt;=30000,10,IF($F407&lt;=50000,50,IF($F407&lt;=300000,100,500))))))&gt;0),IF($F407&lt;=3000,1,IF($F407&lt;=5000,5,IF($F407&lt;=30000,10,IF($F407&lt;=50000,50,IF($F407&lt;=300000,100,500))))),0))</f>
      </c>
      <c r="N407" s="599" t="str">
        <f>IF($F407="","",$F407*IF($C407="売",1+V811設定!$B$3,1-V811設定!$B$3)-MOD($F407*IF($C407="売",1+V811設定!$B$3,1-V811設定!$B$3),IF($F407&lt;=3000,1,IF($F407&lt;=5000,5,IF($F407&lt;=30000,10,IF($F407&lt;=50000,50,IF($F407&lt;=300000,100,500))))))+IF(AND($C407="売",MOD($F407*IF($C407="売",1+V811設定!$B$3,1-V811設定!$B$3),IF($F407&lt;=3000,1,IF($F407&lt;=5000,5,IF($F407&lt;=30000,10,IF($F407&lt;=50000,50,IF($F407&lt;=300000,100,500))))))&gt;0),IF($F407&lt;=3000,1,IF($F407&lt;=5000,5,IF($F407&lt;=30000,10,IF($F407&lt;=50000,50,IF($F407&lt;=300000,100,500))))),0))</f>
      </c>
      <c r="O407" s="478" t="str">
        <f>IF(OR($B407="",$F407="",$H407=""),"",IF($S407="✅売却済","―決済済―",IF($C407="売",IF($H407&lt;=$M407,"🟢利確",IF(AND($R407&lt;&gt;"",$H407&gt;=$R407),"🟠TRAIL",IF($H407&gt;=$N407,"🔴損切",IF($W407&gt;=V811設定!$B$6,"⏱時間決済",IF($H407&gt;=$F407*(1+V811設定!$B$3*0.7),"⚠️損切接近","保持継続"))))),IF($H407&gt;=$M407,"🟢利確",IF(AND($R407&lt;&gt;"",$H407&lt;=$R407),"🟠TRAIL",IF($H407&lt;=$N407,"🔴損切",IF($W407&gt;=V811設定!$B$6,"⏱時間決済",IF($H407&lt;=$F407*(1-V811設定!$B$3*0.7),"⚠️損切接近","保持継続"))))))))</f>
      </c>
      <c r="P407" s="445"/>
      <c r="R407" s="440" t="str">
        <f>IF(OR($F407="",$H407="",$N407=""),"",IF($S407="✅売却済","",IF($C407="売",IF($H407&gt;$F407*(1-V811設定!$B$3),$N407,MIN($N407,IF($Q407="",$N407,$Q407*1.03))),IF($H407&lt;$F407*(1+V811設定!$B$3),$N407,MAX($N407,IF($P407="",$N407,$P407*0.97))))))</f>
      </c>
      <c r="S407" s="440" t="str">
        <f>IF(B407="","",IF(T407&lt;&gt;"","✅売却済",IF(OR(H407="",L407=""),"📌保有中",IF(L407&gt;=0.06,"🟢利確推奨",IF(L407&gt;=0.05,"🟡利確直近",IF(L407&gt;=0.045,"🔵トレーリング検討",IF(L407&gt;-0.03,"📌保有中",IF(L407&gt;-0.04,"⚠️損切注意","🔴損切り"))))))))</f>
        <v/>
      </c>
      <c r="T407" s="597"/>
      <c r="U407" s="599"/>
      <c r="V407" s="704" t="str">
        <f>IF(OR(F407="",G407="",U407=""),"",IF(C407="売",(F407-U407)*G407,(U407-F407)*G407))</f>
        <v/>
      </c>
      <c r="W407" s="440" t="str">
        <f>IF(OR($E407="",$B407=""),"",IF($T407&lt;&gt;"",$T407-$E407,TODAY()-$E407)+1)</f>
        <v/>
      </c>
      <c r="X407" s="440" t="str">
        <f>IF(OR($AH407="",$AH407="保有中"),"",$AH407)</f>
        <v/>
      </c>
      <c r="AD407" s="608"/>
      <c r="AE407" s="600" t="str">
        <f>IF($E407="","",WORKDAY($E407,12))</f>
        <v/>
      </c>
      <c r="AF407" s="600" t="str" cm="1">
        <f t="array" aca="1" ref="AF407" ca="1">IF(OR($B407="",$M407=""),"",IFERROR(IF($C407="売",_xlfn.MINIFS(安値!$E$3:$IT$3,安値!$E$3:$IT$3,"&gt;"&amp;$E407,安値!$E$3:$IT$3,"&lt;="&amp;$AE407,OFFSET(安値!$E$6:$IT$6,MATCH(TEXT($B407,"0"),TEXT(銘柄管理!$B$6:$B$305,"0"),0)-1,0),"&lt;="&amp;$M407),_xlfn.MINIFS(高値!$E$3:$IT$3,高値!$E$3:$IT$3,"&gt;"&amp;$E407,高値!$E$3:$IT$3,"&lt;="&amp;$AE407,OFFSET(高値!$E$6:$IT$6,MATCH(TEXT($B407,"0"),TEXT(銘柄管理!$B$6:$B$305,"0"),0)-1,0),"&gt;="&amp;$M407)),""))</f>
        <v/>
      </c>
      <c r="AG407" s="600" t="str" cm="1">
        <f t="array" aca="1" ref="AG407" ca="1">IF(OR($B407="",$N407=""),"",IFERROR(IF($C407="売",_xlfn.MINIFS(高値!$E$3:$IT$3,高値!$E$3:$IT$3,"&gt;"&amp;$E407,高値!$E$3:$IT$3,"&lt;="&amp;$AE407,OFFSET(高値!$E$6:$IT$6,MATCH(TEXT($B407,"0"),TEXT(銘柄管理!$B$6:$B$305,"0"),0)-1,0),"&gt;="&amp;$N407),_xlfn.MINIFS(安値!$E$3:$IT$3,安値!$E$3:$IT$3,"&gt;"&amp;$E407,安値!$E$3:$IT$3,"&lt;="&amp;$AE407,OFFSET(安値!$E$6:$IT$6,MATCH(TEXT($B407,"0"),TEXT(銘柄管理!$B$6:$B$305,"0"),0)-1,0),"&lt;="&amp;$N407)),""))</f>
        <v/>
      </c>
      <c r="AH407" s="600" t="str">
        <f>IF(OR($B407="",$M407=""),"",IF(AND(N($AF407)=0,N($AG407)=0),IF(AND(ISNUMBER($H407),$H407&gt;0,IF($C407="売",$H407&gt;=$N407,$H407&lt;=$N407)),"損切確定",IF(AND(ISNUMBER($H407),$H407&gt;0,IF($C407="売",$H407&lt;=$M407,$H407&gt;=$M407)),"利益確定",IF($AE407&lt;=TODAY(),"日数制限","保有中"))),IF(N($AG407)=0,"利益確定",IF(N($AF407)=0,"損切確定",IF($AG407&lt;=$AF407,"損切確定","利益確定")))))</f>
        <v/>
      </c>
      <c r="AI407" s="600" t="str" cm="1">
        <f t="array" ref="AI407">IFERROR(INDEX(始値!$E$6:$IT$305,MATCH(TEXT($B407,"0"),TEXT(銘柄管理!$B$6:$B$305,"0"),0),MATCH($AE407,始値!$E$3:$IT$3,0)),"")</f>
        <v/>
      </c>
      <c r="AJ407" s="608" t="str">
        <f>IF(OR($V407="",$F407="",$G407=""),"",$V407/($F407*$G407))</f>
        <v/>
      </c>
      <c r="AK407" s="600" t="str">
        <f>IF($V407="","",IF($V407&gt;0,"○勝",IF($V407&lt;0,"●負","△引分")))</f>
        <v/>
      </c>
    </row>
    <row r="408" spans="1:37" ht="17.25" customHeight="1">
      <c r="A408" s="622" t="str">
        <f>IF(B408="","",HYPERLINK("https://kabutan.jp/stock/?code="&amp;B408,"株探"))</f>
        <v/>
      </c>
      <c r="D408" s="440" t="str" cm="1">
        <f t="array" ref="D408">_xll.RssMarket(B408, "銘柄名称")</f>
        <v/>
      </c>
      <c r="E408" s="717"/>
      <c r="F408" s="698" t="str" cm="1">
        <f t="array" aca="1" ref="F408" ca="1">IFERROR(_xlfn.LET(_xlpm.r,MATCH(TEXT($B408,"0"),TEXT(銘柄管理!$B$6:$B$305,"0"),0),_xlpm.t,MOD(NOW(),1),_xlpm.c,IF($E408=TODAY(),IF(_xlpm.t&gt;=TIME(15,30,0),NA(),1),IF(MATCH($E408,始値!$E$3:$IT$3,0)=1,1,MATCH($E408,始値!$E$3:$IT$3,0)+1)),_xlpm.v,INDEX(始値!$C$6:$IT$305,_xlpm.r,_xlpm.c),IF(N(_xlpm.v)=0,"",_xlpm.v)),"")</f>
        <v/>
      </c>
      <c r="H408" s="440" t="str" cm="1">
        <f t="array" ref="H408">_xll.RssMarket(B408, "現在値")</f>
        <v/>
      </c>
      <c r="I408" s="440" t="str" cm="1">
        <f t="array" ref="I408">_xll.RssMarket(B408, "出来高加重平均")</f>
        <v/>
      </c>
      <c r="J408" s="704" t="str" cm="1">
        <f t="array" ref="J408">_xll.RssMarket($B408, "前日比")</f>
        <v/>
      </c>
      <c r="K408" s="704" t="str">
        <f>IF(OR(F408="",G408="",H408=""),"",IF(C408="売",(F408-H408)*G408,(H408-F408)*G408))</f>
        <v/>
      </c>
      <c r="L408" s="709" t="str">
        <f>IF(OR(F408="",H408=""),"",IF(C408="売",(F408-H408)/F408,(H408-F408)/F408))</f>
        <v/>
      </c>
      <c r="M408" s="599" t="str">
        <f>IF($F408="","",$F408*IF($C408="売",1-V811設定!$B$4,1+V811設定!$B$4)-MOD($F408*IF($C408="売",1-V811設定!$B$4,1+V811設定!$B$4),IF($F408&lt;=3000,1,IF($F408&lt;=5000,5,IF($F408&lt;=30000,10,IF($F408&lt;=50000,50,IF($F408&lt;=300000,100,500))))))+IF(AND($C408="売",MOD($F408*IF($C408="売",1-V811設定!$B$4,1+V811設定!$B$4),IF($F408&lt;=3000,1,IF($F408&lt;=5000,5,IF($F408&lt;=30000,10,IF($F408&lt;=50000,50,IF($F408&lt;=300000,100,500))))))&gt;0),IF($F408&lt;=3000,1,IF($F408&lt;=5000,5,IF($F408&lt;=30000,10,IF($F408&lt;=50000,50,IF($F408&lt;=300000,100,500))))),0))</f>
      </c>
      <c r="N408" s="599" t="str">
        <f>IF($F408="","",$F408*IF($C408="売",1+V811設定!$B$3,1-V811設定!$B$3)-MOD($F408*IF($C408="売",1+V811設定!$B$3,1-V811設定!$B$3),IF($F408&lt;=3000,1,IF($F408&lt;=5000,5,IF($F408&lt;=30000,10,IF($F408&lt;=50000,50,IF($F408&lt;=300000,100,500))))))+IF(AND($C408="売",MOD($F408*IF($C408="売",1+V811設定!$B$3,1-V811設定!$B$3),IF($F408&lt;=3000,1,IF($F408&lt;=5000,5,IF($F408&lt;=30000,10,IF($F408&lt;=50000,50,IF($F408&lt;=300000,100,500))))))&gt;0),IF($F408&lt;=3000,1,IF($F408&lt;=5000,5,IF($F408&lt;=30000,10,IF($F408&lt;=50000,50,IF($F408&lt;=300000,100,500))))),0))</f>
      </c>
      <c r="O408" s="478" t="str">
        <f>IF(OR($B408="",$F408="",$H408=""),"",IF($S408="✅売却済","―決済済―",IF($C408="売",IF($H408&lt;=$M408,"🟢利確",IF(AND($R408&lt;&gt;"",$H408&gt;=$R408),"🟠TRAIL",IF($H408&gt;=$N408,"🔴損切",IF($W408&gt;=V811設定!$B$6,"⏱時間決済",IF($H408&gt;=$F408*(1+V811設定!$B$3*0.7),"⚠️損切接近","保持継続"))))),IF($H408&gt;=$M408,"🟢利確",IF(AND($R408&lt;&gt;"",$H408&lt;=$R408),"🟠TRAIL",IF($H408&lt;=$N408,"🔴損切",IF($W408&gt;=V811設定!$B$6,"⏱時間決済",IF($H408&lt;=$F408*(1-V811設定!$B$3*0.7),"⚠️損切接近","保持継続"))))))))</f>
      </c>
      <c r="P408" s="445"/>
      <c r="R408" s="440" t="str">
        <f>IF(OR($F408="",$H408="",$N408=""),"",IF($S408="✅売却済","",IF($C408="売",IF($H408&gt;$F408*(1-V811設定!$B$3),$N408,MIN($N408,IF($Q408="",$N408,$Q408*1.03))),IF($H408&lt;$F408*(1+V811設定!$B$3),$N408,MAX($N408,IF($P408="",$N408,$P408*0.97))))))</f>
      </c>
      <c r="S408" s="440" t="str">
        <f>IF(B408="","",IF(T408&lt;&gt;"","✅売却済",IF(OR(H408="",L408=""),"📌保有中",IF(L408&gt;=0.06,"🟢利確推奨",IF(L408&gt;=0.05,"🟡利確直近",IF(L408&gt;=0.045,"🔵トレーリング検討",IF(L408&gt;-0.03,"📌保有中",IF(L408&gt;-0.04,"⚠️損切注意","🔴損切り"))))))))</f>
        <v/>
      </c>
      <c r="T408" s="597"/>
      <c r="U408" s="599"/>
      <c r="V408" s="704" t="str">
        <f>IF(OR(F408="",G408="",U408=""),"",IF(C408="売",(F408-U408)*G408,(U408-F408)*G408))</f>
        <v/>
      </c>
      <c r="W408" s="440" t="str">
        <f>IF(OR($E408="",$B408=""),"",IF($T408&lt;&gt;"",$T408-$E408,TODAY()-$E408)+1)</f>
        <v/>
      </c>
      <c r="X408" s="440" t="str">
        <f>IF(OR($AH408="",$AH408="保有中"),"",$AH408)</f>
        <v/>
      </c>
      <c r="AD408" s="608"/>
      <c r="AE408" s="600" t="str">
        <f>IF($E408="","",WORKDAY($E408,12))</f>
        <v/>
      </c>
      <c r="AF408" s="600" t="str" cm="1">
        <f t="array" aca="1" ref="AF408" ca="1">IF(OR($B408="",$M408=""),"",IFERROR(IF($C408="売",_xlfn.MINIFS(安値!$E$3:$IT$3,安値!$E$3:$IT$3,"&gt;"&amp;$E408,安値!$E$3:$IT$3,"&lt;="&amp;$AE408,OFFSET(安値!$E$6:$IT$6,MATCH(TEXT($B408,"0"),TEXT(銘柄管理!$B$6:$B$305,"0"),0)-1,0),"&lt;="&amp;$M408),_xlfn.MINIFS(高値!$E$3:$IT$3,高値!$E$3:$IT$3,"&gt;"&amp;$E408,高値!$E$3:$IT$3,"&lt;="&amp;$AE408,OFFSET(高値!$E$6:$IT$6,MATCH(TEXT($B408,"0"),TEXT(銘柄管理!$B$6:$B$305,"0"),0)-1,0),"&gt;="&amp;$M408)),""))</f>
        <v/>
      </c>
      <c r="AG408" s="600" t="str" cm="1">
        <f t="array" aca="1" ref="AG408" ca="1">IF(OR($B408="",$N408=""),"",IFERROR(IF($C408="売",_xlfn.MINIFS(高値!$E$3:$IT$3,高値!$E$3:$IT$3,"&gt;"&amp;$E408,高値!$E$3:$IT$3,"&lt;="&amp;$AE408,OFFSET(高値!$E$6:$IT$6,MATCH(TEXT($B408,"0"),TEXT(銘柄管理!$B$6:$B$305,"0"),0)-1,0),"&gt;="&amp;$N408),_xlfn.MINIFS(安値!$E$3:$IT$3,安値!$E$3:$IT$3,"&gt;"&amp;$E408,安値!$E$3:$IT$3,"&lt;="&amp;$AE408,OFFSET(安値!$E$6:$IT$6,MATCH(TEXT($B408,"0"),TEXT(銘柄管理!$B$6:$B$305,"0"),0)-1,0),"&lt;="&amp;$N408)),""))</f>
        <v/>
      </c>
      <c r="AH408" s="600" t="str">
        <f>IF(OR($B408="",$M408=""),"",IF(AND(N($AF408)=0,N($AG408)=0),IF(AND(ISNUMBER($H408),$H408&gt;0,IF($C408="売",$H408&gt;=$N408,$H408&lt;=$N408)),"損切確定",IF(AND(ISNUMBER($H408),$H408&gt;0,IF($C408="売",$H408&lt;=$M408,$H408&gt;=$M408)),"利益確定",IF($AE408&lt;=TODAY(),"日数制限","保有中"))),IF(N($AG408)=0,"利益確定",IF(N($AF408)=0,"損切確定",IF($AG408&lt;=$AF408,"損切確定","利益確定")))))</f>
        <v/>
      </c>
      <c r="AI408" s="600" t="str" cm="1">
        <f t="array" ref="AI408">IFERROR(INDEX(始値!$E$6:$IT$305,MATCH(TEXT($B408,"0"),TEXT(銘柄管理!$B$6:$B$305,"0"),0),MATCH($AE408,始値!$E$3:$IT$3,0)),"")</f>
        <v/>
      </c>
      <c r="AJ408" s="608" t="str">
        <f>IF(OR($V408="",$F408="",$G408=""),"",$V408/($F408*$G408))</f>
        <v/>
      </c>
      <c r="AK408" s="600" t="str">
        <f>IF($V408="","",IF($V408&gt;0,"○勝",IF($V408&lt;0,"●負","△引分")))</f>
        <v/>
      </c>
    </row>
    <row r="409" spans="1:37" ht="17.25" customHeight="1">
      <c r="A409" s="622" t="str">
        <f>IF(B409="","",HYPERLINK("https://kabutan.jp/stock/?code="&amp;B409,"株探"))</f>
        <v/>
      </c>
      <c r="D409" s="440" t="str" cm="1">
        <f t="array" ref="D409">_xll.RssMarket(B409, "銘柄名称")</f>
        <v/>
      </c>
      <c r="E409" s="717"/>
      <c r="F409" s="698" t="str" cm="1">
        <f t="array" aca="1" ref="F409" ca="1">IFERROR(_xlfn.LET(_xlpm.r,MATCH(TEXT($B409,"0"),TEXT(銘柄管理!$B$6:$B$305,"0"),0),_xlpm.t,MOD(NOW(),1),_xlpm.c,IF($E409=TODAY(),IF(_xlpm.t&gt;=TIME(15,30,0),NA(),1),IF(MATCH($E409,始値!$E$3:$IT$3,0)=1,1,MATCH($E409,始値!$E$3:$IT$3,0)+1)),_xlpm.v,INDEX(始値!$C$6:$IT$305,_xlpm.r,_xlpm.c),IF(N(_xlpm.v)=0,"",_xlpm.v)),"")</f>
        <v/>
      </c>
      <c r="H409" s="440" t="str" cm="1">
        <f t="array" ref="H409">_xll.RssMarket(B409, "現在値")</f>
        <v/>
      </c>
      <c r="I409" s="440" t="str" cm="1">
        <f t="array" ref="I409">_xll.RssMarket(B409, "出来高加重平均")</f>
        <v/>
      </c>
      <c r="J409" s="704" t="str" cm="1">
        <f t="array" ref="J409">_xll.RssMarket($B409, "前日比")</f>
        <v/>
      </c>
      <c r="K409" s="704" t="str">
        <f>IF(OR(F409="",G409="",H409=""),"",IF(C409="売",(F409-H409)*G409,(H409-F409)*G409))</f>
        <v/>
      </c>
      <c r="L409" s="709" t="str">
        <f>IF(OR(F409="",H409=""),"",IF(C409="売",(F409-H409)/F409,(H409-F409)/F409))</f>
        <v/>
      </c>
      <c r="M409" s="599" t="str">
        <f>IF($F409="","",$F409*IF($C409="売",1-V811設定!$B$4,1+V811設定!$B$4)-MOD($F409*IF($C409="売",1-V811設定!$B$4,1+V811設定!$B$4),IF($F409&lt;=3000,1,IF($F409&lt;=5000,5,IF($F409&lt;=30000,10,IF($F409&lt;=50000,50,IF($F409&lt;=300000,100,500))))))+IF(AND($C409="売",MOD($F409*IF($C409="売",1-V811設定!$B$4,1+V811設定!$B$4),IF($F409&lt;=3000,1,IF($F409&lt;=5000,5,IF($F409&lt;=30000,10,IF($F409&lt;=50000,50,IF($F409&lt;=300000,100,500))))))&gt;0),IF($F409&lt;=3000,1,IF($F409&lt;=5000,5,IF($F409&lt;=30000,10,IF($F409&lt;=50000,50,IF($F409&lt;=300000,100,500))))),0))</f>
      </c>
      <c r="N409" s="599" t="str">
        <f>IF($F409="","",$F409*IF($C409="売",1+V811設定!$B$3,1-V811設定!$B$3)-MOD($F409*IF($C409="売",1+V811設定!$B$3,1-V811設定!$B$3),IF($F409&lt;=3000,1,IF($F409&lt;=5000,5,IF($F409&lt;=30000,10,IF($F409&lt;=50000,50,IF($F409&lt;=300000,100,500))))))+IF(AND($C409="売",MOD($F409*IF($C409="売",1+V811設定!$B$3,1-V811設定!$B$3),IF($F409&lt;=3000,1,IF($F409&lt;=5000,5,IF($F409&lt;=30000,10,IF($F409&lt;=50000,50,IF($F409&lt;=300000,100,500))))))&gt;0),IF($F409&lt;=3000,1,IF($F409&lt;=5000,5,IF($F409&lt;=30000,10,IF($F409&lt;=50000,50,IF($F409&lt;=300000,100,500))))),0))</f>
      </c>
      <c r="O409" s="478" t="str">
        <f>IF(OR($B409="",$F409="",$H409=""),"",IF($S409="✅売却済","―決済済―",IF($C409="売",IF($H409&lt;=$M409,"🟢利確",IF(AND($R409&lt;&gt;"",$H409&gt;=$R409),"🟠TRAIL",IF($H409&gt;=$N409,"🔴損切",IF($W409&gt;=V811設定!$B$6,"⏱時間決済",IF($H409&gt;=$F409*(1+V811設定!$B$3*0.7),"⚠️損切接近","保持継続"))))),IF($H409&gt;=$M409,"🟢利確",IF(AND($R409&lt;&gt;"",$H409&lt;=$R409),"🟠TRAIL",IF($H409&lt;=$N409,"🔴損切",IF($W409&gt;=V811設定!$B$6,"⏱時間決済",IF($H409&lt;=$F409*(1-V811設定!$B$3*0.7),"⚠️損切接近","保持継続"))))))))</f>
      </c>
      <c r="P409" s="445"/>
      <c r="R409" s="440" t="str">
        <f>IF(OR($F409="",$H409="",$N409=""),"",IF($S409="✅売却済","",IF($C409="売",IF($H409&gt;$F409*(1-V811設定!$B$3),$N409,MIN($N409,IF($Q409="",$N409,$Q409*1.03))),IF($H409&lt;$F409*(1+V811設定!$B$3),$N409,MAX($N409,IF($P409="",$N409,$P409*0.97))))))</f>
      </c>
      <c r="S409" s="440" t="str">
        <f>IF(B409="","",IF(T409&lt;&gt;"","✅売却済",IF(OR(H409="",L409=""),"📌保有中",IF(L409&gt;=0.06,"🟢利確推奨",IF(L409&gt;=0.05,"🟡利確直近",IF(L409&gt;=0.045,"🔵トレーリング検討",IF(L409&gt;-0.03,"📌保有中",IF(L409&gt;-0.04,"⚠️損切注意","🔴損切り"))))))))</f>
        <v/>
      </c>
      <c r="T409" s="597"/>
      <c r="U409" s="599"/>
      <c r="V409" s="704" t="str">
        <f>IF(OR(F409="",G409="",U409=""),"",IF(C409="売",(F409-U409)*G409,(U409-F409)*G409))</f>
        <v/>
      </c>
      <c r="W409" s="440" t="str">
        <f>IF(OR($E409="",$B409=""),"",IF($T409&lt;&gt;"",$T409-$E409,TODAY()-$E409)+1)</f>
        <v/>
      </c>
      <c r="X409" s="440" t="str">
        <f>IF(OR($AH409="",$AH409="保有中"),"",$AH409)</f>
        <v/>
      </c>
      <c r="AD409" s="608"/>
      <c r="AE409" s="600" t="str">
        <f>IF($E409="","",WORKDAY($E409,12))</f>
        <v/>
      </c>
      <c r="AF409" s="600" t="str" cm="1">
        <f t="array" aca="1" ref="AF409" ca="1">IF(OR($B409="",$M409=""),"",IFERROR(IF($C409="売",_xlfn.MINIFS(安値!$E$3:$IT$3,安値!$E$3:$IT$3,"&gt;"&amp;$E409,安値!$E$3:$IT$3,"&lt;="&amp;$AE409,OFFSET(安値!$E$6:$IT$6,MATCH(TEXT($B409,"0"),TEXT(銘柄管理!$B$6:$B$305,"0"),0)-1,0),"&lt;="&amp;$M409),_xlfn.MINIFS(高値!$E$3:$IT$3,高値!$E$3:$IT$3,"&gt;"&amp;$E409,高値!$E$3:$IT$3,"&lt;="&amp;$AE409,OFFSET(高値!$E$6:$IT$6,MATCH(TEXT($B409,"0"),TEXT(銘柄管理!$B$6:$B$305,"0"),0)-1,0),"&gt;="&amp;$M409)),""))</f>
        <v/>
      </c>
      <c r="AG409" s="600" t="str" cm="1">
        <f t="array" aca="1" ref="AG409" ca="1">IF(OR($B409="",$N409=""),"",IFERROR(IF($C409="売",_xlfn.MINIFS(高値!$E$3:$IT$3,高値!$E$3:$IT$3,"&gt;"&amp;$E409,高値!$E$3:$IT$3,"&lt;="&amp;$AE409,OFFSET(高値!$E$6:$IT$6,MATCH(TEXT($B409,"0"),TEXT(銘柄管理!$B$6:$B$305,"0"),0)-1,0),"&gt;="&amp;$N409),_xlfn.MINIFS(安値!$E$3:$IT$3,安値!$E$3:$IT$3,"&gt;"&amp;$E409,安値!$E$3:$IT$3,"&lt;="&amp;$AE409,OFFSET(安値!$E$6:$IT$6,MATCH(TEXT($B409,"0"),TEXT(銘柄管理!$B$6:$B$305,"0"),0)-1,0),"&lt;="&amp;$N409)),""))</f>
        <v/>
      </c>
      <c r="AH409" s="600" t="str">
        <f>IF(OR($B409="",$M409=""),"",IF(AND(N($AF409)=0,N($AG409)=0),IF(AND(ISNUMBER($H409),$H409&gt;0,IF($C409="売",$H409&gt;=$N409,$H409&lt;=$N409)),"損切確定",IF(AND(ISNUMBER($H409),$H409&gt;0,IF($C409="売",$H409&lt;=$M409,$H409&gt;=$M409)),"利益確定",IF($AE409&lt;=TODAY(),"日数制限","保有中"))),IF(N($AG409)=0,"利益確定",IF(N($AF409)=0,"損切確定",IF($AG409&lt;=$AF409,"損切確定","利益確定")))))</f>
        <v/>
      </c>
      <c r="AI409" s="600" t="str" cm="1">
        <f t="array" ref="AI409">IFERROR(INDEX(始値!$E$6:$IT$305,MATCH(TEXT($B409,"0"),TEXT(銘柄管理!$B$6:$B$305,"0"),0),MATCH($AE409,始値!$E$3:$IT$3,0)),"")</f>
        <v/>
      </c>
      <c r="AJ409" s="608" t="str">
        <f>IF(OR($V409="",$F409="",$G409=""),"",$V409/($F409*$G409))</f>
        <v/>
      </c>
      <c r="AK409" s="600" t="str">
        <f>IF($V409="","",IF($V409&gt;0,"○勝",IF($V409&lt;0,"●負","△引分")))</f>
        <v/>
      </c>
    </row>
    <row r="410" spans="1:37" ht="17.25" customHeight="1">
      <c r="A410" s="622" t="str">
        <f>IF(B410="","",HYPERLINK("https://kabutan.jp/stock/?code="&amp;B410,"株探"))</f>
        <v/>
      </c>
      <c r="D410" s="440" t="str" cm="1">
        <f t="array" ref="D410">_xll.RssMarket(B410, "銘柄名称")</f>
        <v/>
      </c>
      <c r="E410" s="717"/>
      <c r="F410" s="698" t="str" cm="1">
        <f t="array" aca="1" ref="F410" ca="1">IFERROR(_xlfn.LET(_xlpm.r,MATCH(TEXT($B410,"0"),TEXT(銘柄管理!$B$6:$B$305,"0"),0),_xlpm.t,MOD(NOW(),1),_xlpm.c,IF($E410=TODAY(),IF(_xlpm.t&gt;=TIME(15,30,0),NA(),1),IF(MATCH($E410,始値!$E$3:$IT$3,0)=1,1,MATCH($E410,始値!$E$3:$IT$3,0)+1)),_xlpm.v,INDEX(始値!$C$6:$IT$305,_xlpm.r,_xlpm.c),IF(N(_xlpm.v)=0,"",_xlpm.v)),"")</f>
        <v/>
      </c>
      <c r="H410" s="440" t="str" cm="1">
        <f t="array" ref="H410">_xll.RssMarket(B410, "現在値")</f>
        <v/>
      </c>
      <c r="I410" s="440" t="str" cm="1">
        <f t="array" ref="I410">_xll.RssMarket(B410, "出来高加重平均")</f>
        <v/>
      </c>
      <c r="J410" s="704" t="str" cm="1">
        <f t="array" ref="J410">_xll.RssMarket($B410, "前日比")</f>
        <v/>
      </c>
      <c r="K410" s="704" t="str">
        <f>IF(OR(F410="",G410="",H410=""),"",IF(C410="売",(F410-H410)*G410,(H410-F410)*G410))</f>
        <v/>
      </c>
      <c r="L410" s="709" t="str">
        <f>IF(OR(F410="",H410=""),"",IF(C410="売",(F410-H410)/F410,(H410-F410)/F410))</f>
        <v/>
      </c>
      <c r="M410" s="599" t="str">
        <f>IF($F410="","",$F410*IF($C410="売",1-V811設定!$B$4,1+V811設定!$B$4)-MOD($F410*IF($C410="売",1-V811設定!$B$4,1+V811設定!$B$4),IF($F410&lt;=3000,1,IF($F410&lt;=5000,5,IF($F410&lt;=30000,10,IF($F410&lt;=50000,50,IF($F410&lt;=300000,100,500))))))+IF(AND($C410="売",MOD($F410*IF($C410="売",1-V811設定!$B$4,1+V811設定!$B$4),IF($F410&lt;=3000,1,IF($F410&lt;=5000,5,IF($F410&lt;=30000,10,IF($F410&lt;=50000,50,IF($F410&lt;=300000,100,500))))))&gt;0),IF($F410&lt;=3000,1,IF($F410&lt;=5000,5,IF($F410&lt;=30000,10,IF($F410&lt;=50000,50,IF($F410&lt;=300000,100,500))))),0))</f>
      </c>
      <c r="N410" s="599" t="str">
        <f>IF($F410="","",$F410*IF($C410="売",1+V811設定!$B$3,1-V811設定!$B$3)-MOD($F410*IF($C410="売",1+V811設定!$B$3,1-V811設定!$B$3),IF($F410&lt;=3000,1,IF($F410&lt;=5000,5,IF($F410&lt;=30000,10,IF($F410&lt;=50000,50,IF($F410&lt;=300000,100,500))))))+IF(AND($C410="売",MOD($F410*IF($C410="売",1+V811設定!$B$3,1-V811設定!$B$3),IF($F410&lt;=3000,1,IF($F410&lt;=5000,5,IF($F410&lt;=30000,10,IF($F410&lt;=50000,50,IF($F410&lt;=300000,100,500))))))&gt;0),IF($F410&lt;=3000,1,IF($F410&lt;=5000,5,IF($F410&lt;=30000,10,IF($F410&lt;=50000,50,IF($F410&lt;=300000,100,500))))),0))</f>
      </c>
      <c r="O410" s="478" t="str">
        <f>IF(OR($B410="",$F410="",$H410=""),"",IF($S410="✅売却済","―決済済―",IF($C410="売",IF($H410&lt;=$M410,"🟢利確",IF(AND($R410&lt;&gt;"",$H410&gt;=$R410),"🟠TRAIL",IF($H410&gt;=$N410,"🔴損切",IF($W410&gt;=V811設定!$B$6,"⏱時間決済",IF($H410&gt;=$F410*(1+V811設定!$B$3*0.7),"⚠️損切接近","保持継続"))))),IF($H410&gt;=$M410,"🟢利確",IF(AND($R410&lt;&gt;"",$H410&lt;=$R410),"🟠TRAIL",IF($H410&lt;=$N410,"🔴損切",IF($W410&gt;=V811設定!$B$6,"⏱時間決済",IF($H410&lt;=$F410*(1-V811設定!$B$3*0.7),"⚠️損切接近","保持継続"))))))))</f>
      </c>
      <c r="P410" s="445"/>
      <c r="R410" s="440" t="str">
        <f>IF(OR($F410="",$H410="",$N410=""),"",IF($S410="✅売却済","",IF($C410="売",IF($H410&gt;$F410*(1-V811設定!$B$3),$N410,MIN($N410,IF($Q410="",$N410,$Q410*1.03))),IF($H410&lt;$F410*(1+V811設定!$B$3),$N410,MAX($N410,IF($P410="",$N410,$P410*0.97))))))</f>
      </c>
      <c r="S410" s="440" t="str">
        <f>IF(B410="","",IF(T410&lt;&gt;"","✅売却済",IF(OR(H410="",L410=""),"📌保有中",IF(L410&gt;=0.06,"🟢利確推奨",IF(L410&gt;=0.05,"🟡利確直近",IF(L410&gt;=0.045,"🔵トレーリング検討",IF(L410&gt;-0.03,"📌保有中",IF(L410&gt;-0.04,"⚠️損切注意","🔴損切り"))))))))</f>
        <v/>
      </c>
      <c r="T410" s="597"/>
      <c r="U410" s="599"/>
      <c r="V410" s="704" t="str">
        <f>IF(OR(F410="",G410="",U410=""),"",IF(C410="売",(F410-U410)*G410,(U410-F410)*G410))</f>
        <v/>
      </c>
      <c r="W410" s="440" t="str">
        <f>IF(OR($E410="",$B410=""),"",IF($T410&lt;&gt;"",$T410-$E410,TODAY()-$E410)+1)</f>
        <v/>
      </c>
      <c r="X410" s="440" t="str">
        <f>IF(OR($AH410="",$AH410="保有中"),"",$AH410)</f>
        <v/>
      </c>
      <c r="AD410" s="608"/>
      <c r="AE410" s="600" t="str">
        <f>IF($E410="","",WORKDAY($E410,12))</f>
        <v/>
      </c>
      <c r="AF410" s="600" t="str" cm="1">
        <f t="array" aca="1" ref="AF410" ca="1">IF(OR($B410="",$M410=""),"",IFERROR(IF($C410="売",_xlfn.MINIFS(安値!$E$3:$IT$3,安値!$E$3:$IT$3,"&gt;"&amp;$E410,安値!$E$3:$IT$3,"&lt;="&amp;$AE410,OFFSET(安値!$E$6:$IT$6,MATCH(TEXT($B410,"0"),TEXT(銘柄管理!$B$6:$B$305,"0"),0)-1,0),"&lt;="&amp;$M410),_xlfn.MINIFS(高値!$E$3:$IT$3,高値!$E$3:$IT$3,"&gt;"&amp;$E410,高値!$E$3:$IT$3,"&lt;="&amp;$AE410,OFFSET(高値!$E$6:$IT$6,MATCH(TEXT($B410,"0"),TEXT(銘柄管理!$B$6:$B$305,"0"),0)-1,0),"&gt;="&amp;$M410)),""))</f>
        <v/>
      </c>
      <c r="AG410" s="600" t="str" cm="1">
        <f t="array" aca="1" ref="AG410" ca="1">IF(OR($B410="",$N410=""),"",IFERROR(IF($C410="売",_xlfn.MINIFS(高値!$E$3:$IT$3,高値!$E$3:$IT$3,"&gt;"&amp;$E410,高値!$E$3:$IT$3,"&lt;="&amp;$AE410,OFFSET(高値!$E$6:$IT$6,MATCH(TEXT($B410,"0"),TEXT(銘柄管理!$B$6:$B$305,"0"),0)-1,0),"&gt;="&amp;$N410),_xlfn.MINIFS(安値!$E$3:$IT$3,安値!$E$3:$IT$3,"&gt;"&amp;$E410,安値!$E$3:$IT$3,"&lt;="&amp;$AE410,OFFSET(安値!$E$6:$IT$6,MATCH(TEXT($B410,"0"),TEXT(銘柄管理!$B$6:$B$305,"0"),0)-1,0),"&lt;="&amp;$N410)),""))</f>
        <v/>
      </c>
      <c r="AH410" s="600" t="str">
        <f>IF(OR($B410="",$M410=""),"",IF(AND(N($AF410)=0,N($AG410)=0),IF(AND(ISNUMBER($H410),$H410&gt;0,IF($C410="売",$H410&gt;=$N410,$H410&lt;=$N410)),"損切確定",IF(AND(ISNUMBER($H410),$H410&gt;0,IF($C410="売",$H410&lt;=$M410,$H410&gt;=$M410)),"利益確定",IF($AE410&lt;=TODAY(),"日数制限","保有中"))),IF(N($AG410)=0,"利益確定",IF(N($AF410)=0,"損切確定",IF($AG410&lt;=$AF410,"損切確定","利益確定")))))</f>
        <v/>
      </c>
      <c r="AI410" s="600" t="str" cm="1">
        <f t="array" ref="AI410">IFERROR(INDEX(始値!$E$6:$IT$305,MATCH(TEXT($B410,"0"),TEXT(銘柄管理!$B$6:$B$305,"0"),0),MATCH($AE410,始値!$E$3:$IT$3,0)),"")</f>
        <v/>
      </c>
      <c r="AJ410" s="608" t="str">
        <f>IF(OR($V410="",$F410="",$G410=""),"",$V410/($F410*$G410))</f>
        <v/>
      </c>
      <c r="AK410" s="600" t="str">
        <f>IF($V410="","",IF($V410&gt;0,"○勝",IF($V410&lt;0,"●負","△引分")))</f>
        <v/>
      </c>
    </row>
    <row r="411" spans="1:37" ht="17.25" customHeight="1">
      <c r="A411" s="622" t="str">
        <f>IF(B411="","",HYPERLINK("https://kabutan.jp/stock/?code="&amp;B411,"株探"))</f>
        <v/>
      </c>
      <c r="D411" s="440" t="str" cm="1">
        <f t="array" ref="D411">_xll.RssMarket(B411, "銘柄名称")</f>
        <v/>
      </c>
      <c r="E411" s="717"/>
      <c r="F411" s="698" t="str" cm="1">
        <f t="array" aca="1" ref="F411" ca="1">IFERROR(_xlfn.LET(_xlpm.r,MATCH(TEXT($B411,"0"),TEXT(銘柄管理!$B$6:$B$305,"0"),0),_xlpm.t,MOD(NOW(),1),_xlpm.c,IF($E411=TODAY(),IF(_xlpm.t&gt;=TIME(15,30,0),NA(),1),IF(MATCH($E411,始値!$E$3:$IT$3,0)=1,1,MATCH($E411,始値!$E$3:$IT$3,0)+1)),_xlpm.v,INDEX(始値!$C$6:$IT$305,_xlpm.r,_xlpm.c),IF(N(_xlpm.v)=0,"",_xlpm.v)),"")</f>
        <v/>
      </c>
      <c r="H411" s="440" t="str" cm="1">
        <f t="array" ref="H411">_xll.RssMarket(B411, "現在値")</f>
        <v/>
      </c>
      <c r="I411" s="440" t="str" cm="1">
        <f t="array" ref="I411">_xll.RssMarket(B411, "出来高加重平均")</f>
        <v/>
      </c>
      <c r="J411" s="704" t="str" cm="1">
        <f t="array" ref="J411">_xll.RssMarket($B411, "前日比")</f>
        <v/>
      </c>
      <c r="K411" s="704" t="str">
        <f>IF(OR(F411="",G411="",H411=""),"",IF(C411="売",(F411-H411)*G411,(H411-F411)*G411))</f>
        <v/>
      </c>
      <c r="L411" s="709" t="str">
        <f>IF(OR(F411="",H411=""),"",IF(C411="売",(F411-H411)/F411,(H411-F411)/F411))</f>
        <v/>
      </c>
      <c r="M411" s="599" t="str">
        <f>IF($F411="","",$F411*IF($C411="売",1-V811設定!$B$4,1+V811設定!$B$4)-MOD($F411*IF($C411="売",1-V811設定!$B$4,1+V811設定!$B$4),IF($F411&lt;=3000,1,IF($F411&lt;=5000,5,IF($F411&lt;=30000,10,IF($F411&lt;=50000,50,IF($F411&lt;=300000,100,500))))))+IF(AND($C411="売",MOD($F411*IF($C411="売",1-V811設定!$B$4,1+V811設定!$B$4),IF($F411&lt;=3000,1,IF($F411&lt;=5000,5,IF($F411&lt;=30000,10,IF($F411&lt;=50000,50,IF($F411&lt;=300000,100,500))))))&gt;0),IF($F411&lt;=3000,1,IF($F411&lt;=5000,5,IF($F411&lt;=30000,10,IF($F411&lt;=50000,50,IF($F411&lt;=300000,100,500))))),0))</f>
      </c>
      <c r="N411" s="599" t="str">
        <f>IF($F411="","",$F411*IF($C411="売",1+V811設定!$B$3,1-V811設定!$B$3)-MOD($F411*IF($C411="売",1+V811設定!$B$3,1-V811設定!$B$3),IF($F411&lt;=3000,1,IF($F411&lt;=5000,5,IF($F411&lt;=30000,10,IF($F411&lt;=50000,50,IF($F411&lt;=300000,100,500))))))+IF(AND($C411="売",MOD($F411*IF($C411="売",1+V811設定!$B$3,1-V811設定!$B$3),IF($F411&lt;=3000,1,IF($F411&lt;=5000,5,IF($F411&lt;=30000,10,IF($F411&lt;=50000,50,IF($F411&lt;=300000,100,500))))))&gt;0),IF($F411&lt;=3000,1,IF($F411&lt;=5000,5,IF($F411&lt;=30000,10,IF($F411&lt;=50000,50,IF($F411&lt;=300000,100,500))))),0))</f>
      </c>
      <c r="O411" s="478" t="str">
        <f>IF(OR($B411="",$F411="",$H411=""),"",IF($S411="✅売却済","―決済済―",IF($C411="売",IF($H411&lt;=$M411,"🟢利確",IF(AND($R411&lt;&gt;"",$H411&gt;=$R411),"🟠TRAIL",IF($H411&gt;=$N411,"🔴損切",IF($W411&gt;=V811設定!$B$6,"⏱時間決済",IF($H411&gt;=$F411*(1+V811設定!$B$3*0.7),"⚠️損切接近","保持継続"))))),IF($H411&gt;=$M411,"🟢利確",IF(AND($R411&lt;&gt;"",$H411&lt;=$R411),"🟠TRAIL",IF($H411&lt;=$N411,"🔴損切",IF($W411&gt;=V811設定!$B$6,"⏱時間決済",IF($H411&lt;=$F411*(1-V811設定!$B$3*0.7),"⚠️損切接近","保持継続"))))))))</f>
      </c>
      <c r="P411" s="445"/>
      <c r="R411" s="440" t="str">
        <f>IF(OR($F411="",$H411="",$N411=""),"",IF($S411="✅売却済","",IF($C411="売",IF($H411&gt;$F411*(1-V811設定!$B$3),$N411,MIN($N411,IF($Q411="",$N411,$Q411*1.03))),IF($H411&lt;$F411*(1+V811設定!$B$3),$N411,MAX($N411,IF($P411="",$N411,$P411*0.97))))))</f>
      </c>
      <c r="S411" s="440" t="str">
        <f>IF(B411="","",IF(T411&lt;&gt;"","✅売却済",IF(OR(H411="",L411=""),"📌保有中",IF(L411&gt;=0.06,"🟢利確推奨",IF(L411&gt;=0.05,"🟡利確直近",IF(L411&gt;=0.045,"🔵トレーリング検討",IF(L411&gt;-0.03,"📌保有中",IF(L411&gt;-0.04,"⚠️損切注意","🔴損切り"))))))))</f>
        <v/>
      </c>
      <c r="T411" s="597"/>
      <c r="U411" s="599"/>
      <c r="V411" s="704" t="str">
        <f>IF(OR(F411="",G411="",U411=""),"",IF(C411="売",(F411-U411)*G411,(U411-F411)*G411))</f>
        <v/>
      </c>
      <c r="W411" s="440" t="str">
        <f>IF(OR($E411="",$B411=""),"",IF($T411&lt;&gt;"",$T411-$E411,TODAY()-$E411)+1)</f>
        <v/>
      </c>
      <c r="X411" s="440" t="str">
        <f>IF(OR($AH411="",$AH411="保有中"),"",$AH411)</f>
        <v/>
      </c>
      <c r="AD411" s="608"/>
      <c r="AE411" s="600" t="str">
        <f>IF($E411="","",WORKDAY($E411,12))</f>
        <v/>
      </c>
      <c r="AF411" s="600" t="str" cm="1">
        <f t="array" aca="1" ref="AF411" ca="1">IF(OR($B411="",$M411=""),"",IFERROR(IF($C411="売",_xlfn.MINIFS(安値!$E$3:$IT$3,安値!$E$3:$IT$3,"&gt;"&amp;$E411,安値!$E$3:$IT$3,"&lt;="&amp;$AE411,OFFSET(安値!$E$6:$IT$6,MATCH(TEXT($B411,"0"),TEXT(銘柄管理!$B$6:$B$305,"0"),0)-1,0),"&lt;="&amp;$M411),_xlfn.MINIFS(高値!$E$3:$IT$3,高値!$E$3:$IT$3,"&gt;"&amp;$E411,高値!$E$3:$IT$3,"&lt;="&amp;$AE411,OFFSET(高値!$E$6:$IT$6,MATCH(TEXT($B411,"0"),TEXT(銘柄管理!$B$6:$B$305,"0"),0)-1,0),"&gt;="&amp;$M411)),""))</f>
        <v/>
      </c>
      <c r="AG411" s="600" t="str" cm="1">
        <f t="array" aca="1" ref="AG411" ca="1">IF(OR($B411="",$N411=""),"",IFERROR(IF($C411="売",_xlfn.MINIFS(高値!$E$3:$IT$3,高値!$E$3:$IT$3,"&gt;"&amp;$E411,高値!$E$3:$IT$3,"&lt;="&amp;$AE411,OFFSET(高値!$E$6:$IT$6,MATCH(TEXT($B411,"0"),TEXT(銘柄管理!$B$6:$B$305,"0"),0)-1,0),"&gt;="&amp;$N411),_xlfn.MINIFS(安値!$E$3:$IT$3,安値!$E$3:$IT$3,"&gt;"&amp;$E411,安値!$E$3:$IT$3,"&lt;="&amp;$AE411,OFFSET(安値!$E$6:$IT$6,MATCH(TEXT($B411,"0"),TEXT(銘柄管理!$B$6:$B$305,"0"),0)-1,0),"&lt;="&amp;$N411)),""))</f>
        <v/>
      </c>
      <c r="AH411" s="600" t="str">
        <f>IF(OR($B411="",$M411=""),"",IF(AND(N($AF411)=0,N($AG411)=0),IF(AND(ISNUMBER($H411),$H411&gt;0,IF($C411="売",$H411&gt;=$N411,$H411&lt;=$N411)),"損切確定",IF(AND(ISNUMBER($H411),$H411&gt;0,IF($C411="売",$H411&lt;=$M411,$H411&gt;=$M411)),"利益確定",IF($AE411&lt;=TODAY(),"日数制限","保有中"))),IF(N($AG411)=0,"利益確定",IF(N($AF411)=0,"損切確定",IF($AG411&lt;=$AF411,"損切確定","利益確定")))))</f>
        <v/>
      </c>
      <c r="AI411" s="600" t="str" cm="1">
        <f t="array" ref="AI411">IFERROR(INDEX(始値!$E$6:$IT$305,MATCH(TEXT($B411,"0"),TEXT(銘柄管理!$B$6:$B$305,"0"),0),MATCH($AE411,始値!$E$3:$IT$3,0)),"")</f>
        <v/>
      </c>
      <c r="AJ411" s="608" t="str">
        <f>IF(OR($V411="",$F411="",$G411=""),"",$V411/($F411*$G411))</f>
        <v/>
      </c>
      <c r="AK411" s="600" t="str">
        <f>IF($V411="","",IF($V411&gt;0,"○勝",IF($V411&lt;0,"●負","△引分")))</f>
        <v/>
      </c>
    </row>
    <row r="412" spans="1:37" ht="17.25" customHeight="1">
      <c r="A412" s="622" t="str">
        <f>IF(B412="","",HYPERLINK("https://kabutan.jp/stock/?code="&amp;B412,"株探"))</f>
        <v/>
      </c>
      <c r="D412" s="440" t="str" cm="1">
        <f t="array" ref="D412">_xll.RssMarket(B412, "銘柄名称")</f>
        <v/>
      </c>
      <c r="E412" s="717"/>
      <c r="F412" s="698" t="str" cm="1">
        <f t="array" aca="1" ref="F412" ca="1">IFERROR(_xlfn.LET(_xlpm.r,MATCH(TEXT($B412,"0"),TEXT(銘柄管理!$B$6:$B$305,"0"),0),_xlpm.t,MOD(NOW(),1),_xlpm.c,IF($E412=TODAY(),IF(_xlpm.t&gt;=TIME(15,30,0),NA(),1),IF(MATCH($E412,始値!$E$3:$IT$3,0)=1,1,MATCH($E412,始値!$E$3:$IT$3,0)+1)),_xlpm.v,INDEX(始値!$C$6:$IT$305,_xlpm.r,_xlpm.c),IF(N(_xlpm.v)=0,"",_xlpm.v)),"")</f>
        <v/>
      </c>
      <c r="H412" s="440" t="str" cm="1">
        <f t="array" ref="H412">_xll.RssMarket(B412, "現在値")</f>
        <v/>
      </c>
      <c r="I412" s="440" t="str" cm="1">
        <f t="array" ref="I412">_xll.RssMarket(B412, "出来高加重平均")</f>
        <v/>
      </c>
      <c r="J412" s="704" t="str" cm="1">
        <f t="array" ref="J412">_xll.RssMarket($B412, "前日比")</f>
        <v/>
      </c>
      <c r="K412" s="704" t="str">
        <f>IF(OR(F412="",G412="",H412=""),"",IF(C412="売",(F412-H412)*G412,(H412-F412)*G412))</f>
        <v/>
      </c>
      <c r="L412" s="709" t="str">
        <f>IF(OR(F412="",H412=""),"",IF(C412="売",(F412-H412)/F412,(H412-F412)/F412))</f>
        <v/>
      </c>
      <c r="M412" s="599" t="str">
        <f>IF($F412="","",$F412*IF($C412="売",1-V811設定!$B$4,1+V811設定!$B$4)-MOD($F412*IF($C412="売",1-V811設定!$B$4,1+V811設定!$B$4),IF($F412&lt;=3000,1,IF($F412&lt;=5000,5,IF($F412&lt;=30000,10,IF($F412&lt;=50000,50,IF($F412&lt;=300000,100,500))))))+IF(AND($C412="売",MOD($F412*IF($C412="売",1-V811設定!$B$4,1+V811設定!$B$4),IF($F412&lt;=3000,1,IF($F412&lt;=5000,5,IF($F412&lt;=30000,10,IF($F412&lt;=50000,50,IF($F412&lt;=300000,100,500))))))&gt;0),IF($F412&lt;=3000,1,IF($F412&lt;=5000,5,IF($F412&lt;=30000,10,IF($F412&lt;=50000,50,IF($F412&lt;=300000,100,500))))),0))</f>
      </c>
      <c r="N412" s="599" t="str">
        <f>IF($F412="","",$F412*IF($C412="売",1+V811設定!$B$3,1-V811設定!$B$3)-MOD($F412*IF($C412="売",1+V811設定!$B$3,1-V811設定!$B$3),IF($F412&lt;=3000,1,IF($F412&lt;=5000,5,IF($F412&lt;=30000,10,IF($F412&lt;=50000,50,IF($F412&lt;=300000,100,500))))))+IF(AND($C412="売",MOD($F412*IF($C412="売",1+V811設定!$B$3,1-V811設定!$B$3),IF($F412&lt;=3000,1,IF($F412&lt;=5000,5,IF($F412&lt;=30000,10,IF($F412&lt;=50000,50,IF($F412&lt;=300000,100,500))))))&gt;0),IF($F412&lt;=3000,1,IF($F412&lt;=5000,5,IF($F412&lt;=30000,10,IF($F412&lt;=50000,50,IF($F412&lt;=300000,100,500))))),0))</f>
      </c>
      <c r="O412" s="478" t="str">
        <f>IF(OR($B412="",$F412="",$H412=""),"",IF($S412="✅売却済","―決済済―",IF($C412="売",IF($H412&lt;=$M412,"🟢利確",IF(AND($R412&lt;&gt;"",$H412&gt;=$R412),"🟠TRAIL",IF($H412&gt;=$N412,"🔴損切",IF($W412&gt;=V811設定!$B$6,"⏱時間決済",IF($H412&gt;=$F412*(1+V811設定!$B$3*0.7),"⚠️損切接近","保持継続"))))),IF($H412&gt;=$M412,"🟢利確",IF(AND($R412&lt;&gt;"",$H412&lt;=$R412),"🟠TRAIL",IF($H412&lt;=$N412,"🔴損切",IF($W412&gt;=V811設定!$B$6,"⏱時間決済",IF($H412&lt;=$F412*(1-V811設定!$B$3*0.7),"⚠️損切接近","保持継続"))))))))</f>
      </c>
      <c r="P412" s="445"/>
      <c r="R412" s="440" t="str">
        <f>IF(OR($F412="",$H412="",$N412=""),"",IF($S412="✅売却済","",IF($C412="売",IF($H412&gt;$F412*(1-V811設定!$B$3),$N412,MIN($N412,IF($Q412="",$N412,$Q412*1.03))),IF($H412&lt;$F412*(1+V811設定!$B$3),$N412,MAX($N412,IF($P412="",$N412,$P412*0.97))))))</f>
      </c>
      <c r="S412" s="440" t="str">
        <f>IF(B412="","",IF(T412&lt;&gt;"","✅売却済",IF(OR(H412="",L412=""),"📌保有中",IF(L412&gt;=0.06,"🟢利確推奨",IF(L412&gt;=0.05,"🟡利確直近",IF(L412&gt;=0.045,"🔵トレーリング検討",IF(L412&gt;-0.03,"📌保有中",IF(L412&gt;-0.04,"⚠️損切注意","🔴損切り"))))))))</f>
        <v/>
      </c>
      <c r="T412" s="597"/>
      <c r="U412" s="599"/>
      <c r="V412" s="704" t="str">
        <f>IF(OR(F412="",G412="",U412=""),"",IF(C412="売",(F412-U412)*G412,(U412-F412)*G412))</f>
        <v/>
      </c>
      <c r="W412" s="440" t="str">
        <f>IF(OR($E412="",$B412=""),"",IF($T412&lt;&gt;"",$T412-$E412,TODAY()-$E412)+1)</f>
        <v/>
      </c>
      <c r="X412" s="440" t="str">
        <f>IF(OR($AH412="",$AH412="保有中"),"",$AH412)</f>
        <v/>
      </c>
      <c r="AD412" s="608"/>
      <c r="AE412" s="600" t="str">
        <f>IF($E412="","",WORKDAY($E412,12))</f>
        <v/>
      </c>
      <c r="AF412" s="600" t="str" cm="1">
        <f t="array" aca="1" ref="AF412" ca="1">IF(OR($B412="",$M412=""),"",IFERROR(IF($C412="売",_xlfn.MINIFS(安値!$E$3:$IT$3,安値!$E$3:$IT$3,"&gt;"&amp;$E412,安値!$E$3:$IT$3,"&lt;="&amp;$AE412,OFFSET(安値!$E$6:$IT$6,MATCH(TEXT($B412,"0"),TEXT(銘柄管理!$B$6:$B$305,"0"),0)-1,0),"&lt;="&amp;$M412),_xlfn.MINIFS(高値!$E$3:$IT$3,高値!$E$3:$IT$3,"&gt;"&amp;$E412,高値!$E$3:$IT$3,"&lt;="&amp;$AE412,OFFSET(高値!$E$6:$IT$6,MATCH(TEXT($B412,"0"),TEXT(銘柄管理!$B$6:$B$305,"0"),0)-1,0),"&gt;="&amp;$M412)),""))</f>
        <v/>
      </c>
      <c r="AG412" s="600" t="str" cm="1">
        <f t="array" aca="1" ref="AG412" ca="1">IF(OR($B412="",$N412=""),"",IFERROR(IF($C412="売",_xlfn.MINIFS(高値!$E$3:$IT$3,高値!$E$3:$IT$3,"&gt;"&amp;$E412,高値!$E$3:$IT$3,"&lt;="&amp;$AE412,OFFSET(高値!$E$6:$IT$6,MATCH(TEXT($B412,"0"),TEXT(銘柄管理!$B$6:$B$305,"0"),0)-1,0),"&gt;="&amp;$N412),_xlfn.MINIFS(安値!$E$3:$IT$3,安値!$E$3:$IT$3,"&gt;"&amp;$E412,安値!$E$3:$IT$3,"&lt;="&amp;$AE412,OFFSET(安値!$E$6:$IT$6,MATCH(TEXT($B412,"0"),TEXT(銘柄管理!$B$6:$B$305,"0"),0)-1,0),"&lt;="&amp;$N412)),""))</f>
        <v/>
      </c>
      <c r="AH412" s="600" t="str">
        <f>IF(OR($B412="",$M412=""),"",IF(AND(N($AF412)=0,N($AG412)=0),IF(AND(ISNUMBER($H412),$H412&gt;0,IF($C412="売",$H412&gt;=$N412,$H412&lt;=$N412)),"損切確定",IF(AND(ISNUMBER($H412),$H412&gt;0,IF($C412="売",$H412&lt;=$M412,$H412&gt;=$M412)),"利益確定",IF($AE412&lt;=TODAY(),"日数制限","保有中"))),IF(N($AG412)=0,"利益確定",IF(N($AF412)=0,"損切確定",IF($AG412&lt;=$AF412,"損切確定","利益確定")))))</f>
        <v/>
      </c>
      <c r="AI412" s="600" t="str" cm="1">
        <f t="array" ref="AI412">IFERROR(INDEX(始値!$E$6:$IT$305,MATCH(TEXT($B412,"0"),TEXT(銘柄管理!$B$6:$B$305,"0"),0),MATCH($AE412,始値!$E$3:$IT$3,0)),"")</f>
        <v/>
      </c>
      <c r="AJ412" s="608" t="str">
        <f>IF(OR($V412="",$F412="",$G412=""),"",$V412/($F412*$G412))</f>
        <v/>
      </c>
      <c r="AK412" s="600" t="str">
        <f>IF($V412="","",IF($V412&gt;0,"○勝",IF($V412&lt;0,"●負","△引分")))</f>
        <v/>
      </c>
    </row>
    <row r="413" spans="1:37" ht="17.25" customHeight="1">
      <c r="A413" s="622" t="str">
        <f>IF(B413="","",HYPERLINK("https://kabutan.jp/stock/?code="&amp;B413,"株探"))</f>
        <v/>
      </c>
      <c r="D413" s="440" t="str" cm="1">
        <f t="array" ref="D413">_xll.RssMarket(B413, "銘柄名称")</f>
        <v/>
      </c>
      <c r="E413" s="717"/>
      <c r="F413" s="698" t="str" cm="1">
        <f t="array" aca="1" ref="F413" ca="1">IFERROR(_xlfn.LET(_xlpm.r,MATCH(TEXT($B413,"0"),TEXT(銘柄管理!$B$6:$B$305,"0"),0),_xlpm.t,MOD(NOW(),1),_xlpm.c,IF($E413=TODAY(),IF(_xlpm.t&gt;=TIME(15,30,0),NA(),1),IF(MATCH($E413,始値!$E$3:$IT$3,0)=1,1,MATCH($E413,始値!$E$3:$IT$3,0)+1)),_xlpm.v,INDEX(始値!$C$6:$IT$305,_xlpm.r,_xlpm.c),IF(N(_xlpm.v)=0,"",_xlpm.v)),"")</f>
        <v/>
      </c>
      <c r="H413" s="440" t="str" cm="1">
        <f t="array" ref="H413">_xll.RssMarket(B413, "現在値")</f>
        <v/>
      </c>
      <c r="I413" s="440" t="str" cm="1">
        <f t="array" ref="I413">_xll.RssMarket(B413, "出来高加重平均")</f>
        <v/>
      </c>
      <c r="J413" s="704" t="str" cm="1">
        <f t="array" ref="J413">_xll.RssMarket($B413, "前日比")</f>
        <v/>
      </c>
      <c r="K413" s="704" t="str">
        <f>IF(OR(F413="",G413="",H413=""),"",IF(C413="売",(F413-H413)*G413,(H413-F413)*G413))</f>
        <v/>
      </c>
      <c r="L413" s="709" t="str">
        <f>IF(OR(F413="",H413=""),"",IF(C413="売",(F413-H413)/F413,(H413-F413)/F413))</f>
        <v/>
      </c>
      <c r="M413" s="599" t="str">
        <f>IF($F413="","",$F413*IF($C413="売",1-V811設定!$B$4,1+V811設定!$B$4)-MOD($F413*IF($C413="売",1-V811設定!$B$4,1+V811設定!$B$4),IF($F413&lt;=3000,1,IF($F413&lt;=5000,5,IF($F413&lt;=30000,10,IF($F413&lt;=50000,50,IF($F413&lt;=300000,100,500))))))+IF(AND($C413="売",MOD($F413*IF($C413="売",1-V811設定!$B$4,1+V811設定!$B$4),IF($F413&lt;=3000,1,IF($F413&lt;=5000,5,IF($F413&lt;=30000,10,IF($F413&lt;=50000,50,IF($F413&lt;=300000,100,500))))))&gt;0),IF($F413&lt;=3000,1,IF($F413&lt;=5000,5,IF($F413&lt;=30000,10,IF($F413&lt;=50000,50,IF($F413&lt;=300000,100,500))))),0))</f>
      </c>
      <c r="N413" s="599" t="str">
        <f>IF($F413="","",$F413*IF($C413="売",1+V811設定!$B$3,1-V811設定!$B$3)-MOD($F413*IF($C413="売",1+V811設定!$B$3,1-V811設定!$B$3),IF($F413&lt;=3000,1,IF($F413&lt;=5000,5,IF($F413&lt;=30000,10,IF($F413&lt;=50000,50,IF($F413&lt;=300000,100,500))))))+IF(AND($C413="売",MOD($F413*IF($C413="売",1+V811設定!$B$3,1-V811設定!$B$3),IF($F413&lt;=3000,1,IF($F413&lt;=5000,5,IF($F413&lt;=30000,10,IF($F413&lt;=50000,50,IF($F413&lt;=300000,100,500))))))&gt;0),IF($F413&lt;=3000,1,IF($F413&lt;=5000,5,IF($F413&lt;=30000,10,IF($F413&lt;=50000,50,IF($F413&lt;=300000,100,500))))),0))</f>
      </c>
      <c r="O413" s="478" t="str">
        <f>IF(OR($B413="",$F413="",$H413=""),"",IF($S413="✅売却済","―決済済―",IF($C413="売",IF($H413&lt;=$M413,"🟢利確",IF(AND($R413&lt;&gt;"",$H413&gt;=$R413),"🟠TRAIL",IF($H413&gt;=$N413,"🔴損切",IF($W413&gt;=V811設定!$B$6,"⏱時間決済",IF($H413&gt;=$F413*(1+V811設定!$B$3*0.7),"⚠️損切接近","保持継続"))))),IF($H413&gt;=$M413,"🟢利確",IF(AND($R413&lt;&gt;"",$H413&lt;=$R413),"🟠TRAIL",IF($H413&lt;=$N413,"🔴損切",IF($W413&gt;=V811設定!$B$6,"⏱時間決済",IF($H413&lt;=$F413*(1-V811設定!$B$3*0.7),"⚠️損切接近","保持継続"))))))))</f>
      </c>
      <c r="P413" s="445"/>
      <c r="R413" s="440" t="str">
        <f>IF(OR($F413="",$H413="",$N413=""),"",IF($S413="✅売却済","",IF($C413="売",IF($H413&gt;$F413*(1-V811設定!$B$3),$N413,MIN($N413,IF($Q413="",$N413,$Q413*1.03))),IF($H413&lt;$F413*(1+V811設定!$B$3),$N413,MAX($N413,IF($P413="",$N413,$P413*0.97))))))</f>
      </c>
      <c r="S413" s="440" t="str">
        <f>IF(B413="","",IF(T413&lt;&gt;"","✅売却済",IF(OR(H413="",L413=""),"📌保有中",IF(L413&gt;=0.06,"🟢利確推奨",IF(L413&gt;=0.05,"🟡利確直近",IF(L413&gt;=0.045,"🔵トレーリング検討",IF(L413&gt;-0.03,"📌保有中",IF(L413&gt;-0.04,"⚠️損切注意","🔴損切り"))))))))</f>
        <v/>
      </c>
      <c r="T413" s="597"/>
      <c r="U413" s="599"/>
      <c r="V413" s="704" t="str">
        <f>IF(OR(F413="",G413="",U413=""),"",IF(C413="売",(F413-U413)*G413,(U413-F413)*G413))</f>
        <v/>
      </c>
      <c r="W413" s="440" t="str">
        <f>IF(OR($E413="",$B413=""),"",IF($T413&lt;&gt;"",$T413-$E413,TODAY()-$E413)+1)</f>
        <v/>
      </c>
      <c r="X413" s="440" t="str">
        <f>IF(OR($AH413="",$AH413="保有中"),"",$AH413)</f>
        <v/>
      </c>
      <c r="AD413" s="608"/>
      <c r="AE413" s="600" t="str">
        <f>IF($E413="","",WORKDAY($E413,12))</f>
        <v/>
      </c>
      <c r="AF413" s="600" t="str" cm="1">
        <f t="array" aca="1" ref="AF413" ca="1">IF(OR($B413="",$M413=""),"",IFERROR(IF($C413="売",_xlfn.MINIFS(安値!$E$3:$IT$3,安値!$E$3:$IT$3,"&gt;"&amp;$E413,安値!$E$3:$IT$3,"&lt;="&amp;$AE413,OFFSET(安値!$E$6:$IT$6,MATCH(TEXT($B413,"0"),TEXT(銘柄管理!$B$6:$B$305,"0"),0)-1,0),"&lt;="&amp;$M413),_xlfn.MINIFS(高値!$E$3:$IT$3,高値!$E$3:$IT$3,"&gt;"&amp;$E413,高値!$E$3:$IT$3,"&lt;="&amp;$AE413,OFFSET(高値!$E$6:$IT$6,MATCH(TEXT($B413,"0"),TEXT(銘柄管理!$B$6:$B$305,"0"),0)-1,0),"&gt;="&amp;$M413)),""))</f>
        <v/>
      </c>
      <c r="AG413" s="600" t="str" cm="1">
        <f t="array" aca="1" ref="AG413" ca="1">IF(OR($B413="",$N413=""),"",IFERROR(IF($C413="売",_xlfn.MINIFS(高値!$E$3:$IT$3,高値!$E$3:$IT$3,"&gt;"&amp;$E413,高値!$E$3:$IT$3,"&lt;="&amp;$AE413,OFFSET(高値!$E$6:$IT$6,MATCH(TEXT($B413,"0"),TEXT(銘柄管理!$B$6:$B$305,"0"),0)-1,0),"&gt;="&amp;$N413),_xlfn.MINIFS(安値!$E$3:$IT$3,安値!$E$3:$IT$3,"&gt;"&amp;$E413,安値!$E$3:$IT$3,"&lt;="&amp;$AE413,OFFSET(安値!$E$6:$IT$6,MATCH(TEXT($B413,"0"),TEXT(銘柄管理!$B$6:$B$305,"0"),0)-1,0),"&lt;="&amp;$N413)),""))</f>
        <v/>
      </c>
      <c r="AH413" s="600" t="str">
        <f>IF(OR($B413="",$M413=""),"",IF(AND(N($AF413)=0,N($AG413)=0),IF(AND(ISNUMBER($H413),$H413&gt;0,IF($C413="売",$H413&gt;=$N413,$H413&lt;=$N413)),"損切確定",IF(AND(ISNUMBER($H413),$H413&gt;0,IF($C413="売",$H413&lt;=$M413,$H413&gt;=$M413)),"利益確定",IF($AE413&lt;=TODAY(),"日数制限","保有中"))),IF(N($AG413)=0,"利益確定",IF(N($AF413)=0,"損切確定",IF($AG413&lt;=$AF413,"損切確定","利益確定")))))</f>
        <v/>
      </c>
      <c r="AI413" s="600" t="str" cm="1">
        <f t="array" ref="AI413">IFERROR(INDEX(始値!$E$6:$IT$305,MATCH(TEXT($B413,"0"),TEXT(銘柄管理!$B$6:$B$305,"0"),0),MATCH($AE413,始値!$E$3:$IT$3,0)),"")</f>
        <v/>
      </c>
      <c r="AJ413" s="608" t="str">
        <f>IF(OR($V413="",$F413="",$G413=""),"",$V413/($F413*$G413))</f>
        <v/>
      </c>
      <c r="AK413" s="600" t="str">
        <f>IF($V413="","",IF($V413&gt;0,"○勝",IF($V413&lt;0,"●負","△引分")))</f>
        <v/>
      </c>
    </row>
    <row r="414" spans="1:37" ht="17.25" customHeight="1">
      <c r="A414" s="622" t="str">
        <f>IF(B414="","",HYPERLINK("https://kabutan.jp/stock/?code="&amp;B414,"株探"))</f>
        <v/>
      </c>
      <c r="D414" s="440" t="str" cm="1">
        <f t="array" ref="D414">_xll.RssMarket(B414, "銘柄名称")</f>
        <v/>
      </c>
      <c r="E414" s="717"/>
      <c r="F414" s="698" t="str" cm="1">
        <f t="array" aca="1" ref="F414" ca="1">IFERROR(_xlfn.LET(_xlpm.r,MATCH(TEXT($B414,"0"),TEXT(銘柄管理!$B$6:$B$305,"0"),0),_xlpm.t,MOD(NOW(),1),_xlpm.c,IF($E414=TODAY(),IF(_xlpm.t&gt;=TIME(15,30,0),NA(),1),IF(MATCH($E414,始値!$E$3:$IT$3,0)=1,1,MATCH($E414,始値!$E$3:$IT$3,0)+1)),_xlpm.v,INDEX(始値!$C$6:$IT$305,_xlpm.r,_xlpm.c),IF(N(_xlpm.v)=0,"",_xlpm.v)),"")</f>
        <v/>
      </c>
      <c r="H414" s="440" t="str" cm="1">
        <f t="array" ref="H414">_xll.RssMarket(B414, "現在値")</f>
        <v/>
      </c>
      <c r="I414" s="440" t="str" cm="1">
        <f t="array" ref="I414">_xll.RssMarket(B414, "出来高加重平均")</f>
        <v/>
      </c>
      <c r="J414" s="704" t="str" cm="1">
        <f t="array" ref="J414">_xll.RssMarket($B414, "前日比")</f>
        <v/>
      </c>
      <c r="K414" s="704" t="str">
        <f>IF(OR(F414="",G414="",H414=""),"",IF(C414="売",(F414-H414)*G414,(H414-F414)*G414))</f>
        <v/>
      </c>
      <c r="L414" s="709" t="str">
        <f>IF(OR(F414="",H414=""),"",IF(C414="売",(F414-H414)/F414,(H414-F414)/F414))</f>
        <v/>
      </c>
      <c r="M414" s="599" t="str">
        <f>IF($F414="","",$F414*IF($C414="売",1-V811設定!$B$4,1+V811設定!$B$4)-MOD($F414*IF($C414="売",1-V811設定!$B$4,1+V811設定!$B$4),IF($F414&lt;=3000,1,IF($F414&lt;=5000,5,IF($F414&lt;=30000,10,IF($F414&lt;=50000,50,IF($F414&lt;=300000,100,500))))))+IF(AND($C414="売",MOD($F414*IF($C414="売",1-V811設定!$B$4,1+V811設定!$B$4),IF($F414&lt;=3000,1,IF($F414&lt;=5000,5,IF($F414&lt;=30000,10,IF($F414&lt;=50000,50,IF($F414&lt;=300000,100,500))))))&gt;0),IF($F414&lt;=3000,1,IF($F414&lt;=5000,5,IF($F414&lt;=30000,10,IF($F414&lt;=50000,50,IF($F414&lt;=300000,100,500))))),0))</f>
      </c>
      <c r="N414" s="599" t="str">
        <f>IF($F414="","",$F414*IF($C414="売",1+V811設定!$B$3,1-V811設定!$B$3)-MOD($F414*IF($C414="売",1+V811設定!$B$3,1-V811設定!$B$3),IF($F414&lt;=3000,1,IF($F414&lt;=5000,5,IF($F414&lt;=30000,10,IF($F414&lt;=50000,50,IF($F414&lt;=300000,100,500))))))+IF(AND($C414="売",MOD($F414*IF($C414="売",1+V811設定!$B$3,1-V811設定!$B$3),IF($F414&lt;=3000,1,IF($F414&lt;=5000,5,IF($F414&lt;=30000,10,IF($F414&lt;=50000,50,IF($F414&lt;=300000,100,500))))))&gt;0),IF($F414&lt;=3000,1,IF($F414&lt;=5000,5,IF($F414&lt;=30000,10,IF($F414&lt;=50000,50,IF($F414&lt;=300000,100,500))))),0))</f>
      </c>
      <c r="O414" s="478" t="str">
        <f>IF(OR($B414="",$F414="",$H414=""),"",IF($S414="✅売却済","―決済済―",IF($C414="売",IF($H414&lt;=$M414,"🟢利確",IF(AND($R414&lt;&gt;"",$H414&gt;=$R414),"🟠TRAIL",IF($H414&gt;=$N414,"🔴損切",IF($W414&gt;=V811設定!$B$6,"⏱時間決済",IF($H414&gt;=$F414*(1+V811設定!$B$3*0.7),"⚠️損切接近","保持継続"))))),IF($H414&gt;=$M414,"🟢利確",IF(AND($R414&lt;&gt;"",$H414&lt;=$R414),"🟠TRAIL",IF($H414&lt;=$N414,"🔴損切",IF($W414&gt;=V811設定!$B$6,"⏱時間決済",IF($H414&lt;=$F414*(1-V811設定!$B$3*0.7),"⚠️損切接近","保持継続"))))))))</f>
      </c>
      <c r="P414" s="445"/>
      <c r="R414" s="440" t="str">
        <f>IF(OR($F414="",$H414="",$N414=""),"",IF($S414="✅売却済","",IF($C414="売",IF($H414&gt;$F414*(1-V811設定!$B$3),$N414,MIN($N414,IF($Q414="",$N414,$Q414*1.03))),IF($H414&lt;$F414*(1+V811設定!$B$3),$N414,MAX($N414,IF($P414="",$N414,$P414*0.97))))))</f>
      </c>
      <c r="S414" s="440" t="str">
        <f>IF(B414="","",IF(T414&lt;&gt;"","✅売却済",IF(OR(H414="",L414=""),"📌保有中",IF(L414&gt;=0.06,"🟢利確推奨",IF(L414&gt;=0.05,"🟡利確直近",IF(L414&gt;=0.045,"🔵トレーリング検討",IF(L414&gt;-0.03,"📌保有中",IF(L414&gt;-0.04,"⚠️損切注意","🔴損切り"))))))))</f>
        <v/>
      </c>
      <c r="T414" s="597"/>
      <c r="U414" s="599"/>
      <c r="V414" s="704" t="str">
        <f>IF(OR(F414="",G414="",U414=""),"",IF(C414="売",(F414-U414)*G414,(U414-F414)*G414))</f>
        <v/>
      </c>
      <c r="W414" s="440" t="str">
        <f>IF(OR($E414="",$B414=""),"",IF($T414&lt;&gt;"",$T414-$E414,TODAY()-$E414)+1)</f>
        <v/>
      </c>
      <c r="X414" s="440" t="str">
        <f>IF(OR($AH414="",$AH414="保有中"),"",$AH414)</f>
        <v/>
      </c>
      <c r="AD414" s="608"/>
      <c r="AE414" s="600" t="str">
        <f>IF($E414="","",WORKDAY($E414,12))</f>
        <v/>
      </c>
      <c r="AF414" s="600" t="str" cm="1">
        <f t="array" aca="1" ref="AF414" ca="1">IF(OR($B414="",$M414=""),"",IFERROR(IF($C414="売",_xlfn.MINIFS(安値!$E$3:$IT$3,安値!$E$3:$IT$3,"&gt;"&amp;$E414,安値!$E$3:$IT$3,"&lt;="&amp;$AE414,OFFSET(安値!$E$6:$IT$6,MATCH(TEXT($B414,"0"),TEXT(銘柄管理!$B$6:$B$305,"0"),0)-1,0),"&lt;="&amp;$M414),_xlfn.MINIFS(高値!$E$3:$IT$3,高値!$E$3:$IT$3,"&gt;"&amp;$E414,高値!$E$3:$IT$3,"&lt;="&amp;$AE414,OFFSET(高値!$E$6:$IT$6,MATCH(TEXT($B414,"0"),TEXT(銘柄管理!$B$6:$B$305,"0"),0)-1,0),"&gt;="&amp;$M414)),""))</f>
        <v/>
      </c>
      <c r="AG414" s="600" t="str" cm="1">
        <f t="array" aca="1" ref="AG414" ca="1">IF(OR($B414="",$N414=""),"",IFERROR(IF($C414="売",_xlfn.MINIFS(高値!$E$3:$IT$3,高値!$E$3:$IT$3,"&gt;"&amp;$E414,高値!$E$3:$IT$3,"&lt;="&amp;$AE414,OFFSET(高値!$E$6:$IT$6,MATCH(TEXT($B414,"0"),TEXT(銘柄管理!$B$6:$B$305,"0"),0)-1,0),"&gt;="&amp;$N414),_xlfn.MINIFS(安値!$E$3:$IT$3,安値!$E$3:$IT$3,"&gt;"&amp;$E414,安値!$E$3:$IT$3,"&lt;="&amp;$AE414,OFFSET(安値!$E$6:$IT$6,MATCH(TEXT($B414,"0"),TEXT(銘柄管理!$B$6:$B$305,"0"),0)-1,0),"&lt;="&amp;$N414)),""))</f>
        <v/>
      </c>
      <c r="AH414" s="600" t="str">
        <f>IF(OR($B414="",$M414=""),"",IF(AND(N($AF414)=0,N($AG414)=0),IF(AND(ISNUMBER($H414),$H414&gt;0,IF($C414="売",$H414&gt;=$N414,$H414&lt;=$N414)),"損切確定",IF(AND(ISNUMBER($H414),$H414&gt;0,IF($C414="売",$H414&lt;=$M414,$H414&gt;=$M414)),"利益確定",IF($AE414&lt;=TODAY(),"日数制限","保有中"))),IF(N($AG414)=0,"利益確定",IF(N($AF414)=0,"損切確定",IF($AG414&lt;=$AF414,"損切確定","利益確定")))))</f>
        <v/>
      </c>
      <c r="AI414" s="600" t="str" cm="1">
        <f t="array" ref="AI414">IFERROR(INDEX(始値!$E$6:$IT$305,MATCH(TEXT($B414,"0"),TEXT(銘柄管理!$B$6:$B$305,"0"),0),MATCH($AE414,始値!$E$3:$IT$3,0)),"")</f>
        <v/>
      </c>
      <c r="AJ414" s="608" t="str">
        <f>IF(OR($V414="",$F414="",$G414=""),"",$V414/($F414*$G414))</f>
        <v/>
      </c>
      <c r="AK414" s="600" t="str">
        <f>IF($V414="","",IF($V414&gt;0,"○勝",IF($V414&lt;0,"●負","△引分")))</f>
        <v/>
      </c>
    </row>
    <row r="415" spans="1:37" ht="17.25" customHeight="1">
      <c r="A415" s="622" t="str">
        <f>IF(B415="","",HYPERLINK("https://kabutan.jp/stock/?code="&amp;B415,"株探"))</f>
        <v/>
      </c>
      <c r="D415" s="440" t="str" cm="1">
        <f t="array" ref="D415">_xll.RssMarket(B415, "銘柄名称")</f>
        <v/>
      </c>
      <c r="E415" s="717"/>
      <c r="F415" s="698" t="str" cm="1">
        <f t="array" aca="1" ref="F415" ca="1">IFERROR(_xlfn.LET(_xlpm.r,MATCH(TEXT($B415,"0"),TEXT(銘柄管理!$B$6:$B$305,"0"),0),_xlpm.t,MOD(NOW(),1),_xlpm.c,IF($E415=TODAY(),IF(_xlpm.t&gt;=TIME(15,30,0),NA(),1),IF(MATCH($E415,始値!$E$3:$IT$3,0)=1,1,MATCH($E415,始値!$E$3:$IT$3,0)+1)),_xlpm.v,INDEX(始値!$C$6:$IT$305,_xlpm.r,_xlpm.c),IF(N(_xlpm.v)=0,"",_xlpm.v)),"")</f>
        <v/>
      </c>
      <c r="H415" s="440" t="str" cm="1">
        <f t="array" ref="H415">_xll.RssMarket(B415, "現在値")</f>
        <v/>
      </c>
      <c r="I415" s="440" t="str" cm="1">
        <f t="array" ref="I415">_xll.RssMarket(B415, "出来高加重平均")</f>
        <v/>
      </c>
      <c r="J415" s="704" t="str" cm="1">
        <f t="array" ref="J415">_xll.RssMarket($B415, "前日比")</f>
        <v/>
      </c>
      <c r="K415" s="704" t="str">
        <f>IF(OR(F415="",G415="",H415=""),"",IF(C415="売",(F415-H415)*G415,(H415-F415)*G415))</f>
        <v/>
      </c>
      <c r="L415" s="709" t="str">
        <f>IF(OR(F415="",H415=""),"",IF(C415="売",(F415-H415)/F415,(H415-F415)/F415))</f>
        <v/>
      </c>
      <c r="M415" s="599" t="str">
        <f>IF($F415="","",$F415*IF($C415="売",1-V811設定!$B$4,1+V811設定!$B$4)-MOD($F415*IF($C415="売",1-V811設定!$B$4,1+V811設定!$B$4),IF($F415&lt;=3000,1,IF($F415&lt;=5000,5,IF($F415&lt;=30000,10,IF($F415&lt;=50000,50,IF($F415&lt;=300000,100,500))))))+IF(AND($C415="売",MOD($F415*IF($C415="売",1-V811設定!$B$4,1+V811設定!$B$4),IF($F415&lt;=3000,1,IF($F415&lt;=5000,5,IF($F415&lt;=30000,10,IF($F415&lt;=50000,50,IF($F415&lt;=300000,100,500))))))&gt;0),IF($F415&lt;=3000,1,IF($F415&lt;=5000,5,IF($F415&lt;=30000,10,IF($F415&lt;=50000,50,IF($F415&lt;=300000,100,500))))),0))</f>
      </c>
      <c r="N415" s="599" t="str">
        <f>IF($F415="","",$F415*IF($C415="売",1+V811設定!$B$3,1-V811設定!$B$3)-MOD($F415*IF($C415="売",1+V811設定!$B$3,1-V811設定!$B$3),IF($F415&lt;=3000,1,IF($F415&lt;=5000,5,IF($F415&lt;=30000,10,IF($F415&lt;=50000,50,IF($F415&lt;=300000,100,500))))))+IF(AND($C415="売",MOD($F415*IF($C415="売",1+V811設定!$B$3,1-V811設定!$B$3),IF($F415&lt;=3000,1,IF($F415&lt;=5000,5,IF($F415&lt;=30000,10,IF($F415&lt;=50000,50,IF($F415&lt;=300000,100,500))))))&gt;0),IF($F415&lt;=3000,1,IF($F415&lt;=5000,5,IF($F415&lt;=30000,10,IF($F415&lt;=50000,50,IF($F415&lt;=300000,100,500))))),0))</f>
      </c>
      <c r="O415" s="478" t="str">
        <f>IF(OR($B415="",$F415="",$H415=""),"",IF($S415="✅売却済","―決済済―",IF($C415="売",IF($H415&lt;=$M415,"🟢利確",IF(AND($R415&lt;&gt;"",$H415&gt;=$R415),"🟠TRAIL",IF($H415&gt;=$N415,"🔴損切",IF($W415&gt;=V811設定!$B$6,"⏱時間決済",IF($H415&gt;=$F415*(1+V811設定!$B$3*0.7),"⚠️損切接近","保持継続"))))),IF($H415&gt;=$M415,"🟢利確",IF(AND($R415&lt;&gt;"",$H415&lt;=$R415),"🟠TRAIL",IF($H415&lt;=$N415,"🔴損切",IF($W415&gt;=V811設定!$B$6,"⏱時間決済",IF($H415&lt;=$F415*(1-V811設定!$B$3*0.7),"⚠️損切接近","保持継続"))))))))</f>
      </c>
      <c r="P415" s="445"/>
      <c r="R415" s="440" t="str">
        <f>IF(OR($F415="",$H415="",$N415=""),"",IF($S415="✅売却済","",IF($C415="売",IF($H415&gt;$F415*(1-V811設定!$B$3),$N415,MIN($N415,IF($Q415="",$N415,$Q415*1.03))),IF($H415&lt;$F415*(1+V811設定!$B$3),$N415,MAX($N415,IF($P415="",$N415,$P415*0.97))))))</f>
      </c>
      <c r="S415" s="440" t="str">
        <f>IF(B415="","",IF(T415&lt;&gt;"","✅売却済",IF(OR(H415="",L415=""),"📌保有中",IF(L415&gt;=0.06,"🟢利確推奨",IF(L415&gt;=0.05,"🟡利確直近",IF(L415&gt;=0.045,"🔵トレーリング検討",IF(L415&gt;-0.03,"📌保有中",IF(L415&gt;-0.04,"⚠️損切注意","🔴損切り"))))))))</f>
        <v/>
      </c>
      <c r="T415" s="597"/>
      <c r="U415" s="599"/>
      <c r="V415" s="704" t="str">
        <f>IF(OR(F415="",G415="",U415=""),"",IF(C415="売",(F415-U415)*G415,(U415-F415)*G415))</f>
        <v/>
      </c>
      <c r="W415" s="440" t="str">
        <f>IF(OR($E415="",$B415=""),"",IF($T415&lt;&gt;"",$T415-$E415,TODAY()-$E415)+1)</f>
        <v/>
      </c>
      <c r="X415" s="440" t="str">
        <f>IF(OR($AH415="",$AH415="保有中"),"",$AH415)</f>
        <v/>
      </c>
      <c r="AD415" s="608"/>
      <c r="AE415" s="600" t="str">
        <f>IF($E415="","",WORKDAY($E415,12))</f>
        <v/>
      </c>
      <c r="AF415" s="600" t="str" cm="1">
        <f t="array" aca="1" ref="AF415" ca="1">IF(OR($B415="",$M415=""),"",IFERROR(IF($C415="売",_xlfn.MINIFS(安値!$E$3:$IT$3,安値!$E$3:$IT$3,"&gt;"&amp;$E415,安値!$E$3:$IT$3,"&lt;="&amp;$AE415,OFFSET(安値!$E$6:$IT$6,MATCH(TEXT($B415,"0"),TEXT(銘柄管理!$B$6:$B$305,"0"),0)-1,0),"&lt;="&amp;$M415),_xlfn.MINIFS(高値!$E$3:$IT$3,高値!$E$3:$IT$3,"&gt;"&amp;$E415,高値!$E$3:$IT$3,"&lt;="&amp;$AE415,OFFSET(高値!$E$6:$IT$6,MATCH(TEXT($B415,"0"),TEXT(銘柄管理!$B$6:$B$305,"0"),0)-1,0),"&gt;="&amp;$M415)),""))</f>
        <v/>
      </c>
      <c r="AG415" s="600" t="str" cm="1">
        <f t="array" aca="1" ref="AG415" ca="1">IF(OR($B415="",$N415=""),"",IFERROR(IF($C415="売",_xlfn.MINIFS(高値!$E$3:$IT$3,高値!$E$3:$IT$3,"&gt;"&amp;$E415,高値!$E$3:$IT$3,"&lt;="&amp;$AE415,OFFSET(高値!$E$6:$IT$6,MATCH(TEXT($B415,"0"),TEXT(銘柄管理!$B$6:$B$305,"0"),0)-1,0),"&gt;="&amp;$N415),_xlfn.MINIFS(安値!$E$3:$IT$3,安値!$E$3:$IT$3,"&gt;"&amp;$E415,安値!$E$3:$IT$3,"&lt;="&amp;$AE415,OFFSET(安値!$E$6:$IT$6,MATCH(TEXT($B415,"0"),TEXT(銘柄管理!$B$6:$B$305,"0"),0)-1,0),"&lt;="&amp;$N415)),""))</f>
        <v/>
      </c>
      <c r="AH415" s="600" t="str">
        <f>IF(OR($B415="",$M415=""),"",IF(AND(N($AF415)=0,N($AG415)=0),IF(AND(ISNUMBER($H415),$H415&gt;0,IF($C415="売",$H415&gt;=$N415,$H415&lt;=$N415)),"損切確定",IF(AND(ISNUMBER($H415),$H415&gt;0,IF($C415="売",$H415&lt;=$M415,$H415&gt;=$M415)),"利益確定",IF($AE415&lt;=TODAY(),"日数制限","保有中"))),IF(N($AG415)=0,"利益確定",IF(N($AF415)=0,"損切確定",IF($AG415&lt;=$AF415,"損切確定","利益確定")))))</f>
        <v/>
      </c>
      <c r="AI415" s="600" t="str" cm="1">
        <f t="array" ref="AI415">IFERROR(INDEX(始値!$E$6:$IT$305,MATCH(TEXT($B415,"0"),TEXT(銘柄管理!$B$6:$B$305,"0"),0),MATCH($AE415,始値!$E$3:$IT$3,0)),"")</f>
        <v/>
      </c>
      <c r="AJ415" s="608" t="str">
        <f>IF(OR($V415="",$F415="",$G415=""),"",$V415/($F415*$G415))</f>
        <v/>
      </c>
      <c r="AK415" s="600" t="str">
        <f>IF($V415="","",IF($V415&gt;0,"○勝",IF($V415&lt;0,"●負","△引分")))</f>
        <v/>
      </c>
    </row>
    <row r="416" spans="1:37" ht="17.25" customHeight="1">
      <c r="A416" s="622" t="str">
        <f>IF(B416="","",HYPERLINK("https://kabutan.jp/stock/?code="&amp;B416,"株探"))</f>
        <v/>
      </c>
      <c r="D416" s="440" t="str" cm="1">
        <f t="array" ref="D416">_xll.RssMarket(B416, "銘柄名称")</f>
        <v/>
      </c>
      <c r="E416" s="717"/>
      <c r="F416" s="698" t="str" cm="1">
        <f t="array" aca="1" ref="F416" ca="1">IFERROR(_xlfn.LET(_xlpm.r,MATCH(TEXT($B416,"0"),TEXT(銘柄管理!$B$6:$B$305,"0"),0),_xlpm.t,MOD(NOW(),1),_xlpm.c,IF($E416=TODAY(),IF(_xlpm.t&gt;=TIME(15,30,0),NA(),1),IF(MATCH($E416,始値!$E$3:$IT$3,0)=1,1,MATCH($E416,始値!$E$3:$IT$3,0)+1)),_xlpm.v,INDEX(始値!$C$6:$IT$305,_xlpm.r,_xlpm.c),IF(N(_xlpm.v)=0,"",_xlpm.v)),"")</f>
        <v/>
      </c>
      <c r="H416" s="440" t="str" cm="1">
        <f t="array" ref="H416">_xll.RssMarket(B416, "現在値")</f>
        <v/>
      </c>
      <c r="I416" s="440" t="str" cm="1">
        <f t="array" ref="I416">_xll.RssMarket(B416, "出来高加重平均")</f>
        <v/>
      </c>
      <c r="J416" s="704" t="str" cm="1">
        <f t="array" ref="J416">_xll.RssMarket($B416, "前日比")</f>
        <v/>
      </c>
      <c r="K416" s="704" t="str">
        <f>IF(OR(F416="",G416="",H416=""),"",IF(C416="売",(F416-H416)*G416,(H416-F416)*G416))</f>
        <v/>
      </c>
      <c r="L416" s="709" t="str">
        <f>IF(OR(F416="",H416=""),"",IF(C416="売",(F416-H416)/F416,(H416-F416)/F416))</f>
        <v/>
      </c>
      <c r="M416" s="599" t="str">
        <f>IF($F416="","",$F416*IF($C416="売",1-V811設定!$B$4,1+V811設定!$B$4)-MOD($F416*IF($C416="売",1-V811設定!$B$4,1+V811設定!$B$4),IF($F416&lt;=3000,1,IF($F416&lt;=5000,5,IF($F416&lt;=30000,10,IF($F416&lt;=50000,50,IF($F416&lt;=300000,100,500))))))+IF(AND($C416="売",MOD($F416*IF($C416="売",1-V811設定!$B$4,1+V811設定!$B$4),IF($F416&lt;=3000,1,IF($F416&lt;=5000,5,IF($F416&lt;=30000,10,IF($F416&lt;=50000,50,IF($F416&lt;=300000,100,500))))))&gt;0),IF($F416&lt;=3000,1,IF($F416&lt;=5000,5,IF($F416&lt;=30000,10,IF($F416&lt;=50000,50,IF($F416&lt;=300000,100,500))))),0))</f>
      </c>
      <c r="N416" s="599" t="str">
        <f>IF($F416="","",$F416*IF($C416="売",1+V811設定!$B$3,1-V811設定!$B$3)-MOD($F416*IF($C416="売",1+V811設定!$B$3,1-V811設定!$B$3),IF($F416&lt;=3000,1,IF($F416&lt;=5000,5,IF($F416&lt;=30000,10,IF($F416&lt;=50000,50,IF($F416&lt;=300000,100,500))))))+IF(AND($C416="売",MOD($F416*IF($C416="売",1+V811設定!$B$3,1-V811設定!$B$3),IF($F416&lt;=3000,1,IF($F416&lt;=5000,5,IF($F416&lt;=30000,10,IF($F416&lt;=50000,50,IF($F416&lt;=300000,100,500))))))&gt;0),IF($F416&lt;=3000,1,IF($F416&lt;=5000,5,IF($F416&lt;=30000,10,IF($F416&lt;=50000,50,IF($F416&lt;=300000,100,500))))),0))</f>
      </c>
      <c r="O416" s="478" t="str">
        <f>IF(OR($B416="",$F416="",$H416=""),"",IF($S416="✅売却済","―決済済―",IF($C416="売",IF($H416&lt;=$M416,"🟢利確",IF(AND($R416&lt;&gt;"",$H416&gt;=$R416),"🟠TRAIL",IF($H416&gt;=$N416,"🔴損切",IF($W416&gt;=V811設定!$B$6,"⏱時間決済",IF($H416&gt;=$F416*(1+V811設定!$B$3*0.7),"⚠️損切接近","保持継続"))))),IF($H416&gt;=$M416,"🟢利確",IF(AND($R416&lt;&gt;"",$H416&lt;=$R416),"🟠TRAIL",IF($H416&lt;=$N416,"🔴損切",IF($W416&gt;=V811設定!$B$6,"⏱時間決済",IF($H416&lt;=$F416*(1-V811設定!$B$3*0.7),"⚠️損切接近","保持継続"))))))))</f>
      </c>
      <c r="P416" s="445"/>
      <c r="R416" s="440" t="str">
        <f>IF(OR($F416="",$H416="",$N416=""),"",IF($S416="✅売却済","",IF($C416="売",IF($H416&gt;$F416*(1-V811設定!$B$3),$N416,MIN($N416,IF($Q416="",$N416,$Q416*1.03))),IF($H416&lt;$F416*(1+V811設定!$B$3),$N416,MAX($N416,IF($P416="",$N416,$P416*0.97))))))</f>
      </c>
      <c r="S416" s="440" t="str">
        <f>IF(B416="","",IF(T416&lt;&gt;"","✅売却済",IF(OR(H416="",L416=""),"📌保有中",IF(L416&gt;=0.06,"🟢利確推奨",IF(L416&gt;=0.05,"🟡利確直近",IF(L416&gt;=0.045,"🔵トレーリング検討",IF(L416&gt;-0.03,"📌保有中",IF(L416&gt;-0.04,"⚠️損切注意","🔴損切り"))))))))</f>
        <v/>
      </c>
      <c r="T416" s="597"/>
      <c r="U416" s="599"/>
      <c r="V416" s="704" t="str">
        <f>IF(OR(F416="",G416="",U416=""),"",IF(C416="売",(F416-U416)*G416,(U416-F416)*G416))</f>
        <v/>
      </c>
      <c r="W416" s="440" t="str">
        <f>IF(OR($E416="",$B416=""),"",IF($T416&lt;&gt;"",$T416-$E416,TODAY()-$E416)+1)</f>
        <v/>
      </c>
      <c r="X416" s="440" t="str">
        <f>IF(OR($AH416="",$AH416="保有中"),"",$AH416)</f>
        <v/>
      </c>
      <c r="AD416" s="608"/>
      <c r="AE416" s="600" t="str">
        <f>IF($E416="","",WORKDAY($E416,12))</f>
        <v/>
      </c>
      <c r="AF416" s="600" t="str" cm="1">
        <f t="array" aca="1" ref="AF416" ca="1">IF(OR($B416="",$M416=""),"",IFERROR(IF($C416="売",_xlfn.MINIFS(安値!$E$3:$IT$3,安値!$E$3:$IT$3,"&gt;"&amp;$E416,安値!$E$3:$IT$3,"&lt;="&amp;$AE416,OFFSET(安値!$E$6:$IT$6,MATCH(TEXT($B416,"0"),TEXT(銘柄管理!$B$6:$B$305,"0"),0)-1,0),"&lt;="&amp;$M416),_xlfn.MINIFS(高値!$E$3:$IT$3,高値!$E$3:$IT$3,"&gt;"&amp;$E416,高値!$E$3:$IT$3,"&lt;="&amp;$AE416,OFFSET(高値!$E$6:$IT$6,MATCH(TEXT($B416,"0"),TEXT(銘柄管理!$B$6:$B$305,"0"),0)-1,0),"&gt;="&amp;$M416)),""))</f>
        <v/>
      </c>
      <c r="AG416" s="600" t="str" cm="1">
        <f t="array" aca="1" ref="AG416" ca="1">IF(OR($B416="",$N416=""),"",IFERROR(IF($C416="売",_xlfn.MINIFS(高値!$E$3:$IT$3,高値!$E$3:$IT$3,"&gt;"&amp;$E416,高値!$E$3:$IT$3,"&lt;="&amp;$AE416,OFFSET(高値!$E$6:$IT$6,MATCH(TEXT($B416,"0"),TEXT(銘柄管理!$B$6:$B$305,"0"),0)-1,0),"&gt;="&amp;$N416),_xlfn.MINIFS(安値!$E$3:$IT$3,安値!$E$3:$IT$3,"&gt;"&amp;$E416,安値!$E$3:$IT$3,"&lt;="&amp;$AE416,OFFSET(安値!$E$6:$IT$6,MATCH(TEXT($B416,"0"),TEXT(銘柄管理!$B$6:$B$305,"0"),0)-1,0),"&lt;="&amp;$N416)),""))</f>
        <v/>
      </c>
      <c r="AH416" s="600" t="str">
        <f>IF(OR($B416="",$M416=""),"",IF(AND(N($AF416)=0,N($AG416)=0),IF(AND(ISNUMBER($H416),$H416&gt;0,IF($C416="売",$H416&gt;=$N416,$H416&lt;=$N416)),"損切確定",IF(AND(ISNUMBER($H416),$H416&gt;0,IF($C416="売",$H416&lt;=$M416,$H416&gt;=$M416)),"利益確定",IF($AE416&lt;=TODAY(),"日数制限","保有中"))),IF(N($AG416)=0,"利益確定",IF(N($AF416)=0,"損切確定",IF($AG416&lt;=$AF416,"損切確定","利益確定")))))</f>
        <v/>
      </c>
      <c r="AI416" s="600" t="str" cm="1">
        <f t="array" ref="AI416">IFERROR(INDEX(始値!$E$6:$IT$305,MATCH(TEXT($B416,"0"),TEXT(銘柄管理!$B$6:$B$305,"0"),0),MATCH($AE416,始値!$E$3:$IT$3,0)),"")</f>
        <v/>
      </c>
      <c r="AJ416" s="608" t="str">
        <f>IF(OR($V416="",$F416="",$G416=""),"",$V416/($F416*$G416))</f>
        <v/>
      </c>
      <c r="AK416" s="600" t="str">
        <f>IF($V416="","",IF($V416&gt;0,"○勝",IF($V416&lt;0,"●負","△引分")))</f>
        <v/>
      </c>
    </row>
    <row r="417" spans="1:37" ht="17.25" customHeight="1">
      <c r="A417" s="622" t="str">
        <f>IF(B417="","",HYPERLINK("https://kabutan.jp/stock/?code="&amp;B417,"株探"))</f>
        <v/>
      </c>
      <c r="D417" s="440" t="str" cm="1">
        <f t="array" ref="D417">_xll.RssMarket(B417, "銘柄名称")</f>
        <v/>
      </c>
      <c r="E417" s="717"/>
      <c r="F417" s="698" t="str" cm="1">
        <f t="array" aca="1" ref="F417" ca="1">IFERROR(_xlfn.LET(_xlpm.r,MATCH(TEXT($B417,"0"),TEXT(銘柄管理!$B$6:$B$305,"0"),0),_xlpm.t,MOD(NOW(),1),_xlpm.c,IF($E417=TODAY(),IF(_xlpm.t&gt;=TIME(15,30,0),NA(),1),IF(MATCH($E417,始値!$E$3:$IT$3,0)=1,1,MATCH($E417,始値!$E$3:$IT$3,0)+1)),_xlpm.v,INDEX(始値!$C$6:$IT$305,_xlpm.r,_xlpm.c),IF(N(_xlpm.v)=0,"",_xlpm.v)),"")</f>
        <v/>
      </c>
      <c r="H417" s="440" t="str" cm="1">
        <f t="array" ref="H417">_xll.RssMarket(B417, "現在値")</f>
        <v/>
      </c>
      <c r="I417" s="440" t="str" cm="1">
        <f t="array" ref="I417">_xll.RssMarket(B417, "出来高加重平均")</f>
        <v/>
      </c>
      <c r="J417" s="704" t="str" cm="1">
        <f t="array" ref="J417">_xll.RssMarket($B417, "前日比")</f>
        <v/>
      </c>
      <c r="K417" s="704" t="str">
        <f>IF(OR(F417="",G417="",H417=""),"",IF(C417="売",(F417-H417)*G417,(H417-F417)*G417))</f>
        <v/>
      </c>
      <c r="L417" s="709" t="str">
        <f>IF(OR(F417="",H417=""),"",IF(C417="売",(F417-H417)/F417,(H417-F417)/F417))</f>
        <v/>
      </c>
      <c r="M417" s="599" t="str">
        <f>IF($F417="","",$F417*IF($C417="売",1-V811設定!$B$4,1+V811設定!$B$4)-MOD($F417*IF($C417="売",1-V811設定!$B$4,1+V811設定!$B$4),IF($F417&lt;=3000,1,IF($F417&lt;=5000,5,IF($F417&lt;=30000,10,IF($F417&lt;=50000,50,IF($F417&lt;=300000,100,500))))))+IF(AND($C417="売",MOD($F417*IF($C417="売",1-V811設定!$B$4,1+V811設定!$B$4),IF($F417&lt;=3000,1,IF($F417&lt;=5000,5,IF($F417&lt;=30000,10,IF($F417&lt;=50000,50,IF($F417&lt;=300000,100,500))))))&gt;0),IF($F417&lt;=3000,1,IF($F417&lt;=5000,5,IF($F417&lt;=30000,10,IF($F417&lt;=50000,50,IF($F417&lt;=300000,100,500))))),0))</f>
      </c>
      <c r="N417" s="599" t="str">
        <f>IF($F417="","",$F417*IF($C417="売",1+V811設定!$B$3,1-V811設定!$B$3)-MOD($F417*IF($C417="売",1+V811設定!$B$3,1-V811設定!$B$3),IF($F417&lt;=3000,1,IF($F417&lt;=5000,5,IF($F417&lt;=30000,10,IF($F417&lt;=50000,50,IF($F417&lt;=300000,100,500))))))+IF(AND($C417="売",MOD($F417*IF($C417="売",1+V811設定!$B$3,1-V811設定!$B$3),IF($F417&lt;=3000,1,IF($F417&lt;=5000,5,IF($F417&lt;=30000,10,IF($F417&lt;=50000,50,IF($F417&lt;=300000,100,500))))))&gt;0),IF($F417&lt;=3000,1,IF($F417&lt;=5000,5,IF($F417&lt;=30000,10,IF($F417&lt;=50000,50,IF($F417&lt;=300000,100,500))))),0))</f>
      </c>
      <c r="O417" s="478" t="str">
        <f>IF(OR($B417="",$F417="",$H417=""),"",IF($S417="✅売却済","―決済済―",IF($C417="売",IF($H417&lt;=$M417,"🟢利確",IF(AND($R417&lt;&gt;"",$H417&gt;=$R417),"🟠TRAIL",IF($H417&gt;=$N417,"🔴損切",IF($W417&gt;=V811設定!$B$6,"⏱時間決済",IF($H417&gt;=$F417*(1+V811設定!$B$3*0.7),"⚠️損切接近","保持継続"))))),IF($H417&gt;=$M417,"🟢利確",IF(AND($R417&lt;&gt;"",$H417&lt;=$R417),"🟠TRAIL",IF($H417&lt;=$N417,"🔴損切",IF($W417&gt;=V811設定!$B$6,"⏱時間決済",IF($H417&lt;=$F417*(1-V811設定!$B$3*0.7),"⚠️損切接近","保持継続"))))))))</f>
      </c>
      <c r="P417" s="445"/>
      <c r="R417" s="440" t="str">
        <f>IF(OR($F417="",$H417="",$N417=""),"",IF($S417="✅売却済","",IF($C417="売",IF($H417&gt;$F417*(1-V811設定!$B$3),$N417,MIN($N417,IF($Q417="",$N417,$Q417*1.03))),IF($H417&lt;$F417*(1+V811設定!$B$3),$N417,MAX($N417,IF($P417="",$N417,$P417*0.97))))))</f>
      </c>
      <c r="S417" s="440" t="str">
        <f>IF(B417="","",IF(T417&lt;&gt;"","✅売却済",IF(OR(H417="",L417=""),"📌保有中",IF(L417&gt;=0.06,"🟢利確推奨",IF(L417&gt;=0.05,"🟡利確直近",IF(L417&gt;=0.045,"🔵トレーリング検討",IF(L417&gt;-0.03,"📌保有中",IF(L417&gt;-0.04,"⚠️損切注意","🔴損切り"))))))))</f>
        <v/>
      </c>
      <c r="T417" s="597"/>
      <c r="U417" s="599"/>
      <c r="V417" s="704" t="str">
        <f>IF(OR(F417="",G417="",U417=""),"",IF(C417="売",(F417-U417)*G417,(U417-F417)*G417))</f>
        <v/>
      </c>
      <c r="W417" s="440" t="str">
        <f>IF(OR($E417="",$B417=""),"",IF($T417&lt;&gt;"",$T417-$E417,TODAY()-$E417)+1)</f>
        <v/>
      </c>
      <c r="X417" s="440" t="str">
        <f>IF(OR($AH417="",$AH417="保有中"),"",$AH417)</f>
        <v/>
      </c>
      <c r="AD417" s="608"/>
      <c r="AE417" s="600" t="str">
        <f>IF($E417="","",WORKDAY($E417,12))</f>
        <v/>
      </c>
      <c r="AF417" s="600" t="str" cm="1">
        <f t="array" aca="1" ref="AF417" ca="1">IF(OR($B417="",$M417=""),"",IFERROR(IF($C417="売",_xlfn.MINIFS(安値!$E$3:$IT$3,安値!$E$3:$IT$3,"&gt;"&amp;$E417,安値!$E$3:$IT$3,"&lt;="&amp;$AE417,OFFSET(安値!$E$6:$IT$6,MATCH(TEXT($B417,"0"),TEXT(銘柄管理!$B$6:$B$305,"0"),0)-1,0),"&lt;="&amp;$M417),_xlfn.MINIFS(高値!$E$3:$IT$3,高値!$E$3:$IT$3,"&gt;"&amp;$E417,高値!$E$3:$IT$3,"&lt;="&amp;$AE417,OFFSET(高値!$E$6:$IT$6,MATCH(TEXT($B417,"0"),TEXT(銘柄管理!$B$6:$B$305,"0"),0)-1,0),"&gt;="&amp;$M417)),""))</f>
        <v/>
      </c>
      <c r="AG417" s="600" t="str" cm="1">
        <f t="array" aca="1" ref="AG417" ca="1">IF(OR($B417="",$N417=""),"",IFERROR(IF($C417="売",_xlfn.MINIFS(高値!$E$3:$IT$3,高値!$E$3:$IT$3,"&gt;"&amp;$E417,高値!$E$3:$IT$3,"&lt;="&amp;$AE417,OFFSET(高値!$E$6:$IT$6,MATCH(TEXT($B417,"0"),TEXT(銘柄管理!$B$6:$B$305,"0"),0)-1,0),"&gt;="&amp;$N417),_xlfn.MINIFS(安値!$E$3:$IT$3,安値!$E$3:$IT$3,"&gt;"&amp;$E417,安値!$E$3:$IT$3,"&lt;="&amp;$AE417,OFFSET(安値!$E$6:$IT$6,MATCH(TEXT($B417,"0"),TEXT(銘柄管理!$B$6:$B$305,"0"),0)-1,0),"&lt;="&amp;$N417)),""))</f>
        <v/>
      </c>
      <c r="AH417" s="600" t="str">
        <f>IF(OR($B417="",$M417=""),"",IF(AND(N($AF417)=0,N($AG417)=0),IF(AND(ISNUMBER($H417),$H417&gt;0,IF($C417="売",$H417&gt;=$N417,$H417&lt;=$N417)),"損切確定",IF(AND(ISNUMBER($H417),$H417&gt;0,IF($C417="売",$H417&lt;=$M417,$H417&gt;=$M417)),"利益確定",IF($AE417&lt;=TODAY(),"日数制限","保有中"))),IF(N($AG417)=0,"利益確定",IF(N($AF417)=0,"損切確定",IF($AG417&lt;=$AF417,"損切確定","利益確定")))))</f>
        <v/>
      </c>
      <c r="AI417" s="600" t="str" cm="1">
        <f t="array" ref="AI417">IFERROR(INDEX(始値!$E$6:$IT$305,MATCH(TEXT($B417,"0"),TEXT(銘柄管理!$B$6:$B$305,"0"),0),MATCH($AE417,始値!$E$3:$IT$3,0)),"")</f>
        <v/>
      </c>
      <c r="AJ417" s="608" t="str">
        <f>IF(OR($V417="",$F417="",$G417=""),"",$V417/($F417*$G417))</f>
        <v/>
      </c>
      <c r="AK417" s="600" t="str">
        <f>IF($V417="","",IF($V417&gt;0,"○勝",IF($V417&lt;0,"●負","△引分")))</f>
        <v/>
      </c>
    </row>
    <row r="418" spans="1:37" ht="17.25" customHeight="1">
      <c r="A418" s="622" t="str">
        <f>IF(B418="","",HYPERLINK("https://kabutan.jp/stock/?code="&amp;B418,"株探"))</f>
        <v/>
      </c>
      <c r="D418" s="440" t="str" cm="1">
        <f t="array" ref="D418">_xll.RssMarket(B418, "銘柄名称")</f>
        <v/>
      </c>
      <c r="E418" s="717"/>
      <c r="F418" s="698" t="str" cm="1">
        <f t="array" aca="1" ref="F418" ca="1">IFERROR(_xlfn.LET(_xlpm.r,MATCH(TEXT($B418,"0"),TEXT(銘柄管理!$B$6:$B$305,"0"),0),_xlpm.t,MOD(NOW(),1),_xlpm.c,IF($E418=TODAY(),IF(_xlpm.t&gt;=TIME(15,30,0),NA(),1),IF(MATCH($E418,始値!$E$3:$IT$3,0)=1,1,MATCH($E418,始値!$E$3:$IT$3,0)+1)),_xlpm.v,INDEX(始値!$C$6:$IT$305,_xlpm.r,_xlpm.c),IF(N(_xlpm.v)=0,"",_xlpm.v)),"")</f>
        <v/>
      </c>
      <c r="H418" s="440" t="str" cm="1">
        <f t="array" ref="H418">_xll.RssMarket(B418, "現在値")</f>
        <v/>
      </c>
      <c r="I418" s="440" t="str" cm="1">
        <f t="array" ref="I418">_xll.RssMarket(B418, "出来高加重平均")</f>
        <v/>
      </c>
      <c r="J418" s="704" t="str" cm="1">
        <f t="array" ref="J418">_xll.RssMarket($B418, "前日比")</f>
        <v/>
      </c>
      <c r="K418" s="704" t="str">
        <f>IF(OR(F418="",G418="",H418=""),"",IF(C418="売",(F418-H418)*G418,(H418-F418)*G418))</f>
        <v/>
      </c>
      <c r="L418" s="709" t="str">
        <f>IF(OR(F418="",H418=""),"",IF(C418="売",(F418-H418)/F418,(H418-F418)/F418))</f>
        <v/>
      </c>
      <c r="M418" s="599" t="str">
        <f>IF($F418="","",$F418*IF($C418="売",1-V811設定!$B$4,1+V811設定!$B$4)-MOD($F418*IF($C418="売",1-V811設定!$B$4,1+V811設定!$B$4),IF($F418&lt;=3000,1,IF($F418&lt;=5000,5,IF($F418&lt;=30000,10,IF($F418&lt;=50000,50,IF($F418&lt;=300000,100,500))))))+IF(AND($C418="売",MOD($F418*IF($C418="売",1-V811設定!$B$4,1+V811設定!$B$4),IF($F418&lt;=3000,1,IF($F418&lt;=5000,5,IF($F418&lt;=30000,10,IF($F418&lt;=50000,50,IF($F418&lt;=300000,100,500))))))&gt;0),IF($F418&lt;=3000,1,IF($F418&lt;=5000,5,IF($F418&lt;=30000,10,IF($F418&lt;=50000,50,IF($F418&lt;=300000,100,500))))),0))</f>
      </c>
      <c r="N418" s="599" t="str">
        <f>IF($F418="","",$F418*IF($C418="売",1+V811設定!$B$3,1-V811設定!$B$3)-MOD($F418*IF($C418="売",1+V811設定!$B$3,1-V811設定!$B$3),IF($F418&lt;=3000,1,IF($F418&lt;=5000,5,IF($F418&lt;=30000,10,IF($F418&lt;=50000,50,IF($F418&lt;=300000,100,500))))))+IF(AND($C418="売",MOD($F418*IF($C418="売",1+V811設定!$B$3,1-V811設定!$B$3),IF($F418&lt;=3000,1,IF($F418&lt;=5000,5,IF($F418&lt;=30000,10,IF($F418&lt;=50000,50,IF($F418&lt;=300000,100,500))))))&gt;0),IF($F418&lt;=3000,1,IF($F418&lt;=5000,5,IF($F418&lt;=30000,10,IF($F418&lt;=50000,50,IF($F418&lt;=300000,100,500))))),0))</f>
      </c>
      <c r="O418" s="478" t="str">
        <f>IF(OR($B418="",$F418="",$H418=""),"",IF($S418="✅売却済","―決済済―",IF($C418="売",IF($H418&lt;=$M418,"🟢利確",IF(AND($R418&lt;&gt;"",$H418&gt;=$R418),"🟠TRAIL",IF($H418&gt;=$N418,"🔴損切",IF($W418&gt;=V811設定!$B$6,"⏱時間決済",IF($H418&gt;=$F418*(1+V811設定!$B$3*0.7),"⚠️損切接近","保持継続"))))),IF($H418&gt;=$M418,"🟢利確",IF(AND($R418&lt;&gt;"",$H418&lt;=$R418),"🟠TRAIL",IF($H418&lt;=$N418,"🔴損切",IF($W418&gt;=V811設定!$B$6,"⏱時間決済",IF($H418&lt;=$F418*(1-V811設定!$B$3*0.7),"⚠️損切接近","保持継続"))))))))</f>
      </c>
      <c r="P418" s="445"/>
      <c r="R418" s="440" t="str">
        <f>IF(OR($F418="",$H418="",$N418=""),"",IF($S418="✅売却済","",IF($C418="売",IF($H418&gt;$F418*(1-V811設定!$B$3),$N418,MIN($N418,IF($Q418="",$N418,$Q418*1.03))),IF($H418&lt;$F418*(1+V811設定!$B$3),$N418,MAX($N418,IF($P418="",$N418,$P418*0.97))))))</f>
      </c>
      <c r="S418" s="440" t="str">
        <f>IF(B418="","",IF(T418&lt;&gt;"","✅売却済",IF(OR(H418="",L418=""),"📌保有中",IF(L418&gt;=0.06,"🟢利確推奨",IF(L418&gt;=0.05,"🟡利確直近",IF(L418&gt;=0.045,"🔵トレーリング検討",IF(L418&gt;-0.03,"📌保有中",IF(L418&gt;-0.04,"⚠️損切注意","🔴損切り"))))))))</f>
        <v/>
      </c>
      <c r="T418" s="597"/>
      <c r="U418" s="599"/>
      <c r="V418" s="704" t="str">
        <f>IF(OR(F418="",G418="",U418=""),"",IF(C418="売",(F418-U418)*G418,(U418-F418)*G418))</f>
        <v/>
      </c>
      <c r="W418" s="440" t="str">
        <f>IF(OR($E418="",$B418=""),"",IF($T418&lt;&gt;"",$T418-$E418,TODAY()-$E418)+1)</f>
        <v/>
      </c>
      <c r="X418" s="440" t="str">
        <f>IF(OR($AH418="",$AH418="保有中"),"",$AH418)</f>
        <v/>
      </c>
      <c r="AD418" s="608"/>
      <c r="AE418" s="600" t="str">
        <f>IF($E418="","",WORKDAY($E418,12))</f>
        <v/>
      </c>
      <c r="AF418" s="600" t="str" cm="1">
        <f t="array" aca="1" ref="AF418" ca="1">IF(OR($B418="",$M418=""),"",IFERROR(IF($C418="売",_xlfn.MINIFS(安値!$E$3:$IT$3,安値!$E$3:$IT$3,"&gt;"&amp;$E418,安値!$E$3:$IT$3,"&lt;="&amp;$AE418,OFFSET(安値!$E$6:$IT$6,MATCH(TEXT($B418,"0"),TEXT(銘柄管理!$B$6:$B$305,"0"),0)-1,0),"&lt;="&amp;$M418),_xlfn.MINIFS(高値!$E$3:$IT$3,高値!$E$3:$IT$3,"&gt;"&amp;$E418,高値!$E$3:$IT$3,"&lt;="&amp;$AE418,OFFSET(高値!$E$6:$IT$6,MATCH(TEXT($B418,"0"),TEXT(銘柄管理!$B$6:$B$305,"0"),0)-1,0),"&gt;="&amp;$M418)),""))</f>
        <v/>
      </c>
      <c r="AG418" s="600" t="str" cm="1">
        <f t="array" aca="1" ref="AG418" ca="1">IF(OR($B418="",$N418=""),"",IFERROR(IF($C418="売",_xlfn.MINIFS(高値!$E$3:$IT$3,高値!$E$3:$IT$3,"&gt;"&amp;$E418,高値!$E$3:$IT$3,"&lt;="&amp;$AE418,OFFSET(高値!$E$6:$IT$6,MATCH(TEXT($B418,"0"),TEXT(銘柄管理!$B$6:$B$305,"0"),0)-1,0),"&gt;="&amp;$N418),_xlfn.MINIFS(安値!$E$3:$IT$3,安値!$E$3:$IT$3,"&gt;"&amp;$E418,安値!$E$3:$IT$3,"&lt;="&amp;$AE418,OFFSET(安値!$E$6:$IT$6,MATCH(TEXT($B418,"0"),TEXT(銘柄管理!$B$6:$B$305,"0"),0)-1,0),"&lt;="&amp;$N418)),""))</f>
        <v/>
      </c>
      <c r="AH418" s="600" t="str">
        <f>IF(OR($B418="",$M418=""),"",IF(AND(N($AF418)=0,N($AG418)=0),IF(AND(ISNUMBER($H418),$H418&gt;0,IF($C418="売",$H418&gt;=$N418,$H418&lt;=$N418)),"損切確定",IF(AND(ISNUMBER($H418),$H418&gt;0,IF($C418="売",$H418&lt;=$M418,$H418&gt;=$M418)),"利益確定",IF($AE418&lt;=TODAY(),"日数制限","保有中"))),IF(N($AG418)=0,"利益確定",IF(N($AF418)=0,"損切確定",IF($AG418&lt;=$AF418,"損切確定","利益確定")))))</f>
        <v/>
      </c>
      <c r="AI418" s="600" t="str" cm="1">
        <f t="array" ref="AI418">IFERROR(INDEX(始値!$E$6:$IT$305,MATCH(TEXT($B418,"0"),TEXT(銘柄管理!$B$6:$B$305,"0"),0),MATCH($AE418,始値!$E$3:$IT$3,0)),"")</f>
        <v/>
      </c>
      <c r="AJ418" s="608" t="str">
        <f>IF(OR($V418="",$F418="",$G418=""),"",$V418/($F418*$G418))</f>
        <v/>
      </c>
      <c r="AK418" s="600" t="str">
        <f>IF($V418="","",IF($V418&gt;0,"○勝",IF($V418&lt;0,"●負","△引分")))</f>
        <v/>
      </c>
    </row>
    <row r="419" spans="1:37" ht="17.25" customHeight="1">
      <c r="A419" s="622" t="str">
        <f>IF(B419="","",HYPERLINK("https://kabutan.jp/stock/?code="&amp;B419,"株探"))</f>
        <v/>
      </c>
      <c r="D419" s="440" t="str" cm="1">
        <f t="array" ref="D419">_xll.RssMarket(B419, "銘柄名称")</f>
        <v/>
      </c>
      <c r="E419" s="717"/>
      <c r="F419" s="698" t="str" cm="1">
        <f t="array" aca="1" ref="F419" ca="1">IFERROR(_xlfn.LET(_xlpm.r,MATCH(TEXT($B419,"0"),TEXT(銘柄管理!$B$6:$B$305,"0"),0),_xlpm.t,MOD(NOW(),1),_xlpm.c,IF($E419=TODAY(),IF(_xlpm.t&gt;=TIME(15,30,0),NA(),1),IF(MATCH($E419,始値!$E$3:$IT$3,0)=1,1,MATCH($E419,始値!$E$3:$IT$3,0)+1)),_xlpm.v,INDEX(始値!$C$6:$IT$305,_xlpm.r,_xlpm.c),IF(N(_xlpm.v)=0,"",_xlpm.v)),"")</f>
        <v/>
      </c>
      <c r="H419" s="440" t="str" cm="1">
        <f t="array" ref="H419">_xll.RssMarket(B419, "現在値")</f>
        <v/>
      </c>
      <c r="I419" s="440" t="str" cm="1">
        <f t="array" ref="I419">_xll.RssMarket(B419, "出来高加重平均")</f>
        <v/>
      </c>
      <c r="J419" s="704" t="str" cm="1">
        <f t="array" ref="J419">_xll.RssMarket($B419, "前日比")</f>
        <v/>
      </c>
      <c r="K419" s="704" t="str">
        <f>IF(OR(F419="",G419="",H419=""),"",IF(C419="売",(F419-H419)*G419,(H419-F419)*G419))</f>
        <v/>
      </c>
      <c r="L419" s="709" t="str">
        <f>IF(OR(F419="",H419=""),"",IF(C419="売",(F419-H419)/F419,(H419-F419)/F419))</f>
        <v/>
      </c>
      <c r="M419" s="599" t="str">
        <f>IF($F419="","",$F419*IF($C419="売",1-V811設定!$B$4,1+V811設定!$B$4)-MOD($F419*IF($C419="売",1-V811設定!$B$4,1+V811設定!$B$4),IF($F419&lt;=3000,1,IF($F419&lt;=5000,5,IF($F419&lt;=30000,10,IF($F419&lt;=50000,50,IF($F419&lt;=300000,100,500))))))+IF(AND($C419="売",MOD($F419*IF($C419="売",1-V811設定!$B$4,1+V811設定!$B$4),IF($F419&lt;=3000,1,IF($F419&lt;=5000,5,IF($F419&lt;=30000,10,IF($F419&lt;=50000,50,IF($F419&lt;=300000,100,500))))))&gt;0),IF($F419&lt;=3000,1,IF($F419&lt;=5000,5,IF($F419&lt;=30000,10,IF($F419&lt;=50000,50,IF($F419&lt;=300000,100,500))))),0))</f>
      </c>
      <c r="N419" s="599" t="str">
        <f>IF($F419="","",$F419*IF($C419="売",1+V811設定!$B$3,1-V811設定!$B$3)-MOD($F419*IF($C419="売",1+V811設定!$B$3,1-V811設定!$B$3),IF($F419&lt;=3000,1,IF($F419&lt;=5000,5,IF($F419&lt;=30000,10,IF($F419&lt;=50000,50,IF($F419&lt;=300000,100,500))))))+IF(AND($C419="売",MOD($F419*IF($C419="売",1+V811設定!$B$3,1-V811設定!$B$3),IF($F419&lt;=3000,1,IF($F419&lt;=5000,5,IF($F419&lt;=30000,10,IF($F419&lt;=50000,50,IF($F419&lt;=300000,100,500))))))&gt;0),IF($F419&lt;=3000,1,IF($F419&lt;=5000,5,IF($F419&lt;=30000,10,IF($F419&lt;=50000,50,IF($F419&lt;=300000,100,500))))),0))</f>
      </c>
      <c r="O419" s="478" t="str">
        <f>IF(OR($B419="",$F419="",$H419=""),"",IF($S419="✅売却済","―決済済―",IF($C419="売",IF($H419&lt;=$M419,"🟢利確",IF(AND($R419&lt;&gt;"",$H419&gt;=$R419),"🟠TRAIL",IF($H419&gt;=$N419,"🔴損切",IF($W419&gt;=V811設定!$B$6,"⏱時間決済",IF($H419&gt;=$F419*(1+V811設定!$B$3*0.7),"⚠️損切接近","保持継続"))))),IF($H419&gt;=$M419,"🟢利確",IF(AND($R419&lt;&gt;"",$H419&lt;=$R419),"🟠TRAIL",IF($H419&lt;=$N419,"🔴損切",IF($W419&gt;=V811設定!$B$6,"⏱時間決済",IF($H419&lt;=$F419*(1-V811設定!$B$3*0.7),"⚠️損切接近","保持継続"))))))))</f>
      </c>
      <c r="P419" s="445"/>
      <c r="R419" s="440" t="str">
        <f>IF(OR($F419="",$H419="",$N419=""),"",IF($S419="✅売却済","",IF($C419="売",IF($H419&gt;$F419*(1-V811設定!$B$3),$N419,MIN($N419,IF($Q419="",$N419,$Q419*1.03))),IF($H419&lt;$F419*(1+V811設定!$B$3),$N419,MAX($N419,IF($P419="",$N419,$P419*0.97))))))</f>
      </c>
      <c r="S419" s="440" t="str">
        <f>IF(B419="","",IF(T419&lt;&gt;"","✅売却済",IF(OR(H419="",L419=""),"📌保有中",IF(L419&gt;=0.06,"🟢利確推奨",IF(L419&gt;=0.05,"🟡利確直近",IF(L419&gt;=0.045,"🔵トレーリング検討",IF(L419&gt;-0.03,"📌保有中",IF(L419&gt;-0.04,"⚠️損切注意","🔴損切り"))))))))</f>
        <v/>
      </c>
      <c r="T419" s="597"/>
      <c r="U419" s="599"/>
      <c r="V419" s="704" t="str">
        <f>IF(OR(F419="",G419="",U419=""),"",IF(C419="売",(F419-U419)*G419,(U419-F419)*G419))</f>
        <v/>
      </c>
      <c r="W419" s="440" t="str">
        <f>IF(OR($E419="",$B419=""),"",IF($T419&lt;&gt;"",$T419-$E419,TODAY()-$E419)+1)</f>
        <v/>
      </c>
      <c r="X419" s="440" t="str">
        <f>IF(OR($AH419="",$AH419="保有中"),"",$AH419)</f>
        <v/>
      </c>
      <c r="AD419" s="608"/>
      <c r="AE419" s="600" t="str">
        <f>IF($E419="","",WORKDAY($E419,12))</f>
        <v/>
      </c>
      <c r="AF419" s="600" t="str" cm="1">
        <f t="array" aca="1" ref="AF419" ca="1">IF(OR($B419="",$M419=""),"",IFERROR(IF($C419="売",_xlfn.MINIFS(安値!$E$3:$IT$3,安値!$E$3:$IT$3,"&gt;"&amp;$E419,安値!$E$3:$IT$3,"&lt;="&amp;$AE419,OFFSET(安値!$E$6:$IT$6,MATCH(TEXT($B419,"0"),TEXT(銘柄管理!$B$6:$B$305,"0"),0)-1,0),"&lt;="&amp;$M419),_xlfn.MINIFS(高値!$E$3:$IT$3,高値!$E$3:$IT$3,"&gt;"&amp;$E419,高値!$E$3:$IT$3,"&lt;="&amp;$AE419,OFFSET(高値!$E$6:$IT$6,MATCH(TEXT($B419,"0"),TEXT(銘柄管理!$B$6:$B$305,"0"),0)-1,0),"&gt;="&amp;$M419)),""))</f>
        <v/>
      </c>
      <c r="AG419" s="600" t="str" cm="1">
        <f t="array" aca="1" ref="AG419" ca="1">IF(OR($B419="",$N419=""),"",IFERROR(IF($C419="売",_xlfn.MINIFS(高値!$E$3:$IT$3,高値!$E$3:$IT$3,"&gt;"&amp;$E419,高値!$E$3:$IT$3,"&lt;="&amp;$AE419,OFFSET(高値!$E$6:$IT$6,MATCH(TEXT($B419,"0"),TEXT(銘柄管理!$B$6:$B$305,"0"),0)-1,0),"&gt;="&amp;$N419),_xlfn.MINIFS(安値!$E$3:$IT$3,安値!$E$3:$IT$3,"&gt;"&amp;$E419,安値!$E$3:$IT$3,"&lt;="&amp;$AE419,OFFSET(安値!$E$6:$IT$6,MATCH(TEXT($B419,"0"),TEXT(銘柄管理!$B$6:$B$305,"0"),0)-1,0),"&lt;="&amp;$N419)),""))</f>
        <v/>
      </c>
      <c r="AH419" s="600" t="str">
        <f>IF(OR($B419="",$M419=""),"",IF(AND(N($AF419)=0,N($AG419)=0),IF(AND(ISNUMBER($H419),$H419&gt;0,IF($C419="売",$H419&gt;=$N419,$H419&lt;=$N419)),"損切確定",IF(AND(ISNUMBER($H419),$H419&gt;0,IF($C419="売",$H419&lt;=$M419,$H419&gt;=$M419)),"利益確定",IF($AE419&lt;=TODAY(),"日数制限","保有中"))),IF(N($AG419)=0,"利益確定",IF(N($AF419)=0,"損切確定",IF($AG419&lt;=$AF419,"損切確定","利益確定")))))</f>
        <v/>
      </c>
      <c r="AI419" s="600" t="str" cm="1">
        <f t="array" ref="AI419">IFERROR(INDEX(始値!$E$6:$IT$305,MATCH(TEXT($B419,"0"),TEXT(銘柄管理!$B$6:$B$305,"0"),0),MATCH($AE419,始値!$E$3:$IT$3,0)),"")</f>
        <v/>
      </c>
      <c r="AJ419" s="608" t="str">
        <f>IF(OR($V419="",$F419="",$G419=""),"",$V419/($F419*$G419))</f>
        <v/>
      </c>
      <c r="AK419" s="600" t="str">
        <f>IF($V419="","",IF($V419&gt;0,"○勝",IF($V419&lt;0,"●負","△引分")))</f>
        <v/>
      </c>
    </row>
    <row r="420" spans="1:37" ht="17.25" customHeight="1">
      <c r="A420" s="622" t="str">
        <f>IF(B420="","",HYPERLINK("https://kabutan.jp/stock/?code="&amp;B420,"株探"))</f>
        <v/>
      </c>
      <c r="D420" s="440" t="str" cm="1">
        <f t="array" ref="D420">_xll.RssMarket(B420, "銘柄名称")</f>
        <v/>
      </c>
      <c r="E420" s="717"/>
      <c r="F420" s="698" t="str" cm="1">
        <f t="array" aca="1" ref="F420" ca="1">IFERROR(_xlfn.LET(_xlpm.r,MATCH(TEXT($B420,"0"),TEXT(銘柄管理!$B$6:$B$305,"0"),0),_xlpm.t,MOD(NOW(),1),_xlpm.c,IF($E420=TODAY(),IF(_xlpm.t&gt;=TIME(15,30,0),NA(),1),IF(MATCH($E420,始値!$E$3:$IT$3,0)=1,1,MATCH($E420,始値!$E$3:$IT$3,0)+1)),_xlpm.v,INDEX(始値!$C$6:$IT$305,_xlpm.r,_xlpm.c),IF(N(_xlpm.v)=0,"",_xlpm.v)),"")</f>
        <v/>
      </c>
      <c r="H420" s="440" t="str" cm="1">
        <f t="array" ref="H420">_xll.RssMarket(B420, "現在値")</f>
        <v/>
      </c>
      <c r="I420" s="440" t="str" cm="1">
        <f t="array" ref="I420">_xll.RssMarket(B420, "出来高加重平均")</f>
        <v/>
      </c>
      <c r="J420" s="704" t="str" cm="1">
        <f t="array" ref="J420">_xll.RssMarket($B420, "前日比")</f>
        <v/>
      </c>
      <c r="K420" s="704" t="str">
        <f>IF(OR(F420="",G420="",H420=""),"",IF(C420="売",(F420-H420)*G420,(H420-F420)*G420))</f>
        <v/>
      </c>
      <c r="L420" s="709" t="str">
        <f>IF(OR(F420="",H420=""),"",IF(C420="売",(F420-H420)/F420,(H420-F420)/F420))</f>
        <v/>
      </c>
      <c r="M420" s="599" t="str">
        <f>IF($F420="","",$F420*IF($C420="売",1-V811設定!$B$4,1+V811設定!$B$4)-MOD($F420*IF($C420="売",1-V811設定!$B$4,1+V811設定!$B$4),IF($F420&lt;=3000,1,IF($F420&lt;=5000,5,IF($F420&lt;=30000,10,IF($F420&lt;=50000,50,IF($F420&lt;=300000,100,500))))))+IF(AND($C420="売",MOD($F420*IF($C420="売",1-V811設定!$B$4,1+V811設定!$B$4),IF($F420&lt;=3000,1,IF($F420&lt;=5000,5,IF($F420&lt;=30000,10,IF($F420&lt;=50000,50,IF($F420&lt;=300000,100,500))))))&gt;0),IF($F420&lt;=3000,1,IF($F420&lt;=5000,5,IF($F420&lt;=30000,10,IF($F420&lt;=50000,50,IF($F420&lt;=300000,100,500))))),0))</f>
      </c>
      <c r="N420" s="599" t="str">
        <f>IF($F420="","",$F420*IF($C420="売",1+V811設定!$B$3,1-V811設定!$B$3)-MOD($F420*IF($C420="売",1+V811設定!$B$3,1-V811設定!$B$3),IF($F420&lt;=3000,1,IF($F420&lt;=5000,5,IF($F420&lt;=30000,10,IF($F420&lt;=50000,50,IF($F420&lt;=300000,100,500))))))+IF(AND($C420="売",MOD($F420*IF($C420="売",1+V811設定!$B$3,1-V811設定!$B$3),IF($F420&lt;=3000,1,IF($F420&lt;=5000,5,IF($F420&lt;=30000,10,IF($F420&lt;=50000,50,IF($F420&lt;=300000,100,500))))))&gt;0),IF($F420&lt;=3000,1,IF($F420&lt;=5000,5,IF($F420&lt;=30000,10,IF($F420&lt;=50000,50,IF($F420&lt;=300000,100,500))))),0))</f>
      </c>
      <c r="O420" s="478" t="str">
        <f>IF(OR($B420="",$F420="",$H420=""),"",IF($S420="✅売却済","―決済済―",IF($C420="売",IF($H420&lt;=$M420,"🟢利確",IF(AND($R420&lt;&gt;"",$H420&gt;=$R420),"🟠TRAIL",IF($H420&gt;=$N420,"🔴損切",IF($W420&gt;=V811設定!$B$6,"⏱時間決済",IF($H420&gt;=$F420*(1+V811設定!$B$3*0.7),"⚠️損切接近","保持継続"))))),IF($H420&gt;=$M420,"🟢利確",IF(AND($R420&lt;&gt;"",$H420&lt;=$R420),"🟠TRAIL",IF($H420&lt;=$N420,"🔴損切",IF($W420&gt;=V811設定!$B$6,"⏱時間決済",IF($H420&lt;=$F420*(1-V811設定!$B$3*0.7),"⚠️損切接近","保持継続"))))))))</f>
      </c>
      <c r="P420" s="445"/>
      <c r="R420" s="440" t="str">
        <f>IF(OR($F420="",$H420="",$N420=""),"",IF($S420="✅売却済","",IF($C420="売",IF($H420&gt;$F420*(1-V811設定!$B$3),$N420,MIN($N420,IF($Q420="",$N420,$Q420*1.03))),IF($H420&lt;$F420*(1+V811設定!$B$3),$N420,MAX($N420,IF($P420="",$N420,$P420*0.97))))))</f>
      </c>
      <c r="S420" s="440" t="str">
        <f>IF(B420="","",IF(T420&lt;&gt;"","✅売却済",IF(OR(H420="",L420=""),"📌保有中",IF(L420&gt;=0.06,"🟢利確推奨",IF(L420&gt;=0.05,"🟡利確直近",IF(L420&gt;=0.045,"🔵トレーリング検討",IF(L420&gt;-0.03,"📌保有中",IF(L420&gt;-0.04,"⚠️損切注意","🔴損切り"))))))))</f>
        <v/>
      </c>
      <c r="T420" s="597"/>
      <c r="U420" s="599"/>
      <c r="V420" s="704" t="str">
        <f>IF(OR(F420="",G420="",U420=""),"",IF(C420="売",(F420-U420)*G420,(U420-F420)*G420))</f>
        <v/>
      </c>
      <c r="W420" s="440" t="str">
        <f>IF(OR($E420="",$B420=""),"",IF($T420&lt;&gt;"",$T420-$E420,TODAY()-$E420)+1)</f>
        <v/>
      </c>
      <c r="X420" s="440" t="str">
        <f>IF(OR($AH420="",$AH420="保有中"),"",$AH420)</f>
        <v/>
      </c>
      <c r="AD420" s="608"/>
      <c r="AE420" s="600" t="str">
        <f>IF($E420="","",WORKDAY($E420,12))</f>
        <v/>
      </c>
      <c r="AF420" s="600" t="str" cm="1">
        <f t="array" aca="1" ref="AF420" ca="1">IF(OR($B420="",$M420=""),"",IFERROR(IF($C420="売",_xlfn.MINIFS(安値!$E$3:$IT$3,安値!$E$3:$IT$3,"&gt;"&amp;$E420,安値!$E$3:$IT$3,"&lt;="&amp;$AE420,OFFSET(安値!$E$6:$IT$6,MATCH(TEXT($B420,"0"),TEXT(銘柄管理!$B$6:$B$305,"0"),0)-1,0),"&lt;="&amp;$M420),_xlfn.MINIFS(高値!$E$3:$IT$3,高値!$E$3:$IT$3,"&gt;"&amp;$E420,高値!$E$3:$IT$3,"&lt;="&amp;$AE420,OFFSET(高値!$E$6:$IT$6,MATCH(TEXT($B420,"0"),TEXT(銘柄管理!$B$6:$B$305,"0"),0)-1,0),"&gt;="&amp;$M420)),""))</f>
        <v/>
      </c>
      <c r="AG420" s="600" t="str" cm="1">
        <f t="array" aca="1" ref="AG420" ca="1">IF(OR($B420="",$N420=""),"",IFERROR(IF($C420="売",_xlfn.MINIFS(高値!$E$3:$IT$3,高値!$E$3:$IT$3,"&gt;"&amp;$E420,高値!$E$3:$IT$3,"&lt;="&amp;$AE420,OFFSET(高値!$E$6:$IT$6,MATCH(TEXT($B420,"0"),TEXT(銘柄管理!$B$6:$B$305,"0"),0)-1,0),"&gt;="&amp;$N420),_xlfn.MINIFS(安値!$E$3:$IT$3,安値!$E$3:$IT$3,"&gt;"&amp;$E420,安値!$E$3:$IT$3,"&lt;="&amp;$AE420,OFFSET(安値!$E$6:$IT$6,MATCH(TEXT($B420,"0"),TEXT(銘柄管理!$B$6:$B$305,"0"),0)-1,0),"&lt;="&amp;$N420)),""))</f>
        <v/>
      </c>
      <c r="AH420" s="600" t="str">
        <f>IF(OR($B420="",$M420=""),"",IF(AND(N($AF420)=0,N($AG420)=0),IF(AND(ISNUMBER($H420),$H420&gt;0,IF($C420="売",$H420&gt;=$N420,$H420&lt;=$N420)),"損切確定",IF(AND(ISNUMBER($H420),$H420&gt;0,IF($C420="売",$H420&lt;=$M420,$H420&gt;=$M420)),"利益確定",IF($AE420&lt;=TODAY(),"日数制限","保有中"))),IF(N($AG420)=0,"利益確定",IF(N($AF420)=0,"損切確定",IF($AG420&lt;=$AF420,"損切確定","利益確定")))))</f>
        <v/>
      </c>
      <c r="AI420" s="600" t="str" cm="1">
        <f t="array" ref="AI420">IFERROR(INDEX(始値!$E$6:$IT$305,MATCH(TEXT($B420,"0"),TEXT(銘柄管理!$B$6:$B$305,"0"),0),MATCH($AE420,始値!$E$3:$IT$3,0)),"")</f>
        <v/>
      </c>
      <c r="AJ420" s="608" t="str">
        <f>IF(OR($V420="",$F420="",$G420=""),"",$V420/($F420*$G420))</f>
        <v/>
      </c>
      <c r="AK420" s="600" t="str">
        <f>IF($V420="","",IF($V420&gt;0,"○勝",IF($V420&lt;0,"●負","△引分")))</f>
        <v/>
      </c>
    </row>
    <row r="421" spans="1:37" ht="17.25" customHeight="1">
      <c r="A421" s="622" t="str">
        <f>IF(B421="","",HYPERLINK("https://kabutan.jp/stock/?code="&amp;B421,"株探"))</f>
        <v/>
      </c>
      <c r="D421" s="440" t="str" cm="1">
        <f t="array" ref="D421">_xll.RssMarket(B421, "銘柄名称")</f>
        <v/>
      </c>
      <c r="E421" s="717"/>
      <c r="F421" s="698" t="str" cm="1">
        <f t="array" aca="1" ref="F421" ca="1">IFERROR(_xlfn.LET(_xlpm.r,MATCH(TEXT($B421,"0"),TEXT(銘柄管理!$B$6:$B$305,"0"),0),_xlpm.t,MOD(NOW(),1),_xlpm.c,IF($E421=TODAY(),IF(_xlpm.t&gt;=TIME(15,30,0),NA(),1),IF(MATCH($E421,始値!$E$3:$IT$3,0)=1,1,MATCH($E421,始値!$E$3:$IT$3,0)+1)),_xlpm.v,INDEX(始値!$C$6:$IT$305,_xlpm.r,_xlpm.c),IF(N(_xlpm.v)=0,"",_xlpm.v)),"")</f>
        <v/>
      </c>
      <c r="H421" s="440" t="str" cm="1">
        <f t="array" ref="H421">_xll.RssMarket(B421, "現在値")</f>
        <v/>
      </c>
      <c r="I421" s="440" t="str" cm="1">
        <f t="array" ref="I421">_xll.RssMarket(B421, "出来高加重平均")</f>
        <v/>
      </c>
      <c r="J421" s="704" t="str" cm="1">
        <f t="array" ref="J421">_xll.RssMarket($B421, "前日比")</f>
        <v/>
      </c>
      <c r="K421" s="704" t="str">
        <f>IF(OR(F421="",G421="",H421=""),"",IF(C421="売",(F421-H421)*G421,(H421-F421)*G421))</f>
        <v/>
      </c>
      <c r="L421" s="709" t="str">
        <f>IF(OR(F421="",H421=""),"",IF(C421="売",(F421-H421)/F421,(H421-F421)/F421))</f>
        <v/>
      </c>
      <c r="M421" s="599" t="str">
        <f>IF($F421="","",$F421*IF($C421="売",1-V811設定!$B$4,1+V811設定!$B$4)-MOD($F421*IF($C421="売",1-V811設定!$B$4,1+V811設定!$B$4),IF($F421&lt;=3000,1,IF($F421&lt;=5000,5,IF($F421&lt;=30000,10,IF($F421&lt;=50000,50,IF($F421&lt;=300000,100,500))))))+IF(AND($C421="売",MOD($F421*IF($C421="売",1-V811設定!$B$4,1+V811設定!$B$4),IF($F421&lt;=3000,1,IF($F421&lt;=5000,5,IF($F421&lt;=30000,10,IF($F421&lt;=50000,50,IF($F421&lt;=300000,100,500))))))&gt;0),IF($F421&lt;=3000,1,IF($F421&lt;=5000,5,IF($F421&lt;=30000,10,IF($F421&lt;=50000,50,IF($F421&lt;=300000,100,500))))),0))</f>
      </c>
      <c r="N421" s="599" t="str">
        <f>IF($F421="","",$F421*IF($C421="売",1+V811設定!$B$3,1-V811設定!$B$3)-MOD($F421*IF($C421="売",1+V811設定!$B$3,1-V811設定!$B$3),IF($F421&lt;=3000,1,IF($F421&lt;=5000,5,IF($F421&lt;=30000,10,IF($F421&lt;=50000,50,IF($F421&lt;=300000,100,500))))))+IF(AND($C421="売",MOD($F421*IF($C421="売",1+V811設定!$B$3,1-V811設定!$B$3),IF($F421&lt;=3000,1,IF($F421&lt;=5000,5,IF($F421&lt;=30000,10,IF($F421&lt;=50000,50,IF($F421&lt;=300000,100,500))))))&gt;0),IF($F421&lt;=3000,1,IF($F421&lt;=5000,5,IF($F421&lt;=30000,10,IF($F421&lt;=50000,50,IF($F421&lt;=300000,100,500))))),0))</f>
      </c>
      <c r="O421" s="478" t="str">
        <f>IF(OR($B421="",$F421="",$H421=""),"",IF($S421="✅売却済","―決済済―",IF($C421="売",IF($H421&lt;=$M421,"🟢利確",IF(AND($R421&lt;&gt;"",$H421&gt;=$R421),"🟠TRAIL",IF($H421&gt;=$N421,"🔴損切",IF($W421&gt;=V811設定!$B$6,"⏱時間決済",IF($H421&gt;=$F421*(1+V811設定!$B$3*0.7),"⚠️損切接近","保持継続"))))),IF($H421&gt;=$M421,"🟢利確",IF(AND($R421&lt;&gt;"",$H421&lt;=$R421),"🟠TRAIL",IF($H421&lt;=$N421,"🔴損切",IF($W421&gt;=V811設定!$B$6,"⏱時間決済",IF($H421&lt;=$F421*(1-V811設定!$B$3*0.7),"⚠️損切接近","保持継続"))))))))</f>
      </c>
      <c r="P421" s="445"/>
      <c r="R421" s="440" t="str">
        <f>IF(OR($F421="",$H421="",$N421=""),"",IF($S421="✅売却済","",IF($C421="売",IF($H421&gt;$F421*(1-V811設定!$B$3),$N421,MIN($N421,IF($Q421="",$N421,$Q421*1.03))),IF($H421&lt;$F421*(1+V811設定!$B$3),$N421,MAX($N421,IF($P421="",$N421,$P421*0.97))))))</f>
      </c>
      <c r="S421" s="440" t="str">
        <f>IF(B421="","",IF(T421&lt;&gt;"","✅売却済",IF(OR(H421="",L421=""),"📌保有中",IF(L421&gt;=0.06,"🟢利確推奨",IF(L421&gt;=0.05,"🟡利確直近",IF(L421&gt;=0.045,"🔵トレーリング検討",IF(L421&gt;-0.03,"📌保有中",IF(L421&gt;-0.04,"⚠️損切注意","🔴損切り"))))))))</f>
        <v/>
      </c>
      <c r="T421" s="597"/>
      <c r="U421" s="599"/>
      <c r="V421" s="704" t="str">
        <f>IF(OR(F421="",G421="",U421=""),"",IF(C421="売",(F421-U421)*G421,(U421-F421)*G421))</f>
        <v/>
      </c>
      <c r="W421" s="440" t="str">
        <f>IF(OR($E421="",$B421=""),"",IF($T421&lt;&gt;"",$T421-$E421,TODAY()-$E421)+1)</f>
        <v/>
      </c>
      <c r="X421" s="440" t="str">
        <f>IF(OR($AH421="",$AH421="保有中"),"",$AH421)</f>
        <v/>
      </c>
      <c r="AD421" s="608"/>
      <c r="AE421" s="600" t="str">
        <f>IF($E421="","",WORKDAY($E421,12))</f>
        <v/>
      </c>
      <c r="AF421" s="600" t="str" cm="1">
        <f t="array" aca="1" ref="AF421" ca="1">IF(OR($B421="",$M421=""),"",IFERROR(IF($C421="売",_xlfn.MINIFS(安値!$E$3:$IT$3,安値!$E$3:$IT$3,"&gt;"&amp;$E421,安値!$E$3:$IT$3,"&lt;="&amp;$AE421,OFFSET(安値!$E$6:$IT$6,MATCH(TEXT($B421,"0"),TEXT(銘柄管理!$B$6:$B$305,"0"),0)-1,0),"&lt;="&amp;$M421),_xlfn.MINIFS(高値!$E$3:$IT$3,高値!$E$3:$IT$3,"&gt;"&amp;$E421,高値!$E$3:$IT$3,"&lt;="&amp;$AE421,OFFSET(高値!$E$6:$IT$6,MATCH(TEXT($B421,"0"),TEXT(銘柄管理!$B$6:$B$305,"0"),0)-1,0),"&gt;="&amp;$M421)),""))</f>
        <v/>
      </c>
      <c r="AG421" s="600" t="str" cm="1">
        <f t="array" aca="1" ref="AG421" ca="1">IF(OR($B421="",$N421=""),"",IFERROR(IF($C421="売",_xlfn.MINIFS(高値!$E$3:$IT$3,高値!$E$3:$IT$3,"&gt;"&amp;$E421,高値!$E$3:$IT$3,"&lt;="&amp;$AE421,OFFSET(高値!$E$6:$IT$6,MATCH(TEXT($B421,"0"),TEXT(銘柄管理!$B$6:$B$305,"0"),0)-1,0),"&gt;="&amp;$N421),_xlfn.MINIFS(安値!$E$3:$IT$3,安値!$E$3:$IT$3,"&gt;"&amp;$E421,安値!$E$3:$IT$3,"&lt;="&amp;$AE421,OFFSET(安値!$E$6:$IT$6,MATCH(TEXT($B421,"0"),TEXT(銘柄管理!$B$6:$B$305,"0"),0)-1,0),"&lt;="&amp;$N421)),""))</f>
        <v/>
      </c>
      <c r="AH421" s="600" t="str">
        <f>IF(OR($B421="",$M421=""),"",IF(AND(N($AF421)=0,N($AG421)=0),IF(AND(ISNUMBER($H421),$H421&gt;0,IF($C421="売",$H421&gt;=$N421,$H421&lt;=$N421)),"損切確定",IF(AND(ISNUMBER($H421),$H421&gt;0,IF($C421="売",$H421&lt;=$M421,$H421&gt;=$M421)),"利益確定",IF($AE421&lt;=TODAY(),"日数制限","保有中"))),IF(N($AG421)=0,"利益確定",IF(N($AF421)=0,"損切確定",IF($AG421&lt;=$AF421,"損切確定","利益確定")))))</f>
        <v/>
      </c>
      <c r="AI421" s="600" t="str" cm="1">
        <f t="array" ref="AI421">IFERROR(INDEX(始値!$E$6:$IT$305,MATCH(TEXT($B421,"0"),TEXT(銘柄管理!$B$6:$B$305,"0"),0),MATCH($AE421,始値!$E$3:$IT$3,0)),"")</f>
        <v/>
      </c>
      <c r="AJ421" s="608" t="str">
        <f>IF(OR($V421="",$F421="",$G421=""),"",$V421/($F421*$G421))</f>
        <v/>
      </c>
      <c r="AK421" s="600" t="str">
        <f>IF($V421="","",IF($V421&gt;0,"○勝",IF($V421&lt;0,"●負","△引分")))</f>
        <v/>
      </c>
    </row>
    <row r="422" spans="1:37" ht="17.25" customHeight="1">
      <c r="A422" s="622" t="str">
        <f>IF(B422="","",HYPERLINK("https://kabutan.jp/stock/?code="&amp;B422,"株探"))</f>
        <v/>
      </c>
      <c r="D422" s="440" t="str" cm="1">
        <f t="array" ref="D422">_xll.RssMarket(B422, "銘柄名称")</f>
        <v/>
      </c>
      <c r="E422" s="717"/>
      <c r="F422" s="698" t="str" cm="1">
        <f t="array" aca="1" ref="F422" ca="1">IFERROR(_xlfn.LET(_xlpm.r,MATCH(TEXT($B422,"0"),TEXT(銘柄管理!$B$6:$B$305,"0"),0),_xlpm.t,MOD(NOW(),1),_xlpm.c,IF($E422=TODAY(),IF(_xlpm.t&gt;=TIME(15,30,0),NA(),1),IF(MATCH($E422,始値!$E$3:$IT$3,0)=1,1,MATCH($E422,始値!$E$3:$IT$3,0)+1)),_xlpm.v,INDEX(始値!$C$6:$IT$305,_xlpm.r,_xlpm.c),IF(N(_xlpm.v)=0,"",_xlpm.v)),"")</f>
        <v/>
      </c>
      <c r="H422" s="440" t="str" cm="1">
        <f t="array" ref="H422">_xll.RssMarket(B422, "現在値")</f>
        <v/>
      </c>
      <c r="I422" s="440" t="str" cm="1">
        <f t="array" ref="I422">_xll.RssMarket(B422, "出来高加重平均")</f>
        <v/>
      </c>
      <c r="J422" s="704" t="str" cm="1">
        <f t="array" ref="J422">_xll.RssMarket($B422, "前日比")</f>
        <v/>
      </c>
      <c r="K422" s="704" t="str">
        <f>IF(OR(F422="",G422="",H422=""),"",IF(C422="売",(F422-H422)*G422,(H422-F422)*G422))</f>
        <v/>
      </c>
      <c r="L422" s="709" t="str">
        <f>IF(OR(F422="",H422=""),"",IF(C422="売",(F422-H422)/F422,(H422-F422)/F422))</f>
        <v/>
      </c>
      <c r="M422" s="599" t="str">
        <f>IF($F422="","",$F422*IF($C422="売",1-V811設定!$B$4,1+V811設定!$B$4)-MOD($F422*IF($C422="売",1-V811設定!$B$4,1+V811設定!$B$4),IF($F422&lt;=3000,1,IF($F422&lt;=5000,5,IF($F422&lt;=30000,10,IF($F422&lt;=50000,50,IF($F422&lt;=300000,100,500))))))+IF(AND($C422="売",MOD($F422*IF($C422="売",1-V811設定!$B$4,1+V811設定!$B$4),IF($F422&lt;=3000,1,IF($F422&lt;=5000,5,IF($F422&lt;=30000,10,IF($F422&lt;=50000,50,IF($F422&lt;=300000,100,500))))))&gt;0),IF($F422&lt;=3000,1,IF($F422&lt;=5000,5,IF($F422&lt;=30000,10,IF($F422&lt;=50000,50,IF($F422&lt;=300000,100,500))))),0))</f>
      </c>
      <c r="N422" s="599" t="str">
        <f>IF($F422="","",$F422*IF($C422="売",1+V811設定!$B$3,1-V811設定!$B$3)-MOD($F422*IF($C422="売",1+V811設定!$B$3,1-V811設定!$B$3),IF($F422&lt;=3000,1,IF($F422&lt;=5000,5,IF($F422&lt;=30000,10,IF($F422&lt;=50000,50,IF($F422&lt;=300000,100,500))))))+IF(AND($C422="売",MOD($F422*IF($C422="売",1+V811設定!$B$3,1-V811設定!$B$3),IF($F422&lt;=3000,1,IF($F422&lt;=5000,5,IF($F422&lt;=30000,10,IF($F422&lt;=50000,50,IF($F422&lt;=300000,100,500))))))&gt;0),IF($F422&lt;=3000,1,IF($F422&lt;=5000,5,IF($F422&lt;=30000,10,IF($F422&lt;=50000,50,IF($F422&lt;=300000,100,500))))),0))</f>
      </c>
      <c r="O422" s="478" t="str">
        <f>IF(OR($B422="",$F422="",$H422=""),"",IF($S422="✅売却済","―決済済―",IF($C422="売",IF($H422&lt;=$M422,"🟢利確",IF(AND($R422&lt;&gt;"",$H422&gt;=$R422),"🟠TRAIL",IF($H422&gt;=$N422,"🔴損切",IF($W422&gt;=V811設定!$B$6,"⏱時間決済",IF($H422&gt;=$F422*(1+V811設定!$B$3*0.7),"⚠️損切接近","保持継続"))))),IF($H422&gt;=$M422,"🟢利確",IF(AND($R422&lt;&gt;"",$H422&lt;=$R422),"🟠TRAIL",IF($H422&lt;=$N422,"🔴損切",IF($W422&gt;=V811設定!$B$6,"⏱時間決済",IF($H422&lt;=$F422*(1-V811設定!$B$3*0.7),"⚠️損切接近","保持継続"))))))))</f>
      </c>
      <c r="P422" s="445"/>
      <c r="R422" s="440" t="str">
        <f>IF(OR($F422="",$H422="",$N422=""),"",IF($S422="✅売却済","",IF($C422="売",IF($H422&gt;$F422*(1-V811設定!$B$3),$N422,MIN($N422,IF($Q422="",$N422,$Q422*1.03))),IF($H422&lt;$F422*(1+V811設定!$B$3),$N422,MAX($N422,IF($P422="",$N422,$P422*0.97))))))</f>
      </c>
      <c r="S422" s="440" t="str">
        <f>IF(B422="","",IF(T422&lt;&gt;"","✅売却済",IF(OR(H422="",L422=""),"📌保有中",IF(L422&gt;=0.06,"🟢利確推奨",IF(L422&gt;=0.05,"🟡利確直近",IF(L422&gt;=0.045,"🔵トレーリング検討",IF(L422&gt;-0.03,"📌保有中",IF(L422&gt;-0.04,"⚠️損切注意","🔴損切り"))))))))</f>
        <v/>
      </c>
      <c r="T422" s="597"/>
      <c r="U422" s="599"/>
      <c r="V422" s="704" t="str">
        <f>IF(OR(F422="",G422="",U422=""),"",IF(C422="売",(F422-U422)*G422,(U422-F422)*G422))</f>
        <v/>
      </c>
      <c r="W422" s="440" t="str">
        <f>IF(OR($E422="",$B422=""),"",IF($T422&lt;&gt;"",$T422-$E422,TODAY()-$E422)+1)</f>
        <v/>
      </c>
      <c r="X422" s="440" t="str">
        <f>IF(OR($AH422="",$AH422="保有中"),"",$AH422)</f>
        <v/>
      </c>
      <c r="AD422" s="608"/>
      <c r="AE422" s="600" t="str">
        <f>IF($E422="","",WORKDAY($E422,12))</f>
        <v/>
      </c>
      <c r="AF422" s="600" t="str" cm="1">
        <f t="array" aca="1" ref="AF422" ca="1">IF(OR($B422="",$M422=""),"",IFERROR(IF($C422="売",_xlfn.MINIFS(安値!$E$3:$IT$3,安値!$E$3:$IT$3,"&gt;"&amp;$E422,安値!$E$3:$IT$3,"&lt;="&amp;$AE422,OFFSET(安値!$E$6:$IT$6,MATCH(TEXT($B422,"0"),TEXT(銘柄管理!$B$6:$B$305,"0"),0)-1,0),"&lt;="&amp;$M422),_xlfn.MINIFS(高値!$E$3:$IT$3,高値!$E$3:$IT$3,"&gt;"&amp;$E422,高値!$E$3:$IT$3,"&lt;="&amp;$AE422,OFFSET(高値!$E$6:$IT$6,MATCH(TEXT($B422,"0"),TEXT(銘柄管理!$B$6:$B$305,"0"),0)-1,0),"&gt;="&amp;$M422)),""))</f>
        <v/>
      </c>
      <c r="AG422" s="600" t="str" cm="1">
        <f t="array" aca="1" ref="AG422" ca="1">IF(OR($B422="",$N422=""),"",IFERROR(IF($C422="売",_xlfn.MINIFS(高値!$E$3:$IT$3,高値!$E$3:$IT$3,"&gt;"&amp;$E422,高値!$E$3:$IT$3,"&lt;="&amp;$AE422,OFFSET(高値!$E$6:$IT$6,MATCH(TEXT($B422,"0"),TEXT(銘柄管理!$B$6:$B$305,"0"),0)-1,0),"&gt;="&amp;$N422),_xlfn.MINIFS(安値!$E$3:$IT$3,安値!$E$3:$IT$3,"&gt;"&amp;$E422,安値!$E$3:$IT$3,"&lt;="&amp;$AE422,OFFSET(安値!$E$6:$IT$6,MATCH(TEXT($B422,"0"),TEXT(銘柄管理!$B$6:$B$305,"0"),0)-1,0),"&lt;="&amp;$N422)),""))</f>
        <v/>
      </c>
      <c r="AH422" s="600" t="str">
        <f>IF(OR($B422="",$M422=""),"",IF(AND(N($AF422)=0,N($AG422)=0),IF(AND(ISNUMBER($H422),$H422&gt;0,IF($C422="売",$H422&gt;=$N422,$H422&lt;=$N422)),"損切確定",IF(AND(ISNUMBER($H422),$H422&gt;0,IF($C422="売",$H422&lt;=$M422,$H422&gt;=$M422)),"利益確定",IF($AE422&lt;=TODAY(),"日数制限","保有中"))),IF(N($AG422)=0,"利益確定",IF(N($AF422)=0,"損切確定",IF($AG422&lt;=$AF422,"損切確定","利益確定")))))</f>
        <v/>
      </c>
      <c r="AI422" s="600" t="str" cm="1">
        <f t="array" ref="AI422">IFERROR(INDEX(始値!$E$6:$IT$305,MATCH(TEXT($B422,"0"),TEXT(銘柄管理!$B$6:$B$305,"0"),0),MATCH($AE422,始値!$E$3:$IT$3,0)),"")</f>
        <v/>
      </c>
      <c r="AJ422" s="608" t="str">
        <f>IF(OR($V422="",$F422="",$G422=""),"",$V422/($F422*$G422))</f>
        <v/>
      </c>
      <c r="AK422" s="600" t="str">
        <f>IF($V422="","",IF($V422&gt;0,"○勝",IF($V422&lt;0,"●負","△引分")))</f>
        <v/>
      </c>
    </row>
    <row r="423" spans="1:37" ht="17.25" customHeight="1">
      <c r="A423" s="622" t="str">
        <f>IF(B423="","",HYPERLINK("https://kabutan.jp/stock/?code="&amp;B423,"株探"))</f>
        <v/>
      </c>
      <c r="D423" s="440" t="str" cm="1">
        <f t="array" ref="D423">_xll.RssMarket(B423, "銘柄名称")</f>
        <v/>
      </c>
      <c r="E423" s="717"/>
      <c r="F423" s="698" t="str" cm="1">
        <f t="array" aca="1" ref="F423" ca="1">IFERROR(_xlfn.LET(_xlpm.r,MATCH(TEXT($B423,"0"),TEXT(銘柄管理!$B$6:$B$305,"0"),0),_xlpm.t,MOD(NOW(),1),_xlpm.c,IF($E423=TODAY(),IF(_xlpm.t&gt;=TIME(15,30,0),NA(),1),IF(MATCH($E423,始値!$E$3:$IT$3,0)=1,1,MATCH($E423,始値!$E$3:$IT$3,0)+1)),_xlpm.v,INDEX(始値!$C$6:$IT$305,_xlpm.r,_xlpm.c),IF(N(_xlpm.v)=0,"",_xlpm.v)),"")</f>
        <v/>
      </c>
      <c r="H423" s="440" t="str" cm="1">
        <f t="array" ref="H423">_xll.RssMarket(B423, "現在値")</f>
        <v/>
      </c>
      <c r="I423" s="440" t="str" cm="1">
        <f t="array" ref="I423">_xll.RssMarket(B423, "出来高加重平均")</f>
        <v/>
      </c>
      <c r="J423" s="704" t="str" cm="1">
        <f t="array" ref="J423">_xll.RssMarket($B423, "前日比")</f>
        <v/>
      </c>
      <c r="K423" s="704" t="str">
        <f>IF(OR(F423="",G423="",H423=""),"",IF(C423="売",(F423-H423)*G423,(H423-F423)*G423))</f>
        <v/>
      </c>
      <c r="L423" s="709" t="str">
        <f>IF(OR(F423="",H423=""),"",IF(C423="売",(F423-H423)/F423,(H423-F423)/F423))</f>
        <v/>
      </c>
      <c r="M423" s="599" t="str">
        <f>IF($F423="","",$F423*IF($C423="売",1-V811設定!$B$4,1+V811設定!$B$4)-MOD($F423*IF($C423="売",1-V811設定!$B$4,1+V811設定!$B$4),IF($F423&lt;=3000,1,IF($F423&lt;=5000,5,IF($F423&lt;=30000,10,IF($F423&lt;=50000,50,IF($F423&lt;=300000,100,500))))))+IF(AND($C423="売",MOD($F423*IF($C423="売",1-V811設定!$B$4,1+V811設定!$B$4),IF($F423&lt;=3000,1,IF($F423&lt;=5000,5,IF($F423&lt;=30000,10,IF($F423&lt;=50000,50,IF($F423&lt;=300000,100,500))))))&gt;0),IF($F423&lt;=3000,1,IF($F423&lt;=5000,5,IF($F423&lt;=30000,10,IF($F423&lt;=50000,50,IF($F423&lt;=300000,100,500))))),0))</f>
      </c>
      <c r="N423" s="599" t="str">
        <f>IF($F423="","",$F423*IF($C423="売",1+V811設定!$B$3,1-V811設定!$B$3)-MOD($F423*IF($C423="売",1+V811設定!$B$3,1-V811設定!$B$3),IF($F423&lt;=3000,1,IF($F423&lt;=5000,5,IF($F423&lt;=30000,10,IF($F423&lt;=50000,50,IF($F423&lt;=300000,100,500))))))+IF(AND($C423="売",MOD($F423*IF($C423="売",1+V811設定!$B$3,1-V811設定!$B$3),IF($F423&lt;=3000,1,IF($F423&lt;=5000,5,IF($F423&lt;=30000,10,IF($F423&lt;=50000,50,IF($F423&lt;=300000,100,500))))))&gt;0),IF($F423&lt;=3000,1,IF($F423&lt;=5000,5,IF($F423&lt;=30000,10,IF($F423&lt;=50000,50,IF($F423&lt;=300000,100,500))))),0))</f>
      </c>
      <c r="O423" s="478" t="str">
        <f>IF(OR($B423="",$F423="",$H423=""),"",IF($S423="✅売却済","―決済済―",IF($C423="売",IF($H423&lt;=$M423,"🟢利確",IF(AND($R423&lt;&gt;"",$H423&gt;=$R423),"🟠TRAIL",IF($H423&gt;=$N423,"🔴損切",IF($W423&gt;=V811設定!$B$6,"⏱時間決済",IF($H423&gt;=$F423*(1+V811設定!$B$3*0.7),"⚠️損切接近","保持継続"))))),IF($H423&gt;=$M423,"🟢利確",IF(AND($R423&lt;&gt;"",$H423&lt;=$R423),"🟠TRAIL",IF($H423&lt;=$N423,"🔴損切",IF($W423&gt;=V811設定!$B$6,"⏱時間決済",IF($H423&lt;=$F423*(1-V811設定!$B$3*0.7),"⚠️損切接近","保持継続"))))))))</f>
      </c>
      <c r="P423" s="445"/>
      <c r="R423" s="440" t="str">
        <f>IF(OR($F423="",$H423="",$N423=""),"",IF($S423="✅売却済","",IF($C423="売",IF($H423&gt;$F423*(1-V811設定!$B$3),$N423,MIN($N423,IF($Q423="",$N423,$Q423*1.03))),IF($H423&lt;$F423*(1+V811設定!$B$3),$N423,MAX($N423,IF($P423="",$N423,$P423*0.97))))))</f>
      </c>
      <c r="S423" s="440" t="str">
        <f>IF(B423="","",IF(T423&lt;&gt;"","✅売却済",IF(OR(H423="",L423=""),"📌保有中",IF(L423&gt;=0.06,"🟢利確推奨",IF(L423&gt;=0.05,"🟡利確直近",IF(L423&gt;=0.045,"🔵トレーリング検討",IF(L423&gt;-0.03,"📌保有中",IF(L423&gt;-0.04,"⚠️損切注意","🔴損切り"))))))))</f>
        <v/>
      </c>
      <c r="T423" s="597"/>
      <c r="U423" s="599"/>
      <c r="V423" s="704" t="str">
        <f>IF(OR(F423="",G423="",U423=""),"",IF(C423="売",(F423-U423)*G423,(U423-F423)*G423))</f>
        <v/>
      </c>
      <c r="W423" s="440" t="str">
        <f>IF(OR($E423="",$B423=""),"",IF($T423&lt;&gt;"",$T423-$E423,TODAY()-$E423)+1)</f>
        <v/>
      </c>
      <c r="X423" s="440" t="str">
        <f>IF(OR($AH423="",$AH423="保有中"),"",$AH423)</f>
        <v/>
      </c>
      <c r="AD423" s="608"/>
      <c r="AE423" s="600" t="str">
        <f>IF($E423="","",WORKDAY($E423,12))</f>
        <v/>
      </c>
      <c r="AF423" s="600" t="str" cm="1">
        <f t="array" aca="1" ref="AF423" ca="1">IF(OR($B423="",$M423=""),"",IFERROR(IF($C423="売",_xlfn.MINIFS(安値!$E$3:$IT$3,安値!$E$3:$IT$3,"&gt;"&amp;$E423,安値!$E$3:$IT$3,"&lt;="&amp;$AE423,OFFSET(安値!$E$6:$IT$6,MATCH(TEXT($B423,"0"),TEXT(銘柄管理!$B$6:$B$305,"0"),0)-1,0),"&lt;="&amp;$M423),_xlfn.MINIFS(高値!$E$3:$IT$3,高値!$E$3:$IT$3,"&gt;"&amp;$E423,高値!$E$3:$IT$3,"&lt;="&amp;$AE423,OFFSET(高値!$E$6:$IT$6,MATCH(TEXT($B423,"0"),TEXT(銘柄管理!$B$6:$B$305,"0"),0)-1,0),"&gt;="&amp;$M423)),""))</f>
        <v/>
      </c>
      <c r="AG423" s="600" t="str" cm="1">
        <f t="array" aca="1" ref="AG423" ca="1">IF(OR($B423="",$N423=""),"",IFERROR(IF($C423="売",_xlfn.MINIFS(高値!$E$3:$IT$3,高値!$E$3:$IT$3,"&gt;"&amp;$E423,高値!$E$3:$IT$3,"&lt;="&amp;$AE423,OFFSET(高値!$E$6:$IT$6,MATCH(TEXT($B423,"0"),TEXT(銘柄管理!$B$6:$B$305,"0"),0)-1,0),"&gt;="&amp;$N423),_xlfn.MINIFS(安値!$E$3:$IT$3,安値!$E$3:$IT$3,"&gt;"&amp;$E423,安値!$E$3:$IT$3,"&lt;="&amp;$AE423,OFFSET(安値!$E$6:$IT$6,MATCH(TEXT($B423,"0"),TEXT(銘柄管理!$B$6:$B$305,"0"),0)-1,0),"&lt;="&amp;$N423)),""))</f>
        <v/>
      </c>
      <c r="AH423" s="600" t="str">
        <f>IF(OR($B423="",$M423=""),"",IF(AND(N($AF423)=0,N($AG423)=0),IF(AND(ISNUMBER($H423),$H423&gt;0,IF($C423="売",$H423&gt;=$N423,$H423&lt;=$N423)),"損切確定",IF(AND(ISNUMBER($H423),$H423&gt;0,IF($C423="売",$H423&lt;=$M423,$H423&gt;=$M423)),"利益確定",IF($AE423&lt;=TODAY(),"日数制限","保有中"))),IF(N($AG423)=0,"利益確定",IF(N($AF423)=0,"損切確定",IF($AG423&lt;=$AF423,"損切確定","利益確定")))))</f>
        <v/>
      </c>
      <c r="AI423" s="600" t="str" cm="1">
        <f t="array" ref="AI423">IFERROR(INDEX(始値!$E$6:$IT$305,MATCH(TEXT($B423,"0"),TEXT(銘柄管理!$B$6:$B$305,"0"),0),MATCH($AE423,始値!$E$3:$IT$3,0)),"")</f>
        <v/>
      </c>
      <c r="AJ423" s="608" t="str">
        <f>IF(OR($V423="",$F423="",$G423=""),"",$V423/($F423*$G423))</f>
        <v/>
      </c>
      <c r="AK423" s="600" t="str">
        <f>IF($V423="","",IF($V423&gt;0,"○勝",IF($V423&lt;0,"●負","△引分")))</f>
        <v/>
      </c>
    </row>
    <row r="424" spans="1:37" ht="17.25" customHeight="1">
      <c r="A424" s="622" t="str">
        <f>IF(B424="","",HYPERLINK("https://kabutan.jp/stock/?code="&amp;B424,"株探"))</f>
        <v/>
      </c>
      <c r="D424" s="440" t="str" cm="1">
        <f t="array" ref="D424">_xll.RssMarket(B424, "銘柄名称")</f>
        <v/>
      </c>
      <c r="E424" s="717"/>
      <c r="F424" s="698" t="str" cm="1">
        <f t="array" aca="1" ref="F424" ca="1">IFERROR(_xlfn.LET(_xlpm.r,MATCH(TEXT($B424,"0"),TEXT(銘柄管理!$B$6:$B$305,"0"),0),_xlpm.t,MOD(NOW(),1),_xlpm.c,IF($E424=TODAY(),IF(_xlpm.t&gt;=TIME(15,30,0),NA(),1),IF(MATCH($E424,始値!$E$3:$IT$3,0)=1,1,MATCH($E424,始値!$E$3:$IT$3,0)+1)),_xlpm.v,INDEX(始値!$C$6:$IT$305,_xlpm.r,_xlpm.c),IF(N(_xlpm.v)=0,"",_xlpm.v)),"")</f>
        <v/>
      </c>
      <c r="H424" s="440" t="str" cm="1">
        <f t="array" ref="H424">_xll.RssMarket(B424, "現在値")</f>
        <v/>
      </c>
      <c r="I424" s="440" t="str" cm="1">
        <f t="array" ref="I424">_xll.RssMarket(B424, "出来高加重平均")</f>
        <v/>
      </c>
      <c r="J424" s="704" t="str" cm="1">
        <f t="array" ref="J424">_xll.RssMarket($B424, "前日比")</f>
        <v/>
      </c>
      <c r="K424" s="704" t="str">
        <f>IF(OR(F424="",G424="",H424=""),"",IF(C424="売",(F424-H424)*G424,(H424-F424)*G424))</f>
        <v/>
      </c>
      <c r="L424" s="709" t="str">
        <f>IF(OR(F424="",H424=""),"",IF(C424="売",(F424-H424)/F424,(H424-F424)/F424))</f>
        <v/>
      </c>
      <c r="M424" s="599" t="str">
        <f>IF($F424="","",$F424*IF($C424="売",1-V811設定!$B$4,1+V811設定!$B$4)-MOD($F424*IF($C424="売",1-V811設定!$B$4,1+V811設定!$B$4),IF($F424&lt;=3000,1,IF($F424&lt;=5000,5,IF($F424&lt;=30000,10,IF($F424&lt;=50000,50,IF($F424&lt;=300000,100,500))))))+IF(AND($C424="売",MOD($F424*IF($C424="売",1-V811設定!$B$4,1+V811設定!$B$4),IF($F424&lt;=3000,1,IF($F424&lt;=5000,5,IF($F424&lt;=30000,10,IF($F424&lt;=50000,50,IF($F424&lt;=300000,100,500))))))&gt;0),IF($F424&lt;=3000,1,IF($F424&lt;=5000,5,IF($F424&lt;=30000,10,IF($F424&lt;=50000,50,IF($F424&lt;=300000,100,500))))),0))</f>
      </c>
      <c r="N424" s="599" t="str">
        <f>IF($F424="","",$F424*IF($C424="売",1+V811設定!$B$3,1-V811設定!$B$3)-MOD($F424*IF($C424="売",1+V811設定!$B$3,1-V811設定!$B$3),IF($F424&lt;=3000,1,IF($F424&lt;=5000,5,IF($F424&lt;=30000,10,IF($F424&lt;=50000,50,IF($F424&lt;=300000,100,500))))))+IF(AND($C424="売",MOD($F424*IF($C424="売",1+V811設定!$B$3,1-V811設定!$B$3),IF($F424&lt;=3000,1,IF($F424&lt;=5000,5,IF($F424&lt;=30000,10,IF($F424&lt;=50000,50,IF($F424&lt;=300000,100,500))))))&gt;0),IF($F424&lt;=3000,1,IF($F424&lt;=5000,5,IF($F424&lt;=30000,10,IF($F424&lt;=50000,50,IF($F424&lt;=300000,100,500))))),0))</f>
      </c>
      <c r="O424" s="478" t="str">
        <f>IF(OR($B424="",$F424="",$H424=""),"",IF($S424="✅売却済","―決済済―",IF($C424="売",IF($H424&lt;=$M424,"🟢利確",IF(AND($R424&lt;&gt;"",$H424&gt;=$R424),"🟠TRAIL",IF($H424&gt;=$N424,"🔴損切",IF($W424&gt;=V811設定!$B$6,"⏱時間決済",IF($H424&gt;=$F424*(1+V811設定!$B$3*0.7),"⚠️損切接近","保持継続"))))),IF($H424&gt;=$M424,"🟢利確",IF(AND($R424&lt;&gt;"",$H424&lt;=$R424),"🟠TRAIL",IF($H424&lt;=$N424,"🔴損切",IF($W424&gt;=V811設定!$B$6,"⏱時間決済",IF($H424&lt;=$F424*(1-V811設定!$B$3*0.7),"⚠️損切接近","保持継続"))))))))</f>
      </c>
      <c r="P424" s="445"/>
      <c r="R424" s="440" t="str">
        <f>IF(OR($F424="",$H424="",$N424=""),"",IF($S424="✅売却済","",IF($C424="売",IF($H424&gt;$F424*(1-V811設定!$B$3),$N424,MIN($N424,IF($Q424="",$N424,$Q424*1.03))),IF($H424&lt;$F424*(1+V811設定!$B$3),$N424,MAX($N424,IF($P424="",$N424,$P424*0.97))))))</f>
      </c>
      <c r="S424" s="440" t="str">
        <f>IF(B424="","",IF(T424&lt;&gt;"","✅売却済",IF(OR(H424="",L424=""),"📌保有中",IF(L424&gt;=0.06,"🟢利確推奨",IF(L424&gt;=0.05,"🟡利確直近",IF(L424&gt;=0.045,"🔵トレーリング検討",IF(L424&gt;-0.03,"📌保有中",IF(L424&gt;-0.04,"⚠️損切注意","🔴損切り"))))))))</f>
        <v/>
      </c>
      <c r="T424" s="597"/>
      <c r="U424" s="599"/>
      <c r="V424" s="704" t="str">
        <f>IF(OR(F424="",G424="",U424=""),"",IF(C424="売",(F424-U424)*G424,(U424-F424)*G424))</f>
        <v/>
      </c>
      <c r="W424" s="440" t="str">
        <f>IF(OR($E424="",$B424=""),"",IF($T424&lt;&gt;"",$T424-$E424,TODAY()-$E424)+1)</f>
        <v/>
      </c>
      <c r="X424" s="440" t="str">
        <f>IF(OR($AH424="",$AH424="保有中"),"",$AH424)</f>
        <v/>
      </c>
      <c r="AD424" s="608"/>
      <c r="AE424" s="600" t="str">
        <f>IF($E424="","",WORKDAY($E424,12))</f>
        <v/>
      </c>
      <c r="AF424" s="600" t="str" cm="1">
        <f t="array" aca="1" ref="AF424" ca="1">IF(OR($B424="",$M424=""),"",IFERROR(IF($C424="売",_xlfn.MINIFS(安値!$E$3:$IT$3,安値!$E$3:$IT$3,"&gt;"&amp;$E424,安値!$E$3:$IT$3,"&lt;="&amp;$AE424,OFFSET(安値!$E$6:$IT$6,MATCH(TEXT($B424,"0"),TEXT(銘柄管理!$B$6:$B$305,"0"),0)-1,0),"&lt;="&amp;$M424),_xlfn.MINIFS(高値!$E$3:$IT$3,高値!$E$3:$IT$3,"&gt;"&amp;$E424,高値!$E$3:$IT$3,"&lt;="&amp;$AE424,OFFSET(高値!$E$6:$IT$6,MATCH(TEXT($B424,"0"),TEXT(銘柄管理!$B$6:$B$305,"0"),0)-1,0),"&gt;="&amp;$M424)),""))</f>
        <v/>
      </c>
      <c r="AG424" s="600" t="str" cm="1">
        <f t="array" aca="1" ref="AG424" ca="1">IF(OR($B424="",$N424=""),"",IFERROR(IF($C424="売",_xlfn.MINIFS(高値!$E$3:$IT$3,高値!$E$3:$IT$3,"&gt;"&amp;$E424,高値!$E$3:$IT$3,"&lt;="&amp;$AE424,OFFSET(高値!$E$6:$IT$6,MATCH(TEXT($B424,"0"),TEXT(銘柄管理!$B$6:$B$305,"0"),0)-1,0),"&gt;="&amp;$N424),_xlfn.MINIFS(安値!$E$3:$IT$3,安値!$E$3:$IT$3,"&gt;"&amp;$E424,安値!$E$3:$IT$3,"&lt;="&amp;$AE424,OFFSET(安値!$E$6:$IT$6,MATCH(TEXT($B424,"0"),TEXT(銘柄管理!$B$6:$B$305,"0"),0)-1,0),"&lt;="&amp;$N424)),""))</f>
        <v/>
      </c>
      <c r="AH424" s="600" t="str">
        <f>IF(OR($B424="",$M424=""),"",IF(AND(N($AF424)=0,N($AG424)=0),IF(AND(ISNUMBER($H424),$H424&gt;0,IF($C424="売",$H424&gt;=$N424,$H424&lt;=$N424)),"損切確定",IF(AND(ISNUMBER($H424),$H424&gt;0,IF($C424="売",$H424&lt;=$M424,$H424&gt;=$M424)),"利益確定",IF($AE424&lt;=TODAY(),"日数制限","保有中"))),IF(N($AG424)=0,"利益確定",IF(N($AF424)=0,"損切確定",IF($AG424&lt;=$AF424,"損切確定","利益確定")))))</f>
        <v/>
      </c>
      <c r="AI424" s="600" t="str" cm="1">
        <f t="array" ref="AI424">IFERROR(INDEX(始値!$E$6:$IT$305,MATCH(TEXT($B424,"0"),TEXT(銘柄管理!$B$6:$B$305,"0"),0),MATCH($AE424,始値!$E$3:$IT$3,0)),"")</f>
        <v/>
      </c>
      <c r="AJ424" s="608" t="str">
        <f>IF(OR($V424="",$F424="",$G424=""),"",$V424/($F424*$G424))</f>
        <v/>
      </c>
      <c r="AK424" s="600" t="str">
        <f>IF($V424="","",IF($V424&gt;0,"○勝",IF($V424&lt;0,"●負","△引分")))</f>
        <v/>
      </c>
    </row>
    <row r="425" spans="1:37" ht="17.25" customHeight="1">
      <c r="A425" s="622" t="str">
        <f>IF(B425="","",HYPERLINK("https://kabutan.jp/stock/?code="&amp;B425,"株探"))</f>
        <v/>
      </c>
      <c r="D425" s="440" t="str" cm="1">
        <f t="array" ref="D425">_xll.RssMarket(B425, "銘柄名称")</f>
        <v/>
      </c>
      <c r="E425" s="717"/>
      <c r="F425" s="698" t="str" cm="1">
        <f t="array" aca="1" ref="F425" ca="1">IFERROR(_xlfn.LET(_xlpm.r,MATCH(TEXT($B425,"0"),TEXT(銘柄管理!$B$6:$B$305,"0"),0),_xlpm.t,MOD(NOW(),1),_xlpm.c,IF($E425=TODAY(),IF(_xlpm.t&gt;=TIME(15,30,0),NA(),1),IF(MATCH($E425,始値!$E$3:$IT$3,0)=1,1,MATCH($E425,始値!$E$3:$IT$3,0)+1)),_xlpm.v,INDEX(始値!$C$6:$IT$305,_xlpm.r,_xlpm.c),IF(N(_xlpm.v)=0,"",_xlpm.v)),"")</f>
        <v/>
      </c>
      <c r="H425" s="440" t="str" cm="1">
        <f t="array" ref="H425">_xll.RssMarket(B425, "現在値")</f>
        <v/>
      </c>
      <c r="I425" s="440" t="str" cm="1">
        <f t="array" ref="I425">_xll.RssMarket(B425, "出来高加重平均")</f>
        <v/>
      </c>
      <c r="J425" s="704" t="str" cm="1">
        <f t="array" ref="J425">_xll.RssMarket($B425, "前日比")</f>
        <v/>
      </c>
      <c r="K425" s="704" t="str">
        <f>IF(OR(F425="",G425="",H425=""),"",IF(C425="売",(F425-H425)*G425,(H425-F425)*G425))</f>
        <v/>
      </c>
      <c r="L425" s="709" t="str">
        <f>IF(OR(F425="",H425=""),"",IF(C425="売",(F425-H425)/F425,(H425-F425)/F425))</f>
        <v/>
      </c>
      <c r="M425" s="599" t="str">
        <f>IF($F425="","",$F425*IF($C425="売",1-V811設定!$B$4,1+V811設定!$B$4)-MOD($F425*IF($C425="売",1-V811設定!$B$4,1+V811設定!$B$4),IF($F425&lt;=3000,1,IF($F425&lt;=5000,5,IF($F425&lt;=30000,10,IF($F425&lt;=50000,50,IF($F425&lt;=300000,100,500))))))+IF(AND($C425="売",MOD($F425*IF($C425="売",1-V811設定!$B$4,1+V811設定!$B$4),IF($F425&lt;=3000,1,IF($F425&lt;=5000,5,IF($F425&lt;=30000,10,IF($F425&lt;=50000,50,IF($F425&lt;=300000,100,500))))))&gt;0),IF($F425&lt;=3000,1,IF($F425&lt;=5000,5,IF($F425&lt;=30000,10,IF($F425&lt;=50000,50,IF($F425&lt;=300000,100,500))))),0))</f>
      </c>
      <c r="N425" s="599" t="str">
        <f>IF($F425="","",$F425*IF($C425="売",1+V811設定!$B$3,1-V811設定!$B$3)-MOD($F425*IF($C425="売",1+V811設定!$B$3,1-V811設定!$B$3),IF($F425&lt;=3000,1,IF($F425&lt;=5000,5,IF($F425&lt;=30000,10,IF($F425&lt;=50000,50,IF($F425&lt;=300000,100,500))))))+IF(AND($C425="売",MOD($F425*IF($C425="売",1+V811設定!$B$3,1-V811設定!$B$3),IF($F425&lt;=3000,1,IF($F425&lt;=5000,5,IF($F425&lt;=30000,10,IF($F425&lt;=50000,50,IF($F425&lt;=300000,100,500))))))&gt;0),IF($F425&lt;=3000,1,IF($F425&lt;=5000,5,IF($F425&lt;=30000,10,IF($F425&lt;=50000,50,IF($F425&lt;=300000,100,500))))),0))</f>
      </c>
      <c r="O425" s="478" t="str">
        <f>IF(OR($B425="",$F425="",$H425=""),"",IF($S425="✅売却済","―決済済―",IF($C425="売",IF($H425&lt;=$M425,"🟢利確",IF(AND($R425&lt;&gt;"",$H425&gt;=$R425),"🟠TRAIL",IF($H425&gt;=$N425,"🔴損切",IF($W425&gt;=V811設定!$B$6,"⏱時間決済",IF($H425&gt;=$F425*(1+V811設定!$B$3*0.7),"⚠️損切接近","保持継続"))))),IF($H425&gt;=$M425,"🟢利確",IF(AND($R425&lt;&gt;"",$H425&lt;=$R425),"🟠TRAIL",IF($H425&lt;=$N425,"🔴損切",IF($W425&gt;=V811設定!$B$6,"⏱時間決済",IF($H425&lt;=$F425*(1-V811設定!$B$3*0.7),"⚠️損切接近","保持継続"))))))))</f>
      </c>
      <c r="P425" s="445"/>
      <c r="R425" s="440" t="str">
        <f>IF(OR($F425="",$H425="",$N425=""),"",IF($S425="✅売却済","",IF($C425="売",IF($H425&gt;$F425*(1-V811設定!$B$3),$N425,MIN($N425,IF($Q425="",$N425,$Q425*1.03))),IF($H425&lt;$F425*(1+V811設定!$B$3),$N425,MAX($N425,IF($P425="",$N425,$P425*0.97))))))</f>
      </c>
      <c r="S425" s="440" t="str">
        <f>IF(B425="","",IF(T425&lt;&gt;"","✅売却済",IF(OR(H425="",L425=""),"📌保有中",IF(L425&gt;=0.06,"🟢利確推奨",IF(L425&gt;=0.05,"🟡利確直近",IF(L425&gt;=0.045,"🔵トレーリング検討",IF(L425&gt;-0.03,"📌保有中",IF(L425&gt;-0.04,"⚠️損切注意","🔴損切り"))))))))</f>
        <v/>
      </c>
      <c r="T425" s="597"/>
      <c r="U425" s="599"/>
      <c r="V425" s="704" t="str">
        <f>IF(OR(F425="",G425="",U425=""),"",IF(C425="売",(F425-U425)*G425,(U425-F425)*G425))</f>
        <v/>
      </c>
      <c r="W425" s="440" t="str">
        <f>IF(OR($E425="",$B425=""),"",IF($T425&lt;&gt;"",$T425-$E425,TODAY()-$E425)+1)</f>
        <v/>
      </c>
      <c r="X425" s="440" t="str">
        <f>IF(OR($AH425="",$AH425="保有中"),"",$AH425)</f>
        <v/>
      </c>
      <c r="AD425" s="608"/>
      <c r="AE425" s="600" t="str">
        <f>IF($E425="","",WORKDAY($E425,12))</f>
        <v/>
      </c>
      <c r="AF425" s="600" t="str" cm="1">
        <f t="array" aca="1" ref="AF425" ca="1">IF(OR($B425="",$M425=""),"",IFERROR(IF($C425="売",_xlfn.MINIFS(安値!$E$3:$IT$3,安値!$E$3:$IT$3,"&gt;"&amp;$E425,安値!$E$3:$IT$3,"&lt;="&amp;$AE425,OFFSET(安値!$E$6:$IT$6,MATCH(TEXT($B425,"0"),TEXT(銘柄管理!$B$6:$B$305,"0"),0)-1,0),"&lt;="&amp;$M425),_xlfn.MINIFS(高値!$E$3:$IT$3,高値!$E$3:$IT$3,"&gt;"&amp;$E425,高値!$E$3:$IT$3,"&lt;="&amp;$AE425,OFFSET(高値!$E$6:$IT$6,MATCH(TEXT($B425,"0"),TEXT(銘柄管理!$B$6:$B$305,"0"),0)-1,0),"&gt;="&amp;$M425)),""))</f>
        <v/>
      </c>
      <c r="AG425" s="600" t="str" cm="1">
        <f t="array" aca="1" ref="AG425" ca="1">IF(OR($B425="",$N425=""),"",IFERROR(IF($C425="売",_xlfn.MINIFS(高値!$E$3:$IT$3,高値!$E$3:$IT$3,"&gt;"&amp;$E425,高値!$E$3:$IT$3,"&lt;="&amp;$AE425,OFFSET(高値!$E$6:$IT$6,MATCH(TEXT($B425,"0"),TEXT(銘柄管理!$B$6:$B$305,"0"),0)-1,0),"&gt;="&amp;$N425),_xlfn.MINIFS(安値!$E$3:$IT$3,安値!$E$3:$IT$3,"&gt;"&amp;$E425,安値!$E$3:$IT$3,"&lt;="&amp;$AE425,OFFSET(安値!$E$6:$IT$6,MATCH(TEXT($B425,"0"),TEXT(銘柄管理!$B$6:$B$305,"0"),0)-1,0),"&lt;="&amp;$N425)),""))</f>
        <v/>
      </c>
      <c r="AH425" s="600" t="str">
        <f>IF(OR($B425="",$M425=""),"",IF(AND(N($AF425)=0,N($AG425)=0),IF(AND(ISNUMBER($H425),$H425&gt;0,IF($C425="売",$H425&gt;=$N425,$H425&lt;=$N425)),"損切確定",IF(AND(ISNUMBER($H425),$H425&gt;0,IF($C425="売",$H425&lt;=$M425,$H425&gt;=$M425)),"利益確定",IF($AE425&lt;=TODAY(),"日数制限","保有中"))),IF(N($AG425)=0,"利益確定",IF(N($AF425)=0,"損切確定",IF($AG425&lt;=$AF425,"損切確定","利益確定")))))</f>
        <v/>
      </c>
      <c r="AI425" s="600" t="str" cm="1">
        <f t="array" ref="AI425">IFERROR(INDEX(始値!$E$6:$IT$305,MATCH(TEXT($B425,"0"),TEXT(銘柄管理!$B$6:$B$305,"0"),0),MATCH($AE425,始値!$E$3:$IT$3,0)),"")</f>
        <v/>
      </c>
      <c r="AJ425" s="608" t="str">
        <f>IF(OR($V425="",$F425="",$G425=""),"",$V425/($F425*$G425))</f>
        <v/>
      </c>
      <c r="AK425" s="600" t="str">
        <f>IF($V425="","",IF($V425&gt;0,"○勝",IF($V425&lt;0,"●負","△引分")))</f>
        <v/>
      </c>
    </row>
    <row r="426" spans="1:37" ht="17.25" customHeight="1">
      <c r="A426" s="622" t="str">
        <f>IF(B426="","",HYPERLINK("https://kabutan.jp/stock/?code="&amp;B426,"株探"))</f>
        <v/>
      </c>
      <c r="D426" s="440" t="str" cm="1">
        <f t="array" ref="D426">_xll.RssMarket(B426, "銘柄名称")</f>
        <v/>
      </c>
      <c r="E426" s="717"/>
      <c r="F426" s="698" t="str" cm="1">
        <f t="array" aca="1" ref="F426" ca="1">IFERROR(_xlfn.LET(_xlpm.r,MATCH(TEXT($B426,"0"),TEXT(銘柄管理!$B$6:$B$305,"0"),0),_xlpm.t,MOD(NOW(),1),_xlpm.c,IF($E426=TODAY(),IF(_xlpm.t&gt;=TIME(15,30,0),NA(),1),IF(MATCH($E426,始値!$E$3:$IT$3,0)=1,1,MATCH($E426,始値!$E$3:$IT$3,0)+1)),_xlpm.v,INDEX(始値!$C$6:$IT$305,_xlpm.r,_xlpm.c),IF(N(_xlpm.v)=0,"",_xlpm.v)),"")</f>
        <v/>
      </c>
      <c r="H426" s="440" t="str" cm="1">
        <f t="array" ref="H426">_xll.RssMarket(B426, "現在値")</f>
        <v/>
      </c>
      <c r="I426" s="440" t="str" cm="1">
        <f t="array" ref="I426">_xll.RssMarket(B426, "出来高加重平均")</f>
        <v/>
      </c>
      <c r="J426" s="704" t="str" cm="1">
        <f t="array" ref="J426">_xll.RssMarket($B426, "前日比")</f>
        <v/>
      </c>
      <c r="K426" s="704" t="str">
        <f>IF(OR(F426="",G426="",H426=""),"",IF(C426="売",(F426-H426)*G426,(H426-F426)*G426))</f>
        <v/>
      </c>
      <c r="L426" s="709" t="str">
        <f>IF(OR(F426="",H426=""),"",IF(C426="売",(F426-H426)/F426,(H426-F426)/F426))</f>
        <v/>
      </c>
      <c r="M426" s="599" t="str">
        <f>IF($F426="","",$F426*IF($C426="売",1-V811設定!$B$4,1+V811設定!$B$4)-MOD($F426*IF($C426="売",1-V811設定!$B$4,1+V811設定!$B$4),IF($F426&lt;=3000,1,IF($F426&lt;=5000,5,IF($F426&lt;=30000,10,IF($F426&lt;=50000,50,IF($F426&lt;=300000,100,500))))))+IF(AND($C426="売",MOD($F426*IF($C426="売",1-V811設定!$B$4,1+V811設定!$B$4),IF($F426&lt;=3000,1,IF($F426&lt;=5000,5,IF($F426&lt;=30000,10,IF($F426&lt;=50000,50,IF($F426&lt;=300000,100,500))))))&gt;0),IF($F426&lt;=3000,1,IF($F426&lt;=5000,5,IF($F426&lt;=30000,10,IF($F426&lt;=50000,50,IF($F426&lt;=300000,100,500))))),0))</f>
      </c>
      <c r="N426" s="599" t="str">
        <f>IF($F426="","",$F426*IF($C426="売",1+V811設定!$B$3,1-V811設定!$B$3)-MOD($F426*IF($C426="売",1+V811設定!$B$3,1-V811設定!$B$3),IF($F426&lt;=3000,1,IF($F426&lt;=5000,5,IF($F426&lt;=30000,10,IF($F426&lt;=50000,50,IF($F426&lt;=300000,100,500))))))+IF(AND($C426="売",MOD($F426*IF($C426="売",1+V811設定!$B$3,1-V811設定!$B$3),IF($F426&lt;=3000,1,IF($F426&lt;=5000,5,IF($F426&lt;=30000,10,IF($F426&lt;=50000,50,IF($F426&lt;=300000,100,500))))))&gt;0),IF($F426&lt;=3000,1,IF($F426&lt;=5000,5,IF($F426&lt;=30000,10,IF($F426&lt;=50000,50,IF($F426&lt;=300000,100,500))))),0))</f>
      </c>
      <c r="O426" s="478" t="str">
        <f>IF(OR($B426="",$F426="",$H426=""),"",IF($S426="✅売却済","―決済済―",IF($C426="売",IF($H426&lt;=$M426,"🟢利確",IF(AND($R426&lt;&gt;"",$H426&gt;=$R426),"🟠TRAIL",IF($H426&gt;=$N426,"🔴損切",IF($W426&gt;=V811設定!$B$6,"⏱時間決済",IF($H426&gt;=$F426*(1+V811設定!$B$3*0.7),"⚠️損切接近","保持継続"))))),IF($H426&gt;=$M426,"🟢利確",IF(AND($R426&lt;&gt;"",$H426&lt;=$R426),"🟠TRAIL",IF($H426&lt;=$N426,"🔴損切",IF($W426&gt;=V811設定!$B$6,"⏱時間決済",IF($H426&lt;=$F426*(1-V811設定!$B$3*0.7),"⚠️損切接近","保持継続"))))))))</f>
      </c>
      <c r="P426" s="445"/>
      <c r="R426" s="440" t="str">
        <f>IF(OR($F426="",$H426="",$N426=""),"",IF($S426="✅売却済","",IF($C426="売",IF($H426&gt;$F426*(1-V811設定!$B$3),$N426,MIN($N426,IF($Q426="",$N426,$Q426*1.03))),IF($H426&lt;$F426*(1+V811設定!$B$3),$N426,MAX($N426,IF($P426="",$N426,$P426*0.97))))))</f>
      </c>
      <c r="S426" s="440" t="str">
        <f>IF(B426="","",IF(T426&lt;&gt;"","✅売却済",IF(OR(H426="",L426=""),"📌保有中",IF(L426&gt;=0.06,"🟢利確推奨",IF(L426&gt;=0.05,"🟡利確直近",IF(L426&gt;=0.045,"🔵トレーリング検討",IF(L426&gt;-0.03,"📌保有中",IF(L426&gt;-0.04,"⚠️損切注意","🔴損切り"))))))))</f>
        <v/>
      </c>
      <c r="T426" s="597"/>
      <c r="U426" s="599"/>
      <c r="V426" s="704" t="str">
        <f>IF(OR(F426="",G426="",U426=""),"",IF(C426="売",(F426-U426)*G426,(U426-F426)*G426))</f>
        <v/>
      </c>
      <c r="W426" s="440" t="str">
        <f>IF(OR($E426="",$B426=""),"",IF($T426&lt;&gt;"",$T426-$E426,TODAY()-$E426)+1)</f>
        <v/>
      </c>
      <c r="X426" s="440" t="str">
        <f>IF(OR($AH426="",$AH426="保有中"),"",$AH426)</f>
        <v/>
      </c>
      <c r="AD426" s="608"/>
      <c r="AE426" s="600" t="str">
        <f>IF($E426="","",WORKDAY($E426,12))</f>
        <v/>
      </c>
      <c r="AF426" s="600" t="str" cm="1">
        <f t="array" aca="1" ref="AF426" ca="1">IF(OR($B426="",$M426=""),"",IFERROR(IF($C426="売",_xlfn.MINIFS(安値!$E$3:$IT$3,安値!$E$3:$IT$3,"&gt;"&amp;$E426,安値!$E$3:$IT$3,"&lt;="&amp;$AE426,OFFSET(安値!$E$6:$IT$6,MATCH(TEXT($B426,"0"),TEXT(銘柄管理!$B$6:$B$305,"0"),0)-1,0),"&lt;="&amp;$M426),_xlfn.MINIFS(高値!$E$3:$IT$3,高値!$E$3:$IT$3,"&gt;"&amp;$E426,高値!$E$3:$IT$3,"&lt;="&amp;$AE426,OFFSET(高値!$E$6:$IT$6,MATCH(TEXT($B426,"0"),TEXT(銘柄管理!$B$6:$B$305,"0"),0)-1,0),"&gt;="&amp;$M426)),""))</f>
        <v/>
      </c>
      <c r="AG426" s="600" t="str" cm="1">
        <f t="array" aca="1" ref="AG426" ca="1">IF(OR($B426="",$N426=""),"",IFERROR(IF($C426="売",_xlfn.MINIFS(高値!$E$3:$IT$3,高値!$E$3:$IT$3,"&gt;"&amp;$E426,高値!$E$3:$IT$3,"&lt;="&amp;$AE426,OFFSET(高値!$E$6:$IT$6,MATCH(TEXT($B426,"0"),TEXT(銘柄管理!$B$6:$B$305,"0"),0)-1,0),"&gt;="&amp;$N426),_xlfn.MINIFS(安値!$E$3:$IT$3,安値!$E$3:$IT$3,"&gt;"&amp;$E426,安値!$E$3:$IT$3,"&lt;="&amp;$AE426,OFFSET(安値!$E$6:$IT$6,MATCH(TEXT($B426,"0"),TEXT(銘柄管理!$B$6:$B$305,"0"),0)-1,0),"&lt;="&amp;$N426)),""))</f>
        <v/>
      </c>
      <c r="AH426" s="600" t="str">
        <f>IF(OR($B426="",$M426=""),"",IF(AND(N($AF426)=0,N($AG426)=0),IF(AND(ISNUMBER($H426),$H426&gt;0,IF($C426="売",$H426&gt;=$N426,$H426&lt;=$N426)),"損切確定",IF(AND(ISNUMBER($H426),$H426&gt;0,IF($C426="売",$H426&lt;=$M426,$H426&gt;=$M426)),"利益確定",IF($AE426&lt;=TODAY(),"日数制限","保有中"))),IF(N($AG426)=0,"利益確定",IF(N($AF426)=0,"損切確定",IF($AG426&lt;=$AF426,"損切確定","利益確定")))))</f>
        <v/>
      </c>
      <c r="AI426" s="600" t="str" cm="1">
        <f t="array" ref="AI426">IFERROR(INDEX(始値!$E$6:$IT$305,MATCH(TEXT($B426,"0"),TEXT(銘柄管理!$B$6:$B$305,"0"),0),MATCH($AE426,始値!$E$3:$IT$3,0)),"")</f>
        <v/>
      </c>
      <c r="AJ426" s="608" t="str">
        <f>IF(OR($V426="",$F426="",$G426=""),"",$V426/($F426*$G426))</f>
        <v/>
      </c>
      <c r="AK426" s="600" t="str">
        <f>IF($V426="","",IF($V426&gt;0,"○勝",IF($V426&lt;0,"●負","△引分")))</f>
        <v/>
      </c>
    </row>
    <row r="427" spans="1:37" ht="17.25" customHeight="1">
      <c r="A427" s="622" t="str">
        <f>IF(B427="","",HYPERLINK("https://kabutan.jp/stock/?code="&amp;B427,"株探"))</f>
        <v/>
      </c>
      <c r="D427" s="440" t="str" cm="1">
        <f t="array" ref="D427">_xll.RssMarket(B427, "銘柄名称")</f>
        <v/>
      </c>
      <c r="E427" s="717"/>
      <c r="F427" s="698" t="str" cm="1">
        <f t="array" aca="1" ref="F427" ca="1">IFERROR(_xlfn.LET(_xlpm.r,MATCH(TEXT($B427,"0"),TEXT(銘柄管理!$B$6:$B$305,"0"),0),_xlpm.t,MOD(NOW(),1),_xlpm.c,IF($E427=TODAY(),IF(_xlpm.t&gt;=TIME(15,30,0),NA(),1),IF(MATCH($E427,始値!$E$3:$IT$3,0)=1,1,MATCH($E427,始値!$E$3:$IT$3,0)+1)),_xlpm.v,INDEX(始値!$C$6:$IT$305,_xlpm.r,_xlpm.c),IF(N(_xlpm.v)=0,"",_xlpm.v)),"")</f>
        <v/>
      </c>
      <c r="H427" s="440" t="str" cm="1">
        <f t="array" ref="H427">_xll.RssMarket(B427, "現在値")</f>
        <v/>
      </c>
      <c r="I427" s="440" t="str" cm="1">
        <f t="array" ref="I427">_xll.RssMarket(B427, "出来高加重平均")</f>
        <v/>
      </c>
      <c r="J427" s="704" t="str" cm="1">
        <f t="array" ref="J427">_xll.RssMarket($B427, "前日比")</f>
        <v/>
      </c>
      <c r="K427" s="704" t="str">
        <f>IF(OR(F427="",G427="",H427=""),"",IF(C427="売",(F427-H427)*G427,(H427-F427)*G427))</f>
        <v/>
      </c>
      <c r="L427" s="709" t="str">
        <f>IF(OR(F427="",H427=""),"",IF(C427="売",(F427-H427)/F427,(H427-F427)/F427))</f>
        <v/>
      </c>
      <c r="M427" s="599" t="str">
        <f>IF($F427="","",$F427*IF($C427="売",1-V811設定!$B$4,1+V811設定!$B$4)-MOD($F427*IF($C427="売",1-V811設定!$B$4,1+V811設定!$B$4),IF($F427&lt;=3000,1,IF($F427&lt;=5000,5,IF($F427&lt;=30000,10,IF($F427&lt;=50000,50,IF($F427&lt;=300000,100,500))))))+IF(AND($C427="売",MOD($F427*IF($C427="売",1-V811設定!$B$4,1+V811設定!$B$4),IF($F427&lt;=3000,1,IF($F427&lt;=5000,5,IF($F427&lt;=30000,10,IF($F427&lt;=50000,50,IF($F427&lt;=300000,100,500))))))&gt;0),IF($F427&lt;=3000,1,IF($F427&lt;=5000,5,IF($F427&lt;=30000,10,IF($F427&lt;=50000,50,IF($F427&lt;=300000,100,500))))),0))</f>
      </c>
      <c r="N427" s="599" t="str">
        <f>IF($F427="","",$F427*IF($C427="売",1+V811設定!$B$3,1-V811設定!$B$3)-MOD($F427*IF($C427="売",1+V811設定!$B$3,1-V811設定!$B$3),IF($F427&lt;=3000,1,IF($F427&lt;=5000,5,IF($F427&lt;=30000,10,IF($F427&lt;=50000,50,IF($F427&lt;=300000,100,500))))))+IF(AND($C427="売",MOD($F427*IF($C427="売",1+V811設定!$B$3,1-V811設定!$B$3),IF($F427&lt;=3000,1,IF($F427&lt;=5000,5,IF($F427&lt;=30000,10,IF($F427&lt;=50000,50,IF($F427&lt;=300000,100,500))))))&gt;0),IF($F427&lt;=3000,1,IF($F427&lt;=5000,5,IF($F427&lt;=30000,10,IF($F427&lt;=50000,50,IF($F427&lt;=300000,100,500))))),0))</f>
      </c>
      <c r="O427" s="478" t="str">
        <f>IF(OR($B427="",$F427="",$H427=""),"",IF($S427="✅売却済","―決済済―",IF($C427="売",IF($H427&lt;=$M427,"🟢利確",IF(AND($R427&lt;&gt;"",$H427&gt;=$R427),"🟠TRAIL",IF($H427&gt;=$N427,"🔴損切",IF($W427&gt;=V811設定!$B$6,"⏱時間決済",IF($H427&gt;=$F427*(1+V811設定!$B$3*0.7),"⚠️損切接近","保持継続"))))),IF($H427&gt;=$M427,"🟢利確",IF(AND($R427&lt;&gt;"",$H427&lt;=$R427),"🟠TRAIL",IF($H427&lt;=$N427,"🔴損切",IF($W427&gt;=V811設定!$B$6,"⏱時間決済",IF($H427&lt;=$F427*(1-V811設定!$B$3*0.7),"⚠️損切接近","保持継続"))))))))</f>
      </c>
      <c r="P427" s="445"/>
      <c r="R427" s="440" t="str">
        <f>IF(OR($F427="",$H427="",$N427=""),"",IF($S427="✅売却済","",IF($C427="売",IF($H427&gt;$F427*(1-V811設定!$B$3),$N427,MIN($N427,IF($Q427="",$N427,$Q427*1.03))),IF($H427&lt;$F427*(1+V811設定!$B$3),$N427,MAX($N427,IF($P427="",$N427,$P427*0.97))))))</f>
      </c>
      <c r="S427" s="440" t="str">
        <f>IF(B427="","",IF(T427&lt;&gt;"","✅売却済",IF(OR(H427="",L427=""),"📌保有中",IF(L427&gt;=0.06,"🟢利確推奨",IF(L427&gt;=0.05,"🟡利確直近",IF(L427&gt;=0.045,"🔵トレーリング検討",IF(L427&gt;-0.03,"📌保有中",IF(L427&gt;-0.04,"⚠️損切注意","🔴損切り"))))))))</f>
        <v/>
      </c>
      <c r="T427" s="597"/>
      <c r="U427" s="599"/>
      <c r="V427" s="704" t="str">
        <f>IF(OR(F427="",G427="",U427=""),"",IF(C427="売",(F427-U427)*G427,(U427-F427)*G427))</f>
        <v/>
      </c>
      <c r="W427" s="440" t="str">
        <f>IF(OR($E427="",$B427=""),"",IF($T427&lt;&gt;"",$T427-$E427,TODAY()-$E427)+1)</f>
        <v/>
      </c>
      <c r="X427" s="440" t="str">
        <f>IF(OR($AH427="",$AH427="保有中"),"",$AH427)</f>
        <v/>
      </c>
      <c r="AD427" s="608"/>
      <c r="AE427" s="600" t="str">
        <f>IF($E427="","",WORKDAY($E427,12))</f>
        <v/>
      </c>
      <c r="AF427" s="600" t="str" cm="1">
        <f t="array" aca="1" ref="AF427" ca="1">IF(OR($B427="",$M427=""),"",IFERROR(IF($C427="売",_xlfn.MINIFS(安値!$E$3:$IT$3,安値!$E$3:$IT$3,"&gt;"&amp;$E427,安値!$E$3:$IT$3,"&lt;="&amp;$AE427,OFFSET(安値!$E$6:$IT$6,MATCH(TEXT($B427,"0"),TEXT(銘柄管理!$B$6:$B$305,"0"),0)-1,0),"&lt;="&amp;$M427),_xlfn.MINIFS(高値!$E$3:$IT$3,高値!$E$3:$IT$3,"&gt;"&amp;$E427,高値!$E$3:$IT$3,"&lt;="&amp;$AE427,OFFSET(高値!$E$6:$IT$6,MATCH(TEXT($B427,"0"),TEXT(銘柄管理!$B$6:$B$305,"0"),0)-1,0),"&gt;="&amp;$M427)),""))</f>
        <v/>
      </c>
      <c r="AG427" s="600" t="str" cm="1">
        <f t="array" aca="1" ref="AG427" ca="1">IF(OR($B427="",$N427=""),"",IFERROR(IF($C427="売",_xlfn.MINIFS(高値!$E$3:$IT$3,高値!$E$3:$IT$3,"&gt;"&amp;$E427,高値!$E$3:$IT$3,"&lt;="&amp;$AE427,OFFSET(高値!$E$6:$IT$6,MATCH(TEXT($B427,"0"),TEXT(銘柄管理!$B$6:$B$305,"0"),0)-1,0),"&gt;="&amp;$N427),_xlfn.MINIFS(安値!$E$3:$IT$3,安値!$E$3:$IT$3,"&gt;"&amp;$E427,安値!$E$3:$IT$3,"&lt;="&amp;$AE427,OFFSET(安値!$E$6:$IT$6,MATCH(TEXT($B427,"0"),TEXT(銘柄管理!$B$6:$B$305,"0"),0)-1,0),"&lt;="&amp;$N427)),""))</f>
        <v/>
      </c>
      <c r="AH427" s="600" t="str">
        <f>IF(OR($B427="",$M427=""),"",IF(AND(N($AF427)=0,N($AG427)=0),IF(AND(ISNUMBER($H427),$H427&gt;0,IF($C427="売",$H427&gt;=$N427,$H427&lt;=$N427)),"損切確定",IF(AND(ISNUMBER($H427),$H427&gt;0,IF($C427="売",$H427&lt;=$M427,$H427&gt;=$M427)),"利益確定",IF($AE427&lt;=TODAY(),"日数制限","保有中"))),IF(N($AG427)=0,"利益確定",IF(N($AF427)=0,"損切確定",IF($AG427&lt;=$AF427,"損切確定","利益確定")))))</f>
        <v/>
      </c>
      <c r="AI427" s="600" t="str" cm="1">
        <f t="array" ref="AI427">IFERROR(INDEX(始値!$E$6:$IT$305,MATCH(TEXT($B427,"0"),TEXT(銘柄管理!$B$6:$B$305,"0"),0),MATCH($AE427,始値!$E$3:$IT$3,0)),"")</f>
        <v/>
      </c>
      <c r="AJ427" s="608" t="str">
        <f>IF(OR($V427="",$F427="",$G427=""),"",$V427/($F427*$G427))</f>
        <v/>
      </c>
      <c r="AK427" s="600" t="str">
        <f>IF($V427="","",IF($V427&gt;0,"○勝",IF($V427&lt;0,"●負","△引分")))</f>
        <v/>
      </c>
    </row>
    <row r="428" spans="1:37" ht="17.25" customHeight="1">
      <c r="A428" s="622" t="str">
        <f>IF(B428="","",HYPERLINK("https://kabutan.jp/stock/?code="&amp;B428,"株探"))</f>
        <v/>
      </c>
      <c r="D428" s="440" t="str" cm="1">
        <f t="array" ref="D428">_xll.RssMarket(B428, "銘柄名称")</f>
        <v/>
      </c>
      <c r="E428" s="717"/>
      <c r="F428" s="698" t="str" cm="1">
        <f t="array" aca="1" ref="F428" ca="1">IFERROR(_xlfn.LET(_xlpm.r,MATCH(TEXT($B428,"0"),TEXT(銘柄管理!$B$6:$B$305,"0"),0),_xlpm.t,MOD(NOW(),1),_xlpm.c,IF($E428=TODAY(),IF(_xlpm.t&gt;=TIME(15,30,0),NA(),1),IF(MATCH($E428,始値!$E$3:$IT$3,0)=1,1,MATCH($E428,始値!$E$3:$IT$3,0)+1)),_xlpm.v,INDEX(始値!$C$6:$IT$305,_xlpm.r,_xlpm.c),IF(N(_xlpm.v)=0,"",_xlpm.v)),"")</f>
        <v/>
      </c>
      <c r="H428" s="440" t="str" cm="1">
        <f t="array" ref="H428">_xll.RssMarket(B428, "現在値")</f>
        <v/>
      </c>
      <c r="I428" s="440" t="str" cm="1">
        <f t="array" ref="I428">_xll.RssMarket(B428, "出来高加重平均")</f>
        <v/>
      </c>
      <c r="J428" s="704" t="str" cm="1">
        <f t="array" ref="J428">_xll.RssMarket($B428, "前日比")</f>
        <v/>
      </c>
      <c r="K428" s="704" t="str">
        <f>IF(OR(F428="",G428="",H428=""),"",IF(C428="売",(F428-H428)*G428,(H428-F428)*G428))</f>
        <v/>
      </c>
      <c r="L428" s="709" t="str">
        <f>IF(OR(F428="",H428=""),"",IF(C428="売",(F428-H428)/F428,(H428-F428)/F428))</f>
        <v/>
      </c>
      <c r="M428" s="599" t="str">
        <f>IF($F428="","",$F428*IF($C428="売",1-V811設定!$B$4,1+V811設定!$B$4)-MOD($F428*IF($C428="売",1-V811設定!$B$4,1+V811設定!$B$4),IF($F428&lt;=3000,1,IF($F428&lt;=5000,5,IF($F428&lt;=30000,10,IF($F428&lt;=50000,50,IF($F428&lt;=300000,100,500))))))+IF(AND($C428="売",MOD($F428*IF($C428="売",1-V811設定!$B$4,1+V811設定!$B$4),IF($F428&lt;=3000,1,IF($F428&lt;=5000,5,IF($F428&lt;=30000,10,IF($F428&lt;=50000,50,IF($F428&lt;=300000,100,500))))))&gt;0),IF($F428&lt;=3000,1,IF($F428&lt;=5000,5,IF($F428&lt;=30000,10,IF($F428&lt;=50000,50,IF($F428&lt;=300000,100,500))))),0))</f>
      </c>
      <c r="N428" s="599" t="str">
        <f>IF($F428="","",$F428*IF($C428="売",1+V811設定!$B$3,1-V811設定!$B$3)-MOD($F428*IF($C428="売",1+V811設定!$B$3,1-V811設定!$B$3),IF($F428&lt;=3000,1,IF($F428&lt;=5000,5,IF($F428&lt;=30000,10,IF($F428&lt;=50000,50,IF($F428&lt;=300000,100,500))))))+IF(AND($C428="売",MOD($F428*IF($C428="売",1+V811設定!$B$3,1-V811設定!$B$3),IF($F428&lt;=3000,1,IF($F428&lt;=5000,5,IF($F428&lt;=30000,10,IF($F428&lt;=50000,50,IF($F428&lt;=300000,100,500))))))&gt;0),IF($F428&lt;=3000,1,IF($F428&lt;=5000,5,IF($F428&lt;=30000,10,IF($F428&lt;=50000,50,IF($F428&lt;=300000,100,500))))),0))</f>
      </c>
      <c r="O428" s="478" t="str">
        <f>IF(OR($B428="",$F428="",$H428=""),"",IF($S428="✅売却済","―決済済―",IF($C428="売",IF($H428&lt;=$M428,"🟢利確",IF(AND($R428&lt;&gt;"",$H428&gt;=$R428),"🟠TRAIL",IF($H428&gt;=$N428,"🔴損切",IF($W428&gt;=V811設定!$B$6,"⏱時間決済",IF($H428&gt;=$F428*(1+V811設定!$B$3*0.7),"⚠️損切接近","保持継続"))))),IF($H428&gt;=$M428,"🟢利確",IF(AND($R428&lt;&gt;"",$H428&lt;=$R428),"🟠TRAIL",IF($H428&lt;=$N428,"🔴損切",IF($W428&gt;=V811設定!$B$6,"⏱時間決済",IF($H428&lt;=$F428*(1-V811設定!$B$3*0.7),"⚠️損切接近","保持継続"))))))))</f>
      </c>
      <c r="P428" s="445"/>
      <c r="R428" s="440" t="str">
        <f>IF(OR($F428="",$H428="",$N428=""),"",IF($S428="✅売却済","",IF($C428="売",IF($H428&gt;$F428*(1-V811設定!$B$3),$N428,MIN($N428,IF($Q428="",$N428,$Q428*1.03))),IF($H428&lt;$F428*(1+V811設定!$B$3),$N428,MAX($N428,IF($P428="",$N428,$P428*0.97))))))</f>
      </c>
      <c r="S428" s="440" t="str">
        <f>IF(B428="","",IF(T428&lt;&gt;"","✅売却済",IF(OR(H428="",L428=""),"📌保有中",IF(L428&gt;=0.06,"🟢利確推奨",IF(L428&gt;=0.05,"🟡利確直近",IF(L428&gt;=0.045,"🔵トレーリング検討",IF(L428&gt;-0.03,"📌保有中",IF(L428&gt;-0.04,"⚠️損切注意","🔴損切り"))))))))</f>
        <v/>
      </c>
      <c r="T428" s="597"/>
      <c r="U428" s="599"/>
      <c r="V428" s="704" t="str">
        <f>IF(OR(F428="",G428="",U428=""),"",IF(C428="売",(F428-U428)*G428,(U428-F428)*G428))</f>
        <v/>
      </c>
      <c r="W428" s="440" t="str">
        <f>IF(OR($E428="",$B428=""),"",IF($T428&lt;&gt;"",$T428-$E428,TODAY()-$E428)+1)</f>
        <v/>
      </c>
      <c r="X428" s="440" t="str">
        <f>IF(OR($AH428="",$AH428="保有中"),"",$AH428)</f>
        <v/>
      </c>
      <c r="AD428" s="608"/>
      <c r="AE428" s="600" t="str">
        <f>IF($E428="","",WORKDAY($E428,12))</f>
        <v/>
      </c>
      <c r="AF428" s="600" t="str" cm="1">
        <f t="array" aca="1" ref="AF428" ca="1">IF(OR($B428="",$M428=""),"",IFERROR(IF($C428="売",_xlfn.MINIFS(安値!$E$3:$IT$3,安値!$E$3:$IT$3,"&gt;"&amp;$E428,安値!$E$3:$IT$3,"&lt;="&amp;$AE428,OFFSET(安値!$E$6:$IT$6,MATCH(TEXT($B428,"0"),TEXT(銘柄管理!$B$6:$B$305,"0"),0)-1,0),"&lt;="&amp;$M428),_xlfn.MINIFS(高値!$E$3:$IT$3,高値!$E$3:$IT$3,"&gt;"&amp;$E428,高値!$E$3:$IT$3,"&lt;="&amp;$AE428,OFFSET(高値!$E$6:$IT$6,MATCH(TEXT($B428,"0"),TEXT(銘柄管理!$B$6:$B$305,"0"),0)-1,0),"&gt;="&amp;$M428)),""))</f>
        <v/>
      </c>
      <c r="AG428" s="600" t="str" cm="1">
        <f t="array" aca="1" ref="AG428" ca="1">IF(OR($B428="",$N428=""),"",IFERROR(IF($C428="売",_xlfn.MINIFS(高値!$E$3:$IT$3,高値!$E$3:$IT$3,"&gt;"&amp;$E428,高値!$E$3:$IT$3,"&lt;="&amp;$AE428,OFFSET(高値!$E$6:$IT$6,MATCH(TEXT($B428,"0"),TEXT(銘柄管理!$B$6:$B$305,"0"),0)-1,0),"&gt;="&amp;$N428),_xlfn.MINIFS(安値!$E$3:$IT$3,安値!$E$3:$IT$3,"&gt;"&amp;$E428,安値!$E$3:$IT$3,"&lt;="&amp;$AE428,OFFSET(安値!$E$6:$IT$6,MATCH(TEXT($B428,"0"),TEXT(銘柄管理!$B$6:$B$305,"0"),0)-1,0),"&lt;="&amp;$N428)),""))</f>
        <v/>
      </c>
      <c r="AH428" s="600" t="str">
        <f>IF(OR($B428="",$M428=""),"",IF(AND(N($AF428)=0,N($AG428)=0),IF(AND(ISNUMBER($H428),$H428&gt;0,IF($C428="売",$H428&gt;=$N428,$H428&lt;=$N428)),"損切確定",IF(AND(ISNUMBER($H428),$H428&gt;0,IF($C428="売",$H428&lt;=$M428,$H428&gt;=$M428)),"利益確定",IF($AE428&lt;=TODAY(),"日数制限","保有中"))),IF(N($AG428)=0,"利益確定",IF(N($AF428)=0,"損切確定",IF($AG428&lt;=$AF428,"損切確定","利益確定")))))</f>
        <v/>
      </c>
      <c r="AI428" s="600" t="str" cm="1">
        <f t="array" ref="AI428">IFERROR(INDEX(始値!$E$6:$IT$305,MATCH(TEXT($B428,"0"),TEXT(銘柄管理!$B$6:$B$305,"0"),0),MATCH($AE428,始値!$E$3:$IT$3,0)),"")</f>
        <v/>
      </c>
      <c r="AJ428" s="608" t="str">
        <f>IF(OR($V428="",$F428="",$G428=""),"",$V428/($F428*$G428))</f>
        <v/>
      </c>
      <c r="AK428" s="600" t="str">
        <f>IF($V428="","",IF($V428&gt;0,"○勝",IF($V428&lt;0,"●負","△引分")))</f>
        <v/>
      </c>
    </row>
    <row r="429" spans="1:37" ht="17.25" customHeight="1">
      <c r="A429" s="622" t="str">
        <f>IF(B429="","",HYPERLINK("https://kabutan.jp/stock/?code="&amp;B429,"株探"))</f>
        <v/>
      </c>
      <c r="D429" s="440" t="str" cm="1">
        <f t="array" ref="D429">_xll.RssMarket(B429, "銘柄名称")</f>
        <v/>
      </c>
      <c r="E429" s="717"/>
      <c r="F429" s="698" t="str" cm="1">
        <f t="array" aca="1" ref="F429" ca="1">IFERROR(_xlfn.LET(_xlpm.r,MATCH(TEXT($B429,"0"),TEXT(銘柄管理!$B$6:$B$305,"0"),0),_xlpm.t,MOD(NOW(),1),_xlpm.c,IF($E429=TODAY(),IF(_xlpm.t&gt;=TIME(15,30,0),NA(),1),IF(MATCH($E429,始値!$E$3:$IT$3,0)=1,1,MATCH($E429,始値!$E$3:$IT$3,0)+1)),_xlpm.v,INDEX(始値!$C$6:$IT$305,_xlpm.r,_xlpm.c),IF(N(_xlpm.v)=0,"",_xlpm.v)),"")</f>
        <v/>
      </c>
      <c r="H429" s="440" t="str" cm="1">
        <f t="array" ref="H429">_xll.RssMarket(B429, "現在値")</f>
        <v/>
      </c>
      <c r="I429" s="440" t="str" cm="1">
        <f t="array" ref="I429">_xll.RssMarket(B429, "出来高加重平均")</f>
        <v/>
      </c>
      <c r="J429" s="704" t="str" cm="1">
        <f t="array" ref="J429">_xll.RssMarket($B429, "前日比")</f>
        <v/>
      </c>
      <c r="K429" s="704" t="str">
        <f>IF(OR(F429="",G429="",H429=""),"",IF(C429="売",(F429-H429)*G429,(H429-F429)*G429))</f>
        <v/>
      </c>
      <c r="L429" s="709" t="str">
        <f>IF(OR(F429="",H429=""),"",IF(C429="売",(F429-H429)/F429,(H429-F429)/F429))</f>
        <v/>
      </c>
      <c r="M429" s="599" t="str">
        <f>IF($F429="","",$F429*IF($C429="売",1-V811設定!$B$4,1+V811設定!$B$4)-MOD($F429*IF($C429="売",1-V811設定!$B$4,1+V811設定!$B$4),IF($F429&lt;=3000,1,IF($F429&lt;=5000,5,IF($F429&lt;=30000,10,IF($F429&lt;=50000,50,IF($F429&lt;=300000,100,500))))))+IF(AND($C429="売",MOD($F429*IF($C429="売",1-V811設定!$B$4,1+V811設定!$B$4),IF($F429&lt;=3000,1,IF($F429&lt;=5000,5,IF($F429&lt;=30000,10,IF($F429&lt;=50000,50,IF($F429&lt;=300000,100,500))))))&gt;0),IF($F429&lt;=3000,1,IF($F429&lt;=5000,5,IF($F429&lt;=30000,10,IF($F429&lt;=50000,50,IF($F429&lt;=300000,100,500))))),0))</f>
      </c>
      <c r="N429" s="599" t="str">
        <f>IF($F429="","",$F429*IF($C429="売",1+V811設定!$B$3,1-V811設定!$B$3)-MOD($F429*IF($C429="売",1+V811設定!$B$3,1-V811設定!$B$3),IF($F429&lt;=3000,1,IF($F429&lt;=5000,5,IF($F429&lt;=30000,10,IF($F429&lt;=50000,50,IF($F429&lt;=300000,100,500))))))+IF(AND($C429="売",MOD($F429*IF($C429="売",1+V811設定!$B$3,1-V811設定!$B$3),IF($F429&lt;=3000,1,IF($F429&lt;=5000,5,IF($F429&lt;=30000,10,IF($F429&lt;=50000,50,IF($F429&lt;=300000,100,500))))))&gt;0),IF($F429&lt;=3000,1,IF($F429&lt;=5000,5,IF($F429&lt;=30000,10,IF($F429&lt;=50000,50,IF($F429&lt;=300000,100,500))))),0))</f>
      </c>
      <c r="O429" s="478" t="str">
        <f>IF(OR($B429="",$F429="",$H429=""),"",IF($S429="✅売却済","―決済済―",IF($C429="売",IF($H429&lt;=$M429,"🟢利確",IF(AND($R429&lt;&gt;"",$H429&gt;=$R429),"🟠TRAIL",IF($H429&gt;=$N429,"🔴損切",IF($W429&gt;=V811設定!$B$6,"⏱時間決済",IF($H429&gt;=$F429*(1+V811設定!$B$3*0.7),"⚠️損切接近","保持継続"))))),IF($H429&gt;=$M429,"🟢利確",IF(AND($R429&lt;&gt;"",$H429&lt;=$R429),"🟠TRAIL",IF($H429&lt;=$N429,"🔴損切",IF($W429&gt;=V811設定!$B$6,"⏱時間決済",IF($H429&lt;=$F429*(1-V811設定!$B$3*0.7),"⚠️損切接近","保持継続"))))))))</f>
      </c>
      <c r="P429" s="445"/>
      <c r="R429" s="440" t="str">
        <f>IF(OR($F429="",$H429="",$N429=""),"",IF($S429="✅売却済","",IF($C429="売",IF($H429&gt;$F429*(1-V811設定!$B$3),$N429,MIN($N429,IF($Q429="",$N429,$Q429*1.03))),IF($H429&lt;$F429*(1+V811設定!$B$3),$N429,MAX($N429,IF($P429="",$N429,$P429*0.97))))))</f>
      </c>
      <c r="S429" s="440" t="str">
        <f>IF(B429="","",IF(T429&lt;&gt;"","✅売却済",IF(OR(H429="",L429=""),"📌保有中",IF(L429&gt;=0.06,"🟢利確推奨",IF(L429&gt;=0.05,"🟡利確直近",IF(L429&gt;=0.045,"🔵トレーリング検討",IF(L429&gt;-0.03,"📌保有中",IF(L429&gt;-0.04,"⚠️損切注意","🔴損切り"))))))))</f>
        <v/>
      </c>
      <c r="T429" s="597"/>
      <c r="U429" s="599"/>
      <c r="V429" s="704" t="str">
        <f>IF(OR(F429="",G429="",U429=""),"",IF(C429="売",(F429-U429)*G429,(U429-F429)*G429))</f>
        <v/>
      </c>
      <c r="W429" s="440" t="str">
        <f>IF(OR($E429="",$B429=""),"",IF($T429&lt;&gt;"",$T429-$E429,TODAY()-$E429)+1)</f>
        <v/>
      </c>
      <c r="X429" s="440" t="str">
        <f>IF(OR($AH429="",$AH429="保有中"),"",$AH429)</f>
        <v/>
      </c>
      <c r="AD429" s="608"/>
      <c r="AE429" s="600" t="str">
        <f>IF($E429="","",WORKDAY($E429,12))</f>
        <v/>
      </c>
      <c r="AF429" s="600" t="str" cm="1">
        <f t="array" aca="1" ref="AF429" ca="1">IF(OR($B429="",$M429=""),"",IFERROR(IF($C429="売",_xlfn.MINIFS(安値!$E$3:$IT$3,安値!$E$3:$IT$3,"&gt;"&amp;$E429,安値!$E$3:$IT$3,"&lt;="&amp;$AE429,OFFSET(安値!$E$6:$IT$6,MATCH(TEXT($B429,"0"),TEXT(銘柄管理!$B$6:$B$305,"0"),0)-1,0),"&lt;="&amp;$M429),_xlfn.MINIFS(高値!$E$3:$IT$3,高値!$E$3:$IT$3,"&gt;"&amp;$E429,高値!$E$3:$IT$3,"&lt;="&amp;$AE429,OFFSET(高値!$E$6:$IT$6,MATCH(TEXT($B429,"0"),TEXT(銘柄管理!$B$6:$B$305,"0"),0)-1,0),"&gt;="&amp;$M429)),""))</f>
        <v/>
      </c>
      <c r="AG429" s="600" t="str" cm="1">
        <f t="array" aca="1" ref="AG429" ca="1">IF(OR($B429="",$N429=""),"",IFERROR(IF($C429="売",_xlfn.MINIFS(高値!$E$3:$IT$3,高値!$E$3:$IT$3,"&gt;"&amp;$E429,高値!$E$3:$IT$3,"&lt;="&amp;$AE429,OFFSET(高値!$E$6:$IT$6,MATCH(TEXT($B429,"0"),TEXT(銘柄管理!$B$6:$B$305,"0"),0)-1,0),"&gt;="&amp;$N429),_xlfn.MINIFS(安値!$E$3:$IT$3,安値!$E$3:$IT$3,"&gt;"&amp;$E429,安値!$E$3:$IT$3,"&lt;="&amp;$AE429,OFFSET(安値!$E$6:$IT$6,MATCH(TEXT($B429,"0"),TEXT(銘柄管理!$B$6:$B$305,"0"),0)-1,0),"&lt;="&amp;$N429)),""))</f>
        <v/>
      </c>
      <c r="AH429" s="600" t="str">
        <f>IF(OR($B429="",$M429=""),"",IF(AND(N($AF429)=0,N($AG429)=0),IF(AND(ISNUMBER($H429),$H429&gt;0,IF($C429="売",$H429&gt;=$N429,$H429&lt;=$N429)),"損切確定",IF(AND(ISNUMBER($H429),$H429&gt;0,IF($C429="売",$H429&lt;=$M429,$H429&gt;=$M429)),"利益確定",IF($AE429&lt;=TODAY(),"日数制限","保有中"))),IF(N($AG429)=0,"利益確定",IF(N($AF429)=0,"損切確定",IF($AG429&lt;=$AF429,"損切確定","利益確定")))))</f>
        <v/>
      </c>
      <c r="AI429" s="600" t="str" cm="1">
        <f t="array" ref="AI429">IFERROR(INDEX(始値!$E$6:$IT$305,MATCH(TEXT($B429,"0"),TEXT(銘柄管理!$B$6:$B$305,"0"),0),MATCH($AE429,始値!$E$3:$IT$3,0)),"")</f>
        <v/>
      </c>
      <c r="AJ429" s="608" t="str">
        <f>IF(OR($V429="",$F429="",$G429=""),"",$V429/($F429*$G429))</f>
        <v/>
      </c>
      <c r="AK429" s="600" t="str">
        <f>IF($V429="","",IF($V429&gt;0,"○勝",IF($V429&lt;0,"●負","△引分")))</f>
        <v/>
      </c>
    </row>
    <row r="430" spans="1:37" ht="17.25" customHeight="1">
      <c r="A430" s="622" t="str">
        <f>IF(B430="","",HYPERLINK("https://kabutan.jp/stock/?code="&amp;B430,"株探"))</f>
        <v/>
      </c>
      <c r="D430" s="440" t="str" cm="1">
        <f t="array" ref="D430">_xll.RssMarket(B430, "銘柄名称")</f>
        <v/>
      </c>
      <c r="E430" s="717"/>
      <c r="F430" s="698" t="str" cm="1">
        <f t="array" aca="1" ref="F430" ca="1">IFERROR(_xlfn.LET(_xlpm.r,MATCH(TEXT($B430,"0"),TEXT(銘柄管理!$B$6:$B$305,"0"),0),_xlpm.t,MOD(NOW(),1),_xlpm.c,IF($E430=TODAY(),IF(_xlpm.t&gt;=TIME(15,30,0),NA(),1),IF(MATCH($E430,始値!$E$3:$IT$3,0)=1,1,MATCH($E430,始値!$E$3:$IT$3,0)+1)),_xlpm.v,INDEX(始値!$C$6:$IT$305,_xlpm.r,_xlpm.c),IF(N(_xlpm.v)=0,"",_xlpm.v)),"")</f>
        <v/>
      </c>
      <c r="H430" s="440" t="str" cm="1">
        <f t="array" ref="H430">_xll.RssMarket(B430, "現在値")</f>
        <v/>
      </c>
      <c r="I430" s="440" t="str" cm="1">
        <f t="array" ref="I430">_xll.RssMarket(B430, "出来高加重平均")</f>
        <v/>
      </c>
      <c r="J430" s="704" t="str" cm="1">
        <f t="array" ref="J430">_xll.RssMarket($B430, "前日比")</f>
        <v/>
      </c>
      <c r="K430" s="704" t="str">
        <f>IF(OR(F430="",G430="",H430=""),"",IF(C430="売",(F430-H430)*G430,(H430-F430)*G430))</f>
        <v/>
      </c>
      <c r="L430" s="709" t="str">
        <f>IF(OR(F430="",H430=""),"",IF(C430="売",(F430-H430)/F430,(H430-F430)/F430))</f>
        <v/>
      </c>
      <c r="M430" s="599" t="str">
        <f>IF($F430="","",$F430*IF($C430="売",1-V811設定!$B$4,1+V811設定!$B$4)-MOD($F430*IF($C430="売",1-V811設定!$B$4,1+V811設定!$B$4),IF($F430&lt;=3000,1,IF($F430&lt;=5000,5,IF($F430&lt;=30000,10,IF($F430&lt;=50000,50,IF($F430&lt;=300000,100,500))))))+IF(AND($C430="売",MOD($F430*IF($C430="売",1-V811設定!$B$4,1+V811設定!$B$4),IF($F430&lt;=3000,1,IF($F430&lt;=5000,5,IF($F430&lt;=30000,10,IF($F430&lt;=50000,50,IF($F430&lt;=300000,100,500))))))&gt;0),IF($F430&lt;=3000,1,IF($F430&lt;=5000,5,IF($F430&lt;=30000,10,IF($F430&lt;=50000,50,IF($F430&lt;=300000,100,500))))),0))</f>
      </c>
      <c r="N430" s="599" t="str">
        <f>IF($F430="","",$F430*IF($C430="売",1+V811設定!$B$3,1-V811設定!$B$3)-MOD($F430*IF($C430="売",1+V811設定!$B$3,1-V811設定!$B$3),IF($F430&lt;=3000,1,IF($F430&lt;=5000,5,IF($F430&lt;=30000,10,IF($F430&lt;=50000,50,IF($F430&lt;=300000,100,500))))))+IF(AND($C430="売",MOD($F430*IF($C430="売",1+V811設定!$B$3,1-V811設定!$B$3),IF($F430&lt;=3000,1,IF($F430&lt;=5000,5,IF($F430&lt;=30000,10,IF($F430&lt;=50000,50,IF($F430&lt;=300000,100,500))))))&gt;0),IF($F430&lt;=3000,1,IF($F430&lt;=5000,5,IF($F430&lt;=30000,10,IF($F430&lt;=50000,50,IF($F430&lt;=300000,100,500))))),0))</f>
      </c>
      <c r="O430" s="478" t="str">
        <f>IF(OR($B430="",$F430="",$H430=""),"",IF($S430="✅売却済","―決済済―",IF($C430="売",IF($H430&lt;=$M430,"🟢利確",IF(AND($R430&lt;&gt;"",$H430&gt;=$R430),"🟠TRAIL",IF($H430&gt;=$N430,"🔴損切",IF($W430&gt;=V811設定!$B$6,"⏱時間決済",IF($H430&gt;=$F430*(1+V811設定!$B$3*0.7),"⚠️損切接近","保持継続"))))),IF($H430&gt;=$M430,"🟢利確",IF(AND($R430&lt;&gt;"",$H430&lt;=$R430),"🟠TRAIL",IF($H430&lt;=$N430,"🔴損切",IF($W430&gt;=V811設定!$B$6,"⏱時間決済",IF($H430&lt;=$F430*(1-V811設定!$B$3*0.7),"⚠️損切接近","保持継続"))))))))</f>
      </c>
      <c r="P430" s="445"/>
      <c r="R430" s="440" t="str">
        <f>IF(OR($F430="",$H430="",$N430=""),"",IF($S430="✅売却済","",IF($C430="売",IF($H430&gt;$F430*(1-V811設定!$B$3),$N430,MIN($N430,IF($Q430="",$N430,$Q430*1.03))),IF($H430&lt;$F430*(1+V811設定!$B$3),$N430,MAX($N430,IF($P430="",$N430,$P430*0.97))))))</f>
      </c>
      <c r="S430" s="440" t="str">
        <f>IF(B430="","",IF(T430&lt;&gt;"","✅売却済",IF(OR(H430="",L430=""),"📌保有中",IF(L430&gt;=0.06,"🟢利確推奨",IF(L430&gt;=0.05,"🟡利確直近",IF(L430&gt;=0.045,"🔵トレーリング検討",IF(L430&gt;-0.03,"📌保有中",IF(L430&gt;-0.04,"⚠️損切注意","🔴損切り"))))))))</f>
        <v/>
      </c>
      <c r="T430" s="597"/>
      <c r="U430" s="599"/>
      <c r="V430" s="704" t="str">
        <f>IF(OR(F430="",G430="",U430=""),"",IF(C430="売",(F430-U430)*G430,(U430-F430)*G430))</f>
        <v/>
      </c>
      <c r="W430" s="440" t="str">
        <f>IF(OR($E430="",$B430=""),"",IF($T430&lt;&gt;"",$T430-$E430,TODAY()-$E430)+1)</f>
        <v/>
      </c>
      <c r="X430" s="440" t="str">
        <f>IF(OR($AH430="",$AH430="保有中"),"",$AH430)</f>
        <v/>
      </c>
      <c r="AD430" s="608"/>
      <c r="AE430" s="600" t="str">
        <f>IF($E430="","",WORKDAY($E430,12))</f>
        <v/>
      </c>
      <c r="AF430" s="600" t="str" cm="1">
        <f t="array" aca="1" ref="AF430" ca="1">IF(OR($B430="",$M430=""),"",IFERROR(IF($C430="売",_xlfn.MINIFS(安値!$E$3:$IT$3,安値!$E$3:$IT$3,"&gt;"&amp;$E430,安値!$E$3:$IT$3,"&lt;="&amp;$AE430,OFFSET(安値!$E$6:$IT$6,MATCH(TEXT($B430,"0"),TEXT(銘柄管理!$B$6:$B$305,"0"),0)-1,0),"&lt;="&amp;$M430),_xlfn.MINIFS(高値!$E$3:$IT$3,高値!$E$3:$IT$3,"&gt;"&amp;$E430,高値!$E$3:$IT$3,"&lt;="&amp;$AE430,OFFSET(高値!$E$6:$IT$6,MATCH(TEXT($B430,"0"),TEXT(銘柄管理!$B$6:$B$305,"0"),0)-1,0),"&gt;="&amp;$M430)),""))</f>
        <v/>
      </c>
      <c r="AG430" s="600" t="str" cm="1">
        <f t="array" aca="1" ref="AG430" ca="1">IF(OR($B430="",$N430=""),"",IFERROR(IF($C430="売",_xlfn.MINIFS(高値!$E$3:$IT$3,高値!$E$3:$IT$3,"&gt;"&amp;$E430,高値!$E$3:$IT$3,"&lt;="&amp;$AE430,OFFSET(高値!$E$6:$IT$6,MATCH(TEXT($B430,"0"),TEXT(銘柄管理!$B$6:$B$305,"0"),0)-1,0),"&gt;="&amp;$N430),_xlfn.MINIFS(安値!$E$3:$IT$3,安値!$E$3:$IT$3,"&gt;"&amp;$E430,安値!$E$3:$IT$3,"&lt;="&amp;$AE430,OFFSET(安値!$E$6:$IT$6,MATCH(TEXT($B430,"0"),TEXT(銘柄管理!$B$6:$B$305,"0"),0)-1,0),"&lt;="&amp;$N430)),""))</f>
        <v/>
      </c>
      <c r="AH430" s="600" t="str">
        <f>IF(OR($B430="",$M430=""),"",IF(AND(N($AF430)=0,N($AG430)=0),IF(AND(ISNUMBER($H430),$H430&gt;0,IF($C430="売",$H430&gt;=$N430,$H430&lt;=$N430)),"損切確定",IF(AND(ISNUMBER($H430),$H430&gt;0,IF($C430="売",$H430&lt;=$M430,$H430&gt;=$M430)),"利益確定",IF($AE430&lt;=TODAY(),"日数制限","保有中"))),IF(N($AG430)=0,"利益確定",IF(N($AF430)=0,"損切確定",IF($AG430&lt;=$AF430,"損切確定","利益確定")))))</f>
        <v/>
      </c>
      <c r="AI430" s="600" t="str" cm="1">
        <f t="array" ref="AI430">IFERROR(INDEX(始値!$E$6:$IT$305,MATCH(TEXT($B430,"0"),TEXT(銘柄管理!$B$6:$B$305,"0"),0),MATCH($AE430,始値!$E$3:$IT$3,0)),"")</f>
        <v/>
      </c>
      <c r="AJ430" s="608" t="str">
        <f>IF(OR($V430="",$F430="",$G430=""),"",$V430/($F430*$G430))</f>
        <v/>
      </c>
      <c r="AK430" s="600" t="str">
        <f>IF($V430="","",IF($V430&gt;0,"○勝",IF($V430&lt;0,"●負","△引分")))</f>
        <v/>
      </c>
    </row>
    <row r="431" spans="1:37" ht="17.25" customHeight="1">
      <c r="A431" s="622" t="str">
        <f>IF(B431="","",HYPERLINK("https://kabutan.jp/stock/?code="&amp;B431,"株探"))</f>
        <v/>
      </c>
      <c r="D431" s="440" t="str" cm="1">
        <f t="array" ref="D431">_xll.RssMarket(B431, "銘柄名称")</f>
        <v/>
      </c>
      <c r="E431" s="717"/>
      <c r="F431" s="698" t="str" cm="1">
        <f t="array" aca="1" ref="F431" ca="1">IFERROR(_xlfn.LET(_xlpm.r,MATCH(TEXT($B431,"0"),TEXT(銘柄管理!$B$6:$B$305,"0"),0),_xlpm.t,MOD(NOW(),1),_xlpm.c,IF($E431=TODAY(),IF(_xlpm.t&gt;=TIME(15,30,0),NA(),1),IF(MATCH($E431,始値!$E$3:$IT$3,0)=1,1,MATCH($E431,始値!$E$3:$IT$3,0)+1)),_xlpm.v,INDEX(始値!$C$6:$IT$305,_xlpm.r,_xlpm.c),IF(N(_xlpm.v)=0,"",_xlpm.v)),"")</f>
        <v/>
      </c>
      <c r="H431" s="440" t="str" cm="1">
        <f t="array" ref="H431">_xll.RssMarket(B431, "現在値")</f>
        <v/>
      </c>
      <c r="I431" s="440" t="str" cm="1">
        <f t="array" ref="I431">_xll.RssMarket(B431, "出来高加重平均")</f>
        <v/>
      </c>
      <c r="J431" s="704" t="str" cm="1">
        <f t="array" ref="J431">_xll.RssMarket($B431, "前日比")</f>
        <v/>
      </c>
      <c r="K431" s="704" t="str">
        <f>IF(OR(F431="",G431="",H431=""),"",IF(C431="売",(F431-H431)*G431,(H431-F431)*G431))</f>
        <v/>
      </c>
      <c r="L431" s="709" t="str">
        <f>IF(OR(F431="",H431=""),"",IF(C431="売",(F431-H431)/F431,(H431-F431)/F431))</f>
        <v/>
      </c>
      <c r="M431" s="599" t="str">
        <f>IF($F431="","",$F431*IF($C431="売",1-V811設定!$B$4,1+V811設定!$B$4)-MOD($F431*IF($C431="売",1-V811設定!$B$4,1+V811設定!$B$4),IF($F431&lt;=3000,1,IF($F431&lt;=5000,5,IF($F431&lt;=30000,10,IF($F431&lt;=50000,50,IF($F431&lt;=300000,100,500))))))+IF(AND($C431="売",MOD($F431*IF($C431="売",1-V811設定!$B$4,1+V811設定!$B$4),IF($F431&lt;=3000,1,IF($F431&lt;=5000,5,IF($F431&lt;=30000,10,IF($F431&lt;=50000,50,IF($F431&lt;=300000,100,500))))))&gt;0),IF($F431&lt;=3000,1,IF($F431&lt;=5000,5,IF($F431&lt;=30000,10,IF($F431&lt;=50000,50,IF($F431&lt;=300000,100,500))))),0))</f>
      </c>
      <c r="N431" s="599" t="str">
        <f>IF($F431="","",$F431*IF($C431="売",1+V811設定!$B$3,1-V811設定!$B$3)-MOD($F431*IF($C431="売",1+V811設定!$B$3,1-V811設定!$B$3),IF($F431&lt;=3000,1,IF($F431&lt;=5000,5,IF($F431&lt;=30000,10,IF($F431&lt;=50000,50,IF($F431&lt;=300000,100,500))))))+IF(AND($C431="売",MOD($F431*IF($C431="売",1+V811設定!$B$3,1-V811設定!$B$3),IF($F431&lt;=3000,1,IF($F431&lt;=5000,5,IF($F431&lt;=30000,10,IF($F431&lt;=50000,50,IF($F431&lt;=300000,100,500))))))&gt;0),IF($F431&lt;=3000,1,IF($F431&lt;=5000,5,IF($F431&lt;=30000,10,IF($F431&lt;=50000,50,IF($F431&lt;=300000,100,500))))),0))</f>
      </c>
      <c r="O431" s="478" t="str">
        <f>IF(OR($B431="",$F431="",$H431=""),"",IF($S431="✅売却済","―決済済―",IF($C431="売",IF($H431&lt;=$M431,"🟢利確",IF(AND($R431&lt;&gt;"",$H431&gt;=$R431),"🟠TRAIL",IF($H431&gt;=$N431,"🔴損切",IF($W431&gt;=V811設定!$B$6,"⏱時間決済",IF($H431&gt;=$F431*(1+V811設定!$B$3*0.7),"⚠️損切接近","保持継続"))))),IF($H431&gt;=$M431,"🟢利確",IF(AND($R431&lt;&gt;"",$H431&lt;=$R431),"🟠TRAIL",IF($H431&lt;=$N431,"🔴損切",IF($W431&gt;=V811設定!$B$6,"⏱時間決済",IF($H431&lt;=$F431*(1-V811設定!$B$3*0.7),"⚠️損切接近","保持継続"))))))))</f>
      </c>
      <c r="P431" s="445"/>
      <c r="R431" s="440" t="str">
        <f>IF(OR($F431="",$H431="",$N431=""),"",IF($S431="✅売却済","",IF($C431="売",IF($H431&gt;$F431*(1-V811設定!$B$3),$N431,MIN($N431,IF($Q431="",$N431,$Q431*1.03))),IF($H431&lt;$F431*(1+V811設定!$B$3),$N431,MAX($N431,IF($P431="",$N431,$P431*0.97))))))</f>
      </c>
      <c r="S431" s="440" t="str">
        <f>IF(B431="","",IF(T431&lt;&gt;"","✅売却済",IF(OR(H431="",L431=""),"📌保有中",IF(L431&gt;=0.06,"🟢利確推奨",IF(L431&gt;=0.05,"🟡利確直近",IF(L431&gt;=0.045,"🔵トレーリング検討",IF(L431&gt;-0.03,"📌保有中",IF(L431&gt;-0.04,"⚠️損切注意","🔴損切り"))))))))</f>
        <v/>
      </c>
      <c r="T431" s="597"/>
      <c r="U431" s="599"/>
      <c r="V431" s="704" t="str">
        <f>IF(OR(F431="",G431="",U431=""),"",IF(C431="売",(F431-U431)*G431,(U431-F431)*G431))</f>
        <v/>
      </c>
      <c r="W431" s="440" t="str">
        <f>IF(OR($E431="",$B431=""),"",IF($T431&lt;&gt;"",$T431-$E431,TODAY()-$E431)+1)</f>
        <v/>
      </c>
      <c r="X431" s="440" t="str">
        <f>IF(OR($AH431="",$AH431="保有中"),"",$AH431)</f>
        <v/>
      </c>
      <c r="AD431" s="608"/>
      <c r="AE431" s="600" t="str">
        <f>IF($E431="","",WORKDAY($E431,12))</f>
        <v/>
      </c>
      <c r="AF431" s="600" t="str" cm="1">
        <f t="array" aca="1" ref="AF431" ca="1">IF(OR($B431="",$M431=""),"",IFERROR(IF($C431="売",_xlfn.MINIFS(安値!$E$3:$IT$3,安値!$E$3:$IT$3,"&gt;"&amp;$E431,安値!$E$3:$IT$3,"&lt;="&amp;$AE431,OFFSET(安値!$E$6:$IT$6,MATCH(TEXT($B431,"0"),TEXT(銘柄管理!$B$6:$B$305,"0"),0)-1,0),"&lt;="&amp;$M431),_xlfn.MINIFS(高値!$E$3:$IT$3,高値!$E$3:$IT$3,"&gt;"&amp;$E431,高値!$E$3:$IT$3,"&lt;="&amp;$AE431,OFFSET(高値!$E$6:$IT$6,MATCH(TEXT($B431,"0"),TEXT(銘柄管理!$B$6:$B$305,"0"),0)-1,0),"&gt;="&amp;$M431)),""))</f>
        <v/>
      </c>
      <c r="AG431" s="600" t="str" cm="1">
        <f t="array" aca="1" ref="AG431" ca="1">IF(OR($B431="",$N431=""),"",IFERROR(IF($C431="売",_xlfn.MINIFS(高値!$E$3:$IT$3,高値!$E$3:$IT$3,"&gt;"&amp;$E431,高値!$E$3:$IT$3,"&lt;="&amp;$AE431,OFFSET(高値!$E$6:$IT$6,MATCH(TEXT($B431,"0"),TEXT(銘柄管理!$B$6:$B$305,"0"),0)-1,0),"&gt;="&amp;$N431),_xlfn.MINIFS(安値!$E$3:$IT$3,安値!$E$3:$IT$3,"&gt;"&amp;$E431,安値!$E$3:$IT$3,"&lt;="&amp;$AE431,OFFSET(安値!$E$6:$IT$6,MATCH(TEXT($B431,"0"),TEXT(銘柄管理!$B$6:$B$305,"0"),0)-1,0),"&lt;="&amp;$N431)),""))</f>
        <v/>
      </c>
      <c r="AH431" s="600" t="str">
        <f>IF(OR($B431="",$M431=""),"",IF(AND(N($AF431)=0,N($AG431)=0),IF(AND(ISNUMBER($H431),$H431&gt;0,IF($C431="売",$H431&gt;=$N431,$H431&lt;=$N431)),"損切確定",IF(AND(ISNUMBER($H431),$H431&gt;0,IF($C431="売",$H431&lt;=$M431,$H431&gt;=$M431)),"利益確定",IF($AE431&lt;=TODAY(),"日数制限","保有中"))),IF(N($AG431)=0,"利益確定",IF(N($AF431)=0,"損切確定",IF($AG431&lt;=$AF431,"損切確定","利益確定")))))</f>
        <v/>
      </c>
      <c r="AI431" s="600" t="str" cm="1">
        <f t="array" ref="AI431">IFERROR(INDEX(始値!$E$6:$IT$305,MATCH(TEXT($B431,"0"),TEXT(銘柄管理!$B$6:$B$305,"0"),0),MATCH($AE431,始値!$E$3:$IT$3,0)),"")</f>
        <v/>
      </c>
      <c r="AJ431" s="608" t="str">
        <f>IF(OR($V431="",$F431="",$G431=""),"",$V431/($F431*$G431))</f>
        <v/>
      </c>
      <c r="AK431" s="600" t="str">
        <f>IF($V431="","",IF($V431&gt;0,"○勝",IF($V431&lt;0,"●負","△引分")))</f>
        <v/>
      </c>
    </row>
    <row r="432" spans="1:37" ht="17.25" customHeight="1">
      <c r="A432" s="622" t="str">
        <f>IF(B432="","",HYPERLINK("https://kabutan.jp/stock/?code="&amp;B432,"株探"))</f>
        <v/>
      </c>
      <c r="D432" s="440" t="str" cm="1">
        <f t="array" ref="D432">_xll.RssMarket(B432, "銘柄名称")</f>
        <v/>
      </c>
      <c r="E432" s="717"/>
      <c r="F432" s="698" t="str" cm="1">
        <f t="array" aca="1" ref="F432" ca="1">IFERROR(_xlfn.LET(_xlpm.r,MATCH(TEXT($B432,"0"),TEXT(銘柄管理!$B$6:$B$305,"0"),0),_xlpm.t,MOD(NOW(),1),_xlpm.c,IF($E432=TODAY(),IF(_xlpm.t&gt;=TIME(15,30,0),NA(),1),IF(MATCH($E432,始値!$E$3:$IT$3,0)=1,1,MATCH($E432,始値!$E$3:$IT$3,0)+1)),_xlpm.v,INDEX(始値!$C$6:$IT$305,_xlpm.r,_xlpm.c),IF(N(_xlpm.v)=0,"",_xlpm.v)),"")</f>
        <v/>
      </c>
      <c r="H432" s="440" t="str" cm="1">
        <f t="array" ref="H432">_xll.RssMarket(B432, "現在値")</f>
        <v/>
      </c>
      <c r="I432" s="440" t="str" cm="1">
        <f t="array" ref="I432">_xll.RssMarket(B432, "出来高加重平均")</f>
        <v/>
      </c>
      <c r="J432" s="704" t="str" cm="1">
        <f t="array" ref="J432">_xll.RssMarket($B432, "前日比")</f>
        <v/>
      </c>
      <c r="K432" s="704" t="str">
        <f>IF(OR(F432="",G432="",H432=""),"",IF(C432="売",(F432-H432)*G432,(H432-F432)*G432))</f>
        <v/>
      </c>
      <c r="L432" s="709" t="str">
        <f>IF(OR(F432="",H432=""),"",IF(C432="売",(F432-H432)/F432,(H432-F432)/F432))</f>
        <v/>
      </c>
      <c r="M432" s="599" t="str">
        <f>IF($F432="","",$F432*IF($C432="売",1-V811設定!$B$4,1+V811設定!$B$4)-MOD($F432*IF($C432="売",1-V811設定!$B$4,1+V811設定!$B$4),IF($F432&lt;=3000,1,IF($F432&lt;=5000,5,IF($F432&lt;=30000,10,IF($F432&lt;=50000,50,IF($F432&lt;=300000,100,500))))))+IF(AND($C432="売",MOD($F432*IF($C432="売",1-V811設定!$B$4,1+V811設定!$B$4),IF($F432&lt;=3000,1,IF($F432&lt;=5000,5,IF($F432&lt;=30000,10,IF($F432&lt;=50000,50,IF($F432&lt;=300000,100,500))))))&gt;0),IF($F432&lt;=3000,1,IF($F432&lt;=5000,5,IF($F432&lt;=30000,10,IF($F432&lt;=50000,50,IF($F432&lt;=300000,100,500))))),0))</f>
      </c>
      <c r="N432" s="599" t="str">
        <f>IF($F432="","",$F432*IF($C432="売",1+V811設定!$B$3,1-V811設定!$B$3)-MOD($F432*IF($C432="売",1+V811設定!$B$3,1-V811設定!$B$3),IF($F432&lt;=3000,1,IF($F432&lt;=5000,5,IF($F432&lt;=30000,10,IF($F432&lt;=50000,50,IF($F432&lt;=300000,100,500))))))+IF(AND($C432="売",MOD($F432*IF($C432="売",1+V811設定!$B$3,1-V811設定!$B$3),IF($F432&lt;=3000,1,IF($F432&lt;=5000,5,IF($F432&lt;=30000,10,IF($F432&lt;=50000,50,IF($F432&lt;=300000,100,500))))))&gt;0),IF($F432&lt;=3000,1,IF($F432&lt;=5000,5,IF($F432&lt;=30000,10,IF($F432&lt;=50000,50,IF($F432&lt;=300000,100,500))))),0))</f>
      </c>
      <c r="O432" s="478" t="str">
        <f>IF(OR($B432="",$F432="",$H432=""),"",IF($S432="✅売却済","―決済済―",IF($C432="売",IF($H432&lt;=$M432,"🟢利確",IF(AND($R432&lt;&gt;"",$H432&gt;=$R432),"🟠TRAIL",IF($H432&gt;=$N432,"🔴損切",IF($W432&gt;=V811設定!$B$6,"⏱時間決済",IF($H432&gt;=$F432*(1+V811設定!$B$3*0.7),"⚠️損切接近","保持継続"))))),IF($H432&gt;=$M432,"🟢利確",IF(AND($R432&lt;&gt;"",$H432&lt;=$R432),"🟠TRAIL",IF($H432&lt;=$N432,"🔴損切",IF($W432&gt;=V811設定!$B$6,"⏱時間決済",IF($H432&lt;=$F432*(1-V811設定!$B$3*0.7),"⚠️損切接近","保持継続"))))))))</f>
      </c>
      <c r="P432" s="445"/>
      <c r="R432" s="440" t="str">
        <f>IF(OR($F432="",$H432="",$N432=""),"",IF($S432="✅売却済","",IF($C432="売",IF($H432&gt;$F432*(1-V811設定!$B$3),$N432,MIN($N432,IF($Q432="",$N432,$Q432*1.03))),IF($H432&lt;$F432*(1+V811設定!$B$3),$N432,MAX($N432,IF($P432="",$N432,$P432*0.97))))))</f>
      </c>
      <c r="S432" s="440" t="str">
        <f>IF(B432="","",IF(T432&lt;&gt;"","✅売却済",IF(OR(H432="",L432=""),"📌保有中",IF(L432&gt;=0.06,"🟢利確推奨",IF(L432&gt;=0.05,"🟡利確直近",IF(L432&gt;=0.045,"🔵トレーリング検討",IF(L432&gt;-0.03,"📌保有中",IF(L432&gt;-0.04,"⚠️損切注意","🔴損切り"))))))))</f>
        <v/>
      </c>
      <c r="T432" s="597"/>
      <c r="U432" s="599"/>
      <c r="V432" s="704" t="str">
        <f>IF(OR(F432="",G432="",U432=""),"",IF(C432="売",(F432-U432)*G432,(U432-F432)*G432))</f>
        <v/>
      </c>
      <c r="W432" s="440" t="str">
        <f>IF(OR($E432="",$B432=""),"",IF($T432&lt;&gt;"",$T432-$E432,TODAY()-$E432)+1)</f>
        <v/>
      </c>
      <c r="X432" s="440" t="str">
        <f>IF(OR($AH432="",$AH432="保有中"),"",$AH432)</f>
        <v/>
      </c>
      <c r="AD432" s="608"/>
      <c r="AE432" s="600" t="str">
        <f>IF($E432="","",WORKDAY($E432,12))</f>
        <v/>
      </c>
      <c r="AF432" s="600" t="str" cm="1">
        <f t="array" aca="1" ref="AF432" ca="1">IF(OR($B432="",$M432=""),"",IFERROR(IF($C432="売",_xlfn.MINIFS(安値!$E$3:$IT$3,安値!$E$3:$IT$3,"&gt;"&amp;$E432,安値!$E$3:$IT$3,"&lt;="&amp;$AE432,OFFSET(安値!$E$6:$IT$6,MATCH(TEXT($B432,"0"),TEXT(銘柄管理!$B$6:$B$305,"0"),0)-1,0),"&lt;="&amp;$M432),_xlfn.MINIFS(高値!$E$3:$IT$3,高値!$E$3:$IT$3,"&gt;"&amp;$E432,高値!$E$3:$IT$3,"&lt;="&amp;$AE432,OFFSET(高値!$E$6:$IT$6,MATCH(TEXT($B432,"0"),TEXT(銘柄管理!$B$6:$B$305,"0"),0)-1,0),"&gt;="&amp;$M432)),""))</f>
        <v/>
      </c>
      <c r="AG432" s="600" t="str" cm="1">
        <f t="array" aca="1" ref="AG432" ca="1">IF(OR($B432="",$N432=""),"",IFERROR(IF($C432="売",_xlfn.MINIFS(高値!$E$3:$IT$3,高値!$E$3:$IT$3,"&gt;"&amp;$E432,高値!$E$3:$IT$3,"&lt;="&amp;$AE432,OFFSET(高値!$E$6:$IT$6,MATCH(TEXT($B432,"0"),TEXT(銘柄管理!$B$6:$B$305,"0"),0)-1,0),"&gt;="&amp;$N432),_xlfn.MINIFS(安値!$E$3:$IT$3,安値!$E$3:$IT$3,"&gt;"&amp;$E432,安値!$E$3:$IT$3,"&lt;="&amp;$AE432,OFFSET(安値!$E$6:$IT$6,MATCH(TEXT($B432,"0"),TEXT(銘柄管理!$B$6:$B$305,"0"),0)-1,0),"&lt;="&amp;$N432)),""))</f>
        <v/>
      </c>
      <c r="AH432" s="600" t="str">
        <f>IF(OR($B432="",$M432=""),"",IF(AND(N($AF432)=0,N($AG432)=0),IF(AND(ISNUMBER($H432),$H432&gt;0,IF($C432="売",$H432&gt;=$N432,$H432&lt;=$N432)),"損切確定",IF(AND(ISNUMBER($H432),$H432&gt;0,IF($C432="売",$H432&lt;=$M432,$H432&gt;=$M432)),"利益確定",IF($AE432&lt;=TODAY(),"日数制限","保有中"))),IF(N($AG432)=0,"利益確定",IF(N($AF432)=0,"損切確定",IF($AG432&lt;=$AF432,"損切確定","利益確定")))))</f>
        <v/>
      </c>
      <c r="AI432" s="600" t="str" cm="1">
        <f t="array" ref="AI432">IFERROR(INDEX(始値!$E$6:$IT$305,MATCH(TEXT($B432,"0"),TEXT(銘柄管理!$B$6:$B$305,"0"),0),MATCH($AE432,始値!$E$3:$IT$3,0)),"")</f>
        <v/>
      </c>
      <c r="AJ432" s="608" t="str">
        <f>IF(OR($V432="",$F432="",$G432=""),"",$V432/($F432*$G432))</f>
        <v/>
      </c>
      <c r="AK432" s="600" t="str">
        <f>IF($V432="","",IF($V432&gt;0,"○勝",IF($V432&lt;0,"●負","△引分")))</f>
        <v/>
      </c>
    </row>
    <row r="433" spans="1:37" ht="17.25" customHeight="1">
      <c r="A433" s="622" t="str">
        <f>IF(B433="","",HYPERLINK("https://kabutan.jp/stock/?code="&amp;B433,"株探"))</f>
        <v/>
      </c>
      <c r="D433" s="440" t="str" cm="1">
        <f t="array" ref="D433">_xll.RssMarket(B433, "銘柄名称")</f>
        <v/>
      </c>
      <c r="E433" s="717"/>
      <c r="F433" s="698" t="str" cm="1">
        <f t="array" aca="1" ref="F433" ca="1">IFERROR(_xlfn.LET(_xlpm.r,MATCH(TEXT($B433,"0"),TEXT(銘柄管理!$B$6:$B$305,"0"),0),_xlpm.t,MOD(NOW(),1),_xlpm.c,IF($E433=TODAY(),IF(_xlpm.t&gt;=TIME(15,30,0),NA(),1),IF(MATCH($E433,始値!$E$3:$IT$3,0)=1,1,MATCH($E433,始値!$E$3:$IT$3,0)+1)),_xlpm.v,INDEX(始値!$C$6:$IT$305,_xlpm.r,_xlpm.c),IF(N(_xlpm.v)=0,"",_xlpm.v)),"")</f>
        <v/>
      </c>
      <c r="H433" s="440" t="str" cm="1">
        <f t="array" ref="H433">_xll.RssMarket(B433, "現在値")</f>
        <v/>
      </c>
      <c r="I433" s="440" t="str" cm="1">
        <f t="array" ref="I433">_xll.RssMarket(B433, "出来高加重平均")</f>
        <v/>
      </c>
      <c r="J433" s="704" t="str" cm="1">
        <f t="array" ref="J433">_xll.RssMarket($B433, "前日比")</f>
        <v/>
      </c>
      <c r="K433" s="704" t="str">
        <f>IF(OR(F433="",G433="",H433=""),"",IF(C433="売",(F433-H433)*G433,(H433-F433)*G433))</f>
        <v/>
      </c>
      <c r="L433" s="709" t="str">
        <f>IF(OR(F433="",H433=""),"",IF(C433="売",(F433-H433)/F433,(H433-F433)/F433))</f>
        <v/>
      </c>
      <c r="M433" s="599" t="str">
        <f>IF($F433="","",$F433*IF($C433="売",1-V811設定!$B$4,1+V811設定!$B$4)-MOD($F433*IF($C433="売",1-V811設定!$B$4,1+V811設定!$B$4),IF($F433&lt;=3000,1,IF($F433&lt;=5000,5,IF($F433&lt;=30000,10,IF($F433&lt;=50000,50,IF($F433&lt;=300000,100,500))))))+IF(AND($C433="売",MOD($F433*IF($C433="売",1-V811設定!$B$4,1+V811設定!$B$4),IF($F433&lt;=3000,1,IF($F433&lt;=5000,5,IF($F433&lt;=30000,10,IF($F433&lt;=50000,50,IF($F433&lt;=300000,100,500))))))&gt;0),IF($F433&lt;=3000,1,IF($F433&lt;=5000,5,IF($F433&lt;=30000,10,IF($F433&lt;=50000,50,IF($F433&lt;=300000,100,500))))),0))</f>
      </c>
      <c r="N433" s="599" t="str">
        <f>IF($F433="","",$F433*IF($C433="売",1+V811設定!$B$3,1-V811設定!$B$3)-MOD($F433*IF($C433="売",1+V811設定!$B$3,1-V811設定!$B$3),IF($F433&lt;=3000,1,IF($F433&lt;=5000,5,IF($F433&lt;=30000,10,IF($F433&lt;=50000,50,IF($F433&lt;=300000,100,500))))))+IF(AND($C433="売",MOD($F433*IF($C433="売",1+V811設定!$B$3,1-V811設定!$B$3),IF($F433&lt;=3000,1,IF($F433&lt;=5000,5,IF($F433&lt;=30000,10,IF($F433&lt;=50000,50,IF($F433&lt;=300000,100,500))))))&gt;0),IF($F433&lt;=3000,1,IF($F433&lt;=5000,5,IF($F433&lt;=30000,10,IF($F433&lt;=50000,50,IF($F433&lt;=300000,100,500))))),0))</f>
      </c>
      <c r="O433" s="478" t="str">
        <f>IF(OR($B433="",$F433="",$H433=""),"",IF($S433="✅売却済","―決済済―",IF($C433="売",IF($H433&lt;=$M433,"🟢利確",IF(AND($R433&lt;&gt;"",$H433&gt;=$R433),"🟠TRAIL",IF($H433&gt;=$N433,"🔴損切",IF($W433&gt;=V811設定!$B$6,"⏱時間決済",IF($H433&gt;=$F433*(1+V811設定!$B$3*0.7),"⚠️損切接近","保持継続"))))),IF($H433&gt;=$M433,"🟢利確",IF(AND($R433&lt;&gt;"",$H433&lt;=$R433),"🟠TRAIL",IF($H433&lt;=$N433,"🔴損切",IF($W433&gt;=V811設定!$B$6,"⏱時間決済",IF($H433&lt;=$F433*(1-V811設定!$B$3*0.7),"⚠️損切接近","保持継続"))))))))</f>
      </c>
      <c r="P433" s="445"/>
      <c r="R433" s="440" t="str">
        <f>IF(OR($F433="",$H433="",$N433=""),"",IF($S433="✅売却済","",IF($C433="売",IF($H433&gt;$F433*(1-V811設定!$B$3),$N433,MIN($N433,IF($Q433="",$N433,$Q433*1.03))),IF($H433&lt;$F433*(1+V811設定!$B$3),$N433,MAX($N433,IF($P433="",$N433,$P433*0.97))))))</f>
      </c>
      <c r="S433" s="440" t="str">
        <f>IF(B433="","",IF(T433&lt;&gt;"","✅売却済",IF(OR(H433="",L433=""),"📌保有中",IF(L433&gt;=0.06,"🟢利確推奨",IF(L433&gt;=0.05,"🟡利確直近",IF(L433&gt;=0.045,"🔵トレーリング検討",IF(L433&gt;-0.03,"📌保有中",IF(L433&gt;-0.04,"⚠️損切注意","🔴損切り"))))))))</f>
        <v/>
      </c>
      <c r="T433" s="597"/>
      <c r="U433" s="599"/>
      <c r="V433" s="704" t="str">
        <f>IF(OR(F433="",G433="",U433=""),"",IF(C433="売",(F433-U433)*G433,(U433-F433)*G433))</f>
        <v/>
      </c>
      <c r="W433" s="440" t="str">
        <f>IF(OR($E433="",$B433=""),"",IF($T433&lt;&gt;"",$T433-$E433,TODAY()-$E433)+1)</f>
        <v/>
      </c>
      <c r="X433" s="440" t="str">
        <f>IF(OR($AH433="",$AH433="保有中"),"",$AH433)</f>
        <v/>
      </c>
      <c r="AD433" s="608"/>
      <c r="AE433" s="600" t="str">
        <f>IF($E433="","",WORKDAY($E433,12))</f>
        <v/>
      </c>
      <c r="AF433" s="600" t="str" cm="1">
        <f t="array" aca="1" ref="AF433" ca="1">IF(OR($B433="",$M433=""),"",IFERROR(IF($C433="売",_xlfn.MINIFS(安値!$E$3:$IT$3,安値!$E$3:$IT$3,"&gt;"&amp;$E433,安値!$E$3:$IT$3,"&lt;="&amp;$AE433,OFFSET(安値!$E$6:$IT$6,MATCH(TEXT($B433,"0"),TEXT(銘柄管理!$B$6:$B$305,"0"),0)-1,0),"&lt;="&amp;$M433),_xlfn.MINIFS(高値!$E$3:$IT$3,高値!$E$3:$IT$3,"&gt;"&amp;$E433,高値!$E$3:$IT$3,"&lt;="&amp;$AE433,OFFSET(高値!$E$6:$IT$6,MATCH(TEXT($B433,"0"),TEXT(銘柄管理!$B$6:$B$305,"0"),0)-1,0),"&gt;="&amp;$M433)),""))</f>
        <v/>
      </c>
      <c r="AG433" s="600" t="str" cm="1">
        <f t="array" aca="1" ref="AG433" ca="1">IF(OR($B433="",$N433=""),"",IFERROR(IF($C433="売",_xlfn.MINIFS(高値!$E$3:$IT$3,高値!$E$3:$IT$3,"&gt;"&amp;$E433,高値!$E$3:$IT$3,"&lt;="&amp;$AE433,OFFSET(高値!$E$6:$IT$6,MATCH(TEXT($B433,"0"),TEXT(銘柄管理!$B$6:$B$305,"0"),0)-1,0),"&gt;="&amp;$N433),_xlfn.MINIFS(安値!$E$3:$IT$3,安値!$E$3:$IT$3,"&gt;"&amp;$E433,安値!$E$3:$IT$3,"&lt;="&amp;$AE433,OFFSET(安値!$E$6:$IT$6,MATCH(TEXT($B433,"0"),TEXT(銘柄管理!$B$6:$B$305,"0"),0)-1,0),"&lt;="&amp;$N433)),""))</f>
        <v/>
      </c>
      <c r="AH433" s="600" t="str">
        <f>IF(OR($B433="",$M433=""),"",IF(AND(N($AF433)=0,N($AG433)=0),IF(AND(ISNUMBER($H433),$H433&gt;0,IF($C433="売",$H433&gt;=$N433,$H433&lt;=$N433)),"損切確定",IF(AND(ISNUMBER($H433),$H433&gt;0,IF($C433="売",$H433&lt;=$M433,$H433&gt;=$M433)),"利益確定",IF($AE433&lt;=TODAY(),"日数制限","保有中"))),IF(N($AG433)=0,"利益確定",IF(N($AF433)=0,"損切確定",IF($AG433&lt;=$AF433,"損切確定","利益確定")))))</f>
        <v/>
      </c>
      <c r="AI433" s="600" t="str" cm="1">
        <f t="array" ref="AI433">IFERROR(INDEX(始値!$E$6:$IT$305,MATCH(TEXT($B433,"0"),TEXT(銘柄管理!$B$6:$B$305,"0"),0),MATCH($AE433,始値!$E$3:$IT$3,0)),"")</f>
        <v/>
      </c>
      <c r="AJ433" s="608" t="str">
        <f>IF(OR($V433="",$F433="",$G433=""),"",$V433/($F433*$G433))</f>
        <v/>
      </c>
      <c r="AK433" s="600" t="str">
        <f>IF($V433="","",IF($V433&gt;0,"○勝",IF($V433&lt;0,"●負","△引分")))</f>
        <v/>
      </c>
    </row>
    <row r="434" spans="1:37" ht="17.25" customHeight="1">
      <c r="A434" s="622" t="str">
        <f>IF(B434="","",HYPERLINK("https://kabutan.jp/stock/?code="&amp;B434,"株探"))</f>
        <v/>
      </c>
      <c r="D434" s="440" t="str" cm="1">
        <f t="array" ref="D434">_xll.RssMarket(B434, "銘柄名称")</f>
        <v/>
      </c>
      <c r="E434" s="717"/>
      <c r="F434" s="698" t="str" cm="1">
        <f t="array" aca="1" ref="F434" ca="1">IFERROR(_xlfn.LET(_xlpm.r,MATCH(TEXT($B434,"0"),TEXT(銘柄管理!$B$6:$B$305,"0"),0),_xlpm.t,MOD(NOW(),1),_xlpm.c,IF($E434=TODAY(),IF(_xlpm.t&gt;=TIME(15,30,0),NA(),1),IF(MATCH($E434,始値!$E$3:$IT$3,0)=1,1,MATCH($E434,始値!$E$3:$IT$3,0)+1)),_xlpm.v,INDEX(始値!$C$6:$IT$305,_xlpm.r,_xlpm.c),IF(N(_xlpm.v)=0,"",_xlpm.v)),"")</f>
        <v/>
      </c>
      <c r="H434" s="440" t="str" cm="1">
        <f t="array" ref="H434">_xll.RssMarket(B434, "現在値")</f>
        <v/>
      </c>
      <c r="I434" s="440" t="str" cm="1">
        <f t="array" ref="I434">_xll.RssMarket(B434, "出来高加重平均")</f>
        <v/>
      </c>
      <c r="J434" s="704" t="str" cm="1">
        <f t="array" ref="J434">_xll.RssMarket($B434, "前日比")</f>
        <v/>
      </c>
      <c r="K434" s="704" t="str">
        <f>IF(OR(F434="",G434="",H434=""),"",IF(C434="売",(F434-H434)*G434,(H434-F434)*G434))</f>
        <v/>
      </c>
      <c r="L434" s="709" t="str">
        <f>IF(OR(F434="",H434=""),"",IF(C434="売",(F434-H434)/F434,(H434-F434)/F434))</f>
        <v/>
      </c>
      <c r="M434" s="599" t="str">
        <f>IF($F434="","",$F434*IF($C434="売",1-V811設定!$B$4,1+V811設定!$B$4)-MOD($F434*IF($C434="売",1-V811設定!$B$4,1+V811設定!$B$4),IF($F434&lt;=3000,1,IF($F434&lt;=5000,5,IF($F434&lt;=30000,10,IF($F434&lt;=50000,50,IF($F434&lt;=300000,100,500))))))+IF(AND($C434="売",MOD($F434*IF($C434="売",1-V811設定!$B$4,1+V811設定!$B$4),IF($F434&lt;=3000,1,IF($F434&lt;=5000,5,IF($F434&lt;=30000,10,IF($F434&lt;=50000,50,IF($F434&lt;=300000,100,500))))))&gt;0),IF($F434&lt;=3000,1,IF($F434&lt;=5000,5,IF($F434&lt;=30000,10,IF($F434&lt;=50000,50,IF($F434&lt;=300000,100,500))))),0))</f>
      </c>
      <c r="N434" s="599" t="str">
        <f>IF($F434="","",$F434*IF($C434="売",1+V811設定!$B$3,1-V811設定!$B$3)-MOD($F434*IF($C434="売",1+V811設定!$B$3,1-V811設定!$B$3),IF($F434&lt;=3000,1,IF($F434&lt;=5000,5,IF($F434&lt;=30000,10,IF($F434&lt;=50000,50,IF($F434&lt;=300000,100,500))))))+IF(AND($C434="売",MOD($F434*IF($C434="売",1+V811設定!$B$3,1-V811設定!$B$3),IF($F434&lt;=3000,1,IF($F434&lt;=5000,5,IF($F434&lt;=30000,10,IF($F434&lt;=50000,50,IF($F434&lt;=300000,100,500))))))&gt;0),IF($F434&lt;=3000,1,IF($F434&lt;=5000,5,IF($F434&lt;=30000,10,IF($F434&lt;=50000,50,IF($F434&lt;=300000,100,500))))),0))</f>
      </c>
      <c r="O434" s="478" t="str">
        <f>IF(OR($B434="",$F434="",$H434=""),"",IF($S434="✅売却済","―決済済―",IF($C434="売",IF($H434&lt;=$M434,"🟢利確",IF(AND($R434&lt;&gt;"",$H434&gt;=$R434),"🟠TRAIL",IF($H434&gt;=$N434,"🔴損切",IF($W434&gt;=V811設定!$B$6,"⏱時間決済",IF($H434&gt;=$F434*(1+V811設定!$B$3*0.7),"⚠️損切接近","保持継続"))))),IF($H434&gt;=$M434,"🟢利確",IF(AND($R434&lt;&gt;"",$H434&lt;=$R434),"🟠TRAIL",IF($H434&lt;=$N434,"🔴損切",IF($W434&gt;=V811設定!$B$6,"⏱時間決済",IF($H434&lt;=$F434*(1-V811設定!$B$3*0.7),"⚠️損切接近","保持継続"))))))))</f>
      </c>
      <c r="P434" s="445"/>
      <c r="R434" s="440" t="str">
        <f>IF(OR($F434="",$H434="",$N434=""),"",IF($S434="✅売却済","",IF($C434="売",IF($H434&gt;$F434*(1-V811設定!$B$3),$N434,MIN($N434,IF($Q434="",$N434,$Q434*1.03))),IF($H434&lt;$F434*(1+V811設定!$B$3),$N434,MAX($N434,IF($P434="",$N434,$P434*0.97))))))</f>
      </c>
      <c r="S434" s="440" t="str">
        <f>IF(B434="","",IF(T434&lt;&gt;"","✅売却済",IF(OR(H434="",L434=""),"📌保有中",IF(L434&gt;=0.06,"🟢利確推奨",IF(L434&gt;=0.05,"🟡利確直近",IF(L434&gt;=0.045,"🔵トレーリング検討",IF(L434&gt;-0.03,"📌保有中",IF(L434&gt;-0.04,"⚠️損切注意","🔴損切り"))))))))</f>
        <v/>
      </c>
      <c r="T434" s="597"/>
      <c r="U434" s="599"/>
      <c r="V434" s="704" t="str">
        <f>IF(OR(F434="",G434="",U434=""),"",IF(C434="売",(F434-U434)*G434,(U434-F434)*G434))</f>
        <v/>
      </c>
      <c r="W434" s="440" t="str">
        <f>IF(OR($E434="",$B434=""),"",IF($T434&lt;&gt;"",$T434-$E434,TODAY()-$E434)+1)</f>
        <v/>
      </c>
      <c r="X434" s="440" t="str">
        <f>IF(OR($AH434="",$AH434="保有中"),"",$AH434)</f>
        <v/>
      </c>
      <c r="AD434" s="608"/>
      <c r="AE434" s="600" t="str">
        <f>IF($E434="","",WORKDAY($E434,12))</f>
        <v/>
      </c>
      <c r="AF434" s="600" t="str" cm="1">
        <f t="array" aca="1" ref="AF434" ca="1">IF(OR($B434="",$M434=""),"",IFERROR(IF($C434="売",_xlfn.MINIFS(安値!$E$3:$IT$3,安値!$E$3:$IT$3,"&gt;"&amp;$E434,安値!$E$3:$IT$3,"&lt;="&amp;$AE434,OFFSET(安値!$E$6:$IT$6,MATCH(TEXT($B434,"0"),TEXT(銘柄管理!$B$6:$B$305,"0"),0)-1,0),"&lt;="&amp;$M434),_xlfn.MINIFS(高値!$E$3:$IT$3,高値!$E$3:$IT$3,"&gt;"&amp;$E434,高値!$E$3:$IT$3,"&lt;="&amp;$AE434,OFFSET(高値!$E$6:$IT$6,MATCH(TEXT($B434,"0"),TEXT(銘柄管理!$B$6:$B$305,"0"),0)-1,0),"&gt;="&amp;$M434)),""))</f>
        <v/>
      </c>
      <c r="AG434" s="600" t="str" cm="1">
        <f t="array" aca="1" ref="AG434" ca="1">IF(OR($B434="",$N434=""),"",IFERROR(IF($C434="売",_xlfn.MINIFS(高値!$E$3:$IT$3,高値!$E$3:$IT$3,"&gt;"&amp;$E434,高値!$E$3:$IT$3,"&lt;="&amp;$AE434,OFFSET(高値!$E$6:$IT$6,MATCH(TEXT($B434,"0"),TEXT(銘柄管理!$B$6:$B$305,"0"),0)-1,0),"&gt;="&amp;$N434),_xlfn.MINIFS(安値!$E$3:$IT$3,安値!$E$3:$IT$3,"&gt;"&amp;$E434,安値!$E$3:$IT$3,"&lt;="&amp;$AE434,OFFSET(安値!$E$6:$IT$6,MATCH(TEXT($B434,"0"),TEXT(銘柄管理!$B$6:$B$305,"0"),0)-1,0),"&lt;="&amp;$N434)),""))</f>
        <v/>
      </c>
      <c r="AH434" s="600" t="str">
        <f>IF(OR($B434="",$M434=""),"",IF(AND(N($AF434)=0,N($AG434)=0),IF(AND(ISNUMBER($H434),$H434&gt;0,IF($C434="売",$H434&gt;=$N434,$H434&lt;=$N434)),"損切確定",IF(AND(ISNUMBER($H434),$H434&gt;0,IF($C434="売",$H434&lt;=$M434,$H434&gt;=$M434)),"利益確定",IF($AE434&lt;=TODAY(),"日数制限","保有中"))),IF(N($AG434)=0,"利益確定",IF(N($AF434)=0,"損切確定",IF($AG434&lt;=$AF434,"損切確定","利益確定")))))</f>
        <v/>
      </c>
      <c r="AI434" s="600" t="str" cm="1">
        <f t="array" ref="AI434">IFERROR(INDEX(始値!$E$6:$IT$305,MATCH(TEXT($B434,"0"),TEXT(銘柄管理!$B$6:$B$305,"0"),0),MATCH($AE434,始値!$E$3:$IT$3,0)),"")</f>
        <v/>
      </c>
      <c r="AJ434" s="608" t="str">
        <f>IF(OR($V434="",$F434="",$G434=""),"",$V434/($F434*$G434))</f>
        <v/>
      </c>
      <c r="AK434" s="600" t="str">
        <f>IF($V434="","",IF($V434&gt;0,"○勝",IF($V434&lt;0,"●負","△引分")))</f>
        <v/>
      </c>
    </row>
    <row r="435" spans="1:37" ht="17.25" customHeight="1">
      <c r="A435" s="622" t="str">
        <f>IF(B435="","",HYPERLINK("https://kabutan.jp/stock/?code="&amp;B435,"株探"))</f>
        <v/>
      </c>
      <c r="D435" s="440" t="str" cm="1">
        <f t="array" ref="D435">_xll.RssMarket(B435, "銘柄名称")</f>
        <v/>
      </c>
      <c r="E435" s="717"/>
      <c r="F435" s="698" t="str" cm="1">
        <f t="array" aca="1" ref="F435" ca="1">IFERROR(_xlfn.LET(_xlpm.r,MATCH(TEXT($B435,"0"),TEXT(銘柄管理!$B$6:$B$305,"0"),0),_xlpm.t,MOD(NOW(),1),_xlpm.c,IF($E435=TODAY(),IF(_xlpm.t&gt;=TIME(15,30,0),NA(),1),IF(MATCH($E435,始値!$E$3:$IT$3,0)=1,1,MATCH($E435,始値!$E$3:$IT$3,0)+1)),_xlpm.v,INDEX(始値!$C$6:$IT$305,_xlpm.r,_xlpm.c),IF(N(_xlpm.v)=0,"",_xlpm.v)),"")</f>
        <v/>
      </c>
      <c r="H435" s="440" t="str" cm="1">
        <f t="array" ref="H435">_xll.RssMarket(B435, "現在値")</f>
        <v/>
      </c>
      <c r="I435" s="440" t="str" cm="1">
        <f t="array" ref="I435">_xll.RssMarket(B435, "出来高加重平均")</f>
        <v/>
      </c>
      <c r="J435" s="704" t="str" cm="1">
        <f t="array" ref="J435">_xll.RssMarket($B435, "前日比")</f>
        <v/>
      </c>
      <c r="K435" s="704" t="str">
        <f>IF(OR(F435="",G435="",H435=""),"",IF(C435="売",(F435-H435)*G435,(H435-F435)*G435))</f>
        <v/>
      </c>
      <c r="L435" s="709" t="str">
        <f>IF(OR(F435="",H435=""),"",IF(C435="売",(F435-H435)/F435,(H435-F435)/F435))</f>
        <v/>
      </c>
      <c r="M435" s="599" t="str">
        <f>IF($F435="","",$F435*IF($C435="売",1-V811設定!$B$4,1+V811設定!$B$4)-MOD($F435*IF($C435="売",1-V811設定!$B$4,1+V811設定!$B$4),IF($F435&lt;=3000,1,IF($F435&lt;=5000,5,IF($F435&lt;=30000,10,IF($F435&lt;=50000,50,IF($F435&lt;=300000,100,500))))))+IF(AND($C435="売",MOD($F435*IF($C435="売",1-V811設定!$B$4,1+V811設定!$B$4),IF($F435&lt;=3000,1,IF($F435&lt;=5000,5,IF($F435&lt;=30000,10,IF($F435&lt;=50000,50,IF($F435&lt;=300000,100,500))))))&gt;0),IF($F435&lt;=3000,1,IF($F435&lt;=5000,5,IF($F435&lt;=30000,10,IF($F435&lt;=50000,50,IF($F435&lt;=300000,100,500))))),0))</f>
      </c>
      <c r="N435" s="599" t="str">
        <f>IF($F435="","",$F435*IF($C435="売",1+V811設定!$B$3,1-V811設定!$B$3)-MOD($F435*IF($C435="売",1+V811設定!$B$3,1-V811設定!$B$3),IF($F435&lt;=3000,1,IF($F435&lt;=5000,5,IF($F435&lt;=30000,10,IF($F435&lt;=50000,50,IF($F435&lt;=300000,100,500))))))+IF(AND($C435="売",MOD($F435*IF($C435="売",1+V811設定!$B$3,1-V811設定!$B$3),IF($F435&lt;=3000,1,IF($F435&lt;=5000,5,IF($F435&lt;=30000,10,IF($F435&lt;=50000,50,IF($F435&lt;=300000,100,500))))))&gt;0),IF($F435&lt;=3000,1,IF($F435&lt;=5000,5,IF($F435&lt;=30000,10,IF($F435&lt;=50000,50,IF($F435&lt;=300000,100,500))))),0))</f>
      </c>
      <c r="O435" s="478" t="str">
        <f>IF(OR($B435="",$F435="",$H435=""),"",IF($S435="✅売却済","―決済済―",IF($C435="売",IF($H435&lt;=$M435,"🟢利確",IF(AND($R435&lt;&gt;"",$H435&gt;=$R435),"🟠TRAIL",IF($H435&gt;=$N435,"🔴損切",IF($W435&gt;=V811設定!$B$6,"⏱時間決済",IF($H435&gt;=$F435*(1+V811設定!$B$3*0.7),"⚠️損切接近","保持継続"))))),IF($H435&gt;=$M435,"🟢利確",IF(AND($R435&lt;&gt;"",$H435&lt;=$R435),"🟠TRAIL",IF($H435&lt;=$N435,"🔴損切",IF($W435&gt;=V811設定!$B$6,"⏱時間決済",IF($H435&lt;=$F435*(1-V811設定!$B$3*0.7),"⚠️損切接近","保持継続"))))))))</f>
      </c>
      <c r="P435" s="445"/>
      <c r="R435" s="440" t="str">
        <f>IF(OR($F435="",$H435="",$N435=""),"",IF($S435="✅売却済","",IF($C435="売",IF($H435&gt;$F435*(1-V811設定!$B$3),$N435,MIN($N435,IF($Q435="",$N435,$Q435*1.03))),IF($H435&lt;$F435*(1+V811設定!$B$3),$N435,MAX($N435,IF($P435="",$N435,$P435*0.97))))))</f>
      </c>
      <c r="S435" s="440" t="str">
        <f>IF(B435="","",IF(T435&lt;&gt;"","✅売却済",IF(OR(H435="",L435=""),"📌保有中",IF(L435&gt;=0.06,"🟢利確推奨",IF(L435&gt;=0.05,"🟡利確直近",IF(L435&gt;=0.045,"🔵トレーリング検討",IF(L435&gt;-0.03,"📌保有中",IF(L435&gt;-0.04,"⚠️損切注意","🔴損切り"))))))))</f>
        <v/>
      </c>
      <c r="T435" s="597"/>
      <c r="U435" s="599"/>
      <c r="V435" s="704" t="str">
        <f>IF(OR(F435="",G435="",U435=""),"",IF(C435="売",(F435-U435)*G435,(U435-F435)*G435))</f>
        <v/>
      </c>
      <c r="W435" s="440" t="str">
        <f>IF(OR($E435="",$B435=""),"",IF($T435&lt;&gt;"",$T435-$E435,TODAY()-$E435)+1)</f>
        <v/>
      </c>
      <c r="X435" s="440" t="str">
        <f>IF(OR($AH435="",$AH435="保有中"),"",$AH435)</f>
        <v/>
      </c>
      <c r="AD435" s="608"/>
      <c r="AE435" s="600" t="str">
        <f>IF($E435="","",WORKDAY($E435,12))</f>
        <v/>
      </c>
      <c r="AF435" s="600" t="str" cm="1">
        <f t="array" aca="1" ref="AF435" ca="1">IF(OR($B435="",$M435=""),"",IFERROR(IF($C435="売",_xlfn.MINIFS(安値!$E$3:$IT$3,安値!$E$3:$IT$3,"&gt;"&amp;$E435,安値!$E$3:$IT$3,"&lt;="&amp;$AE435,OFFSET(安値!$E$6:$IT$6,MATCH(TEXT($B435,"0"),TEXT(銘柄管理!$B$6:$B$305,"0"),0)-1,0),"&lt;="&amp;$M435),_xlfn.MINIFS(高値!$E$3:$IT$3,高値!$E$3:$IT$3,"&gt;"&amp;$E435,高値!$E$3:$IT$3,"&lt;="&amp;$AE435,OFFSET(高値!$E$6:$IT$6,MATCH(TEXT($B435,"0"),TEXT(銘柄管理!$B$6:$B$305,"0"),0)-1,0),"&gt;="&amp;$M435)),""))</f>
        <v/>
      </c>
      <c r="AG435" s="600" t="str" cm="1">
        <f t="array" aca="1" ref="AG435" ca="1">IF(OR($B435="",$N435=""),"",IFERROR(IF($C435="売",_xlfn.MINIFS(高値!$E$3:$IT$3,高値!$E$3:$IT$3,"&gt;"&amp;$E435,高値!$E$3:$IT$3,"&lt;="&amp;$AE435,OFFSET(高値!$E$6:$IT$6,MATCH(TEXT($B435,"0"),TEXT(銘柄管理!$B$6:$B$305,"0"),0)-1,0),"&gt;="&amp;$N435),_xlfn.MINIFS(安値!$E$3:$IT$3,安値!$E$3:$IT$3,"&gt;"&amp;$E435,安値!$E$3:$IT$3,"&lt;="&amp;$AE435,OFFSET(安値!$E$6:$IT$6,MATCH(TEXT($B435,"0"),TEXT(銘柄管理!$B$6:$B$305,"0"),0)-1,0),"&lt;="&amp;$N435)),""))</f>
        <v/>
      </c>
      <c r="AH435" s="600" t="str">
        <f>IF(OR($B435="",$M435=""),"",IF(AND(N($AF435)=0,N($AG435)=0),IF(AND(ISNUMBER($H435),$H435&gt;0,IF($C435="売",$H435&gt;=$N435,$H435&lt;=$N435)),"損切確定",IF(AND(ISNUMBER($H435),$H435&gt;0,IF($C435="売",$H435&lt;=$M435,$H435&gt;=$M435)),"利益確定",IF($AE435&lt;=TODAY(),"日数制限","保有中"))),IF(N($AG435)=0,"利益確定",IF(N($AF435)=0,"損切確定",IF($AG435&lt;=$AF435,"損切確定","利益確定")))))</f>
        <v/>
      </c>
      <c r="AI435" s="600" t="str" cm="1">
        <f t="array" ref="AI435">IFERROR(INDEX(始値!$E$6:$IT$305,MATCH(TEXT($B435,"0"),TEXT(銘柄管理!$B$6:$B$305,"0"),0),MATCH($AE435,始値!$E$3:$IT$3,0)),"")</f>
        <v/>
      </c>
      <c r="AJ435" s="608" t="str">
        <f>IF(OR($V435="",$F435="",$G435=""),"",$V435/($F435*$G435))</f>
        <v/>
      </c>
      <c r="AK435" s="600" t="str">
        <f>IF($V435="","",IF($V435&gt;0,"○勝",IF($V435&lt;0,"●負","△引分")))</f>
        <v/>
      </c>
    </row>
    <row r="436" spans="1:37" ht="17.25" customHeight="1">
      <c r="A436" s="622" t="str">
        <f>IF(B436="","",HYPERLINK("https://kabutan.jp/stock/?code="&amp;B436,"株探"))</f>
        <v/>
      </c>
      <c r="D436" s="440" t="str" cm="1">
        <f t="array" ref="D436">_xll.RssMarket(B436, "銘柄名称")</f>
        <v/>
      </c>
      <c r="E436" s="717"/>
      <c r="F436" s="698" t="str" cm="1">
        <f t="array" aca="1" ref="F436" ca="1">IFERROR(_xlfn.LET(_xlpm.r,MATCH(TEXT($B436,"0"),TEXT(銘柄管理!$B$6:$B$305,"0"),0),_xlpm.t,MOD(NOW(),1),_xlpm.c,IF($E436=TODAY(),IF(_xlpm.t&gt;=TIME(15,30,0),NA(),1),IF(MATCH($E436,始値!$E$3:$IT$3,0)=1,1,MATCH($E436,始値!$E$3:$IT$3,0)+1)),_xlpm.v,INDEX(始値!$C$6:$IT$305,_xlpm.r,_xlpm.c),IF(N(_xlpm.v)=0,"",_xlpm.v)),"")</f>
        <v/>
      </c>
      <c r="H436" s="440" t="str" cm="1">
        <f t="array" ref="H436">_xll.RssMarket(B436, "現在値")</f>
        <v/>
      </c>
      <c r="I436" s="440" t="str" cm="1">
        <f t="array" ref="I436">_xll.RssMarket(B436, "出来高加重平均")</f>
        <v/>
      </c>
      <c r="J436" s="704" t="str" cm="1">
        <f t="array" ref="J436">_xll.RssMarket($B436, "前日比")</f>
        <v/>
      </c>
      <c r="K436" s="704" t="str">
        <f>IF(OR(F436="",G436="",H436=""),"",IF(C436="売",(F436-H436)*G436,(H436-F436)*G436))</f>
        <v/>
      </c>
      <c r="L436" s="709" t="str">
        <f>IF(OR(F436="",H436=""),"",IF(C436="売",(F436-H436)/F436,(H436-F436)/F436))</f>
        <v/>
      </c>
      <c r="M436" s="599" t="str">
        <f>IF($F436="","",$F436*IF($C436="売",1-V811設定!$B$4,1+V811設定!$B$4)-MOD($F436*IF($C436="売",1-V811設定!$B$4,1+V811設定!$B$4),IF($F436&lt;=3000,1,IF($F436&lt;=5000,5,IF($F436&lt;=30000,10,IF($F436&lt;=50000,50,IF($F436&lt;=300000,100,500))))))+IF(AND($C436="売",MOD($F436*IF($C436="売",1-V811設定!$B$4,1+V811設定!$B$4),IF($F436&lt;=3000,1,IF($F436&lt;=5000,5,IF($F436&lt;=30000,10,IF($F436&lt;=50000,50,IF($F436&lt;=300000,100,500))))))&gt;0),IF($F436&lt;=3000,1,IF($F436&lt;=5000,5,IF($F436&lt;=30000,10,IF($F436&lt;=50000,50,IF($F436&lt;=300000,100,500))))),0))</f>
      </c>
      <c r="N436" s="599" t="str">
        <f>IF($F436="","",$F436*IF($C436="売",1+V811設定!$B$3,1-V811設定!$B$3)-MOD($F436*IF($C436="売",1+V811設定!$B$3,1-V811設定!$B$3),IF($F436&lt;=3000,1,IF($F436&lt;=5000,5,IF($F436&lt;=30000,10,IF($F436&lt;=50000,50,IF($F436&lt;=300000,100,500))))))+IF(AND($C436="売",MOD($F436*IF($C436="売",1+V811設定!$B$3,1-V811設定!$B$3),IF($F436&lt;=3000,1,IF($F436&lt;=5000,5,IF($F436&lt;=30000,10,IF($F436&lt;=50000,50,IF($F436&lt;=300000,100,500))))))&gt;0),IF($F436&lt;=3000,1,IF($F436&lt;=5000,5,IF($F436&lt;=30000,10,IF($F436&lt;=50000,50,IF($F436&lt;=300000,100,500))))),0))</f>
      </c>
      <c r="O436" s="478" t="str">
        <f>IF(OR($B436="",$F436="",$H436=""),"",IF($S436="✅売却済","―決済済―",IF($C436="売",IF($H436&lt;=$M436,"🟢利確",IF(AND($R436&lt;&gt;"",$H436&gt;=$R436),"🟠TRAIL",IF($H436&gt;=$N436,"🔴損切",IF($W436&gt;=V811設定!$B$6,"⏱時間決済",IF($H436&gt;=$F436*(1+V811設定!$B$3*0.7),"⚠️損切接近","保持継続"))))),IF($H436&gt;=$M436,"🟢利確",IF(AND($R436&lt;&gt;"",$H436&lt;=$R436),"🟠TRAIL",IF($H436&lt;=$N436,"🔴損切",IF($W436&gt;=V811設定!$B$6,"⏱時間決済",IF($H436&lt;=$F436*(1-V811設定!$B$3*0.7),"⚠️損切接近","保持継続"))))))))</f>
      </c>
      <c r="P436" s="445"/>
      <c r="R436" s="440" t="str">
        <f>IF(OR($F436="",$H436="",$N436=""),"",IF($S436="✅売却済","",IF($C436="売",IF($H436&gt;$F436*(1-V811設定!$B$3),$N436,MIN($N436,IF($Q436="",$N436,$Q436*1.03))),IF($H436&lt;$F436*(1+V811設定!$B$3),$N436,MAX($N436,IF($P436="",$N436,$P436*0.97))))))</f>
      </c>
      <c r="S436" s="440" t="str">
        <f>IF(B436="","",IF(T436&lt;&gt;"","✅売却済",IF(OR(H436="",L436=""),"📌保有中",IF(L436&gt;=0.06,"🟢利確推奨",IF(L436&gt;=0.05,"🟡利確直近",IF(L436&gt;=0.045,"🔵トレーリング検討",IF(L436&gt;-0.03,"📌保有中",IF(L436&gt;-0.04,"⚠️損切注意","🔴損切り"))))))))</f>
        <v/>
      </c>
      <c r="T436" s="597"/>
      <c r="U436" s="599"/>
      <c r="V436" s="704" t="str">
        <f>IF(OR(F436="",G436="",U436=""),"",IF(C436="売",(F436-U436)*G436,(U436-F436)*G436))</f>
        <v/>
      </c>
      <c r="W436" s="440" t="str">
        <f>IF(OR($E436="",$B436=""),"",IF($T436&lt;&gt;"",$T436-$E436,TODAY()-$E436)+1)</f>
        <v/>
      </c>
      <c r="X436" s="440" t="str">
        <f>IF(OR($AH436="",$AH436="保有中"),"",$AH436)</f>
        <v/>
      </c>
      <c r="AD436" s="608"/>
      <c r="AE436" s="600" t="str">
        <f>IF($E436="","",WORKDAY($E436,12))</f>
        <v/>
      </c>
      <c r="AF436" s="600" t="str" cm="1">
        <f t="array" aca="1" ref="AF436" ca="1">IF(OR($B436="",$M436=""),"",IFERROR(IF($C436="売",_xlfn.MINIFS(安値!$E$3:$IT$3,安値!$E$3:$IT$3,"&gt;"&amp;$E436,安値!$E$3:$IT$3,"&lt;="&amp;$AE436,OFFSET(安値!$E$6:$IT$6,MATCH(TEXT($B436,"0"),TEXT(銘柄管理!$B$6:$B$305,"0"),0)-1,0),"&lt;="&amp;$M436),_xlfn.MINIFS(高値!$E$3:$IT$3,高値!$E$3:$IT$3,"&gt;"&amp;$E436,高値!$E$3:$IT$3,"&lt;="&amp;$AE436,OFFSET(高値!$E$6:$IT$6,MATCH(TEXT($B436,"0"),TEXT(銘柄管理!$B$6:$B$305,"0"),0)-1,0),"&gt;="&amp;$M436)),""))</f>
        <v/>
      </c>
      <c r="AG436" s="600" t="str" cm="1">
        <f t="array" aca="1" ref="AG436" ca="1">IF(OR($B436="",$N436=""),"",IFERROR(IF($C436="売",_xlfn.MINIFS(高値!$E$3:$IT$3,高値!$E$3:$IT$3,"&gt;"&amp;$E436,高値!$E$3:$IT$3,"&lt;="&amp;$AE436,OFFSET(高値!$E$6:$IT$6,MATCH(TEXT($B436,"0"),TEXT(銘柄管理!$B$6:$B$305,"0"),0)-1,0),"&gt;="&amp;$N436),_xlfn.MINIFS(安値!$E$3:$IT$3,安値!$E$3:$IT$3,"&gt;"&amp;$E436,安値!$E$3:$IT$3,"&lt;="&amp;$AE436,OFFSET(安値!$E$6:$IT$6,MATCH(TEXT($B436,"0"),TEXT(銘柄管理!$B$6:$B$305,"0"),0)-1,0),"&lt;="&amp;$N436)),""))</f>
        <v/>
      </c>
      <c r="AH436" s="600" t="str">
        <f>IF(OR($B436="",$M436=""),"",IF(AND(N($AF436)=0,N($AG436)=0),IF(AND(ISNUMBER($H436),$H436&gt;0,IF($C436="売",$H436&gt;=$N436,$H436&lt;=$N436)),"損切確定",IF(AND(ISNUMBER($H436),$H436&gt;0,IF($C436="売",$H436&lt;=$M436,$H436&gt;=$M436)),"利益確定",IF($AE436&lt;=TODAY(),"日数制限","保有中"))),IF(N($AG436)=0,"利益確定",IF(N($AF436)=0,"損切確定",IF($AG436&lt;=$AF436,"損切確定","利益確定")))))</f>
        <v/>
      </c>
      <c r="AI436" s="600" t="str" cm="1">
        <f t="array" ref="AI436">IFERROR(INDEX(始値!$E$6:$IT$305,MATCH(TEXT($B436,"0"),TEXT(銘柄管理!$B$6:$B$305,"0"),0),MATCH($AE436,始値!$E$3:$IT$3,0)),"")</f>
        <v/>
      </c>
      <c r="AJ436" s="608" t="str">
        <f>IF(OR($V436="",$F436="",$G436=""),"",$V436/($F436*$G436))</f>
        <v/>
      </c>
      <c r="AK436" s="600" t="str">
        <f>IF($V436="","",IF($V436&gt;0,"○勝",IF($V436&lt;0,"●負","△引分")))</f>
        <v/>
      </c>
    </row>
    <row r="437" spans="1:37" ht="17.25" customHeight="1">
      <c r="A437" s="622" t="str">
        <f>IF(B437="","",HYPERLINK("https://kabutan.jp/stock/?code="&amp;B437,"株探"))</f>
        <v/>
      </c>
      <c r="D437" s="440" t="str" cm="1">
        <f t="array" ref="D437">_xll.RssMarket(B437, "銘柄名称")</f>
        <v/>
      </c>
      <c r="E437" s="717"/>
      <c r="F437" s="698" t="str" cm="1">
        <f t="array" aca="1" ref="F437" ca="1">IFERROR(_xlfn.LET(_xlpm.r,MATCH(TEXT($B437,"0"),TEXT(銘柄管理!$B$6:$B$305,"0"),0),_xlpm.t,MOD(NOW(),1),_xlpm.c,IF($E437=TODAY(),IF(_xlpm.t&gt;=TIME(15,30,0),NA(),1),IF(MATCH($E437,始値!$E$3:$IT$3,0)=1,1,MATCH($E437,始値!$E$3:$IT$3,0)+1)),_xlpm.v,INDEX(始値!$C$6:$IT$305,_xlpm.r,_xlpm.c),IF(N(_xlpm.v)=0,"",_xlpm.v)),"")</f>
        <v/>
      </c>
      <c r="H437" s="440" t="str" cm="1">
        <f t="array" ref="H437">_xll.RssMarket(B437, "現在値")</f>
        <v/>
      </c>
      <c r="I437" s="440" t="str" cm="1">
        <f t="array" ref="I437">_xll.RssMarket(B437, "出来高加重平均")</f>
        <v/>
      </c>
      <c r="J437" s="704" t="str" cm="1">
        <f t="array" ref="J437">_xll.RssMarket($B437, "前日比")</f>
        <v/>
      </c>
      <c r="K437" s="704" t="str">
        <f>IF(OR(F437="",G437="",H437=""),"",IF(C437="売",(F437-H437)*G437,(H437-F437)*G437))</f>
        <v/>
      </c>
      <c r="L437" s="709" t="str">
        <f>IF(OR(F437="",H437=""),"",IF(C437="売",(F437-H437)/F437,(H437-F437)/F437))</f>
        <v/>
      </c>
      <c r="M437" s="599" t="str">
        <f>IF($F437="","",$F437*IF($C437="売",1-V811設定!$B$4,1+V811設定!$B$4)-MOD($F437*IF($C437="売",1-V811設定!$B$4,1+V811設定!$B$4),IF($F437&lt;=3000,1,IF($F437&lt;=5000,5,IF($F437&lt;=30000,10,IF($F437&lt;=50000,50,IF($F437&lt;=300000,100,500))))))+IF(AND($C437="売",MOD($F437*IF($C437="売",1-V811設定!$B$4,1+V811設定!$B$4),IF($F437&lt;=3000,1,IF($F437&lt;=5000,5,IF($F437&lt;=30000,10,IF($F437&lt;=50000,50,IF($F437&lt;=300000,100,500))))))&gt;0),IF($F437&lt;=3000,1,IF($F437&lt;=5000,5,IF($F437&lt;=30000,10,IF($F437&lt;=50000,50,IF($F437&lt;=300000,100,500))))),0))</f>
      </c>
      <c r="N437" s="599" t="str">
        <f>IF($F437="","",$F437*IF($C437="売",1+V811設定!$B$3,1-V811設定!$B$3)-MOD($F437*IF($C437="売",1+V811設定!$B$3,1-V811設定!$B$3),IF($F437&lt;=3000,1,IF($F437&lt;=5000,5,IF($F437&lt;=30000,10,IF($F437&lt;=50000,50,IF($F437&lt;=300000,100,500))))))+IF(AND($C437="売",MOD($F437*IF($C437="売",1+V811設定!$B$3,1-V811設定!$B$3),IF($F437&lt;=3000,1,IF($F437&lt;=5000,5,IF($F437&lt;=30000,10,IF($F437&lt;=50000,50,IF($F437&lt;=300000,100,500))))))&gt;0),IF($F437&lt;=3000,1,IF($F437&lt;=5000,5,IF($F437&lt;=30000,10,IF($F437&lt;=50000,50,IF($F437&lt;=300000,100,500))))),0))</f>
      </c>
      <c r="O437" s="478" t="str">
        <f>IF(OR($B437="",$F437="",$H437=""),"",IF($S437="✅売却済","―決済済―",IF($C437="売",IF($H437&lt;=$M437,"🟢利確",IF(AND($R437&lt;&gt;"",$H437&gt;=$R437),"🟠TRAIL",IF($H437&gt;=$N437,"🔴損切",IF($W437&gt;=V811設定!$B$6,"⏱時間決済",IF($H437&gt;=$F437*(1+V811設定!$B$3*0.7),"⚠️損切接近","保持継続"))))),IF($H437&gt;=$M437,"🟢利確",IF(AND($R437&lt;&gt;"",$H437&lt;=$R437),"🟠TRAIL",IF($H437&lt;=$N437,"🔴損切",IF($W437&gt;=V811設定!$B$6,"⏱時間決済",IF($H437&lt;=$F437*(1-V811設定!$B$3*0.7),"⚠️損切接近","保持継続"))))))))</f>
      </c>
      <c r="P437" s="445"/>
      <c r="R437" s="440" t="str">
        <f>IF(OR($F437="",$H437="",$N437=""),"",IF($S437="✅売却済","",IF($C437="売",IF($H437&gt;$F437*(1-V811設定!$B$3),$N437,MIN($N437,IF($Q437="",$N437,$Q437*1.03))),IF($H437&lt;$F437*(1+V811設定!$B$3),$N437,MAX($N437,IF($P437="",$N437,$P437*0.97))))))</f>
      </c>
      <c r="S437" s="440" t="str">
        <f>IF(B437="","",IF(T437&lt;&gt;"","✅売却済",IF(OR(H437="",L437=""),"📌保有中",IF(L437&gt;=0.06,"🟢利確推奨",IF(L437&gt;=0.05,"🟡利確直近",IF(L437&gt;=0.045,"🔵トレーリング検討",IF(L437&gt;-0.03,"📌保有中",IF(L437&gt;-0.04,"⚠️損切注意","🔴損切り"))))))))</f>
        <v/>
      </c>
      <c r="T437" s="597"/>
      <c r="U437" s="599"/>
      <c r="V437" s="704" t="str">
        <f>IF(OR(F437="",G437="",U437=""),"",IF(C437="売",(F437-U437)*G437,(U437-F437)*G437))</f>
        <v/>
      </c>
      <c r="W437" s="440" t="str">
        <f>IF(OR($E437="",$B437=""),"",IF($T437&lt;&gt;"",$T437-$E437,TODAY()-$E437)+1)</f>
        <v/>
      </c>
      <c r="X437" s="440" t="str">
        <f>IF(OR($AH437="",$AH437="保有中"),"",$AH437)</f>
        <v/>
      </c>
      <c r="AD437" s="608"/>
      <c r="AE437" s="600" t="str">
        <f>IF($E437="","",WORKDAY($E437,12))</f>
        <v/>
      </c>
      <c r="AF437" s="600" t="str" cm="1">
        <f t="array" aca="1" ref="AF437" ca="1">IF(OR($B437="",$M437=""),"",IFERROR(IF($C437="売",_xlfn.MINIFS(安値!$E$3:$IT$3,安値!$E$3:$IT$3,"&gt;"&amp;$E437,安値!$E$3:$IT$3,"&lt;="&amp;$AE437,OFFSET(安値!$E$6:$IT$6,MATCH(TEXT($B437,"0"),TEXT(銘柄管理!$B$6:$B$305,"0"),0)-1,0),"&lt;="&amp;$M437),_xlfn.MINIFS(高値!$E$3:$IT$3,高値!$E$3:$IT$3,"&gt;"&amp;$E437,高値!$E$3:$IT$3,"&lt;="&amp;$AE437,OFFSET(高値!$E$6:$IT$6,MATCH(TEXT($B437,"0"),TEXT(銘柄管理!$B$6:$B$305,"0"),0)-1,0),"&gt;="&amp;$M437)),""))</f>
        <v/>
      </c>
      <c r="AG437" s="600" t="str" cm="1">
        <f t="array" aca="1" ref="AG437" ca="1">IF(OR($B437="",$N437=""),"",IFERROR(IF($C437="売",_xlfn.MINIFS(高値!$E$3:$IT$3,高値!$E$3:$IT$3,"&gt;"&amp;$E437,高値!$E$3:$IT$3,"&lt;="&amp;$AE437,OFFSET(高値!$E$6:$IT$6,MATCH(TEXT($B437,"0"),TEXT(銘柄管理!$B$6:$B$305,"0"),0)-1,0),"&gt;="&amp;$N437),_xlfn.MINIFS(安値!$E$3:$IT$3,安値!$E$3:$IT$3,"&gt;"&amp;$E437,安値!$E$3:$IT$3,"&lt;="&amp;$AE437,OFFSET(安値!$E$6:$IT$6,MATCH(TEXT($B437,"0"),TEXT(銘柄管理!$B$6:$B$305,"0"),0)-1,0),"&lt;="&amp;$N437)),""))</f>
        <v/>
      </c>
      <c r="AH437" s="600" t="str">
        <f>IF(OR($B437="",$M437=""),"",IF(AND(N($AF437)=0,N($AG437)=0),IF(AND(ISNUMBER($H437),$H437&gt;0,IF($C437="売",$H437&gt;=$N437,$H437&lt;=$N437)),"損切確定",IF(AND(ISNUMBER($H437),$H437&gt;0,IF($C437="売",$H437&lt;=$M437,$H437&gt;=$M437)),"利益確定",IF($AE437&lt;=TODAY(),"日数制限","保有中"))),IF(N($AG437)=0,"利益確定",IF(N($AF437)=0,"損切確定",IF($AG437&lt;=$AF437,"損切確定","利益確定")))))</f>
        <v/>
      </c>
      <c r="AI437" s="600" t="str" cm="1">
        <f t="array" ref="AI437">IFERROR(INDEX(始値!$E$6:$IT$305,MATCH(TEXT($B437,"0"),TEXT(銘柄管理!$B$6:$B$305,"0"),0),MATCH($AE437,始値!$E$3:$IT$3,0)),"")</f>
        <v/>
      </c>
      <c r="AJ437" s="608" t="str">
        <f>IF(OR($V437="",$F437="",$G437=""),"",$V437/($F437*$G437))</f>
        <v/>
      </c>
      <c r="AK437" s="600" t="str">
        <f>IF($V437="","",IF($V437&gt;0,"○勝",IF($V437&lt;0,"●負","△引分")))</f>
        <v/>
      </c>
    </row>
    <row r="438" spans="1:37" ht="17.25" customHeight="1">
      <c r="A438" s="622" t="str">
        <f>IF(B438="","",HYPERLINK("https://kabutan.jp/stock/?code="&amp;B438,"株探"))</f>
        <v/>
      </c>
      <c r="D438" s="440" t="str" cm="1">
        <f t="array" ref="D438">_xll.RssMarket(B438, "銘柄名称")</f>
        <v/>
      </c>
      <c r="E438" s="717"/>
      <c r="F438" s="698" t="str" cm="1">
        <f t="array" aca="1" ref="F438" ca="1">IFERROR(_xlfn.LET(_xlpm.r,MATCH(TEXT($B438,"0"),TEXT(銘柄管理!$B$6:$B$305,"0"),0),_xlpm.t,MOD(NOW(),1),_xlpm.c,IF($E438=TODAY(),IF(_xlpm.t&gt;=TIME(15,30,0),NA(),1),IF(MATCH($E438,始値!$E$3:$IT$3,0)=1,1,MATCH($E438,始値!$E$3:$IT$3,0)+1)),_xlpm.v,INDEX(始値!$C$6:$IT$305,_xlpm.r,_xlpm.c),IF(N(_xlpm.v)=0,"",_xlpm.v)),"")</f>
        <v/>
      </c>
      <c r="H438" s="440" t="str" cm="1">
        <f t="array" ref="H438">_xll.RssMarket(B438, "現在値")</f>
        <v/>
      </c>
      <c r="I438" s="440" t="str" cm="1">
        <f t="array" ref="I438">_xll.RssMarket(B438, "出来高加重平均")</f>
        <v/>
      </c>
      <c r="J438" s="704" t="str" cm="1">
        <f t="array" ref="J438">_xll.RssMarket($B438, "前日比")</f>
        <v/>
      </c>
      <c r="K438" s="704" t="str">
        <f>IF(OR(F438="",G438="",H438=""),"",IF(C438="売",(F438-H438)*G438,(H438-F438)*G438))</f>
        <v/>
      </c>
      <c r="L438" s="709" t="str">
        <f>IF(OR(F438="",H438=""),"",IF(C438="売",(F438-H438)/F438,(H438-F438)/F438))</f>
        <v/>
      </c>
      <c r="M438" s="599" t="str">
        <f>IF($F438="","",$F438*IF($C438="売",1-V811設定!$B$4,1+V811設定!$B$4)-MOD($F438*IF($C438="売",1-V811設定!$B$4,1+V811設定!$B$4),IF($F438&lt;=3000,1,IF($F438&lt;=5000,5,IF($F438&lt;=30000,10,IF($F438&lt;=50000,50,IF($F438&lt;=300000,100,500))))))+IF(AND($C438="売",MOD($F438*IF($C438="売",1-V811設定!$B$4,1+V811設定!$B$4),IF($F438&lt;=3000,1,IF($F438&lt;=5000,5,IF($F438&lt;=30000,10,IF($F438&lt;=50000,50,IF($F438&lt;=300000,100,500))))))&gt;0),IF($F438&lt;=3000,1,IF($F438&lt;=5000,5,IF($F438&lt;=30000,10,IF($F438&lt;=50000,50,IF($F438&lt;=300000,100,500))))),0))</f>
      </c>
      <c r="N438" s="599" t="str">
        <f>IF($F438="","",$F438*IF($C438="売",1+V811設定!$B$3,1-V811設定!$B$3)-MOD($F438*IF($C438="売",1+V811設定!$B$3,1-V811設定!$B$3),IF($F438&lt;=3000,1,IF($F438&lt;=5000,5,IF($F438&lt;=30000,10,IF($F438&lt;=50000,50,IF($F438&lt;=300000,100,500))))))+IF(AND($C438="売",MOD($F438*IF($C438="売",1+V811設定!$B$3,1-V811設定!$B$3),IF($F438&lt;=3000,1,IF($F438&lt;=5000,5,IF($F438&lt;=30000,10,IF($F438&lt;=50000,50,IF($F438&lt;=300000,100,500))))))&gt;0),IF($F438&lt;=3000,1,IF($F438&lt;=5000,5,IF($F438&lt;=30000,10,IF($F438&lt;=50000,50,IF($F438&lt;=300000,100,500))))),0))</f>
      </c>
      <c r="O438" s="478" t="str">
        <f>IF(OR($B438="",$F438="",$H438=""),"",IF($S438="✅売却済","―決済済―",IF($C438="売",IF($H438&lt;=$M438,"🟢利確",IF(AND($R438&lt;&gt;"",$H438&gt;=$R438),"🟠TRAIL",IF($H438&gt;=$N438,"🔴損切",IF($W438&gt;=V811設定!$B$6,"⏱時間決済",IF($H438&gt;=$F438*(1+V811設定!$B$3*0.7),"⚠️損切接近","保持継続"))))),IF($H438&gt;=$M438,"🟢利確",IF(AND($R438&lt;&gt;"",$H438&lt;=$R438),"🟠TRAIL",IF($H438&lt;=$N438,"🔴損切",IF($W438&gt;=V811設定!$B$6,"⏱時間決済",IF($H438&lt;=$F438*(1-V811設定!$B$3*0.7),"⚠️損切接近","保持継続"))))))))</f>
      </c>
      <c r="P438" s="445"/>
      <c r="R438" s="440" t="str">
        <f>IF(OR($F438="",$H438="",$N438=""),"",IF($S438="✅売却済","",IF($C438="売",IF($H438&gt;$F438*(1-V811設定!$B$3),$N438,MIN($N438,IF($Q438="",$N438,$Q438*1.03))),IF($H438&lt;$F438*(1+V811設定!$B$3),$N438,MAX($N438,IF($P438="",$N438,$P438*0.97))))))</f>
      </c>
      <c r="S438" s="440" t="str">
        <f>IF(B438="","",IF(T438&lt;&gt;"","✅売却済",IF(OR(H438="",L438=""),"📌保有中",IF(L438&gt;=0.06,"🟢利確推奨",IF(L438&gt;=0.05,"🟡利確直近",IF(L438&gt;=0.045,"🔵トレーリング検討",IF(L438&gt;-0.03,"📌保有中",IF(L438&gt;-0.04,"⚠️損切注意","🔴損切り"))))))))</f>
        <v/>
      </c>
      <c r="T438" s="597"/>
      <c r="U438" s="599"/>
      <c r="V438" s="704" t="str">
        <f>IF(OR(F438="",G438="",U438=""),"",IF(C438="売",(F438-U438)*G438,(U438-F438)*G438))</f>
        <v/>
      </c>
      <c r="W438" s="440" t="str">
        <f>IF(OR($E438="",$B438=""),"",IF($T438&lt;&gt;"",$T438-$E438,TODAY()-$E438)+1)</f>
        <v/>
      </c>
      <c r="X438" s="440" t="str">
        <f>IF(OR($AH438="",$AH438="保有中"),"",$AH438)</f>
        <v/>
      </c>
      <c r="AD438" s="608"/>
      <c r="AE438" s="600" t="str">
        <f>IF($E438="","",WORKDAY($E438,12))</f>
        <v/>
      </c>
      <c r="AF438" s="600" t="str" cm="1">
        <f t="array" aca="1" ref="AF438" ca="1">IF(OR($B438="",$M438=""),"",IFERROR(IF($C438="売",_xlfn.MINIFS(安値!$E$3:$IT$3,安値!$E$3:$IT$3,"&gt;"&amp;$E438,安値!$E$3:$IT$3,"&lt;="&amp;$AE438,OFFSET(安値!$E$6:$IT$6,MATCH(TEXT($B438,"0"),TEXT(銘柄管理!$B$6:$B$305,"0"),0)-1,0),"&lt;="&amp;$M438),_xlfn.MINIFS(高値!$E$3:$IT$3,高値!$E$3:$IT$3,"&gt;"&amp;$E438,高値!$E$3:$IT$3,"&lt;="&amp;$AE438,OFFSET(高値!$E$6:$IT$6,MATCH(TEXT($B438,"0"),TEXT(銘柄管理!$B$6:$B$305,"0"),0)-1,0),"&gt;="&amp;$M438)),""))</f>
        <v/>
      </c>
      <c r="AG438" s="600" t="str" cm="1">
        <f t="array" aca="1" ref="AG438" ca="1">IF(OR($B438="",$N438=""),"",IFERROR(IF($C438="売",_xlfn.MINIFS(高値!$E$3:$IT$3,高値!$E$3:$IT$3,"&gt;"&amp;$E438,高値!$E$3:$IT$3,"&lt;="&amp;$AE438,OFFSET(高値!$E$6:$IT$6,MATCH(TEXT($B438,"0"),TEXT(銘柄管理!$B$6:$B$305,"0"),0)-1,0),"&gt;="&amp;$N438),_xlfn.MINIFS(安値!$E$3:$IT$3,安値!$E$3:$IT$3,"&gt;"&amp;$E438,安値!$E$3:$IT$3,"&lt;="&amp;$AE438,OFFSET(安値!$E$6:$IT$6,MATCH(TEXT($B438,"0"),TEXT(銘柄管理!$B$6:$B$305,"0"),0)-1,0),"&lt;="&amp;$N438)),""))</f>
        <v/>
      </c>
      <c r="AH438" s="600" t="str">
        <f>IF(OR($B438="",$M438=""),"",IF(AND(N($AF438)=0,N($AG438)=0),IF(AND(ISNUMBER($H438),$H438&gt;0,IF($C438="売",$H438&gt;=$N438,$H438&lt;=$N438)),"損切確定",IF(AND(ISNUMBER($H438),$H438&gt;0,IF($C438="売",$H438&lt;=$M438,$H438&gt;=$M438)),"利益確定",IF($AE438&lt;=TODAY(),"日数制限","保有中"))),IF(N($AG438)=0,"利益確定",IF(N($AF438)=0,"損切確定",IF($AG438&lt;=$AF438,"損切確定","利益確定")))))</f>
        <v/>
      </c>
      <c r="AI438" s="600" t="str" cm="1">
        <f t="array" ref="AI438">IFERROR(INDEX(始値!$E$6:$IT$305,MATCH(TEXT($B438,"0"),TEXT(銘柄管理!$B$6:$B$305,"0"),0),MATCH($AE438,始値!$E$3:$IT$3,0)),"")</f>
        <v/>
      </c>
      <c r="AJ438" s="608" t="str">
        <f>IF(OR($V438="",$F438="",$G438=""),"",$V438/($F438*$G438))</f>
        <v/>
      </c>
      <c r="AK438" s="600" t="str">
        <f>IF($V438="","",IF($V438&gt;0,"○勝",IF($V438&lt;0,"●負","△引分")))</f>
        <v/>
      </c>
    </row>
    <row r="439" spans="1:37" ht="17.25" customHeight="1">
      <c r="A439" s="622" t="str">
        <f>IF(B439="","",HYPERLINK("https://kabutan.jp/stock/?code="&amp;B439,"株探"))</f>
        <v/>
      </c>
      <c r="D439" s="440" t="str" cm="1">
        <f t="array" ref="D439">_xll.RssMarket(B439, "銘柄名称")</f>
        <v/>
      </c>
      <c r="E439" s="717"/>
      <c r="F439" s="698" t="str" cm="1">
        <f t="array" aca="1" ref="F439" ca="1">IFERROR(_xlfn.LET(_xlpm.r,MATCH(TEXT($B439,"0"),TEXT(銘柄管理!$B$6:$B$305,"0"),0),_xlpm.t,MOD(NOW(),1),_xlpm.c,IF($E439=TODAY(),IF(_xlpm.t&gt;=TIME(15,30,0),NA(),1),IF(MATCH($E439,始値!$E$3:$IT$3,0)=1,1,MATCH($E439,始値!$E$3:$IT$3,0)+1)),_xlpm.v,INDEX(始値!$C$6:$IT$305,_xlpm.r,_xlpm.c),IF(N(_xlpm.v)=0,"",_xlpm.v)),"")</f>
        <v/>
      </c>
      <c r="H439" s="440" t="str" cm="1">
        <f t="array" ref="H439">_xll.RssMarket(B439, "現在値")</f>
        <v/>
      </c>
      <c r="I439" s="440" t="str" cm="1">
        <f t="array" ref="I439">_xll.RssMarket(B439, "出来高加重平均")</f>
        <v/>
      </c>
      <c r="J439" s="704" t="str" cm="1">
        <f t="array" ref="J439">_xll.RssMarket($B439, "前日比")</f>
        <v/>
      </c>
      <c r="K439" s="704" t="str">
        <f>IF(OR(F439="",G439="",H439=""),"",IF(C439="売",(F439-H439)*G439,(H439-F439)*G439))</f>
        <v/>
      </c>
      <c r="L439" s="709" t="str">
        <f>IF(OR(F439="",H439=""),"",IF(C439="売",(F439-H439)/F439,(H439-F439)/F439))</f>
        <v/>
      </c>
      <c r="M439" s="599" t="str">
        <f>IF($F439="","",$F439*IF($C439="売",1-V811設定!$B$4,1+V811設定!$B$4)-MOD($F439*IF($C439="売",1-V811設定!$B$4,1+V811設定!$B$4),IF($F439&lt;=3000,1,IF($F439&lt;=5000,5,IF($F439&lt;=30000,10,IF($F439&lt;=50000,50,IF($F439&lt;=300000,100,500))))))+IF(AND($C439="売",MOD($F439*IF($C439="売",1-V811設定!$B$4,1+V811設定!$B$4),IF($F439&lt;=3000,1,IF($F439&lt;=5000,5,IF($F439&lt;=30000,10,IF($F439&lt;=50000,50,IF($F439&lt;=300000,100,500))))))&gt;0),IF($F439&lt;=3000,1,IF($F439&lt;=5000,5,IF($F439&lt;=30000,10,IF($F439&lt;=50000,50,IF($F439&lt;=300000,100,500))))),0))</f>
      </c>
      <c r="N439" s="599" t="str">
        <f>IF($F439="","",$F439*IF($C439="売",1+V811設定!$B$3,1-V811設定!$B$3)-MOD($F439*IF($C439="売",1+V811設定!$B$3,1-V811設定!$B$3),IF($F439&lt;=3000,1,IF($F439&lt;=5000,5,IF($F439&lt;=30000,10,IF($F439&lt;=50000,50,IF($F439&lt;=300000,100,500))))))+IF(AND($C439="売",MOD($F439*IF($C439="売",1+V811設定!$B$3,1-V811設定!$B$3),IF($F439&lt;=3000,1,IF($F439&lt;=5000,5,IF($F439&lt;=30000,10,IF($F439&lt;=50000,50,IF($F439&lt;=300000,100,500))))))&gt;0),IF($F439&lt;=3000,1,IF($F439&lt;=5000,5,IF($F439&lt;=30000,10,IF($F439&lt;=50000,50,IF($F439&lt;=300000,100,500))))),0))</f>
      </c>
      <c r="O439" s="478" t="str">
        <f>IF(OR($B439="",$F439="",$H439=""),"",IF($S439="✅売却済","―決済済―",IF($C439="売",IF($H439&lt;=$M439,"🟢利確",IF(AND($R439&lt;&gt;"",$H439&gt;=$R439),"🟠TRAIL",IF($H439&gt;=$N439,"🔴損切",IF($W439&gt;=V811設定!$B$6,"⏱時間決済",IF($H439&gt;=$F439*(1+V811設定!$B$3*0.7),"⚠️損切接近","保持継続"))))),IF($H439&gt;=$M439,"🟢利確",IF(AND($R439&lt;&gt;"",$H439&lt;=$R439),"🟠TRAIL",IF($H439&lt;=$N439,"🔴損切",IF($W439&gt;=V811設定!$B$6,"⏱時間決済",IF($H439&lt;=$F439*(1-V811設定!$B$3*0.7),"⚠️損切接近","保持継続"))))))))</f>
      </c>
      <c r="P439" s="445"/>
      <c r="R439" s="440" t="str">
        <f>IF(OR($F439="",$H439="",$N439=""),"",IF($S439="✅売却済","",IF($C439="売",IF($H439&gt;$F439*(1-V811設定!$B$3),$N439,MIN($N439,IF($Q439="",$N439,$Q439*1.03))),IF($H439&lt;$F439*(1+V811設定!$B$3),$N439,MAX($N439,IF($P439="",$N439,$P439*0.97))))))</f>
      </c>
      <c r="S439" s="440" t="str">
        <f>IF(B439="","",IF(T439&lt;&gt;"","✅売却済",IF(OR(H439="",L439=""),"📌保有中",IF(L439&gt;=0.06,"🟢利確推奨",IF(L439&gt;=0.05,"🟡利確直近",IF(L439&gt;=0.045,"🔵トレーリング検討",IF(L439&gt;-0.03,"📌保有中",IF(L439&gt;-0.04,"⚠️損切注意","🔴損切り"))))))))</f>
        <v/>
      </c>
      <c r="T439" s="597"/>
      <c r="U439" s="599"/>
      <c r="V439" s="704" t="str">
        <f>IF(OR(F439="",G439="",U439=""),"",IF(C439="売",(F439-U439)*G439,(U439-F439)*G439))</f>
        <v/>
      </c>
      <c r="W439" s="440" t="str">
        <f>IF(OR($E439="",$B439=""),"",IF($T439&lt;&gt;"",$T439-$E439,TODAY()-$E439)+1)</f>
        <v/>
      </c>
      <c r="X439" s="440" t="str">
        <f>IF(OR($AH439="",$AH439="保有中"),"",$AH439)</f>
        <v/>
      </c>
      <c r="AD439" s="608"/>
      <c r="AE439" s="600" t="str">
        <f>IF($E439="","",WORKDAY($E439,12))</f>
        <v/>
      </c>
      <c r="AF439" s="600" t="str" cm="1">
        <f t="array" aca="1" ref="AF439" ca="1">IF(OR($B439="",$M439=""),"",IFERROR(IF($C439="売",_xlfn.MINIFS(安値!$E$3:$IT$3,安値!$E$3:$IT$3,"&gt;"&amp;$E439,安値!$E$3:$IT$3,"&lt;="&amp;$AE439,OFFSET(安値!$E$6:$IT$6,MATCH(TEXT($B439,"0"),TEXT(銘柄管理!$B$6:$B$305,"0"),0)-1,0),"&lt;="&amp;$M439),_xlfn.MINIFS(高値!$E$3:$IT$3,高値!$E$3:$IT$3,"&gt;"&amp;$E439,高値!$E$3:$IT$3,"&lt;="&amp;$AE439,OFFSET(高値!$E$6:$IT$6,MATCH(TEXT($B439,"0"),TEXT(銘柄管理!$B$6:$B$305,"0"),0)-1,0),"&gt;="&amp;$M439)),""))</f>
        <v/>
      </c>
      <c r="AG439" s="600" t="str" cm="1">
        <f t="array" aca="1" ref="AG439" ca="1">IF(OR($B439="",$N439=""),"",IFERROR(IF($C439="売",_xlfn.MINIFS(高値!$E$3:$IT$3,高値!$E$3:$IT$3,"&gt;"&amp;$E439,高値!$E$3:$IT$3,"&lt;="&amp;$AE439,OFFSET(高値!$E$6:$IT$6,MATCH(TEXT($B439,"0"),TEXT(銘柄管理!$B$6:$B$305,"0"),0)-1,0),"&gt;="&amp;$N439),_xlfn.MINIFS(安値!$E$3:$IT$3,安値!$E$3:$IT$3,"&gt;"&amp;$E439,安値!$E$3:$IT$3,"&lt;="&amp;$AE439,OFFSET(安値!$E$6:$IT$6,MATCH(TEXT($B439,"0"),TEXT(銘柄管理!$B$6:$B$305,"0"),0)-1,0),"&lt;="&amp;$N439)),""))</f>
        <v/>
      </c>
      <c r="AH439" s="600" t="str">
        <f>IF(OR($B439="",$M439=""),"",IF(AND(N($AF439)=0,N($AG439)=0),IF(AND(ISNUMBER($H439),$H439&gt;0,IF($C439="売",$H439&gt;=$N439,$H439&lt;=$N439)),"損切確定",IF(AND(ISNUMBER($H439),$H439&gt;0,IF($C439="売",$H439&lt;=$M439,$H439&gt;=$M439)),"利益確定",IF($AE439&lt;=TODAY(),"日数制限","保有中"))),IF(N($AG439)=0,"利益確定",IF(N($AF439)=0,"損切確定",IF($AG439&lt;=$AF439,"損切確定","利益確定")))))</f>
        <v/>
      </c>
      <c r="AI439" s="600" t="str" cm="1">
        <f t="array" ref="AI439">IFERROR(INDEX(始値!$E$6:$IT$305,MATCH(TEXT($B439,"0"),TEXT(銘柄管理!$B$6:$B$305,"0"),0),MATCH($AE439,始値!$E$3:$IT$3,0)),"")</f>
        <v/>
      </c>
      <c r="AJ439" s="608" t="str">
        <f>IF(OR($V439="",$F439="",$G439=""),"",$V439/($F439*$G439))</f>
        <v/>
      </c>
      <c r="AK439" s="600" t="str">
        <f>IF($V439="","",IF($V439&gt;0,"○勝",IF($V439&lt;0,"●負","△引分")))</f>
        <v/>
      </c>
    </row>
    <row r="440" spans="1:37" ht="17.25" customHeight="1">
      <c r="A440" s="622" t="str">
        <f>IF(B440="","",HYPERLINK("https://kabutan.jp/stock/?code="&amp;B440,"株探"))</f>
        <v/>
      </c>
      <c r="D440" s="440" t="str" cm="1">
        <f t="array" ref="D440">_xll.RssMarket(B440, "銘柄名称")</f>
        <v/>
      </c>
      <c r="E440" s="717"/>
      <c r="F440" s="698" t="str" cm="1">
        <f t="array" aca="1" ref="F440" ca="1">IFERROR(_xlfn.LET(_xlpm.r,MATCH(TEXT($B440,"0"),TEXT(銘柄管理!$B$6:$B$305,"0"),0),_xlpm.t,MOD(NOW(),1),_xlpm.c,IF($E440=TODAY(),IF(_xlpm.t&gt;=TIME(15,30,0),NA(),1),IF(MATCH($E440,始値!$E$3:$IT$3,0)=1,1,MATCH($E440,始値!$E$3:$IT$3,0)+1)),_xlpm.v,INDEX(始値!$C$6:$IT$305,_xlpm.r,_xlpm.c),IF(N(_xlpm.v)=0,"",_xlpm.v)),"")</f>
        <v/>
      </c>
      <c r="H440" s="440" t="str" cm="1">
        <f t="array" ref="H440">_xll.RssMarket(B440, "現在値")</f>
        <v/>
      </c>
      <c r="I440" s="440" t="str" cm="1">
        <f t="array" ref="I440">_xll.RssMarket(B440, "出来高加重平均")</f>
        <v/>
      </c>
      <c r="J440" s="704" t="str" cm="1">
        <f t="array" ref="J440">_xll.RssMarket($B440, "前日比")</f>
        <v/>
      </c>
      <c r="K440" s="704" t="str">
        <f>IF(OR(F440="",G440="",H440=""),"",IF(C440="売",(F440-H440)*G440,(H440-F440)*G440))</f>
        <v/>
      </c>
      <c r="L440" s="709" t="str">
        <f>IF(OR(F440="",H440=""),"",IF(C440="売",(F440-H440)/F440,(H440-F440)/F440))</f>
        <v/>
      </c>
      <c r="M440" s="599" t="str">
        <f>IF($F440="","",$F440*IF($C440="売",1-V811設定!$B$4,1+V811設定!$B$4)-MOD($F440*IF($C440="売",1-V811設定!$B$4,1+V811設定!$B$4),IF($F440&lt;=3000,1,IF($F440&lt;=5000,5,IF($F440&lt;=30000,10,IF($F440&lt;=50000,50,IF($F440&lt;=300000,100,500))))))+IF(AND($C440="売",MOD($F440*IF($C440="売",1-V811設定!$B$4,1+V811設定!$B$4),IF($F440&lt;=3000,1,IF($F440&lt;=5000,5,IF($F440&lt;=30000,10,IF($F440&lt;=50000,50,IF($F440&lt;=300000,100,500))))))&gt;0),IF($F440&lt;=3000,1,IF($F440&lt;=5000,5,IF($F440&lt;=30000,10,IF($F440&lt;=50000,50,IF($F440&lt;=300000,100,500))))),0))</f>
      </c>
      <c r="N440" s="599" t="str">
        <f>IF($F440="","",$F440*IF($C440="売",1+V811設定!$B$3,1-V811設定!$B$3)-MOD($F440*IF($C440="売",1+V811設定!$B$3,1-V811設定!$B$3),IF($F440&lt;=3000,1,IF($F440&lt;=5000,5,IF($F440&lt;=30000,10,IF($F440&lt;=50000,50,IF($F440&lt;=300000,100,500))))))+IF(AND($C440="売",MOD($F440*IF($C440="売",1+V811設定!$B$3,1-V811設定!$B$3),IF($F440&lt;=3000,1,IF($F440&lt;=5000,5,IF($F440&lt;=30000,10,IF($F440&lt;=50000,50,IF($F440&lt;=300000,100,500))))))&gt;0),IF($F440&lt;=3000,1,IF($F440&lt;=5000,5,IF($F440&lt;=30000,10,IF($F440&lt;=50000,50,IF($F440&lt;=300000,100,500))))),0))</f>
      </c>
      <c r="O440" s="478" t="str">
        <f>IF(OR($B440="",$F440="",$H440=""),"",IF($S440="✅売却済","―決済済―",IF($C440="売",IF($H440&lt;=$M440,"🟢利確",IF(AND($R440&lt;&gt;"",$H440&gt;=$R440),"🟠TRAIL",IF($H440&gt;=$N440,"🔴損切",IF($W440&gt;=V811設定!$B$6,"⏱時間決済",IF($H440&gt;=$F440*(1+V811設定!$B$3*0.7),"⚠️損切接近","保持継続"))))),IF($H440&gt;=$M440,"🟢利確",IF(AND($R440&lt;&gt;"",$H440&lt;=$R440),"🟠TRAIL",IF($H440&lt;=$N440,"🔴損切",IF($W440&gt;=V811設定!$B$6,"⏱時間決済",IF($H440&lt;=$F440*(1-V811設定!$B$3*0.7),"⚠️損切接近","保持継続"))))))))</f>
      </c>
      <c r="P440" s="445"/>
      <c r="R440" s="440" t="str">
        <f>IF(OR($F440="",$H440="",$N440=""),"",IF($S440="✅売却済","",IF($C440="売",IF($H440&gt;$F440*(1-V811設定!$B$3),$N440,MIN($N440,IF($Q440="",$N440,$Q440*1.03))),IF($H440&lt;$F440*(1+V811設定!$B$3),$N440,MAX($N440,IF($P440="",$N440,$P440*0.97))))))</f>
      </c>
      <c r="S440" s="440" t="str">
        <f>IF(B440="","",IF(T440&lt;&gt;"","✅売却済",IF(OR(H440="",L440=""),"📌保有中",IF(L440&gt;=0.06,"🟢利確推奨",IF(L440&gt;=0.05,"🟡利確直近",IF(L440&gt;=0.045,"🔵トレーリング検討",IF(L440&gt;-0.03,"📌保有中",IF(L440&gt;-0.04,"⚠️損切注意","🔴損切り"))))))))</f>
        <v/>
      </c>
      <c r="T440" s="597"/>
      <c r="U440" s="599"/>
      <c r="V440" s="704" t="str">
        <f>IF(OR(F440="",G440="",U440=""),"",IF(C440="売",(F440-U440)*G440,(U440-F440)*G440))</f>
        <v/>
      </c>
      <c r="W440" s="440" t="str">
        <f>IF(OR($E440="",$B440=""),"",IF($T440&lt;&gt;"",$T440-$E440,TODAY()-$E440)+1)</f>
        <v/>
      </c>
      <c r="X440" s="440" t="str">
        <f>IF(OR($AH440="",$AH440="保有中"),"",$AH440)</f>
        <v/>
      </c>
      <c r="AD440" s="608"/>
      <c r="AE440" s="600" t="str">
        <f>IF($E440="","",WORKDAY($E440,12))</f>
        <v/>
      </c>
      <c r="AF440" s="600" t="str" cm="1">
        <f t="array" aca="1" ref="AF440" ca="1">IF(OR($B440="",$M440=""),"",IFERROR(IF($C440="売",_xlfn.MINIFS(安値!$E$3:$IT$3,安値!$E$3:$IT$3,"&gt;"&amp;$E440,安値!$E$3:$IT$3,"&lt;="&amp;$AE440,OFFSET(安値!$E$6:$IT$6,MATCH(TEXT($B440,"0"),TEXT(銘柄管理!$B$6:$B$305,"0"),0)-1,0),"&lt;="&amp;$M440),_xlfn.MINIFS(高値!$E$3:$IT$3,高値!$E$3:$IT$3,"&gt;"&amp;$E440,高値!$E$3:$IT$3,"&lt;="&amp;$AE440,OFFSET(高値!$E$6:$IT$6,MATCH(TEXT($B440,"0"),TEXT(銘柄管理!$B$6:$B$305,"0"),0)-1,0),"&gt;="&amp;$M440)),""))</f>
        <v/>
      </c>
      <c r="AG440" s="600" t="str" cm="1">
        <f t="array" aca="1" ref="AG440" ca="1">IF(OR($B440="",$N440=""),"",IFERROR(IF($C440="売",_xlfn.MINIFS(高値!$E$3:$IT$3,高値!$E$3:$IT$3,"&gt;"&amp;$E440,高値!$E$3:$IT$3,"&lt;="&amp;$AE440,OFFSET(高値!$E$6:$IT$6,MATCH(TEXT($B440,"0"),TEXT(銘柄管理!$B$6:$B$305,"0"),0)-1,0),"&gt;="&amp;$N440),_xlfn.MINIFS(安値!$E$3:$IT$3,安値!$E$3:$IT$3,"&gt;"&amp;$E440,安値!$E$3:$IT$3,"&lt;="&amp;$AE440,OFFSET(安値!$E$6:$IT$6,MATCH(TEXT($B440,"0"),TEXT(銘柄管理!$B$6:$B$305,"0"),0)-1,0),"&lt;="&amp;$N440)),""))</f>
        <v/>
      </c>
      <c r="AH440" s="600" t="str">
        <f>IF(OR($B440="",$M440=""),"",IF(AND(N($AF440)=0,N($AG440)=0),IF(AND(ISNUMBER($H440),$H440&gt;0,IF($C440="売",$H440&gt;=$N440,$H440&lt;=$N440)),"損切確定",IF(AND(ISNUMBER($H440),$H440&gt;0,IF($C440="売",$H440&lt;=$M440,$H440&gt;=$M440)),"利益確定",IF($AE440&lt;=TODAY(),"日数制限","保有中"))),IF(N($AG440)=0,"利益確定",IF(N($AF440)=0,"損切確定",IF($AG440&lt;=$AF440,"損切確定","利益確定")))))</f>
        <v/>
      </c>
      <c r="AI440" s="600" t="str" cm="1">
        <f t="array" ref="AI440">IFERROR(INDEX(始値!$E$6:$IT$305,MATCH(TEXT($B440,"0"),TEXT(銘柄管理!$B$6:$B$305,"0"),0),MATCH($AE440,始値!$E$3:$IT$3,0)),"")</f>
        <v/>
      </c>
      <c r="AJ440" s="608" t="str">
        <f>IF(OR($V440="",$F440="",$G440=""),"",$V440/($F440*$G440))</f>
        <v/>
      </c>
      <c r="AK440" s="600" t="str">
        <f>IF($V440="","",IF($V440&gt;0,"○勝",IF($V440&lt;0,"●負","△引分")))</f>
        <v/>
      </c>
    </row>
    <row r="441" spans="1:37" ht="17.25" customHeight="1">
      <c r="A441" s="622" t="str">
        <f>IF(B441="","",HYPERLINK("https://kabutan.jp/stock/?code="&amp;B441,"株探"))</f>
        <v/>
      </c>
      <c r="D441" s="440" t="str" cm="1">
        <f t="array" ref="D441">_xll.RssMarket(B441, "銘柄名称")</f>
        <v/>
      </c>
      <c r="E441" s="717"/>
      <c r="F441" s="698" t="str" cm="1">
        <f t="array" aca="1" ref="F441" ca="1">IFERROR(_xlfn.LET(_xlpm.r,MATCH(TEXT($B441,"0"),TEXT(銘柄管理!$B$6:$B$305,"0"),0),_xlpm.t,MOD(NOW(),1),_xlpm.c,IF($E441=TODAY(),IF(_xlpm.t&gt;=TIME(15,30,0),NA(),1),IF(MATCH($E441,始値!$E$3:$IT$3,0)=1,1,MATCH($E441,始値!$E$3:$IT$3,0)+1)),_xlpm.v,INDEX(始値!$C$6:$IT$305,_xlpm.r,_xlpm.c),IF(N(_xlpm.v)=0,"",_xlpm.v)),"")</f>
        <v/>
      </c>
      <c r="H441" s="440" t="str" cm="1">
        <f t="array" ref="H441">_xll.RssMarket(B441, "現在値")</f>
        <v/>
      </c>
      <c r="I441" s="440" t="str" cm="1">
        <f t="array" ref="I441">_xll.RssMarket(B441, "出来高加重平均")</f>
        <v/>
      </c>
      <c r="J441" s="704" t="str" cm="1">
        <f t="array" ref="J441">_xll.RssMarket($B441, "前日比")</f>
        <v/>
      </c>
      <c r="K441" s="704" t="str">
        <f>IF(OR(F441="",G441="",H441=""),"",IF(C441="売",(F441-H441)*G441,(H441-F441)*G441))</f>
        <v/>
      </c>
      <c r="L441" s="709" t="str">
        <f>IF(OR(F441="",H441=""),"",IF(C441="売",(F441-H441)/F441,(H441-F441)/F441))</f>
        <v/>
      </c>
      <c r="M441" s="599" t="str">
        <f>IF($F441="","",$F441*IF($C441="売",1-V811設定!$B$4,1+V811設定!$B$4)-MOD($F441*IF($C441="売",1-V811設定!$B$4,1+V811設定!$B$4),IF($F441&lt;=3000,1,IF($F441&lt;=5000,5,IF($F441&lt;=30000,10,IF($F441&lt;=50000,50,IF($F441&lt;=300000,100,500))))))+IF(AND($C441="売",MOD($F441*IF($C441="売",1-V811設定!$B$4,1+V811設定!$B$4),IF($F441&lt;=3000,1,IF($F441&lt;=5000,5,IF($F441&lt;=30000,10,IF($F441&lt;=50000,50,IF($F441&lt;=300000,100,500))))))&gt;0),IF($F441&lt;=3000,1,IF($F441&lt;=5000,5,IF($F441&lt;=30000,10,IF($F441&lt;=50000,50,IF($F441&lt;=300000,100,500))))),0))</f>
      </c>
      <c r="N441" s="599" t="str">
        <f>IF($F441="","",$F441*IF($C441="売",1+V811設定!$B$3,1-V811設定!$B$3)-MOD($F441*IF($C441="売",1+V811設定!$B$3,1-V811設定!$B$3),IF($F441&lt;=3000,1,IF($F441&lt;=5000,5,IF($F441&lt;=30000,10,IF($F441&lt;=50000,50,IF($F441&lt;=300000,100,500))))))+IF(AND($C441="売",MOD($F441*IF($C441="売",1+V811設定!$B$3,1-V811設定!$B$3),IF($F441&lt;=3000,1,IF($F441&lt;=5000,5,IF($F441&lt;=30000,10,IF($F441&lt;=50000,50,IF($F441&lt;=300000,100,500))))))&gt;0),IF($F441&lt;=3000,1,IF($F441&lt;=5000,5,IF($F441&lt;=30000,10,IF($F441&lt;=50000,50,IF($F441&lt;=300000,100,500))))),0))</f>
      </c>
      <c r="O441" s="478" t="str">
        <f>IF(OR($B441="",$F441="",$H441=""),"",IF($S441="✅売却済","―決済済―",IF($C441="売",IF($H441&lt;=$M441,"🟢利確",IF(AND($R441&lt;&gt;"",$H441&gt;=$R441),"🟠TRAIL",IF($H441&gt;=$N441,"🔴損切",IF($W441&gt;=V811設定!$B$6,"⏱時間決済",IF($H441&gt;=$F441*(1+V811設定!$B$3*0.7),"⚠️損切接近","保持継続"))))),IF($H441&gt;=$M441,"🟢利確",IF(AND($R441&lt;&gt;"",$H441&lt;=$R441),"🟠TRAIL",IF($H441&lt;=$N441,"🔴損切",IF($W441&gt;=V811設定!$B$6,"⏱時間決済",IF($H441&lt;=$F441*(1-V811設定!$B$3*0.7),"⚠️損切接近","保持継続"))))))))</f>
      </c>
      <c r="P441" s="445"/>
      <c r="R441" s="440" t="str">
        <f>IF(OR($F441="",$H441="",$N441=""),"",IF($S441="✅売却済","",IF($C441="売",IF($H441&gt;$F441*(1-V811設定!$B$3),$N441,MIN($N441,IF($Q441="",$N441,$Q441*1.03))),IF($H441&lt;$F441*(1+V811設定!$B$3),$N441,MAX($N441,IF($P441="",$N441,$P441*0.97))))))</f>
      </c>
      <c r="S441" s="440" t="str">
        <f>IF(B441="","",IF(T441&lt;&gt;"","✅売却済",IF(OR(H441="",L441=""),"📌保有中",IF(L441&gt;=0.06,"🟢利確推奨",IF(L441&gt;=0.05,"🟡利確直近",IF(L441&gt;=0.045,"🔵トレーリング検討",IF(L441&gt;-0.03,"📌保有中",IF(L441&gt;-0.04,"⚠️損切注意","🔴損切り"))))))))</f>
        <v/>
      </c>
      <c r="T441" s="597"/>
      <c r="U441" s="599"/>
      <c r="V441" s="704" t="str">
        <f>IF(OR(F441="",G441="",U441=""),"",IF(C441="売",(F441-U441)*G441,(U441-F441)*G441))</f>
        <v/>
      </c>
      <c r="W441" s="440" t="str">
        <f>IF(OR($E441="",$B441=""),"",IF($T441&lt;&gt;"",$T441-$E441,TODAY()-$E441)+1)</f>
        <v/>
      </c>
      <c r="X441" s="440" t="str">
        <f>IF(OR($AH441="",$AH441="保有中"),"",$AH441)</f>
        <v/>
      </c>
      <c r="AD441" s="608"/>
      <c r="AE441" s="600" t="str">
        <f>IF($E441="","",WORKDAY($E441,12))</f>
        <v/>
      </c>
      <c r="AF441" s="600" t="str" cm="1">
        <f t="array" aca="1" ref="AF441" ca="1">IF(OR($B441="",$M441=""),"",IFERROR(IF($C441="売",_xlfn.MINIFS(安値!$E$3:$IT$3,安値!$E$3:$IT$3,"&gt;"&amp;$E441,安値!$E$3:$IT$3,"&lt;="&amp;$AE441,OFFSET(安値!$E$6:$IT$6,MATCH(TEXT($B441,"0"),TEXT(銘柄管理!$B$6:$B$305,"0"),0)-1,0),"&lt;="&amp;$M441),_xlfn.MINIFS(高値!$E$3:$IT$3,高値!$E$3:$IT$3,"&gt;"&amp;$E441,高値!$E$3:$IT$3,"&lt;="&amp;$AE441,OFFSET(高値!$E$6:$IT$6,MATCH(TEXT($B441,"0"),TEXT(銘柄管理!$B$6:$B$305,"0"),0)-1,0),"&gt;="&amp;$M441)),""))</f>
        <v/>
      </c>
      <c r="AG441" s="600" t="str" cm="1">
        <f t="array" aca="1" ref="AG441" ca="1">IF(OR($B441="",$N441=""),"",IFERROR(IF($C441="売",_xlfn.MINIFS(高値!$E$3:$IT$3,高値!$E$3:$IT$3,"&gt;"&amp;$E441,高値!$E$3:$IT$3,"&lt;="&amp;$AE441,OFFSET(高値!$E$6:$IT$6,MATCH(TEXT($B441,"0"),TEXT(銘柄管理!$B$6:$B$305,"0"),0)-1,0),"&gt;="&amp;$N441),_xlfn.MINIFS(安値!$E$3:$IT$3,安値!$E$3:$IT$3,"&gt;"&amp;$E441,安値!$E$3:$IT$3,"&lt;="&amp;$AE441,OFFSET(安値!$E$6:$IT$6,MATCH(TEXT($B441,"0"),TEXT(銘柄管理!$B$6:$B$305,"0"),0)-1,0),"&lt;="&amp;$N441)),""))</f>
        <v/>
      </c>
      <c r="AH441" s="600" t="str">
        <f>IF(OR($B441="",$M441=""),"",IF(AND(N($AF441)=0,N($AG441)=0),IF(AND(ISNUMBER($H441),$H441&gt;0,IF($C441="売",$H441&gt;=$N441,$H441&lt;=$N441)),"損切確定",IF(AND(ISNUMBER($H441),$H441&gt;0,IF($C441="売",$H441&lt;=$M441,$H441&gt;=$M441)),"利益確定",IF($AE441&lt;=TODAY(),"日数制限","保有中"))),IF(N($AG441)=0,"利益確定",IF(N($AF441)=0,"損切確定",IF($AG441&lt;=$AF441,"損切確定","利益確定")))))</f>
        <v/>
      </c>
      <c r="AI441" s="600" t="str" cm="1">
        <f t="array" ref="AI441">IFERROR(INDEX(始値!$E$6:$IT$305,MATCH(TEXT($B441,"0"),TEXT(銘柄管理!$B$6:$B$305,"0"),0),MATCH($AE441,始値!$E$3:$IT$3,0)),"")</f>
        <v/>
      </c>
      <c r="AJ441" s="608" t="str">
        <f>IF(OR($V441="",$F441="",$G441=""),"",$V441/($F441*$G441))</f>
        <v/>
      </c>
      <c r="AK441" s="600" t="str">
        <f>IF($V441="","",IF($V441&gt;0,"○勝",IF($V441&lt;0,"●負","△引分")))</f>
        <v/>
      </c>
    </row>
    <row r="442" spans="1:37" ht="17.25" customHeight="1">
      <c r="A442" s="622" t="str">
        <f>IF(B442="","",HYPERLINK("https://kabutan.jp/stock/?code="&amp;B442,"株探"))</f>
        <v/>
      </c>
      <c r="D442" s="440" t="str" cm="1">
        <f t="array" ref="D442">_xll.RssMarket(B442, "銘柄名称")</f>
        <v/>
      </c>
      <c r="E442" s="717"/>
      <c r="F442" s="698" t="str" cm="1">
        <f t="array" aca="1" ref="F442" ca="1">IFERROR(_xlfn.LET(_xlpm.r,MATCH(TEXT($B442,"0"),TEXT(銘柄管理!$B$6:$B$305,"0"),0),_xlpm.t,MOD(NOW(),1),_xlpm.c,IF($E442=TODAY(),IF(_xlpm.t&gt;=TIME(15,30,0),NA(),1),IF(MATCH($E442,始値!$E$3:$IT$3,0)=1,1,MATCH($E442,始値!$E$3:$IT$3,0)+1)),_xlpm.v,INDEX(始値!$C$6:$IT$305,_xlpm.r,_xlpm.c),IF(N(_xlpm.v)=0,"",_xlpm.v)),"")</f>
        <v/>
      </c>
      <c r="H442" s="440" t="str" cm="1">
        <f t="array" ref="H442">_xll.RssMarket(B442, "現在値")</f>
        <v/>
      </c>
      <c r="I442" s="440" t="str" cm="1">
        <f t="array" ref="I442">_xll.RssMarket(B442, "出来高加重平均")</f>
        <v/>
      </c>
      <c r="J442" s="704" t="str" cm="1">
        <f t="array" ref="J442">_xll.RssMarket($B442, "前日比")</f>
        <v/>
      </c>
      <c r="K442" s="704" t="str">
        <f>IF(OR(F442="",G442="",H442=""),"",IF(C442="売",(F442-H442)*G442,(H442-F442)*G442))</f>
        <v/>
      </c>
      <c r="L442" s="709" t="str">
        <f>IF(OR(F442="",H442=""),"",IF(C442="売",(F442-H442)/F442,(H442-F442)/F442))</f>
        <v/>
      </c>
      <c r="M442" s="599" t="str">
        <f>IF($F442="","",$F442*IF($C442="売",1-V811設定!$B$4,1+V811設定!$B$4)-MOD($F442*IF($C442="売",1-V811設定!$B$4,1+V811設定!$B$4),IF($F442&lt;=3000,1,IF($F442&lt;=5000,5,IF($F442&lt;=30000,10,IF($F442&lt;=50000,50,IF($F442&lt;=300000,100,500))))))+IF(AND($C442="売",MOD($F442*IF($C442="売",1-V811設定!$B$4,1+V811設定!$B$4),IF($F442&lt;=3000,1,IF($F442&lt;=5000,5,IF($F442&lt;=30000,10,IF($F442&lt;=50000,50,IF($F442&lt;=300000,100,500))))))&gt;0),IF($F442&lt;=3000,1,IF($F442&lt;=5000,5,IF($F442&lt;=30000,10,IF($F442&lt;=50000,50,IF($F442&lt;=300000,100,500))))),0))</f>
      </c>
      <c r="N442" s="599" t="str">
        <f>IF($F442="","",$F442*IF($C442="売",1+V811設定!$B$3,1-V811設定!$B$3)-MOD($F442*IF($C442="売",1+V811設定!$B$3,1-V811設定!$B$3),IF($F442&lt;=3000,1,IF($F442&lt;=5000,5,IF($F442&lt;=30000,10,IF($F442&lt;=50000,50,IF($F442&lt;=300000,100,500))))))+IF(AND($C442="売",MOD($F442*IF($C442="売",1+V811設定!$B$3,1-V811設定!$B$3),IF($F442&lt;=3000,1,IF($F442&lt;=5000,5,IF($F442&lt;=30000,10,IF($F442&lt;=50000,50,IF($F442&lt;=300000,100,500))))))&gt;0),IF($F442&lt;=3000,1,IF($F442&lt;=5000,5,IF($F442&lt;=30000,10,IF($F442&lt;=50000,50,IF($F442&lt;=300000,100,500))))),0))</f>
      </c>
      <c r="O442" s="478" t="str">
        <f>IF(OR($B442="",$F442="",$H442=""),"",IF($S442="✅売却済","―決済済―",IF($C442="売",IF($H442&lt;=$M442,"🟢利確",IF(AND($R442&lt;&gt;"",$H442&gt;=$R442),"🟠TRAIL",IF($H442&gt;=$N442,"🔴損切",IF($W442&gt;=V811設定!$B$6,"⏱時間決済",IF($H442&gt;=$F442*(1+V811設定!$B$3*0.7),"⚠️損切接近","保持継続"))))),IF($H442&gt;=$M442,"🟢利確",IF(AND($R442&lt;&gt;"",$H442&lt;=$R442),"🟠TRAIL",IF($H442&lt;=$N442,"🔴損切",IF($W442&gt;=V811設定!$B$6,"⏱時間決済",IF($H442&lt;=$F442*(1-V811設定!$B$3*0.7),"⚠️損切接近","保持継続"))))))))</f>
      </c>
      <c r="P442" s="445"/>
      <c r="R442" s="440" t="str">
        <f>IF(OR($F442="",$H442="",$N442=""),"",IF($S442="✅売却済","",IF($C442="売",IF($H442&gt;$F442*(1-V811設定!$B$3),$N442,MIN($N442,IF($Q442="",$N442,$Q442*1.03))),IF($H442&lt;$F442*(1+V811設定!$B$3),$N442,MAX($N442,IF($P442="",$N442,$P442*0.97))))))</f>
      </c>
      <c r="S442" s="440" t="str">
        <f>IF(B442="","",IF(T442&lt;&gt;"","✅売却済",IF(OR(H442="",L442=""),"📌保有中",IF(L442&gt;=0.06,"🟢利確推奨",IF(L442&gt;=0.05,"🟡利確直近",IF(L442&gt;=0.045,"🔵トレーリング検討",IF(L442&gt;-0.03,"📌保有中",IF(L442&gt;-0.04,"⚠️損切注意","🔴損切り"))))))))</f>
        <v/>
      </c>
      <c r="T442" s="597"/>
      <c r="U442" s="599"/>
      <c r="V442" s="704" t="str">
        <f>IF(OR(F442="",G442="",U442=""),"",IF(C442="売",(F442-U442)*G442,(U442-F442)*G442))</f>
        <v/>
      </c>
      <c r="W442" s="440" t="str">
        <f>IF(OR($E442="",$B442=""),"",IF($T442&lt;&gt;"",$T442-$E442,TODAY()-$E442)+1)</f>
        <v/>
      </c>
      <c r="X442" s="440" t="str">
        <f>IF(OR($AH442="",$AH442="保有中"),"",$AH442)</f>
        <v/>
      </c>
      <c r="AD442" s="608"/>
      <c r="AE442" s="600" t="str">
        <f>IF($E442="","",WORKDAY($E442,12))</f>
        <v/>
      </c>
      <c r="AF442" s="600" t="str" cm="1">
        <f t="array" aca="1" ref="AF442" ca="1">IF(OR($B442="",$M442=""),"",IFERROR(IF($C442="売",_xlfn.MINIFS(安値!$E$3:$IT$3,安値!$E$3:$IT$3,"&gt;"&amp;$E442,安値!$E$3:$IT$3,"&lt;="&amp;$AE442,OFFSET(安値!$E$6:$IT$6,MATCH(TEXT($B442,"0"),TEXT(銘柄管理!$B$6:$B$305,"0"),0)-1,0),"&lt;="&amp;$M442),_xlfn.MINIFS(高値!$E$3:$IT$3,高値!$E$3:$IT$3,"&gt;"&amp;$E442,高値!$E$3:$IT$3,"&lt;="&amp;$AE442,OFFSET(高値!$E$6:$IT$6,MATCH(TEXT($B442,"0"),TEXT(銘柄管理!$B$6:$B$305,"0"),0)-1,0),"&gt;="&amp;$M442)),""))</f>
        <v/>
      </c>
      <c r="AG442" s="600" t="str" cm="1">
        <f t="array" aca="1" ref="AG442" ca="1">IF(OR($B442="",$N442=""),"",IFERROR(IF($C442="売",_xlfn.MINIFS(高値!$E$3:$IT$3,高値!$E$3:$IT$3,"&gt;"&amp;$E442,高値!$E$3:$IT$3,"&lt;="&amp;$AE442,OFFSET(高値!$E$6:$IT$6,MATCH(TEXT($B442,"0"),TEXT(銘柄管理!$B$6:$B$305,"0"),0)-1,0),"&gt;="&amp;$N442),_xlfn.MINIFS(安値!$E$3:$IT$3,安値!$E$3:$IT$3,"&gt;"&amp;$E442,安値!$E$3:$IT$3,"&lt;="&amp;$AE442,OFFSET(安値!$E$6:$IT$6,MATCH(TEXT($B442,"0"),TEXT(銘柄管理!$B$6:$B$305,"0"),0)-1,0),"&lt;="&amp;$N442)),""))</f>
        <v/>
      </c>
      <c r="AH442" s="600" t="str">
        <f>IF(OR($B442="",$M442=""),"",IF(AND(N($AF442)=0,N($AG442)=0),IF(AND(ISNUMBER($H442),$H442&gt;0,IF($C442="売",$H442&gt;=$N442,$H442&lt;=$N442)),"損切確定",IF(AND(ISNUMBER($H442),$H442&gt;0,IF($C442="売",$H442&lt;=$M442,$H442&gt;=$M442)),"利益確定",IF($AE442&lt;=TODAY(),"日数制限","保有中"))),IF(N($AG442)=0,"利益確定",IF(N($AF442)=0,"損切確定",IF($AG442&lt;=$AF442,"損切確定","利益確定")))))</f>
        <v/>
      </c>
      <c r="AI442" s="600" t="str" cm="1">
        <f t="array" ref="AI442">IFERROR(INDEX(始値!$E$6:$IT$305,MATCH(TEXT($B442,"0"),TEXT(銘柄管理!$B$6:$B$305,"0"),0),MATCH($AE442,始値!$E$3:$IT$3,0)),"")</f>
        <v/>
      </c>
      <c r="AJ442" s="608" t="str">
        <f>IF(OR($V442="",$F442="",$G442=""),"",$V442/($F442*$G442))</f>
        <v/>
      </c>
      <c r="AK442" s="600" t="str">
        <f>IF($V442="","",IF($V442&gt;0,"○勝",IF($V442&lt;0,"●負","△引分")))</f>
        <v/>
      </c>
    </row>
    <row r="443" spans="1:37" ht="17.25" customHeight="1">
      <c r="A443" s="622" t="str">
        <f>IF(B443="","",HYPERLINK("https://kabutan.jp/stock/?code="&amp;B443,"株探"))</f>
        <v/>
      </c>
      <c r="D443" s="440" t="str" cm="1">
        <f t="array" ref="D443">_xll.RssMarket(B443, "銘柄名称")</f>
        <v/>
      </c>
      <c r="E443" s="717"/>
      <c r="F443" s="698" t="str" cm="1">
        <f t="array" aca="1" ref="F443" ca="1">IFERROR(_xlfn.LET(_xlpm.r,MATCH(TEXT($B443,"0"),TEXT(銘柄管理!$B$6:$B$305,"0"),0),_xlpm.t,MOD(NOW(),1),_xlpm.c,IF($E443=TODAY(),IF(_xlpm.t&gt;=TIME(15,30,0),NA(),1),IF(MATCH($E443,始値!$E$3:$IT$3,0)=1,1,MATCH($E443,始値!$E$3:$IT$3,0)+1)),_xlpm.v,INDEX(始値!$C$6:$IT$305,_xlpm.r,_xlpm.c),IF(N(_xlpm.v)=0,"",_xlpm.v)),"")</f>
        <v/>
      </c>
      <c r="H443" s="440" t="str" cm="1">
        <f t="array" ref="H443">_xll.RssMarket(B443, "現在値")</f>
        <v/>
      </c>
      <c r="I443" s="440" t="str" cm="1">
        <f t="array" ref="I443">_xll.RssMarket(B443, "出来高加重平均")</f>
        <v/>
      </c>
      <c r="J443" s="704" t="str" cm="1">
        <f t="array" ref="J443">_xll.RssMarket($B443, "前日比")</f>
        <v/>
      </c>
      <c r="K443" s="704" t="str">
        <f>IF(OR(F443="",G443="",H443=""),"",IF(C443="売",(F443-H443)*G443,(H443-F443)*G443))</f>
        <v/>
      </c>
      <c r="L443" s="709" t="str">
        <f>IF(OR(F443="",H443=""),"",IF(C443="売",(F443-H443)/F443,(H443-F443)/F443))</f>
        <v/>
      </c>
      <c r="M443" s="599" t="str">
        <f>IF($F443="","",$F443*IF($C443="売",1-V811設定!$B$4,1+V811設定!$B$4)-MOD($F443*IF($C443="売",1-V811設定!$B$4,1+V811設定!$B$4),IF($F443&lt;=3000,1,IF($F443&lt;=5000,5,IF($F443&lt;=30000,10,IF($F443&lt;=50000,50,IF($F443&lt;=300000,100,500))))))+IF(AND($C443="売",MOD($F443*IF($C443="売",1-V811設定!$B$4,1+V811設定!$B$4),IF($F443&lt;=3000,1,IF($F443&lt;=5000,5,IF($F443&lt;=30000,10,IF($F443&lt;=50000,50,IF($F443&lt;=300000,100,500))))))&gt;0),IF($F443&lt;=3000,1,IF($F443&lt;=5000,5,IF($F443&lt;=30000,10,IF($F443&lt;=50000,50,IF($F443&lt;=300000,100,500))))),0))</f>
      </c>
      <c r="N443" s="599" t="str">
        <f>IF($F443="","",$F443*IF($C443="売",1+V811設定!$B$3,1-V811設定!$B$3)-MOD($F443*IF($C443="売",1+V811設定!$B$3,1-V811設定!$B$3),IF($F443&lt;=3000,1,IF($F443&lt;=5000,5,IF($F443&lt;=30000,10,IF($F443&lt;=50000,50,IF($F443&lt;=300000,100,500))))))+IF(AND($C443="売",MOD($F443*IF($C443="売",1+V811設定!$B$3,1-V811設定!$B$3),IF($F443&lt;=3000,1,IF($F443&lt;=5000,5,IF($F443&lt;=30000,10,IF($F443&lt;=50000,50,IF($F443&lt;=300000,100,500))))))&gt;0),IF($F443&lt;=3000,1,IF($F443&lt;=5000,5,IF($F443&lt;=30000,10,IF($F443&lt;=50000,50,IF($F443&lt;=300000,100,500))))),0))</f>
      </c>
      <c r="O443" s="478" t="str">
        <f>IF(OR($B443="",$F443="",$H443=""),"",IF($S443="✅売却済","―決済済―",IF($C443="売",IF($H443&lt;=$M443,"🟢利確",IF(AND($R443&lt;&gt;"",$H443&gt;=$R443),"🟠TRAIL",IF($H443&gt;=$N443,"🔴損切",IF($W443&gt;=V811設定!$B$6,"⏱時間決済",IF($H443&gt;=$F443*(1+V811設定!$B$3*0.7),"⚠️損切接近","保持継続"))))),IF($H443&gt;=$M443,"🟢利確",IF(AND($R443&lt;&gt;"",$H443&lt;=$R443),"🟠TRAIL",IF($H443&lt;=$N443,"🔴損切",IF($W443&gt;=V811設定!$B$6,"⏱時間決済",IF($H443&lt;=$F443*(1-V811設定!$B$3*0.7),"⚠️損切接近","保持継続"))))))))</f>
      </c>
      <c r="P443" s="445"/>
      <c r="R443" s="440" t="str">
        <f>IF(OR($F443="",$H443="",$N443=""),"",IF($S443="✅売却済","",IF($C443="売",IF($H443&gt;$F443*(1-V811設定!$B$3),$N443,MIN($N443,IF($Q443="",$N443,$Q443*1.03))),IF($H443&lt;$F443*(1+V811設定!$B$3),$N443,MAX($N443,IF($P443="",$N443,$P443*0.97))))))</f>
      </c>
      <c r="S443" s="440" t="str">
        <f>IF(B443="","",IF(T443&lt;&gt;"","✅売却済",IF(OR(H443="",L443=""),"📌保有中",IF(L443&gt;=0.06,"🟢利確推奨",IF(L443&gt;=0.05,"🟡利確直近",IF(L443&gt;=0.045,"🔵トレーリング検討",IF(L443&gt;-0.03,"📌保有中",IF(L443&gt;-0.04,"⚠️損切注意","🔴損切り"))))))))</f>
        <v/>
      </c>
      <c r="T443" s="597"/>
      <c r="U443" s="599"/>
      <c r="V443" s="704" t="str">
        <f>IF(OR(F443="",G443="",U443=""),"",IF(C443="売",(F443-U443)*G443,(U443-F443)*G443))</f>
        <v/>
      </c>
      <c r="W443" s="440" t="str">
        <f>IF(OR($E443="",$B443=""),"",IF($T443&lt;&gt;"",$T443-$E443,TODAY()-$E443)+1)</f>
        <v/>
      </c>
      <c r="X443" s="440" t="str">
        <f>IF(OR($AH443="",$AH443="保有中"),"",$AH443)</f>
        <v/>
      </c>
      <c r="AD443" s="608"/>
      <c r="AE443" s="600" t="str">
        <f>IF($E443="","",WORKDAY($E443,12))</f>
        <v/>
      </c>
      <c r="AF443" s="600" t="str" cm="1">
        <f t="array" aca="1" ref="AF443" ca="1">IF(OR($B443="",$M443=""),"",IFERROR(IF($C443="売",_xlfn.MINIFS(安値!$E$3:$IT$3,安値!$E$3:$IT$3,"&gt;"&amp;$E443,安値!$E$3:$IT$3,"&lt;="&amp;$AE443,OFFSET(安値!$E$6:$IT$6,MATCH(TEXT($B443,"0"),TEXT(銘柄管理!$B$6:$B$305,"0"),0)-1,0),"&lt;="&amp;$M443),_xlfn.MINIFS(高値!$E$3:$IT$3,高値!$E$3:$IT$3,"&gt;"&amp;$E443,高値!$E$3:$IT$3,"&lt;="&amp;$AE443,OFFSET(高値!$E$6:$IT$6,MATCH(TEXT($B443,"0"),TEXT(銘柄管理!$B$6:$B$305,"0"),0)-1,0),"&gt;="&amp;$M443)),""))</f>
        <v/>
      </c>
      <c r="AG443" s="600" t="str" cm="1">
        <f t="array" aca="1" ref="AG443" ca="1">IF(OR($B443="",$N443=""),"",IFERROR(IF($C443="売",_xlfn.MINIFS(高値!$E$3:$IT$3,高値!$E$3:$IT$3,"&gt;"&amp;$E443,高値!$E$3:$IT$3,"&lt;="&amp;$AE443,OFFSET(高値!$E$6:$IT$6,MATCH(TEXT($B443,"0"),TEXT(銘柄管理!$B$6:$B$305,"0"),0)-1,0),"&gt;="&amp;$N443),_xlfn.MINIFS(安値!$E$3:$IT$3,安値!$E$3:$IT$3,"&gt;"&amp;$E443,安値!$E$3:$IT$3,"&lt;="&amp;$AE443,OFFSET(安値!$E$6:$IT$6,MATCH(TEXT($B443,"0"),TEXT(銘柄管理!$B$6:$B$305,"0"),0)-1,0),"&lt;="&amp;$N443)),""))</f>
        <v/>
      </c>
      <c r="AH443" s="600" t="str">
        <f>IF(OR($B443="",$M443=""),"",IF(AND(N($AF443)=0,N($AG443)=0),IF(AND(ISNUMBER($H443),$H443&gt;0,IF($C443="売",$H443&gt;=$N443,$H443&lt;=$N443)),"損切確定",IF(AND(ISNUMBER($H443),$H443&gt;0,IF($C443="売",$H443&lt;=$M443,$H443&gt;=$M443)),"利益確定",IF($AE443&lt;=TODAY(),"日数制限","保有中"))),IF(N($AG443)=0,"利益確定",IF(N($AF443)=0,"損切確定",IF($AG443&lt;=$AF443,"損切確定","利益確定")))))</f>
        <v/>
      </c>
      <c r="AI443" s="600" t="str" cm="1">
        <f t="array" ref="AI443">IFERROR(INDEX(始値!$E$6:$IT$305,MATCH(TEXT($B443,"0"),TEXT(銘柄管理!$B$6:$B$305,"0"),0),MATCH($AE443,始値!$E$3:$IT$3,0)),"")</f>
        <v/>
      </c>
      <c r="AJ443" s="608" t="str">
        <f>IF(OR($V443="",$F443="",$G443=""),"",$V443/($F443*$G443))</f>
        <v/>
      </c>
      <c r="AK443" s="600" t="str">
        <f>IF($V443="","",IF($V443&gt;0,"○勝",IF($V443&lt;0,"●負","△引分")))</f>
        <v/>
      </c>
    </row>
    <row r="444" spans="1:37" ht="17.25" customHeight="1">
      <c r="A444" s="622" t="str">
        <f>IF(B444="","",HYPERLINK("https://kabutan.jp/stock/?code="&amp;B444,"株探"))</f>
        <v/>
      </c>
      <c r="D444" s="440" t="str" cm="1">
        <f t="array" ref="D444">_xll.RssMarket(B444, "銘柄名称")</f>
        <v/>
      </c>
      <c r="E444" s="717"/>
      <c r="F444" s="698" t="str" cm="1">
        <f t="array" aca="1" ref="F444" ca="1">IFERROR(_xlfn.LET(_xlpm.r,MATCH(TEXT($B444,"0"),TEXT(銘柄管理!$B$6:$B$305,"0"),0),_xlpm.t,MOD(NOW(),1),_xlpm.c,IF($E444=TODAY(),IF(_xlpm.t&gt;=TIME(15,30,0),NA(),1),IF(MATCH($E444,始値!$E$3:$IT$3,0)=1,1,MATCH($E444,始値!$E$3:$IT$3,0)+1)),_xlpm.v,INDEX(始値!$C$6:$IT$305,_xlpm.r,_xlpm.c),IF(N(_xlpm.v)=0,"",_xlpm.v)),"")</f>
        <v/>
      </c>
      <c r="H444" s="440" t="str" cm="1">
        <f t="array" ref="H444">_xll.RssMarket(B444, "現在値")</f>
        <v/>
      </c>
      <c r="I444" s="440" t="str" cm="1">
        <f t="array" ref="I444">_xll.RssMarket(B444, "出来高加重平均")</f>
        <v/>
      </c>
      <c r="J444" s="704" t="str" cm="1">
        <f t="array" ref="J444">_xll.RssMarket($B444, "前日比")</f>
        <v/>
      </c>
      <c r="K444" s="704" t="str">
        <f>IF(OR(F444="",G444="",H444=""),"",IF(C444="売",(F444-H444)*G444,(H444-F444)*G444))</f>
        <v/>
      </c>
      <c r="L444" s="709" t="str">
        <f>IF(OR(F444="",H444=""),"",IF(C444="売",(F444-H444)/F444,(H444-F444)/F444))</f>
        <v/>
      </c>
      <c r="M444" s="599" t="str">
        <f>IF($F444="","",$F444*IF($C444="売",1-V811設定!$B$4,1+V811設定!$B$4)-MOD($F444*IF($C444="売",1-V811設定!$B$4,1+V811設定!$B$4),IF($F444&lt;=3000,1,IF($F444&lt;=5000,5,IF($F444&lt;=30000,10,IF($F444&lt;=50000,50,IF($F444&lt;=300000,100,500))))))+IF(AND($C444="売",MOD($F444*IF($C444="売",1-V811設定!$B$4,1+V811設定!$B$4),IF($F444&lt;=3000,1,IF($F444&lt;=5000,5,IF($F444&lt;=30000,10,IF($F444&lt;=50000,50,IF($F444&lt;=300000,100,500))))))&gt;0),IF($F444&lt;=3000,1,IF($F444&lt;=5000,5,IF($F444&lt;=30000,10,IF($F444&lt;=50000,50,IF($F444&lt;=300000,100,500))))),0))</f>
      </c>
      <c r="N444" s="599" t="str">
        <f>IF($F444="","",$F444*IF($C444="売",1+V811設定!$B$3,1-V811設定!$B$3)-MOD($F444*IF($C444="売",1+V811設定!$B$3,1-V811設定!$B$3),IF($F444&lt;=3000,1,IF($F444&lt;=5000,5,IF($F444&lt;=30000,10,IF($F444&lt;=50000,50,IF($F444&lt;=300000,100,500))))))+IF(AND($C444="売",MOD($F444*IF($C444="売",1+V811設定!$B$3,1-V811設定!$B$3),IF($F444&lt;=3000,1,IF($F444&lt;=5000,5,IF($F444&lt;=30000,10,IF($F444&lt;=50000,50,IF($F444&lt;=300000,100,500))))))&gt;0),IF($F444&lt;=3000,1,IF($F444&lt;=5000,5,IF($F444&lt;=30000,10,IF($F444&lt;=50000,50,IF($F444&lt;=300000,100,500))))),0))</f>
      </c>
      <c r="O444" s="478" t="str">
        <f>IF(OR($B444="",$F444="",$H444=""),"",IF($S444="✅売却済","―決済済―",IF($C444="売",IF($H444&lt;=$M444,"🟢利確",IF(AND($R444&lt;&gt;"",$H444&gt;=$R444),"🟠TRAIL",IF($H444&gt;=$N444,"🔴損切",IF($W444&gt;=V811設定!$B$6,"⏱時間決済",IF($H444&gt;=$F444*(1+V811設定!$B$3*0.7),"⚠️損切接近","保持継続"))))),IF($H444&gt;=$M444,"🟢利確",IF(AND($R444&lt;&gt;"",$H444&lt;=$R444),"🟠TRAIL",IF($H444&lt;=$N444,"🔴損切",IF($W444&gt;=V811設定!$B$6,"⏱時間決済",IF($H444&lt;=$F444*(1-V811設定!$B$3*0.7),"⚠️損切接近","保持継続"))))))))</f>
      </c>
      <c r="P444" s="445"/>
      <c r="R444" s="440" t="str">
        <f>IF(OR($F444="",$H444="",$N444=""),"",IF($S444="✅売却済","",IF($C444="売",IF($H444&gt;$F444*(1-V811設定!$B$3),$N444,MIN($N444,IF($Q444="",$N444,$Q444*1.03))),IF($H444&lt;$F444*(1+V811設定!$B$3),$N444,MAX($N444,IF($P444="",$N444,$P444*0.97))))))</f>
      </c>
      <c r="S444" s="440" t="str">
        <f>IF(B444="","",IF(T444&lt;&gt;"","✅売却済",IF(OR(H444="",L444=""),"📌保有中",IF(L444&gt;=0.06,"🟢利確推奨",IF(L444&gt;=0.05,"🟡利確直近",IF(L444&gt;=0.045,"🔵トレーリング検討",IF(L444&gt;-0.03,"📌保有中",IF(L444&gt;-0.04,"⚠️損切注意","🔴損切り"))))))))</f>
        <v/>
      </c>
      <c r="T444" s="597"/>
      <c r="U444" s="599"/>
      <c r="V444" s="704" t="str">
        <f>IF(OR(F444="",G444="",U444=""),"",IF(C444="売",(F444-U444)*G444,(U444-F444)*G444))</f>
        <v/>
      </c>
      <c r="W444" s="440" t="str">
        <f>IF(OR($E444="",$B444=""),"",IF($T444&lt;&gt;"",$T444-$E444,TODAY()-$E444)+1)</f>
        <v/>
      </c>
      <c r="X444" s="440" t="str">
        <f>IF(OR($AH444="",$AH444="保有中"),"",$AH444)</f>
        <v/>
      </c>
      <c r="AD444" s="608"/>
      <c r="AE444" s="600" t="str">
        <f>IF($E444="","",WORKDAY($E444,12))</f>
        <v/>
      </c>
      <c r="AF444" s="600" t="str" cm="1">
        <f t="array" aca="1" ref="AF444" ca="1">IF(OR($B444="",$M444=""),"",IFERROR(IF($C444="売",_xlfn.MINIFS(安値!$E$3:$IT$3,安値!$E$3:$IT$3,"&gt;"&amp;$E444,安値!$E$3:$IT$3,"&lt;="&amp;$AE444,OFFSET(安値!$E$6:$IT$6,MATCH(TEXT($B444,"0"),TEXT(銘柄管理!$B$6:$B$305,"0"),0)-1,0),"&lt;="&amp;$M444),_xlfn.MINIFS(高値!$E$3:$IT$3,高値!$E$3:$IT$3,"&gt;"&amp;$E444,高値!$E$3:$IT$3,"&lt;="&amp;$AE444,OFFSET(高値!$E$6:$IT$6,MATCH(TEXT($B444,"0"),TEXT(銘柄管理!$B$6:$B$305,"0"),0)-1,0),"&gt;="&amp;$M444)),""))</f>
        <v/>
      </c>
      <c r="AG444" s="600" t="str" cm="1">
        <f t="array" aca="1" ref="AG444" ca="1">IF(OR($B444="",$N444=""),"",IFERROR(IF($C444="売",_xlfn.MINIFS(高値!$E$3:$IT$3,高値!$E$3:$IT$3,"&gt;"&amp;$E444,高値!$E$3:$IT$3,"&lt;="&amp;$AE444,OFFSET(高値!$E$6:$IT$6,MATCH(TEXT($B444,"0"),TEXT(銘柄管理!$B$6:$B$305,"0"),0)-1,0),"&gt;="&amp;$N444),_xlfn.MINIFS(安値!$E$3:$IT$3,安値!$E$3:$IT$3,"&gt;"&amp;$E444,安値!$E$3:$IT$3,"&lt;="&amp;$AE444,OFFSET(安値!$E$6:$IT$6,MATCH(TEXT($B444,"0"),TEXT(銘柄管理!$B$6:$B$305,"0"),0)-1,0),"&lt;="&amp;$N444)),""))</f>
        <v/>
      </c>
      <c r="AH444" s="600" t="str">
        <f>IF(OR($B444="",$M444=""),"",IF(AND(N($AF444)=0,N($AG444)=0),IF(AND(ISNUMBER($H444),$H444&gt;0,IF($C444="売",$H444&gt;=$N444,$H444&lt;=$N444)),"損切確定",IF(AND(ISNUMBER($H444),$H444&gt;0,IF($C444="売",$H444&lt;=$M444,$H444&gt;=$M444)),"利益確定",IF($AE444&lt;=TODAY(),"日数制限","保有中"))),IF(N($AG444)=0,"利益確定",IF(N($AF444)=0,"損切確定",IF($AG444&lt;=$AF444,"損切確定","利益確定")))))</f>
        <v/>
      </c>
      <c r="AI444" s="600" t="str" cm="1">
        <f t="array" ref="AI444">IFERROR(INDEX(始値!$E$6:$IT$305,MATCH(TEXT($B444,"0"),TEXT(銘柄管理!$B$6:$B$305,"0"),0),MATCH($AE444,始値!$E$3:$IT$3,0)),"")</f>
        <v/>
      </c>
      <c r="AJ444" s="608" t="str">
        <f>IF(OR($V444="",$F444="",$G444=""),"",$V444/($F444*$G444))</f>
        <v/>
      </c>
      <c r="AK444" s="600" t="str">
        <f>IF($V444="","",IF($V444&gt;0,"○勝",IF($V444&lt;0,"●負","△引分")))</f>
        <v/>
      </c>
    </row>
    <row r="445" spans="1:37" ht="17.25" customHeight="1">
      <c r="A445" s="622" t="str">
        <f>IF(B445="","",HYPERLINK("https://kabutan.jp/stock/?code="&amp;B445,"株探"))</f>
        <v/>
      </c>
      <c r="D445" s="440" t="str" cm="1">
        <f t="array" ref="D445">_xll.RssMarket(B445, "銘柄名称")</f>
        <v/>
      </c>
      <c r="E445" s="717"/>
      <c r="F445" s="698" t="str" cm="1">
        <f t="array" aca="1" ref="F445" ca="1">IFERROR(_xlfn.LET(_xlpm.r,MATCH(TEXT($B445,"0"),TEXT(銘柄管理!$B$6:$B$305,"0"),0),_xlpm.t,MOD(NOW(),1),_xlpm.c,IF($E445=TODAY(),IF(_xlpm.t&gt;=TIME(15,30,0),NA(),1),IF(MATCH($E445,始値!$E$3:$IT$3,0)=1,1,MATCH($E445,始値!$E$3:$IT$3,0)+1)),_xlpm.v,INDEX(始値!$C$6:$IT$305,_xlpm.r,_xlpm.c),IF(N(_xlpm.v)=0,"",_xlpm.v)),"")</f>
        <v/>
      </c>
      <c r="H445" s="440" t="str" cm="1">
        <f t="array" ref="H445">_xll.RssMarket(B445, "現在値")</f>
        <v/>
      </c>
      <c r="I445" s="440" t="str" cm="1">
        <f t="array" ref="I445">_xll.RssMarket(B445, "出来高加重平均")</f>
        <v/>
      </c>
      <c r="J445" s="704" t="str" cm="1">
        <f t="array" ref="J445">_xll.RssMarket($B445, "前日比")</f>
        <v/>
      </c>
      <c r="K445" s="704" t="str">
        <f>IF(OR(F445="",G445="",H445=""),"",IF(C445="売",(F445-H445)*G445,(H445-F445)*G445))</f>
        <v/>
      </c>
      <c r="L445" s="709" t="str">
        <f>IF(OR(F445="",H445=""),"",IF(C445="売",(F445-H445)/F445,(H445-F445)/F445))</f>
        <v/>
      </c>
      <c r="M445" s="599" t="str">
        <f>IF($F445="","",$F445*IF($C445="売",1-V811設定!$B$4,1+V811設定!$B$4)-MOD($F445*IF($C445="売",1-V811設定!$B$4,1+V811設定!$B$4),IF($F445&lt;=3000,1,IF($F445&lt;=5000,5,IF($F445&lt;=30000,10,IF($F445&lt;=50000,50,IF($F445&lt;=300000,100,500))))))+IF(AND($C445="売",MOD($F445*IF($C445="売",1-V811設定!$B$4,1+V811設定!$B$4),IF($F445&lt;=3000,1,IF($F445&lt;=5000,5,IF($F445&lt;=30000,10,IF($F445&lt;=50000,50,IF($F445&lt;=300000,100,500))))))&gt;0),IF($F445&lt;=3000,1,IF($F445&lt;=5000,5,IF($F445&lt;=30000,10,IF($F445&lt;=50000,50,IF($F445&lt;=300000,100,500))))),0))</f>
      </c>
      <c r="N445" s="599" t="str">
        <f>IF($F445="","",$F445*IF($C445="売",1+V811設定!$B$3,1-V811設定!$B$3)-MOD($F445*IF($C445="売",1+V811設定!$B$3,1-V811設定!$B$3),IF($F445&lt;=3000,1,IF($F445&lt;=5000,5,IF($F445&lt;=30000,10,IF($F445&lt;=50000,50,IF($F445&lt;=300000,100,500))))))+IF(AND($C445="売",MOD($F445*IF($C445="売",1+V811設定!$B$3,1-V811設定!$B$3),IF($F445&lt;=3000,1,IF($F445&lt;=5000,5,IF($F445&lt;=30000,10,IF($F445&lt;=50000,50,IF($F445&lt;=300000,100,500))))))&gt;0),IF($F445&lt;=3000,1,IF($F445&lt;=5000,5,IF($F445&lt;=30000,10,IF($F445&lt;=50000,50,IF($F445&lt;=300000,100,500))))),0))</f>
      </c>
      <c r="O445" s="478" t="str">
        <f>IF(OR($B445="",$F445="",$H445=""),"",IF($S445="✅売却済","―決済済―",IF($C445="売",IF($H445&lt;=$M445,"🟢利確",IF(AND($R445&lt;&gt;"",$H445&gt;=$R445),"🟠TRAIL",IF($H445&gt;=$N445,"🔴損切",IF($W445&gt;=V811設定!$B$6,"⏱時間決済",IF($H445&gt;=$F445*(1+V811設定!$B$3*0.7),"⚠️損切接近","保持継続"))))),IF($H445&gt;=$M445,"🟢利確",IF(AND($R445&lt;&gt;"",$H445&lt;=$R445),"🟠TRAIL",IF($H445&lt;=$N445,"🔴損切",IF($W445&gt;=V811設定!$B$6,"⏱時間決済",IF($H445&lt;=$F445*(1-V811設定!$B$3*0.7),"⚠️損切接近","保持継続"))))))))</f>
      </c>
      <c r="P445" s="445"/>
      <c r="R445" s="440" t="str">
        <f>IF(OR($F445="",$H445="",$N445=""),"",IF($S445="✅売却済","",IF($C445="売",IF($H445&gt;$F445*(1-V811設定!$B$3),$N445,MIN($N445,IF($Q445="",$N445,$Q445*1.03))),IF($H445&lt;$F445*(1+V811設定!$B$3),$N445,MAX($N445,IF($P445="",$N445,$P445*0.97))))))</f>
      </c>
      <c r="S445" s="440" t="str">
        <f>IF(B445="","",IF(T445&lt;&gt;"","✅売却済",IF(OR(H445="",L445=""),"📌保有中",IF(L445&gt;=0.06,"🟢利確推奨",IF(L445&gt;=0.05,"🟡利確直近",IF(L445&gt;=0.045,"🔵トレーリング検討",IF(L445&gt;-0.03,"📌保有中",IF(L445&gt;-0.04,"⚠️損切注意","🔴損切り"))))))))</f>
        <v/>
      </c>
      <c r="T445" s="597"/>
      <c r="U445" s="599"/>
      <c r="V445" s="704" t="str">
        <f>IF(OR(F445="",G445="",U445=""),"",IF(C445="売",(F445-U445)*G445,(U445-F445)*G445))</f>
        <v/>
      </c>
      <c r="W445" s="440" t="str">
        <f>IF(OR($E445="",$B445=""),"",IF($T445&lt;&gt;"",$T445-$E445,TODAY()-$E445)+1)</f>
        <v/>
      </c>
      <c r="X445" s="440" t="str">
        <f>IF(OR($AH445="",$AH445="保有中"),"",$AH445)</f>
        <v/>
      </c>
      <c r="AD445" s="608"/>
      <c r="AE445" s="600" t="str">
        <f>IF($E445="","",WORKDAY($E445,12))</f>
        <v/>
      </c>
      <c r="AF445" s="600" t="str" cm="1">
        <f t="array" aca="1" ref="AF445" ca="1">IF(OR($B445="",$M445=""),"",IFERROR(IF($C445="売",_xlfn.MINIFS(安値!$E$3:$IT$3,安値!$E$3:$IT$3,"&gt;"&amp;$E445,安値!$E$3:$IT$3,"&lt;="&amp;$AE445,OFFSET(安値!$E$6:$IT$6,MATCH(TEXT($B445,"0"),TEXT(銘柄管理!$B$6:$B$305,"0"),0)-1,0),"&lt;="&amp;$M445),_xlfn.MINIFS(高値!$E$3:$IT$3,高値!$E$3:$IT$3,"&gt;"&amp;$E445,高値!$E$3:$IT$3,"&lt;="&amp;$AE445,OFFSET(高値!$E$6:$IT$6,MATCH(TEXT($B445,"0"),TEXT(銘柄管理!$B$6:$B$305,"0"),0)-1,0),"&gt;="&amp;$M445)),""))</f>
        <v/>
      </c>
      <c r="AG445" s="600" t="str" cm="1">
        <f t="array" aca="1" ref="AG445" ca="1">IF(OR($B445="",$N445=""),"",IFERROR(IF($C445="売",_xlfn.MINIFS(高値!$E$3:$IT$3,高値!$E$3:$IT$3,"&gt;"&amp;$E445,高値!$E$3:$IT$3,"&lt;="&amp;$AE445,OFFSET(高値!$E$6:$IT$6,MATCH(TEXT($B445,"0"),TEXT(銘柄管理!$B$6:$B$305,"0"),0)-1,0),"&gt;="&amp;$N445),_xlfn.MINIFS(安値!$E$3:$IT$3,安値!$E$3:$IT$3,"&gt;"&amp;$E445,安値!$E$3:$IT$3,"&lt;="&amp;$AE445,OFFSET(安値!$E$6:$IT$6,MATCH(TEXT($B445,"0"),TEXT(銘柄管理!$B$6:$B$305,"0"),0)-1,0),"&lt;="&amp;$N445)),""))</f>
        <v/>
      </c>
      <c r="AH445" s="600" t="str">
        <f>IF(OR($B445="",$M445=""),"",IF(AND(N($AF445)=0,N($AG445)=0),IF(AND(ISNUMBER($H445),$H445&gt;0,IF($C445="売",$H445&gt;=$N445,$H445&lt;=$N445)),"損切確定",IF(AND(ISNUMBER($H445),$H445&gt;0,IF($C445="売",$H445&lt;=$M445,$H445&gt;=$M445)),"利益確定",IF($AE445&lt;=TODAY(),"日数制限","保有中"))),IF(N($AG445)=0,"利益確定",IF(N($AF445)=0,"損切確定",IF($AG445&lt;=$AF445,"損切確定","利益確定")))))</f>
        <v/>
      </c>
      <c r="AI445" s="600" t="str" cm="1">
        <f t="array" ref="AI445">IFERROR(INDEX(始値!$E$6:$IT$305,MATCH(TEXT($B445,"0"),TEXT(銘柄管理!$B$6:$B$305,"0"),0),MATCH($AE445,始値!$E$3:$IT$3,0)),"")</f>
        <v/>
      </c>
      <c r="AJ445" s="608" t="str">
        <f>IF(OR($V445="",$F445="",$G445=""),"",$V445/($F445*$G445))</f>
        <v/>
      </c>
      <c r="AK445" s="600" t="str">
        <f>IF($V445="","",IF($V445&gt;0,"○勝",IF($V445&lt;0,"●負","△引分")))</f>
        <v/>
      </c>
    </row>
    <row r="446" spans="1:37" ht="17.25" customHeight="1">
      <c r="A446" s="622" t="str">
        <f>IF(B446="","",HYPERLINK("https://kabutan.jp/stock/?code="&amp;B446,"株探"))</f>
        <v/>
      </c>
      <c r="D446" s="440" t="str" cm="1">
        <f t="array" ref="D446">_xll.RssMarket(B446, "銘柄名称")</f>
        <v/>
      </c>
      <c r="E446" s="717"/>
      <c r="F446" s="698" t="str" cm="1">
        <f t="array" aca="1" ref="F446" ca="1">IFERROR(_xlfn.LET(_xlpm.r,MATCH(TEXT($B446,"0"),TEXT(銘柄管理!$B$6:$B$305,"0"),0),_xlpm.t,MOD(NOW(),1),_xlpm.c,IF($E446=TODAY(),IF(_xlpm.t&gt;=TIME(15,30,0),NA(),1),IF(MATCH($E446,始値!$E$3:$IT$3,0)=1,1,MATCH($E446,始値!$E$3:$IT$3,0)+1)),_xlpm.v,INDEX(始値!$C$6:$IT$305,_xlpm.r,_xlpm.c),IF(N(_xlpm.v)=0,"",_xlpm.v)),"")</f>
        <v/>
      </c>
      <c r="H446" s="440" t="str" cm="1">
        <f t="array" ref="H446">_xll.RssMarket(B446, "現在値")</f>
        <v/>
      </c>
      <c r="I446" s="440" t="str" cm="1">
        <f t="array" ref="I446">_xll.RssMarket(B446, "出来高加重平均")</f>
        <v/>
      </c>
      <c r="J446" s="704" t="str" cm="1">
        <f t="array" ref="J446">_xll.RssMarket($B446, "前日比")</f>
        <v/>
      </c>
      <c r="K446" s="704" t="str">
        <f>IF(OR(F446="",G446="",H446=""),"",IF(C446="売",(F446-H446)*G446,(H446-F446)*G446))</f>
        <v/>
      </c>
      <c r="L446" s="709" t="str">
        <f>IF(OR(F446="",H446=""),"",IF(C446="売",(F446-H446)/F446,(H446-F446)/F446))</f>
        <v/>
      </c>
      <c r="M446" s="599" t="str">
        <f>IF($F446="","",$F446*IF($C446="売",1-V811設定!$B$4,1+V811設定!$B$4)-MOD($F446*IF($C446="売",1-V811設定!$B$4,1+V811設定!$B$4),IF($F446&lt;=3000,1,IF($F446&lt;=5000,5,IF($F446&lt;=30000,10,IF($F446&lt;=50000,50,IF($F446&lt;=300000,100,500))))))+IF(AND($C446="売",MOD($F446*IF($C446="売",1-V811設定!$B$4,1+V811設定!$B$4),IF($F446&lt;=3000,1,IF($F446&lt;=5000,5,IF($F446&lt;=30000,10,IF($F446&lt;=50000,50,IF($F446&lt;=300000,100,500))))))&gt;0),IF($F446&lt;=3000,1,IF($F446&lt;=5000,5,IF($F446&lt;=30000,10,IF($F446&lt;=50000,50,IF($F446&lt;=300000,100,500))))),0))</f>
      </c>
      <c r="N446" s="599" t="str">
        <f>IF($F446="","",$F446*IF($C446="売",1+V811設定!$B$3,1-V811設定!$B$3)-MOD($F446*IF($C446="売",1+V811設定!$B$3,1-V811設定!$B$3),IF($F446&lt;=3000,1,IF($F446&lt;=5000,5,IF($F446&lt;=30000,10,IF($F446&lt;=50000,50,IF($F446&lt;=300000,100,500))))))+IF(AND($C446="売",MOD($F446*IF($C446="売",1+V811設定!$B$3,1-V811設定!$B$3),IF($F446&lt;=3000,1,IF($F446&lt;=5000,5,IF($F446&lt;=30000,10,IF($F446&lt;=50000,50,IF($F446&lt;=300000,100,500))))))&gt;0),IF($F446&lt;=3000,1,IF($F446&lt;=5000,5,IF($F446&lt;=30000,10,IF($F446&lt;=50000,50,IF($F446&lt;=300000,100,500))))),0))</f>
      </c>
      <c r="O446" s="478" t="str">
        <f>IF(OR($B446="",$F446="",$H446=""),"",IF($S446="✅売却済","―決済済―",IF($C446="売",IF($H446&lt;=$M446,"🟢利確",IF(AND($R446&lt;&gt;"",$H446&gt;=$R446),"🟠TRAIL",IF($H446&gt;=$N446,"🔴損切",IF($W446&gt;=V811設定!$B$6,"⏱時間決済",IF($H446&gt;=$F446*(1+V811設定!$B$3*0.7),"⚠️損切接近","保持継続"))))),IF($H446&gt;=$M446,"🟢利確",IF(AND($R446&lt;&gt;"",$H446&lt;=$R446),"🟠TRAIL",IF($H446&lt;=$N446,"🔴損切",IF($W446&gt;=V811設定!$B$6,"⏱時間決済",IF($H446&lt;=$F446*(1-V811設定!$B$3*0.7),"⚠️損切接近","保持継続"))))))))</f>
      </c>
      <c r="P446" s="445"/>
      <c r="R446" s="440" t="str">
        <f>IF(OR($F446="",$H446="",$N446=""),"",IF($S446="✅売却済","",IF($C446="売",IF($H446&gt;$F446*(1-V811設定!$B$3),$N446,MIN($N446,IF($Q446="",$N446,$Q446*1.03))),IF($H446&lt;$F446*(1+V811設定!$B$3),$N446,MAX($N446,IF($P446="",$N446,$P446*0.97))))))</f>
      </c>
      <c r="S446" s="440" t="str">
        <f>IF(B446="","",IF(T446&lt;&gt;"","✅売却済",IF(OR(H446="",L446=""),"📌保有中",IF(L446&gt;=0.06,"🟢利確推奨",IF(L446&gt;=0.05,"🟡利確直近",IF(L446&gt;=0.045,"🔵トレーリング検討",IF(L446&gt;-0.03,"📌保有中",IF(L446&gt;-0.04,"⚠️損切注意","🔴損切り"))))))))</f>
        <v/>
      </c>
      <c r="T446" s="597"/>
      <c r="U446" s="599"/>
      <c r="V446" s="704" t="str">
        <f>IF(OR(F446="",G446="",U446=""),"",IF(C446="売",(F446-U446)*G446,(U446-F446)*G446))</f>
        <v/>
      </c>
      <c r="W446" s="440" t="str">
        <f>IF(OR($E446="",$B446=""),"",IF($T446&lt;&gt;"",$T446-$E446,TODAY()-$E446)+1)</f>
        <v/>
      </c>
      <c r="X446" s="440" t="str">
        <f>IF(OR($AH446="",$AH446="保有中"),"",$AH446)</f>
        <v/>
      </c>
      <c r="AD446" s="608"/>
      <c r="AE446" s="600" t="str">
        <f>IF($E446="","",WORKDAY($E446,12))</f>
        <v/>
      </c>
      <c r="AF446" s="600" t="str" cm="1">
        <f t="array" aca="1" ref="AF446" ca="1">IF(OR($B446="",$M446=""),"",IFERROR(IF($C446="売",_xlfn.MINIFS(安値!$E$3:$IT$3,安値!$E$3:$IT$3,"&gt;"&amp;$E446,安値!$E$3:$IT$3,"&lt;="&amp;$AE446,OFFSET(安値!$E$6:$IT$6,MATCH(TEXT($B446,"0"),TEXT(銘柄管理!$B$6:$B$305,"0"),0)-1,0),"&lt;="&amp;$M446),_xlfn.MINIFS(高値!$E$3:$IT$3,高値!$E$3:$IT$3,"&gt;"&amp;$E446,高値!$E$3:$IT$3,"&lt;="&amp;$AE446,OFFSET(高値!$E$6:$IT$6,MATCH(TEXT($B446,"0"),TEXT(銘柄管理!$B$6:$B$305,"0"),0)-1,0),"&gt;="&amp;$M446)),""))</f>
        <v/>
      </c>
      <c r="AG446" s="600" t="str" cm="1">
        <f t="array" aca="1" ref="AG446" ca="1">IF(OR($B446="",$N446=""),"",IFERROR(IF($C446="売",_xlfn.MINIFS(高値!$E$3:$IT$3,高値!$E$3:$IT$3,"&gt;"&amp;$E446,高値!$E$3:$IT$3,"&lt;="&amp;$AE446,OFFSET(高値!$E$6:$IT$6,MATCH(TEXT($B446,"0"),TEXT(銘柄管理!$B$6:$B$305,"0"),0)-1,0),"&gt;="&amp;$N446),_xlfn.MINIFS(安値!$E$3:$IT$3,安値!$E$3:$IT$3,"&gt;"&amp;$E446,安値!$E$3:$IT$3,"&lt;="&amp;$AE446,OFFSET(安値!$E$6:$IT$6,MATCH(TEXT($B446,"0"),TEXT(銘柄管理!$B$6:$B$305,"0"),0)-1,0),"&lt;="&amp;$N446)),""))</f>
        <v/>
      </c>
      <c r="AH446" s="600" t="str">
        <f>IF(OR($B446="",$M446=""),"",IF(AND(N($AF446)=0,N($AG446)=0),IF(AND(ISNUMBER($H446),$H446&gt;0,IF($C446="売",$H446&gt;=$N446,$H446&lt;=$N446)),"損切確定",IF(AND(ISNUMBER($H446),$H446&gt;0,IF($C446="売",$H446&lt;=$M446,$H446&gt;=$M446)),"利益確定",IF($AE446&lt;=TODAY(),"日数制限","保有中"))),IF(N($AG446)=0,"利益確定",IF(N($AF446)=0,"損切確定",IF($AG446&lt;=$AF446,"損切確定","利益確定")))))</f>
        <v/>
      </c>
      <c r="AI446" s="600" t="str" cm="1">
        <f t="array" ref="AI446">IFERROR(INDEX(始値!$E$6:$IT$305,MATCH(TEXT($B446,"0"),TEXT(銘柄管理!$B$6:$B$305,"0"),0),MATCH($AE446,始値!$E$3:$IT$3,0)),"")</f>
        <v/>
      </c>
      <c r="AJ446" s="608" t="str">
        <f>IF(OR($V446="",$F446="",$G446=""),"",$V446/($F446*$G446))</f>
        <v/>
      </c>
      <c r="AK446" s="600" t="str">
        <f>IF($V446="","",IF($V446&gt;0,"○勝",IF($V446&lt;0,"●負","△引分")))</f>
        <v/>
      </c>
    </row>
    <row r="447" spans="1:37" ht="17.25" customHeight="1">
      <c r="A447" s="622" t="str">
        <f>IF(B447="","",HYPERLINK("https://kabutan.jp/stock/?code="&amp;B447,"株探"))</f>
        <v/>
      </c>
      <c r="D447" s="440" t="str" cm="1">
        <f t="array" ref="D447">_xll.RssMarket(B447, "銘柄名称")</f>
        <v/>
      </c>
      <c r="E447" s="717"/>
      <c r="F447" s="698" t="str" cm="1">
        <f t="array" aca="1" ref="F447" ca="1">IFERROR(_xlfn.LET(_xlpm.r,MATCH(TEXT($B447,"0"),TEXT(銘柄管理!$B$6:$B$305,"0"),0),_xlpm.t,MOD(NOW(),1),_xlpm.c,IF($E447=TODAY(),IF(_xlpm.t&gt;=TIME(15,30,0),NA(),1),IF(MATCH($E447,始値!$E$3:$IT$3,0)=1,1,MATCH($E447,始値!$E$3:$IT$3,0)+1)),_xlpm.v,INDEX(始値!$C$6:$IT$305,_xlpm.r,_xlpm.c),IF(N(_xlpm.v)=0,"",_xlpm.v)),"")</f>
        <v/>
      </c>
      <c r="H447" s="440" t="str" cm="1">
        <f t="array" ref="H447">_xll.RssMarket(B447, "現在値")</f>
        <v/>
      </c>
      <c r="I447" s="440" t="str" cm="1">
        <f t="array" ref="I447">_xll.RssMarket(B447, "出来高加重平均")</f>
        <v/>
      </c>
      <c r="J447" s="704" t="str" cm="1">
        <f t="array" ref="J447">_xll.RssMarket($B447, "前日比")</f>
        <v/>
      </c>
      <c r="K447" s="704" t="str">
        <f>IF(OR(F447="",G447="",H447=""),"",IF(C447="売",(F447-H447)*G447,(H447-F447)*G447))</f>
        <v/>
      </c>
      <c r="L447" s="709" t="str">
        <f>IF(OR(F447="",H447=""),"",IF(C447="売",(F447-H447)/F447,(H447-F447)/F447))</f>
        <v/>
      </c>
      <c r="M447" s="599" t="str">
        <f>IF($F447="","",$F447*IF($C447="売",1-V811設定!$B$4,1+V811設定!$B$4)-MOD($F447*IF($C447="売",1-V811設定!$B$4,1+V811設定!$B$4),IF($F447&lt;=3000,1,IF($F447&lt;=5000,5,IF($F447&lt;=30000,10,IF($F447&lt;=50000,50,IF($F447&lt;=300000,100,500))))))+IF(AND($C447="売",MOD($F447*IF($C447="売",1-V811設定!$B$4,1+V811設定!$B$4),IF($F447&lt;=3000,1,IF($F447&lt;=5000,5,IF($F447&lt;=30000,10,IF($F447&lt;=50000,50,IF($F447&lt;=300000,100,500))))))&gt;0),IF($F447&lt;=3000,1,IF($F447&lt;=5000,5,IF($F447&lt;=30000,10,IF($F447&lt;=50000,50,IF($F447&lt;=300000,100,500))))),0))</f>
      </c>
      <c r="N447" s="599" t="str">
        <f>IF($F447="","",$F447*IF($C447="売",1+V811設定!$B$3,1-V811設定!$B$3)-MOD($F447*IF($C447="売",1+V811設定!$B$3,1-V811設定!$B$3),IF($F447&lt;=3000,1,IF($F447&lt;=5000,5,IF($F447&lt;=30000,10,IF($F447&lt;=50000,50,IF($F447&lt;=300000,100,500))))))+IF(AND($C447="売",MOD($F447*IF($C447="売",1+V811設定!$B$3,1-V811設定!$B$3),IF($F447&lt;=3000,1,IF($F447&lt;=5000,5,IF($F447&lt;=30000,10,IF($F447&lt;=50000,50,IF($F447&lt;=300000,100,500))))))&gt;0),IF($F447&lt;=3000,1,IF($F447&lt;=5000,5,IF($F447&lt;=30000,10,IF($F447&lt;=50000,50,IF($F447&lt;=300000,100,500))))),0))</f>
      </c>
      <c r="O447" s="478" t="str">
        <f>IF(OR($B447="",$F447="",$H447=""),"",IF($S447="✅売却済","―決済済―",IF($C447="売",IF($H447&lt;=$M447,"🟢利確",IF(AND($R447&lt;&gt;"",$H447&gt;=$R447),"🟠TRAIL",IF($H447&gt;=$N447,"🔴損切",IF($W447&gt;=V811設定!$B$6,"⏱時間決済",IF($H447&gt;=$F447*(1+V811設定!$B$3*0.7),"⚠️損切接近","保持継続"))))),IF($H447&gt;=$M447,"🟢利確",IF(AND($R447&lt;&gt;"",$H447&lt;=$R447),"🟠TRAIL",IF($H447&lt;=$N447,"🔴損切",IF($W447&gt;=V811設定!$B$6,"⏱時間決済",IF($H447&lt;=$F447*(1-V811設定!$B$3*0.7),"⚠️損切接近","保持継続"))))))))</f>
      </c>
      <c r="P447" s="445"/>
      <c r="R447" s="440" t="str">
        <f>IF(OR($F447="",$H447="",$N447=""),"",IF($S447="✅売却済","",IF($C447="売",IF($H447&gt;$F447*(1-V811設定!$B$3),$N447,MIN($N447,IF($Q447="",$N447,$Q447*1.03))),IF($H447&lt;$F447*(1+V811設定!$B$3),$N447,MAX($N447,IF($P447="",$N447,$P447*0.97))))))</f>
      </c>
      <c r="S447" s="440" t="str">
        <f>IF(B447="","",IF(T447&lt;&gt;"","✅売却済",IF(OR(H447="",L447=""),"📌保有中",IF(L447&gt;=0.06,"🟢利確推奨",IF(L447&gt;=0.05,"🟡利確直近",IF(L447&gt;=0.045,"🔵トレーリング検討",IF(L447&gt;-0.03,"📌保有中",IF(L447&gt;-0.04,"⚠️損切注意","🔴損切り"))))))))</f>
        <v/>
      </c>
      <c r="T447" s="597"/>
      <c r="U447" s="599"/>
      <c r="V447" s="704" t="str">
        <f>IF(OR(F447="",G447="",U447=""),"",IF(C447="売",(F447-U447)*G447,(U447-F447)*G447))</f>
        <v/>
      </c>
      <c r="W447" s="440" t="str">
        <f>IF(OR($E447="",$B447=""),"",IF($T447&lt;&gt;"",$T447-$E447,TODAY()-$E447)+1)</f>
        <v/>
      </c>
      <c r="X447" s="440" t="str">
        <f>IF(OR($AH447="",$AH447="保有中"),"",$AH447)</f>
        <v/>
      </c>
      <c r="AD447" s="608"/>
      <c r="AE447" s="600" t="str">
        <f>IF($E447="","",WORKDAY($E447,12))</f>
        <v/>
      </c>
      <c r="AF447" s="600" t="str" cm="1">
        <f t="array" aca="1" ref="AF447" ca="1">IF(OR($B447="",$M447=""),"",IFERROR(IF($C447="売",_xlfn.MINIFS(安値!$E$3:$IT$3,安値!$E$3:$IT$3,"&gt;"&amp;$E447,安値!$E$3:$IT$3,"&lt;="&amp;$AE447,OFFSET(安値!$E$6:$IT$6,MATCH(TEXT($B447,"0"),TEXT(銘柄管理!$B$6:$B$305,"0"),0)-1,0),"&lt;="&amp;$M447),_xlfn.MINIFS(高値!$E$3:$IT$3,高値!$E$3:$IT$3,"&gt;"&amp;$E447,高値!$E$3:$IT$3,"&lt;="&amp;$AE447,OFFSET(高値!$E$6:$IT$6,MATCH(TEXT($B447,"0"),TEXT(銘柄管理!$B$6:$B$305,"0"),0)-1,0),"&gt;="&amp;$M447)),""))</f>
        <v/>
      </c>
      <c r="AG447" s="600" t="str" cm="1">
        <f t="array" aca="1" ref="AG447" ca="1">IF(OR($B447="",$N447=""),"",IFERROR(IF($C447="売",_xlfn.MINIFS(高値!$E$3:$IT$3,高値!$E$3:$IT$3,"&gt;"&amp;$E447,高値!$E$3:$IT$3,"&lt;="&amp;$AE447,OFFSET(高値!$E$6:$IT$6,MATCH(TEXT($B447,"0"),TEXT(銘柄管理!$B$6:$B$305,"0"),0)-1,0),"&gt;="&amp;$N447),_xlfn.MINIFS(安値!$E$3:$IT$3,安値!$E$3:$IT$3,"&gt;"&amp;$E447,安値!$E$3:$IT$3,"&lt;="&amp;$AE447,OFFSET(安値!$E$6:$IT$6,MATCH(TEXT($B447,"0"),TEXT(銘柄管理!$B$6:$B$305,"0"),0)-1,0),"&lt;="&amp;$N447)),""))</f>
        <v/>
      </c>
      <c r="AH447" s="600" t="str">
        <f>IF(OR($B447="",$M447=""),"",IF(AND(N($AF447)=0,N($AG447)=0),IF(AND(ISNUMBER($H447),$H447&gt;0,IF($C447="売",$H447&gt;=$N447,$H447&lt;=$N447)),"損切確定",IF(AND(ISNUMBER($H447),$H447&gt;0,IF($C447="売",$H447&lt;=$M447,$H447&gt;=$M447)),"利益確定",IF($AE447&lt;=TODAY(),"日数制限","保有中"))),IF(N($AG447)=0,"利益確定",IF(N($AF447)=0,"損切確定",IF($AG447&lt;=$AF447,"損切確定","利益確定")))))</f>
        <v/>
      </c>
      <c r="AI447" s="600" t="str" cm="1">
        <f t="array" ref="AI447">IFERROR(INDEX(始値!$E$6:$IT$305,MATCH(TEXT($B447,"0"),TEXT(銘柄管理!$B$6:$B$305,"0"),0),MATCH($AE447,始値!$E$3:$IT$3,0)),"")</f>
        <v/>
      </c>
      <c r="AJ447" s="608" t="str">
        <f>IF(OR($V447="",$F447="",$G447=""),"",$V447/($F447*$G447))</f>
        <v/>
      </c>
      <c r="AK447" s="600" t="str">
        <f>IF($V447="","",IF($V447&gt;0,"○勝",IF($V447&lt;0,"●負","△引分")))</f>
        <v/>
      </c>
    </row>
    <row r="448" spans="1:37" ht="17.25" customHeight="1">
      <c r="A448" s="622" t="str">
        <f>IF(B448="","",HYPERLINK("https://kabutan.jp/stock/?code="&amp;B448,"株探"))</f>
        <v/>
      </c>
      <c r="D448" s="440" t="str" cm="1">
        <f t="array" ref="D448">_xll.RssMarket(B448, "銘柄名称")</f>
        <v/>
      </c>
      <c r="E448" s="717"/>
      <c r="F448" s="698" t="str" cm="1">
        <f t="array" aca="1" ref="F448" ca="1">IFERROR(_xlfn.LET(_xlpm.r,MATCH(TEXT($B448,"0"),TEXT(銘柄管理!$B$6:$B$305,"0"),0),_xlpm.t,MOD(NOW(),1),_xlpm.c,IF($E448=TODAY(),IF(_xlpm.t&gt;=TIME(15,30,0),NA(),1),IF(MATCH($E448,始値!$E$3:$IT$3,0)=1,1,MATCH($E448,始値!$E$3:$IT$3,0)+1)),_xlpm.v,INDEX(始値!$C$6:$IT$305,_xlpm.r,_xlpm.c),IF(N(_xlpm.v)=0,"",_xlpm.v)),"")</f>
        <v/>
      </c>
      <c r="H448" s="440" t="str" cm="1">
        <f t="array" ref="H448">_xll.RssMarket(B448, "現在値")</f>
        <v/>
      </c>
      <c r="I448" s="440" t="str" cm="1">
        <f t="array" ref="I448">_xll.RssMarket(B448, "出来高加重平均")</f>
        <v/>
      </c>
      <c r="J448" s="704" t="str" cm="1">
        <f t="array" ref="J448">_xll.RssMarket($B448, "前日比")</f>
        <v/>
      </c>
      <c r="K448" s="704" t="str">
        <f>IF(OR(F448="",G448="",H448=""),"",IF(C448="売",(F448-H448)*G448,(H448-F448)*G448))</f>
        <v/>
      </c>
      <c r="L448" s="709" t="str">
        <f>IF(OR(F448="",H448=""),"",IF(C448="売",(F448-H448)/F448,(H448-F448)/F448))</f>
        <v/>
      </c>
      <c r="M448" s="599" t="str">
        <f>IF($F448="","",$F448*IF($C448="売",1-V811設定!$B$4,1+V811設定!$B$4)-MOD($F448*IF($C448="売",1-V811設定!$B$4,1+V811設定!$B$4),IF($F448&lt;=3000,1,IF($F448&lt;=5000,5,IF($F448&lt;=30000,10,IF($F448&lt;=50000,50,IF($F448&lt;=300000,100,500))))))+IF(AND($C448="売",MOD($F448*IF($C448="売",1-V811設定!$B$4,1+V811設定!$B$4),IF($F448&lt;=3000,1,IF($F448&lt;=5000,5,IF($F448&lt;=30000,10,IF($F448&lt;=50000,50,IF($F448&lt;=300000,100,500))))))&gt;0),IF($F448&lt;=3000,1,IF($F448&lt;=5000,5,IF($F448&lt;=30000,10,IF($F448&lt;=50000,50,IF($F448&lt;=300000,100,500))))),0))</f>
      </c>
      <c r="N448" s="599" t="str">
        <f>IF($F448="","",$F448*IF($C448="売",1+V811設定!$B$3,1-V811設定!$B$3)-MOD($F448*IF($C448="売",1+V811設定!$B$3,1-V811設定!$B$3),IF($F448&lt;=3000,1,IF($F448&lt;=5000,5,IF($F448&lt;=30000,10,IF($F448&lt;=50000,50,IF($F448&lt;=300000,100,500))))))+IF(AND($C448="売",MOD($F448*IF($C448="売",1+V811設定!$B$3,1-V811設定!$B$3),IF($F448&lt;=3000,1,IF($F448&lt;=5000,5,IF($F448&lt;=30000,10,IF($F448&lt;=50000,50,IF($F448&lt;=300000,100,500))))))&gt;0),IF($F448&lt;=3000,1,IF($F448&lt;=5000,5,IF($F448&lt;=30000,10,IF($F448&lt;=50000,50,IF($F448&lt;=300000,100,500))))),0))</f>
      </c>
      <c r="O448" s="478" t="str">
        <f>IF(OR($B448="",$F448="",$H448=""),"",IF($S448="✅売却済","―決済済―",IF($C448="売",IF($H448&lt;=$M448,"🟢利確",IF(AND($R448&lt;&gt;"",$H448&gt;=$R448),"🟠TRAIL",IF($H448&gt;=$N448,"🔴損切",IF($W448&gt;=V811設定!$B$6,"⏱時間決済",IF($H448&gt;=$F448*(1+V811設定!$B$3*0.7),"⚠️損切接近","保持継続"))))),IF($H448&gt;=$M448,"🟢利確",IF(AND($R448&lt;&gt;"",$H448&lt;=$R448),"🟠TRAIL",IF($H448&lt;=$N448,"🔴損切",IF($W448&gt;=V811設定!$B$6,"⏱時間決済",IF($H448&lt;=$F448*(1-V811設定!$B$3*0.7),"⚠️損切接近","保持継続"))))))))</f>
      </c>
      <c r="P448" s="445"/>
      <c r="R448" s="440" t="str">
        <f>IF(OR($F448="",$H448="",$N448=""),"",IF($S448="✅売却済","",IF($C448="売",IF($H448&gt;$F448*(1-V811設定!$B$3),$N448,MIN($N448,IF($Q448="",$N448,$Q448*1.03))),IF($H448&lt;$F448*(1+V811設定!$B$3),$N448,MAX($N448,IF($P448="",$N448,$P448*0.97))))))</f>
      </c>
      <c r="S448" s="440" t="str">
        <f>IF(B448="","",IF(T448&lt;&gt;"","✅売却済",IF(OR(H448="",L448=""),"📌保有中",IF(L448&gt;=0.06,"🟢利確推奨",IF(L448&gt;=0.05,"🟡利確直近",IF(L448&gt;=0.045,"🔵トレーリング検討",IF(L448&gt;-0.03,"📌保有中",IF(L448&gt;-0.04,"⚠️損切注意","🔴損切り"))))))))</f>
        <v/>
      </c>
      <c r="T448" s="597"/>
      <c r="U448" s="599"/>
      <c r="V448" s="704" t="str">
        <f>IF(OR(F448="",G448="",U448=""),"",IF(C448="売",(F448-U448)*G448,(U448-F448)*G448))</f>
        <v/>
      </c>
      <c r="W448" s="440" t="str">
        <f>IF(OR($E448="",$B448=""),"",IF($T448&lt;&gt;"",$T448-$E448,TODAY()-$E448)+1)</f>
        <v/>
      </c>
      <c r="X448" s="440" t="str">
        <f>IF(OR($AH448="",$AH448="保有中"),"",$AH448)</f>
        <v/>
      </c>
      <c r="AD448" s="608"/>
      <c r="AE448" s="600" t="str">
        <f>IF($E448="","",WORKDAY($E448,12))</f>
        <v/>
      </c>
      <c r="AF448" s="600" t="str" cm="1">
        <f t="array" aca="1" ref="AF448" ca="1">IF(OR($B448="",$M448=""),"",IFERROR(IF($C448="売",_xlfn.MINIFS(安値!$E$3:$IT$3,安値!$E$3:$IT$3,"&gt;"&amp;$E448,安値!$E$3:$IT$3,"&lt;="&amp;$AE448,OFFSET(安値!$E$6:$IT$6,MATCH(TEXT($B448,"0"),TEXT(銘柄管理!$B$6:$B$305,"0"),0)-1,0),"&lt;="&amp;$M448),_xlfn.MINIFS(高値!$E$3:$IT$3,高値!$E$3:$IT$3,"&gt;"&amp;$E448,高値!$E$3:$IT$3,"&lt;="&amp;$AE448,OFFSET(高値!$E$6:$IT$6,MATCH(TEXT($B448,"0"),TEXT(銘柄管理!$B$6:$B$305,"0"),0)-1,0),"&gt;="&amp;$M448)),""))</f>
        <v/>
      </c>
      <c r="AG448" s="600" t="str" cm="1">
        <f t="array" aca="1" ref="AG448" ca="1">IF(OR($B448="",$N448=""),"",IFERROR(IF($C448="売",_xlfn.MINIFS(高値!$E$3:$IT$3,高値!$E$3:$IT$3,"&gt;"&amp;$E448,高値!$E$3:$IT$3,"&lt;="&amp;$AE448,OFFSET(高値!$E$6:$IT$6,MATCH(TEXT($B448,"0"),TEXT(銘柄管理!$B$6:$B$305,"0"),0)-1,0),"&gt;="&amp;$N448),_xlfn.MINIFS(安値!$E$3:$IT$3,安値!$E$3:$IT$3,"&gt;"&amp;$E448,安値!$E$3:$IT$3,"&lt;="&amp;$AE448,OFFSET(安値!$E$6:$IT$6,MATCH(TEXT($B448,"0"),TEXT(銘柄管理!$B$6:$B$305,"0"),0)-1,0),"&lt;="&amp;$N448)),""))</f>
        <v/>
      </c>
      <c r="AH448" s="600" t="str">
        <f>IF(OR($B448="",$M448=""),"",IF(AND(N($AF448)=0,N($AG448)=0),IF(AND(ISNUMBER($H448),$H448&gt;0,IF($C448="売",$H448&gt;=$N448,$H448&lt;=$N448)),"損切確定",IF(AND(ISNUMBER($H448),$H448&gt;0,IF($C448="売",$H448&lt;=$M448,$H448&gt;=$M448)),"利益確定",IF($AE448&lt;=TODAY(),"日数制限","保有中"))),IF(N($AG448)=0,"利益確定",IF(N($AF448)=0,"損切確定",IF($AG448&lt;=$AF448,"損切確定","利益確定")))))</f>
        <v/>
      </c>
      <c r="AI448" s="600" t="str" cm="1">
        <f t="array" ref="AI448">IFERROR(INDEX(始値!$E$6:$IT$305,MATCH(TEXT($B448,"0"),TEXT(銘柄管理!$B$6:$B$305,"0"),0),MATCH($AE448,始値!$E$3:$IT$3,0)),"")</f>
        <v/>
      </c>
      <c r="AJ448" s="608" t="str">
        <f>IF(OR($V448="",$F448="",$G448=""),"",$V448/($F448*$G448))</f>
        <v/>
      </c>
      <c r="AK448" s="600" t="str">
        <f>IF($V448="","",IF($V448&gt;0,"○勝",IF($V448&lt;0,"●負","△引分")))</f>
        <v/>
      </c>
    </row>
    <row r="449" spans="1:37" ht="17.25" customHeight="1">
      <c r="A449" s="622" t="str">
        <f>IF(B449="","",HYPERLINK("https://kabutan.jp/stock/?code="&amp;B449,"株探"))</f>
        <v/>
      </c>
      <c r="D449" s="440" t="str" cm="1">
        <f t="array" ref="D449">_xll.RssMarket(B449, "銘柄名称")</f>
        <v/>
      </c>
      <c r="E449" s="717"/>
      <c r="F449" s="698" t="str" cm="1">
        <f t="array" aca="1" ref="F449" ca="1">IFERROR(_xlfn.LET(_xlpm.r,MATCH(TEXT($B449,"0"),TEXT(銘柄管理!$B$6:$B$305,"0"),0),_xlpm.t,MOD(NOW(),1),_xlpm.c,IF($E449=TODAY(),IF(_xlpm.t&gt;=TIME(15,30,0),NA(),1),IF(MATCH($E449,始値!$E$3:$IT$3,0)=1,1,MATCH($E449,始値!$E$3:$IT$3,0)+1)),_xlpm.v,INDEX(始値!$C$6:$IT$305,_xlpm.r,_xlpm.c),IF(N(_xlpm.v)=0,"",_xlpm.v)),"")</f>
        <v/>
      </c>
      <c r="H449" s="440" t="str" cm="1">
        <f t="array" ref="H449">_xll.RssMarket(B449, "現在値")</f>
        <v/>
      </c>
      <c r="I449" s="440" t="str" cm="1">
        <f t="array" ref="I449">_xll.RssMarket(B449, "出来高加重平均")</f>
        <v/>
      </c>
      <c r="J449" s="704" t="str" cm="1">
        <f t="array" ref="J449">_xll.RssMarket($B449, "前日比")</f>
        <v/>
      </c>
      <c r="K449" s="704" t="str">
        <f>IF(OR(F449="",G449="",H449=""),"",IF(C449="売",(F449-H449)*G449,(H449-F449)*G449))</f>
        <v/>
      </c>
      <c r="L449" s="709" t="str">
        <f>IF(OR(F449="",H449=""),"",IF(C449="売",(F449-H449)/F449,(H449-F449)/F449))</f>
        <v/>
      </c>
      <c r="M449" s="599" t="str">
        <f>IF($F449="","",$F449*IF($C449="売",1-V811設定!$B$4,1+V811設定!$B$4)-MOD($F449*IF($C449="売",1-V811設定!$B$4,1+V811設定!$B$4),IF($F449&lt;=3000,1,IF($F449&lt;=5000,5,IF($F449&lt;=30000,10,IF($F449&lt;=50000,50,IF($F449&lt;=300000,100,500))))))+IF(AND($C449="売",MOD($F449*IF($C449="売",1-V811設定!$B$4,1+V811設定!$B$4),IF($F449&lt;=3000,1,IF($F449&lt;=5000,5,IF($F449&lt;=30000,10,IF($F449&lt;=50000,50,IF($F449&lt;=300000,100,500))))))&gt;0),IF($F449&lt;=3000,1,IF($F449&lt;=5000,5,IF($F449&lt;=30000,10,IF($F449&lt;=50000,50,IF($F449&lt;=300000,100,500))))),0))</f>
      </c>
      <c r="N449" s="599" t="str">
        <f>IF($F449="","",$F449*IF($C449="売",1+V811設定!$B$3,1-V811設定!$B$3)-MOD($F449*IF($C449="売",1+V811設定!$B$3,1-V811設定!$B$3),IF($F449&lt;=3000,1,IF($F449&lt;=5000,5,IF($F449&lt;=30000,10,IF($F449&lt;=50000,50,IF($F449&lt;=300000,100,500))))))+IF(AND($C449="売",MOD($F449*IF($C449="売",1+V811設定!$B$3,1-V811設定!$B$3),IF($F449&lt;=3000,1,IF($F449&lt;=5000,5,IF($F449&lt;=30000,10,IF($F449&lt;=50000,50,IF($F449&lt;=300000,100,500))))))&gt;0),IF($F449&lt;=3000,1,IF($F449&lt;=5000,5,IF($F449&lt;=30000,10,IF($F449&lt;=50000,50,IF($F449&lt;=300000,100,500))))),0))</f>
      </c>
      <c r="O449" s="478" t="str">
        <f>IF(OR($B449="",$F449="",$H449=""),"",IF($S449="✅売却済","―決済済―",IF($C449="売",IF($H449&lt;=$M449,"🟢利確",IF(AND($R449&lt;&gt;"",$H449&gt;=$R449),"🟠TRAIL",IF($H449&gt;=$N449,"🔴損切",IF($W449&gt;=V811設定!$B$6,"⏱時間決済",IF($H449&gt;=$F449*(1+V811設定!$B$3*0.7),"⚠️損切接近","保持継続"))))),IF($H449&gt;=$M449,"🟢利確",IF(AND($R449&lt;&gt;"",$H449&lt;=$R449),"🟠TRAIL",IF($H449&lt;=$N449,"🔴損切",IF($W449&gt;=V811設定!$B$6,"⏱時間決済",IF($H449&lt;=$F449*(1-V811設定!$B$3*0.7),"⚠️損切接近","保持継続"))))))))</f>
      </c>
      <c r="P449" s="445"/>
      <c r="R449" s="440" t="str">
        <f>IF(OR($F449="",$H449="",$N449=""),"",IF($S449="✅売却済","",IF($C449="売",IF($H449&gt;$F449*(1-V811設定!$B$3),$N449,MIN($N449,IF($Q449="",$N449,$Q449*1.03))),IF($H449&lt;$F449*(1+V811設定!$B$3),$N449,MAX($N449,IF($P449="",$N449,$P449*0.97))))))</f>
      </c>
      <c r="S449" s="440" t="str">
        <f>IF(B449="","",IF(T449&lt;&gt;"","✅売却済",IF(OR(H449="",L449=""),"📌保有中",IF(L449&gt;=0.06,"🟢利確推奨",IF(L449&gt;=0.05,"🟡利確直近",IF(L449&gt;=0.045,"🔵トレーリング検討",IF(L449&gt;-0.03,"📌保有中",IF(L449&gt;-0.04,"⚠️損切注意","🔴損切り"))))))))</f>
        <v/>
      </c>
      <c r="T449" s="597"/>
      <c r="U449" s="599"/>
      <c r="V449" s="704" t="str">
        <f>IF(OR(F449="",G449="",U449=""),"",IF(C449="売",(F449-U449)*G449,(U449-F449)*G449))</f>
        <v/>
      </c>
      <c r="W449" s="440" t="str">
        <f>IF(OR($E449="",$B449=""),"",IF($T449&lt;&gt;"",$T449-$E449,TODAY()-$E449)+1)</f>
        <v/>
      </c>
      <c r="X449" s="440" t="str">
        <f>IF(OR($AH449="",$AH449="保有中"),"",$AH449)</f>
        <v/>
      </c>
      <c r="AD449" s="608"/>
      <c r="AE449" s="600" t="str">
        <f>IF($E449="","",WORKDAY($E449,12))</f>
        <v/>
      </c>
      <c r="AF449" s="600" t="str" cm="1">
        <f t="array" aca="1" ref="AF449" ca="1">IF(OR($B449="",$M449=""),"",IFERROR(IF($C449="売",_xlfn.MINIFS(安値!$E$3:$IT$3,安値!$E$3:$IT$3,"&gt;"&amp;$E449,安値!$E$3:$IT$3,"&lt;="&amp;$AE449,OFFSET(安値!$E$6:$IT$6,MATCH(TEXT($B449,"0"),TEXT(銘柄管理!$B$6:$B$305,"0"),0)-1,0),"&lt;="&amp;$M449),_xlfn.MINIFS(高値!$E$3:$IT$3,高値!$E$3:$IT$3,"&gt;"&amp;$E449,高値!$E$3:$IT$3,"&lt;="&amp;$AE449,OFFSET(高値!$E$6:$IT$6,MATCH(TEXT($B449,"0"),TEXT(銘柄管理!$B$6:$B$305,"0"),0)-1,0),"&gt;="&amp;$M449)),""))</f>
        <v/>
      </c>
      <c r="AG449" s="600" t="str" cm="1">
        <f t="array" aca="1" ref="AG449" ca="1">IF(OR($B449="",$N449=""),"",IFERROR(IF($C449="売",_xlfn.MINIFS(高値!$E$3:$IT$3,高値!$E$3:$IT$3,"&gt;"&amp;$E449,高値!$E$3:$IT$3,"&lt;="&amp;$AE449,OFFSET(高値!$E$6:$IT$6,MATCH(TEXT($B449,"0"),TEXT(銘柄管理!$B$6:$B$305,"0"),0)-1,0),"&gt;="&amp;$N449),_xlfn.MINIFS(安値!$E$3:$IT$3,安値!$E$3:$IT$3,"&gt;"&amp;$E449,安値!$E$3:$IT$3,"&lt;="&amp;$AE449,OFFSET(安値!$E$6:$IT$6,MATCH(TEXT($B449,"0"),TEXT(銘柄管理!$B$6:$B$305,"0"),0)-1,0),"&lt;="&amp;$N449)),""))</f>
        <v/>
      </c>
      <c r="AH449" s="600" t="str">
        <f>IF(OR($B449="",$M449=""),"",IF(AND(N($AF449)=0,N($AG449)=0),IF(AND(ISNUMBER($H449),$H449&gt;0,IF($C449="売",$H449&gt;=$N449,$H449&lt;=$N449)),"損切確定",IF(AND(ISNUMBER($H449),$H449&gt;0,IF($C449="売",$H449&lt;=$M449,$H449&gt;=$M449)),"利益確定",IF($AE449&lt;=TODAY(),"日数制限","保有中"))),IF(N($AG449)=0,"利益確定",IF(N($AF449)=0,"損切確定",IF($AG449&lt;=$AF449,"損切確定","利益確定")))))</f>
        <v/>
      </c>
      <c r="AI449" s="600" t="str" cm="1">
        <f t="array" ref="AI449">IFERROR(INDEX(始値!$E$6:$IT$305,MATCH(TEXT($B449,"0"),TEXT(銘柄管理!$B$6:$B$305,"0"),0),MATCH($AE449,始値!$E$3:$IT$3,0)),"")</f>
        <v/>
      </c>
      <c r="AJ449" s="608" t="str">
        <f>IF(OR($V449="",$F449="",$G449=""),"",$V449/($F449*$G449))</f>
        <v/>
      </c>
      <c r="AK449" s="600" t="str">
        <f>IF($V449="","",IF($V449&gt;0,"○勝",IF($V449&lt;0,"●負","△引分")))</f>
        <v/>
      </c>
    </row>
    <row r="450" spans="1:37" ht="17.25" customHeight="1">
      <c r="A450" s="622" t="str">
        <f>IF(B450="","",HYPERLINK("https://kabutan.jp/stock/?code="&amp;B450,"株探"))</f>
        <v/>
      </c>
      <c r="D450" s="440" t="str" cm="1">
        <f t="array" ref="D450">_xll.RssMarket(B450, "銘柄名称")</f>
        <v/>
      </c>
      <c r="E450" s="717"/>
      <c r="F450" s="698" t="str" cm="1">
        <f t="array" aca="1" ref="F450" ca="1">IFERROR(_xlfn.LET(_xlpm.r,MATCH(TEXT($B450,"0"),TEXT(銘柄管理!$B$6:$B$305,"0"),0),_xlpm.t,MOD(NOW(),1),_xlpm.c,IF($E450=TODAY(),IF(_xlpm.t&gt;=TIME(15,30,0),NA(),1),IF(MATCH($E450,始値!$E$3:$IT$3,0)=1,1,MATCH($E450,始値!$E$3:$IT$3,0)+1)),_xlpm.v,INDEX(始値!$C$6:$IT$305,_xlpm.r,_xlpm.c),IF(N(_xlpm.v)=0,"",_xlpm.v)),"")</f>
        <v/>
      </c>
      <c r="H450" s="440" t="str" cm="1">
        <f t="array" ref="H450">_xll.RssMarket(B450, "現在値")</f>
        <v/>
      </c>
      <c r="I450" s="440" t="str" cm="1">
        <f t="array" ref="I450">_xll.RssMarket(B450, "出来高加重平均")</f>
        <v/>
      </c>
      <c r="J450" s="704" t="str" cm="1">
        <f t="array" ref="J450">_xll.RssMarket($B450, "前日比")</f>
        <v/>
      </c>
      <c r="K450" s="704" t="str">
        <f>IF(OR(F450="",G450="",H450=""),"",IF(C450="売",(F450-H450)*G450,(H450-F450)*G450))</f>
        <v/>
      </c>
      <c r="L450" s="709" t="str">
        <f>IF(OR(F450="",H450=""),"",IF(C450="売",(F450-H450)/F450,(H450-F450)/F450))</f>
        <v/>
      </c>
      <c r="M450" s="599" t="str">
        <f>IF($F450="","",$F450*IF($C450="売",1-V811設定!$B$4,1+V811設定!$B$4)-MOD($F450*IF($C450="売",1-V811設定!$B$4,1+V811設定!$B$4),IF($F450&lt;=3000,1,IF($F450&lt;=5000,5,IF($F450&lt;=30000,10,IF($F450&lt;=50000,50,IF($F450&lt;=300000,100,500))))))+IF(AND($C450="売",MOD($F450*IF($C450="売",1-V811設定!$B$4,1+V811設定!$B$4),IF($F450&lt;=3000,1,IF($F450&lt;=5000,5,IF($F450&lt;=30000,10,IF($F450&lt;=50000,50,IF($F450&lt;=300000,100,500))))))&gt;0),IF($F450&lt;=3000,1,IF($F450&lt;=5000,5,IF($F450&lt;=30000,10,IF($F450&lt;=50000,50,IF($F450&lt;=300000,100,500))))),0))</f>
      </c>
      <c r="N450" s="599" t="str">
        <f>IF($F450="","",$F450*IF($C450="売",1+V811設定!$B$3,1-V811設定!$B$3)-MOD($F450*IF($C450="売",1+V811設定!$B$3,1-V811設定!$B$3),IF($F450&lt;=3000,1,IF($F450&lt;=5000,5,IF($F450&lt;=30000,10,IF($F450&lt;=50000,50,IF($F450&lt;=300000,100,500))))))+IF(AND($C450="売",MOD($F450*IF($C450="売",1+V811設定!$B$3,1-V811設定!$B$3),IF($F450&lt;=3000,1,IF($F450&lt;=5000,5,IF($F450&lt;=30000,10,IF($F450&lt;=50000,50,IF($F450&lt;=300000,100,500))))))&gt;0),IF($F450&lt;=3000,1,IF($F450&lt;=5000,5,IF($F450&lt;=30000,10,IF($F450&lt;=50000,50,IF($F450&lt;=300000,100,500))))),0))</f>
      </c>
      <c r="O450" s="478" t="str">
        <f>IF(OR($B450="",$F450="",$H450=""),"",IF($S450="✅売却済","―決済済―",IF($C450="売",IF($H450&lt;=$M450,"🟢利確",IF(AND($R450&lt;&gt;"",$H450&gt;=$R450),"🟠TRAIL",IF($H450&gt;=$N450,"🔴損切",IF($W450&gt;=V811設定!$B$6,"⏱時間決済",IF($H450&gt;=$F450*(1+V811設定!$B$3*0.7),"⚠️損切接近","保持継続"))))),IF($H450&gt;=$M450,"🟢利確",IF(AND($R450&lt;&gt;"",$H450&lt;=$R450),"🟠TRAIL",IF($H450&lt;=$N450,"🔴損切",IF($W450&gt;=V811設定!$B$6,"⏱時間決済",IF($H450&lt;=$F450*(1-V811設定!$B$3*0.7),"⚠️損切接近","保持継続"))))))))</f>
      </c>
      <c r="P450" s="445"/>
      <c r="R450" s="440" t="str">
        <f>IF(OR($F450="",$H450="",$N450=""),"",IF($S450="✅売却済","",IF($C450="売",IF($H450&gt;$F450*(1-V811設定!$B$3),$N450,MIN($N450,IF($Q450="",$N450,$Q450*1.03))),IF($H450&lt;$F450*(1+V811設定!$B$3),$N450,MAX($N450,IF($P450="",$N450,$P450*0.97))))))</f>
      </c>
      <c r="S450" s="440" t="str">
        <f>IF(B450="","",IF(T450&lt;&gt;"","✅売却済",IF(OR(H450="",L450=""),"📌保有中",IF(L450&gt;=0.06,"🟢利確推奨",IF(L450&gt;=0.05,"🟡利確直近",IF(L450&gt;=0.045,"🔵トレーリング検討",IF(L450&gt;-0.03,"📌保有中",IF(L450&gt;-0.04,"⚠️損切注意","🔴損切り"))))))))</f>
        <v/>
      </c>
      <c r="T450" s="597"/>
      <c r="U450" s="599"/>
      <c r="V450" s="704" t="str">
        <f>IF(OR(F450="",G450="",U450=""),"",IF(C450="売",(F450-U450)*G450,(U450-F450)*G450))</f>
        <v/>
      </c>
      <c r="W450" s="440" t="str">
        <f>IF(OR($E450="",$B450=""),"",IF($T450&lt;&gt;"",$T450-$E450,TODAY()-$E450)+1)</f>
        <v/>
      </c>
      <c r="X450" s="440" t="str">
        <f>IF(OR($AH450="",$AH450="保有中"),"",$AH450)</f>
        <v/>
      </c>
      <c r="AD450" s="608"/>
      <c r="AE450" s="600" t="str">
        <f>IF($E450="","",WORKDAY($E450,12))</f>
        <v/>
      </c>
      <c r="AF450" s="600" t="str" cm="1">
        <f t="array" aca="1" ref="AF450" ca="1">IF(OR($B450="",$M450=""),"",IFERROR(IF($C450="売",_xlfn.MINIFS(安値!$E$3:$IT$3,安値!$E$3:$IT$3,"&gt;"&amp;$E450,安値!$E$3:$IT$3,"&lt;="&amp;$AE450,OFFSET(安値!$E$6:$IT$6,MATCH(TEXT($B450,"0"),TEXT(銘柄管理!$B$6:$B$305,"0"),0)-1,0),"&lt;="&amp;$M450),_xlfn.MINIFS(高値!$E$3:$IT$3,高値!$E$3:$IT$3,"&gt;"&amp;$E450,高値!$E$3:$IT$3,"&lt;="&amp;$AE450,OFFSET(高値!$E$6:$IT$6,MATCH(TEXT($B450,"0"),TEXT(銘柄管理!$B$6:$B$305,"0"),0)-1,0),"&gt;="&amp;$M450)),""))</f>
        <v/>
      </c>
      <c r="AG450" s="600" t="str" cm="1">
        <f t="array" aca="1" ref="AG450" ca="1">IF(OR($B450="",$N450=""),"",IFERROR(IF($C450="売",_xlfn.MINIFS(高値!$E$3:$IT$3,高値!$E$3:$IT$3,"&gt;"&amp;$E450,高値!$E$3:$IT$3,"&lt;="&amp;$AE450,OFFSET(高値!$E$6:$IT$6,MATCH(TEXT($B450,"0"),TEXT(銘柄管理!$B$6:$B$305,"0"),0)-1,0),"&gt;="&amp;$N450),_xlfn.MINIFS(安値!$E$3:$IT$3,安値!$E$3:$IT$3,"&gt;"&amp;$E450,安値!$E$3:$IT$3,"&lt;="&amp;$AE450,OFFSET(安値!$E$6:$IT$6,MATCH(TEXT($B450,"0"),TEXT(銘柄管理!$B$6:$B$305,"0"),0)-1,0),"&lt;="&amp;$N450)),""))</f>
        <v/>
      </c>
      <c r="AH450" s="600" t="str">
        <f>IF(OR($B450="",$M450=""),"",IF(AND(N($AF450)=0,N($AG450)=0),IF(AND(ISNUMBER($H450),$H450&gt;0,IF($C450="売",$H450&gt;=$N450,$H450&lt;=$N450)),"損切確定",IF(AND(ISNUMBER($H450),$H450&gt;0,IF($C450="売",$H450&lt;=$M450,$H450&gt;=$M450)),"利益確定",IF($AE450&lt;=TODAY(),"日数制限","保有中"))),IF(N($AG450)=0,"利益確定",IF(N($AF450)=0,"損切確定",IF($AG450&lt;=$AF450,"損切確定","利益確定")))))</f>
        <v/>
      </c>
      <c r="AI450" s="600" t="str" cm="1">
        <f t="array" ref="AI450">IFERROR(INDEX(始値!$E$6:$IT$305,MATCH(TEXT($B450,"0"),TEXT(銘柄管理!$B$6:$B$305,"0"),0),MATCH($AE450,始値!$E$3:$IT$3,0)),"")</f>
        <v/>
      </c>
      <c r="AJ450" s="608" t="str">
        <f>IF(OR($V450="",$F450="",$G450=""),"",$V450/($F450*$G450))</f>
        <v/>
      </c>
      <c r="AK450" s="600" t="str">
        <f>IF($V450="","",IF($V450&gt;0,"○勝",IF($V450&lt;0,"●負","△引分")))</f>
        <v/>
      </c>
    </row>
    <row r="451" spans="1:37" ht="17.25" customHeight="1">
      <c r="A451" s="622" t="str">
        <f>IF(B451="","",HYPERLINK("https://kabutan.jp/stock/?code="&amp;B451,"株探"))</f>
        <v/>
      </c>
      <c r="D451" s="440" t="str" cm="1">
        <f t="array" ref="D451">_xll.RssMarket(B451, "銘柄名称")</f>
        <v/>
      </c>
      <c r="E451" s="717"/>
      <c r="F451" s="698" t="str" cm="1">
        <f t="array" aca="1" ref="F451" ca="1">IFERROR(_xlfn.LET(_xlpm.r,MATCH(TEXT($B451,"0"),TEXT(銘柄管理!$B$6:$B$305,"0"),0),_xlpm.t,MOD(NOW(),1),_xlpm.c,IF($E451=TODAY(),IF(_xlpm.t&gt;=TIME(15,30,0),NA(),1),IF(MATCH($E451,始値!$E$3:$IT$3,0)=1,1,MATCH($E451,始値!$E$3:$IT$3,0)+1)),_xlpm.v,INDEX(始値!$C$6:$IT$305,_xlpm.r,_xlpm.c),IF(N(_xlpm.v)=0,"",_xlpm.v)),"")</f>
        <v/>
      </c>
      <c r="H451" s="440" t="str" cm="1">
        <f t="array" ref="H451">_xll.RssMarket(B451, "現在値")</f>
        <v/>
      </c>
      <c r="I451" s="440" t="str" cm="1">
        <f t="array" ref="I451">_xll.RssMarket(B451, "出来高加重平均")</f>
        <v/>
      </c>
      <c r="J451" s="704" t="str" cm="1">
        <f t="array" ref="J451">_xll.RssMarket($B451, "前日比")</f>
        <v/>
      </c>
      <c r="K451" s="704" t="str">
        <f>IF(OR(F451="",G451="",H451=""),"",IF(C451="売",(F451-H451)*G451,(H451-F451)*G451))</f>
        <v/>
      </c>
      <c r="L451" s="709" t="str">
        <f>IF(OR(F451="",H451=""),"",IF(C451="売",(F451-H451)/F451,(H451-F451)/F451))</f>
        <v/>
      </c>
      <c r="M451" s="599" t="str">
        <f>IF($F451="","",$F451*IF($C451="売",1-V811設定!$B$4,1+V811設定!$B$4)-MOD($F451*IF($C451="売",1-V811設定!$B$4,1+V811設定!$B$4),IF($F451&lt;=3000,1,IF($F451&lt;=5000,5,IF($F451&lt;=30000,10,IF($F451&lt;=50000,50,IF($F451&lt;=300000,100,500))))))+IF(AND($C451="売",MOD($F451*IF($C451="売",1-V811設定!$B$4,1+V811設定!$B$4),IF($F451&lt;=3000,1,IF($F451&lt;=5000,5,IF($F451&lt;=30000,10,IF($F451&lt;=50000,50,IF($F451&lt;=300000,100,500))))))&gt;0),IF($F451&lt;=3000,1,IF($F451&lt;=5000,5,IF($F451&lt;=30000,10,IF($F451&lt;=50000,50,IF($F451&lt;=300000,100,500))))),0))</f>
      </c>
      <c r="N451" s="599" t="str">
        <f>IF($F451="","",$F451*IF($C451="売",1+V811設定!$B$3,1-V811設定!$B$3)-MOD($F451*IF($C451="売",1+V811設定!$B$3,1-V811設定!$B$3),IF($F451&lt;=3000,1,IF($F451&lt;=5000,5,IF($F451&lt;=30000,10,IF($F451&lt;=50000,50,IF($F451&lt;=300000,100,500))))))+IF(AND($C451="売",MOD($F451*IF($C451="売",1+V811設定!$B$3,1-V811設定!$B$3),IF($F451&lt;=3000,1,IF($F451&lt;=5000,5,IF($F451&lt;=30000,10,IF($F451&lt;=50000,50,IF($F451&lt;=300000,100,500))))))&gt;0),IF($F451&lt;=3000,1,IF($F451&lt;=5000,5,IF($F451&lt;=30000,10,IF($F451&lt;=50000,50,IF($F451&lt;=300000,100,500))))),0))</f>
      </c>
      <c r="O451" s="478" t="str">
        <f>IF(OR($B451="",$F451="",$H451=""),"",IF($S451="✅売却済","―決済済―",IF($C451="売",IF($H451&lt;=$M451,"🟢利確",IF(AND($R451&lt;&gt;"",$H451&gt;=$R451),"🟠TRAIL",IF($H451&gt;=$N451,"🔴損切",IF($W451&gt;=V811設定!$B$6,"⏱時間決済",IF($H451&gt;=$F451*(1+V811設定!$B$3*0.7),"⚠️損切接近","保持継続"))))),IF($H451&gt;=$M451,"🟢利確",IF(AND($R451&lt;&gt;"",$H451&lt;=$R451),"🟠TRAIL",IF($H451&lt;=$N451,"🔴損切",IF($W451&gt;=V811設定!$B$6,"⏱時間決済",IF($H451&lt;=$F451*(1-V811設定!$B$3*0.7),"⚠️損切接近","保持継続"))))))))</f>
      </c>
      <c r="P451" s="445"/>
      <c r="R451" s="440" t="str">
        <f>IF(OR($F451="",$H451="",$N451=""),"",IF($S451="✅売却済","",IF($C451="売",IF($H451&gt;$F451*(1-V811設定!$B$3),$N451,MIN($N451,IF($Q451="",$N451,$Q451*1.03))),IF($H451&lt;$F451*(1+V811設定!$B$3),$N451,MAX($N451,IF($P451="",$N451,$P451*0.97))))))</f>
      </c>
      <c r="S451" s="440" t="str">
        <f>IF(B451="","",IF(T451&lt;&gt;"","✅売却済",IF(OR(H451="",L451=""),"📌保有中",IF(L451&gt;=0.06,"🟢利確推奨",IF(L451&gt;=0.05,"🟡利確直近",IF(L451&gt;=0.045,"🔵トレーリング検討",IF(L451&gt;-0.03,"📌保有中",IF(L451&gt;-0.04,"⚠️損切注意","🔴損切り"))))))))</f>
        <v/>
      </c>
      <c r="T451" s="597"/>
      <c r="U451" s="599"/>
      <c r="V451" s="704" t="str">
        <f>IF(OR(F451="",G451="",U451=""),"",IF(C451="売",(F451-U451)*G451,(U451-F451)*G451))</f>
        <v/>
      </c>
      <c r="W451" s="440" t="str">
        <f>IF(OR($E451="",$B451=""),"",IF($T451&lt;&gt;"",$T451-$E451,TODAY()-$E451)+1)</f>
        <v/>
      </c>
      <c r="X451" s="440" t="str">
        <f>IF(OR($AH451="",$AH451="保有中"),"",$AH451)</f>
        <v/>
      </c>
      <c r="AD451" s="608"/>
      <c r="AE451" s="600" t="str">
        <f>IF($E451="","",WORKDAY($E451,12))</f>
        <v/>
      </c>
      <c r="AF451" s="600" t="str" cm="1">
        <f t="array" aca="1" ref="AF451" ca="1">IF(OR($B451="",$M451=""),"",IFERROR(IF($C451="売",_xlfn.MINIFS(安値!$E$3:$IT$3,安値!$E$3:$IT$3,"&gt;"&amp;$E451,安値!$E$3:$IT$3,"&lt;="&amp;$AE451,OFFSET(安値!$E$6:$IT$6,MATCH(TEXT($B451,"0"),TEXT(銘柄管理!$B$6:$B$305,"0"),0)-1,0),"&lt;="&amp;$M451),_xlfn.MINIFS(高値!$E$3:$IT$3,高値!$E$3:$IT$3,"&gt;"&amp;$E451,高値!$E$3:$IT$3,"&lt;="&amp;$AE451,OFFSET(高値!$E$6:$IT$6,MATCH(TEXT($B451,"0"),TEXT(銘柄管理!$B$6:$B$305,"0"),0)-1,0),"&gt;="&amp;$M451)),""))</f>
        <v/>
      </c>
      <c r="AG451" s="600" t="str" cm="1">
        <f t="array" aca="1" ref="AG451" ca="1">IF(OR($B451="",$N451=""),"",IFERROR(IF($C451="売",_xlfn.MINIFS(高値!$E$3:$IT$3,高値!$E$3:$IT$3,"&gt;"&amp;$E451,高値!$E$3:$IT$3,"&lt;="&amp;$AE451,OFFSET(高値!$E$6:$IT$6,MATCH(TEXT($B451,"0"),TEXT(銘柄管理!$B$6:$B$305,"0"),0)-1,0),"&gt;="&amp;$N451),_xlfn.MINIFS(安値!$E$3:$IT$3,安値!$E$3:$IT$3,"&gt;"&amp;$E451,安値!$E$3:$IT$3,"&lt;="&amp;$AE451,OFFSET(安値!$E$6:$IT$6,MATCH(TEXT($B451,"0"),TEXT(銘柄管理!$B$6:$B$305,"0"),0)-1,0),"&lt;="&amp;$N451)),""))</f>
        <v/>
      </c>
      <c r="AH451" s="600" t="str">
        <f>IF(OR($B451="",$M451=""),"",IF(AND(N($AF451)=0,N($AG451)=0),IF(AND(ISNUMBER($H451),$H451&gt;0,IF($C451="売",$H451&gt;=$N451,$H451&lt;=$N451)),"損切確定",IF(AND(ISNUMBER($H451),$H451&gt;0,IF($C451="売",$H451&lt;=$M451,$H451&gt;=$M451)),"利益確定",IF($AE451&lt;=TODAY(),"日数制限","保有中"))),IF(N($AG451)=0,"利益確定",IF(N($AF451)=0,"損切確定",IF($AG451&lt;=$AF451,"損切確定","利益確定")))))</f>
        <v/>
      </c>
      <c r="AI451" s="600" t="str" cm="1">
        <f t="array" ref="AI451">IFERROR(INDEX(始値!$E$6:$IT$305,MATCH(TEXT($B451,"0"),TEXT(銘柄管理!$B$6:$B$305,"0"),0),MATCH($AE451,始値!$E$3:$IT$3,0)),"")</f>
        <v/>
      </c>
      <c r="AJ451" s="608" t="str">
        <f>IF(OR($V451="",$F451="",$G451=""),"",$V451/($F451*$G451))</f>
        <v/>
      </c>
      <c r="AK451" s="600" t="str">
        <f>IF($V451="","",IF($V451&gt;0,"○勝",IF($V451&lt;0,"●負","△引分")))</f>
        <v/>
      </c>
    </row>
    <row r="452" spans="1:37" ht="17.25" customHeight="1">
      <c r="A452" s="622" t="str">
        <f>IF(B452="","",HYPERLINK("https://kabutan.jp/stock/?code="&amp;B452,"株探"))</f>
        <v/>
      </c>
      <c r="D452" s="440" t="str" cm="1">
        <f t="array" ref="D452">_xll.RssMarket(B452, "銘柄名称")</f>
        <v/>
      </c>
      <c r="E452" s="717"/>
      <c r="F452" s="698" t="str" cm="1">
        <f t="array" aca="1" ref="F452" ca="1">IFERROR(_xlfn.LET(_xlpm.r,MATCH(TEXT($B452,"0"),TEXT(銘柄管理!$B$6:$B$305,"0"),0),_xlpm.t,MOD(NOW(),1),_xlpm.c,IF($E452=TODAY(),IF(_xlpm.t&gt;=TIME(15,30,0),NA(),1),IF(MATCH($E452,始値!$E$3:$IT$3,0)=1,1,MATCH($E452,始値!$E$3:$IT$3,0)+1)),_xlpm.v,INDEX(始値!$C$6:$IT$305,_xlpm.r,_xlpm.c),IF(N(_xlpm.v)=0,"",_xlpm.v)),"")</f>
        <v/>
      </c>
      <c r="H452" s="440" t="str" cm="1">
        <f t="array" ref="H452">_xll.RssMarket(B452, "現在値")</f>
        <v/>
      </c>
      <c r="I452" s="440" t="str" cm="1">
        <f t="array" ref="I452">_xll.RssMarket(B452, "出来高加重平均")</f>
        <v/>
      </c>
      <c r="J452" s="704" t="str" cm="1">
        <f t="array" ref="J452">_xll.RssMarket($B452, "前日比")</f>
        <v/>
      </c>
      <c r="K452" s="704" t="str">
        <f>IF(OR(F452="",G452="",H452=""),"",IF(C452="売",(F452-H452)*G452,(H452-F452)*G452))</f>
        <v/>
      </c>
      <c r="L452" s="709" t="str">
        <f>IF(OR(F452="",H452=""),"",IF(C452="売",(F452-H452)/F452,(H452-F452)/F452))</f>
        <v/>
      </c>
      <c r="M452" s="599" t="str">
        <f>IF($F452="","",$F452*IF($C452="売",1-V811設定!$B$4,1+V811設定!$B$4)-MOD($F452*IF($C452="売",1-V811設定!$B$4,1+V811設定!$B$4),IF($F452&lt;=3000,1,IF($F452&lt;=5000,5,IF($F452&lt;=30000,10,IF($F452&lt;=50000,50,IF($F452&lt;=300000,100,500))))))+IF(AND($C452="売",MOD($F452*IF($C452="売",1-V811設定!$B$4,1+V811設定!$B$4),IF($F452&lt;=3000,1,IF($F452&lt;=5000,5,IF($F452&lt;=30000,10,IF($F452&lt;=50000,50,IF($F452&lt;=300000,100,500))))))&gt;0),IF($F452&lt;=3000,1,IF($F452&lt;=5000,5,IF($F452&lt;=30000,10,IF($F452&lt;=50000,50,IF($F452&lt;=300000,100,500))))),0))</f>
      </c>
      <c r="N452" s="599" t="str">
        <f>IF($F452="","",$F452*IF($C452="売",1+V811設定!$B$3,1-V811設定!$B$3)-MOD($F452*IF($C452="売",1+V811設定!$B$3,1-V811設定!$B$3),IF($F452&lt;=3000,1,IF($F452&lt;=5000,5,IF($F452&lt;=30000,10,IF($F452&lt;=50000,50,IF($F452&lt;=300000,100,500))))))+IF(AND($C452="売",MOD($F452*IF($C452="売",1+V811設定!$B$3,1-V811設定!$B$3),IF($F452&lt;=3000,1,IF($F452&lt;=5000,5,IF($F452&lt;=30000,10,IF($F452&lt;=50000,50,IF($F452&lt;=300000,100,500))))))&gt;0),IF($F452&lt;=3000,1,IF($F452&lt;=5000,5,IF($F452&lt;=30000,10,IF($F452&lt;=50000,50,IF($F452&lt;=300000,100,500))))),0))</f>
      </c>
      <c r="O452" s="478" t="str">
        <f>IF(OR($B452="",$F452="",$H452=""),"",IF($S452="✅売却済","―決済済―",IF($C452="売",IF($H452&lt;=$M452,"🟢利確",IF(AND($R452&lt;&gt;"",$H452&gt;=$R452),"🟠TRAIL",IF($H452&gt;=$N452,"🔴損切",IF($W452&gt;=V811設定!$B$6,"⏱時間決済",IF($H452&gt;=$F452*(1+V811設定!$B$3*0.7),"⚠️損切接近","保持継続"))))),IF($H452&gt;=$M452,"🟢利確",IF(AND($R452&lt;&gt;"",$H452&lt;=$R452),"🟠TRAIL",IF($H452&lt;=$N452,"🔴損切",IF($W452&gt;=V811設定!$B$6,"⏱時間決済",IF($H452&lt;=$F452*(1-V811設定!$B$3*0.7),"⚠️損切接近","保持継続"))))))))</f>
      </c>
      <c r="P452" s="445"/>
      <c r="R452" s="440" t="str">
        <f>IF(OR($F452="",$H452="",$N452=""),"",IF($S452="✅売却済","",IF($C452="売",IF($H452&gt;$F452*(1-V811設定!$B$3),$N452,MIN($N452,IF($Q452="",$N452,$Q452*1.03))),IF($H452&lt;$F452*(1+V811設定!$B$3),$N452,MAX($N452,IF($P452="",$N452,$P452*0.97))))))</f>
      </c>
      <c r="S452" s="440" t="str">
        <f>IF(B452="","",IF(T452&lt;&gt;"","✅売却済",IF(OR(H452="",L452=""),"📌保有中",IF(L452&gt;=0.06,"🟢利確推奨",IF(L452&gt;=0.05,"🟡利確直近",IF(L452&gt;=0.045,"🔵トレーリング検討",IF(L452&gt;-0.03,"📌保有中",IF(L452&gt;-0.04,"⚠️損切注意","🔴損切り"))))))))</f>
        <v/>
      </c>
      <c r="T452" s="597"/>
      <c r="U452" s="599"/>
      <c r="V452" s="704" t="str">
        <f>IF(OR(F452="",G452="",U452=""),"",IF(C452="売",(F452-U452)*G452,(U452-F452)*G452))</f>
        <v/>
      </c>
      <c r="W452" s="440" t="str">
        <f>IF(OR($E452="",$B452=""),"",IF($T452&lt;&gt;"",$T452-$E452,TODAY()-$E452)+1)</f>
        <v/>
      </c>
      <c r="X452" s="440" t="str">
        <f>IF(OR($AH452="",$AH452="保有中"),"",$AH452)</f>
        <v/>
      </c>
      <c r="AD452" s="608"/>
      <c r="AE452" s="600" t="str">
        <f>IF($E452="","",WORKDAY($E452,12))</f>
        <v/>
      </c>
      <c r="AF452" s="600" t="str" cm="1">
        <f t="array" aca="1" ref="AF452" ca="1">IF(OR($B452="",$M452=""),"",IFERROR(IF($C452="売",_xlfn.MINIFS(安値!$E$3:$IT$3,安値!$E$3:$IT$3,"&gt;"&amp;$E452,安値!$E$3:$IT$3,"&lt;="&amp;$AE452,OFFSET(安値!$E$6:$IT$6,MATCH(TEXT($B452,"0"),TEXT(銘柄管理!$B$6:$B$305,"0"),0)-1,0),"&lt;="&amp;$M452),_xlfn.MINIFS(高値!$E$3:$IT$3,高値!$E$3:$IT$3,"&gt;"&amp;$E452,高値!$E$3:$IT$3,"&lt;="&amp;$AE452,OFFSET(高値!$E$6:$IT$6,MATCH(TEXT($B452,"0"),TEXT(銘柄管理!$B$6:$B$305,"0"),0)-1,0),"&gt;="&amp;$M452)),""))</f>
        <v/>
      </c>
      <c r="AG452" s="600" t="str" cm="1">
        <f t="array" aca="1" ref="AG452" ca="1">IF(OR($B452="",$N452=""),"",IFERROR(IF($C452="売",_xlfn.MINIFS(高値!$E$3:$IT$3,高値!$E$3:$IT$3,"&gt;"&amp;$E452,高値!$E$3:$IT$3,"&lt;="&amp;$AE452,OFFSET(高値!$E$6:$IT$6,MATCH(TEXT($B452,"0"),TEXT(銘柄管理!$B$6:$B$305,"0"),0)-1,0),"&gt;="&amp;$N452),_xlfn.MINIFS(安値!$E$3:$IT$3,安値!$E$3:$IT$3,"&gt;"&amp;$E452,安値!$E$3:$IT$3,"&lt;="&amp;$AE452,OFFSET(安値!$E$6:$IT$6,MATCH(TEXT($B452,"0"),TEXT(銘柄管理!$B$6:$B$305,"0"),0)-1,0),"&lt;="&amp;$N452)),""))</f>
        <v/>
      </c>
      <c r="AH452" s="600" t="str">
        <f>IF(OR($B452="",$M452=""),"",IF(AND(N($AF452)=0,N($AG452)=0),IF(AND(ISNUMBER($H452),$H452&gt;0,IF($C452="売",$H452&gt;=$N452,$H452&lt;=$N452)),"損切確定",IF(AND(ISNUMBER($H452),$H452&gt;0,IF($C452="売",$H452&lt;=$M452,$H452&gt;=$M452)),"利益確定",IF($AE452&lt;=TODAY(),"日数制限","保有中"))),IF(N($AG452)=0,"利益確定",IF(N($AF452)=0,"損切確定",IF($AG452&lt;=$AF452,"損切確定","利益確定")))))</f>
        <v/>
      </c>
      <c r="AI452" s="600" t="str" cm="1">
        <f t="array" ref="AI452">IFERROR(INDEX(始値!$E$6:$IT$305,MATCH(TEXT($B452,"0"),TEXT(銘柄管理!$B$6:$B$305,"0"),0),MATCH($AE452,始値!$E$3:$IT$3,0)),"")</f>
        <v/>
      </c>
      <c r="AJ452" s="608" t="str">
        <f>IF(OR($V452="",$F452="",$G452=""),"",$V452/($F452*$G452))</f>
        <v/>
      </c>
      <c r="AK452" s="600" t="str">
        <f>IF($V452="","",IF($V452&gt;0,"○勝",IF($V452&lt;0,"●負","△引分")))</f>
        <v/>
      </c>
    </row>
    <row r="453" spans="1:37" ht="17.25" customHeight="1">
      <c r="A453" s="622" t="str">
        <f>IF(B453="","",HYPERLINK("https://kabutan.jp/stock/?code="&amp;B453,"株探"))</f>
        <v/>
      </c>
      <c r="D453" s="440" t="str" cm="1">
        <f t="array" ref="D453">_xll.RssMarket(B453, "銘柄名称")</f>
        <v/>
      </c>
      <c r="E453" s="717"/>
      <c r="F453" s="698" t="str" cm="1">
        <f t="array" aca="1" ref="F453" ca="1">IFERROR(_xlfn.LET(_xlpm.r,MATCH(TEXT($B453,"0"),TEXT(銘柄管理!$B$6:$B$305,"0"),0),_xlpm.t,MOD(NOW(),1),_xlpm.c,IF($E453=TODAY(),IF(_xlpm.t&gt;=TIME(15,30,0),NA(),1),IF(MATCH($E453,始値!$E$3:$IT$3,0)=1,1,MATCH($E453,始値!$E$3:$IT$3,0)+1)),_xlpm.v,INDEX(始値!$C$6:$IT$305,_xlpm.r,_xlpm.c),IF(N(_xlpm.v)=0,"",_xlpm.v)),"")</f>
        <v/>
      </c>
      <c r="H453" s="440" t="str" cm="1">
        <f t="array" ref="H453">_xll.RssMarket(B453, "現在値")</f>
        <v/>
      </c>
      <c r="I453" s="440" t="str" cm="1">
        <f t="array" ref="I453">_xll.RssMarket(B453, "出来高加重平均")</f>
        <v/>
      </c>
      <c r="J453" s="704" t="str" cm="1">
        <f t="array" ref="J453">_xll.RssMarket($B453, "前日比")</f>
        <v/>
      </c>
      <c r="K453" s="704" t="str">
        <f>IF(OR(F453="",G453="",H453=""),"",IF(C453="売",(F453-H453)*G453,(H453-F453)*G453))</f>
        <v/>
      </c>
      <c r="L453" s="709" t="str">
        <f>IF(OR(F453="",H453=""),"",IF(C453="売",(F453-H453)/F453,(H453-F453)/F453))</f>
        <v/>
      </c>
      <c r="M453" s="599" t="str">
        <f>IF($F453="","",$F453*IF($C453="売",1-V811設定!$B$4,1+V811設定!$B$4)-MOD($F453*IF($C453="売",1-V811設定!$B$4,1+V811設定!$B$4),IF($F453&lt;=3000,1,IF($F453&lt;=5000,5,IF($F453&lt;=30000,10,IF($F453&lt;=50000,50,IF($F453&lt;=300000,100,500))))))+IF(AND($C453="売",MOD($F453*IF($C453="売",1-V811設定!$B$4,1+V811設定!$B$4),IF($F453&lt;=3000,1,IF($F453&lt;=5000,5,IF($F453&lt;=30000,10,IF($F453&lt;=50000,50,IF($F453&lt;=300000,100,500))))))&gt;0),IF($F453&lt;=3000,1,IF($F453&lt;=5000,5,IF($F453&lt;=30000,10,IF($F453&lt;=50000,50,IF($F453&lt;=300000,100,500))))),0))</f>
      </c>
      <c r="N453" s="599" t="str">
        <f>IF($F453="","",$F453*IF($C453="売",1+V811設定!$B$3,1-V811設定!$B$3)-MOD($F453*IF($C453="売",1+V811設定!$B$3,1-V811設定!$B$3),IF($F453&lt;=3000,1,IF($F453&lt;=5000,5,IF($F453&lt;=30000,10,IF($F453&lt;=50000,50,IF($F453&lt;=300000,100,500))))))+IF(AND($C453="売",MOD($F453*IF($C453="売",1+V811設定!$B$3,1-V811設定!$B$3),IF($F453&lt;=3000,1,IF($F453&lt;=5000,5,IF($F453&lt;=30000,10,IF($F453&lt;=50000,50,IF($F453&lt;=300000,100,500))))))&gt;0),IF($F453&lt;=3000,1,IF($F453&lt;=5000,5,IF($F453&lt;=30000,10,IF($F453&lt;=50000,50,IF($F453&lt;=300000,100,500))))),0))</f>
      </c>
      <c r="O453" s="478" t="str">
        <f>IF(OR($B453="",$F453="",$H453=""),"",IF($S453="✅売却済","―決済済―",IF($C453="売",IF($H453&lt;=$M453,"🟢利確",IF(AND($R453&lt;&gt;"",$H453&gt;=$R453),"🟠TRAIL",IF($H453&gt;=$N453,"🔴損切",IF($W453&gt;=V811設定!$B$6,"⏱時間決済",IF($H453&gt;=$F453*(1+V811設定!$B$3*0.7),"⚠️損切接近","保持継続"))))),IF($H453&gt;=$M453,"🟢利確",IF(AND($R453&lt;&gt;"",$H453&lt;=$R453),"🟠TRAIL",IF($H453&lt;=$N453,"🔴損切",IF($W453&gt;=V811設定!$B$6,"⏱時間決済",IF($H453&lt;=$F453*(1-V811設定!$B$3*0.7),"⚠️損切接近","保持継続"))))))))</f>
      </c>
      <c r="P453" s="445"/>
      <c r="R453" s="440" t="str">
        <f>IF(OR($F453="",$H453="",$N453=""),"",IF($S453="✅売却済","",IF($C453="売",IF($H453&gt;$F453*(1-V811設定!$B$3),$N453,MIN($N453,IF($Q453="",$N453,$Q453*1.03))),IF($H453&lt;$F453*(1+V811設定!$B$3),$N453,MAX($N453,IF($P453="",$N453,$P453*0.97))))))</f>
      </c>
      <c r="S453" s="440" t="str">
        <f>IF(B453="","",IF(T453&lt;&gt;"","✅売却済",IF(OR(H453="",L453=""),"📌保有中",IF(L453&gt;=0.06,"🟢利確推奨",IF(L453&gt;=0.05,"🟡利確直近",IF(L453&gt;=0.045,"🔵トレーリング検討",IF(L453&gt;-0.03,"📌保有中",IF(L453&gt;-0.04,"⚠️損切注意","🔴損切り"))))))))</f>
        <v/>
      </c>
      <c r="T453" s="597"/>
      <c r="U453" s="599"/>
      <c r="V453" s="704" t="str">
        <f>IF(OR(F453="",G453="",U453=""),"",IF(C453="売",(F453-U453)*G453,(U453-F453)*G453))</f>
        <v/>
      </c>
      <c r="W453" s="440" t="str">
        <f>IF(OR($E453="",$B453=""),"",IF($T453&lt;&gt;"",$T453-$E453,TODAY()-$E453)+1)</f>
        <v/>
      </c>
      <c r="X453" s="440" t="str">
        <f>IF(OR($AH453="",$AH453="保有中"),"",$AH453)</f>
        <v/>
      </c>
      <c r="AD453" s="608"/>
      <c r="AE453" s="600" t="str">
        <f>IF($E453="","",WORKDAY($E453,12))</f>
        <v/>
      </c>
      <c r="AF453" s="600" t="str" cm="1">
        <f t="array" aca="1" ref="AF453" ca="1">IF(OR($B453="",$M453=""),"",IFERROR(IF($C453="売",_xlfn.MINIFS(安値!$E$3:$IT$3,安値!$E$3:$IT$3,"&gt;"&amp;$E453,安値!$E$3:$IT$3,"&lt;="&amp;$AE453,OFFSET(安値!$E$6:$IT$6,MATCH(TEXT($B453,"0"),TEXT(銘柄管理!$B$6:$B$305,"0"),0)-1,0),"&lt;="&amp;$M453),_xlfn.MINIFS(高値!$E$3:$IT$3,高値!$E$3:$IT$3,"&gt;"&amp;$E453,高値!$E$3:$IT$3,"&lt;="&amp;$AE453,OFFSET(高値!$E$6:$IT$6,MATCH(TEXT($B453,"0"),TEXT(銘柄管理!$B$6:$B$305,"0"),0)-1,0),"&gt;="&amp;$M453)),""))</f>
        <v/>
      </c>
      <c r="AG453" s="600" t="str" cm="1">
        <f t="array" aca="1" ref="AG453" ca="1">IF(OR($B453="",$N453=""),"",IFERROR(IF($C453="売",_xlfn.MINIFS(高値!$E$3:$IT$3,高値!$E$3:$IT$3,"&gt;"&amp;$E453,高値!$E$3:$IT$3,"&lt;="&amp;$AE453,OFFSET(高値!$E$6:$IT$6,MATCH(TEXT($B453,"0"),TEXT(銘柄管理!$B$6:$B$305,"0"),0)-1,0),"&gt;="&amp;$N453),_xlfn.MINIFS(安値!$E$3:$IT$3,安値!$E$3:$IT$3,"&gt;"&amp;$E453,安値!$E$3:$IT$3,"&lt;="&amp;$AE453,OFFSET(安値!$E$6:$IT$6,MATCH(TEXT($B453,"0"),TEXT(銘柄管理!$B$6:$B$305,"0"),0)-1,0),"&lt;="&amp;$N453)),""))</f>
        <v/>
      </c>
      <c r="AH453" s="600" t="str">
        <f>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00" t="str" cm="1">
        <f t="array" ref="AI453">IFERROR(INDEX(始値!$E$6:$IT$305,MATCH(TEXT($B453,"0"),TEXT(銘柄管理!$B$6:$B$305,"0"),0),MATCH($AE453,始値!$E$3:$IT$3,0)),"")</f>
        <v/>
      </c>
      <c r="AJ453" s="608" t="str">
        <f>IF(OR($V453="",$F453="",$G453=""),"",$V453/($F453*$G453))</f>
        <v/>
      </c>
      <c r="AK453" s="600" t="str">
        <f>IF($V453="","",IF($V453&gt;0,"○勝",IF($V453&lt;0,"●負","△引分")))</f>
        <v/>
      </c>
    </row>
    <row r="454" spans="1:37" ht="17.25" customHeight="1">
      <c r="A454" s="622" t="str">
        <f>IF(B454="","",HYPERLINK("https://kabutan.jp/stock/?code="&amp;B454,"株探"))</f>
        <v/>
      </c>
      <c r="D454" s="440" t="str" cm="1">
        <f t="array" ref="D454">_xll.RssMarket(B454, "銘柄名称")</f>
        <v/>
      </c>
      <c r="E454" s="717"/>
      <c r="F454" s="698" t="str" cm="1">
        <f t="array" aca="1" ref="F454" ca="1">IFERROR(_xlfn.LET(_xlpm.r,MATCH(TEXT($B454,"0"),TEXT(銘柄管理!$B$6:$B$305,"0"),0),_xlpm.t,MOD(NOW(),1),_xlpm.c,IF($E454=TODAY(),IF(_xlpm.t&gt;=TIME(15,30,0),NA(),1),IF(MATCH($E454,始値!$E$3:$IT$3,0)=1,1,MATCH($E454,始値!$E$3:$IT$3,0)+1)),_xlpm.v,INDEX(始値!$C$6:$IT$305,_xlpm.r,_xlpm.c),IF(N(_xlpm.v)=0,"",_xlpm.v)),"")</f>
        <v/>
      </c>
      <c r="H454" s="440" t="str" cm="1">
        <f t="array" ref="H454">_xll.RssMarket(B454, "現在値")</f>
        <v/>
      </c>
      <c r="I454" s="440" t="str" cm="1">
        <f t="array" ref="I454">_xll.RssMarket(B454, "出来高加重平均")</f>
        <v/>
      </c>
      <c r="J454" s="704" t="str" cm="1">
        <f t="array" ref="J454">_xll.RssMarket($B454, "前日比")</f>
        <v/>
      </c>
      <c r="K454" s="704" t="str">
        <f>IF(OR(F454="",G454="",H454=""),"",IF(C454="売",(F454-H454)*G454,(H454-F454)*G454))</f>
        <v/>
      </c>
      <c r="L454" s="709" t="str">
        <f>IF(OR(F454="",H454=""),"",IF(C454="売",(F454-H454)/F454,(H454-F454)/F454))</f>
        <v/>
      </c>
      <c r="M454" s="599" t="str">
        <f>IF($F454="","",$F454*IF($C454="売",1-V811設定!$B$4,1+V811設定!$B$4)-MOD($F454*IF($C454="売",1-V811設定!$B$4,1+V811設定!$B$4),IF($F454&lt;=3000,1,IF($F454&lt;=5000,5,IF($F454&lt;=30000,10,IF($F454&lt;=50000,50,IF($F454&lt;=300000,100,500))))))+IF(AND($C454="売",MOD($F454*IF($C454="売",1-V811設定!$B$4,1+V811設定!$B$4),IF($F454&lt;=3000,1,IF($F454&lt;=5000,5,IF($F454&lt;=30000,10,IF($F454&lt;=50000,50,IF($F454&lt;=300000,100,500))))))&gt;0),IF($F454&lt;=3000,1,IF($F454&lt;=5000,5,IF($F454&lt;=30000,10,IF($F454&lt;=50000,50,IF($F454&lt;=300000,100,500))))),0))</f>
      </c>
      <c r="N454" s="599" t="str">
        <f>IF($F454="","",$F454*IF($C454="売",1+V811設定!$B$3,1-V811設定!$B$3)-MOD($F454*IF($C454="売",1+V811設定!$B$3,1-V811設定!$B$3),IF($F454&lt;=3000,1,IF($F454&lt;=5000,5,IF($F454&lt;=30000,10,IF($F454&lt;=50000,50,IF($F454&lt;=300000,100,500))))))+IF(AND($C454="売",MOD($F454*IF($C454="売",1+V811設定!$B$3,1-V811設定!$B$3),IF($F454&lt;=3000,1,IF($F454&lt;=5000,5,IF($F454&lt;=30000,10,IF($F454&lt;=50000,50,IF($F454&lt;=300000,100,500))))))&gt;0),IF($F454&lt;=3000,1,IF($F454&lt;=5000,5,IF($F454&lt;=30000,10,IF($F454&lt;=50000,50,IF($F454&lt;=300000,100,500))))),0))</f>
      </c>
      <c r="O454" s="478" t="str">
        <f>IF(OR($B454="",$F454="",$H454=""),"",IF($S454="✅売却済","―決済済―",IF($C454="売",IF($H454&lt;=$M454,"🟢利確",IF(AND($R454&lt;&gt;"",$H454&gt;=$R454),"🟠TRAIL",IF($H454&gt;=$N454,"🔴損切",IF($W454&gt;=V811設定!$B$6,"⏱時間決済",IF($H454&gt;=$F454*(1+V811設定!$B$3*0.7),"⚠️損切接近","保持継続"))))),IF($H454&gt;=$M454,"🟢利確",IF(AND($R454&lt;&gt;"",$H454&lt;=$R454),"🟠TRAIL",IF($H454&lt;=$N454,"🔴損切",IF($W454&gt;=V811設定!$B$6,"⏱時間決済",IF($H454&lt;=$F454*(1-V811設定!$B$3*0.7),"⚠️損切接近","保持継続"))))))))</f>
      </c>
      <c r="P454" s="445"/>
      <c r="R454" s="440" t="str">
        <f>IF(OR($F454="",$H454="",$N454=""),"",IF($S454="✅売却済","",IF($C454="売",IF($H454&gt;$F454*(1-V811設定!$B$3),$N454,MIN($N454,IF($Q454="",$N454,$Q454*1.03))),IF($H454&lt;$F454*(1+V811設定!$B$3),$N454,MAX($N454,IF($P454="",$N454,$P454*0.97))))))</f>
      </c>
      <c r="S454" s="440" t="str">
        <f>IF(B454="","",IF(T454&lt;&gt;"","✅売却済",IF(OR(H454="",L454=""),"📌保有中",IF(L454&gt;=0.06,"🟢利確推奨",IF(L454&gt;=0.05,"🟡利確直近",IF(L454&gt;=0.045,"🔵トレーリング検討",IF(L454&gt;-0.03,"📌保有中",IF(L454&gt;-0.04,"⚠️損切注意","🔴損切り"))))))))</f>
        <v/>
      </c>
      <c r="T454" s="597"/>
      <c r="U454" s="599"/>
      <c r="V454" s="704" t="str">
        <f>IF(OR(F454="",G454="",U454=""),"",IF(C454="売",(F454-U454)*G454,(U454-F454)*G454))</f>
        <v/>
      </c>
      <c r="W454" s="440" t="str">
        <f>IF(OR($E454="",$B454=""),"",IF($T454&lt;&gt;"",$T454-$E454,TODAY()-$E454)+1)</f>
        <v/>
      </c>
      <c r="X454" s="440" t="str">
        <f>IF(OR($AH454="",$AH454="保有中"),"",$AH454)</f>
        <v/>
      </c>
      <c r="AD454" s="608"/>
      <c r="AE454" s="600" t="str">
        <f>IF($E454="","",WORKDAY($E454,12))</f>
        <v/>
      </c>
      <c r="AF454" s="600" t="str" cm="1">
        <f t="array" aca="1" ref="AF454" ca="1">IF(OR($B454="",$M454=""),"",IFERROR(IF($C454="売",_xlfn.MINIFS(安値!$E$3:$IT$3,安値!$E$3:$IT$3,"&gt;"&amp;$E454,安値!$E$3:$IT$3,"&lt;="&amp;$AE454,OFFSET(安値!$E$6:$IT$6,MATCH(TEXT($B454,"0"),TEXT(銘柄管理!$B$6:$B$305,"0"),0)-1,0),"&lt;="&amp;$M454),_xlfn.MINIFS(高値!$E$3:$IT$3,高値!$E$3:$IT$3,"&gt;"&amp;$E454,高値!$E$3:$IT$3,"&lt;="&amp;$AE454,OFFSET(高値!$E$6:$IT$6,MATCH(TEXT($B454,"0"),TEXT(銘柄管理!$B$6:$B$305,"0"),0)-1,0),"&gt;="&amp;$M454)),""))</f>
        <v/>
      </c>
      <c r="AG454" s="600" t="str" cm="1">
        <f t="array" aca="1" ref="AG454" ca="1">IF(OR($B454="",$N454=""),"",IFERROR(IF($C454="売",_xlfn.MINIFS(高値!$E$3:$IT$3,高値!$E$3:$IT$3,"&gt;"&amp;$E454,高値!$E$3:$IT$3,"&lt;="&amp;$AE454,OFFSET(高値!$E$6:$IT$6,MATCH(TEXT($B454,"0"),TEXT(銘柄管理!$B$6:$B$305,"0"),0)-1,0),"&gt;="&amp;$N454),_xlfn.MINIFS(安値!$E$3:$IT$3,安値!$E$3:$IT$3,"&gt;"&amp;$E454,安値!$E$3:$IT$3,"&lt;="&amp;$AE454,OFFSET(安値!$E$6:$IT$6,MATCH(TEXT($B454,"0"),TEXT(銘柄管理!$B$6:$B$305,"0"),0)-1,0),"&lt;="&amp;$N454)),""))</f>
        <v/>
      </c>
      <c r="AH454" s="600" t="str">
        <f>IF(OR($B454="",$M454=""),"",IF(AND(N($AF454)=0,N($AG454)=0),IF(AND(ISNUMBER($H454),$H454&gt;0,IF($C454="売",$H454&gt;=$N454,$H454&lt;=$N454)),"損切確定",IF(AND(ISNUMBER($H454),$H454&gt;0,IF($C454="売",$H454&lt;=$M454,$H454&gt;=$M454)),"利益確定",IF($AE454&lt;=TODAY(),"日数制限","保有中"))),IF(N($AG454)=0,"利益確定",IF(N($AF454)=0,"損切確定",IF($AG454&lt;=$AF454,"損切確定","利益確定")))))</f>
        <v/>
      </c>
      <c r="AI454" s="600" t="str" cm="1">
        <f t="array" ref="AI454">IFERROR(INDEX(始値!$E$6:$IT$305,MATCH(TEXT($B454,"0"),TEXT(銘柄管理!$B$6:$B$305,"0"),0),MATCH($AE454,始値!$E$3:$IT$3,0)),"")</f>
        <v/>
      </c>
      <c r="AJ454" s="608" t="str">
        <f>IF(OR($V454="",$F454="",$G454=""),"",$V454/($F454*$G454))</f>
        <v/>
      </c>
      <c r="AK454" s="600" t="str">
        <f>IF($V454="","",IF($V454&gt;0,"○勝",IF($V454&lt;0,"●負","△引分")))</f>
        <v/>
      </c>
    </row>
    <row r="455" spans="1:37" ht="17.25" customHeight="1">
      <c r="A455" s="622" t="str">
        <f>IF(B455="","",HYPERLINK("https://kabutan.jp/stock/?code="&amp;B455,"株探"))</f>
        <v/>
      </c>
      <c r="D455" s="440" t="str" cm="1">
        <f t="array" ref="D455">_xll.RssMarket(B455, "銘柄名称")</f>
        <v/>
      </c>
      <c r="E455" s="717"/>
      <c r="F455" s="698" t="str" cm="1">
        <f t="array" aca="1" ref="F455" ca="1">IFERROR(_xlfn.LET(_xlpm.r,MATCH(TEXT($B455,"0"),TEXT(銘柄管理!$B$6:$B$305,"0"),0),_xlpm.t,MOD(NOW(),1),_xlpm.c,IF($E455=TODAY(),IF(_xlpm.t&gt;=TIME(15,30,0),NA(),1),IF(MATCH($E455,始値!$E$3:$IT$3,0)=1,1,MATCH($E455,始値!$E$3:$IT$3,0)+1)),_xlpm.v,INDEX(始値!$C$6:$IT$305,_xlpm.r,_xlpm.c),IF(N(_xlpm.v)=0,"",_xlpm.v)),"")</f>
        <v/>
      </c>
      <c r="H455" s="440" t="str" cm="1">
        <f t="array" ref="H455">_xll.RssMarket(B455, "現在値")</f>
        <v/>
      </c>
      <c r="I455" s="440" t="str" cm="1">
        <f t="array" ref="I455">_xll.RssMarket(B455, "出来高加重平均")</f>
        <v/>
      </c>
      <c r="J455" s="704" t="str" cm="1">
        <f t="array" ref="J455">_xll.RssMarket($B455, "前日比")</f>
        <v/>
      </c>
      <c r="K455" s="704" t="str">
        <f>IF(OR(F455="",G455="",H455=""),"",IF(C455="売",(F455-H455)*G455,(H455-F455)*G455))</f>
        <v/>
      </c>
      <c r="L455" s="709" t="str">
        <f>IF(OR(F455="",H455=""),"",IF(C455="売",(F455-H455)/F455,(H455-F455)/F455))</f>
        <v/>
      </c>
      <c r="M455" s="599" t="str">
        <f>IF($F455="","",$F455*IF($C455="売",1-V811設定!$B$4,1+V811設定!$B$4)-MOD($F455*IF($C455="売",1-V811設定!$B$4,1+V811設定!$B$4),IF($F455&lt;=3000,1,IF($F455&lt;=5000,5,IF($F455&lt;=30000,10,IF($F455&lt;=50000,50,IF($F455&lt;=300000,100,500))))))+IF(AND($C455="売",MOD($F455*IF($C455="売",1-V811設定!$B$4,1+V811設定!$B$4),IF($F455&lt;=3000,1,IF($F455&lt;=5000,5,IF($F455&lt;=30000,10,IF($F455&lt;=50000,50,IF($F455&lt;=300000,100,500))))))&gt;0),IF($F455&lt;=3000,1,IF($F455&lt;=5000,5,IF($F455&lt;=30000,10,IF($F455&lt;=50000,50,IF($F455&lt;=300000,100,500))))),0))</f>
      </c>
      <c r="N455" s="599" t="str">
        <f>IF($F455="","",$F455*IF($C455="売",1+V811設定!$B$3,1-V811設定!$B$3)-MOD($F455*IF($C455="売",1+V811設定!$B$3,1-V811設定!$B$3),IF($F455&lt;=3000,1,IF($F455&lt;=5000,5,IF($F455&lt;=30000,10,IF($F455&lt;=50000,50,IF($F455&lt;=300000,100,500))))))+IF(AND($C455="売",MOD($F455*IF($C455="売",1+V811設定!$B$3,1-V811設定!$B$3),IF($F455&lt;=3000,1,IF($F455&lt;=5000,5,IF($F455&lt;=30000,10,IF($F455&lt;=50000,50,IF($F455&lt;=300000,100,500))))))&gt;0),IF($F455&lt;=3000,1,IF($F455&lt;=5000,5,IF($F455&lt;=30000,10,IF($F455&lt;=50000,50,IF($F455&lt;=300000,100,500))))),0))</f>
      </c>
      <c r="O455" s="478" t="str">
        <f>IF(OR($B455="",$F455="",$H455=""),"",IF($S455="✅売却済","―決済済―",IF($C455="売",IF($H455&lt;=$M455,"🟢利確",IF(AND($R455&lt;&gt;"",$H455&gt;=$R455),"🟠TRAIL",IF($H455&gt;=$N455,"🔴損切",IF($W455&gt;=V811設定!$B$6,"⏱時間決済",IF($H455&gt;=$F455*(1+V811設定!$B$3*0.7),"⚠️損切接近","保持継続"))))),IF($H455&gt;=$M455,"🟢利確",IF(AND($R455&lt;&gt;"",$H455&lt;=$R455),"🟠TRAIL",IF($H455&lt;=$N455,"🔴損切",IF($W455&gt;=V811設定!$B$6,"⏱時間決済",IF($H455&lt;=$F455*(1-V811設定!$B$3*0.7),"⚠️損切接近","保持継続"))))))))</f>
      </c>
      <c r="P455" s="445"/>
      <c r="R455" s="440" t="str">
        <f>IF(OR($F455="",$H455="",$N455=""),"",IF($S455="✅売却済","",IF($C455="売",IF($H455&gt;$F455*(1-V811設定!$B$3),$N455,MIN($N455,IF($Q455="",$N455,$Q455*1.03))),IF($H455&lt;$F455*(1+V811設定!$B$3),$N455,MAX($N455,IF($P455="",$N455,$P455*0.97))))))</f>
      </c>
      <c r="S455" s="440" t="str">
        <f>IF(B455="","",IF(T455&lt;&gt;"","✅売却済",IF(OR(H455="",L455=""),"📌保有中",IF(L455&gt;=0.06,"🟢利確推奨",IF(L455&gt;=0.05,"🟡利確直近",IF(L455&gt;=0.045,"🔵トレーリング検討",IF(L455&gt;-0.03,"📌保有中",IF(L455&gt;-0.04,"⚠️損切注意","🔴損切り"))))))))</f>
        <v/>
      </c>
      <c r="T455" s="597"/>
      <c r="U455" s="599"/>
      <c r="V455" s="704" t="str">
        <f>IF(OR(F455="",G455="",U455=""),"",IF(C455="売",(F455-U455)*G455,(U455-F455)*G455))</f>
        <v/>
      </c>
      <c r="W455" s="440" t="str">
        <f>IF(OR($E455="",$B455=""),"",IF($T455&lt;&gt;"",$T455-$E455,TODAY()-$E455)+1)</f>
        <v/>
      </c>
      <c r="X455" s="440" t="str">
        <f>IF(OR($AH455="",$AH455="保有中"),"",$AH455)</f>
        <v/>
      </c>
      <c r="AD455" s="608"/>
      <c r="AE455" s="600" t="str">
        <f>IF($E455="","",WORKDAY($E455,12))</f>
        <v/>
      </c>
      <c r="AF455" s="600" t="str" cm="1">
        <f t="array" aca="1" ref="AF455" ca="1">IF(OR($B455="",$M455=""),"",IFERROR(IF($C455="売",_xlfn.MINIFS(安値!$E$3:$IT$3,安値!$E$3:$IT$3,"&gt;"&amp;$E455,安値!$E$3:$IT$3,"&lt;="&amp;$AE455,OFFSET(安値!$E$6:$IT$6,MATCH(TEXT($B455,"0"),TEXT(銘柄管理!$B$6:$B$305,"0"),0)-1,0),"&lt;="&amp;$M455),_xlfn.MINIFS(高値!$E$3:$IT$3,高値!$E$3:$IT$3,"&gt;"&amp;$E455,高値!$E$3:$IT$3,"&lt;="&amp;$AE455,OFFSET(高値!$E$6:$IT$6,MATCH(TEXT($B455,"0"),TEXT(銘柄管理!$B$6:$B$305,"0"),0)-1,0),"&gt;="&amp;$M455)),""))</f>
        <v/>
      </c>
      <c r="AG455" s="600" t="str" cm="1">
        <f t="array" aca="1" ref="AG455" ca="1">IF(OR($B455="",$N455=""),"",IFERROR(IF($C455="売",_xlfn.MINIFS(高値!$E$3:$IT$3,高値!$E$3:$IT$3,"&gt;"&amp;$E455,高値!$E$3:$IT$3,"&lt;="&amp;$AE455,OFFSET(高値!$E$6:$IT$6,MATCH(TEXT($B455,"0"),TEXT(銘柄管理!$B$6:$B$305,"0"),0)-1,0),"&gt;="&amp;$N455),_xlfn.MINIFS(安値!$E$3:$IT$3,安値!$E$3:$IT$3,"&gt;"&amp;$E455,安値!$E$3:$IT$3,"&lt;="&amp;$AE455,OFFSET(安値!$E$6:$IT$6,MATCH(TEXT($B455,"0"),TEXT(銘柄管理!$B$6:$B$305,"0"),0)-1,0),"&lt;="&amp;$N455)),""))</f>
        <v/>
      </c>
      <c r="AH455" s="600" t="str">
        <f>IF(OR($B455="",$M455=""),"",IF(AND(N($AF455)=0,N($AG455)=0),IF(AND(ISNUMBER($H455),$H455&gt;0,IF($C455="売",$H455&gt;=$N455,$H455&lt;=$N455)),"損切確定",IF(AND(ISNUMBER($H455),$H455&gt;0,IF($C455="売",$H455&lt;=$M455,$H455&gt;=$M455)),"利益確定",IF($AE455&lt;=TODAY(),"日数制限","保有中"))),IF(N($AG455)=0,"利益確定",IF(N($AF455)=0,"損切確定",IF($AG455&lt;=$AF455,"損切確定","利益確定")))))</f>
        <v/>
      </c>
      <c r="AI455" s="600" t="str" cm="1">
        <f t="array" ref="AI455">IFERROR(INDEX(始値!$E$6:$IT$305,MATCH(TEXT($B455,"0"),TEXT(銘柄管理!$B$6:$B$305,"0"),0),MATCH($AE455,始値!$E$3:$IT$3,0)),"")</f>
        <v/>
      </c>
      <c r="AJ455" s="608" t="str">
        <f>IF(OR($V455="",$F455="",$G455=""),"",$V455/($F455*$G455))</f>
        <v/>
      </c>
      <c r="AK455" s="600" t="str">
        <f>IF($V455="","",IF($V455&gt;0,"○勝",IF($V455&lt;0,"●負","△引分")))</f>
        <v/>
      </c>
    </row>
    <row r="456" spans="1:37" ht="17.25" customHeight="1">
      <c r="A456" s="622" t="str">
        <f>IF(B456="","",HYPERLINK("https://kabutan.jp/stock/?code="&amp;B456,"株探"))</f>
        <v/>
      </c>
      <c r="D456" s="440" t="str" cm="1">
        <f t="array" ref="D456">_xll.RssMarket(B456, "銘柄名称")</f>
        <v/>
      </c>
      <c r="E456" s="717"/>
      <c r="F456" s="698" t="str" cm="1">
        <f t="array" aca="1" ref="F456" ca="1">IFERROR(_xlfn.LET(_xlpm.r,MATCH(TEXT($B456,"0"),TEXT(銘柄管理!$B$6:$B$305,"0"),0),_xlpm.t,MOD(NOW(),1),_xlpm.c,IF($E456=TODAY(),IF(_xlpm.t&gt;=TIME(15,30,0),NA(),1),IF(MATCH($E456,始値!$E$3:$IT$3,0)=1,1,MATCH($E456,始値!$E$3:$IT$3,0)+1)),_xlpm.v,INDEX(始値!$C$6:$IT$305,_xlpm.r,_xlpm.c),IF(N(_xlpm.v)=0,"",_xlpm.v)),"")</f>
        <v/>
      </c>
      <c r="H456" s="440" t="str" cm="1">
        <f t="array" ref="H456">_xll.RssMarket(B456, "現在値")</f>
        <v/>
      </c>
      <c r="I456" s="440" t="str" cm="1">
        <f t="array" ref="I456">_xll.RssMarket(B456, "出来高加重平均")</f>
        <v/>
      </c>
      <c r="J456" s="704" t="str" cm="1">
        <f t="array" ref="J456">_xll.RssMarket($B456, "前日比")</f>
        <v/>
      </c>
      <c r="K456" s="704" t="str">
        <f>IF(OR(F456="",G456="",H456=""),"",IF(C456="売",(F456-H456)*G456,(H456-F456)*G456))</f>
        <v/>
      </c>
      <c r="L456" s="709" t="str">
        <f>IF(OR(F456="",H456=""),"",IF(C456="売",(F456-H456)/F456,(H456-F456)/F456))</f>
        <v/>
      </c>
      <c r="M456" s="599" t="str">
        <f>IF($F456="","",$F456*IF($C456="売",1-V811設定!$B$4,1+V811設定!$B$4)-MOD($F456*IF($C456="売",1-V811設定!$B$4,1+V811設定!$B$4),IF($F456&lt;=3000,1,IF($F456&lt;=5000,5,IF($F456&lt;=30000,10,IF($F456&lt;=50000,50,IF($F456&lt;=300000,100,500))))))+IF(AND($C456="売",MOD($F456*IF($C456="売",1-V811設定!$B$4,1+V811設定!$B$4),IF($F456&lt;=3000,1,IF($F456&lt;=5000,5,IF($F456&lt;=30000,10,IF($F456&lt;=50000,50,IF($F456&lt;=300000,100,500))))))&gt;0),IF($F456&lt;=3000,1,IF($F456&lt;=5000,5,IF($F456&lt;=30000,10,IF($F456&lt;=50000,50,IF($F456&lt;=300000,100,500))))),0))</f>
      </c>
      <c r="N456" s="599" t="str">
        <f>IF($F456="","",$F456*IF($C456="売",1+V811設定!$B$3,1-V811設定!$B$3)-MOD($F456*IF($C456="売",1+V811設定!$B$3,1-V811設定!$B$3),IF($F456&lt;=3000,1,IF($F456&lt;=5000,5,IF($F456&lt;=30000,10,IF($F456&lt;=50000,50,IF($F456&lt;=300000,100,500))))))+IF(AND($C456="売",MOD($F456*IF($C456="売",1+V811設定!$B$3,1-V811設定!$B$3),IF($F456&lt;=3000,1,IF($F456&lt;=5000,5,IF($F456&lt;=30000,10,IF($F456&lt;=50000,50,IF($F456&lt;=300000,100,500))))))&gt;0),IF($F456&lt;=3000,1,IF($F456&lt;=5000,5,IF($F456&lt;=30000,10,IF($F456&lt;=50000,50,IF($F456&lt;=300000,100,500))))),0))</f>
      </c>
      <c r="O456" s="478" t="str">
        <f>IF(OR($B456="",$F456="",$H456=""),"",IF($S456="✅売却済","―決済済―",IF($C456="売",IF($H456&lt;=$M456,"🟢利確",IF(AND($R456&lt;&gt;"",$H456&gt;=$R456),"🟠TRAIL",IF($H456&gt;=$N456,"🔴損切",IF($W456&gt;=V811設定!$B$6,"⏱時間決済",IF($H456&gt;=$F456*(1+V811設定!$B$3*0.7),"⚠️損切接近","保持継続"))))),IF($H456&gt;=$M456,"🟢利確",IF(AND($R456&lt;&gt;"",$H456&lt;=$R456),"🟠TRAIL",IF($H456&lt;=$N456,"🔴損切",IF($W456&gt;=V811設定!$B$6,"⏱時間決済",IF($H456&lt;=$F456*(1-V811設定!$B$3*0.7),"⚠️損切接近","保持継続"))))))))</f>
      </c>
      <c r="P456" s="445"/>
      <c r="R456" s="440" t="str">
        <f>IF(OR($F456="",$H456="",$N456=""),"",IF($S456="✅売却済","",IF($C456="売",IF($H456&gt;$F456*(1-V811設定!$B$3),$N456,MIN($N456,IF($Q456="",$N456,$Q456*1.03))),IF($H456&lt;$F456*(1+V811設定!$B$3),$N456,MAX($N456,IF($P456="",$N456,$P456*0.97))))))</f>
      </c>
      <c r="S456" s="440" t="str">
        <f>IF(B456="","",IF(T456&lt;&gt;"","✅売却済",IF(OR(H456="",L456=""),"📌保有中",IF(L456&gt;=0.06,"🟢利確推奨",IF(L456&gt;=0.05,"🟡利確直近",IF(L456&gt;=0.045,"🔵トレーリング検討",IF(L456&gt;-0.03,"📌保有中",IF(L456&gt;-0.04,"⚠️損切注意","🔴損切り"))))))))</f>
        <v/>
      </c>
      <c r="T456" s="597"/>
      <c r="U456" s="599"/>
      <c r="V456" s="704" t="str">
        <f>IF(OR(F456="",G456="",U456=""),"",IF(C456="売",(F456-U456)*G456,(U456-F456)*G456))</f>
        <v/>
      </c>
      <c r="W456" s="440" t="str">
        <f>IF(OR($E456="",$B456=""),"",IF($T456&lt;&gt;"",$T456-$E456,TODAY()-$E456)+1)</f>
        <v/>
      </c>
      <c r="X456" s="440" t="str">
        <f>IF(OR($AH456="",$AH456="保有中"),"",$AH456)</f>
        <v/>
      </c>
      <c r="AD456" s="608"/>
      <c r="AE456" s="600" t="str">
        <f>IF($E456="","",WORKDAY($E456,12))</f>
        <v/>
      </c>
      <c r="AF456" s="600" t="str" cm="1">
        <f t="array" aca="1" ref="AF456" ca="1">IF(OR($B456="",$M456=""),"",IFERROR(IF($C456="売",_xlfn.MINIFS(安値!$E$3:$IT$3,安値!$E$3:$IT$3,"&gt;"&amp;$E456,安値!$E$3:$IT$3,"&lt;="&amp;$AE456,OFFSET(安値!$E$6:$IT$6,MATCH(TEXT($B456,"0"),TEXT(銘柄管理!$B$6:$B$305,"0"),0)-1,0),"&lt;="&amp;$M456),_xlfn.MINIFS(高値!$E$3:$IT$3,高値!$E$3:$IT$3,"&gt;"&amp;$E456,高値!$E$3:$IT$3,"&lt;="&amp;$AE456,OFFSET(高値!$E$6:$IT$6,MATCH(TEXT($B456,"0"),TEXT(銘柄管理!$B$6:$B$305,"0"),0)-1,0),"&gt;="&amp;$M456)),""))</f>
        <v/>
      </c>
      <c r="AG456" s="600" t="str" cm="1">
        <f t="array" aca="1" ref="AG456" ca="1">IF(OR($B456="",$N456=""),"",IFERROR(IF($C456="売",_xlfn.MINIFS(高値!$E$3:$IT$3,高値!$E$3:$IT$3,"&gt;"&amp;$E456,高値!$E$3:$IT$3,"&lt;="&amp;$AE456,OFFSET(高値!$E$6:$IT$6,MATCH(TEXT($B456,"0"),TEXT(銘柄管理!$B$6:$B$305,"0"),0)-1,0),"&gt;="&amp;$N456),_xlfn.MINIFS(安値!$E$3:$IT$3,安値!$E$3:$IT$3,"&gt;"&amp;$E456,安値!$E$3:$IT$3,"&lt;="&amp;$AE456,OFFSET(安値!$E$6:$IT$6,MATCH(TEXT($B456,"0"),TEXT(銘柄管理!$B$6:$B$305,"0"),0)-1,0),"&lt;="&amp;$N456)),""))</f>
        <v/>
      </c>
      <c r="AH456" s="600" t="str">
        <f>IF(OR($B456="",$M456=""),"",IF(AND(N($AF456)=0,N($AG456)=0),IF(AND(ISNUMBER($H456),$H456&gt;0,IF($C456="売",$H456&gt;=$N456,$H456&lt;=$N456)),"損切確定",IF(AND(ISNUMBER($H456),$H456&gt;0,IF($C456="売",$H456&lt;=$M456,$H456&gt;=$M456)),"利益確定",IF($AE456&lt;=TODAY(),"日数制限","保有中"))),IF(N($AG456)=0,"利益確定",IF(N($AF456)=0,"損切確定",IF($AG456&lt;=$AF456,"損切確定","利益確定")))))</f>
        <v/>
      </c>
      <c r="AI456" s="600" t="str" cm="1">
        <f t="array" ref="AI456">IFERROR(INDEX(始値!$E$6:$IT$305,MATCH(TEXT($B456,"0"),TEXT(銘柄管理!$B$6:$B$305,"0"),0),MATCH($AE456,始値!$E$3:$IT$3,0)),"")</f>
        <v/>
      </c>
      <c r="AJ456" s="608" t="str">
        <f>IF(OR($V456="",$F456="",$G456=""),"",$V456/($F456*$G456))</f>
        <v/>
      </c>
      <c r="AK456" s="600" t="str">
        <f>IF($V456="","",IF($V456&gt;0,"○勝",IF($V456&lt;0,"●負","△引分")))</f>
        <v/>
      </c>
    </row>
    <row r="457" spans="1:37" ht="17.25" customHeight="1">
      <c r="A457" s="622" t="str">
        <f>IF(B457="","",HYPERLINK("https://kabutan.jp/stock/?code="&amp;B457,"株探"))</f>
        <v/>
      </c>
      <c r="D457" s="440" t="str" cm="1">
        <f t="array" ref="D457">_xll.RssMarket(B457, "銘柄名称")</f>
        <v/>
      </c>
      <c r="E457" s="717"/>
      <c r="F457" s="698" t="str" cm="1">
        <f t="array" aca="1" ref="F457" ca="1">IFERROR(_xlfn.LET(_xlpm.r,MATCH(TEXT($B457,"0"),TEXT(銘柄管理!$B$6:$B$305,"0"),0),_xlpm.t,MOD(NOW(),1),_xlpm.c,IF($E457=TODAY(),IF(_xlpm.t&gt;=TIME(15,30,0),NA(),1),IF(MATCH($E457,始値!$E$3:$IT$3,0)=1,1,MATCH($E457,始値!$E$3:$IT$3,0)+1)),_xlpm.v,INDEX(始値!$C$6:$IT$305,_xlpm.r,_xlpm.c),IF(N(_xlpm.v)=0,"",_xlpm.v)),"")</f>
        <v/>
      </c>
      <c r="H457" s="440" t="str" cm="1">
        <f t="array" ref="H457">_xll.RssMarket(B457, "現在値")</f>
        <v/>
      </c>
      <c r="I457" s="440" t="str" cm="1">
        <f t="array" ref="I457">_xll.RssMarket(B457, "出来高加重平均")</f>
        <v/>
      </c>
      <c r="J457" s="704" t="str" cm="1">
        <f t="array" ref="J457">_xll.RssMarket($B457, "前日比")</f>
        <v/>
      </c>
      <c r="K457" s="704" t="str">
        <f>IF(OR(F457="",G457="",H457=""),"",IF(C457="売",(F457-H457)*G457,(H457-F457)*G457))</f>
        <v/>
      </c>
      <c r="L457" s="709" t="str">
        <f>IF(OR(F457="",H457=""),"",IF(C457="売",(F457-H457)/F457,(H457-F457)/F457))</f>
        <v/>
      </c>
      <c r="M457" s="599" t="str">
        <f>IF($F457="","",$F457*IF($C457="売",1-V811設定!$B$4,1+V811設定!$B$4)-MOD($F457*IF($C457="売",1-V811設定!$B$4,1+V811設定!$B$4),IF($F457&lt;=3000,1,IF($F457&lt;=5000,5,IF($F457&lt;=30000,10,IF($F457&lt;=50000,50,IF($F457&lt;=300000,100,500))))))+IF(AND($C457="売",MOD($F457*IF($C457="売",1-V811設定!$B$4,1+V811設定!$B$4),IF($F457&lt;=3000,1,IF($F457&lt;=5000,5,IF($F457&lt;=30000,10,IF($F457&lt;=50000,50,IF($F457&lt;=300000,100,500))))))&gt;0),IF($F457&lt;=3000,1,IF($F457&lt;=5000,5,IF($F457&lt;=30000,10,IF($F457&lt;=50000,50,IF($F457&lt;=300000,100,500))))),0))</f>
      </c>
      <c r="N457" s="599" t="str">
        <f>IF($F457="","",$F457*IF($C457="売",1+V811設定!$B$3,1-V811設定!$B$3)-MOD($F457*IF($C457="売",1+V811設定!$B$3,1-V811設定!$B$3),IF($F457&lt;=3000,1,IF($F457&lt;=5000,5,IF($F457&lt;=30000,10,IF($F457&lt;=50000,50,IF($F457&lt;=300000,100,500))))))+IF(AND($C457="売",MOD($F457*IF($C457="売",1+V811設定!$B$3,1-V811設定!$B$3),IF($F457&lt;=3000,1,IF($F457&lt;=5000,5,IF($F457&lt;=30000,10,IF($F457&lt;=50000,50,IF($F457&lt;=300000,100,500))))))&gt;0),IF($F457&lt;=3000,1,IF($F457&lt;=5000,5,IF($F457&lt;=30000,10,IF($F457&lt;=50000,50,IF($F457&lt;=300000,100,500))))),0))</f>
      </c>
      <c r="O457" s="478" t="str">
        <f>IF(OR($B457="",$F457="",$H457=""),"",IF($S457="✅売却済","―決済済―",IF($C457="売",IF($H457&lt;=$M457,"🟢利確",IF(AND($R457&lt;&gt;"",$H457&gt;=$R457),"🟠TRAIL",IF($H457&gt;=$N457,"🔴損切",IF($W457&gt;=V811設定!$B$6,"⏱時間決済",IF($H457&gt;=$F457*(1+V811設定!$B$3*0.7),"⚠️損切接近","保持継続"))))),IF($H457&gt;=$M457,"🟢利確",IF(AND($R457&lt;&gt;"",$H457&lt;=$R457),"🟠TRAIL",IF($H457&lt;=$N457,"🔴損切",IF($W457&gt;=V811設定!$B$6,"⏱時間決済",IF($H457&lt;=$F457*(1-V811設定!$B$3*0.7),"⚠️損切接近","保持継続"))))))))</f>
      </c>
      <c r="P457" s="445"/>
      <c r="R457" s="440" t="str">
        <f>IF(OR($F457="",$H457="",$N457=""),"",IF($S457="✅売却済","",IF($C457="売",IF($H457&gt;$F457*(1-V811設定!$B$3),$N457,MIN($N457,IF($Q457="",$N457,$Q457*1.03))),IF($H457&lt;$F457*(1+V811設定!$B$3),$N457,MAX($N457,IF($P457="",$N457,$P457*0.97))))))</f>
      </c>
      <c r="S457" s="440" t="str">
        <f>IF(B457="","",IF(T457&lt;&gt;"","✅売却済",IF(OR(H457="",L457=""),"📌保有中",IF(L457&gt;=0.06,"🟢利確推奨",IF(L457&gt;=0.05,"🟡利確直近",IF(L457&gt;=0.045,"🔵トレーリング検討",IF(L457&gt;-0.03,"📌保有中",IF(L457&gt;-0.04,"⚠️損切注意","🔴損切り"))))))))</f>
        <v/>
      </c>
      <c r="T457" s="597"/>
      <c r="U457" s="599"/>
      <c r="V457" s="704" t="str">
        <f>IF(OR(F457="",G457="",U457=""),"",IF(C457="売",(F457-U457)*G457,(U457-F457)*G457))</f>
        <v/>
      </c>
      <c r="W457" s="440" t="str">
        <f>IF(OR($E457="",$B457=""),"",IF($T457&lt;&gt;"",$T457-$E457,TODAY()-$E457)+1)</f>
        <v/>
      </c>
      <c r="X457" s="440" t="str">
        <f>IF(OR($AH457="",$AH457="保有中"),"",$AH457)</f>
        <v/>
      </c>
      <c r="AD457" s="608"/>
      <c r="AE457" s="600" t="str">
        <f>IF($E457="","",WORKDAY($E457,12))</f>
        <v/>
      </c>
      <c r="AF457" s="600" t="str" cm="1">
        <f t="array" aca="1" ref="AF457" ca="1">IF(OR($B457="",$M457=""),"",IFERROR(IF($C457="売",_xlfn.MINIFS(安値!$E$3:$IT$3,安値!$E$3:$IT$3,"&gt;"&amp;$E457,安値!$E$3:$IT$3,"&lt;="&amp;$AE457,OFFSET(安値!$E$6:$IT$6,MATCH(TEXT($B457,"0"),TEXT(銘柄管理!$B$6:$B$305,"0"),0)-1,0),"&lt;="&amp;$M457),_xlfn.MINIFS(高値!$E$3:$IT$3,高値!$E$3:$IT$3,"&gt;"&amp;$E457,高値!$E$3:$IT$3,"&lt;="&amp;$AE457,OFFSET(高値!$E$6:$IT$6,MATCH(TEXT($B457,"0"),TEXT(銘柄管理!$B$6:$B$305,"0"),0)-1,0),"&gt;="&amp;$M457)),""))</f>
        <v/>
      </c>
      <c r="AG457" s="600" t="str" cm="1">
        <f t="array" aca="1" ref="AG457" ca="1">IF(OR($B457="",$N457=""),"",IFERROR(IF($C457="売",_xlfn.MINIFS(高値!$E$3:$IT$3,高値!$E$3:$IT$3,"&gt;"&amp;$E457,高値!$E$3:$IT$3,"&lt;="&amp;$AE457,OFFSET(高値!$E$6:$IT$6,MATCH(TEXT($B457,"0"),TEXT(銘柄管理!$B$6:$B$305,"0"),0)-1,0),"&gt;="&amp;$N457),_xlfn.MINIFS(安値!$E$3:$IT$3,安値!$E$3:$IT$3,"&gt;"&amp;$E457,安値!$E$3:$IT$3,"&lt;="&amp;$AE457,OFFSET(安値!$E$6:$IT$6,MATCH(TEXT($B457,"0"),TEXT(銘柄管理!$B$6:$B$305,"0"),0)-1,0),"&lt;="&amp;$N457)),""))</f>
        <v/>
      </c>
      <c r="AH457" s="600" t="str">
        <f>IF(OR($B457="",$M457=""),"",IF(AND(N($AF457)=0,N($AG457)=0),IF(AND(ISNUMBER($H457),$H457&gt;0,IF($C457="売",$H457&gt;=$N457,$H457&lt;=$N457)),"損切確定",IF(AND(ISNUMBER($H457),$H457&gt;0,IF($C457="売",$H457&lt;=$M457,$H457&gt;=$M457)),"利益確定",IF($AE457&lt;=TODAY(),"日数制限","保有中"))),IF(N($AG457)=0,"利益確定",IF(N($AF457)=0,"損切確定",IF($AG457&lt;=$AF457,"損切確定","利益確定")))))</f>
        <v/>
      </c>
      <c r="AI457" s="600" t="str" cm="1">
        <f t="array" ref="AI457">IFERROR(INDEX(始値!$E$6:$IT$305,MATCH(TEXT($B457,"0"),TEXT(銘柄管理!$B$6:$B$305,"0"),0),MATCH($AE457,始値!$E$3:$IT$3,0)),"")</f>
        <v/>
      </c>
      <c r="AJ457" s="608" t="str">
        <f>IF(OR($V457="",$F457="",$G457=""),"",$V457/($F457*$G457))</f>
        <v/>
      </c>
      <c r="AK457" s="600" t="str">
        <f>IF($V457="","",IF($V457&gt;0,"○勝",IF($V457&lt;0,"●負","△引分")))</f>
        <v/>
      </c>
    </row>
    <row r="458" spans="1:37" ht="17.25" customHeight="1">
      <c r="A458" s="622" t="str">
        <f>IF(B458="","",HYPERLINK("https://kabutan.jp/stock/?code="&amp;B458,"株探"))</f>
        <v/>
      </c>
      <c r="D458" s="440" t="str" cm="1">
        <f t="array" ref="D458">_xll.RssMarket(B458, "銘柄名称")</f>
        <v/>
      </c>
      <c r="E458" s="717"/>
      <c r="F458" s="698" t="str" cm="1">
        <f t="array" aca="1" ref="F458" ca="1">IFERROR(_xlfn.LET(_xlpm.r,MATCH(TEXT($B458,"0"),TEXT(銘柄管理!$B$6:$B$305,"0"),0),_xlpm.t,MOD(NOW(),1),_xlpm.c,IF($E458=TODAY(),IF(_xlpm.t&gt;=TIME(15,30,0),NA(),1),IF(MATCH($E458,始値!$E$3:$IT$3,0)=1,1,MATCH($E458,始値!$E$3:$IT$3,0)+1)),_xlpm.v,INDEX(始値!$C$6:$IT$305,_xlpm.r,_xlpm.c),IF(N(_xlpm.v)=0,"",_xlpm.v)),"")</f>
        <v/>
      </c>
      <c r="H458" s="440" t="str" cm="1">
        <f t="array" ref="H458">_xll.RssMarket(B458, "現在値")</f>
        <v/>
      </c>
      <c r="I458" s="440" t="str" cm="1">
        <f t="array" ref="I458">_xll.RssMarket(B458, "出来高加重平均")</f>
        <v/>
      </c>
      <c r="J458" s="704" t="str" cm="1">
        <f t="array" ref="J458">_xll.RssMarket($B458, "前日比")</f>
        <v/>
      </c>
      <c r="K458" s="704" t="str">
        <f ca="1">IF(OR(F458="",G458="",H458=""),"",IF(C458="売",(F458-H458)*G458,(H458-F458)*G458))</f>
        <v/>
      </c>
      <c r="L458" s="709" t="str">
        <f ca="1">IF(OR(F458="",H458=""),"",IF(C458="売",(F458-H458)/F458,(H458-F458)/F458))</f>
        <v/>
      </c>
      <c r="M458" s="599" t="str">
        <f>IF($F458="","",$F458*IF($C458="売",1-V811設定!$B$4,1+V811設定!$B$4)-MOD($F458*IF($C458="売",1-V811設定!$B$4,1+V811設定!$B$4),IF($F458&lt;=3000,1,IF($F458&lt;=5000,5,IF($F458&lt;=30000,10,IF($F458&lt;=50000,50,IF($F458&lt;=300000,100,500))))))+IF(AND($C458="売",MOD($F458*IF($C458="売",1-V811設定!$B$4,1+V811設定!$B$4),IF($F458&lt;=3000,1,IF($F458&lt;=5000,5,IF($F458&lt;=30000,10,IF($F458&lt;=50000,50,IF($F458&lt;=300000,100,500))))))&gt;0),IF($F458&lt;=3000,1,IF($F458&lt;=5000,5,IF($F458&lt;=30000,10,IF($F458&lt;=50000,50,IF($F458&lt;=300000,100,500))))),0))</f>
      </c>
      <c r="N458" s="599" t="str">
        <f>IF($F458="","",$F458*IF($C458="売",1+V811設定!$B$3,1-V811設定!$B$3)-MOD($F458*IF($C458="売",1+V811設定!$B$3,1-V811設定!$B$3),IF($F458&lt;=3000,1,IF($F458&lt;=5000,5,IF($F458&lt;=30000,10,IF($F458&lt;=50000,50,IF($F458&lt;=300000,100,500))))))+IF(AND($C458="売",MOD($F458*IF($C458="売",1+V811設定!$B$3,1-V811設定!$B$3),IF($F458&lt;=3000,1,IF($F458&lt;=5000,5,IF($F458&lt;=30000,10,IF($F458&lt;=50000,50,IF($F458&lt;=300000,100,500))))))&gt;0),IF($F458&lt;=3000,1,IF($F458&lt;=5000,5,IF($F458&lt;=30000,10,IF($F458&lt;=50000,50,IF($F458&lt;=300000,100,500))))),0))</f>
      </c>
      <c r="O458" s="478" t="str">
        <f>IF(OR($B458="",$F458="",$H458=""),"",IF($S458="✅売却済","―決済済―",IF($C458="売",IF($H458&lt;=$M458,"🟢利確",IF(AND($R458&lt;&gt;"",$H458&gt;=$R458),"🟠TRAIL",IF($H458&gt;=$N458,"🔴損切",IF($W458&gt;=V811設定!$B$6,"⏱時間決済",IF($H458&gt;=$F458*(1+V811設定!$B$3*0.7),"⚠️損切接近","保持継続"))))),IF($H458&gt;=$M458,"🟢利確",IF(AND($R458&lt;&gt;"",$H458&lt;=$R458),"🟠TRAIL",IF($H458&lt;=$N458,"🔴損切",IF($W458&gt;=V811設定!$B$6,"⏱時間決済",IF($H458&lt;=$F458*(1-V811設定!$B$3*0.7),"⚠️損切接近","保持継続"))))))))</f>
      </c>
      <c r="P458" s="445"/>
      <c r="R458" s="440" t="str">
        <f>IF(OR($F458="",$H458="",$N458=""),"",IF($S458="✅売却済","",IF($C458="売",IF($H458&gt;$F458*(1-V811設定!$B$3),$N458,MIN($N458,IF($Q458="",$N458,$Q458*1.03))),IF($H458&lt;$F458*(1+V811設定!$B$3),$N458,MAX($N458,IF($P458="",$N458,$P458*0.97))))))</f>
      </c>
      <c r="S458" s="440" t="str">
        <f>IF(B458="","",IF(T458&lt;&gt;"","✅売却済",IF(OR(H458="",L458=""),"📌保有中",IF(L458&gt;=0.06,"🟢利確推奨",IF(L458&gt;=0.05,"🟡利確直近",IF(L458&gt;=0.045,"🔵トレーリング検討",IF(L458&gt;-0.03,"📌保有中",IF(L458&gt;-0.04,"⚠️損切注意","🔴損切り"))))))))</f>
        <v/>
      </c>
      <c r="T458" s="597"/>
      <c r="U458" s="599"/>
      <c r="V458" s="704" t="str">
        <f ca="1">IF(OR(F458="",G458="",U458=""),"",IF(C458="売",(F458-U458)*G458,(U458-F458)*G458))</f>
        <v/>
      </c>
      <c r="W458" s="440" t="str">
        <f>IF(OR($E458="",$B458=""),"",IF($T458&lt;&gt;"",$T458-$E458,TODAY()-$E458)+1)</f>
        <v/>
      </c>
      <c r="X458" s="440" t="str">
        <f>IF(OR($AH458="",$AH458="保有中"),"",$AH458)</f>
        <v/>
      </c>
      <c r="AD458" s="608"/>
      <c r="AE458" s="600" t="str">
        <f>IF($E458="","",WORKDAY($E458,12))</f>
        <v/>
      </c>
      <c r="AF458" s="600" t="str" cm="1">
        <f t="array" aca="1" ref="AF458" ca="1">IF(OR($B458="",$M458=""),"",IFERROR(IF($C458="売",_xlfn.MINIFS(安値!$E$3:$IT$3,安値!$E$3:$IT$3,"&gt;"&amp;$E458,安値!$E$3:$IT$3,"&lt;="&amp;$AE458,OFFSET(安値!$E$6:$IT$6,MATCH(TEXT($B458,"0"),TEXT(銘柄管理!$B$6:$B$305,"0"),0)-1,0),"&lt;="&amp;$M458),_xlfn.MINIFS(高値!$E$3:$IT$3,高値!$E$3:$IT$3,"&gt;"&amp;$E458,高値!$E$3:$IT$3,"&lt;="&amp;$AE458,OFFSET(高値!$E$6:$IT$6,MATCH(TEXT($B458,"0"),TEXT(銘柄管理!$B$6:$B$305,"0"),0)-1,0),"&gt;="&amp;$M458)),""))</f>
        <v/>
      </c>
      <c r="AG458" s="600" t="str" cm="1">
        <f t="array" aca="1" ref="AG458" ca="1">IF(OR($B458="",$N458=""),"",IFERROR(IF($C458="売",_xlfn.MINIFS(高値!$E$3:$IT$3,高値!$E$3:$IT$3,"&gt;"&amp;$E458,高値!$E$3:$IT$3,"&lt;="&amp;$AE458,OFFSET(高値!$E$6:$IT$6,MATCH(TEXT($B458,"0"),TEXT(銘柄管理!$B$6:$B$305,"0"),0)-1,0),"&gt;="&amp;$N458),_xlfn.MINIFS(安値!$E$3:$IT$3,安値!$E$3:$IT$3,"&gt;"&amp;$E458,安値!$E$3:$IT$3,"&lt;="&amp;$AE458,OFFSET(安値!$E$6:$IT$6,MATCH(TEXT($B458,"0"),TEXT(銘柄管理!$B$6:$B$305,"0"),0)-1,0),"&lt;="&amp;$N458)),""))</f>
        <v/>
      </c>
      <c r="AH458" s="600" t="str">
        <f>IF(OR($B458="",$M458=""),"",IF(AND(N($AF458)=0,N($AG458)=0),IF(AND(ISNUMBER($H458),$H458&gt;0,IF($C458="売",$H458&gt;=$N458,$H458&lt;=$N458)),"損切確定",IF(AND(ISNUMBER($H458),$H458&gt;0,IF($C458="売",$H458&lt;=$M458,$H458&gt;=$M458)),"利益確定",IF($AE458&lt;=TODAY(),"日数制限","保有中"))),IF(N($AG458)=0,"利益確定",IF(N($AF458)=0,"損切確定",IF($AG458&lt;=$AF458,"損切確定","利益確定")))))</f>
        <v/>
      </c>
      <c r="AI458" s="600" t="str" cm="1">
        <f t="array" ref="AI458">IFERROR(INDEX(始値!$E$6:$IT$305,MATCH(TEXT($B458,"0"),TEXT(銘柄管理!$B$6:$B$305,"0"),0),MATCH($AE458,始値!$E$3:$IT$3,0)),"")</f>
        <v/>
      </c>
      <c r="AJ458" s="608" t="str">
        <f>IF(OR($V458="",$F458="",$G458=""),"",$V458/($F458*$G458))</f>
        <v/>
      </c>
      <c r="AK458" s="600" t="str">
        <f>IF($V458="","",IF($V458&gt;0,"○勝",IF($V458&lt;0,"●負","△引分")))</f>
        <v/>
      </c>
    </row>
    <row r="459" spans="1:37" ht="17.25" customHeight="1">
      <c r="A459" s="622" t="str">
        <f>IF(B459="","",HYPERLINK("https://kabutan.jp/stock/?code="&amp;B459,"株探"))</f>
        <v/>
      </c>
      <c r="D459" s="440" t="str" cm="1">
        <f t="array" ref="D459">_xll.RssMarket(B459, "銘柄名称")</f>
        <v/>
      </c>
      <c r="E459" s="717"/>
      <c r="F459" s="698" t="str" cm="1">
        <f t="array" aca="1" ref="F459" ca="1">IFERROR(_xlfn.LET(_xlpm.r,MATCH(TEXT($B459,"0"),TEXT(銘柄管理!$B$6:$B$305,"0"),0),_xlpm.t,MOD(NOW(),1),_xlpm.c,IF($E459=TODAY(),IF(_xlpm.t&gt;=TIME(15,30,0),NA(),1),IF(MATCH($E459,始値!$E$3:$IT$3,0)=1,1,MATCH($E459,始値!$E$3:$IT$3,0)+1)),_xlpm.v,INDEX(始値!$C$6:$IT$305,_xlpm.r,_xlpm.c),IF(N(_xlpm.v)=0,"",_xlpm.v)),"")</f>
        <v/>
      </c>
      <c r="H459" s="440" t="str" cm="1">
        <f t="array" ref="H459">_xll.RssMarket(B459, "現在値")</f>
        <v/>
      </c>
      <c r="I459" s="440" t="str" cm="1">
        <f t="array" ref="I459">_xll.RssMarket(B459, "出来高加重平均")</f>
        <v/>
      </c>
      <c r="J459" s="704" t="str" cm="1">
        <f t="array" ref="J459">_xll.RssMarket($B459, "前日比")</f>
        <v/>
      </c>
      <c r="K459" s="704" t="str">
        <f ca="1">IF(OR(F459="",G459="",H459=""),"",IF(C459="売",(F459-H459)*G459,(H459-F459)*G459))</f>
        <v/>
      </c>
      <c r="L459" s="709" t="str">
        <f ca="1">IF(OR(F459="",H459=""),"",IF(C459="売",(F459-H459)/F459,(H459-F459)/F459))</f>
        <v/>
      </c>
      <c r="M459" s="599" t="str">
        <f>IF($F459="","",$F459*IF($C459="売",1-V811設定!$B$4,1+V811設定!$B$4)-MOD($F459*IF($C459="売",1-V811設定!$B$4,1+V811設定!$B$4),IF($F459&lt;=3000,1,IF($F459&lt;=5000,5,IF($F459&lt;=30000,10,IF($F459&lt;=50000,50,IF($F459&lt;=300000,100,500))))))+IF(AND($C459="売",MOD($F459*IF($C459="売",1-V811設定!$B$4,1+V811設定!$B$4),IF($F459&lt;=3000,1,IF($F459&lt;=5000,5,IF($F459&lt;=30000,10,IF($F459&lt;=50000,50,IF($F459&lt;=300000,100,500))))))&gt;0),IF($F459&lt;=3000,1,IF($F459&lt;=5000,5,IF($F459&lt;=30000,10,IF($F459&lt;=50000,50,IF($F459&lt;=300000,100,500))))),0))</f>
      </c>
      <c r="N459" s="599" t="str">
        <f>IF($F459="","",$F459*IF($C459="売",1+V811設定!$B$3,1-V811設定!$B$3)-MOD($F459*IF($C459="売",1+V811設定!$B$3,1-V811設定!$B$3),IF($F459&lt;=3000,1,IF($F459&lt;=5000,5,IF($F459&lt;=30000,10,IF($F459&lt;=50000,50,IF($F459&lt;=300000,100,500))))))+IF(AND($C459="売",MOD($F459*IF($C459="売",1+V811設定!$B$3,1-V811設定!$B$3),IF($F459&lt;=3000,1,IF($F459&lt;=5000,5,IF($F459&lt;=30000,10,IF($F459&lt;=50000,50,IF($F459&lt;=300000,100,500))))))&gt;0),IF($F459&lt;=3000,1,IF($F459&lt;=5000,5,IF($F459&lt;=30000,10,IF($F459&lt;=50000,50,IF($F459&lt;=300000,100,500))))),0))</f>
      </c>
      <c r="O459" s="478" t="str">
        <f>IF(OR($B459="",$F459="",$H459=""),"",IF($S459="✅売却済","―決済済―",IF($C459="売",IF($H459&lt;=$M459,"🟢利確",IF(AND($R459&lt;&gt;"",$H459&gt;=$R459),"🟠TRAIL",IF($H459&gt;=$N459,"🔴損切",IF($W459&gt;=V811設定!$B$6,"⏱時間決済",IF($H459&gt;=$F459*(1+V811設定!$B$3*0.7),"⚠️損切接近","保持継続"))))),IF($H459&gt;=$M459,"🟢利確",IF(AND($R459&lt;&gt;"",$H459&lt;=$R459),"🟠TRAIL",IF($H459&lt;=$N459,"🔴損切",IF($W459&gt;=V811設定!$B$6,"⏱時間決済",IF($H459&lt;=$F459*(1-V811設定!$B$3*0.7),"⚠️損切接近","保持継続"))))))))</f>
      </c>
      <c r="P459" s="445"/>
      <c r="R459" s="440" t="str">
        <f>IF(OR($F459="",$H459="",$N459=""),"",IF($S459="✅売却済","",IF($C459="売",IF($H459&gt;$F459*(1-V811設定!$B$3),$N459,MIN($N459,IF($Q459="",$N459,$Q459*1.03))),IF($H459&lt;$F459*(1+V811設定!$B$3),$N459,MAX($N459,IF($P459="",$N459,$P459*0.97))))))</f>
      </c>
      <c r="S459" s="440" t="str">
        <f>IF(B459="","",IF(T459&lt;&gt;"","✅売却済",IF(OR(H459="",L459=""),"📌保有中",IF(L459&gt;=0.06,"🟢利確推奨",IF(L459&gt;=0.05,"🟡利確直近",IF(L459&gt;=0.045,"🔵トレーリング検討",IF(L459&gt;-0.03,"📌保有中",IF(L459&gt;-0.04,"⚠️損切注意","🔴損切り"))))))))</f>
        <v/>
      </c>
      <c r="T459" s="597"/>
      <c r="U459" s="599"/>
      <c r="V459" s="704" t="str">
        <f ca="1">IF(OR(F459="",G459="",U459=""),"",IF(C459="売",(F459-U459)*G459,(U459-F459)*G459))</f>
        <v/>
      </c>
      <c r="W459" s="440" t="str">
        <f>IF(OR($E459="",$B459=""),"",IF($T459&lt;&gt;"",$T459-$E459,TODAY()-$E459)+1)</f>
        <v/>
      </c>
      <c r="X459" s="440" t="str">
        <f>IF(OR($AH459="",$AH459="保有中"),"",$AH459)</f>
        <v/>
      </c>
      <c r="AD459" s="608"/>
      <c r="AE459" s="600" t="str">
        <f>IF($E459="","",WORKDAY($E459,12))</f>
        <v/>
      </c>
      <c r="AF459" s="600" t="str" cm="1">
        <f t="array" aca="1" ref="AF459" ca="1">IF(OR($B459="",$M459=""),"",IFERROR(IF($C459="売",_xlfn.MINIFS(安値!$E$3:$IT$3,安値!$E$3:$IT$3,"&gt;"&amp;$E459,安値!$E$3:$IT$3,"&lt;="&amp;$AE459,OFFSET(安値!$E$6:$IT$6,MATCH(TEXT($B459,"0"),TEXT(銘柄管理!$B$6:$B$305,"0"),0)-1,0),"&lt;="&amp;$M459),_xlfn.MINIFS(高値!$E$3:$IT$3,高値!$E$3:$IT$3,"&gt;"&amp;$E459,高値!$E$3:$IT$3,"&lt;="&amp;$AE459,OFFSET(高値!$E$6:$IT$6,MATCH(TEXT($B459,"0"),TEXT(銘柄管理!$B$6:$B$305,"0"),0)-1,0),"&gt;="&amp;$M459)),""))</f>
        <v/>
      </c>
      <c r="AG459" s="600" t="str" cm="1">
        <f t="array" aca="1" ref="AG459" ca="1">IF(OR($B459="",$N459=""),"",IFERROR(IF($C459="売",_xlfn.MINIFS(高値!$E$3:$IT$3,高値!$E$3:$IT$3,"&gt;"&amp;$E459,高値!$E$3:$IT$3,"&lt;="&amp;$AE459,OFFSET(高値!$E$6:$IT$6,MATCH(TEXT($B459,"0"),TEXT(銘柄管理!$B$6:$B$305,"0"),0)-1,0),"&gt;="&amp;$N459),_xlfn.MINIFS(安値!$E$3:$IT$3,安値!$E$3:$IT$3,"&gt;"&amp;$E459,安値!$E$3:$IT$3,"&lt;="&amp;$AE459,OFFSET(安値!$E$6:$IT$6,MATCH(TEXT($B459,"0"),TEXT(銘柄管理!$B$6:$B$305,"0"),0)-1,0),"&lt;="&amp;$N459)),""))</f>
        <v/>
      </c>
      <c r="AH459" s="600" t="str">
        <f>IF(OR($B459="",$M459=""),"",IF(AND(N($AF459)=0,N($AG459)=0),IF(AND(ISNUMBER($H459),$H459&gt;0,IF($C459="売",$H459&gt;=$N459,$H459&lt;=$N459)),"損切確定",IF(AND(ISNUMBER($H459),$H459&gt;0,IF($C459="売",$H459&lt;=$M459,$H459&gt;=$M459)),"利益確定",IF($AE459&lt;=TODAY(),"日数制限","保有中"))),IF(N($AG459)=0,"利益確定",IF(N($AF459)=0,"損切確定",IF($AG459&lt;=$AF459,"損切確定","利益確定")))))</f>
        <v/>
      </c>
      <c r="AI459" s="600" t="str" cm="1">
        <f t="array" ref="AI459">IFERROR(INDEX(始値!$E$6:$IT$305,MATCH(TEXT($B459,"0"),TEXT(銘柄管理!$B$6:$B$305,"0"),0),MATCH($AE459,始値!$E$3:$IT$3,0)),"")</f>
        <v/>
      </c>
      <c r="AJ459" s="608" t="str">
        <f>IF(OR($V459="",$F459="",$G459=""),"",$V459/($F459*$G459))</f>
        <v/>
      </c>
      <c r="AK459" s="600" t="str">
        <f>IF($V459="","",IF($V459&gt;0,"○勝",IF($V459&lt;0,"●負","△引分")))</f>
        <v/>
      </c>
    </row>
    <row r="460" spans="1:37" ht="17.25" customHeight="1">
      <c r="A460" s="622" t="str">
        <f>IF(B460="","",HYPERLINK("https://kabutan.jp/stock/?code="&amp;B460,"株探"))</f>
        <v/>
      </c>
      <c r="D460" s="440" t="str" cm="1">
        <f t="array" ref="D460">_xll.RssMarket(B460, "銘柄名称")</f>
        <v/>
      </c>
      <c r="E460" s="717"/>
      <c r="F460" s="698" t="str" cm="1">
        <f t="array" aca="1" ref="F460" ca="1">IFERROR(_xlfn.LET(_xlpm.r,MATCH(TEXT($B460,"0"),TEXT(銘柄管理!$B$6:$B$305,"0"),0),_xlpm.t,MOD(NOW(),1),_xlpm.c,IF($E460=TODAY(),IF(_xlpm.t&gt;=TIME(15,30,0),NA(),1),IF(MATCH($E460,始値!$E$3:$IT$3,0)=1,1,MATCH($E460,始値!$E$3:$IT$3,0)+1)),_xlpm.v,INDEX(始値!$C$6:$IT$305,_xlpm.r,_xlpm.c),IF(N(_xlpm.v)=0,"",_xlpm.v)),"")</f>
        <v/>
      </c>
      <c r="H460" s="440" t="str" cm="1">
        <f t="array" ref="H460">_xll.RssMarket(B460, "現在値")</f>
        <v/>
      </c>
      <c r="I460" s="440" t="str" cm="1">
        <f t="array" ref="I460">_xll.RssMarket(B460, "出来高加重平均")</f>
        <v/>
      </c>
      <c r="J460" s="704" t="str" cm="1">
        <f t="array" ref="J460">_xll.RssMarket($B460, "前日比")</f>
        <v/>
      </c>
      <c r="K460" s="704" t="str">
        <f ca="1">IF(OR(F460="",G460="",H460=""),"",IF(C460="売",(F460-H460)*G460,(H460-F460)*G460))</f>
        <v/>
      </c>
      <c r="L460" s="709" t="str">
        <f ca="1">IF(OR(F460="",H460=""),"",IF(C460="売",(F460-H460)/F460,(H460-F460)/F460))</f>
        <v/>
      </c>
      <c r="M460" s="599" t="str">
        <f>IF($F460="","",$F460*IF($C460="売",1-V811設定!$B$4,1+V811設定!$B$4)-MOD($F460*IF($C460="売",1-V811設定!$B$4,1+V811設定!$B$4),IF($F460&lt;=3000,1,IF($F460&lt;=5000,5,IF($F460&lt;=30000,10,IF($F460&lt;=50000,50,IF($F460&lt;=300000,100,500))))))+IF(AND($C460="売",MOD($F460*IF($C460="売",1-V811設定!$B$4,1+V811設定!$B$4),IF($F460&lt;=3000,1,IF($F460&lt;=5000,5,IF($F460&lt;=30000,10,IF($F460&lt;=50000,50,IF($F460&lt;=300000,100,500))))))&gt;0),IF($F460&lt;=3000,1,IF($F460&lt;=5000,5,IF($F460&lt;=30000,10,IF($F460&lt;=50000,50,IF($F460&lt;=300000,100,500))))),0))</f>
      </c>
      <c r="N460" s="599" t="str">
        <f>IF($F460="","",$F460*IF($C460="売",1+V811設定!$B$3,1-V811設定!$B$3)-MOD($F460*IF($C460="売",1+V811設定!$B$3,1-V811設定!$B$3),IF($F460&lt;=3000,1,IF($F460&lt;=5000,5,IF($F460&lt;=30000,10,IF($F460&lt;=50000,50,IF($F460&lt;=300000,100,500))))))+IF(AND($C460="売",MOD($F460*IF($C460="売",1+V811設定!$B$3,1-V811設定!$B$3),IF($F460&lt;=3000,1,IF($F460&lt;=5000,5,IF($F460&lt;=30000,10,IF($F460&lt;=50000,50,IF($F460&lt;=300000,100,500))))))&gt;0),IF($F460&lt;=3000,1,IF($F460&lt;=5000,5,IF($F460&lt;=30000,10,IF($F460&lt;=50000,50,IF($F460&lt;=300000,100,500))))),0))</f>
      </c>
      <c r="O460" s="478" t="str">
        <f>IF(OR($B460="",$F460="",$H460=""),"",IF($S460="✅売却済","―決済済―",IF($C460="売",IF($H460&lt;=$M460,"🟢利確",IF(AND($R460&lt;&gt;"",$H460&gt;=$R460),"🟠TRAIL",IF($H460&gt;=$N460,"🔴損切",IF($W460&gt;=V811設定!$B$6,"⏱時間決済",IF($H460&gt;=$F460*(1+V811設定!$B$3*0.7),"⚠️損切接近","保持継続"))))),IF($H460&gt;=$M460,"🟢利確",IF(AND($R460&lt;&gt;"",$H460&lt;=$R460),"🟠TRAIL",IF($H460&lt;=$N460,"🔴損切",IF($W460&gt;=V811設定!$B$6,"⏱時間決済",IF($H460&lt;=$F460*(1-V811設定!$B$3*0.7),"⚠️損切接近","保持継続"))))))))</f>
      </c>
      <c r="P460" s="445"/>
      <c r="R460" s="440" t="str">
        <f>IF(OR($F460="",$H460="",$N460=""),"",IF($S460="✅売却済","",IF($C460="売",IF($H460&gt;$F460*(1-V811設定!$B$3),$N460,MIN($N460,IF($Q460="",$N460,$Q460*1.03))),IF($H460&lt;$F460*(1+V811設定!$B$3),$N460,MAX($N460,IF($P460="",$N460,$P460*0.97))))))</f>
      </c>
      <c r="S460" s="440" t="str">
        <f>IF(B460="","",IF(T460&lt;&gt;"","✅売却済",IF(OR(H460="",L460=""),"📌保有中",IF(L460&gt;=0.06,"🟢利確推奨",IF(L460&gt;=0.05,"🟡利確直近",IF(L460&gt;=0.045,"🔵トレーリング検討",IF(L460&gt;-0.03,"📌保有中",IF(L460&gt;-0.04,"⚠️損切注意","🔴損切り"))))))))</f>
        <v/>
      </c>
      <c r="T460" s="597"/>
      <c r="U460" s="599"/>
      <c r="V460" s="704" t="str">
        <f ca="1">IF(OR(F460="",G460="",U460=""),"",IF(C460="売",(F460-U460)*G460,(U460-F460)*G460))</f>
        <v/>
      </c>
      <c r="W460" s="440" t="str">
        <f>IF(OR($E460="",$B460=""),"",IF($T460&lt;&gt;"",$T460-$E460,TODAY()-$E460)+1)</f>
        <v/>
      </c>
      <c r="X460" s="440" t="str">
        <f>IF(OR($AH460="",$AH460="保有中"),"",$AH460)</f>
        <v/>
      </c>
      <c r="AD460" s="608"/>
      <c r="AE460" s="600" t="str">
        <f>IF($E460="","",WORKDAY($E460,12))</f>
        <v/>
      </c>
      <c r="AF460" s="600" t="str" cm="1">
        <f t="array" aca="1" ref="AF460" ca="1">IF(OR($B460="",$M460=""),"",IFERROR(IF($C460="売",_xlfn.MINIFS(安値!$E$3:$IT$3,安値!$E$3:$IT$3,"&gt;"&amp;$E460,安値!$E$3:$IT$3,"&lt;="&amp;$AE460,OFFSET(安値!$E$6:$IT$6,MATCH(TEXT($B460,"0"),TEXT(銘柄管理!$B$6:$B$305,"0"),0)-1,0),"&lt;="&amp;$M460),_xlfn.MINIFS(高値!$E$3:$IT$3,高値!$E$3:$IT$3,"&gt;"&amp;$E460,高値!$E$3:$IT$3,"&lt;="&amp;$AE460,OFFSET(高値!$E$6:$IT$6,MATCH(TEXT($B460,"0"),TEXT(銘柄管理!$B$6:$B$305,"0"),0)-1,0),"&gt;="&amp;$M460)),""))</f>
        <v/>
      </c>
      <c r="AG460" s="600" t="str" cm="1">
        <f t="array" aca="1" ref="AG460" ca="1">IF(OR($B460="",$N460=""),"",IFERROR(IF($C460="売",_xlfn.MINIFS(高値!$E$3:$IT$3,高値!$E$3:$IT$3,"&gt;"&amp;$E460,高値!$E$3:$IT$3,"&lt;="&amp;$AE460,OFFSET(高値!$E$6:$IT$6,MATCH(TEXT($B460,"0"),TEXT(銘柄管理!$B$6:$B$305,"0"),0)-1,0),"&gt;="&amp;$N460),_xlfn.MINIFS(安値!$E$3:$IT$3,安値!$E$3:$IT$3,"&gt;"&amp;$E460,安値!$E$3:$IT$3,"&lt;="&amp;$AE460,OFFSET(安値!$E$6:$IT$6,MATCH(TEXT($B460,"0"),TEXT(銘柄管理!$B$6:$B$305,"0"),0)-1,0),"&lt;="&amp;$N460)),""))</f>
        <v/>
      </c>
      <c r="AH460" s="600" t="str">
        <f>IF(OR($B460="",$M460=""),"",IF(AND(N($AF460)=0,N($AG460)=0),IF(AND(ISNUMBER($H460),$H460&gt;0,IF($C460="売",$H460&gt;=$N460,$H460&lt;=$N460)),"損切確定",IF(AND(ISNUMBER($H460),$H460&gt;0,IF($C460="売",$H460&lt;=$M460,$H460&gt;=$M460)),"利益確定",IF($AE460&lt;=TODAY(),"日数制限","保有中"))),IF(N($AG460)=0,"利益確定",IF(N($AF460)=0,"損切確定",IF($AG460&lt;=$AF460,"損切確定","利益確定")))))</f>
        <v/>
      </c>
      <c r="AI460" s="600" t="str" cm="1">
        <f t="array" ref="AI460">IFERROR(INDEX(始値!$E$6:$IT$305,MATCH(TEXT($B460,"0"),TEXT(銘柄管理!$B$6:$B$305,"0"),0),MATCH($AE460,始値!$E$3:$IT$3,0)),"")</f>
        <v/>
      </c>
      <c r="AJ460" s="608" t="str">
        <f>IF(OR($V460="",$F460="",$G460=""),"",$V460/($F460*$G460))</f>
        <v/>
      </c>
      <c r="AK460" s="600" t="str">
        <f>IF($V460="","",IF($V460&gt;0,"○勝",IF($V460&lt;0,"●負","△引分")))</f>
        <v/>
      </c>
    </row>
    <row r="461" spans="1:37" ht="17.25" customHeight="1">
      <c r="A461" s="622" t="str">
        <f>IF(B461="","",HYPERLINK("https://kabutan.jp/stock/?code="&amp;B461,"株探"))</f>
        <v/>
      </c>
      <c r="D461" s="440" t="str" cm="1">
        <f t="array" ref="D461">_xll.RssMarket(B461, "銘柄名称")</f>
        <v/>
      </c>
      <c r="E461" s="717"/>
      <c r="F461" s="698" t="str" cm="1">
        <f t="array" aca="1" ref="F461" ca="1">IFERROR(_xlfn.LET(_xlpm.r,MATCH(TEXT($B461,"0"),TEXT(銘柄管理!$B$6:$B$305,"0"),0),_xlpm.t,MOD(NOW(),1),_xlpm.c,IF($E461=TODAY(),IF(_xlpm.t&gt;=TIME(15,30,0),NA(),1),IF(MATCH($E461,始値!$E$3:$IT$3,0)=1,1,MATCH($E461,始値!$E$3:$IT$3,0)+1)),_xlpm.v,INDEX(始値!$C$6:$IT$305,_xlpm.r,_xlpm.c),IF(N(_xlpm.v)=0,"",_xlpm.v)),"")</f>
        <v/>
      </c>
      <c r="H461" s="440" t="str" cm="1">
        <f t="array" ref="H461">_xll.RssMarket(B461, "現在値")</f>
        <v/>
      </c>
      <c r="I461" s="440" t="str" cm="1">
        <f t="array" ref="I461">_xll.RssMarket(B461, "出来高加重平均")</f>
        <v/>
      </c>
      <c r="J461" s="704" t="str" cm="1">
        <f t="array" ref="J461">_xll.RssMarket($B461, "前日比")</f>
        <v/>
      </c>
      <c r="K461" s="704" t="str">
        <f ca="1">IF(OR(F461="",G461="",H461=""),"",IF(C461="売",(F461-H461)*G461,(H461-F461)*G461))</f>
        <v/>
      </c>
      <c r="L461" s="709" t="str">
        <f ca="1">IF(OR(F461="",H461=""),"",IF(C461="売",(F461-H461)/F461,(H461-F461)/F461))</f>
        <v/>
      </c>
      <c r="M461" s="599" t="str">
        <f>IF($F461="","",$F461*IF($C461="売",1-V811設定!$B$4,1+V811設定!$B$4)-MOD($F461*IF($C461="売",1-V811設定!$B$4,1+V811設定!$B$4),IF($F461&lt;=3000,1,IF($F461&lt;=5000,5,IF($F461&lt;=30000,10,IF($F461&lt;=50000,50,IF($F461&lt;=300000,100,500))))))+IF(AND($C461="売",MOD($F461*IF($C461="売",1-V811設定!$B$4,1+V811設定!$B$4),IF($F461&lt;=3000,1,IF($F461&lt;=5000,5,IF($F461&lt;=30000,10,IF($F461&lt;=50000,50,IF($F461&lt;=300000,100,500))))))&gt;0),IF($F461&lt;=3000,1,IF($F461&lt;=5000,5,IF($F461&lt;=30000,10,IF($F461&lt;=50000,50,IF($F461&lt;=300000,100,500))))),0))</f>
      </c>
      <c r="N461" s="599" t="str">
        <f>IF($F461="","",$F461*IF($C461="売",1+V811設定!$B$3,1-V811設定!$B$3)-MOD($F461*IF($C461="売",1+V811設定!$B$3,1-V811設定!$B$3),IF($F461&lt;=3000,1,IF($F461&lt;=5000,5,IF($F461&lt;=30000,10,IF($F461&lt;=50000,50,IF($F461&lt;=300000,100,500))))))+IF(AND($C461="売",MOD($F461*IF($C461="売",1+V811設定!$B$3,1-V811設定!$B$3),IF($F461&lt;=3000,1,IF($F461&lt;=5000,5,IF($F461&lt;=30000,10,IF($F461&lt;=50000,50,IF($F461&lt;=300000,100,500))))))&gt;0),IF($F461&lt;=3000,1,IF($F461&lt;=5000,5,IF($F461&lt;=30000,10,IF($F461&lt;=50000,50,IF($F461&lt;=300000,100,500))))),0))</f>
      </c>
      <c r="O461" s="478" t="str">
        <f>IF(OR($B461="",$F461="",$H461=""),"",IF($S461="✅売却済","―決済済―",IF($C461="売",IF($H461&lt;=$M461,"🟢利確",IF(AND($R461&lt;&gt;"",$H461&gt;=$R461),"🟠TRAIL",IF($H461&gt;=$N461,"🔴損切",IF($W461&gt;=V811設定!$B$6,"⏱時間決済",IF($H461&gt;=$F461*(1+V811設定!$B$3*0.7),"⚠️損切接近","保持継続"))))),IF($H461&gt;=$M461,"🟢利確",IF(AND($R461&lt;&gt;"",$H461&lt;=$R461),"🟠TRAIL",IF($H461&lt;=$N461,"🔴損切",IF($W461&gt;=V811設定!$B$6,"⏱時間決済",IF($H461&lt;=$F461*(1-V811設定!$B$3*0.7),"⚠️損切接近","保持継続"))))))))</f>
      </c>
      <c r="P461" s="445"/>
      <c r="R461" s="440" t="str">
        <f>IF(OR($F461="",$H461="",$N461=""),"",IF($S461="✅売却済","",IF($C461="売",IF($H461&gt;$F461*(1-V811設定!$B$3),$N461,MIN($N461,IF($Q461="",$N461,$Q461*1.03))),IF($H461&lt;$F461*(1+V811設定!$B$3),$N461,MAX($N461,IF($P461="",$N461,$P461*0.97))))))</f>
      </c>
      <c r="S461" s="440" t="str">
        <f>IF(B461="","",IF(T461&lt;&gt;"","✅売却済",IF(OR(H461="",L461=""),"📌保有中",IF(L461&gt;=0.06,"🟢利確推奨",IF(L461&gt;=0.05,"🟡利確直近",IF(L461&gt;=0.045,"🔵トレーリング検討",IF(L461&gt;-0.03,"📌保有中",IF(L461&gt;-0.04,"⚠️損切注意","🔴損切り"))))))))</f>
        <v/>
      </c>
      <c r="T461" s="597"/>
      <c r="U461" s="599"/>
      <c r="V461" s="704" t="str">
        <f ca="1">IF(OR(F461="",G461="",U461=""),"",IF(C461="売",(F461-U461)*G461,(U461-F461)*G461))</f>
        <v/>
      </c>
      <c r="W461" s="440" t="str">
        <f>IF(OR($E461="",$B461=""),"",IF($T461&lt;&gt;"",$T461-$E461,TODAY()-$E461)+1)</f>
        <v/>
      </c>
      <c r="X461" s="440" t="str">
        <f>IF(OR($AH461="",$AH461="保有中"),"",$AH461)</f>
        <v/>
      </c>
      <c r="AD461" s="608"/>
      <c r="AE461" s="600" t="str">
        <f>IF($E461="","",WORKDAY($E461,12))</f>
        <v/>
      </c>
      <c r="AF461" s="600" t="str" cm="1">
        <f t="array" aca="1" ref="AF461" ca="1">IF(OR($B461="",$M461=""),"",IFERROR(IF($C461="売",_xlfn.MINIFS(安値!$E$3:$IT$3,安値!$E$3:$IT$3,"&gt;"&amp;$E461,安値!$E$3:$IT$3,"&lt;="&amp;$AE461,OFFSET(安値!$E$6:$IT$6,MATCH(TEXT($B461,"0"),TEXT(銘柄管理!$B$6:$B$305,"0"),0)-1,0),"&lt;="&amp;$M461),_xlfn.MINIFS(高値!$E$3:$IT$3,高値!$E$3:$IT$3,"&gt;"&amp;$E461,高値!$E$3:$IT$3,"&lt;="&amp;$AE461,OFFSET(高値!$E$6:$IT$6,MATCH(TEXT($B461,"0"),TEXT(銘柄管理!$B$6:$B$305,"0"),0)-1,0),"&gt;="&amp;$M461)),""))</f>
        <v/>
      </c>
      <c r="AG461" s="600" t="str" cm="1">
        <f t="array" aca="1" ref="AG461" ca="1">IF(OR($B461="",$N461=""),"",IFERROR(IF($C461="売",_xlfn.MINIFS(高値!$E$3:$IT$3,高値!$E$3:$IT$3,"&gt;"&amp;$E461,高値!$E$3:$IT$3,"&lt;="&amp;$AE461,OFFSET(高値!$E$6:$IT$6,MATCH(TEXT($B461,"0"),TEXT(銘柄管理!$B$6:$B$305,"0"),0)-1,0),"&gt;="&amp;$N461),_xlfn.MINIFS(安値!$E$3:$IT$3,安値!$E$3:$IT$3,"&gt;"&amp;$E461,安値!$E$3:$IT$3,"&lt;="&amp;$AE461,OFFSET(安値!$E$6:$IT$6,MATCH(TEXT($B461,"0"),TEXT(銘柄管理!$B$6:$B$305,"0"),0)-1,0),"&lt;="&amp;$N461)),""))</f>
        <v/>
      </c>
      <c r="AH461" s="600" t="str">
        <f>IF(OR($B461="",$M461=""),"",IF(AND(N($AF461)=0,N($AG461)=0),IF(AND(ISNUMBER($H461),$H461&gt;0,IF($C461="売",$H461&gt;=$N461,$H461&lt;=$N461)),"損切確定",IF(AND(ISNUMBER($H461),$H461&gt;0,IF($C461="売",$H461&lt;=$M461,$H461&gt;=$M461)),"利益確定",IF($AE461&lt;=TODAY(),"日数制限","保有中"))),IF(N($AG461)=0,"利益確定",IF(N($AF461)=0,"損切確定",IF($AG461&lt;=$AF461,"損切確定","利益確定")))))</f>
        <v/>
      </c>
      <c r="AI461" s="600" t="str" cm="1">
        <f t="array" ref="AI461">IFERROR(INDEX(始値!$E$6:$IT$305,MATCH(TEXT($B461,"0"),TEXT(銘柄管理!$B$6:$B$305,"0"),0),MATCH($AE461,始値!$E$3:$IT$3,0)),"")</f>
        <v/>
      </c>
      <c r="AJ461" s="608" t="str">
        <f>IF(OR($V461="",$F461="",$G461=""),"",$V461/($F461*$G461))</f>
        <v/>
      </c>
      <c r="AK461" s="600" t="str">
        <f>IF($V461="","",IF($V461&gt;0,"○勝",IF($V461&lt;0,"●負","△引分")))</f>
        <v/>
      </c>
    </row>
  </sheetData>
  <mergeCells count="3">
    <mergeCell ref="M1:R1"/>
    <mergeCell ref="B1:C1"/>
    <mergeCell ref="H1:I1"/>
  </mergeCells>
  <phoneticPr fontId="16"/>
  <conditionalFormatting sqref="AD4:AD461">
    <cfRule type="expression" dxfId="33" priority="1">
      <formula>EXACT($AD4,"厳選TOP2買")</formula>
    </cfRule>
  </conditionalFormatting>
  <conditionalFormatting sqref="A4:C461">
    <cfRule type="expression" dxfId="32" priority="2">
      <formula>EXACT($AD4,"厳選TOP2買")</formula>
    </cfRule>
  </conditionalFormatting>
  <conditionalFormatting sqref="AL17:AL24">
    <cfRule type="expression" dxfId="31" priority="3">
      <formula>EXACT($AL17,"厳選TOP2買")</formula>
    </cfRule>
  </conditionalFormatting>
  <conditionalFormatting sqref="AD4:AD461">
    <cfRule type="expression" dxfId="30" priority="4">
      <formula>EXACT($AD4,"厳選TOP2売")</formula>
    </cfRule>
  </conditionalFormatting>
  <conditionalFormatting sqref="A4:C461">
    <cfRule type="expression" dxfId="29" priority="5">
      <formula>EXACT($AD4,"厳選TOP2売")</formula>
    </cfRule>
  </conditionalFormatting>
  <conditionalFormatting sqref="AL17:AL24">
    <cfRule type="expression" dxfId="28" priority="6">
      <formula>EXACT($AL17,"厳選TOP2売")</formula>
    </cfRule>
  </conditionalFormatting>
  <conditionalFormatting sqref="AD4:AD461">
    <cfRule type="expression" dxfId="27" priority="7">
      <formula>EXACT($AD4,"v13買")</formula>
    </cfRule>
  </conditionalFormatting>
  <conditionalFormatting sqref="A4:C461">
    <cfRule type="expression" dxfId="26" priority="8">
      <formula>EXACT($AD4,"v13買")</formula>
    </cfRule>
  </conditionalFormatting>
  <conditionalFormatting sqref="AL17:AL24">
    <cfRule type="expression" dxfId="25" priority="9">
      <formula>EXACT($AL17,"v13買")</formula>
    </cfRule>
  </conditionalFormatting>
  <conditionalFormatting sqref="AD4:AD461">
    <cfRule type="expression" dxfId="24" priority="10">
      <formula>EXACT($AD4,"v13売")</formula>
    </cfRule>
  </conditionalFormatting>
  <conditionalFormatting sqref="A4:C461">
    <cfRule type="expression" dxfId="23" priority="11">
      <formula>EXACT($AD4,"v13売")</formula>
    </cfRule>
  </conditionalFormatting>
  <conditionalFormatting sqref="AL17:AL24">
    <cfRule type="expression" dxfId="22" priority="12">
      <formula>EXACT($AL17,"v13売")</formula>
    </cfRule>
  </conditionalFormatting>
  <conditionalFormatting sqref="X4:X461">
    <cfRule type="containsText" dxfId="21" priority="13" operator="containsText" text="損切確定">
      <formula>NOT(ISERROR(SEARCH("損切確定",X4)))</formula>
    </cfRule>
  </conditionalFormatting>
  <conditionalFormatting sqref="AH4:AH461">
    <cfRule type="containsText" dxfId="2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5" activePane="bottomRight" state="frozen"/>
      <selection activeCell="C162" sqref="C162"/>
      <selection pane="topRight" activeCell="C162" sqref="C162"/>
      <selection pane="bottomLeft" activeCell="C162" sqref="C162"/>
      <selection pane="bottomRight" activeCell="L18" sqref="L1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50" t="s">
        <v>516</v>
      </c>
      <c r="B1" s="743"/>
      <c r="C1" s="743"/>
      <c r="D1" s="743"/>
      <c r="E1" s="83"/>
      <c r="F1" s="83"/>
      <c r="G1" s="83"/>
      <c r="H1" s="83"/>
      <c r="I1" s="83"/>
      <c r="J1" s="83"/>
      <c r="K1" s="83"/>
      <c r="L1" s="83"/>
      <c r="M1" s="83"/>
      <c r="N1" s="83"/>
    </row>
    <row r="2" spans="1:27" ht="19.5" customHeight="1">
      <c r="A2" s="751" t="s">
        <v>517</v>
      </c>
      <c r="B2" s="743"/>
      <c r="C2" s="743"/>
      <c r="D2" s="743"/>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4055.85</v>
      </c>
      <c r="D5" s="91" t="str">
        <f>IF(OR(C5="",E5=""),"",TEXT(C5-E5,"+#,##0.00;-#,##0.00;0")&amp;"  ("&amp;TEXT((C5-E5)/E5,"+0.00%;-0.00%;0.00%")&amp;")")</f>
        <v>+9.68  (+0.24%)</v>
      </c>
      <c r="E5" s="92">
        <f t="array" ref="E5">_xll.RssIndexMarket("TOPX","前日終値")</f>
        <v>4046.17</v>
      </c>
      <c r="F5" s="93" t="str">
        <f>IF(C5&gt;E5,"上昇▲","下落▼")</f>
        <v>上昇▲</v>
      </c>
      <c r="G5" s="430" t="s">
        <v>820</v>
      </c>
      <c r="H5" s="431" cm="1">
        <f t="array" ref="H5">_xll.RssIndexMarket("N225.FUT01.OS", "前日比率")</f>
        <v>-1.19</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876</v>
      </c>
      <c r="C303" s="95" t="str">
        <f>_xll.RssMarket($B303,"銘柄名称")</f>
        <v>ＮＦ日経２２５</v>
      </c>
      <c r="D303" s="96" t="str">
        <f t="shared" si="9"/>
        <v>株探</v>
      </c>
    </row>
    <row r="304" spans="1:4" ht="20.100000000000001" customHeight="1">
      <c r="A304" s="98">
        <f t="shared" si="8"/>
        <v>299</v>
      </c>
      <c r="B304" s="59" t="s">
        <v>878</v>
      </c>
      <c r="C304" s="95" t="str">
        <f>_xll.RssMarket($B304,"銘柄名称")</f>
        <v>きんでん</v>
      </c>
      <c r="D304" s="96" t="str">
        <f t="shared" si="9"/>
        <v>株探</v>
      </c>
    </row>
    <row r="305" spans="1:4" ht="20.100000000000001" customHeight="1">
      <c r="A305" s="98">
        <f t="shared" si="8"/>
        <v>300</v>
      </c>
      <c r="B305" s="59" t="s">
        <v>1039</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19" priority="1" stopIfTrue="1">
      <formula>$C$5&gt;$E$5</formula>
    </cfRule>
    <cfRule type="expression" dxfId="18" priority="2" stopIfTrue="1">
      <formula>$C$5&lt;$E$5</formula>
    </cfRule>
    <cfRule type="expression" dxfId="17"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M13" sqref="M13"/>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52" t="s">
        <v>1225</v>
      </c>
      <c r="B1" s="752"/>
      <c r="C1" s="752"/>
      <c r="D1" s="752"/>
      <c r="E1" s="752"/>
      <c r="F1" s="752"/>
      <c r="G1" s="752"/>
      <c r="H1" s="752"/>
      <c r="I1" s="752"/>
      <c r="J1" s="752"/>
      <c r="K1" s="752"/>
      <c r="L1" s="752"/>
      <c r="M1" s="752"/>
      <c r="AC1"/>
      <c r="AD1"/>
      <c r="AE1"/>
      <c r="AF1"/>
      <c r="AG1"/>
      <c r="AH1"/>
      <c r="AI1"/>
      <c r="AJ1"/>
      <c r="AK1"/>
      <c r="AL1"/>
      <c r="AM1"/>
      <c r="AN1"/>
      <c r="AO1"/>
      <c r="AP1"/>
      <c r="AQ1"/>
      <c r="AR1"/>
      <c r="AS1"/>
      <c r="AT1"/>
      <c r="AU1"/>
      <c r="AV1"/>
      <c r="AW1"/>
      <c r="AX1"/>
      <c r="AY1"/>
      <c r="AZ1"/>
    </row>
    <row r="2" spans="1:52" s="435" customFormat="1" ht="19.2">
      <c r="A2" s="559"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60" t="s">
        <v>1237</v>
      </c>
      <c r="V2" s="560" t="s">
        <v>1238</v>
      </c>
      <c r="AC2"/>
      <c r="AD2"/>
      <c r="AE2"/>
      <c r="AF2"/>
      <c r="AG2"/>
      <c r="AH2"/>
      <c r="AI2"/>
      <c r="AJ2"/>
      <c r="AK2"/>
      <c r="AL2"/>
      <c r="AM2"/>
      <c r="AN2"/>
      <c r="AO2"/>
      <c r="AP2"/>
      <c r="AQ2"/>
      <c r="AR2"/>
      <c r="AS2"/>
      <c r="AT2"/>
      <c r="AU2"/>
      <c r="AV2"/>
      <c r="AW2"/>
      <c r="AX2"/>
      <c r="AY2"/>
      <c r="AZ2"/>
    </row>
    <row r="3" spans="20:52" s="435" customFormat="1" ht="19.2">
      <c r="T3" s="435" t="str">
        <f>IF(AND(分析!$C3&lt;&gt;"",分析!$C3&lt;&gt;"TOPX",N(V811指標!$I3)=1),(N(V811指標!$H3)+100)*10000-ROW(),"")</f>
      </c>
      <c r="V3" s="435" t="str">
        <f>IF(AND(売分析!$C3&lt;&gt;"",売分析!$C3&lt;&gt;"TOPX",N(V811指標!$S3)=1),(N(V811指標!$R3)+100)*10000-ROW(),"")</f>
      </c>
      <c r="AC3"/>
      <c r="AD3"/>
      <c r="AE3"/>
      <c r="AF3"/>
      <c r="AG3"/>
      <c r="AH3"/>
      <c r="AI3"/>
      <c r="AJ3"/>
      <c r="AK3"/>
      <c r="AL3"/>
      <c r="AM3"/>
      <c r="AN3"/>
      <c r="AO3"/>
      <c r="AP3"/>
      <c r="AQ3"/>
      <c r="AR3"/>
      <c r="AS3"/>
      <c r="AT3"/>
      <c r="AU3"/>
      <c r="AV3"/>
      <c r="AW3"/>
      <c r="AX3"/>
      <c r="AY3"/>
      <c r="AZ3"/>
    </row>
    <row r="4" spans="1:52" s="435" customFormat="1" ht="19.2">
      <c r="A4" s="561" t="s">
        <v>1226</v>
      </c>
      <c r="E4" s="561" t="s">
        <v>1239</v>
      </c>
      <c r="T4" s="435" t="str">
        <f>IF(AND(分析!$C4&lt;&gt;"",分析!$C4&lt;&gt;"TOPX",N(V811指標!$I4)=1),(N(V811指標!$H4)+100)*10000-ROW(),"")</f>
      </c>
      <c r="V4" s="435">
        <f>IF(AND(売分析!$C4&lt;&gt;"",売分析!$C4&lt;&gt;"TOPX",N(V811指標!$S4)=1),(N(V811指標!$R4)+100)*10000-ROW(),"")</f>
      </c>
      <c r="AC4"/>
      <c r="AD4"/>
      <c r="AE4"/>
      <c r="AF4"/>
      <c r="AG4"/>
      <c r="AH4"/>
      <c r="AI4"/>
      <c r="AJ4"/>
      <c r="AK4"/>
      <c r="AL4"/>
      <c r="AM4"/>
      <c r="AN4"/>
      <c r="AO4"/>
      <c r="AP4"/>
      <c r="AQ4"/>
      <c r="AR4"/>
      <c r="AS4"/>
      <c r="AT4"/>
      <c r="AU4"/>
      <c r="AV4"/>
      <c r="AW4"/>
      <c r="AX4"/>
      <c r="AY4"/>
      <c r="AZ4"/>
    </row>
    <row r="5" spans="1:52" s="435" customFormat="1" ht="19.2">
      <c r="A5" s="435" t="s">
        <v>1227</v>
      </c>
      <c r="B5" s="562">
        <v>3</v>
      </c>
      <c r="C5" s="560" t="s">
        <v>1228</v>
      </c>
      <c r="E5" s="435" t="s">
        <v>1240</v>
      </c>
      <c r="F5" s="563">
        <f>COUNT($T$3:$T$206)</f>
        <v>3</v>
      </c>
      <c r="T5" s="435" t="str">
        <f>IF(AND(分析!$C5&lt;&gt;"",分析!$C5&lt;&gt;"TOPX",N(V811指標!$I5)=1),(N(V811指標!$H5)+100)*10000-ROW(),"")</f>
      </c>
      <c r="V5" s="435" t="str">
        <f>IF(AND(売分析!$C5&lt;&gt;"",売分析!$C5&lt;&gt;"TOPX",N(V811指標!$S5)=1),(N(V811指標!$R5)+100)*10000-ROW(),"")</f>
      </c>
      <c r="AC5"/>
      <c r="AD5"/>
      <c r="AE5"/>
      <c r="AF5"/>
      <c r="AG5"/>
      <c r="AH5"/>
      <c r="AI5"/>
      <c r="AJ5"/>
      <c r="AK5"/>
      <c r="AL5"/>
      <c r="AM5"/>
      <c r="AN5"/>
      <c r="AO5"/>
      <c r="AP5"/>
      <c r="AQ5"/>
      <c r="AR5"/>
      <c r="AS5"/>
      <c r="AT5"/>
      <c r="AU5"/>
      <c r="AV5"/>
      <c r="AW5"/>
      <c r="AX5"/>
      <c r="AY5"/>
      <c r="AZ5"/>
    </row>
    <row r="6" spans="1:52" s="435" customFormat="1" ht="19.2">
      <c r="A6" s="564" t="s">
        <v>1229</v>
      </c>
      <c r="E6" s="435" t="s">
        <v>1241</v>
      </c>
      <c r="F6" s="563">
        <f>COUNT($V$3:$V$206)</f>
        <v>4</v>
      </c>
      <c r="T6" s="435" t="str">
        <f>IF(AND(分析!$C6&lt;&gt;"",分析!$C6&lt;&gt;"TOPX",N(V811指標!$I6)=1),(N(V811指標!$H6)+100)*10000-ROW(),"")</f>
      </c>
      <c r="V6" s="435" t="str">
        <f>IF(AND(売分析!$C6&lt;&gt;"",売分析!$C6&lt;&gt;"TOPX",N(V811指標!$S6)=1),(N(V811指標!$R6)+100)*10000-ROW(),"")</f>
      </c>
      <c r="AC6"/>
      <c r="AD6"/>
      <c r="AE6"/>
      <c r="AF6"/>
      <c r="AG6"/>
      <c r="AH6"/>
      <c r="AI6"/>
      <c r="AJ6"/>
      <c r="AK6"/>
      <c r="AL6"/>
      <c r="AM6"/>
      <c r="AN6"/>
      <c r="AO6"/>
      <c r="AP6"/>
      <c r="AQ6"/>
      <c r="AR6"/>
      <c r="AS6"/>
      <c r="AT6"/>
      <c r="AU6"/>
      <c r="AV6"/>
      <c r="AW6"/>
      <c r="AX6"/>
      <c r="AY6"/>
      <c r="AZ6"/>
    </row>
    <row r="7" spans="1:52" s="435" customFormat="1" ht="19.2">
      <c r="A7" s="435" t="s">
        <v>1230</v>
      </c>
      <c r="B7" s="562">
        <v>11</v>
      </c>
      <c r="C7" s="560" t="s">
        <v>1242</v>
      </c>
      <c r="E7" s="560" t="str">
        <f>IF(F5=0,"⚠ 買いは条件が厳しすぎて該当なし。B7またはB9を下げてください",IF(F5&lt;=5,"✓ 適正な厳しさ","△ やや緩い：B7を上げると絞れます"))</f>
        <v>✓ 適正な厳しさ</v>
      </c>
      <c r="T7" s="435" t="str">
        <f>IF(AND(分析!$C7&lt;&gt;"",分析!$C7&lt;&gt;"TOPX",N(V811指標!$I7)=1),(N(V811指標!$H7)+100)*10000-ROW(),"")</f>
      </c>
      <c r="V7" s="435" t="str">
        <f>IF(AND(売分析!$C7&lt;&gt;"",売分析!$C7&lt;&gt;"TOPX",N(V811指標!$S7)=1),(N(V811指標!$R7)+100)*10000-ROW(),"")</f>
      </c>
      <c r="AC7"/>
      <c r="AD7"/>
      <c r="AE7"/>
      <c r="AF7"/>
      <c r="AG7"/>
      <c r="AH7"/>
      <c r="AI7"/>
      <c r="AJ7"/>
      <c r="AK7"/>
      <c r="AL7"/>
      <c r="AM7"/>
      <c r="AN7"/>
      <c r="AO7"/>
      <c r="AP7"/>
      <c r="AQ7"/>
      <c r="AR7"/>
      <c r="AS7"/>
      <c r="AT7"/>
      <c r="AU7"/>
      <c r="AV7"/>
      <c r="AW7"/>
      <c r="AX7"/>
      <c r="AY7"/>
      <c r="AZ7"/>
    </row>
    <row r="8" spans="1:52" s="435" customFormat="1" ht="19.2">
      <c r="A8" s="435" t="s">
        <v>1231</v>
      </c>
      <c r="B8" s="562" t="s">
        <v>1220</v>
      </c>
      <c r="C8" s="560" t="s">
        <v>1232</v>
      </c>
      <c r="E8" s="560" t="str">
        <f>IF(F6=0,"⚠ 売りは条件が厳しすぎて該当なし。B11またはB13を下げてください",IF(F6&lt;=5,"✓ 適正な厳しさ","△ やや緩い：B11を上げると絞れます"))</f>
        <v>✓ 適正な厳しさ</v>
      </c>
      <c r="T8" s="435" t="str">
        <f>IF(AND(分析!$C8&lt;&gt;"",分析!$C8&lt;&gt;"TOPX",N(V811指標!$I8)=1),(N(V811指標!$H8)+100)*10000-ROW(),"")</f>
      </c>
      <c r="V8" s="435" t="str">
        <f>IF(AND(売分析!$C8&lt;&gt;"",売分析!$C8&lt;&gt;"TOPX",N(V811指標!$S8)=1),(N(V811指標!$R8)+100)*10000-ROW(),"")</f>
      </c>
      <c r="AC8"/>
      <c r="AD8"/>
      <c r="AE8"/>
      <c r="AF8"/>
      <c r="AG8"/>
      <c r="AH8"/>
      <c r="AI8"/>
      <c r="AJ8"/>
      <c r="AK8"/>
      <c r="AL8"/>
      <c r="AM8"/>
      <c r="AN8"/>
      <c r="AO8"/>
      <c r="AP8"/>
      <c r="AQ8"/>
      <c r="AR8"/>
      <c r="AS8"/>
      <c r="AT8"/>
      <c r="AU8"/>
      <c r="AV8"/>
      <c r="AW8"/>
      <c r="AX8"/>
      <c r="AY8"/>
      <c r="AZ8"/>
    </row>
    <row r="9" spans="1:52" s="435" customFormat="1" ht="19.2">
      <c r="A9" s="435" t="s">
        <v>1233</v>
      </c>
      <c r="B9" s="565">
        <v>1</v>
      </c>
      <c r="C9" s="560" t="s">
        <v>1243</v>
      </c>
      <c r="T9" s="435" t="str">
        <f>IF(AND(分析!$C9&lt;&gt;"",分析!$C9&lt;&gt;"TOPX",N(V811指標!$I9)=1),(N(V811指標!$H9)+100)*10000-ROW(),"")</f>
      </c>
      <c r="V9" s="435" t="str">
        <f>IF(AND(売分析!$C9&lt;&gt;"",売分析!$C9&lt;&gt;"TOPX",N(V811指標!$S9)=1),(N(V811指標!$R9)+100)*10000-ROW(),"")</f>
      </c>
      <c r="AC9"/>
      <c r="AD9"/>
      <c r="AE9"/>
      <c r="AF9"/>
      <c r="AG9"/>
      <c r="AH9"/>
      <c r="AI9"/>
      <c r="AJ9"/>
      <c r="AK9"/>
      <c r="AL9"/>
      <c r="AM9"/>
      <c r="AN9"/>
      <c r="AO9"/>
      <c r="AP9"/>
      <c r="AQ9"/>
      <c r="AR9"/>
      <c r="AS9"/>
      <c r="AT9"/>
      <c r="AU9"/>
      <c r="AV9"/>
      <c r="AW9"/>
      <c r="AX9"/>
      <c r="AY9"/>
      <c r="AZ9"/>
    </row>
    <row r="10" spans="1:52" s="435" customFormat="1" ht="19.2">
      <c r="A10" s="566" t="s">
        <v>1234</v>
      </c>
      <c r="T10" s="435" t="str">
        <f>IF(AND(分析!$C10&lt;&gt;"",分析!$C10&lt;&gt;"TOPX",N(V811指標!$I10)=1),(N(V811指標!$H10)+100)*10000-ROW(),"")</f>
      </c>
      <c r="V10" s="435" t="str">
        <f>IF(AND(売分析!$C10&lt;&gt;"",売分析!$C10&lt;&gt;"TOPX",N(V811指標!$S10)=1),(N(V811指標!$R10)+100)*10000-ROW(),"")</f>
      </c>
      <c r="AC10"/>
      <c r="AD10"/>
      <c r="AE10"/>
      <c r="AF10"/>
      <c r="AG10"/>
      <c r="AH10"/>
      <c r="AI10"/>
      <c r="AJ10"/>
      <c r="AK10"/>
      <c r="AL10"/>
      <c r="AM10"/>
      <c r="AN10"/>
      <c r="AO10"/>
      <c r="AP10"/>
      <c r="AQ10"/>
      <c r="AR10"/>
      <c r="AS10"/>
      <c r="AT10"/>
      <c r="AU10"/>
      <c r="AV10"/>
      <c r="AW10"/>
      <c r="AX10"/>
      <c r="AY10"/>
      <c r="AZ10"/>
    </row>
    <row r="11" spans="1:52" s="435" customFormat="1" ht="19.2">
      <c r="A11" s="435" t="s">
        <v>1235</v>
      </c>
      <c r="B11" s="562">
        <v>15</v>
      </c>
      <c r="C11" s="560" t="s">
        <v>1244</v>
      </c>
      <c r="T11" s="435" t="str">
        <f>IF(AND(分析!$C11&lt;&gt;"",分析!$C11&lt;&gt;"TOPX",N(V811指標!$I11)=1),(N(V811指標!$H11)+100)*10000-ROW(),"")</f>
      </c>
      <c r="V11" s="435" t="str">
        <f>IF(AND(売分析!$C11&lt;&gt;"",売分析!$C11&lt;&gt;"TOPX",N(V811指標!$S11)=1),(N(V811指標!$R11)+100)*10000-ROW(),"")</f>
      </c>
      <c r="AC11"/>
      <c r="AD11"/>
      <c r="AE11"/>
      <c r="AF11"/>
      <c r="AG11"/>
      <c r="AH11"/>
      <c r="AI11"/>
      <c r="AJ11"/>
      <c r="AK11"/>
      <c r="AL11"/>
      <c r="AM11"/>
      <c r="AN11"/>
      <c r="AO11"/>
      <c r="AP11"/>
      <c r="AQ11"/>
      <c r="AR11"/>
      <c r="AS11"/>
      <c r="AT11"/>
      <c r="AU11"/>
      <c r="AV11"/>
      <c r="AW11"/>
      <c r="AX11"/>
      <c r="AY11"/>
      <c r="AZ11"/>
    </row>
    <row r="12" spans="1:52" s="435" customFormat="1" ht="19.2">
      <c r="A12" s="435" t="s">
        <v>1231</v>
      </c>
      <c r="B12" s="562" t="s">
        <v>1222</v>
      </c>
      <c r="C12" s="560" t="s">
        <v>1236</v>
      </c>
      <c r="T12" s="435" t="str">
        <f>IF(AND(分析!$C12&lt;&gt;"",分析!$C12&lt;&gt;"TOPX",N(V811指標!$I12)=1),(N(V811指標!$H12)+100)*10000-ROW(),"")</f>
      </c>
      <c r="V12" s="435" t="str">
        <f>IF(AND(売分析!$C12&lt;&gt;"",売分析!$C12&lt;&gt;"TOPX",N(V811指標!$S12)=1),(N(V811指標!$R12)+100)*10000-ROW(),"")</f>
      </c>
      <c r="AC12"/>
      <c r="AD12"/>
      <c r="AE12"/>
      <c r="AF12"/>
      <c r="AG12"/>
      <c r="AH12"/>
      <c r="AI12"/>
      <c r="AJ12"/>
      <c r="AK12"/>
      <c r="AL12"/>
      <c r="AM12"/>
      <c r="AN12"/>
      <c r="AO12"/>
      <c r="AP12"/>
      <c r="AQ12"/>
      <c r="AR12"/>
      <c r="AS12"/>
      <c r="AT12"/>
      <c r="AU12"/>
      <c r="AV12"/>
      <c r="AW12"/>
      <c r="AX12"/>
      <c r="AY12"/>
      <c r="AZ12"/>
    </row>
    <row r="13" spans="1:52" s="435" customFormat="1" ht="19.2">
      <c r="A13" s="435" t="s">
        <v>1233</v>
      </c>
      <c r="B13" s="565">
        <v>1</v>
      </c>
      <c r="C13" s="560" t="s">
        <v>1245</v>
      </c>
      <c r="T13" s="435" t="str">
        <f>IF(AND(分析!$C13&lt;&gt;"",分析!$C13&lt;&gt;"TOPX",N(V811指標!$I13)=1),(N(V811指標!$H13)+100)*10000-ROW(),"")</f>
      </c>
      <c r="V13" s="435" t="str">
        <f>IF(AND(売分析!$C13&lt;&gt;"",売分析!$C13&lt;&gt;"TOPX",N(V811指標!$S13)=1),(N(V811指標!$R13)+100)*10000-ROW(),"")</f>
      </c>
      <c r="AC13"/>
      <c r="AD13"/>
      <c r="AE13"/>
      <c r="AF13"/>
      <c r="AG13"/>
      <c r="AH13"/>
      <c r="AI13"/>
      <c r="AJ13"/>
      <c r="AK13"/>
      <c r="AL13"/>
      <c r="AM13"/>
      <c r="AN13"/>
      <c r="AO13"/>
      <c r="AP13"/>
      <c r="AQ13"/>
      <c r="AR13"/>
      <c r="AS13"/>
      <c r="AT13"/>
      <c r="AU13"/>
      <c r="AV13"/>
      <c r="AW13"/>
      <c r="AX13"/>
      <c r="AY13"/>
      <c r="AZ13"/>
    </row>
    <row r="14" spans="1:52" s="435" customFormat="1" ht="19.2">
      <c r="A14" s="559" t="s">
        <v>1246</v>
      </c>
      <c r="T14" s="435" t="str">
        <f>IF(AND(分析!$C14&lt;&gt;"",分析!$C14&lt;&gt;"TOPX",N(V811指標!$I14)=1),(N(V811指標!$H14)+100)*10000-ROW(),"")</f>
      </c>
      <c r="V14" s="435" t="str">
        <f>IF(AND(売分析!$C14&lt;&gt;"",売分析!$C14&lt;&gt;"TOPX",N(V811指標!$S14)=1),(N(V811指標!$R14)+100)*10000-ROW(),"")</f>
      </c>
      <c r="AC14"/>
      <c r="AD14"/>
      <c r="AE14"/>
      <c r="AF14"/>
      <c r="AG14"/>
      <c r="AH14"/>
      <c r="AI14"/>
      <c r="AJ14"/>
      <c r="AK14"/>
      <c r="AL14"/>
      <c r="AM14"/>
      <c r="AN14"/>
      <c r="AO14"/>
      <c r="AP14"/>
      <c r="AQ14"/>
      <c r="AR14"/>
      <c r="AS14"/>
      <c r="AT14"/>
      <c r="AU14"/>
      <c r="AV14"/>
      <c r="AW14"/>
      <c r="AX14"/>
      <c r="AY14"/>
      <c r="AZ14"/>
    </row>
    <row r="15" spans="20:52" s="435" customFormat="1" ht="19.2">
      <c r="T15" s="435" t="str">
        <f>IF(AND(分析!$C15&lt;&gt;"",分析!$C15&lt;&gt;"TOPX",N(V811指標!$I15)=1),(N(V811指標!$H15)+100)*10000-ROW(),"")</f>
      </c>
      <c r="V15" s="435" t="str">
        <f>IF(AND(売分析!$C15&lt;&gt;"",売分析!$C15&lt;&gt;"TOPX",N(V811指標!$S15)=1),(N(V811指標!$R15)+100)*10000-ROW(),"")</f>
      </c>
      <c r="AC15"/>
      <c r="AD15"/>
      <c r="AE15"/>
      <c r="AF15"/>
      <c r="AG15"/>
      <c r="AH15"/>
      <c r="AI15"/>
      <c r="AJ15"/>
      <c r="AK15"/>
      <c r="AL15"/>
      <c r="AM15"/>
      <c r="AN15"/>
      <c r="AO15"/>
      <c r="AP15"/>
      <c r="AQ15"/>
      <c r="AR15"/>
      <c r="AS15"/>
      <c r="AT15"/>
      <c r="AU15"/>
      <c r="AV15"/>
      <c r="AW15"/>
      <c r="AX15"/>
      <c r="AY15"/>
      <c r="AZ15"/>
    </row>
    <row r="16" spans="1:52" s="435" customFormat="1" ht="19.2">
      <c r="A16" s="564" t="s">
        <v>1223</v>
      </c>
      <c r="T16" s="435" t="str">
        <f>IF(AND(分析!$C16&lt;&gt;"",分析!$C16&lt;&gt;"TOPX",N(V811指標!$I16)=1),(N(V811指標!$H16)+100)*10000-ROW(),"")</f>
      </c>
      <c r="V16" s="435" t="str">
        <f>IF(AND(売分析!$C16&lt;&gt;"",売分析!$C16&lt;&gt;"TOPX",N(V811指標!$S16)=1),(N(V811指標!$R16)+100)*10000-ROW(),"")</f>
      </c>
      <c r="AC16"/>
      <c r="AD16"/>
      <c r="AE16"/>
      <c r="AF16"/>
      <c r="AG16"/>
      <c r="AH16"/>
      <c r="AI16"/>
      <c r="AJ16"/>
      <c r="AK16"/>
      <c r="AL16"/>
      <c r="AM16"/>
      <c r="AN16"/>
      <c r="AO16"/>
      <c r="AP16"/>
      <c r="AQ16"/>
      <c r="AR16"/>
      <c r="AS16"/>
      <c r="AT16"/>
      <c r="AU16"/>
      <c r="AV16"/>
      <c r="AW16"/>
      <c r="AX16"/>
      <c r="AY16"/>
      <c r="AZ16"/>
    </row>
    <row r="17" spans="1:52" s="435" customFormat="1" ht="19.2">
      <c r="A17" s="567" t="s">
        <v>1162</v>
      </c>
      <c r="B17" s="567" t="s">
        <v>523</v>
      </c>
      <c r="C17" s="567" t="s">
        <v>524</v>
      </c>
      <c r="D17" s="567" t="s">
        <v>525</v>
      </c>
      <c r="E17" s="567" t="s">
        <v>551</v>
      </c>
      <c r="F17" s="567" t="s">
        <v>532</v>
      </c>
      <c r="G17" s="567" t="s">
        <v>529</v>
      </c>
      <c r="H17" s="567" t="s">
        <v>530</v>
      </c>
      <c r="I17" s="567" t="s">
        <v>531</v>
      </c>
      <c r="J17" s="567" t="s">
        <v>550</v>
      </c>
      <c r="K17" s="567" t="s">
        <v>535</v>
      </c>
      <c r="L17" s="567" t="s">
        <v>536</v>
      </c>
      <c r="M17" s="567" t="s">
        <v>552</v>
      </c>
      <c r="R17" s="560" t="s">
        <v>1247</v>
      </c>
      <c r="T17" s="435" t="str">
        <f>IF(AND(分析!$C17&lt;&gt;"",分析!$C17&lt;&gt;"TOPX",N(V811指標!$I17)=1),(N(V811指標!$H17)+100)*10000-ROW(),"")</f>
      </c>
      <c r="V17" s="435" t="str">
        <f>IF(AND(売分析!$C17&lt;&gt;"",売分析!$C17&lt;&gt;"TOPX",N(V811指標!$S17)=1),(N(V811指標!$R17)+100)*10000-ROW(),"")</f>
      </c>
      <c r="AC17"/>
      <c r="AD17"/>
      <c r="AE17"/>
      <c r="AF17"/>
      <c r="AG17"/>
      <c r="AH17"/>
      <c r="AI17"/>
      <c r="AJ17"/>
      <c r="AK17"/>
      <c r="AL17"/>
      <c r="AM17"/>
      <c r="AN17"/>
      <c r="AO17"/>
      <c r="AP17"/>
      <c r="AQ17"/>
      <c r="AR17"/>
      <c r="AS17"/>
      <c r="AT17"/>
      <c r="AU17"/>
      <c r="AV17"/>
      <c r="AW17"/>
      <c r="AX17"/>
      <c r="AY17"/>
      <c r="AZ17"/>
    </row>
    <row r="18" spans="1:52" s="435" customFormat="1" ht="19.2">
      <c r="A18" s="568">
        <f>IF($R18="","",ROW()-17)</f>
        <v>1</v>
      </c>
      <c r="B18" s="569" cm="1">
        <f t="array" ref="B18">IF($R18="","",INDEX(分析!$C:$C,$R18))</f>
        <v>4008</v>
      </c>
      <c r="C18" s="569" t="str" cm="1">
        <f t="array" ref="C18">IF($R18="","",INDEX(分析!$D:$D,$R18))</f>
        <v>住友精化</v>
      </c>
      <c r="D18" s="570" cm="1">
        <f t="array" ref="D18">IF($R18="","",INDEX(分析!$E:$E,$R18))</f>
        <v>1446</v>
      </c>
      <c r="E18" s="571" cm="1">
        <f t="array" ref="E18">IF($R18="","",INDEX(分析!$T:$T,$R18))</f>
        <v>19</v>
      </c>
      <c r="F18" s="572" cm="1">
        <f t="array" ref="F18">IF($R18="","",INDEX(分析!$O:$O,$R18))</f>
        <v>3.1973384232013147</v>
      </c>
      <c r="G18" s="573" cm="1">
        <f t="array" ref="G18">IF($R18="","",INDEX(分析!$W:$W,$R18))</f>
        <v>49.006143838091795</v>
      </c>
      <c r="H18" s="569" t="str" cm="1">
        <f t="array" ref="H18">IF($R18="","",INDEX(分析!$AD:$AD,$R18))</f>
        <v>パーフェクト▲</v>
      </c>
      <c r="I18" s="569" t="str" cm="1">
        <f t="array" ref="I18">IF($R18="","",INDEX(分析!$AE:$AE,$R18))</f>
        <v>なし</v>
      </c>
      <c r="J18" s="574" cm="1">
        <f t="array" ref="J18">IF($R18="","",INDEX(分析!$Z:$Z,$R18))</f>
        <v>14.853057982525813</v>
      </c>
      <c r="K18" s="570" cm="1">
        <f t="array" ref="K18">IF($R18="","",INDEX(分析!$R:$R,$R18))</f>
        <v>1562</v>
      </c>
      <c r="L18" s="570" cm="1">
        <f t="array" ref="L18">IF($R18="","",INDEX(分析!$S:$S,$R18))</f>
        <v>1388</v>
      </c>
      <c r="M18" s="575" t="str" cm="1">
        <f t="array" ref="M18">IF($R18="","",INDEX(分析!$Y:$Y,$R18))</f>
        <v>★強い買い</v>
      </c>
      <c r="R18" s="435">
        <f>IF(ROW()-17&gt;$B$5,"",IFERROR(MATCH(LARGE($T$3:$T$206,ROW()-17),$T$3:$T$206,0)+2,""))</f>
        <v>175</v>
      </c>
      <c r="T18" s="435" t="str">
        <f>IF(AND(分析!$C18&lt;&gt;"",分析!$C18&lt;&gt;"TOPX",N(V811指標!$I18)=1),(N(V811指標!$H18)+100)*10000-ROW(),"")</f>
      </c>
      <c r="V18" s="435" t="str">
        <f>IF(AND(売分析!$C18&lt;&gt;"",売分析!$C18&lt;&gt;"TOPX",N(V811指標!$S18)=1),(N(V811指標!$R18)+100)*10000-ROW(),"")</f>
      </c>
      <c r="AC18"/>
      <c r="AD18"/>
      <c r="AE18"/>
      <c r="AF18"/>
      <c r="AG18"/>
      <c r="AH18"/>
      <c r="AI18"/>
      <c r="AJ18"/>
      <c r="AK18"/>
      <c r="AL18"/>
      <c r="AM18"/>
      <c r="AN18"/>
      <c r="AO18"/>
      <c r="AP18"/>
      <c r="AQ18"/>
      <c r="AR18"/>
      <c r="AS18"/>
      <c r="AT18"/>
      <c r="AU18"/>
      <c r="AV18"/>
      <c r="AW18"/>
      <c r="AX18"/>
      <c r="AY18"/>
      <c r="AZ18"/>
    </row>
    <row r="19" spans="1:52" s="435" customFormat="1" ht="19.2">
      <c r="A19" s="576">
        <f>IF($R19="","",ROW()-17)</f>
        <v>2</v>
      </c>
      <c r="B19" s="577" cm="1">
        <f t="array" ref="B19">IF($R19="","",INDEX(分析!$C:$C,$R19))</f>
        <v>5233</v>
      </c>
      <c r="C19" s="577" t="str" cm="1">
        <f t="array" ref="C19">IF($R19="","",INDEX(分析!$D:$D,$R19))</f>
        <v>太平洋セメント</v>
      </c>
      <c r="D19" s="578" cm="1">
        <f t="array" ref="D19">IF($R19="","",INDEX(分析!$E:$E,$R19))</f>
        <v>4333</v>
      </c>
      <c r="E19" s="579" cm="1">
        <f t="array" ref="E19">IF($R19="","",INDEX(分析!$T:$T,$R19))</f>
        <v>14</v>
      </c>
      <c r="F19" s="580" cm="1">
        <f t="array" ref="F19">IF($R19="","",INDEX(分析!$O:$O,$R19))</f>
        <v>1.6370101719887797</v>
      </c>
      <c r="G19" s="581" cm="1">
        <f t="array" ref="G19">IF($R19="","",INDEX(分析!$W:$W,$R19))</f>
        <v>55.723542116630675</v>
      </c>
      <c r="H19" s="577" t="str" cm="1">
        <f t="array" ref="H19">IF($R19="","",INDEX(分析!$AD:$AD,$R19))</f>
        <v>パーフェクト▲</v>
      </c>
      <c r="I19" s="577" t="str" cm="1">
        <f t="array" ref="I19">IF($R19="","",INDEX(分析!$AE:$AE,$R19))</f>
        <v>なし</v>
      </c>
      <c r="J19" s="582" cm="1">
        <f t="array" ref="J19">IF($R19="","",INDEX(分析!$Z:$Z,$R19))</f>
        <v>5.9413202933985332</v>
      </c>
      <c r="K19" s="578" cm="1">
        <f t="array" ref="K19">IF($R19="","",INDEX(分析!$R:$R,$R19))</f>
        <v>4680</v>
      </c>
      <c r="L19" s="578" cm="1">
        <f t="array" ref="L19">IF($R19="","",INDEX(分析!$S:$S,$R19))</f>
        <v>4160</v>
      </c>
      <c r="M19" s="583" t="str" cm="1">
        <f t="array" ref="M19">IF($R19="","",INDEX(分析!$Y:$Y,$R19))</f>
        <v>★強い買い</v>
      </c>
      <c r="R19" s="435">
        <f>IF(ROW()-17&gt;$B$5,"",IFERROR(MATCH(LARGE($T$3:$T$206,ROW()-17),$T$3:$T$206,0)+2,""))</f>
        <v>144</v>
      </c>
      <c r="T19" s="435" t="str">
        <f>IF(AND(分析!$C19&lt;&gt;"",分析!$C19&lt;&gt;"TOPX",N(V811指標!$I19)=1),(N(V811指標!$H19)+100)*10000-ROW(),"")</f>
      </c>
      <c r="V19" s="435" t="str">
        <f>IF(AND(売分析!$C19&lt;&gt;"",売分析!$C19&lt;&gt;"TOPX",N(V811指標!$S19)=1),(N(V811指標!$R19)+100)*10000-ROW(),"")</f>
      </c>
      <c r="AC19"/>
      <c r="AD19"/>
      <c r="AE19"/>
      <c r="AF19"/>
      <c r="AG19"/>
      <c r="AH19"/>
      <c r="AI19"/>
      <c r="AJ19"/>
      <c r="AK19"/>
      <c r="AL19"/>
      <c r="AM19"/>
      <c r="AN19"/>
      <c r="AO19"/>
      <c r="AP19"/>
      <c r="AQ19"/>
      <c r="AR19"/>
      <c r="AS19"/>
      <c r="AT19"/>
      <c r="AU19"/>
      <c r="AV19"/>
      <c r="AW19"/>
      <c r="AX19"/>
      <c r="AY19"/>
      <c r="AZ19"/>
    </row>
    <row r="20" spans="1:52" s="435" customFormat="1" ht="19.2">
      <c r="A20" s="576" t="str">
        <f>IF($R20="","",ROW()-17)</f>
        <v/>
      </c>
      <c r="B20" s="577" t="str" cm="1">
        <f t="array" ref="B20">IF($R20="","",INDEX(分析!$C:$C,$R20))</f>
        <v/>
      </c>
      <c r="C20" s="577" t="str" cm="1">
        <f t="array" ref="C20">IF($R20="","",INDEX(分析!$D:$D,$R20))</f>
        <v/>
      </c>
      <c r="D20" s="578" t="str" cm="1">
        <f t="array" ref="D20">IF($R20="","",INDEX(分析!$E:$E,$R20))</f>
        <v/>
      </c>
      <c r="E20" s="579" t="str" cm="1">
        <f t="array" ref="E20">IF($R20="","",INDEX(分析!$T:$T,$R20))</f>
        <v/>
      </c>
      <c r="F20" s="580" t="str" cm="1">
        <f t="array" ref="F20">IF($R20="","",INDEX(分析!$O:$O,$R20))</f>
        <v/>
      </c>
      <c r="G20" s="581" t="str" cm="1">
        <f t="array" ref="G20">IF($R20="","",INDEX(分析!$W:$W,$R20))</f>
        <v/>
      </c>
      <c r="H20" s="577" t="str" cm="1">
        <f t="array" ref="H20">IF($R20="","",INDEX(分析!$AD:$AD,$R20))</f>
        <v/>
      </c>
      <c r="I20" s="577" t="str" cm="1">
        <f t="array" ref="I20">IF($R20="","",INDEX(分析!$AE:$AE,$R20))</f>
        <v/>
      </c>
      <c r="J20" s="582" t="str" cm="1">
        <f t="array" ref="J20">IF($R20="","",INDEX(分析!$Z:$Z,$R20))</f>
        <v/>
      </c>
      <c r="K20" s="578" t="str" cm="1">
        <f t="array" ref="K20">IF($R20="","",INDEX(分析!$R:$R,$R20))</f>
        <v/>
      </c>
      <c r="L20" s="578" t="str" cm="1">
        <f t="array" ref="L20">IF($R20="","",INDEX(分析!$S:$S,$R20))</f>
        <v/>
      </c>
      <c r="M20" s="583" t="str" cm="1">
        <f t="array" ref="M20">IF($R20="","",INDEX(分析!$Y:$Y,$R20))</f>
        <v/>
      </c>
      <c r="R20" s="435" t="str">
        <f>IF(ROW()-17&gt;$B$5,"",IFERROR(MATCH(LARGE($T$3:$T$206,ROW()-17),$T$3:$T$206,0)+2,""))</f>
        <v/>
      </c>
      <c r="T20" s="435" t="str">
        <f>IF(AND(分析!$C20&lt;&gt;"",分析!$C20&lt;&gt;"TOPX",N(V811指標!$I20)=1),(N(V811指標!$H20)+100)*10000-ROW(),"")</f>
      </c>
      <c r="V20" s="435" t="str">
        <f>IF(AND(売分析!$C20&lt;&gt;"",売分析!$C20&lt;&gt;"TOPX",N(V811指標!$S20)=1),(N(V811指標!$R20)+100)*10000-ROW(),"")</f>
      </c>
      <c r="AC20"/>
      <c r="AD20"/>
      <c r="AE20"/>
      <c r="AF20"/>
      <c r="AG20"/>
      <c r="AH20"/>
      <c r="AI20"/>
      <c r="AJ20"/>
      <c r="AK20"/>
      <c r="AL20"/>
      <c r="AM20"/>
      <c r="AN20"/>
      <c r="AO20"/>
      <c r="AP20"/>
      <c r="AQ20"/>
      <c r="AR20"/>
      <c r="AS20"/>
      <c r="AT20"/>
      <c r="AU20"/>
      <c r="AV20"/>
      <c r="AW20"/>
      <c r="AX20"/>
      <c r="AY20"/>
      <c r="AZ20"/>
    </row>
    <row r="21" spans="1:52" s="435" customFormat="1" ht="19.2">
      <c r="A21" s="576" t="str">
        <f>IF($R21="","",ROW()-17)</f>
        <v/>
      </c>
      <c r="B21" s="577" t="str" cm="1">
        <f t="array" ref="B21">IF($R21="","",INDEX(分析!$C:$C,$R21))</f>
        <v/>
      </c>
      <c r="C21" s="577" t="str" cm="1">
        <f t="array" ref="C21">IF($R21="","",INDEX(分析!$D:$D,$R21))</f>
        <v/>
      </c>
      <c r="D21" s="578" t="str" cm="1">
        <f t="array" ref="D21">IF($R21="","",INDEX(分析!$E:$E,$R21))</f>
        <v/>
      </c>
      <c r="E21" s="579" t="str" cm="1">
        <f t="array" ref="E21">IF($R21="","",INDEX(分析!$T:$T,$R21))</f>
        <v/>
      </c>
      <c r="F21" s="580" t="str" cm="1">
        <f t="array" ref="F21">IF($R21="","",INDEX(分析!$O:$O,$R21))</f>
        <v/>
      </c>
      <c r="G21" s="581" t="str" cm="1">
        <f t="array" ref="G21">IF($R21="","",INDEX(分析!$W:$W,$R21))</f>
        <v/>
      </c>
      <c r="H21" s="577" t="str" cm="1">
        <f t="array" ref="H21">IF($R21="","",INDEX(分析!$AD:$AD,$R21))</f>
        <v/>
      </c>
      <c r="I21" s="577" t="str" cm="1">
        <f t="array" ref="I21">IF($R21="","",INDEX(分析!$AE:$AE,$R21))</f>
        <v/>
      </c>
      <c r="J21" s="582" t="str" cm="1">
        <f t="array" ref="J21">IF($R21="","",INDEX(分析!$Z:$Z,$R21))</f>
        <v/>
      </c>
      <c r="K21" s="578" t="str" cm="1">
        <f t="array" ref="K21">IF($R21="","",INDEX(分析!$R:$R,$R21))</f>
        <v/>
      </c>
      <c r="L21" s="578" t="str" cm="1">
        <f t="array" ref="L21">IF($R21="","",INDEX(分析!$S:$S,$R21))</f>
        <v/>
      </c>
      <c r="M21" s="583" t="str" cm="1">
        <f t="array" ref="M21">IF($R21="","",INDEX(分析!$Y:$Y,$R21))</f>
        <v/>
      </c>
      <c r="R21" s="435" t="str">
        <f>IF(ROW()-17&gt;$B$5,"",IFERROR(MATCH(LARGE($T$3:$T$206,ROW()-17),$T$3:$T$206,0)+2,""))</f>
        <v/>
      </c>
      <c r="T21" s="435" t="str">
        <f>IF(AND(分析!$C21&lt;&gt;"",分析!$C21&lt;&gt;"TOPX",N(V811指標!$I21)=1),(N(V811指標!$H21)+100)*10000-ROW(),"")</f>
      </c>
      <c r="V21" s="435" t="str">
        <f>IF(AND(売分析!$C21&lt;&gt;"",売分析!$C21&lt;&gt;"TOPX",N(V811指標!$S21)=1),(N(V811指標!$R21)+100)*10000-ROW(),"")</f>
      </c>
      <c r="AC21"/>
      <c r="AD21"/>
      <c r="AE21"/>
      <c r="AF21"/>
      <c r="AG21"/>
      <c r="AH21"/>
      <c r="AI21"/>
      <c r="AJ21"/>
      <c r="AK21"/>
      <c r="AL21"/>
      <c r="AM21"/>
      <c r="AN21"/>
      <c r="AO21"/>
      <c r="AP21"/>
      <c r="AQ21"/>
      <c r="AR21"/>
      <c r="AS21"/>
      <c r="AT21"/>
      <c r="AU21"/>
      <c r="AV21"/>
      <c r="AW21"/>
      <c r="AX21"/>
      <c r="AY21"/>
      <c r="AZ21"/>
    </row>
    <row r="22" spans="1:52" s="435" customFormat="1" ht="19.2">
      <c r="A22" s="576" t="str">
        <f>IF($R22="","",ROW()-17)</f>
        <v/>
      </c>
      <c r="B22" s="577" t="str" cm="1">
        <f t="array" ref="B22">IF($R22="","",INDEX(分析!$C:$C,$R22))</f>
        <v/>
      </c>
      <c r="C22" s="577" t="str" cm="1">
        <f t="array" ref="C22">IF($R22="","",INDEX(分析!$D:$D,$R22))</f>
        <v/>
      </c>
      <c r="D22" s="578" t="str" cm="1">
        <f t="array" ref="D22">IF($R22="","",INDEX(分析!$E:$E,$R22))</f>
        <v/>
      </c>
      <c r="E22" s="579" t="str" cm="1">
        <f t="array" ref="E22">IF($R22="","",INDEX(分析!$T:$T,$R22))</f>
        <v/>
      </c>
      <c r="F22" s="580" t="str" cm="1">
        <f t="array" ref="F22">IF($R22="","",INDEX(分析!$O:$O,$R22))</f>
        <v/>
      </c>
      <c r="G22" s="581" t="str" cm="1">
        <f t="array" ref="G22">IF($R22="","",INDEX(分析!$W:$W,$R22))</f>
        <v/>
      </c>
      <c r="H22" s="577" t="str" cm="1">
        <f t="array" ref="H22">IF($R22="","",INDEX(分析!$AD:$AD,$R22))</f>
        <v/>
      </c>
      <c r="I22" s="577" t="str" cm="1">
        <f t="array" ref="I22">IF($R22="","",INDEX(分析!$AE:$AE,$R22))</f>
        <v/>
      </c>
      <c r="J22" s="582" t="str" cm="1">
        <f t="array" ref="J22">IF($R22="","",INDEX(分析!$Z:$Z,$R22))</f>
        <v/>
      </c>
      <c r="K22" s="578" t="str" cm="1">
        <f t="array" ref="K22">IF($R22="","",INDEX(分析!$R:$R,$R22))</f>
        <v/>
      </c>
      <c r="L22" s="578" t="str" cm="1">
        <f t="array" ref="L22">IF($R22="","",INDEX(分析!$S:$S,$R22))</f>
        <v/>
      </c>
      <c r="M22" s="583" t="str" cm="1">
        <f t="array" ref="M22">IF($R22="","",INDEX(分析!$Y:$Y,$R22))</f>
        <v/>
      </c>
      <c r="R22" s="435" t="str">
        <f>IF(ROW()-17&gt;$B$5,"",IFERROR(MATCH(LARGE($T$3:$T$206,ROW()-17),$T$3:$T$206,0)+2,""))</f>
        <v/>
      </c>
      <c r="T22" s="435" t="str">
        <f>IF(AND(分析!$C22&lt;&gt;"",分析!$C22&lt;&gt;"TOPX",N(V811指標!$I22)=1),(N(V811指標!$H22)+100)*10000-ROW(),"")</f>
      </c>
      <c r="V22" s="435">
        <f>IF(AND(売分析!$C22&lt;&gt;"",売分析!$C22&lt;&gt;"TOPX",N(V811指標!$S22)=1),(N(V811指標!$R22)+100)*10000-ROW(),"")</f>
      </c>
      <c r="AC22"/>
      <c r="AD22"/>
      <c r="AE22"/>
      <c r="AF22"/>
      <c r="AG22"/>
      <c r="AH22"/>
      <c r="AI22"/>
      <c r="AJ22"/>
      <c r="AK22"/>
      <c r="AL22"/>
      <c r="AM22"/>
      <c r="AN22"/>
      <c r="AO22"/>
      <c r="AP22"/>
      <c r="AQ22"/>
      <c r="AR22"/>
      <c r="AS22"/>
      <c r="AT22"/>
      <c r="AU22"/>
      <c r="AV22"/>
      <c r="AW22"/>
      <c r="AX22"/>
      <c r="AY22"/>
      <c r="AZ22"/>
    </row>
    <row r="23" spans="20:52" s="435" customFormat="1" ht="19.2">
      <c r="T23" s="435" t="str">
        <f>IF(AND(分析!$C23&lt;&gt;"",分析!$C23&lt;&gt;"TOPX",N(V811指標!$I23)=1),(N(V811指標!$H23)+100)*10000-ROW(),"")</f>
      </c>
      <c r="V23" s="435" t="str">
        <f>IF(AND(売分析!$C23&lt;&gt;"",売分析!$C23&lt;&gt;"TOPX",N(V811指標!$S23)=1),(N(V811指標!$R23)+100)*10000-ROW(),"")</f>
      </c>
      <c r="AC23"/>
      <c r="AD23"/>
      <c r="AE23"/>
      <c r="AF23"/>
      <c r="AG23"/>
      <c r="AH23"/>
      <c r="AI23"/>
      <c r="AJ23"/>
      <c r="AK23"/>
      <c r="AL23"/>
      <c r="AM23"/>
      <c r="AN23"/>
      <c r="AO23"/>
      <c r="AP23"/>
      <c r="AQ23"/>
      <c r="AR23"/>
      <c r="AS23"/>
      <c r="AT23"/>
      <c r="AU23"/>
      <c r="AV23"/>
      <c r="AW23"/>
      <c r="AX23"/>
      <c r="AY23"/>
      <c r="AZ23"/>
    </row>
    <row r="24" spans="1:52" s="435" customFormat="1" ht="19.2">
      <c r="A24" s="566" t="s">
        <v>1224</v>
      </c>
      <c r="T24" s="435" t="str">
        <f>IF(AND(分析!$C24&lt;&gt;"",分析!$C24&lt;&gt;"TOPX",N(V811指標!$I24)=1),(N(V811指標!$H24)+100)*10000-ROW(),"")</f>
      </c>
      <c r="V24" s="435">
        <f>IF(AND(売分析!$C24&lt;&gt;"",売分析!$C24&lt;&gt;"TOPX",N(V811指標!$S24)=1),(N(V811指標!$R24)+100)*10000-ROW(),"")</f>
      </c>
      <c r="AC24"/>
      <c r="AD24"/>
      <c r="AE24"/>
      <c r="AF24"/>
      <c r="AG24"/>
      <c r="AH24"/>
      <c r="AI24"/>
      <c r="AJ24"/>
      <c r="AK24"/>
      <c r="AL24"/>
      <c r="AM24"/>
      <c r="AN24"/>
      <c r="AO24"/>
      <c r="AP24"/>
      <c r="AQ24"/>
      <c r="AR24"/>
      <c r="AS24"/>
      <c r="AT24"/>
      <c r="AU24"/>
      <c r="AV24"/>
      <c r="AW24"/>
      <c r="AX24"/>
      <c r="AY24"/>
      <c r="AZ24"/>
    </row>
    <row r="25" spans="1:52" s="435" customFormat="1" ht="19.2">
      <c r="A25" s="567" t="s">
        <v>1162</v>
      </c>
      <c r="B25" s="567" t="s">
        <v>523</v>
      </c>
      <c r="C25" s="567" t="s">
        <v>524</v>
      </c>
      <c r="D25" s="567" t="s">
        <v>525</v>
      </c>
      <c r="E25" s="567" t="s">
        <v>551</v>
      </c>
      <c r="F25" s="567" t="s">
        <v>532</v>
      </c>
      <c r="G25" s="567" t="s">
        <v>529</v>
      </c>
      <c r="H25" s="567" t="s">
        <v>530</v>
      </c>
      <c r="I25" s="567" t="s">
        <v>570</v>
      </c>
      <c r="J25" s="567" t="s">
        <v>550</v>
      </c>
      <c r="K25" s="567" t="s">
        <v>535</v>
      </c>
      <c r="L25" s="567" t="s">
        <v>536</v>
      </c>
      <c r="M25" s="567" t="s">
        <v>552</v>
      </c>
      <c r="R25" s="560" t="s">
        <v>1248</v>
      </c>
      <c r="T25" s="435" t="str">
        <f>IF(AND(分析!$C25&lt;&gt;"",分析!$C25&lt;&gt;"TOPX",N(V811指標!$I25)=1),(N(V811指標!$H25)+100)*10000-ROW(),"")</f>
      </c>
      <c r="V25" s="435" t="str">
        <f>IF(AND(売分析!$C25&lt;&gt;"",売分析!$C25&lt;&gt;"TOPX",N(V811指標!$S25)=1),(N(V811指標!$R25)+100)*10000-ROW(),"")</f>
      </c>
      <c r="AC25"/>
      <c r="AD25"/>
      <c r="AE25"/>
      <c r="AF25"/>
      <c r="AG25"/>
      <c r="AH25"/>
      <c r="AI25"/>
      <c r="AJ25"/>
      <c r="AK25"/>
      <c r="AL25"/>
      <c r="AM25"/>
      <c r="AN25"/>
      <c r="AO25"/>
      <c r="AP25"/>
      <c r="AQ25"/>
      <c r="AR25"/>
      <c r="AS25"/>
      <c r="AT25"/>
      <c r="AU25"/>
      <c r="AV25"/>
      <c r="AW25"/>
      <c r="AX25"/>
      <c r="AY25"/>
      <c r="AZ25"/>
    </row>
    <row r="26" spans="1:52" s="435" customFormat="1" ht="19.2">
      <c r="A26" s="568">
        <f>IF($R26="","",ROW()-25)</f>
        <v>1</v>
      </c>
      <c r="B26" s="569" cm="1">
        <f t="array" ref="B26">IF($R26="","",INDEX(売分析!$C:$C,$R26))</f>
        <v>3436</v>
      </c>
      <c r="C26" s="569" t="str" cm="1">
        <f t="array" ref="C26">IF($R26="","",INDEX(売分析!$D:$D,$R26))</f>
        <v>ＳＵＭＣＯ</v>
      </c>
      <c r="D26" s="570" cm="1">
        <f t="array" ref="D26">IF($R26="","",INDEX(売分析!$E:$E,$R26))</f>
        <v>3544</v>
      </c>
      <c r="E26" s="571" cm="1">
        <f t="array" ref="E26">IF($R26="","",INDEX(売分析!$T:$T,$R26))</f>
        <v>17</v>
      </c>
      <c r="F26" s="572" cm="1">
        <f t="array" ref="F26">IF($R26="","",INDEX(売分析!$O:$O,$R26))</f>
        <v>1.9713499704244599</v>
      </c>
      <c r="G26" s="573" cm="1">
        <f t="array" ref="G26">IF($R26="","",INDEX(売分析!$W:$W,$R26))</f>
        <v>36.020498669557512</v>
      </c>
      <c r="H26" s="569" t="str" cm="1">
        <f t="array" ref="H26">IF($R26="","",INDEX(売分析!$AD:$AD,$R26))</f>
        <v>下降トレンド▼</v>
      </c>
      <c r="I26" s="569" t="str" cm="1">
        <f t="array" ref="I26">IF($R26="","",INDEX(売分析!$AE:$AE,$R26))</f>
        <v>なし</v>
      </c>
      <c r="J26" s="574" cm="1">
        <f t="array" ref="J26">IF($R26="","",INDEX(売分析!$Z:$Z,$R26))</f>
        <v>-5.6443024494142708</v>
      </c>
      <c r="K26" s="570" cm="1">
        <f t="array" ref="K26">IF($R26="","",INDEX(売分析!$R:$R,$R26))</f>
        <v>3260</v>
      </c>
      <c r="L26" s="570" cm="1">
        <f t="array" ref="L26">IF($R26="","",INDEX(売分析!$S:$S,$R26))</f>
        <v>3686</v>
      </c>
      <c r="M26" s="575" t="str" cm="1">
        <f t="array" ref="M26">IF($R26="","",INDEX(売分析!$Y:$Y,$R26))</f>
        <v>相場上昇・見送り | 下降トレンド▼ MACD- RSI:36.0 前日比:-5.6% [年初来安値圏] [17点]</v>
      </c>
      <c r="R26" s="435">
        <f>IF(ROW()-25&gt;$B$5,"",IFERROR(MATCH(LARGE($V$3:$V$206,ROW()-25),$V$3:$V$206,0)+2,""))</f>
        <v>4</v>
      </c>
      <c r="T26" s="435" t="str">
        <f>IF(AND(分析!$C26&lt;&gt;"",分析!$C26&lt;&gt;"TOPX",N(V811指標!$I26)=1),(N(V811指標!$H26)+100)*10000-ROW(),"")</f>
      </c>
      <c r="V26" s="435" t="str">
        <f>IF(AND(売分析!$C26&lt;&gt;"",売分析!$C26&lt;&gt;"TOPX",N(V811指標!$S26)=1),(N(V811指標!$R26)+100)*10000-ROW(),"")</f>
      </c>
      <c r="AC26"/>
      <c r="AD26"/>
      <c r="AE26"/>
      <c r="AF26"/>
      <c r="AG26"/>
      <c r="AH26"/>
      <c r="AI26"/>
      <c r="AJ26"/>
      <c r="AK26"/>
      <c r="AL26"/>
      <c r="AM26"/>
      <c r="AN26"/>
      <c r="AO26"/>
      <c r="AP26"/>
      <c r="AQ26"/>
      <c r="AR26"/>
      <c r="AS26"/>
      <c r="AT26"/>
      <c r="AU26"/>
      <c r="AV26"/>
      <c r="AW26"/>
      <c r="AX26"/>
      <c r="AY26"/>
      <c r="AZ26"/>
    </row>
    <row r="27" spans="1:52" s="435" customFormat="1" ht="19.2">
      <c r="A27" s="576">
        <f>IF($R27="","",ROW()-25)</f>
        <v>2</v>
      </c>
      <c r="B27" s="577" cm="1">
        <f t="array" ref="B27">IF($R27="","",INDEX(売分析!$C:$C,$R27))</f>
        <v>6479</v>
      </c>
      <c r="C27" s="577" t="str" cm="1">
        <f t="array" ref="C27">IF($R27="","",INDEX(売分析!$D:$D,$R27))</f>
        <v>ミネベアミツミ</v>
      </c>
      <c r="D27" s="578" cm="1">
        <f t="array" ref="D27">IF($R27="","",INDEX(売分析!$E:$E,$R27))</f>
        <v>3736</v>
      </c>
      <c r="E27" s="579" cm="1">
        <f t="array" ref="E27">IF($R27="","",INDEX(売分析!$T:$T,$R27))</f>
        <v>15</v>
      </c>
      <c r="F27" s="580" cm="1">
        <f t="array" ref="F27">IF($R27="","",INDEX(売分析!$O:$O,$R27))</f>
        <v>1.5334760460082981</v>
      </c>
      <c r="G27" s="581" cm="1">
        <f t="array" ref="G27">IF($R27="","",INDEX(売分析!$W:$W,$R27))</f>
        <v>47.217010631644776</v>
      </c>
      <c r="H27" s="577" t="str" cm="1">
        <f t="array" ref="H27">IF($R27="","",INDEX(売分析!$AD:$AD,$R27))</f>
        <v>下降トレンド▼</v>
      </c>
      <c r="I27" s="577" t="str" cm="1">
        <f t="array" ref="I27">IF($R27="","",INDEX(売分析!$AE:$AE,$R27))</f>
        <v>なし</v>
      </c>
      <c r="J27" s="582" cm="1">
        <f t="array" ref="J27">IF($R27="","",INDEX(売分析!$Z:$Z,$R27))</f>
        <v>-8.7890625</v>
      </c>
      <c r="K27" s="578" cm="1">
        <f t="array" ref="K27">IF($R27="","",INDEX(売分析!$R:$R,$R27))</f>
        <v>3437</v>
      </c>
      <c r="L27" s="578" cm="1">
        <f t="array" ref="L27">IF($R27="","",INDEX(売分析!$S:$S,$R27))</f>
        <v>3885</v>
      </c>
      <c r="M27" s="583" t="str" cm="1">
        <f t="array" ref="M27">IF($R27="","",INDEX(売分析!$Y:$Y,$R27))</f>
        <v>相場上昇・見送り | 下降トレンド▼ MACD- RSI:47.2 前日比:-8.8% [安値圏] [15点]</v>
      </c>
      <c r="R27" s="435">
        <f>IF(ROW()-25&gt;$B$5,"",IFERROR(MATCH(LARGE($V$3:$V$206,ROW()-25),$V$3:$V$206,0)+2,""))</f>
        <v>24</v>
      </c>
      <c r="T27" s="435" t="str">
        <f>IF(AND(分析!$C27&lt;&gt;"",分析!$C27&lt;&gt;"TOPX",N(V811指標!$I27)=1),(N(V811指標!$H27)+100)*10000-ROW(),"")</f>
      </c>
      <c r="V27" s="435" t="str">
        <f>IF(AND(売分析!$C27&lt;&gt;"",売分析!$C27&lt;&gt;"TOPX",N(V811指標!$S27)=1),(N(V811指標!$R27)+100)*10000-ROW(),"")</f>
      </c>
      <c r="AC27"/>
      <c r="AD27"/>
      <c r="AE27"/>
      <c r="AF27"/>
      <c r="AG27"/>
      <c r="AH27"/>
      <c r="AI27"/>
      <c r="AJ27"/>
      <c r="AK27"/>
      <c r="AL27"/>
      <c r="AM27"/>
      <c r="AN27"/>
      <c r="AO27"/>
      <c r="AP27"/>
      <c r="AQ27"/>
      <c r="AR27"/>
      <c r="AS27"/>
      <c r="AT27"/>
      <c r="AU27"/>
      <c r="AV27"/>
      <c r="AW27"/>
      <c r="AX27"/>
      <c r="AY27"/>
      <c r="AZ27"/>
    </row>
    <row r="28" spans="1:52" s="435" customFormat="1" ht="19.2">
      <c r="A28" s="576" t="str">
        <f>IF($R28="","",ROW()-25)</f>
        <v/>
      </c>
      <c r="B28" s="577" t="str" cm="1">
        <f t="array" ref="B28">IF($R28="","",INDEX(売分析!$C:$C,$R28))</f>
        <v/>
      </c>
      <c r="C28" s="577" t="str" cm="1">
        <f t="array" ref="C28">IF($R28="","",INDEX(売分析!$D:$D,$R28))</f>
        <v/>
      </c>
      <c r="D28" s="578" t="str" cm="1">
        <f t="array" ref="D28">IF($R28="","",INDEX(売分析!$E:$E,$R28))</f>
        <v/>
      </c>
      <c r="E28" s="579" t="str" cm="1">
        <f t="array" ref="E28">IF($R28="","",INDEX(売分析!$T:$T,$R28))</f>
        <v/>
      </c>
      <c r="F28" s="580" t="str" cm="1">
        <f t="array" ref="F28">IF($R28="","",INDEX(売分析!$O:$O,$R28))</f>
        <v/>
      </c>
      <c r="G28" s="581" t="str" cm="1">
        <f t="array" ref="G28">IF($R28="","",INDEX(売分析!$W:$W,$R28))</f>
        <v/>
      </c>
      <c r="H28" s="577" t="str" cm="1">
        <f t="array" ref="H28">IF($R28="","",INDEX(売分析!$AD:$AD,$R28))</f>
        <v/>
      </c>
      <c r="I28" s="577" t="str" cm="1">
        <f t="array" ref="I28">IF($R28="","",INDEX(売分析!$AE:$AE,$R28))</f>
        <v/>
      </c>
      <c r="J28" s="582" t="str" cm="1">
        <f t="array" ref="J28">IF($R28="","",INDEX(売分析!$Z:$Z,$R28))</f>
        <v/>
      </c>
      <c r="K28" s="578" t="str" cm="1">
        <f t="array" ref="K28">IF($R28="","",INDEX(売分析!$R:$R,$R28))</f>
        <v/>
      </c>
      <c r="L28" s="578" t="str" cm="1">
        <f t="array" ref="L28">IF($R28="","",INDEX(売分析!$S:$S,$R28))</f>
        <v/>
      </c>
      <c r="M28" s="583" t="str" cm="1">
        <f t="array" ref="M28">IF($R28="","",INDEX(売分析!$Y:$Y,$R28))</f>
        <v/>
      </c>
      <c r="R28" s="435" t="str">
        <f>IF(ROW()-25&gt;$B$5,"",IFERROR(MATCH(LARGE($V$3:$V$206,ROW()-25),$V$3:$V$206,0)+2,""))</f>
        <v/>
      </c>
      <c r="T28" s="435" t="str">
        <f>IF(AND(分析!$C28&lt;&gt;"",分析!$C28&lt;&gt;"TOPX",N(V811指標!$I28)=1),(N(V811指標!$H28)+100)*10000-ROW(),"")</f>
      </c>
      <c r="V28" s="435" t="str">
        <f>IF(AND(売分析!$C28&lt;&gt;"",売分析!$C28&lt;&gt;"TOPX",N(V811指標!$S28)=1),(N(V811指標!$R28)+100)*10000-ROW(),"")</f>
      </c>
      <c r="AC28"/>
      <c r="AD28"/>
      <c r="AE28"/>
      <c r="AF28"/>
      <c r="AG28"/>
      <c r="AH28"/>
      <c r="AI28"/>
      <c r="AJ28"/>
      <c r="AK28"/>
      <c r="AL28"/>
      <c r="AM28"/>
      <c r="AN28"/>
      <c r="AO28"/>
      <c r="AP28"/>
      <c r="AQ28"/>
      <c r="AR28"/>
      <c r="AS28"/>
      <c r="AT28"/>
      <c r="AU28"/>
      <c r="AV28"/>
      <c r="AW28"/>
      <c r="AX28"/>
      <c r="AY28"/>
      <c r="AZ28"/>
    </row>
    <row r="29" spans="1:52" s="435" customFormat="1" ht="19.2">
      <c r="A29" s="576" t="str">
        <f>IF($R29="","",ROW()-25)</f>
        <v/>
      </c>
      <c r="B29" s="577" t="str" cm="1">
        <f t="array" ref="B29">IF($R29="","",INDEX(売分析!$C:$C,$R29))</f>
        <v/>
      </c>
      <c r="C29" s="577" t="str" cm="1">
        <f t="array" ref="C29">IF($R29="","",INDEX(売分析!$D:$D,$R29))</f>
        <v/>
      </c>
      <c r="D29" s="578" t="str" cm="1">
        <f t="array" ref="D29">IF($R29="","",INDEX(売分析!$E:$E,$R29))</f>
        <v/>
      </c>
      <c r="E29" s="579" t="str" cm="1">
        <f t="array" ref="E29">IF($R29="","",INDEX(売分析!$T:$T,$R29))</f>
        <v/>
      </c>
      <c r="F29" s="580" t="str" cm="1">
        <f t="array" ref="F29">IF($R29="","",INDEX(売分析!$O:$O,$R29))</f>
        <v/>
      </c>
      <c r="G29" s="581" t="str" cm="1">
        <f t="array" ref="G29">IF($R29="","",INDEX(売分析!$W:$W,$R29))</f>
        <v/>
      </c>
      <c r="H29" s="577" t="str" cm="1">
        <f t="array" ref="H29">IF($R29="","",INDEX(売分析!$AD:$AD,$R29))</f>
        <v/>
      </c>
      <c r="I29" s="577" t="str" cm="1">
        <f t="array" ref="I29">IF($R29="","",INDEX(売分析!$AE:$AE,$R29))</f>
        <v/>
      </c>
      <c r="J29" s="582" t="str" cm="1">
        <f t="array" ref="J29">IF($R29="","",INDEX(売分析!$Z:$Z,$R29))</f>
        <v/>
      </c>
      <c r="K29" s="578" t="str" cm="1">
        <f t="array" ref="K29">IF($R29="","",INDEX(売分析!$R:$R,$R29))</f>
        <v/>
      </c>
      <c r="L29" s="578" t="str" cm="1">
        <f t="array" ref="L29">IF($R29="","",INDEX(売分析!$S:$S,$R29))</f>
        <v/>
      </c>
      <c r="M29" s="583" t="str" cm="1">
        <f t="array" ref="M29">IF($R29="","",INDEX(売分析!$Y:$Y,$R29))</f>
        <v/>
      </c>
      <c r="R29" s="435" t="str">
        <f>IF(ROW()-25&gt;$B$5,"",IFERROR(MATCH(LARGE($V$3:$V$206,ROW()-25),$V$3:$V$206,0)+2,""))</f>
        <v/>
      </c>
      <c r="T29" s="435" t="str">
        <f>IF(AND(分析!$C29&lt;&gt;"",分析!$C29&lt;&gt;"TOPX",N(V811指標!$I29)=1),(N(V811指標!$H29)+100)*10000-ROW(),"")</f>
      </c>
      <c r="V29" s="435" t="str">
        <f>IF(AND(売分析!$C29&lt;&gt;"",売分析!$C29&lt;&gt;"TOPX",N(V811指標!$S29)=1),(N(V811指標!$R29)+100)*10000-ROW(),"")</f>
      </c>
      <c r="AC29"/>
      <c r="AD29"/>
      <c r="AE29"/>
      <c r="AF29"/>
      <c r="AG29"/>
      <c r="AH29"/>
      <c r="AI29"/>
      <c r="AJ29"/>
      <c r="AK29"/>
      <c r="AL29"/>
      <c r="AM29"/>
      <c r="AN29"/>
      <c r="AO29"/>
      <c r="AP29"/>
      <c r="AQ29"/>
      <c r="AR29"/>
      <c r="AS29"/>
      <c r="AT29"/>
      <c r="AU29"/>
      <c r="AV29"/>
      <c r="AW29"/>
      <c r="AX29"/>
      <c r="AY29"/>
      <c r="AZ29"/>
    </row>
    <row r="30" spans="1:52" s="435" customFormat="1" ht="19.2">
      <c r="A30" s="576" t="str">
        <f>IF($R30="","",ROW()-25)</f>
        <v/>
      </c>
      <c r="B30" s="577" t="str" cm="1">
        <f t="array" ref="B30">IF($R30="","",INDEX(売分析!$C:$C,$R30))</f>
        <v/>
      </c>
      <c r="C30" s="577" t="str" cm="1">
        <f t="array" ref="C30">IF($R30="","",INDEX(売分析!$D:$D,$R30))</f>
        <v/>
      </c>
      <c r="D30" s="578" t="str" cm="1">
        <f t="array" ref="D30">IF($R30="","",INDEX(売分析!$E:$E,$R30))</f>
        <v/>
      </c>
      <c r="E30" s="579" t="str" cm="1">
        <f t="array" ref="E30">IF($R30="","",INDEX(売分析!$T:$T,$R30))</f>
        <v/>
      </c>
      <c r="F30" s="580" t="str" cm="1">
        <f t="array" ref="F30">IF($R30="","",INDEX(売分析!$O:$O,$R30))</f>
        <v/>
      </c>
      <c r="G30" s="581" t="str" cm="1">
        <f t="array" ref="G30">IF($R30="","",INDEX(売分析!$W:$W,$R30))</f>
        <v/>
      </c>
      <c r="H30" s="577" t="str" cm="1">
        <f t="array" ref="H30">IF($R30="","",INDEX(売分析!$AD:$AD,$R30))</f>
        <v/>
      </c>
      <c r="I30" s="577" t="str" cm="1">
        <f t="array" ref="I30">IF($R30="","",INDEX(売分析!$AE:$AE,$R30))</f>
        <v/>
      </c>
      <c r="J30" s="582" t="str" cm="1">
        <f t="array" ref="J30">IF($R30="","",INDEX(売分析!$Z:$Z,$R30))</f>
        <v/>
      </c>
      <c r="K30" s="578" t="str" cm="1">
        <f t="array" ref="K30">IF($R30="","",INDEX(売分析!$R:$R,$R30))</f>
        <v/>
      </c>
      <c r="L30" s="578" t="str" cm="1">
        <f t="array" ref="L30">IF($R30="","",INDEX(売分析!$S:$S,$R30))</f>
        <v/>
      </c>
      <c r="M30" s="583" t="str" cm="1">
        <f t="array" ref="M30">IF($R30="","",INDEX(売分析!$Y:$Y,$R30))</f>
        <v/>
      </c>
      <c r="R30" s="435" t="str">
        <f>IF(ROW()-25&gt;$B$5,"",IFERROR(MATCH(LARGE($V$3:$V$206,ROW()-25),$V$3:$V$206,0)+2,""))</f>
        <v/>
      </c>
      <c r="T30" s="435" t="str">
        <f>IF(AND(分析!$C30&lt;&gt;"",分析!$C30&lt;&gt;"TOPX",N(V811指標!$I30)=1),(N(V811指標!$H30)+100)*10000-ROW(),"")</f>
      </c>
      <c r="V30" s="435" t="str">
        <f>IF(AND(売分析!$C30&lt;&gt;"",売分析!$C30&lt;&gt;"TOPX",N(V811指標!$S30)=1),(N(V811指標!$R30)+100)*10000-ROW(),"")</f>
      </c>
      <c r="AC30"/>
      <c r="AD30"/>
      <c r="AE30"/>
      <c r="AF30"/>
      <c r="AG30"/>
      <c r="AH30"/>
      <c r="AI30"/>
      <c r="AJ30"/>
      <c r="AK30"/>
      <c r="AL30"/>
      <c r="AM30"/>
      <c r="AN30"/>
      <c r="AO30"/>
      <c r="AP30"/>
      <c r="AQ30"/>
      <c r="AR30"/>
      <c r="AS30"/>
      <c r="AT30"/>
      <c r="AU30"/>
      <c r="AV30"/>
      <c r="AW30"/>
      <c r="AX30"/>
      <c r="AY30"/>
      <c r="AZ30"/>
    </row>
    <row r="31" spans="20:52" s="435" customFormat="1" ht="19.2">
      <c r="T31" s="435" t="str">
        <f>IF(AND(分析!$C31&lt;&gt;"",分析!$C31&lt;&gt;"TOPX",N(V811指標!$I31)=1),(N(V811指標!$H31)+100)*10000-ROW(),"")</f>
      </c>
      <c r="V31" s="435" t="str">
        <f>IF(AND(売分析!$C31&lt;&gt;"",売分析!$C31&lt;&gt;"TOPX",N(V811指標!$S31)=1),(N(V811指標!$R31)+100)*10000-ROW(),"")</f>
      </c>
      <c r="AC31"/>
      <c r="AD31"/>
      <c r="AE31"/>
      <c r="AF31"/>
      <c r="AG31"/>
      <c r="AH31"/>
      <c r="AI31"/>
      <c r="AJ31"/>
      <c r="AK31"/>
      <c r="AL31"/>
      <c r="AM31"/>
      <c r="AN31"/>
      <c r="AO31"/>
      <c r="AP31"/>
      <c r="AQ31"/>
      <c r="AR31"/>
      <c r="AS31"/>
      <c r="AT31"/>
      <c r="AU31"/>
      <c r="AV31"/>
      <c r="AW31"/>
      <c r="AX31"/>
      <c r="AY31"/>
      <c r="AZ31"/>
    </row>
    <row r="32" spans="1:52" s="435" customFormat="1" ht="19.2">
      <c r="A32" s="561" t="s">
        <v>1249</v>
      </c>
      <c r="T32" s="435" t="str">
        <f>IF(AND(分析!$C32&lt;&gt;"",分析!$C32&lt;&gt;"TOPX",N(V811指標!$I32)=1),(N(V811指標!$H32)+100)*10000-ROW(),"")</f>
      </c>
      <c r="V32" s="435" t="str">
        <f>IF(AND(売分析!$C32&lt;&gt;"",売分析!$C32&lt;&gt;"TOPX",N(V811指標!$S32)=1),(N(V811指標!$R32)+100)*10000-ROW(),"")</f>
      </c>
      <c r="AC32"/>
      <c r="AD32"/>
      <c r="AE32"/>
      <c r="AF32"/>
      <c r="AG32"/>
      <c r="AH32"/>
      <c r="AI32"/>
      <c r="AJ32"/>
      <c r="AK32"/>
      <c r="AL32"/>
      <c r="AM32"/>
      <c r="AN32"/>
      <c r="AO32"/>
      <c r="AP32"/>
      <c r="AQ32"/>
      <c r="AR32"/>
      <c r="AS32"/>
      <c r="AT32"/>
      <c r="AU32"/>
      <c r="AV32"/>
      <c r="AW32"/>
      <c r="AX32"/>
      <c r="AY32"/>
      <c r="AZ32"/>
    </row>
    <row r="33" spans="1:52" s="435" customFormat="1" ht="19.2">
      <c r="A33" s="560" t="s">
        <v>1250</v>
      </c>
      <c r="T33" s="435" t="str">
        <f>IF(AND(分析!$C33&lt;&gt;"",分析!$C33&lt;&gt;"TOPX",N(V811指標!$I33)=1),(N(V811指標!$H33)+100)*10000-ROW(),"")</f>
      </c>
      <c r="V33" s="435" t="str">
        <f>IF(AND(売分析!$C33&lt;&gt;"",売分析!$C33&lt;&gt;"TOPX",N(V811指標!$S33)=1),(N(V811指標!$R33)+100)*10000-ROW(),"")</f>
      </c>
      <c r="AC33"/>
      <c r="AD33"/>
      <c r="AE33"/>
      <c r="AF33"/>
      <c r="AG33"/>
      <c r="AH33"/>
      <c r="AI33"/>
      <c r="AJ33"/>
      <c r="AK33"/>
      <c r="AL33"/>
      <c r="AM33"/>
      <c r="AN33"/>
      <c r="AO33"/>
      <c r="AP33"/>
      <c r="AQ33"/>
      <c r="AR33"/>
      <c r="AS33"/>
      <c r="AT33"/>
      <c r="AU33"/>
      <c r="AV33"/>
      <c r="AW33"/>
      <c r="AX33"/>
      <c r="AY33"/>
      <c r="AZ33"/>
    </row>
    <row r="34" spans="1:52" s="435" customFormat="1" ht="19.2">
      <c r="A34" s="560" t="s">
        <v>1251</v>
      </c>
      <c r="T34" s="435" t="str">
        <f>IF(AND(分析!$C34&lt;&gt;"",分析!$C34&lt;&gt;"TOPX",N(V811指標!$I34)=1),(N(V811指標!$H34)+100)*10000-ROW(),"")</f>
      </c>
      <c r="V34" s="435" t="str">
        <f>IF(AND(売分析!$C34&lt;&gt;"",売分析!$C34&lt;&gt;"TOPX",N(V811指標!$S34)=1),(N(V811指標!$R34)+100)*10000-ROW(),"")</f>
      </c>
      <c r="AC34"/>
      <c r="AD34"/>
      <c r="AE34"/>
      <c r="AF34"/>
      <c r="AG34"/>
      <c r="AH34"/>
      <c r="AI34"/>
      <c r="AJ34"/>
      <c r="AK34"/>
      <c r="AL34"/>
      <c r="AM34"/>
      <c r="AN34"/>
      <c r="AO34"/>
      <c r="AP34"/>
      <c r="AQ34"/>
      <c r="AR34"/>
      <c r="AS34"/>
      <c r="AT34"/>
      <c r="AU34"/>
      <c r="AV34"/>
      <c r="AW34"/>
      <c r="AX34"/>
      <c r="AY34"/>
      <c r="AZ34"/>
    </row>
    <row r="35" spans="1:52" s="435" customFormat="1" ht="19.2">
      <c r="A35" s="560" t="s">
        <v>1252</v>
      </c>
      <c r="T35" s="435" t="str">
        <f>IF(AND(分析!$C35&lt;&gt;"",分析!$C35&lt;&gt;"TOPX",N(V811指標!$I35)=1),(N(V811指標!$H35)+100)*10000-ROW(),"")</f>
      </c>
      <c r="V35" s="435" t="str">
        <f>IF(AND(売分析!$C35&lt;&gt;"",売分析!$C35&lt;&gt;"TOPX",N(V811指標!$S35)=1),(N(V811指標!$R35)+100)*10000-ROW(),"")</f>
      </c>
      <c r="AC35"/>
      <c r="AD35"/>
      <c r="AE35"/>
      <c r="AF35"/>
      <c r="AG35"/>
      <c r="AH35"/>
      <c r="AI35"/>
      <c r="AJ35"/>
      <c r="AK35"/>
      <c r="AL35"/>
      <c r="AM35"/>
      <c r="AN35"/>
      <c r="AO35"/>
      <c r="AP35"/>
      <c r="AQ35"/>
      <c r="AR35"/>
      <c r="AS35"/>
      <c r="AT35"/>
      <c r="AU35"/>
      <c r="AV35"/>
      <c r="AW35"/>
      <c r="AX35"/>
      <c r="AY35"/>
      <c r="AZ35"/>
    </row>
    <row r="36" spans="1:52" s="435" customFormat="1" ht="19.2">
      <c r="A36" s="560" t="s">
        <v>1253</v>
      </c>
      <c r="T36" s="435" t="str">
        <f>IF(AND(分析!$C36&lt;&gt;"",分析!$C36&lt;&gt;"TOPX",N(V811指標!$I36)=1),(N(V811指標!$H36)+100)*10000-ROW(),"")</f>
      </c>
      <c r="V36" s="435" t="str">
        <f>IF(AND(売分析!$C36&lt;&gt;"",売分析!$C36&lt;&gt;"TOPX",N(V811指標!$S36)=1),(N(V811指標!$R36)+100)*10000-ROW(),"")</f>
      </c>
      <c r="AC36"/>
      <c r="AD36"/>
      <c r="AE36"/>
      <c r="AF36"/>
      <c r="AG36"/>
      <c r="AH36"/>
      <c r="AI36"/>
      <c r="AJ36"/>
      <c r="AK36"/>
      <c r="AL36"/>
      <c r="AM36"/>
      <c r="AN36"/>
      <c r="AO36"/>
      <c r="AP36"/>
      <c r="AQ36"/>
      <c r="AR36"/>
      <c r="AS36"/>
      <c r="AT36"/>
      <c r="AU36"/>
      <c r="AV36"/>
      <c r="AW36"/>
      <c r="AX36"/>
      <c r="AY36"/>
      <c r="AZ36"/>
    </row>
    <row r="37" spans="1:52" s="435" customFormat="1" ht="19.2">
      <c r="A37" s="560" t="s">
        <v>1254</v>
      </c>
      <c r="T37" s="435" t="str">
        <f>IF(AND(分析!$C37&lt;&gt;"",分析!$C37&lt;&gt;"TOPX",N(V811指標!$I37)=1),(N(V811指標!$H37)+100)*10000-ROW(),"")</f>
      </c>
      <c r="V37" s="435" t="str">
        <f>IF(AND(売分析!$C37&lt;&gt;"",売分析!$C37&lt;&gt;"TOPX",N(V811指標!$S37)=1),(N(V811指標!$R37)+100)*10000-ROW(),"")</f>
      </c>
      <c r="AC37"/>
      <c r="AD37"/>
      <c r="AE37"/>
      <c r="AF37"/>
      <c r="AG37"/>
      <c r="AH37"/>
      <c r="AI37"/>
      <c r="AJ37"/>
      <c r="AK37"/>
      <c r="AL37"/>
      <c r="AM37"/>
      <c r="AN37"/>
      <c r="AO37"/>
      <c r="AP37"/>
      <c r="AQ37"/>
      <c r="AR37"/>
      <c r="AS37"/>
      <c r="AT37"/>
      <c r="AU37"/>
      <c r="AV37"/>
      <c r="AW37"/>
      <c r="AX37"/>
      <c r="AY37"/>
      <c r="AZ37"/>
    </row>
    <row r="38" spans="20:52" s="435" customFormat="1" ht="19.2">
      <c r="T38" s="435" t="str">
        <f>IF(AND(分析!$C38&lt;&gt;"",分析!$C38&lt;&gt;"TOPX",N(V811指標!$I38)=1),(N(V811指標!$H38)+100)*10000-ROW(),"")</f>
      </c>
      <c r="V38" s="435" t="str">
        <f>IF(AND(売分析!$C38&lt;&gt;"",売分析!$C38&lt;&gt;"TOPX",N(V811指標!$S38)=1),(N(V811指標!$R38)+100)*10000-ROW(),"")</f>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t="str">
        <f>IF(AND(分析!$C39&lt;&gt;"",分析!$C39&lt;&gt;"TOPX",N(V811指標!$I39)=1),(N(V811指標!$H39)+100)*10000-ROW(),"")</f>
      </c>
      <c r="U39"/>
      <c r="V39" t="str">
        <f>IF(AND(売分析!$C39&lt;&gt;"",売分析!$C39&lt;&gt;"TOPX",N(V811指標!$S39)=1),(N(V811指標!$R39)+100)*10000-ROW(),"")</f>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IF(AND(分析!$C40&lt;&gt;"",分析!$C40&lt;&gt;"TOPX",N(V811指標!$I40)=1),(N(V811指標!$H40)+100)*10000-ROW(),"")</f>
      </c>
      <c r="U40"/>
      <c r="V40" t="str">
        <f>IF(AND(売分析!$C40&lt;&gt;"",売分析!$C40&lt;&gt;"TOPX",N(V811指標!$S40)=1),(N(V811指標!$R40)+100)*10000-ROW(),"")</f>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IF(AND(分析!$C41&lt;&gt;"",分析!$C41&lt;&gt;"TOPX",N(V811指標!$I41)=1),(N(V811指標!$H41)+100)*10000-ROW(),"")</f>
      </c>
      <c r="U41"/>
      <c r="V41" t="str">
        <f>IF(AND(売分析!$C41&lt;&gt;"",売分析!$C41&lt;&gt;"TOPX",N(V811指標!$S41)=1),(N(V811指標!$R41)+100)*10000-ROW(),"")</f>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IF(AND(分析!$C42&lt;&gt;"",分析!$C42&lt;&gt;"TOPX",N(V811指標!$I42)=1),(N(V811指標!$H42)+100)*10000-ROW(),"")</f>
      </c>
      <c r="U42"/>
      <c r="V42" t="str">
        <f>IF(AND(売分析!$C42&lt;&gt;"",売分析!$C42&lt;&gt;"TOPX",N(V811指標!$S42)=1),(N(V811指標!$R42)+100)*10000-ROW(),"")</f>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IF(AND(分析!$C43&lt;&gt;"",分析!$C43&lt;&gt;"TOPX",N(V811指標!$I43)=1),(N(V811指標!$H43)+100)*10000-ROW(),"")</f>
      </c>
      <c r="U43"/>
      <c r="V43" t="str">
        <f>IF(AND(売分析!$C43&lt;&gt;"",売分析!$C43&lt;&gt;"TOPX",N(V811指標!$S43)=1),(N(V811指標!$R43)+100)*10000-ROW(),"")</f>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IF(AND(分析!$C44&lt;&gt;"",分析!$C44&lt;&gt;"TOPX",N(V811指標!$I44)=1),(N(V811指標!$H44)+100)*10000-ROW(),"")</f>
      </c>
      <c r="U44"/>
      <c r="V44" t="str">
        <f>IF(AND(売分析!$C44&lt;&gt;"",売分析!$C44&lt;&gt;"TOPX",N(V811指標!$S44)=1),(N(V811指標!$R44)+100)*10000-ROW(),"")</f>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IF(AND(分析!$C45&lt;&gt;"",分析!$C45&lt;&gt;"TOPX",N(V811指標!$I45)=1),(N(V811指標!$H45)+100)*10000-ROW(),"")</f>
      </c>
      <c r="U45"/>
      <c r="V45" t="str">
        <f>IF(AND(売分析!$C45&lt;&gt;"",売分析!$C45&lt;&gt;"TOPX",N(V811指標!$S45)=1),(N(V811指標!$R45)+100)*10000-ROW(),"")</f>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t="str">
        <f>IF(AND(分析!$C46&lt;&gt;"",分析!$C46&lt;&gt;"TOPX",N(V811指標!$I46)=1),(N(V811指標!$H46)+100)*10000-ROW(),"")</f>
      </c>
      <c r="U46"/>
      <c r="V46" t="str">
        <f>IF(AND(売分析!$C46&lt;&gt;"",売分析!$C46&lt;&gt;"TOPX",N(V811指標!$S46)=1),(N(V811指標!$R46)+100)*10000-ROW(),"")</f>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IF(AND(分析!$C47&lt;&gt;"",分析!$C47&lt;&gt;"TOPX",N(V811指標!$I47)=1),(N(V811指標!$H47)+100)*10000-ROW(),"")</f>
      </c>
      <c r="U47"/>
      <c r="V47" t="str">
        <f>IF(AND(売分析!$C47&lt;&gt;"",売分析!$C47&lt;&gt;"TOPX",N(V811指標!$S47)=1),(N(V811指標!$R47)+100)*10000-ROW(),"")</f>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IF(AND(分析!$C48&lt;&gt;"",分析!$C48&lt;&gt;"TOPX",N(V811指標!$I48)=1),(N(V811指標!$H48)+100)*10000-ROW(),"")</f>
      </c>
      <c r="U48"/>
      <c r="V48" t="str">
        <f>IF(AND(売分析!$C48&lt;&gt;"",売分析!$C48&lt;&gt;"TOPX",N(V811指標!$S48)=1),(N(V811指標!$R48)+100)*10000-ROW(),"")</f>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IF(AND(分析!$C49&lt;&gt;"",分析!$C49&lt;&gt;"TOPX",N(V811指標!$I49)=1),(N(V811指標!$H49)+100)*10000-ROW(),"")</f>
      </c>
      <c r="U49"/>
      <c r="V49" t="str">
        <f>IF(AND(売分析!$C49&lt;&gt;"",売分析!$C49&lt;&gt;"TOPX",N(V811指標!$S49)=1),(N(V811指標!$R49)+100)*10000-ROW(),"")</f>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IF(AND(分析!$C50&lt;&gt;"",分析!$C50&lt;&gt;"TOPX",N(V811指標!$I50)=1),(N(V811指標!$H50)+100)*10000-ROW(),"")</f>
      </c>
      <c r="U50"/>
      <c r="V50" t="str">
        <f>IF(AND(売分析!$C50&lt;&gt;"",売分析!$C50&lt;&gt;"TOPX",N(V811指標!$S50)=1),(N(V811指標!$R50)+100)*10000-ROW(),"")</f>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IF(AND(分析!$C51&lt;&gt;"",分析!$C51&lt;&gt;"TOPX",N(V811指標!$I51)=1),(N(V811指標!$H51)+100)*10000-ROW(),"")</f>
      </c>
      <c r="U51"/>
      <c r="V51" t="str">
        <f>IF(AND(売分析!$C51&lt;&gt;"",売分析!$C51&lt;&gt;"TOPX",N(V811指標!$S51)=1),(N(V811指標!$R51)+100)*10000-ROW(),"")</f>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IF(AND(分析!$C52&lt;&gt;"",分析!$C52&lt;&gt;"TOPX",N(V811指標!$I52)=1),(N(V811指標!$H52)+100)*10000-ROW(),"")</f>
      </c>
      <c r="U52"/>
      <c r="V52" t="str">
        <f>IF(AND(売分析!$C52&lt;&gt;"",売分析!$C52&lt;&gt;"TOPX",N(V811指標!$S52)=1),(N(V811指標!$R52)+100)*10000-ROW(),"")</f>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IF(AND(分析!$C53&lt;&gt;"",分析!$C53&lt;&gt;"TOPX",N(V811指標!$I53)=1),(N(V811指標!$H53)+100)*10000-ROW(),"")</f>
      </c>
      <c r="U53"/>
      <c r="V53" t="str">
        <f>IF(AND(売分析!$C53&lt;&gt;"",売分析!$C53&lt;&gt;"TOPX",N(V811指標!$S53)=1),(N(V811指標!$R53)+100)*10000-ROW(),"")</f>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IF(AND(分析!$C54&lt;&gt;"",分析!$C54&lt;&gt;"TOPX",N(V811指標!$I54)=1),(N(V811指標!$H54)+100)*10000-ROW(),"")</f>
      </c>
      <c r="U54"/>
      <c r="V54" t="str">
        <f>IF(AND(売分析!$C54&lt;&gt;"",売分析!$C54&lt;&gt;"TOPX",N(V811指標!$S54)=1),(N(V811指標!$R54)+100)*10000-ROW(),"")</f>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IF(AND(分析!$C55&lt;&gt;"",分析!$C55&lt;&gt;"TOPX",N(V811指標!$I55)=1),(N(V811指標!$H55)+100)*10000-ROW(),"")</f>
      </c>
      <c r="U55"/>
      <c r="V55" t="str">
        <f>IF(AND(売分析!$C55&lt;&gt;"",売分析!$C55&lt;&gt;"TOPX",N(V811指標!$S55)=1),(N(V811指標!$R55)+100)*10000-ROW(),"")</f>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IF(AND(分析!$C56&lt;&gt;"",分析!$C56&lt;&gt;"TOPX",N(V811指標!$I56)=1),(N(V811指標!$H56)+100)*10000-ROW(),"")</f>
      </c>
      <c r="U56"/>
      <c r="V56" t="str">
        <f>IF(AND(売分析!$C56&lt;&gt;"",売分析!$C56&lt;&gt;"TOPX",N(V811指標!$S56)=1),(N(V811指標!$R56)+100)*10000-ROW(),"")</f>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IF(AND(分析!$C57&lt;&gt;"",分析!$C57&lt;&gt;"TOPX",N(V811指標!$I57)=1),(N(V811指標!$H57)+100)*10000-ROW(),"")</f>
      </c>
      <c r="U57"/>
      <c r="V57" t="str">
        <f>IF(AND(売分析!$C57&lt;&gt;"",売分析!$C57&lt;&gt;"TOPX",N(V811指標!$S57)=1),(N(V811指標!$R57)+100)*10000-ROW(),"")</f>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IF(AND(分析!$C58&lt;&gt;"",分析!$C58&lt;&gt;"TOPX",N(V811指標!$I58)=1),(N(V811指標!$H58)+100)*10000-ROW(),"")</f>
      </c>
      <c r="U58"/>
      <c r="V58" t="str">
        <f>IF(AND(売分析!$C58&lt;&gt;"",売分析!$C58&lt;&gt;"TOPX",N(V811指標!$S58)=1),(N(V811指標!$R58)+100)*10000-ROW(),"")</f>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IF(AND(分析!$C59&lt;&gt;"",分析!$C59&lt;&gt;"TOPX",N(V811指標!$I59)=1),(N(V811指標!$H59)+100)*10000-ROW(),"")</f>
      </c>
      <c r="U59"/>
      <c r="V59" t="str">
        <f>IF(AND(売分析!$C59&lt;&gt;"",売分析!$C59&lt;&gt;"TOPX",N(V811指標!$S59)=1),(N(V811指標!$R59)+100)*10000-ROW(),"")</f>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IF(AND(分析!$C60&lt;&gt;"",分析!$C60&lt;&gt;"TOPX",N(V811指標!$I60)=1),(N(V811指標!$H60)+100)*10000-ROW(),"")</f>
      </c>
      <c r="U60"/>
      <c r="V60" t="str">
        <f>IF(AND(売分析!$C60&lt;&gt;"",売分析!$C60&lt;&gt;"TOPX",N(V811指標!$S60)=1),(N(V811指標!$R60)+100)*10000-ROW(),"")</f>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t="str">
        <f>IF(AND(分析!$C61&lt;&gt;"",分析!$C61&lt;&gt;"TOPX",N(V811指標!$I61)=1),(N(V811指標!$H61)+100)*10000-ROW(),"")</f>
      </c>
      <c r="U61"/>
      <c r="V61" t="str">
        <f>IF(AND(売分析!$C61&lt;&gt;"",売分析!$C61&lt;&gt;"TOPX",N(V811指標!$S61)=1),(N(V811指標!$R61)+100)*10000-ROW(),"")</f>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IF(AND(分析!$C62&lt;&gt;"",分析!$C62&lt;&gt;"TOPX",N(V811指標!$I62)=1),(N(V811指標!$H62)+100)*10000-ROW(),"")</f>
      </c>
      <c r="U62"/>
      <c r="V62" t="str">
        <f>IF(AND(売分析!$C62&lt;&gt;"",売分析!$C62&lt;&gt;"TOPX",N(V811指標!$S62)=1),(N(V811指標!$R62)+100)*10000-ROW(),"")</f>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IF(AND(分析!$C63&lt;&gt;"",分析!$C63&lt;&gt;"TOPX",N(V811指標!$I63)=1),(N(V811指標!$H63)+100)*10000-ROW(),"")</f>
      </c>
      <c r="U63"/>
      <c r="V63" t="str">
        <f>IF(AND(売分析!$C63&lt;&gt;"",売分析!$C63&lt;&gt;"TOPX",N(V811指標!$S63)=1),(N(V811指標!$R63)+100)*10000-ROW(),"")</f>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IF(AND(分析!$C64&lt;&gt;"",分析!$C64&lt;&gt;"TOPX",N(V811指標!$I64)=1),(N(V811指標!$H64)+100)*10000-ROW(),"")</f>
      </c>
      <c r="U64"/>
      <c r="V64" t="str">
        <f>IF(AND(売分析!$C64&lt;&gt;"",売分析!$C64&lt;&gt;"TOPX",N(V811指標!$S64)=1),(N(V811指標!$R64)+100)*10000-ROW(),"")</f>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IF(AND(分析!$C65&lt;&gt;"",分析!$C65&lt;&gt;"TOPX",N(V811指標!$I65)=1),(N(V811指標!$H65)+100)*10000-ROW(),"")</f>
      </c>
      <c r="U65"/>
      <c r="V65" t="str">
        <f>IF(AND(売分析!$C65&lt;&gt;"",売分析!$C65&lt;&gt;"TOPX",N(V811指標!$S65)=1),(N(V811指標!$R65)+100)*10000-ROW(),"")</f>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IF(AND(分析!$C66&lt;&gt;"",分析!$C66&lt;&gt;"TOPX",N(V811指標!$I66)=1),(N(V811指標!$H66)+100)*10000-ROW(),"")</f>
      </c>
      <c r="U66"/>
      <c r="V66" t="str">
        <f>IF(AND(売分析!$C66&lt;&gt;"",売分析!$C66&lt;&gt;"TOPX",N(V811指標!$S66)=1),(N(V811指標!$R66)+100)*10000-ROW(),"")</f>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IF(AND(分析!$C67&lt;&gt;"",分析!$C67&lt;&gt;"TOPX",N(V811指標!$I67)=1),(N(V811指標!$H67)+100)*10000-ROW(),"")</f>
      </c>
      <c r="U67"/>
      <c r="V67" t="str">
        <f>IF(AND(売分析!$C67&lt;&gt;"",売分析!$C67&lt;&gt;"TOPX",N(V811指標!$S67)=1),(N(V811指標!$R67)+100)*10000-ROW(),"")</f>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IF(AND(分析!$C68&lt;&gt;"",分析!$C68&lt;&gt;"TOPX",N(V811指標!$I68)=1),(N(V811指標!$H68)+100)*10000-ROW(),"")</f>
      </c>
      <c r="U68"/>
      <c r="V68" t="str">
        <f>IF(AND(売分析!$C68&lt;&gt;"",売分析!$C68&lt;&gt;"TOPX",N(V811指標!$S68)=1),(N(V811指標!$R68)+100)*10000-ROW(),"")</f>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IF(AND(分析!$C69&lt;&gt;"",分析!$C69&lt;&gt;"TOPX",N(V811指標!$I69)=1),(N(V811指標!$H69)+100)*10000-ROW(),"")</f>
      </c>
      <c r="U69"/>
      <c r="V69" t="str">
        <f>IF(AND(売分析!$C69&lt;&gt;"",売分析!$C69&lt;&gt;"TOPX",N(V811指標!$S69)=1),(N(V811指標!$R69)+100)*10000-ROW(),"")</f>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IF(AND(分析!$C70&lt;&gt;"",分析!$C70&lt;&gt;"TOPX",N(V811指標!$I70)=1),(N(V811指標!$H70)+100)*10000-ROW(),"")</f>
      </c>
      <c r="U70"/>
      <c r="V70" t="str">
        <f>IF(AND(売分析!$C70&lt;&gt;"",売分析!$C70&lt;&gt;"TOPX",N(V811指標!$S70)=1),(N(V811指標!$R70)+100)*10000-ROW(),"")</f>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IF(AND(分析!$C71&lt;&gt;"",分析!$C71&lt;&gt;"TOPX",N(V811指標!$I71)=1),(N(V811指標!$H71)+100)*10000-ROW(),"")</f>
      </c>
      <c r="U71"/>
      <c r="V71" t="str">
        <f>IF(AND(売分析!$C71&lt;&gt;"",売分析!$C71&lt;&gt;"TOPX",N(V811指標!$S71)=1),(N(V811指標!$R71)+100)*10000-ROW(),"")</f>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IF(AND(分析!$C72&lt;&gt;"",分析!$C72&lt;&gt;"TOPX",N(V811指標!$I72)=1),(N(V811指標!$H72)+100)*10000-ROW(),"")</f>
      </c>
      <c r="U72"/>
      <c r="V72" t="str">
        <f>IF(AND(売分析!$C72&lt;&gt;"",売分析!$C72&lt;&gt;"TOPX",N(V811指標!$S72)=1),(N(V811指標!$R72)+100)*10000-ROW(),"")</f>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IF(AND(分析!$C73&lt;&gt;"",分析!$C73&lt;&gt;"TOPX",N(V811指標!$I73)=1),(N(V811指標!$H73)+100)*10000-ROW(),"")</f>
      </c>
      <c r="U73"/>
      <c r="V73" t="str">
        <f>IF(AND(売分析!$C73&lt;&gt;"",売分析!$C73&lt;&gt;"TOPX",N(V811指標!$S73)=1),(N(V811指標!$R73)+100)*10000-ROW(),"")</f>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IF(AND(分析!$C74&lt;&gt;"",分析!$C74&lt;&gt;"TOPX",N(V811指標!$I74)=1),(N(V811指標!$H74)+100)*10000-ROW(),"")</f>
      </c>
      <c r="U74"/>
      <c r="V74" t="str">
        <f>IF(AND(売分析!$C74&lt;&gt;"",売分析!$C74&lt;&gt;"TOPX",N(V811指標!$S74)=1),(N(V811指標!$R74)+100)*10000-ROW(),"")</f>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IF(AND(分析!$C75&lt;&gt;"",分析!$C75&lt;&gt;"TOPX",N(V811指標!$I75)=1),(N(V811指標!$H75)+100)*10000-ROW(),"")</f>
      </c>
      <c r="U75"/>
      <c r="V75" t="str">
        <f>IF(AND(売分析!$C75&lt;&gt;"",売分析!$C75&lt;&gt;"TOPX",N(V811指標!$S75)=1),(N(V811指標!$R75)+100)*10000-ROW(),"")</f>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IF(AND(分析!$C76&lt;&gt;"",分析!$C76&lt;&gt;"TOPX",N(V811指標!$I76)=1),(N(V811指標!$H76)+100)*10000-ROW(),"")</f>
      </c>
      <c r="U76"/>
      <c r="V76" t="str">
        <f>IF(AND(売分析!$C76&lt;&gt;"",売分析!$C76&lt;&gt;"TOPX",N(V811指標!$S76)=1),(N(V811指標!$R76)+100)*10000-ROW(),"")</f>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IF(AND(分析!$C77&lt;&gt;"",分析!$C77&lt;&gt;"TOPX",N(V811指標!$I77)=1),(N(V811指標!$H77)+100)*10000-ROW(),"")</f>
      </c>
      <c r="U77"/>
      <c r="V77" t="str">
        <f>IF(AND(売分析!$C77&lt;&gt;"",売分析!$C77&lt;&gt;"TOPX",N(V811指標!$S77)=1),(N(V811指標!$R77)+100)*10000-ROW(),"")</f>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IF(AND(分析!$C78&lt;&gt;"",分析!$C78&lt;&gt;"TOPX",N(V811指標!$I78)=1),(N(V811指標!$H78)+100)*10000-ROW(),"")</f>
      </c>
      <c r="U78"/>
      <c r="V78" t="str">
        <f>IF(AND(売分析!$C78&lt;&gt;"",売分析!$C78&lt;&gt;"TOPX",N(V811指標!$S78)=1),(N(V811指標!$R78)+100)*10000-ROW(),"")</f>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IF(AND(分析!$C79&lt;&gt;"",分析!$C79&lt;&gt;"TOPX",N(V811指標!$I79)=1),(N(V811指標!$H79)+100)*10000-ROW(),"")</f>
      </c>
      <c r="U79"/>
      <c r="V79" t="str">
        <f>IF(AND(売分析!$C79&lt;&gt;"",売分析!$C79&lt;&gt;"TOPX",N(V811指標!$S79)=1),(N(V811指標!$R79)+100)*10000-ROW(),"")</f>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IF(AND(分析!$C80&lt;&gt;"",分析!$C80&lt;&gt;"TOPX",N(V811指標!$I80)=1),(N(V811指標!$H80)+100)*10000-ROW(),"")</f>
      </c>
      <c r="U80"/>
      <c r="V80" t="str">
        <f>IF(AND(売分析!$C80&lt;&gt;"",売分析!$C80&lt;&gt;"TOPX",N(V811指標!$S80)=1),(N(V811指標!$R80)+100)*10000-ROW(),"")</f>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IF(AND(分析!$C81&lt;&gt;"",分析!$C81&lt;&gt;"TOPX",N(V811指標!$I81)=1),(N(V811指標!$H81)+100)*10000-ROW(),"")</f>
      </c>
      <c r="U81"/>
      <c r="V81" t="str">
        <f>IF(AND(売分析!$C81&lt;&gt;"",売分析!$C81&lt;&gt;"TOPX",N(V811指標!$S81)=1),(N(V811指標!$R81)+100)*10000-ROW(),"")</f>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IF(AND(分析!$C82&lt;&gt;"",分析!$C82&lt;&gt;"TOPX",N(V811指標!$I82)=1),(N(V811指標!$H82)+100)*10000-ROW(),"")</f>
      </c>
      <c r="U82"/>
      <c r="V82" t="str">
        <f>IF(AND(売分析!$C82&lt;&gt;"",売分析!$C82&lt;&gt;"TOPX",N(V811指標!$S82)=1),(N(V811指標!$R82)+100)*10000-ROW(),"")</f>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IF(AND(分析!$C83&lt;&gt;"",分析!$C83&lt;&gt;"TOPX",N(V811指標!$I83)=1),(N(V811指標!$H83)+100)*10000-ROW(),"")</f>
      </c>
      <c r="U83"/>
      <c r="V83" t="str">
        <f>IF(AND(売分析!$C83&lt;&gt;"",売分析!$C83&lt;&gt;"TOPX",N(V811指標!$S83)=1),(N(V811指標!$R83)+100)*10000-ROW(),"")</f>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IF(AND(分析!$C84&lt;&gt;"",分析!$C84&lt;&gt;"TOPX",N(V811指標!$I84)=1),(N(V811指標!$H84)+100)*10000-ROW(),"")</f>
      </c>
      <c r="U84"/>
      <c r="V84" t="str">
        <f>IF(AND(売分析!$C84&lt;&gt;"",売分析!$C84&lt;&gt;"TOPX",N(V811指標!$S84)=1),(N(V811指標!$R84)+100)*10000-ROW(),"")</f>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IF(AND(分析!$C85&lt;&gt;"",分析!$C85&lt;&gt;"TOPX",N(V811指標!$I85)=1),(N(V811指標!$H85)+100)*10000-ROW(),"")</f>
      </c>
      <c r="U85"/>
      <c r="V85" t="str">
        <f>IF(AND(売分析!$C85&lt;&gt;"",売分析!$C85&lt;&gt;"TOPX",N(V811指標!$S85)=1),(N(V811指標!$R85)+100)*10000-ROW(),"")</f>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IF(AND(分析!$C86&lt;&gt;"",分析!$C86&lt;&gt;"TOPX",N(V811指標!$I86)=1),(N(V811指標!$H86)+100)*10000-ROW(),"")</f>
      </c>
      <c r="U86"/>
      <c r="V86" t="str">
        <f>IF(AND(売分析!$C86&lt;&gt;"",売分析!$C86&lt;&gt;"TOPX",N(V811指標!$S86)=1),(N(V811指標!$R86)+100)*10000-ROW(),"")</f>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IF(AND(分析!$C87&lt;&gt;"",分析!$C87&lt;&gt;"TOPX",N(V811指標!$I87)=1),(N(V811指標!$H87)+100)*10000-ROW(),"")</f>
      </c>
      <c r="U87"/>
      <c r="V87" t="str">
        <f>IF(AND(売分析!$C87&lt;&gt;"",売分析!$C87&lt;&gt;"TOPX",N(V811指標!$S87)=1),(N(V811指標!$R87)+100)*10000-ROW(),"")</f>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IF(AND(分析!$C88&lt;&gt;"",分析!$C88&lt;&gt;"TOPX",N(V811指標!$I88)=1),(N(V811指標!$H88)+100)*10000-ROW(),"")</f>
      </c>
      <c r="U88"/>
      <c r="V88" t="str">
        <f>IF(AND(売分析!$C88&lt;&gt;"",売分析!$C88&lt;&gt;"TOPX",N(V811指標!$S88)=1),(N(V811指標!$R88)+100)*10000-ROW(),"")</f>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IF(AND(分析!$C89&lt;&gt;"",分析!$C89&lt;&gt;"TOPX",N(V811指標!$I89)=1),(N(V811指標!$H89)+100)*10000-ROW(),"")</f>
      </c>
      <c r="U89"/>
      <c r="V89" t="str">
        <f>IF(AND(売分析!$C89&lt;&gt;"",売分析!$C89&lt;&gt;"TOPX",N(V811指標!$S89)=1),(N(V811指標!$R89)+100)*10000-ROW(),"")</f>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IF(AND(分析!$C90&lt;&gt;"",分析!$C90&lt;&gt;"TOPX",N(V811指標!$I90)=1),(N(V811指標!$H90)+100)*10000-ROW(),"")</f>
      </c>
      <c r="U90"/>
      <c r="V90" t="str">
        <f>IF(AND(売分析!$C90&lt;&gt;"",売分析!$C90&lt;&gt;"TOPX",N(V811指標!$S90)=1),(N(V811指標!$R90)+100)*10000-ROW(),"")</f>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IF(AND(分析!$C91&lt;&gt;"",分析!$C91&lt;&gt;"TOPX",N(V811指標!$I91)=1),(N(V811指標!$H91)+100)*10000-ROW(),"")</f>
      </c>
      <c r="U91"/>
      <c r="V91" t="str">
        <f>IF(AND(売分析!$C91&lt;&gt;"",売分析!$C91&lt;&gt;"TOPX",N(V811指標!$S91)=1),(N(V811指標!$R91)+100)*10000-ROW(),"")</f>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IF(AND(分析!$C92&lt;&gt;"",分析!$C92&lt;&gt;"TOPX",N(V811指標!$I92)=1),(N(V811指標!$H92)+100)*10000-ROW(),"")</f>
      </c>
      <c r="U92"/>
      <c r="V92" t="str">
        <f>IF(AND(売分析!$C92&lt;&gt;"",売分析!$C92&lt;&gt;"TOPX",N(V811指標!$S92)=1),(N(V811指標!$R92)+100)*10000-ROW(),"")</f>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IF(AND(分析!$C93&lt;&gt;"",分析!$C93&lt;&gt;"TOPX",N(V811指標!$I93)=1),(N(V811指標!$H93)+100)*10000-ROW(),"")</f>
      </c>
      <c r="U93"/>
      <c r="V93" t="str">
        <f>IF(AND(売分析!$C93&lt;&gt;"",売分析!$C93&lt;&gt;"TOPX",N(V811指標!$S93)=1),(N(V811指標!$R93)+100)*10000-ROW(),"")</f>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IF(AND(分析!$C94&lt;&gt;"",分析!$C94&lt;&gt;"TOPX",N(V811指標!$I94)=1),(N(V811指標!$H94)+100)*10000-ROW(),"")</f>
      </c>
      <c r="U94"/>
      <c r="V94" t="str">
        <f>IF(AND(売分析!$C94&lt;&gt;"",売分析!$C94&lt;&gt;"TOPX",N(V811指標!$S94)=1),(N(V811指標!$R94)+100)*10000-ROW(),"")</f>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IF(AND(分析!$C95&lt;&gt;"",分析!$C95&lt;&gt;"TOPX",N(V811指標!$I95)=1),(N(V811指標!$H95)+100)*10000-ROW(),"")</f>
      </c>
      <c r="U95"/>
      <c r="V95" t="str">
        <f>IF(AND(売分析!$C95&lt;&gt;"",売分析!$C95&lt;&gt;"TOPX",N(V811指標!$S95)=1),(N(V811指標!$R95)+100)*10000-ROW(),"")</f>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IF(AND(分析!$C96&lt;&gt;"",分析!$C96&lt;&gt;"TOPX",N(V811指標!$I96)=1),(N(V811指標!$H96)+100)*10000-ROW(),"")</f>
      </c>
      <c r="U96"/>
      <c r="V96" t="str">
        <f>IF(AND(売分析!$C96&lt;&gt;"",売分析!$C96&lt;&gt;"TOPX",N(V811指標!$S96)=1),(N(V811指標!$R96)+100)*10000-ROW(),"")</f>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IF(AND(分析!$C97&lt;&gt;"",分析!$C97&lt;&gt;"TOPX",N(V811指標!$I97)=1),(N(V811指標!$H97)+100)*10000-ROW(),"")</f>
      </c>
      <c r="U97"/>
      <c r="V97" t="str">
        <f>IF(AND(売分析!$C97&lt;&gt;"",売分析!$C97&lt;&gt;"TOPX",N(V811指標!$S97)=1),(N(V811指標!$R97)+100)*10000-ROW(),"")</f>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IF(AND(分析!$C98&lt;&gt;"",分析!$C98&lt;&gt;"TOPX",N(V811指標!$I98)=1),(N(V811指標!$H98)+100)*10000-ROW(),"")</f>
      </c>
      <c r="U98"/>
      <c r="V98" t="str">
        <f>IF(AND(売分析!$C98&lt;&gt;"",売分析!$C98&lt;&gt;"TOPX",N(V811指標!$S98)=1),(N(V811指標!$R98)+100)*10000-ROW(),"")</f>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IF(AND(分析!$C99&lt;&gt;"",分析!$C99&lt;&gt;"TOPX",N(V811指標!$I99)=1),(N(V811指標!$H99)+100)*10000-ROW(),"")</f>
      </c>
      <c r="U99"/>
      <c r="V99" t="str">
        <f>IF(AND(売分析!$C99&lt;&gt;"",売分析!$C99&lt;&gt;"TOPX",N(V811指標!$S99)=1),(N(V811指標!$R99)+100)*10000-ROW(),"")</f>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IF(AND(分析!$C100&lt;&gt;"",分析!$C100&lt;&gt;"TOPX",N(V811指標!$I100)=1),(N(V811指標!$H100)+100)*10000-ROW(),"")</f>
      </c>
      <c r="U100"/>
      <c r="V100" t="str">
        <f>IF(AND(売分析!$C100&lt;&gt;"",売分析!$C100&lt;&gt;"TOPX",N(V811指標!$S100)=1),(N(V811指標!$R100)+100)*10000-ROW(),"")</f>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IF(AND(分析!$C101&lt;&gt;"",分析!$C101&lt;&gt;"TOPX",N(V811指標!$I101)=1),(N(V811指標!$H101)+100)*10000-ROW(),"")</f>
      </c>
      <c r="U101"/>
      <c r="V101" t="str">
        <f>IF(AND(売分析!$C101&lt;&gt;"",売分析!$C101&lt;&gt;"TOPX",N(V811指標!$S101)=1),(N(V811指標!$R101)+100)*10000-ROW(),"")</f>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IF(AND(分析!$C102&lt;&gt;"",分析!$C102&lt;&gt;"TOPX",N(V811指標!$I102)=1),(N(V811指標!$H102)+100)*10000-ROW(),"")</f>
      </c>
      <c r="U102"/>
      <c r="V102" t="str">
        <f>IF(AND(売分析!$C102&lt;&gt;"",売分析!$C102&lt;&gt;"TOPX",N(V811指標!$S102)=1),(N(V811指標!$R102)+100)*10000-ROW(),"")</f>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IF(AND(分析!$C103&lt;&gt;"",分析!$C103&lt;&gt;"TOPX",N(V811指標!$I103)=1),(N(V811指標!$H103)+100)*10000-ROW(),"")</f>
      </c>
      <c r="U103"/>
      <c r="V103" t="str">
        <f>IF(AND(売分析!$C103&lt;&gt;"",売分析!$C103&lt;&gt;"TOPX",N(V811指標!$S103)=1),(N(V811指標!$R103)+100)*10000-ROW(),"")</f>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IF(AND(分析!$C104&lt;&gt;"",分析!$C104&lt;&gt;"TOPX",N(V811指標!$I104)=1),(N(V811指標!$H104)+100)*10000-ROW(),"")</f>
      </c>
      <c r="U104"/>
      <c r="V104" t="str">
        <f>IF(AND(売分析!$C104&lt;&gt;"",売分析!$C104&lt;&gt;"TOPX",N(V811指標!$S104)=1),(N(V811指標!$R104)+100)*10000-ROW(),"")</f>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IF(AND(分析!$C105&lt;&gt;"",分析!$C105&lt;&gt;"TOPX",N(V811指標!$I105)=1),(N(V811指標!$H105)+100)*10000-ROW(),"")</f>
      </c>
      <c r="U105"/>
      <c r="V105" t="str">
        <f>IF(AND(売分析!$C105&lt;&gt;"",売分析!$C105&lt;&gt;"TOPX",N(V811指標!$S105)=1),(N(V811指標!$R105)+100)*10000-ROW(),"")</f>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IF(AND(分析!$C106&lt;&gt;"",分析!$C106&lt;&gt;"TOPX",N(V811指標!$I106)=1),(N(V811指標!$H106)+100)*10000-ROW(),"")</f>
      </c>
      <c r="U106"/>
      <c r="V106" t="str">
        <f>IF(AND(売分析!$C106&lt;&gt;"",売分析!$C106&lt;&gt;"TOPX",N(V811指標!$S106)=1),(N(V811指標!$R106)+100)*10000-ROW(),"")</f>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IF(AND(分析!$C107&lt;&gt;"",分析!$C107&lt;&gt;"TOPX",N(V811指標!$I107)=1),(N(V811指標!$H107)+100)*10000-ROW(),"")</f>
      </c>
      <c r="U107"/>
      <c r="V107" t="str">
        <f>IF(AND(売分析!$C107&lt;&gt;"",売分析!$C107&lt;&gt;"TOPX",N(V811指標!$S107)=1),(N(V811指標!$R107)+100)*10000-ROW(),"")</f>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IF(AND(分析!$C108&lt;&gt;"",分析!$C108&lt;&gt;"TOPX",N(V811指標!$I108)=1),(N(V811指標!$H108)+100)*10000-ROW(),"")</f>
      </c>
      <c r="U108"/>
      <c r="V108" t="str">
        <f>IF(AND(売分析!$C108&lt;&gt;"",売分析!$C108&lt;&gt;"TOPX",N(V811指標!$S108)=1),(N(V811指標!$R108)+100)*10000-ROW(),"")</f>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IF(AND(分析!$C109&lt;&gt;"",分析!$C109&lt;&gt;"TOPX",N(V811指標!$I109)=1),(N(V811指標!$H109)+100)*10000-ROW(),"")</f>
      </c>
      <c r="U109"/>
      <c r="V109" t="str">
        <f>IF(AND(売分析!$C109&lt;&gt;"",売分析!$C109&lt;&gt;"TOPX",N(V811指標!$S109)=1),(N(V811指標!$R109)+100)*10000-ROW(),"")</f>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IF(AND(分析!$C110&lt;&gt;"",分析!$C110&lt;&gt;"TOPX",N(V811指標!$I110)=1),(N(V811指標!$H110)+100)*10000-ROW(),"")</f>
      </c>
      <c r="U110"/>
      <c r="V110" t="str">
        <f>IF(AND(売分析!$C110&lt;&gt;"",売分析!$C110&lt;&gt;"TOPX",N(V811指標!$S110)=1),(N(V811指標!$R110)+100)*10000-ROW(),"")</f>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IF(AND(分析!$C111&lt;&gt;"",分析!$C111&lt;&gt;"TOPX",N(V811指標!$I111)=1),(N(V811指標!$H111)+100)*10000-ROW(),"")</f>
      </c>
      <c r="U111"/>
      <c r="V111" t="str">
        <f>IF(AND(売分析!$C111&lt;&gt;"",売分析!$C111&lt;&gt;"TOPX",N(V811指標!$S111)=1),(N(V811指標!$R111)+100)*10000-ROW(),"")</f>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IF(AND(分析!$C112&lt;&gt;"",分析!$C112&lt;&gt;"TOPX",N(V811指標!$I112)=1),(N(V811指標!$H112)+100)*10000-ROW(),"")</f>
      </c>
      <c r="U112"/>
      <c r="V112" t="str">
        <f>IF(AND(売分析!$C112&lt;&gt;"",売分析!$C112&lt;&gt;"TOPX",N(V811指標!$S112)=1),(N(V811指標!$R112)+100)*10000-ROW(),"")</f>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IF(AND(分析!$C113&lt;&gt;"",分析!$C113&lt;&gt;"TOPX",N(V811指標!$I113)=1),(N(V811指標!$H113)+100)*10000-ROW(),"")</f>
      </c>
      <c r="U113"/>
      <c r="V113" t="str">
        <f>IF(AND(売分析!$C113&lt;&gt;"",売分析!$C113&lt;&gt;"TOPX",N(V811指標!$S113)=1),(N(V811指標!$R113)+100)*10000-ROW(),"")</f>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IF(AND(分析!$C114&lt;&gt;"",分析!$C114&lt;&gt;"TOPX",N(V811指標!$I114)=1),(N(V811指標!$H114)+100)*10000-ROW(),"")</f>
      </c>
      <c r="U114"/>
      <c r="V114" t="str">
        <f>IF(AND(売分析!$C114&lt;&gt;"",売分析!$C114&lt;&gt;"TOPX",N(V811指標!$S114)=1),(N(V811指標!$R114)+100)*10000-ROW(),"")</f>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IF(AND(分析!$C115&lt;&gt;"",分析!$C115&lt;&gt;"TOPX",N(V811指標!$I115)=1),(N(V811指標!$H115)+100)*10000-ROW(),"")</f>
      </c>
      <c r="U115"/>
      <c r="V115" t="str">
        <f>IF(AND(売分析!$C115&lt;&gt;"",売分析!$C115&lt;&gt;"TOPX",N(V811指標!$S115)=1),(N(V811指標!$R115)+100)*10000-ROW(),"")</f>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IF(AND(分析!$C116&lt;&gt;"",分析!$C116&lt;&gt;"TOPX",N(V811指標!$I116)=1),(N(V811指標!$H116)+100)*10000-ROW(),"")</f>
      </c>
      <c r="U116"/>
      <c r="V116" t="str">
        <f>IF(AND(売分析!$C116&lt;&gt;"",売分析!$C116&lt;&gt;"TOPX",N(V811指標!$S116)=1),(N(V811指標!$R116)+100)*10000-ROW(),"")</f>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IF(AND(分析!$C117&lt;&gt;"",分析!$C117&lt;&gt;"TOPX",N(V811指標!$I117)=1),(N(V811指標!$H117)+100)*10000-ROW(),"")</f>
      </c>
      <c r="U117"/>
      <c r="V117" t="str">
        <f>IF(AND(売分析!$C117&lt;&gt;"",売分析!$C117&lt;&gt;"TOPX",N(V811指標!$S117)=1),(N(V811指標!$R117)+100)*10000-ROW(),"")</f>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IF(AND(分析!$C118&lt;&gt;"",分析!$C118&lt;&gt;"TOPX",N(V811指標!$I118)=1),(N(V811指標!$H118)+100)*10000-ROW(),"")</f>
      </c>
      <c r="U118"/>
      <c r="V118" t="str">
        <f>IF(AND(売分析!$C118&lt;&gt;"",売分析!$C118&lt;&gt;"TOPX",N(V811指標!$S118)=1),(N(V811指標!$R118)+100)*10000-ROW(),"")</f>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IF(AND(分析!$C119&lt;&gt;"",分析!$C119&lt;&gt;"TOPX",N(V811指標!$I119)=1),(N(V811指標!$H119)+100)*10000-ROW(),"")</f>
      </c>
      <c r="U119"/>
      <c r="V119" t="str">
        <f>IF(AND(売分析!$C119&lt;&gt;"",売分析!$C119&lt;&gt;"TOPX",N(V811指標!$S119)=1),(N(V811指標!$R119)+100)*10000-ROW(),"")</f>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IF(AND(分析!$C120&lt;&gt;"",分析!$C120&lt;&gt;"TOPX",N(V811指標!$I120)=1),(N(V811指標!$H120)+100)*10000-ROW(),"")</f>
      </c>
      <c r="U120"/>
      <c r="V120" t="str">
        <f>IF(AND(売分析!$C120&lt;&gt;"",売分析!$C120&lt;&gt;"TOPX",N(V811指標!$S120)=1),(N(V811指標!$R120)+100)*10000-ROW(),"")</f>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IF(AND(分析!$C121&lt;&gt;"",分析!$C121&lt;&gt;"TOPX",N(V811指標!$I121)=1),(N(V811指標!$H121)+100)*10000-ROW(),"")</f>
      </c>
      <c r="U121"/>
      <c r="V121">
        <f>IF(AND(売分析!$C121&lt;&gt;"",売分析!$C121&lt;&gt;"TOPX",N(V811指標!$S121)=1),(N(V811指標!$R121)+100)*10000-ROW(),"")</f>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IF(AND(分析!$C122&lt;&gt;"",分析!$C122&lt;&gt;"TOPX",N(V811指標!$I122)=1),(N(V811指標!$H122)+100)*10000-ROW(),"")</f>
      </c>
      <c r="U122"/>
      <c r="V122" t="str">
        <f>IF(AND(売分析!$C122&lt;&gt;"",売分析!$C122&lt;&gt;"TOPX",N(V811指標!$S122)=1),(N(V811指標!$R122)+100)*10000-ROW(),"")</f>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IF(AND(分析!$C123&lt;&gt;"",分析!$C123&lt;&gt;"TOPX",N(V811指標!$I123)=1),(N(V811指標!$H123)+100)*10000-ROW(),"")</f>
      </c>
      <c r="U123"/>
      <c r="V123" t="str">
        <f>IF(AND(売分析!$C123&lt;&gt;"",売分析!$C123&lt;&gt;"TOPX",N(V811指標!$S123)=1),(N(V811指標!$R123)+100)*10000-ROW(),"")</f>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IF(AND(分析!$C124&lt;&gt;"",分析!$C124&lt;&gt;"TOPX",N(V811指標!$I124)=1),(N(V811指標!$H124)+100)*10000-ROW(),"")</f>
      </c>
      <c r="U124"/>
      <c r="V124" t="str">
        <f>IF(AND(売分析!$C124&lt;&gt;"",売分析!$C124&lt;&gt;"TOPX",N(V811指標!$S124)=1),(N(V811指標!$R124)+100)*10000-ROW(),"")</f>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IF(AND(分析!$C125&lt;&gt;"",分析!$C125&lt;&gt;"TOPX",N(V811指標!$I125)=1),(N(V811指標!$H125)+100)*10000-ROW(),"")</f>
      </c>
      <c r="U125"/>
      <c r="V125" t="str">
        <f>IF(AND(売分析!$C125&lt;&gt;"",売分析!$C125&lt;&gt;"TOPX",N(V811指標!$S125)=1),(N(V811指標!$R125)+100)*10000-ROW(),"")</f>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IF(AND(分析!$C126&lt;&gt;"",分析!$C126&lt;&gt;"TOPX",N(V811指標!$I126)=1),(N(V811指標!$H126)+100)*10000-ROW(),"")</f>
      </c>
      <c r="U126"/>
      <c r="V126" t="str">
        <f>IF(AND(売分析!$C126&lt;&gt;"",売分析!$C126&lt;&gt;"TOPX",N(V811指標!$S126)=1),(N(V811指標!$R126)+100)*10000-ROW(),"")</f>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IF(AND(分析!$C127&lt;&gt;"",分析!$C127&lt;&gt;"TOPX",N(V811指標!$I127)=1),(N(V811指標!$H127)+100)*10000-ROW(),"")</f>
      </c>
      <c r="U127"/>
      <c r="V127" t="str">
        <f>IF(AND(売分析!$C127&lt;&gt;"",売分析!$C127&lt;&gt;"TOPX",N(V811指標!$S127)=1),(N(V811指標!$R127)+100)*10000-ROW(),"")</f>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IF(AND(分析!$C128&lt;&gt;"",分析!$C128&lt;&gt;"TOPX",N(V811指標!$I128)=1),(N(V811指標!$H128)+100)*10000-ROW(),"")</f>
      </c>
      <c r="U128"/>
      <c r="V128" t="str">
        <f>IF(AND(売分析!$C128&lt;&gt;"",売分析!$C128&lt;&gt;"TOPX",N(V811指標!$S128)=1),(N(V811指標!$R128)+100)*10000-ROW(),"")</f>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IF(AND(分析!$C129&lt;&gt;"",分析!$C129&lt;&gt;"TOPX",N(V811指標!$I129)=1),(N(V811指標!$H129)+100)*10000-ROW(),"")</f>
      </c>
      <c r="U129"/>
      <c r="V129" t="str">
        <f>IF(AND(売分析!$C129&lt;&gt;"",売分析!$C129&lt;&gt;"TOPX",N(V811指標!$S129)=1),(N(V811指標!$R129)+100)*10000-ROW(),"")</f>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IF(AND(分析!$C130&lt;&gt;"",分析!$C130&lt;&gt;"TOPX",N(V811指標!$I130)=1),(N(V811指標!$H130)+100)*10000-ROW(),"")</f>
      </c>
      <c r="U130"/>
      <c r="V130" t="str">
        <f>IF(AND(売分析!$C130&lt;&gt;"",売分析!$C130&lt;&gt;"TOPX",N(V811指標!$S130)=1),(N(V811指標!$R130)+100)*10000-ROW(),"")</f>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IF(AND(分析!$C131&lt;&gt;"",分析!$C131&lt;&gt;"TOPX",N(V811指標!$I131)=1),(N(V811指標!$H131)+100)*10000-ROW(),"")</f>
      </c>
      <c r="U131"/>
      <c r="V131" t="str">
        <f>IF(AND(売分析!$C131&lt;&gt;"",売分析!$C131&lt;&gt;"TOPX",N(V811指標!$S131)=1),(N(V811指標!$R131)+100)*10000-ROW(),"")</f>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IF(AND(分析!$C132&lt;&gt;"",分析!$C132&lt;&gt;"TOPX",N(V811指標!$I132)=1),(N(V811指標!$H132)+100)*10000-ROW(),"")</f>
      </c>
      <c r="U132"/>
      <c r="V132" t="str">
        <f>IF(AND(売分析!$C132&lt;&gt;"",売分析!$C132&lt;&gt;"TOPX",N(V811指標!$S132)=1),(N(V811指標!$R132)+100)*10000-ROW(),"")</f>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IF(AND(分析!$C133&lt;&gt;"",分析!$C133&lt;&gt;"TOPX",N(V811指標!$I133)=1),(N(V811指標!$H133)+100)*10000-ROW(),"")</f>
      </c>
      <c r="U133"/>
      <c r="V133" t="str">
        <f>IF(AND(売分析!$C133&lt;&gt;"",売分析!$C133&lt;&gt;"TOPX",N(V811指標!$S133)=1),(N(V811指標!$R133)+100)*10000-ROW(),"")</f>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IF(AND(分析!$C134&lt;&gt;"",分析!$C134&lt;&gt;"TOPX",N(V811指標!$I134)=1),(N(V811指標!$H134)+100)*10000-ROW(),"")</f>
      </c>
      <c r="U134"/>
      <c r="V134" t="str">
        <f>IF(AND(売分析!$C134&lt;&gt;"",売分析!$C134&lt;&gt;"TOPX",N(V811指標!$S134)=1),(N(V811指標!$R134)+100)*10000-ROW(),"")</f>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IF(AND(分析!$C135&lt;&gt;"",分析!$C135&lt;&gt;"TOPX",N(V811指標!$I135)=1),(N(V811指標!$H135)+100)*10000-ROW(),"")</f>
      </c>
      <c r="U135"/>
      <c r="V135" t="str">
        <f>IF(AND(売分析!$C135&lt;&gt;"",売分析!$C135&lt;&gt;"TOPX",N(V811指標!$S135)=1),(N(V811指標!$R135)+100)*10000-ROW(),"")</f>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IF(AND(分析!$C136&lt;&gt;"",分析!$C136&lt;&gt;"TOPX",N(V811指標!$I136)=1),(N(V811指標!$H136)+100)*10000-ROW(),"")</f>
      </c>
      <c r="U136"/>
      <c r="V136" t="str">
        <f>IF(AND(売分析!$C136&lt;&gt;"",売分析!$C136&lt;&gt;"TOPX",N(V811指標!$S136)=1),(N(V811指標!$R136)+100)*10000-ROW(),"")</f>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IF(AND(分析!$C137&lt;&gt;"",分析!$C137&lt;&gt;"TOPX",N(V811指標!$I137)=1),(N(V811指標!$H137)+100)*10000-ROW(),"")</f>
      </c>
      <c r="U137"/>
      <c r="V137" t="str">
        <f>IF(AND(売分析!$C137&lt;&gt;"",売分析!$C137&lt;&gt;"TOPX",N(V811指標!$S137)=1),(N(V811指標!$R137)+100)*10000-ROW(),"")</f>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IF(AND(分析!$C138&lt;&gt;"",分析!$C138&lt;&gt;"TOPX",N(V811指標!$I138)=1),(N(V811指標!$H138)+100)*10000-ROW(),"")</f>
      </c>
      <c r="U138"/>
      <c r="V138" t="str">
        <f>IF(AND(売分析!$C138&lt;&gt;"",売分析!$C138&lt;&gt;"TOPX",N(V811指標!$S138)=1),(N(V811指標!$R138)+100)*10000-ROW(),"")</f>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IF(AND(分析!$C139&lt;&gt;"",分析!$C139&lt;&gt;"TOPX",N(V811指標!$I139)=1),(N(V811指標!$H139)+100)*10000-ROW(),"")</f>
      </c>
      <c r="U139"/>
      <c r="V139" t="str">
        <f>IF(AND(売分析!$C139&lt;&gt;"",売分析!$C139&lt;&gt;"TOPX",N(V811指標!$S139)=1),(N(V811指標!$R139)+100)*10000-ROW(),"")</f>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IF(AND(分析!$C140&lt;&gt;"",分析!$C140&lt;&gt;"TOPX",N(V811指標!$I140)=1),(N(V811指標!$H140)+100)*10000-ROW(),"")</f>
      </c>
      <c r="U140"/>
      <c r="V140" t="str">
        <f>IF(AND(売分析!$C140&lt;&gt;"",売分析!$C140&lt;&gt;"TOPX",N(V811指標!$S140)=1),(N(V811指標!$R140)+100)*10000-ROW(),"")</f>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IF(AND(分析!$C141&lt;&gt;"",分析!$C141&lt;&gt;"TOPX",N(V811指標!$I141)=1),(N(V811指標!$H141)+100)*10000-ROW(),"")</f>
      </c>
      <c r="U141"/>
      <c r="V141" t="str">
        <f>IF(AND(売分析!$C141&lt;&gt;"",売分析!$C141&lt;&gt;"TOPX",N(V811指標!$S141)=1),(N(V811指標!$R141)+100)*10000-ROW(),"")</f>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IF(AND(分析!$C142&lt;&gt;"",分析!$C142&lt;&gt;"TOPX",N(V811指標!$I142)=1),(N(V811指標!$H142)+100)*10000-ROW(),"")</f>
      </c>
      <c r="U142"/>
      <c r="V142" t="str">
        <f>IF(AND(売分析!$C142&lt;&gt;"",売分析!$C142&lt;&gt;"TOPX",N(V811指標!$S142)=1),(N(V811指標!$R142)+100)*10000-ROW(),"")</f>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IF(AND(分析!$C143&lt;&gt;"",分析!$C143&lt;&gt;"TOPX",N(V811指標!$I143)=1),(N(V811指標!$H143)+100)*10000-ROW(),"")</f>
      </c>
      <c r="U143"/>
      <c r="V143" t="str">
        <f>IF(AND(売分析!$C143&lt;&gt;"",売分析!$C143&lt;&gt;"TOPX",N(V811指標!$S143)=1),(N(V811指標!$R143)+100)*10000-ROW(),"")</f>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f>IF(AND(分析!$C144&lt;&gt;"",分析!$C144&lt;&gt;"TOPX",N(V811指標!$I144)=1),(N(V811指標!$H144)+100)*10000-ROW(),"")</f>
      </c>
      <c r="U144"/>
      <c r="V144" t="str">
        <f>IF(AND(売分析!$C144&lt;&gt;"",売分析!$C144&lt;&gt;"TOPX",N(V811指標!$S144)=1),(N(V811指標!$R144)+100)*10000-ROW(),"")</f>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IF(AND(分析!$C145&lt;&gt;"",分析!$C145&lt;&gt;"TOPX",N(V811指標!$I145)=1),(N(V811指標!$H145)+100)*10000-ROW(),"")</f>
      </c>
      <c r="U145"/>
      <c r="V145" t="str">
        <f>IF(AND(売分析!$C145&lt;&gt;"",売分析!$C145&lt;&gt;"TOPX",N(V811指標!$S145)=1),(N(V811指標!$R145)+100)*10000-ROW(),"")</f>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IF(AND(分析!$C146&lt;&gt;"",分析!$C146&lt;&gt;"TOPX",N(V811指標!$I146)=1),(N(V811指標!$H146)+100)*10000-ROW(),"")</f>
      </c>
      <c r="U146"/>
      <c r="V146" t="str">
        <f>IF(AND(売分析!$C146&lt;&gt;"",売分析!$C146&lt;&gt;"TOPX",N(V811指標!$S146)=1),(N(V811指標!$R146)+100)*10000-ROW(),"")</f>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IF(AND(分析!$C147&lt;&gt;"",分析!$C147&lt;&gt;"TOPX",N(V811指標!$I147)=1),(N(V811指標!$H147)+100)*10000-ROW(),"")</f>
      </c>
      <c r="U147"/>
      <c r="V147" t="str">
        <f>IF(AND(売分析!$C147&lt;&gt;"",売分析!$C147&lt;&gt;"TOPX",N(V811指標!$S147)=1),(N(V811指標!$R147)+100)*10000-ROW(),"")</f>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IF(AND(分析!$C148&lt;&gt;"",分析!$C148&lt;&gt;"TOPX",N(V811指標!$I148)=1),(N(V811指標!$H148)+100)*10000-ROW(),"")</f>
      </c>
      <c r="U148"/>
      <c r="V148" t="str">
        <f>IF(AND(売分析!$C148&lt;&gt;"",売分析!$C148&lt;&gt;"TOPX",N(V811指標!$S148)=1),(N(V811指標!$R148)+100)*10000-ROW(),"")</f>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IF(AND(分析!$C149&lt;&gt;"",分析!$C149&lt;&gt;"TOPX",N(V811指標!$I149)=1),(N(V811指標!$H149)+100)*10000-ROW(),"")</f>
      </c>
      <c r="U149"/>
      <c r="V149" t="str">
        <f>IF(AND(売分析!$C149&lt;&gt;"",売分析!$C149&lt;&gt;"TOPX",N(V811指標!$S149)=1),(N(V811指標!$R149)+100)*10000-ROW(),"")</f>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IF(AND(分析!$C150&lt;&gt;"",分析!$C150&lt;&gt;"TOPX",N(V811指標!$I150)=1),(N(V811指標!$H150)+100)*10000-ROW(),"")</f>
      </c>
      <c r="U150"/>
      <c r="V150" t="str">
        <f>IF(AND(売分析!$C150&lt;&gt;"",売分析!$C150&lt;&gt;"TOPX",N(V811指標!$S150)=1),(N(V811指標!$R150)+100)*10000-ROW(),"")</f>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IF(AND(分析!$C151&lt;&gt;"",分析!$C151&lt;&gt;"TOPX",N(V811指標!$I151)=1),(N(V811指標!$H151)+100)*10000-ROW(),"")</f>
      </c>
      <c r="U151"/>
      <c r="V151" t="str">
        <f>IF(AND(売分析!$C151&lt;&gt;"",売分析!$C151&lt;&gt;"TOPX",N(V811指標!$S151)=1),(N(V811指標!$R151)+100)*10000-ROW(),"")</f>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IF(AND(分析!$C152&lt;&gt;"",分析!$C152&lt;&gt;"TOPX",N(V811指標!$I152)=1),(N(V811指標!$H152)+100)*10000-ROW(),"")</f>
      </c>
      <c r="U152"/>
      <c r="V152" t="str">
        <f>IF(AND(売分析!$C152&lt;&gt;"",売分析!$C152&lt;&gt;"TOPX",N(V811指標!$S152)=1),(N(V811指標!$R152)+100)*10000-ROW(),"")</f>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IF(AND(分析!$C153&lt;&gt;"",分析!$C153&lt;&gt;"TOPX",N(V811指標!$I153)=1),(N(V811指標!$H153)+100)*10000-ROW(),"")</f>
      </c>
      <c r="U153"/>
      <c r="V153" t="str">
        <f>IF(AND(売分析!$C153&lt;&gt;"",売分析!$C153&lt;&gt;"TOPX",N(V811指標!$S153)=1),(N(V811指標!$R153)+100)*10000-ROW(),"")</f>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IF(AND(分析!$C154&lt;&gt;"",分析!$C154&lt;&gt;"TOPX",N(V811指標!$I154)=1),(N(V811指標!$H154)+100)*10000-ROW(),"")</f>
      </c>
      <c r="U154"/>
      <c r="V154" t="str">
        <f>IF(AND(売分析!$C154&lt;&gt;"",売分析!$C154&lt;&gt;"TOPX",N(V811指標!$S154)=1),(N(V811指標!$R154)+100)*10000-ROW(),"")</f>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IF(AND(分析!$C155&lt;&gt;"",分析!$C155&lt;&gt;"TOPX",N(V811指標!$I155)=1),(N(V811指標!$H155)+100)*10000-ROW(),"")</f>
      </c>
      <c r="U155"/>
      <c r="V155" t="str">
        <f>IF(AND(売分析!$C155&lt;&gt;"",売分析!$C155&lt;&gt;"TOPX",N(V811指標!$S155)=1),(N(V811指標!$R155)+100)*10000-ROW(),"")</f>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IF(AND(分析!$C156&lt;&gt;"",分析!$C156&lt;&gt;"TOPX",N(V811指標!$I156)=1),(N(V811指標!$H156)+100)*10000-ROW(),"")</f>
      </c>
      <c r="U156"/>
      <c r="V156" t="str">
        <f>IF(AND(売分析!$C156&lt;&gt;"",売分析!$C156&lt;&gt;"TOPX",N(V811指標!$S156)=1),(N(V811指標!$R156)+100)*10000-ROW(),"")</f>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IF(AND(分析!$C157&lt;&gt;"",分析!$C157&lt;&gt;"TOPX",N(V811指標!$I157)=1),(N(V811指標!$H157)+100)*10000-ROW(),"")</f>
      </c>
      <c r="U157"/>
      <c r="V157" t="str">
        <f>IF(AND(売分析!$C157&lt;&gt;"",売分析!$C157&lt;&gt;"TOPX",N(V811指標!$S157)=1),(N(V811指標!$R157)+100)*10000-ROW(),"")</f>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IF(AND(分析!$C158&lt;&gt;"",分析!$C158&lt;&gt;"TOPX",N(V811指標!$I158)=1),(N(V811指標!$H158)+100)*10000-ROW(),"")</f>
      </c>
      <c r="U158"/>
      <c r="V158" t="str">
        <f>IF(AND(売分析!$C158&lt;&gt;"",売分析!$C158&lt;&gt;"TOPX",N(V811指標!$S158)=1),(N(V811指標!$R158)+100)*10000-ROW(),"")</f>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IF(AND(分析!$C159&lt;&gt;"",分析!$C159&lt;&gt;"TOPX",N(V811指標!$I159)=1),(N(V811指標!$H159)+100)*10000-ROW(),"")</f>
      </c>
      <c r="U159"/>
      <c r="V159" t="str">
        <f>IF(AND(売分析!$C159&lt;&gt;"",売分析!$C159&lt;&gt;"TOPX",N(V811指標!$S159)=1),(N(V811指標!$R159)+100)*10000-ROW(),"")</f>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t="str">
        <f>IF(AND(分析!$C160&lt;&gt;"",分析!$C160&lt;&gt;"TOPX",N(V811指標!$I160)=1),(N(V811指標!$H160)+100)*10000-ROW(),"")</f>
      </c>
      <c r="U160"/>
      <c r="V160" t="str">
        <f>IF(AND(売分析!$C160&lt;&gt;"",売分析!$C160&lt;&gt;"TOPX",N(V811指標!$S160)=1),(N(V811指標!$R160)+100)*10000-ROW(),"")</f>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IF(AND(分析!$C161&lt;&gt;"",分析!$C161&lt;&gt;"TOPX",N(V811指標!$I161)=1),(N(V811指標!$H161)+100)*10000-ROW(),"")</f>
      </c>
      <c r="U161"/>
      <c r="V161" t="str">
        <f>IF(AND(売分析!$C161&lt;&gt;"",売分析!$C161&lt;&gt;"TOPX",N(V811指標!$S161)=1),(N(V811指標!$R161)+100)*10000-ROW(),"")</f>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IF(AND(分析!$C162&lt;&gt;"",分析!$C162&lt;&gt;"TOPX",N(V811指標!$I162)=1),(N(V811指標!$H162)+100)*10000-ROW(),"")</f>
      </c>
      <c r="U162"/>
      <c r="V162" t="str">
        <f>IF(AND(売分析!$C162&lt;&gt;"",売分析!$C162&lt;&gt;"TOPX",N(V811指標!$S162)=1),(N(V811指標!$R162)+100)*10000-ROW(),"")</f>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IF(AND(分析!$C163&lt;&gt;"",分析!$C163&lt;&gt;"TOPX",N(V811指標!$I163)=1),(N(V811指標!$H163)+100)*10000-ROW(),"")</f>
      </c>
      <c r="U163"/>
      <c r="V163" t="str">
        <f>IF(AND(売分析!$C163&lt;&gt;"",売分析!$C163&lt;&gt;"TOPX",N(V811指標!$S163)=1),(N(V811指標!$R163)+100)*10000-ROW(),"")</f>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IF(AND(分析!$C164&lt;&gt;"",分析!$C164&lt;&gt;"TOPX",N(V811指標!$I164)=1),(N(V811指標!$H164)+100)*10000-ROW(),"")</f>
      </c>
      <c r="U164"/>
      <c r="V164" t="str">
        <f>IF(AND(売分析!$C164&lt;&gt;"",売分析!$C164&lt;&gt;"TOPX",N(V811指標!$S164)=1),(N(V811指標!$R164)+100)*10000-ROW(),"")</f>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IF(AND(分析!$C165&lt;&gt;"",分析!$C165&lt;&gt;"TOPX",N(V811指標!$I165)=1),(N(V811指標!$H165)+100)*10000-ROW(),"")</f>
      </c>
      <c r="U165"/>
      <c r="V165" t="str">
        <f>IF(AND(売分析!$C165&lt;&gt;"",売分析!$C165&lt;&gt;"TOPX",N(V811指標!$S165)=1),(N(V811指標!$R165)+100)*10000-ROW(),"")</f>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t="str">
        <f>IF(AND(分析!$C166&lt;&gt;"",分析!$C166&lt;&gt;"TOPX",N(V811指標!$I166)=1),(N(V811指標!$H166)+100)*10000-ROW(),"")</f>
      </c>
      <c r="U166"/>
      <c r="V166" t="str">
        <f>IF(AND(売分析!$C166&lt;&gt;"",売分析!$C166&lt;&gt;"TOPX",N(V811指標!$S166)=1),(N(V811指標!$R166)+100)*10000-ROW(),"")</f>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IF(AND(分析!$C167&lt;&gt;"",分析!$C167&lt;&gt;"TOPX",N(V811指標!$I167)=1),(N(V811指標!$H167)+100)*10000-ROW(),"")</f>
      </c>
      <c r="U167"/>
      <c r="V167" t="str">
        <f>IF(AND(売分析!$C167&lt;&gt;"",売分析!$C167&lt;&gt;"TOPX",N(V811指標!$S167)=1),(N(V811指標!$R167)+100)*10000-ROW(),"")</f>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IF(AND(分析!$C168&lt;&gt;"",分析!$C168&lt;&gt;"TOPX",N(V811指標!$I168)=1),(N(V811指標!$H168)+100)*10000-ROW(),"")</f>
      </c>
      <c r="U168"/>
      <c r="V168" t="str">
        <f>IF(AND(売分析!$C168&lt;&gt;"",売分析!$C168&lt;&gt;"TOPX",N(V811指標!$S168)=1),(N(V811指標!$R168)+100)*10000-ROW(),"")</f>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IF(AND(分析!$C169&lt;&gt;"",分析!$C169&lt;&gt;"TOPX",N(V811指標!$I169)=1),(N(V811指標!$H169)+100)*10000-ROW(),"")</f>
      </c>
      <c r="U169"/>
      <c r="V169" t="str">
        <f>IF(AND(売分析!$C169&lt;&gt;"",売分析!$C169&lt;&gt;"TOPX",N(V811指標!$S169)=1),(N(V811指標!$R169)+100)*10000-ROW(),"")</f>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IF(AND(分析!$C170&lt;&gt;"",分析!$C170&lt;&gt;"TOPX",N(V811指標!$I170)=1),(N(V811指標!$H170)+100)*10000-ROW(),"")</f>
      </c>
      <c r="U170"/>
      <c r="V170" t="str">
        <f>IF(AND(売分析!$C170&lt;&gt;"",売分析!$C170&lt;&gt;"TOPX",N(V811指標!$S170)=1),(N(V811指標!$R170)+100)*10000-ROW(),"")</f>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IF(AND(分析!$C171&lt;&gt;"",分析!$C171&lt;&gt;"TOPX",N(V811指標!$I171)=1),(N(V811指標!$H171)+100)*10000-ROW(),"")</f>
      </c>
      <c r="U171"/>
      <c r="V171" t="str">
        <f>IF(AND(売分析!$C171&lt;&gt;"",売分析!$C171&lt;&gt;"TOPX",N(V811指標!$S171)=1),(N(V811指標!$R171)+100)*10000-ROW(),"")</f>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IF(AND(分析!$C172&lt;&gt;"",分析!$C172&lt;&gt;"TOPX",N(V811指標!$I172)=1),(N(V811指標!$H172)+100)*10000-ROW(),"")</f>
      </c>
      <c r="U172"/>
      <c r="V172" t="str">
        <f>IF(AND(売分析!$C172&lt;&gt;"",売分析!$C172&lt;&gt;"TOPX",N(V811指標!$S172)=1),(N(V811指標!$R172)+100)*10000-ROW(),"")</f>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IF(AND(分析!$C173&lt;&gt;"",分析!$C173&lt;&gt;"TOPX",N(V811指標!$I173)=1),(N(V811指標!$H173)+100)*10000-ROW(),"")</f>
      </c>
      <c r="U173"/>
      <c r="V173" t="str">
        <f>IF(AND(売分析!$C173&lt;&gt;"",売分析!$C173&lt;&gt;"TOPX",N(V811指標!$S173)=1),(N(V811指標!$R173)+100)*10000-ROW(),"")</f>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IF(AND(分析!$C174&lt;&gt;"",分析!$C174&lt;&gt;"TOPX",N(V811指標!$I174)=1),(N(V811指標!$H174)+100)*10000-ROW(),"")</f>
      </c>
      <c r="U174"/>
      <c r="V174" t="str">
        <f>IF(AND(売分析!$C174&lt;&gt;"",売分析!$C174&lt;&gt;"TOPX",N(V811指標!$S174)=1),(N(V811指標!$R174)+100)*10000-ROW(),"")</f>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f>IF(AND(分析!$C175&lt;&gt;"",分析!$C175&lt;&gt;"TOPX",N(V811指標!$I175)=1),(N(V811指標!$H175)+100)*10000-ROW(),"")</f>
      </c>
      <c r="U175"/>
      <c r="V175" t="str">
        <f>IF(AND(売分析!$C175&lt;&gt;"",売分析!$C175&lt;&gt;"TOPX",N(V811指標!$S175)=1),(N(V811指標!$R175)+100)*10000-ROW(),"")</f>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IF(AND(分析!$C176&lt;&gt;"",分析!$C176&lt;&gt;"TOPX",N(V811指標!$I176)=1),(N(V811指標!$H176)+100)*10000-ROW(),"")</f>
      </c>
      <c r="U176"/>
      <c r="V176" t="str">
        <f>IF(AND(売分析!$C176&lt;&gt;"",売分析!$C176&lt;&gt;"TOPX",N(V811指標!$S176)=1),(N(V811指標!$R176)+100)*10000-ROW(),"")</f>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IF(AND(分析!$C177&lt;&gt;"",分析!$C177&lt;&gt;"TOPX",N(V811指標!$I177)=1),(N(V811指標!$H177)+100)*10000-ROW(),"")</f>
      </c>
      <c r="U177"/>
      <c r="V177" t="str">
        <f>IF(AND(売分析!$C177&lt;&gt;"",売分析!$C177&lt;&gt;"TOPX",N(V811指標!$S177)=1),(N(V811指標!$R177)+100)*10000-ROW(),"")</f>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IF(AND(分析!$C178&lt;&gt;"",分析!$C178&lt;&gt;"TOPX",N(V811指標!$I178)=1),(N(V811指標!$H178)+100)*10000-ROW(),"")</f>
      </c>
      <c r="U178"/>
      <c r="V178" t="str">
        <f>IF(AND(売分析!$C178&lt;&gt;"",売分析!$C178&lt;&gt;"TOPX",N(V811指標!$S178)=1),(N(V811指標!$R178)+100)*10000-ROW(),"")</f>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IF(AND(分析!$C179&lt;&gt;"",分析!$C179&lt;&gt;"TOPX",N(V811指標!$I179)=1),(N(V811指標!$H179)+100)*10000-ROW(),"")</f>
      </c>
      <c r="U179"/>
      <c r="V179" t="str">
        <f>IF(AND(売分析!$C179&lt;&gt;"",売分析!$C179&lt;&gt;"TOPX",N(V811指標!$S179)=1),(N(V811指標!$R179)+100)*10000-ROW(),"")</f>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IF(AND(分析!$C180&lt;&gt;"",分析!$C180&lt;&gt;"TOPX",N(V811指標!$I180)=1),(N(V811指標!$H180)+100)*10000-ROW(),"")</f>
      </c>
      <c r="U180"/>
      <c r="V180" t="str">
        <f>IF(AND(売分析!$C180&lt;&gt;"",売分析!$C180&lt;&gt;"TOPX",N(V811指標!$S180)=1),(N(V811指標!$R180)+100)*10000-ROW(),"")</f>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IF(AND(分析!$C181&lt;&gt;"",分析!$C181&lt;&gt;"TOPX",N(V811指標!$I181)=1),(N(V811指標!$H181)+100)*10000-ROW(),"")</f>
      </c>
      <c r="U181"/>
      <c r="V181" t="str">
        <f>IF(AND(売分析!$C181&lt;&gt;"",売分析!$C181&lt;&gt;"TOPX",N(V811指標!$S181)=1),(N(V811指標!$R181)+100)*10000-ROW(),"")</f>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IF(AND(分析!$C182&lt;&gt;"",分析!$C182&lt;&gt;"TOPX",N(V811指標!$I182)=1),(N(V811指標!$H182)+100)*10000-ROW(),"")</f>
      </c>
      <c r="U182"/>
      <c r="V182" t="str">
        <f>IF(AND(売分析!$C182&lt;&gt;"",売分析!$C182&lt;&gt;"TOPX",N(V811指標!$S182)=1),(N(V811指標!$R182)+100)*10000-ROW(),"")</f>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IF(AND(分析!$C183&lt;&gt;"",分析!$C183&lt;&gt;"TOPX",N(V811指標!$I183)=1),(N(V811指標!$H183)+100)*10000-ROW(),"")</f>
      </c>
      <c r="U183"/>
      <c r="V183" t="str">
        <f>IF(AND(売分析!$C183&lt;&gt;"",売分析!$C183&lt;&gt;"TOPX",N(V811指標!$S183)=1),(N(V811指標!$R183)+100)*10000-ROW(),"")</f>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IF(AND(分析!$C184&lt;&gt;"",分析!$C184&lt;&gt;"TOPX",N(V811指標!$I184)=1),(N(V811指標!$H184)+100)*10000-ROW(),"")</f>
      </c>
      <c r="U184"/>
      <c r="V184" t="str">
        <f>IF(AND(売分析!$C184&lt;&gt;"",売分析!$C184&lt;&gt;"TOPX",N(V811指標!$S184)=1),(N(V811指標!$R184)+100)*10000-ROW(),"")</f>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IF(AND(分析!$C185&lt;&gt;"",分析!$C185&lt;&gt;"TOPX",N(V811指標!$I185)=1),(N(V811指標!$H185)+100)*10000-ROW(),"")</f>
      </c>
      <c r="U185"/>
      <c r="V185" t="str">
        <f>IF(AND(売分析!$C185&lt;&gt;"",売分析!$C185&lt;&gt;"TOPX",N(V811指標!$S185)=1),(N(V811指標!$R185)+100)*10000-ROW(),"")</f>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f>IF(AND(分析!$C186&lt;&gt;"",分析!$C186&lt;&gt;"TOPX",N(V811指標!$I186)=1),(N(V811指標!$H186)+100)*10000-ROW(),"")</f>
      </c>
      <c r="U186"/>
      <c r="V186" t="str">
        <f>IF(AND(売分析!$C186&lt;&gt;"",売分析!$C186&lt;&gt;"TOPX",N(V811指標!$S186)=1),(N(V811指標!$R186)+100)*10000-ROW(),"")</f>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IF(AND(分析!$C187&lt;&gt;"",分析!$C187&lt;&gt;"TOPX",N(V811指標!$I187)=1),(N(V811指標!$H187)+100)*10000-ROW(),"")</f>
      </c>
      <c r="U187"/>
      <c r="V187" t="str">
        <f>IF(AND(売分析!$C187&lt;&gt;"",売分析!$C187&lt;&gt;"TOPX",N(V811指標!$S187)=1),(N(V811指標!$R187)+100)*10000-ROW(),"")</f>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IF(AND(分析!$C188&lt;&gt;"",分析!$C188&lt;&gt;"TOPX",N(V811指標!$I188)=1),(N(V811指標!$H188)+100)*10000-ROW(),"")</f>
      </c>
      <c r="U188"/>
      <c r="V188" t="str">
        <f>IF(AND(売分析!$C188&lt;&gt;"",売分析!$C188&lt;&gt;"TOPX",N(V811指標!$S188)=1),(N(V811指標!$R188)+100)*10000-ROW(),"")</f>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t="str">
        <f>IF(AND(分析!$C189&lt;&gt;"",分析!$C189&lt;&gt;"TOPX",N(V811指標!$I189)=1),(N(V811指標!$H189)+100)*10000-ROW(),"")</f>
      </c>
      <c r="U189"/>
      <c r="V189" t="str">
        <f>IF(AND(売分析!$C189&lt;&gt;"",売分析!$C189&lt;&gt;"TOPX",N(V811指標!$S189)=1),(N(V811指標!$R189)+100)*10000-ROW(),"")</f>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IF(AND(分析!$C190&lt;&gt;"",分析!$C190&lt;&gt;"TOPX",N(V811指標!$I190)=1),(N(V811指標!$H190)+100)*10000-ROW(),"")</f>
      </c>
      <c r="U190"/>
      <c r="V190" t="str">
        <f>IF(AND(売分析!$C190&lt;&gt;"",売分析!$C190&lt;&gt;"TOPX",N(V811指標!$S190)=1),(N(V811指標!$R190)+100)*10000-ROW(),"")</f>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IF(AND(分析!$C191&lt;&gt;"",分析!$C191&lt;&gt;"TOPX",N(V811指標!$I191)=1),(N(V811指標!$H191)+100)*10000-ROW(),"")</f>
      </c>
      <c r="U191"/>
      <c r="V191" t="str">
        <f>IF(AND(売分析!$C191&lt;&gt;"",売分析!$C191&lt;&gt;"TOPX",N(V811指標!$S191)=1),(N(V811指標!$R191)+100)*10000-ROW(),"")</f>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IF(AND(分析!$C192&lt;&gt;"",分析!$C192&lt;&gt;"TOPX",N(V811指標!$I192)=1),(N(V811指標!$H192)+100)*10000-ROW(),"")</f>
      </c>
      <c r="U192"/>
      <c r="V192" t="str">
        <f>IF(AND(売分析!$C192&lt;&gt;"",売分析!$C192&lt;&gt;"TOPX",N(V811指標!$S192)=1),(N(V811指標!$R192)+100)*10000-ROW(),"")</f>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IF(AND(分析!$C193&lt;&gt;"",分析!$C193&lt;&gt;"TOPX",N(V811指標!$I193)=1),(N(V811指標!$H193)+100)*10000-ROW(),"")</f>
      </c>
      <c r="U193"/>
      <c r="V193" t="str">
        <f>IF(AND(売分析!$C193&lt;&gt;"",売分析!$C193&lt;&gt;"TOPX",N(V811指標!$S193)=1),(N(V811指標!$R193)+100)*10000-ROW(),"")</f>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IF(AND(分析!$C194&lt;&gt;"",分析!$C194&lt;&gt;"TOPX",N(V811指標!$I194)=1),(N(V811指標!$H194)+100)*10000-ROW(),"")</f>
      </c>
      <c r="U194"/>
      <c r="V194" t="str">
        <f>IF(AND(売分析!$C194&lt;&gt;"",売分析!$C194&lt;&gt;"TOPX",N(V811指標!$S194)=1),(N(V811指標!$R194)+100)*10000-ROW(),"")</f>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IF(AND(分析!$C195&lt;&gt;"",分析!$C195&lt;&gt;"TOPX",N(V811指標!$I195)=1),(N(V811指標!$H195)+100)*10000-ROW(),"")</f>
      </c>
      <c r="U195"/>
      <c r="V195" t="str">
        <f>IF(AND(売分析!$C195&lt;&gt;"",売分析!$C195&lt;&gt;"TOPX",N(V811指標!$S195)=1),(N(V811指標!$R195)+100)*10000-ROW(),"")</f>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IF(AND(分析!$C196&lt;&gt;"",分析!$C196&lt;&gt;"TOPX",N(V811指標!$I196)=1),(N(V811指標!$H196)+100)*10000-ROW(),"")</f>
      </c>
      <c r="U196"/>
      <c r="V196" t="str">
        <f>IF(AND(売分析!$C196&lt;&gt;"",売分析!$C196&lt;&gt;"TOPX",N(V811指標!$S196)=1),(N(V811指標!$R196)+100)*10000-ROW(),"")</f>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IF(AND(分析!$C197&lt;&gt;"",分析!$C197&lt;&gt;"TOPX",N(V811指標!$I197)=1),(N(V811指標!$H197)+100)*10000-ROW(),"")</f>
      </c>
      <c r="U197"/>
      <c r="V197" t="str">
        <f>IF(AND(売分析!$C197&lt;&gt;"",売分析!$C197&lt;&gt;"TOPX",N(V811指標!$S197)=1),(N(V811指標!$R197)+100)*10000-ROW(),"")</f>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IF(AND(分析!$C198&lt;&gt;"",分析!$C198&lt;&gt;"TOPX",N(V811指標!$I198)=1),(N(V811指標!$H198)+100)*10000-ROW(),"")</f>
      </c>
      <c r="U198"/>
      <c r="V198" t="str">
        <f>IF(AND(売分析!$C198&lt;&gt;"",売分析!$C198&lt;&gt;"TOPX",N(V811指標!$S198)=1),(N(V811指標!$R198)+100)*10000-ROW(),"")</f>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IF(AND(分析!$C199&lt;&gt;"",分析!$C199&lt;&gt;"TOPX",N(V811指標!$I199)=1),(N(V811指標!$H199)+100)*10000-ROW(),"")</f>
      </c>
      <c r="U199"/>
      <c r="V199" t="str">
        <f>IF(AND(売分析!$C199&lt;&gt;"",売分析!$C199&lt;&gt;"TOPX",N(V811指標!$S199)=1),(N(V811指標!$R199)+100)*10000-ROW(),"")</f>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IF(AND(分析!$C200&lt;&gt;"",分析!$C200&lt;&gt;"TOPX",N(V811指標!$I200)=1),(N(V811指標!$H200)+100)*10000-ROW(),"")</f>
      </c>
      <c r="U200"/>
      <c r="V200" t="str">
        <f>IF(AND(売分析!$C200&lt;&gt;"",売分析!$C200&lt;&gt;"TOPX",N(V811指標!$S200)=1),(N(V811指標!$R200)+100)*10000-ROW(),"")</f>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IF(AND(分析!$C201&lt;&gt;"",分析!$C201&lt;&gt;"TOPX",N(V811指標!$I201)=1),(N(V811指標!$H201)+100)*10000-ROW(),"")</f>
      </c>
      <c r="U201"/>
      <c r="V201" t="str">
        <f>IF(AND(売分析!$C201&lt;&gt;"",売分析!$C201&lt;&gt;"TOPX",N(V811指標!$S201)=1),(N(V811指標!$R201)+100)*10000-ROW(),"")</f>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IF(AND(分析!$C202&lt;&gt;"",分析!$C202&lt;&gt;"TOPX",N(V811指標!$I202)=1),(N(V811指標!$H202)+100)*10000-ROW(),"")</f>
      </c>
      <c r="U202"/>
      <c r="V202" t="str">
        <f>IF(AND(売分析!$C202&lt;&gt;"",売分析!$C202&lt;&gt;"TOPX",N(V811指標!$S202)=1),(N(V811指標!$R202)+100)*10000-ROW(),"")</f>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IF(AND(分析!$C203&lt;&gt;"",分析!$C203&lt;&gt;"TOPX",N(V811指標!$I203)=1),(N(V811指標!$H203)+100)*10000-ROW(),"")</f>
      </c>
      <c r="U203"/>
      <c r="V203" t="str">
        <f>IF(AND(売分析!$C203&lt;&gt;"",売分析!$C203&lt;&gt;"TOPX",N(V811指標!$S203)=1),(N(V811指標!$R203)+100)*10000-ROW(),"")</f>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IF(AND(分析!$C204&lt;&gt;"",分析!$C204&lt;&gt;"TOPX",N(V811指標!$I204)=1),(N(V811指標!$H204)+100)*10000-ROW(),"")</f>
      </c>
      <c r="U204"/>
      <c r="V204" t="str">
        <f>IF(AND(売分析!$C204&lt;&gt;"",売分析!$C204&lt;&gt;"TOPX",N(V811指標!$S204)=1),(N(V811指標!$R204)+100)*10000-ROW(),"")</f>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IF(AND(分析!$C205&lt;&gt;"",分析!$C205&lt;&gt;"TOPX",N(V811指標!$I205)=1),(N(V811指標!$H205)+100)*10000-ROW(),"")</f>
      </c>
      <c r="U205"/>
      <c r="V205" t="str">
        <f>IF(AND(売分析!$C205&lt;&gt;"",売分析!$C205&lt;&gt;"TOPX",N(V811指標!$S205)=1),(N(V811指標!$R205)+100)*10000-ROW(),"")</f>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IF(AND(分析!$C206&lt;&gt;"",分析!$C206&lt;&gt;"TOPX",N(V811指標!$I206)=1),(N(V811指標!$H206)+100)*10000-ROW(),"")</f>
      </c>
      <c r="U206"/>
      <c r="V206" t="str">
        <f>IF(AND(売分析!$C206&lt;&gt;"",売分析!$C206&lt;&gt;"TOPX",N(V811指標!$S206)=1),(N(V811指標!$R206)+100)*10000-ROW(),"")</f>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zoomScale="93" zoomScaleNormal="93" workbookViewId="0">
      <pane ySplit="3" topLeftCell="A4" activePane="bottomLeft" state="frozen"/>
      <selection pane="bottomLeft" activeCell="M19" sqref="M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54" t="s">
        <v>521</v>
      </c>
      <c r="B1" s="755"/>
      <c r="C1" s="755"/>
      <c r="D1" s="755"/>
      <c r="E1" s="755"/>
      <c r="F1" s="755"/>
      <c r="G1" s="755"/>
      <c r="H1" s="755"/>
      <c r="I1" s="755"/>
      <c r="J1" s="755"/>
      <c r="K1" s="755"/>
      <c r="L1" s="755"/>
      <c r="M1" s="755"/>
      <c r="N1" s="755"/>
      <c r="O1" s="755"/>
      <c r="P1" s="755"/>
      <c r="Q1" s="755"/>
      <c r="R1" s="755"/>
      <c r="S1" s="553" t="s">
        <v>1255</v>
      </c>
    </row>
    <row r="2" spans="1:22" ht="39.75" customHeight="1">
      <c r="A2" s="753" t="s">
        <v>1522</v>
      </c>
      <c r="B2" s="753"/>
      <c r="C2" s="753"/>
      <c r="D2" s="753"/>
      <c r="E2" s="753"/>
      <c r="F2" s="753"/>
      <c r="G2" s="753"/>
      <c r="H2" s="753"/>
      <c r="I2" s="753"/>
      <c r="J2" s="753"/>
      <c r="K2" s="753"/>
      <c r="L2" s="753"/>
      <c r="M2" s="753"/>
      <c r="N2" s="753"/>
      <c r="O2" s="753"/>
      <c r="P2" s="753"/>
      <c r="Q2" s="753"/>
      <c r="R2" s="753"/>
      <c r="S2" s="552" t="s">
        <v>1256</v>
      </c>
    </row>
    <row r="3" spans="1:22" ht="39.75" customHeight="1">
      <c r="A3" s="426" t="s">
        <v>518</v>
      </c>
      <c r="B3" s="426" t="s">
        <v>1490</v>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29" t="str">
        <f>HYPERLINK("https://kabutan.jp/stock/?code="&amp;TEXT(C4,"0000"),"株探")</f>
        <v>株探</v>
      </c>
      <c r="B4" s="795">
        <v>1</v>
      </c>
      <c r="C4" s="796">
        <v>3402</v>
      </c>
      <c r="D4" s="797" t="s">
        <v>84</v>
      </c>
      <c r="E4" s="798">
        <v>1299.5</v>
      </c>
      <c r="F4" s="799">
        <v>1306</v>
      </c>
      <c r="G4" s="799">
        <v>1155</v>
      </c>
      <c r="H4" s="799">
        <v>18064200</v>
      </c>
      <c r="I4" s="800">
        <v>53.4</v>
      </c>
      <c r="J4" s="800" t="s">
        <v>1513</v>
      </c>
      <c r="K4" s="800" t="s">
        <v>1315</v>
      </c>
      <c r="L4" s="801">
        <v>2.4</v>
      </c>
      <c r="M4" s="800">
        <v>5.58</v>
      </c>
      <c r="N4" s="800" t="s">
        <v>1514</v>
      </c>
      <c r="O4" s="799">
        <v>1403</v>
      </c>
      <c r="P4" s="799">
        <v>1248</v>
      </c>
      <c r="Q4" s="738">
        <v>18</v>
      </c>
      <c r="R4" s="802" t="s">
        <v>1515</v>
      </c>
      <c r="S4" s="428"/>
      <c r="T4" s="428"/>
      <c r="U4" s="428"/>
      <c r="V4" s="428"/>
    </row>
    <row r="5" spans="1:22" s="425" customFormat="1" ht="39.75" customHeight="1">
      <c r="A5" s="529" t="str">
        <f>HYPERLINK("https://kabutan.jp/stock/?code="&amp;TEXT(C5,"0000"),"株探")</f>
        <v>株探</v>
      </c>
      <c r="B5" s="795">
        <v>2</v>
      </c>
      <c r="C5" s="812">
        <v>5233</v>
      </c>
      <c r="D5" s="797" t="s">
        <v>64</v>
      </c>
      <c r="E5" s="798">
        <v>4333</v>
      </c>
      <c r="F5" s="799">
        <v>4380</v>
      </c>
      <c r="G5" s="799">
        <v>4006</v>
      </c>
      <c r="H5" s="799">
        <v>1155500</v>
      </c>
      <c r="I5" s="800">
        <v>55.7</v>
      </c>
      <c r="J5" s="813" t="s">
        <v>1220</v>
      </c>
      <c r="K5" s="800" t="s">
        <v>1315</v>
      </c>
      <c r="L5" s="801">
        <v>1.6</v>
      </c>
      <c r="M5" s="800">
        <v>25.17</v>
      </c>
      <c r="N5" s="800" t="s">
        <v>1213</v>
      </c>
      <c r="O5" s="799">
        <v>4680</v>
      </c>
      <c r="P5" s="799">
        <v>4160</v>
      </c>
      <c r="Q5" s="738">
        <v>17</v>
      </c>
      <c r="R5" s="802" t="s">
        <v>1511</v>
      </c>
      <c r="S5" s="428"/>
      <c r="T5" s="428"/>
      <c r="U5" s="428"/>
      <c r="V5" s="428"/>
    </row>
    <row r="6" spans="1:22" s="425" customFormat="1" ht="39.75" customHeight="1">
      <c r="A6" s="529" t="str">
        <f>HYPERLINK("https://kabutan.jp/stock/?code="&amp;TEXT(C6,"0000"),"株探")</f>
        <v>株探</v>
      </c>
      <c r="B6" s="795">
        <v>3</v>
      </c>
      <c r="C6" s="816">
        <v>5901</v>
      </c>
      <c r="D6" s="797" t="s">
        <v>106</v>
      </c>
      <c r="E6" s="798">
        <v>4250</v>
      </c>
      <c r="F6" s="799">
        <v>4302</v>
      </c>
      <c r="G6" s="799">
        <v>4170</v>
      </c>
      <c r="H6" s="799">
        <v>383400</v>
      </c>
      <c r="I6" s="800">
        <v>64.900000000000006</v>
      </c>
      <c r="J6" s="813" t="s">
        <v>1220</v>
      </c>
      <c r="K6" s="800" t="s">
        <v>1315</v>
      </c>
      <c r="L6" s="801">
        <v>1.3</v>
      </c>
      <c r="M6" s="800">
        <v>11.79</v>
      </c>
      <c r="N6" s="800" t="s">
        <v>1514</v>
      </c>
      <c r="O6" s="799">
        <v>4590</v>
      </c>
      <c r="P6" s="799">
        <v>4080</v>
      </c>
      <c r="Q6" s="811">
        <v>15</v>
      </c>
      <c r="R6" s="802" t="s">
        <v>1516</v>
      </c>
      <c r="S6" s="428"/>
      <c r="T6" s="428"/>
      <c r="U6" s="428"/>
      <c r="V6" s="428"/>
    </row>
    <row r="7" spans="1:22" s="425" customFormat="1" ht="39.75" customHeight="1">
      <c r="A7" s="529" t="str">
        <f>HYPERLINK("https://kabutan.jp/stock/?code="&amp;TEXT(C7,"0000"),"株探")</f>
        <v>株探</v>
      </c>
      <c r="B7" s="795">
        <v>4</v>
      </c>
      <c r="C7" s="816">
        <v>2768</v>
      </c>
      <c r="D7" s="797" t="s">
        <v>397</v>
      </c>
      <c r="E7" s="798">
        <v>5540</v>
      </c>
      <c r="F7" s="799">
        <v>5574</v>
      </c>
      <c r="G7" s="799">
        <v>5362</v>
      </c>
      <c r="H7" s="799">
        <v>1442700</v>
      </c>
      <c r="I7" s="800">
        <v>56.9</v>
      </c>
      <c r="J7" s="813" t="s">
        <v>1220</v>
      </c>
      <c r="K7" s="800" t="s">
        <v>1315</v>
      </c>
      <c r="L7" s="801">
        <v>0.9</v>
      </c>
      <c r="M7" s="800">
        <v>32.44</v>
      </c>
      <c r="N7" s="800" t="s">
        <v>1213</v>
      </c>
      <c r="O7" s="799">
        <v>5983</v>
      </c>
      <c r="P7" s="799">
        <v>5318</v>
      </c>
      <c r="Q7" s="811">
        <v>15</v>
      </c>
      <c r="R7" s="802" t="s">
        <v>1521</v>
      </c>
      <c r="S7" s="428"/>
      <c r="T7" s="428"/>
      <c r="U7" s="428"/>
      <c r="V7" s="428"/>
    </row>
    <row r="8" spans="1:22" s="425" customFormat="1" ht="45.6" customHeight="1">
      <c r="A8" s="529" t="str">
        <f>HYPERLINK("https://kabutan.jp/stock/?code="&amp;TEXT(C8,"0000"),"株探")</f>
        <v>株探</v>
      </c>
      <c r="B8" s="795">
        <v>5</v>
      </c>
      <c r="C8" s="796">
        <v>3103</v>
      </c>
      <c r="D8" s="797" t="s">
        <v>272</v>
      </c>
      <c r="E8" s="798">
        <v>1258</v>
      </c>
      <c r="F8" s="799">
        <v>1298</v>
      </c>
      <c r="G8" s="799">
        <v>909</v>
      </c>
      <c r="H8" s="799">
        <v>29708900</v>
      </c>
      <c r="I8" s="800">
        <v>53.1</v>
      </c>
      <c r="J8" s="814" t="s">
        <v>1222</v>
      </c>
      <c r="K8" s="800" t="s">
        <v>1315</v>
      </c>
      <c r="L8" s="801">
        <v>3.5</v>
      </c>
      <c r="M8" s="800">
        <v>4.6900000000000004</v>
      </c>
      <c r="N8" s="800" t="s">
        <v>1213</v>
      </c>
      <c r="O8" s="799">
        <v>1359</v>
      </c>
      <c r="P8" s="799">
        <v>1208</v>
      </c>
      <c r="Q8" s="811">
        <v>14</v>
      </c>
      <c r="R8" s="802" t="s">
        <v>1520</v>
      </c>
      <c r="S8" s="428"/>
      <c r="T8" s="428"/>
      <c r="U8" s="428"/>
      <c r="V8" s="428"/>
    </row>
    <row r="9" spans="1:22" s="425" customFormat="1" ht="45.6" customHeight="1">
      <c r="A9" s="529" t="str">
        <f>HYPERLINK("https://kabutan.jp/stock/?code="&amp;TEXT(C9,"0000"),"株探")</f>
        <v>株探</v>
      </c>
      <c r="B9" s="795">
        <v>6</v>
      </c>
      <c r="C9" s="796">
        <v>5714</v>
      </c>
      <c r="D9" s="797" t="s">
        <v>16</v>
      </c>
      <c r="E9" s="798">
        <v>8907</v>
      </c>
      <c r="F9" s="799">
        <v>8999</v>
      </c>
      <c r="G9" s="799">
        <v>8602</v>
      </c>
      <c r="H9" s="799">
        <v>894700</v>
      </c>
      <c r="I9" s="800">
        <v>52</v>
      </c>
      <c r="J9" s="737" t="s">
        <v>1506</v>
      </c>
      <c r="K9" s="800" t="s">
        <v>1315</v>
      </c>
      <c r="L9" s="801">
        <v>1.6</v>
      </c>
      <c r="M9" s="800">
        <v>4.2699999999999996</v>
      </c>
      <c r="N9" s="800" t="s">
        <v>1213</v>
      </c>
      <c r="O9" s="799">
        <v>9620</v>
      </c>
      <c r="P9" s="799">
        <v>8551</v>
      </c>
      <c r="Q9" s="811">
        <v>14</v>
      </c>
      <c r="R9" s="802" t="s">
        <v>1509</v>
      </c>
      <c r="S9" s="428"/>
      <c r="T9" s="428"/>
      <c r="U9" s="428"/>
      <c r="V9" s="428"/>
    </row>
    <row r="10" spans="1:22" s="425" customFormat="1" ht="39.75" customHeight="1">
      <c r="A10" s="529" t="str">
        <f>HYPERLINK("https://kabutan.jp/stock/?code="&amp;TEXT(C10,"0000"),"株探")</f>
        <v>株探</v>
      </c>
      <c r="B10" s="795">
        <v>7</v>
      </c>
      <c r="C10" s="796">
        <v>5857</v>
      </c>
      <c r="D10" s="797" t="s">
        <v>120</v>
      </c>
      <c r="E10" s="798">
        <v>3460</v>
      </c>
      <c r="F10" s="799">
        <v>3515</v>
      </c>
      <c r="G10" s="799">
        <v>3380</v>
      </c>
      <c r="H10" s="799">
        <v>1265700</v>
      </c>
      <c r="I10" s="800">
        <v>59.9</v>
      </c>
      <c r="J10" s="737" t="s">
        <v>1506</v>
      </c>
      <c r="K10" s="800" t="s">
        <v>1315</v>
      </c>
      <c r="L10" s="801">
        <v>1.4</v>
      </c>
      <c r="M10" s="800">
        <v>30.41</v>
      </c>
      <c r="N10" s="800" t="s">
        <v>1213</v>
      </c>
      <c r="O10" s="799">
        <v>3737</v>
      </c>
      <c r="P10" s="799">
        <v>3322</v>
      </c>
      <c r="Q10" s="811">
        <v>14</v>
      </c>
      <c r="R10" s="802" t="s">
        <v>1517</v>
      </c>
      <c r="S10" s="428"/>
      <c r="T10" s="428"/>
      <c r="U10" s="428"/>
      <c r="V10" s="428"/>
    </row>
    <row r="11" spans="1:22" s="425" customFormat="1" ht="39.75" customHeight="1">
      <c r="A11" s="529" t="str">
        <f>HYPERLINK("https://kabutan.jp/stock/?code="&amp;TEXT(C11,"0000"),"株探")</f>
        <v>株探</v>
      </c>
      <c r="B11" s="795">
        <v>8</v>
      </c>
      <c r="C11" s="796">
        <v>5703</v>
      </c>
      <c r="D11" s="797" t="s">
        <v>22</v>
      </c>
      <c r="E11" s="798">
        <v>2936</v>
      </c>
      <c r="F11" s="799">
        <v>2989</v>
      </c>
      <c r="G11" s="799">
        <v>2916</v>
      </c>
      <c r="H11" s="799">
        <v>281400</v>
      </c>
      <c r="I11" s="800">
        <v>60.1</v>
      </c>
      <c r="J11" s="813" t="s">
        <v>1220</v>
      </c>
      <c r="K11" s="800" t="s">
        <v>1315</v>
      </c>
      <c r="L11" s="801">
        <v>0.5</v>
      </c>
      <c r="M11" s="800">
        <v>15.56</v>
      </c>
      <c r="N11" s="800" t="s">
        <v>1213</v>
      </c>
      <c r="O11" s="799">
        <v>3171</v>
      </c>
      <c r="P11" s="799">
        <v>2819</v>
      </c>
      <c r="Q11" s="811">
        <v>14</v>
      </c>
      <c r="R11" s="802" t="s">
        <v>1510</v>
      </c>
      <c r="S11" s="428"/>
      <c r="T11" s="428"/>
      <c r="U11" s="428"/>
      <c r="V11" s="428"/>
    </row>
    <row r="12" spans="1:22" s="425" customFormat="1" ht="39.75" customHeight="1">
      <c r="A12" s="529" t="str">
        <f>HYPERLINK("https://kabutan.jp/stock/?code="&amp;TEXT(C12,"0000"),"株探")</f>
        <v>株探</v>
      </c>
      <c r="B12" s="795">
        <v>9</v>
      </c>
      <c r="C12" s="796">
        <v>4008</v>
      </c>
      <c r="D12" s="797" t="s">
        <v>186</v>
      </c>
      <c r="E12" s="798">
        <v>1446</v>
      </c>
      <c r="F12" s="799">
        <v>1530</v>
      </c>
      <c r="G12" s="799">
        <v>1251</v>
      </c>
      <c r="H12" s="799">
        <v>1206100</v>
      </c>
      <c r="I12" s="800">
        <v>49</v>
      </c>
      <c r="J12" s="813" t="s">
        <v>1220</v>
      </c>
      <c r="K12" s="800" t="s">
        <v>1315</v>
      </c>
      <c r="L12" s="801">
        <v>3.2</v>
      </c>
      <c r="M12" s="800">
        <v>-5.67</v>
      </c>
      <c r="N12" s="815" t="s">
        <v>1518</v>
      </c>
      <c r="O12" s="799">
        <v>1562</v>
      </c>
      <c r="P12" s="799">
        <v>1388</v>
      </c>
      <c r="Q12" s="800">
        <v>13</v>
      </c>
      <c r="R12" s="802" t="s">
        <v>1519</v>
      </c>
      <c r="S12" s="428"/>
      <c r="T12" s="428"/>
      <c r="U12" s="428"/>
      <c r="V12" s="428"/>
    </row>
    <row r="13" spans="1:22" s="425" customFormat="1" ht="39.75" customHeight="1">
      <c r="A13" s="529" t="str">
        <f>HYPERLINK("https://kabutan.jp/stock/?code="&amp;TEXT(C13,"0000"),"株探")</f>
        <v>株探</v>
      </c>
      <c r="B13" s="795">
        <v>10</v>
      </c>
      <c r="C13" s="796">
        <v>8570</v>
      </c>
      <c r="D13" s="797" t="s">
        <v>70</v>
      </c>
      <c r="E13" s="798">
        <v>1594.5</v>
      </c>
      <c r="F13" s="799">
        <v>1599</v>
      </c>
      <c r="G13" s="799">
        <v>1541.5</v>
      </c>
      <c r="H13" s="799">
        <v>891700</v>
      </c>
      <c r="I13" s="800">
        <v>51</v>
      </c>
      <c r="J13" s="737" t="s">
        <v>1506</v>
      </c>
      <c r="K13" s="800" t="s">
        <v>1315</v>
      </c>
      <c r="L13" s="801">
        <v>1.5</v>
      </c>
      <c r="M13" s="800">
        <v>4.62</v>
      </c>
      <c r="N13" s="800" t="s">
        <v>1213</v>
      </c>
      <c r="O13" s="799">
        <v>1722</v>
      </c>
      <c r="P13" s="799">
        <v>1531</v>
      </c>
      <c r="Q13" s="800">
        <v>12</v>
      </c>
      <c r="R13" s="802" t="s">
        <v>1512</v>
      </c>
      <c r="S13" s="428"/>
      <c r="T13" s="428"/>
      <c r="U13" s="428"/>
      <c r="V13" s="428"/>
    </row>
    <row r="14" spans="1:22" s="425" customFormat="1" ht="39.75" customHeight="1">
      <c r="A14" s="803"/>
      <c r="B14" s="800"/>
      <c r="C14" s="805"/>
      <c r="D14" s="804"/>
      <c r="E14" s="799"/>
      <c r="F14" s="799"/>
      <c r="G14" s="799"/>
      <c r="H14" s="799"/>
      <c r="I14" s="800"/>
      <c r="J14" s="800"/>
      <c r="K14" s="800"/>
      <c r="L14" s="801"/>
      <c r="M14" s="800"/>
      <c r="N14" s="800"/>
      <c r="O14" s="799"/>
      <c r="P14" s="799"/>
      <c r="Q14" s="800"/>
      <c r="R14" s="800"/>
      <c r="S14" s="428"/>
      <c r="T14" s="428"/>
      <c r="U14" s="428"/>
      <c r="V14" s="428"/>
    </row>
    <row r="15" spans="1:22" s="425" customFormat="1" ht="39.75" customHeight="1">
      <c r="A15" s="803"/>
      <c r="B15" s="800"/>
      <c r="C15" s="805"/>
      <c r="D15" s="804"/>
      <c r="E15" s="799"/>
      <c r="F15" s="799"/>
      <c r="G15" s="799"/>
      <c r="H15" s="799"/>
      <c r="I15" s="800"/>
      <c r="J15" s="800"/>
      <c r="K15" s="800"/>
      <c r="L15" s="801"/>
      <c r="M15" s="800"/>
      <c r="N15" s="800"/>
      <c r="O15" s="799"/>
      <c r="P15" s="799"/>
      <c r="Q15" s="800"/>
      <c r="R15" s="800"/>
      <c r="S15" s="428"/>
      <c r="T15" s="428"/>
      <c r="U15" s="428"/>
      <c r="V15" s="428"/>
    </row>
    <row r="16" spans="1:22" s="425" customFormat="1" ht="39.75" customHeight="1">
      <c r="A16" s="803"/>
      <c r="B16" s="800"/>
      <c r="C16" s="805"/>
      <c r="D16" s="804"/>
      <c r="E16" s="799"/>
      <c r="F16" s="799"/>
      <c r="G16" s="799"/>
      <c r="H16" s="799"/>
      <c r="I16" s="800"/>
      <c r="J16" s="800"/>
      <c r="K16" s="800"/>
      <c r="L16" s="801"/>
      <c r="M16" s="800"/>
      <c r="N16" s="800"/>
      <c r="O16" s="799"/>
      <c r="P16" s="799"/>
      <c r="Q16" s="800"/>
      <c r="R16" s="800"/>
      <c r="S16" s="428"/>
      <c r="T16" s="428"/>
      <c r="U16" s="428"/>
      <c r="V16" s="428"/>
    </row>
    <row r="17" spans="1:22" s="425" customFormat="1" ht="39.75" customHeight="1">
      <c r="A17" s="803"/>
      <c r="B17" s="800"/>
      <c r="C17" s="805"/>
      <c r="D17" s="804"/>
      <c r="E17" s="799"/>
      <c r="F17" s="799"/>
      <c r="G17" s="799"/>
      <c r="H17" s="799"/>
      <c r="I17" s="800"/>
      <c r="J17" s="800"/>
      <c r="K17" s="800"/>
      <c r="L17" s="801"/>
      <c r="M17" s="800"/>
      <c r="N17" s="800"/>
      <c r="O17" s="799"/>
      <c r="P17" s="799"/>
      <c r="Q17" s="800"/>
      <c r="R17" s="800"/>
      <c r="S17" s="428"/>
      <c r="T17" s="428"/>
      <c r="U17" s="428"/>
      <c r="V17" s="428"/>
    </row>
    <row r="18" spans="1:22" s="425" customFormat="1" ht="39.75" customHeight="1">
      <c r="A18" s="803"/>
      <c r="B18" s="800"/>
      <c r="C18" s="805"/>
      <c r="D18" s="804"/>
      <c r="E18" s="799"/>
      <c r="F18" s="799"/>
      <c r="G18" s="799"/>
      <c r="H18" s="799"/>
      <c r="I18" s="800"/>
      <c r="J18" s="800"/>
      <c r="K18" s="800"/>
      <c r="L18" s="801"/>
      <c r="M18" s="800"/>
      <c r="N18" s="800"/>
      <c r="O18" s="799"/>
      <c r="P18" s="799"/>
      <c r="Q18" s="800"/>
      <c r="R18" s="800"/>
      <c r="S18" s="428"/>
      <c r="T18" s="428"/>
      <c r="U18" s="428"/>
      <c r="V18" s="428"/>
    </row>
    <row r="19" spans="1:22" s="425" customFormat="1" ht="39.75" customHeight="1">
      <c r="A19" s="803"/>
      <c r="B19" s="800"/>
      <c r="C19" s="805"/>
      <c r="D19" s="804"/>
      <c r="E19" s="799"/>
      <c r="F19" s="799"/>
      <c r="G19" s="799"/>
      <c r="H19" s="799"/>
      <c r="I19" s="800"/>
      <c r="J19" s="800"/>
      <c r="K19" s="800"/>
      <c r="L19" s="801"/>
      <c r="M19" s="800"/>
      <c r="N19" s="800"/>
      <c r="O19" s="799"/>
      <c r="P19" s="799"/>
      <c r="Q19" s="800"/>
      <c r="R19" s="800"/>
      <c r="S19" s="428"/>
      <c r="T19" s="428"/>
      <c r="U19" s="428"/>
      <c r="V19" s="428"/>
    </row>
    <row r="20" spans="1:22" s="425" customFormat="1" ht="39.75" customHeight="1">
      <c r="A20" s="803"/>
      <c r="B20" s="800"/>
      <c r="C20" s="805"/>
      <c r="D20" s="804"/>
      <c r="E20" s="799"/>
      <c r="F20" s="799"/>
      <c r="G20" s="799"/>
      <c r="H20" s="799"/>
      <c r="I20" s="800"/>
      <c r="J20" s="800"/>
      <c r="K20" s="800"/>
      <c r="L20" s="801"/>
      <c r="M20" s="800"/>
      <c r="N20" s="800"/>
      <c r="O20" s="799"/>
      <c r="P20" s="799"/>
      <c r="Q20" s="800"/>
      <c r="R20" s="800"/>
      <c r="S20" s="428"/>
      <c r="T20" s="428"/>
      <c r="U20" s="428"/>
      <c r="V20" s="428"/>
    </row>
    <row r="21" spans="1:22" s="425" customFormat="1" ht="39.75" customHeight="1">
      <c r="A21" s="803"/>
      <c r="B21" s="800"/>
      <c r="C21" s="805"/>
      <c r="D21" s="804"/>
      <c r="E21" s="799"/>
      <c r="F21" s="799"/>
      <c r="G21" s="799"/>
      <c r="H21" s="799"/>
      <c r="I21" s="800"/>
      <c r="J21" s="800"/>
      <c r="K21" s="800"/>
      <c r="L21" s="801"/>
      <c r="M21" s="800"/>
      <c r="N21" s="800"/>
      <c r="O21" s="799"/>
      <c r="P21" s="799"/>
      <c r="Q21" s="800"/>
      <c r="R21" s="800"/>
      <c r="S21" s="428"/>
      <c r="T21" s="428"/>
      <c r="U21" s="428"/>
      <c r="V21" s="428"/>
    </row>
    <row r="22" spans="1:22" s="425" customFormat="1" ht="39.75" customHeight="1">
      <c r="A22" s="803"/>
      <c r="B22" s="800"/>
      <c r="C22" s="805"/>
      <c r="D22" s="804"/>
      <c r="E22" s="799"/>
      <c r="F22" s="799"/>
      <c r="G22" s="799"/>
      <c r="H22" s="799"/>
      <c r="I22" s="800"/>
      <c r="J22" s="800"/>
      <c r="K22" s="800"/>
      <c r="L22" s="801"/>
      <c r="M22" s="800"/>
      <c r="N22" s="800"/>
      <c r="O22" s="799"/>
      <c r="P22" s="799"/>
      <c r="Q22" s="800"/>
      <c r="R22" s="800"/>
      <c r="S22" s="428"/>
      <c r="T22" s="428"/>
      <c r="U22" s="428"/>
      <c r="V22" s="428"/>
    </row>
    <row r="23" spans="1:22" s="425" customFormat="1" ht="39.75" customHeight="1">
      <c r="A23" s="803"/>
      <c r="B23" s="800"/>
      <c r="C23" s="806"/>
      <c r="D23" s="804"/>
      <c r="E23" s="799"/>
      <c r="F23" s="799"/>
      <c r="G23" s="799"/>
      <c r="H23" s="799"/>
      <c r="I23" s="800"/>
      <c r="J23" s="800"/>
      <c r="K23" s="800"/>
      <c r="L23" s="801"/>
      <c r="M23" s="800"/>
      <c r="N23" s="800"/>
      <c r="O23" s="799"/>
      <c r="P23" s="799"/>
      <c r="Q23" s="800"/>
      <c r="R23" s="800"/>
      <c r="S23" s="428"/>
      <c r="T23" s="428"/>
      <c r="U23" s="428"/>
      <c r="V23" s="428"/>
    </row>
    <row r="24" spans="1:22" s="425" customFormat="1" ht="39.75" customHeight="1">
      <c r="A24" s="803"/>
      <c r="B24" s="800"/>
      <c r="C24" s="805"/>
      <c r="D24" s="804"/>
      <c r="E24" s="799"/>
      <c r="F24" s="799"/>
      <c r="G24" s="799"/>
      <c r="H24" s="799"/>
      <c r="I24" s="800"/>
      <c r="J24" s="800"/>
      <c r="K24" s="800"/>
      <c r="L24" s="801"/>
      <c r="M24" s="800"/>
      <c r="N24" s="800"/>
      <c r="O24" s="799"/>
      <c r="P24" s="799"/>
      <c r="Q24" s="800"/>
      <c r="R24" s="800"/>
      <c r="S24" s="428"/>
      <c r="T24" s="428"/>
      <c r="U24" s="428"/>
      <c r="V24" s="428"/>
    </row>
    <row r="25" spans="1:22" s="425" customFormat="1" ht="39.75" customHeight="1">
      <c r="A25" s="803"/>
      <c r="B25" s="800"/>
      <c r="C25" s="805"/>
      <c r="D25" s="804"/>
      <c r="E25" s="799"/>
      <c r="F25" s="799"/>
      <c r="G25" s="799"/>
      <c r="H25" s="799"/>
      <c r="I25" s="800"/>
      <c r="J25" s="800"/>
      <c r="K25" s="800"/>
      <c r="L25" s="801"/>
      <c r="M25" s="800"/>
      <c r="N25" s="800"/>
      <c r="O25" s="799"/>
      <c r="P25" s="799"/>
      <c r="Q25" s="800"/>
      <c r="R25" s="800"/>
      <c r="S25" s="428"/>
      <c r="T25" s="428"/>
      <c r="U25" s="428"/>
      <c r="V25" s="428"/>
    </row>
    <row r="26" spans="1:22" s="425" customFormat="1" ht="39.75" customHeight="1">
      <c r="A26" s="803"/>
      <c r="B26" s="800"/>
      <c r="C26" s="805"/>
      <c r="D26" s="804"/>
      <c r="E26" s="799"/>
      <c r="F26" s="799"/>
      <c r="G26" s="799"/>
      <c r="H26" s="799"/>
      <c r="I26" s="800"/>
      <c r="J26" s="800"/>
      <c r="K26" s="800"/>
      <c r="L26" s="801"/>
      <c r="M26" s="800"/>
      <c r="N26" s="800"/>
      <c r="O26" s="799"/>
      <c r="P26" s="799"/>
      <c r="Q26" s="800"/>
      <c r="R26" s="800"/>
      <c r="S26" s="428"/>
      <c r="T26" s="428"/>
      <c r="U26" s="428"/>
      <c r="V26" s="428"/>
    </row>
    <row r="27" spans="1:22" s="425" customFormat="1" ht="39.75" customHeight="1">
      <c r="A27" s="803"/>
      <c r="B27" s="800"/>
      <c r="C27" s="805"/>
      <c r="D27" s="804"/>
      <c r="E27" s="799"/>
      <c r="F27" s="799"/>
      <c r="G27" s="799"/>
      <c r="H27" s="799"/>
      <c r="I27" s="800"/>
      <c r="J27" s="800"/>
      <c r="K27" s="800"/>
      <c r="L27" s="801"/>
      <c r="M27" s="800"/>
      <c r="N27" s="800"/>
      <c r="O27" s="799"/>
      <c r="P27" s="799"/>
      <c r="Q27" s="800"/>
      <c r="R27" s="800"/>
      <c r="S27" s="428"/>
      <c r="T27" s="428"/>
      <c r="U27" s="428"/>
      <c r="V27" s="428"/>
    </row>
    <row r="28" spans="1:22" s="425" customFormat="1" ht="39.75" customHeight="1">
      <c r="A28" s="803"/>
      <c r="B28" s="800"/>
      <c r="C28" s="806"/>
      <c r="D28" s="804"/>
      <c r="E28" s="799"/>
      <c r="F28" s="799"/>
      <c r="G28" s="799"/>
      <c r="H28" s="799"/>
      <c r="I28" s="800"/>
      <c r="J28" s="800"/>
      <c r="K28" s="800"/>
      <c r="L28" s="801"/>
      <c r="M28" s="800"/>
      <c r="N28" s="800"/>
      <c r="O28" s="799"/>
      <c r="P28" s="799"/>
      <c r="Q28" s="800"/>
      <c r="R28" s="800"/>
      <c r="S28" s="428"/>
      <c r="T28" s="428"/>
      <c r="U28" s="428"/>
      <c r="V28" s="428"/>
    </row>
    <row r="29" spans="1:22" s="425" customFormat="1" ht="39.75" customHeight="1">
      <c r="A29" s="803"/>
      <c r="B29" s="800"/>
      <c r="C29" s="805"/>
      <c r="D29" s="804"/>
      <c r="E29" s="799"/>
      <c r="F29" s="799"/>
      <c r="G29" s="799"/>
      <c r="H29" s="799"/>
      <c r="I29" s="800"/>
      <c r="J29" s="800"/>
      <c r="K29" s="800"/>
      <c r="L29" s="801"/>
      <c r="M29" s="800"/>
      <c r="N29" s="800"/>
      <c r="O29" s="799"/>
      <c r="P29" s="799"/>
      <c r="Q29" s="800"/>
      <c r="R29" s="800"/>
      <c r="S29" s="428"/>
      <c r="T29" s="428"/>
      <c r="U29" s="428"/>
      <c r="V29" s="428"/>
    </row>
    <row r="30" spans="1:22" s="425" customFormat="1" ht="39.75" customHeight="1">
      <c r="A30" s="803"/>
      <c r="B30" s="800"/>
      <c r="C30" s="805"/>
      <c r="D30" s="804"/>
      <c r="E30" s="799"/>
      <c r="F30" s="799"/>
      <c r="G30" s="799"/>
      <c r="H30" s="799"/>
      <c r="I30" s="800"/>
      <c r="J30" s="800"/>
      <c r="K30" s="800"/>
      <c r="L30" s="801"/>
      <c r="M30" s="800"/>
      <c r="N30" s="800"/>
      <c r="O30" s="799"/>
      <c r="P30" s="799"/>
      <c r="Q30" s="800"/>
      <c r="R30" s="800"/>
      <c r="S30" s="428"/>
      <c r="T30" s="428"/>
      <c r="U30" s="428"/>
      <c r="V30" s="428"/>
    </row>
    <row r="31" spans="1:22" s="425" customFormat="1" ht="39.75" customHeight="1">
      <c r="A31" s="803"/>
      <c r="B31" s="800"/>
      <c r="C31" s="805"/>
      <c r="D31" s="804"/>
      <c r="E31" s="799"/>
      <c r="F31" s="799"/>
      <c r="G31" s="799"/>
      <c r="H31" s="799"/>
      <c r="I31" s="800"/>
      <c r="J31" s="800"/>
      <c r="K31" s="800"/>
      <c r="L31" s="801"/>
      <c r="M31" s="800"/>
      <c r="N31" s="800"/>
      <c r="O31" s="799"/>
      <c r="P31" s="799"/>
      <c r="Q31" s="800"/>
      <c r="R31" s="800"/>
      <c r="S31" s="428"/>
      <c r="T31" s="428"/>
      <c r="U31" s="428"/>
      <c r="V31" s="428"/>
    </row>
    <row r="32" spans="1:22" s="425" customFormat="1" ht="39.75" customHeight="1">
      <c r="A32" s="803"/>
      <c r="B32" s="800"/>
      <c r="C32" s="805"/>
      <c r="D32" s="804"/>
      <c r="E32" s="799"/>
      <c r="F32" s="799"/>
      <c r="G32" s="799"/>
      <c r="H32" s="799"/>
      <c r="I32" s="800"/>
      <c r="J32" s="800"/>
      <c r="K32" s="800"/>
      <c r="L32" s="801"/>
      <c r="M32" s="800"/>
      <c r="N32" s="800"/>
      <c r="O32" s="799"/>
      <c r="P32" s="799"/>
      <c r="Q32" s="800"/>
      <c r="R32" s="800"/>
      <c r="S32" s="428"/>
      <c r="T32" s="428"/>
      <c r="U32" s="428"/>
      <c r="V32" s="428"/>
    </row>
    <row r="33" spans="1:22" s="425" customFormat="1" ht="39.75" customHeight="1">
      <c r="A33" s="803"/>
      <c r="B33" s="800"/>
      <c r="C33" s="805"/>
      <c r="D33" s="804"/>
      <c r="E33" s="799"/>
      <c r="F33" s="799"/>
      <c r="G33" s="799"/>
      <c r="H33" s="799"/>
      <c r="I33" s="800"/>
      <c r="J33" s="800"/>
      <c r="K33" s="800"/>
      <c r="L33" s="801"/>
      <c r="M33" s="800"/>
      <c r="N33" s="800"/>
      <c r="O33" s="799"/>
      <c r="P33" s="799"/>
      <c r="Q33" s="800"/>
      <c r="R33" s="800"/>
      <c r="S33" s="428"/>
      <c r="T33" s="428"/>
      <c r="U33" s="428"/>
      <c r="V33" s="428"/>
    </row>
    <row r="34" spans="1:22" s="425" customFormat="1" ht="39.75" customHeight="1">
      <c r="A34" s="803"/>
      <c r="B34" s="800"/>
      <c r="C34" s="805"/>
      <c r="D34" s="804"/>
      <c r="E34" s="799"/>
      <c r="F34" s="799"/>
      <c r="G34" s="799"/>
      <c r="H34" s="799"/>
      <c r="I34" s="800"/>
      <c r="J34" s="800"/>
      <c r="K34" s="800"/>
      <c r="L34" s="801"/>
      <c r="M34" s="800"/>
      <c r="N34" s="800"/>
      <c r="O34" s="799"/>
      <c r="P34" s="799"/>
      <c r="Q34" s="800"/>
      <c r="R34" s="800"/>
      <c r="S34" s="428"/>
      <c r="T34" s="428"/>
      <c r="U34" s="428"/>
      <c r="V34" s="428"/>
    </row>
    <row r="35" spans="1:22" s="425" customFormat="1" ht="39.75" customHeight="1">
      <c r="A35" s="803"/>
      <c r="B35" s="800"/>
      <c r="C35" s="805"/>
      <c r="D35" s="804"/>
      <c r="E35" s="799"/>
      <c r="F35" s="799"/>
      <c r="G35" s="799"/>
      <c r="H35" s="799"/>
      <c r="I35" s="800"/>
      <c r="J35" s="800"/>
      <c r="K35" s="800"/>
      <c r="L35" s="801"/>
      <c r="M35" s="800"/>
      <c r="N35" s="800"/>
      <c r="O35" s="799"/>
      <c r="P35" s="799"/>
      <c r="Q35" s="800"/>
      <c r="R35" s="800"/>
      <c r="S35" s="428"/>
      <c r="T35" s="428"/>
      <c r="U35" s="428"/>
      <c r="V35" s="428"/>
    </row>
    <row r="36" spans="1:22" s="425" customFormat="1" ht="39.75" customHeight="1">
      <c r="A36" s="803"/>
      <c r="B36" s="800"/>
      <c r="C36" s="805"/>
      <c r="D36" s="804"/>
      <c r="E36" s="799"/>
      <c r="F36" s="799"/>
      <c r="G36" s="799"/>
      <c r="H36" s="799"/>
      <c r="I36" s="800"/>
      <c r="J36" s="800"/>
      <c r="K36" s="800"/>
      <c r="L36" s="801"/>
      <c r="M36" s="800"/>
      <c r="N36" s="800"/>
      <c r="O36" s="799"/>
      <c r="P36" s="799"/>
      <c r="Q36" s="800"/>
      <c r="R36" s="800"/>
      <c r="S36" s="428"/>
      <c r="T36" s="428"/>
      <c r="U36" s="428"/>
      <c r="V36" s="428"/>
    </row>
    <row r="37" spans="1:22" s="425" customFormat="1" ht="39.75" customHeight="1">
      <c r="A37" s="803"/>
      <c r="B37" s="800"/>
      <c r="C37" s="805"/>
      <c r="D37" s="804"/>
      <c r="E37" s="799"/>
      <c r="F37" s="799"/>
      <c r="G37" s="799"/>
      <c r="H37" s="799"/>
      <c r="I37" s="800"/>
      <c r="J37" s="800"/>
      <c r="K37" s="800"/>
      <c r="L37" s="801"/>
      <c r="M37" s="800"/>
      <c r="N37" s="800"/>
      <c r="O37" s="799"/>
      <c r="P37" s="799"/>
      <c r="Q37" s="800"/>
      <c r="R37" s="800"/>
      <c r="S37" s="428"/>
      <c r="T37" s="428"/>
      <c r="U37" s="428"/>
      <c r="V37" s="428"/>
    </row>
    <row r="38" spans="1:22" s="425" customFormat="1" ht="39.75" customHeight="1">
      <c r="A38" s="803"/>
      <c r="B38" s="800"/>
      <c r="C38" s="805"/>
      <c r="D38" s="804"/>
      <c r="E38" s="799"/>
      <c r="F38" s="799"/>
      <c r="G38" s="799"/>
      <c r="H38" s="799"/>
      <c r="I38" s="800"/>
      <c r="J38" s="800"/>
      <c r="K38" s="800"/>
      <c r="L38" s="801"/>
      <c r="M38" s="800"/>
      <c r="N38" s="800"/>
      <c r="O38" s="799"/>
      <c r="P38" s="799"/>
      <c r="Q38" s="800"/>
      <c r="R38" s="800"/>
      <c r="S38" s="428"/>
      <c r="T38" s="428"/>
      <c r="U38" s="428"/>
      <c r="V38" s="428"/>
    </row>
    <row r="39" spans="1:22" s="425" customFormat="1" ht="39.75" customHeight="1">
      <c r="A39" s="803"/>
      <c r="B39" s="800"/>
      <c r="C39" s="805"/>
      <c r="D39" s="804"/>
      <c r="E39" s="799"/>
      <c r="F39" s="799"/>
      <c r="G39" s="799"/>
      <c r="H39" s="799"/>
      <c r="I39" s="800"/>
      <c r="J39" s="800"/>
      <c r="K39" s="800"/>
      <c r="L39" s="801"/>
      <c r="M39" s="800"/>
      <c r="N39" s="800"/>
      <c r="O39" s="799"/>
      <c r="P39" s="799"/>
      <c r="Q39" s="800"/>
      <c r="R39" s="800"/>
      <c r="S39" s="428"/>
      <c r="T39" s="428"/>
      <c r="U39" s="428"/>
      <c r="V39" s="428"/>
    </row>
    <row r="40" spans="1:22" s="425" customFormat="1" ht="39.75" customHeight="1">
      <c r="A40" s="803"/>
      <c r="B40" s="800"/>
      <c r="C40" s="805"/>
      <c r="D40" s="804"/>
      <c r="E40" s="799"/>
      <c r="F40" s="799"/>
      <c r="G40" s="799"/>
      <c r="H40" s="799"/>
      <c r="I40" s="800"/>
      <c r="J40" s="800"/>
      <c r="K40" s="800"/>
      <c r="L40" s="801"/>
      <c r="M40" s="800"/>
      <c r="N40" s="800"/>
      <c r="O40" s="799"/>
      <c r="P40" s="799"/>
      <c r="Q40" s="800"/>
      <c r="R40" s="800"/>
      <c r="S40" s="428"/>
      <c r="T40" s="428"/>
      <c r="U40" s="428"/>
      <c r="V40" s="428"/>
    </row>
    <row r="41" spans="1:22" s="425" customFormat="1" ht="39.75" customHeight="1">
      <c r="A41" s="803"/>
      <c r="B41" s="800"/>
      <c r="C41" s="806"/>
      <c r="D41" s="804"/>
      <c r="E41" s="799"/>
      <c r="F41" s="799"/>
      <c r="G41" s="799"/>
      <c r="H41" s="799"/>
      <c r="I41" s="800"/>
      <c r="J41" s="800"/>
      <c r="K41" s="800"/>
      <c r="L41" s="801"/>
      <c r="M41" s="800"/>
      <c r="N41" s="800"/>
      <c r="O41" s="799"/>
      <c r="P41" s="799"/>
      <c r="Q41" s="800"/>
      <c r="R41" s="800"/>
      <c r="S41" s="428"/>
      <c r="T41" s="428"/>
      <c r="U41" s="428"/>
      <c r="V41" s="428"/>
    </row>
    <row r="42" spans="1:22" s="425" customFormat="1" ht="39.75" customHeight="1">
      <c r="A42" s="803"/>
      <c r="B42" s="800"/>
      <c r="C42" s="805"/>
      <c r="D42" s="804"/>
      <c r="E42" s="799"/>
      <c r="F42" s="799"/>
      <c r="G42" s="799"/>
      <c r="H42" s="799"/>
      <c r="I42" s="800"/>
      <c r="J42" s="800"/>
      <c r="K42" s="800"/>
      <c r="L42" s="801"/>
      <c r="M42" s="800"/>
      <c r="N42" s="800"/>
      <c r="O42" s="799"/>
      <c r="P42" s="799"/>
      <c r="Q42" s="800"/>
      <c r="R42" s="800"/>
      <c r="S42" s="428"/>
      <c r="T42" s="428"/>
      <c r="U42" s="428"/>
      <c r="V42" s="428"/>
    </row>
    <row r="43" spans="1:22" s="425" customFormat="1" ht="39.75" customHeight="1">
      <c r="A43" s="803"/>
      <c r="B43" s="800"/>
      <c r="C43" s="805"/>
      <c r="D43" s="804"/>
      <c r="E43" s="799"/>
      <c r="F43" s="799"/>
      <c r="G43" s="799"/>
      <c r="H43" s="799"/>
      <c r="I43" s="800"/>
      <c r="J43" s="800"/>
      <c r="K43" s="800"/>
      <c r="L43" s="801"/>
      <c r="M43" s="800"/>
      <c r="N43" s="800"/>
      <c r="O43" s="799"/>
      <c r="P43" s="799"/>
      <c r="Q43" s="800"/>
      <c r="R43" s="800"/>
      <c r="S43" s="428"/>
      <c r="T43" s="428"/>
      <c r="U43" s="428"/>
      <c r="V43" s="428"/>
    </row>
    <row r="44" spans="1:22" s="425" customFormat="1" ht="39.75" customHeight="1">
      <c r="A44" s="803"/>
      <c r="B44" s="800"/>
      <c r="C44" s="805"/>
      <c r="D44" s="804"/>
      <c r="E44" s="799"/>
      <c r="F44" s="799"/>
      <c r="G44" s="799"/>
      <c r="H44" s="799"/>
      <c r="I44" s="800"/>
      <c r="J44" s="800"/>
      <c r="K44" s="800"/>
      <c r="L44" s="801"/>
      <c r="M44" s="800"/>
      <c r="N44" s="800"/>
      <c r="O44" s="799"/>
      <c r="P44" s="799"/>
      <c r="Q44" s="800"/>
      <c r="R44" s="800"/>
      <c r="S44" s="428"/>
      <c r="T44" s="428"/>
      <c r="U44" s="428"/>
      <c r="V44" s="428"/>
    </row>
    <row r="45" spans="1:22" s="425" customFormat="1" ht="39.75" customHeight="1">
      <c r="A45" s="803"/>
      <c r="B45" s="800"/>
      <c r="C45" s="805"/>
      <c r="D45" s="804"/>
      <c r="E45" s="799"/>
      <c r="F45" s="799"/>
      <c r="G45" s="799"/>
      <c r="H45" s="799"/>
      <c r="I45" s="800"/>
      <c r="J45" s="800"/>
      <c r="K45" s="800"/>
      <c r="L45" s="801"/>
      <c r="M45" s="800"/>
      <c r="N45" s="800"/>
      <c r="O45" s="799"/>
      <c r="P45" s="799"/>
      <c r="Q45" s="800"/>
      <c r="R45" s="800"/>
      <c r="S45" s="428"/>
      <c r="T45" s="428"/>
      <c r="U45" s="428"/>
      <c r="V45" s="428"/>
    </row>
    <row r="46" spans="1:22" s="425" customFormat="1" ht="39.75" customHeight="1">
      <c r="A46" s="803"/>
      <c r="B46" s="800"/>
      <c r="C46" s="805"/>
      <c r="D46" s="804"/>
      <c r="E46" s="799"/>
      <c r="F46" s="799"/>
      <c r="G46" s="799"/>
      <c r="H46" s="799"/>
      <c r="I46" s="800"/>
      <c r="J46" s="800"/>
      <c r="K46" s="800"/>
      <c r="L46" s="801"/>
      <c r="M46" s="800"/>
      <c r="N46" s="800"/>
      <c r="O46" s="799"/>
      <c r="P46" s="799"/>
      <c r="Q46" s="800"/>
      <c r="R46" s="800"/>
      <c r="S46" s="428"/>
      <c r="T46" s="428"/>
      <c r="U46" s="428"/>
      <c r="V46" s="428"/>
    </row>
    <row r="47" spans="1:22" s="425" customFormat="1" ht="39.75" customHeight="1">
      <c r="A47" s="803"/>
      <c r="B47" s="800"/>
      <c r="C47" s="805"/>
      <c r="D47" s="804"/>
      <c r="E47" s="799"/>
      <c r="F47" s="799"/>
      <c r="G47" s="799"/>
      <c r="H47" s="799"/>
      <c r="I47" s="800"/>
      <c r="J47" s="800"/>
      <c r="K47" s="800"/>
      <c r="L47" s="801"/>
      <c r="M47" s="800"/>
      <c r="N47" s="800"/>
      <c r="O47" s="799"/>
      <c r="P47" s="799"/>
      <c r="Q47" s="800"/>
      <c r="R47" s="800"/>
      <c r="S47" s="428"/>
      <c r="T47" s="428"/>
      <c r="U47" s="428"/>
      <c r="V47" s="428"/>
    </row>
    <row r="48" spans="1:22" s="425" customFormat="1" ht="39.75" customHeight="1">
      <c r="A48" s="803"/>
      <c r="B48" s="800"/>
      <c r="C48" s="805"/>
      <c r="D48" s="804"/>
      <c r="E48" s="799"/>
      <c r="F48" s="799"/>
      <c r="G48" s="799"/>
      <c r="H48" s="799"/>
      <c r="I48" s="800"/>
      <c r="J48" s="800"/>
      <c r="K48" s="800"/>
      <c r="L48" s="801"/>
      <c r="M48" s="800"/>
      <c r="N48" s="800"/>
      <c r="O48" s="799"/>
      <c r="P48" s="799"/>
      <c r="Q48" s="800"/>
      <c r="R48" s="800"/>
      <c r="S48" s="428"/>
      <c r="T48" s="428"/>
      <c r="U48" s="428"/>
      <c r="V48" s="428"/>
    </row>
    <row r="49" spans="1:22" s="425" customFormat="1" ht="39.75" customHeight="1">
      <c r="A49" s="803"/>
      <c r="B49" s="800"/>
      <c r="C49" s="805"/>
      <c r="D49" s="804"/>
      <c r="E49" s="799"/>
      <c r="F49" s="799"/>
      <c r="G49" s="799"/>
      <c r="H49" s="799"/>
      <c r="I49" s="800"/>
      <c r="J49" s="800"/>
      <c r="K49" s="800"/>
      <c r="L49" s="801"/>
      <c r="M49" s="800"/>
      <c r="N49" s="800"/>
      <c r="O49" s="799"/>
      <c r="P49" s="799"/>
      <c r="Q49" s="800"/>
      <c r="R49" s="800"/>
      <c r="S49" s="428"/>
      <c r="T49" s="428"/>
      <c r="U49" s="428"/>
      <c r="V49" s="428"/>
    </row>
    <row r="50" spans="1:22" s="425" customFormat="1" ht="39.75" customHeight="1">
      <c r="A50" s="803"/>
      <c r="B50" s="800"/>
      <c r="C50" s="805"/>
      <c r="D50" s="804"/>
      <c r="E50" s="799"/>
      <c r="F50" s="799"/>
      <c r="G50" s="799"/>
      <c r="H50" s="799"/>
      <c r="I50" s="800"/>
      <c r="J50" s="800"/>
      <c r="K50" s="800"/>
      <c r="L50" s="801"/>
      <c r="M50" s="800"/>
      <c r="N50" s="800"/>
      <c r="O50" s="799"/>
      <c r="P50" s="799"/>
      <c r="Q50" s="800"/>
      <c r="R50" s="800"/>
      <c r="S50" s="428"/>
      <c r="T50" s="428"/>
      <c r="U50" s="428"/>
      <c r="V50" s="428"/>
    </row>
    <row r="51" spans="1:22" s="425" customFormat="1" ht="39.75" customHeight="1">
      <c r="A51" s="803"/>
      <c r="B51" s="800"/>
      <c r="C51" s="805"/>
      <c r="D51" s="804"/>
      <c r="E51" s="799"/>
      <c r="F51" s="799"/>
      <c r="G51" s="799"/>
      <c r="H51" s="799"/>
      <c r="I51" s="800"/>
      <c r="J51" s="800"/>
      <c r="K51" s="800"/>
      <c r="L51" s="801"/>
      <c r="M51" s="800"/>
      <c r="N51" s="800"/>
      <c r="O51" s="799"/>
      <c r="P51" s="799"/>
      <c r="Q51" s="800"/>
      <c r="R51" s="800"/>
      <c r="S51" s="428"/>
      <c r="T51" s="428"/>
      <c r="U51" s="428"/>
      <c r="V51" s="428"/>
    </row>
    <row r="52" spans="1:22" s="425" customFormat="1" ht="39.75" customHeight="1">
      <c r="A52" s="803"/>
      <c r="B52" s="800"/>
      <c r="C52" s="805"/>
      <c r="D52" s="804"/>
      <c r="E52" s="799"/>
      <c r="F52" s="799"/>
      <c r="G52" s="799"/>
      <c r="H52" s="799"/>
      <c r="I52" s="800"/>
      <c r="J52" s="800"/>
      <c r="K52" s="800"/>
      <c r="L52" s="801"/>
      <c r="M52" s="800"/>
      <c r="N52" s="800"/>
      <c r="O52" s="799"/>
      <c r="P52" s="799"/>
      <c r="Q52" s="800"/>
      <c r="R52" s="800"/>
      <c r="S52" s="428"/>
      <c r="T52" s="428"/>
      <c r="U52" s="428"/>
      <c r="V52" s="428"/>
    </row>
    <row r="53" spans="1:22" s="425" customFormat="1" ht="39.75" customHeight="1">
      <c r="A53" s="803"/>
      <c r="B53" s="800"/>
      <c r="C53" s="805"/>
      <c r="D53" s="804"/>
      <c r="E53" s="799"/>
      <c r="F53" s="799"/>
      <c r="G53" s="799"/>
      <c r="H53" s="799"/>
      <c r="I53" s="800"/>
      <c r="J53" s="800"/>
      <c r="K53" s="800"/>
      <c r="L53" s="801"/>
      <c r="M53" s="800"/>
      <c r="N53" s="800"/>
      <c r="O53" s="799"/>
      <c r="P53" s="799"/>
      <c r="Q53" s="800"/>
      <c r="R53" s="800"/>
      <c r="S53" s="428"/>
      <c r="T53" s="428"/>
      <c r="U53" s="428"/>
      <c r="V53" s="428"/>
    </row>
    <row r="54" spans="1:22" s="425" customFormat="1" ht="45.6" customHeight="1">
      <c r="A54" s="803"/>
      <c r="B54" s="800"/>
      <c r="C54" s="805"/>
      <c r="D54" s="804"/>
      <c r="E54" s="799"/>
      <c r="F54" s="799"/>
      <c r="G54" s="799"/>
      <c r="H54" s="799"/>
      <c r="I54" s="800"/>
      <c r="J54" s="800"/>
      <c r="K54" s="800"/>
      <c r="L54" s="801"/>
      <c r="M54" s="800"/>
      <c r="N54" s="800"/>
      <c r="O54" s="799"/>
      <c r="P54" s="799"/>
      <c r="Q54" s="800"/>
      <c r="R54" s="800"/>
      <c r="S54" s="428"/>
      <c r="T54" s="428"/>
      <c r="U54" s="428"/>
      <c r="V54" s="428"/>
    </row>
    <row r="55" spans="1:22" s="425" customFormat="1" ht="45.6" customHeight="1">
      <c r="A55" s="803"/>
      <c r="B55" s="800"/>
      <c r="C55" s="805"/>
      <c r="D55" s="804"/>
      <c r="E55" s="799"/>
      <c r="F55" s="799"/>
      <c r="G55" s="799"/>
      <c r="H55" s="799"/>
      <c r="I55" s="800"/>
      <c r="J55" s="800"/>
      <c r="K55" s="800"/>
      <c r="L55" s="801"/>
      <c r="M55" s="800"/>
      <c r="N55" s="800"/>
      <c r="O55" s="799"/>
      <c r="P55" s="799"/>
      <c r="Q55" s="800"/>
      <c r="R55" s="800"/>
      <c r="S55" s="428"/>
      <c r="T55" s="428"/>
      <c r="U55" s="428"/>
      <c r="V55" s="428"/>
    </row>
    <row r="56" spans="1:22" s="425" customFormat="1" ht="45.6" customHeight="1">
      <c r="A56" s="803"/>
      <c r="B56" s="800"/>
      <c r="C56" s="805"/>
      <c r="D56" s="804"/>
      <c r="E56" s="799"/>
      <c r="F56" s="799"/>
      <c r="G56" s="799"/>
      <c r="H56" s="799"/>
      <c r="I56" s="800"/>
      <c r="J56" s="800"/>
      <c r="K56" s="800"/>
      <c r="L56" s="801"/>
      <c r="M56" s="800"/>
      <c r="N56" s="800"/>
      <c r="O56" s="799"/>
      <c r="P56" s="799"/>
      <c r="Q56" s="800"/>
      <c r="R56" s="800"/>
      <c r="S56" s="428"/>
      <c r="T56" s="428"/>
      <c r="U56" s="428"/>
      <c r="V56" s="428"/>
    </row>
    <row r="57" spans="1:22" s="425" customFormat="1" ht="45.6" customHeight="1">
      <c r="A57" s="803"/>
      <c r="B57" s="800"/>
      <c r="C57" s="805"/>
      <c r="D57" s="804"/>
      <c r="E57" s="799"/>
      <c r="F57" s="799"/>
      <c r="G57" s="799"/>
      <c r="H57" s="799"/>
      <c r="I57" s="800"/>
      <c r="J57" s="800"/>
      <c r="K57" s="800"/>
      <c r="L57" s="801"/>
      <c r="M57" s="800"/>
      <c r="N57" s="800"/>
      <c r="O57" s="799"/>
      <c r="P57" s="799"/>
      <c r="Q57" s="800"/>
      <c r="R57" s="800"/>
      <c r="S57" s="428"/>
      <c r="T57" s="428"/>
      <c r="U57" s="428"/>
      <c r="V57" s="428"/>
    </row>
    <row r="58" spans="1:22" s="425" customFormat="1" ht="45.6" customHeight="1">
      <c r="A58" s="803"/>
      <c r="B58" s="800"/>
      <c r="C58" s="805"/>
      <c r="D58" s="804"/>
      <c r="E58" s="799"/>
      <c r="F58" s="799"/>
      <c r="G58" s="799"/>
      <c r="H58" s="799"/>
      <c r="I58" s="800"/>
      <c r="J58" s="800"/>
      <c r="K58" s="800"/>
      <c r="L58" s="801"/>
      <c r="M58" s="800"/>
      <c r="N58" s="800"/>
      <c r="O58" s="799"/>
      <c r="P58" s="799"/>
      <c r="Q58" s="800"/>
      <c r="R58" s="800"/>
      <c r="S58" s="428"/>
      <c r="T58" s="428"/>
      <c r="U58" s="428"/>
      <c r="V58" s="428"/>
    </row>
    <row r="59" spans="1:22" s="425" customFormat="1" ht="45.6" customHeight="1">
      <c r="A59" s="803"/>
      <c r="B59" s="800"/>
      <c r="C59" s="805"/>
      <c r="D59" s="804"/>
      <c r="E59" s="799"/>
      <c r="F59" s="799"/>
      <c r="G59" s="799"/>
      <c r="H59" s="799"/>
      <c r="I59" s="800"/>
      <c r="J59" s="800"/>
      <c r="K59" s="800"/>
      <c r="L59" s="801"/>
      <c r="M59" s="800"/>
      <c r="N59" s="800"/>
      <c r="O59" s="799"/>
      <c r="P59" s="799"/>
      <c r="Q59" s="800"/>
      <c r="R59" s="800"/>
      <c r="S59" s="428"/>
      <c r="T59" s="428"/>
      <c r="U59" s="428"/>
      <c r="V59" s="428"/>
    </row>
    <row r="60" spans="1:22" s="425" customFormat="1" ht="45.6" customHeight="1">
      <c r="A60" s="803"/>
      <c r="B60" s="800"/>
      <c r="C60" s="805"/>
      <c r="D60" s="804"/>
      <c r="E60" s="799"/>
      <c r="F60" s="799"/>
      <c r="G60" s="799"/>
      <c r="H60" s="799"/>
      <c r="I60" s="800"/>
      <c r="J60" s="800"/>
      <c r="K60" s="800"/>
      <c r="L60" s="801"/>
      <c r="M60" s="800"/>
      <c r="N60" s="800"/>
      <c r="O60" s="799"/>
      <c r="P60" s="799"/>
      <c r="Q60" s="800"/>
      <c r="R60" s="800"/>
      <c r="S60" s="428"/>
      <c r="T60" s="428"/>
      <c r="U60" s="428"/>
      <c r="V60" s="428"/>
    </row>
    <row r="61" spans="1:22" s="425" customFormat="1" ht="45.6" customHeight="1">
      <c r="A61" s="803"/>
      <c r="B61" s="800"/>
      <c r="C61" s="805"/>
      <c r="D61" s="804"/>
      <c r="E61" s="799"/>
      <c r="F61" s="799"/>
      <c r="G61" s="799"/>
      <c r="H61" s="799"/>
      <c r="I61" s="800"/>
      <c r="J61" s="800"/>
      <c r="K61" s="800"/>
      <c r="L61" s="801"/>
      <c r="M61" s="800"/>
      <c r="N61" s="800"/>
      <c r="O61" s="799"/>
      <c r="P61" s="799"/>
      <c r="Q61" s="800"/>
      <c r="R61" s="800"/>
      <c r="S61" s="428"/>
      <c r="T61" s="428"/>
      <c r="U61" s="428"/>
      <c r="V61" s="428"/>
    </row>
    <row r="62" spans="1:22" s="425" customFormat="1" ht="45.6" customHeight="1">
      <c r="A62" s="803"/>
      <c r="B62" s="800"/>
      <c r="C62" s="805"/>
      <c r="D62" s="804"/>
      <c r="E62" s="799"/>
      <c r="F62" s="799"/>
      <c r="G62" s="799"/>
      <c r="H62" s="799"/>
      <c r="I62" s="800"/>
      <c r="J62" s="800"/>
      <c r="K62" s="800"/>
      <c r="L62" s="801"/>
      <c r="M62" s="800"/>
      <c r="N62" s="800"/>
      <c r="O62" s="799"/>
      <c r="P62" s="799"/>
      <c r="Q62" s="800"/>
      <c r="R62" s="800"/>
      <c r="S62" s="428"/>
      <c r="T62" s="428"/>
      <c r="U62" s="428"/>
      <c r="V62" s="428"/>
    </row>
    <row r="63" spans="1:22" s="425" customFormat="1" ht="45.6" customHeight="1">
      <c r="A63" s="803"/>
      <c r="B63" s="800"/>
      <c r="C63" s="805"/>
      <c r="D63" s="804"/>
      <c r="E63" s="799"/>
      <c r="F63" s="799"/>
      <c r="G63" s="799"/>
      <c r="H63" s="799"/>
      <c r="I63" s="800"/>
      <c r="J63" s="800"/>
      <c r="K63" s="800"/>
      <c r="L63" s="801"/>
      <c r="M63" s="800"/>
      <c r="N63" s="800"/>
      <c r="O63" s="799"/>
      <c r="P63" s="799"/>
      <c r="Q63" s="800"/>
      <c r="R63" s="800"/>
      <c r="S63" s="428"/>
      <c r="T63" s="428"/>
      <c r="U63" s="428"/>
      <c r="V63" s="428"/>
    </row>
    <row r="64" spans="1:22" s="425" customFormat="1" ht="39.75" customHeight="1">
      <c r="A64" s="803"/>
      <c r="B64" s="800"/>
      <c r="C64" s="805"/>
      <c r="D64" s="804"/>
      <c r="E64" s="799"/>
      <c r="F64" s="799"/>
      <c r="G64" s="799"/>
      <c r="H64" s="799"/>
      <c r="I64" s="800"/>
      <c r="J64" s="800"/>
      <c r="K64" s="800"/>
      <c r="L64" s="801"/>
      <c r="M64" s="800"/>
      <c r="N64" s="800"/>
      <c r="O64" s="799"/>
      <c r="P64" s="799"/>
      <c r="Q64" s="800"/>
      <c r="R64" s="800"/>
      <c r="S64" s="428"/>
      <c r="T64" s="428"/>
      <c r="U64" s="428"/>
      <c r="V64" s="428"/>
    </row>
    <row r="65" spans="1:22" s="425" customFormat="1" ht="39.75" customHeight="1">
      <c r="A65" s="803"/>
      <c r="B65" s="800"/>
      <c r="C65" s="805"/>
      <c r="D65" s="804"/>
      <c r="E65" s="799"/>
      <c r="F65" s="799"/>
      <c r="G65" s="799"/>
      <c r="H65" s="799"/>
      <c r="I65" s="800"/>
      <c r="J65" s="800"/>
      <c r="K65" s="800"/>
      <c r="L65" s="801"/>
      <c r="M65" s="800"/>
      <c r="N65" s="800"/>
      <c r="O65" s="799"/>
      <c r="P65" s="799"/>
      <c r="Q65" s="800"/>
      <c r="R65" s="800"/>
      <c r="S65" s="428"/>
      <c r="T65" s="428"/>
      <c r="U65" s="428"/>
      <c r="V65" s="428"/>
    </row>
    <row r="66" spans="1:22" s="425" customFormat="1" ht="39.75" customHeight="1">
      <c r="A66" s="803"/>
      <c r="B66" s="800"/>
      <c r="C66" s="805"/>
      <c r="D66" s="804"/>
      <c r="E66" s="799"/>
      <c r="F66" s="799"/>
      <c r="G66" s="799"/>
      <c r="H66" s="799"/>
      <c r="I66" s="800"/>
      <c r="J66" s="800"/>
      <c r="K66" s="800"/>
      <c r="L66" s="801"/>
      <c r="M66" s="800"/>
      <c r="N66" s="800"/>
      <c r="O66" s="799"/>
      <c r="P66" s="799"/>
      <c r="Q66" s="800"/>
      <c r="R66" s="800"/>
      <c r="S66" s="428"/>
      <c r="T66" s="428"/>
      <c r="U66" s="428"/>
      <c r="V66" s="428"/>
    </row>
    <row r="67" spans="1:22" s="425" customFormat="1" ht="39.75" customHeight="1">
      <c r="A67" s="803"/>
      <c r="B67" s="800"/>
      <c r="C67" s="805"/>
      <c r="D67" s="804"/>
      <c r="E67" s="799"/>
      <c r="F67" s="799"/>
      <c r="G67" s="799"/>
      <c r="H67" s="799"/>
      <c r="I67" s="800"/>
      <c r="J67" s="800"/>
      <c r="K67" s="800"/>
      <c r="L67" s="801"/>
      <c r="M67" s="800"/>
      <c r="N67" s="800"/>
      <c r="O67" s="799"/>
      <c r="P67" s="799"/>
      <c r="Q67" s="800"/>
      <c r="R67" s="800"/>
      <c r="S67" s="428"/>
      <c r="T67" s="428"/>
      <c r="U67" s="428"/>
      <c r="V67" s="428"/>
    </row>
    <row r="68" spans="1:22" s="425" customFormat="1" ht="39.75" customHeight="1">
      <c r="A68" s="803"/>
      <c r="B68" s="800"/>
      <c r="C68" s="805"/>
      <c r="D68" s="804"/>
      <c r="E68" s="799"/>
      <c r="F68" s="799"/>
      <c r="G68" s="799"/>
      <c r="H68" s="799"/>
      <c r="I68" s="800"/>
      <c r="J68" s="800"/>
      <c r="K68" s="800"/>
      <c r="L68" s="801"/>
      <c r="M68" s="800"/>
      <c r="N68" s="800"/>
      <c r="O68" s="799"/>
      <c r="P68" s="799"/>
      <c r="Q68" s="800"/>
      <c r="R68" s="800"/>
      <c r="S68" s="428"/>
      <c r="T68" s="428"/>
      <c r="U68" s="428"/>
      <c r="V68" s="428"/>
    </row>
    <row r="69" spans="1:22" s="425" customFormat="1" ht="39.75" customHeight="1">
      <c r="A69" s="803"/>
      <c r="B69" s="800"/>
      <c r="C69" s="805"/>
      <c r="D69" s="804"/>
      <c r="E69" s="799"/>
      <c r="F69" s="799"/>
      <c r="G69" s="799"/>
      <c r="H69" s="799"/>
      <c r="I69" s="800"/>
      <c r="J69" s="800"/>
      <c r="K69" s="800"/>
      <c r="L69" s="801"/>
      <c r="M69" s="800"/>
      <c r="N69" s="800"/>
      <c r="O69" s="799"/>
      <c r="P69" s="799"/>
      <c r="Q69" s="800"/>
      <c r="R69" s="800"/>
      <c r="S69" s="428"/>
      <c r="T69" s="428"/>
      <c r="U69" s="428"/>
      <c r="V69" s="428"/>
    </row>
    <row r="70" spans="1:22" s="425" customFormat="1" ht="39.75" customHeight="1">
      <c r="A70" s="803"/>
      <c r="B70" s="800"/>
      <c r="C70" s="805"/>
      <c r="D70" s="804"/>
      <c r="E70" s="799"/>
      <c r="F70" s="799"/>
      <c r="G70" s="799"/>
      <c r="H70" s="799"/>
      <c r="I70" s="800"/>
      <c r="J70" s="800"/>
      <c r="K70" s="800"/>
      <c r="L70" s="801"/>
      <c r="M70" s="800"/>
      <c r="N70" s="800"/>
      <c r="O70" s="799"/>
      <c r="P70" s="799"/>
      <c r="Q70" s="800"/>
      <c r="R70" s="800"/>
      <c r="S70" s="428"/>
      <c r="T70" s="428"/>
      <c r="U70" s="428"/>
      <c r="V70" s="428"/>
    </row>
    <row r="71" spans="1:22" s="425" customFormat="1" ht="39.75" customHeight="1">
      <c r="A71" s="803"/>
      <c r="B71" s="800"/>
      <c r="C71" s="805"/>
      <c r="D71" s="804"/>
      <c r="E71" s="799"/>
      <c r="F71" s="799"/>
      <c r="G71" s="799"/>
      <c r="H71" s="799"/>
      <c r="I71" s="800"/>
      <c r="J71" s="800"/>
      <c r="K71" s="800"/>
      <c r="L71" s="801"/>
      <c r="M71" s="800"/>
      <c r="N71" s="800"/>
      <c r="O71" s="799"/>
      <c r="P71" s="799"/>
      <c r="Q71" s="800"/>
      <c r="R71" s="800"/>
      <c r="S71" s="428"/>
      <c r="T71" s="428"/>
      <c r="U71" s="428"/>
      <c r="V71" s="428"/>
    </row>
    <row r="72" spans="1:22" s="425" customFormat="1" ht="39.75" customHeight="1">
      <c r="A72" s="803"/>
      <c r="B72" s="800"/>
      <c r="C72" s="805"/>
      <c r="D72" s="804"/>
      <c r="E72" s="799"/>
      <c r="F72" s="799"/>
      <c r="G72" s="799"/>
      <c r="H72" s="799"/>
      <c r="I72" s="800"/>
      <c r="J72" s="800"/>
      <c r="K72" s="800"/>
      <c r="L72" s="801"/>
      <c r="M72" s="800"/>
      <c r="N72" s="800"/>
      <c r="O72" s="799"/>
      <c r="P72" s="799"/>
      <c r="Q72" s="800"/>
      <c r="R72" s="800"/>
      <c r="S72" s="428"/>
      <c r="T72" s="428"/>
      <c r="U72" s="428"/>
      <c r="V72" s="428"/>
    </row>
    <row r="73" spans="1:22" s="425" customFormat="1" ht="39.75" customHeight="1">
      <c r="A73" s="803"/>
      <c r="B73" s="800"/>
      <c r="C73" s="805"/>
      <c r="D73" s="804"/>
      <c r="E73" s="799"/>
      <c r="F73" s="799"/>
      <c r="G73" s="799"/>
      <c r="H73" s="799"/>
      <c r="I73" s="800"/>
      <c r="J73" s="800"/>
      <c r="K73" s="800"/>
      <c r="L73" s="801"/>
      <c r="M73" s="800"/>
      <c r="N73" s="800"/>
      <c r="O73" s="799"/>
      <c r="P73" s="799"/>
      <c r="Q73" s="800"/>
      <c r="R73" s="800"/>
      <c r="S73" s="428"/>
      <c r="T73" s="428"/>
      <c r="U73" s="428"/>
      <c r="V73" s="428"/>
    </row>
    <row r="74" spans="1:22" s="425" customFormat="1" ht="39.75" customHeight="1">
      <c r="A74" s="803"/>
      <c r="B74" s="800"/>
      <c r="C74" s="805"/>
      <c r="D74" s="804"/>
      <c r="E74" s="799"/>
      <c r="F74" s="799"/>
      <c r="G74" s="799"/>
      <c r="H74" s="799"/>
      <c r="I74" s="800"/>
      <c r="J74" s="800"/>
      <c r="K74" s="800"/>
      <c r="L74" s="801"/>
      <c r="M74" s="800"/>
      <c r="N74" s="800"/>
      <c r="O74" s="799"/>
      <c r="P74" s="799"/>
      <c r="Q74" s="800"/>
      <c r="R74" s="800"/>
      <c r="S74" s="428"/>
      <c r="T74" s="428"/>
      <c r="U74" s="428"/>
      <c r="V74" s="428"/>
    </row>
    <row r="75" spans="1:22" s="425" customFormat="1" ht="39.75" customHeight="1">
      <c r="A75" s="803"/>
      <c r="B75" s="800"/>
      <c r="C75" s="805"/>
      <c r="D75" s="804"/>
      <c r="E75" s="799"/>
      <c r="F75" s="799"/>
      <c r="G75" s="799"/>
      <c r="H75" s="799"/>
      <c r="I75" s="800"/>
      <c r="J75" s="800"/>
      <c r="K75" s="800"/>
      <c r="L75" s="801"/>
      <c r="M75" s="800"/>
      <c r="N75" s="800"/>
      <c r="O75" s="799"/>
      <c r="P75" s="799"/>
      <c r="Q75" s="800"/>
      <c r="R75" s="800"/>
      <c r="S75" s="428"/>
      <c r="T75" s="428"/>
      <c r="U75" s="428"/>
      <c r="V75" s="428"/>
    </row>
    <row r="76" spans="1:22" s="425" customFormat="1" ht="39.75" customHeight="1">
      <c r="A76" s="803"/>
      <c r="B76" s="800"/>
      <c r="C76" s="805"/>
      <c r="D76" s="804"/>
      <c r="E76" s="799"/>
      <c r="F76" s="799"/>
      <c r="G76" s="799"/>
      <c r="H76" s="799"/>
      <c r="I76" s="800"/>
      <c r="J76" s="800"/>
      <c r="K76" s="800"/>
      <c r="L76" s="801"/>
      <c r="M76" s="800"/>
      <c r="N76" s="800"/>
      <c r="O76" s="799"/>
      <c r="P76" s="799"/>
      <c r="Q76" s="800"/>
      <c r="R76" s="800"/>
      <c r="S76" s="428"/>
      <c r="T76" s="428"/>
      <c r="U76" s="428"/>
      <c r="V76" s="428"/>
    </row>
    <row r="77" spans="1:22" s="425" customFormat="1" ht="39.75" customHeight="1">
      <c r="A77" s="803"/>
      <c r="B77" s="800"/>
      <c r="C77" s="805"/>
      <c r="D77" s="804"/>
      <c r="E77" s="799"/>
      <c r="F77" s="799"/>
      <c r="G77" s="799"/>
      <c r="H77" s="799"/>
      <c r="I77" s="800"/>
      <c r="J77" s="800"/>
      <c r="K77" s="800"/>
      <c r="L77" s="801"/>
      <c r="M77" s="800"/>
      <c r="N77" s="800"/>
      <c r="O77" s="799"/>
      <c r="P77" s="799"/>
      <c r="Q77" s="800"/>
      <c r="R77" s="800"/>
      <c r="S77" s="428"/>
      <c r="T77" s="428"/>
      <c r="U77" s="428"/>
      <c r="V77" s="428"/>
    </row>
    <row r="78" spans="1:22" s="425" customFormat="1" ht="39.75" customHeight="1">
      <c r="A78" s="803"/>
      <c r="B78" s="800"/>
      <c r="C78" s="805"/>
      <c r="D78" s="804"/>
      <c r="E78" s="799"/>
      <c r="F78" s="799"/>
      <c r="G78" s="799"/>
      <c r="H78" s="799"/>
      <c r="I78" s="800"/>
      <c r="J78" s="800"/>
      <c r="K78" s="800"/>
      <c r="L78" s="801"/>
      <c r="M78" s="800"/>
      <c r="N78" s="800"/>
      <c r="O78" s="799"/>
      <c r="P78" s="799"/>
      <c r="Q78" s="800"/>
      <c r="R78" s="800"/>
      <c r="S78" s="428"/>
      <c r="T78" s="428"/>
      <c r="U78" s="428"/>
      <c r="V78" s="428"/>
    </row>
    <row r="79" spans="1:22" s="425" customFormat="1" ht="39.75" customHeight="1">
      <c r="A79" s="803"/>
      <c r="B79" s="800"/>
      <c r="C79" s="805"/>
      <c r="D79" s="804"/>
      <c r="E79" s="799"/>
      <c r="F79" s="799"/>
      <c r="G79" s="799"/>
      <c r="H79" s="799"/>
      <c r="I79" s="800"/>
      <c r="J79" s="800"/>
      <c r="K79" s="800"/>
      <c r="L79" s="801"/>
      <c r="M79" s="800"/>
      <c r="N79" s="800"/>
      <c r="O79" s="799"/>
      <c r="P79" s="799"/>
      <c r="Q79" s="800"/>
      <c r="R79" s="800"/>
      <c r="S79" s="428"/>
      <c r="T79" s="428"/>
      <c r="U79" s="428"/>
      <c r="V79" s="428"/>
    </row>
    <row r="80" spans="1:22" s="425" customFormat="1" ht="39.75" customHeight="1">
      <c r="A80" s="803"/>
      <c r="B80" s="800"/>
      <c r="C80" s="805"/>
      <c r="D80" s="804"/>
      <c r="E80" s="799"/>
      <c r="F80" s="799"/>
      <c r="G80" s="799"/>
      <c r="H80" s="799"/>
      <c r="I80" s="800"/>
      <c r="J80" s="800"/>
      <c r="K80" s="800"/>
      <c r="L80" s="801"/>
      <c r="M80" s="800"/>
      <c r="N80" s="800"/>
      <c r="O80" s="799"/>
      <c r="P80" s="799"/>
      <c r="Q80" s="800"/>
      <c r="R80" s="800"/>
      <c r="S80" s="428"/>
      <c r="T80" s="428"/>
      <c r="U80" s="428"/>
      <c r="V80" s="428"/>
    </row>
    <row r="81" spans="1:22" s="425" customFormat="1" ht="39.75" customHeight="1">
      <c r="A81" s="803"/>
      <c r="B81" s="800"/>
      <c r="C81" s="805"/>
      <c r="D81" s="804"/>
      <c r="E81" s="799"/>
      <c r="F81" s="799"/>
      <c r="G81" s="799"/>
      <c r="H81" s="799"/>
      <c r="I81" s="800"/>
      <c r="J81" s="800"/>
      <c r="K81" s="800"/>
      <c r="L81" s="801"/>
      <c r="M81" s="800"/>
      <c r="N81" s="800"/>
      <c r="O81" s="799"/>
      <c r="P81" s="799"/>
      <c r="Q81" s="800"/>
      <c r="R81" s="800"/>
      <c r="S81" s="428"/>
      <c r="T81" s="428"/>
      <c r="U81" s="428"/>
      <c r="V81" s="428"/>
    </row>
    <row r="82" spans="1:22" s="425" customFormat="1" ht="39.75" customHeight="1">
      <c r="A82" s="803"/>
      <c r="B82" s="800"/>
      <c r="C82" s="805"/>
      <c r="D82" s="804"/>
      <c r="E82" s="799"/>
      <c r="F82" s="799"/>
      <c r="G82" s="799"/>
      <c r="H82" s="799"/>
      <c r="I82" s="800"/>
      <c r="J82" s="800"/>
      <c r="K82" s="800"/>
      <c r="L82" s="801"/>
      <c r="M82" s="800"/>
      <c r="N82" s="800"/>
      <c r="O82" s="799"/>
      <c r="P82" s="799"/>
      <c r="Q82" s="800"/>
      <c r="R82" s="800"/>
      <c r="S82" s="428"/>
      <c r="T82" s="428"/>
      <c r="U82" s="428"/>
      <c r="V82" s="428"/>
    </row>
    <row r="83" spans="1:22" s="425" customFormat="1" ht="39.75" customHeight="1">
      <c r="A83" s="800"/>
      <c r="B83" s="800"/>
      <c r="C83" s="800"/>
      <c r="D83" s="800"/>
      <c r="E83" s="800"/>
      <c r="F83" s="800"/>
      <c r="G83" s="800"/>
      <c r="H83" s="800"/>
      <c r="I83" s="800"/>
      <c r="J83" s="800"/>
      <c r="K83" s="800"/>
      <c r="L83" s="801"/>
      <c r="M83" s="800"/>
      <c r="N83" s="800"/>
      <c r="O83" s="800"/>
      <c r="P83" s="800"/>
      <c r="Q83" s="800"/>
      <c r="R83" s="800"/>
      <c r="S83" s="428"/>
      <c r="T83" s="428"/>
      <c r="U83" s="428"/>
      <c r="V83" s="428"/>
    </row>
    <row r="84" spans="1:22" s="425" customFormat="1" ht="39.75" customHeight="1">
      <c r="A84" s="800"/>
      <c r="B84" s="800"/>
      <c r="C84" s="800"/>
      <c r="D84" s="800"/>
      <c r="E84" s="800"/>
      <c r="F84" s="800"/>
      <c r="G84" s="800"/>
      <c r="H84" s="800"/>
      <c r="I84" s="800"/>
      <c r="J84" s="800"/>
      <c r="K84" s="800"/>
      <c r="L84" s="801"/>
      <c r="M84" s="800"/>
      <c r="N84" s="800"/>
      <c r="O84" s="800"/>
      <c r="P84" s="800"/>
      <c r="Q84" s="800"/>
      <c r="R84" s="800"/>
      <c r="S84" s="428"/>
      <c r="T84" s="428"/>
      <c r="U84" s="428"/>
      <c r="V84" s="428"/>
    </row>
    <row r="85" spans="1:22" s="425" customFormat="1" ht="39.75" customHeight="1">
      <c r="A85" s="800"/>
      <c r="B85" s="800"/>
      <c r="C85" s="800"/>
      <c r="D85" s="800"/>
      <c r="E85" s="800"/>
      <c r="F85" s="800"/>
      <c r="G85" s="800"/>
      <c r="H85" s="800"/>
      <c r="I85" s="800"/>
      <c r="J85" s="800"/>
      <c r="K85" s="800"/>
      <c r="L85" s="801"/>
      <c r="M85" s="800"/>
      <c r="N85" s="800"/>
      <c r="O85" s="800"/>
      <c r="P85" s="800"/>
      <c r="Q85" s="800"/>
      <c r="R85" s="800"/>
      <c r="S85" s="428"/>
      <c r="T85" s="428"/>
      <c r="U85" s="428"/>
      <c r="V85" s="428"/>
    </row>
    <row r="86" spans="1:22" s="425" customFormat="1" ht="39.75" customHeight="1">
      <c r="A86" s="800"/>
      <c r="B86" s="800"/>
      <c r="C86" s="800"/>
      <c r="D86" s="800"/>
      <c r="E86" s="800"/>
      <c r="F86" s="800"/>
      <c r="G86" s="800"/>
      <c r="H86" s="800"/>
      <c r="I86" s="800"/>
      <c r="J86" s="800"/>
      <c r="K86" s="800"/>
      <c r="L86" s="801"/>
      <c r="M86" s="800"/>
      <c r="N86" s="800"/>
      <c r="O86" s="800"/>
      <c r="P86" s="800"/>
      <c r="Q86" s="800"/>
      <c r="R86" s="800"/>
      <c r="S86" s="428"/>
      <c r="T86" s="428"/>
      <c r="U86" s="428"/>
      <c r="V86" s="428"/>
    </row>
    <row r="87" spans="1:22" s="425" customFormat="1" ht="39.75" customHeight="1">
      <c r="A87" s="800"/>
      <c r="B87" s="800"/>
      <c r="C87" s="800"/>
      <c r="D87" s="800"/>
      <c r="E87" s="800"/>
      <c r="F87" s="800"/>
      <c r="G87" s="800"/>
      <c r="H87" s="800"/>
      <c r="I87" s="800"/>
      <c r="J87" s="800"/>
      <c r="K87" s="800"/>
      <c r="L87" s="801"/>
      <c r="M87" s="800"/>
      <c r="N87" s="800"/>
      <c r="O87" s="800"/>
      <c r="P87" s="800"/>
      <c r="Q87" s="800"/>
      <c r="R87" s="800"/>
      <c r="S87" s="428"/>
      <c r="T87" s="428"/>
      <c r="U87" s="428"/>
      <c r="V87" s="428"/>
    </row>
    <row r="88" spans="1:22" s="425" customFormat="1" ht="39.75" customHeight="1">
      <c r="A88" s="800"/>
      <c r="B88" s="800"/>
      <c r="C88" s="800"/>
      <c r="D88" s="800"/>
      <c r="E88" s="800"/>
      <c r="F88" s="800"/>
      <c r="G88" s="800"/>
      <c r="H88" s="800"/>
      <c r="I88" s="800"/>
      <c r="J88" s="800"/>
      <c r="K88" s="800"/>
      <c r="L88" s="801"/>
      <c r="M88" s="800"/>
      <c r="N88" s="800"/>
      <c r="O88" s="800"/>
      <c r="P88" s="800"/>
      <c r="Q88" s="800"/>
      <c r="R88" s="800"/>
      <c r="S88" s="428"/>
      <c r="T88" s="428"/>
      <c r="U88" s="428"/>
      <c r="V88" s="428"/>
    </row>
    <row r="89" spans="1:22" s="425" customFormat="1" ht="39.75" customHeight="1">
      <c r="A89" s="800"/>
      <c r="B89" s="800"/>
      <c r="C89" s="800"/>
      <c r="D89" s="800"/>
      <c r="E89" s="800"/>
      <c r="F89" s="800"/>
      <c r="G89" s="800"/>
      <c r="H89" s="800"/>
      <c r="I89" s="800"/>
      <c r="J89" s="800"/>
      <c r="K89" s="800"/>
      <c r="L89" s="801"/>
      <c r="M89" s="800"/>
      <c r="N89" s="800"/>
      <c r="O89" s="800"/>
      <c r="P89" s="800"/>
      <c r="Q89" s="800"/>
      <c r="R89" s="800"/>
      <c r="S89" s="428"/>
      <c r="T89" s="428"/>
      <c r="U89" s="428"/>
      <c r="V89" s="428"/>
    </row>
    <row r="90" spans="1:22" s="425" customFormat="1" ht="39.75" customHeight="1">
      <c r="A90" s="800"/>
      <c r="B90" s="800"/>
      <c r="C90" s="800"/>
      <c r="D90" s="800"/>
      <c r="E90" s="800"/>
      <c r="F90" s="800"/>
      <c r="G90" s="800"/>
      <c r="H90" s="800"/>
      <c r="I90" s="800"/>
      <c r="J90" s="800"/>
      <c r="K90" s="800"/>
      <c r="L90" s="801"/>
      <c r="M90" s="800"/>
      <c r="N90" s="800"/>
      <c r="O90" s="800"/>
      <c r="P90" s="800"/>
      <c r="Q90" s="800"/>
      <c r="R90" s="800"/>
      <c r="S90" s="428"/>
      <c r="T90" s="428"/>
      <c r="U90" s="428"/>
      <c r="V90" s="428"/>
    </row>
    <row r="91" spans="1:22" s="425" customFormat="1" ht="39.75" customHeight="1">
      <c r="A91" s="800"/>
      <c r="B91" s="800"/>
      <c r="C91" s="800"/>
      <c r="D91" s="800"/>
      <c r="E91" s="800"/>
      <c r="F91" s="800"/>
      <c r="G91" s="800"/>
      <c r="H91" s="800"/>
      <c r="I91" s="800"/>
      <c r="J91" s="800"/>
      <c r="K91" s="800"/>
      <c r="L91" s="801"/>
      <c r="M91" s="800"/>
      <c r="N91" s="800"/>
      <c r="O91" s="800"/>
      <c r="P91" s="800"/>
      <c r="Q91" s="800"/>
      <c r="R91" s="800"/>
      <c r="S91" s="428"/>
      <c r="T91" s="428"/>
      <c r="U91" s="428"/>
      <c r="V91" s="428"/>
    </row>
    <row r="92" spans="1:22" s="425" customFormat="1" ht="39.75" customHeight="1">
      <c r="A92" s="800"/>
      <c r="B92" s="800"/>
      <c r="C92" s="800"/>
      <c r="D92" s="800"/>
      <c r="E92" s="800"/>
      <c r="F92" s="800"/>
      <c r="G92" s="800"/>
      <c r="H92" s="800"/>
      <c r="I92" s="800"/>
      <c r="J92" s="800"/>
      <c r="K92" s="800"/>
      <c r="L92" s="801"/>
      <c r="M92" s="800"/>
      <c r="N92" s="800"/>
      <c r="O92" s="800"/>
      <c r="P92" s="800"/>
      <c r="Q92" s="800"/>
      <c r="R92" s="800"/>
      <c r="S92" s="428"/>
      <c r="T92" s="428"/>
      <c r="U92" s="428"/>
      <c r="V92" s="428"/>
    </row>
    <row r="93" spans="1:22" s="425" customFormat="1" ht="39.75" customHeight="1">
      <c r="A93" s="800"/>
      <c r="B93" s="800"/>
      <c r="C93" s="800"/>
      <c r="D93" s="800"/>
      <c r="E93" s="800"/>
      <c r="F93" s="800"/>
      <c r="G93" s="800"/>
      <c r="H93" s="800"/>
      <c r="I93" s="800"/>
      <c r="J93" s="800"/>
      <c r="K93" s="800"/>
      <c r="L93" s="801"/>
      <c r="M93" s="800"/>
      <c r="N93" s="800"/>
      <c r="O93" s="800"/>
      <c r="P93" s="800"/>
      <c r="Q93" s="800"/>
      <c r="R93" s="800"/>
      <c r="S93" s="428"/>
      <c r="T93" s="428"/>
      <c r="U93" s="428"/>
      <c r="V93" s="428"/>
    </row>
    <row r="94" spans="1:22" s="425" customFormat="1" ht="39.75" customHeight="1">
      <c r="A94" s="800"/>
      <c r="B94" s="800"/>
      <c r="C94" s="800"/>
      <c r="D94" s="800"/>
      <c r="E94" s="800"/>
      <c r="F94" s="800"/>
      <c r="G94" s="800"/>
      <c r="H94" s="800"/>
      <c r="I94" s="800"/>
      <c r="J94" s="800"/>
      <c r="K94" s="800"/>
      <c r="L94" s="801"/>
      <c r="M94" s="800"/>
      <c r="N94" s="800"/>
      <c r="O94" s="800"/>
      <c r="P94" s="800"/>
      <c r="Q94" s="800"/>
      <c r="R94" s="800"/>
      <c r="S94" s="428"/>
      <c r="T94" s="428"/>
      <c r="U94" s="428"/>
      <c r="V94" s="428"/>
    </row>
    <row r="95" spans="1:22" s="425" customFormat="1" ht="39.75" customHeight="1">
      <c r="A95" s="800"/>
      <c r="B95" s="800"/>
      <c r="C95" s="800"/>
      <c r="D95" s="800"/>
      <c r="E95" s="800"/>
      <c r="F95" s="800"/>
      <c r="G95" s="800"/>
      <c r="H95" s="800"/>
      <c r="I95" s="800"/>
      <c r="J95" s="800"/>
      <c r="K95" s="800"/>
      <c r="L95" s="801"/>
      <c r="M95" s="800"/>
      <c r="N95" s="800"/>
      <c r="O95" s="800"/>
      <c r="P95" s="800"/>
      <c r="Q95" s="800"/>
      <c r="R95" s="800"/>
      <c r="S95" s="428"/>
      <c r="T95" s="428"/>
      <c r="U95" s="428"/>
      <c r="V95" s="428"/>
    </row>
    <row r="96" spans="1:22" s="425" customFormat="1" ht="39.75" customHeight="1">
      <c r="A96" s="800"/>
      <c r="B96" s="800"/>
      <c r="C96" s="800"/>
      <c r="D96" s="800"/>
      <c r="E96" s="800"/>
      <c r="F96" s="800"/>
      <c r="G96" s="800"/>
      <c r="H96" s="800"/>
      <c r="I96" s="800"/>
      <c r="J96" s="800"/>
      <c r="K96" s="800"/>
      <c r="L96" s="801"/>
      <c r="M96" s="800"/>
      <c r="N96" s="800"/>
      <c r="O96" s="800"/>
      <c r="P96" s="800"/>
      <c r="Q96" s="800"/>
      <c r="R96" s="800"/>
      <c r="S96" s="428"/>
      <c r="T96" s="428"/>
      <c r="U96" s="428"/>
      <c r="V96" s="428"/>
    </row>
    <row r="97" spans="1:22" s="425" customFormat="1" ht="39.75" customHeight="1">
      <c r="A97" s="800"/>
      <c r="B97" s="800"/>
      <c r="C97" s="800"/>
      <c r="D97" s="800"/>
      <c r="E97" s="800"/>
      <c r="F97" s="800"/>
      <c r="G97" s="800"/>
      <c r="H97" s="800"/>
      <c r="I97" s="800"/>
      <c r="J97" s="800"/>
      <c r="K97" s="800"/>
      <c r="L97" s="801"/>
      <c r="M97" s="800"/>
      <c r="N97" s="800"/>
      <c r="O97" s="800"/>
      <c r="P97" s="800"/>
      <c r="Q97" s="800"/>
      <c r="R97" s="800"/>
      <c r="S97" s="428"/>
      <c r="T97" s="428"/>
      <c r="U97" s="428"/>
      <c r="V97" s="428"/>
    </row>
    <row r="98" spans="1:22" s="425" customFormat="1" ht="39.75" customHeight="1">
      <c r="A98" s="800"/>
      <c r="B98" s="800"/>
      <c r="C98" s="800"/>
      <c r="D98" s="800"/>
      <c r="E98" s="800"/>
      <c r="F98" s="800"/>
      <c r="G98" s="800"/>
      <c r="H98" s="800"/>
      <c r="I98" s="800"/>
      <c r="J98" s="800"/>
      <c r="K98" s="800"/>
      <c r="L98" s="801"/>
      <c r="M98" s="800"/>
      <c r="N98" s="800"/>
      <c r="O98" s="800"/>
      <c r="P98" s="800"/>
      <c r="Q98" s="800"/>
      <c r="R98" s="800"/>
      <c r="S98" s="428"/>
      <c r="T98" s="428"/>
      <c r="U98" s="428"/>
      <c r="V98" s="428"/>
    </row>
    <row r="99" spans="1:22" s="425" customFormat="1" ht="39.75" customHeight="1">
      <c r="A99" s="800"/>
      <c r="B99" s="800"/>
      <c r="C99" s="800"/>
      <c r="D99" s="800"/>
      <c r="E99" s="800"/>
      <c r="F99" s="800"/>
      <c r="G99" s="800"/>
      <c r="H99" s="800"/>
      <c r="I99" s="800"/>
      <c r="J99" s="800"/>
      <c r="K99" s="800"/>
      <c r="L99" s="801"/>
      <c r="M99" s="800"/>
      <c r="N99" s="800"/>
      <c r="O99" s="800"/>
      <c r="P99" s="800"/>
      <c r="Q99" s="800"/>
      <c r="R99" s="800"/>
      <c r="S99" s="428"/>
      <c r="T99" s="428"/>
      <c r="U99" s="428"/>
      <c r="V99" s="428"/>
    </row>
    <row r="100" spans="1:22" s="425" customFormat="1" ht="39.75" customHeight="1">
      <c r="A100" s="800"/>
      <c r="B100" s="800"/>
      <c r="C100" s="800"/>
      <c r="D100" s="800"/>
      <c r="E100" s="800"/>
      <c r="F100" s="800"/>
      <c r="G100" s="800"/>
      <c r="H100" s="800"/>
      <c r="I100" s="800"/>
      <c r="J100" s="800"/>
      <c r="K100" s="800"/>
      <c r="L100" s="801"/>
      <c r="M100" s="800"/>
      <c r="N100" s="800"/>
      <c r="O100" s="800"/>
      <c r="P100" s="800"/>
      <c r="Q100" s="800"/>
      <c r="R100" s="800"/>
      <c r="S100" s="428"/>
      <c r="T100" s="428"/>
      <c r="U100" s="428"/>
      <c r="V100" s="428"/>
    </row>
    <row r="101" spans="1:22" s="425" customFormat="1" ht="39.75" customHeight="1">
      <c r="A101" s="800"/>
      <c r="B101" s="800"/>
      <c r="C101" s="800"/>
      <c r="D101" s="800"/>
      <c r="E101" s="800"/>
      <c r="F101" s="800"/>
      <c r="G101" s="800"/>
      <c r="H101" s="800"/>
      <c r="I101" s="800"/>
      <c r="J101" s="800"/>
      <c r="K101" s="800"/>
      <c r="L101" s="801"/>
      <c r="M101" s="800"/>
      <c r="N101" s="800"/>
      <c r="O101" s="800"/>
      <c r="P101" s="800"/>
      <c r="Q101" s="800"/>
      <c r="R101" s="800"/>
      <c r="S101" s="428"/>
      <c r="T101" s="428"/>
      <c r="U101" s="428"/>
      <c r="V101" s="428"/>
    </row>
    <row r="102" spans="1:22" s="425" customFormat="1" ht="39.75" customHeight="1">
      <c r="A102" s="800"/>
      <c r="B102" s="800"/>
      <c r="C102" s="800"/>
      <c r="D102" s="800"/>
      <c r="E102" s="800"/>
      <c r="F102" s="800"/>
      <c r="G102" s="800"/>
      <c r="H102" s="800"/>
      <c r="I102" s="800"/>
      <c r="J102" s="800"/>
      <c r="K102" s="800"/>
      <c r="L102" s="801"/>
      <c r="M102" s="800"/>
      <c r="N102" s="800"/>
      <c r="O102" s="800"/>
      <c r="P102" s="800"/>
      <c r="Q102" s="800"/>
      <c r="R102" s="800"/>
      <c r="S102" s="428"/>
      <c r="T102" s="428"/>
      <c r="U102" s="428"/>
      <c r="V102" s="428"/>
    </row>
    <row r="103" spans="1:22" s="425" customFormat="1" ht="39.75" customHeight="1">
      <c r="A103" s="800"/>
      <c r="B103" s="800"/>
      <c r="C103" s="800"/>
      <c r="D103" s="800"/>
      <c r="E103" s="800"/>
      <c r="F103" s="800"/>
      <c r="G103" s="800"/>
      <c r="H103" s="800"/>
      <c r="I103" s="800"/>
      <c r="J103" s="800"/>
      <c r="K103" s="800"/>
      <c r="L103" s="801"/>
      <c r="M103" s="800"/>
      <c r="N103" s="800"/>
      <c r="O103" s="800"/>
      <c r="P103" s="800"/>
      <c r="Q103" s="800"/>
      <c r="R103" s="800"/>
      <c r="S103" s="428"/>
      <c r="T103" s="428"/>
      <c r="U103" s="428"/>
      <c r="V103" s="428"/>
    </row>
    <row r="104" spans="1:22" s="425" customFormat="1" ht="39.75" customHeight="1">
      <c r="A104" s="800"/>
      <c r="B104" s="800"/>
      <c r="C104" s="800"/>
      <c r="D104" s="800"/>
      <c r="E104" s="800"/>
      <c r="F104" s="800"/>
      <c r="G104" s="800"/>
      <c r="H104" s="800"/>
      <c r="I104" s="800"/>
      <c r="J104" s="800"/>
      <c r="K104" s="800"/>
      <c r="L104" s="801"/>
      <c r="M104" s="800"/>
      <c r="N104" s="800"/>
      <c r="O104" s="800"/>
      <c r="P104" s="800"/>
      <c r="Q104" s="800"/>
      <c r="R104" s="800"/>
      <c r="S104" s="428"/>
      <c r="T104" s="428"/>
      <c r="U104" s="428"/>
      <c r="V104" s="428"/>
    </row>
    <row r="105" spans="1:22" s="425" customFormat="1" ht="39.75" customHeight="1">
      <c r="A105" s="800"/>
      <c r="B105" s="800"/>
      <c r="C105" s="800"/>
      <c r="D105" s="800"/>
      <c r="E105" s="800"/>
      <c r="F105" s="800"/>
      <c r="G105" s="800"/>
      <c r="H105" s="800"/>
      <c r="I105" s="800"/>
      <c r="J105" s="800"/>
      <c r="K105" s="800"/>
      <c r="L105" s="801"/>
      <c r="M105" s="800"/>
      <c r="N105" s="800"/>
      <c r="O105" s="800"/>
      <c r="P105" s="800"/>
      <c r="Q105" s="800"/>
      <c r="R105" s="800"/>
      <c r="S105" s="428"/>
      <c r="T105" s="428"/>
      <c r="U105" s="428"/>
      <c r="V105" s="428"/>
    </row>
    <row r="106" spans="1:22" s="425" customFormat="1" ht="39.75" customHeight="1">
      <c r="A106" s="800"/>
      <c r="B106" s="800"/>
      <c r="C106" s="800"/>
      <c r="D106" s="800"/>
      <c r="E106" s="800"/>
      <c r="F106" s="800"/>
      <c r="G106" s="800"/>
      <c r="H106" s="800"/>
      <c r="I106" s="800"/>
      <c r="J106" s="800"/>
      <c r="K106" s="800"/>
      <c r="L106" s="801"/>
      <c r="M106" s="800"/>
      <c r="N106" s="800"/>
      <c r="O106" s="800"/>
      <c r="P106" s="800"/>
      <c r="Q106" s="800"/>
      <c r="R106" s="800"/>
      <c r="S106" s="428"/>
      <c r="T106" s="428"/>
      <c r="U106" s="428"/>
      <c r="V106" s="428"/>
    </row>
    <row r="107" spans="1:22" s="425" customFormat="1" ht="39.75" customHeight="1">
      <c r="A107" s="800"/>
      <c r="B107" s="800"/>
      <c r="C107" s="800"/>
      <c r="D107" s="800"/>
      <c r="E107" s="800"/>
      <c r="F107" s="800"/>
      <c r="G107" s="800"/>
      <c r="H107" s="800"/>
      <c r="I107" s="800"/>
      <c r="J107" s="800"/>
      <c r="K107" s="800"/>
      <c r="L107" s="801"/>
      <c r="M107" s="800"/>
      <c r="N107" s="800"/>
      <c r="O107" s="800"/>
      <c r="P107" s="800"/>
      <c r="Q107" s="800"/>
      <c r="R107" s="800"/>
      <c r="S107" s="428"/>
      <c r="T107" s="428"/>
      <c r="U107" s="428"/>
      <c r="V107" s="428"/>
    </row>
    <row r="108" spans="1:22" s="425" customFormat="1" ht="39.75" customHeight="1">
      <c r="A108" s="800"/>
      <c r="B108" s="800"/>
      <c r="C108" s="800"/>
      <c r="D108" s="800"/>
      <c r="E108" s="800"/>
      <c r="F108" s="800"/>
      <c r="G108" s="800"/>
      <c r="H108" s="800"/>
      <c r="I108" s="800"/>
      <c r="J108" s="800"/>
      <c r="K108" s="800"/>
      <c r="L108" s="801"/>
      <c r="M108" s="800"/>
      <c r="N108" s="800"/>
      <c r="O108" s="800"/>
      <c r="P108" s="800"/>
      <c r="Q108" s="800"/>
      <c r="R108" s="800"/>
      <c r="S108" s="428"/>
      <c r="T108" s="428"/>
      <c r="U108" s="428"/>
      <c r="V108" s="428"/>
    </row>
    <row r="109" spans="1:22" s="425" customFormat="1" ht="39.75" customHeight="1">
      <c r="A109" s="800"/>
      <c r="B109" s="800"/>
      <c r="C109" s="800"/>
      <c r="D109" s="800"/>
      <c r="E109" s="800"/>
      <c r="F109" s="800"/>
      <c r="G109" s="800"/>
      <c r="H109" s="800"/>
      <c r="I109" s="800"/>
      <c r="J109" s="800"/>
      <c r="K109" s="800"/>
      <c r="L109" s="801"/>
      <c r="M109" s="800"/>
      <c r="N109" s="800"/>
      <c r="O109" s="800"/>
      <c r="P109" s="800"/>
      <c r="Q109" s="800"/>
      <c r="R109" s="800"/>
      <c r="S109" s="428"/>
      <c r="T109" s="428"/>
      <c r="U109" s="428"/>
      <c r="V109" s="428"/>
    </row>
    <row r="110" spans="1:22" s="425" customFormat="1" ht="39.75" customHeight="1">
      <c r="A110" s="800"/>
      <c r="B110" s="800"/>
      <c r="C110" s="800"/>
      <c r="D110" s="800"/>
      <c r="E110" s="800"/>
      <c r="F110" s="800"/>
      <c r="G110" s="800"/>
      <c r="H110" s="800"/>
      <c r="I110" s="800"/>
      <c r="J110" s="800"/>
      <c r="K110" s="800"/>
      <c r="L110" s="801"/>
      <c r="M110" s="800"/>
      <c r="N110" s="800"/>
      <c r="O110" s="800"/>
      <c r="P110" s="800"/>
      <c r="Q110" s="800"/>
      <c r="R110" s="800"/>
      <c r="S110" s="428"/>
      <c r="T110" s="428"/>
      <c r="U110" s="428"/>
      <c r="V110" s="428"/>
    </row>
    <row r="111" spans="1:22" s="425" customFormat="1" ht="39.75" customHeight="1">
      <c r="A111" s="800"/>
      <c r="B111" s="800"/>
      <c r="C111" s="800"/>
      <c r="D111" s="800"/>
      <c r="E111" s="800"/>
      <c r="F111" s="800"/>
      <c r="G111" s="800"/>
      <c r="H111" s="800"/>
      <c r="I111" s="800"/>
      <c r="J111" s="800"/>
      <c r="K111" s="800"/>
      <c r="L111" s="801"/>
      <c r="M111" s="800"/>
      <c r="N111" s="800"/>
      <c r="O111" s="800"/>
      <c r="P111" s="800"/>
      <c r="Q111" s="800"/>
      <c r="R111" s="800"/>
      <c r="S111" s="428"/>
      <c r="T111" s="428"/>
      <c r="U111" s="428"/>
      <c r="V111" s="428"/>
    </row>
    <row r="112" spans="1:22" s="425" customFormat="1" ht="39.75" customHeight="1">
      <c r="A112" s="800"/>
      <c r="B112" s="800"/>
      <c r="C112" s="800"/>
      <c r="D112" s="800"/>
      <c r="E112" s="800"/>
      <c r="F112" s="800"/>
      <c r="G112" s="800"/>
      <c r="H112" s="800"/>
      <c r="I112" s="800"/>
      <c r="J112" s="800"/>
      <c r="K112" s="800"/>
      <c r="L112" s="801"/>
      <c r="M112" s="800"/>
      <c r="N112" s="800"/>
      <c r="O112" s="800"/>
      <c r="P112" s="800"/>
      <c r="Q112" s="800"/>
      <c r="R112" s="800"/>
      <c r="S112" s="428"/>
      <c r="T112" s="428"/>
      <c r="U112" s="428"/>
      <c r="V112" s="428"/>
    </row>
    <row r="113" spans="1:22" s="425" customFormat="1" ht="39.75" customHeight="1">
      <c r="A113" s="800"/>
      <c r="B113" s="800"/>
      <c r="C113" s="800"/>
      <c r="D113" s="800"/>
      <c r="E113" s="800"/>
      <c r="F113" s="800"/>
      <c r="G113" s="800"/>
      <c r="H113" s="800"/>
      <c r="I113" s="800"/>
      <c r="J113" s="800"/>
      <c r="K113" s="800"/>
      <c r="L113" s="801"/>
      <c r="M113" s="800"/>
      <c r="N113" s="800"/>
      <c r="O113" s="800"/>
      <c r="P113" s="800"/>
      <c r="Q113" s="800"/>
      <c r="R113" s="800"/>
      <c r="S113" s="428"/>
      <c r="T113" s="428"/>
      <c r="U113" s="428"/>
      <c r="V113" s="428"/>
    </row>
    <row r="114" spans="1:22" s="425" customFormat="1" ht="39.75" customHeight="1">
      <c r="A114" s="800"/>
      <c r="B114" s="800"/>
      <c r="C114" s="800"/>
      <c r="D114" s="800"/>
      <c r="E114" s="800"/>
      <c r="F114" s="800"/>
      <c r="G114" s="800"/>
      <c r="H114" s="800"/>
      <c r="I114" s="800"/>
      <c r="J114" s="800"/>
      <c r="K114" s="800"/>
      <c r="L114" s="801"/>
      <c r="M114" s="800"/>
      <c r="N114" s="800"/>
      <c r="O114" s="800"/>
      <c r="P114" s="800"/>
      <c r="Q114" s="800"/>
      <c r="R114" s="800"/>
      <c r="S114" s="428"/>
      <c r="T114" s="428"/>
      <c r="U114" s="428"/>
      <c r="V114" s="428"/>
    </row>
    <row r="115" spans="1:22" s="425" customFormat="1" ht="39.75" customHeight="1">
      <c r="A115" s="800"/>
      <c r="B115" s="800"/>
      <c r="C115" s="800"/>
      <c r="D115" s="800"/>
      <c r="E115" s="800"/>
      <c r="F115" s="800"/>
      <c r="G115" s="800"/>
      <c r="H115" s="800"/>
      <c r="I115" s="800"/>
      <c r="J115" s="800"/>
      <c r="K115" s="800"/>
      <c r="L115" s="801"/>
      <c r="M115" s="800"/>
      <c r="N115" s="800"/>
      <c r="O115" s="800"/>
      <c r="P115" s="800"/>
      <c r="Q115" s="800"/>
      <c r="R115" s="800"/>
      <c r="S115" s="428"/>
      <c r="T115" s="428"/>
      <c r="U115" s="428"/>
      <c r="V115" s="428"/>
    </row>
    <row r="116" spans="1:22" s="425" customFormat="1" ht="39.75" customHeight="1">
      <c r="A116" s="800"/>
      <c r="B116" s="800"/>
      <c r="C116" s="800"/>
      <c r="D116" s="800"/>
      <c r="E116" s="800"/>
      <c r="F116" s="800"/>
      <c r="G116" s="800"/>
      <c r="H116" s="800"/>
      <c r="I116" s="800"/>
      <c r="J116" s="800"/>
      <c r="K116" s="800"/>
      <c r="L116" s="801"/>
      <c r="M116" s="800"/>
      <c r="N116" s="800"/>
      <c r="O116" s="800"/>
      <c r="P116" s="800"/>
      <c r="Q116" s="800"/>
      <c r="R116" s="800"/>
      <c r="S116" s="428"/>
      <c r="T116" s="428"/>
      <c r="U116" s="428"/>
      <c r="V116" s="428"/>
    </row>
    <row r="117" spans="1:22" ht="39.75" customHeight="1">
      <c r="A117" s="800"/>
      <c r="B117" s="800"/>
      <c r="C117" s="800"/>
      <c r="D117" s="800"/>
      <c r="E117" s="800"/>
      <c r="F117" s="800"/>
      <c r="G117" s="800"/>
      <c r="H117" s="800"/>
      <c r="I117" s="800"/>
      <c r="J117" s="800"/>
      <c r="K117" s="800"/>
      <c r="L117" s="801"/>
      <c r="M117" s="800"/>
      <c r="N117" s="800"/>
      <c r="O117" s="800"/>
      <c r="P117" s="800"/>
      <c r="Q117" s="800"/>
      <c r="R117" s="800"/>
      <c r="S117" s="429"/>
      <c r="T117" s="429"/>
      <c r="U117" s="429"/>
      <c r="V117" s="429"/>
    </row>
    <row r="118" spans="1:22" ht="39.75" customHeight="1">
      <c r="A118" s="800"/>
      <c r="B118" s="800"/>
      <c r="C118" s="800"/>
      <c r="D118" s="800"/>
      <c r="E118" s="800"/>
      <c r="F118" s="800"/>
      <c r="G118" s="800"/>
      <c r="H118" s="800"/>
      <c r="I118" s="800"/>
      <c r="J118" s="800"/>
      <c r="K118" s="800"/>
      <c r="L118" s="801"/>
      <c r="M118" s="800"/>
      <c r="N118" s="800"/>
      <c r="O118" s="800"/>
      <c r="P118" s="800"/>
      <c r="Q118" s="800"/>
      <c r="R118" s="800"/>
      <c r="S118" s="429"/>
      <c r="T118" s="429"/>
      <c r="U118" s="429"/>
      <c r="V118" s="429"/>
    </row>
    <row r="119" spans="1:22" ht="39.75" customHeight="1">
      <c r="A119" s="800"/>
      <c r="B119" s="800"/>
      <c r="C119" s="800"/>
      <c r="D119" s="800"/>
      <c r="E119" s="800"/>
      <c r="F119" s="800"/>
      <c r="G119" s="800"/>
      <c r="H119" s="800"/>
      <c r="I119" s="800"/>
      <c r="J119" s="800"/>
      <c r="K119" s="800"/>
      <c r="L119" s="801"/>
      <c r="M119" s="800"/>
      <c r="N119" s="800"/>
      <c r="O119" s="800"/>
      <c r="P119" s="800"/>
      <c r="Q119" s="800"/>
      <c r="R119" s="800"/>
      <c r="S119" s="429"/>
      <c r="T119" s="429"/>
      <c r="U119" s="429"/>
      <c r="V119" s="429"/>
    </row>
    <row r="120" spans="1:22" ht="39.75" customHeight="1">
      <c r="A120" s="800"/>
      <c r="B120" s="800"/>
      <c r="C120" s="800"/>
      <c r="D120" s="800"/>
      <c r="E120" s="800"/>
      <c r="F120" s="800"/>
      <c r="G120" s="800"/>
      <c r="H120" s="800"/>
      <c r="I120" s="800"/>
      <c r="J120" s="800"/>
      <c r="K120" s="800"/>
      <c r="L120" s="801"/>
      <c r="M120" s="800"/>
      <c r="N120" s="800"/>
      <c r="O120" s="800"/>
      <c r="P120" s="800"/>
      <c r="Q120" s="800"/>
      <c r="R120" s="800"/>
      <c r="S120" s="429"/>
      <c r="T120" s="429"/>
      <c r="U120" s="429"/>
      <c r="V120" s="429"/>
    </row>
    <row r="121" spans="1:22" ht="39.75" customHeight="1">
      <c r="A121" s="800"/>
      <c r="B121" s="800"/>
      <c r="C121" s="800"/>
      <c r="D121" s="800"/>
      <c r="E121" s="800"/>
      <c r="F121" s="800"/>
      <c r="G121" s="800"/>
      <c r="H121" s="800"/>
      <c r="I121" s="800"/>
      <c r="J121" s="800"/>
      <c r="K121" s="800"/>
      <c r="L121" s="801"/>
      <c r="M121" s="800"/>
      <c r="N121" s="800"/>
      <c r="O121" s="800"/>
      <c r="P121" s="800"/>
      <c r="Q121" s="800"/>
      <c r="R121" s="800"/>
      <c r="S121" s="429"/>
      <c r="T121" s="429"/>
      <c r="U121" s="429"/>
      <c r="V121" s="429"/>
    </row>
    <row r="122" spans="1:22" ht="39.75" customHeight="1">
      <c r="A122" s="800"/>
      <c r="B122" s="800"/>
      <c r="C122" s="800"/>
      <c r="D122" s="800"/>
      <c r="E122" s="800"/>
      <c r="F122" s="800"/>
      <c r="G122" s="800"/>
      <c r="H122" s="800"/>
      <c r="I122" s="800"/>
      <c r="J122" s="800"/>
      <c r="K122" s="800"/>
      <c r="L122" s="801"/>
      <c r="M122" s="800"/>
      <c r="N122" s="800"/>
      <c r="O122" s="800"/>
      <c r="P122" s="800"/>
      <c r="Q122" s="800"/>
      <c r="R122" s="800"/>
      <c r="S122" s="429"/>
      <c r="T122" s="429"/>
      <c r="U122" s="429"/>
      <c r="V122" s="429"/>
    </row>
    <row r="123" spans="1:22" ht="39.75" customHeight="1">
      <c r="A123" s="800"/>
      <c r="B123" s="800"/>
      <c r="C123" s="800"/>
      <c r="D123" s="800"/>
      <c r="E123" s="800"/>
      <c r="F123" s="800"/>
      <c r="G123" s="800"/>
      <c r="H123" s="800"/>
      <c r="I123" s="800"/>
      <c r="J123" s="800"/>
      <c r="K123" s="800"/>
      <c r="L123" s="801"/>
      <c r="M123" s="800"/>
      <c r="N123" s="800"/>
      <c r="O123" s="800"/>
      <c r="P123" s="800"/>
      <c r="Q123" s="800"/>
      <c r="R123" s="800"/>
      <c r="S123" s="429"/>
      <c r="T123" s="429"/>
      <c r="U123" s="429"/>
      <c r="V123" s="429"/>
    </row>
    <row r="124" spans="1:22" ht="39.75" customHeight="1">
      <c r="A124" s="800"/>
      <c r="B124" s="800"/>
      <c r="C124" s="800"/>
      <c r="D124" s="800"/>
      <c r="E124" s="800"/>
      <c r="F124" s="800"/>
      <c r="G124" s="800"/>
      <c r="H124" s="800"/>
      <c r="I124" s="800"/>
      <c r="J124" s="800"/>
      <c r="K124" s="800"/>
      <c r="L124" s="801"/>
      <c r="M124" s="800"/>
      <c r="N124" s="800"/>
      <c r="O124" s="800"/>
      <c r="P124" s="800"/>
      <c r="Q124" s="800"/>
      <c r="R124" s="800"/>
      <c r="S124" s="429"/>
      <c r="T124" s="429"/>
      <c r="U124" s="429"/>
      <c r="V124" s="429"/>
    </row>
    <row r="125" spans="1:22" ht="39.75" customHeight="1">
      <c r="A125" s="800"/>
      <c r="B125" s="800"/>
      <c r="C125" s="800"/>
      <c r="D125" s="800"/>
      <c r="E125" s="800"/>
      <c r="F125" s="800"/>
      <c r="G125" s="800"/>
      <c r="H125" s="800"/>
      <c r="I125" s="800"/>
      <c r="J125" s="800"/>
      <c r="K125" s="800"/>
      <c r="L125" s="801"/>
      <c r="M125" s="800"/>
      <c r="N125" s="800"/>
      <c r="O125" s="800"/>
      <c r="P125" s="800"/>
      <c r="Q125" s="800"/>
      <c r="R125" s="800"/>
      <c r="S125" s="429"/>
      <c r="T125" s="429"/>
      <c r="U125" s="429"/>
      <c r="V125" s="429"/>
    </row>
    <row r="126" spans="1:22" ht="39.75" customHeight="1">
      <c r="A126" s="800"/>
      <c r="B126" s="800"/>
      <c r="C126" s="800"/>
      <c r="D126" s="800"/>
      <c r="E126" s="800"/>
      <c r="F126" s="800"/>
      <c r="G126" s="800"/>
      <c r="H126" s="800"/>
      <c r="I126" s="800"/>
      <c r="J126" s="800"/>
      <c r="K126" s="800"/>
      <c r="L126" s="801"/>
      <c r="M126" s="800"/>
      <c r="N126" s="800"/>
      <c r="O126" s="800"/>
      <c r="P126" s="800"/>
      <c r="Q126" s="800"/>
      <c r="R126" s="800"/>
      <c r="S126" s="429"/>
      <c r="T126" s="429"/>
      <c r="U126" s="429"/>
      <c r="V126" s="429"/>
    </row>
    <row r="127" spans="1:22" ht="39.75" customHeight="1">
      <c r="A127" s="800"/>
      <c r="B127" s="800"/>
      <c r="C127" s="800"/>
      <c r="D127" s="800"/>
      <c r="E127" s="800"/>
      <c r="F127" s="800"/>
      <c r="G127" s="800"/>
      <c r="H127" s="800"/>
      <c r="I127" s="800"/>
      <c r="J127" s="800"/>
      <c r="K127" s="800"/>
      <c r="L127" s="801"/>
      <c r="M127" s="800"/>
      <c r="N127" s="800"/>
      <c r="O127" s="800"/>
      <c r="P127" s="800"/>
      <c r="Q127" s="800"/>
      <c r="R127" s="800"/>
      <c r="S127" s="429"/>
      <c r="T127" s="429"/>
      <c r="U127" s="429"/>
      <c r="V127" s="429"/>
    </row>
    <row r="128" spans="1:22" ht="39.75" customHeight="1">
      <c r="A128" s="800"/>
      <c r="B128" s="800"/>
      <c r="C128" s="800"/>
      <c r="D128" s="800"/>
      <c r="E128" s="800"/>
      <c r="F128" s="800"/>
      <c r="G128" s="800"/>
      <c r="H128" s="800"/>
      <c r="I128" s="800"/>
      <c r="J128" s="800"/>
      <c r="K128" s="800"/>
      <c r="L128" s="801"/>
      <c r="M128" s="800"/>
      <c r="N128" s="800"/>
      <c r="O128" s="800"/>
      <c r="P128" s="800"/>
      <c r="Q128" s="800"/>
      <c r="R128" s="800"/>
      <c r="S128" s="429"/>
      <c r="T128" s="429"/>
      <c r="U128" s="429"/>
      <c r="V128" s="429"/>
    </row>
    <row r="129" spans="1:22" ht="39.75" customHeight="1">
      <c r="A129" s="800"/>
      <c r="B129" s="800"/>
      <c r="C129" s="800"/>
      <c r="D129" s="800"/>
      <c r="E129" s="800"/>
      <c r="F129" s="800"/>
      <c r="G129" s="800"/>
      <c r="H129" s="800"/>
      <c r="I129" s="800"/>
      <c r="J129" s="800"/>
      <c r="K129" s="800"/>
      <c r="L129" s="801"/>
      <c r="M129" s="800"/>
      <c r="N129" s="800"/>
      <c r="O129" s="800"/>
      <c r="P129" s="800"/>
      <c r="Q129" s="800"/>
      <c r="R129" s="800"/>
      <c r="S129" s="429"/>
      <c r="T129" s="429"/>
      <c r="U129" s="429"/>
      <c r="V129" s="429"/>
    </row>
    <row r="130" spans="1:22" ht="39.75" customHeight="1">
      <c r="A130" s="800"/>
      <c r="B130" s="800"/>
      <c r="C130" s="800"/>
      <c r="D130" s="800"/>
      <c r="E130" s="800"/>
      <c r="F130" s="800"/>
      <c r="G130" s="800"/>
      <c r="H130" s="800"/>
      <c r="I130" s="800"/>
      <c r="J130" s="800"/>
      <c r="K130" s="800"/>
      <c r="L130" s="801"/>
      <c r="M130" s="800"/>
      <c r="N130" s="800"/>
      <c r="O130" s="800"/>
      <c r="P130" s="800"/>
      <c r="Q130" s="800"/>
      <c r="R130" s="800"/>
      <c r="S130" s="429"/>
      <c r="T130" s="429"/>
      <c r="U130" s="429"/>
      <c r="V130" s="429"/>
    </row>
    <row r="131" spans="1:22" ht="39.75" customHeight="1">
      <c r="A131" s="800"/>
      <c r="B131" s="800"/>
      <c r="C131" s="800"/>
      <c r="D131" s="800"/>
      <c r="E131" s="800"/>
      <c r="F131" s="800"/>
      <c r="G131" s="800"/>
      <c r="H131" s="800"/>
      <c r="I131" s="800"/>
      <c r="J131" s="800"/>
      <c r="K131" s="800"/>
      <c r="L131" s="801"/>
      <c r="M131" s="800"/>
      <c r="N131" s="800"/>
      <c r="O131" s="800"/>
      <c r="P131" s="800"/>
      <c r="Q131" s="800"/>
      <c r="R131" s="800"/>
      <c r="S131" s="429"/>
      <c r="T131" s="429"/>
      <c r="U131" s="429"/>
      <c r="V131" s="429"/>
    </row>
    <row r="132" spans="1:22" ht="39.75" customHeight="1">
      <c r="A132" s="800"/>
      <c r="B132" s="800"/>
      <c r="C132" s="800"/>
      <c r="D132" s="800"/>
      <c r="E132" s="800"/>
      <c r="F132" s="800"/>
      <c r="G132" s="800"/>
      <c r="H132" s="800"/>
      <c r="I132" s="800"/>
      <c r="J132" s="800"/>
      <c r="K132" s="800"/>
      <c r="L132" s="801"/>
      <c r="M132" s="800"/>
      <c r="N132" s="800"/>
      <c r="O132" s="800"/>
      <c r="P132" s="800"/>
      <c r="Q132" s="800"/>
      <c r="R132" s="800"/>
      <c r="S132" s="429"/>
      <c r="T132" s="429"/>
      <c r="U132" s="429"/>
      <c r="V132" s="429"/>
    </row>
    <row r="133" spans="1:22" ht="39.75" customHeight="1">
      <c r="A133" s="800"/>
      <c r="B133" s="800"/>
      <c r="C133" s="800"/>
      <c r="D133" s="800"/>
      <c r="E133" s="800"/>
      <c r="F133" s="800"/>
      <c r="G133" s="800"/>
      <c r="H133" s="800"/>
      <c r="I133" s="800"/>
      <c r="J133" s="800"/>
      <c r="K133" s="800"/>
      <c r="L133" s="801"/>
      <c r="M133" s="800"/>
      <c r="N133" s="800"/>
      <c r="O133" s="800"/>
      <c r="P133" s="800"/>
      <c r="Q133" s="800"/>
      <c r="R133" s="800"/>
      <c r="S133" s="429"/>
      <c r="T133" s="429"/>
      <c r="U133" s="429"/>
      <c r="V133" s="429"/>
    </row>
    <row r="134" spans="1:22" ht="39.75" customHeight="1">
      <c r="A134" s="800"/>
      <c r="B134" s="800"/>
      <c r="C134" s="800"/>
      <c r="D134" s="800"/>
      <c r="E134" s="800"/>
      <c r="F134" s="800"/>
      <c r="G134" s="800"/>
      <c r="H134" s="800"/>
      <c r="I134" s="800"/>
      <c r="J134" s="800"/>
      <c r="K134" s="800"/>
      <c r="L134" s="801"/>
      <c r="M134" s="800"/>
      <c r="N134" s="800"/>
      <c r="O134" s="800"/>
      <c r="P134" s="800"/>
      <c r="Q134" s="800"/>
      <c r="R134" s="800"/>
      <c r="S134" s="429"/>
      <c r="T134" s="429"/>
      <c r="U134" s="429"/>
      <c r="V134" s="429"/>
    </row>
    <row r="135" spans="1:22" ht="39.75" customHeight="1">
      <c r="A135" s="800"/>
      <c r="B135" s="800"/>
      <c r="C135" s="800"/>
      <c r="D135" s="800"/>
      <c r="E135" s="800"/>
      <c r="F135" s="800"/>
      <c r="G135" s="800"/>
      <c r="H135" s="800"/>
      <c r="I135" s="800"/>
      <c r="J135" s="800"/>
      <c r="K135" s="800"/>
      <c r="L135" s="801"/>
      <c r="M135" s="800"/>
      <c r="N135" s="800"/>
      <c r="O135" s="800"/>
      <c r="P135" s="800"/>
      <c r="Q135" s="800"/>
      <c r="R135" s="800"/>
      <c r="S135" s="429"/>
      <c r="T135" s="429"/>
      <c r="U135" s="429"/>
      <c r="V135" s="429"/>
    </row>
    <row r="136" spans="1:22" ht="39.75" customHeight="1">
      <c r="A136" s="800"/>
      <c r="B136" s="800"/>
      <c r="C136" s="800"/>
      <c r="D136" s="800"/>
      <c r="E136" s="800"/>
      <c r="F136" s="800"/>
      <c r="G136" s="800"/>
      <c r="H136" s="800"/>
      <c r="I136" s="800"/>
      <c r="J136" s="800"/>
      <c r="K136" s="800"/>
      <c r="L136" s="801"/>
      <c r="M136" s="800"/>
      <c r="N136" s="800"/>
      <c r="O136" s="800"/>
      <c r="P136" s="800"/>
      <c r="Q136" s="800"/>
      <c r="R136" s="800"/>
      <c r="S136" s="429"/>
      <c r="T136" s="429"/>
      <c r="U136" s="429"/>
      <c r="V136" s="429"/>
    </row>
    <row r="137" spans="1:22" ht="39.75" customHeight="1">
      <c r="A137" s="800"/>
      <c r="B137" s="800"/>
      <c r="C137" s="800"/>
      <c r="D137" s="800"/>
      <c r="E137" s="800"/>
      <c r="F137" s="800"/>
      <c r="G137" s="800"/>
      <c r="H137" s="800"/>
      <c r="I137" s="800"/>
      <c r="J137" s="800"/>
      <c r="K137" s="800"/>
      <c r="L137" s="801"/>
      <c r="M137" s="800"/>
      <c r="N137" s="800"/>
      <c r="O137" s="800"/>
      <c r="P137" s="800"/>
      <c r="Q137" s="800"/>
      <c r="R137" s="800"/>
      <c r="S137" s="429"/>
      <c r="T137" s="429"/>
      <c r="U137" s="429"/>
      <c r="V137" s="429"/>
    </row>
    <row r="138" spans="1:22" ht="39.75" customHeight="1">
      <c r="A138" s="800"/>
      <c r="B138" s="800"/>
      <c r="C138" s="800"/>
      <c r="D138" s="800"/>
      <c r="E138" s="800"/>
      <c r="F138" s="800"/>
      <c r="G138" s="800"/>
      <c r="H138" s="800"/>
      <c r="I138" s="800"/>
      <c r="J138" s="800"/>
      <c r="K138" s="800"/>
      <c r="L138" s="801"/>
      <c r="M138" s="800"/>
      <c r="N138" s="800"/>
      <c r="O138" s="800"/>
      <c r="P138" s="800"/>
      <c r="Q138" s="800"/>
      <c r="R138" s="800"/>
      <c r="S138" s="429"/>
      <c r="T138" s="429"/>
      <c r="U138" s="429"/>
      <c r="V138" s="429"/>
    </row>
    <row r="139" spans="1:22" ht="39.75" customHeight="1">
      <c r="A139" s="800"/>
      <c r="B139" s="800"/>
      <c r="C139" s="800"/>
      <c r="D139" s="800"/>
      <c r="E139" s="800"/>
      <c r="F139" s="800"/>
      <c r="G139" s="800"/>
      <c r="H139" s="800"/>
      <c r="I139" s="800"/>
      <c r="J139" s="800"/>
      <c r="K139" s="800"/>
      <c r="L139" s="801"/>
      <c r="M139" s="800"/>
      <c r="N139" s="800"/>
      <c r="O139" s="800"/>
      <c r="P139" s="800"/>
      <c r="Q139" s="800"/>
      <c r="R139" s="800"/>
      <c r="S139" s="429"/>
      <c r="T139" s="429"/>
      <c r="U139" s="429"/>
      <c r="V139" s="429"/>
    </row>
    <row r="140" spans="1:22" ht="39.75" customHeight="1">
      <c r="A140" s="800"/>
      <c r="B140" s="800"/>
      <c r="C140" s="800"/>
      <c r="D140" s="800"/>
      <c r="E140" s="800"/>
      <c r="F140" s="800"/>
      <c r="G140" s="800"/>
      <c r="H140" s="800"/>
      <c r="I140" s="800"/>
      <c r="J140" s="800"/>
      <c r="K140" s="800"/>
      <c r="L140" s="801"/>
      <c r="M140" s="800"/>
      <c r="N140" s="800"/>
      <c r="O140" s="800"/>
      <c r="P140" s="800"/>
      <c r="Q140" s="800"/>
      <c r="R140" s="800"/>
      <c r="S140" s="429"/>
      <c r="T140" s="429"/>
      <c r="U140" s="429"/>
      <c r="V140" s="429"/>
    </row>
    <row r="141" spans="1:22" ht="39.75" customHeight="1">
      <c r="A141" s="800"/>
      <c r="B141" s="800"/>
      <c r="C141" s="800"/>
      <c r="D141" s="800"/>
      <c r="E141" s="800"/>
      <c r="F141" s="800"/>
      <c r="G141" s="800"/>
      <c r="H141" s="800"/>
      <c r="I141" s="800"/>
      <c r="J141" s="800"/>
      <c r="K141" s="800"/>
      <c r="L141" s="801"/>
      <c r="M141" s="800"/>
      <c r="N141" s="800"/>
      <c r="O141" s="800"/>
      <c r="P141" s="800"/>
      <c r="Q141" s="800"/>
      <c r="R141" s="800"/>
      <c r="S141" s="429"/>
      <c r="T141" s="429"/>
      <c r="U141" s="429"/>
      <c r="V141" s="429"/>
    </row>
    <row r="142" spans="1:22" ht="39.75" customHeight="1">
      <c r="A142" s="800"/>
      <c r="B142" s="800"/>
      <c r="C142" s="800"/>
      <c r="D142" s="800"/>
      <c r="E142" s="800"/>
      <c r="F142" s="800"/>
      <c r="G142" s="800"/>
      <c r="H142" s="800"/>
      <c r="I142" s="800"/>
      <c r="J142" s="800"/>
      <c r="K142" s="800"/>
      <c r="L142" s="801"/>
      <c r="M142" s="800"/>
      <c r="N142" s="800"/>
      <c r="O142" s="800"/>
      <c r="P142" s="800"/>
      <c r="Q142" s="800"/>
      <c r="R142" s="800"/>
      <c r="S142" s="429"/>
      <c r="T142" s="429"/>
      <c r="U142" s="429"/>
      <c r="V142" s="429"/>
    </row>
    <row r="143" spans="1:22" ht="39.75" customHeight="1">
      <c r="A143" s="800"/>
      <c r="B143" s="800"/>
      <c r="C143" s="800"/>
      <c r="D143" s="800"/>
      <c r="E143" s="800"/>
      <c r="F143" s="800"/>
      <c r="G143" s="800"/>
      <c r="H143" s="800"/>
      <c r="I143" s="800"/>
      <c r="J143" s="800"/>
      <c r="K143" s="800"/>
      <c r="L143" s="801"/>
      <c r="M143" s="800"/>
      <c r="N143" s="800"/>
      <c r="O143" s="800"/>
      <c r="P143" s="800"/>
      <c r="Q143" s="800"/>
      <c r="R143" s="800"/>
      <c r="S143" s="429"/>
      <c r="T143" s="429"/>
      <c r="U143" s="429"/>
      <c r="V143" s="429"/>
    </row>
    <row r="144" spans="1:22" ht="39.75" customHeight="1">
      <c r="A144" s="800"/>
      <c r="B144" s="800"/>
      <c r="C144" s="800"/>
      <c r="D144" s="800"/>
      <c r="E144" s="800"/>
      <c r="F144" s="800"/>
      <c r="G144" s="800"/>
      <c r="H144" s="800"/>
      <c r="I144" s="800"/>
      <c r="J144" s="800"/>
      <c r="K144" s="800"/>
      <c r="L144" s="801"/>
      <c r="M144" s="800"/>
      <c r="N144" s="800"/>
      <c r="O144" s="800"/>
      <c r="P144" s="800"/>
      <c r="Q144" s="800"/>
      <c r="R144" s="800"/>
      <c r="S144" s="429"/>
      <c r="T144" s="429"/>
      <c r="U144" s="429"/>
      <c r="V144" s="429"/>
    </row>
    <row r="145" spans="1:22" ht="39.75" customHeight="1">
      <c r="A145" s="800"/>
      <c r="B145" s="800"/>
      <c r="C145" s="800"/>
      <c r="D145" s="800"/>
      <c r="E145" s="800"/>
      <c r="F145" s="800"/>
      <c r="G145" s="800"/>
      <c r="H145" s="800"/>
      <c r="I145" s="800"/>
      <c r="J145" s="800"/>
      <c r="K145" s="800"/>
      <c r="L145" s="801"/>
      <c r="M145" s="800"/>
      <c r="N145" s="800"/>
      <c r="O145" s="800"/>
      <c r="P145" s="800"/>
      <c r="Q145" s="800"/>
      <c r="R145" s="800"/>
      <c r="S145" s="429"/>
      <c r="T145" s="429"/>
      <c r="U145" s="429"/>
      <c r="V145" s="429"/>
    </row>
    <row r="146" spans="1:22" ht="39.75" customHeight="1">
      <c r="A146" s="800"/>
      <c r="B146" s="800"/>
      <c r="C146" s="800"/>
      <c r="D146" s="800"/>
      <c r="E146" s="800"/>
      <c r="F146" s="800"/>
      <c r="G146" s="800"/>
      <c r="H146" s="800"/>
      <c r="I146" s="800"/>
      <c r="J146" s="800"/>
      <c r="K146" s="800"/>
      <c r="L146" s="801"/>
      <c r="M146" s="800"/>
      <c r="N146" s="800"/>
      <c r="O146" s="800"/>
      <c r="P146" s="800"/>
      <c r="Q146" s="800"/>
      <c r="R146" s="800"/>
      <c r="S146" s="429"/>
      <c r="T146" s="429"/>
      <c r="U146" s="429"/>
      <c r="V146" s="429"/>
    </row>
    <row r="147" spans="1:22" ht="39.75" customHeight="1">
      <c r="A147" s="800"/>
      <c r="B147" s="800"/>
      <c r="C147" s="800"/>
      <c r="D147" s="800"/>
      <c r="E147" s="800"/>
      <c r="F147" s="800"/>
      <c r="G147" s="800"/>
      <c r="H147" s="800"/>
      <c r="I147" s="800"/>
      <c r="J147" s="800"/>
      <c r="K147" s="800"/>
      <c r="L147" s="801"/>
      <c r="M147" s="800"/>
      <c r="N147" s="800"/>
      <c r="O147" s="800"/>
      <c r="P147" s="800"/>
      <c r="Q147" s="800"/>
      <c r="R147" s="800"/>
      <c r="S147" s="429"/>
      <c r="T147" s="429"/>
      <c r="U147" s="429"/>
      <c r="V147" s="429"/>
    </row>
    <row r="148" spans="1:22" ht="39.75" customHeight="1">
      <c r="A148" s="800"/>
      <c r="B148" s="800"/>
      <c r="C148" s="800"/>
      <c r="D148" s="800"/>
      <c r="E148" s="800"/>
      <c r="F148" s="800"/>
      <c r="G148" s="800"/>
      <c r="H148" s="800"/>
      <c r="I148" s="800"/>
      <c r="J148" s="800"/>
      <c r="K148" s="800"/>
      <c r="L148" s="801"/>
      <c r="M148" s="800"/>
      <c r="N148" s="800"/>
      <c r="O148" s="800"/>
      <c r="P148" s="800"/>
      <c r="Q148" s="800"/>
      <c r="R148" s="800"/>
      <c r="S148" s="429"/>
      <c r="T148" s="429"/>
      <c r="U148" s="429"/>
      <c r="V148" s="429"/>
    </row>
    <row r="149" spans="1:22" ht="21" customHeight="1">
      <c r="A149" s="800"/>
      <c r="B149" s="800"/>
      <c r="C149" s="800"/>
      <c r="D149" s="800"/>
      <c r="E149" s="800"/>
      <c r="F149" s="800"/>
      <c r="G149" s="800"/>
      <c r="H149" s="800"/>
      <c r="I149" s="800"/>
      <c r="J149" s="800"/>
      <c r="K149" s="800"/>
      <c r="L149" s="801"/>
      <c r="M149" s="800"/>
      <c r="N149" s="800"/>
      <c r="O149" s="800"/>
      <c r="P149" s="800"/>
      <c r="Q149" s="800"/>
      <c r="R149" s="800"/>
      <c r="S149" s="429"/>
      <c r="T149" s="429"/>
      <c r="U149" s="429"/>
      <c r="V149" s="429"/>
    </row>
    <row r="150" spans="1:22" ht="21" customHeight="1">
      <c r="A150" s="800"/>
      <c r="B150" s="800"/>
      <c r="C150" s="800"/>
      <c r="D150" s="800"/>
      <c r="E150" s="800"/>
      <c r="F150" s="800"/>
      <c r="G150" s="800"/>
      <c r="H150" s="800"/>
      <c r="I150" s="800"/>
      <c r="J150" s="800"/>
      <c r="K150" s="800"/>
      <c r="L150" s="801"/>
      <c r="M150" s="800"/>
      <c r="N150" s="800"/>
      <c r="O150" s="800"/>
      <c r="P150" s="800"/>
      <c r="Q150" s="800"/>
      <c r="R150" s="800"/>
      <c r="S150" s="429"/>
      <c r="T150" s="429"/>
      <c r="U150" s="429"/>
      <c r="V150" s="429"/>
    </row>
    <row r="151" spans="1:22" ht="21" customHeight="1">
      <c r="A151" s="800"/>
      <c r="B151" s="800"/>
      <c r="C151" s="800"/>
      <c r="D151" s="800"/>
      <c r="E151" s="800"/>
      <c r="F151" s="800"/>
      <c r="G151" s="800"/>
      <c r="H151" s="800"/>
      <c r="I151" s="800"/>
      <c r="J151" s="800"/>
      <c r="K151" s="800"/>
      <c r="L151" s="801"/>
      <c r="M151" s="800"/>
      <c r="N151" s="800"/>
      <c r="O151" s="800"/>
      <c r="P151" s="800"/>
      <c r="Q151" s="800"/>
      <c r="R151" s="800"/>
      <c r="S151" s="429"/>
      <c r="T151" s="429"/>
      <c r="U151" s="429"/>
      <c r="V151" s="429"/>
    </row>
    <row r="152" spans="1:22" ht="21" customHeight="1">
      <c r="A152" s="800"/>
      <c r="B152" s="800"/>
      <c r="C152" s="800"/>
      <c r="D152" s="800"/>
      <c r="E152" s="800"/>
      <c r="F152" s="800"/>
      <c r="G152" s="800"/>
      <c r="H152" s="800"/>
      <c r="I152" s="800"/>
      <c r="J152" s="800"/>
      <c r="K152" s="800"/>
      <c r="L152" s="801"/>
      <c r="M152" s="800"/>
      <c r="N152" s="800"/>
      <c r="O152" s="800"/>
      <c r="P152" s="800"/>
      <c r="Q152" s="800"/>
      <c r="R152" s="800"/>
      <c r="S152" s="429"/>
      <c r="T152" s="429"/>
      <c r="U152" s="429"/>
      <c r="V152" s="429"/>
    </row>
    <row r="153" spans="1:22" ht="21" customHeight="1">
      <c r="A153" s="800"/>
      <c r="B153" s="800"/>
      <c r="C153" s="800"/>
      <c r="D153" s="800"/>
      <c r="E153" s="800"/>
      <c r="F153" s="800"/>
      <c r="G153" s="800"/>
      <c r="H153" s="800"/>
      <c r="I153" s="800"/>
      <c r="J153" s="800"/>
      <c r="K153" s="800"/>
      <c r="L153" s="801"/>
      <c r="M153" s="800"/>
      <c r="N153" s="800"/>
      <c r="O153" s="800"/>
      <c r="P153" s="800"/>
      <c r="Q153" s="800"/>
      <c r="R153" s="800"/>
      <c r="S153" s="429"/>
      <c r="T153" s="429"/>
      <c r="U153" s="429"/>
      <c r="V153" s="429"/>
    </row>
    <row r="154" spans="1:22" ht="21" customHeight="1">
      <c r="A154" s="800"/>
      <c r="B154" s="800"/>
      <c r="C154" s="800"/>
      <c r="D154" s="800"/>
      <c r="E154" s="800"/>
      <c r="F154" s="800"/>
      <c r="G154" s="800"/>
      <c r="H154" s="800"/>
      <c r="I154" s="800"/>
      <c r="J154" s="800"/>
      <c r="K154" s="800"/>
      <c r="L154" s="801"/>
      <c r="M154" s="800"/>
      <c r="N154" s="800"/>
      <c r="O154" s="800"/>
      <c r="P154" s="800"/>
      <c r="Q154" s="800"/>
      <c r="R154" s="800"/>
      <c r="S154" s="429"/>
      <c r="T154" s="429"/>
      <c r="U154" s="429"/>
      <c r="V154" s="429"/>
    </row>
    <row r="155" spans="1:22" ht="21" customHeight="1">
      <c r="A155" s="800"/>
      <c r="B155" s="800"/>
      <c r="C155" s="800"/>
      <c r="D155" s="800"/>
      <c r="E155" s="800"/>
      <c r="F155" s="800"/>
      <c r="G155" s="800"/>
      <c r="H155" s="800"/>
      <c r="I155" s="800"/>
      <c r="J155" s="800"/>
      <c r="K155" s="800"/>
      <c r="L155" s="801"/>
      <c r="M155" s="800"/>
      <c r="N155" s="800"/>
      <c r="O155" s="800"/>
      <c r="P155" s="800"/>
      <c r="Q155" s="800"/>
      <c r="R155" s="800"/>
      <c r="S155" s="429"/>
      <c r="T155" s="429"/>
      <c r="U155" s="429"/>
      <c r="V155" s="429"/>
    </row>
    <row r="156" spans="1:22" ht="21" customHeight="1">
      <c r="A156" s="800"/>
      <c r="B156" s="800"/>
      <c r="C156" s="800"/>
      <c r="D156" s="800"/>
      <c r="E156" s="800"/>
      <c r="F156" s="800"/>
      <c r="G156" s="800"/>
      <c r="H156" s="800"/>
      <c r="I156" s="800"/>
      <c r="J156" s="800"/>
      <c r="K156" s="800"/>
      <c r="L156" s="801"/>
      <c r="M156" s="800"/>
      <c r="N156" s="800"/>
      <c r="O156" s="800"/>
      <c r="P156" s="800"/>
      <c r="Q156" s="800"/>
      <c r="R156" s="800"/>
      <c r="S156" s="429"/>
      <c r="T156" s="429"/>
      <c r="U156" s="429"/>
      <c r="V156" s="429"/>
    </row>
    <row r="157" spans="1:22" ht="21" customHeight="1">
      <c r="A157" s="800"/>
      <c r="B157" s="800"/>
      <c r="C157" s="800"/>
      <c r="D157" s="800"/>
      <c r="E157" s="800"/>
      <c r="F157" s="800"/>
      <c r="G157" s="800"/>
      <c r="H157" s="800"/>
      <c r="I157" s="800"/>
      <c r="J157" s="800"/>
      <c r="K157" s="800"/>
      <c r="L157" s="801"/>
      <c r="M157" s="800"/>
      <c r="N157" s="800"/>
      <c r="O157" s="800"/>
      <c r="P157" s="800"/>
      <c r="Q157" s="800"/>
      <c r="R157" s="800"/>
      <c r="S157" s="429"/>
      <c r="T157" s="429"/>
      <c r="U157" s="429"/>
      <c r="V157" s="429"/>
    </row>
    <row r="158" spans="1:22" ht="21" customHeight="1">
      <c r="A158" s="800"/>
      <c r="B158" s="800"/>
      <c r="C158" s="800"/>
      <c r="D158" s="800"/>
      <c r="E158" s="800"/>
      <c r="F158" s="800"/>
      <c r="G158" s="800"/>
      <c r="H158" s="800"/>
      <c r="I158" s="800"/>
      <c r="J158" s="800"/>
      <c r="K158" s="800"/>
      <c r="L158" s="801"/>
      <c r="M158" s="800"/>
      <c r="N158" s="800"/>
      <c r="O158" s="800"/>
      <c r="P158" s="800"/>
      <c r="Q158" s="800"/>
      <c r="R158" s="800"/>
      <c r="S158" s="429"/>
      <c r="T158" s="429"/>
      <c r="U158" s="429"/>
      <c r="V158" s="429"/>
    </row>
    <row r="159" spans="1:22" ht="21" customHeight="1">
      <c r="A159" s="800"/>
      <c r="B159" s="800"/>
      <c r="C159" s="800"/>
      <c r="D159" s="800"/>
      <c r="E159" s="800"/>
      <c r="F159" s="800"/>
      <c r="G159" s="800"/>
      <c r="H159" s="800"/>
      <c r="I159" s="800"/>
      <c r="J159" s="800"/>
      <c r="K159" s="800"/>
      <c r="L159" s="801"/>
      <c r="M159" s="800"/>
      <c r="N159" s="800"/>
      <c r="O159" s="800"/>
      <c r="P159" s="800"/>
      <c r="Q159" s="800"/>
      <c r="R159" s="800"/>
      <c r="S159" s="429"/>
      <c r="T159" s="429"/>
      <c r="U159" s="429"/>
      <c r="V159" s="429"/>
    </row>
    <row r="160" spans="1:22" ht="21" customHeight="1">
      <c r="A160" s="800"/>
      <c r="B160" s="800"/>
      <c r="C160" s="800"/>
      <c r="D160" s="800"/>
      <c r="E160" s="800"/>
      <c r="F160" s="800"/>
      <c r="G160" s="800"/>
      <c r="H160" s="800"/>
      <c r="I160" s="800"/>
      <c r="J160" s="800"/>
      <c r="K160" s="800"/>
      <c r="L160" s="801"/>
      <c r="M160" s="800"/>
      <c r="N160" s="800"/>
      <c r="O160" s="800"/>
      <c r="P160" s="800"/>
      <c r="Q160" s="800"/>
      <c r="R160" s="800"/>
      <c r="S160" s="429"/>
      <c r="T160" s="429"/>
      <c r="U160" s="429"/>
      <c r="V160" s="429"/>
    </row>
    <row r="161" spans="1:22" ht="21" customHeight="1">
      <c r="A161" s="800"/>
      <c r="B161" s="800"/>
      <c r="C161" s="800"/>
      <c r="D161" s="800"/>
      <c r="E161" s="800"/>
      <c r="F161" s="800"/>
      <c r="G161" s="800"/>
      <c r="H161" s="800"/>
      <c r="I161" s="800"/>
      <c r="J161" s="800"/>
      <c r="K161" s="800"/>
      <c r="L161" s="801"/>
      <c r="M161" s="800"/>
      <c r="N161" s="800"/>
      <c r="O161" s="800"/>
      <c r="P161" s="800"/>
      <c r="Q161" s="800"/>
      <c r="R161" s="800"/>
      <c r="S161" s="429"/>
      <c r="T161" s="429"/>
      <c r="U161" s="429"/>
      <c r="V161" s="429"/>
    </row>
    <row r="162" spans="1:22" ht="21" customHeight="1">
      <c r="A162" s="800"/>
      <c r="B162" s="800"/>
      <c r="C162" s="800"/>
      <c r="D162" s="800"/>
      <c r="E162" s="800"/>
      <c r="F162" s="800"/>
      <c r="G162" s="800"/>
      <c r="H162" s="800"/>
      <c r="I162" s="800"/>
      <c r="J162" s="800"/>
      <c r="K162" s="800"/>
      <c r="L162" s="801"/>
      <c r="M162" s="800"/>
      <c r="N162" s="800"/>
      <c r="O162" s="800"/>
      <c r="P162" s="800"/>
      <c r="Q162" s="800"/>
      <c r="R162" s="800"/>
      <c r="S162" s="429"/>
      <c r="T162" s="429"/>
      <c r="U162" s="429"/>
      <c r="V162" s="429"/>
    </row>
    <row r="163" spans="1:22" ht="21" customHeight="1">
      <c r="A163" s="800"/>
      <c r="B163" s="800"/>
      <c r="C163" s="800"/>
      <c r="D163" s="800"/>
      <c r="E163" s="800"/>
      <c r="F163" s="800"/>
      <c r="G163" s="800"/>
      <c r="H163" s="800"/>
      <c r="I163" s="800"/>
      <c r="J163" s="800"/>
      <c r="K163" s="800"/>
      <c r="L163" s="801"/>
      <c r="M163" s="800"/>
      <c r="N163" s="800"/>
      <c r="O163" s="800"/>
      <c r="P163" s="800"/>
      <c r="Q163" s="800"/>
      <c r="R163" s="800"/>
      <c r="S163" s="429"/>
      <c r="T163" s="429"/>
      <c r="U163" s="429"/>
      <c r="V163" s="429"/>
    </row>
    <row r="164" spans="1:22" ht="21" customHeight="1">
      <c r="A164" s="800"/>
      <c r="B164" s="800"/>
      <c r="C164" s="800"/>
      <c r="D164" s="800"/>
      <c r="E164" s="800"/>
      <c r="F164" s="800"/>
      <c r="G164" s="800"/>
      <c r="H164" s="800"/>
      <c r="I164" s="800"/>
      <c r="J164" s="800"/>
      <c r="K164" s="800"/>
      <c r="L164" s="801"/>
      <c r="M164" s="800"/>
      <c r="N164" s="800"/>
      <c r="O164" s="800"/>
      <c r="P164" s="800"/>
      <c r="Q164" s="800"/>
      <c r="R164" s="800"/>
      <c r="S164" s="429"/>
      <c r="T164" s="429"/>
      <c r="U164" s="429"/>
      <c r="V164" s="429"/>
    </row>
    <row r="165" spans="1:22" ht="21" customHeight="1">
      <c r="A165" s="800"/>
      <c r="B165" s="800"/>
      <c r="C165" s="800"/>
      <c r="D165" s="800"/>
      <c r="E165" s="800"/>
      <c r="F165" s="800"/>
      <c r="G165" s="800"/>
      <c r="H165" s="800"/>
      <c r="I165" s="800"/>
      <c r="J165" s="800"/>
      <c r="K165" s="800"/>
      <c r="L165" s="801"/>
      <c r="M165" s="800"/>
      <c r="N165" s="800"/>
      <c r="O165" s="800"/>
      <c r="P165" s="800"/>
      <c r="Q165" s="800"/>
      <c r="R165" s="800"/>
      <c r="S165" s="429"/>
      <c r="T165" s="429"/>
      <c r="U165" s="429"/>
      <c r="V165" s="429"/>
    </row>
    <row r="166" spans="1:22" ht="21" customHeight="1">
      <c r="A166" s="800"/>
      <c r="B166" s="800"/>
      <c r="C166" s="800"/>
      <c r="D166" s="800"/>
      <c r="E166" s="800"/>
      <c r="F166" s="800"/>
      <c r="G166" s="800"/>
      <c r="H166" s="800"/>
      <c r="I166" s="800"/>
      <c r="J166" s="800"/>
      <c r="K166" s="800"/>
      <c r="L166" s="801"/>
      <c r="M166" s="800"/>
      <c r="N166" s="800"/>
      <c r="O166" s="800"/>
      <c r="P166" s="800"/>
      <c r="Q166" s="800"/>
      <c r="R166" s="800"/>
      <c r="S166" s="429"/>
      <c r="T166" s="429"/>
      <c r="U166" s="429"/>
      <c r="V166" s="429"/>
    </row>
    <row r="167" spans="1:22" ht="21" customHeight="1">
      <c r="A167" s="800"/>
      <c r="B167" s="800"/>
      <c r="C167" s="800"/>
      <c r="D167" s="800"/>
      <c r="E167" s="800"/>
      <c r="F167" s="800"/>
      <c r="G167" s="800"/>
      <c r="H167" s="800"/>
      <c r="I167" s="800"/>
      <c r="J167" s="800"/>
      <c r="K167" s="800"/>
      <c r="L167" s="801"/>
      <c r="M167" s="800"/>
      <c r="N167" s="800"/>
      <c r="O167" s="800"/>
      <c r="P167" s="800"/>
      <c r="Q167" s="800"/>
      <c r="R167" s="800"/>
      <c r="S167" s="429"/>
      <c r="T167" s="429"/>
      <c r="U167" s="429"/>
      <c r="V167" s="429"/>
    </row>
    <row r="168" spans="1:22" ht="21" customHeight="1">
      <c r="A168" s="800"/>
      <c r="B168" s="800"/>
      <c r="C168" s="800"/>
      <c r="D168" s="800"/>
      <c r="E168" s="800"/>
      <c r="F168" s="800"/>
      <c r="G168" s="800"/>
      <c r="H168" s="800"/>
      <c r="I168" s="800"/>
      <c r="J168" s="800"/>
      <c r="K168" s="800"/>
      <c r="L168" s="801"/>
      <c r="M168" s="800"/>
      <c r="N168" s="800"/>
      <c r="O168" s="800"/>
      <c r="P168" s="800"/>
      <c r="Q168" s="800"/>
      <c r="R168" s="800"/>
      <c r="S168" s="429"/>
      <c r="T168" s="429"/>
      <c r="U168" s="429"/>
      <c r="V168" s="429"/>
    </row>
    <row r="169" spans="1:22" ht="21" customHeight="1">
      <c r="A169" s="800"/>
      <c r="B169" s="800"/>
      <c r="C169" s="800"/>
      <c r="D169" s="800"/>
      <c r="E169" s="800"/>
      <c r="F169" s="800"/>
      <c r="G169" s="800"/>
      <c r="H169" s="800"/>
      <c r="I169" s="800"/>
      <c r="J169" s="800"/>
      <c r="K169" s="800"/>
      <c r="L169" s="801"/>
      <c r="M169" s="800"/>
      <c r="N169" s="800"/>
      <c r="O169" s="800"/>
      <c r="P169" s="800"/>
      <c r="Q169" s="800"/>
      <c r="R169" s="800"/>
      <c r="S169" s="429"/>
      <c r="T169" s="429"/>
      <c r="U169" s="429"/>
      <c r="V169" s="429"/>
    </row>
    <row r="170" spans="1:22" ht="21" customHeight="1">
      <c r="A170" s="800"/>
      <c r="B170" s="800"/>
      <c r="C170" s="800"/>
      <c r="D170" s="800"/>
      <c r="E170" s="800"/>
      <c r="F170" s="800"/>
      <c r="G170" s="800"/>
      <c r="H170" s="800"/>
      <c r="I170" s="800"/>
      <c r="J170" s="800"/>
      <c r="K170" s="800"/>
      <c r="L170" s="801"/>
      <c r="M170" s="800"/>
      <c r="N170" s="800"/>
      <c r="O170" s="800"/>
      <c r="P170" s="800"/>
      <c r="Q170" s="800"/>
      <c r="R170" s="800"/>
      <c r="S170" s="429"/>
      <c r="T170" s="429"/>
      <c r="U170" s="429"/>
      <c r="V170" s="429"/>
    </row>
    <row r="171" spans="1:22" ht="21" customHeight="1">
      <c r="A171" s="800"/>
      <c r="B171" s="800"/>
      <c r="C171" s="800"/>
      <c r="D171" s="800"/>
      <c r="E171" s="800"/>
      <c r="F171" s="800"/>
      <c r="G171" s="800"/>
      <c r="H171" s="800"/>
      <c r="I171" s="800"/>
      <c r="J171" s="800"/>
      <c r="K171" s="800"/>
      <c r="L171" s="801"/>
      <c r="M171" s="800"/>
      <c r="N171" s="800"/>
      <c r="O171" s="800"/>
      <c r="P171" s="800"/>
      <c r="Q171" s="800"/>
      <c r="R171" s="800"/>
      <c r="S171" s="429"/>
      <c r="T171" s="429"/>
      <c r="U171" s="429"/>
      <c r="V171" s="429"/>
    </row>
    <row r="172" spans="1:22" ht="21" customHeight="1">
      <c r="A172" s="800"/>
      <c r="B172" s="800"/>
      <c r="C172" s="800"/>
      <c r="D172" s="800"/>
      <c r="E172" s="800"/>
      <c r="F172" s="800"/>
      <c r="G172" s="800"/>
      <c r="H172" s="800"/>
      <c r="I172" s="800"/>
      <c r="J172" s="800"/>
      <c r="K172" s="800"/>
      <c r="L172" s="801"/>
      <c r="M172" s="800"/>
      <c r="N172" s="800"/>
      <c r="O172" s="800"/>
      <c r="P172" s="800"/>
      <c r="Q172" s="800"/>
      <c r="R172" s="800"/>
      <c r="S172" s="429"/>
      <c r="T172" s="429"/>
      <c r="U172" s="429"/>
      <c r="V172" s="429"/>
    </row>
    <row r="173" spans="1:22" ht="21" customHeight="1">
      <c r="A173" s="800"/>
      <c r="B173" s="800"/>
      <c r="C173" s="800"/>
      <c r="D173" s="800"/>
      <c r="E173" s="800"/>
      <c r="F173" s="800"/>
      <c r="G173" s="800"/>
      <c r="H173" s="800"/>
      <c r="I173" s="800"/>
      <c r="J173" s="800"/>
      <c r="K173" s="800"/>
      <c r="L173" s="801"/>
      <c r="M173" s="800"/>
      <c r="N173" s="800"/>
      <c r="O173" s="800"/>
      <c r="P173" s="800"/>
      <c r="Q173" s="800"/>
      <c r="R173" s="800"/>
      <c r="S173" s="429"/>
      <c r="T173" s="429"/>
      <c r="U173" s="429"/>
      <c r="V173" s="429"/>
    </row>
    <row r="174" spans="1:22" ht="21" customHeight="1">
      <c r="A174" s="800"/>
      <c r="B174" s="800"/>
      <c r="C174" s="800"/>
      <c r="D174" s="800"/>
      <c r="E174" s="800"/>
      <c r="F174" s="800"/>
      <c r="G174" s="800"/>
      <c r="H174" s="800"/>
      <c r="I174" s="800"/>
      <c r="J174" s="800"/>
      <c r="K174" s="800"/>
      <c r="L174" s="801"/>
      <c r="M174" s="800"/>
      <c r="N174" s="800"/>
      <c r="O174" s="800"/>
      <c r="P174" s="800"/>
      <c r="Q174" s="800"/>
      <c r="R174" s="800"/>
      <c r="S174" s="429"/>
      <c r="T174" s="429"/>
      <c r="U174" s="429"/>
      <c r="V174" s="429"/>
    </row>
    <row r="175" spans="1:22" ht="21" customHeight="1">
      <c r="A175" s="800"/>
      <c r="B175" s="800"/>
      <c r="C175" s="800"/>
      <c r="D175" s="800"/>
      <c r="E175" s="800"/>
      <c r="F175" s="800"/>
      <c r="G175" s="800"/>
      <c r="H175" s="800"/>
      <c r="I175" s="800"/>
      <c r="J175" s="800"/>
      <c r="K175" s="800"/>
      <c r="L175" s="801"/>
      <c r="M175" s="800"/>
      <c r="N175" s="800"/>
      <c r="O175" s="800"/>
      <c r="P175" s="800"/>
      <c r="Q175" s="800"/>
      <c r="R175" s="800"/>
      <c r="S175" s="429"/>
      <c r="T175" s="429"/>
      <c r="U175" s="429"/>
      <c r="V175" s="429"/>
    </row>
    <row r="176" spans="1:22" ht="21" customHeight="1">
      <c r="A176" s="800"/>
      <c r="B176" s="800"/>
      <c r="C176" s="800"/>
      <c r="D176" s="800"/>
      <c r="E176" s="800"/>
      <c r="F176" s="800"/>
      <c r="G176" s="800"/>
      <c r="H176" s="800"/>
      <c r="I176" s="800"/>
      <c r="J176" s="800"/>
      <c r="K176" s="800"/>
      <c r="L176" s="801"/>
      <c r="M176" s="800"/>
      <c r="N176" s="800"/>
      <c r="O176" s="800"/>
      <c r="P176" s="800"/>
      <c r="Q176" s="800"/>
      <c r="R176" s="800"/>
      <c r="S176" s="429"/>
      <c r="T176" s="429"/>
      <c r="U176" s="429"/>
      <c r="V176" s="429"/>
    </row>
    <row r="177" spans="1:22" ht="21" customHeight="1">
      <c r="A177" s="800"/>
      <c r="B177" s="800"/>
      <c r="C177" s="800"/>
      <c r="D177" s="800"/>
      <c r="E177" s="800"/>
      <c r="F177" s="800"/>
      <c r="G177" s="800"/>
      <c r="H177" s="800"/>
      <c r="I177" s="800"/>
      <c r="J177" s="800"/>
      <c r="K177" s="800"/>
      <c r="L177" s="801"/>
      <c r="M177" s="800"/>
      <c r="N177" s="800"/>
      <c r="O177" s="800"/>
      <c r="P177" s="800"/>
      <c r="Q177" s="800"/>
      <c r="R177" s="800"/>
      <c r="S177" s="429"/>
      <c r="T177" s="429"/>
      <c r="U177" s="429"/>
      <c r="V177" s="429"/>
    </row>
    <row r="178" spans="1:22" ht="21" customHeight="1">
      <c r="A178" s="800"/>
      <c r="B178" s="800"/>
      <c r="C178" s="800"/>
      <c r="D178" s="800"/>
      <c r="E178" s="800"/>
      <c r="F178" s="800"/>
      <c r="G178" s="800"/>
      <c r="H178" s="800"/>
      <c r="I178" s="800"/>
      <c r="J178" s="800"/>
      <c r="K178" s="800"/>
      <c r="L178" s="801"/>
      <c r="M178" s="800"/>
      <c r="N178" s="800"/>
      <c r="O178" s="800"/>
      <c r="P178" s="800"/>
      <c r="Q178" s="800"/>
      <c r="R178" s="800"/>
      <c r="S178" s="429"/>
      <c r="T178" s="429"/>
      <c r="U178" s="429"/>
      <c r="V178" s="429"/>
    </row>
    <row r="179" spans="1:22" ht="21" customHeight="1">
      <c r="A179" s="800"/>
      <c r="B179" s="800"/>
      <c r="C179" s="800"/>
      <c r="D179" s="800"/>
      <c r="E179" s="800"/>
      <c r="F179" s="800"/>
      <c r="G179" s="800"/>
      <c r="H179" s="800"/>
      <c r="I179" s="800"/>
      <c r="J179" s="800"/>
      <c r="K179" s="800"/>
      <c r="L179" s="801"/>
      <c r="M179" s="800"/>
      <c r="N179" s="800"/>
      <c r="O179" s="800"/>
      <c r="P179" s="800"/>
      <c r="Q179" s="800"/>
      <c r="R179" s="800"/>
      <c r="S179" s="429"/>
      <c r="T179" s="429"/>
      <c r="U179" s="429"/>
      <c r="V179" s="429"/>
    </row>
    <row r="180" spans="1:22" ht="21" customHeight="1">
      <c r="A180" s="800"/>
      <c r="B180" s="800"/>
      <c r="C180" s="800"/>
      <c r="D180" s="800"/>
      <c r="E180" s="800"/>
      <c r="F180" s="800"/>
      <c r="G180" s="800"/>
      <c r="H180" s="800"/>
      <c r="I180" s="800"/>
      <c r="J180" s="800"/>
      <c r="K180" s="800"/>
      <c r="L180" s="801"/>
      <c r="M180" s="800"/>
      <c r="N180" s="800"/>
      <c r="O180" s="800"/>
      <c r="P180" s="800"/>
      <c r="Q180" s="800"/>
      <c r="R180" s="800"/>
      <c r="S180" s="429"/>
      <c r="T180" s="429"/>
      <c r="U180" s="429"/>
      <c r="V180" s="429"/>
    </row>
    <row r="181" spans="1:22" ht="21" customHeight="1">
      <c r="A181" s="800"/>
      <c r="B181" s="800"/>
      <c r="C181" s="800"/>
      <c r="D181" s="800"/>
      <c r="E181" s="800"/>
      <c r="F181" s="800"/>
      <c r="G181" s="800"/>
      <c r="H181" s="800"/>
      <c r="I181" s="800"/>
      <c r="J181" s="800"/>
      <c r="K181" s="800"/>
      <c r="L181" s="801"/>
      <c r="M181" s="800"/>
      <c r="N181" s="800"/>
      <c r="O181" s="800"/>
      <c r="P181" s="800"/>
      <c r="Q181" s="800"/>
      <c r="R181" s="800"/>
      <c r="S181" s="429"/>
      <c r="T181" s="429"/>
      <c r="U181" s="429"/>
      <c r="V181" s="429"/>
    </row>
    <row r="182" spans="1:22" ht="21" customHeight="1">
      <c r="A182" s="800"/>
      <c r="B182" s="800"/>
      <c r="C182" s="800"/>
      <c r="D182" s="800"/>
      <c r="E182" s="800"/>
      <c r="F182" s="800"/>
      <c r="G182" s="800"/>
      <c r="H182" s="800"/>
      <c r="I182" s="800"/>
      <c r="J182" s="800"/>
      <c r="K182" s="800"/>
      <c r="L182" s="801"/>
      <c r="M182" s="800"/>
      <c r="N182" s="800"/>
      <c r="O182" s="800"/>
      <c r="P182" s="800"/>
      <c r="Q182" s="800"/>
      <c r="R182" s="800"/>
      <c r="S182" s="429"/>
      <c r="T182" s="429"/>
      <c r="U182" s="429"/>
      <c r="V182" s="429"/>
    </row>
    <row r="183" spans="1:22" ht="21" customHeight="1">
      <c r="A183" s="800"/>
      <c r="B183" s="800"/>
      <c r="C183" s="800"/>
      <c r="D183" s="800"/>
      <c r="E183" s="800"/>
      <c r="F183" s="800"/>
      <c r="G183" s="800"/>
      <c r="H183" s="800"/>
      <c r="I183" s="800"/>
      <c r="J183" s="800"/>
      <c r="K183" s="800"/>
      <c r="L183" s="801"/>
      <c r="M183" s="800"/>
      <c r="N183" s="800"/>
      <c r="O183" s="800"/>
      <c r="P183" s="800"/>
      <c r="Q183" s="800"/>
      <c r="R183" s="800"/>
      <c r="S183" s="429"/>
      <c r="T183" s="429"/>
      <c r="U183" s="429"/>
      <c r="V183" s="429"/>
    </row>
    <row r="184" spans="1:22" ht="21" customHeight="1">
      <c r="A184" s="800"/>
      <c r="B184" s="800"/>
      <c r="C184" s="800"/>
      <c r="D184" s="800"/>
      <c r="E184" s="800"/>
      <c r="F184" s="800"/>
      <c r="G184" s="800"/>
      <c r="H184" s="800"/>
      <c r="I184" s="800"/>
      <c r="J184" s="800"/>
      <c r="K184" s="800"/>
      <c r="L184" s="801"/>
      <c r="M184" s="800"/>
      <c r="N184" s="800"/>
      <c r="O184" s="800"/>
      <c r="P184" s="800"/>
      <c r="Q184" s="800"/>
      <c r="R184" s="800"/>
      <c r="S184" s="429"/>
      <c r="T184" s="429"/>
      <c r="U184" s="429"/>
      <c r="V184" s="429"/>
    </row>
    <row r="185" spans="1:22" ht="21" customHeight="1">
      <c r="A185" s="800"/>
      <c r="B185" s="800"/>
      <c r="C185" s="800"/>
      <c r="D185" s="800"/>
      <c r="E185" s="800"/>
      <c r="F185" s="800"/>
      <c r="G185" s="800"/>
      <c r="H185" s="800"/>
      <c r="I185" s="800"/>
      <c r="J185" s="800"/>
      <c r="K185" s="800"/>
      <c r="L185" s="801"/>
      <c r="M185" s="800"/>
      <c r="N185" s="800"/>
      <c r="O185" s="800"/>
      <c r="P185" s="800"/>
      <c r="Q185" s="800"/>
      <c r="R185" s="800"/>
      <c r="S185" s="429"/>
      <c r="T185" s="429"/>
      <c r="U185" s="429"/>
      <c r="V185" s="429"/>
    </row>
    <row r="186" spans="1:22" ht="21" customHeight="1">
      <c r="A186" s="800"/>
      <c r="B186" s="800"/>
      <c r="C186" s="800"/>
      <c r="D186" s="800"/>
      <c r="E186" s="800"/>
      <c r="F186" s="800"/>
      <c r="G186" s="800"/>
      <c r="H186" s="800"/>
      <c r="I186" s="800"/>
      <c r="J186" s="800"/>
      <c r="K186" s="800"/>
      <c r="L186" s="801"/>
      <c r="M186" s="800"/>
      <c r="N186" s="800"/>
      <c r="O186" s="800"/>
      <c r="P186" s="800"/>
      <c r="Q186" s="800"/>
      <c r="R186" s="800"/>
      <c r="S186" s="429"/>
      <c r="T186" s="429"/>
      <c r="U186" s="429"/>
      <c r="V186" s="429"/>
    </row>
    <row r="187" spans="1:22" ht="21" customHeight="1">
      <c r="A187" s="800"/>
      <c r="B187" s="800"/>
      <c r="C187" s="800"/>
      <c r="D187" s="800"/>
      <c r="E187" s="800"/>
      <c r="F187" s="800"/>
      <c r="G187" s="800"/>
      <c r="H187" s="800"/>
      <c r="I187" s="800"/>
      <c r="J187" s="800"/>
      <c r="K187" s="800"/>
      <c r="L187" s="801"/>
      <c r="M187" s="800"/>
      <c r="N187" s="800"/>
      <c r="O187" s="800"/>
      <c r="P187" s="800"/>
      <c r="Q187" s="800"/>
      <c r="R187" s="800"/>
      <c r="S187" s="429"/>
      <c r="T187" s="429"/>
      <c r="U187" s="429"/>
      <c r="V187" s="429"/>
    </row>
    <row r="188" spans="1:22" ht="21" customHeight="1">
      <c r="A188" s="800"/>
      <c r="B188" s="800"/>
      <c r="C188" s="800"/>
      <c r="D188" s="800"/>
      <c r="E188" s="800"/>
      <c r="F188" s="800"/>
      <c r="G188" s="800"/>
      <c r="H188" s="800"/>
      <c r="I188" s="800"/>
      <c r="J188" s="800"/>
      <c r="K188" s="800"/>
      <c r="L188" s="801"/>
      <c r="M188" s="800"/>
      <c r="N188" s="800"/>
      <c r="O188" s="800"/>
      <c r="P188" s="800"/>
      <c r="Q188" s="800"/>
      <c r="R188" s="800"/>
      <c r="S188" s="429"/>
      <c r="T188" s="429"/>
      <c r="U188" s="429"/>
      <c r="V188" s="429"/>
    </row>
    <row r="189" spans="1:22" ht="21" customHeight="1">
      <c r="A189" s="800"/>
      <c r="B189" s="800"/>
      <c r="C189" s="800"/>
      <c r="D189" s="800"/>
      <c r="E189" s="800"/>
      <c r="F189" s="800"/>
      <c r="G189" s="800"/>
      <c r="H189" s="800"/>
      <c r="I189" s="800"/>
      <c r="J189" s="800"/>
      <c r="K189" s="800"/>
      <c r="L189" s="801"/>
      <c r="M189" s="800"/>
      <c r="N189" s="800"/>
      <c r="O189" s="800"/>
      <c r="P189" s="800"/>
      <c r="Q189" s="800"/>
      <c r="R189" s="800"/>
      <c r="S189" s="429"/>
      <c r="T189" s="429"/>
      <c r="U189" s="429"/>
      <c r="V189" s="429"/>
    </row>
    <row r="190" spans="1:22" ht="21" customHeight="1">
      <c r="A190" s="800"/>
      <c r="B190" s="800"/>
      <c r="C190" s="800"/>
      <c r="D190" s="800"/>
      <c r="E190" s="800"/>
      <c r="F190" s="800"/>
      <c r="G190" s="800"/>
      <c r="H190" s="800"/>
      <c r="I190" s="800"/>
      <c r="J190" s="800"/>
      <c r="K190" s="800"/>
      <c r="L190" s="801"/>
      <c r="M190" s="800"/>
      <c r="N190" s="800"/>
      <c r="O190" s="800"/>
      <c r="P190" s="800"/>
      <c r="Q190" s="800"/>
      <c r="R190" s="800"/>
      <c r="S190" s="429"/>
      <c r="T190" s="429"/>
      <c r="U190" s="429"/>
      <c r="V190" s="429"/>
    </row>
    <row r="191" spans="1:22" ht="21" customHeight="1">
      <c r="A191" s="800"/>
      <c r="B191" s="800"/>
      <c r="C191" s="800"/>
      <c r="D191" s="800"/>
      <c r="E191" s="800"/>
      <c r="F191" s="800"/>
      <c r="G191" s="800"/>
      <c r="H191" s="800"/>
      <c r="I191" s="800"/>
      <c r="J191" s="800"/>
      <c r="K191" s="800"/>
      <c r="L191" s="801"/>
      <c r="M191" s="800"/>
      <c r="N191" s="800"/>
      <c r="O191" s="800"/>
      <c r="P191" s="800"/>
      <c r="Q191" s="800"/>
      <c r="R191" s="800"/>
      <c r="S191" s="429"/>
      <c r="T191" s="429"/>
      <c r="U191" s="429"/>
      <c r="V191" s="429"/>
    </row>
    <row r="192" spans="1:22" ht="21" customHeight="1">
      <c r="A192" s="800"/>
      <c r="B192" s="800"/>
      <c r="C192" s="800"/>
      <c r="D192" s="800"/>
      <c r="E192" s="800"/>
      <c r="F192" s="800"/>
      <c r="G192" s="800"/>
      <c r="H192" s="800"/>
      <c r="I192" s="800"/>
      <c r="J192" s="800"/>
      <c r="K192" s="800"/>
      <c r="L192" s="801"/>
      <c r="M192" s="800"/>
      <c r="N192" s="800"/>
      <c r="O192" s="800"/>
      <c r="P192" s="800"/>
      <c r="Q192" s="800"/>
      <c r="R192" s="800"/>
      <c r="S192" s="429"/>
      <c r="T192" s="429"/>
      <c r="U192" s="429"/>
      <c r="V192" s="429"/>
    </row>
    <row r="193" spans="1:22" ht="21" customHeight="1">
      <c r="A193" s="800"/>
      <c r="B193" s="800"/>
      <c r="C193" s="800"/>
      <c r="D193" s="800"/>
      <c r="E193" s="800"/>
      <c r="F193" s="800"/>
      <c r="G193" s="800"/>
      <c r="H193" s="800"/>
      <c r="I193" s="800"/>
      <c r="J193" s="800"/>
      <c r="K193" s="800"/>
      <c r="L193" s="801"/>
      <c r="M193" s="800"/>
      <c r="N193" s="800"/>
      <c r="O193" s="800"/>
      <c r="P193" s="800"/>
      <c r="Q193" s="800"/>
      <c r="R193" s="800"/>
      <c r="S193" s="429"/>
      <c r="T193" s="429"/>
      <c r="U193" s="429"/>
      <c r="V193" s="429"/>
    </row>
    <row r="194" spans="1:22" ht="21" customHeight="1">
      <c r="A194" s="800"/>
      <c r="B194" s="800"/>
      <c r="C194" s="800"/>
      <c r="D194" s="800"/>
      <c r="E194" s="800"/>
      <c r="F194" s="800"/>
      <c r="G194" s="800"/>
      <c r="H194" s="800"/>
      <c r="I194" s="800"/>
      <c r="J194" s="800"/>
      <c r="K194" s="800"/>
      <c r="L194" s="801"/>
      <c r="M194" s="800"/>
      <c r="N194" s="800"/>
      <c r="O194" s="800"/>
      <c r="P194" s="800"/>
      <c r="Q194" s="800"/>
      <c r="R194" s="800"/>
      <c r="S194" s="429"/>
      <c r="T194" s="429"/>
      <c r="U194" s="429"/>
      <c r="V194" s="429"/>
    </row>
    <row r="195" spans="1:22" ht="21" customHeight="1">
      <c r="A195" s="800"/>
      <c r="B195" s="800"/>
      <c r="C195" s="800"/>
      <c r="D195" s="800"/>
      <c r="E195" s="800"/>
      <c r="F195" s="800"/>
      <c r="G195" s="800"/>
      <c r="H195" s="800"/>
      <c r="I195" s="800"/>
      <c r="J195" s="800"/>
      <c r="K195" s="800"/>
      <c r="L195" s="801"/>
      <c r="M195" s="800"/>
      <c r="N195" s="800"/>
      <c r="O195" s="800"/>
      <c r="P195" s="800"/>
      <c r="Q195" s="800"/>
      <c r="R195" s="800"/>
      <c r="S195" s="429"/>
      <c r="T195" s="429"/>
      <c r="U195" s="429"/>
      <c r="V195" s="429"/>
    </row>
    <row r="196" spans="1:22" ht="21" customHeight="1">
      <c r="A196" s="800"/>
      <c r="B196" s="800"/>
      <c r="C196" s="800"/>
      <c r="D196" s="800"/>
      <c r="E196" s="800"/>
      <c r="F196" s="800"/>
      <c r="G196" s="800"/>
      <c r="H196" s="800"/>
      <c r="I196" s="800"/>
      <c r="J196" s="800"/>
      <c r="K196" s="800"/>
      <c r="L196" s="801"/>
      <c r="M196" s="800"/>
      <c r="N196" s="800"/>
      <c r="O196" s="800"/>
      <c r="P196" s="800"/>
      <c r="Q196" s="800"/>
      <c r="R196" s="800"/>
      <c r="S196" s="429"/>
      <c r="T196" s="429"/>
      <c r="U196" s="429"/>
      <c r="V196" s="429"/>
    </row>
    <row r="197" spans="1:22" ht="21" customHeight="1">
      <c r="A197" s="800"/>
      <c r="B197" s="800"/>
      <c r="C197" s="800"/>
      <c r="D197" s="800"/>
      <c r="E197" s="800"/>
      <c r="F197" s="800"/>
      <c r="G197" s="800"/>
      <c r="H197" s="800"/>
      <c r="I197" s="800"/>
      <c r="J197" s="800"/>
      <c r="K197" s="800"/>
      <c r="L197" s="801"/>
      <c r="M197" s="800"/>
      <c r="N197" s="800"/>
      <c r="O197" s="800"/>
      <c r="P197" s="800"/>
      <c r="Q197" s="800"/>
      <c r="R197" s="800"/>
      <c r="S197" s="429"/>
      <c r="T197" s="429"/>
      <c r="U197" s="429"/>
      <c r="V197" s="429"/>
    </row>
    <row r="198" spans="1:22" ht="21" customHeight="1">
      <c r="A198" s="800"/>
      <c r="B198" s="800"/>
      <c r="C198" s="800"/>
      <c r="D198" s="800"/>
      <c r="E198" s="800"/>
      <c r="F198" s="800"/>
      <c r="G198" s="800"/>
      <c r="H198" s="800"/>
      <c r="I198" s="800"/>
      <c r="J198" s="800"/>
      <c r="K198" s="800"/>
      <c r="L198" s="801"/>
      <c r="M198" s="800"/>
      <c r="N198" s="800"/>
      <c r="O198" s="800"/>
      <c r="P198" s="800"/>
      <c r="Q198" s="800"/>
      <c r="R198" s="800"/>
      <c r="S198" s="429"/>
      <c r="T198" s="429"/>
      <c r="U198" s="429"/>
      <c r="V198" s="429"/>
    </row>
    <row r="199" spans="1:22" ht="21" customHeight="1">
      <c r="A199" s="800"/>
      <c r="B199" s="800"/>
      <c r="C199" s="800"/>
      <c r="D199" s="800"/>
      <c r="E199" s="800"/>
      <c r="F199" s="800"/>
      <c r="G199" s="800"/>
      <c r="H199" s="800"/>
      <c r="I199" s="800"/>
      <c r="J199" s="800"/>
      <c r="K199" s="800"/>
      <c r="L199" s="801"/>
      <c r="M199" s="800"/>
      <c r="N199" s="800"/>
      <c r="O199" s="800"/>
      <c r="P199" s="800"/>
      <c r="Q199" s="800"/>
      <c r="R199" s="800"/>
      <c r="S199" s="429"/>
      <c r="T199" s="429"/>
      <c r="U199" s="429"/>
      <c r="V199" s="429"/>
    </row>
    <row r="200" spans="1:22" ht="21" customHeight="1">
      <c r="A200" s="800"/>
      <c r="B200" s="800"/>
      <c r="C200" s="800"/>
      <c r="D200" s="800"/>
      <c r="E200" s="800"/>
      <c r="F200" s="800"/>
      <c r="G200" s="800"/>
      <c r="H200" s="800"/>
      <c r="I200" s="800"/>
      <c r="J200" s="800"/>
      <c r="K200" s="800"/>
      <c r="L200" s="801"/>
      <c r="M200" s="800"/>
      <c r="N200" s="800"/>
      <c r="O200" s="800"/>
      <c r="P200" s="800"/>
      <c r="Q200" s="800"/>
      <c r="R200" s="800"/>
      <c r="S200" s="429"/>
      <c r="T200" s="429"/>
      <c r="U200" s="429"/>
      <c r="V200" s="429"/>
    </row>
    <row r="201" spans="1:22" ht="21" customHeight="1">
      <c r="A201" s="800"/>
      <c r="B201" s="800"/>
      <c r="C201" s="800"/>
      <c r="D201" s="800"/>
      <c r="E201" s="800"/>
      <c r="F201" s="800"/>
      <c r="G201" s="800"/>
      <c r="H201" s="800"/>
      <c r="I201" s="800"/>
      <c r="J201" s="800"/>
      <c r="K201" s="800"/>
      <c r="L201" s="801"/>
      <c r="M201" s="800"/>
      <c r="N201" s="800"/>
      <c r="O201" s="800"/>
      <c r="P201" s="800"/>
      <c r="Q201" s="800"/>
      <c r="R201" s="800"/>
      <c r="S201" s="429"/>
      <c r="T201" s="429"/>
      <c r="U201" s="429"/>
      <c r="V201" s="429"/>
    </row>
    <row r="202" spans="1:22" ht="21" customHeight="1">
      <c r="A202" s="800"/>
      <c r="B202" s="800"/>
      <c r="C202" s="800"/>
      <c r="D202" s="800"/>
      <c r="E202" s="800"/>
      <c r="F202" s="800"/>
      <c r="G202" s="800"/>
      <c r="H202" s="800"/>
      <c r="I202" s="800"/>
      <c r="J202" s="800"/>
      <c r="K202" s="800"/>
      <c r="L202" s="801"/>
      <c r="M202" s="800"/>
      <c r="N202" s="800"/>
      <c r="O202" s="800"/>
      <c r="P202" s="800"/>
      <c r="Q202" s="800"/>
      <c r="R202" s="800"/>
      <c r="S202" s="429"/>
      <c r="T202" s="429"/>
      <c r="U202" s="429"/>
      <c r="V202" s="429"/>
    </row>
    <row r="203" spans="1:22" ht="21" customHeight="1">
      <c r="A203" s="800"/>
      <c r="B203" s="800"/>
      <c r="C203" s="800"/>
      <c r="D203" s="800"/>
      <c r="E203" s="800"/>
      <c r="F203" s="800"/>
      <c r="G203" s="800"/>
      <c r="H203" s="800"/>
      <c r="I203" s="800"/>
      <c r="J203" s="800"/>
      <c r="K203" s="800"/>
      <c r="L203" s="801"/>
      <c r="M203" s="800"/>
      <c r="N203" s="800"/>
      <c r="O203" s="800"/>
      <c r="P203" s="800"/>
      <c r="Q203" s="800"/>
      <c r="R203" s="800"/>
      <c r="S203" s="429"/>
      <c r="T203" s="429"/>
      <c r="U203" s="429"/>
      <c r="V203" s="429"/>
    </row>
    <row r="204" spans="1:22" ht="21" customHeight="1">
      <c r="A204" s="800"/>
      <c r="B204" s="800"/>
      <c r="C204" s="800"/>
      <c r="D204" s="800"/>
      <c r="E204" s="800"/>
      <c r="F204" s="800"/>
      <c r="G204" s="800"/>
      <c r="H204" s="800"/>
      <c r="I204" s="800"/>
      <c r="J204" s="800"/>
      <c r="K204" s="800"/>
      <c r="L204" s="801"/>
      <c r="M204" s="800"/>
      <c r="N204" s="800"/>
      <c r="O204" s="800"/>
      <c r="P204" s="800"/>
      <c r="Q204" s="800"/>
      <c r="R204" s="800"/>
      <c r="S204" s="429"/>
      <c r="T204" s="429"/>
      <c r="U204" s="429"/>
      <c r="V204" s="429"/>
    </row>
    <row r="205" spans="1:22" ht="21" customHeight="1">
      <c r="A205" s="800"/>
      <c r="B205" s="800"/>
      <c r="C205" s="800"/>
      <c r="D205" s="800"/>
      <c r="E205" s="800"/>
      <c r="F205" s="800"/>
      <c r="G205" s="800"/>
      <c r="H205" s="800"/>
      <c r="I205" s="800"/>
      <c r="J205" s="800"/>
      <c r="K205" s="800"/>
      <c r="L205" s="801"/>
      <c r="M205" s="800"/>
      <c r="N205" s="800"/>
      <c r="O205" s="800"/>
      <c r="P205" s="800"/>
      <c r="Q205" s="800"/>
      <c r="R205" s="800"/>
      <c r="S205" s="429"/>
      <c r="T205" s="429"/>
      <c r="U205" s="429"/>
      <c r="V205" s="429"/>
    </row>
    <row r="206" spans="1:22" ht="21" customHeight="1">
      <c r="A206" s="800"/>
      <c r="B206" s="800"/>
      <c r="C206" s="800"/>
      <c r="D206" s="800"/>
      <c r="E206" s="800"/>
      <c r="F206" s="800"/>
      <c r="G206" s="800"/>
      <c r="H206" s="800"/>
      <c r="I206" s="800"/>
      <c r="J206" s="800"/>
      <c r="K206" s="800"/>
      <c r="L206" s="801"/>
      <c r="M206" s="800"/>
      <c r="N206" s="800"/>
      <c r="O206" s="800"/>
      <c r="P206" s="800"/>
      <c r="Q206" s="800"/>
      <c r="R206" s="800"/>
      <c r="S206" s="429"/>
      <c r="T206" s="429"/>
      <c r="U206" s="429"/>
      <c r="V206" s="429"/>
    </row>
    <row r="207" spans="1:22" ht="21" customHeight="1">
      <c r="A207" s="800"/>
      <c r="B207" s="800"/>
      <c r="C207" s="800"/>
      <c r="D207" s="800"/>
      <c r="E207" s="800"/>
      <c r="F207" s="800"/>
      <c r="G207" s="800"/>
      <c r="H207" s="800"/>
      <c r="I207" s="800"/>
      <c r="J207" s="800"/>
      <c r="K207" s="800"/>
      <c r="L207" s="801"/>
      <c r="M207" s="800"/>
      <c r="N207" s="800"/>
      <c r="O207" s="800"/>
      <c r="P207" s="800"/>
      <c r="Q207" s="800"/>
      <c r="R207" s="800"/>
      <c r="S207" s="429"/>
      <c r="T207" s="429"/>
      <c r="U207" s="429"/>
      <c r="V207" s="429"/>
    </row>
    <row r="208" spans="1:22" ht="21" customHeight="1">
      <c r="A208" s="800"/>
      <c r="B208" s="800"/>
      <c r="C208" s="800"/>
      <c r="D208" s="800"/>
      <c r="E208" s="800"/>
      <c r="F208" s="800"/>
      <c r="G208" s="800"/>
      <c r="H208" s="800"/>
      <c r="I208" s="800"/>
      <c r="J208" s="800"/>
      <c r="K208" s="800"/>
      <c r="L208" s="801"/>
      <c r="M208" s="800"/>
      <c r="N208" s="800"/>
      <c r="O208" s="800"/>
      <c r="P208" s="800"/>
      <c r="Q208" s="800"/>
      <c r="R208" s="800"/>
      <c r="S208" s="429"/>
      <c r="T208" s="429"/>
      <c r="U208" s="429"/>
      <c r="V208" s="429"/>
    </row>
    <row r="209" spans="1:22" ht="21" customHeight="1">
      <c r="A209" s="800"/>
      <c r="B209" s="800"/>
      <c r="C209" s="800"/>
      <c r="D209" s="800"/>
      <c r="E209" s="800"/>
      <c r="F209" s="800"/>
      <c r="G209" s="800"/>
      <c r="H209" s="800"/>
      <c r="I209" s="800"/>
      <c r="J209" s="800"/>
      <c r="K209" s="800"/>
      <c r="L209" s="801"/>
      <c r="M209" s="800"/>
      <c r="N209" s="800"/>
      <c r="O209" s="800"/>
      <c r="P209" s="800"/>
      <c r="Q209" s="800"/>
      <c r="R209" s="800"/>
      <c r="S209" s="429"/>
      <c r="T209" s="429"/>
      <c r="U209" s="429"/>
      <c r="V209" s="429"/>
    </row>
    <row r="210" spans="1:22" ht="21" customHeight="1">
      <c r="A210" s="800"/>
      <c r="B210" s="800"/>
      <c r="C210" s="800"/>
      <c r="D210" s="800"/>
      <c r="E210" s="800"/>
      <c r="F210" s="800"/>
      <c r="G210" s="800"/>
      <c r="H210" s="800"/>
      <c r="I210" s="800"/>
      <c r="J210" s="800"/>
      <c r="K210" s="800"/>
      <c r="L210" s="801"/>
      <c r="M210" s="800"/>
      <c r="N210" s="800"/>
      <c r="O210" s="800"/>
      <c r="P210" s="800"/>
      <c r="Q210" s="800"/>
      <c r="R210" s="800"/>
      <c r="S210" s="429"/>
      <c r="T210" s="429"/>
      <c r="U210" s="429"/>
      <c r="V210" s="429"/>
    </row>
    <row r="211" spans="1:22" ht="21" customHeight="1">
      <c r="A211" s="800"/>
      <c r="B211" s="800"/>
      <c r="C211" s="800"/>
      <c r="D211" s="800"/>
      <c r="E211" s="800"/>
      <c r="F211" s="800"/>
      <c r="G211" s="800"/>
      <c r="H211" s="800"/>
      <c r="I211" s="800"/>
      <c r="J211" s="800"/>
      <c r="K211" s="800"/>
      <c r="L211" s="801"/>
      <c r="M211" s="800"/>
      <c r="N211" s="800"/>
      <c r="O211" s="800"/>
      <c r="P211" s="800"/>
      <c r="Q211" s="800"/>
      <c r="R211" s="800"/>
      <c r="S211" s="429"/>
      <c r="T211" s="429"/>
      <c r="U211" s="429"/>
      <c r="V211" s="429"/>
    </row>
    <row r="212" spans="1:22" ht="21" customHeight="1">
      <c r="A212" s="800"/>
      <c r="B212" s="800"/>
      <c r="C212" s="800"/>
      <c r="D212" s="800"/>
      <c r="E212" s="800"/>
      <c r="F212" s="800"/>
      <c r="G212" s="800"/>
      <c r="H212" s="800"/>
      <c r="I212" s="800"/>
      <c r="J212" s="800"/>
      <c r="K212" s="800"/>
      <c r="L212" s="801"/>
      <c r="M212" s="800"/>
      <c r="N212" s="800"/>
      <c r="O212" s="800"/>
      <c r="P212" s="800"/>
      <c r="Q212" s="800"/>
      <c r="R212" s="800"/>
      <c r="S212" s="429"/>
      <c r="T212" s="429"/>
      <c r="U212" s="429"/>
      <c r="V212" s="429"/>
    </row>
    <row r="213" spans="1:22" ht="21" customHeight="1">
      <c r="A213" s="800"/>
      <c r="B213" s="800"/>
      <c r="C213" s="800"/>
      <c r="D213" s="800"/>
      <c r="E213" s="800"/>
      <c r="F213" s="800"/>
      <c r="G213" s="800"/>
      <c r="H213" s="800"/>
      <c r="I213" s="800"/>
      <c r="J213" s="800"/>
      <c r="K213" s="800"/>
      <c r="L213" s="801"/>
      <c r="M213" s="800"/>
      <c r="N213" s="800"/>
      <c r="O213" s="800"/>
      <c r="P213" s="800"/>
      <c r="Q213" s="800"/>
      <c r="R213" s="800"/>
      <c r="S213" s="429"/>
      <c r="T213" s="429"/>
      <c r="U213" s="429"/>
      <c r="V213" s="429"/>
    </row>
    <row r="214" spans="1:22" ht="21" customHeight="1">
      <c r="A214" s="800"/>
      <c r="B214" s="800"/>
      <c r="C214" s="800"/>
      <c r="D214" s="800"/>
      <c r="E214" s="800"/>
      <c r="F214" s="800"/>
      <c r="G214" s="800"/>
      <c r="H214" s="800"/>
      <c r="I214" s="800"/>
      <c r="J214" s="800"/>
      <c r="K214" s="800"/>
      <c r="L214" s="801"/>
      <c r="M214" s="800"/>
      <c r="N214" s="800"/>
      <c r="O214" s="800"/>
      <c r="P214" s="800"/>
      <c r="Q214" s="800"/>
      <c r="R214" s="800"/>
      <c r="S214" s="429"/>
      <c r="T214" s="429"/>
      <c r="U214" s="429"/>
      <c r="V214" s="429"/>
    </row>
    <row r="215" spans="1:22" ht="21" customHeight="1">
      <c r="A215" s="800"/>
      <c r="B215" s="800"/>
      <c r="C215" s="800"/>
      <c r="D215" s="800"/>
      <c r="E215" s="800"/>
      <c r="F215" s="800"/>
      <c r="G215" s="800"/>
      <c r="H215" s="800"/>
      <c r="I215" s="800"/>
      <c r="J215" s="800"/>
      <c r="K215" s="800"/>
      <c r="L215" s="801"/>
      <c r="M215" s="800"/>
      <c r="N215" s="800"/>
      <c r="O215" s="800"/>
      <c r="P215" s="800"/>
      <c r="Q215" s="800"/>
      <c r="R215" s="800"/>
      <c r="S215" s="429"/>
      <c r="T215" s="429"/>
      <c r="U215" s="429"/>
      <c r="V215" s="429"/>
    </row>
    <row r="216" spans="1:22" ht="21" customHeight="1">
      <c r="A216" s="800"/>
      <c r="B216" s="800"/>
      <c r="C216" s="800"/>
      <c r="D216" s="800"/>
      <c r="E216" s="800"/>
      <c r="F216" s="800"/>
      <c r="G216" s="800"/>
      <c r="H216" s="800"/>
      <c r="I216" s="800"/>
      <c r="J216" s="800"/>
      <c r="K216" s="800"/>
      <c r="L216" s="801"/>
      <c r="M216" s="800"/>
      <c r="N216" s="800"/>
      <c r="O216" s="800"/>
      <c r="P216" s="800"/>
      <c r="Q216" s="800"/>
      <c r="R216" s="800"/>
      <c r="S216" s="429"/>
      <c r="T216" s="429"/>
      <c r="U216" s="429"/>
      <c r="V216" s="429"/>
    </row>
    <row r="217" spans="1:22" ht="21" customHeight="1">
      <c r="A217" s="800"/>
      <c r="B217" s="800"/>
      <c r="C217" s="800"/>
      <c r="D217" s="800"/>
      <c r="E217" s="800"/>
      <c r="F217" s="800"/>
      <c r="G217" s="800"/>
      <c r="H217" s="800"/>
      <c r="I217" s="800"/>
      <c r="J217" s="800"/>
      <c r="K217" s="800"/>
      <c r="L217" s="801"/>
      <c r="M217" s="800"/>
      <c r="N217" s="800"/>
      <c r="O217" s="800"/>
      <c r="P217" s="800"/>
      <c r="Q217" s="800"/>
      <c r="R217" s="800"/>
      <c r="S217" s="429"/>
      <c r="T217" s="429"/>
      <c r="U217" s="429"/>
      <c r="V217" s="429"/>
    </row>
    <row r="218" spans="1:22" ht="21" customHeight="1">
      <c r="A218" s="800"/>
      <c r="B218" s="800"/>
      <c r="C218" s="800"/>
      <c r="D218" s="800"/>
      <c r="E218" s="800"/>
      <c r="F218" s="800"/>
      <c r="G218" s="800"/>
      <c r="H218" s="800"/>
      <c r="I218" s="800"/>
      <c r="J218" s="800"/>
      <c r="K218" s="800"/>
      <c r="L218" s="801"/>
      <c r="M218" s="800"/>
      <c r="N218" s="800"/>
      <c r="O218" s="800"/>
      <c r="P218" s="800"/>
      <c r="Q218" s="800"/>
      <c r="R218" s="800"/>
      <c r="S218" s="429"/>
      <c r="T218" s="429"/>
      <c r="U218" s="429"/>
      <c r="V218" s="429"/>
    </row>
    <row r="219" spans="1:22" ht="21" customHeight="1">
      <c r="A219" s="800"/>
      <c r="B219" s="800"/>
      <c r="C219" s="800"/>
      <c r="D219" s="800"/>
      <c r="E219" s="800"/>
      <c r="F219" s="800"/>
      <c r="G219" s="800"/>
      <c r="H219" s="800"/>
      <c r="I219" s="800"/>
      <c r="J219" s="800"/>
      <c r="K219" s="800"/>
      <c r="L219" s="801"/>
      <c r="M219" s="800"/>
      <c r="N219" s="800"/>
      <c r="O219" s="800"/>
      <c r="P219" s="800"/>
      <c r="Q219" s="800"/>
      <c r="R219" s="800"/>
      <c r="S219" s="429"/>
      <c r="T219" s="429"/>
      <c r="U219" s="429"/>
      <c r="V219" s="429"/>
    </row>
    <row r="220" spans="1:22" ht="21" customHeight="1">
      <c r="A220" s="800"/>
      <c r="B220" s="800"/>
      <c r="C220" s="800"/>
      <c r="D220" s="800"/>
      <c r="E220" s="800"/>
      <c r="F220" s="800"/>
      <c r="G220" s="800"/>
      <c r="H220" s="800"/>
      <c r="I220" s="800"/>
      <c r="J220" s="800"/>
      <c r="K220" s="800"/>
      <c r="L220" s="801"/>
      <c r="M220" s="800"/>
      <c r="N220" s="800"/>
      <c r="O220" s="800"/>
      <c r="P220" s="800"/>
      <c r="Q220" s="800"/>
      <c r="R220" s="800"/>
      <c r="S220" s="429"/>
      <c r="T220" s="429"/>
      <c r="U220" s="429"/>
      <c r="V220" s="429"/>
    </row>
    <row r="221" spans="1:22" ht="21" customHeight="1">
      <c r="A221" s="800"/>
      <c r="B221" s="800"/>
      <c r="C221" s="800"/>
      <c r="D221" s="800"/>
      <c r="E221" s="800"/>
      <c r="F221" s="800"/>
      <c r="G221" s="800"/>
      <c r="H221" s="800"/>
      <c r="I221" s="800"/>
      <c r="J221" s="800"/>
      <c r="K221" s="800"/>
      <c r="L221" s="801"/>
      <c r="M221" s="800"/>
      <c r="N221" s="800"/>
      <c r="O221" s="800"/>
      <c r="P221" s="800"/>
      <c r="Q221" s="800"/>
      <c r="R221" s="800"/>
      <c r="S221" s="429"/>
      <c r="T221" s="429"/>
      <c r="U221" s="429"/>
      <c r="V221" s="429"/>
    </row>
    <row r="222" spans="1:22" ht="21" customHeight="1">
      <c r="A222" s="800"/>
      <c r="B222" s="800"/>
      <c r="C222" s="800"/>
      <c r="D222" s="800"/>
      <c r="E222" s="800"/>
      <c r="F222" s="800"/>
      <c r="G222" s="800"/>
      <c r="H222" s="800"/>
      <c r="I222" s="800"/>
      <c r="J222" s="800"/>
      <c r="K222" s="800"/>
      <c r="L222" s="801"/>
      <c r="M222" s="800"/>
      <c r="N222" s="800"/>
      <c r="O222" s="800"/>
      <c r="P222" s="800"/>
      <c r="Q222" s="800"/>
      <c r="R222" s="800"/>
      <c r="S222" s="429"/>
      <c r="T222" s="429"/>
      <c r="U222" s="429"/>
      <c r="V222" s="429"/>
    </row>
    <row r="223" spans="1:22" ht="21" customHeight="1">
      <c r="A223" s="800"/>
      <c r="B223" s="800"/>
      <c r="C223" s="800"/>
      <c r="D223" s="800"/>
      <c r="E223" s="800"/>
      <c r="F223" s="800"/>
      <c r="G223" s="800"/>
      <c r="H223" s="800"/>
      <c r="I223" s="800"/>
      <c r="J223" s="800"/>
      <c r="K223" s="800"/>
      <c r="L223" s="801"/>
      <c r="M223" s="800"/>
      <c r="N223" s="800"/>
      <c r="O223" s="800"/>
      <c r="P223" s="800"/>
      <c r="Q223" s="800"/>
      <c r="R223" s="800"/>
      <c r="S223" s="429"/>
      <c r="T223" s="429"/>
      <c r="U223" s="429"/>
      <c r="V223" s="429"/>
    </row>
    <row r="224" spans="1:22" ht="21" customHeight="1">
      <c r="A224" s="800"/>
      <c r="B224" s="800"/>
      <c r="C224" s="800"/>
      <c r="D224" s="800"/>
      <c r="E224" s="800"/>
      <c r="F224" s="800"/>
      <c r="G224" s="800"/>
      <c r="H224" s="800"/>
      <c r="I224" s="800"/>
      <c r="J224" s="800"/>
      <c r="K224" s="800"/>
      <c r="L224" s="801"/>
      <c r="M224" s="800"/>
      <c r="N224" s="800"/>
      <c r="O224" s="800"/>
      <c r="P224" s="800"/>
      <c r="Q224" s="800"/>
      <c r="R224" s="800"/>
      <c r="S224" s="429"/>
      <c r="T224" s="429"/>
      <c r="U224" s="429"/>
      <c r="V224" s="429"/>
    </row>
    <row r="225" spans="1:22" ht="21" customHeight="1">
      <c r="A225" s="800"/>
      <c r="B225" s="800"/>
      <c r="C225" s="800"/>
      <c r="D225" s="800"/>
      <c r="E225" s="800"/>
      <c r="F225" s="800"/>
      <c r="G225" s="800"/>
      <c r="H225" s="800"/>
      <c r="I225" s="800"/>
      <c r="J225" s="800"/>
      <c r="K225" s="800"/>
      <c r="L225" s="801"/>
      <c r="M225" s="800"/>
      <c r="N225" s="800"/>
      <c r="O225" s="800"/>
      <c r="P225" s="800"/>
      <c r="Q225" s="800"/>
      <c r="R225" s="800"/>
      <c r="S225" s="429"/>
      <c r="T225" s="429"/>
      <c r="U225" s="429"/>
      <c r="V225" s="429"/>
    </row>
    <row r="226" spans="1:22" ht="21" customHeight="1">
      <c r="A226" s="800"/>
      <c r="B226" s="800"/>
      <c r="C226" s="800"/>
      <c r="D226" s="800"/>
      <c r="E226" s="800"/>
      <c r="F226" s="800"/>
      <c r="G226" s="800"/>
      <c r="H226" s="800"/>
      <c r="I226" s="800"/>
      <c r="J226" s="800"/>
      <c r="K226" s="800"/>
      <c r="L226" s="801"/>
      <c r="M226" s="800"/>
      <c r="N226" s="800"/>
      <c r="O226" s="800"/>
      <c r="P226" s="800"/>
      <c r="Q226" s="800"/>
      <c r="R226" s="800"/>
      <c r="S226" s="429"/>
      <c r="T226" s="429"/>
      <c r="U226" s="429"/>
      <c r="V226" s="429"/>
    </row>
    <row r="227" spans="1:22" ht="21" customHeight="1">
      <c r="A227" s="800"/>
      <c r="B227" s="800"/>
      <c r="C227" s="800"/>
      <c r="D227" s="800"/>
      <c r="E227" s="800"/>
      <c r="F227" s="800"/>
      <c r="G227" s="800"/>
      <c r="H227" s="800"/>
      <c r="I227" s="800"/>
      <c r="J227" s="800"/>
      <c r="K227" s="800"/>
      <c r="L227" s="801"/>
      <c r="M227" s="800"/>
      <c r="N227" s="800"/>
      <c r="O227" s="800"/>
      <c r="P227" s="800"/>
      <c r="Q227" s="800"/>
      <c r="R227" s="800"/>
      <c r="S227" s="429"/>
      <c r="T227" s="429"/>
      <c r="U227" s="429"/>
      <c r="V227" s="429"/>
    </row>
    <row r="228" spans="1:22" ht="21" customHeight="1">
      <c r="A228" s="800"/>
      <c r="B228" s="800"/>
      <c r="C228" s="800"/>
      <c r="D228" s="800"/>
      <c r="E228" s="800"/>
      <c r="F228" s="800"/>
      <c r="G228" s="800"/>
      <c r="H228" s="800"/>
      <c r="I228" s="800"/>
      <c r="J228" s="800"/>
      <c r="K228" s="800"/>
      <c r="L228" s="801"/>
      <c r="M228" s="800"/>
      <c r="N228" s="800"/>
      <c r="O228" s="800"/>
      <c r="P228" s="800"/>
      <c r="Q228" s="800"/>
      <c r="R228" s="800"/>
      <c r="S228" s="429"/>
      <c r="T228" s="429"/>
      <c r="U228" s="429"/>
      <c r="V228" s="429"/>
    </row>
    <row r="229" spans="1:22" ht="21" customHeight="1">
      <c r="A229" s="800"/>
      <c r="B229" s="800"/>
      <c r="C229" s="800"/>
      <c r="D229" s="800"/>
      <c r="E229" s="800"/>
      <c r="F229" s="800"/>
      <c r="G229" s="800"/>
      <c r="H229" s="800"/>
      <c r="I229" s="800"/>
      <c r="J229" s="800"/>
      <c r="K229" s="800"/>
      <c r="L229" s="801"/>
      <c r="M229" s="800"/>
      <c r="N229" s="800"/>
      <c r="O229" s="800"/>
      <c r="P229" s="800"/>
      <c r="Q229" s="800"/>
      <c r="R229" s="800"/>
      <c r="S229" s="429"/>
      <c r="T229" s="429"/>
      <c r="U229" s="429"/>
      <c r="V229" s="429"/>
    </row>
    <row r="230" spans="1:22" ht="21" customHeight="1">
      <c r="A230" s="800"/>
      <c r="B230" s="800"/>
      <c r="C230" s="800"/>
      <c r="D230" s="800"/>
      <c r="E230" s="800"/>
      <c r="F230" s="800"/>
      <c r="G230" s="800"/>
      <c r="H230" s="800"/>
      <c r="I230" s="800"/>
      <c r="J230" s="800"/>
      <c r="K230" s="800"/>
      <c r="L230" s="801"/>
      <c r="M230" s="800"/>
      <c r="N230" s="800"/>
      <c r="O230" s="800"/>
      <c r="P230" s="800"/>
      <c r="Q230" s="800"/>
      <c r="R230" s="800"/>
      <c r="S230" s="429"/>
      <c r="T230" s="429"/>
      <c r="U230" s="429"/>
      <c r="V230" s="429"/>
    </row>
    <row r="231" spans="1:22" ht="21" customHeight="1">
      <c r="A231" s="800"/>
      <c r="B231" s="800"/>
      <c r="C231" s="800"/>
      <c r="D231" s="800"/>
      <c r="E231" s="800"/>
      <c r="F231" s="800"/>
      <c r="G231" s="800"/>
      <c r="H231" s="800"/>
      <c r="I231" s="800"/>
      <c r="J231" s="800"/>
      <c r="K231" s="800"/>
      <c r="L231" s="801"/>
      <c r="M231" s="800"/>
      <c r="N231" s="800"/>
      <c r="O231" s="800"/>
      <c r="P231" s="800"/>
      <c r="Q231" s="800"/>
      <c r="R231" s="800"/>
      <c r="S231" s="429"/>
      <c r="T231" s="429"/>
      <c r="U231" s="429"/>
      <c r="V231" s="429"/>
    </row>
    <row r="232" spans="1:22" ht="21" customHeight="1">
      <c r="A232" s="800"/>
      <c r="B232" s="800"/>
      <c r="C232" s="800"/>
      <c r="D232" s="800"/>
      <c r="E232" s="800"/>
      <c r="F232" s="800"/>
      <c r="G232" s="800"/>
      <c r="H232" s="800"/>
      <c r="I232" s="800"/>
      <c r="J232" s="800"/>
      <c r="K232" s="800"/>
      <c r="L232" s="801"/>
      <c r="M232" s="800"/>
      <c r="N232" s="800"/>
      <c r="O232" s="800"/>
      <c r="P232" s="800"/>
      <c r="Q232" s="800"/>
      <c r="R232" s="800"/>
      <c r="S232" s="429"/>
      <c r="T232" s="429"/>
      <c r="U232" s="429"/>
      <c r="V232" s="429"/>
    </row>
    <row r="233" spans="1:22" ht="21" customHeight="1">
      <c r="A233" s="800"/>
      <c r="B233" s="800"/>
      <c r="C233" s="800"/>
      <c r="D233" s="800"/>
      <c r="E233" s="800"/>
      <c r="F233" s="800"/>
      <c r="G233" s="800"/>
      <c r="H233" s="800"/>
      <c r="I233" s="800"/>
      <c r="J233" s="800"/>
      <c r="K233" s="800"/>
      <c r="L233" s="801"/>
      <c r="M233" s="800"/>
      <c r="N233" s="800"/>
      <c r="O233" s="800"/>
      <c r="P233" s="800"/>
      <c r="Q233" s="800"/>
      <c r="R233" s="800"/>
      <c r="S233" s="429"/>
      <c r="T233" s="429"/>
      <c r="U233" s="429"/>
      <c r="V233" s="429"/>
    </row>
    <row r="234" spans="1:22" ht="21" customHeight="1">
      <c r="A234" s="800"/>
      <c r="B234" s="800"/>
      <c r="C234" s="800"/>
      <c r="D234" s="800"/>
      <c r="E234" s="800"/>
      <c r="F234" s="800"/>
      <c r="G234" s="800"/>
      <c r="H234" s="800"/>
      <c r="I234" s="800"/>
      <c r="J234" s="800"/>
      <c r="K234" s="800"/>
      <c r="L234" s="801"/>
      <c r="M234" s="800"/>
      <c r="N234" s="800"/>
      <c r="O234" s="800"/>
      <c r="P234" s="800"/>
      <c r="Q234" s="800"/>
      <c r="R234" s="800"/>
      <c r="S234" s="429"/>
      <c r="T234" s="429"/>
      <c r="U234" s="429"/>
      <c r="V234" s="429"/>
    </row>
    <row r="235" spans="1:22" ht="21" customHeight="1">
      <c r="A235" s="800"/>
      <c r="B235" s="800"/>
      <c r="C235" s="800"/>
      <c r="D235" s="800"/>
      <c r="E235" s="800"/>
      <c r="F235" s="800"/>
      <c r="G235" s="800"/>
      <c r="H235" s="800"/>
      <c r="I235" s="800"/>
      <c r="J235" s="800"/>
      <c r="K235" s="800"/>
      <c r="L235" s="801"/>
      <c r="M235" s="800"/>
      <c r="N235" s="800"/>
      <c r="O235" s="800"/>
      <c r="P235" s="800"/>
      <c r="Q235" s="800"/>
      <c r="R235" s="800"/>
      <c r="S235" s="429"/>
      <c r="T235" s="429"/>
      <c r="U235" s="429"/>
      <c r="V235" s="429"/>
    </row>
    <row r="236" spans="1:22" ht="21" customHeight="1">
      <c r="A236" s="800"/>
      <c r="B236" s="800"/>
      <c r="C236" s="800"/>
      <c r="D236" s="800"/>
      <c r="E236" s="800"/>
      <c r="F236" s="800"/>
      <c r="G236" s="800"/>
      <c r="H236" s="800"/>
      <c r="I236" s="800"/>
      <c r="J236" s="800"/>
      <c r="K236" s="800"/>
      <c r="L236" s="801"/>
      <c r="M236" s="800"/>
      <c r="N236" s="800"/>
      <c r="O236" s="800"/>
      <c r="P236" s="800"/>
      <c r="Q236" s="800"/>
      <c r="R236" s="800"/>
      <c r="S236" s="429"/>
      <c r="T236" s="429"/>
      <c r="U236" s="429"/>
      <c r="V236" s="429"/>
    </row>
    <row r="237" spans="1:22" ht="21" customHeight="1">
      <c r="A237" s="800"/>
      <c r="B237" s="800"/>
      <c r="C237" s="800"/>
      <c r="D237" s="800"/>
      <c r="E237" s="800"/>
      <c r="F237" s="800"/>
      <c r="G237" s="800"/>
      <c r="H237" s="800"/>
      <c r="I237" s="800"/>
      <c r="J237" s="800"/>
      <c r="K237" s="800"/>
      <c r="L237" s="801"/>
      <c r="M237" s="800"/>
      <c r="N237" s="800"/>
      <c r="O237" s="800"/>
      <c r="P237" s="800"/>
      <c r="Q237" s="800"/>
      <c r="R237" s="800"/>
      <c r="S237" s="429"/>
      <c r="T237" s="429"/>
      <c r="U237" s="429"/>
      <c r="V237" s="429"/>
    </row>
    <row r="238" spans="1:22" ht="21" customHeight="1">
      <c r="A238" s="800"/>
      <c r="B238" s="800"/>
      <c r="C238" s="800"/>
      <c r="D238" s="800"/>
      <c r="E238" s="800"/>
      <c r="F238" s="800"/>
      <c r="G238" s="800"/>
      <c r="H238" s="800"/>
      <c r="I238" s="800"/>
      <c r="J238" s="800"/>
      <c r="K238" s="800"/>
      <c r="L238" s="801"/>
      <c r="M238" s="800"/>
      <c r="N238" s="800"/>
      <c r="O238" s="800"/>
      <c r="P238" s="800"/>
      <c r="Q238" s="800"/>
      <c r="R238" s="800"/>
      <c r="S238" s="429"/>
      <c r="T238" s="429"/>
      <c r="U238" s="429"/>
      <c r="V238" s="429"/>
    </row>
    <row r="239" spans="1:22" ht="21" customHeight="1">
      <c r="A239" s="800"/>
      <c r="B239" s="800"/>
      <c r="C239" s="800"/>
      <c r="D239" s="800"/>
      <c r="E239" s="800"/>
      <c r="F239" s="800"/>
      <c r="G239" s="800"/>
      <c r="H239" s="800"/>
      <c r="I239" s="800"/>
      <c r="J239" s="800"/>
      <c r="K239" s="800"/>
      <c r="L239" s="801"/>
      <c r="M239" s="800"/>
      <c r="N239" s="800"/>
      <c r="O239" s="800"/>
      <c r="P239" s="800"/>
      <c r="Q239" s="800"/>
      <c r="R239" s="800"/>
      <c r="S239" s="429"/>
      <c r="T239" s="429"/>
      <c r="U239" s="429"/>
      <c r="V239" s="429"/>
    </row>
    <row r="240" spans="1:22" ht="21" customHeight="1">
      <c r="A240" s="800"/>
      <c r="B240" s="800"/>
      <c r="C240" s="800"/>
      <c r="D240" s="800"/>
      <c r="E240" s="800"/>
      <c r="F240" s="800"/>
      <c r="G240" s="800"/>
      <c r="H240" s="800"/>
      <c r="I240" s="800"/>
      <c r="J240" s="800"/>
      <c r="K240" s="800"/>
      <c r="L240" s="801"/>
      <c r="M240" s="800"/>
      <c r="N240" s="800"/>
      <c r="O240" s="800"/>
      <c r="P240" s="800"/>
      <c r="Q240" s="800"/>
      <c r="R240" s="800"/>
      <c r="S240" s="429"/>
      <c r="T240" s="429"/>
      <c r="U240" s="429"/>
      <c r="V240" s="429"/>
    </row>
    <row r="241" spans="1:22" ht="21" customHeight="1">
      <c r="A241" s="800"/>
      <c r="B241" s="800"/>
      <c r="C241" s="800"/>
      <c r="D241" s="800"/>
      <c r="E241" s="800"/>
      <c r="F241" s="800"/>
      <c r="G241" s="800"/>
      <c r="H241" s="800"/>
      <c r="I241" s="800"/>
      <c r="J241" s="800"/>
      <c r="K241" s="800"/>
      <c r="L241" s="801"/>
      <c r="M241" s="800"/>
      <c r="N241" s="800"/>
      <c r="O241" s="800"/>
      <c r="P241" s="800"/>
      <c r="Q241" s="800"/>
      <c r="R241" s="800"/>
      <c r="S241" s="429"/>
      <c r="T241" s="429"/>
      <c r="U241" s="429"/>
      <c r="V241" s="429"/>
    </row>
    <row r="242" spans="1:22" ht="21" customHeight="1">
      <c r="A242" s="800"/>
      <c r="B242" s="800"/>
      <c r="C242" s="800"/>
      <c r="D242" s="800"/>
      <c r="E242" s="800"/>
      <c r="F242" s="800"/>
      <c r="G242" s="800"/>
      <c r="H242" s="800"/>
      <c r="I242" s="800"/>
      <c r="J242" s="800"/>
      <c r="K242" s="800"/>
      <c r="L242" s="801"/>
      <c r="M242" s="800"/>
      <c r="N242" s="800"/>
      <c r="O242" s="800"/>
      <c r="P242" s="800"/>
      <c r="Q242" s="800"/>
      <c r="R242" s="800"/>
      <c r="S242" s="429"/>
      <c r="T242" s="429"/>
      <c r="U242" s="429"/>
      <c r="V242" s="429"/>
    </row>
    <row r="243" spans="1:22" ht="21" customHeight="1">
      <c r="A243" s="800"/>
      <c r="B243" s="800"/>
      <c r="C243" s="800"/>
      <c r="D243" s="800"/>
      <c r="E243" s="800"/>
      <c r="F243" s="800"/>
      <c r="G243" s="800"/>
      <c r="H243" s="800"/>
      <c r="I243" s="800"/>
      <c r="J243" s="800"/>
      <c r="K243" s="800"/>
      <c r="L243" s="801"/>
      <c r="M243" s="800"/>
      <c r="N243" s="800"/>
      <c r="O243" s="800"/>
      <c r="P243" s="800"/>
      <c r="Q243" s="800"/>
      <c r="R243" s="800"/>
      <c r="S243" s="429"/>
      <c r="T243" s="429"/>
      <c r="U243" s="429"/>
      <c r="V243" s="429"/>
    </row>
    <row r="244" spans="1:22" ht="21" customHeight="1">
      <c r="A244" s="800"/>
      <c r="B244" s="800"/>
      <c r="C244" s="800"/>
      <c r="D244" s="800"/>
      <c r="E244" s="800"/>
      <c r="F244" s="800"/>
      <c r="G244" s="800"/>
      <c r="H244" s="800"/>
      <c r="I244" s="800"/>
      <c r="J244" s="800"/>
      <c r="K244" s="800"/>
      <c r="L244" s="801"/>
      <c r="M244" s="800"/>
      <c r="N244" s="800"/>
      <c r="O244" s="800"/>
      <c r="P244" s="800"/>
      <c r="Q244" s="800"/>
      <c r="R244" s="800"/>
      <c r="S244" s="429"/>
      <c r="T244" s="429"/>
      <c r="U244" s="429"/>
      <c r="V244" s="429"/>
    </row>
    <row r="245" spans="1:22" ht="21" customHeight="1">
      <c r="A245" s="800"/>
      <c r="B245" s="800"/>
      <c r="C245" s="800"/>
      <c r="D245" s="800"/>
      <c r="E245" s="800"/>
      <c r="F245" s="800"/>
      <c r="G245" s="800"/>
      <c r="H245" s="800"/>
      <c r="I245" s="800"/>
      <c r="J245" s="800"/>
      <c r="K245" s="800"/>
      <c r="L245" s="801"/>
      <c r="M245" s="800"/>
      <c r="N245" s="800"/>
      <c r="O245" s="800"/>
      <c r="P245" s="800"/>
      <c r="Q245" s="800"/>
      <c r="R245" s="800"/>
      <c r="S245" s="429"/>
      <c r="T245" s="429"/>
      <c r="U245" s="429"/>
      <c r="V245" s="429"/>
    </row>
    <row r="246" spans="1:22" ht="21" customHeight="1">
      <c r="A246" s="800"/>
      <c r="B246" s="800"/>
      <c r="C246" s="800"/>
      <c r="D246" s="800"/>
      <c r="E246" s="800"/>
      <c r="F246" s="800"/>
      <c r="G246" s="800"/>
      <c r="H246" s="800"/>
      <c r="I246" s="800"/>
      <c r="J246" s="800"/>
      <c r="K246" s="800"/>
      <c r="L246" s="801"/>
      <c r="M246" s="800"/>
      <c r="N246" s="800"/>
      <c r="O246" s="800"/>
      <c r="P246" s="800"/>
      <c r="Q246" s="800"/>
      <c r="R246" s="800"/>
      <c r="S246" s="429"/>
      <c r="T246" s="429"/>
      <c r="U246" s="429"/>
      <c r="V246" s="429"/>
    </row>
    <row r="247" spans="1:22" ht="21" customHeight="1">
      <c r="A247" s="800"/>
      <c r="B247" s="800"/>
      <c r="C247" s="800"/>
      <c r="D247" s="800"/>
      <c r="E247" s="800"/>
      <c r="F247" s="800"/>
      <c r="G247" s="800"/>
      <c r="H247" s="800"/>
      <c r="I247" s="800"/>
      <c r="J247" s="800"/>
      <c r="K247" s="800"/>
      <c r="L247" s="801"/>
      <c r="M247" s="800"/>
      <c r="N247" s="800"/>
      <c r="O247" s="800"/>
      <c r="P247" s="800"/>
      <c r="Q247" s="800"/>
      <c r="R247" s="800"/>
      <c r="S247" s="429"/>
      <c r="T247" s="429"/>
      <c r="U247" s="429"/>
      <c r="V247" s="429"/>
    </row>
    <row r="248" spans="1:22" ht="21" customHeight="1">
      <c r="A248" s="800"/>
      <c r="B248" s="800"/>
      <c r="C248" s="800"/>
      <c r="D248" s="800"/>
      <c r="E248" s="800"/>
      <c r="F248" s="800"/>
      <c r="G248" s="800"/>
      <c r="H248" s="800"/>
      <c r="I248" s="800"/>
      <c r="J248" s="800"/>
      <c r="K248" s="800"/>
      <c r="L248" s="801"/>
      <c r="M248" s="800"/>
      <c r="N248" s="800"/>
      <c r="O248" s="800"/>
      <c r="P248" s="800"/>
      <c r="Q248" s="800"/>
      <c r="R248" s="800"/>
      <c r="S248" s="429"/>
      <c r="T248" s="429"/>
      <c r="U248" s="429"/>
      <c r="V248" s="429"/>
    </row>
    <row r="249" spans="1:22" ht="21" customHeight="1">
      <c r="A249" s="800"/>
      <c r="B249" s="800"/>
      <c r="C249" s="800"/>
      <c r="D249" s="800"/>
      <c r="E249" s="800"/>
      <c r="F249" s="800"/>
      <c r="G249" s="800"/>
      <c r="H249" s="800"/>
      <c r="I249" s="800"/>
      <c r="J249" s="800"/>
      <c r="K249" s="800"/>
      <c r="L249" s="801"/>
      <c r="M249" s="800"/>
      <c r="N249" s="800"/>
      <c r="O249" s="800"/>
      <c r="P249" s="800"/>
      <c r="Q249" s="800"/>
      <c r="R249" s="800"/>
      <c r="S249" s="429"/>
      <c r="T249" s="429"/>
      <c r="U249" s="429"/>
      <c r="V249" s="429"/>
    </row>
    <row r="250" spans="1:22" ht="21" customHeight="1">
      <c r="A250" s="800"/>
      <c r="B250" s="800"/>
      <c r="C250" s="800"/>
      <c r="D250" s="800"/>
      <c r="E250" s="800"/>
      <c r="F250" s="800"/>
      <c r="G250" s="800"/>
      <c r="H250" s="800"/>
      <c r="I250" s="800"/>
      <c r="J250" s="800"/>
      <c r="K250" s="800"/>
      <c r="L250" s="801"/>
      <c r="M250" s="800"/>
      <c r="N250" s="800"/>
      <c r="O250" s="800"/>
      <c r="P250" s="800"/>
      <c r="Q250" s="800"/>
      <c r="R250" s="800"/>
      <c r="S250" s="429"/>
      <c r="T250" s="429"/>
      <c r="U250" s="429"/>
      <c r="V250" s="429"/>
    </row>
    <row r="251" spans="1:22" ht="21" customHeight="1">
      <c r="A251" s="800"/>
      <c r="B251" s="800"/>
      <c r="C251" s="800"/>
      <c r="D251" s="800"/>
      <c r="E251" s="800"/>
      <c r="F251" s="800"/>
      <c r="G251" s="800"/>
      <c r="H251" s="800"/>
      <c r="I251" s="800"/>
      <c r="J251" s="800"/>
      <c r="K251" s="800"/>
      <c r="L251" s="801"/>
      <c r="M251" s="800"/>
      <c r="N251" s="800"/>
      <c r="O251" s="800"/>
      <c r="P251" s="800"/>
      <c r="Q251" s="800"/>
      <c r="R251" s="800"/>
      <c r="S251" s="429"/>
      <c r="T251" s="429"/>
      <c r="U251" s="429"/>
      <c r="V251" s="429"/>
    </row>
    <row r="252" spans="1:22" ht="21" customHeight="1">
      <c r="A252" s="800"/>
      <c r="B252" s="800"/>
      <c r="C252" s="800"/>
      <c r="D252" s="800"/>
      <c r="E252" s="800"/>
      <c r="F252" s="800"/>
      <c r="G252" s="800"/>
      <c r="H252" s="800"/>
      <c r="I252" s="800"/>
      <c r="J252" s="800"/>
      <c r="K252" s="800"/>
      <c r="L252" s="801"/>
      <c r="M252" s="800"/>
      <c r="N252" s="800"/>
      <c r="O252" s="800"/>
      <c r="P252" s="800"/>
      <c r="Q252" s="800"/>
      <c r="R252" s="800"/>
      <c r="S252" s="429"/>
      <c r="T252" s="429"/>
      <c r="U252" s="429"/>
      <c r="V252" s="429"/>
    </row>
    <row r="253" spans="1:22" ht="21" customHeight="1">
      <c r="A253" s="800"/>
      <c r="B253" s="800"/>
      <c r="C253" s="800"/>
      <c r="D253" s="800"/>
      <c r="E253" s="800"/>
      <c r="F253" s="800"/>
      <c r="G253" s="800"/>
      <c r="H253" s="800"/>
      <c r="I253" s="800"/>
      <c r="J253" s="800"/>
      <c r="K253" s="800"/>
      <c r="L253" s="801"/>
      <c r="M253" s="800"/>
      <c r="N253" s="800"/>
      <c r="O253" s="800"/>
      <c r="P253" s="800"/>
      <c r="Q253" s="800"/>
      <c r="R253" s="800"/>
      <c r="S253" s="429"/>
      <c r="T253" s="429"/>
      <c r="U253" s="429"/>
      <c r="V253" s="429"/>
    </row>
    <row r="254" spans="1:22" ht="21" customHeight="1">
      <c r="A254" s="800"/>
      <c r="B254" s="800"/>
      <c r="C254" s="800"/>
      <c r="D254" s="800"/>
      <c r="E254" s="800"/>
      <c r="F254" s="800"/>
      <c r="G254" s="800"/>
      <c r="H254" s="800"/>
      <c r="I254" s="800"/>
      <c r="J254" s="800"/>
      <c r="K254" s="800"/>
      <c r="L254" s="801"/>
      <c r="M254" s="800"/>
      <c r="N254" s="800"/>
      <c r="O254" s="800"/>
      <c r="P254" s="800"/>
      <c r="Q254" s="800"/>
      <c r="R254" s="800"/>
      <c r="S254" s="429"/>
      <c r="T254" s="429"/>
      <c r="U254" s="429"/>
      <c r="V254" s="429"/>
    </row>
    <row r="255" spans="1:22" ht="21" customHeight="1">
      <c r="A255" s="800"/>
      <c r="B255" s="800"/>
      <c r="C255" s="800"/>
      <c r="D255" s="800"/>
      <c r="E255" s="800"/>
      <c r="F255" s="800"/>
      <c r="G255" s="800"/>
      <c r="H255" s="800"/>
      <c r="I255" s="800"/>
      <c r="J255" s="800"/>
      <c r="K255" s="800"/>
      <c r="L255" s="801"/>
      <c r="M255" s="800"/>
      <c r="N255" s="800"/>
      <c r="O255" s="800"/>
      <c r="P255" s="800"/>
      <c r="Q255" s="800"/>
      <c r="R255" s="800"/>
      <c r="S255" s="429"/>
      <c r="T255" s="429"/>
      <c r="U255" s="429"/>
      <c r="V255" s="429"/>
    </row>
    <row r="256" spans="1:22" ht="21" customHeight="1">
      <c r="A256" s="800"/>
      <c r="B256" s="800"/>
      <c r="C256" s="800"/>
      <c r="D256" s="800"/>
      <c r="E256" s="800"/>
      <c r="F256" s="800"/>
      <c r="G256" s="800"/>
      <c r="H256" s="800"/>
      <c r="I256" s="800"/>
      <c r="J256" s="800"/>
      <c r="K256" s="800"/>
      <c r="L256" s="801"/>
      <c r="M256" s="800"/>
      <c r="N256" s="800"/>
      <c r="O256" s="800"/>
      <c r="P256" s="800"/>
      <c r="Q256" s="800"/>
      <c r="R256" s="800"/>
      <c r="S256" s="429"/>
      <c r="T256" s="429"/>
      <c r="U256" s="429"/>
      <c r="V256" s="429"/>
    </row>
    <row r="257" spans="1:22" ht="21" customHeight="1">
      <c r="A257" s="800"/>
      <c r="B257" s="800"/>
      <c r="C257" s="800"/>
      <c r="D257" s="800"/>
      <c r="E257" s="800"/>
      <c r="F257" s="800"/>
      <c r="G257" s="800"/>
      <c r="H257" s="800"/>
      <c r="I257" s="800"/>
      <c r="J257" s="800"/>
      <c r="K257" s="800"/>
      <c r="L257" s="801"/>
      <c r="M257" s="800"/>
      <c r="N257" s="800"/>
      <c r="O257" s="800"/>
      <c r="P257" s="800"/>
      <c r="Q257" s="800"/>
      <c r="R257" s="800"/>
      <c r="S257" s="429"/>
      <c r="T257" s="429"/>
      <c r="U257" s="429"/>
      <c r="V257" s="429"/>
    </row>
    <row r="258" spans="1:22" ht="21" customHeight="1">
      <c r="A258" s="800"/>
      <c r="B258" s="800"/>
      <c r="C258" s="800"/>
      <c r="D258" s="800"/>
      <c r="E258" s="800"/>
      <c r="F258" s="800"/>
      <c r="G258" s="800"/>
      <c r="H258" s="800"/>
      <c r="I258" s="800"/>
      <c r="J258" s="800"/>
      <c r="K258" s="800"/>
      <c r="L258" s="801"/>
      <c r="M258" s="800"/>
      <c r="N258" s="800"/>
      <c r="O258" s="800"/>
      <c r="P258" s="800"/>
      <c r="Q258" s="800"/>
      <c r="R258" s="800"/>
      <c r="S258" s="429"/>
      <c r="T258" s="429"/>
      <c r="U258" s="429"/>
      <c r="V258" s="429"/>
    </row>
    <row r="259" spans="1:22" ht="21" customHeight="1">
      <c r="A259" s="800"/>
      <c r="B259" s="800"/>
      <c r="C259" s="800"/>
      <c r="D259" s="800"/>
      <c r="E259" s="800"/>
      <c r="F259" s="800"/>
      <c r="G259" s="800"/>
      <c r="H259" s="800"/>
      <c r="I259" s="800"/>
      <c r="J259" s="800"/>
      <c r="K259" s="800"/>
      <c r="L259" s="801"/>
      <c r="M259" s="800"/>
      <c r="N259" s="800"/>
      <c r="O259" s="800"/>
      <c r="P259" s="800"/>
      <c r="Q259" s="800"/>
      <c r="R259" s="800"/>
      <c r="S259" s="429"/>
      <c r="T259" s="429"/>
      <c r="U259" s="429"/>
      <c r="V259" s="429"/>
    </row>
    <row r="260" spans="1:22" ht="21" customHeight="1">
      <c r="A260" s="800"/>
      <c r="B260" s="800"/>
      <c r="C260" s="800"/>
      <c r="D260" s="800"/>
      <c r="E260" s="800"/>
      <c r="F260" s="800"/>
      <c r="G260" s="800"/>
      <c r="H260" s="800"/>
      <c r="I260" s="800"/>
      <c r="J260" s="800"/>
      <c r="K260" s="800"/>
      <c r="L260" s="801"/>
      <c r="M260" s="800"/>
      <c r="N260" s="800"/>
      <c r="O260" s="800"/>
      <c r="P260" s="800"/>
      <c r="Q260" s="800"/>
      <c r="R260" s="800"/>
      <c r="S260" s="429"/>
      <c r="T260" s="429"/>
      <c r="U260" s="429"/>
      <c r="V260" s="429"/>
    </row>
    <row r="261" spans="1:22" ht="21" customHeight="1">
      <c r="A261" s="800"/>
      <c r="B261" s="800"/>
      <c r="C261" s="800"/>
      <c r="D261" s="800"/>
      <c r="E261" s="800"/>
      <c r="F261" s="800"/>
      <c r="G261" s="800"/>
      <c r="H261" s="800"/>
      <c r="I261" s="800"/>
      <c r="J261" s="800"/>
      <c r="K261" s="800"/>
      <c r="L261" s="801"/>
      <c r="M261" s="800"/>
      <c r="N261" s="800"/>
      <c r="O261" s="800"/>
      <c r="P261" s="800"/>
      <c r="Q261" s="800"/>
      <c r="R261" s="800"/>
      <c r="S261" s="429"/>
      <c r="T261" s="429"/>
      <c r="U261" s="429"/>
      <c r="V261" s="429"/>
    </row>
    <row r="262" spans="1:22" ht="21" customHeight="1">
      <c r="A262" s="800"/>
      <c r="B262" s="800"/>
      <c r="C262" s="800"/>
      <c r="D262" s="800"/>
      <c r="E262" s="800"/>
      <c r="F262" s="800"/>
      <c r="G262" s="800"/>
      <c r="H262" s="800"/>
      <c r="I262" s="800"/>
      <c r="J262" s="800"/>
      <c r="K262" s="800"/>
      <c r="L262" s="801"/>
      <c r="M262" s="800"/>
      <c r="N262" s="800"/>
      <c r="O262" s="800"/>
      <c r="P262" s="800"/>
      <c r="Q262" s="800"/>
      <c r="R262" s="800"/>
      <c r="S262" s="429"/>
      <c r="T262" s="429"/>
      <c r="U262" s="429"/>
      <c r="V262" s="429"/>
    </row>
    <row r="263" spans="1:22" ht="21" customHeight="1">
      <c r="A263" s="800"/>
      <c r="B263" s="800"/>
      <c r="C263" s="800"/>
      <c r="D263" s="800"/>
      <c r="E263" s="800"/>
      <c r="F263" s="800"/>
      <c r="G263" s="800"/>
      <c r="H263" s="800"/>
      <c r="I263" s="800"/>
      <c r="J263" s="800"/>
      <c r="K263" s="800"/>
      <c r="L263" s="801"/>
      <c r="M263" s="800"/>
      <c r="N263" s="800"/>
      <c r="O263" s="800"/>
      <c r="P263" s="800"/>
      <c r="Q263" s="800"/>
      <c r="R263" s="800"/>
      <c r="S263" s="429"/>
      <c r="T263" s="429"/>
      <c r="U263" s="429"/>
      <c r="V263" s="429"/>
    </row>
    <row r="264" spans="1:22" ht="21" customHeight="1">
      <c r="A264" s="800"/>
      <c r="B264" s="800"/>
      <c r="C264" s="800"/>
      <c r="D264" s="800"/>
      <c r="E264" s="800"/>
      <c r="F264" s="800"/>
      <c r="G264" s="800"/>
      <c r="H264" s="800"/>
      <c r="I264" s="800"/>
      <c r="J264" s="800"/>
      <c r="K264" s="800"/>
      <c r="L264" s="801"/>
      <c r="M264" s="800"/>
      <c r="N264" s="800"/>
      <c r="O264" s="800"/>
      <c r="P264" s="800"/>
      <c r="Q264" s="800"/>
      <c r="R264" s="800"/>
      <c r="S264" s="429"/>
      <c r="T264" s="429"/>
      <c r="U264" s="429"/>
      <c r="V264" s="429"/>
    </row>
    <row r="265" spans="1:22" ht="21" customHeight="1">
      <c r="A265" s="800"/>
      <c r="B265" s="800"/>
      <c r="C265" s="800"/>
      <c r="D265" s="800"/>
      <c r="E265" s="800"/>
      <c r="F265" s="800"/>
      <c r="G265" s="800"/>
      <c r="H265" s="800"/>
      <c r="I265" s="800"/>
      <c r="J265" s="800"/>
      <c r="K265" s="800"/>
      <c r="L265" s="801"/>
      <c r="M265" s="800"/>
      <c r="N265" s="800"/>
      <c r="O265" s="800"/>
      <c r="P265" s="800"/>
      <c r="Q265" s="800"/>
      <c r="R265" s="800"/>
      <c r="S265" s="429"/>
      <c r="T265" s="429"/>
      <c r="U265" s="429"/>
      <c r="V265" s="429"/>
    </row>
    <row r="266" spans="1:22" ht="21" customHeight="1">
      <c r="A266" s="800"/>
      <c r="B266" s="800"/>
      <c r="C266" s="800"/>
      <c r="D266" s="800"/>
      <c r="E266" s="800"/>
      <c r="F266" s="800"/>
      <c r="G266" s="800"/>
      <c r="H266" s="800"/>
      <c r="I266" s="800"/>
      <c r="J266" s="800"/>
      <c r="K266" s="800"/>
      <c r="L266" s="801"/>
      <c r="M266" s="800"/>
      <c r="N266" s="800"/>
      <c r="O266" s="800"/>
      <c r="P266" s="800"/>
      <c r="Q266" s="800"/>
      <c r="R266" s="800"/>
      <c r="S266" s="429"/>
      <c r="T266" s="429"/>
      <c r="U266" s="429"/>
      <c r="V266" s="429"/>
    </row>
    <row r="267" spans="1:22" ht="21" customHeight="1">
      <c r="A267" s="800"/>
      <c r="B267" s="800"/>
      <c r="C267" s="800"/>
      <c r="D267" s="800"/>
      <c r="E267" s="800"/>
      <c r="F267" s="800"/>
      <c r="G267" s="800"/>
      <c r="H267" s="800"/>
      <c r="I267" s="800"/>
      <c r="J267" s="800"/>
      <c r="K267" s="800"/>
      <c r="L267" s="801"/>
      <c r="M267" s="800"/>
      <c r="N267" s="800"/>
      <c r="O267" s="800"/>
      <c r="P267" s="800"/>
      <c r="Q267" s="800"/>
      <c r="R267" s="800"/>
      <c r="S267" s="429"/>
      <c r="T267" s="429"/>
      <c r="U267" s="429"/>
      <c r="V267" s="429"/>
    </row>
    <row r="268" spans="1:22" ht="21" customHeight="1">
      <c r="A268" s="800"/>
      <c r="B268" s="800"/>
      <c r="C268" s="800"/>
      <c r="D268" s="800"/>
      <c r="E268" s="800"/>
      <c r="F268" s="800"/>
      <c r="G268" s="800"/>
      <c r="H268" s="800"/>
      <c r="I268" s="800"/>
      <c r="J268" s="800"/>
      <c r="K268" s="800"/>
      <c r="L268" s="801"/>
      <c r="M268" s="800"/>
      <c r="N268" s="800"/>
      <c r="O268" s="800"/>
      <c r="P268" s="800"/>
      <c r="Q268" s="800"/>
      <c r="R268" s="800"/>
      <c r="S268" s="429"/>
      <c r="T268" s="429"/>
      <c r="U268" s="429"/>
      <c r="V268" s="429"/>
    </row>
    <row r="269" spans="1:22" ht="21" customHeight="1">
      <c r="A269" s="800"/>
      <c r="B269" s="800"/>
      <c r="C269" s="800"/>
      <c r="D269" s="800"/>
      <c r="E269" s="800"/>
      <c r="F269" s="800"/>
      <c r="G269" s="800"/>
      <c r="H269" s="800"/>
      <c r="I269" s="800"/>
      <c r="J269" s="800"/>
      <c r="K269" s="800"/>
      <c r="L269" s="801"/>
      <c r="M269" s="800"/>
      <c r="N269" s="800"/>
      <c r="O269" s="800"/>
      <c r="P269" s="800"/>
      <c r="Q269" s="800"/>
      <c r="R269" s="800"/>
      <c r="S269" s="429"/>
      <c r="T269" s="429"/>
      <c r="U269" s="429"/>
      <c r="V269" s="429"/>
    </row>
    <row r="270" spans="1:22" ht="21" customHeight="1">
      <c r="A270" s="800"/>
      <c r="B270" s="800"/>
      <c r="C270" s="800"/>
      <c r="D270" s="800"/>
      <c r="E270" s="800"/>
      <c r="F270" s="800"/>
      <c r="G270" s="800"/>
      <c r="H270" s="800"/>
      <c r="I270" s="800"/>
      <c r="J270" s="800"/>
      <c r="K270" s="800"/>
      <c r="L270" s="801"/>
      <c r="M270" s="800"/>
      <c r="N270" s="800"/>
      <c r="O270" s="800"/>
      <c r="P270" s="800"/>
      <c r="Q270" s="800"/>
      <c r="R270" s="800"/>
      <c r="S270" s="429"/>
      <c r="T270" s="429"/>
      <c r="U270" s="429"/>
      <c r="V270" s="429"/>
    </row>
    <row r="271" spans="1:22" ht="21" customHeight="1">
      <c r="A271" s="800"/>
      <c r="B271" s="800"/>
      <c r="C271" s="800"/>
      <c r="D271" s="800"/>
      <c r="E271" s="800"/>
      <c r="F271" s="800"/>
      <c r="G271" s="800"/>
      <c r="H271" s="800"/>
      <c r="I271" s="800"/>
      <c r="J271" s="800"/>
      <c r="K271" s="800"/>
      <c r="L271" s="801"/>
      <c r="M271" s="800"/>
      <c r="N271" s="800"/>
      <c r="O271" s="800"/>
      <c r="P271" s="800"/>
      <c r="Q271" s="800"/>
      <c r="R271" s="800"/>
      <c r="S271" s="429"/>
      <c r="T271" s="429"/>
      <c r="U271" s="429"/>
      <c r="V271" s="429"/>
    </row>
    <row r="272" spans="1:22" ht="21" customHeight="1">
      <c r="A272" s="800"/>
      <c r="B272" s="800"/>
      <c r="C272" s="800"/>
      <c r="D272" s="800"/>
      <c r="E272" s="800"/>
      <c r="F272" s="800"/>
      <c r="G272" s="800"/>
      <c r="H272" s="800"/>
      <c r="I272" s="800"/>
      <c r="J272" s="800"/>
      <c r="K272" s="800"/>
      <c r="L272" s="801"/>
      <c r="M272" s="800"/>
      <c r="N272" s="800"/>
      <c r="O272" s="800"/>
      <c r="P272" s="800"/>
      <c r="Q272" s="800"/>
      <c r="R272" s="800"/>
      <c r="S272" s="429"/>
      <c r="T272" s="429"/>
      <c r="U272" s="429"/>
      <c r="V272" s="429"/>
    </row>
    <row r="273" spans="1:22" ht="21" customHeight="1">
      <c r="A273" s="800"/>
      <c r="B273" s="800"/>
      <c r="C273" s="800"/>
      <c r="D273" s="800"/>
      <c r="E273" s="800"/>
      <c r="F273" s="800"/>
      <c r="G273" s="800"/>
      <c r="H273" s="800"/>
      <c r="I273" s="800"/>
      <c r="J273" s="800"/>
      <c r="K273" s="800"/>
      <c r="L273" s="801"/>
      <c r="M273" s="800"/>
      <c r="N273" s="800"/>
      <c r="O273" s="800"/>
      <c r="P273" s="800"/>
      <c r="Q273" s="800"/>
      <c r="R273" s="800"/>
      <c r="S273" s="429"/>
      <c r="T273" s="429"/>
      <c r="U273" s="429"/>
      <c r="V273" s="429"/>
    </row>
    <row r="274" spans="1:22" ht="21" customHeight="1">
      <c r="A274" s="800"/>
      <c r="B274" s="800"/>
      <c r="C274" s="800"/>
      <c r="D274" s="800"/>
      <c r="E274" s="800"/>
      <c r="F274" s="800"/>
      <c r="G274" s="800"/>
      <c r="H274" s="800"/>
      <c r="I274" s="800"/>
      <c r="J274" s="800"/>
      <c r="K274" s="800"/>
      <c r="L274" s="801"/>
      <c r="M274" s="800"/>
      <c r="N274" s="800"/>
      <c r="O274" s="800"/>
      <c r="P274" s="800"/>
      <c r="Q274" s="800"/>
      <c r="R274" s="800"/>
      <c r="S274" s="429"/>
      <c r="T274" s="429"/>
      <c r="U274" s="429"/>
      <c r="V274" s="429"/>
    </row>
    <row r="275" spans="1:22" ht="21" customHeight="1">
      <c r="A275" s="800"/>
      <c r="B275" s="800"/>
      <c r="C275" s="800"/>
      <c r="D275" s="800"/>
      <c r="E275" s="800"/>
      <c r="F275" s="800"/>
      <c r="G275" s="800"/>
      <c r="H275" s="800"/>
      <c r="I275" s="800"/>
      <c r="J275" s="800"/>
      <c r="K275" s="800"/>
      <c r="L275" s="801"/>
      <c r="M275" s="800"/>
      <c r="N275" s="800"/>
      <c r="O275" s="800"/>
      <c r="P275" s="800"/>
      <c r="Q275" s="800"/>
      <c r="R275" s="800"/>
      <c r="S275" s="429"/>
      <c r="T275" s="429"/>
      <c r="U275" s="429"/>
      <c r="V275" s="429"/>
    </row>
    <row r="276" spans="1:22" ht="21" customHeight="1">
      <c r="A276" s="800"/>
      <c r="B276" s="800"/>
      <c r="C276" s="800"/>
      <c r="D276" s="800"/>
      <c r="E276" s="800"/>
      <c r="F276" s="800"/>
      <c r="G276" s="800"/>
      <c r="H276" s="800"/>
      <c r="I276" s="800"/>
      <c r="J276" s="800"/>
      <c r="K276" s="800"/>
      <c r="L276" s="801"/>
      <c r="M276" s="800"/>
      <c r="N276" s="800"/>
      <c r="O276" s="800"/>
      <c r="P276" s="800"/>
      <c r="Q276" s="800"/>
      <c r="R276" s="800"/>
      <c r="S276" s="429"/>
      <c r="T276" s="429"/>
      <c r="U276" s="429"/>
      <c r="V276" s="429"/>
    </row>
    <row r="277" spans="1:22" ht="21" customHeight="1">
      <c r="A277" s="800"/>
      <c r="B277" s="800"/>
      <c r="C277" s="800"/>
      <c r="D277" s="800"/>
      <c r="E277" s="800"/>
      <c r="F277" s="800"/>
      <c r="G277" s="800"/>
      <c r="H277" s="800"/>
      <c r="I277" s="800"/>
      <c r="J277" s="800"/>
      <c r="K277" s="800"/>
      <c r="L277" s="801"/>
      <c r="M277" s="800"/>
      <c r="N277" s="800"/>
      <c r="O277" s="800"/>
      <c r="P277" s="800"/>
      <c r="Q277" s="800"/>
      <c r="R277" s="800"/>
      <c r="S277" s="429"/>
      <c r="T277" s="429"/>
      <c r="U277" s="429"/>
      <c r="V277" s="429"/>
    </row>
    <row r="278" spans="1:22" ht="21" customHeight="1">
      <c r="A278" s="800"/>
      <c r="B278" s="800"/>
      <c r="C278" s="800"/>
      <c r="D278" s="800"/>
      <c r="E278" s="800"/>
      <c r="F278" s="800"/>
      <c r="G278" s="800"/>
      <c r="H278" s="800"/>
      <c r="I278" s="800"/>
      <c r="J278" s="800"/>
      <c r="K278" s="800"/>
      <c r="L278" s="801"/>
      <c r="M278" s="800"/>
      <c r="N278" s="800"/>
      <c r="O278" s="800"/>
      <c r="P278" s="800"/>
      <c r="Q278" s="800"/>
      <c r="R278" s="800"/>
      <c r="S278" s="429"/>
      <c r="T278" s="429"/>
      <c r="U278" s="429"/>
      <c r="V278" s="429"/>
    </row>
    <row r="279" spans="1:22" ht="21" customHeight="1">
      <c r="A279" s="800"/>
      <c r="B279" s="800"/>
      <c r="C279" s="800"/>
      <c r="D279" s="800"/>
      <c r="E279" s="800"/>
      <c r="F279" s="800"/>
      <c r="G279" s="800"/>
      <c r="H279" s="800"/>
      <c r="I279" s="800"/>
      <c r="J279" s="800"/>
      <c r="K279" s="800"/>
      <c r="L279" s="801"/>
      <c r="M279" s="800"/>
      <c r="N279" s="800"/>
      <c r="O279" s="800"/>
      <c r="P279" s="800"/>
      <c r="Q279" s="800"/>
      <c r="R279" s="800"/>
      <c r="S279" s="429"/>
      <c r="T279" s="429"/>
      <c r="U279" s="429"/>
      <c r="V279" s="429"/>
    </row>
    <row r="280" spans="1:22" ht="21" customHeight="1">
      <c r="A280" s="800"/>
      <c r="B280" s="800"/>
      <c r="C280" s="800"/>
      <c r="D280" s="800"/>
      <c r="E280" s="800"/>
      <c r="F280" s="800"/>
      <c r="G280" s="800"/>
      <c r="H280" s="800"/>
      <c r="I280" s="800"/>
      <c r="J280" s="800"/>
      <c r="K280" s="800"/>
      <c r="L280" s="801"/>
      <c r="M280" s="800"/>
      <c r="N280" s="800"/>
      <c r="O280" s="800"/>
      <c r="P280" s="800"/>
      <c r="Q280" s="800"/>
      <c r="R280" s="800"/>
      <c r="S280" s="429"/>
      <c r="T280" s="429"/>
      <c r="U280" s="429"/>
      <c r="V280" s="429"/>
    </row>
    <row r="281" spans="1:22" ht="21" customHeight="1">
      <c r="A281" s="800"/>
      <c r="B281" s="800"/>
      <c r="C281" s="800"/>
      <c r="D281" s="800"/>
      <c r="E281" s="800"/>
      <c r="F281" s="800"/>
      <c r="G281" s="800"/>
      <c r="H281" s="800"/>
      <c r="I281" s="800"/>
      <c r="J281" s="800"/>
      <c r="K281" s="800"/>
      <c r="L281" s="801"/>
      <c r="M281" s="800"/>
      <c r="N281" s="800"/>
      <c r="O281" s="800"/>
      <c r="P281" s="800"/>
      <c r="Q281" s="800"/>
      <c r="R281" s="800"/>
      <c r="S281" s="429"/>
      <c r="T281" s="429"/>
      <c r="U281" s="429"/>
      <c r="V281" s="429"/>
    </row>
    <row r="282" spans="1:22" ht="21" customHeight="1">
      <c r="A282" s="800"/>
      <c r="B282" s="800"/>
      <c r="C282" s="800"/>
      <c r="D282" s="800"/>
      <c r="E282" s="800"/>
      <c r="F282" s="800"/>
      <c r="G282" s="800"/>
      <c r="H282" s="800"/>
      <c r="I282" s="800"/>
      <c r="J282" s="800"/>
      <c r="K282" s="800"/>
      <c r="L282" s="801"/>
      <c r="M282" s="800"/>
      <c r="N282" s="800"/>
      <c r="O282" s="800"/>
      <c r="P282" s="800"/>
      <c r="Q282" s="800"/>
      <c r="R282" s="800"/>
      <c r="S282" s="429"/>
      <c r="T282" s="429"/>
      <c r="U282" s="429"/>
      <c r="V282" s="429"/>
    </row>
    <row r="283" spans="1:22" ht="21" customHeight="1">
      <c r="A283" s="800"/>
      <c r="B283" s="800"/>
      <c r="C283" s="800"/>
      <c r="D283" s="800"/>
      <c r="E283" s="800"/>
      <c r="F283" s="800"/>
      <c r="G283" s="800"/>
      <c r="H283" s="800"/>
      <c r="I283" s="800"/>
      <c r="J283" s="800"/>
      <c r="K283" s="800"/>
      <c r="L283" s="801"/>
      <c r="M283" s="800"/>
      <c r="N283" s="800"/>
      <c r="O283" s="800"/>
      <c r="P283" s="800"/>
      <c r="Q283" s="800"/>
      <c r="R283" s="800"/>
      <c r="S283" s="429"/>
      <c r="T283" s="429"/>
      <c r="U283" s="429"/>
      <c r="V283" s="429"/>
    </row>
    <row r="284" spans="1:22" ht="21" customHeight="1">
      <c r="A284" s="800"/>
      <c r="B284" s="800"/>
      <c r="C284" s="800"/>
      <c r="D284" s="800"/>
      <c r="E284" s="800"/>
      <c r="F284" s="800"/>
      <c r="G284" s="800"/>
      <c r="H284" s="800"/>
      <c r="I284" s="800"/>
      <c r="J284" s="800"/>
      <c r="K284" s="800"/>
      <c r="L284" s="801"/>
      <c r="M284" s="800"/>
      <c r="N284" s="800"/>
      <c r="O284" s="800"/>
      <c r="P284" s="800"/>
      <c r="Q284" s="800"/>
      <c r="R284" s="800"/>
      <c r="S284" s="429"/>
      <c r="T284" s="429"/>
      <c r="U284" s="429"/>
      <c r="V284" s="429"/>
    </row>
    <row r="285" spans="1:22" ht="21" customHeight="1">
      <c r="A285" s="800"/>
      <c r="B285" s="800"/>
      <c r="C285" s="800"/>
      <c r="D285" s="800"/>
      <c r="E285" s="800"/>
      <c r="F285" s="800"/>
      <c r="G285" s="800"/>
      <c r="H285" s="800"/>
      <c r="I285" s="800"/>
      <c r="J285" s="800"/>
      <c r="K285" s="800"/>
      <c r="L285" s="801"/>
      <c r="M285" s="800"/>
      <c r="N285" s="800"/>
      <c r="O285" s="800"/>
      <c r="P285" s="800"/>
      <c r="Q285" s="800"/>
      <c r="R285" s="800"/>
      <c r="S285" s="429"/>
      <c r="T285" s="429"/>
      <c r="U285" s="429"/>
      <c r="V285" s="429"/>
    </row>
    <row r="286" spans="1:22" ht="21" customHeight="1">
      <c r="A286" s="800"/>
      <c r="B286" s="800"/>
      <c r="C286" s="800"/>
      <c r="D286" s="800"/>
      <c r="E286" s="800"/>
      <c r="F286" s="800"/>
      <c r="G286" s="800"/>
      <c r="H286" s="800"/>
      <c r="I286" s="800"/>
      <c r="J286" s="800"/>
      <c r="K286" s="800"/>
      <c r="L286" s="801"/>
      <c r="M286" s="800"/>
      <c r="N286" s="800"/>
      <c r="O286" s="800"/>
      <c r="P286" s="800"/>
      <c r="Q286" s="800"/>
      <c r="R286" s="800"/>
      <c r="S286" s="429"/>
      <c r="T286" s="429"/>
      <c r="U286" s="429"/>
      <c r="V286" s="429"/>
    </row>
    <row r="287" spans="1:22" ht="21" customHeight="1">
      <c r="A287" s="800"/>
      <c r="B287" s="800"/>
      <c r="C287" s="800"/>
      <c r="D287" s="800"/>
      <c r="E287" s="800"/>
      <c r="F287" s="800"/>
      <c r="G287" s="800"/>
      <c r="H287" s="800"/>
      <c r="I287" s="800"/>
      <c r="J287" s="800"/>
      <c r="K287" s="800"/>
      <c r="L287" s="801"/>
      <c r="M287" s="800"/>
      <c r="N287" s="800"/>
      <c r="O287" s="800"/>
      <c r="P287" s="800"/>
      <c r="Q287" s="800"/>
      <c r="R287" s="800"/>
      <c r="S287" s="429"/>
      <c r="T287" s="429"/>
      <c r="U287" s="429"/>
      <c r="V287" s="429"/>
    </row>
    <row r="288" spans="1:22" ht="21" customHeight="1">
      <c r="A288" s="800"/>
      <c r="B288" s="800"/>
      <c r="C288" s="800"/>
      <c r="D288" s="800"/>
      <c r="E288" s="800"/>
      <c r="F288" s="800"/>
      <c r="G288" s="800"/>
      <c r="H288" s="800"/>
      <c r="I288" s="800"/>
      <c r="J288" s="800"/>
      <c r="K288" s="800"/>
      <c r="L288" s="801"/>
      <c r="M288" s="800"/>
      <c r="N288" s="800"/>
      <c r="O288" s="800"/>
      <c r="P288" s="800"/>
      <c r="Q288" s="800"/>
      <c r="R288" s="800"/>
      <c r="S288" s="429"/>
      <c r="T288" s="429"/>
      <c r="U288" s="429"/>
      <c r="V288" s="429"/>
    </row>
    <row r="289" spans="1:22" ht="21" customHeight="1">
      <c r="A289" s="800"/>
      <c r="B289" s="800"/>
      <c r="C289" s="800"/>
      <c r="D289" s="800"/>
      <c r="E289" s="800"/>
      <c r="F289" s="800"/>
      <c r="G289" s="800"/>
      <c r="H289" s="800"/>
      <c r="I289" s="800"/>
      <c r="J289" s="800"/>
      <c r="K289" s="800"/>
      <c r="L289" s="801"/>
      <c r="M289" s="800"/>
      <c r="N289" s="800"/>
      <c r="O289" s="800"/>
      <c r="P289" s="800"/>
      <c r="Q289" s="800"/>
      <c r="R289" s="800"/>
      <c r="S289" s="429"/>
      <c r="T289" s="429"/>
      <c r="U289" s="429"/>
      <c r="V289" s="429"/>
    </row>
    <row r="290" spans="1:22" ht="21" customHeight="1">
      <c r="A290" s="800"/>
      <c r="B290" s="800"/>
      <c r="C290" s="800"/>
      <c r="D290" s="800"/>
      <c r="E290" s="800"/>
      <c r="F290" s="800"/>
      <c r="G290" s="800"/>
      <c r="H290" s="800"/>
      <c r="I290" s="800"/>
      <c r="J290" s="800"/>
      <c r="K290" s="800"/>
      <c r="L290" s="801"/>
      <c r="M290" s="800"/>
      <c r="N290" s="800"/>
      <c r="O290" s="800"/>
      <c r="P290" s="800"/>
      <c r="Q290" s="800"/>
      <c r="R290" s="800"/>
      <c r="S290" s="429"/>
      <c r="T290" s="429"/>
      <c r="U290" s="429"/>
      <c r="V290" s="429"/>
    </row>
    <row r="291" spans="1:22" ht="21" customHeight="1">
      <c r="A291" s="800"/>
      <c r="B291" s="800"/>
      <c r="C291" s="800"/>
      <c r="D291" s="800"/>
      <c r="E291" s="800"/>
      <c r="F291" s="800"/>
      <c r="G291" s="800"/>
      <c r="H291" s="800"/>
      <c r="I291" s="800"/>
      <c r="J291" s="800"/>
      <c r="K291" s="800"/>
      <c r="L291" s="801"/>
      <c r="M291" s="800"/>
      <c r="N291" s="800"/>
      <c r="O291" s="800"/>
      <c r="P291" s="800"/>
      <c r="Q291" s="800"/>
      <c r="R291" s="800"/>
      <c r="S291" s="429"/>
      <c r="T291" s="429"/>
      <c r="U291" s="429"/>
      <c r="V291" s="429"/>
    </row>
    <row r="292" spans="1:22" ht="21" customHeight="1">
      <c r="A292" s="800"/>
      <c r="B292" s="800"/>
      <c r="C292" s="800"/>
      <c r="D292" s="800"/>
      <c r="E292" s="800"/>
      <c r="F292" s="800"/>
      <c r="G292" s="800"/>
      <c r="H292" s="800"/>
      <c r="I292" s="800"/>
      <c r="J292" s="800"/>
      <c r="K292" s="800"/>
      <c r="L292" s="801"/>
      <c r="M292" s="800"/>
      <c r="N292" s="800"/>
      <c r="O292" s="800"/>
      <c r="P292" s="800"/>
      <c r="Q292" s="800"/>
      <c r="R292" s="800"/>
      <c r="S292" s="429"/>
      <c r="T292" s="429"/>
      <c r="U292" s="429"/>
      <c r="V292" s="429"/>
    </row>
    <row r="293" spans="1:22" ht="21" customHeight="1">
      <c r="A293" s="800"/>
      <c r="B293" s="800"/>
      <c r="C293" s="800"/>
      <c r="D293" s="800"/>
      <c r="E293" s="800"/>
      <c r="F293" s="800"/>
      <c r="G293" s="800"/>
      <c r="H293" s="800"/>
      <c r="I293" s="800"/>
      <c r="J293" s="800"/>
      <c r="K293" s="800"/>
      <c r="L293" s="801"/>
      <c r="M293" s="800"/>
      <c r="N293" s="800"/>
      <c r="O293" s="800"/>
      <c r="P293" s="800"/>
      <c r="Q293" s="800"/>
      <c r="R293" s="800"/>
      <c r="S293" s="429"/>
      <c r="T293" s="429"/>
      <c r="U293" s="429"/>
      <c r="V293" s="429"/>
    </row>
    <row r="294" spans="1:22" ht="21" customHeight="1">
      <c r="A294" s="800"/>
      <c r="B294" s="800"/>
      <c r="C294" s="800"/>
      <c r="D294" s="800"/>
      <c r="E294" s="800"/>
      <c r="F294" s="800"/>
      <c r="G294" s="800"/>
      <c r="H294" s="800"/>
      <c r="I294" s="800"/>
      <c r="J294" s="800"/>
      <c r="K294" s="800"/>
      <c r="L294" s="801"/>
      <c r="M294" s="800"/>
      <c r="N294" s="800"/>
      <c r="O294" s="800"/>
      <c r="P294" s="800"/>
      <c r="Q294" s="800"/>
      <c r="R294" s="800"/>
      <c r="S294" s="429"/>
      <c r="T294" s="429"/>
      <c r="U294" s="429"/>
      <c r="V294" s="429"/>
    </row>
    <row r="295" spans="1:22" ht="21" customHeight="1">
      <c r="A295" s="800"/>
      <c r="B295" s="800"/>
      <c r="C295" s="800"/>
      <c r="D295" s="800"/>
      <c r="E295" s="800"/>
      <c r="F295" s="800"/>
      <c r="G295" s="800"/>
      <c r="H295" s="800"/>
      <c r="I295" s="800"/>
      <c r="J295" s="800"/>
      <c r="K295" s="800"/>
      <c r="L295" s="801"/>
      <c r="M295" s="800"/>
      <c r="N295" s="800"/>
      <c r="O295" s="800"/>
      <c r="P295" s="800"/>
      <c r="Q295" s="800"/>
      <c r="R295" s="800"/>
      <c r="S295" s="429"/>
      <c r="T295" s="429"/>
      <c r="U295" s="429"/>
      <c r="V295" s="429"/>
    </row>
    <row r="296" spans="1:22" ht="21" customHeight="1">
      <c r="A296" s="800"/>
      <c r="B296" s="800"/>
      <c r="C296" s="800"/>
      <c r="D296" s="800"/>
      <c r="E296" s="800"/>
      <c r="F296" s="800"/>
      <c r="G296" s="800"/>
      <c r="H296" s="800"/>
      <c r="I296" s="800"/>
      <c r="J296" s="800"/>
      <c r="K296" s="800"/>
      <c r="L296" s="801"/>
      <c r="M296" s="800"/>
      <c r="N296" s="800"/>
      <c r="O296" s="800"/>
      <c r="P296" s="800"/>
      <c r="Q296" s="800"/>
      <c r="R296" s="800"/>
      <c r="S296" s="429"/>
      <c r="T296" s="429"/>
      <c r="U296" s="429"/>
      <c r="V296" s="429"/>
    </row>
    <row r="297" spans="1:22" ht="21" customHeight="1">
      <c r="A297" s="800"/>
      <c r="B297" s="800"/>
      <c r="C297" s="800"/>
      <c r="D297" s="800"/>
      <c r="E297" s="800"/>
      <c r="F297" s="800"/>
      <c r="G297" s="800"/>
      <c r="H297" s="800"/>
      <c r="I297" s="800"/>
      <c r="J297" s="800"/>
      <c r="K297" s="800"/>
      <c r="L297" s="801"/>
      <c r="M297" s="800"/>
      <c r="N297" s="800"/>
      <c r="O297" s="800"/>
      <c r="P297" s="800"/>
      <c r="Q297" s="800"/>
      <c r="R297" s="800"/>
      <c r="S297" s="429"/>
      <c r="T297" s="429"/>
      <c r="U297" s="429"/>
      <c r="V297" s="429"/>
    </row>
    <row r="298" spans="1:22" ht="21" customHeight="1">
      <c r="A298" s="800"/>
      <c r="B298" s="800"/>
      <c r="C298" s="800"/>
      <c r="D298" s="800"/>
      <c r="E298" s="800"/>
      <c r="F298" s="800"/>
      <c r="G298" s="800"/>
      <c r="H298" s="800"/>
      <c r="I298" s="800"/>
      <c r="J298" s="800"/>
      <c r="K298" s="800"/>
      <c r="L298" s="801"/>
      <c r="M298" s="800"/>
      <c r="N298" s="800"/>
      <c r="O298" s="800"/>
      <c r="P298" s="800"/>
      <c r="Q298" s="800"/>
      <c r="R298" s="800"/>
      <c r="S298" s="429"/>
      <c r="T298" s="429"/>
      <c r="U298" s="429"/>
      <c r="V298" s="429"/>
    </row>
    <row r="299" spans="1:22" ht="21" customHeight="1">
      <c r="A299" s="800"/>
      <c r="B299" s="800"/>
      <c r="C299" s="800"/>
      <c r="D299" s="800"/>
      <c r="E299" s="800"/>
      <c r="F299" s="800"/>
      <c r="G299" s="800"/>
      <c r="H299" s="800"/>
      <c r="I299" s="800"/>
      <c r="J299" s="800"/>
      <c r="K299" s="800"/>
      <c r="L299" s="801"/>
      <c r="M299" s="800"/>
      <c r="N299" s="800"/>
      <c r="O299" s="800"/>
      <c r="P299" s="800"/>
      <c r="Q299" s="800"/>
      <c r="R299" s="800"/>
      <c r="S299" s="429"/>
      <c r="T299" s="429"/>
      <c r="U299" s="429"/>
      <c r="V299" s="429"/>
    </row>
    <row r="300" spans="1:22" ht="21" customHeight="1">
      <c r="A300" s="800"/>
      <c r="B300" s="800"/>
      <c r="C300" s="800"/>
      <c r="D300" s="800"/>
      <c r="E300" s="800"/>
      <c r="F300" s="800"/>
      <c r="G300" s="800"/>
      <c r="H300" s="800"/>
      <c r="I300" s="800"/>
      <c r="J300" s="800"/>
      <c r="K300" s="800"/>
      <c r="L300" s="801"/>
      <c r="M300" s="800"/>
      <c r="N300" s="800"/>
      <c r="O300" s="800"/>
      <c r="P300" s="800"/>
      <c r="Q300" s="800"/>
      <c r="R300" s="800"/>
      <c r="S300" s="429"/>
      <c r="T300" s="429"/>
      <c r="U300" s="429"/>
      <c r="V300" s="429"/>
    </row>
    <row r="301" spans="1:22" ht="21" customHeight="1">
      <c r="A301" s="800"/>
      <c r="B301" s="800"/>
      <c r="C301" s="800"/>
      <c r="D301" s="800"/>
      <c r="E301" s="800"/>
      <c r="F301" s="800"/>
      <c r="G301" s="800"/>
      <c r="H301" s="800"/>
      <c r="I301" s="800"/>
      <c r="J301" s="800"/>
      <c r="K301" s="800"/>
      <c r="L301" s="801"/>
      <c r="M301" s="800"/>
      <c r="N301" s="800"/>
      <c r="O301" s="800"/>
      <c r="P301" s="800"/>
      <c r="Q301" s="800"/>
      <c r="R301" s="800"/>
      <c r="S301" s="429"/>
      <c r="T301" s="429"/>
      <c r="U301" s="429"/>
      <c r="V301" s="429"/>
    </row>
    <row r="302" spans="1:22" ht="21" customHeight="1">
      <c r="A302" s="800"/>
      <c r="B302" s="800"/>
      <c r="C302" s="800"/>
      <c r="D302" s="800"/>
      <c r="E302" s="800"/>
      <c r="F302" s="800"/>
      <c r="G302" s="800"/>
      <c r="H302" s="800"/>
      <c r="I302" s="800"/>
      <c r="J302" s="800"/>
      <c r="K302" s="800"/>
      <c r="L302" s="801"/>
      <c r="M302" s="800"/>
      <c r="N302" s="800"/>
      <c r="O302" s="800"/>
      <c r="P302" s="800"/>
      <c r="Q302" s="800"/>
      <c r="R302" s="800"/>
      <c r="S302" s="429"/>
      <c r="T302" s="429"/>
      <c r="U302" s="429"/>
      <c r="V302" s="429"/>
    </row>
    <row r="303" spans="1:22" ht="21" customHeight="1">
      <c r="A303" s="800"/>
      <c r="B303" s="800"/>
      <c r="C303" s="800"/>
      <c r="D303" s="800"/>
      <c r="E303" s="800"/>
      <c r="F303" s="800"/>
      <c r="G303" s="800"/>
      <c r="H303" s="800"/>
      <c r="I303" s="800"/>
      <c r="J303" s="800"/>
      <c r="K303" s="800"/>
      <c r="L303" s="801"/>
      <c r="M303" s="800"/>
      <c r="N303" s="800"/>
      <c r="O303" s="800"/>
      <c r="P303" s="800"/>
      <c r="Q303" s="800"/>
      <c r="R303" s="800"/>
      <c r="S303" s="429"/>
      <c r="T303" s="429"/>
      <c r="U303" s="429"/>
      <c r="V303" s="429"/>
    </row>
    <row r="304" spans="1:22" ht="21" customHeight="1">
      <c r="A304" s="800"/>
      <c r="B304" s="800"/>
      <c r="C304" s="800"/>
      <c r="D304" s="800"/>
      <c r="E304" s="800"/>
      <c r="F304" s="800"/>
      <c r="G304" s="800"/>
      <c r="H304" s="800"/>
      <c r="I304" s="800"/>
      <c r="J304" s="800"/>
      <c r="K304" s="800"/>
      <c r="L304" s="801"/>
      <c r="M304" s="800"/>
      <c r="N304" s="800"/>
      <c r="O304" s="800"/>
      <c r="P304" s="800"/>
      <c r="Q304" s="800"/>
      <c r="R304" s="800"/>
      <c r="S304" s="429"/>
      <c r="T304" s="429"/>
      <c r="U304" s="429"/>
      <c r="V304" s="429"/>
    </row>
    <row r="305" spans="1:22" ht="21" customHeight="1">
      <c r="A305" s="800"/>
      <c r="B305" s="800"/>
      <c r="C305" s="800"/>
      <c r="D305" s="800"/>
      <c r="E305" s="800"/>
      <c r="F305" s="800"/>
      <c r="G305" s="800"/>
      <c r="H305" s="800"/>
      <c r="I305" s="800"/>
      <c r="J305" s="800"/>
      <c r="K305" s="800"/>
      <c r="L305" s="801"/>
      <c r="M305" s="800"/>
      <c r="N305" s="800"/>
      <c r="O305" s="800"/>
      <c r="P305" s="800"/>
      <c r="Q305" s="800"/>
      <c r="R305" s="800"/>
      <c r="S305" s="429"/>
      <c r="T305" s="429"/>
      <c r="U305" s="429"/>
      <c r="V305" s="429"/>
    </row>
    <row r="306" spans="1:22" ht="21" customHeight="1">
      <c r="A306" s="800"/>
      <c r="B306" s="800"/>
      <c r="C306" s="800"/>
      <c r="D306" s="800"/>
      <c r="E306" s="800"/>
      <c r="F306" s="800"/>
      <c r="G306" s="800"/>
      <c r="H306" s="800"/>
      <c r="I306" s="800"/>
      <c r="J306" s="800"/>
      <c r="K306" s="800"/>
      <c r="L306" s="801"/>
      <c r="M306" s="800"/>
      <c r="N306" s="800"/>
      <c r="O306" s="800"/>
      <c r="P306" s="800"/>
      <c r="Q306" s="800"/>
      <c r="R306" s="800"/>
      <c r="S306" s="429"/>
      <c r="T306" s="429"/>
      <c r="U306" s="429"/>
      <c r="V306" s="429"/>
    </row>
    <row r="307" spans="1:22" ht="21" customHeight="1">
      <c r="A307" s="800"/>
      <c r="B307" s="800"/>
      <c r="C307" s="800"/>
      <c r="D307" s="800"/>
      <c r="E307" s="800"/>
      <c r="F307" s="800"/>
      <c r="G307" s="800"/>
      <c r="H307" s="800"/>
      <c r="I307" s="800"/>
      <c r="J307" s="800"/>
      <c r="K307" s="800"/>
      <c r="L307" s="801"/>
      <c r="M307" s="800"/>
      <c r="N307" s="800"/>
      <c r="O307" s="800"/>
      <c r="P307" s="800"/>
      <c r="Q307" s="800"/>
      <c r="R307" s="800"/>
      <c r="S307" s="429"/>
      <c r="T307" s="429"/>
      <c r="U307" s="429"/>
      <c r="V307" s="429"/>
    </row>
    <row r="308" spans="1:22" ht="21" customHeight="1">
      <c r="A308" s="800"/>
      <c r="B308" s="800"/>
      <c r="C308" s="800"/>
      <c r="D308" s="800"/>
      <c r="E308" s="800"/>
      <c r="F308" s="800"/>
      <c r="G308" s="800"/>
      <c r="H308" s="800"/>
      <c r="I308" s="800"/>
      <c r="J308" s="800"/>
      <c r="K308" s="800"/>
      <c r="L308" s="801"/>
      <c r="M308" s="800"/>
      <c r="N308" s="800"/>
      <c r="O308" s="800"/>
      <c r="P308" s="800"/>
      <c r="Q308" s="800"/>
      <c r="R308" s="800"/>
      <c r="S308" s="429"/>
      <c r="T308" s="429"/>
      <c r="U308" s="429"/>
      <c r="V308" s="429"/>
    </row>
    <row r="309" spans="1:22" ht="21" customHeight="1">
      <c r="A309" s="800"/>
      <c r="B309" s="800"/>
      <c r="C309" s="800"/>
      <c r="D309" s="800"/>
      <c r="E309" s="800"/>
      <c r="F309" s="800"/>
      <c r="G309" s="800"/>
      <c r="H309" s="800"/>
      <c r="I309" s="800"/>
      <c r="J309" s="800"/>
      <c r="K309" s="800"/>
      <c r="L309" s="801"/>
      <c r="M309" s="800"/>
      <c r="N309" s="800"/>
      <c r="O309" s="800"/>
      <c r="P309" s="800"/>
      <c r="Q309" s="800"/>
      <c r="R309" s="800"/>
      <c r="S309" s="429"/>
      <c r="T309" s="429"/>
      <c r="U309" s="429"/>
      <c r="V309" s="429"/>
    </row>
    <row r="310" spans="1:22" ht="21" customHeight="1">
      <c r="A310" s="800"/>
      <c r="B310" s="800"/>
      <c r="C310" s="800"/>
      <c r="D310" s="800"/>
      <c r="E310" s="800"/>
      <c r="F310" s="800"/>
      <c r="G310" s="800"/>
      <c r="H310" s="800"/>
      <c r="I310" s="800"/>
      <c r="J310" s="800"/>
      <c r="K310" s="800"/>
      <c r="L310" s="801"/>
      <c r="M310" s="800"/>
      <c r="N310" s="800"/>
      <c r="O310" s="800"/>
      <c r="P310" s="800"/>
      <c r="Q310" s="800"/>
      <c r="R310" s="800"/>
      <c r="S310" s="429"/>
      <c r="T310" s="429"/>
      <c r="U310" s="429"/>
      <c r="V310" s="429"/>
    </row>
    <row r="311" spans="1:22" ht="21" customHeight="1">
      <c r="A311" s="800"/>
      <c r="B311" s="800"/>
      <c r="C311" s="800"/>
      <c r="D311" s="800"/>
      <c r="E311" s="800"/>
      <c r="F311" s="800"/>
      <c r="G311" s="800"/>
      <c r="H311" s="800"/>
      <c r="I311" s="800"/>
      <c r="J311" s="800"/>
      <c r="K311" s="800"/>
      <c r="L311" s="801"/>
      <c r="M311" s="800"/>
      <c r="N311" s="800"/>
      <c r="O311" s="800"/>
      <c r="P311" s="800"/>
      <c r="Q311" s="800"/>
      <c r="R311" s="800"/>
      <c r="S311" s="429"/>
      <c r="T311" s="429"/>
      <c r="U311" s="429"/>
      <c r="V311" s="429"/>
    </row>
    <row r="312" spans="1:22" ht="21" customHeight="1">
      <c r="A312" s="800"/>
      <c r="B312" s="800"/>
      <c r="C312" s="800"/>
      <c r="D312" s="800"/>
      <c r="E312" s="800"/>
      <c r="F312" s="800"/>
      <c r="G312" s="800"/>
      <c r="H312" s="800"/>
      <c r="I312" s="800"/>
      <c r="J312" s="800"/>
      <c r="K312" s="800"/>
      <c r="L312" s="801"/>
      <c r="M312" s="800"/>
      <c r="N312" s="800"/>
      <c r="O312" s="800"/>
      <c r="P312" s="800"/>
      <c r="Q312" s="800"/>
      <c r="R312" s="800"/>
      <c r="S312" s="429"/>
      <c r="T312" s="429"/>
      <c r="U312" s="429"/>
      <c r="V312" s="429"/>
    </row>
    <row r="313" spans="1:22" ht="21" customHeight="1">
      <c r="A313" s="800"/>
      <c r="B313" s="800"/>
      <c r="C313" s="800"/>
      <c r="D313" s="800"/>
      <c r="E313" s="800"/>
      <c r="F313" s="800"/>
      <c r="G313" s="800"/>
      <c r="H313" s="800"/>
      <c r="I313" s="800"/>
      <c r="J313" s="800"/>
      <c r="K313" s="800"/>
      <c r="L313" s="801"/>
      <c r="M313" s="800"/>
      <c r="N313" s="800"/>
      <c r="O313" s="800"/>
      <c r="P313" s="800"/>
      <c r="Q313" s="800"/>
      <c r="R313" s="800"/>
      <c r="S313" s="429"/>
      <c r="T313" s="429"/>
      <c r="U313" s="429"/>
      <c r="V313" s="429"/>
    </row>
    <row r="314" spans="1:22" ht="21" customHeight="1">
      <c r="A314" s="800"/>
      <c r="B314" s="800"/>
      <c r="C314" s="800"/>
      <c r="D314" s="800"/>
      <c r="E314" s="800"/>
      <c r="F314" s="800"/>
      <c r="G314" s="800"/>
      <c r="H314" s="800"/>
      <c r="I314" s="800"/>
      <c r="J314" s="800"/>
      <c r="K314" s="800"/>
      <c r="L314" s="801"/>
      <c r="M314" s="800"/>
      <c r="N314" s="800"/>
      <c r="O314" s="800"/>
      <c r="P314" s="800"/>
      <c r="Q314" s="800"/>
      <c r="R314" s="800"/>
      <c r="S314" s="429"/>
      <c r="T314" s="429"/>
      <c r="U314" s="429"/>
      <c r="V314" s="429"/>
    </row>
    <row r="315" spans="1:22" ht="21" customHeight="1">
      <c r="A315" s="800"/>
      <c r="B315" s="800"/>
      <c r="C315" s="800"/>
      <c r="D315" s="800"/>
      <c r="E315" s="800"/>
      <c r="F315" s="800"/>
      <c r="G315" s="800"/>
      <c r="H315" s="800"/>
      <c r="I315" s="800"/>
      <c r="J315" s="800"/>
      <c r="K315" s="800"/>
      <c r="L315" s="801"/>
      <c r="M315" s="800"/>
      <c r="N315" s="800"/>
      <c r="O315" s="800"/>
      <c r="P315" s="800"/>
      <c r="Q315" s="800"/>
      <c r="R315" s="800"/>
      <c r="S315" s="429"/>
      <c r="T315" s="429"/>
      <c r="U315" s="429"/>
      <c r="V315" s="429"/>
    </row>
    <row r="316" spans="1:22" ht="21" customHeight="1">
      <c r="A316" s="800"/>
      <c r="B316" s="800"/>
      <c r="C316" s="800"/>
      <c r="D316" s="800"/>
      <c r="E316" s="800"/>
      <c r="F316" s="800"/>
      <c r="G316" s="800"/>
      <c r="H316" s="800"/>
      <c r="I316" s="800"/>
      <c r="J316" s="800"/>
      <c r="K316" s="800"/>
      <c r="L316" s="801"/>
      <c r="M316" s="800"/>
      <c r="N316" s="800"/>
      <c r="O316" s="800"/>
      <c r="P316" s="800"/>
      <c r="Q316" s="800"/>
      <c r="R316" s="800"/>
      <c r="S316" s="429"/>
      <c r="T316" s="429"/>
      <c r="U316" s="429"/>
      <c r="V316" s="429"/>
    </row>
    <row r="317" spans="1:22" ht="21" customHeight="1">
      <c r="A317" s="800"/>
      <c r="B317" s="800"/>
      <c r="C317" s="800"/>
      <c r="D317" s="800"/>
      <c r="E317" s="800"/>
      <c r="F317" s="800"/>
      <c r="G317" s="800"/>
      <c r="H317" s="800"/>
      <c r="I317" s="800"/>
      <c r="J317" s="800"/>
      <c r="K317" s="800"/>
      <c r="L317" s="801"/>
      <c r="M317" s="800"/>
      <c r="N317" s="800"/>
      <c r="O317" s="800"/>
      <c r="P317" s="800"/>
      <c r="Q317" s="800"/>
      <c r="R317" s="800"/>
      <c r="S317" s="429"/>
      <c r="T317" s="429"/>
      <c r="U317" s="429"/>
      <c r="V317" s="429"/>
    </row>
    <row r="318" spans="1:22" ht="21" customHeight="1">
      <c r="A318" s="800"/>
      <c r="B318" s="800"/>
      <c r="C318" s="800"/>
      <c r="D318" s="800"/>
      <c r="E318" s="800"/>
      <c r="F318" s="800"/>
      <c r="G318" s="800"/>
      <c r="H318" s="800"/>
      <c r="I318" s="800"/>
      <c r="J318" s="800"/>
      <c r="K318" s="800"/>
      <c r="L318" s="801"/>
      <c r="M318" s="800"/>
      <c r="N318" s="800"/>
      <c r="O318" s="800"/>
      <c r="P318" s="800"/>
      <c r="Q318" s="800"/>
      <c r="R318" s="800"/>
      <c r="S318" s="429"/>
      <c r="T318" s="429"/>
      <c r="U318" s="429"/>
      <c r="V318" s="429"/>
    </row>
    <row r="319" spans="1:22" ht="21" customHeight="1">
      <c r="A319" s="800"/>
      <c r="B319" s="800"/>
      <c r="C319" s="800"/>
      <c r="D319" s="800"/>
      <c r="E319" s="800"/>
      <c r="F319" s="800"/>
      <c r="G319" s="800"/>
      <c r="H319" s="800"/>
      <c r="I319" s="800"/>
      <c r="J319" s="800"/>
      <c r="K319" s="800"/>
      <c r="L319" s="801"/>
      <c r="M319" s="800"/>
      <c r="N319" s="800"/>
      <c r="O319" s="800"/>
      <c r="P319" s="800"/>
      <c r="Q319" s="800"/>
      <c r="R319" s="800"/>
      <c r="S319" s="429"/>
      <c r="T319" s="429"/>
      <c r="U319" s="429"/>
      <c r="V319" s="429"/>
    </row>
    <row r="320" spans="1:22" ht="21" customHeight="1">
      <c r="A320" s="800"/>
      <c r="B320" s="800"/>
      <c r="C320" s="800"/>
      <c r="D320" s="800"/>
      <c r="E320" s="800"/>
      <c r="F320" s="800"/>
      <c r="G320" s="800"/>
      <c r="H320" s="800"/>
      <c r="I320" s="800"/>
      <c r="J320" s="800"/>
      <c r="K320" s="800"/>
      <c r="L320" s="801"/>
      <c r="M320" s="800"/>
      <c r="N320" s="800"/>
      <c r="O320" s="800"/>
      <c r="P320" s="800"/>
      <c r="Q320" s="800"/>
      <c r="R320" s="800"/>
      <c r="S320" s="429"/>
      <c r="T320" s="429"/>
      <c r="U320" s="429"/>
      <c r="V320" s="429"/>
    </row>
    <row r="321" spans="1:22" ht="21" customHeight="1">
      <c r="A321" s="800"/>
      <c r="B321" s="800"/>
      <c r="C321" s="800"/>
      <c r="D321" s="800"/>
      <c r="E321" s="800"/>
      <c r="F321" s="800"/>
      <c r="G321" s="800"/>
      <c r="H321" s="800"/>
      <c r="I321" s="800"/>
      <c r="J321" s="800"/>
      <c r="K321" s="800"/>
      <c r="L321" s="801"/>
      <c r="M321" s="800"/>
      <c r="N321" s="800"/>
      <c r="O321" s="800"/>
      <c r="P321" s="800"/>
      <c r="Q321" s="800"/>
      <c r="R321" s="800"/>
      <c r="S321" s="429"/>
      <c r="T321" s="429"/>
      <c r="U321" s="429"/>
      <c r="V321" s="429"/>
    </row>
    <row r="322" spans="1:22" ht="21" customHeight="1">
      <c r="A322" s="800"/>
      <c r="B322" s="800"/>
      <c r="C322" s="800"/>
      <c r="D322" s="800"/>
      <c r="E322" s="800"/>
      <c r="F322" s="800"/>
      <c r="G322" s="800"/>
      <c r="H322" s="800"/>
      <c r="I322" s="800"/>
      <c r="J322" s="800"/>
      <c r="K322" s="800"/>
      <c r="L322" s="801"/>
      <c r="M322" s="800"/>
      <c r="N322" s="800"/>
      <c r="O322" s="800"/>
      <c r="P322" s="800"/>
      <c r="Q322" s="800"/>
      <c r="R322" s="800"/>
      <c r="S322" s="429"/>
      <c r="T322" s="429"/>
      <c r="U322" s="429"/>
      <c r="V322" s="429"/>
    </row>
    <row r="323" spans="1:22" ht="21" customHeight="1">
      <c r="A323" s="800"/>
      <c r="B323" s="800"/>
      <c r="C323" s="800"/>
      <c r="D323" s="800"/>
      <c r="E323" s="800"/>
      <c r="F323" s="800"/>
      <c r="G323" s="800"/>
      <c r="H323" s="800"/>
      <c r="I323" s="800"/>
      <c r="J323" s="800"/>
      <c r="K323" s="800"/>
      <c r="L323" s="801"/>
      <c r="M323" s="800"/>
      <c r="N323" s="800"/>
      <c r="O323" s="800"/>
      <c r="P323" s="800"/>
      <c r="Q323" s="800"/>
      <c r="R323" s="800"/>
      <c r="S323" s="429"/>
      <c r="T323" s="429"/>
      <c r="U323" s="429"/>
      <c r="V323" s="429"/>
    </row>
    <row r="324" spans="1:22" ht="21" customHeight="1">
      <c r="A324" s="800"/>
      <c r="B324" s="800"/>
      <c r="C324" s="800"/>
      <c r="D324" s="800"/>
      <c r="E324" s="800"/>
      <c r="F324" s="800"/>
      <c r="G324" s="800"/>
      <c r="H324" s="800"/>
      <c r="I324" s="800"/>
      <c r="J324" s="800"/>
      <c r="K324" s="800"/>
      <c r="L324" s="801"/>
      <c r="M324" s="800"/>
      <c r="N324" s="800"/>
      <c r="O324" s="800"/>
      <c r="P324" s="800"/>
      <c r="Q324" s="800"/>
      <c r="R324" s="800"/>
      <c r="S324" s="429"/>
      <c r="T324" s="429"/>
      <c r="U324" s="429"/>
      <c r="V324" s="429"/>
    </row>
    <row r="325" spans="1:22" ht="21" customHeight="1">
      <c r="A325" s="800"/>
      <c r="B325" s="800"/>
      <c r="C325" s="800"/>
      <c r="D325" s="800"/>
      <c r="E325" s="800"/>
      <c r="F325" s="800"/>
      <c r="G325" s="800"/>
      <c r="H325" s="800"/>
      <c r="I325" s="800"/>
      <c r="J325" s="800"/>
      <c r="K325" s="800"/>
      <c r="L325" s="801"/>
      <c r="M325" s="800"/>
      <c r="N325" s="800"/>
      <c r="O325" s="800"/>
      <c r="P325" s="800"/>
      <c r="Q325" s="800"/>
      <c r="R325" s="800"/>
      <c r="S325" s="429"/>
      <c r="T325" s="429"/>
      <c r="U325" s="429"/>
      <c r="V325" s="429"/>
    </row>
    <row r="326" spans="1:22" ht="21" customHeight="1">
      <c r="A326" s="800"/>
      <c r="B326" s="800"/>
      <c r="C326" s="800"/>
      <c r="D326" s="800"/>
      <c r="E326" s="800"/>
      <c r="F326" s="800"/>
      <c r="G326" s="800"/>
      <c r="H326" s="800"/>
      <c r="I326" s="800"/>
      <c r="J326" s="800"/>
      <c r="K326" s="800"/>
      <c r="L326" s="801"/>
      <c r="M326" s="800"/>
      <c r="N326" s="800"/>
      <c r="O326" s="800"/>
      <c r="P326" s="800"/>
      <c r="Q326" s="800"/>
      <c r="R326" s="800"/>
      <c r="S326" s="429"/>
      <c r="T326" s="429"/>
      <c r="U326" s="429"/>
      <c r="V326" s="429"/>
    </row>
    <row r="327" spans="1:22" ht="21" customHeight="1">
      <c r="A327" s="800"/>
      <c r="B327" s="800"/>
      <c r="C327" s="800"/>
      <c r="D327" s="800"/>
      <c r="E327" s="800"/>
      <c r="F327" s="800"/>
      <c r="G327" s="800"/>
      <c r="H327" s="800"/>
      <c r="I327" s="800"/>
      <c r="J327" s="800"/>
      <c r="K327" s="800"/>
      <c r="L327" s="801"/>
      <c r="M327" s="800"/>
      <c r="N327" s="800"/>
      <c r="O327" s="800"/>
      <c r="P327" s="800"/>
      <c r="Q327" s="800"/>
      <c r="R327" s="800"/>
      <c r="S327" s="429"/>
      <c r="T327" s="429"/>
      <c r="U327" s="429"/>
      <c r="V327" s="429"/>
    </row>
    <row r="328" spans="1:22" ht="21" customHeight="1">
      <c r="A328" s="800"/>
      <c r="B328" s="800"/>
      <c r="C328" s="800"/>
      <c r="D328" s="800"/>
      <c r="E328" s="800"/>
      <c r="F328" s="800"/>
      <c r="G328" s="800"/>
      <c r="H328" s="800"/>
      <c r="I328" s="800"/>
      <c r="J328" s="800"/>
      <c r="K328" s="800"/>
      <c r="L328" s="801"/>
      <c r="M328" s="800"/>
      <c r="N328" s="800"/>
      <c r="O328" s="800"/>
      <c r="P328" s="800"/>
      <c r="Q328" s="800"/>
      <c r="R328" s="800"/>
      <c r="S328" s="429"/>
      <c r="T328" s="429"/>
      <c r="U328" s="429"/>
      <c r="V328" s="429"/>
    </row>
    <row r="329" spans="1:22" ht="21" customHeight="1">
      <c r="A329" s="800"/>
      <c r="B329" s="800"/>
      <c r="C329" s="800"/>
      <c r="D329" s="800"/>
      <c r="E329" s="800"/>
      <c r="F329" s="800"/>
      <c r="G329" s="800"/>
      <c r="H329" s="800"/>
      <c r="I329" s="800"/>
      <c r="J329" s="800"/>
      <c r="K329" s="800"/>
      <c r="L329" s="801"/>
      <c r="M329" s="800"/>
      <c r="N329" s="800"/>
      <c r="O329" s="800"/>
      <c r="P329" s="800"/>
      <c r="Q329" s="800"/>
      <c r="R329" s="800"/>
      <c r="S329" s="429"/>
      <c r="T329" s="429"/>
      <c r="U329" s="429"/>
      <c r="V329" s="429"/>
    </row>
    <row r="330" spans="1:22" ht="21" customHeight="1">
      <c r="A330" s="800"/>
      <c r="B330" s="800"/>
      <c r="C330" s="800"/>
      <c r="D330" s="800"/>
      <c r="E330" s="800"/>
      <c r="F330" s="800"/>
      <c r="G330" s="800"/>
      <c r="H330" s="800"/>
      <c r="I330" s="800"/>
      <c r="J330" s="800"/>
      <c r="K330" s="800"/>
      <c r="L330" s="801"/>
      <c r="M330" s="800"/>
      <c r="N330" s="800"/>
      <c r="O330" s="800"/>
      <c r="P330" s="800"/>
      <c r="Q330" s="800"/>
      <c r="R330" s="800"/>
      <c r="S330" s="429"/>
      <c r="T330" s="429"/>
      <c r="U330" s="429"/>
      <c r="V330" s="429"/>
    </row>
    <row r="331" spans="1:22" ht="21" customHeight="1">
      <c r="A331" s="800"/>
      <c r="B331" s="800"/>
      <c r="C331" s="800"/>
      <c r="D331" s="800"/>
      <c r="E331" s="800"/>
      <c r="F331" s="800"/>
      <c r="G331" s="800"/>
      <c r="H331" s="800"/>
      <c r="I331" s="800"/>
      <c r="J331" s="800"/>
      <c r="K331" s="800"/>
      <c r="L331" s="801"/>
      <c r="M331" s="800"/>
      <c r="N331" s="800"/>
      <c r="O331" s="800"/>
      <c r="P331" s="800"/>
      <c r="Q331" s="800"/>
      <c r="R331" s="800"/>
      <c r="S331" s="429"/>
      <c r="T331" s="429"/>
      <c r="U331" s="429"/>
      <c r="V331" s="429"/>
    </row>
    <row r="332" spans="1:22" ht="21" customHeight="1">
      <c r="A332" s="800"/>
      <c r="B332" s="800"/>
      <c r="C332" s="800"/>
      <c r="D332" s="800"/>
      <c r="E332" s="800"/>
      <c r="F332" s="800"/>
      <c r="G332" s="800"/>
      <c r="H332" s="800"/>
      <c r="I332" s="800"/>
      <c r="J332" s="800"/>
      <c r="K332" s="800"/>
      <c r="L332" s="801"/>
      <c r="M332" s="800"/>
      <c r="N332" s="800"/>
      <c r="O332" s="800"/>
      <c r="P332" s="800"/>
      <c r="Q332" s="800"/>
      <c r="R332" s="800"/>
      <c r="S332" s="429"/>
      <c r="T332" s="429"/>
      <c r="U332" s="429"/>
      <c r="V332" s="429"/>
    </row>
    <row r="333" spans="1:22" ht="21" customHeight="1">
      <c r="A333" s="800"/>
      <c r="B333" s="800"/>
      <c r="C333" s="800"/>
      <c r="D333" s="800"/>
      <c r="E333" s="800"/>
      <c r="F333" s="800"/>
      <c r="G333" s="800"/>
      <c r="H333" s="800"/>
      <c r="I333" s="800"/>
      <c r="J333" s="800"/>
      <c r="K333" s="800"/>
      <c r="L333" s="801"/>
      <c r="M333" s="800"/>
      <c r="N333" s="800"/>
      <c r="O333" s="800"/>
      <c r="P333" s="800"/>
      <c r="Q333" s="800"/>
      <c r="R333" s="800"/>
      <c r="S333" s="429"/>
      <c r="T333" s="429"/>
      <c r="U333" s="429"/>
      <c r="V333" s="429"/>
    </row>
    <row r="334" spans="1:22" ht="21" customHeight="1">
      <c r="A334" s="800"/>
      <c r="B334" s="800"/>
      <c r="C334" s="800"/>
      <c r="D334" s="800"/>
      <c r="E334" s="800"/>
      <c r="F334" s="800"/>
      <c r="G334" s="800"/>
      <c r="H334" s="800"/>
      <c r="I334" s="800"/>
      <c r="J334" s="800"/>
      <c r="K334" s="800"/>
      <c r="L334" s="801"/>
      <c r="M334" s="800"/>
      <c r="N334" s="800"/>
      <c r="O334" s="800"/>
      <c r="P334" s="800"/>
      <c r="Q334" s="800"/>
      <c r="R334" s="800"/>
      <c r="S334" s="429"/>
      <c r="T334" s="429"/>
      <c r="U334" s="429"/>
      <c r="V334" s="429"/>
    </row>
    <row r="335" spans="1:22">
      <c r="A335" s="807"/>
      <c r="B335" s="807"/>
      <c r="C335" s="807"/>
      <c r="D335" s="807"/>
      <c r="E335" s="807"/>
      <c r="F335" s="807"/>
      <c r="G335" s="807"/>
      <c r="H335" s="807"/>
      <c r="I335" s="807"/>
      <c r="J335" s="807"/>
      <c r="K335" s="807"/>
      <c r="L335" s="808"/>
      <c r="M335" s="807"/>
      <c r="N335" s="807"/>
      <c r="O335" s="807"/>
      <c r="P335" s="807"/>
      <c r="Q335" s="807"/>
      <c r="R335" s="807"/>
      <c r="S335" s="427"/>
      <c r="T335" s="427"/>
      <c r="U335" s="427"/>
      <c r="V335" s="427"/>
    </row>
    <row r="336" spans="1:22">
      <c r="A336" s="807"/>
      <c r="B336" s="807"/>
      <c r="C336" s="807"/>
      <c r="D336" s="807"/>
      <c r="E336" s="807"/>
      <c r="F336" s="807"/>
      <c r="G336" s="807"/>
      <c r="H336" s="807"/>
      <c r="I336" s="807"/>
      <c r="J336" s="807"/>
      <c r="K336" s="807"/>
      <c r="L336" s="808"/>
      <c r="M336" s="807"/>
      <c r="N336" s="807"/>
      <c r="O336" s="807"/>
      <c r="P336" s="807"/>
      <c r="Q336" s="807"/>
      <c r="R336" s="807"/>
      <c r="S336" s="427"/>
      <c r="T336" s="427"/>
      <c r="U336" s="427"/>
      <c r="V336" s="427"/>
    </row>
    <row r="337" spans="1:18">
      <c r="A337" s="809"/>
      <c r="B337" s="809"/>
      <c r="C337" s="809"/>
      <c r="D337" s="809"/>
      <c r="E337" s="809"/>
      <c r="F337" s="809"/>
      <c r="G337" s="809"/>
      <c r="H337" s="809"/>
      <c r="I337" s="809"/>
      <c r="J337" s="809"/>
      <c r="K337" s="809"/>
      <c r="L337" s="810"/>
      <c r="M337" s="809"/>
      <c r="N337" s="809"/>
      <c r="O337" s="809"/>
      <c r="P337" s="809"/>
      <c r="Q337" s="809"/>
      <c r="R337" s="809"/>
    </row>
    <row r="338" spans="1:18">
      <c r="A338" s="809"/>
      <c r="B338" s="809"/>
      <c r="C338" s="809"/>
      <c r="D338" s="809"/>
      <c r="E338" s="809"/>
      <c r="F338" s="809"/>
      <c r="G338" s="809"/>
      <c r="H338" s="809"/>
      <c r="I338" s="809"/>
      <c r="J338" s="809"/>
      <c r="K338" s="809"/>
      <c r="L338" s="810"/>
      <c r="M338" s="809"/>
      <c r="N338" s="809"/>
      <c r="O338" s="809"/>
      <c r="P338" s="809"/>
      <c r="Q338" s="809"/>
      <c r="R338" s="809"/>
    </row>
    <row r="339" spans="1:18">
      <c r="A339" s="809"/>
      <c r="B339" s="809"/>
      <c r="C339" s="809"/>
      <c r="D339" s="809"/>
      <c r="E339" s="809"/>
      <c r="F339" s="809"/>
      <c r="G339" s="809"/>
      <c r="H339" s="809"/>
      <c r="I339" s="809"/>
      <c r="J339" s="809"/>
      <c r="K339" s="809"/>
      <c r="L339" s="810"/>
      <c r="M339" s="809"/>
      <c r="N339" s="809"/>
      <c r="O339" s="809"/>
      <c r="P339" s="809"/>
      <c r="Q339" s="809"/>
      <c r="R339" s="809"/>
    </row>
    <row r="340" spans="1:18">
      <c r="A340" s="809"/>
      <c r="B340" s="809"/>
      <c r="C340" s="809"/>
      <c r="D340" s="809"/>
      <c r="E340" s="809"/>
      <c r="F340" s="809"/>
      <c r="G340" s="809"/>
      <c r="H340" s="809"/>
      <c r="I340" s="809"/>
      <c r="J340" s="809"/>
      <c r="K340" s="809"/>
      <c r="L340" s="810"/>
      <c r="M340" s="809"/>
      <c r="N340" s="809"/>
      <c r="O340" s="809"/>
      <c r="P340" s="809"/>
      <c r="Q340" s="809"/>
      <c r="R340" s="809"/>
    </row>
    <row r="341" spans="1:18">
      <c r="A341" s="809"/>
      <c r="B341" s="809"/>
      <c r="C341" s="809"/>
      <c r="D341" s="809"/>
      <c r="E341" s="809"/>
      <c r="F341" s="809"/>
      <c r="G341" s="809"/>
      <c r="H341" s="809"/>
      <c r="I341" s="809"/>
      <c r="J341" s="809"/>
      <c r="K341" s="809"/>
      <c r="L341" s="810"/>
      <c r="M341" s="809"/>
      <c r="N341" s="809"/>
      <c r="O341" s="809"/>
      <c r="P341" s="809"/>
      <c r="Q341" s="809"/>
      <c r="R341" s="809"/>
    </row>
    <row r="342" spans="1:18">
      <c r="A342" s="809"/>
      <c r="B342" s="809"/>
      <c r="C342" s="809"/>
      <c r="D342" s="809"/>
      <c r="E342" s="809"/>
      <c r="F342" s="809"/>
      <c r="G342" s="809"/>
      <c r="H342" s="809"/>
      <c r="I342" s="809"/>
      <c r="J342" s="809"/>
      <c r="K342" s="809"/>
      <c r="L342" s="810"/>
      <c r="M342" s="809"/>
      <c r="N342" s="809"/>
      <c r="O342" s="809"/>
      <c r="P342" s="809"/>
      <c r="Q342" s="809"/>
      <c r="R342" s="809"/>
    </row>
    <row r="343" spans="1:18">
      <c r="A343" s="809"/>
      <c r="B343" s="809"/>
      <c r="C343" s="809"/>
      <c r="D343" s="809"/>
      <c r="E343" s="809"/>
      <c r="F343" s="809"/>
      <c r="G343" s="809"/>
      <c r="H343" s="809"/>
      <c r="I343" s="809"/>
      <c r="J343" s="809"/>
      <c r="K343" s="809"/>
      <c r="L343" s="810"/>
      <c r="M343" s="809"/>
      <c r="N343" s="809"/>
      <c r="O343" s="809"/>
      <c r="P343" s="809"/>
      <c r="Q343" s="809"/>
      <c r="R343" s="809"/>
    </row>
    <row r="344" spans="1:18">
      <c r="A344" s="809"/>
      <c r="B344" s="809"/>
      <c r="C344" s="809"/>
      <c r="D344" s="809"/>
      <c r="E344" s="809"/>
      <c r="F344" s="809"/>
      <c r="G344" s="809"/>
      <c r="H344" s="809"/>
      <c r="I344" s="809"/>
      <c r="J344" s="809"/>
      <c r="K344" s="809"/>
      <c r="L344" s="810"/>
      <c r="M344" s="809"/>
      <c r="N344" s="809"/>
      <c r="O344" s="809"/>
      <c r="P344" s="809"/>
      <c r="Q344" s="809"/>
      <c r="R344" s="809"/>
    </row>
    <row r="345" spans="1:18">
      <c r="A345" s="809"/>
      <c r="B345" s="809"/>
      <c r="C345" s="809"/>
      <c r="D345" s="809"/>
      <c r="E345" s="809"/>
      <c r="F345" s="809"/>
      <c r="G345" s="809"/>
      <c r="H345" s="809"/>
      <c r="I345" s="809"/>
      <c r="J345" s="809"/>
      <c r="K345" s="809"/>
      <c r="L345" s="810"/>
      <c r="M345" s="809"/>
      <c r="N345" s="809"/>
      <c r="O345" s="809"/>
      <c r="P345" s="809"/>
      <c r="Q345" s="809"/>
      <c r="R345" s="809"/>
    </row>
    <row r="346" spans="1:18">
      <c r="A346" s="809"/>
      <c r="B346" s="809"/>
      <c r="C346" s="809"/>
      <c r="D346" s="809"/>
      <c r="E346" s="809"/>
      <c r="F346" s="809"/>
      <c r="G346" s="809"/>
      <c r="H346" s="809"/>
      <c r="I346" s="809"/>
      <c r="J346" s="809"/>
      <c r="K346" s="809"/>
      <c r="L346" s="810"/>
      <c r="M346" s="809"/>
      <c r="N346" s="809"/>
      <c r="O346" s="809"/>
      <c r="P346" s="809"/>
      <c r="Q346" s="809"/>
      <c r="R346" s="809"/>
    </row>
    <row r="347" spans="1:18">
      <c r="A347" s="809"/>
      <c r="B347" s="809"/>
      <c r="C347" s="809"/>
      <c r="D347" s="809"/>
      <c r="E347" s="809"/>
      <c r="F347" s="809"/>
      <c r="G347" s="809"/>
      <c r="H347" s="809"/>
      <c r="I347" s="809"/>
      <c r="J347" s="809"/>
      <c r="K347" s="809"/>
      <c r="L347" s="810"/>
      <c r="M347" s="809"/>
      <c r="N347" s="809"/>
      <c r="O347" s="809"/>
      <c r="P347" s="809"/>
      <c r="Q347" s="809"/>
      <c r="R347" s="809"/>
    </row>
    <row r="348" spans="1:18">
      <c r="A348" s="809"/>
      <c r="B348" s="809"/>
      <c r="C348" s="809"/>
      <c r="D348" s="809"/>
      <c r="E348" s="809"/>
      <c r="F348" s="809"/>
      <c r="G348" s="809"/>
      <c r="H348" s="809"/>
      <c r="I348" s="809"/>
      <c r="J348" s="809"/>
      <c r="K348" s="809"/>
      <c r="L348" s="810"/>
      <c r="M348" s="809"/>
      <c r="N348" s="809"/>
      <c r="O348" s="809"/>
      <c r="P348" s="809"/>
      <c r="Q348" s="809"/>
      <c r="R348" s="809"/>
    </row>
    <row r="349" spans="1:18">
      <c r="A349" s="809"/>
      <c r="B349" s="809"/>
      <c r="C349" s="809"/>
      <c r="D349" s="809"/>
      <c r="E349" s="809"/>
      <c r="F349" s="809"/>
      <c r="G349" s="809"/>
      <c r="H349" s="809"/>
      <c r="I349" s="809"/>
      <c r="J349" s="809"/>
      <c r="K349" s="809"/>
      <c r="L349" s="810"/>
      <c r="M349" s="809"/>
      <c r="N349" s="809"/>
      <c r="O349" s="809"/>
      <c r="P349" s="809"/>
      <c r="Q349" s="809"/>
      <c r="R349" s="809"/>
    </row>
    <row r="350" spans="1:18">
      <c r="A350" s="809"/>
      <c r="B350" s="809"/>
      <c r="C350" s="809"/>
      <c r="D350" s="809"/>
      <c r="E350" s="809"/>
      <c r="F350" s="809"/>
      <c r="G350" s="809"/>
      <c r="H350" s="809"/>
      <c r="I350" s="809"/>
      <c r="J350" s="809"/>
      <c r="K350" s="809"/>
      <c r="L350" s="810"/>
      <c r="M350" s="809"/>
      <c r="N350" s="809"/>
      <c r="O350" s="809"/>
      <c r="P350" s="809"/>
      <c r="Q350" s="809"/>
      <c r="R350" s="809"/>
    </row>
    <row r="351" spans="1:18">
      <c r="A351" s="809"/>
      <c r="B351" s="809"/>
      <c r="C351" s="809"/>
      <c r="D351" s="809"/>
      <c r="E351" s="809"/>
      <c r="F351" s="809"/>
      <c r="G351" s="809"/>
      <c r="H351" s="809"/>
      <c r="I351" s="809"/>
      <c r="J351" s="809"/>
      <c r="K351" s="809"/>
      <c r="L351" s="810"/>
      <c r="M351" s="809"/>
      <c r="N351" s="809"/>
      <c r="O351" s="809"/>
      <c r="P351" s="809"/>
      <c r="Q351" s="809"/>
      <c r="R351" s="809"/>
    </row>
    <row r="352" spans="1:18">
      <c r="A352" s="809"/>
      <c r="B352" s="809"/>
      <c r="C352" s="809"/>
      <c r="D352" s="809"/>
      <c r="E352" s="809"/>
      <c r="F352" s="809"/>
      <c r="G352" s="809"/>
      <c r="H352" s="809"/>
      <c r="I352" s="809"/>
      <c r="J352" s="809"/>
      <c r="K352" s="809"/>
      <c r="L352" s="810"/>
      <c r="M352" s="809"/>
      <c r="N352" s="809"/>
      <c r="O352" s="809"/>
      <c r="P352" s="809"/>
      <c r="Q352" s="809"/>
      <c r="R352" s="809"/>
    </row>
    <row r="353" spans="1:18">
      <c r="A353" s="809"/>
      <c r="B353" s="809"/>
      <c r="C353" s="809"/>
      <c r="D353" s="809"/>
      <c r="E353" s="809"/>
      <c r="F353" s="809"/>
      <c r="G353" s="809"/>
      <c r="H353" s="809"/>
      <c r="I353" s="809"/>
      <c r="J353" s="809"/>
      <c r="K353" s="809"/>
      <c r="L353" s="810"/>
      <c r="M353" s="809"/>
      <c r="N353" s="809"/>
      <c r="O353" s="809"/>
      <c r="P353" s="809"/>
      <c r="Q353" s="809"/>
      <c r="R353" s="809"/>
    </row>
    <row r="354" spans="1:18">
      <c r="A354" s="809"/>
      <c r="B354" s="809"/>
      <c r="C354" s="809"/>
      <c r="D354" s="809"/>
      <c r="E354" s="809"/>
      <c r="F354" s="809"/>
      <c r="G354" s="809"/>
      <c r="H354" s="809"/>
      <c r="I354" s="809"/>
      <c r="J354" s="809"/>
      <c r="K354" s="809"/>
      <c r="L354" s="810"/>
      <c r="M354" s="809"/>
      <c r="N354" s="809"/>
      <c r="O354" s="809"/>
      <c r="P354" s="809"/>
      <c r="Q354" s="809"/>
      <c r="R354" s="809"/>
    </row>
    <row r="355" spans="1:18">
      <c r="A355" s="809"/>
      <c r="B355" s="809"/>
      <c r="C355" s="809"/>
      <c r="D355" s="809"/>
      <c r="E355" s="809"/>
      <c r="F355" s="809"/>
      <c r="G355" s="809"/>
      <c r="H355" s="809"/>
      <c r="I355" s="809"/>
      <c r="J355" s="809"/>
      <c r="K355" s="809"/>
      <c r="L355" s="810"/>
      <c r="M355" s="809"/>
      <c r="N355" s="809"/>
      <c r="O355" s="809"/>
      <c r="P355" s="809"/>
      <c r="Q355" s="809"/>
      <c r="R355" s="809"/>
    </row>
    <row r="356" spans="1:18">
      <c r="A356" s="809"/>
      <c r="B356" s="809"/>
      <c r="C356" s="809"/>
      <c r="D356" s="809"/>
      <c r="E356" s="809"/>
      <c r="F356" s="809"/>
      <c r="G356" s="809"/>
      <c r="H356" s="809"/>
      <c r="I356" s="809"/>
      <c r="J356" s="809"/>
      <c r="K356" s="809"/>
      <c r="L356" s="810"/>
      <c r="M356" s="809"/>
      <c r="N356" s="809"/>
      <c r="O356" s="809"/>
      <c r="P356" s="809"/>
      <c r="Q356" s="809"/>
      <c r="R356" s="809"/>
    </row>
    <row r="357" spans="1:18">
      <c r="A357" s="809"/>
      <c r="B357" s="809"/>
      <c r="C357" s="809"/>
      <c r="D357" s="809"/>
      <c r="E357" s="809"/>
      <c r="F357" s="809"/>
      <c r="G357" s="809"/>
      <c r="H357" s="809"/>
      <c r="I357" s="809"/>
      <c r="J357" s="809"/>
      <c r="K357" s="809"/>
      <c r="L357" s="810"/>
      <c r="M357" s="809"/>
      <c r="N357" s="809"/>
      <c r="O357" s="809"/>
      <c r="P357" s="809"/>
      <c r="Q357" s="809"/>
      <c r="R357" s="809"/>
    </row>
    <row r="358" spans="1:18">
      <c r="A358" s="809"/>
      <c r="B358" s="809"/>
      <c r="C358" s="809"/>
      <c r="D358" s="809"/>
      <c r="E358" s="809"/>
      <c r="F358" s="809"/>
      <c r="G358" s="809"/>
      <c r="H358" s="809"/>
      <c r="I358" s="809"/>
      <c r="J358" s="809"/>
      <c r="K358" s="809"/>
      <c r="L358" s="810"/>
      <c r="M358" s="809"/>
      <c r="N358" s="809"/>
      <c r="O358" s="809"/>
      <c r="P358" s="809"/>
      <c r="Q358" s="809"/>
      <c r="R358" s="809"/>
    </row>
    <row r="359" spans="1:18">
      <c r="A359" s="809"/>
      <c r="B359" s="809"/>
      <c r="C359" s="809"/>
      <c r="D359" s="809"/>
      <c r="E359" s="809"/>
      <c r="F359" s="809"/>
      <c r="G359" s="809"/>
      <c r="H359" s="809"/>
      <c r="I359" s="809"/>
      <c r="J359" s="809"/>
      <c r="K359" s="809"/>
      <c r="L359" s="810"/>
      <c r="M359" s="809"/>
      <c r="N359" s="809"/>
      <c r="O359" s="809"/>
      <c r="P359" s="809"/>
      <c r="Q359" s="809"/>
      <c r="R359" s="809"/>
    </row>
    <row r="360" spans="1:18">
      <c r="A360" s="809"/>
      <c r="B360" s="809"/>
      <c r="C360" s="809"/>
      <c r="D360" s="809"/>
      <c r="E360" s="809"/>
      <c r="F360" s="809"/>
      <c r="G360" s="809"/>
      <c r="H360" s="809"/>
      <c r="I360" s="809"/>
      <c r="J360" s="809"/>
      <c r="K360" s="809"/>
      <c r="L360" s="810"/>
      <c r="M360" s="809"/>
      <c r="N360" s="809"/>
      <c r="O360" s="809"/>
      <c r="P360" s="809"/>
      <c r="Q360" s="809"/>
      <c r="R360" s="809"/>
    </row>
    <row r="361" spans="1:18">
      <c r="A361" s="809"/>
      <c r="B361" s="809"/>
      <c r="C361" s="809"/>
      <c r="D361" s="809"/>
      <c r="E361" s="809"/>
      <c r="F361" s="809"/>
      <c r="G361" s="809"/>
      <c r="H361" s="809"/>
      <c r="I361" s="809"/>
      <c r="J361" s="809"/>
      <c r="K361" s="809"/>
      <c r="L361" s="810"/>
      <c r="M361" s="809"/>
      <c r="N361" s="809"/>
      <c r="O361" s="809"/>
      <c r="P361" s="809"/>
      <c r="Q361" s="809"/>
      <c r="R361" s="809"/>
    </row>
    <row r="362" spans="1:18">
      <c r="A362" s="809"/>
      <c r="B362" s="809"/>
      <c r="C362" s="809"/>
      <c r="D362" s="809"/>
      <c r="E362" s="809"/>
      <c r="F362" s="809"/>
      <c r="G362" s="809"/>
      <c r="H362" s="809"/>
      <c r="I362" s="809"/>
      <c r="J362" s="809"/>
      <c r="K362" s="809"/>
      <c r="L362" s="810"/>
      <c r="M362" s="809"/>
      <c r="N362" s="809"/>
      <c r="O362" s="809"/>
      <c r="P362" s="809"/>
      <c r="Q362" s="809"/>
      <c r="R362" s="809"/>
    </row>
    <row r="363" spans="1:18">
      <c r="A363" s="809"/>
      <c r="B363" s="809"/>
      <c r="C363" s="809"/>
      <c r="D363" s="809"/>
      <c r="E363" s="809"/>
      <c r="F363" s="809"/>
      <c r="G363" s="809"/>
      <c r="H363" s="809"/>
      <c r="I363" s="809"/>
      <c r="J363" s="809"/>
      <c r="K363" s="809"/>
      <c r="L363" s="810"/>
      <c r="M363" s="809"/>
      <c r="N363" s="809"/>
      <c r="O363" s="809"/>
      <c r="P363" s="809"/>
      <c r="Q363" s="809"/>
      <c r="R363" s="809"/>
    </row>
    <row r="364" spans="1:18">
      <c r="A364" s="809"/>
      <c r="B364" s="809"/>
      <c r="C364" s="809"/>
      <c r="D364" s="809"/>
      <c r="E364" s="809"/>
      <c r="F364" s="809"/>
      <c r="G364" s="809"/>
      <c r="H364" s="809"/>
      <c r="I364" s="809"/>
      <c r="J364" s="809"/>
      <c r="K364" s="809"/>
      <c r="L364" s="810"/>
      <c r="M364" s="809"/>
      <c r="N364" s="809"/>
      <c r="O364" s="809"/>
      <c r="P364" s="809"/>
      <c r="Q364" s="809"/>
      <c r="R364" s="809"/>
    </row>
    <row r="365" spans="1:18">
      <c r="A365" s="809"/>
      <c r="B365" s="809"/>
      <c r="C365" s="809"/>
      <c r="D365" s="809"/>
      <c r="E365" s="809"/>
      <c r="F365" s="809"/>
      <c r="G365" s="809"/>
      <c r="H365" s="809"/>
      <c r="I365" s="809"/>
      <c r="J365" s="809"/>
      <c r="K365" s="809"/>
      <c r="L365" s="810"/>
      <c r="M365" s="809"/>
      <c r="N365" s="809"/>
      <c r="O365" s="809"/>
      <c r="P365" s="809"/>
      <c r="Q365" s="809"/>
      <c r="R365" s="809"/>
    </row>
    <row r="366" spans="1:18">
      <c r="A366" s="809"/>
      <c r="B366" s="809"/>
      <c r="C366" s="809"/>
      <c r="D366" s="809"/>
      <c r="E366" s="809"/>
      <c r="F366" s="809"/>
      <c r="G366" s="809"/>
      <c r="H366" s="809"/>
      <c r="I366" s="809"/>
      <c r="J366" s="809"/>
      <c r="K366" s="809"/>
      <c r="L366" s="810"/>
      <c r="M366" s="809"/>
      <c r="N366" s="809"/>
      <c r="O366" s="809"/>
      <c r="P366" s="809"/>
      <c r="Q366" s="809"/>
      <c r="R366" s="809"/>
    </row>
    <row r="367" spans="1:18">
      <c r="A367" s="809"/>
      <c r="B367" s="809"/>
      <c r="C367" s="809"/>
      <c r="D367" s="809"/>
      <c r="E367" s="809"/>
      <c r="F367" s="809"/>
      <c r="G367" s="809"/>
      <c r="H367" s="809"/>
      <c r="I367" s="809"/>
      <c r="J367" s="809"/>
      <c r="K367" s="809"/>
      <c r="L367" s="810"/>
      <c r="M367" s="809"/>
      <c r="N367" s="809"/>
      <c r="O367" s="809"/>
      <c r="P367" s="809"/>
      <c r="Q367" s="809"/>
      <c r="R367" s="809"/>
    </row>
    <row r="368" spans="1:18">
      <c r="A368" s="809"/>
      <c r="B368" s="809"/>
      <c r="C368" s="809"/>
      <c r="D368" s="809"/>
      <c r="E368" s="809"/>
      <c r="F368" s="809"/>
      <c r="G368" s="809"/>
      <c r="H368" s="809"/>
      <c r="I368" s="809"/>
      <c r="J368" s="809"/>
      <c r="K368" s="809"/>
      <c r="L368" s="810"/>
      <c r="M368" s="809"/>
      <c r="N368" s="809"/>
      <c r="O368" s="809"/>
      <c r="P368" s="809"/>
      <c r="Q368" s="809"/>
      <c r="R368" s="809"/>
    </row>
    <row r="369" spans="1:18">
      <c r="A369" s="809"/>
      <c r="B369" s="809"/>
      <c r="C369" s="809"/>
      <c r="D369" s="809"/>
      <c r="E369" s="809"/>
      <c r="F369" s="809"/>
      <c r="G369" s="809"/>
      <c r="H369" s="809"/>
      <c r="I369" s="809"/>
      <c r="J369" s="809"/>
      <c r="K369" s="809"/>
      <c r="L369" s="810"/>
      <c r="M369" s="809"/>
      <c r="N369" s="809"/>
      <c r="O369" s="809"/>
      <c r="P369" s="809"/>
      <c r="Q369" s="809"/>
      <c r="R369" s="809"/>
    </row>
    <row r="370" spans="1:18">
      <c r="A370" s="809"/>
      <c r="B370" s="809"/>
      <c r="C370" s="809"/>
      <c r="D370" s="809"/>
      <c r="E370" s="809"/>
      <c r="F370" s="809"/>
      <c r="G370" s="809"/>
      <c r="H370" s="809"/>
      <c r="I370" s="809"/>
      <c r="J370" s="809"/>
      <c r="K370" s="809"/>
      <c r="L370" s="810"/>
      <c r="M370" s="809"/>
      <c r="N370" s="809"/>
      <c r="O370" s="809"/>
      <c r="P370" s="809"/>
      <c r="Q370" s="809"/>
      <c r="R370" s="809"/>
    </row>
    <row r="371" spans="1:18">
      <c r="A371" s="809"/>
      <c r="B371" s="809"/>
      <c r="C371" s="809"/>
      <c r="D371" s="809"/>
      <c r="E371" s="809"/>
      <c r="F371" s="809"/>
      <c r="G371" s="809"/>
      <c r="H371" s="809"/>
      <c r="I371" s="809"/>
      <c r="J371" s="809"/>
      <c r="K371" s="809"/>
      <c r="L371" s="810"/>
      <c r="M371" s="809"/>
      <c r="N371" s="809"/>
      <c r="O371" s="809"/>
      <c r="P371" s="809"/>
      <c r="Q371" s="809"/>
      <c r="R371" s="809"/>
    </row>
    <row r="372" spans="1:18">
      <c r="A372" s="809"/>
      <c r="B372" s="809"/>
      <c r="C372" s="809"/>
      <c r="D372" s="809"/>
      <c r="E372" s="809"/>
      <c r="F372" s="809"/>
      <c r="G372" s="809"/>
      <c r="H372" s="809"/>
      <c r="I372" s="809"/>
      <c r="J372" s="809"/>
      <c r="K372" s="809"/>
      <c r="L372" s="810"/>
      <c r="M372" s="809"/>
      <c r="N372" s="809"/>
      <c r="O372" s="809"/>
      <c r="P372" s="809"/>
      <c r="Q372" s="809"/>
      <c r="R372" s="809"/>
    </row>
    <row r="373" spans="1:18">
      <c r="A373" s="809"/>
      <c r="B373" s="809"/>
      <c r="C373" s="809"/>
      <c r="D373" s="809"/>
      <c r="E373" s="809"/>
      <c r="F373" s="809"/>
      <c r="G373" s="809"/>
      <c r="H373" s="809"/>
      <c r="I373" s="809"/>
      <c r="J373" s="809"/>
      <c r="K373" s="809"/>
      <c r="L373" s="810"/>
      <c r="M373" s="809"/>
      <c r="N373" s="809"/>
      <c r="O373" s="809"/>
      <c r="P373" s="809"/>
      <c r="Q373" s="809"/>
      <c r="R373" s="809"/>
    </row>
    <row r="374" spans="1:18">
      <c r="A374" s="809"/>
      <c r="B374" s="809"/>
      <c r="C374" s="809"/>
      <c r="D374" s="809"/>
      <c r="E374" s="809"/>
      <c r="F374" s="809"/>
      <c r="G374" s="809"/>
      <c r="H374" s="809"/>
      <c r="I374" s="809"/>
      <c r="J374" s="809"/>
      <c r="K374" s="809"/>
      <c r="L374" s="810"/>
      <c r="M374" s="809"/>
      <c r="N374" s="809"/>
      <c r="O374" s="809"/>
      <c r="P374" s="809"/>
      <c r="Q374" s="809"/>
      <c r="R374" s="809"/>
    </row>
    <row r="375" spans="1:18">
      <c r="A375" s="809"/>
      <c r="B375" s="809"/>
      <c r="C375" s="809"/>
      <c r="D375" s="809"/>
      <c r="E375" s="809"/>
      <c r="F375" s="809"/>
      <c r="G375" s="809"/>
      <c r="H375" s="809"/>
      <c r="I375" s="809"/>
      <c r="J375" s="809"/>
      <c r="K375" s="809"/>
      <c r="L375" s="810"/>
      <c r="M375" s="809"/>
      <c r="N375" s="809"/>
      <c r="O375" s="809"/>
      <c r="P375" s="809"/>
      <c r="Q375" s="809"/>
      <c r="R375" s="809"/>
    </row>
    <row r="376" spans="1:18">
      <c r="A376" s="809"/>
      <c r="B376" s="809"/>
      <c r="C376" s="809"/>
      <c r="D376" s="809"/>
      <c r="E376" s="809"/>
      <c r="F376" s="809"/>
      <c r="G376" s="809"/>
      <c r="H376" s="809"/>
      <c r="I376" s="809"/>
      <c r="J376" s="809"/>
      <c r="K376" s="809"/>
      <c r="L376" s="810"/>
      <c r="M376" s="809"/>
      <c r="N376" s="809"/>
      <c r="O376" s="809"/>
      <c r="P376" s="809"/>
      <c r="Q376" s="809"/>
      <c r="R376" s="809"/>
    </row>
    <row r="377" spans="1:18">
      <c r="A377" s="809"/>
      <c r="B377" s="809"/>
      <c r="C377" s="809"/>
      <c r="D377" s="809"/>
      <c r="E377" s="809"/>
      <c r="F377" s="809"/>
      <c r="G377" s="809"/>
      <c r="H377" s="809"/>
      <c r="I377" s="809"/>
      <c r="J377" s="809"/>
      <c r="K377" s="809"/>
      <c r="L377" s="810"/>
      <c r="M377" s="809"/>
      <c r="N377" s="809"/>
      <c r="O377" s="809"/>
      <c r="P377" s="809"/>
      <c r="Q377" s="809"/>
      <c r="R377" s="809"/>
    </row>
    <row r="378" spans="1:18">
      <c r="A378" s="809"/>
      <c r="B378" s="809"/>
      <c r="C378" s="809"/>
      <c r="D378" s="809"/>
      <c r="E378" s="809"/>
      <c r="F378" s="809"/>
      <c r="G378" s="809"/>
      <c r="H378" s="809"/>
      <c r="I378" s="809"/>
      <c r="J378" s="809"/>
      <c r="K378" s="809"/>
      <c r="L378" s="810"/>
      <c r="M378" s="809"/>
      <c r="N378" s="809"/>
      <c r="O378" s="809"/>
      <c r="P378" s="809"/>
      <c r="Q378" s="809"/>
      <c r="R378" s="809"/>
    </row>
    <row r="379" spans="1:18">
      <c r="A379" s="809"/>
      <c r="B379" s="809"/>
      <c r="C379" s="809"/>
      <c r="D379" s="809"/>
      <c r="E379" s="809"/>
      <c r="F379" s="809"/>
      <c r="G379" s="809"/>
      <c r="H379" s="809"/>
      <c r="I379" s="809"/>
      <c r="J379" s="809"/>
      <c r="K379" s="809"/>
      <c r="L379" s="810"/>
      <c r="M379" s="809"/>
      <c r="N379" s="809"/>
      <c r="O379" s="809"/>
      <c r="P379" s="809"/>
      <c r="Q379" s="809"/>
      <c r="R379" s="809"/>
    </row>
    <row r="380" spans="1:18">
      <c r="A380" s="809"/>
      <c r="B380" s="809"/>
      <c r="C380" s="809"/>
      <c r="D380" s="809"/>
      <c r="E380" s="809"/>
      <c r="F380" s="809"/>
      <c r="G380" s="809"/>
      <c r="H380" s="809"/>
      <c r="I380" s="809"/>
      <c r="J380" s="809"/>
      <c r="K380" s="809"/>
      <c r="L380" s="810"/>
      <c r="M380" s="809"/>
      <c r="N380" s="809"/>
      <c r="O380" s="809"/>
      <c r="P380" s="809"/>
      <c r="Q380" s="809"/>
      <c r="R380" s="809"/>
    </row>
    <row r="381" spans="1:18">
      <c r="A381" s="809"/>
      <c r="B381" s="809"/>
      <c r="C381" s="809"/>
      <c r="D381" s="809"/>
      <c r="E381" s="809"/>
      <c r="F381" s="809"/>
      <c r="G381" s="809"/>
      <c r="H381" s="809"/>
      <c r="I381" s="809"/>
      <c r="J381" s="809"/>
      <c r="K381" s="809"/>
      <c r="L381" s="810"/>
      <c r="M381" s="809"/>
      <c r="N381" s="809"/>
      <c r="O381" s="809"/>
      <c r="P381" s="809"/>
      <c r="Q381" s="809"/>
      <c r="R381" s="809"/>
    </row>
    <row r="382" spans="1:18">
      <c r="A382" s="809"/>
      <c r="B382" s="809"/>
      <c r="C382" s="809"/>
      <c r="D382" s="809"/>
      <c r="E382" s="809"/>
      <c r="F382" s="809"/>
      <c r="G382" s="809"/>
      <c r="H382" s="809"/>
      <c r="I382" s="809"/>
      <c r="J382" s="809"/>
      <c r="K382" s="809"/>
      <c r="L382" s="810"/>
      <c r="M382" s="809"/>
      <c r="N382" s="809"/>
      <c r="O382" s="809"/>
      <c r="P382" s="809"/>
      <c r="Q382" s="809"/>
      <c r="R382" s="809"/>
    </row>
    <row r="383" spans="1:18">
      <c r="A383" s="809"/>
      <c r="B383" s="809"/>
      <c r="C383" s="809"/>
      <c r="D383" s="809"/>
      <c r="E383" s="809"/>
      <c r="F383" s="809"/>
      <c r="G383" s="809"/>
      <c r="H383" s="809"/>
      <c r="I383" s="809"/>
      <c r="J383" s="809"/>
      <c r="K383" s="809"/>
      <c r="L383" s="810"/>
      <c r="M383" s="809"/>
      <c r="N383" s="809"/>
      <c r="O383" s="809"/>
      <c r="P383" s="809"/>
      <c r="Q383" s="809"/>
      <c r="R383" s="809"/>
    </row>
    <row r="384" spans="1:18">
      <c r="A384" s="809"/>
      <c r="B384" s="809"/>
      <c r="C384" s="809"/>
      <c r="D384" s="809"/>
      <c r="E384" s="809"/>
      <c r="F384" s="809"/>
      <c r="G384" s="809"/>
      <c r="H384" s="809"/>
      <c r="I384" s="809"/>
      <c r="J384" s="809"/>
      <c r="K384" s="809"/>
      <c r="L384" s="810"/>
      <c r="M384" s="809"/>
      <c r="N384" s="809"/>
      <c r="O384" s="809"/>
      <c r="P384" s="809"/>
      <c r="Q384" s="809"/>
      <c r="R384" s="809"/>
    </row>
    <row r="385" spans="1:18">
      <c r="A385" s="809"/>
      <c r="B385" s="809"/>
      <c r="C385" s="809"/>
      <c r="D385" s="809"/>
      <c r="E385" s="809"/>
      <c r="F385" s="809"/>
      <c r="G385" s="809"/>
      <c r="H385" s="809"/>
      <c r="I385" s="809"/>
      <c r="J385" s="809"/>
      <c r="K385" s="809"/>
      <c r="L385" s="810"/>
      <c r="M385" s="809"/>
      <c r="N385" s="809"/>
      <c r="O385" s="809"/>
      <c r="P385" s="809"/>
      <c r="Q385" s="809"/>
      <c r="R385" s="809"/>
    </row>
    <row r="386" spans="1:18">
      <c r="A386" s="809"/>
      <c r="B386" s="809"/>
      <c r="C386" s="809"/>
      <c r="D386" s="809"/>
      <c r="E386" s="809"/>
      <c r="F386" s="809"/>
      <c r="G386" s="809"/>
      <c r="H386" s="809"/>
      <c r="I386" s="809"/>
      <c r="J386" s="809"/>
      <c r="K386" s="809"/>
      <c r="L386" s="810"/>
      <c r="M386" s="809"/>
      <c r="N386" s="809"/>
      <c r="O386" s="809"/>
      <c r="P386" s="809"/>
      <c r="Q386" s="809"/>
      <c r="R386" s="809"/>
    </row>
    <row r="387" spans="1:18">
      <c r="A387" s="809"/>
      <c r="B387" s="809"/>
      <c r="C387" s="809"/>
      <c r="D387" s="809"/>
      <c r="E387" s="809"/>
      <c r="F387" s="809"/>
      <c r="G387" s="809"/>
      <c r="H387" s="809"/>
      <c r="I387" s="809"/>
      <c r="J387" s="809"/>
      <c r="K387" s="809"/>
      <c r="L387" s="810"/>
      <c r="M387" s="809"/>
      <c r="N387" s="809"/>
      <c r="O387" s="809"/>
      <c r="P387" s="809"/>
      <c r="Q387" s="809"/>
      <c r="R387" s="809"/>
    </row>
    <row r="388" spans="1:18">
      <c r="A388" s="809"/>
      <c r="B388" s="809"/>
      <c r="C388" s="809"/>
      <c r="D388" s="809"/>
      <c r="E388" s="809"/>
      <c r="F388" s="809"/>
      <c r="G388" s="809"/>
      <c r="H388" s="809"/>
      <c r="I388" s="809"/>
      <c r="J388" s="809"/>
      <c r="K388" s="809"/>
      <c r="L388" s="810"/>
      <c r="M388" s="809"/>
      <c r="N388" s="809"/>
      <c r="O388" s="809"/>
      <c r="P388" s="809"/>
      <c r="Q388" s="809"/>
      <c r="R388" s="809"/>
    </row>
    <row r="389" spans="1:18">
      <c r="A389" s="809"/>
      <c r="B389" s="809"/>
      <c r="C389" s="809"/>
      <c r="D389" s="809"/>
      <c r="E389" s="809"/>
      <c r="F389" s="809"/>
      <c r="G389" s="809"/>
      <c r="H389" s="809"/>
      <c r="I389" s="809"/>
      <c r="J389" s="809"/>
      <c r="K389" s="809"/>
      <c r="L389" s="810"/>
      <c r="M389" s="809"/>
      <c r="N389" s="809"/>
      <c r="O389" s="809"/>
      <c r="P389" s="809"/>
      <c r="Q389" s="809"/>
      <c r="R389" s="809"/>
    </row>
    <row r="390" spans="1:18">
      <c r="A390" s="809"/>
      <c r="B390" s="809"/>
      <c r="C390" s="809"/>
      <c r="D390" s="809"/>
      <c r="E390" s="809"/>
      <c r="F390" s="809"/>
      <c r="G390" s="809"/>
      <c r="H390" s="809"/>
      <c r="I390" s="809"/>
      <c r="J390" s="809"/>
      <c r="K390" s="809"/>
      <c r="L390" s="810"/>
      <c r="M390" s="809"/>
      <c r="N390" s="809"/>
      <c r="O390" s="809"/>
      <c r="P390" s="809"/>
      <c r="Q390" s="809"/>
      <c r="R390" s="809"/>
    </row>
    <row r="391" spans="1:18">
      <c r="A391" s="809"/>
      <c r="B391" s="809"/>
      <c r="C391" s="809"/>
      <c r="D391" s="809"/>
      <c r="E391" s="809"/>
      <c r="F391" s="809"/>
      <c r="G391" s="809"/>
      <c r="H391" s="809"/>
      <c r="I391" s="809"/>
      <c r="J391" s="809"/>
      <c r="K391" s="809"/>
      <c r="L391" s="810"/>
      <c r="M391" s="809"/>
      <c r="N391" s="809"/>
      <c r="O391" s="809"/>
      <c r="P391" s="809"/>
      <c r="Q391" s="809"/>
      <c r="R391" s="809"/>
    </row>
    <row r="392" spans="1:18">
      <c r="A392" s="809"/>
      <c r="B392" s="809"/>
      <c r="C392" s="809"/>
      <c r="D392" s="809"/>
      <c r="E392" s="809"/>
      <c r="F392" s="809"/>
      <c r="G392" s="809"/>
      <c r="H392" s="809"/>
      <c r="I392" s="809"/>
      <c r="J392" s="809"/>
      <c r="K392" s="809"/>
      <c r="L392" s="810"/>
      <c r="M392" s="809"/>
      <c r="N392" s="809"/>
      <c r="O392" s="809"/>
      <c r="P392" s="809"/>
      <c r="Q392" s="809"/>
      <c r="R392" s="809"/>
    </row>
    <row r="393" spans="1:18">
      <c r="A393" s="809"/>
      <c r="B393" s="809"/>
      <c r="C393" s="809"/>
      <c r="D393" s="809"/>
      <c r="E393" s="809"/>
      <c r="F393" s="809"/>
      <c r="G393" s="809"/>
      <c r="H393" s="809"/>
      <c r="I393" s="809"/>
      <c r="J393" s="809"/>
      <c r="K393" s="809"/>
      <c r="L393" s="810"/>
      <c r="M393" s="809"/>
      <c r="N393" s="809"/>
      <c r="O393" s="809"/>
      <c r="P393" s="809"/>
      <c r="Q393" s="809"/>
      <c r="R393" s="809"/>
    </row>
    <row r="394" spans="1:18">
      <c r="A394" s="809"/>
      <c r="B394" s="809"/>
      <c r="C394" s="809"/>
      <c r="D394" s="809"/>
      <c r="E394" s="809"/>
      <c r="F394" s="809"/>
      <c r="G394" s="809"/>
      <c r="H394" s="809"/>
      <c r="I394" s="809"/>
      <c r="J394" s="809"/>
      <c r="K394" s="809"/>
      <c r="L394" s="810"/>
      <c r="M394" s="809"/>
      <c r="N394" s="809"/>
      <c r="O394" s="809"/>
      <c r="P394" s="809"/>
      <c r="Q394" s="809"/>
      <c r="R394" s="809"/>
    </row>
    <row r="395" spans="1:18">
      <c r="A395" s="809"/>
      <c r="B395" s="809"/>
      <c r="C395" s="809"/>
      <c r="D395" s="809"/>
      <c r="E395" s="809"/>
      <c r="F395" s="809"/>
      <c r="G395" s="809"/>
      <c r="H395" s="809"/>
      <c r="I395" s="809"/>
      <c r="J395" s="809"/>
      <c r="K395" s="809"/>
      <c r="L395" s="810"/>
      <c r="M395" s="809"/>
      <c r="N395" s="809"/>
      <c r="O395" s="809"/>
      <c r="P395" s="809"/>
      <c r="Q395" s="809"/>
      <c r="R395" s="809"/>
    </row>
    <row r="396" spans="1:18">
      <c r="A396" s="809"/>
      <c r="B396" s="809"/>
      <c r="C396" s="809"/>
      <c r="D396" s="809"/>
      <c r="E396" s="809"/>
      <c r="F396" s="809"/>
      <c r="G396" s="809"/>
      <c r="H396" s="809"/>
      <c r="I396" s="809"/>
      <c r="J396" s="809"/>
      <c r="K396" s="809"/>
      <c r="L396" s="810"/>
      <c r="M396" s="809"/>
      <c r="N396" s="809"/>
      <c r="O396" s="809"/>
      <c r="P396" s="809"/>
      <c r="Q396" s="809"/>
      <c r="R396" s="809"/>
    </row>
    <row r="397" spans="1:18">
      <c r="A397" s="809"/>
      <c r="B397" s="809"/>
      <c r="C397" s="809"/>
      <c r="D397" s="809"/>
      <c r="E397" s="809"/>
      <c r="F397" s="809"/>
      <c r="G397" s="809"/>
      <c r="H397" s="809"/>
      <c r="I397" s="809"/>
      <c r="J397" s="809"/>
      <c r="K397" s="809"/>
      <c r="L397" s="810"/>
      <c r="M397" s="809"/>
      <c r="N397" s="809"/>
      <c r="O397" s="809"/>
      <c r="P397" s="809"/>
      <c r="Q397" s="809"/>
      <c r="R397" s="809"/>
    </row>
    <row r="398" spans="1:18">
      <c r="A398" s="809"/>
      <c r="B398" s="809"/>
      <c r="C398" s="809"/>
      <c r="D398" s="809"/>
      <c r="E398" s="809"/>
      <c r="F398" s="809"/>
      <c r="G398" s="809"/>
      <c r="H398" s="809"/>
      <c r="I398" s="809"/>
      <c r="J398" s="809"/>
      <c r="K398" s="809"/>
      <c r="L398" s="810"/>
      <c r="M398" s="809"/>
      <c r="N398" s="809"/>
      <c r="O398" s="809"/>
      <c r="P398" s="809"/>
      <c r="Q398" s="809"/>
      <c r="R398" s="809"/>
    </row>
    <row r="399" spans="1:18">
      <c r="A399" s="809"/>
      <c r="B399" s="809"/>
      <c r="C399" s="809"/>
      <c r="D399" s="809"/>
      <c r="E399" s="809"/>
      <c r="F399" s="809"/>
      <c r="G399" s="809"/>
      <c r="H399" s="809"/>
      <c r="I399" s="809"/>
      <c r="J399" s="809"/>
      <c r="K399" s="809"/>
      <c r="L399" s="810"/>
      <c r="M399" s="809"/>
      <c r="N399" s="809"/>
      <c r="O399" s="809"/>
      <c r="P399" s="809"/>
      <c r="Q399" s="809"/>
      <c r="R399" s="809"/>
    </row>
    <row r="400" spans="1:18">
      <c r="A400" s="809"/>
      <c r="B400" s="809"/>
      <c r="C400" s="809"/>
      <c r="D400" s="809"/>
      <c r="E400" s="809"/>
      <c r="F400" s="809"/>
      <c r="G400" s="809"/>
      <c r="H400" s="809"/>
      <c r="I400" s="809"/>
      <c r="J400" s="809"/>
      <c r="K400" s="809"/>
      <c r="L400" s="810"/>
      <c r="M400" s="809"/>
      <c r="N400" s="809"/>
      <c r="O400" s="809"/>
      <c r="P400" s="809"/>
      <c r="Q400" s="809"/>
      <c r="R400" s="809"/>
    </row>
    <row r="401" spans="1:18">
      <c r="A401" s="809"/>
      <c r="B401" s="809"/>
      <c r="C401" s="809"/>
      <c r="D401" s="809"/>
      <c r="E401" s="809"/>
      <c r="F401" s="809"/>
      <c r="G401" s="809"/>
      <c r="H401" s="809"/>
      <c r="I401" s="809"/>
      <c r="J401" s="809"/>
      <c r="K401" s="809"/>
      <c r="L401" s="810"/>
      <c r="M401" s="809"/>
      <c r="N401" s="809"/>
      <c r="O401" s="809"/>
      <c r="P401" s="809"/>
      <c r="Q401" s="809"/>
      <c r="R401" s="809"/>
    </row>
    <row r="402" spans="1:18">
      <c r="A402" s="809"/>
      <c r="B402" s="809"/>
      <c r="C402" s="809"/>
      <c r="D402" s="809"/>
      <c r="E402" s="809"/>
      <c r="F402" s="809"/>
      <c r="G402" s="809"/>
      <c r="H402" s="809"/>
      <c r="I402" s="809"/>
      <c r="J402" s="809"/>
      <c r="K402" s="809"/>
      <c r="L402" s="810"/>
      <c r="M402" s="809"/>
      <c r="N402" s="809"/>
      <c r="O402" s="809"/>
      <c r="P402" s="809"/>
      <c r="Q402" s="809"/>
      <c r="R402" s="809"/>
    </row>
    <row r="403" spans="1:18">
      <c r="A403" s="809"/>
      <c r="B403" s="809"/>
      <c r="C403" s="809"/>
      <c r="D403" s="809"/>
      <c r="E403" s="809"/>
      <c r="F403" s="809"/>
      <c r="G403" s="809"/>
      <c r="H403" s="809"/>
      <c r="I403" s="809"/>
      <c r="J403" s="809"/>
      <c r="K403" s="809"/>
      <c r="L403" s="810"/>
      <c r="M403" s="809"/>
      <c r="N403" s="809"/>
      <c r="O403" s="809"/>
      <c r="P403" s="809"/>
      <c r="Q403" s="809"/>
      <c r="R403" s="809"/>
    </row>
    <row r="404" spans="1:18">
      <c r="A404" s="809"/>
      <c r="B404" s="809"/>
      <c r="C404" s="809"/>
      <c r="D404" s="809"/>
      <c r="E404" s="809"/>
      <c r="F404" s="809"/>
      <c r="G404" s="809"/>
      <c r="H404" s="809"/>
      <c r="I404" s="809"/>
      <c r="J404" s="809"/>
      <c r="K404" s="809"/>
      <c r="L404" s="810"/>
      <c r="M404" s="809"/>
      <c r="N404" s="809"/>
      <c r="O404" s="809"/>
      <c r="P404" s="809"/>
      <c r="Q404" s="809"/>
      <c r="R404" s="809"/>
    </row>
    <row r="405" spans="1:18">
      <c r="A405" s="809"/>
      <c r="B405" s="809"/>
      <c r="C405" s="809"/>
      <c r="D405" s="809"/>
      <c r="E405" s="809"/>
      <c r="F405" s="809"/>
      <c r="G405" s="809"/>
      <c r="H405" s="809"/>
      <c r="I405" s="809"/>
      <c r="J405" s="809"/>
      <c r="K405" s="809"/>
      <c r="L405" s="810"/>
      <c r="M405" s="809"/>
      <c r="N405" s="809"/>
      <c r="O405" s="809"/>
      <c r="P405" s="809"/>
      <c r="Q405" s="809"/>
      <c r="R405" s="809"/>
    </row>
    <row r="406" spans="1:18">
      <c r="A406" s="809"/>
      <c r="B406" s="809"/>
      <c r="C406" s="809"/>
      <c r="D406" s="809"/>
      <c r="E406" s="809"/>
      <c r="F406" s="809"/>
      <c r="G406" s="809"/>
      <c r="H406" s="809"/>
      <c r="I406" s="809"/>
      <c r="J406" s="809"/>
      <c r="K406" s="809"/>
      <c r="L406" s="810"/>
      <c r="M406" s="809"/>
      <c r="N406" s="809"/>
      <c r="O406" s="809"/>
      <c r="P406" s="809"/>
      <c r="Q406" s="809"/>
      <c r="R406" s="809"/>
    </row>
    <row r="407" spans="1:18">
      <c r="A407" s="809"/>
      <c r="B407" s="809"/>
      <c r="C407" s="809"/>
      <c r="D407" s="809"/>
      <c r="E407" s="809"/>
      <c r="F407" s="809"/>
      <c r="G407" s="809"/>
      <c r="H407" s="809"/>
      <c r="I407" s="809"/>
      <c r="J407" s="809"/>
      <c r="K407" s="809"/>
      <c r="L407" s="810"/>
      <c r="M407" s="809"/>
      <c r="N407" s="809"/>
      <c r="O407" s="809"/>
      <c r="P407" s="809"/>
      <c r="Q407" s="809"/>
      <c r="R407" s="809"/>
    </row>
    <row r="408" spans="1:18">
      <c r="A408" s="809"/>
      <c r="B408" s="809"/>
      <c r="C408" s="809"/>
      <c r="D408" s="809"/>
      <c r="E408" s="809"/>
      <c r="F408" s="809"/>
      <c r="G408" s="809"/>
      <c r="H408" s="809"/>
      <c r="I408" s="809"/>
      <c r="J408" s="809"/>
      <c r="K408" s="809"/>
      <c r="L408" s="810"/>
      <c r="M408" s="809"/>
      <c r="N408" s="809"/>
      <c r="O408" s="809"/>
      <c r="P408" s="809"/>
      <c r="Q408" s="809"/>
      <c r="R408" s="809"/>
    </row>
    <row r="409" spans="1:18">
      <c r="A409" s="809"/>
      <c r="B409" s="809"/>
      <c r="C409" s="809"/>
      <c r="D409" s="809"/>
      <c r="E409" s="809"/>
      <c r="F409" s="809"/>
      <c r="G409" s="809"/>
      <c r="H409" s="809"/>
      <c r="I409" s="809"/>
      <c r="J409" s="809"/>
      <c r="K409" s="809"/>
      <c r="L409" s="810"/>
      <c r="M409" s="809"/>
      <c r="N409" s="809"/>
      <c r="O409" s="809"/>
      <c r="P409" s="809"/>
      <c r="Q409" s="809"/>
      <c r="R409" s="809"/>
    </row>
    <row r="410" spans="1:18">
      <c r="A410" s="809"/>
      <c r="B410" s="809"/>
      <c r="C410" s="809"/>
      <c r="D410" s="809"/>
      <c r="E410" s="809"/>
      <c r="F410" s="809"/>
      <c r="G410" s="809"/>
      <c r="H410" s="809"/>
      <c r="I410" s="809"/>
      <c r="J410" s="809"/>
      <c r="K410" s="809"/>
      <c r="L410" s="810"/>
      <c r="M410" s="809"/>
      <c r="N410" s="809"/>
      <c r="O410" s="809"/>
      <c r="P410" s="809"/>
      <c r="Q410" s="809"/>
      <c r="R410" s="809"/>
    </row>
    <row r="411" spans="1:18">
      <c r="A411" s="809"/>
      <c r="B411" s="809"/>
      <c r="C411" s="809"/>
      <c r="D411" s="809"/>
      <c r="E411" s="809"/>
      <c r="F411" s="809"/>
      <c r="G411" s="809"/>
      <c r="H411" s="809"/>
      <c r="I411" s="809"/>
      <c r="J411" s="809"/>
      <c r="K411" s="809"/>
      <c r="L411" s="810"/>
      <c r="M411" s="809"/>
      <c r="N411" s="809"/>
      <c r="O411" s="809"/>
      <c r="P411" s="809"/>
      <c r="Q411" s="809"/>
      <c r="R411" s="809"/>
    </row>
    <row r="412" spans="1:18">
      <c r="A412" s="809"/>
      <c r="B412" s="809"/>
      <c r="C412" s="809"/>
      <c r="D412" s="809"/>
      <c r="E412" s="809"/>
      <c r="F412" s="809"/>
      <c r="G412" s="809"/>
      <c r="H412" s="809"/>
      <c r="I412" s="809"/>
      <c r="J412" s="809"/>
      <c r="K412" s="809"/>
      <c r="L412" s="810"/>
      <c r="M412" s="809"/>
      <c r="N412" s="809"/>
      <c r="O412" s="809"/>
      <c r="P412" s="809"/>
      <c r="Q412" s="809"/>
      <c r="R412" s="809"/>
    </row>
    <row r="413" spans="1:18">
      <c r="A413" s="809"/>
      <c r="B413" s="809"/>
      <c r="C413" s="809"/>
      <c r="D413" s="809"/>
      <c r="E413" s="809"/>
      <c r="F413" s="809"/>
      <c r="G413" s="809"/>
      <c r="H413" s="809"/>
      <c r="I413" s="809"/>
      <c r="J413" s="809"/>
      <c r="K413" s="809"/>
      <c r="L413" s="810"/>
      <c r="M413" s="809"/>
      <c r="N413" s="809"/>
      <c r="O413" s="809"/>
      <c r="P413" s="809"/>
      <c r="Q413" s="809"/>
      <c r="R413" s="809"/>
    </row>
    <row r="414" spans="1:18">
      <c r="A414" s="809"/>
      <c r="B414" s="809"/>
      <c r="C414" s="809"/>
      <c r="D414" s="809"/>
      <c r="E414" s="809"/>
      <c r="F414" s="809"/>
      <c r="G414" s="809"/>
      <c r="H414" s="809"/>
      <c r="I414" s="809"/>
      <c r="J414" s="809"/>
      <c r="K414" s="809"/>
      <c r="L414" s="810"/>
      <c r="M414" s="809"/>
      <c r="N414" s="809"/>
      <c r="O414" s="809"/>
      <c r="P414" s="809"/>
      <c r="Q414" s="809"/>
      <c r="R414" s="809"/>
    </row>
    <row r="415" spans="1:18">
      <c r="A415" s="809"/>
      <c r="B415" s="809"/>
      <c r="C415" s="809"/>
      <c r="D415" s="809"/>
      <c r="E415" s="809"/>
      <c r="F415" s="809"/>
      <c r="G415" s="809"/>
      <c r="H415" s="809"/>
      <c r="I415" s="809"/>
      <c r="J415" s="809"/>
      <c r="K415" s="809"/>
      <c r="L415" s="810"/>
      <c r="M415" s="809"/>
      <c r="N415" s="809"/>
      <c r="O415" s="809"/>
      <c r="P415" s="809"/>
      <c r="Q415" s="809"/>
      <c r="R415" s="809"/>
    </row>
    <row r="416" spans="1:18">
      <c r="A416" s="809"/>
      <c r="B416" s="809"/>
      <c r="C416" s="809"/>
      <c r="D416" s="809"/>
      <c r="E416" s="809"/>
      <c r="F416" s="809"/>
      <c r="G416" s="809"/>
      <c r="H416" s="809"/>
      <c r="I416" s="809"/>
      <c r="J416" s="809"/>
      <c r="K416" s="809"/>
      <c r="L416" s="810"/>
      <c r="M416" s="809"/>
      <c r="N416" s="809"/>
      <c r="O416" s="809"/>
      <c r="P416" s="809"/>
      <c r="Q416" s="809"/>
      <c r="R416" s="809"/>
    </row>
    <row r="417" spans="1:18">
      <c r="A417" s="809"/>
      <c r="B417" s="809"/>
      <c r="C417" s="809"/>
      <c r="D417" s="809"/>
      <c r="E417" s="809"/>
      <c r="F417" s="809"/>
      <c r="G417" s="809"/>
      <c r="H417" s="809"/>
      <c r="I417" s="809"/>
      <c r="J417" s="809"/>
      <c r="K417" s="809"/>
      <c r="L417" s="810"/>
      <c r="M417" s="809"/>
      <c r="N417" s="809"/>
      <c r="O417" s="809"/>
      <c r="P417" s="809"/>
      <c r="Q417" s="809"/>
      <c r="R417" s="809"/>
    </row>
    <row r="418" spans="1:18">
      <c r="A418" s="809"/>
      <c r="B418" s="809"/>
      <c r="C418" s="809"/>
      <c r="D418" s="809"/>
      <c r="E418" s="809"/>
      <c r="F418" s="809"/>
      <c r="G418" s="809"/>
      <c r="H418" s="809"/>
      <c r="I418" s="809"/>
      <c r="J418" s="809"/>
      <c r="K418" s="809"/>
      <c r="L418" s="810"/>
      <c r="M418" s="809"/>
      <c r="N418" s="809"/>
      <c r="O418" s="809"/>
      <c r="P418" s="809"/>
      <c r="Q418" s="809"/>
      <c r="R418" s="809"/>
    </row>
    <row r="419" spans="1:18">
      <c r="A419" s="809"/>
      <c r="B419" s="809"/>
      <c r="C419" s="809"/>
      <c r="D419" s="809"/>
      <c r="E419" s="809"/>
      <c r="F419" s="809"/>
      <c r="G419" s="809"/>
      <c r="H419" s="809"/>
      <c r="I419" s="809"/>
      <c r="J419" s="809"/>
      <c r="K419" s="809"/>
      <c r="L419" s="810"/>
      <c r="M419" s="809"/>
      <c r="N419" s="809"/>
      <c r="O419" s="809"/>
      <c r="P419" s="809"/>
      <c r="Q419" s="809"/>
      <c r="R419" s="809"/>
    </row>
    <row r="420" spans="1:18">
      <c r="A420" s="809"/>
      <c r="B420" s="809"/>
      <c r="C420" s="809"/>
      <c r="D420" s="809"/>
      <c r="E420" s="809"/>
      <c r="F420" s="809"/>
      <c r="G420" s="809"/>
      <c r="H420" s="809"/>
      <c r="I420" s="809"/>
      <c r="J420" s="809"/>
      <c r="K420" s="809"/>
      <c r="L420" s="810"/>
      <c r="M420" s="809"/>
      <c r="N420" s="809"/>
      <c r="O420" s="809"/>
      <c r="P420" s="809"/>
      <c r="Q420" s="809"/>
      <c r="R420" s="809"/>
    </row>
    <row r="421" spans="1:18">
      <c r="A421" s="809"/>
      <c r="B421" s="809"/>
      <c r="C421" s="809"/>
      <c r="D421" s="809"/>
      <c r="E421" s="809"/>
      <c r="F421" s="809"/>
      <c r="G421" s="809"/>
      <c r="H421" s="809"/>
      <c r="I421" s="809"/>
      <c r="J421" s="809"/>
      <c r="K421" s="809"/>
      <c r="L421" s="810"/>
      <c r="M421" s="809"/>
      <c r="N421" s="809"/>
      <c r="O421" s="809"/>
      <c r="P421" s="809"/>
      <c r="Q421" s="809"/>
      <c r="R421" s="809"/>
    </row>
    <row r="422" spans="1:18">
      <c r="A422" s="809"/>
      <c r="B422" s="809"/>
      <c r="C422" s="809"/>
      <c r="D422" s="809"/>
      <c r="E422" s="809"/>
      <c r="F422" s="809"/>
      <c r="G422" s="809"/>
      <c r="H422" s="809"/>
      <c r="I422" s="809"/>
      <c r="J422" s="809"/>
      <c r="K422" s="809"/>
      <c r="L422" s="810"/>
      <c r="M422" s="809"/>
      <c r="N422" s="809"/>
      <c r="O422" s="809"/>
      <c r="P422" s="809"/>
      <c r="Q422" s="809"/>
      <c r="R422" s="809"/>
    </row>
    <row r="423" spans="1:18">
      <c r="A423" s="809"/>
      <c r="B423" s="809"/>
      <c r="C423" s="809"/>
      <c r="D423" s="809"/>
      <c r="E423" s="809"/>
      <c r="F423" s="809"/>
      <c r="G423" s="809"/>
      <c r="H423" s="809"/>
      <c r="I423" s="809"/>
      <c r="J423" s="809"/>
      <c r="K423" s="809"/>
      <c r="L423" s="810"/>
      <c r="M423" s="809"/>
      <c r="N423" s="809"/>
      <c r="O423" s="809"/>
      <c r="P423" s="809"/>
      <c r="Q423" s="809"/>
      <c r="R423" s="809"/>
    </row>
    <row r="424" spans="1:18">
      <c r="A424" s="809"/>
      <c r="B424" s="809"/>
      <c r="C424" s="809"/>
      <c r="D424" s="809"/>
      <c r="E424" s="809"/>
      <c r="F424" s="809"/>
      <c r="G424" s="809"/>
      <c r="H424" s="809"/>
      <c r="I424" s="809"/>
      <c r="J424" s="809"/>
      <c r="K424" s="809"/>
      <c r="L424" s="810"/>
      <c r="M424" s="809"/>
      <c r="N424" s="809"/>
      <c r="O424" s="809"/>
      <c r="P424" s="809"/>
      <c r="Q424" s="809"/>
      <c r="R424" s="809"/>
    </row>
    <row r="425" spans="1:18">
      <c r="A425" s="809"/>
      <c r="B425" s="809"/>
      <c r="C425" s="809"/>
      <c r="D425" s="809"/>
      <c r="E425" s="809"/>
      <c r="F425" s="809"/>
      <c r="G425" s="809"/>
      <c r="H425" s="809"/>
      <c r="I425" s="809"/>
      <c r="J425" s="809"/>
      <c r="K425" s="809"/>
      <c r="L425" s="810"/>
      <c r="M425" s="809"/>
      <c r="N425" s="809"/>
      <c r="O425" s="809"/>
      <c r="P425" s="809"/>
      <c r="Q425" s="809"/>
      <c r="R425" s="809"/>
    </row>
    <row r="426" spans="1:18">
      <c r="A426" s="809"/>
      <c r="B426" s="809"/>
      <c r="C426" s="809"/>
      <c r="D426" s="809"/>
      <c r="E426" s="809"/>
      <c r="F426" s="809"/>
      <c r="G426" s="809"/>
      <c r="H426" s="809"/>
      <c r="I426" s="809"/>
      <c r="J426" s="809"/>
      <c r="K426" s="809"/>
      <c r="L426" s="810"/>
      <c r="M426" s="809"/>
      <c r="N426" s="809"/>
      <c r="O426" s="809"/>
      <c r="P426" s="809"/>
      <c r="Q426" s="809"/>
      <c r="R426" s="809"/>
    </row>
    <row r="427" spans="1:18">
      <c r="A427" s="809"/>
      <c r="B427" s="809"/>
      <c r="C427" s="809"/>
      <c r="D427" s="809"/>
      <c r="E427" s="809"/>
      <c r="F427" s="809"/>
      <c r="G427" s="809"/>
      <c r="H427" s="809"/>
      <c r="I427" s="809"/>
      <c r="J427" s="809"/>
      <c r="K427" s="809"/>
      <c r="L427" s="810"/>
      <c r="M427" s="809"/>
      <c r="N427" s="809"/>
      <c r="O427" s="809"/>
      <c r="P427" s="809"/>
      <c r="Q427" s="809"/>
      <c r="R427" s="809"/>
    </row>
    <row r="428" spans="1:18">
      <c r="A428" s="809"/>
      <c r="B428" s="809"/>
      <c r="C428" s="809"/>
      <c r="D428" s="809"/>
      <c r="E428" s="809"/>
      <c r="F428" s="809"/>
      <c r="G428" s="809"/>
      <c r="H428" s="809"/>
      <c r="I428" s="809"/>
      <c r="J428" s="809"/>
      <c r="K428" s="809"/>
      <c r="L428" s="810"/>
      <c r="M428" s="809"/>
      <c r="N428" s="809"/>
      <c r="O428" s="809"/>
      <c r="P428" s="809"/>
      <c r="Q428" s="809"/>
      <c r="R428" s="809"/>
    </row>
    <row r="429" spans="1:18">
      <c r="A429" s="809"/>
      <c r="B429" s="809"/>
      <c r="C429" s="809"/>
      <c r="D429" s="809"/>
      <c r="E429" s="809"/>
      <c r="F429" s="809"/>
      <c r="G429" s="809"/>
      <c r="H429" s="809"/>
      <c r="I429" s="809"/>
      <c r="J429" s="809"/>
      <c r="K429" s="809"/>
      <c r="L429" s="810"/>
      <c r="M429" s="809"/>
      <c r="N429" s="809"/>
      <c r="O429" s="809"/>
      <c r="P429" s="809"/>
      <c r="Q429" s="809"/>
      <c r="R429" s="809"/>
    </row>
    <row r="430" spans="1:18">
      <c r="A430" s="809"/>
      <c r="B430" s="809"/>
      <c r="C430" s="809"/>
      <c r="D430" s="809"/>
      <c r="E430" s="809"/>
      <c r="F430" s="809"/>
      <c r="G430" s="809"/>
      <c r="H430" s="809"/>
      <c r="I430" s="809"/>
      <c r="J430" s="809"/>
      <c r="K430" s="809"/>
      <c r="L430" s="810"/>
      <c r="M430" s="809"/>
      <c r="N430" s="809"/>
      <c r="O430" s="809"/>
      <c r="P430" s="809"/>
      <c r="Q430" s="809"/>
      <c r="R430" s="809"/>
    </row>
    <row r="431" spans="1:18">
      <c r="A431" s="809"/>
      <c r="B431" s="809"/>
      <c r="C431" s="809"/>
      <c r="D431" s="809"/>
      <c r="E431" s="809"/>
      <c r="F431" s="809"/>
      <c r="G431" s="809"/>
      <c r="H431" s="809"/>
      <c r="I431" s="809"/>
      <c r="J431" s="809"/>
      <c r="K431" s="809"/>
      <c r="L431" s="810"/>
      <c r="M431" s="809"/>
      <c r="N431" s="809"/>
      <c r="O431" s="809"/>
      <c r="P431" s="809"/>
      <c r="Q431" s="809"/>
      <c r="R431" s="809"/>
    </row>
    <row r="432" spans="1:18">
      <c r="A432" s="809"/>
      <c r="B432" s="809"/>
      <c r="C432" s="809"/>
      <c r="D432" s="809"/>
      <c r="E432" s="809"/>
      <c r="F432" s="809"/>
      <c r="G432" s="809"/>
      <c r="H432" s="809"/>
      <c r="I432" s="809"/>
      <c r="J432" s="809"/>
      <c r="K432" s="809"/>
      <c r="L432" s="810"/>
      <c r="M432" s="809"/>
      <c r="N432" s="809"/>
      <c r="O432" s="809"/>
      <c r="P432" s="809"/>
      <c r="Q432" s="809"/>
      <c r="R432" s="809"/>
    </row>
    <row r="433" spans="1:18">
      <c r="A433" s="809"/>
      <c r="B433" s="809"/>
      <c r="C433" s="809"/>
      <c r="D433" s="809"/>
      <c r="E433" s="809"/>
      <c r="F433" s="809"/>
      <c r="G433" s="809"/>
      <c r="H433" s="809"/>
      <c r="I433" s="809"/>
      <c r="J433" s="809"/>
      <c r="K433" s="809"/>
      <c r="L433" s="810"/>
      <c r="M433" s="809"/>
      <c r="N433" s="809"/>
      <c r="O433" s="809"/>
      <c r="P433" s="809"/>
      <c r="Q433" s="809"/>
      <c r="R433" s="809"/>
    </row>
    <row r="434" spans="1:18">
      <c r="A434" s="809"/>
      <c r="B434" s="809"/>
      <c r="C434" s="809"/>
      <c r="D434" s="809"/>
      <c r="E434" s="809"/>
      <c r="F434" s="809"/>
      <c r="G434" s="809"/>
      <c r="H434" s="809"/>
      <c r="I434" s="809"/>
      <c r="J434" s="809"/>
      <c r="K434" s="809"/>
      <c r="L434" s="810"/>
      <c r="M434" s="809"/>
      <c r="N434" s="809"/>
      <c r="O434" s="809"/>
      <c r="P434" s="809"/>
      <c r="Q434" s="809"/>
      <c r="R434" s="809"/>
    </row>
    <row r="435" spans="1:18">
      <c r="A435" s="809"/>
      <c r="B435" s="809"/>
      <c r="C435" s="809"/>
      <c r="D435" s="809"/>
      <c r="E435" s="809"/>
      <c r="F435" s="809"/>
      <c r="G435" s="809"/>
      <c r="H435" s="809"/>
      <c r="I435" s="809"/>
      <c r="J435" s="809"/>
      <c r="K435" s="809"/>
      <c r="L435" s="810"/>
      <c r="M435" s="809"/>
      <c r="N435" s="809"/>
      <c r="O435" s="809"/>
      <c r="P435" s="809"/>
      <c r="Q435" s="809"/>
      <c r="R435" s="809"/>
    </row>
    <row r="436" spans="1:18">
      <c r="A436" s="809"/>
      <c r="B436" s="809"/>
      <c r="C436" s="809"/>
      <c r="D436" s="809"/>
      <c r="E436" s="809"/>
      <c r="F436" s="809"/>
      <c r="G436" s="809"/>
      <c r="H436" s="809"/>
      <c r="I436" s="809"/>
      <c r="J436" s="809"/>
      <c r="K436" s="809"/>
      <c r="L436" s="810"/>
      <c r="M436" s="809"/>
      <c r="N436" s="809"/>
      <c r="O436" s="809"/>
      <c r="P436" s="809"/>
      <c r="Q436" s="809"/>
      <c r="R436" s="809"/>
    </row>
    <row r="437" spans="1:18">
      <c r="A437" s="809"/>
      <c r="B437" s="809"/>
      <c r="C437" s="809"/>
      <c r="D437" s="809"/>
      <c r="E437" s="809"/>
      <c r="F437" s="809"/>
      <c r="G437" s="809"/>
      <c r="H437" s="809"/>
      <c r="I437" s="809"/>
      <c r="J437" s="809"/>
      <c r="K437" s="809"/>
      <c r="L437" s="810"/>
      <c r="M437" s="809"/>
      <c r="N437" s="809"/>
      <c r="O437" s="809"/>
      <c r="P437" s="809"/>
      <c r="Q437" s="809"/>
      <c r="R437" s="809"/>
    </row>
    <row r="438" spans="1:18">
      <c r="A438" s="809"/>
      <c r="B438" s="809"/>
      <c r="C438" s="809"/>
      <c r="D438" s="809"/>
      <c r="E438" s="809"/>
      <c r="F438" s="809"/>
      <c r="G438" s="809"/>
      <c r="H438" s="809"/>
      <c r="I438" s="809"/>
      <c r="J438" s="809"/>
      <c r="K438" s="809"/>
      <c r="L438" s="810"/>
      <c r="M438" s="809"/>
      <c r="N438" s="809"/>
      <c r="O438" s="809"/>
      <c r="P438" s="809"/>
      <c r="Q438" s="809"/>
      <c r="R438" s="809"/>
    </row>
    <row r="439" spans="1:18">
      <c r="A439" s="809"/>
      <c r="B439" s="809"/>
      <c r="C439" s="809"/>
      <c r="D439" s="809"/>
      <c r="E439" s="809"/>
      <c r="F439" s="809"/>
      <c r="G439" s="809"/>
      <c r="H439" s="809"/>
      <c r="I439" s="809"/>
      <c r="J439" s="809"/>
      <c r="K439" s="809"/>
      <c r="L439" s="810"/>
      <c r="M439" s="809"/>
      <c r="N439" s="809"/>
      <c r="O439" s="809"/>
      <c r="P439" s="809"/>
      <c r="Q439" s="809"/>
      <c r="R439" s="809"/>
    </row>
    <row r="440" spans="1:18">
      <c r="A440" s="809"/>
      <c r="B440" s="809"/>
      <c r="C440" s="809"/>
      <c r="D440" s="809"/>
      <c r="E440" s="809"/>
      <c r="F440" s="809"/>
      <c r="G440" s="809"/>
      <c r="H440" s="809"/>
      <c r="I440" s="809"/>
      <c r="J440" s="809"/>
      <c r="K440" s="809"/>
      <c r="L440" s="810"/>
      <c r="M440" s="809"/>
      <c r="N440" s="809"/>
      <c r="O440" s="809"/>
      <c r="P440" s="809"/>
      <c r="Q440" s="809"/>
      <c r="R440" s="809"/>
    </row>
    <row r="441" spans="1:18">
      <c r="A441" s="809"/>
      <c r="B441" s="809"/>
      <c r="C441" s="809"/>
      <c r="D441" s="809"/>
      <c r="E441" s="809"/>
      <c r="F441" s="809"/>
      <c r="G441" s="809"/>
      <c r="H441" s="809"/>
      <c r="I441" s="809"/>
      <c r="J441" s="809"/>
      <c r="K441" s="809"/>
      <c r="L441" s="810"/>
      <c r="M441" s="809"/>
      <c r="N441" s="809"/>
      <c r="O441" s="809"/>
      <c r="P441" s="809"/>
      <c r="Q441" s="809"/>
      <c r="R441" s="809"/>
    </row>
    <row r="442" spans="1:18">
      <c r="A442" s="809"/>
      <c r="B442" s="809"/>
      <c r="C442" s="809"/>
      <c r="D442" s="809"/>
      <c r="E442" s="809"/>
      <c r="F442" s="809"/>
      <c r="G442" s="809"/>
      <c r="H442" s="809"/>
      <c r="I442" s="809"/>
      <c r="J442" s="809"/>
      <c r="K442" s="809"/>
      <c r="L442" s="810"/>
      <c r="M442" s="809"/>
      <c r="N442" s="809"/>
      <c r="O442" s="809"/>
      <c r="P442" s="809"/>
      <c r="Q442" s="809"/>
      <c r="R442" s="809"/>
    </row>
    <row r="443" spans="1:18">
      <c r="A443" s="809"/>
      <c r="B443" s="809"/>
      <c r="C443" s="809"/>
      <c r="D443" s="809"/>
      <c r="E443" s="809"/>
      <c r="F443" s="809"/>
      <c r="G443" s="809"/>
      <c r="H443" s="809"/>
      <c r="I443" s="809"/>
      <c r="J443" s="809"/>
      <c r="K443" s="809"/>
      <c r="L443" s="810"/>
      <c r="M443" s="809"/>
      <c r="N443" s="809"/>
      <c r="O443" s="809"/>
      <c r="P443" s="809"/>
      <c r="Q443" s="809"/>
      <c r="R443" s="809"/>
    </row>
    <row r="444" spans="1:18">
      <c r="A444" s="809"/>
      <c r="B444" s="809"/>
      <c r="C444" s="809"/>
      <c r="D444" s="809"/>
      <c r="E444" s="809"/>
      <c r="F444" s="809"/>
      <c r="G444" s="809"/>
      <c r="H444" s="809"/>
      <c r="I444" s="809"/>
      <c r="J444" s="809"/>
      <c r="K444" s="809"/>
      <c r="L444" s="810"/>
      <c r="M444" s="809"/>
      <c r="N444" s="809"/>
      <c r="O444" s="809"/>
      <c r="P444" s="809"/>
      <c r="Q444" s="809"/>
      <c r="R444" s="809"/>
    </row>
    <row r="445" spans="1:18">
      <c r="A445" s="809"/>
      <c r="B445" s="809"/>
      <c r="C445" s="809"/>
      <c r="D445" s="809"/>
      <c r="E445" s="809"/>
      <c r="F445" s="809"/>
      <c r="G445" s="809"/>
      <c r="H445" s="809"/>
      <c r="I445" s="809"/>
      <c r="J445" s="809"/>
      <c r="K445" s="809"/>
      <c r="L445" s="810"/>
      <c r="M445" s="809"/>
      <c r="N445" s="809"/>
      <c r="O445" s="809"/>
      <c r="P445" s="809"/>
      <c r="Q445" s="809"/>
      <c r="R445" s="809"/>
    </row>
    <row r="446" spans="1:18">
      <c r="A446" s="809"/>
      <c r="B446" s="809"/>
      <c r="C446" s="809"/>
      <c r="D446" s="809"/>
      <c r="E446" s="809"/>
      <c r="F446" s="809"/>
      <c r="G446" s="809"/>
      <c r="H446" s="809"/>
      <c r="I446" s="809"/>
      <c r="J446" s="809"/>
      <c r="K446" s="809"/>
      <c r="L446" s="810"/>
      <c r="M446" s="809"/>
      <c r="N446" s="809"/>
      <c r="O446" s="809"/>
      <c r="P446" s="809"/>
      <c r="Q446" s="809"/>
      <c r="R446" s="809"/>
    </row>
    <row r="447" spans="1:18">
      <c r="A447" s="809"/>
      <c r="B447" s="809"/>
      <c r="C447" s="809"/>
      <c r="D447" s="809"/>
      <c r="E447" s="809"/>
      <c r="F447" s="809"/>
      <c r="G447" s="809"/>
      <c r="H447" s="809"/>
      <c r="I447" s="809"/>
      <c r="J447" s="809"/>
      <c r="K447" s="809"/>
      <c r="L447" s="810"/>
      <c r="M447" s="809"/>
      <c r="N447" s="809"/>
      <c r="O447" s="809"/>
      <c r="P447" s="809"/>
      <c r="Q447" s="809"/>
      <c r="R447" s="809"/>
    </row>
    <row r="448" spans="1:18">
      <c r="A448" s="809"/>
      <c r="B448" s="809"/>
      <c r="C448" s="809"/>
      <c r="D448" s="809"/>
      <c r="E448" s="809"/>
      <c r="F448" s="809"/>
      <c r="G448" s="809"/>
      <c r="H448" s="809"/>
      <c r="I448" s="809"/>
      <c r="J448" s="809"/>
      <c r="K448" s="809"/>
      <c r="L448" s="810"/>
      <c r="M448" s="809"/>
      <c r="N448" s="809"/>
      <c r="O448" s="809"/>
      <c r="P448" s="809"/>
      <c r="Q448" s="809"/>
      <c r="R448" s="809"/>
    </row>
    <row r="449" spans="1:18">
      <c r="A449" s="809"/>
      <c r="B449" s="809"/>
      <c r="C449" s="809"/>
      <c r="D449" s="809"/>
      <c r="E449" s="809"/>
      <c r="F449" s="809"/>
      <c r="G449" s="809"/>
      <c r="H449" s="809"/>
      <c r="I449" s="809"/>
      <c r="J449" s="809"/>
      <c r="K449" s="809"/>
      <c r="L449" s="810"/>
      <c r="M449" s="809"/>
      <c r="N449" s="809"/>
      <c r="O449" s="809"/>
      <c r="P449" s="809"/>
      <c r="Q449" s="809"/>
      <c r="R449" s="809"/>
    </row>
    <row r="450" spans="1:18">
      <c r="A450" s="809"/>
      <c r="B450" s="809"/>
      <c r="C450" s="809"/>
      <c r="D450" s="809"/>
      <c r="E450" s="809"/>
      <c r="F450" s="809"/>
      <c r="G450" s="809"/>
      <c r="H450" s="809"/>
      <c r="I450" s="809"/>
      <c r="J450" s="809"/>
      <c r="K450" s="809"/>
      <c r="L450" s="810"/>
      <c r="M450" s="809"/>
      <c r="N450" s="809"/>
      <c r="O450" s="809"/>
      <c r="P450" s="809"/>
      <c r="Q450" s="809"/>
      <c r="R450" s="809"/>
    </row>
    <row r="451" spans="1:18">
      <c r="A451" s="809"/>
      <c r="B451" s="809"/>
      <c r="C451" s="809"/>
      <c r="D451" s="809"/>
      <c r="E451" s="809"/>
      <c r="F451" s="809"/>
      <c r="G451" s="809"/>
      <c r="H451" s="809"/>
      <c r="I451" s="809"/>
      <c r="J451" s="809"/>
      <c r="K451" s="809"/>
      <c r="L451" s="810"/>
      <c r="M451" s="809"/>
      <c r="N451" s="809"/>
      <c r="O451" s="809"/>
      <c r="P451" s="809"/>
      <c r="Q451" s="809"/>
      <c r="R451" s="809"/>
    </row>
    <row r="452" spans="1:18">
      <c r="A452" s="809"/>
      <c r="B452" s="809"/>
      <c r="C452" s="809"/>
      <c r="D452" s="809"/>
      <c r="E452" s="809"/>
      <c r="F452" s="809"/>
      <c r="G452" s="809"/>
      <c r="H452" s="809"/>
      <c r="I452" s="809"/>
      <c r="J452" s="809"/>
      <c r="K452" s="809"/>
      <c r="L452" s="810"/>
      <c r="M452" s="809"/>
      <c r="N452" s="809"/>
      <c r="O452" s="809"/>
      <c r="P452" s="809"/>
      <c r="Q452" s="809"/>
      <c r="R452" s="809"/>
    </row>
    <row r="453" spans="1:18">
      <c r="A453" s="809"/>
      <c r="B453" s="809"/>
      <c r="C453" s="809"/>
      <c r="D453" s="809"/>
      <c r="E453" s="809"/>
      <c r="F453" s="809"/>
      <c r="G453" s="809"/>
      <c r="H453" s="809"/>
      <c r="I453" s="809"/>
      <c r="J453" s="809"/>
      <c r="K453" s="809"/>
      <c r="L453" s="810"/>
      <c r="M453" s="809"/>
      <c r="N453" s="809"/>
      <c r="O453" s="809"/>
      <c r="P453" s="809"/>
      <c r="Q453" s="809"/>
      <c r="R453" s="809"/>
    </row>
    <row r="454" spans="1:18">
      <c r="A454" s="809"/>
      <c r="B454" s="809"/>
      <c r="C454" s="809"/>
      <c r="D454" s="809"/>
      <c r="E454" s="809"/>
      <c r="F454" s="809"/>
      <c r="G454" s="809"/>
      <c r="H454" s="809"/>
      <c r="I454" s="809"/>
      <c r="J454" s="809"/>
      <c r="K454" s="809"/>
      <c r="L454" s="810"/>
      <c r="M454" s="809"/>
      <c r="N454" s="809"/>
      <c r="O454" s="809"/>
      <c r="P454" s="809"/>
      <c r="Q454" s="809"/>
      <c r="R454" s="809"/>
    </row>
    <row r="455" spans="1:18">
      <c r="A455" s="809"/>
      <c r="B455" s="809"/>
      <c r="C455" s="809"/>
      <c r="D455" s="809"/>
      <c r="E455" s="809"/>
      <c r="F455" s="809"/>
      <c r="G455" s="809"/>
      <c r="H455" s="809"/>
      <c r="I455" s="809"/>
      <c r="J455" s="809"/>
      <c r="K455" s="809"/>
      <c r="L455" s="810"/>
      <c r="M455" s="809"/>
      <c r="N455" s="809"/>
      <c r="O455" s="809"/>
      <c r="P455" s="809"/>
      <c r="Q455" s="809"/>
      <c r="R455" s="809"/>
    </row>
    <row r="456" spans="1:18">
      <c r="A456" s="809"/>
      <c r="B456" s="809"/>
      <c r="C456" s="809"/>
      <c r="D456" s="809"/>
      <c r="E456" s="809"/>
      <c r="F456" s="809"/>
      <c r="G456" s="809"/>
      <c r="H456" s="809"/>
      <c r="I456" s="809"/>
      <c r="J456" s="809"/>
      <c r="K456" s="809"/>
      <c r="L456" s="810"/>
      <c r="M456" s="809"/>
      <c r="N456" s="809"/>
      <c r="O456" s="809"/>
      <c r="P456" s="809"/>
      <c r="Q456" s="809"/>
      <c r="R456" s="809"/>
    </row>
    <row r="457" spans="1:18">
      <c r="A457" s="809"/>
      <c r="B457" s="809"/>
      <c r="C457" s="809"/>
      <c r="D457" s="809"/>
      <c r="E457" s="809"/>
      <c r="F457" s="809"/>
      <c r="G457" s="809"/>
      <c r="H457" s="809"/>
      <c r="I457" s="809"/>
      <c r="J457" s="809"/>
      <c r="K457" s="809"/>
      <c r="L457" s="810"/>
      <c r="M457" s="809"/>
      <c r="N457" s="809"/>
      <c r="O457" s="809"/>
      <c r="P457" s="809"/>
      <c r="Q457" s="809"/>
      <c r="R457" s="809"/>
    </row>
    <row r="458" spans="1:18">
      <c r="A458" s="809"/>
      <c r="B458" s="809"/>
      <c r="C458" s="809"/>
      <c r="D458" s="809"/>
      <c r="E458" s="809"/>
      <c r="F458" s="809"/>
      <c r="G458" s="809"/>
      <c r="H458" s="809"/>
      <c r="I458" s="809"/>
      <c r="J458" s="809"/>
      <c r="K458" s="809"/>
      <c r="L458" s="810"/>
      <c r="M458" s="809"/>
      <c r="N458" s="809"/>
      <c r="O458" s="809"/>
      <c r="P458" s="809"/>
      <c r="Q458" s="809"/>
      <c r="R458" s="809"/>
    </row>
    <row r="459" spans="1:18">
      <c r="A459" s="809"/>
      <c r="B459" s="809"/>
      <c r="C459" s="809"/>
      <c r="D459" s="809"/>
      <c r="E459" s="809"/>
      <c r="F459" s="809"/>
      <c r="G459" s="809"/>
      <c r="H459" s="809"/>
      <c r="I459" s="809"/>
      <c r="J459" s="809"/>
      <c r="K459" s="809"/>
      <c r="L459" s="810"/>
      <c r="M459" s="809"/>
      <c r="N459" s="809"/>
      <c r="O459" s="809"/>
      <c r="P459" s="809"/>
      <c r="Q459" s="809"/>
      <c r="R459" s="809"/>
    </row>
    <row r="460" spans="1:18">
      <c r="A460" s="809"/>
      <c r="B460" s="809"/>
      <c r="C460" s="809"/>
      <c r="D460" s="809"/>
      <c r="E460" s="809"/>
      <c r="F460" s="809"/>
      <c r="G460" s="809"/>
      <c r="H460" s="809"/>
      <c r="I460" s="809"/>
      <c r="J460" s="809"/>
      <c r="K460" s="809"/>
      <c r="L460" s="810"/>
      <c r="M460" s="809"/>
      <c r="N460" s="809"/>
      <c r="O460" s="809"/>
      <c r="P460" s="809"/>
      <c r="Q460" s="809"/>
      <c r="R460" s="809"/>
    </row>
    <row r="461" spans="1:18">
      <c r="A461" s="809"/>
      <c r="B461" s="809"/>
      <c r="C461" s="809"/>
      <c r="D461" s="809"/>
      <c r="E461" s="809"/>
      <c r="F461" s="809"/>
      <c r="G461" s="809"/>
      <c r="H461" s="809"/>
      <c r="I461" s="809"/>
      <c r="J461" s="809"/>
      <c r="K461" s="809"/>
      <c r="L461" s="810"/>
      <c r="M461" s="809"/>
      <c r="N461" s="809"/>
      <c r="O461" s="809"/>
      <c r="P461" s="809"/>
      <c r="Q461" s="809"/>
      <c r="R461" s="809"/>
    </row>
    <row r="462" spans="1:18">
      <c r="A462" s="809"/>
      <c r="B462" s="809"/>
      <c r="C462" s="809"/>
      <c r="D462" s="809"/>
      <c r="E462" s="809"/>
      <c r="F462" s="809"/>
      <c r="G462" s="809"/>
      <c r="H462" s="809"/>
      <c r="I462" s="809"/>
      <c r="J462" s="809"/>
      <c r="K462" s="809"/>
      <c r="L462" s="810"/>
      <c r="M462" s="809"/>
      <c r="N462" s="809"/>
      <c r="O462" s="809"/>
      <c r="P462" s="809"/>
      <c r="Q462" s="809"/>
      <c r="R462" s="809"/>
    </row>
    <row r="463" spans="1:18">
      <c r="A463" s="809"/>
      <c r="B463" s="809"/>
      <c r="C463" s="809"/>
      <c r="D463" s="809"/>
      <c r="E463" s="809"/>
      <c r="F463" s="809"/>
      <c r="G463" s="809"/>
      <c r="H463" s="809"/>
      <c r="I463" s="809"/>
      <c r="J463" s="809"/>
      <c r="K463" s="809"/>
      <c r="L463" s="810"/>
      <c r="M463" s="809"/>
      <c r="N463" s="809"/>
      <c r="O463" s="809"/>
      <c r="P463" s="809"/>
      <c r="Q463" s="809"/>
      <c r="R463" s="809"/>
    </row>
    <row r="464" spans="1:18">
      <c r="A464" s="809"/>
      <c r="B464" s="809"/>
      <c r="C464" s="809"/>
      <c r="D464" s="809"/>
      <c r="E464" s="809"/>
      <c r="F464" s="809"/>
      <c r="G464" s="809"/>
      <c r="H464" s="809"/>
      <c r="I464" s="809"/>
      <c r="J464" s="809"/>
      <c r="K464" s="809"/>
      <c r="L464" s="810"/>
      <c r="M464" s="809"/>
      <c r="N464" s="809"/>
      <c r="O464" s="809"/>
      <c r="P464" s="809"/>
      <c r="Q464" s="809"/>
      <c r="R464" s="809"/>
    </row>
    <row r="465" spans="1:18">
      <c r="A465" s="809"/>
      <c r="B465" s="809"/>
      <c r="C465" s="809"/>
      <c r="D465" s="809"/>
      <c r="E465" s="809"/>
      <c r="F465" s="809"/>
      <c r="G465" s="809"/>
      <c r="H465" s="809"/>
      <c r="I465" s="809"/>
      <c r="J465" s="809"/>
      <c r="K465" s="809"/>
      <c r="L465" s="810"/>
      <c r="M465" s="809"/>
      <c r="N465" s="809"/>
      <c r="O465" s="809"/>
      <c r="P465" s="809"/>
      <c r="Q465" s="809"/>
      <c r="R465" s="809"/>
    </row>
    <row r="466" spans="1:18">
      <c r="A466" s="809"/>
      <c r="B466" s="809"/>
      <c r="C466" s="809"/>
      <c r="D466" s="809"/>
      <c r="E466" s="809"/>
      <c r="F466" s="809"/>
      <c r="G466" s="809"/>
      <c r="H466" s="809"/>
      <c r="I466" s="809"/>
      <c r="J466" s="809"/>
      <c r="K466" s="809"/>
      <c r="L466" s="810"/>
      <c r="M466" s="809"/>
      <c r="N466" s="809"/>
      <c r="O466" s="809"/>
      <c r="P466" s="809"/>
      <c r="Q466" s="809"/>
      <c r="R466" s="809"/>
    </row>
    <row r="467" spans="1:18">
      <c r="A467" s="809"/>
      <c r="B467" s="809"/>
      <c r="C467" s="809"/>
      <c r="D467" s="809"/>
      <c r="E467" s="809"/>
      <c r="F467" s="809"/>
      <c r="G467" s="809"/>
      <c r="H467" s="809"/>
      <c r="I467" s="809"/>
      <c r="J467" s="809"/>
      <c r="K467" s="809"/>
      <c r="L467" s="810"/>
      <c r="M467" s="809"/>
      <c r="N467" s="809"/>
      <c r="O467" s="809"/>
      <c r="P467" s="809"/>
      <c r="Q467" s="809"/>
      <c r="R467" s="809"/>
    </row>
    <row r="468" spans="1:18">
      <c r="A468" s="809"/>
      <c r="B468" s="809"/>
      <c r="C468" s="809"/>
      <c r="D468" s="809"/>
      <c r="E468" s="809"/>
      <c r="F468" s="809"/>
      <c r="G468" s="809"/>
      <c r="H468" s="809"/>
      <c r="I468" s="809"/>
      <c r="J468" s="809"/>
      <c r="K468" s="809"/>
      <c r="L468" s="810"/>
      <c r="M468" s="809"/>
      <c r="N468" s="809"/>
      <c r="O468" s="809"/>
      <c r="P468" s="809"/>
      <c r="Q468" s="809"/>
      <c r="R468" s="809"/>
    </row>
    <row r="469" spans="1:18">
      <c r="A469" s="809"/>
      <c r="B469" s="809"/>
      <c r="C469" s="809"/>
      <c r="D469" s="809"/>
      <c r="E469" s="809"/>
      <c r="F469" s="809"/>
      <c r="G469" s="809"/>
      <c r="H469" s="809"/>
      <c r="I469" s="809"/>
      <c r="J469" s="809"/>
      <c r="K469" s="809"/>
      <c r="L469" s="810"/>
      <c r="M469" s="809"/>
      <c r="N469" s="809"/>
      <c r="O469" s="809"/>
      <c r="P469" s="809"/>
      <c r="Q469" s="809"/>
      <c r="R469" s="809"/>
    </row>
    <row r="470" spans="1:18">
      <c r="A470" s="809"/>
      <c r="B470" s="809"/>
      <c r="C470" s="809"/>
      <c r="D470" s="809"/>
      <c r="E470" s="809"/>
      <c r="F470" s="809"/>
      <c r="G470" s="809"/>
      <c r="H470" s="809"/>
      <c r="I470" s="809"/>
      <c r="J470" s="809"/>
      <c r="K470" s="809"/>
      <c r="L470" s="810"/>
      <c r="M470" s="809"/>
      <c r="N470" s="809"/>
      <c r="O470" s="809"/>
      <c r="P470" s="809"/>
      <c r="Q470" s="809"/>
      <c r="R470" s="809"/>
    </row>
    <row r="471" spans="1:18">
      <c r="A471" s="809"/>
      <c r="B471" s="809"/>
      <c r="C471" s="809"/>
      <c r="D471" s="809"/>
      <c r="E471" s="809"/>
      <c r="F471" s="809"/>
      <c r="G471" s="809"/>
      <c r="H471" s="809"/>
      <c r="I471" s="809"/>
      <c r="J471" s="809"/>
      <c r="K471" s="809"/>
      <c r="L471" s="810"/>
      <c r="M471" s="809"/>
      <c r="N471" s="809"/>
      <c r="O471" s="809"/>
      <c r="P471" s="809"/>
      <c r="Q471" s="809"/>
      <c r="R471" s="809"/>
    </row>
    <row r="472" spans="1:18">
      <c r="A472" s="809"/>
      <c r="B472" s="809"/>
      <c r="C472" s="809"/>
      <c r="D472" s="809"/>
      <c r="E472" s="809"/>
      <c r="F472" s="809"/>
      <c r="G472" s="809"/>
      <c r="H472" s="809"/>
      <c r="I472" s="809"/>
      <c r="J472" s="809"/>
      <c r="K472" s="809"/>
      <c r="L472" s="810"/>
      <c r="M472" s="809"/>
      <c r="N472" s="809"/>
      <c r="O472" s="809"/>
      <c r="P472" s="809"/>
      <c r="Q472" s="809"/>
      <c r="R472" s="809"/>
    </row>
    <row r="473" spans="1:18">
      <c r="A473" s="809"/>
      <c r="B473" s="809"/>
      <c r="C473" s="809"/>
      <c r="D473" s="809"/>
      <c r="E473" s="809"/>
      <c r="F473" s="809"/>
      <c r="G473" s="809"/>
      <c r="H473" s="809"/>
      <c r="I473" s="809"/>
      <c r="J473" s="809"/>
      <c r="K473" s="809"/>
      <c r="L473" s="810"/>
      <c r="M473" s="809"/>
      <c r="N473" s="809"/>
      <c r="O473" s="809"/>
      <c r="P473" s="809"/>
      <c r="Q473" s="809"/>
      <c r="R473" s="809"/>
    </row>
    <row r="474" spans="1:18">
      <c r="A474" s="809"/>
      <c r="B474" s="809"/>
      <c r="C474" s="809"/>
      <c r="D474" s="809"/>
      <c r="E474" s="809"/>
      <c r="F474" s="809"/>
      <c r="G474" s="809"/>
      <c r="H474" s="809"/>
      <c r="I474" s="809"/>
      <c r="J474" s="809"/>
      <c r="K474" s="809"/>
      <c r="L474" s="810"/>
      <c r="M474" s="809"/>
      <c r="N474" s="809"/>
      <c r="O474" s="809"/>
      <c r="P474" s="809"/>
      <c r="Q474" s="809"/>
      <c r="R474" s="809"/>
    </row>
    <row r="475" spans="1:18">
      <c r="A475" s="809"/>
      <c r="B475" s="809"/>
      <c r="C475" s="809"/>
      <c r="D475" s="809"/>
      <c r="E475" s="809"/>
      <c r="F475" s="809"/>
      <c r="G475" s="809"/>
      <c r="H475" s="809"/>
      <c r="I475" s="809"/>
      <c r="J475" s="809"/>
      <c r="K475" s="809"/>
      <c r="L475" s="810"/>
      <c r="M475" s="809"/>
      <c r="N475" s="809"/>
      <c r="O475" s="809"/>
      <c r="P475" s="809"/>
      <c r="Q475" s="809"/>
      <c r="R475" s="809"/>
    </row>
    <row r="476" spans="1:18">
      <c r="A476" s="809"/>
      <c r="B476" s="809"/>
      <c r="C476" s="809"/>
      <c r="D476" s="809"/>
      <c r="E476" s="809"/>
      <c r="F476" s="809"/>
      <c r="G476" s="809"/>
      <c r="H476" s="809"/>
      <c r="I476" s="809"/>
      <c r="J476" s="809"/>
      <c r="K476" s="809"/>
      <c r="L476" s="810"/>
      <c r="M476" s="809"/>
      <c r="N476" s="809"/>
      <c r="O476" s="809"/>
      <c r="P476" s="809"/>
      <c r="Q476" s="809"/>
      <c r="R476" s="809"/>
    </row>
    <row r="477" spans="1:18">
      <c r="A477" s="809"/>
      <c r="B477" s="809"/>
      <c r="C477" s="809"/>
      <c r="D477" s="809"/>
      <c r="E477" s="809"/>
      <c r="F477" s="809"/>
      <c r="G477" s="809"/>
      <c r="H477" s="809"/>
      <c r="I477" s="809"/>
      <c r="J477" s="809"/>
      <c r="K477" s="809"/>
      <c r="L477" s="810"/>
      <c r="M477" s="809"/>
      <c r="N477" s="809"/>
      <c r="O477" s="809"/>
      <c r="P477" s="809"/>
      <c r="Q477" s="809"/>
      <c r="R477" s="809"/>
    </row>
    <row r="478" spans="1:18">
      <c r="A478" s="809"/>
      <c r="B478" s="809"/>
      <c r="C478" s="809"/>
      <c r="D478" s="809"/>
      <c r="E478" s="809"/>
      <c r="F478" s="809"/>
      <c r="G478" s="809"/>
      <c r="H478" s="809"/>
      <c r="I478" s="809"/>
      <c r="J478" s="809"/>
      <c r="K478" s="809"/>
      <c r="L478" s="810"/>
      <c r="M478" s="809"/>
      <c r="N478" s="809"/>
      <c r="O478" s="809"/>
      <c r="P478" s="809"/>
      <c r="Q478" s="809"/>
      <c r="R478" s="809"/>
    </row>
    <row r="479" spans="1:18">
      <c r="A479" s="809"/>
      <c r="B479" s="809"/>
      <c r="C479" s="809"/>
      <c r="D479" s="809"/>
      <c r="E479" s="809"/>
      <c r="F479" s="809"/>
      <c r="G479" s="809"/>
      <c r="H479" s="809"/>
      <c r="I479" s="809"/>
      <c r="J479" s="809"/>
      <c r="K479" s="809"/>
      <c r="L479" s="810"/>
      <c r="M479" s="809"/>
      <c r="N479" s="809"/>
      <c r="O479" s="809"/>
      <c r="P479" s="809"/>
      <c r="Q479" s="809"/>
      <c r="R479" s="809"/>
    </row>
    <row r="480" spans="1:18">
      <c r="A480" s="809"/>
      <c r="B480" s="809"/>
      <c r="C480" s="809"/>
      <c r="D480" s="809"/>
      <c r="E480" s="809"/>
      <c r="F480" s="809"/>
      <c r="G480" s="809"/>
      <c r="H480" s="809"/>
      <c r="I480" s="809"/>
      <c r="J480" s="809"/>
      <c r="K480" s="809"/>
      <c r="L480" s="810"/>
      <c r="M480" s="809"/>
      <c r="N480" s="809"/>
      <c r="O480" s="809"/>
      <c r="P480" s="809"/>
      <c r="Q480" s="809"/>
      <c r="R480" s="809"/>
    </row>
    <row r="481" spans="1:18">
      <c r="A481" s="809"/>
      <c r="B481" s="809"/>
      <c r="C481" s="809"/>
      <c r="D481" s="809"/>
      <c r="E481" s="809"/>
      <c r="F481" s="809"/>
      <c r="G481" s="809"/>
      <c r="H481" s="809"/>
      <c r="I481" s="809"/>
      <c r="J481" s="809"/>
      <c r="K481" s="809"/>
      <c r="L481" s="810"/>
      <c r="M481" s="809"/>
      <c r="N481" s="809"/>
      <c r="O481" s="809"/>
      <c r="P481" s="809"/>
      <c r="Q481" s="809"/>
      <c r="R481" s="809"/>
    </row>
    <row r="482" spans="1:18">
      <c r="A482" s="809"/>
      <c r="B482" s="809"/>
      <c r="C482" s="809"/>
      <c r="D482" s="809"/>
      <c r="E482" s="809"/>
      <c r="F482" s="809"/>
      <c r="G482" s="809"/>
      <c r="H482" s="809"/>
      <c r="I482" s="809"/>
      <c r="J482" s="809"/>
      <c r="K482" s="809"/>
      <c r="L482" s="810"/>
      <c r="M482" s="809"/>
      <c r="N482" s="809"/>
      <c r="O482" s="809"/>
      <c r="P482" s="809"/>
      <c r="Q482" s="809"/>
      <c r="R482" s="809"/>
    </row>
    <row r="483" spans="1:18">
      <c r="A483" s="809"/>
      <c r="B483" s="809"/>
      <c r="C483" s="809"/>
      <c r="D483" s="809"/>
      <c r="E483" s="809"/>
      <c r="F483" s="809"/>
      <c r="G483" s="809"/>
      <c r="H483" s="809"/>
      <c r="I483" s="809"/>
      <c r="J483" s="809"/>
      <c r="K483" s="809"/>
      <c r="L483" s="810"/>
      <c r="M483" s="809"/>
      <c r="N483" s="809"/>
      <c r="O483" s="809"/>
      <c r="P483" s="809"/>
      <c r="Q483" s="809"/>
      <c r="R483" s="809"/>
    </row>
    <row r="484" spans="1:18">
      <c r="A484" s="809"/>
      <c r="B484" s="809"/>
      <c r="C484" s="809"/>
      <c r="D484" s="809"/>
      <c r="E484" s="809"/>
      <c r="F484" s="809"/>
      <c r="G484" s="809"/>
      <c r="H484" s="809"/>
      <c r="I484" s="809"/>
      <c r="J484" s="809"/>
      <c r="K484" s="809"/>
      <c r="L484" s="810"/>
      <c r="M484" s="809"/>
      <c r="N484" s="809"/>
      <c r="O484" s="809"/>
      <c r="P484" s="809"/>
      <c r="Q484" s="809"/>
      <c r="R484" s="809"/>
    </row>
    <row r="485" spans="1:18">
      <c r="A485" s="809"/>
      <c r="B485" s="809"/>
      <c r="C485" s="809"/>
      <c r="D485" s="809"/>
      <c r="E485" s="809"/>
      <c r="F485" s="809"/>
      <c r="G485" s="809"/>
      <c r="H485" s="809"/>
      <c r="I485" s="809"/>
      <c r="J485" s="809"/>
      <c r="K485" s="809"/>
      <c r="L485" s="810"/>
      <c r="M485" s="809"/>
      <c r="N485" s="809"/>
      <c r="O485" s="809"/>
      <c r="P485" s="809"/>
      <c r="Q485" s="809"/>
      <c r="R485" s="809"/>
    </row>
    <row r="486" spans="1:18">
      <c r="A486" s="809"/>
      <c r="B486" s="809"/>
      <c r="C486" s="809"/>
      <c r="D486" s="809"/>
      <c r="E486" s="809"/>
      <c r="F486" s="809"/>
      <c r="G486" s="809"/>
      <c r="H486" s="809"/>
      <c r="I486" s="809"/>
      <c r="J486" s="809"/>
      <c r="K486" s="809"/>
      <c r="L486" s="810"/>
      <c r="M486" s="809"/>
      <c r="N486" s="809"/>
      <c r="O486" s="809"/>
      <c r="P486" s="809"/>
      <c r="Q486" s="809"/>
      <c r="R486" s="809"/>
    </row>
    <row r="487" spans="1:18">
      <c r="A487" s="809"/>
      <c r="B487" s="809"/>
      <c r="C487" s="809"/>
      <c r="D487" s="809"/>
      <c r="E487" s="809"/>
      <c r="F487" s="809"/>
      <c r="G487" s="809"/>
      <c r="H487" s="809"/>
      <c r="I487" s="809"/>
      <c r="J487" s="809"/>
      <c r="K487" s="809"/>
      <c r="L487" s="810"/>
      <c r="M487" s="809"/>
      <c r="N487" s="809"/>
      <c r="O487" s="809"/>
      <c r="P487" s="809"/>
      <c r="Q487" s="809"/>
      <c r="R487" s="809"/>
    </row>
    <row r="488" spans="1:18">
      <c r="A488" s="809"/>
      <c r="B488" s="809"/>
      <c r="C488" s="809"/>
      <c r="D488" s="809"/>
      <c r="E488" s="809"/>
      <c r="F488" s="809"/>
      <c r="G488" s="809"/>
      <c r="H488" s="809"/>
      <c r="I488" s="809"/>
      <c r="J488" s="809"/>
      <c r="K488" s="809"/>
      <c r="L488" s="810"/>
      <c r="M488" s="809"/>
      <c r="N488" s="809"/>
      <c r="O488" s="809"/>
      <c r="P488" s="809"/>
      <c r="Q488" s="809"/>
      <c r="R488" s="809"/>
    </row>
    <row r="489" spans="1:18">
      <c r="A489" s="809"/>
      <c r="B489" s="809"/>
      <c r="C489" s="809"/>
      <c r="D489" s="809"/>
      <c r="E489" s="809"/>
      <c r="F489" s="809"/>
      <c r="G489" s="809"/>
      <c r="H489" s="809"/>
      <c r="I489" s="809"/>
      <c r="J489" s="809"/>
      <c r="K489" s="809"/>
      <c r="L489" s="810"/>
      <c r="M489" s="809"/>
      <c r="N489" s="809"/>
      <c r="O489" s="809"/>
      <c r="P489" s="809"/>
      <c r="Q489" s="809"/>
      <c r="R489" s="809"/>
    </row>
    <row r="490" spans="1:18">
      <c r="A490" s="809"/>
      <c r="B490" s="809"/>
      <c r="C490" s="809"/>
      <c r="D490" s="809"/>
      <c r="E490" s="809"/>
      <c r="F490" s="809"/>
      <c r="G490" s="809"/>
      <c r="H490" s="809"/>
      <c r="I490" s="809"/>
      <c r="J490" s="809"/>
      <c r="K490" s="809"/>
      <c r="L490" s="810"/>
      <c r="M490" s="809"/>
      <c r="N490" s="809"/>
      <c r="O490" s="809"/>
      <c r="P490" s="809"/>
      <c r="Q490" s="809"/>
      <c r="R490" s="809"/>
    </row>
    <row r="491" spans="1:18">
      <c r="A491" s="809"/>
      <c r="B491" s="809"/>
      <c r="C491" s="809"/>
      <c r="D491" s="809"/>
      <c r="E491" s="809"/>
      <c r="F491" s="809"/>
      <c r="G491" s="809"/>
      <c r="H491" s="809"/>
      <c r="I491" s="809"/>
      <c r="J491" s="809"/>
      <c r="K491" s="809"/>
      <c r="L491" s="810"/>
      <c r="M491" s="809"/>
      <c r="N491" s="809"/>
      <c r="O491" s="809"/>
      <c r="P491" s="809"/>
      <c r="Q491" s="809"/>
      <c r="R491" s="809"/>
    </row>
    <row r="492" spans="1:18">
      <c r="A492" s="809"/>
      <c r="B492" s="809"/>
      <c r="C492" s="809"/>
      <c r="D492" s="809"/>
      <c r="E492" s="809"/>
      <c r="F492" s="809"/>
      <c r="G492" s="809"/>
      <c r="H492" s="809"/>
      <c r="I492" s="809"/>
      <c r="J492" s="809"/>
      <c r="K492" s="809"/>
      <c r="L492" s="810"/>
      <c r="M492" s="809"/>
      <c r="N492" s="809"/>
      <c r="O492" s="809"/>
      <c r="P492" s="809"/>
      <c r="Q492" s="809"/>
      <c r="R492" s="809"/>
    </row>
    <row r="493" spans="1:18">
      <c r="A493" s="809"/>
      <c r="B493" s="809"/>
      <c r="C493" s="809"/>
      <c r="D493" s="809"/>
      <c r="E493" s="809"/>
      <c r="F493" s="809"/>
      <c r="G493" s="809"/>
      <c r="H493" s="809"/>
      <c r="I493" s="809"/>
      <c r="J493" s="809"/>
      <c r="K493" s="809"/>
      <c r="L493" s="810"/>
      <c r="M493" s="809"/>
      <c r="N493" s="809"/>
      <c r="O493" s="809"/>
      <c r="P493" s="809"/>
      <c r="Q493" s="809"/>
      <c r="R493" s="809"/>
    </row>
    <row r="494" spans="1:18">
      <c r="A494" s="809"/>
      <c r="B494" s="809"/>
      <c r="C494" s="809"/>
      <c r="D494" s="809"/>
      <c r="E494" s="809"/>
      <c r="F494" s="809"/>
      <c r="G494" s="809"/>
      <c r="H494" s="809"/>
      <c r="I494" s="809"/>
      <c r="J494" s="809"/>
      <c r="K494" s="809"/>
      <c r="L494" s="810"/>
      <c r="M494" s="809"/>
      <c r="N494" s="809"/>
      <c r="O494" s="809"/>
      <c r="P494" s="809"/>
      <c r="Q494" s="809"/>
      <c r="R494" s="809"/>
    </row>
    <row r="495" spans="1:18">
      <c r="A495" s="809"/>
      <c r="B495" s="809"/>
      <c r="C495" s="809"/>
      <c r="D495" s="809"/>
      <c r="E495" s="809"/>
      <c r="F495" s="809"/>
      <c r="G495" s="809"/>
      <c r="H495" s="809"/>
      <c r="I495" s="809"/>
      <c r="J495" s="809"/>
      <c r="K495" s="809"/>
      <c r="L495" s="810"/>
      <c r="M495" s="809"/>
      <c r="N495" s="809"/>
      <c r="O495" s="809"/>
      <c r="P495" s="809"/>
      <c r="Q495" s="809"/>
      <c r="R495" s="809"/>
    </row>
    <row r="496" spans="1:18">
      <c r="A496" s="809"/>
      <c r="B496" s="809"/>
      <c r="C496" s="809"/>
      <c r="D496" s="809"/>
      <c r="E496" s="809"/>
      <c r="F496" s="809"/>
      <c r="G496" s="809"/>
      <c r="H496" s="809"/>
      <c r="I496" s="809"/>
      <c r="J496" s="809"/>
      <c r="K496" s="809"/>
      <c r="L496" s="810"/>
      <c r="M496" s="809"/>
      <c r="N496" s="809"/>
      <c r="O496" s="809"/>
      <c r="P496" s="809"/>
      <c r="Q496" s="809"/>
      <c r="R496" s="809"/>
    </row>
    <row r="497" spans="1:18">
      <c r="A497" s="809"/>
      <c r="B497" s="809"/>
      <c r="C497" s="809"/>
      <c r="D497" s="809"/>
      <c r="E497" s="809"/>
      <c r="F497" s="809"/>
      <c r="G497" s="809"/>
      <c r="H497" s="809"/>
      <c r="I497" s="809"/>
      <c r="J497" s="809"/>
      <c r="K497" s="809"/>
      <c r="L497" s="810"/>
      <c r="M497" s="809"/>
      <c r="N497" s="809"/>
      <c r="O497" s="809"/>
      <c r="P497" s="809"/>
      <c r="Q497" s="809"/>
      <c r="R497" s="809"/>
    </row>
    <row r="498" spans="1:18">
      <c r="A498" s="809"/>
      <c r="B498" s="809"/>
      <c r="C498" s="809"/>
      <c r="D498" s="809"/>
      <c r="E498" s="809"/>
      <c r="F498" s="809"/>
      <c r="G498" s="809"/>
      <c r="H498" s="809"/>
      <c r="I498" s="809"/>
      <c r="J498" s="809"/>
      <c r="K498" s="809"/>
      <c r="L498" s="810"/>
      <c r="M498" s="809"/>
      <c r="N498" s="809"/>
      <c r="O498" s="809"/>
      <c r="P498" s="809"/>
      <c r="Q498" s="809"/>
      <c r="R498" s="809"/>
    </row>
    <row r="499" spans="1:18">
      <c r="A499" s="809"/>
      <c r="B499" s="809"/>
      <c r="C499" s="809"/>
      <c r="D499" s="809"/>
      <c r="E499" s="809"/>
      <c r="F499" s="809"/>
      <c r="G499" s="809"/>
      <c r="H499" s="809"/>
      <c r="I499" s="809"/>
      <c r="J499" s="809"/>
      <c r="K499" s="809"/>
      <c r="L499" s="810"/>
      <c r="M499" s="809"/>
      <c r="N499" s="809"/>
      <c r="O499" s="809"/>
      <c r="P499" s="809"/>
      <c r="Q499" s="809"/>
      <c r="R499" s="809"/>
    </row>
    <row r="500" spans="1:18">
      <c r="A500" s="809"/>
      <c r="B500" s="809"/>
      <c r="C500" s="809"/>
      <c r="D500" s="809"/>
      <c r="E500" s="809"/>
      <c r="F500" s="809"/>
      <c r="G500" s="809"/>
      <c r="H500" s="809"/>
      <c r="I500" s="809"/>
      <c r="J500" s="809"/>
      <c r="K500" s="809"/>
      <c r="L500" s="810"/>
      <c r="M500" s="809"/>
      <c r="N500" s="809"/>
      <c r="O500" s="809"/>
      <c r="P500" s="809"/>
      <c r="Q500" s="809"/>
      <c r="R500" s="809"/>
    </row>
    <row r="501" spans="1:18">
      <c r="A501" s="809"/>
      <c r="B501" s="809"/>
      <c r="C501" s="809"/>
      <c r="D501" s="809"/>
      <c r="E501" s="809"/>
      <c r="F501" s="809"/>
      <c r="G501" s="809"/>
      <c r="H501" s="809"/>
      <c r="I501" s="809"/>
      <c r="J501" s="809"/>
      <c r="K501" s="809"/>
      <c r="L501" s="810"/>
      <c r="M501" s="809"/>
      <c r="N501" s="809"/>
      <c r="O501" s="809"/>
      <c r="P501" s="809"/>
      <c r="Q501" s="809"/>
      <c r="R501" s="809"/>
    </row>
    <row r="502" spans="1:18">
      <c r="A502" s="809"/>
      <c r="B502" s="809"/>
      <c r="C502" s="809"/>
      <c r="D502" s="809"/>
      <c r="E502" s="809"/>
      <c r="F502" s="809"/>
      <c r="G502" s="809"/>
      <c r="H502" s="809"/>
      <c r="I502" s="809"/>
      <c r="J502" s="809"/>
      <c r="K502" s="809"/>
      <c r="L502" s="810"/>
      <c r="M502" s="809"/>
      <c r="N502" s="809"/>
      <c r="O502" s="809"/>
      <c r="P502" s="809"/>
      <c r="Q502" s="809"/>
      <c r="R502" s="809"/>
    </row>
    <row r="503" spans="1:18">
      <c r="A503" s="809"/>
      <c r="B503" s="809"/>
      <c r="C503" s="809"/>
      <c r="D503" s="809"/>
      <c r="E503" s="809"/>
      <c r="F503" s="809"/>
      <c r="G503" s="809"/>
      <c r="H503" s="809"/>
      <c r="I503" s="809"/>
      <c r="J503" s="809"/>
      <c r="K503" s="809"/>
      <c r="L503" s="810"/>
      <c r="M503" s="809"/>
      <c r="N503" s="809"/>
      <c r="O503" s="809"/>
      <c r="P503" s="809"/>
      <c r="Q503" s="809"/>
      <c r="R503" s="809"/>
    </row>
    <row r="504" spans="1:18">
      <c r="A504" s="809"/>
      <c r="B504" s="809"/>
      <c r="C504" s="809"/>
      <c r="D504" s="809"/>
      <c r="E504" s="809"/>
      <c r="F504" s="809"/>
      <c r="G504" s="809"/>
      <c r="H504" s="809"/>
      <c r="I504" s="809"/>
      <c r="J504" s="809"/>
      <c r="K504" s="809"/>
      <c r="L504" s="810"/>
      <c r="M504" s="809"/>
      <c r="N504" s="809"/>
      <c r="O504" s="809"/>
      <c r="P504" s="809"/>
      <c r="Q504" s="809"/>
      <c r="R504" s="809"/>
    </row>
  </sheetData>
  <autoFilter ref="A3:R53" xr:uid="{00000000-0001-0000-0100-000000000000}"/>
  <sortState xmlns:xlrd2="http://schemas.microsoft.com/office/spreadsheetml/2017/richdata2" ref="A4:R16">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高精度抽出_手動">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13"/>
  <sheetViews>
    <sheetView zoomScale="77" zoomScaleNormal="77" workbookViewId="0">
      <selection activeCell="K12" sqref="K12:K13"/>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79"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58" t="s">
        <v>837</v>
      </c>
      <c r="B1" s="759"/>
      <c r="C1" s="759"/>
      <c r="D1" s="759"/>
      <c r="E1" s="759"/>
      <c r="F1" s="759"/>
      <c r="G1" s="759"/>
      <c r="H1" s="759"/>
      <c r="I1" s="759"/>
      <c r="J1" s="759"/>
      <c r="K1" s="759"/>
      <c r="L1" s="759"/>
      <c r="M1" s="759"/>
      <c r="N1" s="759"/>
      <c r="O1" s="759"/>
      <c r="P1" s="759"/>
      <c r="Q1" s="759"/>
      <c r="R1" s="760"/>
      <c r="S1" s="554" t="s">
        <v>1257</v>
      </c>
      <c r="T1" s="432"/>
      <c r="U1" s="432"/>
      <c r="V1" s="432"/>
    </row>
    <row r="2" spans="1:22" s="435" customFormat="1" ht="39.9" customHeight="1">
      <c r="A2" s="756" t="s">
        <v>1528</v>
      </c>
      <c r="B2" s="756"/>
      <c r="C2" s="756"/>
      <c r="D2" s="756"/>
      <c r="E2" s="756"/>
      <c r="F2" s="756"/>
      <c r="G2" s="756"/>
      <c r="H2" s="756"/>
      <c r="I2" s="756"/>
      <c r="J2" s="756"/>
      <c r="K2" s="756"/>
      <c r="L2" s="756"/>
      <c r="M2" s="756"/>
      <c r="N2" s="756"/>
      <c r="O2" s="756"/>
      <c r="P2" s="756"/>
      <c r="Q2" s="756"/>
      <c r="R2" s="757"/>
      <c r="S2" s="555" t="s">
        <v>1258</v>
      </c>
    </row>
    <row r="3" spans="1:22" s="435" customFormat="1" ht="40.049999999999997" customHeight="1">
      <c r="A3" s="437" t="s">
        <v>821</v>
      </c>
      <c r="B3" s="438" t="s">
        <v>1490</v>
      </c>
      <c r="C3" s="439" t="s">
        <v>822</v>
      </c>
      <c r="D3" s="438" t="s">
        <v>823</v>
      </c>
      <c r="E3" s="473" t="s">
        <v>824</v>
      </c>
      <c r="F3" s="473" t="s">
        <v>825</v>
      </c>
      <c r="G3" s="473" t="s">
        <v>826</v>
      </c>
      <c r="H3" s="473" t="s">
        <v>1002</v>
      </c>
      <c r="I3" s="495" t="s">
        <v>827</v>
      </c>
      <c r="J3" s="438" t="s">
        <v>828</v>
      </c>
      <c r="K3" s="438" t="s">
        <v>829</v>
      </c>
      <c r="L3" s="438" t="s">
        <v>830</v>
      </c>
      <c r="M3" s="474" t="s">
        <v>831</v>
      </c>
      <c r="N3" s="438" t="s">
        <v>832</v>
      </c>
      <c r="O3" s="475" t="s">
        <v>833</v>
      </c>
      <c r="P3" s="475" t="s">
        <v>834</v>
      </c>
      <c r="Q3" s="438" t="s">
        <v>835</v>
      </c>
      <c r="R3" s="438" t="s">
        <v>836</v>
      </c>
      <c r="S3" s="436"/>
      <c r="T3" s="436"/>
      <c r="U3" s="436"/>
      <c r="V3" s="436"/>
    </row>
    <row r="4" spans="1:22" s="435" customFormat="1" ht="40.200000000000003" customHeight="1">
      <c r="A4" s="712" t="str">
        <f>HYPERLINK("https://kabutan.jp/stock/?code="&amp;TEXT(C4,"0000"),"株探")</f>
        <v>株探</v>
      </c>
      <c r="B4" s="726">
        <v>1</v>
      </c>
      <c r="C4" s="732">
        <v>3436</v>
      </c>
      <c r="D4" s="725" t="s">
        <v>52</v>
      </c>
      <c r="E4" s="720">
        <v>3544</v>
      </c>
      <c r="F4" s="720">
        <v>3720</v>
      </c>
      <c r="G4" s="720">
        <v>3427</v>
      </c>
      <c r="H4" s="721">
        <v>15463900</v>
      </c>
      <c r="I4" s="722">
        <v>36</v>
      </c>
      <c r="J4" s="826" t="s">
        <v>1513</v>
      </c>
      <c r="K4" s="824" t="s">
        <v>540</v>
      </c>
      <c r="L4" s="719" t="s">
        <v>1523</v>
      </c>
      <c r="M4" s="722">
        <v>-184.19</v>
      </c>
      <c r="N4" s="824" t="s">
        <v>1213</v>
      </c>
      <c r="O4" s="720">
        <v>3260</v>
      </c>
      <c r="P4" s="720">
        <v>3686</v>
      </c>
      <c r="Q4" s="724">
        <v>13</v>
      </c>
      <c r="R4" s="723" t="s">
        <v>1524</v>
      </c>
      <c r="S4" s="436"/>
      <c r="T4" s="436"/>
      <c r="U4" s="436"/>
      <c r="V4" s="436"/>
    </row>
    <row r="5" spans="1:22" s="435" customFormat="1" ht="40.5" customHeight="1">
      <c r="A5" s="712" t="str">
        <f>HYPERLINK("https://kabutan.jp/stock/?code="&amp;TEXT(C5,"0000"),"株探")</f>
        <v>株探</v>
      </c>
      <c r="B5" s="900">
        <v>2</v>
      </c>
      <c r="C5" s="899">
        <v>7711</v>
      </c>
      <c r="D5" s="900" t="s">
        <v>1525</v>
      </c>
      <c r="E5" s="901">
        <v>4500</v>
      </c>
      <c r="F5" s="901">
        <v>5020</v>
      </c>
      <c r="G5" s="901">
        <v>4380</v>
      </c>
      <c r="H5" s="902">
        <v>221000</v>
      </c>
      <c r="I5" s="903">
        <v>47.2</v>
      </c>
      <c r="J5" s="896" t="s">
        <v>1222</v>
      </c>
      <c r="K5" s="830" t="s">
        <v>540</v>
      </c>
      <c r="L5" s="898" t="s">
        <v>1526</v>
      </c>
      <c r="M5" s="903">
        <v>-163.94</v>
      </c>
      <c r="N5" s="835"/>
      <c r="O5" s="901">
        <v>4140</v>
      </c>
      <c r="P5" s="901">
        <v>4680</v>
      </c>
      <c r="Q5" s="897">
        <v>13</v>
      </c>
      <c r="R5" s="904" t="s">
        <v>1527</v>
      </c>
      <c r="S5" s="436"/>
      <c r="T5" s="436"/>
      <c r="U5" s="436"/>
      <c r="V5" s="436"/>
    </row>
    <row r="6" spans="1:22" s="435" customFormat="1" ht="40.5" customHeight="1">
      <c r="A6" s="817"/>
      <c r="B6" s="824"/>
      <c r="C6" s="818"/>
      <c r="D6" s="819"/>
      <c r="E6" s="820"/>
      <c r="F6" s="820"/>
      <c r="G6" s="820"/>
      <c r="H6" s="821"/>
      <c r="I6" s="822"/>
      <c r="J6" s="823"/>
      <c r="K6" s="824"/>
      <c r="L6" s="824"/>
      <c r="M6" s="822"/>
      <c r="N6" s="824"/>
      <c r="O6" s="820"/>
      <c r="P6" s="820"/>
      <c r="Q6" s="825"/>
      <c r="R6" s="826"/>
      <c r="S6" s="436"/>
      <c r="T6" s="436"/>
      <c r="U6" s="436"/>
      <c r="V6" s="436"/>
    </row>
    <row r="7" spans="1:22" s="435" customFormat="1" ht="40.5" customHeight="1">
      <c r="A7" s="817"/>
      <c r="B7" s="824"/>
      <c r="C7" s="827"/>
      <c r="D7" s="828"/>
      <c r="E7" s="820"/>
      <c r="F7" s="820"/>
      <c r="G7" s="820"/>
      <c r="H7" s="821"/>
      <c r="I7" s="822"/>
      <c r="J7" s="826"/>
      <c r="K7" s="824"/>
      <c r="L7" s="824"/>
      <c r="M7" s="822"/>
      <c r="N7" s="829"/>
      <c r="O7" s="820"/>
      <c r="P7" s="820"/>
      <c r="Q7" s="825"/>
      <c r="R7" s="826"/>
      <c r="S7" s="436"/>
      <c r="T7" s="436"/>
      <c r="U7" s="436"/>
      <c r="V7" s="436"/>
    </row>
    <row r="8" spans="1:22" ht="40.5" customHeight="1">
      <c r="A8" s="837"/>
      <c r="B8" s="830"/>
      <c r="C8" s="831"/>
      <c r="D8" s="838"/>
      <c r="E8" s="832"/>
      <c r="F8" s="832"/>
      <c r="G8" s="832"/>
      <c r="H8" s="833"/>
      <c r="I8" s="834"/>
      <c r="J8" s="836"/>
      <c r="K8" s="830"/>
      <c r="L8" s="830"/>
      <c r="M8" s="834"/>
      <c r="N8" s="835"/>
      <c r="O8" s="832"/>
      <c r="P8" s="832"/>
      <c r="Q8" s="830"/>
      <c r="R8" s="836"/>
    </row>
    <row r="9" spans="1:22" ht="40.5" customHeight="1">
      <c r="A9" s="837"/>
      <c r="B9" s="830"/>
      <c r="C9" s="831"/>
      <c r="D9" s="830"/>
      <c r="E9" s="832"/>
      <c r="F9" s="832"/>
      <c r="G9" s="832"/>
      <c r="H9" s="833"/>
      <c r="I9" s="834"/>
      <c r="J9" s="836"/>
      <c r="K9" s="830"/>
      <c r="L9" s="830"/>
      <c r="M9" s="834"/>
      <c r="N9" s="835"/>
      <c r="O9" s="832"/>
      <c r="P9" s="832"/>
      <c r="Q9" s="830"/>
      <c r="R9" s="836"/>
    </row>
    <row r="10" spans="1:22" ht="40.5" customHeight="1">
      <c r="A10" s="837"/>
      <c r="B10" s="830"/>
      <c r="C10" s="831"/>
      <c r="D10" s="838"/>
      <c r="E10" s="832"/>
      <c r="F10" s="832"/>
      <c r="G10" s="832"/>
      <c r="H10" s="833"/>
      <c r="I10" s="834"/>
      <c r="J10" s="836"/>
      <c r="K10" s="830"/>
      <c r="L10" s="830"/>
      <c r="M10" s="834"/>
      <c r="N10" s="835"/>
      <c r="O10" s="832"/>
      <c r="P10" s="832"/>
      <c r="Q10" s="830"/>
      <c r="R10" s="836"/>
    </row>
    <row r="11" spans="1:22" ht="40.5" customHeight="1">
      <c r="A11" s="837"/>
      <c r="B11" s="824"/>
      <c r="C11" s="827"/>
      <c r="D11" s="839"/>
      <c r="E11" s="820"/>
      <c r="F11" s="820"/>
      <c r="G11" s="820"/>
      <c r="H11" s="821"/>
      <c r="I11" s="822"/>
      <c r="J11" s="826"/>
      <c r="K11" s="824"/>
      <c r="L11" s="824"/>
      <c r="M11" s="822"/>
      <c r="N11" s="829"/>
      <c r="O11" s="820"/>
      <c r="P11" s="820"/>
      <c r="Q11" s="824"/>
      <c r="R11" s="826"/>
    </row>
    <row r="12" spans="1:22" ht="40.5" customHeight="1">
      <c r="A12" s="837"/>
      <c r="B12" s="824"/>
      <c r="C12" s="818"/>
      <c r="D12" s="826"/>
      <c r="E12" s="820"/>
      <c r="F12" s="820"/>
      <c r="G12" s="820"/>
      <c r="H12" s="821"/>
      <c r="I12" s="822"/>
      <c r="J12" s="826"/>
      <c r="K12" s="824"/>
      <c r="L12" s="824"/>
      <c r="M12" s="822"/>
      <c r="N12" s="824"/>
      <c r="O12" s="820"/>
      <c r="P12" s="820"/>
      <c r="Q12" s="824"/>
      <c r="R12" s="826"/>
    </row>
    <row r="13" spans="1:22" ht="40.5" customHeight="1">
      <c r="A13" s="837"/>
      <c r="B13" s="824"/>
      <c r="C13" s="827"/>
      <c r="D13" s="839"/>
      <c r="E13" s="820"/>
      <c r="F13" s="820"/>
      <c r="G13" s="820"/>
      <c r="H13" s="821"/>
      <c r="I13" s="822"/>
      <c r="J13" s="826"/>
      <c r="K13" s="824"/>
      <c r="L13" s="824"/>
      <c r="M13" s="822"/>
      <c r="N13" s="824"/>
      <c r="O13" s="820"/>
      <c r="P13" s="820"/>
      <c r="Q13" s="824"/>
      <c r="R13" s="826"/>
    </row>
    <row r="14" spans="1:22" ht="40.5" customHeight="1">
      <c r="A14" s="837"/>
      <c r="B14" s="830"/>
      <c r="C14" s="831"/>
      <c r="D14" s="838"/>
      <c r="E14" s="832"/>
      <c r="F14" s="832"/>
      <c r="G14" s="832"/>
      <c r="H14" s="833"/>
      <c r="I14" s="834"/>
      <c r="J14" s="836"/>
      <c r="K14" s="830"/>
      <c r="L14" s="830"/>
      <c r="M14" s="834"/>
      <c r="N14" s="835"/>
      <c r="O14" s="832"/>
      <c r="P14" s="832"/>
      <c r="Q14" s="830"/>
      <c r="R14" s="836"/>
    </row>
    <row r="15" spans="1:22" ht="40.5" customHeight="1">
      <c r="A15" s="837"/>
      <c r="B15" s="824"/>
      <c r="C15" s="818"/>
      <c r="D15" s="826"/>
      <c r="E15" s="820"/>
      <c r="F15" s="820"/>
      <c r="G15" s="820"/>
      <c r="H15" s="821"/>
      <c r="I15" s="822"/>
      <c r="J15" s="826"/>
      <c r="K15" s="824"/>
      <c r="L15" s="824"/>
      <c r="M15" s="822"/>
      <c r="N15" s="824"/>
      <c r="O15" s="820"/>
      <c r="P15" s="820"/>
      <c r="Q15" s="824"/>
      <c r="R15" s="826"/>
    </row>
    <row r="16" spans="1:22" ht="40.5" customHeight="1">
      <c r="A16" s="837"/>
      <c r="B16" s="824"/>
      <c r="C16" s="818"/>
      <c r="D16" s="826"/>
      <c r="E16" s="820"/>
      <c r="F16" s="820"/>
      <c r="G16" s="820"/>
      <c r="H16" s="821"/>
      <c r="I16" s="822"/>
      <c r="J16" s="826"/>
      <c r="K16" s="824"/>
      <c r="L16" s="824"/>
      <c r="M16" s="822"/>
      <c r="N16" s="824"/>
      <c r="O16" s="820"/>
      <c r="P16" s="820"/>
      <c r="Q16" s="824"/>
      <c r="R16" s="826"/>
    </row>
    <row r="17" spans="1:18" ht="40.5" customHeight="1">
      <c r="A17" s="837"/>
      <c r="B17" s="830"/>
      <c r="C17" s="831"/>
      <c r="D17" s="838"/>
      <c r="E17" s="832"/>
      <c r="F17" s="832"/>
      <c r="G17" s="832"/>
      <c r="H17" s="833"/>
      <c r="I17" s="834"/>
      <c r="J17" s="836"/>
      <c r="K17" s="830"/>
      <c r="L17" s="830"/>
      <c r="M17" s="834"/>
      <c r="N17" s="835"/>
      <c r="O17" s="832"/>
      <c r="P17" s="832"/>
      <c r="Q17" s="830"/>
      <c r="R17" s="836"/>
    </row>
    <row r="18" spans="1:18" ht="40.5" customHeight="1">
      <c r="A18" s="837"/>
      <c r="B18" s="824"/>
      <c r="C18" s="818"/>
      <c r="D18" s="826"/>
      <c r="E18" s="820"/>
      <c r="F18" s="820"/>
      <c r="G18" s="820"/>
      <c r="H18" s="821"/>
      <c r="I18" s="822"/>
      <c r="J18" s="826"/>
      <c r="K18" s="824"/>
      <c r="L18" s="824"/>
      <c r="M18" s="822"/>
      <c r="N18" s="824"/>
      <c r="O18" s="820"/>
      <c r="P18" s="820"/>
      <c r="Q18" s="824"/>
      <c r="R18" s="826"/>
    </row>
    <row r="19" spans="1:18" ht="40.5" customHeight="1">
      <c r="A19" s="837"/>
      <c r="B19" s="824"/>
      <c r="C19" s="818"/>
      <c r="D19" s="826"/>
      <c r="E19" s="820"/>
      <c r="F19" s="820"/>
      <c r="G19" s="820"/>
      <c r="H19" s="821"/>
      <c r="I19" s="822"/>
      <c r="J19" s="826"/>
      <c r="K19" s="824"/>
      <c r="L19" s="824"/>
      <c r="M19" s="822"/>
      <c r="N19" s="824"/>
      <c r="O19" s="820"/>
      <c r="P19" s="820"/>
      <c r="Q19" s="824"/>
      <c r="R19" s="826"/>
    </row>
    <row r="20" spans="1:18" ht="40.5" customHeight="1">
      <c r="A20" s="837"/>
      <c r="B20" s="824"/>
      <c r="C20" s="827"/>
      <c r="D20" s="839"/>
      <c r="E20" s="820"/>
      <c r="F20" s="820"/>
      <c r="G20" s="820"/>
      <c r="H20" s="821"/>
      <c r="I20" s="822"/>
      <c r="J20" s="826"/>
      <c r="K20" s="824"/>
      <c r="L20" s="824"/>
      <c r="M20" s="822"/>
      <c r="N20" s="840"/>
      <c r="O20" s="820"/>
      <c r="P20" s="820"/>
      <c r="Q20" s="824"/>
      <c r="R20" s="826"/>
    </row>
    <row r="21" spans="1:18" ht="40.5" customHeight="1">
      <c r="A21" s="837"/>
      <c r="B21" s="841"/>
      <c r="C21" s="842"/>
      <c r="D21" s="843"/>
      <c r="E21" s="844"/>
      <c r="F21" s="844"/>
      <c r="G21" s="844"/>
      <c r="H21" s="845"/>
      <c r="I21" s="846"/>
      <c r="J21" s="847"/>
      <c r="K21" s="841"/>
      <c r="L21" s="841"/>
      <c r="M21" s="848"/>
      <c r="N21" s="849"/>
      <c r="O21" s="844"/>
      <c r="P21" s="844"/>
      <c r="Q21" s="841"/>
      <c r="R21" s="847"/>
    </row>
    <row r="22" spans="1:18" ht="40.5" customHeight="1">
      <c r="A22" s="837"/>
      <c r="B22" s="830"/>
      <c r="C22" s="831"/>
      <c r="D22" s="838"/>
      <c r="E22" s="832"/>
      <c r="F22" s="832"/>
      <c r="G22" s="832"/>
      <c r="H22" s="833"/>
      <c r="I22" s="834"/>
      <c r="J22" s="836"/>
      <c r="K22" s="830"/>
      <c r="L22" s="830"/>
      <c r="M22" s="834"/>
      <c r="N22" s="835"/>
      <c r="O22" s="832"/>
      <c r="P22" s="832"/>
      <c r="Q22" s="830"/>
      <c r="R22" s="836"/>
    </row>
    <row r="23" spans="1:18" ht="40.5" customHeight="1">
      <c r="A23" s="837"/>
      <c r="B23" s="830"/>
      <c r="C23" s="831"/>
      <c r="D23" s="838"/>
      <c r="E23" s="832"/>
      <c r="F23" s="832"/>
      <c r="G23" s="832"/>
      <c r="H23" s="833"/>
      <c r="I23" s="834"/>
      <c r="J23" s="836"/>
      <c r="K23" s="830"/>
      <c r="L23" s="830"/>
      <c r="M23" s="834"/>
      <c r="N23" s="835"/>
      <c r="O23" s="832"/>
      <c r="P23" s="832"/>
      <c r="Q23" s="830"/>
      <c r="R23" s="836"/>
    </row>
    <row r="24" spans="1:18" ht="40.5" customHeight="1">
      <c r="A24" s="837"/>
      <c r="B24" s="824"/>
      <c r="C24" s="827"/>
      <c r="D24" s="826"/>
      <c r="E24" s="820"/>
      <c r="F24" s="820"/>
      <c r="G24" s="820"/>
      <c r="H24" s="821"/>
      <c r="I24" s="822"/>
      <c r="J24" s="826"/>
      <c r="K24" s="824"/>
      <c r="L24" s="824"/>
      <c r="M24" s="822"/>
      <c r="N24" s="824"/>
      <c r="O24" s="820"/>
      <c r="P24" s="820"/>
      <c r="Q24" s="824"/>
      <c r="R24" s="826"/>
    </row>
    <row r="25" spans="1:18" ht="40.5" customHeight="1">
      <c r="A25" s="837"/>
      <c r="B25" s="839"/>
      <c r="C25" s="818"/>
      <c r="D25" s="826"/>
      <c r="E25" s="820"/>
      <c r="F25" s="820"/>
      <c r="G25" s="820"/>
      <c r="H25" s="821"/>
      <c r="I25" s="822"/>
      <c r="J25" s="826"/>
      <c r="K25" s="824"/>
      <c r="L25" s="824"/>
      <c r="M25" s="822"/>
      <c r="N25" s="824"/>
      <c r="O25" s="820"/>
      <c r="P25" s="820"/>
      <c r="Q25" s="824"/>
      <c r="R25" s="826"/>
    </row>
    <row r="26" spans="1:18" ht="40.5" customHeight="1">
      <c r="A26" s="837"/>
      <c r="B26" s="830"/>
      <c r="C26" s="831"/>
      <c r="D26" s="838"/>
      <c r="E26" s="832"/>
      <c r="F26" s="832"/>
      <c r="G26" s="832"/>
      <c r="H26" s="833"/>
      <c r="I26" s="834"/>
      <c r="J26" s="836"/>
      <c r="K26" s="830"/>
      <c r="L26" s="830"/>
      <c r="M26" s="834"/>
      <c r="N26" s="835"/>
      <c r="O26" s="832"/>
      <c r="P26" s="832"/>
      <c r="Q26" s="830"/>
      <c r="R26" s="836"/>
    </row>
    <row r="27" spans="1:18" ht="40.5" customHeight="1">
      <c r="A27" s="837"/>
      <c r="B27" s="824"/>
      <c r="C27" s="827"/>
      <c r="D27" s="839"/>
      <c r="E27" s="820"/>
      <c r="F27" s="820"/>
      <c r="G27" s="820"/>
      <c r="H27" s="821"/>
      <c r="I27" s="822"/>
      <c r="J27" s="826"/>
      <c r="K27" s="824"/>
      <c r="L27" s="824"/>
      <c r="M27" s="822"/>
      <c r="N27" s="824"/>
      <c r="O27" s="820"/>
      <c r="P27" s="820"/>
      <c r="Q27" s="824"/>
      <c r="R27" s="826"/>
    </row>
    <row r="28" spans="1:18" ht="40.5" customHeight="1">
      <c r="A28" s="837"/>
      <c r="B28" s="839"/>
      <c r="C28" s="827"/>
      <c r="D28" s="839"/>
      <c r="E28" s="820"/>
      <c r="F28" s="820"/>
      <c r="G28" s="820"/>
      <c r="H28" s="821"/>
      <c r="I28" s="822"/>
      <c r="J28" s="826"/>
      <c r="K28" s="824"/>
      <c r="L28" s="824"/>
      <c r="M28" s="822"/>
      <c r="N28" s="829"/>
      <c r="O28" s="820"/>
      <c r="P28" s="820"/>
      <c r="Q28" s="824"/>
      <c r="R28" s="826"/>
    </row>
    <row r="29" spans="1:18" ht="40.5" customHeight="1">
      <c r="A29" s="837"/>
      <c r="B29" s="830"/>
      <c r="C29" s="831"/>
      <c r="D29" s="838"/>
      <c r="E29" s="832"/>
      <c r="F29" s="832"/>
      <c r="G29" s="832"/>
      <c r="H29" s="833"/>
      <c r="I29" s="834"/>
      <c r="J29" s="836"/>
      <c r="K29" s="830"/>
      <c r="L29" s="830"/>
      <c r="M29" s="834"/>
      <c r="N29" s="835"/>
      <c r="O29" s="832"/>
      <c r="P29" s="832"/>
      <c r="Q29" s="830"/>
      <c r="R29" s="836"/>
    </row>
    <row r="30" spans="1:18" ht="40.5" customHeight="1">
      <c r="A30" s="803"/>
      <c r="B30" s="839"/>
      <c r="C30" s="827"/>
      <c r="D30" s="839"/>
      <c r="E30" s="820"/>
      <c r="F30" s="820"/>
      <c r="G30" s="820"/>
      <c r="H30" s="821"/>
      <c r="I30" s="822"/>
      <c r="J30" s="826"/>
      <c r="K30" s="824"/>
      <c r="L30" s="824"/>
      <c r="M30" s="822"/>
      <c r="N30" s="829"/>
      <c r="O30" s="820"/>
      <c r="P30" s="820"/>
      <c r="Q30" s="824"/>
      <c r="R30" s="826"/>
    </row>
    <row r="31" spans="1:18" ht="40.5" customHeight="1">
      <c r="A31" s="803"/>
      <c r="B31" s="850"/>
      <c r="C31" s="851"/>
      <c r="D31" s="850"/>
      <c r="E31" s="852"/>
      <c r="F31" s="852"/>
      <c r="G31" s="852"/>
      <c r="H31" s="853"/>
      <c r="I31" s="854"/>
      <c r="J31" s="855"/>
      <c r="K31" s="856"/>
      <c r="L31" s="856"/>
      <c r="M31" s="857"/>
      <c r="N31" s="858"/>
      <c r="O31" s="852"/>
      <c r="P31" s="852"/>
      <c r="Q31" s="856"/>
      <c r="R31" s="855"/>
    </row>
    <row r="32" spans="1:18" ht="40.5" customHeight="1">
      <c r="A32" s="803"/>
      <c r="B32" s="830"/>
      <c r="C32" s="831"/>
      <c r="D32" s="830"/>
      <c r="E32" s="832"/>
      <c r="F32" s="832"/>
      <c r="G32" s="832"/>
      <c r="H32" s="833"/>
      <c r="I32" s="834"/>
      <c r="J32" s="836"/>
      <c r="K32" s="830"/>
      <c r="L32" s="830"/>
      <c r="M32" s="834"/>
      <c r="N32" s="830"/>
      <c r="O32" s="832"/>
      <c r="P32" s="832"/>
      <c r="Q32" s="830"/>
      <c r="R32" s="836"/>
    </row>
    <row r="33" spans="1:18" ht="40.5" customHeight="1">
      <c r="A33" s="803"/>
      <c r="B33" s="839"/>
      <c r="C33" s="827"/>
      <c r="D33" s="839"/>
      <c r="E33" s="820"/>
      <c r="F33" s="820"/>
      <c r="G33" s="820"/>
      <c r="H33" s="821"/>
      <c r="I33" s="822"/>
      <c r="J33" s="826"/>
      <c r="K33" s="824"/>
      <c r="L33" s="824"/>
      <c r="M33" s="822"/>
      <c r="N33" s="829"/>
      <c r="O33" s="820"/>
      <c r="P33" s="820"/>
      <c r="Q33" s="824"/>
      <c r="R33" s="826"/>
    </row>
    <row r="34" spans="1:18" ht="40.5" customHeight="1">
      <c r="A34" s="803"/>
      <c r="B34" s="839"/>
      <c r="C34" s="827"/>
      <c r="D34" s="839"/>
      <c r="E34" s="820"/>
      <c r="F34" s="820"/>
      <c r="G34" s="820"/>
      <c r="H34" s="821"/>
      <c r="I34" s="822"/>
      <c r="J34" s="826"/>
      <c r="K34" s="824"/>
      <c r="L34" s="824"/>
      <c r="M34" s="822"/>
      <c r="N34" s="829"/>
      <c r="O34" s="820"/>
      <c r="P34" s="820"/>
      <c r="Q34" s="824"/>
      <c r="R34" s="826"/>
    </row>
    <row r="35" spans="1:18" ht="40.5" customHeight="1">
      <c r="A35" s="803"/>
      <c r="B35" s="850"/>
      <c r="C35" s="851"/>
      <c r="D35" s="850"/>
      <c r="E35" s="852"/>
      <c r="F35" s="852"/>
      <c r="G35" s="852"/>
      <c r="H35" s="853"/>
      <c r="I35" s="854"/>
      <c r="J35" s="855"/>
      <c r="K35" s="856"/>
      <c r="L35" s="856"/>
      <c r="M35" s="857"/>
      <c r="N35" s="858"/>
      <c r="O35" s="852"/>
      <c r="P35" s="852"/>
      <c r="Q35" s="856"/>
      <c r="R35" s="855"/>
    </row>
    <row r="36" spans="1:18" ht="40.5" customHeight="1">
      <c r="A36" s="803"/>
      <c r="B36" s="839"/>
      <c r="C36" s="827"/>
      <c r="D36" s="839"/>
      <c r="E36" s="820"/>
      <c r="F36" s="820"/>
      <c r="G36" s="820"/>
      <c r="H36" s="821"/>
      <c r="I36" s="822"/>
      <c r="J36" s="826"/>
      <c r="K36" s="824"/>
      <c r="L36" s="824"/>
      <c r="M36" s="822"/>
      <c r="N36" s="829"/>
      <c r="O36" s="820"/>
      <c r="P36" s="820"/>
      <c r="Q36" s="824"/>
      <c r="R36" s="826"/>
    </row>
    <row r="37" spans="1:18" ht="40.5" customHeight="1">
      <c r="A37" s="803"/>
      <c r="B37" s="839"/>
      <c r="C37" s="827"/>
      <c r="D37" s="839"/>
      <c r="E37" s="820"/>
      <c r="F37" s="820"/>
      <c r="G37" s="820"/>
      <c r="H37" s="821"/>
      <c r="I37" s="822"/>
      <c r="J37" s="826"/>
      <c r="K37" s="824"/>
      <c r="L37" s="824"/>
      <c r="M37" s="822"/>
      <c r="N37" s="829"/>
      <c r="O37" s="820"/>
      <c r="P37" s="820"/>
      <c r="Q37" s="824"/>
      <c r="R37" s="826"/>
    </row>
    <row r="38" spans="1:18" ht="40.5" customHeight="1">
      <c r="A38" s="803"/>
      <c r="B38" s="830"/>
      <c r="C38" s="831"/>
      <c r="D38" s="838"/>
      <c r="E38" s="832"/>
      <c r="F38" s="832"/>
      <c r="G38" s="832"/>
      <c r="H38" s="833"/>
      <c r="I38" s="834"/>
      <c r="J38" s="836"/>
      <c r="K38" s="830"/>
      <c r="L38" s="830"/>
      <c r="M38" s="834"/>
      <c r="N38" s="835"/>
      <c r="O38" s="832"/>
      <c r="P38" s="832"/>
      <c r="Q38" s="830"/>
      <c r="R38" s="836"/>
    </row>
    <row r="39" spans="1:18" ht="40.5" customHeight="1">
      <c r="A39" s="803"/>
      <c r="B39" s="839"/>
      <c r="C39" s="818"/>
      <c r="D39" s="826"/>
      <c r="E39" s="820"/>
      <c r="F39" s="820"/>
      <c r="G39" s="820"/>
      <c r="H39" s="821"/>
      <c r="I39" s="822"/>
      <c r="J39" s="826"/>
      <c r="K39" s="824"/>
      <c r="L39" s="824"/>
      <c r="M39" s="822"/>
      <c r="N39" s="824"/>
      <c r="O39" s="820"/>
      <c r="P39" s="820"/>
      <c r="Q39" s="824"/>
      <c r="R39" s="826"/>
    </row>
    <row r="40" spans="1:18" ht="40.5" customHeight="1">
      <c r="A40" s="803"/>
      <c r="B40" s="839"/>
      <c r="C40" s="818"/>
      <c r="D40" s="826"/>
      <c r="E40" s="820"/>
      <c r="F40" s="820"/>
      <c r="G40" s="820"/>
      <c r="H40" s="821"/>
      <c r="I40" s="822"/>
      <c r="J40" s="826"/>
      <c r="K40" s="824"/>
      <c r="L40" s="824"/>
      <c r="M40" s="822"/>
      <c r="N40" s="824"/>
      <c r="O40" s="820"/>
      <c r="P40" s="820"/>
      <c r="Q40" s="824"/>
      <c r="R40" s="826"/>
    </row>
    <row r="41" spans="1:18" ht="40.5" customHeight="1">
      <c r="A41" s="803"/>
      <c r="B41" s="839"/>
      <c r="C41" s="818"/>
      <c r="D41" s="826"/>
      <c r="E41" s="820"/>
      <c r="F41" s="820"/>
      <c r="G41" s="820"/>
      <c r="H41" s="821"/>
      <c r="I41" s="822"/>
      <c r="J41" s="826"/>
      <c r="K41" s="824"/>
      <c r="L41" s="824"/>
      <c r="M41" s="822"/>
      <c r="N41" s="824"/>
      <c r="O41" s="820"/>
      <c r="P41" s="820"/>
      <c r="Q41" s="824"/>
      <c r="R41" s="826"/>
    </row>
    <row r="42" spans="1:18" ht="40.5" customHeight="1">
      <c r="A42" s="803"/>
      <c r="B42" s="830"/>
      <c r="C42" s="859"/>
      <c r="D42" s="836"/>
      <c r="E42" s="832"/>
      <c r="F42" s="832"/>
      <c r="G42" s="832"/>
      <c r="H42" s="833"/>
      <c r="I42" s="834"/>
      <c r="J42" s="836"/>
      <c r="K42" s="830"/>
      <c r="L42" s="830"/>
      <c r="M42" s="834"/>
      <c r="N42" s="830"/>
      <c r="O42" s="832"/>
      <c r="P42" s="832"/>
      <c r="Q42" s="830"/>
      <c r="R42" s="847"/>
    </row>
    <row r="43" spans="1:18" ht="40.5" customHeight="1">
      <c r="A43" s="803"/>
      <c r="B43" s="860"/>
      <c r="C43" s="861"/>
      <c r="D43" s="862"/>
      <c r="E43" s="863"/>
      <c r="F43" s="863"/>
      <c r="G43" s="863"/>
      <c r="H43" s="864"/>
      <c r="I43" s="865"/>
      <c r="J43" s="862"/>
      <c r="K43" s="866"/>
      <c r="L43" s="866"/>
      <c r="M43" s="865"/>
      <c r="N43" s="866"/>
      <c r="O43" s="863"/>
      <c r="P43" s="863"/>
      <c r="Q43" s="866"/>
      <c r="R43" s="862"/>
    </row>
    <row r="44" spans="1:18" ht="40.5" customHeight="1">
      <c r="A44" s="803"/>
      <c r="B44" s="860"/>
      <c r="C44" s="861"/>
      <c r="D44" s="862"/>
      <c r="E44" s="863"/>
      <c r="F44" s="863"/>
      <c r="G44" s="863"/>
      <c r="H44" s="864"/>
      <c r="I44" s="865"/>
      <c r="J44" s="862"/>
      <c r="K44" s="866"/>
      <c r="L44" s="866"/>
      <c r="M44" s="865"/>
      <c r="N44" s="866"/>
      <c r="O44" s="863"/>
      <c r="P44" s="863"/>
      <c r="Q44" s="866"/>
      <c r="R44" s="862"/>
    </row>
    <row r="45" spans="1:18" ht="40.5" customHeight="1">
      <c r="A45" s="803"/>
      <c r="B45" s="860"/>
      <c r="C45" s="861"/>
      <c r="D45" s="862"/>
      <c r="E45" s="863"/>
      <c r="F45" s="863"/>
      <c r="G45" s="863"/>
      <c r="H45" s="864"/>
      <c r="I45" s="865"/>
      <c r="J45" s="862"/>
      <c r="K45" s="866"/>
      <c r="L45" s="866"/>
      <c r="M45" s="865"/>
      <c r="N45" s="866"/>
      <c r="O45" s="863"/>
      <c r="P45" s="863"/>
      <c r="Q45" s="866"/>
      <c r="R45" s="862"/>
    </row>
    <row r="46" spans="1:18" ht="24" customHeight="1">
      <c r="A46" s="803"/>
      <c r="B46" s="867"/>
      <c r="C46" s="868"/>
      <c r="D46" s="869"/>
      <c r="E46" s="870"/>
      <c r="F46" s="870"/>
      <c r="G46" s="870"/>
      <c r="H46" s="871"/>
      <c r="I46" s="872"/>
      <c r="J46" s="869"/>
      <c r="K46" s="873"/>
      <c r="L46" s="873"/>
      <c r="M46" s="872"/>
      <c r="N46" s="873"/>
      <c r="O46" s="870"/>
      <c r="P46" s="870"/>
      <c r="Q46" s="874"/>
      <c r="R46" s="875"/>
    </row>
    <row r="47" spans="1:18" ht="24" customHeight="1">
      <c r="A47" s="803"/>
      <c r="B47" s="860"/>
      <c r="C47" s="876"/>
      <c r="D47" s="860"/>
      <c r="E47" s="863"/>
      <c r="F47" s="863"/>
      <c r="G47" s="863"/>
      <c r="H47" s="864"/>
      <c r="I47" s="865"/>
      <c r="J47" s="862"/>
      <c r="K47" s="866"/>
      <c r="L47" s="866"/>
      <c r="M47" s="865"/>
      <c r="N47" s="840"/>
      <c r="O47" s="863"/>
      <c r="P47" s="863"/>
      <c r="Q47" s="866"/>
      <c r="R47" s="862"/>
    </row>
    <row r="48" spans="1:18" ht="24" customHeight="1">
      <c r="A48" s="803"/>
      <c r="B48" s="860"/>
      <c r="C48" s="861"/>
      <c r="D48" s="862"/>
      <c r="E48" s="863"/>
      <c r="F48" s="863"/>
      <c r="G48" s="863"/>
      <c r="H48" s="864"/>
      <c r="I48" s="865"/>
      <c r="J48" s="862"/>
      <c r="K48" s="866"/>
      <c r="L48" s="866"/>
      <c r="M48" s="865"/>
      <c r="N48" s="866"/>
      <c r="O48" s="863"/>
      <c r="P48" s="863"/>
      <c r="Q48" s="866"/>
      <c r="R48" s="862"/>
    </row>
    <row r="49" spans="1:18" ht="24" customHeight="1">
      <c r="A49" s="803"/>
      <c r="B49" s="860"/>
      <c r="C49" s="861"/>
      <c r="D49" s="862"/>
      <c r="E49" s="863"/>
      <c r="F49" s="863"/>
      <c r="G49" s="863"/>
      <c r="H49" s="864"/>
      <c r="I49" s="865"/>
      <c r="J49" s="862"/>
      <c r="K49" s="866"/>
      <c r="L49" s="866"/>
      <c r="M49" s="865"/>
      <c r="N49" s="866"/>
      <c r="O49" s="863"/>
      <c r="P49" s="863"/>
      <c r="Q49" s="866"/>
      <c r="R49" s="862"/>
    </row>
    <row r="50" spans="1:18" ht="24.6">
      <c r="A50" s="803"/>
      <c r="B50" s="860"/>
      <c r="C50" s="861"/>
      <c r="D50" s="862"/>
      <c r="E50" s="863"/>
      <c r="F50" s="863"/>
      <c r="G50" s="863"/>
      <c r="H50" s="864"/>
      <c r="I50" s="865"/>
      <c r="J50" s="862"/>
      <c r="K50" s="866"/>
      <c r="L50" s="866"/>
      <c r="M50" s="865"/>
      <c r="N50" s="866"/>
      <c r="O50" s="863"/>
      <c r="P50" s="863"/>
      <c r="Q50" s="866"/>
      <c r="R50" s="862"/>
    </row>
    <row r="51" spans="1:18" ht="24.6" customHeight="1">
      <c r="A51" s="803"/>
      <c r="B51" s="867"/>
      <c r="C51" s="868"/>
      <c r="D51" s="869"/>
      <c r="E51" s="870"/>
      <c r="F51" s="870"/>
      <c r="G51" s="870"/>
      <c r="H51" s="871"/>
      <c r="I51" s="872"/>
      <c r="J51" s="869"/>
      <c r="K51" s="873"/>
      <c r="L51" s="873"/>
      <c r="M51" s="872"/>
      <c r="N51" s="873"/>
      <c r="O51" s="870"/>
      <c r="P51" s="870"/>
      <c r="Q51" s="874"/>
      <c r="R51" s="875"/>
    </row>
    <row r="52" spans="1:18" ht="24.6">
      <c r="A52" s="803"/>
      <c r="B52" s="860"/>
      <c r="C52" s="861"/>
      <c r="D52" s="862"/>
      <c r="E52" s="863"/>
      <c r="F52" s="863"/>
      <c r="G52" s="863"/>
      <c r="H52" s="864"/>
      <c r="I52" s="865"/>
      <c r="J52" s="862"/>
      <c r="K52" s="866"/>
      <c r="L52" s="866"/>
      <c r="M52" s="865"/>
      <c r="N52" s="866"/>
      <c r="O52" s="863"/>
      <c r="P52" s="863"/>
      <c r="Q52" s="866"/>
      <c r="R52" s="862"/>
    </row>
    <row r="53" spans="1:18" ht="24.6">
      <c r="A53" s="803"/>
      <c r="B53" s="860"/>
      <c r="C53" s="861"/>
      <c r="D53" s="862"/>
      <c r="E53" s="863"/>
      <c r="F53" s="863"/>
      <c r="G53" s="863"/>
      <c r="H53" s="864"/>
      <c r="I53" s="865"/>
      <c r="J53" s="862"/>
      <c r="K53" s="866"/>
      <c r="L53" s="866"/>
      <c r="M53" s="865"/>
      <c r="N53" s="866"/>
      <c r="O53" s="863"/>
      <c r="P53" s="863"/>
      <c r="Q53" s="866"/>
      <c r="R53" s="862"/>
    </row>
    <row r="54" spans="1:18" ht="24.6">
      <c r="A54" s="803"/>
      <c r="B54" s="860"/>
      <c r="C54" s="861"/>
      <c r="D54" s="862"/>
      <c r="E54" s="863"/>
      <c r="F54" s="863"/>
      <c r="G54" s="863"/>
      <c r="H54" s="864"/>
      <c r="I54" s="865"/>
      <c r="J54" s="862"/>
      <c r="K54" s="866"/>
      <c r="L54" s="866"/>
      <c r="M54" s="865"/>
      <c r="N54" s="866"/>
      <c r="O54" s="863"/>
      <c r="P54" s="863"/>
      <c r="Q54" s="866"/>
      <c r="R54" s="862"/>
    </row>
    <row r="55" spans="1:18" ht="24.6">
      <c r="A55" s="803"/>
      <c r="B55" s="860"/>
      <c r="C55" s="861"/>
      <c r="D55" s="862"/>
      <c r="E55" s="863"/>
      <c r="F55" s="863"/>
      <c r="G55" s="863"/>
      <c r="H55" s="864"/>
      <c r="I55" s="865"/>
      <c r="J55" s="862"/>
      <c r="K55" s="866"/>
      <c r="L55" s="866"/>
      <c r="M55" s="865"/>
      <c r="N55" s="866"/>
      <c r="O55" s="863"/>
      <c r="P55" s="863"/>
      <c r="Q55" s="866"/>
      <c r="R55" s="862"/>
    </row>
    <row r="56" spans="1:18" ht="24.6">
      <c r="A56" s="803"/>
      <c r="B56" s="877"/>
      <c r="C56" s="878"/>
      <c r="D56" s="879"/>
      <c r="E56" s="880"/>
      <c r="F56" s="880"/>
      <c r="G56" s="880"/>
      <c r="H56" s="881"/>
      <c r="I56" s="882"/>
      <c r="J56" s="879"/>
      <c r="K56" s="883"/>
      <c r="L56" s="883"/>
      <c r="M56" s="884"/>
      <c r="N56" s="883"/>
      <c r="O56" s="880"/>
      <c r="P56" s="880"/>
      <c r="Q56" s="883"/>
      <c r="R56" s="879"/>
    </row>
    <row r="57" spans="1:18" ht="24.6">
      <c r="A57" s="803"/>
      <c r="B57" s="860"/>
      <c r="C57" s="861"/>
      <c r="D57" s="862"/>
      <c r="E57" s="863"/>
      <c r="F57" s="863"/>
      <c r="G57" s="863"/>
      <c r="H57" s="864"/>
      <c r="I57" s="865"/>
      <c r="J57" s="862"/>
      <c r="K57" s="866"/>
      <c r="L57" s="866"/>
      <c r="M57" s="865"/>
      <c r="N57" s="866"/>
      <c r="O57" s="863"/>
      <c r="P57" s="863"/>
      <c r="Q57" s="866"/>
      <c r="R57" s="862"/>
    </row>
    <row r="58" spans="1:18" ht="24.6">
      <c r="A58" s="803"/>
      <c r="B58" s="885"/>
      <c r="C58" s="886"/>
      <c r="D58" s="885"/>
      <c r="E58" s="887"/>
      <c r="F58" s="887"/>
      <c r="G58" s="887"/>
      <c r="H58" s="888"/>
      <c r="I58" s="889"/>
      <c r="J58" s="890"/>
      <c r="K58" s="885"/>
      <c r="L58" s="885"/>
      <c r="M58" s="889"/>
      <c r="N58" s="885"/>
      <c r="O58" s="887"/>
      <c r="P58" s="887"/>
      <c r="Q58" s="885"/>
      <c r="R58" s="890"/>
    </row>
    <row r="59" spans="1:18" ht="24.6">
      <c r="A59" s="803"/>
      <c r="B59" s="860"/>
      <c r="C59" s="861"/>
      <c r="D59" s="862"/>
      <c r="E59" s="863"/>
      <c r="F59" s="863"/>
      <c r="G59" s="863"/>
      <c r="H59" s="864"/>
      <c r="I59" s="865"/>
      <c r="J59" s="862"/>
      <c r="K59" s="866"/>
      <c r="L59" s="866"/>
      <c r="M59" s="865"/>
      <c r="N59" s="866"/>
      <c r="O59" s="863"/>
      <c r="P59" s="863"/>
      <c r="Q59" s="866"/>
      <c r="R59" s="862"/>
    </row>
    <row r="60" spans="1:18" ht="24.6">
      <c r="A60" s="803"/>
      <c r="B60" s="860"/>
      <c r="C60" s="861"/>
      <c r="D60" s="862"/>
      <c r="E60" s="863"/>
      <c r="F60" s="863"/>
      <c r="G60" s="863"/>
      <c r="H60" s="864"/>
      <c r="I60" s="865"/>
      <c r="J60" s="862"/>
      <c r="K60" s="866"/>
      <c r="L60" s="866"/>
      <c r="M60" s="865"/>
      <c r="N60" s="866"/>
      <c r="O60" s="863"/>
      <c r="P60" s="863"/>
      <c r="Q60" s="866"/>
      <c r="R60" s="862"/>
    </row>
    <row r="61" spans="1:18" ht="24.6">
      <c r="A61" s="803"/>
      <c r="B61" s="860"/>
      <c r="C61" s="861"/>
      <c r="D61" s="862"/>
      <c r="E61" s="863"/>
      <c r="F61" s="863"/>
      <c r="G61" s="863"/>
      <c r="H61" s="864"/>
      <c r="I61" s="865"/>
      <c r="J61" s="862"/>
      <c r="K61" s="866"/>
      <c r="L61" s="866"/>
      <c r="M61" s="865"/>
      <c r="N61" s="866"/>
      <c r="O61" s="863"/>
      <c r="P61" s="863"/>
      <c r="Q61" s="866"/>
      <c r="R61" s="862"/>
    </row>
    <row r="62" spans="1:18" ht="24.6">
      <c r="A62" s="803"/>
      <c r="B62" s="885"/>
      <c r="C62" s="891"/>
      <c r="D62" s="885"/>
      <c r="E62" s="887"/>
      <c r="F62" s="887"/>
      <c r="G62" s="887"/>
      <c r="H62" s="888"/>
      <c r="I62" s="889"/>
      <c r="J62" s="890"/>
      <c r="K62" s="885"/>
      <c r="L62" s="885"/>
      <c r="M62" s="889"/>
      <c r="N62" s="885"/>
      <c r="O62" s="887"/>
      <c r="P62" s="887"/>
      <c r="Q62" s="885"/>
      <c r="R62" s="890"/>
    </row>
    <row r="63" spans="1:18" ht="24.6" customHeight="1">
      <c r="A63" s="803"/>
      <c r="B63" s="867"/>
      <c r="C63" s="868"/>
      <c r="D63" s="869"/>
      <c r="E63" s="870"/>
      <c r="F63" s="870"/>
      <c r="G63" s="870"/>
      <c r="H63" s="871"/>
      <c r="I63" s="872"/>
      <c r="J63" s="869"/>
      <c r="K63" s="873"/>
      <c r="L63" s="873"/>
      <c r="M63" s="872"/>
      <c r="N63" s="873"/>
      <c r="O63" s="870"/>
      <c r="P63" s="870"/>
      <c r="Q63" s="874"/>
      <c r="R63" s="875"/>
    </row>
    <row r="64" spans="1:18" ht="24.6" customHeight="1">
      <c r="A64" s="803"/>
      <c r="B64" s="867"/>
      <c r="C64" s="868"/>
      <c r="D64" s="869"/>
      <c r="E64" s="870"/>
      <c r="F64" s="870"/>
      <c r="G64" s="870"/>
      <c r="H64" s="871"/>
      <c r="I64" s="872"/>
      <c r="J64" s="869"/>
      <c r="K64" s="873"/>
      <c r="L64" s="873"/>
      <c r="M64" s="872"/>
      <c r="N64" s="873"/>
      <c r="O64" s="870"/>
      <c r="P64" s="870"/>
      <c r="Q64" s="874"/>
      <c r="R64" s="875"/>
    </row>
    <row r="65" spans="1:18" ht="24.6">
      <c r="A65" s="803"/>
      <c r="B65" s="860"/>
      <c r="C65" s="861"/>
      <c r="D65" s="862"/>
      <c r="E65" s="863"/>
      <c r="F65" s="863"/>
      <c r="G65" s="863"/>
      <c r="H65" s="864"/>
      <c r="I65" s="865"/>
      <c r="J65" s="862"/>
      <c r="K65" s="866"/>
      <c r="L65" s="866"/>
      <c r="M65" s="865"/>
      <c r="N65" s="866"/>
      <c r="O65" s="863"/>
      <c r="P65" s="863"/>
      <c r="Q65" s="866"/>
      <c r="R65" s="862"/>
    </row>
    <row r="66" spans="1:18" ht="24.6">
      <c r="A66" s="803"/>
      <c r="B66" s="860"/>
      <c r="C66" s="861"/>
      <c r="D66" s="862"/>
      <c r="E66" s="863"/>
      <c r="F66" s="863"/>
      <c r="G66" s="863"/>
      <c r="H66" s="864"/>
      <c r="I66" s="865"/>
      <c r="J66" s="862"/>
      <c r="K66" s="866"/>
      <c r="L66" s="866"/>
      <c r="M66" s="865"/>
      <c r="N66" s="866"/>
      <c r="O66" s="863"/>
      <c r="P66" s="863"/>
      <c r="Q66" s="866"/>
      <c r="R66" s="862"/>
    </row>
    <row r="67" spans="1:18" ht="24.6" customHeight="1">
      <c r="A67" s="803"/>
      <c r="B67" s="867"/>
      <c r="C67" s="868"/>
      <c r="D67" s="869"/>
      <c r="E67" s="870"/>
      <c r="F67" s="870"/>
      <c r="G67" s="870"/>
      <c r="H67" s="871"/>
      <c r="I67" s="872"/>
      <c r="J67" s="869"/>
      <c r="K67" s="873"/>
      <c r="L67" s="873"/>
      <c r="M67" s="872"/>
      <c r="N67" s="873"/>
      <c r="O67" s="870"/>
      <c r="P67" s="870"/>
      <c r="Q67" s="874"/>
      <c r="R67" s="875"/>
    </row>
    <row r="68" spans="1:18" ht="19.2" customHeight="1">
      <c r="A68" s="803"/>
      <c r="B68" s="885"/>
      <c r="C68" s="886"/>
      <c r="D68" s="892"/>
      <c r="E68" s="887"/>
      <c r="F68" s="887"/>
      <c r="G68" s="887"/>
      <c r="H68" s="888"/>
      <c r="I68" s="889"/>
      <c r="J68" s="890"/>
      <c r="K68" s="885"/>
      <c r="L68" s="885"/>
      <c r="M68" s="889"/>
      <c r="N68" s="893"/>
      <c r="O68" s="887"/>
      <c r="P68" s="887"/>
      <c r="Q68" s="885"/>
      <c r="R68" s="890"/>
    </row>
    <row r="69" spans="1:18" ht="19.2" customHeight="1">
      <c r="A69" s="803"/>
      <c r="B69" s="860"/>
      <c r="C69" s="861"/>
      <c r="D69" s="862"/>
      <c r="E69" s="863"/>
      <c r="F69" s="863"/>
      <c r="G69" s="863"/>
      <c r="H69" s="864"/>
      <c r="I69" s="865"/>
      <c r="J69" s="862"/>
      <c r="K69" s="866"/>
      <c r="L69" s="866"/>
      <c r="M69" s="865"/>
      <c r="N69" s="866"/>
      <c r="O69" s="863"/>
      <c r="P69" s="863"/>
      <c r="Q69" s="866"/>
      <c r="R69" s="862"/>
    </row>
    <row r="70" spans="1:18" ht="19.2" customHeight="1">
      <c r="A70" s="803"/>
      <c r="B70" s="885"/>
      <c r="C70" s="891"/>
      <c r="D70" s="885"/>
      <c r="E70" s="887"/>
      <c r="F70" s="887"/>
      <c r="G70" s="887"/>
      <c r="H70" s="888"/>
      <c r="I70" s="889"/>
      <c r="J70" s="890"/>
      <c r="K70" s="885"/>
      <c r="L70" s="885"/>
      <c r="M70" s="889"/>
      <c r="N70" s="885"/>
      <c r="O70" s="887"/>
      <c r="P70" s="887"/>
      <c r="Q70" s="885"/>
      <c r="R70" s="890"/>
    </row>
    <row r="71" spans="1:18" ht="19.2" customHeight="1">
      <c r="A71" s="803"/>
      <c r="B71" s="877"/>
      <c r="C71" s="894"/>
      <c r="D71" s="879"/>
      <c r="E71" s="880"/>
      <c r="F71" s="880"/>
      <c r="G71" s="880"/>
      <c r="H71" s="881"/>
      <c r="I71" s="882"/>
      <c r="J71" s="879"/>
      <c r="K71" s="883"/>
      <c r="L71" s="883"/>
      <c r="M71" s="884"/>
      <c r="N71" s="883"/>
      <c r="O71" s="880"/>
      <c r="P71" s="880"/>
      <c r="Q71" s="883"/>
      <c r="R71" s="879"/>
    </row>
    <row r="72" spans="1:18">
      <c r="A72" s="803"/>
      <c r="B72" s="867"/>
      <c r="C72" s="868"/>
      <c r="D72" s="869"/>
      <c r="E72" s="870"/>
      <c r="F72" s="870"/>
      <c r="G72" s="870"/>
      <c r="H72" s="871"/>
      <c r="I72" s="872"/>
      <c r="J72" s="869"/>
      <c r="K72" s="873"/>
      <c r="L72" s="873"/>
      <c r="M72" s="872"/>
      <c r="N72" s="873"/>
      <c r="O72" s="870"/>
      <c r="P72" s="870"/>
      <c r="Q72" s="874"/>
      <c r="R72" s="875"/>
    </row>
    <row r="73" spans="1:18" ht="19.2" customHeight="1">
      <c r="A73" s="803"/>
      <c r="B73" s="860"/>
      <c r="C73" s="861"/>
      <c r="D73" s="862"/>
      <c r="E73" s="863"/>
      <c r="F73" s="863"/>
      <c r="G73" s="863"/>
      <c r="H73" s="864"/>
      <c r="I73" s="865"/>
      <c r="J73" s="862"/>
      <c r="K73" s="866"/>
      <c r="L73" s="866"/>
      <c r="M73" s="865"/>
      <c r="N73" s="866"/>
      <c r="O73" s="863"/>
      <c r="P73" s="863"/>
      <c r="Q73" s="866"/>
      <c r="R73" s="862"/>
    </row>
    <row r="74" spans="1:18">
      <c r="A74" s="867"/>
      <c r="B74" s="867"/>
      <c r="C74" s="875"/>
      <c r="D74" s="875"/>
      <c r="E74" s="872"/>
      <c r="F74" s="872"/>
      <c r="G74" s="872"/>
      <c r="H74" s="895"/>
      <c r="I74" s="872"/>
      <c r="J74" s="875"/>
      <c r="K74" s="867"/>
      <c r="L74" s="873"/>
      <c r="M74" s="872"/>
      <c r="N74" s="867"/>
      <c r="O74" s="872"/>
      <c r="P74" s="872"/>
      <c r="Q74" s="867"/>
      <c r="R74" s="875"/>
    </row>
    <row r="75" spans="1:18">
      <c r="A75" s="867"/>
      <c r="B75" s="867"/>
      <c r="C75" s="875"/>
      <c r="D75" s="875"/>
      <c r="E75" s="872"/>
      <c r="F75" s="872"/>
      <c r="G75" s="872"/>
      <c r="H75" s="895"/>
      <c r="I75" s="872"/>
      <c r="J75" s="875"/>
      <c r="K75" s="867"/>
      <c r="L75" s="873"/>
      <c r="M75" s="872"/>
      <c r="N75" s="867"/>
      <c r="O75" s="872"/>
      <c r="P75" s="872"/>
      <c r="Q75" s="867"/>
      <c r="R75" s="875"/>
    </row>
    <row r="76" spans="1:18">
      <c r="A76" s="867"/>
      <c r="B76" s="867"/>
      <c r="C76" s="875"/>
      <c r="D76" s="875"/>
      <c r="E76" s="872"/>
      <c r="F76" s="872"/>
      <c r="G76" s="872"/>
      <c r="H76" s="895"/>
      <c r="I76" s="872"/>
      <c r="J76" s="875"/>
      <c r="K76" s="867"/>
      <c r="L76" s="873"/>
      <c r="M76" s="872"/>
      <c r="N76" s="867"/>
      <c r="O76" s="872"/>
      <c r="P76" s="872"/>
      <c r="Q76" s="867"/>
      <c r="R76" s="875"/>
    </row>
    <row r="77" spans="1:18">
      <c r="A77" s="867"/>
      <c r="B77" s="867"/>
      <c r="C77" s="875"/>
      <c r="D77" s="875"/>
      <c r="E77" s="872"/>
      <c r="F77" s="872"/>
      <c r="G77" s="872"/>
      <c r="H77" s="895"/>
      <c r="I77" s="872"/>
      <c r="J77" s="875"/>
      <c r="K77" s="867"/>
      <c r="L77" s="873"/>
      <c r="M77" s="872"/>
      <c r="N77" s="867"/>
      <c r="O77" s="872"/>
      <c r="P77" s="872"/>
      <c r="Q77" s="867"/>
      <c r="R77" s="875"/>
    </row>
    <row r="78" spans="1:18">
      <c r="A78" s="867"/>
      <c r="B78" s="867"/>
      <c r="C78" s="875"/>
      <c r="D78" s="875"/>
      <c r="E78" s="872"/>
      <c r="F78" s="872"/>
      <c r="G78" s="872"/>
      <c r="H78" s="895"/>
      <c r="I78" s="872"/>
      <c r="J78" s="875"/>
      <c r="K78" s="867"/>
      <c r="L78" s="873"/>
      <c r="M78" s="872"/>
      <c r="N78" s="867"/>
      <c r="O78" s="872"/>
      <c r="P78" s="872"/>
      <c r="Q78" s="867"/>
      <c r="R78" s="875"/>
    </row>
    <row r="79" spans="1:18">
      <c r="A79" s="867"/>
      <c r="B79" s="867"/>
      <c r="C79" s="875"/>
      <c r="D79" s="875"/>
      <c r="E79" s="872"/>
      <c r="F79" s="872"/>
      <c r="G79" s="872"/>
      <c r="H79" s="895"/>
      <c r="I79" s="872"/>
      <c r="J79" s="875"/>
      <c r="K79" s="867"/>
      <c r="L79" s="873"/>
      <c r="M79" s="872"/>
      <c r="N79" s="867"/>
      <c r="O79" s="872"/>
      <c r="P79" s="872"/>
      <c r="Q79" s="867"/>
      <c r="R79" s="875"/>
    </row>
    <row r="80" spans="1:18">
      <c r="A80" s="867"/>
      <c r="B80" s="867"/>
      <c r="C80" s="875"/>
      <c r="D80" s="875"/>
      <c r="E80" s="872"/>
      <c r="F80" s="872"/>
      <c r="G80" s="872"/>
      <c r="H80" s="895"/>
      <c r="I80" s="872"/>
      <c r="J80" s="875"/>
      <c r="K80" s="867"/>
      <c r="L80" s="873"/>
      <c r="M80" s="872"/>
      <c r="N80" s="867"/>
      <c r="O80" s="872"/>
      <c r="P80" s="872"/>
      <c r="Q80" s="867"/>
      <c r="R80" s="875"/>
    </row>
    <row r="81" spans="1:18">
      <c r="A81" s="867"/>
      <c r="B81" s="867"/>
      <c r="C81" s="875"/>
      <c r="D81" s="875"/>
      <c r="E81" s="872"/>
      <c r="F81" s="872"/>
      <c r="G81" s="872"/>
      <c r="H81" s="895"/>
      <c r="I81" s="872"/>
      <c r="J81" s="875"/>
      <c r="K81" s="867"/>
      <c r="L81" s="873"/>
      <c r="M81" s="872"/>
      <c r="N81" s="867"/>
      <c r="O81" s="872"/>
      <c r="P81" s="872"/>
      <c r="Q81" s="867"/>
      <c r="R81" s="875"/>
    </row>
    <row r="82" spans="1:18">
      <c r="A82" s="867"/>
      <c r="B82" s="867"/>
      <c r="C82" s="875"/>
      <c r="D82" s="875"/>
      <c r="E82" s="872"/>
      <c r="F82" s="872"/>
      <c r="G82" s="872"/>
      <c r="H82" s="895"/>
      <c r="I82" s="872"/>
      <c r="J82" s="875"/>
      <c r="K82" s="867"/>
      <c r="L82" s="873"/>
      <c r="M82" s="872"/>
      <c r="N82" s="867"/>
      <c r="O82" s="872"/>
      <c r="P82" s="872"/>
      <c r="Q82" s="867"/>
      <c r="R82" s="875"/>
    </row>
    <row r="83" spans="1:18">
      <c r="A83" s="867"/>
      <c r="B83" s="867"/>
      <c r="C83" s="875"/>
      <c r="D83" s="875"/>
      <c r="E83" s="872"/>
      <c r="F83" s="872"/>
      <c r="G83" s="872"/>
      <c r="H83" s="895"/>
      <c r="I83" s="872"/>
      <c r="J83" s="875"/>
      <c r="K83" s="867"/>
      <c r="L83" s="873"/>
      <c r="M83" s="872"/>
      <c r="N83" s="867"/>
      <c r="O83" s="872"/>
      <c r="P83" s="872"/>
      <c r="Q83" s="867"/>
      <c r="R83" s="875"/>
    </row>
    <row r="84" spans="1:18">
      <c r="A84" s="867"/>
      <c r="B84" s="867"/>
      <c r="C84" s="875"/>
      <c r="D84" s="875"/>
      <c r="E84" s="872"/>
      <c r="F84" s="872"/>
      <c r="G84" s="872"/>
      <c r="H84" s="895"/>
      <c r="I84" s="872"/>
      <c r="J84" s="875"/>
      <c r="K84" s="867"/>
      <c r="L84" s="873"/>
      <c r="M84" s="872"/>
      <c r="N84" s="867"/>
      <c r="O84" s="872"/>
      <c r="P84" s="872"/>
      <c r="Q84" s="867"/>
      <c r="R84" s="875"/>
    </row>
    <row r="85" spans="1:18">
      <c r="A85" s="867"/>
      <c r="B85" s="867"/>
      <c r="C85" s="875"/>
      <c r="D85" s="875"/>
      <c r="E85" s="872"/>
      <c r="F85" s="872"/>
      <c r="G85" s="872"/>
      <c r="H85" s="895"/>
      <c r="I85" s="872"/>
      <c r="J85" s="875"/>
      <c r="K85" s="867"/>
      <c r="L85" s="873"/>
      <c r="M85" s="872"/>
      <c r="N85" s="867"/>
      <c r="O85" s="872"/>
      <c r="P85" s="872"/>
      <c r="Q85" s="867"/>
      <c r="R85" s="875"/>
    </row>
    <row r="86" spans="1:18">
      <c r="A86" s="867"/>
      <c r="B86" s="867"/>
      <c r="C86" s="875"/>
      <c r="D86" s="875"/>
      <c r="E86" s="872"/>
      <c r="F86" s="872"/>
      <c r="G86" s="872"/>
      <c r="H86" s="895"/>
      <c r="I86" s="872"/>
      <c r="J86" s="875"/>
      <c r="K86" s="867"/>
      <c r="L86" s="873"/>
      <c r="M86" s="872"/>
      <c r="N86" s="867"/>
      <c r="O86" s="872"/>
      <c r="P86" s="872"/>
      <c r="Q86" s="867"/>
      <c r="R86" s="875"/>
    </row>
    <row r="87" spans="1:18">
      <c r="A87" s="867"/>
      <c r="B87" s="867"/>
      <c r="C87" s="875"/>
      <c r="D87" s="875"/>
      <c r="E87" s="872"/>
      <c r="F87" s="872"/>
      <c r="G87" s="872"/>
      <c r="H87" s="895"/>
      <c r="I87" s="872"/>
      <c r="J87" s="875"/>
      <c r="K87" s="867"/>
      <c r="L87" s="873"/>
      <c r="M87" s="872"/>
      <c r="N87" s="867"/>
      <c r="O87" s="872"/>
      <c r="P87" s="872"/>
      <c r="Q87" s="867"/>
      <c r="R87" s="875"/>
    </row>
    <row r="88" spans="1:18">
      <c r="A88" s="867"/>
      <c r="B88" s="867"/>
      <c r="C88" s="875"/>
      <c r="D88" s="875"/>
      <c r="E88" s="872"/>
      <c r="F88" s="872"/>
      <c r="G88" s="872"/>
      <c r="H88" s="895"/>
      <c r="I88" s="872"/>
      <c r="J88" s="875"/>
      <c r="K88" s="867"/>
      <c r="L88" s="873"/>
      <c r="M88" s="872"/>
      <c r="N88" s="867"/>
      <c r="O88" s="872"/>
      <c r="P88" s="872"/>
      <c r="Q88" s="867"/>
      <c r="R88" s="875"/>
    </row>
    <row r="89" spans="1:18">
      <c r="A89" s="867"/>
      <c r="B89" s="867"/>
      <c r="C89" s="875"/>
      <c r="D89" s="875"/>
      <c r="E89" s="872"/>
      <c r="F89" s="872"/>
      <c r="G89" s="872"/>
      <c r="H89" s="895"/>
      <c r="I89" s="872"/>
      <c r="J89" s="875"/>
      <c r="K89" s="867"/>
      <c r="L89" s="873"/>
      <c r="M89" s="872"/>
      <c r="N89" s="867"/>
      <c r="O89" s="872"/>
      <c r="P89" s="872"/>
      <c r="Q89" s="867"/>
      <c r="R89" s="875"/>
    </row>
    <row r="90" spans="1:18">
      <c r="A90" s="867"/>
      <c r="B90" s="867"/>
      <c r="C90" s="875"/>
      <c r="D90" s="875"/>
      <c r="E90" s="872"/>
      <c r="F90" s="872"/>
      <c r="G90" s="872"/>
      <c r="H90" s="895"/>
      <c r="I90" s="872"/>
      <c r="J90" s="875"/>
      <c r="K90" s="867"/>
      <c r="L90" s="873"/>
      <c r="M90" s="872"/>
      <c r="N90" s="867"/>
      <c r="O90" s="872"/>
      <c r="P90" s="872"/>
      <c r="Q90" s="867"/>
      <c r="R90" s="875"/>
    </row>
    <row r="91" spans="1:18">
      <c r="A91" s="867"/>
      <c r="B91" s="867"/>
      <c r="C91" s="875"/>
      <c r="D91" s="875"/>
      <c r="E91" s="872"/>
      <c r="F91" s="872"/>
      <c r="G91" s="872"/>
      <c r="H91" s="895"/>
      <c r="I91" s="872"/>
      <c r="J91" s="875"/>
      <c r="K91" s="867"/>
      <c r="L91" s="873"/>
      <c r="M91" s="872"/>
      <c r="N91" s="867"/>
      <c r="O91" s="872"/>
      <c r="P91" s="872"/>
      <c r="Q91" s="867"/>
      <c r="R91" s="875"/>
    </row>
    <row r="92" spans="1:18">
      <c r="A92" s="867"/>
      <c r="B92" s="867"/>
      <c r="C92" s="875"/>
      <c r="D92" s="875"/>
      <c r="E92" s="872"/>
      <c r="F92" s="872"/>
      <c r="G92" s="872"/>
      <c r="H92" s="895"/>
      <c r="I92" s="872"/>
      <c r="J92" s="875"/>
      <c r="K92" s="867"/>
      <c r="L92" s="873"/>
      <c r="M92" s="872"/>
      <c r="N92" s="867"/>
      <c r="O92" s="872"/>
      <c r="P92" s="872"/>
      <c r="Q92" s="867"/>
      <c r="R92" s="875"/>
    </row>
    <row r="93" spans="1:18">
      <c r="A93" s="867"/>
      <c r="B93" s="867"/>
      <c r="C93" s="875"/>
      <c r="D93" s="875"/>
      <c r="E93" s="872"/>
      <c r="F93" s="872"/>
      <c r="G93" s="872"/>
      <c r="H93" s="895"/>
      <c r="I93" s="872"/>
      <c r="J93" s="875"/>
      <c r="K93" s="867"/>
      <c r="L93" s="873"/>
      <c r="M93" s="872"/>
      <c r="N93" s="867"/>
      <c r="O93" s="872"/>
      <c r="P93" s="872"/>
      <c r="Q93" s="867"/>
      <c r="R93" s="875"/>
    </row>
    <row r="94" spans="1:18">
      <c r="A94" s="867"/>
      <c r="B94" s="867"/>
      <c r="C94" s="875"/>
      <c r="D94" s="875"/>
      <c r="E94" s="872"/>
      <c r="F94" s="872"/>
      <c r="G94" s="872"/>
      <c r="H94" s="895"/>
      <c r="I94" s="872"/>
      <c r="J94" s="875"/>
      <c r="K94" s="867"/>
      <c r="L94" s="873"/>
      <c r="M94" s="872"/>
      <c r="N94" s="867"/>
      <c r="O94" s="872"/>
      <c r="P94" s="872"/>
      <c r="Q94" s="867"/>
      <c r="R94" s="875"/>
    </row>
    <row r="95" spans="1:18">
      <c r="A95" s="867"/>
      <c r="B95" s="867"/>
      <c r="C95" s="875"/>
      <c r="D95" s="875"/>
      <c r="E95" s="872"/>
      <c r="F95" s="872"/>
      <c r="G95" s="872"/>
      <c r="H95" s="895"/>
      <c r="I95" s="872"/>
      <c r="J95" s="875"/>
      <c r="K95" s="867"/>
      <c r="L95" s="873"/>
      <c r="M95" s="872"/>
      <c r="N95" s="867"/>
      <c r="O95" s="872"/>
      <c r="P95" s="872"/>
      <c r="Q95" s="867"/>
      <c r="R95" s="875"/>
    </row>
    <row r="96" spans="1:18">
      <c r="A96" s="867"/>
      <c r="B96" s="867"/>
      <c r="C96" s="875"/>
      <c r="D96" s="875"/>
      <c r="E96" s="872"/>
      <c r="F96" s="872"/>
      <c r="G96" s="872"/>
      <c r="H96" s="895"/>
      <c r="I96" s="872"/>
      <c r="J96" s="875"/>
      <c r="K96" s="867"/>
      <c r="L96" s="873"/>
      <c r="M96" s="872"/>
      <c r="N96" s="867"/>
      <c r="O96" s="872"/>
      <c r="P96" s="872"/>
      <c r="Q96" s="867"/>
      <c r="R96" s="875"/>
    </row>
    <row r="97" spans="1:18">
      <c r="A97" s="867"/>
      <c r="B97" s="867"/>
      <c r="C97" s="875"/>
      <c r="D97" s="875"/>
      <c r="E97" s="872"/>
      <c r="F97" s="872"/>
      <c r="G97" s="872"/>
      <c r="H97" s="895"/>
      <c r="I97" s="872"/>
      <c r="J97" s="875"/>
      <c r="K97" s="867"/>
      <c r="L97" s="873"/>
      <c r="M97" s="872"/>
      <c r="N97" s="867"/>
      <c r="O97" s="872"/>
      <c r="P97" s="872"/>
      <c r="Q97" s="867"/>
      <c r="R97" s="875"/>
    </row>
    <row r="98" spans="1:18">
      <c r="A98" s="867"/>
      <c r="B98" s="867"/>
      <c r="C98" s="875"/>
      <c r="D98" s="875"/>
      <c r="E98" s="872"/>
      <c r="F98" s="872"/>
      <c r="G98" s="872"/>
      <c r="H98" s="895"/>
      <c r="I98" s="872"/>
      <c r="J98" s="875"/>
      <c r="K98" s="867"/>
      <c r="L98" s="873"/>
      <c r="M98" s="872"/>
      <c r="N98" s="867"/>
      <c r="O98" s="872"/>
      <c r="P98" s="872"/>
      <c r="Q98" s="867"/>
      <c r="R98" s="875"/>
    </row>
    <row r="99" spans="1:18">
      <c r="A99" s="867"/>
      <c r="B99" s="867"/>
      <c r="C99" s="875"/>
      <c r="D99" s="875"/>
      <c r="E99" s="872"/>
      <c r="F99" s="872"/>
      <c r="G99" s="872"/>
      <c r="H99" s="895"/>
      <c r="I99" s="872"/>
      <c r="J99" s="875"/>
      <c r="K99" s="867"/>
      <c r="L99" s="873"/>
      <c r="M99" s="872"/>
      <c r="N99" s="867"/>
      <c r="O99" s="872"/>
      <c r="P99" s="872"/>
      <c r="Q99" s="867"/>
      <c r="R99" s="875"/>
    </row>
    <row r="100" spans="1:18">
      <c r="A100" s="867"/>
      <c r="B100" s="867"/>
      <c r="C100" s="875"/>
      <c r="D100" s="875"/>
      <c r="E100" s="872"/>
      <c r="F100" s="872"/>
      <c r="G100" s="872"/>
      <c r="H100" s="895"/>
      <c r="I100" s="872"/>
      <c r="J100" s="875"/>
      <c r="K100" s="867"/>
      <c r="L100" s="873"/>
      <c r="M100" s="872"/>
      <c r="N100" s="867"/>
      <c r="O100" s="872"/>
      <c r="P100" s="872"/>
      <c r="Q100" s="867"/>
      <c r="R100" s="875"/>
    </row>
    <row r="101" spans="1:18">
      <c r="A101" s="867"/>
      <c r="B101" s="867"/>
      <c r="C101" s="875"/>
      <c r="D101" s="875"/>
      <c r="E101" s="872"/>
      <c r="F101" s="872"/>
      <c r="G101" s="872"/>
      <c r="H101" s="895"/>
      <c r="I101" s="872"/>
      <c r="J101" s="875"/>
      <c r="K101" s="867"/>
      <c r="L101" s="873"/>
      <c r="M101" s="872"/>
      <c r="N101" s="867"/>
      <c r="O101" s="872"/>
      <c r="P101" s="872"/>
      <c r="Q101" s="867"/>
      <c r="R101" s="875"/>
    </row>
    <row r="102" spans="1:18">
      <c r="A102" s="867"/>
      <c r="B102" s="867"/>
      <c r="C102" s="875"/>
      <c r="D102" s="875"/>
      <c r="E102" s="872"/>
      <c r="F102" s="872"/>
      <c r="G102" s="872"/>
      <c r="H102" s="895"/>
      <c r="I102" s="872"/>
      <c r="J102" s="875"/>
      <c r="K102" s="867"/>
      <c r="L102" s="873"/>
      <c r="M102" s="872"/>
      <c r="N102" s="867"/>
      <c r="O102" s="872"/>
      <c r="P102" s="872"/>
      <c r="Q102" s="867"/>
      <c r="R102" s="875"/>
    </row>
    <row r="103" spans="1:18">
      <c r="A103" s="867"/>
      <c r="B103" s="867"/>
      <c r="C103" s="875"/>
      <c r="D103" s="875"/>
      <c r="E103" s="872"/>
      <c r="F103" s="872"/>
      <c r="G103" s="872"/>
      <c r="H103" s="895"/>
      <c r="I103" s="872"/>
      <c r="J103" s="875"/>
      <c r="K103" s="867"/>
      <c r="L103" s="873"/>
      <c r="M103" s="872"/>
      <c r="N103" s="867"/>
      <c r="O103" s="872"/>
      <c r="P103" s="872"/>
      <c r="Q103" s="867"/>
      <c r="R103" s="875"/>
    </row>
    <row r="104" spans="1:18">
      <c r="A104" s="867"/>
      <c r="B104" s="867"/>
      <c r="C104" s="875"/>
      <c r="D104" s="875"/>
      <c r="E104" s="872"/>
      <c r="F104" s="872"/>
      <c r="G104" s="872"/>
      <c r="H104" s="895"/>
      <c r="I104" s="872"/>
      <c r="J104" s="875"/>
      <c r="K104" s="867"/>
      <c r="L104" s="873"/>
      <c r="M104" s="872"/>
      <c r="N104" s="867"/>
      <c r="O104" s="872"/>
      <c r="P104" s="872"/>
      <c r="Q104" s="867"/>
      <c r="R104" s="875"/>
    </row>
    <row r="105" spans="1:18">
      <c r="A105" s="867"/>
      <c r="B105" s="867"/>
      <c r="C105" s="875"/>
      <c r="D105" s="875"/>
      <c r="E105" s="872"/>
      <c r="F105" s="872"/>
      <c r="G105" s="872"/>
      <c r="H105" s="895"/>
      <c r="I105" s="872"/>
      <c r="J105" s="875"/>
      <c r="K105" s="867"/>
      <c r="L105" s="873"/>
      <c r="M105" s="872"/>
      <c r="N105" s="867"/>
      <c r="O105" s="872"/>
      <c r="P105" s="872"/>
      <c r="Q105" s="867"/>
      <c r="R105" s="875"/>
    </row>
    <row r="106" spans="1:18">
      <c r="A106" s="867"/>
      <c r="B106" s="867"/>
      <c r="C106" s="875"/>
      <c r="D106" s="875"/>
      <c r="E106" s="872"/>
      <c r="F106" s="872"/>
      <c r="G106" s="872"/>
      <c r="H106" s="895"/>
      <c r="I106" s="872"/>
      <c r="J106" s="875"/>
      <c r="K106" s="867"/>
      <c r="L106" s="873"/>
      <c r="M106" s="872"/>
      <c r="N106" s="867"/>
      <c r="O106" s="872"/>
      <c r="P106" s="872"/>
      <c r="Q106" s="867"/>
      <c r="R106" s="875"/>
    </row>
    <row r="107" spans="1:18">
      <c r="A107" s="867"/>
      <c r="B107" s="867"/>
      <c r="C107" s="875"/>
      <c r="D107" s="875"/>
      <c r="E107" s="872"/>
      <c r="F107" s="872"/>
      <c r="G107" s="872"/>
      <c r="H107" s="895"/>
      <c r="I107" s="872"/>
      <c r="J107" s="875"/>
      <c r="K107" s="867"/>
      <c r="L107" s="873"/>
      <c r="M107" s="872"/>
      <c r="N107" s="867"/>
      <c r="O107" s="872"/>
      <c r="P107" s="872"/>
      <c r="Q107" s="867"/>
      <c r="R107" s="875"/>
    </row>
    <row r="108" spans="1:18">
      <c r="A108" s="867"/>
      <c r="B108" s="867"/>
      <c r="C108" s="875"/>
      <c r="D108" s="875"/>
      <c r="E108" s="872"/>
      <c r="F108" s="872"/>
      <c r="G108" s="872"/>
      <c r="H108" s="895"/>
      <c r="I108" s="872"/>
      <c r="J108" s="875"/>
      <c r="K108" s="867"/>
      <c r="L108" s="873"/>
      <c r="M108" s="872"/>
      <c r="N108" s="867"/>
      <c r="O108" s="872"/>
      <c r="P108" s="872"/>
      <c r="Q108" s="867"/>
      <c r="R108" s="875"/>
    </row>
    <row r="109" spans="1:18">
      <c r="A109" s="867"/>
      <c r="B109" s="867"/>
      <c r="C109" s="875"/>
      <c r="D109" s="875"/>
      <c r="E109" s="872"/>
      <c r="F109" s="872"/>
      <c r="G109" s="872"/>
      <c r="H109" s="895"/>
      <c r="I109" s="872"/>
      <c r="J109" s="875"/>
      <c r="K109" s="867"/>
      <c r="L109" s="873"/>
      <c r="M109" s="872"/>
      <c r="N109" s="867"/>
      <c r="O109" s="872"/>
      <c r="P109" s="872"/>
      <c r="Q109" s="867"/>
      <c r="R109" s="875"/>
    </row>
    <row r="110" spans="1:18">
      <c r="A110" s="867"/>
      <c r="B110" s="867"/>
      <c r="C110" s="875"/>
      <c r="D110" s="875"/>
      <c r="E110" s="872"/>
      <c r="F110" s="872"/>
      <c r="G110" s="872"/>
      <c r="H110" s="895"/>
      <c r="I110" s="872"/>
      <c r="J110" s="875"/>
      <c r="K110" s="867"/>
      <c r="L110" s="873"/>
      <c r="M110" s="872"/>
      <c r="N110" s="867"/>
      <c r="O110" s="872"/>
      <c r="P110" s="872"/>
      <c r="Q110" s="867"/>
      <c r="R110" s="875"/>
    </row>
    <row r="111" spans="1:18">
      <c r="A111" s="867"/>
      <c r="B111" s="867"/>
      <c r="C111" s="875"/>
      <c r="D111" s="875"/>
      <c r="E111" s="872"/>
      <c r="F111" s="872"/>
      <c r="G111" s="872"/>
      <c r="H111" s="895"/>
      <c r="I111" s="872"/>
      <c r="J111" s="875"/>
      <c r="K111" s="867"/>
      <c r="L111" s="873"/>
      <c r="M111" s="872"/>
      <c r="N111" s="867"/>
      <c r="O111" s="872"/>
      <c r="P111" s="872"/>
      <c r="Q111" s="867"/>
      <c r="R111" s="875"/>
    </row>
    <row r="112" spans="1:18">
      <c r="A112" s="867"/>
      <c r="B112" s="867"/>
      <c r="C112" s="875"/>
      <c r="D112" s="875"/>
      <c r="E112" s="872"/>
      <c r="F112" s="872"/>
      <c r="G112" s="872"/>
      <c r="H112" s="895"/>
      <c r="I112" s="872"/>
      <c r="J112" s="875"/>
      <c r="K112" s="867"/>
      <c r="L112" s="873"/>
      <c r="M112" s="872"/>
      <c r="N112" s="867"/>
      <c r="O112" s="872"/>
      <c r="P112" s="872"/>
      <c r="Q112" s="867"/>
      <c r="R112" s="875"/>
    </row>
    <row r="113" spans="1:18">
      <c r="A113" s="867"/>
      <c r="B113" s="867"/>
      <c r="C113" s="875"/>
      <c r="D113" s="875"/>
      <c r="E113" s="872"/>
      <c r="F113" s="872"/>
      <c r="G113" s="872"/>
      <c r="H113" s="895"/>
      <c r="I113" s="872"/>
      <c r="J113" s="875"/>
      <c r="K113" s="867"/>
      <c r="L113" s="873"/>
      <c r="M113" s="872"/>
      <c r="N113" s="867"/>
      <c r="O113" s="872"/>
      <c r="P113" s="872"/>
      <c r="Q113" s="867"/>
      <c r="R113" s="875"/>
    </row>
    <row r="114" spans="1:18">
      <c r="A114" s="867"/>
      <c r="B114" s="867"/>
      <c r="C114" s="875"/>
      <c r="D114" s="875"/>
      <c r="E114" s="872"/>
      <c r="F114" s="872"/>
      <c r="G114" s="872"/>
      <c r="H114" s="895"/>
      <c r="I114" s="872"/>
      <c r="J114" s="875"/>
      <c r="K114" s="867"/>
      <c r="L114" s="873"/>
      <c r="M114" s="872"/>
      <c r="N114" s="867"/>
      <c r="O114" s="872"/>
      <c r="P114" s="872"/>
      <c r="Q114" s="867"/>
      <c r="R114" s="875"/>
    </row>
    <row r="115" spans="1:18">
      <c r="A115" s="867"/>
      <c r="B115" s="867"/>
      <c r="C115" s="875"/>
      <c r="D115" s="875"/>
      <c r="E115" s="872"/>
      <c r="F115" s="872"/>
      <c r="G115" s="872"/>
      <c r="H115" s="895"/>
      <c r="I115" s="872"/>
      <c r="J115" s="875"/>
      <c r="K115" s="867"/>
      <c r="L115" s="873"/>
      <c r="M115" s="872"/>
      <c r="N115" s="867"/>
      <c r="O115" s="872"/>
      <c r="P115" s="872"/>
      <c r="Q115" s="867"/>
      <c r="R115" s="875"/>
    </row>
    <row r="116" spans="1:18">
      <c r="A116" s="867"/>
      <c r="B116" s="867"/>
      <c r="C116" s="875"/>
      <c r="D116" s="875"/>
      <c r="E116" s="872"/>
      <c r="F116" s="872"/>
      <c r="G116" s="872"/>
      <c r="H116" s="895"/>
      <c r="I116" s="872"/>
      <c r="J116" s="875"/>
      <c r="K116" s="867"/>
      <c r="L116" s="873"/>
      <c r="M116" s="872"/>
      <c r="N116" s="867"/>
      <c r="O116" s="872"/>
      <c r="P116" s="872"/>
      <c r="Q116" s="867"/>
      <c r="R116" s="875"/>
    </row>
    <row r="117" spans="1:18">
      <c r="A117" s="867"/>
      <c r="B117" s="867"/>
      <c r="C117" s="875"/>
      <c r="D117" s="875"/>
      <c r="E117" s="872"/>
      <c r="F117" s="872"/>
      <c r="G117" s="872"/>
      <c r="H117" s="895"/>
      <c r="I117" s="872"/>
      <c r="J117" s="875"/>
      <c r="K117" s="867"/>
      <c r="L117" s="873"/>
      <c r="M117" s="872"/>
      <c r="N117" s="867"/>
      <c r="O117" s="872"/>
      <c r="P117" s="872"/>
      <c r="Q117" s="867"/>
      <c r="R117" s="875"/>
    </row>
    <row r="118" spans="1:18">
      <c r="A118" s="867"/>
      <c r="B118" s="867"/>
      <c r="C118" s="875"/>
      <c r="D118" s="875"/>
      <c r="E118" s="872"/>
      <c r="F118" s="872"/>
      <c r="G118" s="872"/>
      <c r="H118" s="895"/>
      <c r="I118" s="872"/>
      <c r="J118" s="875"/>
      <c r="K118" s="867"/>
      <c r="L118" s="873"/>
      <c r="M118" s="872"/>
      <c r="N118" s="867"/>
      <c r="O118" s="872"/>
      <c r="P118" s="872"/>
      <c r="Q118" s="867"/>
      <c r="R118" s="875"/>
    </row>
    <row r="119" spans="1:18">
      <c r="A119" s="867"/>
      <c r="B119" s="867"/>
      <c r="C119" s="875"/>
      <c r="D119" s="875"/>
      <c r="E119" s="872"/>
      <c r="F119" s="872"/>
      <c r="G119" s="872"/>
      <c r="H119" s="895"/>
      <c r="I119" s="872"/>
      <c r="J119" s="875"/>
      <c r="K119" s="867"/>
      <c r="L119" s="873"/>
      <c r="M119" s="872"/>
      <c r="N119" s="867"/>
      <c r="O119" s="872"/>
      <c r="P119" s="872"/>
      <c r="Q119" s="867"/>
      <c r="R119" s="875"/>
    </row>
    <row r="120" spans="1:18">
      <c r="A120" s="867"/>
      <c r="B120" s="867"/>
      <c r="C120" s="875"/>
      <c r="D120" s="875"/>
      <c r="E120" s="872"/>
      <c r="F120" s="872"/>
      <c r="G120" s="872"/>
      <c r="H120" s="895"/>
      <c r="I120" s="872"/>
      <c r="J120" s="875"/>
      <c r="K120" s="867"/>
      <c r="L120" s="873"/>
      <c r="M120" s="872"/>
      <c r="N120" s="867"/>
      <c r="O120" s="872"/>
      <c r="P120" s="872"/>
      <c r="Q120" s="867"/>
      <c r="R120" s="875"/>
    </row>
    <row r="121" spans="1:18">
      <c r="A121" s="867"/>
      <c r="B121" s="867"/>
      <c r="C121" s="875"/>
      <c r="D121" s="875"/>
      <c r="E121" s="872"/>
      <c r="F121" s="872"/>
      <c r="G121" s="872"/>
      <c r="H121" s="895"/>
      <c r="I121" s="872"/>
      <c r="J121" s="875"/>
      <c r="K121" s="867"/>
      <c r="L121" s="873"/>
      <c r="M121" s="872"/>
      <c r="N121" s="867"/>
      <c r="O121" s="872"/>
      <c r="P121" s="872"/>
      <c r="Q121" s="867"/>
      <c r="R121" s="875"/>
    </row>
    <row r="122" spans="1:18">
      <c r="A122" s="867"/>
      <c r="B122" s="867"/>
      <c r="C122" s="875"/>
      <c r="D122" s="875"/>
      <c r="E122" s="872"/>
      <c r="F122" s="872"/>
      <c r="G122" s="872"/>
      <c r="H122" s="895"/>
      <c r="I122" s="872"/>
      <c r="J122" s="875"/>
      <c r="K122" s="867"/>
      <c r="L122" s="873"/>
      <c r="M122" s="872"/>
      <c r="N122" s="867"/>
      <c r="O122" s="872"/>
      <c r="P122" s="872"/>
      <c r="Q122" s="867"/>
      <c r="R122" s="875"/>
    </row>
    <row r="123" spans="1:18">
      <c r="A123" s="867"/>
      <c r="B123" s="867"/>
      <c r="C123" s="875"/>
      <c r="D123" s="875"/>
      <c r="E123" s="872"/>
      <c r="F123" s="872"/>
      <c r="G123" s="872"/>
      <c r="H123" s="895"/>
      <c r="I123" s="872"/>
      <c r="J123" s="875"/>
      <c r="K123" s="867"/>
      <c r="L123" s="873"/>
      <c r="M123" s="872"/>
      <c r="N123" s="867"/>
      <c r="O123" s="872"/>
      <c r="P123" s="872"/>
      <c r="Q123" s="867"/>
      <c r="R123" s="875"/>
    </row>
    <row r="124" spans="1:18">
      <c r="A124" s="867"/>
      <c r="B124" s="867"/>
      <c r="C124" s="875"/>
      <c r="D124" s="875"/>
      <c r="E124" s="872"/>
      <c r="F124" s="872"/>
      <c r="G124" s="872"/>
      <c r="H124" s="895"/>
      <c r="I124" s="872"/>
      <c r="J124" s="875"/>
      <c r="K124" s="867"/>
      <c r="L124" s="873"/>
      <c r="M124" s="872"/>
      <c r="N124" s="867"/>
      <c r="O124" s="872"/>
      <c r="P124" s="872"/>
      <c r="Q124" s="867"/>
      <c r="R124" s="875"/>
    </row>
    <row r="125" spans="1:18">
      <c r="A125" s="867"/>
      <c r="B125" s="867"/>
      <c r="C125" s="875"/>
      <c r="D125" s="875"/>
      <c r="E125" s="872"/>
      <c r="F125" s="872"/>
      <c r="G125" s="872"/>
      <c r="H125" s="895"/>
      <c r="I125" s="872"/>
      <c r="J125" s="875"/>
      <c r="K125" s="867"/>
      <c r="L125" s="873"/>
      <c r="M125" s="872"/>
      <c r="N125" s="867"/>
      <c r="O125" s="872"/>
      <c r="P125" s="872"/>
      <c r="Q125" s="867"/>
      <c r="R125" s="875"/>
    </row>
    <row r="126" spans="1:18">
      <c r="A126" s="867"/>
      <c r="B126" s="867"/>
      <c r="C126" s="875"/>
      <c r="D126" s="875"/>
      <c r="E126" s="872"/>
      <c r="F126" s="872"/>
      <c r="G126" s="872"/>
      <c r="H126" s="895"/>
      <c r="I126" s="872"/>
      <c r="J126" s="875"/>
      <c r="K126" s="867"/>
      <c r="L126" s="873"/>
      <c r="M126" s="872"/>
      <c r="N126" s="867"/>
      <c r="O126" s="872"/>
      <c r="P126" s="872"/>
      <c r="Q126" s="867"/>
      <c r="R126" s="875"/>
    </row>
    <row r="127" spans="1:18">
      <c r="A127" s="867"/>
      <c r="B127" s="867"/>
      <c r="C127" s="875"/>
      <c r="D127" s="875"/>
      <c r="E127" s="872"/>
      <c r="F127" s="872"/>
      <c r="G127" s="872"/>
      <c r="H127" s="895"/>
      <c r="I127" s="872"/>
      <c r="J127" s="875"/>
      <c r="K127" s="867"/>
      <c r="L127" s="873"/>
      <c r="M127" s="872"/>
      <c r="N127" s="867"/>
      <c r="O127" s="872"/>
      <c r="P127" s="872"/>
      <c r="Q127" s="867"/>
      <c r="R127" s="875"/>
    </row>
    <row r="128" spans="1:18">
      <c r="A128" s="867"/>
      <c r="B128" s="867"/>
      <c r="C128" s="875"/>
      <c r="D128" s="875"/>
      <c r="E128" s="872"/>
      <c r="F128" s="872"/>
      <c r="G128" s="872"/>
      <c r="H128" s="895"/>
      <c r="I128" s="872"/>
      <c r="J128" s="875"/>
      <c r="K128" s="867"/>
      <c r="L128" s="873"/>
      <c r="M128" s="872"/>
      <c r="N128" s="867"/>
      <c r="O128" s="872"/>
      <c r="P128" s="872"/>
      <c r="Q128" s="867"/>
      <c r="R128" s="875"/>
    </row>
    <row r="129" spans="1:18">
      <c r="A129" s="867"/>
      <c r="B129" s="867"/>
      <c r="C129" s="875"/>
      <c r="D129" s="875"/>
      <c r="E129" s="872"/>
      <c r="F129" s="872"/>
      <c r="G129" s="872"/>
      <c r="H129" s="895"/>
      <c r="I129" s="872"/>
      <c r="J129" s="875"/>
      <c r="K129" s="867"/>
      <c r="L129" s="873"/>
      <c r="M129" s="872"/>
      <c r="N129" s="867"/>
      <c r="O129" s="872"/>
      <c r="P129" s="872"/>
      <c r="Q129" s="867"/>
      <c r="R129" s="875"/>
    </row>
    <row r="130" spans="1:18">
      <c r="A130" s="867"/>
      <c r="B130" s="867"/>
      <c r="C130" s="875"/>
      <c r="D130" s="875"/>
      <c r="E130" s="872"/>
      <c r="F130" s="872"/>
      <c r="G130" s="872"/>
      <c r="H130" s="895"/>
      <c r="I130" s="872"/>
      <c r="J130" s="875"/>
      <c r="K130" s="867"/>
      <c r="L130" s="873"/>
      <c r="M130" s="872"/>
      <c r="N130" s="867"/>
      <c r="O130" s="872"/>
      <c r="P130" s="872"/>
      <c r="Q130" s="867"/>
      <c r="R130" s="875"/>
    </row>
    <row r="131" spans="1:18">
      <c r="A131" s="867"/>
      <c r="B131" s="867"/>
      <c r="C131" s="875"/>
      <c r="D131" s="875"/>
      <c r="E131" s="872"/>
      <c r="F131" s="872"/>
      <c r="G131" s="872"/>
      <c r="H131" s="895"/>
      <c r="I131" s="872"/>
      <c r="J131" s="875"/>
      <c r="K131" s="867"/>
      <c r="L131" s="873"/>
      <c r="M131" s="872"/>
      <c r="N131" s="867"/>
      <c r="O131" s="872"/>
      <c r="P131" s="872"/>
      <c r="Q131" s="867"/>
      <c r="R131" s="875"/>
    </row>
    <row r="132" spans="1:18">
      <c r="A132" s="867"/>
      <c r="B132" s="867"/>
      <c r="C132" s="875"/>
      <c r="D132" s="875"/>
      <c r="E132" s="872"/>
      <c r="F132" s="872"/>
      <c r="G132" s="872"/>
      <c r="H132" s="895"/>
      <c r="I132" s="872"/>
      <c r="J132" s="875"/>
      <c r="K132" s="867"/>
      <c r="L132" s="873"/>
      <c r="M132" s="872"/>
      <c r="N132" s="867"/>
      <c r="O132" s="872"/>
      <c r="P132" s="872"/>
      <c r="Q132" s="867"/>
      <c r="R132" s="875"/>
    </row>
    <row r="133" spans="1:18">
      <c r="A133" s="867"/>
      <c r="B133" s="867"/>
      <c r="C133" s="875"/>
      <c r="D133" s="875"/>
      <c r="E133" s="872"/>
      <c r="F133" s="872"/>
      <c r="G133" s="872"/>
      <c r="H133" s="895"/>
      <c r="I133" s="872"/>
      <c r="J133" s="875"/>
      <c r="K133" s="867"/>
      <c r="L133" s="873"/>
      <c r="M133" s="872"/>
      <c r="N133" s="867"/>
      <c r="O133" s="872"/>
      <c r="P133" s="872"/>
      <c r="Q133" s="867"/>
      <c r="R133" s="875"/>
    </row>
    <row r="134" spans="1:18">
      <c r="A134" s="867"/>
      <c r="B134" s="867"/>
      <c r="C134" s="875"/>
      <c r="D134" s="875"/>
      <c r="E134" s="872"/>
      <c r="F134" s="872"/>
      <c r="G134" s="872"/>
      <c r="H134" s="895"/>
      <c r="I134" s="872"/>
      <c r="J134" s="875"/>
      <c r="K134" s="867"/>
      <c r="L134" s="873"/>
      <c r="M134" s="872"/>
      <c r="N134" s="867"/>
      <c r="O134" s="872"/>
      <c r="P134" s="872"/>
      <c r="Q134" s="867"/>
      <c r="R134" s="875"/>
    </row>
    <row r="135" spans="1:18">
      <c r="A135" s="867"/>
      <c r="B135" s="867"/>
      <c r="C135" s="875"/>
      <c r="D135" s="875"/>
      <c r="E135" s="872"/>
      <c r="F135" s="872"/>
      <c r="G135" s="872"/>
      <c r="H135" s="895"/>
      <c r="I135" s="872"/>
      <c r="J135" s="875"/>
      <c r="K135" s="867"/>
      <c r="L135" s="873"/>
      <c r="M135" s="872"/>
      <c r="N135" s="867"/>
      <c r="O135" s="872"/>
      <c r="P135" s="872"/>
      <c r="Q135" s="867"/>
      <c r="R135" s="875"/>
    </row>
    <row r="136" spans="1:18">
      <c r="A136" s="867"/>
      <c r="B136" s="867"/>
      <c r="C136" s="875"/>
      <c r="D136" s="875"/>
      <c r="E136" s="872"/>
      <c r="F136" s="872"/>
      <c r="G136" s="872"/>
      <c r="H136" s="895"/>
      <c r="I136" s="872"/>
      <c r="J136" s="875"/>
      <c r="K136" s="867"/>
      <c r="L136" s="873"/>
      <c r="M136" s="872"/>
      <c r="N136" s="867"/>
      <c r="O136" s="872"/>
      <c r="P136" s="872"/>
      <c r="Q136" s="867"/>
      <c r="R136" s="875"/>
    </row>
    <row r="137" spans="1:18">
      <c r="A137" s="867"/>
      <c r="B137" s="867"/>
      <c r="C137" s="875"/>
      <c r="D137" s="875"/>
      <c r="E137" s="872"/>
      <c r="F137" s="872"/>
      <c r="G137" s="872"/>
      <c r="H137" s="895"/>
      <c r="I137" s="872"/>
      <c r="J137" s="875"/>
      <c r="K137" s="867"/>
      <c r="L137" s="873"/>
      <c r="M137" s="872"/>
      <c r="N137" s="867"/>
      <c r="O137" s="872"/>
      <c r="P137" s="872"/>
      <c r="Q137" s="867"/>
      <c r="R137" s="875"/>
    </row>
    <row r="138" spans="1:18">
      <c r="A138" s="867"/>
      <c r="B138" s="867"/>
      <c r="C138" s="875"/>
      <c r="D138" s="875"/>
      <c r="E138" s="872"/>
      <c r="F138" s="872"/>
      <c r="G138" s="872"/>
      <c r="H138" s="895"/>
      <c r="I138" s="872"/>
      <c r="J138" s="875"/>
      <c r="K138" s="867"/>
      <c r="L138" s="873"/>
      <c r="M138" s="872"/>
      <c r="N138" s="867"/>
      <c r="O138" s="872"/>
      <c r="P138" s="872"/>
      <c r="Q138" s="867"/>
      <c r="R138" s="875"/>
    </row>
    <row r="139" spans="1:18">
      <c r="A139" s="867"/>
      <c r="B139" s="867"/>
      <c r="C139" s="875"/>
      <c r="D139" s="875"/>
      <c r="E139" s="872"/>
      <c r="F139" s="872"/>
      <c r="G139" s="872"/>
      <c r="H139" s="895"/>
      <c r="I139" s="872"/>
      <c r="J139" s="875"/>
      <c r="K139" s="867"/>
      <c r="L139" s="873"/>
      <c r="M139" s="872"/>
      <c r="N139" s="867"/>
      <c r="O139" s="872"/>
      <c r="P139" s="872"/>
      <c r="Q139" s="867"/>
      <c r="R139" s="875"/>
    </row>
    <row r="140" spans="1:18">
      <c r="A140" s="867"/>
      <c r="B140" s="867"/>
      <c r="C140" s="875"/>
      <c r="D140" s="875"/>
      <c r="E140" s="872"/>
      <c r="F140" s="872"/>
      <c r="G140" s="872"/>
      <c r="H140" s="895"/>
      <c r="I140" s="872"/>
      <c r="J140" s="875"/>
      <c r="K140" s="867"/>
      <c r="L140" s="873"/>
      <c r="M140" s="872"/>
      <c r="N140" s="867"/>
      <c r="O140" s="872"/>
      <c r="P140" s="872"/>
      <c r="Q140" s="867"/>
      <c r="R140" s="875"/>
    </row>
    <row r="141" spans="1:18">
      <c r="A141" s="867"/>
      <c r="B141" s="867"/>
      <c r="C141" s="875"/>
      <c r="D141" s="875"/>
      <c r="E141" s="872"/>
      <c r="F141" s="872"/>
      <c r="G141" s="872"/>
      <c r="H141" s="895"/>
      <c r="I141" s="872"/>
      <c r="J141" s="875"/>
      <c r="K141" s="867"/>
      <c r="L141" s="873"/>
      <c r="M141" s="872"/>
      <c r="N141" s="867"/>
      <c r="O141" s="872"/>
      <c r="P141" s="872"/>
      <c r="Q141" s="867"/>
      <c r="R141" s="875"/>
    </row>
    <row r="142" spans="1:18">
      <c r="A142" s="867"/>
      <c r="B142" s="867"/>
      <c r="C142" s="875"/>
      <c r="D142" s="875"/>
      <c r="E142" s="872"/>
      <c r="F142" s="872"/>
      <c r="G142" s="872"/>
      <c r="H142" s="895"/>
      <c r="I142" s="872"/>
      <c r="J142" s="875"/>
      <c r="K142" s="867"/>
      <c r="L142" s="873"/>
      <c r="M142" s="872"/>
      <c r="N142" s="867"/>
      <c r="O142" s="872"/>
      <c r="P142" s="872"/>
      <c r="Q142" s="867"/>
      <c r="R142" s="875"/>
    </row>
    <row r="143" spans="1:18">
      <c r="A143" s="867"/>
      <c r="B143" s="867"/>
      <c r="C143" s="875"/>
      <c r="D143" s="875"/>
      <c r="E143" s="872"/>
      <c r="F143" s="872"/>
      <c r="G143" s="872"/>
      <c r="H143" s="895"/>
      <c r="I143" s="872"/>
      <c r="J143" s="875"/>
      <c r="K143" s="867"/>
      <c r="L143" s="873"/>
      <c r="M143" s="872"/>
      <c r="N143" s="867"/>
      <c r="O143" s="872"/>
      <c r="P143" s="872"/>
      <c r="Q143" s="867"/>
      <c r="R143" s="875"/>
    </row>
    <row r="144" spans="1:18">
      <c r="A144" s="867"/>
      <c r="B144" s="867"/>
      <c r="C144" s="875"/>
      <c r="D144" s="875"/>
      <c r="E144" s="872"/>
      <c r="F144" s="872"/>
      <c r="G144" s="872"/>
      <c r="H144" s="895"/>
      <c r="I144" s="872"/>
      <c r="J144" s="875"/>
      <c r="K144" s="867"/>
      <c r="L144" s="873"/>
      <c r="M144" s="872"/>
      <c r="N144" s="867"/>
      <c r="O144" s="872"/>
      <c r="P144" s="872"/>
      <c r="Q144" s="867"/>
      <c r="R144" s="875"/>
    </row>
    <row r="145" spans="1:18">
      <c r="A145" s="867"/>
      <c r="B145" s="867"/>
      <c r="C145" s="875"/>
      <c r="D145" s="875"/>
      <c r="E145" s="872"/>
      <c r="F145" s="872"/>
      <c r="G145" s="872"/>
      <c r="H145" s="895"/>
      <c r="I145" s="872"/>
      <c r="J145" s="875"/>
      <c r="K145" s="867"/>
      <c r="L145" s="873"/>
      <c r="M145" s="872"/>
      <c r="N145" s="867"/>
      <c r="O145" s="872"/>
      <c r="P145" s="872"/>
      <c r="Q145" s="867"/>
      <c r="R145" s="875"/>
    </row>
    <row r="146" spans="1:18">
      <c r="A146" s="867"/>
      <c r="B146" s="867"/>
      <c r="C146" s="875"/>
      <c r="D146" s="875"/>
      <c r="E146" s="872"/>
      <c r="F146" s="872"/>
      <c r="G146" s="872"/>
      <c r="H146" s="895"/>
      <c r="I146" s="872"/>
      <c r="J146" s="875"/>
      <c r="K146" s="867"/>
      <c r="L146" s="873"/>
      <c r="M146" s="872"/>
      <c r="N146" s="867"/>
      <c r="O146" s="872"/>
      <c r="P146" s="872"/>
      <c r="Q146" s="867"/>
      <c r="R146" s="875"/>
    </row>
    <row r="147" spans="1:18">
      <c r="A147" s="867"/>
      <c r="B147" s="867"/>
      <c r="C147" s="875"/>
      <c r="D147" s="875"/>
      <c r="E147" s="872"/>
      <c r="F147" s="872"/>
      <c r="G147" s="872"/>
      <c r="H147" s="895"/>
      <c r="I147" s="872"/>
      <c r="J147" s="875"/>
      <c r="K147" s="867"/>
      <c r="L147" s="873"/>
      <c r="M147" s="872"/>
      <c r="N147" s="867"/>
      <c r="O147" s="872"/>
      <c r="P147" s="872"/>
      <c r="Q147" s="867"/>
      <c r="R147" s="875"/>
    </row>
    <row r="148" spans="1:18">
      <c r="A148" s="867"/>
      <c r="B148" s="867"/>
      <c r="C148" s="875"/>
      <c r="D148" s="875"/>
      <c r="E148" s="872"/>
      <c r="F148" s="872"/>
      <c r="G148" s="872"/>
      <c r="H148" s="895"/>
      <c r="I148" s="872"/>
      <c r="J148" s="875"/>
      <c r="K148" s="867"/>
      <c r="L148" s="873"/>
      <c r="M148" s="872"/>
      <c r="N148" s="867"/>
      <c r="O148" s="872"/>
      <c r="P148" s="872"/>
      <c r="Q148" s="867"/>
      <c r="R148" s="875"/>
    </row>
    <row r="149" spans="1:18">
      <c r="A149" s="867"/>
      <c r="B149" s="867"/>
      <c r="C149" s="875"/>
      <c r="D149" s="875"/>
      <c r="E149" s="872"/>
      <c r="F149" s="872"/>
      <c r="G149" s="872"/>
      <c r="H149" s="895"/>
      <c r="I149" s="872"/>
      <c r="J149" s="875"/>
      <c r="K149" s="867"/>
      <c r="L149" s="873"/>
      <c r="M149" s="872"/>
      <c r="N149" s="867"/>
      <c r="O149" s="872"/>
      <c r="P149" s="872"/>
      <c r="Q149" s="867"/>
      <c r="R149" s="875"/>
    </row>
    <row r="150" spans="1:18">
      <c r="A150" s="867"/>
      <c r="B150" s="867"/>
      <c r="C150" s="875"/>
      <c r="D150" s="875"/>
      <c r="E150" s="872"/>
      <c r="F150" s="872"/>
      <c r="G150" s="872"/>
      <c r="H150" s="895"/>
      <c r="I150" s="872"/>
      <c r="J150" s="875"/>
      <c r="K150" s="867"/>
      <c r="L150" s="873"/>
      <c r="M150" s="872"/>
      <c r="N150" s="867"/>
      <c r="O150" s="872"/>
      <c r="P150" s="872"/>
      <c r="Q150" s="867"/>
      <c r="R150" s="875"/>
    </row>
    <row r="151" spans="1:18">
      <c r="A151" s="867"/>
      <c r="B151" s="867"/>
      <c r="C151" s="875"/>
      <c r="D151" s="875"/>
      <c r="E151" s="872"/>
      <c r="F151" s="872"/>
      <c r="G151" s="872"/>
      <c r="H151" s="895"/>
      <c r="I151" s="872"/>
      <c r="J151" s="875"/>
      <c r="K151" s="867"/>
      <c r="L151" s="873"/>
      <c r="M151" s="872"/>
      <c r="N151" s="867"/>
      <c r="O151" s="872"/>
      <c r="P151" s="872"/>
      <c r="Q151" s="867"/>
      <c r="R151" s="875"/>
    </row>
    <row r="152" spans="1:18">
      <c r="A152" s="867"/>
      <c r="B152" s="867"/>
      <c r="C152" s="875"/>
      <c r="D152" s="875"/>
      <c r="E152" s="872"/>
      <c r="F152" s="872"/>
      <c r="G152" s="872"/>
      <c r="H152" s="895"/>
      <c r="I152" s="872"/>
      <c r="J152" s="875"/>
      <c r="K152" s="867"/>
      <c r="L152" s="873"/>
      <c r="M152" s="872"/>
      <c r="N152" s="867"/>
      <c r="O152" s="872"/>
      <c r="P152" s="872"/>
      <c r="Q152" s="867"/>
      <c r="R152" s="875"/>
    </row>
    <row r="153" spans="1:18">
      <c r="A153" s="867"/>
      <c r="B153" s="867"/>
      <c r="C153" s="875"/>
      <c r="D153" s="875"/>
      <c r="E153" s="872"/>
      <c r="F153" s="872"/>
      <c r="G153" s="872"/>
      <c r="H153" s="895"/>
      <c r="I153" s="872"/>
      <c r="J153" s="875"/>
      <c r="K153" s="867"/>
      <c r="L153" s="873"/>
      <c r="M153" s="872"/>
      <c r="N153" s="867"/>
      <c r="O153" s="872"/>
      <c r="P153" s="872"/>
      <c r="Q153" s="867"/>
      <c r="R153" s="875"/>
    </row>
    <row r="154" spans="1:18">
      <c r="A154" s="867"/>
      <c r="B154" s="867"/>
      <c r="C154" s="875"/>
      <c r="D154" s="875"/>
      <c r="E154" s="872"/>
      <c r="F154" s="872"/>
      <c r="G154" s="872"/>
      <c r="H154" s="895"/>
      <c r="I154" s="872"/>
      <c r="J154" s="875"/>
      <c r="K154" s="867"/>
      <c r="L154" s="873"/>
      <c r="M154" s="872"/>
      <c r="N154" s="867"/>
      <c r="O154" s="872"/>
      <c r="P154" s="872"/>
      <c r="Q154" s="867"/>
      <c r="R154" s="875"/>
    </row>
    <row r="155" spans="1:18">
      <c r="A155" s="867"/>
      <c r="B155" s="867"/>
      <c r="C155" s="875"/>
      <c r="D155" s="875"/>
      <c r="E155" s="872"/>
      <c r="F155" s="872"/>
      <c r="G155" s="872"/>
      <c r="H155" s="895"/>
      <c r="I155" s="872"/>
      <c r="J155" s="875"/>
      <c r="K155" s="867"/>
      <c r="L155" s="873"/>
      <c r="M155" s="872"/>
      <c r="N155" s="867"/>
      <c r="O155" s="872"/>
      <c r="P155" s="872"/>
      <c r="Q155" s="867"/>
      <c r="R155" s="875"/>
    </row>
    <row r="156" spans="1:18">
      <c r="A156" s="867"/>
      <c r="B156" s="867"/>
      <c r="C156" s="875"/>
      <c r="D156" s="875"/>
      <c r="E156" s="872"/>
      <c r="F156" s="872"/>
      <c r="G156" s="872"/>
      <c r="H156" s="895"/>
      <c r="I156" s="872"/>
      <c r="J156" s="875"/>
      <c r="K156" s="867"/>
      <c r="L156" s="873"/>
      <c r="M156" s="872"/>
      <c r="N156" s="867"/>
      <c r="O156" s="872"/>
      <c r="P156" s="872"/>
      <c r="Q156" s="867"/>
      <c r="R156" s="875"/>
    </row>
    <row r="157" spans="1:18">
      <c r="A157" s="867"/>
      <c r="B157" s="867"/>
      <c r="C157" s="875"/>
      <c r="D157" s="875"/>
      <c r="E157" s="872"/>
      <c r="F157" s="872"/>
      <c r="G157" s="872"/>
      <c r="H157" s="895"/>
      <c r="I157" s="872"/>
      <c r="J157" s="875"/>
      <c r="K157" s="867"/>
      <c r="L157" s="873"/>
      <c r="M157" s="872"/>
      <c r="N157" s="867"/>
      <c r="O157" s="872"/>
      <c r="P157" s="872"/>
      <c r="Q157" s="867"/>
      <c r="R157" s="875"/>
    </row>
    <row r="158" spans="1:18">
      <c r="A158" s="867"/>
      <c r="B158" s="867"/>
      <c r="C158" s="875"/>
      <c r="D158" s="875"/>
      <c r="E158" s="872"/>
      <c r="F158" s="872"/>
      <c r="G158" s="872"/>
      <c r="H158" s="895"/>
      <c r="I158" s="872"/>
      <c r="J158" s="875"/>
      <c r="K158" s="867"/>
      <c r="L158" s="873"/>
      <c r="M158" s="872"/>
      <c r="N158" s="867"/>
      <c r="O158" s="872"/>
      <c r="P158" s="872"/>
      <c r="Q158" s="867"/>
      <c r="R158" s="875"/>
    </row>
    <row r="159" spans="1:18">
      <c r="A159" s="867"/>
      <c r="B159" s="867"/>
      <c r="C159" s="875"/>
      <c r="D159" s="875"/>
      <c r="E159" s="872"/>
      <c r="F159" s="872"/>
      <c r="G159" s="872"/>
      <c r="H159" s="895"/>
      <c r="I159" s="872"/>
      <c r="J159" s="875"/>
      <c r="K159" s="867"/>
      <c r="L159" s="873"/>
      <c r="M159" s="872"/>
      <c r="N159" s="867"/>
      <c r="O159" s="872"/>
      <c r="P159" s="872"/>
      <c r="Q159" s="867"/>
      <c r="R159" s="875"/>
    </row>
    <row r="160" spans="1:18">
      <c r="A160" s="867"/>
      <c r="B160" s="867"/>
      <c r="C160" s="875"/>
      <c r="D160" s="875"/>
      <c r="E160" s="872"/>
      <c r="F160" s="872"/>
      <c r="G160" s="872"/>
      <c r="H160" s="895"/>
      <c r="I160" s="872"/>
      <c r="J160" s="875"/>
      <c r="K160" s="867"/>
      <c r="L160" s="873"/>
      <c r="M160" s="872"/>
      <c r="N160" s="867"/>
      <c r="O160" s="872"/>
      <c r="P160" s="872"/>
      <c r="Q160" s="867"/>
      <c r="R160" s="875"/>
    </row>
    <row r="161" spans="1:18">
      <c r="A161" s="867"/>
      <c r="B161" s="867"/>
      <c r="C161" s="875"/>
      <c r="D161" s="875"/>
      <c r="E161" s="872"/>
      <c r="F161" s="872"/>
      <c r="G161" s="872"/>
      <c r="H161" s="895"/>
      <c r="I161" s="872"/>
      <c r="J161" s="875"/>
      <c r="K161" s="867"/>
      <c r="L161" s="873"/>
      <c r="M161" s="872"/>
      <c r="N161" s="867"/>
      <c r="O161" s="872"/>
      <c r="P161" s="872"/>
      <c r="Q161" s="867"/>
      <c r="R161" s="875"/>
    </row>
    <row r="162" spans="1:18">
      <c r="A162" s="867"/>
      <c r="B162" s="867"/>
      <c r="C162" s="875"/>
      <c r="D162" s="875"/>
      <c r="E162" s="872"/>
      <c r="F162" s="872"/>
      <c r="G162" s="872"/>
      <c r="H162" s="895"/>
      <c r="I162" s="872"/>
      <c r="J162" s="875"/>
      <c r="K162" s="867"/>
      <c r="L162" s="873"/>
      <c r="M162" s="872"/>
      <c r="N162" s="867"/>
      <c r="O162" s="872"/>
      <c r="P162" s="872"/>
      <c r="Q162" s="867"/>
      <c r="R162" s="875"/>
    </row>
    <row r="163" spans="1:18">
      <c r="A163" s="867"/>
      <c r="B163" s="867"/>
      <c r="C163" s="875"/>
      <c r="D163" s="875"/>
      <c r="E163" s="872"/>
      <c r="F163" s="872"/>
      <c r="G163" s="872"/>
      <c r="H163" s="895"/>
      <c r="I163" s="872"/>
      <c r="J163" s="875"/>
      <c r="K163" s="867"/>
      <c r="L163" s="873"/>
      <c r="M163" s="872"/>
      <c r="N163" s="867"/>
      <c r="O163" s="872"/>
      <c r="P163" s="872"/>
      <c r="Q163" s="867"/>
      <c r="R163" s="875"/>
    </row>
    <row r="164" spans="1:18">
      <c r="A164" s="867"/>
      <c r="B164" s="867"/>
      <c r="C164" s="875"/>
      <c r="D164" s="875"/>
      <c r="E164" s="872"/>
      <c r="F164" s="872"/>
      <c r="G164" s="872"/>
      <c r="H164" s="895"/>
      <c r="I164" s="872"/>
      <c r="J164" s="875"/>
      <c r="K164" s="867"/>
      <c r="L164" s="873"/>
      <c r="M164" s="872"/>
      <c r="N164" s="867"/>
      <c r="O164" s="872"/>
      <c r="P164" s="872"/>
      <c r="Q164" s="867"/>
      <c r="R164" s="875"/>
    </row>
    <row r="165" spans="1:18">
      <c r="A165" s="867"/>
      <c r="B165" s="867"/>
      <c r="C165" s="875"/>
      <c r="D165" s="875"/>
      <c r="E165" s="872"/>
      <c r="F165" s="872"/>
      <c r="G165" s="872"/>
      <c r="H165" s="895"/>
      <c r="I165" s="872"/>
      <c r="J165" s="875"/>
      <c r="K165" s="867"/>
      <c r="L165" s="873"/>
      <c r="M165" s="872"/>
      <c r="N165" s="867"/>
      <c r="O165" s="872"/>
      <c r="P165" s="872"/>
      <c r="Q165" s="867"/>
      <c r="R165" s="875"/>
    </row>
    <row r="166" spans="1:18">
      <c r="A166" s="867"/>
      <c r="B166" s="867"/>
      <c r="C166" s="875"/>
      <c r="D166" s="875"/>
      <c r="E166" s="872"/>
      <c r="F166" s="872"/>
      <c r="G166" s="872"/>
      <c r="H166" s="895"/>
      <c r="I166" s="872"/>
      <c r="J166" s="875"/>
      <c r="K166" s="867"/>
      <c r="L166" s="873"/>
      <c r="M166" s="872"/>
      <c r="N166" s="867"/>
      <c r="O166" s="872"/>
      <c r="P166" s="872"/>
      <c r="Q166" s="867"/>
      <c r="R166" s="875"/>
    </row>
    <row r="167" spans="1:18">
      <c r="A167" s="867"/>
      <c r="B167" s="867"/>
      <c r="C167" s="875"/>
      <c r="D167" s="875"/>
      <c r="E167" s="872"/>
      <c r="F167" s="872"/>
      <c r="G167" s="872"/>
      <c r="H167" s="895"/>
      <c r="I167" s="872"/>
      <c r="J167" s="875"/>
      <c r="K167" s="867"/>
      <c r="L167" s="873"/>
      <c r="M167" s="872"/>
      <c r="N167" s="867"/>
      <c r="O167" s="872"/>
      <c r="P167" s="872"/>
      <c r="Q167" s="867"/>
      <c r="R167" s="875"/>
    </row>
    <row r="168" spans="1:18">
      <c r="A168" s="867"/>
      <c r="B168" s="867"/>
      <c r="C168" s="875"/>
      <c r="D168" s="875"/>
      <c r="E168" s="872"/>
      <c r="F168" s="872"/>
      <c r="G168" s="872"/>
      <c r="H168" s="895"/>
      <c r="I168" s="872"/>
      <c r="J168" s="875"/>
      <c r="K168" s="867"/>
      <c r="L168" s="873"/>
      <c r="M168" s="872"/>
      <c r="N168" s="867"/>
      <c r="O168" s="872"/>
      <c r="P168" s="872"/>
      <c r="Q168" s="867"/>
      <c r="R168" s="875"/>
    </row>
    <row r="169" spans="1:18">
      <c r="A169" s="867"/>
      <c r="B169" s="867"/>
      <c r="C169" s="875"/>
      <c r="D169" s="875"/>
      <c r="E169" s="872"/>
      <c r="F169" s="872"/>
      <c r="G169" s="872"/>
      <c r="H169" s="895"/>
      <c r="I169" s="872"/>
      <c r="J169" s="875"/>
      <c r="K169" s="867"/>
      <c r="L169" s="873"/>
      <c r="M169" s="872"/>
      <c r="N169" s="867"/>
      <c r="O169" s="872"/>
      <c r="P169" s="872"/>
      <c r="Q169" s="867"/>
      <c r="R169" s="875"/>
    </row>
    <row r="170" spans="1:18">
      <c r="A170" s="867"/>
      <c r="B170" s="867"/>
      <c r="C170" s="875"/>
      <c r="D170" s="875"/>
      <c r="E170" s="872"/>
      <c r="F170" s="872"/>
      <c r="G170" s="872"/>
      <c r="H170" s="895"/>
      <c r="I170" s="872"/>
      <c r="J170" s="875"/>
      <c r="K170" s="867"/>
      <c r="L170" s="873"/>
      <c r="M170" s="872"/>
      <c r="N170" s="867"/>
      <c r="O170" s="872"/>
      <c r="P170" s="872"/>
      <c r="Q170" s="867"/>
      <c r="R170" s="875"/>
    </row>
    <row r="171" spans="1:18">
      <c r="A171" s="867"/>
      <c r="B171" s="867"/>
      <c r="C171" s="875"/>
      <c r="D171" s="875"/>
      <c r="E171" s="872"/>
      <c r="F171" s="872"/>
      <c r="G171" s="872"/>
      <c r="H171" s="895"/>
      <c r="I171" s="872"/>
      <c r="J171" s="875"/>
      <c r="K171" s="867"/>
      <c r="L171" s="873"/>
      <c r="M171" s="872"/>
      <c r="N171" s="867"/>
      <c r="O171" s="872"/>
      <c r="P171" s="872"/>
      <c r="Q171" s="867"/>
      <c r="R171" s="875"/>
    </row>
    <row r="172" spans="1:18">
      <c r="A172" s="867"/>
      <c r="B172" s="867"/>
      <c r="C172" s="875"/>
      <c r="D172" s="875"/>
      <c r="E172" s="872"/>
      <c r="F172" s="872"/>
      <c r="G172" s="872"/>
      <c r="H172" s="895"/>
      <c r="I172" s="872"/>
      <c r="J172" s="875"/>
      <c r="K172" s="867"/>
      <c r="L172" s="873"/>
      <c r="M172" s="872"/>
      <c r="N172" s="867"/>
      <c r="O172" s="872"/>
      <c r="P172" s="872"/>
      <c r="Q172" s="867"/>
      <c r="R172" s="875"/>
    </row>
    <row r="173" spans="1:18">
      <c r="A173" s="867"/>
      <c r="B173" s="867"/>
      <c r="C173" s="875"/>
      <c r="D173" s="875"/>
      <c r="E173" s="872"/>
      <c r="F173" s="872"/>
      <c r="G173" s="872"/>
      <c r="H173" s="895"/>
      <c r="I173" s="872"/>
      <c r="J173" s="875"/>
      <c r="K173" s="867"/>
      <c r="L173" s="873"/>
      <c r="M173" s="872"/>
      <c r="N173" s="867"/>
      <c r="O173" s="872"/>
      <c r="P173" s="872"/>
      <c r="Q173" s="867"/>
      <c r="R173" s="875"/>
    </row>
    <row r="174" spans="1:18">
      <c r="A174" s="867"/>
      <c r="B174" s="867"/>
      <c r="C174" s="875"/>
      <c r="D174" s="875"/>
      <c r="E174" s="872"/>
      <c r="F174" s="872"/>
      <c r="G174" s="872"/>
      <c r="H174" s="895"/>
      <c r="I174" s="872"/>
      <c r="J174" s="875"/>
      <c r="K174" s="867"/>
      <c r="L174" s="873"/>
      <c r="M174" s="872"/>
      <c r="N174" s="867"/>
      <c r="O174" s="872"/>
      <c r="P174" s="872"/>
      <c r="Q174" s="867"/>
      <c r="R174" s="875"/>
    </row>
    <row r="175" spans="1:18">
      <c r="A175" s="867"/>
      <c r="B175" s="867"/>
      <c r="C175" s="875"/>
      <c r="D175" s="875"/>
      <c r="E175" s="872"/>
      <c r="F175" s="872"/>
      <c r="G175" s="872"/>
      <c r="H175" s="895"/>
      <c r="I175" s="872"/>
      <c r="J175" s="875"/>
      <c r="K175" s="867"/>
      <c r="L175" s="873"/>
      <c r="M175" s="872"/>
      <c r="N175" s="867"/>
      <c r="O175" s="872"/>
      <c r="P175" s="872"/>
      <c r="Q175" s="867"/>
      <c r="R175" s="875"/>
    </row>
    <row r="176" spans="1:18">
      <c r="A176" s="867"/>
      <c r="B176" s="867"/>
      <c r="C176" s="875"/>
      <c r="D176" s="875"/>
      <c r="E176" s="872"/>
      <c r="F176" s="872"/>
      <c r="G176" s="872"/>
      <c r="H176" s="895"/>
      <c r="I176" s="872"/>
      <c r="J176" s="875"/>
      <c r="K176" s="867"/>
      <c r="L176" s="873"/>
      <c r="M176" s="872"/>
      <c r="N176" s="867"/>
      <c r="O176" s="872"/>
      <c r="P176" s="872"/>
      <c r="Q176" s="867"/>
      <c r="R176" s="875"/>
    </row>
    <row r="177" spans="1:18">
      <c r="A177" s="867"/>
      <c r="B177" s="867"/>
      <c r="C177" s="875"/>
      <c r="D177" s="875"/>
      <c r="E177" s="872"/>
      <c r="F177" s="872"/>
      <c r="G177" s="872"/>
      <c r="H177" s="895"/>
      <c r="I177" s="872"/>
      <c r="J177" s="875"/>
      <c r="K177" s="867"/>
      <c r="L177" s="873"/>
      <c r="M177" s="872"/>
      <c r="N177" s="867"/>
      <c r="O177" s="872"/>
      <c r="P177" s="872"/>
      <c r="Q177" s="867"/>
      <c r="R177" s="875"/>
    </row>
    <row r="178" spans="1:18">
      <c r="A178" s="867"/>
      <c r="B178" s="867"/>
      <c r="C178" s="875"/>
      <c r="D178" s="875"/>
      <c r="E178" s="872"/>
      <c r="F178" s="872"/>
      <c r="G178" s="872"/>
      <c r="H178" s="895"/>
      <c r="I178" s="872"/>
      <c r="J178" s="875"/>
      <c r="K178" s="867"/>
      <c r="L178" s="873"/>
      <c r="M178" s="872"/>
      <c r="N178" s="867"/>
      <c r="O178" s="872"/>
      <c r="P178" s="872"/>
      <c r="Q178" s="867"/>
      <c r="R178" s="875"/>
    </row>
    <row r="179" spans="1:18">
      <c r="A179" s="867"/>
      <c r="B179" s="867"/>
      <c r="C179" s="875"/>
      <c r="D179" s="875"/>
      <c r="E179" s="872"/>
      <c r="F179" s="872"/>
      <c r="G179" s="872"/>
      <c r="H179" s="895"/>
      <c r="I179" s="872"/>
      <c r="J179" s="875"/>
      <c r="K179" s="867"/>
      <c r="L179" s="873"/>
      <c r="M179" s="872"/>
      <c r="N179" s="867"/>
      <c r="O179" s="872"/>
      <c r="P179" s="872"/>
      <c r="Q179" s="867"/>
      <c r="R179" s="875"/>
    </row>
    <row r="180" spans="1:18">
      <c r="A180" s="867"/>
      <c r="B180" s="867"/>
      <c r="C180" s="875"/>
      <c r="D180" s="875"/>
      <c r="E180" s="872"/>
      <c r="F180" s="872"/>
      <c r="G180" s="872"/>
      <c r="H180" s="895"/>
      <c r="I180" s="872"/>
      <c r="J180" s="875"/>
      <c r="K180" s="867"/>
      <c r="L180" s="873"/>
      <c r="M180" s="872"/>
      <c r="N180" s="867"/>
      <c r="O180" s="872"/>
      <c r="P180" s="872"/>
      <c r="Q180" s="867"/>
      <c r="R180" s="875"/>
    </row>
    <row r="181" spans="1:18">
      <c r="A181" s="867"/>
      <c r="B181" s="867"/>
      <c r="C181" s="875"/>
      <c r="D181" s="875"/>
      <c r="E181" s="872"/>
      <c r="F181" s="872"/>
      <c r="G181" s="872"/>
      <c r="H181" s="895"/>
      <c r="I181" s="872"/>
      <c r="J181" s="875"/>
      <c r="K181" s="867"/>
      <c r="L181" s="873"/>
      <c r="M181" s="872"/>
      <c r="N181" s="867"/>
      <c r="O181" s="872"/>
      <c r="P181" s="872"/>
      <c r="Q181" s="867"/>
      <c r="R181" s="875"/>
    </row>
    <row r="182" spans="1:18">
      <c r="A182" s="867"/>
      <c r="B182" s="867"/>
      <c r="C182" s="875"/>
      <c r="D182" s="875"/>
      <c r="E182" s="872"/>
      <c r="F182" s="872"/>
      <c r="G182" s="872"/>
      <c r="H182" s="895"/>
      <c r="I182" s="872"/>
      <c r="J182" s="875"/>
      <c r="K182" s="867"/>
      <c r="L182" s="873"/>
      <c r="M182" s="872"/>
      <c r="N182" s="867"/>
      <c r="O182" s="872"/>
      <c r="P182" s="872"/>
      <c r="Q182" s="867"/>
      <c r="R182" s="875"/>
    </row>
    <row r="183" spans="1:18">
      <c r="A183" s="867"/>
      <c r="B183" s="867"/>
      <c r="C183" s="875"/>
      <c r="D183" s="875"/>
      <c r="E183" s="872"/>
      <c r="F183" s="872"/>
      <c r="G183" s="872"/>
      <c r="H183" s="895"/>
      <c r="I183" s="872"/>
      <c r="J183" s="875"/>
      <c r="K183" s="867"/>
      <c r="L183" s="873"/>
      <c r="M183" s="872"/>
      <c r="N183" s="867"/>
      <c r="O183" s="872"/>
      <c r="P183" s="872"/>
      <c r="Q183" s="867"/>
      <c r="R183" s="875"/>
    </row>
    <row r="184" spans="1:18">
      <c r="A184" s="867"/>
      <c r="B184" s="867"/>
      <c r="C184" s="875"/>
      <c r="D184" s="875"/>
      <c r="E184" s="872"/>
      <c r="F184" s="872"/>
      <c r="G184" s="872"/>
      <c r="H184" s="895"/>
      <c r="I184" s="872"/>
      <c r="J184" s="875"/>
      <c r="K184" s="867"/>
      <c r="L184" s="873"/>
      <c r="M184" s="872"/>
      <c r="N184" s="867"/>
      <c r="O184" s="872"/>
      <c r="P184" s="872"/>
      <c r="Q184" s="867"/>
      <c r="R184" s="875"/>
    </row>
    <row r="185" spans="1:18">
      <c r="A185" s="867"/>
      <c r="B185" s="867"/>
      <c r="C185" s="875"/>
      <c r="D185" s="875"/>
      <c r="E185" s="872"/>
      <c r="F185" s="872"/>
      <c r="G185" s="872"/>
      <c r="H185" s="895"/>
      <c r="I185" s="872"/>
      <c r="J185" s="875"/>
      <c r="K185" s="867"/>
      <c r="L185" s="873"/>
      <c r="M185" s="872"/>
      <c r="N185" s="867"/>
      <c r="O185" s="872"/>
      <c r="P185" s="872"/>
      <c r="Q185" s="867"/>
      <c r="R185" s="875"/>
    </row>
    <row r="186" spans="1:18">
      <c r="A186" s="867"/>
      <c r="B186" s="867"/>
      <c r="C186" s="875"/>
      <c r="D186" s="875"/>
      <c r="E186" s="872"/>
      <c r="F186" s="872"/>
      <c r="G186" s="872"/>
      <c r="H186" s="895"/>
      <c r="I186" s="872"/>
      <c r="J186" s="875"/>
      <c r="K186" s="867"/>
      <c r="L186" s="873"/>
      <c r="M186" s="872"/>
      <c r="N186" s="867"/>
      <c r="O186" s="872"/>
      <c r="P186" s="872"/>
      <c r="Q186" s="867"/>
      <c r="R186" s="875"/>
    </row>
    <row r="187" spans="1:18">
      <c r="A187" s="867"/>
      <c r="B187" s="867"/>
      <c r="C187" s="875"/>
      <c r="D187" s="875"/>
      <c r="E187" s="872"/>
      <c r="F187" s="872"/>
      <c r="G187" s="872"/>
      <c r="H187" s="895"/>
      <c r="I187" s="872"/>
      <c r="J187" s="875"/>
      <c r="K187" s="867"/>
      <c r="L187" s="873"/>
      <c r="M187" s="872"/>
      <c r="N187" s="867"/>
      <c r="O187" s="872"/>
      <c r="P187" s="872"/>
      <c r="Q187" s="867"/>
      <c r="R187" s="875"/>
    </row>
    <row r="188" spans="1:18">
      <c r="A188" s="867"/>
      <c r="B188" s="867"/>
      <c r="C188" s="875"/>
      <c r="D188" s="875"/>
      <c r="E188" s="872"/>
      <c r="F188" s="872"/>
      <c r="G188" s="872"/>
      <c r="H188" s="895"/>
      <c r="I188" s="872"/>
      <c r="J188" s="875"/>
      <c r="K188" s="867"/>
      <c r="L188" s="873"/>
      <c r="M188" s="872"/>
      <c r="N188" s="867"/>
      <c r="O188" s="872"/>
      <c r="P188" s="872"/>
      <c r="Q188" s="867"/>
      <c r="R188" s="875"/>
    </row>
    <row r="189" spans="1:18">
      <c r="A189" s="867"/>
      <c r="B189" s="867"/>
      <c r="C189" s="875"/>
      <c r="D189" s="875"/>
      <c r="E189" s="872"/>
      <c r="F189" s="872"/>
      <c r="G189" s="872"/>
      <c r="H189" s="895"/>
      <c r="I189" s="872"/>
      <c r="J189" s="875"/>
      <c r="K189" s="867"/>
      <c r="L189" s="873"/>
      <c r="M189" s="872"/>
      <c r="N189" s="867"/>
      <c r="O189" s="872"/>
      <c r="P189" s="872"/>
      <c r="Q189" s="867"/>
      <c r="R189" s="875"/>
    </row>
    <row r="190" spans="1:18">
      <c r="A190" s="867"/>
      <c r="B190" s="867"/>
      <c r="C190" s="875"/>
      <c r="D190" s="875"/>
      <c r="E190" s="872"/>
      <c r="F190" s="872"/>
      <c r="G190" s="872"/>
      <c r="H190" s="895"/>
      <c r="I190" s="872"/>
      <c r="J190" s="875"/>
      <c r="K190" s="867"/>
      <c r="L190" s="873"/>
      <c r="M190" s="872"/>
      <c r="N190" s="867"/>
      <c r="O190" s="872"/>
      <c r="P190" s="872"/>
      <c r="Q190" s="867"/>
      <c r="R190" s="875"/>
    </row>
    <row r="191" spans="1:18">
      <c r="A191" s="867"/>
      <c r="B191" s="867"/>
      <c r="C191" s="875"/>
      <c r="D191" s="875"/>
      <c r="E191" s="872"/>
      <c r="F191" s="872"/>
      <c r="G191" s="872"/>
      <c r="H191" s="895"/>
      <c r="I191" s="872"/>
      <c r="J191" s="875"/>
      <c r="K191" s="867"/>
      <c r="L191" s="873"/>
      <c r="M191" s="872"/>
      <c r="N191" s="867"/>
      <c r="O191" s="872"/>
      <c r="P191" s="872"/>
      <c r="Q191" s="867"/>
      <c r="R191" s="875"/>
    </row>
    <row r="192" spans="1:18">
      <c r="A192" s="867"/>
      <c r="B192" s="867"/>
      <c r="C192" s="875"/>
      <c r="D192" s="875"/>
      <c r="E192" s="872"/>
      <c r="F192" s="872"/>
      <c r="G192" s="872"/>
      <c r="H192" s="895"/>
      <c r="I192" s="872"/>
      <c r="J192" s="875"/>
      <c r="K192" s="867"/>
      <c r="L192" s="873"/>
      <c r="M192" s="872"/>
      <c r="N192" s="867"/>
      <c r="O192" s="872"/>
      <c r="P192" s="872"/>
      <c r="Q192" s="867"/>
      <c r="R192" s="875"/>
    </row>
    <row r="193" spans="1:18">
      <c r="A193" s="867"/>
      <c r="B193" s="867"/>
      <c r="C193" s="875"/>
      <c r="D193" s="875"/>
      <c r="E193" s="872"/>
      <c r="F193" s="872"/>
      <c r="G193" s="872"/>
      <c r="H193" s="895"/>
      <c r="I193" s="872"/>
      <c r="J193" s="875"/>
      <c r="K193" s="867"/>
      <c r="L193" s="873"/>
      <c r="M193" s="872"/>
      <c r="N193" s="867"/>
      <c r="O193" s="872"/>
      <c r="P193" s="872"/>
      <c r="Q193" s="867"/>
      <c r="R193" s="875"/>
    </row>
    <row r="194" spans="1:18">
      <c r="A194" s="867"/>
      <c r="B194" s="867"/>
      <c r="C194" s="875"/>
      <c r="D194" s="875"/>
      <c r="E194" s="872"/>
      <c r="F194" s="872"/>
      <c r="G194" s="872"/>
      <c r="H194" s="895"/>
      <c r="I194" s="872"/>
      <c r="J194" s="875"/>
      <c r="K194" s="867"/>
      <c r="L194" s="873"/>
      <c r="M194" s="872"/>
      <c r="N194" s="867"/>
      <c r="O194" s="872"/>
      <c r="P194" s="872"/>
      <c r="Q194" s="867"/>
      <c r="R194" s="875"/>
    </row>
    <row r="195" spans="1:18">
      <c r="A195" s="867"/>
      <c r="B195" s="867"/>
      <c r="C195" s="875"/>
      <c r="D195" s="875"/>
      <c r="E195" s="872"/>
      <c r="F195" s="872"/>
      <c r="G195" s="872"/>
      <c r="H195" s="895"/>
      <c r="I195" s="872"/>
      <c r="J195" s="875"/>
      <c r="K195" s="867"/>
      <c r="L195" s="873"/>
      <c r="M195" s="872"/>
      <c r="N195" s="867"/>
      <c r="O195" s="872"/>
      <c r="P195" s="872"/>
      <c r="Q195" s="867"/>
      <c r="R195" s="875"/>
    </row>
    <row r="196" spans="1:18">
      <c r="A196" s="867"/>
      <c r="B196" s="867"/>
      <c r="C196" s="875"/>
      <c r="D196" s="875"/>
      <c r="E196" s="872"/>
      <c r="F196" s="872"/>
      <c r="G196" s="872"/>
      <c r="H196" s="895"/>
      <c r="I196" s="872"/>
      <c r="J196" s="875"/>
      <c r="K196" s="867"/>
      <c r="L196" s="873"/>
      <c r="M196" s="872"/>
      <c r="N196" s="867"/>
      <c r="O196" s="872"/>
      <c r="P196" s="872"/>
      <c r="Q196" s="867"/>
      <c r="R196" s="875"/>
    </row>
    <row r="197" spans="1:18">
      <c r="A197" s="867"/>
      <c r="B197" s="867"/>
      <c r="C197" s="875"/>
      <c r="D197" s="875"/>
      <c r="E197" s="872"/>
      <c r="F197" s="872"/>
      <c r="G197" s="872"/>
      <c r="H197" s="895"/>
      <c r="I197" s="872"/>
      <c r="J197" s="875"/>
      <c r="K197" s="867"/>
      <c r="L197" s="873"/>
      <c r="M197" s="872"/>
      <c r="N197" s="867"/>
      <c r="O197" s="872"/>
      <c r="P197" s="872"/>
      <c r="Q197" s="867"/>
      <c r="R197" s="875"/>
    </row>
    <row r="198" spans="1:18">
      <c r="A198" s="867"/>
      <c r="B198" s="867"/>
      <c r="C198" s="875"/>
      <c r="D198" s="875"/>
      <c r="E198" s="872"/>
      <c r="F198" s="872"/>
      <c r="G198" s="872"/>
      <c r="H198" s="895"/>
      <c r="I198" s="872"/>
      <c r="J198" s="875"/>
      <c r="K198" s="867"/>
      <c r="L198" s="873"/>
      <c r="M198" s="872"/>
      <c r="N198" s="867"/>
      <c r="O198" s="872"/>
      <c r="P198" s="872"/>
      <c r="Q198" s="867"/>
      <c r="R198" s="875"/>
    </row>
    <row r="199" spans="1:18">
      <c r="A199" s="867"/>
      <c r="B199" s="867"/>
      <c r="C199" s="875"/>
      <c r="D199" s="875"/>
      <c r="E199" s="872"/>
      <c r="F199" s="872"/>
      <c r="G199" s="872"/>
      <c r="H199" s="895"/>
      <c r="I199" s="872"/>
      <c r="J199" s="875"/>
      <c r="K199" s="867"/>
      <c r="L199" s="873"/>
      <c r="M199" s="872"/>
      <c r="N199" s="867"/>
      <c r="O199" s="872"/>
      <c r="P199" s="872"/>
      <c r="Q199" s="867"/>
      <c r="R199" s="875"/>
    </row>
    <row r="200" spans="1:18">
      <c r="A200" s="867"/>
      <c r="B200" s="867"/>
      <c r="C200" s="875"/>
      <c r="D200" s="875"/>
      <c r="E200" s="872"/>
      <c r="F200" s="872"/>
      <c r="G200" s="872"/>
      <c r="H200" s="895"/>
      <c r="I200" s="872"/>
      <c r="J200" s="875"/>
      <c r="K200" s="867"/>
      <c r="L200" s="873"/>
      <c r="M200" s="872"/>
      <c r="N200" s="867"/>
      <c r="O200" s="872"/>
      <c r="P200" s="872"/>
      <c r="Q200" s="867"/>
      <c r="R200" s="875"/>
    </row>
    <row r="201" spans="1:18">
      <c r="A201" s="867"/>
      <c r="B201" s="867"/>
      <c r="C201" s="875"/>
      <c r="D201" s="875"/>
      <c r="E201" s="872"/>
      <c r="F201" s="872"/>
      <c r="G201" s="872"/>
      <c r="H201" s="895"/>
      <c r="I201" s="872"/>
      <c r="J201" s="875"/>
      <c r="K201" s="867"/>
      <c r="L201" s="873"/>
      <c r="M201" s="872"/>
      <c r="N201" s="867"/>
      <c r="O201" s="872"/>
      <c r="P201" s="872"/>
      <c r="Q201" s="867"/>
      <c r="R201" s="875"/>
    </row>
    <row r="202" spans="1:18">
      <c r="A202" s="867"/>
      <c r="B202" s="867"/>
      <c r="C202" s="875"/>
      <c r="D202" s="875"/>
      <c r="E202" s="872"/>
      <c r="F202" s="872"/>
      <c r="G202" s="872"/>
      <c r="H202" s="895"/>
      <c r="I202" s="872"/>
      <c r="J202" s="875"/>
      <c r="K202" s="867"/>
      <c r="L202" s="873"/>
      <c r="M202" s="872"/>
      <c r="N202" s="867"/>
      <c r="O202" s="872"/>
      <c r="P202" s="872"/>
      <c r="Q202" s="867"/>
      <c r="R202" s="875"/>
    </row>
    <row r="203" spans="1:18">
      <c r="A203" s="867"/>
      <c r="B203" s="867"/>
      <c r="C203" s="875"/>
      <c r="D203" s="875"/>
      <c r="E203" s="872"/>
      <c r="F203" s="872"/>
      <c r="G203" s="872"/>
      <c r="H203" s="895"/>
      <c r="I203" s="872"/>
      <c r="J203" s="875"/>
      <c r="K203" s="867"/>
      <c r="L203" s="873"/>
      <c r="M203" s="872"/>
      <c r="N203" s="867"/>
      <c r="O203" s="872"/>
      <c r="P203" s="872"/>
      <c r="Q203" s="867"/>
      <c r="R203" s="875"/>
    </row>
    <row r="204" spans="1:18">
      <c r="A204" s="867"/>
      <c r="B204" s="867"/>
      <c r="C204" s="875"/>
      <c r="D204" s="875"/>
      <c r="E204" s="872"/>
      <c r="F204" s="872"/>
      <c r="G204" s="872"/>
      <c r="H204" s="895"/>
      <c r="I204" s="872"/>
      <c r="J204" s="875"/>
      <c r="K204" s="867"/>
      <c r="L204" s="873"/>
      <c r="M204" s="872"/>
      <c r="N204" s="867"/>
      <c r="O204" s="872"/>
      <c r="P204" s="872"/>
      <c r="Q204" s="867"/>
      <c r="R204" s="875"/>
    </row>
    <row r="205" spans="1:18">
      <c r="A205" s="867"/>
      <c r="B205" s="867"/>
      <c r="C205" s="875"/>
      <c r="D205" s="875"/>
      <c r="E205" s="872"/>
      <c r="F205" s="872"/>
      <c r="G205" s="872"/>
      <c r="H205" s="895"/>
      <c r="I205" s="872"/>
      <c r="J205" s="875"/>
      <c r="K205" s="867"/>
      <c r="L205" s="873"/>
      <c r="M205" s="872"/>
      <c r="N205" s="867"/>
      <c r="O205" s="872"/>
      <c r="P205" s="872"/>
      <c r="Q205" s="867"/>
      <c r="R205" s="875"/>
    </row>
    <row r="206" spans="1:18">
      <c r="A206" s="867"/>
      <c r="B206" s="867"/>
      <c r="C206" s="875"/>
      <c r="D206" s="875"/>
      <c r="E206" s="872"/>
      <c r="F206" s="872"/>
      <c r="G206" s="872"/>
      <c r="H206" s="895"/>
      <c r="I206" s="872"/>
      <c r="J206" s="875"/>
      <c r="K206" s="867"/>
      <c r="L206" s="873"/>
      <c r="M206" s="872"/>
      <c r="N206" s="867"/>
      <c r="O206" s="872"/>
      <c r="P206" s="872"/>
      <c r="Q206" s="867"/>
      <c r="R206" s="875"/>
    </row>
    <row r="207" spans="1:18">
      <c r="A207" s="867"/>
      <c r="B207" s="867"/>
      <c r="C207" s="875"/>
      <c r="D207" s="875"/>
      <c r="E207" s="872"/>
      <c r="F207" s="872"/>
      <c r="G207" s="872"/>
      <c r="H207" s="895"/>
      <c r="I207" s="872"/>
      <c r="J207" s="875"/>
      <c r="K207" s="867"/>
      <c r="L207" s="873"/>
      <c r="M207" s="872"/>
      <c r="N207" s="867"/>
      <c r="O207" s="872"/>
      <c r="P207" s="872"/>
      <c r="Q207" s="867"/>
      <c r="R207" s="875"/>
    </row>
    <row r="208" spans="1:18">
      <c r="A208" s="867"/>
      <c r="B208" s="867"/>
      <c r="C208" s="875"/>
      <c r="D208" s="875"/>
      <c r="E208" s="872"/>
      <c r="F208" s="872"/>
      <c r="G208" s="872"/>
      <c r="H208" s="895"/>
      <c r="I208" s="872"/>
      <c r="J208" s="875"/>
      <c r="K208" s="867"/>
      <c r="L208" s="873"/>
      <c r="M208" s="872"/>
      <c r="N208" s="867"/>
      <c r="O208" s="872"/>
      <c r="P208" s="872"/>
      <c r="Q208" s="867"/>
      <c r="R208" s="875"/>
    </row>
    <row r="209" spans="1:18">
      <c r="A209" s="867"/>
      <c r="B209" s="867"/>
      <c r="C209" s="875"/>
      <c r="D209" s="875"/>
      <c r="E209" s="872"/>
      <c r="F209" s="872"/>
      <c r="G209" s="872"/>
      <c r="H209" s="895"/>
      <c r="I209" s="872"/>
      <c r="J209" s="875"/>
      <c r="K209" s="867"/>
      <c r="L209" s="873"/>
      <c r="M209" s="872"/>
      <c r="N209" s="867"/>
      <c r="O209" s="872"/>
      <c r="P209" s="872"/>
      <c r="Q209" s="867"/>
      <c r="R209" s="875"/>
    </row>
    <row r="210" spans="1:18">
      <c r="A210" s="867"/>
      <c r="B210" s="867"/>
      <c r="C210" s="875"/>
      <c r="D210" s="875"/>
      <c r="E210" s="872"/>
      <c r="F210" s="872"/>
      <c r="G210" s="872"/>
      <c r="H210" s="895"/>
      <c r="I210" s="872"/>
      <c r="J210" s="875"/>
      <c r="K210" s="867"/>
      <c r="L210" s="873"/>
      <c r="M210" s="872"/>
      <c r="N210" s="867"/>
      <c r="O210" s="872"/>
      <c r="P210" s="872"/>
      <c r="Q210" s="867"/>
      <c r="R210" s="875"/>
    </row>
    <row r="211" spans="1:18">
      <c r="A211" s="867"/>
      <c r="B211" s="867"/>
      <c r="C211" s="875"/>
      <c r="D211" s="875"/>
      <c r="E211" s="872"/>
      <c r="F211" s="872"/>
      <c r="G211" s="872"/>
      <c r="H211" s="895"/>
      <c r="I211" s="872"/>
      <c r="J211" s="875"/>
      <c r="K211" s="867"/>
      <c r="L211" s="873"/>
      <c r="M211" s="872"/>
      <c r="N211" s="867"/>
      <c r="O211" s="872"/>
      <c r="P211" s="872"/>
      <c r="Q211" s="867"/>
      <c r="R211" s="875"/>
    </row>
    <row r="212" spans="1:18">
      <c r="A212" s="867"/>
      <c r="B212" s="867"/>
      <c r="C212" s="875"/>
      <c r="D212" s="875"/>
      <c r="E212" s="872"/>
      <c r="F212" s="872"/>
      <c r="G212" s="872"/>
      <c r="H212" s="895"/>
      <c r="I212" s="872"/>
      <c r="J212" s="875"/>
      <c r="K212" s="867"/>
      <c r="L212" s="873"/>
      <c r="M212" s="872"/>
      <c r="N212" s="867"/>
      <c r="O212" s="872"/>
      <c r="P212" s="872"/>
      <c r="Q212" s="867"/>
      <c r="R212" s="875"/>
    </row>
    <row r="213" spans="1:18">
      <c r="A213" s="867"/>
      <c r="B213" s="867"/>
      <c r="C213" s="875"/>
      <c r="D213" s="875"/>
      <c r="E213" s="872"/>
      <c r="F213" s="872"/>
      <c r="G213" s="872"/>
      <c r="H213" s="895"/>
      <c r="I213" s="872"/>
      <c r="J213" s="875"/>
      <c r="K213" s="867"/>
      <c r="L213" s="873"/>
      <c r="M213" s="872"/>
      <c r="N213" s="867"/>
      <c r="O213" s="872"/>
      <c r="P213" s="872"/>
      <c r="Q213" s="867"/>
      <c r="R213" s="875"/>
    </row>
    <row r="214" spans="1:18">
      <c r="A214" s="867"/>
      <c r="B214" s="867"/>
      <c r="C214" s="875"/>
      <c r="D214" s="875"/>
      <c r="E214" s="872"/>
      <c r="F214" s="872"/>
      <c r="G214" s="872"/>
      <c r="H214" s="895"/>
      <c r="I214" s="872"/>
      <c r="J214" s="875"/>
      <c r="K214" s="867"/>
      <c r="L214" s="873"/>
      <c r="M214" s="872"/>
      <c r="N214" s="867"/>
      <c r="O214" s="872"/>
      <c r="P214" s="872"/>
      <c r="Q214" s="867"/>
      <c r="R214" s="875"/>
    </row>
    <row r="215" spans="1:18">
      <c r="A215" s="867"/>
      <c r="B215" s="867"/>
      <c r="C215" s="875"/>
      <c r="D215" s="875"/>
      <c r="E215" s="872"/>
      <c r="F215" s="872"/>
      <c r="G215" s="872"/>
      <c r="H215" s="895"/>
      <c r="I215" s="872"/>
      <c r="J215" s="875"/>
      <c r="K215" s="867"/>
      <c r="L215" s="873"/>
      <c r="M215" s="872"/>
      <c r="N215" s="867"/>
      <c r="O215" s="872"/>
      <c r="P215" s="872"/>
      <c r="Q215" s="867"/>
      <c r="R215" s="875"/>
    </row>
    <row r="216" spans="1:18">
      <c r="A216" s="867"/>
      <c r="B216" s="867"/>
      <c r="C216" s="875"/>
      <c r="D216" s="875"/>
      <c r="E216" s="872"/>
      <c r="F216" s="872"/>
      <c r="G216" s="872"/>
      <c r="H216" s="895"/>
      <c r="I216" s="872"/>
      <c r="J216" s="875"/>
      <c r="K216" s="867"/>
      <c r="L216" s="873"/>
      <c r="M216" s="872"/>
      <c r="N216" s="867"/>
      <c r="O216" s="872"/>
      <c r="P216" s="872"/>
      <c r="Q216" s="867"/>
      <c r="R216" s="875"/>
    </row>
    <row r="217" spans="1:18">
      <c r="A217" s="867"/>
      <c r="B217" s="867"/>
      <c r="C217" s="875"/>
      <c r="D217" s="875"/>
      <c r="E217" s="872"/>
      <c r="F217" s="872"/>
      <c r="G217" s="872"/>
      <c r="H217" s="895"/>
      <c r="I217" s="872"/>
      <c r="J217" s="875"/>
      <c r="K217" s="867"/>
      <c r="L217" s="873"/>
      <c r="M217" s="872"/>
      <c r="N217" s="867"/>
      <c r="O217" s="872"/>
      <c r="P217" s="872"/>
      <c r="Q217" s="867"/>
      <c r="R217" s="875"/>
    </row>
    <row r="218" spans="1:18">
      <c r="A218" s="867"/>
      <c r="B218" s="867"/>
      <c r="C218" s="875"/>
      <c r="D218" s="875"/>
      <c r="E218" s="872"/>
      <c r="F218" s="872"/>
      <c r="G218" s="872"/>
      <c r="H218" s="895"/>
      <c r="I218" s="872"/>
      <c r="J218" s="875"/>
      <c r="K218" s="867"/>
      <c r="L218" s="873"/>
      <c r="M218" s="872"/>
      <c r="N218" s="867"/>
      <c r="O218" s="872"/>
      <c r="P218" s="872"/>
      <c r="Q218" s="867"/>
      <c r="R218" s="875"/>
    </row>
    <row r="219" spans="1:18">
      <c r="A219" s="867"/>
      <c r="B219" s="867"/>
      <c r="C219" s="875"/>
      <c r="D219" s="875"/>
      <c r="E219" s="872"/>
      <c r="F219" s="872"/>
      <c r="G219" s="872"/>
      <c r="H219" s="895"/>
      <c r="I219" s="872"/>
      <c r="J219" s="875"/>
      <c r="K219" s="867"/>
      <c r="L219" s="873"/>
      <c r="M219" s="872"/>
      <c r="N219" s="867"/>
      <c r="O219" s="872"/>
      <c r="P219" s="872"/>
      <c r="Q219" s="867"/>
      <c r="R219" s="875"/>
    </row>
    <row r="220" spans="1:18">
      <c r="A220" s="867"/>
      <c r="B220" s="867"/>
      <c r="C220" s="875"/>
      <c r="D220" s="875"/>
      <c r="E220" s="872"/>
      <c r="F220" s="872"/>
      <c r="G220" s="872"/>
      <c r="H220" s="895"/>
      <c r="I220" s="872"/>
      <c r="J220" s="875"/>
      <c r="K220" s="867"/>
      <c r="L220" s="873"/>
      <c r="M220" s="872"/>
      <c r="N220" s="867"/>
      <c r="O220" s="872"/>
      <c r="P220" s="872"/>
      <c r="Q220" s="867"/>
      <c r="R220" s="875"/>
    </row>
    <row r="221" spans="1:18">
      <c r="A221" s="867"/>
      <c r="B221" s="867"/>
      <c r="C221" s="875"/>
      <c r="D221" s="875"/>
      <c r="E221" s="872"/>
      <c r="F221" s="872"/>
      <c r="G221" s="872"/>
      <c r="H221" s="895"/>
      <c r="I221" s="872"/>
      <c r="J221" s="875"/>
      <c r="K221" s="867"/>
      <c r="L221" s="873"/>
      <c r="M221" s="872"/>
      <c r="N221" s="867"/>
      <c r="O221" s="872"/>
      <c r="P221" s="872"/>
      <c r="Q221" s="867"/>
      <c r="R221" s="875"/>
    </row>
    <row r="222" spans="1:18">
      <c r="A222" s="867"/>
      <c r="B222" s="867"/>
      <c r="C222" s="875"/>
      <c r="D222" s="875"/>
      <c r="E222" s="872"/>
      <c r="F222" s="872"/>
      <c r="G222" s="872"/>
      <c r="H222" s="895"/>
      <c r="I222" s="872"/>
      <c r="J222" s="875"/>
      <c r="K222" s="867"/>
      <c r="L222" s="873"/>
      <c r="M222" s="872"/>
      <c r="N222" s="867"/>
      <c r="O222" s="872"/>
      <c r="P222" s="872"/>
      <c r="Q222" s="867"/>
      <c r="R222" s="875"/>
    </row>
    <row r="223" spans="1:18">
      <c r="A223" s="867"/>
      <c r="B223" s="867"/>
      <c r="C223" s="875"/>
      <c r="D223" s="875"/>
      <c r="E223" s="872"/>
      <c r="F223" s="872"/>
      <c r="G223" s="872"/>
      <c r="H223" s="895"/>
      <c r="I223" s="872"/>
      <c r="J223" s="875"/>
      <c r="K223" s="867"/>
      <c r="L223" s="873"/>
      <c r="M223" s="872"/>
      <c r="N223" s="867"/>
      <c r="O223" s="872"/>
      <c r="P223" s="872"/>
      <c r="Q223" s="867"/>
      <c r="R223" s="875"/>
    </row>
    <row r="224" spans="1:18">
      <c r="A224" s="867"/>
      <c r="B224" s="867"/>
      <c r="C224" s="875"/>
      <c r="D224" s="875"/>
      <c r="E224" s="872"/>
      <c r="F224" s="872"/>
      <c r="G224" s="872"/>
      <c r="H224" s="895"/>
      <c r="I224" s="872"/>
      <c r="J224" s="875"/>
      <c r="K224" s="867"/>
      <c r="L224" s="873"/>
      <c r="M224" s="872"/>
      <c r="N224" s="867"/>
      <c r="O224" s="872"/>
      <c r="P224" s="872"/>
      <c r="Q224" s="867"/>
      <c r="R224" s="875"/>
    </row>
    <row r="225" spans="1:18">
      <c r="A225" s="867"/>
      <c r="B225" s="867"/>
      <c r="C225" s="875"/>
      <c r="D225" s="875"/>
      <c r="E225" s="872"/>
      <c r="F225" s="872"/>
      <c r="G225" s="872"/>
      <c r="H225" s="895"/>
      <c r="I225" s="872"/>
      <c r="J225" s="875"/>
      <c r="K225" s="867"/>
      <c r="L225" s="873"/>
      <c r="M225" s="872"/>
      <c r="N225" s="867"/>
      <c r="O225" s="872"/>
      <c r="P225" s="872"/>
      <c r="Q225" s="867"/>
      <c r="R225" s="875"/>
    </row>
    <row r="226" spans="1:18">
      <c r="A226" s="867"/>
      <c r="B226" s="867"/>
      <c r="C226" s="875"/>
      <c r="D226" s="875"/>
      <c r="E226" s="872"/>
      <c r="F226" s="872"/>
      <c r="G226" s="872"/>
      <c r="H226" s="895"/>
      <c r="I226" s="872"/>
      <c r="J226" s="875"/>
      <c r="K226" s="867"/>
      <c r="L226" s="873"/>
      <c r="M226" s="872"/>
      <c r="N226" s="867"/>
      <c r="O226" s="872"/>
      <c r="P226" s="872"/>
      <c r="Q226" s="867"/>
      <c r="R226" s="875"/>
    </row>
    <row r="227" spans="1:18">
      <c r="A227" s="867"/>
      <c r="B227" s="867"/>
      <c r="C227" s="875"/>
      <c r="D227" s="875"/>
      <c r="E227" s="872"/>
      <c r="F227" s="872"/>
      <c r="G227" s="872"/>
      <c r="H227" s="895"/>
      <c r="I227" s="872"/>
      <c r="J227" s="875"/>
      <c r="K227" s="867"/>
      <c r="L227" s="873"/>
      <c r="M227" s="872"/>
      <c r="N227" s="867"/>
      <c r="O227" s="872"/>
      <c r="P227" s="872"/>
      <c r="Q227" s="867"/>
      <c r="R227" s="875"/>
    </row>
    <row r="228" spans="1:18">
      <c r="A228" s="867"/>
      <c r="B228" s="867"/>
      <c r="C228" s="875"/>
      <c r="D228" s="875"/>
      <c r="E228" s="872"/>
      <c r="F228" s="872"/>
      <c r="G228" s="872"/>
      <c r="H228" s="895"/>
      <c r="I228" s="872"/>
      <c r="J228" s="875"/>
      <c r="K228" s="867"/>
      <c r="L228" s="873"/>
      <c r="M228" s="872"/>
      <c r="N228" s="867"/>
      <c r="O228" s="872"/>
      <c r="P228" s="872"/>
      <c r="Q228" s="867"/>
      <c r="R228" s="875"/>
    </row>
    <row r="229" spans="1:18">
      <c r="A229" s="867"/>
      <c r="B229" s="867"/>
      <c r="C229" s="875"/>
      <c r="D229" s="875"/>
      <c r="E229" s="872"/>
      <c r="F229" s="872"/>
      <c r="G229" s="872"/>
      <c r="H229" s="895"/>
      <c r="I229" s="872"/>
      <c r="J229" s="875"/>
      <c r="K229" s="867"/>
      <c r="L229" s="873"/>
      <c r="M229" s="872"/>
      <c r="N229" s="867"/>
      <c r="O229" s="872"/>
      <c r="P229" s="872"/>
      <c r="Q229" s="867"/>
      <c r="R229" s="875"/>
    </row>
    <row r="230" spans="1:18">
      <c r="A230" s="867"/>
      <c r="B230" s="867"/>
      <c r="C230" s="875"/>
      <c r="D230" s="875"/>
      <c r="E230" s="872"/>
      <c r="F230" s="872"/>
      <c r="G230" s="872"/>
      <c r="H230" s="895"/>
      <c r="I230" s="872"/>
      <c r="J230" s="875"/>
      <c r="K230" s="867"/>
      <c r="L230" s="873"/>
      <c r="M230" s="872"/>
      <c r="N230" s="867"/>
      <c r="O230" s="872"/>
      <c r="P230" s="872"/>
      <c r="Q230" s="867"/>
      <c r="R230" s="875"/>
    </row>
    <row r="231" spans="1:18">
      <c r="A231" s="867"/>
      <c r="B231" s="867"/>
      <c r="C231" s="875"/>
      <c r="D231" s="875"/>
      <c r="E231" s="872"/>
      <c r="F231" s="872"/>
      <c r="G231" s="872"/>
      <c r="H231" s="895"/>
      <c r="I231" s="872"/>
      <c r="J231" s="875"/>
      <c r="K231" s="867"/>
      <c r="L231" s="873"/>
      <c r="M231" s="872"/>
      <c r="N231" s="867"/>
      <c r="O231" s="872"/>
      <c r="P231" s="872"/>
      <c r="Q231" s="867"/>
      <c r="R231" s="875"/>
    </row>
    <row r="232" spans="1:18">
      <c r="A232" s="867"/>
      <c r="B232" s="867"/>
      <c r="C232" s="875"/>
      <c r="D232" s="875"/>
      <c r="E232" s="872"/>
      <c r="F232" s="872"/>
      <c r="G232" s="872"/>
      <c r="H232" s="895"/>
      <c r="I232" s="872"/>
      <c r="J232" s="875"/>
      <c r="K232" s="867"/>
      <c r="L232" s="873"/>
      <c r="M232" s="872"/>
      <c r="N232" s="867"/>
      <c r="O232" s="872"/>
      <c r="P232" s="872"/>
      <c r="Q232" s="867"/>
      <c r="R232" s="875"/>
    </row>
    <row r="233" spans="1:18">
      <c r="A233" s="867"/>
      <c r="B233" s="867"/>
      <c r="C233" s="875"/>
      <c r="D233" s="875"/>
      <c r="E233" s="872"/>
      <c r="F233" s="872"/>
      <c r="G233" s="872"/>
      <c r="H233" s="895"/>
      <c r="I233" s="872"/>
      <c r="J233" s="875"/>
      <c r="K233" s="867"/>
      <c r="L233" s="873"/>
      <c r="M233" s="872"/>
      <c r="N233" s="867"/>
      <c r="O233" s="872"/>
      <c r="P233" s="872"/>
      <c r="Q233" s="867"/>
      <c r="R233" s="875"/>
    </row>
    <row r="234" spans="1:18">
      <c r="A234" s="867"/>
      <c r="B234" s="867"/>
      <c r="C234" s="875"/>
      <c r="D234" s="875"/>
      <c r="E234" s="872"/>
      <c r="F234" s="872"/>
      <c r="G234" s="872"/>
      <c r="H234" s="895"/>
      <c r="I234" s="872"/>
      <c r="J234" s="875"/>
      <c r="K234" s="867"/>
      <c r="L234" s="873"/>
      <c r="M234" s="872"/>
      <c r="N234" s="867"/>
      <c r="O234" s="872"/>
      <c r="P234" s="872"/>
      <c r="Q234" s="867"/>
      <c r="R234" s="875"/>
    </row>
    <row r="235" spans="1:18">
      <c r="A235" s="867"/>
      <c r="B235" s="867"/>
      <c r="C235" s="875"/>
      <c r="D235" s="875"/>
      <c r="E235" s="872"/>
      <c r="F235" s="872"/>
      <c r="G235" s="872"/>
      <c r="H235" s="895"/>
      <c r="I235" s="872"/>
      <c r="J235" s="875"/>
      <c r="K235" s="867"/>
      <c r="L235" s="873"/>
      <c r="M235" s="872"/>
      <c r="N235" s="867"/>
      <c r="O235" s="872"/>
      <c r="P235" s="872"/>
      <c r="Q235" s="867"/>
      <c r="R235" s="875"/>
    </row>
    <row r="236" spans="1:18">
      <c r="A236" s="867"/>
      <c r="B236" s="867"/>
      <c r="C236" s="875"/>
      <c r="D236" s="875"/>
      <c r="E236" s="872"/>
      <c r="F236" s="872"/>
      <c r="G236" s="872"/>
      <c r="H236" s="895"/>
      <c r="I236" s="872"/>
      <c r="J236" s="875"/>
      <c r="K236" s="867"/>
      <c r="L236" s="873"/>
      <c r="M236" s="872"/>
      <c r="N236" s="867"/>
      <c r="O236" s="872"/>
      <c r="P236" s="872"/>
      <c r="Q236" s="867"/>
      <c r="R236" s="875"/>
    </row>
    <row r="237" spans="1:18">
      <c r="A237" s="867"/>
      <c r="B237" s="867"/>
      <c r="C237" s="875"/>
      <c r="D237" s="875"/>
      <c r="E237" s="872"/>
      <c r="F237" s="872"/>
      <c r="G237" s="872"/>
      <c r="H237" s="895"/>
      <c r="I237" s="872"/>
      <c r="J237" s="875"/>
      <c r="K237" s="867"/>
      <c r="L237" s="873"/>
      <c r="M237" s="872"/>
      <c r="N237" s="867"/>
      <c r="O237" s="872"/>
      <c r="P237" s="872"/>
      <c r="Q237" s="867"/>
      <c r="R237" s="875"/>
    </row>
    <row r="238" spans="1:18">
      <c r="A238" s="867"/>
      <c r="B238" s="867"/>
      <c r="C238" s="875"/>
      <c r="D238" s="875"/>
      <c r="E238" s="872"/>
      <c r="F238" s="872"/>
      <c r="G238" s="872"/>
      <c r="H238" s="895"/>
      <c r="I238" s="872"/>
      <c r="J238" s="875"/>
      <c r="K238" s="867"/>
      <c r="L238" s="873"/>
      <c r="M238" s="872"/>
      <c r="N238" s="867"/>
      <c r="O238" s="872"/>
      <c r="P238" s="872"/>
      <c r="Q238" s="867"/>
      <c r="R238" s="875"/>
    </row>
    <row r="239" spans="1:18">
      <c r="A239" s="867"/>
      <c r="B239" s="867"/>
      <c r="C239" s="875"/>
      <c r="D239" s="875"/>
      <c r="E239" s="872"/>
      <c r="F239" s="872"/>
      <c r="G239" s="872"/>
      <c r="H239" s="895"/>
      <c r="I239" s="872"/>
      <c r="J239" s="875"/>
      <c r="K239" s="867"/>
      <c r="L239" s="873"/>
      <c r="M239" s="872"/>
      <c r="N239" s="867"/>
      <c r="O239" s="872"/>
      <c r="P239" s="872"/>
      <c r="Q239" s="867"/>
      <c r="R239" s="875"/>
    </row>
    <row r="240" spans="1:18">
      <c r="A240" s="867"/>
      <c r="B240" s="867"/>
      <c r="C240" s="875"/>
      <c r="D240" s="875"/>
      <c r="E240" s="872"/>
      <c r="F240" s="872"/>
      <c r="G240" s="872"/>
      <c r="H240" s="895"/>
      <c r="I240" s="872"/>
      <c r="J240" s="875"/>
      <c r="K240" s="867"/>
      <c r="L240" s="873"/>
      <c r="M240" s="872"/>
      <c r="N240" s="867"/>
      <c r="O240" s="872"/>
      <c r="P240" s="872"/>
      <c r="Q240" s="867"/>
      <c r="R240" s="875"/>
    </row>
    <row r="241" spans="1:18">
      <c r="A241" s="867"/>
      <c r="B241" s="867"/>
      <c r="C241" s="875"/>
      <c r="D241" s="875"/>
      <c r="E241" s="872"/>
      <c r="F241" s="872"/>
      <c r="G241" s="872"/>
      <c r="H241" s="895"/>
      <c r="I241" s="872"/>
      <c r="J241" s="875"/>
      <c r="K241" s="867"/>
      <c r="L241" s="873"/>
      <c r="M241" s="872"/>
      <c r="N241" s="867"/>
      <c r="O241" s="872"/>
      <c r="P241" s="872"/>
      <c r="Q241" s="867"/>
      <c r="R241" s="875"/>
    </row>
    <row r="242" spans="1:18">
      <c r="A242" s="867"/>
      <c r="B242" s="867"/>
      <c r="C242" s="875"/>
      <c r="D242" s="875"/>
      <c r="E242" s="872"/>
      <c r="F242" s="872"/>
      <c r="G242" s="872"/>
      <c r="H242" s="895"/>
      <c r="I242" s="872"/>
      <c r="J242" s="875"/>
      <c r="K242" s="867"/>
      <c r="L242" s="873"/>
      <c r="M242" s="872"/>
      <c r="N242" s="867"/>
      <c r="O242" s="872"/>
      <c r="P242" s="872"/>
      <c r="Q242" s="867"/>
      <c r="R242" s="875"/>
    </row>
    <row r="243" spans="1:18">
      <c r="A243" s="867"/>
      <c r="B243" s="867"/>
      <c r="C243" s="875"/>
      <c r="D243" s="875"/>
      <c r="E243" s="872"/>
      <c r="F243" s="872"/>
      <c r="G243" s="872"/>
      <c r="H243" s="895"/>
      <c r="I243" s="872"/>
      <c r="J243" s="875"/>
      <c r="K243" s="867"/>
      <c r="L243" s="873"/>
      <c r="M243" s="872"/>
      <c r="N243" s="867"/>
      <c r="O243" s="872"/>
      <c r="P243" s="872"/>
      <c r="Q243" s="867"/>
      <c r="R243" s="875"/>
    </row>
    <row r="244" spans="1:18">
      <c r="A244" s="867"/>
      <c r="B244" s="867"/>
      <c r="C244" s="875"/>
      <c r="D244" s="875"/>
      <c r="E244" s="872"/>
      <c r="F244" s="872"/>
      <c r="G244" s="872"/>
      <c r="H244" s="895"/>
      <c r="I244" s="872"/>
      <c r="J244" s="875"/>
      <c r="K244" s="867"/>
      <c r="L244" s="873"/>
      <c r="M244" s="872"/>
      <c r="N244" s="867"/>
      <c r="O244" s="872"/>
      <c r="P244" s="872"/>
      <c r="Q244" s="867"/>
      <c r="R244" s="875"/>
    </row>
    <row r="245" spans="1:18">
      <c r="A245" s="867"/>
      <c r="B245" s="867"/>
      <c r="C245" s="875"/>
      <c r="D245" s="875"/>
      <c r="E245" s="872"/>
      <c r="F245" s="872"/>
      <c r="G245" s="872"/>
      <c r="H245" s="895"/>
      <c r="I245" s="872"/>
      <c r="J245" s="875"/>
      <c r="K245" s="867"/>
      <c r="L245" s="873"/>
      <c r="M245" s="872"/>
      <c r="N245" s="867"/>
      <c r="O245" s="872"/>
      <c r="P245" s="872"/>
      <c r="Q245" s="867"/>
      <c r="R245" s="875"/>
    </row>
    <row r="246" spans="1:18">
      <c r="A246" s="867"/>
      <c r="B246" s="867"/>
      <c r="C246" s="875"/>
      <c r="D246" s="875"/>
      <c r="E246" s="872"/>
      <c r="F246" s="872"/>
      <c r="G246" s="872"/>
      <c r="H246" s="895"/>
      <c r="I246" s="872"/>
      <c r="J246" s="875"/>
      <c r="K246" s="867"/>
      <c r="L246" s="873"/>
      <c r="M246" s="872"/>
      <c r="N246" s="867"/>
      <c r="O246" s="872"/>
      <c r="P246" s="872"/>
      <c r="Q246" s="867"/>
      <c r="R246" s="875"/>
    </row>
    <row r="247" spans="1:18">
      <c r="A247" s="867"/>
      <c r="B247" s="867"/>
      <c r="C247" s="875"/>
      <c r="D247" s="875"/>
      <c r="E247" s="872"/>
      <c r="F247" s="872"/>
      <c r="G247" s="872"/>
      <c r="H247" s="895"/>
      <c r="I247" s="872"/>
      <c r="J247" s="875"/>
      <c r="K247" s="867"/>
      <c r="L247" s="873"/>
      <c r="M247" s="872"/>
      <c r="N247" s="867"/>
      <c r="O247" s="872"/>
      <c r="P247" s="872"/>
      <c r="Q247" s="867"/>
      <c r="R247" s="875"/>
    </row>
    <row r="248" spans="1:18">
      <c r="A248" s="867"/>
      <c r="B248" s="867"/>
      <c r="C248" s="875"/>
      <c r="D248" s="875"/>
      <c r="E248" s="872"/>
      <c r="F248" s="872"/>
      <c r="G248" s="872"/>
      <c r="H248" s="895"/>
      <c r="I248" s="872"/>
      <c r="J248" s="875"/>
      <c r="K248" s="867"/>
      <c r="L248" s="873"/>
      <c r="M248" s="872"/>
      <c r="N248" s="867"/>
      <c r="O248" s="872"/>
      <c r="P248" s="872"/>
      <c r="Q248" s="867"/>
      <c r="R248" s="875"/>
    </row>
    <row r="249" spans="1:18">
      <c r="A249" s="867"/>
      <c r="B249" s="867"/>
      <c r="C249" s="875"/>
      <c r="D249" s="875"/>
      <c r="E249" s="872"/>
      <c r="F249" s="872"/>
      <c r="G249" s="872"/>
      <c r="H249" s="895"/>
      <c r="I249" s="872"/>
      <c r="J249" s="875"/>
      <c r="K249" s="867"/>
      <c r="L249" s="873"/>
      <c r="M249" s="872"/>
      <c r="N249" s="867"/>
      <c r="O249" s="872"/>
      <c r="P249" s="872"/>
      <c r="Q249" s="867"/>
      <c r="R249" s="875"/>
    </row>
    <row r="250" spans="1:18">
      <c r="A250" s="867"/>
      <c r="B250" s="867"/>
      <c r="C250" s="875"/>
      <c r="D250" s="875"/>
      <c r="E250" s="872"/>
      <c r="F250" s="872"/>
      <c r="G250" s="872"/>
      <c r="H250" s="895"/>
      <c r="I250" s="872"/>
      <c r="J250" s="875"/>
      <c r="K250" s="867"/>
      <c r="L250" s="873"/>
      <c r="M250" s="872"/>
      <c r="N250" s="867"/>
      <c r="O250" s="872"/>
      <c r="P250" s="872"/>
      <c r="Q250" s="867"/>
      <c r="R250" s="875"/>
    </row>
    <row r="251" spans="1:18">
      <c r="A251" s="867"/>
      <c r="B251" s="867"/>
      <c r="C251" s="875"/>
      <c r="D251" s="875"/>
      <c r="E251" s="872"/>
      <c r="F251" s="872"/>
      <c r="G251" s="872"/>
      <c r="H251" s="895"/>
      <c r="I251" s="872"/>
      <c r="J251" s="875"/>
      <c r="K251" s="867"/>
      <c r="L251" s="873"/>
      <c r="M251" s="872"/>
      <c r="N251" s="867"/>
      <c r="O251" s="872"/>
      <c r="P251" s="872"/>
      <c r="Q251" s="867"/>
      <c r="R251" s="875"/>
    </row>
    <row r="252" spans="1:18">
      <c r="A252" s="867"/>
      <c r="B252" s="867"/>
      <c r="C252" s="875"/>
      <c r="D252" s="875"/>
      <c r="E252" s="872"/>
      <c r="F252" s="872"/>
      <c r="G252" s="872"/>
      <c r="H252" s="895"/>
      <c r="I252" s="872"/>
      <c r="J252" s="875"/>
      <c r="K252" s="867"/>
      <c r="L252" s="873"/>
      <c r="M252" s="872"/>
      <c r="N252" s="867"/>
      <c r="O252" s="872"/>
      <c r="P252" s="872"/>
      <c r="Q252" s="867"/>
      <c r="R252" s="875"/>
    </row>
    <row r="253" spans="1:18">
      <c r="A253" s="867"/>
      <c r="B253" s="867"/>
      <c r="C253" s="875"/>
      <c r="D253" s="875"/>
      <c r="E253" s="872"/>
      <c r="F253" s="872"/>
      <c r="G253" s="872"/>
      <c r="H253" s="895"/>
      <c r="I253" s="872"/>
      <c r="J253" s="875"/>
      <c r="K253" s="867"/>
      <c r="L253" s="873"/>
      <c r="M253" s="872"/>
      <c r="N253" s="867"/>
      <c r="O253" s="872"/>
      <c r="P253" s="872"/>
      <c r="Q253" s="867"/>
      <c r="R253" s="875"/>
    </row>
    <row r="254" spans="1:18">
      <c r="A254" s="867"/>
      <c r="B254" s="867"/>
      <c r="C254" s="875"/>
      <c r="D254" s="875"/>
      <c r="E254" s="872"/>
      <c r="F254" s="872"/>
      <c r="G254" s="872"/>
      <c r="H254" s="895"/>
      <c r="I254" s="872"/>
      <c r="J254" s="875"/>
      <c r="K254" s="867"/>
      <c r="L254" s="873"/>
      <c r="M254" s="872"/>
      <c r="N254" s="867"/>
      <c r="O254" s="872"/>
      <c r="P254" s="872"/>
      <c r="Q254" s="867"/>
      <c r="R254" s="875"/>
    </row>
    <row r="255" spans="1:18">
      <c r="A255" s="867"/>
      <c r="B255" s="867"/>
      <c r="C255" s="875"/>
      <c r="D255" s="875"/>
      <c r="E255" s="872"/>
      <c r="F255" s="872"/>
      <c r="G255" s="872"/>
      <c r="H255" s="895"/>
      <c r="I255" s="872"/>
      <c r="J255" s="875"/>
      <c r="K255" s="867"/>
      <c r="L255" s="873"/>
      <c r="M255" s="872"/>
      <c r="N255" s="867"/>
      <c r="O255" s="872"/>
      <c r="P255" s="872"/>
      <c r="Q255" s="867"/>
      <c r="R255" s="875"/>
    </row>
    <row r="256" spans="1:18">
      <c r="A256" s="867"/>
      <c r="B256" s="867"/>
      <c r="C256" s="875"/>
      <c r="D256" s="875"/>
      <c r="E256" s="872"/>
      <c r="F256" s="872"/>
      <c r="G256" s="872"/>
      <c r="H256" s="895"/>
      <c r="I256" s="872"/>
      <c r="J256" s="875"/>
      <c r="K256" s="867"/>
      <c r="L256" s="873"/>
      <c r="M256" s="872"/>
      <c r="N256" s="867"/>
      <c r="O256" s="872"/>
      <c r="P256" s="872"/>
      <c r="Q256" s="867"/>
      <c r="R256" s="875"/>
    </row>
    <row r="257" spans="1:18">
      <c r="A257" s="867"/>
      <c r="B257" s="867"/>
      <c r="C257" s="875"/>
      <c r="D257" s="875"/>
      <c r="E257" s="872"/>
      <c r="F257" s="872"/>
      <c r="G257" s="872"/>
      <c r="H257" s="895"/>
      <c r="I257" s="872"/>
      <c r="J257" s="875"/>
      <c r="K257" s="867"/>
      <c r="L257" s="873"/>
      <c r="M257" s="872"/>
      <c r="N257" s="867"/>
      <c r="O257" s="872"/>
      <c r="P257" s="872"/>
      <c r="Q257" s="867"/>
      <c r="R257" s="875"/>
    </row>
    <row r="258" spans="1:18">
      <c r="A258" s="867"/>
      <c r="B258" s="867"/>
      <c r="C258" s="875"/>
      <c r="D258" s="875"/>
      <c r="E258" s="872"/>
      <c r="F258" s="872"/>
      <c r="G258" s="872"/>
      <c r="H258" s="895"/>
      <c r="I258" s="872"/>
      <c r="J258" s="875"/>
      <c r="K258" s="867"/>
      <c r="L258" s="873"/>
      <c r="M258" s="872"/>
      <c r="N258" s="867"/>
      <c r="O258" s="872"/>
      <c r="P258" s="872"/>
      <c r="Q258" s="867"/>
      <c r="R258" s="875"/>
    </row>
    <row r="259" spans="1:18">
      <c r="A259" s="867"/>
      <c r="B259" s="867"/>
      <c r="C259" s="875"/>
      <c r="D259" s="875"/>
      <c r="E259" s="872"/>
      <c r="F259" s="872"/>
      <c r="G259" s="872"/>
      <c r="H259" s="895"/>
      <c r="I259" s="872"/>
      <c r="J259" s="875"/>
      <c r="K259" s="867"/>
      <c r="L259" s="873"/>
      <c r="M259" s="872"/>
      <c r="N259" s="867"/>
      <c r="O259" s="872"/>
      <c r="P259" s="872"/>
      <c r="Q259" s="867"/>
      <c r="R259" s="875"/>
    </row>
    <row r="260" spans="1:18">
      <c r="A260" s="867"/>
      <c r="B260" s="867"/>
      <c r="C260" s="875"/>
      <c r="D260" s="875"/>
      <c r="E260" s="872"/>
      <c r="F260" s="872"/>
      <c r="G260" s="872"/>
      <c r="H260" s="895"/>
      <c r="I260" s="872"/>
      <c r="J260" s="875"/>
      <c r="K260" s="867"/>
      <c r="L260" s="873"/>
      <c r="M260" s="872"/>
      <c r="N260" s="867"/>
      <c r="O260" s="872"/>
      <c r="P260" s="872"/>
      <c r="Q260" s="867"/>
      <c r="R260" s="875"/>
    </row>
    <row r="261" spans="1:18">
      <c r="A261" s="867"/>
      <c r="B261" s="867"/>
      <c r="C261" s="875"/>
      <c r="D261" s="875"/>
      <c r="E261" s="872"/>
      <c r="F261" s="872"/>
      <c r="G261" s="872"/>
      <c r="H261" s="895"/>
      <c r="I261" s="872"/>
      <c r="J261" s="875"/>
      <c r="K261" s="867"/>
      <c r="L261" s="873"/>
      <c r="M261" s="872"/>
      <c r="N261" s="867"/>
      <c r="O261" s="872"/>
      <c r="P261" s="872"/>
      <c r="Q261" s="867"/>
      <c r="R261" s="875"/>
    </row>
    <row r="262" spans="1:18">
      <c r="A262" s="867"/>
      <c r="B262" s="867"/>
      <c r="C262" s="875"/>
      <c r="D262" s="875"/>
      <c r="E262" s="872"/>
      <c r="F262" s="872"/>
      <c r="G262" s="872"/>
      <c r="H262" s="895"/>
      <c r="I262" s="872"/>
      <c r="J262" s="875"/>
      <c r="K262" s="867"/>
      <c r="L262" s="873"/>
      <c r="M262" s="872"/>
      <c r="N262" s="867"/>
      <c r="O262" s="872"/>
      <c r="P262" s="872"/>
      <c r="Q262" s="867"/>
      <c r="R262" s="875"/>
    </row>
    <row r="263" spans="1:18">
      <c r="A263" s="867"/>
      <c r="B263" s="867"/>
      <c r="C263" s="875"/>
      <c r="D263" s="875"/>
      <c r="E263" s="872"/>
      <c r="F263" s="872"/>
      <c r="G263" s="872"/>
      <c r="H263" s="895"/>
      <c r="I263" s="872"/>
      <c r="J263" s="875"/>
      <c r="K263" s="867"/>
      <c r="L263" s="873"/>
      <c r="M263" s="872"/>
      <c r="N263" s="867"/>
      <c r="O263" s="872"/>
      <c r="P263" s="872"/>
      <c r="Q263" s="867"/>
      <c r="R263" s="875"/>
    </row>
    <row r="264" spans="1:18">
      <c r="A264" s="867"/>
      <c r="B264" s="867"/>
      <c r="C264" s="875"/>
      <c r="D264" s="875"/>
      <c r="E264" s="872"/>
      <c r="F264" s="872"/>
      <c r="G264" s="872"/>
      <c r="H264" s="895"/>
      <c r="I264" s="872"/>
      <c r="J264" s="875"/>
      <c r="K264" s="867"/>
      <c r="L264" s="873"/>
      <c r="M264" s="872"/>
      <c r="N264" s="867"/>
      <c r="O264" s="872"/>
      <c r="P264" s="872"/>
      <c r="Q264" s="867"/>
      <c r="R264" s="875"/>
    </row>
    <row r="265" spans="1:18">
      <c r="A265" s="867"/>
      <c r="B265" s="867"/>
      <c r="C265" s="875"/>
      <c r="D265" s="875"/>
      <c r="E265" s="872"/>
      <c r="F265" s="872"/>
      <c r="G265" s="872"/>
      <c r="H265" s="895"/>
      <c r="I265" s="872"/>
      <c r="J265" s="875"/>
      <c r="K265" s="867"/>
      <c r="L265" s="873"/>
      <c r="M265" s="872"/>
      <c r="N265" s="867"/>
      <c r="O265" s="872"/>
      <c r="P265" s="872"/>
      <c r="Q265" s="867"/>
      <c r="R265" s="875"/>
    </row>
    <row r="266" spans="1:18">
      <c r="A266" s="867"/>
      <c r="B266" s="867"/>
      <c r="C266" s="875"/>
      <c r="D266" s="875"/>
      <c r="E266" s="872"/>
      <c r="F266" s="872"/>
      <c r="G266" s="872"/>
      <c r="H266" s="895"/>
      <c r="I266" s="872"/>
      <c r="J266" s="875"/>
      <c r="K266" s="867"/>
      <c r="L266" s="873"/>
      <c r="M266" s="872"/>
      <c r="N266" s="867"/>
      <c r="O266" s="872"/>
      <c r="P266" s="872"/>
      <c r="Q266" s="867"/>
      <c r="R266" s="875"/>
    </row>
    <row r="267" spans="1:18">
      <c r="A267" s="867"/>
      <c r="B267" s="867"/>
      <c r="C267" s="875"/>
      <c r="D267" s="875"/>
      <c r="E267" s="872"/>
      <c r="F267" s="872"/>
      <c r="G267" s="872"/>
      <c r="H267" s="895"/>
      <c r="I267" s="872"/>
      <c r="J267" s="875"/>
      <c r="K267" s="867"/>
      <c r="L267" s="873"/>
      <c r="M267" s="872"/>
      <c r="N267" s="867"/>
      <c r="O267" s="872"/>
      <c r="P267" s="872"/>
      <c r="Q267" s="867"/>
      <c r="R267" s="875"/>
    </row>
    <row r="268" spans="1:18">
      <c r="A268" s="867"/>
      <c r="B268" s="867"/>
      <c r="C268" s="875"/>
      <c r="D268" s="875"/>
      <c r="E268" s="872"/>
      <c r="F268" s="872"/>
      <c r="G268" s="872"/>
      <c r="H268" s="895"/>
      <c r="I268" s="872"/>
      <c r="J268" s="875"/>
      <c r="K268" s="867"/>
      <c r="L268" s="873"/>
      <c r="M268" s="872"/>
      <c r="N268" s="867"/>
      <c r="O268" s="872"/>
      <c r="P268" s="872"/>
      <c r="Q268" s="867"/>
      <c r="R268" s="875"/>
    </row>
    <row r="269" spans="1:18">
      <c r="A269" s="867"/>
      <c r="B269" s="867"/>
      <c r="C269" s="875"/>
      <c r="D269" s="875"/>
      <c r="E269" s="872"/>
      <c r="F269" s="872"/>
      <c r="G269" s="872"/>
      <c r="H269" s="895"/>
      <c r="I269" s="872"/>
      <c r="J269" s="875"/>
      <c r="K269" s="867"/>
      <c r="L269" s="873"/>
      <c r="M269" s="872"/>
      <c r="N269" s="867"/>
      <c r="O269" s="872"/>
      <c r="P269" s="872"/>
      <c r="Q269" s="867"/>
      <c r="R269" s="875"/>
    </row>
    <row r="270" spans="1:18">
      <c r="A270" s="867"/>
      <c r="B270" s="867"/>
      <c r="C270" s="875"/>
      <c r="D270" s="875"/>
      <c r="E270" s="872"/>
      <c r="F270" s="872"/>
      <c r="G270" s="872"/>
      <c r="H270" s="895"/>
      <c r="I270" s="872"/>
      <c r="J270" s="875"/>
      <c r="K270" s="867"/>
      <c r="L270" s="873"/>
      <c r="M270" s="872"/>
      <c r="N270" s="867"/>
      <c r="O270" s="872"/>
      <c r="P270" s="872"/>
      <c r="Q270" s="867"/>
      <c r="R270" s="875"/>
    </row>
    <row r="271" spans="1:18">
      <c r="A271" s="867"/>
      <c r="B271" s="867"/>
      <c r="C271" s="875"/>
      <c r="D271" s="875"/>
      <c r="E271" s="872"/>
      <c r="F271" s="872"/>
      <c r="G271" s="872"/>
      <c r="H271" s="895"/>
      <c r="I271" s="872"/>
      <c r="J271" s="875"/>
      <c r="K271" s="867"/>
      <c r="L271" s="873"/>
      <c r="M271" s="872"/>
      <c r="N271" s="867"/>
      <c r="O271" s="872"/>
      <c r="P271" s="872"/>
      <c r="Q271" s="867"/>
      <c r="R271" s="875"/>
    </row>
    <row r="272" spans="1:18">
      <c r="A272" s="867"/>
      <c r="B272" s="867"/>
      <c r="C272" s="875"/>
      <c r="D272" s="875"/>
      <c r="E272" s="872"/>
      <c r="F272" s="872"/>
      <c r="G272" s="872"/>
      <c r="H272" s="895"/>
      <c r="I272" s="872"/>
      <c r="J272" s="875"/>
      <c r="K272" s="867"/>
      <c r="L272" s="873"/>
      <c r="M272" s="872"/>
      <c r="N272" s="867"/>
      <c r="O272" s="872"/>
      <c r="P272" s="872"/>
      <c r="Q272" s="867"/>
      <c r="R272" s="875"/>
    </row>
    <row r="273" spans="1:18">
      <c r="A273" s="867"/>
      <c r="B273" s="867"/>
      <c r="C273" s="875"/>
      <c r="D273" s="875"/>
      <c r="E273" s="872"/>
      <c r="F273" s="872"/>
      <c r="G273" s="872"/>
      <c r="H273" s="895"/>
      <c r="I273" s="872"/>
      <c r="J273" s="875"/>
      <c r="K273" s="867"/>
      <c r="L273" s="873"/>
      <c r="M273" s="872"/>
      <c r="N273" s="867"/>
      <c r="O273" s="872"/>
      <c r="P273" s="872"/>
      <c r="Q273" s="867"/>
      <c r="R273" s="875"/>
    </row>
    <row r="274" spans="1:18">
      <c r="A274" s="867"/>
      <c r="B274" s="867"/>
      <c r="C274" s="875"/>
      <c r="D274" s="875"/>
      <c r="E274" s="872"/>
      <c r="F274" s="872"/>
      <c r="G274" s="872"/>
      <c r="H274" s="895"/>
      <c r="I274" s="872"/>
      <c r="J274" s="875"/>
      <c r="K274" s="867"/>
      <c r="L274" s="873"/>
      <c r="M274" s="872"/>
      <c r="N274" s="867"/>
      <c r="O274" s="872"/>
      <c r="P274" s="872"/>
      <c r="Q274" s="867"/>
      <c r="R274" s="875"/>
    </row>
    <row r="275" spans="1:18">
      <c r="A275" s="867"/>
      <c r="B275" s="867"/>
      <c r="C275" s="875"/>
      <c r="D275" s="875"/>
      <c r="E275" s="872"/>
      <c r="F275" s="872"/>
      <c r="G275" s="872"/>
      <c r="H275" s="895"/>
      <c r="I275" s="872"/>
      <c r="J275" s="875"/>
      <c r="K275" s="867"/>
      <c r="L275" s="873"/>
      <c r="M275" s="872"/>
      <c r="N275" s="867"/>
      <c r="O275" s="872"/>
      <c r="P275" s="872"/>
      <c r="Q275" s="867"/>
      <c r="R275" s="875"/>
    </row>
    <row r="276" spans="1:18">
      <c r="A276" s="867"/>
      <c r="B276" s="867"/>
      <c r="C276" s="875"/>
      <c r="D276" s="875"/>
      <c r="E276" s="872"/>
      <c r="F276" s="872"/>
      <c r="G276" s="872"/>
      <c r="H276" s="895"/>
      <c r="I276" s="872"/>
      <c r="J276" s="875"/>
      <c r="K276" s="867"/>
      <c r="L276" s="873"/>
      <c r="M276" s="872"/>
      <c r="N276" s="867"/>
      <c r="O276" s="872"/>
      <c r="P276" s="872"/>
      <c r="Q276" s="867"/>
      <c r="R276" s="875"/>
    </row>
    <row r="277" spans="1:18">
      <c r="A277" s="867"/>
      <c r="B277" s="867"/>
      <c r="C277" s="875"/>
      <c r="D277" s="875"/>
      <c r="E277" s="872"/>
      <c r="F277" s="872"/>
      <c r="G277" s="872"/>
      <c r="H277" s="895"/>
      <c r="I277" s="872"/>
      <c r="J277" s="875"/>
      <c r="K277" s="867"/>
      <c r="L277" s="873"/>
      <c r="M277" s="872"/>
      <c r="N277" s="867"/>
      <c r="O277" s="872"/>
      <c r="P277" s="872"/>
      <c r="Q277" s="867"/>
      <c r="R277" s="875"/>
    </row>
    <row r="278" spans="1:18">
      <c r="A278" s="867"/>
      <c r="B278" s="867"/>
      <c r="C278" s="875"/>
      <c r="D278" s="875"/>
      <c r="E278" s="872"/>
      <c r="F278" s="872"/>
      <c r="G278" s="872"/>
      <c r="H278" s="895"/>
      <c r="I278" s="872"/>
      <c r="J278" s="875"/>
      <c r="K278" s="867"/>
      <c r="L278" s="873"/>
      <c r="M278" s="872"/>
      <c r="N278" s="867"/>
      <c r="O278" s="872"/>
      <c r="P278" s="872"/>
      <c r="Q278" s="867"/>
      <c r="R278" s="875"/>
    </row>
    <row r="279" spans="1:18">
      <c r="A279" s="867"/>
      <c r="B279" s="867"/>
      <c r="C279" s="875"/>
      <c r="D279" s="875"/>
      <c r="E279" s="872"/>
      <c r="F279" s="872"/>
      <c r="G279" s="872"/>
      <c r="H279" s="895"/>
      <c r="I279" s="872"/>
      <c r="J279" s="875"/>
      <c r="K279" s="867"/>
      <c r="L279" s="873"/>
      <c r="M279" s="872"/>
      <c r="N279" s="867"/>
      <c r="O279" s="872"/>
      <c r="P279" s="872"/>
      <c r="Q279" s="867"/>
      <c r="R279" s="875"/>
    </row>
    <row r="280" spans="1:18">
      <c r="A280" s="867"/>
      <c r="B280" s="867"/>
      <c r="C280" s="875"/>
      <c r="D280" s="875"/>
      <c r="E280" s="872"/>
      <c r="F280" s="872"/>
      <c r="G280" s="872"/>
      <c r="H280" s="895"/>
      <c r="I280" s="872"/>
      <c r="J280" s="875"/>
      <c r="K280" s="867"/>
      <c r="L280" s="873"/>
      <c r="M280" s="872"/>
      <c r="N280" s="867"/>
      <c r="O280" s="872"/>
      <c r="P280" s="872"/>
      <c r="Q280" s="867"/>
      <c r="R280" s="875"/>
    </row>
    <row r="281" spans="1:18">
      <c r="A281" s="867"/>
      <c r="B281" s="867"/>
      <c r="C281" s="875"/>
      <c r="D281" s="875"/>
      <c r="E281" s="872"/>
      <c r="F281" s="872"/>
      <c r="G281" s="872"/>
      <c r="H281" s="895"/>
      <c r="I281" s="872"/>
      <c r="J281" s="875"/>
      <c r="K281" s="867"/>
      <c r="L281" s="873"/>
      <c r="M281" s="872"/>
      <c r="N281" s="867"/>
      <c r="O281" s="872"/>
      <c r="P281" s="872"/>
      <c r="Q281" s="867"/>
      <c r="R281" s="875"/>
    </row>
    <row r="282" spans="1:18">
      <c r="A282" s="867"/>
      <c r="B282" s="867"/>
      <c r="C282" s="875"/>
      <c r="D282" s="875"/>
      <c r="E282" s="872"/>
      <c r="F282" s="872"/>
      <c r="G282" s="872"/>
      <c r="H282" s="895"/>
      <c r="I282" s="872"/>
      <c r="J282" s="875"/>
      <c r="K282" s="867"/>
      <c r="L282" s="873"/>
      <c r="M282" s="872"/>
      <c r="N282" s="867"/>
      <c r="O282" s="872"/>
      <c r="P282" s="872"/>
      <c r="Q282" s="867"/>
      <c r="R282" s="875"/>
    </row>
    <row r="283" spans="1:18">
      <c r="A283" s="867"/>
      <c r="B283" s="867"/>
      <c r="C283" s="875"/>
      <c r="D283" s="875"/>
      <c r="E283" s="872"/>
      <c r="F283" s="872"/>
      <c r="G283" s="872"/>
      <c r="H283" s="895"/>
      <c r="I283" s="872"/>
      <c r="J283" s="875"/>
      <c r="K283" s="867"/>
      <c r="L283" s="873"/>
      <c r="M283" s="872"/>
      <c r="N283" s="867"/>
      <c r="O283" s="872"/>
      <c r="P283" s="872"/>
      <c r="Q283" s="867"/>
      <c r="R283" s="875"/>
    </row>
    <row r="284" spans="1:18">
      <c r="A284" s="867"/>
      <c r="B284" s="867"/>
      <c r="C284" s="875"/>
      <c r="D284" s="875"/>
      <c r="E284" s="872"/>
      <c r="F284" s="872"/>
      <c r="G284" s="872"/>
      <c r="H284" s="895"/>
      <c r="I284" s="872"/>
      <c r="J284" s="875"/>
      <c r="K284" s="867"/>
      <c r="L284" s="873"/>
      <c r="M284" s="872"/>
      <c r="N284" s="867"/>
      <c r="O284" s="872"/>
      <c r="P284" s="872"/>
      <c r="Q284" s="867"/>
      <c r="R284" s="875"/>
    </row>
    <row r="285" spans="1:18">
      <c r="A285" s="867"/>
      <c r="B285" s="867"/>
      <c r="C285" s="875"/>
      <c r="D285" s="875"/>
      <c r="E285" s="872"/>
      <c r="F285" s="872"/>
      <c r="G285" s="872"/>
      <c r="H285" s="895"/>
      <c r="I285" s="872"/>
      <c r="J285" s="875"/>
      <c r="K285" s="867"/>
      <c r="L285" s="873"/>
      <c r="M285" s="872"/>
      <c r="N285" s="867"/>
      <c r="O285" s="872"/>
      <c r="P285" s="872"/>
      <c r="Q285" s="867"/>
      <c r="R285" s="875"/>
    </row>
    <row r="286" spans="1:18">
      <c r="A286" s="867"/>
      <c r="B286" s="867"/>
      <c r="C286" s="875"/>
      <c r="D286" s="875"/>
      <c r="E286" s="872"/>
      <c r="F286" s="872"/>
      <c r="G286" s="872"/>
      <c r="H286" s="895"/>
      <c r="I286" s="872"/>
      <c r="J286" s="875"/>
      <c r="K286" s="867"/>
      <c r="L286" s="873"/>
      <c r="M286" s="872"/>
      <c r="N286" s="867"/>
      <c r="O286" s="872"/>
      <c r="P286" s="872"/>
      <c r="Q286" s="867"/>
      <c r="R286" s="875"/>
    </row>
    <row r="287" spans="1:18">
      <c r="A287" s="867"/>
      <c r="B287" s="867"/>
      <c r="C287" s="875"/>
      <c r="D287" s="875"/>
      <c r="E287" s="872"/>
      <c r="F287" s="872"/>
      <c r="G287" s="872"/>
      <c r="H287" s="895"/>
      <c r="I287" s="872"/>
      <c r="J287" s="875"/>
      <c r="K287" s="867"/>
      <c r="L287" s="873"/>
      <c r="M287" s="872"/>
      <c r="N287" s="867"/>
      <c r="O287" s="872"/>
      <c r="P287" s="872"/>
      <c r="Q287" s="867"/>
      <c r="R287" s="875"/>
    </row>
    <row r="288" spans="1:18">
      <c r="A288" s="867"/>
      <c r="B288" s="867"/>
      <c r="C288" s="875"/>
      <c r="D288" s="875"/>
      <c r="E288" s="872"/>
      <c r="F288" s="872"/>
      <c r="G288" s="872"/>
      <c r="H288" s="895"/>
      <c r="I288" s="872"/>
      <c r="J288" s="875"/>
      <c r="K288" s="867"/>
      <c r="L288" s="873"/>
      <c r="M288" s="872"/>
      <c r="N288" s="867"/>
      <c r="O288" s="872"/>
      <c r="P288" s="872"/>
      <c r="Q288" s="867"/>
      <c r="R288" s="875"/>
    </row>
    <row r="289" spans="1:18">
      <c r="A289" s="867"/>
      <c r="B289" s="867"/>
      <c r="C289" s="875"/>
      <c r="D289" s="875"/>
      <c r="E289" s="872"/>
      <c r="F289" s="872"/>
      <c r="G289" s="872"/>
      <c r="H289" s="895"/>
      <c r="I289" s="872"/>
      <c r="J289" s="875"/>
      <c r="K289" s="867"/>
      <c r="L289" s="873"/>
      <c r="M289" s="872"/>
      <c r="N289" s="867"/>
      <c r="O289" s="872"/>
      <c r="P289" s="872"/>
      <c r="Q289" s="867"/>
      <c r="R289" s="875"/>
    </row>
    <row r="290" spans="1:18">
      <c r="A290" s="867"/>
      <c r="B290" s="867"/>
      <c r="C290" s="875"/>
      <c r="D290" s="875"/>
      <c r="E290" s="872"/>
      <c r="F290" s="872"/>
      <c r="G290" s="872"/>
      <c r="H290" s="895"/>
      <c r="I290" s="872"/>
      <c r="J290" s="875"/>
      <c r="K290" s="867"/>
      <c r="L290" s="873"/>
      <c r="M290" s="872"/>
      <c r="N290" s="867"/>
      <c r="O290" s="872"/>
      <c r="P290" s="872"/>
      <c r="Q290" s="867"/>
      <c r="R290" s="875"/>
    </row>
    <row r="291" spans="1:18">
      <c r="A291" s="867"/>
      <c r="B291" s="867"/>
      <c r="C291" s="875"/>
      <c r="D291" s="875"/>
      <c r="E291" s="872"/>
      <c r="F291" s="872"/>
      <c r="G291" s="872"/>
      <c r="H291" s="895"/>
      <c r="I291" s="872"/>
      <c r="J291" s="875"/>
      <c r="K291" s="867"/>
      <c r="L291" s="873"/>
      <c r="M291" s="872"/>
      <c r="N291" s="867"/>
      <c r="O291" s="872"/>
      <c r="P291" s="872"/>
      <c r="Q291" s="867"/>
      <c r="R291" s="875"/>
    </row>
    <row r="292" spans="1:18">
      <c r="A292" s="867"/>
      <c r="B292" s="867"/>
      <c r="C292" s="875"/>
      <c r="D292" s="875"/>
      <c r="E292" s="872"/>
      <c r="F292" s="872"/>
      <c r="G292" s="872"/>
      <c r="H292" s="895"/>
      <c r="I292" s="872"/>
      <c r="J292" s="875"/>
      <c r="K292" s="867"/>
      <c r="L292" s="873"/>
      <c r="M292" s="872"/>
      <c r="N292" s="867"/>
      <c r="O292" s="872"/>
      <c r="P292" s="872"/>
      <c r="Q292" s="867"/>
      <c r="R292" s="875"/>
    </row>
    <row r="293" spans="1:18">
      <c r="A293" s="867"/>
      <c r="B293" s="867"/>
      <c r="C293" s="875"/>
      <c r="D293" s="875"/>
      <c r="E293" s="872"/>
      <c r="F293" s="872"/>
      <c r="G293" s="872"/>
      <c r="H293" s="895"/>
      <c r="I293" s="872"/>
      <c r="J293" s="875"/>
      <c r="K293" s="867"/>
      <c r="L293" s="873"/>
      <c r="M293" s="872"/>
      <c r="N293" s="867"/>
      <c r="O293" s="872"/>
      <c r="P293" s="872"/>
      <c r="Q293" s="867"/>
      <c r="R293" s="875"/>
    </row>
    <row r="294" spans="1:18">
      <c r="A294" s="867"/>
      <c r="B294" s="867"/>
      <c r="C294" s="875"/>
      <c r="D294" s="875"/>
      <c r="E294" s="872"/>
      <c r="F294" s="872"/>
      <c r="G294" s="872"/>
      <c r="H294" s="895"/>
      <c r="I294" s="872"/>
      <c r="J294" s="875"/>
      <c r="K294" s="867"/>
      <c r="L294" s="873"/>
      <c r="M294" s="872"/>
      <c r="N294" s="867"/>
      <c r="O294" s="872"/>
      <c r="P294" s="872"/>
      <c r="Q294" s="867"/>
      <c r="R294" s="875"/>
    </row>
    <row r="295" spans="1:18">
      <c r="A295" s="867"/>
      <c r="B295" s="867"/>
      <c r="C295" s="875"/>
      <c r="D295" s="875"/>
      <c r="E295" s="872"/>
      <c r="F295" s="872"/>
      <c r="G295" s="872"/>
      <c r="H295" s="895"/>
      <c r="I295" s="872"/>
      <c r="J295" s="875"/>
      <c r="K295" s="867"/>
      <c r="L295" s="873"/>
      <c r="M295" s="872"/>
      <c r="N295" s="867"/>
      <c r="O295" s="872"/>
      <c r="P295" s="872"/>
      <c r="Q295" s="867"/>
      <c r="R295" s="875"/>
    </row>
    <row r="296" spans="1:18">
      <c r="A296" s="867"/>
      <c r="B296" s="867"/>
      <c r="C296" s="875"/>
      <c r="D296" s="875"/>
      <c r="E296" s="872"/>
      <c r="F296" s="872"/>
      <c r="G296" s="872"/>
      <c r="H296" s="895"/>
      <c r="I296" s="872"/>
      <c r="J296" s="875"/>
      <c r="K296" s="867"/>
      <c r="L296" s="873"/>
      <c r="M296" s="872"/>
      <c r="N296" s="867"/>
      <c r="O296" s="872"/>
      <c r="P296" s="872"/>
      <c r="Q296" s="867"/>
      <c r="R296" s="875"/>
    </row>
    <row r="297" spans="1:18">
      <c r="A297" s="867"/>
      <c r="B297" s="867"/>
      <c r="C297" s="875"/>
      <c r="D297" s="875"/>
      <c r="E297" s="872"/>
      <c r="F297" s="872"/>
      <c r="G297" s="872"/>
      <c r="H297" s="895"/>
      <c r="I297" s="872"/>
      <c r="J297" s="875"/>
      <c r="K297" s="867"/>
      <c r="L297" s="873"/>
      <c r="M297" s="872"/>
      <c r="N297" s="867"/>
      <c r="O297" s="872"/>
      <c r="P297" s="872"/>
      <c r="Q297" s="867"/>
      <c r="R297" s="875"/>
    </row>
    <row r="298" spans="1:18">
      <c r="A298" s="867"/>
      <c r="B298" s="867"/>
      <c r="C298" s="875"/>
      <c r="D298" s="875"/>
      <c r="E298" s="872"/>
      <c r="F298" s="872"/>
      <c r="G298" s="872"/>
      <c r="H298" s="895"/>
      <c r="I298" s="872"/>
      <c r="J298" s="875"/>
      <c r="K298" s="867"/>
      <c r="L298" s="873"/>
      <c r="M298" s="872"/>
      <c r="N298" s="867"/>
      <c r="O298" s="872"/>
      <c r="P298" s="872"/>
      <c r="Q298" s="867"/>
      <c r="R298" s="875"/>
    </row>
    <row r="299" spans="1:18">
      <c r="A299" s="867"/>
      <c r="B299" s="867"/>
      <c r="C299" s="875"/>
      <c r="D299" s="875"/>
      <c r="E299" s="872"/>
      <c r="F299" s="872"/>
      <c r="G299" s="872"/>
      <c r="H299" s="895"/>
      <c r="I299" s="872"/>
      <c r="J299" s="875"/>
      <c r="K299" s="867"/>
      <c r="L299" s="873"/>
      <c r="M299" s="872"/>
      <c r="N299" s="867"/>
      <c r="O299" s="872"/>
      <c r="P299" s="872"/>
      <c r="Q299" s="867"/>
      <c r="R299" s="875"/>
    </row>
    <row r="300" spans="1:18">
      <c r="A300" s="867"/>
      <c r="B300" s="867"/>
      <c r="C300" s="875"/>
      <c r="D300" s="875"/>
      <c r="E300" s="872"/>
      <c r="F300" s="872"/>
      <c r="G300" s="872"/>
      <c r="H300" s="895"/>
      <c r="I300" s="872"/>
      <c r="J300" s="875"/>
      <c r="K300" s="867"/>
      <c r="L300" s="873"/>
      <c r="M300" s="872"/>
      <c r="N300" s="867"/>
      <c r="O300" s="872"/>
      <c r="P300" s="872"/>
      <c r="Q300" s="867"/>
      <c r="R300" s="875"/>
    </row>
    <row r="301" spans="1:18">
      <c r="A301" s="867"/>
      <c r="B301" s="867"/>
      <c r="C301" s="875"/>
      <c r="D301" s="875"/>
      <c r="E301" s="872"/>
      <c r="F301" s="872"/>
      <c r="G301" s="872"/>
      <c r="H301" s="895"/>
      <c r="I301" s="872"/>
      <c r="J301" s="875"/>
      <c r="K301" s="867"/>
      <c r="L301" s="873"/>
      <c r="M301" s="872"/>
      <c r="N301" s="867"/>
      <c r="O301" s="872"/>
      <c r="P301" s="872"/>
      <c r="Q301" s="867"/>
      <c r="R301" s="875"/>
    </row>
    <row r="302" spans="1:18">
      <c r="A302" s="867"/>
      <c r="B302" s="867"/>
      <c r="C302" s="875"/>
      <c r="D302" s="875"/>
      <c r="E302" s="872"/>
      <c r="F302" s="872"/>
      <c r="G302" s="872"/>
      <c r="H302" s="895"/>
      <c r="I302" s="872"/>
      <c r="J302" s="875"/>
      <c r="K302" s="867"/>
      <c r="L302" s="873"/>
      <c r="M302" s="872"/>
      <c r="N302" s="867"/>
      <c r="O302" s="872"/>
      <c r="P302" s="872"/>
      <c r="Q302" s="867"/>
      <c r="R302" s="875"/>
    </row>
    <row r="303" spans="1:18">
      <c r="A303" s="867"/>
      <c r="B303" s="867"/>
      <c r="C303" s="875"/>
      <c r="D303" s="875"/>
      <c r="E303" s="872"/>
      <c r="F303" s="872"/>
      <c r="G303" s="872"/>
      <c r="H303" s="895"/>
      <c r="I303" s="872"/>
      <c r="J303" s="875"/>
      <c r="K303" s="867"/>
      <c r="L303" s="873"/>
      <c r="M303" s="872"/>
      <c r="N303" s="867"/>
      <c r="O303" s="872"/>
      <c r="P303" s="872"/>
      <c r="Q303" s="867"/>
      <c r="R303" s="875"/>
    </row>
    <row r="304" spans="1:18">
      <c r="A304" s="867"/>
      <c r="B304" s="867"/>
      <c r="C304" s="875"/>
      <c r="D304" s="875"/>
      <c r="E304" s="872"/>
      <c r="F304" s="872"/>
      <c r="G304" s="872"/>
      <c r="H304" s="895"/>
      <c r="I304" s="872"/>
      <c r="J304" s="875"/>
      <c r="K304" s="867"/>
      <c r="L304" s="873"/>
      <c r="M304" s="872"/>
      <c r="N304" s="867"/>
      <c r="O304" s="872"/>
      <c r="P304" s="872"/>
      <c r="Q304" s="867"/>
      <c r="R304" s="875"/>
    </row>
    <row r="305" spans="1:18">
      <c r="A305" s="867"/>
      <c r="B305" s="867"/>
      <c r="C305" s="875"/>
      <c r="D305" s="875"/>
      <c r="E305" s="872"/>
      <c r="F305" s="872"/>
      <c r="G305" s="872"/>
      <c r="H305" s="895"/>
      <c r="I305" s="872"/>
      <c r="J305" s="875"/>
      <c r="K305" s="867"/>
      <c r="L305" s="873"/>
      <c r="M305" s="872"/>
      <c r="N305" s="867"/>
      <c r="O305" s="872"/>
      <c r="P305" s="872"/>
      <c r="Q305" s="867"/>
      <c r="R305" s="875"/>
    </row>
    <row r="306" spans="1:18">
      <c r="A306" s="867"/>
      <c r="B306" s="867"/>
      <c r="C306" s="875"/>
      <c r="D306" s="875"/>
      <c r="E306" s="872"/>
      <c r="F306" s="872"/>
      <c r="G306" s="872"/>
      <c r="H306" s="895"/>
      <c r="I306" s="872"/>
      <c r="J306" s="875"/>
      <c r="K306" s="867"/>
      <c r="L306" s="873"/>
      <c r="M306" s="872"/>
      <c r="N306" s="867"/>
      <c r="O306" s="872"/>
      <c r="P306" s="872"/>
      <c r="Q306" s="867"/>
      <c r="R306" s="875"/>
    </row>
    <row r="307" spans="1:18">
      <c r="A307" s="867"/>
      <c r="B307" s="867"/>
      <c r="C307" s="875"/>
      <c r="D307" s="875"/>
      <c r="E307" s="872"/>
      <c r="F307" s="872"/>
      <c r="G307" s="872"/>
      <c r="H307" s="895"/>
      <c r="I307" s="872"/>
      <c r="J307" s="875"/>
      <c r="K307" s="867"/>
      <c r="L307" s="873"/>
      <c r="M307" s="872"/>
      <c r="N307" s="867"/>
      <c r="O307" s="872"/>
      <c r="P307" s="872"/>
      <c r="Q307" s="867"/>
      <c r="R307" s="875"/>
    </row>
    <row r="308" spans="1:18">
      <c r="A308" s="867"/>
      <c r="B308" s="867"/>
      <c r="C308" s="875"/>
      <c r="D308" s="875"/>
      <c r="E308" s="872"/>
      <c r="F308" s="872"/>
      <c r="G308" s="872"/>
      <c r="H308" s="895"/>
      <c r="I308" s="872"/>
      <c r="J308" s="875"/>
      <c r="K308" s="867"/>
      <c r="L308" s="873"/>
      <c r="M308" s="872"/>
      <c r="N308" s="867"/>
      <c r="O308" s="872"/>
      <c r="P308" s="872"/>
      <c r="Q308" s="867"/>
      <c r="R308" s="875"/>
    </row>
    <row r="309" spans="1:18">
      <c r="A309" s="867"/>
      <c r="B309" s="867"/>
      <c r="C309" s="875"/>
      <c r="D309" s="875"/>
      <c r="E309" s="872"/>
      <c r="F309" s="872"/>
      <c r="G309" s="872"/>
      <c r="H309" s="895"/>
      <c r="I309" s="872"/>
      <c r="J309" s="875"/>
      <c r="K309" s="867"/>
      <c r="L309" s="873"/>
      <c r="M309" s="872"/>
      <c r="N309" s="867"/>
      <c r="O309" s="872"/>
      <c r="P309" s="872"/>
      <c r="Q309" s="867"/>
      <c r="R309" s="875"/>
    </row>
    <row r="310" spans="1:18">
      <c r="A310" s="867"/>
      <c r="B310" s="867"/>
      <c r="C310" s="875"/>
      <c r="D310" s="875"/>
      <c r="E310" s="872"/>
      <c r="F310" s="872"/>
      <c r="G310" s="872"/>
      <c r="H310" s="895"/>
      <c r="I310" s="872"/>
      <c r="J310" s="875"/>
      <c r="K310" s="867"/>
      <c r="L310" s="873"/>
      <c r="M310" s="872"/>
      <c r="N310" s="867"/>
      <c r="O310" s="872"/>
      <c r="P310" s="872"/>
      <c r="Q310" s="867"/>
      <c r="R310" s="875"/>
    </row>
    <row r="311" spans="1:18">
      <c r="A311" s="867"/>
      <c r="B311" s="867"/>
      <c r="C311" s="875"/>
      <c r="D311" s="875"/>
      <c r="E311" s="872"/>
      <c r="F311" s="872"/>
      <c r="G311" s="872"/>
      <c r="H311" s="895"/>
      <c r="I311" s="872"/>
      <c r="J311" s="875"/>
      <c r="K311" s="867"/>
      <c r="L311" s="873"/>
      <c r="M311" s="872"/>
      <c r="N311" s="867"/>
      <c r="O311" s="872"/>
      <c r="P311" s="872"/>
      <c r="Q311" s="867"/>
      <c r="R311" s="875"/>
    </row>
    <row r="312" spans="1:18">
      <c r="A312" s="867"/>
      <c r="B312" s="867"/>
      <c r="C312" s="875"/>
      <c r="D312" s="875"/>
      <c r="E312" s="872"/>
      <c r="F312" s="872"/>
      <c r="G312" s="872"/>
      <c r="H312" s="895"/>
      <c r="I312" s="872"/>
      <c r="J312" s="875"/>
      <c r="K312" s="867"/>
      <c r="L312" s="873"/>
      <c r="M312" s="872"/>
      <c r="N312" s="867"/>
      <c r="O312" s="872"/>
      <c r="P312" s="872"/>
      <c r="Q312" s="867"/>
      <c r="R312" s="875"/>
    </row>
    <row r="313" spans="1:18">
      <c r="A313" s="867"/>
      <c r="B313" s="867"/>
      <c r="C313" s="875"/>
      <c r="D313" s="875"/>
      <c r="E313" s="872"/>
      <c r="F313" s="872"/>
      <c r="G313" s="872"/>
      <c r="H313" s="895"/>
      <c r="I313" s="872"/>
      <c r="J313" s="875"/>
      <c r="K313" s="867"/>
      <c r="L313" s="873"/>
      <c r="M313" s="872"/>
      <c r="N313" s="867"/>
      <c r="O313" s="872"/>
      <c r="P313" s="872"/>
      <c r="Q313" s="867"/>
      <c r="R313" s="875"/>
    </row>
    <row r="314" spans="1:18">
      <c r="A314" s="867"/>
      <c r="B314" s="867"/>
      <c r="C314" s="875"/>
      <c r="D314" s="875"/>
      <c r="E314" s="872"/>
      <c r="F314" s="872"/>
      <c r="G314" s="872"/>
      <c r="H314" s="895"/>
      <c r="I314" s="872"/>
      <c r="J314" s="875"/>
      <c r="K314" s="867"/>
      <c r="L314" s="873"/>
      <c r="M314" s="872"/>
      <c r="N314" s="867"/>
      <c r="O314" s="872"/>
      <c r="P314" s="872"/>
      <c r="Q314" s="867"/>
      <c r="R314" s="875"/>
    </row>
    <row r="315" spans="1:18">
      <c r="A315" s="867"/>
      <c r="B315" s="867"/>
      <c r="C315" s="875"/>
      <c r="D315" s="875"/>
      <c r="E315" s="872"/>
      <c r="F315" s="872"/>
      <c r="G315" s="872"/>
      <c r="H315" s="895"/>
      <c r="I315" s="872"/>
      <c r="J315" s="875"/>
      <c r="K315" s="867"/>
      <c r="L315" s="873"/>
      <c r="M315" s="872"/>
      <c r="N315" s="867"/>
      <c r="O315" s="872"/>
      <c r="P315" s="872"/>
      <c r="Q315" s="867"/>
      <c r="R315" s="875"/>
    </row>
    <row r="316" spans="1:18">
      <c r="A316" s="867"/>
      <c r="B316" s="867"/>
      <c r="C316" s="875"/>
      <c r="D316" s="875"/>
      <c r="E316" s="872"/>
      <c r="F316" s="872"/>
      <c r="G316" s="872"/>
      <c r="H316" s="895"/>
      <c r="I316" s="872"/>
      <c r="J316" s="875"/>
      <c r="K316" s="867"/>
      <c r="L316" s="873"/>
      <c r="M316" s="872"/>
      <c r="N316" s="867"/>
      <c r="O316" s="872"/>
      <c r="P316" s="872"/>
      <c r="Q316" s="867"/>
      <c r="R316" s="875"/>
    </row>
    <row r="317" spans="1:18">
      <c r="A317" s="867"/>
      <c r="B317" s="867"/>
      <c r="C317" s="875"/>
      <c r="D317" s="875"/>
      <c r="E317" s="872"/>
      <c r="F317" s="872"/>
      <c r="G317" s="872"/>
      <c r="H317" s="895"/>
      <c r="I317" s="872"/>
      <c r="J317" s="875"/>
      <c r="K317" s="867"/>
      <c r="L317" s="873"/>
      <c r="M317" s="872"/>
      <c r="N317" s="867"/>
      <c r="O317" s="872"/>
      <c r="P317" s="872"/>
      <c r="Q317" s="867"/>
      <c r="R317" s="875"/>
    </row>
    <row r="318" spans="1:18">
      <c r="A318" s="867"/>
      <c r="B318" s="867"/>
      <c r="C318" s="875"/>
      <c r="D318" s="875"/>
      <c r="E318" s="872"/>
      <c r="F318" s="872"/>
      <c r="G318" s="872"/>
      <c r="H318" s="895"/>
      <c r="I318" s="872"/>
      <c r="J318" s="875"/>
      <c r="K318" s="867"/>
      <c r="L318" s="873"/>
      <c r="M318" s="872"/>
      <c r="N318" s="867"/>
      <c r="O318" s="872"/>
      <c r="P318" s="872"/>
      <c r="Q318" s="867"/>
      <c r="R318" s="875"/>
    </row>
    <row r="319" spans="1:18">
      <c r="A319" s="867"/>
      <c r="B319" s="867"/>
      <c r="C319" s="875"/>
      <c r="D319" s="875"/>
      <c r="E319" s="872"/>
      <c r="F319" s="872"/>
      <c r="G319" s="872"/>
      <c r="H319" s="895"/>
      <c r="I319" s="872"/>
      <c r="J319" s="875"/>
      <c r="K319" s="867"/>
      <c r="L319" s="873"/>
      <c r="M319" s="872"/>
      <c r="N319" s="867"/>
      <c r="O319" s="872"/>
      <c r="P319" s="872"/>
      <c r="Q319" s="867"/>
      <c r="R319" s="875"/>
    </row>
    <row r="320" spans="1:18">
      <c r="A320" s="867"/>
      <c r="B320" s="867"/>
      <c r="C320" s="875"/>
      <c r="D320" s="875"/>
      <c r="E320" s="872"/>
      <c r="F320" s="872"/>
      <c r="G320" s="872"/>
      <c r="H320" s="895"/>
      <c r="I320" s="872"/>
      <c r="J320" s="875"/>
      <c r="K320" s="867"/>
      <c r="L320" s="873"/>
      <c r="M320" s="872"/>
      <c r="N320" s="867"/>
      <c r="O320" s="872"/>
      <c r="P320" s="872"/>
      <c r="Q320" s="867"/>
      <c r="R320" s="875"/>
    </row>
    <row r="321" spans="1:18">
      <c r="A321" s="867"/>
      <c r="B321" s="867"/>
      <c r="C321" s="875"/>
      <c r="D321" s="875"/>
      <c r="E321" s="872"/>
      <c r="F321" s="872"/>
      <c r="G321" s="872"/>
      <c r="H321" s="895"/>
      <c r="I321" s="872"/>
      <c r="J321" s="875"/>
      <c r="K321" s="867"/>
      <c r="L321" s="873"/>
      <c r="M321" s="872"/>
      <c r="N321" s="867"/>
      <c r="O321" s="872"/>
      <c r="P321" s="872"/>
      <c r="Q321" s="867"/>
      <c r="R321" s="875"/>
    </row>
    <row r="322" spans="1:18">
      <c r="A322" s="867"/>
      <c r="B322" s="867"/>
      <c r="C322" s="875"/>
      <c r="D322" s="875"/>
      <c r="E322" s="872"/>
      <c r="F322" s="872"/>
      <c r="G322" s="872"/>
      <c r="H322" s="895"/>
      <c r="I322" s="872"/>
      <c r="J322" s="875"/>
      <c r="K322" s="867"/>
      <c r="L322" s="873"/>
      <c r="M322" s="872"/>
      <c r="N322" s="867"/>
      <c r="O322" s="872"/>
      <c r="P322" s="872"/>
      <c r="Q322" s="867"/>
      <c r="R322" s="875"/>
    </row>
    <row r="323" spans="1:18">
      <c r="A323" s="867"/>
      <c r="B323" s="867"/>
      <c r="C323" s="875"/>
      <c r="D323" s="875"/>
      <c r="E323" s="872"/>
      <c r="F323" s="872"/>
      <c r="G323" s="872"/>
      <c r="H323" s="895"/>
      <c r="I323" s="872"/>
      <c r="J323" s="875"/>
      <c r="K323" s="867"/>
      <c r="L323" s="873"/>
      <c r="M323" s="872"/>
      <c r="N323" s="867"/>
      <c r="O323" s="872"/>
      <c r="P323" s="872"/>
      <c r="Q323" s="867"/>
      <c r="R323" s="875"/>
    </row>
    <row r="324" spans="1:18">
      <c r="A324" s="867"/>
      <c r="B324" s="867"/>
      <c r="C324" s="875"/>
      <c r="D324" s="875"/>
      <c r="E324" s="872"/>
      <c r="F324" s="872"/>
      <c r="G324" s="872"/>
      <c r="H324" s="895"/>
      <c r="I324" s="872"/>
      <c r="J324" s="875"/>
      <c r="K324" s="867"/>
      <c r="L324" s="873"/>
      <c r="M324" s="872"/>
      <c r="N324" s="867"/>
      <c r="O324" s="872"/>
      <c r="P324" s="872"/>
      <c r="Q324" s="867"/>
      <c r="R324" s="875"/>
    </row>
    <row r="325" spans="1:18">
      <c r="A325" s="867"/>
      <c r="B325" s="867"/>
      <c r="C325" s="875"/>
      <c r="D325" s="875"/>
      <c r="E325" s="872"/>
      <c r="F325" s="872"/>
      <c r="G325" s="872"/>
      <c r="H325" s="895"/>
      <c r="I325" s="872"/>
      <c r="J325" s="875"/>
      <c r="K325" s="867"/>
      <c r="L325" s="873"/>
      <c r="M325" s="872"/>
      <c r="N325" s="867"/>
      <c r="O325" s="872"/>
      <c r="P325" s="872"/>
      <c r="Q325" s="867"/>
      <c r="R325" s="875"/>
    </row>
    <row r="326" spans="1:18">
      <c r="A326" s="867"/>
      <c r="B326" s="867"/>
      <c r="C326" s="875"/>
      <c r="D326" s="875"/>
      <c r="E326" s="872"/>
      <c r="F326" s="872"/>
      <c r="G326" s="872"/>
      <c r="H326" s="895"/>
      <c r="I326" s="872"/>
      <c r="J326" s="875"/>
      <c r="K326" s="867"/>
      <c r="L326" s="873"/>
      <c r="M326" s="872"/>
      <c r="N326" s="867"/>
      <c r="O326" s="872"/>
      <c r="P326" s="872"/>
      <c r="Q326" s="867"/>
      <c r="R326" s="875"/>
    </row>
    <row r="327" spans="1:18">
      <c r="A327" s="867"/>
      <c r="B327" s="867"/>
      <c r="C327" s="875"/>
      <c r="D327" s="875"/>
      <c r="E327" s="872"/>
      <c r="F327" s="872"/>
      <c r="G327" s="872"/>
      <c r="H327" s="895"/>
      <c r="I327" s="872"/>
      <c r="J327" s="875"/>
      <c r="K327" s="867"/>
      <c r="L327" s="873"/>
      <c r="M327" s="872"/>
      <c r="N327" s="867"/>
      <c r="O327" s="872"/>
      <c r="P327" s="872"/>
      <c r="Q327" s="867"/>
      <c r="R327" s="875"/>
    </row>
    <row r="328" spans="1:18">
      <c r="A328" s="867"/>
      <c r="B328" s="867"/>
      <c r="C328" s="875"/>
      <c r="D328" s="875"/>
      <c r="E328" s="872"/>
      <c r="F328" s="872"/>
      <c r="G328" s="872"/>
      <c r="H328" s="895"/>
      <c r="I328" s="872"/>
      <c r="J328" s="875"/>
      <c r="K328" s="867"/>
      <c r="L328" s="873"/>
      <c r="M328" s="872"/>
      <c r="N328" s="867"/>
      <c r="O328" s="872"/>
      <c r="P328" s="872"/>
      <c r="Q328" s="867"/>
      <c r="R328" s="875"/>
    </row>
    <row r="329" spans="1:18">
      <c r="A329" s="867"/>
      <c r="B329" s="867"/>
      <c r="C329" s="875"/>
      <c r="D329" s="875"/>
      <c r="E329" s="872"/>
      <c r="F329" s="872"/>
      <c r="G329" s="872"/>
      <c r="H329" s="895"/>
      <c r="I329" s="872"/>
      <c r="J329" s="875"/>
      <c r="K329" s="867"/>
      <c r="L329" s="873"/>
      <c r="M329" s="872"/>
      <c r="N329" s="867"/>
      <c r="O329" s="872"/>
      <c r="P329" s="872"/>
      <c r="Q329" s="867"/>
      <c r="R329" s="875"/>
    </row>
    <row r="330" spans="1:18">
      <c r="A330" s="867"/>
      <c r="B330" s="867"/>
      <c r="C330" s="875"/>
      <c r="D330" s="875"/>
      <c r="E330" s="872"/>
      <c r="F330" s="872"/>
      <c r="G330" s="872"/>
      <c r="H330" s="895"/>
      <c r="I330" s="872"/>
      <c r="J330" s="875"/>
      <c r="K330" s="867"/>
      <c r="L330" s="873"/>
      <c r="M330" s="872"/>
      <c r="N330" s="867"/>
      <c r="O330" s="872"/>
      <c r="P330" s="872"/>
      <c r="Q330" s="867"/>
      <c r="R330" s="875"/>
    </row>
    <row r="331" spans="1:18">
      <c r="A331" s="867"/>
      <c r="B331" s="867"/>
      <c r="C331" s="875"/>
      <c r="D331" s="875"/>
      <c r="E331" s="872"/>
      <c r="F331" s="872"/>
      <c r="G331" s="872"/>
      <c r="H331" s="895"/>
      <c r="I331" s="872"/>
      <c r="J331" s="875"/>
      <c r="K331" s="867"/>
      <c r="L331" s="873"/>
      <c r="M331" s="872"/>
      <c r="N331" s="867"/>
      <c r="O331" s="872"/>
      <c r="P331" s="872"/>
      <c r="Q331" s="867"/>
      <c r="R331" s="875"/>
    </row>
    <row r="332" spans="1:18">
      <c r="A332" s="867"/>
      <c r="B332" s="867"/>
      <c r="C332" s="875"/>
      <c r="D332" s="875"/>
      <c r="E332" s="872"/>
      <c r="F332" s="872"/>
      <c r="G332" s="872"/>
      <c r="H332" s="895"/>
      <c r="I332" s="872"/>
      <c r="J332" s="875"/>
      <c r="K332" s="867"/>
      <c r="L332" s="873"/>
      <c r="M332" s="872"/>
      <c r="N332" s="867"/>
      <c r="O332" s="872"/>
      <c r="P332" s="872"/>
      <c r="Q332" s="867"/>
      <c r="R332" s="875"/>
    </row>
    <row r="333" spans="1:18">
      <c r="A333" s="867"/>
      <c r="B333" s="867"/>
      <c r="C333" s="875"/>
      <c r="D333" s="875"/>
      <c r="E333" s="872"/>
      <c r="F333" s="872"/>
      <c r="G333" s="872"/>
      <c r="H333" s="895"/>
      <c r="I333" s="872"/>
      <c r="J333" s="875"/>
      <c r="K333" s="867"/>
      <c r="L333" s="873"/>
      <c r="M333" s="872"/>
      <c r="N333" s="867"/>
      <c r="O333" s="872"/>
      <c r="P333" s="872"/>
      <c r="Q333" s="867"/>
      <c r="R333" s="875"/>
    </row>
    <row r="334" spans="1:18">
      <c r="A334" s="867"/>
      <c r="B334" s="867"/>
      <c r="C334" s="875"/>
      <c r="D334" s="875"/>
      <c r="E334" s="872"/>
      <c r="F334" s="872"/>
      <c r="G334" s="872"/>
      <c r="H334" s="895"/>
      <c r="I334" s="872"/>
      <c r="J334" s="875"/>
      <c r="K334" s="867"/>
      <c r="L334" s="873"/>
      <c r="M334" s="872"/>
      <c r="N334" s="867"/>
      <c r="O334" s="872"/>
      <c r="P334" s="872"/>
      <c r="Q334" s="867"/>
      <c r="R334" s="875"/>
    </row>
    <row r="335" spans="1:18">
      <c r="A335" s="867"/>
      <c r="B335" s="867"/>
      <c r="C335" s="875"/>
      <c r="D335" s="875"/>
      <c r="E335" s="872"/>
      <c r="F335" s="872"/>
      <c r="G335" s="872"/>
      <c r="H335" s="895"/>
      <c r="I335" s="872"/>
      <c r="J335" s="875"/>
      <c r="K335" s="867"/>
      <c r="L335" s="873"/>
      <c r="M335" s="872"/>
      <c r="N335" s="867"/>
      <c r="O335" s="872"/>
      <c r="P335" s="872"/>
      <c r="Q335" s="867"/>
      <c r="R335" s="875"/>
    </row>
    <row r="336" spans="1:18">
      <c r="A336" s="867"/>
      <c r="B336" s="867"/>
      <c r="C336" s="875"/>
      <c r="D336" s="875"/>
      <c r="E336" s="872"/>
      <c r="F336" s="872"/>
      <c r="G336" s="872"/>
      <c r="H336" s="895"/>
      <c r="I336" s="872"/>
      <c r="J336" s="875"/>
      <c r="K336" s="867"/>
      <c r="L336" s="873"/>
      <c r="M336" s="872"/>
      <c r="N336" s="867"/>
      <c r="O336" s="872"/>
      <c r="P336" s="872"/>
      <c r="Q336" s="867"/>
      <c r="R336" s="875"/>
    </row>
    <row r="337" spans="1:18">
      <c r="A337" s="867"/>
      <c r="B337" s="867"/>
      <c r="C337" s="875"/>
      <c r="D337" s="875"/>
      <c r="E337" s="872"/>
      <c r="F337" s="872"/>
      <c r="G337" s="872"/>
      <c r="H337" s="895"/>
      <c r="I337" s="872"/>
      <c r="J337" s="875"/>
      <c r="K337" s="867"/>
      <c r="L337" s="873"/>
      <c r="M337" s="872"/>
      <c r="N337" s="867"/>
      <c r="O337" s="872"/>
      <c r="P337" s="872"/>
      <c r="Q337" s="867"/>
      <c r="R337" s="875"/>
    </row>
    <row r="338" spans="1:18">
      <c r="A338" s="867"/>
      <c r="B338" s="867"/>
      <c r="C338" s="875"/>
      <c r="D338" s="875"/>
      <c r="E338" s="872"/>
      <c r="F338" s="872"/>
      <c r="G338" s="872"/>
      <c r="H338" s="895"/>
      <c r="I338" s="872"/>
      <c r="J338" s="875"/>
      <c r="K338" s="867"/>
      <c r="L338" s="873"/>
      <c r="M338" s="872"/>
      <c r="N338" s="867"/>
      <c r="O338" s="872"/>
      <c r="P338" s="872"/>
      <c r="Q338" s="867"/>
      <c r="R338" s="875"/>
    </row>
    <row r="339" spans="1:18">
      <c r="A339" s="867"/>
      <c r="B339" s="867"/>
      <c r="C339" s="875"/>
      <c r="D339" s="875"/>
      <c r="E339" s="872"/>
      <c r="F339" s="872"/>
      <c r="G339" s="872"/>
      <c r="H339" s="895"/>
      <c r="I339" s="872"/>
      <c r="J339" s="875"/>
      <c r="K339" s="867"/>
      <c r="L339" s="873"/>
      <c r="M339" s="872"/>
      <c r="N339" s="867"/>
      <c r="O339" s="872"/>
      <c r="P339" s="872"/>
      <c r="Q339" s="867"/>
      <c r="R339" s="875"/>
    </row>
    <row r="340" spans="1:18">
      <c r="A340" s="867"/>
      <c r="B340" s="867"/>
      <c r="C340" s="875"/>
      <c r="D340" s="875"/>
      <c r="E340" s="872"/>
      <c r="F340" s="872"/>
      <c r="G340" s="872"/>
      <c r="H340" s="895"/>
      <c r="I340" s="872"/>
      <c r="J340" s="875"/>
      <c r="K340" s="867"/>
      <c r="L340" s="873"/>
      <c r="M340" s="872"/>
      <c r="N340" s="867"/>
      <c r="O340" s="872"/>
      <c r="P340" s="872"/>
      <c r="Q340" s="867"/>
      <c r="R340" s="875"/>
    </row>
    <row r="341" spans="1:18">
      <c r="A341" s="867"/>
      <c r="B341" s="867"/>
      <c r="C341" s="875"/>
      <c r="D341" s="875"/>
      <c r="E341" s="872"/>
      <c r="F341" s="872"/>
      <c r="G341" s="872"/>
      <c r="H341" s="895"/>
      <c r="I341" s="872"/>
      <c r="J341" s="875"/>
      <c r="K341" s="867"/>
      <c r="L341" s="873"/>
      <c r="M341" s="872"/>
      <c r="N341" s="867"/>
      <c r="O341" s="872"/>
      <c r="P341" s="872"/>
      <c r="Q341" s="867"/>
      <c r="R341" s="875"/>
    </row>
    <row r="342" spans="1:18">
      <c r="A342" s="867"/>
      <c r="B342" s="867"/>
      <c r="C342" s="875"/>
      <c r="D342" s="875"/>
      <c r="E342" s="872"/>
      <c r="F342" s="872"/>
      <c r="G342" s="872"/>
      <c r="H342" s="895"/>
      <c r="I342" s="872"/>
      <c r="J342" s="875"/>
      <c r="K342" s="867"/>
      <c r="L342" s="873"/>
      <c r="M342" s="872"/>
      <c r="N342" s="867"/>
      <c r="O342" s="872"/>
      <c r="P342" s="872"/>
      <c r="Q342" s="867"/>
      <c r="R342" s="875"/>
    </row>
    <row r="343" spans="1:18">
      <c r="A343" s="867"/>
      <c r="B343" s="867"/>
      <c r="C343" s="875"/>
      <c r="D343" s="875"/>
      <c r="E343" s="872"/>
      <c r="F343" s="872"/>
      <c r="G343" s="872"/>
      <c r="H343" s="895"/>
      <c r="I343" s="872"/>
      <c r="J343" s="875"/>
      <c r="K343" s="867"/>
      <c r="L343" s="873"/>
      <c r="M343" s="872"/>
      <c r="N343" s="867"/>
      <c r="O343" s="872"/>
      <c r="P343" s="872"/>
      <c r="Q343" s="867"/>
      <c r="R343" s="875"/>
    </row>
    <row r="344" spans="1:18">
      <c r="A344" s="867"/>
      <c r="B344" s="867"/>
      <c r="C344" s="875"/>
      <c r="D344" s="875"/>
      <c r="E344" s="872"/>
      <c r="F344" s="872"/>
      <c r="G344" s="872"/>
      <c r="H344" s="895"/>
      <c r="I344" s="872"/>
      <c r="J344" s="875"/>
      <c r="K344" s="867"/>
      <c r="L344" s="873"/>
      <c r="M344" s="872"/>
      <c r="N344" s="867"/>
      <c r="O344" s="872"/>
      <c r="P344" s="872"/>
      <c r="Q344" s="867"/>
      <c r="R344" s="875"/>
    </row>
    <row r="345" spans="1:18">
      <c r="A345" s="867"/>
      <c r="B345" s="867"/>
      <c r="C345" s="875"/>
      <c r="D345" s="875"/>
      <c r="E345" s="872"/>
      <c r="F345" s="872"/>
      <c r="G345" s="872"/>
      <c r="H345" s="895"/>
      <c r="I345" s="872"/>
      <c r="J345" s="875"/>
      <c r="K345" s="867"/>
      <c r="L345" s="873"/>
      <c r="M345" s="872"/>
      <c r="N345" s="867"/>
      <c r="O345" s="872"/>
      <c r="P345" s="872"/>
      <c r="Q345" s="867"/>
      <c r="R345" s="875"/>
    </row>
    <row r="346" spans="1:18">
      <c r="A346" s="867"/>
      <c r="B346" s="867"/>
      <c r="C346" s="875"/>
      <c r="D346" s="875"/>
      <c r="E346" s="872"/>
      <c r="F346" s="872"/>
      <c r="G346" s="872"/>
      <c r="H346" s="895"/>
      <c r="I346" s="872"/>
      <c r="J346" s="875"/>
      <c r="K346" s="867"/>
      <c r="L346" s="873"/>
      <c r="M346" s="872"/>
      <c r="N346" s="867"/>
      <c r="O346" s="872"/>
      <c r="P346" s="872"/>
      <c r="Q346" s="867"/>
      <c r="R346" s="875"/>
    </row>
    <row r="347" spans="1:18">
      <c r="A347" s="867"/>
      <c r="B347" s="867"/>
      <c r="C347" s="875"/>
      <c r="D347" s="875"/>
      <c r="E347" s="872"/>
      <c r="F347" s="872"/>
      <c r="G347" s="872"/>
      <c r="H347" s="895"/>
      <c r="I347" s="872"/>
      <c r="J347" s="875"/>
      <c r="K347" s="867"/>
      <c r="L347" s="873"/>
      <c r="M347" s="872"/>
      <c r="N347" s="867"/>
      <c r="O347" s="872"/>
      <c r="P347" s="872"/>
      <c r="Q347" s="867"/>
      <c r="R347" s="875"/>
    </row>
    <row r="348" spans="1:18">
      <c r="A348" s="867"/>
      <c r="B348" s="867"/>
      <c r="C348" s="875"/>
      <c r="D348" s="875"/>
      <c r="E348" s="872"/>
      <c r="F348" s="872"/>
      <c r="G348" s="872"/>
      <c r="H348" s="895"/>
      <c r="I348" s="872"/>
      <c r="J348" s="875"/>
      <c r="K348" s="867"/>
      <c r="L348" s="873"/>
      <c r="M348" s="872"/>
      <c r="N348" s="867"/>
      <c r="O348" s="872"/>
      <c r="P348" s="872"/>
      <c r="Q348" s="867"/>
      <c r="R348" s="875"/>
    </row>
    <row r="349" spans="1:18">
      <c r="A349" s="867"/>
      <c r="B349" s="867"/>
      <c r="C349" s="875"/>
      <c r="D349" s="875"/>
      <c r="E349" s="872"/>
      <c r="F349" s="872"/>
      <c r="G349" s="872"/>
      <c r="H349" s="895"/>
      <c r="I349" s="872"/>
      <c r="J349" s="875"/>
      <c r="K349" s="867"/>
      <c r="L349" s="873"/>
      <c r="M349" s="872"/>
      <c r="N349" s="867"/>
      <c r="O349" s="872"/>
      <c r="P349" s="872"/>
      <c r="Q349" s="867"/>
      <c r="R349" s="875"/>
    </row>
    <row r="350" spans="1:18">
      <c r="A350" s="867"/>
      <c r="B350" s="867"/>
      <c r="C350" s="875"/>
      <c r="D350" s="875"/>
      <c r="E350" s="872"/>
      <c r="F350" s="872"/>
      <c r="G350" s="872"/>
      <c r="H350" s="895"/>
      <c r="I350" s="872"/>
      <c r="J350" s="875"/>
      <c r="K350" s="867"/>
      <c r="L350" s="873"/>
      <c r="M350" s="872"/>
      <c r="N350" s="867"/>
      <c r="O350" s="872"/>
      <c r="P350" s="872"/>
      <c r="Q350" s="867"/>
      <c r="R350" s="875"/>
    </row>
    <row r="351" spans="1:18">
      <c r="A351" s="867"/>
      <c r="B351" s="867"/>
      <c r="C351" s="875"/>
      <c r="D351" s="875"/>
      <c r="E351" s="872"/>
      <c r="F351" s="872"/>
      <c r="G351" s="872"/>
      <c r="H351" s="895"/>
      <c r="I351" s="872"/>
      <c r="J351" s="875"/>
      <c r="K351" s="867"/>
      <c r="L351" s="873"/>
      <c r="M351" s="872"/>
      <c r="N351" s="867"/>
      <c r="O351" s="872"/>
      <c r="P351" s="872"/>
      <c r="Q351" s="867"/>
      <c r="R351" s="875"/>
    </row>
    <row r="352" spans="1:18">
      <c r="A352" s="867"/>
      <c r="B352" s="867"/>
      <c r="C352" s="875"/>
      <c r="D352" s="875"/>
      <c r="E352" s="872"/>
      <c r="F352" s="872"/>
      <c r="G352" s="872"/>
      <c r="H352" s="895"/>
      <c r="I352" s="872"/>
      <c r="J352" s="875"/>
      <c r="K352" s="867"/>
      <c r="L352" s="873"/>
      <c r="M352" s="872"/>
      <c r="N352" s="867"/>
      <c r="O352" s="872"/>
      <c r="P352" s="872"/>
      <c r="Q352" s="867"/>
      <c r="R352" s="875"/>
    </row>
    <row r="353" spans="1:18">
      <c r="A353" s="867"/>
      <c r="B353" s="867"/>
      <c r="C353" s="875"/>
      <c r="D353" s="875"/>
      <c r="E353" s="872"/>
      <c r="F353" s="872"/>
      <c r="G353" s="872"/>
      <c r="H353" s="895"/>
      <c r="I353" s="872"/>
      <c r="J353" s="875"/>
      <c r="K353" s="867"/>
      <c r="L353" s="873"/>
      <c r="M353" s="872"/>
      <c r="N353" s="867"/>
      <c r="O353" s="872"/>
      <c r="P353" s="872"/>
      <c r="Q353" s="867"/>
      <c r="R353" s="875"/>
    </row>
    <row r="354" spans="1:18">
      <c r="A354" s="867"/>
      <c r="B354" s="867"/>
      <c r="C354" s="875"/>
      <c r="D354" s="875"/>
      <c r="E354" s="872"/>
      <c r="F354" s="872"/>
      <c r="G354" s="872"/>
      <c r="H354" s="895"/>
      <c r="I354" s="872"/>
      <c r="J354" s="875"/>
      <c r="K354" s="867"/>
      <c r="L354" s="873"/>
      <c r="M354" s="872"/>
      <c r="N354" s="867"/>
      <c r="O354" s="872"/>
      <c r="P354" s="872"/>
      <c r="Q354" s="867"/>
      <c r="R354" s="875"/>
    </row>
    <row r="355" spans="1:18">
      <c r="A355" s="867"/>
      <c r="B355" s="867"/>
      <c r="C355" s="875"/>
      <c r="D355" s="875"/>
      <c r="E355" s="872"/>
      <c r="F355" s="872"/>
      <c r="G355" s="872"/>
      <c r="H355" s="895"/>
      <c r="I355" s="872"/>
      <c r="J355" s="875"/>
      <c r="K355" s="867"/>
      <c r="L355" s="873"/>
      <c r="M355" s="872"/>
      <c r="N355" s="867"/>
      <c r="O355" s="872"/>
      <c r="P355" s="872"/>
      <c r="Q355" s="867"/>
      <c r="R355" s="875"/>
    </row>
    <row r="356" spans="1:18">
      <c r="A356" s="867"/>
      <c r="B356" s="867"/>
      <c r="C356" s="875"/>
      <c r="D356" s="875"/>
      <c r="E356" s="872"/>
      <c r="F356" s="872"/>
      <c r="G356" s="872"/>
      <c r="H356" s="895"/>
      <c r="I356" s="872"/>
      <c r="J356" s="875"/>
      <c r="K356" s="867"/>
      <c r="L356" s="873"/>
      <c r="M356" s="872"/>
      <c r="N356" s="867"/>
      <c r="O356" s="872"/>
      <c r="P356" s="872"/>
      <c r="Q356" s="867"/>
      <c r="R356" s="875"/>
    </row>
    <row r="357" spans="1:18">
      <c r="A357" s="867"/>
      <c r="B357" s="867"/>
      <c r="C357" s="875"/>
      <c r="D357" s="875"/>
      <c r="E357" s="872"/>
      <c r="F357" s="872"/>
      <c r="G357" s="872"/>
      <c r="H357" s="895"/>
      <c r="I357" s="872"/>
      <c r="J357" s="875"/>
      <c r="K357" s="867"/>
      <c r="L357" s="873"/>
      <c r="M357" s="872"/>
      <c r="N357" s="867"/>
      <c r="O357" s="872"/>
      <c r="P357" s="872"/>
      <c r="Q357" s="867"/>
      <c r="R357" s="875"/>
    </row>
    <row r="358" spans="1:18">
      <c r="A358" s="867"/>
      <c r="B358" s="867"/>
      <c r="C358" s="875"/>
      <c r="D358" s="875"/>
      <c r="E358" s="872"/>
      <c r="F358" s="872"/>
      <c r="G358" s="872"/>
      <c r="H358" s="895"/>
      <c r="I358" s="872"/>
      <c r="J358" s="875"/>
      <c r="K358" s="867"/>
      <c r="L358" s="873"/>
      <c r="M358" s="872"/>
      <c r="N358" s="867"/>
      <c r="O358" s="872"/>
      <c r="P358" s="872"/>
      <c r="Q358" s="867"/>
      <c r="R358" s="875"/>
    </row>
    <row r="359" spans="1:18">
      <c r="A359" s="867"/>
      <c r="B359" s="867"/>
      <c r="C359" s="875"/>
      <c r="D359" s="875"/>
      <c r="E359" s="872"/>
      <c r="F359" s="872"/>
      <c r="G359" s="872"/>
      <c r="H359" s="895"/>
      <c r="I359" s="872"/>
      <c r="J359" s="875"/>
      <c r="K359" s="867"/>
      <c r="L359" s="873"/>
      <c r="M359" s="872"/>
      <c r="N359" s="867"/>
      <c r="O359" s="872"/>
      <c r="P359" s="872"/>
      <c r="Q359" s="867"/>
      <c r="R359" s="875"/>
    </row>
    <row r="360" spans="1:18">
      <c r="A360" s="867"/>
      <c r="B360" s="867"/>
      <c r="C360" s="875"/>
      <c r="D360" s="875"/>
      <c r="E360" s="872"/>
      <c r="F360" s="872"/>
      <c r="G360" s="872"/>
      <c r="H360" s="895"/>
      <c r="I360" s="872"/>
      <c r="J360" s="875"/>
      <c r="K360" s="867"/>
      <c r="L360" s="873"/>
      <c r="M360" s="872"/>
      <c r="N360" s="867"/>
      <c r="O360" s="872"/>
      <c r="P360" s="872"/>
      <c r="Q360" s="867"/>
      <c r="R360" s="875"/>
    </row>
    <row r="361" spans="1:18">
      <c r="A361" s="867"/>
      <c r="B361" s="867"/>
      <c r="C361" s="875"/>
      <c r="D361" s="875"/>
      <c r="E361" s="872"/>
      <c r="F361" s="872"/>
      <c r="G361" s="872"/>
      <c r="H361" s="895"/>
      <c r="I361" s="872"/>
      <c r="J361" s="875"/>
      <c r="K361" s="867"/>
      <c r="L361" s="873"/>
      <c r="M361" s="872"/>
      <c r="N361" s="867"/>
      <c r="O361" s="872"/>
      <c r="P361" s="872"/>
      <c r="Q361" s="867"/>
      <c r="R361" s="875"/>
    </row>
    <row r="362" spans="1:18">
      <c r="A362" s="867"/>
      <c r="B362" s="867"/>
      <c r="C362" s="875"/>
      <c r="D362" s="875"/>
      <c r="E362" s="872"/>
      <c r="F362" s="872"/>
      <c r="G362" s="872"/>
      <c r="H362" s="895"/>
      <c r="I362" s="872"/>
      <c r="J362" s="875"/>
      <c r="K362" s="867"/>
      <c r="L362" s="873"/>
      <c r="M362" s="872"/>
      <c r="N362" s="867"/>
      <c r="O362" s="872"/>
      <c r="P362" s="872"/>
      <c r="Q362" s="867"/>
      <c r="R362" s="875"/>
    </row>
    <row r="363" spans="1:18">
      <c r="A363" s="867"/>
      <c r="B363" s="867"/>
      <c r="C363" s="875"/>
      <c r="D363" s="875"/>
      <c r="E363" s="872"/>
      <c r="F363" s="872"/>
      <c r="G363" s="872"/>
      <c r="H363" s="895"/>
      <c r="I363" s="872"/>
      <c r="J363" s="875"/>
      <c r="K363" s="867"/>
      <c r="L363" s="873"/>
      <c r="M363" s="872"/>
      <c r="N363" s="867"/>
      <c r="O363" s="872"/>
      <c r="P363" s="872"/>
      <c r="Q363" s="867"/>
      <c r="R363" s="875"/>
    </row>
    <row r="364" spans="1:18">
      <c r="A364" s="867"/>
      <c r="B364" s="867"/>
      <c r="C364" s="875"/>
      <c r="D364" s="875"/>
      <c r="E364" s="872"/>
      <c r="F364" s="872"/>
      <c r="G364" s="872"/>
      <c r="H364" s="895"/>
      <c r="I364" s="872"/>
      <c r="J364" s="875"/>
      <c r="K364" s="867"/>
      <c r="L364" s="873"/>
      <c r="M364" s="872"/>
      <c r="N364" s="867"/>
      <c r="O364" s="872"/>
      <c r="P364" s="872"/>
      <c r="Q364" s="867"/>
      <c r="R364" s="875"/>
    </row>
    <row r="365" spans="1:18">
      <c r="A365" s="867"/>
      <c r="B365" s="867"/>
      <c r="C365" s="875"/>
      <c r="D365" s="875"/>
      <c r="E365" s="872"/>
      <c r="F365" s="872"/>
      <c r="G365" s="872"/>
      <c r="H365" s="895"/>
      <c r="I365" s="872"/>
      <c r="J365" s="875"/>
      <c r="K365" s="867"/>
      <c r="L365" s="873"/>
      <c r="M365" s="872"/>
      <c r="N365" s="867"/>
      <c r="O365" s="872"/>
      <c r="P365" s="872"/>
      <c r="Q365" s="867"/>
      <c r="R365" s="875"/>
    </row>
    <row r="366" spans="1:18">
      <c r="A366" s="867"/>
      <c r="B366" s="867"/>
      <c r="C366" s="875"/>
      <c r="D366" s="875"/>
      <c r="E366" s="872"/>
      <c r="F366" s="872"/>
      <c r="G366" s="872"/>
      <c r="H366" s="895"/>
      <c r="I366" s="872"/>
      <c r="J366" s="875"/>
      <c r="K366" s="867"/>
      <c r="L366" s="873"/>
      <c r="M366" s="872"/>
      <c r="N366" s="867"/>
      <c r="O366" s="872"/>
      <c r="P366" s="872"/>
      <c r="Q366" s="867"/>
      <c r="R366" s="875"/>
    </row>
    <row r="367" spans="1:18">
      <c r="A367" s="867"/>
      <c r="B367" s="867"/>
      <c r="C367" s="875"/>
      <c r="D367" s="875"/>
      <c r="E367" s="872"/>
      <c r="F367" s="872"/>
      <c r="G367" s="872"/>
      <c r="H367" s="895"/>
      <c r="I367" s="872"/>
      <c r="J367" s="875"/>
      <c r="K367" s="867"/>
      <c r="L367" s="873"/>
      <c r="M367" s="872"/>
      <c r="N367" s="867"/>
      <c r="O367" s="872"/>
      <c r="P367" s="872"/>
      <c r="Q367" s="867"/>
      <c r="R367" s="875"/>
    </row>
    <row r="368" spans="1:18">
      <c r="A368" s="867"/>
      <c r="B368" s="867"/>
      <c r="C368" s="875"/>
      <c r="D368" s="875"/>
      <c r="E368" s="872"/>
      <c r="F368" s="872"/>
      <c r="G368" s="872"/>
      <c r="H368" s="895"/>
      <c r="I368" s="872"/>
      <c r="J368" s="875"/>
      <c r="K368" s="867"/>
      <c r="L368" s="873"/>
      <c r="M368" s="872"/>
      <c r="N368" s="867"/>
      <c r="O368" s="872"/>
      <c r="P368" s="872"/>
      <c r="Q368" s="867"/>
      <c r="R368" s="875"/>
    </row>
    <row r="369" spans="1:18">
      <c r="A369" s="867"/>
      <c r="B369" s="867"/>
      <c r="C369" s="875"/>
      <c r="D369" s="875"/>
      <c r="E369" s="872"/>
      <c r="F369" s="872"/>
      <c r="G369" s="872"/>
      <c r="H369" s="895"/>
      <c r="I369" s="872"/>
      <c r="J369" s="875"/>
      <c r="K369" s="867"/>
      <c r="L369" s="873"/>
      <c r="M369" s="872"/>
      <c r="N369" s="867"/>
      <c r="O369" s="872"/>
      <c r="P369" s="872"/>
      <c r="Q369" s="867"/>
      <c r="R369" s="875"/>
    </row>
    <row r="370" spans="1:18">
      <c r="A370" s="867"/>
      <c r="B370" s="867"/>
      <c r="C370" s="875"/>
      <c r="D370" s="875"/>
      <c r="E370" s="872"/>
      <c r="F370" s="872"/>
      <c r="G370" s="872"/>
      <c r="H370" s="895"/>
      <c r="I370" s="872"/>
      <c r="J370" s="875"/>
      <c r="K370" s="867"/>
      <c r="L370" s="873"/>
      <c r="M370" s="872"/>
      <c r="N370" s="867"/>
      <c r="O370" s="872"/>
      <c r="P370" s="872"/>
      <c r="Q370" s="867"/>
      <c r="R370" s="875"/>
    </row>
    <row r="371" spans="1:18">
      <c r="A371" s="867"/>
      <c r="B371" s="867"/>
      <c r="C371" s="875"/>
      <c r="D371" s="875"/>
      <c r="E371" s="872"/>
      <c r="F371" s="872"/>
      <c r="G371" s="872"/>
      <c r="H371" s="895"/>
      <c r="I371" s="872"/>
      <c r="J371" s="875"/>
      <c r="K371" s="867"/>
      <c r="L371" s="873"/>
      <c r="M371" s="872"/>
      <c r="N371" s="867"/>
      <c r="O371" s="872"/>
      <c r="P371" s="872"/>
      <c r="Q371" s="867"/>
      <c r="R371" s="875"/>
    </row>
    <row r="372" spans="1:18">
      <c r="A372" s="867"/>
      <c r="B372" s="867"/>
      <c r="C372" s="875"/>
      <c r="D372" s="875"/>
      <c r="E372" s="872"/>
      <c r="F372" s="872"/>
      <c r="G372" s="872"/>
      <c r="H372" s="895"/>
      <c r="I372" s="872"/>
      <c r="J372" s="875"/>
      <c r="K372" s="867"/>
      <c r="L372" s="873"/>
      <c r="M372" s="872"/>
      <c r="N372" s="867"/>
      <c r="O372" s="872"/>
      <c r="P372" s="872"/>
      <c r="Q372" s="867"/>
      <c r="R372" s="875"/>
    </row>
    <row r="373" spans="1:18">
      <c r="A373" s="867"/>
      <c r="B373" s="867"/>
      <c r="C373" s="875"/>
      <c r="D373" s="875"/>
      <c r="E373" s="872"/>
      <c r="F373" s="872"/>
      <c r="G373" s="872"/>
      <c r="H373" s="895"/>
      <c r="I373" s="872"/>
      <c r="J373" s="875"/>
      <c r="K373" s="867"/>
      <c r="L373" s="873"/>
      <c r="M373" s="872"/>
      <c r="N373" s="867"/>
      <c r="O373" s="872"/>
      <c r="P373" s="872"/>
      <c r="Q373" s="867"/>
      <c r="R373" s="875"/>
    </row>
    <row r="374" spans="1:18">
      <c r="A374" s="867"/>
      <c r="B374" s="867"/>
      <c r="C374" s="875"/>
      <c r="D374" s="875"/>
      <c r="E374" s="872"/>
      <c r="F374" s="872"/>
      <c r="G374" s="872"/>
      <c r="H374" s="895"/>
      <c r="I374" s="872"/>
      <c r="J374" s="875"/>
      <c r="K374" s="867"/>
      <c r="L374" s="873"/>
      <c r="M374" s="872"/>
      <c r="N374" s="867"/>
      <c r="O374" s="872"/>
      <c r="P374" s="872"/>
      <c r="Q374" s="867"/>
      <c r="R374" s="875"/>
    </row>
    <row r="375" spans="1:18">
      <c r="A375" s="867"/>
      <c r="B375" s="867"/>
      <c r="C375" s="875"/>
      <c r="D375" s="875"/>
      <c r="E375" s="872"/>
      <c r="F375" s="872"/>
      <c r="G375" s="872"/>
      <c r="H375" s="895"/>
      <c r="I375" s="872"/>
      <c r="J375" s="875"/>
      <c r="K375" s="867"/>
      <c r="L375" s="873"/>
      <c r="M375" s="872"/>
      <c r="N375" s="867"/>
      <c r="O375" s="872"/>
      <c r="P375" s="872"/>
      <c r="Q375" s="867"/>
      <c r="R375" s="875"/>
    </row>
    <row r="376" spans="1:18">
      <c r="A376" s="867"/>
      <c r="B376" s="867"/>
      <c r="C376" s="875"/>
      <c r="D376" s="875"/>
      <c r="E376" s="872"/>
      <c r="F376" s="872"/>
      <c r="G376" s="872"/>
      <c r="H376" s="895"/>
      <c r="I376" s="872"/>
      <c r="J376" s="875"/>
      <c r="K376" s="867"/>
      <c r="L376" s="873"/>
      <c r="M376" s="872"/>
      <c r="N376" s="867"/>
      <c r="O376" s="872"/>
      <c r="P376" s="872"/>
      <c r="Q376" s="867"/>
      <c r="R376" s="875"/>
    </row>
    <row r="377" spans="1:18">
      <c r="A377" s="867"/>
      <c r="B377" s="867"/>
      <c r="C377" s="875"/>
      <c r="D377" s="875"/>
      <c r="E377" s="872"/>
      <c r="F377" s="872"/>
      <c r="G377" s="872"/>
      <c r="H377" s="895"/>
      <c r="I377" s="872"/>
      <c r="J377" s="875"/>
      <c r="K377" s="867"/>
      <c r="L377" s="873"/>
      <c r="M377" s="872"/>
      <c r="N377" s="867"/>
      <c r="O377" s="872"/>
      <c r="P377" s="872"/>
      <c r="Q377" s="867"/>
      <c r="R377" s="875"/>
    </row>
    <row r="378" spans="1:18">
      <c r="A378" s="867"/>
      <c r="B378" s="867"/>
      <c r="C378" s="875"/>
      <c r="D378" s="875"/>
      <c r="E378" s="872"/>
      <c r="F378" s="872"/>
      <c r="G378" s="872"/>
      <c r="H378" s="895"/>
      <c r="I378" s="872"/>
      <c r="J378" s="875"/>
      <c r="K378" s="867"/>
      <c r="L378" s="873"/>
      <c r="M378" s="872"/>
      <c r="N378" s="867"/>
      <c r="O378" s="872"/>
      <c r="P378" s="872"/>
      <c r="Q378" s="867"/>
      <c r="R378" s="875"/>
    </row>
    <row r="379" spans="1:18">
      <c r="A379" s="867"/>
      <c r="B379" s="867"/>
      <c r="C379" s="875"/>
      <c r="D379" s="875"/>
      <c r="E379" s="872"/>
      <c r="F379" s="872"/>
      <c r="G379" s="872"/>
      <c r="H379" s="895"/>
      <c r="I379" s="872"/>
      <c r="J379" s="875"/>
      <c r="K379" s="867"/>
      <c r="L379" s="873"/>
      <c r="M379" s="872"/>
      <c r="N379" s="867"/>
      <c r="O379" s="872"/>
      <c r="P379" s="872"/>
      <c r="Q379" s="867"/>
      <c r="R379" s="875"/>
    </row>
    <row r="380" spans="1:18">
      <c r="A380" s="867"/>
      <c r="B380" s="867"/>
      <c r="C380" s="875"/>
      <c r="D380" s="875"/>
      <c r="E380" s="872"/>
      <c r="F380" s="872"/>
      <c r="G380" s="872"/>
      <c r="H380" s="895"/>
      <c r="I380" s="872"/>
      <c r="J380" s="875"/>
      <c r="K380" s="867"/>
      <c r="L380" s="873"/>
      <c r="M380" s="872"/>
      <c r="N380" s="867"/>
      <c r="O380" s="872"/>
      <c r="P380" s="872"/>
      <c r="Q380" s="867"/>
      <c r="R380" s="875"/>
    </row>
    <row r="381" spans="1:18">
      <c r="A381" s="867"/>
      <c r="B381" s="867"/>
      <c r="C381" s="875"/>
      <c r="D381" s="875"/>
      <c r="E381" s="872"/>
      <c r="F381" s="872"/>
      <c r="G381" s="872"/>
      <c r="H381" s="895"/>
      <c r="I381" s="872"/>
      <c r="J381" s="875"/>
      <c r="K381" s="867"/>
      <c r="L381" s="873"/>
      <c r="M381" s="872"/>
      <c r="N381" s="867"/>
      <c r="O381" s="872"/>
      <c r="P381" s="872"/>
      <c r="Q381" s="867"/>
      <c r="R381" s="875"/>
    </row>
    <row r="382" spans="1:18">
      <c r="A382" s="867"/>
      <c r="B382" s="867"/>
      <c r="C382" s="875"/>
      <c r="D382" s="875"/>
      <c r="E382" s="872"/>
      <c r="F382" s="872"/>
      <c r="G382" s="872"/>
      <c r="H382" s="895"/>
      <c r="I382" s="872"/>
      <c r="J382" s="875"/>
      <c r="K382" s="867"/>
      <c r="L382" s="873"/>
      <c r="M382" s="872"/>
      <c r="N382" s="867"/>
      <c r="O382" s="872"/>
      <c r="P382" s="872"/>
      <c r="Q382" s="867"/>
      <c r="R382" s="875"/>
    </row>
    <row r="383" spans="1:18">
      <c r="A383" s="867"/>
      <c r="B383" s="867"/>
      <c r="C383" s="875"/>
      <c r="D383" s="875"/>
      <c r="E383" s="872"/>
      <c r="F383" s="872"/>
      <c r="G383" s="872"/>
      <c r="H383" s="895"/>
      <c r="I383" s="872"/>
      <c r="J383" s="875"/>
      <c r="K383" s="867"/>
      <c r="L383" s="873"/>
      <c r="M383" s="872"/>
      <c r="N383" s="867"/>
      <c r="O383" s="872"/>
      <c r="P383" s="872"/>
      <c r="Q383" s="867"/>
      <c r="R383" s="875"/>
    </row>
    <row r="384" spans="1:18">
      <c r="A384" s="867"/>
      <c r="B384" s="867"/>
      <c r="C384" s="875"/>
      <c r="D384" s="875"/>
      <c r="E384" s="872"/>
      <c r="F384" s="872"/>
      <c r="G384" s="872"/>
      <c r="H384" s="895"/>
      <c r="I384" s="872"/>
      <c r="J384" s="875"/>
      <c r="K384" s="867"/>
      <c r="L384" s="873"/>
      <c r="M384" s="872"/>
      <c r="N384" s="867"/>
      <c r="O384" s="872"/>
      <c r="P384" s="872"/>
      <c r="Q384" s="867"/>
      <c r="R384" s="875"/>
    </row>
    <row r="385" spans="1:18">
      <c r="A385" s="867"/>
      <c r="B385" s="867"/>
      <c r="C385" s="875"/>
      <c r="D385" s="875"/>
      <c r="E385" s="872"/>
      <c r="F385" s="872"/>
      <c r="G385" s="872"/>
      <c r="H385" s="895"/>
      <c r="I385" s="872"/>
      <c r="J385" s="875"/>
      <c r="K385" s="867"/>
      <c r="L385" s="873"/>
      <c r="M385" s="872"/>
      <c r="N385" s="867"/>
      <c r="O385" s="872"/>
      <c r="P385" s="872"/>
      <c r="Q385" s="867"/>
      <c r="R385" s="875"/>
    </row>
    <row r="386" spans="1:18">
      <c r="A386" s="867"/>
      <c r="B386" s="867"/>
      <c r="C386" s="875"/>
      <c r="D386" s="875"/>
      <c r="E386" s="872"/>
      <c r="F386" s="872"/>
      <c r="G386" s="872"/>
      <c r="H386" s="895"/>
      <c r="I386" s="872"/>
      <c r="J386" s="875"/>
      <c r="K386" s="867"/>
      <c r="L386" s="873"/>
      <c r="M386" s="872"/>
      <c r="N386" s="867"/>
      <c r="O386" s="872"/>
      <c r="P386" s="872"/>
      <c r="Q386" s="867"/>
      <c r="R386" s="875"/>
    </row>
    <row r="387" spans="1:18">
      <c r="A387" s="867"/>
      <c r="B387" s="867"/>
      <c r="C387" s="875"/>
      <c r="D387" s="875"/>
      <c r="E387" s="872"/>
      <c r="F387" s="872"/>
      <c r="G387" s="872"/>
      <c r="H387" s="895"/>
      <c r="I387" s="872"/>
      <c r="J387" s="875"/>
      <c r="K387" s="867"/>
      <c r="L387" s="873"/>
      <c r="M387" s="872"/>
      <c r="N387" s="867"/>
      <c r="O387" s="872"/>
      <c r="P387" s="872"/>
      <c r="Q387" s="867"/>
      <c r="R387" s="875"/>
    </row>
    <row r="388" spans="1:18">
      <c r="A388" s="867"/>
      <c r="B388" s="867"/>
      <c r="C388" s="875"/>
      <c r="D388" s="875"/>
      <c r="E388" s="872"/>
      <c r="F388" s="872"/>
      <c r="G388" s="872"/>
      <c r="H388" s="895"/>
      <c r="I388" s="872"/>
      <c r="J388" s="875"/>
      <c r="K388" s="867"/>
      <c r="L388" s="873"/>
      <c r="M388" s="872"/>
      <c r="N388" s="867"/>
      <c r="O388" s="872"/>
      <c r="P388" s="872"/>
      <c r="Q388" s="867"/>
      <c r="R388" s="875"/>
    </row>
    <row r="389" spans="1:18">
      <c r="A389" s="867"/>
      <c r="B389" s="867"/>
      <c r="C389" s="875"/>
      <c r="D389" s="875"/>
      <c r="E389" s="872"/>
      <c r="F389" s="872"/>
      <c r="G389" s="872"/>
      <c r="H389" s="895"/>
      <c r="I389" s="872"/>
      <c r="J389" s="875"/>
      <c r="K389" s="867"/>
      <c r="L389" s="873"/>
      <c r="M389" s="872"/>
      <c r="N389" s="867"/>
      <c r="O389" s="872"/>
      <c r="P389" s="872"/>
      <c r="Q389" s="867"/>
      <c r="R389" s="875"/>
    </row>
    <row r="390" spans="1:18">
      <c r="A390" s="867"/>
      <c r="B390" s="867"/>
      <c r="C390" s="875"/>
      <c r="D390" s="875"/>
      <c r="E390" s="872"/>
      <c r="F390" s="872"/>
      <c r="G390" s="872"/>
      <c r="H390" s="895"/>
      <c r="I390" s="872"/>
      <c r="J390" s="875"/>
      <c r="K390" s="867"/>
      <c r="L390" s="873"/>
      <c r="M390" s="872"/>
      <c r="N390" s="867"/>
      <c r="O390" s="872"/>
      <c r="P390" s="872"/>
      <c r="Q390" s="867"/>
      <c r="R390" s="875"/>
    </row>
    <row r="391" spans="1:18">
      <c r="A391" s="867"/>
      <c r="B391" s="867"/>
      <c r="C391" s="875"/>
      <c r="D391" s="875"/>
      <c r="E391" s="872"/>
      <c r="F391" s="872"/>
      <c r="G391" s="872"/>
      <c r="H391" s="895"/>
      <c r="I391" s="872"/>
      <c r="J391" s="875"/>
      <c r="K391" s="867"/>
      <c r="L391" s="873"/>
      <c r="M391" s="872"/>
      <c r="N391" s="867"/>
      <c r="O391" s="872"/>
      <c r="P391" s="872"/>
      <c r="Q391" s="867"/>
      <c r="R391" s="875"/>
    </row>
    <row r="392" spans="1:18">
      <c r="A392" s="867"/>
      <c r="B392" s="867"/>
      <c r="C392" s="875"/>
      <c r="D392" s="875"/>
      <c r="E392" s="872"/>
      <c r="F392" s="872"/>
      <c r="G392" s="872"/>
      <c r="H392" s="895"/>
      <c r="I392" s="872"/>
      <c r="J392" s="875"/>
      <c r="K392" s="867"/>
      <c r="L392" s="873"/>
      <c r="M392" s="872"/>
      <c r="N392" s="867"/>
      <c r="O392" s="872"/>
      <c r="P392" s="872"/>
      <c r="Q392" s="867"/>
      <c r="R392" s="875"/>
    </row>
    <row r="393" spans="1:18">
      <c r="A393" s="867"/>
      <c r="B393" s="867"/>
      <c r="C393" s="875"/>
      <c r="D393" s="875"/>
      <c r="E393" s="872"/>
      <c r="F393" s="872"/>
      <c r="G393" s="872"/>
      <c r="H393" s="895"/>
      <c r="I393" s="872"/>
      <c r="J393" s="875"/>
      <c r="K393" s="867"/>
      <c r="L393" s="873"/>
      <c r="M393" s="872"/>
      <c r="N393" s="867"/>
      <c r="O393" s="872"/>
      <c r="P393" s="872"/>
      <c r="Q393" s="867"/>
      <c r="R393" s="875"/>
    </row>
    <row r="394" spans="1:18">
      <c r="A394" s="867"/>
      <c r="B394" s="867"/>
      <c r="C394" s="875"/>
      <c r="D394" s="875"/>
      <c r="E394" s="872"/>
      <c r="F394" s="872"/>
      <c r="G394" s="872"/>
      <c r="H394" s="895"/>
      <c r="I394" s="872"/>
      <c r="J394" s="875"/>
      <c r="K394" s="867"/>
      <c r="L394" s="873"/>
      <c r="M394" s="872"/>
      <c r="N394" s="867"/>
      <c r="O394" s="872"/>
      <c r="P394" s="872"/>
      <c r="Q394" s="867"/>
      <c r="R394" s="875"/>
    </row>
    <row r="395" spans="1:18">
      <c r="A395" s="867"/>
      <c r="B395" s="867"/>
      <c r="C395" s="875"/>
      <c r="D395" s="875"/>
      <c r="E395" s="872"/>
      <c r="F395" s="872"/>
      <c r="G395" s="872"/>
      <c r="H395" s="895"/>
      <c r="I395" s="872"/>
      <c r="J395" s="875"/>
      <c r="K395" s="867"/>
      <c r="L395" s="873"/>
      <c r="M395" s="872"/>
      <c r="N395" s="867"/>
      <c r="O395" s="872"/>
      <c r="P395" s="872"/>
      <c r="Q395" s="867"/>
      <c r="R395" s="875"/>
    </row>
    <row r="396" spans="1:18">
      <c r="A396" s="867"/>
      <c r="B396" s="867"/>
      <c r="C396" s="875"/>
      <c r="D396" s="875"/>
      <c r="E396" s="872"/>
      <c r="F396" s="872"/>
      <c r="G396" s="872"/>
      <c r="H396" s="895"/>
      <c r="I396" s="872"/>
      <c r="J396" s="875"/>
      <c r="K396" s="867"/>
      <c r="L396" s="873"/>
      <c r="M396" s="872"/>
      <c r="N396" s="867"/>
      <c r="O396" s="872"/>
      <c r="P396" s="872"/>
      <c r="Q396" s="867"/>
      <c r="R396" s="875"/>
    </row>
    <row r="397" spans="1:18">
      <c r="A397" s="867"/>
      <c r="B397" s="867"/>
      <c r="C397" s="875"/>
      <c r="D397" s="875"/>
      <c r="E397" s="872"/>
      <c r="F397" s="872"/>
      <c r="G397" s="872"/>
      <c r="H397" s="895"/>
      <c r="I397" s="872"/>
      <c r="J397" s="875"/>
      <c r="K397" s="867"/>
      <c r="L397" s="873"/>
      <c r="M397" s="872"/>
      <c r="N397" s="867"/>
      <c r="O397" s="872"/>
      <c r="P397" s="872"/>
      <c r="Q397" s="867"/>
      <c r="R397" s="875"/>
    </row>
    <row r="398" spans="1:18">
      <c r="A398" s="867"/>
      <c r="B398" s="867"/>
      <c r="C398" s="875"/>
      <c r="D398" s="875"/>
      <c r="E398" s="872"/>
      <c r="F398" s="872"/>
      <c r="G398" s="872"/>
      <c r="H398" s="895"/>
      <c r="I398" s="872"/>
      <c r="J398" s="875"/>
      <c r="K398" s="867"/>
      <c r="L398" s="873"/>
      <c r="M398" s="872"/>
      <c r="N398" s="867"/>
      <c r="O398" s="872"/>
      <c r="P398" s="872"/>
      <c r="Q398" s="867"/>
      <c r="R398" s="875"/>
    </row>
    <row r="399" spans="1:18">
      <c r="A399" s="867"/>
      <c r="B399" s="867"/>
      <c r="C399" s="875"/>
      <c r="D399" s="875"/>
      <c r="E399" s="872"/>
      <c r="F399" s="872"/>
      <c r="G399" s="872"/>
      <c r="H399" s="895"/>
      <c r="I399" s="872"/>
      <c r="J399" s="875"/>
      <c r="K399" s="867"/>
      <c r="L399" s="873"/>
      <c r="M399" s="872"/>
      <c r="N399" s="867"/>
      <c r="O399" s="872"/>
      <c r="P399" s="872"/>
      <c r="Q399" s="867"/>
      <c r="R399" s="875"/>
    </row>
    <row r="400" spans="1:18">
      <c r="A400" s="867"/>
      <c r="B400" s="867"/>
      <c r="C400" s="875"/>
      <c r="D400" s="875"/>
      <c r="E400" s="872"/>
      <c r="F400" s="872"/>
      <c r="G400" s="872"/>
      <c r="H400" s="895"/>
      <c r="I400" s="872"/>
      <c r="J400" s="875"/>
      <c r="K400" s="867"/>
      <c r="L400" s="873"/>
      <c r="M400" s="872"/>
      <c r="N400" s="867"/>
      <c r="O400" s="872"/>
      <c r="P400" s="872"/>
      <c r="Q400" s="867"/>
      <c r="R400" s="875"/>
    </row>
    <row r="401" spans="1:18">
      <c r="A401" s="867"/>
      <c r="B401" s="867"/>
      <c r="C401" s="875"/>
      <c r="D401" s="875"/>
      <c r="E401" s="872"/>
      <c r="F401" s="872"/>
      <c r="G401" s="872"/>
      <c r="H401" s="895"/>
      <c r="I401" s="872"/>
      <c r="J401" s="875"/>
      <c r="K401" s="867"/>
      <c r="L401" s="873"/>
      <c r="M401" s="872"/>
      <c r="N401" s="867"/>
      <c r="O401" s="872"/>
      <c r="P401" s="872"/>
      <c r="Q401" s="867"/>
      <c r="R401" s="875"/>
    </row>
    <row r="402" spans="1:18">
      <c r="A402" s="867"/>
      <c r="B402" s="867"/>
      <c r="C402" s="875"/>
      <c r="D402" s="875"/>
      <c r="E402" s="872"/>
      <c r="F402" s="872"/>
      <c r="G402" s="872"/>
      <c r="H402" s="895"/>
      <c r="I402" s="872"/>
      <c r="J402" s="875"/>
      <c r="K402" s="867"/>
      <c r="L402" s="873"/>
      <c r="M402" s="872"/>
      <c r="N402" s="867"/>
      <c r="O402" s="872"/>
      <c r="P402" s="872"/>
      <c r="Q402" s="867"/>
      <c r="R402" s="875"/>
    </row>
    <row r="403" spans="1:18">
      <c r="A403" s="867"/>
      <c r="B403" s="867"/>
      <c r="C403" s="875"/>
      <c r="D403" s="875"/>
      <c r="E403" s="872"/>
      <c r="F403" s="872"/>
      <c r="G403" s="872"/>
      <c r="H403" s="895"/>
      <c r="I403" s="872"/>
      <c r="J403" s="875"/>
      <c r="K403" s="867"/>
      <c r="L403" s="873"/>
      <c r="M403" s="872"/>
      <c r="N403" s="867"/>
      <c r="O403" s="872"/>
      <c r="P403" s="872"/>
      <c r="Q403" s="867"/>
      <c r="R403" s="875"/>
    </row>
    <row r="404" spans="1:18">
      <c r="A404" s="867"/>
      <c r="B404" s="867"/>
      <c r="C404" s="875"/>
      <c r="D404" s="875"/>
      <c r="E404" s="872"/>
      <c r="F404" s="872"/>
      <c r="G404" s="872"/>
      <c r="H404" s="895"/>
      <c r="I404" s="872"/>
      <c r="J404" s="875"/>
      <c r="K404" s="867"/>
      <c r="L404" s="873"/>
      <c r="M404" s="872"/>
      <c r="N404" s="867"/>
      <c r="O404" s="872"/>
      <c r="P404" s="872"/>
      <c r="Q404" s="867"/>
      <c r="R404" s="875"/>
    </row>
    <row r="405" spans="1:18">
      <c r="A405" s="867"/>
      <c r="B405" s="867"/>
      <c r="C405" s="875"/>
      <c r="D405" s="875"/>
      <c r="E405" s="872"/>
      <c r="F405" s="872"/>
      <c r="G405" s="872"/>
      <c r="H405" s="895"/>
      <c r="I405" s="872"/>
      <c r="J405" s="875"/>
      <c r="K405" s="867"/>
      <c r="L405" s="873"/>
      <c r="M405" s="872"/>
      <c r="N405" s="867"/>
      <c r="O405" s="872"/>
      <c r="P405" s="872"/>
      <c r="Q405" s="867"/>
      <c r="R405" s="875"/>
    </row>
    <row r="406" spans="1:18">
      <c r="A406" s="867"/>
      <c r="B406" s="867"/>
      <c r="C406" s="875"/>
      <c r="D406" s="875"/>
      <c r="E406" s="872"/>
      <c r="F406" s="872"/>
      <c r="G406" s="872"/>
      <c r="H406" s="895"/>
      <c r="I406" s="872"/>
      <c r="J406" s="875"/>
      <c r="K406" s="867"/>
      <c r="L406" s="873"/>
      <c r="M406" s="872"/>
      <c r="N406" s="867"/>
      <c r="O406" s="872"/>
      <c r="P406" s="872"/>
      <c r="Q406" s="867"/>
      <c r="R406" s="875"/>
    </row>
    <row r="407" spans="1:18">
      <c r="A407" s="867"/>
      <c r="B407" s="867"/>
      <c r="C407" s="875"/>
      <c r="D407" s="875"/>
      <c r="E407" s="872"/>
      <c r="F407" s="872"/>
      <c r="G407" s="872"/>
      <c r="H407" s="895"/>
      <c r="I407" s="872"/>
      <c r="J407" s="875"/>
      <c r="K407" s="867"/>
      <c r="L407" s="873"/>
      <c r="M407" s="872"/>
      <c r="N407" s="867"/>
      <c r="O407" s="872"/>
      <c r="P407" s="872"/>
      <c r="Q407" s="867"/>
      <c r="R407" s="875"/>
    </row>
    <row r="408" spans="1:18">
      <c r="A408" s="867"/>
      <c r="B408" s="867"/>
      <c r="C408" s="875"/>
      <c r="D408" s="875"/>
      <c r="E408" s="872"/>
      <c r="F408" s="872"/>
      <c r="G408" s="872"/>
      <c r="H408" s="895"/>
      <c r="I408" s="872"/>
      <c r="J408" s="875"/>
      <c r="K408" s="867"/>
      <c r="L408" s="873"/>
      <c r="M408" s="872"/>
      <c r="N408" s="867"/>
      <c r="O408" s="872"/>
      <c r="P408" s="872"/>
      <c r="Q408" s="867"/>
      <c r="R408" s="875"/>
    </row>
    <row r="409" spans="1:18">
      <c r="A409" s="867"/>
      <c r="B409" s="867"/>
      <c r="C409" s="875"/>
      <c r="D409" s="875"/>
      <c r="E409" s="872"/>
      <c r="F409" s="872"/>
      <c r="G409" s="872"/>
      <c r="H409" s="895"/>
      <c r="I409" s="872"/>
      <c r="J409" s="875"/>
      <c r="K409" s="867"/>
      <c r="L409" s="873"/>
      <c r="M409" s="872"/>
      <c r="N409" s="867"/>
      <c r="O409" s="872"/>
      <c r="P409" s="872"/>
      <c r="Q409" s="867"/>
      <c r="R409" s="875"/>
    </row>
    <row r="410" spans="1:18">
      <c r="A410" s="867"/>
      <c r="B410" s="867"/>
      <c r="C410" s="875"/>
      <c r="D410" s="875"/>
      <c r="E410" s="872"/>
      <c r="F410" s="872"/>
      <c r="G410" s="872"/>
      <c r="H410" s="895"/>
      <c r="I410" s="872"/>
      <c r="J410" s="875"/>
      <c r="K410" s="867"/>
      <c r="L410" s="873"/>
      <c r="M410" s="872"/>
      <c r="N410" s="867"/>
      <c r="O410" s="872"/>
      <c r="P410" s="872"/>
      <c r="Q410" s="867"/>
      <c r="R410" s="875"/>
    </row>
    <row r="411" spans="1:18">
      <c r="A411" s="867"/>
      <c r="B411" s="867"/>
      <c r="C411" s="875"/>
      <c r="D411" s="875"/>
      <c r="E411" s="872"/>
      <c r="F411" s="872"/>
      <c r="G411" s="872"/>
      <c r="H411" s="895"/>
      <c r="I411" s="872"/>
      <c r="J411" s="875"/>
      <c r="K411" s="867"/>
      <c r="L411" s="873"/>
      <c r="M411" s="872"/>
      <c r="N411" s="867"/>
      <c r="O411" s="872"/>
      <c r="P411" s="872"/>
      <c r="Q411" s="867"/>
      <c r="R411" s="875"/>
    </row>
    <row r="412" spans="1:18">
      <c r="A412" s="867"/>
      <c r="B412" s="867"/>
      <c r="C412" s="875"/>
      <c r="D412" s="875"/>
      <c r="E412" s="872"/>
      <c r="F412" s="872"/>
      <c r="G412" s="872"/>
      <c r="H412" s="895"/>
      <c r="I412" s="872"/>
      <c r="J412" s="875"/>
      <c r="K412" s="867"/>
      <c r="L412" s="873"/>
      <c r="M412" s="872"/>
      <c r="N412" s="867"/>
      <c r="O412" s="872"/>
      <c r="P412" s="872"/>
      <c r="Q412" s="867"/>
      <c r="R412" s="875"/>
    </row>
    <row r="413" spans="1:18">
      <c r="A413" s="867"/>
      <c r="B413" s="867"/>
      <c r="C413" s="875"/>
      <c r="D413" s="875"/>
      <c r="E413" s="872"/>
      <c r="F413" s="872"/>
      <c r="G413" s="872"/>
      <c r="H413" s="895"/>
      <c r="I413" s="872"/>
      <c r="J413" s="875"/>
      <c r="K413" s="867"/>
      <c r="L413" s="873"/>
      <c r="M413" s="872"/>
      <c r="N413" s="867"/>
      <c r="O413" s="872"/>
      <c r="P413" s="872"/>
      <c r="Q413" s="867"/>
      <c r="R413" s="875"/>
    </row>
    <row r="414" spans="1:18">
      <c r="A414" s="867"/>
      <c r="B414" s="867"/>
      <c r="C414" s="875"/>
      <c r="D414" s="875"/>
      <c r="E414" s="872"/>
      <c r="F414" s="872"/>
      <c r="G414" s="872"/>
      <c r="H414" s="895"/>
      <c r="I414" s="872"/>
      <c r="J414" s="875"/>
      <c r="K414" s="867"/>
      <c r="L414" s="873"/>
      <c r="M414" s="872"/>
      <c r="N414" s="867"/>
      <c r="O414" s="872"/>
      <c r="P414" s="872"/>
      <c r="Q414" s="867"/>
      <c r="R414" s="875"/>
    </row>
    <row r="415" spans="1:18">
      <c r="A415" s="867"/>
      <c r="B415" s="867"/>
      <c r="C415" s="875"/>
      <c r="D415" s="875"/>
      <c r="E415" s="872"/>
      <c r="F415" s="872"/>
      <c r="G415" s="872"/>
      <c r="H415" s="895"/>
      <c r="I415" s="872"/>
      <c r="J415" s="875"/>
      <c r="K415" s="867"/>
      <c r="L415" s="873"/>
      <c r="M415" s="872"/>
      <c r="N415" s="867"/>
      <c r="O415" s="872"/>
      <c r="P415" s="872"/>
      <c r="Q415" s="867"/>
      <c r="R415" s="875"/>
    </row>
    <row r="416" spans="1:18">
      <c r="A416" s="867"/>
      <c r="B416" s="867"/>
      <c r="C416" s="875"/>
      <c r="D416" s="875"/>
      <c r="E416" s="872"/>
      <c r="F416" s="872"/>
      <c r="G416" s="872"/>
      <c r="H416" s="895"/>
      <c r="I416" s="872"/>
      <c r="J416" s="875"/>
      <c r="K416" s="867"/>
      <c r="L416" s="873"/>
      <c r="M416" s="872"/>
      <c r="N416" s="867"/>
      <c r="O416" s="872"/>
      <c r="P416" s="872"/>
      <c r="Q416" s="867"/>
      <c r="R416" s="875"/>
    </row>
    <row r="417" spans="1:18">
      <c r="A417" s="867"/>
      <c r="B417" s="867"/>
      <c r="C417" s="875"/>
      <c r="D417" s="875"/>
      <c r="E417" s="872"/>
      <c r="F417" s="872"/>
      <c r="G417" s="872"/>
      <c r="H417" s="895"/>
      <c r="I417" s="872"/>
      <c r="J417" s="875"/>
      <c r="K417" s="867"/>
      <c r="L417" s="873"/>
      <c r="M417" s="872"/>
      <c r="N417" s="867"/>
      <c r="O417" s="872"/>
      <c r="P417" s="872"/>
      <c r="Q417" s="867"/>
      <c r="R417" s="875"/>
    </row>
    <row r="418" spans="1:18">
      <c r="A418" s="867"/>
      <c r="B418" s="867"/>
      <c r="C418" s="875"/>
      <c r="D418" s="875"/>
      <c r="E418" s="872"/>
      <c r="F418" s="872"/>
      <c r="G418" s="872"/>
      <c r="H418" s="895"/>
      <c r="I418" s="872"/>
      <c r="J418" s="875"/>
      <c r="K418" s="867"/>
      <c r="L418" s="873"/>
      <c r="M418" s="872"/>
      <c r="N418" s="867"/>
      <c r="O418" s="872"/>
      <c r="P418" s="872"/>
      <c r="Q418" s="867"/>
      <c r="R418" s="875"/>
    </row>
    <row r="419" spans="1:18">
      <c r="A419" s="867"/>
      <c r="B419" s="867"/>
      <c r="C419" s="875"/>
      <c r="D419" s="875"/>
      <c r="E419" s="872"/>
      <c r="F419" s="872"/>
      <c r="G419" s="872"/>
      <c r="H419" s="895"/>
      <c r="I419" s="872"/>
      <c r="J419" s="875"/>
      <c r="K419" s="867"/>
      <c r="L419" s="873"/>
      <c r="M419" s="872"/>
      <c r="N419" s="867"/>
      <c r="O419" s="872"/>
      <c r="P419" s="872"/>
      <c r="Q419" s="867"/>
      <c r="R419" s="875"/>
    </row>
    <row r="420" spans="1:18">
      <c r="A420" s="867"/>
      <c r="B420" s="867"/>
      <c r="C420" s="875"/>
      <c r="D420" s="875"/>
      <c r="E420" s="872"/>
      <c r="F420" s="872"/>
      <c r="G420" s="872"/>
      <c r="H420" s="895"/>
      <c r="I420" s="872"/>
      <c r="J420" s="875"/>
      <c r="K420" s="867"/>
      <c r="L420" s="873"/>
      <c r="M420" s="872"/>
      <c r="N420" s="867"/>
      <c r="O420" s="872"/>
      <c r="P420" s="872"/>
      <c r="Q420" s="867"/>
      <c r="R420" s="875"/>
    </row>
    <row r="421" spans="1:18">
      <c r="A421" s="867"/>
      <c r="B421" s="867"/>
      <c r="C421" s="875"/>
      <c r="D421" s="875"/>
      <c r="E421" s="872"/>
      <c r="F421" s="872"/>
      <c r="G421" s="872"/>
      <c r="H421" s="895"/>
      <c r="I421" s="872"/>
      <c r="J421" s="875"/>
      <c r="K421" s="867"/>
      <c r="L421" s="873"/>
      <c r="M421" s="872"/>
      <c r="N421" s="867"/>
      <c r="O421" s="872"/>
      <c r="P421" s="872"/>
      <c r="Q421" s="867"/>
      <c r="R421" s="875"/>
    </row>
    <row r="422" spans="1:18">
      <c r="A422" s="867"/>
      <c r="B422" s="867"/>
      <c r="C422" s="875"/>
      <c r="D422" s="875"/>
      <c r="E422" s="872"/>
      <c r="F422" s="872"/>
      <c r="G422" s="872"/>
      <c r="H422" s="895"/>
      <c r="I422" s="872"/>
      <c r="J422" s="875"/>
      <c r="K422" s="867"/>
      <c r="L422" s="873"/>
      <c r="M422" s="872"/>
      <c r="N422" s="867"/>
      <c r="O422" s="872"/>
      <c r="P422" s="872"/>
      <c r="Q422" s="867"/>
      <c r="R422" s="875"/>
    </row>
    <row r="423" spans="1:18">
      <c r="A423" s="867"/>
      <c r="B423" s="867"/>
      <c r="C423" s="875"/>
      <c r="D423" s="875"/>
      <c r="E423" s="872"/>
      <c r="F423" s="872"/>
      <c r="G423" s="872"/>
      <c r="H423" s="895"/>
      <c r="I423" s="872"/>
      <c r="J423" s="875"/>
      <c r="K423" s="867"/>
      <c r="L423" s="873"/>
      <c r="M423" s="872"/>
      <c r="N423" s="867"/>
      <c r="O423" s="872"/>
      <c r="P423" s="872"/>
      <c r="Q423" s="867"/>
      <c r="R423" s="875"/>
    </row>
    <row r="424" spans="1:18">
      <c r="A424" s="867"/>
      <c r="B424" s="867"/>
      <c r="C424" s="875"/>
      <c r="D424" s="875"/>
      <c r="E424" s="872"/>
      <c r="F424" s="872"/>
      <c r="G424" s="872"/>
      <c r="H424" s="895"/>
      <c r="I424" s="872"/>
      <c r="J424" s="875"/>
      <c r="K424" s="867"/>
      <c r="L424" s="873"/>
      <c r="M424" s="872"/>
      <c r="N424" s="867"/>
      <c r="O424" s="872"/>
      <c r="P424" s="872"/>
      <c r="Q424" s="867"/>
      <c r="R424" s="875"/>
    </row>
    <row r="425" spans="1:18">
      <c r="A425" s="867"/>
      <c r="B425" s="867"/>
      <c r="C425" s="875"/>
      <c r="D425" s="875"/>
      <c r="E425" s="872"/>
      <c r="F425" s="872"/>
      <c r="G425" s="872"/>
      <c r="H425" s="895"/>
      <c r="I425" s="872"/>
      <c r="J425" s="875"/>
      <c r="K425" s="867"/>
      <c r="L425" s="873"/>
      <c r="M425" s="872"/>
      <c r="N425" s="867"/>
      <c r="O425" s="872"/>
      <c r="P425" s="872"/>
      <c r="Q425" s="867"/>
      <c r="R425" s="875"/>
    </row>
    <row r="426" spans="1:18">
      <c r="A426" s="867"/>
      <c r="B426" s="867"/>
      <c r="C426" s="875"/>
      <c r="D426" s="875"/>
      <c r="E426" s="872"/>
      <c r="F426" s="872"/>
      <c r="G426" s="872"/>
      <c r="H426" s="895"/>
      <c r="I426" s="872"/>
      <c r="J426" s="875"/>
      <c r="K426" s="867"/>
      <c r="L426" s="873"/>
      <c r="M426" s="872"/>
      <c r="N426" s="867"/>
      <c r="O426" s="872"/>
      <c r="P426" s="872"/>
      <c r="Q426" s="867"/>
      <c r="R426" s="875"/>
    </row>
    <row r="427" spans="1:18">
      <c r="A427" s="867"/>
      <c r="B427" s="867"/>
      <c r="C427" s="875"/>
      <c r="D427" s="875"/>
      <c r="E427" s="872"/>
      <c r="F427" s="872"/>
      <c r="G427" s="872"/>
      <c r="H427" s="895"/>
      <c r="I427" s="872"/>
      <c r="J427" s="875"/>
      <c r="K427" s="867"/>
      <c r="L427" s="873"/>
      <c r="M427" s="872"/>
      <c r="N427" s="867"/>
      <c r="O427" s="872"/>
      <c r="P427" s="872"/>
      <c r="Q427" s="867"/>
      <c r="R427" s="875"/>
    </row>
    <row r="428" spans="1:18">
      <c r="A428" s="867"/>
      <c r="B428" s="867"/>
      <c r="C428" s="875"/>
      <c r="D428" s="875"/>
      <c r="E428" s="872"/>
      <c r="F428" s="872"/>
      <c r="G428" s="872"/>
      <c r="H428" s="895"/>
      <c r="I428" s="872"/>
      <c r="J428" s="875"/>
      <c r="K428" s="867"/>
      <c r="L428" s="873"/>
      <c r="M428" s="872"/>
      <c r="N428" s="867"/>
      <c r="O428" s="872"/>
      <c r="P428" s="872"/>
      <c r="Q428" s="867"/>
      <c r="R428" s="875"/>
    </row>
    <row r="429" spans="1:18">
      <c r="A429" s="867"/>
      <c r="B429" s="867"/>
      <c r="C429" s="875"/>
      <c r="D429" s="875"/>
      <c r="E429" s="872"/>
      <c r="F429" s="872"/>
      <c r="G429" s="872"/>
      <c r="H429" s="895"/>
      <c r="I429" s="872"/>
      <c r="J429" s="875"/>
      <c r="K429" s="867"/>
      <c r="L429" s="873"/>
      <c r="M429" s="872"/>
      <c r="N429" s="867"/>
      <c r="O429" s="872"/>
      <c r="P429" s="872"/>
      <c r="Q429" s="867"/>
      <c r="R429" s="875"/>
    </row>
    <row r="430" spans="1:18">
      <c r="A430" s="867"/>
      <c r="B430" s="867"/>
      <c r="C430" s="875"/>
      <c r="D430" s="875"/>
      <c r="E430" s="872"/>
      <c r="F430" s="872"/>
      <c r="G430" s="872"/>
      <c r="H430" s="895"/>
      <c r="I430" s="872"/>
      <c r="J430" s="875"/>
      <c r="K430" s="867"/>
      <c r="L430" s="873"/>
      <c r="M430" s="872"/>
      <c r="N430" s="867"/>
      <c r="O430" s="872"/>
      <c r="P430" s="872"/>
      <c r="Q430" s="867"/>
      <c r="R430" s="875"/>
    </row>
    <row r="431" spans="1:18">
      <c r="A431" s="867"/>
      <c r="B431" s="867"/>
      <c r="C431" s="875"/>
      <c r="D431" s="875"/>
      <c r="E431" s="872"/>
      <c r="F431" s="872"/>
      <c r="G431" s="872"/>
      <c r="H431" s="895"/>
      <c r="I431" s="872"/>
      <c r="J431" s="875"/>
      <c r="K431" s="867"/>
      <c r="L431" s="873"/>
      <c r="M431" s="872"/>
      <c r="N431" s="867"/>
      <c r="O431" s="872"/>
      <c r="P431" s="872"/>
      <c r="Q431" s="867"/>
      <c r="R431" s="875"/>
    </row>
    <row r="432" spans="1:18">
      <c r="A432" s="867"/>
      <c r="B432" s="867"/>
      <c r="C432" s="875"/>
      <c r="D432" s="875"/>
      <c r="E432" s="872"/>
      <c r="F432" s="872"/>
      <c r="G432" s="872"/>
      <c r="H432" s="895"/>
      <c r="I432" s="872"/>
      <c r="J432" s="875"/>
      <c r="K432" s="867"/>
      <c r="L432" s="873"/>
      <c r="M432" s="872"/>
      <c r="N432" s="867"/>
      <c r="O432" s="872"/>
      <c r="P432" s="872"/>
      <c r="Q432" s="867"/>
      <c r="R432" s="875"/>
    </row>
    <row r="433" spans="1:18">
      <c r="A433" s="867"/>
      <c r="B433" s="867"/>
      <c r="C433" s="875"/>
      <c r="D433" s="875"/>
      <c r="E433" s="872"/>
      <c r="F433" s="872"/>
      <c r="G433" s="872"/>
      <c r="H433" s="895"/>
      <c r="I433" s="872"/>
      <c r="J433" s="875"/>
      <c r="K433" s="867"/>
      <c r="L433" s="873"/>
      <c r="M433" s="872"/>
      <c r="N433" s="867"/>
      <c r="O433" s="872"/>
      <c r="P433" s="872"/>
      <c r="Q433" s="867"/>
      <c r="R433" s="875"/>
    </row>
    <row r="434" spans="1:18">
      <c r="A434" s="867"/>
      <c r="B434" s="867"/>
      <c r="C434" s="875"/>
      <c r="D434" s="875"/>
      <c r="E434" s="872"/>
      <c r="F434" s="872"/>
      <c r="G434" s="872"/>
      <c r="H434" s="895"/>
      <c r="I434" s="872"/>
      <c r="J434" s="875"/>
      <c r="K434" s="867"/>
      <c r="L434" s="873"/>
      <c r="M434" s="872"/>
      <c r="N434" s="867"/>
      <c r="O434" s="872"/>
      <c r="P434" s="872"/>
      <c r="Q434" s="867"/>
      <c r="R434" s="875"/>
    </row>
    <row r="435" spans="1:18">
      <c r="A435" s="867"/>
      <c r="B435" s="867"/>
      <c r="C435" s="875"/>
      <c r="D435" s="875"/>
      <c r="E435" s="872"/>
      <c r="F435" s="872"/>
      <c r="G435" s="872"/>
      <c r="H435" s="895"/>
      <c r="I435" s="872"/>
      <c r="J435" s="875"/>
      <c r="K435" s="867"/>
      <c r="L435" s="873"/>
      <c r="M435" s="872"/>
      <c r="N435" s="867"/>
      <c r="O435" s="872"/>
      <c r="P435" s="872"/>
      <c r="Q435" s="867"/>
      <c r="R435" s="875"/>
    </row>
    <row r="436" spans="1:18">
      <c r="A436" s="867"/>
      <c r="B436" s="867"/>
      <c r="C436" s="875"/>
      <c r="D436" s="875"/>
      <c r="E436" s="872"/>
      <c r="F436" s="872"/>
      <c r="G436" s="872"/>
      <c r="H436" s="895"/>
      <c r="I436" s="872"/>
      <c r="J436" s="875"/>
      <c r="K436" s="867"/>
      <c r="L436" s="873"/>
      <c r="M436" s="872"/>
      <c r="N436" s="867"/>
      <c r="O436" s="872"/>
      <c r="P436" s="872"/>
      <c r="Q436" s="867"/>
      <c r="R436" s="875"/>
    </row>
    <row r="437" spans="1:18">
      <c r="A437" s="867"/>
      <c r="B437" s="867"/>
      <c r="C437" s="875"/>
      <c r="D437" s="875"/>
      <c r="E437" s="872"/>
      <c r="F437" s="872"/>
      <c r="G437" s="872"/>
      <c r="H437" s="895"/>
      <c r="I437" s="872"/>
      <c r="J437" s="875"/>
      <c r="K437" s="867"/>
      <c r="L437" s="873"/>
      <c r="M437" s="872"/>
      <c r="N437" s="867"/>
      <c r="O437" s="872"/>
      <c r="P437" s="872"/>
      <c r="Q437" s="867"/>
      <c r="R437" s="875"/>
    </row>
    <row r="438" spans="1:18">
      <c r="A438" s="867"/>
      <c r="B438" s="867"/>
      <c r="C438" s="875"/>
      <c r="D438" s="875"/>
      <c r="E438" s="872"/>
      <c r="F438" s="872"/>
      <c r="G438" s="872"/>
      <c r="H438" s="895"/>
      <c r="I438" s="872"/>
      <c r="J438" s="875"/>
      <c r="K438" s="867"/>
      <c r="L438" s="873"/>
      <c r="M438" s="872"/>
      <c r="N438" s="867"/>
      <c r="O438" s="872"/>
      <c r="P438" s="872"/>
      <c r="Q438" s="867"/>
      <c r="R438" s="875"/>
    </row>
    <row r="439" spans="1:18">
      <c r="A439" s="867"/>
      <c r="B439" s="867"/>
      <c r="C439" s="875"/>
      <c r="D439" s="875"/>
      <c r="E439" s="872"/>
      <c r="F439" s="872"/>
      <c r="G439" s="872"/>
      <c r="H439" s="895"/>
      <c r="I439" s="872"/>
      <c r="J439" s="875"/>
      <c r="K439" s="867"/>
      <c r="L439" s="873"/>
      <c r="M439" s="872"/>
      <c r="N439" s="867"/>
      <c r="O439" s="872"/>
      <c r="P439" s="872"/>
      <c r="Q439" s="867"/>
      <c r="R439" s="875"/>
    </row>
    <row r="440" spans="1:18">
      <c r="A440" s="867"/>
      <c r="B440" s="867"/>
      <c r="C440" s="875"/>
      <c r="D440" s="875"/>
      <c r="E440" s="872"/>
      <c r="F440" s="872"/>
      <c r="G440" s="872"/>
      <c r="H440" s="895"/>
      <c r="I440" s="872"/>
      <c r="J440" s="875"/>
      <c r="K440" s="867"/>
      <c r="L440" s="873"/>
      <c r="M440" s="872"/>
      <c r="N440" s="867"/>
      <c r="O440" s="872"/>
      <c r="P440" s="872"/>
      <c r="Q440" s="867"/>
      <c r="R440" s="875"/>
    </row>
    <row r="441" spans="1:18">
      <c r="A441" s="867"/>
      <c r="B441" s="867"/>
      <c r="C441" s="875"/>
      <c r="D441" s="875"/>
      <c r="E441" s="872"/>
      <c r="F441" s="872"/>
      <c r="G441" s="872"/>
      <c r="H441" s="895"/>
      <c r="I441" s="872"/>
      <c r="J441" s="875"/>
      <c r="K441" s="867"/>
      <c r="L441" s="873"/>
      <c r="M441" s="872"/>
      <c r="N441" s="867"/>
      <c r="O441" s="872"/>
      <c r="P441" s="872"/>
      <c r="Q441" s="867"/>
      <c r="R441" s="875"/>
    </row>
    <row r="442" spans="1:18">
      <c r="A442" s="867"/>
      <c r="B442" s="867"/>
      <c r="C442" s="875"/>
      <c r="D442" s="875"/>
      <c r="E442" s="872"/>
      <c r="F442" s="872"/>
      <c r="G442" s="872"/>
      <c r="H442" s="895"/>
      <c r="I442" s="872"/>
      <c r="J442" s="875"/>
      <c r="K442" s="867"/>
      <c r="L442" s="873"/>
      <c r="M442" s="872"/>
      <c r="N442" s="867"/>
      <c r="O442" s="872"/>
      <c r="P442" s="872"/>
      <c r="Q442" s="867"/>
      <c r="R442" s="875"/>
    </row>
    <row r="443" spans="1:18">
      <c r="A443" s="867"/>
      <c r="B443" s="867"/>
      <c r="C443" s="875"/>
      <c r="D443" s="875"/>
      <c r="E443" s="872"/>
      <c r="F443" s="872"/>
      <c r="G443" s="872"/>
      <c r="H443" s="895"/>
      <c r="I443" s="872"/>
      <c r="J443" s="875"/>
      <c r="K443" s="867"/>
      <c r="L443" s="873"/>
      <c r="M443" s="872"/>
      <c r="N443" s="867"/>
      <c r="O443" s="872"/>
      <c r="P443" s="872"/>
      <c r="Q443" s="867"/>
      <c r="R443" s="875"/>
    </row>
    <row r="444" spans="1:18">
      <c r="A444" s="867"/>
      <c r="B444" s="867"/>
      <c r="C444" s="875"/>
      <c r="D444" s="875"/>
      <c r="E444" s="872"/>
      <c r="F444" s="872"/>
      <c r="G444" s="872"/>
      <c r="H444" s="895"/>
      <c r="I444" s="872"/>
      <c r="J444" s="875"/>
      <c r="K444" s="867"/>
      <c r="L444" s="873"/>
      <c r="M444" s="872"/>
      <c r="N444" s="867"/>
      <c r="O444" s="872"/>
      <c r="P444" s="872"/>
      <c r="Q444" s="867"/>
      <c r="R444" s="875"/>
    </row>
    <row r="445" spans="1:18">
      <c r="A445" s="867"/>
      <c r="B445" s="867"/>
      <c r="C445" s="875"/>
      <c r="D445" s="875"/>
      <c r="E445" s="872"/>
      <c r="F445" s="872"/>
      <c r="G445" s="872"/>
      <c r="H445" s="895"/>
      <c r="I445" s="872"/>
      <c r="J445" s="875"/>
      <c r="K445" s="867"/>
      <c r="L445" s="873"/>
      <c r="M445" s="872"/>
      <c r="N445" s="867"/>
      <c r="O445" s="872"/>
      <c r="P445" s="872"/>
      <c r="Q445" s="867"/>
      <c r="R445" s="875"/>
    </row>
    <row r="446" spans="1:18">
      <c r="A446" s="867"/>
      <c r="B446" s="867"/>
      <c r="C446" s="875"/>
      <c r="D446" s="875"/>
      <c r="E446" s="872"/>
      <c r="F446" s="872"/>
      <c r="G446" s="872"/>
      <c r="H446" s="895"/>
      <c r="I446" s="872"/>
      <c r="J446" s="875"/>
      <c r="K446" s="867"/>
      <c r="L446" s="873"/>
      <c r="M446" s="872"/>
      <c r="N446" s="867"/>
      <c r="O446" s="872"/>
      <c r="P446" s="872"/>
      <c r="Q446" s="867"/>
      <c r="R446" s="875"/>
    </row>
    <row r="447" spans="1:18">
      <c r="A447" s="867"/>
      <c r="B447" s="867"/>
      <c r="C447" s="875"/>
      <c r="D447" s="875"/>
      <c r="E447" s="872"/>
      <c r="F447" s="872"/>
      <c r="G447" s="872"/>
      <c r="H447" s="895"/>
      <c r="I447" s="872"/>
      <c r="J447" s="875"/>
      <c r="K447" s="867"/>
      <c r="L447" s="873"/>
      <c r="M447" s="872"/>
      <c r="N447" s="867"/>
      <c r="O447" s="872"/>
      <c r="P447" s="872"/>
      <c r="Q447" s="867"/>
      <c r="R447" s="875"/>
    </row>
    <row r="448" spans="1:18">
      <c r="A448" s="867"/>
      <c r="B448" s="867"/>
      <c r="C448" s="875"/>
      <c r="D448" s="875"/>
      <c r="E448" s="872"/>
      <c r="F448" s="872"/>
      <c r="G448" s="872"/>
      <c r="H448" s="895"/>
      <c r="I448" s="872"/>
      <c r="J448" s="875"/>
      <c r="K448" s="867"/>
      <c r="L448" s="873"/>
      <c r="M448" s="872"/>
      <c r="N448" s="867"/>
      <c r="O448" s="872"/>
      <c r="P448" s="872"/>
      <c r="Q448" s="867"/>
      <c r="R448" s="875"/>
    </row>
    <row r="449" spans="1:18">
      <c r="A449" s="867"/>
      <c r="B449" s="867"/>
      <c r="C449" s="875"/>
      <c r="D449" s="875"/>
      <c r="E449" s="872"/>
      <c r="F449" s="872"/>
      <c r="G449" s="872"/>
      <c r="H449" s="895"/>
      <c r="I449" s="872"/>
      <c r="J449" s="875"/>
      <c r="K449" s="867"/>
      <c r="L449" s="873"/>
      <c r="M449" s="872"/>
      <c r="N449" s="867"/>
      <c r="O449" s="872"/>
      <c r="P449" s="872"/>
      <c r="Q449" s="867"/>
      <c r="R449" s="875"/>
    </row>
    <row r="450" spans="1:18">
      <c r="A450" s="867"/>
      <c r="B450" s="867"/>
      <c r="C450" s="875"/>
      <c r="D450" s="875"/>
      <c r="E450" s="872"/>
      <c r="F450" s="872"/>
      <c r="G450" s="872"/>
      <c r="H450" s="895"/>
      <c r="I450" s="872"/>
      <c r="J450" s="875"/>
      <c r="K450" s="867"/>
      <c r="L450" s="873"/>
      <c r="M450" s="872"/>
      <c r="N450" s="867"/>
      <c r="O450" s="872"/>
      <c r="P450" s="872"/>
      <c r="Q450" s="867"/>
      <c r="R450" s="875"/>
    </row>
    <row r="451" spans="1:18">
      <c r="A451" s="867"/>
      <c r="B451" s="867"/>
      <c r="C451" s="875"/>
      <c r="D451" s="875"/>
      <c r="E451" s="872"/>
      <c r="F451" s="872"/>
      <c r="G451" s="872"/>
      <c r="H451" s="895"/>
      <c r="I451" s="872"/>
      <c r="J451" s="875"/>
      <c r="K451" s="867"/>
      <c r="L451" s="873"/>
      <c r="M451" s="872"/>
      <c r="N451" s="867"/>
      <c r="O451" s="872"/>
      <c r="P451" s="872"/>
      <c r="Q451" s="867"/>
      <c r="R451" s="875"/>
    </row>
    <row r="452" spans="1:18">
      <c r="A452" s="867"/>
      <c r="B452" s="867"/>
      <c r="C452" s="875"/>
      <c r="D452" s="875"/>
      <c r="E452" s="872"/>
      <c r="F452" s="872"/>
      <c r="G452" s="872"/>
      <c r="H452" s="895"/>
      <c r="I452" s="872"/>
      <c r="J452" s="875"/>
      <c r="K452" s="867"/>
      <c r="L452" s="873"/>
      <c r="M452" s="872"/>
      <c r="N452" s="867"/>
      <c r="O452" s="872"/>
      <c r="P452" s="872"/>
      <c r="Q452" s="867"/>
      <c r="R452" s="875"/>
    </row>
    <row r="453" spans="1:18">
      <c r="A453" s="867"/>
      <c r="B453" s="867"/>
      <c r="C453" s="875"/>
      <c r="D453" s="875"/>
      <c r="E453" s="872"/>
      <c r="F453" s="872"/>
      <c r="G453" s="872"/>
      <c r="H453" s="895"/>
      <c r="I453" s="872"/>
      <c r="J453" s="875"/>
      <c r="K453" s="867"/>
      <c r="L453" s="873"/>
      <c r="M453" s="872"/>
      <c r="N453" s="867"/>
      <c r="O453" s="872"/>
      <c r="P453" s="872"/>
      <c r="Q453" s="867"/>
      <c r="R453" s="875"/>
    </row>
    <row r="454" spans="1:18">
      <c r="A454" s="867"/>
      <c r="B454" s="867"/>
      <c r="C454" s="875"/>
      <c r="D454" s="875"/>
      <c r="E454" s="872"/>
      <c r="F454" s="872"/>
      <c r="G454" s="872"/>
      <c r="H454" s="895"/>
      <c r="I454" s="872"/>
      <c r="J454" s="875"/>
      <c r="K454" s="867"/>
      <c r="L454" s="873"/>
      <c r="M454" s="872"/>
      <c r="N454" s="867"/>
      <c r="O454" s="872"/>
      <c r="P454" s="872"/>
      <c r="Q454" s="867"/>
      <c r="R454" s="875"/>
    </row>
    <row r="455" spans="1:18">
      <c r="A455" s="867"/>
      <c r="B455" s="867"/>
      <c r="C455" s="875"/>
      <c r="D455" s="875"/>
      <c r="E455" s="872"/>
      <c r="F455" s="872"/>
      <c r="G455" s="872"/>
      <c r="H455" s="895"/>
      <c r="I455" s="872"/>
      <c r="J455" s="875"/>
      <c r="K455" s="867"/>
      <c r="L455" s="873"/>
      <c r="M455" s="872"/>
      <c r="N455" s="867"/>
      <c r="O455" s="872"/>
      <c r="P455" s="872"/>
      <c r="Q455" s="867"/>
      <c r="R455" s="875"/>
    </row>
    <row r="456" spans="1:18">
      <c r="A456" s="867"/>
      <c r="B456" s="867"/>
      <c r="C456" s="875"/>
      <c r="D456" s="875"/>
      <c r="E456" s="872"/>
      <c r="F456" s="872"/>
      <c r="G456" s="872"/>
      <c r="H456" s="895"/>
      <c r="I456" s="872"/>
      <c r="J456" s="875"/>
      <c r="K456" s="867"/>
      <c r="L456" s="873"/>
      <c r="M456" s="872"/>
      <c r="N456" s="867"/>
      <c r="O456" s="872"/>
      <c r="P456" s="872"/>
      <c r="Q456" s="867"/>
      <c r="R456" s="875"/>
    </row>
    <row r="457" spans="1:18">
      <c r="A457" s="867"/>
      <c r="B457" s="867"/>
      <c r="C457" s="875"/>
      <c r="D457" s="875"/>
      <c r="E457" s="872"/>
      <c r="F457" s="872"/>
      <c r="G457" s="872"/>
      <c r="H457" s="895"/>
      <c r="I457" s="872"/>
      <c r="J457" s="875"/>
      <c r="K457" s="867"/>
      <c r="L457" s="873"/>
      <c r="M457" s="872"/>
      <c r="N457" s="867"/>
      <c r="O457" s="872"/>
      <c r="P457" s="872"/>
      <c r="Q457" s="867"/>
      <c r="R457" s="875"/>
    </row>
    <row r="458" spans="1:18">
      <c r="A458" s="867"/>
      <c r="B458" s="867"/>
      <c r="C458" s="875"/>
      <c r="D458" s="875"/>
      <c r="E458" s="872"/>
      <c r="F458" s="872"/>
      <c r="G458" s="872"/>
      <c r="H458" s="895"/>
      <c r="I458" s="872"/>
      <c r="J458" s="875"/>
      <c r="K458" s="867"/>
      <c r="L458" s="873"/>
      <c r="M458" s="872"/>
      <c r="N458" s="867"/>
      <c r="O458" s="872"/>
      <c r="P458" s="872"/>
      <c r="Q458" s="867"/>
      <c r="R458" s="875"/>
    </row>
    <row r="459" spans="1:18">
      <c r="A459" s="867"/>
      <c r="B459" s="867"/>
      <c r="C459" s="875"/>
      <c r="D459" s="875"/>
      <c r="E459" s="872"/>
      <c r="F459" s="872"/>
      <c r="G459" s="872"/>
      <c r="H459" s="895"/>
      <c r="I459" s="872"/>
      <c r="J459" s="875"/>
      <c r="K459" s="867"/>
      <c r="L459" s="873"/>
      <c r="M459" s="872"/>
      <c r="N459" s="867"/>
      <c r="O459" s="872"/>
      <c r="P459" s="872"/>
      <c r="Q459" s="867"/>
      <c r="R459" s="875"/>
    </row>
    <row r="460" spans="1:18">
      <c r="A460" s="867"/>
      <c r="B460" s="867"/>
      <c r="C460" s="875"/>
      <c r="D460" s="875"/>
      <c r="E460" s="872"/>
      <c r="F460" s="872"/>
      <c r="G460" s="872"/>
      <c r="H460" s="895"/>
      <c r="I460" s="872"/>
      <c r="J460" s="875"/>
      <c r="K460" s="867"/>
      <c r="L460" s="873"/>
      <c r="M460" s="872"/>
      <c r="N460" s="867"/>
      <c r="O460" s="872"/>
      <c r="P460" s="872"/>
      <c r="Q460" s="867"/>
      <c r="R460" s="875"/>
    </row>
    <row r="461" spans="1:18">
      <c r="A461" s="867"/>
      <c r="B461" s="867"/>
      <c r="C461" s="875"/>
      <c r="D461" s="875"/>
      <c r="E461" s="872"/>
      <c r="F461" s="872"/>
      <c r="G461" s="872"/>
      <c r="H461" s="895"/>
      <c r="I461" s="872"/>
      <c r="J461" s="875"/>
      <c r="K461" s="867"/>
      <c r="L461" s="873"/>
      <c r="M461" s="872"/>
      <c r="N461" s="867"/>
      <c r="O461" s="872"/>
      <c r="P461" s="872"/>
      <c r="Q461" s="867"/>
      <c r="R461" s="875"/>
    </row>
    <row r="462" spans="1:18">
      <c r="A462" s="867"/>
      <c r="B462" s="867"/>
      <c r="C462" s="875"/>
      <c r="D462" s="875"/>
      <c r="E462" s="872"/>
      <c r="F462" s="872"/>
      <c r="G462" s="872"/>
      <c r="H462" s="895"/>
      <c r="I462" s="872"/>
      <c r="J462" s="875"/>
      <c r="K462" s="867"/>
      <c r="L462" s="873"/>
      <c r="M462" s="872"/>
      <c r="N462" s="867"/>
      <c r="O462" s="872"/>
      <c r="P462" s="872"/>
      <c r="Q462" s="867"/>
      <c r="R462" s="875"/>
    </row>
    <row r="463" spans="1:18">
      <c r="A463" s="867"/>
      <c r="B463" s="867"/>
      <c r="C463" s="875"/>
      <c r="D463" s="875"/>
      <c r="E463" s="872"/>
      <c r="F463" s="872"/>
      <c r="G463" s="872"/>
      <c r="H463" s="895"/>
      <c r="I463" s="872"/>
      <c r="J463" s="875"/>
      <c r="K463" s="867"/>
      <c r="L463" s="873"/>
      <c r="M463" s="872"/>
      <c r="N463" s="867"/>
      <c r="O463" s="872"/>
      <c r="P463" s="872"/>
      <c r="Q463" s="867"/>
      <c r="R463" s="875"/>
    </row>
    <row r="464" spans="1:18">
      <c r="A464" s="867"/>
      <c r="B464" s="867"/>
      <c r="C464" s="875"/>
      <c r="D464" s="875"/>
      <c r="E464" s="872"/>
      <c r="F464" s="872"/>
      <c r="G464" s="872"/>
      <c r="H464" s="895"/>
      <c r="I464" s="872"/>
      <c r="J464" s="875"/>
      <c r="K464" s="867"/>
      <c r="L464" s="873"/>
      <c r="M464" s="872"/>
      <c r="N464" s="867"/>
      <c r="O464" s="872"/>
      <c r="P464" s="872"/>
      <c r="Q464" s="867"/>
      <c r="R464" s="875"/>
    </row>
    <row r="465" spans="1:18">
      <c r="A465" s="867"/>
      <c r="B465" s="867"/>
      <c r="C465" s="875"/>
      <c r="D465" s="875"/>
      <c r="E465" s="872"/>
      <c r="F465" s="872"/>
      <c r="G465" s="872"/>
      <c r="H465" s="895"/>
      <c r="I465" s="872"/>
      <c r="J465" s="875"/>
      <c r="K465" s="867"/>
      <c r="L465" s="873"/>
      <c r="M465" s="872"/>
      <c r="N465" s="867"/>
      <c r="O465" s="872"/>
      <c r="P465" s="872"/>
      <c r="Q465" s="867"/>
      <c r="R465" s="875"/>
    </row>
    <row r="466" spans="1:18">
      <c r="A466" s="867"/>
      <c r="B466" s="867"/>
      <c r="C466" s="875"/>
      <c r="D466" s="875"/>
      <c r="E466" s="872"/>
      <c r="F466" s="872"/>
      <c r="G466" s="872"/>
      <c r="H466" s="895"/>
      <c r="I466" s="872"/>
      <c r="J466" s="875"/>
      <c r="K466" s="867"/>
      <c r="L466" s="873"/>
      <c r="M466" s="872"/>
      <c r="N466" s="867"/>
      <c r="O466" s="872"/>
      <c r="P466" s="872"/>
      <c r="Q466" s="867"/>
      <c r="R466" s="875"/>
    </row>
    <row r="467" spans="1:18">
      <c r="A467" s="867"/>
      <c r="B467" s="867"/>
      <c r="C467" s="875"/>
      <c r="D467" s="875"/>
      <c r="E467" s="872"/>
      <c r="F467" s="872"/>
      <c r="G467" s="872"/>
      <c r="H467" s="895"/>
      <c r="I467" s="872"/>
      <c r="J467" s="875"/>
      <c r="K467" s="867"/>
      <c r="L467" s="873"/>
      <c r="M467" s="872"/>
      <c r="N467" s="867"/>
      <c r="O467" s="872"/>
      <c r="P467" s="872"/>
      <c r="Q467" s="867"/>
      <c r="R467" s="875"/>
    </row>
    <row r="468" spans="1:18">
      <c r="A468" s="867"/>
      <c r="B468" s="867"/>
      <c r="C468" s="875"/>
      <c r="D468" s="875"/>
      <c r="E468" s="872"/>
      <c r="F468" s="872"/>
      <c r="G468" s="872"/>
      <c r="H468" s="895"/>
      <c r="I468" s="872"/>
      <c r="J468" s="875"/>
      <c r="K468" s="867"/>
      <c r="L468" s="873"/>
      <c r="M468" s="872"/>
      <c r="N468" s="867"/>
      <c r="O468" s="872"/>
      <c r="P468" s="872"/>
      <c r="Q468" s="867"/>
      <c r="R468" s="875"/>
    </row>
    <row r="469" spans="1:18">
      <c r="A469" s="867"/>
      <c r="B469" s="867"/>
      <c r="C469" s="875"/>
      <c r="D469" s="875"/>
      <c r="E469" s="872"/>
      <c r="F469" s="872"/>
      <c r="G469" s="872"/>
      <c r="H469" s="895"/>
      <c r="I469" s="872"/>
      <c r="J469" s="875"/>
      <c r="K469" s="867"/>
      <c r="L469" s="873"/>
      <c r="M469" s="872"/>
      <c r="N469" s="867"/>
      <c r="O469" s="872"/>
      <c r="P469" s="872"/>
      <c r="Q469" s="867"/>
      <c r="R469" s="875"/>
    </row>
    <row r="470" spans="1:18">
      <c r="A470" s="867"/>
      <c r="B470" s="867"/>
      <c r="C470" s="875"/>
      <c r="D470" s="875"/>
      <c r="E470" s="872"/>
      <c r="F470" s="872"/>
      <c r="G470" s="872"/>
      <c r="H470" s="895"/>
      <c r="I470" s="872"/>
      <c r="J470" s="875"/>
      <c r="K470" s="867"/>
      <c r="L470" s="873"/>
      <c r="M470" s="872"/>
      <c r="N470" s="867"/>
      <c r="O470" s="872"/>
      <c r="P470" s="872"/>
      <c r="Q470" s="867"/>
      <c r="R470" s="875"/>
    </row>
    <row r="471" spans="1:18">
      <c r="A471" s="867"/>
      <c r="B471" s="867"/>
      <c r="C471" s="875"/>
      <c r="D471" s="875"/>
      <c r="E471" s="872"/>
      <c r="F471" s="872"/>
      <c r="G471" s="872"/>
      <c r="H471" s="895"/>
      <c r="I471" s="872"/>
      <c r="J471" s="875"/>
      <c r="K471" s="867"/>
      <c r="L471" s="873"/>
      <c r="M471" s="872"/>
      <c r="N471" s="867"/>
      <c r="O471" s="872"/>
      <c r="P471" s="872"/>
      <c r="Q471" s="867"/>
      <c r="R471" s="875"/>
    </row>
    <row r="472" spans="1:18">
      <c r="A472" s="867"/>
      <c r="B472" s="867"/>
      <c r="C472" s="875"/>
      <c r="D472" s="875"/>
      <c r="E472" s="872"/>
      <c r="F472" s="872"/>
      <c r="G472" s="872"/>
      <c r="H472" s="895"/>
      <c r="I472" s="872"/>
      <c r="J472" s="875"/>
      <c r="K472" s="867"/>
      <c r="L472" s="873"/>
      <c r="M472" s="872"/>
      <c r="N472" s="867"/>
      <c r="O472" s="872"/>
      <c r="P472" s="872"/>
      <c r="Q472" s="867"/>
      <c r="R472" s="875"/>
    </row>
    <row r="473" spans="1:18">
      <c r="A473" s="867"/>
      <c r="B473" s="867"/>
      <c r="C473" s="875"/>
      <c r="D473" s="875"/>
      <c r="E473" s="872"/>
      <c r="F473" s="872"/>
      <c r="G473" s="872"/>
      <c r="H473" s="895"/>
      <c r="I473" s="872"/>
      <c r="J473" s="875"/>
      <c r="K473" s="867"/>
      <c r="L473" s="873"/>
      <c r="M473" s="872"/>
      <c r="N473" s="867"/>
      <c r="O473" s="872"/>
      <c r="P473" s="872"/>
      <c r="Q473" s="867"/>
      <c r="R473" s="875"/>
    </row>
    <row r="474" spans="1:18">
      <c r="A474" s="867"/>
      <c r="B474" s="867"/>
      <c r="C474" s="875"/>
      <c r="D474" s="875"/>
      <c r="E474" s="872"/>
      <c r="F474" s="872"/>
      <c r="G474" s="872"/>
      <c r="H474" s="895"/>
      <c r="I474" s="872"/>
      <c r="J474" s="875"/>
      <c r="K474" s="867"/>
      <c r="L474" s="873"/>
      <c r="M474" s="872"/>
      <c r="N474" s="867"/>
      <c r="O474" s="872"/>
      <c r="P474" s="872"/>
      <c r="Q474" s="867"/>
      <c r="R474" s="875"/>
    </row>
    <row r="475" spans="1:18">
      <c r="A475" s="867"/>
      <c r="B475" s="867"/>
      <c r="C475" s="875"/>
      <c r="D475" s="875"/>
      <c r="E475" s="872"/>
      <c r="F475" s="872"/>
      <c r="G475" s="872"/>
      <c r="H475" s="895"/>
      <c r="I475" s="872"/>
      <c r="J475" s="875"/>
      <c r="K475" s="867"/>
      <c r="L475" s="873"/>
      <c r="M475" s="872"/>
      <c r="N475" s="867"/>
      <c r="O475" s="872"/>
      <c r="P475" s="872"/>
      <c r="Q475" s="867"/>
      <c r="R475" s="875"/>
    </row>
    <row r="476" spans="1:18">
      <c r="A476" s="867"/>
      <c r="B476" s="867"/>
      <c r="C476" s="875"/>
      <c r="D476" s="875"/>
      <c r="E476" s="872"/>
      <c r="F476" s="872"/>
      <c r="G476" s="872"/>
      <c r="H476" s="895"/>
      <c r="I476" s="872"/>
      <c r="J476" s="875"/>
      <c r="K476" s="867"/>
      <c r="L476" s="873"/>
      <c r="M476" s="872"/>
      <c r="N476" s="867"/>
      <c r="O476" s="872"/>
      <c r="P476" s="872"/>
      <c r="Q476" s="867"/>
      <c r="R476" s="875"/>
    </row>
    <row r="477" spans="1:18">
      <c r="A477" s="867"/>
      <c r="B477" s="867"/>
      <c r="C477" s="875"/>
      <c r="D477" s="875"/>
      <c r="E477" s="872"/>
      <c r="F477" s="872"/>
      <c r="G477" s="872"/>
      <c r="H477" s="895"/>
      <c r="I477" s="872"/>
      <c r="J477" s="875"/>
      <c r="K477" s="867"/>
      <c r="L477" s="873"/>
      <c r="M477" s="872"/>
      <c r="N477" s="867"/>
      <c r="O477" s="872"/>
      <c r="P477" s="872"/>
      <c r="Q477" s="867"/>
      <c r="R477" s="875"/>
    </row>
    <row r="478" spans="1:18">
      <c r="A478" s="867"/>
      <c r="B478" s="867"/>
      <c r="C478" s="875"/>
      <c r="D478" s="875"/>
      <c r="E478" s="872"/>
      <c r="F478" s="872"/>
      <c r="G478" s="872"/>
      <c r="H478" s="895"/>
      <c r="I478" s="872"/>
      <c r="J478" s="875"/>
      <c r="K478" s="867"/>
      <c r="L478" s="873"/>
      <c r="M478" s="872"/>
      <c r="N478" s="867"/>
      <c r="O478" s="872"/>
      <c r="P478" s="872"/>
      <c r="Q478" s="867"/>
      <c r="R478" s="875"/>
    </row>
    <row r="479" spans="1:18">
      <c r="A479" s="867"/>
      <c r="B479" s="867"/>
      <c r="C479" s="875"/>
      <c r="D479" s="875"/>
      <c r="E479" s="872"/>
      <c r="F479" s="872"/>
      <c r="G479" s="872"/>
      <c r="H479" s="895"/>
      <c r="I479" s="872"/>
      <c r="J479" s="875"/>
      <c r="K479" s="867"/>
      <c r="L479" s="873"/>
      <c r="M479" s="872"/>
      <c r="N479" s="867"/>
      <c r="O479" s="872"/>
      <c r="P479" s="872"/>
      <c r="Q479" s="867"/>
      <c r="R479" s="875"/>
    </row>
    <row r="480" spans="1:18">
      <c r="A480" s="867"/>
      <c r="B480" s="867"/>
      <c r="C480" s="875"/>
      <c r="D480" s="875"/>
      <c r="E480" s="872"/>
      <c r="F480" s="872"/>
      <c r="G480" s="872"/>
      <c r="H480" s="895"/>
      <c r="I480" s="872"/>
      <c r="J480" s="875"/>
      <c r="K480" s="867"/>
      <c r="L480" s="873"/>
      <c r="M480" s="872"/>
      <c r="N480" s="867"/>
      <c r="O480" s="872"/>
      <c r="P480" s="872"/>
      <c r="Q480" s="867"/>
      <c r="R480" s="875"/>
    </row>
    <row r="481" spans="1:18">
      <c r="A481" s="867"/>
      <c r="B481" s="867"/>
      <c r="C481" s="875"/>
      <c r="D481" s="875"/>
      <c r="E481" s="872"/>
      <c r="F481" s="872"/>
      <c r="G481" s="872"/>
      <c r="H481" s="895"/>
      <c r="I481" s="872"/>
      <c r="J481" s="875"/>
      <c r="K481" s="867"/>
      <c r="L481" s="873"/>
      <c r="M481" s="872"/>
      <c r="N481" s="867"/>
      <c r="O481" s="872"/>
      <c r="P481" s="872"/>
      <c r="Q481" s="867"/>
      <c r="R481" s="875"/>
    </row>
    <row r="482" spans="1:18">
      <c r="A482" s="867"/>
      <c r="B482" s="867"/>
      <c r="C482" s="875"/>
      <c r="D482" s="875"/>
      <c r="E482" s="872"/>
      <c r="F482" s="872"/>
      <c r="G482" s="872"/>
      <c r="H482" s="895"/>
      <c r="I482" s="872"/>
      <c r="J482" s="875"/>
      <c r="K482" s="867"/>
      <c r="L482" s="873"/>
      <c r="M482" s="872"/>
      <c r="N482" s="867"/>
      <c r="O482" s="872"/>
      <c r="P482" s="872"/>
      <c r="Q482" s="867"/>
      <c r="R482" s="875"/>
    </row>
    <row r="483" spans="1:18">
      <c r="A483" s="867"/>
      <c r="B483" s="867"/>
      <c r="C483" s="875"/>
      <c r="D483" s="875"/>
      <c r="E483" s="872"/>
      <c r="F483" s="872"/>
      <c r="G483" s="872"/>
      <c r="H483" s="895"/>
      <c r="I483" s="872"/>
      <c r="J483" s="875"/>
      <c r="K483" s="867"/>
      <c r="L483" s="873"/>
      <c r="M483" s="872"/>
      <c r="N483" s="867"/>
      <c r="O483" s="872"/>
      <c r="P483" s="872"/>
      <c r="Q483" s="867"/>
      <c r="R483" s="875"/>
    </row>
    <row r="484" spans="1:18">
      <c r="A484" s="867"/>
      <c r="B484" s="867"/>
      <c r="C484" s="875"/>
      <c r="D484" s="875"/>
      <c r="E484" s="872"/>
      <c r="F484" s="872"/>
      <c r="G484" s="872"/>
      <c r="H484" s="895"/>
      <c r="I484" s="872"/>
      <c r="J484" s="875"/>
      <c r="K484" s="867"/>
      <c r="L484" s="873"/>
      <c r="M484" s="872"/>
      <c r="N484" s="867"/>
      <c r="O484" s="872"/>
      <c r="P484" s="872"/>
      <c r="Q484" s="867"/>
      <c r="R484" s="875"/>
    </row>
    <row r="485" spans="1:18">
      <c r="A485" s="867"/>
      <c r="B485" s="867"/>
      <c r="C485" s="875"/>
      <c r="D485" s="875"/>
      <c r="E485" s="872"/>
      <c r="F485" s="872"/>
      <c r="G485" s="872"/>
      <c r="H485" s="895"/>
      <c r="I485" s="872"/>
      <c r="J485" s="875"/>
      <c r="K485" s="867"/>
      <c r="L485" s="873"/>
      <c r="M485" s="872"/>
      <c r="N485" s="867"/>
      <c r="O485" s="872"/>
      <c r="P485" s="872"/>
      <c r="Q485" s="867"/>
      <c r="R485" s="875"/>
    </row>
    <row r="486" spans="1:18">
      <c r="A486" s="867"/>
      <c r="B486" s="867"/>
      <c r="C486" s="875"/>
      <c r="D486" s="875"/>
      <c r="E486" s="872"/>
      <c r="F486" s="872"/>
      <c r="G486" s="872"/>
      <c r="H486" s="895"/>
      <c r="I486" s="872"/>
      <c r="J486" s="875"/>
      <c r="K486" s="867"/>
      <c r="L486" s="873"/>
      <c r="M486" s="872"/>
      <c r="N486" s="867"/>
      <c r="O486" s="872"/>
      <c r="P486" s="872"/>
      <c r="Q486" s="867"/>
      <c r="R486" s="875"/>
    </row>
    <row r="487" spans="1:18">
      <c r="A487" s="867"/>
      <c r="B487" s="867"/>
      <c r="C487" s="875"/>
      <c r="D487" s="875"/>
      <c r="E487" s="872"/>
      <c r="F487" s="872"/>
      <c r="G487" s="872"/>
      <c r="H487" s="895"/>
      <c r="I487" s="872"/>
      <c r="J487" s="875"/>
      <c r="K487" s="867"/>
      <c r="L487" s="873"/>
      <c r="M487" s="872"/>
      <c r="N487" s="867"/>
      <c r="O487" s="872"/>
      <c r="P487" s="872"/>
      <c r="Q487" s="867"/>
      <c r="R487" s="875"/>
    </row>
    <row r="488" spans="1:18">
      <c r="A488" s="867"/>
      <c r="B488" s="867"/>
      <c r="C488" s="875"/>
      <c r="D488" s="875"/>
      <c r="E488" s="872"/>
      <c r="F488" s="872"/>
      <c r="G488" s="872"/>
      <c r="H488" s="895"/>
      <c r="I488" s="872"/>
      <c r="J488" s="875"/>
      <c r="K488" s="867"/>
      <c r="L488" s="873"/>
      <c r="M488" s="872"/>
      <c r="N488" s="867"/>
      <c r="O488" s="872"/>
      <c r="P488" s="872"/>
      <c r="Q488" s="867"/>
      <c r="R488" s="875"/>
    </row>
    <row r="489" spans="1:18">
      <c r="A489" s="867"/>
      <c r="B489" s="867"/>
      <c r="C489" s="875"/>
      <c r="D489" s="875"/>
      <c r="E489" s="872"/>
      <c r="F489" s="872"/>
      <c r="G489" s="872"/>
      <c r="H489" s="895"/>
      <c r="I489" s="872"/>
      <c r="J489" s="875"/>
      <c r="K489" s="867"/>
      <c r="L489" s="873"/>
      <c r="M489" s="872"/>
      <c r="N489" s="867"/>
      <c r="O489" s="872"/>
      <c r="P489" s="872"/>
      <c r="Q489" s="867"/>
      <c r="R489" s="875"/>
    </row>
    <row r="490" spans="1:18">
      <c r="A490" s="867"/>
      <c r="B490" s="867"/>
      <c r="C490" s="875"/>
      <c r="D490" s="875"/>
      <c r="E490" s="872"/>
      <c r="F490" s="872"/>
      <c r="G490" s="872"/>
      <c r="H490" s="895"/>
      <c r="I490" s="872"/>
      <c r="J490" s="875"/>
      <c r="K490" s="867"/>
      <c r="L490" s="873"/>
      <c r="M490" s="872"/>
      <c r="N490" s="867"/>
      <c r="O490" s="872"/>
      <c r="P490" s="872"/>
      <c r="Q490" s="867"/>
      <c r="R490" s="875"/>
    </row>
    <row r="491" spans="1:18">
      <c r="A491" s="867"/>
      <c r="B491" s="867"/>
      <c r="C491" s="875"/>
      <c r="D491" s="875"/>
      <c r="E491" s="872"/>
      <c r="F491" s="872"/>
      <c r="G491" s="872"/>
      <c r="H491" s="895"/>
      <c r="I491" s="872"/>
      <c r="J491" s="875"/>
      <c r="K491" s="867"/>
      <c r="L491" s="873"/>
      <c r="M491" s="872"/>
      <c r="N491" s="867"/>
      <c r="O491" s="872"/>
      <c r="P491" s="872"/>
      <c r="Q491" s="867"/>
      <c r="R491" s="875"/>
    </row>
    <row r="492" spans="1:18">
      <c r="A492" s="867"/>
      <c r="B492" s="867"/>
      <c r="C492" s="875"/>
      <c r="D492" s="875"/>
      <c r="E492" s="872"/>
      <c r="F492" s="872"/>
      <c r="G492" s="872"/>
      <c r="H492" s="895"/>
      <c r="I492" s="872"/>
      <c r="J492" s="875"/>
      <c r="K492" s="867"/>
      <c r="L492" s="873"/>
      <c r="M492" s="872"/>
      <c r="N492" s="867"/>
      <c r="O492" s="872"/>
      <c r="P492" s="872"/>
      <c r="Q492" s="867"/>
      <c r="R492" s="875"/>
    </row>
    <row r="493" spans="1:18">
      <c r="A493" s="867"/>
      <c r="B493" s="867"/>
      <c r="C493" s="875"/>
      <c r="D493" s="875"/>
      <c r="E493" s="872"/>
      <c r="F493" s="872"/>
      <c r="G493" s="872"/>
      <c r="H493" s="895"/>
      <c r="I493" s="872"/>
      <c r="J493" s="875"/>
      <c r="K493" s="867"/>
      <c r="L493" s="873"/>
      <c r="M493" s="872"/>
      <c r="N493" s="867"/>
      <c r="O493" s="872"/>
      <c r="P493" s="872"/>
      <c r="Q493" s="867"/>
      <c r="R493" s="875"/>
    </row>
    <row r="494" spans="1:18">
      <c r="A494" s="867"/>
      <c r="B494" s="867"/>
      <c r="C494" s="875"/>
      <c r="D494" s="875"/>
      <c r="E494" s="872"/>
      <c r="F494" s="872"/>
      <c r="G494" s="872"/>
      <c r="H494" s="895"/>
      <c r="I494" s="872"/>
      <c r="J494" s="875"/>
      <c r="K494" s="867"/>
      <c r="L494" s="873"/>
      <c r="M494" s="872"/>
      <c r="N494" s="867"/>
      <c r="O494" s="872"/>
      <c r="P494" s="872"/>
      <c r="Q494" s="867"/>
      <c r="R494" s="875"/>
    </row>
    <row r="495" spans="1:18">
      <c r="A495" s="867"/>
      <c r="B495" s="867"/>
      <c r="C495" s="875"/>
      <c r="D495" s="875"/>
      <c r="E495" s="872"/>
      <c r="F495" s="872"/>
      <c r="G495" s="872"/>
      <c r="H495" s="895"/>
      <c r="I495" s="872"/>
      <c r="J495" s="875"/>
      <c r="K495" s="867"/>
      <c r="L495" s="873"/>
      <c r="M495" s="872"/>
      <c r="N495" s="867"/>
      <c r="O495" s="872"/>
      <c r="P495" s="872"/>
      <c r="Q495" s="867"/>
      <c r="R495" s="875"/>
    </row>
    <row r="496" spans="1:18">
      <c r="A496" s="867"/>
      <c r="B496" s="867"/>
      <c r="C496" s="875"/>
      <c r="D496" s="875"/>
      <c r="E496" s="872"/>
      <c r="F496" s="872"/>
      <c r="G496" s="872"/>
      <c r="H496" s="895"/>
      <c r="I496" s="872"/>
      <c r="J496" s="875"/>
      <c r="K496" s="867"/>
      <c r="L496" s="873"/>
      <c r="M496" s="872"/>
      <c r="N496" s="867"/>
      <c r="O496" s="872"/>
      <c r="P496" s="872"/>
      <c r="Q496" s="867"/>
      <c r="R496" s="875"/>
    </row>
    <row r="497" spans="1:18">
      <c r="A497" s="867"/>
      <c r="B497" s="867"/>
      <c r="C497" s="875"/>
      <c r="D497" s="875"/>
      <c r="E497" s="872"/>
      <c r="F497" s="872"/>
      <c r="G497" s="872"/>
      <c r="H497" s="895"/>
      <c r="I497" s="872"/>
      <c r="J497" s="875"/>
      <c r="K497" s="867"/>
      <c r="L497" s="873"/>
      <c r="M497" s="872"/>
      <c r="N497" s="867"/>
      <c r="O497" s="872"/>
      <c r="P497" s="872"/>
      <c r="Q497" s="867"/>
      <c r="R497" s="875"/>
    </row>
    <row r="498" spans="1:18">
      <c r="A498" s="867"/>
      <c r="B498" s="867"/>
      <c r="C498" s="875"/>
      <c r="D498" s="875"/>
      <c r="E498" s="872"/>
      <c r="F498" s="872"/>
      <c r="G498" s="872"/>
      <c r="H498" s="895"/>
      <c r="I498" s="872"/>
      <c r="J498" s="875"/>
      <c r="K498" s="867"/>
      <c r="L498" s="873"/>
      <c r="M498" s="872"/>
      <c r="N498" s="867"/>
      <c r="O498" s="872"/>
      <c r="P498" s="872"/>
      <c r="Q498" s="867"/>
      <c r="R498" s="875"/>
    </row>
    <row r="499" spans="1:18">
      <c r="A499" s="867"/>
      <c r="B499" s="867"/>
      <c r="C499" s="875"/>
      <c r="D499" s="875"/>
      <c r="E499" s="872"/>
      <c r="F499" s="872"/>
      <c r="G499" s="872"/>
      <c r="H499" s="895"/>
      <c r="I499" s="872"/>
      <c r="J499" s="875"/>
      <c r="K499" s="867"/>
      <c r="L499" s="873"/>
      <c r="M499" s="872"/>
      <c r="N499" s="867"/>
      <c r="O499" s="872"/>
      <c r="P499" s="872"/>
      <c r="Q499" s="867"/>
      <c r="R499" s="875"/>
    </row>
    <row r="500" spans="1:18">
      <c r="A500" s="867"/>
      <c r="B500" s="867"/>
      <c r="C500" s="875"/>
      <c r="D500" s="875"/>
      <c r="E500" s="872"/>
      <c r="F500" s="872"/>
      <c r="G500" s="872"/>
      <c r="H500" s="895"/>
      <c r="I500" s="872"/>
      <c r="J500" s="875"/>
      <c r="K500" s="867"/>
      <c r="L500" s="873"/>
      <c r="M500" s="872"/>
      <c r="N500" s="867"/>
      <c r="O500" s="872"/>
      <c r="P500" s="872"/>
      <c r="Q500" s="867"/>
      <c r="R500" s="875"/>
    </row>
    <row r="501" spans="1:18">
      <c r="A501" s="867"/>
      <c r="B501" s="867"/>
      <c r="C501" s="875"/>
      <c r="D501" s="875"/>
      <c r="E501" s="872"/>
      <c r="F501" s="872"/>
      <c r="G501" s="872"/>
      <c r="H501" s="895"/>
      <c r="I501" s="872"/>
      <c r="J501" s="875"/>
      <c r="K501" s="867"/>
      <c r="L501" s="873"/>
      <c r="M501" s="872"/>
      <c r="N501" s="867"/>
      <c r="O501" s="872"/>
      <c r="P501" s="872"/>
      <c r="Q501" s="867"/>
      <c r="R501" s="875"/>
    </row>
    <row r="502" spans="1:18">
      <c r="A502" s="867"/>
      <c r="B502" s="867"/>
      <c r="C502" s="875"/>
      <c r="D502" s="875"/>
      <c r="E502" s="872"/>
      <c r="F502" s="872"/>
      <c r="G502" s="872"/>
      <c r="H502" s="895"/>
      <c r="I502" s="872"/>
      <c r="J502" s="875"/>
      <c r="K502" s="867"/>
      <c r="L502" s="873"/>
      <c r="M502" s="872"/>
      <c r="N502" s="867"/>
      <c r="O502" s="872"/>
      <c r="P502" s="872"/>
      <c r="Q502" s="867"/>
      <c r="R502" s="875"/>
    </row>
    <row r="503" spans="1:18">
      <c r="A503" s="867"/>
      <c r="B503" s="867"/>
      <c r="C503" s="875"/>
      <c r="D503" s="875"/>
      <c r="E503" s="872"/>
      <c r="F503" s="872"/>
      <c r="G503" s="872"/>
      <c r="H503" s="895"/>
      <c r="I503" s="872"/>
      <c r="J503" s="875"/>
      <c r="K503" s="867"/>
      <c r="L503" s="873"/>
      <c r="M503" s="872"/>
      <c r="N503" s="867"/>
      <c r="O503" s="872"/>
      <c r="P503" s="872"/>
      <c r="Q503" s="867"/>
      <c r="R503" s="875"/>
    </row>
    <row r="504" spans="1:18">
      <c r="A504" s="867"/>
      <c r="B504" s="867"/>
      <c r="C504" s="875"/>
      <c r="D504" s="875"/>
      <c r="E504" s="872"/>
      <c r="F504" s="872"/>
      <c r="G504" s="872"/>
      <c r="H504" s="895"/>
      <c r="I504" s="872"/>
      <c r="J504" s="875"/>
      <c r="K504" s="867"/>
      <c r="L504" s="873"/>
      <c r="M504" s="872"/>
      <c r="N504" s="867"/>
      <c r="O504" s="872"/>
      <c r="P504" s="872"/>
      <c r="Q504" s="867"/>
      <c r="R504" s="875"/>
    </row>
    <row r="505" spans="1:18">
      <c r="A505" s="867"/>
      <c r="B505" s="867"/>
      <c r="C505" s="875"/>
      <c r="D505" s="875"/>
      <c r="E505" s="872"/>
      <c r="F505" s="872"/>
      <c r="G505" s="872"/>
      <c r="H505" s="895"/>
      <c r="I505" s="872"/>
      <c r="J505" s="875"/>
      <c r="K505" s="867"/>
      <c r="L505" s="873"/>
      <c r="M505" s="872"/>
      <c r="N505" s="867"/>
      <c r="O505" s="872"/>
      <c r="P505" s="872"/>
      <c r="Q505" s="867"/>
      <c r="R505" s="875"/>
    </row>
    <row r="506" spans="1:18">
      <c r="A506" s="727"/>
      <c r="B506" s="727"/>
      <c r="C506" s="730"/>
      <c r="D506" s="730"/>
      <c r="E506" s="728"/>
      <c r="F506" s="728"/>
      <c r="G506" s="728"/>
      <c r="H506" s="731"/>
      <c r="I506" s="728"/>
      <c r="J506" s="730"/>
      <c r="K506" s="727"/>
      <c r="L506" s="729"/>
      <c r="M506" s="728"/>
      <c r="N506" s="727"/>
      <c r="O506" s="728"/>
      <c r="P506" s="728"/>
      <c r="Q506" s="727"/>
      <c r="R506" s="730"/>
    </row>
    <row r="507" spans="1:18">
      <c r="A507" s="727"/>
      <c r="B507" s="727"/>
      <c r="C507" s="730"/>
      <c r="D507" s="730"/>
      <c r="E507" s="728"/>
      <c r="F507" s="728"/>
      <c r="G507" s="728"/>
      <c r="H507" s="731"/>
      <c r="I507" s="728"/>
      <c r="J507" s="730"/>
      <c r="K507" s="727"/>
      <c r="L507" s="729"/>
      <c r="M507" s="728"/>
      <c r="N507" s="727"/>
      <c r="O507" s="728"/>
      <c r="P507" s="728"/>
      <c r="Q507" s="727"/>
      <c r="R507" s="730"/>
    </row>
    <row r="508" spans="1:18">
      <c r="A508" s="727"/>
      <c r="B508" s="727"/>
      <c r="C508" s="730"/>
      <c r="D508" s="730"/>
      <c r="E508" s="728"/>
      <c r="F508" s="728"/>
      <c r="G508" s="728"/>
      <c r="H508" s="731"/>
      <c r="I508" s="728"/>
      <c r="J508" s="730"/>
      <c r="K508" s="727"/>
      <c r="L508" s="729"/>
      <c r="M508" s="728"/>
      <c r="N508" s="727"/>
      <c r="O508" s="728"/>
      <c r="P508" s="728"/>
      <c r="Q508" s="727"/>
      <c r="R508" s="730"/>
    </row>
    <row r="509" spans="1:18">
      <c r="A509" s="727"/>
      <c r="B509" s="727"/>
      <c r="C509" s="730"/>
      <c r="D509" s="730"/>
      <c r="E509" s="728"/>
      <c r="F509" s="728"/>
      <c r="G509" s="728"/>
      <c r="H509" s="731"/>
      <c r="I509" s="728"/>
      <c r="J509" s="730"/>
      <c r="K509" s="727"/>
      <c r="L509" s="729"/>
      <c r="M509" s="728"/>
      <c r="N509" s="727"/>
      <c r="O509" s="728"/>
      <c r="P509" s="728"/>
      <c r="Q509" s="727"/>
      <c r="R509" s="730"/>
    </row>
    <row r="510" spans="1:18">
      <c r="A510" s="727"/>
      <c r="B510" s="727"/>
      <c r="C510" s="730"/>
      <c r="D510" s="730"/>
      <c r="E510" s="728"/>
      <c r="F510" s="728"/>
      <c r="G510" s="728"/>
      <c r="H510" s="731"/>
      <c r="I510" s="728"/>
      <c r="J510" s="730"/>
      <c r="K510" s="727"/>
      <c r="L510" s="729"/>
      <c r="M510" s="728"/>
      <c r="N510" s="727"/>
      <c r="O510" s="728"/>
      <c r="P510" s="728"/>
      <c r="Q510" s="727"/>
      <c r="R510" s="730"/>
    </row>
    <row r="511" spans="1:18">
      <c r="A511" s="727"/>
      <c r="B511" s="727"/>
      <c r="C511" s="730"/>
      <c r="D511" s="730"/>
      <c r="E511" s="728"/>
      <c r="F511" s="728"/>
      <c r="G511" s="728"/>
      <c r="H511" s="731"/>
      <c r="I511" s="728"/>
      <c r="J511" s="730"/>
      <c r="K511" s="727"/>
      <c r="L511" s="729"/>
      <c r="M511" s="728"/>
      <c r="N511" s="727"/>
      <c r="O511" s="728"/>
      <c r="P511" s="728"/>
      <c r="Q511" s="727"/>
      <c r="R511" s="730"/>
    </row>
    <row r="512" spans="1:18">
      <c r="A512" s="727"/>
      <c r="B512" s="727"/>
      <c r="C512" s="730"/>
      <c r="D512" s="730"/>
      <c r="E512" s="728"/>
      <c r="F512" s="728"/>
      <c r="G512" s="728"/>
      <c r="H512" s="731"/>
      <c r="I512" s="728"/>
      <c r="J512" s="730"/>
      <c r="K512" s="727"/>
      <c r="L512" s="729"/>
      <c r="M512" s="728"/>
      <c r="N512" s="727"/>
      <c r="O512" s="728"/>
      <c r="P512" s="728"/>
      <c r="Q512" s="727"/>
      <c r="R512" s="730"/>
    </row>
    <row r="513" spans="1:18">
      <c r="A513" s="727"/>
      <c r="B513" s="727"/>
      <c r="C513" s="730"/>
      <c r="D513" s="730"/>
      <c r="E513" s="728"/>
      <c r="F513" s="728"/>
      <c r="G513" s="728"/>
      <c r="H513" s="731"/>
      <c r="I513" s="728"/>
      <c r="J513" s="730"/>
      <c r="K513" s="727"/>
      <c r="L513" s="729"/>
      <c r="M513" s="728"/>
      <c r="N513" s="727"/>
      <c r="O513" s="728"/>
      <c r="P513" s="728"/>
      <c r="Q513" s="727"/>
      <c r="R513" s="730"/>
    </row>
  </sheetData>
  <autoFilter ref="A3:R38" xr:uid="{00000000-0001-0000-0600-000000000000}"/>
  <sortState xmlns:xlrd2="http://schemas.microsoft.com/office/spreadsheetml/2017/richdata2" ref="A4:R7">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61" t="s">
        <v>541</v>
      </c>
      <c r="B1" s="762"/>
      <c r="C1" s="762"/>
      <c r="D1" s="762"/>
      <c r="E1" s="762"/>
      <c r="F1" s="762"/>
      <c r="G1" s="762"/>
      <c r="H1" s="762"/>
      <c r="I1" s="762"/>
      <c r="J1" s="762"/>
      <c r="K1" s="762"/>
      <c r="L1" s="762"/>
      <c r="M1" s="762"/>
      <c r="N1" s="762"/>
      <c r="O1" s="762"/>
      <c r="P1" s="762"/>
      <c r="Q1" s="762"/>
      <c r="R1" s="762"/>
      <c r="S1" s="762"/>
      <c r="T1" s="762"/>
      <c r="U1" s="762"/>
      <c r="V1" s="762"/>
      <c r="W1" s="762"/>
      <c r="X1" s="762"/>
      <c r="Y1" s="762"/>
      <c r="Z1" s="762"/>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3460</v>
      </c>
      <c r="F3" s="133">
        <f>IF(分析!F122&lt;&gt;"",分析!F122,"")</f>
        <v>3385</v>
      </c>
      <c r="G3" s="133">
        <f>IF(分析!H122&lt;&gt;"",分析!H122,"")</f>
        <v>3515</v>
      </c>
      <c r="H3" s="133">
        <f>IF(分析!I122&lt;&gt;"",分析!I122,"")</f>
        <v>3380</v>
      </c>
      <c r="I3" s="133">
        <f>IF(分析!J122&lt;&gt;"",分析!J122,"")</f>
        <v>1265700</v>
      </c>
      <c r="J3" s="133">
        <f>IF(分析!AB122&lt;&gt;"",分析!AB122,"")</f>
        <v>1502.8981670061096</v>
      </c>
      <c r="K3" s="133">
        <f>IF(分析!AC122&lt;&gt;"",分析!AC122,"")</f>
        <v>1538.2675804529197</v>
      </c>
      <c r="L3" s="133">
        <f>IF(分析!K122&lt;&gt;"",分析!K122,"")</f>
        <v>4720</v>
      </c>
      <c r="M3" s="128" t="str">
        <f>IF(分析!P122&lt;&gt;"",分析!P122,"")</f>
        <v>普通→</v>
      </c>
      <c r="N3" s="134">
        <f>IF(分析!O122&lt;&gt;"",分析!O122,"")</f>
        <v>1.3824326095504391</v>
      </c>
      <c r="O3" s="135">
        <f>IF(分析!X122&lt;&gt;"",分析!X122,"")</f>
        <v>30.406433714511877</v>
      </c>
      <c r="P3" s="136">
        <f>IF(分析!L122&lt;&gt;"",分析!L122,"")</f>
        <v>-26.694915254237291</v>
      </c>
      <c r="Q3" s="133">
        <f>IF(分析!S122&lt;&gt;"",分析!S122,"")</f>
        <v>3322</v>
      </c>
      <c r="R3" s="133">
        <f>IF(分析!R122&lt;&gt;"",分析!R122,"")</f>
        <v>3737</v>
      </c>
      <c r="S3" s="128" t="str">
        <f>IF(分析!AA122&lt;&gt;"",分析!AA122,"")</f>
        <v>上昇▲</v>
      </c>
      <c r="T3" s="137">
        <f>IF(分析!Z122&lt;&gt;"",分析!Z122,"")</f>
        <v>5.1671732522796354</v>
      </c>
      <c r="U3" s="128" t="str">
        <f>IF(分析!V122&lt;&gt;"",分析!V122,"")</f>
        <v>通常</v>
      </c>
      <c r="V3" s="138">
        <f>IF(分析!W122&lt;&gt;"",分析!W122,"")</f>
        <v>59.941804073714842</v>
      </c>
      <c r="W3" s="139" t="str">
        <f>IF(分析!AD122&lt;&gt;"",分析!AD122,"")</f>
        <v>上昇トレンド▲</v>
      </c>
      <c r="X3" s="140" t="str">
        <f>IF(分析!AE122&lt;&gt;"",分析!AE122,"")</f>
        <v>なし</v>
      </c>
      <c r="Y3" s="141">
        <f>IF(分析!T122&lt;&gt;"",分析!T122,"")</f>
        <v>9</v>
      </c>
      <c r="Z3" s="142" t="str">
        <f>IF(分析!Y122&lt;&gt;"",分析!Y122,"")</f>
        <v>△注目</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2215</v>
      </c>
      <c r="F4" s="133">
        <f>IF(分析!F180&lt;&gt;"",分析!F180,"")</f>
        <v>2200</v>
      </c>
      <c r="G4" s="133">
        <f>IF(分析!H180&lt;&gt;"",分析!H180,"")</f>
        <v>2228</v>
      </c>
      <c r="H4" s="133">
        <f>IF(分析!I180&lt;&gt;"",分析!I180,"")</f>
        <v>2195</v>
      </c>
      <c r="I4" s="133">
        <f>IF(分析!J180&lt;&gt;"",分析!J180,"")</f>
        <v>64500</v>
      </c>
      <c r="J4" s="133">
        <f>IF(分析!AB180&lt;&gt;"",分析!AB180,"")</f>
        <v>2362.0549898167005</v>
      </c>
      <c r="K4" s="133">
        <f>IF(分析!AC180&lt;&gt;"",分析!AC180,"")</f>
        <v>2344.6174016686518</v>
      </c>
      <c r="L4" s="133">
        <f>IF(分析!K180&lt;&gt;"",分析!K180,"")</f>
        <v>2653</v>
      </c>
      <c r="M4" s="128" t="str">
        <f>IF(分析!P180&lt;&gt;"",分析!P180,"")</f>
        <v>減少↓</v>
      </c>
      <c r="N4" s="134">
        <f>IF(分析!O180&lt;&gt;"",分析!O180,"")</f>
        <v>0.8166624461889086</v>
      </c>
      <c r="O4" s="135">
        <f>IF(分析!X180&lt;&gt;"",分析!X180,"")</f>
        <v>-21.687789316148155</v>
      </c>
      <c r="P4" s="136">
        <f>IF(分析!L180&lt;&gt;"",分析!L180,"")</f>
        <v>-16.50961176027139</v>
      </c>
      <c r="Q4" s="133">
        <f>IF(分析!S180&lt;&gt;"",分析!S180,"")</f>
        <v>2126</v>
      </c>
      <c r="R4" s="133">
        <f>IF(分析!R180&lt;&gt;"",分析!R180,"")</f>
        <v>2392</v>
      </c>
      <c r="S4" s="128" t="str">
        <f>IF(分析!AA180&lt;&gt;"",分析!AA180,"")</f>
        <v>上昇▲</v>
      </c>
      <c r="T4" s="137">
        <f>IF(分析!Z180&lt;&gt;"",分析!Z180,"")</f>
        <v>0.77343039126478619</v>
      </c>
      <c r="U4" s="128" t="str">
        <f>IF(分析!V180&lt;&gt;"",分析!V180,"")</f>
        <v>通常</v>
      </c>
      <c r="V4" s="138">
        <f>IF(分析!W180&lt;&gt;"",分析!W180,"")</f>
        <v>26.834862385321102</v>
      </c>
      <c r="W4" s="139" t="str">
        <f>IF(分析!AD180&lt;&gt;"",分析!AD180,"")</f>
        <v>もみ合い→</v>
      </c>
      <c r="X4" s="140" t="str">
        <f>IF(分析!AE180&lt;&gt;"",分析!AE180,"")</f>
        <v>なし</v>
      </c>
      <c r="Y4" s="141">
        <f>IF(分析!T180&lt;&gt;"",分析!T180,"")</f>
        <v>3</v>
      </c>
      <c r="Z4" s="142" t="str">
        <f>IF(分析!Y180&lt;&gt;"",分析!Y180,"")</f>
        <v>様子見</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3544</v>
      </c>
      <c r="F5" s="148">
        <f>IF(分析!F181&lt;&gt;"",分析!F181,"")</f>
        <v>3650</v>
      </c>
      <c r="G5" s="148">
        <f>IF(分析!H181&lt;&gt;"",分析!H181,"")</f>
        <v>3720</v>
      </c>
      <c r="H5" s="148">
        <f>IF(分析!I181&lt;&gt;"",分析!I181,"")</f>
        <v>3427</v>
      </c>
      <c r="I5" s="148">
        <f>IF(分析!J181&lt;&gt;"",分析!J181,"")</f>
        <v>15463900</v>
      </c>
      <c r="J5" s="148">
        <f>IF(分析!AB181&lt;&gt;"",分析!AB181,"")</f>
        <v>13927.342158859467</v>
      </c>
      <c r="K5" s="148">
        <f>IF(分析!AC181&lt;&gt;"",分析!AC181,"")</f>
        <v>13904.600715137065</v>
      </c>
      <c r="L5" s="148">
        <f>IF(分析!K181&lt;&gt;"",分析!K181,"")</f>
        <v>5939</v>
      </c>
      <c r="M5" s="143" t="str">
        <f>IF(分析!P181&lt;&gt;"",分析!P181,"")</f>
        <v>増加↑</v>
      </c>
      <c r="N5" s="149">
        <f>IF(分析!O181&lt;&gt;"",分析!O181,"")</f>
        <v>1.9713499704244599</v>
      </c>
      <c r="O5" s="150">
        <f>IF(分析!X181&lt;&gt;"",分析!X181,"")</f>
        <v>-184.18701515290104</v>
      </c>
      <c r="P5" s="151">
        <f>IF(分析!L181&lt;&gt;"",分析!L181,"")</f>
        <v>-40.326654318908908</v>
      </c>
      <c r="Q5" s="148">
        <f>IF(分析!S181&lt;&gt;"",分析!S181,"")</f>
        <v>3402</v>
      </c>
      <c r="R5" s="148">
        <f>IF(分析!R181&lt;&gt;"",分析!R181,"")</f>
        <v>3828</v>
      </c>
      <c r="S5" s="143" t="str">
        <f>IF(分析!AA181&lt;&gt;"",分析!AA181,"")</f>
        <v>下落▼</v>
      </c>
      <c r="T5" s="152">
        <f>IF(分析!Z181&lt;&gt;"",分析!Z181,"")</f>
        <v>-5.6443024494142708</v>
      </c>
      <c r="U5" s="143" t="str">
        <f>IF(分析!V181&lt;&gt;"",分析!V181,"")</f>
        <v>通常</v>
      </c>
      <c r="V5" s="153">
        <f>IF(分析!W181&lt;&gt;"",分析!W181,"")</f>
        <v>36.020498669557512</v>
      </c>
      <c r="W5" s="154" t="str">
        <f>IF(分析!AD181&lt;&gt;"",分析!AD181,"")</f>
        <v>もみ合い→</v>
      </c>
      <c r="X5" s="155" t="str">
        <f>IF(分析!AE181&lt;&gt;"",分析!AE181,"")</f>
        <v>なし</v>
      </c>
      <c r="Y5" s="156">
        <f>IF(分析!T181&lt;&gt;"",分析!T181,"")</f>
        <v>3</v>
      </c>
      <c r="Z5" s="142" t="str">
        <f>IF(分析!Y181&lt;&gt;"",分析!Y181,"")</f>
        <v>様子見</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1075</v>
      </c>
      <c r="F6" s="133">
        <f>IF(分析!F32&lt;&gt;"",分析!F32,"")</f>
        <v>1075</v>
      </c>
      <c r="G6" s="133">
        <f>IF(分析!H32&lt;&gt;"",分析!H32,"")</f>
        <v>1084</v>
      </c>
      <c r="H6" s="133">
        <f>IF(分析!I32&lt;&gt;"",分析!I32,"")</f>
        <v>1069</v>
      </c>
      <c r="I6" s="133">
        <f>IF(分析!J32&lt;&gt;"",分析!J32,"")</f>
        <v>104000</v>
      </c>
      <c r="J6" s="133">
        <f>IF(分析!AB32&lt;&gt;"",分析!AB32,"")</f>
        <v>4156.4643584521382</v>
      </c>
      <c r="K6" s="133">
        <f>IF(分析!AC32&lt;&gt;"",分析!AC32,"")</f>
        <v>4099.5387365911783</v>
      </c>
      <c r="L6" s="133">
        <f>IF(分析!K32&lt;&gt;"",分析!K32,"")</f>
        <v>1267</v>
      </c>
      <c r="M6" s="128" t="str">
        <f>IF(分析!P32&lt;&gt;"",分析!P32,"")</f>
        <v>減少↓</v>
      </c>
      <c r="N6" s="134">
        <f>IF(分析!O32&lt;&gt;"",分析!O32,"")</f>
        <v>0.45174181217965426</v>
      </c>
      <c r="O6" s="135">
        <f>IF(分析!X32&lt;&gt;"",分析!X32,"")</f>
        <v>-8.8209434044867976</v>
      </c>
      <c r="P6" s="136">
        <f>IF(分析!L32&lt;&gt;"",分析!L32,"")</f>
        <v>-15.153906866614051</v>
      </c>
      <c r="Q6" s="133">
        <f>IF(分析!S32&lt;&gt;"",分析!S32,"")</f>
        <v>1032</v>
      </c>
      <c r="R6" s="133">
        <f>IF(分析!R32&lt;&gt;"",分析!R32,"")</f>
        <v>1161</v>
      </c>
      <c r="S6" s="128" t="str">
        <f>IF(分析!AA32&lt;&gt;"",分析!AA32,"")</f>
        <v>上昇▲</v>
      </c>
      <c r="T6" s="137">
        <f>IF(分析!Z32&lt;&gt;"",分析!Z32,"")</f>
        <v>0.27985074626865669</v>
      </c>
      <c r="U6" s="128" t="str">
        <f>IF(分析!V32&lt;&gt;"",分析!V32,"")</f>
        <v>通常</v>
      </c>
      <c r="V6" s="138">
        <f>IF(分析!W32&lt;&gt;"",分析!W32,"")</f>
        <v>49.073675140025856</v>
      </c>
      <c r="W6" s="139" t="str">
        <f>IF(分析!AD32&lt;&gt;"",分析!AD32,"")</f>
        <v>もみ合い→</v>
      </c>
      <c r="X6" s="140" t="str">
        <f>IF(分析!AE32&lt;&gt;"",分析!AE32,"")</f>
        <v>なし</v>
      </c>
      <c r="Y6" s="141">
        <f>IF(分析!T32&lt;&gt;"",分析!T32,"")</f>
        <v>1</v>
      </c>
      <c r="Z6" s="142" t="str">
        <f>IF(分析!Y32&lt;&gt;"",分析!Y32,"")</f>
        <v>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1679</v>
      </c>
      <c r="F7" s="148">
        <f>IF(分析!F51&lt;&gt;"",分析!F51,"")</f>
        <v>1646</v>
      </c>
      <c r="G7" s="148">
        <f>IF(分析!H51&lt;&gt;"",分析!H51,"")</f>
        <v>1687</v>
      </c>
      <c r="H7" s="148">
        <f>IF(分析!I51&lt;&gt;"",分析!I51,"")</f>
        <v>1646</v>
      </c>
      <c r="I7" s="148">
        <f>IF(分析!J51&lt;&gt;"",分析!J51,"")</f>
        <v>7699800</v>
      </c>
      <c r="J7" s="148">
        <f>IF(分析!AB51&lt;&gt;"",分析!AB51,"")</f>
        <v>5832.4786150712816</v>
      </c>
      <c r="K7" s="148">
        <f>IF(分析!AC51&lt;&gt;"",分析!AC51,"")</f>
        <v>6122.5065554231187</v>
      </c>
      <c r="L7" s="148">
        <f>IF(分析!K51&lt;&gt;"",分析!K51,"")</f>
        <v>1705</v>
      </c>
      <c r="M7" s="143" t="str">
        <f>IF(分析!P51&lt;&gt;"",分析!P51,"")</f>
        <v>減少↓</v>
      </c>
      <c r="N7" s="149">
        <f>IF(分析!O51&lt;&gt;"",分析!O51,"")</f>
        <v>0.68725510322482752</v>
      </c>
      <c r="O7" s="150">
        <f>IF(分析!X51&lt;&gt;"",分析!X51,"")</f>
        <v>3.7529876929941111</v>
      </c>
      <c r="P7" s="151">
        <f>IF(分析!L51&lt;&gt;"",分析!L51,"")</f>
        <v>-1.5249266862170088</v>
      </c>
      <c r="Q7" s="148">
        <f>IF(分析!S51&lt;&gt;"",分析!S51,"")</f>
        <v>1612</v>
      </c>
      <c r="R7" s="148">
        <f>IF(分析!R51&lt;&gt;"",分析!R51,"")</f>
        <v>1813</v>
      </c>
      <c r="S7" s="143" t="str">
        <f>IF(分析!AA51&lt;&gt;"",分析!AA51,"")</f>
        <v>上昇▲</v>
      </c>
      <c r="T7" s="152">
        <f>IF(分析!Z51&lt;&gt;"",分析!Z51,"")</f>
        <v>1.0836845273931366</v>
      </c>
      <c r="U7" s="143" t="str">
        <f>IF(分析!V51&lt;&gt;"",分析!V51,"")</f>
        <v>高値圏</v>
      </c>
      <c r="V7" s="153">
        <f>IF(分析!W51&lt;&gt;"",分析!W51,"")</f>
        <v>46.13807245386193</v>
      </c>
      <c r="W7" s="154" t="str">
        <f>IF(分析!AD51&lt;&gt;"",分析!AD51,"")</f>
        <v>下降トレンド▼</v>
      </c>
      <c r="X7" s="155" t="str">
        <f>IF(分析!AE51&lt;&gt;"",分析!AE51,"")</f>
        <v>なし</v>
      </c>
      <c r="Y7" s="156">
        <f>IF(分析!T51&lt;&gt;"",分析!T51,"")</f>
        <v>9</v>
      </c>
      <c r="Z7" s="142" t="str">
        <f>IF(分析!Y51&lt;&gt;"",分析!Y51,"")</f>
        <v>△注目</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1258</v>
      </c>
      <c r="F8" s="148">
        <f>IF(分析!F187&lt;&gt;"",分析!F187,"")</f>
        <v>964</v>
      </c>
      <c r="G8" s="148">
        <f>IF(分析!H187&lt;&gt;"",分析!H187,"")</f>
        <v>1298</v>
      </c>
      <c r="H8" s="148">
        <f>IF(分析!I187&lt;&gt;"",分析!I187,"")</f>
        <v>909</v>
      </c>
      <c r="I8" s="148">
        <f>IF(分析!J187&lt;&gt;"",分析!J187,"")</f>
        <v>29708900</v>
      </c>
      <c r="J8" s="148">
        <f>IF(分析!AB187&lt;&gt;"",分析!AB187,"")</f>
        <v>1947.6349287169037</v>
      </c>
      <c r="K8" s="148">
        <f>IF(分析!AC187&lt;&gt;"",分析!AC187,"")</f>
        <v>2002.9851013110836</v>
      </c>
      <c r="L8" s="148">
        <f>IF(分析!K187&lt;&gt;"",分析!K187,"")</f>
        <v>4380</v>
      </c>
      <c r="M8" s="143" t="str">
        <f>IF(分析!P187&lt;&gt;"",分析!P187,"")</f>
        <v>急増↑↑</v>
      </c>
      <c r="N8" s="149">
        <f>IF(分析!O187&lt;&gt;"",分析!O187,"")</f>
        <v>3.4863217532939976</v>
      </c>
      <c r="O8" s="150">
        <f>IF(分析!X187&lt;&gt;"",分析!X187,"")</f>
        <v>4.6854489151768348</v>
      </c>
      <c r="P8" s="151">
        <f>IF(分析!L187&lt;&gt;"",分析!L187,"")</f>
        <v>-71.278538812785385</v>
      </c>
      <c r="Q8" s="148">
        <f>IF(分析!S187&lt;&gt;"",分析!S187,"")</f>
        <v>1208</v>
      </c>
      <c r="R8" s="148">
        <f>IF(分析!R187&lt;&gt;"",分析!R187,"")</f>
        <v>1359</v>
      </c>
      <c r="S8" s="143" t="str">
        <f>IF(分析!AA187&lt;&gt;"",分析!AA187,"")</f>
        <v>上昇▲</v>
      </c>
      <c r="T8" s="152">
        <f>IF(分析!Z187&lt;&gt;"",分析!Z187,"")</f>
        <v>24.677898909811695</v>
      </c>
      <c r="U8" s="143" t="str">
        <f>IF(分析!V187&lt;&gt;"",分析!V187,"")</f>
        <v>通常</v>
      </c>
      <c r="V8" s="153">
        <f>IF(分析!W187&lt;&gt;"",分析!W187,"")</f>
        <v>53.09446254071662</v>
      </c>
      <c r="W8" s="154" t="str">
        <f>IF(分析!AD187&lt;&gt;"",分析!AD187,"")</f>
        <v>下降トレンド▼</v>
      </c>
      <c r="X8" s="155" t="str">
        <f>IF(分析!AE187&lt;&gt;"",分析!AE187,"")</f>
        <v>なし</v>
      </c>
      <c r="Y8" s="156">
        <f>IF(分析!T187&lt;&gt;"",分析!T187,"")</f>
        <v>13</v>
      </c>
      <c r="Z8" s="142" t="str">
        <f>IF(分析!Y187&lt;&gt;"",分析!Y187,"")</f>
        <v>○買い候補</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1018</v>
      </c>
      <c r="F9" s="133">
        <f>IF(分析!F154&lt;&gt;"",分析!F154,"")</f>
        <v>1010</v>
      </c>
      <c r="G9" s="133">
        <f>IF(分析!H154&lt;&gt;"",分析!H154,"")</f>
        <v>1020</v>
      </c>
      <c r="H9" s="133">
        <f>IF(分析!I154&lt;&gt;"",分析!I154,"")</f>
        <v>1008</v>
      </c>
      <c r="I9" s="133">
        <f>IF(分析!J154&lt;&gt;"",分析!J154,"")</f>
        <v>46700</v>
      </c>
      <c r="J9" s="133">
        <f>IF(分析!AB154&lt;&gt;"",分析!AB154,"")</f>
        <v>2571.3696537678206</v>
      </c>
      <c r="K9" s="133">
        <f>IF(分析!AC154&lt;&gt;"",分析!AC154,"")</f>
        <v>2584.56495828367</v>
      </c>
      <c r="L9" s="133">
        <f>IF(分析!K154&lt;&gt;"",分析!K154,"")</f>
        <v>1161</v>
      </c>
      <c r="M9" s="128" t="str">
        <f>IF(分析!P154&lt;&gt;"",分析!P154,"")</f>
        <v>減少↓</v>
      </c>
      <c r="N9" s="134">
        <f>IF(分析!O154&lt;&gt;"",分析!O154,"")</f>
        <v>0.38461538461538464</v>
      </c>
      <c r="O9" s="135">
        <f>IF(分析!X154&lt;&gt;"",分析!X154,"")</f>
        <v>-8.4495341089559588</v>
      </c>
      <c r="P9" s="136">
        <f>IF(分析!L154&lt;&gt;"",分析!L154,"")</f>
        <v>-12.316968130921619</v>
      </c>
      <c r="Q9" s="133">
        <f>IF(分析!S154&lt;&gt;"",分析!S154,"")</f>
        <v>977</v>
      </c>
      <c r="R9" s="133">
        <f>IF(分析!R154&lt;&gt;"",分析!R154,"")</f>
        <v>1099</v>
      </c>
      <c r="S9" s="128" t="str">
        <f>IF(分析!AA154&lt;&gt;"",分析!AA154,"")</f>
        <v>上昇▲</v>
      </c>
      <c r="T9" s="137">
        <f>IF(分析!Z154&lt;&gt;"",分析!Z154,"")</f>
        <v>0.6923837784371909</v>
      </c>
      <c r="U9" s="128" t="str">
        <f>IF(分析!V154&lt;&gt;"",分析!V154,"")</f>
        <v>通常</v>
      </c>
      <c r="V9" s="138">
        <f>IF(分析!W154&lt;&gt;"",分析!W154,"")</f>
        <v>26.984126984126974</v>
      </c>
      <c r="W9" s="139" t="str">
        <f>IF(分析!AD154&lt;&gt;"",分析!AD154,"")</f>
        <v>下降トレンド▼</v>
      </c>
      <c r="X9" s="140" t="str">
        <f>IF(分析!AE154&lt;&gt;"",分析!AE154,"")</f>
        <v>なし</v>
      </c>
      <c r="Y9" s="141">
        <f>IF(分析!T154&lt;&gt;"",分析!T154,"")</f>
        <v>2</v>
      </c>
      <c r="Z9" s="142" t="str">
        <f>IF(分析!Y154&lt;&gt;"",分析!Y154,"")</f>
        <v>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2871</v>
      </c>
      <c r="F10" s="148">
        <f>IF(分析!F23&lt;&gt;"",分析!F23,"")</f>
        <v>2794.5</v>
      </c>
      <c r="G10" s="148">
        <f>IF(分析!H23&lt;&gt;"",分析!H23,"")</f>
        <v>2874.5</v>
      </c>
      <c r="H10" s="148">
        <f>IF(分析!I23&lt;&gt;"",分析!I23,"")</f>
        <v>2792.5</v>
      </c>
      <c r="I10" s="148">
        <f>IF(分析!J23&lt;&gt;"",分析!J23,"")</f>
        <v>602900</v>
      </c>
      <c r="J10" s="148">
        <f>IF(分析!AB23&lt;&gt;"",分析!AB23,"")</f>
        <v>1697.4582484725047</v>
      </c>
      <c r="K10" s="148">
        <f>IF(分析!AC23&lt;&gt;"",分析!AC23,"")</f>
        <v>1629.4433849821207</v>
      </c>
      <c r="L10" s="148">
        <f>IF(分析!K23&lt;&gt;"",分析!K23,"")</f>
        <v>3953</v>
      </c>
      <c r="M10" s="143" t="str">
        <f>IF(分析!P23&lt;&gt;"",分析!P23,"")</f>
        <v>減少↓</v>
      </c>
      <c r="N10" s="149">
        <f>IF(分析!O23&lt;&gt;"",分析!O23,"")</f>
        <v>0.8934499110847659</v>
      </c>
      <c r="O10" s="150">
        <f>IF(分析!X23&lt;&gt;"",分析!X23,"")</f>
        <v>-2.4934783214375784</v>
      </c>
      <c r="P10" s="151">
        <f>IF(分析!L23&lt;&gt;"",分析!L23,"")</f>
        <v>-27.371616493802176</v>
      </c>
      <c r="Q10" s="148">
        <f>IF(分析!S23&lt;&gt;"",分析!S23,"")</f>
        <v>2756</v>
      </c>
      <c r="R10" s="148">
        <f>IF(分析!R23&lt;&gt;"",分析!R23,"")</f>
        <v>3101</v>
      </c>
      <c r="S10" s="143" t="str">
        <f>IF(分析!AA23&lt;&gt;"",分析!AA23,"")</f>
        <v>上昇▲</v>
      </c>
      <c r="T10" s="152">
        <f>IF(分析!Z23&lt;&gt;"",分析!Z23,"")</f>
        <v>3.5154137371552192</v>
      </c>
      <c r="U10" s="143" t="str">
        <f>IF(分析!V23&lt;&gt;"",分析!V23,"")</f>
        <v>通常</v>
      </c>
      <c r="V10" s="153">
        <f>IF(分析!W23&lt;&gt;"",分析!W23,"")</f>
        <v>43.15561959654179</v>
      </c>
      <c r="W10" s="154" t="str">
        <f>IF(分析!AD23&lt;&gt;"",分析!AD23,"")</f>
        <v>パーフェクト▲</v>
      </c>
      <c r="X10" s="155" t="str">
        <f>IF(分析!AE23&lt;&gt;"",分析!AE23,"")</f>
        <v>なし</v>
      </c>
      <c r="Y10" s="156">
        <f>IF(分析!T23&lt;&gt;"",分析!T23,"")</f>
        <v>6</v>
      </c>
      <c r="Z10" s="142" t="str">
        <f>IF(分析!Y23&lt;&gt;"",分析!Y23,"")</f>
        <v>△注目</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43330</v>
      </c>
      <c r="F11" s="148">
        <f>IF(分析!F81&lt;&gt;"",分析!F81,"")</f>
        <v>45280</v>
      </c>
      <c r="G11" s="148">
        <f>IF(分析!H81&lt;&gt;"",分析!H81,"")</f>
        <v>45850</v>
      </c>
      <c r="H11" s="148">
        <f>IF(分析!I81&lt;&gt;"",分析!I81,"")</f>
        <v>43250</v>
      </c>
      <c r="I11" s="148">
        <f>IF(分析!J81&lt;&gt;"",分析!J81,"")</f>
        <v>2765700</v>
      </c>
      <c r="J11" s="148">
        <f>IF(分析!AB81&lt;&gt;"",分析!AB81,"")</f>
        <v>4595.8258655804466</v>
      </c>
      <c r="K11" s="148">
        <f>IF(分析!AC81&lt;&gt;"",分析!AC81,"")</f>
        <v>4623.2693682955887</v>
      </c>
      <c r="L11" s="148">
        <f>IF(分析!K81&lt;&gt;"",分析!K81,"")</f>
        <v>58580</v>
      </c>
      <c r="M11" s="143" t="str">
        <f>IF(分析!P81&lt;&gt;"",分析!P81,"")</f>
        <v>減少↓</v>
      </c>
      <c r="N11" s="149">
        <f>IF(分析!O81&lt;&gt;"",分析!O81,"")</f>
        <v>0.64220630851538119</v>
      </c>
      <c r="O11" s="150">
        <f>IF(分析!X81&lt;&gt;"",分析!X81,"")</f>
        <v>-482.33218170746113</v>
      </c>
      <c r="P11" s="151">
        <f>IF(分析!L81&lt;&gt;"",分析!L81,"")</f>
        <v>-26.032775691362243</v>
      </c>
      <c r="Q11" s="148">
        <f>IF(分析!S81&lt;&gt;"",分析!S81,"")</f>
        <v>41597</v>
      </c>
      <c r="R11" s="148">
        <f>IF(分析!R81&lt;&gt;"",分析!R81,"")</f>
        <v>46796</v>
      </c>
      <c r="S11" s="143" t="str">
        <f>IF(分析!AA81&lt;&gt;"",分析!AA81,"")</f>
        <v>下落▼</v>
      </c>
      <c r="T11" s="152">
        <f>IF(分析!Z81&lt;&gt;"",分析!Z81,"")</f>
        <v>-7.1765209940017147</v>
      </c>
      <c r="U11" s="143" t="str">
        <f>IF(分析!V81&lt;&gt;"",分析!V81,"")</f>
        <v>通常</v>
      </c>
      <c r="V11" s="153">
        <f>IF(分析!W81&lt;&gt;"",分析!W81,"")</f>
        <v>45.864248419895574</v>
      </c>
      <c r="W11" s="154" t="str">
        <f>IF(分析!AD81&lt;&gt;"",分析!AD81,"")</f>
        <v>上昇トレンド▲</v>
      </c>
      <c r="X11" s="155" t="str">
        <f>IF(分析!AE81&lt;&gt;"",分析!AE81,"")</f>
        <v>なし</v>
      </c>
      <c r="Y11" s="156">
        <f>IF(分析!T81&lt;&gt;"",分析!T81,"")</f>
        <v>1</v>
      </c>
      <c r="Z11" s="142" t="str">
        <f>IF(分析!Y81&lt;&gt;"",分析!Y81,"")</f>
        <v>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1299.5</v>
      </c>
      <c r="F12" s="148">
        <f>IF(分析!F183&lt;&gt;"",分析!F183,"")</f>
        <v>1188</v>
      </c>
      <c r="G12" s="148">
        <f>IF(分析!H183&lt;&gt;"",分析!H183,"")</f>
        <v>1306</v>
      </c>
      <c r="H12" s="148">
        <f>IF(分析!I183&lt;&gt;"",分析!I183,"")</f>
        <v>1155</v>
      </c>
      <c r="I12" s="148">
        <f>IF(分析!J183&lt;&gt;"",分析!J183,"")</f>
        <v>18064200</v>
      </c>
      <c r="J12" s="148">
        <f>IF(分析!AB183&lt;&gt;"",分析!AB183,"")</f>
        <v>2364.2606924643574</v>
      </c>
      <c r="K12" s="148">
        <f>IF(分析!AC183&lt;&gt;"",分析!AC183,"")</f>
        <v>2353.6042908224067</v>
      </c>
      <c r="L12" s="148">
        <f>IF(分析!K183&lt;&gt;"",分析!K183,"")</f>
        <v>1353.5</v>
      </c>
      <c r="M12" s="143" t="str">
        <f>IF(分析!P183&lt;&gt;"",分析!P183,"")</f>
        <v>急増↑↑</v>
      </c>
      <c r="N12" s="149">
        <f>IF(分析!O183&lt;&gt;"",分析!O183,"")</f>
        <v>2.4110482017442001</v>
      </c>
      <c r="O12" s="150">
        <f>IF(分析!X183&lt;&gt;"",分析!X183,"")</f>
        <v>5.5799477788086733</v>
      </c>
      <c r="P12" s="151">
        <f>IF(分析!L183&lt;&gt;"",分析!L183,"")</f>
        <v>-3.989656446250462</v>
      </c>
      <c r="Q12" s="148">
        <f>IF(分析!S183&lt;&gt;"",分析!S183,"")</f>
        <v>1248</v>
      </c>
      <c r="R12" s="148">
        <f>IF(分析!R183&lt;&gt;"",分析!R183,"")</f>
        <v>1403</v>
      </c>
      <c r="S12" s="143" t="str">
        <f>IF(分析!AA183&lt;&gt;"",分析!AA183,"")</f>
        <v>上昇▲</v>
      </c>
      <c r="T12" s="152">
        <f>IF(分析!Z183&lt;&gt;"",分析!Z183,"")</f>
        <v>9.3395035759360532</v>
      </c>
      <c r="U12" s="143" t="str">
        <f>IF(分析!V183&lt;&gt;"",分析!V183,"")</f>
        <v>高値圏</v>
      </c>
      <c r="V12" s="153">
        <f>IF(分析!W183&lt;&gt;"",分析!W183,"")</f>
        <v>53.388090349075974</v>
      </c>
      <c r="W12" s="154" t="str">
        <f>IF(分析!AD183&lt;&gt;"",分析!AD183,"")</f>
        <v>もみ合い→</v>
      </c>
      <c r="X12" s="155" t="str">
        <f>IF(分析!AE183&lt;&gt;"",分析!AE183,"")</f>
        <v>なし</v>
      </c>
      <c r="Y12" s="156">
        <f>IF(分析!T183&lt;&gt;"",分析!T183,"")</f>
        <v>16</v>
      </c>
      <c r="Z12" s="142" t="str">
        <f>IF(分析!Y183&lt;&gt;"",分析!Y183,"")</f>
        <v>○買い候補</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1892.5</v>
      </c>
      <c r="F13" s="133">
        <f>IF(分析!F4&lt;&gt;"",分析!F4,"")</f>
        <v>1890</v>
      </c>
      <c r="G13" s="133">
        <f>IF(分析!H4&lt;&gt;"",分析!H4,"")</f>
        <v>1904.5</v>
      </c>
      <c r="H13" s="133">
        <f>IF(分析!I4&lt;&gt;"",分析!I4,"")</f>
        <v>1840</v>
      </c>
      <c r="I13" s="133">
        <f>IF(分析!J4&lt;&gt;"",分析!J4,"")</f>
        <v>2459100</v>
      </c>
      <c r="J13" s="133">
        <f>IF(分析!AB4&lt;&gt;"",分析!AB4,"")</f>
        <v>32061.318737270871</v>
      </c>
      <c r="K13" s="133">
        <f>IF(分析!AC4&lt;&gt;"",分析!AC4,"")</f>
        <v>32157.544696066721</v>
      </c>
      <c r="L13" s="133">
        <f>IF(分析!K4&lt;&gt;"",分析!K4,"")</f>
        <v>2275</v>
      </c>
      <c r="M13" s="128" t="str">
        <f>IF(分析!P4&lt;&gt;"",分析!P4,"")</f>
        <v>普通→</v>
      </c>
      <c r="N13" s="134">
        <f>IF(分析!O4&lt;&gt;"",分析!O4,"")</f>
        <v>1.1747704537420101</v>
      </c>
      <c r="O13" s="135">
        <f>IF(分析!X4&lt;&gt;"",分析!X4,"")</f>
        <v>2.786810566830809</v>
      </c>
      <c r="P13" s="136">
        <f>IF(分析!L4&lt;&gt;"",分析!L4,"")</f>
        <v>-16.813186813186814</v>
      </c>
      <c r="Q13" s="133">
        <f>IF(分析!S4&lt;&gt;"",分析!S4,"")</f>
        <v>1817</v>
      </c>
      <c r="R13" s="133">
        <f>IF(分析!R4&lt;&gt;"",分析!R4,"")</f>
        <v>2044</v>
      </c>
      <c r="S13" s="128" t="str">
        <f>IF(分析!AA4&lt;&gt;"",分析!AA4,"")</f>
        <v>上昇▲</v>
      </c>
      <c r="T13" s="137">
        <f>IF(分析!Z4&lt;&gt;"",分析!Z4,"")</f>
        <v>0.66489361702127658</v>
      </c>
      <c r="U13" s="128" t="str">
        <f>IF(分析!V4&lt;&gt;"",分析!V4,"")</f>
        <v>通常</v>
      </c>
      <c r="V13" s="138">
        <f>IF(分析!W4&lt;&gt;"",分析!W4,"")</f>
        <v>41.289701636188646</v>
      </c>
      <c r="W13" s="139" t="str">
        <f>IF(分析!AD4&lt;&gt;"",分析!AD4,"")</f>
        <v>下降トレンド▼</v>
      </c>
      <c r="X13" s="140" t="str">
        <f>IF(分析!AE4&lt;&gt;"",分析!AE4,"")</f>
        <v>なし</v>
      </c>
      <c r="Y13" s="141">
        <f>IF(分析!T4&lt;&gt;"",分析!T4,"")</f>
        <v>5</v>
      </c>
      <c r="Z13" s="142" t="str">
        <f>IF(分析!Y4&lt;&gt;"",分析!Y4,"")</f>
        <v>様子見</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6528</v>
      </c>
      <c r="F14" s="133">
        <f>IF(分析!F142&lt;&gt;"",分析!F142,"")</f>
        <v>6504</v>
      </c>
      <c r="G14" s="133">
        <f>IF(分析!H142&lt;&gt;"",分析!H142,"")</f>
        <v>6679</v>
      </c>
      <c r="H14" s="133">
        <f>IF(分析!I142&lt;&gt;"",分析!I142,"")</f>
        <v>6463</v>
      </c>
      <c r="I14" s="133">
        <f>IF(分析!J142&lt;&gt;"",分析!J142,"")</f>
        <v>1524700</v>
      </c>
      <c r="J14" s="133">
        <f>IF(分析!AB142&lt;&gt;"",分析!AB142,"")</f>
        <v>19077.800407331964</v>
      </c>
      <c r="K14" s="133">
        <f>IF(分析!AC142&lt;&gt;"",分析!AC142,"")</f>
        <v>18262.729439809289</v>
      </c>
      <c r="L14" s="133">
        <f>IF(分析!K142&lt;&gt;"",分析!K142,"")</f>
        <v>9500</v>
      </c>
      <c r="M14" s="128" t="str">
        <f>IF(分析!P142&lt;&gt;"",分析!P142,"")</f>
        <v>減少↓</v>
      </c>
      <c r="N14" s="134">
        <f>IF(分析!O142&lt;&gt;"",分析!O142,"")</f>
        <v>0.72148508479709272</v>
      </c>
      <c r="O14" s="135">
        <f>IF(分析!X142&lt;&gt;"",分析!X142,"")</f>
        <v>-237.52031730741874</v>
      </c>
      <c r="P14" s="136">
        <f>IF(分析!L142&lt;&gt;"",分析!L142,"")</f>
        <v>-31.284210526315793</v>
      </c>
      <c r="Q14" s="133">
        <f>IF(分析!S142&lt;&gt;"",分析!S142,"")</f>
        <v>6267</v>
      </c>
      <c r="R14" s="133">
        <f>IF(分析!R142&lt;&gt;"",分析!R142,"")</f>
        <v>7050</v>
      </c>
      <c r="S14" s="128" t="str">
        <f>IF(分析!AA142&lt;&gt;"",分析!AA142,"")</f>
        <v>下落▼</v>
      </c>
      <c r="T14" s="137">
        <f>IF(分析!Z142&lt;&gt;"",分析!Z142,"")</f>
        <v>-1.7459361830222759</v>
      </c>
      <c r="U14" s="128" t="str">
        <f>IF(分析!V142&lt;&gt;"",分析!V142,"")</f>
        <v>通常</v>
      </c>
      <c r="V14" s="138">
        <f>IF(分析!W142&lt;&gt;"",分析!W142,"")</f>
        <v>46.397343663530712</v>
      </c>
      <c r="W14" s="139" t="str">
        <f>IF(分析!AD142&lt;&gt;"",分析!AD142,"")</f>
        <v>もみ合い→</v>
      </c>
      <c r="X14" s="140" t="str">
        <f>IF(分析!AE142&lt;&gt;"",分析!AE142,"")</f>
        <v>なし</v>
      </c>
      <c r="Y14" s="141">
        <f>IF(分析!T142&lt;&gt;"",分析!T142,"")</f>
        <v>-1</v>
      </c>
      <c r="Z14" s="142" t="str">
        <f>IF(分析!Y142&lt;&gt;"",分析!Y142,"")</f>
        <v>見送り</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1365</v>
      </c>
      <c r="F15" s="133">
        <f>IF(分析!F178&lt;&gt;"",分析!F178,"")</f>
        <v>1281</v>
      </c>
      <c r="G15" s="133">
        <f>IF(分析!H178&lt;&gt;"",分析!H178,"")</f>
        <v>1373</v>
      </c>
      <c r="H15" s="133">
        <f>IF(分析!I178&lt;&gt;"",分析!I178,"")</f>
        <v>1251</v>
      </c>
      <c r="I15" s="133">
        <f>IF(分析!J178&lt;&gt;"",分析!J178,"")</f>
        <v>1601200</v>
      </c>
      <c r="J15" s="133">
        <f>IF(分析!AB178&lt;&gt;"",分析!AB178,"")</f>
        <v>1876.507128309572</v>
      </c>
      <c r="K15" s="133">
        <f>IF(分析!AC178&lt;&gt;"",分析!AC178,"")</f>
        <v>1804.7115613825983</v>
      </c>
      <c r="L15" s="133">
        <f>IF(分析!K178&lt;&gt;"",分析!K178,"")</f>
        <v>1612</v>
      </c>
      <c r="M15" s="128" t="str">
        <f>IF(分析!P178&lt;&gt;"",分析!P178,"")</f>
        <v>普通→</v>
      </c>
      <c r="N15" s="134">
        <f>IF(分析!O178&lt;&gt;"",分析!O178,"")</f>
        <v>1.25313047833709</v>
      </c>
      <c r="O15" s="135">
        <f>IF(分析!X178&lt;&gt;"",分析!X178,"")</f>
        <v>-0.55992700177898769</v>
      </c>
      <c r="P15" s="136">
        <f>IF(分析!L178&lt;&gt;"",分析!L178,"")</f>
        <v>-15.32258064516129</v>
      </c>
      <c r="Q15" s="133">
        <f>IF(分析!S178&lt;&gt;"",分析!S178,"")</f>
        <v>1310</v>
      </c>
      <c r="R15" s="133">
        <f>IF(分析!R178&lt;&gt;"",分析!R178,"")</f>
        <v>1474</v>
      </c>
      <c r="S15" s="128" t="str">
        <f>IF(分析!AA178&lt;&gt;"",分析!AA178,"")</f>
        <v>上昇▲</v>
      </c>
      <c r="T15" s="137">
        <f>IF(分析!Z178&lt;&gt;"",分析!Z178,"")</f>
        <v>4.7582501918649278</v>
      </c>
      <c r="U15" s="128" t="str">
        <f>IF(分析!V178&lt;&gt;"",分析!V178,"")</f>
        <v>通常</v>
      </c>
      <c r="V15" s="138">
        <f>IF(分析!W178&lt;&gt;"",分析!W178,"")</f>
        <v>39.583333333333336</v>
      </c>
      <c r="W15" s="139" t="str">
        <f>IF(分析!AD178&lt;&gt;"",分析!AD178,"")</f>
        <v>もみ合い→</v>
      </c>
      <c r="X15" s="140" t="str">
        <f>IF(分析!AE178&lt;&gt;"",分析!AE178,"")</f>
        <v>なし</v>
      </c>
      <c r="Y15" s="141">
        <f>IF(分析!T178&lt;&gt;"",分析!T178,"")</f>
        <v>5</v>
      </c>
      <c r="Z15" s="142" t="str">
        <f>IF(分析!Y178&lt;&gt;"",分析!Y178,"")</f>
        <v>様子見</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1738</v>
      </c>
      <c r="F16" s="148">
        <f>IF(分析!F9&lt;&gt;"",分析!F9,"")</f>
        <v>1720</v>
      </c>
      <c r="G16" s="148">
        <f>IF(分析!H9&lt;&gt;"",分析!H9,"")</f>
        <v>1743</v>
      </c>
      <c r="H16" s="148">
        <f>IF(分析!I9&lt;&gt;"",分析!I9,"")</f>
        <v>1713</v>
      </c>
      <c r="I16" s="148">
        <f>IF(分析!J9&lt;&gt;"",分析!J9,"")</f>
        <v>175300</v>
      </c>
      <c r="J16" s="148">
        <f>IF(分析!AB9&lt;&gt;"",分析!AB9,"")</f>
        <v>4671.0427698574331</v>
      </c>
      <c r="K16" s="148">
        <f>IF(分析!AC9&lt;&gt;"",分析!AC9,"")</f>
        <v>4528.2598331346826</v>
      </c>
      <c r="L16" s="148">
        <f>IF(分析!K9&lt;&gt;"",分析!K9,"")</f>
        <v>1891</v>
      </c>
      <c r="M16" s="143" t="str">
        <f>IF(分析!P9&lt;&gt;"",分析!P9,"")</f>
        <v>減少↓</v>
      </c>
      <c r="N16" s="149">
        <f>IF(分析!O9&lt;&gt;"",分析!O9,"")</f>
        <v>0.76038865272837686</v>
      </c>
      <c r="O16" s="150">
        <f>IF(分析!X9&lt;&gt;"",分析!X9,"")</f>
        <v>-7.5489314955073041</v>
      </c>
      <c r="P16" s="151">
        <f>IF(分析!L9&lt;&gt;"",分析!L9,"")</f>
        <v>-8.0909571655208889</v>
      </c>
      <c r="Q16" s="148">
        <f>IF(分析!S9&lt;&gt;"",分析!S9,"")</f>
        <v>1668</v>
      </c>
      <c r="R16" s="148">
        <f>IF(分析!R9&lt;&gt;"",分析!R9,"")</f>
        <v>1877</v>
      </c>
      <c r="S16" s="143" t="str">
        <f>IF(分析!AA9&lt;&gt;"",分析!AA9,"")</f>
        <v>上昇▲</v>
      </c>
      <c r="T16" s="152">
        <f>IF(分析!Z9&lt;&gt;"",分析!Z9,"")</f>
        <v>1.4002333722287048</v>
      </c>
      <c r="U16" s="143" t="str">
        <f>IF(分析!V9&lt;&gt;"",分析!V9,"")</f>
        <v>通常</v>
      </c>
      <c r="V16" s="153">
        <f>IF(分析!W9&lt;&gt;"",分析!W9,"")</f>
        <v>34.294871794871796</v>
      </c>
      <c r="W16" s="154" t="str">
        <f>IF(分析!AD9&lt;&gt;"",分析!AD9,"")</f>
        <v>もみ合い→</v>
      </c>
      <c r="X16" s="155" t="str">
        <f>IF(分析!AE9&lt;&gt;"",分析!AE9,"")</f>
        <v>なし</v>
      </c>
      <c r="Y16" s="156">
        <f>IF(分析!T9&lt;&gt;"",分析!T9,"")</f>
        <v>2</v>
      </c>
      <c r="Z16" s="142" t="str">
        <f>IF(分析!Y9&lt;&gt;"",分析!Y9,"")</f>
        <v>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1628</v>
      </c>
      <c r="F17" s="148">
        <f>IF(分析!F75&lt;&gt;"",分析!F75,"")</f>
        <v>1562</v>
      </c>
      <c r="G17" s="148">
        <f>IF(分析!H75&lt;&gt;"",分析!H75,"")</f>
        <v>1636.5</v>
      </c>
      <c r="H17" s="148">
        <f>IF(分析!I75&lt;&gt;"",分析!I75,"")</f>
        <v>1556.5</v>
      </c>
      <c r="I17" s="148">
        <f>IF(分析!J75&lt;&gt;"",分析!J75,"")</f>
        <v>4771400</v>
      </c>
      <c r="J17" s="148">
        <f>IF(分析!AB75&lt;&gt;"",分析!AB75,"")</f>
        <v>2974.630855397148</v>
      </c>
      <c r="K17" s="148">
        <f>IF(分析!AC75&lt;&gt;"",分析!AC75,"")</f>
        <v>2959.6853396901056</v>
      </c>
      <c r="L17" s="148">
        <f>IF(分析!K75&lt;&gt;"",分析!K75,"")</f>
        <v>1585.5</v>
      </c>
      <c r="M17" s="143" t="str">
        <f>IF(分析!P75&lt;&gt;"",分析!P75,"")</f>
        <v>普通→</v>
      </c>
      <c r="N17" s="149">
        <f>IF(分析!O75&lt;&gt;"",分析!O75,"")</f>
        <v>1.3438973417229512</v>
      </c>
      <c r="O17" s="150">
        <f>IF(分析!X75&lt;&gt;"",分析!X75,"")</f>
        <v>4.2269323234054355</v>
      </c>
      <c r="P17" s="151">
        <f>IF(分析!L75&lt;&gt;"",分析!L75,"")</f>
        <v>2.6805424156417534</v>
      </c>
      <c r="Q17" s="148">
        <f>IF(分析!S75&lt;&gt;"",分析!S75,"")</f>
        <v>1563</v>
      </c>
      <c r="R17" s="148">
        <f>IF(分析!R75&lt;&gt;"",分析!R75,"")</f>
        <v>1758</v>
      </c>
      <c r="S17" s="143" t="str">
        <f>IF(分析!AA75&lt;&gt;"",分析!AA75,"")</f>
        <v>上昇▲</v>
      </c>
      <c r="T17" s="152">
        <f>IF(分析!Z75&lt;&gt;"",分析!Z75,"")</f>
        <v>6.9645203679369247</v>
      </c>
      <c r="U17" s="143" t="str">
        <f>IF(分析!V75&lt;&gt;"",分析!V75,"")</f>
        <v>年初来高値更新●</v>
      </c>
      <c r="V17" s="153">
        <f>IF(分析!W75&lt;&gt;"",分析!W75,"")</f>
        <v>48.828606658446368</v>
      </c>
      <c r="W17" s="154" t="str">
        <f>IF(分析!AD75&lt;&gt;"",分析!AD75,"")</f>
        <v>もみ合い→</v>
      </c>
      <c r="X17" s="155" t="str">
        <f>IF(分析!AE75&lt;&gt;"",分析!AE75,"")</f>
        <v>なし</v>
      </c>
      <c r="Y17" s="156">
        <f>IF(分析!T75&lt;&gt;"",分析!T75,"")</f>
        <v>11</v>
      </c>
      <c r="Z17" s="142" t="str">
        <f>IF(分析!Y75&lt;&gt;"",分析!Y75,"")</f>
        <v>○買い候補</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5786</v>
      </c>
      <c r="F18" s="148">
        <f>IF(分析!F145&lt;&gt;"",分析!F145,"")</f>
        <v>5711</v>
      </c>
      <c r="G18" s="148">
        <f>IF(分析!H145&lt;&gt;"",分析!H145,"")</f>
        <v>5932</v>
      </c>
      <c r="H18" s="148">
        <f>IF(分析!I145&lt;&gt;"",分析!I145,"")</f>
        <v>5698</v>
      </c>
      <c r="I18" s="148">
        <f>IF(分析!J145&lt;&gt;"",分析!J145,"")</f>
        <v>1626100</v>
      </c>
      <c r="J18" s="148">
        <f>IF(分析!AB145&lt;&gt;"",分析!AB145,"")</f>
        <v>9060.3360488798371</v>
      </c>
      <c r="K18" s="148">
        <f>IF(分析!AC145&lt;&gt;"",分析!AC145,"")</f>
        <v>9379.5470798569695</v>
      </c>
      <c r="L18" s="148">
        <f>IF(分析!K145&lt;&gt;"",分析!K145,"")</f>
        <v>8315</v>
      </c>
      <c r="M18" s="143" t="str">
        <f>IF(分析!P145&lt;&gt;"",分析!P145,"")</f>
        <v>減少↓</v>
      </c>
      <c r="N18" s="149">
        <f>IF(分析!O145&lt;&gt;"",分析!O145,"")</f>
        <v>0.59350181032469052</v>
      </c>
      <c r="O18" s="150">
        <f>IF(分析!X145&lt;&gt;"",分析!X145,"")</f>
        <v>-85.2944507023185</v>
      </c>
      <c r="P18" s="151">
        <f>IF(分析!L145&lt;&gt;"",分析!L145,"")</f>
        <v>-30.414912808177991</v>
      </c>
      <c r="Q18" s="148">
        <f>IF(分析!S145&lt;&gt;"",分析!S145,"")</f>
        <v>5555</v>
      </c>
      <c r="R18" s="148">
        <f>IF(分析!R145&lt;&gt;"",分析!R145,"")</f>
        <v>6249</v>
      </c>
      <c r="S18" s="143" t="str">
        <f>IF(分析!AA145&lt;&gt;"",分析!AA145,"")</f>
        <v>上昇▲</v>
      </c>
      <c r="T18" s="152">
        <f>IF(分析!Z145&lt;&gt;"",分析!Z145,"")</f>
        <v>0.36426712922810062</v>
      </c>
      <c r="U18" s="143" t="str">
        <f>IF(分析!V145&lt;&gt;"",分析!V145,"")</f>
        <v>通常</v>
      </c>
      <c r="V18" s="153">
        <f>IF(分析!W145&lt;&gt;"",分析!W145,"")</f>
        <v>30.058417419012216</v>
      </c>
      <c r="W18" s="154" t="str">
        <f>IF(分析!AD145&lt;&gt;"",分析!AD145,"")</f>
        <v>下降トレンド▼</v>
      </c>
      <c r="X18" s="155" t="str">
        <f>IF(分析!AE145&lt;&gt;"",分析!AE145,"")</f>
        <v>なし</v>
      </c>
      <c r="Y18" s="156">
        <f>IF(分析!T145&lt;&gt;"",分析!T145,"")</f>
        <v>1</v>
      </c>
      <c r="Z18" s="142" t="str">
        <f>IF(分析!Y145&lt;&gt;"",分析!Y145,"")</f>
        <v>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313</v>
      </c>
      <c r="F19" s="148">
        <f>IF(分析!F151&lt;&gt;"",分析!F151,"")</f>
        <v>312</v>
      </c>
      <c r="G19" s="148">
        <f>IF(分析!H151&lt;&gt;"",分析!H151,"")</f>
        <v>315</v>
      </c>
      <c r="H19" s="148">
        <f>IF(分析!I151&lt;&gt;"",分析!I151,"")</f>
        <v>309</v>
      </c>
      <c r="I19" s="148">
        <f>IF(分析!J151&lt;&gt;"",分析!J151,"")</f>
        <v>80900</v>
      </c>
      <c r="J19" s="148">
        <f>IF(分析!AB151&lt;&gt;"",分析!AB151,"")</f>
        <v>4422.5661914460279</v>
      </c>
      <c r="K19" s="148">
        <f>IF(分析!AC151&lt;&gt;"",分析!AC151,"")</f>
        <v>4322.2109654350406</v>
      </c>
      <c r="L19" s="148">
        <f>IF(分析!K151&lt;&gt;"",分析!K151,"")</f>
        <v>995</v>
      </c>
      <c r="M19" s="143" t="str">
        <f>IF(分析!P151&lt;&gt;"",分析!P151,"")</f>
        <v>減少↓</v>
      </c>
      <c r="N19" s="149">
        <f>IF(分析!O151&lt;&gt;"",分析!O151,"")</f>
        <v>0.49870546171865365</v>
      </c>
      <c r="O19" s="150">
        <f>IF(分析!X151&lt;&gt;"",分析!X151,"")</f>
        <v>-0.56291618737543558</v>
      </c>
      <c r="P19" s="151">
        <f>IF(分析!L151&lt;&gt;"",分析!L151,"")</f>
        <v>-68.542713567839201</v>
      </c>
      <c r="Q19" s="148">
        <f>IF(分析!S151&lt;&gt;"",分析!S151,"")</f>
        <v>300</v>
      </c>
      <c r="R19" s="148">
        <f>IF(分析!R151&lt;&gt;"",分析!R151,"")</f>
        <v>338</v>
      </c>
      <c r="S19" s="143" t="str">
        <f>IF(分析!AA151&lt;&gt;"",分析!AA151,"")</f>
        <v>下落▼</v>
      </c>
      <c r="T19" s="152">
        <f>IF(分析!Z151&lt;&gt;"",分析!Z151,"")</f>
        <v>-0.63492063492063489</v>
      </c>
      <c r="U19" s="143" t="str">
        <f>IF(分析!V151&lt;&gt;"",分析!V151,"")</f>
        <v>通常</v>
      </c>
      <c r="V19" s="153">
        <f>IF(分析!W151&lt;&gt;"",分析!W151,"")</f>
        <v>38.775510204081634</v>
      </c>
      <c r="W19" s="154" t="str">
        <f>IF(分析!AD151&lt;&gt;"",分析!AD151,"")</f>
        <v>もみ合い→</v>
      </c>
      <c r="X19" s="155" t="str">
        <f>IF(分析!AE151&lt;&gt;"",分析!AE151,"")</f>
        <v>なし</v>
      </c>
      <c r="Y19" s="156">
        <f>IF(分析!T151&lt;&gt;"",分析!T151,"")</f>
        <v>3</v>
      </c>
      <c r="Z19" s="142" t="str">
        <f>IF(分析!Y151&lt;&gt;"",分析!Y151,"")</f>
        <v>様子見</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8050</v>
      </c>
      <c r="F20" s="133">
        <f>IF(分析!F192&lt;&gt;"",分析!F192,"")</f>
        <v>8080</v>
      </c>
      <c r="G20" s="133">
        <f>IF(分析!H192&lt;&gt;"",分析!H192,"")</f>
        <v>8120</v>
      </c>
      <c r="H20" s="133">
        <f>IF(分析!I192&lt;&gt;"",分析!I192,"")</f>
        <v>8010</v>
      </c>
      <c r="I20" s="133">
        <f>IF(分析!J192&lt;&gt;"",分析!J192,"")</f>
        <v>613600</v>
      </c>
      <c r="J20" s="133">
        <f>IF(分析!AB192&lt;&gt;"",分析!AB192,"")</f>
        <v>7996.5071283095695</v>
      </c>
      <c r="K20" s="133">
        <f>IF(分析!AC192&lt;&gt;"",分析!AC192,"")</f>
        <v>7562.3718712753252</v>
      </c>
      <c r="L20" s="133">
        <f>IF(分析!K192&lt;&gt;"",分析!K192,"")</f>
        <v>8780</v>
      </c>
      <c r="M20" s="128" t="str">
        <f>IF(分析!P192&lt;&gt;"",分析!P192,"")</f>
        <v>減少↓</v>
      </c>
      <c r="N20" s="134">
        <f>IF(分析!O192&lt;&gt;"",分析!O192,"")</f>
        <v>0.98942208462332304</v>
      </c>
      <c r="O20" s="135">
        <f>IF(分析!X192&lt;&gt;"",分析!X192,"")</f>
        <v>31.017258467038118</v>
      </c>
      <c r="P20" s="136">
        <f>IF(分析!L192&lt;&gt;"",分析!L192,"")</f>
        <v>-8.3143507972665152</v>
      </c>
      <c r="Q20" s="133">
        <f>IF(分析!S192&lt;&gt;"",分析!S192,"")</f>
        <v>7728</v>
      </c>
      <c r="R20" s="133">
        <f>IF(分析!R192&lt;&gt;"",分析!R192,"")</f>
        <v>8694</v>
      </c>
      <c r="S20" s="128" t="str">
        <f>IF(分析!AA192&lt;&gt;"",分析!AA192,"")</f>
        <v>上昇▲</v>
      </c>
      <c r="T20" s="137">
        <f>IF(分析!Z192&lt;&gt;"",分析!Z192,"")</f>
        <v>0.75093867334167708</v>
      </c>
      <c r="U20" s="128" t="str">
        <f>IF(分析!V192&lt;&gt;"",分析!V192,"")</f>
        <v>通常</v>
      </c>
      <c r="V20" s="138">
        <f>IF(分析!W192&lt;&gt;"",分析!W192,"")</f>
        <v>51.252290775809414</v>
      </c>
      <c r="W20" s="139" t="str">
        <f>IF(分析!AD192&lt;&gt;"",分析!AD192,"")</f>
        <v>パーフェクト▲</v>
      </c>
      <c r="X20" s="140" t="str">
        <f>IF(分析!AE192&lt;&gt;"",分析!AE192,"")</f>
        <v>5日押し目○</v>
      </c>
      <c r="Y20" s="141">
        <f>IF(分析!T192&lt;&gt;"",分析!T192,"")</f>
        <v>9</v>
      </c>
      <c r="Z20" s="142" t="str">
        <f>IF(分析!Y192&lt;&gt;"",分析!Y192,"")</f>
        <v>△注目</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1722.5</v>
      </c>
      <c r="F21" s="133">
        <f>IF(分析!F188&lt;&gt;"",分析!F188,"")</f>
        <v>1715.5</v>
      </c>
      <c r="G21" s="133">
        <f>IF(分析!H188&lt;&gt;"",分析!H188,"")</f>
        <v>1734.5</v>
      </c>
      <c r="H21" s="133">
        <f>IF(分析!I188&lt;&gt;"",分析!I188,"")</f>
        <v>1707.5</v>
      </c>
      <c r="I21" s="133">
        <f>IF(分析!J188&lt;&gt;"",分析!J188,"")</f>
        <v>2276800</v>
      </c>
      <c r="J21" s="133">
        <f>IF(分析!AB188&lt;&gt;"",分析!AB188,"")</f>
        <v>1735.6924643584518</v>
      </c>
      <c r="K21" s="133">
        <f>IF(分析!AC188&lt;&gt;"",分析!AC188,"")</f>
        <v>1716.4988081048866</v>
      </c>
      <c r="L21" s="133">
        <f>IF(分析!K188&lt;&gt;"",分析!K188,"")</f>
        <v>2094</v>
      </c>
      <c r="M21" s="128" t="str">
        <f>IF(分析!P188&lt;&gt;"",分析!P188,"")</f>
        <v>減少↓</v>
      </c>
      <c r="N21" s="134">
        <f>IF(分析!O188&lt;&gt;"",分析!O188,"")</f>
        <v>0.74561662049135768</v>
      </c>
      <c r="O21" s="135">
        <f>IF(分析!X188&lt;&gt;"",分析!X188,"")</f>
        <v>-4.0135816891479408</v>
      </c>
      <c r="P21" s="136">
        <f>IF(分析!L188&lt;&gt;"",分析!L188,"")</f>
        <v>-17.741165234001912</v>
      </c>
      <c r="Q21" s="133">
        <f>IF(分析!S188&lt;&gt;"",分析!S188,"")</f>
        <v>1654</v>
      </c>
      <c r="R21" s="133">
        <f>IF(分析!R188&lt;&gt;"",分析!R188,"")</f>
        <v>1860</v>
      </c>
      <c r="S21" s="128" t="str">
        <f>IF(分析!AA188&lt;&gt;"",分析!AA188,"")</f>
        <v>上昇▲</v>
      </c>
      <c r="T21" s="137">
        <f>IF(分析!Z188&lt;&gt;"",分析!Z188,"")</f>
        <v>0.58394160583941601</v>
      </c>
      <c r="U21" s="128" t="str">
        <f>IF(分析!V188&lt;&gt;"",分析!V188,"")</f>
        <v>通常</v>
      </c>
      <c r="V21" s="138">
        <f>IF(分析!W188&lt;&gt;"",分析!W188,"")</f>
        <v>41.836734693877553</v>
      </c>
      <c r="W21" s="139" t="str">
        <f>IF(分析!AD188&lt;&gt;"",分析!AD188,"")</f>
        <v>上昇トレンド▲</v>
      </c>
      <c r="X21" s="140" t="str">
        <f>IF(分析!AE188&lt;&gt;"",分析!AE188,"")</f>
        <v>25日押し目★</v>
      </c>
      <c r="Y21" s="141">
        <f>IF(分析!T188&lt;&gt;"",分析!T188,"")</f>
        <v>5</v>
      </c>
      <c r="Z21" s="142" t="str">
        <f>IF(分析!Y188&lt;&gt;"",分析!Y188,"")</f>
        <v>様子見</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1682.5</v>
      </c>
      <c r="F22" s="133">
        <f>IF(分析!F184&lt;&gt;"",分析!F184,"")</f>
        <v>1638</v>
      </c>
      <c r="G22" s="133">
        <f>IF(分析!H184&lt;&gt;"",分析!H184,"")</f>
        <v>1685.5</v>
      </c>
      <c r="H22" s="133">
        <f>IF(分析!I184&lt;&gt;"",分析!I184,"")</f>
        <v>1631</v>
      </c>
      <c r="I22" s="133">
        <f>IF(分析!J184&lt;&gt;"",分析!J184,"")</f>
        <v>1208500</v>
      </c>
      <c r="J22" s="133">
        <f>IF(分析!AB184&lt;&gt;"",分析!AB184,"")</f>
        <v>1190.9643584521382</v>
      </c>
      <c r="K22" s="133">
        <f>IF(分析!AC184&lt;&gt;"",分析!AC184,"")</f>
        <v>1157.9821215733011</v>
      </c>
      <c r="L22" s="133">
        <f>IF(分析!K184&lt;&gt;"",分析!K184,"")</f>
        <v>1773</v>
      </c>
      <c r="M22" s="128" t="str">
        <f>IF(分析!P184&lt;&gt;"",分析!P184,"")</f>
        <v>減少↓</v>
      </c>
      <c r="N22" s="134">
        <f>IF(分析!O184&lt;&gt;"",分析!O184,"")</f>
        <v>0.95816881531167242</v>
      </c>
      <c r="O22" s="135">
        <f>IF(分析!X184&lt;&gt;"",分析!X184,"")</f>
        <v>-5.5846902749965466</v>
      </c>
      <c r="P22" s="136">
        <f>IF(分析!L184&lt;&gt;"",分析!L184,"")</f>
        <v>-5.1043429216018055</v>
      </c>
      <c r="Q22" s="133">
        <f>IF(分析!S184&lt;&gt;"",分析!S184,"")</f>
        <v>1615</v>
      </c>
      <c r="R22" s="133">
        <f>IF(分析!R184&lt;&gt;"",分析!R184,"")</f>
        <v>1817</v>
      </c>
      <c r="S22" s="128" t="str">
        <f>IF(分析!AA184&lt;&gt;"",分析!AA184,"")</f>
        <v>上昇▲</v>
      </c>
      <c r="T22" s="137">
        <f>IF(分析!Z184&lt;&gt;"",分析!Z184,"")</f>
        <v>3.1575720416922128</v>
      </c>
      <c r="U22" s="128" t="str">
        <f>IF(分析!V184&lt;&gt;"",分析!V184,"")</f>
        <v>高値圏</v>
      </c>
      <c r="V22" s="138">
        <f>IF(分析!W184&lt;&gt;"",分析!W184,"")</f>
        <v>31.944444444444443</v>
      </c>
      <c r="W22" s="139" t="str">
        <f>IF(分析!AD184&lt;&gt;"",分析!AD184,"")</f>
        <v>パーフェクト▲</v>
      </c>
      <c r="X22" s="140" t="str">
        <f>IF(分析!AE184&lt;&gt;"",分析!AE184,"")</f>
        <v>なし</v>
      </c>
      <c r="Y22" s="141">
        <f>IF(分析!T184&lt;&gt;"",分析!T184,"")</f>
        <v>9</v>
      </c>
      <c r="Z22" s="142" t="str">
        <f>IF(分析!Y184&lt;&gt;"",分析!Y184,"")</f>
        <v>△注目</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5520</v>
      </c>
      <c r="F23" s="133">
        <f>IF(分析!F124&lt;&gt;"",分析!F124,"")</f>
        <v>5552</v>
      </c>
      <c r="G23" s="133">
        <f>IF(分析!H124&lt;&gt;"",分析!H124,"")</f>
        <v>5613</v>
      </c>
      <c r="H23" s="133">
        <f>IF(分析!I124&lt;&gt;"",分析!I124,"")</f>
        <v>5481</v>
      </c>
      <c r="I23" s="133">
        <f>IF(分析!J124&lt;&gt;"",分析!J124,"")</f>
        <v>1183400</v>
      </c>
      <c r="J23" s="133">
        <f>IF(分析!AB124&lt;&gt;"",分析!AB124,"")</f>
        <v>1022.0855397148677</v>
      </c>
      <c r="K23" s="133">
        <f>IF(分析!AC124&lt;&gt;"",分析!AC124,"")</f>
        <v>1016.4779499404046</v>
      </c>
      <c r="L23" s="133">
        <f>IF(分析!K124&lt;&gt;"",分析!K124,"")</f>
        <v>9317</v>
      </c>
      <c r="M23" s="128" t="str">
        <f>IF(分析!P124&lt;&gt;"",分析!P124,"")</f>
        <v>普通→</v>
      </c>
      <c r="N23" s="134">
        <f>IF(分析!O124&lt;&gt;"",分析!O124,"")</f>
        <v>1.1195837275307474</v>
      </c>
      <c r="O23" s="135">
        <f>IF(分析!X124&lt;&gt;"",分析!X124,"")</f>
        <v>-10.922985682953367</v>
      </c>
      <c r="P23" s="136">
        <f>IF(分析!L124&lt;&gt;"",分析!L124,"")</f>
        <v>-40.753461414618442</v>
      </c>
      <c r="Q23" s="133">
        <f>IF(分析!S124&lt;&gt;"",分析!S124,"")</f>
        <v>5299</v>
      </c>
      <c r="R23" s="133">
        <f>IF(分析!R124&lt;&gt;"",分析!R124,"")</f>
        <v>5962</v>
      </c>
      <c r="S23" s="128" t="str">
        <f>IF(分析!AA124&lt;&gt;"",分析!AA124,"")</f>
        <v>下落▼</v>
      </c>
      <c r="T23" s="137">
        <f>IF(分析!Z124&lt;&gt;"",分析!Z124,"")</f>
        <v>-0.57636887608069165</v>
      </c>
      <c r="U23" s="128" t="str">
        <f>IF(分析!V124&lt;&gt;"",分析!V124,"")</f>
        <v>通常</v>
      </c>
      <c r="V23" s="138">
        <f>IF(分析!W124&lt;&gt;"",分析!W124,"")</f>
        <v>46.917148362235061</v>
      </c>
      <c r="W23" s="139" t="str">
        <f>IF(分析!AD124&lt;&gt;"",分析!AD124,"")</f>
        <v>パーフェクト▲</v>
      </c>
      <c r="X23" s="140" t="str">
        <f>IF(分析!AE124&lt;&gt;"",分析!AE124,"")</f>
        <v>なし</v>
      </c>
      <c r="Y23" s="141">
        <f>IF(分析!T124&lt;&gt;"",分析!T124,"")</f>
        <v>8</v>
      </c>
      <c r="Z23" s="142" t="str">
        <f>IF(分析!Y124&lt;&gt;"",分析!Y124,"")</f>
        <v>△注目</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9290</v>
      </c>
      <c r="F24" s="148">
        <f>IF(分析!F103&lt;&gt;"",分析!F103,"")</f>
        <v>9450</v>
      </c>
      <c r="G24" s="148">
        <f>IF(分析!H103&lt;&gt;"",分析!H103,"")</f>
        <v>9680</v>
      </c>
      <c r="H24" s="148">
        <f>IF(分析!I103&lt;&gt;"",分析!I103,"")</f>
        <v>9130</v>
      </c>
      <c r="I24" s="148">
        <f>IF(分析!J103&lt;&gt;"",分析!J103,"")</f>
        <v>92600</v>
      </c>
      <c r="J24" s="148">
        <f>IF(分析!AB103&lt;&gt;"",分析!AB103,"")</f>
        <v>4050.0040733197557</v>
      </c>
      <c r="K24" s="148">
        <f>IF(分析!AC103&lt;&gt;"",分析!AC103,"")</f>
        <v>4050.1418355184742</v>
      </c>
      <c r="L24" s="148">
        <f>IF(分析!K103&lt;&gt;"",分析!K103,"")</f>
        <v>16930</v>
      </c>
      <c r="M24" s="143" t="str">
        <f>IF(分析!P103&lt;&gt;"",分析!P103,"")</f>
        <v>減少↓</v>
      </c>
      <c r="N24" s="149">
        <f>IF(分析!O103&lt;&gt;"",分析!O103,"")</f>
        <v>0.59726522187822495</v>
      </c>
      <c r="O24" s="150">
        <f>IF(分析!X103&lt;&gt;"",分析!X103,"")</f>
        <v>-483.93501805053711</v>
      </c>
      <c r="P24" s="151">
        <f>IF(分析!L103&lt;&gt;"",分析!L103,"")</f>
        <v>-45.126993502658003</v>
      </c>
      <c r="Q24" s="148">
        <f>IF(分析!S103&lt;&gt;"",分析!S103,"")</f>
        <v>8918</v>
      </c>
      <c r="R24" s="148">
        <f>IF(分析!R103&lt;&gt;"",分析!R103,"")</f>
        <v>10033</v>
      </c>
      <c r="S24" s="143" t="str">
        <f>IF(分析!AA103&lt;&gt;"",分析!AA103,"")</f>
        <v>下落▼</v>
      </c>
      <c r="T24" s="152">
        <f>IF(分析!Z103&lt;&gt;"",分析!Z103,"")</f>
        <v>-5.7809330628803242</v>
      </c>
      <c r="U24" s="143" t="str">
        <f>IF(分析!V103&lt;&gt;"",分析!V103,"")</f>
        <v>通常</v>
      </c>
      <c r="V24" s="153">
        <f>IF(分析!W103&lt;&gt;"",分析!W103,"")</f>
        <v>45.194805194805191</v>
      </c>
      <c r="W24" s="154" t="str">
        <f>IF(分析!AD103&lt;&gt;"",分析!AD103,"")</f>
        <v>上昇トレンド▲</v>
      </c>
      <c r="X24" s="155" t="str">
        <f>IF(分析!AE103&lt;&gt;"",分析!AE103,"")</f>
        <v>なし</v>
      </c>
      <c r="Y24" s="156">
        <f>IF(分析!T103&lt;&gt;"",分析!T103,"")</f>
        <v>1</v>
      </c>
      <c r="Z24" s="142" t="str">
        <f>IF(分析!Y103&lt;&gt;"",分析!Y103,"")</f>
        <v>見送り</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2538</v>
      </c>
      <c r="F25" s="148">
        <f>IF(分析!F133&lt;&gt;"",分析!F133,"")</f>
        <v>2569</v>
      </c>
      <c r="G25" s="148">
        <f>IF(分析!H133&lt;&gt;"",分析!H133,"")</f>
        <v>2618</v>
      </c>
      <c r="H25" s="148">
        <f>IF(分析!I133&lt;&gt;"",分析!I133,"")</f>
        <v>2437</v>
      </c>
      <c r="I25" s="148">
        <f>IF(分析!J133&lt;&gt;"",分析!J133,"")</f>
        <v>489900</v>
      </c>
      <c r="J25" s="148">
        <f>IF(分析!AB133&lt;&gt;"",分析!AB133,"")</f>
        <v>2288.8991853360485</v>
      </c>
      <c r="K25" s="148">
        <f>IF(分析!AC133&lt;&gt;"",分析!AC133,"")</f>
        <v>3497.0727056019068</v>
      </c>
      <c r="L25" s="148">
        <f>IF(分析!K133&lt;&gt;"",分析!K133,"")</f>
        <v>3865</v>
      </c>
      <c r="M25" s="143" t="str">
        <f>IF(分析!P133&lt;&gt;"",分析!P133,"")</f>
        <v>増加↑</v>
      </c>
      <c r="N25" s="149">
        <f>IF(分析!O133&lt;&gt;"",分析!O133,"")</f>
        <v>1.5056241932509682</v>
      </c>
      <c r="O25" s="150">
        <f>IF(分析!X133&lt;&gt;"",分析!X133,"")</f>
        <v>22.686595234020388</v>
      </c>
      <c r="P25" s="151">
        <f>IF(分析!L133&lt;&gt;"",分析!L133,"")</f>
        <v>-34.333764553686933</v>
      </c>
      <c r="Q25" s="148">
        <f>IF(分析!S133&lt;&gt;"",分析!S133,"")</f>
        <v>2436</v>
      </c>
      <c r="R25" s="148">
        <f>IF(分析!R133&lt;&gt;"",分析!R133,"")</f>
        <v>2741</v>
      </c>
      <c r="S25" s="143" t="str">
        <f>IF(分析!AA133&lt;&gt;"",分析!AA133,"")</f>
        <v>下落▼</v>
      </c>
      <c r="T25" s="152">
        <f>IF(分析!Z133&lt;&gt;"",分析!Z133,"")</f>
        <v>-0.3142183817753339</v>
      </c>
      <c r="U25" s="143" t="str">
        <f>IF(分析!V133&lt;&gt;"",分析!V133,"")</f>
        <v>通常</v>
      </c>
      <c r="V25" s="153">
        <f>IF(分析!W133&lt;&gt;"",分析!W133,"")</f>
        <v>52.438313580726643</v>
      </c>
      <c r="W25" s="154" t="str">
        <f>IF(分析!AD133&lt;&gt;"",分析!AD133,"")</f>
        <v>もみ合い→</v>
      </c>
      <c r="X25" s="155" t="str">
        <f>IF(分析!AE133&lt;&gt;"",分析!AE133,"")</f>
        <v>なし</v>
      </c>
      <c r="Y25" s="156">
        <f>IF(分析!T133&lt;&gt;"",分析!T133,"")</f>
        <v>8</v>
      </c>
      <c r="Z25" s="142" t="str">
        <f>IF(分析!Y133&lt;&gt;"",分析!Y133,"")</f>
        <v>△注目</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2719</v>
      </c>
      <c r="F26" s="148">
        <f>IF(分析!F195&lt;&gt;"",分析!F195,"")</f>
        <v>2615</v>
      </c>
      <c r="G26" s="148">
        <f>IF(分析!H195&lt;&gt;"",分析!H195,"")</f>
        <v>2734</v>
      </c>
      <c r="H26" s="148">
        <f>IF(分析!I195&lt;&gt;"",分析!I195,"")</f>
        <v>2600</v>
      </c>
      <c r="I26" s="148">
        <f>IF(分析!J195&lt;&gt;"",分析!J195,"")</f>
        <v>1129200</v>
      </c>
      <c r="J26" s="148">
        <f>IF(分析!AB195&lt;&gt;"",分析!AB195,"")</f>
        <v>60793.024439918518</v>
      </c>
      <c r="K26" s="148">
        <f>IF(分析!AC195&lt;&gt;"",分析!AC195,"")</f>
        <v>63292.264600715112</v>
      </c>
      <c r="L26" s="148">
        <f>IF(分析!K195&lt;&gt;"",分析!K195,"")</f>
        <v>3740</v>
      </c>
      <c r="M26" s="143" t="str">
        <f>IF(分析!P195&lt;&gt;"",分析!P195,"")</f>
        <v>普通→</v>
      </c>
      <c r="N26" s="149">
        <f>IF(分析!O195&lt;&gt;"",分析!O195,"")</f>
        <v>1.3565593464680441</v>
      </c>
      <c r="O26" s="150">
        <f>IF(分析!X195&lt;&gt;"",分析!X195,"")</f>
        <v>-8.842413001164914</v>
      </c>
      <c r="P26" s="151">
        <f>IF(分析!L195&lt;&gt;"",分析!L195,"")</f>
        <v>-27.299465240641712</v>
      </c>
      <c r="Q26" s="148">
        <f>IF(分析!S195&lt;&gt;"",分析!S195,"")</f>
        <v>2610</v>
      </c>
      <c r="R26" s="148">
        <f>IF(分析!R195&lt;&gt;"",分析!R195,"")</f>
        <v>2937</v>
      </c>
      <c r="S26" s="143" t="str">
        <f>IF(分析!AA195&lt;&gt;"",分析!AA195,"")</f>
        <v>上昇▲</v>
      </c>
      <c r="T26" s="152">
        <f>IF(分析!Z195&lt;&gt;"",分析!Z195,"")</f>
        <v>3.2662362324344856</v>
      </c>
      <c r="U26" s="143" t="str">
        <f>IF(分析!V195&lt;&gt;"",分析!V195,"")</f>
        <v>通常</v>
      </c>
      <c r="V26" s="153">
        <f>IF(分析!W195&lt;&gt;"",分析!W195,"")</f>
        <v>51.606217616580309</v>
      </c>
      <c r="W26" s="154" t="str">
        <f>IF(分析!AD195&lt;&gt;"",分析!AD195,"")</f>
        <v>下降トレンド▼</v>
      </c>
      <c r="X26" s="155" t="str">
        <f>IF(分析!AE195&lt;&gt;"",分析!AE195,"")</f>
        <v>なし</v>
      </c>
      <c r="Y26" s="156">
        <f>IF(分析!T195&lt;&gt;"",分析!T195,"")</f>
        <v>1</v>
      </c>
      <c r="Z26" s="142" t="str">
        <f>IF(分析!Y195&lt;&gt;"",分析!Y195,"")</f>
        <v>見送り</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31970</v>
      </c>
      <c r="F27" s="148">
        <f>IF(分析!F131&lt;&gt;"",分析!F131,"")</f>
        <v>34800</v>
      </c>
      <c r="G27" s="148">
        <f>IF(分析!H131&lt;&gt;"",分析!H131,"")</f>
        <v>35200</v>
      </c>
      <c r="H27" s="148">
        <f>IF(分析!I131&lt;&gt;"",分析!I131,"")</f>
        <v>31720</v>
      </c>
      <c r="I27" s="148">
        <f>IF(分析!J131&lt;&gt;"",分析!J131,"")</f>
        <v>1367900</v>
      </c>
      <c r="J27" s="148">
        <f>IF(分析!AB131&lt;&gt;"",分析!AB131,"")</f>
        <v>3170.2606924643578</v>
      </c>
      <c r="K27" s="148">
        <f>IF(分析!AC131&lt;&gt;"",分析!AC131,"")</f>
        <v>3701.2717520858164</v>
      </c>
      <c r="L27" s="148">
        <f>IF(分析!K131&lt;&gt;"",分析!K131,"")</f>
        <v>57700</v>
      </c>
      <c r="M27" s="143" t="str">
        <f>IF(分析!P131&lt;&gt;"",分析!P131,"")</f>
        <v>減少↓</v>
      </c>
      <c r="N27" s="149">
        <f>IF(分析!O131&lt;&gt;"",分析!O131,"")</f>
        <v>0.93875674266027975</v>
      </c>
      <c r="O27" s="150">
        <f>IF(分析!X131&lt;&gt;"",分析!X131,"")</f>
        <v>-481.88293815849465</v>
      </c>
      <c r="P27" s="151">
        <f>IF(分析!L131&lt;&gt;"",分析!L131,"")</f>
        <v>-44.592720970537265</v>
      </c>
      <c r="Q27" s="148">
        <f>IF(分析!S131&lt;&gt;"",分析!S131,"")</f>
        <v>30691</v>
      </c>
      <c r="R27" s="148">
        <f>IF(分析!R131&lt;&gt;"",分析!R131,"")</f>
        <v>34528</v>
      </c>
      <c r="S27" s="143" t="str">
        <f>IF(分析!AA131&lt;&gt;"",分析!AA131,"")</f>
        <v>下落▼</v>
      </c>
      <c r="T27" s="152">
        <f>IF(分析!Z131&lt;&gt;"",分析!Z131,"")</f>
        <v>-9.6382136800452241</v>
      </c>
      <c r="U27" s="143" t="str">
        <f>IF(分析!V131&lt;&gt;"",分析!V131,"")</f>
        <v>通常</v>
      </c>
      <c r="V27" s="153">
        <f>IF(分析!W131&lt;&gt;"",分析!W131,"")</f>
        <v>50.74101519081141</v>
      </c>
      <c r="W27" s="154" t="str">
        <f>IF(分析!AD131&lt;&gt;"",分析!AD131,"")</f>
        <v>上昇トレンド▲</v>
      </c>
      <c r="X27" s="155" t="str">
        <f>IF(分析!AE131&lt;&gt;"",分析!AE131,"")</f>
        <v>なし</v>
      </c>
      <c r="Y27" s="156">
        <f>IF(分析!T131&lt;&gt;"",分析!T131,"")</f>
        <v>1</v>
      </c>
      <c r="Z27" s="142" t="str">
        <f>IF(分析!Y131&lt;&gt;"",分析!Y131,"")</f>
        <v>見送り</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4962</v>
      </c>
      <c r="F28" s="133">
        <f>IF(分析!F34&lt;&gt;"",分析!F34,"")</f>
        <v>5038</v>
      </c>
      <c r="G28" s="133">
        <f>IF(分析!H34&lt;&gt;"",分析!H34,"")</f>
        <v>5065</v>
      </c>
      <c r="H28" s="133">
        <f>IF(分析!I34&lt;&gt;"",分析!I34,"")</f>
        <v>4935</v>
      </c>
      <c r="I28" s="133">
        <f>IF(分析!J34&lt;&gt;"",分析!J34,"")</f>
        <v>2230100</v>
      </c>
      <c r="J28" s="133">
        <f>IF(分析!AB34&lt;&gt;"",分析!AB34,"")</f>
        <v>1770.2245417515271</v>
      </c>
      <c r="K28" s="133">
        <f>IF(分析!AC34&lt;&gt;"",分析!AC34,"")</f>
        <v>1821.7997616209773</v>
      </c>
      <c r="L28" s="133">
        <f>IF(分析!K34&lt;&gt;"",分析!K34,"")</f>
        <v>5176</v>
      </c>
      <c r="M28" s="128" t="str">
        <f>IF(分析!P34&lt;&gt;"",分析!P34,"")</f>
        <v>普通→</v>
      </c>
      <c r="N28" s="134">
        <f>IF(分析!O34&lt;&gt;"",分析!O34,"")</f>
        <v>1.470595993300186</v>
      </c>
      <c r="O28" s="135">
        <f>IF(分析!X34&lt;&gt;"",分析!X34,"")</f>
        <v>-7.9163625074124866</v>
      </c>
      <c r="P28" s="136">
        <f>IF(分析!L34&lt;&gt;"",分析!L34,"")</f>
        <v>-4.1344667697063366</v>
      </c>
      <c r="Q28" s="133">
        <f>IF(分析!S34&lt;&gt;"",分析!S34,"")</f>
        <v>4764</v>
      </c>
      <c r="R28" s="133">
        <f>IF(分析!R34&lt;&gt;"",分析!R34,"")</f>
        <v>5359</v>
      </c>
      <c r="S28" s="128" t="str">
        <f>IF(分析!AA34&lt;&gt;"",分析!AA34,"")</f>
        <v>下落▼</v>
      </c>
      <c r="T28" s="137">
        <f>IF(分析!Z34&lt;&gt;"",分析!Z34,"")</f>
        <v>-1.3910969793322734</v>
      </c>
      <c r="U28" s="128" t="str">
        <f>IF(分析!V34&lt;&gt;"",分析!V34,"")</f>
        <v>高値圏</v>
      </c>
      <c r="V28" s="138">
        <f>IF(分析!W34&lt;&gt;"",分析!W34,"")</f>
        <v>49.920198616776027</v>
      </c>
      <c r="W28" s="139" t="str">
        <f>IF(分析!AD34&lt;&gt;"",分析!AD34,"")</f>
        <v>上昇トレンド▲</v>
      </c>
      <c r="X28" s="140" t="str">
        <f>IF(分析!AE34&lt;&gt;"",分析!AE34,"")</f>
        <v>なし</v>
      </c>
      <c r="Y28" s="141">
        <f>IF(分析!T34&lt;&gt;"",分析!T34,"")</f>
        <v>8</v>
      </c>
      <c r="Z28" s="142" t="str">
        <f>IF(分析!Y34&lt;&gt;"",分析!Y34,"")</f>
        <v>△注目</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3626</v>
      </c>
      <c r="F29" s="133">
        <f>IF(分析!F88&lt;&gt;"",分析!F88,"")</f>
        <v>3650</v>
      </c>
      <c r="G29" s="133">
        <f>IF(分析!H88&lt;&gt;"",分析!H88,"")</f>
        <v>3663</v>
      </c>
      <c r="H29" s="133">
        <f>IF(分析!I88&lt;&gt;"",分析!I88,"")</f>
        <v>3594</v>
      </c>
      <c r="I29" s="133">
        <f>IF(分析!J88&lt;&gt;"",分析!J88,"")</f>
        <v>17528500</v>
      </c>
      <c r="J29" s="133">
        <f>IF(分析!AB88&lt;&gt;"",分析!AB88,"")</f>
        <v>4173.4959266802443</v>
      </c>
      <c r="K29" s="133">
        <f>IF(分析!AC88&lt;&gt;"",分析!AC88,"")</f>
        <v>4252.1382598331329</v>
      </c>
      <c r="L29" s="133">
        <f>IF(分析!K88&lt;&gt;"",分析!K88,"")</f>
        <v>4124</v>
      </c>
      <c r="M29" s="128" t="str">
        <f>IF(分析!P88&lt;&gt;"",分析!P88,"")</f>
        <v>普通→</v>
      </c>
      <c r="N29" s="134">
        <f>IF(分析!O88&lt;&gt;"",分析!O88,"")</f>
        <v>1.0222428282333456</v>
      </c>
      <c r="O29" s="135">
        <f>IF(分析!X88&lt;&gt;"",分析!X88,"")</f>
        <v>225.33108116176254</v>
      </c>
      <c r="P29" s="136">
        <f>IF(分析!L88&lt;&gt;"",分析!L88,"")</f>
        <v>-12.075654704170708</v>
      </c>
      <c r="Q29" s="133">
        <f>IF(分析!S88&lt;&gt;"",分析!S88,"")</f>
        <v>3481</v>
      </c>
      <c r="R29" s="133">
        <f>IF(分析!R88&lt;&gt;"",分析!R88,"")</f>
        <v>3916</v>
      </c>
      <c r="S29" s="128" t="str">
        <f>IF(分析!AA88&lt;&gt;"",分析!AA88,"")</f>
        <v>上昇▲</v>
      </c>
      <c r="T29" s="137">
        <f>IF(分析!Z88&lt;&gt;"",分析!Z88,"")</f>
        <v>1.7110799438990183</v>
      </c>
      <c r="U29" s="128" t="str">
        <f>IF(分析!V88&lt;&gt;"",分析!V88,"")</f>
        <v>通常</v>
      </c>
      <c r="V29" s="138">
        <f>IF(分析!W88&lt;&gt;"",分析!W88,"")</f>
        <v>50</v>
      </c>
      <c r="W29" s="139" t="str">
        <f>IF(分析!AD88&lt;&gt;"",分析!AD88,"")</f>
        <v>下降トレンド▼</v>
      </c>
      <c r="X29" s="140" t="str">
        <f>IF(分析!AE88&lt;&gt;"",分析!AE88,"")</f>
        <v>なし</v>
      </c>
      <c r="Y29" s="141">
        <f>IF(分析!T88&lt;&gt;"",分析!T88,"")</f>
        <v>4</v>
      </c>
      <c r="Z29" s="142" t="str">
        <f>IF(分析!Y88&lt;&gt;"",分析!Y88,"")</f>
        <v>様子見</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2614</v>
      </c>
      <c r="F30" s="133">
        <f>IF(分析!F170&lt;&gt;"",分析!F170,"")</f>
        <v>2638</v>
      </c>
      <c r="G30" s="133">
        <f>IF(分析!H170&lt;&gt;"",分析!H170,"")</f>
        <v>2663</v>
      </c>
      <c r="H30" s="133">
        <f>IF(分析!I170&lt;&gt;"",分析!I170,"")</f>
        <v>2580</v>
      </c>
      <c r="I30" s="133">
        <f>IF(分析!J170&lt;&gt;"",分析!J170,"")</f>
        <v>1440300</v>
      </c>
      <c r="J30" s="133">
        <f>IF(分析!AB170&lt;&gt;"",分析!AB170,"")</f>
        <v>1499.0610997963338</v>
      </c>
      <c r="K30" s="133">
        <f>IF(分析!AC170&lt;&gt;"",分析!AC170,"")</f>
        <v>1460.5691299165667</v>
      </c>
      <c r="L30" s="133">
        <f>IF(分析!K170&lt;&gt;"",分析!K170,"")</f>
        <v>2949</v>
      </c>
      <c r="M30" s="128" t="str">
        <f>IF(分析!P170&lt;&gt;"",分析!P170,"")</f>
        <v>減少↓</v>
      </c>
      <c r="N30" s="134">
        <f>IF(分析!O170&lt;&gt;"",分析!O170,"")</f>
        <v>0.98725066831174169</v>
      </c>
      <c r="O30" s="135">
        <f>IF(分析!X170&lt;&gt;"",分析!X170,"")</f>
        <v>-5.352216415444218</v>
      </c>
      <c r="P30" s="136">
        <f>IF(分析!L170&lt;&gt;"",分析!L170,"")</f>
        <v>-11.359782977280435</v>
      </c>
      <c r="Q30" s="133">
        <f>IF(分析!S170&lt;&gt;"",分析!S170,"")</f>
        <v>2509</v>
      </c>
      <c r="R30" s="133">
        <f>IF(分析!R170&lt;&gt;"",分析!R170,"")</f>
        <v>2823</v>
      </c>
      <c r="S30" s="128" t="str">
        <f>IF(分析!AA170&lt;&gt;"",分析!AA170,"")</f>
        <v>上昇▲</v>
      </c>
      <c r="T30" s="137">
        <f>IF(分析!Z170&lt;&gt;"",分析!Z170,"")</f>
        <v>2.5902668759811616</v>
      </c>
      <c r="U30" s="128" t="str">
        <f>IF(分析!V170&lt;&gt;"",分析!V170,"")</f>
        <v>通常</v>
      </c>
      <c r="V30" s="138">
        <f>IF(分析!W170&lt;&gt;"",分析!W170,"")</f>
        <v>46.107784431137723</v>
      </c>
      <c r="W30" s="139" t="str">
        <f>IF(分析!AD170&lt;&gt;"",分析!AD170,"")</f>
        <v>パーフェクト▲</v>
      </c>
      <c r="X30" s="140" t="str">
        <f>IF(分析!AE170&lt;&gt;"",分析!AE170,"")</f>
        <v>なし</v>
      </c>
      <c r="Y30" s="141">
        <f>IF(分析!T170&lt;&gt;"",分析!T170,"")</f>
        <v>3</v>
      </c>
      <c r="Z30" s="142" t="str">
        <f>IF(分析!Y170&lt;&gt;"",分析!Y170,"")</f>
        <v>様子見</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2869</v>
      </c>
      <c r="F31" s="133">
        <f>IF(分析!F138&lt;&gt;"",分析!F138,"")</f>
        <v>2833</v>
      </c>
      <c r="G31" s="133">
        <f>IF(分析!H138&lt;&gt;"",分析!H138,"")</f>
        <v>2900</v>
      </c>
      <c r="H31" s="133">
        <f>IF(分析!I138&lt;&gt;"",分析!I138,"")</f>
        <v>2833</v>
      </c>
      <c r="I31" s="133">
        <f>IF(分析!J138&lt;&gt;"",分析!J138,"")</f>
        <v>109700</v>
      </c>
      <c r="J31" s="133">
        <f>IF(分析!AB138&lt;&gt;"",分析!AB138,"")</f>
        <v>47.227087576374743</v>
      </c>
      <c r="K31" s="133">
        <f>IF(分析!AC138&lt;&gt;"",分析!AC138,"")</f>
        <v>46.17044100119189</v>
      </c>
      <c r="L31" s="133">
        <f>IF(分析!K138&lt;&gt;"",分析!K138,"")</f>
        <v>4280</v>
      </c>
      <c r="M31" s="128" t="str">
        <f>IF(分析!P138&lt;&gt;"",分析!P138,"")</f>
        <v>減少↓</v>
      </c>
      <c r="N31" s="134">
        <f>IF(分析!O138&lt;&gt;"",分析!O138,"")</f>
        <v>0.86637182119728318</v>
      </c>
      <c r="O31" s="135">
        <f>IF(分析!X138&lt;&gt;"",分析!X138,"")</f>
        <v>27.708733516692064</v>
      </c>
      <c r="P31" s="136">
        <f>IF(分析!L138&lt;&gt;"",分析!L138,"")</f>
        <v>-32.967289719626166</v>
      </c>
      <c r="Q31" s="133">
        <f>IF(分析!S138&lt;&gt;"",分析!S138,"")</f>
        <v>2754</v>
      </c>
      <c r="R31" s="133">
        <f>IF(分析!R138&lt;&gt;"",分析!R138,"")</f>
        <v>3099</v>
      </c>
      <c r="S31" s="128" t="str">
        <f>IF(分析!AA138&lt;&gt;"",分析!AA138,"")</f>
        <v>上昇▲</v>
      </c>
      <c r="T31" s="137">
        <f>IF(分析!Z138&lt;&gt;"",分析!Z138,"")</f>
        <v>1.2707377338510413</v>
      </c>
      <c r="U31" s="128" t="str">
        <f>IF(分析!V138&lt;&gt;"",分析!V138,"")</f>
        <v>通常</v>
      </c>
      <c r="V31" s="138">
        <f>IF(分析!W138&lt;&gt;"",分析!W138,"")</f>
        <v>64.403292181069958</v>
      </c>
      <c r="W31" s="139" t="str">
        <f>IF(分析!AD138&lt;&gt;"",分析!AD138,"")</f>
        <v>パーフェクト▲</v>
      </c>
      <c r="X31" s="140" t="str">
        <f>IF(分析!AE138&lt;&gt;"",分析!AE138,"")</f>
        <v>なし</v>
      </c>
      <c r="Y31" s="141">
        <f>IF(分析!T138&lt;&gt;"",分析!T138,"")</f>
        <v>8</v>
      </c>
      <c r="Z31" s="142" t="str">
        <f>IF(分析!Y138&lt;&gt;"",分析!Y138,"")</f>
        <v>△注目</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19010</v>
      </c>
      <c r="F32" s="148">
        <f>IF(分析!F173&lt;&gt;"",分析!F173,"")</f>
        <v>19980</v>
      </c>
      <c r="G32" s="148">
        <f>IF(分析!H173&lt;&gt;"",分析!H173,"")</f>
        <v>20300</v>
      </c>
      <c r="H32" s="148">
        <f>IF(分析!I173&lt;&gt;"",分析!I173,"")</f>
        <v>18415</v>
      </c>
      <c r="I32" s="148">
        <f>IF(分析!J173&lt;&gt;"",分析!J173,"")</f>
        <v>12684800</v>
      </c>
      <c r="J32" s="148">
        <f>IF(分析!AB173&lt;&gt;"",分析!AB173,"")</f>
        <v>5587.5162932790199</v>
      </c>
      <c r="K32" s="148">
        <f>IF(分析!AC173&lt;&gt;"",分析!AC173,"")</f>
        <v>5843.8712753277687</v>
      </c>
      <c r="L32" s="148">
        <f>IF(分析!K173&lt;&gt;"",分析!K173,"")</f>
        <v>27480</v>
      </c>
      <c r="M32" s="143" t="str">
        <f>IF(分析!P173&lt;&gt;"",分析!P173,"")</f>
        <v>増加↑</v>
      </c>
      <c r="N32" s="149">
        <f>IF(分析!O173&lt;&gt;"",分析!O173,"")</f>
        <v>1.5480973418926505</v>
      </c>
      <c r="O32" s="150">
        <f>IF(分析!X173&lt;&gt;"",分析!X173,"")</f>
        <v>-294.27367964368386</v>
      </c>
      <c r="P32" s="151">
        <f>IF(分析!L173&lt;&gt;"",分析!L173,"")</f>
        <v>-30.822416302765649</v>
      </c>
      <c r="Q32" s="148">
        <f>IF(分析!S173&lt;&gt;"",分析!S173,"")</f>
        <v>18250</v>
      </c>
      <c r="R32" s="148">
        <f>IF(分析!R173&lt;&gt;"",分析!R173,"")</f>
        <v>20531</v>
      </c>
      <c r="S32" s="143" t="str">
        <f>IF(分析!AA173&lt;&gt;"",分析!AA173,"")</f>
        <v>下落▼</v>
      </c>
      <c r="T32" s="152">
        <f>IF(分析!Z173&lt;&gt;"",分析!Z173,"")</f>
        <v>-6.4928676832267582</v>
      </c>
      <c r="U32" s="143" t="str">
        <f>IF(分析!V173&lt;&gt;"",分析!V173,"")</f>
        <v>通常</v>
      </c>
      <c r="V32" s="153">
        <f>IF(分析!W173&lt;&gt;"",分析!W173,"")</f>
        <v>52.463912394225986</v>
      </c>
      <c r="W32" s="154" t="str">
        <f>IF(分析!AD173&lt;&gt;"",分析!AD173,"")</f>
        <v>上昇トレンド▲</v>
      </c>
      <c r="X32" s="155" t="str">
        <f>IF(分析!AE173&lt;&gt;"",分析!AE173,"")</f>
        <v>なし</v>
      </c>
      <c r="Y32" s="156">
        <f>IF(分析!T173&lt;&gt;"",分析!T173,"")</f>
        <v>4</v>
      </c>
      <c r="Z32" s="142" t="str">
        <f>IF(分析!Y173&lt;&gt;"",分析!Y173,"")</f>
        <v>様子見</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1782.5</v>
      </c>
      <c r="F33" s="133">
        <f>IF(分析!F118&lt;&gt;"",分析!F118,"")</f>
        <v>1750</v>
      </c>
      <c r="G33" s="133">
        <f>IF(分析!H118&lt;&gt;"",分析!H118,"")</f>
        <v>1785</v>
      </c>
      <c r="H33" s="133">
        <f>IF(分析!I118&lt;&gt;"",分析!I118,"")</f>
        <v>1746</v>
      </c>
      <c r="I33" s="133">
        <f>IF(分析!J118&lt;&gt;"",分析!J118,"")</f>
        <v>2367100</v>
      </c>
      <c r="J33" s="133">
        <f>IF(分析!AB118&lt;&gt;"",分析!AB118,"")</f>
        <v>4500.6924643584516</v>
      </c>
      <c r="K33" s="133">
        <f>IF(分析!AC118&lt;&gt;"",分析!AC118,"")</f>
        <v>4221.1442193086987</v>
      </c>
      <c r="L33" s="133">
        <f>IF(分析!K118&lt;&gt;"",分析!K118,"")</f>
        <v>1943</v>
      </c>
      <c r="M33" s="128" t="str">
        <f>IF(分析!P118&lt;&gt;"",分析!P118,"")</f>
        <v>減少↓</v>
      </c>
      <c r="N33" s="134">
        <f>IF(分析!O118&lt;&gt;"",分析!O118,"")</f>
        <v>0.65186380560022916</v>
      </c>
      <c r="O33" s="135">
        <f>IF(分析!X118&lt;&gt;"",分析!X118,"")</f>
        <v>-12.571641942532324</v>
      </c>
      <c r="P33" s="136">
        <f>IF(分析!L118&lt;&gt;"",分析!L118,"")</f>
        <v>-8.2604220277920746</v>
      </c>
      <c r="Q33" s="133">
        <f>IF(分析!S118&lt;&gt;"",分析!S118,"")</f>
        <v>1711</v>
      </c>
      <c r="R33" s="133">
        <f>IF(分析!R118&lt;&gt;"",分析!R118,"")</f>
        <v>1925</v>
      </c>
      <c r="S33" s="128" t="str">
        <f>IF(分析!AA118&lt;&gt;"",分析!AA118,"")</f>
        <v>上昇▲</v>
      </c>
      <c r="T33" s="137">
        <f>IF(分析!Z118&lt;&gt;"",分析!Z118,"")</f>
        <v>1.5958962667426617</v>
      </c>
      <c r="U33" s="128" t="str">
        <f>IF(分析!V118&lt;&gt;"",分析!V118,"")</f>
        <v>通常</v>
      </c>
      <c r="V33" s="138">
        <f>IF(分析!W118&lt;&gt;"",分析!W118,"")</f>
        <v>36.004162330905302</v>
      </c>
      <c r="W33" s="139" t="str">
        <f>IF(分析!AD118&lt;&gt;"",分析!AD118,"")</f>
        <v>もみ合い→</v>
      </c>
      <c r="X33" s="140" t="str">
        <f>IF(分析!AE118&lt;&gt;"",分析!AE118,"")</f>
        <v>なし</v>
      </c>
      <c r="Y33" s="141">
        <f>IF(分析!T118&lt;&gt;"",分析!T118,"")</f>
        <v>2</v>
      </c>
      <c r="Z33" s="142" t="str">
        <f>IF(分析!Y118&lt;&gt;"",分析!Y118,"")</f>
        <v>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2954</v>
      </c>
      <c r="F34" s="133">
        <f>IF(分析!F156&lt;&gt;"",分析!F156,"")</f>
        <v>2910.5</v>
      </c>
      <c r="G34" s="133">
        <f>IF(分析!H156&lt;&gt;"",分析!H156,"")</f>
        <v>2966.5</v>
      </c>
      <c r="H34" s="133">
        <f>IF(分析!I156&lt;&gt;"",分析!I156,"")</f>
        <v>2888.5</v>
      </c>
      <c r="I34" s="133">
        <f>IF(分析!J156&lt;&gt;"",分析!J156,"")</f>
        <v>6257700</v>
      </c>
      <c r="J34" s="133">
        <f>IF(分析!AB156&lt;&gt;"",分析!AB156,"")</f>
        <v>31945.188391038686</v>
      </c>
      <c r="K34" s="133">
        <f>IF(分析!AC156&lt;&gt;"",分析!AC156,"")</f>
        <v>30024.207389749692</v>
      </c>
      <c r="L34" s="133">
        <f>IF(分析!K156&lt;&gt;"",分析!K156,"")</f>
        <v>3167</v>
      </c>
      <c r="M34" s="128" t="str">
        <f>IF(分析!P156&lt;&gt;"",分析!P156,"")</f>
        <v>減少↓</v>
      </c>
      <c r="N34" s="134">
        <f>IF(分析!O156&lt;&gt;"",分析!O156,"")</f>
        <v>0.59995513063887063</v>
      </c>
      <c r="O34" s="135">
        <f>IF(分析!X156&lt;&gt;"",分析!X156,"")</f>
        <v>37.425399718993503</v>
      </c>
      <c r="P34" s="136">
        <f>IF(分析!L156&lt;&gt;"",分析!L156,"")</f>
        <v>-6.7256078307546572</v>
      </c>
      <c r="Q34" s="133">
        <f>IF(分析!S156&lt;&gt;"",分析!S156,"")</f>
        <v>2836</v>
      </c>
      <c r="R34" s="133">
        <f>IF(分析!R156&lt;&gt;"",分析!R156,"")</f>
        <v>3190</v>
      </c>
      <c r="S34" s="128" t="str">
        <f>IF(分析!AA156&lt;&gt;"",分析!AA156,"")</f>
        <v>上昇▲</v>
      </c>
      <c r="T34" s="137">
        <f>IF(分析!Z156&lt;&gt;"",分析!Z156,"")</f>
        <v>3.2686593252927811</v>
      </c>
      <c r="U34" s="128" t="str">
        <f>IF(分析!V156&lt;&gt;"",分析!V156,"")</f>
        <v>通常</v>
      </c>
      <c r="V34" s="138">
        <f>IF(分析!W156&lt;&gt;"",分析!W156,"")</f>
        <v>51.822976381563862</v>
      </c>
      <c r="W34" s="139" t="str">
        <f>IF(分析!AD156&lt;&gt;"",分析!AD156,"")</f>
        <v>もみ合い→</v>
      </c>
      <c r="X34" s="140" t="str">
        <f>IF(分析!AE156&lt;&gt;"",分析!AE156,"")</f>
        <v>なし</v>
      </c>
      <c r="Y34" s="141">
        <f>IF(分析!T156&lt;&gt;"",分析!T156,"")</f>
        <v>6</v>
      </c>
      <c r="Z34" s="142" t="str">
        <f>IF(分析!Y156&lt;&gt;"",分析!Y156,"")</f>
        <v>△注目</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14020</v>
      </c>
      <c r="F35" s="148">
        <f>IF(分析!F97&lt;&gt;"",分析!F97,"")</f>
        <v>14620</v>
      </c>
      <c r="G35" s="148">
        <f>IF(分析!H97&lt;&gt;"",分析!H97,"")</f>
        <v>15010</v>
      </c>
      <c r="H35" s="148">
        <f>IF(分析!I97&lt;&gt;"",分析!I97,"")</f>
        <v>13900</v>
      </c>
      <c r="I35" s="148">
        <f>IF(分析!J97&lt;&gt;"",分析!J97,"")</f>
        <v>150800</v>
      </c>
      <c r="J35" s="148">
        <f>IF(分析!AB97&lt;&gt;"",分析!AB97,"")</f>
        <v>4677.8156822810579</v>
      </c>
      <c r="K35" s="148">
        <f>IF(分析!AC97&lt;&gt;"",分析!AC97,"")</f>
        <v>4617.61978545888</v>
      </c>
      <c r="L35" s="148">
        <f>IF(分析!K97&lt;&gt;"",分析!K97,"")</f>
        <v>16900</v>
      </c>
      <c r="M35" s="143" t="str">
        <f>IF(分析!P97&lt;&gt;"",分析!P97,"")</f>
        <v>減少↓</v>
      </c>
      <c r="N35" s="149">
        <f>IF(分析!O97&lt;&gt;"",分析!O97,"")</f>
        <v>0.75528398277071018</v>
      </c>
      <c r="O35" s="150">
        <f>IF(分析!X97&lt;&gt;"",分析!X97,"")</f>
        <v>-140.85311197703959</v>
      </c>
      <c r="P35" s="151">
        <f>IF(分析!L97&lt;&gt;"",分析!L97,"")</f>
        <v>-17.041420118343193</v>
      </c>
      <c r="Q35" s="148">
        <f>IF(分析!S97&lt;&gt;"",分析!S97,"")</f>
        <v>13459</v>
      </c>
      <c r="R35" s="148">
        <f>IF(分析!R97&lt;&gt;"",分析!R97,"")</f>
        <v>15142</v>
      </c>
      <c r="S35" s="143" t="str">
        <f>IF(分析!AA97&lt;&gt;"",分析!AA97,"")</f>
        <v>下落▼</v>
      </c>
      <c r="T35" s="152">
        <f>IF(分析!Z97&lt;&gt;"",分析!Z97,"")</f>
        <v>-5.3981106612685563</v>
      </c>
      <c r="U35" s="143" t="str">
        <f>IF(分析!V97&lt;&gt;"",分析!V97,"")</f>
        <v>通常</v>
      </c>
      <c r="V35" s="153">
        <f>IF(分析!W97&lt;&gt;"",分析!W97,"")</f>
        <v>49.391069012178626</v>
      </c>
      <c r="W35" s="154" t="str">
        <f>IF(分析!AD97&lt;&gt;"",分析!AD97,"")</f>
        <v>パーフェクト▲</v>
      </c>
      <c r="X35" s="155" t="str">
        <f>IF(分析!AE97&lt;&gt;"",分析!AE97,"")</f>
        <v>なし</v>
      </c>
      <c r="Y35" s="156">
        <f>IF(分析!T97&lt;&gt;"",分析!T97,"")</f>
        <v>2</v>
      </c>
      <c r="Z35" s="142" t="str">
        <f>IF(分析!Y97&lt;&gt;"",分析!Y97,"")</f>
        <v>見送り</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634.9</v>
      </c>
      <c r="F36" s="133">
        <f>IF(分析!F90&lt;&gt;"",分析!F90,"")</f>
        <v>619</v>
      </c>
      <c r="G36" s="133">
        <f>IF(分析!H90&lt;&gt;"",分析!H90,"")</f>
        <v>634.9</v>
      </c>
      <c r="H36" s="133">
        <f>IF(分析!I90&lt;&gt;"",分析!I90,"")</f>
        <v>613.4</v>
      </c>
      <c r="I36" s="133">
        <f>IF(分析!J90&lt;&gt;"",分析!J90,"")</f>
        <v>3164500</v>
      </c>
      <c r="J36" s="133">
        <f>IF(分析!AB90&lt;&gt;"",分析!AB90,"")</f>
        <v>7924.9714867617104</v>
      </c>
      <c r="K36" s="133">
        <f>IF(分析!AC90&lt;&gt;"",分析!AC90,"")</f>
        <v>7636.9630512514859</v>
      </c>
      <c r="L36" s="133">
        <f>IF(分析!K90&lt;&gt;"",分析!K90,"")</f>
        <v>830.5</v>
      </c>
      <c r="M36" s="128" t="str">
        <f>IF(分析!P90&lt;&gt;"",分析!P90,"")</f>
        <v>減少↓</v>
      </c>
      <c r="N36" s="134">
        <f>IF(分析!O90&lt;&gt;"",分析!O90,"")</f>
        <v>0.95831213508733681</v>
      </c>
      <c r="O36" s="135">
        <f>IF(分析!X90&lt;&gt;"",分析!X90,"")</f>
        <v>-2.3530795378105722</v>
      </c>
      <c r="P36" s="136">
        <f>IF(分析!L90&lt;&gt;"",分析!L90,"")</f>
        <v>-23.552077062010842</v>
      </c>
      <c r="Q36" s="133">
        <f>IF(分析!S90&lt;&gt;"",分析!S90,"")</f>
        <v>610</v>
      </c>
      <c r="R36" s="133">
        <f>IF(分析!R90&lt;&gt;"",分析!R90,"")</f>
        <v>686</v>
      </c>
      <c r="S36" s="128" t="str">
        <f>IF(分析!AA90&lt;&gt;"",分析!AA90,"")</f>
        <v>上昇▲</v>
      </c>
      <c r="T36" s="137">
        <f>IF(分析!Z90&lt;&gt;"",分析!Z90,"")</f>
        <v>2.1396396396396322</v>
      </c>
      <c r="U36" s="128" t="str">
        <f>IF(分析!V90&lt;&gt;"",分析!V90,"")</f>
        <v>通常</v>
      </c>
      <c r="V36" s="138">
        <f>IF(分析!W90&lt;&gt;"",分析!W90,"")</f>
        <v>44.086021505376358</v>
      </c>
      <c r="W36" s="139" t="str">
        <f>IF(分析!AD90&lt;&gt;"",分析!AD90,"")</f>
        <v>もみ合い→</v>
      </c>
      <c r="X36" s="140" t="str">
        <f>IF(分析!AE90&lt;&gt;"",分析!AE90,"")</f>
        <v>なし</v>
      </c>
      <c r="Y36" s="141">
        <f>IF(分析!T90&lt;&gt;"",分析!T90,"")</f>
        <v>1</v>
      </c>
      <c r="Z36" s="142" t="str">
        <f>IF(分析!Y90&lt;&gt;"",分析!Y90,"")</f>
        <v>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4748</v>
      </c>
      <c r="F37" s="133">
        <f>IF(分析!F58&lt;&gt;"",分析!F58,"")</f>
        <v>4635</v>
      </c>
      <c r="G37" s="133">
        <f>IF(分析!H58&lt;&gt;"",分析!H58,"")</f>
        <v>4748</v>
      </c>
      <c r="H37" s="133">
        <f>IF(分析!I58&lt;&gt;"",分析!I58,"")</f>
        <v>4631</v>
      </c>
      <c r="I37" s="133">
        <f>IF(分析!J58&lt;&gt;"",分析!J58,"")</f>
        <v>6019000</v>
      </c>
      <c r="J37" s="133">
        <f>IF(分析!AB58&lt;&gt;"",分析!AB58,"")</f>
        <v>3672.6028513238284</v>
      </c>
      <c r="K37" s="133">
        <f>IF(分析!AC58&lt;&gt;"",分析!AC58,"")</f>
        <v>3560.8986889153739</v>
      </c>
      <c r="L37" s="133">
        <f>IF(分析!K58&lt;&gt;"",分析!K58,"")</f>
        <v>6012</v>
      </c>
      <c r="M37" s="128" t="str">
        <f>IF(分析!P58&lt;&gt;"",分析!P58,"")</f>
        <v>減少↓</v>
      </c>
      <c r="N37" s="134">
        <f>IF(分析!O58&lt;&gt;"",分析!O58,"")</f>
        <v>0.60798839579549613</v>
      </c>
      <c r="O37" s="135">
        <f>IF(分析!X58&lt;&gt;"",分析!X58,"")</f>
        <v>41.907824820192218</v>
      </c>
      <c r="P37" s="136">
        <f>IF(分析!L58&lt;&gt;"",分析!L58,"")</f>
        <v>-21.024617431803062</v>
      </c>
      <c r="Q37" s="133">
        <f>IF(分析!S58&lt;&gt;"",分析!S58,"")</f>
        <v>4558</v>
      </c>
      <c r="R37" s="133">
        <f>IF(分析!R58&lt;&gt;"",分析!R58,"")</f>
        <v>5128</v>
      </c>
      <c r="S37" s="128" t="str">
        <f>IF(分析!AA58&lt;&gt;"",分析!AA58,"")</f>
        <v>上昇▲</v>
      </c>
      <c r="T37" s="137">
        <f>IF(分析!Z58&lt;&gt;"",分析!Z58,"")</f>
        <v>2.305537599655247</v>
      </c>
      <c r="U37" s="128" t="str">
        <f>IF(分析!V58&lt;&gt;"",分析!V58,"")</f>
        <v>通常</v>
      </c>
      <c r="V37" s="138">
        <f>IF(分析!W58&lt;&gt;"",分析!W58,"")</f>
        <v>52.816901408450704</v>
      </c>
      <c r="W37" s="139" t="str">
        <f>IF(分析!AD58&lt;&gt;"",分析!AD58,"")</f>
        <v>パーフェクト▲</v>
      </c>
      <c r="X37" s="140" t="str">
        <f>IF(分析!AE58&lt;&gt;"",分析!AE58,"")</f>
        <v>なし</v>
      </c>
      <c r="Y37" s="141">
        <f>IF(分析!T58&lt;&gt;"",分析!T58,"")</f>
        <v>9</v>
      </c>
      <c r="Z37" s="142" t="str">
        <f>IF(分析!Y58&lt;&gt;"",分析!Y58,"")</f>
        <v>△注目</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2342</v>
      </c>
      <c r="F38" s="133">
        <f>IF(分析!F52&lt;&gt;"",分析!F52,"")</f>
        <v>2289</v>
      </c>
      <c r="G38" s="133">
        <f>IF(分析!H52&lt;&gt;"",分析!H52,"")</f>
        <v>2362</v>
      </c>
      <c r="H38" s="133">
        <f>IF(分析!I52&lt;&gt;"",分析!I52,"")</f>
        <v>2280.5</v>
      </c>
      <c r="I38" s="133">
        <f>IF(分析!J52&lt;&gt;"",分析!J52,"")</f>
        <v>10474300</v>
      </c>
      <c r="J38" s="133">
        <f>IF(分析!AB52&lt;&gt;"",分析!AB52,"")</f>
        <v>6986.1018329938897</v>
      </c>
      <c r="K38" s="133">
        <f>IF(分析!AC52&lt;&gt;"",分析!AC52,"")</f>
        <v>6935.3742550655525</v>
      </c>
      <c r="L38" s="133">
        <f>IF(分析!K52&lt;&gt;"",分析!K52,"")</f>
        <v>2420.5</v>
      </c>
      <c r="M38" s="128" t="str">
        <f>IF(分析!P52&lt;&gt;"",分析!P52,"")</f>
        <v>減少↓</v>
      </c>
      <c r="N38" s="134">
        <f>IF(分析!O52&lt;&gt;"",分析!O52,"")</f>
        <v>0.86551730406601346</v>
      </c>
      <c r="O38" s="135">
        <f>IF(分析!X52&lt;&gt;"",分析!X52,"")</f>
        <v>-5.9527919630299948</v>
      </c>
      <c r="P38" s="136">
        <f>IF(分析!L52&lt;&gt;"",分析!L52,"")</f>
        <v>-3.2431315843833923</v>
      </c>
      <c r="Q38" s="133">
        <f>IF(分析!S52&lt;&gt;"",分析!S52,"")</f>
        <v>2248</v>
      </c>
      <c r="R38" s="133">
        <f>IF(分析!R52&lt;&gt;"",分析!R52,"")</f>
        <v>2529</v>
      </c>
      <c r="S38" s="128" t="str">
        <f>IF(分析!AA52&lt;&gt;"",分析!AA52,"")</f>
        <v>上昇▲</v>
      </c>
      <c r="T38" s="137">
        <f>IF(分析!Z52&lt;&gt;"",分析!Z52,"")</f>
        <v>2.5843188786684186</v>
      </c>
      <c r="U38" s="128" t="str">
        <f>IF(分析!V52&lt;&gt;"",分析!V52,"")</f>
        <v>高値圏</v>
      </c>
      <c r="V38" s="138">
        <f>IF(分析!W52&lt;&gt;"",分析!W52,"")</f>
        <v>43.60503644797879</v>
      </c>
      <c r="W38" s="139" t="str">
        <f>IF(分析!AD52&lt;&gt;"",分析!AD52,"")</f>
        <v>もみ合い→</v>
      </c>
      <c r="X38" s="140" t="str">
        <f>IF(分析!AE52&lt;&gt;"",分析!AE52,"")</f>
        <v>なし</v>
      </c>
      <c r="Y38" s="141">
        <f>IF(分析!T52&lt;&gt;"",分析!T52,"")</f>
        <v>8</v>
      </c>
      <c r="Z38" s="142" t="str">
        <f>IF(分析!Y52&lt;&gt;"",分析!Y52,"")</f>
        <v>△注目</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3232</v>
      </c>
      <c r="F39" s="133">
        <f>IF(分析!F74&lt;&gt;"",分析!F74,"")</f>
        <v>3189</v>
      </c>
      <c r="G39" s="133">
        <f>IF(分析!H74&lt;&gt;"",分析!H74,"")</f>
        <v>3246</v>
      </c>
      <c r="H39" s="133">
        <f>IF(分析!I74&lt;&gt;"",分析!I74,"")</f>
        <v>3185</v>
      </c>
      <c r="I39" s="133">
        <f>IF(分析!J74&lt;&gt;"",分析!J74,"")</f>
        <v>5230400</v>
      </c>
      <c r="J39" s="133">
        <f>IF(分析!AB74&lt;&gt;"",分析!AB74,"")</f>
        <v>5109.7189409368621</v>
      </c>
      <c r="K39" s="133">
        <f>IF(分析!AC74&lt;&gt;"",分析!AC74,"")</f>
        <v>5211.8104886769934</v>
      </c>
      <c r="L39" s="133">
        <f>IF(分析!K74&lt;&gt;"",分析!K74,"")</f>
        <v>3465</v>
      </c>
      <c r="M39" s="128" t="str">
        <f>IF(分析!P74&lt;&gt;"",分析!P74,"")</f>
        <v>減少↓</v>
      </c>
      <c r="N39" s="134">
        <f>IF(分析!O74&lt;&gt;"",分析!O74,"")</f>
        <v>0.71427205812063854</v>
      </c>
      <c r="O39" s="135">
        <f>IF(分析!X74&lt;&gt;"",分析!X74,"")</f>
        <v>-12.192099952635544</v>
      </c>
      <c r="P39" s="136">
        <f>IF(分析!L74&lt;&gt;"",分析!L74,"")</f>
        <v>-6.7243867243867248</v>
      </c>
      <c r="Q39" s="133">
        <f>IF(分析!S74&lt;&gt;"",分析!S74,"")</f>
        <v>3103</v>
      </c>
      <c r="R39" s="133">
        <f>IF(分析!R74&lt;&gt;"",分析!R74,"")</f>
        <v>3491</v>
      </c>
      <c r="S39" s="128" t="str">
        <f>IF(分析!AA74&lt;&gt;"",分析!AA74,"")</f>
        <v>上昇▲</v>
      </c>
      <c r="T39" s="137">
        <f>IF(分析!Z74&lt;&gt;"",分析!Z74,"")</f>
        <v>1</v>
      </c>
      <c r="U39" s="128" t="str">
        <f>IF(分析!V74&lt;&gt;"",分析!V74,"")</f>
        <v>通常</v>
      </c>
      <c r="V39" s="138">
        <f>IF(分析!W74&lt;&gt;"",分析!W74,"")</f>
        <v>42.299794661190965</v>
      </c>
      <c r="W39" s="139" t="str">
        <f>IF(分析!AD74&lt;&gt;"",分析!AD74,"")</f>
        <v>下降トレンド▼</v>
      </c>
      <c r="X39" s="140" t="str">
        <f>IF(分析!AE74&lt;&gt;"",分析!AE74,"")</f>
        <v>なし</v>
      </c>
      <c r="Y39" s="141">
        <f>IF(分析!T74&lt;&gt;"",分析!T74,"")</f>
        <v>3</v>
      </c>
      <c r="Z39" s="142" t="str">
        <f>IF(分析!Y74&lt;&gt;"",分析!Y74,"")</f>
        <v>様子見</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1123</v>
      </c>
      <c r="F40" s="148">
        <f>IF(分析!F71&lt;&gt;"",分析!F71,"")</f>
        <v>1151</v>
      </c>
      <c r="G40" s="148">
        <f>IF(分析!H71&lt;&gt;"",分析!H71,"")</f>
        <v>1154</v>
      </c>
      <c r="H40" s="148">
        <f>IF(分析!I71&lt;&gt;"",分析!I71,"")</f>
        <v>1123</v>
      </c>
      <c r="I40" s="148">
        <f>IF(分析!J71&lt;&gt;"",分析!J71,"")</f>
        <v>9300</v>
      </c>
      <c r="J40" s="148">
        <f>IF(分析!AB71&lt;&gt;"",分析!AB71,"")</f>
        <v>7579.389002036658</v>
      </c>
      <c r="K40" s="148">
        <f>IF(分析!AC71&lt;&gt;"",分析!AC71,"")</f>
        <v>7597.103694874846</v>
      </c>
      <c r="L40" s="148">
        <f>IF(分析!K71&lt;&gt;"",分析!K71,"")</f>
        <v>2660</v>
      </c>
      <c r="M40" s="143" t="str">
        <f>IF(分析!P71&lt;&gt;"",分析!P71,"")</f>
        <v>減少↓</v>
      </c>
      <c r="N40" s="149">
        <f>IF(分析!O71&lt;&gt;"",分析!O71,"")</f>
        <v>0.80172413793103448</v>
      </c>
      <c r="O40" s="150">
        <f>IF(分析!X71&lt;&gt;"",分析!X71,"")</f>
        <v>71.588919315870726</v>
      </c>
      <c r="P40" s="151">
        <f>IF(分析!L71&lt;&gt;"",分析!L71,"")</f>
        <v>-57.781954887218049</v>
      </c>
      <c r="Q40" s="148">
        <f>IF(分析!S71&lt;&gt;"",分析!S71,"")</f>
        <v>1078</v>
      </c>
      <c r="R40" s="148">
        <f>IF(分析!R71&lt;&gt;"",分析!R71,"")</f>
        <v>1213</v>
      </c>
      <c r="S40" s="143" t="str">
        <f>IF(分析!AA71&lt;&gt;"",分析!AA71,"")</f>
        <v>下落▼</v>
      </c>
      <c r="T40" s="152">
        <f>IF(分析!Z71&lt;&gt;"",分析!Z71,"")</f>
        <v>-3.8527397260273974</v>
      </c>
      <c r="U40" s="143" t="str">
        <f>IF(分析!V71&lt;&gt;"",分析!V71,"")</f>
        <v>通常</v>
      </c>
      <c r="V40" s="153">
        <f>IF(分析!W71&lt;&gt;"",分析!W71,"")</f>
        <v>50</v>
      </c>
      <c r="W40" s="154" t="str">
        <f>IF(分析!AD71&lt;&gt;"",分析!AD71,"")</f>
        <v>下降トレンド▼</v>
      </c>
      <c r="X40" s="155" t="str">
        <f>IF(分析!AE71&lt;&gt;"",分析!AE71,"")</f>
        <v>なし</v>
      </c>
      <c r="Y40" s="156">
        <f>IF(分析!T71&lt;&gt;"",分析!T71,"")</f>
        <v>2</v>
      </c>
      <c r="Z40" s="142" t="str">
        <f>IF(分析!Y71&lt;&gt;"",分析!Y71,"")</f>
        <v>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4690</v>
      </c>
      <c r="F41" s="148">
        <f>IF(分析!F93&lt;&gt;"",分析!F93,"")</f>
        <v>4626</v>
      </c>
      <c r="G41" s="148">
        <f>IF(分析!H93&lt;&gt;"",分析!H93,"")</f>
        <v>4747</v>
      </c>
      <c r="H41" s="148">
        <f>IF(分析!I93&lt;&gt;"",分析!I93,"")</f>
        <v>4619</v>
      </c>
      <c r="I41" s="148">
        <f>IF(分析!J93&lt;&gt;"",分析!J93,"")</f>
        <v>5467900</v>
      </c>
      <c r="J41" s="148">
        <f>IF(分析!AB93&lt;&gt;"",分析!AB93,"")</f>
        <v>1298.3849287169044</v>
      </c>
      <c r="K41" s="148">
        <f>IF(分析!AC93&lt;&gt;"",分析!AC93,"")</f>
        <v>1223.1597139451724</v>
      </c>
      <c r="L41" s="148">
        <f>IF(分析!K93&lt;&gt;"",分析!K93,"")</f>
        <v>6036</v>
      </c>
      <c r="M41" s="143" t="str">
        <f>IF(分析!P93&lt;&gt;"",分析!P93,"")</f>
        <v>減少↓</v>
      </c>
      <c r="N41" s="149">
        <f>IF(分析!O93&lt;&gt;"",分析!O93,"")</f>
        <v>0.75985058407286254</v>
      </c>
      <c r="O41" s="150">
        <f>IF(分析!X93&lt;&gt;"",分析!X93,"")</f>
        <v>50.995956041859245</v>
      </c>
      <c r="P41" s="151">
        <f>IF(分析!L93&lt;&gt;"",分析!L93,"")</f>
        <v>-22.299536116633529</v>
      </c>
      <c r="Q41" s="148">
        <f>IF(分析!S93&lt;&gt;"",分析!S93,"")</f>
        <v>4502</v>
      </c>
      <c r="R41" s="148">
        <f>IF(分析!R93&lt;&gt;"",分析!R93,"")</f>
        <v>5065</v>
      </c>
      <c r="S41" s="143" t="str">
        <f>IF(分析!AA93&lt;&gt;"",分析!AA93,"")</f>
        <v>上昇▲</v>
      </c>
      <c r="T41" s="152">
        <f>IF(分析!Z93&lt;&gt;"",分析!Z93,"")</f>
        <v>1.2740228892247896</v>
      </c>
      <c r="U41" s="143" t="str">
        <f>IF(分析!V93&lt;&gt;"",分析!V93,"")</f>
        <v>通常</v>
      </c>
      <c r="V41" s="153">
        <f>IF(分析!W93&lt;&gt;"",分析!W93,"")</f>
        <v>62.009314703925476</v>
      </c>
      <c r="W41" s="154" t="str">
        <f>IF(分析!AD93&lt;&gt;"",分析!AD93,"")</f>
        <v>パーフェクト▲</v>
      </c>
      <c r="X41" s="155" t="str">
        <f>IF(分析!AE93&lt;&gt;"",分析!AE93,"")</f>
        <v>なし</v>
      </c>
      <c r="Y41" s="156">
        <f>IF(分析!T93&lt;&gt;"",分析!T93,"")</f>
        <v>8</v>
      </c>
      <c r="Z41" s="142" t="str">
        <f>IF(分析!Y93&lt;&gt;"",分析!Y93,"")</f>
        <v>△注目</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24320</v>
      </c>
      <c r="F42" s="133">
        <f>IF(分析!F150&lt;&gt;"",分析!F150,"")</f>
        <v>25000</v>
      </c>
      <c r="G42" s="133">
        <f>IF(分析!H150&lt;&gt;"",分析!H150,"")</f>
        <v>25610</v>
      </c>
      <c r="H42" s="133">
        <f>IF(分析!I150&lt;&gt;"",分析!I150,"")</f>
        <v>24000</v>
      </c>
      <c r="I42" s="133">
        <f>IF(分析!J150&lt;&gt;"",分析!J150,"")</f>
        <v>106500</v>
      </c>
      <c r="J42" s="133">
        <f>IF(分析!AB150&lt;&gt;"",分析!AB150,"")</f>
        <v>1162.1955193482684</v>
      </c>
      <c r="K42" s="133">
        <f>IF(分析!AC150&lt;&gt;"",分析!AC150,"")</f>
        <v>1124.6889153754464</v>
      </c>
      <c r="L42" s="133">
        <f>IF(分析!K150&lt;&gt;"",分析!K150,"")</f>
        <v>28430</v>
      </c>
      <c r="M42" s="128" t="str">
        <f>IF(分析!P150&lt;&gt;"",分析!P150,"")</f>
        <v>普通→</v>
      </c>
      <c r="N42" s="134">
        <f>IF(分析!O150&lt;&gt;"",分析!O150,"")</f>
        <v>1.0386190754827385</v>
      </c>
      <c r="O42" s="135">
        <f>IF(分析!X150&lt;&gt;"",分析!X150,"")</f>
        <v>-157.15557696057658</v>
      </c>
      <c r="P42" s="136">
        <f>IF(分析!L150&lt;&gt;"",分析!L150,"")</f>
        <v>-14.456559971860711</v>
      </c>
      <c r="Q42" s="133">
        <f>IF(分析!S150&lt;&gt;"",分析!S150,"")</f>
        <v>23347</v>
      </c>
      <c r="R42" s="133">
        <f>IF(分析!R150&lt;&gt;"",分析!R150,"")</f>
        <v>26266</v>
      </c>
      <c r="S42" s="128" t="str">
        <f>IF(分析!AA150&lt;&gt;"",分析!AA150,"")</f>
        <v>下落▼</v>
      </c>
      <c r="T42" s="137">
        <f>IF(分析!Z150&lt;&gt;"",分析!Z150,"")</f>
        <v>-4.6274509803921564</v>
      </c>
      <c r="U42" s="128" t="str">
        <f>IF(分析!V150&lt;&gt;"",分析!V150,"")</f>
        <v>通常</v>
      </c>
      <c r="V42" s="138">
        <f>IF(分析!W150&lt;&gt;"",分析!W150,"")</f>
        <v>50.985027580772261</v>
      </c>
      <c r="W42" s="139" t="str">
        <f>IF(分析!AD150&lt;&gt;"",分析!AD150,"")</f>
        <v>パーフェクト▲</v>
      </c>
      <c r="X42" s="140" t="str">
        <f>IF(分析!AE150&lt;&gt;"",分析!AE150,"")</f>
        <v>なし</v>
      </c>
      <c r="Y42" s="141">
        <f>IF(分析!T150&lt;&gt;"",分析!T150,"")</f>
        <v>3</v>
      </c>
      <c r="Z42" s="142" t="str">
        <f>IF(分析!Y150&lt;&gt;"",分析!Y150,"")</f>
        <v>様子見</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899</v>
      </c>
      <c r="F43" s="148">
        <f>IF(分析!F25&lt;&gt;"",分析!F25,"")</f>
        <v>881</v>
      </c>
      <c r="G43" s="148">
        <f>IF(分析!H25&lt;&gt;"",分析!H25,"")</f>
        <v>904</v>
      </c>
      <c r="H43" s="148">
        <f>IF(分析!I25&lt;&gt;"",分析!I25,"")</f>
        <v>869</v>
      </c>
      <c r="I43" s="148">
        <f>IF(分析!J25&lt;&gt;"",分析!J25,"")</f>
        <v>149700</v>
      </c>
      <c r="J43" s="148">
        <f>IF(分析!AB25&lt;&gt;"",分析!AB25,"")</f>
        <v>1654.0549898167003</v>
      </c>
      <c r="K43" s="148">
        <f>IF(分析!AC25&lt;&gt;"",分析!AC25,"")</f>
        <v>1673.0250297973771</v>
      </c>
      <c r="L43" s="148">
        <f>IF(分析!K25&lt;&gt;"",分析!K25,"")</f>
        <v>1620</v>
      </c>
      <c r="M43" s="143" t="str">
        <f>IF(分析!P25&lt;&gt;"",分析!P25,"")</f>
        <v>減少↓</v>
      </c>
      <c r="N43" s="149">
        <f>IF(分析!O25&lt;&gt;"",分析!O25,"")</f>
        <v>0.58389890007020828</v>
      </c>
      <c r="O43" s="150">
        <f>IF(分析!X25&lt;&gt;"",分析!X25,"")</f>
        <v>-5.7821436958306549E-2</v>
      </c>
      <c r="P43" s="151">
        <f>IF(分析!L25&lt;&gt;"",分析!L25,"")</f>
        <v>-44.506172839506178</v>
      </c>
      <c r="Q43" s="148">
        <f>IF(分析!S25&lt;&gt;"",分析!S25,"")</f>
        <v>863</v>
      </c>
      <c r="R43" s="148">
        <f>IF(分析!R25&lt;&gt;"",分析!R25,"")</f>
        <v>971</v>
      </c>
      <c r="S43" s="143" t="str">
        <f>IF(分析!AA25&lt;&gt;"",分析!AA25,"")</f>
        <v>上昇▲</v>
      </c>
      <c r="T43" s="152">
        <f>IF(分析!Z25&lt;&gt;"",分析!Z25,"")</f>
        <v>0.67189249720044786</v>
      </c>
      <c r="U43" s="143" t="str">
        <f>IF(分析!V25&lt;&gt;"",分析!V25,"")</f>
        <v>通常</v>
      </c>
      <c r="V43" s="153">
        <f>IF(分析!W25&lt;&gt;"",分析!W25,"")</f>
        <v>51.239251390996458</v>
      </c>
      <c r="W43" s="154" t="str">
        <f>IF(分析!AD25&lt;&gt;"",分析!AD25,"")</f>
        <v>下降トレンド▼</v>
      </c>
      <c r="X43" s="155" t="str">
        <f>IF(分析!AE25&lt;&gt;"",分析!AE25,"")</f>
        <v>なし</v>
      </c>
      <c r="Y43" s="156">
        <f>IF(分析!T25&lt;&gt;"",分析!T25,"")</f>
        <v>0</v>
      </c>
      <c r="Z43" s="142" t="str">
        <f>IF(分析!Y25&lt;&gt;"",分析!Y25,"")</f>
        <v>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4250</v>
      </c>
      <c r="F44" s="133">
        <f>IF(分析!F120&lt;&gt;"",分析!F120,"")</f>
        <v>4188</v>
      </c>
      <c r="G44" s="133">
        <f>IF(分析!H120&lt;&gt;"",分析!H120,"")</f>
        <v>4302</v>
      </c>
      <c r="H44" s="133">
        <f>IF(分析!I120&lt;&gt;"",分析!I120,"")</f>
        <v>4170</v>
      </c>
      <c r="I44" s="133">
        <f>IF(分析!J120&lt;&gt;"",分析!J120,"")</f>
        <v>383400</v>
      </c>
      <c r="J44" s="133">
        <f>IF(分析!AB120&lt;&gt;"",分析!AB120,"")</f>
        <v>2555.576374745418</v>
      </c>
      <c r="K44" s="133">
        <f>IF(分析!AC120&lt;&gt;"",分析!AC120,"")</f>
        <v>2539.1781883194262</v>
      </c>
      <c r="L44" s="133">
        <f>IF(分析!K120&lt;&gt;"",分析!K120,"")</f>
        <v>4404</v>
      </c>
      <c r="M44" s="128" t="str">
        <f>IF(分析!P120&lt;&gt;"",分析!P120,"")</f>
        <v>普通→</v>
      </c>
      <c r="N44" s="134">
        <f>IF(分析!O120&lt;&gt;"",分析!O120,"")</f>
        <v>1.3186132893107718</v>
      </c>
      <c r="O44" s="135">
        <f>IF(分析!X120&lt;&gt;"",分析!X120,"")</f>
        <v>11.794247708357034</v>
      </c>
      <c r="P44" s="136">
        <f>IF(分析!L120&lt;&gt;"",分析!L120,"")</f>
        <v>-3.4968210717529522</v>
      </c>
      <c r="Q44" s="133">
        <f>IF(分析!S120&lt;&gt;"",分析!S120,"")</f>
        <v>4080</v>
      </c>
      <c r="R44" s="133">
        <f>IF(分析!R120&lt;&gt;"",分析!R120,"")</f>
        <v>4590</v>
      </c>
      <c r="S44" s="128" t="str">
        <f>IF(分析!AA120&lt;&gt;"",分析!AA120,"")</f>
        <v>上昇▲</v>
      </c>
      <c r="T44" s="137">
        <f>IF(分析!Z120&lt;&gt;"",分析!Z120,"")</f>
        <v>0.25949516395376265</v>
      </c>
      <c r="U44" s="128" t="str">
        <f>IF(分析!V120&lt;&gt;"",分析!V120,"")</f>
        <v>高値圏</v>
      </c>
      <c r="V44" s="138">
        <f>IF(分析!W120&lt;&gt;"",分析!W120,"")</f>
        <v>64.887640449438209</v>
      </c>
      <c r="W44" s="139" t="str">
        <f>IF(分析!AD120&lt;&gt;"",分析!AD120,"")</f>
        <v>パーフェクト▲</v>
      </c>
      <c r="X44" s="140" t="str">
        <f>IF(分析!AE120&lt;&gt;"",分析!AE120,"")</f>
        <v>なし</v>
      </c>
      <c r="Y44" s="141">
        <f>IF(分析!T120&lt;&gt;"",分析!T120,"")</f>
        <v>10</v>
      </c>
      <c r="Z44" s="142" t="str">
        <f>IF(分析!Y120&lt;&gt;"",分析!Y120,"")</f>
        <v>○買い候補</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6781</v>
      </c>
      <c r="F45" s="133">
        <f>IF(分析!F50&lt;&gt;"",分析!F50,"")</f>
        <v>6700</v>
      </c>
      <c r="G45" s="133">
        <f>IF(分析!H50&lt;&gt;"",分析!H50,"")</f>
        <v>6823</v>
      </c>
      <c r="H45" s="133">
        <f>IF(分析!I50&lt;&gt;"",分析!I50,"")</f>
        <v>6681</v>
      </c>
      <c r="I45" s="133">
        <f>IF(分析!J50&lt;&gt;"",分析!J50,"")</f>
        <v>10686000</v>
      </c>
      <c r="J45" s="133">
        <f>IF(分析!AB50&lt;&gt;"",分析!AB50,"")</f>
        <v>7861.2932790224004</v>
      </c>
      <c r="K45" s="133">
        <f>IF(分析!AC50&lt;&gt;"",分析!AC50,"")</f>
        <v>7908.5578069129879</v>
      </c>
      <c r="L45" s="133">
        <f>IF(分析!K50&lt;&gt;"",分析!K50,"")</f>
        <v>7260</v>
      </c>
      <c r="M45" s="128" t="str">
        <f>IF(分析!P50&lt;&gt;"",分析!P50,"")</f>
        <v>減少↓</v>
      </c>
      <c r="N45" s="134">
        <f>IF(分析!O50&lt;&gt;"",分析!O50,"")</f>
        <v>0.74868842902943744</v>
      </c>
      <c r="O45" s="135">
        <f>IF(分析!X50&lt;&gt;"",分析!X50,"")</f>
        <v>-15.823542523252399</v>
      </c>
      <c r="P45" s="136">
        <f>IF(分析!L50&lt;&gt;"",分析!L50,"")</f>
        <v>-6.5977961432506893</v>
      </c>
      <c r="Q45" s="133">
        <f>IF(分析!S50&lt;&gt;"",分析!S50,"")</f>
        <v>6510</v>
      </c>
      <c r="R45" s="133">
        <f>IF(分析!R50&lt;&gt;"",分析!R50,"")</f>
        <v>7323</v>
      </c>
      <c r="S45" s="128" t="str">
        <f>IF(分析!AA50&lt;&gt;"",分析!AA50,"")</f>
        <v>上昇▲</v>
      </c>
      <c r="T45" s="137">
        <f>IF(分析!Z50&lt;&gt;"",分析!Z50,"")</f>
        <v>1.7251725172517254</v>
      </c>
      <c r="U45" s="128" t="str">
        <f>IF(分析!V50&lt;&gt;"",分析!V50,"")</f>
        <v>通常</v>
      </c>
      <c r="V45" s="138">
        <f>IF(分析!W50&lt;&gt;"",分析!W50,"")</f>
        <v>38.907849829351534</v>
      </c>
      <c r="W45" s="139" t="str">
        <f>IF(分析!AD50&lt;&gt;"",分析!AD50,"")</f>
        <v>下降トレンド▼</v>
      </c>
      <c r="X45" s="140" t="str">
        <f>IF(分析!AE50&lt;&gt;"",分析!AE50,"")</f>
        <v>なし</v>
      </c>
      <c r="Y45" s="141">
        <f>IF(分析!T50&lt;&gt;"",分析!T50,"")</f>
        <v>4</v>
      </c>
      <c r="Z45" s="142" t="str">
        <f>IF(分析!Y50&lt;&gt;"",分析!Y50,"")</f>
        <v>様子見</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2215.5</v>
      </c>
      <c r="F46" s="133">
        <f>IF(分析!F28&lt;&gt;"",分析!F28,"")</f>
        <v>2204.5</v>
      </c>
      <c r="G46" s="133">
        <f>IF(分析!H28&lt;&gt;"",分析!H28,"")</f>
        <v>2227.5</v>
      </c>
      <c r="H46" s="133">
        <f>IF(分析!I28&lt;&gt;"",分析!I28,"")</f>
        <v>2193.5</v>
      </c>
      <c r="I46" s="133">
        <f>IF(分析!J28&lt;&gt;"",分析!J28,"")</f>
        <v>552000</v>
      </c>
      <c r="J46" s="133">
        <f>IF(分析!AB28&lt;&gt;"",分析!AB28,"")</f>
        <v>4266.858452138491</v>
      </c>
      <c r="K46" s="133">
        <f>IF(分析!AC28&lt;&gt;"",分析!AC28,"")</f>
        <v>4162.4076281287225</v>
      </c>
      <c r="L46" s="133">
        <f>IF(分析!K28&lt;&gt;"",分析!K28,"")</f>
        <v>2274</v>
      </c>
      <c r="M46" s="128" t="str">
        <f>IF(分析!P28&lt;&gt;"",分析!P28,"")</f>
        <v>普通→</v>
      </c>
      <c r="N46" s="134">
        <f>IF(分析!O28&lt;&gt;"",分析!O28,"")</f>
        <v>1.0835001766576375</v>
      </c>
      <c r="O46" s="135">
        <f>IF(分析!X28&lt;&gt;"",分析!X28,"")</f>
        <v>17.963000370166355</v>
      </c>
      <c r="P46" s="136">
        <f>IF(分析!L28&lt;&gt;"",分析!L28,"")</f>
        <v>-2.5725593667546174</v>
      </c>
      <c r="Q46" s="133">
        <f>IF(分析!S28&lt;&gt;"",分析!S28,"")</f>
        <v>2127</v>
      </c>
      <c r="R46" s="133">
        <f>IF(分析!R28&lt;&gt;"",分析!R28,"")</f>
        <v>2393</v>
      </c>
      <c r="S46" s="128" t="str">
        <f>IF(分析!AA28&lt;&gt;"",分析!AA28,"")</f>
        <v>上昇▲</v>
      </c>
      <c r="T46" s="137">
        <f>IF(分析!Z28&lt;&gt;"",分析!Z28,"")</f>
        <v>0.88797814207650272</v>
      </c>
      <c r="U46" s="128" t="str">
        <f>IF(分析!V28&lt;&gt;"",分析!V28,"")</f>
        <v>高値圏</v>
      </c>
      <c r="V46" s="138">
        <f>IF(分析!W28&lt;&gt;"",分析!W28,"")</f>
        <v>59.937888198757761</v>
      </c>
      <c r="W46" s="139" t="str">
        <f>IF(分析!AD28&lt;&gt;"",分析!AD28,"")</f>
        <v>もみ合い→</v>
      </c>
      <c r="X46" s="140" t="str">
        <f>IF(分析!AE28&lt;&gt;"",分析!AE28,"")</f>
        <v>なし</v>
      </c>
      <c r="Y46" s="141">
        <f>IF(分析!T28&lt;&gt;"",分析!T28,"")</f>
        <v>10</v>
      </c>
      <c r="Z46" s="142" t="str">
        <f>IF(分析!Y28&lt;&gt;"",分析!Y28,"")</f>
        <v>○買い候補</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1480</v>
      </c>
      <c r="F47" s="148">
        <f>IF(分析!F85&lt;&gt;"",分析!F85,"")</f>
        <v>1491</v>
      </c>
      <c r="G47" s="148">
        <f>IF(分析!H85&lt;&gt;"",分析!H85,"")</f>
        <v>1511</v>
      </c>
      <c r="H47" s="148">
        <f>IF(分析!I85&lt;&gt;"",分析!I85,"")</f>
        <v>1460</v>
      </c>
      <c r="I47" s="148">
        <f>IF(分析!J85&lt;&gt;"",分析!J85,"")</f>
        <v>162700</v>
      </c>
      <c r="J47" s="148">
        <f>IF(分析!AB85&lt;&gt;"",分析!AB85,"")</f>
        <v>6912.2627291242361</v>
      </c>
      <c r="K47" s="148">
        <f>IF(分析!AC85&lt;&gt;"",分析!AC85,"")</f>
        <v>6618.4278903456479</v>
      </c>
      <c r="L47" s="148">
        <f>IF(分析!K85&lt;&gt;"",分析!K85,"")</f>
        <v>2496</v>
      </c>
      <c r="M47" s="143" t="str">
        <f>IF(分析!P85&lt;&gt;"",分析!P85,"")</f>
        <v>減少↓</v>
      </c>
      <c r="N47" s="149">
        <f>IF(分析!O85&lt;&gt;"",分析!O85,"")</f>
        <v>0.65859779792746109</v>
      </c>
      <c r="O47" s="150">
        <f>IF(分析!X85&lt;&gt;"",分析!X85,"")</f>
        <v>-15.333829540795477</v>
      </c>
      <c r="P47" s="151">
        <f>IF(分析!L85&lt;&gt;"",分析!L85,"")</f>
        <v>-40.705128205128204</v>
      </c>
      <c r="Q47" s="148">
        <f>IF(分析!S85&lt;&gt;"",分析!S85,"")</f>
        <v>1421</v>
      </c>
      <c r="R47" s="148">
        <f>IF(分析!R85&lt;&gt;"",分析!R85,"")</f>
        <v>1598</v>
      </c>
      <c r="S47" s="143" t="str">
        <f>IF(分析!AA85&lt;&gt;"",分析!AA85,"")</f>
        <v>下落▼</v>
      </c>
      <c r="T47" s="152">
        <f>IF(分析!Z85&lt;&gt;"",分析!Z85,"")</f>
        <v>-2.3746701846965697</v>
      </c>
      <c r="U47" s="143" t="str">
        <f>IF(分析!V85&lt;&gt;"",分析!V85,"")</f>
        <v>通常</v>
      </c>
      <c r="V47" s="153">
        <f>IF(分析!W85&lt;&gt;"",分析!W85,"")</f>
        <v>51.347708894878707</v>
      </c>
      <c r="W47" s="154" t="str">
        <f>IF(分析!AD85&lt;&gt;"",分析!AD85,"")</f>
        <v>もみ合い→</v>
      </c>
      <c r="X47" s="155" t="str">
        <f>IF(分析!AE85&lt;&gt;"",分析!AE85,"")</f>
        <v>なし</v>
      </c>
      <c r="Y47" s="156">
        <f>IF(分析!T85&lt;&gt;"",分析!T85,"")</f>
        <v>-1</v>
      </c>
      <c r="Z47" s="142" t="str">
        <f>IF(分析!Y85&lt;&gt;"",分析!Y85,"")</f>
        <v>見送り</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1825.5</v>
      </c>
      <c r="F48" s="148">
        <f>IF(分析!F41&lt;&gt;"",分析!F41,"")</f>
        <v>1790.5</v>
      </c>
      <c r="G48" s="148">
        <f>IF(分析!H41&lt;&gt;"",分析!H41,"")</f>
        <v>1828.5</v>
      </c>
      <c r="H48" s="148">
        <f>IF(分析!I41&lt;&gt;"",分析!I41,"")</f>
        <v>1790</v>
      </c>
      <c r="I48" s="148">
        <f>IF(分析!J41&lt;&gt;"",分析!J41,"")</f>
        <v>3642300</v>
      </c>
      <c r="J48" s="148">
        <f>IF(分析!AB41&lt;&gt;"",分析!AB41,"")</f>
        <v>1891.7830957230142</v>
      </c>
      <c r="K48" s="148">
        <f>IF(分析!AC41&lt;&gt;"",分析!AC41,"")</f>
        <v>1811.9761620977349</v>
      </c>
      <c r="L48" s="148">
        <f>IF(分析!K41&lt;&gt;"",分析!K41,"")</f>
        <v>1886.5</v>
      </c>
      <c r="M48" s="143" t="str">
        <f>IF(分析!P41&lt;&gt;"",分析!P41,"")</f>
        <v>減少↓</v>
      </c>
      <c r="N48" s="149">
        <f>IF(分析!O41&lt;&gt;"",分析!O41,"")</f>
        <v>0.62831208081477186</v>
      </c>
      <c r="O48" s="150">
        <f>IF(分析!X41&lt;&gt;"",分析!X41,"")</f>
        <v>5.411585183829402</v>
      </c>
      <c r="P48" s="151">
        <f>IF(分析!L41&lt;&gt;"",分析!L41,"")</f>
        <v>-3.2335011926848662</v>
      </c>
      <c r="Q48" s="148">
        <f>IF(分析!S41&lt;&gt;"",分析!S41,"")</f>
        <v>1752</v>
      </c>
      <c r="R48" s="148">
        <f>IF(分析!R41&lt;&gt;"",分析!R41,"")</f>
        <v>1972</v>
      </c>
      <c r="S48" s="143" t="str">
        <f>IF(分析!AA41&lt;&gt;"",分析!AA41,"")</f>
        <v>上昇▲</v>
      </c>
      <c r="T48" s="152">
        <f>IF(分析!Z41&lt;&gt;"",分析!Z41,"")</f>
        <v>0.80066261733848698</v>
      </c>
      <c r="U48" s="143" t="str">
        <f>IF(分析!V41&lt;&gt;"",分析!V41,"")</f>
        <v>高値圏</v>
      </c>
      <c r="V48" s="153">
        <f>IF(分析!W41&lt;&gt;"",分析!W41,"")</f>
        <v>41.666666666666671</v>
      </c>
      <c r="W48" s="154" t="str">
        <f>IF(分析!AD41&lt;&gt;"",分析!AD41,"")</f>
        <v>上昇トレンド▲</v>
      </c>
      <c r="X48" s="155" t="str">
        <f>IF(分析!AE41&lt;&gt;"",分析!AE41,"")</f>
        <v>25日押し目★</v>
      </c>
      <c r="Y48" s="156">
        <f>IF(分析!T41&lt;&gt;"",分析!T41,"")</f>
        <v>11</v>
      </c>
      <c r="Z48" s="142" t="str">
        <f>IF(分析!Y41&lt;&gt;"",分析!Y41,"")</f>
        <v>○買い候補</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3735</v>
      </c>
      <c r="F49" s="133">
        <f>IF(分析!F186&lt;&gt;"",分析!F186,"")</f>
        <v>3736</v>
      </c>
      <c r="G49" s="133">
        <f>IF(分析!H186&lt;&gt;"",分析!H186,"")</f>
        <v>3807</v>
      </c>
      <c r="H49" s="133">
        <f>IF(分析!I186&lt;&gt;"",分析!I186,"")</f>
        <v>3711</v>
      </c>
      <c r="I49" s="133">
        <f>IF(分析!J186&lt;&gt;"",分析!J186,"")</f>
        <v>323900</v>
      </c>
      <c r="J49" s="133">
        <f>IF(分析!AB186&lt;&gt;"",分析!AB186,"")</f>
        <v>625.66792260692444</v>
      </c>
      <c r="K49" s="133">
        <f>IF(分析!AC186&lt;&gt;"",分析!AC186,"")</f>
        <v>625.54815256257416</v>
      </c>
      <c r="L49" s="133">
        <f>IF(分析!K186&lt;&gt;"",分析!K186,"")</f>
        <v>3758</v>
      </c>
      <c r="M49" s="128" t="str">
        <f>IF(分析!P186&lt;&gt;"",分析!P186,"")</f>
        <v>普通→</v>
      </c>
      <c r="N49" s="134">
        <f>IF(分析!O186&lt;&gt;"",分析!O186,"")</f>
        <v>1.0419481438589719</v>
      </c>
      <c r="O49" s="135">
        <f>IF(分析!X186&lt;&gt;"",分析!X186,"")</f>
        <v>34.705676666441832</v>
      </c>
      <c r="P49" s="136">
        <f>IF(分析!L186&lt;&gt;"",分析!L186,"")</f>
        <v>-0.61202767429483762</v>
      </c>
      <c r="Q49" s="133">
        <f>IF(分析!S186&lt;&gt;"",分析!S186,"")</f>
        <v>3586</v>
      </c>
      <c r="R49" s="133">
        <f>IF(分析!R186&lt;&gt;"",分析!R186,"")</f>
        <v>4034</v>
      </c>
      <c r="S49" s="128" t="str">
        <f>IF(分析!AA186&lt;&gt;"",分析!AA186,"")</f>
        <v>下落▼</v>
      </c>
      <c r="T49" s="137">
        <f>IF(分析!Z186&lt;&gt;"",分析!Z186,"")</f>
        <v>-0.34685165421558162</v>
      </c>
      <c r="U49" s="128" t="str">
        <f>IF(分析!V186&lt;&gt;"",分析!V186,"")</f>
        <v>年初来高値更新●</v>
      </c>
      <c r="V49" s="138">
        <f>IF(分析!W186&lt;&gt;"",分析!W186,"")</f>
        <v>71.120689655172413</v>
      </c>
      <c r="W49" s="139" t="str">
        <f>IF(分析!AD186&lt;&gt;"",分析!AD186,"")</f>
        <v>パーフェクト▲</v>
      </c>
      <c r="X49" s="140" t="str">
        <f>IF(分析!AE186&lt;&gt;"",分析!AE186,"")</f>
        <v>なし</v>
      </c>
      <c r="Y49" s="141">
        <f>IF(分析!T186&lt;&gt;"",分析!T186,"")</f>
        <v>12</v>
      </c>
      <c r="Z49" s="142" t="str">
        <f>IF(分析!Y186&lt;&gt;"",分析!Y186,"")</f>
        <v>★強い買い</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1813.5</v>
      </c>
      <c r="F50" s="133">
        <f>IF(分析!F64&lt;&gt;"",分析!F64,"")</f>
        <v>1768</v>
      </c>
      <c r="G50" s="133">
        <f>IF(分析!H64&lt;&gt;"",分析!H64,"")</f>
        <v>1814.5</v>
      </c>
      <c r="H50" s="133">
        <f>IF(分析!I64&lt;&gt;"",分析!I64,"")</f>
        <v>1768</v>
      </c>
      <c r="I50" s="133">
        <f>IF(分析!J64&lt;&gt;"",分析!J64,"")</f>
        <v>248900</v>
      </c>
      <c r="J50" s="133">
        <f>IF(分析!AB64&lt;&gt;"",分析!AB64,"")</f>
        <v>6048.2545824847248</v>
      </c>
      <c r="K50" s="133">
        <f>IF(分析!AC64&lt;&gt;"",分析!AC64,"")</f>
        <v>6424.5780691299169</v>
      </c>
      <c r="L50" s="133">
        <f>IF(分析!K64&lt;&gt;"",分析!K64,"")</f>
        <v>1862.5</v>
      </c>
      <c r="M50" s="128" t="str">
        <f>IF(分析!P64&lt;&gt;"",分析!P64,"")</f>
        <v>普通→</v>
      </c>
      <c r="N50" s="134">
        <f>IF(分析!O64&lt;&gt;"",分析!O64,"")</f>
        <v>1.1216764308246958</v>
      </c>
      <c r="O50" s="135">
        <f>IF(分析!X64&lt;&gt;"",分析!X64,"")</f>
        <v>4.7116988206453243</v>
      </c>
      <c r="P50" s="136">
        <f>IF(分析!L64&lt;&gt;"",分析!L64,"")</f>
        <v>-2.6308724832214763</v>
      </c>
      <c r="Q50" s="133">
        <f>IF(分析!S64&lt;&gt;"",分析!S64,"")</f>
        <v>1741</v>
      </c>
      <c r="R50" s="133">
        <f>IF(分析!R64&lt;&gt;"",分析!R64,"")</f>
        <v>1959</v>
      </c>
      <c r="S50" s="128" t="str">
        <f>IF(分析!AA64&lt;&gt;"",分析!AA64,"")</f>
        <v>上昇▲</v>
      </c>
      <c r="T50" s="137">
        <f>IF(分析!Z64&lt;&gt;"",分析!Z64,"")</f>
        <v>2.1402421852999156</v>
      </c>
      <c r="U50" s="128" t="str">
        <f>IF(分析!V64&lt;&gt;"",分析!V64,"")</f>
        <v>高値圏</v>
      </c>
      <c r="V50" s="138">
        <f>IF(分析!W64&lt;&gt;"",分析!W64,"")</f>
        <v>47.010309278350512</v>
      </c>
      <c r="W50" s="139" t="str">
        <f>IF(分析!AD64&lt;&gt;"",分析!AD64,"")</f>
        <v>下降トレンド▼</v>
      </c>
      <c r="X50" s="140" t="str">
        <f>IF(分析!AE64&lt;&gt;"",分析!AE64,"")</f>
        <v>なし</v>
      </c>
      <c r="Y50" s="141">
        <f>IF(分析!T64&lt;&gt;"",分析!T64,"")</f>
        <v>10</v>
      </c>
      <c r="Z50" s="142" t="str">
        <f>IF(分析!Y64&lt;&gt;"",分析!Y64,"")</f>
        <v>○買い候補</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1459</v>
      </c>
      <c r="F51" s="148">
        <f>IF(分析!F111&lt;&gt;"",分析!F111,"")</f>
        <v>1451</v>
      </c>
      <c r="G51" s="148">
        <f>IF(分析!H111&lt;&gt;"",分析!H111,"")</f>
        <v>1502</v>
      </c>
      <c r="H51" s="148">
        <f>IF(分析!I111&lt;&gt;"",分析!I111,"")</f>
        <v>1416</v>
      </c>
      <c r="I51" s="148">
        <f>IF(分析!J111&lt;&gt;"",分析!J111,"")</f>
        <v>424400</v>
      </c>
      <c r="J51" s="148">
        <f>IF(分析!AB111&lt;&gt;"",分析!AB111,"")</f>
        <v>4182.5325865580444</v>
      </c>
      <c r="K51" s="148">
        <f>IF(分析!AC111&lt;&gt;"",分析!AC111,"")</f>
        <v>4066.9678188319399</v>
      </c>
      <c r="L51" s="148">
        <f>IF(分析!K111&lt;&gt;"",分析!K111,"")</f>
        <v>2030</v>
      </c>
      <c r="M51" s="143" t="str">
        <f>IF(分析!P111&lt;&gt;"",分析!P111,"")</f>
        <v>増加↑</v>
      </c>
      <c r="N51" s="149">
        <f>IF(分析!O111&lt;&gt;"",分析!O111,"")</f>
        <v>1.5532132923437272</v>
      </c>
      <c r="O51" s="150">
        <f>IF(分析!X111&lt;&gt;"",分析!X111,"")</f>
        <v>-24.692792520268995</v>
      </c>
      <c r="P51" s="151">
        <f>IF(分析!L111&lt;&gt;"",分析!L111,"")</f>
        <v>-28.128078817733993</v>
      </c>
      <c r="Q51" s="148">
        <f>IF(分析!S111&lt;&gt;"",分析!S111,"")</f>
        <v>1401</v>
      </c>
      <c r="R51" s="148">
        <f>IF(分析!R111&lt;&gt;"",分析!R111,"")</f>
        <v>1576</v>
      </c>
      <c r="S51" s="143" t="str">
        <f>IF(分析!AA111&lt;&gt;"",分析!AA111,"")</f>
        <v>下落▼</v>
      </c>
      <c r="T51" s="152">
        <f>IF(分析!Z111&lt;&gt;"",分析!Z111,"")</f>
        <v>-1.0847457627118644</v>
      </c>
      <c r="U51" s="143" t="str">
        <f>IF(分析!V111&lt;&gt;"",分析!V111,"")</f>
        <v>通常</v>
      </c>
      <c r="V51" s="153">
        <f>IF(分析!W111&lt;&gt;"",分析!W111,"")</f>
        <v>35.489220563847425</v>
      </c>
      <c r="W51" s="154" t="str">
        <f>IF(分析!AD111&lt;&gt;"",分析!AD111,"")</f>
        <v>もみ合い→</v>
      </c>
      <c r="X51" s="155" t="str">
        <f>IF(分析!AE111&lt;&gt;"",分析!AE111,"")</f>
        <v>なし</v>
      </c>
      <c r="Y51" s="156">
        <f>IF(分析!T111&lt;&gt;"",分析!T111,"")</f>
        <v>3</v>
      </c>
      <c r="Z51" s="142" t="str">
        <f>IF(分析!Y111&lt;&gt;"",分析!Y111,"")</f>
        <v>様子見</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7030</v>
      </c>
      <c r="F52" s="148">
        <f>IF(分析!F189&lt;&gt;"",分析!F189,"")</f>
        <v>6943</v>
      </c>
      <c r="G52" s="148">
        <f>IF(分析!H189&lt;&gt;"",分析!H189,"")</f>
        <v>7063</v>
      </c>
      <c r="H52" s="148">
        <f>IF(分析!I189&lt;&gt;"",分析!I189,"")</f>
        <v>6893</v>
      </c>
      <c r="I52" s="148">
        <f>IF(分析!J189&lt;&gt;"",分析!J189,"")</f>
        <v>4858200</v>
      </c>
      <c r="J52" s="148">
        <f>IF(分析!AB189&lt;&gt;"",分析!AB189,"")</f>
        <v>1587.591649694501</v>
      </c>
      <c r="K52" s="148">
        <f>IF(分析!AC189&lt;&gt;"",分析!AC189,"")</f>
        <v>1565.9702026221682</v>
      </c>
      <c r="L52" s="148">
        <f>IF(分析!K189&lt;&gt;"",分析!K189,"")</f>
        <v>7218</v>
      </c>
      <c r="M52" s="143" t="str">
        <f>IF(分析!P189&lt;&gt;"",分析!P189,"")</f>
        <v>減少↓</v>
      </c>
      <c r="N52" s="149">
        <f>IF(分析!O189&lt;&gt;"",分析!O189,"")</f>
        <v>0.75365331513139522</v>
      </c>
      <c r="O52" s="150">
        <f>IF(分析!X189&lt;&gt;"",分析!X189,"")</f>
        <v>105.01814805822414</v>
      </c>
      <c r="P52" s="151">
        <f>IF(分析!L189&lt;&gt;"",分析!L189,"")</f>
        <v>-2.6045996120809085</v>
      </c>
      <c r="Q52" s="148">
        <f>IF(分析!S189&lt;&gt;"",分析!S189,"")</f>
        <v>6749</v>
      </c>
      <c r="R52" s="148">
        <f>IF(分析!R189&lt;&gt;"",分析!R189,"")</f>
        <v>7592</v>
      </c>
      <c r="S52" s="143" t="str">
        <f>IF(分析!AA189&lt;&gt;"",分析!AA189,"")</f>
        <v>上昇▲</v>
      </c>
      <c r="T52" s="152">
        <f>IF(分析!Z189&lt;&gt;"",分析!Z189,"")</f>
        <v>3.0036630036630036</v>
      </c>
      <c r="U52" s="143" t="str">
        <f>IF(分析!V189&lt;&gt;"",分析!V189,"")</f>
        <v>高値圏</v>
      </c>
      <c r="V52" s="153">
        <f>IF(分析!W189&lt;&gt;"",分析!W189,"")</f>
        <v>70.347182697780312</v>
      </c>
      <c r="W52" s="154" t="str">
        <f>IF(分析!AD189&lt;&gt;"",分析!AD189,"")</f>
        <v>パーフェクト▲</v>
      </c>
      <c r="X52" s="155" t="str">
        <f>IF(分析!AE189&lt;&gt;"",分析!AE189,"")</f>
        <v>なし</v>
      </c>
      <c r="Y52" s="156">
        <f>IF(分析!T189&lt;&gt;"",分析!T189,"")</f>
        <v>11</v>
      </c>
      <c r="Z52" s="142" t="str">
        <f>IF(分析!Y189&lt;&gt;"",分析!Y189,"")</f>
        <v>○買い候補</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23790</v>
      </c>
      <c r="F53" s="133">
        <f>IF(分析!F86&lt;&gt;"",分析!F86,"")</f>
        <v>24350</v>
      </c>
      <c r="G53" s="133">
        <f>IF(分析!H86&lt;&gt;"",分析!H86,"")</f>
        <v>24780</v>
      </c>
      <c r="H53" s="133">
        <f>IF(分析!I86&lt;&gt;"",分析!I86,"")</f>
        <v>22680</v>
      </c>
      <c r="I53" s="133">
        <f>IF(分析!J86&lt;&gt;"",分析!J86,"")</f>
        <v>592100</v>
      </c>
      <c r="J53" s="133">
        <f>IF(分析!AB86&lt;&gt;"",分析!AB86,"")</f>
        <v>1734.1048879837067</v>
      </c>
      <c r="K53" s="133">
        <f>IF(分析!AC86&lt;&gt;"",分析!AC86,"")</f>
        <v>1769.9606674612628</v>
      </c>
      <c r="L53" s="133">
        <f>IF(分析!K86&lt;&gt;"",分析!K86,"")</f>
        <v>45300</v>
      </c>
      <c r="M53" s="128" t="str">
        <f>IF(分析!P86&lt;&gt;"",分析!P86,"")</f>
        <v>普通→</v>
      </c>
      <c r="N53" s="134">
        <f>IF(分析!O86&lt;&gt;"",分析!O86,"")</f>
        <v>1.1157382980327128</v>
      </c>
      <c r="O53" s="135">
        <f>IF(分析!X86&lt;&gt;"",分析!X86,"")</f>
        <v>-537.04412929520549</v>
      </c>
      <c r="P53" s="136">
        <f>IF(分析!L86&lt;&gt;"",分析!L86,"")</f>
        <v>-47.483443708609272</v>
      </c>
      <c r="Q53" s="133">
        <f>IF(分析!S86&lt;&gt;"",分析!S86,"")</f>
        <v>22838</v>
      </c>
      <c r="R53" s="133">
        <f>IF(分析!R86&lt;&gt;"",分析!R86,"")</f>
        <v>25693</v>
      </c>
      <c r="S53" s="128" t="str">
        <f>IF(分析!AA86&lt;&gt;"",分析!AA86,"")</f>
        <v>下落▼</v>
      </c>
      <c r="T53" s="137">
        <f>IF(分析!Z86&lt;&gt;"",分析!Z86,"")</f>
        <v>-4.07258064516129</v>
      </c>
      <c r="U53" s="128" t="str">
        <f>IF(分析!V86&lt;&gt;"",分析!V86,"")</f>
        <v>通常</v>
      </c>
      <c r="V53" s="138">
        <f>IF(分析!W86&lt;&gt;"",分析!W86,"")</f>
        <v>44.196185286103542</v>
      </c>
      <c r="W53" s="139" t="str">
        <f>IF(分析!AD86&lt;&gt;"",分析!AD86,"")</f>
        <v>上昇トレンド▲</v>
      </c>
      <c r="X53" s="140" t="str">
        <f>IF(分析!AE86&lt;&gt;"",分析!AE86,"")</f>
        <v>なし</v>
      </c>
      <c r="Y53" s="141">
        <f>IF(分析!T86&lt;&gt;"",分析!T86,"")</f>
        <v>2</v>
      </c>
      <c r="Z53" s="142" t="str">
        <f>IF(分析!Y86&lt;&gt;"",分析!Y86,"")</f>
        <v>見送り</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4457</v>
      </c>
      <c r="F54" s="133">
        <f>IF(分析!F130&lt;&gt;"",分析!F130,"")</f>
        <v>4380</v>
      </c>
      <c r="G54" s="133">
        <f>IF(分析!H130&lt;&gt;"",分析!H130,"")</f>
        <v>4543</v>
      </c>
      <c r="H54" s="133">
        <f>IF(分析!I130&lt;&gt;"",分析!I130,"")</f>
        <v>4345</v>
      </c>
      <c r="I54" s="133">
        <f>IF(分析!J130&lt;&gt;"",分析!J130,"")</f>
        <v>1388100</v>
      </c>
      <c r="J54" s="133">
        <f>IF(分析!AB130&lt;&gt;"",分析!AB130,"")</f>
        <v>6926.3340122199579</v>
      </c>
      <c r="K54" s="133">
        <f>IF(分析!AC130&lt;&gt;"",分析!AC130,"")</f>
        <v>6440.0715137067918</v>
      </c>
      <c r="L54" s="133">
        <f>IF(分析!K130&lt;&gt;"",分析!K130,"")</f>
        <v>6126</v>
      </c>
      <c r="M54" s="128" t="str">
        <f>IF(分析!P130&lt;&gt;"",分析!P130,"")</f>
        <v>普通→</v>
      </c>
      <c r="N54" s="134">
        <f>IF(分析!O130&lt;&gt;"",分析!O130,"")</f>
        <v>1.0483188834848804</v>
      </c>
      <c r="O54" s="135">
        <f>IF(分析!X130&lt;&gt;"",分析!X130,"")</f>
        <v>9.9006643076900218</v>
      </c>
      <c r="P54" s="136">
        <f>IF(分析!L130&lt;&gt;"",分析!L130,"")</f>
        <v>-27.244531505060397</v>
      </c>
      <c r="Q54" s="133">
        <f>IF(分析!S130&lt;&gt;"",分析!S130,"")</f>
        <v>4279</v>
      </c>
      <c r="R54" s="133">
        <f>IF(分析!R130&lt;&gt;"",分析!R130,"")</f>
        <v>4814</v>
      </c>
      <c r="S54" s="128" t="str">
        <f>IF(分析!AA130&lt;&gt;"",分析!AA130,"")</f>
        <v>上昇▲</v>
      </c>
      <c r="T54" s="137">
        <f>IF(分析!Z130&lt;&gt;"",分析!Z130,"")</f>
        <v>1.711547238703788</v>
      </c>
      <c r="U54" s="128" t="str">
        <f>IF(分析!V130&lt;&gt;"",分析!V130,"")</f>
        <v>通常</v>
      </c>
      <c r="V54" s="138">
        <f>IF(分析!W130&lt;&gt;"",分析!W130,"")</f>
        <v>54.38047559449312</v>
      </c>
      <c r="W54" s="139" t="str">
        <f>IF(分析!AD130&lt;&gt;"",分析!AD130,"")</f>
        <v>もみ合い→</v>
      </c>
      <c r="X54" s="140" t="str">
        <f>IF(分析!AE130&lt;&gt;"",分析!AE130,"")</f>
        <v>なし</v>
      </c>
      <c r="Y54" s="141">
        <f>IF(分析!T130&lt;&gt;"",分析!T130,"")</f>
        <v>5</v>
      </c>
      <c r="Z54" s="142" t="str">
        <f>IF(分析!Y130&lt;&gt;"",分析!Y130,"")</f>
        <v>様子見</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1605</v>
      </c>
      <c r="F55" s="133">
        <f>IF(分析!F6&lt;&gt;"",分析!F6,"")</f>
        <v>1587</v>
      </c>
      <c r="G55" s="133">
        <f>IF(分析!H6&lt;&gt;"",分析!H6,"")</f>
        <v>1605</v>
      </c>
      <c r="H55" s="133">
        <f>IF(分析!I6&lt;&gt;"",分析!I6,"")</f>
        <v>1581</v>
      </c>
      <c r="I55" s="133">
        <f>IF(分析!J6&lt;&gt;"",分析!J6,"")</f>
        <v>27500</v>
      </c>
      <c r="J55" s="133">
        <f>IF(分析!AB6&lt;&gt;"",分析!AB6,"")</f>
        <v>8447.5957230142558</v>
      </c>
      <c r="K55" s="133">
        <f>IF(分析!AC6&lt;&gt;"",分析!AC6,"")</f>
        <v>7815.4922526817591</v>
      </c>
      <c r="L55" s="133">
        <f>IF(分析!K6&lt;&gt;"",分析!K6,"")</f>
        <v>1787</v>
      </c>
      <c r="M55" s="128" t="str">
        <f>IF(分析!P6&lt;&gt;"",分析!P6,"")</f>
        <v>普通→</v>
      </c>
      <c r="N55" s="134">
        <f>IF(分析!O6&lt;&gt;"",分析!O6,"")</f>
        <v>1.1682242990654206</v>
      </c>
      <c r="O55" s="135">
        <f>IF(分析!X6&lt;&gt;"",分析!X6,"")</f>
        <v>7.0993317120360189</v>
      </c>
      <c r="P55" s="136">
        <f>IF(分析!L6&lt;&gt;"",分析!L6,"")</f>
        <v>-10.184667039731393</v>
      </c>
      <c r="Q55" s="133">
        <f>IF(分析!S6&lt;&gt;"",分析!S6,"")</f>
        <v>1541</v>
      </c>
      <c r="R55" s="133">
        <f>IF(分析!R6&lt;&gt;"",分析!R6,"")</f>
        <v>1733</v>
      </c>
      <c r="S55" s="128" t="str">
        <f>IF(分析!AA6&lt;&gt;"",分析!AA6,"")</f>
        <v>上昇▲</v>
      </c>
      <c r="T55" s="137">
        <f>IF(分析!Z6&lt;&gt;"",分析!Z6,"")</f>
        <v>1.1342155009451798</v>
      </c>
      <c r="U55" s="128" t="str">
        <f>IF(分析!V6&lt;&gt;"",分析!V6,"")</f>
        <v>通常</v>
      </c>
      <c r="V55" s="138">
        <f>IF(分析!W6&lt;&gt;"",分析!W6,"")</f>
        <v>59.76331360946746</v>
      </c>
      <c r="W55" s="139" t="str">
        <f>IF(分析!AD6&lt;&gt;"",分析!AD6,"")</f>
        <v>もみ合い→</v>
      </c>
      <c r="X55" s="140" t="str">
        <f>IF(分析!AE6&lt;&gt;"",分析!AE6,"")</f>
        <v>なし</v>
      </c>
      <c r="Y55" s="141">
        <f>IF(分析!T6&lt;&gt;"",分析!T6,"")</f>
        <v>5</v>
      </c>
      <c r="Z55" s="142" t="str">
        <f>IF(分析!Y6&lt;&gt;"",分析!Y6,"")</f>
        <v>様子見</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5500</v>
      </c>
      <c r="F56" s="133">
        <f>IF(分析!F100&lt;&gt;"",分析!F100,"")</f>
        <v>5425</v>
      </c>
      <c r="G56" s="133">
        <f>IF(分析!H100&lt;&gt;"",分析!H100,"")</f>
        <v>5595</v>
      </c>
      <c r="H56" s="133">
        <f>IF(分析!I100&lt;&gt;"",分析!I100,"")</f>
        <v>5424</v>
      </c>
      <c r="I56" s="133">
        <f>IF(分析!J100&lt;&gt;"",分析!J100,"")</f>
        <v>11584500</v>
      </c>
      <c r="J56" s="133">
        <f>IF(分析!AB100&lt;&gt;"",分析!AB100,"")</f>
        <v>1268.0789205702645</v>
      </c>
      <c r="K56" s="133">
        <f>IF(分析!AC100&lt;&gt;"",分析!AC100,"")</f>
        <v>398.78545887961849</v>
      </c>
      <c r="L56" s="133">
        <f>IF(分析!K100&lt;&gt;"",分析!K100,"")</f>
        <v>6039</v>
      </c>
      <c r="M56" s="128" t="str">
        <f>IF(分析!P100&lt;&gt;"",分析!P100,"")</f>
        <v>減少↓</v>
      </c>
      <c r="N56" s="134">
        <f>IF(分析!O100&lt;&gt;"",分析!O100,"")</f>
        <v>0.77368644611143167</v>
      </c>
      <c r="O56" s="135">
        <f>IF(分析!X100&lt;&gt;"",分析!X100,"")</f>
        <v>89.453132276440556</v>
      </c>
      <c r="P56" s="136">
        <f>IF(分析!L100&lt;&gt;"",分析!L100,"")</f>
        <v>-8.9253187613843341</v>
      </c>
      <c r="Q56" s="133">
        <f>IF(分析!S100&lt;&gt;"",分析!S100,"")</f>
        <v>5280</v>
      </c>
      <c r="R56" s="133">
        <f>IF(分析!R100&lt;&gt;"",分析!R100,"")</f>
        <v>5940</v>
      </c>
      <c r="S56" s="128" t="str">
        <f>IF(分析!AA100&lt;&gt;"",分析!AA100,"")</f>
        <v>上昇▲</v>
      </c>
      <c r="T56" s="137">
        <f>IF(分析!Z100&lt;&gt;"",分析!Z100,"")</f>
        <v>0.43827611395178961</v>
      </c>
      <c r="U56" s="128" t="str">
        <f>IF(分析!V100&lt;&gt;"",分析!V100,"")</f>
        <v>通常</v>
      </c>
      <c r="V56" s="138">
        <f>IF(分析!W100&lt;&gt;"",分析!W100,"")</f>
        <v>80.57553956834532</v>
      </c>
      <c r="W56" s="139" t="str">
        <f>IF(分析!AD100&lt;&gt;"",分析!AD100,"")</f>
        <v>パーフェクト▲</v>
      </c>
      <c r="X56" s="140" t="str">
        <f>IF(分析!AE100&lt;&gt;"",分析!AE100,"")</f>
        <v>なし</v>
      </c>
      <c r="Y56" s="141">
        <f>IF(分析!T100&lt;&gt;"",分析!T100,"")</f>
        <v>8</v>
      </c>
      <c r="Z56" s="142" t="str">
        <f>IF(分析!Y100&lt;&gt;"",分析!Y100,"")</f>
        <v>△注目</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61590</v>
      </c>
      <c r="F57" s="148">
        <f>IF(分析!F113&lt;&gt;"",分析!F113,"")</f>
        <v>61800</v>
      </c>
      <c r="G57" s="148">
        <f>IF(分析!H113&lt;&gt;"",分析!H113,"")</f>
        <v>63000</v>
      </c>
      <c r="H57" s="148">
        <f>IF(分析!I113&lt;&gt;"",分析!I113,"")</f>
        <v>60700</v>
      </c>
      <c r="I57" s="148">
        <f>IF(分析!J113&lt;&gt;"",分析!J113,"")</f>
        <v>1569200</v>
      </c>
      <c r="J57" s="148">
        <f>IF(分析!AB113&lt;&gt;"",分析!AB113,"")</f>
        <v>6043.8411405295301</v>
      </c>
      <c r="K57" s="148">
        <f>IF(分析!AC113&lt;&gt;"",分析!AC113,"")</f>
        <v>6116.6102502979729</v>
      </c>
      <c r="L57" s="148">
        <f>IF(分析!K113&lt;&gt;"",分析!K113,"")</f>
        <v>91680</v>
      </c>
      <c r="M57" s="143" t="str">
        <f>IF(分析!P113&lt;&gt;"",分析!P113,"")</f>
        <v>減少↓</v>
      </c>
      <c r="N57" s="149">
        <f>IF(分析!O113&lt;&gt;"",分析!O113,"")</f>
        <v>0.67779332745900933</v>
      </c>
      <c r="O57" s="150">
        <f>IF(分析!X113&lt;&gt;"",分析!X113,"")</f>
        <v>-1755.6264552875655</v>
      </c>
      <c r="P57" s="151">
        <f>IF(分析!L113&lt;&gt;"",分析!L113,"")</f>
        <v>-32.82068062827225</v>
      </c>
      <c r="Q57" s="148">
        <f>IF(分析!S113&lt;&gt;"",分析!S113,"")</f>
        <v>59126</v>
      </c>
      <c r="R57" s="148">
        <f>IF(分析!R113&lt;&gt;"",分析!R113,"")</f>
        <v>66517</v>
      </c>
      <c r="S57" s="143" t="str">
        <f>IF(分析!AA113&lt;&gt;"",分析!AA113,"")</f>
        <v>下落▼</v>
      </c>
      <c r="T57" s="152">
        <f>IF(分析!Z113&lt;&gt;"",分析!Z113,"")</f>
        <v>-3.3730781299027299</v>
      </c>
      <c r="U57" s="143" t="str">
        <f>IF(分析!V113&lt;&gt;"",分析!V113,"")</f>
        <v>通常</v>
      </c>
      <c r="V57" s="153">
        <f>IF(分析!W113&lt;&gt;"",分析!W113,"")</f>
        <v>39.658444022770396</v>
      </c>
      <c r="W57" s="154" t="str">
        <f>IF(分析!AD113&lt;&gt;"",分析!AD113,"")</f>
        <v>上昇トレンド▲</v>
      </c>
      <c r="X57" s="155" t="str">
        <f>IF(分析!AE113&lt;&gt;"",分析!AE113,"")</f>
        <v>なし</v>
      </c>
      <c r="Y57" s="156">
        <f>IF(分析!T113&lt;&gt;"",分析!T113,"")</f>
        <v>2</v>
      </c>
      <c r="Z57" s="142" t="str">
        <f>IF(分析!Y113&lt;&gt;"",分析!Y113,"")</f>
        <v>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1488</v>
      </c>
      <c r="F58" s="148">
        <f>IF(分析!F33&lt;&gt;"",分析!F33,"")</f>
        <v>1488</v>
      </c>
      <c r="G58" s="148">
        <f>IF(分析!H33&lt;&gt;"",分析!H33,"")</f>
        <v>1507</v>
      </c>
      <c r="H58" s="148">
        <f>IF(分析!I33&lt;&gt;"",分析!I33,"")</f>
        <v>1475.5</v>
      </c>
      <c r="I58" s="148">
        <f>IF(分析!J33&lt;&gt;"",分析!J33,"")</f>
        <v>9906200</v>
      </c>
      <c r="J58" s="148">
        <f>IF(分析!AB33&lt;&gt;"",分析!AB33,"")</f>
        <v>2275.4460285132373</v>
      </c>
      <c r="K58" s="148">
        <f>IF(分析!AC33&lt;&gt;"",分析!AC33,"")</f>
        <v>2282.5417163289621</v>
      </c>
      <c r="L58" s="148">
        <f>IF(分析!K33&lt;&gt;"",分析!K33,"")</f>
        <v>2158</v>
      </c>
      <c r="M58" s="143" t="str">
        <f>IF(分析!P33&lt;&gt;"",分析!P33,"")</f>
        <v>減少↓</v>
      </c>
      <c r="N58" s="149">
        <f>IF(分析!O33&lt;&gt;"",分析!O33,"")</f>
        <v>0.93994386638757998</v>
      </c>
      <c r="O58" s="150">
        <f>IF(分析!X33&lt;&gt;"",分析!X33,"")</f>
        <v>-3.1877942914898085</v>
      </c>
      <c r="P58" s="151">
        <f>IF(分析!L33&lt;&gt;"",分析!L33,"")</f>
        <v>-31.047265987025025</v>
      </c>
      <c r="Q58" s="148">
        <f>IF(分析!S33&lt;&gt;"",分析!S33,"")</f>
        <v>1428</v>
      </c>
      <c r="R58" s="148">
        <f>IF(分析!R33&lt;&gt;"",分析!R33,"")</f>
        <v>1607</v>
      </c>
      <c r="S58" s="143" t="str">
        <f>IF(分析!AA33&lt;&gt;"",分析!AA33,"")</f>
        <v>上昇▲</v>
      </c>
      <c r="T58" s="152">
        <f>IF(分析!Z33&lt;&gt;"",分析!Z33,"")</f>
        <v>0.43874451569355388</v>
      </c>
      <c r="U58" s="143" t="str">
        <f>IF(分析!V33&lt;&gt;"",分析!V33,"")</f>
        <v>通常</v>
      </c>
      <c r="V58" s="153">
        <f>IF(分析!W33&lt;&gt;"",分析!W33,"")</f>
        <v>38.546603475513429</v>
      </c>
      <c r="W58" s="154" t="str">
        <f>IF(分析!AD33&lt;&gt;"",分析!AD33,"")</f>
        <v>下降トレンド▼</v>
      </c>
      <c r="X58" s="155" t="str">
        <f>IF(分析!AE33&lt;&gt;"",分析!AE33,"")</f>
        <v>なし</v>
      </c>
      <c r="Y58" s="156">
        <f>IF(分析!T33&lt;&gt;"",分析!T33,"")</f>
        <v>2</v>
      </c>
      <c r="Z58" s="142" t="str">
        <f>IF(分析!Y33&lt;&gt;"",分析!Y33,"")</f>
        <v>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5335</v>
      </c>
      <c r="F59" s="133">
        <f>IF(分析!F84&lt;&gt;"",分析!F84,"")</f>
        <v>5251</v>
      </c>
      <c r="G59" s="133">
        <f>IF(分析!H84&lt;&gt;"",分析!H84,"")</f>
        <v>5371</v>
      </c>
      <c r="H59" s="133">
        <f>IF(分析!I84&lt;&gt;"",分析!I84,"")</f>
        <v>5210</v>
      </c>
      <c r="I59" s="133">
        <f>IF(分析!J84&lt;&gt;"",分析!J84,"")</f>
        <v>2820200</v>
      </c>
      <c r="J59" s="133">
        <f>IF(分析!AB84&lt;&gt;"",分析!AB84,"")</f>
        <v>2274.4989816700599</v>
      </c>
      <c r="K59" s="133">
        <f>IF(分析!AC84&lt;&gt;"",分析!AC84,"")</f>
        <v>2205.8450536352793</v>
      </c>
      <c r="L59" s="133">
        <f>IF(分析!K84&lt;&gt;"",分析!K84,"")</f>
        <v>6317</v>
      </c>
      <c r="M59" s="128" t="str">
        <f>IF(分析!P84&lt;&gt;"",分析!P84,"")</f>
        <v>普通→</v>
      </c>
      <c r="N59" s="134">
        <f>IF(分析!O84&lt;&gt;"",分析!O84,"")</f>
        <v>1.4677991860017279</v>
      </c>
      <c r="O59" s="135">
        <f>IF(分析!X84&lt;&gt;"",分析!X84,"")</f>
        <v>0.28642846055026894</v>
      </c>
      <c r="P59" s="136">
        <f>IF(分析!L84&lt;&gt;"",分析!L84,"")</f>
        <v>-15.545353807186956</v>
      </c>
      <c r="Q59" s="133">
        <f>IF(分析!S84&lt;&gt;"",分析!S84,"")</f>
        <v>5122</v>
      </c>
      <c r="R59" s="133">
        <f>IF(分析!R84&lt;&gt;"",分析!R84,"")</f>
        <v>5762</v>
      </c>
      <c r="S59" s="128" t="str">
        <f>IF(分析!AA84&lt;&gt;"",分析!AA84,"")</f>
        <v>上昇▲</v>
      </c>
      <c r="T59" s="137">
        <f>IF(分析!Z84&lt;&gt;"",分析!Z84,"")</f>
        <v>0.62240663900414939</v>
      </c>
      <c r="U59" s="128" t="str">
        <f>IF(分析!V84&lt;&gt;"",分析!V84,"")</f>
        <v>通常</v>
      </c>
      <c r="V59" s="138">
        <f>IF(分析!W84&lt;&gt;"",分析!W84,"")</f>
        <v>43.318385650224208</v>
      </c>
      <c r="W59" s="139" t="str">
        <f>IF(分析!AD84&lt;&gt;"",分析!AD84,"")</f>
        <v>パーフェクト▲</v>
      </c>
      <c r="X59" s="140" t="str">
        <f>IF(分析!AE84&lt;&gt;"",分析!AE84,"")</f>
        <v>なし</v>
      </c>
      <c r="Y59" s="141">
        <f>IF(分析!T84&lt;&gt;"",分析!T84,"")</f>
        <v>5</v>
      </c>
      <c r="Z59" s="142" t="str">
        <f>IF(分析!Y84&lt;&gt;"",分析!Y84,"")</f>
        <v>様子見</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1427.5</v>
      </c>
      <c r="F60" s="133">
        <f>IF(分析!F42&lt;&gt;"",分析!F42,"")</f>
        <v>1410</v>
      </c>
      <c r="G60" s="133">
        <f>IF(分析!H42&lt;&gt;"",分析!H42,"")</f>
        <v>1430</v>
      </c>
      <c r="H60" s="133">
        <f>IF(分析!I42&lt;&gt;"",分析!I42,"")</f>
        <v>1404</v>
      </c>
      <c r="I60" s="133">
        <f>IF(分析!J42&lt;&gt;"",分析!J42,"")</f>
        <v>3802100</v>
      </c>
      <c r="J60" s="133">
        <f>IF(分析!AB42&lt;&gt;"",分析!AB42,"")</f>
        <v>1208.3874745417513</v>
      </c>
      <c r="K60" s="133">
        <f>IF(分析!AC42&lt;&gt;"",分析!AC42,"")</f>
        <v>1171.7288438617395</v>
      </c>
      <c r="L60" s="133">
        <f>IF(分析!K42&lt;&gt;"",分析!K42,"")</f>
        <v>1541.5</v>
      </c>
      <c r="M60" s="128" t="str">
        <f>IF(分析!P42&lt;&gt;"",分析!P42,"")</f>
        <v>減少↓</v>
      </c>
      <c r="N60" s="134">
        <f>IF(分析!O42&lt;&gt;"",分析!O42,"")</f>
        <v>0.74640549051018079</v>
      </c>
      <c r="O60" s="135">
        <f>IF(分析!X42&lt;&gt;"",分析!X42,"")</f>
        <v>8.4283272103466516</v>
      </c>
      <c r="P60" s="136">
        <f>IF(分析!L42&lt;&gt;"",分析!L42,"")</f>
        <v>-7.3953940966590981</v>
      </c>
      <c r="Q60" s="133">
        <f>IF(分析!S42&lt;&gt;"",分析!S42,"")</f>
        <v>1370</v>
      </c>
      <c r="R60" s="133">
        <f>IF(分析!R42&lt;&gt;"",分析!R42,"")</f>
        <v>1542</v>
      </c>
      <c r="S60" s="128" t="str">
        <f>IF(分析!AA42&lt;&gt;"",分析!AA42,"")</f>
        <v>上昇▲</v>
      </c>
      <c r="T60" s="137">
        <f>IF(分析!Z42&lt;&gt;"",分析!Z42,"")</f>
        <v>0.7765619484645252</v>
      </c>
      <c r="U60" s="128" t="str">
        <f>IF(分析!V42&lt;&gt;"",分析!V42,"")</f>
        <v>通常</v>
      </c>
      <c r="V60" s="138">
        <f>IF(分析!W42&lt;&gt;"",分析!W42,"")</f>
        <v>50.445632798573982</v>
      </c>
      <c r="W60" s="139" t="str">
        <f>IF(分析!AD42&lt;&gt;"",分析!AD42,"")</f>
        <v>パーフェクト▲</v>
      </c>
      <c r="X60" s="140" t="str">
        <f>IF(分析!AE42&lt;&gt;"",分析!AE42,"")</f>
        <v>なし</v>
      </c>
      <c r="Y60" s="141">
        <f>IF(分析!T42&lt;&gt;"",分析!T42,"")</f>
        <v>9</v>
      </c>
      <c r="Z60" s="142" t="str">
        <f>IF(分析!Y42&lt;&gt;"",分析!Y42,"")</f>
        <v>△注目</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2306</v>
      </c>
      <c r="F61" s="148">
        <f>IF(分析!F197&lt;&gt;"",分析!F197,"")</f>
        <v>2327</v>
      </c>
      <c r="G61" s="148">
        <f>IF(分析!H197&lt;&gt;"",分析!H197,"")</f>
        <v>2355</v>
      </c>
      <c r="H61" s="148">
        <f>IF(分析!I197&lt;&gt;"",分析!I197,"")</f>
        <v>2295</v>
      </c>
      <c r="I61" s="148">
        <f>IF(分析!J197&lt;&gt;"",分析!J197,"")</f>
        <v>975600</v>
      </c>
      <c r="J61" s="148">
        <f>IF(分析!AB197&lt;&gt;"",分析!AB197,"")</f>
        <v>42781.894093686344</v>
      </c>
      <c r="K61" s="148">
        <f>IF(分析!AC197&lt;&gt;"",分析!AC197,"")</f>
        <v>42275.482717520841</v>
      </c>
      <c r="L61" s="148">
        <f>IF(分析!K197&lt;&gt;"",分析!K197,"")</f>
        <v>2927.5</v>
      </c>
      <c r="M61" s="143" t="str">
        <f>IF(分析!P197&lt;&gt;"",分析!P197,"")</f>
        <v>減少↓</v>
      </c>
      <c r="N61" s="149">
        <f>IF(分析!O197&lt;&gt;"",分析!O197,"")</f>
        <v>0.73198181299800424</v>
      </c>
      <c r="O61" s="150">
        <f>IF(分析!X197&lt;&gt;"",分析!X197,"")</f>
        <v>-16.096554476016536</v>
      </c>
      <c r="P61" s="151">
        <f>IF(分析!L197&lt;&gt;"",分析!L197,"")</f>
        <v>-21.229718189581554</v>
      </c>
      <c r="Q61" s="148">
        <f>IF(分析!S197&lt;&gt;"",分析!S197,"")</f>
        <v>2214</v>
      </c>
      <c r="R61" s="148">
        <f>IF(分析!R197&lt;&gt;"",分析!R197,"")</f>
        <v>2490</v>
      </c>
      <c r="S61" s="143" t="str">
        <f>IF(分析!AA197&lt;&gt;"",分析!AA197,"")</f>
        <v>下落▼</v>
      </c>
      <c r="T61" s="152">
        <f>IF(分析!Z197&lt;&gt;"",分析!Z197,"")</f>
        <v>-0.9024495058014611</v>
      </c>
      <c r="U61" s="143" t="str">
        <f>IF(分析!V197&lt;&gt;"",分析!V197,"")</f>
        <v>通常</v>
      </c>
      <c r="V61" s="153">
        <f>IF(分析!W197&lt;&gt;"",分析!W197,"")</f>
        <v>50.019334880123743</v>
      </c>
      <c r="W61" s="154" t="str">
        <f>IF(分析!AD197&lt;&gt;"",分析!AD197,"")</f>
        <v>もみ合い→</v>
      </c>
      <c r="X61" s="155" t="str">
        <f>IF(分析!AE197&lt;&gt;"",分析!AE197,"")</f>
        <v>なし</v>
      </c>
      <c r="Y61" s="156">
        <f>IF(分析!T197&lt;&gt;"",分析!T197,"")</f>
        <v>-1</v>
      </c>
      <c r="Z61" s="142" t="str">
        <f>IF(分析!Y197&lt;&gt;"",分析!Y197,"")</f>
        <v>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2089</v>
      </c>
      <c r="F62" s="133">
        <f>IF(分析!F76&lt;&gt;"",分析!F76,"")</f>
        <v>2080</v>
      </c>
      <c r="G62" s="133">
        <f>IF(分析!H76&lt;&gt;"",分析!H76,"")</f>
        <v>2089</v>
      </c>
      <c r="H62" s="133">
        <f>IF(分析!I76&lt;&gt;"",分析!I76,"")</f>
        <v>2051</v>
      </c>
      <c r="I62" s="133">
        <f>IF(分析!J76&lt;&gt;"",分析!J76,"")</f>
        <v>1400</v>
      </c>
      <c r="J62" s="133">
        <f>IF(分析!AB76&lt;&gt;"",分析!AB76,"")</f>
        <v>6430.7260692464351</v>
      </c>
      <c r="K62" s="133">
        <f>IF(分析!AC76&lt;&gt;"",分析!AC76,"")</f>
        <v>6659.584028605479</v>
      </c>
      <c r="L62" s="133">
        <f>IF(分析!K76&lt;&gt;"",分析!K76,"")</f>
        <v>2539</v>
      </c>
      <c r="M62" s="128" t="str">
        <f>IF(分析!P76&lt;&gt;"",分析!P76,"")</f>
        <v>減少↓</v>
      </c>
      <c r="N62" s="134">
        <f>IF(分析!O76&lt;&gt;"",分析!O76,"")</f>
        <v>0.94594594594594594</v>
      </c>
      <c r="O62" s="135">
        <f>IF(分析!X76&lt;&gt;"",分析!X76,"")</f>
        <v>29.961841115432662</v>
      </c>
      <c r="P62" s="136">
        <f>IF(分析!L76&lt;&gt;"",分析!L76,"")</f>
        <v>-17.723513194170934</v>
      </c>
      <c r="Q62" s="133">
        <f>IF(分析!S76&lt;&gt;"",分析!S76,"")</f>
        <v>2005</v>
      </c>
      <c r="R62" s="133">
        <f>IF(分析!R76&lt;&gt;"",分析!R76,"")</f>
        <v>2256</v>
      </c>
      <c r="S62" s="128" t="str">
        <f>IF(分析!AA76&lt;&gt;"",分析!AA76,"")</f>
        <v>上昇▲</v>
      </c>
      <c r="T62" s="137">
        <f>IF(分析!Z76&lt;&gt;"",分析!Z76,"")</f>
        <v>1.9024390243902438</v>
      </c>
      <c r="U62" s="128" t="str">
        <f>IF(分析!V76&lt;&gt;"",分析!V76,"")</f>
        <v>通常</v>
      </c>
      <c r="V62" s="138">
        <f>IF(分析!W76&lt;&gt;"",分析!W76,"")</f>
        <v>88.059701492537314</v>
      </c>
      <c r="W62" s="139" t="str">
        <f>IF(分析!AD76&lt;&gt;"",分析!AD76,"")</f>
        <v>下降トレンド▼</v>
      </c>
      <c r="X62" s="140" t="str">
        <f>IF(分析!AE76&lt;&gt;"",分析!AE76,"")</f>
        <v>なし</v>
      </c>
      <c r="Y62" s="141">
        <f>IF(分析!T76&lt;&gt;"",分析!T76,"")</f>
        <v>5</v>
      </c>
      <c r="Z62" s="142" t="str">
        <f>IF(分析!Y76&lt;&gt;"",分析!Y76,"")</f>
        <v>様子見</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2983.5</v>
      </c>
      <c r="F63" s="148">
        <f>IF(分析!F73&lt;&gt;"",分析!F73,"")</f>
        <v>2930</v>
      </c>
      <c r="G63" s="148">
        <f>IF(分析!H73&lt;&gt;"",分析!H73,"")</f>
        <v>2993.5</v>
      </c>
      <c r="H63" s="148">
        <f>IF(分析!I73&lt;&gt;"",分析!I73,"")</f>
        <v>2918</v>
      </c>
      <c r="I63" s="148">
        <f>IF(分析!J73&lt;&gt;"",分析!J73,"")</f>
        <v>31969900</v>
      </c>
      <c r="J63" s="148">
        <f>IF(分析!AB73&lt;&gt;"",分析!AB73,"")</f>
        <v>1798.4597759674132</v>
      </c>
      <c r="K63" s="148">
        <f>IF(分析!AC73&lt;&gt;"",分析!AC73,"")</f>
        <v>1791.4845053635272</v>
      </c>
      <c r="L63" s="148">
        <f>IF(分析!K73&lt;&gt;"",分析!K73,"")</f>
        <v>4000</v>
      </c>
      <c r="M63" s="143" t="str">
        <f>IF(分析!P73&lt;&gt;"",分析!P73,"")</f>
        <v>減少↓</v>
      </c>
      <c r="N63" s="149">
        <f>IF(分析!O73&lt;&gt;"",分析!O73,"")</f>
        <v>0.69202902158435964</v>
      </c>
      <c r="O63" s="150">
        <f>IF(分析!X73&lt;&gt;"",分析!X73,"")</f>
        <v>19.566191952683312</v>
      </c>
      <c r="P63" s="151">
        <f>IF(分析!L73&lt;&gt;"",分析!L73,"")</f>
        <v>-25.412499999999998</v>
      </c>
      <c r="Q63" s="148">
        <f>IF(分析!S73&lt;&gt;"",分析!S73,"")</f>
        <v>2864</v>
      </c>
      <c r="R63" s="148">
        <f>IF(分析!R73&lt;&gt;"",分析!R73,"")</f>
        <v>3222</v>
      </c>
      <c r="S63" s="143" t="str">
        <f>IF(分析!AA73&lt;&gt;"",分析!AA73,"")</f>
        <v>上昇▲</v>
      </c>
      <c r="T63" s="152">
        <f>IF(分析!Z73&lt;&gt;"",分析!Z73,"")</f>
        <v>2.3674729799279466</v>
      </c>
      <c r="U63" s="143" t="str">
        <f>IF(分析!V73&lt;&gt;"",分析!V73,"")</f>
        <v>通常</v>
      </c>
      <c r="V63" s="153">
        <f>IF(分析!W73&lt;&gt;"",分析!W73,"")</f>
        <v>52.516129032258071</v>
      </c>
      <c r="W63" s="154" t="str">
        <f>IF(分析!AD73&lt;&gt;"",分析!AD73,"")</f>
        <v>パーフェクト▲</v>
      </c>
      <c r="X63" s="155" t="str">
        <f>IF(分析!AE73&lt;&gt;"",分析!AE73,"")</f>
        <v>なし</v>
      </c>
      <c r="Y63" s="156">
        <f>IF(分析!T73&lt;&gt;"",分析!T73,"")</f>
        <v>9</v>
      </c>
      <c r="Z63" s="142" t="str">
        <f>IF(分析!Y73&lt;&gt;"",分析!Y73,"")</f>
        <v>△注目</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1858.5</v>
      </c>
      <c r="F64" s="148">
        <f>IF(分析!F137&lt;&gt;"",分析!F137,"")</f>
        <v>1857.5</v>
      </c>
      <c r="G64" s="148">
        <f>IF(分析!H137&lt;&gt;"",分析!H137,"")</f>
        <v>1885.5</v>
      </c>
      <c r="H64" s="148">
        <f>IF(分析!I137&lt;&gt;"",分析!I137,"")</f>
        <v>1822</v>
      </c>
      <c r="I64" s="148">
        <f>IF(分析!J137&lt;&gt;"",分析!J137,"")</f>
        <v>7346400</v>
      </c>
      <c r="J64" s="148">
        <f>IF(分析!AB137&lt;&gt;"",分析!AB137,"")</f>
        <v>542.02240325865557</v>
      </c>
      <c r="K64" s="148">
        <f>IF(分析!AC137&lt;&gt;"",分析!AC137,"")</f>
        <v>536.71632896305118</v>
      </c>
      <c r="L64" s="148">
        <f>IF(分析!K137&lt;&gt;"",分析!K137,"")</f>
        <v>2359</v>
      </c>
      <c r="M64" s="143" t="str">
        <f>IF(分析!P137&lt;&gt;"",分析!P137,"")</f>
        <v>減少↓</v>
      </c>
      <c r="N64" s="149">
        <f>IF(分析!O137&lt;&gt;"",分析!O137,"")</f>
        <v>0.92899505557733408</v>
      </c>
      <c r="O64" s="150">
        <f>IF(分析!X137&lt;&gt;"",分析!X137,"")</f>
        <v>26.239295053714386</v>
      </c>
      <c r="P64" s="151">
        <f>IF(分析!L137&lt;&gt;"",分析!L137,"")</f>
        <v>-21.216617210682493</v>
      </c>
      <c r="Q64" s="148">
        <f>IF(分析!S137&lt;&gt;"",分析!S137,"")</f>
        <v>1784</v>
      </c>
      <c r="R64" s="148">
        <f>IF(分析!R137&lt;&gt;"",分析!R137,"")</f>
        <v>2007</v>
      </c>
      <c r="S64" s="143" t="str">
        <f>IF(分析!AA137&lt;&gt;"",分析!AA137,"")</f>
        <v>上昇▲</v>
      </c>
      <c r="T64" s="152">
        <f>IF(分析!Z137&lt;&gt;"",分析!Z137,"")</f>
        <v>1.0878433505575198</v>
      </c>
      <c r="U64" s="143" t="str">
        <f>IF(分析!V137&lt;&gt;"",分析!V137,"")</f>
        <v>通常</v>
      </c>
      <c r="V64" s="153">
        <f>IF(分析!W137&lt;&gt;"",分析!W137,"")</f>
        <v>71.014492753623188</v>
      </c>
      <c r="W64" s="154" t="str">
        <f>IF(分析!AD137&lt;&gt;"",分析!AD137,"")</f>
        <v>パーフェクト▲</v>
      </c>
      <c r="X64" s="155" t="str">
        <f>IF(分析!AE137&lt;&gt;"",分析!AE137,"")</f>
        <v>なし</v>
      </c>
      <c r="Y64" s="156">
        <f>IF(分析!T137&lt;&gt;"",分析!T137,"")</f>
        <v>8</v>
      </c>
      <c r="Z64" s="142" t="str">
        <f>IF(分析!Y137&lt;&gt;"",分析!Y137,"")</f>
        <v>△注目</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4333</v>
      </c>
      <c r="F65" s="133">
        <f>IF(分析!F144&lt;&gt;"",分析!F144,"")</f>
        <v>4020</v>
      </c>
      <c r="G65" s="133">
        <f>IF(分析!H144&lt;&gt;"",分析!H144,"")</f>
        <v>4380</v>
      </c>
      <c r="H65" s="133">
        <f>IF(分析!I144&lt;&gt;"",分析!I144,"")</f>
        <v>4006</v>
      </c>
      <c r="I65" s="133">
        <f>IF(分析!J144&lt;&gt;"",分析!J144,"")</f>
        <v>1155500</v>
      </c>
      <c r="J65" s="133">
        <f>IF(分析!AB144&lt;&gt;"",分析!AB144,"")</f>
        <v>312.16598778004061</v>
      </c>
      <c r="K65" s="133">
        <f>IF(分析!AC144&lt;&gt;"",分析!AC144,"")</f>
        <v>310.87485101311074</v>
      </c>
      <c r="L65" s="133">
        <f>IF(分析!K144&lt;&gt;"",分析!K144,"")</f>
        <v>4968</v>
      </c>
      <c r="M65" s="128" t="str">
        <f>IF(分析!P144&lt;&gt;"",分析!P144,"")</f>
        <v>増加↑</v>
      </c>
      <c r="N65" s="134">
        <f>IF(分析!O144&lt;&gt;"",分析!O144,"")</f>
        <v>1.6370101719887797</v>
      </c>
      <c r="O65" s="135">
        <f>IF(分析!X144&lt;&gt;"",分析!X144,"")</f>
        <v>25.165812234564328</v>
      </c>
      <c r="P65" s="136">
        <f>IF(分析!L144&lt;&gt;"",分析!L144,"")</f>
        <v>-12.78180354267311</v>
      </c>
      <c r="Q65" s="133">
        <f>IF(分析!S144&lt;&gt;"",分析!S144,"")</f>
        <v>4160</v>
      </c>
      <c r="R65" s="133">
        <f>IF(分析!R144&lt;&gt;"",分析!R144,"")</f>
        <v>4680</v>
      </c>
      <c r="S65" s="128" t="str">
        <f>IF(分析!AA144&lt;&gt;"",分析!AA144,"")</f>
        <v>上昇▲</v>
      </c>
      <c r="T65" s="137">
        <f>IF(分析!Z144&lt;&gt;"",分析!Z144,"")</f>
        <v>5.9413202933985332</v>
      </c>
      <c r="U65" s="128" t="str">
        <f>IF(分析!V144&lt;&gt;"",分析!V144,"")</f>
        <v>通常</v>
      </c>
      <c r="V65" s="138">
        <f>IF(分析!W144&lt;&gt;"",分析!W144,"")</f>
        <v>55.723542116630675</v>
      </c>
      <c r="W65" s="139" t="str">
        <f>IF(分析!AD144&lt;&gt;"",分析!AD144,"")</f>
        <v>パーフェクト▲</v>
      </c>
      <c r="X65" s="140" t="str">
        <f>IF(分析!AE144&lt;&gt;"",分析!AE144,"")</f>
        <v>なし</v>
      </c>
      <c r="Y65" s="141">
        <f>IF(分析!T144&lt;&gt;"",分析!T144,"")</f>
        <v>14</v>
      </c>
      <c r="Z65" s="142" t="str">
        <f>IF(分析!Y144&lt;&gt;"",分析!Y144,"")</f>
        <v>★強い買い</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4093</v>
      </c>
      <c r="F66" s="133">
        <f>IF(分析!F80&lt;&gt;"",分析!F80,"")</f>
        <v>4150</v>
      </c>
      <c r="G66" s="133">
        <f>IF(分析!H80&lt;&gt;"",分析!H80,"")</f>
        <v>4319</v>
      </c>
      <c r="H66" s="133">
        <f>IF(分析!I80&lt;&gt;"",分析!I80,"")</f>
        <v>4067</v>
      </c>
      <c r="I66" s="133">
        <f>IF(分析!J80&lt;&gt;"",分析!J80,"")</f>
        <v>644000</v>
      </c>
      <c r="J66" s="133">
        <f>IF(分析!AB80&lt;&gt;"",分析!AB80,"")</f>
        <v>1545.8299389002032</v>
      </c>
      <c r="K66" s="133">
        <f>IF(分析!AC80&lt;&gt;"",分析!AC80,"")</f>
        <v>1517.9755661501783</v>
      </c>
      <c r="L66" s="133">
        <f>IF(分析!K80&lt;&gt;"",分析!K80,"")</f>
        <v>5164</v>
      </c>
      <c r="M66" s="128" t="str">
        <f>IF(分析!P80&lt;&gt;"",分析!P80,"")</f>
        <v>減少↓</v>
      </c>
      <c r="N66" s="134">
        <f>IF(分析!O80&lt;&gt;"",分析!O80,"")</f>
        <v>0.91503267973856206</v>
      </c>
      <c r="O66" s="135">
        <f>IF(分析!X80&lt;&gt;"",分析!X80,"")</f>
        <v>-33.291013735924025</v>
      </c>
      <c r="P66" s="136">
        <f>IF(分析!L80&lt;&gt;"",分析!L80,"")</f>
        <v>-20.739736638264912</v>
      </c>
      <c r="Q66" s="133">
        <f>IF(分析!S80&lt;&gt;"",分析!S80,"")</f>
        <v>3929</v>
      </c>
      <c r="R66" s="133">
        <f>IF(分析!R80&lt;&gt;"",分析!R80,"")</f>
        <v>4420</v>
      </c>
      <c r="S66" s="128" t="str">
        <f>IF(分析!AA80&lt;&gt;"",分析!AA80,"")</f>
        <v>下落▼</v>
      </c>
      <c r="T66" s="137">
        <f>IF(分析!Z80&lt;&gt;"",分析!Z80,"")</f>
        <v>-6.123853211009175</v>
      </c>
      <c r="U66" s="128" t="str">
        <f>IF(分析!V80&lt;&gt;"",分析!V80,"")</f>
        <v>通常</v>
      </c>
      <c r="V66" s="138">
        <f>IF(分析!W80&lt;&gt;"",分析!W80,"")</f>
        <v>52.77654375832963</v>
      </c>
      <c r="W66" s="139" t="str">
        <f>IF(分析!AD80&lt;&gt;"",分析!AD80,"")</f>
        <v>パーフェクト▲</v>
      </c>
      <c r="X66" s="140" t="str">
        <f>IF(分析!AE80&lt;&gt;"",分析!AE80,"")</f>
        <v>なし</v>
      </c>
      <c r="Y66" s="141">
        <f>IF(分析!T80&lt;&gt;"",分析!T80,"")</f>
        <v>2</v>
      </c>
      <c r="Z66" s="142" t="str">
        <f>IF(分析!Y80&lt;&gt;"",分析!Y80,"")</f>
        <v>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2358</v>
      </c>
      <c r="F67" s="133">
        <f>IF(分析!F116&lt;&gt;"",分析!F116,"")</f>
        <v>2340</v>
      </c>
      <c r="G67" s="133">
        <f>IF(分析!H116&lt;&gt;"",分析!H116,"")</f>
        <v>2413</v>
      </c>
      <c r="H67" s="133">
        <f>IF(分析!I116&lt;&gt;"",分析!I116,"")</f>
        <v>2340</v>
      </c>
      <c r="I67" s="133">
        <f>IF(分析!J116&lt;&gt;"",分析!J116,"")</f>
        <v>60500</v>
      </c>
      <c r="J67" s="133">
        <f>IF(分析!AB116&lt;&gt;"",分析!AB116,"")</f>
        <v>4595.469450101833</v>
      </c>
      <c r="K67" s="133">
        <f>IF(分析!AC116&lt;&gt;"",分析!AC116,"")</f>
        <v>4599.8295589988056</v>
      </c>
      <c r="L67" s="133">
        <f>IF(分析!K116&lt;&gt;"",分析!K116,"")</f>
        <v>3490</v>
      </c>
      <c r="M67" s="128" t="str">
        <f>IF(分析!P116&lt;&gt;"",分析!P116,"")</f>
        <v>普通→</v>
      </c>
      <c r="N67" s="134">
        <f>IF(分析!O116&lt;&gt;"",分析!O116,"")</f>
        <v>1.2124248496993988</v>
      </c>
      <c r="O67" s="135">
        <f>IF(分析!X116&lt;&gt;"",分析!X116,"")</f>
        <v>-8.9113851750730646</v>
      </c>
      <c r="P67" s="136">
        <f>IF(分析!L116&lt;&gt;"",分析!L116,"")</f>
        <v>-32.435530085959883</v>
      </c>
      <c r="Q67" s="133">
        <f>IF(分析!S116&lt;&gt;"",分析!S116,"")</f>
        <v>2264</v>
      </c>
      <c r="R67" s="133">
        <f>IF(分析!R116&lt;&gt;"",分析!R116,"")</f>
        <v>2547</v>
      </c>
      <c r="S67" s="128" t="str">
        <f>IF(分析!AA116&lt;&gt;"",分析!AA116,"")</f>
        <v>下落▼</v>
      </c>
      <c r="T67" s="137">
        <f>IF(分析!Z116&lt;&gt;"",分析!Z116,"")</f>
        <v>-1.3389121338912133</v>
      </c>
      <c r="U67" s="128" t="str">
        <f>IF(分析!V116&lt;&gt;"",分析!V116,"")</f>
        <v>通常</v>
      </c>
      <c r="V67" s="138">
        <f>IF(分析!W116&lt;&gt;"",分析!W116,"")</f>
        <v>49.913941480206539</v>
      </c>
      <c r="W67" s="139" t="str">
        <f>IF(分析!AD116&lt;&gt;"",分析!AD116,"")</f>
        <v>下降トレンド▼</v>
      </c>
      <c r="X67" s="140" t="str">
        <f>IF(分析!AE116&lt;&gt;"",分析!AE116,"")</f>
        <v>なし</v>
      </c>
      <c r="Y67" s="141">
        <f>IF(分析!T116&lt;&gt;"",分析!T116,"")</f>
        <v>1</v>
      </c>
      <c r="Z67" s="142" t="str">
        <f>IF(分析!Y116&lt;&gt;"",分析!Y116,"")</f>
        <v>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5540</v>
      </c>
      <c r="F68" s="148">
        <f>IF(分析!F191&lt;&gt;"",分析!F191,"")</f>
        <v>5370</v>
      </c>
      <c r="G68" s="148">
        <f>IF(分析!H191&lt;&gt;"",分析!H191,"")</f>
        <v>5574</v>
      </c>
      <c r="H68" s="148">
        <f>IF(分析!I191&lt;&gt;"",分析!I191,"")</f>
        <v>5362</v>
      </c>
      <c r="I68" s="148">
        <f>IF(分析!J191&lt;&gt;"",分析!J191,"")</f>
        <v>1442700</v>
      </c>
      <c r="J68" s="148">
        <f>IF(分析!AB191&lt;&gt;"",分析!AB191,"")</f>
        <v>2208.7057026476573</v>
      </c>
      <c r="K68" s="148">
        <f>IF(分析!AC191&lt;&gt;"",分析!AC191,"")</f>
        <v>2115.6722288438609</v>
      </c>
      <c r="L68" s="148">
        <f>IF(分析!K191&lt;&gt;"",分析!K191,"")</f>
        <v>7257</v>
      </c>
      <c r="M68" s="143" t="str">
        <f>IF(分析!P191&lt;&gt;"",分析!P191,"")</f>
        <v>減少↓</v>
      </c>
      <c r="N68" s="149">
        <f>IF(分析!O191&lt;&gt;"",分析!O191,"")</f>
        <v>0.86922205620089654</v>
      </c>
      <c r="O68" s="150">
        <f>IF(分析!X191&lt;&gt;"",分析!X191,"")</f>
        <v>32.439171466214248</v>
      </c>
      <c r="P68" s="151">
        <f>IF(分析!L191&lt;&gt;"",分析!L191,"")</f>
        <v>-23.659914565247348</v>
      </c>
      <c r="Q68" s="148">
        <f>IF(分析!S191&lt;&gt;"",分析!S191,"")</f>
        <v>5318</v>
      </c>
      <c r="R68" s="148">
        <f>IF(分析!R191&lt;&gt;"",分析!R191,"")</f>
        <v>5983</v>
      </c>
      <c r="S68" s="143" t="str">
        <f>IF(分析!AA191&lt;&gt;"",分析!AA191,"")</f>
        <v>上昇▲</v>
      </c>
      <c r="T68" s="152">
        <f>IF(分析!Z191&lt;&gt;"",分析!Z191,"")</f>
        <v>2.8401707815110449</v>
      </c>
      <c r="U68" s="143" t="str">
        <f>IF(分析!V191&lt;&gt;"",分析!V191,"")</f>
        <v>通常</v>
      </c>
      <c r="V68" s="153">
        <f>IF(分析!W191&lt;&gt;"",分析!W191,"")</f>
        <v>56.872427983539097</v>
      </c>
      <c r="W68" s="154" t="str">
        <f>IF(分析!AD191&lt;&gt;"",分析!AD191,"")</f>
        <v>パーフェクト▲</v>
      </c>
      <c r="X68" s="155" t="str">
        <f>IF(分析!AE191&lt;&gt;"",分析!AE191,"")</f>
        <v>なし</v>
      </c>
      <c r="Y68" s="156">
        <f>IF(分析!T191&lt;&gt;"",分析!T191,"")</f>
        <v>9</v>
      </c>
      <c r="Z68" s="142" t="str">
        <f>IF(分析!Y191&lt;&gt;"",分析!Y191,"")</f>
        <v>△注目</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2918</v>
      </c>
      <c r="F69" s="148">
        <f>IF(分析!F185&lt;&gt;"",分析!F185,"")</f>
        <v>3150</v>
      </c>
      <c r="G69" s="148">
        <f>IF(分析!H185&lt;&gt;"",分析!H185,"")</f>
        <v>3150</v>
      </c>
      <c r="H69" s="148">
        <f>IF(分析!I185&lt;&gt;"",分析!I185,"")</f>
        <v>2873</v>
      </c>
      <c r="I69" s="148">
        <f>IF(分析!J185&lt;&gt;"",分析!J185,"")</f>
        <v>21267600</v>
      </c>
      <c r="J69" s="148">
        <f>IF(分析!AB185&lt;&gt;"",分析!AB185,"")</f>
        <v>643.66191446028495</v>
      </c>
      <c r="K69" s="148">
        <f>IF(分析!AC185&lt;&gt;"",分析!AC185,"")</f>
        <v>661.73945172824767</v>
      </c>
      <c r="L69" s="148">
        <f>IF(分析!K185&lt;&gt;"",分析!K185,"")</f>
        <v>4580</v>
      </c>
      <c r="M69" s="143" t="str">
        <f>IF(分析!P185&lt;&gt;"",分析!P185,"")</f>
        <v>普通→</v>
      </c>
      <c r="N69" s="149">
        <f>IF(分析!O185&lt;&gt;"",分析!O185,"")</f>
        <v>1.3110626847453866</v>
      </c>
      <c r="O69" s="150">
        <f>IF(分析!X185&lt;&gt;"",分析!X185,"")</f>
        <v>200.68570763297123</v>
      </c>
      <c r="P69" s="151">
        <f>IF(分析!L185&lt;&gt;"",分析!L185,"")</f>
        <v>-36.288209606986896</v>
      </c>
      <c r="Q69" s="148">
        <f>IF(分析!S185&lt;&gt;"",分析!S185,"")</f>
        <v>2801</v>
      </c>
      <c r="R69" s="148">
        <f>IF(分析!R185&lt;&gt;"",分析!R185,"")</f>
        <v>3151</v>
      </c>
      <c r="S69" s="143" t="str">
        <f>IF(分析!AA185&lt;&gt;"",分析!AA185,"")</f>
        <v>下落▼</v>
      </c>
      <c r="T69" s="152">
        <f>IF(分析!Z185&lt;&gt;"",分析!Z185,"")</f>
        <v>-17.918424753867793</v>
      </c>
      <c r="U69" s="143" t="str">
        <f>IF(分析!V185&lt;&gt;"",分析!V185,"")</f>
        <v>通常</v>
      </c>
      <c r="V69" s="153">
        <f>IF(分析!W185&lt;&gt;"",分析!W185,"")</f>
        <v>50</v>
      </c>
      <c r="W69" s="154" t="str">
        <f>IF(分析!AD185&lt;&gt;"",分析!AD185,"")</f>
        <v>上昇トレンド▲</v>
      </c>
      <c r="X69" s="155" t="str">
        <f>IF(分析!AE185&lt;&gt;"",分析!AE185,"")</f>
        <v>なし</v>
      </c>
      <c r="Y69" s="156">
        <f>IF(分析!T185&lt;&gt;"",分析!T185,"")</f>
        <v>5</v>
      </c>
      <c r="Z69" s="142" t="str">
        <f>IF(分析!Y185&lt;&gt;"",分析!Y185,"")</f>
        <v>様子見</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1921</v>
      </c>
      <c r="F70" s="148">
        <f>IF(分析!F171&lt;&gt;"",分析!F171,"")</f>
        <v>1909</v>
      </c>
      <c r="G70" s="148">
        <f>IF(分析!H171&lt;&gt;"",分析!H171,"")</f>
        <v>1939</v>
      </c>
      <c r="H70" s="148">
        <f>IF(分析!I171&lt;&gt;"",分析!I171,"")</f>
        <v>1884</v>
      </c>
      <c r="I70" s="148">
        <f>IF(分析!J171&lt;&gt;"",分析!J171,"")</f>
        <v>162100</v>
      </c>
      <c r="J70" s="148">
        <f>IF(分析!AB171&lt;&gt;"",分析!AB171,"")</f>
        <v>705.88696537678186</v>
      </c>
      <c r="K70" s="148">
        <f>IF(分析!AC171&lt;&gt;"",分析!AC171,"")</f>
        <v>676.41835518474352</v>
      </c>
      <c r="L70" s="148">
        <f>IF(分析!K171&lt;&gt;"",分析!K171,"")</f>
        <v>4400</v>
      </c>
      <c r="M70" s="143" t="str">
        <f>IF(分析!P171&lt;&gt;"",分析!P171,"")</f>
        <v>減少↓</v>
      </c>
      <c r="N70" s="149">
        <f>IF(分析!O171&lt;&gt;"",分析!O171,"")</f>
        <v>0.80073108081406841</v>
      </c>
      <c r="O70" s="150">
        <f>IF(分析!X171&lt;&gt;"",分析!X171,"")</f>
        <v>-11.146828318851703</v>
      </c>
      <c r="P70" s="151">
        <f>IF(分析!L171&lt;&gt;"",分析!L171,"")</f>
        <v>-56.340909090909086</v>
      </c>
      <c r="Q70" s="148">
        <f>IF(分析!S171&lt;&gt;"",分析!S171,"")</f>
        <v>1844</v>
      </c>
      <c r="R70" s="148">
        <f>IF(分析!R171&lt;&gt;"",分析!R171,"")</f>
        <v>2075</v>
      </c>
      <c r="S70" s="143" t="str">
        <f>IF(分析!AA171&lt;&gt;"",分析!AA171,"")</f>
        <v>下落▼</v>
      </c>
      <c r="T70" s="152">
        <f>IF(分析!Z171&lt;&gt;"",分析!Z171,"")</f>
        <v>-1.4366341713699333</v>
      </c>
      <c r="U70" s="143" t="str">
        <f>IF(分析!V171&lt;&gt;"",分析!V171,"")</f>
        <v>通常</v>
      </c>
      <c r="V70" s="153">
        <f>IF(分析!W171&lt;&gt;"",分析!W171,"")</f>
        <v>50.057537399309552</v>
      </c>
      <c r="W70" s="154" t="str">
        <f>IF(分析!AD171&lt;&gt;"",分析!AD171,"")</f>
        <v>パーフェクト▲</v>
      </c>
      <c r="X70" s="155" t="str">
        <f>IF(分析!AE171&lt;&gt;"",分析!AE171,"")</f>
        <v>なし</v>
      </c>
      <c r="Y70" s="156">
        <f>IF(分析!T171&lt;&gt;"",分析!T171,"")</f>
        <v>2</v>
      </c>
      <c r="Z70" s="142" t="str">
        <f>IF(分析!Y171&lt;&gt;"",分析!Y171,"")</f>
        <v>見送り</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1595.5</v>
      </c>
      <c r="F71" s="133">
        <f>IF(分析!F176&lt;&gt;"",分析!F176,"")</f>
        <v>1650</v>
      </c>
      <c r="G71" s="133">
        <f>IF(分析!H176&lt;&gt;"",分析!H176,"")</f>
        <v>1665</v>
      </c>
      <c r="H71" s="133">
        <f>IF(分析!I176&lt;&gt;"",分析!I176,"")</f>
        <v>1571.5</v>
      </c>
      <c r="I71" s="133">
        <f>IF(分析!J176&lt;&gt;"",分析!J176,"")</f>
        <v>1820200</v>
      </c>
      <c r="J71" s="133">
        <f>IF(分析!AB176&lt;&gt;"",分析!AB176,"")</f>
        <v>3856.4307535641547</v>
      </c>
      <c r="K71" s="133">
        <f>IF(分析!AC176&lt;&gt;"",分析!AC176,"")</f>
        <v>3685.2908224076268</v>
      </c>
      <c r="L71" s="133">
        <f>IF(分析!K176&lt;&gt;"",分析!K176,"")</f>
        <v>1614.5</v>
      </c>
      <c r="M71" s="128" t="str">
        <f>IF(分析!P176&lt;&gt;"",分析!P176,"")</f>
        <v>普通→</v>
      </c>
      <c r="N71" s="134">
        <f>IF(分析!O176&lt;&gt;"",分析!O176,"")</f>
        <v>1.2791286015460295</v>
      </c>
      <c r="O71" s="135">
        <f>IF(分析!X176&lt;&gt;"",分析!X176,"")</f>
        <v>18.141353452290105</v>
      </c>
      <c r="P71" s="136">
        <f>IF(分析!L176&lt;&gt;"",分析!L176,"")</f>
        <v>-1.1768349334159183</v>
      </c>
      <c r="Q71" s="133">
        <f>IF(分析!S176&lt;&gt;"",分析!S176,"")</f>
        <v>1532</v>
      </c>
      <c r="R71" s="133">
        <f>IF(分析!R176&lt;&gt;"",分析!R176,"")</f>
        <v>1723</v>
      </c>
      <c r="S71" s="128" t="str">
        <f>IF(分析!AA176&lt;&gt;"",分析!AA176,"")</f>
        <v>下落▼</v>
      </c>
      <c r="T71" s="137">
        <f>IF(分析!Z176&lt;&gt;"",分析!Z176,"")</f>
        <v>-1.1768349334159183</v>
      </c>
      <c r="U71" s="128" t="str">
        <f>IF(分析!V176&lt;&gt;"",分析!V176,"")</f>
        <v>年初来高値更新●</v>
      </c>
      <c r="V71" s="138">
        <f>IF(分析!W176&lt;&gt;"",分析!W176,"")</f>
        <v>76.957831325301214</v>
      </c>
      <c r="W71" s="139" t="str">
        <f>IF(分析!AD176&lt;&gt;"",分析!AD176,"")</f>
        <v>もみ合い→</v>
      </c>
      <c r="X71" s="140" t="str">
        <f>IF(分析!AE176&lt;&gt;"",分析!AE176,"")</f>
        <v>なし</v>
      </c>
      <c r="Y71" s="141">
        <f>IF(分析!T176&lt;&gt;"",分析!T176,"")</f>
        <v>9</v>
      </c>
      <c r="Z71" s="142" t="str">
        <f>IF(分析!Y176&lt;&gt;"",分析!Y176,"")</f>
        <v>△注目</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9088</v>
      </c>
      <c r="F72" s="148">
        <f>IF(分析!F129&lt;&gt;"",分析!F129,"")</f>
        <v>8820</v>
      </c>
      <c r="G72" s="148">
        <f>IF(分析!H129&lt;&gt;"",分析!H129,"")</f>
        <v>9210</v>
      </c>
      <c r="H72" s="148">
        <f>IF(分析!I129&lt;&gt;"",分析!I129,"")</f>
        <v>8800</v>
      </c>
      <c r="I72" s="148">
        <f>IF(分析!J129&lt;&gt;"",分析!J129,"")</f>
        <v>4906500</v>
      </c>
      <c r="J72" s="148">
        <f>IF(分析!AB129&lt;&gt;"",分析!AB129,"")</f>
        <v>2594.2199592668017</v>
      </c>
      <c r="K72" s="148">
        <f>IF(分析!AC129&lt;&gt;"",分析!AC129,"")</f>
        <v>2555.429082240762</v>
      </c>
      <c r="L72" s="148">
        <f>IF(分析!K129&lt;&gt;"",分析!K129,"")</f>
        <v>13300</v>
      </c>
      <c r="M72" s="143" t="str">
        <f>IF(分析!P129&lt;&gt;"",分析!P129,"")</f>
        <v>普通→</v>
      </c>
      <c r="N72" s="149">
        <f>IF(分析!O129&lt;&gt;"",分析!O129,"")</f>
        <v>1.4833121712316344</v>
      </c>
      <c r="O72" s="150">
        <f>IF(分析!X129&lt;&gt;"",分析!X129,"")</f>
        <v>147.36750066669811</v>
      </c>
      <c r="P72" s="151">
        <f>IF(分析!L129&lt;&gt;"",分析!L129,"")</f>
        <v>-31.669172932330824</v>
      </c>
      <c r="Q72" s="148">
        <f>IF(分析!S129&lt;&gt;"",分析!S129,"")</f>
        <v>8724</v>
      </c>
      <c r="R72" s="148">
        <f>IF(分析!R129&lt;&gt;"",分析!R129,"")</f>
        <v>9815</v>
      </c>
      <c r="S72" s="143" t="str">
        <f>IF(分析!AA129&lt;&gt;"",分析!AA129,"")</f>
        <v>上昇▲</v>
      </c>
      <c r="T72" s="152">
        <f>IF(分析!Z129&lt;&gt;"",分析!Z129,"")</f>
        <v>6.1310288450309471</v>
      </c>
      <c r="U72" s="143" t="str">
        <f>IF(分析!V129&lt;&gt;"",分析!V129,"")</f>
        <v>通常</v>
      </c>
      <c r="V72" s="153">
        <f>IF(分析!W129&lt;&gt;"",分析!W129,"")</f>
        <v>62.459686089013118</v>
      </c>
      <c r="W72" s="154" t="str">
        <f>IF(分析!AD129&lt;&gt;"",分析!AD129,"")</f>
        <v>パーフェクト▲</v>
      </c>
      <c r="X72" s="155" t="str">
        <f>IF(分析!AE129&lt;&gt;"",分析!AE129,"")</f>
        <v>なし</v>
      </c>
      <c r="Y72" s="156">
        <f>IF(分析!T129&lt;&gt;"",分析!T129,"")</f>
        <v>9</v>
      </c>
      <c r="Z72" s="142" t="str">
        <f>IF(分析!Y129&lt;&gt;"",分析!Y129,"")</f>
        <v>△注目</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3096</v>
      </c>
      <c r="F73" s="148">
        <f>IF(分析!F149&lt;&gt;"",分析!F149,"")</f>
        <v>3151</v>
      </c>
      <c r="G73" s="148">
        <f>IF(分析!H149&lt;&gt;"",分析!H149,"")</f>
        <v>3263</v>
      </c>
      <c r="H73" s="148">
        <f>IF(分析!I149&lt;&gt;"",分析!I149,"")</f>
        <v>3056</v>
      </c>
      <c r="I73" s="148">
        <f>IF(分析!J149&lt;&gt;"",分析!J149,"")</f>
        <v>3146400</v>
      </c>
      <c r="J73" s="148">
        <f>IF(分析!AB149&lt;&gt;"",分析!AB149,"")</f>
        <v>5730.1221995926671</v>
      </c>
      <c r="K73" s="148">
        <f>IF(分析!AC149&lt;&gt;"",分析!AC149,"")</f>
        <v>5485.3039332538719</v>
      </c>
      <c r="L73" s="148">
        <f>IF(分析!K149&lt;&gt;"",分析!K149,"")</f>
        <v>5228</v>
      </c>
      <c r="M73" s="143" t="str">
        <f>IF(分析!P149&lt;&gt;"",分析!P149,"")</f>
        <v>普通→</v>
      </c>
      <c r="N73" s="149">
        <f>IF(分析!O149&lt;&gt;"",分析!O149,"")</f>
        <v>1.0803980413836676</v>
      </c>
      <c r="O73" s="150">
        <f>IF(分析!X149&lt;&gt;"",分析!X149,"")</f>
        <v>-97.420338800901391</v>
      </c>
      <c r="P73" s="151">
        <f>IF(分析!L149&lt;&gt;"",分析!L149,"")</f>
        <v>-40.780413159908186</v>
      </c>
      <c r="Q73" s="148">
        <f>IF(分析!S149&lt;&gt;"",分析!S149,"")</f>
        <v>2972</v>
      </c>
      <c r="R73" s="148">
        <f>IF(分析!R149&lt;&gt;"",分析!R149,"")</f>
        <v>3344</v>
      </c>
      <c r="S73" s="143" t="str">
        <f>IF(分析!AA149&lt;&gt;"",分析!AA149,"")</f>
        <v>下落▼</v>
      </c>
      <c r="T73" s="152">
        <f>IF(分析!Z149&lt;&gt;"",分析!Z149,"")</f>
        <v>-5.9252506836827719</v>
      </c>
      <c r="U73" s="143" t="str">
        <f>IF(分析!V149&lt;&gt;"",分析!V149,"")</f>
        <v>通常</v>
      </c>
      <c r="V73" s="153">
        <f>IF(分析!W149&lt;&gt;"",分析!W149,"")</f>
        <v>32.526881720430111</v>
      </c>
      <c r="W73" s="154" t="str">
        <f>IF(分析!AD149&lt;&gt;"",分析!AD149,"")</f>
        <v>もみ合い→</v>
      </c>
      <c r="X73" s="155" t="str">
        <f>IF(分析!AE149&lt;&gt;"",分析!AE149,"")</f>
        <v>なし</v>
      </c>
      <c r="Y73" s="156">
        <f>IF(分析!T149&lt;&gt;"",分析!T149,"")</f>
        <v>1</v>
      </c>
      <c r="Z73" s="142" t="str">
        <f>IF(分析!Y149&lt;&gt;"",分析!Y149,"")</f>
        <v>見送り</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2338</v>
      </c>
      <c r="F74" s="148">
        <f>IF(分析!F159&lt;&gt;"",分析!F159,"")</f>
        <v>2303</v>
      </c>
      <c r="G74" s="148">
        <f>IF(分析!H159&lt;&gt;"",分析!H159,"")</f>
        <v>2348.5</v>
      </c>
      <c r="H74" s="148">
        <f>IF(分析!I159&lt;&gt;"",分析!I159,"")</f>
        <v>2296.5</v>
      </c>
      <c r="I74" s="148">
        <f>IF(分析!J159&lt;&gt;"",分析!J159,"")</f>
        <v>1513200</v>
      </c>
      <c r="J74" s="148">
        <f>IF(分析!AB159&lt;&gt;"",分析!AB159,"")</f>
        <v>1066.1945010183297</v>
      </c>
      <c r="K74" s="148">
        <f>IF(分析!AC159&lt;&gt;"",分析!AC159,"")</f>
        <v>1046.4410011918947</v>
      </c>
      <c r="L74" s="148">
        <f>IF(分析!K159&lt;&gt;"",分析!K159,"")</f>
        <v>2674.5</v>
      </c>
      <c r="M74" s="143" t="str">
        <f>IF(分析!P159&lt;&gt;"",分析!P159,"")</f>
        <v>減少↓</v>
      </c>
      <c r="N74" s="149">
        <f>IF(分析!O159&lt;&gt;"",分析!O159,"")</f>
        <v>0.73836965326098625</v>
      </c>
      <c r="O74" s="150">
        <f>IF(分析!X159&lt;&gt;"",分析!X159,"")</f>
        <v>-19.220601697983966</v>
      </c>
      <c r="P74" s="151">
        <f>IF(分析!L159&lt;&gt;"",分析!L159,"")</f>
        <v>-12.581790988969901</v>
      </c>
      <c r="Q74" s="148">
        <f>IF(分析!S159&lt;&gt;"",分析!S159,"")</f>
        <v>2244</v>
      </c>
      <c r="R74" s="148">
        <f>IF(分析!R159&lt;&gt;"",分析!R159,"")</f>
        <v>2525</v>
      </c>
      <c r="S74" s="143" t="str">
        <f>IF(分析!AA159&lt;&gt;"",分析!AA159,"")</f>
        <v>上昇▲</v>
      </c>
      <c r="T74" s="152">
        <f>IF(分析!Z159&lt;&gt;"",分析!Z159,"")</f>
        <v>1.6079965232507605</v>
      </c>
      <c r="U74" s="143" t="str">
        <f>IF(分析!V159&lt;&gt;"",分析!V159,"")</f>
        <v>通常</v>
      </c>
      <c r="V74" s="153">
        <f>IF(分析!W159&lt;&gt;"",分析!W159,"")</f>
        <v>49.159542791278454</v>
      </c>
      <c r="W74" s="154" t="str">
        <f>IF(分析!AD159&lt;&gt;"",分析!AD159,"")</f>
        <v>パーフェクト▲</v>
      </c>
      <c r="X74" s="155" t="str">
        <f>IF(分析!AE159&lt;&gt;"",分析!AE159,"")</f>
        <v>なし</v>
      </c>
      <c r="Y74" s="156">
        <f>IF(分析!T159&lt;&gt;"",分析!T159,"")</f>
        <v>4</v>
      </c>
      <c r="Z74" s="142" t="str">
        <f>IF(分析!Y159&lt;&gt;"",分析!Y159,"")</f>
        <v>様子見</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5967</v>
      </c>
      <c r="F75" s="148">
        <f>IF(分析!F15&lt;&gt;"",分析!F15,"")</f>
        <v>5988</v>
      </c>
      <c r="G75" s="148">
        <f>IF(分析!H15&lt;&gt;"",分析!H15,"")</f>
        <v>6024</v>
      </c>
      <c r="H75" s="148">
        <f>IF(分析!I15&lt;&gt;"",分析!I15,"")</f>
        <v>5925</v>
      </c>
      <c r="I75" s="148">
        <f>IF(分析!J15&lt;&gt;"",分析!J15,"")</f>
        <v>862300</v>
      </c>
      <c r="J75" s="148">
        <f>IF(分析!AB15&lt;&gt;"",分析!AB15,"")</f>
        <v>5706.7352342158847</v>
      </c>
      <c r="K75" s="148">
        <f>IF(分析!AC15&lt;&gt;"",分析!AC15,"")</f>
        <v>6007.0023837902245</v>
      </c>
      <c r="L75" s="148">
        <f>IF(分析!K15&lt;&gt;"",分析!K15,"")</f>
        <v>7967</v>
      </c>
      <c r="M75" s="143" t="str">
        <f>IF(分析!P15&lt;&gt;"",分析!P15,"")</f>
        <v>減少↓</v>
      </c>
      <c r="N75" s="149">
        <f>IF(分析!O15&lt;&gt;"",分析!O15,"")</f>
        <v>0.84540873350457857</v>
      </c>
      <c r="O75" s="150">
        <f>IF(分析!X15&lt;&gt;"",分析!X15,"")</f>
        <v>5.2677390850958545</v>
      </c>
      <c r="P75" s="151">
        <f>IF(分析!L15&lt;&gt;"",分析!L15,"")</f>
        <v>-25.1035521526296</v>
      </c>
      <c r="Q75" s="148">
        <f>IF(分析!S15&lt;&gt;"",分析!S15,"")</f>
        <v>5728</v>
      </c>
      <c r="R75" s="148">
        <f>IF(分析!R15&lt;&gt;"",分析!R15,"")</f>
        <v>6444</v>
      </c>
      <c r="S75" s="143" t="str">
        <f>IF(分析!AA15&lt;&gt;"",分析!AA15,"")</f>
        <v>上昇▲</v>
      </c>
      <c r="T75" s="152">
        <f>IF(分析!Z15&lt;&gt;"",分析!Z15,"")</f>
        <v>0.50530570995452251</v>
      </c>
      <c r="U75" s="143" t="str">
        <f>IF(分析!V15&lt;&gt;"",分析!V15,"")</f>
        <v>通常</v>
      </c>
      <c r="V75" s="153">
        <f>IF(分析!W15&lt;&gt;"",分析!W15,"")</f>
        <v>39.567233384853175</v>
      </c>
      <c r="W75" s="154" t="str">
        <f>IF(分析!AD15&lt;&gt;"",分析!AD15,"")</f>
        <v>もみ合い→</v>
      </c>
      <c r="X75" s="155" t="str">
        <f>IF(分析!AE15&lt;&gt;"",分析!AE15,"")</f>
        <v>なし</v>
      </c>
      <c r="Y75" s="156">
        <f>IF(分析!T15&lt;&gt;"",分析!T15,"")</f>
        <v>3</v>
      </c>
      <c r="Z75" s="142" t="str">
        <f>IF(分析!Y15&lt;&gt;"",分析!Y15,"")</f>
        <v>様子見</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3763</v>
      </c>
      <c r="F76" s="148">
        <f>IF(分析!F157&lt;&gt;"",分析!F157,"")</f>
        <v>3738</v>
      </c>
      <c r="G76" s="148">
        <f>IF(分析!H157&lt;&gt;"",分析!H157,"")</f>
        <v>3800</v>
      </c>
      <c r="H76" s="148">
        <f>IF(分析!I157&lt;&gt;"",分析!I157,"")</f>
        <v>3717</v>
      </c>
      <c r="I76" s="148">
        <f>IF(分析!J157&lt;&gt;"",分析!J157,"")</f>
        <v>521500</v>
      </c>
      <c r="J76" s="148">
        <f>IF(分析!AB157&lt;&gt;"",分析!AB157,"")</f>
        <v>6941.3951120162928</v>
      </c>
      <c r="K76" s="148">
        <f>IF(分析!AC157&lt;&gt;"",分析!AC157,"")</f>
        <v>7072.6936829558972</v>
      </c>
      <c r="L76" s="148">
        <f>IF(分析!K157&lt;&gt;"",分析!K157,"")</f>
        <v>4403</v>
      </c>
      <c r="M76" s="143" t="str">
        <f>IF(分析!P157&lt;&gt;"",分析!P157,"")</f>
        <v>普通→</v>
      </c>
      <c r="N76" s="149">
        <f>IF(分析!O157&lt;&gt;"",分析!O157,"")</f>
        <v>1.1933638443935928</v>
      </c>
      <c r="O76" s="150">
        <f>IF(分析!X157&lt;&gt;"",分析!X157,"")</f>
        <v>-2.9870302779422673</v>
      </c>
      <c r="P76" s="151">
        <f>IF(分析!L157&lt;&gt;"",分析!L157,"")</f>
        <v>-14.535543947308655</v>
      </c>
      <c r="Q76" s="148">
        <f>IF(分析!S157&lt;&gt;"",分析!S157,"")</f>
        <v>3612</v>
      </c>
      <c r="R76" s="148">
        <f>IF(分析!R157&lt;&gt;"",分析!R157,"")</f>
        <v>4064</v>
      </c>
      <c r="S76" s="143" t="str">
        <f>IF(分析!AA157&lt;&gt;"",分析!AA157,"")</f>
        <v>上昇▲</v>
      </c>
      <c r="T76" s="152">
        <f>IF(分析!Z157&lt;&gt;"",分析!Z157,"")</f>
        <v>1.3193322563274097</v>
      </c>
      <c r="U76" s="143" t="str">
        <f>IF(分析!V157&lt;&gt;"",分析!V157,"")</f>
        <v>通常</v>
      </c>
      <c r="V76" s="153">
        <f>IF(分析!W157&lt;&gt;"",分析!W157,"")</f>
        <v>40.1673640167364</v>
      </c>
      <c r="W76" s="154" t="str">
        <f>IF(分析!AD157&lt;&gt;"",分析!AD157,"")</f>
        <v>下降トレンド▼</v>
      </c>
      <c r="X76" s="155" t="str">
        <f>IF(分析!AE157&lt;&gt;"",分析!AE157,"")</f>
        <v>なし</v>
      </c>
      <c r="Y76" s="156">
        <f>IF(分析!T157&lt;&gt;"",分析!T157,"")</f>
        <v>4</v>
      </c>
      <c r="Z76" s="142" t="str">
        <f>IF(分析!Y157&lt;&gt;"",分析!Y157,"")</f>
        <v>様子見</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2030</v>
      </c>
      <c r="F77" s="148">
        <f>IF(分析!F193&lt;&gt;"",分析!F193,"")</f>
        <v>2036</v>
      </c>
      <c r="G77" s="148">
        <f>IF(分析!H193&lt;&gt;"",分析!H193,"")</f>
        <v>2053</v>
      </c>
      <c r="H77" s="148">
        <f>IF(分析!I193&lt;&gt;"",分析!I193,"")</f>
        <v>2030</v>
      </c>
      <c r="I77" s="148">
        <f>IF(分析!J193&lt;&gt;"",分析!J193,"")</f>
        <v>22400</v>
      </c>
      <c r="J77" s="148">
        <f>IF(分析!AB193&lt;&gt;"",分析!AB193,"")</f>
        <v>8707.1181262729133</v>
      </c>
      <c r="K77" s="148">
        <f>IF(分析!AC193&lt;&gt;"",分析!AC193,"")</f>
        <v>8326.6150178784228</v>
      </c>
      <c r="L77" s="148">
        <f>IF(分析!K193&lt;&gt;"",分析!K193,"")</f>
        <v>2348</v>
      </c>
      <c r="M77" s="143" t="str">
        <f>IF(分析!P193&lt;&gt;"",分析!P193,"")</f>
        <v>減少↓</v>
      </c>
      <c r="N77" s="149">
        <f>IF(分析!O193&lt;&gt;"",分析!O193,"")</f>
        <v>0.89671737389911932</v>
      </c>
      <c r="O77" s="150">
        <f>IF(分析!X193&lt;&gt;"",分析!X193,"")</f>
        <v>-4.9094686732132686E-2</v>
      </c>
      <c r="P77" s="151">
        <f>IF(分析!L193&lt;&gt;"",分析!L193,"")</f>
        <v>-13.543441226575808</v>
      </c>
      <c r="Q77" s="148">
        <f>IF(分析!S193&lt;&gt;"",分析!S193,"")</f>
        <v>1949</v>
      </c>
      <c r="R77" s="148">
        <f>IF(分析!R193&lt;&gt;"",分析!R193,"")</f>
        <v>2192</v>
      </c>
      <c r="S77" s="143" t="str">
        <f>IF(分析!AA193&lt;&gt;"",分析!AA193,"")</f>
        <v>下落▼</v>
      </c>
      <c r="T77" s="152">
        <f>IF(分析!Z193&lt;&gt;"",分析!Z193,"")</f>
        <v>-0.14756517461878996</v>
      </c>
      <c r="U77" s="143" t="str">
        <f>IF(分析!V193&lt;&gt;"",分析!V193,"")</f>
        <v>通常</v>
      </c>
      <c r="V77" s="153">
        <f>IF(分析!W193&lt;&gt;"",分析!W193,"")</f>
        <v>50.271546635182993</v>
      </c>
      <c r="W77" s="154" t="str">
        <f>IF(分析!AD193&lt;&gt;"",分析!AD193,"")</f>
        <v>もみ合い→</v>
      </c>
      <c r="X77" s="155" t="str">
        <f>IF(分析!AE193&lt;&gt;"",分析!AE193,"")</f>
        <v>なし</v>
      </c>
      <c r="Y77" s="156">
        <f>IF(分析!T193&lt;&gt;"",分析!T193,"")</f>
        <v>2</v>
      </c>
      <c r="Z77" s="142" t="str">
        <f>IF(分析!Y193&lt;&gt;"",分析!Y193,"")</f>
        <v>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4691</v>
      </c>
      <c r="F78" s="133">
        <f>IF(分析!F160&lt;&gt;"",分析!F160,"")</f>
        <v>4501</v>
      </c>
      <c r="G78" s="133">
        <f>IF(分析!H160&lt;&gt;"",分析!H160,"")</f>
        <v>4698</v>
      </c>
      <c r="H78" s="133">
        <f>IF(分析!I160&lt;&gt;"",分析!I160,"")</f>
        <v>4479</v>
      </c>
      <c r="I78" s="133">
        <f>IF(分析!J160&lt;&gt;"",分析!J160,"")</f>
        <v>1421600</v>
      </c>
      <c r="J78" s="133">
        <f>IF(分析!AB160&lt;&gt;"",分析!AB160,"")</f>
        <v>4385.4226069246424</v>
      </c>
      <c r="K78" s="133">
        <f>IF(分析!AC160&lt;&gt;"",分析!AC160,"")</f>
        <v>4247.7890345649566</v>
      </c>
      <c r="L78" s="133">
        <f>IF(分析!K160&lt;&gt;"",分析!K160,"")</f>
        <v>5243</v>
      </c>
      <c r="M78" s="128" t="str">
        <f>IF(分析!P160&lt;&gt;"",分析!P160,"")</f>
        <v>減少↓</v>
      </c>
      <c r="N78" s="134">
        <f>IF(分析!O160&lt;&gt;"",分析!O160,"")</f>
        <v>0.72909294191258678</v>
      </c>
      <c r="O78" s="135">
        <f>IF(分析!X160&lt;&gt;"",分析!X160,"")</f>
        <v>60.323277835052068</v>
      </c>
      <c r="P78" s="136">
        <f>IF(分析!L160&lt;&gt;"",分析!L160,"")</f>
        <v>-10.52832347892428</v>
      </c>
      <c r="Q78" s="133">
        <f>IF(分析!S160&lt;&gt;"",分析!S160,"")</f>
        <v>4503</v>
      </c>
      <c r="R78" s="133">
        <f>IF(分析!R160&lt;&gt;"",分析!R160,"")</f>
        <v>5066</v>
      </c>
      <c r="S78" s="128" t="str">
        <f>IF(分析!AA160&lt;&gt;"",分析!AA160,"")</f>
        <v>上昇▲</v>
      </c>
      <c r="T78" s="137">
        <f>IF(分析!Z160&lt;&gt;"",分析!Z160,"")</f>
        <v>3.7831858407079642</v>
      </c>
      <c r="U78" s="128" t="str">
        <f>IF(分析!V160&lt;&gt;"",分析!V160,"")</f>
        <v>通常</v>
      </c>
      <c r="V78" s="138">
        <f>IF(分析!W160&lt;&gt;"",分析!W160,"")</f>
        <v>59.141274238227147</v>
      </c>
      <c r="W78" s="139" t="str">
        <f>IF(分析!AD160&lt;&gt;"",分析!AD160,"")</f>
        <v>パーフェクト▲</v>
      </c>
      <c r="X78" s="140" t="str">
        <f>IF(分析!AE160&lt;&gt;"",分析!AE160,"")</f>
        <v>なし</v>
      </c>
      <c r="Y78" s="141">
        <f>IF(分析!T160&lt;&gt;"",分析!T160,"")</f>
        <v>9</v>
      </c>
      <c r="Z78" s="142" t="str">
        <f>IF(分析!Y160&lt;&gt;"",分析!Y160,"")</f>
        <v>△注目</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7899</v>
      </c>
      <c r="F79" s="148">
        <f>IF(分析!F153&lt;&gt;"",分析!F153,"")</f>
        <v>7750</v>
      </c>
      <c r="G79" s="148">
        <f>IF(分析!H153&lt;&gt;"",分析!H153,"")</f>
        <v>7899</v>
      </c>
      <c r="H79" s="148">
        <f>IF(分析!I153&lt;&gt;"",分析!I153,"")</f>
        <v>7714</v>
      </c>
      <c r="I79" s="148">
        <f>IF(分析!J153&lt;&gt;"",分析!J153,"")</f>
        <v>169400</v>
      </c>
      <c r="J79" s="148">
        <f>IF(分析!AB153&lt;&gt;"",分析!AB153,"")</f>
        <v>3581.9806517311608</v>
      </c>
      <c r="K79" s="148">
        <f>IF(分析!AC153&lt;&gt;"",分析!AC153,"")</f>
        <v>3614.0369487485091</v>
      </c>
      <c r="L79" s="148">
        <f>IF(分析!K153&lt;&gt;"",分析!K153,"")</f>
        <v>8611</v>
      </c>
      <c r="M79" s="143" t="str">
        <f>IF(分析!P153&lt;&gt;"",分析!P153,"")</f>
        <v>減少↓</v>
      </c>
      <c r="N79" s="149">
        <f>IF(分析!O153&lt;&gt;"",分析!O153,"")</f>
        <v>0.70701168614357257</v>
      </c>
      <c r="O79" s="150">
        <f>IF(分析!X153&lt;&gt;"",分析!X153,"")</f>
        <v>216.68577927790102</v>
      </c>
      <c r="P79" s="151">
        <f>IF(分析!L153&lt;&gt;"",分析!L153,"")</f>
        <v>-8.268493787016606</v>
      </c>
      <c r="Q79" s="148">
        <f>IF(分析!S153&lt;&gt;"",分析!S153,"")</f>
        <v>7583</v>
      </c>
      <c r="R79" s="148">
        <f>IF(分析!R153&lt;&gt;"",分析!R153,"")</f>
        <v>8531</v>
      </c>
      <c r="S79" s="143" t="str">
        <f>IF(分析!AA153&lt;&gt;"",分析!AA153,"")</f>
        <v>上昇▲</v>
      </c>
      <c r="T79" s="152">
        <f>IF(分析!Z153&lt;&gt;"",分析!Z153,"")</f>
        <v>1.9752130131680867</v>
      </c>
      <c r="U79" s="143" t="str">
        <f>IF(分析!V153&lt;&gt;"",分析!V153,"")</f>
        <v>通常</v>
      </c>
      <c r="V79" s="153">
        <f>IF(分析!W153&lt;&gt;"",分析!W153,"")</f>
        <v>72.938612422811474</v>
      </c>
      <c r="W79" s="154" t="str">
        <f>IF(分析!AD153&lt;&gt;"",分析!AD153,"")</f>
        <v>上昇トレンド▲</v>
      </c>
      <c r="X79" s="155" t="str">
        <f>IF(分析!AE153&lt;&gt;"",分析!AE153,"")</f>
        <v>なし</v>
      </c>
      <c r="Y79" s="156">
        <f>IF(分析!T153&lt;&gt;"",分析!T153,"")</f>
        <v>7</v>
      </c>
      <c r="Z79" s="142" t="str">
        <f>IF(分析!Y153&lt;&gt;"",分析!Y153,"")</f>
        <v>△注目</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8907</v>
      </c>
      <c r="F80" s="133">
        <f>IF(分析!F128&lt;&gt;"",分析!F128,"")</f>
        <v>8664</v>
      </c>
      <c r="G80" s="133">
        <f>IF(分析!H128&lt;&gt;"",分析!H128,"")</f>
        <v>8999</v>
      </c>
      <c r="H80" s="133">
        <f>IF(分析!I128&lt;&gt;"",分析!I128,"")</f>
        <v>8602</v>
      </c>
      <c r="I80" s="133">
        <f>IF(分析!J128&lt;&gt;"",分析!J128,"")</f>
        <v>894700</v>
      </c>
      <c r="J80" s="133">
        <f>IF(分析!AB128&lt;&gt;"",分析!AB128,"")</f>
        <v>6704.1171079429723</v>
      </c>
      <c r="K80" s="133">
        <f>IF(分析!AC128&lt;&gt;"",分析!AC128,"")</f>
        <v>6718.4064362336103</v>
      </c>
      <c r="L80" s="133">
        <f>IF(分析!K128&lt;&gt;"",分析!K128,"")</f>
        <v>12380</v>
      </c>
      <c r="M80" s="128" t="str">
        <f>IF(分析!P128&lt;&gt;"",分析!P128,"")</f>
        <v>増加↑</v>
      </c>
      <c r="N80" s="134">
        <f>IF(分析!O128&lt;&gt;"",分析!O128,"")</f>
        <v>1.5550804741544131</v>
      </c>
      <c r="O80" s="135">
        <f>IF(分析!X128&lt;&gt;"",分析!X128,"")</f>
        <v>4.2658962183431868</v>
      </c>
      <c r="P80" s="136">
        <f>IF(分析!L128&lt;&gt;"",分析!L128,"")</f>
        <v>-28.053311793214863</v>
      </c>
      <c r="Q80" s="133">
        <f>IF(分析!S128&lt;&gt;"",分析!S128,"")</f>
        <v>8551</v>
      </c>
      <c r="R80" s="133">
        <f>IF(分析!R128&lt;&gt;"",分析!R128,"")</f>
        <v>9620</v>
      </c>
      <c r="S80" s="128" t="str">
        <f>IF(分析!AA128&lt;&gt;"",分析!AA128,"")</f>
        <v>上昇▲</v>
      </c>
      <c r="T80" s="137">
        <f>IF(分析!Z128&lt;&gt;"",分析!Z128,"")</f>
        <v>4.0658955485453907</v>
      </c>
      <c r="U80" s="128" t="str">
        <f>IF(分析!V128&lt;&gt;"",分析!V128,"")</f>
        <v>通常</v>
      </c>
      <c r="V80" s="138">
        <f>IF(分析!W128&lt;&gt;"",分析!W128,"")</f>
        <v>52.0393811533052</v>
      </c>
      <c r="W80" s="139" t="str">
        <f>IF(分析!AD128&lt;&gt;"",分析!AD128,"")</f>
        <v>上昇トレンド▲</v>
      </c>
      <c r="X80" s="140" t="str">
        <f>IF(分析!AE128&lt;&gt;"",分析!AE128,"")</f>
        <v>なし</v>
      </c>
      <c r="Y80" s="141">
        <f>IF(分析!T128&lt;&gt;"",分析!T128,"")</f>
        <v>11</v>
      </c>
      <c r="Z80" s="142" t="str">
        <f>IF(分析!Y128&lt;&gt;"",分析!Y128,"")</f>
        <v>○買い候補</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3635</v>
      </c>
      <c r="F81" s="148">
        <f>IF(分析!F119&lt;&gt;"",分析!F119,"")</f>
        <v>3627</v>
      </c>
      <c r="G81" s="148">
        <f>IF(分析!H119&lt;&gt;"",分析!H119,"")</f>
        <v>3661</v>
      </c>
      <c r="H81" s="148">
        <f>IF(分析!I119&lt;&gt;"",分析!I119,"")</f>
        <v>3614</v>
      </c>
      <c r="I81" s="148">
        <f>IF(分析!J119&lt;&gt;"",分析!J119,"")</f>
        <v>617900</v>
      </c>
      <c r="J81" s="148">
        <f>IF(分析!AB119&lt;&gt;"",分析!AB119,"")</f>
        <v>3026.7046843177181</v>
      </c>
      <c r="K81" s="148">
        <f>IF(分析!AC119&lt;&gt;"",分析!AC119,"")</f>
        <v>3038.7556615017875</v>
      </c>
      <c r="L81" s="148">
        <f>IF(分析!K119&lt;&gt;"",分析!K119,"")</f>
        <v>4284</v>
      </c>
      <c r="M81" s="143" t="str">
        <f>IF(分析!P119&lt;&gt;"",分析!P119,"")</f>
        <v>減少↓</v>
      </c>
      <c r="N81" s="149">
        <f>IF(分析!O119&lt;&gt;"",分析!O119,"")</f>
        <v>0.56928321356182054</v>
      </c>
      <c r="O81" s="150">
        <f>IF(分析!X119&lt;&gt;"",分析!X119,"")</f>
        <v>-28.692760678079139</v>
      </c>
      <c r="P81" s="151">
        <f>IF(分析!L119&lt;&gt;"",分析!L119,"")</f>
        <v>-15.149393090569561</v>
      </c>
      <c r="Q81" s="148">
        <f>IF(分析!S119&lt;&gt;"",分析!S119,"")</f>
        <v>3490</v>
      </c>
      <c r="R81" s="148">
        <f>IF(分析!R119&lt;&gt;"",分析!R119,"")</f>
        <v>3926</v>
      </c>
      <c r="S81" s="143" t="str">
        <f>IF(分析!AA119&lt;&gt;"",分析!AA119,"")</f>
        <v>上昇▲</v>
      </c>
      <c r="T81" s="152">
        <f>IF(分析!Z119&lt;&gt;"",分析!Z119,"")</f>
        <v>0.63676633444075303</v>
      </c>
      <c r="U81" s="143" t="str">
        <f>IF(分析!V119&lt;&gt;"",分析!V119,"")</f>
        <v>通常</v>
      </c>
      <c r="V81" s="153">
        <f>IF(分析!W119&lt;&gt;"",分析!W119,"")</f>
        <v>49.441600744532337</v>
      </c>
      <c r="W81" s="154" t="str">
        <f>IF(分析!AD119&lt;&gt;"",分析!AD119,"")</f>
        <v>上昇トレンド▲</v>
      </c>
      <c r="X81" s="155" t="str">
        <f>IF(分析!AE119&lt;&gt;"",分析!AE119,"")</f>
        <v>なし</v>
      </c>
      <c r="Y81" s="156">
        <f>IF(分析!T119&lt;&gt;"",分析!T119,"")</f>
        <v>2</v>
      </c>
      <c r="Z81" s="142" t="str">
        <f>IF(分析!Y119&lt;&gt;"",分析!Y119,"")</f>
        <v>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4738</v>
      </c>
      <c r="F82" s="133">
        <f>IF(分析!F166&lt;&gt;"",分析!F166,"")</f>
        <v>4639</v>
      </c>
      <c r="G82" s="133">
        <f>IF(分析!H166&lt;&gt;"",分析!H166,"")</f>
        <v>4761</v>
      </c>
      <c r="H82" s="133">
        <f>IF(分析!I166&lt;&gt;"",分析!I166,"")</f>
        <v>4629</v>
      </c>
      <c r="I82" s="133">
        <f>IF(分析!J166&lt;&gt;"",分析!J166,"")</f>
        <v>3127100</v>
      </c>
      <c r="J82" s="133">
        <f>IF(分析!AB166&lt;&gt;"",分析!AB166,"")</f>
        <v>2010.9185336048874</v>
      </c>
      <c r="K82" s="133">
        <f>IF(分析!AC166&lt;&gt;"",分析!AC166,"")</f>
        <v>1925.3230035756847</v>
      </c>
      <c r="L82" s="133">
        <f>IF(分析!K166&lt;&gt;"",分析!K166,"")</f>
        <v>6300</v>
      </c>
      <c r="M82" s="128" t="str">
        <f>IF(分析!P166&lt;&gt;"",分析!P166,"")</f>
        <v>減少↓</v>
      </c>
      <c r="N82" s="134">
        <f>IF(分析!O166&lt;&gt;"",分析!O166,"")</f>
        <v>0.69064751379263123</v>
      </c>
      <c r="O82" s="135">
        <f>IF(分析!X166&lt;&gt;"",分析!X166,"")</f>
        <v>-26.596352477122309</v>
      </c>
      <c r="P82" s="136">
        <f>IF(分析!L166&lt;&gt;"",分析!L166,"")</f>
        <v>-24.793650793650794</v>
      </c>
      <c r="Q82" s="133">
        <f>IF(分析!S166&lt;&gt;"",分析!S166,"")</f>
        <v>4548</v>
      </c>
      <c r="R82" s="133">
        <f>IF(分析!R166&lt;&gt;"",分析!R166,"")</f>
        <v>5117</v>
      </c>
      <c r="S82" s="128" t="str">
        <f>IF(分析!AA166&lt;&gt;"",分析!AA166,"")</f>
        <v>上昇▲</v>
      </c>
      <c r="T82" s="137">
        <f>IF(分析!Z166&lt;&gt;"",分析!Z166,"")</f>
        <v>3.6761487964989055</v>
      </c>
      <c r="U82" s="128" t="str">
        <f>IF(分析!V166&lt;&gt;"",分析!V166,"")</f>
        <v>通常</v>
      </c>
      <c r="V82" s="138">
        <f>IF(分析!W166&lt;&gt;"",分析!W166,"")</f>
        <v>41.090555014605648</v>
      </c>
      <c r="W82" s="139" t="str">
        <f>IF(分析!AD166&lt;&gt;"",分析!AD166,"")</f>
        <v>パーフェクト▲</v>
      </c>
      <c r="X82" s="140" t="str">
        <f>IF(分析!AE166&lt;&gt;"",分析!AE166,"")</f>
        <v>なし</v>
      </c>
      <c r="Y82" s="141">
        <f>IF(分析!T166&lt;&gt;"",分析!T166,"")</f>
        <v>6</v>
      </c>
      <c r="Z82" s="142" t="str">
        <f>IF(分析!Y166&lt;&gt;"",分析!Y166,"")</f>
        <v>△注目</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2226</v>
      </c>
      <c r="F83" s="148">
        <f>IF(分析!F121&lt;&gt;"",分析!F121,"")</f>
        <v>2213</v>
      </c>
      <c r="G83" s="148">
        <f>IF(分析!H121&lt;&gt;"",分析!H121,"")</f>
        <v>2253</v>
      </c>
      <c r="H83" s="148">
        <f>IF(分析!I121&lt;&gt;"",分析!I121,"")</f>
        <v>2197</v>
      </c>
      <c r="I83" s="148">
        <f>IF(分析!J121&lt;&gt;"",分析!J121,"")</f>
        <v>27900</v>
      </c>
      <c r="J83" s="148">
        <f>IF(分析!AB121&lt;&gt;"",分析!AB121,"")</f>
        <v>2541.645621181262</v>
      </c>
      <c r="K83" s="148">
        <f>IF(分析!AC121&lt;&gt;"",分析!AC121,"")</f>
        <v>2559.0947556615006</v>
      </c>
      <c r="L83" s="148">
        <f>IF(分析!K121&lt;&gt;"",分析!K121,"")</f>
        <v>2993</v>
      </c>
      <c r="M83" s="143" t="str">
        <f>IF(分析!P121&lt;&gt;"",分析!P121,"")</f>
        <v>減少↓</v>
      </c>
      <c r="N83" s="149">
        <f>IF(分析!O121&lt;&gt;"",分析!O121,"")</f>
        <v>0.83433014354066981</v>
      </c>
      <c r="O83" s="150">
        <f>IF(分析!X121&lt;&gt;"",分析!X121,"")</f>
        <v>12.107523115440017</v>
      </c>
      <c r="P83" s="151">
        <f>IF(分析!L121&lt;&gt;"",分析!L121,"")</f>
        <v>-25.626461744069495</v>
      </c>
      <c r="Q83" s="148">
        <f>IF(分析!S121&lt;&gt;"",分析!S121,"")</f>
        <v>2137</v>
      </c>
      <c r="R83" s="148">
        <f>IF(分析!R121&lt;&gt;"",分析!R121,"")</f>
        <v>2404</v>
      </c>
      <c r="S83" s="143" t="str">
        <f>IF(分析!AA121&lt;&gt;"",分析!AA121,"")</f>
        <v>上昇▲</v>
      </c>
      <c r="T83" s="152">
        <f>IF(分析!Z121&lt;&gt;"",分析!Z121,"")</f>
        <v>0.58743786714866697</v>
      </c>
      <c r="U83" s="143" t="str">
        <f>IF(分析!V121&lt;&gt;"",分析!V121,"")</f>
        <v>通常</v>
      </c>
      <c r="V83" s="153">
        <f>IF(分析!W121&lt;&gt;"",分析!W121,"")</f>
        <v>62.396694214876035</v>
      </c>
      <c r="W83" s="154" t="str">
        <f>IF(分析!AD121&lt;&gt;"",分析!AD121,"")</f>
        <v>下降トレンド▼</v>
      </c>
      <c r="X83" s="155" t="str">
        <f>IF(分析!AE121&lt;&gt;"",分析!AE121,"")</f>
        <v>なし</v>
      </c>
      <c r="Y83" s="156">
        <f>IF(分析!T121&lt;&gt;"",分析!T121,"")</f>
        <v>5</v>
      </c>
      <c r="Z83" s="142" t="str">
        <f>IF(分析!Y121&lt;&gt;"",分析!Y121,"")</f>
        <v>様子見</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32930</v>
      </c>
      <c r="F84" s="148">
        <f>IF(分析!F83&lt;&gt;"",分析!F83,"")</f>
        <v>32500</v>
      </c>
      <c r="G84" s="148">
        <f>IF(分析!H83&lt;&gt;"",分析!H83,"")</f>
        <v>33200</v>
      </c>
      <c r="H84" s="148">
        <f>IF(分析!I83&lt;&gt;"",分析!I83,"")</f>
        <v>31910</v>
      </c>
      <c r="I84" s="148">
        <f>IF(分析!J83&lt;&gt;"",分析!J83,"")</f>
        <v>7818100</v>
      </c>
      <c r="J84" s="148">
        <f>IF(分析!AB83&lt;&gt;"",分析!AB83,"")</f>
        <v>3181.7657841140526</v>
      </c>
      <c r="K84" s="148">
        <f>IF(分析!AC83&lt;&gt;"",分析!AC83,"")</f>
        <v>3236.9404052443374</v>
      </c>
      <c r="L84" s="148">
        <f>IF(分析!K83&lt;&gt;"",分析!K83,"")</f>
        <v>35940</v>
      </c>
      <c r="M84" s="143" t="str">
        <f>IF(分析!P83&lt;&gt;"",分析!P83,"")</f>
        <v>減少↓</v>
      </c>
      <c r="N84" s="149">
        <f>IF(分析!O83&lt;&gt;"",分析!O83,"")</f>
        <v>0.70802655292018724</v>
      </c>
      <c r="O84" s="150">
        <f>IF(分析!X83&lt;&gt;"",分析!X83,"")</f>
        <v>272.34657039712329</v>
      </c>
      <c r="P84" s="151">
        <f>IF(分析!L83&lt;&gt;"",分析!L83,"")</f>
        <v>-8.3750695603784084</v>
      </c>
      <c r="Q84" s="148">
        <f>IF(分析!S83&lt;&gt;"",分析!S83,"")</f>
        <v>31613</v>
      </c>
      <c r="R84" s="148">
        <f>IF(分析!R83&lt;&gt;"",分析!R83,"")</f>
        <v>35564</v>
      </c>
      <c r="S84" s="143" t="str">
        <f>IF(分析!AA83&lt;&gt;"",分析!AA83,"")</f>
        <v>下落▼</v>
      </c>
      <c r="T84" s="152">
        <f>IF(分析!Z83&lt;&gt;"",分析!Z83,"")</f>
        <v>-2.34282325029656</v>
      </c>
      <c r="U84" s="143" t="str">
        <f>IF(分析!V83&lt;&gt;"",分析!V83,"")</f>
        <v>通常</v>
      </c>
      <c r="V84" s="153">
        <f>IF(分析!W83&lt;&gt;"",分析!W83,"")</f>
        <v>54.508363933088532</v>
      </c>
      <c r="W84" s="154" t="str">
        <f>IF(分析!AD83&lt;&gt;"",分析!AD83,"")</f>
        <v>上昇トレンド▲</v>
      </c>
      <c r="X84" s="155" t="str">
        <f>IF(分析!AE83&lt;&gt;"",分析!AE83,"")</f>
        <v>なし</v>
      </c>
      <c r="Y84" s="156">
        <f>IF(分析!T83&lt;&gt;"",分析!T83,"")</f>
        <v>5</v>
      </c>
      <c r="Z84" s="142" t="str">
        <f>IF(分析!Y83&lt;&gt;"",分析!Y83,"")</f>
        <v>様子見</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3596</v>
      </c>
      <c r="F85" s="148">
        <f>IF(分析!F117&lt;&gt;"",分析!F117,"")</f>
        <v>3508</v>
      </c>
      <c r="G85" s="148">
        <f>IF(分析!H117&lt;&gt;"",分析!H117,"")</f>
        <v>3644</v>
      </c>
      <c r="H85" s="148">
        <f>IF(分析!I117&lt;&gt;"",分析!I117,"")</f>
        <v>3496</v>
      </c>
      <c r="I85" s="148">
        <f>IF(分析!J117&lt;&gt;"",分析!J117,"")</f>
        <v>721400</v>
      </c>
      <c r="J85" s="148">
        <f>IF(分析!AB117&lt;&gt;"",分析!AB117,"")</f>
        <v>2855.3467413441949</v>
      </c>
      <c r="K85" s="148">
        <f>IF(分析!AC117&lt;&gt;"",分析!AC117,"")</f>
        <v>2888.9278903456479</v>
      </c>
      <c r="L85" s="148">
        <f>IF(分析!K117&lt;&gt;"",分析!K117,"")</f>
        <v>4456</v>
      </c>
      <c r="M85" s="143" t="str">
        <f>IF(分析!P117&lt;&gt;"",分析!P117,"")</f>
        <v>増加↑</v>
      </c>
      <c r="N85" s="149">
        <f>IF(分析!O117&lt;&gt;"",分析!O117,"")</f>
        <v>1.6901738437748934</v>
      </c>
      <c r="O85" s="150">
        <f>IF(分析!X117&lt;&gt;"",分析!X117,"")</f>
        <v>-3.1264911100579411</v>
      </c>
      <c r="P85" s="151">
        <f>IF(分析!L117&lt;&gt;"",分析!L117,"")</f>
        <v>-19.299820466786354</v>
      </c>
      <c r="Q85" s="148">
        <f>IF(分析!S117&lt;&gt;"",分析!S117,"")</f>
        <v>3452</v>
      </c>
      <c r="R85" s="148">
        <f>IF(分析!R117&lt;&gt;"",分析!R117,"")</f>
        <v>3884</v>
      </c>
      <c r="S85" s="143" t="str">
        <f>IF(分析!AA117&lt;&gt;"",分析!AA117,"")</f>
        <v>上昇▲</v>
      </c>
      <c r="T85" s="152">
        <f>IF(分析!Z117&lt;&gt;"",分析!Z117,"")</f>
        <v>2.7428571428571429</v>
      </c>
      <c r="U85" s="143" t="str">
        <f>IF(分析!V117&lt;&gt;"",分析!V117,"")</f>
        <v>通常</v>
      </c>
      <c r="V85" s="153">
        <f>IF(分析!W117&lt;&gt;"",分析!W117,"")</f>
        <v>42.812500000000007</v>
      </c>
      <c r="W85" s="154" t="str">
        <f>IF(分析!AD117&lt;&gt;"",分析!AD117,"")</f>
        <v>上昇トレンド▲</v>
      </c>
      <c r="X85" s="155" t="str">
        <f>IF(分析!AE117&lt;&gt;"",分析!AE117,"")</f>
        <v>なし</v>
      </c>
      <c r="Y85" s="156">
        <f>IF(分析!T117&lt;&gt;"",分析!T117,"")</f>
        <v>8</v>
      </c>
      <c r="Z85" s="142" t="str">
        <f>IF(分析!Y117&lt;&gt;"",分析!Y117,"")</f>
        <v>△注目</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3460</v>
      </c>
      <c r="F86" s="133">
        <f>IF(分析!F206&lt;&gt;"",分析!F206,"")</f>
        <v>3400</v>
      </c>
      <c r="G86" s="133">
        <f>IF(分析!H206&lt;&gt;"",分析!H206,"")</f>
        <v>3460</v>
      </c>
      <c r="H86" s="133">
        <f>IF(分析!I206&lt;&gt;"",分析!I206,"")</f>
        <v>3377</v>
      </c>
      <c r="I86" s="133">
        <f>IF(分析!J206&lt;&gt;"",分析!J206,"")</f>
        <v>3566500</v>
      </c>
      <c r="J86" s="133">
        <f>IF(分析!AB206&lt;&gt;"",分析!AB206,"")</f>
        <v>5396.6854838709678</v>
      </c>
      <c r="K86" s="133">
        <f>IF(分析!AC206&lt;&gt;"",分析!AC206,"")</f>
        <v>5315.7115613825963</v>
      </c>
      <c r="L86" s="133">
        <f>IF(分析!K206&lt;&gt;"",分析!K206,"")</f>
        <v>4955</v>
      </c>
      <c r="M86" s="128" t="str">
        <f>IF(分析!P206&lt;&gt;"",分析!P206,"")</f>
        <v>減少↓</v>
      </c>
      <c r="N86" s="134">
        <f>IF(分析!O206&lt;&gt;"",分析!O206,"")</f>
        <v>0.9477659139104877</v>
      </c>
      <c r="O86" s="135">
        <f>IF(分析!X206&lt;&gt;"",分析!X206,"")</f>
        <v>17.230927523196442</v>
      </c>
      <c r="P86" s="136">
        <f>IF(分析!L206&lt;&gt;"",分析!L206,"")</f>
        <v>-30.171543895055496</v>
      </c>
      <c r="Q86" s="133">
        <f>IF(分析!S206&lt;&gt;"",分析!S206,"")</f>
        <v>3322</v>
      </c>
      <c r="R86" s="133">
        <f>IF(分析!R206&lt;&gt;"",分析!R206,"")</f>
        <v>3737</v>
      </c>
      <c r="S86" s="128" t="str">
        <f>IF(分析!AA206&lt;&gt;"",分析!AA206,"")</f>
        <v>上昇▲</v>
      </c>
      <c r="T86" s="137">
        <f>IF(分析!Z206&lt;&gt;"",分析!Z206,"")</f>
        <v>1.9446081319976427</v>
      </c>
      <c r="U86" s="128" t="str">
        <f>IF(分析!V206&lt;&gt;"",分析!V206,"")</f>
        <v>通常</v>
      </c>
      <c r="V86" s="138">
        <f>IF(分析!W206&lt;&gt;"",分析!W206,"")</f>
        <v>46.888888888888886</v>
      </c>
      <c r="W86" s="139" t="str">
        <f>IF(分析!AD206&lt;&gt;"",分析!AD206,"")</f>
        <v>もみ合い→</v>
      </c>
      <c r="X86" s="140" t="str">
        <f>IF(分析!AE206&lt;&gt;"",分析!AE206,"")</f>
        <v>なし</v>
      </c>
      <c r="Y86" s="141">
        <f>IF(分析!T206&lt;&gt;"",分析!T206,"")</f>
        <v>6</v>
      </c>
      <c r="Z86" s="142" t="str">
        <f>IF(分析!Y206&lt;&gt;"",分析!Y206,"")</f>
        <v>△注目</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6034</v>
      </c>
      <c r="F87" s="148">
        <f>IF(分析!F169&lt;&gt;"",分析!F169,"")</f>
        <v>5921</v>
      </c>
      <c r="G87" s="148">
        <f>IF(分析!H169&lt;&gt;"",分析!H169,"")</f>
        <v>6095</v>
      </c>
      <c r="H87" s="148">
        <f>IF(分析!I169&lt;&gt;"",分析!I169,"")</f>
        <v>5921</v>
      </c>
      <c r="I87" s="148">
        <f>IF(分析!J169&lt;&gt;"",分析!J169,"")</f>
        <v>440800</v>
      </c>
      <c r="J87" s="148">
        <f>IF(分析!AB169&lt;&gt;"",分析!AB169,"")</f>
        <v>3038.5896130346232</v>
      </c>
      <c r="K87" s="148">
        <f>IF(分析!AC169&lt;&gt;"",分析!AC169,"")</f>
        <v>3083.5816448152541</v>
      </c>
      <c r="L87" s="148">
        <f>IF(分析!K169&lt;&gt;"",分析!K169,"")</f>
        <v>6509</v>
      </c>
      <c r="M87" s="143" t="str">
        <f>IF(分析!P169&lt;&gt;"",分析!P169,"")</f>
        <v>減少↓</v>
      </c>
      <c r="N87" s="149">
        <f>IF(分析!O169&lt;&gt;"",分析!O169,"")</f>
        <v>0.77249307770495246</v>
      </c>
      <c r="O87" s="150">
        <f>IF(分析!X169&lt;&gt;"",分析!X169,"")</f>
        <v>-36.036905098331772</v>
      </c>
      <c r="P87" s="151">
        <f>IF(分析!L169&lt;&gt;"",分析!L169,"")</f>
        <v>-7.2975879551390381</v>
      </c>
      <c r="Q87" s="148">
        <f>IF(分析!S169&lt;&gt;"",分析!S169,"")</f>
        <v>5793</v>
      </c>
      <c r="R87" s="148">
        <f>IF(分析!R169&lt;&gt;"",分析!R169,"")</f>
        <v>6517</v>
      </c>
      <c r="S87" s="143" t="str">
        <f>IF(分析!AA169&lt;&gt;"",分析!AA169,"")</f>
        <v>上昇▲</v>
      </c>
      <c r="T87" s="152">
        <f>IF(分析!Z169&lt;&gt;"",分析!Z169,"")</f>
        <v>1.6509433962264151</v>
      </c>
      <c r="U87" s="143" t="str">
        <f>IF(分析!V169&lt;&gt;"",分析!V169,"")</f>
        <v>通常</v>
      </c>
      <c r="V87" s="153">
        <f>IF(分析!W169&lt;&gt;"",分析!W169,"")</f>
        <v>41.074380165289256</v>
      </c>
      <c r="W87" s="154" t="str">
        <f>IF(分析!AD169&lt;&gt;"",分析!AD169,"")</f>
        <v>上昇トレンド▲</v>
      </c>
      <c r="X87" s="155" t="str">
        <f>IF(分析!AE169&lt;&gt;"",分析!AE169,"")</f>
        <v>なし</v>
      </c>
      <c r="Y87" s="156">
        <f>IF(分析!T169&lt;&gt;"",分析!T169,"")</f>
        <v>3</v>
      </c>
      <c r="Z87" s="142" t="str">
        <f>IF(分析!Y169&lt;&gt;"",分析!Y169,"")</f>
        <v>様子見</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6167</v>
      </c>
      <c r="F88" s="133">
        <f>IF(分析!F172&lt;&gt;"",分析!F172,"")</f>
        <v>6093</v>
      </c>
      <c r="G88" s="133">
        <f>IF(分析!H172&lt;&gt;"",分析!H172,"")</f>
        <v>6234</v>
      </c>
      <c r="H88" s="133">
        <f>IF(分析!I172&lt;&gt;"",分析!I172,"")</f>
        <v>6090</v>
      </c>
      <c r="I88" s="133">
        <f>IF(分析!J172&lt;&gt;"",分析!J172,"")</f>
        <v>6777500</v>
      </c>
      <c r="J88" s="133">
        <f>IF(分析!AB172&lt;&gt;"",分析!AB172,"")</f>
        <v>3752.645621181262</v>
      </c>
      <c r="K88" s="133">
        <f>IF(分析!AC172&lt;&gt;"",分析!AC172,"")</f>
        <v>3789.8414779499381</v>
      </c>
      <c r="L88" s="133">
        <f>IF(分析!K172&lt;&gt;"",分析!K172,"")</f>
        <v>7930</v>
      </c>
      <c r="M88" s="128" t="str">
        <f>IF(分析!P172&lt;&gt;"",分析!P172,"")</f>
        <v>減少↓</v>
      </c>
      <c r="N88" s="134">
        <f>IF(分析!O172&lt;&gt;"",分析!O172,"")</f>
        <v>0.67193907091472937</v>
      </c>
      <c r="O88" s="135">
        <f>IF(分析!X172&lt;&gt;"",分析!X172,"")</f>
        <v>-195.24519879477066</v>
      </c>
      <c r="P88" s="136">
        <f>IF(分析!L172&lt;&gt;"",分析!L172,"")</f>
        <v>-22.232030264817151</v>
      </c>
      <c r="Q88" s="133">
        <f>IF(分析!S172&lt;&gt;"",分析!S172,"")</f>
        <v>5920</v>
      </c>
      <c r="R88" s="133">
        <f>IF(分析!R172&lt;&gt;"",分析!R172,"")</f>
        <v>6660</v>
      </c>
      <c r="S88" s="128" t="str">
        <f>IF(分析!AA172&lt;&gt;"",分析!AA172,"")</f>
        <v>上昇▲</v>
      </c>
      <c r="T88" s="137">
        <f>IF(分析!Z172&lt;&gt;"",分析!Z172,"")</f>
        <v>6.4903456109037805E-2</v>
      </c>
      <c r="U88" s="128" t="str">
        <f>IF(分析!V172&lt;&gt;"",分析!V172,"")</f>
        <v>通常</v>
      </c>
      <c r="V88" s="138">
        <f>IF(分析!W172&lt;&gt;"",分析!W172,"")</f>
        <v>20.280264694433626</v>
      </c>
      <c r="W88" s="139" t="str">
        <f>IF(分析!AD172&lt;&gt;"",分析!AD172,"")</f>
        <v>上昇トレンド▲</v>
      </c>
      <c r="X88" s="140" t="str">
        <f>IF(分析!AE172&lt;&gt;"",分析!AE172,"")</f>
        <v>なし</v>
      </c>
      <c r="Y88" s="141">
        <f>IF(分析!T172&lt;&gt;"",分析!T172,"")</f>
        <v>4</v>
      </c>
      <c r="Z88" s="142" t="str">
        <f>IF(分析!Y172&lt;&gt;"",分析!Y172,"")</f>
        <v>様子見</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4630</v>
      </c>
      <c r="F89" s="148">
        <f>IF(分析!F123&lt;&gt;"",分析!F123,"")</f>
        <v>4651</v>
      </c>
      <c r="G89" s="148">
        <f>IF(分析!H123&lt;&gt;"",分析!H123,"")</f>
        <v>4728</v>
      </c>
      <c r="H89" s="148">
        <f>IF(分析!I123&lt;&gt;"",分析!I123,"")</f>
        <v>4610</v>
      </c>
      <c r="I89" s="148">
        <f>IF(分析!J123&lt;&gt;"",分析!J123,"")</f>
        <v>905100</v>
      </c>
      <c r="J89" s="148">
        <f>IF(分析!AB123&lt;&gt;"",分析!AB123,"")</f>
        <v>2454.1751527494907</v>
      </c>
      <c r="K89" s="148">
        <f>IF(分析!AC123&lt;&gt;"",分析!AC123,"")</f>
        <v>2492.3778307508928</v>
      </c>
      <c r="L89" s="148">
        <f>IF(分析!K123&lt;&gt;"",分析!K123,"")</f>
        <v>4890</v>
      </c>
      <c r="M89" s="143" t="str">
        <f>IF(分析!P123&lt;&gt;"",分析!P123,"")</f>
        <v>減少↓</v>
      </c>
      <c r="N89" s="149">
        <f>IF(分析!O123&lt;&gt;"",分析!O123,"")</f>
        <v>0.79943118585383954</v>
      </c>
      <c r="O89" s="150">
        <f>IF(分析!X123&lt;&gt;"",分析!X123,"")</f>
        <v>-7.8835570910550814</v>
      </c>
      <c r="P89" s="151">
        <f>IF(分析!L123&lt;&gt;"",分析!L123,"")</f>
        <v>-5.3169734151329244</v>
      </c>
      <c r="Q89" s="148">
        <f>IF(分析!S123&lt;&gt;"",分析!S123,"")</f>
        <v>4445</v>
      </c>
      <c r="R89" s="148">
        <f>IF(分析!R123&lt;&gt;"",分析!R123,"")</f>
        <v>5000</v>
      </c>
      <c r="S89" s="143" t="str">
        <f>IF(分析!AA123&lt;&gt;"",分析!AA123,"")</f>
        <v>下落▼</v>
      </c>
      <c r="T89" s="152">
        <f>IF(分析!Z123&lt;&gt;"",分析!Z123,"")</f>
        <v>-1.0049176822749626</v>
      </c>
      <c r="U89" s="143" t="str">
        <f>IF(分析!V123&lt;&gt;"",分析!V123,"")</f>
        <v>高値圏</v>
      </c>
      <c r="V89" s="153">
        <f>IF(分析!W123&lt;&gt;"",分析!W123,"")</f>
        <v>46.253021756647861</v>
      </c>
      <c r="W89" s="154" t="str">
        <f>IF(分析!AD123&lt;&gt;"",分析!AD123,"")</f>
        <v>上昇トレンド▲</v>
      </c>
      <c r="X89" s="155" t="str">
        <f>IF(分析!AE123&lt;&gt;"",分析!AE123,"")</f>
        <v>なし</v>
      </c>
      <c r="Y89" s="156">
        <f>IF(分析!T123&lt;&gt;"",分析!T123,"")</f>
        <v>6</v>
      </c>
      <c r="Z89" s="142" t="str">
        <f>IF(分析!Y123&lt;&gt;"",分析!Y123,"")</f>
        <v>△注目</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1022</v>
      </c>
      <c r="F90" s="148">
        <f>IF(分析!F21&lt;&gt;"",分析!F21,"")</f>
        <v>1021</v>
      </c>
      <c r="G90" s="148">
        <f>IF(分析!H21&lt;&gt;"",分析!H21,"")</f>
        <v>1028</v>
      </c>
      <c r="H90" s="148">
        <f>IF(分析!I21&lt;&gt;"",分析!I21,"")</f>
        <v>1014</v>
      </c>
      <c r="I90" s="148">
        <f>IF(分析!J21&lt;&gt;"",分析!J21,"")</f>
        <v>166200</v>
      </c>
      <c r="J90" s="148">
        <f>IF(分析!AB21&lt;&gt;"",分析!AB21,"")</f>
        <v>4952.8482688391023</v>
      </c>
      <c r="K90" s="148">
        <f>IF(分析!AC21&lt;&gt;"",分析!AC21,"")</f>
        <v>4789.4755661501767</v>
      </c>
      <c r="L90" s="148">
        <f>IF(分析!K21&lt;&gt;"",分析!K21,"")</f>
        <v>1343</v>
      </c>
      <c r="M90" s="143" t="str">
        <f>IF(分析!P21&lt;&gt;"",分析!P21,"")</f>
        <v>減少↓</v>
      </c>
      <c r="N90" s="149">
        <f>IF(分析!O21&lt;&gt;"",分析!O21,"")</f>
        <v>0.76308539944903586</v>
      </c>
      <c r="O90" s="150">
        <f>IF(分析!X21&lt;&gt;"",分析!X21,"")</f>
        <v>2.578276063828298</v>
      </c>
      <c r="P90" s="151">
        <f>IF(分析!L21&lt;&gt;"",分析!L21,"")</f>
        <v>-23.901712583767683</v>
      </c>
      <c r="Q90" s="148">
        <f>IF(分析!S21&lt;&gt;"",分析!S21,"")</f>
        <v>981</v>
      </c>
      <c r="R90" s="148">
        <f>IF(分析!R21&lt;&gt;"",分析!R21,"")</f>
        <v>1104</v>
      </c>
      <c r="S90" s="143" t="str">
        <f>IF(分析!AA21&lt;&gt;"",分析!AA21,"")</f>
        <v>上昇▲</v>
      </c>
      <c r="T90" s="152">
        <f>IF(分析!Z21&lt;&gt;"",分析!Z21,"")</f>
        <v>0.19607843137254902</v>
      </c>
      <c r="U90" s="143" t="str">
        <f>IF(分析!V21&lt;&gt;"",分析!V21,"")</f>
        <v>通常</v>
      </c>
      <c r="V90" s="153">
        <f>IF(分析!W21&lt;&gt;"",分析!W21,"")</f>
        <v>51.948051948051948</v>
      </c>
      <c r="W90" s="154" t="str">
        <f>IF(分析!AD21&lt;&gt;"",分析!AD21,"")</f>
        <v>もみ合い→</v>
      </c>
      <c r="X90" s="155" t="str">
        <f>IF(分析!AE21&lt;&gt;"",分析!AE21,"")</f>
        <v>なし</v>
      </c>
      <c r="Y90" s="156">
        <f>IF(分析!T21&lt;&gt;"",分析!T21,"")</f>
        <v>4</v>
      </c>
      <c r="Z90" s="142" t="str">
        <f>IF(分析!Y21&lt;&gt;"",分析!Y21,"")</f>
        <v>様子見</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7180</v>
      </c>
      <c r="F91" s="148">
        <f>IF(分析!F177&lt;&gt;"",分析!F177,"")</f>
        <v>6990</v>
      </c>
      <c r="G91" s="148">
        <f>IF(分析!H177&lt;&gt;"",分析!H177,"")</f>
        <v>7320</v>
      </c>
      <c r="H91" s="148">
        <f>IF(分析!I177&lt;&gt;"",分析!I177,"")</f>
        <v>6730</v>
      </c>
      <c r="I91" s="148">
        <f>IF(分析!J177&lt;&gt;"",分析!J177,"")</f>
        <v>210000</v>
      </c>
      <c r="J91" s="148">
        <f>IF(分析!AB177&lt;&gt;"",分析!AB177,"")</f>
        <v>2854.4164969450098</v>
      </c>
      <c r="K91" s="148">
        <f>IF(分析!AC177&lt;&gt;"",分析!AC177,"")</f>
        <v>2797.3921334922525</v>
      </c>
      <c r="L91" s="148">
        <f>IF(分析!K177&lt;&gt;"",分析!K177,"")</f>
        <v>11110</v>
      </c>
      <c r="M91" s="143" t="str">
        <f>IF(分析!P177&lt;&gt;"",分析!P177,"")</f>
        <v>減少↓</v>
      </c>
      <c r="N91" s="149">
        <f>IF(分析!O177&lt;&gt;"",分析!O177,"")</f>
        <v>0.54440815056773995</v>
      </c>
      <c r="O91" s="150">
        <f>IF(分析!X177&lt;&gt;"",分析!X177,"")</f>
        <v>-164.17847149526642</v>
      </c>
      <c r="P91" s="151">
        <f>IF(分析!L177&lt;&gt;"",分析!L177,"")</f>
        <v>-35.373537353735372</v>
      </c>
      <c r="Q91" s="148">
        <f>IF(分析!S177&lt;&gt;"",分析!S177,"")</f>
        <v>6893</v>
      </c>
      <c r="R91" s="148">
        <f>IF(分析!R177&lt;&gt;"",分析!R177,"")</f>
        <v>7754</v>
      </c>
      <c r="S91" s="143" t="str">
        <f>IF(分析!AA177&lt;&gt;"",分析!AA177,"")</f>
        <v>下落▼</v>
      </c>
      <c r="T91" s="152">
        <f>IF(分析!Z177&lt;&gt;"",分析!Z177,"")</f>
        <v>-1.7783857729138166</v>
      </c>
      <c r="U91" s="143" t="str">
        <f>IF(分析!V177&lt;&gt;"",分析!V177,"")</f>
        <v>通常</v>
      </c>
      <c r="V91" s="153">
        <f>IF(分析!W177&lt;&gt;"",分析!W177,"")</f>
        <v>44.277673545966223</v>
      </c>
      <c r="W91" s="154" t="str">
        <f>IF(分析!AD177&lt;&gt;"",分析!AD177,"")</f>
        <v>パーフェクト▲</v>
      </c>
      <c r="X91" s="155" t="str">
        <f>IF(分析!AE177&lt;&gt;"",分析!AE177,"")</f>
        <v>なし</v>
      </c>
      <c r="Y91" s="156">
        <f>IF(分析!T177&lt;&gt;"",分析!T177,"")</f>
        <v>2</v>
      </c>
      <c r="Z91" s="142" t="str">
        <f>IF(分析!Y177&lt;&gt;"",分析!Y177,"")</f>
        <v>見送り</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683.5</v>
      </c>
      <c r="F92" s="133">
        <f>IF(分析!F140&lt;&gt;"",分析!F140,"")</f>
        <v>665</v>
      </c>
      <c r="G92" s="133">
        <f>IF(分析!H140&lt;&gt;"",分析!H140,"")</f>
        <v>685.3</v>
      </c>
      <c r="H92" s="133">
        <f>IF(分析!I140&lt;&gt;"",分析!I140,"")</f>
        <v>663.5</v>
      </c>
      <c r="I92" s="133">
        <f>IF(分析!J140&lt;&gt;"",分析!J140,"")</f>
        <v>53136500</v>
      </c>
      <c r="J92" s="133">
        <f>IF(分析!AB140&lt;&gt;"",分析!AB140,"")</f>
        <v>2628.4602851323825</v>
      </c>
      <c r="K92" s="133">
        <f>IF(分析!AC140&lt;&gt;"",分析!AC140,"")</f>
        <v>2704.346245530392</v>
      </c>
      <c r="L92" s="133">
        <f>IF(分析!K140&lt;&gt;"",分析!K140,"")</f>
        <v>699.8</v>
      </c>
      <c r="M92" s="128" t="str">
        <f>IF(分析!P140&lt;&gt;"",分析!P140,"")</f>
        <v>減少↓</v>
      </c>
      <c r="N92" s="134">
        <f>IF(分析!O140&lt;&gt;"",分析!O140,"")</f>
        <v>0.99883643117086229</v>
      </c>
      <c r="O92" s="135">
        <f>IF(分析!X140&lt;&gt;"",分析!X140,"")</f>
        <v>12.149735709822266</v>
      </c>
      <c r="P92" s="136">
        <f>IF(分析!L140&lt;&gt;"",分析!L140,"")</f>
        <v>-2.3292369248356608</v>
      </c>
      <c r="Q92" s="133">
        <f>IF(分析!S140&lt;&gt;"",分析!S140,"")</f>
        <v>656</v>
      </c>
      <c r="R92" s="133">
        <f>IF(分析!R140&lt;&gt;"",分析!R140,"")</f>
        <v>738</v>
      </c>
      <c r="S92" s="128" t="str">
        <f>IF(分析!AA140&lt;&gt;"",分析!AA140,"")</f>
        <v>上昇▲</v>
      </c>
      <c r="T92" s="137">
        <f>IF(分析!Z140&lt;&gt;"",分析!Z140,"")</f>
        <v>1.7113095238095239</v>
      </c>
      <c r="U92" s="128" t="str">
        <f>IF(分析!V140&lt;&gt;"",分析!V140,"")</f>
        <v>高値圏</v>
      </c>
      <c r="V92" s="138">
        <f>IF(分析!W140&lt;&gt;"",分析!W140,"")</f>
        <v>53.573780086326721</v>
      </c>
      <c r="W92" s="139" t="str">
        <f>IF(分析!AD140&lt;&gt;"",分析!AD140,"")</f>
        <v>下降トレンド▼</v>
      </c>
      <c r="X92" s="140" t="str">
        <f>IF(分析!AE140&lt;&gt;"",分析!AE140,"")</f>
        <v>なし</v>
      </c>
      <c r="Y92" s="141">
        <f>IF(分析!T140&lt;&gt;"",分析!T140,"")</f>
        <v>9</v>
      </c>
      <c r="Z92" s="142" t="str">
        <f>IF(分析!Y140&lt;&gt;"",分析!Y140,"")</f>
        <v>△注目</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5772</v>
      </c>
      <c r="F93" s="148">
        <f>IF(分析!F141&lt;&gt;"",分析!F141,"")</f>
        <v>5856</v>
      </c>
      <c r="G93" s="148">
        <f>IF(分析!H141&lt;&gt;"",分析!H141,"")</f>
        <v>5947</v>
      </c>
      <c r="H93" s="148">
        <f>IF(分析!I141&lt;&gt;"",分析!I141,"")</f>
        <v>5675</v>
      </c>
      <c r="I93" s="148">
        <f>IF(分析!J141&lt;&gt;"",分析!J141,"")</f>
        <v>1655000</v>
      </c>
      <c r="J93" s="148">
        <f>IF(分析!AB141&lt;&gt;"",分析!AB141,"")</f>
        <v>1630.9389002036658</v>
      </c>
      <c r="K93" s="148">
        <f>IF(分析!AC141&lt;&gt;"",分析!AC141,"")</f>
        <v>1658.4040524433844</v>
      </c>
      <c r="L93" s="148">
        <f>IF(分析!K141&lt;&gt;"",分析!K141,"")</f>
        <v>7894</v>
      </c>
      <c r="M93" s="143" t="str">
        <f>IF(分析!P141&lt;&gt;"",分析!P141,"")</f>
        <v>減少↓</v>
      </c>
      <c r="N93" s="149">
        <f>IF(分析!O141&lt;&gt;"",分析!O141,"")</f>
        <v>0.74301209471047225</v>
      </c>
      <c r="O93" s="150">
        <f>IF(分析!X141&lt;&gt;"",分析!X141,"")</f>
        <v>-164.28028689813164</v>
      </c>
      <c r="P93" s="151">
        <f>IF(分析!L141&lt;&gt;"",分析!L141,"")</f>
        <v>-26.881175576387129</v>
      </c>
      <c r="Q93" s="148">
        <f>IF(分析!S141&lt;&gt;"",分析!S141,"")</f>
        <v>5541</v>
      </c>
      <c r="R93" s="148">
        <f>IF(分析!R141&lt;&gt;"",分析!R141,"")</f>
        <v>6234</v>
      </c>
      <c r="S93" s="143" t="str">
        <f>IF(分析!AA141&lt;&gt;"",分析!AA141,"")</f>
        <v>下落▼</v>
      </c>
      <c r="T93" s="152">
        <f>IF(分析!Z141&lt;&gt;"",分析!Z141,"")</f>
        <v>-2.6315789473684208</v>
      </c>
      <c r="U93" s="143" t="str">
        <f>IF(分析!V141&lt;&gt;"",分析!V141,"")</f>
        <v>通常</v>
      </c>
      <c r="V93" s="153">
        <f>IF(分析!W141&lt;&gt;"",分析!W141,"")</f>
        <v>35.567905522750948</v>
      </c>
      <c r="W93" s="154" t="str">
        <f>IF(分析!AD141&lt;&gt;"",分析!AD141,"")</f>
        <v>上昇トレンド▲</v>
      </c>
      <c r="X93" s="155" t="str">
        <f>IF(分析!AE141&lt;&gt;"",分析!AE141,"")</f>
        <v>なし</v>
      </c>
      <c r="Y93" s="156">
        <f>IF(分析!T141&lt;&gt;"",分析!T141,"")</f>
        <v>2</v>
      </c>
      <c r="Z93" s="142" t="str">
        <f>IF(分析!Y141&lt;&gt;"",分析!Y141,"")</f>
        <v>見送り</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2660</v>
      </c>
      <c r="F94" s="148">
        <f>IF(分析!F7&lt;&gt;"",分析!F7,"")</f>
        <v>2612</v>
      </c>
      <c r="G94" s="148">
        <f>IF(分析!H7&lt;&gt;"",分析!H7,"")</f>
        <v>2666.5</v>
      </c>
      <c r="H94" s="148">
        <f>IF(分析!I7&lt;&gt;"",分析!I7,"")</f>
        <v>2604.5</v>
      </c>
      <c r="I94" s="148">
        <f>IF(分析!J7&lt;&gt;"",分析!J7,"")</f>
        <v>6881900</v>
      </c>
      <c r="J94" s="148">
        <f>IF(分析!AB7&lt;&gt;"",分析!AB7,"")</f>
        <v>4293.4175152749485</v>
      </c>
      <c r="K94" s="148">
        <f>IF(分析!AC7&lt;&gt;"",分析!AC7,"")</f>
        <v>4197.8676996424292</v>
      </c>
      <c r="L94" s="148">
        <f>IF(分析!K7&lt;&gt;"",分析!K7,"")</f>
        <v>3625</v>
      </c>
      <c r="M94" s="143" t="str">
        <f>IF(分析!P7&lt;&gt;"",分析!P7,"")</f>
        <v>減少↓</v>
      </c>
      <c r="N94" s="149">
        <f>IF(分析!O7&lt;&gt;"",分析!O7,"")</f>
        <v>0.68583210920854099</v>
      </c>
      <c r="O94" s="150">
        <f>IF(分析!X7&lt;&gt;"",分析!X7,"")</f>
        <v>-10.568278611202004</v>
      </c>
      <c r="P94" s="151">
        <f>IF(分析!L7&lt;&gt;"",分析!L7,"")</f>
        <v>-26.620689655172413</v>
      </c>
      <c r="Q94" s="148">
        <f>IF(分析!S7&lt;&gt;"",分析!S7,"")</f>
        <v>2554</v>
      </c>
      <c r="R94" s="148">
        <f>IF(分析!R7&lt;&gt;"",分析!R7,"")</f>
        <v>2873</v>
      </c>
      <c r="S94" s="143" t="str">
        <f>IF(分析!AA7&lt;&gt;"",分析!AA7,"")</f>
        <v>上昇▲</v>
      </c>
      <c r="T94" s="152">
        <f>IF(分析!Z7&lt;&gt;"",分析!Z7,"")</f>
        <v>2.9013539651837523</v>
      </c>
      <c r="U94" s="143" t="str">
        <f>IF(分析!V7&lt;&gt;"",分析!V7,"")</f>
        <v>通常</v>
      </c>
      <c r="V94" s="153">
        <f>IF(分析!W7&lt;&gt;"",分析!W7,"")</f>
        <v>44.369645042839657</v>
      </c>
      <c r="W94" s="154" t="str">
        <f>IF(分析!AD7&lt;&gt;"",分析!AD7,"")</f>
        <v>もみ合い→</v>
      </c>
      <c r="X94" s="155" t="str">
        <f>IF(分析!AE7&lt;&gt;"",分析!AE7,"")</f>
        <v>なし</v>
      </c>
      <c r="Y94" s="156">
        <f>IF(分析!T7&lt;&gt;"",分析!T7,"")</f>
        <v>3</v>
      </c>
      <c r="Z94" s="142" t="str">
        <f>IF(分析!Y7&lt;&gt;"",分析!Y7,"")</f>
        <v>様子見</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1083</v>
      </c>
      <c r="F95" s="148">
        <f>IF(分析!F165&lt;&gt;"",分析!F165,"")</f>
        <v>1097</v>
      </c>
      <c r="G95" s="148">
        <f>IF(分析!H165&lt;&gt;"",分析!H165,"")</f>
        <v>1097</v>
      </c>
      <c r="H95" s="148">
        <f>IF(分析!I165&lt;&gt;"",分析!I165,"")</f>
        <v>1072</v>
      </c>
      <c r="I95" s="148">
        <f>IF(分析!J165&lt;&gt;"",分析!J165,"")</f>
        <v>1123900</v>
      </c>
      <c r="J95" s="148">
        <f>IF(分析!AB165&lt;&gt;"",分析!AB165,"")</f>
        <v>3208.9307535641551</v>
      </c>
      <c r="K95" s="148">
        <f>IF(分析!AC165&lt;&gt;"",分析!AC165,"")</f>
        <v>3057.7413587604287</v>
      </c>
      <c r="L95" s="148">
        <f>IF(分析!K165&lt;&gt;"",分析!K165,"")</f>
        <v>1212</v>
      </c>
      <c r="M95" s="143" t="str">
        <f>IF(分析!P165&lt;&gt;"",分析!P165,"")</f>
        <v>減少↓</v>
      </c>
      <c r="N95" s="149">
        <f>IF(分析!O165&lt;&gt;"",分析!O165,"")</f>
        <v>0.95608751871512176</v>
      </c>
      <c r="O95" s="150">
        <f>IF(分析!X165&lt;&gt;"",分析!X165,"")</f>
        <v>8.9366837951113212</v>
      </c>
      <c r="P95" s="151">
        <f>IF(分析!L165&lt;&gt;"",分析!L165,"")</f>
        <v>-10.643564356435643</v>
      </c>
      <c r="Q95" s="148">
        <f>IF(分析!S165&lt;&gt;"",分析!S165,"")</f>
        <v>1040</v>
      </c>
      <c r="R95" s="148">
        <f>IF(分析!R165&lt;&gt;"",分析!R165,"")</f>
        <v>1170</v>
      </c>
      <c r="S95" s="143" t="str">
        <f>IF(分析!AA165&lt;&gt;"",分析!AA165,"")</f>
        <v>上昇▲</v>
      </c>
      <c r="T95" s="152">
        <f>IF(分析!Z165&lt;&gt;"",分析!Z165,"")</f>
        <v>1.3096351730589337</v>
      </c>
      <c r="U95" s="143" t="str">
        <f>IF(分析!V165&lt;&gt;"",分析!V165,"")</f>
        <v>通常</v>
      </c>
      <c r="V95" s="153">
        <f>IF(分析!W165&lt;&gt;"",分析!W165,"")</f>
        <v>55.270655270655276</v>
      </c>
      <c r="W95" s="154" t="str">
        <f>IF(分析!AD165&lt;&gt;"",分析!AD165,"")</f>
        <v>もみ合い→</v>
      </c>
      <c r="X95" s="155" t="str">
        <f>IF(分析!AE165&lt;&gt;"",分析!AE165,"")</f>
        <v>なし</v>
      </c>
      <c r="Y95" s="156">
        <f>IF(分析!T165&lt;&gt;"",分析!T165,"")</f>
        <v>6</v>
      </c>
      <c r="Z95" s="142" t="str">
        <f>IF(分析!Y165&lt;&gt;"",分析!Y165,"")</f>
        <v>△注目</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19550</v>
      </c>
      <c r="F96" s="148">
        <f>IF(分析!F87&lt;&gt;"",分析!F87,"")</f>
        <v>20710</v>
      </c>
      <c r="G96" s="148">
        <f>IF(分析!H87&lt;&gt;"",分析!H87,"")</f>
        <v>20810</v>
      </c>
      <c r="H96" s="148">
        <f>IF(分析!I87&lt;&gt;"",分析!I87,"")</f>
        <v>19450</v>
      </c>
      <c r="I96" s="148">
        <f>IF(分析!J87&lt;&gt;"",分析!J87,"")</f>
        <v>202200</v>
      </c>
      <c r="J96" s="148">
        <f>IF(分析!AB87&lt;&gt;"",分析!AB87,"")</f>
        <v>2172.3105906313644</v>
      </c>
      <c r="K96" s="148">
        <f>IF(分析!AC87&lt;&gt;"",分析!AC87,"")</f>
        <v>2093.5649582836709</v>
      </c>
      <c r="L96" s="148">
        <f>IF(分析!K87&lt;&gt;"",分析!K87,"")</f>
        <v>34700</v>
      </c>
      <c r="M96" s="143" t="str">
        <f>IF(分析!P87&lt;&gt;"",分析!P87,"")</f>
        <v>普通→</v>
      </c>
      <c r="N96" s="149">
        <f>IF(分析!O87&lt;&gt;"",分析!O87,"")</f>
        <v>1.1046765734265733</v>
      </c>
      <c r="O96" s="150">
        <f>IF(分析!X87&lt;&gt;"",分析!X87,"")</f>
        <v>-418.16338227742381</v>
      </c>
      <c r="P96" s="151">
        <f>IF(分析!L87&lt;&gt;"",分析!L87,"")</f>
        <v>-43.659942363112393</v>
      </c>
      <c r="Q96" s="148">
        <f>IF(分析!S87&lt;&gt;"",分析!S87,"")</f>
        <v>18768</v>
      </c>
      <c r="R96" s="148">
        <f>IF(分析!R87&lt;&gt;"",分析!R87,"")</f>
        <v>21114</v>
      </c>
      <c r="S96" s="143" t="str">
        <f>IF(分析!AA87&lt;&gt;"",分析!AA87,"")</f>
        <v>下落▼</v>
      </c>
      <c r="T96" s="152">
        <f>IF(分析!Z87&lt;&gt;"",分析!Z87,"")</f>
        <v>-8.8578088578088572</v>
      </c>
      <c r="U96" s="143" t="str">
        <f>IF(分析!V87&lt;&gt;"",分析!V87,"")</f>
        <v>通常</v>
      </c>
      <c r="V96" s="153">
        <f>IF(分析!W87&lt;&gt;"",分析!W87,"")</f>
        <v>49.602069239952243</v>
      </c>
      <c r="W96" s="154" t="str">
        <f>IF(分析!AD87&lt;&gt;"",分析!AD87,"")</f>
        <v>パーフェクト▲</v>
      </c>
      <c r="X96" s="155" t="str">
        <f>IF(分析!AE87&lt;&gt;"",分析!AE87,"")</f>
        <v>なし</v>
      </c>
      <c r="Y96" s="156">
        <f>IF(分析!T87&lt;&gt;"",分析!T87,"")</f>
        <v>3</v>
      </c>
      <c r="Z96" s="142" t="str">
        <f>IF(分析!Y87&lt;&gt;"",分析!Y87,"")</f>
        <v>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4413</v>
      </c>
      <c r="F97" s="133">
        <f>IF(分析!F46&lt;&gt;"",分析!F46,"")</f>
        <v>4394</v>
      </c>
      <c r="G97" s="133">
        <f>IF(分析!H46&lt;&gt;"",分析!H46,"")</f>
        <v>4418</v>
      </c>
      <c r="H97" s="133">
        <f>IF(分析!I46&lt;&gt;"",分析!I46,"")</f>
        <v>4375</v>
      </c>
      <c r="I97" s="133">
        <f>IF(分析!J46&lt;&gt;"",分析!J46,"")</f>
        <v>130900</v>
      </c>
      <c r="J97" s="133">
        <f>IF(分析!AB46&lt;&gt;"",分析!AB46,"")</f>
        <v>1558.0315682281055</v>
      </c>
      <c r="K97" s="133">
        <f>IF(分析!AC46&lt;&gt;"",分析!AC46,"")</f>
        <v>1498.1477949940397</v>
      </c>
      <c r="L97" s="133">
        <f>IF(分析!K46&lt;&gt;"",分析!K46,"")</f>
        <v>4664</v>
      </c>
      <c r="M97" s="128" t="str">
        <f>IF(分析!P46&lt;&gt;"",分析!P46,"")</f>
        <v>減少↓</v>
      </c>
      <c r="N97" s="134">
        <f>IF(分析!O46&lt;&gt;"",分析!O46,"")</f>
        <v>0.58421851289833082</v>
      </c>
      <c r="O97" s="135">
        <f>IF(分析!X46&lt;&gt;"",分析!X46,"")</f>
        <v>21.235801368417924</v>
      </c>
      <c r="P97" s="136">
        <f>IF(分析!L46&lt;&gt;"",分析!L46,"")</f>
        <v>-5.3816466552315614</v>
      </c>
      <c r="Q97" s="133">
        <f>IF(分析!S46&lt;&gt;"",分析!S46,"")</f>
        <v>4236</v>
      </c>
      <c r="R97" s="133">
        <f>IF(分析!R46&lt;&gt;"",分析!R46,"")</f>
        <v>4766</v>
      </c>
      <c r="S97" s="128" t="str">
        <f>IF(分析!AA46&lt;&gt;"",分析!AA46,"")</f>
        <v>上昇▲</v>
      </c>
      <c r="T97" s="137">
        <f>IF(分析!Z46&lt;&gt;"",分析!Z46,"")</f>
        <v>1.0996563573883162</v>
      </c>
      <c r="U97" s="128" t="str">
        <f>IF(分析!V46&lt;&gt;"",分析!V46,"")</f>
        <v>通常</v>
      </c>
      <c r="V97" s="138">
        <f>IF(分析!W46&lt;&gt;"",分析!W46,"")</f>
        <v>50.314465408805034</v>
      </c>
      <c r="W97" s="139" t="str">
        <f>IF(分析!AD46&lt;&gt;"",分析!AD46,"")</f>
        <v>パーフェクト▲</v>
      </c>
      <c r="X97" s="140" t="str">
        <f>IF(分析!AE46&lt;&gt;"",分析!AE46,"")</f>
        <v>なし</v>
      </c>
      <c r="Y97" s="141">
        <f>IF(分析!T46&lt;&gt;"",分析!T46,"")</f>
        <v>7</v>
      </c>
      <c r="Z97" s="142" t="str">
        <f>IF(分析!Y46&lt;&gt;"",分析!Y46,"")</f>
        <v>△注目</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3100</v>
      </c>
      <c r="F98" s="148">
        <f>IF(分析!F69&lt;&gt;"",分析!F69,"")</f>
        <v>3200</v>
      </c>
      <c r="G98" s="148">
        <f>IF(分析!H69&lt;&gt;"",分析!H69,"")</f>
        <v>3265</v>
      </c>
      <c r="H98" s="148">
        <f>IF(分析!I69&lt;&gt;"",分析!I69,"")</f>
        <v>3100</v>
      </c>
      <c r="I98" s="148">
        <f>IF(分析!J69&lt;&gt;"",分析!J69,"")</f>
        <v>345300</v>
      </c>
      <c r="J98" s="148">
        <f>IF(分析!AB69&lt;&gt;"",分析!AB69,"")</f>
        <v>2225.76782077393</v>
      </c>
      <c r="K98" s="148">
        <f>IF(分析!AC69&lt;&gt;"",分析!AC69,"")</f>
        <v>2290.0345649582832</v>
      </c>
      <c r="L98" s="148">
        <f>IF(分析!K69&lt;&gt;"",分析!K69,"")</f>
        <v>4155</v>
      </c>
      <c r="M98" s="143" t="str">
        <f>IF(分析!P69&lt;&gt;"",分析!P69,"")</f>
        <v>普通→</v>
      </c>
      <c r="N98" s="149">
        <f>IF(分析!O69&lt;&gt;"",分析!O69,"")</f>
        <v>1.1641942009440325</v>
      </c>
      <c r="O98" s="150">
        <f>IF(分析!X69&lt;&gt;"",分析!X69,"")</f>
        <v>-82.891585303236752</v>
      </c>
      <c r="P98" s="151">
        <f>IF(分析!L69&lt;&gt;"",分析!L69,"")</f>
        <v>-25.391095066185322</v>
      </c>
      <c r="Q98" s="148">
        <f>IF(分析!S69&lt;&gt;"",分析!S69,"")</f>
        <v>2976</v>
      </c>
      <c r="R98" s="148">
        <f>IF(分析!R69&lt;&gt;"",分析!R69,"")</f>
        <v>3348</v>
      </c>
      <c r="S98" s="143" t="str">
        <f>IF(分析!AA69&lt;&gt;"",分析!AA69,"")</f>
        <v>下落▼</v>
      </c>
      <c r="T98" s="152">
        <f>IF(分析!Z69&lt;&gt;"",分析!Z69,"")</f>
        <v>-0.95846645367412142</v>
      </c>
      <c r="U98" s="143" t="str">
        <f>IF(分析!V69&lt;&gt;"",分析!V69,"")</f>
        <v>通常</v>
      </c>
      <c r="V98" s="153">
        <f>IF(分析!W69&lt;&gt;"",分析!W69,"")</f>
        <v>46.765249537892792</v>
      </c>
      <c r="W98" s="154" t="str">
        <f>IF(分析!AD69&lt;&gt;"",分析!AD69,"")</f>
        <v>上昇トレンド▲</v>
      </c>
      <c r="X98" s="155" t="str">
        <f>IF(分析!AE69&lt;&gt;"",分析!AE69,"")</f>
        <v>なし</v>
      </c>
      <c r="Y98" s="156">
        <f>IF(分析!T69&lt;&gt;"",分析!T69,"")</f>
        <v>2</v>
      </c>
      <c r="Z98" s="142" t="str">
        <f>IF(分析!Y69&lt;&gt;"",分析!Y69,"")</f>
        <v>見送り</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5930</v>
      </c>
      <c r="F99" s="133">
        <f>IF(分析!F96&lt;&gt;"",分析!F96,"")</f>
        <v>5950</v>
      </c>
      <c r="G99" s="133">
        <f>IF(分析!H96&lt;&gt;"",分析!H96,"")</f>
        <v>6030</v>
      </c>
      <c r="H99" s="133">
        <f>IF(分析!I96&lt;&gt;"",分析!I96,"")</f>
        <v>5870</v>
      </c>
      <c r="I99" s="133">
        <f>IF(分析!J96&lt;&gt;"",分析!J96,"")</f>
        <v>175900</v>
      </c>
      <c r="J99" s="133">
        <f>IF(分析!AB96&lt;&gt;"",分析!AB96,"")</f>
        <v>1149.2561099796333</v>
      </c>
      <c r="K99" s="133">
        <f>IF(分析!AC96&lt;&gt;"",分析!AC96,"")</f>
        <v>1119.1495828367099</v>
      </c>
      <c r="L99" s="133">
        <f>IF(分析!K96&lt;&gt;"",分析!K96,"")</f>
        <v>7880</v>
      </c>
      <c r="M99" s="128" t="str">
        <f>IF(分析!P96&lt;&gt;"",分析!P96,"")</f>
        <v>減少↓</v>
      </c>
      <c r="N99" s="134">
        <f>IF(分析!O96&lt;&gt;"",分析!O96,"")</f>
        <v>0.76120823957071149</v>
      </c>
      <c r="O99" s="135">
        <f>IF(分析!X96&lt;&gt;"",分析!X96,"")</f>
        <v>-59.005727613943236</v>
      </c>
      <c r="P99" s="136">
        <f>IF(分析!L96&lt;&gt;"",分析!L96,"")</f>
        <v>-24.746192893401016</v>
      </c>
      <c r="Q99" s="133">
        <f>IF(分析!S96&lt;&gt;"",分析!S96,"")</f>
        <v>5693</v>
      </c>
      <c r="R99" s="133">
        <f>IF(分析!R96&lt;&gt;"",分析!R96,"")</f>
        <v>6404</v>
      </c>
      <c r="S99" s="128" t="str">
        <f>IF(分析!AA96&lt;&gt;"",分析!AA96,"")</f>
        <v>下落▼</v>
      </c>
      <c r="T99" s="137">
        <f>IF(分析!Z96&lt;&gt;"",分析!Z96,"")</f>
        <v>-2.6272577996715927</v>
      </c>
      <c r="U99" s="128" t="str">
        <f>IF(分析!V96&lt;&gt;"",分析!V96,"")</f>
        <v>通常</v>
      </c>
      <c r="V99" s="138">
        <f>IF(分析!W96&lt;&gt;"",分析!W96,"")</f>
        <v>50.578034682080919</v>
      </c>
      <c r="W99" s="139" t="str">
        <f>IF(分析!AD96&lt;&gt;"",分析!AD96,"")</f>
        <v>パーフェクト▲</v>
      </c>
      <c r="X99" s="140" t="str">
        <f>IF(分析!AE96&lt;&gt;"",分析!AE96,"")</f>
        <v>なし</v>
      </c>
      <c r="Y99" s="141">
        <f>IF(分析!T96&lt;&gt;"",分析!T96,"")</f>
        <v>2</v>
      </c>
      <c r="Z99" s="142" t="str">
        <f>IF(分析!Y96&lt;&gt;"",分析!Y96,"")</f>
        <v>見送り</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5255</v>
      </c>
      <c r="F100" s="133">
        <f>IF(分析!F98&lt;&gt;"",分析!F98,"")</f>
        <v>5284</v>
      </c>
      <c r="G100" s="133">
        <f>IF(分析!H98&lt;&gt;"",分析!H98,"")</f>
        <v>5366</v>
      </c>
      <c r="H100" s="133">
        <f>IF(分析!I98&lt;&gt;"",分析!I98,"")</f>
        <v>5161</v>
      </c>
      <c r="I100" s="133">
        <f>IF(分析!J98&lt;&gt;"",分析!J98,"")</f>
        <v>4722700</v>
      </c>
      <c r="J100" s="133">
        <f>IF(分析!AB98&lt;&gt;"",分析!AB98,"")</f>
        <v>2319.3365580448058</v>
      </c>
      <c r="K100" s="133">
        <f>IF(分析!AC98&lt;&gt;"",分析!AC98,"")</f>
        <v>2287.8432657926101</v>
      </c>
      <c r="L100" s="133">
        <f>IF(分析!K98&lt;&gt;"",分析!K98,"")</f>
        <v>7915</v>
      </c>
      <c r="M100" s="128" t="str">
        <f>IF(分析!P98&lt;&gt;"",分析!P98,"")</f>
        <v>減少↓</v>
      </c>
      <c r="N100" s="134">
        <f>IF(分析!O98&lt;&gt;"",分析!O98,"")</f>
        <v>0.76050409342411218</v>
      </c>
      <c r="O100" s="135">
        <f>IF(分析!X98&lt;&gt;"",分析!X98,"")</f>
        <v>-153.02533046222743</v>
      </c>
      <c r="P100" s="136">
        <f>IF(分析!L98&lt;&gt;"",分析!L98,"")</f>
        <v>-33.607075173720787</v>
      </c>
      <c r="Q100" s="133">
        <f>IF(分析!S98&lt;&gt;"",分析!S98,"")</f>
        <v>5045</v>
      </c>
      <c r="R100" s="133">
        <f>IF(分析!R98&lt;&gt;"",分析!R98,"")</f>
        <v>5675</v>
      </c>
      <c r="S100" s="128" t="str">
        <f>IF(分析!AA98&lt;&gt;"",分析!AA98,"")</f>
        <v>下落▼</v>
      </c>
      <c r="T100" s="137">
        <f>IF(分析!Z98&lt;&gt;"",分析!Z98,"")</f>
        <v>-2.3597175771088814</v>
      </c>
      <c r="U100" s="128" t="str">
        <f>IF(分析!V98&lt;&gt;"",分析!V98,"")</f>
        <v>通常</v>
      </c>
      <c r="V100" s="138">
        <f>IF(分析!W98&lt;&gt;"",分析!W98,"")</f>
        <v>47.841726618705032</v>
      </c>
      <c r="W100" s="139" t="str">
        <f>IF(分析!AD98&lt;&gt;"",分析!AD98,"")</f>
        <v>パーフェクト▲</v>
      </c>
      <c r="X100" s="140" t="str">
        <f>IF(分析!AE98&lt;&gt;"",分析!AE98,"")</f>
        <v>なし</v>
      </c>
      <c r="Y100" s="141">
        <f>IF(分析!T98&lt;&gt;"",分析!T98,"")</f>
        <v>2</v>
      </c>
      <c r="Z100" s="142" t="str">
        <f>IF(分析!Y98&lt;&gt;"",分析!Y98,"")</f>
        <v>見送り</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4415</v>
      </c>
      <c r="F101" s="133">
        <f>IF(分析!F108&lt;&gt;"",分析!F108,"")</f>
        <v>4535</v>
      </c>
      <c r="G101" s="133">
        <f>IF(分析!H108&lt;&gt;"",分析!H108,"")</f>
        <v>4610</v>
      </c>
      <c r="H101" s="133">
        <f>IF(分析!I108&lt;&gt;"",分析!I108,"")</f>
        <v>4390</v>
      </c>
      <c r="I101" s="133">
        <f>IF(分析!J108&lt;&gt;"",分析!J108,"")</f>
        <v>749500</v>
      </c>
      <c r="J101" s="133">
        <f>IF(分析!AB108&lt;&gt;"",分析!AB108,"")</f>
        <v>2209.2886965376779</v>
      </c>
      <c r="K101" s="133">
        <f>IF(分析!AC108&lt;&gt;"",分析!AC108,"")</f>
        <v>2174.5607866507744</v>
      </c>
      <c r="L101" s="133">
        <f>IF(分析!K108&lt;&gt;"",分析!K108,"")</f>
        <v>5500</v>
      </c>
      <c r="M101" s="128" t="str">
        <f>IF(分析!P108&lt;&gt;"",分析!P108,"")</f>
        <v>減少↓</v>
      </c>
      <c r="N101" s="134">
        <f>IF(分析!O108&lt;&gt;"",分析!O108,"")</f>
        <v>0.70320123095398934</v>
      </c>
      <c r="O101" s="135">
        <f>IF(分析!X108&lt;&gt;"",分析!X108,"")</f>
        <v>-29.781950652562955</v>
      </c>
      <c r="P101" s="136">
        <f>IF(分析!L108&lt;&gt;"",分析!L108,"")</f>
        <v>-19.727272727272727</v>
      </c>
      <c r="Q101" s="133">
        <f>IF(分析!S108&lt;&gt;"",分析!S108,"")</f>
        <v>4238</v>
      </c>
      <c r="R101" s="133">
        <f>IF(分析!R108&lt;&gt;"",分析!R108,"")</f>
        <v>4768</v>
      </c>
      <c r="S101" s="128" t="str">
        <f>IF(分析!AA108&lt;&gt;"",分析!AA108,"")</f>
        <v>下落▼</v>
      </c>
      <c r="T101" s="137">
        <f>IF(分析!Z108&lt;&gt;"",分析!Z108,"")</f>
        <v>-4.1259500542888166</v>
      </c>
      <c r="U101" s="128" t="str">
        <f>IF(分析!V108&lt;&gt;"",分析!V108,"")</f>
        <v>通常</v>
      </c>
      <c r="V101" s="138">
        <f>IF(分析!W108&lt;&gt;"",分析!W108,"")</f>
        <v>53.48101265822784</v>
      </c>
      <c r="W101" s="139" t="str">
        <f>IF(分析!AD108&lt;&gt;"",分析!AD108,"")</f>
        <v>パーフェクト▲</v>
      </c>
      <c r="X101" s="140" t="str">
        <f>IF(分析!AE108&lt;&gt;"",分析!AE108,"")</f>
        <v>なし</v>
      </c>
      <c r="Y101" s="141">
        <f>IF(分析!T108&lt;&gt;"",分析!T108,"")</f>
        <v>2</v>
      </c>
      <c r="Z101" s="142" t="str">
        <f>IF(分析!Y108&lt;&gt;"",分析!Y108,"")</f>
        <v>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4051</v>
      </c>
      <c r="F102" s="148">
        <f>IF(分析!F155&lt;&gt;"",分析!F155,"")</f>
        <v>4084</v>
      </c>
      <c r="G102" s="148">
        <f>IF(分析!H155&lt;&gt;"",分析!H155,"")</f>
        <v>4128</v>
      </c>
      <c r="H102" s="148">
        <f>IF(分析!I155&lt;&gt;"",分析!I155,"")</f>
        <v>4003</v>
      </c>
      <c r="I102" s="148">
        <f>IF(分析!J155&lt;&gt;"",分析!J155,"")</f>
        <v>618300</v>
      </c>
      <c r="J102" s="148">
        <f>IF(分析!AB155&lt;&gt;"",分析!AB155,"")</f>
        <v>5897.6578411405299</v>
      </c>
      <c r="K102" s="148">
        <f>IF(分析!AC155&lt;&gt;"",分析!AC155,"")</f>
        <v>5939.114421930868</v>
      </c>
      <c r="L102" s="148">
        <f>IF(分析!K155&lt;&gt;"",分析!K155,"")</f>
        <v>4466</v>
      </c>
      <c r="M102" s="143" t="str">
        <f>IF(分析!P155&lt;&gt;"",分析!P155,"")</f>
        <v>減少↓</v>
      </c>
      <c r="N102" s="149">
        <f>IF(分析!O155&lt;&gt;"",分析!O155,"")</f>
        <v>0.7973948929584731</v>
      </c>
      <c r="O102" s="150">
        <f>IF(分析!X155&lt;&gt;"",分析!X155,"")</f>
        <v>-8.6593263784648116</v>
      </c>
      <c r="P102" s="151">
        <f>IF(分析!L155&lt;&gt;"",分析!L155,"")</f>
        <v>-9.2924317062248107</v>
      </c>
      <c r="Q102" s="148">
        <f>IF(分析!S155&lt;&gt;"",分析!S155,"")</f>
        <v>3889</v>
      </c>
      <c r="R102" s="148">
        <f>IF(分析!R155&lt;&gt;"",分析!R155,"")</f>
        <v>4375</v>
      </c>
      <c r="S102" s="143" t="str">
        <f>IF(分析!AA155&lt;&gt;"",分析!AA155,"")</f>
        <v>下落▼</v>
      </c>
      <c r="T102" s="152">
        <f>IF(分析!Z155&lt;&gt;"",分析!Z155,"")</f>
        <v>-0.8080313418217433</v>
      </c>
      <c r="U102" s="143" t="str">
        <f>IF(分析!V155&lt;&gt;"",分析!V155,"")</f>
        <v>通常</v>
      </c>
      <c r="V102" s="153">
        <f>IF(分析!W155&lt;&gt;"",分析!W155,"")</f>
        <v>45.626072041166381</v>
      </c>
      <c r="W102" s="154" t="str">
        <f>IF(分析!AD155&lt;&gt;"",分析!AD155,"")</f>
        <v>下降トレンド▼</v>
      </c>
      <c r="X102" s="155" t="str">
        <f>IF(分析!AE155&lt;&gt;"",分析!AE155,"")</f>
        <v>なし</v>
      </c>
      <c r="Y102" s="156">
        <f>IF(分析!T155&lt;&gt;"",分析!T155,"")</f>
        <v>2</v>
      </c>
      <c r="Z102" s="142" t="str">
        <f>IF(分析!Y155&lt;&gt;"",分析!Y155,"")</f>
        <v>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2016.5</v>
      </c>
      <c r="F103" s="148">
        <f>IF(分析!F139&lt;&gt;"",分析!F139,"")</f>
        <v>1952</v>
      </c>
      <c r="G103" s="148">
        <f>IF(分析!H139&lt;&gt;"",分析!H139,"")</f>
        <v>2022</v>
      </c>
      <c r="H103" s="148">
        <f>IF(分析!I139&lt;&gt;"",分析!I139,"")</f>
        <v>1942</v>
      </c>
      <c r="I103" s="148">
        <f>IF(分析!J139&lt;&gt;"",分析!J139,"")</f>
        <v>2994700</v>
      </c>
      <c r="J103" s="148">
        <f>IF(分析!AB139&lt;&gt;"",分析!AB139,"")</f>
        <v>1657.9531568228106</v>
      </c>
      <c r="K103" s="148">
        <f>IF(分析!AC139&lt;&gt;"",分析!AC139,"")</f>
        <v>1786.5256257449337</v>
      </c>
      <c r="L103" s="148">
        <f>IF(分析!K139&lt;&gt;"",分析!K139,"")</f>
        <v>2379.5</v>
      </c>
      <c r="M103" s="143" t="str">
        <f>IF(分析!P139&lt;&gt;"",分析!P139,"")</f>
        <v>減少↓</v>
      </c>
      <c r="N103" s="149">
        <f>IF(分析!O139&lt;&gt;"",分析!O139,"")</f>
        <v>0.87881420094727758</v>
      </c>
      <c r="O103" s="150">
        <f>IF(分析!X139&lt;&gt;"",分析!X139,"")</f>
        <v>19.49264843436049</v>
      </c>
      <c r="P103" s="151">
        <f>IF(分析!L139&lt;&gt;"",分析!L139,"")</f>
        <v>-15.255305736499263</v>
      </c>
      <c r="Q103" s="148">
        <f>IF(分析!S139&lt;&gt;"",分析!S139,"")</f>
        <v>1936</v>
      </c>
      <c r="R103" s="148">
        <f>IF(分析!R139&lt;&gt;"",分析!R139,"")</f>
        <v>2178</v>
      </c>
      <c r="S103" s="143" t="str">
        <f>IF(分析!AA139&lt;&gt;"",分析!AA139,"")</f>
        <v>上昇▲</v>
      </c>
      <c r="T103" s="152">
        <f>IF(分析!Z139&lt;&gt;"",分析!Z139,"")</f>
        <v>2.2565922920892496</v>
      </c>
      <c r="U103" s="143" t="str">
        <f>IF(分析!V139&lt;&gt;"",分析!V139,"")</f>
        <v>通常</v>
      </c>
      <c r="V103" s="153">
        <f>IF(分析!W139&lt;&gt;"",分析!W139,"")</f>
        <v>55.212922173274592</v>
      </c>
      <c r="W103" s="154" t="str">
        <f>IF(分析!AD139&lt;&gt;"",分析!AD139,"")</f>
        <v>上昇トレンド▲</v>
      </c>
      <c r="X103" s="155" t="str">
        <f>IF(分析!AE139&lt;&gt;"",分析!AE139,"")</f>
        <v>なし</v>
      </c>
      <c r="Y103" s="156">
        <f>IF(分析!T139&lt;&gt;"",分析!T139,"")</f>
        <v>8</v>
      </c>
      <c r="Z103" s="142" t="str">
        <f>IF(分析!Y139&lt;&gt;"",分析!Y139,"")</f>
        <v>△注目</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537</v>
      </c>
      <c r="F104" s="133">
        <f>IF(分析!F18&lt;&gt;"",分析!F18,"")</f>
        <v>521</v>
      </c>
      <c r="G104" s="133">
        <f>IF(分析!H18&lt;&gt;"",分析!H18,"")</f>
        <v>542.70000000000005</v>
      </c>
      <c r="H104" s="133">
        <f>IF(分析!I18&lt;&gt;"",分析!I18,"")</f>
        <v>518.9</v>
      </c>
      <c r="I104" s="133">
        <f>IF(分析!J18&lt;&gt;"",分析!J18,"")</f>
        <v>32319200</v>
      </c>
      <c r="J104" s="133">
        <f>IF(分析!AB18&lt;&gt;"",分析!AB18,"")</f>
        <v>2476.8095723014249</v>
      </c>
      <c r="K104" s="133">
        <f>IF(分析!AC18&lt;&gt;"",分析!AC18,"")</f>
        <v>2288.9702026221685</v>
      </c>
      <c r="L104" s="133">
        <f>IF(分析!K18&lt;&gt;"",分析!K18,"")</f>
        <v>760</v>
      </c>
      <c r="M104" s="128" t="str">
        <f>IF(分析!P18&lt;&gt;"",分析!P18,"")</f>
        <v>減少↓</v>
      </c>
      <c r="N104" s="134">
        <f>IF(分析!O18&lt;&gt;"",分析!O18,"")</f>
        <v>0.87138079528407397</v>
      </c>
      <c r="O104" s="135">
        <f>IF(分析!X18&lt;&gt;"",分析!X18,"")</f>
        <v>6.0435171291084089</v>
      </c>
      <c r="P104" s="136">
        <f>IF(分析!L18&lt;&gt;"",分析!L18,"")</f>
        <v>-29.342105263157897</v>
      </c>
      <c r="Q104" s="133">
        <f>IF(分析!S18&lt;&gt;"",分析!S18,"")</f>
        <v>516</v>
      </c>
      <c r="R104" s="133">
        <f>IF(分析!R18&lt;&gt;"",分析!R18,"")</f>
        <v>580</v>
      </c>
      <c r="S104" s="128" t="str">
        <f>IF(分析!AA18&lt;&gt;"",分析!AA18,"")</f>
        <v>上昇▲</v>
      </c>
      <c r="T104" s="137">
        <f>IF(分析!Z18&lt;&gt;"",分析!Z18,"")</f>
        <v>2.0912547528517109</v>
      </c>
      <c r="U104" s="128" t="str">
        <f>IF(分析!V18&lt;&gt;"",分析!V18,"")</f>
        <v>通常</v>
      </c>
      <c r="V104" s="138">
        <f>IF(分析!W18&lt;&gt;"",分析!W18,"")</f>
        <v>59.751972942502803</v>
      </c>
      <c r="W104" s="139" t="str">
        <f>IF(分析!AD18&lt;&gt;"",分析!AD18,"")</f>
        <v>もみ合い→</v>
      </c>
      <c r="X104" s="140" t="str">
        <f>IF(分析!AE18&lt;&gt;"",分析!AE18,"")</f>
        <v>なし</v>
      </c>
      <c r="Y104" s="141">
        <f>IF(分析!T18&lt;&gt;"",分析!T18,"")</f>
        <v>6</v>
      </c>
      <c r="Z104" s="142" t="str">
        <f>IF(分析!Y18&lt;&gt;"",分析!Y18,"")</f>
        <v>△注目</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1085</v>
      </c>
      <c r="F105" s="148">
        <f>IF(分析!F55&lt;&gt;"",分析!F55,"")</f>
        <v>1069</v>
      </c>
      <c r="G105" s="148">
        <f>IF(分析!H55&lt;&gt;"",分析!H55,"")</f>
        <v>1087</v>
      </c>
      <c r="H105" s="148">
        <f>IF(分析!I55&lt;&gt;"",分析!I55,"")</f>
        <v>1069</v>
      </c>
      <c r="I105" s="148">
        <f>IF(分析!J55&lt;&gt;"",分析!J55,"")</f>
        <v>57800</v>
      </c>
      <c r="J105" s="148">
        <f>IF(分析!AB55&lt;&gt;"",分析!AB55,"")</f>
        <v>1424.9480651731158</v>
      </c>
      <c r="K105" s="148">
        <f>IF(分析!AC55&lt;&gt;"",分析!AC55,"")</f>
        <v>1452.5220500595944</v>
      </c>
      <c r="L105" s="148">
        <f>IF(分析!K55&lt;&gt;"",分析!K55,"")</f>
        <v>1168</v>
      </c>
      <c r="M105" s="143" t="str">
        <f>IF(分析!P55&lt;&gt;"",分析!P55,"")</f>
        <v>減少↓</v>
      </c>
      <c r="N105" s="149">
        <f>IF(分析!O55&lt;&gt;"",分析!O55,"")</f>
        <v>0.7292455210698966</v>
      </c>
      <c r="O105" s="150">
        <f>IF(分析!X55&lt;&gt;"",分析!X55,"")</f>
        <v>-5.3776623056130575</v>
      </c>
      <c r="P105" s="151">
        <f>IF(分析!L55&lt;&gt;"",分析!L55,"")</f>
        <v>-7.1061643835616444</v>
      </c>
      <c r="Q105" s="148">
        <f>IF(分析!S55&lt;&gt;"",分析!S55,"")</f>
        <v>1042</v>
      </c>
      <c r="R105" s="148">
        <f>IF(分析!R55&lt;&gt;"",分析!R55,"")</f>
        <v>1172</v>
      </c>
      <c r="S105" s="143" t="str">
        <f>IF(分析!AA55&lt;&gt;"",分析!AA55,"")</f>
        <v>上昇▲</v>
      </c>
      <c r="T105" s="152">
        <f>IF(分析!Z55&lt;&gt;"",分析!Z55,"")</f>
        <v>1.6869728209934396</v>
      </c>
      <c r="U105" s="143" t="str">
        <f>IF(分析!V55&lt;&gt;"",分析!V55,"")</f>
        <v>通常</v>
      </c>
      <c r="V105" s="153">
        <f>IF(分析!W55&lt;&gt;"",分析!W55,"")</f>
        <v>49.406276505513148</v>
      </c>
      <c r="W105" s="154" t="str">
        <f>IF(分析!AD55&lt;&gt;"",分析!AD55,"")</f>
        <v>下降トレンド▼</v>
      </c>
      <c r="X105" s="155" t="str">
        <f>IF(分析!AE55&lt;&gt;"",分析!AE55,"")</f>
        <v>なし</v>
      </c>
      <c r="Y105" s="156">
        <f>IF(分析!T55&lt;&gt;"",分析!T55,"")</f>
        <v>3</v>
      </c>
      <c r="Z105" s="142" t="str">
        <f>IF(分析!Y55&lt;&gt;"",分析!Y55,"")</f>
        <v>様子見</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1184.5</v>
      </c>
      <c r="F106" s="148">
        <f>IF(分析!F167&lt;&gt;"",分析!F167,"")</f>
        <v>1155.5</v>
      </c>
      <c r="G106" s="148">
        <f>IF(分析!H167&lt;&gt;"",分析!H167,"")</f>
        <v>1191.5</v>
      </c>
      <c r="H106" s="148">
        <f>IF(分析!I167&lt;&gt;"",分析!I167,"")</f>
        <v>1155.5</v>
      </c>
      <c r="I106" s="148">
        <f>IF(分析!J167&lt;&gt;"",分析!J167,"")</f>
        <v>4918000</v>
      </c>
      <c r="J106" s="148">
        <f>IF(分析!AB167&lt;&gt;"",分析!AB167,"")</f>
        <v>898.94908350305491</v>
      </c>
      <c r="K106" s="148">
        <f>IF(分析!AC167&lt;&gt;"",分析!AC167,"")</f>
        <v>905.84982121573262</v>
      </c>
      <c r="L106" s="148">
        <f>IF(分析!K167&lt;&gt;"",分析!K167,"")</f>
        <v>1232.5</v>
      </c>
      <c r="M106" s="143" t="str">
        <f>IF(分析!P167&lt;&gt;"",分析!P167,"")</f>
        <v>減少↓</v>
      </c>
      <c r="N106" s="149">
        <f>IF(分析!O167&lt;&gt;"",分析!O167,"")</f>
        <v>0.57582023355961809</v>
      </c>
      <c r="O106" s="150">
        <f>IF(分析!X167&lt;&gt;"",分析!X167,"")</f>
        <v>-7.7476874609428705</v>
      </c>
      <c r="P106" s="151">
        <f>IF(分析!L167&lt;&gt;"",分析!L167,"")</f>
        <v>-3.8945233265720081</v>
      </c>
      <c r="Q106" s="148">
        <f>IF(分析!S167&lt;&gt;"",分析!S167,"")</f>
        <v>1137</v>
      </c>
      <c r="R106" s="148">
        <f>IF(分析!R167&lt;&gt;"",分析!R167,"")</f>
        <v>1279</v>
      </c>
      <c r="S106" s="143" t="str">
        <f>IF(分析!AA167&lt;&gt;"",分析!AA167,"")</f>
        <v>上昇▲</v>
      </c>
      <c r="T106" s="152">
        <f>IF(分析!Z167&lt;&gt;"",分析!Z167,"")</f>
        <v>2.59852750108272</v>
      </c>
      <c r="U106" s="143" t="str">
        <f>IF(分析!V167&lt;&gt;"",分析!V167,"")</f>
        <v>高値圏</v>
      </c>
      <c r="V106" s="153">
        <f>IF(分析!W167&lt;&gt;"",分析!W167,"")</f>
        <v>48.789671866594944</v>
      </c>
      <c r="W106" s="154" t="str">
        <f>IF(分析!AD167&lt;&gt;"",分析!AD167,"")</f>
        <v>上昇トレンド▲</v>
      </c>
      <c r="X106" s="155" t="str">
        <f>IF(分析!AE167&lt;&gt;"",分析!AE167,"")</f>
        <v>なし</v>
      </c>
      <c r="Y106" s="156">
        <f>IF(分析!T167&lt;&gt;"",分析!T167,"")</f>
        <v>10</v>
      </c>
      <c r="Z106" s="142" t="str">
        <f>IF(分析!Y167&lt;&gt;"",分析!Y167,"")</f>
        <v>○買い候補</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1876</v>
      </c>
      <c r="F107" s="133">
        <f>IF(分析!F158&lt;&gt;"",分析!F158,"")</f>
        <v>1856</v>
      </c>
      <c r="G107" s="133">
        <f>IF(分析!H158&lt;&gt;"",分析!H158,"")</f>
        <v>1910</v>
      </c>
      <c r="H107" s="133">
        <f>IF(分析!I158&lt;&gt;"",分析!I158,"")</f>
        <v>1851.5</v>
      </c>
      <c r="I107" s="133">
        <f>IF(分析!J158&lt;&gt;"",分析!J158,"")</f>
        <v>903500</v>
      </c>
      <c r="J107" s="133">
        <f>IF(分析!AB158&lt;&gt;"",分析!AB158,"")</f>
        <v>1091.7953156822809</v>
      </c>
      <c r="K107" s="133">
        <f>IF(分析!AC158&lt;&gt;"",分析!AC158,"")</f>
        <v>1085.8712753277707</v>
      </c>
      <c r="L107" s="133">
        <f>IF(分析!K158&lt;&gt;"",分析!K158,"")</f>
        <v>2254</v>
      </c>
      <c r="M107" s="128" t="str">
        <f>IF(分析!P158&lt;&gt;"",分析!P158,"")</f>
        <v>減少↓</v>
      </c>
      <c r="N107" s="134">
        <f>IF(分析!O158&lt;&gt;"",分析!O158,"")</f>
        <v>0.89513939802247011</v>
      </c>
      <c r="O107" s="135">
        <f>IF(分析!X158&lt;&gt;"",分析!X158,"")</f>
        <v>-43.355476259657053</v>
      </c>
      <c r="P107" s="136">
        <f>IF(分析!L158&lt;&gt;"",分析!L158,"")</f>
        <v>-16.770186335403729</v>
      </c>
      <c r="Q107" s="133">
        <f>IF(分析!S158&lt;&gt;"",分析!S158,"")</f>
        <v>1801</v>
      </c>
      <c r="R107" s="133">
        <f>IF(分析!R158&lt;&gt;"",分析!R158,"")</f>
        <v>2026</v>
      </c>
      <c r="S107" s="128" t="str">
        <f>IF(分析!AA158&lt;&gt;"",分析!AA158,"")</f>
        <v>上昇▲</v>
      </c>
      <c r="T107" s="137">
        <f>IF(分析!Z158&lt;&gt;"",分析!Z158,"")</f>
        <v>1.1048234977095122</v>
      </c>
      <c r="U107" s="128" t="str">
        <f>IF(分析!V158&lt;&gt;"",分析!V158,"")</f>
        <v>通常</v>
      </c>
      <c r="V107" s="138">
        <f>IF(分析!W158&lt;&gt;"",分析!W158,"")</f>
        <v>47.153623188405795</v>
      </c>
      <c r="W107" s="139" t="str">
        <f>IF(分析!AD158&lt;&gt;"",分析!AD158,"")</f>
        <v>パーフェクト▲</v>
      </c>
      <c r="X107" s="140" t="str">
        <f>IF(分析!AE158&lt;&gt;"",分析!AE158,"")</f>
        <v>なし</v>
      </c>
      <c r="Y107" s="141">
        <f>IF(分析!T158&lt;&gt;"",分析!T158,"")</f>
        <v>3</v>
      </c>
      <c r="Z107" s="142" t="str">
        <f>IF(分析!Y158&lt;&gt;"",分析!Y158,"")</f>
        <v>様子見</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1766</v>
      </c>
      <c r="F108" s="133">
        <f>IF(分析!F94&lt;&gt;"",分析!F94,"")</f>
        <v>1720</v>
      </c>
      <c r="G108" s="133">
        <f>IF(分析!H94&lt;&gt;"",分析!H94,"")</f>
        <v>1798</v>
      </c>
      <c r="H108" s="133">
        <f>IF(分析!I94&lt;&gt;"",分析!I94,"")</f>
        <v>1693</v>
      </c>
      <c r="I108" s="133">
        <f>IF(分析!J94&lt;&gt;"",分析!J94,"")</f>
        <v>1587700</v>
      </c>
      <c r="J108" s="133">
        <f>IF(分析!AB94&lt;&gt;"",分析!AB94,"")</f>
        <v>17865.784114052949</v>
      </c>
      <c r="K108" s="133">
        <f>IF(分析!AC94&lt;&gt;"",分析!AC94,"")</f>
        <v>17529.618593563762</v>
      </c>
      <c r="L108" s="133">
        <f>IF(分析!K94&lt;&gt;"",分析!K94,"")</f>
        <v>3620</v>
      </c>
      <c r="M108" s="128" t="str">
        <f>IF(分析!P94&lt;&gt;"",分析!P94,"")</f>
        <v>減少↓</v>
      </c>
      <c r="N108" s="134">
        <f>IF(分析!O94&lt;&gt;"",分析!O94,"")</f>
        <v>0.55260868051929968</v>
      </c>
      <c r="O108" s="135">
        <f>IF(分析!X94&lt;&gt;"",分析!X94,"")</f>
        <v>-111.32775365289649</v>
      </c>
      <c r="P108" s="136">
        <f>IF(分析!L94&lt;&gt;"",分析!L94,"")</f>
        <v>-51.215469613259671</v>
      </c>
      <c r="Q108" s="133">
        <f>IF(分析!S94&lt;&gt;"",分析!S94,"")</f>
        <v>1695</v>
      </c>
      <c r="R108" s="133">
        <f>IF(分析!R94&lt;&gt;"",分析!R94,"")</f>
        <v>1907</v>
      </c>
      <c r="S108" s="128" t="str">
        <f>IF(分析!AA94&lt;&gt;"",分析!AA94,"")</f>
        <v>下落▼</v>
      </c>
      <c r="T108" s="137">
        <f>IF(分析!Z94&lt;&gt;"",分析!Z94,"")</f>
        <v>-1.0644257703081232</v>
      </c>
      <c r="U108" s="128" t="str">
        <f>IF(分析!V94&lt;&gt;"",分析!V94,"")</f>
        <v>通常</v>
      </c>
      <c r="V108" s="138">
        <f>IF(分析!W94&lt;&gt;"",分析!W94,"")</f>
        <v>34.896621280887544</v>
      </c>
      <c r="W108" s="139" t="str">
        <f>IF(分析!AD94&lt;&gt;"",分析!AD94,"")</f>
        <v>もみ合い→</v>
      </c>
      <c r="X108" s="140" t="str">
        <f>IF(分析!AE94&lt;&gt;"",分析!AE94,"")</f>
        <v>なし</v>
      </c>
      <c r="Y108" s="141">
        <f>IF(分析!T94&lt;&gt;"",分析!T94,"")</f>
        <v>0</v>
      </c>
      <c r="Z108" s="142" t="str">
        <f>IF(分析!Y94&lt;&gt;"",分析!Y94,"")</f>
        <v>見送り</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1323</v>
      </c>
      <c r="F109" s="133">
        <f>IF(分析!F38&lt;&gt;"",分析!F38,"")</f>
        <v>1329</v>
      </c>
      <c r="G109" s="133">
        <f>IF(分析!H38&lt;&gt;"",分析!H38,"")</f>
        <v>1348</v>
      </c>
      <c r="H109" s="133">
        <f>IF(分析!I38&lt;&gt;"",分析!I38,"")</f>
        <v>1323</v>
      </c>
      <c r="I109" s="133">
        <f>IF(分析!J38&lt;&gt;"",分析!J38,"")</f>
        <v>48600</v>
      </c>
      <c r="J109" s="133">
        <f>IF(分析!AB38&lt;&gt;"",分析!AB38,"")</f>
        <v>1547.9791242362523</v>
      </c>
      <c r="K109" s="133">
        <f>IF(分析!AC38&lt;&gt;"",分析!AC38,"")</f>
        <v>1549.1907032181159</v>
      </c>
      <c r="L109" s="133">
        <f>IF(分析!K38&lt;&gt;"",分析!K38,"")</f>
        <v>1340</v>
      </c>
      <c r="M109" s="128" t="str">
        <f>IF(分析!P38&lt;&gt;"",分析!P38,"")</f>
        <v>減少↓</v>
      </c>
      <c r="N109" s="134">
        <f>IF(分析!O38&lt;&gt;"",分析!O38,"")</f>
        <v>0.37680260505504731</v>
      </c>
      <c r="O109" s="135">
        <f>IF(分析!X38&lt;&gt;"",分析!X38,"")</f>
        <v>6.1241029458008143</v>
      </c>
      <c r="P109" s="136">
        <f>IF(分析!L38&lt;&gt;"",分析!L38,"")</f>
        <v>-1.2686567164179103</v>
      </c>
      <c r="Q109" s="133">
        <f>IF(分析!S38&lt;&gt;"",分析!S38,"")</f>
        <v>1270</v>
      </c>
      <c r="R109" s="133">
        <f>IF(分析!R38&lt;&gt;"",分析!R38,"")</f>
        <v>1429</v>
      </c>
      <c r="S109" s="128" t="str">
        <f>IF(分析!AA38&lt;&gt;"",分析!AA38,"")</f>
        <v>下落▼</v>
      </c>
      <c r="T109" s="137">
        <f>IF(分析!Z38&lt;&gt;"",分析!Z38,"")</f>
        <v>-0.45146726862302478</v>
      </c>
      <c r="U109" s="128" t="str">
        <f>IF(分析!V38&lt;&gt;"",分析!V38,"")</f>
        <v>年初来高値更新●</v>
      </c>
      <c r="V109" s="138">
        <f>IF(分析!W38&lt;&gt;"",分析!W38,"")</f>
        <v>51.936218678815493</v>
      </c>
      <c r="W109" s="139" t="str">
        <f>IF(分析!AD38&lt;&gt;"",分析!AD38,"")</f>
        <v>下降トレンド▼</v>
      </c>
      <c r="X109" s="140" t="str">
        <f>IF(分析!AE38&lt;&gt;"",分析!AE38,"")</f>
        <v>なし</v>
      </c>
      <c r="Y109" s="141">
        <f>IF(分析!T38&lt;&gt;"",分析!T38,"")</f>
        <v>9</v>
      </c>
      <c r="Z109" s="142" t="str">
        <f>IF(分析!Y38&lt;&gt;"",分析!Y38,"")</f>
        <v>△注目</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1848</v>
      </c>
      <c r="F110" s="133">
        <f>IF(分析!F174&lt;&gt;"",分析!F174,"")</f>
        <v>1836</v>
      </c>
      <c r="G110" s="133">
        <f>IF(分析!H174&lt;&gt;"",分析!H174,"")</f>
        <v>1863</v>
      </c>
      <c r="H110" s="133">
        <f>IF(分析!I174&lt;&gt;"",分析!I174,"")</f>
        <v>1836</v>
      </c>
      <c r="I110" s="133">
        <f>IF(分析!J174&lt;&gt;"",分析!J174,"")</f>
        <v>316300</v>
      </c>
      <c r="J110" s="133">
        <f>IF(分析!AB174&lt;&gt;"",分析!AB174,"")</f>
        <v>2469.838085539714</v>
      </c>
      <c r="K110" s="133">
        <f>IF(分析!AC174&lt;&gt;"",分析!AC174,"")</f>
        <v>2494.8367103694864</v>
      </c>
      <c r="L110" s="133">
        <f>IF(分析!K174&lt;&gt;"",分析!K174,"")</f>
        <v>1922.5</v>
      </c>
      <c r="M110" s="128" t="str">
        <f>IF(分析!P174&lt;&gt;"",分析!P174,"")</f>
        <v>減少↓</v>
      </c>
      <c r="N110" s="134">
        <f>IF(分析!O174&lt;&gt;"",分析!O174,"")</f>
        <v>0.87183020948180812</v>
      </c>
      <c r="O110" s="135">
        <f>IF(分析!X174&lt;&gt;"",分析!X174,"")</f>
        <v>13.314295352234922</v>
      </c>
      <c r="P110" s="136">
        <f>IF(分析!L174&lt;&gt;"",分析!L174,"")</f>
        <v>-3.8751625487646297</v>
      </c>
      <c r="Q110" s="133">
        <f>IF(分析!S174&lt;&gt;"",分析!S174,"")</f>
        <v>1774</v>
      </c>
      <c r="R110" s="133">
        <f>IF(分析!R174&lt;&gt;"",分析!R174,"")</f>
        <v>1996</v>
      </c>
      <c r="S110" s="128" t="str">
        <f>IF(分析!AA174&lt;&gt;"",分析!AA174,"")</f>
        <v>上昇▲</v>
      </c>
      <c r="T110" s="137">
        <f>IF(分析!Z174&lt;&gt;"",分析!Z174,"")</f>
        <v>0.38022813688212925</v>
      </c>
      <c r="U110" s="128" t="str">
        <f>IF(分析!V174&lt;&gt;"",分析!V174,"")</f>
        <v>高値圏</v>
      </c>
      <c r="V110" s="138">
        <f>IF(分析!W174&lt;&gt;"",分析!W174,"")</f>
        <v>74.365482233502533</v>
      </c>
      <c r="W110" s="139" t="str">
        <f>IF(分析!AD174&lt;&gt;"",分析!AD174,"")</f>
        <v>下降トレンド▼</v>
      </c>
      <c r="X110" s="140" t="str">
        <f>IF(分析!AE174&lt;&gt;"",分析!AE174,"")</f>
        <v>なし</v>
      </c>
      <c r="Y110" s="141">
        <f>IF(分析!T174&lt;&gt;"",分析!T174,"")</f>
        <v>8</v>
      </c>
      <c r="Z110" s="142" t="str">
        <f>IF(分析!Y174&lt;&gt;"",分析!Y174,"")</f>
        <v>△注目</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8117</v>
      </c>
      <c r="F111" s="133">
        <f>IF(分析!F114&lt;&gt;"",分析!F114,"")</f>
        <v>8280</v>
      </c>
      <c r="G111" s="133">
        <f>IF(分析!H114&lt;&gt;"",分析!H114,"")</f>
        <v>8473</v>
      </c>
      <c r="H111" s="133">
        <f>IF(分析!I114&lt;&gt;"",分析!I114,"")</f>
        <v>8005</v>
      </c>
      <c r="I111" s="133">
        <f>IF(分析!J114&lt;&gt;"",分析!J114,"")</f>
        <v>1592700</v>
      </c>
      <c r="J111" s="133">
        <f>IF(分析!AB114&lt;&gt;"",分析!AB114,"")</f>
        <v>1749.2006109979629</v>
      </c>
      <c r="K111" s="133">
        <f>IF(分析!AC114&lt;&gt;"",分析!AC114,"")</f>
        <v>1792.5792610250294</v>
      </c>
      <c r="L111" s="133">
        <f>IF(分析!K114&lt;&gt;"",分析!K114,"")</f>
        <v>8943</v>
      </c>
      <c r="M111" s="128" t="str">
        <f>IF(分析!P114&lt;&gt;"",分析!P114,"")</f>
        <v>減少↓</v>
      </c>
      <c r="N111" s="134">
        <f>IF(分析!O114&lt;&gt;"",分析!O114,"")</f>
        <v>0.79747443895893211</v>
      </c>
      <c r="O111" s="135">
        <f>IF(分析!X114&lt;&gt;"",分析!X114,"")</f>
        <v>-19.614679647665071</v>
      </c>
      <c r="P111" s="136">
        <f>IF(分析!L114&lt;&gt;"",分析!L114,"")</f>
        <v>-9.236274180923628</v>
      </c>
      <c r="Q111" s="133">
        <f>IF(分析!S114&lt;&gt;"",分析!S114,"")</f>
        <v>7792</v>
      </c>
      <c r="R111" s="133">
        <f>IF(分析!R114&lt;&gt;"",分析!R114,"")</f>
        <v>8766</v>
      </c>
      <c r="S111" s="128" t="str">
        <f>IF(分析!AA114&lt;&gt;"",分析!AA114,"")</f>
        <v>下落▼</v>
      </c>
      <c r="T111" s="137">
        <f>IF(分析!Z114&lt;&gt;"",分析!Z114,"")</f>
        <v>-4.3370654095462582</v>
      </c>
      <c r="U111" s="128" t="str">
        <f>IF(分析!V114&lt;&gt;"",分析!V114,"")</f>
        <v>通常</v>
      </c>
      <c r="V111" s="138">
        <f>IF(分析!W114&lt;&gt;"",分析!W114,"")</f>
        <v>55.263753678967625</v>
      </c>
      <c r="W111" s="139" t="str">
        <f>IF(分析!AD114&lt;&gt;"",分析!AD114,"")</f>
        <v>上昇トレンド▲</v>
      </c>
      <c r="X111" s="140" t="str">
        <f>IF(分析!AE114&lt;&gt;"",分析!AE114,"")</f>
        <v>なし</v>
      </c>
      <c r="Y111" s="141">
        <f>IF(分析!T114&lt;&gt;"",分析!T114,"")</f>
        <v>1</v>
      </c>
      <c r="Z111" s="142" t="str">
        <f>IF(分析!Y114&lt;&gt;"",分析!Y114,"")</f>
        <v>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2018</v>
      </c>
      <c r="F112" s="133">
        <f>IF(分析!F104&lt;&gt;"",分析!F104,"")</f>
        <v>2089</v>
      </c>
      <c r="G112" s="133">
        <f>IF(分析!H104&lt;&gt;"",分析!H104,"")</f>
        <v>2116</v>
      </c>
      <c r="H112" s="133">
        <f>IF(分析!I104&lt;&gt;"",分析!I104,"")</f>
        <v>2002</v>
      </c>
      <c r="I112" s="133">
        <f>IF(分析!J104&lt;&gt;"",分析!J104,"")</f>
        <v>1312000</v>
      </c>
      <c r="J112" s="133">
        <f>IF(分析!AB104&lt;&gt;"",分析!AB104,"")</f>
        <v>2051.2881873727088</v>
      </c>
      <c r="K112" s="133">
        <f>IF(分析!AC104&lt;&gt;"",分析!AC104,"")</f>
        <v>1961.8200238379011</v>
      </c>
      <c r="L112" s="133">
        <f>IF(分析!K104&lt;&gt;"",分析!K104,"")</f>
        <v>8760</v>
      </c>
      <c r="M112" s="128" t="str">
        <f>IF(分析!P104&lt;&gt;"",分析!P104,"")</f>
        <v>減少↓</v>
      </c>
      <c r="N112" s="134">
        <f>IF(分析!O104&lt;&gt;"",分析!O104,"")</f>
        <v>0.82362394535958217</v>
      </c>
      <c r="O112" s="135">
        <f>IF(分析!X104&lt;&gt;"",分析!X104,"")</f>
        <v>0.94891517638666301</v>
      </c>
      <c r="P112" s="136">
        <f>IF(分析!L104&lt;&gt;"",分析!L104,"")</f>
        <v>-76.963470319634709</v>
      </c>
      <c r="Q112" s="133">
        <f>IF(分析!S104&lt;&gt;"",分析!S104,"")</f>
        <v>1937</v>
      </c>
      <c r="R112" s="133">
        <f>IF(分析!R104&lt;&gt;"",分析!R104,"")</f>
        <v>2179</v>
      </c>
      <c r="S112" s="128" t="str">
        <f>IF(分析!AA104&lt;&gt;"",分析!AA104,"")</f>
        <v>下落▼</v>
      </c>
      <c r="T112" s="137">
        <f>IF(分析!Z104&lt;&gt;"",分析!Z104,"")</f>
        <v>-4.1330166270783852</v>
      </c>
      <c r="U112" s="128" t="str">
        <f>IF(分析!V104&lt;&gt;"",分析!V104,"")</f>
        <v>通常</v>
      </c>
      <c r="V112" s="138">
        <f>IF(分析!W104&lt;&gt;"",分析!W104,"")</f>
        <v>51.526326572423685</v>
      </c>
      <c r="W112" s="139" t="str">
        <f>IF(分析!AD104&lt;&gt;"",分析!AD104,"")</f>
        <v>上昇トレンド▲</v>
      </c>
      <c r="X112" s="140" t="str">
        <f>IF(分析!AE104&lt;&gt;"",分析!AE104,"")</f>
        <v>なし</v>
      </c>
      <c r="Y112" s="141">
        <f>IF(分析!T104&lt;&gt;"",分析!T104,"")</f>
        <v>5</v>
      </c>
      <c r="Z112" s="142" t="str">
        <f>IF(分析!Y104&lt;&gt;"",分析!Y104,"")</f>
        <v>様子見</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724</v>
      </c>
      <c r="F113" s="133">
        <f>IF(分析!F164&lt;&gt;"",分析!F164,"")</f>
        <v>713</v>
      </c>
      <c r="G113" s="133">
        <f>IF(分析!H164&lt;&gt;"",分析!H164,"")</f>
        <v>727</v>
      </c>
      <c r="H113" s="133">
        <f>IF(分析!I164&lt;&gt;"",分析!I164,"")</f>
        <v>712</v>
      </c>
      <c r="I113" s="133">
        <f>IF(分析!J164&lt;&gt;"",分析!J164,"")</f>
        <v>36200</v>
      </c>
      <c r="J113" s="133">
        <f>IF(分析!AB164&lt;&gt;"",分析!AB164,"")</f>
        <v>2296.957230142566</v>
      </c>
      <c r="K113" s="133">
        <f>IF(分析!AC164&lt;&gt;"",分析!AC164,"")</f>
        <v>2325.5065554231214</v>
      </c>
      <c r="L113" s="133">
        <f>IF(分析!K164&lt;&gt;"",分析!K164,"")</f>
        <v>995</v>
      </c>
      <c r="M113" s="128" t="str">
        <f>IF(分析!P164&lt;&gt;"",分析!P164,"")</f>
        <v>減少↓</v>
      </c>
      <c r="N113" s="134">
        <f>IF(分析!O164&lt;&gt;"",分析!O164,"")</f>
        <v>0.969989281886388</v>
      </c>
      <c r="O113" s="135">
        <f>IF(分析!X164&lt;&gt;"",分析!X164,"")</f>
        <v>-2.5680646714880595</v>
      </c>
      <c r="P113" s="136">
        <f>IF(分析!L164&lt;&gt;"",分析!L164,"")</f>
        <v>-27.236180904522612</v>
      </c>
      <c r="Q113" s="133">
        <f>IF(分析!S164&lt;&gt;"",分析!S164,"")</f>
        <v>695</v>
      </c>
      <c r="R113" s="133">
        <f>IF(分析!R164&lt;&gt;"",分析!R164,"")</f>
        <v>782</v>
      </c>
      <c r="S113" s="128" t="str">
        <f>IF(分析!AA164&lt;&gt;"",分析!AA164,"")</f>
        <v>上昇▲</v>
      </c>
      <c r="T113" s="137">
        <f>IF(分析!Z164&lt;&gt;"",分析!Z164,"")</f>
        <v>1.5427769985974753</v>
      </c>
      <c r="U113" s="128" t="str">
        <f>IF(分析!V164&lt;&gt;"",分析!V164,"")</f>
        <v>通常</v>
      </c>
      <c r="V113" s="138">
        <f>IF(分析!W164&lt;&gt;"",分析!W164,"")</f>
        <v>49.624573378839592</v>
      </c>
      <c r="W113" s="139" t="str">
        <f>IF(分析!AD164&lt;&gt;"",分析!AD164,"")</f>
        <v>下降トレンド▼</v>
      </c>
      <c r="X113" s="140" t="str">
        <f>IF(分析!AE164&lt;&gt;"",分析!AE164,"")</f>
        <v>なし</v>
      </c>
      <c r="Y113" s="141">
        <f>IF(分析!T164&lt;&gt;"",分析!T164,"")</f>
        <v>1</v>
      </c>
      <c r="Z113" s="142" t="str">
        <f>IF(分析!Y164&lt;&gt;"",分析!Y164,"")</f>
        <v>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7421</v>
      </c>
      <c r="F114" s="133">
        <f>IF(分析!F78&lt;&gt;"",分析!F78,"")</f>
        <v>7686</v>
      </c>
      <c r="G114" s="133">
        <f>IF(分析!H78&lt;&gt;"",分析!H78,"")</f>
        <v>7762</v>
      </c>
      <c r="H114" s="133">
        <f>IF(分析!I78&lt;&gt;"",分析!I78,"")</f>
        <v>7050</v>
      </c>
      <c r="I114" s="133">
        <f>IF(分析!J78&lt;&gt;"",分析!J78,"")</f>
        <v>36253800</v>
      </c>
      <c r="J114" s="133">
        <f>IF(分析!AB78&lt;&gt;"",分析!AB78,"")</f>
        <v>5718.1262729124228</v>
      </c>
      <c r="K114" s="133">
        <f>IF(分析!AC78&lt;&gt;"",分析!AC78,"")</f>
        <v>5496.6984505363507</v>
      </c>
      <c r="L114" s="133">
        <f>IF(分析!K78&lt;&gt;"",分析!K78,"")</f>
        <v>12895</v>
      </c>
      <c r="M114" s="128" t="str">
        <f>IF(分析!P78&lt;&gt;"",分析!P78,"")</f>
        <v>普通→</v>
      </c>
      <c r="N114" s="134">
        <f>IF(分析!O78&lt;&gt;"",分析!O78,"")</f>
        <v>1.2343273876198875</v>
      </c>
      <c r="O114" s="135">
        <f>IF(分析!X78&lt;&gt;"",分析!X78,"")</f>
        <v>-280.88409641814724</v>
      </c>
      <c r="P114" s="136">
        <f>IF(分析!L78&lt;&gt;"",分析!L78,"")</f>
        <v>-42.450562233423803</v>
      </c>
      <c r="Q114" s="133">
        <f>IF(分析!S78&lt;&gt;"",分析!S78,"")</f>
        <v>7124</v>
      </c>
      <c r="R114" s="133">
        <f>IF(分析!R78&lt;&gt;"",分析!R78,"")</f>
        <v>8015</v>
      </c>
      <c r="S114" s="128" t="str">
        <f>IF(分析!AA78&lt;&gt;"",分析!AA78,"")</f>
        <v>下落▼</v>
      </c>
      <c r="T114" s="137">
        <f>IF(分析!Z78&lt;&gt;"",分析!Z78,"")</f>
        <v>-5.2113935368501725</v>
      </c>
      <c r="U114" s="128" t="str">
        <f>IF(分析!V78&lt;&gt;"",分析!V78,"")</f>
        <v>通常</v>
      </c>
      <c r="V114" s="138">
        <f>IF(分析!W78&lt;&gt;"",分析!W78,"")</f>
        <v>40.726689041295778</v>
      </c>
      <c r="W114" s="139" t="str">
        <f>IF(分析!AD78&lt;&gt;"",分析!AD78,"")</f>
        <v>パーフェクト▲</v>
      </c>
      <c r="X114" s="140" t="str">
        <f>IF(分析!AE78&lt;&gt;"",分析!AE78,"")</f>
        <v>なし</v>
      </c>
      <c r="Y114" s="141">
        <f>IF(分析!T78&lt;&gt;"",分析!T78,"")</f>
        <v>3</v>
      </c>
      <c r="Z114" s="142" t="str">
        <f>IF(分析!Y78&lt;&gt;"",分析!Y78,"")</f>
        <v>様子見</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5637</v>
      </c>
      <c r="F115" s="148">
        <f>IF(分析!F107&lt;&gt;"",分析!F107,"")</f>
        <v>5422</v>
      </c>
      <c r="G115" s="148">
        <f>IF(分析!H107&lt;&gt;"",分析!H107,"")</f>
        <v>5652</v>
      </c>
      <c r="H115" s="148">
        <f>IF(分析!I107&lt;&gt;"",分析!I107,"")</f>
        <v>5406</v>
      </c>
      <c r="I115" s="148">
        <f>IF(分析!J107&lt;&gt;"",分析!J107,"")</f>
        <v>1146400</v>
      </c>
      <c r="J115" s="148">
        <f>IF(分析!AB107&lt;&gt;"",分析!AB107,"")</f>
        <v>3474.2179226069243</v>
      </c>
      <c r="K115" s="148">
        <f>IF(分析!AC107&lt;&gt;"",分析!AC107,"")</f>
        <v>3577.2336114421905</v>
      </c>
      <c r="L115" s="148">
        <f>IF(分析!K107&lt;&gt;"",分析!K107,"")</f>
        <v>7225</v>
      </c>
      <c r="M115" s="143" t="str">
        <f>IF(分析!P107&lt;&gt;"",分析!P107,"")</f>
        <v>減少↓</v>
      </c>
      <c r="N115" s="149">
        <f>IF(分析!O107&lt;&gt;"",分析!O107,"")</f>
        <v>0.53921845308648941</v>
      </c>
      <c r="O115" s="150">
        <f>IF(分析!X107&lt;&gt;"",分析!X107,"")</f>
        <v>38.002447868369018</v>
      </c>
      <c r="P115" s="151">
        <f>IF(分析!L107&lt;&gt;"",分析!L107,"")</f>
        <v>-21.979238754325259</v>
      </c>
      <c r="Q115" s="148">
        <f>IF(分析!S107&lt;&gt;"",分析!S107,"")</f>
        <v>5412</v>
      </c>
      <c r="R115" s="148">
        <f>IF(分析!R107&lt;&gt;"",分析!R107,"")</f>
        <v>6088</v>
      </c>
      <c r="S115" s="143" t="str">
        <f>IF(分析!AA107&lt;&gt;"",分析!AA107,"")</f>
        <v>上昇▲</v>
      </c>
      <c r="T115" s="152">
        <f>IF(分析!Z107&lt;&gt;"",分析!Z107,"")</f>
        <v>2.8461959496442253</v>
      </c>
      <c r="U115" s="143" t="str">
        <f>IF(分析!V107&lt;&gt;"",分析!V107,"")</f>
        <v>通常</v>
      </c>
      <c r="V115" s="153">
        <f>IF(分析!W107&lt;&gt;"",分析!W107,"")</f>
        <v>56.270270270270274</v>
      </c>
      <c r="W115" s="154" t="str">
        <f>IF(分析!AD107&lt;&gt;"",分析!AD107,"")</f>
        <v>上昇トレンド▲</v>
      </c>
      <c r="X115" s="155" t="str">
        <f>IF(分析!AE107&lt;&gt;"",分析!AE107,"")</f>
        <v>なし</v>
      </c>
      <c r="Y115" s="156">
        <f>IF(分析!T107&lt;&gt;"",分析!T107,"")</f>
        <v>8</v>
      </c>
      <c r="Z115" s="142" t="str">
        <f>IF(分析!Y107&lt;&gt;"",分析!Y107,"")</f>
        <v>△注目</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3350</v>
      </c>
      <c r="F116" s="148">
        <f>IF(分析!F105&lt;&gt;"",分析!F105,"")</f>
        <v>3220</v>
      </c>
      <c r="G116" s="148">
        <f>IF(分析!H105&lt;&gt;"",分析!H105,"")</f>
        <v>3375</v>
      </c>
      <c r="H116" s="148">
        <f>IF(分析!I105&lt;&gt;"",分析!I105,"")</f>
        <v>3145</v>
      </c>
      <c r="I116" s="148">
        <f>IF(分析!J105&lt;&gt;"",分析!J105,"")</f>
        <v>447400</v>
      </c>
      <c r="J116" s="148">
        <f>IF(分析!AB105&lt;&gt;"",分析!AB105,"")</f>
        <v>17790.030549898158</v>
      </c>
      <c r="K116" s="148">
        <f>IF(分析!AC105&lt;&gt;"",分析!AC105,"")</f>
        <v>17650.42908224076</v>
      </c>
      <c r="L116" s="148">
        <f>IF(分析!K105&lt;&gt;"",分析!K105,"")</f>
        <v>9480</v>
      </c>
      <c r="M116" s="143" t="str">
        <f>IF(分析!P105&lt;&gt;"",分析!P105,"")</f>
        <v>減少↓</v>
      </c>
      <c r="N116" s="149">
        <f>IF(分析!O105&lt;&gt;"",分析!O105,"")</f>
        <v>0.61481379689432458</v>
      </c>
      <c r="O116" s="150">
        <f>IF(分析!X105&lt;&gt;"",分析!X105,"")</f>
        <v>-360.3045844793196</v>
      </c>
      <c r="P116" s="151">
        <f>IF(分析!L105&lt;&gt;"",分析!L105,"")</f>
        <v>-64.662447257383974</v>
      </c>
      <c r="Q116" s="148">
        <f>IF(分析!S105&lt;&gt;"",分析!S105,"")</f>
        <v>3216</v>
      </c>
      <c r="R116" s="148">
        <f>IF(分析!R105&lt;&gt;"",分析!R105,"")</f>
        <v>3618</v>
      </c>
      <c r="S116" s="143" t="str">
        <f>IF(分析!AA105&lt;&gt;"",分析!AA105,"")</f>
        <v>下落▼</v>
      </c>
      <c r="T116" s="152">
        <f>IF(分析!Z105&lt;&gt;"",分析!Z105,"")</f>
        <v>-0.8875739644970414</v>
      </c>
      <c r="U116" s="143" t="str">
        <f>IF(分析!V105&lt;&gt;"",分析!V105,"")</f>
        <v>通常</v>
      </c>
      <c r="V116" s="153">
        <f>IF(分析!W105&lt;&gt;"",分析!W105,"")</f>
        <v>41.506646971935005</v>
      </c>
      <c r="W116" s="154" t="str">
        <f>IF(分析!AD105&lt;&gt;"",分析!AD105,"")</f>
        <v>もみ合い→</v>
      </c>
      <c r="X116" s="155" t="str">
        <f>IF(分析!AE105&lt;&gt;"",分析!AE105,"")</f>
        <v>なし</v>
      </c>
      <c r="Y116" s="156">
        <f>IF(分析!T105&lt;&gt;"",分析!T105,"")</f>
        <v>-1</v>
      </c>
      <c r="Z116" s="142" t="str">
        <f>IF(分析!Y105&lt;&gt;"",分析!Y105,"")</f>
        <v>見送り</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5750</v>
      </c>
      <c r="G117" s="148">
        <f>IF(分析!H203&lt;&gt;"",分析!H203,"")</f>
        <v>5830</v>
      </c>
      <c r="H117" s="148">
        <f>IF(分析!I203&lt;&gt;"",分析!I203,"")</f>
        <v>5720</v>
      </c>
      <c r="I117" s="148">
        <f>IF(分析!J203&lt;&gt;"",分析!J203,"")</f>
        <v>121400</v>
      </c>
      <c r="J117" s="148">
        <f>IF(分析!AB203&lt;&gt;"",分析!AB203,"")</f>
        <v>6015.0023041474642</v>
      </c>
      <c r="K117" s="148">
        <f>IF(分析!AC203&lt;&gt;"",分析!AC203,"")</f>
        <v>6116.6102502979729</v>
      </c>
      <c r="L117" s="148">
        <f>IF(分析!K203&lt;&gt;"",分析!K203,"")</f>
        <v>7490</v>
      </c>
      <c r="M117" s="143" t="str">
        <f>IF(分析!P203&lt;&gt;"",分析!P203,"")</f>
        <v>普通→</v>
      </c>
      <c r="N117" s="149">
        <f>IF(分析!O203&lt;&gt;"",分析!O203,"")</f>
        <v>1.1972386587771202</v>
      </c>
      <c r="O117" s="150">
        <f>IF(分析!X203&lt;&gt;"",分析!X203,"")</f>
        <v>-3.8555319834886177</v>
      </c>
      <c r="P117" s="151">
        <f>IF(分析!L203&lt;&gt;"",分析!L203,"")</f>
        <v>-22.696929238985312</v>
      </c>
      <c r="Q117" s="148">
        <f>IF(分析!S203&lt;&gt;"",分析!S203,"")</f>
        <v>5558</v>
      </c>
      <c r="R117" s="148">
        <f>IF(分析!R203&lt;&gt;"",分析!R203,"")</f>
        <v>6253</v>
      </c>
      <c r="S117" s="143" t="str">
        <f>IF(分析!AA203&lt;&gt;"",分析!AA203,"")</f>
        <v>上昇▲</v>
      </c>
      <c r="T117" s="152">
        <f>IF(分析!Z203&lt;&gt;"",分析!Z203,"")</f>
        <v>0.87108013937282225</v>
      </c>
      <c r="U117" s="143" t="str">
        <f>IF(分析!V203&lt;&gt;"",分析!V203,"")</f>
        <v>通常</v>
      </c>
      <c r="V117" s="153">
        <f>IF(分析!W203&lt;&gt;"",分析!W203,"")</f>
        <v>50.251677852348998</v>
      </c>
      <c r="W117" s="154" t="str">
        <f>IF(分析!AD203&lt;&gt;"",分析!AD203,"")</f>
        <v>下降トレンド▼</v>
      </c>
      <c r="X117" s="155" t="str">
        <f>IF(分析!AE203&lt;&gt;"",分析!AE203,"")</f>
        <v>なし</v>
      </c>
      <c r="Y117" s="156">
        <f>IF(分析!T203&lt;&gt;"",分析!T203,"")</f>
        <v>4</v>
      </c>
      <c r="Z117" s="142" t="str">
        <f>IF(分析!Y203&lt;&gt;"",分析!Y203,"")</f>
        <v>様子見</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6430</v>
      </c>
      <c r="F118" s="148">
        <f>IF(分析!F79&lt;&gt;"",分析!F79,"")</f>
        <v>6500</v>
      </c>
      <c r="G118" s="148">
        <f>IF(分析!H79&lt;&gt;"",分析!H79,"")</f>
        <v>6556</v>
      </c>
      <c r="H118" s="148">
        <f>IF(分析!I79&lt;&gt;"",分析!I79,"")</f>
        <v>6316</v>
      </c>
      <c r="I118" s="148">
        <f>IF(分析!J79&lt;&gt;"",分析!J79,"")</f>
        <v>6885700</v>
      </c>
      <c r="J118" s="148">
        <f>IF(分析!AB79&lt;&gt;"",分析!AB79,"")</f>
        <v>5517.2484725050899</v>
      </c>
      <c r="K118" s="148">
        <f>IF(分析!AC79&lt;&gt;"",分析!AC79,"")</f>
        <v>5629.7735399284848</v>
      </c>
      <c r="L118" s="148">
        <f>IF(分析!K79&lt;&gt;"",分析!K79,"")</f>
        <v>8880</v>
      </c>
      <c r="M118" s="143" t="str">
        <f>IF(分析!P79&lt;&gt;"",分析!P79,"")</f>
        <v>減少↓</v>
      </c>
      <c r="N118" s="149">
        <f>IF(分析!O79&lt;&gt;"",分析!O79,"")</f>
        <v>0.59456458292318159</v>
      </c>
      <c r="O118" s="150">
        <f>IF(分析!X79&lt;&gt;"",分析!X79,"")</f>
        <v>-75.311697228532466</v>
      </c>
      <c r="P118" s="151">
        <f>IF(分析!L79&lt;&gt;"",分析!L79,"")</f>
        <v>-27.59009009009009</v>
      </c>
      <c r="Q118" s="148">
        <f>IF(分析!S79&lt;&gt;"",分析!S79,"")</f>
        <v>6173</v>
      </c>
      <c r="R118" s="148">
        <f>IF(分析!R79&lt;&gt;"",分析!R79,"")</f>
        <v>6944</v>
      </c>
      <c r="S118" s="143" t="str">
        <f>IF(分析!AA79&lt;&gt;"",分析!AA79,"")</f>
        <v>下落▼</v>
      </c>
      <c r="T118" s="152">
        <f>IF(分析!Z79&lt;&gt;"",分析!Z79,"")</f>
        <v>-0.46439628482972134</v>
      </c>
      <c r="U118" s="143" t="str">
        <f>IF(分析!V79&lt;&gt;"",分析!V79,"")</f>
        <v>通常</v>
      </c>
      <c r="V118" s="153">
        <f>IF(分析!W79&lt;&gt;"",分析!W79,"")</f>
        <v>42.570498915401302</v>
      </c>
      <c r="W118" s="154" t="str">
        <f>IF(分析!AD79&lt;&gt;"",分析!AD79,"")</f>
        <v>上昇トレンド▲</v>
      </c>
      <c r="X118" s="155" t="str">
        <f>IF(分析!AE79&lt;&gt;"",分析!AE79,"")</f>
        <v>なし</v>
      </c>
      <c r="Y118" s="156">
        <f>IF(分析!T79&lt;&gt;"",分析!T79,"")</f>
        <v>1</v>
      </c>
      <c r="Z118" s="142" t="str">
        <f>IF(分析!Y79&lt;&gt;"",分析!Y79,"")</f>
        <v>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2777</v>
      </c>
      <c r="F119" s="133">
        <f>IF(分析!F134&lt;&gt;"",分析!F134,"")</f>
        <v>2782</v>
      </c>
      <c r="G119" s="133">
        <f>IF(分析!H134&lt;&gt;"",分析!H134,"")</f>
        <v>2827</v>
      </c>
      <c r="H119" s="133">
        <f>IF(分析!I134&lt;&gt;"",分析!I134,"")</f>
        <v>2673</v>
      </c>
      <c r="I119" s="133">
        <f>IF(分析!J134&lt;&gt;"",分析!J134,"")</f>
        <v>64200</v>
      </c>
      <c r="J119" s="133">
        <f>IF(分析!AB134&lt;&gt;"",分析!AB134,"")</f>
        <v>867.26171079429719</v>
      </c>
      <c r="K119" s="133">
        <f>IF(分析!AC134&lt;&gt;"",分析!AC134,"")</f>
        <v>890.45887961859341</v>
      </c>
      <c r="L119" s="133">
        <f>IF(分析!K134&lt;&gt;"",分析!K134,"")</f>
        <v>3935</v>
      </c>
      <c r="M119" s="128" t="str">
        <f>IF(分析!P134&lt;&gt;"",分析!P134,"")</f>
        <v>減少↓</v>
      </c>
      <c r="N119" s="134">
        <f>IF(分析!O134&lt;&gt;"",分析!O134,"")</f>
        <v>0.79830887838846054</v>
      </c>
      <c r="O119" s="135">
        <f>IF(分析!X134&lt;&gt;"",分析!X134,"")</f>
        <v>23.826129701200898</v>
      </c>
      <c r="P119" s="136">
        <f>IF(分析!L134&lt;&gt;"",分析!L134,"")</f>
        <v>-29.428208386276999</v>
      </c>
      <c r="Q119" s="133">
        <f>IF(分析!S134&lt;&gt;"",分析!S134,"")</f>
        <v>2666</v>
      </c>
      <c r="R119" s="133">
        <f>IF(分析!R134&lt;&gt;"",分析!R134,"")</f>
        <v>2999</v>
      </c>
      <c r="S119" s="128" t="str">
        <f>IF(分析!AA134&lt;&gt;"",分析!AA134,"")</f>
        <v>上昇▲</v>
      </c>
      <c r="T119" s="137">
        <f>IF(分析!Z134&lt;&gt;"",分析!Z134,"")</f>
        <v>1.6471449487554906</v>
      </c>
      <c r="U119" s="128" t="str">
        <f>IF(分析!V134&lt;&gt;"",分析!V134,"")</f>
        <v>通常</v>
      </c>
      <c r="V119" s="138">
        <f>IF(分析!W134&lt;&gt;"",分析!W134,"")</f>
        <v>57.89473684210526</v>
      </c>
      <c r="W119" s="139" t="str">
        <f>IF(分析!AD134&lt;&gt;"",分析!AD134,"")</f>
        <v>上昇トレンド▲</v>
      </c>
      <c r="X119" s="140" t="str">
        <f>IF(分析!AE134&lt;&gt;"",分析!AE134,"")</f>
        <v>なし</v>
      </c>
      <c r="Y119" s="141">
        <f>IF(分析!T134&lt;&gt;"",分析!T134,"")</f>
        <v>8</v>
      </c>
      <c r="Z119" s="142" t="str">
        <f>IF(分析!Y134&lt;&gt;"",分析!Y134,"")</f>
        <v>△注目</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7400</v>
      </c>
      <c r="F120" s="133">
        <f>IF(分析!F110&lt;&gt;"",分析!F110,"")</f>
        <v>7080</v>
      </c>
      <c r="G120" s="133">
        <f>IF(分析!H110&lt;&gt;"",分析!H110,"")</f>
        <v>7430</v>
      </c>
      <c r="H120" s="133">
        <f>IF(分析!I110&lt;&gt;"",分析!I110,"")</f>
        <v>6950</v>
      </c>
      <c r="I120" s="133">
        <f>IF(分析!J110&lt;&gt;"",分析!J110,"")</f>
        <v>895500</v>
      </c>
      <c r="J120" s="133">
        <f>IF(分析!AB110&lt;&gt;"",分析!AB110,"")</f>
        <v>410.34521384928706</v>
      </c>
      <c r="K120" s="133">
        <f>IF(分析!AC110&lt;&gt;"",分析!AC110,"")</f>
        <v>401.72109654350402</v>
      </c>
      <c r="L120" s="133">
        <f>IF(分析!K110&lt;&gt;"",分析!K110,"")</f>
        <v>9190</v>
      </c>
      <c r="M120" s="128" t="str">
        <f>IF(分析!P110&lt;&gt;"",分析!P110,"")</f>
        <v>減少↓</v>
      </c>
      <c r="N120" s="134">
        <f>IF(分析!O110&lt;&gt;"",分析!O110,"")</f>
        <v>0.82413031474323584</v>
      </c>
      <c r="O120" s="135">
        <f>IF(分析!X110&lt;&gt;"",分析!X110,"")</f>
        <v>-55.548342414991566</v>
      </c>
      <c r="P120" s="136">
        <f>IF(分析!L110&lt;&gt;"",分析!L110,"")</f>
        <v>-19.477693144722526</v>
      </c>
      <c r="Q120" s="133">
        <f>IF(分析!S110&lt;&gt;"",分析!S110,"")</f>
        <v>7104</v>
      </c>
      <c r="R120" s="133">
        <f>IF(分析!R110&lt;&gt;"",分析!R110,"")</f>
        <v>7992</v>
      </c>
      <c r="S120" s="128" t="str">
        <f>IF(分析!AA110&lt;&gt;"",分析!AA110,"")</f>
        <v>上昇▲</v>
      </c>
      <c r="T120" s="137">
        <f>IF(分析!Z110&lt;&gt;"",分析!Z110,"")</f>
        <v>0.27100271002710025</v>
      </c>
      <c r="U120" s="128" t="str">
        <f>IF(分析!V110&lt;&gt;"",分析!V110,"")</f>
        <v>通常</v>
      </c>
      <c r="V120" s="138">
        <f>IF(分析!W110&lt;&gt;"",分析!W110,"")</f>
        <v>49.94753410283316</v>
      </c>
      <c r="W120" s="139" t="str">
        <f>IF(分析!AD110&lt;&gt;"",分析!AD110,"")</f>
        <v>パーフェクト▲</v>
      </c>
      <c r="X120" s="140" t="str">
        <f>IF(分析!AE110&lt;&gt;"",分析!AE110,"")</f>
        <v>なし</v>
      </c>
      <c r="Y120" s="141">
        <f>IF(分析!T110&lt;&gt;"",分析!T110,"")</f>
        <v>4</v>
      </c>
      <c r="Z120" s="142" t="str">
        <f>IF(分析!Y110&lt;&gt;"",分析!Y110,"")</f>
        <v>様子見</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3753</v>
      </c>
      <c r="F121" s="133">
        <f>IF(分析!F194&lt;&gt;"",分析!F194,"")</f>
        <v>3670</v>
      </c>
      <c r="G121" s="133">
        <f>IF(分析!H194&lt;&gt;"",分析!H194,"")</f>
        <v>3776</v>
      </c>
      <c r="H121" s="133">
        <f>IF(分析!I194&lt;&gt;"",分析!I194,"")</f>
        <v>3643</v>
      </c>
      <c r="I121" s="133">
        <f>IF(分析!J194&lt;&gt;"",分析!J194,"")</f>
        <v>196300</v>
      </c>
      <c r="J121" s="133">
        <f>IF(分析!AB194&lt;&gt;"",分析!AB194,"")</f>
        <v>23882.800407331975</v>
      </c>
      <c r="K121" s="133">
        <f>IF(分析!AC194&lt;&gt;"",分析!AC194,"")</f>
        <v>23495.816448152556</v>
      </c>
      <c r="L121" s="133">
        <f>IF(分析!K194&lt;&gt;"",分析!K194,"")</f>
        <v>4655</v>
      </c>
      <c r="M121" s="128" t="str">
        <f>IF(分析!P194&lt;&gt;"",分析!P194,"")</f>
        <v>減少↓</v>
      </c>
      <c r="N121" s="134">
        <f>IF(分析!O194&lt;&gt;"",分析!O194,"")</f>
        <v>0.60188875942846631</v>
      </c>
      <c r="O121" s="135">
        <f>IF(分析!X194&lt;&gt;"",分析!X194,"")</f>
        <v>2.7714785522962302</v>
      </c>
      <c r="P121" s="136">
        <f>IF(分析!L194&lt;&gt;"",分析!L194,"")</f>
        <v>-19.377013963480131</v>
      </c>
      <c r="Q121" s="133">
        <f>IF(分析!S194&lt;&gt;"",分析!S194,"")</f>
        <v>3603</v>
      </c>
      <c r="R121" s="133">
        <f>IF(分析!R194&lt;&gt;"",分析!R194,"")</f>
        <v>4053</v>
      </c>
      <c r="S121" s="128" t="str">
        <f>IF(分析!AA194&lt;&gt;"",分析!AA194,"")</f>
        <v>上昇▲</v>
      </c>
      <c r="T121" s="137">
        <f>IF(分析!Z194&lt;&gt;"",分析!Z194,"")</f>
        <v>2.4849808847624248</v>
      </c>
      <c r="U121" s="128" t="str">
        <f>IF(分析!V194&lt;&gt;"",分析!V194,"")</f>
        <v>通常</v>
      </c>
      <c r="V121" s="138">
        <f>IF(分析!W194&lt;&gt;"",分析!W194,"")</f>
        <v>42.624999999999993</v>
      </c>
      <c r="W121" s="139" t="str">
        <f>IF(分析!AD194&lt;&gt;"",分析!AD194,"")</f>
        <v>もみ合い→</v>
      </c>
      <c r="X121" s="140" t="str">
        <f>IF(分析!AE194&lt;&gt;"",分析!AE194,"")</f>
        <v>なし</v>
      </c>
      <c r="Y121" s="141">
        <f>IF(分析!T194&lt;&gt;"",分析!T194,"")</f>
        <v>6</v>
      </c>
      <c r="Z121" s="142" t="str">
        <f>IF(分析!Y194&lt;&gt;"",分析!Y194,"")</f>
        <v>△注目</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4600</v>
      </c>
      <c r="F122" s="148">
        <f>IF(分析!F163&lt;&gt;"",分析!F163,"")</f>
        <v>4350</v>
      </c>
      <c r="G122" s="148">
        <f>IF(分析!H163&lt;&gt;"",分析!H163,"")</f>
        <v>4640</v>
      </c>
      <c r="H122" s="148">
        <f>IF(分析!I163&lt;&gt;"",分析!I163,"")</f>
        <v>4250</v>
      </c>
      <c r="I122" s="148">
        <f>IF(分析!J163&lt;&gt;"",分析!J163,"")</f>
        <v>57300</v>
      </c>
      <c r="J122" s="148">
        <f>IF(分析!AB163&lt;&gt;"",分析!AB163,"")</f>
        <v>7876.6211812627289</v>
      </c>
      <c r="K122" s="148">
        <f>IF(分析!AC163&lt;&gt;"",分析!AC163,"")</f>
        <v>7478.9320619785431</v>
      </c>
      <c r="L122" s="148">
        <f>IF(分析!K163&lt;&gt;"",分析!K163,"")</f>
        <v>4700</v>
      </c>
      <c r="M122" s="143" t="str">
        <f>IF(分析!P163&lt;&gt;"",分析!P163,"")</f>
        <v>減少↓</v>
      </c>
      <c r="N122" s="149">
        <f>IF(分析!O163&lt;&gt;"",分析!O163,"")</f>
        <v>0.81857142857142862</v>
      </c>
      <c r="O122" s="150">
        <f>IF(分析!X163&lt;&gt;"",分析!X163,"")</f>
        <v>34.685369309701855</v>
      </c>
      <c r="P122" s="151">
        <f>IF(分析!L163&lt;&gt;"",分析!L163,"")</f>
        <v>-2.1276595744680851</v>
      </c>
      <c r="Q122" s="148">
        <f>IF(分析!S163&lt;&gt;"",分析!S163,"")</f>
        <v>4416</v>
      </c>
      <c r="R122" s="148">
        <f>IF(分析!R163&lt;&gt;"",分析!R163,"")</f>
        <v>4968</v>
      </c>
      <c r="S122" s="143" t="str">
        <f>IF(分析!AA163&lt;&gt;"",分析!AA163,"")</f>
        <v>上昇▲</v>
      </c>
      <c r="T122" s="152">
        <f>IF(分析!Z163&lt;&gt;"",分析!Z163,"")</f>
        <v>5.3837342497136316</v>
      </c>
      <c r="U122" s="143" t="str">
        <f>IF(分析!V163&lt;&gt;"",分析!V163,"")</f>
        <v>高値圏</v>
      </c>
      <c r="V122" s="153">
        <f>IF(分析!W163&lt;&gt;"",分析!W163,"")</f>
        <v>50</v>
      </c>
      <c r="W122" s="154" t="str">
        <f>IF(分析!AD163&lt;&gt;"",分析!AD163,"")</f>
        <v>もみ合い→</v>
      </c>
      <c r="X122" s="155" t="str">
        <f>IF(分析!AE163&lt;&gt;"",分析!AE163,"")</f>
        <v>なし</v>
      </c>
      <c r="Y122" s="156">
        <f>IF(分析!T163&lt;&gt;"",分析!T163,"")</f>
        <v>9</v>
      </c>
      <c r="Z122" s="142" t="str">
        <f>IF(分析!Y163&lt;&gt;"",分析!Y163,"")</f>
        <v>△注目</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5931</v>
      </c>
      <c r="F123" s="148">
        <f>IF(分析!F27&lt;&gt;"",分析!F27,"")</f>
        <v>5750</v>
      </c>
      <c r="G123" s="148">
        <f>IF(分析!H27&lt;&gt;"",分析!H27,"")</f>
        <v>5950</v>
      </c>
      <c r="H123" s="148">
        <f>IF(分析!I27&lt;&gt;"",分析!I27,"")</f>
        <v>5735</v>
      </c>
      <c r="I123" s="148">
        <f>IF(分析!J27&lt;&gt;"",分析!J27,"")</f>
        <v>3270400</v>
      </c>
      <c r="J123" s="148">
        <f>IF(分析!AB27&lt;&gt;"",分析!AB27,"")</f>
        <v>1295.5183299389003</v>
      </c>
      <c r="K123" s="148">
        <f>IF(分析!AC27&lt;&gt;"",分析!AC27,"")</f>
        <v>1291.2473182359947</v>
      </c>
      <c r="L123" s="148">
        <f>IF(分析!K27&lt;&gt;"",分析!K27,"")</f>
        <v>6394</v>
      </c>
      <c r="M123" s="143" t="str">
        <f>IF(分析!P27&lt;&gt;"",分析!P27,"")</f>
        <v>減少↓</v>
      </c>
      <c r="N123" s="149">
        <f>IF(分析!O27&lt;&gt;"",分析!O27,"")</f>
        <v>0.81062457552758516</v>
      </c>
      <c r="O123" s="150">
        <f>IF(分析!X27&lt;&gt;"",分析!X27,"")</f>
        <v>79.977748279527987</v>
      </c>
      <c r="P123" s="151">
        <f>IF(分析!L27&lt;&gt;"",分析!L27,"")</f>
        <v>-7.2411635908664369</v>
      </c>
      <c r="Q123" s="148">
        <f>IF(分析!S27&lt;&gt;"",分析!S27,"")</f>
        <v>5694</v>
      </c>
      <c r="R123" s="148">
        <f>IF(分析!R27&lt;&gt;"",分析!R27,"")</f>
        <v>6405</v>
      </c>
      <c r="S123" s="143" t="str">
        <f>IF(分析!AA27&lt;&gt;"",分析!AA27,"")</f>
        <v>上昇▲</v>
      </c>
      <c r="T123" s="152">
        <f>IF(分析!Z27&lt;&gt;"",分析!Z27,"")</f>
        <v>2.293894446360814</v>
      </c>
      <c r="U123" s="143" t="str">
        <f>IF(分析!V27&lt;&gt;"",分析!V27,"")</f>
        <v>通常</v>
      </c>
      <c r="V123" s="153">
        <f>IF(分析!W27&lt;&gt;"",分析!W27,"")</f>
        <v>59.181636726546905</v>
      </c>
      <c r="W123" s="154" t="str">
        <f>IF(分析!AD27&lt;&gt;"",分析!AD27,"")</f>
        <v>パーフェクト▲</v>
      </c>
      <c r="X123" s="155" t="str">
        <f>IF(分析!AE27&lt;&gt;"",分析!AE27,"")</f>
        <v>なし</v>
      </c>
      <c r="Y123" s="156">
        <f>IF(分析!T27&lt;&gt;"",分析!T27,"")</f>
        <v>9</v>
      </c>
      <c r="Z123" s="142" t="str">
        <f>IF(分析!Y27&lt;&gt;"",分析!Y27,"")</f>
        <v>△注目</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5695</v>
      </c>
      <c r="F124" s="133">
        <f>IF(分析!F8&lt;&gt;"",分析!F8,"")</f>
        <v>5760</v>
      </c>
      <c r="G124" s="133">
        <f>IF(分析!H8&lt;&gt;"",分析!H8,"")</f>
        <v>5881</v>
      </c>
      <c r="H124" s="133">
        <f>IF(分析!I8&lt;&gt;"",分析!I8,"")</f>
        <v>5542</v>
      </c>
      <c r="I124" s="133">
        <f>IF(分析!J8&lt;&gt;"",分析!J8,"")</f>
        <v>46955700</v>
      </c>
      <c r="J124" s="133">
        <f>IF(分析!AB8&lt;&gt;"",分析!AB8,"")</f>
        <v>8502.2301425661899</v>
      </c>
      <c r="K124" s="133">
        <f>IF(分析!AC8&lt;&gt;"",分析!AC8,"")</f>
        <v>8353.3885578069094</v>
      </c>
      <c r="L124" s="133">
        <f>IF(分析!K8&lt;&gt;"",分析!K8,"")</f>
        <v>9074</v>
      </c>
      <c r="M124" s="128" t="str">
        <f>IF(分析!P8&lt;&gt;"",分析!P8,"")</f>
        <v>減少↓</v>
      </c>
      <c r="N124" s="134">
        <f>IF(分析!O8&lt;&gt;"",分析!O8,"")</f>
        <v>0.87750966264736918</v>
      </c>
      <c r="O124" s="135">
        <f>IF(分析!X8&lt;&gt;"",分析!X8,"")</f>
        <v>-93.237648215444096</v>
      </c>
      <c r="P124" s="136">
        <f>IF(分析!L8&lt;&gt;"",分析!L8,"")</f>
        <v>-37.238263169495262</v>
      </c>
      <c r="Q124" s="133">
        <f>IF(分析!S8&lt;&gt;"",分析!S8,"")</f>
        <v>5467</v>
      </c>
      <c r="R124" s="133">
        <f>IF(分析!R8&lt;&gt;"",分析!R8,"")</f>
        <v>6151</v>
      </c>
      <c r="S124" s="128" t="str">
        <f>IF(分析!AA8&lt;&gt;"",分析!AA8,"")</f>
        <v>下落▼</v>
      </c>
      <c r="T124" s="137">
        <f>IF(分析!Z8&lt;&gt;"",分析!Z8,"")</f>
        <v>-4.4142329640819069</v>
      </c>
      <c r="U124" s="128" t="str">
        <f>IF(分析!V8&lt;&gt;"",分析!V8,"")</f>
        <v>通常</v>
      </c>
      <c r="V124" s="138">
        <f>IF(分析!W8&lt;&gt;"",分析!W8,"")</f>
        <v>45.521390374331553</v>
      </c>
      <c r="W124" s="139" t="str">
        <f>IF(分析!AD8&lt;&gt;"",分析!AD8,"")</f>
        <v>もみ合い→</v>
      </c>
      <c r="X124" s="140" t="str">
        <f>IF(分析!AE8&lt;&gt;"",分析!AE8,"")</f>
        <v>なし</v>
      </c>
      <c r="Y124" s="141">
        <f>IF(分析!T8&lt;&gt;"",分析!T8,"")</f>
        <v>-1</v>
      </c>
      <c r="Z124" s="142" t="str">
        <f>IF(分析!Y8&lt;&gt;"",分析!Y8,"")</f>
        <v>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1564.5</v>
      </c>
      <c r="F125" s="133">
        <f>IF(分析!F54&lt;&gt;"",分析!F54,"")</f>
        <v>1525</v>
      </c>
      <c r="G125" s="133">
        <f>IF(分析!H54&lt;&gt;"",分析!H54,"")</f>
        <v>1577</v>
      </c>
      <c r="H125" s="133">
        <f>IF(分析!I54&lt;&gt;"",分析!I54,"")</f>
        <v>1520</v>
      </c>
      <c r="I125" s="133">
        <f>IF(分析!J54&lt;&gt;"",分析!J54,"")</f>
        <v>8499700</v>
      </c>
      <c r="J125" s="133">
        <f>IF(分析!AB54&lt;&gt;"",分析!AB54,"")</f>
        <v>2261.4236252545816</v>
      </c>
      <c r="K125" s="133">
        <f>IF(分析!AC54&lt;&gt;"",分析!AC54,"")</f>
        <v>2288.6626936829548</v>
      </c>
      <c r="L125" s="133">
        <f>IF(分析!K54&lt;&gt;"",分析!K54,"")</f>
        <v>2200</v>
      </c>
      <c r="M125" s="128" t="str">
        <f>IF(分析!P54&lt;&gt;"",分析!P54,"")</f>
        <v>普通→</v>
      </c>
      <c r="N125" s="134">
        <f>IF(分析!O54&lt;&gt;"",分析!O54,"")</f>
        <v>1.1688192034147227</v>
      </c>
      <c r="O125" s="135">
        <f>IF(分析!X54&lt;&gt;"",分析!X54,"")</f>
        <v>6.1117730527510048</v>
      </c>
      <c r="P125" s="136">
        <f>IF(分析!L54&lt;&gt;"",分析!L54,"")</f>
        <v>-28.886363636363637</v>
      </c>
      <c r="Q125" s="133">
        <f>IF(分析!S54&lt;&gt;"",分析!S54,"")</f>
        <v>1502</v>
      </c>
      <c r="R125" s="133">
        <f>IF(分析!R54&lt;&gt;"",分析!R54,"")</f>
        <v>1690</v>
      </c>
      <c r="S125" s="128" t="str">
        <f>IF(分析!AA54&lt;&gt;"",分析!AA54,"")</f>
        <v>上昇▲</v>
      </c>
      <c r="T125" s="137">
        <f>IF(分析!Z54&lt;&gt;"",分析!Z54,"")</f>
        <v>4.2652449183605468</v>
      </c>
      <c r="U125" s="128" t="str">
        <f>IF(分析!V54&lt;&gt;"",分析!V54,"")</f>
        <v>通常</v>
      </c>
      <c r="V125" s="138">
        <f>IF(分析!W54&lt;&gt;"",分析!W54,"")</f>
        <v>53.584905660377352</v>
      </c>
      <c r="W125" s="139" t="str">
        <f>IF(分析!AD54&lt;&gt;"",分析!AD54,"")</f>
        <v>下降トレンド▼</v>
      </c>
      <c r="X125" s="140" t="str">
        <f>IF(分析!AE54&lt;&gt;"",分析!AE54,"")</f>
        <v>なし</v>
      </c>
      <c r="Y125" s="141">
        <f>IF(分析!T54&lt;&gt;"",分析!T54,"")</f>
        <v>7</v>
      </c>
      <c r="Z125" s="142" t="str">
        <f>IF(分析!Y54&lt;&gt;"",分析!Y54,"")</f>
        <v>△注目</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6513</v>
      </c>
      <c r="F126" s="148">
        <f>IF(分析!F43&lt;&gt;"",分析!F43,"")</f>
        <v>6505</v>
      </c>
      <c r="G126" s="148">
        <f>IF(分析!H43&lt;&gt;"",分析!H43,"")</f>
        <v>6534</v>
      </c>
      <c r="H126" s="148">
        <f>IF(分析!I43&lt;&gt;"",分析!I43,"")</f>
        <v>6472</v>
      </c>
      <c r="I126" s="148">
        <f>IF(分析!J43&lt;&gt;"",分析!J43,"")</f>
        <v>2873500</v>
      </c>
      <c r="J126" s="148">
        <f>IF(分析!AB43&lt;&gt;"",分析!AB43,"")</f>
        <v>3556.2301425661908</v>
      </c>
      <c r="K126" s="148">
        <f>IF(分析!AC43&lt;&gt;"",分析!AC43,"")</f>
        <v>3572.4743742550636</v>
      </c>
      <c r="L126" s="148">
        <f>IF(分析!K43&lt;&gt;"",分析!K43,"")</f>
        <v>6680</v>
      </c>
      <c r="M126" s="143" t="str">
        <f>IF(分析!P43&lt;&gt;"",分析!P43,"")</f>
        <v>減少↓</v>
      </c>
      <c r="N126" s="149">
        <f>IF(分析!O43&lt;&gt;"",分析!O43,"")</f>
        <v>0.86722036783302048</v>
      </c>
      <c r="O126" s="150">
        <f>IF(分析!X43&lt;&gt;"",分析!X43,"")</f>
        <v>8.3236659117419549</v>
      </c>
      <c r="P126" s="151">
        <f>IF(分析!L43&lt;&gt;"",分析!L43,"")</f>
        <v>-2.5</v>
      </c>
      <c r="Q126" s="148">
        <f>IF(分析!S43&lt;&gt;"",分析!S43,"")</f>
        <v>6252</v>
      </c>
      <c r="R126" s="148">
        <f>IF(分析!R43&lt;&gt;"",分析!R43,"")</f>
        <v>7034</v>
      </c>
      <c r="S126" s="143" t="str">
        <f>IF(分析!AA43&lt;&gt;"",分析!AA43,"")</f>
        <v>下落▼</v>
      </c>
      <c r="T126" s="152">
        <f>IF(分析!Z43&lt;&gt;"",分析!Z43,"")</f>
        <v>-0.51932182679089667</v>
      </c>
      <c r="U126" s="143" t="str">
        <f>IF(分析!V43&lt;&gt;"",分析!V43,"")</f>
        <v>高値圏</v>
      </c>
      <c r="V126" s="153">
        <f>IF(分析!W43&lt;&gt;"",分析!W43,"")</f>
        <v>48.832487309644677</v>
      </c>
      <c r="W126" s="154" t="str">
        <f>IF(分析!AD43&lt;&gt;"",分析!AD43,"")</f>
        <v>上昇トレンド▲</v>
      </c>
      <c r="X126" s="155" t="str">
        <f>IF(分析!AE43&lt;&gt;"",分析!AE43,"")</f>
        <v>なし</v>
      </c>
      <c r="Y126" s="156">
        <f>IF(分析!T43&lt;&gt;"",分析!T43,"")</f>
        <v>8</v>
      </c>
      <c r="Z126" s="142" t="str">
        <f>IF(分析!Y43&lt;&gt;"",分析!Y43,"")</f>
        <v>△注目</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3909</v>
      </c>
      <c r="F127" s="148">
        <f>IF(分析!F127&lt;&gt;"",分析!F127,"")</f>
        <v>3781</v>
      </c>
      <c r="G127" s="148">
        <f>IF(分析!H127&lt;&gt;"",分析!H127,"")</f>
        <v>4085</v>
      </c>
      <c r="H127" s="148">
        <f>IF(分析!I127&lt;&gt;"",分析!I127,"")</f>
        <v>3436</v>
      </c>
      <c r="I127" s="148">
        <f>IF(分析!J127&lt;&gt;"",分析!J127,"")</f>
        <v>72354600</v>
      </c>
      <c r="J127" s="148">
        <f>IF(分析!AB127&lt;&gt;"",分析!AB127,"")</f>
        <v>1872.3971486761707</v>
      </c>
      <c r="K127" s="148">
        <f>IF(分析!AC127&lt;&gt;"",分析!AC127,"")</f>
        <v>1852.6471990464831</v>
      </c>
      <c r="L127" s="148">
        <f>IF(分析!K127&lt;&gt;"",分析!K127,"")</f>
        <v>4870</v>
      </c>
      <c r="M127" s="143" t="str">
        <f>IF(分析!P127&lt;&gt;"",分析!P127,"")</f>
        <v>増加↑</v>
      </c>
      <c r="N127" s="149">
        <f>IF(分析!O127&lt;&gt;"",分析!O127,"")</f>
        <v>1.939229717777599</v>
      </c>
      <c r="O127" s="150">
        <f>IF(分析!X127&lt;&gt;"",分析!X127,"")</f>
        <v>-23.200998849699317</v>
      </c>
      <c r="P127" s="151">
        <f>IF(分析!L127&lt;&gt;"",分析!L127,"")</f>
        <v>-19.733059548254619</v>
      </c>
      <c r="Q127" s="148">
        <f>IF(分析!S127&lt;&gt;"",分析!S127,"")</f>
        <v>3753</v>
      </c>
      <c r="R127" s="148">
        <f>IF(分析!R127&lt;&gt;"",分析!R127,"")</f>
        <v>4222</v>
      </c>
      <c r="S127" s="143" t="str">
        <f>IF(分析!AA127&lt;&gt;"",分析!AA127,"")</f>
        <v>下落▼</v>
      </c>
      <c r="T127" s="152">
        <f>IF(分析!Z127&lt;&gt;"",分析!Z127,"")</f>
        <v>-0.25516713447307987</v>
      </c>
      <c r="U127" s="143" t="str">
        <f>IF(分析!V127&lt;&gt;"",分析!V127,"")</f>
        <v>通常</v>
      </c>
      <c r="V127" s="153">
        <f>IF(分析!W127&lt;&gt;"",分析!W127,"")</f>
        <v>52.869467366841711</v>
      </c>
      <c r="W127" s="154" t="str">
        <f>IF(分析!AD127&lt;&gt;"",分析!AD127,"")</f>
        <v>パーフェクト▲</v>
      </c>
      <c r="X127" s="155" t="str">
        <f>IF(分析!AE127&lt;&gt;"",分析!AE127,"")</f>
        <v>なし</v>
      </c>
      <c r="Y127" s="156">
        <f>IF(分析!T127&lt;&gt;"",分析!T127,"")</f>
        <v>5</v>
      </c>
      <c r="Z127" s="142" t="str">
        <f>IF(分析!Y127&lt;&gt;"",分析!Y127,"")</f>
        <v>様子見</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900</v>
      </c>
      <c r="F128" s="133">
        <f>IF(分析!F56&lt;&gt;"",分析!F56,"")</f>
        <v>890</v>
      </c>
      <c r="G128" s="133">
        <f>IF(分析!H56&lt;&gt;"",分析!H56,"")</f>
        <v>902</v>
      </c>
      <c r="H128" s="133">
        <f>IF(分析!I56&lt;&gt;"",分析!I56,"")</f>
        <v>890</v>
      </c>
      <c r="I128" s="133">
        <f>IF(分析!J56&lt;&gt;"",分析!J56,"")</f>
        <v>104300</v>
      </c>
      <c r="J128" s="133">
        <f>IF(分析!AB56&lt;&gt;"",分析!AB56,"")</f>
        <v>4029.209775967413</v>
      </c>
      <c r="K128" s="133">
        <f>IF(分析!AC56&lt;&gt;"",分析!AC56,"")</f>
        <v>4069.9272943980914</v>
      </c>
      <c r="L128" s="133">
        <f>IF(分析!K56&lt;&gt;"",分析!K56,"")</f>
        <v>1041</v>
      </c>
      <c r="M128" s="128" t="str">
        <f>IF(分析!P56&lt;&gt;"",分析!P56,"")</f>
        <v>減少↓</v>
      </c>
      <c r="N128" s="134">
        <f>IF(分析!O56&lt;&gt;"",分析!O56,"")</f>
        <v>0.49591099277291745</v>
      </c>
      <c r="O128" s="135">
        <f>IF(分析!X56&lt;&gt;"",分析!X56,"")</f>
        <v>-0.56063947078280307</v>
      </c>
      <c r="P128" s="136">
        <f>IF(分析!L56&lt;&gt;"",分析!L56,"")</f>
        <v>-13.544668587896252</v>
      </c>
      <c r="Q128" s="133">
        <f>IF(分析!S56&lt;&gt;"",分析!S56,"")</f>
        <v>864</v>
      </c>
      <c r="R128" s="133">
        <f>IF(分析!R56&lt;&gt;"",分析!R56,"")</f>
        <v>972</v>
      </c>
      <c r="S128" s="128" t="str">
        <f>IF(分析!AA56&lt;&gt;"",分析!AA56,"")</f>
        <v>上昇▲</v>
      </c>
      <c r="T128" s="137">
        <f>IF(分析!Z56&lt;&gt;"",分析!Z56,"")</f>
        <v>1.2373453318335208</v>
      </c>
      <c r="U128" s="128" t="str">
        <f>IF(分析!V56&lt;&gt;"",分析!V56,"")</f>
        <v>通常</v>
      </c>
      <c r="V128" s="138">
        <f>IF(分析!W56&lt;&gt;"",分析!W56,"")</f>
        <v>38.333333333333329</v>
      </c>
      <c r="W128" s="139" t="str">
        <f>IF(分析!AD56&lt;&gt;"",分析!AD56,"")</f>
        <v>下降トレンド▼</v>
      </c>
      <c r="X128" s="140" t="str">
        <f>IF(分析!AE56&lt;&gt;"",分析!AE56,"")</f>
        <v>なし</v>
      </c>
      <c r="Y128" s="141">
        <f>IF(分析!T56&lt;&gt;"",分析!T56,"")</f>
        <v>4</v>
      </c>
      <c r="Z128" s="142" t="str">
        <f>IF(分析!Y56&lt;&gt;"",分析!Y56,"")</f>
        <v>様子見</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1624</v>
      </c>
      <c r="F129" s="133">
        <f>IF(分析!F152&lt;&gt;"",分析!F152,"")</f>
        <v>1603</v>
      </c>
      <c r="G129" s="133">
        <f>IF(分析!H152&lt;&gt;"",分析!H152,"")</f>
        <v>1640.5</v>
      </c>
      <c r="H129" s="133">
        <f>IF(分析!I152&lt;&gt;"",分析!I152,"")</f>
        <v>1603</v>
      </c>
      <c r="I129" s="133">
        <f>IF(分析!J152&lt;&gt;"",分析!J152,"")</f>
        <v>390500</v>
      </c>
      <c r="J129" s="133">
        <f>IF(分析!AB152&lt;&gt;"",分析!AB152,"")</f>
        <v>7374.4938900203651</v>
      </c>
      <c r="K129" s="133">
        <f>IF(分析!AC152&lt;&gt;"",分析!AC152,"")</f>
        <v>7925.7187127532725</v>
      </c>
      <c r="L129" s="133">
        <f>IF(分析!K152&lt;&gt;"",分析!K152,"")</f>
        <v>2447</v>
      </c>
      <c r="M129" s="128" t="str">
        <f>IF(分析!P152&lt;&gt;"",分析!P152,"")</f>
        <v>減少↓</v>
      </c>
      <c r="N129" s="134">
        <f>IF(分析!O152&lt;&gt;"",分析!O152,"")</f>
        <v>0.80725182949518337</v>
      </c>
      <c r="O129" s="135">
        <f>IF(分析!X152&lt;&gt;"",分析!X152,"")</f>
        <v>-8.7269542149108474</v>
      </c>
      <c r="P129" s="136">
        <f>IF(分析!L152&lt;&gt;"",分析!L152,"")</f>
        <v>-33.633020024519823</v>
      </c>
      <c r="Q129" s="133">
        <f>IF(分析!S152&lt;&gt;"",分析!S152,"")</f>
        <v>1559</v>
      </c>
      <c r="R129" s="133">
        <f>IF(分析!R152&lt;&gt;"",分析!R152,"")</f>
        <v>1754</v>
      </c>
      <c r="S129" s="128" t="str">
        <f>IF(分析!AA152&lt;&gt;"",分析!AA152,"")</f>
        <v>上昇▲</v>
      </c>
      <c r="T129" s="137">
        <f>IF(分析!Z152&lt;&gt;"",分析!Z152,"")</f>
        <v>1.5634771732332706</v>
      </c>
      <c r="U129" s="128" t="str">
        <f>IF(分析!V152&lt;&gt;"",分析!V152,"")</f>
        <v>通常</v>
      </c>
      <c r="V129" s="138">
        <f>IF(分析!W152&lt;&gt;"",分析!W152,"")</f>
        <v>26.894865525672373</v>
      </c>
      <c r="W129" s="139" t="str">
        <f>IF(分析!AD152&lt;&gt;"",分析!AD152,"")</f>
        <v>下降トレンド▼</v>
      </c>
      <c r="X129" s="140" t="str">
        <f>IF(分析!AE152&lt;&gt;"",分析!AE152,"")</f>
        <v>なし</v>
      </c>
      <c r="Y129" s="141">
        <f>IF(分析!T152&lt;&gt;"",分析!T152,"")</f>
        <v>2</v>
      </c>
      <c r="Z129" s="142" t="str">
        <f>IF(分析!Y152&lt;&gt;"",分析!Y152,"")</f>
        <v>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1750.5</v>
      </c>
      <c r="F130" s="148">
        <f>IF(分析!F5&lt;&gt;"",分析!F5,"")</f>
        <v>1721</v>
      </c>
      <c r="G130" s="148">
        <f>IF(分析!H5&lt;&gt;"",分析!H5,"")</f>
        <v>1758</v>
      </c>
      <c r="H130" s="148">
        <f>IF(分析!I5&lt;&gt;"",分析!I5,"")</f>
        <v>1709</v>
      </c>
      <c r="I130" s="148">
        <f>IF(分析!J5&lt;&gt;"",分析!J5,"")</f>
        <v>1888700</v>
      </c>
      <c r="J130" s="148">
        <f>IF(分析!AB5&lt;&gt;"",分析!AB5,"")</f>
        <v>1732.7270875763743</v>
      </c>
      <c r="K130" s="148">
        <f>IF(分析!AC5&lt;&gt;"",分析!AC5,"")</f>
        <v>1735.6936829558997</v>
      </c>
      <c r="L130" s="148">
        <f>IF(分析!K5&lt;&gt;"",分析!K5,"")</f>
        <v>1797.5</v>
      </c>
      <c r="M130" s="143" t="str">
        <f>IF(分析!P5&lt;&gt;"",分析!P5,"")</f>
        <v>減少↓</v>
      </c>
      <c r="N130" s="149">
        <f>IF(分析!O5&lt;&gt;"",分析!O5,"")</f>
        <v>0.88716344437555195</v>
      </c>
      <c r="O130" s="150">
        <f>IF(分析!X5&lt;&gt;"",分析!X5,"")</f>
        <v>16.304830261225106</v>
      </c>
      <c r="P130" s="151">
        <f>IF(分析!L5&lt;&gt;"",分析!L5,"")</f>
        <v>-2.6147426981919333</v>
      </c>
      <c r="Q130" s="148">
        <f>IF(分析!S5&lt;&gt;"",分析!S5,"")</f>
        <v>1680</v>
      </c>
      <c r="R130" s="148">
        <f>IF(分析!R5&lt;&gt;"",分析!R5,"")</f>
        <v>1891</v>
      </c>
      <c r="S130" s="143" t="str">
        <f>IF(分析!AA5&lt;&gt;"",分析!AA5,"")</f>
        <v>上昇▲</v>
      </c>
      <c r="T130" s="152">
        <f>IF(分析!Z5&lt;&gt;"",分析!Z5,"")</f>
        <v>1.7141196978500872</v>
      </c>
      <c r="U130" s="143" t="str">
        <f>IF(分析!V5&lt;&gt;"",分析!V5,"")</f>
        <v>高値圏</v>
      </c>
      <c r="V130" s="153">
        <f>IF(分析!W5&lt;&gt;"",分析!W5,"")</f>
        <v>55.231930960086295</v>
      </c>
      <c r="W130" s="154" t="str">
        <f>IF(分析!AD5&lt;&gt;"",分析!AD5,"")</f>
        <v>上昇トレンド▲</v>
      </c>
      <c r="X130" s="155" t="str">
        <f>IF(分析!AE5&lt;&gt;"",分析!AE5,"")</f>
        <v>25日押し目★</v>
      </c>
      <c r="Y130" s="156">
        <f>IF(分析!T5&lt;&gt;"",分析!T5,"")</f>
        <v>11</v>
      </c>
      <c r="Z130" s="142" t="str">
        <f>IF(分析!Y5&lt;&gt;"",分析!Y5,"")</f>
        <v>○買い候補</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3428</v>
      </c>
      <c r="F131" s="133">
        <f>IF(分析!F30&lt;&gt;"",分析!F30,"")</f>
        <v>3391</v>
      </c>
      <c r="G131" s="133">
        <f>IF(分析!H30&lt;&gt;"",分析!H30,"")</f>
        <v>3448</v>
      </c>
      <c r="H131" s="133">
        <f>IF(分析!I30&lt;&gt;"",分析!I30,"")</f>
        <v>3380</v>
      </c>
      <c r="I131" s="133">
        <f>IF(分析!J30&lt;&gt;"",分析!J30,"")</f>
        <v>3821800</v>
      </c>
      <c r="J131" s="133">
        <f>IF(分析!AB30&lt;&gt;"",分析!AB30,"")</f>
        <v>1358.3279022403258</v>
      </c>
      <c r="K131" s="133">
        <f>IF(分析!AC30&lt;&gt;"",分析!AC30,"")</f>
        <v>1405.4874851013108</v>
      </c>
      <c r="L131" s="133">
        <f>IF(分析!K30&lt;&gt;"",分析!K30,"")</f>
        <v>4211</v>
      </c>
      <c r="M131" s="128" t="str">
        <f>IF(分析!P30&lt;&gt;"",分析!P30,"")</f>
        <v>減少↓</v>
      </c>
      <c r="N131" s="134">
        <f>IF(分析!O30&lt;&gt;"",分析!O30,"")</f>
        <v>0.84866653343103948</v>
      </c>
      <c r="O131" s="135">
        <f>IF(分析!X30&lt;&gt;"",分析!X30,"")</f>
        <v>-2.8047655817763371</v>
      </c>
      <c r="P131" s="136">
        <f>IF(分析!L30&lt;&gt;"",分析!L30,"")</f>
        <v>-18.594158157207314</v>
      </c>
      <c r="Q131" s="133">
        <f>IF(分析!S30&lt;&gt;"",分析!S30,"")</f>
        <v>3291</v>
      </c>
      <c r="R131" s="133">
        <f>IF(分析!R30&lt;&gt;"",分析!R30,"")</f>
        <v>3702</v>
      </c>
      <c r="S131" s="128" t="str">
        <f>IF(分析!AA30&lt;&gt;"",分析!AA30,"")</f>
        <v>上昇▲</v>
      </c>
      <c r="T131" s="137">
        <f>IF(分析!Z30&lt;&gt;"",分析!Z30,"")</f>
        <v>1.7512615019293558</v>
      </c>
      <c r="U131" s="128" t="str">
        <f>IF(分析!V30&lt;&gt;"",分析!V30,"")</f>
        <v>通常</v>
      </c>
      <c r="V131" s="138">
        <f>IF(分析!W30&lt;&gt;"",分析!W30,"")</f>
        <v>40.312213039485769</v>
      </c>
      <c r="W131" s="139" t="str">
        <f>IF(分析!AD30&lt;&gt;"",分析!AD30,"")</f>
        <v>上昇トレンド▲</v>
      </c>
      <c r="X131" s="140" t="str">
        <f>IF(分析!AE30&lt;&gt;"",分析!AE30,"")</f>
        <v>なし</v>
      </c>
      <c r="Y131" s="141">
        <f>IF(分析!T30&lt;&gt;"",分析!T30,"")</f>
        <v>5</v>
      </c>
      <c r="Z131" s="142" t="str">
        <f>IF(分析!Y30&lt;&gt;"",分析!Y30,"")</f>
        <v>様子見</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5196</v>
      </c>
      <c r="F132" s="133">
        <f>IF(分析!F190&lt;&gt;"",分析!F190,"")</f>
        <v>5350</v>
      </c>
      <c r="G132" s="133">
        <f>IF(分析!H190&lt;&gt;"",分析!H190,"")</f>
        <v>5368</v>
      </c>
      <c r="H132" s="133">
        <f>IF(分析!I190&lt;&gt;"",分析!I190,"")</f>
        <v>5154</v>
      </c>
      <c r="I132" s="133">
        <f>IF(分析!J190&lt;&gt;"",分析!J190,"")</f>
        <v>5499400</v>
      </c>
      <c r="J132" s="133">
        <f>IF(分析!AB190&lt;&gt;"",分析!AB190,"")</f>
        <v>1623.8701629327898</v>
      </c>
      <c r="K132" s="133">
        <f>IF(分析!AC190&lt;&gt;"",分析!AC190,"")</f>
        <v>1659.8027413587595</v>
      </c>
      <c r="L132" s="133">
        <f>IF(分析!K190&lt;&gt;"",分析!K190,"")</f>
        <v>6340</v>
      </c>
      <c r="M132" s="128" t="str">
        <f>IF(分析!P190&lt;&gt;"",分析!P190,"")</f>
        <v>普通→</v>
      </c>
      <c r="N132" s="134">
        <f>IF(分析!O190&lt;&gt;"",分析!O190,"")</f>
        <v>1.0875988339668463</v>
      </c>
      <c r="O132" s="135">
        <f>IF(分析!X190&lt;&gt;"",分析!X190,"")</f>
        <v>-87.298743427571935</v>
      </c>
      <c r="P132" s="136">
        <f>IF(分析!L190&lt;&gt;"",分析!L190,"")</f>
        <v>-18.044164037854891</v>
      </c>
      <c r="Q132" s="133">
        <f>IF(分析!S190&lt;&gt;"",分析!S190,"")</f>
        <v>4988</v>
      </c>
      <c r="R132" s="133">
        <f>IF(分析!R190&lt;&gt;"",分析!R190,"")</f>
        <v>5612</v>
      </c>
      <c r="S132" s="128" t="str">
        <f>IF(分析!AA190&lt;&gt;"",分析!AA190,"")</f>
        <v>下落▼</v>
      </c>
      <c r="T132" s="137">
        <f>IF(分析!Z190&lt;&gt;"",分析!Z190,"")</f>
        <v>-2.568910556909807</v>
      </c>
      <c r="U132" s="128" t="str">
        <f>IF(分析!V190&lt;&gt;"",分析!V190,"")</f>
        <v>通常</v>
      </c>
      <c r="V132" s="138">
        <f>IF(分析!W190&lt;&gt;"",分析!W190,"")</f>
        <v>41.00197758734344</v>
      </c>
      <c r="W132" s="139" t="str">
        <f>IF(分析!AD190&lt;&gt;"",分析!AD190,"")</f>
        <v>上昇トレンド▲</v>
      </c>
      <c r="X132" s="140" t="str">
        <f>IF(分析!AE190&lt;&gt;"",分析!AE190,"")</f>
        <v>なし</v>
      </c>
      <c r="Y132" s="141">
        <f>IF(分析!T190&lt;&gt;"",分析!T190,"")</f>
        <v>2</v>
      </c>
      <c r="Z132" s="142" t="str">
        <f>IF(分析!Y190&lt;&gt;"",分析!Y190,"")</f>
        <v>見送り</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3574</v>
      </c>
      <c r="F133" s="148">
        <f>IF(分析!F53&lt;&gt;"",分析!F53,"")</f>
        <v>3541</v>
      </c>
      <c r="G133" s="148">
        <f>IF(分析!H53&lt;&gt;"",分析!H53,"")</f>
        <v>3603</v>
      </c>
      <c r="H133" s="148">
        <f>IF(分析!I53&lt;&gt;"",分析!I53,"")</f>
        <v>3538</v>
      </c>
      <c r="I133" s="148">
        <f>IF(分析!J53&lt;&gt;"",分析!J53,"")</f>
        <v>35721200</v>
      </c>
      <c r="J133" s="148">
        <f>IF(分析!AB53&lt;&gt;"",分析!AB53,"")</f>
        <v>4159.5641547861505</v>
      </c>
      <c r="K133" s="148">
        <f>IF(分析!AC53&lt;&gt;"",分析!AC53,"")</f>
        <v>4108.8343265792591</v>
      </c>
      <c r="L133" s="148">
        <f>IF(分析!K53&lt;&gt;"",分析!K53,"")</f>
        <v>3813</v>
      </c>
      <c r="M133" s="143" t="str">
        <f>IF(分析!P53&lt;&gt;"",分析!P53,"")</f>
        <v>減少↓</v>
      </c>
      <c r="N133" s="149">
        <f>IF(分析!O53&lt;&gt;"",分析!O53,"")</f>
        <v>0.7767494432250458</v>
      </c>
      <c r="O133" s="150">
        <f>IF(分析!X53&lt;&gt;"",分析!X53,"")</f>
        <v>12.36828677076528</v>
      </c>
      <c r="P133" s="151">
        <f>IF(分析!L53&lt;&gt;"",分析!L53,"")</f>
        <v>-6.2680304222397067</v>
      </c>
      <c r="Q133" s="148">
        <f>IF(分析!S53&lt;&gt;"",分析!S53,"")</f>
        <v>3431</v>
      </c>
      <c r="R133" s="148">
        <f>IF(分析!R53&lt;&gt;"",分析!R53,"")</f>
        <v>3860</v>
      </c>
      <c r="S133" s="143" t="str">
        <f>IF(分析!AA53&lt;&gt;"",分析!AA53,"")</f>
        <v>上昇▲</v>
      </c>
      <c r="T133" s="152">
        <f>IF(分析!Z53&lt;&gt;"",分析!Z53,"")</f>
        <v>0.93194012990680597</v>
      </c>
      <c r="U133" s="143" t="str">
        <f>IF(分析!V53&lt;&gt;"",分析!V53,"")</f>
        <v>通常</v>
      </c>
      <c r="V133" s="153">
        <f>IF(分析!W53&lt;&gt;"",分析!W53,"")</f>
        <v>42.514395393474096</v>
      </c>
      <c r="W133" s="154" t="str">
        <f>IF(分析!AD53&lt;&gt;"",分析!AD53,"")</f>
        <v>もみ合い→</v>
      </c>
      <c r="X133" s="155" t="str">
        <f>IF(分析!AE53&lt;&gt;"",分析!AE53,"")</f>
        <v>なし</v>
      </c>
      <c r="Y133" s="156">
        <f>IF(分析!T53&lt;&gt;"",分析!T53,"")</f>
        <v>6</v>
      </c>
      <c r="Z133" s="142" t="str">
        <f>IF(分析!Y53&lt;&gt;"",分析!Y53,"")</f>
        <v>△注目</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1666</v>
      </c>
      <c r="F134" s="133">
        <f>IF(分析!F182&lt;&gt;"",分析!F182,"")</f>
        <v>1643</v>
      </c>
      <c r="G134" s="133">
        <f>IF(分析!H182&lt;&gt;"",分析!H182,"")</f>
        <v>1666</v>
      </c>
      <c r="H134" s="133">
        <f>IF(分析!I182&lt;&gt;"",分析!I182,"")</f>
        <v>1635</v>
      </c>
      <c r="I134" s="133">
        <f>IF(分析!J182&lt;&gt;"",分析!J182,"")</f>
        <v>6477200</v>
      </c>
      <c r="J134" s="133">
        <f>IF(分析!AB182&lt;&gt;"",分析!AB182,"")</f>
        <v>3887.899185336048</v>
      </c>
      <c r="K134" s="133">
        <f>IF(分析!AC182&lt;&gt;"",分析!AC182,"")</f>
        <v>3868.8748510131086</v>
      </c>
      <c r="L134" s="133">
        <f>IF(分析!K182&lt;&gt;"",分析!K182,"")</f>
        <v>1906</v>
      </c>
      <c r="M134" s="128" t="str">
        <f>IF(分析!P182&lt;&gt;"",分析!P182,"")</f>
        <v>減少↓</v>
      </c>
      <c r="N134" s="134">
        <f>IF(分析!O182&lt;&gt;"",分析!O182,"")</f>
        <v>0.60344522392092192</v>
      </c>
      <c r="O134" s="135">
        <f>IF(分析!X182&lt;&gt;"",分析!X182,"")</f>
        <v>-24.600608384844463</v>
      </c>
      <c r="P134" s="136">
        <f>IF(分析!L182&lt;&gt;"",分析!L182,"")</f>
        <v>-12.591815320041972</v>
      </c>
      <c r="Q134" s="133">
        <f>IF(分析!S182&lt;&gt;"",分析!S182,"")</f>
        <v>1599</v>
      </c>
      <c r="R134" s="133">
        <f>IF(分析!R182&lt;&gt;"",分析!R182,"")</f>
        <v>1799</v>
      </c>
      <c r="S134" s="128" t="str">
        <f>IF(分析!AA182&lt;&gt;"",分析!AA182,"")</f>
        <v>上昇▲</v>
      </c>
      <c r="T134" s="137">
        <f>IF(分析!Z182&lt;&gt;"",分析!Z182,"")</f>
        <v>1.8960244648318043</v>
      </c>
      <c r="U134" s="128" t="str">
        <f>IF(分析!V182&lt;&gt;"",分析!V182,"")</f>
        <v>通常</v>
      </c>
      <c r="V134" s="138">
        <f>IF(分析!W182&lt;&gt;"",分析!W182,"")</f>
        <v>26.111636707663195</v>
      </c>
      <c r="W134" s="139" t="str">
        <f>IF(分析!AD182&lt;&gt;"",分析!AD182,"")</f>
        <v>もみ合い→</v>
      </c>
      <c r="X134" s="140" t="str">
        <f>IF(分析!AE182&lt;&gt;"",分析!AE182,"")</f>
        <v>なし</v>
      </c>
      <c r="Y134" s="141">
        <f>IF(分析!T182&lt;&gt;"",分析!T182,"")</f>
        <v>2</v>
      </c>
      <c r="Z134" s="142" t="str">
        <f>IF(分析!Y182&lt;&gt;"",分析!Y182,"")</f>
        <v>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921.5</v>
      </c>
      <c r="F135" s="148">
        <f>IF(分析!F17&lt;&gt;"",分析!F17,"")</f>
        <v>910</v>
      </c>
      <c r="G135" s="148">
        <f>IF(分析!H17&lt;&gt;"",分析!H17,"")</f>
        <v>928.2</v>
      </c>
      <c r="H135" s="148">
        <f>IF(分析!I17&lt;&gt;"",分析!I17,"")</f>
        <v>909.3</v>
      </c>
      <c r="I135" s="148">
        <f>IF(分析!J17&lt;&gt;"",分析!J17,"")</f>
        <v>932100</v>
      </c>
      <c r="J135" s="148">
        <f>IF(分析!AB17&lt;&gt;"",分析!AB17,"")</f>
        <v>8329.4541751527486</v>
      </c>
      <c r="K135" s="148">
        <f>IF(分析!AC17&lt;&gt;"",分析!AC17,"")</f>
        <v>8295.6746126340859</v>
      </c>
      <c r="L135" s="148">
        <f>IF(分析!K17&lt;&gt;"",分析!K17,"")</f>
        <v>1142</v>
      </c>
      <c r="M135" s="143" t="str">
        <f>IF(分析!P17&lt;&gt;"",分析!P17,"")</f>
        <v>減少↓</v>
      </c>
      <c r="N135" s="149">
        <f>IF(分析!O17&lt;&gt;"",分析!O17,"")</f>
        <v>0.91101901987997735</v>
      </c>
      <c r="O135" s="150">
        <f>IF(分析!X17&lt;&gt;"",分析!X17,"")</f>
        <v>5.2491997659601566</v>
      </c>
      <c r="P135" s="151">
        <f>IF(分析!L17&lt;&gt;"",分析!L17,"")</f>
        <v>-19.308231173380037</v>
      </c>
      <c r="Q135" s="148">
        <f>IF(分析!S17&lt;&gt;"",分析!S17,"")</f>
        <v>885</v>
      </c>
      <c r="R135" s="148">
        <f>IF(分析!R17&lt;&gt;"",分析!R17,"")</f>
        <v>995</v>
      </c>
      <c r="S135" s="143" t="str">
        <f>IF(分析!AA17&lt;&gt;"",分析!AA17,"")</f>
        <v>上昇▲</v>
      </c>
      <c r="T135" s="152">
        <f>IF(分析!Z17&lt;&gt;"",分析!Z17,"")</f>
        <v>0.62240663900415438</v>
      </c>
      <c r="U135" s="143" t="str">
        <f>IF(分析!V17&lt;&gt;"",分析!V17,"")</f>
        <v>通常</v>
      </c>
      <c r="V135" s="153">
        <f>IF(分析!W17&lt;&gt;"",分析!W17,"")</f>
        <v>51.273584905660371</v>
      </c>
      <c r="W135" s="154" t="str">
        <f>IF(分析!AD17&lt;&gt;"",分析!AD17,"")</f>
        <v>もみ合い→</v>
      </c>
      <c r="X135" s="155" t="str">
        <f>IF(分析!AE17&lt;&gt;"",分析!AE17,"")</f>
        <v>なし</v>
      </c>
      <c r="Y135" s="156">
        <f>IF(分析!T17&lt;&gt;"",分析!T17,"")</f>
        <v>4</v>
      </c>
      <c r="Z135" s="142" t="str">
        <f>IF(分析!Y17&lt;&gt;"",分析!Y17,"")</f>
        <v>様子見</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4596</v>
      </c>
      <c r="F136" s="148">
        <f>IF(分析!F125&lt;&gt;"",分析!F125,"")</f>
        <v>4833</v>
      </c>
      <c r="G136" s="148">
        <f>IF(分析!H125&lt;&gt;"",分析!H125,"")</f>
        <v>4917</v>
      </c>
      <c r="H136" s="148">
        <f>IF(分析!I125&lt;&gt;"",分析!I125,"")</f>
        <v>4566</v>
      </c>
      <c r="I136" s="148">
        <f>IF(分析!J125&lt;&gt;"",分析!J125,"")</f>
        <v>57561600</v>
      </c>
      <c r="J136" s="148">
        <f>IF(分析!AB125&lt;&gt;"",分析!AB125,"")</f>
        <v>5400.3737270875754</v>
      </c>
      <c r="K136" s="148">
        <f>IF(分析!AC125&lt;&gt;"",分析!AC125,"")</f>
        <v>5440.1323003575653</v>
      </c>
      <c r="L136" s="148">
        <f>IF(分析!K125&lt;&gt;"",分析!K125,"")</f>
        <v>7933</v>
      </c>
      <c r="M136" s="143" t="str">
        <f>IF(分析!P125&lt;&gt;"",分析!P125,"")</f>
        <v>普通→</v>
      </c>
      <c r="N136" s="149">
        <f>IF(分析!O125&lt;&gt;"",分析!O125,"")</f>
        <v>1.05723338016916</v>
      </c>
      <c r="O136" s="150">
        <f>IF(分析!X125&lt;&gt;"",分析!X125,"")</f>
        <v>-78.596810208606257</v>
      </c>
      <c r="P136" s="151">
        <f>IF(分析!L125&lt;&gt;"",分析!L125,"")</f>
        <v>-42.064792638346148</v>
      </c>
      <c r="Q136" s="148">
        <f>IF(分析!S125&lt;&gt;"",分析!S125,"")</f>
        <v>4412</v>
      </c>
      <c r="R136" s="148">
        <f>IF(分析!R125&lt;&gt;"",分析!R125,"")</f>
        <v>4964</v>
      </c>
      <c r="S136" s="143" t="str">
        <f>IF(分析!AA125&lt;&gt;"",分析!AA125,"")</f>
        <v>下落▼</v>
      </c>
      <c r="T136" s="152">
        <f>IF(分析!Z125&lt;&gt;"",分析!Z125,"")</f>
        <v>-9.4027202838557056</v>
      </c>
      <c r="U136" s="143" t="str">
        <f>IF(分析!V125&lt;&gt;"",分析!V125,"")</f>
        <v>通常</v>
      </c>
      <c r="V136" s="153">
        <f>IF(分析!W125&lt;&gt;"",分析!W125,"")</f>
        <v>48.920863309352519</v>
      </c>
      <c r="W136" s="154" t="str">
        <f>IF(分析!AD125&lt;&gt;"",分析!AD125,"")</f>
        <v>下降トレンド▼</v>
      </c>
      <c r="X136" s="155" t="str">
        <f>IF(分析!AE125&lt;&gt;"",分析!AE125,"")</f>
        <v>なし</v>
      </c>
      <c r="Y136" s="156">
        <f>IF(分析!T125&lt;&gt;"",分析!T125,"")</f>
        <v>0</v>
      </c>
      <c r="Z136" s="142" t="str">
        <f>IF(分析!Y125&lt;&gt;"",分析!Y125,"")</f>
        <v>見送り</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76</v>
      </c>
      <c r="F137" s="148">
        <f>IF(分析!F115&lt;&gt;"",分析!F115,"")</f>
        <v>76</v>
      </c>
      <c r="G137" s="148">
        <f>IF(分析!H115&lt;&gt;"",分析!H115,"")</f>
        <v>79</v>
      </c>
      <c r="H137" s="148">
        <f>IF(分析!I115&lt;&gt;"",分析!I115,"")</f>
        <v>75</v>
      </c>
      <c r="I137" s="148">
        <f>IF(分析!J115&lt;&gt;"",分析!J115,"")</f>
        <v>1367600</v>
      </c>
      <c r="J137" s="148">
        <f>IF(分析!AB115&lt;&gt;"",分析!AB115,"")</f>
        <v>5476.6048879837062</v>
      </c>
      <c r="K137" s="148">
        <f>IF(分析!AC115&lt;&gt;"",分析!AC115,"")</f>
        <v>5504.0643623361102</v>
      </c>
      <c r="L137" s="148">
        <f>IF(分析!K115&lt;&gt;"",分析!K115,"")</f>
        <v>720</v>
      </c>
      <c r="M137" s="143" t="str">
        <f>IF(分析!P115&lt;&gt;"",分析!P115,"")</f>
        <v>減少↓</v>
      </c>
      <c r="N137" s="149">
        <f>IF(分析!O115&lt;&gt;"",分析!O115,"")</f>
        <v>0.35981330540982831</v>
      </c>
      <c r="O137" s="150">
        <f>IF(分析!X115&lt;&gt;"",分析!X115,"")</f>
        <v>-20.021764136937279</v>
      </c>
      <c r="P137" s="151">
        <f>IF(分析!L115&lt;&gt;"",分析!L115,"")</f>
        <v>-89.444444444444443</v>
      </c>
      <c r="Q137" s="148">
        <f>IF(分析!S115&lt;&gt;"",分析!S115,"")</f>
        <v>73</v>
      </c>
      <c r="R137" s="148">
        <f>IF(分析!R115&lt;&gt;"",分析!R115,"")</f>
        <v>82</v>
      </c>
      <c r="S137" s="143" t="str">
        <f>IF(分析!AA115&lt;&gt;"",分析!AA115,"")</f>
        <v>下落▼</v>
      </c>
      <c r="T137" s="152">
        <f>IF(分析!Z115&lt;&gt;"",分析!Z115,"")</f>
        <v>-2.5641025641025639</v>
      </c>
      <c r="U137" s="143" t="str">
        <f>IF(分析!V115&lt;&gt;"",分析!V115,"")</f>
        <v>通常</v>
      </c>
      <c r="V137" s="153">
        <f>IF(分析!W115&lt;&gt;"",分析!W115,"")</f>
        <v>34.5</v>
      </c>
      <c r="W137" s="154" t="str">
        <f>IF(分析!AD115&lt;&gt;"",分析!AD115,"")</f>
        <v>下降トレンド▼</v>
      </c>
      <c r="X137" s="155" t="str">
        <f>IF(分析!AE115&lt;&gt;"",分析!AE115,"")</f>
        <v>なし</v>
      </c>
      <c r="Y137" s="156">
        <f>IF(分析!T115&lt;&gt;"",分析!T115,"")</f>
        <v>0</v>
      </c>
      <c r="Z137" s="142" t="str">
        <f>IF(分析!Y115&lt;&gt;"",分析!Y115,"")</f>
        <v>見送り</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8499</v>
      </c>
      <c r="F138" s="148">
        <f>IF(分析!F47&lt;&gt;"",分析!F47,"")</f>
        <v>8436</v>
      </c>
      <c r="G138" s="148">
        <f>IF(分析!H47&lt;&gt;"",分析!H47,"")</f>
        <v>8655</v>
      </c>
      <c r="H138" s="148">
        <f>IF(分析!I47&lt;&gt;"",分析!I47,"")</f>
        <v>8417</v>
      </c>
      <c r="I138" s="148">
        <f>IF(分析!J47&lt;&gt;"",分析!J47,"")</f>
        <v>9317000</v>
      </c>
      <c r="J138" s="148">
        <f>IF(分析!AB47&lt;&gt;"",分析!AB47,"")</f>
        <v>3585.209775967413</v>
      </c>
      <c r="K138" s="148">
        <f>IF(分析!AC47&lt;&gt;"",分析!AC47,"")</f>
        <v>3552.7413587604274</v>
      </c>
      <c r="L138" s="148">
        <f>IF(分析!K47&lt;&gt;"",分析!K47,"")</f>
        <v>8816</v>
      </c>
      <c r="M138" s="143" t="str">
        <f>IF(分析!P47&lt;&gt;"",分析!P47,"")</f>
        <v>減少↓</v>
      </c>
      <c r="N138" s="149">
        <f>IF(分析!O47&lt;&gt;"",分析!O47,"")</f>
        <v>0.8944840947536784</v>
      </c>
      <c r="O138" s="150">
        <f>IF(分析!X47&lt;&gt;"",分析!X47,"")</f>
        <v>6.9587185906675586</v>
      </c>
      <c r="P138" s="151">
        <f>IF(分析!L47&lt;&gt;"",分析!L47,"")</f>
        <v>-3.5957350272232307</v>
      </c>
      <c r="Q138" s="148">
        <f>IF(分析!S47&lt;&gt;"",分析!S47,"")</f>
        <v>8159</v>
      </c>
      <c r="R138" s="148">
        <f>IF(分析!R47&lt;&gt;"",分析!R47,"")</f>
        <v>9179</v>
      </c>
      <c r="S138" s="143" t="str">
        <f>IF(分析!AA47&lt;&gt;"",分析!AA47,"")</f>
        <v>上昇▲</v>
      </c>
      <c r="T138" s="152">
        <f>IF(分析!Z47&lt;&gt;"",分析!Z47,"")</f>
        <v>0.34238488783943333</v>
      </c>
      <c r="U138" s="143" t="str">
        <f>IF(分析!V47&lt;&gt;"",分析!V47,"")</f>
        <v>高値圏</v>
      </c>
      <c r="V138" s="153">
        <f>IF(分析!W47&lt;&gt;"",分析!W47,"")</f>
        <v>47.649572649572647</v>
      </c>
      <c r="W138" s="154" t="str">
        <f>IF(分析!AD47&lt;&gt;"",分析!AD47,"")</f>
        <v>パーフェクト▲</v>
      </c>
      <c r="X138" s="155" t="str">
        <f>IF(分析!AE47&lt;&gt;"",分析!AE47,"")</f>
        <v>なし</v>
      </c>
      <c r="Y138" s="156">
        <f>IF(分析!T47&lt;&gt;"",分析!T47,"")</f>
        <v>12</v>
      </c>
      <c r="Z138" s="142" t="str">
        <f>IF(分析!Y47&lt;&gt;"",分析!Y47,"")</f>
        <v>★強い買い</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7460</v>
      </c>
      <c r="F139" s="148">
        <f>IF(分析!F61&lt;&gt;"",分析!F61,"")</f>
        <v>7066</v>
      </c>
      <c r="G139" s="148">
        <f>IF(分析!H61&lt;&gt;"",分析!H61,"")</f>
        <v>7460</v>
      </c>
      <c r="H139" s="148">
        <f>IF(分析!I61&lt;&gt;"",分析!I61,"")</f>
        <v>7055</v>
      </c>
      <c r="I139" s="148">
        <f>IF(分析!J61&lt;&gt;"",分析!J61,"")</f>
        <v>3211000</v>
      </c>
      <c r="J139" s="148">
        <f>IF(分析!AB61&lt;&gt;"",分析!AB61,"")</f>
        <v>1074.5957230142562</v>
      </c>
      <c r="K139" s="148">
        <f>IF(分析!AC61&lt;&gt;"",分析!AC61,"")</f>
        <v>1049.4290822407622</v>
      </c>
      <c r="L139" s="148">
        <f>IF(分析!K61&lt;&gt;"",分析!K61,"")</f>
        <v>7559</v>
      </c>
      <c r="M139" s="143" t="str">
        <f>IF(分析!P61&lt;&gt;"",分析!P61,"")</f>
        <v>減少↓</v>
      </c>
      <c r="N139" s="149">
        <f>IF(分析!O61&lt;&gt;"",分析!O61,"")</f>
        <v>0.85962263342756784</v>
      </c>
      <c r="O139" s="150">
        <f>IF(分析!X61&lt;&gt;"",分析!X61,"")</f>
        <v>120.46616170260495</v>
      </c>
      <c r="P139" s="151">
        <f>IF(分析!L61&lt;&gt;"",分析!L61,"")</f>
        <v>-1.3096970498743219</v>
      </c>
      <c r="Q139" s="148">
        <f>IF(分析!S61&lt;&gt;"",分析!S61,"")</f>
        <v>7162</v>
      </c>
      <c r="R139" s="148">
        <f>IF(分析!R61&lt;&gt;"",分析!R61,"")</f>
        <v>8057</v>
      </c>
      <c r="S139" s="143" t="str">
        <f>IF(分析!AA61&lt;&gt;"",分析!AA61,"")</f>
        <v>上昇▲</v>
      </c>
      <c r="T139" s="152">
        <f>IF(分析!Z61&lt;&gt;"",分析!Z61,"")</f>
        <v>2.9959961341985366</v>
      </c>
      <c r="U139" s="143" t="str">
        <f>IF(分析!V61&lt;&gt;"",分析!V61,"")</f>
        <v>高値圏</v>
      </c>
      <c r="V139" s="153">
        <f>IF(分析!W61&lt;&gt;"",分析!W61,"")</f>
        <v>74.951076320939336</v>
      </c>
      <c r="W139" s="154" t="str">
        <f>IF(分析!AD61&lt;&gt;"",分析!AD61,"")</f>
        <v>パーフェクト▲</v>
      </c>
      <c r="X139" s="155" t="str">
        <f>IF(分析!AE61&lt;&gt;"",分析!AE61,"")</f>
        <v>なし</v>
      </c>
      <c r="Y139" s="156">
        <f>IF(分析!T61&lt;&gt;"",分析!T61,"")</f>
        <v>11</v>
      </c>
      <c r="Z139" s="142" t="str">
        <f>IF(分析!Y61&lt;&gt;"",分析!Y61,"")</f>
        <v>○買い候補</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1748.5</v>
      </c>
      <c r="F140" s="148">
        <f>IF(分析!F59&lt;&gt;"",分析!F59,"")</f>
        <v>1713</v>
      </c>
      <c r="G140" s="148">
        <f>IF(分析!H59&lt;&gt;"",分析!H59,"")</f>
        <v>1768</v>
      </c>
      <c r="H140" s="148">
        <f>IF(分析!I59&lt;&gt;"",分析!I59,"")</f>
        <v>1707</v>
      </c>
      <c r="I140" s="148">
        <f>IF(分析!J59&lt;&gt;"",分析!J59,"")</f>
        <v>10099400</v>
      </c>
      <c r="J140" s="148">
        <f>IF(分析!AB59&lt;&gt;"",分析!AB59,"")</f>
        <v>1831.3049898167005</v>
      </c>
      <c r="K140" s="148">
        <f>IF(分析!AC59&lt;&gt;"",分析!AC59,"")</f>
        <v>1790.2920143027404</v>
      </c>
      <c r="L140" s="148">
        <f>IF(分析!K59&lt;&gt;"",分析!K59,"")</f>
        <v>1720.5</v>
      </c>
      <c r="M140" s="143" t="str">
        <f>IF(分析!P59&lt;&gt;"",分析!P59,"")</f>
        <v>減少↓</v>
      </c>
      <c r="N140" s="149">
        <f>IF(分析!O59&lt;&gt;"",分析!O59,"")</f>
        <v>0.60042495966212495</v>
      </c>
      <c r="O140" s="150">
        <f>IF(分析!X59&lt;&gt;"",分析!X59,"")</f>
        <v>17.746866529480258</v>
      </c>
      <c r="P140" s="151">
        <f>IF(分析!L59&lt;&gt;"",分析!L59,"")</f>
        <v>1.6274338854984016</v>
      </c>
      <c r="Q140" s="148">
        <f>IF(分析!S59&lt;&gt;"",分析!S59,"")</f>
        <v>1679</v>
      </c>
      <c r="R140" s="148">
        <f>IF(分析!R59&lt;&gt;"",分析!R59,"")</f>
        <v>1888</v>
      </c>
      <c r="S140" s="143" t="str">
        <f>IF(分析!AA59&lt;&gt;"",分析!AA59,"")</f>
        <v>上昇▲</v>
      </c>
      <c r="T140" s="152">
        <f>IF(分析!Z59&lt;&gt;"",分析!Z59,"")</f>
        <v>1.6274338854984016</v>
      </c>
      <c r="U140" s="143" t="str">
        <f>IF(分析!V59&lt;&gt;"",分析!V59,"")</f>
        <v>年初来高値更新●</v>
      </c>
      <c r="V140" s="153">
        <f>IF(分析!W59&lt;&gt;"",分析!W59,"")</f>
        <v>66.091245376078916</v>
      </c>
      <c r="W140" s="154" t="str">
        <f>IF(分析!AD59&lt;&gt;"",分析!AD59,"")</f>
        <v>もみ合い→</v>
      </c>
      <c r="X140" s="155" t="str">
        <f>IF(分析!AE59&lt;&gt;"",分析!AE59,"")</f>
        <v>なし</v>
      </c>
      <c r="Y140" s="156">
        <f>IF(分析!T59&lt;&gt;"",分析!T59,"")</f>
        <v>9</v>
      </c>
      <c r="Z140" s="142" t="str">
        <f>IF(分析!Y59&lt;&gt;"",分析!Y59,"")</f>
        <v>△注目</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4936</v>
      </c>
      <c r="F141" s="133">
        <f>IF(分析!F62&lt;&gt;"",分析!F62,"")</f>
        <v>4800</v>
      </c>
      <c r="G141" s="133">
        <f>IF(分析!H62&lt;&gt;"",分析!H62,"")</f>
        <v>4960</v>
      </c>
      <c r="H141" s="133">
        <f>IF(分析!I62&lt;&gt;"",分析!I62,"")</f>
        <v>4800</v>
      </c>
      <c r="I141" s="133">
        <f>IF(分析!J62&lt;&gt;"",分析!J62,"")</f>
        <v>5635700</v>
      </c>
      <c r="J141" s="133">
        <f>IF(分析!AB62&lt;&gt;"",分析!AB62,"")</f>
        <v>3780.8543788187371</v>
      </c>
      <c r="K141" s="133">
        <f>IF(分析!AC62&lt;&gt;"",分析!AC62,"")</f>
        <v>3830.9129916567326</v>
      </c>
      <c r="L141" s="133">
        <f>IF(分析!K62&lt;&gt;"",分析!K62,"")</f>
        <v>6328</v>
      </c>
      <c r="M141" s="128" t="str">
        <f>IF(分析!P62&lt;&gt;"",分析!P62,"")</f>
        <v>減少↓</v>
      </c>
      <c r="N141" s="134">
        <f>IF(分析!O62&lt;&gt;"",分析!O62,"")</f>
        <v>0.70353032232292212</v>
      </c>
      <c r="O141" s="135">
        <f>IF(分析!X62&lt;&gt;"",分析!X62,"")</f>
        <v>12.541084385785325</v>
      </c>
      <c r="P141" s="136">
        <f>IF(分析!L62&lt;&gt;"",分析!L62,"")</f>
        <v>-21.997471554993677</v>
      </c>
      <c r="Q141" s="133">
        <f>IF(分析!S62&lt;&gt;"",分析!S62,"")</f>
        <v>4739</v>
      </c>
      <c r="R141" s="133">
        <f>IF(分析!R62&lt;&gt;"",分析!R62,"")</f>
        <v>5331</v>
      </c>
      <c r="S141" s="128" t="str">
        <f>IF(分析!AA62&lt;&gt;"",分析!AA62,"")</f>
        <v>上昇▲</v>
      </c>
      <c r="T141" s="137">
        <f>IF(分析!Z62&lt;&gt;"",分析!Z62,"")</f>
        <v>1.5220074043603455</v>
      </c>
      <c r="U141" s="128" t="str">
        <f>IF(分析!V62&lt;&gt;"",分析!V62,"")</f>
        <v>通常</v>
      </c>
      <c r="V141" s="138">
        <f>IF(分析!W62&lt;&gt;"",分析!W62,"")</f>
        <v>39.752066115702483</v>
      </c>
      <c r="W141" s="139" t="str">
        <f>IF(分析!AD62&lt;&gt;"",分析!AD62,"")</f>
        <v>上昇トレンド▲</v>
      </c>
      <c r="X141" s="140" t="str">
        <f>IF(分析!AE62&lt;&gt;"",分析!AE62,"")</f>
        <v>なし</v>
      </c>
      <c r="Y141" s="141">
        <f>IF(分析!T62&lt;&gt;"",分析!T62,"")</f>
        <v>7</v>
      </c>
      <c r="Z141" s="142" t="str">
        <f>IF(分析!Y62&lt;&gt;"",分析!Y62,"")</f>
        <v>△注目</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6997</v>
      </c>
      <c r="F142" s="148">
        <f>IF(分析!F39&lt;&gt;"",分析!F39,"")</f>
        <v>6942</v>
      </c>
      <c r="G142" s="148">
        <f>IF(分析!H39&lt;&gt;"",分析!H39,"")</f>
        <v>7038</v>
      </c>
      <c r="H142" s="148">
        <f>IF(分析!I39&lt;&gt;"",分析!I39,"")</f>
        <v>6916</v>
      </c>
      <c r="I142" s="148">
        <f>IF(分析!J39&lt;&gt;"",分析!J39,"")</f>
        <v>2132600</v>
      </c>
      <c r="J142" s="148">
        <f>IF(分析!AB39&lt;&gt;"",分析!AB39,"")</f>
        <v>871.1047861507127</v>
      </c>
      <c r="K142" s="148">
        <f>IF(分析!AC39&lt;&gt;"",分析!AC39,"")</f>
        <v>861.56233611442167</v>
      </c>
      <c r="L142" s="148">
        <f>IF(分析!K39&lt;&gt;"",分析!K39,"")</f>
        <v>7413</v>
      </c>
      <c r="M142" s="143" t="str">
        <f>IF(分析!P39&lt;&gt;"",分析!P39,"")</f>
        <v>減少↓</v>
      </c>
      <c r="N142" s="149">
        <f>IF(分析!O39&lt;&gt;"",分析!O39,"")</f>
        <v>0.84368521829949517</v>
      </c>
      <c r="O142" s="150">
        <f>IF(分析!X39&lt;&gt;"",分析!X39,"")</f>
        <v>60.382048567301354</v>
      </c>
      <c r="P142" s="151">
        <f>IF(分析!L39&lt;&gt;"",分析!L39,"")</f>
        <v>-5.6117631188452721</v>
      </c>
      <c r="Q142" s="148">
        <f>IF(分析!S39&lt;&gt;"",分析!S39,"")</f>
        <v>6717</v>
      </c>
      <c r="R142" s="148">
        <f>IF(分析!R39&lt;&gt;"",分析!R39,"")</f>
        <v>7557</v>
      </c>
      <c r="S142" s="143" t="str">
        <f>IF(分析!AA39&lt;&gt;"",分析!AA39,"")</f>
        <v>上昇▲</v>
      </c>
      <c r="T142" s="152">
        <f>IF(分析!Z39&lt;&gt;"",分析!Z39,"")</f>
        <v>0.50272910083309397</v>
      </c>
      <c r="U142" s="143" t="str">
        <f>IF(分析!V39&lt;&gt;"",分析!V39,"")</f>
        <v>通常</v>
      </c>
      <c r="V142" s="153">
        <f>IF(分析!W39&lt;&gt;"",分析!W39,"")</f>
        <v>60.697827518104013</v>
      </c>
      <c r="W142" s="154" t="str">
        <f>IF(分析!AD39&lt;&gt;"",分析!AD39,"")</f>
        <v>パーフェクト▲</v>
      </c>
      <c r="X142" s="155" t="str">
        <f>IF(分析!AE39&lt;&gt;"",分析!AE39,"")</f>
        <v>なし</v>
      </c>
      <c r="Y142" s="156">
        <f>IF(分析!T39&lt;&gt;"",分析!T39,"")</f>
        <v>8</v>
      </c>
      <c r="Z142" s="142" t="str">
        <f>IF(分析!Y39&lt;&gt;"",分析!Y39,"")</f>
        <v>△注目</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3736</v>
      </c>
      <c r="F143" s="148">
        <f>IF(分析!F101&lt;&gt;"",分析!F101,"")</f>
        <v>3852</v>
      </c>
      <c r="G143" s="148">
        <f>IF(分析!H101&lt;&gt;"",分析!H101,"")</f>
        <v>3910</v>
      </c>
      <c r="H143" s="148">
        <f>IF(分析!I101&lt;&gt;"",分析!I101,"")</f>
        <v>3688</v>
      </c>
      <c r="I143" s="148">
        <f>IF(分析!J101&lt;&gt;"",分析!J101,"")</f>
        <v>6490100</v>
      </c>
      <c r="J143" s="148">
        <f>IF(分析!AB101&lt;&gt;"",分析!AB101,"")</f>
        <v>4571.6384928716898</v>
      </c>
      <c r="K143" s="148">
        <f>IF(分析!AC101&lt;&gt;"",分析!AC101,"")</f>
        <v>4568.5113230035731</v>
      </c>
      <c r="L143" s="148">
        <f>IF(分析!K101&lt;&gt;"",分析!K101,"")</f>
        <v>5307</v>
      </c>
      <c r="M143" s="143" t="str">
        <f>IF(分析!P101&lt;&gt;"",分析!P101,"")</f>
        <v>増加↑</v>
      </c>
      <c r="N143" s="149">
        <f>IF(分析!O101&lt;&gt;"",分析!O101,"")</f>
        <v>1.5334760460082981</v>
      </c>
      <c r="O143" s="150">
        <f>IF(分析!X101&lt;&gt;"",分析!X101,"")</f>
        <v>-66.223233654009164</v>
      </c>
      <c r="P143" s="151">
        <f>IF(分析!L101&lt;&gt;"",分析!L101,"")</f>
        <v>-29.602411908799699</v>
      </c>
      <c r="Q143" s="148">
        <f>IF(分析!S101&lt;&gt;"",分析!S101,"")</f>
        <v>3587</v>
      </c>
      <c r="R143" s="148">
        <f>IF(分析!R101&lt;&gt;"",分析!R101,"")</f>
        <v>4035</v>
      </c>
      <c r="S143" s="143" t="str">
        <f>IF(分析!AA101&lt;&gt;"",分析!AA101,"")</f>
        <v>下落▼</v>
      </c>
      <c r="T143" s="152">
        <f>IF(分析!Z101&lt;&gt;"",分析!Z101,"")</f>
        <v>-8.7890625</v>
      </c>
      <c r="U143" s="143" t="str">
        <f>IF(分析!V101&lt;&gt;"",分析!V101,"")</f>
        <v>通常</v>
      </c>
      <c r="V143" s="153">
        <f>IF(分析!W101&lt;&gt;"",分析!W101,"")</f>
        <v>47.217010631644776</v>
      </c>
      <c r="W143" s="154" t="str">
        <f>IF(分析!AD101&lt;&gt;"",分析!AD101,"")</f>
        <v>もみ合い→</v>
      </c>
      <c r="X143" s="155" t="str">
        <f>IF(分析!AE101&lt;&gt;"",分析!AE101,"")</f>
        <v>なし</v>
      </c>
      <c r="Y143" s="156">
        <f>IF(分析!T101&lt;&gt;"",分析!T101,"")</f>
        <v>2</v>
      </c>
      <c r="Z143" s="142" t="str">
        <f>IF(分析!Y101&lt;&gt;"",分析!Y101,"")</f>
        <v>見送り</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3896</v>
      </c>
      <c r="F144" s="133">
        <f>IF(分析!F102&lt;&gt;"",分析!F102,"")</f>
        <v>3907</v>
      </c>
      <c r="G144" s="133">
        <f>IF(分析!H102&lt;&gt;"",分析!H102,"")</f>
        <v>3932</v>
      </c>
      <c r="H144" s="133">
        <f>IF(分析!I102&lt;&gt;"",分析!I102,"")</f>
        <v>3869</v>
      </c>
      <c r="I144" s="133">
        <f>IF(分析!J102&lt;&gt;"",分析!J102,"")</f>
        <v>198300</v>
      </c>
      <c r="J144" s="133">
        <f>IF(分析!AB102&lt;&gt;"",分析!AB102,"")</f>
        <v>2376.8477596741345</v>
      </c>
      <c r="K144" s="133">
        <f>IF(分析!AC102&lt;&gt;"",分析!AC102,"")</f>
        <v>2391.2800953516089</v>
      </c>
      <c r="L144" s="133">
        <f>IF(分析!K102&lt;&gt;"",分析!K102,"")</f>
        <v>4310</v>
      </c>
      <c r="M144" s="128" t="str">
        <f>IF(分析!P102&lt;&gt;"",分析!P102,"")</f>
        <v>減少↓</v>
      </c>
      <c r="N144" s="134">
        <f>IF(分析!O102&lt;&gt;"",分析!O102,"")</f>
        <v>0.47336006874820968</v>
      </c>
      <c r="O144" s="135">
        <f>IF(分析!X102&lt;&gt;"",分析!X102,"")</f>
        <v>5.3773697554925093</v>
      </c>
      <c r="P144" s="136">
        <f>IF(分析!L102&lt;&gt;"",分析!L102,"")</f>
        <v>-9.6055684454756367</v>
      </c>
      <c r="Q144" s="133">
        <f>IF(分析!S102&lt;&gt;"",分析!S102,"")</f>
        <v>3740</v>
      </c>
      <c r="R144" s="133">
        <f>IF(分析!R102&lt;&gt;"",分析!R102,"")</f>
        <v>4208</v>
      </c>
      <c r="S144" s="128" t="str">
        <f>IF(分析!AA102&lt;&gt;"",分析!AA102,"")</f>
        <v>上昇▲</v>
      </c>
      <c r="T144" s="137">
        <f>IF(分析!Z102&lt;&gt;"",分析!Z102,"")</f>
        <v>0.41237113402061859</v>
      </c>
      <c r="U144" s="128" t="str">
        <f>IF(分析!V102&lt;&gt;"",分析!V102,"")</f>
        <v>通常</v>
      </c>
      <c r="V144" s="138">
        <f>IF(分析!W102&lt;&gt;"",分析!W102,"")</f>
        <v>50.59960414483642</v>
      </c>
      <c r="W144" s="139" t="str">
        <f>IF(分析!AD102&lt;&gt;"",分析!AD102,"")</f>
        <v>上昇トレンド▲</v>
      </c>
      <c r="X144" s="140" t="str">
        <f>IF(分析!AE102&lt;&gt;"",分析!AE102,"")</f>
        <v>なし</v>
      </c>
      <c r="Y144" s="141">
        <f>IF(分析!T102&lt;&gt;"",分析!T102,"")</f>
        <v>8</v>
      </c>
      <c r="Z144" s="142" t="str">
        <f>IF(分析!Y102&lt;&gt;"",分析!Y102,"")</f>
        <v>△注目</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3055</v>
      </c>
      <c r="F145" s="148">
        <f>IF(分析!F63&lt;&gt;"",分析!F63,"")</f>
        <v>2999</v>
      </c>
      <c r="G145" s="148">
        <f>IF(分析!H63&lt;&gt;"",分析!H63,"")</f>
        <v>3060</v>
      </c>
      <c r="H145" s="148">
        <f>IF(分析!I63&lt;&gt;"",分析!I63,"")</f>
        <v>2999</v>
      </c>
      <c r="I145" s="148">
        <f>IF(分析!J63&lt;&gt;"",分析!J63,"")</f>
        <v>101500</v>
      </c>
      <c r="J145" s="148">
        <f>IF(分析!AB63&lt;&gt;"",分析!AB63,"")</f>
        <v>5529.9256619144589</v>
      </c>
      <c r="K145" s="148">
        <f>IF(分析!AC63&lt;&gt;"",分析!AC63,"")</f>
        <v>5556.4886769964223</v>
      </c>
      <c r="L145" s="148">
        <f>IF(分析!K63&lt;&gt;"",分析!K63,"")</f>
        <v>3330</v>
      </c>
      <c r="M145" s="143" t="str">
        <f>IF(分析!P63&lt;&gt;"",分析!P63,"")</f>
        <v>減少↓</v>
      </c>
      <c r="N145" s="149">
        <f>IF(分析!O63&lt;&gt;"",分析!O63,"")</f>
        <v>0.4209173094467944</v>
      </c>
      <c r="O145" s="150">
        <f>IF(分析!X63&lt;&gt;"",分析!X63,"")</f>
        <v>-3.5127906097372943</v>
      </c>
      <c r="P145" s="151">
        <f>IF(分析!L63&lt;&gt;"",分析!L63,"")</f>
        <v>-8.2582582582582589</v>
      </c>
      <c r="Q145" s="148">
        <f>IF(分析!S63&lt;&gt;"",分析!S63,"")</f>
        <v>2933</v>
      </c>
      <c r="R145" s="148">
        <f>IF(分析!R63&lt;&gt;"",分析!R63,"")</f>
        <v>3299</v>
      </c>
      <c r="S145" s="143" t="str">
        <f>IF(分析!AA63&lt;&gt;"",分析!AA63,"")</f>
        <v>上昇▲</v>
      </c>
      <c r="T145" s="152">
        <f>IF(分析!Z63&lt;&gt;"",分析!Z63,"")</f>
        <v>1.6638935108153077</v>
      </c>
      <c r="U145" s="143" t="str">
        <f>IF(分析!V63&lt;&gt;"",分析!V63,"")</f>
        <v>通常</v>
      </c>
      <c r="V145" s="153">
        <f>IF(分析!W63&lt;&gt;"",分析!W63,"")</f>
        <v>40.476190476190482</v>
      </c>
      <c r="W145" s="154" t="str">
        <f>IF(分析!AD63&lt;&gt;"",分析!AD63,"")</f>
        <v>下降トレンド▼</v>
      </c>
      <c r="X145" s="155" t="str">
        <f>IF(分析!AE63&lt;&gt;"",分析!AE63,"")</f>
        <v>なし</v>
      </c>
      <c r="Y145" s="156">
        <f>IF(分析!T63&lt;&gt;"",分析!T63,"")</f>
        <v>1</v>
      </c>
      <c r="Z145" s="142" t="str">
        <f>IF(分析!Y63&lt;&gt;"",分析!Y63,"")</f>
        <v>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7710</v>
      </c>
      <c r="F146" s="148">
        <f>IF(分析!F65&lt;&gt;"",分析!F65,"")</f>
        <v>7500</v>
      </c>
      <c r="G146" s="148">
        <f>IF(分析!H65&lt;&gt;"",分析!H65,"")</f>
        <v>7970</v>
      </c>
      <c r="H146" s="148">
        <f>IF(分析!I65&lt;&gt;"",分析!I65,"")</f>
        <v>7450</v>
      </c>
      <c r="I146" s="148">
        <f>IF(分析!J65&lt;&gt;"",分析!J65,"")</f>
        <v>273500</v>
      </c>
      <c r="J146" s="148">
        <f>IF(分析!AB65&lt;&gt;"",分析!AB65,"")</f>
        <v>1862.9740325865575</v>
      </c>
      <c r="K146" s="148">
        <f>IF(分析!AC65&lt;&gt;"",分析!AC65,"")</f>
        <v>1891.2920143027409</v>
      </c>
      <c r="L146" s="148">
        <f>IF(分析!K65&lt;&gt;"",分析!K65,"")</f>
        <v>8380</v>
      </c>
      <c r="M146" s="143" t="str">
        <f>IF(分析!P65&lt;&gt;"",分析!P65,"")</f>
        <v>普通→</v>
      </c>
      <c r="N146" s="149">
        <f>IF(分析!O65&lt;&gt;"",分析!O65,"")</f>
        <v>1.2265674051484439</v>
      </c>
      <c r="O146" s="150">
        <f>IF(分析!X65&lt;&gt;"",分析!X65,"")</f>
        <v>-17.426175872375097</v>
      </c>
      <c r="P146" s="151">
        <f>IF(分析!L65&lt;&gt;"",分析!L65,"")</f>
        <v>-7.9952267303102618</v>
      </c>
      <c r="Q146" s="148">
        <f>IF(分析!S65&lt;&gt;"",分析!S65,"")</f>
        <v>7402</v>
      </c>
      <c r="R146" s="148">
        <f>IF(分析!R65&lt;&gt;"",分析!R65,"")</f>
        <v>8327</v>
      </c>
      <c r="S146" s="143" t="str">
        <f>IF(分析!AA65&lt;&gt;"",分析!AA65,"")</f>
        <v>上昇▲</v>
      </c>
      <c r="T146" s="152">
        <f>IF(分析!Z65&lt;&gt;"",分析!Z65,"")</f>
        <v>2.6631158455392807</v>
      </c>
      <c r="U146" s="143" t="str">
        <f>IF(分析!V65&lt;&gt;"",分析!V65,"")</f>
        <v>高値圏</v>
      </c>
      <c r="V146" s="153">
        <f>IF(分析!W65&lt;&gt;"",分析!W65,"")</f>
        <v>46.619217081850536</v>
      </c>
      <c r="W146" s="154" t="str">
        <f>IF(分析!AD65&lt;&gt;"",分析!AD65,"")</f>
        <v>上昇トレンド▲</v>
      </c>
      <c r="X146" s="155" t="str">
        <f>IF(分析!AE65&lt;&gt;"",分析!AE65,"")</f>
        <v>なし</v>
      </c>
      <c r="Y146" s="156">
        <f>IF(分析!T65&lt;&gt;"",分析!T65,"")</f>
        <v>8</v>
      </c>
      <c r="Z146" s="142" t="str">
        <f>IF(分析!Y65&lt;&gt;"",分析!Y65,"")</f>
        <v>△注目</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1521</v>
      </c>
      <c r="F147" s="148">
        <f>IF(分析!F201&lt;&gt;"",分析!F201,"")</f>
        <v>1530</v>
      </c>
      <c r="G147" s="148">
        <f>IF(分析!H201&lt;&gt;"",分析!H201,"")</f>
        <v>1550</v>
      </c>
      <c r="H147" s="148">
        <f>IF(分析!I201&lt;&gt;"",分析!I201,"")</f>
        <v>1506</v>
      </c>
      <c r="I147" s="148">
        <f>IF(分析!J201&lt;&gt;"",分析!J201,"")</f>
        <v>59900</v>
      </c>
      <c r="J147" s="148">
        <f>IF(分析!AB201&lt;&gt;"",分析!AB201,"")</f>
        <v>5487.3951120162928</v>
      </c>
      <c r="K147" s="148">
        <f>IF(分析!AC201&lt;&gt;"",分析!AC201,"")</f>
        <v>5400.4672228843847</v>
      </c>
      <c r="L147" s="148">
        <f>IF(分析!K201&lt;&gt;"",分析!K201,"")</f>
        <v>1821</v>
      </c>
      <c r="M147" s="143" t="str">
        <f>IF(分析!P201&lt;&gt;"",分析!P201,"")</f>
        <v>減少↓</v>
      </c>
      <c r="N147" s="149">
        <f>IF(分析!O201&lt;&gt;"",分析!O201,"")</f>
        <v>0.60578478964401294</v>
      </c>
      <c r="O147" s="150">
        <f>IF(分析!X201&lt;&gt;"",分析!X201,"")</f>
        <v>-16.378114066685157</v>
      </c>
      <c r="P147" s="151">
        <f>IF(分析!L201&lt;&gt;"",分析!L201,"")</f>
        <v>-16.474464579901152</v>
      </c>
      <c r="Q147" s="148">
        <f>IF(分析!S201&lt;&gt;"",分析!S201,"")</f>
        <v>1460</v>
      </c>
      <c r="R147" s="148">
        <f>IF(分析!R201&lt;&gt;"",分析!R201,"")</f>
        <v>1643</v>
      </c>
      <c r="S147" s="143" t="str">
        <f>IF(分析!AA201&lt;&gt;"",分析!AA201,"")</f>
        <v>下落▼</v>
      </c>
      <c r="T147" s="152">
        <f>IF(分析!Z201&lt;&gt;"",分析!Z201,"")</f>
        <v>-0.58823529411764708</v>
      </c>
      <c r="U147" s="143" t="str">
        <f>IF(分析!V201&lt;&gt;"",分析!V201,"")</f>
        <v>通常</v>
      </c>
      <c r="V147" s="153">
        <f>IF(分析!W201&lt;&gt;"",分析!W201,"")</f>
        <v>39.340101522842637</v>
      </c>
      <c r="W147" s="154" t="str">
        <f>IF(分析!AD201&lt;&gt;"",分析!AD201,"")</f>
        <v>もみ合い→</v>
      </c>
      <c r="X147" s="155" t="str">
        <f>IF(分析!AE201&lt;&gt;"",分析!AE201,"")</f>
        <v>なし</v>
      </c>
      <c r="Y147" s="156">
        <f>IF(分析!T201&lt;&gt;"",分析!T201,"")</f>
        <v>0</v>
      </c>
      <c r="Z147" s="142" t="str">
        <f>IF(分析!Y201&lt;&gt;"",分析!Y201,"")</f>
        <v>見送り</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17990</v>
      </c>
      <c r="F148" s="133">
        <f>IF(分析!F68&lt;&gt;"",分析!F68,"")</f>
        <v>18680</v>
      </c>
      <c r="G148" s="133">
        <f>IF(分析!H68&lt;&gt;"",分析!H68,"")</f>
        <v>18680</v>
      </c>
      <c r="H148" s="133">
        <f>IF(分析!I68&lt;&gt;"",分析!I68,"")</f>
        <v>17550</v>
      </c>
      <c r="I148" s="133">
        <f>IF(分析!J68&lt;&gt;"",分析!J68,"")</f>
        <v>580500</v>
      </c>
      <c r="J148" s="133">
        <f>IF(分析!AB68&lt;&gt;"",分析!AB68,"")</f>
        <v>113.31364562118124</v>
      </c>
      <c r="K148" s="133">
        <f>IF(分析!AC68&lt;&gt;"",分析!AC68,"")</f>
        <v>108.86412395709173</v>
      </c>
      <c r="L148" s="133">
        <f>IF(分析!K68&lt;&gt;"",分析!K68,"")</f>
        <v>21310</v>
      </c>
      <c r="M148" s="128" t="str">
        <f>IF(分析!P68&lt;&gt;"",分析!P68,"")</f>
        <v>減少↓</v>
      </c>
      <c r="N148" s="134">
        <f>IF(分析!O68&lt;&gt;"",分析!O68,"")</f>
        <v>0.84990190623993445</v>
      </c>
      <c r="O148" s="135">
        <f>IF(分析!X68&lt;&gt;"",分析!X68,"")</f>
        <v>-142.37792500367505</v>
      </c>
      <c r="P148" s="136">
        <f>IF(分析!L68&lt;&gt;"",分析!L68,"")</f>
        <v>-15.579540122008448</v>
      </c>
      <c r="Q148" s="133">
        <f>IF(分析!S68&lt;&gt;"",分析!S68,"")</f>
        <v>17270</v>
      </c>
      <c r="R148" s="133">
        <f>IF(分析!R68&lt;&gt;"",分析!R68,"")</f>
        <v>19429</v>
      </c>
      <c r="S148" s="128" t="str">
        <f>IF(分析!AA68&lt;&gt;"",分析!AA68,"")</f>
        <v>下落▼</v>
      </c>
      <c r="T148" s="137">
        <f>IF(分析!Z68&lt;&gt;"",分析!Z68,"")</f>
        <v>-4.0789122900559853</v>
      </c>
      <c r="U148" s="128" t="str">
        <f>IF(分析!V68&lt;&gt;"",分析!V68,"")</f>
        <v>通常</v>
      </c>
      <c r="V148" s="138">
        <f>IF(分析!W68&lt;&gt;"",分析!W68,"")</f>
        <v>48.090642047838863</v>
      </c>
      <c r="W148" s="139" t="str">
        <f>IF(分析!AD68&lt;&gt;"",分析!AD68,"")</f>
        <v>パーフェクト▲</v>
      </c>
      <c r="X148" s="140" t="str">
        <f>IF(分析!AE68&lt;&gt;"",分析!AE68,"")</f>
        <v>なし</v>
      </c>
      <c r="Y148" s="141">
        <f>IF(分析!T68&lt;&gt;"",分析!T68,"")</f>
        <v>2</v>
      </c>
      <c r="Z148" s="142" t="str">
        <f>IF(分析!Y68&lt;&gt;"",分析!Y68,"")</f>
        <v>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1215</v>
      </c>
      <c r="F149" s="133">
        <f>IF(分析!F70&lt;&gt;"",分析!F70,"")</f>
        <v>1166</v>
      </c>
      <c r="G149" s="133">
        <f>IF(分析!H70&lt;&gt;"",分析!H70,"")</f>
        <v>1216</v>
      </c>
      <c r="H149" s="133">
        <f>IF(分析!I70&lt;&gt;"",分析!I70,"")</f>
        <v>1166</v>
      </c>
      <c r="I149" s="133">
        <f>IF(分析!J70&lt;&gt;"",分析!J70,"")</f>
        <v>575800</v>
      </c>
      <c r="J149" s="133">
        <f>IF(分析!AB70&lt;&gt;"",分析!AB70,"")</f>
        <v>2336.1486761710794</v>
      </c>
      <c r="K149" s="133">
        <f>IF(分析!AC70&lt;&gt;"",分析!AC70,"")</f>
        <v>2326.4827175208575</v>
      </c>
      <c r="L149" s="133">
        <f>IF(分析!K70&lt;&gt;"",分析!K70,"")</f>
        <v>1189</v>
      </c>
      <c r="M149" s="128" t="str">
        <f>IF(分析!P70&lt;&gt;"",分析!P70,"")</f>
        <v>減少↓</v>
      </c>
      <c r="N149" s="134">
        <f>IF(分析!O70&lt;&gt;"",分析!O70,"")</f>
        <v>0.8997718536112761</v>
      </c>
      <c r="O149" s="135">
        <f>IF(分析!X70&lt;&gt;"",分析!X70,"")</f>
        <v>12.290705264707867</v>
      </c>
      <c r="P149" s="136">
        <f>IF(分析!L70&lt;&gt;"",分析!L70,"")</f>
        <v>2.1867115222876365</v>
      </c>
      <c r="Q149" s="133">
        <f>IF(分析!S70&lt;&gt;"",分析!S70,"")</f>
        <v>1166</v>
      </c>
      <c r="R149" s="133">
        <f>IF(分析!R70&lt;&gt;"",分析!R70,"")</f>
        <v>1312</v>
      </c>
      <c r="S149" s="128" t="str">
        <f>IF(分析!AA70&lt;&gt;"",分析!AA70,"")</f>
        <v>上昇▲</v>
      </c>
      <c r="T149" s="137">
        <f>IF(分析!Z70&lt;&gt;"",分析!Z70,"")</f>
        <v>4.2024013722126927</v>
      </c>
      <c r="U149" s="128" t="str">
        <f>IF(分析!V70&lt;&gt;"",分析!V70,"")</f>
        <v>年初来高値更新●</v>
      </c>
      <c r="V149" s="138">
        <f>IF(分析!W70&lt;&gt;"",分析!W70,"")</f>
        <v>55.131264916467785</v>
      </c>
      <c r="W149" s="139" t="str">
        <f>IF(分析!AD70&lt;&gt;"",分析!AD70,"")</f>
        <v>もみ合い→</v>
      </c>
      <c r="X149" s="140" t="str">
        <f>IF(分析!AE70&lt;&gt;"",分析!AE70,"")</f>
        <v>なし</v>
      </c>
      <c r="Y149" s="141">
        <f>IF(分析!T70&lt;&gt;"",分析!T70,"")</f>
        <v>10</v>
      </c>
      <c r="Z149" s="142" t="str">
        <f>IF(分析!Y70&lt;&gt;"",分析!Y70,"")</f>
        <v>○買い候補</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5135</v>
      </c>
      <c r="F150" s="133">
        <f>IF(分析!F204&lt;&gt;"",分析!F204,"")</f>
        <v>5170</v>
      </c>
      <c r="G150" s="133">
        <f>IF(分析!H204&lt;&gt;"",分析!H204,"")</f>
        <v>5315</v>
      </c>
      <c r="H150" s="133">
        <f>IF(分析!I204&lt;&gt;"",分析!I204,"")</f>
        <v>5129</v>
      </c>
      <c r="I150" s="133">
        <f>IF(分析!J204&lt;&gt;"",分析!J204,"")</f>
        <v>2747900</v>
      </c>
      <c r="J150" s="133">
        <f>IF(分析!AB204&lt;&gt;"",分析!AB204,"")</f>
        <v>2558.7505760368667</v>
      </c>
      <c r="K150" s="133">
        <f>IF(分析!AC204&lt;&gt;"",分析!AC204,"")</f>
        <v>2539.1781883194262</v>
      </c>
      <c r="L150" s="133">
        <f>IF(分析!K204&lt;&gt;"",分析!K204,"")</f>
        <v>8040</v>
      </c>
      <c r="M150" s="128" t="str">
        <f>IF(分析!P204&lt;&gt;"",分析!P204,"")</f>
        <v>普通→</v>
      </c>
      <c r="N150" s="134">
        <f>IF(分析!O204&lt;&gt;"",分析!O204,"")</f>
        <v>1.1746977650860964</v>
      </c>
      <c r="O150" s="135">
        <f>IF(分析!X204&lt;&gt;"",分析!X204,"")</f>
        <v>-68.3282372561589</v>
      </c>
      <c r="P150" s="136">
        <f>IF(分析!L204&lt;&gt;"",分析!L204,"")</f>
        <v>-36.131840796019901</v>
      </c>
      <c r="Q150" s="133">
        <f>IF(分析!S204&lt;&gt;"",分析!S204,"")</f>
        <v>4930</v>
      </c>
      <c r="R150" s="133">
        <f>IF(分析!R204&lt;&gt;"",分析!R204,"")</f>
        <v>5546</v>
      </c>
      <c r="S150" s="128" t="str">
        <f>IF(分析!AA204&lt;&gt;"",分析!AA204,"")</f>
        <v>下落▼</v>
      </c>
      <c r="T150" s="137">
        <f>IF(分析!Z204&lt;&gt;"",分析!Z204,"")</f>
        <v>-2.2277227722772275</v>
      </c>
      <c r="U150" s="128" t="str">
        <f>IF(分析!V204&lt;&gt;"",分析!V204,"")</f>
        <v>通常</v>
      </c>
      <c r="V150" s="138">
        <f>IF(分析!W204&lt;&gt;"",分析!W204,"")</f>
        <v>26.826826826826832</v>
      </c>
      <c r="W150" s="139" t="str">
        <f>IF(分析!AD204&lt;&gt;"",分析!AD204,"")</f>
        <v>パーフェクト▲</v>
      </c>
      <c r="X150" s="140" t="str">
        <f>IF(分析!AE204&lt;&gt;"",分析!AE204,"")</f>
        <v>なし</v>
      </c>
      <c r="Y150" s="141">
        <f>IF(分析!T204&lt;&gt;"",分析!T204,"")</f>
        <v>5</v>
      </c>
      <c r="Z150" s="142" t="str">
        <f>IF(分析!Y204&lt;&gt;"",分析!Y204,"")</f>
        <v>様子見</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3164</v>
      </c>
      <c r="F151" s="133">
        <f>IF(分析!F26&lt;&gt;"",分析!F26,"")</f>
        <v>3165</v>
      </c>
      <c r="G151" s="133">
        <f>IF(分析!H26&lt;&gt;"",分析!H26,"")</f>
        <v>3177</v>
      </c>
      <c r="H151" s="133">
        <f>IF(分析!I26&lt;&gt;"",分析!I26,"")</f>
        <v>3135</v>
      </c>
      <c r="I151" s="133">
        <f>IF(分析!J26&lt;&gt;"",分析!J26,"")</f>
        <v>1596700</v>
      </c>
      <c r="J151" s="133">
        <f>IF(分析!AB26&lt;&gt;"",分析!AB26,"")</f>
        <v>4795.560081466394</v>
      </c>
      <c r="K151" s="133">
        <f>IF(分析!AC26&lt;&gt;"",分析!AC26,"")</f>
        <v>5815.063170440998</v>
      </c>
      <c r="L151" s="133">
        <f>IF(分析!K26&lt;&gt;"",分析!K26,"")</f>
        <v>3419</v>
      </c>
      <c r="M151" s="128" t="str">
        <f>IF(分析!P26&lt;&gt;"",分析!P26,"")</f>
        <v>減少↓</v>
      </c>
      <c r="N151" s="134">
        <f>IF(分析!O26&lt;&gt;"",分析!O26,"")</f>
        <v>0.63437639056639761</v>
      </c>
      <c r="O151" s="135">
        <f>IF(分析!X26&lt;&gt;"",分析!X26,"")</f>
        <v>12.932769195866058</v>
      </c>
      <c r="P151" s="136">
        <f>IF(分析!L26&lt;&gt;"",分析!L26,"")</f>
        <v>-7.4583211465340753</v>
      </c>
      <c r="Q151" s="133">
        <f>IF(分析!S26&lt;&gt;"",分析!S26,"")</f>
        <v>3037</v>
      </c>
      <c r="R151" s="133">
        <f>IF(分析!R26&lt;&gt;"",分析!R26,"")</f>
        <v>3417</v>
      </c>
      <c r="S151" s="128" t="str">
        <f>IF(分析!AA26&lt;&gt;"",分析!AA26,"")</f>
        <v>上昇▲</v>
      </c>
      <c r="T151" s="137">
        <f>IF(分析!Z26&lt;&gt;"",分析!Z26,"")</f>
        <v>0.41256743890828312</v>
      </c>
      <c r="U151" s="128" t="str">
        <f>IF(分析!V26&lt;&gt;"",分析!V26,"")</f>
        <v>通常</v>
      </c>
      <c r="V151" s="138">
        <f>IF(分析!W26&lt;&gt;"",分析!W26,"")</f>
        <v>61.912479740680709</v>
      </c>
      <c r="W151" s="139" t="str">
        <f>IF(分析!AD26&lt;&gt;"",分析!AD26,"")</f>
        <v>下降トレンド▼</v>
      </c>
      <c r="X151" s="140" t="str">
        <f>IF(分析!AE26&lt;&gt;"",分析!AE26,"")</f>
        <v>なし</v>
      </c>
      <c r="Y151" s="141">
        <f>IF(分析!T26&lt;&gt;"",分析!T26,"")</f>
        <v>5</v>
      </c>
      <c r="Z151" s="142" t="str">
        <f>IF(分析!Y26&lt;&gt;"",分析!Y26,"")</f>
        <v>様子見</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4600</v>
      </c>
      <c r="F152" s="148">
        <f>IF(分析!F91&lt;&gt;"",分析!F91,"")</f>
        <v>4690</v>
      </c>
      <c r="G152" s="148">
        <f>IF(分析!H91&lt;&gt;"",分析!H91,"")</f>
        <v>4765</v>
      </c>
      <c r="H152" s="148">
        <f>IF(分析!I91&lt;&gt;"",分析!I91,"")</f>
        <v>4550</v>
      </c>
      <c r="I152" s="148">
        <f>IF(分析!J91&lt;&gt;"",分析!J91,"")</f>
        <v>116100</v>
      </c>
      <c r="J152" s="148">
        <f>IF(分析!AB91&lt;&gt;"",分析!AB91,"")</f>
        <v>731.37881873727076</v>
      </c>
      <c r="K152" s="148">
        <f>IF(分析!AC91&lt;&gt;"",分析!AC91,"")</f>
        <v>753.20143027413565</v>
      </c>
      <c r="L152" s="148">
        <f>IF(分析!K91&lt;&gt;"",分析!K91,"")</f>
        <v>5020</v>
      </c>
      <c r="M152" s="143" t="str">
        <f>IF(分析!P91&lt;&gt;"",分析!P91,"")</f>
        <v>普通→</v>
      </c>
      <c r="N152" s="149">
        <f>IF(分析!O91&lt;&gt;"",分析!O91,"")</f>
        <v>1.1591453674121406</v>
      </c>
      <c r="O152" s="150">
        <f>IF(分析!X91&lt;&gt;"",分析!X91,"")</f>
        <v>18.641273846817057</v>
      </c>
      <c r="P152" s="151">
        <f>IF(分析!L91&lt;&gt;"",分析!L91,"")</f>
        <v>-8.3665338645418323</v>
      </c>
      <c r="Q152" s="148">
        <f>IF(分析!S91&lt;&gt;"",分析!S91,"")</f>
        <v>4416</v>
      </c>
      <c r="R152" s="148">
        <f>IF(分析!R91&lt;&gt;"",分析!R91,"")</f>
        <v>4968</v>
      </c>
      <c r="S152" s="143" t="str">
        <f>IF(分析!AA91&lt;&gt;"",分析!AA91,"")</f>
        <v>下落▼</v>
      </c>
      <c r="T152" s="152">
        <f>IF(分析!Z91&lt;&gt;"",分析!Z91,"")</f>
        <v>-0.4329004329004329</v>
      </c>
      <c r="U152" s="143" t="str">
        <f>IF(分析!V91&lt;&gt;"",分析!V91,"")</f>
        <v>通常</v>
      </c>
      <c r="V152" s="153">
        <f>IF(分析!W91&lt;&gt;"",分析!W91,"")</f>
        <v>51.465798045602604</v>
      </c>
      <c r="W152" s="154" t="str">
        <f>IF(分析!AD91&lt;&gt;"",分析!AD91,"")</f>
        <v>上昇トレンド▲</v>
      </c>
      <c r="X152" s="155" t="str">
        <f>IF(分析!AE91&lt;&gt;"",分析!AE91,"")</f>
        <v>なし</v>
      </c>
      <c r="Y152" s="156">
        <f>IF(分析!T91&lt;&gt;"",分析!T91,"")</f>
        <v>8</v>
      </c>
      <c r="Z152" s="142" t="str">
        <f>IF(分析!Y91&lt;&gt;"",分析!Y91,"")</f>
        <v>△注目</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1577</v>
      </c>
      <c r="F153" s="133">
        <f>IF(分析!F40&lt;&gt;"",分析!F40,"")</f>
        <v>1551.5</v>
      </c>
      <c r="G153" s="133">
        <f>IF(分析!H40&lt;&gt;"",分析!H40,"")</f>
        <v>1580</v>
      </c>
      <c r="H153" s="133">
        <f>IF(分析!I40&lt;&gt;"",分析!I40,"")</f>
        <v>1551</v>
      </c>
      <c r="I153" s="133">
        <f>IF(分析!J40&lt;&gt;"",分析!J40,"")</f>
        <v>8448700</v>
      </c>
      <c r="J153" s="133">
        <f>IF(分析!AB40&lt;&gt;"",分析!AB40,"")</f>
        <v>3565.789205702647</v>
      </c>
      <c r="K153" s="133">
        <f>IF(分析!AC40&lt;&gt;"",分析!AC40,"")</f>
        <v>3600.5697258641235</v>
      </c>
      <c r="L153" s="133">
        <f>IF(分析!K40&lt;&gt;"",分析!K40,"")</f>
        <v>1636</v>
      </c>
      <c r="M153" s="128" t="str">
        <f>IF(分析!P40&lt;&gt;"",分析!P40,"")</f>
        <v>減少↓</v>
      </c>
      <c r="N153" s="134">
        <f>IF(分析!O40&lt;&gt;"",分析!O40,"")</f>
        <v>0.6971081649289913</v>
      </c>
      <c r="O153" s="135">
        <f>IF(分析!X40&lt;&gt;"",分析!X40,"")</f>
        <v>0.73365102551747441</v>
      </c>
      <c r="P153" s="136">
        <f>IF(分析!L40&lt;&gt;"",分析!L40,"")</f>
        <v>-3.6063569682151591</v>
      </c>
      <c r="Q153" s="133">
        <f>IF(分析!S40&lt;&gt;"",分析!S40,"")</f>
        <v>1514</v>
      </c>
      <c r="R153" s="133">
        <f>IF(分析!R40&lt;&gt;"",分析!R40,"")</f>
        <v>1703</v>
      </c>
      <c r="S153" s="128" t="str">
        <f>IF(分析!AA40&lt;&gt;"",分析!AA40,"")</f>
        <v>上昇▲</v>
      </c>
      <c r="T153" s="137">
        <f>IF(分析!Z40&lt;&gt;"",分析!Z40,"")</f>
        <v>1.1870388193776067</v>
      </c>
      <c r="U153" s="128" t="str">
        <f>IF(分析!V40&lt;&gt;"",分析!V40,"")</f>
        <v>高値圏</v>
      </c>
      <c r="V153" s="138">
        <f>IF(分析!W40&lt;&gt;"",分析!W40,"")</f>
        <v>43.202416918429002</v>
      </c>
      <c r="W153" s="139" t="str">
        <f>IF(分析!AD40&lt;&gt;"",分析!AD40,"")</f>
        <v>下降トレンド▼</v>
      </c>
      <c r="X153" s="140" t="str">
        <f>IF(分析!AE40&lt;&gt;"",分析!AE40,"")</f>
        <v>なし</v>
      </c>
      <c r="Y153" s="141">
        <f>IF(分析!T40&lt;&gt;"",分析!T40,"")</f>
        <v>9</v>
      </c>
      <c r="Z153" s="142" t="str">
        <f>IF(分析!Y40&lt;&gt;"",分析!Y40,"")</f>
        <v>△注目</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6764</v>
      </c>
      <c r="F154" s="148">
        <f>IF(分析!F161&lt;&gt;"",分析!F161,"")</f>
        <v>6620</v>
      </c>
      <c r="G154" s="148">
        <f>IF(分析!H161&lt;&gt;"",分析!H161,"")</f>
        <v>6764</v>
      </c>
      <c r="H154" s="148">
        <f>IF(分析!I161&lt;&gt;"",分析!I161,"")</f>
        <v>6578</v>
      </c>
      <c r="I154" s="148">
        <f>IF(分析!J161&lt;&gt;"",分析!J161,"")</f>
        <v>3147300</v>
      </c>
      <c r="J154" s="148">
        <f>IF(分析!AB161&lt;&gt;"",分析!AB161,"")</f>
        <v>1505.8940936863542</v>
      </c>
      <c r="K154" s="148">
        <f>IF(分析!AC161&lt;&gt;"",分析!AC161,"")</f>
        <v>1544.3814064362327</v>
      </c>
      <c r="L154" s="148">
        <f>IF(分析!K161&lt;&gt;"",分析!K161,"")</f>
        <v>10700</v>
      </c>
      <c r="M154" s="143" t="str">
        <f>IF(分析!P161&lt;&gt;"",分析!P161,"")</f>
        <v>普通→</v>
      </c>
      <c r="N154" s="149">
        <f>IF(分析!O161&lt;&gt;"",分析!O161,"")</f>
        <v>1.0250255662018068</v>
      </c>
      <c r="O154" s="150">
        <f>IF(分析!X161&lt;&gt;"",分析!X161,"")</f>
        <v>-112.20118492749953</v>
      </c>
      <c r="P154" s="151">
        <f>IF(分析!L161&lt;&gt;"",分析!L161,"")</f>
        <v>-36.785046728971963</v>
      </c>
      <c r="Q154" s="148">
        <f>IF(分析!S161&lt;&gt;"",分析!S161,"")</f>
        <v>6493</v>
      </c>
      <c r="R154" s="148">
        <f>IF(分析!R161&lt;&gt;"",分析!R161,"")</f>
        <v>7305</v>
      </c>
      <c r="S154" s="143" t="str">
        <f>IF(分析!AA161&lt;&gt;"",分析!AA161,"")</f>
        <v>上昇▲</v>
      </c>
      <c r="T154" s="152">
        <f>IF(分析!Z161&lt;&gt;"",分析!Z161,"")</f>
        <v>1.1363636363636365</v>
      </c>
      <c r="U154" s="143" t="str">
        <f>IF(分析!V161&lt;&gt;"",分析!V161,"")</f>
        <v>通常</v>
      </c>
      <c r="V154" s="153">
        <f>IF(分析!W161&lt;&gt;"",分析!W161,"")</f>
        <v>48.546511627906973</v>
      </c>
      <c r="W154" s="154" t="str">
        <f>IF(分析!AD161&lt;&gt;"",分析!AD161,"")</f>
        <v>上昇トレンド▲</v>
      </c>
      <c r="X154" s="155" t="str">
        <f>IF(分析!AE161&lt;&gt;"",分析!AE161,"")</f>
        <v>なし</v>
      </c>
      <c r="Y154" s="156">
        <f>IF(分析!T161&lt;&gt;"",分析!T161,"")</f>
        <v>3</v>
      </c>
      <c r="Z154" s="142" t="str">
        <f>IF(分析!Y161&lt;&gt;"",分析!Y161,"")</f>
        <v>様子見</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1893</v>
      </c>
      <c r="F155" s="148">
        <f>IF(分析!F135&lt;&gt;"",分析!F135,"")</f>
        <v>1856</v>
      </c>
      <c r="G155" s="148">
        <f>IF(分析!H135&lt;&gt;"",分析!H135,"")</f>
        <v>1902</v>
      </c>
      <c r="H155" s="148">
        <f>IF(分析!I135&lt;&gt;"",分析!I135,"")</f>
        <v>1851</v>
      </c>
      <c r="I155" s="148">
        <f>IF(分析!J135&lt;&gt;"",分析!J135,"")</f>
        <v>132800</v>
      </c>
      <c r="J155" s="148">
        <f>IF(分析!AB135&lt;&gt;"",分析!AB135,"")</f>
        <v>77.90325865580445</v>
      </c>
      <c r="K155" s="148">
        <f>IF(分析!AC135&lt;&gt;"",分析!AC135,"")</f>
        <v>117.87008343265788</v>
      </c>
      <c r="L155" s="148">
        <f>IF(分析!K135&lt;&gt;"",分析!K135,"")</f>
        <v>2696</v>
      </c>
      <c r="M155" s="143" t="str">
        <f>IF(分析!P135&lt;&gt;"",分析!P135,"")</f>
        <v>減少↓</v>
      </c>
      <c r="N155" s="149">
        <f>IF(分析!O135&lt;&gt;"",分析!O135,"")</f>
        <v>0.79085278704144835</v>
      </c>
      <c r="O155" s="150">
        <f>IF(分析!X135&lt;&gt;"",分析!X135,"")</f>
        <v>5.8413184258815818</v>
      </c>
      <c r="P155" s="151">
        <f>IF(分析!L135&lt;&gt;"",分析!L135,"")</f>
        <v>-29.784866468842729</v>
      </c>
      <c r="Q155" s="148">
        <f>IF(分析!S135&lt;&gt;"",分析!S135,"")</f>
        <v>1817</v>
      </c>
      <c r="R155" s="148">
        <f>IF(分析!R135&lt;&gt;"",分析!R135,"")</f>
        <v>2044</v>
      </c>
      <c r="S155" s="143" t="str">
        <f>IF(分析!AA135&lt;&gt;"",分析!AA135,"")</f>
        <v>上昇▲</v>
      </c>
      <c r="T155" s="152">
        <f>IF(分析!Z135&lt;&gt;"",分析!Z135,"")</f>
        <v>1.5013404825737267</v>
      </c>
      <c r="U155" s="143" t="str">
        <f>IF(分析!V135&lt;&gt;"",分析!V135,"")</f>
        <v>通常</v>
      </c>
      <c r="V155" s="153">
        <f>IF(分析!W135&lt;&gt;"",分析!W135,"")</f>
        <v>50.254298861709856</v>
      </c>
      <c r="W155" s="154" t="str">
        <f>IF(分析!AD135&lt;&gt;"",分析!AD135,"")</f>
        <v>上昇トレンド▲</v>
      </c>
      <c r="X155" s="155" t="str">
        <f>IF(分析!AE135&lt;&gt;"",分析!AE135,"")</f>
        <v>なし</v>
      </c>
      <c r="Y155" s="156">
        <f>IF(分析!T135&lt;&gt;"",分析!T135,"")</f>
        <v>8</v>
      </c>
      <c r="Z155" s="142" t="str">
        <f>IF(分析!Y135&lt;&gt;"",分析!Y135,"")</f>
        <v>△注目</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639</v>
      </c>
      <c r="F156" s="133">
        <f>IF(分析!F196&lt;&gt;"",分析!F196,"")</f>
        <v>638</v>
      </c>
      <c r="G156" s="133">
        <f>IF(分析!H196&lt;&gt;"",分析!H196,"")</f>
        <v>641</v>
      </c>
      <c r="H156" s="133">
        <f>IF(分析!I196&lt;&gt;"",分析!I196,"")</f>
        <v>635.5</v>
      </c>
      <c r="I156" s="133">
        <f>IF(分析!J196&lt;&gt;"",分析!J196,"")</f>
        <v>1470100</v>
      </c>
      <c r="J156" s="133">
        <f>IF(分析!AB196&lt;&gt;"",分析!AB196,"")</f>
        <v>56123.197556008141</v>
      </c>
      <c r="K156" s="133">
        <f>IF(分析!AC196&lt;&gt;"",分析!AC196,"")</f>
        <v>60916.48390941594</v>
      </c>
      <c r="L156" s="133">
        <f>IF(分析!K196&lt;&gt;"",分析!K196,"")</f>
        <v>763.7</v>
      </c>
      <c r="M156" s="128" t="str">
        <f>IF(分析!P196&lt;&gt;"",分析!P196,"")</f>
        <v>減少↓</v>
      </c>
      <c r="N156" s="134">
        <f>IF(分析!O196&lt;&gt;"",分析!O196,"")</f>
        <v>0.38321976549588394</v>
      </c>
      <c r="O156" s="135">
        <f>IF(分析!X196&lt;&gt;"",分析!X196,"")</f>
        <v>-3.7187164413168148</v>
      </c>
      <c r="P156" s="136">
        <f>IF(分析!L196&lt;&gt;"",分析!L196,"")</f>
        <v>-16.328401204661521</v>
      </c>
      <c r="Q156" s="133">
        <f>IF(分析!S196&lt;&gt;"",分析!S196,"")</f>
        <v>613</v>
      </c>
      <c r="R156" s="133">
        <f>IF(分析!R196&lt;&gt;"",分析!R196,"")</f>
        <v>690</v>
      </c>
      <c r="S156" s="128" t="str">
        <f>IF(分析!AA196&lt;&gt;"",分析!AA196,"")</f>
        <v>上昇▲</v>
      </c>
      <c r="T156" s="137">
        <f>IF(分析!Z196&lt;&gt;"",分析!Z196,"")</f>
        <v>0.55074744295830058</v>
      </c>
      <c r="U156" s="128" t="str">
        <f>IF(分析!V196&lt;&gt;"",分析!V196,"")</f>
        <v>通常</v>
      </c>
      <c r="V156" s="138">
        <f>IF(分析!W196&lt;&gt;"",分析!W196,"")</f>
        <v>34.680851063829735</v>
      </c>
      <c r="W156" s="139" t="str">
        <f>IF(分析!AD196&lt;&gt;"",分析!AD196,"")</f>
        <v>下降トレンド▼</v>
      </c>
      <c r="X156" s="140" t="str">
        <f>IF(分析!AE196&lt;&gt;"",分析!AE196,"")</f>
        <v>なし</v>
      </c>
      <c r="Y156" s="141">
        <f>IF(分析!T196&lt;&gt;"",分析!T196,"")</f>
        <v>2</v>
      </c>
      <c r="Z156" s="142" t="str">
        <f>IF(分析!Y196&lt;&gt;"",分析!Y196,"")</f>
        <v>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2314</v>
      </c>
      <c r="F157" s="148">
        <f>IF(分析!F143&lt;&gt;"",分析!F143,"")</f>
        <v>2260</v>
      </c>
      <c r="G157" s="148">
        <f>IF(分析!H143&lt;&gt;"",分析!H143,"")</f>
        <v>2412</v>
      </c>
      <c r="H157" s="148">
        <f>IF(分析!I143&lt;&gt;"",分析!I143,"")</f>
        <v>2250</v>
      </c>
      <c r="I157" s="148">
        <f>IF(分析!J143&lt;&gt;"",分析!J143,"")</f>
        <v>492700</v>
      </c>
      <c r="J157" s="148">
        <f>IF(分析!AB143&lt;&gt;"",分析!AB143,"")</f>
        <v>22835.865580448062</v>
      </c>
      <c r="K157" s="148">
        <f>IF(分析!AC143&lt;&gt;"",分析!AC143,"")</f>
        <v>23149.63051251489</v>
      </c>
      <c r="L157" s="148">
        <f>IF(分析!K143&lt;&gt;"",分析!K143,"")</f>
        <v>3405</v>
      </c>
      <c r="M157" s="143" t="str">
        <f>IF(分析!P143&lt;&gt;"",分析!P143,"")</f>
        <v>普通→</v>
      </c>
      <c r="N157" s="149">
        <f>IF(分析!O143&lt;&gt;"",分析!O143,"")</f>
        <v>1.177131116207951</v>
      </c>
      <c r="O157" s="150">
        <f>IF(分析!X143&lt;&gt;"",分析!X143,"")</f>
        <v>9.3532254148453831</v>
      </c>
      <c r="P157" s="151">
        <f>IF(分析!L143&lt;&gt;"",分析!L143,"")</f>
        <v>-32.041116005873718</v>
      </c>
      <c r="Q157" s="148">
        <f>IF(分析!S143&lt;&gt;"",分析!S143,"")</f>
        <v>2221</v>
      </c>
      <c r="R157" s="148">
        <f>IF(分析!R143&lt;&gt;"",分析!R143,"")</f>
        <v>2499</v>
      </c>
      <c r="S157" s="143" t="str">
        <f>IF(分析!AA143&lt;&gt;"",分析!AA143,"")</f>
        <v>上昇▲</v>
      </c>
      <c r="T157" s="152">
        <f>IF(分析!Z143&lt;&gt;"",分析!Z143,"")</f>
        <v>1.1363636363636365</v>
      </c>
      <c r="U157" s="143" t="str">
        <f>IF(分析!V143&lt;&gt;"",分析!V143,"")</f>
        <v>通常</v>
      </c>
      <c r="V157" s="153">
        <f>IF(分析!W143&lt;&gt;"",分析!W143,"")</f>
        <v>56.87022900763359</v>
      </c>
      <c r="W157" s="154" t="str">
        <f>IF(分析!AD143&lt;&gt;"",分析!AD143,"")</f>
        <v>下降トレンド▼</v>
      </c>
      <c r="X157" s="155" t="str">
        <f>IF(分析!AE143&lt;&gt;"",分析!AE143,"")</f>
        <v>なし</v>
      </c>
      <c r="Y157" s="156">
        <f>IF(分析!T143&lt;&gt;"",分析!T143,"")</f>
        <v>7</v>
      </c>
      <c r="Z157" s="142" t="str">
        <f>IF(分析!Y143&lt;&gt;"",分析!Y143,"")</f>
        <v>△注目</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2359</v>
      </c>
      <c r="F158" s="148">
        <f>IF(分析!F13&lt;&gt;"",分析!F13,"")</f>
        <v>2356</v>
      </c>
      <c r="G158" s="148">
        <f>IF(分析!H13&lt;&gt;"",分析!H13,"")</f>
        <v>2380</v>
      </c>
      <c r="H158" s="148">
        <f>IF(分析!I13&lt;&gt;"",分析!I13,"")</f>
        <v>2325</v>
      </c>
      <c r="I158" s="148">
        <f>IF(分析!J13&lt;&gt;"",分析!J13,"")</f>
        <v>71200</v>
      </c>
      <c r="J158" s="148">
        <f>IF(分析!AB13&lt;&gt;"",分析!AB13,"")</f>
        <v>3827.7443991853356</v>
      </c>
      <c r="K158" s="148">
        <f>IF(分析!AC13&lt;&gt;"",分析!AC13,"")</f>
        <v>3887.6555423122754</v>
      </c>
      <c r="L158" s="148">
        <f>IF(分析!K13&lt;&gt;"",分析!K13,"")</f>
        <v>2634</v>
      </c>
      <c r="M158" s="143" t="str">
        <f>IF(分析!P13&lt;&gt;"",分析!P13,"")</f>
        <v>減少↓</v>
      </c>
      <c r="N158" s="149">
        <f>IF(分析!O13&lt;&gt;"",分析!O13,"")</f>
        <v>0.81914404049700873</v>
      </c>
      <c r="O158" s="150">
        <f>IF(分析!X13&lt;&gt;"",分析!X13,"")</f>
        <v>8.2315603867232312</v>
      </c>
      <c r="P158" s="151">
        <f>IF(分析!L13&lt;&gt;"",分析!L13,"")</f>
        <v>-10.44039483675019</v>
      </c>
      <c r="Q158" s="148">
        <f>IF(分析!S13&lt;&gt;"",分析!S13,"")</f>
        <v>2265</v>
      </c>
      <c r="R158" s="148">
        <f>IF(分析!R13&lt;&gt;"",分析!R13,"")</f>
        <v>2548</v>
      </c>
      <c r="S158" s="143" t="str">
        <f>IF(分析!AA13&lt;&gt;"",分析!AA13,"")</f>
        <v>上昇▲</v>
      </c>
      <c r="T158" s="152">
        <f>IF(分析!Z13&lt;&gt;"",分析!Z13,"")</f>
        <v>1.1144449207029576</v>
      </c>
      <c r="U158" s="143" t="str">
        <f>IF(分析!V13&lt;&gt;"",分析!V13,"")</f>
        <v>通常</v>
      </c>
      <c r="V158" s="153">
        <f>IF(分析!W13&lt;&gt;"",分析!W13,"")</f>
        <v>50</v>
      </c>
      <c r="W158" s="154" t="str">
        <f>IF(分析!AD13&lt;&gt;"",分析!AD13,"")</f>
        <v>下降トレンド▼</v>
      </c>
      <c r="X158" s="155" t="str">
        <f>IF(分析!AE13&lt;&gt;"",分析!AE13,"")</f>
        <v>なし</v>
      </c>
      <c r="Y158" s="156">
        <f>IF(分析!T13&lt;&gt;"",分析!T13,"")</f>
        <v>6</v>
      </c>
      <c r="Z158" s="142" t="str">
        <f>IF(分析!Y13&lt;&gt;"",分析!Y13,"")</f>
        <v>△注目</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1737</v>
      </c>
      <c r="F159" s="148">
        <f>IF(分析!F109&lt;&gt;"",分析!F109,"")</f>
        <v>1800</v>
      </c>
      <c r="G159" s="148">
        <f>IF(分析!H109&lt;&gt;"",分析!H109,"")</f>
        <v>1809</v>
      </c>
      <c r="H159" s="148">
        <f>IF(分析!I109&lt;&gt;"",分析!I109,"")</f>
        <v>1730</v>
      </c>
      <c r="I159" s="148">
        <f>IF(分析!J109&lt;&gt;"",分析!J109,"")</f>
        <v>433700</v>
      </c>
      <c r="J159" s="148">
        <f>IF(分析!AB109&lt;&gt;"",分析!AB109,"")</f>
        <v>876.32688391038687</v>
      </c>
      <c r="K159" s="148">
        <f>IF(分析!AC109&lt;&gt;"",分析!AC109,"")</f>
        <v>828.97854588796179</v>
      </c>
      <c r="L159" s="148">
        <f>IF(分析!K109&lt;&gt;"",分析!K109,"")</f>
        <v>4130</v>
      </c>
      <c r="M159" s="143" t="str">
        <f>IF(分析!P109&lt;&gt;"",分析!P109,"")</f>
        <v>減少↓</v>
      </c>
      <c r="N159" s="149">
        <f>IF(分析!O109&lt;&gt;"",分析!O109,"")</f>
        <v>0.64710095192623318</v>
      </c>
      <c r="O159" s="150">
        <f>IF(分析!X109&lt;&gt;"",分析!X109,"")</f>
        <v>-452.55497753135342</v>
      </c>
      <c r="P159" s="151">
        <f>IF(分析!L109&lt;&gt;"",分析!L109,"")</f>
        <v>-57.941888619854723</v>
      </c>
      <c r="Q159" s="148">
        <f>IF(分析!S109&lt;&gt;"",分析!S109,"")</f>
        <v>1668</v>
      </c>
      <c r="R159" s="148">
        <f>IF(分析!R109&lt;&gt;"",分析!R109,"")</f>
        <v>1876</v>
      </c>
      <c r="S159" s="143" t="str">
        <f>IF(分析!AA109&lt;&gt;"",分析!AA109,"")</f>
        <v>下落▼</v>
      </c>
      <c r="T159" s="152">
        <f>IF(分析!Z109&lt;&gt;"",分析!Z109,"")</f>
        <v>-5.081967213114754</v>
      </c>
      <c r="U159" s="143" t="str">
        <f>IF(分析!V109&lt;&gt;"",分析!V109,"")</f>
        <v>通常</v>
      </c>
      <c r="V159" s="153">
        <f>IF(分析!W109&lt;&gt;"",分析!W109,"")</f>
        <v>29.811815150071453</v>
      </c>
      <c r="W159" s="154" t="str">
        <f>IF(分析!AD109&lt;&gt;"",分析!AD109,"")</f>
        <v>パーフェクト▲</v>
      </c>
      <c r="X159" s="155" t="str">
        <f>IF(分析!AE109&lt;&gt;"",分析!AE109,"")</f>
        <v>なし</v>
      </c>
      <c r="Y159" s="156">
        <f>IF(分析!T109&lt;&gt;"",分析!T109,"")</f>
        <v>4</v>
      </c>
      <c r="Z159" s="142" t="str">
        <f>IF(分析!Y109&lt;&gt;"",分析!Y109,"")</f>
        <v>様子見</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5391</v>
      </c>
      <c r="F160" s="133">
        <f>IF(分析!F14&lt;&gt;"",分析!F14,"")</f>
        <v>5315</v>
      </c>
      <c r="G160" s="133">
        <f>IF(分析!H14&lt;&gt;"",分析!H14,"")</f>
        <v>5394</v>
      </c>
      <c r="H160" s="133">
        <f>IF(分析!I14&lt;&gt;"",分析!I14,"")</f>
        <v>5302</v>
      </c>
      <c r="I160" s="133">
        <f>IF(分析!J14&lt;&gt;"",分析!J14,"")</f>
        <v>1009000</v>
      </c>
      <c r="J160" s="133">
        <f>IF(分析!AB14&lt;&gt;"",分析!AB14,"")</f>
        <v>4734.9236252545816</v>
      </c>
      <c r="K160" s="133">
        <f>IF(分析!AC14&lt;&gt;"",分析!AC14,"")</f>
        <v>4701.7771156138242</v>
      </c>
      <c r="L160" s="133">
        <f>IF(分析!K14&lt;&gt;"",分析!K14,"")</f>
        <v>6828</v>
      </c>
      <c r="M160" s="128" t="str">
        <f>IF(分析!P14&lt;&gt;"",分析!P14,"")</f>
        <v>減少↓</v>
      </c>
      <c r="N160" s="134">
        <f>IF(分析!O14&lt;&gt;"",分析!O14,"")</f>
        <v>0.99735094100901467</v>
      </c>
      <c r="O160" s="135">
        <f>IF(分析!X14&lt;&gt;"",分析!X14,"")</f>
        <v>4.8191303897910984</v>
      </c>
      <c r="P160" s="136">
        <f>IF(分析!L14&lt;&gt;"",分析!L14,"")</f>
        <v>-21.045694200351495</v>
      </c>
      <c r="Q160" s="133">
        <f>IF(分析!S14&lt;&gt;"",分析!S14,"")</f>
        <v>5175</v>
      </c>
      <c r="R160" s="133">
        <f>IF(分析!R14&lt;&gt;"",分析!R14,"")</f>
        <v>5822</v>
      </c>
      <c r="S160" s="128" t="str">
        <f>IF(分析!AA14&lt;&gt;"",分析!AA14,"")</f>
        <v>上昇▲</v>
      </c>
      <c r="T160" s="137">
        <f>IF(分析!Z14&lt;&gt;"",分析!Z14,"")</f>
        <v>1.5254237288135595</v>
      </c>
      <c r="U160" s="128" t="str">
        <f>IF(分析!V14&lt;&gt;"",分析!V14,"")</f>
        <v>通常</v>
      </c>
      <c r="V160" s="138">
        <f>IF(分析!W14&lt;&gt;"",分析!W14,"")</f>
        <v>44.126074498567334</v>
      </c>
      <c r="W160" s="139" t="str">
        <f>IF(分析!AD14&lt;&gt;"",分析!AD14,"")</f>
        <v>パーフェクト▲</v>
      </c>
      <c r="X160" s="140" t="str">
        <f>IF(分析!AE14&lt;&gt;"",分析!AE14,"")</f>
        <v>なし</v>
      </c>
      <c r="Y160" s="141">
        <f>IF(分析!T14&lt;&gt;"",分析!T14,"")</f>
        <v>7</v>
      </c>
      <c r="Z160" s="142" t="str">
        <f>IF(分析!Y14&lt;&gt;"",分析!Y14,"")</f>
        <v>△注目</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2936</v>
      </c>
      <c r="F161" s="133">
        <f>IF(分析!F132&lt;&gt;"",分析!F132,"")</f>
        <v>2930</v>
      </c>
      <c r="G161" s="133">
        <f>IF(分析!H132&lt;&gt;"",分析!H132,"")</f>
        <v>2989</v>
      </c>
      <c r="H161" s="133">
        <f>IF(分析!I132&lt;&gt;"",分析!I132,"")</f>
        <v>2916</v>
      </c>
      <c r="I161" s="133">
        <f>IF(分析!J132&lt;&gt;"",分析!J132,"")</f>
        <v>281400</v>
      </c>
      <c r="J161" s="133">
        <f>IF(分析!AB132&lt;&gt;"",分析!AB132,"")</f>
        <v>1793.1812627291238</v>
      </c>
      <c r="K161" s="133">
        <f>IF(分析!AC132&lt;&gt;"",分析!AC132,"")</f>
        <v>568.64243146603076</v>
      </c>
      <c r="L161" s="133">
        <f>IF(分析!K132&lt;&gt;"",分析!K132,"")</f>
        <v>3330</v>
      </c>
      <c r="M161" s="128" t="str">
        <f>IF(分析!P132&lt;&gt;"",分析!P132,"")</f>
        <v>減少↓</v>
      </c>
      <c r="N161" s="134">
        <f>IF(分析!O132&lt;&gt;"",分析!O132,"")</f>
        <v>0.45241157556270095</v>
      </c>
      <c r="O161" s="135">
        <f>IF(分析!X132&lt;&gt;"",分析!X132,"")</f>
        <v>15.562675380814198</v>
      </c>
      <c r="P161" s="136">
        <f>IF(分析!L132&lt;&gt;"",分析!L132,"")</f>
        <v>-11.831831831831833</v>
      </c>
      <c r="Q161" s="133">
        <f>IF(分析!S132&lt;&gt;"",分析!S132,"")</f>
        <v>2819</v>
      </c>
      <c r="R161" s="133">
        <f>IF(分析!R132&lt;&gt;"",分析!R132,"")</f>
        <v>3171</v>
      </c>
      <c r="S161" s="128" t="str">
        <f>IF(分析!AA132&lt;&gt;"",分析!AA132,"")</f>
        <v>上昇▲</v>
      </c>
      <c r="T161" s="137">
        <f>IF(分析!Z132&lt;&gt;"",分析!Z132,"")</f>
        <v>0.65135413095646211</v>
      </c>
      <c r="U161" s="128" t="str">
        <f>IF(分析!V132&lt;&gt;"",分析!V132,"")</f>
        <v>通常</v>
      </c>
      <c r="V161" s="138">
        <f>IF(分析!W132&lt;&gt;"",分析!W132,"")</f>
        <v>60.072376357056697</v>
      </c>
      <c r="W161" s="139" t="str">
        <f>IF(分析!AD132&lt;&gt;"",分析!AD132,"")</f>
        <v>パーフェクト▲</v>
      </c>
      <c r="X161" s="140" t="str">
        <f>IF(分析!AE132&lt;&gt;"",分析!AE132,"")</f>
        <v>なし</v>
      </c>
      <c r="Y161" s="141">
        <f>IF(分析!T132&lt;&gt;"",分析!T132,"")</f>
        <v>8</v>
      </c>
      <c r="Z161" s="142" t="str">
        <f>IF(分析!Y132&lt;&gt;"",分析!Y132,"")</f>
        <v>△注目</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8880</v>
      </c>
      <c r="F162" s="133">
        <f>IF(分析!F82&lt;&gt;"",分析!F82,"")</f>
        <v>8900</v>
      </c>
      <c r="G162" s="133">
        <f>IF(分析!H82&lt;&gt;"",分析!H82,"")</f>
        <v>9180</v>
      </c>
      <c r="H162" s="133">
        <f>IF(分析!I82&lt;&gt;"",分析!I82,"")</f>
        <v>8720</v>
      </c>
      <c r="I162" s="133">
        <f>IF(分析!J82&lt;&gt;"",分析!J82,"")</f>
        <v>1357700</v>
      </c>
      <c r="J162" s="133">
        <f>IF(分析!AB82&lt;&gt;"",分析!AB82,"")</f>
        <v>1833.220977596741</v>
      </c>
      <c r="K162" s="133">
        <f>IF(分析!AC82&lt;&gt;"",分析!AC82,"")</f>
        <v>1767.6543504171623</v>
      </c>
      <c r="L162" s="133">
        <f>IF(分析!K82&lt;&gt;"",分析!K82,"")</f>
        <v>11700</v>
      </c>
      <c r="M162" s="128" t="str">
        <f>IF(分析!P82&lt;&gt;"",分析!P82,"")</f>
        <v>減少↓</v>
      </c>
      <c r="N162" s="134">
        <f>IF(分析!O82&lt;&gt;"",分析!O82,"")</f>
        <v>0.81967905915309291</v>
      </c>
      <c r="O162" s="135">
        <f>IF(分析!X82&lt;&gt;"",分析!X82,"")</f>
        <v>58.745994849527051</v>
      </c>
      <c r="P162" s="136">
        <f>IF(分析!L82&lt;&gt;"",分析!L82,"")</f>
        <v>-24.102564102564102</v>
      </c>
      <c r="Q162" s="133">
        <f>IF(分析!S82&lt;&gt;"",分析!S82,"")</f>
        <v>8525</v>
      </c>
      <c r="R162" s="133">
        <f>IF(分析!R82&lt;&gt;"",分析!R82,"")</f>
        <v>9590</v>
      </c>
      <c r="S162" s="128" t="str">
        <f>IF(分析!AA82&lt;&gt;"",分析!AA82,"")</f>
        <v>下落▼</v>
      </c>
      <c r="T162" s="137">
        <f>IF(分析!Z82&lt;&gt;"",分析!Z82,"")</f>
        <v>-5.2294557097118464</v>
      </c>
      <c r="U162" s="128" t="str">
        <f>IF(分析!V82&lt;&gt;"",分析!V82,"")</f>
        <v>通常</v>
      </c>
      <c r="V162" s="138">
        <f>IF(分析!W82&lt;&gt;"",分析!W82,"")</f>
        <v>57.510148849797027</v>
      </c>
      <c r="W162" s="139" t="str">
        <f>IF(分析!AD82&lt;&gt;"",分析!AD82,"")</f>
        <v>パーフェクト▲</v>
      </c>
      <c r="X162" s="140" t="str">
        <f>IF(分析!AE82&lt;&gt;"",分析!AE82,"")</f>
        <v>なし</v>
      </c>
      <c r="Y162" s="141">
        <f>IF(分析!T82&lt;&gt;"",分析!T82,"")</f>
        <v>3</v>
      </c>
      <c r="Z162" s="142" t="str">
        <f>IF(分析!Y82&lt;&gt;"",分析!Y82,"")</f>
        <v>様子見</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2395</v>
      </c>
      <c r="F163" s="133">
        <f>IF(分析!F112&lt;&gt;"",分析!F112,"")</f>
        <v>2355</v>
      </c>
      <c r="G163" s="133">
        <f>IF(分析!H112&lt;&gt;"",分析!H112,"")</f>
        <v>2397</v>
      </c>
      <c r="H163" s="133">
        <f>IF(分析!I112&lt;&gt;"",分析!I112,"")</f>
        <v>2340</v>
      </c>
      <c r="I163" s="133">
        <f>IF(分析!J112&lt;&gt;"",分析!J112,"")</f>
        <v>3921800</v>
      </c>
      <c r="J163" s="133">
        <f>IF(分析!AB112&lt;&gt;"",分析!AB112,"")</f>
        <v>529.00641547861505</v>
      </c>
      <c r="K163" s="133">
        <f>IF(分析!AC112&lt;&gt;"",分析!AC112,"")</f>
        <v>514.74505363527987</v>
      </c>
      <c r="L163" s="133">
        <f>IF(分析!K112&lt;&gt;"",分析!K112,"")</f>
        <v>2539.5</v>
      </c>
      <c r="M163" s="128" t="str">
        <f>IF(分析!P112&lt;&gt;"",分析!P112,"")</f>
        <v>減少↓</v>
      </c>
      <c r="N163" s="134">
        <f>IF(分析!O112&lt;&gt;"",分析!O112,"")</f>
        <v>0.76015366663953077</v>
      </c>
      <c r="O163" s="135">
        <f>IF(分析!X112&lt;&gt;"",分析!X112,"")</f>
        <v>6.9606649445349831</v>
      </c>
      <c r="P163" s="136">
        <f>IF(分析!L112&lt;&gt;"",分析!L112,"")</f>
        <v>-5.6900964756841903</v>
      </c>
      <c r="Q163" s="133">
        <f>IF(分析!S112&lt;&gt;"",分析!S112,"")</f>
        <v>2299</v>
      </c>
      <c r="R163" s="133">
        <f>IF(分析!R112&lt;&gt;"",分析!R112,"")</f>
        <v>2587</v>
      </c>
      <c r="S163" s="128" t="str">
        <f>IF(分析!AA112&lt;&gt;"",分析!AA112,"")</f>
        <v>上昇▲</v>
      </c>
      <c r="T163" s="137">
        <f>IF(分析!Z112&lt;&gt;"",分析!Z112,"")</f>
        <v>1.6122189223589309</v>
      </c>
      <c r="U163" s="128" t="str">
        <f>IF(分析!V112&lt;&gt;"",分析!V112,"")</f>
        <v>通常</v>
      </c>
      <c r="V163" s="138">
        <f>IF(分析!W112&lt;&gt;"",分析!W112,"")</f>
        <v>45.240339302544768</v>
      </c>
      <c r="W163" s="139" t="str">
        <f>IF(分析!AD112&lt;&gt;"",分析!AD112,"")</f>
        <v>パーフェクト▲</v>
      </c>
      <c r="X163" s="140" t="str">
        <f>IF(分析!AE112&lt;&gt;"",分析!AE112,"")</f>
        <v>なし</v>
      </c>
      <c r="Y163" s="141">
        <f>IF(分析!T112&lt;&gt;"",分析!T112,"")</f>
        <v>9</v>
      </c>
      <c r="Z163" s="142" t="str">
        <f>IF(分析!Y112&lt;&gt;"",分析!Y112,"")</f>
        <v>△注目</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1718</v>
      </c>
      <c r="F164" s="148">
        <f>IF(分析!F205&lt;&gt;"",分析!F205,"")</f>
        <v>1681</v>
      </c>
      <c r="G164" s="148">
        <f>IF(分析!H205&lt;&gt;"",分析!H205,"")</f>
        <v>1718</v>
      </c>
      <c r="H164" s="148">
        <f>IF(分析!I205&lt;&gt;"",分析!I205,"")</f>
        <v>1622</v>
      </c>
      <c r="I164" s="148">
        <f>IF(分析!J205&lt;&gt;"",分析!J205,"")</f>
        <v>2647000</v>
      </c>
      <c r="J164" s="148">
        <f>IF(分析!AB205&lt;&gt;"",分析!AB205,"")</f>
        <v>6734.2315668202755</v>
      </c>
      <c r="K164" s="148">
        <f>IF(分析!AC205&lt;&gt;"",分析!AC205,"")</f>
        <v>6718.4064362336103</v>
      </c>
      <c r="L164" s="148">
        <f>IF(分析!K205&lt;&gt;"",分析!K205,"")</f>
        <v>2819</v>
      </c>
      <c r="M164" s="143" t="str">
        <f>IF(分析!P205&lt;&gt;"",分析!P205,"")</f>
        <v>増加↑</v>
      </c>
      <c r="N164" s="149">
        <f>IF(分析!O205&lt;&gt;"",分析!O205,"")</f>
        <v>1.6432012316249502</v>
      </c>
      <c r="O164" s="150">
        <f>IF(分析!X205&lt;&gt;"",分析!X205,"")</f>
        <v>0.53590604961846111</v>
      </c>
      <c r="P164" s="151">
        <f>IF(分析!L205&lt;&gt;"",分析!L205,"")</f>
        <v>-39.056402979780067</v>
      </c>
      <c r="Q164" s="148">
        <f>IF(分析!S205&lt;&gt;"",分析!S205,"")</f>
        <v>1649</v>
      </c>
      <c r="R164" s="148">
        <f>IF(分析!R205&lt;&gt;"",分析!R205,"")</f>
        <v>1855</v>
      </c>
      <c r="S164" s="143" t="str">
        <f>IF(分析!AA205&lt;&gt;"",分析!AA205,"")</f>
        <v>上昇▲</v>
      </c>
      <c r="T164" s="152">
        <f>IF(分析!Z205&lt;&gt;"",分析!Z205,"")</f>
        <v>1.5966883500887048</v>
      </c>
      <c r="U164" s="143" t="str">
        <f>IF(分析!V205&lt;&gt;"",分析!V205,"")</f>
        <v>通常</v>
      </c>
      <c r="V164" s="153">
        <f>IF(分析!W205&lt;&gt;"",分析!W205,"")</f>
        <v>49.815108293713685</v>
      </c>
      <c r="W164" s="154" t="str">
        <f>IF(分析!AD205&lt;&gt;"",分析!AD205,"")</f>
        <v>もみ合い→</v>
      </c>
      <c r="X164" s="155" t="str">
        <f>IF(分析!AE205&lt;&gt;"",分析!AE205,"")</f>
        <v>なし</v>
      </c>
      <c r="Y164" s="156">
        <f>IF(分析!T205&lt;&gt;"",分析!T205,"")</f>
        <v>11</v>
      </c>
      <c r="Z164" s="142" t="str">
        <f>IF(分析!Y205&lt;&gt;"",分析!Y205,"")</f>
        <v>○買い候補</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1537</v>
      </c>
      <c r="F165" s="133">
        <f>IF(分析!F72&lt;&gt;"",分析!F72,"")</f>
        <v>1515</v>
      </c>
      <c r="G165" s="133">
        <f>IF(分析!H72&lt;&gt;"",分析!H72,"")</f>
        <v>1562</v>
      </c>
      <c r="H165" s="133">
        <f>IF(分析!I72&lt;&gt;"",分析!I72,"")</f>
        <v>1504</v>
      </c>
      <c r="I165" s="133">
        <f>IF(分析!J72&lt;&gt;"",分析!J72,"")</f>
        <v>455900</v>
      </c>
      <c r="J165" s="133">
        <f>IF(分析!AB72&lt;&gt;"",分析!AB72,"")</f>
        <v>3142.3360488798367</v>
      </c>
      <c r="K165" s="133">
        <f>IF(分析!AC72&lt;&gt;"",分析!AC72,"")</f>
        <v>3099.0548271752068</v>
      </c>
      <c r="L165" s="133">
        <f>IF(分析!K72&lt;&gt;"",分析!K72,"")</f>
        <v>1596</v>
      </c>
      <c r="M165" s="128" t="str">
        <f>IF(分析!P72&lt;&gt;"",分析!P72,"")</f>
        <v>減少↓</v>
      </c>
      <c r="N165" s="134">
        <f>IF(分析!O72&lt;&gt;"",分析!O72,"")</f>
        <v>0.82351878612716767</v>
      </c>
      <c r="O165" s="135">
        <f>IF(分析!X72&lt;&gt;"",分析!X72,"")</f>
        <v>96.017704257698938</v>
      </c>
      <c r="P165" s="136">
        <f>IF(分析!L72&lt;&gt;"",分析!L72,"")</f>
        <v>-3.6967418546365911</v>
      </c>
      <c r="Q165" s="133">
        <f>IF(分析!S72&lt;&gt;"",分析!S72,"")</f>
        <v>1476</v>
      </c>
      <c r="R165" s="133">
        <f>IF(分析!R72&lt;&gt;"",分析!R72,"")</f>
        <v>1660</v>
      </c>
      <c r="S165" s="128" t="str">
        <f>IF(分析!AA72&lt;&gt;"",分析!AA72,"")</f>
        <v>上昇▲</v>
      </c>
      <c r="T165" s="137">
        <f>IF(分析!Z72&lt;&gt;"",分析!Z72,"")</f>
        <v>0.52321778940483976</v>
      </c>
      <c r="U165" s="128" t="str">
        <f>IF(分析!V72&lt;&gt;"",分析!V72,"")</f>
        <v>高値圏</v>
      </c>
      <c r="V165" s="138">
        <f>IF(分析!W72&lt;&gt;"",分析!W72,"")</f>
        <v>50</v>
      </c>
      <c r="W165" s="139" t="str">
        <f>IF(分析!AD72&lt;&gt;"",分析!AD72,"")</f>
        <v>もみ合い→</v>
      </c>
      <c r="X165" s="140" t="str">
        <f>IF(分析!AE72&lt;&gt;"",分析!AE72,"")</f>
        <v>なし</v>
      </c>
      <c r="Y165" s="141">
        <f>IF(分析!T72&lt;&gt;"",分析!T72,"")</f>
        <v>6</v>
      </c>
      <c r="Z165" s="142" t="str">
        <f>IF(分析!Y72&lt;&gt;"",分析!Y72,"")</f>
        <v>△注目</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1446</v>
      </c>
      <c r="F166" s="148">
        <f>IF(分析!F175&lt;&gt;"",分析!F175,"")</f>
        <v>1260</v>
      </c>
      <c r="G166" s="148">
        <f>IF(分析!H175&lt;&gt;"",分析!H175,"")</f>
        <v>1530</v>
      </c>
      <c r="H166" s="148">
        <f>IF(分析!I175&lt;&gt;"",分析!I175,"")</f>
        <v>1251</v>
      </c>
      <c r="I166" s="148">
        <f>IF(分析!J175&lt;&gt;"",分析!J175,"")</f>
        <v>1206100</v>
      </c>
      <c r="J166" s="148">
        <f>IF(分析!AB175&lt;&gt;"",分析!AB175,"")</f>
        <v>866.86252545824834</v>
      </c>
      <c r="K166" s="148">
        <f>IF(分析!AC175&lt;&gt;"",分析!AC175,"")</f>
        <v>270.45053635280084</v>
      </c>
      <c r="L166" s="148">
        <f>IF(分析!K175&lt;&gt;"",分析!K175,"")</f>
        <v>1398</v>
      </c>
      <c r="M166" s="143" t="str">
        <f>IF(分析!P175&lt;&gt;"",分析!P175,"")</f>
        <v>急増↑↑</v>
      </c>
      <c r="N166" s="149">
        <f>IF(分析!O175&lt;&gt;"",分析!O175,"")</f>
        <v>3.1973384232013147</v>
      </c>
      <c r="O166" s="150">
        <f>IF(分析!X175&lt;&gt;"",分析!X175,"")</f>
        <v>-5.6683476689518102</v>
      </c>
      <c r="P166" s="151">
        <f>IF(分析!L175&lt;&gt;"",分析!L175,"")</f>
        <v>3.4334763948497855</v>
      </c>
      <c r="Q166" s="148">
        <f>IF(分析!S175&lt;&gt;"",分析!S175,"")</f>
        <v>1388</v>
      </c>
      <c r="R166" s="148">
        <f>IF(分析!R175&lt;&gt;"",分析!R175,"")</f>
        <v>1562</v>
      </c>
      <c r="S166" s="143" t="str">
        <f>IF(分析!AA175&lt;&gt;"",分析!AA175,"")</f>
        <v>上昇▲</v>
      </c>
      <c r="T166" s="152">
        <f>IF(分析!Z175&lt;&gt;"",分析!Z175,"")</f>
        <v>14.853057982525813</v>
      </c>
      <c r="U166" s="143" t="str">
        <f>IF(分析!V175&lt;&gt;"",分析!V175,"")</f>
        <v>年初来高値更新●</v>
      </c>
      <c r="V166" s="153">
        <f>IF(分析!W175&lt;&gt;"",分析!W175,"")</f>
        <v>49.006143838091795</v>
      </c>
      <c r="W166" s="154" t="str">
        <f>IF(分析!AD175&lt;&gt;"",分析!AD175,"")</f>
        <v>パーフェクト▲</v>
      </c>
      <c r="X166" s="155" t="str">
        <f>IF(分析!AE175&lt;&gt;"",分析!AE175,"")</f>
        <v>なし</v>
      </c>
      <c r="Y166" s="156">
        <f>IF(分析!T175&lt;&gt;"",分析!T175,"")</f>
        <v>19</v>
      </c>
      <c r="Z166" s="142" t="str">
        <f>IF(分析!Y175&lt;&gt;"",分析!Y175,"")</f>
        <v>★強い買い</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3290</v>
      </c>
      <c r="F167" s="133">
        <f>IF(分析!F12&lt;&gt;"",分析!F12,"")</f>
        <v>3335</v>
      </c>
      <c r="G167" s="133">
        <f>IF(分析!H12&lt;&gt;"",分析!H12,"")</f>
        <v>3370</v>
      </c>
      <c r="H167" s="133">
        <f>IF(分析!I12&lt;&gt;"",分析!I12,"")</f>
        <v>3250</v>
      </c>
      <c r="I167" s="133">
        <f>IF(分析!J12&lt;&gt;"",分析!J12,"")</f>
        <v>94100</v>
      </c>
      <c r="J167" s="133">
        <f>IF(分析!AB12&lt;&gt;"",分析!AB12,"")</f>
        <v>4993.8686354378806</v>
      </c>
      <c r="K167" s="133">
        <f>IF(分析!AC12&lt;&gt;"",分析!AC12,"")</f>
        <v>5092.1823599523232</v>
      </c>
      <c r="L167" s="133">
        <f>IF(分析!K12&lt;&gt;"",分析!K12,"")</f>
        <v>4220</v>
      </c>
      <c r="M167" s="128" t="str">
        <f>IF(分析!P12&lt;&gt;"",分析!P12,"")</f>
        <v>減少↓</v>
      </c>
      <c r="N167" s="134">
        <f>IF(分析!O12&lt;&gt;"",分析!O12,"")</f>
        <v>0.58498072858386174</v>
      </c>
      <c r="O167" s="135">
        <f>IF(分析!X12&lt;&gt;"",分析!X12,"")</f>
        <v>-13.79018583898096</v>
      </c>
      <c r="P167" s="136">
        <f>IF(分析!L12&lt;&gt;"",分析!L12,"")</f>
        <v>-22.037914691943129</v>
      </c>
      <c r="Q167" s="133">
        <f>IF(分析!S12&lt;&gt;"",分析!S12,"")</f>
        <v>3158</v>
      </c>
      <c r="R167" s="133">
        <f>IF(分析!R12&lt;&gt;"",分析!R12,"")</f>
        <v>3553</v>
      </c>
      <c r="S167" s="128" t="str">
        <f>IF(分析!AA12&lt;&gt;"",分析!AA12,"")</f>
        <v>下落▼</v>
      </c>
      <c r="T167" s="137">
        <f>IF(分析!Z12&lt;&gt;"",分析!Z12,"")</f>
        <v>-1.3493253373313343</v>
      </c>
      <c r="U167" s="128" t="str">
        <f>IF(分析!V12&lt;&gt;"",分析!V12,"")</f>
        <v>通常</v>
      </c>
      <c r="V167" s="138">
        <f>IF(分析!W12&lt;&gt;"",分析!W12,"")</f>
        <v>50.736842105263158</v>
      </c>
      <c r="W167" s="139" t="str">
        <f>IF(分析!AD12&lt;&gt;"",分析!AD12,"")</f>
        <v>下降トレンド▼</v>
      </c>
      <c r="X167" s="140" t="str">
        <f>IF(分析!AE12&lt;&gt;"",分析!AE12,"")</f>
        <v>なし</v>
      </c>
      <c r="Y167" s="141">
        <f>IF(分析!T12&lt;&gt;"",分析!T12,"")</f>
        <v>0</v>
      </c>
      <c r="Z167" s="142" t="str">
        <f>IF(分析!Y12&lt;&gt;"",分析!Y12,"")</f>
        <v>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4827</v>
      </c>
      <c r="F168" s="148">
        <f>IF(分析!F37&lt;&gt;"",分析!F37,"")</f>
        <v>4788</v>
      </c>
      <c r="G168" s="148">
        <f>IF(分析!H37&lt;&gt;"",分析!H37,"")</f>
        <v>4849</v>
      </c>
      <c r="H168" s="148">
        <f>IF(分析!I37&lt;&gt;"",分析!I37,"")</f>
        <v>4771</v>
      </c>
      <c r="I168" s="148">
        <f>IF(分析!J37&lt;&gt;"",分析!J37,"")</f>
        <v>3283600</v>
      </c>
      <c r="J168" s="148">
        <f>IF(分析!AB37&lt;&gt;"",分析!AB37,"")</f>
        <v>1432.5885947046838</v>
      </c>
      <c r="K168" s="148">
        <f>IF(分析!AC37&lt;&gt;"",分析!AC37,"")</f>
        <v>1430.8265792610248</v>
      </c>
      <c r="L168" s="148">
        <f>IF(分析!K37&lt;&gt;"",分析!K37,"")</f>
        <v>5073</v>
      </c>
      <c r="M168" s="143" t="str">
        <f>IF(分析!P37&lt;&gt;"",分析!P37,"")</f>
        <v>減少↓</v>
      </c>
      <c r="N168" s="149">
        <f>IF(分析!O37&lt;&gt;"",分析!O37,"")</f>
        <v>0.79803238209117733</v>
      </c>
      <c r="O168" s="150">
        <f>IF(分析!X37&lt;&gt;"",分析!X37,"")</f>
        <v>53.994797782193018</v>
      </c>
      <c r="P168" s="151">
        <f>IF(分析!L37&lt;&gt;"",分析!L37,"")</f>
        <v>-4.849201655824956</v>
      </c>
      <c r="Q168" s="148">
        <f>IF(分析!S37&lt;&gt;"",分析!S37,"")</f>
        <v>4634</v>
      </c>
      <c r="R168" s="148">
        <f>IF(分析!R37&lt;&gt;"",分析!R37,"")</f>
        <v>5213</v>
      </c>
      <c r="S168" s="143" t="str">
        <f>IF(分析!AA37&lt;&gt;"",分析!AA37,"")</f>
        <v>上昇▲</v>
      </c>
      <c r="T168" s="152">
        <f>IF(分析!Z37&lt;&gt;"",分析!Z37,"")</f>
        <v>1.0043942247332078</v>
      </c>
      <c r="U168" s="143" t="str">
        <f>IF(分析!V37&lt;&gt;"",分析!V37,"")</f>
        <v>高値圏</v>
      </c>
      <c r="V168" s="153">
        <f>IF(分析!W37&lt;&gt;"",分析!W37,"")</f>
        <v>60.219341974077771</v>
      </c>
      <c r="W168" s="154" t="str">
        <f>IF(分析!AD37&lt;&gt;"",分析!AD37,"")</f>
        <v>パーフェクト▲</v>
      </c>
      <c r="X168" s="155" t="str">
        <f>IF(分析!AE37&lt;&gt;"",分析!AE37,"")</f>
        <v>なし</v>
      </c>
      <c r="Y168" s="156">
        <f>IF(分析!T37&lt;&gt;"",分析!T37,"")</f>
        <v>11</v>
      </c>
      <c r="Z168" s="142" t="str">
        <f>IF(分析!Y37&lt;&gt;"",分析!Y37,"")</f>
        <v>○買い候補</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1614</v>
      </c>
      <c r="F169" s="148">
        <f>IF(分析!F95&lt;&gt;"",分析!F95,"")</f>
        <v>1665</v>
      </c>
      <c r="G169" s="148">
        <f>IF(分析!H95&lt;&gt;"",分析!H95,"")</f>
        <v>1755</v>
      </c>
      <c r="H169" s="148">
        <f>IF(分析!I95&lt;&gt;"",分析!I95,"")</f>
        <v>1601</v>
      </c>
      <c r="I169" s="148">
        <f>IF(分析!J95&lt;&gt;"",分析!J95,"")</f>
        <v>772100</v>
      </c>
      <c r="J169" s="148">
        <f>IF(分析!AB95&lt;&gt;"",分析!AB95,"")</f>
        <v>4405.0488798370661</v>
      </c>
      <c r="K169" s="148">
        <f>IF(分析!AC95&lt;&gt;"",分析!AC95,"")</f>
        <v>4394.3170441001184</v>
      </c>
      <c r="L169" s="148">
        <f>IF(分析!K95&lt;&gt;"",分析!K95,"")</f>
        <v>2580</v>
      </c>
      <c r="M169" s="143" t="str">
        <f>IF(分析!P95&lt;&gt;"",分析!P95,"")</f>
        <v>減少↓</v>
      </c>
      <c r="N169" s="149">
        <f>IF(分析!O95&lt;&gt;"",分析!O95,"")</f>
        <v>0.56575707837505129</v>
      </c>
      <c r="O169" s="150">
        <f>IF(分析!X95&lt;&gt;"",分析!X95,"")</f>
        <v>-21.131679396908794</v>
      </c>
      <c r="P169" s="151">
        <f>IF(分析!L95&lt;&gt;"",分析!L95,"")</f>
        <v>-37.441860465116278</v>
      </c>
      <c r="Q169" s="148">
        <f>IF(分析!S95&lt;&gt;"",分析!S95,"")</f>
        <v>1549</v>
      </c>
      <c r="R169" s="148">
        <f>IF(分析!R95&lt;&gt;"",分析!R95,"")</f>
        <v>1743</v>
      </c>
      <c r="S169" s="143" t="str">
        <f>IF(分析!AA95&lt;&gt;"",分析!AA95,"")</f>
        <v>下落▼</v>
      </c>
      <c r="T169" s="152">
        <f>IF(分析!Z95&lt;&gt;"",分析!Z95,"")</f>
        <v>-2.8880866425992782</v>
      </c>
      <c r="U169" s="143" t="str">
        <f>IF(分析!V95&lt;&gt;"",分析!V95,"")</f>
        <v>通常</v>
      </c>
      <c r="V169" s="153">
        <f>IF(分析!W95&lt;&gt;"",分析!W95,"")</f>
        <v>44.370546318289783</v>
      </c>
      <c r="W169" s="154" t="str">
        <f>IF(分析!AD95&lt;&gt;"",分析!AD95,"")</f>
        <v>もみ合い→</v>
      </c>
      <c r="X169" s="155" t="str">
        <f>IF(分析!AE95&lt;&gt;"",分析!AE95,"")</f>
        <v>なし</v>
      </c>
      <c r="Y169" s="156">
        <f>IF(分析!T95&lt;&gt;"",分析!T95,"")</f>
        <v>2</v>
      </c>
      <c r="Z169" s="142" t="str">
        <f>IF(分析!Y95&lt;&gt;"",分析!Y95,"")</f>
        <v>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2554.5</v>
      </c>
      <c r="F170" s="133">
        <f>IF(分析!F48&lt;&gt;"",分析!F48,"")</f>
        <v>2568.5</v>
      </c>
      <c r="G170" s="133">
        <f>IF(分析!H48&lt;&gt;"",分析!H48,"")</f>
        <v>2635</v>
      </c>
      <c r="H170" s="133">
        <f>IF(分析!I48&lt;&gt;"",分析!I48,"")</f>
        <v>2535</v>
      </c>
      <c r="I170" s="133">
        <f>IF(分析!J48&lt;&gt;"",分析!J48,"")</f>
        <v>2501400</v>
      </c>
      <c r="J170" s="133">
        <f>IF(分析!AB48&lt;&gt;"",分析!AB48,"")</f>
        <v>6710.122199592668</v>
      </c>
      <c r="K170" s="133">
        <f>IF(分析!AC48&lt;&gt;"",分析!AC48,"")</f>
        <v>6825.6376638855754</v>
      </c>
      <c r="L170" s="133">
        <f>IF(分析!K48&lt;&gt;"",分析!K48,"")</f>
        <v>2699.5</v>
      </c>
      <c r="M170" s="128" t="str">
        <f>IF(分析!P48&lt;&gt;"",分析!P48,"")</f>
        <v>普通→</v>
      </c>
      <c r="N170" s="134">
        <f>IF(分析!O48&lt;&gt;"",分析!O48,"")</f>
        <v>1.3061049729526515</v>
      </c>
      <c r="O170" s="135">
        <f>IF(分析!X48&lt;&gt;"",分析!X48,"")</f>
        <v>-0.5833230509592795</v>
      </c>
      <c r="P170" s="136">
        <f>IF(分析!L48&lt;&gt;"",分析!L48,"")</f>
        <v>-5.3713650676051117</v>
      </c>
      <c r="Q170" s="133">
        <f>IF(分析!S48&lt;&gt;"",分析!S48,"")</f>
        <v>2452</v>
      </c>
      <c r="R170" s="133">
        <f>IF(分析!R48&lt;&gt;"",分析!R48,"")</f>
        <v>2759</v>
      </c>
      <c r="S170" s="128" t="str">
        <f>IF(分析!AA48&lt;&gt;"",分析!AA48,"")</f>
        <v>下落▼</v>
      </c>
      <c r="T170" s="137">
        <f>IF(分析!Z48&lt;&gt;"",分析!Z48,"")</f>
        <v>-0.98837209302325579</v>
      </c>
      <c r="U170" s="128" t="str">
        <f>IF(分析!V48&lt;&gt;"",分析!V48,"")</f>
        <v>高値圏</v>
      </c>
      <c r="V170" s="138">
        <f>IF(分析!W48&lt;&gt;"",分析!W48,"")</f>
        <v>46.158940397350996</v>
      </c>
      <c r="W170" s="139" t="str">
        <f>IF(分析!AD48&lt;&gt;"",分析!AD48,"")</f>
        <v>下降トレンド▼</v>
      </c>
      <c r="X170" s="140" t="str">
        <f>IF(分析!AE48&lt;&gt;"",分析!AE48,"")</f>
        <v>なし</v>
      </c>
      <c r="Y170" s="141">
        <f>IF(分析!T48&lt;&gt;"",分析!T48,"")</f>
        <v>5</v>
      </c>
      <c r="Z170" s="142" t="str">
        <f>IF(分析!Y48&lt;&gt;"",分析!Y48,"")</f>
        <v>様子見</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4395</v>
      </c>
      <c r="F171" s="148">
        <f>IF(分析!F11&lt;&gt;"",分析!F11,"")</f>
        <v>4445</v>
      </c>
      <c r="G171" s="148">
        <f>IF(分析!H11&lt;&gt;"",分析!H11,"")</f>
        <v>4445</v>
      </c>
      <c r="H171" s="148">
        <f>IF(分析!I11&lt;&gt;"",分析!I11,"")</f>
        <v>4395</v>
      </c>
      <c r="I171" s="148">
        <f>IF(分析!J11&lt;&gt;"",分析!J11,"")</f>
        <v>500</v>
      </c>
      <c r="J171" s="148">
        <f>IF(分析!AB11&lt;&gt;"",分析!AB11,"")</f>
        <v>2847.0804480651732</v>
      </c>
      <c r="K171" s="148">
        <f>IF(分析!AC11&lt;&gt;"",分析!AC11,"")</f>
        <v>2738.7044100119174</v>
      </c>
      <c r="L171" s="148">
        <f>IF(分析!K11&lt;&gt;"",分析!K11,"")</f>
        <v>5320</v>
      </c>
      <c r="M171" s="143" t="str">
        <f>IF(分析!P11&lt;&gt;"",分析!P11,"")</f>
        <v>減少↓</v>
      </c>
      <c r="N171" s="149">
        <f>IF(分析!O11&lt;&gt;"",分析!O11,"")</f>
        <v>0.64102564102564108</v>
      </c>
      <c r="O171" s="150">
        <f>IF(分析!X11&lt;&gt;"",分析!X11,"")</f>
        <v>-6.8651761868150061</v>
      </c>
      <c r="P171" s="151">
        <f>IF(分析!L11&lt;&gt;"",分析!L11,"")</f>
        <v>-17.387218045112782</v>
      </c>
      <c r="Q171" s="148">
        <f>IF(分析!S11&lt;&gt;"",分析!S11,"")</f>
        <v>4219</v>
      </c>
      <c r="R171" s="148">
        <f>IF(分析!R11&lt;&gt;"",分析!R11,"")</f>
        <v>4747</v>
      </c>
      <c r="S171" s="143" t="str">
        <f>IF(分析!AA11&lt;&gt;"",分析!AA11,"")</f>
        <v>下落▼</v>
      </c>
      <c r="T171" s="152">
        <f>IF(分析!Z11&lt;&gt;"",分析!Z11,"")</f>
        <v>-1.124859392575928</v>
      </c>
      <c r="U171" s="143" t="str">
        <f>IF(分析!V11&lt;&gt;"",分析!V11,"")</f>
        <v>通常</v>
      </c>
      <c r="V171" s="153">
        <f>IF(分析!W11&lt;&gt;"",分析!W11,"")</f>
        <v>50.260688216892596</v>
      </c>
      <c r="W171" s="154" t="str">
        <f>IF(分析!AD11&lt;&gt;"",分析!AD11,"")</f>
        <v>パーフェクト▲</v>
      </c>
      <c r="X171" s="155" t="str">
        <f>IF(分析!AE11&lt;&gt;"",分析!AE11,"")</f>
        <v>なし</v>
      </c>
      <c r="Y171" s="156">
        <f>IF(分析!T11&lt;&gt;"",分析!T11,"")</f>
        <v>3</v>
      </c>
      <c r="Z171" s="142" t="str">
        <f>IF(分析!Y11&lt;&gt;"",分析!Y11,"")</f>
        <v>様子見</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1594.5</v>
      </c>
      <c r="F172" s="148">
        <f>IF(分析!F45&lt;&gt;"",分析!F45,"")</f>
        <v>1546</v>
      </c>
      <c r="G172" s="148">
        <f>IF(分析!H45&lt;&gt;"",分析!H45,"")</f>
        <v>1599</v>
      </c>
      <c r="H172" s="148">
        <f>IF(分析!I45&lt;&gt;"",分析!I45,"")</f>
        <v>1541.5</v>
      </c>
      <c r="I172" s="148">
        <f>IF(分析!J45&lt;&gt;"",分析!J45,"")</f>
        <v>891700</v>
      </c>
      <c r="J172" s="148">
        <f>IF(分析!AB45&lt;&gt;"",分析!AB45,"")</f>
        <v>477.97586558044804</v>
      </c>
      <c r="K172" s="148">
        <f>IF(分析!AC45&lt;&gt;"",分析!AC45,"")</f>
        <v>482.22133492252669</v>
      </c>
      <c r="L172" s="148">
        <f>IF(分析!K45&lt;&gt;"",分析!K45,"")</f>
        <v>1860</v>
      </c>
      <c r="M172" s="143" t="str">
        <f>IF(分析!P45&lt;&gt;"",分析!P45,"")</f>
        <v>普通→</v>
      </c>
      <c r="N172" s="149">
        <f>IF(分析!O45&lt;&gt;"",分析!O45,"")</f>
        <v>1.4902399893040978</v>
      </c>
      <c r="O172" s="150">
        <f>IF(分析!X45&lt;&gt;"",分析!X45,"")</f>
        <v>4.6187445022476368</v>
      </c>
      <c r="P172" s="151">
        <f>IF(分析!L45&lt;&gt;"",分析!L45,"")</f>
        <v>-14.274193548387096</v>
      </c>
      <c r="Q172" s="148">
        <f>IF(分析!S45&lt;&gt;"",分析!S45,"")</f>
        <v>1531</v>
      </c>
      <c r="R172" s="148">
        <f>IF(分析!R45&lt;&gt;"",分析!R45,"")</f>
        <v>1722</v>
      </c>
      <c r="S172" s="143" t="str">
        <f>IF(分析!AA45&lt;&gt;"",分析!AA45,"")</f>
        <v>上昇▲</v>
      </c>
      <c r="T172" s="152">
        <f>IF(分析!Z45&lt;&gt;"",分析!Z45,"")</f>
        <v>3.1037827352085356</v>
      </c>
      <c r="U172" s="143" t="str">
        <f>IF(分析!V45&lt;&gt;"",分析!V45,"")</f>
        <v>通常</v>
      </c>
      <c r="V172" s="153">
        <f>IF(分析!W45&lt;&gt;"",分析!W45,"")</f>
        <v>50.970873786407765</v>
      </c>
      <c r="W172" s="154" t="str">
        <f>IF(分析!AD45&lt;&gt;"",分析!AD45,"")</f>
        <v>上昇トレンド▲</v>
      </c>
      <c r="X172" s="155" t="str">
        <f>IF(分析!AE45&lt;&gt;"",分析!AE45,"")</f>
        <v>なし</v>
      </c>
      <c r="Y172" s="156">
        <f>IF(分析!T45&lt;&gt;"",分析!T45,"")</f>
        <v>9</v>
      </c>
      <c r="Z172" s="142" t="str">
        <f>IF(分析!Y45&lt;&gt;"",分析!Y45,"")</f>
        <v>△注目</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2365</v>
      </c>
      <c r="F173" s="148">
        <f>IF(分析!F57&lt;&gt;"",分析!F57,"")</f>
        <v>2331</v>
      </c>
      <c r="G173" s="148">
        <f>IF(分析!H57&lt;&gt;"",分析!H57,"")</f>
        <v>2372</v>
      </c>
      <c r="H173" s="148">
        <f>IF(分析!I57&lt;&gt;"",分析!I57,"")</f>
        <v>2331</v>
      </c>
      <c r="I173" s="148">
        <f>IF(分析!J57&lt;&gt;"",分析!J57,"")</f>
        <v>7700</v>
      </c>
      <c r="J173" s="148">
        <f>IF(分析!AB57&lt;&gt;"",分析!AB57,"")</f>
        <v>2359.7892057026475</v>
      </c>
      <c r="K173" s="148">
        <f>IF(分析!AC57&lt;&gt;"",分析!AC57,"")</f>
        <v>2429.8164481525619</v>
      </c>
      <c r="L173" s="148">
        <f>IF(分析!K57&lt;&gt;"",分析!K57,"")</f>
        <v>2730</v>
      </c>
      <c r="M173" s="143" t="str">
        <f>IF(分析!P57&lt;&gt;"",分析!P57,"")</f>
        <v>減少↓</v>
      </c>
      <c r="N173" s="149">
        <f>IF(分析!O57&lt;&gt;"",分析!O57,"")</f>
        <v>0.64381270903010035</v>
      </c>
      <c r="O173" s="150">
        <f>IF(分析!X57&lt;&gt;"",分析!X57,"")</f>
        <v>9.5846226103435583</v>
      </c>
      <c r="P173" s="151">
        <f>IF(分析!L57&lt;&gt;"",分析!L57,"")</f>
        <v>-13.36996336996337</v>
      </c>
      <c r="Q173" s="148">
        <f>IF(分析!S57&lt;&gt;"",分析!S57,"")</f>
        <v>2270</v>
      </c>
      <c r="R173" s="148">
        <f>IF(分析!R57&lt;&gt;"",分析!R57,"")</f>
        <v>2554</v>
      </c>
      <c r="S173" s="143" t="str">
        <f>IF(分析!AA57&lt;&gt;"",分析!AA57,"")</f>
        <v>上昇▲</v>
      </c>
      <c r="T173" s="152">
        <f>IF(分析!Z57&lt;&gt;"",分析!Z57,"")</f>
        <v>1.2414383561643836</v>
      </c>
      <c r="U173" s="143" t="str">
        <f>IF(分析!V57&lt;&gt;"",分析!V57,"")</f>
        <v>通常</v>
      </c>
      <c r="V173" s="153">
        <f>IF(分析!W57&lt;&gt;"",分析!W57,"")</f>
        <v>53.333333333333329</v>
      </c>
      <c r="W173" s="154" t="str">
        <f>IF(分析!AD57&lt;&gt;"",分析!AD57,"")</f>
        <v>もみ合い→</v>
      </c>
      <c r="X173" s="155" t="str">
        <f>IF(分析!AE57&lt;&gt;"",分析!AE57,"")</f>
        <v>5日押し目○</v>
      </c>
      <c r="Y173" s="156">
        <f>IF(分析!T57&lt;&gt;"",分析!T57,"")</f>
        <v>4</v>
      </c>
      <c r="Z173" s="142" t="str">
        <f>IF(分析!Y57&lt;&gt;"",分析!Y57,"")</f>
        <v>様子見</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1300</v>
      </c>
      <c r="F174" s="148">
        <f>IF(分析!F147&lt;&gt;"",分析!F147,"")</f>
        <v>1272</v>
      </c>
      <c r="G174" s="148">
        <f>IF(分析!H147&lt;&gt;"",分析!H147,"")</f>
        <v>1300</v>
      </c>
      <c r="H174" s="148">
        <f>IF(分析!I147&lt;&gt;"",分析!I147,"")</f>
        <v>1271</v>
      </c>
      <c r="I174" s="148">
        <f>IF(分析!J147&lt;&gt;"",分析!J147,"")</f>
        <v>6473400</v>
      </c>
      <c r="J174" s="148">
        <f>IF(分析!AB147&lt;&gt;"",分析!AB147,"")</f>
        <v>644.86252545824834</v>
      </c>
      <c r="K174" s="148">
        <f>IF(分析!AC147&lt;&gt;"",分析!AC147,"")</f>
        <v>201.90584028605477</v>
      </c>
      <c r="L174" s="148">
        <f>IF(分析!K147&lt;&gt;"",分析!K147,"")</f>
        <v>1552.5</v>
      </c>
      <c r="M174" s="143" t="str">
        <f>IF(分析!P147&lt;&gt;"",分析!P147,"")</f>
        <v>減少↓</v>
      </c>
      <c r="N174" s="149">
        <f>IF(分析!O147&lt;&gt;"",分析!O147,"")</f>
        <v>0.90285526198339727</v>
      </c>
      <c r="O174" s="150">
        <f>IF(分析!X147&lt;&gt;"",分析!X147,"")</f>
        <v>6.5022797017986704</v>
      </c>
      <c r="P174" s="151">
        <f>IF(分析!L147&lt;&gt;"",分析!L147,"")</f>
        <v>-16.264090177133657</v>
      </c>
      <c r="Q174" s="148">
        <f>IF(分析!S147&lt;&gt;"",分析!S147,"")</f>
        <v>1248</v>
      </c>
      <c r="R174" s="148">
        <f>IF(分析!R147&lt;&gt;"",分析!R147,"")</f>
        <v>1404</v>
      </c>
      <c r="S174" s="143" t="str">
        <f>IF(分析!AA147&lt;&gt;"",分析!AA147,"")</f>
        <v>上昇▲</v>
      </c>
      <c r="T174" s="152">
        <f>IF(分析!Z147&lt;&gt;"",分析!Z147,"")</f>
        <v>1.3250194855806703</v>
      </c>
      <c r="U174" s="143" t="str">
        <f>IF(分析!V147&lt;&gt;"",分析!V147,"")</f>
        <v>通常</v>
      </c>
      <c r="V174" s="153">
        <f>IF(分析!W147&lt;&gt;"",分析!W147,"")</f>
        <v>50</v>
      </c>
      <c r="W174" s="154" t="str">
        <f>IF(分析!AD147&lt;&gt;"",分析!AD147,"")</f>
        <v>パーフェクト▲</v>
      </c>
      <c r="X174" s="155" t="str">
        <f>IF(分析!AE147&lt;&gt;"",分析!AE147,"")</f>
        <v>なし</v>
      </c>
      <c r="Y174" s="156">
        <f>IF(分析!T147&lt;&gt;"",分析!T147,"")</f>
        <v>9</v>
      </c>
      <c r="Z174" s="142" t="str">
        <f>IF(分析!Y147&lt;&gt;"",分析!Y147,"")</f>
        <v>△注目</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417</v>
      </c>
      <c r="F175" s="133">
        <f>IF(分析!F24&lt;&gt;"",分析!F24,"")</f>
        <v>420</v>
      </c>
      <c r="G175" s="133">
        <f>IF(分析!H24&lt;&gt;"",分析!H24,"")</f>
        <v>420</v>
      </c>
      <c r="H175" s="133">
        <f>IF(分析!I24&lt;&gt;"",分析!I24,"")</f>
        <v>412</v>
      </c>
      <c r="I175" s="133">
        <f>IF(分析!J24&lt;&gt;"",分析!J24,"")</f>
        <v>495800</v>
      </c>
      <c r="J175" s="133">
        <f>IF(分析!AB24&lt;&gt;"",分析!AB24,"")</f>
        <v>6460.0071283095704</v>
      </c>
      <c r="K175" s="133">
        <f>IF(分析!AC24&lt;&gt;"",分析!AC24,"")</f>
        <v>6448.6817640047639</v>
      </c>
      <c r="L175" s="133">
        <f>IF(分析!K24&lt;&gt;"",分析!K24,"")</f>
        <v>710</v>
      </c>
      <c r="M175" s="128" t="str">
        <f>IF(分析!P24&lt;&gt;"",分析!P24,"")</f>
        <v>減少↓</v>
      </c>
      <c r="N175" s="134">
        <f>IF(分析!O24&lt;&gt;"",分析!O24,"")</f>
        <v>0.58850061722533475</v>
      </c>
      <c r="O175" s="135">
        <f>IF(分析!X24&lt;&gt;"",分析!X24,"")</f>
        <v>-5.8037725034726577</v>
      </c>
      <c r="P175" s="136">
        <f>IF(分析!L24&lt;&gt;"",分析!L24,"")</f>
        <v>-41.267605633802816</v>
      </c>
      <c r="Q175" s="133">
        <f>IF(分析!S24&lt;&gt;"",分析!S24,"")</f>
        <v>400</v>
      </c>
      <c r="R175" s="133">
        <f>IF(分析!R24&lt;&gt;"",分析!R24,"")</f>
        <v>450</v>
      </c>
      <c r="S175" s="128" t="str">
        <f>IF(分析!AA24&lt;&gt;"",分析!AA24,"")</f>
        <v>下落▼</v>
      </c>
      <c r="T175" s="137">
        <f>IF(分析!Z24&lt;&gt;"",分析!Z24,"")</f>
        <v>-1.1848341232227488</v>
      </c>
      <c r="U175" s="128" t="str">
        <f>IF(分析!V24&lt;&gt;"",分析!V24,"")</f>
        <v>通常</v>
      </c>
      <c r="V175" s="138">
        <f>IF(分析!W24&lt;&gt;"",分析!W24,"")</f>
        <v>48.54054054054054</v>
      </c>
      <c r="W175" s="139" t="str">
        <f>IF(分析!AD24&lt;&gt;"",分析!AD24,"")</f>
        <v>もみ合い→</v>
      </c>
      <c r="X175" s="140" t="str">
        <f>IF(分析!AE24&lt;&gt;"",分析!AE24,"")</f>
        <v>なし</v>
      </c>
      <c r="Y175" s="141">
        <f>IF(分析!T24&lt;&gt;"",分析!T24,"")</f>
        <v>-1</v>
      </c>
      <c r="Z175" s="142" t="str">
        <f>IF(分析!Y24&lt;&gt;"",分析!Y24,"")</f>
        <v>見送り</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2158.5</v>
      </c>
      <c r="F176" s="133">
        <f>IF(分析!F126&lt;&gt;"",分析!F126,"")</f>
        <v>2234</v>
      </c>
      <c r="G176" s="133">
        <f>IF(分析!H126&lt;&gt;"",分析!H126,"")</f>
        <v>2283</v>
      </c>
      <c r="H176" s="133">
        <f>IF(分析!I126&lt;&gt;"",分析!I126,"")</f>
        <v>2145</v>
      </c>
      <c r="I176" s="133">
        <f>IF(分析!J126&lt;&gt;"",分析!J126,"")</f>
        <v>31968400</v>
      </c>
      <c r="J176" s="133">
        <f>IF(分析!AB126&lt;&gt;"",分析!AB126,"")</f>
        <v>1990.1018329938895</v>
      </c>
      <c r="K176" s="133">
        <f>IF(分析!AC126&lt;&gt;"",分析!AC126,"")</f>
        <v>1884.0786650774724</v>
      </c>
      <c r="L176" s="133">
        <f>IF(分析!K126&lt;&gt;"",分析!K126,"")</f>
        <v>3019</v>
      </c>
      <c r="M176" s="128" t="str">
        <f>IF(分析!P126&lt;&gt;"",分析!P126,"")</f>
        <v>普通→</v>
      </c>
      <c r="N176" s="134">
        <f>IF(分析!O126&lt;&gt;"",分析!O126,"")</f>
        <v>1.0162038103987299</v>
      </c>
      <c r="O176" s="135">
        <f>IF(分析!X126&lt;&gt;"",分析!X126,"")</f>
        <v>141.16815661581222</v>
      </c>
      <c r="P176" s="136">
        <f>IF(分析!L126&lt;&gt;"",分析!L126,"")</f>
        <v>-28.502815501821793</v>
      </c>
      <c r="Q176" s="133">
        <f>IF(分析!S126&lt;&gt;"",分析!S126,"")</f>
        <v>2072</v>
      </c>
      <c r="R176" s="133">
        <f>IF(分析!R126&lt;&gt;"",分析!R126,"")</f>
        <v>2331</v>
      </c>
      <c r="S176" s="128" t="str">
        <f>IF(分析!AA126&lt;&gt;"",分析!AA126,"")</f>
        <v>下落▼</v>
      </c>
      <c r="T176" s="137">
        <f>IF(分析!Z126&lt;&gt;"",分析!Z126,"")</f>
        <v>-8.9816571790006314</v>
      </c>
      <c r="U176" s="128" t="str">
        <f>IF(分析!V126&lt;&gt;"",分析!V126,"")</f>
        <v>通常</v>
      </c>
      <c r="V176" s="138">
        <f>IF(分析!W126&lt;&gt;"",分析!W126,"")</f>
        <v>50</v>
      </c>
      <c r="W176" s="139" t="str">
        <f>IF(分析!AD126&lt;&gt;"",分析!AD126,"")</f>
        <v>パーフェクト▲</v>
      </c>
      <c r="X176" s="140" t="str">
        <f>IF(分析!AE126&lt;&gt;"",分析!AE126,"")</f>
        <v>なし</v>
      </c>
      <c r="Y176" s="141">
        <f>IF(分析!T126&lt;&gt;"",分析!T126,"")</f>
        <v>6</v>
      </c>
      <c r="Z176" s="142" t="str">
        <f>IF(分析!Y126&lt;&gt;"",分析!Y126,"")</f>
        <v>△注目</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114</v>
      </c>
      <c r="F177" s="133">
        <f>IF(分析!F20&lt;&gt;"",分析!F20,"")</f>
        <v>114</v>
      </c>
      <c r="G177" s="133">
        <f>IF(分析!H20&lt;&gt;"",分析!H20,"")</f>
        <v>115</v>
      </c>
      <c r="H177" s="133">
        <f>IF(分析!I20&lt;&gt;"",分析!I20,"")</f>
        <v>112</v>
      </c>
      <c r="I177" s="133">
        <f>IF(分析!J20&lt;&gt;"",分析!J20,"")</f>
        <v>2428600</v>
      </c>
      <c r="J177" s="133">
        <f>IF(分析!AB20&lt;&gt;"",分析!AB20,"")</f>
        <v>4830.3778004073311</v>
      </c>
      <c r="K177" s="133">
        <f>IF(分析!AC20&lt;&gt;"",分析!AC20,"")</f>
        <v>4782.5697258641221</v>
      </c>
      <c r="L177" s="133">
        <f>IF(分析!K20&lt;&gt;"",分析!K20,"")</f>
        <v>155</v>
      </c>
      <c r="M177" s="128" t="str">
        <f>IF(分析!P20&lt;&gt;"",分析!P20,"")</f>
        <v>増加↑</v>
      </c>
      <c r="N177" s="134">
        <f>IF(分析!O20&lt;&gt;"",分析!O20,"")</f>
        <v>1.607897141192516</v>
      </c>
      <c r="O177" s="135">
        <f>IF(分析!X20&lt;&gt;"",分析!X20,"")</f>
        <v>-0.31618100692962514</v>
      </c>
      <c r="P177" s="136">
        <f>IF(分析!L20&lt;&gt;"",分析!L20,"")</f>
        <v>-26.451612903225808</v>
      </c>
      <c r="Q177" s="133">
        <f>IF(分析!S20&lt;&gt;"",分析!S20,"")</f>
        <v>109</v>
      </c>
      <c r="R177" s="133">
        <f>IF(分析!R20&lt;&gt;"",分析!R20,"")</f>
        <v>123</v>
      </c>
      <c r="S177" s="128" t="str">
        <f>IF(分析!AA20&lt;&gt;"",分析!AA20,"")</f>
        <v>横ばい→</v>
      </c>
      <c r="T177" s="137">
        <f>IF(分析!Z20&lt;&gt;"",分析!Z20,"")</f>
        <v>0</v>
      </c>
      <c r="U177" s="128" t="str">
        <f>IF(分析!V20&lt;&gt;"",分析!V20,"")</f>
        <v>通常</v>
      </c>
      <c r="V177" s="138">
        <f>IF(分析!W20&lt;&gt;"",分析!W20,"")</f>
        <v>49.1869918699187</v>
      </c>
      <c r="W177" s="139" t="str">
        <f>IF(分析!AD20&lt;&gt;"",分析!AD20,"")</f>
        <v>もみ合い→</v>
      </c>
      <c r="X177" s="140" t="str">
        <f>IF(分析!AE20&lt;&gt;"",分析!AE20,"")</f>
        <v>なし</v>
      </c>
      <c r="Y177" s="141">
        <f>IF(分析!T20&lt;&gt;"",分析!T20,"")</f>
        <v>7</v>
      </c>
      <c r="Z177" s="142" t="str">
        <f>IF(分析!Y20&lt;&gt;"",分析!Y20,"")</f>
        <v>△注目</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3847</v>
      </c>
      <c r="F178" s="148">
        <f>IF(分析!F29&lt;&gt;"",分析!F29,"")</f>
        <v>3810</v>
      </c>
      <c r="G178" s="148">
        <f>IF(分析!H29&lt;&gt;"",分析!H29,"")</f>
        <v>3880</v>
      </c>
      <c r="H178" s="148">
        <f>IF(分析!I29&lt;&gt;"",分析!I29,"")</f>
        <v>3798</v>
      </c>
      <c r="I178" s="148">
        <f>IF(分析!J29&lt;&gt;"",分析!J29,"")</f>
        <v>2156300</v>
      </c>
      <c r="J178" s="148">
        <f>IF(分析!AB29&lt;&gt;"",分析!AB29,"")</f>
        <v>1662.3625254582482</v>
      </c>
      <c r="K178" s="148">
        <f>IF(分析!AC29&lt;&gt;"",分析!AC29,"")</f>
        <v>1665.0333730631698</v>
      </c>
      <c r="L178" s="148">
        <f>IF(分析!K29&lt;&gt;"",分析!K29,"")</f>
        <v>4830</v>
      </c>
      <c r="M178" s="143" t="str">
        <f>IF(分析!P29&lt;&gt;"",分析!P29,"")</f>
        <v>減少↓</v>
      </c>
      <c r="N178" s="149">
        <f>IF(分析!O29&lt;&gt;"",分析!O29,"")</f>
        <v>0.6305892674367598</v>
      </c>
      <c r="O178" s="150">
        <f>IF(分析!X29&lt;&gt;"",分析!X29,"")</f>
        <v>38.584168859133115</v>
      </c>
      <c r="P178" s="151">
        <f>IF(分析!L29&lt;&gt;"",分析!L29,"")</f>
        <v>-20.351966873706004</v>
      </c>
      <c r="Q178" s="148">
        <f>IF(分析!S29&lt;&gt;"",分析!S29,"")</f>
        <v>3693</v>
      </c>
      <c r="R178" s="148">
        <f>IF(分析!R29&lt;&gt;"",分析!R29,"")</f>
        <v>4155</v>
      </c>
      <c r="S178" s="143" t="str">
        <f>IF(分析!AA29&lt;&gt;"",分析!AA29,"")</f>
        <v>上昇▲</v>
      </c>
      <c r="T178" s="152">
        <f>IF(分析!Z29&lt;&gt;"",分析!Z29,"")</f>
        <v>0.44386422976501305</v>
      </c>
      <c r="U178" s="143" t="str">
        <f>IF(分析!V29&lt;&gt;"",分析!V29,"")</f>
        <v>通常</v>
      </c>
      <c r="V178" s="153">
        <f>IF(分析!W29&lt;&gt;"",分析!W29,"")</f>
        <v>56.378986866791742</v>
      </c>
      <c r="W178" s="154" t="str">
        <f>IF(分析!AD29&lt;&gt;"",分析!AD29,"")</f>
        <v>上昇トレンド▲</v>
      </c>
      <c r="X178" s="155" t="str">
        <f>IF(分析!AE29&lt;&gt;"",分析!AE29,"")</f>
        <v>なし</v>
      </c>
      <c r="Y178" s="156">
        <f>IF(分析!T29&lt;&gt;"",分析!T29,"")</f>
        <v>8</v>
      </c>
      <c r="Z178" s="142" t="str">
        <f>IF(分析!Y29&lt;&gt;"",分析!Y29,"")</f>
        <v>△注目</v>
      </c>
    </row>
    <row r="179" spans="1:26" ht="21.9" customHeight="1">
      <c r="A179" s="114" t="str">
        <f>"◆"</f>
        <v>◆</v>
      </c>
      <c r="B179" s="115" t="str">
        <f>IF(分析!C3&lt;&gt;"",HYPERLINK("https://kabutan.jp/stock/?code="&amp;分析!C3,"株探"),"")</f>
        <v>株探</v>
      </c>
      <c r="C179" s="116" t="str">
        <f>IF(分析!C3&lt;&gt;"",分析!C3,"")</f>
        <v>TOPX</v>
      </c>
      <c r="D179" s="117">
        <f>IF(分析!D3&lt;&gt;"",分析!D3,"")</f>
        <v>4055.85</v>
      </c>
      <c r="E179" s="118">
        <f>IF(分析!E3&lt;&gt;"",分析!E3,"")</f>
        <v>4055.85</v>
      </c>
      <c r="F179" s="118">
        <f>IF(分析!F3&lt;&gt;"",分析!F3,"")</f>
        <v>4041.15</v>
      </c>
      <c r="G179" s="118">
        <f>IF(分析!H3&lt;&gt;"",分析!H3,"")</f>
        <v>4065.66</v>
      </c>
      <c r="H179" s="118">
        <f>IF(分析!I3&lt;&gt;"",分析!I3,"")</f>
        <v>4026.39</v>
      </c>
      <c r="I179" s="118">
        <f>IF(分析!J3&lt;&gt;"",分析!J3,"")</f>
        <v>299730</v>
      </c>
      <c r="J179" s="118">
        <f>IF(分析!AB3&lt;&gt;"",分析!AB3,"")</f>
        <v>4017.1871486761702</v>
      </c>
      <c r="K179" s="118">
        <f>IF(分析!AC3&lt;&gt;"",分析!AC3,"")</f>
        <v>4010.8483432657908</v>
      </c>
      <c r="L179" s="118">
        <f>IF(分析!K3&lt;&gt;"",分析!K3,"")</f>
        <v>4137.62</v>
      </c>
      <c r="M179" s="119" t="str">
        <f>IF(分析!P3&lt;&gt;"",分析!P3,"")</f>
        <v>減少↓</v>
      </c>
      <c r="N179" s="120">
        <f>IF(分析!O3&lt;&gt;"",分析!O3,"")</f>
        <v>0.98836471195366327</v>
      </c>
      <c r="O179" s="121" t="str">
        <f>IF(分析!X3&lt;&gt;"",分析!X3,"")</f>
        <v/>
      </c>
      <c r="P179" s="122">
        <f>IF(分析!L3&lt;&gt;"",分析!L3,"")</f>
        <v>-1.9762568819756281</v>
      </c>
      <c r="Q179" s="118">
        <f>IF(分析!S3&lt;&gt;"",分析!S3,"")</f>
        <v>3853</v>
      </c>
      <c r="R179" s="118">
        <f>IF(分析!R3&lt;&gt;"",分析!R3,"")</f>
        <v>4259</v>
      </c>
      <c r="S179" s="119" t="str">
        <f>IF(分析!AA3&lt;&gt;"",分析!AA3,"")</f>
        <v/>
      </c>
      <c r="T179" s="123" t="str">
        <f>IF(分析!Z3&lt;&gt;"",分析!Z3,"")</f>
        <v/>
      </c>
      <c r="U179" s="119" t="str">
        <f>IF(分析!V3&lt;&gt;"",分析!V3,"")</f>
        <v>高値圏</v>
      </c>
      <c r="V179" s="124" t="str">
        <f>IF(分析!W3&lt;&gt;"",分析!W3,"")</f>
        <v/>
      </c>
      <c r="W179" s="119" t="str">
        <f>IF(分析!AD3&lt;&gt;"",分析!AD3,"")</f>
        <v>パーフェクト▲</v>
      </c>
      <c r="X179" s="125" t="str">
        <f>IF(分析!AE3&lt;&gt;"",分析!AE3,"")</f>
        <v>25日押し目★</v>
      </c>
      <c r="Y179" s="126">
        <f>IF(分析!T3&lt;&gt;"",分析!T3,"")</f>
        <v>8</v>
      </c>
      <c r="Z179" s="127" t="str">
        <f>IF(分析!Y3&lt;&gt;"",分析!Y3,"")</f>
        <v>△注目</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4165</v>
      </c>
      <c r="F180" s="133">
        <f>IF(分析!F106&lt;&gt;"",分析!F106,"")</f>
        <v>4293</v>
      </c>
      <c r="G180" s="133">
        <f>IF(分析!H106&lt;&gt;"",分析!H106,"")</f>
        <v>4348</v>
      </c>
      <c r="H180" s="133">
        <f>IF(分析!I106&lt;&gt;"",分析!I106,"")</f>
        <v>4069</v>
      </c>
      <c r="I180" s="133">
        <f>IF(分析!J106&lt;&gt;"",分析!J106,"")</f>
        <v>1988400</v>
      </c>
      <c r="J180" s="133">
        <f>IF(分析!AB106&lt;&gt;"",分析!AB106,"")</f>
        <v>4423.1425661914454</v>
      </c>
      <c r="K180" s="133">
        <f>IF(分析!AC106&lt;&gt;"",分析!AC106,"")</f>
        <v>4413.1275327771136</v>
      </c>
      <c r="L180" s="133">
        <f>IF(分析!K106&lt;&gt;"",分析!K106,"")</f>
        <v>5199</v>
      </c>
      <c r="M180" s="128" t="str">
        <f>IF(分析!P106&lt;&gt;"",分析!P106,"")</f>
        <v>減少↓</v>
      </c>
      <c r="N180" s="134">
        <f>IF(分析!O106&lt;&gt;"",分析!O106,"")</f>
        <v>0.5882248531212837</v>
      </c>
      <c r="O180" s="135">
        <f>IF(分析!X106&lt;&gt;"",分析!X106,"")</f>
        <v>-73.840530331674927</v>
      </c>
      <c r="P180" s="136">
        <f>IF(分析!L106&lt;&gt;"",分析!L106,"")</f>
        <v>-19.888440084631657</v>
      </c>
      <c r="Q180" s="133">
        <f>IF(分析!S106&lt;&gt;"",分析!S106,"")</f>
        <v>3998</v>
      </c>
      <c r="R180" s="133">
        <f>IF(分析!R106&lt;&gt;"",分析!R106,"")</f>
        <v>4498</v>
      </c>
      <c r="S180" s="128" t="str">
        <f>IF(分析!AA106&lt;&gt;"",分析!AA106,"")</f>
        <v>下落▼</v>
      </c>
      <c r="T180" s="137">
        <f>IF(分析!Z106&lt;&gt;"",分析!Z106,"")</f>
        <v>-7.4032903512672306</v>
      </c>
      <c r="U180" s="128" t="str">
        <f>IF(分析!V106&lt;&gt;"",分析!V106,"")</f>
        <v>通常</v>
      </c>
      <c r="V180" s="138">
        <f>IF(分析!W106&lt;&gt;"",分析!W106,"")</f>
        <v>43.483275663206463</v>
      </c>
      <c r="W180" s="139" t="str">
        <f>IF(分析!AD106&lt;&gt;"",分析!AD106,"")</f>
        <v>もみ合い→</v>
      </c>
      <c r="X180" s="140" t="str">
        <f>IF(分析!AE106&lt;&gt;"",分析!AE106,"")</f>
        <v>なし</v>
      </c>
      <c r="Y180" s="141">
        <f>IF(分析!T106&lt;&gt;"",分析!T106,"")</f>
        <v>-1</v>
      </c>
      <c r="Z180" s="142" t="str">
        <f>IF(分析!Y106&lt;&gt;"",分析!Y106,"")</f>
        <v>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551</v>
      </c>
      <c r="F181" s="133">
        <f>IF(分析!F162&lt;&gt;"",分析!F162,"")</f>
        <v>565</v>
      </c>
      <c r="G181" s="133">
        <f>IF(分析!H162&lt;&gt;"",分析!H162,"")</f>
        <v>565</v>
      </c>
      <c r="H181" s="133">
        <f>IF(分析!I162&lt;&gt;"",分析!I162,"")</f>
        <v>543</v>
      </c>
      <c r="I181" s="133">
        <f>IF(分析!J162&lt;&gt;"",分析!J162,"")</f>
        <v>20600</v>
      </c>
      <c r="J181" s="133">
        <f>IF(分析!AB162&lt;&gt;"",分析!AB162,"")</f>
        <v>1305.2393075356413</v>
      </c>
      <c r="K181" s="133">
        <f>IF(分析!AC162&lt;&gt;"",分析!AC162,"")</f>
        <v>1272.3110846245527</v>
      </c>
      <c r="L181" s="133">
        <f>IF(分析!K162&lt;&gt;"",分析!K162,"")</f>
        <v>1630</v>
      </c>
      <c r="M181" s="128" t="str">
        <f>IF(分析!P162&lt;&gt;"",分析!P162,"")</f>
        <v>減少↓</v>
      </c>
      <c r="N181" s="134">
        <f>IF(分析!O162&lt;&gt;"",分析!O162,"")</f>
        <v>0.35443909153475567</v>
      </c>
      <c r="O181" s="135">
        <f>IF(分析!X162&lt;&gt;"",分析!X162,"")</f>
        <v>-2.6833015574809451</v>
      </c>
      <c r="P181" s="136">
        <f>IF(分析!L162&lt;&gt;"",分析!L162,"")</f>
        <v>-66.196319018404907</v>
      </c>
      <c r="Q181" s="133">
        <f>IF(分析!S162&lt;&gt;"",分析!S162,"")</f>
        <v>529</v>
      </c>
      <c r="R181" s="133">
        <f>IF(分析!R162&lt;&gt;"",分析!R162,"")</f>
        <v>595</v>
      </c>
      <c r="S181" s="128" t="str">
        <f>IF(分析!AA162&lt;&gt;"",分析!AA162,"")</f>
        <v>下落▼</v>
      </c>
      <c r="T181" s="137">
        <f>IF(分析!Z162&lt;&gt;"",分析!Z162,"")</f>
        <v>-0.72072072072072069</v>
      </c>
      <c r="U181" s="128" t="str">
        <f>IF(分析!V162&lt;&gt;"",分析!V162,"")</f>
        <v>通常</v>
      </c>
      <c r="V181" s="138">
        <f>IF(分析!W162&lt;&gt;"",分析!W162,"")</f>
        <v>47.596153846153847</v>
      </c>
      <c r="W181" s="139" t="str">
        <f>IF(分析!AD162&lt;&gt;"",分析!AD162,"")</f>
        <v>もみ合い→</v>
      </c>
      <c r="X181" s="140" t="str">
        <f>IF(分析!AE162&lt;&gt;"",分析!AE162,"")</f>
        <v>なし</v>
      </c>
      <c r="Y181" s="141">
        <f>IF(分析!T162&lt;&gt;"",分析!T162,"")</f>
        <v>0</v>
      </c>
      <c r="Z181" s="142" t="str">
        <f>IF(分析!Y162&lt;&gt;"",分析!Y162,"")</f>
        <v>見送り</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2448</v>
      </c>
      <c r="F182" s="148">
        <f>IF(分析!F31&lt;&gt;"",分析!F31,"")</f>
        <v>2434</v>
      </c>
      <c r="G182" s="148">
        <f>IF(分析!H31&lt;&gt;"",分析!H31,"")</f>
        <v>2470</v>
      </c>
      <c r="H182" s="148">
        <f>IF(分析!I31&lt;&gt;"",分析!I31,"")</f>
        <v>2417</v>
      </c>
      <c r="I182" s="148">
        <f>IF(分析!J31&lt;&gt;"",分析!J31,"")</f>
        <v>118900</v>
      </c>
      <c r="J182" s="148">
        <f>IF(分析!AB31&lt;&gt;"",分析!AB31,"")</f>
        <v>1810.5809572301418</v>
      </c>
      <c r="K182" s="148">
        <f>IF(分析!AC31&lt;&gt;"",分析!AC31,"")</f>
        <v>1808.5524433849816</v>
      </c>
      <c r="L182" s="148">
        <f>IF(分析!K31&lt;&gt;"",分析!K31,"")</f>
        <v>2885</v>
      </c>
      <c r="M182" s="143" t="str">
        <f>IF(分析!P31&lt;&gt;"",分析!P31,"")</f>
        <v>普通→</v>
      </c>
      <c r="N182" s="149">
        <f>IF(分析!O31&lt;&gt;"",分析!O31,"")</f>
        <v>1.1132958801498127</v>
      </c>
      <c r="O182" s="150">
        <f>IF(分析!X31&lt;&gt;"",分析!X31,"")</f>
        <v>-4.7389159326371555</v>
      </c>
      <c r="P182" s="151">
        <f>IF(分析!L31&lt;&gt;"",分析!L31,"")</f>
        <v>-15.147313691507799</v>
      </c>
      <c r="Q182" s="148">
        <f>IF(分析!S31&lt;&gt;"",分析!S31,"")</f>
        <v>2350</v>
      </c>
      <c r="R182" s="148">
        <f>IF(分析!R31&lt;&gt;"",分析!R31,"")</f>
        <v>2644</v>
      </c>
      <c r="S182" s="143" t="str">
        <f>IF(分析!AA31&lt;&gt;"",分析!AA31,"")</f>
        <v>上昇▲</v>
      </c>
      <c r="T182" s="152">
        <f>IF(分析!Z31&lt;&gt;"",分析!Z31,"")</f>
        <v>0.57518488085456043</v>
      </c>
      <c r="U182" s="143" t="str">
        <f>IF(分析!V31&lt;&gt;"",分析!V31,"")</f>
        <v>通常</v>
      </c>
      <c r="V182" s="153">
        <f>IF(分析!W31&lt;&gt;"",分析!W31,"")</f>
        <v>38.975501113585743</v>
      </c>
      <c r="W182" s="154" t="str">
        <f>IF(分析!AD31&lt;&gt;"",分析!AD31,"")</f>
        <v>パーフェクト▲</v>
      </c>
      <c r="X182" s="155" t="str">
        <f>IF(分析!AE31&lt;&gt;"",分析!AE31,"")</f>
        <v>なし</v>
      </c>
      <c r="Y182" s="156">
        <f>IF(分析!T31&lt;&gt;"",分析!T31,"")</f>
        <v>8</v>
      </c>
      <c r="Z182" s="142" t="str">
        <f>IF(分析!Y31&lt;&gt;"",分析!Y31,"")</f>
        <v>△注目</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2284</v>
      </c>
      <c r="F183" s="133">
        <f>IF(分析!F10&lt;&gt;"",分析!F10,"")</f>
        <v>2285</v>
      </c>
      <c r="G183" s="133">
        <f>IF(分析!H10&lt;&gt;"",分析!H10,"")</f>
        <v>2300</v>
      </c>
      <c r="H183" s="133">
        <f>IF(分析!I10&lt;&gt;"",分析!I10,"")</f>
        <v>2283</v>
      </c>
      <c r="I183" s="133">
        <f>IF(分析!J10&lt;&gt;"",分析!J10,"")</f>
        <v>6800</v>
      </c>
      <c r="J183" s="133">
        <f>IF(分析!AB10&lt;&gt;"",分析!AB10,"")</f>
        <v>3486.5600814663944</v>
      </c>
      <c r="K183" s="133">
        <f>IF(分析!AC10&lt;&gt;"",分析!AC10,"")</f>
        <v>3516.251489868891</v>
      </c>
      <c r="L183" s="133">
        <f>IF(分析!K10&lt;&gt;"",分析!K10,"")</f>
        <v>2877</v>
      </c>
      <c r="M183" s="128" t="str">
        <f>IF(分析!P10&lt;&gt;"",分析!P10,"")</f>
        <v>減少↓</v>
      </c>
      <c r="N183" s="134">
        <f>IF(分析!O10&lt;&gt;"",分析!O10,"")</f>
        <v>0.38592508513053347</v>
      </c>
      <c r="O183" s="135">
        <f>IF(分析!X10&lt;&gt;"",分析!X10,"")</f>
        <v>-8.2958318573150791</v>
      </c>
      <c r="P183" s="136">
        <f>IF(分析!L10&lt;&gt;"",分析!L10,"")</f>
        <v>-20.611748348974626</v>
      </c>
      <c r="Q183" s="133">
        <f>IF(分析!S10&lt;&gt;"",分析!S10,"")</f>
        <v>2193</v>
      </c>
      <c r="R183" s="133">
        <f>IF(分析!R10&lt;&gt;"",分析!R10,"")</f>
        <v>2467</v>
      </c>
      <c r="S183" s="128" t="str">
        <f>IF(分析!AA10&lt;&gt;"",分析!AA10,"")</f>
        <v>上昇▲</v>
      </c>
      <c r="T183" s="137">
        <f>IF(分析!Z10&lt;&gt;"",分析!Z10,"")</f>
        <v>8.7642418930762495E-2</v>
      </c>
      <c r="U183" s="128" t="str">
        <f>IF(分析!V10&lt;&gt;"",分析!V10,"")</f>
        <v>通常</v>
      </c>
      <c r="V183" s="138">
        <f>IF(分析!W10&lt;&gt;"",分析!W10,"")</f>
        <v>37.454545454545453</v>
      </c>
      <c r="W183" s="139" t="str">
        <f>IF(分析!AD10&lt;&gt;"",分析!AD10,"")</f>
        <v>下降トレンド▼</v>
      </c>
      <c r="X183" s="140" t="str">
        <f>IF(分析!AE10&lt;&gt;"",分析!AE10,"")</f>
        <v>なし</v>
      </c>
      <c r="Y183" s="141">
        <f>IF(分析!T10&lt;&gt;"",分析!T10,"")</f>
        <v>2</v>
      </c>
      <c r="Z183" s="142" t="str">
        <f>IF(分析!Y10&lt;&gt;"",分析!Y10,"")</f>
        <v>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1205</v>
      </c>
      <c r="F184" s="133">
        <f>IF(分析!F16&lt;&gt;"",分析!F16,"")</f>
        <v>1178.5</v>
      </c>
      <c r="G184" s="133">
        <f>IF(分析!H16&lt;&gt;"",分析!H16,"")</f>
        <v>1211.5</v>
      </c>
      <c r="H184" s="133">
        <f>IF(分析!I16&lt;&gt;"",分析!I16,"")</f>
        <v>1174.5</v>
      </c>
      <c r="I184" s="133">
        <f>IF(分析!J16&lt;&gt;"",分析!J16,"")</f>
        <v>3154500</v>
      </c>
      <c r="J184" s="133">
        <f>IF(分析!AB16&lt;&gt;"",分析!AB16,"")</f>
        <v>1700.2138492871688</v>
      </c>
      <c r="K184" s="133">
        <f>IF(分析!AC16&lt;&gt;"",分析!AC16,"")</f>
        <v>1640.8998808104875</v>
      </c>
      <c r="L184" s="133">
        <f>IF(分析!K16&lt;&gt;"",分析!K16,"")</f>
        <v>1323</v>
      </c>
      <c r="M184" s="128" t="str">
        <f>IF(分析!P16&lt;&gt;"",分析!P16,"")</f>
        <v>減少↓</v>
      </c>
      <c r="N184" s="134">
        <f>IF(分析!O16&lt;&gt;"",分析!O16,"")</f>
        <v>0.93223043778924408</v>
      </c>
      <c r="O184" s="135">
        <f>IF(分析!X16&lt;&gt;"",分析!X16,"")</f>
        <v>12.64561035508018</v>
      </c>
      <c r="P184" s="136">
        <f>IF(分析!L16&lt;&gt;"",分析!L16,"")</f>
        <v>-8.9191232048374918</v>
      </c>
      <c r="Q184" s="133">
        <f>IF(分析!S16&lt;&gt;"",分析!S16,"")</f>
        <v>1157</v>
      </c>
      <c r="R184" s="133">
        <f>IF(分析!R16&lt;&gt;"",分析!R16,"")</f>
        <v>1301</v>
      </c>
      <c r="S184" s="128" t="str">
        <f>IF(分析!AA16&lt;&gt;"",分析!AA16,"")</f>
        <v>上昇▲</v>
      </c>
      <c r="T184" s="137">
        <f>IF(分析!Z16&lt;&gt;"",分析!Z16,"")</f>
        <v>1.8166455428812844</v>
      </c>
      <c r="U184" s="128" t="str">
        <f>IF(分析!V16&lt;&gt;"",分析!V16,"")</f>
        <v>通常</v>
      </c>
      <c r="V184" s="138">
        <f>IF(分析!W16&lt;&gt;"",分析!W16,"")</f>
        <v>69.178082191780817</v>
      </c>
      <c r="W184" s="139" t="str">
        <f>IF(分析!AD16&lt;&gt;"",分析!AD16,"")</f>
        <v>もみ合い→</v>
      </c>
      <c r="X184" s="140" t="str">
        <f>IF(分析!AE16&lt;&gt;"",分析!AE16,"")</f>
        <v>なし</v>
      </c>
      <c r="Y184" s="141">
        <f>IF(分析!T16&lt;&gt;"",分析!T16,"")</f>
        <v>5</v>
      </c>
      <c r="Z184" s="142" t="str">
        <f>IF(分析!Y16&lt;&gt;"",分析!Y16,"")</f>
        <v>様子見</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1258.5</v>
      </c>
      <c r="F185" s="133">
        <f>IF(分析!F148&lt;&gt;"",分析!F148,"")</f>
        <v>1230</v>
      </c>
      <c r="G185" s="133">
        <f>IF(分析!H148&lt;&gt;"",分析!H148,"")</f>
        <v>1265</v>
      </c>
      <c r="H185" s="133">
        <f>IF(分析!I148&lt;&gt;"",分析!I148,"")</f>
        <v>1228</v>
      </c>
      <c r="I185" s="133">
        <f>IF(分析!J148&lt;&gt;"",分析!J148,"")</f>
        <v>3226200</v>
      </c>
      <c r="J185" s="133">
        <f>IF(分析!AB148&lt;&gt;"",分析!AB148,"")</f>
        <v>4754.8513238289179</v>
      </c>
      <c r="K185" s="133">
        <f>IF(分析!AC148&lt;&gt;"",分析!AC148,"")</f>
        <v>4952.6019070321809</v>
      </c>
      <c r="L185" s="133">
        <f>IF(分析!K148&lt;&gt;"",分析!K148,"")</f>
        <v>1671</v>
      </c>
      <c r="M185" s="128" t="str">
        <f>IF(分析!P148&lt;&gt;"",分析!P148,"")</f>
        <v>減少↓</v>
      </c>
      <c r="N185" s="134">
        <f>IF(分析!O148&lt;&gt;"",分析!O148,"")</f>
        <v>0.90135949889083222</v>
      </c>
      <c r="O185" s="135">
        <f>IF(分析!X148&lt;&gt;"",分析!X148,"")</f>
        <v>3.7276706641882811</v>
      </c>
      <c r="P185" s="136">
        <f>IF(分析!L148&lt;&gt;"",分析!L148,"")</f>
        <v>-24.685816876122082</v>
      </c>
      <c r="Q185" s="133">
        <f>IF(分析!S148&lt;&gt;"",分析!S148,"")</f>
        <v>1208</v>
      </c>
      <c r="R185" s="133">
        <f>IF(分析!R148&lt;&gt;"",分析!R148,"")</f>
        <v>1359</v>
      </c>
      <c r="S185" s="128" t="str">
        <f>IF(分析!AA148&lt;&gt;"",分析!AA148,"")</f>
        <v>上昇▲</v>
      </c>
      <c r="T185" s="137">
        <f>IF(分析!Z148&lt;&gt;"",分析!Z148,"")</f>
        <v>1.4101531023368252</v>
      </c>
      <c r="U185" s="128" t="str">
        <f>IF(分析!V148&lt;&gt;"",分析!V148,"")</f>
        <v>通常</v>
      </c>
      <c r="V185" s="138">
        <f>IF(分析!W148&lt;&gt;"",分析!W148,"")</f>
        <v>42.495126705653021</v>
      </c>
      <c r="W185" s="139" t="str">
        <f>IF(分析!AD148&lt;&gt;"",分析!AD148,"")</f>
        <v>下降トレンド▼</v>
      </c>
      <c r="X185" s="140" t="str">
        <f>IF(分析!AE148&lt;&gt;"",分析!AE148,"")</f>
        <v>なし</v>
      </c>
      <c r="Y185" s="141">
        <f>IF(分析!T148&lt;&gt;"",分析!T148,"")</f>
        <v>6</v>
      </c>
      <c r="Z185" s="142" t="str">
        <f>IF(分析!Y148&lt;&gt;"",分析!Y148,"")</f>
        <v>△注目</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4588</v>
      </c>
      <c r="F186" s="133">
        <f>IF(分析!F202&lt;&gt;"",分析!F202,"")</f>
        <v>4533</v>
      </c>
      <c r="G186" s="133">
        <f>IF(分析!H202&lt;&gt;"",分析!H202,"")</f>
        <v>4607</v>
      </c>
      <c r="H186" s="133">
        <f>IF(分析!I202&lt;&gt;"",分析!I202,"")</f>
        <v>4517</v>
      </c>
      <c r="I186" s="133">
        <f>IF(分析!J202&lt;&gt;"",分析!J202,"")</f>
        <v>2432300</v>
      </c>
      <c r="J186" s="133">
        <f>IF(分析!AB202&lt;&gt;"",分析!AB202,"")</f>
        <v>7078.5621181262713</v>
      </c>
      <c r="K186" s="133">
        <f>IF(分析!AC202&lt;&gt;"",分析!AC202,"")</f>
        <v>6623.021454112034</v>
      </c>
      <c r="L186" s="133">
        <f>IF(分析!K202&lt;&gt;"",分析!K202,"")</f>
        <v>5805</v>
      </c>
      <c r="M186" s="128" t="str">
        <f>IF(分析!P202&lt;&gt;"",分析!P202,"")</f>
        <v>普通→</v>
      </c>
      <c r="N186" s="134">
        <f>IF(分析!O202&lt;&gt;"",分析!O202,"")</f>
        <v>1.0414293910615959</v>
      </c>
      <c r="O186" s="135">
        <f>IF(分析!X202&lt;&gt;"",分析!X202,"")</f>
        <v>10.154764984737085</v>
      </c>
      <c r="P186" s="136">
        <f>IF(分析!L202&lt;&gt;"",分析!L202,"")</f>
        <v>-20.964685615848406</v>
      </c>
      <c r="Q186" s="133">
        <f>IF(分析!S202&lt;&gt;"",分析!S202,"")</f>
        <v>4404</v>
      </c>
      <c r="R186" s="133">
        <f>IF(分析!R202&lt;&gt;"",分析!R202,"")</f>
        <v>4955</v>
      </c>
      <c r="S186" s="128" t="str">
        <f>IF(分析!AA202&lt;&gt;"",分析!AA202,"")</f>
        <v>上昇▲</v>
      </c>
      <c r="T186" s="137">
        <f>IF(分析!Z202&lt;&gt;"",分析!Z202,"")</f>
        <v>1.661865721249723</v>
      </c>
      <c r="U186" s="128" t="str">
        <f>IF(分析!V202&lt;&gt;"",分析!V202,"")</f>
        <v>通常</v>
      </c>
      <c r="V186" s="138">
        <f>IF(分析!W202&lt;&gt;"",分析!W202,"")</f>
        <v>45.095828635851184</v>
      </c>
      <c r="W186" s="139" t="str">
        <f>IF(分析!AD202&lt;&gt;"",分析!AD202,"")</f>
        <v>もみ合い→</v>
      </c>
      <c r="X186" s="140" t="str">
        <f>IF(分析!AE202&lt;&gt;"",分析!AE202,"")</f>
        <v>なし</v>
      </c>
      <c r="Y186" s="141">
        <f>IF(分析!T202&lt;&gt;"",分析!T202,"")</f>
        <v>5</v>
      </c>
      <c r="Z186" s="142" t="str">
        <f>IF(分析!Y202&lt;&gt;"",分析!Y202,"")</f>
        <v>様子見</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7817</v>
      </c>
      <c r="F187" s="148">
        <f>IF(分析!F35&lt;&gt;"",分析!F35,"")</f>
        <v>7715</v>
      </c>
      <c r="G187" s="148">
        <f>IF(分析!H35&lt;&gt;"",分析!H35,"")</f>
        <v>7838</v>
      </c>
      <c r="H187" s="148">
        <f>IF(分析!I35&lt;&gt;"",分析!I35,"")</f>
        <v>7700</v>
      </c>
      <c r="I187" s="148">
        <f>IF(分析!J35&lt;&gt;"",分析!J35,"")</f>
        <v>3609900</v>
      </c>
      <c r="J187" s="148">
        <f>IF(分析!AB35&lt;&gt;"",分析!AB35,"")</f>
        <v>1564.3518329938895</v>
      </c>
      <c r="K187" s="148">
        <f>IF(分析!AC35&lt;&gt;"",分析!AC35,"")</f>
        <v>1555.7407628128722</v>
      </c>
      <c r="L187" s="148">
        <f>IF(分析!K35&lt;&gt;"",分析!K35,"")</f>
        <v>8468</v>
      </c>
      <c r="M187" s="143" t="str">
        <f>IF(分析!P35&lt;&gt;"",分析!P35,"")</f>
        <v>減少↓</v>
      </c>
      <c r="N187" s="149">
        <f>IF(分析!O35&lt;&gt;"",分析!O35,"")</f>
        <v>0.85777220170798818</v>
      </c>
      <c r="O187" s="150">
        <f>IF(分析!X35&lt;&gt;"",分析!X35,"")</f>
        <v>40.149513013505384</v>
      </c>
      <c r="P187" s="151">
        <f>IF(分析!L35&lt;&gt;"",分析!L35,"")</f>
        <v>-7.687765706188002</v>
      </c>
      <c r="Q187" s="148">
        <f>IF(分析!S35&lt;&gt;"",分析!S35,"")</f>
        <v>7504</v>
      </c>
      <c r="R187" s="148">
        <f>IF(分析!R35&lt;&gt;"",分析!R35,"")</f>
        <v>8442</v>
      </c>
      <c r="S187" s="143" t="str">
        <f>IF(分析!AA35&lt;&gt;"",分析!AA35,"")</f>
        <v>上昇▲</v>
      </c>
      <c r="T187" s="152">
        <f>IF(分析!Z35&lt;&gt;"",分析!Z35,"")</f>
        <v>0.96874192715060703</v>
      </c>
      <c r="U187" s="143" t="str">
        <f>IF(分析!V35&lt;&gt;"",分析!V35,"")</f>
        <v>通常</v>
      </c>
      <c r="V187" s="153">
        <f>IF(分析!W35&lt;&gt;"",分析!W35,"")</f>
        <v>49.199573105656356</v>
      </c>
      <c r="W187" s="154" t="str">
        <f>IF(分析!AD35&lt;&gt;"",分析!AD35,"")</f>
        <v>パーフェクト▲</v>
      </c>
      <c r="X187" s="155" t="str">
        <f>IF(分析!AE35&lt;&gt;"",分析!AE35,"")</f>
        <v>なし</v>
      </c>
      <c r="Y187" s="156">
        <f>IF(分析!T35&lt;&gt;"",分析!T35,"")</f>
        <v>9</v>
      </c>
      <c r="Z187" s="142" t="str">
        <f>IF(分析!Y35&lt;&gt;"",分析!Y35,"")</f>
        <v>△注目</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2594</v>
      </c>
      <c r="F188" s="148">
        <f>IF(分析!F49&lt;&gt;"",分析!F49,"")</f>
        <v>2565</v>
      </c>
      <c r="G188" s="148">
        <f>IF(分析!H49&lt;&gt;"",分析!H49,"")</f>
        <v>2613</v>
      </c>
      <c r="H188" s="148">
        <f>IF(分析!I49&lt;&gt;"",分析!I49,"")</f>
        <v>2556</v>
      </c>
      <c r="I188" s="148">
        <f>IF(分析!J49&lt;&gt;"",分析!J49,"")</f>
        <v>1183300</v>
      </c>
      <c r="J188" s="148">
        <f>IF(分析!AB49&lt;&gt;"",分析!AB49,"")</f>
        <v>2660.4287169042759</v>
      </c>
      <c r="K188" s="148">
        <f>IF(分析!AC49&lt;&gt;"",分析!AC49,"")</f>
        <v>2608.2562574493436</v>
      </c>
      <c r="L188" s="148">
        <f>IF(分析!K49&lt;&gt;"",分析!K49,"")</f>
        <v>2661</v>
      </c>
      <c r="M188" s="143" t="str">
        <f>IF(分析!P49&lt;&gt;"",分析!P49,"")</f>
        <v>普通→</v>
      </c>
      <c r="N188" s="149">
        <f>IF(分析!O49&lt;&gt;"",分析!O49,"")</f>
        <v>1.0559710150100841</v>
      </c>
      <c r="O188" s="150">
        <f>IF(分析!X49&lt;&gt;"",分析!X49,"")</f>
        <v>8.2172642384343817</v>
      </c>
      <c r="P188" s="151">
        <f>IF(分析!L49&lt;&gt;"",分析!L49,"")</f>
        <v>-2.5178504321683577</v>
      </c>
      <c r="Q188" s="148">
        <f>IF(分析!S49&lt;&gt;"",分析!S49,"")</f>
        <v>2490</v>
      </c>
      <c r="R188" s="148">
        <f>IF(分析!R49&lt;&gt;"",分析!R49,"")</f>
        <v>2802</v>
      </c>
      <c r="S188" s="143" t="str">
        <f>IF(分析!AA49&lt;&gt;"",分析!AA49,"")</f>
        <v>上昇▲</v>
      </c>
      <c r="T188" s="152">
        <f>IF(分析!Z49&lt;&gt;"",分析!Z49,"")</f>
        <v>1.0124610591900312</v>
      </c>
      <c r="U188" s="143" t="str">
        <f>IF(分析!V49&lt;&gt;"",分析!V49,"")</f>
        <v>高値圏</v>
      </c>
      <c r="V188" s="153">
        <f>IF(分析!W49&lt;&gt;"",分析!W49,"")</f>
        <v>46.553966189856958</v>
      </c>
      <c r="W188" s="154" t="str">
        <f>IF(分析!AD49&lt;&gt;"",分析!AD49,"")</f>
        <v>もみ合い→</v>
      </c>
      <c r="X188" s="155" t="str">
        <f>IF(分析!AE49&lt;&gt;"",分析!AE49,"")</f>
        <v>なし</v>
      </c>
      <c r="Y188" s="156">
        <f>IF(分析!T49&lt;&gt;"",分析!T49,"")</f>
        <v>10</v>
      </c>
      <c r="Z188" s="142" t="str">
        <f>IF(分析!Y49&lt;&gt;"",分析!Y49,"")</f>
        <v>○買い候補</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3525</v>
      </c>
      <c r="F189" s="148">
        <f>IF(分析!F89&lt;&gt;"",分析!F89,"")</f>
        <v>3572</v>
      </c>
      <c r="G189" s="148">
        <f>IF(分析!H89&lt;&gt;"",分析!H89,"")</f>
        <v>3663</v>
      </c>
      <c r="H189" s="148">
        <f>IF(分析!I89&lt;&gt;"",分析!I89,"")</f>
        <v>3481</v>
      </c>
      <c r="I189" s="148">
        <f>IF(分析!J89&lt;&gt;"",分析!J89,"")</f>
        <v>2090900</v>
      </c>
      <c r="J189" s="148">
        <f>IF(分析!AB89&lt;&gt;"",分析!AB89,"")</f>
        <v>5394.5020366598765</v>
      </c>
      <c r="K189" s="148">
        <f>IF(分析!AC89&lt;&gt;"",分析!AC89,"")</f>
        <v>5077.4052443384953</v>
      </c>
      <c r="L189" s="148">
        <f>IF(分析!K89&lt;&gt;"",分析!K89,"")</f>
        <v>4855</v>
      </c>
      <c r="M189" s="143" t="str">
        <f>IF(分析!P89&lt;&gt;"",分析!P89,"")</f>
        <v>減少↓</v>
      </c>
      <c r="N189" s="149">
        <f>IF(分析!O89&lt;&gt;"",分析!O89,"")</f>
        <v>0.76869627875855684</v>
      </c>
      <c r="O189" s="150">
        <f>IF(分析!X89&lt;&gt;"",分析!X89,"")</f>
        <v>-80.63907076528676</v>
      </c>
      <c r="P189" s="151">
        <f>IF(分析!L89&lt;&gt;"",分析!L89,"")</f>
        <v>-27.394438722966015</v>
      </c>
      <c r="Q189" s="148">
        <f>IF(分析!S89&lt;&gt;"",分析!S89,"")</f>
        <v>3384</v>
      </c>
      <c r="R189" s="148">
        <f>IF(分析!R89&lt;&gt;"",分析!R89,"")</f>
        <v>3807</v>
      </c>
      <c r="S189" s="143" t="str">
        <f>IF(分析!AA89&lt;&gt;"",分析!AA89,"")</f>
        <v>下落▼</v>
      </c>
      <c r="T189" s="152">
        <f>IF(分析!Z89&lt;&gt;"",分析!Z89,"")</f>
        <v>-8.0354813462040173</v>
      </c>
      <c r="U189" s="143" t="str">
        <f>IF(分析!V89&lt;&gt;"",分析!V89,"")</f>
        <v>通常</v>
      </c>
      <c r="V189" s="153">
        <f>IF(分析!W89&lt;&gt;"",分析!W89,"")</f>
        <v>48.660945093578739</v>
      </c>
      <c r="W189" s="154" t="str">
        <f>IF(分析!AD89&lt;&gt;"",分析!AD89,"")</f>
        <v>もみ合い→</v>
      </c>
      <c r="X189" s="155" t="str">
        <f>IF(分析!AE89&lt;&gt;"",分析!AE89,"")</f>
        <v>なし</v>
      </c>
      <c r="Y189" s="156">
        <f>IF(分析!T89&lt;&gt;"",分析!T89,"")</f>
        <v>-1</v>
      </c>
      <c r="Z189" s="142" t="str">
        <f>IF(分析!Y89&lt;&gt;"",分析!Y89,"")</f>
        <v>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1752</v>
      </c>
      <c r="F190" s="133">
        <f>IF(分析!F136&lt;&gt;"",分析!F136,"")</f>
        <v>1736</v>
      </c>
      <c r="G190" s="133">
        <f>IF(分析!H136&lt;&gt;"",分析!H136,"")</f>
        <v>1772</v>
      </c>
      <c r="H190" s="133">
        <f>IF(分析!I136&lt;&gt;"",分析!I136,"")</f>
        <v>1732</v>
      </c>
      <c r="I190" s="133">
        <f>IF(分析!J136&lt;&gt;"",分析!J136,"")</f>
        <v>406000</v>
      </c>
      <c r="J190" s="133">
        <f>IF(分析!AB136&lt;&gt;"",分析!AB136,"")</f>
        <v>1019.1863543788186</v>
      </c>
      <c r="K190" s="133">
        <f>IF(分析!AC136&lt;&gt;"",分析!AC136,"")</f>
        <v>916.49463647198991</v>
      </c>
      <c r="L190" s="133">
        <f>IF(分析!K136&lt;&gt;"",分析!K136,"")</f>
        <v>1973</v>
      </c>
      <c r="M190" s="128" t="str">
        <f>IF(分析!P136&lt;&gt;"",分析!P136,"")</f>
        <v>普通→</v>
      </c>
      <c r="N190" s="134">
        <f>IF(分析!O136&lt;&gt;"",分析!O136,"")</f>
        <v>1.0486620518648622</v>
      </c>
      <c r="O190" s="135">
        <f>IF(分析!X136&lt;&gt;"",分析!X136,"")</f>
        <v>-0.61025756351455129</v>
      </c>
      <c r="P190" s="136">
        <f>IF(分析!L136&lt;&gt;"",分析!L136,"")</f>
        <v>-11.201216421692854</v>
      </c>
      <c r="Q190" s="133">
        <f>IF(分析!S136&lt;&gt;"",分析!S136,"")</f>
        <v>1682</v>
      </c>
      <c r="R190" s="133">
        <f>IF(分析!R136&lt;&gt;"",分析!R136,"")</f>
        <v>1892</v>
      </c>
      <c r="S190" s="128" t="str">
        <f>IF(分析!AA136&lt;&gt;"",分析!AA136,"")</f>
        <v>上昇▲</v>
      </c>
      <c r="T190" s="137">
        <f>IF(分析!Z136&lt;&gt;"",分析!Z136,"")</f>
        <v>1.6831108531630876</v>
      </c>
      <c r="U190" s="128" t="str">
        <f>IF(分析!V136&lt;&gt;"",分析!V136,"")</f>
        <v>通常</v>
      </c>
      <c r="V190" s="138">
        <f>IF(分析!W136&lt;&gt;"",分析!W136,"")</f>
        <v>43.567251461988306</v>
      </c>
      <c r="W190" s="139" t="str">
        <f>IF(分析!AD136&lt;&gt;"",分析!AD136,"")</f>
        <v>パーフェクト▲</v>
      </c>
      <c r="X190" s="140" t="str">
        <f>IF(分析!AE136&lt;&gt;"",分析!AE136,"")</f>
        <v>なし</v>
      </c>
      <c r="Y190" s="141">
        <f>IF(分析!T136&lt;&gt;"",分析!T136,"")</f>
        <v>7</v>
      </c>
      <c r="Z190" s="142" t="str">
        <f>IF(分析!Y136&lt;&gt;"",分析!Y136,"")</f>
        <v>△注目</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873.8</v>
      </c>
      <c r="F191" s="148">
        <f>IF(分析!F179&lt;&gt;"",分析!F179,"")</f>
        <v>867.3</v>
      </c>
      <c r="G191" s="148">
        <f>IF(分析!H179&lt;&gt;"",分析!H179,"")</f>
        <v>875.8</v>
      </c>
      <c r="H191" s="148">
        <f>IF(分析!I179&lt;&gt;"",分析!I179,"")</f>
        <v>857.8</v>
      </c>
      <c r="I191" s="148">
        <f>IF(分析!J179&lt;&gt;"",分析!J179,"")</f>
        <v>4520900</v>
      </c>
      <c r="J191" s="148">
        <f>IF(分析!AB179&lt;&gt;"",分析!AB179,"")</f>
        <v>932.53910386965367</v>
      </c>
      <c r="K191" s="148">
        <f>IF(分析!AC179&lt;&gt;"",分析!AC179,"")</f>
        <v>935.56567342073845</v>
      </c>
      <c r="L191" s="148">
        <f>IF(分析!K179&lt;&gt;"",分析!K179,"")</f>
        <v>990.7</v>
      </c>
      <c r="M191" s="143" t="str">
        <f>IF(分析!P179&lt;&gt;"",分析!P179,"")</f>
        <v>減少↓</v>
      </c>
      <c r="N191" s="149">
        <f>IF(分析!O179&lt;&gt;"",分析!O179,"")</f>
        <v>0.80162633917647519</v>
      </c>
      <c r="O191" s="150">
        <f>IF(分析!X179&lt;&gt;"",分析!X179,"")</f>
        <v>7.2237467112989862</v>
      </c>
      <c r="P191" s="151">
        <f>IF(分析!L179&lt;&gt;"",分析!L179,"")</f>
        <v>-11.799737559301512</v>
      </c>
      <c r="Q191" s="148">
        <f>IF(分析!S179&lt;&gt;"",分析!S179,"")</f>
        <v>839</v>
      </c>
      <c r="R191" s="148">
        <f>IF(分析!R179&lt;&gt;"",分析!R179,"")</f>
        <v>944</v>
      </c>
      <c r="S191" s="143" t="str">
        <f>IF(分析!AA179&lt;&gt;"",分析!AA179,"")</f>
        <v>上昇▲</v>
      </c>
      <c r="T191" s="152">
        <f>IF(分析!Z179&lt;&gt;"",分析!Z179,"")</f>
        <v>2.5225859439164613</v>
      </c>
      <c r="U191" s="143" t="str">
        <f>IF(分析!V179&lt;&gt;"",分析!V179,"")</f>
        <v>通常</v>
      </c>
      <c r="V191" s="153">
        <f>IF(分析!W179&lt;&gt;"",分析!W179,"")</f>
        <v>59.553158705701044</v>
      </c>
      <c r="W191" s="154" t="str">
        <f>IF(分析!AD179&lt;&gt;"",分析!AD179,"")</f>
        <v>下降トレンド▼</v>
      </c>
      <c r="X191" s="155" t="str">
        <f>IF(分析!AE179&lt;&gt;"",分析!AE179,"")</f>
        <v>なし</v>
      </c>
      <c r="Y191" s="156">
        <f>IF(分析!T179&lt;&gt;"",分析!T179,"")</f>
        <v>6</v>
      </c>
      <c r="Z191" s="142" t="str">
        <f>IF(分析!Y179&lt;&gt;"",分析!Y179,"")</f>
        <v>△注目</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49</v>
      </c>
      <c r="G192" s="133">
        <f>IF(分析!H92&lt;&gt;"",分析!H92,"")</f>
        <v>50</v>
      </c>
      <c r="H192" s="133">
        <f>IF(分析!I92&lt;&gt;"",分析!I92,"")</f>
        <v>47</v>
      </c>
      <c r="I192" s="133">
        <f>IF(分析!J92&lt;&gt;"",分析!J92,"")</f>
        <v>13294400</v>
      </c>
      <c r="J192" s="133">
        <f>IF(分析!AB92&lt;&gt;"",分析!AB92,"")</f>
        <v>1666.4979633401217</v>
      </c>
      <c r="K192" s="133">
        <f>IF(分析!AC92&lt;&gt;"",分析!AC92,"")</f>
        <v>1767.9272943980923</v>
      </c>
      <c r="L192" s="133">
        <f>IF(分析!K92&lt;&gt;"",分析!K92,"")</f>
        <v>164</v>
      </c>
      <c r="M192" s="128" t="str">
        <f>IF(分析!P92&lt;&gt;"",分析!P92,"")</f>
        <v>普通→</v>
      </c>
      <c r="N192" s="134">
        <f>IF(分析!O92&lt;&gt;"",分析!O92,"")</f>
        <v>1.1462329954114123</v>
      </c>
      <c r="O192" s="135">
        <f>IF(分析!X92&lt;&gt;"",分析!X92,"")</f>
        <v>-0.68337718268261227</v>
      </c>
      <c r="P192" s="136">
        <f>IF(分析!L92&lt;&gt;"",分析!L92,"")</f>
        <v>-70.731707317073173</v>
      </c>
      <c r="Q192" s="133">
        <f>IF(分析!S92&lt;&gt;"",分析!S92,"")</f>
        <v>46</v>
      </c>
      <c r="R192" s="133">
        <f>IF(分析!R92&lt;&gt;"",分析!R92,"")</f>
        <v>52</v>
      </c>
      <c r="S192" s="128" t="str">
        <f>IF(分析!AA92&lt;&gt;"",分析!AA92,"")</f>
        <v>下落▼</v>
      </c>
      <c r="T192" s="137">
        <f>IF(分析!Z92&lt;&gt;"",分析!Z92,"")</f>
        <v>-2.0408163265306123</v>
      </c>
      <c r="U192" s="128" t="str">
        <f>IF(分析!V92&lt;&gt;"",分析!V92,"")</f>
        <v>通常</v>
      </c>
      <c r="V192" s="138">
        <f>IF(分析!W92&lt;&gt;"",分析!W92,"")</f>
        <v>49.565217391304351</v>
      </c>
      <c r="W192" s="139" t="str">
        <f>IF(分析!AD92&lt;&gt;"",分析!AD92,"")</f>
        <v>下降トレンド▼</v>
      </c>
      <c r="X192" s="140" t="str">
        <f>IF(分析!AE92&lt;&gt;"",分析!AE92,"")</f>
        <v>なし</v>
      </c>
      <c r="Y192" s="141">
        <f>IF(分析!T92&lt;&gt;"",分析!T92,"")</f>
        <v>0</v>
      </c>
      <c r="Z192" s="142" t="str">
        <f>IF(分析!Y92&lt;&gt;"",分析!Y92,"")</f>
        <v>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874</v>
      </c>
      <c r="F193" s="133">
        <f>IF(分析!F66&lt;&gt;"",分析!F66,"")</f>
        <v>891</v>
      </c>
      <c r="G193" s="133">
        <f>IF(分析!H66&lt;&gt;"",分析!H66,"")</f>
        <v>892</v>
      </c>
      <c r="H193" s="133">
        <f>IF(分析!I66&lt;&gt;"",分析!I66,"")</f>
        <v>870</v>
      </c>
      <c r="I193" s="133">
        <f>IF(分析!J66&lt;&gt;"",分析!J66,"")</f>
        <v>209600</v>
      </c>
      <c r="J193" s="133">
        <f>IF(分析!AB66&lt;&gt;"",分析!AB66,"")</f>
        <v>5740.1853360488794</v>
      </c>
      <c r="K193" s="133">
        <f>IF(分析!AC66&lt;&gt;"",分析!AC66,"")</f>
        <v>5657.5768772348019</v>
      </c>
      <c r="L193" s="133">
        <f>IF(分析!K66&lt;&gt;"",分析!K66,"")</f>
        <v>3100</v>
      </c>
      <c r="M193" s="128" t="str">
        <f>IF(分析!P66&lt;&gt;"",分析!P66,"")</f>
        <v>減少↓</v>
      </c>
      <c r="N193" s="134">
        <f>IF(分析!O66&lt;&gt;"",分析!O66,"")</f>
        <v>0.61004715059083769</v>
      </c>
      <c r="O193" s="135">
        <f>IF(分析!X66&lt;&gt;"",分析!X66,"")</f>
        <v>-29.612126302046704</v>
      </c>
      <c r="P193" s="136">
        <f>IF(分析!L66&lt;&gt;"",分析!L66,"")</f>
        <v>-71.806451612903217</v>
      </c>
      <c r="Q193" s="133">
        <f>IF(分析!S66&lt;&gt;"",分析!S66,"")</f>
        <v>839</v>
      </c>
      <c r="R193" s="133">
        <f>IF(分析!R66&lt;&gt;"",分析!R66,"")</f>
        <v>944</v>
      </c>
      <c r="S193" s="128" t="str">
        <f>IF(分析!AA66&lt;&gt;"",分析!AA66,"")</f>
        <v>下落▼</v>
      </c>
      <c r="T193" s="137">
        <f>IF(分析!Z66&lt;&gt;"",分析!Z66,"")</f>
        <v>-2.5641025641025639</v>
      </c>
      <c r="U193" s="128" t="str">
        <f>IF(分析!V66&lt;&gt;"",分析!V66,"")</f>
        <v>通常</v>
      </c>
      <c r="V193" s="138">
        <f>IF(分析!W66&lt;&gt;"",分析!W66,"")</f>
        <v>47.182468694096606</v>
      </c>
      <c r="W193" s="139" t="str">
        <f>IF(分析!AD66&lt;&gt;"",分析!AD66,"")</f>
        <v>もみ合い→</v>
      </c>
      <c r="X193" s="140" t="str">
        <f>IF(分析!AE66&lt;&gt;"",分析!AE66,"")</f>
        <v>なし</v>
      </c>
      <c r="Y193" s="141">
        <f>IF(分析!T66&lt;&gt;"",分析!T66,"")</f>
        <v>-1</v>
      </c>
      <c r="Z193" s="142" t="str">
        <f>IF(分析!Y66&lt;&gt;"",分析!Y66,"")</f>
        <v>見送り</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728</v>
      </c>
      <c r="F194" s="148">
        <f>IF(分析!F67&lt;&gt;"",分析!F67,"")</f>
        <v>737</v>
      </c>
      <c r="G194" s="148">
        <f>IF(分析!H67&lt;&gt;"",分析!H67,"")</f>
        <v>737</v>
      </c>
      <c r="H194" s="148">
        <f>IF(分析!I67&lt;&gt;"",分析!I67,"")</f>
        <v>724</v>
      </c>
      <c r="I194" s="148">
        <f>IF(分析!J67&lt;&gt;"",分析!J67,"")</f>
        <v>223700</v>
      </c>
      <c r="J194" s="148">
        <f>IF(分析!AB67&lt;&gt;"",分析!AB67,"")</f>
        <v>3250.1405295315672</v>
      </c>
      <c r="K194" s="148">
        <f>IF(分析!AC67&lt;&gt;"",分析!AC67,"")</f>
        <v>3508.3861740166853</v>
      </c>
      <c r="L194" s="148">
        <f>IF(分析!K67&lt;&gt;"",分析!K67,"")</f>
        <v>1638</v>
      </c>
      <c r="M194" s="143" t="str">
        <f>IF(分析!P67&lt;&gt;"",分析!P67,"")</f>
        <v>減少↓</v>
      </c>
      <c r="N194" s="149">
        <f>IF(分析!O67&lt;&gt;"",分析!O67,"")</f>
        <v>0.83098068350668652</v>
      </c>
      <c r="O194" s="150">
        <f>IF(分析!X67&lt;&gt;"",分析!X67,"")</f>
        <v>-9.6398051257965562</v>
      </c>
      <c r="P194" s="151">
        <f>IF(分析!L67&lt;&gt;"",分析!L67,"")</f>
        <v>-55.555555555555557</v>
      </c>
      <c r="Q194" s="148">
        <f>IF(分析!S67&lt;&gt;"",分析!S67,"")</f>
        <v>699</v>
      </c>
      <c r="R194" s="148">
        <f>IF(分析!R67&lt;&gt;"",分析!R67,"")</f>
        <v>786</v>
      </c>
      <c r="S194" s="143" t="str">
        <f>IF(分析!AA67&lt;&gt;"",分析!AA67,"")</f>
        <v>下落▼</v>
      </c>
      <c r="T194" s="152">
        <f>IF(分析!Z67&lt;&gt;"",分析!Z67,"")</f>
        <v>-1.8867924528301887</v>
      </c>
      <c r="U194" s="143" t="str">
        <f>IF(分析!V67&lt;&gt;"",分析!V67,"")</f>
        <v>通常</v>
      </c>
      <c r="V194" s="153">
        <f>IF(分析!W67&lt;&gt;"",分析!W67,"")</f>
        <v>35.57692307692308</v>
      </c>
      <c r="W194" s="154" t="str">
        <f>IF(分析!AD67&lt;&gt;"",分析!AD67,"")</f>
        <v>下降トレンド▼</v>
      </c>
      <c r="X194" s="155" t="str">
        <f>IF(分析!AE67&lt;&gt;"",分析!AE67,"")</f>
        <v>なし</v>
      </c>
      <c r="Y194" s="156">
        <f>IF(分析!T67&lt;&gt;"",分析!T67,"")</f>
        <v>0</v>
      </c>
      <c r="Z194" s="142" t="str">
        <f>IF(分析!Y67&lt;&gt;"",分析!Y67,"")</f>
        <v>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2394</v>
      </c>
      <c r="F195" s="133">
        <f>IF(分析!F198&lt;&gt;"",分析!F198,"")</f>
        <v>2441</v>
      </c>
      <c r="G195" s="133">
        <f>IF(分析!H198&lt;&gt;"",分析!H198,"")</f>
        <v>2488</v>
      </c>
      <c r="H195" s="133">
        <f>IF(分析!I198&lt;&gt;"",分析!I198,"")</f>
        <v>2367</v>
      </c>
      <c r="I195" s="133">
        <f>IF(分析!J198&lt;&gt;"",分析!J198,"")</f>
        <v>956100</v>
      </c>
      <c r="J195" s="133">
        <f>IF(分析!AB198&lt;&gt;"",分析!AB198,"")</f>
        <v>3621.9047861507133</v>
      </c>
      <c r="K195" s="133">
        <f>IF(分析!AC198&lt;&gt;"",分析!AC198,"")</f>
        <v>3448.8641239570907</v>
      </c>
      <c r="L195" s="133">
        <f>IF(分析!K198&lt;&gt;"",分析!K198,"")</f>
        <v>3275</v>
      </c>
      <c r="M195" s="128" t="str">
        <f>IF(分析!P198&lt;&gt;"",分析!P198,"")</f>
        <v>減少↓</v>
      </c>
      <c r="N195" s="134">
        <f>IF(分析!O198&lt;&gt;"",分析!O198,"")</f>
        <v>0.9140535372848948</v>
      </c>
      <c r="O195" s="135">
        <f>IF(分析!X198&lt;&gt;"",分析!X198,"")</f>
        <v>-43.721766923128598</v>
      </c>
      <c r="P195" s="136">
        <f>IF(分析!L198&lt;&gt;"",分析!L198,"")</f>
        <v>-26.900763358778622</v>
      </c>
      <c r="Q195" s="133">
        <f>IF(分析!S198&lt;&gt;"",分析!S198,"")</f>
        <v>2298</v>
      </c>
      <c r="R195" s="133">
        <f>IF(分析!R198&lt;&gt;"",分析!R198,"")</f>
        <v>2586</v>
      </c>
      <c r="S195" s="128" t="str">
        <f>IF(分析!AA198&lt;&gt;"",分析!AA198,"")</f>
        <v>下落▼</v>
      </c>
      <c r="T195" s="137">
        <f>IF(分析!Z198&lt;&gt;"",分析!Z198,"")</f>
        <v>-2.5244299674267103</v>
      </c>
      <c r="U195" s="128" t="str">
        <f>IF(分析!V198&lt;&gt;"",分析!V198,"")</f>
        <v>通常</v>
      </c>
      <c r="V195" s="138">
        <f>IF(分析!W198&lt;&gt;"",分析!W198,"")</f>
        <v>41.022964509394576</v>
      </c>
      <c r="W195" s="139" t="str">
        <f>IF(分析!AD198&lt;&gt;"",分析!AD198,"")</f>
        <v>もみ合い→</v>
      </c>
      <c r="X195" s="140" t="str">
        <f>IF(分析!AE198&lt;&gt;"",分析!AE198,"")</f>
        <v>なし</v>
      </c>
      <c r="Y195" s="141">
        <f>IF(分析!T198&lt;&gt;"",分析!T198,"")</f>
        <v>-1</v>
      </c>
      <c r="Z195" s="142" t="str">
        <f>IF(分析!Y198&lt;&gt;"",分析!Y198,"")</f>
        <v>見送り</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5642</v>
      </c>
      <c r="F196" s="148">
        <f>IF(分析!F199&lt;&gt;"",分析!F199,"")</f>
        <v>5815</v>
      </c>
      <c r="G196" s="148">
        <f>IF(分析!H199&lt;&gt;"",分析!H199,"")</f>
        <v>5848</v>
      </c>
      <c r="H196" s="148">
        <f>IF(分析!I199&lt;&gt;"",分析!I199,"")</f>
        <v>5618</v>
      </c>
      <c r="I196" s="148">
        <f>IF(分析!J199&lt;&gt;"",分析!J199,"")</f>
        <v>1490600</v>
      </c>
      <c r="J196" s="148">
        <f>IF(分析!AB199&lt;&gt;"",分析!AB199,"")</f>
        <v>5145.7484725050899</v>
      </c>
      <c r="K196" s="148">
        <f>IF(分析!AC199&lt;&gt;"",分析!AC199,"")</f>
        <v>5354.1668653158504</v>
      </c>
      <c r="L196" s="148">
        <f>IF(分析!K199&lt;&gt;"",分析!K199,"")</f>
        <v>7460</v>
      </c>
      <c r="M196" s="143" t="str">
        <f>IF(分析!P199&lt;&gt;"",分析!P199,"")</f>
        <v>減少↓</v>
      </c>
      <c r="N196" s="149">
        <f>IF(分析!O199&lt;&gt;"",分析!O199,"")</f>
        <v>0.59826452715990919</v>
      </c>
      <c r="O196" s="150">
        <f>IF(分析!X199&lt;&gt;"",分析!X199,"")</f>
        <v>-106.16881933139211</v>
      </c>
      <c r="P196" s="151">
        <f>IF(分析!L199&lt;&gt;"",分析!L199,"")</f>
        <v>-24.369973190348524</v>
      </c>
      <c r="Q196" s="148">
        <f>IF(分析!S199&lt;&gt;"",分析!S199,"")</f>
        <v>5416</v>
      </c>
      <c r="R196" s="148">
        <f>IF(分析!R199&lt;&gt;"",分析!R199,"")</f>
        <v>6093</v>
      </c>
      <c r="S196" s="143" t="str">
        <f>IF(分析!AA199&lt;&gt;"",分析!AA199,"")</f>
        <v>下落▼</v>
      </c>
      <c r="T196" s="152">
        <f>IF(分析!Z199&lt;&gt;"",分析!Z199,"")</f>
        <v>-0.73891625615763545</v>
      </c>
      <c r="U196" s="143" t="str">
        <f>IF(分析!V199&lt;&gt;"",分析!V199,"")</f>
        <v>通常</v>
      </c>
      <c r="V196" s="153">
        <f>IF(分析!W199&lt;&gt;"",分析!W199,"")</f>
        <v>32.782515991471215</v>
      </c>
      <c r="W196" s="154" t="str">
        <f>IF(分析!AD199&lt;&gt;"",分析!AD199,"")</f>
        <v>上昇トレンド▲</v>
      </c>
      <c r="X196" s="155" t="str">
        <f>IF(分析!AE199&lt;&gt;"",分析!AE199,"")</f>
        <v>なし</v>
      </c>
      <c r="Y196" s="156">
        <f>IF(分析!T199&lt;&gt;"",分析!T199,"")</f>
        <v>2</v>
      </c>
      <c r="Z196" s="142" t="str">
        <f>IF(分析!Y199&lt;&gt;"",分析!Y199,"")</f>
        <v>見送り</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4196</v>
      </c>
      <c r="F197" s="148">
        <f>IF(分析!F19&lt;&gt;"",分析!F19,"")</f>
        <v>4215</v>
      </c>
      <c r="G197" s="148">
        <f>IF(分析!H19&lt;&gt;"",分析!H19,"")</f>
        <v>4223</v>
      </c>
      <c r="H197" s="148">
        <f>IF(分析!I19&lt;&gt;"",分析!I19,"")</f>
        <v>4137</v>
      </c>
      <c r="I197" s="148">
        <f>IF(分析!J19&lt;&gt;"",分析!J19,"")</f>
        <v>373600</v>
      </c>
      <c r="J197" s="148">
        <f>IF(分析!AB19&lt;&gt;"",分析!AB19,"")</f>
        <v>6489.596741344194</v>
      </c>
      <c r="K197" s="148">
        <f>IF(分析!AC19&lt;&gt;"",分析!AC19,"")</f>
        <v>6817.9082240762782</v>
      </c>
      <c r="L197" s="148">
        <f>IF(分析!K19&lt;&gt;"",分析!K19,"")</f>
        <v>4302</v>
      </c>
      <c r="M197" s="143" t="str">
        <f>IF(分析!P19&lt;&gt;"",分析!P19,"")</f>
        <v>減少↓</v>
      </c>
      <c r="N197" s="149">
        <f>IF(分析!O19&lt;&gt;"",分析!O19,"")</f>
        <v>0.80461750516884911</v>
      </c>
      <c r="O197" s="150">
        <f>IF(分析!X19&lt;&gt;"",分析!X19,"")</f>
        <v>44.153272382075556</v>
      </c>
      <c r="P197" s="151">
        <f>IF(分析!L19&lt;&gt;"",分析!L19,"")</f>
        <v>-2.4639702463970248</v>
      </c>
      <c r="Q197" s="148">
        <f>IF(分析!S19&lt;&gt;"",分析!S19,"")</f>
        <v>4028</v>
      </c>
      <c r="R197" s="148">
        <f>IF(分析!R19&lt;&gt;"",分析!R19,"")</f>
        <v>4532</v>
      </c>
      <c r="S197" s="143" t="str">
        <f>IF(分析!AA19&lt;&gt;"",分析!AA19,"")</f>
        <v>上昇▲</v>
      </c>
      <c r="T197" s="152">
        <f>IF(分析!Z19&lt;&gt;"",分析!Z19,"")</f>
        <v>0.28680688336520077</v>
      </c>
      <c r="U197" s="143" t="str">
        <f>IF(分析!V19&lt;&gt;"",分析!V19,"")</f>
        <v>高値圏</v>
      </c>
      <c r="V197" s="153">
        <f>IF(分析!W19&lt;&gt;"",分析!W19,"")</f>
        <v>59.125</v>
      </c>
      <c r="W197" s="154" t="str">
        <f>IF(分析!AD19&lt;&gt;"",分析!AD19,"")</f>
        <v>下降トレンド▼</v>
      </c>
      <c r="X197" s="155" t="str">
        <f>IF(分析!AE19&lt;&gt;"",分析!AE19,"")</f>
        <v>なし</v>
      </c>
      <c r="Y197" s="156">
        <f>IF(分析!T19&lt;&gt;"",分析!T19,"")</f>
        <v>9</v>
      </c>
      <c r="Z197" s="142" t="str">
        <f>IF(分析!Y19&lt;&gt;"",分析!Y19,"")</f>
        <v>△注目</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4498</v>
      </c>
      <c r="F198" s="133">
        <f>IF(分析!F168&lt;&gt;"",分析!F168,"")</f>
        <v>4652</v>
      </c>
      <c r="G198" s="133">
        <f>IF(分析!H168&lt;&gt;"",分析!H168,"")</f>
        <v>4736</v>
      </c>
      <c r="H198" s="133">
        <f>IF(分析!I168&lt;&gt;"",分析!I168,"")</f>
        <v>4498</v>
      </c>
      <c r="I198" s="133">
        <f>IF(分析!J168&lt;&gt;"",分析!J168,"")</f>
        <v>1050400</v>
      </c>
      <c r="J198" s="133">
        <f>IF(分析!AB168&lt;&gt;"",分析!AB168,"")</f>
        <v>1031.0183299388998</v>
      </c>
      <c r="K198" s="133">
        <f>IF(分析!AC168&lt;&gt;"",分析!AC168,"")</f>
        <v>1077.4433849821214</v>
      </c>
      <c r="L198" s="133">
        <f>IF(分析!K168&lt;&gt;"",分析!K168,"")</f>
        <v>5738</v>
      </c>
      <c r="M198" s="128" t="str">
        <f>IF(分析!P168&lt;&gt;"",分析!P168,"")</f>
        <v>減少↓</v>
      </c>
      <c r="N198" s="134">
        <f>IF(分析!O168&lt;&gt;"",分析!O168,"")</f>
        <v>0.71788843477904296</v>
      </c>
      <c r="O198" s="135">
        <f>IF(分析!X168&lt;&gt;"",分析!X168,"")</f>
        <v>-46.752020984002229</v>
      </c>
      <c r="P198" s="136">
        <f>IF(分析!L168&lt;&gt;"",分析!L168,"")</f>
        <v>-21.610317183687698</v>
      </c>
      <c r="Q198" s="133">
        <f>IF(分析!S168&lt;&gt;"",分析!S168,"")</f>
        <v>4318</v>
      </c>
      <c r="R198" s="133">
        <f>IF(分析!R168&lt;&gt;"",分析!R168,"")</f>
        <v>4858</v>
      </c>
      <c r="S198" s="128" t="str">
        <f>IF(分析!AA168&lt;&gt;"",分析!AA168,"")</f>
        <v>下落▼</v>
      </c>
      <c r="T198" s="137">
        <f>IF(分析!Z168&lt;&gt;"",分析!Z168,"")</f>
        <v>-4.1142613515241955</v>
      </c>
      <c r="U198" s="128" t="str">
        <f>IF(分析!V168&lt;&gt;"",分析!V168,"")</f>
        <v>通常</v>
      </c>
      <c r="V198" s="138">
        <f>IF(分析!W168&lt;&gt;"",分析!W168,"")</f>
        <v>48.451809856083734</v>
      </c>
      <c r="W198" s="139" t="str">
        <f>IF(分析!AD168&lt;&gt;"",分析!AD168,"")</f>
        <v>上昇トレンド▲</v>
      </c>
      <c r="X198" s="140" t="str">
        <f>IF(分析!AE168&lt;&gt;"",分析!AE168,"")</f>
        <v>なし</v>
      </c>
      <c r="Y198" s="141">
        <f>IF(分析!T168&lt;&gt;"",分析!T168,"")</f>
        <v>1</v>
      </c>
      <c r="Z198" s="142" t="str">
        <f>IF(分析!Y168&lt;&gt;"",分析!Y168,"")</f>
        <v>見送り</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2508</v>
      </c>
      <c r="F199" s="133">
        <f>IF(分析!F200&lt;&gt;"",分析!F200,"")</f>
        <v>2506</v>
      </c>
      <c r="G199" s="133">
        <f>IF(分析!H200&lt;&gt;"",分析!H200,"")</f>
        <v>2585</v>
      </c>
      <c r="H199" s="133">
        <f>IF(分析!I200&lt;&gt;"",分析!I200,"")</f>
        <v>2475</v>
      </c>
      <c r="I199" s="133">
        <f>IF(分析!J200&lt;&gt;"",分析!J200,"")</f>
        <v>240800</v>
      </c>
      <c r="J199" s="133">
        <f>IF(分析!AB200&lt;&gt;"",分析!AB200,"")</f>
        <v>5392.4989816700599</v>
      </c>
      <c r="K199" s="133">
        <f>IF(分析!AC200&lt;&gt;"",分析!AC200,"")</f>
        <v>5315.7115613825963</v>
      </c>
      <c r="L199" s="133">
        <f>IF(分析!K200&lt;&gt;"",分析!K200,"")</f>
        <v>3245</v>
      </c>
      <c r="M199" s="128" t="str">
        <f>IF(分析!P200&lt;&gt;"",分析!P200,"")</f>
        <v>増加↑</v>
      </c>
      <c r="N199" s="134">
        <f>IF(分析!O200&lt;&gt;"",分析!O200,"")</f>
        <v>1.6792189679218967</v>
      </c>
      <c r="O199" s="135">
        <f>IF(分析!X200&lt;&gt;"",分析!X200,"")</f>
        <v>-17.928798872786047</v>
      </c>
      <c r="P199" s="136">
        <f>IF(分析!L200&lt;&gt;"",分析!L200,"")</f>
        <v>-22.711864406779661</v>
      </c>
      <c r="Q199" s="133">
        <f>IF(分析!S200&lt;&gt;"",分析!S200,"")</f>
        <v>2408</v>
      </c>
      <c r="R199" s="133">
        <f>IF(分析!R200&lt;&gt;"",分析!R200,"")</f>
        <v>2709</v>
      </c>
      <c r="S199" s="128" t="str">
        <f>IF(分析!AA200&lt;&gt;"",分析!AA200,"")</f>
        <v>上昇▲</v>
      </c>
      <c r="T199" s="137">
        <f>IF(分析!Z200&lt;&gt;"",分析!Z200,"")</f>
        <v>0.15974440894568689</v>
      </c>
      <c r="U199" s="128" t="str">
        <f>IF(分析!V200&lt;&gt;"",分析!V200,"")</f>
        <v>通常</v>
      </c>
      <c r="V199" s="138">
        <f>IF(分析!W200&lt;&gt;"",分析!W200,"")</f>
        <v>41.92307692307692</v>
      </c>
      <c r="W199" s="139" t="str">
        <f>IF(分析!AD200&lt;&gt;"",分析!AD200,"")</f>
        <v>もみ合い→</v>
      </c>
      <c r="X199" s="140" t="str">
        <f>IF(分析!AE200&lt;&gt;"",分析!AE200,"")</f>
        <v>なし</v>
      </c>
      <c r="Y199" s="141">
        <f>IF(分析!T200&lt;&gt;"",分析!T200,"")</f>
        <v>5</v>
      </c>
      <c r="Z199" s="142" t="str">
        <f>IF(分析!Y200&lt;&gt;"",分析!Y200,"")</f>
        <v>様子見</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55330</v>
      </c>
      <c r="F200" s="133">
        <f>IF(分析!F60&lt;&gt;"",分析!F60,"")</f>
        <v>56550</v>
      </c>
      <c r="G200" s="133">
        <f>IF(分析!H60&lt;&gt;"",分析!H60,"")</f>
        <v>56800</v>
      </c>
      <c r="H200" s="133">
        <f>IF(分析!I60&lt;&gt;"",分析!I60,"")</f>
        <v>54800</v>
      </c>
      <c r="I200" s="133">
        <f>IF(分析!J60&lt;&gt;"",分析!J60,"")</f>
        <v>3602900</v>
      </c>
      <c r="J200" s="133">
        <f>IF(分析!AB60&lt;&gt;"",分析!AB60,"")</f>
        <v>3249.2006109979625</v>
      </c>
      <c r="K200" s="133">
        <f>IF(分析!AC60&lt;&gt;"",分析!AC60,"")</f>
        <v>3102.7294398092963</v>
      </c>
      <c r="L200" s="133">
        <f>IF(分析!K60&lt;&gt;"",分析!K60,"")</f>
        <v>81260</v>
      </c>
      <c r="M200" s="128" t="str">
        <f>IF(分析!P60&lt;&gt;"",分析!P60,"")</f>
        <v>減少↓</v>
      </c>
      <c r="N200" s="134">
        <f>IF(分析!O60&lt;&gt;"",分析!O60,"")</f>
        <v>0.61265474085158478</v>
      </c>
      <c r="O200" s="135">
        <f>IF(分析!X60&lt;&gt;"",分析!X60,"")</f>
        <v>-2232.7768976950174</v>
      </c>
      <c r="P200" s="136">
        <f>IF(分析!L60&lt;&gt;"",分析!L60,"")</f>
        <v>-31.909918779227169</v>
      </c>
      <c r="Q200" s="133">
        <f>IF(分析!S60&lt;&gt;"",分析!S60,"")</f>
        <v>53117</v>
      </c>
      <c r="R200" s="133">
        <f>IF(分析!R60&lt;&gt;"",分析!R60,"")</f>
        <v>59756</v>
      </c>
      <c r="S200" s="128" t="str">
        <f>IF(分析!AA60&lt;&gt;"",分析!AA60,"")</f>
        <v>下落▼</v>
      </c>
      <c r="T200" s="137">
        <f>IF(分析!Z60&lt;&gt;"",分析!Z60,"")</f>
        <v>-5.499573014517507</v>
      </c>
      <c r="U200" s="128" t="str">
        <f>IF(分析!V60&lt;&gt;"",分析!V60,"")</f>
        <v>通常</v>
      </c>
      <c r="V200" s="138">
        <f>IF(分析!W60&lt;&gt;"",分析!W60,"")</f>
        <v>28.814474750202535</v>
      </c>
      <c r="W200" s="139" t="str">
        <f>IF(分析!AD60&lt;&gt;"",分析!AD60,"")</f>
        <v>パーフェクト▲</v>
      </c>
      <c r="X200" s="140" t="str">
        <f>IF(分析!AE60&lt;&gt;"",分析!AE60,"")</f>
        <v>なし</v>
      </c>
      <c r="Y200" s="141">
        <f>IF(分析!T60&lt;&gt;"",分析!T60,"")</f>
        <v>4</v>
      </c>
      <c r="Z200" s="142" t="str">
        <f>IF(分析!Y60&lt;&gt;"",分析!Y60,"")</f>
        <v>様子見</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5870</v>
      </c>
      <c r="F201" s="148">
        <f>IF(分析!F99&lt;&gt;"",分析!F99,"")</f>
        <v>5925</v>
      </c>
      <c r="G201" s="148">
        <f>IF(分析!H99&lt;&gt;"",分析!H99,"")</f>
        <v>6061</v>
      </c>
      <c r="H201" s="148">
        <f>IF(分析!I99&lt;&gt;"",分析!I99,"")</f>
        <v>5799</v>
      </c>
      <c r="I201" s="148">
        <f>IF(分析!J99&lt;&gt;"",分析!J99,"")</f>
        <v>7307800</v>
      </c>
      <c r="J201" s="148">
        <f>IF(分析!AB99&lt;&gt;"",分析!AB99,"")</f>
        <v>2930.2886965376774</v>
      </c>
      <c r="K201" s="148">
        <f>IF(分析!AC99&lt;&gt;"",分析!AC99,"")</f>
        <v>2724.8867699642424</v>
      </c>
      <c r="L201" s="148">
        <f>IF(分析!K99&lt;&gt;"",分析!K99,"")</f>
        <v>6686</v>
      </c>
      <c r="M201" s="143" t="str">
        <f>IF(分析!P99&lt;&gt;"",分析!P99,"")</f>
        <v>減少↓</v>
      </c>
      <c r="N201" s="149">
        <f>IF(分析!O99&lt;&gt;"",分析!O99,"")</f>
        <v>0.81090558039924987</v>
      </c>
      <c r="O201" s="150">
        <f>IF(分析!X99&lt;&gt;"",分析!X99,"")</f>
        <v>-3.3203483535580745</v>
      </c>
      <c r="P201" s="151">
        <f>IF(分析!L99&lt;&gt;"",分析!L99,"")</f>
        <v>-12.204606640741849</v>
      </c>
      <c r="Q201" s="148">
        <f>IF(分析!S99&lt;&gt;"",分析!S99,"")</f>
        <v>5635</v>
      </c>
      <c r="R201" s="148">
        <f>IF(分析!R99&lt;&gt;"",分析!R99,"")</f>
        <v>6340</v>
      </c>
      <c r="S201" s="143" t="str">
        <f>IF(分析!AA99&lt;&gt;"",分析!AA99,"")</f>
        <v>上昇▲</v>
      </c>
      <c r="T201" s="152">
        <f>IF(分析!Z99&lt;&gt;"",分析!Z99,"")</f>
        <v>0.37619699042407662</v>
      </c>
      <c r="U201" s="143" t="str">
        <f>IF(分析!V99&lt;&gt;"",分析!V99,"")</f>
        <v>通常</v>
      </c>
      <c r="V201" s="153">
        <f>IF(分析!W99&lt;&gt;"",分析!W99,"")</f>
        <v>51.494661921708186</v>
      </c>
      <c r="W201" s="154" t="str">
        <f>IF(分析!AD99&lt;&gt;"",分析!AD99,"")</f>
        <v>パーフェクト▲</v>
      </c>
      <c r="X201" s="155" t="str">
        <f>IF(分析!AE99&lt;&gt;"",分析!AE99,"")</f>
        <v>なし</v>
      </c>
      <c r="Y201" s="156">
        <f>IF(分析!T99&lt;&gt;"",分析!T99,"")</f>
        <v>3</v>
      </c>
      <c r="Z201" s="142" t="str">
        <f>IF(分析!Y99&lt;&gt;"",分析!Y99,"")</f>
        <v>様子見</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3811</v>
      </c>
      <c r="F202" s="133">
        <f>IF(分析!F146&lt;&gt;"",分析!F146,"")</f>
        <v>3766</v>
      </c>
      <c r="G202" s="133">
        <f>IF(分析!H146&lt;&gt;"",分析!H146,"")</f>
        <v>3821</v>
      </c>
      <c r="H202" s="133">
        <f>IF(分析!I146&lt;&gt;"",分析!I146,"")</f>
        <v>3762</v>
      </c>
      <c r="I202" s="133">
        <f>IF(分析!J146&lt;&gt;"",分析!J146,"")</f>
        <v>422700</v>
      </c>
      <c r="J202" s="133">
        <f>IF(分析!AB146&lt;&gt;"",分析!AB146,"")</f>
        <v>1436.043788187372</v>
      </c>
      <c r="K202" s="133">
        <f>IF(分析!AC146&lt;&gt;"",分析!AC146,"")</f>
        <v>1413.2288438617397</v>
      </c>
      <c r="L202" s="133">
        <f>IF(分析!K146&lt;&gt;"",分析!K146,"")</f>
        <v>5034</v>
      </c>
      <c r="M202" s="128" t="str">
        <f>IF(分析!P146&lt;&gt;"",分析!P146,"")</f>
        <v>減少↓</v>
      </c>
      <c r="N202" s="134">
        <f>IF(分析!O146&lt;&gt;"",分析!O146,"")</f>
        <v>0.76096349103478078</v>
      </c>
      <c r="O202" s="135">
        <f>IF(分析!X146&lt;&gt;"",分析!X146,"")</f>
        <v>-1.4450642615183824</v>
      </c>
      <c r="P202" s="136">
        <f>IF(分析!L146&lt;&gt;"",分析!L146,"")</f>
        <v>-24.294795391338894</v>
      </c>
      <c r="Q202" s="133">
        <f>IF(分析!S146&lt;&gt;"",分析!S146,"")</f>
        <v>3659</v>
      </c>
      <c r="R202" s="133">
        <f>IF(分析!R146&lt;&gt;"",分析!R146,"")</f>
        <v>4116</v>
      </c>
      <c r="S202" s="128" t="str">
        <f>IF(分析!AA146&lt;&gt;"",分析!AA146,"")</f>
        <v>上昇▲</v>
      </c>
      <c r="T202" s="137">
        <f>IF(分析!Z146&lt;&gt;"",分析!Z146,"")</f>
        <v>1.5454303224087398</v>
      </c>
      <c r="U202" s="128" t="str">
        <f>IF(分析!V146&lt;&gt;"",分析!V146,"")</f>
        <v>通常</v>
      </c>
      <c r="V202" s="138">
        <f>IF(分析!W146&lt;&gt;"",分析!W146,"")</f>
        <v>40.436241610738257</v>
      </c>
      <c r="W202" s="139" t="str">
        <f>IF(分析!AD146&lt;&gt;"",分析!AD146,"")</f>
        <v>パーフェクト▲</v>
      </c>
      <c r="X202" s="140" t="str">
        <f>IF(分析!AE146&lt;&gt;"",分析!AE146,"")</f>
        <v>なし</v>
      </c>
      <c r="Y202" s="141">
        <f>IF(分析!T146&lt;&gt;"",分析!T146,"")</f>
        <v>4</v>
      </c>
      <c r="Z202" s="142" t="str">
        <f>IF(分析!Y146&lt;&gt;"",分析!Y146,"")</f>
        <v>様子見</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2242</v>
      </c>
      <c r="F203" s="133">
        <f>IF(分析!F22&lt;&gt;"",分析!F22,"")</f>
        <v>2350</v>
      </c>
      <c r="G203" s="133">
        <f>IF(分析!H22&lt;&gt;"",分析!H22,"")</f>
        <v>2432</v>
      </c>
      <c r="H203" s="133">
        <f>IF(分析!I22&lt;&gt;"",分析!I22,"")</f>
        <v>2230</v>
      </c>
      <c r="I203" s="133">
        <f>IF(分析!J22&lt;&gt;"",分析!J22,"")</f>
        <v>4532400</v>
      </c>
      <c r="J203" s="133">
        <f>IF(分析!AB22&lt;&gt;"",分析!AB22,"")</f>
        <v>1264.0193482688392</v>
      </c>
      <c r="K203" s="133">
        <f>IF(分析!AC22&lt;&gt;"",分析!AC22,"")</f>
        <v>1277.1954707985692</v>
      </c>
      <c r="L203" s="133">
        <f>IF(分析!K22&lt;&gt;"",分析!K22,"")</f>
        <v>4720</v>
      </c>
      <c r="M203" s="128" t="str">
        <f>IF(分析!P22&lt;&gt;"",分析!P22,"")</f>
        <v>普通→</v>
      </c>
      <c r="N203" s="134">
        <f>IF(分析!O22&lt;&gt;"",分析!O22,"")</f>
        <v>1.0687454903014955</v>
      </c>
      <c r="O203" s="135">
        <f>IF(分析!X22&lt;&gt;"",分析!X22,"")</f>
        <v>-38.002021979070378</v>
      </c>
      <c r="P203" s="136">
        <f>IF(分析!L22&lt;&gt;"",分析!L22,"")</f>
        <v>-52.5</v>
      </c>
      <c r="Q203" s="133">
        <f>IF(分析!S22&lt;&gt;"",分析!S22,"")</f>
        <v>2152</v>
      </c>
      <c r="R203" s="133">
        <f>IF(分析!R22&lt;&gt;"",分析!R22,"")</f>
        <v>2421</v>
      </c>
      <c r="S203" s="128" t="str">
        <f>IF(分析!AA22&lt;&gt;"",分析!AA22,"")</f>
        <v>下落▼</v>
      </c>
      <c r="T203" s="137">
        <f>IF(分析!Z22&lt;&gt;"",分析!Z22,"")</f>
        <v>-10.32</v>
      </c>
      <c r="U203" s="128" t="str">
        <f>IF(分析!V22&lt;&gt;"",分析!V22,"")</f>
        <v>通常</v>
      </c>
      <c r="V203" s="138">
        <f>IF(分析!W22&lt;&gt;"",分析!W22,"")</f>
        <v>53.591160220994475</v>
      </c>
      <c r="W203" s="139" t="str">
        <f>IF(分析!AD22&lt;&gt;"",分析!AD22,"")</f>
        <v>上昇トレンド▲</v>
      </c>
      <c r="X203" s="140" t="str">
        <f>IF(分析!AE22&lt;&gt;"",分析!AE22,"")</f>
        <v>なし</v>
      </c>
      <c r="Y203" s="141">
        <f>IF(分析!T22&lt;&gt;"",分析!T22,"")</f>
        <v>2</v>
      </c>
      <c r="Z203" s="142" t="str">
        <f>IF(分析!Y22&lt;&gt;"",分析!Y22,"")</f>
        <v>見送り</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3998</v>
      </c>
      <c r="F204" s="148">
        <f>IF(分析!F77&lt;&gt;"",分析!F77,"")</f>
        <v>4050</v>
      </c>
      <c r="G204" s="148">
        <f>IF(分析!H77&lt;&gt;"",分析!H77,"")</f>
        <v>4137</v>
      </c>
      <c r="H204" s="148">
        <f>IF(分析!I77&lt;&gt;"",分析!I77,"")</f>
        <v>3976</v>
      </c>
      <c r="I204" s="148">
        <f>IF(分析!J77&lt;&gt;"",分析!J77,"")</f>
        <v>19815300</v>
      </c>
      <c r="J204" s="148">
        <f>IF(分析!AB77&lt;&gt;"",分析!AB77,"")</f>
        <v>3821.2413441955182</v>
      </c>
      <c r="K204" s="148">
        <f>IF(分析!AC77&lt;&gt;"",分析!AC77,"")</f>
        <v>3923.965435041715</v>
      </c>
      <c r="L204" s="148">
        <f>IF(分析!K77&lt;&gt;"",分析!K77,"")</f>
        <v>5208</v>
      </c>
      <c r="M204" s="143" t="str">
        <f>IF(分析!P77&lt;&gt;"",分析!P77,"")</f>
        <v>減少↓</v>
      </c>
      <c r="N204" s="149">
        <f>IF(分析!O77&lt;&gt;"",分析!O77,"")</f>
        <v>0.66469313546586517</v>
      </c>
      <c r="O204" s="150">
        <f>IF(分析!X77&lt;&gt;"",分析!X77,"")</f>
        <v>17.666074932633364</v>
      </c>
      <c r="P204" s="151">
        <f>IF(分析!L77&lt;&gt;"",分析!L77,"")</f>
        <v>-23.233486943164365</v>
      </c>
      <c r="Q204" s="148">
        <f>IF(分析!S77&lt;&gt;"",分析!S77,"")</f>
        <v>3838</v>
      </c>
      <c r="R204" s="148">
        <f>IF(分析!R77&lt;&gt;"",分析!R77,"")</f>
        <v>4318</v>
      </c>
      <c r="S204" s="143" t="str">
        <f>IF(分析!AA77&lt;&gt;"",分析!AA77,"")</f>
        <v>下落▼</v>
      </c>
      <c r="T204" s="152">
        <f>IF(分析!Z77&lt;&gt;"",分析!Z77,"")</f>
        <v>-0.05</v>
      </c>
      <c r="U204" s="143" t="str">
        <f>IF(分析!V77&lt;&gt;"",分析!V77,"")</f>
        <v>通常</v>
      </c>
      <c r="V204" s="153">
        <f>IF(分析!W77&lt;&gt;"",分析!W77,"")</f>
        <v>58.067542213883677</v>
      </c>
      <c r="W204" s="154" t="str">
        <f>IF(分析!AD77&lt;&gt;"",分析!AD77,"")</f>
        <v>上昇トレンド▲</v>
      </c>
      <c r="X204" s="155" t="str">
        <f>IF(分析!AE77&lt;&gt;"",分析!AE77,"")</f>
        <v>25日押し目★</v>
      </c>
      <c r="Y204" s="156">
        <f>IF(分析!T77&lt;&gt;"",分析!T77,"")</f>
        <v>7</v>
      </c>
      <c r="Z204" s="142" t="str">
        <f>IF(分析!Y77&lt;&gt;"",分析!Y77,"")</f>
        <v>△注目</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480.6</v>
      </c>
      <c r="F205" s="133">
        <f>IF(分析!F44&lt;&gt;"",分析!F44,"")</f>
        <v>471.6</v>
      </c>
      <c r="G205" s="133">
        <f>IF(分析!H44&lt;&gt;"",分析!H44,"")</f>
        <v>481.2</v>
      </c>
      <c r="H205" s="133">
        <f>IF(分析!I44&lt;&gt;"",分析!I44,"")</f>
        <v>471.5</v>
      </c>
      <c r="I205" s="133">
        <f>IF(分析!J44&lt;&gt;"",分析!J44,"")</f>
        <v>1116200</v>
      </c>
      <c r="J205" s="133">
        <f>IF(分析!AB44&lt;&gt;"",分析!AB44,"")</f>
        <v>660.46945010183288</v>
      </c>
      <c r="K205" s="133">
        <f>IF(分析!AC44&lt;&gt;"",分析!AC44,"")</f>
        <v>601.21406436233576</v>
      </c>
      <c r="L205" s="133">
        <f>IF(分析!K44&lt;&gt;"",分析!K44,"")</f>
        <v>539.9</v>
      </c>
      <c r="M205" s="128" t="str">
        <f>IF(分析!P44&lt;&gt;"",分析!P44,"")</f>
        <v>減少↓</v>
      </c>
      <c r="N205" s="134">
        <f>IF(分析!O44&lt;&gt;"",分析!O44,"")</f>
        <v>0.74149361606015918</v>
      </c>
      <c r="O205" s="135">
        <f>IF(分析!X44&lt;&gt;"",分析!X44,"")</f>
        <v>-0.40851141741546826</v>
      </c>
      <c r="P205" s="136">
        <f>IF(分析!L44&lt;&gt;"",分析!L44,"")</f>
        <v>-10.983515465826997</v>
      </c>
      <c r="Q205" s="133">
        <f>IF(分析!S44&lt;&gt;"",分析!S44,"")</f>
        <v>461</v>
      </c>
      <c r="R205" s="133">
        <f>IF(分析!R44&lt;&gt;"",分析!R44,"")</f>
        <v>519</v>
      </c>
      <c r="S205" s="128" t="str">
        <f>IF(分析!AA44&lt;&gt;"",分析!AA44,"")</f>
        <v>上昇▲</v>
      </c>
      <c r="T205" s="137">
        <f>IF(分析!Z44&lt;&gt;"",分析!Z44,"")</f>
        <v>1.2855637513171809</v>
      </c>
      <c r="U205" s="128" t="str">
        <f>IF(分析!V44&lt;&gt;"",分析!V44,"")</f>
        <v>通常</v>
      </c>
      <c r="V205" s="138">
        <f>IF(分析!W44&lt;&gt;"",分析!W44,"")</f>
        <v>39.520958083832326</v>
      </c>
      <c r="W205" s="139" t="str">
        <f>IF(分析!AD44&lt;&gt;"",分析!AD44,"")</f>
        <v>もみ合い→</v>
      </c>
      <c r="X205" s="140" t="str">
        <f>IF(分析!AE44&lt;&gt;"",分析!AE44,"")</f>
        <v>なし</v>
      </c>
      <c r="Y205" s="141">
        <f>IF(分析!T44&lt;&gt;"",分析!T44,"")</f>
        <v>4</v>
      </c>
      <c r="Z205" s="142" t="str">
        <f>IF(分析!Y44&lt;&gt;"",分析!Y44,"")</f>
        <v>様子見</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1921</v>
      </c>
      <c r="F206" s="133">
        <f>IF(分析!F36&lt;&gt;"",分析!F36,"")</f>
        <v>1902</v>
      </c>
      <c r="G206" s="133">
        <f>IF(分析!H36&lt;&gt;"",分析!H36,"")</f>
        <v>1928.5</v>
      </c>
      <c r="H206" s="133">
        <f>IF(分析!I36&lt;&gt;"",分析!I36,"")</f>
        <v>1891.5</v>
      </c>
      <c r="I206" s="133">
        <f>IF(分析!J36&lt;&gt;"",分析!J36,"")</f>
        <v>7537800</v>
      </c>
      <c r="J206" s="133">
        <f>IF(分析!AB36&lt;&gt;"",分析!AB36,"")</f>
        <v>2025.2978615071279</v>
      </c>
      <c r="K206" s="133">
        <f>IF(分析!AC36&lt;&gt;"",分析!AC36,"")</f>
        <v>1996.5160905840276</v>
      </c>
      <c r="L206" s="133">
        <f>IF(分析!K36&lt;&gt;"",分析!K36,"")</f>
        <v>1959</v>
      </c>
      <c r="M206" s="128" t="str">
        <f>IF(分析!P36&lt;&gt;"",分析!P36,"")</f>
        <v>減少↓</v>
      </c>
      <c r="N206" s="134">
        <f>IF(分析!O36&lt;&gt;"",分析!O36,"")</f>
        <v>0.90636686105933983</v>
      </c>
      <c r="O206" s="135">
        <f>IF(分析!X36&lt;&gt;"",分析!X36,"")</f>
        <v>1.7618502700627232</v>
      </c>
      <c r="P206" s="136">
        <f>IF(分析!L36&lt;&gt;"",分析!L36,"")</f>
        <v>-1.9397651863195506</v>
      </c>
      <c r="Q206" s="133">
        <f>IF(分析!S36&lt;&gt;"",分析!S36,"")</f>
        <v>1844</v>
      </c>
      <c r="R206" s="133">
        <f>IF(分析!R36&lt;&gt;"",分析!R36,"")</f>
        <v>2075</v>
      </c>
      <c r="S206" s="128" t="str">
        <f>IF(分析!AA36&lt;&gt;"",分析!AA36,"")</f>
        <v>上昇▲</v>
      </c>
      <c r="T206" s="137">
        <f>IF(分析!Z36&lt;&gt;"",分析!Z36,"")</f>
        <v>0.39195192056441075</v>
      </c>
      <c r="U206" s="128" t="str">
        <f>IF(分析!V36&lt;&gt;"",分析!V36,"")</f>
        <v>高値圏</v>
      </c>
      <c r="V206" s="138">
        <f>IF(分析!W36&lt;&gt;"",分析!W36,"")</f>
        <v>50.345069598783475</v>
      </c>
      <c r="W206" s="139" t="str">
        <f>IF(分析!AD36&lt;&gt;"",分析!AD36,"")</f>
        <v>もみ合い→</v>
      </c>
      <c r="X206" s="140" t="str">
        <f>IF(分析!AE36&lt;&gt;"",分析!AE36,"")</f>
        <v>なし</v>
      </c>
      <c r="Y206" s="141">
        <f>IF(分析!T36&lt;&gt;"",分析!T36,"")</f>
        <v>9</v>
      </c>
      <c r="Z206" s="142" t="str">
        <f>IF(分析!Y36&lt;&gt;"",分析!Y36,"")</f>
        <v>△注目</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16" priority="1" stopIfTrue="1" operator="containsText" text="★強い買い">
      <formula>NOT(ISERROR(SEARCH("★強い買い",Z3)))</formula>
    </cfRule>
    <cfRule type="containsText" dxfId="15" priority="2" stopIfTrue="1" operator="containsText" text="★逆張り候補">
      <formula>NOT(ISERROR(SEARCH("★逆張り候補",Z3)))</formula>
    </cfRule>
    <cfRule type="containsText" dxfId="14" priority="3" stopIfTrue="1" operator="containsText" text="◎押し目買い">
      <formula>NOT(ISERROR(SEARCH("◎押し目買い",Z3)))</formula>
    </cfRule>
    <cfRule type="containsText" dxfId="13" priority="4" stopIfTrue="1" operator="containsText" text="◎反発確認">
      <formula>NOT(ISERROR(SEARCH("◎反発確認",Z3)))</formula>
    </cfRule>
    <cfRule type="containsText" dxfId="12" priority="5" stopIfTrue="1" operator="containsText" text="○買い候補">
      <formula>NOT(ISERROR(SEARCH("○買い候補",Z3)))</formula>
    </cfRule>
    <cfRule type="containsText" dxfId="11" priority="6" stopIfTrue="1" operator="containsText" text="○逆張り候補">
      <formula>NOT(ISERROR(SEARCH("○逆張り候補",Z3)))</formula>
    </cfRule>
    <cfRule type="containsText" dxfId="10" priority="7" stopIfTrue="1" operator="containsText" text="△要注意">
      <formula>NOT(ISERROR(SEARCH("△要注意",Z3)))</formula>
    </cfRule>
    <cfRule type="containsText" dxfId="9" priority="8" stopIfTrue="1" operator="containsText" text="△">
      <formula>NOT(ISERROR(SEARCH("△",Z3)))</formula>
    </cfRule>
    <cfRule type="containsText" dxfId="8" priority="9" stopIfTrue="1" operator="containsText" text="様子見">
      <formula>NOT(ISERROR(SEARCH("様子見",Z3)))</formula>
    </cfRule>
    <cfRule type="containsText" dxfId="7"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6" priority="12" stopIfTrue="1" operator="greaterThan">
      <formula>0</formula>
    </cfRule>
    <cfRule type="cellIs" dxfId="5" priority="13" stopIfTrue="1" operator="lessThan">
      <formula>0</formula>
    </cfRule>
  </conditionalFormatting>
  <conditionalFormatting sqref="S3:S502">
    <cfRule type="containsText" dxfId="4" priority="14" stopIfTrue="1" operator="containsText" text="上昇▲">
      <formula>NOT(ISERROR(SEARCH("上昇▲",S3)))</formula>
    </cfRule>
    <cfRule type="containsText" dxfId="3" priority="15" stopIfTrue="1" operator="containsText" text="下落▼">
      <formula>NOT(ISERROR(SEARCH("下落▼",S3)))</formula>
    </cfRule>
  </conditionalFormatting>
  <conditionalFormatting sqref="U3:U502">
    <cfRule type="containsText" dxfId="2" priority="16" stopIfTrue="1" operator="containsText" text="年初来高値更新">
      <formula>NOT(ISERROR(SEARCH("年初来高値更新",U3)))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201" activePane="bottomRight" state="frozen"/>
      <selection activeCell="C162" sqref="C162"/>
      <selection pane="topRight" activeCell="C162" sqref="C162"/>
      <selection pane="bottomLeft" activeCell="C162" sqref="C162"/>
      <selection pane="bottomRight" activeCell="H34" sqref="H34"/>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42" t="s">
        <v>553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COUNT(終値!$E$5:$IT$5)</f>
        <v>57</v>
      </c>
      <c r="AL2" s="368">
        <f>MIN(25,AK2)</f>
        <v>25</v>
      </c>
    </row>
    <row r="3" spans="1:35" s="174" customFormat="1" ht="18" customHeight="1">
      <c r="A3" s="163" t="str">
        <f>IF(銘柄管理!B5&lt;&gt;"",HYPERLINK("https://kabutan.jp/stock/?code="&amp;銘柄管理!B5,"株探"),"")</f>
        <v>株探</v>
      </c>
      <c r="B3" s="164"/>
      <c r="C3" s="165" t="str">
        <f>IF(銘柄管理!B5="","",銘柄管理!B5)</f>
        <v>TOPX</v>
      </c>
      <c r="D3" s="103">
        <f>IF(銘柄管理!C5="","",銘柄管理!C5)</f>
        <v>4055.85</v>
      </c>
      <c r="E3" s="166" cm="1">
        <f t="array" ref="E3">IF(C3="","",IF(C3="TOPX",_xll.RssIndexMarket("TOPX","現在値"),_xll.RssMarket(C3,"現在値")))</f>
        <v>4055.85</v>
      </c>
      <c r="F3" s="166" cm="1">
        <f t="array" ref="F3">IF(C3="","",IF(C3="TOPX",_xll.RssIndexMarket("TOPX","始値"),_xll.RssMarket(C3,"始値")))</f>
        <v>4041.15</v>
      </c>
      <c r="G3" s="166">
        <f>IF(C3&lt;&gt;"",終値!C5,"")</f>
        <v>4055.85</v>
      </c>
      <c r="H3" s="166" cm="1">
        <f t="array" ref="H3">IF(C3="","",IF(C3="TOPX",_xll.RssIndexMarket("TOPX","高値"),_xll.RssMarket(C3,"高値")))</f>
        <v>4065.66</v>
      </c>
      <c r="I3" s="166" cm="1">
        <f t="array" ref="I3">IF(C3="","",IF(C3="TOPX",_xll.RssIndexMarket("TOPX","安値"),_xll.RssMarket(C3,"安値")))</f>
        <v>4026.39</v>
      </c>
      <c r="J3" s="166" cm="1">
        <f t="array" ref="J3">IF(C3="","",IF(C3="TOPX",_xll.RssIndexMarket("TOPX","出来高"),_xll.RssMarket(C3,"出来高")))</f>
        <v>299730</v>
      </c>
      <c r="K3" s="166" cm="1">
        <f t="array" ref="K3">IF(C3="","",IF(C3="TOPX",_xll.RssIndexMarket("TOPX","年初来高値"),_xll.RssMarket(C3,"年初来高値")))</f>
        <v>4137.62</v>
      </c>
      <c r="L3" s="167">
        <f>IF(AND(E3&lt;&gt;"",K3&lt;&gt;"",K3&lt;&gt;0),(E3-K3)/K3*100,"")</f>
        <v>-1.9762568819756281</v>
      </c>
      <c r="M3" s="166">
        <f>IF(C3&lt;&gt;"",IFERROR(AVERAGE(出来高!E5:H5),""),"")</f>
        <v>303258.5</v>
      </c>
      <c r="N3" s="166">
        <f>IF(C3&lt;&gt;"",IFERROR(AVERAGE(出来高!E5:AB5),""),"")</f>
        <v>276880.70833333331</v>
      </c>
      <c r="O3" s="168">
        <f>IF(AND(J3&lt;&gt;"",M3&lt;&gt;"",M3&lt;&gt;0),J3/M3,"")</f>
        <v>0.98836471195366327</v>
      </c>
      <c r="P3" s="163" t="str">
        <f>IF(O3="","",IF(O3&gt;=2,"急増↑↑",IF(O3&gt;=1.5,"増加↑",IF(O3&gt;=1,"普通→","減少↓"))))</f>
        <v>減少↓</v>
      </c>
      <c r="Q3" s="163" t="str">
        <f>IF(E3="","",IF(AND(E3&gt;G3,O3&gt;=1.5),"買い▲",IF(E3&lt;G3,"様子見▼","中立→")))</f>
        <v>中立→</v>
      </c>
      <c r="R3" s="166">
        <f>IF(E3&lt;&gt;"",ROUND(E3*1.05,0),"")</f>
        <v>4259</v>
      </c>
      <c r="S3" s="166">
        <f>IF(E3&lt;&gt;"",ROUND(E3*0.95,0),"")</f>
        <v>3853</v>
      </c>
      <c r="T3" s="163">
        <f>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8</v>
      </c>
      <c r="U3" s="163"/>
      <c r="V3" s="163" t="str">
        <f>IF(AND(H3&lt;&gt;"",K3&lt;&gt;""),IF(H3&gt;=K3,"年初来高値更新●",IF(H3&gt;=K3*0.95,"高値圏","通常")),"")</f>
        <v>高値圏</v>
      </c>
      <c r="W3" s="169"/>
      <c r="X3" s="170"/>
      <c r="Y3" s="1" t="str">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△注目</v>
      </c>
      <c r="Z3" s="171"/>
      <c r="AA3" s="163"/>
      <c r="AB3" s="401">
        <f>IF(C3="","",IFERROR(((終値!E5*0.333)+(終値!F5*0.222)+(終値!G5*0.148)+(終値!H5*0.099)+(終値!I5*0.066)+(終値!J5*0.044)+(終値!K5*0.029)+(終値!L5*0.019)+(終値!M5*0.013)+(終値!N5*0.009))/(0.333+0.222+0.148+0.099+0.066+0.044+0.029+0.019+0.013+0.009),""))</f>
        <v>4017.1871486761702</v>
      </c>
      <c r="AC3" s="401">
        <f>IF(C3="","",IFERROR(SUMPRODUCT((終値!E5:AC5),({0.077,0.071,0.065,0.06,0.055,0.051,0.047,0.043,0.039,0.036,0.033,0.031,0.028,0.026,0.024,0.022,0.02,0.018,0.017,0.016,0.014,0.013,0.012,0.011,0.01}))/SUM({0.077,0.071,0.065,0.06,0.055,0.051,0.047,0.043,0.039,0.036,0.033,0.031,0.028,0.026,0.024,0.022,0.02,0.018,0.017,0.016,0.014,0.013,0.012,0.011,0.01}),""))</f>
        <v>4010.8483432657908</v>
      </c>
      <c r="AD3" s="402" t="str">
        <f>IF(OR(C3="",AB3="",AC3="",NOT(ISNUMBER(E3))),"",IF(AND(E3&gt;AB3,AB3&gt;AC3),"パーフェクト▲",IF(E3&gt;AC3,"上昇トレンド▲",IF(AND(E3&lt;AB3,AB3&lt;AC3),"下降トレンド▼","もみ合い→"))))</f>
        <v>パーフェクト▲</v>
      </c>
      <c r="AE3" s="402" t="str">
        <f>IF(OR(C3="",AB3="",AC3="",NOT(ISNUMBER(E3))),"",IF(AND(ABS(E3-AC3)/AC3&lt;=0.02,E3&gt;AC3),"25日押し目★",IF(AND(ABS(E3-AB3)/AB3&lt;=0.01,E3&gt;AB3),"5日押し目○","なし")))</f>
        <v>25日押し目★</v>
      </c>
      <c r="AF3" s="365">
        <f t="array" ref="AF3">IF(C3="","",IFERROR((INDEX(終値!$E:$E,MATCH(TEXT(C3,"0"),終値!$A:$A,0))-INDEX(終値!$E:$CZ,MATCH(TEXT(C3,"0"),終値!$A:$A,0),$AL$2))/INDEX(終値!$E:$CZ,MATCH(TEXT(C3,"0"),終値!$A:$A,0),$AL$2)*100,""))</f>
        <v>1.0179378228534113</v>
      </c>
      <c r="AG3" s="365">
        <f t="array" ref="AG3">IFERROR((終値!$E$5-INDEX(終値!$E$5:$IT$5,1,$AL$2))/INDEX(終値!$E$5:$IT$5,1,$AL$2)*100,"")</f>
        <v>1.0179378228534113</v>
      </c>
      <c r="AH3" s="366">
        <f>IF(OR(AF3="",AG3=""),"",AF3-AG3)</f>
        <v>0</v>
      </c>
      <c r="AI3" s="364">
        <f>IF(AH3="","",IF(AH3&gt;5,3,IF(AH3&gt;0,1,IF(AH3&gt;-3,-1,-2))))</f>
        <v>-1</v>
      </c>
    </row>
    <row r="4" spans="1:35"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1892.5</v>
      </c>
      <c r="F4" s="166">
        <f>IF(C4&lt;&gt;"",_xll.RssMarket(C4,"始値"),"")</f>
        <v>1890</v>
      </c>
      <c r="G4" s="165">
        <f>IF(C4&lt;&gt;"",終値!F189,"")</f>
        <v>1880</v>
      </c>
      <c r="H4" s="166">
        <f>IF(C4&lt;&gt;"",_xll.RssMarket(C4,"高値"),"")</f>
        <v>1904.5</v>
      </c>
      <c r="I4" s="166">
        <f>IF(C4&lt;&gt;"",_xll.RssMarket(C4,"安値"),"")</f>
        <v>1840</v>
      </c>
      <c r="J4" s="166">
        <f>IF(C4&lt;&gt;"",_xll.RssMarket(C4,"出来高"),"")</f>
        <v>2459100</v>
      </c>
      <c r="K4" s="166">
        <f>IF(C4&lt;&gt;"",_xll.RssMarket(C4,"年初来高値"),"")</f>
        <v>2275</v>
      </c>
      <c r="L4" s="167">
        <f>IF(AND(E4&lt;&gt;"",K4&lt;&gt;"",K4&lt;&gt;0),(E4-K4)/K4*100,"")</f>
        <v>-16.813186813186814</v>
      </c>
      <c r="M4" s="166">
        <f>IF(C4&lt;&gt;"",IFERROR(AVERAGE(出来高!E189:I189),""),"")</f>
        <v>2093260</v>
      </c>
      <c r="N4" s="166">
        <f>IF(C4&lt;&gt;"",IFERROR(AVERAGE(出来高!E189:AC189),""),"")</f>
        <v>1468836</v>
      </c>
      <c r="O4" s="168">
        <f>IF(AND(J4&lt;&gt;"",M4&lt;&gt;"",M4&lt;&gt;0),J4/M4,"")</f>
        <v>1.1747704537420101</v>
      </c>
      <c r="P4" s="163" t="str">
        <f>IF(O4="","",IF(O4&gt;=2,"急増↑↑",IF(O4&gt;=1.5,"増加↑",IF(O4&gt;=1,"普通→","減少↓"))))</f>
        <v>普通→</v>
      </c>
      <c r="Q4" s="163" t="str">
        <f>IF(E4="","",IF(AND(E4&gt;G4,O4&gt;=1.5),"買い▲",IF(E4&lt;G4,"様子見▼","中立→")))</f>
        <v>中立→</v>
      </c>
      <c r="R4" s="166">
        <f>IF(E4&lt;&gt;"",ROUND(E4*1.08,0),"")</f>
        <v>2044</v>
      </c>
      <c r="S4" s="166">
        <f>IF(E4&lt;&gt;"",ROUND(E4*0.96,0),"")</f>
        <v>1817</v>
      </c>
      <c r="T4" s="163">
        <f>IF(C4="","",IFERROR(IF(O4&gt;=2,3,IF(O4&gt;=1.5,2,IF(O4&gt;=1,1,0)))+IF(E4&gt;G4,1,0)+IF(L4&gt;=-5,1,0)+IF(Q4="買い▲",2,0)+IF(W4&lt;=30,3,IF(W4&lt;=40,2,IF(AND(W4&gt;=40,W4&lt;=60),1,0)))+IF(X4&gt;0,1,0)+IF(V4="年初来高値更新●",3,IF(V4="高値圏",2,0))+IF(AD4="パーフェクト▲",3,IF(AD4="上昇トレンド▲",2,0))+IF(AE4="25日線押し目●",2,IF(AE4="5日線押し目○",1,0))+IF(P4="急増↑↑",2,IF(P4="増加↑",1,0))+N(AI4),0))</f>
        <v>5</v>
      </c>
      <c r="U4" s="163" t="str">
        <f>IF(T4="","",IF(AND(T4&gt;=3,O4&gt;=1.5),"有効",IF(T4&gt;=3,"要確認","除外")))</f>
        <v>要確認</v>
      </c>
      <c r="V4" s="163" t="str">
        <f>IF(AND(H4&lt;&gt;"",K4&lt;&gt;""),IF(H4&gt;=K4,"年初来高値更新●",IF(H4&gt;=K4*0.95,"高値圏","通常")),"")</f>
        <v>通常</v>
      </c>
      <c r="W4" s="169">
        <f t="array" ref="W4">IF(C4&lt;&gt;"",IFERROR(100-100/(1+SUMPRODUCT((終値!F189:R189&gt;終値!G189:S189)*( 終値!F189:R189-終値!G189:S189))/SUMPRODUCT((終値!F189:R189&lt;終値!G189:S189)*(終値!G189:S189-終値!F189:R189))),50),"")</f>
        <v>41.289701636188646</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様子見</v>
      </c>
      <c r="Z4" s="171">
        <f>IF(AND(E4&lt;&gt;"",G4&lt;&gt;"",G4&lt;&gt;0),(E4-G4)/G4*100,"")</f>
        <v>0.66489361702127658</v>
      </c>
      <c r="AA4" s="163" t="str">
        <f>IF(OR(C4="",E4="",E4=0),"",IF(E4&gt;G4,"上昇▲",IF(E4&lt;G4,"下落▼","横ばい→")))</f>
        <v>上昇▲</v>
      </c>
      <c r="AB4" s="403">
        <f>IF(C4="","",IFERROR(((終値!E6*0.333)+(終値!F6*0.222)+(終値!G6*0.148)+(終値!H6*0.099)+(終値!I6*0.066)+(終値!J6*0.044)+(終値!K6*0.029)+(終値!L6*0.019)+(終値!M6*0.013)+(終値!N6*0.009))/(0.333+0.222+0.148+0.099+0.066+0.044+0.029+0.019+0.013+0.009),""))</f>
        <v>32061.318737270871</v>
      </c>
      <c r="AC4" s="403">
        <f>IF(C4="","",IFERROR(SUMPRODUCT((終値!E6:AC6),({0.077,0.071,0.065,0.06,0.055,0.051,0.047,0.043,0.039,0.036,0.033,0.031,0.028,0.026,0.024,0.022,0.02,0.018,0.017,0.016,0.014,0.013,0.012,0.011,0.01}))/SUM({0.077,0.071,0.065,0.06,0.055,0.051,0.047,0.043,0.039,0.036,0.033,0.031,0.028,0.026,0.024,0.022,0.02,0.018,0.017,0.016,0.014,0.013,0.012,0.011,0.01}),""))</f>
        <v>32157.544696066721</v>
      </c>
      <c r="AD4" s="404" t="str">
        <f>IF(OR(C4="",AB4="",AC4=""),"",IF(AND(E4&gt;AB4,AB4&gt;AC4),"パーフェクト▲",IF(E4&gt;AC4,"上昇トレンド▲",IF(AND(E4&lt;AB4,AB4&lt;AC4),"下降トレンド▼","もみ合い→"))))</f>
        <v>下降トレンド▼</v>
      </c>
      <c r="AE4" s="404" t="str">
        <f>IF(OR(C4="",AB4="",AC4=""),"",IF(AND(ABS(E4-AC4)/AC4&lt;=0.02,E4&gt;AC4),"25日押し目★",IF(AND(ABS(E4-AB4)/AB4&lt;=0.01,E4&gt;AB4),"5日押し目○","なし")))</f>
        <v>なし</v>
      </c>
      <c r="AF4" s="365">
        <f t="array" ref="AF4">IF(C4="","",IFERROR((INDEX(終値!$E:$E,MATCH(TEXT(C4,"0"),終値!$A:$A,0))-INDEX(終値!$E:$CZ,MATCH(TEXT(C4,"0"),終値!$A:$A,0),$AL$2))/INDEX(終値!$E:$CZ,MATCH(TEXT(C4,"0"),終値!$A:$A,0),$AL$2)*100,""))</f>
        <v>2.8812177222071211</v>
      </c>
      <c r="AG4" s="365">
        <f t="array" ref="AG4">IFERROR((終値!$E$5-INDEX(終値!$E$5:$IT$5,1,$AL$2))/INDEX(終値!$E$5:$IT$5,1,$AL$2)*100,"")</f>
        <v>1.0179378228534113</v>
      </c>
      <c r="AH4" s="366">
        <f>IF(OR(AF4="",AG4=""),"",AF4-AG4)</f>
        <v>1.8632798993537099</v>
      </c>
      <c r="AI4" s="364">
        <f>IF(AH4="","",IF(AH4&gt;5,3,IF(AH4&gt;0,1,IF(AH4&gt;-3,-1,-2))))</f>
        <v>1</v>
      </c>
    </row>
    <row r="5" spans="1:35"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1750.5</v>
      </c>
      <c r="F5" s="166">
        <f>IF(C5&lt;&gt;"",_xll.RssMarket(C5,"始値"),"")</f>
        <v>1721</v>
      </c>
      <c r="G5" s="165">
        <f>IF(C5&lt;&gt;"",終値!F190,"")</f>
        <v>1721</v>
      </c>
      <c r="H5" s="166">
        <f>IF(C5&lt;&gt;"",_xll.RssMarket(C5,"高値"),"")</f>
        <v>1758</v>
      </c>
      <c r="I5" s="166">
        <f>IF(C5&lt;&gt;"",_xll.RssMarket(C5,"安値"),"")</f>
        <v>1709</v>
      </c>
      <c r="J5" s="166">
        <f>IF(C5&lt;&gt;"",_xll.RssMarket(C5,"出来高"),"")</f>
        <v>1888700</v>
      </c>
      <c r="K5" s="166">
        <f>IF(C5&lt;&gt;"",_xll.RssMarket(C5,"年初来高値"),"")</f>
        <v>1797.5</v>
      </c>
      <c r="L5" s="167">
        <f>IF(AND(E5&lt;&gt;"",K5&lt;&gt;"",K5&lt;&gt;0),(E5-K5)/K5*100,"")</f>
        <v>-2.6147426981919333</v>
      </c>
      <c r="M5" s="166">
        <f>IF(C5&lt;&gt;"",IFERROR(AVERAGE(出来高!E190:I190),""),"")</f>
        <v>2128920</v>
      </c>
      <c r="N5" s="166">
        <f>IF(C5&lt;&gt;"",IFERROR(AVERAGE(出来高!E190:AC190),""),"")</f>
        <v>2316672</v>
      </c>
      <c r="O5" s="168">
        <f>IF(AND(J5&lt;&gt;"",M5&lt;&gt;"",M5&lt;&gt;0),J5/M5,"")</f>
        <v>0.88716344437555195</v>
      </c>
      <c r="P5" s="163" t="str">
        <f>IF(O5="","",IF(O5&gt;=2,"急増↑↑",IF(O5&gt;=1.5,"増加↑",IF(O5&gt;=1,"普通→","減少↓"))))</f>
        <v>減少↓</v>
      </c>
      <c r="Q5" s="163" t="str">
        <f>IF(E5="","",IF(AND(E5&gt;G5,O5&gt;=1.5),"買い▲",IF(E5&lt;G5,"様子見▼","中立→")))</f>
        <v>中立→</v>
      </c>
      <c r="R5" s="166">
        <f>IF(E5&lt;&gt;"",ROUND(E5*1.08,0),"")</f>
        <v>1891</v>
      </c>
      <c r="S5" s="166">
        <f>IF(E5&lt;&gt;"",ROUND(E5*0.96,0),"")</f>
        <v>1680</v>
      </c>
      <c r="T5" s="163">
        <f>IF(C5="","",IFERROR(IF(O5&gt;=2,3,IF(O5&gt;=1.5,2,IF(O5&gt;=1,1,0)))+IF(E5&gt;G5,1,0)+IF(L5&gt;=-5,1,0)+IF(Q5="買い▲",2,0)+IF(W5&lt;=30,3,IF(W5&lt;=40,2,IF(AND(W5&gt;=40,W5&lt;=60),1,0)))+IF(X5&gt;0,1,0)+IF(V5="年初来高値更新●",3,IF(V5="高値圏",2,0))+IF(AD5="パーフェクト▲",3,IF(AD5="上昇トレンド▲",2,0))+IF(AE5="25日線押し目●",2,IF(AE5="5日線押し目○",1,0))+IF(P5="急増↑↑",2,IF(P5="増加↑",1,0))+N(AI5),0))</f>
        <v>11</v>
      </c>
      <c r="U5" s="163" t="str">
        <f>IF(T5="","",IF(AND(T5&gt;=3,O5&gt;=1.5),"有効",IF(T5&gt;=3,"要確認","除外")))</f>
        <v>要確認</v>
      </c>
      <c r="V5" s="163" t="str">
        <f>IF(AND(H5&lt;&gt;"",K5&lt;&gt;""),IF(H5&gt;=K5,"年初来高値更新●",IF(H5&gt;=K5*0.95,"高値圏","通常")),"")</f>
        <v>高値圏</v>
      </c>
      <c r="W5" s="169">
        <f t="array" ref="W5">IF(C5&lt;&gt;"",IFERROR(100-100/(1+SUMPRODUCT((終値!F190:R190&gt;終値!G190:S190)*( 終値!F190:R190-終値!G190:S190))/SUMPRODUCT((終値!F190:R190&lt;終値!G190:S190)*(終値!G190:S190-終値!F190:R190))),50),"")</f>
        <v>55.231930960086295</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○買い候補</v>
      </c>
      <c r="Z5" s="171">
        <f>IF(AND(E5&lt;&gt;"",G5&lt;&gt;"",G5&lt;&gt;0),(E5-G5)/G5*100,"")</f>
        <v>1.7141196978500872</v>
      </c>
      <c r="AA5" s="163" t="str">
        <f>IF(OR(C5="",E5="",E5=0),"",IF(E5&gt;G5,"上昇▲",IF(E5&lt;G5,"下落▼","横ばい→")))</f>
        <v>上昇▲</v>
      </c>
      <c r="AB5" s="405">
        <f>IF(C5="","",IFERROR(((終値!E7*0.333)+(終値!F7*0.222)+(終値!G7*0.148)+(終値!H7*0.099)+(終値!I7*0.066)+(終値!J7*0.044)+(終値!K7*0.029)+(終値!L7*0.019)+(終値!M7*0.013)+(終値!N7*0.009))/(0.333+0.222+0.148+0.099+0.066+0.044+0.029+0.019+0.013+0.009),""))</f>
        <v>1732.7270875763743</v>
      </c>
      <c r="AC5" s="405">
        <f>IF(C5="","",IFERROR(SUMPRODUCT((終値!E7:AC7),({0.077,0.071,0.065,0.06,0.055,0.051,0.047,0.043,0.039,0.036,0.033,0.031,0.028,0.026,0.024,0.022,0.02,0.018,0.017,0.016,0.014,0.013,0.012,0.011,0.01}))/SUM({0.077,0.071,0.065,0.06,0.055,0.051,0.047,0.043,0.039,0.036,0.033,0.031,0.028,0.026,0.024,0.022,0.02,0.018,0.017,0.016,0.014,0.013,0.012,0.011,0.01}),""))</f>
        <v>1735.6936829558997</v>
      </c>
      <c r="AD5" s="406" t="str">
        <f>IF(OR(C5="",AB5="",AC5=""),"",IF(AND(E5&gt;AB5,AB5&gt;AC5),"パーフェクト▲",IF(E5&gt;AC5,"上昇トレンド▲",IF(AND(E5&lt;AB5,AB5&lt;AC5),"下降トレンド▼","もみ合い→"))))</f>
        <v>上昇トレンド▲</v>
      </c>
      <c r="AE5" s="406" t="str">
        <f>IF(OR(C5="",AB5="",AC5=""),"",IF(AND(ABS(E5-AC5)/AC5&lt;=0.02,E5&gt;AC5),"25日押し目★",IF(AND(ABS(E5-AB5)/AB5&lt;=0.01,E5&gt;AB5),"5日押し目○","なし")))</f>
        <v>25日押し目★</v>
      </c>
      <c r="AF5" s="365">
        <f t="array" ref="AF5">IF(C5="","",IFERROR((INDEX(終値!$E:$E,MATCH(TEXT(C5,"0"),終値!$A:$A,0))-INDEX(終値!$E:$CZ,MATCH(TEXT(C5,"0"),終値!$A:$A,0),$AL$2))/INDEX(終値!$E:$CZ,MATCH(TEXT(C5,"0"),終値!$A:$A,0),$AL$2)*100,""))</f>
        <v>15.240289664252799</v>
      </c>
      <c r="AG5" s="365">
        <f t="array" ref="AG5">IFERROR((終値!$E$5-INDEX(終値!$E$5:$IT$5,1,$AL$2))/INDEX(終値!$E$5:$IT$5,1,$AL$2)*100,"")</f>
        <v>1.0179378228534113</v>
      </c>
      <c r="AH5" s="366">
        <f>IF(OR(AF5="",AG5=""),"",AF5-AG5)</f>
        <v>14.222351841399387</v>
      </c>
      <c r="AI5" s="364">
        <f>IF(AH5="","",IF(AH5&gt;5,3,IF(AH5&gt;0,1,IF(AH5&gt;-3,-1,-2))))</f>
        <v>3</v>
      </c>
    </row>
    <row r="6" spans="1:35"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1605</v>
      </c>
      <c r="F6" s="166">
        <f>IF(C6&lt;&gt;"",_xll.RssMarket(C6,"始値"),"")</f>
        <v>1587</v>
      </c>
      <c r="G6" s="165">
        <f>IF(C6&lt;&gt;"",終値!F191,"")</f>
        <v>1587</v>
      </c>
      <c r="H6" s="166">
        <f>IF(C6&lt;&gt;"",_xll.RssMarket(C6,"高値"),"")</f>
        <v>1605</v>
      </c>
      <c r="I6" s="166">
        <f>IF(C6&lt;&gt;"",_xll.RssMarket(C6,"安値"),"")</f>
        <v>1581</v>
      </c>
      <c r="J6" s="166">
        <f>IF(C6&lt;&gt;"",_xll.RssMarket(C6,"出来高"),"")</f>
        <v>27500</v>
      </c>
      <c r="K6" s="166">
        <f>IF(C6&lt;&gt;"",_xll.RssMarket(C6,"年初来高値"),"")</f>
        <v>1787</v>
      </c>
      <c r="L6" s="167">
        <f>IF(AND(E6&lt;&gt;"",K6&lt;&gt;"",K6&lt;&gt;0),(E6-K6)/K6*100,"")</f>
        <v>-10.184667039731393</v>
      </c>
      <c r="M6" s="166">
        <f>IF(C6&lt;&gt;"",IFERROR(AVERAGE(出来高!E191:I191),""),"")</f>
        <v>23540</v>
      </c>
      <c r="N6" s="166">
        <f>IF(C6&lt;&gt;"",IFERROR(AVERAGE(出来高!E191:AC191),""),"")</f>
        <v>23432</v>
      </c>
      <c r="O6" s="168">
        <f>IF(AND(J6&lt;&gt;"",M6&lt;&gt;"",M6&lt;&gt;0),J6/M6,"")</f>
        <v>1.1682242990654206</v>
      </c>
      <c r="P6" s="163" t="str">
        <f>IF(O6="","",IF(O6&gt;=2,"急増↑↑",IF(O6&gt;=1.5,"増加↑",IF(O6&gt;=1,"普通→","減少↓"))))</f>
        <v>普通→</v>
      </c>
      <c r="Q6" s="163" t="str">
        <f>IF(E6="","",IF(AND(E6&gt;G6,O6&gt;=1.5),"買い▲",IF(E6&lt;G6,"様子見▼","中立→")))</f>
        <v>中立→</v>
      </c>
      <c r="R6" s="166">
        <f>IF(E6&lt;&gt;"",ROUND(E6*1.08,0),"")</f>
        <v>1733</v>
      </c>
      <c r="S6" s="166">
        <f>IF(E6&lt;&gt;"",ROUND(E6*0.96,0),"")</f>
        <v>1541</v>
      </c>
      <c r="T6" s="163">
        <f>IF(C6="","",IFERROR(IF(O6&gt;=2,3,IF(O6&gt;=1.5,2,IF(O6&gt;=1,1,0)))+IF(E6&gt;G6,1,0)+IF(L6&gt;=-5,1,0)+IF(Q6="買い▲",2,0)+IF(W6&lt;=30,3,IF(W6&lt;=40,2,IF(AND(W6&gt;=40,W6&lt;=60),1,0)))+IF(X6&gt;0,1,0)+IF(V6="年初来高値更新●",3,IF(V6="高値圏",2,0))+IF(AD6="パーフェクト▲",3,IF(AD6="上昇トレンド▲",2,0))+IF(AE6="25日線押し目●",2,IF(AE6="5日線押し目○",1,0))+IF(P6="急増↑↑",2,IF(P6="増加↑",1,0))+N(AI6),0))</f>
        <v>5</v>
      </c>
      <c r="U6" s="163" t="str">
        <f>IF(T6="","",IF(AND(T6&gt;=3,O6&gt;=1.5),"有効",IF(T6&gt;=3,"要確認","除外")))</f>
        <v>要確認</v>
      </c>
      <c r="V6" s="163" t="str">
        <f>IF(AND(H6&lt;&gt;"",K6&lt;&gt;""),IF(H6&gt;=K6,"年初来高値更新●",IF(H6&gt;=K6*0.95,"高値圏","通常")),"")</f>
        <v>通常</v>
      </c>
      <c r="W6" s="169">
        <f t="array" ref="W6">IF(C6&lt;&gt;"",IFERROR(100-100/(1+SUMPRODUCT((終値!F191:R191&gt;終値!G191:S191)*( 終値!F191:R191-終値!G191:S191))/SUMPRODUCT((終値!F191:R191&lt;終値!G191:S191)*(終値!G191:S191-終値!F191:R191))),50),"")</f>
        <v>59.76331360946746</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様子見</v>
      </c>
      <c r="Z6" s="171">
        <f>IF(AND(E6&lt;&gt;"",G6&lt;&gt;"",G6&lt;&gt;0),(E6-G6)/G6*100,"")</f>
        <v>1.1342155009451798</v>
      </c>
      <c r="AA6" s="163" t="str">
        <f>IF(OR(C6="",E6="",E6=0),"",IF(E6&gt;G6,"上昇▲",IF(E6&lt;G6,"下落▼","横ばい→")))</f>
        <v>上昇▲</v>
      </c>
      <c r="AB6" s="403">
        <f>IF(C6="","",IFERROR(((終値!E8*0.333)+(終値!F8*0.222)+(終値!G8*0.148)+(終値!H8*0.099)+(終値!I8*0.066)+(終値!J8*0.044)+(終値!K8*0.029)+(終値!L8*0.019)+(終値!M8*0.013)+(終値!N8*0.009))/(0.333+0.222+0.148+0.099+0.066+0.044+0.029+0.019+0.013+0.009),""))</f>
        <v>8447.5957230142558</v>
      </c>
      <c r="AC6" s="403">
        <f>IF(C6="","",IFERROR(SUMPRODUCT((終値!E8:AC8),({0.077,0.071,0.065,0.06,0.055,0.051,0.047,0.043,0.039,0.036,0.033,0.031,0.028,0.026,0.024,0.022,0.02,0.018,0.017,0.016,0.014,0.013,0.012,0.011,0.01}))/SUM({0.077,0.071,0.065,0.06,0.055,0.051,0.047,0.043,0.039,0.036,0.033,0.031,0.028,0.026,0.024,0.022,0.02,0.018,0.017,0.016,0.014,0.013,0.012,0.011,0.01}),""))</f>
        <v>7815.4922526817591</v>
      </c>
      <c r="AD6" s="404" t="str">
        <f>IF(OR(C6="",AB6="",AC6=""),"",IF(AND(E6&gt;AB6,AB6&gt;AC6),"パーフェクト▲",IF(E6&gt;AC6,"上昇トレンド▲",IF(AND(E6&lt;AB6,AB6&lt;AC6),"下降トレンド▼","もみ合い→"))))</f>
        <v>もみ合い→</v>
      </c>
      <c r="AE6" s="404" t="str">
        <f>IF(OR(C6="",AB6="",AC6=""),"",IF(AND(ABS(E6-AC6)/AC6&lt;=0.02,E6&gt;AC6),"25日押し目★",IF(AND(ABS(E6-AB6)/AB6&lt;=0.01,E6&gt;AB6),"5日押し目○","なし")))</f>
        <v>なし</v>
      </c>
      <c r="AF6" s="365">
        <f t="array" ref="AF6">IF(C6="","",IFERROR((INDEX(終値!$E:$E,MATCH(TEXT(C6,"0"),終値!$A:$A,0))-INDEX(終値!$E:$CZ,MATCH(TEXT(C6,"0"),終値!$A:$A,0),$AL$2))/INDEX(終値!$E:$CZ,MATCH(TEXT(C6,"0"),終値!$A:$A,0),$AL$2)*100,""))</f>
        <v>5.6616194865042786</v>
      </c>
      <c r="AG6" s="365">
        <f t="array" ref="AG6">IFERROR((終値!$E$5-INDEX(終値!$E$5:$IT$5,1,$AL$2))/INDEX(終値!$E$5:$IT$5,1,$AL$2)*100,"")</f>
        <v>1.0179378228534113</v>
      </c>
      <c r="AH6" s="366">
        <f>IF(OR(AF6="",AG6=""),"",AF6-AG6)</f>
        <v>4.6436816636508675</v>
      </c>
      <c r="AI6" s="364">
        <f>IF(AH6="","",IF(AH6&gt;5,3,IF(AH6&gt;0,1,IF(AH6&gt;-3,-1,-2))))</f>
        <v>1</v>
      </c>
    </row>
    <row r="7" spans="1:35"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2660</v>
      </c>
      <c r="F7" s="166">
        <f>IF(C7&lt;&gt;"",_xll.RssMarket(C7,"始値"),"")</f>
        <v>2612</v>
      </c>
      <c r="G7" s="165">
        <f>IF(C7&lt;&gt;"",終値!F142,"")</f>
        <v>2585</v>
      </c>
      <c r="H7" s="166">
        <f>IF(C7&lt;&gt;"",_xll.RssMarket(C7,"高値"),"")</f>
        <v>2666.5</v>
      </c>
      <c r="I7" s="166">
        <f>IF(C7&lt;&gt;"",_xll.RssMarket(C7,"安値"),"")</f>
        <v>2604.5</v>
      </c>
      <c r="J7" s="166">
        <f>IF(C7&lt;&gt;"",_xll.RssMarket(C7,"出来高"),"")</f>
        <v>6881900</v>
      </c>
      <c r="K7" s="166">
        <f>IF(C7&lt;&gt;"",_xll.RssMarket(C7,"年初来高値"),"")</f>
        <v>3625</v>
      </c>
      <c r="L7" s="167">
        <f>IF(AND(E7&lt;&gt;"",K7&lt;&gt;"",K7&lt;&gt;0),(E7-K7)/K7*100,"")</f>
        <v>-26.620689655172413</v>
      </c>
      <c r="M7" s="166">
        <f>IF(C7&lt;&gt;"",IFERROR(AVERAGE(出来高!E142:I142),""),"")</f>
        <v>10034380</v>
      </c>
      <c r="N7" s="166">
        <f>IF(C7&lt;&gt;"",IFERROR(AVERAGE(出来高!E142:AC142),""),"")</f>
        <v>7121316</v>
      </c>
      <c r="O7" s="168">
        <f>IF(AND(J7&lt;&gt;"",M7&lt;&gt;"",M7&lt;&gt;0),J7/M7,"")</f>
        <v>0.68583210920854099</v>
      </c>
      <c r="P7" s="163" t="str">
        <f>IF(O7="","",IF(O7&gt;=2,"急増↑↑",IF(O7&gt;=1.5,"増加↑",IF(O7&gt;=1,"普通→","減少↓"))))</f>
        <v>減少↓</v>
      </c>
      <c r="Q7" s="163" t="str">
        <f>IF(E7="","",IF(AND(E7&gt;G7,O7&gt;=1.5),"買い▲",IF(E7&lt;G7,"様子見▼","中立→")))</f>
        <v>中立→</v>
      </c>
      <c r="R7" s="166">
        <f>IF(E7&lt;&gt;"",ROUND(E7*1.08,0),"")</f>
        <v>2873</v>
      </c>
      <c r="S7" s="166">
        <f>IF(E7&lt;&gt;"",ROUND(E7*0.96,0),"")</f>
        <v>2554</v>
      </c>
      <c r="T7" s="163">
        <f>IF(C7="","",IFERROR(IF(O7&gt;=2,3,IF(O7&gt;=1.5,2,IF(O7&gt;=1,1,0)))+IF(E7&gt;G7,1,0)+IF(L7&gt;=-5,1,0)+IF(Q7="買い▲",2,0)+IF(W7&lt;=30,3,IF(W7&lt;=40,2,IF(AND(W7&gt;=40,W7&lt;=60),1,0)))+IF(X7&gt;0,1,0)+IF(V7="年初来高値更新●",3,IF(V7="高値圏",2,0))+IF(AD7="パーフェクト▲",3,IF(AD7="上昇トレンド▲",2,0))+IF(AE7="25日線押し目●",2,IF(AE7="5日線押し目○",1,0))+IF(P7="急増↑↑",2,IF(P7="増加↑",1,0))+N(AI7),0))</f>
        <v>3</v>
      </c>
      <c r="U7" s="163" t="str">
        <f>IF(T7="","",IF(AND(T7&gt;=3,O7&gt;=1.5),"有効",IF(T7&gt;=3,"要確認","除外")))</f>
        <v>要確認</v>
      </c>
      <c r="V7" s="163" t="str">
        <f>IF(AND(H7&lt;&gt;"",K7&lt;&gt;""),IF(H7&gt;=K7,"年初来高値更新●",IF(H7&gt;=K7*0.95,"高値圏","通常")),"")</f>
        <v>通常</v>
      </c>
      <c r="W7" s="169">
        <f t="array" ref="W7">IF(C7&lt;&gt;"",IFERROR(100-100/(1+SUMPRODUCT((終値!F142:R142&gt;終値!G142:S142)*( 終値!F142:R142-終値!G142:S142))/SUMPRODUCT((終値!F142:R142&lt;終値!G142:S142)*(終値!G142:S142-終値!F142:R142))),50),"")</f>
        <v>44.369645042839657</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様子見</v>
      </c>
      <c r="Z7" s="171">
        <f>IF(AND(E7&lt;&gt;"",G7&lt;&gt;"",G7&lt;&gt;0),(E7-G7)/G7*100,"")</f>
        <v>2.9013539651837523</v>
      </c>
      <c r="AA7" s="163" t="str">
        <f>IF(OR(C7="",E7="",E7=0),"",IF(E7&gt;G7,"上昇▲",IF(E7&lt;G7,"下落▼","横ばい→")))</f>
        <v>上昇▲</v>
      </c>
      <c r="AB7" s="405">
        <f>IF(C7="","",IFERROR(((終値!E9*0.333)+(終値!F9*0.222)+(終値!G9*0.148)+(終値!H9*0.099)+(終値!I9*0.066)+(終値!J9*0.044)+(終値!K9*0.029)+(終値!L9*0.019)+(終値!M9*0.013)+(終値!N9*0.009))/(0.333+0.222+0.148+0.099+0.066+0.044+0.029+0.019+0.013+0.009),""))</f>
        <v>4293.4175152749485</v>
      </c>
      <c r="AC7" s="405">
        <f>IF(C7="","",IFERROR(SUMPRODUCT((終値!E9:AC9),({0.077,0.071,0.065,0.06,0.055,0.051,0.047,0.043,0.039,0.036,0.033,0.031,0.028,0.026,0.024,0.022,0.02,0.018,0.017,0.016,0.014,0.013,0.012,0.011,0.01}))/SUM({0.077,0.071,0.065,0.06,0.055,0.051,0.047,0.043,0.039,0.036,0.033,0.031,0.028,0.026,0.024,0.022,0.02,0.018,0.017,0.016,0.014,0.013,0.012,0.011,0.01}),""))</f>
        <v>4197.8676996424292</v>
      </c>
      <c r="AD7" s="406" t="str">
        <f>IF(OR(C7="",AB7="",AC7=""),"",IF(AND(E7&gt;AB7,AB7&gt;AC7),"パーフェクト▲",IF(E7&gt;AC7,"上昇トレンド▲",IF(AND(E7&lt;AB7,AB7&lt;AC7),"下降トレンド▼","もみ合い→"))))</f>
        <v>もみ合い→</v>
      </c>
      <c r="AE7" s="406" t="str">
        <f>IF(OR(C7="",AB7="",AC7=""),"",IF(AND(ABS(E7-AC7)/AC7&lt;=0.02,E7&gt;AC7),"25日押し目★",IF(AND(ABS(E7-AB7)/AB7&lt;=0.01,E7&gt;AB7),"5日押し目○","なし")))</f>
        <v>なし</v>
      </c>
      <c r="AF7" s="365">
        <f t="array" ref="AF7">IF(C7="","",IFERROR((INDEX(終値!$E:$E,MATCH(TEXT(C7,"0"),終値!$A:$A,0))-INDEX(終値!$E:$CZ,MATCH(TEXT(C7,"0"),終値!$A:$A,0),$AL$2))/INDEX(終値!$E:$CZ,MATCH(TEXT(C7,"0"),終値!$A:$A,0),$AL$2)*100,""))</f>
        <v>3.160752375412061</v>
      </c>
      <c r="AG7" s="365">
        <f t="array" ref="AG7">IFERROR((終値!$E$5-INDEX(終値!$E$5:$IT$5,1,$AL$2))/INDEX(終値!$E$5:$IT$5,1,$AL$2)*100,"")</f>
        <v>1.0179378228534113</v>
      </c>
      <c r="AH7" s="366">
        <f>IF(OR(AF7="",AG7=""),"",AF7-AG7)</f>
        <v>2.1428145525586499</v>
      </c>
      <c r="AI7" s="364">
        <f>IF(AH7="","",IF(AH7&gt;5,3,IF(AH7&gt;0,1,IF(AH7&gt;-3,-1,-2))))</f>
        <v>1</v>
      </c>
    </row>
    <row r="8" spans="1:35"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5695</v>
      </c>
      <c r="F8" s="166">
        <f>IF(C8&lt;&gt;"",_xll.RssMarket(C8,"始値"),"")</f>
        <v>5760</v>
      </c>
      <c r="G8" s="165">
        <f>IF(C8&lt;&gt;"",終値!F65,"")</f>
        <v>5958</v>
      </c>
      <c r="H8" s="166">
        <f>IF(C8&lt;&gt;"",_xll.RssMarket(C8,"高値"),"")</f>
        <v>5881</v>
      </c>
      <c r="I8" s="166">
        <f>IF(C8&lt;&gt;"",_xll.RssMarket(C8,"安値"),"")</f>
        <v>5542</v>
      </c>
      <c r="J8" s="166">
        <f>IF(C8&lt;&gt;"",_xll.RssMarket(C8,"出来高"),"")</f>
        <v>46955700</v>
      </c>
      <c r="K8" s="166">
        <f>IF(C8&lt;&gt;"",_xll.RssMarket(C8,"年初来高値"),"")</f>
        <v>9074</v>
      </c>
      <c r="L8" s="167">
        <f>IF(AND(E8&lt;&gt;"",K8&lt;&gt;"",K8&lt;&gt;0),(E8-K8)/K8*100,"")</f>
        <v>-37.238263169495262</v>
      </c>
      <c r="M8" s="166">
        <f>IF(C8&lt;&gt;"",IFERROR(AVERAGE(出来高!E65:I65),""),"")</f>
        <v>53510180</v>
      </c>
      <c r="N8" s="166">
        <f>IF(C8&lt;&gt;"",IFERROR(AVERAGE(出来高!E65:AC65),""),"")</f>
        <v>52209192</v>
      </c>
      <c r="O8" s="168">
        <f>IF(AND(J8&lt;&gt;"",M8&lt;&gt;"",M8&lt;&gt;0),J8/M8,"")</f>
        <v>0.87750966264736918</v>
      </c>
      <c r="P8" s="163" t="str">
        <f>IF(O8="","",IF(O8&gt;=2,"急増↑↑",IF(O8&gt;=1.5,"増加↑",IF(O8&gt;=1,"普通→","減少↓"))))</f>
        <v>減少↓</v>
      </c>
      <c r="Q8" s="163" t="str">
        <f>IF(E8="","",IF(AND(E8&gt;G8,O8&gt;=1.5),"買い▲",IF(E8&lt;G8,"様子見▼","中立→")))</f>
        <v>様子見▼</v>
      </c>
      <c r="R8" s="166">
        <f>IF(E8&lt;&gt;"",ROUND(E8*1.08,0),"")</f>
        <v>6151</v>
      </c>
      <c r="S8" s="166">
        <f>IF(E8&lt;&gt;"",ROUND(E8*0.96,0),"")</f>
        <v>5467</v>
      </c>
      <c r="T8" s="163">
        <f>IF(C8="","",IFERROR(IF(O8&gt;=2,3,IF(O8&gt;=1.5,2,IF(O8&gt;=1,1,0)))+IF(E8&gt;G8,1,0)+IF(L8&gt;=-5,1,0)+IF(Q8="買い▲",2,0)+IF(W8&lt;=30,3,IF(W8&lt;=40,2,IF(AND(W8&gt;=40,W8&lt;=60),1,0)))+IF(X8&gt;0,1,0)+IF(V8="年初来高値更新●",3,IF(V8="高値圏",2,0))+IF(AD8="パーフェクト▲",3,IF(AD8="上昇トレンド▲",2,0))+IF(AE8="25日線押し目●",2,IF(AE8="5日線押し目○",1,0))+IF(P8="急増↑↑",2,IF(P8="増加↑",1,0))+N(AI8),0))</f>
        <v>-1</v>
      </c>
      <c r="U8" s="163" t="str">
        <f>IF(T8="","",IF(AND(T8&gt;=3,O8&gt;=1.5),"有効",IF(T8&gt;=3,"要確認","除外")))</f>
        <v>除外</v>
      </c>
      <c r="V8" s="163" t="str">
        <f>IF(AND(H8&lt;&gt;"",K8&lt;&gt;""),IF(H8&gt;=K8,"年初来高値更新●",IF(H8&gt;=K8*0.95,"高値圏","通常")),"")</f>
        <v>通常</v>
      </c>
      <c r="W8" s="169">
        <f t="array" ref="W8">IF(C8&lt;&gt;"",IFERROR(100-100/(1+SUMPRODUCT((終値!F65:R65&gt;終値!G65:S65)*( 終値!F65:R65-終値!G65:S65))/SUMPRODUCT((終値!F65:R65&lt;終値!G65:S65)*(終値!G65:S65-終値!F65:R65))),50),"")</f>
        <v>45.521390374331553</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見送り</v>
      </c>
      <c r="Z8" s="171">
        <f>IF(AND(E8&lt;&gt;"",G8&lt;&gt;"",G8&lt;&gt;0),(E8-G8)/G8*100,"")</f>
        <v>-4.4142329640819069</v>
      </c>
      <c r="AA8" s="163" t="str">
        <f>IF(OR(C8="",E8="",E8=0),"",IF(E8&gt;G8,"上昇▲",IF(E8&lt;G8,"下落▼","横ばい→")))</f>
        <v>下落▼</v>
      </c>
      <c r="AB8" s="403">
        <f>IF(C8="","",IFERROR(((終値!E10*0.333)+(終値!F10*0.222)+(終値!G10*0.148)+(終値!H10*0.099)+(終値!I10*0.066)+(終値!J10*0.044)+(終値!K10*0.029)+(終値!L10*0.019)+(終値!M10*0.013)+(終値!N10*0.009))/(0.333+0.222+0.148+0.099+0.066+0.044+0.029+0.019+0.013+0.009),""))</f>
        <v>8502.2301425661899</v>
      </c>
      <c r="AC8" s="403">
        <f>IF(C8="","",IFERROR(SUMPRODUCT((終値!E10:AC10),({0.077,0.071,0.065,0.06,0.055,0.051,0.047,0.043,0.039,0.036,0.033,0.031,0.028,0.026,0.024,0.022,0.02,0.018,0.017,0.016,0.014,0.013,0.012,0.011,0.01}))/SUM({0.077,0.071,0.065,0.06,0.055,0.051,0.047,0.043,0.039,0.036,0.033,0.031,0.028,0.026,0.024,0.022,0.02,0.018,0.017,0.016,0.014,0.013,0.012,0.011,0.01}),""))</f>
        <v>8353.3885578069094</v>
      </c>
      <c r="AD8" s="404" t="str">
        <f>IF(OR(C8="",AB8="",AC8=""),"",IF(AND(E8&gt;AB8,AB8&gt;AC8),"パーフェクト▲",IF(E8&gt;AC8,"上昇トレンド▲",IF(AND(E8&lt;AB8,AB8&lt;AC8),"下降トレンド▼","もみ合い→"))))</f>
        <v>もみ合い→</v>
      </c>
      <c r="AE8" s="404" t="str">
        <f>IF(OR(C8="",AB8="",AC8=""),"",IF(AND(ABS(E8-AC8)/AC8&lt;=0.02,E8&gt;AC8),"25日押し目★",IF(AND(ABS(E8-AB8)/AB8&lt;=0.01,E8&gt;AB8),"5日押し目○","なし")))</f>
        <v>なし</v>
      </c>
      <c r="AF8" s="365">
        <f t="array" ref="AF8">IF(C8="","",IFERROR((INDEX(終値!$E:$E,MATCH(TEXT(C8,"0"),終値!$A:$A,0))-INDEX(終値!$E:$CZ,MATCH(TEXT(C8,"0"),終値!$A:$A,0),$AL$2))/INDEX(終値!$E:$CZ,MATCH(TEXT(C8,"0"),終値!$A:$A,0),$AL$2)*100,""))</f>
        <v>-5.083333333333333</v>
      </c>
      <c r="AG8" s="365">
        <f t="array" ref="AG8">IFERROR((終値!$E$5-INDEX(終値!$E$5:$IT$5,1,$AL$2))/INDEX(終値!$E$5:$IT$5,1,$AL$2)*100,"")</f>
        <v>1.0179378228534113</v>
      </c>
      <c r="AH8" s="366">
        <f>IF(OR(AF8="",AG8=""),"",AF8-AG8)</f>
        <v>-6.1012711561867441</v>
      </c>
      <c r="AI8" s="364">
        <f>IF(AH8="","",IF(AH8&gt;5,3,IF(AH8&gt;0,1,IF(AH8&gt;-3,-1,-2))))</f>
        <v>-2</v>
      </c>
    </row>
    <row r="9" spans="1:35"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1738</v>
      </c>
      <c r="F9" s="166">
        <f>IF(C9&lt;&gt;"",_xll.RssMarket(C9,"始値"),"")</f>
        <v>1720</v>
      </c>
      <c r="G9" s="165">
        <f>IF(C9&lt;&gt;"",終値!F116,"")</f>
        <v>1714</v>
      </c>
      <c r="H9" s="166">
        <f>IF(C9&lt;&gt;"",_xll.RssMarket(C9,"高値"),"")</f>
        <v>1743</v>
      </c>
      <c r="I9" s="166">
        <f>IF(C9&lt;&gt;"",_xll.RssMarket(C9,"安値"),"")</f>
        <v>1713</v>
      </c>
      <c r="J9" s="166">
        <f>IF(C9&lt;&gt;"",_xll.RssMarket(C9,"出来高"),"")</f>
        <v>175300</v>
      </c>
      <c r="K9" s="166">
        <f>IF(C9&lt;&gt;"",_xll.RssMarket(C9,"年初来高値"),"")</f>
        <v>1891</v>
      </c>
      <c r="L9" s="167">
        <f>IF(AND(E9&lt;&gt;"",K9&lt;&gt;"",K9&lt;&gt;0),(E9-K9)/K9*100,"")</f>
        <v>-8.0909571655208889</v>
      </c>
      <c r="M9" s="166">
        <f>IF(C9&lt;&gt;"",IFERROR(AVERAGE(出来高!E116:I116),""),"")</f>
        <v>230540</v>
      </c>
      <c r="N9" s="166">
        <f>IF(C9&lt;&gt;"",IFERROR(AVERAGE(出来高!E116:AC116),""),"")</f>
        <v>197472</v>
      </c>
      <c r="O9" s="168">
        <f>IF(AND(J9&lt;&gt;"",M9&lt;&gt;"",M9&lt;&gt;0),J9/M9,"")</f>
        <v>0.76038865272837686</v>
      </c>
      <c r="P9" s="163" t="str">
        <f>IF(O9="","",IF(O9&gt;=2,"急増↑↑",IF(O9&gt;=1.5,"増加↑",IF(O9&gt;=1,"普通→","減少↓"))))</f>
        <v>減少↓</v>
      </c>
      <c r="Q9" s="163" t="str">
        <f>IF(E9="","",IF(AND(E9&gt;G9,O9&gt;=1.5),"買い▲",IF(E9&lt;G9,"様子見▼","中立→")))</f>
        <v>中立→</v>
      </c>
      <c r="R9" s="166">
        <f>IF(E9&lt;&gt;"",ROUND(E9*1.08,0),"")</f>
        <v>1877</v>
      </c>
      <c r="S9" s="166">
        <f>IF(E9&lt;&gt;"",ROUND(E9*0.96,0),"")</f>
        <v>1668</v>
      </c>
      <c r="T9" s="163">
        <f>IF(C9="","",IFERROR(IF(O9&gt;=2,3,IF(O9&gt;=1.5,2,IF(O9&gt;=1,1,0)))+IF(E9&gt;G9,1,0)+IF(L9&gt;=-5,1,0)+IF(Q9="買い▲",2,0)+IF(W9&lt;=30,3,IF(W9&lt;=40,2,IF(AND(W9&gt;=40,W9&lt;=60),1,0)))+IF(X9&gt;0,1,0)+IF(V9="年初来高値更新●",3,IF(V9="高値圏",2,0))+IF(AD9="パーフェクト▲",3,IF(AD9="上昇トレンド▲",2,0))+IF(AE9="25日線押し目●",2,IF(AE9="5日線押し目○",1,0))+IF(P9="急増↑↑",2,IF(P9="増加↑",1,0))+N(AI9),0))</f>
        <v>2</v>
      </c>
      <c r="U9" s="163" t="str">
        <f>IF(T9="","",IF(AND(T9&gt;=3,O9&gt;=1.5),"有効",IF(T9&gt;=3,"要確認","除外")))</f>
        <v>除外</v>
      </c>
      <c r="V9" s="163" t="str">
        <f>IF(AND(H9&lt;&gt;"",K9&lt;&gt;""),IF(H9&gt;=K9,"年初来高値更新●",IF(H9&gt;=K9*0.95,"高値圏","通常")),"")</f>
        <v>通常</v>
      </c>
      <c r="W9" s="169">
        <f t="array" ref="W9">IF(C9&lt;&gt;"",IFERROR(100-100/(1+SUMPRODUCT((終値!F116:R116&gt;終値!G116:S116)*( 終値!F116:R116-終値!G116:S116))/SUMPRODUCT((終値!F116:R116&lt;終値!G116:S116)*(終値!G116:S116-終値!F116:R116))),50),"")</f>
        <v>34.294871794871796</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見送り</v>
      </c>
      <c r="Z9" s="171">
        <f>IF(AND(E9&lt;&gt;"",G9&lt;&gt;"",G9&lt;&gt;0),(E9-G9)/G9*100,"")</f>
        <v>1.4002333722287048</v>
      </c>
      <c r="AA9" s="163" t="str">
        <f>IF(OR(C9="",E9="",E9=0),"",IF(E9&gt;G9,"上昇▲",IF(E9&lt;G9,"下落▼","横ばい→")))</f>
        <v>上昇▲</v>
      </c>
      <c r="AB9" s="405">
        <f>IF(C9="","",IFERROR(((終値!E11*0.333)+(終値!F11*0.222)+(終値!G11*0.148)+(終値!H11*0.099)+(終値!I11*0.066)+(終値!J11*0.044)+(終値!K11*0.029)+(終値!L11*0.019)+(終値!M11*0.013)+(終値!N11*0.009))/(0.333+0.222+0.148+0.099+0.066+0.044+0.029+0.019+0.013+0.009),""))</f>
        <v>4671.0427698574331</v>
      </c>
      <c r="AC9" s="405">
        <f>IF(C9="","",IFERROR(SUMPRODUCT((終値!E11:AC11),({0.077,0.071,0.065,0.06,0.055,0.051,0.047,0.043,0.039,0.036,0.033,0.031,0.028,0.026,0.024,0.022,0.02,0.018,0.017,0.016,0.014,0.013,0.012,0.011,0.01}))/SUM({0.077,0.071,0.065,0.06,0.055,0.051,0.047,0.043,0.039,0.036,0.033,0.031,0.028,0.026,0.024,0.022,0.02,0.018,0.017,0.016,0.014,0.013,0.012,0.011,0.01}),""))</f>
        <v>4528.2598331346826</v>
      </c>
      <c r="AD9" s="406" t="str">
        <f>IF(OR(C9="",AB9="",AC9=""),"",IF(AND(E9&gt;AB9,AB9&gt;AC9),"パーフェクト▲",IF(E9&gt;AC9,"上昇トレンド▲",IF(AND(E9&lt;AB9,AB9&lt;AC9),"下降トレンド▼","もみ合い→"))))</f>
        <v>もみ合い→</v>
      </c>
      <c r="AE9" s="406" t="str">
        <f>IF(OR(C9="",AB9="",AC9=""),"",IF(AND(ABS(E9-AC9)/AC9&lt;=0.02,E9&gt;AC9),"25日押し目★",IF(AND(ABS(E9-AB9)/AB9&lt;=0.01,E9&gt;AB9),"5日押し目○","なし")))</f>
        <v>なし</v>
      </c>
      <c r="AF9" s="365">
        <f t="array" ref="AF9">IF(C9="","",IFERROR((INDEX(終値!$E:$E,MATCH(TEXT(C9,"0"),終値!$A:$A,0))-INDEX(終値!$E:$CZ,MATCH(TEXT(C9,"0"),終値!$A:$A,0),$AL$2))/INDEX(終値!$E:$CZ,MATCH(TEXT(C9,"0"),終値!$A:$A,0),$AL$2)*100,""))</f>
        <v>-0.17231476163124643</v>
      </c>
      <c r="AG9" s="365">
        <f t="array" ref="AG9">IFERROR((終値!$E$5-INDEX(終値!$E$5:$IT$5,1,$AL$2))/INDEX(終値!$E$5:$IT$5,1,$AL$2)*100,"")</f>
        <v>1.0179378228534113</v>
      </c>
      <c r="AH9" s="366">
        <f>IF(OR(AF9="",AG9=""),"",AF9-AG9)</f>
        <v>-1.1902525844846576</v>
      </c>
      <c r="AI9" s="364">
        <f>IF(AH9="","",IF(AH9&gt;5,3,IF(AH9&gt;0,1,IF(AH9&gt;-3,-1,-2))))</f>
        <v>-1</v>
      </c>
    </row>
    <row r="10" spans="1:35"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2284</v>
      </c>
      <c r="F10" s="166">
        <f>IF(C10&lt;&gt;"",_xll.RssMarket(C10,"始値"),"")</f>
        <v>2285</v>
      </c>
      <c r="G10" s="165">
        <f>IF(C10&lt;&gt;"",終値!F166,"")</f>
        <v>2282</v>
      </c>
      <c r="H10" s="166">
        <f>IF(C10&lt;&gt;"",_xll.RssMarket(C10,"高値"),"")</f>
        <v>2300</v>
      </c>
      <c r="I10" s="166">
        <f>IF(C10&lt;&gt;"",_xll.RssMarket(C10,"安値"),"")</f>
        <v>2283</v>
      </c>
      <c r="J10" s="166">
        <f>IF(C10&lt;&gt;"",_xll.RssMarket(C10,"出来高"),"")</f>
        <v>6800</v>
      </c>
      <c r="K10" s="166">
        <f>IF(C10&lt;&gt;"",_xll.RssMarket(C10,"年初来高値"),"")</f>
        <v>2877</v>
      </c>
      <c r="L10" s="167">
        <f>IF(AND(E10&lt;&gt;"",K10&lt;&gt;"",K10&lt;&gt;0),(E10-K10)/K10*100,"")</f>
        <v>-20.611748348974626</v>
      </c>
      <c r="M10" s="166">
        <f>IF(C10&lt;&gt;"",IFERROR(AVERAGE(出来高!E166:I166),""),"")</f>
        <v>17620</v>
      </c>
      <c r="N10" s="166">
        <f>IF(C10&lt;&gt;"",IFERROR(AVERAGE(出来高!E166:AC166),""),"")</f>
        <v>25232</v>
      </c>
      <c r="O10" s="168">
        <f>IF(AND(J10&lt;&gt;"",M10&lt;&gt;"",M10&lt;&gt;0),J10/M10,"")</f>
        <v>0.38592508513053347</v>
      </c>
      <c r="P10" s="163" t="str">
        <f>IF(O10="","",IF(O10&gt;=2,"急増↑↑",IF(O10&gt;=1.5,"増加↑",IF(O10&gt;=1,"普通→","減少↓"))))</f>
        <v>減少↓</v>
      </c>
      <c r="Q10" s="163" t="str">
        <f>IF(E10="","",IF(AND(E10&gt;G10,O10&gt;=1.5),"買い▲",IF(E10&lt;G10,"様子見▼","中立→")))</f>
        <v>中立→</v>
      </c>
      <c r="R10" s="166">
        <f>IF(E10&lt;&gt;"",ROUND(E10*1.08,0),"")</f>
        <v>2467</v>
      </c>
      <c r="S10" s="166">
        <f>IF(E10&lt;&gt;"",ROUND(E10*0.96,0),"")</f>
        <v>2193</v>
      </c>
      <c r="T10" s="163">
        <f>IF(C10="","",IFERROR(IF(O10&gt;=2,3,IF(O10&gt;=1.5,2,IF(O10&gt;=1,1,0)))+IF(E10&gt;G10,1,0)+IF(L10&gt;=-5,1,0)+IF(Q10="買い▲",2,0)+IF(W10&lt;=30,3,IF(W10&lt;=40,2,IF(AND(W10&gt;=40,W10&lt;=60),1,0)))+IF(X10&gt;0,1,0)+IF(V10="年初来高値更新●",3,IF(V10="高値圏",2,0))+IF(AD10="パーフェクト▲",3,IF(AD10="上昇トレンド▲",2,0))+IF(AE10="25日線押し目●",2,IF(AE10="5日線押し目○",1,0))+IF(P10="急増↑↑",2,IF(P10="増加↑",1,0))+N(AI10),0))</f>
        <v>2</v>
      </c>
      <c r="U10" s="163" t="str">
        <f>IF(T10="","",IF(AND(T10&gt;=3,O10&gt;=1.5),"有効",IF(T10&gt;=3,"要確認","除外")))</f>
        <v>除外</v>
      </c>
      <c r="V10" s="163" t="str">
        <f>IF(AND(H10&lt;&gt;"",K10&lt;&gt;""),IF(H10&gt;=K10,"年初来高値更新●",IF(H10&gt;=K10*0.95,"高値圏","通常")),"")</f>
        <v>通常</v>
      </c>
      <c r="W10" s="169">
        <f t="array" ref="W10">IF(C10&lt;&gt;"",IFERROR(100-100/(1+SUMPRODUCT((終値!F166:R166&gt;終値!G166:S166)*( 終値!F166:R166-終値!G166:S166))/SUMPRODUCT((終値!F166:R166&lt;終値!G166:S166)*(終値!G166:S166-終値!F166:R166))),50),"")</f>
        <v>37.454545454545453</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見送り</v>
      </c>
      <c r="Z10" s="171">
        <f>IF(AND(E10&lt;&gt;"",G10&lt;&gt;"",G10&lt;&gt;0),(E10-G10)/G10*100,"")</f>
        <v>8.7642418930762495E-2</v>
      </c>
      <c r="AA10" s="163" t="str">
        <f>IF(OR(C10="",E10="",E10=0),"",IF(E10&gt;G10,"上昇▲",IF(E10&lt;G10,"下落▼","横ばい→")))</f>
        <v>上昇▲</v>
      </c>
      <c r="AB10" s="403">
        <f>IF(C10="","",IFERROR(((終値!E12*0.333)+(終値!F12*0.222)+(終値!G12*0.148)+(終値!H12*0.099)+(終値!I12*0.066)+(終値!J12*0.044)+(終値!K12*0.029)+(終値!L12*0.019)+(終値!M12*0.013)+(終値!N12*0.009))/(0.333+0.222+0.148+0.099+0.066+0.044+0.029+0.019+0.013+0.009),""))</f>
        <v>3486.5600814663944</v>
      </c>
      <c r="AC10" s="403">
        <f>IF(C10="","",IFERROR(SUMPRODUCT((終値!E12:AC12),({0.077,0.071,0.065,0.06,0.055,0.051,0.047,0.043,0.039,0.036,0.033,0.031,0.028,0.026,0.024,0.022,0.02,0.018,0.017,0.016,0.014,0.013,0.012,0.011,0.01}))/SUM({0.077,0.071,0.065,0.06,0.055,0.051,0.047,0.043,0.039,0.036,0.033,0.031,0.028,0.026,0.024,0.022,0.02,0.018,0.017,0.016,0.014,0.013,0.012,0.011,0.01}),""))</f>
        <v>3516.251489868891</v>
      </c>
      <c r="AD10" s="404" t="str">
        <f>IF(OR(C10="",AB10="",AC10=""),"",IF(AND(E10&gt;AB10,AB10&gt;AC10),"パーフェクト▲",IF(E10&gt;AC10,"上昇トレンド▲",IF(AND(E10&lt;AB10,AB10&lt;AC10),"下降トレンド▼","もみ合い→"))))</f>
        <v>下降トレンド▼</v>
      </c>
      <c r="AE10" s="404" t="str">
        <f>IF(OR(C10="",AB10="",AC10=""),"",IF(AND(ABS(E10-AC10)/AC10&lt;=0.02,E10&gt;AC10),"25日押し目★",IF(AND(ABS(E10-AB10)/AB10&lt;=0.01,E10&gt;AB10),"5日押し目○","なし")))</f>
        <v>なし</v>
      </c>
      <c r="AF10" s="365">
        <f t="array" ref="AF10">IF(C10="","",IFERROR((INDEX(終値!$E:$E,MATCH(TEXT(C10,"0"),終値!$A:$A,0))-INDEX(終値!$E:$CZ,MATCH(TEXT(C10,"0"),終値!$A:$A,0),$AL$2))/INDEX(終値!$E:$CZ,MATCH(TEXT(C10,"0"),終値!$A:$A,0),$AL$2)*100,""))</f>
        <v>-1.1255411255411256</v>
      </c>
      <c r="AG10" s="365">
        <f t="array" ref="AG10">IFERROR((終値!$E$5-INDEX(終値!$E$5:$IT$5,1,$AL$2))/INDEX(終値!$E$5:$IT$5,1,$AL$2)*100,"")</f>
        <v>1.0179378228534113</v>
      </c>
      <c r="AH10" s="366">
        <f>IF(OR(AF10="",AG10=""),"",AF10-AG10)</f>
        <v>-2.1434789483945371</v>
      </c>
      <c r="AI10" s="364">
        <f>IF(AH10="","",IF(AH10&gt;5,3,IF(AH10&gt;0,1,IF(AH10&gt;-3,-1,-2))))</f>
        <v>-1</v>
      </c>
    </row>
    <row r="11" spans="1:35"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4395</v>
      </c>
      <c r="F11" s="166">
        <f>IF(C11&lt;&gt;"",_xll.RssMarket(C11,"始値"),"")</f>
        <v>4445</v>
      </c>
      <c r="G11" s="165">
        <f>IF(C11&lt;&gt;"",終値!F162,"")</f>
        <v>4445</v>
      </c>
      <c r="H11" s="166">
        <f>IF(C11&lt;&gt;"",_xll.RssMarket(C11,"高値"),"")</f>
        <v>4445</v>
      </c>
      <c r="I11" s="166">
        <f>IF(C11&lt;&gt;"",_xll.RssMarket(C11,"安値"),"")</f>
        <v>4395</v>
      </c>
      <c r="J11" s="166">
        <f>IF(C11&lt;&gt;"",_xll.RssMarket(C11,"出来高"),"")</f>
        <v>500</v>
      </c>
      <c r="K11" s="166">
        <f>IF(C11&lt;&gt;"",_xll.RssMarket(C11,"年初来高値"),"")</f>
        <v>5320</v>
      </c>
      <c r="L11" s="167">
        <f>IF(AND(E11&lt;&gt;"",K11&lt;&gt;"",K11&lt;&gt;0),(E11-K11)/K11*100,"")</f>
        <v>-17.387218045112782</v>
      </c>
      <c r="M11" s="166">
        <f>IF(C11&lt;&gt;"",IFERROR(AVERAGE(出来高!E162:I162),""),"")</f>
        <v>780</v>
      </c>
      <c r="N11" s="166">
        <f>IF(C11&lt;&gt;"",IFERROR(AVERAGE(出来高!E162:AC162),""),"")</f>
        <v>1270.8333333333333</v>
      </c>
      <c r="O11" s="168">
        <f>IF(AND(J11&lt;&gt;"",M11&lt;&gt;"",M11&lt;&gt;0),J11/M11,"")</f>
        <v>0.64102564102564108</v>
      </c>
      <c r="P11" s="163" t="str">
        <f>IF(O11="","",IF(O11&gt;=2,"急増↑↑",IF(O11&gt;=1.5,"増加↑",IF(O11&gt;=1,"普通→","減少↓"))))</f>
        <v>減少↓</v>
      </c>
      <c r="Q11" s="163" t="str">
        <f>IF(E11="","",IF(AND(E11&gt;G11,O11&gt;=1.5),"買い▲",IF(E11&lt;G11,"様子見▼","中立→")))</f>
        <v>様子見▼</v>
      </c>
      <c r="R11" s="166">
        <f>IF(E11&lt;&gt;"",ROUND(E11*1.08,0),"")</f>
        <v>4747</v>
      </c>
      <c r="S11" s="166">
        <f>IF(E11&lt;&gt;"",ROUND(E11*0.96,0),"")</f>
        <v>4219</v>
      </c>
      <c r="T11" s="163">
        <f>IF(C11="","",IFERROR(IF(O11&gt;=2,3,IF(O11&gt;=1.5,2,IF(O11&gt;=1,1,0)))+IF(E11&gt;G11,1,0)+IF(L11&gt;=-5,1,0)+IF(Q11="買い▲",2,0)+IF(W11&lt;=30,3,IF(W11&lt;=40,2,IF(AND(W11&gt;=40,W11&lt;=60),1,0)))+IF(X11&gt;0,1,0)+IF(V11="年初来高値更新●",3,IF(V11="高値圏",2,0))+IF(AD11="パーフェクト▲",3,IF(AD11="上昇トレンド▲",2,0))+IF(AE11="25日線押し目●",2,IF(AE11="5日線押し目○",1,0))+IF(P11="急増↑↑",2,IF(P11="増加↑",1,0))+N(AI11),0))</f>
        <v>3</v>
      </c>
      <c r="U11" s="163" t="str">
        <f>IF(T11="","",IF(AND(T11&gt;=3,O11&gt;=1.5),"有効",IF(T11&gt;=3,"要確認","除外")))</f>
        <v>要確認</v>
      </c>
      <c r="V11" s="163" t="str">
        <f>IF(AND(H11&lt;&gt;"",K11&lt;&gt;""),IF(H11&gt;=K11,"年初来高値更新●",IF(H11&gt;=K11*0.95,"高値圏","通常")),"")</f>
        <v>通常</v>
      </c>
      <c r="W11" s="169">
        <f t="array" ref="W11">IF(C11&lt;&gt;"",IFERROR(100-100/(1+SUMPRODUCT((終値!F162:R162&gt;終値!G162:S162)*( 終値!F162:R162-終値!G162:S162))/SUMPRODUCT((終値!F162:R162&lt;終値!G162:S162)*(終値!G162:S162-終値!F162:R162))),50),"")</f>
        <v>50.260688216892596</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様子見</v>
      </c>
      <c r="Z11" s="171">
        <f>IF(AND(E11&lt;&gt;"",G11&lt;&gt;"",G11&lt;&gt;0),(E11-G11)/G11*100,"")</f>
        <v>-1.124859392575928</v>
      </c>
      <c r="AA11" s="163" t="str">
        <f>IF(OR(C11="",E11="",E11=0),"",IF(E11&gt;G11,"上昇▲",IF(E11&lt;G11,"下落▼","横ばい→")))</f>
        <v>下落▼</v>
      </c>
      <c r="AB11" s="405">
        <f>IF(C11="","",IFERROR(((終値!E13*0.333)+(終値!F13*0.222)+(終値!G13*0.148)+(終値!H13*0.099)+(終値!I13*0.066)+(終値!J13*0.044)+(終値!K13*0.029)+(終値!L13*0.019)+(終値!M13*0.013)+(終値!N13*0.009))/(0.333+0.222+0.148+0.099+0.066+0.044+0.029+0.019+0.013+0.009),""))</f>
        <v>2847.0804480651732</v>
      </c>
      <c r="AC11" s="405">
        <f>IF(C11="","",IFERROR(SUMPRODUCT((終値!E13:AC13),({0.077,0.071,0.065,0.06,0.055,0.051,0.047,0.043,0.039,0.036,0.033,0.031,0.028,0.026,0.024,0.022,0.02,0.018,0.017,0.016,0.014,0.013,0.012,0.011,0.01}))/SUM({0.077,0.071,0.065,0.06,0.055,0.051,0.047,0.043,0.039,0.036,0.033,0.031,0.028,0.026,0.024,0.022,0.02,0.018,0.017,0.016,0.014,0.013,0.012,0.011,0.01}),""))</f>
        <v>2738.7044100119174</v>
      </c>
      <c r="AD11" s="406" t="str">
        <f>IF(OR(C11="",AB11="",AC11=""),"",IF(AND(E11&gt;AB11,AB11&gt;AC11),"パーフェクト▲",IF(E11&gt;AC11,"上昇トレンド▲",IF(AND(E11&lt;AB11,AB11&lt;AC11),"下降トレンド▼","もみ合い→"))))</f>
        <v>パーフェクト▲</v>
      </c>
      <c r="AE11" s="406" t="str">
        <f>IF(OR(C11="",AB11="",AC11=""),"",IF(AND(ABS(E11-AC11)/AC11&lt;=0.02,E11&gt;AC11),"25日押し目★",IF(AND(ABS(E11-AB11)/AB11&lt;=0.01,E11&gt;AB11),"5日押し目○","なし")))</f>
        <v>なし</v>
      </c>
      <c r="AF11" s="365">
        <f t="array" ref="AF11">IF(C11="","",IFERROR((INDEX(終値!$E:$E,MATCH(TEXT(C11,"0"),終値!$A:$A,0))-INDEX(終値!$E:$CZ,MATCH(TEXT(C11,"0"),終値!$A:$A,0),$AL$2))/INDEX(終値!$E:$CZ,MATCH(TEXT(C11,"0"),終値!$A:$A,0),$AL$2)*100,""))</f>
        <v>0.57208237986270016</v>
      </c>
      <c r="AG11" s="365">
        <f t="array" ref="AG11">IFERROR((終値!$E$5-INDEX(終値!$E$5:$IT$5,1,$AL$2))/INDEX(終値!$E$5:$IT$5,1,$AL$2)*100,"")</f>
        <v>1.0179378228534113</v>
      </c>
      <c r="AH11" s="366">
        <f>IF(OR(AF11="",AG11=""),"",AF11-AG11)</f>
        <v>-0.44585544299071111</v>
      </c>
      <c r="AI11" s="364">
        <f>IF(AH11="","",IF(AH11&gt;5,3,IF(AH11&gt;0,1,IF(AH11&gt;-3,-1,-2))))</f>
        <v>-1</v>
      </c>
    </row>
    <row r="12" spans="1:35"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3290</v>
      </c>
      <c r="F12" s="166">
        <f>IF(C12&lt;&gt;"",_xll.RssMarket(C12,"始値"),"")</f>
        <v>3335</v>
      </c>
      <c r="G12" s="165">
        <f>IF(C12&lt;&gt;"",終値!F167,"")</f>
        <v>3335</v>
      </c>
      <c r="H12" s="166">
        <f>IF(C12&lt;&gt;"",_xll.RssMarket(C12,"高値"),"")</f>
        <v>3370</v>
      </c>
      <c r="I12" s="166">
        <f>IF(C12&lt;&gt;"",_xll.RssMarket(C12,"安値"),"")</f>
        <v>3250</v>
      </c>
      <c r="J12" s="166">
        <f>IF(C12&lt;&gt;"",_xll.RssMarket(C12,"出来高"),"")</f>
        <v>94100</v>
      </c>
      <c r="K12" s="166">
        <f>IF(C12&lt;&gt;"",_xll.RssMarket(C12,"年初来高値"),"")</f>
        <v>4220</v>
      </c>
      <c r="L12" s="167">
        <f>IF(AND(E12&lt;&gt;"",K12&lt;&gt;"",K12&lt;&gt;0),(E12-K12)/K12*100,"")</f>
        <v>-22.037914691943129</v>
      </c>
      <c r="M12" s="166">
        <f>IF(C12&lt;&gt;"",IFERROR(AVERAGE(出来高!E167:I167),""),"")</f>
        <v>160860</v>
      </c>
      <c r="N12" s="166">
        <f>IF(C12&lt;&gt;"",IFERROR(AVERAGE(出来高!E167:AC167),""),"")</f>
        <v>143537.5</v>
      </c>
      <c r="O12" s="168">
        <f>IF(AND(J12&lt;&gt;"",M12&lt;&gt;"",M12&lt;&gt;0),J12/M12,"")</f>
        <v>0.58498072858386174</v>
      </c>
      <c r="P12" s="163" t="str">
        <f>IF(O12="","",IF(O12&gt;=2,"急増↑↑",IF(O12&gt;=1.5,"増加↑",IF(O12&gt;=1,"普通→","減少↓"))))</f>
        <v>減少↓</v>
      </c>
      <c r="Q12" s="163" t="str">
        <f>IF(E12="","",IF(AND(E12&gt;G12,O12&gt;=1.5),"買い▲",IF(E12&lt;G12,"様子見▼","中立→")))</f>
        <v>様子見▼</v>
      </c>
      <c r="R12" s="166">
        <f>IF(E12&lt;&gt;"",ROUND(E12*1.08,0),"")</f>
        <v>3553</v>
      </c>
      <c r="S12" s="166">
        <f>IF(E12&lt;&gt;"",ROUND(E12*0.96,0),"")</f>
        <v>3158</v>
      </c>
      <c r="T12" s="163">
        <f>IF(C12="","",IFERROR(IF(O12&gt;=2,3,IF(O12&gt;=1.5,2,IF(O12&gt;=1,1,0)))+IF(E12&gt;G12,1,0)+IF(L12&gt;=-5,1,0)+IF(Q12="買い▲",2,0)+IF(W12&lt;=30,3,IF(W12&lt;=40,2,IF(AND(W12&gt;=40,W12&lt;=60),1,0)))+IF(X12&gt;0,1,0)+IF(V12="年初来高値更新●",3,IF(V12="高値圏",2,0))+IF(AD12="パーフェクト▲",3,IF(AD12="上昇トレンド▲",2,0))+IF(AE12="25日線押し目●",2,IF(AE12="5日線押し目○",1,0))+IF(P12="急増↑↑",2,IF(P12="増加↑",1,0))+N(AI12),0))</f>
        <v>0</v>
      </c>
      <c r="U12" s="163" t="str">
        <f>IF(T12="","",IF(AND(T12&gt;=3,O12&gt;=1.5),"有効",IF(T12&gt;=3,"要確認","除外")))</f>
        <v>除外</v>
      </c>
      <c r="V12" s="163" t="str">
        <f>IF(AND(H12&lt;&gt;"",K12&lt;&gt;""),IF(H12&gt;=K12,"年初来高値更新●",IF(H12&gt;=K12*0.95,"高値圏","通常")),"")</f>
        <v>通常</v>
      </c>
      <c r="W12" s="169">
        <f t="array" ref="W12">IF(C12&lt;&gt;"",IFERROR(100-100/(1+SUMPRODUCT((終値!F167:R167&gt;終値!G167:S167)*( 終値!F167:R167-終値!G167:S167))/SUMPRODUCT((終値!F167:R167&lt;終値!G167:S167)*(終値!G167:S167-終値!F167:R167))),50),"")</f>
        <v>50.736842105263158</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見送り</v>
      </c>
      <c r="Z12" s="171">
        <f>IF(AND(E12&lt;&gt;"",G12&lt;&gt;"",G12&lt;&gt;0),(E12-G12)/G12*100,"")</f>
        <v>-1.3493253373313343</v>
      </c>
      <c r="AA12" s="163" t="str">
        <f>IF(OR(C12="",E12="",E12=0),"",IF(E12&gt;G12,"上昇▲",IF(E12&lt;G12,"下落▼","横ばい→")))</f>
        <v>下落▼</v>
      </c>
      <c r="AB12" s="403">
        <f>IF(C12="","",IFERROR(((終値!E14*0.333)+(終値!F14*0.222)+(終値!G14*0.148)+(終値!H14*0.099)+(終値!I14*0.066)+(終値!J14*0.044)+(終値!K14*0.029)+(終値!L14*0.019)+(終値!M14*0.013)+(終値!N14*0.009))/(0.333+0.222+0.148+0.099+0.066+0.044+0.029+0.019+0.013+0.009),""))</f>
        <v>4993.8686354378806</v>
      </c>
      <c r="AC12" s="403">
        <f>IF(C12="","",IFERROR(SUMPRODUCT((終値!E14:AC14),({0.077,0.071,0.065,0.06,0.055,0.051,0.047,0.043,0.039,0.036,0.033,0.031,0.028,0.026,0.024,0.022,0.02,0.018,0.017,0.016,0.014,0.013,0.012,0.011,0.01}))/SUM({0.077,0.071,0.065,0.06,0.055,0.051,0.047,0.043,0.039,0.036,0.033,0.031,0.028,0.026,0.024,0.022,0.02,0.018,0.017,0.016,0.014,0.013,0.012,0.011,0.01}),""))</f>
        <v>5092.1823599523232</v>
      </c>
      <c r="AD12" s="404" t="str">
        <f>IF(OR(C12="",AB12="",AC12=""),"",IF(AND(E12&gt;AB12,AB12&gt;AC12),"パーフェクト▲",IF(E12&gt;AC12,"上昇トレンド▲",IF(AND(E12&lt;AB12,AB12&lt;AC12),"下降トレンド▼","もみ合い→"))))</f>
        <v>下降トレンド▼</v>
      </c>
      <c r="AE12" s="404" t="str">
        <f>IF(OR(C12="",AB12="",AC12=""),"",IF(AND(ABS(E12-AC12)/AC12&lt;=0.02,E12&gt;AC12),"25日押し目★",IF(AND(ABS(E12-AB12)/AB12&lt;=0.01,E12&gt;AB12),"5日押し目○","なし")))</f>
        <v>なし</v>
      </c>
      <c r="AF12" s="365">
        <f t="array" ref="AF12">IF(C12="","",IFERROR((INDEX(終値!$E:$E,MATCH(TEXT(C12,"0"),終値!$A:$A,0))-INDEX(終値!$E:$CZ,MATCH(TEXT(C12,"0"),終値!$A:$A,0),$AL$2))/INDEX(終値!$E:$CZ,MATCH(TEXT(C12,"0"),終値!$A:$A,0),$AL$2)*100,""))</f>
        <v>-1.791044776119403</v>
      </c>
      <c r="AG12" s="365">
        <f t="array" ref="AG12">IFERROR((終値!$E$5-INDEX(終値!$E$5:$IT$5,1,$AL$2))/INDEX(終値!$E$5:$IT$5,1,$AL$2)*100,"")</f>
        <v>1.0179378228534113</v>
      </c>
      <c r="AH12" s="366">
        <f>IF(OR(AF12="",AG12=""),"",AF12-AG12)</f>
        <v>-2.8089825989728143</v>
      </c>
      <c r="AI12" s="364">
        <f>IF(AH12="","",IF(AH12&gt;5,3,IF(AH12&gt;0,1,IF(AH12&gt;-3,-1,-2))))</f>
        <v>-1</v>
      </c>
    </row>
    <row r="13" spans="1:35"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2359</v>
      </c>
      <c r="F13" s="166">
        <f>IF(C13&lt;&gt;"",_xll.RssMarket(C13,"始値"),"")</f>
        <v>2356</v>
      </c>
      <c r="G13" s="165">
        <f>IF(C13&lt;&gt;"",終値!F185,"")</f>
        <v>2333</v>
      </c>
      <c r="H13" s="166">
        <f>IF(C13&lt;&gt;"",_xll.RssMarket(C13,"高値"),"")</f>
        <v>2380</v>
      </c>
      <c r="I13" s="166">
        <f>IF(C13&lt;&gt;"",_xll.RssMarket(C13,"安値"),"")</f>
        <v>2325</v>
      </c>
      <c r="J13" s="166">
        <f>IF(C13&lt;&gt;"",_xll.RssMarket(C13,"出来高"),"")</f>
        <v>71200</v>
      </c>
      <c r="K13" s="166">
        <f>IF(C13&lt;&gt;"",_xll.RssMarket(C13,"年初来高値"),"")</f>
        <v>2634</v>
      </c>
      <c r="L13" s="167">
        <f>IF(AND(E13&lt;&gt;"",K13&lt;&gt;"",K13&lt;&gt;0),(E13-K13)/K13*100,"")</f>
        <v>-10.44039483675019</v>
      </c>
      <c r="M13" s="166">
        <f>IF(C13&lt;&gt;"",IFERROR(AVERAGE(出来高!E185:I185),""),"")</f>
        <v>86920</v>
      </c>
      <c r="N13" s="166">
        <f>IF(C13&lt;&gt;"",IFERROR(AVERAGE(出来高!E185:AC185),""),"")</f>
        <v>75796</v>
      </c>
      <c r="O13" s="168">
        <f>IF(AND(J13&lt;&gt;"",M13&lt;&gt;"",M13&lt;&gt;0),J13/M13,"")</f>
        <v>0.81914404049700873</v>
      </c>
      <c r="P13" s="163" t="str">
        <f>IF(O13="","",IF(O13&gt;=2,"急増↑↑",IF(O13&gt;=1.5,"増加↑",IF(O13&gt;=1,"普通→","減少↓"))))</f>
        <v>減少↓</v>
      </c>
      <c r="Q13" s="163" t="str">
        <f>IF(E13="","",IF(AND(E13&gt;G13,O13&gt;=1.5),"買い▲",IF(E13&lt;G13,"様子見▼","中立→")))</f>
        <v>中立→</v>
      </c>
      <c r="R13" s="166">
        <f>IF(E13&lt;&gt;"",ROUND(E13*1.08,0),"")</f>
        <v>2548</v>
      </c>
      <c r="S13" s="166">
        <f>IF(E13&lt;&gt;"",ROUND(E13*0.96,0),"")</f>
        <v>2265</v>
      </c>
      <c r="T13" s="163">
        <f>IF(C13="","",IFERROR(IF(O13&gt;=2,3,IF(O13&gt;=1.5,2,IF(O13&gt;=1,1,0)))+IF(E13&gt;G13,1,0)+IF(L13&gt;=-5,1,0)+IF(Q13="買い▲",2,0)+IF(W13&lt;=30,3,IF(W13&lt;=40,2,IF(AND(W13&gt;=40,W13&lt;=60),1,0)))+IF(X13&gt;0,1,0)+IF(V13="年初来高値更新●",3,IF(V13="高値圏",2,0))+IF(AD13="パーフェクト▲",3,IF(AD13="上昇トレンド▲",2,0))+IF(AE13="25日線押し目●",2,IF(AE13="5日線押し目○",1,0))+IF(P13="急増↑↑",2,IF(P13="増加↑",1,0))+N(AI13),0))</f>
        <v>6</v>
      </c>
      <c r="U13" s="163" t="str">
        <f>IF(T13="","",IF(AND(T13&gt;=3,O13&gt;=1.5),"有効",IF(T13&gt;=3,"要確認","除外")))</f>
        <v>要確認</v>
      </c>
      <c r="V13" s="163" t="str">
        <f>IF(AND(H13&lt;&gt;"",K13&lt;&gt;""),IF(H13&gt;=K13,"年初来高値更新●",IF(H13&gt;=K13*0.95,"高値圏","通常")),"")</f>
        <v>通常</v>
      </c>
      <c r="W13" s="169">
        <f t="array" ref="W13">IF(C13&lt;&gt;"",IFERROR(100-100/(1+SUMPRODUCT((終値!F185:R185&gt;終値!G185:S185)*( 終値!F185:R185-終値!G185:S185))/SUMPRODUCT((終値!F185:R185&lt;終値!G185:S185)*(終値!G185:S185-終値!F185:R185))),50),"")</f>
        <v>50</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△注目</v>
      </c>
      <c r="Z13" s="171">
        <f>IF(AND(E13&lt;&gt;"",G13&lt;&gt;"",G13&lt;&gt;0),(E13-G13)/G13*100,"")</f>
        <v>1.1144449207029576</v>
      </c>
      <c r="AA13" s="163" t="str">
        <f>IF(OR(C13="",E13="",E13=0),"",IF(E13&gt;G13,"上昇▲",IF(E13&lt;G13,"下落▼","横ばい→")))</f>
        <v>上昇▲</v>
      </c>
      <c r="AB13" s="405">
        <f>IF(C13="","",IFERROR(((終値!E15*0.333)+(終値!F15*0.222)+(終値!G15*0.148)+(終値!H15*0.099)+(終値!I15*0.066)+(終値!J15*0.044)+(終値!K15*0.029)+(終値!L15*0.019)+(終値!M15*0.013)+(終値!N15*0.009))/(0.333+0.222+0.148+0.099+0.066+0.044+0.029+0.019+0.013+0.009),""))</f>
        <v>3827.7443991853356</v>
      </c>
      <c r="AC13" s="405">
        <f>IF(C13="","",IFERROR(SUMPRODUCT((終値!E15:AC15),({0.077,0.071,0.065,0.06,0.055,0.051,0.047,0.043,0.039,0.036,0.033,0.031,0.028,0.026,0.024,0.022,0.02,0.018,0.017,0.016,0.014,0.013,0.012,0.011,0.01}))/SUM({0.077,0.071,0.065,0.06,0.055,0.051,0.047,0.043,0.039,0.036,0.033,0.031,0.028,0.026,0.024,0.022,0.02,0.018,0.017,0.016,0.014,0.013,0.012,0.011,0.01}),""))</f>
        <v>3887.6555423122754</v>
      </c>
      <c r="AD13" s="406" t="str">
        <f>IF(OR(C13="",AB13="",AC13=""),"",IF(AND(E13&gt;AB13,AB13&gt;AC13),"パーフェクト▲",IF(E13&gt;AC13,"上昇トレンド▲",IF(AND(E13&lt;AB13,AB13&lt;AC13),"下降トレンド▼","もみ合い→"))))</f>
        <v>下降トレンド▼</v>
      </c>
      <c r="AE13" s="406" t="str">
        <f>IF(OR(C13="",AB13="",AC13=""),"",IF(AND(ABS(E13-AC13)/AC13&lt;=0.02,E13&gt;AC13),"25日押し目★",IF(AND(ABS(E13-AB13)/AB13&lt;=0.01,E13&gt;AB13),"5日押し目○","なし")))</f>
        <v>なし</v>
      </c>
      <c r="AF13" s="365">
        <f t="array" ref="AF13">IF(C13="","",IFERROR((INDEX(終値!$E:$E,MATCH(TEXT(C13,"0"),終値!$A:$A,0))-INDEX(終値!$E:$CZ,MATCH(TEXT(C13,"0"),終値!$A:$A,0),$AL$2))/INDEX(終値!$E:$CZ,MATCH(TEXT(C13,"0"),終値!$A:$A,0),$AL$2)*100,""))</f>
        <v>6.02247191011236</v>
      </c>
      <c r="AG13" s="365">
        <f t="array" ref="AG13">IFERROR((終値!$E$5-INDEX(終値!$E$5:$IT$5,1,$AL$2))/INDEX(終値!$E$5:$IT$5,1,$AL$2)*100,"")</f>
        <v>1.0179378228534113</v>
      </c>
      <c r="AH13" s="366">
        <f>IF(OR(AF13="",AG13=""),"",AF13-AG13)</f>
        <v>5.004534087258949</v>
      </c>
      <c r="AI13" s="364">
        <f>IF(AH13="","",IF(AH13&gt;5,3,IF(AH13&gt;0,1,IF(AH13&gt;-3,-1,-2))))</f>
        <v>3</v>
      </c>
    </row>
    <row r="14" spans="1:35"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5391</v>
      </c>
      <c r="F14" s="166">
        <f>IF(C14&lt;&gt;"",_xll.RssMarket(C14,"始値"),"")</f>
        <v>5315</v>
      </c>
      <c r="G14" s="165">
        <f>IF(C14&lt;&gt;"",終値!F127,"")</f>
        <v>5310</v>
      </c>
      <c r="H14" s="166">
        <f>IF(C14&lt;&gt;"",_xll.RssMarket(C14,"高値"),"")</f>
        <v>5394</v>
      </c>
      <c r="I14" s="166">
        <f>IF(C14&lt;&gt;"",_xll.RssMarket(C14,"安値"),"")</f>
        <v>5302</v>
      </c>
      <c r="J14" s="166">
        <f>IF(C14&lt;&gt;"",_xll.RssMarket(C14,"出来高"),"")</f>
        <v>1009000</v>
      </c>
      <c r="K14" s="166">
        <f>IF(C14&lt;&gt;"",_xll.RssMarket(C14,"年初来高値"),"")</f>
        <v>6828</v>
      </c>
      <c r="L14" s="167">
        <f>IF(AND(E14&lt;&gt;"",K14&lt;&gt;"",K14&lt;&gt;0),(E14-K14)/K14*100,"")</f>
        <v>-21.045694200351495</v>
      </c>
      <c r="M14" s="166">
        <f>IF(C14&lt;&gt;"",IFERROR(AVERAGE(出来高!E127:I127),""),"")</f>
        <v>1011680</v>
      </c>
      <c r="N14" s="166">
        <f>IF(C14&lt;&gt;"",IFERROR(AVERAGE(出来高!E127:AC127),""),"")</f>
        <v>926596</v>
      </c>
      <c r="O14" s="168">
        <f>IF(AND(J14&lt;&gt;"",M14&lt;&gt;"",M14&lt;&gt;0),J14/M14,"")</f>
        <v>0.99735094100901467</v>
      </c>
      <c r="P14" s="163" t="str">
        <f>IF(O14="","",IF(O14&gt;=2,"急増↑↑",IF(O14&gt;=1.5,"増加↑",IF(O14&gt;=1,"普通→","減少↓"))))</f>
        <v>減少↓</v>
      </c>
      <c r="Q14" s="163" t="str">
        <f>IF(E14="","",IF(AND(E14&gt;G14,O14&gt;=1.5),"買い▲",IF(E14&lt;G14,"様子見▼","中立→")))</f>
        <v>中立→</v>
      </c>
      <c r="R14" s="166">
        <f>IF(E14&lt;&gt;"",ROUND(E14*1.08,0),"")</f>
        <v>5822</v>
      </c>
      <c r="S14" s="166">
        <f>IF(E14&lt;&gt;"",ROUND(E14*0.96,0),"")</f>
        <v>5175</v>
      </c>
      <c r="T14" s="163">
        <f>IF(C14="","",IFERROR(IF(O14&gt;=2,3,IF(O14&gt;=1.5,2,IF(O14&gt;=1,1,0)))+IF(E14&gt;G14,1,0)+IF(L14&gt;=-5,1,0)+IF(Q14="買い▲",2,0)+IF(W14&lt;=30,3,IF(W14&lt;=40,2,IF(AND(W14&gt;=40,W14&lt;=60),1,0)))+IF(X14&gt;0,1,0)+IF(V14="年初来高値更新●",3,IF(V14="高値圏",2,0))+IF(AD14="パーフェクト▲",3,IF(AD14="上昇トレンド▲",2,0))+IF(AE14="25日線押し目●",2,IF(AE14="5日線押し目○",1,0))+IF(P14="急増↑↑",2,IF(P14="増加↑",1,0))+N(AI14),0))</f>
        <v>7</v>
      </c>
      <c r="U14" s="163" t="str">
        <f>IF(T14="","",IF(AND(T14&gt;=3,O14&gt;=1.5),"有効",IF(T14&gt;=3,"要確認","除外")))</f>
        <v>要確認</v>
      </c>
      <c r="V14" s="163" t="str">
        <f>IF(AND(H14&lt;&gt;"",K14&lt;&gt;""),IF(H14&gt;=K14,"年初来高値更新●",IF(H14&gt;=K14*0.95,"高値圏","通常")),"")</f>
        <v>通常</v>
      </c>
      <c r="W14" s="169">
        <f t="array" ref="W14">IF(C14&lt;&gt;"",IFERROR(100-100/(1+SUMPRODUCT((終値!F127:R127&gt;終値!G127:S127)*( 終値!F127:R127-終値!G127:S127))/SUMPRODUCT((終値!F127:R127&lt;終値!G127:S127)*(終値!G127:S127-終値!F127:R127))),50),"")</f>
        <v>44.126074498567334</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△注目</v>
      </c>
      <c r="Z14" s="171">
        <f>IF(AND(E14&lt;&gt;"",G14&lt;&gt;"",G14&lt;&gt;0),(E14-G14)/G14*100,"")</f>
        <v>1.5254237288135595</v>
      </c>
      <c r="AA14" s="163" t="str">
        <f>IF(OR(C14="",E14="",E14=0),"",IF(E14&gt;G14,"上昇▲",IF(E14&lt;G14,"下落▼","横ばい→")))</f>
        <v>上昇▲</v>
      </c>
      <c r="AB14" s="403">
        <f>IF(C14="","",IFERROR(((終値!E16*0.333)+(終値!F16*0.222)+(終値!G16*0.148)+(終値!H16*0.099)+(終値!I16*0.066)+(終値!J16*0.044)+(終値!K16*0.029)+(終値!L16*0.019)+(終値!M16*0.013)+(終値!N16*0.009))/(0.333+0.222+0.148+0.099+0.066+0.044+0.029+0.019+0.013+0.009),""))</f>
        <v>4734.9236252545816</v>
      </c>
      <c r="AC14" s="403">
        <f>IF(C14="","",IFERROR(SUMPRODUCT((終値!E16:AC16),({0.077,0.071,0.065,0.06,0.055,0.051,0.047,0.043,0.039,0.036,0.033,0.031,0.028,0.026,0.024,0.022,0.02,0.018,0.017,0.016,0.014,0.013,0.012,0.011,0.01}))/SUM({0.077,0.071,0.065,0.06,0.055,0.051,0.047,0.043,0.039,0.036,0.033,0.031,0.028,0.026,0.024,0.022,0.02,0.018,0.017,0.016,0.014,0.013,0.012,0.011,0.01}),""))</f>
        <v>4701.7771156138242</v>
      </c>
      <c r="AD14" s="404" t="str">
        <f>IF(OR(C14="",AB14="",AC14=""),"",IF(AND(E14&gt;AB14,AB14&gt;AC14),"パーフェクト▲",IF(E14&gt;AC14,"上昇トレンド▲",IF(AND(E14&lt;AB14,AB14&lt;AC14),"下降トレンド▼","もみ合い→"))))</f>
        <v>パーフェクト▲</v>
      </c>
      <c r="AE14" s="404" t="str">
        <f>IF(OR(C14="",AB14="",AC14=""),"",IF(AND(ABS(E14-AC14)/AC14&lt;=0.02,E14&gt;AC14),"25日押し目★",IF(AND(ABS(E14-AB14)/AB14&lt;=0.01,E14&gt;AB14),"5日押し目○","なし")))</f>
        <v>なし</v>
      </c>
      <c r="AF14" s="365">
        <f t="array" ref="AF14">IF(C14="","",IFERROR((INDEX(終値!$E:$E,MATCH(TEXT(C14,"0"),終値!$A:$A,0))-INDEX(終値!$E:$CZ,MATCH(TEXT(C14,"0"),終値!$A:$A,0),$AL$2))/INDEX(終値!$E:$CZ,MATCH(TEXT(C14,"0"),終値!$A:$A,0),$AL$2)*100,""))</f>
        <v>1.7553793884484712</v>
      </c>
      <c r="AG14" s="365">
        <f t="array" ref="AG14">IFERROR((終値!$E$5-INDEX(終値!$E$5:$IT$5,1,$AL$2))/INDEX(終値!$E$5:$IT$5,1,$AL$2)*100,"")</f>
        <v>1.0179378228534113</v>
      </c>
      <c r="AH14" s="366">
        <f>IF(OR(AF14="",AG14=""),"",AF14-AG14)</f>
        <v>0.73744156559505991</v>
      </c>
      <c r="AI14" s="364">
        <f>IF(AH14="","",IF(AH14&gt;5,3,IF(AH14&gt;0,1,IF(AH14&gt;-3,-1,-2))))</f>
        <v>1</v>
      </c>
    </row>
    <row r="15" spans="1:35"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5967</v>
      </c>
      <c r="F15" s="166">
        <f>IF(C15&lt;&gt;"",_xll.RssMarket(C15,"始値"),"")</f>
        <v>5988</v>
      </c>
      <c r="G15" s="165">
        <f>IF(C15&lt;&gt;"",終値!F115,"")</f>
        <v>5937</v>
      </c>
      <c r="H15" s="166">
        <f>IF(C15&lt;&gt;"",_xll.RssMarket(C15,"高値"),"")</f>
        <v>6024</v>
      </c>
      <c r="I15" s="166">
        <f>IF(C15&lt;&gt;"",_xll.RssMarket(C15,"安値"),"")</f>
        <v>5925</v>
      </c>
      <c r="J15" s="166">
        <f>IF(C15&lt;&gt;"",_xll.RssMarket(C15,"出来高"),"")</f>
        <v>862300</v>
      </c>
      <c r="K15" s="166">
        <f>IF(C15&lt;&gt;"",_xll.RssMarket(C15,"年初来高値"),"")</f>
        <v>7967</v>
      </c>
      <c r="L15" s="167">
        <f>IF(AND(E15&lt;&gt;"",K15&lt;&gt;"",K15&lt;&gt;0),(E15-K15)/K15*100,"")</f>
        <v>-25.1035521526296</v>
      </c>
      <c r="M15" s="166">
        <f>IF(C15&lt;&gt;"",IFERROR(AVERAGE(出来高!E115:I115),""),"")</f>
        <v>1019980</v>
      </c>
      <c r="N15" s="166">
        <f>IF(C15&lt;&gt;"",IFERROR(AVERAGE(出来高!E115:AC115),""),"")</f>
        <v>1033772</v>
      </c>
      <c r="O15" s="168">
        <f>IF(AND(J15&lt;&gt;"",M15&lt;&gt;"",M15&lt;&gt;0),J15/M15,"")</f>
        <v>0.84540873350457857</v>
      </c>
      <c r="P15" s="163" t="str">
        <f>IF(O15="","",IF(O15&gt;=2,"急増↑↑",IF(O15&gt;=1.5,"増加↑",IF(O15&gt;=1,"普通→","減少↓"))))</f>
        <v>減少↓</v>
      </c>
      <c r="Q15" s="163" t="str">
        <f>IF(E15="","",IF(AND(E15&gt;G15,O15&gt;=1.5),"買い▲",IF(E15&lt;G15,"様子見▼","中立→")))</f>
        <v>中立→</v>
      </c>
      <c r="R15" s="166">
        <f>IF(E15&lt;&gt;"",ROUND(E15*1.08,0),"")</f>
        <v>6444</v>
      </c>
      <c r="S15" s="166">
        <f>IF(E15&lt;&gt;"",ROUND(E15*0.96,0),"")</f>
        <v>5728</v>
      </c>
      <c r="T15" s="163">
        <f>IF(C15="","",IFERROR(IF(O15&gt;=2,3,IF(O15&gt;=1.5,2,IF(O15&gt;=1,1,0)))+IF(E15&gt;G15,1,0)+IF(L15&gt;=-5,1,0)+IF(Q15="買い▲",2,0)+IF(W15&lt;=30,3,IF(W15&lt;=40,2,IF(AND(W15&gt;=40,W15&lt;=60),1,0)))+IF(X15&gt;0,1,0)+IF(V15="年初来高値更新●",3,IF(V15="高値圏",2,0))+IF(AD15="パーフェクト▲",3,IF(AD15="上昇トレンド▲",2,0))+IF(AE15="25日線押し目●",2,IF(AE15="5日線押し目○",1,0))+IF(P15="急増↑↑",2,IF(P15="増加↑",1,0))+N(AI15),0))</f>
        <v>3</v>
      </c>
      <c r="U15" s="163" t="str">
        <f>IF(T15="","",IF(AND(T15&gt;=3,O15&gt;=1.5),"有効",IF(T15&gt;=3,"要確認","除外")))</f>
        <v>要確認</v>
      </c>
      <c r="V15" s="163" t="str">
        <f>IF(AND(H15&lt;&gt;"",K15&lt;&gt;""),IF(H15&gt;=K15,"年初来高値更新●",IF(H15&gt;=K15*0.95,"高値圏","通常")),"")</f>
        <v>通常</v>
      </c>
      <c r="W15" s="169">
        <f t="array" ref="W15">IF(C15&lt;&gt;"",IFERROR(100-100/(1+SUMPRODUCT((終値!F115:R115&gt;終値!G115:S115)*( 終値!F115:R115-終値!G115:S115))/SUMPRODUCT((終値!F115:R115&lt;終値!G115:S115)*(終値!G115:S115-終値!F115:R115))),50),"")</f>
        <v>39.567233384853175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様子見</v>
      </c>
      <c r="Z15" s="171">
        <f>IF(AND(E15&lt;&gt;"",G15&lt;&gt;"",G15&lt;&gt;0),(E15-G15)/G15*100,"")</f>
        <v>0.50530570995452251</v>
      </c>
      <c r="AA15" s="163" t="str">
        <f>IF(OR(C15="",E15="",E15=0),"",IF(E15&gt;G15,"上昇▲",IF(E15&lt;G15,"下落▼","横ばい→")))</f>
        <v>上昇▲</v>
      </c>
      <c r="AB15" s="405">
        <f>IF(C15="","",IFERROR(((終値!E17*0.333)+(終値!F17*0.222)+(終値!G17*0.148)+(終値!H17*0.099)+(終値!I17*0.066)+(終値!J17*0.044)+(終値!K17*0.029)+(終値!L17*0.019)+(終値!M17*0.013)+(終値!N17*0.009))/(0.333+0.222+0.148+0.099+0.066+0.044+0.029+0.019+0.013+0.009),""))</f>
        <v>5706.7352342158847</v>
      </c>
      <c r="AC15" s="405">
        <f>IF(C15="","",IFERROR(SUMPRODUCT((終値!E17:AC17),({0.077,0.071,0.065,0.06,0.055,0.051,0.047,0.043,0.039,0.036,0.033,0.031,0.028,0.026,0.024,0.022,0.02,0.018,0.017,0.016,0.014,0.013,0.012,0.011,0.01}))/SUM({0.077,0.071,0.065,0.06,0.055,0.051,0.047,0.043,0.039,0.036,0.033,0.031,0.028,0.026,0.024,0.022,0.02,0.018,0.017,0.016,0.014,0.013,0.012,0.011,0.01}),""))</f>
        <v>6007.0023837902245</v>
      </c>
      <c r="AD15" s="406" t="str">
        <f>IF(OR(C15="",AB15="",AC15=""),"",IF(AND(E15&gt;AB15,AB15&gt;AC15),"パーフェクト▲",IF(E15&gt;AC15,"上昇トレンド▲",IF(AND(E15&lt;AB15,AB15&lt;AC15),"下降トレンド▼","もみ合い→"))))</f>
        <v>もみ合い→</v>
      </c>
      <c r="AE15" s="406" t="str">
        <f>IF(OR(C15="",AB15="",AC15=""),"",IF(AND(ABS(E15-AC15)/AC15&lt;=0.02,E15&gt;AC15),"25日押し目★",IF(AND(ABS(E15-AB15)/AB15&lt;=0.01,E15&gt;AB15),"5日押し目○","なし")))</f>
        <v>なし</v>
      </c>
      <c r="AF15" s="365">
        <f t="array" ref="AF15">IF(C15="","",IFERROR((INDEX(終値!$E:$E,MATCH(TEXT(C15,"0"),終値!$A:$A,0))-INDEX(終値!$E:$CZ,MATCH(TEXT(C15,"0"),終値!$A:$A,0),$AL$2))/INDEX(終値!$E:$CZ,MATCH(TEXT(C15,"0"),終値!$A:$A,0),$AL$2)*100,""))</f>
        <v>-0.33405712376816438</v>
      </c>
      <c r="AG15" s="365">
        <f t="array" ref="AG15">IFERROR((終値!$E$5-INDEX(終値!$E$5:$IT$5,1,$AL$2))/INDEX(終値!$E$5:$IT$5,1,$AL$2)*100,"")</f>
        <v>1.0179378228534113</v>
      </c>
      <c r="AH15" s="366">
        <f>IF(OR(AF15="",AG15=""),"",AF15-AG15)</f>
        <v>-1.3519949466215757</v>
      </c>
      <c r="AI15" s="364">
        <f>IF(AH15="","",IF(AH15&gt;5,3,IF(AH15&gt;0,1,IF(AH15&gt;-3,-1,-2))))</f>
        <v>-1</v>
      </c>
    </row>
    <row r="16" spans="1:35"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1205</v>
      </c>
      <c r="F16" s="166">
        <f>IF(C16&lt;&gt;"",_xll.RssMarket(C16,"始値"),"")</f>
        <v>1178.5</v>
      </c>
      <c r="G16" s="165">
        <f>IF(C16&lt;&gt;"",終値!F186,"")</f>
        <v>1183.5</v>
      </c>
      <c r="H16" s="166">
        <f>IF(C16&lt;&gt;"",_xll.RssMarket(C16,"高値"),"")</f>
        <v>1211.5</v>
      </c>
      <c r="I16" s="166">
        <f>IF(C16&lt;&gt;"",_xll.RssMarket(C16,"安値"),"")</f>
        <v>1174.5</v>
      </c>
      <c r="J16" s="166">
        <f>IF(C16&lt;&gt;"",_xll.RssMarket(C16,"出来高"),"")</f>
        <v>3154500</v>
      </c>
      <c r="K16" s="166">
        <f>IF(C16&lt;&gt;"",_xll.RssMarket(C16,"年初来高値"),"")</f>
        <v>1323</v>
      </c>
      <c r="L16" s="167">
        <f>IF(AND(E16&lt;&gt;"",K16&lt;&gt;"",K16&lt;&gt;0),(E16-K16)/K16*100,"")</f>
        <v>-8.9191232048374918</v>
      </c>
      <c r="M16" s="166">
        <f>IF(C16&lt;&gt;"",IFERROR(AVERAGE(出来高!E186:I186),""),"")</f>
        <v>3383820</v>
      </c>
      <c r="N16" s="166">
        <f>IF(C16&lt;&gt;"",IFERROR(AVERAGE(出来高!E186:AC186),""),"")</f>
        <v>2731824</v>
      </c>
      <c r="O16" s="168">
        <f>IF(AND(J16&lt;&gt;"",M16&lt;&gt;"",M16&lt;&gt;0),J16/M16,"")</f>
        <v>0.93223043778924408</v>
      </c>
      <c r="P16" s="163" t="str">
        <f>IF(O16="","",IF(O16&gt;=2,"急増↑↑",IF(O16&gt;=1.5,"増加↑",IF(O16&gt;=1,"普通→","減少↓"))))</f>
        <v>減少↓</v>
      </c>
      <c r="Q16" s="163" t="str">
        <f>IF(E16="","",IF(AND(E16&gt;G16,O16&gt;=1.5),"買い▲",IF(E16&lt;G16,"様子見▼","中立→")))</f>
        <v>中立→</v>
      </c>
      <c r="R16" s="166">
        <f>IF(E16&lt;&gt;"",ROUND(E16*1.08,0),"")</f>
        <v>1301</v>
      </c>
      <c r="S16" s="166">
        <f>IF(E16&lt;&gt;"",ROUND(E16*0.96,0),"")</f>
        <v>1157</v>
      </c>
      <c r="T16" s="163">
        <f>IF(C16="","",IFERROR(IF(O16&gt;=2,3,IF(O16&gt;=1.5,2,IF(O16&gt;=1,1,0)))+IF(E16&gt;G16,1,0)+IF(L16&gt;=-5,1,0)+IF(Q16="買い▲",2,0)+IF(W16&lt;=30,3,IF(W16&lt;=40,2,IF(AND(W16&gt;=40,W16&lt;=60),1,0)))+IF(X16&gt;0,1,0)+IF(V16="年初来高値更新●",3,IF(V16="高値圏",2,0))+IF(AD16="パーフェクト▲",3,IF(AD16="上昇トレンド▲",2,0))+IF(AE16="25日線押し目●",2,IF(AE16="5日線押し目○",1,0))+IF(P16="急増↑↑",2,IF(P16="増加↑",1,0))+N(AI16),0))</f>
        <v>5</v>
      </c>
      <c r="U16" s="163" t="str">
        <f>IF(T16="","",IF(AND(T16&gt;=3,O16&gt;=1.5),"有効",IF(T16&gt;=3,"要確認","除外")))</f>
        <v>要確認</v>
      </c>
      <c r="V16" s="163" t="str">
        <f>IF(AND(H16&lt;&gt;"",K16&lt;&gt;""),IF(H16&gt;=K16,"年初来高値更新●",IF(H16&gt;=K16*0.95,"高値圏","通常")),"")</f>
        <v>通常</v>
      </c>
      <c r="W16" s="169">
        <f t="array" ref="W16">IF(C16&lt;&gt;"",IFERROR(100-100/(1+SUMPRODUCT((終値!F186:R186&gt;終値!G186:S186)*( 終値!F186:R186-終値!G186:S186))/SUMPRODUCT((終値!F186:R186&lt;終値!G186:S186)*(終値!G186:S186-終値!F186:R186))),50),"")</f>
        <v>69.178082191780817</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様子見</v>
      </c>
      <c r="Z16" s="171">
        <f>IF(AND(E16&lt;&gt;"",G16&lt;&gt;"",G16&lt;&gt;0),(E16-G16)/G16*100,"")</f>
        <v>1.8166455428812844</v>
      </c>
      <c r="AA16" s="163" t="str">
        <f>IF(OR(C16="",E16="",E16=0),"",IF(E16&gt;G16,"上昇▲",IF(E16&lt;G16,"下落▼","横ばい→")))</f>
        <v>上昇▲</v>
      </c>
      <c r="AB16" s="403">
        <f>IF(C16="","",IFERROR(((終値!E18*0.333)+(終値!F18*0.222)+(終値!G18*0.148)+(終値!H18*0.099)+(終値!I18*0.066)+(終値!J18*0.044)+(終値!K18*0.029)+(終値!L18*0.019)+(終値!M18*0.013)+(終値!N18*0.009))/(0.333+0.222+0.148+0.099+0.066+0.044+0.029+0.019+0.013+0.009),""))</f>
        <v>1700.2138492871688</v>
      </c>
      <c r="AC16" s="403">
        <f>IF(C16="","",IFERROR(SUMPRODUCT((終値!E18:AC18),({0.077,0.071,0.065,0.06,0.055,0.051,0.047,0.043,0.039,0.036,0.033,0.031,0.028,0.026,0.024,0.022,0.02,0.018,0.017,0.016,0.014,0.013,0.012,0.011,0.01}))/SUM({0.077,0.071,0.065,0.06,0.055,0.051,0.047,0.043,0.039,0.036,0.033,0.031,0.028,0.026,0.024,0.022,0.02,0.018,0.017,0.016,0.014,0.013,0.012,0.011,0.01}),""))</f>
        <v>1640.8998808104875</v>
      </c>
      <c r="AD16" s="404" t="str">
        <f>IF(OR(C16="",AB16="",AC16=""),"",IF(AND(E16&gt;AB16,AB16&gt;AC16),"パーフェクト▲",IF(E16&gt;AC16,"上昇トレンド▲",IF(AND(E16&lt;AB16,AB16&lt;AC16),"下降トレンド▼","もみ合い→"))))</f>
        <v>もみ合い→</v>
      </c>
      <c r="AE16" s="404" t="str">
        <f>IF(OR(C16="",AB16="",AC16=""),"",IF(AND(ABS(E16-AC16)/AC16&lt;=0.02,E16&gt;AC16),"25日押し目★",IF(AND(ABS(E16-AB16)/AB16&lt;=0.01,E16&gt;AB16),"5日押し目○","なし")))</f>
        <v>なし</v>
      </c>
      <c r="AF16" s="365">
        <f t="array" ref="AF16">IF(C16="","",IFERROR((INDEX(終値!$E:$E,MATCH(TEXT(C16,"0"),終値!$A:$A,0))-INDEX(終値!$E:$CZ,MATCH(TEXT(C16,"0"),終値!$A:$A,0),$AL$2))/INDEX(終値!$E:$CZ,MATCH(TEXT(C16,"0"),終値!$A:$A,0),$AL$2)*100,""))</f>
        <v>13.465160075329566</v>
      </c>
      <c r="AG16" s="365">
        <f t="array" ref="AG16">IFERROR((終値!$E$5-INDEX(終値!$E$5:$IT$5,1,$AL$2))/INDEX(終値!$E$5:$IT$5,1,$AL$2)*100,"")</f>
        <v>1.0179378228534113</v>
      </c>
      <c r="AH16" s="366">
        <f>IF(OR(AF16="",AG16=""),"",AF16-AG16)</f>
        <v>12.447222252476154</v>
      </c>
      <c r="AI16" s="364">
        <f>IF(AH16="","",IF(AH16&gt;5,3,IF(AH16&gt;0,1,IF(AH16&gt;-3,-1,-2))))</f>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921.5</v>
      </c>
      <c r="F17" s="166">
        <f>IF(C17&lt;&gt;"",_xll.RssMarket(C17,"始値"),"")</f>
        <v>910</v>
      </c>
      <c r="G17" s="165">
        <f>IF(C17&lt;&gt;"",終値!F181,"")</f>
        <v>915.8</v>
      </c>
      <c r="H17" s="166">
        <f>IF(C17&lt;&gt;"",_xll.RssMarket(C17,"高値"),"")</f>
        <v>928.2</v>
      </c>
      <c r="I17" s="166">
        <f>IF(C17&lt;&gt;"",_xll.RssMarket(C17,"安値"),"")</f>
        <v>909.3</v>
      </c>
      <c r="J17" s="166">
        <f>IF(C17&lt;&gt;"",_xll.RssMarket(C17,"出来高"),"")</f>
        <v>932100</v>
      </c>
      <c r="K17" s="166">
        <f>IF(C17&lt;&gt;"",_xll.RssMarket(C17,"年初来高値"),"")</f>
        <v>1142</v>
      </c>
      <c r="L17" s="167">
        <f>IF(AND(E17&lt;&gt;"",K17&lt;&gt;"",K17&lt;&gt;0),(E17-K17)/K17*100,"")</f>
        <v>-19.308231173380037</v>
      </c>
      <c r="M17" s="166">
        <f>IF(C17&lt;&gt;"",IFERROR(AVERAGE(出来高!E181:I181),""),"")</f>
        <v>1023140</v>
      </c>
      <c r="N17" s="166">
        <f>IF(C17&lt;&gt;"",IFERROR(AVERAGE(出来高!E181:AC181),""),"")</f>
        <v>932964</v>
      </c>
      <c r="O17" s="168">
        <f>IF(AND(J17&lt;&gt;"",M17&lt;&gt;"",M17&lt;&gt;0),J17/M17,"")</f>
        <v>0.91101901987997735</v>
      </c>
      <c r="P17" s="163" t="str">
        <f>IF(O17="","",IF(O17&gt;=2,"急増↑↑",IF(O17&gt;=1.5,"増加↑",IF(O17&gt;=1,"普通→","減少↓"))))</f>
        <v>減少↓</v>
      </c>
      <c r="Q17" s="163" t="str">
        <f>IF(E17="","",IF(AND(E17&gt;G17,O17&gt;=1.5),"買い▲",IF(E17&lt;G17,"様子見▼","中立→")))</f>
        <v>中立→</v>
      </c>
      <c r="R17" s="166">
        <f>IF(E17&lt;&gt;"",ROUND(E17*1.08,0),"")</f>
        <v>995</v>
      </c>
      <c r="S17" s="166">
        <f>IF(E17&lt;&gt;"",ROUND(E17*0.96,0),"")</f>
        <v>885</v>
      </c>
      <c r="T17" s="163">
        <f>IF(C17="","",IFERROR(IF(O17&gt;=2,3,IF(O17&gt;=1.5,2,IF(O17&gt;=1,1,0)))+IF(E17&gt;G17,1,0)+IF(L17&gt;=-5,1,0)+IF(Q17="買い▲",2,0)+IF(W17&lt;=30,3,IF(W17&lt;=40,2,IF(AND(W17&gt;=40,W17&lt;=60),1,0)))+IF(X17&gt;0,1,0)+IF(V17="年初来高値更新●",3,IF(V17="高値圏",2,0))+IF(AD17="パーフェクト▲",3,IF(AD17="上昇トレンド▲",2,0))+IF(AE17="25日線押し目●",2,IF(AE17="5日線押し目○",1,0))+IF(P17="急増↑↑",2,IF(P17="増加↑",1,0))+N(AI17),0))</f>
        <v>4</v>
      </c>
      <c r="U17" s="163" t="str">
        <f>IF(T17="","",IF(AND(T17&gt;=3,O17&gt;=1.5),"有効",IF(T17&gt;=3,"要確認","除外")))</f>
        <v>要確認</v>
      </c>
      <c r="V17" s="163" t="str">
        <f>IF(AND(H17&lt;&gt;"",K17&lt;&gt;""),IF(H17&gt;=K17,"年初来高値更新●",IF(H17&gt;=K17*0.95,"高値圏","通常")),"")</f>
        <v>通常</v>
      </c>
      <c r="W17" s="169">
        <f t="array" ref="W17">IF(C17&lt;&gt;"",IFERROR(100-100/(1+SUMPRODUCT((終値!F181:R181&gt;終値!G181:S181)*( 終値!F181:R181-終値!G181:S181))/SUMPRODUCT((終値!F181:R181&lt;終値!G181:S181)*(終値!G181:S181-終値!F181:R181))),50),"")</f>
        <v>51.273584905660371</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様子見</v>
      </c>
      <c r="Z17" s="171">
        <f>IF(AND(E17&lt;&gt;"",G17&lt;&gt;"",G17&lt;&gt;0),(E17-G17)/G17*100,"")</f>
        <v>0.62240663900415438</v>
      </c>
      <c r="AA17" s="163" t="str">
        <f>IF(OR(C17="",E17="",E17=0),"",IF(E17&gt;G17,"上昇▲",IF(E17&lt;G17,"下落▼","横ばい→")))</f>
        <v>上昇▲</v>
      </c>
      <c r="AB17" s="405">
        <f>IF(C17="","",IFERROR(((終値!E19*0.333)+(終値!F19*0.222)+(終値!G19*0.148)+(終値!H19*0.099)+(終値!I19*0.066)+(終値!J19*0.044)+(終値!K19*0.029)+(終値!L19*0.019)+(終値!M19*0.013)+(終値!N19*0.009))/(0.333+0.222+0.148+0.099+0.066+0.044+0.029+0.019+0.013+0.009),""))</f>
        <v>8329.4541751527486</v>
      </c>
      <c r="AC17" s="405">
        <f>IF(C17="","",IFERROR(SUMPRODUCT((終値!E19:AC19),({0.077,0.071,0.065,0.06,0.055,0.051,0.047,0.043,0.039,0.036,0.033,0.031,0.028,0.026,0.024,0.022,0.02,0.018,0.017,0.016,0.014,0.013,0.012,0.011,0.01}))/SUM({0.077,0.071,0.065,0.06,0.055,0.051,0.047,0.043,0.039,0.036,0.033,0.031,0.028,0.026,0.024,0.022,0.02,0.018,0.017,0.016,0.014,0.013,0.012,0.011,0.01}),""))</f>
        <v>8295.6746126340859</v>
      </c>
      <c r="AD17" s="406" t="str">
        <f>IF(OR(C17="",AB17="",AC17=""),"",IF(AND(E17&gt;AB17,AB17&gt;AC17),"パーフェクト▲",IF(E17&gt;AC17,"上昇トレンド▲",IF(AND(E17&lt;AB17,AB17&lt;AC17),"下降トレンド▼","もみ合い→"))))</f>
        <v>もみ合い→</v>
      </c>
      <c r="AE17" s="406" t="str">
        <f>IF(OR(C17="",AB17="",AC17=""),"",IF(AND(ABS(E17-AC17)/AC17&lt;=0.02,E17&gt;AC17),"25日押し目★",IF(AND(ABS(E17-AB17)/AB17&lt;=0.01,E17&gt;AB17),"5日押し目○","なし")))</f>
        <v>なし</v>
      </c>
      <c r="AF17" s="365">
        <f t="array" ref="AF17">IF(C17="","",IFERROR((INDEX(終値!$E:$E,MATCH(TEXT(C17,"0"),終値!$A:$A,0))-INDEX(終値!$E:$CZ,MATCH(TEXT(C17,"0"),終値!$A:$A,0),$AL$2))/INDEX(終値!$E:$CZ,MATCH(TEXT(C17,"0"),終値!$A:$A,0),$AL$2)*100,""))</f>
        <v>5.3142857142857141</v>
      </c>
      <c r="AG17" s="365">
        <f t="array" ref="AG17">IFERROR((終値!$E$5-INDEX(終値!$E$5:$IT$5,1,$AL$2))/INDEX(終値!$E$5:$IT$5,1,$AL$2)*100,"")</f>
        <v>1.0179378228534113</v>
      </c>
      <c r="AH17" s="366">
        <f>IF(OR(AF17="",AG17=""),"",AF17-AG17)</f>
        <v>4.296347891432303</v>
      </c>
      <c r="AI17" s="364">
        <f>IF(AH17="","",IF(AH17&gt;5,3,IF(AH17&gt;0,1,IF(AH17&gt;-3,-1,-2))))</f>
        <v>1</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537</v>
      </c>
      <c r="F18" s="166">
        <f>IF(C18&lt;&gt;"",_xll.RssMarket(C18,"始値"),"")</f>
        <v>521</v>
      </c>
      <c r="G18" s="165">
        <f>IF(C18&lt;&gt;"",終値!F114,"")</f>
        <v>526</v>
      </c>
      <c r="H18" s="166">
        <f>IF(C18&lt;&gt;"",_xll.RssMarket(C18,"高値"),"")</f>
        <v>542.70000000000005</v>
      </c>
      <c r="I18" s="166">
        <f>IF(C18&lt;&gt;"",_xll.RssMarket(C18,"安値"),"")</f>
        <v>518.9</v>
      </c>
      <c r="J18" s="166">
        <f>IF(C18&lt;&gt;"",_xll.RssMarket(C18,"出来高"),"")</f>
        <v>32319200</v>
      </c>
      <c r="K18" s="166">
        <f>IF(C18&lt;&gt;"",_xll.RssMarket(C18,"年初来高値"),"")</f>
        <v>760</v>
      </c>
      <c r="L18" s="167">
        <f>IF(AND(E18&lt;&gt;"",K18&lt;&gt;"",K18&lt;&gt;0),(E18-K18)/K18*100,"")</f>
        <v>-29.342105263157897</v>
      </c>
      <c r="M18" s="166">
        <f>IF(C18&lt;&gt;"",IFERROR(AVERAGE(出来高!E114:I114),""),"")</f>
        <v>37089640</v>
      </c>
      <c r="N18" s="166">
        <f>IF(C18&lt;&gt;"",IFERROR(AVERAGE(出来高!E114:AC114),""),"")</f>
        <v>35292060</v>
      </c>
      <c r="O18" s="168">
        <f>IF(AND(J18&lt;&gt;"",M18&lt;&gt;"",M18&lt;&gt;0),J18/M18,"")</f>
        <v>0.87138079528407397</v>
      </c>
      <c r="P18" s="163" t="str">
        <f>IF(O18="","",IF(O18&gt;=2,"急増↑↑",IF(O18&gt;=1.5,"増加↑",IF(O18&gt;=1,"普通→","減少↓"))))</f>
        <v>減少↓</v>
      </c>
      <c r="Q18" s="163" t="str">
        <f>IF(E18="","",IF(AND(E18&gt;G18,O18&gt;=1.5),"買い▲",IF(E18&lt;G18,"様子見▼","中立→")))</f>
        <v>中立→</v>
      </c>
      <c r="R18" s="166">
        <f>IF(E18&lt;&gt;"",ROUND(E18*1.08,0),"")</f>
        <v>580</v>
      </c>
      <c r="S18" s="166">
        <f>IF(E18&lt;&gt;"",ROUND(E18*0.96,0),"")</f>
        <v>516</v>
      </c>
      <c r="T18" s="163">
        <f>IF(C18="","",IFERROR(IF(O18&gt;=2,3,IF(O18&gt;=1.5,2,IF(O18&gt;=1,1,0)))+IF(E18&gt;G18,1,0)+IF(L18&gt;=-5,1,0)+IF(Q18="買い▲",2,0)+IF(W18&lt;=30,3,IF(W18&lt;=40,2,IF(AND(W18&gt;=40,W18&lt;=60),1,0)))+IF(X18&gt;0,1,0)+IF(V18="年初来高値更新●",3,IF(V18="高値圏",2,0))+IF(AD18="パーフェクト▲",3,IF(AD18="上昇トレンド▲",2,0))+IF(AE18="25日線押し目●",2,IF(AE18="5日線押し目○",1,0))+IF(P18="急増↑↑",2,IF(P18="増加↑",1,0))+N(AI18),0))</f>
        <v>6</v>
      </c>
      <c r="U18" s="163" t="str">
        <f>IF(T18="","",IF(AND(T18&gt;=3,O18&gt;=1.5),"有効",IF(T18&gt;=3,"要確認","除外")))</f>
        <v>要確認</v>
      </c>
      <c r="V18" s="163" t="str">
        <f>IF(AND(H18&lt;&gt;"",K18&lt;&gt;""),IF(H18&gt;=K18,"年初来高値更新●",IF(H18&gt;=K18*0.95,"高値圏","通常")),"")</f>
        <v>通常</v>
      </c>
      <c r="W18" s="169">
        <f t="array" ref="W18">IF(C18&lt;&gt;"",IFERROR(100-100/(1+SUMPRODUCT((終値!F114:R114&gt;終値!G114:S114)*( 終値!F114:R114-終値!G114:S114))/SUMPRODUCT((終値!F114:R114&lt;終値!G114:S114)*(終値!G114:S114-終値!F114:R114))),50),"")</f>
        <v>59.751972942502803</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△注目</v>
      </c>
      <c r="Z18" s="171">
        <f>IF(AND(E18&lt;&gt;"",G18&lt;&gt;"",G18&lt;&gt;0),(E18-G18)/G18*100,"")</f>
        <v>2.0912547528517109</v>
      </c>
      <c r="AA18" s="163" t="str">
        <f>IF(OR(C18="",E18="",E18=0),"",IF(E18&gt;G18,"上昇▲",IF(E18&lt;G18,"下落▼","横ばい→")))</f>
        <v>上昇▲</v>
      </c>
      <c r="AB18" s="403">
        <f>IF(C18="","",IFERROR(((終値!E20*0.333)+(終値!F20*0.222)+(終値!G20*0.148)+(終値!H20*0.099)+(終値!I20*0.066)+(終値!J20*0.044)+(終値!K20*0.029)+(終値!L20*0.019)+(終値!M20*0.013)+(終値!N20*0.009))/(0.333+0.222+0.148+0.099+0.066+0.044+0.029+0.019+0.013+0.009),""))</f>
        <v>2476.8095723014249</v>
      </c>
      <c r="AC18" s="403">
        <f>IF(C18="","",IFERROR(SUMPRODUCT((終値!E20:AC20),({0.077,0.071,0.065,0.06,0.055,0.051,0.047,0.043,0.039,0.036,0.033,0.031,0.028,0.026,0.024,0.022,0.02,0.018,0.017,0.016,0.014,0.013,0.012,0.011,0.01}))/SUM({0.077,0.071,0.065,0.06,0.055,0.051,0.047,0.043,0.039,0.036,0.033,0.031,0.028,0.026,0.024,0.022,0.02,0.018,0.017,0.016,0.014,0.013,0.012,0.011,0.01}),""))</f>
        <v>2288.9702026221685</v>
      </c>
      <c r="AD18" s="404" t="str">
        <f>IF(OR(C18="",AB18="",AC18=""),"",IF(AND(E18&gt;AB18,AB18&gt;AC18),"パーフェクト▲",IF(E18&gt;AC18,"上昇トレンド▲",IF(AND(E18&lt;AB18,AB18&lt;AC18),"下降トレンド▼","もみ合い→"))))</f>
        <v>もみ合い→</v>
      </c>
      <c r="AE18" s="404" t="str">
        <f>IF(OR(C18="",AB18="",AC18=""),"",IF(AND(ABS(E18-AC18)/AC18&lt;=0.02,E18&gt;AC18),"25日押し目★",IF(AND(ABS(E18-AB18)/AB18&lt;=0.01,E18&gt;AB18),"5日押し目○","なし")))</f>
        <v>なし</v>
      </c>
      <c r="AF18" s="365">
        <f t="array" ref="AF18">IF(C18="","",IFERROR((INDEX(終値!$E:$E,MATCH(TEXT(C18,"0"),終値!$A:$A,0))-INDEX(終値!$E:$CZ,MATCH(TEXT(C18,"0"),終値!$A:$A,0),$AL$2))/INDEX(終値!$E:$CZ,MATCH(TEXT(C18,"0"),終値!$A:$A,0),$AL$2)*100,""))</f>
        <v>17.996044825313113</v>
      </c>
      <c r="AG18" s="365">
        <f t="array" ref="AG18">IFERROR((終値!$E$5-INDEX(終値!$E$5:$IT$5,1,$AL$2))/INDEX(終値!$E$5:$IT$5,1,$AL$2)*100,"")</f>
        <v>1.0179378228534113</v>
      </c>
      <c r="AH18" s="366">
        <f>IF(OR(AF18="",AG18=""),"",AF18-AG18)</f>
        <v>16.978107002459701</v>
      </c>
      <c r="AI18" s="364">
        <f>IF(AH18="","",IF(AH18&gt;5,3,IF(AH18&gt;0,1,IF(AH18&gt;-3,-1,-2))))</f>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4196</v>
      </c>
      <c r="F19" s="166">
        <f>IF(C19&lt;&gt;"",_xll.RssMarket(C19,"始値"),"")</f>
        <v>4215</v>
      </c>
      <c r="G19" s="165">
        <f>IF(C19&lt;&gt;"",終値!F113,"")</f>
        <v>4184</v>
      </c>
      <c r="H19" s="166">
        <f>IF(C19&lt;&gt;"",_xll.RssMarket(C19,"高値"),"")</f>
        <v>4223</v>
      </c>
      <c r="I19" s="166">
        <f>IF(C19&lt;&gt;"",_xll.RssMarket(C19,"安値"),"")</f>
        <v>4137</v>
      </c>
      <c r="J19" s="166">
        <f>IF(C19&lt;&gt;"",_xll.RssMarket(C19,"出来高"),"")</f>
        <v>373600</v>
      </c>
      <c r="K19" s="166">
        <f>IF(C19&lt;&gt;"",_xll.RssMarket(C19,"年初来高値"),"")</f>
        <v>4302</v>
      </c>
      <c r="L19" s="167">
        <f>IF(AND(E19&lt;&gt;"",K19&lt;&gt;"",K19&lt;&gt;0),(E19-K19)/K19*100,"")</f>
        <v>-2.4639702463970248</v>
      </c>
      <c r="M19" s="166">
        <f>IF(C19&lt;&gt;"",IFERROR(AVERAGE(出来高!E113:I113),""),"")</f>
        <v>464320</v>
      </c>
      <c r="N19" s="166">
        <f>IF(C19&lt;&gt;"",IFERROR(AVERAGE(出来高!E113:AC113),""),"")</f>
        <v>509904</v>
      </c>
      <c r="O19" s="168">
        <f>IF(AND(J19&lt;&gt;"",M19&lt;&gt;"",M19&lt;&gt;0),J19/M19,"")</f>
        <v>0.80461750516884911</v>
      </c>
      <c r="P19" s="163" t="str">
        <f>IF(O19="","",IF(O19&gt;=2,"急増↑↑",IF(O19&gt;=1.5,"増加↑",IF(O19&gt;=1,"普通→","減少↓"))))</f>
        <v>減少↓</v>
      </c>
      <c r="Q19" s="163" t="str">
        <f>IF(E19="","",IF(AND(E19&gt;G19,O19&gt;=1.5),"買い▲",IF(E19&lt;G19,"様子見▼","中立→")))</f>
        <v>中立→</v>
      </c>
      <c r="R19" s="166">
        <f>IF(E19&lt;&gt;"",ROUND(E19*1.08,0),"")</f>
        <v>4532</v>
      </c>
      <c r="S19" s="166">
        <f>IF(E19&lt;&gt;"",ROUND(E19*0.96,0),"")</f>
        <v>4028</v>
      </c>
      <c r="T19" s="163">
        <f>IF(C19="","",IFERROR(IF(O19&gt;=2,3,IF(O19&gt;=1.5,2,IF(O19&gt;=1,1,0)))+IF(E19&gt;G19,1,0)+IF(L19&gt;=-5,1,0)+IF(Q19="買い▲",2,0)+IF(W19&lt;=30,3,IF(W19&lt;=40,2,IF(AND(W19&gt;=40,W19&lt;=60),1,0)))+IF(X19&gt;0,1,0)+IF(V19="年初来高値更新●",3,IF(V19="高値圏",2,0))+IF(AD19="パーフェクト▲",3,IF(AD19="上昇トレンド▲",2,0))+IF(AE19="25日線押し目●",2,IF(AE19="5日線押し目○",1,0))+IF(P19="急増↑↑",2,IF(P19="増加↑",1,0))+N(AI19),0))</f>
        <v>9</v>
      </c>
      <c r="U19" s="163" t="str">
        <f>IF(T19="","",IF(AND(T19&gt;=3,O19&gt;=1.5),"有効",IF(T19&gt;=3,"要確認","除外")))</f>
        <v>要確認</v>
      </c>
      <c r="V19" s="163" t="str">
        <f>IF(AND(H19&lt;&gt;"",K19&lt;&gt;""),IF(H19&gt;=K19,"年初来高値更新●",IF(H19&gt;=K19*0.95,"高値圏","通常")),"")</f>
        <v>高値圏</v>
      </c>
      <c r="W19" s="169">
        <f t="array" ref="W19">IF(C19&lt;&gt;"",IFERROR(100-100/(1+SUMPRODUCT((終値!F113:R113&gt;終値!G113:S113)*( 終値!F113:R113-終値!G113:S113))/SUMPRODUCT((終値!F113:R113&lt;終値!G113:S113)*(終値!G113:S113-終値!F113:R113))),50),"")</f>
        <v>59.125</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△注目</v>
      </c>
      <c r="Z19" s="171">
        <f>IF(AND(E19&lt;&gt;"",G19&lt;&gt;"",G19&lt;&gt;0),(E19-G19)/G19*100,"")</f>
        <v>0.28680688336520077</v>
      </c>
      <c r="AA19" s="163" t="str">
        <f>IF(OR(C19="",E19="",E19=0),"",IF(E19&gt;G19,"上昇▲",IF(E19&lt;G19,"下落▼","横ばい→")))</f>
        <v>上昇▲</v>
      </c>
      <c r="AB19" s="405">
        <f>IF(C19="","",IFERROR(((終値!E21*0.333)+(終値!F21*0.222)+(終値!G21*0.148)+(終値!H21*0.099)+(終値!I21*0.066)+(終値!J21*0.044)+(終値!K21*0.029)+(終値!L21*0.019)+(終値!M21*0.013)+(終値!N21*0.009))/(0.333+0.222+0.148+0.099+0.066+0.044+0.029+0.019+0.013+0.009),""))</f>
        <v>6489.596741344194</v>
      </c>
      <c r="AC19" s="405">
        <f>IF(C19="","",IFERROR(SUMPRODUCT((終値!E21:AC21),({0.077,0.071,0.065,0.06,0.055,0.051,0.047,0.043,0.039,0.036,0.033,0.031,0.028,0.026,0.024,0.022,0.02,0.018,0.017,0.016,0.014,0.013,0.012,0.011,0.01}))/SUM({0.077,0.071,0.065,0.06,0.055,0.051,0.047,0.043,0.039,0.036,0.033,0.031,0.028,0.026,0.024,0.022,0.02,0.018,0.017,0.016,0.014,0.013,0.012,0.011,0.01}),""))</f>
        <v>6817.9082240762782</v>
      </c>
      <c r="AD19" s="406" t="str">
        <f>IF(OR(C19="",AB19="",AC19=""),"",IF(AND(E19&gt;AB19,AB19&gt;AC19),"パーフェクト▲",IF(E19&gt;AC19,"上昇トレンド▲",IF(AND(E19&lt;AB19,AB19&lt;AC19),"下降トレンド▼","もみ合い→"))))</f>
        <v>下降トレンド▼</v>
      </c>
      <c r="AE19" s="406" t="str">
        <f>IF(OR(C19="",AB19="",AC19=""),"",IF(AND(ABS(E19-AC19)/AC19&lt;=0.02,E19&gt;AC19),"25日押し目★",IF(AND(ABS(E19-AB19)/AB19&lt;=0.01,E19&gt;AB19),"5日押し目○","なし")))</f>
        <v>なし</v>
      </c>
      <c r="AF19" s="365">
        <f t="array" ref="AF19">IF(C19="","",IFERROR((INDEX(終値!$E:$E,MATCH(TEXT(C19,"0"),終値!$A:$A,0))-INDEX(終値!$E:$CZ,MATCH(TEXT(C19,"0"),終値!$A:$A,0),$AL$2))/INDEX(終値!$E:$CZ,MATCH(TEXT(C19,"0"),終値!$A:$A,0),$AL$2)*100,""))</f>
        <v>24.510385756676559</v>
      </c>
      <c r="AG19" s="365">
        <f t="array" ref="AG19">IFERROR((終値!$E$5-INDEX(終値!$E$5:$IT$5,1,$AL$2))/INDEX(終値!$E$5:$IT$5,1,$AL$2)*100,"")</f>
        <v>1.0179378228534113</v>
      </c>
      <c r="AH19" s="366">
        <f>IF(OR(AF19="",AG19=""),"",AF19-AG19)</f>
        <v>23.492447933823147</v>
      </c>
      <c r="AI19" s="364">
        <f>IF(AH19="","",IF(AH19&gt;5,3,IF(AH19&gt;0,1,IF(AH19&gt;-3,-1,-2))))</f>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114</v>
      </c>
      <c r="F20" s="166">
        <f>IF(C20&lt;&gt;"",_xll.RssMarket(C20,"始値"),"")</f>
        <v>114</v>
      </c>
      <c r="G20" s="165">
        <f>IF(C20&lt;&gt;"",終値!F70,"")</f>
        <v>114</v>
      </c>
      <c r="H20" s="166">
        <f>IF(C20&lt;&gt;"",_xll.RssMarket(C20,"高値"),"")</f>
        <v>115</v>
      </c>
      <c r="I20" s="166">
        <f>IF(C20&lt;&gt;"",_xll.RssMarket(C20,"安値"),"")</f>
        <v>112</v>
      </c>
      <c r="J20" s="166">
        <f>IF(C20&lt;&gt;"",_xll.RssMarket(C20,"出来高"),"")</f>
        <v>2428600</v>
      </c>
      <c r="K20" s="166">
        <f>IF(C20&lt;&gt;"",_xll.RssMarket(C20,"年初来高値"),"")</f>
        <v>155</v>
      </c>
      <c r="L20" s="167">
        <f>IF(AND(E20&lt;&gt;"",K20&lt;&gt;"",K20&lt;&gt;0),(E20-K20)/K20*100,"")</f>
        <v>-26.451612903225808</v>
      </c>
      <c r="M20" s="166">
        <f>IF(C20&lt;&gt;"",IFERROR(AVERAGE(出来高!E70:I70),""),"")</f>
        <v>1510420</v>
      </c>
      <c r="N20" s="166">
        <f>IF(C20&lt;&gt;"",IFERROR(AVERAGE(出来高!E70:AC70),""),"")</f>
        <v>1457612.5</v>
      </c>
      <c r="O20" s="168">
        <f>IF(AND(J20&lt;&gt;"",M20&lt;&gt;"",M20&lt;&gt;0),J20/M20,"")</f>
        <v>1.607897141192516</v>
      </c>
      <c r="P20" s="163" t="str">
        <f>IF(O20="","",IF(O20&gt;=2,"急増↑↑",IF(O20&gt;=1.5,"増加↑",IF(O20&gt;=1,"普通→","減少↓"))))</f>
        <v>増加↑</v>
      </c>
      <c r="Q20" s="163" t="str">
        <f>IF(E20="","",IF(AND(E20&gt;G20,O20&gt;=1.5),"買い▲",IF(E20&lt;G20,"様子見▼","中立→")))</f>
        <v>中立→</v>
      </c>
      <c r="R20" s="166">
        <f>IF(E20&lt;&gt;"",ROUND(E20*1.08,0),"")</f>
        <v>123</v>
      </c>
      <c r="S20" s="166">
        <f>IF(E20&lt;&gt;"",ROUND(E20*0.96,0),"")</f>
        <v>109</v>
      </c>
      <c r="T20" s="163">
        <f>IF(C20="","",IFERROR(IF(O20&gt;=2,3,IF(O20&gt;=1.5,2,IF(O20&gt;=1,1,0)))+IF(E20&gt;G20,1,0)+IF(L20&gt;=-5,1,0)+IF(Q20="買い▲",2,0)+IF(W20&lt;=30,3,IF(W20&lt;=40,2,IF(AND(W20&gt;=40,W20&lt;=60),1,0)))+IF(X20&gt;0,1,0)+IF(V20="年初来高値更新●",3,IF(V20="高値圏",2,0))+IF(AD20="パーフェクト▲",3,IF(AD20="上昇トレンド▲",2,0))+IF(AE20="25日線押し目●",2,IF(AE20="5日線押し目○",1,0))+IF(P20="急増↑↑",2,IF(P20="増加↑",1,0))+N(AI20),0))</f>
        <v>7</v>
      </c>
      <c r="U20" s="163" t="str">
        <f>IF(T20="","",IF(AND(T20&gt;=3,O20&gt;=1.5),"有効",IF(T20&gt;=3,"要確認","除外")))</f>
        <v>有効</v>
      </c>
      <c r="V20" s="163" t="str">
        <f>IF(AND(H20&lt;&gt;"",K20&lt;&gt;""),IF(H20&gt;=K20,"年初来高値更新●",IF(H20&gt;=K20*0.95,"高値圏","通常")),"")</f>
        <v>通常</v>
      </c>
      <c r="W20" s="169">
        <f t="array" ref="W20">IF(C20&lt;&gt;"",IFERROR(100-100/(1+SUMPRODUCT((終値!F70:R70&gt;終値!G70:S70)*( 終値!F70:R70-終値!G70:S70))/SUMPRODUCT((終値!F70:R70&lt;終値!G70:S70)*(終値!G70:S70-終値!F70:R70))),50),"")</f>
        <v>49.1869918699187</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△注目</v>
      </c>
      <c r="Z20" s="171">
        <f>IF(AND(E20&lt;&gt;"",G20&lt;&gt;"",G20&lt;&gt;0),(E20-G20)/G20*100,"")</f>
        <v>0</v>
      </c>
      <c r="AA20" s="163" t="str">
        <f>IF(OR(C20="",E20="",E20=0),"",IF(E20&gt;G20,"上昇▲",IF(E20&lt;G20,"下落▼","横ばい→")))</f>
        <v>横ばい→</v>
      </c>
      <c r="AB20" s="403">
        <f>IF(C20="","",IFERROR(((終値!E22*0.333)+(終値!F22*0.222)+(終値!G22*0.148)+(終値!H22*0.099)+(終値!I22*0.066)+(終値!J22*0.044)+(終値!K22*0.029)+(終値!L22*0.019)+(終値!M22*0.013)+(終値!N22*0.009))/(0.333+0.222+0.148+0.099+0.066+0.044+0.029+0.019+0.013+0.009),""))</f>
        <v>4830.3778004073311</v>
      </c>
      <c r="AC20" s="403">
        <f>IF(C20="","",IFERROR(SUMPRODUCT((終値!E22:AC22),({0.077,0.071,0.065,0.06,0.055,0.051,0.047,0.043,0.039,0.036,0.033,0.031,0.028,0.026,0.024,0.022,0.02,0.018,0.017,0.016,0.014,0.013,0.012,0.011,0.01}))/SUM({0.077,0.071,0.065,0.06,0.055,0.051,0.047,0.043,0.039,0.036,0.033,0.031,0.028,0.026,0.024,0.022,0.02,0.018,0.017,0.016,0.014,0.013,0.012,0.011,0.01}),""))</f>
        <v>4782.5697258641221</v>
      </c>
      <c r="AD20" s="404" t="str">
        <f>IF(OR(C20="",AB20="",AC20=""),"",IF(AND(E20&gt;AB20,AB20&gt;AC20),"パーフェクト▲",IF(E20&gt;AC20,"上昇トレンド▲",IF(AND(E20&lt;AB20,AB20&lt;AC20),"下降トレンド▼","もみ合い→"))))</f>
        <v>もみ合い→</v>
      </c>
      <c r="AE20" s="404" t="str">
        <f>IF(OR(C20="",AB20="",AC20=""),"",IF(AND(ABS(E20-AC20)/AC20&lt;=0.02,E20&gt;AC20),"25日押し目★",IF(AND(ABS(E20-AB20)/AB20&lt;=0.01,E20&gt;AB20),"5日押し目○","なし")))</f>
        <v>なし</v>
      </c>
      <c r="AF20" s="365">
        <f t="array" ref="AF20">IF(C20="","",IFERROR((INDEX(終値!$E:$E,MATCH(TEXT(C20,"0"),終値!$A:$A,0))-INDEX(終値!$E:$CZ,MATCH(TEXT(C20,"0"),終値!$A:$A,0),$AL$2))/INDEX(終値!$E:$CZ,MATCH(TEXT(C20,"0"),終値!$A:$A,0),$AL$2)*100,""))</f>
        <v>8.5714285714285712</v>
      </c>
      <c r="AG20" s="365">
        <f t="array" ref="AG20">IFERROR((終値!$E$5-INDEX(終値!$E$5:$IT$5,1,$AL$2))/INDEX(終値!$E$5:$IT$5,1,$AL$2)*100,"")</f>
        <v>1.0179378228534113</v>
      </c>
      <c r="AH20" s="366">
        <f>IF(OR(AF20="",AG20=""),"",AF20-AG20)</f>
        <v>7.5534907485751601</v>
      </c>
      <c r="AI20" s="364">
        <f>IF(AH20="","",IF(AH20&gt;5,3,IF(AH20&gt;0,1,IF(AH20&gt;-3,-1,-2))))</f>
        <v>3</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1022</v>
      </c>
      <c r="F21" s="166">
        <f>IF(C21&lt;&gt;"",_xll.RssMarket(C21,"始値"),"")</f>
        <v>1021</v>
      </c>
      <c r="G21" s="165">
        <f>IF(C21&lt;&gt;"",終値!F126,"")</f>
        <v>1020</v>
      </c>
      <c r="H21" s="166">
        <f>IF(C21&lt;&gt;"",_xll.RssMarket(C21,"高値"),"")</f>
        <v>1028</v>
      </c>
      <c r="I21" s="166">
        <f>IF(C21&lt;&gt;"",_xll.RssMarket(C21,"安値"),"")</f>
        <v>1014</v>
      </c>
      <c r="J21" s="166">
        <f>IF(C21&lt;&gt;"",_xll.RssMarket(C21,"出来高"),"")</f>
        <v>166200</v>
      </c>
      <c r="K21" s="166">
        <f>IF(C21&lt;&gt;"",_xll.RssMarket(C21,"年初来高値"),"")</f>
        <v>1343</v>
      </c>
      <c r="L21" s="167">
        <f>IF(AND(E21&lt;&gt;"",K21&lt;&gt;"",K21&lt;&gt;0),(E21-K21)/K21*100,"")</f>
        <v>-23.901712583767683</v>
      </c>
      <c r="M21" s="166">
        <f>IF(C21&lt;&gt;"",IFERROR(AVERAGE(出来高!E126:I126),""),"")</f>
        <v>217800</v>
      </c>
      <c r="N21" s="166">
        <f>IF(C21&lt;&gt;"",IFERROR(AVERAGE(出来高!E126:AC126),""),"")</f>
        <v>331356</v>
      </c>
      <c r="O21" s="168">
        <f>IF(AND(J21&lt;&gt;"",M21&lt;&gt;"",M21&lt;&gt;0),J21/M21,"")</f>
        <v>0.76308539944903586</v>
      </c>
      <c r="P21" s="163" t="str">
        <f>IF(O21="","",IF(O21&gt;=2,"急増↑↑",IF(O21&gt;=1.5,"増加↑",IF(O21&gt;=1,"普通→","減少↓"))))</f>
        <v>減少↓</v>
      </c>
      <c r="Q21" s="163" t="str">
        <f>IF(E21="","",IF(AND(E21&gt;G21,O21&gt;=1.5),"買い▲",IF(E21&lt;G21,"様子見▼","中立→")))</f>
        <v>中立→</v>
      </c>
      <c r="R21" s="166">
        <f>IF(E21&lt;&gt;"",ROUND(E21*1.08,0),"")</f>
        <v>1104</v>
      </c>
      <c r="S21" s="166">
        <f>IF(E21&lt;&gt;"",ROUND(E21*0.96,0),"")</f>
        <v>981</v>
      </c>
      <c r="T21" s="163">
        <f>IF(C21="","",IFERROR(IF(O21&gt;=2,3,IF(O21&gt;=1.5,2,IF(O21&gt;=1,1,0)))+IF(E21&gt;G21,1,0)+IF(L21&gt;=-5,1,0)+IF(Q21="買い▲",2,0)+IF(W21&lt;=30,3,IF(W21&lt;=40,2,IF(AND(W21&gt;=40,W21&lt;=60),1,0)))+IF(X21&gt;0,1,0)+IF(V21="年初来高値更新●",3,IF(V21="高値圏",2,0))+IF(AD21="パーフェクト▲",3,IF(AD21="上昇トレンド▲",2,0))+IF(AE21="25日線押し目●",2,IF(AE21="5日線押し目○",1,0))+IF(P21="急増↑↑",2,IF(P21="増加↑",1,0))+N(AI21),0))</f>
        <v>4</v>
      </c>
      <c r="U21" s="163" t="str">
        <f>IF(T21="","",IF(AND(T21&gt;=3,O21&gt;=1.5),"有効",IF(T21&gt;=3,"要確認","除外")))</f>
        <v>要確認</v>
      </c>
      <c r="V21" s="163" t="str">
        <f>IF(AND(H21&lt;&gt;"",K21&lt;&gt;""),IF(H21&gt;=K21,"年初来高値更新●",IF(H21&gt;=K21*0.95,"高値圏","通常")),"")</f>
        <v>通常</v>
      </c>
      <c r="W21" s="169">
        <f t="array" ref="W21">IF(C21&lt;&gt;"",IFERROR(100-100/(1+SUMPRODUCT((終値!F126:R126&gt;終値!G126:S126)*( 終値!F126:R126-終値!G126:S126))/SUMPRODUCT((終値!F126:R126&lt;終値!G126:S126)*(終値!G126:S126-終値!F126:R126))),50),"")</f>
        <v>51.948051948051948</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様子見</v>
      </c>
      <c r="Z21" s="171">
        <f>IF(AND(E21&lt;&gt;"",G21&lt;&gt;"",G21&lt;&gt;0),(E21-G21)/G21*100,"")</f>
        <v>0.19607843137254902</v>
      </c>
      <c r="AA21" s="163" t="str">
        <f>IF(OR(C21="",E21="",E21=0),"",IF(E21&gt;G21,"上昇▲",IF(E21&lt;G21,"下落▼","横ばい→")))</f>
        <v>上昇▲</v>
      </c>
      <c r="AB21" s="405">
        <f>IF(C21="","",IFERROR(((終値!E23*0.333)+(終値!F23*0.222)+(終値!G23*0.148)+(終値!H23*0.099)+(終値!I23*0.066)+(終値!J23*0.044)+(終値!K23*0.029)+(終値!L23*0.019)+(終値!M23*0.013)+(終値!N23*0.009))/(0.333+0.222+0.148+0.099+0.066+0.044+0.029+0.019+0.013+0.009),""))</f>
        <v>4952.8482688391023</v>
      </c>
      <c r="AC21" s="405">
        <f>IF(C21="","",IFERROR(SUMPRODUCT((終値!E23:AC23),({0.077,0.071,0.065,0.06,0.055,0.051,0.047,0.043,0.039,0.036,0.033,0.031,0.028,0.026,0.024,0.022,0.02,0.018,0.017,0.016,0.014,0.013,0.012,0.011,0.01}))/SUM({0.077,0.071,0.065,0.06,0.055,0.051,0.047,0.043,0.039,0.036,0.033,0.031,0.028,0.026,0.024,0.022,0.02,0.018,0.017,0.016,0.014,0.013,0.012,0.011,0.01}),""))</f>
        <v>4789.4755661501767</v>
      </c>
      <c r="AD21" s="406" t="str">
        <f>IF(OR(C21="",AB21="",AC21=""),"",IF(AND(E21&gt;AB21,AB21&gt;AC21),"パーフェクト▲",IF(E21&gt;AC21,"上昇トレンド▲",IF(AND(E21&lt;AB21,AB21&lt;AC21),"下降トレンド▼","もみ合い→"))))</f>
        <v>もみ合い→</v>
      </c>
      <c r="AE21" s="406" t="str">
        <f>IF(OR(C21="",AB21="",AC21=""),"",IF(AND(ABS(E21-AC21)/AC21&lt;=0.02,E21&gt;AC21),"25日押し目★",IF(AND(ABS(E21-AB21)/AB21&lt;=0.01,E21&gt;AB21),"5日押し目○","なし")))</f>
        <v>なし</v>
      </c>
      <c r="AF21" s="365">
        <f t="array" ref="AF21">IF(C21="","",IFERROR((INDEX(終値!$E:$E,MATCH(TEXT(C21,"0"),終値!$A:$A,0))-INDEX(終値!$E:$CZ,MATCH(TEXT(C21,"0"),終値!$A:$A,0),$AL$2))/INDEX(終値!$E:$CZ,MATCH(TEXT(C21,"0"),終値!$A:$A,0),$AL$2)*100,""))</f>
        <v>6.0165975103734439</v>
      </c>
      <c r="AG21" s="365">
        <f t="array" ref="AG21">IFERROR((終値!$E$5-INDEX(終値!$E$5:$IT$5,1,$AL$2))/INDEX(終値!$E$5:$IT$5,1,$AL$2)*100,"")</f>
        <v>1.0179378228534113</v>
      </c>
      <c r="AH21" s="366">
        <f>IF(OR(AF21="",AG21=""),"",AF21-AG21)</f>
        <v>4.9986596875200329</v>
      </c>
      <c r="AI21" s="364">
        <f>IF(AH21="","",IF(AH21&gt;5,3,IF(AH21&gt;0,1,IF(AH21&gt;-3,-1,-2))))</f>
        <v>1</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2242</v>
      </c>
      <c r="F22" s="166">
        <f>IF(C22&lt;&gt;"",_xll.RssMarket(C22,"始値"),"")</f>
        <v>2350</v>
      </c>
      <c r="G22" s="165">
        <f>IF(C22&lt;&gt;"",終値!F56,"")</f>
        <v>2500</v>
      </c>
      <c r="H22" s="166">
        <f>IF(C22&lt;&gt;"",_xll.RssMarket(C22,"高値"),"")</f>
        <v>2432</v>
      </c>
      <c r="I22" s="166">
        <f>IF(C22&lt;&gt;"",_xll.RssMarket(C22,"安値"),"")</f>
        <v>2230</v>
      </c>
      <c r="J22" s="166">
        <f>IF(C22&lt;&gt;"",_xll.RssMarket(C22,"出来高"),"")</f>
        <v>4532400</v>
      </c>
      <c r="K22" s="166">
        <f>IF(C22&lt;&gt;"",_xll.RssMarket(C22,"年初来高値"),"")</f>
        <v>4720</v>
      </c>
      <c r="L22" s="167">
        <f>IF(AND(E22&lt;&gt;"",K22&lt;&gt;"",K22&lt;&gt;0),(E22-K22)/K22*100,"")</f>
        <v>-52.5</v>
      </c>
      <c r="M22" s="166">
        <f>IF(C22&lt;&gt;"",IFERROR(AVERAGE(出来高!E56:I56),""),"")</f>
        <v>4240860</v>
      </c>
      <c r="N22" s="166">
        <f>IF(C22&lt;&gt;"",IFERROR(AVERAGE(出来高!E56:AC56),""),"")</f>
        <v>2814848</v>
      </c>
      <c r="O22" s="168">
        <f>IF(AND(J22&lt;&gt;"",M22&lt;&gt;"",M22&lt;&gt;0),J22/M22,"")</f>
        <v>1.0687454903014955</v>
      </c>
      <c r="P22" s="163" t="str">
        <f>IF(O22="","",IF(O22&gt;=2,"急増↑↑",IF(O22&gt;=1.5,"増加↑",IF(O22&gt;=1,"普通→","減少↓"))))</f>
        <v>普通→</v>
      </c>
      <c r="Q22" s="163" t="str">
        <f>IF(E22="","",IF(AND(E22&gt;G22,O22&gt;=1.5),"買い▲",IF(E22&lt;G22,"様子見▼","中立→")))</f>
        <v>様子見▼</v>
      </c>
      <c r="R22" s="166">
        <f>IF(E22&lt;&gt;"",ROUND(E22*1.08,0),"")</f>
        <v>2421</v>
      </c>
      <c r="S22" s="166">
        <f>IF(E22&lt;&gt;"",ROUND(E22*0.96,0),"")</f>
        <v>2152</v>
      </c>
      <c r="T22" s="163">
        <f>IF(C22="","",IFERROR(IF(O22&gt;=2,3,IF(O22&gt;=1.5,2,IF(O22&gt;=1,1,0)))+IF(E22&gt;G22,1,0)+IF(L22&gt;=-5,1,0)+IF(Q22="買い▲",2,0)+IF(W22&lt;=30,3,IF(W22&lt;=40,2,IF(AND(W22&gt;=40,W22&lt;=60),1,0)))+IF(X22&gt;0,1,0)+IF(V22="年初来高値更新●",3,IF(V22="高値圏",2,0))+IF(AD22="パーフェクト▲",3,IF(AD22="上昇トレンド▲",2,0))+IF(AE22="25日線押し目●",2,IF(AE22="5日線押し目○",1,0))+IF(P22="急増↑↑",2,IF(P22="増加↑",1,0))+N(AI22),0))</f>
        <v>2</v>
      </c>
      <c r="U22" s="163" t="str">
        <f>IF(T22="","",IF(AND(T22&gt;=3,O22&gt;=1.5),"有効",IF(T22&gt;=3,"要確認","除外")))</f>
        <v>除外</v>
      </c>
      <c r="V22" s="163" t="str">
        <f>IF(AND(H22&lt;&gt;"",K22&lt;&gt;""),IF(H22&gt;=K22,"年初来高値更新●",IF(H22&gt;=K22*0.95,"高値圏","通常")),"")</f>
        <v>通常</v>
      </c>
      <c r="W22" s="169">
        <f t="array" ref="W22">IF(C22&lt;&gt;"",IFERROR(100-100/(1+SUMPRODUCT((終値!F56:R56&gt;終値!G56:S56)*( 終値!F56:R56-終値!G56:S56))/SUMPRODUCT((終値!F56:R56&lt;終値!G56:S56)*(終値!G56:S56-終値!F56:R56))),50),"")</f>
        <v>53.591160220994475</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見送り</v>
      </c>
      <c r="Z22" s="171">
        <f>IF(AND(E22&lt;&gt;"",G22&lt;&gt;"",G22&lt;&gt;0),(E22-G22)/G22*100,"")</f>
        <v>-10.32</v>
      </c>
      <c r="AA22" s="163" t="str">
        <f>IF(OR(C22="",E22="",E22=0),"",IF(E22&gt;G22,"上昇▲",IF(E22&lt;G22,"下落▼","横ばい→")))</f>
        <v>下落▼</v>
      </c>
      <c r="AB22" s="403">
        <f>IF(C22="","",IFERROR(((終値!E24*0.333)+(終値!F24*0.222)+(終値!G24*0.148)+(終値!H24*0.099)+(終値!I24*0.066)+(終値!J24*0.044)+(終値!K24*0.029)+(終値!L24*0.019)+(終値!M24*0.013)+(終値!N24*0.009))/(0.333+0.222+0.148+0.099+0.066+0.044+0.029+0.019+0.013+0.009),""))</f>
        <v>1264.0193482688392</v>
      </c>
      <c r="AC22" s="403">
        <f>IF(C22="","",IFERROR(SUMPRODUCT((終値!E24:AC24),({0.077,0.071,0.065,0.06,0.055,0.051,0.047,0.043,0.039,0.036,0.033,0.031,0.028,0.026,0.024,0.022,0.02,0.018,0.017,0.016,0.014,0.013,0.012,0.011,0.01}))/SUM({0.077,0.071,0.065,0.06,0.055,0.051,0.047,0.043,0.039,0.036,0.033,0.031,0.028,0.026,0.024,0.022,0.02,0.018,0.017,0.016,0.014,0.013,0.012,0.011,0.01}),""))</f>
        <v>1277.1954707985692</v>
      </c>
      <c r="AD22" s="404" t="str">
        <f>IF(OR(C22="",AB22="",AC22=""),"",IF(AND(E22&gt;AB22,AB22&gt;AC22),"パーフェクト▲",IF(E22&gt;AC22,"上昇トレンド▲",IF(AND(E22&lt;AB22,AB22&lt;AC22),"下降トレンド▼","もみ合い→"))))</f>
        <v>上昇トレンド▲</v>
      </c>
      <c r="AE22" s="404" t="str">
        <f>IF(OR(C22="",AB22="",AC22=""),"",IF(AND(ABS(E22-AC22)/AC22&lt;=0.02,E22&gt;AC22),"25日押し目★",IF(AND(ABS(E22-AB22)/AB22&lt;=0.01,E22&gt;AB22),"5日押し目○","なし")))</f>
        <v>なし</v>
      </c>
      <c r="AF22" s="365">
        <f t="array" ref="AF22">IF(C22="","",IFERROR((INDEX(終値!$E:$E,MATCH(TEXT(C22,"0"),終値!$A:$A,0))-INDEX(終値!$E:$CZ,MATCH(TEXT(C22,"0"),終値!$A:$A,0),$AL$2))/INDEX(終値!$E:$CZ,MATCH(TEXT(C22,"0"),終値!$A:$A,0),$AL$2)*100,""))</f>
        <v>-12.147335423197491</v>
      </c>
      <c r="AG22" s="365">
        <f t="array" ref="AG22">IFERROR((終値!$E$5-INDEX(終値!$E$5:$IT$5,1,$AL$2))/INDEX(終値!$E$5:$IT$5,1,$AL$2)*100,"")</f>
        <v>1.0179378228534113</v>
      </c>
      <c r="AH22" s="366">
        <f>IF(OR(AF22="",AG22=""),"",AF22-AG22)</f>
        <v>-13.165273246050903</v>
      </c>
      <c r="AI22" s="364">
        <f>IF(AH22="","",IF(AH22&gt;5,3,IF(AH22&gt;0,1,IF(AH22&gt;-3,-1,-2))))</f>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2871</v>
      </c>
      <c r="F23" s="166">
        <f>IF(C23&lt;&gt;"",_xll.RssMarket(C23,"始値"),"")</f>
        <v>2794.5</v>
      </c>
      <c r="G23" s="165">
        <f>IF(C23&lt;&gt;"",終値!F119,"")</f>
        <v>2773.5</v>
      </c>
      <c r="H23" s="166">
        <f>IF(C23&lt;&gt;"",_xll.RssMarket(C23,"高値"),"")</f>
        <v>2874.5</v>
      </c>
      <c r="I23" s="166">
        <f>IF(C23&lt;&gt;"",_xll.RssMarket(C23,"安値"),"")</f>
        <v>2792.5</v>
      </c>
      <c r="J23" s="166">
        <f>IF(C23&lt;&gt;"",_xll.RssMarket(C23,"出来高"),"")</f>
        <v>602900</v>
      </c>
      <c r="K23" s="166">
        <f>IF(C23&lt;&gt;"",_xll.RssMarket(C23,"年初来高値"),"")</f>
        <v>3953</v>
      </c>
      <c r="L23" s="167">
        <f>IF(AND(E23&lt;&gt;"",K23&lt;&gt;"",K23&lt;&gt;0),(E23-K23)/K23*100,"")</f>
        <v>-27.371616493802176</v>
      </c>
      <c r="M23" s="166">
        <f>IF(C23&lt;&gt;"",IFERROR(AVERAGE(出来高!E119:I119),""),"")</f>
        <v>674800</v>
      </c>
      <c r="N23" s="166">
        <f>IF(C23&lt;&gt;"",IFERROR(AVERAGE(出来高!E119:AC119),""),"")</f>
        <v>510732</v>
      </c>
      <c r="O23" s="168">
        <f>IF(AND(J23&lt;&gt;"",M23&lt;&gt;"",M23&lt;&gt;0),J23/M23,"")</f>
        <v>0.8934499110847659</v>
      </c>
      <c r="P23" s="163" t="str">
        <f>IF(O23="","",IF(O23&gt;=2,"急増↑↑",IF(O23&gt;=1.5,"増加↑",IF(O23&gt;=1,"普通→","減少↓"))))</f>
        <v>減少↓</v>
      </c>
      <c r="Q23" s="163" t="str">
        <f>IF(E23="","",IF(AND(E23&gt;G23,O23&gt;=1.5),"買い▲",IF(E23&lt;G23,"様子見▼","中立→")))</f>
        <v>中立→</v>
      </c>
      <c r="R23" s="166">
        <f>IF(E23&lt;&gt;"",ROUND(E23*1.08,0),"")</f>
        <v>3101</v>
      </c>
      <c r="S23" s="166">
        <f>IF(E23&lt;&gt;"",ROUND(E23*0.96,0),"")</f>
        <v>2756</v>
      </c>
      <c r="T23" s="163">
        <f>IF(C23="","",IFERROR(IF(O23&gt;=2,3,IF(O23&gt;=1.5,2,IF(O23&gt;=1,1,0)))+IF(E23&gt;G23,1,0)+IF(L23&gt;=-5,1,0)+IF(Q23="買い▲",2,0)+IF(W23&lt;=30,3,IF(W23&lt;=40,2,IF(AND(W23&gt;=40,W23&lt;=60),1,0)))+IF(X23&gt;0,1,0)+IF(V23="年初来高値更新●",3,IF(V23="高値圏",2,0))+IF(AD23="パーフェクト▲",3,IF(AD23="上昇トレンド▲",2,0))+IF(AE23="25日線押し目●",2,IF(AE23="5日線押し目○",1,0))+IF(P23="急増↑↑",2,IF(P23="増加↑",1,0))+N(AI23),0))</f>
        <v>6</v>
      </c>
      <c r="U23" s="163" t="str">
        <f>IF(T23="","",IF(AND(T23&gt;=3,O23&gt;=1.5),"有効",IF(T23&gt;=3,"要確認","除外")))</f>
        <v>要確認</v>
      </c>
      <c r="V23" s="163" t="str">
        <f>IF(AND(H23&lt;&gt;"",K23&lt;&gt;""),IF(H23&gt;=K23,"年初来高値更新●",IF(H23&gt;=K23*0.95,"高値圏","通常")),"")</f>
        <v>通常</v>
      </c>
      <c r="W23" s="169">
        <f t="array" ref="W23">IF(C23&lt;&gt;"",IFERROR(100-100/(1+SUMPRODUCT((終値!F119:R119&gt;終値!G119:S119)*( 終値!F119:R119-終値!G119:S119))/SUMPRODUCT((終値!F119:R119&lt;終値!G119:S119)*(終値!G119:S119-終値!F119:R119))),50),"")</f>
        <v>43.15561959654179</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△注目</v>
      </c>
      <c r="Z23" s="171">
        <f>IF(AND(E23&lt;&gt;"",G23&lt;&gt;"",G23&lt;&gt;0),(E23-G23)/G23*100,"")</f>
        <v>3.5154137371552192</v>
      </c>
      <c r="AA23" s="163" t="str">
        <f>IF(OR(C23="",E23="",E23=0),"",IF(E23&gt;G23,"上昇▲",IF(E23&lt;G23,"下落▼","横ばい→")))</f>
        <v>上昇▲</v>
      </c>
      <c r="AB23" s="405">
        <f>IF(C23="","",IFERROR(((終値!E25*0.333)+(終値!F25*0.222)+(終値!G25*0.148)+(終値!H25*0.099)+(終値!I25*0.066)+(終値!J25*0.044)+(終値!K25*0.029)+(終値!L25*0.019)+(終値!M25*0.013)+(終値!N25*0.009))/(0.333+0.222+0.148+0.099+0.066+0.044+0.029+0.019+0.013+0.009),""))</f>
        <v>1697.4582484725047</v>
      </c>
      <c r="AC23" s="405">
        <f>IF(C23="","",IFERROR(SUMPRODUCT((終値!E25:AC25),({0.077,0.071,0.065,0.06,0.055,0.051,0.047,0.043,0.039,0.036,0.033,0.031,0.028,0.026,0.024,0.022,0.02,0.018,0.017,0.016,0.014,0.013,0.012,0.011,0.01}))/SUM({0.077,0.071,0.065,0.06,0.055,0.051,0.047,0.043,0.039,0.036,0.033,0.031,0.028,0.026,0.024,0.022,0.02,0.018,0.017,0.016,0.014,0.013,0.012,0.011,0.01}),""))</f>
        <v>1629.4433849821207</v>
      </c>
      <c r="AD23" s="406" t="str">
        <f>IF(OR(C23="",AB23="",AC23=""),"",IF(AND(E23&gt;AB23,AB23&gt;AC23),"パーフェクト▲",IF(E23&gt;AC23,"上昇トレンド▲",IF(AND(E23&lt;AB23,AB23&lt;AC23),"下降トレンド▼","もみ合い→"))))</f>
        <v>パーフェクト▲</v>
      </c>
      <c r="AE23" s="406" t="str">
        <f>IF(OR(C23="",AB23="",AC23=""),"",IF(AND(ABS(E23-AC23)/AC23&lt;=0.02,E23&gt;AC23),"25日押し目★",IF(AND(ABS(E23-AB23)/AB23&lt;=0.01,E23&gt;AB23),"5日押し目○","なし")))</f>
        <v>なし</v>
      </c>
      <c r="AF23" s="365">
        <f t="array" ref="AF23">IF(C23="","",IFERROR((INDEX(終値!$E:$E,MATCH(TEXT(C23,"0"),終値!$A:$A,0))-INDEX(終値!$E:$CZ,MATCH(TEXT(C23,"0"),終値!$A:$A,0),$AL$2))/INDEX(終値!$E:$CZ,MATCH(TEXT(C23,"0"),終値!$A:$A,0),$AL$2)*100,""))</f>
        <v>1.7543859649122806</v>
      </c>
      <c r="AG23" s="365">
        <f t="array" ref="AG23">IFERROR((終値!$E$5-INDEX(終値!$E$5:$IT$5,1,$AL$2))/INDEX(終値!$E$5:$IT$5,1,$AL$2)*100,"")</f>
        <v>1.0179378228534113</v>
      </c>
      <c r="AH23" s="366">
        <f>IF(OR(AF23="",AG23=""),"",AF23-AG23)</f>
        <v>0.73644814205886933</v>
      </c>
      <c r="AI23" s="364">
        <f>IF(AH23="","",IF(AH23&gt;5,3,IF(AH23&gt;0,1,IF(AH23&gt;-3,-1,-2))))</f>
        <v>1</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417</v>
      </c>
      <c r="F24" s="166">
        <f>IF(C24&lt;&gt;"",_xll.RssMarket(C24,"始値"),"")</f>
        <v>420</v>
      </c>
      <c r="G24" s="165">
        <f>IF(C24&lt;&gt;"",終値!F112,"")</f>
        <v>422</v>
      </c>
      <c r="H24" s="166">
        <f>IF(C24&lt;&gt;"",_xll.RssMarket(C24,"高値"),"")</f>
        <v>420</v>
      </c>
      <c r="I24" s="166">
        <f>IF(C24&lt;&gt;"",_xll.RssMarket(C24,"安値"),"")</f>
        <v>412</v>
      </c>
      <c r="J24" s="166">
        <f>IF(C24&lt;&gt;"",_xll.RssMarket(C24,"出来高"),"")</f>
        <v>495800</v>
      </c>
      <c r="K24" s="166">
        <f>IF(C24&lt;&gt;"",_xll.RssMarket(C24,"年初来高値"),"")</f>
        <v>710</v>
      </c>
      <c r="L24" s="167">
        <f>IF(AND(E24&lt;&gt;"",K24&lt;&gt;"",K24&lt;&gt;0),(E24-K24)/K24*100,"")</f>
        <v>-41.267605633802816</v>
      </c>
      <c r="M24" s="166">
        <f>IF(C24&lt;&gt;"",IFERROR(AVERAGE(出来高!E112:I112),""),"")</f>
        <v>842480</v>
      </c>
      <c r="N24" s="166">
        <f>IF(C24&lt;&gt;"",IFERROR(AVERAGE(出来高!E112:AC112),""),"")</f>
        <v>1585795.8333333333</v>
      </c>
      <c r="O24" s="168">
        <f>IF(AND(J24&lt;&gt;"",M24&lt;&gt;"",M24&lt;&gt;0),J24/M24,"")</f>
        <v>0.58850061722533475</v>
      </c>
      <c r="P24" s="163" t="str">
        <f>IF(O24="","",IF(O24&gt;=2,"急増↑↑",IF(O24&gt;=1.5,"増加↑",IF(O24&gt;=1,"普通→","減少↓"))))</f>
        <v>減少↓</v>
      </c>
      <c r="Q24" s="163" t="str">
        <f>IF(E24="","",IF(AND(E24&gt;G24,O24&gt;=1.5),"買い▲",IF(E24&lt;G24,"様子見▼","中立→")))</f>
        <v>様子見▼</v>
      </c>
      <c r="R24" s="166">
        <f>IF(E24&lt;&gt;"",ROUND(E24*1.08,0),"")</f>
        <v>450</v>
      </c>
      <c r="S24" s="166">
        <f>IF(E24&lt;&gt;"",ROUND(E24*0.96,0),"")</f>
        <v>400</v>
      </c>
      <c r="T24" s="163">
        <f>IF(C24="","",IFERROR(IF(O24&gt;=2,3,IF(O24&gt;=1.5,2,IF(O24&gt;=1,1,0)))+IF(E24&gt;G24,1,0)+IF(L24&gt;=-5,1,0)+IF(Q24="買い▲",2,0)+IF(W24&lt;=30,3,IF(W24&lt;=40,2,IF(AND(W24&gt;=40,W24&lt;=60),1,0)))+IF(X24&gt;0,1,0)+IF(V24="年初来高値更新●",3,IF(V24="高値圏",2,0))+IF(AD24="パーフェクト▲",3,IF(AD24="上昇トレンド▲",2,0))+IF(AE24="25日線押し目●",2,IF(AE24="5日線押し目○",1,0))+IF(P24="急増↑↑",2,IF(P24="増加↑",1,0))+N(AI24),0))</f>
        <v>-1</v>
      </c>
      <c r="U24" s="163" t="str">
        <f>IF(T24="","",IF(AND(T24&gt;=3,O24&gt;=1.5),"有効",IF(T24&gt;=3,"要確認","除外")))</f>
        <v>除外</v>
      </c>
      <c r="V24" s="163" t="str">
        <f>IF(AND(H24&lt;&gt;"",K24&lt;&gt;""),IF(H24&gt;=K24,"年初来高値更新●",IF(H24&gt;=K24*0.95,"高値圏","通常")),"")</f>
        <v>通常</v>
      </c>
      <c r="W24" s="169">
        <f t="array" ref="W24">IF(C24&lt;&gt;"",IFERROR(100-100/(1+SUMPRODUCT((終値!F112:R112&gt;終値!G112:S112)*( 終値!F112:R112-終値!G112:S112))/SUMPRODUCT((終値!F112:R112&lt;終値!G112:S112)*(終値!G112:S112-終値!F112:R112))),50),"")</f>
        <v>48.54054054054054</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見送り</v>
      </c>
      <c r="Z24" s="171">
        <f>IF(AND(E24&lt;&gt;"",G24&lt;&gt;"",G24&lt;&gt;0),(E24-G24)/G24*100,"")</f>
        <v>-1.1848341232227488</v>
      </c>
      <c r="AA24" s="163" t="str">
        <f>IF(OR(C24="",E24="",E24=0),"",IF(E24&gt;G24,"上昇▲",IF(E24&lt;G24,"下落▼","横ばい→")))</f>
        <v>下落▼</v>
      </c>
      <c r="AB24" s="403">
        <f>IF(C24="","",IFERROR(((終値!E26*0.333)+(終値!F26*0.222)+(終値!G26*0.148)+(終値!H26*0.099)+(終値!I26*0.066)+(終値!J26*0.044)+(終値!K26*0.029)+(終値!L26*0.019)+(終値!M26*0.013)+(終値!N26*0.009))/(0.333+0.222+0.148+0.099+0.066+0.044+0.029+0.019+0.013+0.009),""))</f>
        <v>6460.0071283095704</v>
      </c>
      <c r="AC24" s="403">
        <f>IF(C24="","",IFERROR(SUMPRODUCT((終値!E26:AC26),({0.077,0.071,0.065,0.06,0.055,0.051,0.047,0.043,0.039,0.036,0.033,0.031,0.028,0.026,0.024,0.022,0.02,0.018,0.017,0.016,0.014,0.013,0.012,0.011,0.01}))/SUM({0.077,0.071,0.065,0.06,0.055,0.051,0.047,0.043,0.039,0.036,0.033,0.031,0.028,0.026,0.024,0.022,0.02,0.018,0.017,0.016,0.014,0.013,0.012,0.011,0.01}),""))</f>
        <v>6448.6817640047639</v>
      </c>
      <c r="AD24" s="404" t="str">
        <f>IF(OR(C24="",AB24="",AC24=""),"",IF(AND(E24&gt;AB24,AB24&gt;AC24),"パーフェクト▲",IF(E24&gt;AC24,"上昇トレンド▲",IF(AND(E24&lt;AB24,AB24&lt;AC24),"下降トレンド▼","もみ合い→"))))</f>
        <v>もみ合い→</v>
      </c>
      <c r="AE24" s="404" t="str">
        <f>IF(OR(C24="",AB24="",AC24=""),"",IF(AND(ABS(E24-AC24)/AC24&lt;=0.02,E24&gt;AC24),"25日押し目★",IF(AND(ABS(E24-AB24)/AB24&lt;=0.01,E24&gt;AB24),"5日押し目○","なし")))</f>
        <v>なし</v>
      </c>
      <c r="AF24" s="365">
        <f t="array" ref="AF24">IF(C24="","",IFERROR((INDEX(終値!$E:$E,MATCH(TEXT(C24,"0"),終値!$A:$A,0))-INDEX(終値!$E:$CZ,MATCH(TEXT(C24,"0"),終値!$A:$A,0),$AL$2))/INDEX(終値!$E:$CZ,MATCH(TEXT(C24,"0"),終値!$A:$A,0),$AL$2)*100,""))</f>
        <v>-5.2272727272727266</v>
      </c>
      <c r="AG24" s="365">
        <f t="array" ref="AG24">IFERROR((終値!$E$5-INDEX(終値!$E$5:$IT$5,1,$AL$2))/INDEX(終値!$E$5:$IT$5,1,$AL$2)*100,"")</f>
        <v>1.0179378228534113</v>
      </c>
      <c r="AH24" s="366">
        <f>IF(OR(AF24="",AG24=""),"",AF24-AG24)</f>
        <v>-6.2452105501261377</v>
      </c>
      <c r="AI24" s="364">
        <f>IF(AH24="","",IF(AH24&gt;5,3,IF(AH24&gt;0,1,IF(AH24&gt;-3,-1,-2))))</f>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899</v>
      </c>
      <c r="F25" s="166">
        <f>IF(C25&lt;&gt;"",_xll.RssMarket(C25,"始値"),"")</f>
        <v>881</v>
      </c>
      <c r="G25" s="165">
        <f>IF(C25&lt;&gt;"",終値!F111,"")</f>
        <v>893</v>
      </c>
      <c r="H25" s="166">
        <f>IF(C25&lt;&gt;"",_xll.RssMarket(C25,"高値"),"")</f>
        <v>904</v>
      </c>
      <c r="I25" s="166">
        <f>IF(C25&lt;&gt;"",_xll.RssMarket(C25,"安値"),"")</f>
        <v>869</v>
      </c>
      <c r="J25" s="166">
        <f>IF(C25&lt;&gt;"",_xll.RssMarket(C25,"出来高"),"")</f>
        <v>149700</v>
      </c>
      <c r="K25" s="166">
        <f>IF(C25&lt;&gt;"",_xll.RssMarket(C25,"年初来高値"),"")</f>
        <v>1620</v>
      </c>
      <c r="L25" s="167">
        <f>IF(AND(E25&lt;&gt;"",K25&lt;&gt;"",K25&lt;&gt;0),(E25-K25)/K25*100,"")</f>
        <v>-44.506172839506178</v>
      </c>
      <c r="M25" s="166">
        <f>IF(C25&lt;&gt;"",IFERROR(AVERAGE(出来高!E111:I111),""),"")</f>
        <v>256380</v>
      </c>
      <c r="N25" s="166">
        <f>IF(C25&lt;&gt;"",IFERROR(AVERAGE(出来高!E111:AC111),""),"")</f>
        <v>396204.16666666669</v>
      </c>
      <c r="O25" s="168">
        <f>IF(AND(J25&lt;&gt;"",M25&lt;&gt;"",M25&lt;&gt;0),J25/M25,"")</f>
        <v>0.58389890007020828</v>
      </c>
      <c r="P25" s="163" t="str">
        <f>IF(O25="","",IF(O25&gt;=2,"急増↑↑",IF(O25&gt;=1.5,"増加↑",IF(O25&gt;=1,"普通→","減少↓"))))</f>
        <v>減少↓</v>
      </c>
      <c r="Q25" s="163" t="str">
        <f>IF(E25="","",IF(AND(E25&gt;G25,O25&gt;=1.5),"買い▲",IF(E25&lt;G25,"様子見▼","中立→")))</f>
        <v>中立→</v>
      </c>
      <c r="R25" s="166">
        <f>IF(E25&lt;&gt;"",ROUND(E25*1.08,0),"")</f>
        <v>971</v>
      </c>
      <c r="S25" s="166">
        <f>IF(E25&lt;&gt;"",ROUND(E25*0.96,0),"")</f>
        <v>863</v>
      </c>
      <c r="T25" s="163">
        <f>IF(C25="","",IFERROR(IF(O25&gt;=2,3,IF(O25&gt;=1.5,2,IF(O25&gt;=1,1,0)))+IF(E25&gt;G25,1,0)+IF(L25&gt;=-5,1,0)+IF(Q25="買い▲",2,0)+IF(W25&lt;=30,3,IF(W25&lt;=40,2,IF(AND(W25&gt;=40,W25&lt;=60),1,0)))+IF(X25&gt;0,1,0)+IF(V25="年初来高値更新●",3,IF(V25="高値圏",2,0))+IF(AD25="パーフェクト▲",3,IF(AD25="上昇トレンド▲",2,0))+IF(AE25="25日線押し目●",2,IF(AE25="5日線押し目○",1,0))+IF(P25="急増↑↑",2,IF(P25="増加↑",1,0))+N(AI25),0))</f>
        <v>0</v>
      </c>
      <c r="U25" s="163" t="str">
        <f>IF(T25="","",IF(AND(T25&gt;=3,O25&gt;=1.5),"有効",IF(T25&gt;=3,"要確認","除外")))</f>
        <v>除外</v>
      </c>
      <c r="V25" s="163" t="str">
        <f>IF(AND(H25&lt;&gt;"",K25&lt;&gt;""),IF(H25&gt;=K25,"年初来高値更新●",IF(H25&gt;=K25*0.95,"高値圏","通常")),"")</f>
        <v>通常</v>
      </c>
      <c r="W25" s="169">
        <f t="array" ref="W25">IF(C25&lt;&gt;"",IFERROR(100-100/(1+SUMPRODUCT((終値!F111:R111&gt;終値!G111:S111)*( 終値!F111:R111-終値!G111:S111))/SUMPRODUCT((終値!F111:R111&lt;終値!G111:S111)*(終値!G111:S111-終値!F111:R111))),50),"")</f>
        <v>51.239251390996458</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見送り</v>
      </c>
      <c r="Z25" s="171">
        <f>IF(AND(E25&lt;&gt;"",G25&lt;&gt;"",G25&lt;&gt;0),(E25-G25)/G25*100,"")</f>
        <v>0.67189249720044786</v>
      </c>
      <c r="AA25" s="163" t="str">
        <f>IF(OR(C25="",E25="",E25=0),"",IF(E25&gt;G25,"上昇▲",IF(E25&lt;G25,"下落▼","横ばい→")))</f>
        <v>上昇▲</v>
      </c>
      <c r="AB25" s="405">
        <f>IF(C25="","",IFERROR(((終値!E27*0.333)+(終値!F27*0.222)+(終値!G27*0.148)+(終値!H27*0.099)+(終値!I27*0.066)+(終値!J27*0.044)+(終値!K27*0.029)+(終値!L27*0.019)+(終値!M27*0.013)+(終値!N27*0.009))/(0.333+0.222+0.148+0.099+0.066+0.044+0.029+0.019+0.013+0.009),""))</f>
        <v>1654.0549898167003</v>
      </c>
      <c r="AC25" s="405">
        <f>IF(C25="","",IFERROR(SUMPRODUCT((終値!E27:AC27),({0.077,0.071,0.065,0.06,0.055,0.051,0.047,0.043,0.039,0.036,0.033,0.031,0.028,0.026,0.024,0.022,0.02,0.018,0.017,0.016,0.014,0.013,0.012,0.011,0.01}))/SUM({0.077,0.071,0.065,0.06,0.055,0.051,0.047,0.043,0.039,0.036,0.033,0.031,0.028,0.026,0.024,0.022,0.02,0.018,0.017,0.016,0.014,0.013,0.012,0.011,0.01}),""))</f>
        <v>1673.0250297973771</v>
      </c>
      <c r="AD25" s="406" t="str">
        <f>IF(OR(C25="",AB25="",AC25=""),"",IF(AND(E25&gt;AB25,AB25&gt;AC25),"パーフェクト▲",IF(E25&gt;AC25,"上昇トレンド▲",IF(AND(E25&lt;AB25,AB25&lt;AC25),"下降トレンド▼","もみ合い→"))))</f>
        <v>下降トレンド▼</v>
      </c>
      <c r="AE25" s="406" t="str">
        <f>IF(OR(C25="",AB25="",AC25=""),"",IF(AND(ABS(E25-AC25)/AC25&lt;=0.02,E25&gt;AC25),"25日押し目★",IF(AND(ABS(E25-AB25)/AB25&lt;=0.01,E25&gt;AB25),"5日押し目○","なし")))</f>
        <v>なし</v>
      </c>
      <c r="AF25" s="365">
        <f t="array" ref="AF25">IF(C25="","",IFERROR((INDEX(終値!$E:$E,MATCH(TEXT(C25,"0"),終値!$A:$A,0))-INDEX(終値!$E:$CZ,MATCH(TEXT(C25,"0"),終値!$A:$A,0),$AL$2))/INDEX(終値!$E:$CZ,MATCH(TEXT(C25,"0"),終値!$A:$A,0),$AL$2)*100,""))</f>
        <v>-4.3617021276595747</v>
      </c>
      <c r="AG25" s="365">
        <f t="array" ref="AG25">IFERROR((終値!$E$5-INDEX(終値!$E$5:$IT$5,1,$AL$2))/INDEX(終値!$E$5:$IT$5,1,$AL$2)*100,"")</f>
        <v>1.0179378228534113</v>
      </c>
      <c r="AH25" s="366">
        <f>IF(OR(AF25="",AG25=""),"",AF25-AG25)</f>
        <v>-5.3796399505129857</v>
      </c>
      <c r="AI25" s="364">
        <f>IF(AH25="","",IF(AH25&gt;5,3,IF(AH25&gt;0,1,IF(AH25&gt;-3,-1,-2))))</f>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3164</v>
      </c>
      <c r="F26" s="166">
        <f>IF(C26&lt;&gt;"",_xll.RssMarket(C26,"始値"),"")</f>
        <v>3165</v>
      </c>
      <c r="G26" s="165">
        <f>IF(C26&lt;&gt;"",終値!F74,"")</f>
        <v>3151</v>
      </c>
      <c r="H26" s="166">
        <f>IF(C26&lt;&gt;"",_xll.RssMarket(C26,"高値"),"")</f>
        <v>3177</v>
      </c>
      <c r="I26" s="166">
        <f>IF(C26&lt;&gt;"",_xll.RssMarket(C26,"安値"),"")</f>
        <v>3135</v>
      </c>
      <c r="J26" s="166">
        <f>IF(C26&lt;&gt;"",_xll.RssMarket(C26,"出来高"),"")</f>
        <v>1596700</v>
      </c>
      <c r="K26" s="166">
        <f>IF(C26&lt;&gt;"",_xll.RssMarket(C26,"年初来高値"),"")</f>
        <v>3419</v>
      </c>
      <c r="L26" s="167">
        <f>IF(AND(E26&lt;&gt;"",K26&lt;&gt;"",K26&lt;&gt;0),(E26-K26)/K26*100,"")</f>
        <v>-7.4583211465340753</v>
      </c>
      <c r="M26" s="166">
        <f>IF(C26&lt;&gt;"",IFERROR(AVERAGE(出来高!E74:I74),""),"")</f>
        <v>2516960</v>
      </c>
      <c r="N26" s="166">
        <f>IF(C26&lt;&gt;"",IFERROR(AVERAGE(出来高!E74:AC74),""),"")</f>
        <v>2701416</v>
      </c>
      <c r="O26" s="168">
        <f>IF(AND(J26&lt;&gt;"",M26&lt;&gt;"",M26&lt;&gt;0),J26/M26,"")</f>
        <v>0.63437639056639761</v>
      </c>
      <c r="P26" s="163" t="str">
        <f>IF(O26="","",IF(O26&gt;=2,"急増↑↑",IF(O26&gt;=1.5,"増加↑",IF(O26&gt;=1,"普通→","減少↓"))))</f>
        <v>減少↓</v>
      </c>
      <c r="Q26" s="163" t="str">
        <f>IF(E26="","",IF(AND(E26&gt;G26,O26&gt;=1.5),"買い▲",IF(E26&lt;G26,"様子見▼","中立→")))</f>
        <v>中立→</v>
      </c>
      <c r="R26" s="166">
        <f>IF(E26&lt;&gt;"",ROUND(E26*1.08,0),"")</f>
        <v>3417</v>
      </c>
      <c r="S26" s="166">
        <f>IF(E26&lt;&gt;"",ROUND(E26*0.96,0),"")</f>
        <v>3037</v>
      </c>
      <c r="T26" s="163">
        <f>IF(C26="","",IFERROR(IF(O26&gt;=2,3,IF(O26&gt;=1.5,2,IF(O26&gt;=1,1,0)))+IF(E26&gt;G26,1,0)+IF(L26&gt;=-5,1,0)+IF(Q26="買い▲",2,0)+IF(W26&lt;=30,3,IF(W26&lt;=40,2,IF(AND(W26&gt;=40,W26&lt;=60),1,0)))+IF(X26&gt;0,1,0)+IF(V26="年初来高値更新●",3,IF(V26="高値圏",2,0))+IF(AD26="パーフェクト▲",3,IF(AD26="上昇トレンド▲",2,0))+IF(AE26="25日線押し目●",2,IF(AE26="5日線押し目○",1,0))+IF(P26="急増↑↑",2,IF(P26="増加↑",1,0))+N(AI26),0))</f>
        <v>5</v>
      </c>
      <c r="U26" s="163" t="str">
        <f>IF(T26="","",IF(AND(T26&gt;=3,O26&gt;=1.5),"有効",IF(T26&gt;=3,"要確認","除外")))</f>
        <v>要確認</v>
      </c>
      <c r="V26" s="163" t="str">
        <f>IF(AND(H26&lt;&gt;"",K26&lt;&gt;""),IF(H26&gt;=K26,"年初来高値更新●",IF(H26&gt;=K26*0.95,"高値圏","通常")),"")</f>
        <v>通常</v>
      </c>
      <c r="W26" s="169">
        <f t="array" ref="W26">IF(C26&lt;&gt;"",IFERROR(100-100/(1+SUMPRODUCT((終値!F74:R74&gt;終値!G74:S74)*( 終値!F74:R74-終値!G74:S74))/SUMPRODUCT((終値!F74:R74&lt;終値!G74:S74)*(終値!G74:S74-終値!F74:R74))),50),"")</f>
        <v>61.912479740680709</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様子見</v>
      </c>
      <c r="Z26" s="171">
        <f>IF(AND(E26&lt;&gt;"",G26&lt;&gt;"",G26&lt;&gt;0),(E26-G26)/G26*100,"")</f>
        <v>0.41256743890828312</v>
      </c>
      <c r="AA26" s="163" t="str">
        <f>IF(OR(C26="",E26="",E26=0),"",IF(E26&gt;G26,"上昇▲",IF(E26&lt;G26,"下落▼","横ばい→")))</f>
        <v>上昇▲</v>
      </c>
      <c r="AB26" s="403">
        <f>IF(C26="","",IFERROR(((終値!E28*0.333)+(終値!F28*0.222)+(終値!G28*0.148)+(終値!H28*0.099)+(終値!I28*0.066)+(終値!J28*0.044)+(終値!K28*0.029)+(終値!L28*0.019)+(終値!M28*0.013)+(終値!N28*0.009))/(0.333+0.222+0.148+0.099+0.066+0.044+0.029+0.019+0.013+0.009),""))</f>
        <v>4795.560081466394</v>
      </c>
      <c r="AC26" s="403">
        <f>IF(C26="","",IFERROR(SUMPRODUCT((終値!E28:AC28),({0.077,0.071,0.065,0.06,0.055,0.051,0.047,0.043,0.039,0.036,0.033,0.031,0.028,0.026,0.024,0.022,0.02,0.018,0.017,0.016,0.014,0.013,0.012,0.011,0.01}))/SUM({0.077,0.071,0.065,0.06,0.055,0.051,0.047,0.043,0.039,0.036,0.033,0.031,0.028,0.026,0.024,0.022,0.02,0.018,0.017,0.016,0.014,0.013,0.012,0.011,0.01}),""))</f>
        <v>5815.063170440998</v>
      </c>
      <c r="AD26" s="404" t="str">
        <f>IF(OR(C26="",AB26="",AC26=""),"",IF(AND(E26&gt;AB26,AB26&gt;AC26),"パーフェクト▲",IF(E26&gt;AC26,"上昇トレンド▲",IF(AND(E26&lt;AB26,AB26&lt;AC26),"下降トレンド▼","もみ合い→"))))</f>
        <v>下降トレンド▼</v>
      </c>
      <c r="AE26" s="404" t="str">
        <f>IF(OR(C26="",AB26="",AC26=""),"",IF(AND(ABS(E26-AC26)/AC26&lt;=0.02,E26&gt;AC26),"25日押し目★",IF(AND(ABS(E26-AB26)/AB26&lt;=0.01,E26&gt;AB26),"5日押し目○","なし")))</f>
        <v>なし</v>
      </c>
      <c r="AF26" s="365">
        <f t="array" ref="AF26">IF(C26="","",IFERROR((INDEX(終値!$E:$E,MATCH(TEXT(C26,"0"),終値!$A:$A,0))-INDEX(終値!$E:$CZ,MATCH(TEXT(C26,"0"),終値!$A:$A,0),$AL$2))/INDEX(終値!$E:$CZ,MATCH(TEXT(C26,"0"),終値!$A:$A,0),$AL$2)*100,""))</f>
        <v>7.0184339590732279</v>
      </c>
      <c r="AG26" s="365">
        <f t="array" ref="AG26">IFERROR((終値!$E$5-INDEX(終値!$E$5:$IT$5,1,$AL$2))/INDEX(終値!$E$5:$IT$5,1,$AL$2)*100,"")</f>
        <v>1.0179378228534113</v>
      </c>
      <c r="AH26" s="366">
        <f>IF(OR(AF26="",AG26=""),"",AF26-AG26)</f>
        <v>6.0004961362198168</v>
      </c>
      <c r="AI26" s="364">
        <f>IF(AH26="","",IF(AH26&gt;5,3,IF(AH26&gt;0,1,IF(AH26&gt;-3,-1,-2))))</f>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5931</v>
      </c>
      <c r="F27" s="166">
        <f>IF(C27&lt;&gt;"",_xll.RssMarket(C27,"始値"),"")</f>
        <v>5750</v>
      </c>
      <c r="G27" s="165">
        <f>IF(C27&lt;&gt;"",終値!F206,"")</f>
        <v>5798</v>
      </c>
      <c r="H27" s="166">
        <f>IF(C27&lt;&gt;"",_xll.RssMarket(C27,"高値"),"")</f>
        <v>5950</v>
      </c>
      <c r="I27" s="166">
        <f>IF(C27&lt;&gt;"",_xll.RssMarket(C27,"安値"),"")</f>
        <v>5735</v>
      </c>
      <c r="J27" s="166">
        <f>IF(C27&lt;&gt;"",_xll.RssMarket(C27,"出来高"),"")</f>
        <v>3270400</v>
      </c>
      <c r="K27" s="166">
        <f>IF(C27&lt;&gt;"",_xll.RssMarket(C27,"年初来高値"),"")</f>
        <v>6394</v>
      </c>
      <c r="L27" s="167">
        <f>IF(AND(E27&lt;&gt;"",K27&lt;&gt;"",K27&lt;&gt;0),(E27-K27)/K27*100,"")</f>
        <v>-7.2411635908664369</v>
      </c>
      <c r="M27" s="166">
        <f>IF(C27&lt;&gt;"",IFERROR(AVERAGE(出来高!E206:I206),""),"")</f>
        <v>4034420</v>
      </c>
      <c r="N27" s="166">
        <f>IF(C27&lt;&gt;"",IFERROR(AVERAGE(出来高!E206:AC206),""),"")</f>
        <v>2991568</v>
      </c>
      <c r="O27" s="168">
        <f>IF(AND(J27&lt;&gt;"",M27&lt;&gt;"",M27&lt;&gt;0),J27/M27,"")</f>
        <v>0.81062457552758516</v>
      </c>
      <c r="P27" s="163" t="str">
        <f>IF(O27="","",IF(O27&gt;=2,"急増↑↑",IF(O27&gt;=1.5,"増加↑",IF(O27&gt;=1,"普通→","減少↓"))))</f>
        <v>減少↓</v>
      </c>
      <c r="Q27" s="163" t="str">
        <f>IF(E27="","",IF(AND(E27&gt;G27,O27&gt;=1.5),"買い▲",IF(E27&lt;G27,"様子見▼","中立→")))</f>
        <v>中立→</v>
      </c>
      <c r="R27" s="166">
        <f>IF(E27&lt;&gt;"",ROUND(E27*1.08,0),"")</f>
        <v>6405</v>
      </c>
      <c r="S27" s="166">
        <f>IF(E27&lt;&gt;"",ROUND(E27*0.96,0),"")</f>
        <v>5694</v>
      </c>
      <c r="T27" s="163">
        <f>IF(C27="","",IFERROR(IF(O27&gt;=2,3,IF(O27&gt;=1.5,2,IF(O27&gt;=1,1,0)))+IF(E27&gt;G27,1,0)+IF(L27&gt;=-5,1,0)+IF(Q27="買い▲",2,0)+IF(W27&lt;=30,3,IF(W27&lt;=40,2,IF(AND(W27&gt;=40,W27&lt;=60),1,0)))+IF(X27&gt;0,1,0)+IF(V27="年初来高値更新●",3,IF(V27="高値圏",2,0))+IF(AD27="パーフェクト▲",3,IF(AD27="上昇トレンド▲",2,0))+IF(AE27="25日線押し目●",2,IF(AE27="5日線押し目○",1,0))+IF(P27="急増↑↑",2,IF(P27="増加↑",1,0))+N(AI27),0))</f>
        <v>9</v>
      </c>
      <c r="U27" s="163" t="str">
        <f>IF(T27="","",IF(AND(T27&gt;=3,O27&gt;=1.5),"有効",IF(T27&gt;=3,"要確認","除外")))</f>
        <v>要確認</v>
      </c>
      <c r="V27" s="163" t="str">
        <f>IF(AND(H27&lt;&gt;"",K27&lt;&gt;""),IF(H27&gt;=K27,"年初来高値更新●",IF(H27&gt;=K27*0.95,"高値圏","通常")),"")</f>
        <v>通常</v>
      </c>
      <c r="W27" s="169">
        <f t="array" ref="W27">IF(C27&lt;&gt;"",IFERROR(100-100/(1+SUMPRODUCT((終値!F206:R206&gt;終値!G206:S206)*( 終値!F206:R206-終値!G206:S206))/SUMPRODUCT((終値!F206:R206&lt;終値!G206:S206)*(終値!G206:S206-終値!F206:R206))),50),"")</f>
        <v>59.181636726546905</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△注目</v>
      </c>
      <c r="Z27" s="171">
        <f>IF(AND(E27&lt;&gt;"",G27&lt;&gt;"",G27&lt;&gt;0),(E27-G27)/G27*100,"")</f>
        <v>2.293894446360814</v>
      </c>
      <c r="AA27" s="163" t="str">
        <f>IF(OR(C27="",E27="",E27=0),"",IF(E27&gt;G27,"上昇▲",IF(E27&lt;G27,"下落▼","横ばい→")))</f>
        <v>上昇▲</v>
      </c>
      <c r="AB27" s="405">
        <f>IF(C27="","",IFERROR(((終値!E29*0.333)+(終値!F29*0.222)+(終値!G29*0.148)+(終値!H29*0.099)+(終値!I29*0.066)+(終値!J29*0.044)+(終値!K29*0.029)+(終値!L29*0.019)+(終値!M29*0.013)+(終値!N29*0.009))/(0.333+0.222+0.148+0.099+0.066+0.044+0.029+0.019+0.013+0.009),""))</f>
        <v>1295.5183299389003</v>
      </c>
      <c r="AC27" s="405">
        <f>IF(C27="","",IFERROR(SUMPRODUCT((終値!E29:AC29),({0.077,0.071,0.065,0.06,0.055,0.051,0.047,0.043,0.039,0.036,0.033,0.031,0.028,0.026,0.024,0.022,0.02,0.018,0.017,0.016,0.014,0.013,0.012,0.011,0.01}))/SUM({0.077,0.071,0.065,0.06,0.055,0.051,0.047,0.043,0.039,0.036,0.033,0.031,0.028,0.026,0.024,0.022,0.02,0.018,0.017,0.016,0.014,0.013,0.012,0.011,0.01}),""))</f>
        <v>1291.2473182359947</v>
      </c>
      <c r="AD27" s="406" t="str">
        <f>IF(OR(C27="",AB27="",AC27=""),"",IF(AND(E27&gt;AB27,AB27&gt;AC27),"パーフェクト▲",IF(E27&gt;AC27,"上昇トレンド▲",IF(AND(E27&lt;AB27,AB27&lt;AC27),"下降トレンド▼","もみ合い→"))))</f>
        <v>パーフェクト▲</v>
      </c>
      <c r="AE27" s="406" t="str">
        <f>IF(OR(C27="",AB27="",AC27=""),"",IF(AND(ABS(E27-AC27)/AC27&lt;=0.02,E27&gt;AC27),"25日押し目★",IF(AND(ABS(E27-AB27)/AB27&lt;=0.01,E27&gt;AB27),"5日押し目○","なし")))</f>
        <v>なし</v>
      </c>
      <c r="AF27" s="365">
        <f t="array" ref="AF27">IF(C27="","",IFERROR((INDEX(終値!$E:$E,MATCH(TEXT(C27,"0"),終値!$A:$A,0))-INDEX(終値!$E:$CZ,MATCH(TEXT(C27,"0"),終値!$A:$A,0),$AL$2))/INDEX(終値!$E:$CZ,MATCH(TEXT(C27,"0"),終値!$A:$A,0),$AL$2)*100,""))</f>
        <v>16.751968503937007</v>
      </c>
      <c r="AG27" s="365">
        <f t="array" ref="AG27">IFERROR((終値!$E$5-INDEX(終値!$E$5:$IT$5,1,$AL$2))/INDEX(終値!$E$5:$IT$5,1,$AL$2)*100,"")</f>
        <v>1.0179378228534113</v>
      </c>
      <c r="AH27" s="366">
        <f>IF(OR(AF27="",AG27=""),"",AF27-AG27)</f>
        <v>15.734030681083595</v>
      </c>
      <c r="AI27" s="364">
        <f>IF(AH27="","",IF(AH27&gt;5,3,IF(AH27&gt;0,1,IF(AH27&gt;-3,-1,-2))))</f>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2215.5</v>
      </c>
      <c r="F28" s="166">
        <f>IF(C28&lt;&gt;"",_xll.RssMarket(C28,"始値"),"")</f>
        <v>2204.5</v>
      </c>
      <c r="G28" s="165">
        <f>IF(C28&lt;&gt;"",終値!F110,"")</f>
        <v>2196</v>
      </c>
      <c r="H28" s="166">
        <f>IF(C28&lt;&gt;"",_xll.RssMarket(C28,"高値"),"")</f>
        <v>2227.5</v>
      </c>
      <c r="I28" s="166">
        <f>IF(C28&lt;&gt;"",_xll.RssMarket(C28,"安値"),"")</f>
        <v>2193.5</v>
      </c>
      <c r="J28" s="166">
        <f>IF(C28&lt;&gt;"",_xll.RssMarket(C28,"出来高"),"")</f>
        <v>552000</v>
      </c>
      <c r="K28" s="166">
        <f>IF(C28&lt;&gt;"",_xll.RssMarket(C28,"年初来高値"),"")</f>
        <v>2274</v>
      </c>
      <c r="L28" s="167">
        <f>IF(AND(E28&lt;&gt;"",K28&lt;&gt;"",K28&lt;&gt;0),(E28-K28)/K28*100,"")</f>
        <v>-2.5725593667546174</v>
      </c>
      <c r="M28" s="166">
        <f>IF(C28&lt;&gt;"",IFERROR(AVERAGE(出来高!E110:I110),""),"")</f>
        <v>509460</v>
      </c>
      <c r="N28" s="166">
        <f>IF(C28&lt;&gt;"",IFERROR(AVERAGE(出来高!E110:AC110),""),"")</f>
        <v>410856</v>
      </c>
      <c r="O28" s="168">
        <f>IF(AND(J28&lt;&gt;"",M28&lt;&gt;"",M28&lt;&gt;0),J28/M28,"")</f>
        <v>1.0835001766576375</v>
      </c>
      <c r="P28" s="163" t="str">
        <f>IF(O28="","",IF(O28&gt;=2,"急増↑↑",IF(O28&gt;=1.5,"増加↑",IF(O28&gt;=1,"普通→","減少↓"))))</f>
        <v>普通→</v>
      </c>
      <c r="Q28" s="163" t="str">
        <f>IF(E28="","",IF(AND(E28&gt;G28,O28&gt;=1.5),"買い▲",IF(E28&lt;G28,"様子見▼","中立→")))</f>
        <v>中立→</v>
      </c>
      <c r="R28" s="166">
        <f>IF(E28&lt;&gt;"",ROUND(E28*1.08,0),"")</f>
        <v>2393</v>
      </c>
      <c r="S28" s="166">
        <f>IF(E28&lt;&gt;"",ROUND(E28*0.96,0),"")</f>
        <v>2127</v>
      </c>
      <c r="T28" s="163">
        <f>IF(C28="","",IFERROR(IF(O28&gt;=2,3,IF(O28&gt;=1.5,2,IF(O28&gt;=1,1,0)))+IF(E28&gt;G28,1,0)+IF(L28&gt;=-5,1,0)+IF(Q28="買い▲",2,0)+IF(W28&lt;=30,3,IF(W28&lt;=40,2,IF(AND(W28&gt;=40,W28&lt;=60),1,0)))+IF(X28&gt;0,1,0)+IF(V28="年初来高値更新●",3,IF(V28="高値圏",2,0))+IF(AD28="パーフェクト▲",3,IF(AD28="上昇トレンド▲",2,0))+IF(AE28="25日線押し目●",2,IF(AE28="5日線押し目○",1,0))+IF(P28="急増↑↑",2,IF(P28="増加↑",1,0))+N(AI28),0))</f>
        <v>10</v>
      </c>
      <c r="U28" s="163" t="str">
        <f>IF(T28="","",IF(AND(T28&gt;=3,O28&gt;=1.5),"有効",IF(T28&gt;=3,"要確認","除外")))</f>
        <v>要確認</v>
      </c>
      <c r="V28" s="163" t="str">
        <f>IF(AND(H28&lt;&gt;"",K28&lt;&gt;""),IF(H28&gt;=K28,"年初来高値更新●",IF(H28&gt;=K28*0.95,"高値圏","通常")),"")</f>
        <v>高値圏</v>
      </c>
      <c r="W28" s="169">
        <f t="array" ref="W28">IF(C28&lt;&gt;"",IFERROR(100-100/(1+SUMPRODUCT((終値!F110:R110&gt;終値!G110:S110)*( 終値!F110:R110-終値!G110:S110))/SUMPRODUCT((終値!F110:R110&lt;終値!G110:S110)*(終値!G110:S110-終値!F110:R110))),50),"")</f>
        <v>59.937888198757761</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○買い候補</v>
      </c>
      <c r="Z28" s="171">
        <f>IF(AND(E28&lt;&gt;"",G28&lt;&gt;"",G28&lt;&gt;0),(E28-G28)/G28*100,"")</f>
        <v>0.88797814207650272</v>
      </c>
      <c r="AA28" s="163" t="str">
        <f>IF(OR(C28="",E28="",E28=0),"",IF(E28&gt;G28,"上昇▲",IF(E28&lt;G28,"下落▼","横ばい→")))</f>
        <v>上昇▲</v>
      </c>
      <c r="AB28" s="403">
        <f>IF(C28="","",IFERROR(((終値!E30*0.333)+(終値!F30*0.222)+(終値!G30*0.148)+(終値!H30*0.099)+(終値!I30*0.066)+(終値!J30*0.044)+(終値!K30*0.029)+(終値!L30*0.019)+(終値!M30*0.013)+(終値!N30*0.009))/(0.333+0.222+0.148+0.099+0.066+0.044+0.029+0.019+0.013+0.009),""))</f>
        <v>4266.858452138491</v>
      </c>
      <c r="AC28" s="403">
        <f>IF(C28="","",IFERROR(SUMPRODUCT((終値!E30:AC30),({0.077,0.071,0.065,0.06,0.055,0.051,0.047,0.043,0.039,0.036,0.033,0.031,0.028,0.026,0.024,0.022,0.02,0.018,0.017,0.016,0.014,0.013,0.012,0.011,0.01}))/SUM({0.077,0.071,0.065,0.06,0.055,0.051,0.047,0.043,0.039,0.036,0.033,0.031,0.028,0.026,0.024,0.022,0.02,0.018,0.017,0.016,0.014,0.013,0.012,0.011,0.01}),""))</f>
        <v>4162.4076281287225</v>
      </c>
      <c r="AD28" s="404" t="str">
        <f>IF(OR(C28="",AB28="",AC28=""),"",IF(AND(E28&gt;AB28,AB28&gt;AC28),"パーフェクト▲",IF(E28&gt;AC28,"上昇トレンド▲",IF(AND(E28&lt;AB28,AB28&lt;AC28),"下降トレンド▼","もみ合い→"))))</f>
        <v>もみ合い→</v>
      </c>
      <c r="AE28" s="404" t="str">
        <f>IF(OR(C28="",AB28="",AC28=""),"",IF(AND(ABS(E28-AC28)/AC28&lt;=0.02,E28&gt;AC28),"25日押し目★",IF(AND(ABS(E28-AB28)/AB28&lt;=0.01,E28&gt;AB28),"5日押し目○","なし")))</f>
        <v>なし</v>
      </c>
      <c r="AF28" s="365">
        <f t="array" ref="AF28">IF(C28="","",IFERROR((INDEX(終値!$E:$E,MATCH(TEXT(C28,"0"),終値!$A:$A,0))-INDEX(終値!$E:$CZ,MATCH(TEXT(C28,"0"),終値!$A:$A,0),$AL$2))/INDEX(終値!$E:$CZ,MATCH(TEXT(C28,"0"),終値!$A:$A,0),$AL$2)*100,""))</f>
        <v>16.605263157894736</v>
      </c>
      <c r="AG28" s="365">
        <f t="array" ref="AG28">IFERROR((終値!$E$5-INDEX(終値!$E$5:$IT$5,1,$AL$2))/INDEX(終値!$E$5:$IT$5,1,$AL$2)*100,"")</f>
        <v>1.0179378228534113</v>
      </c>
      <c r="AH28" s="366">
        <f>IF(OR(AF28="",AG28=""),"",AF28-AG28)</f>
        <v>15.587325335041324</v>
      </c>
      <c r="AI28" s="364">
        <f>IF(AH28="","",IF(AH28&gt;5,3,IF(AH28&gt;0,1,IF(AH28&gt;-3,-1,-2))))</f>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3847</v>
      </c>
      <c r="F29" s="166">
        <f>IF(C29&lt;&gt;"",_xll.RssMarket(C29,"始値"),"")</f>
        <v>3810</v>
      </c>
      <c r="G29" s="165">
        <f>IF(C29&lt;&gt;"",終値!F184,"")</f>
        <v>3830</v>
      </c>
      <c r="H29" s="166">
        <f>IF(C29&lt;&gt;"",_xll.RssMarket(C29,"高値"),"")</f>
        <v>3880</v>
      </c>
      <c r="I29" s="166">
        <f>IF(C29&lt;&gt;"",_xll.RssMarket(C29,"安値"),"")</f>
        <v>3798</v>
      </c>
      <c r="J29" s="166">
        <f>IF(C29&lt;&gt;"",_xll.RssMarket(C29,"出来高"),"")</f>
        <v>2156300</v>
      </c>
      <c r="K29" s="166">
        <f>IF(C29&lt;&gt;"",_xll.RssMarket(C29,"年初来高値"),"")</f>
        <v>4830</v>
      </c>
      <c r="L29" s="167">
        <f>IF(AND(E29&lt;&gt;"",K29&lt;&gt;"",K29&lt;&gt;0),(E29-K29)/K29*100,"")</f>
        <v>-20.351966873706004</v>
      </c>
      <c r="M29" s="166">
        <f>IF(C29&lt;&gt;"",IFERROR(AVERAGE(出来高!E184:I184),""),"")</f>
        <v>3419500</v>
      </c>
      <c r="N29" s="166">
        <f>IF(C29&lt;&gt;"",IFERROR(AVERAGE(出来高!E184:AC184),""),"")</f>
        <v>3138100</v>
      </c>
      <c r="O29" s="168">
        <f>IF(AND(J29&lt;&gt;"",M29&lt;&gt;"",M29&lt;&gt;0),J29/M29,"")</f>
        <v>0.6305892674367598</v>
      </c>
      <c r="P29" s="163" t="str">
        <f>IF(O29="","",IF(O29&gt;=2,"急増↑↑",IF(O29&gt;=1.5,"増加↑",IF(O29&gt;=1,"普通→","減少↓"))))</f>
        <v>減少↓</v>
      </c>
      <c r="Q29" s="163" t="str">
        <f>IF(E29="","",IF(AND(E29&gt;G29,O29&gt;=1.5),"買い▲",IF(E29&lt;G29,"様子見▼","中立→")))</f>
        <v>中立→</v>
      </c>
      <c r="R29" s="166">
        <f>IF(E29&lt;&gt;"",ROUND(E29*1.08,0),"")</f>
        <v>4155</v>
      </c>
      <c r="S29" s="166">
        <f>IF(E29&lt;&gt;"",ROUND(E29*0.96,0),"")</f>
        <v>3693</v>
      </c>
      <c r="T29" s="163">
        <f>IF(C29="","",IFERROR(IF(O29&gt;=2,3,IF(O29&gt;=1.5,2,IF(O29&gt;=1,1,0)))+IF(E29&gt;G29,1,0)+IF(L29&gt;=-5,1,0)+IF(Q29="買い▲",2,0)+IF(W29&lt;=30,3,IF(W29&lt;=40,2,IF(AND(W29&gt;=40,W29&lt;=60),1,0)))+IF(X29&gt;0,1,0)+IF(V29="年初来高値更新●",3,IF(V29="高値圏",2,0))+IF(AD29="パーフェクト▲",3,IF(AD29="上昇トレンド▲",2,0))+IF(AE29="25日線押し目●",2,IF(AE29="5日線押し目○",1,0))+IF(P29="急増↑↑",2,IF(P29="増加↑",1,0))+N(AI29),0))</f>
        <v>8</v>
      </c>
      <c r="U29" s="163" t="str">
        <f>IF(T29="","",IF(AND(T29&gt;=3,O29&gt;=1.5),"有効",IF(T29&gt;=3,"要確認","除外")))</f>
        <v>要確認</v>
      </c>
      <c r="V29" s="163" t="str">
        <f>IF(AND(H29&lt;&gt;"",K29&lt;&gt;""),IF(H29&gt;=K29,"年初来高値更新●",IF(H29&gt;=K29*0.95,"高値圏","通常")),"")</f>
        <v>通常</v>
      </c>
      <c r="W29" s="169">
        <f t="array" ref="W29">IF(C29&lt;&gt;"",IFERROR(100-100/(1+SUMPRODUCT((終値!F184:R184&gt;終値!G184:S184)*( 終値!F184:R184-終値!G184:S184))/SUMPRODUCT((終値!F184:R184&lt;終値!G184:S184)*(終値!G184:S184-終値!F184:R184))),50),"")</f>
        <v>56.378986866791742</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△注目</v>
      </c>
      <c r="Z29" s="171">
        <f>IF(AND(E29&lt;&gt;"",G29&lt;&gt;"",G29&lt;&gt;0),(E29-G29)/G29*100,"")</f>
        <v>0.44386422976501305</v>
      </c>
      <c r="AA29" s="163" t="str">
        <f>IF(OR(C29="",E29="",E29=0),"",IF(E29&gt;G29,"上昇▲",IF(E29&lt;G29,"下落▼","横ばい→")))</f>
        <v>上昇▲</v>
      </c>
      <c r="AB29" s="405">
        <f>IF(C29="","",IFERROR(((終値!E31*0.333)+(終値!F31*0.222)+(終値!G31*0.148)+(終値!H31*0.099)+(終値!I31*0.066)+(終値!J31*0.044)+(終値!K31*0.029)+(終値!L31*0.019)+(終値!M31*0.013)+(終値!N31*0.009))/(0.333+0.222+0.148+0.099+0.066+0.044+0.029+0.019+0.013+0.009),""))</f>
        <v>1662.3625254582482</v>
      </c>
      <c r="AC29" s="405">
        <f>IF(C29="","",IFERROR(SUMPRODUCT((終値!E31:AC31),({0.077,0.071,0.065,0.06,0.055,0.051,0.047,0.043,0.039,0.036,0.033,0.031,0.028,0.026,0.024,0.022,0.02,0.018,0.017,0.016,0.014,0.013,0.012,0.011,0.01}))/SUM({0.077,0.071,0.065,0.06,0.055,0.051,0.047,0.043,0.039,0.036,0.033,0.031,0.028,0.026,0.024,0.022,0.02,0.018,0.017,0.016,0.014,0.013,0.012,0.011,0.01}),""))</f>
        <v>1665.0333730631698</v>
      </c>
      <c r="AD29" s="406" t="str">
        <f>IF(OR(C29="",AB29="",AC29=""),"",IF(AND(E29&gt;AB29,AB29&gt;AC29),"パーフェクト▲",IF(E29&gt;AC29,"上昇トレンド▲",IF(AND(E29&lt;AB29,AB29&lt;AC29),"下降トレンド▼","もみ合い→"))))</f>
        <v>上昇トレンド▲</v>
      </c>
      <c r="AE29" s="406" t="str">
        <f>IF(OR(C29="",AB29="",AC29=""),"",IF(AND(ABS(E29-AC29)/AC29&lt;=0.02,E29&gt;AC29),"25日押し目★",IF(AND(ABS(E29-AB29)/AB29&lt;=0.01,E29&gt;AB29),"5日押し目○","なし")))</f>
        <v>なし</v>
      </c>
      <c r="AF29" s="365">
        <f t="array" ref="AF29">IF(C29="","",IFERROR((INDEX(終値!$E:$E,MATCH(TEXT(C29,"0"),終値!$A:$A,0))-INDEX(終値!$E:$CZ,MATCH(TEXT(C29,"0"),終値!$A:$A,0),$AL$2))/INDEX(終値!$E:$CZ,MATCH(TEXT(C29,"0"),終値!$A:$A,0),$AL$2)*100,""))</f>
        <v>13.682033096926713</v>
      </c>
      <c r="AG29" s="365">
        <f t="array" ref="AG29">IFERROR((終値!$E$5-INDEX(終値!$E$5:$IT$5,1,$AL$2))/INDEX(終値!$E$5:$IT$5,1,$AL$2)*100,"")</f>
        <v>1.0179378228534113</v>
      </c>
      <c r="AH29" s="366">
        <f>IF(OR(AF29="",AG29=""),"",AF29-AG29)</f>
        <v>12.664095274073301</v>
      </c>
      <c r="AI29" s="364">
        <f>IF(AH29="","",IF(AH29&gt;5,3,IF(AH29&gt;0,1,IF(AH29&gt;-3,-1,-2))))</f>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3428</v>
      </c>
      <c r="F30" s="166">
        <f>IF(C30&lt;&gt;"",_xll.RssMarket(C30,"始値"),"")</f>
        <v>3391</v>
      </c>
      <c r="G30" s="165">
        <f>IF(C30&lt;&gt;"",終値!F109,"")</f>
        <v>3369</v>
      </c>
      <c r="H30" s="166">
        <f>IF(C30&lt;&gt;"",_xll.RssMarket(C30,"高値"),"")</f>
        <v>3448</v>
      </c>
      <c r="I30" s="166">
        <f>IF(C30&lt;&gt;"",_xll.RssMarket(C30,"安値"),"")</f>
        <v>3380</v>
      </c>
      <c r="J30" s="166">
        <f>IF(C30&lt;&gt;"",_xll.RssMarket(C30,"出来高"),"")</f>
        <v>3821800</v>
      </c>
      <c r="K30" s="166">
        <f>IF(C30&lt;&gt;"",_xll.RssMarket(C30,"年初来高値"),"")</f>
        <v>4211</v>
      </c>
      <c r="L30" s="167">
        <f>IF(AND(E30&lt;&gt;"",K30&lt;&gt;"",K30&lt;&gt;0),(E30-K30)/K30*100,"")</f>
        <v>-18.594158157207314</v>
      </c>
      <c r="M30" s="166">
        <f>IF(C30&lt;&gt;"",IFERROR(AVERAGE(出来高!E109:I109),""),"")</f>
        <v>4503300</v>
      </c>
      <c r="N30" s="166">
        <f>IF(C30&lt;&gt;"",IFERROR(AVERAGE(出来高!E109:AC109),""),"")</f>
        <v>3279896</v>
      </c>
      <c r="O30" s="168">
        <f>IF(AND(J30&lt;&gt;"",M30&lt;&gt;"",M30&lt;&gt;0),J30/M30,"")</f>
        <v>0.84866653343103948</v>
      </c>
      <c r="P30" s="163" t="str">
        <f>IF(O30="","",IF(O30&gt;=2,"急増↑↑",IF(O30&gt;=1.5,"増加↑",IF(O30&gt;=1,"普通→","減少↓"))))</f>
        <v>減少↓</v>
      </c>
      <c r="Q30" s="163" t="str">
        <f>IF(E30="","",IF(AND(E30&gt;G30,O30&gt;=1.5),"買い▲",IF(E30&lt;G30,"様子見▼","中立→")))</f>
        <v>中立→</v>
      </c>
      <c r="R30" s="166">
        <f>IF(E30&lt;&gt;"",ROUND(E30*1.08,0),"")</f>
        <v>3702</v>
      </c>
      <c r="S30" s="166">
        <f>IF(E30&lt;&gt;"",ROUND(E30*0.96,0),"")</f>
        <v>3291</v>
      </c>
      <c r="T30" s="163">
        <f>IF(C30="","",IFERROR(IF(O30&gt;=2,3,IF(O30&gt;=1.5,2,IF(O30&gt;=1,1,0)))+IF(E30&gt;G30,1,0)+IF(L30&gt;=-5,1,0)+IF(Q30="買い▲",2,0)+IF(W30&lt;=30,3,IF(W30&lt;=40,2,IF(AND(W30&gt;=40,W30&lt;=60),1,0)))+IF(X30&gt;0,1,0)+IF(V30="年初来高値更新●",3,IF(V30="高値圏",2,0))+IF(AD30="パーフェクト▲",3,IF(AD30="上昇トレンド▲",2,0))+IF(AE30="25日線押し目●",2,IF(AE30="5日線押し目○",1,0))+IF(P30="急増↑↑",2,IF(P30="増加↑",1,0))+N(AI30),0))</f>
        <v>5</v>
      </c>
      <c r="U30" s="163" t="str">
        <f>IF(T30="","",IF(AND(T30&gt;=3,O30&gt;=1.5),"有効",IF(T30&gt;=3,"要確認","除外")))</f>
        <v>要確認</v>
      </c>
      <c r="V30" s="163" t="str">
        <f>IF(AND(H30&lt;&gt;"",K30&lt;&gt;""),IF(H30&gt;=K30,"年初来高値更新●",IF(H30&gt;=K30*0.95,"高値圏","通常")),"")</f>
        <v>通常</v>
      </c>
      <c r="W30" s="169">
        <f t="array" ref="W30">IF(C30&lt;&gt;"",IFERROR(100-100/(1+SUMPRODUCT((終値!F109:R109&gt;終値!G109:S109)*( 終値!F109:R109-終値!G109:S109))/SUMPRODUCT((終値!F109:R109&lt;終値!G109:S109)*(終値!G109:S109-終値!F109:R109))),50),"")</f>
        <v>40.312213039485769</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様子見</v>
      </c>
      <c r="Z30" s="171">
        <f>IF(AND(E30&lt;&gt;"",G30&lt;&gt;"",G30&lt;&gt;0),(E30-G30)/G30*100,"")</f>
        <v>1.7512615019293558</v>
      </c>
      <c r="AA30" s="163" t="str">
        <f>IF(OR(C30="",E30="",E30=0),"",IF(E30&gt;G30,"上昇▲",IF(E30&lt;G30,"下落▼","横ばい→")))</f>
        <v>上昇▲</v>
      </c>
      <c r="AB30" s="403">
        <f>IF(C30="","",IFERROR(((終値!E32*0.333)+(終値!F32*0.222)+(終値!G32*0.148)+(終値!H32*0.099)+(終値!I32*0.066)+(終値!J32*0.044)+(終値!K32*0.029)+(終値!L32*0.019)+(終値!M32*0.013)+(終値!N32*0.009))/(0.333+0.222+0.148+0.099+0.066+0.044+0.029+0.019+0.013+0.009),""))</f>
        <v>1358.3279022403258</v>
      </c>
      <c r="AC30" s="403">
        <f>IF(C30="","",IFERROR(SUMPRODUCT((終値!E32:AC32),({0.077,0.071,0.065,0.06,0.055,0.051,0.047,0.043,0.039,0.036,0.033,0.031,0.028,0.026,0.024,0.022,0.02,0.018,0.017,0.016,0.014,0.013,0.012,0.011,0.01}))/SUM({0.077,0.071,0.065,0.06,0.055,0.051,0.047,0.043,0.039,0.036,0.033,0.031,0.028,0.026,0.024,0.022,0.02,0.018,0.017,0.016,0.014,0.013,0.012,0.011,0.01}),""))</f>
        <v>1405.4874851013108</v>
      </c>
      <c r="AD30" s="404" t="str">
        <f>IF(OR(C30="",AB30="",AC30=""),"",IF(AND(E30&gt;AB30,AB30&gt;AC30),"パーフェクト▲",IF(E30&gt;AC30,"上昇トレンド▲",IF(AND(E30&lt;AB30,AB30&lt;AC30),"下降トレンド▼","もみ合い→"))))</f>
        <v>上昇トレンド▲</v>
      </c>
      <c r="AE30" s="404" t="str">
        <f>IF(OR(C30="",AB30="",AC30=""),"",IF(AND(ABS(E30-AC30)/AC30&lt;=0.02,E30&gt;AC30),"25日押し目★",IF(AND(ABS(E30-AB30)/AB30&lt;=0.01,E30&gt;AB30),"5日押し目○","なし")))</f>
        <v>なし</v>
      </c>
      <c r="AF30" s="365">
        <f t="array" ref="AF30">IF(C30="","",IFERROR((INDEX(終値!$E:$E,MATCH(TEXT(C30,"0"),終値!$A:$A,0))-INDEX(終値!$E:$CZ,MATCH(TEXT(C30,"0"),終値!$A:$A,0),$AL$2))/INDEX(終値!$E:$CZ,MATCH(TEXT(C30,"0"),終値!$A:$A,0),$AL$2)*100,""))</f>
        <v>4.0364188163884673</v>
      </c>
      <c r="AG30" s="365">
        <f t="array" ref="AG30">IFERROR((終値!$E$5-INDEX(終値!$E$5:$IT$5,1,$AL$2))/INDEX(終値!$E$5:$IT$5,1,$AL$2)*100,"")</f>
        <v>1.0179378228534113</v>
      </c>
      <c r="AH30" s="366">
        <f>IF(OR(AF30="",AG30=""),"",AF30-AG30)</f>
        <v>3.0184809935350563</v>
      </c>
      <c r="AI30" s="364">
        <f>IF(AH30="","",IF(AH30&gt;5,3,IF(AH30&gt;0,1,IF(AH30&gt;-3,-1,-2))))</f>
        <v>1</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2448</v>
      </c>
      <c r="F31" s="166">
        <f>IF(C31&lt;&gt;"",_xll.RssMarket(C31,"始値"),"")</f>
        <v>2434</v>
      </c>
      <c r="G31" s="165">
        <f>IF(C31&lt;&gt;"",終値!F125,"")</f>
        <v>2434</v>
      </c>
      <c r="H31" s="166">
        <f>IF(C31&lt;&gt;"",_xll.RssMarket(C31,"高値"),"")</f>
        <v>2470</v>
      </c>
      <c r="I31" s="166">
        <f>IF(C31&lt;&gt;"",_xll.RssMarket(C31,"安値"),"")</f>
        <v>2417</v>
      </c>
      <c r="J31" s="166">
        <f>IF(C31&lt;&gt;"",_xll.RssMarket(C31,"出来高"),"")</f>
        <v>118900</v>
      </c>
      <c r="K31" s="166">
        <f>IF(C31&lt;&gt;"",_xll.RssMarket(C31,"年初来高値"),"")</f>
        <v>2885</v>
      </c>
      <c r="L31" s="167">
        <f>IF(AND(E31&lt;&gt;"",K31&lt;&gt;"",K31&lt;&gt;0),(E31-K31)/K31*100,"")</f>
        <v>-15.147313691507799</v>
      </c>
      <c r="M31" s="166">
        <f>IF(C31&lt;&gt;"",IFERROR(AVERAGE(出来高!E125:I125),""),"")</f>
        <v>106800</v>
      </c>
      <c r="N31" s="166">
        <f>IF(C31&lt;&gt;"",IFERROR(AVERAGE(出来高!E125:AC125),""),"")</f>
        <v>115548</v>
      </c>
      <c r="O31" s="168">
        <f>IF(AND(J31&lt;&gt;"",M31&lt;&gt;"",M31&lt;&gt;0),J31/M31,"")</f>
        <v>1.1132958801498127</v>
      </c>
      <c r="P31" s="163" t="str">
        <f>IF(O31="","",IF(O31&gt;=2,"急増↑↑",IF(O31&gt;=1.5,"増加↑",IF(O31&gt;=1,"普通→","減少↓"))))</f>
        <v>普通→</v>
      </c>
      <c r="Q31" s="163" t="str">
        <f>IF(E31="","",IF(AND(E31&gt;G31,O31&gt;=1.5),"買い▲",IF(E31&lt;G31,"様子見▼","中立→")))</f>
        <v>中立→</v>
      </c>
      <c r="R31" s="166">
        <f>IF(E31&lt;&gt;"",ROUND(E31*1.08,0),"")</f>
        <v>2644</v>
      </c>
      <c r="S31" s="166">
        <f>IF(E31&lt;&gt;"",ROUND(E31*0.96,0),"")</f>
        <v>2350</v>
      </c>
      <c r="T31" s="163">
        <f>IF(C31="","",IFERROR(IF(O31&gt;=2,3,IF(O31&gt;=1.5,2,IF(O31&gt;=1,1,0)))+IF(E31&gt;G31,1,0)+IF(L31&gt;=-5,1,0)+IF(Q31="買い▲",2,0)+IF(W31&lt;=30,3,IF(W31&lt;=40,2,IF(AND(W31&gt;=40,W31&lt;=60),1,0)))+IF(X31&gt;0,1,0)+IF(V31="年初来高値更新●",3,IF(V31="高値圏",2,0))+IF(AD31="パーフェクト▲",3,IF(AD31="上昇トレンド▲",2,0))+IF(AE31="25日線押し目●",2,IF(AE31="5日線押し目○",1,0))+IF(P31="急増↑↑",2,IF(P31="増加↑",1,0))+N(AI31),0))</f>
        <v>8</v>
      </c>
      <c r="U31" s="163" t="str">
        <f>IF(T31="","",IF(AND(T31&gt;=3,O31&gt;=1.5),"有効",IF(T31&gt;=3,"要確認","除外")))</f>
        <v>要確認</v>
      </c>
      <c r="V31" s="163" t="str">
        <f>IF(AND(H31&lt;&gt;"",K31&lt;&gt;""),IF(H31&gt;=K31,"年初来高値更新●",IF(H31&gt;=K31*0.95,"高値圏","通常")),"")</f>
        <v>通常</v>
      </c>
      <c r="W31" s="169">
        <f t="array" ref="W31">IF(C31&lt;&gt;"",IFERROR(100-100/(1+SUMPRODUCT((終値!F125:R125&gt;終値!G125:S125)*( 終値!F125:R125-終値!G125:S125))/SUMPRODUCT((終値!F125:R125&lt;終値!G125:S125)*(終値!G125:S125-終値!F125:R125))),50),"")</f>
        <v>38.975501113585743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△注目</v>
      </c>
      <c r="Z31" s="171">
        <f>IF(AND(E31&lt;&gt;"",G31&lt;&gt;"",G31&lt;&gt;0),(E31-G31)/G31*100,"")</f>
        <v>0.57518488085456043</v>
      </c>
      <c r="AA31" s="163" t="str">
        <f>IF(OR(C31="",E31="",E31=0),"",IF(E31&gt;G31,"上昇▲",IF(E31&lt;G31,"下落▼","横ばい→")))</f>
        <v>上昇▲</v>
      </c>
      <c r="AB31" s="405">
        <f>IF(C31="","",IFERROR(((終値!E33*0.333)+(終値!F33*0.222)+(終値!G33*0.148)+(終値!H33*0.099)+(終値!I33*0.066)+(終値!J33*0.044)+(終値!K33*0.029)+(終値!L33*0.019)+(終値!M33*0.013)+(終値!N33*0.009))/(0.333+0.222+0.148+0.099+0.066+0.044+0.029+0.019+0.013+0.009),""))</f>
        <v>1810.5809572301418</v>
      </c>
      <c r="AC31" s="405">
        <f>IF(C31="","",IFERROR(SUMPRODUCT((終値!E33:AC33),({0.077,0.071,0.065,0.06,0.055,0.051,0.047,0.043,0.039,0.036,0.033,0.031,0.028,0.026,0.024,0.022,0.02,0.018,0.017,0.016,0.014,0.013,0.012,0.011,0.01}))/SUM({0.077,0.071,0.065,0.06,0.055,0.051,0.047,0.043,0.039,0.036,0.033,0.031,0.028,0.026,0.024,0.022,0.02,0.018,0.017,0.016,0.014,0.013,0.012,0.011,0.01}),""))</f>
        <v>1808.5524433849816</v>
      </c>
      <c r="AD31" s="406" t="str">
        <f>IF(OR(C31="",AB31="",AC31=""),"",IF(AND(E31&gt;AB31,AB31&gt;AC31),"パーフェクト▲",IF(E31&gt;AC31,"上昇トレンド▲",IF(AND(E31&lt;AB31,AB31&lt;AC31),"下降トレンド▼","もみ合い→"))))</f>
        <v>パーフェクト▲</v>
      </c>
      <c r="AE31" s="406" t="str">
        <f>IF(OR(C31="",AB31="",AC31=""),"",IF(AND(ABS(E31-AC31)/AC31&lt;=0.02,E31&gt;AC31),"25日押し目★",IF(AND(ABS(E31-AB31)/AB31&lt;=0.01,E31&gt;AB31),"5日押し目○","なし")))</f>
        <v>なし</v>
      </c>
      <c r="AF31" s="365">
        <f t="array" ref="AF31">IF(C31="","",IFERROR((INDEX(終値!$E:$E,MATCH(TEXT(C31,"0"),終値!$A:$A,0))-INDEX(終値!$E:$CZ,MATCH(TEXT(C31,"0"),終値!$A:$A,0),$AL$2))/INDEX(終値!$E:$CZ,MATCH(TEXT(C31,"0"),終値!$A:$A,0),$AL$2)*100,""))</f>
        <v>2.5555090071219104</v>
      </c>
      <c r="AG31" s="365">
        <f t="array" ref="AG31">IFERROR((終値!$E$5-INDEX(終値!$E$5:$IT$5,1,$AL$2))/INDEX(終値!$E$5:$IT$5,1,$AL$2)*100,"")</f>
        <v>1.0179378228534113</v>
      </c>
      <c r="AH31" s="366">
        <f>IF(OR(AF31="",AG31=""),"",AF31-AG31)</f>
        <v>1.5375711842684991</v>
      </c>
      <c r="AI31" s="364">
        <f>IF(AH31="","",IF(AH31&gt;5,3,IF(AH31&gt;0,1,IF(AH31&gt;-3,-1,-2))))</f>
        <v>1</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1075</v>
      </c>
      <c r="F32" s="166">
        <f>IF(C32&lt;&gt;"",_xll.RssMarket(C32,"始値"),"")</f>
        <v>1075</v>
      </c>
      <c r="G32" s="165">
        <f>IF(C32&lt;&gt;"",終値!F161,"")</f>
        <v>1072</v>
      </c>
      <c r="H32" s="166">
        <f>IF(C32&lt;&gt;"",_xll.RssMarket(C32,"高値"),"")</f>
        <v>1084</v>
      </c>
      <c r="I32" s="166">
        <f>IF(C32&lt;&gt;"",_xll.RssMarket(C32,"安値"),"")</f>
        <v>1069</v>
      </c>
      <c r="J32" s="166">
        <f>IF(C32&lt;&gt;"",_xll.RssMarket(C32,"出来高"),"")</f>
        <v>104000</v>
      </c>
      <c r="K32" s="166">
        <f>IF(C32&lt;&gt;"",_xll.RssMarket(C32,"年初来高値"),"")</f>
        <v>1267</v>
      </c>
      <c r="L32" s="167">
        <f>IF(AND(E32&lt;&gt;"",K32&lt;&gt;"",K32&lt;&gt;0),(E32-K32)/K32*100,"")</f>
        <v>-15.153906866614051</v>
      </c>
      <c r="M32" s="166">
        <f>IF(C32&lt;&gt;"",IFERROR(AVERAGE(出来高!E161:I161),""),"")</f>
        <v>230220</v>
      </c>
      <c r="N32" s="166">
        <f>IF(C32&lt;&gt;"",IFERROR(AVERAGE(出来高!E161:AC161),""),"")</f>
        <v>185733.33333333334</v>
      </c>
      <c r="O32" s="168">
        <f>IF(AND(J32&lt;&gt;"",M32&lt;&gt;"",M32&lt;&gt;0),J32/M32,"")</f>
        <v>0.45174181217965426</v>
      </c>
      <c r="P32" s="163" t="str">
        <f>IF(O32="","",IF(O32&gt;=2,"急増↑↑",IF(O32&gt;=1.5,"増加↑",IF(O32&gt;=1,"普通→","減少↓"))))</f>
        <v>減少↓</v>
      </c>
      <c r="Q32" s="163" t="str">
        <f>IF(E32="","",IF(AND(E32&gt;G32,O32&gt;=1.5),"買い▲",IF(E32&lt;G32,"様子見▼","中立→")))</f>
        <v>中立→</v>
      </c>
      <c r="R32" s="166">
        <f>IF(E32&lt;&gt;"",ROUND(E32*1.08,0),"")</f>
        <v>1161</v>
      </c>
      <c r="S32" s="166">
        <f>IF(E32&lt;&gt;"",ROUND(E32*0.96,0),"")</f>
        <v>1032</v>
      </c>
      <c r="T32" s="163">
        <f>IF(C32="","",IFERROR(IF(O32&gt;=2,3,IF(O32&gt;=1.5,2,IF(O32&gt;=1,1,0)))+IF(E32&gt;G32,1,0)+IF(L32&gt;=-5,1,0)+IF(Q32="買い▲",2,0)+IF(W32&lt;=30,3,IF(W32&lt;=40,2,IF(AND(W32&gt;=40,W32&lt;=60),1,0)))+IF(X32&gt;0,1,0)+IF(V32="年初来高値更新●",3,IF(V32="高値圏",2,0))+IF(AD32="パーフェクト▲",3,IF(AD32="上昇トレンド▲",2,0))+IF(AE32="25日線押し目●",2,IF(AE32="5日線押し目○",1,0))+IF(P32="急増↑↑",2,IF(P32="増加↑",1,0))+N(AI32),0))</f>
        <v>1</v>
      </c>
      <c r="U32" s="163" t="str">
        <f>IF(T32="","",IF(AND(T32&gt;=3,O32&gt;=1.5),"有効",IF(T32&gt;=3,"要確認","除外")))</f>
        <v>除外</v>
      </c>
      <c r="V32" s="163" t="str">
        <f>IF(AND(H32&lt;&gt;"",K32&lt;&gt;""),IF(H32&gt;=K32,"年初来高値更新●",IF(H32&gt;=K32*0.95,"高値圏","通常")),"")</f>
        <v>通常</v>
      </c>
      <c r="W32" s="169">
        <f t="array" ref="W32">IF(C32&lt;&gt;"",IFERROR(100-100/(1+SUMPRODUCT((終値!F161:R161&gt;終値!G161:S161)*( 終値!F161:R161-終値!G161:S161))/SUMPRODUCT((終値!F161:R161&lt;終値!G161:S161)*(終値!G161:S161-終値!F161:R161))),50),"")</f>
        <v>49.073675140025856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見送り</v>
      </c>
      <c r="Z32" s="171">
        <f>IF(AND(E32&lt;&gt;"",G32&lt;&gt;"",G32&lt;&gt;0),(E32-G32)/G32*100,"")</f>
        <v>0.27985074626865669</v>
      </c>
      <c r="AA32" s="163" t="str">
        <f>IF(OR(C32="",E32="",E32=0),"",IF(E32&gt;G32,"上昇▲",IF(E32&lt;G32,"下落▼","横ばい→")))</f>
        <v>上昇▲</v>
      </c>
      <c r="AB32" s="403">
        <f>IF(C32="","",IFERROR(((終値!E34*0.333)+(終値!F34*0.222)+(終値!G34*0.148)+(終値!H34*0.099)+(終値!I34*0.066)+(終値!J34*0.044)+(終値!K34*0.029)+(終値!L34*0.019)+(終値!M34*0.013)+(終値!N34*0.009))/(0.333+0.222+0.148+0.099+0.066+0.044+0.029+0.019+0.013+0.009),""))</f>
        <v>4156.4643584521382</v>
      </c>
      <c r="AC32" s="403">
        <f>IF(C32="","",IFERROR(SUMPRODUCT((終値!E34:AC34),({0.077,0.071,0.065,0.06,0.055,0.051,0.047,0.043,0.039,0.036,0.033,0.031,0.028,0.026,0.024,0.022,0.02,0.018,0.017,0.016,0.014,0.013,0.012,0.011,0.01}))/SUM({0.077,0.071,0.065,0.06,0.055,0.051,0.047,0.043,0.039,0.036,0.033,0.031,0.028,0.026,0.024,0.022,0.02,0.018,0.017,0.016,0.014,0.013,0.012,0.011,0.01}),""))</f>
        <v>4099.5387365911783</v>
      </c>
      <c r="AD32" s="404" t="str">
        <f>IF(OR(C32="",AB32="",AC32=""),"",IF(AND(E32&gt;AB32,AB32&gt;AC32),"パーフェクト▲",IF(E32&gt;AC32,"上昇トレンド▲",IF(AND(E32&lt;AB32,AB32&lt;AC32),"下降トレンド▼","もみ合い→"))))</f>
        <v>もみ合い→</v>
      </c>
      <c r="AE32" s="404" t="str">
        <f>IF(OR(C32="",AB32="",AC32=""),"",IF(AND(ABS(E32-AC32)/AC32&lt;=0.02,E32&gt;AC32),"25日押し目★",IF(AND(ABS(E32-AB32)/AB32&lt;=0.01,E32&gt;AB32),"5日押し目○","なし")))</f>
        <v>なし</v>
      </c>
      <c r="AF32" s="365">
        <f t="array" ref="AF32">IF(C32="","",IFERROR((INDEX(終値!$E:$E,MATCH(TEXT(C32,"0"),終値!$A:$A,0))-INDEX(終値!$E:$CZ,MATCH(TEXT(C32,"0"),終値!$A:$A,0),$AL$2))/INDEX(終値!$E:$CZ,MATCH(TEXT(C32,"0"),終値!$A:$A,0),$AL$2)*100,""))</f>
        <v>9.3109869646182494E-2</v>
      </c>
      <c r="AG32" s="365">
        <f t="array" ref="AG32">IFERROR((終値!$E$5-INDEX(終値!$E$5:$IT$5,1,$AL$2))/INDEX(終値!$E$5:$IT$5,1,$AL$2)*100,"")</f>
        <v>1.0179378228534113</v>
      </c>
      <c r="AH32" s="366">
        <f>IF(OR(AF32="",AG32=""),"",AF32-AG32)</f>
        <v>-0.92482795320722877</v>
      </c>
      <c r="AI32" s="364">
        <f>IF(AH32="","",IF(AH32&gt;5,3,IF(AH32&gt;0,1,IF(AH32&gt;-3,-1,-2))))</f>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1488</v>
      </c>
      <c r="F33" s="166">
        <f>IF(C33&lt;&gt;"",_xll.RssMarket(C33,"始値"),"")</f>
        <v>1488</v>
      </c>
      <c r="G33" s="165">
        <f>IF(C33&lt;&gt;"",終値!F124,"")</f>
        <v>1481.5</v>
      </c>
      <c r="H33" s="166">
        <f>IF(C33&lt;&gt;"",_xll.RssMarket(C33,"高値"),"")</f>
        <v>1507</v>
      </c>
      <c r="I33" s="166">
        <f>IF(C33&lt;&gt;"",_xll.RssMarket(C33,"安値"),"")</f>
        <v>1475.5</v>
      </c>
      <c r="J33" s="166">
        <f>IF(C33&lt;&gt;"",_xll.RssMarket(C33,"出来高"),"")</f>
        <v>9906200</v>
      </c>
      <c r="K33" s="166">
        <f>IF(C33&lt;&gt;"",_xll.RssMarket(C33,"年初来高値"),"")</f>
        <v>2158</v>
      </c>
      <c r="L33" s="167">
        <f>IF(AND(E33&lt;&gt;"",K33&lt;&gt;"",K33&lt;&gt;0),(E33-K33)/K33*100,"")</f>
        <v>-31.047265987025025</v>
      </c>
      <c r="M33" s="166">
        <f>IF(C33&lt;&gt;"",IFERROR(AVERAGE(出来高!E124:I124),""),"")</f>
        <v>10539140</v>
      </c>
      <c r="N33" s="166">
        <f>IF(C33&lt;&gt;"",IFERROR(AVERAGE(出来高!E124:AC124),""),"")</f>
        <v>8742800</v>
      </c>
      <c r="O33" s="168">
        <f>IF(AND(J33&lt;&gt;"",M33&lt;&gt;"",M33&lt;&gt;0),J33/M33,"")</f>
        <v>0.93994386638757998</v>
      </c>
      <c r="P33" s="163" t="str">
        <f>IF(O33="","",IF(O33&gt;=2,"急増↑↑",IF(O33&gt;=1.5,"増加↑",IF(O33&gt;=1,"普通→","減少↓"))))</f>
        <v>減少↓</v>
      </c>
      <c r="Q33" s="163" t="str">
        <f>IF(E33="","",IF(AND(E33&gt;G33,O33&gt;=1.5),"買い▲",IF(E33&lt;G33,"様子見▼","中立→")))</f>
        <v>中立→</v>
      </c>
      <c r="R33" s="166">
        <f>IF(E33&lt;&gt;"",ROUND(E33*1.08,0),"")</f>
        <v>1607</v>
      </c>
      <c r="S33" s="166">
        <f>IF(E33&lt;&gt;"",ROUND(E33*0.96,0),"")</f>
        <v>1428</v>
      </c>
      <c r="T33" s="163">
        <f>IF(C33="","",IFERROR(IF(O33&gt;=2,3,IF(O33&gt;=1.5,2,IF(O33&gt;=1,1,0)))+IF(E33&gt;G33,1,0)+IF(L33&gt;=-5,1,0)+IF(Q33="買い▲",2,0)+IF(W33&lt;=30,3,IF(W33&lt;=40,2,IF(AND(W33&gt;=40,W33&lt;=60),1,0)))+IF(X33&gt;0,1,0)+IF(V33="年初来高値更新●",3,IF(V33="高値圏",2,0))+IF(AD33="パーフェクト▲",3,IF(AD33="上昇トレンド▲",2,0))+IF(AE33="25日線押し目●",2,IF(AE33="5日線押し目○",1,0))+IF(P33="急増↑↑",2,IF(P33="増加↑",1,0))+N(AI33),0))</f>
        <v>2</v>
      </c>
      <c r="U33" s="163" t="str">
        <f>IF(T33="","",IF(AND(T33&gt;=3,O33&gt;=1.5),"有効",IF(T33&gt;=3,"要確認","除外")))</f>
        <v>除外</v>
      </c>
      <c r="V33" s="163" t="str">
        <f>IF(AND(H33&lt;&gt;"",K33&lt;&gt;""),IF(H33&gt;=K33,"年初来高値更新●",IF(H33&gt;=K33*0.95,"高値圏","通常")),"")</f>
        <v>通常</v>
      </c>
      <c r="W33" s="169">
        <f t="array" ref="W33">IF(C33&lt;&gt;"",IFERROR(100-100/(1+SUMPRODUCT((終値!F124:R124&gt;終値!G124:S124)*( 終値!F124:R124-終値!G124:S124))/SUMPRODUCT((終値!F124:R124&lt;終値!G124:S124)*(終値!G124:S124-終値!F124:R124))),50),"")</f>
        <v>38.546603475513429</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見送り</v>
      </c>
      <c r="Z33" s="171">
        <f>IF(AND(E33&lt;&gt;"",G33&lt;&gt;"",G33&lt;&gt;0),(E33-G33)/G33*100,"")</f>
        <v>0.43874451569355388</v>
      </c>
      <c r="AA33" s="163" t="str">
        <f>IF(OR(C33="",E33="",E33=0),"",IF(E33&gt;G33,"上昇▲",IF(E33&lt;G33,"下落▼","横ばい→")))</f>
        <v>上昇▲</v>
      </c>
      <c r="AB33" s="405">
        <f>IF(C33="","",IFERROR(((終値!E35*0.333)+(終値!F35*0.222)+(終値!G35*0.148)+(終値!H35*0.099)+(終値!I35*0.066)+(終値!J35*0.044)+(終値!K35*0.029)+(終値!L35*0.019)+(終値!M35*0.013)+(終値!N35*0.009))/(0.333+0.222+0.148+0.099+0.066+0.044+0.029+0.019+0.013+0.009),""))</f>
        <v>2275.4460285132373</v>
      </c>
      <c r="AC33" s="405">
        <f>IF(C33="","",IFERROR(SUMPRODUCT((終値!E35:AC35),({0.077,0.071,0.065,0.06,0.055,0.051,0.047,0.043,0.039,0.036,0.033,0.031,0.028,0.026,0.024,0.022,0.02,0.018,0.017,0.016,0.014,0.013,0.012,0.011,0.01}))/SUM({0.077,0.071,0.065,0.06,0.055,0.051,0.047,0.043,0.039,0.036,0.033,0.031,0.028,0.026,0.024,0.022,0.02,0.018,0.017,0.016,0.014,0.013,0.012,0.011,0.01}),""))</f>
        <v>2282.5417163289621</v>
      </c>
      <c r="AD33" s="406" t="str">
        <f>IF(OR(C33="",AB33="",AC33=""),"",IF(AND(E33&gt;AB33,AB33&gt;AC33),"パーフェクト▲",IF(E33&gt;AC33,"上昇トレンド▲",IF(AND(E33&lt;AB33,AB33&lt;AC33),"下降トレンド▼","もみ合い→"))))</f>
        <v>下降トレンド▼</v>
      </c>
      <c r="AE33" s="406" t="str">
        <f>IF(OR(C33="",AB33="",AC33=""),"",IF(AND(ABS(E33-AC33)/AC33&lt;=0.02,E33&gt;AC33),"25日押し目★",IF(AND(ABS(E33-AB33)/AB33&lt;=0.01,E33&gt;AB33),"5日押し目○","なし")))</f>
        <v>なし</v>
      </c>
      <c r="AF33" s="365">
        <f t="array" ref="AF33">IF(C33="","",IFERROR((INDEX(終値!$E:$E,MATCH(TEXT(C33,"0"),終値!$A:$A,0))-INDEX(終値!$E:$CZ,MATCH(TEXT(C33,"0"),終値!$A:$A,0),$AL$2))/INDEX(終値!$E:$CZ,MATCH(TEXT(C33,"0"),終値!$A:$A,0),$AL$2)*100,""))</f>
        <v>0.6085192697768762</v>
      </c>
      <c r="AG33" s="365">
        <f t="array" ref="AG33">IFERROR((終値!$E$5-INDEX(終値!$E$5:$IT$5,1,$AL$2))/INDEX(終値!$E$5:$IT$5,1,$AL$2)*100,"")</f>
        <v>1.0179378228534113</v>
      </c>
      <c r="AH33" s="366">
        <f>IF(OR(AF33="",AG33=""),"",AF33-AG33)</f>
        <v>-0.40941855307653507</v>
      </c>
      <c r="AI33" s="364">
        <f>IF(AH33="","",IF(AH33&gt;5,3,IF(AH33&gt;0,1,IF(AH33&gt;-3,-1,-2))))</f>
        <v>-1</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4962</v>
      </c>
      <c r="F34" s="166">
        <f>IF(C34&lt;&gt;"",_xll.RssMarket(C34,"始値"),"")</f>
        <v>5038</v>
      </c>
      <c r="G34" s="165">
        <f>IF(C34&lt;&gt;"",終値!F23,"")</f>
        <v>5032</v>
      </c>
      <c r="H34" s="166">
        <f>IF(C34&lt;&gt;"",_xll.RssMarket(C34,"高値"),"")</f>
        <v>5065</v>
      </c>
      <c r="I34" s="166">
        <f>IF(C34&lt;&gt;"",_xll.RssMarket(C34,"安値"),"")</f>
        <v>4935</v>
      </c>
      <c r="J34" s="166">
        <f>IF(C34&lt;&gt;"",_xll.RssMarket(C34,"出来高"),"")</f>
        <v>2230100</v>
      </c>
      <c r="K34" s="166">
        <f>IF(C34&lt;&gt;"",_xll.RssMarket(C34,"年初来高値"),"")</f>
        <v>5176</v>
      </c>
      <c r="L34" s="167">
        <f>IF(AND(E34&lt;&gt;"",K34&lt;&gt;"",K34&lt;&gt;0),(E34-K34)/K34*100,"")</f>
        <v>-4.1344667697063366</v>
      </c>
      <c r="M34" s="166">
        <f>IF(C34&lt;&gt;"",IFERROR(AVERAGE(出来高!E23:I23),""),"")</f>
        <v>1516460</v>
      </c>
      <c r="N34" s="166">
        <f>IF(C34&lt;&gt;"",IFERROR(AVERAGE(出来高!E23:AC23),""),"")</f>
        <v>1565250</v>
      </c>
      <c r="O34" s="168">
        <f>IF(AND(J34&lt;&gt;"",M34&lt;&gt;"",M34&lt;&gt;0),J34/M34,"")</f>
        <v>1.470595993300186</v>
      </c>
      <c r="P34" s="163" t="str">
        <f>IF(O34="","",IF(O34&gt;=2,"急増↑↑",IF(O34&gt;=1.5,"増加↑",IF(O34&gt;=1,"普通→","減少↓"))))</f>
        <v>普通→</v>
      </c>
      <c r="Q34" s="163" t="str">
        <f>IF(E34="","",IF(AND(E34&gt;G34,O34&gt;=1.5),"買い▲",IF(E34&lt;G34,"様子見▼","中立→")))</f>
        <v>様子見▼</v>
      </c>
      <c r="R34" s="166">
        <f>IF(E34&lt;&gt;"",ROUND(E34*1.08,0),"")</f>
        <v>5359</v>
      </c>
      <c r="S34" s="166">
        <f>IF(E34&lt;&gt;"",ROUND(E34*0.96,0),"")</f>
        <v>4764</v>
      </c>
      <c r="T34" s="163">
        <f>IF(C34="","",IFERROR(IF(O34&gt;=2,3,IF(O34&gt;=1.5,2,IF(O34&gt;=1,1,0)))+IF(E34&gt;G34,1,0)+IF(L34&gt;=-5,1,0)+IF(Q34="買い▲",2,0)+IF(W34&lt;=30,3,IF(W34&lt;=40,2,IF(AND(W34&gt;=40,W34&lt;=60),1,0)))+IF(X34&gt;0,1,0)+IF(V34="年初来高値更新●",3,IF(V34="高値圏",2,0))+IF(AD34="パーフェクト▲",3,IF(AD34="上昇トレンド▲",2,0))+IF(AE34="25日線押し目●",2,IF(AE34="5日線押し目○",1,0))+IF(P34="急増↑↑",2,IF(P34="増加↑",1,0))+N(AI34),0))</f>
        <v>8</v>
      </c>
      <c r="U34" s="163" t="str">
        <f>IF(T34="","",IF(AND(T34&gt;=3,O34&gt;=1.5),"有効",IF(T34&gt;=3,"要確認","除外")))</f>
        <v>要確認</v>
      </c>
      <c r="V34" s="163" t="str">
        <f>IF(AND(H34&lt;&gt;"",K34&lt;&gt;""),IF(H34&gt;=K34,"年初来高値更新●",IF(H34&gt;=K34*0.95,"高値圏","通常")),"")</f>
        <v>高値圏</v>
      </c>
      <c r="W34" s="169">
        <f t="array" ref="W34">IF(C34&lt;&gt;"",IFERROR(100-100/(1+SUMPRODUCT((終値!F23:R23&gt;終値!G23:S23)*( 終値!F23:R23-終値!G23:S23))/SUMPRODUCT((終値!F23:R23&lt;終値!G23:S23)*(終値!G23:S23-終値!F23:R23))),50),"")</f>
        <v>49.920198616776027</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△注目</v>
      </c>
      <c r="Z34" s="171">
        <f>IF(AND(E34&lt;&gt;"",G34&lt;&gt;"",G34&lt;&gt;0),(E34-G34)/G34*100,"")</f>
        <v>-1.3910969793322734</v>
      </c>
      <c r="AA34" s="163" t="str">
        <f>IF(OR(C34="",E34="",E34=0),"",IF(E34&gt;G34,"上昇▲",IF(E34&lt;G34,"下落▼","横ばい→")))</f>
        <v>下落▼</v>
      </c>
      <c r="AB34" s="403">
        <f>IF(C34="","",IFERROR(((終値!E36*0.333)+(終値!F36*0.222)+(終値!G36*0.148)+(終値!H36*0.099)+(終値!I36*0.066)+(終値!J36*0.044)+(終値!K36*0.029)+(終値!L36*0.019)+(終値!M36*0.013)+(終値!N36*0.009))/(0.333+0.222+0.148+0.099+0.066+0.044+0.029+0.019+0.013+0.009),""))</f>
        <v>1770.2245417515271</v>
      </c>
      <c r="AC34" s="403">
        <f>IF(C34="","",IFERROR(SUMPRODUCT((終値!E36:AC36),({0.077,0.071,0.065,0.06,0.055,0.051,0.047,0.043,0.039,0.036,0.033,0.031,0.028,0.026,0.024,0.022,0.02,0.018,0.017,0.016,0.014,0.013,0.012,0.011,0.01}))/SUM({0.077,0.071,0.065,0.06,0.055,0.051,0.047,0.043,0.039,0.036,0.033,0.031,0.028,0.026,0.024,0.022,0.02,0.018,0.017,0.016,0.014,0.013,0.012,0.011,0.01}),""))</f>
        <v>1821.7997616209773</v>
      </c>
      <c r="AD34" s="404" t="str">
        <f>IF(OR(C34="",AB34="",AC34=""),"",IF(AND(E34&gt;AB34,AB34&gt;AC34),"パーフェクト▲",IF(E34&gt;AC34,"上昇トレンド▲",IF(AND(E34&lt;AB34,AB34&lt;AC34),"下降トレンド▼","もみ合い→"))))</f>
        <v>上昇トレンド▲</v>
      </c>
      <c r="AE34" s="404" t="str">
        <f>IF(OR(C34="",AB34="",AC34=""),"",IF(AND(ABS(E34-AC34)/AC34&lt;=0.02,E34&gt;AC34),"25日押し目★",IF(AND(ABS(E34-AB34)/AB34&lt;=0.01,E34&gt;AB34),"5日押し目○","なし")))</f>
        <v>なし</v>
      </c>
      <c r="AF34" s="365">
        <f t="array" ref="AF34">IF(C34="","",IFERROR((INDEX(終値!$E:$E,MATCH(TEXT(C34,"0"),終値!$A:$A,0))-INDEX(終値!$E:$CZ,MATCH(TEXT(C34,"0"),終値!$A:$A,0),$AL$2))/INDEX(終値!$E:$CZ,MATCH(TEXT(C34,"0"),終値!$A:$A,0),$AL$2)*100,""))</f>
        <v>3.0529595015576323</v>
      </c>
      <c r="AG34" s="365">
        <f t="array" ref="AG34">IFERROR((終値!$E$5-INDEX(終値!$E$5:$IT$5,1,$AL$2))/INDEX(終値!$E$5:$IT$5,1,$AL$2)*100,"")</f>
        <v>1.0179378228534113</v>
      </c>
      <c r="AH34" s="366">
        <f>IF(OR(AF34="",AG34=""),"",AF34-AG34)</f>
        <v>2.0350216787042212</v>
      </c>
      <c r="AI34" s="364">
        <f>IF(AH34="","",IF(AH34&gt;5,3,IF(AH34&gt;0,1,IF(AH34&gt;-3,-1,-2))))</f>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7817</v>
      </c>
      <c r="F35" s="166">
        <f>IF(C35&lt;&gt;"",_xll.RssMarket(C35,"始値"),"")</f>
        <v>7715</v>
      </c>
      <c r="G35" s="165">
        <f>IF(C35&lt;&gt;"",終値!F52,"")</f>
        <v>7742</v>
      </c>
      <c r="H35" s="166">
        <f>IF(C35&lt;&gt;"",_xll.RssMarket(C35,"高値"),"")</f>
        <v>7838</v>
      </c>
      <c r="I35" s="166">
        <f>IF(C35&lt;&gt;"",_xll.RssMarket(C35,"安値"),"")</f>
        <v>7700</v>
      </c>
      <c r="J35" s="166">
        <f>IF(C35&lt;&gt;"",_xll.RssMarket(C35,"出来高"),"")</f>
        <v>3609900</v>
      </c>
      <c r="K35" s="166">
        <f>IF(C35&lt;&gt;"",_xll.RssMarket(C35,"年初来高値"),"")</f>
        <v>8468</v>
      </c>
      <c r="L35" s="167">
        <f>IF(AND(E35&lt;&gt;"",K35&lt;&gt;"",K35&lt;&gt;0),(E35-K35)/K35*100,"")</f>
        <v>-7.687765706188002</v>
      </c>
      <c r="M35" s="166">
        <f>IF(C35&lt;&gt;"",IFERROR(AVERAGE(出来高!E52:I52),""),"")</f>
        <v>4208460</v>
      </c>
      <c r="N35" s="166">
        <f>IF(C35&lt;&gt;"",IFERROR(AVERAGE(出来高!E52:AC52),""),"")</f>
        <v>5066816</v>
      </c>
      <c r="O35" s="168">
        <f>IF(AND(J35&lt;&gt;"",M35&lt;&gt;"",M35&lt;&gt;0),J35/M35,"")</f>
        <v>0.85777220170798818</v>
      </c>
      <c r="P35" s="163" t="str">
        <f>IF(O35="","",IF(O35&gt;=2,"急増↑↑",IF(O35&gt;=1.5,"増加↑",IF(O35&gt;=1,"普通→","減少↓"))))</f>
        <v>減少↓</v>
      </c>
      <c r="Q35" s="163" t="str">
        <f>IF(E35="","",IF(AND(E35&gt;G35,O35&gt;=1.5),"買い▲",IF(E35&lt;G35,"様子見▼","中立→")))</f>
        <v>中立→</v>
      </c>
      <c r="R35" s="166">
        <f>IF(E35&lt;&gt;"",ROUND(E35*1.08,0),"")</f>
        <v>8442</v>
      </c>
      <c r="S35" s="166">
        <f>IF(E35&lt;&gt;"",ROUND(E35*0.96,0),"")</f>
        <v>7504</v>
      </c>
      <c r="T35" s="163">
        <f>IF(C35="","",IFERROR(IF(O35&gt;=2,3,IF(O35&gt;=1.5,2,IF(O35&gt;=1,1,0)))+IF(E35&gt;G35,1,0)+IF(L35&gt;=-5,1,0)+IF(Q35="買い▲",2,0)+IF(W35&lt;=30,3,IF(W35&lt;=40,2,IF(AND(W35&gt;=40,W35&lt;=60),1,0)))+IF(X35&gt;0,1,0)+IF(V35="年初来高値更新●",3,IF(V35="高値圏",2,0))+IF(AD35="パーフェクト▲",3,IF(AD35="上昇トレンド▲",2,0))+IF(AE35="25日線押し目●",2,IF(AE35="5日線押し目○",1,0))+IF(P35="急増↑↑",2,IF(P35="増加↑",1,0))+N(AI35),0))</f>
        <v>9</v>
      </c>
      <c r="U35" s="163" t="str">
        <f>IF(T35="","",IF(AND(T35&gt;=3,O35&gt;=1.5),"有効",IF(T35&gt;=3,"要確認","除外")))</f>
        <v>要確認</v>
      </c>
      <c r="V35" s="163" t="str">
        <f>IF(AND(H35&lt;&gt;"",K35&lt;&gt;""),IF(H35&gt;=K35,"年初来高値更新●",IF(H35&gt;=K35*0.95,"高値圏","通常")),"")</f>
        <v>通常</v>
      </c>
      <c r="W35" s="169">
        <f t="array" ref="W35">IF(C35&lt;&gt;"",IFERROR(100-100/(1+SUMPRODUCT((終値!F52:R52&gt;終値!G52:S52)*( 終値!F52:R52-終値!G52:S52))/SUMPRODUCT((終値!F52:R52&lt;終値!G52:S52)*(終値!G52:S52-終値!F52:R52))),50),"")</f>
        <v>49.199573105656356</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△注目</v>
      </c>
      <c r="Z35" s="171">
        <f>IF(AND(E35&lt;&gt;"",G35&lt;&gt;"",G35&lt;&gt;0),(E35-G35)/G35*100,"")</f>
        <v>0.96874192715060703</v>
      </c>
      <c r="AA35" s="163" t="str">
        <f>IF(OR(C35="",E35="",E35=0),"",IF(E35&gt;G35,"上昇▲",IF(E35&lt;G35,"下落▼","横ばい→")))</f>
        <v>上昇▲</v>
      </c>
      <c r="AB35" s="405">
        <f>IF(C35="","",IFERROR(((終値!E37*0.333)+(終値!F37*0.222)+(終値!G37*0.148)+(終値!H37*0.099)+(終値!I37*0.066)+(終値!J37*0.044)+(終値!K37*0.029)+(終値!L37*0.019)+(終値!M37*0.013)+(終値!N37*0.009))/(0.333+0.222+0.148+0.099+0.066+0.044+0.029+0.019+0.013+0.009),""))</f>
        <v>1564.3518329938895</v>
      </c>
      <c r="AC35" s="405">
        <f>IF(C35="","",IFERROR(SUMPRODUCT((終値!E37:AC37),({0.077,0.071,0.065,0.06,0.055,0.051,0.047,0.043,0.039,0.036,0.033,0.031,0.028,0.026,0.024,0.022,0.02,0.018,0.017,0.016,0.014,0.013,0.012,0.011,0.01}))/SUM({0.077,0.071,0.065,0.06,0.055,0.051,0.047,0.043,0.039,0.036,0.033,0.031,0.028,0.026,0.024,0.022,0.02,0.018,0.017,0.016,0.014,0.013,0.012,0.011,0.01}),""))</f>
        <v>1555.7407628128722</v>
      </c>
      <c r="AD35" s="406" t="str">
        <f>IF(OR(C35="",AB35="",AC35=""),"",IF(AND(E35&gt;AB35,AB35&gt;AC35),"パーフェクト▲",IF(E35&gt;AC35,"上昇トレンド▲",IF(AND(E35&lt;AB35,AB35&lt;AC35),"下降トレンド▼","もみ合い→"))))</f>
        <v>パーフェクト▲</v>
      </c>
      <c r="AE35" s="406" t="str">
        <f>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9.9128233970753659</v>
      </c>
      <c r="AG35" s="365">
        <f t="array" ref="AG35">IFERROR((終値!$E$5-INDEX(終値!$E$5:$IT$5,1,$AL$2))/INDEX(終値!$E$5:$IT$5,1,$AL$2)*100,"")</f>
        <v>1.0179378228534113</v>
      </c>
      <c r="AH35" s="366">
        <f>IF(OR(AF35="",AG35=""),"",AF35-AG35)</f>
        <v>8.8948855742219539</v>
      </c>
      <c r="AI35" s="364">
        <f>IF(AH35="","",IF(AH35&gt;5,3,IF(AH35&gt;0,1,IF(AH35&gt;-3,-1,-2))))</f>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1921</v>
      </c>
      <c r="F36" s="166">
        <f>IF(C36&lt;&gt;"",_xll.RssMarket(C36,"始値"),"")</f>
        <v>1902</v>
      </c>
      <c r="G36" s="165">
        <f>IF(C36&lt;&gt;"",終値!F43,"")</f>
        <v>1913.5</v>
      </c>
      <c r="H36" s="166">
        <f>IF(C36&lt;&gt;"",_xll.RssMarket(C36,"高値"),"")</f>
        <v>1928.5</v>
      </c>
      <c r="I36" s="166">
        <f>IF(C36&lt;&gt;"",_xll.RssMarket(C36,"安値"),"")</f>
        <v>1891.5</v>
      </c>
      <c r="J36" s="166">
        <f>IF(C36&lt;&gt;"",_xll.RssMarket(C36,"出来高"),"")</f>
        <v>7537800</v>
      </c>
      <c r="K36" s="166">
        <f>IF(C36&lt;&gt;"",_xll.RssMarket(C36,"年初来高値"),"")</f>
        <v>1959</v>
      </c>
      <c r="L36" s="167">
        <f>IF(AND(E36&lt;&gt;"",K36&lt;&gt;"",K36&lt;&gt;0),(E36-K36)/K36*100,"")</f>
        <v>-1.9397651863195506</v>
      </c>
      <c r="M36" s="166">
        <f>IF(C36&lt;&gt;"",IFERROR(AVERAGE(出来高!E43:I43),""),"")</f>
        <v>8316500</v>
      </c>
      <c r="N36" s="166">
        <f>IF(C36&lt;&gt;"",IFERROR(AVERAGE(出来高!E43:AC43),""),"")</f>
        <v>9897258.333333334</v>
      </c>
      <c r="O36" s="168">
        <f>IF(AND(J36&lt;&gt;"",M36&lt;&gt;"",M36&lt;&gt;0),J36/M36,"")</f>
        <v>0.90636686105933983</v>
      </c>
      <c r="P36" s="163" t="str">
        <f>IF(O36="","",IF(O36&gt;=2,"急増↑↑",IF(O36&gt;=1.5,"増加↑",IF(O36&gt;=1,"普通→","減少↓"))))</f>
        <v>減少↓</v>
      </c>
      <c r="Q36" s="163" t="str">
        <f>IF(E36="","",IF(AND(E36&gt;G36,O36&gt;=1.5),"買い▲",IF(E36&lt;G36,"様子見▼","中立→")))</f>
        <v>中立→</v>
      </c>
      <c r="R36" s="166">
        <f>IF(E36&lt;&gt;"",ROUND(E36*1.08,0),"")</f>
        <v>2075</v>
      </c>
      <c r="S36" s="166">
        <f>IF(E36&lt;&gt;"",ROUND(E36*0.96,0),"")</f>
        <v>1844</v>
      </c>
      <c r="T36" s="163">
        <f>IF(C36="","",IFERROR(IF(O36&gt;=2,3,IF(O36&gt;=1.5,2,IF(O36&gt;=1,1,0)))+IF(E36&gt;G36,1,0)+IF(L36&gt;=-5,1,0)+IF(Q36="買い▲",2,0)+IF(W36&lt;=30,3,IF(W36&lt;=40,2,IF(AND(W36&gt;=40,W36&lt;=60),1,0)))+IF(X36&gt;0,1,0)+IF(V36="年初来高値更新●",3,IF(V36="高値圏",2,0))+IF(AD36="パーフェクト▲",3,IF(AD36="上昇トレンド▲",2,0))+IF(AE36="25日線押し目●",2,IF(AE36="5日線押し目○",1,0))+IF(P36="急増↑↑",2,IF(P36="増加↑",1,0))+N(AI36),0))</f>
        <v>9</v>
      </c>
      <c r="U36" s="163" t="str">
        <f>IF(T36="","",IF(AND(T36&gt;=3,O36&gt;=1.5),"有効",IF(T36&gt;=3,"要確認","除外")))</f>
        <v>要確認</v>
      </c>
      <c r="V36" s="163" t="str">
        <f>IF(AND(H36&lt;&gt;"",K36&lt;&gt;""),IF(H36&gt;=K36,"年初来高値更新●",IF(H36&gt;=K36*0.95,"高値圏","通常")),"")</f>
        <v>高値圏</v>
      </c>
      <c r="W36" s="169">
        <f t="array" ref="W36">IF(C36&lt;&gt;"",IFERROR(100-100/(1+SUMPRODUCT((終値!F43:R43&gt;終値!G43:S43)*( 終値!F43:R43-終値!G43:S43))/SUMPRODUCT((終値!F43:R43&lt;終値!G43:S43)*(終値!G43:S43-終値!F43:R43))),50),"")</f>
        <v>50.345069598783475</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△注目</v>
      </c>
      <c r="Z36" s="171">
        <f>IF(AND(E36&lt;&gt;"",G36&lt;&gt;"",G36&lt;&gt;0),(E36-G36)/G36*100,"")</f>
        <v>0.39195192056441075</v>
      </c>
      <c r="AA36" s="163" t="str">
        <f>IF(OR(C36="",E36="",E36=0),"",IF(E36&gt;G36,"上昇▲",IF(E36&lt;G36,"下落▼","横ばい→")))</f>
        <v>上昇▲</v>
      </c>
      <c r="AB36" s="403">
        <f>IF(C36="","",IFERROR(((終値!E38*0.333)+(終値!F38*0.222)+(終値!G38*0.148)+(終値!H38*0.099)+(終値!I38*0.066)+(終値!J38*0.044)+(終値!K38*0.029)+(終値!L38*0.019)+(終値!M38*0.013)+(終値!N38*0.009))/(0.333+0.222+0.148+0.099+0.066+0.044+0.029+0.019+0.013+0.009),""))</f>
        <v>2025.2978615071279</v>
      </c>
      <c r="AC36" s="403">
        <f>IF(C36="","",IFERROR(SUMPRODUCT((終値!E38:AC38),({0.077,0.071,0.065,0.06,0.055,0.051,0.047,0.043,0.039,0.036,0.033,0.031,0.028,0.026,0.024,0.022,0.02,0.018,0.017,0.016,0.014,0.013,0.012,0.011,0.01}))/SUM({0.077,0.071,0.065,0.06,0.055,0.051,0.047,0.043,0.039,0.036,0.033,0.031,0.028,0.026,0.024,0.022,0.02,0.018,0.017,0.016,0.014,0.013,0.012,0.011,0.01}),""))</f>
        <v>1996.5160905840276</v>
      </c>
      <c r="AD36" s="404" t="str">
        <f>IF(OR(C36="",AB36="",AC36=""),"",IF(AND(E36&gt;AB36,AB36&gt;AC36),"パーフェクト▲",IF(E36&gt;AC36,"上昇トレンド▲",IF(AND(E36&lt;AB36,AB36&lt;AC36),"下降トレンド▼","もみ合い→"))))</f>
        <v>もみ合い→</v>
      </c>
      <c r="AE36" s="404" t="str">
        <f>IF(OR(C36="",AB36="",AC36=""),"",IF(AND(ABS(E36-AC36)/AC36&lt;=0.02,E36&gt;AC36),"25日押し目★",IF(AND(ABS(E36-AB36)/AB36&lt;=0.01,E36&gt;AB36),"5日押し目○","なし")))</f>
        <v>なし</v>
      </c>
      <c r="AF36" s="365">
        <f t="array" ref="AF36">IF(C36="","",IFERROR((INDEX(終値!$E:$E,MATCH(TEXT(C36,"0"),終値!$A:$A,0))-INDEX(終値!$E:$CZ,MATCH(TEXT(C36,"0"),終値!$A:$A,0),$AL$2))/INDEX(終値!$E:$CZ,MATCH(TEXT(C36,"0"),終値!$A:$A,0),$AL$2)*100,""))</f>
        <v>7.2585147962032384</v>
      </c>
      <c r="AG36" s="365">
        <f t="array" ref="AG36">IFERROR((終値!$E$5-INDEX(終値!$E$5:$IT$5,1,$AL$2))/INDEX(終値!$E$5:$IT$5,1,$AL$2)*100,"")</f>
        <v>1.0179378228534113</v>
      </c>
      <c r="AH36" s="366">
        <f>IF(OR(AF36="",AG36=""),"",AF36-AG36)</f>
        <v>6.2405769733498273</v>
      </c>
      <c r="AI36" s="364">
        <f>IF(AH36="","",IF(AH36&gt;5,3,IF(AH36&gt;0,1,IF(AH36&gt;-3,-1,-2))))</f>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4827</v>
      </c>
      <c r="F37" s="166">
        <f>IF(C37&lt;&gt;"",_xll.RssMarket(C37,"始値"),"")</f>
        <v>4788</v>
      </c>
      <c r="G37" s="165">
        <f>IF(C37&lt;&gt;"",終値!F22,"")</f>
        <v>4779</v>
      </c>
      <c r="H37" s="166">
        <f>IF(C37&lt;&gt;"",_xll.RssMarket(C37,"高値"),"")</f>
        <v>4849</v>
      </c>
      <c r="I37" s="166">
        <f>IF(C37&lt;&gt;"",_xll.RssMarket(C37,"安値"),"")</f>
        <v>4771</v>
      </c>
      <c r="J37" s="166">
        <f>IF(C37&lt;&gt;"",_xll.RssMarket(C37,"出来高"),"")</f>
        <v>3283600</v>
      </c>
      <c r="K37" s="166">
        <f>IF(C37&lt;&gt;"",_xll.RssMarket(C37,"年初来高値"),"")</f>
        <v>5073</v>
      </c>
      <c r="L37" s="167">
        <f>IF(AND(E37&lt;&gt;"",K37&lt;&gt;"",K37&lt;&gt;0),(E37-K37)/K37*100,"")</f>
        <v>-4.849201655824956</v>
      </c>
      <c r="M37" s="166">
        <f>IF(C37&lt;&gt;"",IFERROR(AVERAGE(出来高!E22:I22),""),"")</f>
        <v>4114620</v>
      </c>
      <c r="N37" s="166">
        <f>IF(C37&lt;&gt;"",IFERROR(AVERAGE(出来高!E22:AC22),""),"")</f>
        <v>4694064</v>
      </c>
      <c r="O37" s="168">
        <f>IF(AND(J37&lt;&gt;"",M37&lt;&gt;"",M37&lt;&gt;0),J37/M37,"")</f>
        <v>0.79803238209117733</v>
      </c>
      <c r="P37" s="163" t="str">
        <f>IF(O37="","",IF(O37&gt;=2,"急増↑↑",IF(O37&gt;=1.5,"増加↑",IF(O37&gt;=1,"普通→","減少↓"))))</f>
        <v>減少↓</v>
      </c>
      <c r="Q37" s="163" t="str">
        <f>IF(E37="","",IF(AND(E37&gt;G37,O37&gt;=1.5),"買い▲",IF(E37&lt;G37,"様子見▼","中立→")))</f>
        <v>中立→</v>
      </c>
      <c r="R37" s="166">
        <f>IF(E37&lt;&gt;"",ROUND(E37*1.08,0),"")</f>
        <v>5213</v>
      </c>
      <c r="S37" s="166">
        <f>IF(E37&lt;&gt;"",ROUND(E37*0.96,0),"")</f>
        <v>4634</v>
      </c>
      <c r="T37" s="163">
        <f>IF(C37="","",IFERROR(IF(O37&gt;=2,3,IF(O37&gt;=1.5,2,IF(O37&gt;=1,1,0)))+IF(E37&gt;G37,1,0)+IF(L37&gt;=-5,1,0)+IF(Q37="買い▲",2,0)+IF(W37&lt;=30,3,IF(W37&lt;=40,2,IF(AND(W37&gt;=40,W37&lt;=60),1,0)))+IF(X37&gt;0,1,0)+IF(V37="年初来高値更新●",3,IF(V37="高値圏",2,0))+IF(AD37="パーフェクト▲",3,IF(AD37="上昇トレンド▲",2,0))+IF(AE37="25日線押し目●",2,IF(AE37="5日線押し目○",1,0))+IF(P37="急増↑↑",2,IF(P37="増加↑",1,0))+N(AI37),0))</f>
        <v>11</v>
      </c>
      <c r="U37" s="163" t="str">
        <f>IF(T37="","",IF(AND(T37&gt;=3,O37&gt;=1.5),"有効",IF(T37&gt;=3,"要確認","除外")))</f>
        <v>要確認</v>
      </c>
      <c r="V37" s="163" t="str">
        <f>IF(AND(H37&lt;&gt;"",K37&lt;&gt;""),IF(H37&gt;=K37,"年初来高値更新●",IF(H37&gt;=K37*0.95,"高値圏","通常")),"")</f>
        <v>高値圏</v>
      </c>
      <c r="W37" s="169">
        <f t="array" ref="W37">IF(C37&lt;&gt;"",IFERROR(100-100/(1+SUMPRODUCT((終値!F22:R22&gt;終値!G22:S22)*( 終値!F22:R22-終値!G22:S22))/SUMPRODUCT((終値!F22:R22&lt;終値!G22:S22)*(終値!G22:S22-終値!F22:R22))),50),"")</f>
        <v>60.219341974077771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○買い候補</v>
      </c>
      <c r="Z37" s="171">
        <f>IF(AND(E37&lt;&gt;"",G37&lt;&gt;"",G37&lt;&gt;0),(E37-G37)/G37*100,"")</f>
        <v>1.0043942247332078</v>
      </c>
      <c r="AA37" s="163" t="str">
        <f>IF(OR(C37="",E37="",E37=0),"",IF(E37&gt;G37,"上昇▲",IF(E37&lt;G37,"下落▼","横ばい→")))</f>
        <v>上昇▲</v>
      </c>
      <c r="AB37" s="405">
        <f>IF(C37="","",IFERROR(((終値!E39*0.333)+(終値!F39*0.222)+(終値!G39*0.148)+(終値!H39*0.099)+(終値!I39*0.066)+(終値!J39*0.044)+(終値!K39*0.029)+(終値!L39*0.019)+(終値!M39*0.013)+(終値!N39*0.009))/(0.333+0.222+0.148+0.099+0.066+0.044+0.029+0.019+0.013+0.009),""))</f>
        <v>1432.5885947046838</v>
      </c>
      <c r="AC37" s="405">
        <f>IF(C37="","",IFERROR(SUMPRODUCT((終値!E39:AC39),({0.077,0.071,0.065,0.06,0.055,0.051,0.047,0.043,0.039,0.036,0.033,0.031,0.028,0.026,0.024,0.022,0.02,0.018,0.017,0.016,0.014,0.013,0.012,0.011,0.01}))/SUM({0.077,0.071,0.065,0.06,0.055,0.051,0.047,0.043,0.039,0.036,0.033,0.031,0.028,0.026,0.024,0.022,0.02,0.018,0.017,0.016,0.014,0.013,0.012,0.011,0.01}),""))</f>
        <v>1430.8265792610248</v>
      </c>
      <c r="AD37" s="406" t="str">
        <f>IF(OR(C37="",AB37="",AC37=""),"",IF(AND(E37&gt;AB37,AB37&gt;AC37),"パーフェクト▲",IF(E37&gt;AC37,"上昇トレンド▲",IF(AND(E37&lt;AB37,AB37&lt;AC37),"下降トレンド▼","もみ合い→"))))</f>
        <v>パーフェクト▲</v>
      </c>
      <c r="AE37" s="406" t="str">
        <f>IF(OR(C37="",AB37="",AC37=""),"",IF(AND(ABS(E37-AC37)/AC37&lt;=0.02,E37&gt;AC37),"25日押し目★",IF(AND(ABS(E37-AB37)/AB37&lt;=0.01,E37&gt;AB37),"5日押し目○","なし")))</f>
        <v>なし</v>
      </c>
      <c r="AF37" s="365">
        <f t="array" ref="AF37">IF(C37="","",IFERROR((INDEX(終値!$E:$E,MATCH(TEXT(C37,"0"),終値!$A:$A,0))-INDEX(終値!$E:$CZ,MATCH(TEXT(C37,"0"),終値!$A:$A,0),$AL$2))/INDEX(終値!$E:$CZ,MATCH(TEXT(C37,"0"),終値!$A:$A,0),$AL$2)*100,""))</f>
        <v>12.754029432375614</v>
      </c>
      <c r="AG37" s="365">
        <f t="array" ref="AG37">IFERROR((終値!$E$5-INDEX(終値!$E$5:$IT$5,1,$AL$2))/INDEX(終値!$E$5:$IT$5,1,$AL$2)*100,"")</f>
        <v>1.0179378228534113</v>
      </c>
      <c r="AH37" s="366">
        <f>IF(OR(AF37="",AG37=""),"",AF37-AG37)</f>
        <v>11.736091609522202</v>
      </c>
      <c r="AI37" s="364">
        <f>IF(AH37="","",IF(AH37&gt;5,3,IF(AH37&gt;0,1,IF(AH37&gt;-3,-1,-2))))</f>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1323</v>
      </c>
      <c r="F38" s="166">
        <f>IF(C38&lt;&gt;"",_xll.RssMarket(C38,"始値"),"")</f>
        <v>1329</v>
      </c>
      <c r="G38" s="165">
        <f>IF(C38&lt;&gt;"",終値!F164,"")</f>
        <v>1329</v>
      </c>
      <c r="H38" s="166">
        <f>IF(C38&lt;&gt;"",_xll.RssMarket(C38,"高値"),"")</f>
        <v>1348</v>
      </c>
      <c r="I38" s="166">
        <f>IF(C38&lt;&gt;"",_xll.RssMarket(C38,"安値"),"")</f>
        <v>1323</v>
      </c>
      <c r="J38" s="166">
        <f>IF(C38&lt;&gt;"",_xll.RssMarket(C38,"出来高"),"")</f>
        <v>48600</v>
      </c>
      <c r="K38" s="166">
        <f>IF(C38&lt;&gt;"",_xll.RssMarket(C38,"年初来高値"),"")</f>
        <v>1340</v>
      </c>
      <c r="L38" s="167">
        <f>IF(AND(E38&lt;&gt;"",K38&lt;&gt;"",K38&lt;&gt;0),(E38-K38)/K38*100,"")</f>
        <v>-1.2686567164179103</v>
      </c>
      <c r="M38" s="166">
        <f>IF(C38&lt;&gt;"",IFERROR(AVERAGE(出来高!E164:I164),""),"")</f>
        <v>128980</v>
      </c>
      <c r="N38" s="166">
        <f>IF(C38&lt;&gt;"",IFERROR(AVERAGE(出来高!E164:AC164),""),"")</f>
        <v>95876</v>
      </c>
      <c r="O38" s="168">
        <f>IF(AND(J38&lt;&gt;"",M38&lt;&gt;"",M38&lt;&gt;0),J38/M38,"")</f>
        <v>0.37680260505504731</v>
      </c>
      <c r="P38" s="163" t="str">
        <f>IF(O38="","",IF(O38&gt;=2,"急増↑↑",IF(O38&gt;=1.5,"増加↑",IF(O38&gt;=1,"普通→","減少↓"))))</f>
        <v>減少↓</v>
      </c>
      <c r="Q38" s="163" t="str">
        <f>IF(E38="","",IF(AND(E38&gt;G38,O38&gt;=1.5),"買い▲",IF(E38&lt;G38,"様子見▼","中立→")))</f>
        <v>様子見▼</v>
      </c>
      <c r="R38" s="166">
        <f>IF(E38&lt;&gt;"",ROUND(E38*1.08,0),"")</f>
        <v>1429</v>
      </c>
      <c r="S38" s="166">
        <f>IF(E38&lt;&gt;"",ROUND(E38*0.96,0),"")</f>
        <v>1270</v>
      </c>
      <c r="T38" s="163">
        <f>IF(C38="","",IFERROR(IF(O38&gt;=2,3,IF(O38&gt;=1.5,2,IF(O38&gt;=1,1,0)))+IF(E38&gt;G38,1,0)+IF(L38&gt;=-5,1,0)+IF(Q38="買い▲",2,0)+IF(W38&lt;=30,3,IF(W38&lt;=40,2,IF(AND(W38&gt;=40,W38&lt;=60),1,0)))+IF(X38&gt;0,1,0)+IF(V38="年初来高値更新●",3,IF(V38="高値圏",2,0))+IF(AD38="パーフェクト▲",3,IF(AD38="上昇トレンド▲",2,0))+IF(AE38="25日線押し目●",2,IF(AE38="5日線押し目○",1,0))+IF(P38="急増↑↑",2,IF(P38="増加↑",1,0))+N(AI38),0))</f>
        <v>9</v>
      </c>
      <c r="U38" s="163" t="str">
        <f>IF(T38="","",IF(AND(T38&gt;=3,O38&gt;=1.5),"有効",IF(T38&gt;=3,"要確認","除外")))</f>
        <v>要確認</v>
      </c>
      <c r="V38" s="163" t="str">
        <f>IF(AND(H38&lt;&gt;"",K38&lt;&gt;""),IF(H38&gt;=K38,"年初来高値更新●",IF(H38&gt;=K38*0.95,"高値圏","通常")),"")</f>
        <v>年初来高値更新●</v>
      </c>
      <c r="W38" s="169">
        <f t="array" ref="W38">IF(C38&lt;&gt;"",IFERROR(100-100/(1+SUMPRODUCT((終値!F164:R164&gt;終値!G164:S164)*( 終値!F164:R164-終値!G164:S164))/SUMPRODUCT((終値!F164:R164&lt;終値!G164:S164)*(終値!G164:S164-終値!F164:R164))),50),"")</f>
        <v>51.936218678815493</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△注目</v>
      </c>
      <c r="Z38" s="171">
        <f>IF(AND(E38&lt;&gt;"",G38&lt;&gt;"",G38&lt;&gt;0),(E38-G38)/G38*100,"")</f>
        <v>-0.45146726862302478</v>
      </c>
      <c r="AA38" s="163" t="str">
        <f>IF(OR(C38="",E38="",E38=0),"",IF(E38&gt;G38,"上昇▲",IF(E38&lt;G38,"下落▼","横ばい→")))</f>
        <v>下落▼</v>
      </c>
      <c r="AB38" s="403">
        <f>IF(C38="","",IFERROR(((終値!E40*0.333)+(終値!F40*0.222)+(終値!G40*0.148)+(終値!H40*0.099)+(終値!I40*0.066)+(終値!J40*0.044)+(終値!K40*0.029)+(終値!L40*0.019)+(終値!M40*0.013)+(終値!N40*0.009))/(0.333+0.222+0.148+0.099+0.066+0.044+0.029+0.019+0.013+0.009),""))</f>
        <v>1547.9791242362523</v>
      </c>
      <c r="AC38" s="403">
        <f>IF(C38="","",IFERROR(SUMPRODUCT((終値!E40:AC40),({0.077,0.071,0.065,0.06,0.055,0.051,0.047,0.043,0.039,0.036,0.033,0.031,0.028,0.026,0.024,0.022,0.02,0.018,0.017,0.016,0.014,0.013,0.012,0.011,0.01}))/SUM({0.077,0.071,0.065,0.06,0.055,0.051,0.047,0.043,0.039,0.036,0.033,0.031,0.028,0.026,0.024,0.022,0.02,0.018,0.017,0.016,0.014,0.013,0.012,0.011,0.01}),""))</f>
        <v>1549.1907032181159</v>
      </c>
      <c r="AD38" s="404" t="str">
        <f>IF(OR(C38="",AB38="",AC38=""),"",IF(AND(E38&gt;AB38,AB38&gt;AC38),"パーフェクト▲",IF(E38&gt;AC38,"上昇トレンド▲",IF(AND(E38&lt;AB38,AB38&lt;AC38),"下降トレンド▼","もみ合い→"))))</f>
        <v>下降トレンド▼</v>
      </c>
      <c r="AE38" s="404" t="str">
        <f>IF(OR(C38="",AB38="",AC38=""),"",IF(AND(ABS(E38-AC38)/AC38&lt;=0.02,E38&gt;AC38),"25日押し目★",IF(AND(ABS(E38-AB38)/AB38&lt;=0.01,E38&gt;AB38),"5日押し目○","なし")))</f>
        <v>なし</v>
      </c>
      <c r="AF38" s="365">
        <f t="array" ref="AF38">IF(C38="","",IFERROR((INDEX(終値!$E:$E,MATCH(TEXT(C38,"0"),終値!$A:$A,0))-INDEX(終値!$E:$CZ,MATCH(TEXT(C38,"0"),終値!$A:$A,0),$AL$2))/INDEX(終値!$E:$CZ,MATCH(TEXT(C38,"0"),終値!$A:$A,0),$AL$2)*100,""))</f>
        <v>9.5198675496688736</v>
      </c>
      <c r="AG38" s="365">
        <f t="array" ref="AG38">IFERROR((終値!$E$5-INDEX(終値!$E$5:$IT$5,1,$AL$2))/INDEX(終値!$E$5:$IT$5,1,$AL$2)*100,"")</f>
        <v>1.0179378228534113</v>
      </c>
      <c r="AH38" s="366">
        <f>IF(OR(AF38="",AG38=""),"",AF38-AG38)</f>
        <v>8.5019297268154617</v>
      </c>
      <c r="AI38" s="364">
        <f>IF(AH38="","",IF(AH38&gt;5,3,IF(AH38&gt;0,1,IF(AH38&gt;-3,-1,-2))))</f>
        <v>3</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6997</v>
      </c>
      <c r="F39" s="166">
        <f>IF(C39&lt;&gt;"",_xll.RssMarket(C39,"始値"),"")</f>
        <v>6942</v>
      </c>
      <c r="G39" s="165">
        <f>IF(C39&lt;&gt;"",終値!F54,"")</f>
        <v>6962</v>
      </c>
      <c r="H39" s="166">
        <f>IF(C39&lt;&gt;"",_xll.RssMarket(C39,"高値"),"")</f>
        <v>7038</v>
      </c>
      <c r="I39" s="166">
        <f>IF(C39&lt;&gt;"",_xll.RssMarket(C39,"安値"),"")</f>
        <v>6916</v>
      </c>
      <c r="J39" s="166">
        <f>IF(C39&lt;&gt;"",_xll.RssMarket(C39,"出来高"),"")</f>
        <v>2132600</v>
      </c>
      <c r="K39" s="166">
        <f>IF(C39&lt;&gt;"",_xll.RssMarket(C39,"年初来高値"),"")</f>
        <v>7413</v>
      </c>
      <c r="L39" s="167">
        <f>IF(AND(E39&lt;&gt;"",K39&lt;&gt;"",K39&lt;&gt;0),(E39-K39)/K39*100,"")</f>
        <v>-5.6117631188452721</v>
      </c>
      <c r="M39" s="166">
        <f>IF(C39&lt;&gt;"",IFERROR(AVERAGE(出来高!E54:I54),""),"")</f>
        <v>2527720</v>
      </c>
      <c r="N39" s="166">
        <f>IF(C39&lt;&gt;"",IFERROR(AVERAGE(出来高!E54:AC54),""),"")</f>
        <v>2598076</v>
      </c>
      <c r="O39" s="168">
        <f>IF(AND(J39&lt;&gt;"",M39&lt;&gt;"",M39&lt;&gt;0),J39/M39,"")</f>
        <v>0.84368521829949517</v>
      </c>
      <c r="P39" s="163" t="str">
        <f>IF(O39="","",IF(O39&gt;=2,"急増↑↑",IF(O39&gt;=1.5,"増加↑",IF(O39&gt;=1,"普通→","減少↓"))))</f>
        <v>減少↓</v>
      </c>
      <c r="Q39" s="163" t="str">
        <f>IF(E39="","",IF(AND(E39&gt;G39,O39&gt;=1.5),"買い▲",IF(E39&lt;G39,"様子見▼","中立→")))</f>
        <v>中立→</v>
      </c>
      <c r="R39" s="166">
        <f>IF(E39&lt;&gt;"",ROUND(E39*1.08,0),"")</f>
        <v>7557</v>
      </c>
      <c r="S39" s="166">
        <f>IF(E39&lt;&gt;"",ROUND(E39*0.96,0),"")</f>
        <v>6717</v>
      </c>
      <c r="T39" s="163">
        <f>IF(C39="","",IFERROR(IF(O39&gt;=2,3,IF(O39&gt;=1.5,2,IF(O39&gt;=1,1,0)))+IF(E39&gt;G39,1,0)+IF(L39&gt;=-5,1,0)+IF(Q39="買い▲",2,0)+IF(W39&lt;=30,3,IF(W39&lt;=40,2,IF(AND(W39&gt;=40,W39&lt;=60),1,0)))+IF(X39&gt;0,1,0)+IF(V39="年初来高値更新●",3,IF(V39="高値圏",2,0))+IF(AD39="パーフェクト▲",3,IF(AD39="上昇トレンド▲",2,0))+IF(AE39="25日線押し目●",2,IF(AE39="5日線押し目○",1,0))+IF(P39="急増↑↑",2,IF(P39="増加↑",1,0))+N(AI39),0))</f>
        <v>8</v>
      </c>
      <c r="U39" s="163" t="str">
        <f>IF(T39="","",IF(AND(T39&gt;=3,O39&gt;=1.5),"有効",IF(T39&gt;=3,"要確認","除外")))</f>
        <v>要確認</v>
      </c>
      <c r="V39" s="163" t="str">
        <f>IF(AND(H39&lt;&gt;"",K39&lt;&gt;""),IF(H39&gt;=K39,"年初来高値更新●",IF(H39&gt;=K39*0.95,"高値圏","通常")),"")</f>
        <v>通常</v>
      </c>
      <c r="W39" s="169">
        <f t="array" ref="W39">IF(C39&lt;&gt;"",IFERROR(100-100/(1+SUMPRODUCT((終値!F54:R54&gt;終値!G54:S54)*( 終値!F54:R54-終値!G54:S54))/SUMPRODUCT((終値!F54:R54&lt;終値!G54:S54)*(終値!G54:S54-終値!F54:R54))),50),"")</f>
        <v>60.697827518104013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△注目</v>
      </c>
      <c r="Z39" s="171">
        <f>IF(AND(E39&lt;&gt;"",G39&lt;&gt;"",G39&lt;&gt;0),(E39-G39)/G39*100,"")</f>
        <v>0.50272910083309397</v>
      </c>
      <c r="AA39" s="163" t="str">
        <f>IF(OR(C39="",E39="",E39=0),"",IF(E39&gt;G39,"上昇▲",IF(E39&lt;G39,"下落▼","横ばい→")))</f>
        <v>上昇▲</v>
      </c>
      <c r="AB39" s="405">
        <f>IF(C39="","",IFERROR(((終値!E41*0.333)+(終値!F41*0.222)+(終値!G41*0.148)+(終値!H41*0.099)+(終値!I41*0.066)+(終値!J41*0.044)+(終値!K41*0.029)+(終値!L41*0.019)+(終値!M41*0.013)+(終値!N41*0.009))/(0.333+0.222+0.148+0.099+0.066+0.044+0.029+0.019+0.013+0.009),""))</f>
        <v>871.1047861507127</v>
      </c>
      <c r="AC39" s="405">
        <f>IF(C39="","",IFERROR(SUMPRODUCT((終値!E41:AC41),({0.077,0.071,0.065,0.06,0.055,0.051,0.047,0.043,0.039,0.036,0.033,0.031,0.028,0.026,0.024,0.022,0.02,0.018,0.017,0.016,0.014,0.013,0.012,0.011,0.01}))/SUM({0.077,0.071,0.065,0.06,0.055,0.051,0.047,0.043,0.039,0.036,0.033,0.031,0.028,0.026,0.024,0.022,0.02,0.018,0.017,0.016,0.014,0.013,0.012,0.011,0.01}),""))</f>
        <v>861.56233611442167</v>
      </c>
      <c r="AD39" s="406" t="str">
        <f>IF(OR(C39="",AB39="",AC39=""),"",IF(AND(E39&gt;AB39,AB39&gt;AC39),"パーフェクト▲",IF(E39&gt;AC39,"上昇トレンド▲",IF(AND(E39&lt;AB39,AB39&lt;AC39),"下降トレンド▼","もみ合い→"))))</f>
        <v>パーフェクト▲</v>
      </c>
      <c r="AE39" s="406" t="str">
        <f>IF(OR(C39="",AB39="",AC39=""),"",IF(AND(ABS(E39-AC39)/AC39&lt;=0.02,E39&gt;AC39),"25日押し目★",IF(AND(ABS(E39-AB39)/AB39&lt;=0.01,E39&gt;AB39),"5日押し目○","なし")))</f>
        <v>なし</v>
      </c>
      <c r="AF39" s="365">
        <f t="array" ref="AF39">IF(C39="","",IFERROR((INDEX(終値!$E:$E,MATCH(TEXT(C39,"0"),終値!$A:$A,0))-INDEX(終値!$E:$CZ,MATCH(TEXT(C39,"0"),終値!$A:$A,0),$AL$2))/INDEX(終値!$E:$CZ,MATCH(TEXT(C39,"0"),終値!$A:$A,0),$AL$2)*100,""))</f>
        <v>11.952</v>
      </c>
      <c r="AG39" s="365">
        <f t="array" ref="AG39">IFERROR((終値!$E$5-INDEX(終値!$E$5:$IT$5,1,$AL$2))/INDEX(終値!$E$5:$IT$5,1,$AL$2)*100,"")</f>
        <v>1.0179378228534113</v>
      </c>
      <c r="AH39" s="366">
        <f>IF(OR(AF39="",AG39=""),"",AF39-AG39)</f>
        <v>10.934062177146588</v>
      </c>
      <c r="AI39" s="364">
        <f>IF(AH39="","",IF(AH39&gt;5,3,IF(AH39&gt;0,1,IF(AH39&gt;-3,-1,-2))))</f>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1577</v>
      </c>
      <c r="F40" s="166">
        <f>IF(C40&lt;&gt;"",_xll.RssMarket(C40,"始値"),"")</f>
        <v>1551.5</v>
      </c>
      <c r="G40" s="165">
        <f>IF(C40&lt;&gt;"",終値!F40,"")</f>
        <v>1558.5</v>
      </c>
      <c r="H40" s="166">
        <f>IF(C40&lt;&gt;"",_xll.RssMarket(C40,"高値"),"")</f>
        <v>1580</v>
      </c>
      <c r="I40" s="166">
        <f>IF(C40&lt;&gt;"",_xll.RssMarket(C40,"安値"),"")</f>
        <v>1551</v>
      </c>
      <c r="J40" s="166">
        <f>IF(C40&lt;&gt;"",_xll.RssMarket(C40,"出来高"),"")</f>
        <v>8448700</v>
      </c>
      <c r="K40" s="166">
        <f>IF(C40&lt;&gt;"",_xll.RssMarket(C40,"年初来高値"),"")</f>
        <v>1636</v>
      </c>
      <c r="L40" s="167">
        <f>IF(AND(E40&lt;&gt;"",K40&lt;&gt;"",K40&lt;&gt;0),(E40-K40)/K40*100,"")</f>
        <v>-3.6063569682151591</v>
      </c>
      <c r="M40" s="166">
        <f>IF(C40&lt;&gt;"",IFERROR(AVERAGE(出来高!E40:I40),""),"")</f>
        <v>12119640</v>
      </c>
      <c r="N40" s="166">
        <f>IF(C40&lt;&gt;"",IFERROR(AVERAGE(出来高!E40:AC40),""),"")</f>
        <v>11148344</v>
      </c>
      <c r="O40" s="168">
        <f>IF(AND(J40&lt;&gt;"",M40&lt;&gt;"",M40&lt;&gt;0),J40/M40,"")</f>
        <v>0.6971081649289913</v>
      </c>
      <c r="P40" s="163" t="str">
        <f>IF(O40="","",IF(O40&gt;=2,"急増↑↑",IF(O40&gt;=1.5,"増加↑",IF(O40&gt;=1,"普通→","減少↓"))))</f>
        <v>減少↓</v>
      </c>
      <c r="Q40" s="163" t="str">
        <f>IF(E40="","",IF(AND(E40&gt;G40,O40&gt;=1.5),"買い▲",IF(E40&lt;G40,"様子見▼","中立→")))</f>
        <v>中立→</v>
      </c>
      <c r="R40" s="166">
        <f>IF(E40&lt;&gt;"",ROUND(E40*1.08,0),"")</f>
        <v>1703</v>
      </c>
      <c r="S40" s="166">
        <f>IF(E40&lt;&gt;"",ROUND(E40*0.96,0),"")</f>
        <v>1514</v>
      </c>
      <c r="T40" s="163">
        <f>IF(C40="","",IFERROR(IF(O40&gt;=2,3,IF(O40&gt;=1.5,2,IF(O40&gt;=1,1,0)))+IF(E40&gt;G40,1,0)+IF(L40&gt;=-5,1,0)+IF(Q40="買い▲",2,0)+IF(W40&lt;=30,3,IF(W40&lt;=40,2,IF(AND(W40&gt;=40,W40&lt;=60),1,0)))+IF(X40&gt;0,1,0)+IF(V40="年初来高値更新●",3,IF(V40="高値圏",2,0))+IF(AD40="パーフェクト▲",3,IF(AD40="上昇トレンド▲",2,0))+IF(AE40="25日線押し目●",2,IF(AE40="5日線押し目○",1,0))+IF(P40="急増↑↑",2,IF(P40="増加↑",1,0))+N(AI40),0))</f>
        <v>9</v>
      </c>
      <c r="U40" s="163" t="str">
        <f>IF(T40="","",IF(AND(T40&gt;=3,O40&gt;=1.5),"有効",IF(T40&gt;=3,"要確認","除外")))</f>
        <v>要確認</v>
      </c>
      <c r="V40" s="163" t="str">
        <f>IF(AND(H40&lt;&gt;"",K40&lt;&gt;""),IF(H40&gt;=K40,"年初来高値更新●",IF(H40&gt;=K40*0.95,"高値圏","通常")),"")</f>
        <v>高値圏</v>
      </c>
      <c r="W40" s="169">
        <f t="array" ref="W40">IF(C40&lt;&gt;"",IFERROR(100-100/(1+SUMPRODUCT((終値!F40:R40&gt;終値!G40:S40)*( 終値!F40:R40-終値!G40:S40))/SUMPRODUCT((終値!F40:R40&lt;終値!G40:S40)*(終値!G40:S40-終値!F40:R40))),50),"")</f>
        <v>43.202416918429002</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△注目</v>
      </c>
      <c r="Z40" s="171">
        <f>IF(AND(E40&lt;&gt;"",G40&lt;&gt;"",G40&lt;&gt;0),(E40-G40)/G40*100,"")</f>
        <v>1.1870388193776067</v>
      </c>
      <c r="AA40" s="163" t="str">
        <f>IF(OR(C40="",E40="",E40=0),"",IF(E40&gt;G40,"上昇▲",IF(E40&lt;G40,"下落▼","横ばい→")))</f>
        <v>上昇▲</v>
      </c>
      <c r="AB40" s="403">
        <f>IF(C40="","",IFERROR(((終値!E42*0.333)+(終値!F42*0.222)+(終値!G42*0.148)+(終値!H42*0.099)+(終値!I42*0.066)+(終値!J42*0.044)+(終値!K42*0.029)+(終値!L42*0.019)+(終値!M42*0.013)+(終値!N42*0.009))/(0.333+0.222+0.148+0.099+0.066+0.044+0.029+0.019+0.013+0.009),""))</f>
        <v>3565.789205702647</v>
      </c>
      <c r="AC40" s="403">
        <f>IF(C40="","",IFERROR(SUMPRODUCT((終値!E42:AC42),({0.077,0.071,0.065,0.06,0.055,0.051,0.047,0.043,0.039,0.036,0.033,0.031,0.028,0.026,0.024,0.022,0.02,0.018,0.017,0.016,0.014,0.013,0.012,0.011,0.01}))/SUM({0.077,0.071,0.065,0.06,0.055,0.051,0.047,0.043,0.039,0.036,0.033,0.031,0.028,0.026,0.024,0.022,0.02,0.018,0.017,0.016,0.014,0.013,0.012,0.011,0.01}),""))</f>
        <v>3600.5697258641235</v>
      </c>
      <c r="AD40" s="404" t="str">
        <f>IF(OR(C40="",AB40="",AC40=""),"",IF(AND(E40&gt;AB40,AB40&gt;AC40),"パーフェクト▲",IF(E40&gt;AC40,"上昇トレンド▲",IF(AND(E40&lt;AB40,AB40&lt;AC40),"下降トレンド▼","もみ合い→"))))</f>
        <v>下降トレンド▼</v>
      </c>
      <c r="AE40" s="404" t="str">
        <f>IF(OR(C40="",AB40="",AC40=""),"",IF(AND(ABS(E40-AC40)/AC40&lt;=0.02,E40&gt;AC40),"25日押し目★",IF(AND(ABS(E40-AB40)/AB40&lt;=0.01,E40&gt;AB40),"5日押し目○","なし")))</f>
        <v>なし</v>
      </c>
      <c r="AF40" s="365">
        <f t="array" ref="AF40">IF(C40="","",IFERROR((INDEX(終値!$E:$E,MATCH(TEXT(C40,"0"),終値!$A:$A,0))-INDEX(終値!$E:$CZ,MATCH(TEXT(C40,"0"),終値!$A:$A,0),$AL$2))/INDEX(終値!$E:$CZ,MATCH(TEXT(C40,"0"),終値!$A:$A,0),$AL$2)*100,""))</f>
        <v>9.5519277526919062</v>
      </c>
      <c r="AG40" s="365">
        <f t="array" ref="AG40">IFERROR((終値!$E$5-INDEX(終値!$E$5:$IT$5,1,$AL$2))/INDEX(終値!$E$5:$IT$5,1,$AL$2)*100,"")</f>
        <v>1.0179378228534113</v>
      </c>
      <c r="AH40" s="366">
        <f>IF(OR(AF40="",AG40=""),"",AF40-AG40)</f>
        <v>8.5339899298384942</v>
      </c>
      <c r="AI40" s="364">
        <f>IF(AH40="","",IF(AH40&gt;5,3,IF(AH40&gt;0,1,IF(AH40&gt;-3,-1,-2))))</f>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1825.5</v>
      </c>
      <c r="F41" s="166">
        <f>IF(C41&lt;&gt;"",_xll.RssMarket(C41,"始値"),"")</f>
        <v>1790.5</v>
      </c>
      <c r="G41" s="165">
        <f>IF(C41&lt;&gt;"",終値!F33,"")</f>
        <v>1811</v>
      </c>
      <c r="H41" s="166">
        <f>IF(C41&lt;&gt;"",_xll.RssMarket(C41,"高値"),"")</f>
        <v>1828.5</v>
      </c>
      <c r="I41" s="166">
        <f>IF(C41&lt;&gt;"",_xll.RssMarket(C41,"安値"),"")</f>
        <v>1790</v>
      </c>
      <c r="J41" s="166">
        <f>IF(C41&lt;&gt;"",_xll.RssMarket(C41,"出来高"),"")</f>
        <v>3642300</v>
      </c>
      <c r="K41" s="166">
        <f>IF(C41&lt;&gt;"",_xll.RssMarket(C41,"年初来高値"),"")</f>
        <v>1886.5</v>
      </c>
      <c r="L41" s="167">
        <f>IF(AND(E41&lt;&gt;"",K41&lt;&gt;"",K41&lt;&gt;0),(E41-K41)/K41*100,"")</f>
        <v>-3.2335011926848662</v>
      </c>
      <c r="M41" s="166">
        <f>IF(C41&lt;&gt;"",IFERROR(AVERAGE(出来高!E33:I33),""),"")</f>
        <v>5796960</v>
      </c>
      <c r="N41" s="166">
        <f>IF(C41&lt;&gt;"",IFERROR(AVERAGE(出来高!E33:AC33),""),"")</f>
        <v>4949128</v>
      </c>
      <c r="O41" s="168">
        <f>IF(AND(J41&lt;&gt;"",M41&lt;&gt;"",M41&lt;&gt;0),J41/M41,"")</f>
        <v>0.62831208081477186</v>
      </c>
      <c r="P41" s="163" t="str">
        <f>IF(O41="","",IF(O41&gt;=2,"急増↑↑",IF(O41&gt;=1.5,"増加↑",IF(O41&gt;=1,"普通→","減少↓"))))</f>
        <v>減少↓</v>
      </c>
      <c r="Q41" s="163" t="str">
        <f>IF(E41="","",IF(AND(E41&gt;G41,O41&gt;=1.5),"買い▲",IF(E41&lt;G41,"様子見▼","中立→")))</f>
        <v>中立→</v>
      </c>
      <c r="R41" s="166">
        <f>IF(E41&lt;&gt;"",ROUND(E41*1.08,0),"")</f>
        <v>1972</v>
      </c>
      <c r="S41" s="166">
        <f>IF(E41&lt;&gt;"",ROUND(E41*0.96,0),"")</f>
        <v>1752</v>
      </c>
      <c r="T41" s="163">
        <f>IF(C41="","",IFERROR(IF(O41&gt;=2,3,IF(O41&gt;=1.5,2,IF(O41&gt;=1,1,0)))+IF(E41&gt;G41,1,0)+IF(L41&gt;=-5,1,0)+IF(Q41="買い▲",2,0)+IF(W41&lt;=30,3,IF(W41&lt;=40,2,IF(AND(W41&gt;=40,W41&lt;=60),1,0)))+IF(X41&gt;0,1,0)+IF(V41="年初来高値更新●",3,IF(V41="高値圏",2,0))+IF(AD41="パーフェクト▲",3,IF(AD41="上昇トレンド▲",2,0))+IF(AE41="25日線押し目●",2,IF(AE41="5日線押し目○",1,0))+IF(P41="急増↑↑",2,IF(P41="増加↑",1,0))+N(AI41),0))</f>
        <v>11</v>
      </c>
      <c r="U41" s="163" t="str">
        <f>IF(T41="","",IF(AND(T41&gt;=3,O41&gt;=1.5),"有効",IF(T41&gt;=3,"要確認","除外")))</f>
        <v>要確認</v>
      </c>
      <c r="V41" s="163" t="str">
        <f>IF(AND(H41&lt;&gt;"",K41&lt;&gt;""),IF(H41&gt;=K41,"年初来高値更新●",IF(H41&gt;=K41*0.95,"高値圏","通常")),"")</f>
        <v>高値圏</v>
      </c>
      <c r="W41" s="169">
        <f t="array" ref="W41">IF(C41&lt;&gt;"",IFERROR(100-100/(1+SUMPRODUCT((終値!F33:R33&gt;終値!G33:S33)*( 終値!F33:R33-終値!G33:S33))/SUMPRODUCT((終値!F33:R33&lt;終値!G33:S33)*(終値!G33:S33-終値!F33:R33))),50),"")</f>
        <v>41.666666666666671</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○買い候補</v>
      </c>
      <c r="Z41" s="171">
        <f>IF(AND(E41&lt;&gt;"",G41&lt;&gt;"",G41&lt;&gt;0),(E41-G41)/G41*100,"")</f>
        <v>0.80066261733848698</v>
      </c>
      <c r="AA41" s="163" t="str">
        <f>IF(OR(C41="",E41="",E41=0),"",IF(E41&gt;G41,"上昇▲",IF(E41&lt;G41,"下落▼","横ばい→")))</f>
        <v>上昇▲</v>
      </c>
      <c r="AB41" s="405">
        <f>IF(C41="","",IFERROR(((終値!E43*0.333)+(終値!F43*0.222)+(終値!G43*0.148)+(終値!H43*0.099)+(終値!I43*0.066)+(終値!J43*0.044)+(終値!K43*0.029)+(終値!L43*0.019)+(終値!M43*0.013)+(終値!N43*0.009))/(0.333+0.222+0.148+0.099+0.066+0.044+0.029+0.019+0.013+0.009),""))</f>
        <v>1891.7830957230142</v>
      </c>
      <c r="AC41" s="405">
        <f>IF(C41="","",IFERROR(SUMPRODUCT((終値!E43:AC43),({0.077,0.071,0.065,0.06,0.055,0.051,0.047,0.043,0.039,0.036,0.033,0.031,0.028,0.026,0.024,0.022,0.02,0.018,0.017,0.016,0.014,0.013,0.012,0.011,0.01}))/SUM({0.077,0.071,0.065,0.06,0.055,0.051,0.047,0.043,0.039,0.036,0.033,0.031,0.028,0.026,0.024,0.022,0.02,0.018,0.017,0.016,0.014,0.013,0.012,0.011,0.01}),""))</f>
        <v>1811.9761620977349</v>
      </c>
      <c r="AD41" s="406" t="str">
        <f>IF(OR(C41="",AB41="",AC41=""),"",IF(AND(E41&gt;AB41,AB41&gt;AC41),"パーフェクト▲",IF(E41&gt;AC41,"上昇トレンド▲",IF(AND(E41&lt;AB41,AB41&lt;AC41),"下降トレンド▼","もみ合い→"))))</f>
        <v>上昇トレンド▲</v>
      </c>
      <c r="AE41" s="406" t="str">
        <f>IF(OR(C41="",AB41="",AC41=""),"",IF(AND(ABS(E41-AC41)/AC41&lt;=0.02,E41&gt;AC41),"25日押し目★",IF(AND(ABS(E41-AB41)/AB41&lt;=0.01,E41&gt;AB41),"5日押し目○","なし")))</f>
        <v>25日押し目★</v>
      </c>
      <c r="AF41" s="365">
        <f t="array" ref="AF41">IF(C41="","",IFERROR((INDEX(終値!$E:$E,MATCH(TEXT(C41,"0"),終値!$A:$A,0))-INDEX(終値!$E:$CZ,MATCH(TEXT(C41,"0"),終値!$A:$A,0),$AL$2))/INDEX(終値!$E:$CZ,MATCH(TEXT(C41,"0"),終値!$A:$A,0),$AL$2)*100,""))</f>
        <v>11.890897946674839</v>
      </c>
      <c r="AG41" s="365">
        <f t="array" ref="AG41">IFERROR((終値!$E$5-INDEX(終値!$E$5:$IT$5,1,$AL$2))/INDEX(終値!$E$5:$IT$5,1,$AL$2)*100,"")</f>
        <v>1.0179378228534113</v>
      </c>
      <c r="AH41" s="366">
        <f>IF(OR(AF41="",AG41=""),"",AF41-AG41)</f>
        <v>10.872960123821427</v>
      </c>
      <c r="AI41" s="364">
        <f>IF(AH41="","",IF(AH41&gt;5,3,IF(AH41&gt;0,1,IF(AH41&gt;-3,-1,-2))))</f>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1427.5</v>
      </c>
      <c r="F42" s="166">
        <f>IF(C42&lt;&gt;"",_xll.RssMarket(C42,"始値"),"")</f>
        <v>1410</v>
      </c>
      <c r="G42" s="165">
        <f>IF(C42&lt;&gt;"",終値!F39,"")</f>
        <v>1416.5</v>
      </c>
      <c r="H42" s="166">
        <f>IF(C42&lt;&gt;"",_xll.RssMarket(C42,"高値"),"")</f>
        <v>1430</v>
      </c>
      <c r="I42" s="166">
        <f>IF(C42&lt;&gt;"",_xll.RssMarket(C42,"安値"),"")</f>
        <v>1404</v>
      </c>
      <c r="J42" s="166">
        <f>IF(C42&lt;&gt;"",_xll.RssMarket(C42,"出来高"),"")</f>
        <v>3802100</v>
      </c>
      <c r="K42" s="166">
        <f>IF(C42&lt;&gt;"",_xll.RssMarket(C42,"年初来高値"),"")</f>
        <v>1541.5</v>
      </c>
      <c r="L42" s="167">
        <f>IF(AND(E42&lt;&gt;"",K42&lt;&gt;"",K42&lt;&gt;0),(E42-K42)/K42*100,"")</f>
        <v>-7.3953940966590981</v>
      </c>
      <c r="M42" s="166">
        <f>IF(C42&lt;&gt;"",IFERROR(AVERAGE(出来高!E39:I39),""),"")</f>
        <v>5093880</v>
      </c>
      <c r="N42" s="166">
        <f>IF(C42&lt;&gt;"",IFERROR(AVERAGE(出来高!E39:AC39),""),"")</f>
        <v>4330540</v>
      </c>
      <c r="O42" s="168">
        <f>IF(AND(J42&lt;&gt;"",M42&lt;&gt;"",M42&lt;&gt;0),J42/M42,"")</f>
        <v>0.74640549051018079</v>
      </c>
      <c r="P42" s="163" t="str">
        <f>IF(O42="","",IF(O42&gt;=2,"急増↑↑",IF(O42&gt;=1.5,"増加↑",IF(O42&gt;=1,"普通→","減少↓"))))</f>
        <v>減少↓</v>
      </c>
      <c r="Q42" s="163" t="str">
        <f>IF(E42="","",IF(AND(E42&gt;G42,O42&gt;=1.5),"買い▲",IF(E42&lt;G42,"様子見▼","中立→")))</f>
        <v>中立→</v>
      </c>
      <c r="R42" s="166">
        <f>IF(E42&lt;&gt;"",ROUND(E42*1.08,0),"")</f>
        <v>1542</v>
      </c>
      <c r="S42" s="166">
        <f>IF(E42&lt;&gt;"",ROUND(E42*0.96,0),"")</f>
        <v>1370</v>
      </c>
      <c r="T42" s="163">
        <f>IF(C42="","",IFERROR(IF(O42&gt;=2,3,IF(O42&gt;=1.5,2,IF(O42&gt;=1,1,0)))+IF(E42&gt;G42,1,0)+IF(L42&gt;=-5,1,0)+IF(Q42="買い▲",2,0)+IF(W42&lt;=30,3,IF(W42&lt;=40,2,IF(AND(W42&gt;=40,W42&lt;=60),1,0)))+IF(X42&gt;0,1,0)+IF(V42="年初来高値更新●",3,IF(V42="高値圏",2,0))+IF(AD42="パーフェクト▲",3,IF(AD42="上昇トレンド▲",2,0))+IF(AE42="25日線押し目●",2,IF(AE42="5日線押し目○",1,0))+IF(P42="急増↑↑",2,IF(P42="増加↑",1,0))+N(AI42),0))</f>
        <v>9</v>
      </c>
      <c r="U42" s="163" t="str">
        <f>IF(T42="","",IF(AND(T42&gt;=3,O42&gt;=1.5),"有効",IF(T42&gt;=3,"要確認","除外")))</f>
        <v>要確認</v>
      </c>
      <c r="V42" s="163" t="str">
        <f>IF(AND(H42&lt;&gt;"",K42&lt;&gt;""),IF(H42&gt;=K42,"年初来高値更新●",IF(H42&gt;=K42*0.95,"高値圏","通常")),"")</f>
        <v>通常</v>
      </c>
      <c r="W42" s="169">
        <f t="array" ref="W42">IF(C42&lt;&gt;"",IFERROR(100-100/(1+SUMPRODUCT((終値!F39:R39&gt;終値!G39:S39)*( 終値!F39:R39-終値!G39:S39))/SUMPRODUCT((終値!F39:R39&lt;終値!G39:S39)*(終値!G39:S39-終値!F39:R39))),50),"")</f>
        <v>50.445632798573982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△注目</v>
      </c>
      <c r="Z42" s="171">
        <f>IF(AND(E42&lt;&gt;"",G42&lt;&gt;"",G42&lt;&gt;0),(E42-G42)/G42*100,"")</f>
        <v>0.7765619484645252</v>
      </c>
      <c r="AA42" s="163" t="str">
        <f>IF(OR(C42="",E42="",E42=0),"",IF(E42&gt;G42,"上昇▲",IF(E42&lt;G42,"下落▼","横ばい→")))</f>
        <v>上昇▲</v>
      </c>
      <c r="AB42" s="403">
        <f>IF(C42="","",IFERROR(((終値!E44*0.333)+(終値!F44*0.222)+(終値!G44*0.148)+(終値!H44*0.099)+(終値!I44*0.066)+(終値!J44*0.044)+(終値!K44*0.029)+(終値!L44*0.019)+(終値!M44*0.013)+(終値!N44*0.009))/(0.333+0.222+0.148+0.099+0.066+0.044+0.029+0.019+0.013+0.009),""))</f>
        <v>1208.3874745417513</v>
      </c>
      <c r="AC42" s="403">
        <f>IF(C42="","",IFERROR(SUMPRODUCT((終値!E44:AC44),({0.077,0.071,0.065,0.06,0.055,0.051,0.047,0.043,0.039,0.036,0.033,0.031,0.028,0.026,0.024,0.022,0.02,0.018,0.017,0.016,0.014,0.013,0.012,0.011,0.01}))/SUM({0.077,0.071,0.065,0.06,0.055,0.051,0.047,0.043,0.039,0.036,0.033,0.031,0.028,0.026,0.024,0.022,0.02,0.018,0.017,0.016,0.014,0.013,0.012,0.011,0.01}),""))</f>
        <v>1171.7288438617395</v>
      </c>
      <c r="AD42" s="404" t="str">
        <f>IF(OR(C42="",AB42="",AC42=""),"",IF(AND(E42&gt;AB42,AB42&gt;AC42),"パーフェクト▲",IF(E42&gt;AC42,"上昇トレンド▲",IF(AND(E42&lt;AB42,AB42&lt;AC42),"下降トレンド▼","もみ合い→"))))</f>
        <v>パーフェクト▲</v>
      </c>
      <c r="AE42" s="404" t="str">
        <f>IF(OR(C42="",AB42="",AC42=""),"",IF(AND(ABS(E42-AC42)/AC42&lt;=0.02,E42&gt;AC42),"25日押し目★",IF(AND(ABS(E42-AB42)/AB42&lt;=0.01,E42&gt;AB42),"5日押し目○","なし")))</f>
        <v>なし</v>
      </c>
      <c r="AF42" s="365">
        <f t="array" ref="AF42">IF(C42="","",IFERROR((INDEX(終値!$E:$E,MATCH(TEXT(C42,"0"),終値!$A:$A,0))-INDEX(終値!$E:$CZ,MATCH(TEXT(C42,"0"),終値!$A:$A,0),$AL$2))/INDEX(終値!$E:$CZ,MATCH(TEXT(C42,"0"),終値!$A:$A,0),$AL$2)*100,""))</f>
        <v>9.1360856269113153</v>
      </c>
      <c r="AG42" s="365">
        <f t="array" ref="AG42">IFERROR((終値!$E$5-INDEX(終値!$E$5:$IT$5,1,$AL$2))/INDEX(終値!$E$5:$IT$5,1,$AL$2)*100,"")</f>
        <v>1.0179378228534113</v>
      </c>
      <c r="AH42" s="366">
        <f>IF(OR(AF42="",AG42=""),"",AF42-AG42)</f>
        <v>8.1181478040579034</v>
      </c>
      <c r="AI42" s="364">
        <f>IF(AH42="","",IF(AH42&gt;5,3,IF(AH42&gt;0,1,IF(AH42&gt;-3,-1,-2))))</f>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6513</v>
      </c>
      <c r="F43" s="166">
        <f>IF(C43&lt;&gt;"",_xll.RssMarket(C43,"始値"),"")</f>
        <v>6505</v>
      </c>
      <c r="G43" s="165">
        <f>IF(C43&lt;&gt;"",終値!F26,"")</f>
        <v>6547</v>
      </c>
      <c r="H43" s="166">
        <f>IF(C43&lt;&gt;"",_xll.RssMarket(C43,"高値"),"")</f>
        <v>6534</v>
      </c>
      <c r="I43" s="166">
        <f>IF(C43&lt;&gt;"",_xll.RssMarket(C43,"安値"),"")</f>
        <v>6472</v>
      </c>
      <c r="J43" s="166">
        <f>IF(C43&lt;&gt;"",_xll.RssMarket(C43,"出来高"),"")</f>
        <v>2873500</v>
      </c>
      <c r="K43" s="166">
        <f>IF(C43&lt;&gt;"",_xll.RssMarket(C43,"年初来高値"),"")</f>
        <v>6680</v>
      </c>
      <c r="L43" s="167">
        <f>IF(AND(E43&lt;&gt;"",K43&lt;&gt;"",K43&lt;&gt;0),(E43-K43)/K43*100,"")</f>
        <v>-2.5</v>
      </c>
      <c r="M43" s="166">
        <f>IF(C43&lt;&gt;"",IFERROR(AVERAGE(出来高!E26:I26),""),"")</f>
        <v>3313460</v>
      </c>
      <c r="N43" s="166">
        <f>IF(C43&lt;&gt;"",IFERROR(AVERAGE(出来高!E26:AC26),""),"")</f>
        <v>3144688</v>
      </c>
      <c r="O43" s="168">
        <f>IF(AND(J43&lt;&gt;"",M43&lt;&gt;"",M43&lt;&gt;0),J43/M43,"")</f>
        <v>0.86722036783302048</v>
      </c>
      <c r="P43" s="163" t="str">
        <f>IF(O43="","",IF(O43&gt;=2,"急増↑↑",IF(O43&gt;=1.5,"増加↑",IF(O43&gt;=1,"普通→","減少↓"))))</f>
        <v>減少↓</v>
      </c>
      <c r="Q43" s="163" t="str">
        <f>IF(E43="","",IF(AND(E43&gt;G43,O43&gt;=1.5),"買い▲",IF(E43&lt;G43,"様子見▼","中立→")))</f>
        <v>様子見▼</v>
      </c>
      <c r="R43" s="166">
        <f>IF(E43&lt;&gt;"",ROUND(E43*1.08,0),"")</f>
        <v>7034</v>
      </c>
      <c r="S43" s="166">
        <f>IF(E43&lt;&gt;"",ROUND(E43*0.96,0),"")</f>
        <v>6252</v>
      </c>
      <c r="T43" s="163">
        <f>IF(C43="","",IFERROR(IF(O43&gt;=2,3,IF(O43&gt;=1.5,2,IF(O43&gt;=1,1,0)))+IF(E43&gt;G43,1,0)+IF(L43&gt;=-5,1,0)+IF(Q43="買い▲",2,0)+IF(W43&lt;=30,3,IF(W43&lt;=40,2,IF(AND(W43&gt;=40,W43&lt;=60),1,0)))+IF(X43&gt;0,1,0)+IF(V43="年初来高値更新●",3,IF(V43="高値圏",2,0))+IF(AD43="パーフェクト▲",3,IF(AD43="上昇トレンド▲",2,0))+IF(AE43="25日線押し目●",2,IF(AE43="5日線押し目○",1,0))+IF(P43="急増↑↑",2,IF(P43="増加↑",1,0))+N(AI43),0))</f>
        <v>8</v>
      </c>
      <c r="U43" s="163" t="str">
        <f>IF(T43="","",IF(AND(T43&gt;=3,O43&gt;=1.5),"有効",IF(T43&gt;=3,"要確認","除外")))</f>
        <v>要確認</v>
      </c>
      <c r="V43" s="163" t="str">
        <f>IF(AND(H43&lt;&gt;"",K43&lt;&gt;""),IF(H43&gt;=K43,"年初来高値更新●",IF(H43&gt;=K43*0.95,"高値圏","通常")),"")</f>
        <v>高値圏</v>
      </c>
      <c r="W43" s="169">
        <f t="array" ref="W43">IF(C43&lt;&gt;"",IFERROR(100-100/(1+SUMPRODUCT((終値!F26:R26&gt;終値!G26:S26)*( 終値!F26:R26-終値!G26:S26))/SUMPRODUCT((終値!F26:R26&lt;終値!G26:S26)*(終値!G26:S26-終値!F26:R26))),50),"")</f>
        <v>48.832487309644677</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△注目</v>
      </c>
      <c r="Z43" s="171">
        <f>IF(AND(E43&lt;&gt;"",G43&lt;&gt;"",G43&lt;&gt;0),(E43-G43)/G43*100,"")</f>
        <v>-0.51932182679089667</v>
      </c>
      <c r="AA43" s="163" t="str">
        <f>IF(OR(C43="",E43="",E43=0),"",IF(E43&gt;G43,"上昇▲",IF(E43&lt;G43,"下落▼","横ばい→")))</f>
        <v>下落▼</v>
      </c>
      <c r="AB43" s="405">
        <f>IF(C43="","",IFERROR(((終値!E45*0.333)+(終値!F45*0.222)+(終値!G45*0.148)+(終値!H45*0.099)+(終値!I45*0.066)+(終値!J45*0.044)+(終値!K45*0.029)+(終値!L45*0.019)+(終値!M45*0.013)+(終値!N45*0.009))/(0.333+0.222+0.148+0.099+0.066+0.044+0.029+0.019+0.013+0.009),""))</f>
        <v>3556.2301425661908</v>
      </c>
      <c r="AC43" s="405">
        <f>IF(C43="","",IFERROR(SUMPRODUCT((終値!E45:AC45),({0.077,0.071,0.065,0.06,0.055,0.051,0.047,0.043,0.039,0.036,0.033,0.031,0.028,0.026,0.024,0.022,0.02,0.018,0.017,0.016,0.014,0.013,0.012,0.011,0.01}))/SUM({0.077,0.071,0.065,0.06,0.055,0.051,0.047,0.043,0.039,0.036,0.033,0.031,0.028,0.026,0.024,0.022,0.02,0.018,0.017,0.016,0.014,0.013,0.012,0.011,0.01}),""))</f>
        <v>3572.4743742550636</v>
      </c>
      <c r="AD43" s="406" t="str">
        <f>IF(OR(C43="",AB43="",AC43=""),"",IF(AND(E43&gt;AB43,AB43&gt;AC43),"パーフェクト▲",IF(E43&gt;AC43,"上昇トレンド▲",IF(AND(E43&lt;AB43,AB43&lt;AC43),"下降トレンド▼","もみ合い→"))))</f>
        <v>上昇トレンド▲</v>
      </c>
      <c r="AE43" s="406" t="str">
        <f>IF(OR(C43="",AB43="",AC43=""),"",IF(AND(ABS(E43-AC43)/AC43&lt;=0.02,E43&gt;AC43),"25日押し目★",IF(AND(ABS(E43-AB43)/AB43&lt;=0.01,E43&gt;AB43),"5日押し目○","なし")))</f>
        <v>なし</v>
      </c>
      <c r="AF43" s="365">
        <f t="array" ref="AF43">IF(C43="","",IFERROR((INDEX(終値!$E:$E,MATCH(TEXT(C43,"0"),終値!$A:$A,0))-INDEX(終値!$E:$CZ,MATCH(TEXT(C43,"0"),終値!$A:$A,0),$AL$2))/INDEX(終値!$E:$CZ,MATCH(TEXT(C43,"0"),終値!$A:$A,0),$AL$2)*100,""))</f>
        <v>5.0653331182448778</v>
      </c>
      <c r="AG43" s="365">
        <f t="array" ref="AG43">IFERROR((終値!$E$5-INDEX(終値!$E$5:$IT$5,1,$AL$2))/INDEX(終値!$E$5:$IT$5,1,$AL$2)*100,"")</f>
        <v>1.0179378228534113</v>
      </c>
      <c r="AH43" s="366">
        <f>IF(OR(AF43="",AG43=""),"",AF43-AG43)</f>
        <v>4.0473952953914667</v>
      </c>
      <c r="AI43" s="364">
        <f>IF(AH43="","",IF(AH43&gt;5,3,IF(AH43&gt;0,1,IF(AH43&gt;-3,-1,-2))))</f>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480.6</v>
      </c>
      <c r="F44" s="166">
        <f>IF(C44&lt;&gt;"",_xll.RssMarket(C44,"始値"),"")</f>
        <v>471.6</v>
      </c>
      <c r="G44" s="165">
        <f>IF(C44&lt;&gt;"",終値!F47,"")</f>
        <v>474.5</v>
      </c>
      <c r="H44" s="166">
        <f>IF(C44&lt;&gt;"",_xll.RssMarket(C44,"高値"),"")</f>
        <v>481.2</v>
      </c>
      <c r="I44" s="166">
        <f>IF(C44&lt;&gt;"",_xll.RssMarket(C44,"安値"),"")</f>
        <v>471.5</v>
      </c>
      <c r="J44" s="166">
        <f>IF(C44&lt;&gt;"",_xll.RssMarket(C44,"出来高"),"")</f>
        <v>1116200</v>
      </c>
      <c r="K44" s="166">
        <f>IF(C44&lt;&gt;"",_xll.RssMarket(C44,"年初来高値"),"")</f>
        <v>539.9</v>
      </c>
      <c r="L44" s="167">
        <f>IF(AND(E44&lt;&gt;"",K44&lt;&gt;"",K44&lt;&gt;0),(E44-K44)/K44*100,"")</f>
        <v>-10.983515465826997</v>
      </c>
      <c r="M44" s="166">
        <f>IF(C44&lt;&gt;"",IFERROR(AVERAGE(出来高!E47:I47),""),"")</f>
        <v>1505340</v>
      </c>
      <c r="N44" s="166">
        <f>IF(C44&lt;&gt;"",IFERROR(AVERAGE(出来高!E47:AC47),""),"")</f>
        <v>1400124</v>
      </c>
      <c r="O44" s="168">
        <f>IF(AND(J44&lt;&gt;"",M44&lt;&gt;"",M44&lt;&gt;0),J44/M44,"")</f>
        <v>0.74149361606015918</v>
      </c>
      <c r="P44" s="163" t="str">
        <f>IF(O44="","",IF(O44&gt;=2,"急増↑↑",IF(O44&gt;=1.5,"増加↑",IF(O44&gt;=1,"普通→","減少↓"))))</f>
        <v>減少↓</v>
      </c>
      <c r="Q44" s="163" t="str">
        <f>IF(E44="","",IF(AND(E44&gt;G44,O44&gt;=1.5),"買い▲",IF(E44&lt;G44,"様子見▼","中立→")))</f>
        <v>中立→</v>
      </c>
      <c r="R44" s="166">
        <f>IF(E44&lt;&gt;"",ROUND(E44*1.08,0),"")</f>
        <v>519</v>
      </c>
      <c r="S44" s="166">
        <f>IF(E44&lt;&gt;"",ROUND(E44*0.96,0),"")</f>
        <v>461</v>
      </c>
      <c r="T44" s="163">
        <f>IF(C44="","",IFERROR(IF(O44&gt;=2,3,IF(O44&gt;=1.5,2,IF(O44&gt;=1,1,0)))+IF(E44&gt;G44,1,0)+IF(L44&gt;=-5,1,0)+IF(Q44="買い▲",2,0)+IF(W44&lt;=30,3,IF(W44&lt;=40,2,IF(AND(W44&gt;=40,W44&lt;=60),1,0)))+IF(X44&gt;0,1,0)+IF(V44="年初来高値更新●",3,IF(V44="高値圏",2,0))+IF(AD44="パーフェクト▲",3,IF(AD44="上昇トレンド▲",2,0))+IF(AE44="25日線押し目●",2,IF(AE44="5日線押し目○",1,0))+IF(P44="急増↑↑",2,IF(P44="増加↑",1,0))+N(AI44),0))</f>
        <v>4</v>
      </c>
      <c r="U44" s="163" t="str">
        <f>IF(T44="","",IF(AND(T44&gt;=3,O44&gt;=1.5),"有効",IF(T44&gt;=3,"要確認","除外")))</f>
        <v>要確認</v>
      </c>
      <c r="V44" s="163" t="str">
        <f>IF(AND(H44&lt;&gt;"",K44&lt;&gt;""),IF(H44&gt;=K44,"年初来高値更新●",IF(H44&gt;=K44*0.95,"高値圏","通常")),"")</f>
        <v>通常</v>
      </c>
      <c r="W44" s="169">
        <f t="array" ref="W44">IF(C44&lt;&gt;"",IFERROR(100-100/(1+SUMPRODUCT((終値!F47:R47&gt;終値!G47:S47)*( 終値!F47:R47-終値!G47:S47))/SUMPRODUCT((終値!F47:R47&lt;終値!G47:S47)*(終値!G47:S47-終値!F47:R47))),50),"")</f>
        <v>39.520958083832326</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様子見</v>
      </c>
      <c r="Z44" s="171">
        <f>IF(AND(E44&lt;&gt;"",G44&lt;&gt;"",G44&lt;&gt;0),(E44-G44)/G44*100,"")</f>
        <v>1.2855637513171809</v>
      </c>
      <c r="AA44" s="163" t="str">
        <f>IF(OR(C44="",E44="",E44=0),"",IF(E44&gt;G44,"上昇▲",IF(E44&lt;G44,"下落▼","横ばい→")))</f>
        <v>上昇▲</v>
      </c>
      <c r="AB44" s="403">
        <f>IF(C44="","",IFERROR(((終値!E46*0.333)+(終値!F46*0.222)+(終値!G46*0.148)+(終値!H46*0.099)+(終値!I46*0.066)+(終値!J46*0.044)+(終値!K46*0.029)+(終値!L46*0.019)+(終値!M46*0.013)+(終値!N46*0.009))/(0.333+0.222+0.148+0.099+0.066+0.044+0.029+0.019+0.013+0.009),""))</f>
        <v>660.46945010183288</v>
      </c>
      <c r="AC44" s="403">
        <f>IF(C44="","",IFERROR(SUMPRODUCT((終値!E46:AC46),({0.077,0.071,0.065,0.06,0.055,0.051,0.047,0.043,0.039,0.036,0.033,0.031,0.028,0.026,0.024,0.022,0.02,0.018,0.017,0.016,0.014,0.013,0.012,0.011,0.01}))/SUM({0.077,0.071,0.065,0.06,0.055,0.051,0.047,0.043,0.039,0.036,0.033,0.031,0.028,0.026,0.024,0.022,0.02,0.018,0.017,0.016,0.014,0.013,0.012,0.011,0.01}),""))</f>
        <v>601.21406436233576</v>
      </c>
      <c r="AD44" s="404" t="str">
        <f>IF(OR(C44="",AB44="",AC44=""),"",IF(AND(E44&gt;AB44,AB44&gt;AC44),"パーフェクト▲",IF(E44&gt;AC44,"上昇トレンド▲",IF(AND(E44&lt;AB44,AB44&lt;AC44),"下降トレンド▼","もみ合い→"))))</f>
        <v>もみ合い→</v>
      </c>
      <c r="AE44" s="404" t="str">
        <f>IF(OR(C44="",AB44="",AC44=""),"",IF(AND(ABS(E44-AC44)/AC44&lt;=0.02,E44&gt;AC44),"25日押し目★",IF(AND(ABS(E44-AB44)/AB44&lt;=0.01,E44&gt;AB44),"5日押し目○","なし")))</f>
        <v>なし</v>
      </c>
      <c r="AF44" s="365">
        <f t="array" ref="AF44">IF(C44="","",IFERROR((INDEX(終値!$E:$E,MATCH(TEXT(C44,"0"),終値!$A:$A,0))-INDEX(終値!$E:$CZ,MATCH(TEXT(C44,"0"),終値!$A:$A,0),$AL$2))/INDEX(終値!$E:$CZ,MATCH(TEXT(C44,"0"),終値!$A:$A,0),$AL$2)*100,""))</f>
        <v>5.4641211323239052</v>
      </c>
      <c r="AG44" s="365">
        <f t="array" ref="AG44">IFERROR((終値!$E$5-INDEX(終値!$E$5:$IT$5,1,$AL$2))/INDEX(終値!$E$5:$IT$5,1,$AL$2)*100,"")</f>
        <v>1.0179378228534113</v>
      </c>
      <c r="AH44" s="366">
        <f>IF(OR(AF44="",AG44=""),"",AF44-AG44)</f>
        <v>4.4461833094704941</v>
      </c>
      <c r="AI44" s="364">
        <f>IF(AH44="","",IF(AH44&gt;5,3,IF(AH44&gt;0,1,IF(AH44&gt;-3,-1,-2))))</f>
        <v>1</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1594.5</v>
      </c>
      <c r="F45" s="166">
        <f>IF(C45&lt;&gt;"",_xll.RssMarket(C45,"始値"),"")</f>
        <v>1546</v>
      </c>
      <c r="G45" s="165">
        <f>IF(C45&lt;&gt;"",終値!F37,"")</f>
        <v>1546.5</v>
      </c>
      <c r="H45" s="166">
        <f>IF(C45&lt;&gt;"",_xll.RssMarket(C45,"高値"),"")</f>
        <v>1599</v>
      </c>
      <c r="I45" s="166">
        <f>IF(C45&lt;&gt;"",_xll.RssMarket(C45,"安値"),"")</f>
        <v>1541.5</v>
      </c>
      <c r="J45" s="166">
        <f>IF(C45&lt;&gt;"",_xll.RssMarket(C45,"出来高"),"")</f>
        <v>891700</v>
      </c>
      <c r="K45" s="166">
        <f>IF(C45&lt;&gt;"",_xll.RssMarket(C45,"年初来高値"),"")</f>
        <v>1860</v>
      </c>
      <c r="L45" s="167">
        <f>IF(AND(E45&lt;&gt;"",K45&lt;&gt;"",K45&lt;&gt;0),(E45-K45)/K45*100,"")</f>
        <v>-14.274193548387096</v>
      </c>
      <c r="M45" s="166">
        <f>IF(C45&lt;&gt;"",IFERROR(AVERAGE(出来高!E37:I37),""),"")</f>
        <v>598360</v>
      </c>
      <c r="N45" s="166">
        <f>IF(C45&lt;&gt;"",IFERROR(AVERAGE(出来高!E37:AC37),""),"")</f>
        <v>544956</v>
      </c>
      <c r="O45" s="168">
        <f>IF(AND(J45&lt;&gt;"",M45&lt;&gt;"",M45&lt;&gt;0),J45/M45,"")</f>
        <v>1.4902399893040978</v>
      </c>
      <c r="P45" s="163" t="str">
        <f>IF(O45="","",IF(O45&gt;=2,"急増↑↑",IF(O45&gt;=1.5,"増加↑",IF(O45&gt;=1,"普通→","減少↓"))))</f>
        <v>普通→</v>
      </c>
      <c r="Q45" s="163" t="str">
        <f>IF(E45="","",IF(AND(E45&gt;G45,O45&gt;=1.5),"買い▲",IF(E45&lt;G45,"様子見▼","中立→")))</f>
        <v>中立→</v>
      </c>
      <c r="R45" s="166">
        <f>IF(E45&lt;&gt;"",ROUND(E45*1.08,0),"")</f>
        <v>1722</v>
      </c>
      <c r="S45" s="166">
        <f>IF(E45&lt;&gt;"",ROUND(E45*0.96,0),"")</f>
        <v>1531</v>
      </c>
      <c r="T45" s="163">
        <f>IF(C45="","",IFERROR(IF(O45&gt;=2,3,IF(O45&gt;=1.5,2,IF(O45&gt;=1,1,0)))+IF(E45&gt;G45,1,0)+IF(L45&gt;=-5,1,0)+IF(Q45="買い▲",2,0)+IF(W45&lt;=30,3,IF(W45&lt;=40,2,IF(AND(W45&gt;=40,W45&lt;=60),1,0)))+IF(X45&gt;0,1,0)+IF(V45="年初来高値更新●",3,IF(V45="高値圏",2,0))+IF(AD45="パーフェクト▲",3,IF(AD45="上昇トレンド▲",2,0))+IF(AE45="25日線押し目●",2,IF(AE45="5日線押し目○",1,0))+IF(P45="急増↑↑",2,IF(P45="増加↑",1,0))+N(AI45),0))</f>
        <v>9</v>
      </c>
      <c r="U45" s="163" t="str">
        <f>IF(T45="","",IF(AND(T45&gt;=3,O45&gt;=1.5),"有効",IF(T45&gt;=3,"要確認","除外")))</f>
        <v>要確認</v>
      </c>
      <c r="V45" s="163" t="str">
        <f>IF(AND(H45&lt;&gt;"",K45&lt;&gt;""),IF(H45&gt;=K45,"年初来高値更新●",IF(H45&gt;=K45*0.95,"高値圏","通常")),"")</f>
        <v>通常</v>
      </c>
      <c r="W45" s="169">
        <f t="array" ref="W45">IF(C45&lt;&gt;"",IFERROR(100-100/(1+SUMPRODUCT((終値!F37:R37&gt;終値!G37:S37)*( 終値!F37:R37-終値!G37:S37))/SUMPRODUCT((終値!F37:R37&lt;終値!G37:S37)*(終値!G37:S37-終値!F37:R37))),50),"")</f>
        <v>50.970873786407765</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△注目</v>
      </c>
      <c r="Z45" s="171">
        <f>IF(AND(E45&lt;&gt;"",G45&lt;&gt;"",G45&lt;&gt;0),(E45-G45)/G45*100,"")</f>
        <v>3.1037827352085356</v>
      </c>
      <c r="AA45" s="163" t="str">
        <f>IF(OR(C45="",E45="",E45=0),"",IF(E45&gt;G45,"上昇▲",IF(E45&lt;G45,"下落▼","横ばい→")))</f>
        <v>上昇▲</v>
      </c>
      <c r="AB45" s="405">
        <f>IF(C45="","",IFERROR(((終値!E47*0.333)+(終値!F47*0.222)+(終値!G47*0.148)+(終値!H47*0.099)+(終値!I47*0.066)+(終値!J47*0.044)+(終値!K47*0.029)+(終値!L47*0.019)+(終値!M47*0.013)+(終値!N47*0.009))/(0.333+0.222+0.148+0.099+0.066+0.044+0.029+0.019+0.013+0.009),""))</f>
        <v>477.97586558044804</v>
      </c>
      <c r="AC45" s="405">
        <f>IF(C45="","",IFERROR(SUMPRODUCT((終値!E47:AC47),({0.077,0.071,0.065,0.06,0.055,0.051,0.047,0.043,0.039,0.036,0.033,0.031,0.028,0.026,0.024,0.022,0.02,0.018,0.017,0.016,0.014,0.013,0.012,0.011,0.01}))/SUM({0.077,0.071,0.065,0.06,0.055,0.051,0.047,0.043,0.039,0.036,0.033,0.031,0.028,0.026,0.024,0.022,0.02,0.018,0.017,0.016,0.014,0.013,0.012,0.011,0.01}),""))</f>
        <v>482.22133492252669</v>
      </c>
      <c r="AD45" s="406" t="str">
        <f>IF(OR(C45="",AB45="",AC45=""),"",IF(AND(E45&gt;AB45,AB45&gt;AC45),"パーフェクト▲",IF(E45&gt;AC45,"上昇トレンド▲",IF(AND(E45&lt;AB45,AB45&lt;AC45),"下降トレンド▼","もみ合い→"))))</f>
        <v>上昇トレンド▲</v>
      </c>
      <c r="AE45" s="406" t="str">
        <f>IF(OR(C45="",AB45="",AC45=""),"",IF(AND(ABS(E45-AC45)/AC45&lt;=0.02,E45&gt;AC45),"25日押し目★",IF(AND(ABS(E45-AB45)/AB45&lt;=0.01,E45&gt;AB45),"5日押し目○","なし")))</f>
        <v>なし</v>
      </c>
      <c r="AF45" s="365">
        <f t="array" ref="AF45">IF(C45="","",IFERROR((INDEX(終値!$E:$E,MATCH(TEXT(C45,"0"),終値!$A:$A,0))-INDEX(終値!$E:$CZ,MATCH(TEXT(C45,"0"),終値!$A:$A,0),$AL$2))/INDEX(終値!$E:$CZ,MATCH(TEXT(C45,"0"),終値!$A:$A,0),$AL$2)*100,""))</f>
        <v>8.4325059503570223</v>
      </c>
      <c r="AG45" s="365">
        <f t="array" ref="AG45">IFERROR((終値!$E$5-INDEX(終値!$E$5:$IT$5,1,$AL$2))/INDEX(終値!$E$5:$IT$5,1,$AL$2)*100,"")</f>
        <v>1.0179378228534113</v>
      </c>
      <c r="AH45" s="366">
        <f>IF(OR(AF45="",AG45=""),"",AF45-AG45)</f>
        <v>7.4145681275036113</v>
      </c>
      <c r="AI45" s="364">
        <f>IF(AH45="","",IF(AH45&gt;5,3,IF(AH45&gt;0,1,IF(AH45&gt;-3,-1,-2))))</f>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4413</v>
      </c>
      <c r="F46" s="166">
        <f>IF(C46&lt;&gt;"",_xll.RssMarket(C46,"始値"),"")</f>
        <v>4394</v>
      </c>
      <c r="G46" s="165">
        <f>IF(C46&lt;&gt;"",終値!F108,"")</f>
        <v>4365</v>
      </c>
      <c r="H46" s="166">
        <f>IF(C46&lt;&gt;"",_xll.RssMarket(C46,"高値"),"")</f>
        <v>4418</v>
      </c>
      <c r="I46" s="166">
        <f>IF(C46&lt;&gt;"",_xll.RssMarket(C46,"安値"),"")</f>
        <v>4375</v>
      </c>
      <c r="J46" s="166">
        <f>IF(C46&lt;&gt;"",_xll.RssMarket(C46,"出来高"),"")</f>
        <v>130900</v>
      </c>
      <c r="K46" s="166">
        <f>IF(C46&lt;&gt;"",_xll.RssMarket(C46,"年初来高値"),"")</f>
        <v>4664</v>
      </c>
      <c r="L46" s="167">
        <f>IF(AND(E46&lt;&gt;"",K46&lt;&gt;"",K46&lt;&gt;0),(E46-K46)/K46*100,"")</f>
        <v>-5.3816466552315614</v>
      </c>
      <c r="M46" s="166">
        <f>IF(C46&lt;&gt;"",IFERROR(AVERAGE(出来高!E108:I108),""),"")</f>
        <v>224060</v>
      </c>
      <c r="N46" s="166">
        <f>IF(C46&lt;&gt;"",IFERROR(AVERAGE(出来高!E108:AC108),""),"")</f>
        <v>182876</v>
      </c>
      <c r="O46" s="168">
        <f>IF(AND(J46&lt;&gt;"",M46&lt;&gt;"",M46&lt;&gt;0),J46/M46,"")</f>
        <v>0.58421851289833082</v>
      </c>
      <c r="P46" s="163" t="str">
        <f>IF(O46="","",IF(O46&gt;=2,"急増↑↑",IF(O46&gt;=1.5,"増加↑",IF(O46&gt;=1,"普通→","減少↓"))))</f>
        <v>減少↓</v>
      </c>
      <c r="Q46" s="163" t="str">
        <f>IF(E46="","",IF(AND(E46&gt;G46,O46&gt;=1.5),"買い▲",IF(E46&lt;G46,"様子見▼","中立→")))</f>
        <v>中立→</v>
      </c>
      <c r="R46" s="166">
        <f>IF(E46&lt;&gt;"",ROUND(E46*1.08,0),"")</f>
        <v>4766</v>
      </c>
      <c r="S46" s="166">
        <f>IF(E46&lt;&gt;"",ROUND(E46*0.96,0),"")</f>
        <v>4236</v>
      </c>
      <c r="T46" s="163">
        <f>IF(C46="","",IFERROR(IF(O46&gt;=2,3,IF(O46&gt;=1.5,2,IF(O46&gt;=1,1,0)))+IF(E46&gt;G46,1,0)+IF(L46&gt;=-5,1,0)+IF(Q46="買い▲",2,0)+IF(W46&lt;=30,3,IF(W46&lt;=40,2,IF(AND(W46&gt;=40,W46&lt;=60),1,0)))+IF(X46&gt;0,1,0)+IF(V46="年初来高値更新●",3,IF(V46="高値圏",2,0))+IF(AD46="パーフェクト▲",3,IF(AD46="上昇トレンド▲",2,0))+IF(AE46="25日線押し目●",2,IF(AE46="5日線押し目○",1,0))+IF(P46="急増↑↑",2,IF(P46="増加↑",1,0))+N(AI46),0))</f>
        <v>7</v>
      </c>
      <c r="U46" s="163" t="str">
        <f>IF(T46="","",IF(AND(T46&gt;=3,O46&gt;=1.5),"有効",IF(T46&gt;=3,"要確認","除外")))</f>
        <v>要確認</v>
      </c>
      <c r="V46" s="163" t="str">
        <f>IF(AND(H46&lt;&gt;"",K46&lt;&gt;""),IF(H46&gt;=K46,"年初来高値更新●",IF(H46&gt;=K46*0.95,"高値圏","通常")),"")</f>
        <v>通常</v>
      </c>
      <c r="W46" s="169">
        <f t="array" ref="W46">IF(C46&lt;&gt;"",IFERROR(100-100/(1+SUMPRODUCT((終値!F108:R108&gt;終値!G108:S108)*( 終値!F108:R108-終値!G108:S108))/SUMPRODUCT((終値!F108:R108&lt;終値!G108:S108)*(終値!G108:S108-終値!F108:R108))),50),"")</f>
        <v>50.314465408805034</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△注目</v>
      </c>
      <c r="Z46" s="171">
        <f>IF(AND(E46&lt;&gt;"",G46&lt;&gt;"",G46&lt;&gt;0),(E46-G46)/G46*100,"")</f>
        <v>1.0996563573883162</v>
      </c>
      <c r="AA46" s="163" t="str">
        <f>IF(OR(C46="",E46="",E46=0),"",IF(E46&gt;G46,"上昇▲",IF(E46&lt;G46,"下落▼","横ばい→")))</f>
        <v>上昇▲</v>
      </c>
      <c r="AB46" s="403">
        <f>IF(C46="","",IFERROR(((終値!E48*0.333)+(終値!F48*0.222)+(終値!G48*0.148)+(終値!H48*0.099)+(終値!I48*0.066)+(終値!J48*0.044)+(終値!K48*0.029)+(終値!L48*0.019)+(終値!M48*0.013)+(終値!N48*0.009))/(0.333+0.222+0.148+0.099+0.066+0.044+0.029+0.019+0.013+0.009),""))</f>
        <v>1558.0315682281055</v>
      </c>
      <c r="AC46" s="403">
        <f>IF(C46="","",IFERROR(SUMPRODUCT((終値!E48:AC48),({0.077,0.071,0.065,0.06,0.055,0.051,0.047,0.043,0.039,0.036,0.033,0.031,0.028,0.026,0.024,0.022,0.02,0.018,0.017,0.016,0.014,0.013,0.012,0.011,0.01}))/SUM({0.077,0.071,0.065,0.06,0.055,0.051,0.047,0.043,0.039,0.036,0.033,0.031,0.028,0.026,0.024,0.022,0.02,0.018,0.017,0.016,0.014,0.013,0.012,0.011,0.01}),""))</f>
        <v>1498.1477949940397</v>
      </c>
      <c r="AD46" s="404" t="str">
        <f>IF(OR(C46="",AB46="",AC46=""),"",IF(AND(E46&gt;AB46,AB46&gt;AC46),"パーフェクト▲",IF(E46&gt;AC46,"上昇トレンド▲",IF(AND(E46&lt;AB46,AB46&lt;AC46),"下降トレンド▼","もみ合い→"))))</f>
        <v>パーフェクト▲</v>
      </c>
      <c r="AE46" s="404" t="str">
        <f>IF(OR(C46="",AB46="",AC46=""),"",IF(AND(ABS(E46-AC46)/AC46&lt;=0.02,E46&gt;AC46),"25日押し目★",IF(AND(ABS(E46-AB46)/AB46&lt;=0.01,E46&gt;AB46),"5日押し目○","なし")))</f>
        <v>なし</v>
      </c>
      <c r="AF46" s="365">
        <f t="array" ref="AF46">IF(C46="","",IFERROR((INDEX(終値!$E:$E,MATCH(TEXT(C46,"0"),終値!$A:$A,0))-INDEX(終値!$E:$CZ,MATCH(TEXT(C46,"0"),終値!$A:$A,0),$AL$2))/INDEX(終値!$E:$CZ,MATCH(TEXT(C46,"0"),終値!$A:$A,0),$AL$2)*100,""))</f>
        <v>6.0052846504924329</v>
      </c>
      <c r="AG46" s="365">
        <f t="array" ref="AG46">IFERROR((終値!$E$5-INDEX(終値!$E$5:$IT$5,1,$AL$2))/INDEX(終値!$E$5:$IT$5,1,$AL$2)*100,"")</f>
        <v>1.0179378228534113</v>
      </c>
      <c r="AH46" s="366">
        <f>IF(OR(AF46="",AG46=""),"",AF46-AG46)</f>
        <v>4.9873468276390218</v>
      </c>
      <c r="AI46" s="364">
        <f>IF(AH46="","",IF(AH46&gt;5,3,IF(AH46&gt;0,1,IF(AH46&gt;-3,-1,-2))))</f>
        <v>1</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8499</v>
      </c>
      <c r="F47" s="166">
        <f>IF(C47&lt;&gt;"",_xll.RssMarket(C47,"始値"),"")</f>
        <v>8436</v>
      </c>
      <c r="G47" s="165">
        <f>IF(C47&lt;&gt;"",終値!F19,"")</f>
        <v>8470</v>
      </c>
      <c r="H47" s="166">
        <f>IF(C47&lt;&gt;"",_xll.RssMarket(C47,"高値"),"")</f>
        <v>8655</v>
      </c>
      <c r="I47" s="166">
        <f>IF(C47&lt;&gt;"",_xll.RssMarket(C47,"安値"),"")</f>
        <v>8417</v>
      </c>
      <c r="J47" s="166">
        <f>IF(C47&lt;&gt;"",_xll.RssMarket(C47,"出来高"),"")</f>
        <v>9317000</v>
      </c>
      <c r="K47" s="166">
        <f>IF(C47&lt;&gt;"",_xll.RssMarket(C47,"年初来高値"),"")</f>
        <v>8816</v>
      </c>
      <c r="L47" s="167">
        <f>IF(AND(E47&lt;&gt;"",K47&lt;&gt;"",K47&lt;&gt;0),(E47-K47)/K47*100,"")</f>
        <v>-3.5957350272232307</v>
      </c>
      <c r="M47" s="166">
        <f>IF(C47&lt;&gt;"",IFERROR(AVERAGE(出来高!E19:I19),""),"")</f>
        <v>10416060</v>
      </c>
      <c r="N47" s="166">
        <f>IF(C47&lt;&gt;"",IFERROR(AVERAGE(出来高!E19:AC19),""),"")</f>
        <v>9841340</v>
      </c>
      <c r="O47" s="168">
        <f>IF(AND(J47&lt;&gt;"",M47&lt;&gt;"",M47&lt;&gt;0),J47/M47,"")</f>
        <v>0.8944840947536784</v>
      </c>
      <c r="P47" s="163" t="str">
        <f>IF(O47="","",IF(O47&gt;=2,"急増↑↑",IF(O47&gt;=1.5,"増加↑",IF(O47&gt;=1,"普通→","減少↓"))))</f>
        <v>減少↓</v>
      </c>
      <c r="Q47" s="163" t="str">
        <f>IF(E47="","",IF(AND(E47&gt;G47,O47&gt;=1.5),"買い▲",IF(E47&lt;G47,"様子見▼","中立→")))</f>
        <v>中立→</v>
      </c>
      <c r="R47" s="166">
        <f>IF(E47&lt;&gt;"",ROUND(E47*1.08,0),"")</f>
        <v>9179</v>
      </c>
      <c r="S47" s="166">
        <f>IF(E47&lt;&gt;"",ROUND(E47*0.96,0),"")</f>
        <v>8159</v>
      </c>
      <c r="T47" s="163">
        <f>IF(C47="","",IFERROR(IF(O47&gt;=2,3,IF(O47&gt;=1.5,2,IF(O47&gt;=1,1,0)))+IF(E47&gt;G47,1,0)+IF(L47&gt;=-5,1,0)+IF(Q47="買い▲",2,0)+IF(W47&lt;=30,3,IF(W47&lt;=40,2,IF(AND(W47&gt;=40,W47&lt;=60),1,0)))+IF(X47&gt;0,1,0)+IF(V47="年初来高値更新●",3,IF(V47="高値圏",2,0))+IF(AD47="パーフェクト▲",3,IF(AD47="上昇トレンド▲",2,0))+IF(AE47="25日線押し目●",2,IF(AE47="5日線押し目○",1,0))+IF(P47="急増↑↑",2,IF(P47="増加↑",1,0))+N(AI47),0))</f>
        <v>12</v>
      </c>
      <c r="U47" s="163" t="str">
        <f>IF(T47="","",IF(AND(T47&gt;=3,O47&gt;=1.5),"有効",IF(T47&gt;=3,"要確認","除外")))</f>
        <v>要確認</v>
      </c>
      <c r="V47" s="163" t="str">
        <f>IF(AND(H47&lt;&gt;"",K47&lt;&gt;""),IF(H47&gt;=K47,"年初来高値更新●",IF(H47&gt;=K47*0.95,"高値圏","通常")),"")</f>
        <v>高値圏</v>
      </c>
      <c r="W47" s="169">
        <f t="array" ref="W47">IF(C47&lt;&gt;"",IFERROR(100-100/(1+SUMPRODUCT((終値!F19:R19&gt;終値!G19:S19)*( 終値!F19:R19-終値!G19:S19))/SUMPRODUCT((終値!F19:R19&lt;終値!G19:S19)*(終値!G19:S19-終値!F19:R19))),50),"")</f>
        <v>47.649572649572647</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★強い買い</v>
      </c>
      <c r="Z47" s="171">
        <f>IF(AND(E47&lt;&gt;"",G47&lt;&gt;"",G47&lt;&gt;0),(E47-G47)/G47*100,"")</f>
        <v>0.34238488783943333</v>
      </c>
      <c r="AA47" s="163" t="str">
        <f>IF(OR(C47="",E47="",E47=0),"",IF(E47&gt;G47,"上昇▲",IF(E47&lt;G47,"下落▼","横ばい→")))</f>
        <v>上昇▲</v>
      </c>
      <c r="AB47" s="405">
        <f>IF(C47="","",IFERROR(((終値!E49*0.333)+(終値!F49*0.222)+(終値!G49*0.148)+(終値!H49*0.099)+(終値!I49*0.066)+(終値!J49*0.044)+(終値!K49*0.029)+(終値!L49*0.019)+(終値!M49*0.013)+(終値!N49*0.009))/(0.333+0.222+0.148+0.099+0.066+0.044+0.029+0.019+0.013+0.009),""))</f>
        <v>3585.209775967413</v>
      </c>
      <c r="AC47" s="405">
        <f>IF(C47="","",IFERROR(SUMPRODUCT((終値!E49:AC49),({0.077,0.071,0.065,0.06,0.055,0.051,0.047,0.043,0.039,0.036,0.033,0.031,0.028,0.026,0.024,0.022,0.02,0.018,0.017,0.016,0.014,0.013,0.012,0.011,0.01}))/SUM({0.077,0.071,0.065,0.06,0.055,0.051,0.047,0.043,0.039,0.036,0.033,0.031,0.028,0.026,0.024,0.022,0.02,0.018,0.017,0.016,0.014,0.013,0.012,0.011,0.01}),""))</f>
        <v>3552.7413587604274</v>
      </c>
      <c r="AD47" s="406" t="str">
        <f>IF(OR(C47="",AB47="",AC47=""),"",IF(AND(E47&gt;AB47,AB47&gt;AC47),"パーフェクト▲",IF(E47&gt;AC47,"上昇トレンド▲",IF(AND(E47&lt;AB47,AB47&lt;AC47),"下降トレンド▼","もみ合い→"))))</f>
        <v>パーフェクト▲</v>
      </c>
      <c r="AE47" s="406" t="str">
        <f>IF(OR(C47="",AB47="",AC47=""),"",IF(AND(ABS(E47-AC47)/AC47&lt;=0.02,E47&gt;AC47),"25日押し目★",IF(AND(ABS(E47-AB47)/AB47&lt;=0.01,E47&gt;AB47),"5日押し目○","なし")))</f>
        <v>なし</v>
      </c>
      <c r="AF47" s="365">
        <f t="array" ref="AF47">IF(C47="","",IFERROR((INDEX(終値!$E:$E,MATCH(TEXT(C47,"0"),終値!$A:$A,0))-INDEX(終値!$E:$CZ,MATCH(TEXT(C47,"0"),終値!$A:$A,0),$AL$2))/INDEX(終値!$E:$CZ,MATCH(TEXT(C47,"0"),終値!$A:$A,0),$AL$2)*100,""))</f>
        <v>8.766316867161505</v>
      </c>
      <c r="AG47" s="365">
        <f t="array" ref="AG47">IFERROR((終値!$E$5-INDEX(終値!$E$5:$IT$5,1,$AL$2))/INDEX(終値!$E$5:$IT$5,1,$AL$2)*100,"")</f>
        <v>1.0179378228534113</v>
      </c>
      <c r="AH47" s="366">
        <f>IF(OR(AF47="",AG47=""),"",AF47-AG47)</f>
        <v>7.748379044308094</v>
      </c>
      <c r="AI47" s="364">
        <f>IF(AH47="","",IF(AH47&gt;5,3,IF(AH47&gt;0,1,IF(AH47&gt;-3,-1,-2))))</f>
        <v>3</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2554.5</v>
      </c>
      <c r="F48" s="166">
        <f>IF(C48&lt;&gt;"",_xll.RssMarket(C48,"始値"),"")</f>
        <v>2568.5</v>
      </c>
      <c r="G48" s="165">
        <f>IF(C48&lt;&gt;"",終値!F123,"")</f>
        <v>2580</v>
      </c>
      <c r="H48" s="166">
        <f>IF(C48&lt;&gt;"",_xll.RssMarket(C48,"高値"),"")</f>
        <v>2635</v>
      </c>
      <c r="I48" s="166">
        <f>IF(C48&lt;&gt;"",_xll.RssMarket(C48,"安値"),"")</f>
        <v>2535</v>
      </c>
      <c r="J48" s="166">
        <f>IF(C48&lt;&gt;"",_xll.RssMarket(C48,"出来高"),"")</f>
        <v>2501400</v>
      </c>
      <c r="K48" s="166">
        <f>IF(C48&lt;&gt;"",_xll.RssMarket(C48,"年初来高値"),"")</f>
        <v>2699.5</v>
      </c>
      <c r="L48" s="167">
        <f>IF(AND(E48&lt;&gt;"",K48&lt;&gt;"",K48&lt;&gt;0),(E48-K48)/K48*100,"")</f>
        <v>-5.3713650676051117</v>
      </c>
      <c r="M48" s="166">
        <f>IF(C48&lt;&gt;"",IFERROR(AVERAGE(出来高!E123:I123),""),"")</f>
        <v>1915160</v>
      </c>
      <c r="N48" s="166">
        <f>IF(C48&lt;&gt;"",IFERROR(AVERAGE(出来高!E123:AC123),""),"")</f>
        <v>1476476</v>
      </c>
      <c r="O48" s="168">
        <f>IF(AND(J48&lt;&gt;"",M48&lt;&gt;"",M48&lt;&gt;0),J48/M48,"")</f>
        <v>1.3061049729526515</v>
      </c>
      <c r="P48" s="163" t="str">
        <f>IF(O48="","",IF(O48&gt;=2,"急増↑↑",IF(O48&gt;=1.5,"増加↑",IF(O48&gt;=1,"普通→","減少↓"))))</f>
        <v>普通→</v>
      </c>
      <c r="Q48" s="163" t="str">
        <f>IF(E48="","",IF(AND(E48&gt;G48,O48&gt;=1.5),"買い▲",IF(E48&lt;G48,"様子見▼","中立→")))</f>
        <v>様子見▼</v>
      </c>
      <c r="R48" s="166">
        <f>IF(E48&lt;&gt;"",ROUND(E48*1.08,0),"")</f>
        <v>2759</v>
      </c>
      <c r="S48" s="166">
        <f>IF(E48&lt;&gt;"",ROUND(E48*0.96,0),"")</f>
        <v>2452</v>
      </c>
      <c r="T48" s="163">
        <f>IF(C48="","",IFERROR(IF(O48&gt;=2,3,IF(O48&gt;=1.5,2,IF(O48&gt;=1,1,0)))+IF(E48&gt;G48,1,0)+IF(L48&gt;=-5,1,0)+IF(Q48="買い▲",2,0)+IF(W48&lt;=30,3,IF(W48&lt;=40,2,IF(AND(W48&gt;=40,W48&lt;=60),1,0)))+IF(X48&gt;0,1,0)+IF(V48="年初来高値更新●",3,IF(V48="高値圏",2,0))+IF(AD48="パーフェクト▲",3,IF(AD48="上昇トレンド▲",2,0))+IF(AE48="25日線押し目●",2,IF(AE48="5日線押し目○",1,0))+IF(P48="急増↑↑",2,IF(P48="増加↑",1,0))+N(AI48),0))</f>
        <v>5</v>
      </c>
      <c r="U48" s="163" t="str">
        <f>IF(T48="","",IF(AND(T48&gt;=3,O48&gt;=1.5),"有効",IF(T48&gt;=3,"要確認","除外")))</f>
        <v>要確認</v>
      </c>
      <c r="V48" s="163" t="str">
        <f>IF(AND(H48&lt;&gt;"",K48&lt;&gt;""),IF(H48&gt;=K48,"年初来高値更新●",IF(H48&gt;=K48*0.95,"高値圏","通常")),"")</f>
        <v>高値圏</v>
      </c>
      <c r="W48" s="169">
        <f t="array" ref="W48">IF(C48&lt;&gt;"",IFERROR(100-100/(1+SUMPRODUCT((終値!F123:R123&gt;終値!G123:S123)*( 終値!F123:R123-終値!G123:S123))/SUMPRODUCT((終値!F123:R123&lt;終値!G123:S123)*(終値!G123:S123-終値!F123:R123))),50),"")</f>
        <v>46.158940397350996</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様子見</v>
      </c>
      <c r="Z48" s="171">
        <f>IF(AND(E48&lt;&gt;"",G48&lt;&gt;"",G48&lt;&gt;0),(E48-G48)/G48*100,"")</f>
        <v>-0.98837209302325579</v>
      </c>
      <c r="AA48" s="163" t="str">
        <f>IF(OR(C48="",E48="",E48=0),"",IF(E48&gt;G48,"上昇▲",IF(E48&lt;G48,"下落▼","横ばい→")))</f>
        <v>下落▼</v>
      </c>
      <c r="AB48" s="403">
        <f>IF(C48="","",IFERROR(((終値!E50*0.333)+(終値!F50*0.222)+(終値!G50*0.148)+(終値!H50*0.099)+(終値!I50*0.066)+(終値!J50*0.044)+(終値!K50*0.029)+(終値!L50*0.019)+(終値!M50*0.013)+(終値!N50*0.009))/(0.333+0.222+0.148+0.099+0.066+0.044+0.029+0.019+0.013+0.009),""))</f>
        <v>6710.122199592668</v>
      </c>
      <c r="AC48" s="403">
        <f>IF(C48="","",IFERROR(SUMPRODUCT((終値!E50:AC50),({0.077,0.071,0.065,0.06,0.055,0.051,0.047,0.043,0.039,0.036,0.033,0.031,0.028,0.026,0.024,0.022,0.02,0.018,0.017,0.016,0.014,0.013,0.012,0.011,0.01}))/SUM({0.077,0.071,0.065,0.06,0.055,0.051,0.047,0.043,0.039,0.036,0.033,0.031,0.028,0.026,0.024,0.022,0.02,0.018,0.017,0.016,0.014,0.013,0.012,0.011,0.01}),""))</f>
        <v>6825.6376638855754</v>
      </c>
      <c r="AD48" s="404" t="str">
        <f>IF(OR(C48="",AB48="",AC48=""),"",IF(AND(E48&gt;AB48,AB48&gt;AC48),"パーフェクト▲",IF(E48&gt;AC48,"上昇トレンド▲",IF(AND(E48&lt;AB48,AB48&lt;AC48),"下降トレンド▼","もみ合い→"))))</f>
        <v>下降トレンド▼</v>
      </c>
      <c r="AE48" s="404" t="str">
        <f>IF(OR(C48="",AB48="",AC48=""),"",IF(AND(ABS(E48-AC48)/AC48&lt;=0.02,E48&gt;AC48),"25日押し目★",IF(AND(ABS(E48-AB48)/AB48&lt;=0.01,E48&gt;AB48),"5日押し目○","なし")))</f>
        <v>なし</v>
      </c>
      <c r="AF48" s="365">
        <f t="array" ref="AF48">IF(C48="","",IFERROR((INDEX(終値!$E:$E,MATCH(TEXT(C48,"0"),終値!$A:$A,0))-INDEX(終値!$E:$CZ,MATCH(TEXT(C48,"0"),終値!$A:$A,0),$AL$2))/INDEX(終値!$E:$CZ,MATCH(TEXT(C48,"0"),終値!$A:$A,0),$AL$2)*100,""))</f>
        <v>5.886010362694301</v>
      </c>
      <c r="AG48" s="365">
        <f t="array" ref="AG48">IFERROR((終値!$E$5-INDEX(終値!$E$5:$IT$5,1,$AL$2))/INDEX(終値!$E$5:$IT$5,1,$AL$2)*100,"")</f>
        <v>1.0179378228534113</v>
      </c>
      <c r="AH48" s="366">
        <f>IF(OR(AF48="",AG48=""),"",AF48-AG48)</f>
        <v>4.8680725398408899</v>
      </c>
      <c r="AI48" s="364">
        <f>IF(AH48="","",IF(AH48&gt;5,3,IF(AH48&gt;0,1,IF(AH48&gt;-3,-1,-2))))</f>
        <v>1</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2594</v>
      </c>
      <c r="F49" s="166">
        <f>IF(C49&lt;&gt;"",_xll.RssMarket(C49,"始値"),"")</f>
        <v>2565</v>
      </c>
      <c r="G49" s="165">
        <f>IF(C49&lt;&gt;"",終値!F122,"")</f>
        <v>2568</v>
      </c>
      <c r="H49" s="166">
        <f>IF(C49&lt;&gt;"",_xll.RssMarket(C49,"高値"),"")</f>
        <v>2613</v>
      </c>
      <c r="I49" s="166">
        <f>IF(C49&lt;&gt;"",_xll.RssMarket(C49,"安値"),"")</f>
        <v>2556</v>
      </c>
      <c r="J49" s="166">
        <f>IF(C49&lt;&gt;"",_xll.RssMarket(C49,"出来高"),"")</f>
        <v>1183300</v>
      </c>
      <c r="K49" s="166">
        <f>IF(C49&lt;&gt;"",_xll.RssMarket(C49,"年初来高値"),"")</f>
        <v>2661</v>
      </c>
      <c r="L49" s="167">
        <f>IF(AND(E49&lt;&gt;"",K49&lt;&gt;"",K49&lt;&gt;0),(E49-K49)/K49*100,"")</f>
        <v>-2.5178504321683577</v>
      </c>
      <c r="M49" s="166">
        <f>IF(C49&lt;&gt;"",IFERROR(AVERAGE(出来高!E122:I122),""),"")</f>
        <v>1120580</v>
      </c>
      <c r="N49" s="166">
        <f>IF(C49&lt;&gt;"",IFERROR(AVERAGE(出来高!E122:AC122),""),"")</f>
        <v>970820</v>
      </c>
      <c r="O49" s="168">
        <f>IF(AND(J49&lt;&gt;"",M49&lt;&gt;"",M49&lt;&gt;0),J49/M49,"")</f>
        <v>1.0559710150100841</v>
      </c>
      <c r="P49" s="163" t="str">
        <f>IF(O49="","",IF(O49&gt;=2,"急増↑↑",IF(O49&gt;=1.5,"増加↑",IF(O49&gt;=1,"普通→","減少↓"))))</f>
        <v>普通→</v>
      </c>
      <c r="Q49" s="163" t="str">
        <f>IF(E49="","",IF(AND(E49&gt;G49,O49&gt;=1.5),"買い▲",IF(E49&lt;G49,"様子見▼","中立→")))</f>
        <v>中立→</v>
      </c>
      <c r="R49" s="166">
        <f>IF(E49&lt;&gt;"",ROUND(E49*1.08,0),"")</f>
        <v>2802</v>
      </c>
      <c r="S49" s="166">
        <f>IF(E49&lt;&gt;"",ROUND(E49*0.96,0),"")</f>
        <v>2490</v>
      </c>
      <c r="T49" s="163">
        <f>IF(C49="","",IFERROR(IF(O49&gt;=2,3,IF(O49&gt;=1.5,2,IF(O49&gt;=1,1,0)))+IF(E49&gt;G49,1,0)+IF(L49&gt;=-5,1,0)+IF(Q49="買い▲",2,0)+IF(W49&lt;=30,3,IF(W49&lt;=40,2,IF(AND(W49&gt;=40,W49&lt;=60),1,0)))+IF(X49&gt;0,1,0)+IF(V49="年初来高値更新●",3,IF(V49="高値圏",2,0))+IF(AD49="パーフェクト▲",3,IF(AD49="上昇トレンド▲",2,0))+IF(AE49="25日線押し目●",2,IF(AE49="5日線押し目○",1,0))+IF(P49="急増↑↑",2,IF(P49="増加↑",1,0))+N(AI49),0))</f>
        <v>10</v>
      </c>
      <c r="U49" s="163" t="str">
        <f>IF(T49="","",IF(AND(T49&gt;=3,O49&gt;=1.5),"有効",IF(T49&gt;=3,"要確認","除外")))</f>
        <v>要確認</v>
      </c>
      <c r="V49" s="163" t="str">
        <f>IF(AND(H49&lt;&gt;"",K49&lt;&gt;""),IF(H49&gt;=K49,"年初来高値更新●",IF(H49&gt;=K49*0.95,"高値圏","通常")),"")</f>
        <v>高値圏</v>
      </c>
      <c r="W49" s="169">
        <f t="array" ref="W49">IF(C49&lt;&gt;"",IFERROR(100-100/(1+SUMPRODUCT((終値!F122:R122&gt;終値!G122:S122)*( 終値!F122:R122-終値!G122:S122))/SUMPRODUCT((終値!F122:R122&lt;終値!G122:S122)*(終値!G122:S122-終値!F122:R122))),50),"")</f>
        <v>46.553966189856958</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○買い候補</v>
      </c>
      <c r="Z49" s="171">
        <f>IF(AND(E49&lt;&gt;"",G49&lt;&gt;"",G49&lt;&gt;0),(E49-G49)/G49*100,"")</f>
        <v>1.0124610591900312</v>
      </c>
      <c r="AA49" s="163" t="str">
        <f>IF(OR(C49="",E49="",E49=0),"",IF(E49&gt;G49,"上昇▲",IF(E49&lt;G49,"下落▼","横ばい→")))</f>
        <v>上昇▲</v>
      </c>
      <c r="AB49" s="405">
        <f>IF(C49="","",IFERROR(((終値!E51*0.333)+(終値!F51*0.222)+(終値!G51*0.148)+(終値!H51*0.099)+(終値!I51*0.066)+(終値!J51*0.044)+(終値!K51*0.029)+(終値!L51*0.019)+(終値!M51*0.013)+(終値!N51*0.009))/(0.333+0.222+0.148+0.099+0.066+0.044+0.029+0.019+0.013+0.009),""))</f>
        <v>2660.4287169042759</v>
      </c>
      <c r="AC49" s="405">
        <f>IF(C49="","",IFERROR(SUMPRODUCT((終値!E51:AC51),({0.077,0.071,0.065,0.06,0.055,0.051,0.047,0.043,0.039,0.036,0.033,0.031,0.028,0.026,0.024,0.022,0.02,0.018,0.017,0.016,0.014,0.013,0.012,0.011,0.01}))/SUM({0.077,0.071,0.065,0.06,0.055,0.051,0.047,0.043,0.039,0.036,0.033,0.031,0.028,0.026,0.024,0.022,0.02,0.018,0.017,0.016,0.014,0.013,0.012,0.011,0.01}),""))</f>
        <v>2608.2562574493436</v>
      </c>
      <c r="AD49" s="406" t="str">
        <f>IF(OR(C49="",AB49="",AC49=""),"",IF(AND(E49&gt;AB49,AB49&gt;AC49),"パーフェクト▲",IF(E49&gt;AC49,"上昇トレンド▲",IF(AND(E49&lt;AB49,AB49&lt;AC49),"下降トレンド▼","もみ合い→"))))</f>
        <v>もみ合い→</v>
      </c>
      <c r="AE49" s="406" t="str">
        <f>IF(OR(C49="",AB49="",AC49=""),"",IF(AND(ABS(E49-AC49)/AC49&lt;=0.02,E49&gt;AC49),"25日押し目★",IF(AND(ABS(E49-AB49)/AB49&lt;=0.01,E49&gt;AB49),"5日押し目○","なし")))</f>
        <v>なし</v>
      </c>
      <c r="AF49" s="365">
        <f t="array" ref="AF49">IF(C49="","",IFERROR((INDEX(終値!$E:$E,MATCH(TEXT(C49,"0"),終値!$A:$A,0))-INDEX(終値!$E:$CZ,MATCH(TEXT(C49,"0"),終値!$A:$A,0),$AL$2))/INDEX(終値!$E:$CZ,MATCH(TEXT(C49,"0"),終値!$A:$A,0),$AL$2)*100,""))</f>
        <v>9.985160059359762</v>
      </c>
      <c r="AG49" s="365">
        <f t="array" ref="AG49">IFERROR((終値!$E$5-INDEX(終値!$E$5:$IT$5,1,$AL$2))/INDEX(終値!$E$5:$IT$5,1,$AL$2)*100,"")</f>
        <v>1.0179378228534113</v>
      </c>
      <c r="AH49" s="366">
        <f>IF(OR(AF49="",AG49=""),"",AF49-AG49)</f>
        <v>8.9672222365063501</v>
      </c>
      <c r="AI49" s="364">
        <f>IF(AH49="","",IF(AH49&gt;5,3,IF(AH49&gt;0,1,IF(AH49&gt;-3,-1,-2))))</f>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6781</v>
      </c>
      <c r="F50" s="166">
        <f>IF(C50&lt;&gt;"",_xll.RssMarket(C50,"始値"),"")</f>
        <v>6700</v>
      </c>
      <c r="G50" s="165">
        <f>IF(C50&lt;&gt;"",終値!F50,"")</f>
        <v>6666</v>
      </c>
      <c r="H50" s="166">
        <f>IF(C50&lt;&gt;"",_xll.RssMarket(C50,"高値"),"")</f>
        <v>6823</v>
      </c>
      <c r="I50" s="166">
        <f>IF(C50&lt;&gt;"",_xll.RssMarket(C50,"安値"),"")</f>
        <v>6681</v>
      </c>
      <c r="J50" s="166">
        <f>IF(C50&lt;&gt;"",_xll.RssMarket(C50,"出来高"),"")</f>
        <v>10686000</v>
      </c>
      <c r="K50" s="166">
        <f>IF(C50&lt;&gt;"",_xll.RssMarket(C50,"年初来高値"),"")</f>
        <v>7260</v>
      </c>
      <c r="L50" s="167">
        <f>IF(AND(E50&lt;&gt;"",K50&lt;&gt;"",K50&lt;&gt;0),(E50-K50)/K50*100,"")</f>
        <v>-6.5977961432506893</v>
      </c>
      <c r="M50" s="166">
        <f>IF(C50&lt;&gt;"",IFERROR(AVERAGE(出来高!E50:I50),""),"")</f>
        <v>14272960</v>
      </c>
      <c r="N50" s="166">
        <f>IF(C50&lt;&gt;"",IFERROR(AVERAGE(出来高!E50:AC50),""),"")</f>
        <v>12951480</v>
      </c>
      <c r="O50" s="168">
        <f>IF(AND(J50&lt;&gt;"",M50&lt;&gt;"",M50&lt;&gt;0),J50/M50,"")</f>
        <v>0.74868842902943744</v>
      </c>
      <c r="P50" s="163" t="str">
        <f>IF(O50="","",IF(O50&gt;=2,"急増↑↑",IF(O50&gt;=1.5,"増加↑",IF(O50&gt;=1,"普通→","減少↓"))))</f>
        <v>減少↓</v>
      </c>
      <c r="Q50" s="163" t="str">
        <f>IF(E50="","",IF(AND(E50&gt;G50,O50&gt;=1.5),"買い▲",IF(E50&lt;G50,"様子見▼","中立→")))</f>
        <v>中立→</v>
      </c>
      <c r="R50" s="166">
        <f>IF(E50&lt;&gt;"",ROUND(E50*1.08,0),"")</f>
        <v>7323</v>
      </c>
      <c r="S50" s="166">
        <f>IF(E50&lt;&gt;"",ROUND(E50*0.96,0),"")</f>
        <v>6510</v>
      </c>
      <c r="T50" s="163">
        <f>IF(C50="","",IFERROR(IF(O50&gt;=2,3,IF(O50&gt;=1.5,2,IF(O50&gt;=1,1,0)))+IF(E50&gt;G50,1,0)+IF(L50&gt;=-5,1,0)+IF(Q50="買い▲",2,0)+IF(W50&lt;=30,3,IF(W50&lt;=40,2,IF(AND(W50&gt;=40,W50&lt;=60),1,0)))+IF(X50&gt;0,1,0)+IF(V50="年初来高値更新●",3,IF(V50="高値圏",2,0))+IF(AD50="パーフェクト▲",3,IF(AD50="上昇トレンド▲",2,0))+IF(AE50="25日線押し目●",2,IF(AE50="5日線押し目○",1,0))+IF(P50="急増↑↑",2,IF(P50="増加↑",1,0))+N(AI50),0))</f>
        <v>4</v>
      </c>
      <c r="U50" s="163" t="str">
        <f>IF(T50="","",IF(AND(T50&gt;=3,O50&gt;=1.5),"有効",IF(T50&gt;=3,"要確認","除外")))</f>
        <v>要確認</v>
      </c>
      <c r="V50" s="163" t="str">
        <f>IF(AND(H50&lt;&gt;"",K50&lt;&gt;""),IF(H50&gt;=K50,"年初来高値更新●",IF(H50&gt;=K50*0.95,"高値圏","通常")),"")</f>
        <v>通常</v>
      </c>
      <c r="W50" s="169">
        <f t="array" ref="W50">IF(C50&lt;&gt;"",IFERROR(100-100/(1+SUMPRODUCT((終値!F50:R50&gt;終値!G50:S50)*( 終値!F50:R50-終値!G50:S50))/SUMPRODUCT((終値!F50:R50&lt;終値!G50:S50)*(終値!G50:S50-終値!F50:R50))),50),"")</f>
        <v>38.907849829351534</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様子見</v>
      </c>
      <c r="Z50" s="171">
        <f>IF(AND(E50&lt;&gt;"",G50&lt;&gt;"",G50&lt;&gt;0),(E50-G50)/G50*100,"")</f>
        <v>1.7251725172517254</v>
      </c>
      <c r="AA50" s="163" t="str">
        <f>IF(OR(C50="",E50="",E50=0),"",IF(E50&gt;G50,"上昇▲",IF(E50&lt;G50,"下落▼","横ばい→")))</f>
        <v>上昇▲</v>
      </c>
      <c r="AB50" s="403">
        <f>IF(C50="","",IFERROR(((終値!E52*0.333)+(終値!F52*0.222)+(終値!G52*0.148)+(終値!H52*0.099)+(終値!I52*0.066)+(終値!J52*0.044)+(終値!K52*0.029)+(終値!L52*0.019)+(終値!M52*0.013)+(終値!N52*0.009))/(0.333+0.222+0.148+0.099+0.066+0.044+0.029+0.019+0.013+0.009),""))</f>
        <v>7861.2932790224004</v>
      </c>
      <c r="AC50" s="403">
        <f>IF(C50="","",IFERROR(SUMPRODUCT((終値!E52:AC52),({0.077,0.071,0.065,0.06,0.055,0.051,0.047,0.043,0.039,0.036,0.033,0.031,0.028,0.026,0.024,0.022,0.02,0.018,0.017,0.016,0.014,0.013,0.012,0.011,0.01}))/SUM({0.077,0.071,0.065,0.06,0.055,0.051,0.047,0.043,0.039,0.036,0.033,0.031,0.028,0.026,0.024,0.022,0.02,0.018,0.017,0.016,0.014,0.013,0.012,0.011,0.01}),""))</f>
        <v>7908.5578069129879</v>
      </c>
      <c r="AD50" s="404" t="str">
        <f>IF(OR(C50="",AB50="",AC50=""),"",IF(AND(E50&gt;AB50,AB50&gt;AC50),"パーフェクト▲",IF(E50&gt;AC50,"上昇トレンド▲",IF(AND(E50&lt;AB50,AB50&lt;AC50),"下降トレンド▼","もみ合い→"))))</f>
        <v>下降トレンド▼</v>
      </c>
      <c r="AE50" s="404" t="str">
        <f>IF(OR(C50="",AB50="",AC50=""),"",IF(AND(ABS(E50-AC50)/AC50&lt;=0.02,E50&gt;AC50),"25日押し目★",IF(AND(ABS(E50-AB50)/AB50&lt;=0.01,E50&gt;AB50),"5日押し目○","なし")))</f>
        <v>なし</v>
      </c>
      <c r="AF50" s="365">
        <f t="array" ref="AF50">IF(C50="","",IFERROR((INDEX(終値!$E:$E,MATCH(TEXT(C50,"0"),終値!$A:$A,0))-INDEX(終値!$E:$CZ,MATCH(TEXT(C50,"0"),終値!$A:$A,0),$AL$2))/INDEX(終値!$E:$CZ,MATCH(TEXT(C50,"0"),終値!$A:$A,0),$AL$2)*100,""))</f>
        <v>5.4096067153738536</v>
      </c>
      <c r="AG50" s="365">
        <f t="array" ref="AG50">IFERROR((終値!$E$5-INDEX(終値!$E$5:$IT$5,1,$AL$2))/INDEX(終値!$E$5:$IT$5,1,$AL$2)*100,"")</f>
        <v>1.0179378228534113</v>
      </c>
      <c r="AH50" s="366">
        <f>IF(OR(AF50="",AG50=""),"",AF50-AG50)</f>
        <v>4.3916688925204426</v>
      </c>
      <c r="AI50" s="364">
        <f>IF(AH50="","",IF(AH50&gt;5,3,IF(AH50&gt;0,1,IF(AH50&gt;-3,-1,-2))))</f>
        <v>1</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1679</v>
      </c>
      <c r="F51" s="166">
        <f>IF(C51&lt;&gt;"",_xll.RssMarket(C51,"始値"),"")</f>
        <v>1646</v>
      </c>
      <c r="G51" s="165">
        <f>IF(C51&lt;&gt;"",終値!F31,"")</f>
        <v>1661</v>
      </c>
      <c r="H51" s="166">
        <f>IF(C51&lt;&gt;"",_xll.RssMarket(C51,"高値"),"")</f>
        <v>1687</v>
      </c>
      <c r="I51" s="166">
        <f>IF(C51&lt;&gt;"",_xll.RssMarket(C51,"安値"),"")</f>
        <v>1646</v>
      </c>
      <c r="J51" s="166">
        <f>IF(C51&lt;&gt;"",_xll.RssMarket(C51,"出来高"),"")</f>
        <v>7699800</v>
      </c>
      <c r="K51" s="166">
        <f>IF(C51&lt;&gt;"",_xll.RssMarket(C51,"年初来高値"),"")</f>
        <v>1705</v>
      </c>
      <c r="L51" s="167">
        <f>IF(AND(E51&lt;&gt;"",K51&lt;&gt;"",K51&lt;&gt;0),(E51-K51)/K51*100,"")</f>
        <v>-1.5249266862170088</v>
      </c>
      <c r="M51" s="166">
        <f>IF(C51&lt;&gt;"",IFERROR(AVERAGE(出来高!E31:I31),""),"")</f>
        <v>11203700</v>
      </c>
      <c r="N51" s="166">
        <f>IF(C51&lt;&gt;"",IFERROR(AVERAGE(出来高!E31:AC31),""),"")</f>
        <v>4648868</v>
      </c>
      <c r="O51" s="168">
        <f>IF(AND(J51&lt;&gt;"",M51&lt;&gt;"",M51&lt;&gt;0),J51/M51,"")</f>
        <v>0.68725510322482752</v>
      </c>
      <c r="P51" s="163" t="str">
        <f>IF(O51="","",IF(O51&gt;=2,"急増↑↑",IF(O51&gt;=1.5,"増加↑",IF(O51&gt;=1,"普通→","減少↓"))))</f>
        <v>減少↓</v>
      </c>
      <c r="Q51" s="163" t="str">
        <f>IF(E51="","",IF(AND(E51&gt;G51,O51&gt;=1.5),"買い▲",IF(E51&lt;G51,"様子見▼","中立→")))</f>
        <v>中立→</v>
      </c>
      <c r="R51" s="166">
        <f>IF(E51&lt;&gt;"",ROUND(E51*1.08,0),"")</f>
        <v>1813</v>
      </c>
      <c r="S51" s="166">
        <f>IF(E51&lt;&gt;"",ROUND(E51*0.96,0),"")</f>
        <v>1612</v>
      </c>
      <c r="T51" s="163">
        <f>IF(C51="","",IFERROR(IF(O51&gt;=2,3,IF(O51&gt;=1.5,2,IF(O51&gt;=1,1,0)))+IF(E51&gt;G51,1,0)+IF(L51&gt;=-5,1,0)+IF(Q51="買い▲",2,0)+IF(W51&lt;=30,3,IF(W51&lt;=40,2,IF(AND(W51&gt;=40,W51&lt;=60),1,0)))+IF(X51&gt;0,1,0)+IF(V51="年初来高値更新●",3,IF(V51="高値圏",2,0))+IF(AD51="パーフェクト▲",3,IF(AD51="上昇トレンド▲",2,0))+IF(AE51="25日線押し目●",2,IF(AE51="5日線押し目○",1,0))+IF(P51="急増↑↑",2,IF(P51="増加↑",1,0))+N(AI51),0))</f>
        <v>9</v>
      </c>
      <c r="U51" s="163" t="str">
        <f>IF(T51="","",IF(AND(T51&gt;=3,O51&gt;=1.5),"有効",IF(T51&gt;=3,"要確認","除外")))</f>
        <v>要確認</v>
      </c>
      <c r="V51" s="163" t="str">
        <f>IF(AND(H51&lt;&gt;"",K51&lt;&gt;""),IF(H51&gt;=K51,"年初来高値更新●",IF(H51&gt;=K51*0.95,"高値圏","通常")),"")</f>
        <v>高値圏</v>
      </c>
      <c r="W51" s="169">
        <f t="array" ref="W51">IF(C51&lt;&gt;"",IFERROR(100-100/(1+SUMPRODUCT((終値!F31:R31&gt;終値!G31:S31)*( 終値!F31:R31-終値!G31:S31))/SUMPRODUCT((終値!F31:R31&lt;終値!G31:S31)*(終値!G31:S31-終値!F31:R31))),50),"")</f>
        <v>46.13807245386193</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△注目</v>
      </c>
      <c r="Z51" s="171">
        <f>IF(AND(E51&lt;&gt;"",G51&lt;&gt;"",G51&lt;&gt;0),(E51-G51)/G51*100,"")</f>
        <v>1.0836845273931366</v>
      </c>
      <c r="AA51" s="163" t="str">
        <f>IF(OR(C51="",E51="",E51=0),"",IF(E51&gt;G51,"上昇▲",IF(E51&lt;G51,"下落▼","横ばい→")))</f>
        <v>上昇▲</v>
      </c>
      <c r="AB51" s="405">
        <f>IF(C51="","",IFERROR(((終値!E53*0.333)+(終値!F53*0.222)+(終値!G53*0.148)+(終値!H53*0.099)+(終値!I53*0.066)+(終値!J53*0.044)+(終値!K53*0.029)+(終値!L53*0.019)+(終値!M53*0.013)+(終値!N53*0.009))/(0.333+0.222+0.148+0.099+0.066+0.044+0.029+0.019+0.013+0.009),""))</f>
        <v>5832.4786150712816</v>
      </c>
      <c r="AC51" s="405">
        <f>IF(C51="","",IFERROR(SUMPRODUCT((終値!E53:AC53),({0.077,0.071,0.065,0.06,0.055,0.051,0.047,0.043,0.039,0.036,0.033,0.031,0.028,0.026,0.024,0.022,0.02,0.018,0.017,0.016,0.014,0.013,0.012,0.011,0.01}))/SUM({0.077,0.071,0.065,0.06,0.055,0.051,0.047,0.043,0.039,0.036,0.033,0.031,0.028,0.026,0.024,0.022,0.02,0.018,0.017,0.016,0.014,0.013,0.012,0.011,0.01}),""))</f>
        <v>6122.5065554231187</v>
      </c>
      <c r="AD51" s="406" t="str">
        <f>IF(OR(C51="",AB51="",AC51=""),"",IF(AND(E51&gt;AB51,AB51&gt;AC51),"パーフェクト▲",IF(E51&gt;AC51,"上昇トレンド▲",IF(AND(E51&lt;AB51,AB51&lt;AC51),"下降トレンド▼","もみ合い→"))))</f>
        <v>下降トレンド▼</v>
      </c>
      <c r="AE51" s="406" t="str">
        <f>IF(OR(C51="",AB51="",AC51=""),"",IF(AND(ABS(E51-AC51)/AC51&lt;=0.02,E51&gt;AC51),"25日押し目★",IF(AND(ABS(E51-AB51)/AB51&lt;=0.01,E51&gt;AB51),"5日押し目○","なし")))</f>
        <v>なし</v>
      </c>
      <c r="AF51" s="365">
        <f t="array" ref="AF51">IF(C51="","",IFERROR((INDEX(終値!$E:$E,MATCH(TEXT(C51,"0"),終値!$A:$A,0))-INDEX(終値!$E:$CZ,MATCH(TEXT(C51,"0"),終値!$A:$A,0),$AL$2))/INDEX(終値!$E:$CZ,MATCH(TEXT(C51,"0"),終値!$A:$A,0),$AL$2)*100,""))</f>
        <v>9.7385620915032689</v>
      </c>
      <c r="AG51" s="365">
        <f t="array" ref="AG51">IFERROR((終値!$E$5-INDEX(終値!$E$5:$IT$5,1,$AL$2))/INDEX(終値!$E$5:$IT$5,1,$AL$2)*100,"")</f>
        <v>1.0179378228534113</v>
      </c>
      <c r="AH51" s="366">
        <f>IF(OR(AF51="",AG51=""),"",AF51-AG51)</f>
        <v>8.720624268649857</v>
      </c>
      <c r="AI51" s="364">
        <f>IF(AH51="","",IF(AH51&gt;5,3,IF(AH51&gt;0,1,IF(AH51&gt;-3,-1,-2))))</f>
        <v>3</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2342</v>
      </c>
      <c r="F52" s="166">
        <f>IF(C52&lt;&gt;"",_xll.RssMarket(C52,"始値"),"")</f>
        <v>2289</v>
      </c>
      <c r="G52" s="165">
        <f>IF(C52&lt;&gt;"",終値!F35,"")</f>
        <v>2283</v>
      </c>
      <c r="H52" s="166">
        <f>IF(C52&lt;&gt;"",_xll.RssMarket(C52,"高値"),"")</f>
        <v>2362</v>
      </c>
      <c r="I52" s="166">
        <f>IF(C52&lt;&gt;"",_xll.RssMarket(C52,"安値"),"")</f>
        <v>2280.5</v>
      </c>
      <c r="J52" s="166">
        <f>IF(C52&lt;&gt;"",_xll.RssMarket(C52,"出来高"),"")</f>
        <v>10474300</v>
      </c>
      <c r="K52" s="166">
        <f>IF(C52&lt;&gt;"",_xll.RssMarket(C52,"年初来高値"),"")</f>
        <v>2420.5</v>
      </c>
      <c r="L52" s="167">
        <f>IF(AND(E52&lt;&gt;"",K52&lt;&gt;"",K52&lt;&gt;0),(E52-K52)/K52*100,"")</f>
        <v>-3.2431315843833923</v>
      </c>
      <c r="M52" s="166">
        <f>IF(C52&lt;&gt;"",IFERROR(AVERAGE(出来高!E35:I35),""),"")</f>
        <v>12101780</v>
      </c>
      <c r="N52" s="166">
        <f>IF(C52&lt;&gt;"",IFERROR(AVERAGE(出来高!E35:AC35),""),"")</f>
        <v>10432052</v>
      </c>
      <c r="O52" s="168">
        <f>IF(AND(J52&lt;&gt;"",M52&lt;&gt;"",M52&lt;&gt;0),J52/M52,"")</f>
        <v>0.86551730406601346</v>
      </c>
      <c r="P52" s="163" t="str">
        <f>IF(O52="","",IF(O52&gt;=2,"急増↑↑",IF(O52&gt;=1.5,"増加↑",IF(O52&gt;=1,"普通→","減少↓"))))</f>
        <v>減少↓</v>
      </c>
      <c r="Q52" s="163" t="str">
        <f>IF(E52="","",IF(AND(E52&gt;G52,O52&gt;=1.5),"買い▲",IF(E52&lt;G52,"様子見▼","中立→")))</f>
        <v>中立→</v>
      </c>
      <c r="R52" s="166">
        <f>IF(E52&lt;&gt;"",ROUND(E52*1.08,0),"")</f>
        <v>2529</v>
      </c>
      <c r="S52" s="166">
        <f>IF(E52&lt;&gt;"",ROUND(E52*0.96,0),"")</f>
        <v>2248</v>
      </c>
      <c r="T52" s="163">
        <f>IF(C52="","",IFERROR(IF(O52&gt;=2,3,IF(O52&gt;=1.5,2,IF(O52&gt;=1,1,0)))+IF(E52&gt;G52,1,0)+IF(L52&gt;=-5,1,0)+IF(Q52="買い▲",2,0)+IF(W52&lt;=30,3,IF(W52&lt;=40,2,IF(AND(W52&gt;=40,W52&lt;=60),1,0)))+IF(X52&gt;0,1,0)+IF(V52="年初来高値更新●",3,IF(V52="高値圏",2,0))+IF(AD52="パーフェクト▲",3,IF(AD52="上昇トレンド▲",2,0))+IF(AE52="25日線押し目●",2,IF(AE52="5日線押し目○",1,0))+IF(P52="急増↑↑",2,IF(P52="増加↑",1,0))+N(AI52),0))</f>
        <v>8</v>
      </c>
      <c r="U52" s="163" t="str">
        <f>IF(T52="","",IF(AND(T52&gt;=3,O52&gt;=1.5),"有効",IF(T52&gt;=3,"要確認","除外")))</f>
        <v>要確認</v>
      </c>
      <c r="V52" s="163" t="str">
        <f>IF(AND(H52&lt;&gt;"",K52&lt;&gt;""),IF(H52&gt;=K52,"年初来高値更新●",IF(H52&gt;=K52*0.95,"高値圏","通常")),"")</f>
        <v>高値圏</v>
      </c>
      <c r="W52" s="169">
        <f t="array" ref="W52">IF(C52&lt;&gt;"",IFERROR(100-100/(1+SUMPRODUCT((終値!F35:R35&gt;終値!G35:S35)*( 終値!F35:R35-終値!G35:S35))/SUMPRODUCT((終値!F35:R35&lt;終値!G35:S35)*(終値!G35:S35-終値!F35:R35))),50),"")</f>
        <v>43.60503644797879</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△注目</v>
      </c>
      <c r="Z52" s="171">
        <f>IF(AND(E52&lt;&gt;"",G52&lt;&gt;"",G52&lt;&gt;0),(E52-G52)/G52*100,"")</f>
        <v>2.5843188786684186</v>
      </c>
      <c r="AA52" s="163" t="str">
        <f>IF(OR(C52="",E52="",E52=0),"",IF(E52&gt;G52,"上昇▲",IF(E52&lt;G52,"下落▼","横ばい→")))</f>
        <v>上昇▲</v>
      </c>
      <c r="AB52" s="403">
        <f>IF(C52="","",IFERROR(((終値!E54*0.333)+(終値!F54*0.222)+(終値!G54*0.148)+(終値!H54*0.099)+(終値!I54*0.066)+(終値!J54*0.044)+(終値!K54*0.029)+(終値!L54*0.019)+(終値!M54*0.013)+(終値!N54*0.009))/(0.333+0.222+0.148+0.099+0.066+0.044+0.029+0.019+0.013+0.009),""))</f>
        <v>6986.1018329938897</v>
      </c>
      <c r="AC52" s="403">
        <f>IF(C52="","",IFERROR(SUMPRODUCT((終値!E54:AC54),({0.077,0.071,0.065,0.06,0.055,0.051,0.047,0.043,0.039,0.036,0.033,0.031,0.028,0.026,0.024,0.022,0.02,0.018,0.017,0.016,0.014,0.013,0.012,0.011,0.01}))/SUM({0.077,0.071,0.065,0.06,0.055,0.051,0.047,0.043,0.039,0.036,0.033,0.031,0.028,0.026,0.024,0.022,0.02,0.018,0.017,0.016,0.014,0.013,0.012,0.011,0.01}),""))</f>
        <v>6935.3742550655525</v>
      </c>
      <c r="AD52" s="404" t="str">
        <f>IF(OR(C52="",AB52="",AC52=""),"",IF(AND(E52&gt;AB52,AB52&gt;AC52),"パーフェクト▲",IF(E52&gt;AC52,"上昇トレンド▲",IF(AND(E52&lt;AB52,AB52&lt;AC52),"下降トレンド▼","もみ合い→"))))</f>
        <v>もみ合い→</v>
      </c>
      <c r="AE52" s="404" t="str">
        <f>IF(OR(C52="",AB52="",AC52=""),"",IF(AND(ABS(E52-AC52)/AC52&lt;=0.02,E52&gt;AC52),"25日押し目★",IF(AND(ABS(E52-AB52)/AB52&lt;=0.01,E52&gt;AB52),"5日押し目○","なし")))</f>
        <v>なし</v>
      </c>
      <c r="AF52" s="365">
        <f t="array" ref="AF52">IF(C52="","",IFERROR((INDEX(終値!$E:$E,MATCH(TEXT(C52,"0"),終値!$A:$A,0))-INDEX(終値!$E:$CZ,MATCH(TEXT(C52,"0"),終値!$A:$A,0),$AL$2))/INDEX(終値!$E:$CZ,MATCH(TEXT(C52,"0"),終値!$A:$A,0),$AL$2)*100,""))</f>
        <v>10.759044691416412</v>
      </c>
      <c r="AG52" s="365">
        <f t="array" ref="AG52">IFERROR((終値!$E$5-INDEX(終値!$E$5:$IT$5,1,$AL$2))/INDEX(終値!$E$5:$IT$5,1,$AL$2)*100,"")</f>
        <v>1.0179378228534113</v>
      </c>
      <c r="AH52" s="366">
        <f>IF(OR(AF52="",AG52=""),"",AF52-AG52)</f>
        <v>9.7411068685629996</v>
      </c>
      <c r="AI52" s="364">
        <f>IF(AH52="","",IF(AH52&gt;5,3,IF(AH52&gt;0,1,IF(AH52&gt;-3,-1,-2))))</f>
        <v>3</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3574</v>
      </c>
      <c r="F53" s="166">
        <f>IF(C53&lt;&gt;"",_xll.RssMarket(C53,"始値"),"")</f>
        <v>3541</v>
      </c>
      <c r="G53" s="165">
        <f>IF(C53&lt;&gt;"",終値!F45,"")</f>
        <v>3541</v>
      </c>
      <c r="H53" s="166">
        <f>IF(C53&lt;&gt;"",_xll.RssMarket(C53,"高値"),"")</f>
        <v>3603</v>
      </c>
      <c r="I53" s="166">
        <f>IF(C53&lt;&gt;"",_xll.RssMarket(C53,"安値"),"")</f>
        <v>3538</v>
      </c>
      <c r="J53" s="166">
        <f>IF(C53&lt;&gt;"",_xll.RssMarket(C53,"出来高"),"")</f>
        <v>35721200</v>
      </c>
      <c r="K53" s="166">
        <f>IF(C53&lt;&gt;"",_xll.RssMarket(C53,"年初来高値"),"")</f>
        <v>3813</v>
      </c>
      <c r="L53" s="167">
        <f>IF(AND(E53&lt;&gt;"",K53&lt;&gt;"",K53&lt;&gt;0),(E53-K53)/K53*100,"")</f>
        <v>-6.2680304222397067</v>
      </c>
      <c r="M53" s="166">
        <f>IF(C53&lt;&gt;"",IFERROR(AVERAGE(出来高!E45:I45),""),"")</f>
        <v>45988060</v>
      </c>
      <c r="N53" s="166">
        <f>IF(C53&lt;&gt;"",IFERROR(AVERAGE(出来高!E45:AC45),""),"")</f>
        <v>43282364</v>
      </c>
      <c r="O53" s="168">
        <f>IF(AND(J53&lt;&gt;"",M53&lt;&gt;"",M53&lt;&gt;0),J53/M53,"")</f>
        <v>0.7767494432250458</v>
      </c>
      <c r="P53" s="163" t="str">
        <f>IF(O53="","",IF(O53&gt;=2,"急増↑↑",IF(O53&gt;=1.5,"増加↑",IF(O53&gt;=1,"普通→","減少↓"))))</f>
        <v>減少↓</v>
      </c>
      <c r="Q53" s="163" t="str">
        <f>IF(E53="","",IF(AND(E53&gt;G53,O53&gt;=1.5),"買い▲",IF(E53&lt;G53,"様子見▼","中立→")))</f>
        <v>中立→</v>
      </c>
      <c r="R53" s="166">
        <f>IF(E53&lt;&gt;"",ROUND(E53*1.08,0),"")</f>
        <v>3860</v>
      </c>
      <c r="S53" s="166">
        <f>IF(E53&lt;&gt;"",ROUND(E53*0.96,0),"")</f>
        <v>3431</v>
      </c>
      <c r="T53" s="163">
        <f>IF(C53="","",IFERROR(IF(O53&gt;=2,3,IF(O53&gt;=1.5,2,IF(O53&gt;=1,1,0)))+IF(E53&gt;G53,1,0)+IF(L53&gt;=-5,1,0)+IF(Q53="買い▲",2,0)+IF(W53&lt;=30,3,IF(W53&lt;=40,2,IF(AND(W53&gt;=40,W53&lt;=60),1,0)))+IF(X53&gt;0,1,0)+IF(V53="年初来高値更新●",3,IF(V53="高値圏",2,0))+IF(AD53="パーフェクト▲",3,IF(AD53="上昇トレンド▲",2,0))+IF(AE53="25日線押し目●",2,IF(AE53="5日線押し目○",1,0))+IF(P53="急増↑↑",2,IF(P53="増加↑",1,0))+N(AI53),0))</f>
        <v>6</v>
      </c>
      <c r="U53" s="163" t="str">
        <f>IF(T53="","",IF(AND(T53&gt;=3,O53&gt;=1.5),"有効",IF(T53&gt;=3,"要確認","除外")))</f>
        <v>要確認</v>
      </c>
      <c r="V53" s="163" t="str">
        <f>IF(AND(H53&lt;&gt;"",K53&lt;&gt;""),IF(H53&gt;=K53,"年初来高値更新●",IF(H53&gt;=K53*0.95,"高値圏","通常")),"")</f>
        <v>通常</v>
      </c>
      <c r="W53" s="169">
        <f t="array" ref="W53">IF(C53&lt;&gt;"",IFERROR(100-100/(1+SUMPRODUCT((終値!F45:R45&gt;終値!G45:S45)*( 終値!F45:R45-終値!G45:S45))/SUMPRODUCT((終値!F45:R45&lt;終値!G45:S45)*(終値!G45:S45-終値!F45:R45))),50),"")</f>
        <v>42.514395393474096</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△注目</v>
      </c>
      <c r="Z53" s="171">
        <f>IF(AND(E53&lt;&gt;"",G53&lt;&gt;"",G53&lt;&gt;0),(E53-G53)/G53*100,"")</f>
        <v>0.93194012990680597</v>
      </c>
      <c r="AA53" s="163" t="str">
        <f>IF(OR(C53="",E53="",E53=0),"",IF(E53&gt;G53,"上昇▲",IF(E53&lt;G53,"下落▼","横ばい→")))</f>
        <v>上昇▲</v>
      </c>
      <c r="AB53" s="405">
        <f>IF(C53="","",IFERROR(((終値!E55*0.333)+(終値!F55*0.222)+(終値!G55*0.148)+(終値!H55*0.099)+(終値!I55*0.066)+(終値!J55*0.044)+(終値!K55*0.029)+(終値!L55*0.019)+(終値!M55*0.013)+(終値!N55*0.009))/(0.333+0.222+0.148+0.099+0.066+0.044+0.029+0.019+0.013+0.009),""))</f>
        <v>4159.5641547861505</v>
      </c>
      <c r="AC53" s="405">
        <f>IF(C53="","",IFERROR(SUMPRODUCT((終値!E55:AC55),({0.077,0.071,0.065,0.06,0.055,0.051,0.047,0.043,0.039,0.036,0.033,0.031,0.028,0.026,0.024,0.022,0.02,0.018,0.017,0.016,0.014,0.013,0.012,0.011,0.01}))/SUM({0.077,0.071,0.065,0.06,0.055,0.051,0.047,0.043,0.039,0.036,0.033,0.031,0.028,0.026,0.024,0.022,0.02,0.018,0.017,0.016,0.014,0.013,0.012,0.011,0.01}),""))</f>
        <v>4108.8343265792591</v>
      </c>
      <c r="AD53" s="406" t="str">
        <f>IF(OR(C53="",AB53="",AC53=""),"",IF(AND(E53&gt;AB53,AB53&gt;AC53),"パーフェクト▲",IF(E53&gt;AC53,"上昇トレンド▲",IF(AND(E53&lt;AB53,AB53&lt;AC53),"下降トレンド▼","もみ合い→"))))</f>
        <v>もみ合い→</v>
      </c>
      <c r="AE53" s="406" t="str">
        <f>IF(OR(C53="",AB53="",AC53=""),"",IF(AND(ABS(E53-AC53)/AC53&lt;=0.02,E53&gt;AC53),"25日押し目★",IF(AND(ABS(E53-AB53)/AB53&lt;=0.01,E53&gt;AB53),"5日押し目○","なし")))</f>
        <v>なし</v>
      </c>
      <c r="AF53" s="365">
        <f t="array" ref="AF53">IF(C53="","",IFERROR((INDEX(終値!$E:$E,MATCH(TEXT(C53,"0"),終値!$A:$A,0))-INDEX(終値!$E:$CZ,MATCH(TEXT(C53,"0"),終値!$A:$A,0),$AL$2))/INDEX(終値!$E:$CZ,MATCH(TEXT(C53,"0"),終値!$A:$A,0),$AL$2)*100,""))</f>
        <v>10.07083461656914</v>
      </c>
      <c r="AG53" s="365">
        <f t="array" ref="AG53">IFERROR((終値!$E$5-INDEX(終値!$E$5:$IT$5,1,$AL$2))/INDEX(終値!$E$5:$IT$5,1,$AL$2)*100,"")</f>
        <v>1.0179378228534113</v>
      </c>
      <c r="AH53" s="366">
        <f>IF(OR(AF53="",AG53=""),"",AF53-AG53)</f>
        <v>9.0528967937157283</v>
      </c>
      <c r="AI53" s="364">
        <f>IF(AH53="","",IF(AH53&gt;5,3,IF(AH53&gt;0,1,IF(AH53&gt;-3,-1,-2))))</f>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1564.5</v>
      </c>
      <c r="F54" s="166">
        <f>IF(C54&lt;&gt;"",_xll.RssMarket(C54,"始値"),"")</f>
        <v>1525</v>
      </c>
      <c r="G54" s="165">
        <f>IF(C54&lt;&gt;"",終値!F172,"")</f>
        <v>1500.5</v>
      </c>
      <c r="H54" s="166">
        <f>IF(C54&lt;&gt;"",_xll.RssMarket(C54,"高値"),"")</f>
        <v>1577</v>
      </c>
      <c r="I54" s="166">
        <f>IF(C54&lt;&gt;"",_xll.RssMarket(C54,"安値"),"")</f>
        <v>1520</v>
      </c>
      <c r="J54" s="166">
        <f>IF(C54&lt;&gt;"",_xll.RssMarket(C54,"出来高"),"")</f>
        <v>8499700</v>
      </c>
      <c r="K54" s="166">
        <f>IF(C54&lt;&gt;"",_xll.RssMarket(C54,"年初来高値"),"")</f>
        <v>2200</v>
      </c>
      <c r="L54" s="167">
        <f>IF(AND(E54&lt;&gt;"",K54&lt;&gt;"",K54&lt;&gt;0),(E54-K54)/K54*100,"")</f>
        <v>-28.886363636363637</v>
      </c>
      <c r="M54" s="166">
        <f>IF(C54&lt;&gt;"",IFERROR(AVERAGE(出来高!E172:I172),""),"")</f>
        <v>7272040</v>
      </c>
      <c r="N54" s="166">
        <f>IF(C54&lt;&gt;"",IFERROR(AVERAGE(出来高!E172:AC172),""),"")</f>
        <v>3990348</v>
      </c>
      <c r="O54" s="168">
        <f>IF(AND(J54&lt;&gt;"",M54&lt;&gt;"",M54&lt;&gt;0),J54/M54,"")</f>
        <v>1.1688192034147227</v>
      </c>
      <c r="P54" s="163" t="str">
        <f>IF(O54="","",IF(O54&gt;=2,"急増↑↑",IF(O54&gt;=1.5,"増加↑",IF(O54&gt;=1,"普通→","減少↓"))))</f>
        <v>普通→</v>
      </c>
      <c r="Q54" s="163" t="str">
        <f>IF(E54="","",IF(AND(E54&gt;G54,O54&gt;=1.5),"買い▲",IF(E54&lt;G54,"様子見▼","中立→")))</f>
        <v>中立→</v>
      </c>
      <c r="R54" s="166">
        <f>IF(E54&lt;&gt;"",ROUND(E54*1.08,0),"")</f>
        <v>1690</v>
      </c>
      <c r="S54" s="166">
        <f>IF(E54&lt;&gt;"",ROUND(E54*0.96,0),"")</f>
        <v>1502</v>
      </c>
      <c r="T54" s="163">
        <f>IF(C54="","",IFERROR(IF(O54&gt;=2,3,IF(O54&gt;=1.5,2,IF(O54&gt;=1,1,0)))+IF(E54&gt;G54,1,0)+IF(L54&gt;=-5,1,0)+IF(Q54="買い▲",2,0)+IF(W54&lt;=30,3,IF(W54&lt;=40,2,IF(AND(W54&gt;=40,W54&lt;=60),1,0)))+IF(X54&gt;0,1,0)+IF(V54="年初来高値更新●",3,IF(V54="高値圏",2,0))+IF(AD54="パーフェクト▲",3,IF(AD54="上昇トレンド▲",2,0))+IF(AE54="25日線押し目●",2,IF(AE54="5日線押し目○",1,0))+IF(P54="急増↑↑",2,IF(P54="増加↑",1,0))+N(AI54),0))</f>
        <v>7</v>
      </c>
      <c r="U54" s="163" t="str">
        <f>IF(T54="","",IF(AND(T54&gt;=3,O54&gt;=1.5),"有効",IF(T54&gt;=3,"要確認","除外")))</f>
        <v>要確認</v>
      </c>
      <c r="V54" s="163" t="str">
        <f>IF(AND(H54&lt;&gt;"",K54&lt;&gt;""),IF(H54&gt;=K54,"年初来高値更新●",IF(H54&gt;=K54*0.95,"高値圏","通常")),"")</f>
        <v>通常</v>
      </c>
      <c r="W54" s="169">
        <f t="array" ref="W54">IF(C54&lt;&gt;"",IFERROR(100-100/(1+SUMPRODUCT((終値!F172:R172&gt;終値!G172:S172)*( 終値!F172:R172-終値!G172:S172))/SUMPRODUCT((終値!F172:R172&lt;終値!G172:S172)*(終値!G172:S172-終値!F172:R172))),50),"")</f>
        <v>53.584905660377352</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△注目</v>
      </c>
      <c r="Z54" s="171">
        <f>IF(AND(E54&lt;&gt;"",G54&lt;&gt;"",G54&lt;&gt;0),(E54-G54)/G54*100,"")</f>
        <v>4.2652449183605468</v>
      </c>
      <c r="AA54" s="163" t="str">
        <f>IF(OR(C54="",E54="",E54=0),"",IF(E54&gt;G54,"上昇▲",IF(E54&lt;G54,"下落▼","横ばい→")))</f>
        <v>上昇▲</v>
      </c>
      <c r="AB54" s="403">
        <f>IF(C54="","",IFERROR(((終値!E56*0.333)+(終値!F56*0.222)+(終値!G56*0.148)+(終値!H56*0.099)+(終値!I56*0.066)+(終値!J56*0.044)+(終値!K56*0.029)+(終値!L56*0.019)+(終値!M56*0.013)+(終値!N56*0.009))/(0.333+0.222+0.148+0.099+0.066+0.044+0.029+0.019+0.013+0.009),""))</f>
        <v>2261.4236252545816</v>
      </c>
      <c r="AC54" s="403">
        <f>IF(C54="","",IFERROR(SUMPRODUCT((終値!E56:AC56),({0.077,0.071,0.065,0.06,0.055,0.051,0.047,0.043,0.039,0.036,0.033,0.031,0.028,0.026,0.024,0.022,0.02,0.018,0.017,0.016,0.014,0.013,0.012,0.011,0.01}))/SUM({0.077,0.071,0.065,0.06,0.055,0.051,0.047,0.043,0.039,0.036,0.033,0.031,0.028,0.026,0.024,0.022,0.02,0.018,0.017,0.016,0.014,0.013,0.012,0.011,0.01}),""))</f>
        <v>2288.6626936829548</v>
      </c>
      <c r="AD54" s="404" t="str">
        <f>IF(OR(C54="",AB54="",AC54=""),"",IF(AND(E54&gt;AB54,AB54&gt;AC54),"パーフェクト▲",IF(E54&gt;AC54,"上昇トレンド▲",IF(AND(E54&lt;AB54,AB54&lt;AC54),"下降トレンド▼","もみ合い→"))))</f>
        <v>下降トレンド▼</v>
      </c>
      <c r="AE54" s="404" t="str">
        <f>IF(OR(C54="",AB54="",AC54=""),"",IF(AND(ABS(E54-AC54)/AC54&lt;=0.02,E54&gt;AC54),"25日押し目★",IF(AND(ABS(E54-AB54)/AB54&lt;=0.01,E54&gt;AB54),"5日押し目○","なし")))</f>
        <v>なし</v>
      </c>
      <c r="AF54" s="365">
        <f t="array" ref="AF54">IF(C54="","",IFERROR((INDEX(終値!$E:$E,MATCH(TEXT(C54,"0"),終値!$A:$A,0))-INDEX(終値!$E:$CZ,MATCH(TEXT(C54,"0"),終値!$A:$A,0),$AL$2))/INDEX(終値!$E:$CZ,MATCH(TEXT(C54,"0"),終値!$A:$A,0),$AL$2)*100,""))</f>
        <v>14.447695683979516</v>
      </c>
      <c r="AG54" s="365">
        <f t="array" ref="AG54">IFERROR((終値!$E$5-INDEX(終値!$E$5:$IT$5,1,$AL$2))/INDEX(終値!$E$5:$IT$5,1,$AL$2)*100,"")</f>
        <v>1.0179378228534113</v>
      </c>
      <c r="AH54" s="366">
        <f>IF(OR(AF54="",AG54=""),"",AF54-AG54)</f>
        <v>13.429757861126104</v>
      </c>
      <c r="AI54" s="364">
        <f>IF(AH54="","",IF(AH54&gt;5,3,IF(AH54&gt;0,1,IF(AH54&gt;-3,-1,-2))))</f>
        <v>3</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1085</v>
      </c>
      <c r="F55" s="166">
        <f>IF(C55&lt;&gt;"",_xll.RssMarket(C55,"始値"),"")</f>
        <v>1069</v>
      </c>
      <c r="G55" s="165">
        <f>IF(C55&lt;&gt;"",終値!F63,"")</f>
        <v>1067</v>
      </c>
      <c r="H55" s="166">
        <f>IF(C55&lt;&gt;"",_xll.RssMarket(C55,"高値"),"")</f>
        <v>1087</v>
      </c>
      <c r="I55" s="166">
        <f>IF(C55&lt;&gt;"",_xll.RssMarket(C55,"安値"),"")</f>
        <v>1069</v>
      </c>
      <c r="J55" s="166">
        <f>IF(C55&lt;&gt;"",_xll.RssMarket(C55,"出来高"),"")</f>
        <v>57800</v>
      </c>
      <c r="K55" s="166">
        <f>IF(C55&lt;&gt;"",_xll.RssMarket(C55,"年初来高値"),"")</f>
        <v>1168</v>
      </c>
      <c r="L55" s="167">
        <f>IF(AND(E55&lt;&gt;"",K55&lt;&gt;"",K55&lt;&gt;0),(E55-K55)/K55*100,"")</f>
        <v>-7.1061643835616444</v>
      </c>
      <c r="M55" s="166">
        <f>IF(C55&lt;&gt;"",IFERROR(AVERAGE(出来高!E63:I63),""),"")</f>
        <v>79260</v>
      </c>
      <c r="N55" s="166">
        <f>IF(C55&lt;&gt;"",IFERROR(AVERAGE(出来高!E63:AC63),""),"")</f>
        <v>83300</v>
      </c>
      <c r="O55" s="168">
        <f>IF(AND(J55&lt;&gt;"",M55&lt;&gt;"",M55&lt;&gt;0),J55/M55,"")</f>
        <v>0.7292455210698966</v>
      </c>
      <c r="P55" s="163" t="str">
        <f>IF(O55="","",IF(O55&gt;=2,"急増↑↑",IF(O55&gt;=1.5,"増加↑",IF(O55&gt;=1,"普通→","減少↓"))))</f>
        <v>減少↓</v>
      </c>
      <c r="Q55" s="163" t="str">
        <f>IF(E55="","",IF(AND(E55&gt;G55,O55&gt;=1.5),"買い▲",IF(E55&lt;G55,"様子見▼","中立→")))</f>
        <v>中立→</v>
      </c>
      <c r="R55" s="166">
        <f>IF(E55&lt;&gt;"",ROUND(E55*1.08,0),"")</f>
        <v>1172</v>
      </c>
      <c r="S55" s="166">
        <f>IF(E55&lt;&gt;"",ROUND(E55*0.96,0),"")</f>
        <v>1042</v>
      </c>
      <c r="T55" s="163">
        <f>IF(C55="","",IFERROR(IF(O55&gt;=2,3,IF(O55&gt;=1.5,2,IF(O55&gt;=1,1,0)))+IF(E55&gt;G55,1,0)+IF(L55&gt;=-5,1,0)+IF(Q55="買い▲",2,0)+IF(W55&lt;=30,3,IF(W55&lt;=40,2,IF(AND(W55&gt;=40,W55&lt;=60),1,0)))+IF(X55&gt;0,1,0)+IF(V55="年初来高値更新●",3,IF(V55="高値圏",2,0))+IF(AD55="パーフェクト▲",3,IF(AD55="上昇トレンド▲",2,0))+IF(AE55="25日線押し目●",2,IF(AE55="5日線押し目○",1,0))+IF(P55="急増↑↑",2,IF(P55="増加↑",1,0))+N(AI55),0))</f>
        <v>3</v>
      </c>
      <c r="U55" s="163" t="str">
        <f>IF(T55="","",IF(AND(T55&gt;=3,O55&gt;=1.5),"有効",IF(T55&gt;=3,"要確認","除外")))</f>
        <v>要確認</v>
      </c>
      <c r="V55" s="163" t="str">
        <f>IF(AND(H55&lt;&gt;"",K55&lt;&gt;""),IF(H55&gt;=K55,"年初来高値更新●",IF(H55&gt;=K55*0.95,"高値圏","通常")),"")</f>
        <v>通常</v>
      </c>
      <c r="W55" s="169">
        <f t="array" ref="W55">IF(C55&lt;&gt;"",IFERROR(100-100/(1+SUMPRODUCT((終値!F63:R63&gt;終値!G63:S63)*( 終値!F63:R63-終値!G63:S63))/SUMPRODUCT((終値!F63:R63&lt;終値!G63:S63)*(終値!G63:S63-終値!F63:R63))),50),"")</f>
        <v>49.406276505513148</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様子見</v>
      </c>
      <c r="Z55" s="171">
        <f>IF(AND(E55&lt;&gt;"",G55&lt;&gt;"",G55&lt;&gt;0),(E55-G55)/G55*100,"")</f>
        <v>1.6869728209934396</v>
      </c>
      <c r="AA55" s="163" t="str">
        <f>IF(OR(C55="",E55="",E55=0),"",IF(E55&gt;G55,"上昇▲",IF(E55&lt;G55,"下落▼","横ばい→")))</f>
        <v>上昇▲</v>
      </c>
      <c r="AB55" s="405">
        <f>IF(C55="","",IFERROR(((終値!E57*0.333)+(終値!F57*0.222)+(終値!G57*0.148)+(終値!H57*0.099)+(終値!I57*0.066)+(終値!J57*0.044)+(終値!K57*0.029)+(終値!L57*0.019)+(終値!M57*0.013)+(終値!N57*0.009))/(0.333+0.222+0.148+0.099+0.066+0.044+0.029+0.019+0.013+0.009),""))</f>
        <v>1424.9480651731158</v>
      </c>
      <c r="AC55" s="405">
        <f>IF(C55="","",IFERROR(SUMPRODUCT((終値!E57:AC57),({0.077,0.071,0.065,0.06,0.055,0.051,0.047,0.043,0.039,0.036,0.033,0.031,0.028,0.026,0.024,0.022,0.02,0.018,0.017,0.016,0.014,0.013,0.012,0.011,0.01}))/SUM({0.077,0.071,0.065,0.06,0.055,0.051,0.047,0.043,0.039,0.036,0.033,0.031,0.028,0.026,0.024,0.022,0.02,0.018,0.017,0.016,0.014,0.013,0.012,0.011,0.01}),""))</f>
        <v>1452.5220500595944</v>
      </c>
      <c r="AD55" s="406" t="str">
        <f>IF(OR(C55="",AB55="",AC55=""),"",IF(AND(E55&gt;AB55,AB55&gt;AC55),"パーフェクト▲",IF(E55&gt;AC55,"上昇トレンド▲",IF(AND(E55&lt;AB55,AB55&lt;AC55),"下降トレンド▼","もみ合い→"))))</f>
        <v>下降トレンド▼</v>
      </c>
      <c r="AE55" s="406" t="str">
        <f>IF(OR(C55="",AB55="",AC55=""),"",IF(AND(ABS(E55-AC55)/AC55&lt;=0.02,E55&gt;AC55),"25日押し目★",IF(AND(ABS(E55-AB55)/AB55&lt;=0.01,E55&gt;AB55),"5日押し目○","なし")))</f>
        <v>なし</v>
      </c>
      <c r="AF55" s="365">
        <f t="array" ref="AF55">IF(C55="","",IFERROR((INDEX(終値!$E:$E,MATCH(TEXT(C55,"0"),終値!$A:$A,0))-INDEX(終値!$E:$CZ,MATCH(TEXT(C55,"0"),終値!$A:$A,0),$AL$2))/INDEX(終値!$E:$CZ,MATCH(TEXT(C55,"0"),終値!$A:$A,0),$AL$2)*100,""))</f>
        <v>3.0389363722697058</v>
      </c>
      <c r="AG55" s="365">
        <f t="array" ref="AG55">IFERROR((終値!$E$5-INDEX(終値!$E$5:$IT$5,1,$AL$2))/INDEX(終値!$E$5:$IT$5,1,$AL$2)*100,"")</f>
        <v>1.0179378228534113</v>
      </c>
      <c r="AH55" s="366">
        <f>IF(OR(AF55="",AG55=""),"",AF55-AG55)</f>
        <v>2.0209985494162943</v>
      </c>
      <c r="AI55" s="364">
        <f>IF(AH55="","",IF(AH55&gt;5,3,IF(AH55&gt;0,1,IF(AH55&gt;-3,-1,-2))))</f>
        <v>1</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900</v>
      </c>
      <c r="F56" s="166">
        <f>IF(C56&lt;&gt;"",_xll.RssMarket(C56,"始値"),"")</f>
        <v>890</v>
      </c>
      <c r="G56" s="165">
        <f>IF(C56&lt;&gt;"",終値!F169,"")</f>
        <v>889</v>
      </c>
      <c r="H56" s="166">
        <f>IF(C56&lt;&gt;"",_xll.RssMarket(C56,"高値"),"")</f>
        <v>902</v>
      </c>
      <c r="I56" s="166">
        <f>IF(C56&lt;&gt;"",_xll.RssMarket(C56,"安値"),"")</f>
        <v>890</v>
      </c>
      <c r="J56" s="166">
        <f>IF(C56&lt;&gt;"",_xll.RssMarket(C56,"出来高"),"")</f>
        <v>104300</v>
      </c>
      <c r="K56" s="166">
        <f>IF(C56&lt;&gt;"",_xll.RssMarket(C56,"年初来高値"),"")</f>
        <v>1041</v>
      </c>
      <c r="L56" s="167">
        <f>IF(AND(E56&lt;&gt;"",K56&lt;&gt;"",K56&lt;&gt;0),(E56-K56)/K56*100,"")</f>
        <v>-13.544668587896252</v>
      </c>
      <c r="M56" s="166">
        <f>IF(C56&lt;&gt;"",IFERROR(AVERAGE(出来高!E169:I169),""),"")</f>
        <v>210320</v>
      </c>
      <c r="N56" s="166">
        <f>IF(C56&lt;&gt;"",IFERROR(AVERAGE(出来高!E169:AC169),""),"")</f>
        <v>184648</v>
      </c>
      <c r="O56" s="168">
        <f>IF(AND(J56&lt;&gt;"",M56&lt;&gt;"",M56&lt;&gt;0),J56/M56,"")</f>
        <v>0.49591099277291745</v>
      </c>
      <c r="P56" s="163" t="str">
        <f>IF(O56="","",IF(O56&gt;=2,"急増↑↑",IF(O56&gt;=1.5,"増加↑",IF(O56&gt;=1,"普通→","減少↓"))))</f>
        <v>減少↓</v>
      </c>
      <c r="Q56" s="163" t="str">
        <f>IF(E56="","",IF(AND(E56&gt;G56,O56&gt;=1.5),"買い▲",IF(E56&lt;G56,"様子見▼","中立→")))</f>
        <v>中立→</v>
      </c>
      <c r="R56" s="166">
        <f>IF(E56&lt;&gt;"",ROUND(E56*1.08,0),"")</f>
        <v>972</v>
      </c>
      <c r="S56" s="166">
        <f>IF(E56&lt;&gt;"",ROUND(E56*0.96,0),"")</f>
        <v>864</v>
      </c>
      <c r="T56" s="163">
        <f>IF(C56="","",IFERROR(IF(O56&gt;=2,3,IF(O56&gt;=1.5,2,IF(O56&gt;=1,1,0)))+IF(E56&gt;G56,1,0)+IF(L56&gt;=-5,1,0)+IF(Q56="買い▲",2,0)+IF(W56&lt;=30,3,IF(W56&lt;=40,2,IF(AND(W56&gt;=40,W56&lt;=60),1,0)))+IF(X56&gt;0,1,0)+IF(V56="年初来高値更新●",3,IF(V56="高値圏",2,0))+IF(AD56="パーフェクト▲",3,IF(AD56="上昇トレンド▲",2,0))+IF(AE56="25日線押し目●",2,IF(AE56="5日線押し目○",1,0))+IF(P56="急増↑↑",2,IF(P56="増加↑",1,0))+N(AI56),0))</f>
        <v>4</v>
      </c>
      <c r="U56" s="163" t="str">
        <f>IF(T56="","",IF(AND(T56&gt;=3,O56&gt;=1.5),"有効",IF(T56&gt;=3,"要確認","除外")))</f>
        <v>要確認</v>
      </c>
      <c r="V56" s="163" t="str">
        <f>IF(AND(H56&lt;&gt;"",K56&lt;&gt;""),IF(H56&gt;=K56,"年初来高値更新●",IF(H56&gt;=K56*0.95,"高値圏","通常")),"")</f>
        <v>通常</v>
      </c>
      <c r="W56" s="169">
        <f t="array" ref="W56">IF(C56&lt;&gt;"",IFERROR(100-100/(1+SUMPRODUCT((終値!F169:R169&gt;終値!G169:S169)*( 終値!F169:R169-終値!G169:S169))/SUMPRODUCT((終値!F169:R169&lt;終値!G169:S169)*(終値!G169:S169-終値!F169:R169))),50),"")</f>
        <v>38.333333333333329</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様子見</v>
      </c>
      <c r="Z56" s="171">
        <f>IF(AND(E56&lt;&gt;"",G56&lt;&gt;"",G56&lt;&gt;0),(E56-G56)/G56*100,"")</f>
        <v>1.2373453318335208</v>
      </c>
      <c r="AA56" s="163" t="str">
        <f>IF(OR(C56="",E56="",E56=0),"",IF(E56&gt;G56,"上昇▲",IF(E56&lt;G56,"下落▼","横ばい→")))</f>
        <v>上昇▲</v>
      </c>
      <c r="AB56" s="403">
        <f>IF(C56="","",IFERROR(((終値!E58*0.333)+(終値!F58*0.222)+(終値!G58*0.148)+(終値!H58*0.099)+(終値!I58*0.066)+(終値!J58*0.044)+(終値!K58*0.029)+(終値!L58*0.019)+(終値!M58*0.013)+(終値!N58*0.009))/(0.333+0.222+0.148+0.099+0.066+0.044+0.029+0.019+0.013+0.009),""))</f>
        <v>4029.209775967413</v>
      </c>
      <c r="AC56" s="403">
        <f>IF(C56="","",IFERROR(SUMPRODUCT((終値!E58:AC58),({0.077,0.071,0.065,0.06,0.055,0.051,0.047,0.043,0.039,0.036,0.033,0.031,0.028,0.026,0.024,0.022,0.02,0.018,0.017,0.016,0.014,0.013,0.012,0.011,0.01}))/SUM({0.077,0.071,0.065,0.06,0.055,0.051,0.047,0.043,0.039,0.036,0.033,0.031,0.028,0.026,0.024,0.022,0.02,0.018,0.017,0.016,0.014,0.013,0.012,0.011,0.01}),""))</f>
        <v>4069.9272943980914</v>
      </c>
      <c r="AD56" s="404" t="str">
        <f>IF(OR(C56="",AB56="",AC56=""),"",IF(AND(E56&gt;AB56,AB56&gt;AC56),"パーフェクト▲",IF(E56&gt;AC56,"上昇トレンド▲",IF(AND(E56&lt;AB56,AB56&lt;AC56),"下降トレンド▼","もみ合い→"))))</f>
        <v>下降トレンド▼</v>
      </c>
      <c r="AE56" s="404" t="str">
        <f>IF(OR(C56="",AB56="",AC56=""),"",IF(AND(ABS(E56-AC56)/AC56&lt;=0.02,E56&gt;AC56),"25日押し目★",IF(AND(ABS(E56-AB56)/AB56&lt;=0.01,E56&gt;AB56),"5日押し目○","なし")))</f>
        <v>なし</v>
      </c>
      <c r="AF56" s="365">
        <f t="array" ref="AF56">IF(C56="","",IFERROR((INDEX(終値!$E:$E,MATCH(TEXT(C56,"0"),終値!$A:$A,0))-INDEX(終値!$E:$CZ,MATCH(TEXT(C56,"0"),終値!$A:$A,0),$AL$2))/INDEX(終値!$E:$CZ,MATCH(TEXT(C56,"0"),終値!$A:$A,0),$AL$2)*100,""))</f>
        <v>2.5056947608200453</v>
      </c>
      <c r="AG56" s="365">
        <f t="array" ref="AG56">IFERROR((終値!$E$5-INDEX(終値!$E$5:$IT$5,1,$AL$2))/INDEX(終値!$E$5:$IT$5,1,$AL$2)*100,"")</f>
        <v>1.0179378228534113</v>
      </c>
      <c r="AH56" s="366">
        <f>IF(OR(AF56="",AG56=""),"",AF56-AG56)</f>
        <v>1.487756937966634</v>
      </c>
      <c r="AI56" s="364">
        <f>IF(AH56="","",IF(AH56&gt;5,3,IF(AH56&gt;0,1,IF(AH56&gt;-3,-1,-2))))</f>
        <v>1</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2365</v>
      </c>
      <c r="F57" s="166">
        <f>IF(C57&lt;&gt;"",_xll.RssMarket(C57,"始値"),"")</f>
        <v>2331</v>
      </c>
      <c r="G57" s="165">
        <f>IF(C57&lt;&gt;"",終値!F182,"")</f>
        <v>2336</v>
      </c>
      <c r="H57" s="166">
        <f>IF(C57&lt;&gt;"",_xll.RssMarket(C57,"高値"),"")</f>
        <v>2372</v>
      </c>
      <c r="I57" s="166">
        <f>IF(C57&lt;&gt;"",_xll.RssMarket(C57,"安値"),"")</f>
        <v>2331</v>
      </c>
      <c r="J57" s="166">
        <f>IF(C57&lt;&gt;"",_xll.RssMarket(C57,"出来高"),"")</f>
        <v>7700</v>
      </c>
      <c r="K57" s="166">
        <f>IF(C57&lt;&gt;"",_xll.RssMarket(C57,"年初来高値"),"")</f>
        <v>2730</v>
      </c>
      <c r="L57" s="167">
        <f>IF(AND(E57&lt;&gt;"",K57&lt;&gt;"",K57&lt;&gt;0),(E57-K57)/K57*100,"")</f>
        <v>-13.36996336996337</v>
      </c>
      <c r="M57" s="166">
        <f>IF(C57&lt;&gt;"",IFERROR(AVERAGE(出来高!E182:I182),""),"")</f>
        <v>11960</v>
      </c>
      <c r="N57" s="166">
        <f>IF(C57&lt;&gt;"",IFERROR(AVERAGE(出来高!E182:AC182),""),"")</f>
        <v>14184</v>
      </c>
      <c r="O57" s="168">
        <f>IF(AND(J57&lt;&gt;"",M57&lt;&gt;"",M57&lt;&gt;0),J57/M57,"")</f>
        <v>0.64381270903010035</v>
      </c>
      <c r="P57" s="163" t="str">
        <f>IF(O57="","",IF(O57&gt;=2,"急増↑↑",IF(O57&gt;=1.5,"増加↑",IF(O57&gt;=1,"普通→","減少↓"))))</f>
        <v>減少↓</v>
      </c>
      <c r="Q57" s="163" t="str">
        <f>IF(E57="","",IF(AND(E57&gt;G57,O57&gt;=1.5),"買い▲",IF(E57&lt;G57,"様子見▼","中立→")))</f>
        <v>中立→</v>
      </c>
      <c r="R57" s="166">
        <f>IF(E57&lt;&gt;"",ROUND(E57*1.08,0),"")</f>
        <v>2554</v>
      </c>
      <c r="S57" s="166">
        <f>IF(E57&lt;&gt;"",ROUND(E57*0.96,0),"")</f>
        <v>2270</v>
      </c>
      <c r="T57" s="163">
        <f>IF(C57="","",IFERROR(IF(O57&gt;=2,3,IF(O57&gt;=1.5,2,IF(O57&gt;=1,1,0)))+IF(E57&gt;G57,1,0)+IF(L57&gt;=-5,1,0)+IF(Q57="買い▲",2,0)+IF(W57&lt;=30,3,IF(W57&lt;=40,2,IF(AND(W57&gt;=40,W57&lt;=60),1,0)))+IF(X57&gt;0,1,0)+IF(V57="年初来高値更新●",3,IF(V57="高値圏",2,0))+IF(AD57="パーフェクト▲",3,IF(AD57="上昇トレンド▲",2,0))+IF(AE57="25日線押し目●",2,IF(AE57="5日線押し目○",1,0))+IF(P57="急増↑↑",2,IF(P57="増加↑",1,0))+N(AI57),0))</f>
        <v>4</v>
      </c>
      <c r="U57" s="163" t="str">
        <f>IF(T57="","",IF(AND(T57&gt;=3,O57&gt;=1.5),"有効",IF(T57&gt;=3,"要確認","除外")))</f>
        <v>要確認</v>
      </c>
      <c r="V57" s="163" t="str">
        <f>IF(AND(H57&lt;&gt;"",K57&lt;&gt;""),IF(H57&gt;=K57,"年初来高値更新●",IF(H57&gt;=K57*0.95,"高値圏","通常")),"")</f>
        <v>通常</v>
      </c>
      <c r="W57" s="169">
        <f t="array" ref="W57">IF(C57&lt;&gt;"",IFERROR(100-100/(1+SUMPRODUCT((終値!F182:R182&gt;終値!G182:S182)*( 終値!F182:R182-終値!G182:S182))/SUMPRODUCT((終値!F182:R182&lt;終値!G182:S182)*(終値!G182:S182-終値!F182:R182))),50),"")</f>
        <v>53.333333333333329</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様子見</v>
      </c>
      <c r="Z57" s="171">
        <f>IF(AND(E57&lt;&gt;"",G57&lt;&gt;"",G57&lt;&gt;0),(E57-G57)/G57*100,"")</f>
        <v>1.2414383561643836</v>
      </c>
      <c r="AA57" s="163" t="str">
        <f>IF(OR(C57="",E57="",E57=0),"",IF(E57&gt;G57,"上昇▲",IF(E57&lt;G57,"下落▼","横ばい→")))</f>
        <v>上昇▲</v>
      </c>
      <c r="AB57" s="405">
        <f>IF(C57="","",IFERROR(((終値!E59*0.333)+(終値!F59*0.222)+(終値!G59*0.148)+(終値!H59*0.099)+(終値!I59*0.066)+(終値!J59*0.044)+(終値!K59*0.029)+(終値!L59*0.019)+(終値!M59*0.013)+(終値!N59*0.009))/(0.333+0.222+0.148+0.099+0.066+0.044+0.029+0.019+0.013+0.009),""))</f>
        <v>2359.7892057026475</v>
      </c>
      <c r="AC57" s="405">
        <f>IF(C57="","",IFERROR(SUMPRODUCT((終値!E59:AC59),({0.077,0.071,0.065,0.06,0.055,0.051,0.047,0.043,0.039,0.036,0.033,0.031,0.028,0.026,0.024,0.022,0.02,0.018,0.017,0.016,0.014,0.013,0.012,0.011,0.01}))/SUM({0.077,0.071,0.065,0.06,0.055,0.051,0.047,0.043,0.039,0.036,0.033,0.031,0.028,0.026,0.024,0.022,0.02,0.018,0.017,0.016,0.014,0.013,0.012,0.011,0.01}),""))</f>
        <v>2429.8164481525619</v>
      </c>
      <c r="AD57" s="406" t="str">
        <f>IF(OR(C57="",AB57="",AC57=""),"",IF(AND(E57&gt;AB57,AB57&gt;AC57),"パーフェクト▲",IF(E57&gt;AC57,"上昇トレンド▲",IF(AND(E57&lt;AB57,AB57&lt;AC57),"下降トレンド▼","もみ合い→"))))</f>
        <v>もみ合い→</v>
      </c>
      <c r="AE57" s="406" t="str">
        <f>IF(OR(C57="",AB57="",AC57=""),"",IF(AND(ABS(E57-AC57)/AC57&lt;=0.02,E57&gt;AC57),"25日押し目★",IF(AND(ABS(E57-AB57)/AB57&lt;=0.01,E57&gt;AB57),"5日押し目○","なし")))</f>
        <v>5日押し目○</v>
      </c>
      <c r="AF57" s="365">
        <f t="array" ref="AF57">IF(C57="","",IFERROR((INDEX(終値!$E:$E,MATCH(TEXT(C57,"0"),終値!$A:$A,0))-INDEX(終値!$E:$CZ,MATCH(TEXT(C57,"0"),終値!$A:$A,0),$AL$2))/INDEX(終値!$E:$CZ,MATCH(TEXT(C57,"0"),終値!$A:$A,0),$AL$2)*100,""))</f>
        <v>4.0017590149516273</v>
      </c>
      <c r="AG57" s="365">
        <f t="array" ref="AG57">IFERROR((終値!$E$5-INDEX(終値!$E$5:$IT$5,1,$AL$2))/INDEX(終値!$E$5:$IT$5,1,$AL$2)*100,"")</f>
        <v>1.0179378228534113</v>
      </c>
      <c r="AH57" s="366">
        <f>IF(OR(AF57="",AG57=""),"",AF57-AG57)</f>
        <v>2.9838211920982163</v>
      </c>
      <c r="AI57" s="364">
        <f>IF(AH57="","",IF(AH57&gt;5,3,IF(AH57&gt;0,1,IF(AH57&gt;-3,-1,-2))))</f>
        <v>1</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4748</v>
      </c>
      <c r="F58" s="166">
        <f>IF(C58&lt;&gt;"",_xll.RssMarket(C58,"始値"),"")</f>
        <v>4635</v>
      </c>
      <c r="G58" s="165">
        <f>IF(C58&lt;&gt;"",終値!F16,"")</f>
        <v>4641</v>
      </c>
      <c r="H58" s="166">
        <f>IF(C58&lt;&gt;"",_xll.RssMarket(C58,"高値"),"")</f>
        <v>4748</v>
      </c>
      <c r="I58" s="166">
        <f>IF(C58&lt;&gt;"",_xll.RssMarket(C58,"安値"),"")</f>
        <v>4631</v>
      </c>
      <c r="J58" s="166">
        <f>IF(C58&lt;&gt;"",_xll.RssMarket(C58,"出来高"),"")</f>
        <v>6019000</v>
      </c>
      <c r="K58" s="166">
        <f>IF(C58&lt;&gt;"",_xll.RssMarket(C58,"年初来高値"),"")</f>
        <v>6012</v>
      </c>
      <c r="L58" s="167">
        <f>IF(AND(E58&lt;&gt;"",K58&lt;&gt;"",K58&lt;&gt;0),(E58-K58)/K58*100,"")</f>
        <v>-21.024617431803062</v>
      </c>
      <c r="M58" s="166">
        <f>IF(C58&lt;&gt;"",IFERROR(AVERAGE(出来高!E16:I16),""),"")</f>
        <v>9899860</v>
      </c>
      <c r="N58" s="166">
        <f>IF(C58&lt;&gt;"",IFERROR(AVERAGE(出来高!E16:AC16),""),"")</f>
        <v>8365096</v>
      </c>
      <c r="O58" s="168">
        <f>IF(AND(J58&lt;&gt;"",M58&lt;&gt;"",M58&lt;&gt;0),J58/M58,"")</f>
        <v>0.60798839579549613</v>
      </c>
      <c r="P58" s="163" t="str">
        <f>IF(O58="","",IF(O58&gt;=2,"急増↑↑",IF(O58&gt;=1.5,"増加↑",IF(O58&gt;=1,"普通→","減少↓"))))</f>
        <v>減少↓</v>
      </c>
      <c r="Q58" s="163" t="str">
        <f>IF(E58="","",IF(AND(E58&gt;G58,O58&gt;=1.5),"買い▲",IF(E58&lt;G58,"様子見▼","中立→")))</f>
        <v>中立→</v>
      </c>
      <c r="R58" s="166">
        <f>IF(E58&lt;&gt;"",ROUND(E58*1.08,0),"")</f>
        <v>5128</v>
      </c>
      <c r="S58" s="166">
        <f>IF(E58&lt;&gt;"",ROUND(E58*0.96,0),"")</f>
        <v>4558</v>
      </c>
      <c r="T58" s="163">
        <f>IF(C58="","",IFERROR(IF(O58&gt;=2,3,IF(O58&gt;=1.5,2,IF(O58&gt;=1,1,0)))+IF(E58&gt;G58,1,0)+IF(L58&gt;=-5,1,0)+IF(Q58="買い▲",2,0)+IF(W58&lt;=30,3,IF(W58&lt;=40,2,IF(AND(W58&gt;=40,W58&lt;=60),1,0)))+IF(X58&gt;0,1,0)+IF(V58="年初来高値更新●",3,IF(V58="高値圏",2,0))+IF(AD58="パーフェクト▲",3,IF(AD58="上昇トレンド▲",2,0))+IF(AE58="25日線押し目●",2,IF(AE58="5日線押し目○",1,0))+IF(P58="急増↑↑",2,IF(P58="増加↑",1,0))+N(AI58),0))</f>
        <v>9</v>
      </c>
      <c r="U58" s="163" t="str">
        <f>IF(T58="","",IF(AND(T58&gt;=3,O58&gt;=1.5),"有効",IF(T58&gt;=3,"要確認","除外")))</f>
        <v>要確認</v>
      </c>
      <c r="V58" s="163" t="str">
        <f>IF(AND(H58&lt;&gt;"",K58&lt;&gt;""),IF(H58&gt;=K58,"年初来高値更新●",IF(H58&gt;=K58*0.95,"高値圏","通常")),"")</f>
        <v>通常</v>
      </c>
      <c r="W58" s="169">
        <f t="array" ref="W58">IF(C58&lt;&gt;"",IFERROR(100-100/(1+SUMPRODUCT((終値!F16:R16&gt;終値!G16:S16)*( 終値!F16:R16-終値!G16:S16))/SUMPRODUCT((終値!F16:R16&lt;終値!G16:S16)*(終値!G16:S16-終値!F16:R16))),50),"")</f>
        <v>52.816901408450704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△注目</v>
      </c>
      <c r="Z58" s="171">
        <f>IF(AND(E58&lt;&gt;"",G58&lt;&gt;"",G58&lt;&gt;0),(E58-G58)/G58*100,"")</f>
        <v>2.305537599655247</v>
      </c>
      <c r="AA58" s="163" t="str">
        <f>IF(OR(C58="",E58="",E58=0),"",IF(E58&gt;G58,"上昇▲",IF(E58&lt;G58,"下落▼","横ばい→")))</f>
        <v>上昇▲</v>
      </c>
      <c r="AB58" s="403">
        <f>IF(C58="","",IFERROR(((終値!E60*0.333)+(終値!F60*0.222)+(終値!G60*0.148)+(終値!H60*0.099)+(終値!I60*0.066)+(終値!J60*0.044)+(終値!K60*0.029)+(終値!L60*0.019)+(終値!M60*0.013)+(終値!N60*0.009))/(0.333+0.222+0.148+0.099+0.066+0.044+0.029+0.019+0.013+0.009),""))</f>
        <v>3672.6028513238284</v>
      </c>
      <c r="AC58" s="403">
        <f>IF(C58="","",IFERROR(SUMPRODUCT((終値!E60:AC60),({0.077,0.071,0.065,0.06,0.055,0.051,0.047,0.043,0.039,0.036,0.033,0.031,0.028,0.026,0.024,0.022,0.02,0.018,0.017,0.016,0.014,0.013,0.012,0.011,0.01}))/SUM({0.077,0.071,0.065,0.06,0.055,0.051,0.047,0.043,0.039,0.036,0.033,0.031,0.028,0.026,0.024,0.022,0.02,0.018,0.017,0.016,0.014,0.013,0.012,0.011,0.01}),""))</f>
        <v>3560.8986889153739</v>
      </c>
      <c r="AD58" s="404" t="str">
        <f>IF(OR(C58="",AB58="",AC58=""),"",IF(AND(E58&gt;AB58,AB58&gt;AC58),"パーフェクト▲",IF(E58&gt;AC58,"上昇トレンド▲",IF(AND(E58&lt;AB58,AB58&lt;AC58),"下降トレンド▼","もみ合い→"))))</f>
        <v>パーフェクト▲</v>
      </c>
      <c r="AE58" s="404" t="str">
        <f>IF(OR(C58="",AB58="",AC58=""),"",IF(AND(ABS(E58-AC58)/AC58&lt;=0.02,E58&gt;AC58),"25日押し目★",IF(AND(ABS(E58-AB58)/AB58&lt;=0.01,E58&gt;AB58),"5日押し目○","なし")))</f>
        <v>なし</v>
      </c>
      <c r="AF58" s="365">
        <f t="array" ref="AF58">IF(C58="","",IFERROR((INDEX(終値!$E:$E,MATCH(TEXT(C58,"0"),終値!$A:$A,0))-INDEX(終値!$E:$CZ,MATCH(TEXT(C58,"0"),終値!$A:$A,0),$AL$2))/INDEX(終値!$E:$CZ,MATCH(TEXT(C58,"0"),終値!$A:$A,0),$AL$2)*100,""))</f>
        <v>9.3001841620626156</v>
      </c>
      <c r="AG58" s="365">
        <f t="array" ref="AG58">IFERROR((終値!$E$5-INDEX(終値!$E$5:$IT$5,1,$AL$2))/INDEX(終値!$E$5:$IT$5,1,$AL$2)*100,"")</f>
        <v>1.0179378228534113</v>
      </c>
      <c r="AH58" s="366">
        <f>IF(OR(AF58="",AG58=""),"",AF58-AG58)</f>
        <v>8.2822463392092036</v>
      </c>
      <c r="AI58" s="364">
        <f>IF(AH58="","",IF(AH58&gt;5,3,IF(AH58&gt;0,1,IF(AH58&gt;-3,-1,-2))))</f>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1748.5</v>
      </c>
      <c r="F59" s="166">
        <f>IF(C59&lt;&gt;"",_xll.RssMarket(C59,"始値"),"")</f>
        <v>1713</v>
      </c>
      <c r="G59" s="165">
        <f>IF(C59&lt;&gt;"",終値!F25,"")</f>
        <v>1720.5</v>
      </c>
      <c r="H59" s="166">
        <f>IF(C59&lt;&gt;"",_xll.RssMarket(C59,"高値"),"")</f>
        <v>1768</v>
      </c>
      <c r="I59" s="166">
        <f>IF(C59&lt;&gt;"",_xll.RssMarket(C59,"安値"),"")</f>
        <v>1707</v>
      </c>
      <c r="J59" s="166">
        <f>IF(C59&lt;&gt;"",_xll.RssMarket(C59,"出来高"),"")</f>
        <v>10099400</v>
      </c>
      <c r="K59" s="166">
        <f>IF(C59&lt;&gt;"",_xll.RssMarket(C59,"年初来高値"),"")</f>
        <v>1720.5</v>
      </c>
      <c r="L59" s="167">
        <f>IF(AND(E59&lt;&gt;"",K59&lt;&gt;"",K59&lt;&gt;0),(E59-K59)/K59*100,"")</f>
        <v>1.6274338854984016</v>
      </c>
      <c r="M59" s="166">
        <f>IF(C59&lt;&gt;"",IFERROR(AVERAGE(出来高!E25:I25),""),"")</f>
        <v>16820420</v>
      </c>
      <c r="N59" s="166">
        <f>IF(C59&lt;&gt;"",IFERROR(AVERAGE(出来高!E25:AC25),""),"")</f>
        <v>12169588</v>
      </c>
      <c r="O59" s="168">
        <f>IF(AND(J59&lt;&gt;"",M59&lt;&gt;"",M59&lt;&gt;0),J59/M59,"")</f>
        <v>0.60042495966212495</v>
      </c>
      <c r="P59" s="163" t="str">
        <f>IF(O59="","",IF(O59&gt;=2,"急増↑↑",IF(O59&gt;=1.5,"増加↑",IF(O59&gt;=1,"普通→","減少↓"))))</f>
        <v>減少↓</v>
      </c>
      <c r="Q59" s="163" t="str">
        <f>IF(E59="","",IF(AND(E59&gt;G59,O59&gt;=1.5),"買い▲",IF(E59&lt;G59,"様子見▼","中立→")))</f>
        <v>中立→</v>
      </c>
      <c r="R59" s="166">
        <f>IF(E59&lt;&gt;"",ROUND(E59*1.08,0),"")</f>
        <v>1888</v>
      </c>
      <c r="S59" s="166">
        <f>IF(E59&lt;&gt;"",ROUND(E59*0.96,0),"")</f>
        <v>1679</v>
      </c>
      <c r="T59" s="163">
        <f>IF(C59="","",IFERROR(IF(O59&gt;=2,3,IF(O59&gt;=1.5,2,IF(O59&gt;=1,1,0)))+IF(E59&gt;G59,1,0)+IF(L59&gt;=-5,1,0)+IF(Q59="買い▲",2,0)+IF(W59&lt;=30,3,IF(W59&lt;=40,2,IF(AND(W59&gt;=40,W59&lt;=60),1,0)))+IF(X59&gt;0,1,0)+IF(V59="年初来高値更新●",3,IF(V59="高値圏",2,0))+IF(AD59="パーフェクト▲",3,IF(AD59="上昇トレンド▲",2,0))+IF(AE59="25日線押し目●",2,IF(AE59="5日線押し目○",1,0))+IF(P59="急増↑↑",2,IF(P59="増加↑",1,0))+N(AI59),0))</f>
        <v>9</v>
      </c>
      <c r="U59" s="163" t="str">
        <f>IF(T59="","",IF(AND(T59&gt;=3,O59&gt;=1.5),"有効",IF(T59&gt;=3,"要確認","除外")))</f>
        <v>要確認</v>
      </c>
      <c r="V59" s="163" t="str">
        <f>IF(AND(H59&lt;&gt;"",K59&lt;&gt;""),IF(H59&gt;=K59,"年初来高値更新●",IF(H59&gt;=K59*0.95,"高値圏","通常")),"")</f>
        <v>年初来高値更新●</v>
      </c>
      <c r="W59" s="169">
        <f t="array" ref="W59">IF(C59&lt;&gt;"",IFERROR(100-100/(1+SUMPRODUCT((終値!F25:R25&gt;終値!G25:S25)*( 終値!F25:R25-終値!G25:S25))/SUMPRODUCT((終値!F25:R25&lt;終値!G25:S25)*(終値!G25:S25-終値!F25:R25))),50),"")</f>
        <v>66.091245376078916</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△注目</v>
      </c>
      <c r="Z59" s="171">
        <f>IF(AND(E59&lt;&gt;"",G59&lt;&gt;"",G59&lt;&gt;0),(E59-G59)/G59*100,"")</f>
        <v>1.6274338854984016</v>
      </c>
      <c r="AA59" s="163" t="str">
        <f>IF(OR(C59="",E59="",E59=0),"",IF(E59&gt;G59,"上昇▲",IF(E59&lt;G59,"下落▼","横ばい→")))</f>
        <v>上昇▲</v>
      </c>
      <c r="AB59" s="405">
        <f>IF(C59="","",IFERROR(((終値!E61*0.333)+(終値!F61*0.222)+(終値!G61*0.148)+(終値!H61*0.099)+(終値!I61*0.066)+(終値!J61*0.044)+(終値!K61*0.029)+(終値!L61*0.019)+(終値!M61*0.013)+(終値!N61*0.009))/(0.333+0.222+0.148+0.099+0.066+0.044+0.029+0.019+0.013+0.009),""))</f>
        <v>1831.3049898167005</v>
      </c>
      <c r="AC59" s="405">
        <f>IF(C59="","",IFERROR(SUMPRODUCT((終値!E61:AC61),({0.077,0.071,0.065,0.06,0.055,0.051,0.047,0.043,0.039,0.036,0.033,0.031,0.028,0.026,0.024,0.022,0.02,0.018,0.017,0.016,0.014,0.013,0.012,0.011,0.01}))/SUM({0.077,0.071,0.065,0.06,0.055,0.051,0.047,0.043,0.039,0.036,0.033,0.031,0.028,0.026,0.024,0.022,0.02,0.018,0.017,0.016,0.014,0.013,0.012,0.011,0.01}),""))</f>
        <v>1790.2920143027404</v>
      </c>
      <c r="AD59" s="406" t="str">
        <f>IF(OR(C59="",AB59="",AC59=""),"",IF(AND(E59&gt;AB59,AB59&gt;AC59),"パーフェクト▲",IF(E59&gt;AC59,"上昇トレンド▲",IF(AND(E59&lt;AB59,AB59&lt;AC59),"下降トレンド▼","もみ合い→"))))</f>
        <v>もみ合い→</v>
      </c>
      <c r="AE59" s="406" t="str">
        <f>IF(OR(C59="",AB59="",AC59=""),"",IF(AND(ABS(E59-AC59)/AC59&lt;=0.02,E59&gt;AC59),"25日押し目★",IF(AND(ABS(E59-AB59)/AB59&lt;=0.01,E59&gt;AB59),"5日押し目○","なし")))</f>
        <v>なし</v>
      </c>
      <c r="AF59" s="365">
        <f t="array" ref="AF59">IF(C59="","",IFERROR((INDEX(終値!$E:$E,MATCH(TEXT(C59,"0"),終値!$A:$A,0))-INDEX(終値!$E:$CZ,MATCH(TEXT(C59,"0"),終値!$A:$A,0),$AL$2))/INDEX(終値!$E:$CZ,MATCH(TEXT(C59,"0"),終値!$A:$A,0),$AL$2)*100,""))</f>
        <v>11.68955605237943</v>
      </c>
      <c r="AG59" s="365">
        <f t="array" ref="AG59">IFERROR((終値!$E$5-INDEX(終値!$E$5:$IT$5,1,$AL$2))/INDEX(終値!$E$5:$IT$5,1,$AL$2)*100,"")</f>
        <v>1.0179378228534113</v>
      </c>
      <c r="AH59" s="366">
        <f>IF(OR(AF59="",AG59=""),"",AF59-AG59)</f>
        <v>10.671618229526018</v>
      </c>
      <c r="AI59" s="364">
        <f>IF(AH59="","",IF(AH59&gt;5,3,IF(AH59&gt;0,1,IF(AH59&gt;-3,-1,-2))))</f>
        <v>3</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55330</v>
      </c>
      <c r="F60" s="166">
        <f>IF(C60&lt;&gt;"",_xll.RssMarket(C60,"始値"),"")</f>
        <v>56550</v>
      </c>
      <c r="G60" s="165">
        <f>IF(C60&lt;&gt;"",終値!F198,"")</f>
        <v>58550</v>
      </c>
      <c r="H60" s="166">
        <f>IF(C60&lt;&gt;"",_xll.RssMarket(C60,"高値"),"")</f>
        <v>56800</v>
      </c>
      <c r="I60" s="166">
        <f>IF(C60&lt;&gt;"",_xll.RssMarket(C60,"安値"),"")</f>
        <v>54800</v>
      </c>
      <c r="J60" s="166">
        <f>IF(C60&lt;&gt;"",_xll.RssMarket(C60,"出来高"),"")</f>
        <v>3602900</v>
      </c>
      <c r="K60" s="166">
        <f>IF(C60&lt;&gt;"",_xll.RssMarket(C60,"年初来高値"),"")</f>
        <v>81260</v>
      </c>
      <c r="L60" s="167">
        <f>IF(AND(E60&lt;&gt;"",K60&lt;&gt;"",K60&lt;&gt;0),(E60-K60)/K60*100,"")</f>
        <v>-31.909918779227169</v>
      </c>
      <c r="M60" s="166">
        <f>IF(C60&lt;&gt;"",IFERROR(AVERAGE(出来高!E198:I198),""),"")</f>
        <v>5880800</v>
      </c>
      <c r="N60" s="166">
        <f>IF(C60&lt;&gt;"",IFERROR(AVERAGE(出来高!E198:AC198),""),"")</f>
        <v>4666372</v>
      </c>
      <c r="O60" s="168">
        <f>IF(AND(J60&lt;&gt;"",M60&lt;&gt;"",M60&lt;&gt;0),J60/M60,"")</f>
        <v>0.61265474085158478</v>
      </c>
      <c r="P60" s="163" t="str">
        <f>IF(O60="","",IF(O60&gt;=2,"急増↑↑",IF(O60&gt;=1.5,"増加↑",IF(O60&gt;=1,"普通→","減少↓"))))</f>
        <v>減少↓</v>
      </c>
      <c r="Q60" s="163" t="str">
        <f>IF(E60="","",IF(AND(E60&gt;G60,O60&gt;=1.5),"買い▲",IF(E60&lt;G60,"様子見▼","中立→")))</f>
        <v>様子見▼</v>
      </c>
      <c r="R60" s="166">
        <f>IF(E60&lt;&gt;"",ROUND(E60*1.08,0),"")</f>
        <v>59756</v>
      </c>
      <c r="S60" s="166">
        <f>IF(E60&lt;&gt;"",ROUND(E60*0.96,0),"")</f>
        <v>53117</v>
      </c>
      <c r="T60" s="163">
        <f>IF(C60="","",IFERROR(IF(O60&gt;=2,3,IF(O60&gt;=1.5,2,IF(O60&gt;=1,1,0)))+IF(E60&gt;G60,1,0)+IF(L60&gt;=-5,1,0)+IF(Q60="買い▲",2,0)+IF(W60&lt;=30,3,IF(W60&lt;=40,2,IF(AND(W60&gt;=40,W60&lt;=60),1,0)))+IF(X60&gt;0,1,0)+IF(V60="年初来高値更新●",3,IF(V60="高値圏",2,0))+IF(AD60="パーフェクト▲",3,IF(AD60="上昇トレンド▲",2,0))+IF(AE60="25日線押し目●",2,IF(AE60="5日線押し目○",1,0))+IF(P60="急増↑↑",2,IF(P60="増加↑",1,0))+N(AI60),0))</f>
        <v>4</v>
      </c>
      <c r="U60" s="163" t="str">
        <f>IF(T60="","",IF(AND(T60&gt;=3,O60&gt;=1.5),"有効",IF(T60&gt;=3,"要確認","除外")))</f>
        <v>要確認</v>
      </c>
      <c r="V60" s="163" t="str">
        <f>IF(AND(H60&lt;&gt;"",K60&lt;&gt;""),IF(H60&gt;=K60,"年初来高値更新●",IF(H60&gt;=K60*0.95,"高値圏","通常")),"")</f>
        <v>通常</v>
      </c>
      <c r="W60" s="169">
        <f t="array" ref="W60">IF(C60&lt;&gt;"",IFERROR(100-100/(1+SUMPRODUCT((終値!F198:R198&gt;終値!G198:S198)*( 終値!F198:R198-終値!G198:S198))/SUMPRODUCT((終値!F198:R198&lt;終値!G198:S198)*(終値!G198:S198-終値!F198:R198))),50),"")</f>
        <v>28.814474750202535</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様子見</v>
      </c>
      <c r="Z60" s="171">
        <f>IF(AND(E60&lt;&gt;"",G60&lt;&gt;"",G60&lt;&gt;0),(E60-G60)/G60*100,"")</f>
        <v>-5.499573014517507</v>
      </c>
      <c r="AA60" s="163" t="str">
        <f>IF(OR(C60="",E60="",E60=0),"",IF(E60&gt;G60,"上昇▲",IF(E60&lt;G60,"下落▼","横ばい→")))</f>
        <v>下落▼</v>
      </c>
      <c r="AB60" s="403">
        <f>IF(C60="","",IFERROR(((終値!E62*0.333)+(終値!F62*0.222)+(終値!G62*0.148)+(終値!H62*0.099)+(終値!I62*0.066)+(終値!J62*0.044)+(終値!K62*0.029)+(終値!L62*0.019)+(終値!M62*0.013)+(終値!N62*0.009))/(0.333+0.222+0.148+0.099+0.066+0.044+0.029+0.019+0.013+0.009),""))</f>
        <v>3249.2006109979625</v>
      </c>
      <c r="AC60" s="403">
        <f>IF(C60="","",IFERROR(SUMPRODUCT((終値!E62:AC62),({0.077,0.071,0.065,0.06,0.055,0.051,0.047,0.043,0.039,0.036,0.033,0.031,0.028,0.026,0.024,0.022,0.02,0.018,0.017,0.016,0.014,0.013,0.012,0.011,0.01}))/SUM({0.077,0.071,0.065,0.06,0.055,0.051,0.047,0.043,0.039,0.036,0.033,0.031,0.028,0.026,0.024,0.022,0.02,0.018,0.017,0.016,0.014,0.013,0.012,0.011,0.01}),""))</f>
        <v>3102.7294398092963</v>
      </c>
      <c r="AD60" s="404" t="str">
        <f>IF(OR(C60="",AB60="",AC60=""),"",IF(AND(E60&gt;AB60,AB60&gt;AC60),"パーフェクト▲",IF(E60&gt;AC60,"上昇トレンド▲",IF(AND(E60&lt;AB60,AB60&lt;AC60),"下降トレンド▼","もみ合い→"))))</f>
        <v>パーフェクト▲</v>
      </c>
      <c r="AE60" s="404" t="str">
        <f>IF(OR(C60="",AB60="",AC60=""),"",IF(AND(ABS(E60-AC60)/AC60&lt;=0.02,E60&gt;AC60),"25日押し目★",IF(AND(ABS(E60-AB60)/AB60&lt;=0.01,E60&gt;AB60),"5日押し目○","なし")))</f>
        <v>なし</v>
      </c>
      <c r="AF60" s="365">
        <f t="array" ref="AF60">IF(C60="","",IFERROR((INDEX(終値!$E:$E,MATCH(TEXT(C60,"0"),終値!$A:$A,0))-INDEX(終値!$E:$CZ,MATCH(TEXT(C60,"0"),終値!$A:$A,0),$AL$2))/INDEX(終値!$E:$CZ,MATCH(TEXT(C60,"0"),終値!$A:$A,0),$AL$2)*100,""))</f>
        <v>-29.784263959390859</v>
      </c>
      <c r="AG60" s="365">
        <f t="array" ref="AG60">IFERROR((終値!$E$5-INDEX(終値!$E$5:$IT$5,1,$AL$2))/INDEX(終値!$E$5:$IT$5,1,$AL$2)*100,"")</f>
        <v>1.0179378228534113</v>
      </c>
      <c r="AH60" s="366">
        <f>IF(OR(AF60="",AG60=""),"",AF60-AG60)</f>
        <v>-30.802201782244271</v>
      </c>
      <c r="AI60" s="364">
        <f>IF(AH60="","",IF(AH60&gt;5,3,IF(AH60&gt;0,1,IF(AH60&gt;-3,-1,-2))))</f>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7460</v>
      </c>
      <c r="F61" s="166">
        <f>IF(C61&lt;&gt;"",_xll.RssMarket(C61,"始値"),"")</f>
        <v>7066</v>
      </c>
      <c r="G61" s="165">
        <f>IF(C61&lt;&gt;"",終値!F204,"")</f>
        <v>7243</v>
      </c>
      <c r="H61" s="166">
        <f>IF(C61&lt;&gt;"",_xll.RssMarket(C61,"高値"),"")</f>
        <v>7460</v>
      </c>
      <c r="I61" s="166">
        <f>IF(C61&lt;&gt;"",_xll.RssMarket(C61,"安値"),"")</f>
        <v>7055</v>
      </c>
      <c r="J61" s="166">
        <f>IF(C61&lt;&gt;"",_xll.RssMarket(C61,"出来高"),"")</f>
        <v>3211000</v>
      </c>
      <c r="K61" s="166">
        <f>IF(C61&lt;&gt;"",_xll.RssMarket(C61,"年初来高値"),"")</f>
        <v>7559</v>
      </c>
      <c r="L61" s="167">
        <f>IF(AND(E61&lt;&gt;"",K61&lt;&gt;"",K61&lt;&gt;0),(E61-K61)/K61*100,"")</f>
        <v>-1.3096970498743219</v>
      </c>
      <c r="M61" s="166">
        <f>IF(C61&lt;&gt;"",IFERROR(AVERAGE(出来高!E204:I204),""),"")</f>
        <v>3735360</v>
      </c>
      <c r="N61" s="166">
        <f>IF(C61&lt;&gt;"",IFERROR(AVERAGE(出来高!E204:AC204),""),"")</f>
        <v>2956032</v>
      </c>
      <c r="O61" s="168">
        <f>IF(AND(J61&lt;&gt;"",M61&lt;&gt;"",M61&lt;&gt;0),J61/M61,"")</f>
        <v>0.85962263342756784</v>
      </c>
      <c r="P61" s="163" t="str">
        <f>IF(O61="","",IF(O61&gt;=2,"急増↑↑",IF(O61&gt;=1.5,"増加↑",IF(O61&gt;=1,"普通→","減少↓"))))</f>
        <v>減少↓</v>
      </c>
      <c r="Q61" s="163" t="str">
        <f>IF(E61="","",IF(AND(E61&gt;G61,O61&gt;=1.5),"買い▲",IF(E61&lt;G61,"様子見▼","中立→")))</f>
        <v>中立→</v>
      </c>
      <c r="R61" s="166">
        <f>IF(E61&lt;&gt;"",ROUND(E61*1.08,0),"")</f>
        <v>8057</v>
      </c>
      <c r="S61" s="166">
        <f>IF(E61&lt;&gt;"",ROUND(E61*0.96,0),"")</f>
        <v>7162</v>
      </c>
      <c r="T61" s="163">
        <f>IF(C61="","",IFERROR(IF(O61&gt;=2,3,IF(O61&gt;=1.5,2,IF(O61&gt;=1,1,0)))+IF(E61&gt;G61,1,0)+IF(L61&gt;=-5,1,0)+IF(Q61="買い▲",2,0)+IF(W61&lt;=30,3,IF(W61&lt;=40,2,IF(AND(W61&gt;=40,W61&lt;=60),1,0)))+IF(X61&gt;0,1,0)+IF(V61="年初来高値更新●",3,IF(V61="高値圏",2,0))+IF(AD61="パーフェクト▲",3,IF(AD61="上昇トレンド▲",2,0))+IF(AE61="25日線押し目●",2,IF(AE61="5日線押し目○",1,0))+IF(P61="急増↑↑",2,IF(P61="増加↑",1,0))+N(AI61),0))</f>
        <v>11</v>
      </c>
      <c r="U61" s="163" t="str">
        <f>IF(T61="","",IF(AND(T61&gt;=3,O61&gt;=1.5),"有効",IF(T61&gt;=3,"要確認","除外")))</f>
        <v>要確認</v>
      </c>
      <c r="V61" s="163" t="str">
        <f>IF(AND(H61&lt;&gt;"",K61&lt;&gt;""),IF(H61&gt;=K61,"年初来高値更新●",IF(H61&gt;=K61*0.95,"高値圏","通常")),"")</f>
        <v>高値圏</v>
      </c>
      <c r="W61" s="169">
        <f t="array" ref="W61">IF(C61&lt;&gt;"",IFERROR(100-100/(1+SUMPRODUCT((終値!F204:R204&gt;終値!G204:S204)*( 終値!F204:R204-終値!G204:S204))/SUMPRODUCT((終値!F204:R204&lt;終値!G204:S204)*(終値!G204:S204-終値!F204:R204))),50),"")</f>
        <v>74.951076320939336</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○買い候補</v>
      </c>
      <c r="Z61" s="171">
        <f>IF(AND(E61&lt;&gt;"",G61&lt;&gt;"",G61&lt;&gt;0),(E61-G61)/G61*100,"")</f>
        <v>2.9959961341985366</v>
      </c>
      <c r="AA61" s="163" t="str">
        <f>IF(OR(C61="",E61="",E61=0),"",IF(E61&gt;G61,"上昇▲",IF(E61&lt;G61,"下落▼","横ばい→")))</f>
        <v>上昇▲</v>
      </c>
      <c r="AB61" s="405">
        <f>IF(C61="","",IFERROR(((終値!E63*0.333)+(終値!F63*0.222)+(終値!G63*0.148)+(終値!H63*0.099)+(終値!I63*0.066)+(終値!J63*0.044)+(終値!K63*0.029)+(終値!L63*0.019)+(終値!M63*0.013)+(終値!N63*0.009))/(0.333+0.222+0.148+0.099+0.066+0.044+0.029+0.019+0.013+0.009),""))</f>
        <v>1074.5957230142562</v>
      </c>
      <c r="AC61" s="405">
        <f>IF(C61="","",IFERROR(SUMPRODUCT((終値!E63:AC63),({0.077,0.071,0.065,0.06,0.055,0.051,0.047,0.043,0.039,0.036,0.033,0.031,0.028,0.026,0.024,0.022,0.02,0.018,0.017,0.016,0.014,0.013,0.012,0.011,0.01}))/SUM({0.077,0.071,0.065,0.06,0.055,0.051,0.047,0.043,0.039,0.036,0.033,0.031,0.028,0.026,0.024,0.022,0.02,0.018,0.017,0.016,0.014,0.013,0.012,0.011,0.01}),""))</f>
        <v>1049.4290822407622</v>
      </c>
      <c r="AD61" s="406" t="str">
        <f>IF(OR(C61="",AB61="",AC61=""),"",IF(AND(E61&gt;AB61,AB61&gt;AC61),"パーフェクト▲",IF(E61&gt;AC61,"上昇トレンド▲",IF(AND(E61&lt;AB61,AB61&lt;AC61),"下降トレンド▼","もみ合い→"))))</f>
        <v>パーフェクト▲</v>
      </c>
      <c r="AE61" s="406" t="str">
        <f>IF(OR(C61="",AB61="",AC61=""),"",IF(AND(ABS(E61-AC61)/AC61&lt;=0.02,E61&gt;AC61),"25日押し目★",IF(AND(ABS(E61-AB61)/AB61&lt;=0.01,E61&gt;AB61),"5日押し目○","なし")))</f>
        <v>なし</v>
      </c>
      <c r="AF61" s="365">
        <f t="array" ref="AF61">IF(C61="","",IFERROR((INDEX(終値!$E:$E,MATCH(TEXT(C61,"0"),終値!$A:$A,0))-INDEX(終値!$E:$CZ,MATCH(TEXT(C61,"0"),終値!$A:$A,0),$AL$2))/INDEX(終値!$E:$CZ,MATCH(TEXT(C61,"0"),終値!$A:$A,0),$AL$2)*100,""))</f>
        <v>24.023275145469658</v>
      </c>
      <c r="AG61" s="365">
        <f t="array" ref="AG61">IFERROR((終値!$E$5-INDEX(終値!$E$5:$IT$5,1,$AL$2))/INDEX(終値!$E$5:$IT$5,1,$AL$2)*100,"")</f>
        <v>1.0179378228534113</v>
      </c>
      <c r="AH61" s="366">
        <f>IF(OR(AF61="",AG61=""),"",AF61-AG61)</f>
        <v>23.005337322616246</v>
      </c>
      <c r="AI61" s="364">
        <f>IF(AH61="","",IF(AH61&gt;5,3,IF(AH61&gt;0,1,IF(AH61&gt;-3,-1,-2))))</f>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4936</v>
      </c>
      <c r="F62" s="166">
        <f>IF(C62&lt;&gt;"",_xll.RssMarket(C62,"始値"),"")</f>
        <v>4800</v>
      </c>
      <c r="G62" s="165">
        <f>IF(C62&lt;&gt;"",終値!F14,"")</f>
        <v>4862</v>
      </c>
      <c r="H62" s="166">
        <f>IF(C62&lt;&gt;"",_xll.RssMarket(C62,"高値"),"")</f>
        <v>4960</v>
      </c>
      <c r="I62" s="166">
        <f>IF(C62&lt;&gt;"",_xll.RssMarket(C62,"安値"),"")</f>
        <v>4800</v>
      </c>
      <c r="J62" s="166">
        <f>IF(C62&lt;&gt;"",_xll.RssMarket(C62,"出来高"),"")</f>
        <v>5635700</v>
      </c>
      <c r="K62" s="166">
        <f>IF(C62&lt;&gt;"",_xll.RssMarket(C62,"年初来高値"),"")</f>
        <v>6328</v>
      </c>
      <c r="L62" s="167">
        <f>IF(AND(E62&lt;&gt;"",K62&lt;&gt;"",K62&lt;&gt;0),(E62-K62)/K62*100,"")</f>
        <v>-21.997471554993677</v>
      </c>
      <c r="M62" s="166">
        <f>IF(C62&lt;&gt;"",IFERROR(AVERAGE(出来高!E14:I14),""),"")</f>
        <v>8010600</v>
      </c>
      <c r="N62" s="166">
        <f>IF(C62&lt;&gt;"",IFERROR(AVERAGE(出来高!E14:AC14),""),"")</f>
        <v>5130076</v>
      </c>
      <c r="O62" s="168">
        <f>IF(AND(J62&lt;&gt;"",M62&lt;&gt;"",M62&lt;&gt;0),J62/M62,"")</f>
        <v>0.70353032232292212</v>
      </c>
      <c r="P62" s="163" t="str">
        <f>IF(O62="","",IF(O62&gt;=2,"急増↑↑",IF(O62&gt;=1.5,"増加↑",IF(O62&gt;=1,"普通→","減少↓"))))</f>
        <v>減少↓</v>
      </c>
      <c r="Q62" s="163" t="str">
        <f>IF(E62="","",IF(AND(E62&gt;G62,O62&gt;=1.5),"買い▲",IF(E62&lt;G62,"様子見▼","中立→")))</f>
        <v>中立→</v>
      </c>
      <c r="R62" s="166">
        <f>IF(E62&lt;&gt;"",ROUND(E62*1.08,0),"")</f>
        <v>5331</v>
      </c>
      <c r="S62" s="166">
        <f>IF(E62&lt;&gt;"",ROUND(E62*0.96,0),"")</f>
        <v>4739</v>
      </c>
      <c r="T62" s="163">
        <f>IF(C62="","",IFERROR(IF(O62&gt;=2,3,IF(O62&gt;=1.5,2,IF(O62&gt;=1,1,0)))+IF(E62&gt;G62,1,0)+IF(L62&gt;=-5,1,0)+IF(Q62="買い▲",2,0)+IF(W62&lt;=30,3,IF(W62&lt;=40,2,IF(AND(W62&gt;=40,W62&lt;=60),1,0)))+IF(X62&gt;0,1,0)+IF(V62="年初来高値更新●",3,IF(V62="高値圏",2,0))+IF(AD62="パーフェクト▲",3,IF(AD62="上昇トレンド▲",2,0))+IF(AE62="25日線押し目●",2,IF(AE62="5日線押し目○",1,0))+IF(P62="急増↑↑",2,IF(P62="増加↑",1,0))+N(AI62),0))</f>
        <v>7</v>
      </c>
      <c r="U62" s="163" t="str">
        <f>IF(T62="","",IF(AND(T62&gt;=3,O62&gt;=1.5),"有効",IF(T62&gt;=3,"要確認","除外")))</f>
        <v>要確認</v>
      </c>
      <c r="V62" s="163" t="str">
        <f>IF(AND(H62&lt;&gt;"",K62&lt;&gt;""),IF(H62&gt;=K62,"年初来高値更新●",IF(H62&gt;=K62*0.95,"高値圏","通常")),"")</f>
        <v>通常</v>
      </c>
      <c r="W62" s="169">
        <f t="array" ref="W62">IF(C62&lt;&gt;"",IFERROR(100-100/(1+SUMPRODUCT((終値!F14:R14&gt;終値!G14:S14)*( 終値!F14:R14-終値!G14:S14))/SUMPRODUCT((終値!F14:R14&lt;終値!G14:S14)*(終値!G14:S14-終値!F14:R14))),50),"")</f>
        <v>39.752066115702483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△注目</v>
      </c>
      <c r="Z62" s="171">
        <f>IF(AND(E62&lt;&gt;"",G62&lt;&gt;"",G62&lt;&gt;0),(E62-G62)/G62*100,"")</f>
        <v>1.5220074043603455</v>
      </c>
      <c r="AA62" s="163" t="str">
        <f>IF(OR(C62="",E62="",E62=0),"",IF(E62&gt;G62,"上昇▲",IF(E62&lt;G62,"下落▼","横ばい→")))</f>
        <v>上昇▲</v>
      </c>
      <c r="AB62" s="403">
        <f>IF(C62="","",IFERROR(((終値!E64*0.333)+(終値!F64*0.222)+(終値!G64*0.148)+(終値!H64*0.099)+(終値!I64*0.066)+(終値!J64*0.044)+(終値!K64*0.029)+(終値!L64*0.019)+(終値!M64*0.013)+(終値!N64*0.009))/(0.333+0.222+0.148+0.099+0.066+0.044+0.029+0.019+0.013+0.009),""))</f>
        <v>3780.8543788187371</v>
      </c>
      <c r="AC62" s="403">
        <f>IF(C62="","",IFERROR(SUMPRODUCT((終値!E64:AC64),({0.077,0.071,0.065,0.06,0.055,0.051,0.047,0.043,0.039,0.036,0.033,0.031,0.028,0.026,0.024,0.022,0.02,0.018,0.017,0.016,0.014,0.013,0.012,0.011,0.01}))/SUM({0.077,0.071,0.065,0.06,0.055,0.051,0.047,0.043,0.039,0.036,0.033,0.031,0.028,0.026,0.024,0.022,0.02,0.018,0.017,0.016,0.014,0.013,0.012,0.011,0.01}),""))</f>
        <v>3830.9129916567326</v>
      </c>
      <c r="AD62" s="404" t="str">
        <f>IF(OR(C62="",AB62="",AC62=""),"",IF(AND(E62&gt;AB62,AB62&gt;AC62),"パーフェクト▲",IF(E62&gt;AC62,"上昇トレンド▲",IF(AND(E62&lt;AB62,AB62&lt;AC62),"下降トレンド▼","もみ合い→"))))</f>
        <v>上昇トレンド▲</v>
      </c>
      <c r="AE62" s="404" t="str">
        <f>IF(OR(C62="",AB62="",AC62=""),"",IF(AND(ABS(E62-AC62)/AC62&lt;=0.02,E62&gt;AC62),"25日押し目★",IF(AND(ABS(E62-AB62)/AB62&lt;=0.01,E62&gt;AB62),"5日押し目○","なし")))</f>
        <v>なし</v>
      </c>
      <c r="AF62" s="365">
        <f t="array" ref="AF62">IF(C62="","",IFERROR((INDEX(終値!$E:$E,MATCH(TEXT(C62,"0"),終値!$A:$A,0))-INDEX(終値!$E:$CZ,MATCH(TEXT(C62,"0"),終値!$A:$A,0),$AL$2))/INDEX(終値!$E:$CZ,MATCH(TEXT(C62,"0"),終値!$A:$A,0),$AL$2)*100,""))</f>
        <v>5.7412167952013711</v>
      </c>
      <c r="AG62" s="365">
        <f t="array" ref="AG62">IFERROR((終値!$E$5-INDEX(終値!$E$5:$IT$5,1,$AL$2))/INDEX(終値!$E$5:$IT$5,1,$AL$2)*100,"")</f>
        <v>1.0179378228534113</v>
      </c>
      <c r="AH62" s="366">
        <f>IF(OR(AF62="",AG62=""),"",AF62-AG62)</f>
        <v>4.72327897234796</v>
      </c>
      <c r="AI62" s="364">
        <f>IF(AH62="","",IF(AH62&gt;5,3,IF(AH62&gt;0,1,IF(AH62&gt;-3,-1,-2))))</f>
        <v>1</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3055</v>
      </c>
      <c r="F63" s="166">
        <f>IF(C63&lt;&gt;"",_xll.RssMarket(C63,"始値"),"")</f>
        <v>2999</v>
      </c>
      <c r="G63" s="165">
        <f>IF(C63&lt;&gt;"",終値!F171,"")</f>
        <v>3005</v>
      </c>
      <c r="H63" s="166">
        <f>IF(C63&lt;&gt;"",_xll.RssMarket(C63,"高値"),"")</f>
        <v>3060</v>
      </c>
      <c r="I63" s="166">
        <f>IF(C63&lt;&gt;"",_xll.RssMarket(C63,"安値"),"")</f>
        <v>2999</v>
      </c>
      <c r="J63" s="166">
        <f>IF(C63&lt;&gt;"",_xll.RssMarket(C63,"出来高"),"")</f>
        <v>101500</v>
      </c>
      <c r="K63" s="166">
        <f>IF(C63&lt;&gt;"",_xll.RssMarket(C63,"年初来高値"),"")</f>
        <v>3330</v>
      </c>
      <c r="L63" s="167">
        <f>IF(AND(E63&lt;&gt;"",K63&lt;&gt;"",K63&lt;&gt;0),(E63-K63)/K63*100,"")</f>
        <v>-8.2582582582582589</v>
      </c>
      <c r="M63" s="166">
        <f>IF(C63&lt;&gt;"",IFERROR(AVERAGE(出来高!E171:I171),""),"")</f>
        <v>241140</v>
      </c>
      <c r="N63" s="166">
        <f>IF(C63&lt;&gt;"",IFERROR(AVERAGE(出来高!E171:AC171),""),"")</f>
        <v>144192</v>
      </c>
      <c r="O63" s="168">
        <f>IF(AND(J63&lt;&gt;"",M63&lt;&gt;"",M63&lt;&gt;0),J63/M63,"")</f>
        <v>0.4209173094467944</v>
      </c>
      <c r="P63" s="163" t="str">
        <f>IF(O63="","",IF(O63&gt;=2,"急増↑↑",IF(O63&gt;=1.5,"増加↑",IF(O63&gt;=1,"普通→","減少↓"))))</f>
        <v>減少↓</v>
      </c>
      <c r="Q63" s="163" t="str">
        <f>IF(E63="","",IF(AND(E63&gt;G63,O63&gt;=1.5),"買い▲",IF(E63&lt;G63,"様子見▼","中立→")))</f>
        <v>中立→</v>
      </c>
      <c r="R63" s="166">
        <f>IF(E63&lt;&gt;"",ROUND(E63*1.08,0),"")</f>
        <v>3299</v>
      </c>
      <c r="S63" s="166">
        <f>IF(E63&lt;&gt;"",ROUND(E63*0.96,0),"")</f>
        <v>2933</v>
      </c>
      <c r="T63" s="163">
        <f>IF(C63="","",IFERROR(IF(O63&gt;=2,3,IF(O63&gt;=1.5,2,IF(O63&gt;=1,1,0)))+IF(E63&gt;G63,1,0)+IF(L63&gt;=-5,1,0)+IF(Q63="買い▲",2,0)+IF(W63&lt;=30,3,IF(W63&lt;=40,2,IF(AND(W63&gt;=40,W63&lt;=60),1,0)))+IF(X63&gt;0,1,0)+IF(V63="年初来高値更新●",3,IF(V63="高値圏",2,0))+IF(AD63="パーフェクト▲",3,IF(AD63="上昇トレンド▲",2,0))+IF(AE63="25日線押し目●",2,IF(AE63="5日線押し目○",1,0))+IF(P63="急増↑↑",2,IF(P63="増加↑",1,0))+N(AI63),0))</f>
        <v>1</v>
      </c>
      <c r="U63" s="163" t="str">
        <f>IF(T63="","",IF(AND(T63&gt;=3,O63&gt;=1.5),"有効",IF(T63&gt;=3,"要確認","除外")))</f>
        <v>除外</v>
      </c>
      <c r="V63" s="163" t="str">
        <f>IF(AND(H63&lt;&gt;"",K63&lt;&gt;""),IF(H63&gt;=K63,"年初来高値更新●",IF(H63&gt;=K63*0.95,"高値圏","通常")),"")</f>
        <v>通常</v>
      </c>
      <c r="W63" s="169">
        <f t="array" ref="W63">IF(C63&lt;&gt;"",IFERROR(100-100/(1+SUMPRODUCT((終値!F171:R171&gt;終値!G171:S171)*( 終値!F171:R171-終値!G171:S171))/SUMPRODUCT((終値!F171:R171&lt;終値!G171:S171)*(終値!G171:S171-終値!F171:R171))),50),"")</f>
        <v>40.476190476190482</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見送り</v>
      </c>
      <c r="Z63" s="171">
        <f>IF(AND(E63&lt;&gt;"",G63&lt;&gt;"",G63&lt;&gt;0),(E63-G63)/G63*100,"")</f>
        <v>1.6638935108153077</v>
      </c>
      <c r="AA63" s="163" t="str">
        <f>IF(OR(C63="",E63="",E63=0),"",IF(E63&gt;G63,"上昇▲",IF(E63&lt;G63,"下落▼","横ばい→")))</f>
        <v>上昇▲</v>
      </c>
      <c r="AB63" s="405">
        <f>IF(C63="","",IFERROR(((終値!E65*0.333)+(終値!F65*0.222)+(終値!G65*0.148)+(終値!H65*0.099)+(終値!I65*0.066)+(終値!J65*0.044)+(終値!K65*0.029)+(終値!L65*0.019)+(終値!M65*0.013)+(終値!N65*0.009))/(0.333+0.222+0.148+0.099+0.066+0.044+0.029+0.019+0.013+0.009),""))</f>
        <v>5529.9256619144589</v>
      </c>
      <c r="AC63" s="405">
        <f>IF(C63="","",IFERROR(SUMPRODUCT((終値!E65:AC65),({0.077,0.071,0.065,0.06,0.055,0.051,0.047,0.043,0.039,0.036,0.033,0.031,0.028,0.026,0.024,0.022,0.02,0.018,0.017,0.016,0.014,0.013,0.012,0.011,0.01}))/SUM({0.077,0.071,0.065,0.06,0.055,0.051,0.047,0.043,0.039,0.036,0.033,0.031,0.028,0.026,0.024,0.022,0.02,0.018,0.017,0.016,0.014,0.013,0.012,0.011,0.01}),""))</f>
        <v>5556.4886769964223</v>
      </c>
      <c r="AD63" s="406" t="str">
        <f>IF(OR(C63="",AB63="",AC63=""),"",IF(AND(E63&gt;AB63,AB63&gt;AC63),"パーフェクト▲",IF(E63&gt;AC63,"上昇トレンド▲",IF(AND(E63&lt;AB63,AB63&lt;AC63),"下降トレンド▼","もみ合い→"))))</f>
        <v>下降トレンド▼</v>
      </c>
      <c r="AE63" s="406" t="str">
        <f>IF(OR(C63="",AB63="",AC63=""),"",IF(AND(ABS(E63-AC63)/AC63&lt;=0.02,E63&gt;AC63),"25日押し目★",IF(AND(ABS(E63-AB63)/AB63&lt;=0.01,E63&gt;AB63),"5日押し目○","なし")))</f>
        <v>なし</v>
      </c>
      <c r="AF63" s="365">
        <f t="array" ref="AF63">IF(C63="","",IFERROR((INDEX(終値!$E:$E,MATCH(TEXT(C63,"0"),終値!$A:$A,0))-INDEX(終値!$E:$CZ,MATCH(TEXT(C63,"0"),終値!$A:$A,0),$AL$2))/INDEX(終値!$E:$CZ,MATCH(TEXT(C63,"0"),終値!$A:$A,0),$AL$2)*100,""))</f>
        <v>0.16393442622950818</v>
      </c>
      <c r="AG63" s="365">
        <f t="array" ref="AG63">IFERROR((終値!$E$5-INDEX(終値!$E$5:$IT$5,1,$AL$2))/INDEX(終値!$E$5:$IT$5,1,$AL$2)*100,"")</f>
        <v>1.0179378228534113</v>
      </c>
      <c r="AH63" s="366">
        <f>IF(OR(AF63="",AG63=""),"",AF63-AG63)</f>
        <v>-0.85400339662390312</v>
      </c>
      <c r="AI63" s="364">
        <f>IF(AH63="","",IF(AH63&gt;5,3,IF(AH63&gt;0,1,IF(AH63&gt;-3,-1,-2))))</f>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1813.5</v>
      </c>
      <c r="F64" s="166">
        <f>IF(C64&lt;&gt;"",_xll.RssMarket(C64,"始値"),"")</f>
        <v>1768</v>
      </c>
      <c r="G64" s="165">
        <f>IF(C64&lt;&gt;"",終値!F75,"")</f>
        <v>1775.5</v>
      </c>
      <c r="H64" s="166">
        <f>IF(C64&lt;&gt;"",_xll.RssMarket(C64,"高値"),"")</f>
        <v>1814.5</v>
      </c>
      <c r="I64" s="166">
        <f>IF(C64&lt;&gt;"",_xll.RssMarket(C64,"安値"),"")</f>
        <v>1768</v>
      </c>
      <c r="J64" s="166">
        <f>IF(C64&lt;&gt;"",_xll.RssMarket(C64,"出来高"),"")</f>
        <v>248900</v>
      </c>
      <c r="K64" s="166">
        <f>IF(C64&lt;&gt;"",_xll.RssMarket(C64,"年初来高値"),"")</f>
        <v>1862.5</v>
      </c>
      <c r="L64" s="167">
        <f>IF(AND(E64&lt;&gt;"",K64&lt;&gt;"",K64&lt;&gt;0),(E64-K64)/K64*100,"")</f>
        <v>-2.6308724832214763</v>
      </c>
      <c r="M64" s="166">
        <f>IF(C64&lt;&gt;"",IFERROR(AVERAGE(出来高!E75:I75),""),"")</f>
        <v>221900</v>
      </c>
      <c r="N64" s="166">
        <f>IF(C64&lt;&gt;"",IFERROR(AVERAGE(出来高!E75:AC75),""),"")</f>
        <v>202564</v>
      </c>
      <c r="O64" s="168">
        <f>IF(AND(J64&lt;&gt;"",M64&lt;&gt;"",M64&lt;&gt;0),J64/M64,"")</f>
        <v>1.1216764308246958</v>
      </c>
      <c r="P64" s="163" t="str">
        <f>IF(O64="","",IF(O64&gt;=2,"急増↑↑",IF(O64&gt;=1.5,"増加↑",IF(O64&gt;=1,"普通→","減少↓"))))</f>
        <v>普通→</v>
      </c>
      <c r="Q64" s="163" t="str">
        <f>IF(E64="","",IF(AND(E64&gt;G64,O64&gt;=1.5),"買い▲",IF(E64&lt;G64,"様子見▼","中立→")))</f>
        <v>中立→</v>
      </c>
      <c r="R64" s="166">
        <f>IF(E64&lt;&gt;"",ROUND(E64*1.08,0),"")</f>
        <v>1959</v>
      </c>
      <c r="S64" s="166">
        <f>IF(E64&lt;&gt;"",ROUND(E64*0.96,0),"")</f>
        <v>1741</v>
      </c>
      <c r="T64" s="163">
        <f>IF(C64="","",IFERROR(IF(O64&gt;=2,3,IF(O64&gt;=1.5,2,IF(O64&gt;=1,1,0)))+IF(E64&gt;G64,1,0)+IF(L64&gt;=-5,1,0)+IF(Q64="買い▲",2,0)+IF(W64&lt;=30,3,IF(W64&lt;=40,2,IF(AND(W64&gt;=40,W64&lt;=60),1,0)))+IF(X64&gt;0,1,0)+IF(V64="年初来高値更新●",3,IF(V64="高値圏",2,0))+IF(AD64="パーフェクト▲",3,IF(AD64="上昇トレンド▲",2,0))+IF(AE64="25日線押し目●",2,IF(AE64="5日線押し目○",1,0))+IF(P64="急増↑↑",2,IF(P64="増加↑",1,0))+N(AI64),0))</f>
        <v>10</v>
      </c>
      <c r="U64" s="163" t="str">
        <f>IF(T64="","",IF(AND(T64&gt;=3,O64&gt;=1.5),"有効",IF(T64&gt;=3,"要確認","除外")))</f>
        <v>要確認</v>
      </c>
      <c r="V64" s="163" t="str">
        <f>IF(AND(H64&lt;&gt;"",K64&lt;&gt;""),IF(H64&gt;=K64,"年初来高値更新●",IF(H64&gt;=K64*0.95,"高値圏","通常")),"")</f>
        <v>高値圏</v>
      </c>
      <c r="W64" s="169">
        <f t="array" ref="W64">IF(C64&lt;&gt;"",IFERROR(100-100/(1+SUMPRODUCT((終値!F75:R75&gt;終値!G75:S75)*( 終値!F75:R75-終値!G75:S75))/SUMPRODUCT((終値!F75:R75&lt;終値!G75:S75)*(終値!G75:S75-終値!F75:R75))),50),"")</f>
        <v>47.010309278350512</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○買い候補</v>
      </c>
      <c r="Z64" s="171">
        <f>IF(AND(E64&lt;&gt;"",G64&lt;&gt;"",G64&lt;&gt;0),(E64-G64)/G64*100,"")</f>
        <v>2.1402421852999156</v>
      </c>
      <c r="AA64" s="163" t="str">
        <f>IF(OR(C64="",E64="",E64=0),"",IF(E64&gt;G64,"上昇▲",IF(E64&lt;G64,"下落▼","横ばい→")))</f>
        <v>上昇▲</v>
      </c>
      <c r="AB64" s="403">
        <f>IF(C64="","",IFERROR(((終値!E66*0.333)+(終値!F66*0.222)+(終値!G66*0.148)+(終値!H66*0.099)+(終値!I66*0.066)+(終値!J66*0.044)+(終値!K66*0.029)+(終値!L66*0.019)+(終値!M66*0.013)+(終値!N66*0.009))/(0.333+0.222+0.148+0.099+0.066+0.044+0.029+0.019+0.013+0.009),""))</f>
        <v>6048.2545824847248</v>
      </c>
      <c r="AC64" s="403">
        <f>IF(C64="","",IFERROR(SUMPRODUCT((終値!E66:AC66),({0.077,0.071,0.065,0.06,0.055,0.051,0.047,0.043,0.039,0.036,0.033,0.031,0.028,0.026,0.024,0.022,0.02,0.018,0.017,0.016,0.014,0.013,0.012,0.011,0.01}))/SUM({0.077,0.071,0.065,0.06,0.055,0.051,0.047,0.043,0.039,0.036,0.033,0.031,0.028,0.026,0.024,0.022,0.02,0.018,0.017,0.016,0.014,0.013,0.012,0.011,0.01}),""))</f>
        <v>6424.5780691299169</v>
      </c>
      <c r="AD64" s="404" t="str">
        <f>IF(OR(C64="",AB64="",AC64=""),"",IF(AND(E64&gt;AB64,AB64&gt;AC64),"パーフェクト▲",IF(E64&gt;AC64,"上昇トレンド▲",IF(AND(E64&lt;AB64,AB64&lt;AC64),"下降トレンド▼","もみ合い→"))))</f>
        <v>下降トレンド▼</v>
      </c>
      <c r="AE64" s="404" t="str">
        <f>IF(OR(C64="",AB64="",AC64=""),"",IF(AND(ABS(E64-AC64)/AC64&lt;=0.02,E64&gt;AC64),"25日押し目★",IF(AND(ABS(E64-AB64)/AB64&lt;=0.01,E64&gt;AB64),"5日押し目○","なし")))</f>
        <v>なし</v>
      </c>
      <c r="AF64" s="365">
        <f t="array" ref="AF64">IF(C64="","",IFERROR((INDEX(終値!$E:$E,MATCH(TEXT(C64,"0"),終値!$A:$A,0))-INDEX(終値!$E:$CZ,MATCH(TEXT(C64,"0"),終値!$A:$A,0),$AL$2))/INDEX(終値!$E:$CZ,MATCH(TEXT(C64,"0"),終値!$A:$A,0),$AL$2)*100,""))</f>
        <v>7.0859167404783001</v>
      </c>
      <c r="AG64" s="365">
        <f t="array" ref="AG64">IFERROR((終値!$E$5-INDEX(終値!$E$5:$IT$5,1,$AL$2))/INDEX(終値!$E$5:$IT$5,1,$AL$2)*100,"")</f>
        <v>1.0179378228534113</v>
      </c>
      <c r="AH64" s="366">
        <f>IF(OR(AF64="",AG64=""),"",AF64-AG64)</f>
        <v>6.0679789176248891</v>
      </c>
      <c r="AI64" s="364">
        <f>IF(AH64="","",IF(AH64&gt;5,3,IF(AH64&gt;0,1,IF(AH64&gt;-3,-1,-2))))</f>
        <v>3</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7710</v>
      </c>
      <c r="F65" s="166">
        <f>IF(C65&lt;&gt;"",_xll.RssMarket(C65,"始値"),"")</f>
        <v>7500</v>
      </c>
      <c r="G65" s="165">
        <f>IF(C65&lt;&gt;"",終値!F73,"")</f>
        <v>7510</v>
      </c>
      <c r="H65" s="166">
        <f>IF(C65&lt;&gt;"",_xll.RssMarket(C65,"高値"),"")</f>
        <v>7970</v>
      </c>
      <c r="I65" s="166">
        <f>IF(C65&lt;&gt;"",_xll.RssMarket(C65,"安値"),"")</f>
        <v>7450</v>
      </c>
      <c r="J65" s="166">
        <f>IF(C65&lt;&gt;"",_xll.RssMarket(C65,"出来高"),"")</f>
        <v>273500</v>
      </c>
      <c r="K65" s="166">
        <f>IF(C65&lt;&gt;"",_xll.RssMarket(C65,"年初来高値"),"")</f>
        <v>8380</v>
      </c>
      <c r="L65" s="167">
        <f>IF(AND(E65&lt;&gt;"",K65&lt;&gt;"",K65&lt;&gt;0),(E65-K65)/K65*100,"")</f>
        <v>-7.9952267303102618</v>
      </c>
      <c r="M65" s="166">
        <f>IF(C65&lt;&gt;"",IFERROR(AVERAGE(出来高!E73:I73),""),"")</f>
        <v>222980</v>
      </c>
      <c r="N65" s="166">
        <f>IF(C65&lt;&gt;"",IFERROR(AVERAGE(出来高!E73:AC73),""),"")</f>
        <v>135392</v>
      </c>
      <c r="O65" s="168">
        <f>IF(AND(J65&lt;&gt;"",M65&lt;&gt;"",M65&lt;&gt;0),J65/M65,"")</f>
        <v>1.2265674051484439</v>
      </c>
      <c r="P65" s="163" t="str">
        <f>IF(O65="","",IF(O65&gt;=2,"急増↑↑",IF(O65&gt;=1.5,"増加↑",IF(O65&gt;=1,"普通→","減少↓"))))</f>
        <v>普通→</v>
      </c>
      <c r="Q65" s="163" t="str">
        <f>IF(E65="","",IF(AND(E65&gt;G65,O65&gt;=1.5),"買い▲",IF(E65&lt;G65,"様子見▼","中立→")))</f>
        <v>中立→</v>
      </c>
      <c r="R65" s="166">
        <f>IF(E65&lt;&gt;"",ROUND(E65*1.08,0),"")</f>
        <v>8327</v>
      </c>
      <c r="S65" s="166">
        <f>IF(E65&lt;&gt;"",ROUND(E65*0.96,0),"")</f>
        <v>7402</v>
      </c>
      <c r="T65" s="163">
        <f>IF(C65="","",IFERROR(IF(O65&gt;=2,3,IF(O65&gt;=1.5,2,IF(O65&gt;=1,1,0)))+IF(E65&gt;G65,1,0)+IF(L65&gt;=-5,1,0)+IF(Q65="買い▲",2,0)+IF(W65&lt;=30,3,IF(W65&lt;=40,2,IF(AND(W65&gt;=40,W65&lt;=60),1,0)))+IF(X65&gt;0,1,0)+IF(V65="年初来高値更新●",3,IF(V65="高値圏",2,0))+IF(AD65="パーフェクト▲",3,IF(AD65="上昇トレンド▲",2,0))+IF(AE65="25日線押し目●",2,IF(AE65="5日線押し目○",1,0))+IF(P65="急増↑↑",2,IF(P65="増加↑",1,0))+N(AI65),0))</f>
        <v>8</v>
      </c>
      <c r="U65" s="163" t="str">
        <f>IF(T65="","",IF(AND(T65&gt;=3,O65&gt;=1.5),"有効",IF(T65&gt;=3,"要確認","除外")))</f>
        <v>要確認</v>
      </c>
      <c r="V65" s="163" t="str">
        <f>IF(AND(H65&lt;&gt;"",K65&lt;&gt;""),IF(H65&gt;=K65,"年初来高値更新●",IF(H65&gt;=K65*0.95,"高値圏","通常")),"")</f>
        <v>高値圏</v>
      </c>
      <c r="W65" s="169">
        <f t="array" ref="W65">IF(C65&lt;&gt;"",IFERROR(100-100/(1+SUMPRODUCT((終値!F73:R73&gt;終値!G73:S73)*( 終値!F73:R73-終値!G73:S73))/SUMPRODUCT((終値!F73:R73&lt;終値!G73:S73)*(終値!G73:S73-終値!F73:R73))),50),"")</f>
        <v>46.619217081850536</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△注目</v>
      </c>
      <c r="Z65" s="171">
        <f>IF(AND(E65&lt;&gt;"",G65&lt;&gt;"",G65&lt;&gt;0),(E65-G65)/G65*100,"")</f>
        <v>2.6631158455392807</v>
      </c>
      <c r="AA65" s="163" t="str">
        <f>IF(OR(C65="",E65="",E65=0),"",IF(E65&gt;G65,"上昇▲",IF(E65&lt;G65,"下落▼","横ばい→")))</f>
        <v>上昇▲</v>
      </c>
      <c r="AB65" s="405">
        <f>IF(C65="","",IFERROR(((終値!E67*0.333)+(終値!F67*0.222)+(終値!G67*0.148)+(終値!H67*0.099)+(終値!I67*0.066)+(終値!J67*0.044)+(終値!K67*0.029)+(終値!L67*0.019)+(終値!M67*0.013)+(終値!N67*0.009))/(0.333+0.222+0.148+0.099+0.066+0.044+0.029+0.019+0.013+0.009),""))</f>
        <v>1862.9740325865575</v>
      </c>
      <c r="AC65" s="405">
        <f>IF(C65="","",IFERROR(SUMPRODUCT((終値!E67:AC67),({0.077,0.071,0.065,0.06,0.055,0.051,0.047,0.043,0.039,0.036,0.033,0.031,0.028,0.026,0.024,0.022,0.02,0.018,0.017,0.016,0.014,0.013,0.012,0.011,0.01}))/SUM({0.077,0.071,0.065,0.06,0.055,0.051,0.047,0.043,0.039,0.036,0.033,0.031,0.028,0.026,0.024,0.022,0.02,0.018,0.017,0.016,0.014,0.013,0.012,0.011,0.01}),""))</f>
        <v>1891.2920143027409</v>
      </c>
      <c r="AD65" s="406" t="str">
        <f>IF(OR(C65="",AB65="",AC65=""),"",IF(AND(E65&gt;AB65,AB65&gt;AC65),"パーフェクト▲",IF(E65&gt;AC65,"上昇トレンド▲",IF(AND(E65&lt;AB65,AB65&lt;AC65),"下降トレンド▼","もみ合い→"))))</f>
        <v>上昇トレンド▲</v>
      </c>
      <c r="AE65" s="406" t="str">
        <f>IF(OR(C65="",AB65="",AC65=""),"",IF(AND(ABS(E65-AC65)/AC65&lt;=0.02,E65&gt;AC65),"25日押し目★",IF(AND(ABS(E65-AB65)/AB65&lt;=0.01,E65&gt;AB65),"5日押し目○","なし")))</f>
        <v>なし</v>
      </c>
      <c r="AF65" s="365">
        <f t="array" ref="AF65">IF(C65="","",IFERROR((INDEX(終値!$E:$E,MATCH(TEXT(C65,"0"),終値!$A:$A,0))-INDEX(終値!$E:$CZ,MATCH(TEXT(C65,"0"),終値!$A:$A,0),$AL$2))/INDEX(終値!$E:$CZ,MATCH(TEXT(C65,"0"),終値!$A:$A,0),$AL$2)*100,""))</f>
        <v>2.5265957446808507</v>
      </c>
      <c r="AG65" s="365">
        <f t="array" ref="AG65">IFERROR((終値!$E$5-INDEX(終値!$E$5:$IT$5,1,$AL$2))/INDEX(終値!$E$5:$IT$5,1,$AL$2)*100,"")</f>
        <v>1.0179378228534113</v>
      </c>
      <c r="AH65" s="366">
        <f>IF(OR(AF65="",AG65=""),"",AF65-AG65)</f>
        <v>1.5086579218274394</v>
      </c>
      <c r="AI65" s="364">
        <f>IF(AH65="","",IF(AH65&gt;5,3,IF(AH65&gt;0,1,IF(AH65&gt;-3,-1,-2))))</f>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874</v>
      </c>
      <c r="F66" s="166">
        <f>IF(C66&lt;&gt;"",_xll.RssMarket(C66,"始値"),"")</f>
        <v>891</v>
      </c>
      <c r="G66" s="165">
        <f>IF(C66&lt;&gt;"",終値!F136,"")</f>
        <v>897</v>
      </c>
      <c r="H66" s="166">
        <f>IF(C66&lt;&gt;"",_xll.RssMarket(C66,"高値"),"")</f>
        <v>892</v>
      </c>
      <c r="I66" s="166">
        <f>IF(C66&lt;&gt;"",_xll.RssMarket(C66,"安値"),"")</f>
        <v>870</v>
      </c>
      <c r="J66" s="166">
        <f>IF(C66&lt;&gt;"",_xll.RssMarket(C66,"出来高"),"")</f>
        <v>209600</v>
      </c>
      <c r="K66" s="166">
        <f>IF(C66&lt;&gt;"",_xll.RssMarket(C66,"年初来高値"),"")</f>
        <v>3100</v>
      </c>
      <c r="L66" s="167">
        <f>IF(AND(E66&lt;&gt;"",K66&lt;&gt;"",K66&lt;&gt;0),(E66-K66)/K66*100,"")</f>
        <v>-71.806451612903217</v>
      </c>
      <c r="M66" s="166">
        <f>IF(C66&lt;&gt;"",IFERROR(AVERAGE(出来高!E136:I136),""),"")</f>
        <v>343580</v>
      </c>
      <c r="N66" s="166">
        <f>IF(C66&lt;&gt;"",IFERROR(AVERAGE(出来高!E136:AC136),""),"")</f>
        <v>341495.83333333331</v>
      </c>
      <c r="O66" s="168">
        <f>IF(AND(J66&lt;&gt;"",M66&lt;&gt;"",M66&lt;&gt;0),J66/M66,"")</f>
        <v>0.61004715059083769</v>
      </c>
      <c r="P66" s="163" t="str">
        <f>IF(O66="","",IF(O66&gt;=2,"急増↑↑",IF(O66&gt;=1.5,"増加↑",IF(O66&gt;=1,"普通→","減少↓"))))</f>
        <v>減少↓</v>
      </c>
      <c r="Q66" s="163" t="str">
        <f>IF(E66="","",IF(AND(E66&gt;G66,O66&gt;=1.5),"買い▲",IF(E66&lt;G66,"様子見▼","中立→")))</f>
        <v>様子見▼</v>
      </c>
      <c r="R66" s="166">
        <f>IF(E66&lt;&gt;"",ROUND(E66*1.08,0),"")</f>
        <v>944</v>
      </c>
      <c r="S66" s="166">
        <f>IF(E66&lt;&gt;"",ROUND(E66*0.96,0),"")</f>
        <v>839</v>
      </c>
      <c r="T66" s="163">
        <f>IF(C66="","",IFERROR(IF(O66&gt;=2,3,IF(O66&gt;=1.5,2,IF(O66&gt;=1,1,0)))+IF(E66&gt;G66,1,0)+IF(L66&gt;=-5,1,0)+IF(Q66="買い▲",2,0)+IF(W66&lt;=30,3,IF(W66&lt;=40,2,IF(AND(W66&gt;=40,W66&lt;=60),1,0)))+IF(X66&gt;0,1,0)+IF(V66="年初来高値更新●",3,IF(V66="高値圏",2,0))+IF(AD66="パーフェクト▲",3,IF(AD66="上昇トレンド▲",2,0))+IF(AE66="25日線押し目●",2,IF(AE66="5日線押し目○",1,0))+IF(P66="急増↑↑",2,IF(P66="増加↑",1,0))+N(AI66),0))</f>
        <v>-1</v>
      </c>
      <c r="U66" s="163" t="str">
        <f>IF(T66="","",IF(AND(T66&gt;=3,O66&gt;=1.5),"有効",IF(T66&gt;=3,"要確認","除外")))</f>
        <v>除外</v>
      </c>
      <c r="V66" s="163" t="str">
        <f>IF(AND(H66&lt;&gt;"",K66&lt;&gt;""),IF(H66&gt;=K66,"年初来高値更新●",IF(H66&gt;=K66*0.95,"高値圏","通常")),"")</f>
        <v>通常</v>
      </c>
      <c r="W66" s="169">
        <f t="array" ref="W66">IF(C66&lt;&gt;"",IFERROR(100-100/(1+SUMPRODUCT((終値!F136:R136&gt;終値!G136:S136)*( 終値!F136:R136-終値!G136:S136))/SUMPRODUCT((終値!F136:R136&lt;終値!G136:S136)*(終値!G136:S136-終値!F136:R136))),50),"")</f>
        <v>47.182468694096606</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見送り</v>
      </c>
      <c r="Z66" s="171">
        <f>IF(AND(E66&lt;&gt;"",G66&lt;&gt;"",G66&lt;&gt;0),(E66-G66)/G66*100,"")</f>
        <v>-2.5641025641025639</v>
      </c>
      <c r="AA66" s="163" t="str">
        <f>IF(OR(C66="",E66="",E66=0),"",IF(E66&gt;G66,"上昇▲",IF(E66&lt;G66,"下落▼","横ばい→")))</f>
        <v>下落▼</v>
      </c>
      <c r="AB66" s="403">
        <f>IF(C66="","",IFERROR(((終値!E68*0.333)+(終値!F68*0.222)+(終値!G68*0.148)+(終値!H68*0.099)+(終値!I68*0.066)+(終値!J68*0.044)+(終値!K68*0.029)+(終値!L68*0.019)+(終値!M68*0.013)+(終値!N68*0.009))/(0.333+0.222+0.148+0.099+0.066+0.044+0.029+0.019+0.013+0.009),""))</f>
        <v>5740.1853360488794</v>
      </c>
      <c r="AC66" s="403">
        <f>IF(C66="","",IFERROR(SUMPRODUCT((終値!E68:AC68),({0.077,0.071,0.065,0.06,0.055,0.051,0.047,0.043,0.039,0.036,0.033,0.031,0.028,0.026,0.024,0.022,0.02,0.018,0.017,0.016,0.014,0.013,0.012,0.011,0.01}))/SUM({0.077,0.071,0.065,0.06,0.055,0.051,0.047,0.043,0.039,0.036,0.033,0.031,0.028,0.026,0.024,0.022,0.02,0.018,0.017,0.016,0.014,0.013,0.012,0.011,0.01}),""))</f>
        <v>5657.5768772348019</v>
      </c>
      <c r="AD66" s="404" t="str">
        <f>IF(OR(C66="",AB66="",AC66=""),"",IF(AND(E66&gt;AB66,AB66&gt;AC66),"パーフェクト▲",IF(E66&gt;AC66,"上昇トレンド▲",IF(AND(E66&lt;AB66,AB66&lt;AC66),"下降トレンド▼","もみ合い→"))))</f>
        <v>もみ合い→</v>
      </c>
      <c r="AE66" s="404" t="str">
        <f>IF(OR(C66="",AB66="",AC66=""),"",IF(AND(ABS(E66-AC66)/AC66&lt;=0.02,E66&gt;AC66),"25日押し目★",IF(AND(ABS(E66-AB66)/AB66&lt;=0.01,E66&gt;AB66),"5日押し目○","なし")))</f>
        <v>なし</v>
      </c>
      <c r="AF66" s="365">
        <f t="array" ref="AF66">IF(C66="","",IFERROR((INDEX(終値!$E:$E,MATCH(TEXT(C66,"0"),終値!$A:$A,0))-INDEX(終値!$E:$CZ,MATCH(TEXT(C66,"0"),終値!$A:$A,0),$AL$2))/INDEX(終値!$E:$CZ,MATCH(TEXT(C66,"0"),終値!$A:$A,0),$AL$2)*100,""))</f>
        <v>-28.18405916187346</v>
      </c>
      <c r="AG66" s="365">
        <f t="array" ref="AG66">IFERROR((終値!$E$5-INDEX(終値!$E$5:$IT$5,1,$AL$2))/INDEX(終値!$E$5:$IT$5,1,$AL$2)*100,"")</f>
        <v>1.0179378228534113</v>
      </c>
      <c r="AH66" s="366">
        <f>IF(OR(AF66="",AG66=""),"",AF66-AG66)</f>
        <v>-29.201996984726872</v>
      </c>
      <c r="AI66" s="364">
        <f>IF(AH66="","",IF(AH66&gt;5,3,IF(AH66&gt;0,1,IF(AH66&gt;-3,-1,-2))))</f>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728</v>
      </c>
      <c r="F67" s="166">
        <f>IF(C67&lt;&gt;"",_xll.RssMarket(C67,"始値"),"")</f>
        <v>737</v>
      </c>
      <c r="G67" s="165">
        <f>IF(C67&lt;&gt;"",終値!F93,"")</f>
        <v>742</v>
      </c>
      <c r="H67" s="166">
        <f>IF(C67&lt;&gt;"",_xll.RssMarket(C67,"高値"),"")</f>
        <v>737</v>
      </c>
      <c r="I67" s="166">
        <f>IF(C67&lt;&gt;"",_xll.RssMarket(C67,"安値"),"")</f>
        <v>724</v>
      </c>
      <c r="J67" s="166">
        <f>IF(C67&lt;&gt;"",_xll.RssMarket(C67,"出来高"),"")</f>
        <v>223700</v>
      </c>
      <c r="K67" s="166">
        <f>IF(C67&lt;&gt;"",_xll.RssMarket(C67,"年初来高値"),"")</f>
        <v>1638</v>
      </c>
      <c r="L67" s="167">
        <f>IF(AND(E67&lt;&gt;"",K67&lt;&gt;"",K67&lt;&gt;0),(E67-K67)/K67*100,"")</f>
        <v>-55.555555555555557</v>
      </c>
      <c r="M67" s="166">
        <f>IF(C67&lt;&gt;"",IFERROR(AVERAGE(出来高!E93:I93),""),"")</f>
        <v>269200</v>
      </c>
      <c r="N67" s="166">
        <f>IF(C67&lt;&gt;"",IFERROR(AVERAGE(出来高!E93:AC93),""),"")</f>
        <v>497712</v>
      </c>
      <c r="O67" s="168">
        <f>IF(AND(J67&lt;&gt;"",M67&lt;&gt;"",M67&lt;&gt;0),J67/M67,"")</f>
        <v>0.83098068350668652</v>
      </c>
      <c r="P67" s="163" t="str">
        <f>IF(O67="","",IF(O67&gt;=2,"急増↑↑",IF(O67&gt;=1.5,"増加↑",IF(O67&gt;=1,"普通→","減少↓"))))</f>
        <v>減少↓</v>
      </c>
      <c r="Q67" s="163" t="str">
        <f>IF(E67="","",IF(AND(E67&gt;G67,O67&gt;=1.5),"買い▲",IF(E67&lt;G67,"様子見▼","中立→")))</f>
        <v>様子見▼</v>
      </c>
      <c r="R67" s="166">
        <f>IF(E67&lt;&gt;"",ROUND(E67*1.08,0),"")</f>
        <v>786</v>
      </c>
      <c r="S67" s="166">
        <f>IF(E67&lt;&gt;"",ROUND(E67*0.96,0),"")</f>
        <v>699</v>
      </c>
      <c r="T67" s="163">
        <f>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0</v>
      </c>
      <c r="U67" s="163" t="str">
        <f>IF(T67="","",IF(AND(T67&gt;=3,O67&gt;=1.5),"有効",IF(T67&gt;=3,"要確認","除外")))</f>
        <v>除外</v>
      </c>
      <c r="V67" s="163" t="str">
        <f>IF(AND(H67&lt;&gt;"",K67&lt;&gt;""),IF(H67&gt;=K67,"年初来高値更新●",IF(H67&gt;=K67*0.95,"高値圏","通常")),"")</f>
        <v>通常</v>
      </c>
      <c r="W67" s="169">
        <f t="array" ref="W67">IF(C67&lt;&gt;"",IFERROR(100-100/(1+SUMPRODUCT((終値!F93:R93&gt;終値!G93:S93)*( 終値!F93:R93-終値!G93:S93))/SUMPRODUCT((終値!F93:R93&lt;終値!G93:S93)*(終値!G93:S93-終値!F93:R93))),50),"")</f>
        <v>35.57692307692308</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見送り</v>
      </c>
      <c r="Z67" s="171">
        <f>IF(AND(E67&lt;&gt;"",G67&lt;&gt;"",G67&lt;&gt;0),(E67-G67)/G67*100,"")</f>
        <v>-1.8867924528301887</v>
      </c>
      <c r="AA67" s="163" t="str">
        <f>IF(OR(C67="",E67="",E67=0),"",IF(E67&gt;G67,"上昇▲",IF(E67&lt;G67,"下落▼","横ばい→")))</f>
        <v>下落▼</v>
      </c>
      <c r="AB67" s="405">
        <f>IF(C67="","",IFERROR(((終値!E69*0.333)+(終値!F69*0.222)+(終値!G69*0.148)+(終値!H69*0.099)+(終値!I69*0.066)+(終値!J69*0.044)+(終値!K69*0.029)+(終値!L69*0.019)+(終値!M69*0.013)+(終値!N69*0.009))/(0.333+0.222+0.148+0.099+0.066+0.044+0.029+0.019+0.013+0.009),""))</f>
        <v>3250.1405295315672</v>
      </c>
      <c r="AC67" s="405">
        <f>IF(C67="","",IFERROR(SUMPRODUCT((終値!E69:AC69),({0.077,0.071,0.065,0.06,0.055,0.051,0.047,0.043,0.039,0.036,0.033,0.031,0.028,0.026,0.024,0.022,0.02,0.018,0.017,0.016,0.014,0.013,0.012,0.011,0.01}))/SUM({0.077,0.071,0.065,0.06,0.055,0.051,0.047,0.043,0.039,0.036,0.033,0.031,0.028,0.026,0.024,0.022,0.02,0.018,0.017,0.016,0.014,0.013,0.012,0.011,0.01}),""))</f>
        <v>3508.3861740166853</v>
      </c>
      <c r="AD67" s="406" t="str">
        <f>IF(OR(C67="",AB67="",AC67=""),"",IF(AND(E67&gt;AB67,AB67&gt;AC67),"パーフェクト▲",IF(E67&gt;AC67,"上昇トレンド▲",IF(AND(E67&lt;AB67,AB67&lt;AC67),"下降トレンド▼","もみ合い→"))))</f>
        <v>下降トレンド▼</v>
      </c>
      <c r="AE67" s="406" t="str">
        <f>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-16.894977168949772</v>
      </c>
      <c r="AG67" s="365">
        <f t="array" ref="AG67">IFERROR((終値!$E$5-INDEX(終値!$E$5:$IT$5,1,$AL$2))/INDEX(終値!$E$5:$IT$5,1,$AL$2)*100,"")</f>
        <v>1.0179378228534113</v>
      </c>
      <c r="AH67" s="366">
        <f>IF(OR(AF67="",AG67=""),"",AF67-AG67)</f>
        <v>-17.912914991803184</v>
      </c>
      <c r="AI67" s="364">
        <f>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17990</v>
      </c>
      <c r="F68" s="166">
        <f>IF(C68&lt;&gt;"",_xll.RssMarket(C68,"始値"),"")</f>
        <v>18680</v>
      </c>
      <c r="G68" s="165">
        <f>IF(C68&lt;&gt;"",終値!F107,"")</f>
        <v>18755</v>
      </c>
      <c r="H68" s="166">
        <f>IF(C68&lt;&gt;"",_xll.RssMarket(C68,"高値"),"")</f>
        <v>18680</v>
      </c>
      <c r="I68" s="166">
        <f>IF(C68&lt;&gt;"",_xll.RssMarket(C68,"安値"),"")</f>
        <v>17550</v>
      </c>
      <c r="J68" s="166">
        <f>IF(C68&lt;&gt;"",_xll.RssMarket(C68,"出来高"),"")</f>
        <v>580500</v>
      </c>
      <c r="K68" s="166">
        <f>IF(C68&lt;&gt;"",_xll.RssMarket(C68,"年初来高値"),"")</f>
        <v>21310</v>
      </c>
      <c r="L68" s="167">
        <f>IF(AND(E68&lt;&gt;"",K68&lt;&gt;"",K68&lt;&gt;0),(E68-K68)/K68*100,"")</f>
        <v>-15.579540122008448</v>
      </c>
      <c r="M68" s="166">
        <f>IF(C68&lt;&gt;"",IFERROR(AVERAGE(出来高!E107:I107),""),"")</f>
        <v>683020</v>
      </c>
      <c r="N68" s="166">
        <f>IF(C68&lt;&gt;"",IFERROR(AVERAGE(出来高!E107:AC107),""),"")</f>
        <v>575776</v>
      </c>
      <c r="O68" s="168">
        <f>IF(AND(J68&lt;&gt;"",M68&lt;&gt;"",M68&lt;&gt;0),J68/M68,"")</f>
        <v>0.84990190623993445</v>
      </c>
      <c r="P68" s="163" t="str">
        <f>IF(O68="","",IF(O68&gt;=2,"急増↑↑",IF(O68&gt;=1.5,"増加↑",IF(O68&gt;=1,"普通→","減少↓"))))</f>
        <v>減少↓</v>
      </c>
      <c r="Q68" s="163" t="str">
        <f>IF(E68="","",IF(AND(E68&gt;G68,O68&gt;=1.5),"買い▲",IF(E68&lt;G68,"様子見▼","中立→")))</f>
        <v>様子見▼</v>
      </c>
      <c r="R68" s="166">
        <f>IF(E68&lt;&gt;"",ROUND(E68*1.08,0),"")</f>
        <v>19429</v>
      </c>
      <c r="S68" s="166">
        <f>IF(E68&lt;&gt;"",ROUND(E68*0.96,0),"")</f>
        <v>17270</v>
      </c>
      <c r="T68" s="163">
        <f>IF(C68="","",IFERROR(IF(O68&gt;=2,3,IF(O68&gt;=1.5,2,IF(O68&gt;=1,1,0)))+IF(E68&gt;G68,1,0)+IF(L68&gt;=-5,1,0)+IF(Q68="買い▲",2,0)+IF(W68&lt;=30,3,IF(W68&lt;=40,2,IF(AND(W68&gt;=40,W68&lt;=60),1,0)))+IF(X68&gt;0,1,0)+IF(V68="年初来高値更新●",3,IF(V68="高値圏",2,0))+IF(AD68="パーフェクト▲",3,IF(AD68="上昇トレンド▲",2,0))+IF(AE68="25日線押し目●",2,IF(AE68="5日線押し目○",1,0))+IF(P68="急増↑↑",2,IF(P68="増加↑",1,0))+N(AI68),0))</f>
        <v>2</v>
      </c>
      <c r="U68" s="163" t="str">
        <f>IF(T68="","",IF(AND(T68&gt;=3,O68&gt;=1.5),"有効",IF(T68&gt;=3,"要確認","除外")))</f>
        <v>除外</v>
      </c>
      <c r="V68" s="163" t="str">
        <f>IF(AND(H68&lt;&gt;"",K68&lt;&gt;""),IF(H68&gt;=K68,"年初来高値更新●",IF(H68&gt;=K68*0.95,"高値圏","通常")),"")</f>
        <v>通常</v>
      </c>
      <c r="W68" s="169">
        <f t="array" ref="W68">IF(C68&lt;&gt;"",IFERROR(100-100/(1+SUMPRODUCT((終値!F107:R107&gt;終値!G107:S107)*( 終値!F107:R107-終値!G107:S107))/SUMPRODUCT((終値!F107:R107&lt;終値!G107:S107)*(終値!G107:S107-終値!F107:R107))),50),"")</f>
        <v>48.090642047838863</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見送り</v>
      </c>
      <c r="Z68" s="171">
        <f>IF(AND(E68&lt;&gt;"",G68&lt;&gt;"",G68&lt;&gt;0),(E68-G68)/G68*100,"")</f>
        <v>-4.0789122900559853</v>
      </c>
      <c r="AA68" s="163" t="str">
        <f>IF(OR(C68="",E68="",E68=0),"",IF(E68&gt;G68,"上昇▲",IF(E68&lt;G68,"下落▼","横ばい→")))</f>
        <v>下落▼</v>
      </c>
      <c r="AB68" s="403">
        <f>IF(C68="","",IFERROR(((終値!E70*0.333)+(終値!F70*0.222)+(終値!G70*0.148)+(終値!H70*0.099)+(終値!I70*0.066)+(終値!J70*0.044)+(終値!K70*0.029)+(終値!L70*0.019)+(終値!M70*0.013)+(終値!N70*0.009))/(0.333+0.222+0.148+0.099+0.066+0.044+0.029+0.019+0.013+0.009),""))</f>
        <v>113.31364562118124</v>
      </c>
      <c r="AC68" s="403">
        <f>IF(C68="","",IFERROR(SUMPRODUCT((終値!E70:AC70),({0.077,0.071,0.065,0.06,0.055,0.051,0.047,0.043,0.039,0.036,0.033,0.031,0.028,0.026,0.024,0.022,0.02,0.018,0.017,0.016,0.014,0.013,0.012,0.011,0.01}))/SUM({0.077,0.071,0.065,0.06,0.055,0.051,0.047,0.043,0.039,0.036,0.033,0.031,0.028,0.026,0.024,0.022,0.02,0.018,0.017,0.016,0.014,0.013,0.012,0.011,0.01}),""))</f>
        <v>108.86412395709173</v>
      </c>
      <c r="AD68" s="404" t="str">
        <f>IF(OR(C68="",AB68="",AC68=""),"",IF(AND(E68&gt;AB68,AB68&gt;AC68),"パーフェクト▲",IF(E68&gt;AC68,"上昇トレンド▲",IF(AND(E68&lt;AB68,AB68&lt;AC68),"下降トレンド▼","もみ合い→"))))</f>
        <v>パーフェクト▲</v>
      </c>
      <c r="AE68" s="404" t="str">
        <f>IF(OR(C68="",AB68="",AC68=""),"",IF(AND(ABS(E68-AC68)/AC68&lt;=0.02,E68&gt;AC68),"25日押し目★",IF(AND(ABS(E68-AB68)/AB68&lt;=0.01,E68&gt;AB68),"5日押し目○","なし")))</f>
        <v>なし</v>
      </c>
      <c r="AF68" s="365">
        <f t="array" ref="AF68">IF(C68="","",IFERROR((INDEX(終値!$E:$E,MATCH(TEXT(C68,"0"),終値!$A:$A,0))-INDEX(終値!$E:$CZ,MATCH(TEXT(C68,"0"),終値!$A:$A,0),$AL$2))/INDEX(終値!$E:$CZ,MATCH(TEXT(C68,"0"),終値!$A:$A,0),$AL$2)*100,""))</f>
        <v>-14.005736137667304</v>
      </c>
      <c r="AG68" s="365">
        <f t="array" ref="AG68">IFERROR((終値!$E$5-INDEX(終値!$E$5:$IT$5,1,$AL$2))/INDEX(終値!$E$5:$IT$5,1,$AL$2)*100,"")</f>
        <v>1.0179378228534113</v>
      </c>
      <c r="AH68" s="366">
        <f>IF(OR(AF68="",AG68=""),"",AF68-AG68)</f>
        <v>-15.023673960520716</v>
      </c>
      <c r="AI68" s="364">
        <f>IF(AH68="","",IF(AH68&gt;5,3,IF(AH68&gt;0,1,IF(AH68&gt;-3,-1,-2))))</f>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3100</v>
      </c>
      <c r="F69" s="166">
        <f>IF(C69&lt;&gt;"",_xll.RssMarket(C69,"始値"),"")</f>
        <v>3200</v>
      </c>
      <c r="G69" s="165">
        <f>IF(C69&lt;&gt;"",終値!F121,"")</f>
        <v>3130</v>
      </c>
      <c r="H69" s="166">
        <f>IF(C69&lt;&gt;"",_xll.RssMarket(C69,"高値"),"")</f>
        <v>3265</v>
      </c>
      <c r="I69" s="166">
        <f>IF(C69&lt;&gt;"",_xll.RssMarket(C69,"安値"),"")</f>
        <v>3100</v>
      </c>
      <c r="J69" s="166">
        <f>IF(C69&lt;&gt;"",_xll.RssMarket(C69,"出来高"),"")</f>
        <v>345300</v>
      </c>
      <c r="K69" s="166">
        <f>IF(C69&lt;&gt;"",_xll.RssMarket(C69,"年初来高値"),"")</f>
        <v>4155</v>
      </c>
      <c r="L69" s="167">
        <f>IF(AND(E69&lt;&gt;"",K69&lt;&gt;"",K69&lt;&gt;0),(E69-K69)/K69*100,"")</f>
        <v>-25.391095066185322</v>
      </c>
      <c r="M69" s="166">
        <f>IF(C69&lt;&gt;"",IFERROR(AVERAGE(出来高!E121:I121),""),"")</f>
        <v>296600</v>
      </c>
      <c r="N69" s="166">
        <f>IF(C69&lt;&gt;"",IFERROR(AVERAGE(出来高!E121:AC121),""),"")</f>
        <v>340300</v>
      </c>
      <c r="O69" s="168">
        <f>IF(AND(J69&lt;&gt;"",M69&lt;&gt;"",M69&lt;&gt;0),J69/M69,"")</f>
        <v>1.1641942009440325</v>
      </c>
      <c r="P69" s="163" t="str">
        <f>IF(O69="","",IF(O69&gt;=2,"急増↑↑",IF(O69&gt;=1.5,"増加↑",IF(O69&gt;=1,"普通→","減少↓"))))</f>
        <v>普通→</v>
      </c>
      <c r="Q69" s="163" t="str">
        <f>IF(E69="","",IF(AND(E69&gt;G69,O69&gt;=1.5),"買い▲",IF(E69&lt;G69,"様子見▼","中立→")))</f>
        <v>様子見▼</v>
      </c>
      <c r="R69" s="166">
        <f>IF(E69&lt;&gt;"",ROUND(E69*1.08,0),"")</f>
        <v>3348</v>
      </c>
      <c r="S69" s="166">
        <f>IF(E69&lt;&gt;"",ROUND(E69*0.96,0),"")</f>
        <v>2976</v>
      </c>
      <c r="T69" s="163">
        <f>IF(C69="","",IFERROR(IF(O69&gt;=2,3,IF(O69&gt;=1.5,2,IF(O69&gt;=1,1,0)))+IF(E69&gt;G69,1,0)+IF(L69&gt;=-5,1,0)+IF(Q69="買い▲",2,0)+IF(W69&lt;=30,3,IF(W69&lt;=40,2,IF(AND(W69&gt;=40,W69&lt;=60),1,0)))+IF(X69&gt;0,1,0)+IF(V69="年初来高値更新●",3,IF(V69="高値圏",2,0))+IF(AD69="パーフェクト▲",3,IF(AD69="上昇トレンド▲",2,0))+IF(AE69="25日線押し目●",2,IF(AE69="5日線押し目○",1,0))+IF(P69="急増↑↑",2,IF(P69="増加↑",1,0))+N(AI69),0))</f>
        <v>2</v>
      </c>
      <c r="U69" s="163" t="str">
        <f>IF(T69="","",IF(AND(T69&gt;=3,O69&gt;=1.5),"有効",IF(T69&gt;=3,"要確認","除外")))</f>
        <v>除外</v>
      </c>
      <c r="V69" s="163" t="str">
        <f>IF(AND(H69&lt;&gt;"",K69&lt;&gt;""),IF(H69&gt;=K69,"年初来高値更新●",IF(H69&gt;=K69*0.95,"高値圏","通常")),"")</f>
        <v>通常</v>
      </c>
      <c r="W69" s="169">
        <f t="array" ref="W69">IF(C69&lt;&gt;"",IFERROR(100-100/(1+SUMPRODUCT((終値!F121:R121&gt;終値!G121:S121)*( 終値!F121:R121-終値!G121:S121))/SUMPRODUCT((終値!F121:R121&lt;終値!G121:S121)*(終値!G121:S121-終値!F121:R121))),50),"")</f>
        <v>46.765249537892792</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見送り</v>
      </c>
      <c r="Z69" s="171">
        <f>IF(AND(E69&lt;&gt;"",G69&lt;&gt;"",G69&lt;&gt;0),(E69-G69)/G69*100,"")</f>
        <v>-0.95846645367412142</v>
      </c>
      <c r="AA69" s="163" t="str">
        <f>IF(OR(C69="",E69="",E69=0),"",IF(E69&gt;G69,"上昇▲",IF(E69&lt;G69,"下落▼","横ばい→")))</f>
        <v>下落▼</v>
      </c>
      <c r="AB69" s="405">
        <f>IF(C69="","",IFERROR(((終値!E71*0.333)+(終値!F71*0.222)+(終値!G71*0.148)+(終値!H71*0.099)+(終値!I71*0.066)+(終値!J71*0.044)+(終値!K71*0.029)+(終値!L71*0.019)+(終値!M71*0.013)+(終値!N71*0.009))/(0.333+0.222+0.148+0.099+0.066+0.044+0.029+0.019+0.013+0.009),""))</f>
        <v>2225.76782077393</v>
      </c>
      <c r="AC69" s="405">
        <f>IF(C69="","",IFERROR(SUMPRODUCT((終値!E71:AC71),({0.077,0.071,0.065,0.06,0.055,0.051,0.047,0.043,0.039,0.036,0.033,0.031,0.028,0.026,0.024,0.022,0.02,0.018,0.017,0.016,0.014,0.013,0.012,0.011,0.01}))/SUM({0.077,0.071,0.065,0.06,0.055,0.051,0.047,0.043,0.039,0.036,0.033,0.031,0.028,0.026,0.024,0.022,0.02,0.018,0.017,0.016,0.014,0.013,0.012,0.011,0.01}),""))</f>
        <v>2290.0345649582832</v>
      </c>
      <c r="AD69" s="406" t="str">
        <f>IF(OR(C69="",AB69="",AC69=""),"",IF(AND(E69&gt;AB69,AB69&gt;AC69),"パーフェクト▲",IF(E69&gt;AC69,"上昇トレンド▲",IF(AND(E69&lt;AB69,AB69&lt;AC69),"下降トレンド▼","もみ合い→"))))</f>
        <v>上昇トレンド▲</v>
      </c>
      <c r="AE69" s="406" t="str">
        <f>IF(OR(C69="",AB69="",AC69=""),"",IF(AND(ABS(E69-AC69)/AC69&lt;=0.02,E69&gt;AC69),"25日押し目★",IF(AND(ABS(E69-AB69)/AB69&lt;=0.01,E69&gt;AB69),"5日押し目○","なし")))</f>
        <v>なし</v>
      </c>
      <c r="AF69" s="365">
        <f t="array" ref="AF69">IF(C69="","",IFERROR((INDEX(終値!$E:$E,MATCH(TEXT(C69,"0"),終値!$A:$A,0))-INDEX(終値!$E:$CZ,MATCH(TEXT(C69,"0"),終値!$A:$A,0),$AL$2))/INDEX(終値!$E:$CZ,MATCH(TEXT(C69,"0"),終値!$A:$A,0),$AL$2)*100,""))</f>
        <v>-5.6316590563165905</v>
      </c>
      <c r="AG69" s="365">
        <f t="array" ref="AG69">IFERROR((終値!$E$5-INDEX(終値!$E$5:$IT$5,1,$AL$2))/INDEX(終値!$E$5:$IT$5,1,$AL$2)*100,"")</f>
        <v>1.0179378228534113</v>
      </c>
      <c r="AH69" s="366">
        <f>IF(OR(AF69="",AG69=""),"",AF69-AG69)</f>
        <v>-6.6495968791700015</v>
      </c>
      <c r="AI69" s="364">
        <f>IF(AH69="","",IF(AH69&gt;5,3,IF(AH69&gt;0,1,IF(AH69&gt;-3,-1,-2))))</f>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1215</v>
      </c>
      <c r="F70" s="166">
        <f>IF(C70&lt;&gt;"",_xll.RssMarket(C70,"始値"),"")</f>
        <v>1166</v>
      </c>
      <c r="G70" s="165">
        <f>IF(C70&lt;&gt;"",終値!F152,"")</f>
        <v>1166</v>
      </c>
      <c r="H70" s="166">
        <f>IF(C70&lt;&gt;"",_xll.RssMarket(C70,"高値"),"")</f>
        <v>1216</v>
      </c>
      <c r="I70" s="166">
        <f>IF(C70&lt;&gt;"",_xll.RssMarket(C70,"安値"),"")</f>
        <v>1166</v>
      </c>
      <c r="J70" s="166">
        <f>IF(C70&lt;&gt;"",_xll.RssMarket(C70,"出来高"),"")</f>
        <v>575800</v>
      </c>
      <c r="K70" s="166">
        <f>IF(C70&lt;&gt;"",_xll.RssMarket(C70,"年初来高値"),"")</f>
        <v>1189</v>
      </c>
      <c r="L70" s="167">
        <f>IF(AND(E70&lt;&gt;"",K70&lt;&gt;"",K70&lt;&gt;0),(E70-K70)/K70*100,"")</f>
        <v>2.1867115222876365</v>
      </c>
      <c r="M70" s="166">
        <f>IF(C70&lt;&gt;"",IFERROR(AVERAGE(出来高!E152:I152),""),"")</f>
        <v>639940</v>
      </c>
      <c r="N70" s="166">
        <f>IF(C70&lt;&gt;"",IFERROR(AVERAGE(出来高!E152:AC152),""),"")</f>
        <v>543020</v>
      </c>
      <c r="O70" s="168">
        <f>IF(AND(J70&lt;&gt;"",M70&lt;&gt;"",M70&lt;&gt;0),J70/M70,"")</f>
        <v>0.8997718536112761</v>
      </c>
      <c r="P70" s="163" t="str">
        <f>IF(O70="","",IF(O70&gt;=2,"急増↑↑",IF(O70&gt;=1.5,"増加↑",IF(O70&gt;=1,"普通→","減少↓"))))</f>
        <v>減少↓</v>
      </c>
      <c r="Q70" s="163" t="str">
        <f>IF(E70="","",IF(AND(E70&gt;G70,O70&gt;=1.5),"買い▲",IF(E70&lt;G70,"様子見▼","中立→")))</f>
        <v>中立→</v>
      </c>
      <c r="R70" s="166">
        <f>IF(E70&lt;&gt;"",ROUND(E70*1.08,0),"")</f>
        <v>1312</v>
      </c>
      <c r="S70" s="166">
        <f>IF(E70&lt;&gt;"",ROUND(E70*0.96,0),"")</f>
        <v>1166</v>
      </c>
      <c r="T70" s="163">
        <f>IF(C70="","",IFERROR(IF(O70&gt;=2,3,IF(O70&gt;=1.5,2,IF(O70&gt;=1,1,0)))+IF(E70&gt;G70,1,0)+IF(L70&gt;=-5,1,0)+IF(Q70="買い▲",2,0)+IF(W70&lt;=30,3,IF(W70&lt;=40,2,IF(AND(W70&gt;=40,W70&lt;=60),1,0)))+IF(X70&gt;0,1,0)+IF(V70="年初来高値更新●",3,IF(V70="高値圏",2,0))+IF(AD70="パーフェクト▲",3,IF(AD70="上昇トレンド▲",2,0))+IF(AE70="25日線押し目●",2,IF(AE70="5日線押し目○",1,0))+IF(P70="急増↑↑",2,IF(P70="増加↑",1,0))+N(AI70),0))</f>
        <v>10</v>
      </c>
      <c r="U70" s="163" t="str">
        <f>IF(T70="","",IF(AND(T70&gt;=3,O70&gt;=1.5),"有効",IF(T70&gt;=3,"要確認","除外")))</f>
        <v>要確認</v>
      </c>
      <c r="V70" s="163" t="str">
        <f>IF(AND(H70&lt;&gt;"",K70&lt;&gt;""),IF(H70&gt;=K70,"年初来高値更新●",IF(H70&gt;=K70*0.95,"高値圏","通常")),"")</f>
        <v>年初来高値更新●</v>
      </c>
      <c r="W70" s="169">
        <f t="array" ref="W70">IF(C70&lt;&gt;"",IFERROR(100-100/(1+SUMPRODUCT((終値!F152:R152&gt;終値!G152:S152)*( 終値!F152:R152-終値!G152:S152))/SUMPRODUCT((終値!F152:R152&lt;終値!G152:S152)*(終値!G152:S152-終値!F152:R152))),50),"")</f>
        <v>55.131264916467785</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○買い候補</v>
      </c>
      <c r="Z70" s="171">
        <f>IF(AND(E70&lt;&gt;"",G70&lt;&gt;"",G70&lt;&gt;0),(E70-G70)/G70*100,"")</f>
        <v>4.2024013722126927</v>
      </c>
      <c r="AA70" s="163" t="str">
        <f>IF(OR(C70="",E70="",E70=0),"",IF(E70&gt;G70,"上昇▲",IF(E70&lt;G70,"下落▼","横ばい→")))</f>
        <v>上昇▲</v>
      </c>
      <c r="AB70" s="403">
        <f>IF(C70="","",IFERROR(((終値!E72*0.333)+(終値!F72*0.222)+(終値!G72*0.148)+(終値!H72*0.099)+(終値!I72*0.066)+(終値!J72*0.044)+(終値!K72*0.029)+(終値!L72*0.019)+(終値!M72*0.013)+(終値!N72*0.009))/(0.333+0.222+0.148+0.099+0.066+0.044+0.029+0.019+0.013+0.009),""))</f>
        <v>2336.1486761710794</v>
      </c>
      <c r="AC70" s="403">
        <f>IF(C70="","",IFERROR(SUMPRODUCT((終値!E72:AC72),({0.077,0.071,0.065,0.06,0.055,0.051,0.047,0.043,0.039,0.036,0.033,0.031,0.028,0.026,0.024,0.022,0.02,0.018,0.017,0.016,0.014,0.013,0.012,0.011,0.01}))/SUM({0.077,0.071,0.065,0.06,0.055,0.051,0.047,0.043,0.039,0.036,0.033,0.031,0.028,0.026,0.024,0.022,0.02,0.018,0.017,0.016,0.014,0.013,0.012,0.011,0.01}),""))</f>
        <v>2326.4827175208575</v>
      </c>
      <c r="AD70" s="404" t="str">
        <f>IF(OR(C70="",AB70="",AC70=""),"",IF(AND(E70&gt;AB70,AB70&gt;AC70),"パーフェクト▲",IF(E70&gt;AC70,"上昇トレンド▲",IF(AND(E70&lt;AB70,AB70&lt;AC70),"下降トレンド▼","もみ合い→"))))</f>
        <v>もみ合い→</v>
      </c>
      <c r="AE70" s="404" t="str">
        <f>IF(OR(C70="",AB70="",AC70=""),"",IF(AND(ABS(E70-AC70)/AC70&lt;=0.02,E70&gt;AC70),"25日押し目★",IF(AND(ABS(E70-AB70)/AB70&lt;=0.01,E70&gt;AB70),"5日押し目○","なし")))</f>
        <v>なし</v>
      </c>
      <c r="AF70" s="365">
        <f t="array" ref="AF70">IF(C70="","",IFERROR((INDEX(終値!$E:$E,MATCH(TEXT(C70,"0"),終値!$A:$A,0))-INDEX(終値!$E:$CZ,MATCH(TEXT(C70,"0"),終値!$A:$A,0),$AL$2))/INDEX(終値!$E:$CZ,MATCH(TEXT(C70,"0"),終値!$A:$A,0),$AL$2)*100,""))</f>
        <v>18.421052631578945</v>
      </c>
      <c r="AG70" s="365">
        <f t="array" ref="AG70">IFERROR((終値!$E$5-INDEX(終値!$E$5:$IT$5,1,$AL$2))/INDEX(終値!$E$5:$IT$5,1,$AL$2)*100,"")</f>
        <v>1.0179378228534113</v>
      </c>
      <c r="AH70" s="366">
        <f>IF(OR(AF70="",AG70=""),"",AF70-AG70)</f>
        <v>17.403114808725533</v>
      </c>
      <c r="AI70" s="364">
        <f>IF(AH70="","",IF(AH70&gt;5,3,IF(AH70&gt;0,1,IF(AH70&gt;-3,-1,-2))))</f>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1123</v>
      </c>
      <c r="F71" s="166">
        <f>IF(C71&lt;&gt;"",_xll.RssMarket(C71,"始値"),"")</f>
        <v>1151</v>
      </c>
      <c r="G71" s="165">
        <f>IF(C71&lt;&gt;"",終値!F149,"")</f>
        <v>1168</v>
      </c>
      <c r="H71" s="166">
        <f>IF(C71&lt;&gt;"",_xll.RssMarket(C71,"高値"),"")</f>
        <v>1154</v>
      </c>
      <c r="I71" s="166">
        <f>IF(C71&lt;&gt;"",_xll.RssMarket(C71,"安値"),"")</f>
        <v>1123</v>
      </c>
      <c r="J71" s="166">
        <f>IF(C71&lt;&gt;"",_xll.RssMarket(C71,"出来高"),"")</f>
        <v>9300</v>
      </c>
      <c r="K71" s="166">
        <f>IF(C71&lt;&gt;"",_xll.RssMarket(C71,"年初来高値"),"")</f>
        <v>2660</v>
      </c>
      <c r="L71" s="167">
        <f>IF(AND(E71&lt;&gt;"",K71&lt;&gt;"",K71&lt;&gt;0),(E71-K71)/K71*100,"")</f>
        <v>-57.781954887218049</v>
      </c>
      <c r="M71" s="166">
        <f>IF(C71&lt;&gt;"",IFERROR(AVERAGE(出来高!E149:I149),""),"")</f>
        <v>11600</v>
      </c>
      <c r="N71" s="166">
        <f>IF(C71&lt;&gt;"",IFERROR(AVERAGE(出来高!E149:AC149),""),"")</f>
        <v>11600</v>
      </c>
      <c r="O71" s="168">
        <f>IF(AND(J71&lt;&gt;"",M71&lt;&gt;"",M71&lt;&gt;0),J71/M71,"")</f>
        <v>0.80172413793103448</v>
      </c>
      <c r="P71" s="163" t="str">
        <f>IF(O71="","",IF(O71&gt;=2,"急増↑↑",IF(O71&gt;=1.5,"増加↑",IF(O71&gt;=1,"普通→","減少↓"))))</f>
        <v>減少↓</v>
      </c>
      <c r="Q71" s="163" t="str">
        <f>IF(E71="","",IF(AND(E71&gt;G71,O71&gt;=1.5),"買い▲",IF(E71&lt;G71,"様子見▼","中立→")))</f>
        <v>様子見▼</v>
      </c>
      <c r="R71" s="166">
        <f>IF(E71&lt;&gt;"",ROUND(E71*1.08,0),"")</f>
        <v>1213</v>
      </c>
      <c r="S71" s="166">
        <f>IF(E71&lt;&gt;"",ROUND(E71*0.96,0),"")</f>
        <v>1078</v>
      </c>
      <c r="T71" s="163">
        <f>IF(C71="","",IFERROR(IF(O71&gt;=2,3,IF(O71&gt;=1.5,2,IF(O71&gt;=1,1,0)))+IF(E71&gt;G71,1,0)+IF(L71&gt;=-5,1,0)+IF(Q71="買い▲",2,0)+IF(W71&lt;=30,3,IF(W71&lt;=40,2,IF(AND(W71&gt;=40,W71&lt;=60),1,0)))+IF(X71&gt;0,1,0)+IF(V71="年初来高値更新●",3,IF(V71="高値圏",2,0))+IF(AD71="パーフェクト▲",3,IF(AD71="上昇トレンド▲",2,0))+IF(AE71="25日線押し目●",2,IF(AE71="5日線押し目○",1,0))+IF(P71="急増↑↑",2,IF(P71="増加↑",1,0))+N(AI71),0))</f>
        <v>2</v>
      </c>
      <c r="U71" s="163" t="str">
        <f>IF(T71="","",IF(AND(T71&gt;=3,O71&gt;=1.5),"有効",IF(T71&gt;=3,"要確認","除外")))</f>
        <v>除外</v>
      </c>
      <c r="V71" s="163" t="str">
        <f>IF(AND(H71&lt;&gt;"",K71&lt;&gt;""),IF(H71&gt;=K71,"年初来高値更新●",IF(H71&gt;=K71*0.95,"高値圏","通常")),"")</f>
        <v>通常</v>
      </c>
      <c r="W71" s="169">
        <f t="array" ref="W71">IF(C71&lt;&gt;"",IFERROR(100-100/(1+SUMPRODUCT((終値!F149:R149&gt;終値!G149:S149)*( 終値!F149:R149-終値!G149:S149))/SUMPRODUCT((終値!F149:R149&lt;終値!G149:S149)*(終値!G149:S149-終値!F149:R149))),50),"")</f>
        <v>50</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見送り</v>
      </c>
      <c r="Z71" s="171">
        <f>IF(AND(E71&lt;&gt;"",G71&lt;&gt;"",G71&lt;&gt;0),(E71-G71)/G71*100,"")</f>
        <v>-3.8527397260273974</v>
      </c>
      <c r="AA71" s="163" t="str">
        <f>IF(OR(C71="",E71="",E71=0),"",IF(E71&gt;G71,"上昇▲",IF(E71&lt;G71,"下落▼","横ばい→")))</f>
        <v>下落▼</v>
      </c>
      <c r="AB71" s="405">
        <f>IF(C71="","",IFERROR(((終値!E73*0.333)+(終値!F73*0.222)+(終値!G73*0.148)+(終値!H73*0.099)+(終値!I73*0.066)+(終値!J73*0.044)+(終値!K73*0.029)+(終値!L73*0.019)+(終値!M73*0.013)+(終値!N73*0.009))/(0.333+0.222+0.148+0.099+0.066+0.044+0.029+0.019+0.013+0.009),""))</f>
        <v>7579.389002036658</v>
      </c>
      <c r="AC71" s="405">
        <f>IF(C71="","",IFERROR(SUMPRODUCT((終値!E73:AC73),({0.077,0.071,0.065,0.06,0.055,0.051,0.047,0.043,0.039,0.036,0.033,0.031,0.028,0.026,0.024,0.022,0.02,0.018,0.017,0.016,0.014,0.013,0.012,0.011,0.01}))/SUM({0.077,0.071,0.065,0.06,0.055,0.051,0.047,0.043,0.039,0.036,0.033,0.031,0.028,0.026,0.024,0.022,0.02,0.018,0.017,0.016,0.014,0.013,0.012,0.011,0.01}),""))</f>
        <v>7597.103694874846</v>
      </c>
      <c r="AD71" s="406" t="str">
        <f>IF(OR(C71="",AB71="",AC71=""),"",IF(AND(E71&gt;AB71,AB71&gt;AC71),"パーフェクト▲",IF(E71&gt;AC71,"上昇トレンド▲",IF(AND(E71&lt;AB71,AB71&lt;AC71),"下降トレンド▼","もみ合い→"))))</f>
        <v>下降トレンド▼</v>
      </c>
      <c r="AE71" s="406" t="str">
        <f>IF(OR(C71="",AB71="",AC71=""),"",IF(AND(ABS(E71-AC71)/AC71&lt;=0.02,E71&gt;AC71),"25日押し目★",IF(AND(ABS(E71-AB71)/AB71&lt;=0.01,E71&gt;AB71),"5日押し目○","なし")))</f>
        <v>なし</v>
      </c>
      <c r="AF71" s="365" t="str">
        <f t="array" ref="AF71">IF(C71="","",IFERROR((INDEX(終値!$E:$E,MATCH(TEXT(C71,"0"),終値!$A:$A,0))-INDEX(終値!$E:$CZ,MATCH(TEXT(C71,"0"),終値!$A:$A,0),$AL$2))/INDEX(終値!$E:$CZ,MATCH(TEXT(C71,"0"),終値!$A:$A,0),$AL$2)*100,""))</f>
        <v/>
      </c>
      <c r="AG71" s="365">
        <f t="array" ref="AG71">IFERROR((終値!$E$5-INDEX(終値!$E$5:$IT$5,1,$AL$2))/INDEX(終値!$E$5:$IT$5,1,$AL$2)*100,"")</f>
        <v>1.0179378228534113</v>
      </c>
      <c r="AH71" s="366" t="str">
        <f>IF(OR(AF71="",AG71=""),"",AF71-AG71)</f>
        <v/>
      </c>
      <c r="AI71" s="364" t="str">
        <f>IF(AH71="","",IF(AH71&gt;5,3,IF(AH71&gt;0,1,IF(AH71&gt;-3,-1,-2))))</f>
        <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1537</v>
      </c>
      <c r="F72" s="166">
        <f>IF(C72&lt;&gt;"",_xll.RssMarket(C72,"始値"),"")</f>
        <v>1515</v>
      </c>
      <c r="G72" s="165">
        <f>IF(C72&lt;&gt;"",終値!F177,"")</f>
        <v>1529</v>
      </c>
      <c r="H72" s="166">
        <f>IF(C72&lt;&gt;"",_xll.RssMarket(C72,"高値"),"")</f>
        <v>1562</v>
      </c>
      <c r="I72" s="166">
        <f>IF(C72&lt;&gt;"",_xll.RssMarket(C72,"安値"),"")</f>
        <v>1504</v>
      </c>
      <c r="J72" s="166">
        <f>IF(C72&lt;&gt;"",_xll.RssMarket(C72,"出来高"),"")</f>
        <v>455900</v>
      </c>
      <c r="K72" s="166">
        <f>IF(C72&lt;&gt;"",_xll.RssMarket(C72,"年初来高値"),"")</f>
        <v>1596</v>
      </c>
      <c r="L72" s="167">
        <f>IF(AND(E72&lt;&gt;"",K72&lt;&gt;"",K72&lt;&gt;0),(E72-K72)/K72*100,"")</f>
        <v>-3.6967418546365911</v>
      </c>
      <c r="M72" s="166">
        <f>IF(C72&lt;&gt;"",IFERROR(AVERAGE(出来高!E177:I177),""),"")</f>
        <v>553600</v>
      </c>
      <c r="N72" s="166">
        <f>IF(C72&lt;&gt;"",IFERROR(AVERAGE(出来高!E177:AC177),""),"")</f>
        <v>553600</v>
      </c>
      <c r="O72" s="168">
        <f>IF(AND(J72&lt;&gt;"",M72&lt;&gt;"",M72&lt;&gt;0),J72/M72,"")</f>
        <v>0.82351878612716767</v>
      </c>
      <c r="P72" s="163" t="str">
        <f>IF(O72="","",IF(O72&gt;=2,"急増↑↑",IF(O72&gt;=1.5,"増加↑",IF(O72&gt;=1,"普通→","減少↓"))))</f>
        <v>減少↓</v>
      </c>
      <c r="Q72" s="163" t="str">
        <f>IF(E72="","",IF(AND(E72&gt;G72,O72&gt;=1.5),"買い▲",IF(E72&lt;G72,"様子見▼","中立→")))</f>
        <v>中立→</v>
      </c>
      <c r="R72" s="166">
        <f>IF(E72&lt;&gt;"",ROUND(E72*1.08,0),"")</f>
        <v>1660</v>
      </c>
      <c r="S72" s="166">
        <f>IF(E72&lt;&gt;"",ROUND(E72*0.96,0),"")</f>
        <v>1476</v>
      </c>
      <c r="T72" s="163">
        <f>IF(C72="","",IFERROR(IF(O72&gt;=2,3,IF(O72&gt;=1.5,2,IF(O72&gt;=1,1,0)))+IF(E72&gt;G72,1,0)+IF(L72&gt;=-5,1,0)+IF(Q72="買い▲",2,0)+IF(W72&lt;=30,3,IF(W72&lt;=40,2,IF(AND(W72&gt;=40,W72&lt;=60),1,0)))+IF(X72&gt;0,1,0)+IF(V72="年初来高値更新●",3,IF(V72="高値圏",2,0))+IF(AD72="パーフェクト▲",3,IF(AD72="上昇トレンド▲",2,0))+IF(AE72="25日線押し目●",2,IF(AE72="5日線押し目○",1,0))+IF(P72="急増↑↑",2,IF(P72="増加↑",1,0))+N(AI72),0))</f>
        <v>6</v>
      </c>
      <c r="U72" s="163" t="str">
        <f>IF(T72="","",IF(AND(T72&gt;=3,O72&gt;=1.5),"有効",IF(T72&gt;=3,"要確認","除外")))</f>
        <v>要確認</v>
      </c>
      <c r="V72" s="163" t="str">
        <f>IF(AND(H72&lt;&gt;"",K72&lt;&gt;""),IF(H72&gt;=K72,"年初来高値更新●",IF(H72&gt;=K72*0.95,"高値圏","通常")),"")</f>
        <v>高値圏</v>
      </c>
      <c r="W72" s="169">
        <f t="array" ref="W72">IF(C72&lt;&gt;"",IFERROR(100-100/(1+SUMPRODUCT((終値!F177:R177&gt;終値!G177:S177)*( 終値!F177:R177-終値!G177:S177))/SUMPRODUCT((終値!F177:R177&lt;終値!G177:S177)*(終値!G177:S177-終値!F177:R177))),50),"")</f>
        <v>50</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△注目</v>
      </c>
      <c r="Z72" s="171">
        <f>IF(AND(E72&lt;&gt;"",G72&lt;&gt;"",G72&lt;&gt;0),(E72-G72)/G72*100,"")</f>
        <v>0.52321778940483976</v>
      </c>
      <c r="AA72" s="163" t="str">
        <f>IF(OR(C72="",E72="",E72=0),"",IF(E72&gt;G72,"上昇▲",IF(E72&lt;G72,"下落▼","横ばい→")))</f>
        <v>上昇▲</v>
      </c>
      <c r="AB72" s="403">
        <f>IF(C72="","",IFERROR(((終値!E74*0.333)+(終値!F74*0.222)+(終値!G74*0.148)+(終値!H74*0.099)+(終値!I74*0.066)+(終値!J74*0.044)+(終値!K74*0.029)+(終値!L74*0.019)+(終値!M74*0.013)+(終値!N74*0.009))/(0.333+0.222+0.148+0.099+0.066+0.044+0.029+0.019+0.013+0.009),""))</f>
        <v>3142.3360488798367</v>
      </c>
      <c r="AC72" s="403">
        <f>IF(C72="","",IFERROR(SUMPRODUCT((終値!E74:AC74),({0.077,0.071,0.065,0.06,0.055,0.051,0.047,0.043,0.039,0.036,0.033,0.031,0.028,0.026,0.024,0.022,0.02,0.018,0.017,0.016,0.014,0.013,0.012,0.011,0.01}))/SUM({0.077,0.071,0.065,0.06,0.055,0.051,0.047,0.043,0.039,0.036,0.033,0.031,0.028,0.026,0.024,0.022,0.02,0.018,0.017,0.016,0.014,0.013,0.012,0.011,0.01}),""))</f>
        <v>3099.0548271752068</v>
      </c>
      <c r="AD72" s="404" t="str">
        <f>IF(OR(C72="",AB72="",AC72=""),"",IF(AND(E72&gt;AB72,AB72&gt;AC72),"パーフェクト▲",IF(E72&gt;AC72,"上昇トレンド▲",IF(AND(E72&lt;AB72,AB72&lt;AC72),"下降トレンド▼","もみ合い→"))))</f>
        <v>もみ合い→</v>
      </c>
      <c r="AE72" s="404" t="str">
        <f>IF(OR(C72="",AB72="",AC72=""),"",IF(AND(ABS(E72-AC72)/AC72&lt;=0.02,E72&gt;AC72),"25日押し目★",IF(AND(ABS(E72-AB72)/AB72&lt;=0.01,E72&gt;AB72),"5日押し目○","なし")))</f>
        <v>なし</v>
      </c>
      <c r="AF72" s="365" t="str">
        <f t="array" ref="AF72">IF(C72="","",IFERROR((INDEX(終値!$E:$E,MATCH(TEXT(C72,"0"),終値!$A:$A,0))-INDEX(終値!$E:$CZ,MATCH(TEXT(C72,"0"),終値!$A:$A,0),$AL$2))/INDEX(終値!$E:$CZ,MATCH(TEXT(C72,"0"),終値!$A:$A,0),$AL$2)*100,""))</f>
        <v/>
      </c>
      <c r="AG72" s="365">
        <f t="array" ref="AG72">IFERROR((終値!$E$5-INDEX(終値!$E$5:$IT$5,1,$AL$2))/INDEX(終値!$E$5:$IT$5,1,$AL$2)*100,"")</f>
        <v>1.0179378228534113</v>
      </c>
      <c r="AH72" s="366" t="str">
        <f>IF(OR(AF72="",AG72=""),"",AF72-AG72)</f>
        <v/>
      </c>
      <c r="AI72" s="364" t="str">
        <f>IF(AH72="","",IF(AH72&gt;5,3,IF(AH72&gt;0,1,IF(AH72&gt;-3,-1,-2))))</f>
        <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2983.5</v>
      </c>
      <c r="F73" s="166">
        <f>IF(C73&lt;&gt;"",_xll.RssMarket(C73,"始値"),"")</f>
        <v>2930</v>
      </c>
      <c r="G73" s="165">
        <f>IF(C73&lt;&gt;"",終値!F77,"")</f>
        <v>2914.5</v>
      </c>
      <c r="H73" s="166">
        <f>IF(C73&lt;&gt;"",_xll.RssMarket(C73,"高値"),"")</f>
        <v>2993.5</v>
      </c>
      <c r="I73" s="166">
        <f>IF(C73&lt;&gt;"",_xll.RssMarket(C73,"安値"),"")</f>
        <v>2918</v>
      </c>
      <c r="J73" s="166">
        <f>IF(C73&lt;&gt;"",_xll.RssMarket(C73,"出来高"),"")</f>
        <v>31969900</v>
      </c>
      <c r="K73" s="166">
        <f>IF(C73&lt;&gt;"",_xll.RssMarket(C73,"年初来高値"),"")</f>
        <v>4000</v>
      </c>
      <c r="L73" s="167">
        <f>IF(AND(E73&lt;&gt;"",K73&lt;&gt;"",K73&lt;&gt;0),(E73-K73)/K73*100,"")</f>
        <v>-25.412499999999998</v>
      </c>
      <c r="M73" s="166">
        <f>IF(C73&lt;&gt;"",IFERROR(AVERAGE(出来高!E77:I77),""),"")</f>
        <v>46197340</v>
      </c>
      <c r="N73" s="166">
        <f>IF(C73&lt;&gt;"",IFERROR(AVERAGE(出来高!E77:AC77),""),"")</f>
        <v>34860832</v>
      </c>
      <c r="O73" s="168">
        <f>IF(AND(J73&lt;&gt;"",M73&lt;&gt;"",M73&lt;&gt;0),J73/M73,"")</f>
        <v>0.69202902158435964</v>
      </c>
      <c r="P73" s="163" t="str">
        <f>IF(O73="","",IF(O73&gt;=2,"急増↑↑",IF(O73&gt;=1.5,"増加↑",IF(O73&gt;=1,"普通→","減少↓"))))</f>
        <v>減少↓</v>
      </c>
      <c r="Q73" s="163" t="str">
        <f>IF(E73="","",IF(AND(E73&gt;G73,O73&gt;=1.5),"買い▲",IF(E73&lt;G73,"様子見▼","中立→")))</f>
        <v>中立→</v>
      </c>
      <c r="R73" s="166">
        <f>IF(E73&lt;&gt;"",ROUND(E73*1.08,0),"")</f>
        <v>3222</v>
      </c>
      <c r="S73" s="166">
        <f>IF(E73&lt;&gt;"",ROUND(E73*0.96,0),"")</f>
        <v>2864</v>
      </c>
      <c r="T73" s="163">
        <f>IF(C73="","",IFERROR(IF(O73&gt;=2,3,IF(O73&gt;=1.5,2,IF(O73&gt;=1,1,0)))+IF(E73&gt;G73,1,0)+IF(L73&gt;=-5,1,0)+IF(Q73="買い▲",2,0)+IF(W73&lt;=30,3,IF(W73&lt;=40,2,IF(AND(W73&gt;=40,W73&lt;=60),1,0)))+IF(X73&gt;0,1,0)+IF(V73="年初来高値更新●",3,IF(V73="高値圏",2,0))+IF(AD73="パーフェクト▲",3,IF(AD73="上昇トレンド▲",2,0))+IF(AE73="25日線押し目●",2,IF(AE73="5日線押し目○",1,0))+IF(P73="急増↑↑",2,IF(P73="増加↑",1,0))+N(AI73),0))</f>
        <v>9</v>
      </c>
      <c r="U73" s="163" t="str">
        <f>IF(T73="","",IF(AND(T73&gt;=3,O73&gt;=1.5),"有効",IF(T73&gt;=3,"要確認","除外")))</f>
        <v>要確認</v>
      </c>
      <c r="V73" s="163" t="str">
        <f>IF(AND(H73&lt;&gt;"",K73&lt;&gt;""),IF(H73&gt;=K73,"年初来高値更新●",IF(H73&gt;=K73*0.95,"高値圏","通常")),"")</f>
        <v>通常</v>
      </c>
      <c r="W73" s="169">
        <f t="array" ref="W73">IF(C73&lt;&gt;"",IFERROR(100-100/(1+SUMPRODUCT((終値!F77:R77&gt;終値!G77:S77)*( 終値!F77:R77-終値!G77:S77))/SUMPRODUCT((終値!F77:R77&lt;終値!G77:S77)*(終値!G77:S77-終値!F77:R77))),50),"")</f>
        <v>52.516129032258071</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△注目</v>
      </c>
      <c r="Z73" s="171">
        <f>IF(AND(E73&lt;&gt;"",G73&lt;&gt;"",G73&lt;&gt;0),(E73-G73)/G73*100,"")</f>
        <v>2.3674729799279466</v>
      </c>
      <c r="AA73" s="163" t="str">
        <f>IF(OR(C73="",E73="",E73=0),"",IF(E73&gt;G73,"上昇▲",IF(E73&lt;G73,"下落▼","横ばい→")))</f>
        <v>上昇▲</v>
      </c>
      <c r="AB73" s="405">
        <f>IF(C73="","",IFERROR(((終値!E75*0.333)+(終値!F75*0.222)+(終値!G75*0.148)+(終値!H75*0.099)+(終値!I75*0.066)+(終値!J75*0.044)+(終値!K75*0.029)+(終値!L75*0.019)+(終値!M75*0.013)+(終値!N75*0.009))/(0.333+0.222+0.148+0.099+0.066+0.044+0.029+0.019+0.013+0.009),""))</f>
        <v>1798.4597759674132</v>
      </c>
      <c r="AC73" s="405">
        <f>IF(C73="","",IFERROR(SUMPRODUCT((終値!E75:AC75),({0.077,0.071,0.065,0.06,0.055,0.051,0.047,0.043,0.039,0.036,0.033,0.031,0.028,0.026,0.024,0.022,0.02,0.018,0.017,0.016,0.014,0.013,0.012,0.011,0.01}))/SUM({0.077,0.071,0.065,0.06,0.055,0.051,0.047,0.043,0.039,0.036,0.033,0.031,0.028,0.026,0.024,0.022,0.02,0.018,0.017,0.016,0.014,0.013,0.012,0.011,0.01}),""))</f>
        <v>1791.4845053635272</v>
      </c>
      <c r="AD73" s="406" t="str">
        <f>IF(OR(C73="",AB73="",AC73=""),"",IF(AND(E73&gt;AB73,AB73&gt;AC73),"パーフェクト▲",IF(E73&gt;AC73,"上昇トレンド▲",IF(AND(E73&lt;AB73,AB73&lt;AC73),"下降トレンド▼","もみ合い→"))))</f>
        <v>パーフェクト▲</v>
      </c>
      <c r="AE73" s="406" t="str">
        <f>IF(OR(C73="",AB73="",AC73=""),"",IF(AND(ABS(E73-AC73)/AC73&lt;=0.02,E73&gt;AC73),"25日押し目★",IF(AND(ABS(E73-AB73)/AB73&lt;=0.01,E73&gt;AB73),"5日押し目○","なし")))</f>
        <v>なし</v>
      </c>
      <c r="AF73" s="365">
        <f t="array" ref="AF73">IF(C73="","",IFERROR((INDEX(終値!$E:$E,MATCH(TEXT(C73,"0"),終値!$A:$A,0))-INDEX(終値!$E:$CZ,MATCH(TEXT(C73,"0"),終値!$A:$A,0),$AL$2))/INDEX(終値!$E:$CZ,MATCH(TEXT(C73,"0"),終値!$A:$A,0),$AL$2)*100,""))</f>
        <v>9.5063314369609095</v>
      </c>
      <c r="AG73" s="365">
        <f t="array" ref="AG73">IFERROR((終値!$E$5-INDEX(終値!$E$5:$IT$5,1,$AL$2))/INDEX(終値!$E$5:$IT$5,1,$AL$2)*100,"")</f>
        <v>1.0179378228534113</v>
      </c>
      <c r="AH73" s="366">
        <f>IF(OR(AF73="",AG73=""),"",AF73-AG73)</f>
        <v>8.4883936141074976</v>
      </c>
      <c r="AI73" s="364">
        <f>IF(AH73="","",IF(AH73&gt;5,3,IF(AH73&gt;0,1,IF(AH73&gt;-3,-1,-2))))</f>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3232</v>
      </c>
      <c r="F74" s="166">
        <f>IF(C74&lt;&gt;"",_xll.RssMarket(C74,"始値"),"")</f>
        <v>3189</v>
      </c>
      <c r="G74" s="165">
        <f>IF(C74&lt;&gt;"",終値!F85,"")</f>
        <v>3200</v>
      </c>
      <c r="H74" s="166">
        <f>IF(C74&lt;&gt;"",_xll.RssMarket(C74,"高値"),"")</f>
        <v>3246</v>
      </c>
      <c r="I74" s="166">
        <f>IF(C74&lt;&gt;"",_xll.RssMarket(C74,"安値"),"")</f>
        <v>3185</v>
      </c>
      <c r="J74" s="166">
        <f>IF(C74&lt;&gt;"",_xll.RssMarket(C74,"出来高"),"")</f>
        <v>5230400</v>
      </c>
      <c r="K74" s="166">
        <f>IF(C74&lt;&gt;"",_xll.RssMarket(C74,"年初来高値"),"")</f>
        <v>3465</v>
      </c>
      <c r="L74" s="167">
        <f>IF(AND(E74&lt;&gt;"",K74&lt;&gt;"",K74&lt;&gt;0),(E74-K74)/K74*100,"")</f>
        <v>-6.7243867243867248</v>
      </c>
      <c r="M74" s="166">
        <f>IF(C74&lt;&gt;"",IFERROR(AVERAGE(出来高!E85:I85),""),"")</f>
        <v>7322700</v>
      </c>
      <c r="N74" s="166">
        <f>IF(C74&lt;&gt;"",IFERROR(AVERAGE(出来高!E85:AC85),""),"")</f>
        <v>6567544</v>
      </c>
      <c r="O74" s="168">
        <f>IF(AND(J74&lt;&gt;"",M74&lt;&gt;"",M74&lt;&gt;0),J74/M74,"")</f>
        <v>0.71427205812063854</v>
      </c>
      <c r="P74" s="163" t="str">
        <f>IF(O74="","",IF(O74&gt;=2,"急増↑↑",IF(O74&gt;=1.5,"増加↑",IF(O74&gt;=1,"普通→","減少↓"))))</f>
        <v>減少↓</v>
      </c>
      <c r="Q74" s="163" t="str">
        <f>IF(E74="","",IF(AND(E74&gt;G74,O74&gt;=1.5),"買い▲",IF(E74&lt;G74,"様子見▼","中立→")))</f>
        <v>中立→</v>
      </c>
      <c r="R74" s="166">
        <f>IF(E74&lt;&gt;"",ROUND(E74*1.08,0),"")</f>
        <v>3491</v>
      </c>
      <c r="S74" s="166">
        <f>IF(E74&lt;&gt;"",ROUND(E74*0.96,0),"")</f>
        <v>3103</v>
      </c>
      <c r="T74" s="163">
        <f>IF(C74="","",IFERROR(IF(O74&gt;=2,3,IF(O74&gt;=1.5,2,IF(O74&gt;=1,1,0)))+IF(E74&gt;G74,1,0)+IF(L74&gt;=-5,1,0)+IF(Q74="買い▲",2,0)+IF(W74&lt;=30,3,IF(W74&lt;=40,2,IF(AND(W74&gt;=40,W74&lt;=60),1,0)))+IF(X74&gt;0,1,0)+IF(V74="年初来高値更新●",3,IF(V74="高値圏",2,0))+IF(AD74="パーフェクト▲",3,IF(AD74="上昇トレンド▲",2,0))+IF(AE74="25日線押し目●",2,IF(AE74="5日線押し目○",1,0))+IF(P74="急増↑↑",2,IF(P74="増加↑",1,0))+N(AI74),0))</f>
        <v>3</v>
      </c>
      <c r="U74" s="163" t="str">
        <f>IF(T74="","",IF(AND(T74&gt;=3,O74&gt;=1.5),"有効",IF(T74&gt;=3,"要確認","除外")))</f>
        <v>要確認</v>
      </c>
      <c r="V74" s="163" t="str">
        <f>IF(AND(H74&lt;&gt;"",K74&lt;&gt;""),IF(H74&gt;=K74,"年初来高値更新●",IF(H74&gt;=K74*0.95,"高値圏","通常")),"")</f>
        <v>通常</v>
      </c>
      <c r="W74" s="169">
        <f t="array" ref="W74">IF(C74&lt;&gt;"",IFERROR(100-100/(1+SUMPRODUCT((終値!F85:R85&gt;終値!G85:S85)*( 終値!F85:R85-終値!G85:S85))/SUMPRODUCT((終値!F85:R85&lt;終値!G85:S85)*(終値!G85:S85-終値!F85:R85))),50),"")</f>
        <v>42.299794661190965</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様子見</v>
      </c>
      <c r="Z74" s="171">
        <f>IF(AND(E74&lt;&gt;"",G74&lt;&gt;"",G74&lt;&gt;0),(E74-G74)/G74*100,"")</f>
        <v>1</v>
      </c>
      <c r="AA74" s="163" t="str">
        <f>IF(OR(C74="",E74="",E74=0),"",IF(E74&gt;G74,"上昇▲",IF(E74&lt;G74,"下落▼","横ばい→")))</f>
        <v>上昇▲</v>
      </c>
      <c r="AB74" s="403">
        <f>IF(C74="","",IFERROR(((終値!E76*0.333)+(終値!F76*0.222)+(終値!G76*0.148)+(終値!H76*0.099)+(終値!I76*0.066)+(終値!J76*0.044)+(終値!K76*0.029)+(終値!L76*0.019)+(終値!M76*0.013)+(終値!N76*0.009))/(0.333+0.222+0.148+0.099+0.066+0.044+0.029+0.019+0.013+0.009),""))</f>
        <v>5109.7189409368621</v>
      </c>
      <c r="AC74" s="403">
        <f>IF(C74="","",IFERROR(SUMPRODUCT((終値!E76:AC76),({0.077,0.071,0.065,0.06,0.055,0.051,0.047,0.043,0.039,0.036,0.033,0.031,0.028,0.026,0.024,0.022,0.02,0.018,0.017,0.016,0.014,0.013,0.012,0.011,0.01}))/SUM({0.077,0.071,0.065,0.06,0.055,0.051,0.047,0.043,0.039,0.036,0.033,0.031,0.028,0.026,0.024,0.022,0.02,0.018,0.017,0.016,0.014,0.013,0.012,0.011,0.01}),""))</f>
        <v>5211.8104886769934</v>
      </c>
      <c r="AD74" s="404" t="str">
        <f>IF(OR(C74="",AB74="",AC74=""),"",IF(AND(E74&gt;AB74,AB74&gt;AC74),"パーフェクト▲",IF(E74&gt;AC74,"上昇トレンド▲",IF(AND(E74&lt;AB74,AB74&lt;AC74),"下降トレンド▼","もみ合い→"))))</f>
        <v>下降トレンド▼</v>
      </c>
      <c r="AE74" s="404" t="str">
        <f>IF(OR(C74="",AB74="",AC74=""),"",IF(AND(ABS(E74-AC74)/AC74&lt;=0.02,E74&gt;AC74),"25日押し目★",IF(AND(ABS(E74-AB74)/AB74&lt;=0.01,E74&gt;AB74),"5日押し目○","なし")))</f>
        <v>なし</v>
      </c>
      <c r="AF74" s="365">
        <f t="array" ref="AF74">IF(C74="","",IFERROR((INDEX(終値!$E:$E,MATCH(TEXT(C74,"0"),終値!$A:$A,0))-INDEX(終値!$E:$CZ,MATCH(TEXT(C74,"0"),終値!$A:$A,0),$AL$2))/INDEX(終値!$E:$CZ,MATCH(TEXT(C74,"0"),終値!$A:$A,0),$AL$2)*100,""))</f>
        <v>4.697116942014901</v>
      </c>
      <c r="AG74" s="365">
        <f t="array" ref="AG74">IFERROR((終値!$E$5-INDEX(終値!$E$5:$IT$5,1,$AL$2))/INDEX(終値!$E$5:$IT$5,1,$AL$2)*100,"")</f>
        <v>1.0179378228534113</v>
      </c>
      <c r="AH74" s="366">
        <f>IF(OR(AF74="",AG74=""),"",AF74-AG74)</f>
        <v>3.67917911916149</v>
      </c>
      <c r="AI74" s="364">
        <f>IF(AH74="","",IF(AH74&gt;5,3,IF(AH74&gt;0,1,IF(AH74&gt;-3,-1,-2))))</f>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1628</v>
      </c>
      <c r="F75" s="166">
        <f>IF(C75&lt;&gt;"",_xll.RssMarket(C75,"始値"),"")</f>
        <v>1562</v>
      </c>
      <c r="G75" s="165">
        <f>IF(C75&lt;&gt;"",終値!F82,"")</f>
        <v>1522</v>
      </c>
      <c r="H75" s="166">
        <f>IF(C75&lt;&gt;"",_xll.RssMarket(C75,"高値"),"")</f>
        <v>1636.5</v>
      </c>
      <c r="I75" s="166">
        <f>IF(C75&lt;&gt;"",_xll.RssMarket(C75,"安値"),"")</f>
        <v>1556.5</v>
      </c>
      <c r="J75" s="166">
        <f>IF(C75&lt;&gt;"",_xll.RssMarket(C75,"出来高"),"")</f>
        <v>4771400</v>
      </c>
      <c r="K75" s="166">
        <f>IF(C75&lt;&gt;"",_xll.RssMarket(C75,"年初来高値"),"")</f>
        <v>1585.5</v>
      </c>
      <c r="L75" s="167">
        <f>IF(AND(E75&lt;&gt;"",K75&lt;&gt;"",K75&lt;&gt;0),(E75-K75)/K75*100,"")</f>
        <v>2.6805424156417534</v>
      </c>
      <c r="M75" s="166">
        <f>IF(C75&lt;&gt;"",IFERROR(AVERAGE(出来高!E82:I82),""),"")</f>
        <v>3550420</v>
      </c>
      <c r="N75" s="166">
        <f>IF(C75&lt;&gt;"",IFERROR(AVERAGE(出来高!E82:AC82),""),"")</f>
        <v>3110808</v>
      </c>
      <c r="O75" s="168">
        <f>IF(AND(J75&lt;&gt;"",M75&lt;&gt;"",M75&lt;&gt;0),J75/M75,"")</f>
        <v>1.3438973417229512</v>
      </c>
      <c r="P75" s="163" t="str">
        <f>IF(O75="","",IF(O75&gt;=2,"急増↑↑",IF(O75&gt;=1.5,"増加↑",IF(O75&gt;=1,"普通→","減少↓"))))</f>
        <v>普通→</v>
      </c>
      <c r="Q75" s="163" t="str">
        <f>IF(E75="","",IF(AND(E75&gt;G75,O75&gt;=1.5),"買い▲",IF(E75&lt;G75,"様子見▼","中立→")))</f>
        <v>中立→</v>
      </c>
      <c r="R75" s="166">
        <f>IF(E75&lt;&gt;"",ROUND(E75*1.08,0),"")</f>
        <v>1758</v>
      </c>
      <c r="S75" s="166">
        <f>IF(E75&lt;&gt;"",ROUND(E75*0.96,0),"")</f>
        <v>1563</v>
      </c>
      <c r="T75" s="163">
        <f>IF(C75="","",IFERROR(IF(O75&gt;=2,3,IF(O75&gt;=1.5,2,IF(O75&gt;=1,1,0)))+IF(E75&gt;G75,1,0)+IF(L75&gt;=-5,1,0)+IF(Q75="買い▲",2,0)+IF(W75&lt;=30,3,IF(W75&lt;=40,2,IF(AND(W75&gt;=40,W75&lt;=60),1,0)))+IF(X75&gt;0,1,0)+IF(V75="年初来高値更新●",3,IF(V75="高値圏",2,0))+IF(AD75="パーフェクト▲",3,IF(AD75="上昇トレンド▲",2,0))+IF(AE75="25日線押し目●",2,IF(AE75="5日線押し目○",1,0))+IF(P75="急増↑↑",2,IF(P75="増加↑",1,0))+N(AI75),0))</f>
        <v>11</v>
      </c>
      <c r="U75" s="163" t="str">
        <f>IF(T75="","",IF(AND(T75&gt;=3,O75&gt;=1.5),"有効",IF(T75&gt;=3,"要確認","除外")))</f>
        <v>要確認</v>
      </c>
      <c r="V75" s="163" t="str">
        <f>IF(AND(H75&lt;&gt;"",K75&lt;&gt;""),IF(H75&gt;=K75,"年初来高値更新●",IF(H75&gt;=K75*0.95,"高値圏","通常")),"")</f>
        <v>年初来高値更新●</v>
      </c>
      <c r="W75" s="169">
        <f t="array" ref="W75">IF(C75&lt;&gt;"",IFERROR(100-100/(1+SUMPRODUCT((終値!F82:R82&gt;終値!G82:S82)*( 終値!F82:R82-終値!G82:S82))/SUMPRODUCT((終値!F82:R82&lt;終値!G82:S82)*(終値!G82:S82-終値!F82:R82))),50),"")</f>
        <v>48.828606658446368</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○買い候補</v>
      </c>
      <c r="Z75" s="171">
        <f>IF(AND(E75&lt;&gt;"",G75&lt;&gt;"",G75&lt;&gt;0),(E75-G75)/G75*100,"")</f>
        <v>6.9645203679369247</v>
      </c>
      <c r="AA75" s="163" t="str">
        <f>IF(OR(C75="",E75="",E75=0),"",IF(E75&gt;G75,"上昇▲",IF(E75&lt;G75,"下落▼","横ばい→")))</f>
        <v>上昇▲</v>
      </c>
      <c r="AB75" s="405">
        <f>IF(C75="","",IFERROR(((終値!E77*0.333)+(終値!F77*0.222)+(終値!G77*0.148)+(終値!H77*0.099)+(終値!I77*0.066)+(終値!J77*0.044)+(終値!K77*0.029)+(終値!L77*0.019)+(終値!M77*0.013)+(終値!N77*0.009))/(0.333+0.222+0.148+0.099+0.066+0.044+0.029+0.019+0.013+0.009),""))</f>
        <v>2974.630855397148</v>
      </c>
      <c r="AC75" s="405">
        <f>IF(C75="","",IFERROR(SUMPRODUCT((終値!E77:AC77),({0.077,0.071,0.065,0.06,0.055,0.051,0.047,0.043,0.039,0.036,0.033,0.031,0.028,0.026,0.024,0.022,0.02,0.018,0.017,0.016,0.014,0.013,0.012,0.011,0.01}))/SUM({0.077,0.071,0.065,0.06,0.055,0.051,0.047,0.043,0.039,0.036,0.033,0.031,0.028,0.026,0.024,0.022,0.02,0.018,0.017,0.016,0.014,0.013,0.012,0.011,0.01}),""))</f>
        <v>2959.6853396901056</v>
      </c>
      <c r="AD75" s="406" t="str">
        <f>IF(OR(C75="",AB75="",AC75=""),"",IF(AND(E75&gt;AB75,AB75&gt;AC75),"パーフェクト▲",IF(E75&gt;AC75,"上昇トレンド▲",IF(AND(E75&lt;AB75,AB75&lt;AC75),"下降トレンド▼","もみ合い→"))))</f>
        <v>もみ合い→</v>
      </c>
      <c r="AE75" s="406" t="str">
        <f>IF(OR(C75="",AB75="",AC75=""),"",IF(AND(ABS(E75-AC75)/AC75&lt;=0.02,E75&gt;AC75),"25日押し目★",IF(AND(ABS(E75-AB75)/AB75&lt;=0.01,E75&gt;AB75),"5日押し目○","なし")))</f>
        <v>なし</v>
      </c>
      <c r="AF75" s="365">
        <f t="array" ref="AF75">IF(C75="","",IFERROR((INDEX(終値!$E:$E,MATCH(TEXT(C75,"0"),終値!$A:$A,0))-INDEX(終値!$E:$CZ,MATCH(TEXT(C75,"0"),終値!$A:$A,0),$AL$2))/INDEX(終値!$E:$CZ,MATCH(TEXT(C75,"0"),終値!$A:$A,0),$AL$2)*100,""))</f>
        <v>13.726859937128886</v>
      </c>
      <c r="AG75" s="365">
        <f t="array" ref="AG75">IFERROR((終値!$E$5-INDEX(終値!$E$5:$IT$5,1,$AL$2))/INDEX(終値!$E$5:$IT$5,1,$AL$2)*100,"")</f>
        <v>1.0179378228534113</v>
      </c>
      <c r="AH75" s="366">
        <f>IF(OR(AF75="",AG75=""),"",AF75-AG75)</f>
        <v>12.708922114275474</v>
      </c>
      <c r="AI75" s="364">
        <f>IF(AH75="","",IF(AH75&gt;5,3,IF(AH75&gt;0,1,IF(AH75&gt;-3,-1,-2))))</f>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2089</v>
      </c>
      <c r="F76" s="166">
        <f>IF(C76&lt;&gt;"",_xll.RssMarket(C76,"始値"),"")</f>
        <v>2080</v>
      </c>
      <c r="G76" s="165">
        <f>IF(C76&lt;&gt;"",終値!F106,"")</f>
        <v>2050</v>
      </c>
      <c r="H76" s="166">
        <f>IF(C76&lt;&gt;"",_xll.RssMarket(C76,"高値"),"")</f>
        <v>2089</v>
      </c>
      <c r="I76" s="166">
        <f>IF(C76&lt;&gt;"",_xll.RssMarket(C76,"安値"),"")</f>
        <v>2051</v>
      </c>
      <c r="J76" s="166">
        <f>IF(C76&lt;&gt;"",_xll.RssMarket(C76,"出来高"),"")</f>
        <v>1400</v>
      </c>
      <c r="K76" s="166">
        <f>IF(C76&lt;&gt;"",_xll.RssMarket(C76,"年初来高値"),"")</f>
        <v>2539</v>
      </c>
      <c r="L76" s="167">
        <f>IF(AND(E76&lt;&gt;"",K76&lt;&gt;"",K76&lt;&gt;0),(E76-K76)/K76*100,"")</f>
        <v>-17.723513194170934</v>
      </c>
      <c r="M76" s="166">
        <f>IF(C76&lt;&gt;"",IFERROR(AVERAGE(出来高!E106:I106),""),"")</f>
        <v>1480</v>
      </c>
      <c r="N76" s="166">
        <f>IF(C76&lt;&gt;"",IFERROR(AVERAGE(出来高!E106:AC106),""),"")</f>
        <v>1556</v>
      </c>
      <c r="O76" s="168">
        <f>IF(AND(J76&lt;&gt;"",M76&lt;&gt;"",M76&lt;&gt;0),J76/M76,"")</f>
        <v>0.94594594594594594</v>
      </c>
      <c r="P76" s="163" t="str">
        <f>IF(O76="","",IF(O76&gt;=2,"急増↑↑",IF(O76&gt;=1.5,"増加↑",IF(O76&gt;=1,"普通→","減少↓"))))</f>
        <v>減少↓</v>
      </c>
      <c r="Q76" s="163" t="str">
        <f>IF(E76="","",IF(AND(E76&gt;G76,O76&gt;=1.5),"買い▲",IF(E76&lt;G76,"様子見▼","中立→")))</f>
        <v>中立→</v>
      </c>
      <c r="R76" s="166">
        <f>IF(E76&lt;&gt;"",ROUND(E76*1.08,0),"")</f>
        <v>2256</v>
      </c>
      <c r="S76" s="166">
        <f>IF(E76&lt;&gt;"",ROUND(E76*0.96,0),"")</f>
        <v>2005</v>
      </c>
      <c r="T76" s="163">
        <f>IF(C76="","",IFERROR(IF(O76&gt;=2,3,IF(O76&gt;=1.5,2,IF(O76&gt;=1,1,0)))+IF(E76&gt;G76,1,0)+IF(L76&gt;=-5,1,0)+IF(Q76="買い▲",2,0)+IF(W76&lt;=30,3,IF(W76&lt;=40,2,IF(AND(W76&gt;=40,W76&lt;=60),1,0)))+IF(X76&gt;0,1,0)+IF(V76="年初来高値更新●",3,IF(V76="高値圏",2,0))+IF(AD76="パーフェクト▲",3,IF(AD76="上昇トレンド▲",2,0))+IF(AE76="25日線押し目●",2,IF(AE76="5日線押し目○",1,0))+IF(P76="急増↑↑",2,IF(P76="増加↑",1,0))+N(AI76),0))</f>
        <v>5</v>
      </c>
      <c r="U76" s="163" t="str">
        <f>IF(T76="","",IF(AND(T76&gt;=3,O76&gt;=1.5),"有効",IF(T76&gt;=3,"要確認","除外")))</f>
        <v>要確認</v>
      </c>
      <c r="V76" s="163" t="str">
        <f>IF(AND(H76&lt;&gt;"",K76&lt;&gt;""),IF(H76&gt;=K76,"年初来高値更新●",IF(H76&gt;=K76*0.95,"高値圏","通常")),"")</f>
        <v>通常</v>
      </c>
      <c r="W76" s="169">
        <f t="array" ref="W76">IF(C76&lt;&gt;"",IFERROR(100-100/(1+SUMPRODUCT((終値!F106:R106&gt;終値!G106:S106)*( 終値!F106:R106-終値!G106:S106))/SUMPRODUCT((終値!F106:R106&lt;終値!G106:S106)*(終値!G106:S106-終値!F106:R106))),50),"")</f>
        <v>88.059701492537314</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様子見</v>
      </c>
      <c r="Z76" s="171">
        <f>IF(AND(E76&lt;&gt;"",G76&lt;&gt;"",G76&lt;&gt;0),(E76-G76)/G76*100,"")</f>
        <v>1.9024390243902438</v>
      </c>
      <c r="AA76" s="163" t="str">
        <f>IF(OR(C76="",E76="",E76=0),"",IF(E76&gt;G76,"上昇▲",IF(E76&lt;G76,"下落▼","横ばい→")))</f>
        <v>上昇▲</v>
      </c>
      <c r="AB76" s="403">
        <f>IF(C76="","",IFERROR(((終値!E78*0.333)+(終値!F78*0.222)+(終値!G78*0.148)+(終値!H78*0.099)+(終値!I78*0.066)+(終値!J78*0.044)+(終値!K78*0.029)+(終値!L78*0.019)+(終値!M78*0.013)+(終値!N78*0.009))/(0.333+0.222+0.148+0.099+0.066+0.044+0.029+0.019+0.013+0.009),""))</f>
        <v>6430.7260692464351</v>
      </c>
      <c r="AC76" s="403">
        <f>IF(C76="","",IFERROR(SUMPRODUCT((終値!E78:AC78),({0.077,0.071,0.065,0.06,0.055,0.051,0.047,0.043,0.039,0.036,0.033,0.031,0.028,0.026,0.024,0.022,0.02,0.018,0.017,0.016,0.014,0.013,0.012,0.011,0.01}))/SUM({0.077,0.071,0.065,0.06,0.055,0.051,0.047,0.043,0.039,0.036,0.033,0.031,0.028,0.026,0.024,0.022,0.02,0.018,0.017,0.016,0.014,0.013,0.012,0.011,0.01}),""))</f>
        <v>6659.584028605479</v>
      </c>
      <c r="AD76" s="404" t="str">
        <f>IF(OR(C76="",AB76="",AC76=""),"",IF(AND(E76&gt;AB76,AB76&gt;AC76),"パーフェクト▲",IF(E76&gt;AC76,"上昇トレンド▲",IF(AND(E76&lt;AB76,AB76&lt;AC76),"下降トレンド▼","もみ合い→"))))</f>
        <v>下降トレンド▼</v>
      </c>
      <c r="AE76" s="404" t="str">
        <f>IF(OR(C76="",AB76="",AC76=""),"",IF(AND(ABS(E76-AC76)/AC76&lt;=0.02,E76&gt;AC76),"25日押し目★",IF(AND(ABS(E76-AB76)/AB76&lt;=0.01,E76&gt;AB76),"5日押し目○","なし")))</f>
        <v>なし</v>
      </c>
      <c r="AF76" s="365">
        <f t="array" ref="AF76">IF(C76="","",IFERROR((INDEX(終値!$E:$E,MATCH(TEXT(C76,"0"),終値!$A:$A,0))-INDEX(終値!$E:$CZ,MATCH(TEXT(C76,"0"),終値!$A:$A,0),$AL$2))/INDEX(終値!$E:$CZ,MATCH(TEXT(C76,"0"),終値!$A:$A,0),$AL$2)*100,""))</f>
        <v>16.120066703724291</v>
      </c>
      <c r="AG76" s="365">
        <f t="array" ref="AG76">IFERROR((終値!$E$5-INDEX(終値!$E$5:$IT$5,1,$AL$2))/INDEX(終値!$E$5:$IT$5,1,$AL$2)*100,"")</f>
        <v>1.0179378228534113</v>
      </c>
      <c r="AH76" s="366">
        <f>IF(OR(AF76="",AG76=""),"",AF76-AG76)</f>
        <v>15.102128880870879</v>
      </c>
      <c r="AI76" s="364">
        <f>IF(AH76="","",IF(AH76&gt;5,3,IF(AH76&gt;0,1,IF(AH76&gt;-3,-1,-2))))</f>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3998</v>
      </c>
      <c r="F77" s="166">
        <f>IF(C77&lt;&gt;"",_xll.RssMarket(C77,"始値"),"")</f>
        <v>4050</v>
      </c>
      <c r="G77" s="165">
        <f>IF(C77&lt;&gt;"",終値!F207,"")</f>
        <v>4000</v>
      </c>
      <c r="H77" s="166">
        <f>IF(C77&lt;&gt;"",_xll.RssMarket(C77,"高値"),"")</f>
        <v>4137</v>
      </c>
      <c r="I77" s="166">
        <f>IF(C77&lt;&gt;"",_xll.RssMarket(C77,"安値"),"")</f>
        <v>3976</v>
      </c>
      <c r="J77" s="166">
        <f>IF(C77&lt;&gt;"",_xll.RssMarket(C77,"出来高"),"")</f>
        <v>19815300</v>
      </c>
      <c r="K77" s="166">
        <f>IF(C77&lt;&gt;"",_xll.RssMarket(C77,"年初来高値"),"")</f>
        <v>5208</v>
      </c>
      <c r="L77" s="167">
        <f>IF(AND(E77&lt;&gt;"",K77&lt;&gt;"",K77&lt;&gt;0),(E77-K77)/K77*100,"")</f>
        <v>-23.233486943164365</v>
      </c>
      <c r="M77" s="166">
        <f>IF(C77&lt;&gt;"",IFERROR(AVERAGE(出来高!E207:I207),""),"")</f>
        <v>29811200</v>
      </c>
      <c r="N77" s="166">
        <f>IF(C77&lt;&gt;"",IFERROR(AVERAGE(出来高!E207:AC207),""),"")</f>
        <v>20416600</v>
      </c>
      <c r="O77" s="168">
        <f>IF(AND(J77&lt;&gt;"",M77&lt;&gt;"",M77&lt;&gt;0),J77/M77,"")</f>
        <v>0.66469313546586517</v>
      </c>
      <c r="P77" s="163" t="str">
        <f>IF(O77="","",IF(O77&gt;=2,"急増↑↑",IF(O77&gt;=1.5,"増加↑",IF(O77&gt;=1,"普通→","減少↓"))))</f>
        <v>減少↓</v>
      </c>
      <c r="Q77" s="163" t="str">
        <f>IF(E77="","",IF(AND(E77&gt;G77,O77&gt;=1.5),"買い▲",IF(E77&lt;G77,"様子見▼","中立→")))</f>
        <v>様子見▼</v>
      </c>
      <c r="R77" s="166">
        <f>IF(E77&lt;&gt;"",ROUND(E77*1.08,0),"")</f>
        <v>4318</v>
      </c>
      <c r="S77" s="166">
        <f>IF(E77&lt;&gt;"",ROUND(E77*0.96,0),"")</f>
        <v>3838</v>
      </c>
      <c r="T77" s="163">
        <f>IF(C77="","",IFERROR(IF(O77&gt;=2,3,IF(O77&gt;=1.5,2,IF(O77&gt;=1,1,0)))+IF(E77&gt;G77,1,0)+IF(L77&gt;=-5,1,0)+IF(Q77="買い▲",2,0)+IF(W77&lt;=30,3,IF(W77&lt;=40,2,IF(AND(W77&gt;=40,W77&lt;=60),1,0)))+IF(X77&gt;0,1,0)+IF(V77="年初来高値更新●",3,IF(V77="高値圏",2,0))+IF(AD77="パーフェクト▲",3,IF(AD77="上昇トレンド▲",2,0))+IF(AE77="25日線押し目●",2,IF(AE77="5日線押し目○",1,0))+IF(P77="急増↑↑",2,IF(P77="増加↑",1,0))+N(AI77),0))</f>
        <v>7</v>
      </c>
      <c r="U77" s="163" t="str">
        <f>IF(T77="","",IF(AND(T77&gt;=3,O77&gt;=1.5),"有効",IF(T77&gt;=3,"要確認","除外")))</f>
        <v>要確認</v>
      </c>
      <c r="V77" s="163" t="str">
        <f>IF(AND(H77&lt;&gt;"",K77&lt;&gt;""),IF(H77&gt;=K77,"年初来高値更新●",IF(H77&gt;=K77*0.95,"高値圏","通常")),"")</f>
        <v>通常</v>
      </c>
      <c r="W77" s="169">
        <f t="array" ref="W77">IF(C77&lt;&gt;"",IFERROR(100-100/(1+SUMPRODUCT((終値!F207:R207&gt;終値!G207:S207)*( 終値!F207:R207-終値!G207:S207))/SUMPRODUCT((終値!F207:R207&lt;終値!G207:S207)*(終値!G207:S207-終値!F207:R207))),50),"")</f>
        <v>58.067542213883677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△注目</v>
      </c>
      <c r="Z77" s="171">
        <f>IF(AND(E77&lt;&gt;"",G77&lt;&gt;"",G77&lt;&gt;0),(E77-G77)/G77*100,"")</f>
        <v>-0.05</v>
      </c>
      <c r="AA77" s="163" t="str">
        <f>IF(OR(C77="",E77="",E77=0),"",IF(E77&gt;G77,"上昇▲",IF(E77&lt;G77,"下落▼","横ばい→")))</f>
        <v>下落▼</v>
      </c>
      <c r="AB77" s="405">
        <f>IF(C77="","",IFERROR(((終値!E79*0.333)+(終値!F79*0.222)+(終値!G79*0.148)+(終値!H79*0.099)+(終値!I79*0.066)+(終値!J79*0.044)+(終値!K79*0.029)+(終値!L79*0.019)+(終値!M79*0.013)+(終値!N79*0.009))/(0.333+0.222+0.148+0.099+0.066+0.044+0.029+0.019+0.013+0.009),""))</f>
        <v>3821.2413441955182</v>
      </c>
      <c r="AC77" s="405">
        <f>IF(C77="","",IFERROR(SUMPRODUCT((終値!E79:AC79),({0.077,0.071,0.065,0.06,0.055,0.051,0.047,0.043,0.039,0.036,0.033,0.031,0.028,0.026,0.024,0.022,0.02,0.018,0.017,0.016,0.014,0.013,0.012,0.011,0.01}))/SUM({0.077,0.071,0.065,0.06,0.055,0.051,0.047,0.043,0.039,0.036,0.033,0.031,0.028,0.026,0.024,0.022,0.02,0.018,0.017,0.016,0.014,0.013,0.012,0.011,0.01}),""))</f>
        <v>3923.965435041715</v>
      </c>
      <c r="AD77" s="406" t="str">
        <f>IF(OR(C77="",AB77="",AC77=""),"",IF(AND(E77&gt;AB77,AB77&gt;AC77),"パーフェクト▲",IF(E77&gt;AC77,"上昇トレンド▲",IF(AND(E77&lt;AB77,AB77&lt;AC77),"下降トレンド▼","もみ合い→"))))</f>
        <v>上昇トレンド▲</v>
      </c>
      <c r="AE77" s="406" t="str">
        <f>IF(OR(C77="",AB77="",AC77=""),"",IF(AND(ABS(E77-AC77)/AC77&lt;=0.02,E77&gt;AC77),"25日押し目★",IF(AND(ABS(E77-AB77)/AB77&lt;=0.01,E77&gt;AB77),"5日押し目○","なし")))</f>
        <v>25日押し目★</v>
      </c>
      <c r="AF77" s="365">
        <f t="array" ref="AF77">IF(C77="","",IFERROR((INDEX(終値!$E:$E,MATCH(TEXT(C77,"0"),終値!$A:$A,0))-INDEX(終値!$E:$CZ,MATCH(TEXT(C77,"0"),終値!$A:$A,0),$AL$2))/INDEX(終値!$E:$CZ,MATCH(TEXT(C77,"0"),終値!$A:$A,0),$AL$2)*100,""))</f>
        <v>7.0128479657387581</v>
      </c>
      <c r="AG77" s="365">
        <f t="array" ref="AG77">IFERROR((終値!$E$5-INDEX(終値!$E$5:$IT$5,1,$AL$2))/INDEX(終値!$E$5:$IT$5,1,$AL$2)*100,"")</f>
        <v>1.0179378228534113</v>
      </c>
      <c r="AH77" s="366">
        <f>IF(OR(AF77="",AG77=""),"",AF77-AG77)</f>
        <v>5.9949101428853471</v>
      </c>
      <c r="AI77" s="364">
        <f>IF(AH77="","",IF(AH77&gt;5,3,IF(AH77&gt;0,1,IF(AH77&gt;-3,-1,-2))))</f>
        <v>3</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7421</v>
      </c>
      <c r="F78" s="166">
        <f>IF(C78&lt;&gt;"",_xll.RssMarket(C78,"始値"),"")</f>
        <v>7686</v>
      </c>
      <c r="G78" s="165">
        <f>IF(C78&lt;&gt;"",終値!F154,"")</f>
        <v>7829</v>
      </c>
      <c r="H78" s="166">
        <f>IF(C78&lt;&gt;"",_xll.RssMarket(C78,"高値"),"")</f>
        <v>7762</v>
      </c>
      <c r="I78" s="166">
        <f>IF(C78&lt;&gt;"",_xll.RssMarket(C78,"安値"),"")</f>
        <v>7050</v>
      </c>
      <c r="J78" s="166">
        <f>IF(C78&lt;&gt;"",_xll.RssMarket(C78,"出来高"),"")</f>
        <v>36253800</v>
      </c>
      <c r="K78" s="166">
        <f>IF(C78&lt;&gt;"",_xll.RssMarket(C78,"年初来高値"),"")</f>
        <v>12895</v>
      </c>
      <c r="L78" s="167">
        <f>IF(AND(E78&lt;&gt;"",K78&lt;&gt;"",K78&lt;&gt;0),(E78-K78)/K78*100,"")</f>
        <v>-42.450562233423803</v>
      </c>
      <c r="M78" s="166">
        <f>IF(C78&lt;&gt;"",IFERROR(AVERAGE(出来高!E154:I154),""),"")</f>
        <v>29371300</v>
      </c>
      <c r="N78" s="166">
        <f>IF(C78&lt;&gt;"",IFERROR(AVERAGE(出来高!E154:AC154),""),"")</f>
        <v>31748592</v>
      </c>
      <c r="O78" s="168">
        <f>IF(AND(J78&lt;&gt;"",M78&lt;&gt;"",M78&lt;&gt;0),J78/M78,"")</f>
        <v>1.2343273876198875</v>
      </c>
      <c r="P78" s="163" t="str">
        <f>IF(O78="","",IF(O78&gt;=2,"急増↑↑",IF(O78&gt;=1.5,"増加↑",IF(O78&gt;=1,"普通→","減少↓"))))</f>
        <v>普通→</v>
      </c>
      <c r="Q78" s="163" t="str">
        <f>IF(E78="","",IF(AND(E78&gt;G78,O78&gt;=1.5),"買い▲",IF(E78&lt;G78,"様子見▼","中立→")))</f>
        <v>様子見▼</v>
      </c>
      <c r="R78" s="166">
        <f>IF(E78&lt;&gt;"",ROUND(E78*1.08,0),"")</f>
        <v>8015</v>
      </c>
      <c r="S78" s="166">
        <f>IF(E78&lt;&gt;"",ROUND(E78*0.96,0),"")</f>
        <v>7124</v>
      </c>
      <c r="T78" s="163">
        <f>IF(C78="","",IFERROR(IF(O78&gt;=2,3,IF(O78&gt;=1.5,2,IF(O78&gt;=1,1,0)))+IF(E78&gt;G78,1,0)+IF(L78&gt;=-5,1,0)+IF(Q78="買い▲",2,0)+IF(W78&lt;=30,3,IF(W78&lt;=40,2,IF(AND(W78&gt;=40,W78&lt;=60),1,0)))+IF(X78&gt;0,1,0)+IF(V78="年初来高値更新●",3,IF(V78="高値圏",2,0))+IF(AD78="パーフェクト▲",3,IF(AD78="上昇トレンド▲",2,0))+IF(AE78="25日線押し目●",2,IF(AE78="5日線押し目○",1,0))+IF(P78="急増↑↑",2,IF(P78="増加↑",1,0))+N(AI78),0))</f>
        <v>3</v>
      </c>
      <c r="U78" s="163" t="str">
        <f>IF(T78="","",IF(AND(T78&gt;=3,O78&gt;=1.5),"有効",IF(T78&gt;=3,"要確認","除外")))</f>
        <v>要確認</v>
      </c>
      <c r="V78" s="163" t="str">
        <f>IF(AND(H78&lt;&gt;"",K78&lt;&gt;""),IF(H78&gt;=K78,"年初来高値更新●",IF(H78&gt;=K78*0.95,"高値圏","通常")),"")</f>
        <v>通常</v>
      </c>
      <c r="W78" s="169">
        <f t="array" ref="W78">IF(C78&lt;&gt;"",IFERROR(100-100/(1+SUMPRODUCT((終値!F154:R154&gt;終値!G154:S154)*( 終値!F154:R154-終値!G154:S154))/SUMPRODUCT((終値!F154:R154&lt;終値!G154:S154)*(終値!G154:S154-終値!F154:R154))),50),"")</f>
        <v>40.726689041295778</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様子見</v>
      </c>
      <c r="Z78" s="171">
        <f>IF(AND(E78&lt;&gt;"",G78&lt;&gt;"",G78&lt;&gt;0),(E78-G78)/G78*100,"")</f>
        <v>-5.2113935368501725</v>
      </c>
      <c r="AA78" s="163" t="str">
        <f>IF(OR(C78="",E78="",E78=0),"",IF(E78&gt;G78,"上昇▲",IF(E78&lt;G78,"下落▼","横ばい→")))</f>
        <v>下落▼</v>
      </c>
      <c r="AB78" s="403">
        <f>IF(C78="","",IFERROR(((終値!E80*0.333)+(終値!F80*0.222)+(終値!G80*0.148)+(終値!H80*0.099)+(終値!I80*0.066)+(終値!J80*0.044)+(終値!K80*0.029)+(終値!L80*0.019)+(終値!M80*0.013)+(終値!N80*0.009))/(0.333+0.222+0.148+0.099+0.066+0.044+0.029+0.019+0.013+0.009),""))</f>
        <v>5718.1262729124228</v>
      </c>
      <c r="AC78" s="403">
        <f>IF(C78="","",IFERROR(SUMPRODUCT((終値!E80:AC80),({0.077,0.071,0.065,0.06,0.055,0.051,0.047,0.043,0.039,0.036,0.033,0.031,0.028,0.026,0.024,0.022,0.02,0.018,0.017,0.016,0.014,0.013,0.012,0.011,0.01}))/SUM({0.077,0.071,0.065,0.06,0.055,0.051,0.047,0.043,0.039,0.036,0.033,0.031,0.028,0.026,0.024,0.022,0.02,0.018,0.017,0.016,0.014,0.013,0.012,0.011,0.01}),""))</f>
        <v>5496.6984505363507</v>
      </c>
      <c r="AD78" s="404" t="str">
        <f>IF(OR(C78="",AB78="",AC78=""),"",IF(AND(E78&gt;AB78,AB78&gt;AC78),"パーフェクト▲",IF(E78&gt;AC78,"上昇トレンド▲",IF(AND(E78&lt;AB78,AB78&lt;AC78),"下降トレンド▼","もみ合い→"))))</f>
        <v>パーフェクト▲</v>
      </c>
      <c r="AE78" s="404" t="str">
        <f>IF(OR(C78="",AB78="",AC78=""),"",IF(AND(ABS(E78-AC78)/AC78&lt;=0.02,E78&gt;AC78),"25日押し目★",IF(AND(ABS(E78-AB78)/AB78&lt;=0.01,E78&gt;AB78),"5日押し目○","なし")))</f>
        <v>なし</v>
      </c>
      <c r="AF78" s="365">
        <f t="array" ref="AF78">IF(C78="","",IFERROR((INDEX(終値!$E:$E,MATCH(TEXT(C78,"0"),終値!$A:$A,0))-INDEX(終値!$E:$CZ,MATCH(TEXT(C78,"0"),終値!$A:$A,0),$AL$2))/INDEX(終値!$E:$CZ,MATCH(TEXT(C78,"0"),終値!$A:$A,0),$AL$2)*100,""))</f>
        <v>-37.586206896551722</v>
      </c>
      <c r="AG78" s="365">
        <f t="array" ref="AG78">IFERROR((終値!$E$5-INDEX(終値!$E$5:$IT$5,1,$AL$2))/INDEX(終値!$E$5:$IT$5,1,$AL$2)*100,"")</f>
        <v>1.0179378228534113</v>
      </c>
      <c r="AH78" s="366">
        <f>IF(OR(AF78="",AG78=""),"",AF78-AG78)</f>
        <v>-38.604144719405134</v>
      </c>
      <c r="AI78" s="364">
        <f>IF(AH78="","",IF(AH78&gt;5,3,IF(AH78&gt;0,1,IF(AH78&gt;-3,-1,-2))))</f>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6430</v>
      </c>
      <c r="F79" s="166">
        <f>IF(C79&lt;&gt;"",_xll.RssMarket(C79,"始値"),"")</f>
        <v>6500</v>
      </c>
      <c r="G79" s="165">
        <f>IF(C79&lt;&gt;"",終値!F78,"")</f>
        <v>6460</v>
      </c>
      <c r="H79" s="166">
        <f>IF(C79&lt;&gt;"",_xll.RssMarket(C79,"高値"),"")</f>
        <v>6556</v>
      </c>
      <c r="I79" s="166">
        <f>IF(C79&lt;&gt;"",_xll.RssMarket(C79,"安値"),"")</f>
        <v>6316</v>
      </c>
      <c r="J79" s="166">
        <f>IF(C79&lt;&gt;"",_xll.RssMarket(C79,"出来高"),"")</f>
        <v>6885700</v>
      </c>
      <c r="K79" s="166">
        <f>IF(C79&lt;&gt;"",_xll.RssMarket(C79,"年初来高値"),"")</f>
        <v>8880</v>
      </c>
      <c r="L79" s="167">
        <f>IF(AND(E79&lt;&gt;"",K79&lt;&gt;"",K79&lt;&gt;0),(E79-K79)/K79*100,"")</f>
        <v>-27.59009009009009</v>
      </c>
      <c r="M79" s="166">
        <f>IF(C79&lt;&gt;"",IFERROR(AVERAGE(出来高!E78:I78),""),"")</f>
        <v>11581080</v>
      </c>
      <c r="N79" s="166">
        <f>IF(C79&lt;&gt;"",IFERROR(AVERAGE(出来高!E78:AC78),""),"")</f>
        <v>6926760</v>
      </c>
      <c r="O79" s="168">
        <f>IF(AND(J79&lt;&gt;"",M79&lt;&gt;"",M79&lt;&gt;0),J79/M79,"")</f>
        <v>0.59456458292318159</v>
      </c>
      <c r="P79" s="163" t="str">
        <f>IF(O79="","",IF(O79&gt;=2,"急増↑↑",IF(O79&gt;=1.5,"増加↑",IF(O79&gt;=1,"普通→","減少↓"))))</f>
        <v>減少↓</v>
      </c>
      <c r="Q79" s="163" t="str">
        <f>IF(E79="","",IF(AND(E79&gt;G79,O79&gt;=1.5),"買い▲",IF(E79&lt;G79,"様子見▼","中立→")))</f>
        <v>様子見▼</v>
      </c>
      <c r="R79" s="166">
        <f>IF(E79&lt;&gt;"",ROUND(E79*1.08,0),"")</f>
        <v>6944</v>
      </c>
      <c r="S79" s="166">
        <f>IF(E79&lt;&gt;"",ROUND(E79*0.96,0),"")</f>
        <v>6173</v>
      </c>
      <c r="T79" s="163">
        <f>IF(C79="","",IFERROR(IF(O79&gt;=2,3,IF(O79&gt;=1.5,2,IF(O79&gt;=1,1,0)))+IF(E79&gt;G79,1,0)+IF(L79&gt;=-5,1,0)+IF(Q79="買い▲",2,0)+IF(W79&lt;=30,3,IF(W79&lt;=40,2,IF(AND(W79&gt;=40,W79&lt;=60),1,0)))+IF(X79&gt;0,1,0)+IF(V79="年初来高値更新●",3,IF(V79="高値圏",2,0))+IF(AD79="パーフェクト▲",3,IF(AD79="上昇トレンド▲",2,0))+IF(AE79="25日線押し目●",2,IF(AE79="5日線押し目○",1,0))+IF(P79="急増↑↑",2,IF(P79="増加↑",1,0))+N(AI79),0))</f>
        <v>1</v>
      </c>
      <c r="U79" s="163" t="str">
        <f>IF(T79="","",IF(AND(T79&gt;=3,O79&gt;=1.5),"有効",IF(T79&gt;=3,"要確認","除外")))</f>
        <v>除外</v>
      </c>
      <c r="V79" s="163" t="str">
        <f>IF(AND(H79&lt;&gt;"",K79&lt;&gt;""),IF(H79&gt;=K79,"年初来高値更新●",IF(H79&gt;=K79*0.95,"高値圏","通常")),"")</f>
        <v>通常</v>
      </c>
      <c r="W79" s="169">
        <f t="array" ref="W79">IF(C79&lt;&gt;"",IFERROR(100-100/(1+SUMPRODUCT((終値!F78:R78&gt;終値!G78:S78)*( 終値!F78:R78-終値!G78:S78))/SUMPRODUCT((終値!F78:R78&lt;終値!G78:S78)*(終値!G78:S78-終値!F78:R78))),50),"")</f>
        <v>42.570498915401302</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見送り</v>
      </c>
      <c r="Z79" s="171">
        <f>IF(AND(E79&lt;&gt;"",G79&lt;&gt;"",G79&lt;&gt;0),(E79-G79)/G79*100,"")</f>
        <v>-0.46439628482972134</v>
      </c>
      <c r="AA79" s="163" t="str">
        <f>IF(OR(C79="",E79="",E79=0),"",IF(E79&gt;G79,"上昇▲",IF(E79&lt;G79,"下落▼","横ばい→")))</f>
        <v>下落▼</v>
      </c>
      <c r="AB79" s="405">
        <f>IF(C79="","",IFERROR(((終値!E81*0.333)+(終値!F81*0.222)+(終値!G81*0.148)+(終値!H81*0.099)+(終値!I81*0.066)+(終値!J81*0.044)+(終値!K81*0.029)+(終値!L81*0.019)+(終値!M81*0.013)+(終値!N81*0.009))/(0.333+0.222+0.148+0.099+0.066+0.044+0.029+0.019+0.013+0.009),""))</f>
        <v>5517.2484725050899</v>
      </c>
      <c r="AC79" s="405">
        <f>IF(C79="","",IFERROR(SUMPRODUCT((終値!E81:AC81),({0.077,0.071,0.065,0.06,0.055,0.051,0.047,0.043,0.039,0.036,0.033,0.031,0.028,0.026,0.024,0.022,0.02,0.018,0.017,0.016,0.014,0.013,0.012,0.011,0.01}))/SUM({0.077,0.071,0.065,0.06,0.055,0.051,0.047,0.043,0.039,0.036,0.033,0.031,0.028,0.026,0.024,0.022,0.02,0.018,0.017,0.016,0.014,0.013,0.012,0.011,0.01}),""))</f>
        <v>5629.7735399284848</v>
      </c>
      <c r="AD79" s="406" t="str">
        <f>IF(OR(C79="",AB79="",AC79=""),"",IF(AND(E79&gt;AB79,AB79&gt;AC79),"パーフェクト▲",IF(E79&gt;AC79,"上昇トレンド▲",IF(AND(E79&lt;AB79,AB79&lt;AC79),"下降トレンド▼","もみ合い→"))))</f>
        <v>上昇トレンド▲</v>
      </c>
      <c r="AE79" s="406" t="str">
        <f>IF(OR(C79="",AB79="",AC79=""),"",IF(AND(ABS(E79-AC79)/AC79&lt;=0.02,E79&gt;AC79),"25日押し目★",IF(AND(ABS(E79-AB79)/AB79&lt;=0.01,E79&gt;AB79),"5日押し目○","なし")))</f>
        <v>なし</v>
      </c>
      <c r="AF79" s="365">
        <f t="array" ref="AF79">IF(C79="","",IFERROR((INDEX(終値!$E:$E,MATCH(TEXT(C79,"0"),終値!$A:$A,0))-INDEX(終値!$E:$CZ,MATCH(TEXT(C79,"0"),終値!$A:$A,0),$AL$2))/INDEX(終値!$E:$CZ,MATCH(TEXT(C79,"0"),終値!$A:$A,0),$AL$2)*100,""))</f>
        <v>-13.283884018880649</v>
      </c>
      <c r="AG79" s="365">
        <f t="array" ref="AG79">IFERROR((終値!$E$5-INDEX(終値!$E$5:$IT$5,1,$AL$2))/INDEX(終値!$E$5:$IT$5,1,$AL$2)*100,"")</f>
        <v>1.0179378228534113</v>
      </c>
      <c r="AH79" s="366">
        <f>IF(OR(AF79="",AG79=""),"",AF79-AG79)</f>
        <v>-14.301821841734061</v>
      </c>
      <c r="AI79" s="364">
        <f>IF(AH79="","",IF(AH79&gt;5,3,IF(AH79&gt;0,1,IF(AH79&gt;-3,-1,-2))))</f>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4093</v>
      </c>
      <c r="F80" s="166">
        <f>IF(C80&lt;&gt;"",_xll.RssMarket(C80,"始値"),"")</f>
        <v>4150</v>
      </c>
      <c r="G80" s="165">
        <f>IF(C80&lt;&gt;"",終値!F105,"")</f>
        <v>4360</v>
      </c>
      <c r="H80" s="166">
        <f>IF(C80&lt;&gt;"",_xll.RssMarket(C80,"高値"),"")</f>
        <v>4319</v>
      </c>
      <c r="I80" s="166">
        <f>IF(C80&lt;&gt;"",_xll.RssMarket(C80,"安値"),"")</f>
        <v>4067</v>
      </c>
      <c r="J80" s="166">
        <f>IF(C80&lt;&gt;"",_xll.RssMarket(C80,"出来高"),"")</f>
        <v>644000</v>
      </c>
      <c r="K80" s="166">
        <f>IF(C80&lt;&gt;"",_xll.RssMarket(C80,"年初来高値"),"")</f>
        <v>5164</v>
      </c>
      <c r="L80" s="167">
        <f>IF(AND(E80&lt;&gt;"",K80&lt;&gt;"",K80&lt;&gt;0),(E80-K80)/K80*100,"")</f>
        <v>-20.739736638264912</v>
      </c>
      <c r="M80" s="166">
        <f>IF(C80&lt;&gt;"",IFERROR(AVERAGE(出来高!E105:I105),""),"")</f>
        <v>703800</v>
      </c>
      <c r="N80" s="166">
        <f>IF(C80&lt;&gt;"",IFERROR(AVERAGE(出来高!E105:AC105),""),"")</f>
        <v>522040</v>
      </c>
      <c r="O80" s="168">
        <f>IF(AND(J80&lt;&gt;"",M80&lt;&gt;"",M80&lt;&gt;0),J80/M80,"")</f>
        <v>0.91503267973856206</v>
      </c>
      <c r="P80" s="163" t="str">
        <f>IF(O80="","",IF(O80&gt;=2,"急増↑↑",IF(O80&gt;=1.5,"増加↑",IF(O80&gt;=1,"普通→","減少↓"))))</f>
        <v>減少↓</v>
      </c>
      <c r="Q80" s="163" t="str">
        <f>IF(E80="","",IF(AND(E80&gt;G80,O80&gt;=1.5),"買い▲",IF(E80&lt;G80,"様子見▼","中立→")))</f>
        <v>様子見▼</v>
      </c>
      <c r="R80" s="166">
        <f>IF(E80&lt;&gt;"",ROUND(E80*1.08,0),"")</f>
        <v>4420</v>
      </c>
      <c r="S80" s="166">
        <f>IF(E80&lt;&gt;"",ROUND(E80*0.96,0),"")</f>
        <v>3929</v>
      </c>
      <c r="T80" s="163">
        <f>IF(C80="","",IFERROR(IF(O80&gt;=2,3,IF(O80&gt;=1.5,2,IF(O80&gt;=1,1,0)))+IF(E80&gt;G80,1,0)+IF(L80&gt;=-5,1,0)+IF(Q80="買い▲",2,0)+IF(W80&lt;=30,3,IF(W80&lt;=40,2,IF(AND(W80&gt;=40,W80&lt;=60),1,0)))+IF(X80&gt;0,1,0)+IF(V80="年初来高値更新●",3,IF(V80="高値圏",2,0))+IF(AD80="パーフェクト▲",3,IF(AD80="上昇トレンド▲",2,0))+IF(AE80="25日線押し目●",2,IF(AE80="5日線押し目○",1,0))+IF(P80="急増↑↑",2,IF(P80="増加↑",1,0))+N(AI80),0))</f>
        <v>2</v>
      </c>
      <c r="U80" s="163" t="str">
        <f>IF(T80="","",IF(AND(T80&gt;=3,O80&gt;=1.5),"有効",IF(T80&gt;=3,"要確認","除外")))</f>
        <v>除外</v>
      </c>
      <c r="V80" s="163" t="str">
        <f>IF(AND(H80&lt;&gt;"",K80&lt;&gt;""),IF(H80&gt;=K80,"年初来高値更新●",IF(H80&gt;=K80*0.95,"高値圏","通常")),"")</f>
        <v>通常</v>
      </c>
      <c r="W80" s="169">
        <f t="array" ref="W80">IF(C80&lt;&gt;"",IFERROR(100-100/(1+SUMPRODUCT((終値!F105:R105&gt;終値!G105:S105)*( 終値!F105:R105-終値!G105:S105))/SUMPRODUCT((終値!F105:R105&lt;終値!G105:S105)*(終値!G105:S105-終値!F105:R105))),50),"")</f>
        <v>52.77654375832963</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見送り</v>
      </c>
      <c r="Z80" s="171">
        <f>IF(AND(E80&lt;&gt;"",G80&lt;&gt;"",G80&lt;&gt;0),(E80-G80)/G80*100,"")</f>
        <v>-6.123853211009175</v>
      </c>
      <c r="AA80" s="163" t="str">
        <f>IF(OR(C80="",E80="",E80=0),"",IF(E80&gt;G80,"上昇▲",IF(E80&lt;G80,"下落▼","横ばい→")))</f>
        <v>下落▼</v>
      </c>
      <c r="AB80" s="403">
        <f>IF(C80="","",IFERROR(((終値!E82*0.333)+(終値!F82*0.222)+(終値!G82*0.148)+(終値!H82*0.099)+(終値!I82*0.066)+(終値!J82*0.044)+(終値!K82*0.029)+(終値!L82*0.019)+(終値!M82*0.013)+(終値!N82*0.009))/(0.333+0.222+0.148+0.099+0.066+0.044+0.029+0.019+0.013+0.009),""))</f>
        <v>1545.8299389002032</v>
      </c>
      <c r="AC80" s="403">
        <f>IF(C80="","",IFERROR(SUMPRODUCT((終値!E82:AC82),({0.077,0.071,0.065,0.06,0.055,0.051,0.047,0.043,0.039,0.036,0.033,0.031,0.028,0.026,0.024,0.022,0.02,0.018,0.017,0.016,0.014,0.013,0.012,0.011,0.01}))/SUM({0.077,0.071,0.065,0.06,0.055,0.051,0.047,0.043,0.039,0.036,0.033,0.031,0.028,0.026,0.024,0.022,0.02,0.018,0.017,0.016,0.014,0.013,0.012,0.011,0.01}),""))</f>
        <v>1517.9755661501783</v>
      </c>
      <c r="AD80" s="404" t="str">
        <f>IF(OR(C80="",AB80="",AC80=""),"",IF(AND(E80&gt;AB80,AB80&gt;AC80),"パーフェクト▲",IF(E80&gt;AC80,"上昇トレンド▲",IF(AND(E80&lt;AB80,AB80&lt;AC80),"下降トレンド▼","もみ合い→"))))</f>
        <v>パーフェクト▲</v>
      </c>
      <c r="AE80" s="404" t="str">
        <f>IF(OR(C80="",AB80="",AC80=""),"",IF(AND(ABS(E80-AC80)/AC80&lt;=0.02,E80&gt;AC80),"25日押し目★",IF(AND(ABS(E80-AB80)/AB80&lt;=0.01,E80&gt;AB80),"5日押し目○","なし")))</f>
        <v>なし</v>
      </c>
      <c r="AF80" s="365">
        <f t="array" ref="AF80">IF(C80="","",IFERROR((INDEX(終値!$E:$E,MATCH(TEXT(C80,"0"),終値!$A:$A,0))-INDEX(終値!$E:$CZ,MATCH(TEXT(C80,"0"),終値!$A:$A,0),$AL$2))/INDEX(終値!$E:$CZ,MATCH(TEXT(C80,"0"),終値!$A:$A,0),$AL$2)*100,""))</f>
        <v>-15.223695111847558</v>
      </c>
      <c r="AG80" s="365">
        <f t="array" ref="AG80">IFERROR((終値!$E$5-INDEX(終値!$E$5:$IT$5,1,$AL$2))/INDEX(終値!$E$5:$IT$5,1,$AL$2)*100,"")</f>
        <v>1.0179378228534113</v>
      </c>
      <c r="AH80" s="366">
        <f>IF(OR(AF80="",AG80=""),"",AF80-AG80)</f>
        <v>-16.24163293470097</v>
      </c>
      <c r="AI80" s="364">
        <f>IF(AH80="","",IF(AH80&gt;5,3,IF(AH80&gt;0,1,IF(AH80&gt;-3,-1,-2))))</f>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43330</v>
      </c>
      <c r="F81" s="166">
        <f>IF(C81&lt;&gt;"",_xll.RssMarket(C81,"始値"),"")</f>
        <v>45280</v>
      </c>
      <c r="G81" s="165">
        <f>IF(C81&lt;&gt;"",終値!F199,"")</f>
        <v>46680</v>
      </c>
      <c r="H81" s="166">
        <f>IF(C81&lt;&gt;"",_xll.RssMarket(C81,"高値"),"")</f>
        <v>45850</v>
      </c>
      <c r="I81" s="166">
        <f>IF(C81&lt;&gt;"",_xll.RssMarket(C81,"安値"),"")</f>
        <v>43250</v>
      </c>
      <c r="J81" s="166">
        <f>IF(C81&lt;&gt;"",_xll.RssMarket(C81,"出来高"),"")</f>
        <v>2765700</v>
      </c>
      <c r="K81" s="166">
        <f>IF(C81&lt;&gt;"",_xll.RssMarket(C81,"年初来高値"),"")</f>
        <v>58580</v>
      </c>
      <c r="L81" s="167">
        <f>IF(AND(E81&lt;&gt;"",K81&lt;&gt;"",K81&lt;&gt;0),(E81-K81)/K81*100,"")</f>
        <v>-26.032775691362243</v>
      </c>
      <c r="M81" s="166">
        <f>IF(C81&lt;&gt;"",IFERROR(AVERAGE(出来高!E199:I199),""),"")</f>
        <v>4306560</v>
      </c>
      <c r="N81" s="166">
        <f>IF(C81&lt;&gt;"",IFERROR(AVERAGE(出来高!E199:AC199),""),"")</f>
        <v>3538468</v>
      </c>
      <c r="O81" s="168">
        <f>IF(AND(J81&lt;&gt;"",M81&lt;&gt;"",M81&lt;&gt;0),J81/M81,"")</f>
        <v>0.64220630851538119</v>
      </c>
      <c r="P81" s="163" t="str">
        <f>IF(O81="","",IF(O81&gt;=2,"急増↑↑",IF(O81&gt;=1.5,"増加↑",IF(O81&gt;=1,"普通→","減少↓"))))</f>
        <v>減少↓</v>
      </c>
      <c r="Q81" s="163" t="str">
        <f>IF(E81="","",IF(AND(E81&gt;G81,O81&gt;=1.5),"買い▲",IF(E81&lt;G81,"様子見▼","中立→")))</f>
        <v>様子見▼</v>
      </c>
      <c r="R81" s="166">
        <f>IF(E81&lt;&gt;"",ROUND(E81*1.08,0),"")</f>
        <v>46796</v>
      </c>
      <c r="S81" s="166">
        <f>IF(E81&lt;&gt;"",ROUND(E81*0.96,0),"")</f>
        <v>41597</v>
      </c>
      <c r="T81" s="163">
        <f>IF(C81="","",IFERROR(IF(O81&gt;=2,3,IF(O81&gt;=1.5,2,IF(O81&gt;=1,1,0)))+IF(E81&gt;G81,1,0)+IF(L81&gt;=-5,1,0)+IF(Q81="買い▲",2,0)+IF(W81&lt;=30,3,IF(W81&lt;=40,2,IF(AND(W81&gt;=40,W81&lt;=60),1,0)))+IF(X81&gt;0,1,0)+IF(V81="年初来高値更新●",3,IF(V81="高値圏",2,0))+IF(AD81="パーフェクト▲",3,IF(AD81="上昇トレンド▲",2,0))+IF(AE81="25日線押し目●",2,IF(AE81="5日線押し目○",1,0))+IF(P81="急増↑↑",2,IF(P81="増加↑",1,0))+N(AI81),0))</f>
        <v>1</v>
      </c>
      <c r="U81" s="163" t="str">
        <f>IF(T81="","",IF(AND(T81&gt;=3,O81&gt;=1.5),"有効",IF(T81&gt;=3,"要確認","除外")))</f>
        <v>除外</v>
      </c>
      <c r="V81" s="163" t="str">
        <f>IF(AND(H81&lt;&gt;"",K81&lt;&gt;""),IF(H81&gt;=K81,"年初来高値更新●",IF(H81&gt;=K81*0.95,"高値圏","通常")),"")</f>
        <v>通常</v>
      </c>
      <c r="W81" s="169">
        <f t="array" ref="W81">IF(C81&lt;&gt;"",IFERROR(100-100/(1+SUMPRODUCT((終値!F199:R199&gt;終値!G199:S199)*( 終値!F199:R199-終値!G199:S199))/SUMPRODUCT((終値!F199:R199&lt;終値!G199:S199)*(終値!G199:S199-終値!F199:R199))),50),"")</f>
        <v>45.864248419895574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見送り</v>
      </c>
      <c r="Z81" s="171">
        <f>IF(AND(E81&lt;&gt;"",G81&lt;&gt;"",G81&lt;&gt;0),(E81-G81)/G81*100,"")</f>
        <v>-7.1765209940017147</v>
      </c>
      <c r="AA81" s="163" t="str">
        <f>IF(OR(C81="",E81="",E81=0),"",IF(E81&gt;G81,"上昇▲",IF(E81&lt;G81,"下落▼","横ばい→")))</f>
        <v>下落▼</v>
      </c>
      <c r="AB81" s="405">
        <f>IF(C81="","",IFERROR(((終値!E83*0.333)+(終値!F83*0.222)+(終値!G83*0.148)+(終値!H83*0.099)+(終値!I83*0.066)+(終値!J83*0.044)+(終値!K83*0.029)+(終値!L83*0.019)+(終値!M83*0.013)+(終値!N83*0.009))/(0.333+0.222+0.148+0.099+0.066+0.044+0.029+0.019+0.013+0.009),""))</f>
        <v>4595.8258655804466</v>
      </c>
      <c r="AC81" s="405">
        <f>IF(C81="","",IFERROR(SUMPRODUCT((終値!E83:AC83),({0.077,0.071,0.065,0.06,0.055,0.051,0.047,0.043,0.039,0.036,0.033,0.031,0.028,0.026,0.024,0.022,0.02,0.018,0.017,0.016,0.014,0.013,0.012,0.011,0.01}))/SUM({0.077,0.071,0.065,0.06,0.055,0.051,0.047,0.043,0.039,0.036,0.033,0.031,0.028,0.026,0.024,0.022,0.02,0.018,0.017,0.016,0.014,0.013,0.012,0.011,0.01}),""))</f>
        <v>4623.2693682955887</v>
      </c>
      <c r="AD81" s="406" t="str">
        <f>IF(OR(C81="",AB81="",AC81=""),"",IF(AND(E81&gt;AB81,AB81&gt;AC81),"パーフェクト▲",IF(E81&gt;AC81,"上昇トレンド▲",IF(AND(E81&lt;AB81,AB81&lt;AC81),"下降トレンド▼","もみ合い→"))))</f>
        <v>上昇トレンド▲</v>
      </c>
      <c r="AE81" s="406" t="str">
        <f>IF(OR(C81="",AB81="",AC81=""),"",IF(AND(ABS(E81-AC81)/AC81&lt;=0.02,E81&gt;AC81),"25日押し目★",IF(AND(ABS(E81-AB81)/AB81&lt;=0.01,E81&gt;AB81),"5日押し目○","なし")))</f>
        <v>なし</v>
      </c>
      <c r="AF81" s="365">
        <f t="array" ref="AF81">IF(C81="","",IFERROR((INDEX(終値!$E:$E,MATCH(TEXT(C81,"0"),終値!$A:$A,0))-INDEX(終値!$E:$CZ,MATCH(TEXT(C81,"0"),終値!$A:$A,0),$AL$2))/INDEX(終値!$E:$CZ,MATCH(TEXT(C81,"0"),終値!$A:$A,0),$AL$2)*100,""))</f>
        <v>-14.687930695018705</v>
      </c>
      <c r="AG81" s="365">
        <f t="array" ref="AG81">IFERROR((終値!$E$5-INDEX(終値!$E$5:$IT$5,1,$AL$2))/INDEX(終値!$E$5:$IT$5,1,$AL$2)*100,"")</f>
        <v>1.0179378228534113</v>
      </c>
      <c r="AH81" s="366">
        <f>IF(OR(AF81="",AG81=""),"",AF81-AG81)</f>
        <v>-15.705868517872117</v>
      </c>
      <c r="AI81" s="364">
        <f>IF(AH81="","",IF(AH81&gt;5,3,IF(AH81&gt;0,1,IF(AH81&gt;-3,-1,-2))))</f>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8880</v>
      </c>
      <c r="F82" s="166">
        <f>IF(C82&lt;&gt;"",_xll.RssMarket(C82,"始値"),"")</f>
        <v>8900</v>
      </c>
      <c r="G82" s="165">
        <f>IF(C82&lt;&gt;"",終値!F195,"")</f>
        <v>9370</v>
      </c>
      <c r="H82" s="166">
        <f>IF(C82&lt;&gt;"",_xll.RssMarket(C82,"高値"),"")</f>
        <v>9180</v>
      </c>
      <c r="I82" s="166">
        <f>IF(C82&lt;&gt;"",_xll.RssMarket(C82,"安値"),"")</f>
        <v>8720</v>
      </c>
      <c r="J82" s="166">
        <f>IF(C82&lt;&gt;"",_xll.RssMarket(C82,"出来高"),"")</f>
        <v>1357700</v>
      </c>
      <c r="K82" s="166">
        <f>IF(C82&lt;&gt;"",_xll.RssMarket(C82,"年初来高値"),"")</f>
        <v>11700</v>
      </c>
      <c r="L82" s="167">
        <f>IF(AND(E82&lt;&gt;"",K82&lt;&gt;"",K82&lt;&gt;0),(E82-K82)/K82*100,"")</f>
        <v>-24.102564102564102</v>
      </c>
      <c r="M82" s="166">
        <f>IF(C82&lt;&gt;"",IFERROR(AVERAGE(出来高!E195:I195),""),"")</f>
        <v>1656380</v>
      </c>
      <c r="N82" s="166">
        <f>IF(C82&lt;&gt;"",IFERROR(AVERAGE(出来高!E195:AC195),""),"")</f>
        <v>1634152</v>
      </c>
      <c r="O82" s="168">
        <f>IF(AND(J82&lt;&gt;"",M82&lt;&gt;"",M82&lt;&gt;0),J82/M82,"")</f>
        <v>0.81967905915309291</v>
      </c>
      <c r="P82" s="163" t="str">
        <f>IF(O82="","",IF(O82&gt;=2,"急増↑↑",IF(O82&gt;=1.5,"増加↑",IF(O82&gt;=1,"普通→","減少↓"))))</f>
        <v>減少↓</v>
      </c>
      <c r="Q82" s="163" t="str">
        <f>IF(E82="","",IF(AND(E82&gt;G82,O82&gt;=1.5),"買い▲",IF(E82&lt;G82,"様子見▼","中立→")))</f>
        <v>様子見▼</v>
      </c>
      <c r="R82" s="166">
        <f>IF(E82&lt;&gt;"",ROUND(E82*1.08,0),"")</f>
        <v>9590</v>
      </c>
      <c r="S82" s="166">
        <f>IF(E82&lt;&gt;"",ROUND(E82*0.96,0),"")</f>
        <v>8525</v>
      </c>
      <c r="T82" s="163">
        <f>IF(C82="","",IFERROR(IF(O82&gt;=2,3,IF(O82&gt;=1.5,2,IF(O82&gt;=1,1,0)))+IF(E82&gt;G82,1,0)+IF(L82&gt;=-5,1,0)+IF(Q82="買い▲",2,0)+IF(W82&lt;=30,3,IF(W82&lt;=40,2,IF(AND(W82&gt;=40,W82&lt;=60),1,0)))+IF(X82&gt;0,1,0)+IF(V82="年初来高値更新●",3,IF(V82="高値圏",2,0))+IF(AD82="パーフェクト▲",3,IF(AD82="上昇トレンド▲",2,0))+IF(AE82="25日線押し目●",2,IF(AE82="5日線押し目○",1,0))+IF(P82="急増↑↑",2,IF(P82="増加↑",1,0))+N(AI82),0))</f>
        <v>3</v>
      </c>
      <c r="U82" s="163" t="str">
        <f>IF(T82="","",IF(AND(T82&gt;=3,O82&gt;=1.5),"有効",IF(T82&gt;=3,"要確認","除外")))</f>
        <v>要確認</v>
      </c>
      <c r="V82" s="163" t="str">
        <f>IF(AND(H82&lt;&gt;"",K82&lt;&gt;""),IF(H82&gt;=K82,"年初来高値更新●",IF(H82&gt;=K82*0.95,"高値圏","通常")),"")</f>
        <v>通常</v>
      </c>
      <c r="W82" s="169">
        <f t="array" ref="W82">IF(C82&lt;&gt;"",IFERROR(100-100/(1+SUMPRODUCT((終値!F195:R195&gt;終値!G195:S195)*( 終値!F195:R195-終値!G195:S195))/SUMPRODUCT((終値!F195:R195&lt;終値!G195:S195)*(終値!G195:S195-終値!F195:R195))),50),"")</f>
        <v>57.510148849797027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様子見</v>
      </c>
      <c r="Z82" s="171">
        <f>IF(AND(E82&lt;&gt;"",G82&lt;&gt;"",G82&lt;&gt;0),(E82-G82)/G82*100,"")</f>
        <v>-5.2294557097118464</v>
      </c>
      <c r="AA82" s="163" t="str">
        <f>IF(OR(C82="",E82="",E82=0),"",IF(E82&gt;G82,"上昇▲",IF(E82&lt;G82,"下落▼","横ばい→")))</f>
        <v>下落▼</v>
      </c>
      <c r="AB82" s="403">
        <f>IF(C82="","",IFERROR(((終値!E84*0.333)+(終値!F84*0.222)+(終値!G84*0.148)+(終値!H84*0.099)+(終値!I84*0.066)+(終値!J84*0.044)+(終値!K84*0.029)+(終値!L84*0.019)+(終値!M84*0.013)+(終値!N84*0.009))/(0.333+0.222+0.148+0.099+0.066+0.044+0.029+0.019+0.013+0.009),""))</f>
        <v>1833.220977596741</v>
      </c>
      <c r="AC82" s="403">
        <f>IF(C82="","",IFERROR(SUMPRODUCT((終値!E84:AC84),({0.077,0.071,0.065,0.06,0.055,0.051,0.047,0.043,0.039,0.036,0.033,0.031,0.028,0.026,0.024,0.022,0.02,0.018,0.017,0.016,0.014,0.013,0.012,0.011,0.01}))/SUM({0.077,0.071,0.065,0.06,0.055,0.051,0.047,0.043,0.039,0.036,0.033,0.031,0.028,0.026,0.024,0.022,0.02,0.018,0.017,0.016,0.014,0.013,0.012,0.011,0.01}),""))</f>
        <v>1767.6543504171623</v>
      </c>
      <c r="AD82" s="404" t="str">
        <f>IF(OR(C82="",AB82="",AC82=""),"",IF(AND(E82&gt;AB82,AB82&gt;AC82),"パーフェクト▲",IF(E82&gt;AC82,"上昇トレンド▲",IF(AND(E82&lt;AB82,AB82&lt;AC82),"下降トレンド▼","もみ合い→"))))</f>
        <v>パーフェクト▲</v>
      </c>
      <c r="AE82" s="404" t="str">
        <f>IF(OR(C82="",AB82="",AC82=""),"",IF(AND(ABS(E82-AC82)/AC82&lt;=0.02,E82&gt;AC82),"25日押し目★",IF(AND(ABS(E82-AB82)/AB82&lt;=0.01,E82&gt;AB82),"5日押し目○","なし")))</f>
        <v>なし</v>
      </c>
      <c r="AF82" s="365">
        <f t="array" ref="AF82">IF(C82="","",IFERROR((INDEX(終値!$E:$E,MATCH(TEXT(C82,"0"),終値!$A:$A,0))-INDEX(終値!$E:$CZ,MATCH(TEXT(C82,"0"),終値!$A:$A,0),$AL$2))/INDEX(終値!$E:$CZ,MATCH(TEXT(C82,"0"),終値!$A:$A,0),$AL$2)*100,""))</f>
        <v>-8.6419753086419746</v>
      </c>
      <c r="AG82" s="365">
        <f t="array" ref="AG82">IFERROR((終値!$E$5-INDEX(終値!$E$5:$IT$5,1,$AL$2))/INDEX(終値!$E$5:$IT$5,1,$AL$2)*100,"")</f>
        <v>1.0179378228534113</v>
      </c>
      <c r="AH82" s="366">
        <f>IF(OR(AF82="",AG82=""),"",AF82-AG82)</f>
        <v>-9.6599131314953866</v>
      </c>
      <c r="AI82" s="364">
        <f>IF(AH82="","",IF(AH82&gt;5,3,IF(AH82&gt;0,1,IF(AH82&gt;-3,-1,-2))))</f>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32930</v>
      </c>
      <c r="F83" s="166">
        <f>IF(C83&lt;&gt;"",_xll.RssMarket(C83,"始値"),"")</f>
        <v>32500</v>
      </c>
      <c r="G83" s="165">
        <f>IF(C83&lt;&gt;"",終値!F158,"")</f>
        <v>33720</v>
      </c>
      <c r="H83" s="166">
        <f>IF(C83&lt;&gt;"",_xll.RssMarket(C83,"高値"),"")</f>
        <v>33200</v>
      </c>
      <c r="I83" s="166">
        <f>IF(C83&lt;&gt;"",_xll.RssMarket(C83,"安値"),"")</f>
        <v>31910</v>
      </c>
      <c r="J83" s="166">
        <f>IF(C83&lt;&gt;"",_xll.RssMarket(C83,"出来高"),"")</f>
        <v>7818100</v>
      </c>
      <c r="K83" s="166">
        <f>IF(C83&lt;&gt;"",_xll.RssMarket(C83,"年初来高値"),"")</f>
        <v>35940</v>
      </c>
      <c r="L83" s="167">
        <f>IF(AND(E83&lt;&gt;"",K83&lt;&gt;"",K83&lt;&gt;0),(E83-K83)/K83*100,"")</f>
        <v>-8.3750695603784084</v>
      </c>
      <c r="M83" s="166">
        <f>IF(C83&lt;&gt;"",IFERROR(AVERAGE(出来高!E158:I158),""),"")</f>
        <v>11042100</v>
      </c>
      <c r="N83" s="166">
        <f>IF(C83&lt;&gt;"",IFERROR(AVERAGE(出来高!E158:AC158),""),"")</f>
        <v>9656364</v>
      </c>
      <c r="O83" s="168">
        <f>IF(AND(J83&lt;&gt;"",M83&lt;&gt;"",M83&lt;&gt;0),J83/M83,"")</f>
        <v>0.70802655292018724</v>
      </c>
      <c r="P83" s="163" t="str">
        <f>IF(O83="","",IF(O83&gt;=2,"急増↑↑",IF(O83&gt;=1.5,"増加↑",IF(O83&gt;=1,"普通→","減少↓"))))</f>
        <v>減少↓</v>
      </c>
      <c r="Q83" s="163" t="str">
        <f>IF(E83="","",IF(AND(E83&gt;G83,O83&gt;=1.5),"買い▲",IF(E83&lt;G83,"様子見▼","中立→")))</f>
        <v>様子見▼</v>
      </c>
      <c r="R83" s="166">
        <f>IF(E83&lt;&gt;"",ROUND(E83*1.08,0),"")</f>
        <v>35564</v>
      </c>
      <c r="S83" s="166">
        <f>IF(E83&lt;&gt;"",ROUND(E83*0.96,0),"")</f>
        <v>31613</v>
      </c>
      <c r="T83" s="163">
        <f>IF(C83="","",IFERROR(IF(O83&gt;=2,3,IF(O83&gt;=1.5,2,IF(O83&gt;=1,1,0)))+IF(E83&gt;G83,1,0)+IF(L83&gt;=-5,1,0)+IF(Q83="買い▲",2,0)+IF(W83&lt;=30,3,IF(W83&lt;=40,2,IF(AND(W83&gt;=40,W83&lt;=60),1,0)))+IF(X83&gt;0,1,0)+IF(V83="年初来高値更新●",3,IF(V83="高値圏",2,0))+IF(AD83="パーフェクト▲",3,IF(AD83="上昇トレンド▲",2,0))+IF(AE83="25日線押し目●",2,IF(AE83="5日線押し目○",1,0))+IF(P83="急増↑↑",2,IF(P83="増加↑",1,0))+N(AI83),0))</f>
        <v>5</v>
      </c>
      <c r="U83" s="163" t="str">
        <f>IF(T83="","",IF(AND(T83&gt;=3,O83&gt;=1.5),"有効",IF(T83&gt;=3,"要確認","除外")))</f>
        <v>要確認</v>
      </c>
      <c r="V83" s="163" t="str">
        <f>IF(AND(H83&lt;&gt;"",K83&lt;&gt;""),IF(H83&gt;=K83,"年初来高値更新●",IF(H83&gt;=K83*0.95,"高値圏","通常")),"")</f>
        <v>通常</v>
      </c>
      <c r="W83" s="169">
        <f t="array" ref="W83">IF(C83&lt;&gt;"",IFERROR(100-100/(1+SUMPRODUCT((終値!F158:R158&gt;終値!G158:S158)*( 終値!F158:R158-終値!G158:S158))/SUMPRODUCT((終値!F158:R158&lt;終値!G158:S158)*(終値!G158:S158-終値!F158:R158))),50),"")</f>
        <v>54.508363933088532</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様子見</v>
      </c>
      <c r="Z83" s="171">
        <f>IF(AND(E83&lt;&gt;"",G83&lt;&gt;"",G83&lt;&gt;0),(E83-G83)/G83*100,"")</f>
        <v>-2.34282325029656</v>
      </c>
      <c r="AA83" s="163" t="str">
        <f>IF(OR(C83="",E83="",E83=0),"",IF(E83&gt;G83,"上昇▲",IF(E83&lt;G83,"下落▼","横ばい→")))</f>
        <v>下落▼</v>
      </c>
      <c r="AB83" s="405">
        <f>IF(C83="","",IFERROR(((終値!E85*0.333)+(終値!F85*0.222)+(終値!G85*0.148)+(終値!H85*0.099)+(終値!I85*0.066)+(終値!J85*0.044)+(終値!K85*0.029)+(終値!L85*0.019)+(終値!M85*0.013)+(終値!N85*0.009))/(0.333+0.222+0.148+0.099+0.066+0.044+0.029+0.019+0.013+0.009),""))</f>
        <v>3181.7657841140526</v>
      </c>
      <c r="AC83" s="405">
        <f>IF(C83="","",IFERROR(SUMPRODUCT((終値!E85:AC85),({0.077,0.071,0.065,0.06,0.055,0.051,0.047,0.043,0.039,0.036,0.033,0.031,0.028,0.026,0.024,0.022,0.02,0.018,0.017,0.016,0.014,0.013,0.012,0.011,0.01}))/SUM({0.077,0.071,0.065,0.06,0.055,0.051,0.047,0.043,0.039,0.036,0.033,0.031,0.028,0.026,0.024,0.022,0.02,0.018,0.017,0.016,0.014,0.013,0.012,0.011,0.01}),""))</f>
        <v>3236.9404052443374</v>
      </c>
      <c r="AD83" s="406" t="str">
        <f>IF(OR(C83="",AB83="",AC83=""),"",IF(AND(E83&gt;AB83,AB83&gt;AC83),"パーフェクト▲",IF(E83&gt;AC83,"上昇トレンド▲",IF(AND(E83&lt;AB83,AB83&lt;AC83),"下降トレンド▼","もみ合い→"))))</f>
        <v>上昇トレンド▲</v>
      </c>
      <c r="AE83" s="406" t="str">
        <f>IF(OR(C83="",AB83="",AC83=""),"",IF(AND(ABS(E83-AC83)/AC83&lt;=0.02,E83&gt;AC83),"25日押し目★",IF(AND(ABS(E83-AB83)/AB83&lt;=0.01,E83&gt;AB83),"5日押し目○","なし")))</f>
        <v>なし</v>
      </c>
      <c r="AF83" s="365">
        <f t="array" ref="AF83">IF(C83="","",IFERROR((INDEX(終値!$E:$E,MATCH(TEXT(C83,"0"),終値!$A:$A,0))-INDEX(終値!$E:$CZ,MATCH(TEXT(C83,"0"),終値!$A:$A,0),$AL$2))/INDEX(終値!$E:$CZ,MATCH(TEXT(C83,"0"),終値!$A:$A,0),$AL$2)*100,""))</f>
        <v>2.90625</v>
      </c>
      <c r="AG83" s="365">
        <f t="array" ref="AG83">IFERROR((終値!$E$5-INDEX(終値!$E$5:$IT$5,1,$AL$2))/INDEX(終値!$E$5:$IT$5,1,$AL$2)*100,"")</f>
        <v>1.0179378228534113</v>
      </c>
      <c r="AH83" s="366">
        <f>IF(OR(AF83="",AG83=""),"",AF83-AG83)</f>
        <v>1.8883121771465887</v>
      </c>
      <c r="AI83" s="364">
        <f>IF(AH83="","",IF(AH83&gt;5,3,IF(AH83&gt;0,1,IF(AH83&gt;-3,-1,-2))))</f>
        <v>1</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5335</v>
      </c>
      <c r="F84" s="166">
        <f>IF(C84&lt;&gt;"",_xll.RssMarket(C84,"始値"),"")</f>
        <v>5251</v>
      </c>
      <c r="G84" s="165">
        <f>IF(C84&lt;&gt;"",終値!F81,"")</f>
        <v>5302</v>
      </c>
      <c r="H84" s="166">
        <f>IF(C84&lt;&gt;"",_xll.RssMarket(C84,"高値"),"")</f>
        <v>5371</v>
      </c>
      <c r="I84" s="166">
        <f>IF(C84&lt;&gt;"",_xll.RssMarket(C84,"安値"),"")</f>
        <v>5210</v>
      </c>
      <c r="J84" s="166">
        <f>IF(C84&lt;&gt;"",_xll.RssMarket(C84,"出来高"),"")</f>
        <v>2820200</v>
      </c>
      <c r="K84" s="166">
        <f>IF(C84&lt;&gt;"",_xll.RssMarket(C84,"年初来高値"),"")</f>
        <v>6317</v>
      </c>
      <c r="L84" s="167">
        <f>IF(AND(E84&lt;&gt;"",K84&lt;&gt;"",K84&lt;&gt;0),(E84-K84)/K84*100,"")</f>
        <v>-15.545353807186956</v>
      </c>
      <c r="M84" s="166">
        <f>IF(C84&lt;&gt;"",IFERROR(AVERAGE(出来高!E81:I81),""),"")</f>
        <v>1921380</v>
      </c>
      <c r="N84" s="166">
        <f>IF(C84&lt;&gt;"",IFERROR(AVERAGE(出来高!E81:AC81),""),"")</f>
        <v>1227704</v>
      </c>
      <c r="O84" s="168">
        <f>IF(AND(J84&lt;&gt;"",M84&lt;&gt;"",M84&lt;&gt;0),J84/M84,"")</f>
        <v>1.4677991860017279</v>
      </c>
      <c r="P84" s="163" t="str">
        <f>IF(O84="","",IF(O84&gt;=2,"急増↑↑",IF(O84&gt;=1.5,"増加↑",IF(O84&gt;=1,"普通→","減少↓"))))</f>
        <v>普通→</v>
      </c>
      <c r="Q84" s="163" t="str">
        <f>IF(E84="","",IF(AND(E84&gt;G84,O84&gt;=1.5),"買い▲",IF(E84&lt;G84,"様子見▼","中立→")))</f>
        <v>中立→</v>
      </c>
      <c r="R84" s="166">
        <f>IF(E84&lt;&gt;"",ROUND(E84*1.08,0),"")</f>
        <v>5762</v>
      </c>
      <c r="S84" s="166">
        <f>IF(E84&lt;&gt;"",ROUND(E84*0.96,0),"")</f>
        <v>5122</v>
      </c>
      <c r="T84" s="163">
        <f>IF(C84="","",IFERROR(IF(O84&gt;=2,3,IF(O84&gt;=1.5,2,IF(O84&gt;=1,1,0)))+IF(E84&gt;G84,1,0)+IF(L84&gt;=-5,1,0)+IF(Q84="買い▲",2,0)+IF(W84&lt;=30,3,IF(W84&lt;=40,2,IF(AND(W84&gt;=40,W84&lt;=60),1,0)))+IF(X84&gt;0,1,0)+IF(V84="年初来高値更新●",3,IF(V84="高値圏",2,0))+IF(AD84="パーフェクト▲",3,IF(AD84="上昇トレンド▲",2,0))+IF(AE84="25日線押し目●",2,IF(AE84="5日線押し目○",1,0))+IF(P84="急増↑↑",2,IF(P84="増加↑",1,0))+N(AI84),0))</f>
        <v>5</v>
      </c>
      <c r="U84" s="163" t="str">
        <f>IF(T84="","",IF(AND(T84&gt;=3,O84&gt;=1.5),"有効",IF(T84&gt;=3,"要確認","除外")))</f>
        <v>要確認</v>
      </c>
      <c r="V84" s="163" t="str">
        <f>IF(AND(H84&lt;&gt;"",K84&lt;&gt;""),IF(H84&gt;=K84,"年初来高値更新●",IF(H84&gt;=K84*0.95,"高値圏","通常")),"")</f>
        <v>通常</v>
      </c>
      <c r="W84" s="169">
        <f t="array" ref="W84">IF(C84&lt;&gt;"",IFERROR(100-100/(1+SUMPRODUCT((終値!F81:R81&gt;終値!G81:S81)*( 終値!F81:R81-終値!G81:S81))/SUMPRODUCT((終値!F81:R81&lt;終値!G81:S81)*(終値!G81:S81-終値!F81:R81))),50),"")</f>
        <v>43.318385650224208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様子見</v>
      </c>
      <c r="Z84" s="171">
        <f>IF(AND(E84&lt;&gt;"",G84&lt;&gt;"",G84&lt;&gt;0),(E84-G84)/G84*100,"")</f>
        <v>0.62240663900414939</v>
      </c>
      <c r="AA84" s="163" t="str">
        <f>IF(OR(C84="",E84="",E84=0),"",IF(E84&gt;G84,"上昇▲",IF(E84&lt;G84,"下落▼","横ばい→")))</f>
        <v>上昇▲</v>
      </c>
      <c r="AB84" s="403">
        <f>IF(C84="","",IFERROR(((終値!E86*0.333)+(終値!F86*0.222)+(終値!G86*0.148)+(終値!H86*0.099)+(終値!I86*0.066)+(終値!J86*0.044)+(終値!K86*0.029)+(終値!L86*0.019)+(終値!M86*0.013)+(終値!N86*0.009))/(0.333+0.222+0.148+0.099+0.066+0.044+0.029+0.019+0.013+0.009),""))</f>
        <v>2274.4989816700599</v>
      </c>
      <c r="AC84" s="403">
        <f>IF(C84="","",IFERROR(SUMPRODUCT((終値!E86:AC86),({0.077,0.071,0.065,0.06,0.055,0.051,0.047,0.043,0.039,0.036,0.033,0.031,0.028,0.026,0.024,0.022,0.02,0.018,0.017,0.016,0.014,0.013,0.012,0.011,0.01}))/SUM({0.077,0.071,0.065,0.06,0.055,0.051,0.047,0.043,0.039,0.036,0.033,0.031,0.028,0.026,0.024,0.022,0.02,0.018,0.017,0.016,0.014,0.013,0.012,0.011,0.01}),""))</f>
        <v>2205.8450536352793</v>
      </c>
      <c r="AD84" s="404" t="str">
        <f>IF(OR(C84="",AB84="",AC84=""),"",IF(AND(E84&gt;AB84,AB84&gt;AC84),"パーフェクト▲",IF(E84&gt;AC84,"上昇トレンド▲",IF(AND(E84&lt;AB84,AB84&lt;AC84),"下降トレンド▼","もみ合い→"))))</f>
        <v>パーフェクト▲</v>
      </c>
      <c r="AE84" s="404" t="str">
        <f>IF(OR(C84="",AB84="",AC84=""),"",IF(AND(ABS(E84-AC84)/AC84&lt;=0.02,E84&gt;AC84),"25日押し目★",IF(AND(ABS(E84-AB84)/AB84&lt;=0.01,E84&gt;AB84),"5日押し目○","なし")))</f>
        <v>なし</v>
      </c>
      <c r="AF84" s="365">
        <f t="array" ref="AF84">IF(C84="","",IFERROR((INDEX(終値!$E:$E,MATCH(TEXT(C84,"0"),終値!$A:$A,0))-INDEX(終値!$E:$CZ,MATCH(TEXT(C84,"0"),終値!$A:$A,0),$AL$2))/INDEX(終値!$E:$CZ,MATCH(TEXT(C84,"0"),終値!$A:$A,0),$AL$2)*100,""))</f>
        <v>-6.6328316415820794</v>
      </c>
      <c r="AG84" s="365">
        <f t="array" ref="AG84">IFERROR((終値!$E$5-INDEX(終値!$E$5:$IT$5,1,$AL$2))/INDEX(終値!$E$5:$IT$5,1,$AL$2)*100,"")</f>
        <v>1.0179378228534113</v>
      </c>
      <c r="AH84" s="366">
        <f>IF(OR(AF84="",AG84=""),"",AF84-AG84)</f>
        <v>-7.6507694644354904</v>
      </c>
      <c r="AI84" s="364">
        <f>IF(AH84="","",IF(AH84&gt;5,3,IF(AH84&gt;0,1,IF(AH84&gt;-3,-1,-2))))</f>
        <v>-2</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1480</v>
      </c>
      <c r="F85" s="166">
        <f>IF(C85&lt;&gt;"",_xll.RssMarket(C85,"始値"),"")</f>
        <v>1491</v>
      </c>
      <c r="G85" s="165">
        <f>IF(C85&lt;&gt;"",終値!F148,"")</f>
        <v>1516</v>
      </c>
      <c r="H85" s="166">
        <f>IF(C85&lt;&gt;"",_xll.RssMarket(C85,"高値"),"")</f>
        <v>1511</v>
      </c>
      <c r="I85" s="166">
        <f>IF(C85&lt;&gt;"",_xll.RssMarket(C85,"安値"),"")</f>
        <v>1460</v>
      </c>
      <c r="J85" s="166">
        <f>IF(C85&lt;&gt;"",_xll.RssMarket(C85,"出来高"),"")</f>
        <v>162700</v>
      </c>
      <c r="K85" s="166">
        <f>IF(C85&lt;&gt;"",_xll.RssMarket(C85,"年初来高値"),"")</f>
        <v>2496</v>
      </c>
      <c r="L85" s="167">
        <f>IF(AND(E85&lt;&gt;"",K85&lt;&gt;"",K85&lt;&gt;0),(E85-K85)/K85*100,"")</f>
        <v>-40.705128205128204</v>
      </c>
      <c r="M85" s="166">
        <f>IF(C85&lt;&gt;"",IFERROR(AVERAGE(出来高!E148:I148),""),"")</f>
        <v>247040</v>
      </c>
      <c r="N85" s="166">
        <f>IF(C85&lt;&gt;"",IFERROR(AVERAGE(出来高!E148:AC148),""),"")</f>
        <v>276636</v>
      </c>
      <c r="O85" s="168">
        <f>IF(AND(J85&lt;&gt;"",M85&lt;&gt;"",M85&lt;&gt;0),J85/M85,"")</f>
        <v>0.65859779792746109</v>
      </c>
      <c r="P85" s="163" t="str">
        <f>IF(O85="","",IF(O85&gt;=2,"急増↑↑",IF(O85&gt;=1.5,"増加↑",IF(O85&gt;=1,"普通→","減少↓"))))</f>
        <v>減少↓</v>
      </c>
      <c r="Q85" s="163" t="str">
        <f>IF(E85="","",IF(AND(E85&gt;G85,O85&gt;=1.5),"買い▲",IF(E85&lt;G85,"様子見▼","中立→")))</f>
        <v>様子見▼</v>
      </c>
      <c r="R85" s="166">
        <f>IF(E85&lt;&gt;"",ROUND(E85*1.08,0),"")</f>
        <v>1598</v>
      </c>
      <c r="S85" s="166">
        <f>IF(E85&lt;&gt;"",ROUND(E85*0.96,0),"")</f>
        <v>1421</v>
      </c>
      <c r="T85" s="163">
        <f>IF(C85="","",IFERROR(IF(O85&gt;=2,3,IF(O85&gt;=1.5,2,IF(O85&gt;=1,1,0)))+IF(E85&gt;G85,1,0)+IF(L85&gt;=-5,1,0)+IF(Q85="買い▲",2,0)+IF(W85&lt;=30,3,IF(W85&lt;=40,2,IF(AND(W85&gt;=40,W85&lt;=60),1,0)))+IF(X85&gt;0,1,0)+IF(V85="年初来高値更新●",3,IF(V85="高値圏",2,0))+IF(AD85="パーフェクト▲",3,IF(AD85="上昇トレンド▲",2,0))+IF(AE85="25日線押し目●",2,IF(AE85="5日線押し目○",1,0))+IF(P85="急増↑↑",2,IF(P85="増加↑",1,0))+N(AI85),0))</f>
        <v>-1</v>
      </c>
      <c r="U85" s="163" t="str">
        <f>IF(T85="","",IF(AND(T85&gt;=3,O85&gt;=1.5),"有効",IF(T85&gt;=3,"要確認","除外")))</f>
        <v>除外</v>
      </c>
      <c r="V85" s="163" t="str">
        <f>IF(AND(H85&lt;&gt;"",K85&lt;&gt;""),IF(H85&gt;=K85,"年初来高値更新●",IF(H85&gt;=K85*0.95,"高値圏","通常")),"")</f>
        <v>通常</v>
      </c>
      <c r="W85" s="169">
        <f t="array" ref="W85">IF(C85&lt;&gt;"",IFERROR(100-100/(1+SUMPRODUCT((終値!F148:R148&gt;終値!G148:S148)*( 終値!F148:R148-終値!G148:S148))/SUMPRODUCT((終値!F148:R148&lt;終値!G148:S148)*(終値!G148:S148-終値!F148:R148))),50),"")</f>
        <v>51.347708894878707</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見送り</v>
      </c>
      <c r="Z85" s="171">
        <f>IF(AND(E85&lt;&gt;"",G85&lt;&gt;"",G85&lt;&gt;0),(E85-G85)/G85*100,"")</f>
        <v>-2.3746701846965697</v>
      </c>
      <c r="AA85" s="163" t="str">
        <f>IF(OR(C85="",E85="",E85=0),"",IF(E85&gt;G85,"上昇▲",IF(E85&lt;G85,"下落▼","横ばい→")))</f>
        <v>下落▼</v>
      </c>
      <c r="AB85" s="405">
        <f>IF(C85="","",IFERROR(((終値!E87*0.333)+(終値!F87*0.222)+(終値!G87*0.148)+(終値!H87*0.099)+(終値!I87*0.066)+(終値!J87*0.044)+(終値!K87*0.029)+(終値!L87*0.019)+(終値!M87*0.013)+(終値!N87*0.009))/(0.333+0.222+0.148+0.099+0.066+0.044+0.029+0.019+0.013+0.009),""))</f>
        <v>6912.2627291242361</v>
      </c>
      <c r="AC85" s="405">
        <f>IF(C85="","",IFERROR(SUMPRODUCT((終値!E87:AC87),({0.077,0.071,0.065,0.06,0.055,0.051,0.047,0.043,0.039,0.036,0.033,0.031,0.028,0.026,0.024,0.022,0.02,0.018,0.017,0.016,0.014,0.013,0.012,0.011,0.01}))/SUM({0.077,0.071,0.065,0.06,0.055,0.051,0.047,0.043,0.039,0.036,0.033,0.031,0.028,0.026,0.024,0.022,0.02,0.018,0.017,0.016,0.014,0.013,0.012,0.011,0.01}),""))</f>
        <v>6618.4278903456479</v>
      </c>
      <c r="AD85" s="406" t="str">
        <f>IF(OR(C85="",AB85="",AC85=""),"",IF(AND(E85&gt;AB85,AB85&gt;AC85),"パーフェクト▲",IF(E85&gt;AC85,"上昇トレンド▲",IF(AND(E85&lt;AB85,AB85&lt;AC85),"下降トレンド▼","もみ合い→"))))</f>
        <v>もみ合い→</v>
      </c>
      <c r="AE85" s="406" t="str">
        <f>IF(OR(C85="",AB85="",AC85=""),"",IF(AND(ABS(E85-AC85)/AC85&lt;=0.02,E85&gt;AC85),"25日押し目★",IF(AND(ABS(E85-AB85)/AB85&lt;=0.01,E85&gt;AB85),"5日押し目○","なし")))</f>
        <v>なし</v>
      </c>
      <c r="AF85" s="365">
        <f t="array" ref="AF85">IF(C85="","",IFERROR((INDEX(終値!$E:$E,MATCH(TEXT(C85,"0"),終値!$A:$A,0))-INDEX(終値!$E:$CZ,MATCH(TEXT(C85,"0"),終値!$A:$A,0),$AL$2))/INDEX(終値!$E:$CZ,MATCH(TEXT(C85,"0"),終値!$A:$A,0),$AL$2)*100,""))</f>
        <v>-14.844649021864212</v>
      </c>
      <c r="AG85" s="365">
        <f t="array" ref="AG85">IFERROR((終値!$E$5-INDEX(終値!$E$5:$IT$5,1,$AL$2))/INDEX(終値!$E$5:$IT$5,1,$AL$2)*100,"")</f>
        <v>1.0179378228534113</v>
      </c>
      <c r="AH85" s="366">
        <f>IF(OR(AF85="",AG85=""),"",AF85-AG85)</f>
        <v>-15.862586844717624</v>
      </c>
      <c r="AI85" s="364">
        <f>IF(AH85="","",IF(AH85&gt;5,3,IF(AH85&gt;0,1,IF(AH85&gt;-3,-1,-2))))</f>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23790</v>
      </c>
      <c r="F86" s="166">
        <f>IF(C86&lt;&gt;"",_xll.RssMarket(C86,"始値"),"")</f>
        <v>24350</v>
      </c>
      <c r="G86" s="165">
        <f>IF(C86&lt;&gt;"",終値!F145,"")</f>
        <v>24800</v>
      </c>
      <c r="H86" s="166">
        <f>IF(C86&lt;&gt;"",_xll.RssMarket(C86,"高値"),"")</f>
        <v>24780</v>
      </c>
      <c r="I86" s="166">
        <f>IF(C86&lt;&gt;"",_xll.RssMarket(C86,"安値"),"")</f>
        <v>22680</v>
      </c>
      <c r="J86" s="166">
        <f>IF(C86&lt;&gt;"",_xll.RssMarket(C86,"出来高"),"")</f>
        <v>592100</v>
      </c>
      <c r="K86" s="166">
        <f>IF(C86&lt;&gt;"",_xll.RssMarket(C86,"年初来高値"),"")</f>
        <v>45300</v>
      </c>
      <c r="L86" s="167">
        <f>IF(AND(E86&lt;&gt;"",K86&lt;&gt;"",K86&lt;&gt;0),(E86-K86)/K86*100,"")</f>
        <v>-47.483443708609272</v>
      </c>
      <c r="M86" s="166">
        <f>IF(C86&lt;&gt;"",IFERROR(AVERAGE(出来高!E145:I145),""),"")</f>
        <v>530680</v>
      </c>
      <c r="N86" s="166">
        <f>IF(C86&lt;&gt;"",IFERROR(AVERAGE(出来高!E145:AC145),""),"")</f>
        <v>460096</v>
      </c>
      <c r="O86" s="168">
        <f>IF(AND(J86&lt;&gt;"",M86&lt;&gt;"",M86&lt;&gt;0),J86/M86,"")</f>
        <v>1.1157382980327128</v>
      </c>
      <c r="P86" s="163" t="str">
        <f>IF(O86="","",IF(O86&gt;=2,"急増↑↑",IF(O86&gt;=1.5,"増加↑",IF(O86&gt;=1,"普通→","減少↓"))))</f>
        <v>普通→</v>
      </c>
      <c r="Q86" s="163" t="str">
        <f>IF(E86="","",IF(AND(E86&gt;G86,O86&gt;=1.5),"買い▲",IF(E86&lt;G86,"様子見▼","中立→")))</f>
        <v>様子見▼</v>
      </c>
      <c r="R86" s="166">
        <f>IF(E86&lt;&gt;"",ROUND(E86*1.08,0),"")</f>
        <v>25693</v>
      </c>
      <c r="S86" s="166">
        <f>IF(E86&lt;&gt;"",ROUND(E86*0.96,0),"")</f>
        <v>22838</v>
      </c>
      <c r="T86" s="163">
        <f>IF(C86="","",IFERROR(IF(O86&gt;=2,3,IF(O86&gt;=1.5,2,IF(O86&gt;=1,1,0)))+IF(E86&gt;G86,1,0)+IF(L86&gt;=-5,1,0)+IF(Q86="買い▲",2,0)+IF(W86&lt;=30,3,IF(W86&lt;=40,2,IF(AND(W86&gt;=40,W86&lt;=60),1,0)))+IF(X86&gt;0,1,0)+IF(V86="年初来高値更新●",3,IF(V86="高値圏",2,0))+IF(AD86="パーフェクト▲",3,IF(AD86="上昇トレンド▲",2,0))+IF(AE86="25日線押し目●",2,IF(AE86="5日線押し目○",1,0))+IF(P86="急増↑↑",2,IF(P86="増加↑",1,0))+N(AI86),0))</f>
        <v>2</v>
      </c>
      <c r="U86" s="163" t="str">
        <f>IF(T86="","",IF(AND(T86&gt;=3,O86&gt;=1.5),"有効",IF(T86&gt;=3,"要確認","除外")))</f>
        <v>除外</v>
      </c>
      <c r="V86" s="163" t="str">
        <f>IF(AND(H86&lt;&gt;"",K86&lt;&gt;""),IF(H86&gt;=K86,"年初来高値更新●",IF(H86&gt;=K86*0.95,"高値圏","通常")),"")</f>
        <v>通常</v>
      </c>
      <c r="W86" s="169">
        <f t="array" ref="W86">IF(C86&lt;&gt;"",IFERROR(100-100/(1+SUMPRODUCT((終値!F145:R145&gt;終値!G145:S145)*( 終値!F145:R145-終値!G145:S145))/SUMPRODUCT((終値!F145:R145&lt;終値!G145:S145)*(終値!G145:S145-終値!F145:R145))),50),"")</f>
        <v>44.196185286103542</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見送り</v>
      </c>
      <c r="Z86" s="171">
        <f>IF(AND(E86&lt;&gt;"",G86&lt;&gt;"",G86&lt;&gt;0),(E86-G86)/G86*100,"")</f>
        <v>-4.07258064516129</v>
      </c>
      <c r="AA86" s="163" t="str">
        <f>IF(OR(C86="",E86="",E86=0),"",IF(E86&gt;G86,"上昇▲",IF(E86&lt;G86,"下落▼","横ばい→")))</f>
        <v>下落▼</v>
      </c>
      <c r="AB86" s="403">
        <f>IF(C86="","",IFERROR(((終値!E88*0.333)+(終値!F88*0.222)+(終値!G88*0.148)+(終値!H88*0.099)+(終値!I88*0.066)+(終値!J88*0.044)+(終値!K88*0.029)+(終値!L88*0.019)+(終値!M88*0.013)+(終値!N88*0.009))/(0.333+0.222+0.148+0.099+0.066+0.044+0.029+0.019+0.013+0.009),""))</f>
        <v>1734.1048879837067</v>
      </c>
      <c r="AC86" s="403">
        <f>IF(C86="","",IFERROR(SUMPRODUCT((終値!E88:AC88),({0.077,0.071,0.065,0.06,0.055,0.051,0.047,0.043,0.039,0.036,0.033,0.031,0.028,0.026,0.024,0.022,0.02,0.018,0.017,0.016,0.014,0.013,0.012,0.011,0.01}))/SUM({0.077,0.071,0.065,0.06,0.055,0.051,0.047,0.043,0.039,0.036,0.033,0.031,0.028,0.026,0.024,0.022,0.02,0.018,0.017,0.016,0.014,0.013,0.012,0.011,0.01}),""))</f>
        <v>1769.9606674612628</v>
      </c>
      <c r="AD86" s="404" t="str">
        <f>IF(OR(C86="",AB86="",AC86=""),"",IF(AND(E86&gt;AB86,AB86&gt;AC86),"パーフェクト▲",IF(E86&gt;AC86,"上昇トレンド▲",IF(AND(E86&lt;AB86,AB86&lt;AC86),"下降トレンド▼","もみ合い→"))))</f>
        <v>上昇トレンド▲</v>
      </c>
      <c r="AE86" s="404" t="str">
        <f>IF(OR(C86="",AB86="",AC86=""),"",IF(AND(ABS(E86-AC86)/AC86&lt;=0.02,E86&gt;AC86),"25日押し目★",IF(AND(ABS(E86-AB86)/AB86&lt;=0.01,E86&gt;AB86),"5日押し目○","なし")))</f>
        <v>なし</v>
      </c>
      <c r="AF86" s="365">
        <f t="array" ref="AF86">IF(C86="","",IFERROR((INDEX(終値!$E:$E,MATCH(TEXT(C86,"0"),終値!$A:$A,0))-INDEX(終値!$E:$CZ,MATCH(TEXT(C86,"0"),終値!$A:$A,0),$AL$2))/INDEX(終値!$E:$CZ,MATCH(TEXT(C86,"0"),終値!$A:$A,0),$AL$2)*100,""))</f>
        <v>-19.410569105691057</v>
      </c>
      <c r="AG86" s="365">
        <f t="array" ref="AG86">IFERROR((終値!$E$5-INDEX(終値!$E$5:$IT$5,1,$AL$2))/INDEX(終値!$E$5:$IT$5,1,$AL$2)*100,"")</f>
        <v>1.0179378228534113</v>
      </c>
      <c r="AH86" s="366">
        <f>IF(OR(AF86="",AG86=""),"",AF86-AG86)</f>
        <v>-20.428506928544468</v>
      </c>
      <c r="AI86" s="364">
        <f>IF(AH86="","",IF(AH86&gt;5,3,IF(AH86&gt;0,1,IF(AH86&gt;-3,-1,-2))))</f>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19550</v>
      </c>
      <c r="F87" s="166">
        <f>IF(C87&lt;&gt;"",_xll.RssMarket(C87,"始値"),"")</f>
        <v>20710</v>
      </c>
      <c r="G87" s="165">
        <f>IF(C87&lt;&gt;"",終値!F144,"")</f>
        <v>21450</v>
      </c>
      <c r="H87" s="166">
        <f>IF(C87&lt;&gt;"",_xll.RssMarket(C87,"高値"),"")</f>
        <v>20810</v>
      </c>
      <c r="I87" s="166">
        <f>IF(C87&lt;&gt;"",_xll.RssMarket(C87,"安値"),"")</f>
        <v>19450</v>
      </c>
      <c r="J87" s="166">
        <f>IF(C87&lt;&gt;"",_xll.RssMarket(C87,"出来高"),"")</f>
        <v>202200</v>
      </c>
      <c r="K87" s="166">
        <f>IF(C87&lt;&gt;"",_xll.RssMarket(C87,"年初来高値"),"")</f>
        <v>34700</v>
      </c>
      <c r="L87" s="167">
        <f>IF(AND(E87&lt;&gt;"",K87&lt;&gt;"",K87&lt;&gt;0),(E87-K87)/K87*100,"")</f>
        <v>-43.659942363112393</v>
      </c>
      <c r="M87" s="166">
        <f>IF(C87&lt;&gt;"",IFERROR(AVERAGE(出来高!E144:I144),""),"")</f>
        <v>183040</v>
      </c>
      <c r="N87" s="166">
        <f>IF(C87&lt;&gt;"",IFERROR(AVERAGE(出来高!E144:AC144),""),"")</f>
        <v>148287.5</v>
      </c>
      <c r="O87" s="168">
        <f>IF(AND(J87&lt;&gt;"",M87&lt;&gt;"",M87&lt;&gt;0),J87/M87,"")</f>
        <v>1.1046765734265733</v>
      </c>
      <c r="P87" s="163" t="str">
        <f>IF(O87="","",IF(O87&gt;=2,"急増↑↑",IF(O87&gt;=1.5,"増加↑",IF(O87&gt;=1,"普通→","減少↓"))))</f>
        <v>普通→</v>
      </c>
      <c r="Q87" s="163" t="str">
        <f>IF(E87="","",IF(AND(E87&gt;G87,O87&gt;=1.5),"買い▲",IF(E87&lt;G87,"様子見▼","中立→")))</f>
        <v>様子見▼</v>
      </c>
      <c r="R87" s="166">
        <f>IF(E87&lt;&gt;"",ROUND(E87*1.08,0),"")</f>
        <v>21114</v>
      </c>
      <c r="S87" s="166">
        <f>IF(E87&lt;&gt;"",ROUND(E87*0.96,0),"")</f>
        <v>18768</v>
      </c>
      <c r="T87" s="163">
        <f>IF(C87="","",IFERROR(IF(O87&gt;=2,3,IF(O87&gt;=1.5,2,IF(O87&gt;=1,1,0)))+IF(E87&gt;G87,1,0)+IF(L87&gt;=-5,1,0)+IF(Q87="買い▲",2,0)+IF(W87&lt;=30,3,IF(W87&lt;=40,2,IF(AND(W87&gt;=40,W87&lt;=60),1,0)))+IF(X87&gt;0,1,0)+IF(V87="年初来高値更新●",3,IF(V87="高値圏",2,0))+IF(AD87="パーフェクト▲",3,IF(AD87="上昇トレンド▲",2,0))+IF(AE87="25日線押し目●",2,IF(AE87="5日線押し目○",1,0))+IF(P87="急増↑↑",2,IF(P87="増加↑",1,0))+N(AI87),0))</f>
        <v>3</v>
      </c>
      <c r="U87" s="163" t="str">
        <f>IF(T87="","",IF(AND(T87&gt;=3,O87&gt;=1.5),"有効",IF(T87&gt;=3,"要確認","除外")))</f>
        <v>要確認</v>
      </c>
      <c r="V87" s="163" t="str">
        <f>IF(AND(H87&lt;&gt;"",K87&lt;&gt;""),IF(H87&gt;=K87,"年初来高値更新●",IF(H87&gt;=K87*0.95,"高値圏","通常")),"")</f>
        <v>通常</v>
      </c>
      <c r="W87" s="169">
        <f t="array" ref="W87">IF(C87&lt;&gt;"",IFERROR(100-100/(1+SUMPRODUCT((終値!F144:R144&gt;終値!G144:S144)*( 終値!F144:R144-終値!G144:S144))/SUMPRODUCT((終値!F144:R144&lt;終値!G144:S144)*(終値!G144:S144-終値!F144:R144))),50),"")</f>
        <v>49.602069239952243</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様子見</v>
      </c>
      <c r="Z87" s="171">
        <f>IF(AND(E87&lt;&gt;"",G87&lt;&gt;"",G87&lt;&gt;0),(E87-G87)/G87*100,"")</f>
        <v>-8.8578088578088572</v>
      </c>
      <c r="AA87" s="163" t="str">
        <f>IF(OR(C87="",E87="",E87=0),"",IF(E87&gt;G87,"上昇▲",IF(E87&lt;G87,"下落▼","横ばい→")))</f>
        <v>下落▼</v>
      </c>
      <c r="AB87" s="405">
        <f>IF(C87="","",IFERROR(((終値!E89*0.333)+(終値!F89*0.222)+(終値!G89*0.148)+(終値!H89*0.099)+(終値!I89*0.066)+(終値!J89*0.044)+(終値!K89*0.029)+(終値!L89*0.019)+(終値!M89*0.013)+(終値!N89*0.009))/(0.333+0.222+0.148+0.099+0.066+0.044+0.029+0.019+0.013+0.009),""))</f>
        <v>2172.3105906313644</v>
      </c>
      <c r="AC87" s="405">
        <f>IF(C87="","",IFERROR(SUMPRODUCT((終値!E89:AC89),({0.077,0.071,0.065,0.06,0.055,0.051,0.047,0.043,0.039,0.036,0.033,0.031,0.028,0.026,0.024,0.022,0.02,0.018,0.017,0.016,0.014,0.013,0.012,0.011,0.01}))/SUM({0.077,0.071,0.065,0.06,0.055,0.051,0.047,0.043,0.039,0.036,0.033,0.031,0.028,0.026,0.024,0.022,0.02,0.018,0.017,0.016,0.014,0.013,0.012,0.011,0.01}),""))</f>
        <v>2093.5649582836709</v>
      </c>
      <c r="AD87" s="406" t="str">
        <f>IF(OR(C87="",AB87="",AC87=""),"",IF(AND(E87&gt;AB87,AB87&gt;AC87),"パーフェクト▲",IF(E87&gt;AC87,"上昇トレンド▲",IF(AND(E87&lt;AB87,AB87&lt;AC87),"下降トレンド▼","もみ合い→"))))</f>
        <v>パーフェクト▲</v>
      </c>
      <c r="AE87" s="406" t="str">
        <f>IF(OR(C87="",AB87="",AC87=""),"",IF(AND(ABS(E87-AC87)/AC87&lt;=0.02,E87&gt;AC87),"25日押し目★",IF(AND(ABS(E87-AB87)/AB87&lt;=0.01,E87&gt;AB87),"5日押し目○","なし")))</f>
        <v>なし</v>
      </c>
      <c r="AF87" s="365">
        <f t="array" ref="AF87">IF(C87="","",IFERROR((INDEX(終値!$E:$E,MATCH(TEXT(C87,"0"),終値!$A:$A,0))-INDEX(終値!$E:$CZ,MATCH(TEXT(C87,"0"),終値!$A:$A,0),$AL$2))/INDEX(終値!$E:$CZ,MATCH(TEXT(C87,"0"),終値!$A:$A,0),$AL$2)*100,""))</f>
        <v>-24.224806201550386</v>
      </c>
      <c r="AG87" s="365">
        <f t="array" ref="AG87">IFERROR((終値!$E$5-INDEX(終値!$E$5:$IT$5,1,$AL$2))/INDEX(終値!$E$5:$IT$5,1,$AL$2)*100,"")</f>
        <v>1.0179378228534113</v>
      </c>
      <c r="AH87" s="366">
        <f>IF(OR(AF87="",AG87=""),"",AF87-AG87)</f>
        <v>-25.242744024403798</v>
      </c>
      <c r="AI87" s="364">
        <f>IF(AH87="","",IF(AH87&gt;5,3,IF(AH87&gt;0,1,IF(AH87&gt;-3,-1,-2))))</f>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3626</v>
      </c>
      <c r="F88" s="166">
        <f>IF(C88&lt;&gt;"",_xll.RssMarket(C88,"始値"),"")</f>
        <v>3650</v>
      </c>
      <c r="G88" s="165">
        <f>IF(C88&lt;&gt;"",終値!F205,"")</f>
        <v>3565</v>
      </c>
      <c r="H88" s="166">
        <f>IF(C88&lt;&gt;"",_xll.RssMarket(C88,"高値"),"")</f>
        <v>3663</v>
      </c>
      <c r="I88" s="166">
        <f>IF(C88&lt;&gt;"",_xll.RssMarket(C88,"安値"),"")</f>
        <v>3594</v>
      </c>
      <c r="J88" s="166">
        <f>IF(C88&lt;&gt;"",_xll.RssMarket(C88,"出来高"),"")</f>
        <v>17528500</v>
      </c>
      <c r="K88" s="166">
        <f>IF(C88&lt;&gt;"",_xll.RssMarket(C88,"年初来高値"),"")</f>
        <v>4124</v>
      </c>
      <c r="L88" s="167">
        <f>IF(AND(E88&lt;&gt;"",K88&lt;&gt;"",K88&lt;&gt;0),(E88-K88)/K88*100,"")</f>
        <v>-12.075654704170708</v>
      </c>
      <c r="M88" s="166">
        <f>IF(C88&lt;&gt;"",IFERROR(AVERAGE(出来高!E205:I205),""),"")</f>
        <v>17147100</v>
      </c>
      <c r="N88" s="166">
        <f>IF(C88&lt;&gt;"",IFERROR(AVERAGE(出来高!E205:AC205),""),"")</f>
        <v>17147100</v>
      </c>
      <c r="O88" s="168">
        <f>IF(AND(J88&lt;&gt;"",M88&lt;&gt;"",M88&lt;&gt;0),J88/M88,"")</f>
        <v>1.0222428282333456</v>
      </c>
      <c r="P88" s="163" t="str">
        <f>IF(O88="","",IF(O88&gt;=2,"急増↑↑",IF(O88&gt;=1.5,"増加↑",IF(O88&gt;=1,"普通→","減少↓"))))</f>
        <v>普通→</v>
      </c>
      <c r="Q88" s="163" t="str">
        <f>IF(E88="","",IF(AND(E88&gt;G88,O88&gt;=1.5),"買い▲",IF(E88&lt;G88,"様子見▼","中立→")))</f>
        <v>中立→</v>
      </c>
      <c r="R88" s="166">
        <f>IF(E88&lt;&gt;"",ROUND(E88*1.08,0),"")</f>
        <v>3916</v>
      </c>
      <c r="S88" s="166">
        <f>IF(E88&lt;&gt;"",ROUND(E88*0.96,0),"")</f>
        <v>3481</v>
      </c>
      <c r="T88" s="163">
        <f>IF(C88="","",IFERROR(IF(O88&gt;=2,3,IF(O88&gt;=1.5,2,IF(O88&gt;=1,1,0)))+IF(E88&gt;G88,1,0)+IF(L88&gt;=-5,1,0)+IF(Q88="買い▲",2,0)+IF(W88&lt;=30,3,IF(W88&lt;=40,2,IF(AND(W88&gt;=40,W88&lt;=60),1,0)))+IF(X88&gt;0,1,0)+IF(V88="年初来高値更新●",3,IF(V88="高値圏",2,0))+IF(AD88="パーフェクト▲",3,IF(AD88="上昇トレンド▲",2,0))+IF(AE88="25日線押し目●",2,IF(AE88="5日線押し目○",1,0))+IF(P88="急増↑↑",2,IF(P88="増加↑",1,0))+N(AI88),0))</f>
        <v>4</v>
      </c>
      <c r="U88" s="163" t="str">
        <f>IF(T88="","",IF(AND(T88&gt;=3,O88&gt;=1.5),"有効",IF(T88&gt;=3,"要確認","除外")))</f>
        <v>要確認</v>
      </c>
      <c r="V88" s="163" t="str">
        <f>IF(AND(H88&lt;&gt;"",K88&lt;&gt;""),IF(H88&gt;=K88,"年初来高値更新●",IF(H88&gt;=K88*0.95,"高値圏","通常")),"")</f>
        <v>通常</v>
      </c>
      <c r="W88" s="169">
        <f t="array" ref="W88">IF(C88&lt;&gt;"",IFERROR(100-100/(1+SUMPRODUCT((終値!F205:R205&gt;終値!G205:S205)*( 終値!F205:R205-終値!G205:S205))/SUMPRODUCT((終値!F205:R205&lt;終値!G205:S205)*(終値!G205:S205-終値!F205:R205))),50),"")</f>
        <v>50</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様子見</v>
      </c>
      <c r="Z88" s="171">
        <f>IF(AND(E88&lt;&gt;"",G88&lt;&gt;"",G88&lt;&gt;0),(E88-G88)/G88*100,"")</f>
        <v>1.7110799438990183</v>
      </c>
      <c r="AA88" s="163" t="str">
        <f>IF(OR(C88="",E88="",E88=0),"",IF(E88&gt;G88,"上昇▲",IF(E88&lt;G88,"下落▼","横ばい→")))</f>
        <v>上昇▲</v>
      </c>
      <c r="AB88" s="403">
        <f>IF(C88="","",IFERROR(((終値!E90*0.333)+(終値!F90*0.222)+(終値!G90*0.148)+(終値!H90*0.099)+(終値!I90*0.066)+(終値!J90*0.044)+(終値!K90*0.029)+(終値!L90*0.019)+(終値!M90*0.013)+(終値!N90*0.009))/(0.333+0.222+0.148+0.099+0.066+0.044+0.029+0.019+0.013+0.009),""))</f>
        <v>4173.4959266802443</v>
      </c>
      <c r="AC88" s="403">
        <f>IF(C88="","",IFERROR(SUMPRODUCT((終値!E90:AC90),({0.077,0.071,0.065,0.06,0.055,0.051,0.047,0.043,0.039,0.036,0.033,0.031,0.028,0.026,0.024,0.022,0.02,0.018,0.017,0.016,0.014,0.013,0.012,0.011,0.01}))/SUM({0.077,0.071,0.065,0.06,0.055,0.051,0.047,0.043,0.039,0.036,0.033,0.031,0.028,0.026,0.024,0.022,0.02,0.018,0.017,0.016,0.014,0.013,0.012,0.011,0.01}),""))</f>
        <v>4252.1382598331329</v>
      </c>
      <c r="AD88" s="404" t="str">
        <f>IF(OR(C88="",AB88="",AC88=""),"",IF(AND(E88&gt;AB88,AB88&gt;AC88),"パーフェクト▲",IF(E88&gt;AC88,"上昇トレンド▲",IF(AND(E88&lt;AB88,AB88&lt;AC88),"下降トレンド▼","もみ合い→"))))</f>
        <v>下降トレンド▼</v>
      </c>
      <c r="AE88" s="404" t="str">
        <f>IF(OR(C88="",AB88="",AC88=""),"",IF(AND(ABS(E88-AC88)/AC88&lt;=0.02,E88&gt;AC88),"25日押し目★",IF(AND(ABS(E88-AB88)/AB88&lt;=0.01,E88&gt;AB88),"5日押し目○","なし")))</f>
        <v>なし</v>
      </c>
      <c r="AF88" s="365" t="str">
        <f t="array" ref="AF88">IF(C88="","",IFERROR((INDEX(終値!$E:$E,MATCH(TEXT(C88,"0"),終値!$A:$A,0))-INDEX(終値!$E:$CZ,MATCH(TEXT(C88,"0"),終値!$A:$A,0),$AL$2))/INDEX(終値!$E:$CZ,MATCH(TEXT(C88,"0"),終値!$A:$A,0),$AL$2)*100,""))</f>
        <v/>
      </c>
      <c r="AG88" s="365">
        <f t="array" ref="AG88">IFERROR((終値!$E$5-INDEX(終値!$E$5:$IT$5,1,$AL$2))/INDEX(終値!$E$5:$IT$5,1,$AL$2)*100,"")</f>
        <v>1.0179378228534113</v>
      </c>
      <c r="AH88" s="366" t="str">
        <f>IF(OR(AF88="",AG88=""),"",AF88-AG88)</f>
        <v/>
      </c>
      <c r="AI88" s="364" t="str">
        <f>IF(AH88="","",IF(AH88&gt;5,3,IF(AH88&gt;0,1,IF(AH88&gt;-3,-1,-2))))</f>
        <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3525</v>
      </c>
      <c r="F89" s="166">
        <f>IF(C89&lt;&gt;"",_xll.RssMarket(C89,"始値"),"")</f>
        <v>3572</v>
      </c>
      <c r="G89" s="165">
        <f>IF(C89&lt;&gt;"",終値!F155,"")</f>
        <v>3833</v>
      </c>
      <c r="H89" s="166">
        <f>IF(C89&lt;&gt;"",_xll.RssMarket(C89,"高値"),"")</f>
        <v>3663</v>
      </c>
      <c r="I89" s="166">
        <f>IF(C89&lt;&gt;"",_xll.RssMarket(C89,"安値"),"")</f>
        <v>3481</v>
      </c>
      <c r="J89" s="166">
        <f>IF(C89&lt;&gt;"",_xll.RssMarket(C89,"出来高"),"")</f>
        <v>2090900</v>
      </c>
      <c r="K89" s="166">
        <f>IF(C89&lt;&gt;"",_xll.RssMarket(C89,"年初来高値"),"")</f>
        <v>4855</v>
      </c>
      <c r="L89" s="167">
        <f>IF(AND(E89&lt;&gt;"",K89&lt;&gt;"",K89&lt;&gt;0),(E89-K89)/K89*100,"")</f>
        <v>-27.394438722966015</v>
      </c>
      <c r="M89" s="166">
        <f>IF(C89&lt;&gt;"",IFERROR(AVERAGE(出来高!E155:I155),""),"")</f>
        <v>2720060</v>
      </c>
      <c r="N89" s="166">
        <f>IF(C89&lt;&gt;"",IFERROR(AVERAGE(出来高!E155:AC155),""),"")</f>
        <v>1742029.1666666667</v>
      </c>
      <c r="O89" s="168">
        <f>IF(AND(J89&lt;&gt;"",M89&lt;&gt;"",M89&lt;&gt;0),J89/M89,"")</f>
        <v>0.76869627875855684</v>
      </c>
      <c r="P89" s="163" t="str">
        <f>IF(O89="","",IF(O89&gt;=2,"急増↑↑",IF(O89&gt;=1.5,"増加↑",IF(O89&gt;=1,"普通→","減少↓"))))</f>
        <v>減少↓</v>
      </c>
      <c r="Q89" s="163" t="str">
        <f>IF(E89="","",IF(AND(E89&gt;G89,O89&gt;=1.5),"買い▲",IF(E89&lt;G89,"様子見▼","中立→")))</f>
        <v>様子見▼</v>
      </c>
      <c r="R89" s="166">
        <f>IF(E89&lt;&gt;"",ROUND(E89*1.08,0),"")</f>
        <v>3807</v>
      </c>
      <c r="S89" s="166">
        <f>IF(E89&lt;&gt;"",ROUND(E89*0.96,0),"")</f>
        <v>3384</v>
      </c>
      <c r="T89" s="163">
        <f>IF(C89="","",IFERROR(IF(O89&gt;=2,3,IF(O89&gt;=1.5,2,IF(O89&gt;=1,1,0)))+IF(E89&gt;G89,1,0)+IF(L89&gt;=-5,1,0)+IF(Q89="買い▲",2,0)+IF(W89&lt;=30,3,IF(W89&lt;=40,2,IF(AND(W89&gt;=40,W89&lt;=60),1,0)))+IF(X89&gt;0,1,0)+IF(V89="年初来高値更新●",3,IF(V89="高値圏",2,0))+IF(AD89="パーフェクト▲",3,IF(AD89="上昇トレンド▲",2,0))+IF(AE89="25日線押し目●",2,IF(AE89="5日線押し目○",1,0))+IF(P89="急増↑↑",2,IF(P89="増加↑",1,0))+N(AI89),0))</f>
        <v>-1</v>
      </c>
      <c r="U89" s="163" t="str">
        <f>IF(T89="","",IF(AND(T89&gt;=3,O89&gt;=1.5),"有効",IF(T89&gt;=3,"要確認","除外")))</f>
        <v>除外</v>
      </c>
      <c r="V89" s="163" t="str">
        <f>IF(AND(H89&lt;&gt;"",K89&lt;&gt;""),IF(H89&gt;=K89,"年初来高値更新●",IF(H89&gt;=K89*0.95,"高値圏","通常")),"")</f>
        <v>通常</v>
      </c>
      <c r="W89" s="169">
        <f t="array" ref="W89">IF(C89&lt;&gt;"",IFERROR(100-100/(1+SUMPRODUCT((終値!F155:R155&gt;終値!G155:S155)*( 終値!F155:R155-終値!G155:S155))/SUMPRODUCT((終値!F155:R155&lt;終値!G155:S155)*(終値!G155:S155-終値!F155:R155))),50),"")</f>
        <v>48.660945093578739</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見送り</v>
      </c>
      <c r="Z89" s="171">
        <f>IF(AND(E89&lt;&gt;"",G89&lt;&gt;"",G89&lt;&gt;0),(E89-G89)/G89*100,"")</f>
        <v>-8.0354813462040173</v>
      </c>
      <c r="AA89" s="163" t="str">
        <f>IF(OR(C89="",E89="",E89=0),"",IF(E89&gt;G89,"上昇▲",IF(E89&lt;G89,"下落▼","横ばい→")))</f>
        <v>下落▼</v>
      </c>
      <c r="AB89" s="405">
        <f>IF(C89="","",IFERROR(((終値!E91*0.333)+(終値!F91*0.222)+(終値!G91*0.148)+(終値!H91*0.099)+(終値!I91*0.066)+(終値!J91*0.044)+(終値!K91*0.029)+(終値!L91*0.019)+(終値!M91*0.013)+(終値!N91*0.009))/(0.333+0.222+0.148+0.099+0.066+0.044+0.029+0.019+0.013+0.009),""))</f>
        <v>5394.5020366598765</v>
      </c>
      <c r="AC89" s="405">
        <f>IF(C89="","",IFERROR(SUMPRODUCT((終値!E91:AC91),({0.077,0.071,0.065,0.06,0.055,0.051,0.047,0.043,0.039,0.036,0.033,0.031,0.028,0.026,0.024,0.022,0.02,0.018,0.017,0.016,0.014,0.013,0.012,0.011,0.01}))/SUM({0.077,0.071,0.065,0.06,0.055,0.051,0.047,0.043,0.039,0.036,0.033,0.031,0.028,0.026,0.024,0.022,0.02,0.018,0.017,0.016,0.014,0.013,0.012,0.011,0.01}),""))</f>
        <v>5077.4052443384953</v>
      </c>
      <c r="AD89" s="406" t="str">
        <f>IF(OR(C89="",AB89="",AC89=""),"",IF(AND(E89&gt;AB89,AB89&gt;AC89),"パーフェクト▲",IF(E89&gt;AC89,"上昇トレンド▲",IF(AND(E89&lt;AB89,AB89&lt;AC89),"下降トレンド▼","もみ合い→"))))</f>
        <v>もみ合い→</v>
      </c>
      <c r="AE89" s="406" t="str">
        <f>IF(OR(C89="",AB89="",AC89=""),"",IF(AND(ABS(E89-AC89)/AC89&lt;=0.02,E89&gt;AC89),"25日押し目★",IF(AND(ABS(E89-AB89)/AB89&lt;=0.01,E89&gt;AB89),"5日押し目○","なし")))</f>
        <v>なし</v>
      </c>
      <c r="AF89" s="365">
        <f t="array" ref="AF89">IF(C89="","",IFERROR((INDEX(終値!$E:$E,MATCH(TEXT(C89,"0"),終値!$A:$A,0))-INDEX(終値!$E:$CZ,MATCH(TEXT(C89,"0"),終値!$A:$A,0),$AL$2))/INDEX(終値!$E:$CZ,MATCH(TEXT(C89,"0"),終値!$A:$A,0),$AL$2)*100,""))</f>
        <v>-24.808020477815703</v>
      </c>
      <c r="AG89" s="365">
        <f t="array" ref="AG89">IFERROR((終値!$E$5-INDEX(終値!$E$5:$IT$5,1,$AL$2))/INDEX(終値!$E$5:$IT$5,1,$AL$2)*100,"")</f>
        <v>1.0179378228534113</v>
      </c>
      <c r="AH89" s="366">
        <f>IF(OR(AF89="",AG89=""),"",AF89-AG89)</f>
        <v>-25.825958300669114</v>
      </c>
      <c r="AI89" s="364">
        <f>IF(AH89="","",IF(AH89&gt;5,3,IF(AH89&gt;0,1,IF(AH89&gt;-3,-1,-2))))</f>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634.9</v>
      </c>
      <c r="F90" s="166">
        <f>IF(C90&lt;&gt;"",_xll.RssMarket(C90,"始値"),"")</f>
        <v>619</v>
      </c>
      <c r="G90" s="165">
        <f>IF(C90&lt;&gt;"",終値!F188,"")</f>
        <v>621.6</v>
      </c>
      <c r="H90" s="166">
        <f>IF(C90&lt;&gt;"",_xll.RssMarket(C90,"高値"),"")</f>
        <v>634.9</v>
      </c>
      <c r="I90" s="166">
        <f>IF(C90&lt;&gt;"",_xll.RssMarket(C90,"安値"),"")</f>
        <v>613.4</v>
      </c>
      <c r="J90" s="166">
        <f>IF(C90&lt;&gt;"",_xll.RssMarket(C90,"出来高"),"")</f>
        <v>3164500</v>
      </c>
      <c r="K90" s="166">
        <f>IF(C90&lt;&gt;"",_xll.RssMarket(C90,"年初来高値"),"")</f>
        <v>830.5</v>
      </c>
      <c r="L90" s="167">
        <f>IF(AND(E90&lt;&gt;"",K90&lt;&gt;"",K90&lt;&gt;0),(E90-K90)/K90*100,"")</f>
        <v>-23.552077062010842</v>
      </c>
      <c r="M90" s="166">
        <f>IF(C90&lt;&gt;"",IFERROR(AVERAGE(出来高!E188:I188),""),"")</f>
        <v>3302160</v>
      </c>
      <c r="N90" s="166">
        <f>IF(C90&lt;&gt;"",IFERROR(AVERAGE(出来高!E188:AC188),""),"")</f>
        <v>3311376</v>
      </c>
      <c r="O90" s="168">
        <f>IF(AND(J90&lt;&gt;"",M90&lt;&gt;"",M90&lt;&gt;0),J90/M90,"")</f>
        <v>0.95831213508733681</v>
      </c>
      <c r="P90" s="163" t="str">
        <f>IF(O90="","",IF(O90&gt;=2,"急増↑↑",IF(O90&gt;=1.5,"増加↑",IF(O90&gt;=1,"普通→","減少↓"))))</f>
        <v>減少↓</v>
      </c>
      <c r="Q90" s="163" t="str">
        <f>IF(E90="","",IF(AND(E90&gt;G90,O90&gt;=1.5),"買い▲",IF(E90&lt;G90,"様子見▼","中立→")))</f>
        <v>中立→</v>
      </c>
      <c r="R90" s="166">
        <f>IF(E90&lt;&gt;"",ROUND(E90*1.08,0),"")</f>
        <v>686</v>
      </c>
      <c r="S90" s="166">
        <f>IF(E90&lt;&gt;"",ROUND(E90*0.96,0),"")</f>
        <v>610</v>
      </c>
      <c r="T90" s="163">
        <f>IF(C90="","",IFERROR(IF(O90&gt;=2,3,IF(O90&gt;=1.5,2,IF(O90&gt;=1,1,0)))+IF(E90&gt;G90,1,0)+IF(L90&gt;=-5,1,0)+IF(Q90="買い▲",2,0)+IF(W90&lt;=30,3,IF(W90&lt;=40,2,IF(AND(W90&gt;=40,W90&lt;=60),1,0)))+IF(X90&gt;0,1,0)+IF(V90="年初来高値更新●",3,IF(V90="高値圏",2,0))+IF(AD90="パーフェクト▲",3,IF(AD90="上昇トレンド▲",2,0))+IF(AE90="25日線押し目●",2,IF(AE90="5日線押し目○",1,0))+IF(P90="急増↑↑",2,IF(P90="増加↑",1,0))+N(AI90),0))</f>
        <v>1</v>
      </c>
      <c r="U90" s="163" t="str">
        <f>IF(T90="","",IF(AND(T90&gt;=3,O90&gt;=1.5),"有効",IF(T90&gt;=3,"要確認","除外")))</f>
        <v>除外</v>
      </c>
      <c r="V90" s="163" t="str">
        <f>IF(AND(H90&lt;&gt;"",K90&lt;&gt;""),IF(H90&gt;=K90,"年初来高値更新●",IF(H90&gt;=K90*0.95,"高値圏","通常")),"")</f>
        <v>通常</v>
      </c>
      <c r="W90" s="169">
        <f t="array" ref="W90">IF(C90&lt;&gt;"",IFERROR(100-100/(1+SUMPRODUCT((終値!F188:R188&gt;終値!G188:S188)*( 終値!F188:R188-終値!G188:S188))/SUMPRODUCT((終値!F188:R188&lt;終値!G188:S188)*(終値!G188:S188-終値!F188:R188))),50),"")</f>
        <v>44.086021505376358</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見送り</v>
      </c>
      <c r="Z90" s="171">
        <f>IF(AND(E90&lt;&gt;"",G90&lt;&gt;"",G90&lt;&gt;0),(E90-G90)/G90*100,"")</f>
        <v>2.1396396396396322</v>
      </c>
      <c r="AA90" s="163" t="str">
        <f>IF(OR(C90="",E90="",E90=0),"",IF(E90&gt;G90,"上昇▲",IF(E90&lt;G90,"下落▼","横ばい→")))</f>
        <v>上昇▲</v>
      </c>
      <c r="AB90" s="403">
        <f>IF(C90="","",IFERROR(((終値!E92*0.333)+(終値!F92*0.222)+(終値!G92*0.148)+(終値!H92*0.099)+(終値!I92*0.066)+(終値!J92*0.044)+(終値!K92*0.029)+(終値!L92*0.019)+(終値!M92*0.013)+(終値!N92*0.009))/(0.333+0.222+0.148+0.099+0.066+0.044+0.029+0.019+0.013+0.009),""))</f>
        <v>7924.9714867617104</v>
      </c>
      <c r="AC90" s="403">
        <f>IF(C90="","",IFERROR(SUMPRODUCT((終値!E92:AC92),({0.077,0.071,0.065,0.06,0.055,0.051,0.047,0.043,0.039,0.036,0.033,0.031,0.028,0.026,0.024,0.022,0.02,0.018,0.017,0.016,0.014,0.013,0.012,0.011,0.01}))/SUM({0.077,0.071,0.065,0.06,0.055,0.051,0.047,0.043,0.039,0.036,0.033,0.031,0.028,0.026,0.024,0.022,0.02,0.018,0.017,0.016,0.014,0.013,0.012,0.011,0.01}),""))</f>
        <v>7636.9630512514859</v>
      </c>
      <c r="AD90" s="404" t="str">
        <f>IF(OR(C90="",AB90="",AC90=""),"",IF(AND(E90&gt;AB90,AB90&gt;AC90),"パーフェクト▲",IF(E90&gt;AC90,"上昇トレンド▲",IF(AND(E90&lt;AB90,AB90&lt;AC90),"下降トレンド▼","もみ合い→"))))</f>
        <v>もみ合い→</v>
      </c>
      <c r="AE90" s="404" t="str">
        <f>IF(OR(C90="",AB90="",AC90=""),"",IF(AND(ABS(E90-AC90)/AC90&lt;=0.02,E90&gt;AC90),"25日押し目★",IF(AND(ABS(E90-AB90)/AB90&lt;=0.01,E90&gt;AB90),"5日押し目○","なし")))</f>
        <v>なし</v>
      </c>
      <c r="AF90" s="365">
        <f t="array" ref="AF90">IF(C90="","",IFERROR((INDEX(終値!$E:$E,MATCH(TEXT(C90,"0"),終値!$A:$A,0))-INDEX(終値!$E:$CZ,MATCH(TEXT(C90,"0"),終値!$A:$A,0),$AL$2))/INDEX(終値!$E:$CZ,MATCH(TEXT(C90,"0"),終値!$A:$A,0),$AL$2)*100,""))</f>
        <v>-0.20433825840931596</v>
      </c>
      <c r="AG90" s="365">
        <f t="array" ref="AG90">IFERROR((終値!$E$5-INDEX(終値!$E$5:$IT$5,1,$AL$2))/INDEX(終値!$E$5:$IT$5,1,$AL$2)*100,"")</f>
        <v>1.0179378228534113</v>
      </c>
      <c r="AH90" s="366">
        <f>IF(OR(AF90="",AG90=""),"",AF90-AG90)</f>
        <v>-1.2222760812627271</v>
      </c>
      <c r="AI90" s="364">
        <f>IF(AH90="","",IF(AH90&gt;5,3,IF(AH90&gt;0,1,IF(AH90&gt;-3,-1,-2))))</f>
        <v>-1</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4600</v>
      </c>
      <c r="F91" s="166">
        <f>IF(C91&lt;&gt;"",_xll.RssMarket(C91,"始値"),"")</f>
        <v>4690</v>
      </c>
      <c r="G91" s="165">
        <f>IF(C91&lt;&gt;"",終値!F120,"")</f>
        <v>4620</v>
      </c>
      <c r="H91" s="166">
        <f>IF(C91&lt;&gt;"",_xll.RssMarket(C91,"高値"),"")</f>
        <v>4765</v>
      </c>
      <c r="I91" s="166">
        <f>IF(C91&lt;&gt;"",_xll.RssMarket(C91,"安値"),"")</f>
        <v>4550</v>
      </c>
      <c r="J91" s="166">
        <f>IF(C91&lt;&gt;"",_xll.RssMarket(C91,"出来高"),"")</f>
        <v>116100</v>
      </c>
      <c r="K91" s="166">
        <f>IF(C91&lt;&gt;"",_xll.RssMarket(C91,"年初来高値"),"")</f>
        <v>5020</v>
      </c>
      <c r="L91" s="167">
        <f>IF(AND(E91&lt;&gt;"",K91&lt;&gt;"",K91&lt;&gt;0),(E91-K91)/K91*100,"")</f>
        <v>-8.3665338645418323</v>
      </c>
      <c r="M91" s="166">
        <f>IF(C91&lt;&gt;"",IFERROR(AVERAGE(出来高!E120:I120),""),"")</f>
        <v>100160</v>
      </c>
      <c r="N91" s="166">
        <f>IF(C91&lt;&gt;"",IFERROR(AVERAGE(出来高!E120:AC120),""),"")</f>
        <v>81566.666666666672</v>
      </c>
      <c r="O91" s="168">
        <f>IF(AND(J91&lt;&gt;"",M91&lt;&gt;"",M91&lt;&gt;0),J91/M91,"")</f>
        <v>1.1591453674121406</v>
      </c>
      <c r="P91" s="163" t="str">
        <f>IF(O91="","",IF(O91&gt;=2,"急増↑↑",IF(O91&gt;=1.5,"増加↑",IF(O91&gt;=1,"普通→","減少↓"))))</f>
        <v>普通→</v>
      </c>
      <c r="Q91" s="163" t="str">
        <f>IF(E91="","",IF(AND(E91&gt;G91,O91&gt;=1.5),"買い▲",IF(E91&lt;G91,"様子見▼","中立→")))</f>
        <v>様子見▼</v>
      </c>
      <c r="R91" s="166">
        <f>IF(E91&lt;&gt;"",ROUND(E91*1.08,0),"")</f>
        <v>4968</v>
      </c>
      <c r="S91" s="166">
        <f>IF(E91&lt;&gt;"",ROUND(E91*0.96,0),"")</f>
        <v>4416</v>
      </c>
      <c r="T91" s="163">
        <f>IF(C91="","",IFERROR(IF(O91&gt;=2,3,IF(O91&gt;=1.5,2,IF(O91&gt;=1,1,0)))+IF(E91&gt;G91,1,0)+IF(L91&gt;=-5,1,0)+IF(Q91="買い▲",2,0)+IF(W91&lt;=30,3,IF(W91&lt;=40,2,IF(AND(W91&gt;=40,W91&lt;=60),1,0)))+IF(X91&gt;0,1,0)+IF(V91="年初来高値更新●",3,IF(V91="高値圏",2,0))+IF(AD91="パーフェクト▲",3,IF(AD91="上昇トレンド▲",2,0))+IF(AE91="25日線押し目●",2,IF(AE91="5日線押し目○",1,0))+IF(P91="急増↑↑",2,IF(P91="増加↑",1,0))+N(AI91),0))</f>
        <v>8</v>
      </c>
      <c r="U91" s="163" t="str">
        <f>IF(T91="","",IF(AND(T91&gt;=3,O91&gt;=1.5),"有効",IF(T91&gt;=3,"要確認","除外")))</f>
        <v>要確認</v>
      </c>
      <c r="V91" s="163" t="str">
        <f>IF(AND(H91&lt;&gt;"",K91&lt;&gt;""),IF(H91&gt;=K91,"年初来高値更新●",IF(H91&gt;=K91*0.95,"高値圏","通常")),"")</f>
        <v>通常</v>
      </c>
      <c r="W91" s="169">
        <f t="array" ref="W91">IF(C91&lt;&gt;"",IFERROR(100-100/(1+SUMPRODUCT((終値!F120:R120&gt;終値!G120:S120)*( 終値!F120:R120-終値!G120:S120))/SUMPRODUCT((終値!F120:R120&lt;終値!G120:S120)*(終値!G120:S120-終値!F120:R120))),50),"")</f>
        <v>51.465798045602604</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△注目</v>
      </c>
      <c r="Z91" s="171">
        <f>IF(AND(E91&lt;&gt;"",G91&lt;&gt;"",G91&lt;&gt;0),(E91-G91)/G91*100,"")</f>
        <v>-0.4329004329004329</v>
      </c>
      <c r="AA91" s="163" t="str">
        <f>IF(OR(C91="",E91="",E91=0),"",IF(E91&gt;G91,"上昇▲",IF(E91&lt;G91,"下落▼","横ばい→")))</f>
        <v>下落▼</v>
      </c>
      <c r="AB91" s="405">
        <f>IF(C91="","",IFERROR(((終値!E93*0.333)+(終値!F93*0.222)+(終値!G93*0.148)+(終値!H93*0.099)+(終値!I93*0.066)+(終値!J93*0.044)+(終値!K93*0.029)+(終値!L93*0.019)+(終値!M93*0.013)+(終値!N93*0.009))/(0.333+0.222+0.148+0.099+0.066+0.044+0.029+0.019+0.013+0.009),""))</f>
        <v>731.37881873727076</v>
      </c>
      <c r="AC91" s="405">
        <f>IF(C91="","",IFERROR(SUMPRODUCT((終値!E93:AC93),({0.077,0.071,0.065,0.06,0.055,0.051,0.047,0.043,0.039,0.036,0.033,0.031,0.028,0.026,0.024,0.022,0.02,0.018,0.017,0.016,0.014,0.013,0.012,0.011,0.01}))/SUM({0.077,0.071,0.065,0.06,0.055,0.051,0.047,0.043,0.039,0.036,0.033,0.031,0.028,0.026,0.024,0.022,0.02,0.018,0.017,0.016,0.014,0.013,0.012,0.011,0.01}),""))</f>
        <v>753.20143027413565</v>
      </c>
      <c r="AD91" s="406" t="str">
        <f>IF(OR(C91="",AB91="",AC91=""),"",IF(AND(E91&gt;AB91,AB91&gt;AC91),"パーフェクト▲",IF(E91&gt;AC91,"上昇トレンド▲",IF(AND(E91&lt;AB91,AB91&lt;AC91),"下降トレンド▼","もみ合い→"))))</f>
        <v>上昇トレンド▲</v>
      </c>
      <c r="AE91" s="406" t="str">
        <f>IF(OR(C91="",AB91="",AC91=""),"",IF(AND(ABS(E91-AC91)/AC91&lt;=0.02,E91&gt;AC91),"25日押し目★",IF(AND(ABS(E91-AB91)/AB91&lt;=0.01,E91&gt;AB91),"5日押し目○","なし")))</f>
        <v>なし</v>
      </c>
      <c r="AF91" s="365">
        <f t="array" ref="AF91">IF(C91="","",IFERROR((INDEX(終値!$E:$E,MATCH(TEXT(C91,"0"),終値!$A:$A,0))-INDEX(終値!$E:$CZ,MATCH(TEXT(C91,"0"),終値!$A:$A,0),$AL$2))/INDEX(終値!$E:$CZ,MATCH(TEXT(C91,"0"),終値!$A:$A,0),$AL$2)*100,""))</f>
        <v>11.650485436893204</v>
      </c>
      <c r="AG91" s="365">
        <f t="array" ref="AG91">IFERROR((終値!$E$5-INDEX(終値!$E$5:$IT$5,1,$AL$2))/INDEX(終値!$E$5:$IT$5,1,$AL$2)*100,"")</f>
        <v>1.0179378228534113</v>
      </c>
      <c r="AH91" s="366">
        <f>IF(OR(AF91="",AG91=""),"",AF91-AG91)</f>
        <v>10.632547614039792</v>
      </c>
      <c r="AI91" s="364">
        <f>IF(AH91="","",IF(AH91&gt;5,3,IF(AH91&gt;0,1,IF(AH91&gt;-3,-1,-2))))</f>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49</v>
      </c>
      <c r="G92" s="165">
        <f>IF(C92&lt;&gt;"",終値!F140,"")</f>
        <v>49</v>
      </c>
      <c r="H92" s="166">
        <f>IF(C92&lt;&gt;"",_xll.RssMarket(C92,"高値"),"")</f>
        <v>50</v>
      </c>
      <c r="I92" s="166">
        <f>IF(C92&lt;&gt;"",_xll.RssMarket(C92,"安値"),"")</f>
        <v>47</v>
      </c>
      <c r="J92" s="166">
        <f>IF(C92&lt;&gt;"",_xll.RssMarket(C92,"出来高"),"")</f>
        <v>13294400</v>
      </c>
      <c r="K92" s="166">
        <f>IF(C92&lt;&gt;"",_xll.RssMarket(C92,"年初来高値"),"")</f>
        <v>164</v>
      </c>
      <c r="L92" s="167">
        <f>IF(AND(E92&lt;&gt;"",K92&lt;&gt;"",K92&lt;&gt;0),(E92-K92)/K92*100,"")</f>
        <v>-70.731707317073173</v>
      </c>
      <c r="M92" s="166">
        <f>IF(C92&lt;&gt;"",IFERROR(AVERAGE(出来高!E140:I140),""),"")</f>
        <v>11598340</v>
      </c>
      <c r="N92" s="166">
        <f>IF(C92&lt;&gt;"",IFERROR(AVERAGE(出来高!E140:AC140),""),"")</f>
        <v>23217912.5</v>
      </c>
      <c r="O92" s="168">
        <f>IF(AND(J92&lt;&gt;"",M92&lt;&gt;"",M92&lt;&gt;0),J92/M92,"")</f>
        <v>1.1462329954114123</v>
      </c>
      <c r="P92" s="163" t="str">
        <f>IF(O92="","",IF(O92&gt;=2,"急増↑↑",IF(O92&gt;=1.5,"増加↑",IF(O92&gt;=1,"普通→","減少↓"))))</f>
        <v>普通→</v>
      </c>
      <c r="Q92" s="163" t="str">
        <f>IF(E92="","",IF(AND(E92&gt;G92,O92&gt;=1.5),"買い▲",IF(E92&lt;G92,"様子見▼","中立→")))</f>
        <v>様子見▼</v>
      </c>
      <c r="R92" s="166">
        <f>IF(E92&lt;&gt;"",ROUND(E92*1.08,0),"")</f>
        <v>52</v>
      </c>
      <c r="S92" s="166">
        <f>IF(E92&lt;&gt;"",ROUND(E92*0.96,0),"")</f>
        <v>46</v>
      </c>
      <c r="T92" s="163">
        <f>IF(C92="","",IFERROR(IF(O92&gt;=2,3,IF(O92&gt;=1.5,2,IF(O92&gt;=1,1,0)))+IF(E92&gt;G92,1,0)+IF(L92&gt;=-5,1,0)+IF(Q92="買い▲",2,0)+IF(W92&lt;=30,3,IF(W92&lt;=40,2,IF(AND(W92&gt;=40,W92&lt;=60),1,0)))+IF(X92&gt;0,1,0)+IF(V92="年初来高値更新●",3,IF(V92="高値圏",2,0))+IF(AD92="パーフェクト▲",3,IF(AD92="上昇トレンド▲",2,0))+IF(AE92="25日線押し目●",2,IF(AE92="5日線押し目○",1,0))+IF(P92="急増↑↑",2,IF(P92="増加↑",1,0))+N(AI92),0))</f>
        <v>0</v>
      </c>
      <c r="U92" s="163" t="str">
        <f>IF(T92="","",IF(AND(T92&gt;=3,O92&gt;=1.5),"有効",IF(T92&gt;=3,"要確認","除外")))</f>
        <v>除外</v>
      </c>
      <c r="V92" s="163" t="str">
        <f>IF(AND(H92&lt;&gt;"",K92&lt;&gt;""),IF(H92&gt;=K92,"年初来高値更新●",IF(H92&gt;=K92*0.95,"高値圏","通常")),"")</f>
        <v>通常</v>
      </c>
      <c r="W92" s="169">
        <f t="array" ref="W92">IF(C92&lt;&gt;"",IFERROR(100-100/(1+SUMPRODUCT((終値!F140:R140&gt;終値!G140:S140)*( 終値!F140:R140-終値!G140:S140))/SUMPRODUCT((終値!F140:R140&lt;終値!G140:S140)*(終値!G140:S140-終値!F140:R140))),50),"")</f>
        <v>49.565217391304351</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見送り</v>
      </c>
      <c r="Z92" s="171">
        <f>IF(AND(E92&lt;&gt;"",G92&lt;&gt;"",G92&lt;&gt;0),(E92-G92)/G92*100,"")</f>
        <v>-2.0408163265306123</v>
      </c>
      <c r="AA92" s="163" t="str">
        <f>IF(OR(C92="",E92="",E92=0),"",IF(E92&gt;G92,"上昇▲",IF(E92&lt;G92,"下落▼","横ばい→")))</f>
        <v>下落▼</v>
      </c>
      <c r="AB92" s="403">
        <f>IF(C92="","",IFERROR(((終値!E94*0.333)+(終値!F94*0.222)+(終値!G94*0.148)+(終値!H94*0.099)+(終値!I94*0.066)+(終値!J94*0.044)+(終値!K94*0.029)+(終値!L94*0.019)+(終値!M94*0.013)+(終値!N94*0.009))/(0.333+0.222+0.148+0.099+0.066+0.044+0.029+0.019+0.013+0.009),""))</f>
        <v>1666.4979633401217</v>
      </c>
      <c r="AC92" s="403">
        <f>IF(C92="","",IFERROR(SUMPRODUCT((終値!E94:AC94),({0.077,0.071,0.065,0.06,0.055,0.051,0.047,0.043,0.039,0.036,0.033,0.031,0.028,0.026,0.024,0.022,0.02,0.018,0.017,0.016,0.014,0.013,0.012,0.011,0.01}))/SUM({0.077,0.071,0.065,0.06,0.055,0.051,0.047,0.043,0.039,0.036,0.033,0.031,0.028,0.026,0.024,0.022,0.02,0.018,0.017,0.016,0.014,0.013,0.012,0.011,0.01}),""))</f>
        <v>1767.9272943980923</v>
      </c>
      <c r="AD92" s="404" t="str">
        <f>IF(OR(C92="",AB92="",AC92=""),"",IF(AND(E92&gt;AB92,AB92&gt;AC92),"パーフェクト▲",IF(E92&gt;AC92,"上昇トレンド▲",IF(AND(E92&lt;AB92,AB92&lt;AC92),"下降トレンド▼","もみ合い→"))))</f>
        <v>下降トレンド▼</v>
      </c>
      <c r="AE92" s="404" t="str">
        <f>IF(OR(C92="",AB92="",AC92=""),"",IF(AND(ABS(E92-AC92)/AC92&lt;=0.02,E92&gt;AC92),"25日押し目★",IF(AND(ABS(E92-AB92)/AB92&lt;=0.01,E92&gt;AB92),"5日押し目○","なし")))</f>
        <v>なし</v>
      </c>
      <c r="AF92" s="365">
        <f t="array" ref="AF92">IF(C92="","",IFERROR((INDEX(終値!$E:$E,MATCH(TEXT(C92,"0"),終値!$A:$A,0))-INDEX(終値!$E:$CZ,MATCH(TEXT(C92,"0"),終値!$A:$A,0),$AL$2))/INDEX(終値!$E:$CZ,MATCH(TEXT(C92,"0"),終値!$A:$A,0),$AL$2)*100,""))</f>
        <v>-11.111111111111111</v>
      </c>
      <c r="AG92" s="365">
        <f t="array" ref="AG92">IFERROR((終値!$E$5-INDEX(終値!$E$5:$IT$5,1,$AL$2))/INDEX(終値!$E$5:$IT$5,1,$AL$2)*100,"")</f>
        <v>1.0179378228534113</v>
      </c>
      <c r="AH92" s="366">
        <f>IF(OR(AF92="",AG92=""),"",AF92-AG92)</f>
        <v>-12.129048933964523</v>
      </c>
      <c r="AI92" s="364">
        <f>IF(AH92="","",IF(AH92&gt;5,3,IF(AH92&gt;0,1,IF(AH92&gt;-3,-1,-2))))</f>
        <v>-2</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4690</v>
      </c>
      <c r="F93" s="166">
        <f>IF(C93&lt;&gt;"",_xll.RssMarket(C93,"始値"),"")</f>
        <v>4626</v>
      </c>
      <c r="G93" s="165">
        <f>IF(C93&lt;&gt;"",終値!F11,"")</f>
        <v>4631</v>
      </c>
      <c r="H93" s="166">
        <f>IF(C93&lt;&gt;"",_xll.RssMarket(C93,"高値"),"")</f>
        <v>4747</v>
      </c>
      <c r="I93" s="166">
        <f>IF(C93&lt;&gt;"",_xll.RssMarket(C93,"安値"),"")</f>
        <v>4619</v>
      </c>
      <c r="J93" s="166">
        <f>IF(C93&lt;&gt;"",_xll.RssMarket(C93,"出来高"),"")</f>
        <v>5467900</v>
      </c>
      <c r="K93" s="166">
        <f>IF(C93&lt;&gt;"",_xll.RssMarket(C93,"年初来高値"),"")</f>
        <v>6036</v>
      </c>
      <c r="L93" s="167">
        <f>IF(AND(E93&lt;&gt;"",K93&lt;&gt;"",K93&lt;&gt;0),(E93-K93)/K93*100,"")</f>
        <v>-22.299536116633529</v>
      </c>
      <c r="M93" s="166">
        <f>IF(C93&lt;&gt;"",IFERROR(AVERAGE(出来高!E11:I11),""),"")</f>
        <v>7196020</v>
      </c>
      <c r="N93" s="166">
        <f>IF(C93&lt;&gt;"",IFERROR(AVERAGE(出来高!E11:AC11),""),"")</f>
        <v>7094672</v>
      </c>
      <c r="O93" s="168">
        <f>IF(AND(J93&lt;&gt;"",M93&lt;&gt;"",M93&lt;&gt;0),J93/M93,"")</f>
        <v>0.75985058407286254</v>
      </c>
      <c r="P93" s="163" t="str">
        <f>IF(O93="","",IF(O93&gt;=2,"急増↑↑",IF(O93&gt;=1.5,"増加↑",IF(O93&gt;=1,"普通→","減少↓"))))</f>
        <v>減少↓</v>
      </c>
      <c r="Q93" s="163" t="str">
        <f>IF(E93="","",IF(AND(E93&gt;G93,O93&gt;=1.5),"買い▲",IF(E93&lt;G93,"様子見▼","中立→")))</f>
        <v>中立→</v>
      </c>
      <c r="R93" s="166">
        <f>IF(E93&lt;&gt;"",ROUND(E93*1.08,0),"")</f>
        <v>5065</v>
      </c>
      <c r="S93" s="166">
        <f>IF(E93&lt;&gt;"",ROUND(E93*0.96,0),"")</f>
        <v>4502</v>
      </c>
      <c r="T93" s="163">
        <f>IF(C93="","",IFERROR(IF(O93&gt;=2,3,IF(O93&gt;=1.5,2,IF(O93&gt;=1,1,0)))+IF(E93&gt;G93,1,0)+IF(L93&gt;=-5,1,0)+IF(Q93="買い▲",2,0)+IF(W93&lt;=30,3,IF(W93&lt;=40,2,IF(AND(W93&gt;=40,W93&lt;=60),1,0)))+IF(X93&gt;0,1,0)+IF(V93="年初来高値更新●",3,IF(V93="高値圏",2,0))+IF(AD93="パーフェクト▲",3,IF(AD93="上昇トレンド▲",2,0))+IF(AE93="25日線押し目●",2,IF(AE93="5日線押し目○",1,0))+IF(P93="急増↑↑",2,IF(P93="増加↑",1,0))+N(AI93),0))</f>
        <v>8</v>
      </c>
      <c r="U93" s="163" t="str">
        <f>IF(T93="","",IF(AND(T93&gt;=3,O93&gt;=1.5),"有効",IF(T93&gt;=3,"要確認","除外")))</f>
        <v>要確認</v>
      </c>
      <c r="V93" s="163" t="str">
        <f>IF(AND(H93&lt;&gt;"",K93&lt;&gt;""),IF(H93&gt;=K93,"年初来高値更新●",IF(H93&gt;=K93*0.95,"高値圏","通常")),"")</f>
        <v>通常</v>
      </c>
      <c r="W93" s="169">
        <f t="array" ref="W93">IF(C93&lt;&gt;"",IFERROR(100-100/(1+SUMPRODUCT((終値!F11:R11&gt;終値!G11:S11)*( 終値!F11:R11-終値!G11:S11))/SUMPRODUCT((終値!F11:R11&lt;終値!G11:S11)*(終値!G11:S11-終値!F11:R11))),50),"")</f>
        <v>62.009314703925476</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△注目</v>
      </c>
      <c r="Z93" s="171">
        <f>IF(AND(E93&lt;&gt;"",G93&lt;&gt;"",G93&lt;&gt;0),(E93-G93)/G93*100,"")</f>
        <v>1.2740228892247896</v>
      </c>
      <c r="AA93" s="163" t="str">
        <f>IF(OR(C93="",E93="",E93=0),"",IF(E93&gt;G93,"上昇▲",IF(E93&lt;G93,"下落▼","横ばい→")))</f>
        <v>上昇▲</v>
      </c>
      <c r="AB93" s="405">
        <f>IF(C93="","",IFERROR(((終値!E95*0.333)+(終値!F95*0.222)+(終値!G95*0.148)+(終値!H95*0.099)+(終値!I95*0.066)+(終値!J95*0.044)+(終値!K95*0.029)+(終値!L95*0.019)+(終値!M95*0.013)+(終値!N95*0.009))/(0.333+0.222+0.148+0.099+0.066+0.044+0.029+0.019+0.013+0.009),""))</f>
        <v>1298.3849287169044</v>
      </c>
      <c r="AC93" s="405">
        <f>IF(C93="","",IFERROR(SUMPRODUCT((終値!E95:AC95),({0.077,0.071,0.065,0.06,0.055,0.051,0.047,0.043,0.039,0.036,0.033,0.031,0.028,0.026,0.024,0.022,0.02,0.018,0.017,0.016,0.014,0.013,0.012,0.011,0.01}))/SUM({0.077,0.071,0.065,0.06,0.055,0.051,0.047,0.043,0.039,0.036,0.033,0.031,0.028,0.026,0.024,0.022,0.02,0.018,0.017,0.016,0.014,0.013,0.012,0.011,0.01}),""))</f>
        <v>1223.1597139451724</v>
      </c>
      <c r="AD93" s="406" t="str">
        <f>IF(OR(C93="",AB93="",AC93=""),"",IF(AND(E93&gt;AB93,AB93&gt;AC93),"パーフェクト▲",IF(E93&gt;AC93,"上昇トレンド▲",IF(AND(E93&lt;AB93,AB93&lt;AC93),"下降トレンド▼","もみ合い→"))))</f>
        <v>パーフェクト▲</v>
      </c>
      <c r="AE93" s="406" t="str">
        <f>IF(OR(C93="",AB93="",AC93=""),"",IF(AND(ABS(E93-AC93)/AC93&lt;=0.02,E93&gt;AC93),"25日押し目★",IF(AND(ABS(E93-AB93)/AB93&lt;=0.01,E93&gt;AB93),"5日押し目○","なし")))</f>
        <v>なし</v>
      </c>
      <c r="AF93" s="365">
        <f t="array" ref="AF93">IF(C93="","",IFERROR((INDEX(終値!$E:$E,MATCH(TEXT(C93,"0"),終値!$A:$A,0))-INDEX(終値!$E:$CZ,MATCH(TEXT(C93,"0"),終値!$A:$A,0),$AL$2))/INDEX(終値!$E:$CZ,MATCH(TEXT(C93,"0"),終値!$A:$A,0),$AL$2)*100,""))</f>
        <v>17.809595579000252</v>
      </c>
      <c r="AG93" s="365">
        <f t="array" ref="AG93">IFERROR((終値!$E$5-INDEX(終値!$E$5:$IT$5,1,$AL$2))/INDEX(終値!$E$5:$IT$5,1,$AL$2)*100,"")</f>
        <v>1.0179378228534113</v>
      </c>
      <c r="AH93" s="366">
        <f>IF(OR(AF93="",AG93=""),"",AF93-AG93)</f>
        <v>16.79165775614684</v>
      </c>
      <c r="AI93" s="364">
        <f>IF(AH93="","",IF(AH93&gt;5,3,IF(AH93&gt;0,1,IF(AH93&gt;-3,-1,-2))))</f>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1766</v>
      </c>
      <c r="F94" s="166">
        <f>IF(C94&lt;&gt;"",_xll.RssMarket(C94,"始値"),"")</f>
        <v>1720</v>
      </c>
      <c r="G94" s="165">
        <f>IF(C94&lt;&gt;"",終値!F141,"")</f>
        <v>1785</v>
      </c>
      <c r="H94" s="166">
        <f>IF(C94&lt;&gt;"",_xll.RssMarket(C94,"高値"),"")</f>
        <v>1798</v>
      </c>
      <c r="I94" s="166">
        <f>IF(C94&lt;&gt;"",_xll.RssMarket(C94,"安値"),"")</f>
        <v>1693</v>
      </c>
      <c r="J94" s="166">
        <f>IF(C94&lt;&gt;"",_xll.RssMarket(C94,"出来高"),"")</f>
        <v>1587700</v>
      </c>
      <c r="K94" s="166">
        <f>IF(C94&lt;&gt;"",_xll.RssMarket(C94,"年初来高値"),"")</f>
        <v>3620</v>
      </c>
      <c r="L94" s="167">
        <f>IF(AND(E94&lt;&gt;"",K94&lt;&gt;"",K94&lt;&gt;0),(E94-K94)/K94*100,"")</f>
        <v>-51.215469613259671</v>
      </c>
      <c r="M94" s="166">
        <f>IF(C94&lt;&gt;"",IFERROR(AVERAGE(出来高!E141:I141),""),"")</f>
        <v>2873100</v>
      </c>
      <c r="N94" s="166">
        <f>IF(C94&lt;&gt;"",IFERROR(AVERAGE(出来高!E141:AC141),""),"")</f>
        <v>2823640</v>
      </c>
      <c r="O94" s="168">
        <f>IF(AND(J94&lt;&gt;"",M94&lt;&gt;"",M94&lt;&gt;0),J94/M94,"")</f>
        <v>0.55260868051929968</v>
      </c>
      <c r="P94" s="163" t="str">
        <f>IF(O94="","",IF(O94&gt;=2,"急増↑↑",IF(O94&gt;=1.5,"増加↑",IF(O94&gt;=1,"普通→","減少↓"))))</f>
        <v>減少↓</v>
      </c>
      <c r="Q94" s="163" t="str">
        <f>IF(E94="","",IF(AND(E94&gt;G94,O94&gt;=1.5),"買い▲",IF(E94&lt;G94,"様子見▼","中立→")))</f>
        <v>様子見▼</v>
      </c>
      <c r="R94" s="166">
        <f>IF(E94&lt;&gt;"",ROUND(E94*1.08,0),"")</f>
        <v>1907</v>
      </c>
      <c r="S94" s="166">
        <f>IF(E94&lt;&gt;"",ROUND(E94*0.96,0),"")</f>
        <v>1695</v>
      </c>
      <c r="T94" s="163">
        <f>IF(C94="","",IFERROR(IF(O94&gt;=2,3,IF(O94&gt;=1.5,2,IF(O94&gt;=1,1,0)))+IF(E94&gt;G94,1,0)+IF(L94&gt;=-5,1,0)+IF(Q94="買い▲",2,0)+IF(W94&lt;=30,3,IF(W94&lt;=40,2,IF(AND(W94&gt;=40,W94&lt;=60),1,0)))+IF(X94&gt;0,1,0)+IF(V94="年初来高値更新●",3,IF(V94="高値圏",2,0))+IF(AD94="パーフェクト▲",3,IF(AD94="上昇トレンド▲",2,0))+IF(AE94="25日線押し目●",2,IF(AE94="5日線押し目○",1,0))+IF(P94="急増↑↑",2,IF(P94="増加↑",1,0))+N(AI94),0))</f>
        <v>0</v>
      </c>
      <c r="U94" s="163" t="str">
        <f>IF(T94="","",IF(AND(T94&gt;=3,O94&gt;=1.5),"有効",IF(T94&gt;=3,"要確認","除外")))</f>
        <v>除外</v>
      </c>
      <c r="V94" s="163" t="str">
        <f>IF(AND(H94&lt;&gt;"",K94&lt;&gt;""),IF(H94&gt;=K94,"年初来高値更新●",IF(H94&gt;=K94*0.95,"高値圏","通常")),"")</f>
        <v>通常</v>
      </c>
      <c r="W94" s="169">
        <f t="array" ref="W94">IF(C94&lt;&gt;"",IFERROR(100-100/(1+SUMPRODUCT((終値!F141:R141&gt;終値!G141:S141)*( 終値!F141:R141-終値!G141:S141))/SUMPRODUCT((終値!F141:R141&lt;終値!G141:S141)*(終値!G141:S141-終値!F141:R141))),50),"")</f>
        <v>34.896621280887544</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見送り</v>
      </c>
      <c r="Z94" s="171">
        <f>IF(AND(E94&lt;&gt;"",G94&lt;&gt;"",G94&lt;&gt;0),(E94-G94)/G94*100,"")</f>
        <v>-1.0644257703081232</v>
      </c>
      <c r="AA94" s="163" t="str">
        <f>IF(OR(C94="",E94="",E94=0),"",IF(E94&gt;G94,"上昇▲",IF(E94&lt;G94,"下落▼","横ばい→")))</f>
        <v>下落▼</v>
      </c>
      <c r="AB94" s="403">
        <f>IF(C94="","",IFERROR(((終値!E96*0.333)+(終値!F96*0.222)+(終値!G96*0.148)+(終値!H96*0.099)+(終値!I96*0.066)+(終値!J96*0.044)+(終値!K96*0.029)+(終値!L96*0.019)+(終値!M96*0.013)+(終値!N96*0.009))/(0.333+0.222+0.148+0.099+0.066+0.044+0.029+0.019+0.013+0.009),""))</f>
        <v>17865.784114052949</v>
      </c>
      <c r="AC94" s="403">
        <f>IF(C94="","",IFERROR(SUMPRODUCT((終値!E96:AC96),({0.077,0.071,0.065,0.06,0.055,0.051,0.047,0.043,0.039,0.036,0.033,0.031,0.028,0.026,0.024,0.022,0.02,0.018,0.017,0.016,0.014,0.013,0.012,0.011,0.01}))/SUM({0.077,0.071,0.065,0.06,0.055,0.051,0.047,0.043,0.039,0.036,0.033,0.031,0.028,0.026,0.024,0.022,0.02,0.018,0.017,0.016,0.014,0.013,0.012,0.011,0.01}),""))</f>
        <v>17529.618593563762</v>
      </c>
      <c r="AD94" s="404" t="str">
        <f>IF(OR(C94="",AB94="",AC94=""),"",IF(AND(E94&gt;AB94,AB94&gt;AC94),"パーフェクト▲",IF(E94&gt;AC94,"上昇トレンド▲",IF(AND(E94&lt;AB94,AB94&lt;AC94),"下降トレンド▼","もみ合い→"))))</f>
        <v>もみ合い→</v>
      </c>
      <c r="AE94" s="404" t="str">
        <f>IF(OR(C94="",AB94="",AC94=""),"",IF(AND(ABS(E94-AC94)/AC94&lt;=0.02,E94&gt;AC94),"25日押し目★",IF(AND(ABS(E94-AB94)/AB94&lt;=0.01,E94&gt;AB94),"5日押し目○","なし")))</f>
        <v>なし</v>
      </c>
      <c r="AF94" s="365">
        <f t="array" ref="AF94">IF(C94="","",IFERROR((INDEX(終値!$E:$E,MATCH(TEXT(C94,"0"),終値!$A:$A,0))-INDEX(終値!$E:$CZ,MATCH(TEXT(C94,"0"),終値!$A:$A,0),$AL$2))/INDEX(終値!$E:$CZ,MATCH(TEXT(C94,"0"),終値!$A:$A,0),$AL$2)*100,""))</f>
        <v>-35.828488372093027</v>
      </c>
      <c r="AG94" s="365">
        <f t="array" ref="AG94">IFERROR((終値!$E$5-INDEX(終値!$E$5:$IT$5,1,$AL$2))/INDEX(終値!$E$5:$IT$5,1,$AL$2)*100,"")</f>
        <v>1.0179378228534113</v>
      </c>
      <c r="AH94" s="366">
        <f>IF(OR(AF94="",AG94=""),"",AF94-AG94)</f>
        <v>-36.846426194946439</v>
      </c>
      <c r="AI94" s="364">
        <f>IF(AH94="","",IF(AH94&gt;5,3,IF(AH94&gt;0,1,IF(AH94&gt;-3,-1,-2))))</f>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1614</v>
      </c>
      <c r="F95" s="166">
        <f>IF(C95&lt;&gt;"",_xll.RssMarket(C95,"始値"),"")</f>
        <v>1665</v>
      </c>
      <c r="G95" s="165">
        <f>IF(C95&lt;&gt;"",終値!F143,"")</f>
        <v>1662</v>
      </c>
      <c r="H95" s="166">
        <f>IF(C95&lt;&gt;"",_xll.RssMarket(C95,"高値"),"")</f>
        <v>1755</v>
      </c>
      <c r="I95" s="166">
        <f>IF(C95&lt;&gt;"",_xll.RssMarket(C95,"安値"),"")</f>
        <v>1601</v>
      </c>
      <c r="J95" s="166">
        <f>IF(C95&lt;&gt;"",_xll.RssMarket(C95,"出来高"),"")</f>
        <v>772100</v>
      </c>
      <c r="K95" s="166">
        <f>IF(C95&lt;&gt;"",_xll.RssMarket(C95,"年初来高値"),"")</f>
        <v>2580</v>
      </c>
      <c r="L95" s="167">
        <f>IF(AND(E95&lt;&gt;"",K95&lt;&gt;"",K95&lt;&gt;0),(E95-K95)/K95*100,"")</f>
        <v>-37.441860465116278</v>
      </c>
      <c r="M95" s="166">
        <f>IF(C95&lt;&gt;"",IFERROR(AVERAGE(出来高!E143:I143),""),"")</f>
        <v>1364720</v>
      </c>
      <c r="N95" s="166">
        <f>IF(C95&lt;&gt;"",IFERROR(AVERAGE(出来高!E143:AC143),""),"")</f>
        <v>2675604</v>
      </c>
      <c r="O95" s="168">
        <f>IF(AND(J95&lt;&gt;"",M95&lt;&gt;"",M95&lt;&gt;0),J95/M95,"")</f>
        <v>0.56575707837505129</v>
      </c>
      <c r="P95" s="163" t="str">
        <f>IF(O95="","",IF(O95&gt;=2,"急増↑↑",IF(O95&gt;=1.5,"増加↑",IF(O95&gt;=1,"普通→","減少↓"))))</f>
        <v>減少↓</v>
      </c>
      <c r="Q95" s="163" t="str">
        <f>IF(E95="","",IF(AND(E95&gt;G95,O95&gt;=1.5),"買い▲",IF(E95&lt;G95,"様子見▼","中立→")))</f>
        <v>様子見▼</v>
      </c>
      <c r="R95" s="166">
        <f>IF(E95&lt;&gt;"",ROUND(E95*1.08,0),"")</f>
        <v>1743</v>
      </c>
      <c r="S95" s="166">
        <f>IF(E95&lt;&gt;"",ROUND(E95*0.96,0),"")</f>
        <v>1549</v>
      </c>
      <c r="T95" s="163">
        <f>IF(C95="","",IFERROR(IF(O95&gt;=2,3,IF(O95&gt;=1.5,2,IF(O95&gt;=1,1,0)))+IF(E95&gt;G95,1,0)+IF(L95&gt;=-5,1,0)+IF(Q95="買い▲",2,0)+IF(W95&lt;=30,3,IF(W95&lt;=40,2,IF(AND(W95&gt;=40,W95&lt;=60),1,0)))+IF(X95&gt;0,1,0)+IF(V95="年初来高値更新●",3,IF(V95="高値圏",2,0))+IF(AD95="パーフェクト▲",3,IF(AD95="上昇トレンド▲",2,0))+IF(AE95="25日線押し目●",2,IF(AE95="5日線押し目○",1,0))+IF(P95="急増↑↑",2,IF(P95="増加↑",1,0))+N(AI95),0))</f>
        <v>2</v>
      </c>
      <c r="U95" s="163" t="str">
        <f>IF(T95="","",IF(AND(T95&gt;=3,O95&gt;=1.5),"有効",IF(T95&gt;=3,"要確認","除外")))</f>
        <v>除外</v>
      </c>
      <c r="V95" s="163" t="str">
        <f>IF(AND(H95&lt;&gt;"",K95&lt;&gt;""),IF(H95&gt;=K95,"年初来高値更新●",IF(H95&gt;=K95*0.95,"高値圏","通常")),"")</f>
        <v>通常</v>
      </c>
      <c r="W95" s="169">
        <f t="array" ref="W95">IF(C95&lt;&gt;"",IFERROR(100-100/(1+SUMPRODUCT((終値!F143:R143&gt;終値!G143:S143)*( 終値!F143:R143-終値!G143:S143))/SUMPRODUCT((終値!F143:R143&lt;終値!G143:S143)*(終値!G143:S143-終値!F143:R143))),50),"")</f>
        <v>44.370546318289783</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見送り</v>
      </c>
      <c r="Z95" s="171">
        <f>IF(AND(E95&lt;&gt;"",G95&lt;&gt;"",G95&lt;&gt;0),(E95-G95)/G95*100,"")</f>
        <v>-2.8880866425992782</v>
      </c>
      <c r="AA95" s="163" t="str">
        <f>IF(OR(C95="",E95="",E95=0),"",IF(E95&gt;G95,"上昇▲",IF(E95&lt;G95,"下落▼","横ばい→")))</f>
        <v>下落▼</v>
      </c>
      <c r="AB95" s="405">
        <f>IF(C95="","",IFERROR(((終値!E97*0.333)+(終値!F97*0.222)+(終値!G97*0.148)+(終値!H97*0.099)+(終値!I97*0.066)+(終値!J97*0.044)+(終値!K97*0.029)+(終値!L97*0.019)+(終値!M97*0.013)+(終値!N97*0.009))/(0.333+0.222+0.148+0.099+0.066+0.044+0.029+0.019+0.013+0.009),""))</f>
        <v>4405.0488798370661</v>
      </c>
      <c r="AC95" s="405">
        <f>IF(C95="","",IFERROR(SUMPRODUCT((終値!E97:AC97),({0.077,0.071,0.065,0.06,0.055,0.051,0.047,0.043,0.039,0.036,0.033,0.031,0.028,0.026,0.024,0.022,0.02,0.018,0.017,0.016,0.014,0.013,0.012,0.011,0.01}))/SUM({0.077,0.071,0.065,0.06,0.055,0.051,0.047,0.043,0.039,0.036,0.033,0.031,0.028,0.026,0.024,0.022,0.02,0.018,0.017,0.016,0.014,0.013,0.012,0.011,0.01}),""))</f>
        <v>4394.3170441001184</v>
      </c>
      <c r="AD95" s="406" t="str">
        <f>IF(OR(C95="",AB95="",AC95=""),"",IF(AND(E95&gt;AB95,AB95&gt;AC95),"パーフェクト▲",IF(E95&gt;AC95,"上昇トレンド▲",IF(AND(E95&lt;AB95,AB95&lt;AC95),"下降トレンド▼","もみ合い→"))))</f>
        <v>もみ合い→</v>
      </c>
      <c r="AE95" s="406" t="str">
        <f>IF(OR(C95="",AB95="",AC95=""),"",IF(AND(ABS(E95-AC95)/AC95&lt;=0.02,E95&gt;AC95),"25日押し目★",IF(AND(ABS(E95-AB95)/AB95&lt;=0.01,E95&gt;AB95),"5日押し目○","なし")))</f>
        <v>なし</v>
      </c>
      <c r="AF95" s="365">
        <f t="array" ref="AF95">IF(C95="","",IFERROR((INDEX(終値!$E:$E,MATCH(TEXT(C95,"0"),終値!$A:$A,0))-INDEX(終値!$E:$CZ,MATCH(TEXT(C95,"0"),終値!$A:$A,0),$AL$2))/INDEX(終値!$E:$CZ,MATCH(TEXT(C95,"0"),終値!$A:$A,0),$AL$2)*100,""))</f>
        <v>3.4615384615384617</v>
      </c>
      <c r="AG95" s="365">
        <f t="array" ref="AG95">IFERROR((終値!$E$5-INDEX(終値!$E$5:$IT$5,1,$AL$2))/INDEX(終値!$E$5:$IT$5,1,$AL$2)*100,"")</f>
        <v>1.0179378228534113</v>
      </c>
      <c r="AH95" s="366">
        <f>IF(OR(AF95="",AG95=""),"",AF95-AG95)</f>
        <v>2.4436006386850506</v>
      </c>
      <c r="AI95" s="364">
        <f>IF(AH95="","",IF(AH95&gt;5,3,IF(AH95&gt;0,1,IF(AH95&gt;-3,-1,-2))))</f>
        <v>1</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5930</v>
      </c>
      <c r="F96" s="166">
        <f>IF(C96&lt;&gt;"",_xll.RssMarket(C96,"始値"),"")</f>
        <v>5950</v>
      </c>
      <c r="G96" s="165">
        <f>IF(C96&lt;&gt;"",終値!F151,"")</f>
        <v>6090</v>
      </c>
      <c r="H96" s="166">
        <f>IF(C96&lt;&gt;"",_xll.RssMarket(C96,"高値"),"")</f>
        <v>6030</v>
      </c>
      <c r="I96" s="166">
        <f>IF(C96&lt;&gt;"",_xll.RssMarket(C96,"安値"),"")</f>
        <v>5870</v>
      </c>
      <c r="J96" s="166">
        <f>IF(C96&lt;&gt;"",_xll.RssMarket(C96,"出来高"),"")</f>
        <v>175900</v>
      </c>
      <c r="K96" s="166">
        <f>IF(C96&lt;&gt;"",_xll.RssMarket(C96,"年初来高値"),"")</f>
        <v>7880</v>
      </c>
      <c r="L96" s="167">
        <f>IF(AND(E96&lt;&gt;"",K96&lt;&gt;"",K96&lt;&gt;0),(E96-K96)/K96*100,"")</f>
        <v>-24.746192893401016</v>
      </c>
      <c r="M96" s="166">
        <f>IF(C96&lt;&gt;"",IFERROR(AVERAGE(出来高!E151:I151),""),"")</f>
        <v>231080</v>
      </c>
      <c r="N96" s="166">
        <f>IF(C96&lt;&gt;"",IFERROR(AVERAGE(出来高!E151:AC151),""),"")</f>
        <v>189450</v>
      </c>
      <c r="O96" s="168">
        <f>IF(AND(J96&lt;&gt;"",M96&lt;&gt;"",M96&lt;&gt;0),J96/M96,"")</f>
        <v>0.76120823957071149</v>
      </c>
      <c r="P96" s="163" t="str">
        <f>IF(O96="","",IF(O96&gt;=2,"急増↑↑",IF(O96&gt;=1.5,"増加↑",IF(O96&gt;=1,"普通→","減少↓"))))</f>
        <v>減少↓</v>
      </c>
      <c r="Q96" s="163" t="str">
        <f>IF(E96="","",IF(AND(E96&gt;G96,O96&gt;=1.5),"買い▲",IF(E96&lt;G96,"様子見▼","中立→")))</f>
        <v>様子見▼</v>
      </c>
      <c r="R96" s="166">
        <f>IF(E96&lt;&gt;"",ROUND(E96*1.08,0),"")</f>
        <v>6404</v>
      </c>
      <c r="S96" s="166">
        <f>IF(E96&lt;&gt;"",ROUND(E96*0.96,0),"")</f>
        <v>5693</v>
      </c>
      <c r="T96" s="163">
        <f>IF(C96="","",IFERROR(IF(O96&gt;=2,3,IF(O96&gt;=1.5,2,IF(O96&gt;=1,1,0)))+IF(E96&gt;G96,1,0)+IF(L96&gt;=-5,1,0)+IF(Q96="買い▲",2,0)+IF(W96&lt;=30,3,IF(W96&lt;=40,2,IF(AND(W96&gt;=40,W96&lt;=60),1,0)))+IF(X96&gt;0,1,0)+IF(V96="年初来高値更新●",3,IF(V96="高値圏",2,0))+IF(AD96="パーフェクト▲",3,IF(AD96="上昇トレンド▲",2,0))+IF(AE96="25日線押し目●",2,IF(AE96="5日線押し目○",1,0))+IF(P96="急増↑↑",2,IF(P96="増加↑",1,0))+N(AI96),0))</f>
        <v>2</v>
      </c>
      <c r="U96" s="163" t="str">
        <f>IF(T96="","",IF(AND(T96&gt;=3,O96&gt;=1.5),"有効",IF(T96&gt;=3,"要確認","除外")))</f>
        <v>除外</v>
      </c>
      <c r="V96" s="163" t="str">
        <f>IF(AND(H96&lt;&gt;"",K96&lt;&gt;""),IF(H96&gt;=K96,"年初来高値更新●",IF(H96&gt;=K96*0.95,"高値圏","通常")),"")</f>
        <v>通常</v>
      </c>
      <c r="W96" s="169">
        <f t="array" ref="W96">IF(C96&lt;&gt;"",IFERROR(100-100/(1+SUMPRODUCT((終値!F151:R151&gt;終値!G151:S151)*( 終値!F151:R151-終値!G151:S151))/SUMPRODUCT((終値!F151:R151&lt;終値!G151:S151)*(終値!G151:S151-終値!F151:R151))),50),"")</f>
        <v>50.578034682080919</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見送り</v>
      </c>
      <c r="Z96" s="171">
        <f>IF(AND(E96&lt;&gt;"",G96&lt;&gt;"",G96&lt;&gt;0),(E96-G96)/G96*100,"")</f>
        <v>-2.6272577996715927</v>
      </c>
      <c r="AA96" s="163" t="str">
        <f>IF(OR(C96="",E96="",E96=0),"",IF(E96&gt;G96,"上昇▲",IF(E96&lt;G96,"下落▼","横ばい→")))</f>
        <v>下落▼</v>
      </c>
      <c r="AB96" s="403">
        <f>IF(C96="","",IFERROR(((終値!E98*0.333)+(終値!F98*0.222)+(終値!G98*0.148)+(終値!H98*0.099)+(終値!I98*0.066)+(終値!J98*0.044)+(終値!K98*0.029)+(終値!L98*0.019)+(終値!M98*0.013)+(終値!N98*0.009))/(0.333+0.222+0.148+0.099+0.066+0.044+0.029+0.019+0.013+0.009),""))</f>
        <v>1149.2561099796333</v>
      </c>
      <c r="AC96" s="403">
        <f>IF(C96="","",IFERROR(SUMPRODUCT((終値!E98:AC98),({0.077,0.071,0.065,0.06,0.055,0.051,0.047,0.043,0.039,0.036,0.033,0.031,0.028,0.026,0.024,0.022,0.02,0.018,0.017,0.016,0.014,0.013,0.012,0.011,0.01}))/SUM({0.077,0.071,0.065,0.06,0.055,0.051,0.047,0.043,0.039,0.036,0.033,0.031,0.028,0.026,0.024,0.022,0.02,0.018,0.017,0.016,0.014,0.013,0.012,0.011,0.01}),""))</f>
        <v>1119.1495828367099</v>
      </c>
      <c r="AD96" s="404" t="str">
        <f>IF(OR(C96="",AB96="",AC96=""),"",IF(AND(E96&gt;AB96,AB96&gt;AC96),"パーフェクト▲",IF(E96&gt;AC96,"上昇トレンド▲",IF(AND(E96&lt;AB96,AB96&lt;AC96),"下降トレンド▼","もみ合い→"))))</f>
        <v>パーフェクト▲</v>
      </c>
      <c r="AE96" s="404" t="str">
        <f>IF(OR(C96="",AB96="",AC96=""),"",IF(AND(ABS(E96-AC96)/AC96&lt;=0.02,E96&gt;AC96),"25日押し目★",IF(AND(ABS(E96-AB96)/AB96&lt;=0.01,E96&gt;AB96),"5日押し目○","なし")))</f>
        <v>なし</v>
      </c>
      <c r="AF96" s="365">
        <f t="array" ref="AF96">IF(C96="","",IFERROR((INDEX(終値!$E:$E,MATCH(TEXT(C96,"0"),終値!$A:$A,0))-INDEX(終値!$E:$CZ,MATCH(TEXT(C96,"0"),終値!$A:$A,0),$AL$2))/INDEX(終値!$E:$CZ,MATCH(TEXT(C96,"0"),終値!$A:$A,0),$AL$2)*100,""))</f>
        <v>-9.8784194528875382</v>
      </c>
      <c r="AG96" s="365">
        <f t="array" ref="AG96">IFERROR((終値!$E$5-INDEX(終値!$E$5:$IT$5,1,$AL$2))/INDEX(終値!$E$5:$IT$5,1,$AL$2)*100,"")</f>
        <v>1.0179378228534113</v>
      </c>
      <c r="AH96" s="366">
        <f>IF(OR(AF96="",AG96=""),"",AF96-AG96)</f>
        <v>-10.89635727574095</v>
      </c>
      <c r="AI96" s="364">
        <f>IF(AH96="","",IF(AH96&gt;5,3,IF(AH96&gt;0,1,IF(AH96&gt;-3,-1,-2))))</f>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14020</v>
      </c>
      <c r="F97" s="166">
        <f>IF(C97&lt;&gt;"",_xll.RssMarket(C97,"始値"),"")</f>
        <v>14620</v>
      </c>
      <c r="G97" s="165">
        <f>IF(C97&lt;&gt;"",終値!F183,"")</f>
        <v>14820</v>
      </c>
      <c r="H97" s="166">
        <f>IF(C97&lt;&gt;"",_xll.RssMarket(C97,"高値"),"")</f>
        <v>15010</v>
      </c>
      <c r="I97" s="166">
        <f>IF(C97&lt;&gt;"",_xll.RssMarket(C97,"安値"),"")</f>
        <v>13900</v>
      </c>
      <c r="J97" s="166">
        <f>IF(C97&lt;&gt;"",_xll.RssMarket(C97,"出来高"),"")</f>
        <v>150800</v>
      </c>
      <c r="K97" s="166">
        <f>IF(C97&lt;&gt;"",_xll.RssMarket(C97,"年初来高値"),"")</f>
        <v>16900</v>
      </c>
      <c r="L97" s="167">
        <f>IF(AND(E97&lt;&gt;"",K97&lt;&gt;"",K97&lt;&gt;0),(E97-K97)/K97*100,"")</f>
        <v>-17.041420118343193</v>
      </c>
      <c r="M97" s="166">
        <f>IF(C97&lt;&gt;"",IFERROR(AVERAGE(出来高!E183:I183),""),"")</f>
        <v>199660</v>
      </c>
      <c r="N97" s="166">
        <f>IF(C97&lt;&gt;"",IFERROR(AVERAGE(出来高!E183:AC183),""),"")</f>
        <v>158780</v>
      </c>
      <c r="O97" s="168">
        <f>IF(AND(J97&lt;&gt;"",M97&lt;&gt;"",M97&lt;&gt;0),J97/M97,"")</f>
        <v>0.75528398277071018</v>
      </c>
      <c r="P97" s="163" t="str">
        <f>IF(O97="","",IF(O97&gt;=2,"急増↑↑",IF(O97&gt;=1.5,"増加↑",IF(O97&gt;=1,"普通→","減少↓"))))</f>
        <v>減少↓</v>
      </c>
      <c r="Q97" s="163" t="str">
        <f>IF(E97="","",IF(AND(E97&gt;G97,O97&gt;=1.5),"買い▲",IF(E97&lt;G97,"様子見▼","中立→")))</f>
        <v>様子見▼</v>
      </c>
      <c r="R97" s="166">
        <f>IF(E97&lt;&gt;"",ROUND(E97*1.08,0),"")</f>
        <v>15142</v>
      </c>
      <c r="S97" s="166">
        <f>IF(E97&lt;&gt;"",ROUND(E97*0.96,0),"")</f>
        <v>13459</v>
      </c>
      <c r="T97" s="163">
        <f>IF(C97="","",IFERROR(IF(O97&gt;=2,3,IF(O97&gt;=1.5,2,IF(O97&gt;=1,1,0)))+IF(E97&gt;G97,1,0)+IF(L97&gt;=-5,1,0)+IF(Q97="買い▲",2,0)+IF(W97&lt;=30,3,IF(W97&lt;=40,2,IF(AND(W97&gt;=40,W97&lt;=60),1,0)))+IF(X97&gt;0,1,0)+IF(V97="年初来高値更新●",3,IF(V97="高値圏",2,0))+IF(AD97="パーフェクト▲",3,IF(AD97="上昇トレンド▲",2,0))+IF(AE97="25日線押し目●",2,IF(AE97="5日線押し目○",1,0))+IF(P97="急増↑↑",2,IF(P97="増加↑",1,0))+N(AI97),0))</f>
        <v>2</v>
      </c>
      <c r="U97" s="163" t="str">
        <f>IF(T97="","",IF(AND(T97&gt;=3,O97&gt;=1.5),"有効",IF(T97&gt;=3,"要確認","除外")))</f>
        <v>除外</v>
      </c>
      <c r="V97" s="163" t="str">
        <f>IF(AND(H97&lt;&gt;"",K97&lt;&gt;""),IF(H97&gt;=K97,"年初来高値更新●",IF(H97&gt;=K97*0.95,"高値圏","通常")),"")</f>
        <v>通常</v>
      </c>
      <c r="W97" s="169">
        <f t="array" ref="W97">IF(C97&lt;&gt;"",IFERROR(100-100/(1+SUMPRODUCT((終値!F183:R183&gt;終値!G183:S183)*( 終値!F183:R183-終値!G183:S183))/SUMPRODUCT((終値!F183:R183&lt;終値!G183:S183)*(終値!G183:S183-終値!F183:R183))),50),"")</f>
        <v>49.391069012178626</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見送り</v>
      </c>
      <c r="Z97" s="171">
        <f>IF(AND(E97&lt;&gt;"",G97&lt;&gt;"",G97&lt;&gt;0),(E97-G97)/G97*100,"")</f>
        <v>-5.3981106612685563</v>
      </c>
      <c r="AA97" s="163" t="str">
        <f>IF(OR(C97="",E97="",E97=0),"",IF(E97&gt;G97,"上昇▲",IF(E97&lt;G97,"下落▼","横ばい→")))</f>
        <v>下落▼</v>
      </c>
      <c r="AB97" s="405">
        <f>IF(C97="","",IFERROR(((終値!E99*0.333)+(終値!F99*0.222)+(終値!G99*0.148)+(終値!H99*0.099)+(終値!I99*0.066)+(終値!J99*0.044)+(終値!K99*0.029)+(終値!L99*0.019)+(終値!M99*0.013)+(終値!N99*0.009))/(0.333+0.222+0.148+0.099+0.066+0.044+0.029+0.019+0.013+0.009),""))</f>
        <v>4677.8156822810579</v>
      </c>
      <c r="AC97" s="405">
        <f>IF(C97="","",IFERROR(SUMPRODUCT((終値!E99:AC99),({0.077,0.071,0.065,0.06,0.055,0.051,0.047,0.043,0.039,0.036,0.033,0.031,0.028,0.026,0.024,0.022,0.02,0.018,0.017,0.016,0.014,0.013,0.012,0.011,0.01}))/SUM({0.077,0.071,0.065,0.06,0.055,0.051,0.047,0.043,0.039,0.036,0.033,0.031,0.028,0.026,0.024,0.022,0.02,0.018,0.017,0.016,0.014,0.013,0.012,0.011,0.01}),""))</f>
        <v>4617.61978545888</v>
      </c>
      <c r="AD97" s="406" t="str">
        <f>IF(OR(C97="",AB97="",AC97=""),"",IF(AND(E97&gt;AB97,AB97&gt;AC97),"パーフェクト▲",IF(E97&gt;AC97,"上昇トレンド▲",IF(AND(E97&lt;AB97,AB97&lt;AC97),"下降トレンド▼","もみ合い→"))))</f>
        <v>パーフェクト▲</v>
      </c>
      <c r="AE97" s="406" t="str">
        <f>IF(OR(C97="",AB97="",AC97=""),"",IF(AND(ABS(E97-AC97)/AC97&lt;=0.02,E97&gt;AC97),"25日押し目★",IF(AND(ABS(E97-AB97)/AB97&lt;=0.01,E97&gt;AB97),"5日押し目○","なし")))</f>
        <v>なし</v>
      </c>
      <c r="AF97" s="365">
        <f t="array" ref="AF97">IF(C97="","",IFERROR((INDEX(終値!$E:$E,MATCH(TEXT(C97,"0"),終値!$A:$A,0))-INDEX(終値!$E:$CZ,MATCH(TEXT(C97,"0"),終値!$A:$A,0),$AL$2))/INDEX(終値!$E:$CZ,MATCH(TEXT(C97,"0"),終値!$A:$A,0),$AL$2)*100,""))</f>
        <v>-14.927184466019416</v>
      </c>
      <c r="AG97" s="365">
        <f t="array" ref="AG97">IFERROR((終値!$E$5-INDEX(終値!$E$5:$IT$5,1,$AL$2))/INDEX(終値!$E$5:$IT$5,1,$AL$2)*100,"")</f>
        <v>1.0179378228534113</v>
      </c>
      <c r="AH97" s="366">
        <f>IF(OR(AF97="",AG97=""),"",AF97-AG97)</f>
        <v>-15.945122288872827</v>
      </c>
      <c r="AI97" s="364">
        <f>IF(AH97="","",IF(AH97&gt;5,3,IF(AH97&gt;0,1,IF(AH97&gt;-3,-1,-2))))</f>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5255</v>
      </c>
      <c r="F98" s="166">
        <f>IF(C98&lt;&gt;"",_xll.RssMarket(C98,"始値"),"")</f>
        <v>5284</v>
      </c>
      <c r="G98" s="165">
        <f>IF(C98&lt;&gt;"",終値!F201,"")</f>
        <v>5382</v>
      </c>
      <c r="H98" s="166">
        <f>IF(C98&lt;&gt;"",_xll.RssMarket(C98,"高値"),"")</f>
        <v>5366</v>
      </c>
      <c r="I98" s="166">
        <f>IF(C98&lt;&gt;"",_xll.RssMarket(C98,"安値"),"")</f>
        <v>5161</v>
      </c>
      <c r="J98" s="166">
        <f>IF(C98&lt;&gt;"",_xll.RssMarket(C98,"出来高"),"")</f>
        <v>4722700</v>
      </c>
      <c r="K98" s="166">
        <f>IF(C98&lt;&gt;"",_xll.RssMarket(C98,"年初来高値"),"")</f>
        <v>7915</v>
      </c>
      <c r="L98" s="167">
        <f>IF(AND(E98&lt;&gt;"",K98&lt;&gt;"",K98&lt;&gt;0),(E98-K98)/K98*100,"")</f>
        <v>-33.607075173720787</v>
      </c>
      <c r="M98" s="166">
        <f>IF(C98&lt;&gt;"",IFERROR(AVERAGE(出来高!E201:I201),""),"")</f>
        <v>6209960</v>
      </c>
      <c r="N98" s="166">
        <f>IF(C98&lt;&gt;"",IFERROR(AVERAGE(出来高!E201:AC201),""),"")</f>
        <v>7904032</v>
      </c>
      <c r="O98" s="168">
        <f>IF(AND(J98&lt;&gt;"",M98&lt;&gt;"",M98&lt;&gt;0),J98/M98,"")</f>
        <v>0.76050409342411218</v>
      </c>
      <c r="P98" s="163" t="str">
        <f>IF(O98="","",IF(O98&gt;=2,"急増↑↑",IF(O98&gt;=1.5,"増加↑",IF(O98&gt;=1,"普通→","減少↓"))))</f>
        <v>減少↓</v>
      </c>
      <c r="Q98" s="163" t="str">
        <f>IF(E98="","",IF(AND(E98&gt;G98,O98&gt;=1.5),"買い▲",IF(E98&lt;G98,"様子見▼","中立→")))</f>
        <v>様子見▼</v>
      </c>
      <c r="R98" s="166">
        <f>IF(E98&lt;&gt;"",ROUND(E98*1.08,0),"")</f>
        <v>5675</v>
      </c>
      <c r="S98" s="166">
        <f>IF(E98&lt;&gt;"",ROUND(E98*0.96,0),"")</f>
        <v>5045</v>
      </c>
      <c r="T98" s="163">
        <f>IF(C98="","",IFERROR(IF(O98&gt;=2,3,IF(O98&gt;=1.5,2,IF(O98&gt;=1,1,0)))+IF(E98&gt;G98,1,0)+IF(L98&gt;=-5,1,0)+IF(Q98="買い▲",2,0)+IF(W98&lt;=30,3,IF(W98&lt;=40,2,IF(AND(W98&gt;=40,W98&lt;=60),1,0)))+IF(X98&gt;0,1,0)+IF(V98="年初来高値更新●",3,IF(V98="高値圏",2,0))+IF(AD98="パーフェクト▲",3,IF(AD98="上昇トレンド▲",2,0))+IF(AE98="25日線押し目●",2,IF(AE98="5日線押し目○",1,0))+IF(P98="急増↑↑",2,IF(P98="増加↑",1,0))+N(AI98),0))</f>
        <v>2</v>
      </c>
      <c r="U98" s="163" t="str">
        <f>IF(T98="","",IF(AND(T98&gt;=3,O98&gt;=1.5),"有効",IF(T98&gt;=3,"要確認","除外")))</f>
        <v>除外</v>
      </c>
      <c r="V98" s="163" t="str">
        <f>IF(AND(H98&lt;&gt;"",K98&lt;&gt;""),IF(H98&gt;=K98,"年初来高値更新●",IF(H98&gt;=K98*0.95,"高値圏","通常")),"")</f>
        <v>通常</v>
      </c>
      <c r="W98" s="169">
        <f t="array" ref="W98">IF(C98&lt;&gt;"",IFERROR(100-100/(1+SUMPRODUCT((終値!F201:R201&gt;終値!G201:S201)*( 終値!F201:R201-終値!G201:S201))/SUMPRODUCT((終値!F201:R201&lt;終値!G201:S201)*(終値!G201:S201-終値!F201:R201))),50),"")</f>
        <v>47.841726618705032</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見送り</v>
      </c>
      <c r="Z98" s="171">
        <f>IF(AND(E98&lt;&gt;"",G98&lt;&gt;"",G98&lt;&gt;0),(E98-G98)/G98*100,"")</f>
        <v>-2.3597175771088814</v>
      </c>
      <c r="AA98" s="163" t="str">
        <f>IF(OR(C98="",E98="",E98=0),"",IF(E98&gt;G98,"上昇▲",IF(E98&lt;G98,"下落▼","横ばい→")))</f>
        <v>下落▼</v>
      </c>
      <c r="AB98" s="403">
        <f>IF(C98="","",IFERROR(((終値!E100*0.333)+(終値!F100*0.222)+(終値!G100*0.148)+(終値!H100*0.099)+(終値!I100*0.066)+(終値!J100*0.044)+(終値!K100*0.029)+(終値!L100*0.019)+(終値!M100*0.013)+(終値!N100*0.009))/(0.333+0.222+0.148+0.099+0.066+0.044+0.029+0.019+0.013+0.009),""))</f>
        <v>2319.3365580448058</v>
      </c>
      <c r="AC98" s="403">
        <f>IF(C98="","",IFERROR(SUMPRODUCT((終値!E100:AC100),({0.077,0.071,0.065,0.06,0.055,0.051,0.047,0.043,0.039,0.036,0.033,0.031,0.028,0.026,0.024,0.022,0.02,0.018,0.017,0.016,0.014,0.013,0.012,0.011,0.01}))/SUM({0.077,0.071,0.065,0.06,0.055,0.051,0.047,0.043,0.039,0.036,0.033,0.031,0.028,0.026,0.024,0.022,0.02,0.018,0.017,0.016,0.014,0.013,0.012,0.011,0.01}),""))</f>
        <v>2287.8432657926101</v>
      </c>
      <c r="AD98" s="404" t="str">
        <f>IF(OR(C98="",AB98="",AC98=""),"",IF(AND(E98&gt;AB98,AB98&gt;AC98),"パーフェクト▲",IF(E98&gt;AC98,"上昇トレンド▲",IF(AND(E98&lt;AB98,AB98&lt;AC98),"下降トレンド▼","もみ合い→"))))</f>
        <v>パーフェクト▲</v>
      </c>
      <c r="AE98" s="404" t="str">
        <f>IF(OR(C98="",AB98="",AC98=""),"",IF(AND(ABS(E98-AC98)/AC98&lt;=0.02,E98&gt;AC98),"25日押し目★",IF(AND(ABS(E98-AB98)/AB98&lt;=0.01,E98&gt;AB98),"5日押し目○","なし")))</f>
        <v>なし</v>
      </c>
      <c r="AF98" s="365">
        <f t="array" ref="AF98">IF(C98="","",IFERROR((INDEX(終値!$E:$E,MATCH(TEXT(C98,"0"),終値!$A:$A,0))-INDEX(終値!$E:$CZ,MATCH(TEXT(C98,"0"),終値!$A:$A,0),$AL$2))/INDEX(終値!$E:$CZ,MATCH(TEXT(C98,"0"),終値!$A:$A,0),$AL$2)*100,""))</f>
        <v>-28.033415502602026</v>
      </c>
      <c r="AG98" s="365">
        <f t="array" ref="AG98">IFERROR((終値!$E$5-INDEX(終値!$E$5:$IT$5,1,$AL$2))/INDEX(終値!$E$5:$IT$5,1,$AL$2)*100,"")</f>
        <v>1.0179378228534113</v>
      </c>
      <c r="AH98" s="366">
        <f>IF(OR(AF98="",AG98=""),"",AF98-AG98)</f>
        <v>-29.051353325455437</v>
      </c>
      <c r="AI98" s="364">
        <f>IF(AH98="","",IF(AH98&gt;5,3,IF(AH98&gt;0,1,IF(AH98&gt;-3,-1,-2))))</f>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5870</v>
      </c>
      <c r="F99" s="166">
        <f>IF(C99&lt;&gt;"",_xll.RssMarket(C99,"始値"),"")</f>
        <v>5925</v>
      </c>
      <c r="G99" s="165">
        <f>IF(C99&lt;&gt;"",終値!F68,"")</f>
        <v>5848</v>
      </c>
      <c r="H99" s="166">
        <f>IF(C99&lt;&gt;"",_xll.RssMarket(C99,"高値"),"")</f>
        <v>6061</v>
      </c>
      <c r="I99" s="166">
        <f>IF(C99&lt;&gt;"",_xll.RssMarket(C99,"安値"),"")</f>
        <v>5799</v>
      </c>
      <c r="J99" s="166">
        <f>IF(C99&lt;&gt;"",_xll.RssMarket(C99,"出来高"),"")</f>
        <v>7307800</v>
      </c>
      <c r="K99" s="166">
        <f>IF(C99&lt;&gt;"",_xll.RssMarket(C99,"年初来高値"),"")</f>
        <v>6686</v>
      </c>
      <c r="L99" s="167">
        <f>IF(AND(E99&lt;&gt;"",K99&lt;&gt;"",K99&lt;&gt;0),(E99-K99)/K99*100,"")</f>
        <v>-12.204606640741849</v>
      </c>
      <c r="M99" s="166">
        <f>IF(C99&lt;&gt;"",IFERROR(AVERAGE(出来高!E68:I68),""),"")</f>
        <v>9011900</v>
      </c>
      <c r="N99" s="166">
        <f>IF(C99&lt;&gt;"",IFERROR(AVERAGE(出来高!E68:AC68),""),"")</f>
        <v>6110416</v>
      </c>
      <c r="O99" s="168">
        <f>IF(AND(J99&lt;&gt;"",M99&lt;&gt;"",M99&lt;&gt;0),J99/M99,"")</f>
        <v>0.81090558039924987</v>
      </c>
      <c r="P99" s="163" t="str">
        <f>IF(O99="","",IF(O99&gt;=2,"急増↑↑",IF(O99&gt;=1.5,"増加↑",IF(O99&gt;=1,"普通→","減少↓"))))</f>
        <v>減少↓</v>
      </c>
      <c r="Q99" s="163" t="str">
        <f>IF(E99="","",IF(AND(E99&gt;G99,O99&gt;=1.5),"買い▲",IF(E99&lt;G99,"様子見▼","中立→")))</f>
        <v>中立→</v>
      </c>
      <c r="R99" s="166">
        <f>IF(E99&lt;&gt;"",ROUND(E99*1.08,0),"")</f>
        <v>6340</v>
      </c>
      <c r="S99" s="166">
        <f>IF(E99&lt;&gt;"",ROUND(E99*0.96,0),"")</f>
        <v>5635</v>
      </c>
      <c r="T99" s="163">
        <f>IF(C99="","",IFERROR(IF(O99&gt;=2,3,IF(O99&gt;=1.5,2,IF(O99&gt;=1,1,0)))+IF(E99&gt;G99,1,0)+IF(L99&gt;=-5,1,0)+IF(Q99="買い▲",2,0)+IF(W99&lt;=30,3,IF(W99&lt;=40,2,IF(AND(W99&gt;=40,W99&lt;=60),1,0)))+IF(X99&gt;0,1,0)+IF(V99="年初来高値更新●",3,IF(V99="高値圏",2,0))+IF(AD99="パーフェクト▲",3,IF(AD99="上昇トレンド▲",2,0))+IF(AE99="25日線押し目●",2,IF(AE99="5日線押し目○",1,0))+IF(P99="急増↑↑",2,IF(P99="増加↑",1,0))+N(AI99),0))</f>
        <v>3</v>
      </c>
      <c r="U99" s="163" t="str">
        <f>IF(T99="","",IF(AND(T99&gt;=3,O99&gt;=1.5),"有効",IF(T99&gt;=3,"要確認","除外")))</f>
        <v>要確認</v>
      </c>
      <c r="V99" s="163" t="str">
        <f>IF(AND(H99&lt;&gt;"",K99&lt;&gt;""),IF(H99&gt;=K99,"年初来高値更新●",IF(H99&gt;=K99*0.95,"高値圏","通常")),"")</f>
        <v>通常</v>
      </c>
      <c r="W99" s="169">
        <f t="array" ref="W99">IF(C99&lt;&gt;"",IFERROR(100-100/(1+SUMPRODUCT((終値!F68:R68&gt;終値!G68:S68)*( 終値!F68:R68-終値!G68:S68))/SUMPRODUCT((終値!F68:R68&lt;終値!G68:S68)*(終値!G68:S68-終値!F68:R68))),50),"")</f>
        <v>51.494661921708186</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様子見</v>
      </c>
      <c r="Z99" s="171">
        <f>IF(AND(E99&lt;&gt;"",G99&lt;&gt;"",G99&lt;&gt;0),(E99-G99)/G99*100,"")</f>
        <v>0.37619699042407662</v>
      </c>
      <c r="AA99" s="163" t="str">
        <f>IF(OR(C99="",E99="",E99=0),"",IF(E99&gt;G99,"上昇▲",IF(E99&lt;G99,"下落▼","横ばい→")))</f>
        <v>上昇▲</v>
      </c>
      <c r="AB99" s="405">
        <f>IF(C99="","",IFERROR(((終値!E101*0.333)+(終値!F101*0.222)+(終値!G101*0.148)+(終値!H101*0.099)+(終値!I101*0.066)+(終値!J101*0.044)+(終値!K101*0.029)+(終値!L101*0.019)+(終値!M101*0.013)+(終値!N101*0.009))/(0.333+0.222+0.148+0.099+0.066+0.044+0.029+0.019+0.013+0.009),""))</f>
        <v>2930.2886965376774</v>
      </c>
      <c r="AC99" s="405">
        <f>IF(C99="","",IFERROR(SUMPRODUCT((終値!E101:AC101),({0.077,0.071,0.065,0.06,0.055,0.051,0.047,0.043,0.039,0.036,0.033,0.031,0.028,0.026,0.024,0.022,0.02,0.018,0.017,0.016,0.014,0.013,0.012,0.011,0.01}))/SUM({0.077,0.071,0.065,0.06,0.055,0.051,0.047,0.043,0.039,0.036,0.033,0.031,0.028,0.026,0.024,0.022,0.02,0.018,0.017,0.016,0.014,0.013,0.012,0.011,0.01}),""))</f>
        <v>2724.8867699642424</v>
      </c>
      <c r="AD99" s="406" t="str">
        <f>IF(OR(C99="",AB99="",AC99=""),"",IF(AND(E99&gt;AB99,AB99&gt;AC99),"パーフェクト▲",IF(E99&gt;AC99,"上昇トレンド▲",IF(AND(E99&lt;AB99,AB99&lt;AC99),"下降トレンド▼","もみ合い→"))))</f>
        <v>パーフェクト▲</v>
      </c>
      <c r="AE99" s="406" t="str">
        <f>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-2.7179317202519058</v>
      </c>
      <c r="AG99" s="365">
        <f t="array" ref="AG99">IFERROR((終値!$E$5-INDEX(終値!$E$5:$IT$5,1,$AL$2))/INDEX(終値!$E$5:$IT$5,1,$AL$2)*100,"")</f>
        <v>1.0179378228534113</v>
      </c>
      <c r="AH99" s="366">
        <f>IF(OR(AF99="",AG99=""),"",AF99-AG99)</f>
        <v>-3.7358695431053173</v>
      </c>
      <c r="AI99" s="364">
        <f>IF(AH99="","",IF(AH99&gt;5,3,IF(AH99&gt;0,1,IF(AH99&gt;-3,-1,-2))))</f>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5500</v>
      </c>
      <c r="F100" s="166">
        <f>IF(C100&lt;&gt;"",_xll.RssMarket(C100,"始値"),"")</f>
        <v>5425</v>
      </c>
      <c r="G100" s="165">
        <f>IF(C100&lt;&gt;"",終値!F91,"")</f>
        <v>5476</v>
      </c>
      <c r="H100" s="166">
        <f>IF(C100&lt;&gt;"",_xll.RssMarket(C100,"高値"),"")</f>
        <v>5595</v>
      </c>
      <c r="I100" s="166">
        <f>IF(C100&lt;&gt;"",_xll.RssMarket(C100,"安値"),"")</f>
        <v>5424</v>
      </c>
      <c r="J100" s="166">
        <f>IF(C100&lt;&gt;"",_xll.RssMarket(C100,"出来高"),"")</f>
        <v>11584500</v>
      </c>
      <c r="K100" s="166">
        <f>IF(C100&lt;&gt;"",_xll.RssMarket(C100,"年初来高値"),"")</f>
        <v>6039</v>
      </c>
      <c r="L100" s="167">
        <f>IF(AND(E100&lt;&gt;"",K100&lt;&gt;"",K100&lt;&gt;0),(E100-K100)/K100*100,"")</f>
        <v>-8.9253187613843341</v>
      </c>
      <c r="M100" s="166">
        <f>IF(C100&lt;&gt;"",IFERROR(AVERAGE(出来高!E91:I91),""),"")</f>
        <v>14973120</v>
      </c>
      <c r="N100" s="166">
        <f>IF(C100&lt;&gt;"",IFERROR(AVERAGE(出来高!E91:AC91),""),"")</f>
        <v>12655132</v>
      </c>
      <c r="O100" s="168">
        <f>IF(AND(J100&lt;&gt;"",M100&lt;&gt;"",M100&lt;&gt;0),J100/M100,"")</f>
        <v>0.77368644611143167</v>
      </c>
      <c r="P100" s="163" t="str">
        <f>IF(O100="","",IF(O100&gt;=2,"急増↑↑",IF(O100&gt;=1.5,"増加↑",IF(O100&gt;=1,"普通→","減少↓"))))</f>
        <v>減少↓</v>
      </c>
      <c r="Q100" s="163" t="str">
        <f>IF(E100="","",IF(AND(E100&gt;G100,O100&gt;=1.5),"買い▲",IF(E100&lt;G100,"様子見▼","中立→")))</f>
        <v>中立→</v>
      </c>
      <c r="R100" s="166">
        <f>IF(E100&lt;&gt;"",ROUND(E100*1.08,0),"")</f>
        <v>5940</v>
      </c>
      <c r="S100" s="166">
        <f>IF(E100&lt;&gt;"",ROUND(E100*0.96,0),"")</f>
        <v>5280</v>
      </c>
      <c r="T100" s="163">
        <f>IF(C100="","",IFERROR(IF(O100&gt;=2,3,IF(O100&gt;=1.5,2,IF(O100&gt;=1,1,0)))+IF(E100&gt;G100,1,0)+IF(L100&gt;=-5,1,0)+IF(Q100="買い▲",2,0)+IF(W100&lt;=30,3,IF(W100&lt;=40,2,IF(AND(W100&gt;=40,W100&lt;=60),1,0)))+IF(X100&gt;0,1,0)+IF(V100="年初来高値更新●",3,IF(V100="高値圏",2,0))+IF(AD100="パーフェクト▲",3,IF(AD100="上昇トレンド▲",2,0))+IF(AE100="25日線押し目●",2,IF(AE100="5日線押し目○",1,0))+IF(P100="急増↑↑",2,IF(P100="増加↑",1,0))+N(AI100),0))</f>
        <v>8</v>
      </c>
      <c r="U100" s="163" t="str">
        <f>IF(T100="","",IF(AND(T100&gt;=3,O100&gt;=1.5),"有効",IF(T100&gt;=3,"要確認","除外")))</f>
        <v>要確認</v>
      </c>
      <c r="V100" s="163" t="str">
        <f>IF(AND(H100&lt;&gt;"",K100&lt;&gt;""),IF(H100&gt;=K100,"年初来高値更新●",IF(H100&gt;=K100*0.95,"高値圏","通常")),"")</f>
        <v>通常</v>
      </c>
      <c r="W100" s="169">
        <f t="array" ref="W100">IF(C100&lt;&gt;"",IFERROR(100-100/(1+SUMPRODUCT((終値!F91:R91&gt;終値!G91:S91)*( 終値!F91:R91-終値!G91:S91))/SUMPRODUCT((終値!F91:R91&lt;終値!G91:S91)*(終値!G91:S91-終値!F91:R91))),50),"")</f>
        <v>80.57553956834532</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△注目</v>
      </c>
      <c r="Z100" s="171">
        <f>IF(AND(E100&lt;&gt;"",G100&lt;&gt;"",G100&lt;&gt;0),(E100-G100)/G100*100,"")</f>
        <v>0.43827611395178961</v>
      </c>
      <c r="AA100" s="163" t="str">
        <f>IF(OR(C100="",E100="",E100=0),"",IF(E100&gt;G100,"上昇▲",IF(E100&lt;G100,"下落▼","横ばい→")))</f>
        <v>上昇▲</v>
      </c>
      <c r="AB100" s="403">
        <f>IF(C100="","",IFERROR(((終値!E102*0.333)+(終値!F102*0.222)+(終値!G102*0.148)+(終値!H102*0.099)+(終値!I102*0.066)+(終値!J102*0.044)+(終値!K102*0.029)+(終値!L102*0.019)+(終値!M102*0.013)+(終値!N102*0.009))/(0.333+0.222+0.148+0.099+0.066+0.044+0.029+0.019+0.013+0.009),""))</f>
        <v>1268.0789205702645</v>
      </c>
      <c r="AC100" s="403">
        <f>IF(C100="","",IFERROR(SUMPRODUCT((終値!E102:AC102),({0.077,0.071,0.065,0.06,0.055,0.051,0.047,0.043,0.039,0.036,0.033,0.031,0.028,0.026,0.024,0.022,0.02,0.018,0.017,0.016,0.014,0.013,0.012,0.011,0.01}))/SUM({0.077,0.071,0.065,0.06,0.055,0.051,0.047,0.043,0.039,0.036,0.033,0.031,0.028,0.026,0.024,0.022,0.02,0.018,0.017,0.016,0.014,0.013,0.012,0.011,0.01}),""))</f>
        <v>398.78545887961849</v>
      </c>
      <c r="AD100" s="404" t="str">
        <f>IF(OR(C100="",AB100="",AC100=""),"",IF(AND(E100&gt;AB100,AB100&gt;AC100),"パーフェクト▲",IF(E100&gt;AC100,"上昇トレンド▲",IF(AND(E100&lt;AB100,AB100&lt;AC100),"下降トレンド▼","もみ合い→"))))</f>
        <v>パーフェクト▲</v>
      </c>
      <c r="AE100" s="404" t="str">
        <f>IF(OR(C100="",AB100="",AC100=""),"",IF(AND(ABS(E100-AC100)/AC100&lt;=0.02,E100&gt;AC100),"25日押し目★",IF(AND(ABS(E100-AB100)/AB100&lt;=0.01,E100&gt;AB100),"5日押し目○","なし")))</f>
        <v>なし</v>
      </c>
      <c r="AF100" s="365">
        <f t="array" ref="AF100">IF(C100="","",IFERROR((INDEX(終値!$E:$E,MATCH(TEXT(C100,"0"),終値!$A:$A,0))-INDEX(終値!$E:$CZ,MATCH(TEXT(C100,"0"),終値!$A:$A,0),$AL$2))/INDEX(終値!$E:$CZ,MATCH(TEXT(C100,"0"),終値!$A:$A,0),$AL$2)*100,""))</f>
        <v>22.330960854092528</v>
      </c>
      <c r="AG100" s="365">
        <f t="array" ref="AG100">IFERROR((終値!$E$5-INDEX(終値!$E$5:$IT$5,1,$AL$2))/INDEX(終値!$E$5:$IT$5,1,$AL$2)*100,"")</f>
        <v>1.0179378228534113</v>
      </c>
      <c r="AH100" s="366">
        <f>IF(OR(AF100="",AG100=""),"",AF100-AG100)</f>
        <v>21.313023031239116</v>
      </c>
      <c r="AI100" s="364">
        <f>IF(AH100="","",IF(AH100&gt;5,3,IF(AH100&gt;0,1,IF(AH100&gt;-3,-1,-2))))</f>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3736</v>
      </c>
      <c r="F101" s="166">
        <f>IF(C101&lt;&gt;"",_xll.RssMarket(C101,"始値"),"")</f>
        <v>3852</v>
      </c>
      <c r="G101" s="165">
        <f>IF(C101&lt;&gt;"",終値!F79,"")</f>
        <v>4096</v>
      </c>
      <c r="H101" s="166">
        <f>IF(C101&lt;&gt;"",_xll.RssMarket(C101,"高値"),"")</f>
        <v>3910</v>
      </c>
      <c r="I101" s="166">
        <f>IF(C101&lt;&gt;"",_xll.RssMarket(C101,"安値"),"")</f>
        <v>3688</v>
      </c>
      <c r="J101" s="166">
        <f>IF(C101&lt;&gt;"",_xll.RssMarket(C101,"出来高"),"")</f>
        <v>6490100</v>
      </c>
      <c r="K101" s="166">
        <f>IF(C101&lt;&gt;"",_xll.RssMarket(C101,"年初来高値"),"")</f>
        <v>5307</v>
      </c>
      <c r="L101" s="167">
        <f>IF(AND(E101&lt;&gt;"",K101&lt;&gt;"",K101&lt;&gt;0),(E101-K101)/K101*100,"")</f>
        <v>-29.602411908799699</v>
      </c>
      <c r="M101" s="166">
        <f>IF(C101&lt;&gt;"",IFERROR(AVERAGE(出来高!E79:I79),""),"")</f>
        <v>4232280</v>
      </c>
      <c r="N101" s="166">
        <f>IF(C101&lt;&gt;"",IFERROR(AVERAGE(出来高!E79:AC79),""),"")</f>
        <v>3520708</v>
      </c>
      <c r="O101" s="168">
        <f>IF(AND(J101&lt;&gt;"",M101&lt;&gt;"",M101&lt;&gt;0),J101/M101,"")</f>
        <v>1.5334760460082981</v>
      </c>
      <c r="P101" s="163" t="str">
        <f>IF(O101="","",IF(O101&gt;=2,"急増↑↑",IF(O101&gt;=1.5,"増加↑",IF(O101&gt;=1,"普通→","減少↓"))))</f>
        <v>増加↑</v>
      </c>
      <c r="Q101" s="163" t="str">
        <f>IF(E101="","",IF(AND(E101&gt;G101,O101&gt;=1.5),"買い▲",IF(E101&lt;G101,"様子見▼","中立→")))</f>
        <v>様子見▼</v>
      </c>
      <c r="R101" s="166">
        <f>IF(E101&lt;&gt;"",ROUND(E101*1.08,0),"")</f>
        <v>4035</v>
      </c>
      <c r="S101" s="166">
        <f>IF(E101&lt;&gt;"",ROUND(E101*0.96,0),"")</f>
        <v>3587</v>
      </c>
      <c r="T101" s="163">
        <f>IF(C101="","",IFERROR(IF(O101&gt;=2,3,IF(O101&gt;=1.5,2,IF(O101&gt;=1,1,0)))+IF(E101&gt;G101,1,0)+IF(L101&gt;=-5,1,0)+IF(Q101="買い▲",2,0)+IF(W101&lt;=30,3,IF(W101&lt;=40,2,IF(AND(W101&gt;=40,W101&lt;=60),1,0)))+IF(X101&gt;0,1,0)+IF(V101="年初来高値更新●",3,IF(V101="高値圏",2,0))+IF(AD101="パーフェクト▲",3,IF(AD101="上昇トレンド▲",2,0))+IF(AE101="25日線押し目●",2,IF(AE101="5日線押し目○",1,0))+IF(P101="急増↑↑",2,IF(P101="増加↑",1,0))+N(AI101),0))</f>
        <v>2</v>
      </c>
      <c r="U101" s="163" t="str">
        <f>IF(T101="","",IF(AND(T101&gt;=3,O101&gt;=1.5),"有効",IF(T101&gt;=3,"要確認","除外")))</f>
        <v>除外</v>
      </c>
      <c r="V101" s="163" t="str">
        <f>IF(AND(H101&lt;&gt;"",K101&lt;&gt;""),IF(H101&gt;=K101,"年初来高値更新●",IF(H101&gt;=K101*0.95,"高値圏","通常")),"")</f>
        <v>通常</v>
      </c>
      <c r="W101" s="169">
        <f t="array" ref="W101">IF(C101&lt;&gt;"",IFERROR(100-100/(1+SUMPRODUCT((終値!F79:R79&gt;終値!G79:S79)*( 終値!F79:R79-終値!G79:S79))/SUMPRODUCT((終値!F79:R79&lt;終値!G79:S79)*(終値!G79:S79-終値!F79:R79))),50),"")</f>
        <v>47.217010631644776</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見送り</v>
      </c>
      <c r="Z101" s="171">
        <f>IF(AND(E101&lt;&gt;"",G101&lt;&gt;"",G101&lt;&gt;0),(E101-G101)/G101*100,"")</f>
        <v>-8.7890625</v>
      </c>
      <c r="AA101" s="163" t="str">
        <f>IF(OR(C101="",E101="",E101=0),"",IF(E101&gt;G101,"上昇▲",IF(E101&lt;G101,"下落▼","横ばい→")))</f>
        <v>下落▼</v>
      </c>
      <c r="AB101" s="405">
        <f>IF(C101="","",IFERROR(((終値!E103*0.333)+(終値!F103*0.222)+(終値!G103*0.148)+(終値!H103*0.099)+(終値!I103*0.066)+(終値!J103*0.044)+(終値!K103*0.029)+(終値!L103*0.019)+(終値!M103*0.013)+(終値!N103*0.009))/(0.333+0.222+0.148+0.099+0.066+0.044+0.029+0.019+0.013+0.009),""))</f>
        <v>4571.6384928716898</v>
      </c>
      <c r="AC101" s="405">
        <f>IF(C101="","",IFERROR(SUMPRODUCT((終値!E103:AC103),({0.077,0.071,0.065,0.06,0.055,0.051,0.047,0.043,0.039,0.036,0.033,0.031,0.028,0.026,0.024,0.022,0.02,0.018,0.017,0.016,0.014,0.013,0.012,0.011,0.01}))/SUM({0.077,0.071,0.065,0.06,0.055,0.051,0.047,0.043,0.039,0.036,0.033,0.031,0.028,0.026,0.024,0.022,0.02,0.018,0.017,0.016,0.014,0.013,0.012,0.011,0.01}),""))</f>
        <v>4568.5113230035731</v>
      </c>
      <c r="AD101" s="406" t="str">
        <f>IF(OR(C101="",AB101="",AC101=""),"",IF(AND(E101&gt;AB101,AB101&gt;AC101),"パーフェクト▲",IF(E101&gt;AC101,"上昇トレンド▲",IF(AND(E101&lt;AB101,AB101&lt;AC101),"下降トレンド▼","もみ合い→"))))</f>
        <v>もみ合い→</v>
      </c>
      <c r="AE101" s="406" t="str">
        <f>IF(OR(C101="",AB101="",AC101=""),"",IF(AND(ABS(E101-AC101)/AC101&lt;=0.02,E101&gt;AC101),"25日押し目★",IF(AND(ABS(E101-AB101)/AB101&lt;=0.01,E101&gt;AB101),"5日押し目○","なし")))</f>
        <v>なし</v>
      </c>
      <c r="AF101" s="365">
        <f t="array" ref="AF101">IF(C101="","",IFERROR((INDEX(終値!$E:$E,MATCH(TEXT(C101,"0"),終値!$A:$A,0))-INDEX(終値!$E:$CZ,MATCH(TEXT(C101,"0"),終値!$A:$A,0),$AL$2))/INDEX(終値!$E:$CZ,MATCH(TEXT(C101,"0"),終値!$A:$A,0),$AL$2)*100,""))</f>
        <v>-25.250100040016004</v>
      </c>
      <c r="AG101" s="365">
        <f t="array" ref="AG101">IFERROR((終値!$E$5-INDEX(終値!$E$5:$IT$5,1,$AL$2))/INDEX(終値!$E$5:$IT$5,1,$AL$2)*100,"")</f>
        <v>1.0179378228534113</v>
      </c>
      <c r="AH101" s="366">
        <f>IF(OR(AF101="",AG101=""),"",AF101-AG101)</f>
        <v>-26.268037862869416</v>
      </c>
      <c r="AI101" s="364">
        <f>IF(AH101="","",IF(AH101&gt;5,3,IF(AH101&gt;0,1,IF(AH101&gt;-3,-1,-2))))</f>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3896</v>
      </c>
      <c r="F102" s="166">
        <f>IF(C102&lt;&gt;"",_xll.RssMarket(C102,"始値"),"")</f>
        <v>3907</v>
      </c>
      <c r="G102" s="165">
        <f>IF(C102&lt;&gt;"",終値!F178,"")</f>
        <v>3880</v>
      </c>
      <c r="H102" s="166">
        <f>IF(C102&lt;&gt;"",_xll.RssMarket(C102,"高値"),"")</f>
        <v>3932</v>
      </c>
      <c r="I102" s="166">
        <f>IF(C102&lt;&gt;"",_xll.RssMarket(C102,"安値"),"")</f>
        <v>3869</v>
      </c>
      <c r="J102" s="166">
        <f>IF(C102&lt;&gt;"",_xll.RssMarket(C102,"出来高"),"")</f>
        <v>198300</v>
      </c>
      <c r="K102" s="166">
        <f>IF(C102&lt;&gt;"",_xll.RssMarket(C102,"年初来高値"),"")</f>
        <v>4310</v>
      </c>
      <c r="L102" s="167">
        <f>IF(AND(E102&lt;&gt;"",K102&lt;&gt;"",K102&lt;&gt;0),(E102-K102)/K102*100,"")</f>
        <v>-9.6055684454756367</v>
      </c>
      <c r="M102" s="166">
        <f>IF(C102&lt;&gt;"",IFERROR(AVERAGE(出来高!E178:I178),""),"")</f>
        <v>418920</v>
      </c>
      <c r="N102" s="166">
        <f>IF(C102&lt;&gt;"",IFERROR(AVERAGE(出来高!E178:AC178),""),"")</f>
        <v>328625</v>
      </c>
      <c r="O102" s="168">
        <f>IF(AND(J102&lt;&gt;"",M102&lt;&gt;"",M102&lt;&gt;0),J102/M102,"")</f>
        <v>0.47336006874820968</v>
      </c>
      <c r="P102" s="163" t="str">
        <f>IF(O102="","",IF(O102&gt;=2,"急増↑↑",IF(O102&gt;=1.5,"増加↑",IF(O102&gt;=1,"普通→","減少↓"))))</f>
        <v>減少↓</v>
      </c>
      <c r="Q102" s="163" t="str">
        <f>IF(E102="","",IF(AND(E102&gt;G102,O102&gt;=1.5),"買い▲",IF(E102&lt;G102,"様子見▼","中立→")))</f>
        <v>中立→</v>
      </c>
      <c r="R102" s="166">
        <f>IF(E102&lt;&gt;"",ROUND(E102*1.08,0),"")</f>
        <v>4208</v>
      </c>
      <c r="S102" s="166">
        <f>IF(E102&lt;&gt;"",ROUND(E102*0.96,0),"")</f>
        <v>3740</v>
      </c>
      <c r="T102" s="163">
        <f>IF(C102="","",IFERROR(IF(O102&gt;=2,3,IF(O102&gt;=1.5,2,IF(O102&gt;=1,1,0)))+IF(E102&gt;G102,1,0)+IF(L102&gt;=-5,1,0)+IF(Q102="買い▲",2,0)+IF(W102&lt;=30,3,IF(W102&lt;=40,2,IF(AND(W102&gt;=40,W102&lt;=60),1,0)))+IF(X102&gt;0,1,0)+IF(V102="年初来高値更新●",3,IF(V102="高値圏",2,0))+IF(AD102="パーフェクト▲",3,IF(AD102="上昇トレンド▲",2,0))+IF(AE102="25日線押し目●",2,IF(AE102="5日線押し目○",1,0))+IF(P102="急増↑↑",2,IF(P102="増加↑",1,0))+N(AI102),0))</f>
        <v>8</v>
      </c>
      <c r="U102" s="163" t="str">
        <f>IF(T102="","",IF(AND(T102&gt;=3,O102&gt;=1.5),"有効",IF(T102&gt;=3,"要確認","除外")))</f>
        <v>要確認</v>
      </c>
      <c r="V102" s="163" t="str">
        <f>IF(AND(H102&lt;&gt;"",K102&lt;&gt;""),IF(H102&gt;=K102,"年初来高値更新●",IF(H102&gt;=K102*0.95,"高値圏","通常")),"")</f>
        <v>通常</v>
      </c>
      <c r="W102" s="169">
        <f t="array" ref="W102">IF(C102&lt;&gt;"",IFERROR(100-100/(1+SUMPRODUCT((終値!F178:R178&gt;終値!G178:S178)*( 終値!F178:R178-終値!G178:S178))/SUMPRODUCT((終値!F178:R178&lt;終値!G178:S178)*(終値!G178:S178-終値!F178:R178))),50),"")</f>
        <v>50.59960414483642</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△注目</v>
      </c>
      <c r="Z102" s="171">
        <f>IF(AND(E102&lt;&gt;"",G102&lt;&gt;"",G102&lt;&gt;0),(E102-G102)/G102*100,"")</f>
        <v>0.41237113402061859</v>
      </c>
      <c r="AA102" s="163" t="str">
        <f>IF(OR(C102="",E102="",E102=0),"",IF(E102&gt;G102,"上昇▲",IF(E102&lt;G102,"下落▼","横ばい→")))</f>
        <v>上昇▲</v>
      </c>
      <c r="AB102" s="403">
        <f>IF(C102="","",IFERROR(((終値!E104*0.333)+(終値!F104*0.222)+(終値!G104*0.148)+(終値!H104*0.099)+(終値!I104*0.066)+(終値!J104*0.044)+(終値!K104*0.029)+(終値!L104*0.019)+(終値!M104*0.013)+(終値!N104*0.009))/(0.333+0.222+0.148+0.099+0.066+0.044+0.029+0.019+0.013+0.009),""))</f>
        <v>2376.8477596741345</v>
      </c>
      <c r="AC102" s="403">
        <f>IF(C102="","",IFERROR(SUMPRODUCT((終値!E104:AC104),({0.077,0.071,0.065,0.06,0.055,0.051,0.047,0.043,0.039,0.036,0.033,0.031,0.028,0.026,0.024,0.022,0.02,0.018,0.017,0.016,0.014,0.013,0.012,0.011,0.01}))/SUM({0.077,0.071,0.065,0.06,0.055,0.051,0.047,0.043,0.039,0.036,0.033,0.031,0.028,0.026,0.024,0.022,0.02,0.018,0.017,0.016,0.014,0.013,0.012,0.011,0.01}),""))</f>
        <v>2391.2800953516089</v>
      </c>
      <c r="AD102" s="404" t="str">
        <f>IF(OR(C102="",AB102="",AC102=""),"",IF(AND(E102&gt;AB102,AB102&gt;AC102),"パーフェクト▲",IF(E102&gt;AC102,"上昇トレンド▲",IF(AND(E102&lt;AB102,AB102&lt;AC102),"下降トレンド▼","もみ合い→"))))</f>
        <v>上昇トレンド▲</v>
      </c>
      <c r="AE102" s="404" t="str">
        <f>IF(OR(C102="",AB102="",AC102=""),"",IF(AND(ABS(E102-AC102)/AC102&lt;=0.02,E102&gt;AC102),"25日押し目★",IF(AND(ABS(E102-AB102)/AB102&lt;=0.01,E102&gt;AB102),"5日押し目○","なし")))</f>
        <v>なし</v>
      </c>
      <c r="AF102" s="365">
        <f t="array" ref="AF102">IF(C102="","",IFERROR((INDEX(終値!$E:$E,MATCH(TEXT(C102,"0"),終値!$A:$A,0))-INDEX(終値!$E:$CZ,MATCH(TEXT(C102,"0"),終値!$A:$A,0),$AL$2))/INDEX(終値!$E:$CZ,MATCH(TEXT(C102,"0"),終値!$A:$A,0),$AL$2)*100,""))</f>
        <v>6.5354115395132624</v>
      </c>
      <c r="AG102" s="365">
        <f t="array" ref="AG102">IFERROR((終値!$E$5-INDEX(終値!$E$5:$IT$5,1,$AL$2))/INDEX(終値!$E$5:$IT$5,1,$AL$2)*100,"")</f>
        <v>1.0179378228534113</v>
      </c>
      <c r="AH102" s="366">
        <f>IF(OR(AF102="",AG102=""),"",AF102-AG102)</f>
        <v>5.5174737166598513</v>
      </c>
      <c r="AI102" s="364">
        <f>IF(AH102="","",IF(AH102&gt;5,3,IF(AH102&gt;0,1,IF(AH102&gt;-3,-1,-2))))</f>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9290</v>
      </c>
      <c r="F103" s="166">
        <f>IF(C103&lt;&gt;"",_xll.RssMarket(C103,"始値"),"")</f>
        <v>9450</v>
      </c>
      <c r="G103" s="165">
        <f>IF(C103&lt;&gt;"",終値!F147,"")</f>
        <v>9860</v>
      </c>
      <c r="H103" s="166">
        <f>IF(C103&lt;&gt;"",_xll.RssMarket(C103,"高値"),"")</f>
        <v>9680</v>
      </c>
      <c r="I103" s="166">
        <f>IF(C103&lt;&gt;"",_xll.RssMarket(C103,"安値"),"")</f>
        <v>9130</v>
      </c>
      <c r="J103" s="166">
        <f>IF(C103&lt;&gt;"",_xll.RssMarket(C103,"出来高"),"")</f>
        <v>92600</v>
      </c>
      <c r="K103" s="166">
        <f>IF(C103&lt;&gt;"",_xll.RssMarket(C103,"年初来高値"),"")</f>
        <v>16930</v>
      </c>
      <c r="L103" s="167">
        <f>IF(AND(E103&lt;&gt;"",K103&lt;&gt;"",K103&lt;&gt;0),(E103-K103)/K103*100,"")</f>
        <v>-45.126993502658003</v>
      </c>
      <c r="M103" s="166">
        <f>IF(C103&lt;&gt;"",IFERROR(AVERAGE(出来高!E147:I147),""),"")</f>
        <v>155040</v>
      </c>
      <c r="N103" s="166">
        <f>IF(C103&lt;&gt;"",IFERROR(AVERAGE(出来高!E147:AC147),""),"")</f>
        <v>114808.33333333333</v>
      </c>
      <c r="O103" s="168">
        <f>IF(AND(J103&lt;&gt;"",M103&lt;&gt;"",M103&lt;&gt;0),J103/M103,"")</f>
        <v>0.59726522187822495</v>
      </c>
      <c r="P103" s="163" t="str">
        <f>IF(O103="","",IF(O103&gt;=2,"急増↑↑",IF(O103&gt;=1.5,"増加↑",IF(O103&gt;=1,"普通→","減少↓"))))</f>
        <v>減少↓</v>
      </c>
      <c r="Q103" s="163" t="str">
        <f>IF(E103="","",IF(AND(E103&gt;G103,O103&gt;=1.5),"買い▲",IF(E103&lt;G103,"様子見▼","中立→")))</f>
        <v>様子見▼</v>
      </c>
      <c r="R103" s="166">
        <f>IF(E103&lt;&gt;"",ROUND(E103*1.08,0),"")</f>
        <v>10033</v>
      </c>
      <c r="S103" s="166">
        <f>IF(E103&lt;&gt;"",ROUND(E103*0.96,0),"")</f>
        <v>8918</v>
      </c>
      <c r="T103" s="163">
        <f>IF(C103="","",IFERROR(IF(O103&gt;=2,3,IF(O103&gt;=1.5,2,IF(O103&gt;=1,1,0)))+IF(E103&gt;G103,1,0)+IF(L103&gt;=-5,1,0)+IF(Q103="買い▲",2,0)+IF(W103&lt;=30,3,IF(W103&lt;=40,2,IF(AND(W103&gt;=40,W103&lt;=60),1,0)))+IF(X103&gt;0,1,0)+IF(V103="年初来高値更新●",3,IF(V103="高値圏",2,0))+IF(AD103="パーフェクト▲",3,IF(AD103="上昇トレンド▲",2,0))+IF(AE103="25日線押し目●",2,IF(AE103="5日線押し目○",1,0))+IF(P103="急増↑↑",2,IF(P103="増加↑",1,0))+N(AI103),0))</f>
        <v>1</v>
      </c>
      <c r="U103" s="163" t="str">
        <f>IF(T103="","",IF(AND(T103&gt;=3,O103&gt;=1.5),"有効",IF(T103&gt;=3,"要確認","除外")))</f>
        <v>除外</v>
      </c>
      <c r="V103" s="163" t="str">
        <f>IF(AND(H103&lt;&gt;"",K103&lt;&gt;""),IF(H103&gt;=K103,"年初来高値更新●",IF(H103&gt;=K103*0.95,"高値圏","通常")),"")</f>
        <v>通常</v>
      </c>
      <c r="W103" s="169">
        <f t="array" ref="W103">IF(C103&lt;&gt;"",IFERROR(100-100/(1+SUMPRODUCT((終値!F147:R147&gt;終値!G147:S147)*( 終値!F147:R147-終値!G147:S147))/SUMPRODUCT((終値!F147:R147&lt;終値!G147:S147)*(終値!G147:S147-終値!F147:R147))),50),"")</f>
        <v>45.194805194805191</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見送り</v>
      </c>
      <c r="Z103" s="171">
        <f>IF(AND(E103&lt;&gt;"",G103&lt;&gt;"",G103&lt;&gt;0),(E103-G103)/G103*100,"")</f>
        <v>-5.7809330628803242</v>
      </c>
      <c r="AA103" s="163" t="str">
        <f>IF(OR(C103="",E103="",E103=0),"",IF(E103&gt;G103,"上昇▲",IF(E103&lt;G103,"下落▼","横ばい→")))</f>
        <v>下落▼</v>
      </c>
      <c r="AB103" s="405">
        <f>IF(C103="","",IFERROR(((終値!E105*0.333)+(終値!F105*0.222)+(終値!G105*0.148)+(終値!H105*0.099)+(終値!I105*0.066)+(終値!J105*0.044)+(終値!K105*0.029)+(終値!L105*0.019)+(終値!M105*0.013)+(終値!N105*0.009))/(0.333+0.222+0.148+0.099+0.066+0.044+0.029+0.019+0.013+0.009),""))</f>
        <v>4050.0040733197557</v>
      </c>
      <c r="AC103" s="405">
        <f>IF(C103="","",IFERROR(SUMPRODUCT((終値!E105:AC105),({0.077,0.071,0.065,0.06,0.055,0.051,0.047,0.043,0.039,0.036,0.033,0.031,0.028,0.026,0.024,0.022,0.02,0.018,0.017,0.016,0.014,0.013,0.012,0.011,0.01}))/SUM({0.077,0.071,0.065,0.06,0.055,0.051,0.047,0.043,0.039,0.036,0.033,0.031,0.028,0.026,0.024,0.022,0.02,0.018,0.017,0.016,0.014,0.013,0.012,0.011,0.01}),""))</f>
        <v>4050.1418355184742</v>
      </c>
      <c r="AD103" s="406" t="str">
        <f>IF(OR(C103="",AB103="",AC103=""),"",IF(AND(E103&gt;AB103,AB103&gt;AC103),"パーフェクト▲",IF(E103&gt;AC103,"上昇トレンド▲",IF(AND(E103&lt;AB103,AB103&lt;AC103),"下降トレンド▼","もみ合い→"))))</f>
        <v>上昇トレンド▲</v>
      </c>
      <c r="AE103" s="406" t="str">
        <f>IF(OR(C103="",AB103="",AC103=""),"",IF(AND(ABS(E103-AC103)/AC103&lt;=0.02,E103&gt;AC103),"25日押し目★",IF(AND(ABS(E103-AB103)/AB103&lt;=0.01,E103&gt;AB103),"5日押し目○","なし")))</f>
        <v>なし</v>
      </c>
      <c r="AF103" s="365">
        <f t="array" ref="AF103">IF(C103="","",IFERROR((INDEX(終値!$E:$E,MATCH(TEXT(C103,"0"),終値!$A:$A,0))-INDEX(終値!$E:$CZ,MATCH(TEXT(C103,"0"),終値!$A:$A,0),$AL$2))/INDEX(終値!$E:$CZ,MATCH(TEXT(C103,"0"),終値!$A:$A,0),$AL$2)*100,""))</f>
        <v>-33.926031294452343</v>
      </c>
      <c r="AG103" s="365">
        <f t="array" ref="AG103">IFERROR((終値!$E$5-INDEX(終値!$E$5:$IT$5,1,$AL$2))/INDEX(終値!$E$5:$IT$5,1,$AL$2)*100,"")</f>
        <v>1.0179378228534113</v>
      </c>
      <c r="AH103" s="366">
        <f>IF(OR(AF103="",AG103=""),"",AF103-AG103)</f>
        <v>-34.943969117305755</v>
      </c>
      <c r="AI103" s="364">
        <f>IF(AH103="","",IF(AH103&gt;5,3,IF(AH103&gt;0,1,IF(AH103&gt;-3,-1,-2))))</f>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2018</v>
      </c>
      <c r="F104" s="166">
        <f>IF(C104&lt;&gt;"",_xll.RssMarket(C104,"始値"),"")</f>
        <v>2089</v>
      </c>
      <c r="G104" s="165">
        <f>IF(C104&lt;&gt;"",終値!F128,"")</f>
        <v>2105</v>
      </c>
      <c r="H104" s="166">
        <f>IF(C104&lt;&gt;"",_xll.RssMarket(C104,"高値"),"")</f>
        <v>2116</v>
      </c>
      <c r="I104" s="166">
        <f>IF(C104&lt;&gt;"",_xll.RssMarket(C104,"安値"),"")</f>
        <v>2002</v>
      </c>
      <c r="J104" s="166">
        <f>IF(C104&lt;&gt;"",_xll.RssMarket(C104,"出来高"),"")</f>
        <v>1312000</v>
      </c>
      <c r="K104" s="166">
        <f>IF(C104&lt;&gt;"",_xll.RssMarket(C104,"年初来高値"),"")</f>
        <v>8760</v>
      </c>
      <c r="L104" s="167">
        <f>IF(AND(E104&lt;&gt;"",K104&lt;&gt;"",K104&lt;&gt;0),(E104-K104)/K104*100,"")</f>
        <v>-76.963470319634709</v>
      </c>
      <c r="M104" s="166">
        <f>IF(C104&lt;&gt;"",IFERROR(AVERAGE(出来高!E128:I128),""),"")</f>
        <v>1592960</v>
      </c>
      <c r="N104" s="166">
        <f>IF(C104&lt;&gt;"",IFERROR(AVERAGE(出来高!E128:AC128),""),"")</f>
        <v>1896187.5</v>
      </c>
      <c r="O104" s="168">
        <f>IF(AND(J104&lt;&gt;"",M104&lt;&gt;"",M104&lt;&gt;0),J104/M104,"")</f>
        <v>0.82362394535958217</v>
      </c>
      <c r="P104" s="163" t="str">
        <f>IF(O104="","",IF(O104&gt;=2,"急増↑↑",IF(O104&gt;=1.5,"増加↑",IF(O104&gt;=1,"普通→","減少↓"))))</f>
        <v>減少↓</v>
      </c>
      <c r="Q104" s="163" t="str">
        <f>IF(E104="","",IF(AND(E104&gt;G104,O104&gt;=1.5),"買い▲",IF(E104&lt;G104,"様子見▼","中立→")))</f>
        <v>様子見▼</v>
      </c>
      <c r="R104" s="166">
        <f>IF(E104&lt;&gt;"",ROUND(E104*1.08,0),"")</f>
        <v>2179</v>
      </c>
      <c r="S104" s="166">
        <f>IF(E104&lt;&gt;"",ROUND(E104*0.96,0),"")</f>
        <v>1937</v>
      </c>
      <c r="T104" s="163">
        <f>IF(C104="","",IFERROR(IF(O104&gt;=2,3,IF(O104&gt;=1.5,2,IF(O104&gt;=1,1,0)))+IF(E104&gt;G104,1,0)+IF(L104&gt;=-5,1,0)+IF(Q104="買い▲",2,0)+IF(W104&lt;=30,3,IF(W104&lt;=40,2,IF(AND(W104&gt;=40,W104&lt;=60),1,0)))+IF(X104&gt;0,1,0)+IF(V104="年初来高値更新●",3,IF(V104="高値圏",2,0))+IF(AD104="パーフェクト▲",3,IF(AD104="上昇トレンド▲",2,0))+IF(AE104="25日線押し目●",2,IF(AE104="5日線押し目○",1,0))+IF(P104="急増↑↑",2,IF(P104="増加↑",1,0))+N(AI104),0))</f>
        <v>5</v>
      </c>
      <c r="U104" s="163" t="str">
        <f>IF(T104="","",IF(AND(T104&gt;=3,O104&gt;=1.5),"有効",IF(T104&gt;=3,"要確認","除外")))</f>
        <v>要確認</v>
      </c>
      <c r="V104" s="163" t="str">
        <f>IF(AND(H104&lt;&gt;"",K104&lt;&gt;""),IF(H104&gt;=K104,"年初来高値更新●",IF(H104&gt;=K104*0.95,"高値圏","通常")),"")</f>
        <v>通常</v>
      </c>
      <c r="W104" s="169">
        <f t="array" ref="W104">IF(C104&lt;&gt;"",IFERROR(100-100/(1+SUMPRODUCT((終値!F128:R128&gt;終値!G128:S128)*( 終値!F128:R128-終値!G128:S128))/SUMPRODUCT((終値!F128:R128&lt;終値!G128:S128)*(終値!G128:S128-終値!F128:R128))),50),"")</f>
        <v>51.526326572423685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様子見</v>
      </c>
      <c r="Z104" s="171">
        <f>IF(AND(E104&lt;&gt;"",G104&lt;&gt;"",G104&lt;&gt;0),(E104-G104)/G104*100,"")</f>
        <v>-4.1330166270783852</v>
      </c>
      <c r="AA104" s="163" t="str">
        <f>IF(OR(C104="",E104="",E104=0),"",IF(E104&gt;G104,"上昇▲",IF(E104&lt;G104,"下落▼","横ばい→")))</f>
        <v>下落▼</v>
      </c>
      <c r="AB104" s="403">
        <f>IF(C104="","",IFERROR(((終値!E106*0.333)+(終値!F106*0.222)+(終値!G106*0.148)+(終値!H106*0.099)+(終値!I106*0.066)+(終値!J106*0.044)+(終値!K106*0.029)+(終値!L106*0.019)+(終値!M106*0.013)+(終値!N106*0.009))/(0.333+0.222+0.148+0.099+0.066+0.044+0.029+0.019+0.013+0.009),""))</f>
        <v>2051.2881873727088</v>
      </c>
      <c r="AC104" s="403">
        <f>IF(C104="","",IFERROR(SUMPRODUCT((終値!E106:AC106),({0.077,0.071,0.065,0.06,0.055,0.051,0.047,0.043,0.039,0.036,0.033,0.031,0.028,0.026,0.024,0.022,0.02,0.018,0.017,0.016,0.014,0.013,0.012,0.011,0.01}))/SUM({0.077,0.071,0.065,0.06,0.055,0.051,0.047,0.043,0.039,0.036,0.033,0.031,0.028,0.026,0.024,0.022,0.02,0.018,0.017,0.016,0.014,0.013,0.012,0.011,0.01}),""))</f>
        <v>1961.8200238379011</v>
      </c>
      <c r="AD104" s="404" t="str">
        <f>IF(OR(C104="",AB104="",AC104=""),"",IF(AND(E104&gt;AB104,AB104&gt;AC104),"パーフェクト▲",IF(E104&gt;AC104,"上昇トレンド▲",IF(AND(E104&lt;AB104,AB104&lt;AC104),"下降トレンド▼","もみ合い→"))))</f>
        <v>上昇トレンド▲</v>
      </c>
      <c r="AE104" s="404" t="str">
        <f>IF(OR(C104="",AB104="",AC104=""),"",IF(AND(ABS(E104-AC104)/AC104&lt;=0.02,E104&gt;AC104),"25日押し目★",IF(AND(ABS(E104-AB104)/AB104&lt;=0.01,E104&gt;AB104),"5日押し目○","なし")))</f>
        <v>なし</v>
      </c>
      <c r="AF104" s="365">
        <f t="array" ref="AF104">IF(C104="","",IFERROR((INDEX(終値!$E:$E,MATCH(TEXT(C104,"0"),終値!$A:$A,0))-INDEX(終値!$E:$CZ,MATCH(TEXT(C104,"0"),終値!$A:$A,0),$AL$2))/INDEX(終値!$E:$CZ,MATCH(TEXT(C104,"0"),終値!$A:$A,0),$AL$2)*100,""))</f>
        <v>4.1279669762641902</v>
      </c>
      <c r="AG104" s="365">
        <f t="array" ref="AG104">IFERROR((終値!$E$5-INDEX(終値!$E$5:$IT$5,1,$AL$2))/INDEX(終値!$E$5:$IT$5,1,$AL$2)*100,"")</f>
        <v>1.0179378228534113</v>
      </c>
      <c r="AH104" s="366">
        <f>IF(OR(AF104="",AG104=""),"",AF104-AG104)</f>
        <v>3.1100291534107791</v>
      </c>
      <c r="AI104" s="364">
        <f>IF(AH104="","",IF(AH104&gt;5,3,IF(AH104&gt;0,1,IF(AH104&gt;-3,-1,-2))))</f>
        <v>1</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3350</v>
      </c>
      <c r="F105" s="166">
        <f>IF(C105&lt;&gt;"",_xll.RssMarket(C105,"始値"),"")</f>
        <v>3220</v>
      </c>
      <c r="G105" s="165">
        <f>IF(C105&lt;&gt;"",終値!F133,"")</f>
        <v>3380</v>
      </c>
      <c r="H105" s="166">
        <f>IF(C105&lt;&gt;"",_xll.RssMarket(C105,"高値"),"")</f>
        <v>3375</v>
      </c>
      <c r="I105" s="166">
        <f>IF(C105&lt;&gt;"",_xll.RssMarket(C105,"安値"),"")</f>
        <v>3145</v>
      </c>
      <c r="J105" s="166">
        <f>IF(C105&lt;&gt;"",_xll.RssMarket(C105,"出来高"),"")</f>
        <v>447400</v>
      </c>
      <c r="K105" s="166">
        <f>IF(C105&lt;&gt;"",_xll.RssMarket(C105,"年初来高値"),"")</f>
        <v>9480</v>
      </c>
      <c r="L105" s="167">
        <f>IF(AND(E105&lt;&gt;"",K105&lt;&gt;"",K105&lt;&gt;0),(E105-K105)/K105*100,"")</f>
        <v>-64.662447257383974</v>
      </c>
      <c r="M105" s="166">
        <f>IF(C105&lt;&gt;"",IFERROR(AVERAGE(出来高!E133:I133),""),"")</f>
        <v>727700</v>
      </c>
      <c r="N105" s="166">
        <f>IF(C105&lt;&gt;"",IFERROR(AVERAGE(出来高!E133:AC133),""),"")</f>
        <v>867991.66666666663</v>
      </c>
      <c r="O105" s="168">
        <f>IF(AND(J105&lt;&gt;"",M105&lt;&gt;"",M105&lt;&gt;0),J105/M105,"")</f>
        <v>0.61481379689432458</v>
      </c>
      <c r="P105" s="163" t="str">
        <f>IF(O105="","",IF(O105&gt;=2,"急増↑↑",IF(O105&gt;=1.5,"増加↑",IF(O105&gt;=1,"普通→","減少↓"))))</f>
        <v>減少↓</v>
      </c>
      <c r="Q105" s="163" t="str">
        <f>IF(E105="","",IF(AND(E105&gt;G105,O105&gt;=1.5),"買い▲",IF(E105&lt;G105,"様子見▼","中立→")))</f>
        <v>様子見▼</v>
      </c>
      <c r="R105" s="166">
        <f>IF(E105&lt;&gt;"",ROUND(E105*1.08,0),"")</f>
        <v>3618</v>
      </c>
      <c r="S105" s="166">
        <f>IF(E105&lt;&gt;"",ROUND(E105*0.96,0),"")</f>
        <v>3216</v>
      </c>
      <c r="T105" s="163">
        <f>IF(C105="","",IFERROR(IF(O105&gt;=2,3,IF(O105&gt;=1.5,2,IF(O105&gt;=1,1,0)))+IF(E105&gt;G105,1,0)+IF(L105&gt;=-5,1,0)+IF(Q105="買い▲",2,0)+IF(W105&lt;=30,3,IF(W105&lt;=40,2,IF(AND(W105&gt;=40,W105&lt;=60),1,0)))+IF(X105&gt;0,1,0)+IF(V105="年初来高値更新●",3,IF(V105="高値圏",2,0))+IF(AD105="パーフェクト▲",3,IF(AD105="上昇トレンド▲",2,0))+IF(AE105="25日線押し目●",2,IF(AE105="5日線押し目○",1,0))+IF(P105="急増↑↑",2,IF(P105="増加↑",1,0))+N(AI105),0))</f>
        <v>-1</v>
      </c>
      <c r="U105" s="163" t="str">
        <f>IF(T105="","",IF(AND(T105&gt;=3,O105&gt;=1.5),"有効",IF(T105&gt;=3,"要確認","除外")))</f>
        <v>除外</v>
      </c>
      <c r="V105" s="163" t="str">
        <f>IF(AND(H105&lt;&gt;"",K105&lt;&gt;""),IF(H105&gt;=K105,"年初来高値更新●",IF(H105&gt;=K105*0.95,"高値圏","通常")),"")</f>
        <v>通常</v>
      </c>
      <c r="W105" s="169">
        <f t="array" ref="W105">IF(C105&lt;&gt;"",IFERROR(100-100/(1+SUMPRODUCT((終値!F133:R133&gt;終値!G133:S133)*( 終値!F133:R133-終値!G133:S133))/SUMPRODUCT((終値!F133:R133&lt;終値!G133:S133)*(終値!G133:S133-終値!F133:R133))),50),"")</f>
        <v>41.506646971935005</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見送り</v>
      </c>
      <c r="Z105" s="171">
        <f>IF(AND(E105&lt;&gt;"",G105&lt;&gt;"",G105&lt;&gt;0),(E105-G105)/G105*100,"")</f>
        <v>-0.8875739644970414</v>
      </c>
      <c r="AA105" s="163" t="str">
        <f>IF(OR(C105="",E105="",E105=0),"",IF(E105&gt;G105,"上昇▲",IF(E105&lt;G105,"下落▼","横ばい→")))</f>
        <v>下落▼</v>
      </c>
      <c r="AB105" s="405">
        <f>IF(C105="","",IFERROR(((終値!E107*0.333)+(終値!F107*0.222)+(終値!G107*0.148)+(終値!H107*0.099)+(終値!I107*0.066)+(終値!J107*0.044)+(終値!K107*0.029)+(終値!L107*0.019)+(終値!M107*0.013)+(終値!N107*0.009))/(0.333+0.222+0.148+0.099+0.066+0.044+0.029+0.019+0.013+0.009),""))</f>
        <v>17790.030549898158</v>
      </c>
      <c r="AC105" s="405">
        <f>IF(C105="","",IFERROR(SUMPRODUCT((終値!E107:AC107),({0.077,0.071,0.065,0.06,0.055,0.051,0.047,0.043,0.039,0.036,0.033,0.031,0.028,0.026,0.024,0.022,0.02,0.018,0.017,0.016,0.014,0.013,0.012,0.011,0.01}))/SUM({0.077,0.071,0.065,0.06,0.055,0.051,0.047,0.043,0.039,0.036,0.033,0.031,0.028,0.026,0.024,0.022,0.02,0.018,0.017,0.016,0.014,0.013,0.012,0.011,0.01}),""))</f>
        <v>17650.42908224076</v>
      </c>
      <c r="AD105" s="406" t="str">
        <f>IF(OR(C105="",AB105="",AC105=""),"",IF(AND(E105&gt;AB105,AB105&gt;AC105),"パーフェクト▲",IF(E105&gt;AC105,"上昇トレンド▲",IF(AND(E105&lt;AB105,AB105&lt;AC105),"下降トレンド▼","もみ合い→"))))</f>
        <v>もみ合い→</v>
      </c>
      <c r="AE105" s="406" t="str">
        <f>IF(OR(C105="",AB105="",AC105=""),"",IF(AND(ABS(E105-AC105)/AC105&lt;=0.02,E105&gt;AC105),"25日押し目★",IF(AND(ABS(E105-AB105)/AB105&lt;=0.01,E105&gt;AB105),"5日押し目○","なし")))</f>
        <v>なし</v>
      </c>
      <c r="AF105" s="365">
        <f t="array" ref="AF105">IF(C105="","",IFERROR((INDEX(終値!$E:$E,MATCH(TEXT(C105,"0"),終値!$A:$A,0))-INDEX(終値!$E:$CZ,MATCH(TEXT(C105,"0"),終値!$A:$A,0),$AL$2))/INDEX(終値!$E:$CZ,MATCH(TEXT(C105,"0"),終値!$A:$A,0),$AL$2)*100,""))</f>
        <v>-59.589867310012067</v>
      </c>
      <c r="AG105" s="365">
        <f t="array" ref="AG105">IFERROR((終値!$E$5-INDEX(終値!$E$5:$IT$5,1,$AL$2))/INDEX(終値!$E$5:$IT$5,1,$AL$2)*100,"")</f>
        <v>1.0179378228534113</v>
      </c>
      <c r="AH105" s="366">
        <f>IF(OR(AF105="",AG105=""),"",AF105-AG105)</f>
        <v>-60.607805132865479</v>
      </c>
      <c r="AI105" s="364">
        <f>IF(AH105="","",IF(AH105&gt;5,3,IF(AH105&gt;0,1,IF(AH105&gt;-3,-1,-2))))</f>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4165</v>
      </c>
      <c r="F106" s="166">
        <f>IF(C106&lt;&gt;"",_xll.RssMarket(C106,"始値"),"")</f>
        <v>4293</v>
      </c>
      <c r="G106" s="165">
        <f>IF(C106&lt;&gt;"",終値!F90,"")</f>
        <v>4498</v>
      </c>
      <c r="H106" s="166">
        <f>IF(C106&lt;&gt;"",_xll.RssMarket(C106,"高値"),"")</f>
        <v>4348</v>
      </c>
      <c r="I106" s="166">
        <f>IF(C106&lt;&gt;"",_xll.RssMarket(C106,"安値"),"")</f>
        <v>4069</v>
      </c>
      <c r="J106" s="166">
        <f>IF(C106&lt;&gt;"",_xll.RssMarket(C106,"出来高"),"")</f>
        <v>1988400</v>
      </c>
      <c r="K106" s="166">
        <f>IF(C106&lt;&gt;"",_xll.RssMarket(C106,"年初来高値"),"")</f>
        <v>5199</v>
      </c>
      <c r="L106" s="167">
        <f>IF(AND(E106&lt;&gt;"",K106&lt;&gt;"",K106&lt;&gt;0),(E106-K106)/K106*100,"")</f>
        <v>-19.888440084631657</v>
      </c>
      <c r="M106" s="166">
        <f>IF(C106&lt;&gt;"",IFERROR(AVERAGE(出来高!E90:I90),""),"")</f>
        <v>3380340</v>
      </c>
      <c r="N106" s="166">
        <f>IF(C106&lt;&gt;"",IFERROR(AVERAGE(出来高!E90:AC90),""),"")</f>
        <v>3331148</v>
      </c>
      <c r="O106" s="168">
        <f>IF(AND(J106&lt;&gt;"",M106&lt;&gt;"",M106&lt;&gt;0),J106/M106,"")</f>
        <v>0.5882248531212837</v>
      </c>
      <c r="P106" s="163" t="str">
        <f>IF(O106="","",IF(O106&gt;=2,"急増↑↑",IF(O106&gt;=1.5,"増加↑",IF(O106&gt;=1,"普通→","減少↓"))))</f>
        <v>減少↓</v>
      </c>
      <c r="Q106" s="163" t="str">
        <f>IF(E106="","",IF(AND(E106&gt;G106,O106&gt;=1.5),"買い▲",IF(E106&lt;G106,"様子見▼","中立→")))</f>
        <v>様子見▼</v>
      </c>
      <c r="R106" s="166">
        <f>IF(E106&lt;&gt;"",ROUND(E106*1.08,0),"")</f>
        <v>4498</v>
      </c>
      <c r="S106" s="166">
        <f>IF(E106&lt;&gt;"",ROUND(E106*0.96,0),"")</f>
        <v>3998</v>
      </c>
      <c r="T106" s="163">
        <f>IF(C106="","",IFERROR(IF(O106&gt;=2,3,IF(O106&gt;=1.5,2,IF(O106&gt;=1,1,0)))+IF(E106&gt;G106,1,0)+IF(L106&gt;=-5,1,0)+IF(Q106="買い▲",2,0)+IF(W106&lt;=30,3,IF(W106&lt;=40,2,IF(AND(W106&gt;=40,W106&lt;=60),1,0)))+IF(X106&gt;0,1,0)+IF(V106="年初来高値更新●",3,IF(V106="高値圏",2,0))+IF(AD106="パーフェクト▲",3,IF(AD106="上昇トレンド▲",2,0))+IF(AE106="25日線押し目●",2,IF(AE106="5日線押し目○",1,0))+IF(P106="急増↑↑",2,IF(P106="増加↑",1,0))+N(AI106),0))</f>
        <v>-1</v>
      </c>
      <c r="U106" s="163" t="str">
        <f>IF(T106="","",IF(AND(T106&gt;=3,O106&gt;=1.5),"有効",IF(T106&gt;=3,"要確認","除外")))</f>
        <v>除外</v>
      </c>
      <c r="V106" s="163" t="str">
        <f>IF(AND(H106&lt;&gt;"",K106&lt;&gt;""),IF(H106&gt;=K106,"年初来高値更新●",IF(H106&gt;=K106*0.95,"高値圏","通常")),"")</f>
        <v>通常</v>
      </c>
      <c r="W106" s="169">
        <f t="array" ref="W106">IF(C106&lt;&gt;"",IFERROR(100-100/(1+SUMPRODUCT((終値!F90:R90&gt;終値!G90:S90)*( 終値!F90:R90-終値!G90:S90))/SUMPRODUCT((終値!F90:R90&lt;終値!G90:S90)*(終値!G90:S90-終値!F90:R90))),50),"")</f>
        <v>43.483275663206463</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見送り</v>
      </c>
      <c r="Z106" s="171">
        <f>IF(AND(E106&lt;&gt;"",G106&lt;&gt;"",G106&lt;&gt;0),(E106-G106)/G106*100,"")</f>
        <v>-7.4032903512672306</v>
      </c>
      <c r="AA106" s="163" t="str">
        <f>IF(OR(C106="",E106="",E106=0),"",IF(E106&gt;G106,"上昇▲",IF(E106&lt;G106,"下落▼","横ばい→")))</f>
        <v>下落▼</v>
      </c>
      <c r="AB106" s="403">
        <f>IF(C106="","",IFERROR(((終値!E108*0.333)+(終値!F108*0.222)+(終値!G108*0.148)+(終値!H108*0.099)+(終値!I108*0.066)+(終値!J108*0.044)+(終値!K108*0.029)+(終値!L108*0.019)+(終値!M108*0.013)+(終値!N108*0.009))/(0.333+0.222+0.148+0.099+0.066+0.044+0.029+0.019+0.013+0.009),""))</f>
        <v>4423.1425661914454</v>
      </c>
      <c r="AC106" s="403">
        <f>IF(C106="","",IFERROR(SUMPRODUCT((終値!E108:AC108),({0.077,0.071,0.065,0.06,0.055,0.051,0.047,0.043,0.039,0.036,0.033,0.031,0.028,0.026,0.024,0.022,0.02,0.018,0.017,0.016,0.014,0.013,0.012,0.011,0.01}))/SUM({0.077,0.071,0.065,0.06,0.055,0.051,0.047,0.043,0.039,0.036,0.033,0.031,0.028,0.026,0.024,0.022,0.02,0.018,0.017,0.016,0.014,0.013,0.012,0.011,0.01}),""))</f>
        <v>4413.1275327771136</v>
      </c>
      <c r="AD106" s="404" t="str">
        <f>IF(OR(C106="",AB106="",AC106=""),"",IF(AND(E106&gt;AB106,AB106&gt;AC106),"パーフェクト▲",IF(E106&gt;AC106,"上昇トレンド▲",IF(AND(E106&lt;AB106,AB106&lt;AC106),"下降トレンド▼","もみ合い→"))))</f>
        <v>もみ合い→</v>
      </c>
      <c r="AE106" s="404" t="str">
        <f>IF(OR(C106="",AB106="",AC106=""),"",IF(AND(ABS(E106-AC106)/AC106&lt;=0.02,E106&gt;AC106),"25日押し目★",IF(AND(ABS(E106-AB106)/AB106&lt;=0.01,E106&gt;AB106),"5日押し目○","なし")))</f>
        <v>なし</v>
      </c>
      <c r="AF106" s="365">
        <f t="array" ref="AF106">IF(C106="","",IFERROR((INDEX(終値!$E:$E,MATCH(TEXT(C106,"0"),終値!$A:$A,0))-INDEX(終値!$E:$CZ,MATCH(TEXT(C106,"0"),終値!$A:$A,0),$AL$2))/INDEX(終値!$E:$CZ,MATCH(TEXT(C106,"0"),終値!$A:$A,0),$AL$2)*100,""))</f>
        <v>-18.011811023622048</v>
      </c>
      <c r="AG106" s="365">
        <f t="array" ref="AG106">IFERROR((終値!$E$5-INDEX(終値!$E$5:$IT$5,1,$AL$2))/INDEX(終値!$E$5:$IT$5,1,$AL$2)*100,"")</f>
        <v>1.0179378228534113</v>
      </c>
      <c r="AH106" s="366">
        <f>IF(OR(AF106="",AG106=""),"",AF106-AG106)</f>
        <v>-19.02974884647546</v>
      </c>
      <c r="AI106" s="364">
        <f>IF(AH106="","",IF(AH106&gt;5,3,IF(AH106&gt;0,1,IF(AH106&gt;-3,-1,-2))))</f>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5637</v>
      </c>
      <c r="F107" s="166">
        <f>IF(C107&lt;&gt;"",_xll.RssMarket(C107,"始値"),"")</f>
        <v>5422</v>
      </c>
      <c r="G107" s="165">
        <f>IF(C107&lt;&gt;"",終値!F203,"")</f>
        <v>5481</v>
      </c>
      <c r="H107" s="166">
        <f>IF(C107&lt;&gt;"",_xll.RssMarket(C107,"高値"),"")</f>
        <v>5652</v>
      </c>
      <c r="I107" s="166">
        <f>IF(C107&lt;&gt;"",_xll.RssMarket(C107,"安値"),"")</f>
        <v>5406</v>
      </c>
      <c r="J107" s="166">
        <f>IF(C107&lt;&gt;"",_xll.RssMarket(C107,"出来高"),"")</f>
        <v>1146400</v>
      </c>
      <c r="K107" s="166">
        <f>IF(C107&lt;&gt;"",_xll.RssMarket(C107,"年初来高値"),"")</f>
        <v>7225</v>
      </c>
      <c r="L107" s="167">
        <f>IF(AND(E107&lt;&gt;"",K107&lt;&gt;"",K107&lt;&gt;0),(E107-K107)/K107*100,"")</f>
        <v>-21.979238754325259</v>
      </c>
      <c r="M107" s="166">
        <f>IF(C107&lt;&gt;"",IFERROR(AVERAGE(出来高!E203:I203),""),"")</f>
        <v>2126040</v>
      </c>
      <c r="N107" s="166">
        <f>IF(C107&lt;&gt;"",IFERROR(AVERAGE(出来高!E203:AC203),""),"")</f>
        <v>1188620</v>
      </c>
      <c r="O107" s="168">
        <f>IF(AND(J107&lt;&gt;"",M107&lt;&gt;"",M107&lt;&gt;0),J107/M107,"")</f>
        <v>0.53921845308648941</v>
      </c>
      <c r="P107" s="163" t="str">
        <f>IF(O107="","",IF(O107&gt;=2,"急増↑↑",IF(O107&gt;=1.5,"増加↑",IF(O107&gt;=1,"普通→","減少↓"))))</f>
        <v>減少↓</v>
      </c>
      <c r="Q107" s="163" t="str">
        <f>IF(E107="","",IF(AND(E107&gt;G107,O107&gt;=1.5),"買い▲",IF(E107&lt;G107,"様子見▼","中立→")))</f>
        <v>中立→</v>
      </c>
      <c r="R107" s="166">
        <f>IF(E107&lt;&gt;"",ROUND(E107*1.08,0),"")</f>
        <v>6088</v>
      </c>
      <c r="S107" s="166">
        <f>IF(E107&lt;&gt;"",ROUND(E107*0.96,0),"")</f>
        <v>5412</v>
      </c>
      <c r="T107" s="163">
        <f>IF(C107="","",IFERROR(IF(O107&gt;=2,3,IF(O107&gt;=1.5,2,IF(O107&gt;=1,1,0)))+IF(E107&gt;G107,1,0)+IF(L107&gt;=-5,1,0)+IF(Q107="買い▲",2,0)+IF(W107&lt;=30,3,IF(W107&lt;=40,2,IF(AND(W107&gt;=40,W107&lt;=60),1,0)))+IF(X107&gt;0,1,0)+IF(V107="年初来高値更新●",3,IF(V107="高値圏",2,0))+IF(AD107="パーフェクト▲",3,IF(AD107="上昇トレンド▲",2,0))+IF(AE107="25日線押し目●",2,IF(AE107="5日線押し目○",1,0))+IF(P107="急増↑↑",2,IF(P107="増加↑",1,0))+N(AI107),0))</f>
        <v>8</v>
      </c>
      <c r="U107" s="163" t="str">
        <f>IF(T107="","",IF(AND(T107&gt;=3,O107&gt;=1.5),"有効",IF(T107&gt;=3,"要確認","除外")))</f>
        <v>要確認</v>
      </c>
      <c r="V107" s="163" t="str">
        <f>IF(AND(H107&lt;&gt;"",K107&lt;&gt;""),IF(H107&gt;=K107,"年初来高値更新●",IF(H107&gt;=K107*0.95,"高値圏","通常")),"")</f>
        <v>通常</v>
      </c>
      <c r="W107" s="169">
        <f t="array" ref="W107">IF(C107&lt;&gt;"",IFERROR(100-100/(1+SUMPRODUCT((終値!F203:R203&gt;終値!G203:S203)*( 終値!F203:R203-終値!G203:S203))/SUMPRODUCT((終値!F203:R203&lt;終値!G203:S203)*(終値!G203:S203-終値!F203:R203))),50),"")</f>
        <v>56.270270270270274</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△注目</v>
      </c>
      <c r="Z107" s="171">
        <f>IF(AND(E107&lt;&gt;"",G107&lt;&gt;"",G107&lt;&gt;0),(E107-G107)/G107*100,"")</f>
        <v>2.8461959496442253</v>
      </c>
      <c r="AA107" s="163" t="str">
        <f>IF(OR(C107="",E107="",E107=0),"",IF(E107&gt;G107,"上昇▲",IF(E107&lt;G107,"下落▼","横ばい→")))</f>
        <v>上昇▲</v>
      </c>
      <c r="AB107" s="405">
        <f>IF(C107="","",IFERROR(((終値!E109*0.333)+(終値!F109*0.222)+(終値!G109*0.148)+(終値!H109*0.099)+(終値!I109*0.066)+(終値!J109*0.044)+(終値!K109*0.029)+(終値!L109*0.019)+(終値!M109*0.013)+(終値!N109*0.009))/(0.333+0.222+0.148+0.099+0.066+0.044+0.029+0.019+0.013+0.009),""))</f>
        <v>3474.2179226069243</v>
      </c>
      <c r="AC107" s="405">
        <f>IF(C107="","",IFERROR(SUMPRODUCT((終値!E109:AC109),({0.077,0.071,0.065,0.06,0.055,0.051,0.047,0.043,0.039,0.036,0.033,0.031,0.028,0.026,0.024,0.022,0.02,0.018,0.017,0.016,0.014,0.013,0.012,0.011,0.01}))/SUM({0.077,0.071,0.065,0.06,0.055,0.051,0.047,0.043,0.039,0.036,0.033,0.031,0.028,0.026,0.024,0.022,0.02,0.018,0.017,0.016,0.014,0.013,0.012,0.011,0.01}),""))</f>
        <v>3577.2336114421905</v>
      </c>
      <c r="AD107" s="406" t="str">
        <f>IF(OR(C107="",AB107="",AC107=""),"",IF(AND(E107&gt;AB107,AB107&gt;AC107),"パーフェクト▲",IF(E107&gt;AC107,"上昇トレンド▲",IF(AND(E107&lt;AB107,AB107&lt;AC107),"下降トレンド▼","もみ合い→"))))</f>
        <v>上昇トレンド▲</v>
      </c>
      <c r="AE107" s="406" t="str">
        <f>IF(OR(C107="",AB107="",AC107=""),"",IF(AND(ABS(E107-AC107)/AC107&lt;=0.02,E107&gt;AC107),"25日押し目★",IF(AND(ABS(E107-AB107)/AB107&lt;=0.01,E107&gt;AB107),"5日押し目○","なし")))</f>
        <v>なし</v>
      </c>
      <c r="AF107" s="365">
        <f t="array" ref="AF107">IF(C107="","",IFERROR((INDEX(終値!$E:$E,MATCH(TEXT(C107,"0"),終値!$A:$A,0))-INDEX(終値!$E:$CZ,MATCH(TEXT(C107,"0"),終値!$A:$A,0),$AL$2))/INDEX(終値!$E:$CZ,MATCH(TEXT(C107,"0"),終値!$A:$A,0),$AL$2)*100,""))</f>
        <v>8.278908951210143</v>
      </c>
      <c r="AG107" s="365">
        <f t="array" ref="AG107">IFERROR((終値!$E$5-INDEX(終値!$E$5:$IT$5,1,$AL$2))/INDEX(終値!$E$5:$IT$5,1,$AL$2)*100,"")</f>
        <v>1.0179378228534113</v>
      </c>
      <c r="AH107" s="366">
        <f>IF(OR(AF107="",AG107=""),"",AF107-AG107)</f>
        <v>7.260971128356732</v>
      </c>
      <c r="AI107" s="364">
        <f>IF(AH107="","",IF(AH107&gt;5,3,IF(AH107&gt;0,1,IF(AH107&gt;-3,-1,-2))))</f>
        <v>3</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4415</v>
      </c>
      <c r="F108" s="166">
        <f>IF(C108&lt;&gt;"",_xll.RssMarket(C108,"始値"),"")</f>
        <v>4535</v>
      </c>
      <c r="G108" s="165">
        <f>IF(C108&lt;&gt;"",終値!F30,"")</f>
        <v>4605</v>
      </c>
      <c r="H108" s="166">
        <f>IF(C108&lt;&gt;"",_xll.RssMarket(C108,"高値"),"")</f>
        <v>4610</v>
      </c>
      <c r="I108" s="166">
        <f>IF(C108&lt;&gt;"",_xll.RssMarket(C108,"安値"),"")</f>
        <v>4390</v>
      </c>
      <c r="J108" s="166">
        <f>IF(C108&lt;&gt;"",_xll.RssMarket(C108,"出来高"),"")</f>
        <v>749500</v>
      </c>
      <c r="K108" s="166">
        <f>IF(C108&lt;&gt;"",_xll.RssMarket(C108,"年初来高値"),"")</f>
        <v>5500</v>
      </c>
      <c r="L108" s="167">
        <f>IF(AND(E108&lt;&gt;"",K108&lt;&gt;"",K108&lt;&gt;0),(E108-K108)/K108*100,"")</f>
        <v>-19.727272727272727</v>
      </c>
      <c r="M108" s="166">
        <f>IF(C108&lt;&gt;"",IFERROR(AVERAGE(出来高!E30:I30),""),"")</f>
        <v>1065840</v>
      </c>
      <c r="N108" s="166">
        <f>IF(C108&lt;&gt;"",IFERROR(AVERAGE(出来高!E30:AC30),""),"")</f>
        <v>926276</v>
      </c>
      <c r="O108" s="168">
        <f>IF(AND(J108&lt;&gt;"",M108&lt;&gt;"",M108&lt;&gt;0),J108/M108,"")</f>
        <v>0.70320123095398934</v>
      </c>
      <c r="P108" s="163" t="str">
        <f>IF(O108="","",IF(O108&gt;=2,"急増↑↑",IF(O108&gt;=1.5,"増加↑",IF(O108&gt;=1,"普通→","減少↓"))))</f>
        <v>減少↓</v>
      </c>
      <c r="Q108" s="163" t="str">
        <f>IF(E108="","",IF(AND(E108&gt;G108,O108&gt;=1.5),"買い▲",IF(E108&lt;G108,"様子見▼","中立→")))</f>
        <v>様子見▼</v>
      </c>
      <c r="R108" s="166">
        <f>IF(E108&lt;&gt;"",ROUND(E108*1.08,0),"")</f>
        <v>4768</v>
      </c>
      <c r="S108" s="166">
        <f>IF(E108&lt;&gt;"",ROUND(E108*0.96,0),"")</f>
        <v>4238</v>
      </c>
      <c r="T108" s="163">
        <f>IF(C108="","",IFERROR(IF(O108&gt;=2,3,IF(O108&gt;=1.5,2,IF(O108&gt;=1,1,0)))+IF(E108&gt;G108,1,0)+IF(L108&gt;=-5,1,0)+IF(Q108="買い▲",2,0)+IF(W108&lt;=30,3,IF(W108&lt;=40,2,IF(AND(W108&gt;=40,W108&lt;=60),1,0)))+IF(X108&gt;0,1,0)+IF(V108="年初来高値更新●",3,IF(V108="高値圏",2,0))+IF(AD108="パーフェクト▲",3,IF(AD108="上昇トレンド▲",2,0))+IF(AE108="25日線押し目●",2,IF(AE108="5日線押し目○",1,0))+IF(P108="急増↑↑",2,IF(P108="増加↑",1,0))+N(AI108),0))</f>
        <v>2</v>
      </c>
      <c r="U108" s="163" t="str">
        <f>IF(T108="","",IF(AND(T108&gt;=3,O108&gt;=1.5),"有効",IF(T108&gt;=3,"要確認","除外")))</f>
        <v>除外</v>
      </c>
      <c r="V108" s="163" t="str">
        <f>IF(AND(H108&lt;&gt;"",K108&lt;&gt;""),IF(H108&gt;=K108,"年初来高値更新●",IF(H108&gt;=K108*0.95,"高値圏","通常")),"")</f>
        <v>通常</v>
      </c>
      <c r="W108" s="169">
        <f t="array" ref="W108">IF(C108&lt;&gt;"",IFERROR(100-100/(1+SUMPRODUCT((終値!F30:R30&gt;終値!G30:S30)*( 終値!F30:R30-終値!G30:S30))/SUMPRODUCT((終値!F30:R30&lt;終値!G30:S30)*(終値!G30:S30-終値!F30:R30))),50),"")</f>
        <v>53.48101265822784</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見送り</v>
      </c>
      <c r="Z108" s="171">
        <f>IF(AND(E108&lt;&gt;"",G108&lt;&gt;"",G108&lt;&gt;0),(E108-G108)/G108*100,"")</f>
        <v>-4.1259500542888166</v>
      </c>
      <c r="AA108" s="163" t="str">
        <f>IF(OR(C108="",E108="",E108=0),"",IF(E108&gt;G108,"上昇▲",IF(E108&lt;G108,"下落▼","横ばい→")))</f>
        <v>下落▼</v>
      </c>
      <c r="AB108" s="403">
        <f>IF(C108="","",IFERROR(((終値!E110*0.333)+(終値!F110*0.222)+(終値!G110*0.148)+(終値!H110*0.099)+(終値!I110*0.066)+(終値!J110*0.044)+(終値!K110*0.029)+(終値!L110*0.019)+(終値!M110*0.013)+(終値!N110*0.009))/(0.333+0.222+0.148+0.099+0.066+0.044+0.029+0.019+0.013+0.009),""))</f>
        <v>2209.2886965376779</v>
      </c>
      <c r="AC108" s="403">
        <f>IF(C108="","",IFERROR(SUMPRODUCT((終値!E110:AC110),({0.077,0.071,0.065,0.06,0.055,0.051,0.047,0.043,0.039,0.036,0.033,0.031,0.028,0.026,0.024,0.022,0.02,0.018,0.017,0.016,0.014,0.013,0.012,0.011,0.01}))/SUM({0.077,0.071,0.065,0.06,0.055,0.051,0.047,0.043,0.039,0.036,0.033,0.031,0.028,0.026,0.024,0.022,0.02,0.018,0.017,0.016,0.014,0.013,0.012,0.011,0.01}),""))</f>
        <v>2174.5607866507744</v>
      </c>
      <c r="AD108" s="404" t="str">
        <f>IF(OR(C108="",AB108="",AC108=""),"",IF(AND(E108&gt;AB108,AB108&gt;AC108),"パーフェクト▲",IF(E108&gt;AC108,"上昇トレンド▲",IF(AND(E108&lt;AB108,AB108&lt;AC108),"下降トレンド▼","もみ合い→"))))</f>
        <v>パーフェクト▲</v>
      </c>
      <c r="AE108" s="404" t="str">
        <f>IF(OR(C108="",AB108="",AC108=""),"",IF(AND(ABS(E108-AC108)/AC108&lt;=0.02,E108&gt;AC108),"25日押し目★",IF(AND(ABS(E108-AB108)/AB108&lt;=0.01,E108&gt;AB108),"5日押し目○","なし")))</f>
        <v>なし</v>
      </c>
      <c r="AF108" s="365">
        <f t="array" ref="AF108">IF(C108="","",IFERROR((INDEX(終値!$E:$E,MATCH(TEXT(C108,"0"),終値!$A:$A,0))-INDEX(終値!$E:$CZ,MATCH(TEXT(C108,"0"),終値!$A:$A,0),$AL$2))/INDEX(終値!$E:$CZ,MATCH(TEXT(C108,"0"),終値!$A:$A,0),$AL$2)*100,""))</f>
        <v>-14.932562620423893</v>
      </c>
      <c r="AG108" s="365">
        <f t="array" ref="AG108">IFERROR((終値!$E$5-INDEX(終値!$E$5:$IT$5,1,$AL$2))/INDEX(終値!$E$5:$IT$5,1,$AL$2)*100,"")</f>
        <v>1.0179378228534113</v>
      </c>
      <c r="AH108" s="366">
        <f>IF(OR(AF108="",AG108=""),"",AF108-AG108)</f>
        <v>-15.950500443277305</v>
      </c>
      <c r="AI108" s="364">
        <f>IF(AH108="","",IF(AH108&gt;5,3,IF(AH108&gt;0,1,IF(AH108&gt;-3,-1,-2))))</f>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1737</v>
      </c>
      <c r="F109" s="166">
        <f>IF(C109&lt;&gt;"",_xll.RssMarket(C109,"始値"),"")</f>
        <v>1800</v>
      </c>
      <c r="G109" s="165">
        <f>IF(C109&lt;&gt;"",終値!F135,"")</f>
        <v>1830</v>
      </c>
      <c r="H109" s="166">
        <f>IF(C109&lt;&gt;"",_xll.RssMarket(C109,"高値"),"")</f>
        <v>1809</v>
      </c>
      <c r="I109" s="166">
        <f>IF(C109&lt;&gt;"",_xll.RssMarket(C109,"安値"),"")</f>
        <v>1730</v>
      </c>
      <c r="J109" s="166">
        <f>IF(C109&lt;&gt;"",_xll.RssMarket(C109,"出来高"),"")</f>
        <v>433700</v>
      </c>
      <c r="K109" s="166">
        <f>IF(C109&lt;&gt;"",_xll.RssMarket(C109,"年初来高値"),"")</f>
        <v>4130</v>
      </c>
      <c r="L109" s="167">
        <f>IF(AND(E109&lt;&gt;"",K109&lt;&gt;"",K109&lt;&gt;0),(E109-K109)/K109*100,"")</f>
        <v>-57.941888619854723</v>
      </c>
      <c r="M109" s="166">
        <f>IF(C109&lt;&gt;"",IFERROR(AVERAGE(出来高!E135:I135),""),"")</f>
        <v>670220</v>
      </c>
      <c r="N109" s="166">
        <f>IF(C109&lt;&gt;"",IFERROR(AVERAGE(出来高!E135:AC135),""),"")</f>
        <v>841004</v>
      </c>
      <c r="O109" s="168">
        <f>IF(AND(J109&lt;&gt;"",M109&lt;&gt;"",M109&lt;&gt;0),J109/M109,"")</f>
        <v>0.64710095192623318</v>
      </c>
      <c r="P109" s="163" t="str">
        <f>IF(O109="","",IF(O109&gt;=2,"急増↑↑",IF(O109&gt;=1.5,"増加↑",IF(O109&gt;=1,"普通→","減少↓"))))</f>
        <v>減少↓</v>
      </c>
      <c r="Q109" s="163" t="str">
        <f>IF(E109="","",IF(AND(E109&gt;G109,O109&gt;=1.5),"買い▲",IF(E109&lt;G109,"様子見▼","中立→")))</f>
        <v>様子見▼</v>
      </c>
      <c r="R109" s="166">
        <f>IF(E109&lt;&gt;"",ROUND(E109*1.08,0),"")</f>
        <v>1876</v>
      </c>
      <c r="S109" s="166">
        <f>IF(E109&lt;&gt;"",ROUND(E109*0.96,0),"")</f>
        <v>1668</v>
      </c>
      <c r="T109" s="163">
        <f>IF(C109="","",IFERROR(IF(O109&gt;=2,3,IF(O109&gt;=1.5,2,IF(O109&gt;=1,1,0)))+IF(E109&gt;G109,1,0)+IF(L109&gt;=-5,1,0)+IF(Q109="買い▲",2,0)+IF(W109&lt;=30,3,IF(W109&lt;=40,2,IF(AND(W109&gt;=40,W109&lt;=60),1,0)))+IF(X109&gt;0,1,0)+IF(V109="年初来高値更新●",3,IF(V109="高値圏",2,0))+IF(AD109="パーフェクト▲",3,IF(AD109="上昇トレンド▲",2,0))+IF(AE109="25日線押し目●",2,IF(AE109="5日線押し目○",1,0))+IF(P109="急増↑↑",2,IF(P109="増加↑",1,0))+N(AI109),0))</f>
        <v>4</v>
      </c>
      <c r="U109" s="163" t="str">
        <f>IF(T109="","",IF(AND(T109&gt;=3,O109&gt;=1.5),"有効",IF(T109&gt;=3,"要確認","除外")))</f>
        <v>要確認</v>
      </c>
      <c r="V109" s="163" t="str">
        <f>IF(AND(H109&lt;&gt;"",K109&lt;&gt;""),IF(H109&gt;=K109,"年初来高値更新●",IF(H109&gt;=K109*0.95,"高値圏","通常")),"")</f>
        <v>通常</v>
      </c>
      <c r="W109" s="169">
        <f t="array" ref="W109">IF(C109&lt;&gt;"",IFERROR(100-100/(1+SUMPRODUCT((終値!F135:R135&gt;終値!G135:S135)*( 終値!F135:R135-終値!G135:S135))/SUMPRODUCT((終値!F135:R135&lt;終値!G135:S135)*(終値!G135:S135-終値!F135:R135))),50),"")</f>
        <v>29.811815150071453</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様子見</v>
      </c>
      <c r="Z109" s="171">
        <f>IF(AND(E109&lt;&gt;"",G109&lt;&gt;"",G109&lt;&gt;0),(E109-G109)/G109*100,"")</f>
        <v>-5.081967213114754</v>
      </c>
      <c r="AA109" s="163" t="str">
        <f>IF(OR(C109="",E109="",E109=0),"",IF(E109&gt;G109,"上昇▲",IF(E109&lt;G109,"下落▼","横ばい→")))</f>
        <v>下落▼</v>
      </c>
      <c r="AB109" s="405">
        <f>IF(C109="","",IFERROR(((終値!E111*0.333)+(終値!F111*0.222)+(終値!G111*0.148)+(終値!H111*0.099)+(終値!I111*0.066)+(終値!J111*0.044)+(終値!K111*0.029)+(終値!L111*0.019)+(終値!M111*0.013)+(終値!N111*0.009))/(0.333+0.222+0.148+0.099+0.066+0.044+0.029+0.019+0.013+0.009),""))</f>
        <v>876.32688391038687</v>
      </c>
      <c r="AC109" s="405">
        <f>IF(C109="","",IFERROR(SUMPRODUCT((終値!E111:AC111),({0.077,0.071,0.065,0.06,0.055,0.051,0.047,0.043,0.039,0.036,0.033,0.031,0.028,0.026,0.024,0.022,0.02,0.018,0.017,0.016,0.014,0.013,0.012,0.011,0.01}))/SUM({0.077,0.071,0.065,0.06,0.055,0.051,0.047,0.043,0.039,0.036,0.033,0.031,0.028,0.026,0.024,0.022,0.02,0.018,0.017,0.016,0.014,0.013,0.012,0.011,0.01}),""))</f>
        <v>828.97854588796179</v>
      </c>
      <c r="AD109" s="406" t="str">
        <f>IF(OR(C109="",AB109="",AC109=""),"",IF(AND(E109&gt;AB109,AB109&gt;AC109),"パーフェクト▲",IF(E109&gt;AC109,"上昇トレンド▲",IF(AND(E109&lt;AB109,AB109&lt;AC109),"下降トレンド▼","もみ合い→"))))</f>
        <v>パーフェクト▲</v>
      </c>
      <c r="AE109" s="406" t="str">
        <f>IF(OR(C109="",AB109="",AC109=""),"",IF(AND(ABS(E109-AC109)/AC109&lt;=0.02,E109&gt;AC109),"25日押し目★",IF(AND(ABS(E109-AB109)/AB109&lt;=0.01,E109&gt;AB109),"5日押し目○","なし")))</f>
        <v>なし</v>
      </c>
      <c r="AF109" s="365">
        <f t="array" ref="AF109">IF(C109="","",IFERROR((INDEX(終値!$E:$E,MATCH(TEXT(C109,"0"),終値!$A:$A,0))-INDEX(終値!$E:$CZ,MATCH(TEXT(C109,"0"),終値!$A:$A,0),$AL$2))/INDEX(終値!$E:$CZ,MATCH(TEXT(C109,"0"),終値!$A:$A,0),$AL$2)*100,""))</f>
        <v>-79.047044632086852</v>
      </c>
      <c r="AG109" s="365">
        <f t="array" ref="AG109">IFERROR((終値!$E$5-INDEX(終値!$E$5:$IT$5,1,$AL$2))/INDEX(終値!$E$5:$IT$5,1,$AL$2)*100,"")</f>
        <v>1.0179378228534113</v>
      </c>
      <c r="AH109" s="366">
        <f>IF(OR(AF109="",AG109=""),"",AF109-AG109)</f>
        <v>-80.064982454940264</v>
      </c>
      <c r="AI109" s="364">
        <f>IF(AH109="","",IF(AH109&gt;5,3,IF(AH109&gt;0,1,IF(AH109&gt;-3,-1,-2))))</f>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7400</v>
      </c>
      <c r="F110" s="166">
        <f>IF(C110&lt;&gt;"",_xll.RssMarket(C110,"始値"),"")</f>
        <v>7080</v>
      </c>
      <c r="G110" s="165">
        <f>IF(C110&lt;&gt;"",終値!F132,"")</f>
        <v>7380</v>
      </c>
      <c r="H110" s="166">
        <f>IF(C110&lt;&gt;"",_xll.RssMarket(C110,"高値"),"")</f>
        <v>7430</v>
      </c>
      <c r="I110" s="166">
        <f>IF(C110&lt;&gt;"",_xll.RssMarket(C110,"安値"),"")</f>
        <v>6950</v>
      </c>
      <c r="J110" s="166">
        <f>IF(C110&lt;&gt;"",_xll.RssMarket(C110,"出来高"),"")</f>
        <v>895500</v>
      </c>
      <c r="K110" s="166">
        <f>IF(C110&lt;&gt;"",_xll.RssMarket(C110,"年初来高値"),"")</f>
        <v>9190</v>
      </c>
      <c r="L110" s="167">
        <f>IF(AND(E110&lt;&gt;"",K110&lt;&gt;"",K110&lt;&gt;0),(E110-K110)/K110*100,"")</f>
        <v>-19.477693144722526</v>
      </c>
      <c r="M110" s="166">
        <f>IF(C110&lt;&gt;"",IFERROR(AVERAGE(出来高!E132:I132),""),"")</f>
        <v>1086600</v>
      </c>
      <c r="N110" s="166">
        <f>IF(C110&lt;&gt;"",IFERROR(AVERAGE(出来高!E132:AC132),""),"")</f>
        <v>1480050</v>
      </c>
      <c r="O110" s="168">
        <f>IF(AND(J110&lt;&gt;"",M110&lt;&gt;"",M110&lt;&gt;0),J110/M110,"")</f>
        <v>0.82413031474323584</v>
      </c>
      <c r="P110" s="163" t="str">
        <f>IF(O110="","",IF(O110&gt;=2,"急増↑↑",IF(O110&gt;=1.5,"増加↑",IF(O110&gt;=1,"普通→","減少↓"))))</f>
        <v>減少↓</v>
      </c>
      <c r="Q110" s="163" t="str">
        <f>IF(E110="","",IF(AND(E110&gt;G110,O110&gt;=1.5),"買い▲",IF(E110&lt;G110,"様子見▼","中立→")))</f>
        <v>中立→</v>
      </c>
      <c r="R110" s="166">
        <f>IF(E110&lt;&gt;"",ROUND(E110*1.08,0),"")</f>
        <v>7992</v>
      </c>
      <c r="S110" s="166">
        <f>IF(E110&lt;&gt;"",ROUND(E110*0.96,0),"")</f>
        <v>7104</v>
      </c>
      <c r="T110" s="163">
        <f>IF(C110="","",IFERROR(IF(O110&gt;=2,3,IF(O110&gt;=1.5,2,IF(O110&gt;=1,1,0)))+IF(E110&gt;G110,1,0)+IF(L110&gt;=-5,1,0)+IF(Q110="買い▲",2,0)+IF(W110&lt;=30,3,IF(W110&lt;=40,2,IF(AND(W110&gt;=40,W110&lt;=60),1,0)))+IF(X110&gt;0,1,0)+IF(V110="年初来高値更新●",3,IF(V110="高値圏",2,0))+IF(AD110="パーフェクト▲",3,IF(AD110="上昇トレンド▲",2,0))+IF(AE110="25日線押し目●",2,IF(AE110="5日線押し目○",1,0))+IF(P110="急増↑↑",2,IF(P110="増加↑",1,0))+N(AI110),0))</f>
        <v>4</v>
      </c>
      <c r="U110" s="163" t="str">
        <f>IF(T110="","",IF(AND(T110&gt;=3,O110&gt;=1.5),"有効",IF(T110&gt;=3,"要確認","除外")))</f>
        <v>要確認</v>
      </c>
      <c r="V110" s="163" t="str">
        <f>IF(AND(H110&lt;&gt;"",K110&lt;&gt;""),IF(H110&gt;=K110,"年初来高値更新●",IF(H110&gt;=K110*0.95,"高値圏","通常")),"")</f>
        <v>通常</v>
      </c>
      <c r="W110" s="169">
        <f t="array" ref="W110">IF(C110&lt;&gt;"",IFERROR(100-100/(1+SUMPRODUCT((終値!F132:R132&gt;終値!G132:S132)*( 終値!F132:R132-終値!G132:S132))/SUMPRODUCT((終値!F132:R132&lt;終値!G132:S132)*(終値!G132:S132-終値!F132:R132))),50),"")</f>
        <v>49.94753410283316</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様子見</v>
      </c>
      <c r="Z110" s="171">
        <f>IF(AND(E110&lt;&gt;"",G110&lt;&gt;"",G110&lt;&gt;0),(E110-G110)/G110*100,"")</f>
        <v>0.27100271002710025</v>
      </c>
      <c r="AA110" s="163" t="str">
        <f>IF(OR(C110="",E110="",E110=0),"",IF(E110&gt;G110,"上昇▲",IF(E110&lt;G110,"下落▼","横ばい→")))</f>
        <v>上昇▲</v>
      </c>
      <c r="AB110" s="403">
        <f>IF(C110="","",IFERROR(((終値!E112*0.333)+(終値!F112*0.222)+(終値!G112*0.148)+(終値!H112*0.099)+(終値!I112*0.066)+(終値!J112*0.044)+(終値!K112*0.029)+(終値!L112*0.019)+(終値!M112*0.013)+(終値!N112*0.009))/(0.333+0.222+0.148+0.099+0.066+0.044+0.029+0.019+0.013+0.009),""))</f>
        <v>410.34521384928706</v>
      </c>
      <c r="AC110" s="403">
        <f>IF(C110="","",IFERROR(SUMPRODUCT((終値!E112:AC112),({0.077,0.071,0.065,0.06,0.055,0.051,0.047,0.043,0.039,0.036,0.033,0.031,0.028,0.026,0.024,0.022,0.02,0.018,0.017,0.016,0.014,0.013,0.012,0.011,0.01}))/SUM({0.077,0.071,0.065,0.06,0.055,0.051,0.047,0.043,0.039,0.036,0.033,0.031,0.028,0.026,0.024,0.022,0.02,0.018,0.017,0.016,0.014,0.013,0.012,0.011,0.01}),""))</f>
        <v>401.72109654350402</v>
      </c>
      <c r="AD110" s="404" t="str">
        <f>IF(OR(C110="",AB110="",AC110=""),"",IF(AND(E110&gt;AB110,AB110&gt;AC110),"パーフェクト▲",IF(E110&gt;AC110,"上昇トレンド▲",IF(AND(E110&lt;AB110,AB110&lt;AC110),"下降トレンド▼","もみ合い→"))))</f>
        <v>パーフェクト▲</v>
      </c>
      <c r="AE110" s="404" t="str">
        <f>IF(OR(C110="",AB110="",AC110=""),"",IF(AND(ABS(E110-AC110)/AC110&lt;=0.02,E110&gt;AC110),"25日押し目★",IF(AND(ABS(E110-AB110)/AB110&lt;=0.01,E110&gt;AB110),"5日押し目○","なし")))</f>
        <v>なし</v>
      </c>
      <c r="AF110" s="365">
        <f t="array" ref="AF110">IF(C110="","",IFERROR((INDEX(終値!$E:$E,MATCH(TEXT(C110,"0"),終値!$A:$A,0))-INDEX(終値!$E:$CZ,MATCH(TEXT(C110,"0"),終値!$A:$A,0),$AL$2))/INDEX(終値!$E:$CZ,MATCH(TEXT(C110,"0"),終値!$A:$A,0),$AL$2)*100,""))</f>
        <v>-0.67114093959731547</v>
      </c>
      <c r="AG110" s="365">
        <f t="array" ref="AG110">IFERROR((終値!$E$5-INDEX(終値!$E$5:$IT$5,1,$AL$2))/INDEX(終値!$E$5:$IT$5,1,$AL$2)*100,"")</f>
        <v>1.0179378228534113</v>
      </c>
      <c r="AH110" s="366">
        <f>IF(OR(AF110="",AG110=""),"",AF110-AG110)</f>
        <v>-1.6890787624507269</v>
      </c>
      <c r="AI110" s="364">
        <f>IF(AH110="","",IF(AH110&gt;5,3,IF(AH110&gt;0,1,IF(AH110&gt;-3,-1,-2))))</f>
        <v>-1</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1459</v>
      </c>
      <c r="F111" s="166">
        <f>IF(C111&lt;&gt;"",_xll.RssMarket(C111,"始値"),"")</f>
        <v>1451</v>
      </c>
      <c r="G111" s="165">
        <f>IF(C111&lt;&gt;"",終値!F57,"")</f>
        <v>1475</v>
      </c>
      <c r="H111" s="166">
        <f>IF(C111&lt;&gt;"",_xll.RssMarket(C111,"高値"),"")</f>
        <v>1502</v>
      </c>
      <c r="I111" s="166">
        <f>IF(C111&lt;&gt;"",_xll.RssMarket(C111,"安値"),"")</f>
        <v>1416</v>
      </c>
      <c r="J111" s="166">
        <f>IF(C111&lt;&gt;"",_xll.RssMarket(C111,"出来高"),"")</f>
        <v>424400</v>
      </c>
      <c r="K111" s="166">
        <f>IF(C111&lt;&gt;"",_xll.RssMarket(C111,"年初来高値"),"")</f>
        <v>2030</v>
      </c>
      <c r="L111" s="167">
        <f>IF(AND(E111&lt;&gt;"",K111&lt;&gt;"",K111&lt;&gt;0),(E111-K111)/K111*100,"")</f>
        <v>-28.128078817733993</v>
      </c>
      <c r="M111" s="166">
        <f>IF(C111&lt;&gt;"",IFERROR(AVERAGE(出来高!E57:I57),""),"")</f>
        <v>273240</v>
      </c>
      <c r="N111" s="166">
        <f>IF(C111&lt;&gt;"",IFERROR(AVERAGE(出来高!E57:AC57),""),"")</f>
        <v>338720</v>
      </c>
      <c r="O111" s="168">
        <f>IF(AND(J111&lt;&gt;"",M111&lt;&gt;"",M111&lt;&gt;0),J111/M111,"")</f>
        <v>1.5532132923437272</v>
      </c>
      <c r="P111" s="163" t="str">
        <f>IF(O111="","",IF(O111&gt;=2,"急増↑↑",IF(O111&gt;=1.5,"増加↑",IF(O111&gt;=1,"普通→","減少↓"))))</f>
        <v>増加↑</v>
      </c>
      <c r="Q111" s="163" t="str">
        <f>IF(E111="","",IF(AND(E111&gt;G111,O111&gt;=1.5),"買い▲",IF(E111&lt;G111,"様子見▼","中立→")))</f>
        <v>様子見▼</v>
      </c>
      <c r="R111" s="166">
        <f>IF(E111&lt;&gt;"",ROUND(E111*1.08,0),"")</f>
        <v>1576</v>
      </c>
      <c r="S111" s="166">
        <f>IF(E111&lt;&gt;"",ROUND(E111*0.96,0),"")</f>
        <v>1401</v>
      </c>
      <c r="T111" s="163">
        <f>IF(C111="","",IFERROR(IF(O111&gt;=2,3,IF(O111&gt;=1.5,2,IF(O111&gt;=1,1,0)))+IF(E111&gt;G111,1,0)+IF(L111&gt;=-5,1,0)+IF(Q111="買い▲",2,0)+IF(W111&lt;=30,3,IF(W111&lt;=40,2,IF(AND(W111&gt;=40,W111&lt;=60),1,0)))+IF(X111&gt;0,1,0)+IF(V111="年初来高値更新●",3,IF(V111="高値圏",2,0))+IF(AD111="パーフェクト▲",3,IF(AD111="上昇トレンド▲",2,0))+IF(AE111="25日線押し目●",2,IF(AE111="5日線押し目○",1,0))+IF(P111="急増↑↑",2,IF(P111="増加↑",1,0))+N(AI111),0))</f>
        <v>3</v>
      </c>
      <c r="U111" s="163" t="str">
        <f>IF(T111="","",IF(AND(T111&gt;=3,O111&gt;=1.5),"有効",IF(T111&gt;=3,"要確認","除外")))</f>
        <v>有効</v>
      </c>
      <c r="V111" s="163" t="str">
        <f>IF(AND(H111&lt;&gt;"",K111&lt;&gt;""),IF(H111&gt;=K111,"年初来高値更新●",IF(H111&gt;=K111*0.95,"高値圏","通常")),"")</f>
        <v>通常</v>
      </c>
      <c r="W111" s="169">
        <f t="array" ref="W111">IF(C111&lt;&gt;"",IFERROR(100-100/(1+SUMPRODUCT((終値!F57:R57&gt;終値!G57:S57)*( 終値!F57:R57-終値!G57:S57))/SUMPRODUCT((終値!F57:R57&lt;終値!G57:S57)*(終値!G57:S57-終値!F57:R57))),50),"")</f>
        <v>35.489220563847425</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様子見</v>
      </c>
      <c r="Z111" s="171">
        <f>IF(AND(E111&lt;&gt;"",G111&lt;&gt;"",G111&lt;&gt;0),(E111-G111)/G111*100,"")</f>
        <v>-1.0847457627118644</v>
      </c>
      <c r="AA111" s="163" t="str">
        <f>IF(OR(C111="",E111="",E111=0),"",IF(E111&gt;G111,"上昇▲",IF(E111&lt;G111,"下落▼","横ばい→")))</f>
        <v>下落▼</v>
      </c>
      <c r="AB111" s="405">
        <f>IF(C111="","",IFERROR(((終値!E113*0.333)+(終値!F113*0.222)+(終値!G113*0.148)+(終値!H113*0.099)+(終値!I113*0.066)+(終値!J113*0.044)+(終値!K113*0.029)+(終値!L113*0.019)+(終値!M113*0.013)+(終値!N113*0.009))/(0.333+0.222+0.148+0.099+0.066+0.044+0.029+0.019+0.013+0.009),""))</f>
        <v>4182.5325865580444</v>
      </c>
      <c r="AC111" s="405">
        <f>IF(C111="","",IFERROR(SUMPRODUCT((終値!E113:AC113),({0.077,0.071,0.065,0.06,0.055,0.051,0.047,0.043,0.039,0.036,0.033,0.031,0.028,0.026,0.024,0.022,0.02,0.018,0.017,0.016,0.014,0.013,0.012,0.011,0.01}))/SUM({0.077,0.071,0.065,0.06,0.055,0.051,0.047,0.043,0.039,0.036,0.033,0.031,0.028,0.026,0.024,0.022,0.02,0.018,0.017,0.016,0.014,0.013,0.012,0.011,0.01}),""))</f>
        <v>4066.9678188319399</v>
      </c>
      <c r="AD111" s="406" t="str">
        <f>IF(OR(C111="",AB111="",AC111=""),"",IF(AND(E111&gt;AB111,AB111&gt;AC111),"パーフェクト▲",IF(E111&gt;AC111,"上昇トレンド▲",IF(AND(E111&lt;AB111,AB111&lt;AC111),"下降トレンド▼","もみ合い→"))))</f>
        <v>もみ合い→</v>
      </c>
      <c r="AE111" s="406" t="str">
        <f>IF(OR(C111="",AB111="",AC111=""),"",IF(AND(ABS(E111-AC111)/AC111&lt;=0.02,E111&gt;AC111),"25日押し目★",IF(AND(ABS(E111-AB111)/AB111&lt;=0.01,E111&gt;AB111),"5日押し目○","なし")))</f>
        <v>なし</v>
      </c>
      <c r="AF111" s="365">
        <f t="array" ref="AF111">IF(C111="","",IFERROR((INDEX(終値!$E:$E,MATCH(TEXT(C111,"0"),終値!$A:$A,0))-INDEX(終値!$E:$CZ,MATCH(TEXT(C111,"0"),終値!$A:$A,0),$AL$2))/INDEX(終値!$E:$CZ,MATCH(TEXT(C111,"0"),終値!$A:$A,0),$AL$2)*100,""))</f>
        <v>-3.56906807666887</v>
      </c>
      <c r="AG111" s="365">
        <f t="array" ref="AG111">IFERROR((終値!$E$5-INDEX(終値!$E$5:$IT$5,1,$AL$2))/INDEX(終値!$E$5:$IT$5,1,$AL$2)*100,"")</f>
        <v>1.0179378228534113</v>
      </c>
      <c r="AH111" s="366">
        <f>IF(OR(AF111="",AG111=""),"",AF111-AG111)</f>
        <v>-4.5870058995222811</v>
      </c>
      <c r="AI111" s="364">
        <f>IF(AH111="","",IF(AH111&gt;5,3,IF(AH111&gt;0,1,IF(AH111&gt;-3,-1,-2))))</f>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2395</v>
      </c>
      <c r="F112" s="166">
        <f>IF(C112&lt;&gt;"",_xll.RssMarket(C112,"始値"),"")</f>
        <v>2355</v>
      </c>
      <c r="G112" s="165">
        <f>IF(C112&lt;&gt;"",終値!F104,"")</f>
        <v>2357</v>
      </c>
      <c r="H112" s="166">
        <f>IF(C112&lt;&gt;"",_xll.RssMarket(C112,"高値"),"")</f>
        <v>2397</v>
      </c>
      <c r="I112" s="166">
        <f>IF(C112&lt;&gt;"",_xll.RssMarket(C112,"安値"),"")</f>
        <v>2340</v>
      </c>
      <c r="J112" s="166">
        <f>IF(C112&lt;&gt;"",_xll.RssMarket(C112,"出来高"),"")</f>
        <v>3921800</v>
      </c>
      <c r="K112" s="166">
        <f>IF(C112&lt;&gt;"",_xll.RssMarket(C112,"年初来高値"),"")</f>
        <v>2539.5</v>
      </c>
      <c r="L112" s="167">
        <f>IF(AND(E112&lt;&gt;"",K112&lt;&gt;"",K112&lt;&gt;0),(E112-K112)/K112*100,"")</f>
        <v>-5.6900964756841903</v>
      </c>
      <c r="M112" s="166">
        <f>IF(C112&lt;&gt;"",IFERROR(AVERAGE(出来高!E104:I104),""),"")</f>
        <v>5159220</v>
      </c>
      <c r="N112" s="166">
        <f>IF(C112&lt;&gt;"",IFERROR(AVERAGE(出来高!E104:AC104),""),"")</f>
        <v>5511388</v>
      </c>
      <c r="O112" s="168">
        <f>IF(AND(J112&lt;&gt;"",M112&lt;&gt;"",M112&lt;&gt;0),J112/M112,"")</f>
        <v>0.76015366663953077</v>
      </c>
      <c r="P112" s="163" t="str">
        <f>IF(O112="","",IF(O112&gt;=2,"急増↑↑",IF(O112&gt;=1.5,"増加↑",IF(O112&gt;=1,"普通→","減少↓"))))</f>
        <v>減少↓</v>
      </c>
      <c r="Q112" s="163" t="str">
        <f>IF(E112="","",IF(AND(E112&gt;G112,O112&gt;=1.5),"買い▲",IF(E112&lt;G112,"様子見▼","中立→")))</f>
        <v>中立→</v>
      </c>
      <c r="R112" s="166">
        <f>IF(E112&lt;&gt;"",ROUND(E112*1.08,0),"")</f>
        <v>2587</v>
      </c>
      <c r="S112" s="166">
        <f>IF(E112&lt;&gt;"",ROUND(E112*0.96,0),"")</f>
        <v>2299</v>
      </c>
      <c r="T112" s="163">
        <f>IF(C112="","",IFERROR(IF(O112&gt;=2,3,IF(O112&gt;=1.5,2,IF(O112&gt;=1,1,0)))+IF(E112&gt;G112,1,0)+IF(L112&gt;=-5,1,0)+IF(Q112="買い▲",2,0)+IF(W112&lt;=30,3,IF(W112&lt;=40,2,IF(AND(W112&gt;=40,W112&lt;=60),1,0)))+IF(X112&gt;0,1,0)+IF(V112="年初来高値更新●",3,IF(V112="高値圏",2,0))+IF(AD112="パーフェクト▲",3,IF(AD112="上昇トレンド▲",2,0))+IF(AE112="25日線押し目●",2,IF(AE112="5日線押し目○",1,0))+IF(P112="急増↑↑",2,IF(P112="増加↑",1,0))+N(AI112),0))</f>
        <v>9</v>
      </c>
      <c r="U112" s="163" t="str">
        <f>IF(T112="","",IF(AND(T112&gt;=3,O112&gt;=1.5),"有効",IF(T112&gt;=3,"要確認","除外")))</f>
        <v>要確認</v>
      </c>
      <c r="V112" s="163" t="str">
        <f>IF(AND(H112&lt;&gt;"",K112&lt;&gt;""),IF(H112&gt;=K112,"年初来高値更新●",IF(H112&gt;=K112*0.95,"高値圏","通常")),"")</f>
        <v>通常</v>
      </c>
      <c r="W112" s="169">
        <f t="array" ref="W112">IF(C112&lt;&gt;"",IFERROR(100-100/(1+SUMPRODUCT((終値!F104:R104&gt;終値!G104:S104)*( 終値!F104:R104-終値!G104:S104))/SUMPRODUCT((終値!F104:R104&lt;終値!G104:S104)*(終値!G104:S104-終値!F104:R104))),50),"")</f>
        <v>45.240339302544768</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△注目</v>
      </c>
      <c r="Z112" s="171">
        <f>IF(AND(E112&lt;&gt;"",G112&lt;&gt;"",G112&lt;&gt;0),(E112-G112)/G112*100,"")</f>
        <v>1.6122189223589309</v>
      </c>
      <c r="AA112" s="163" t="str">
        <f>IF(OR(C112="",E112="",E112=0),"",IF(E112&gt;G112,"上昇▲",IF(E112&lt;G112,"下落▼","横ばい→")))</f>
        <v>上昇▲</v>
      </c>
      <c r="AB112" s="403">
        <f>IF(C112="","",IFERROR(((終値!E114*0.333)+(終値!F114*0.222)+(終値!G114*0.148)+(終値!H114*0.099)+(終値!I114*0.066)+(終値!J114*0.044)+(終値!K114*0.029)+(終値!L114*0.019)+(終値!M114*0.013)+(終値!N114*0.009))/(0.333+0.222+0.148+0.099+0.066+0.044+0.029+0.019+0.013+0.009),""))</f>
        <v>529.00641547861505</v>
      </c>
      <c r="AC112" s="403">
        <f>IF(C112="","",IFERROR(SUMPRODUCT((終値!E114:AC114),({0.077,0.071,0.065,0.06,0.055,0.051,0.047,0.043,0.039,0.036,0.033,0.031,0.028,0.026,0.024,0.022,0.02,0.018,0.017,0.016,0.014,0.013,0.012,0.011,0.01}))/SUM({0.077,0.071,0.065,0.06,0.055,0.051,0.047,0.043,0.039,0.036,0.033,0.031,0.028,0.026,0.024,0.022,0.02,0.018,0.017,0.016,0.014,0.013,0.012,0.011,0.01}),""))</f>
        <v>514.74505363527987</v>
      </c>
      <c r="AD112" s="404" t="str">
        <f>IF(OR(C112="",AB112="",AC112=""),"",IF(AND(E112&gt;AB112,AB112&gt;AC112),"パーフェクト▲",IF(E112&gt;AC112,"上昇トレンド▲",IF(AND(E112&lt;AB112,AB112&lt;AC112),"下降トレンド▼","もみ合い→"))))</f>
        <v>パーフェクト▲</v>
      </c>
      <c r="AE112" s="404" t="str">
        <f>IF(OR(C112="",AB112="",AC112=""),"",IF(AND(ABS(E112-AC112)/AC112&lt;=0.02,E112&gt;AC112),"25日押し目★",IF(AND(ABS(E112-AB112)/AB112&lt;=0.01,E112&gt;AB112),"5日押し目○","なし")))</f>
        <v>なし</v>
      </c>
      <c r="AF112" s="365">
        <f t="array" ref="AF112">IF(C112="","",IFERROR((INDEX(終値!$E:$E,MATCH(TEXT(C112,"0"),終値!$A:$A,0))-INDEX(終値!$E:$CZ,MATCH(TEXT(C112,"0"),終値!$A:$A,0),$AL$2))/INDEX(終値!$E:$CZ,MATCH(TEXT(C112,"0"),終値!$A:$A,0),$AL$2)*100,""))</f>
        <v>10.445008070094536</v>
      </c>
      <c r="AG112" s="365">
        <f t="array" ref="AG112">IFERROR((終値!$E$5-INDEX(終値!$E$5:$IT$5,1,$AL$2))/INDEX(終値!$E$5:$IT$5,1,$AL$2)*100,"")</f>
        <v>1.0179378228534113</v>
      </c>
      <c r="AH112" s="366">
        <f>IF(OR(AF112="",AG112=""),"",AF112-AG112)</f>
        <v>9.4270702472411241</v>
      </c>
      <c r="AI112" s="364">
        <f>IF(AH112="","",IF(AH112&gt;5,3,IF(AH112&gt;0,1,IF(AH112&gt;-3,-1,-2))))</f>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61590</v>
      </c>
      <c r="F113" s="166">
        <f>IF(C113&lt;&gt;"",_xll.RssMarket(C113,"始値"),"")</f>
        <v>61800</v>
      </c>
      <c r="G113" s="165">
        <f>IF(C113&lt;&gt;"",終値!F197,"")</f>
        <v>63740</v>
      </c>
      <c r="H113" s="166">
        <f>IF(C113&lt;&gt;"",_xll.RssMarket(C113,"高値"),"")</f>
        <v>63000</v>
      </c>
      <c r="I113" s="166">
        <f>IF(C113&lt;&gt;"",_xll.RssMarket(C113,"安値"),"")</f>
        <v>60700</v>
      </c>
      <c r="J113" s="166">
        <f>IF(C113&lt;&gt;"",_xll.RssMarket(C113,"出来高"),"")</f>
        <v>1569200</v>
      </c>
      <c r="K113" s="166">
        <f>IF(C113&lt;&gt;"",_xll.RssMarket(C113,"年初来高値"),"")</f>
        <v>91680</v>
      </c>
      <c r="L113" s="167">
        <f>IF(AND(E113&lt;&gt;"",K113&lt;&gt;"",K113&lt;&gt;0),(E113-K113)/K113*100,"")</f>
        <v>-32.82068062827225</v>
      </c>
      <c r="M113" s="166">
        <f>IF(C113&lt;&gt;"",IFERROR(AVERAGE(出来高!E197:I197),""),"")</f>
        <v>2315160</v>
      </c>
      <c r="N113" s="166">
        <f>IF(C113&lt;&gt;"",IFERROR(AVERAGE(出来高!E197:AC197),""),"")</f>
        <v>1957596</v>
      </c>
      <c r="O113" s="168">
        <f>IF(AND(J113&lt;&gt;"",M113&lt;&gt;"",M113&lt;&gt;0),J113/M113,"")</f>
        <v>0.67779332745900933</v>
      </c>
      <c r="P113" s="163" t="str">
        <f>IF(O113="","",IF(O113&gt;=2,"急増↑↑",IF(O113&gt;=1.5,"増加↑",IF(O113&gt;=1,"普通→","減少↓"))))</f>
        <v>減少↓</v>
      </c>
      <c r="Q113" s="163" t="str">
        <f>IF(E113="","",IF(AND(E113&gt;G113,O113&gt;=1.5),"買い▲",IF(E113&lt;G113,"様子見▼","中立→")))</f>
        <v>様子見▼</v>
      </c>
      <c r="R113" s="166">
        <f>IF(E113&lt;&gt;"",ROUND(E113*1.08,0),"")</f>
        <v>66517</v>
      </c>
      <c r="S113" s="166">
        <f>IF(E113&lt;&gt;"",ROUND(E113*0.96,0),"")</f>
        <v>59126</v>
      </c>
      <c r="T113" s="163">
        <f>IF(C113="","",IFERROR(IF(O113&gt;=2,3,IF(O113&gt;=1.5,2,IF(O113&gt;=1,1,0)))+IF(E113&gt;G113,1,0)+IF(L113&gt;=-5,1,0)+IF(Q113="買い▲",2,0)+IF(W113&lt;=30,3,IF(W113&lt;=40,2,IF(AND(W113&gt;=40,W113&lt;=60),1,0)))+IF(X113&gt;0,1,0)+IF(V113="年初来高値更新●",3,IF(V113="高値圏",2,0))+IF(AD113="パーフェクト▲",3,IF(AD113="上昇トレンド▲",2,0))+IF(AE113="25日線押し目●",2,IF(AE113="5日線押し目○",1,0))+IF(P113="急増↑↑",2,IF(P113="増加↑",1,0))+N(AI113),0))</f>
        <v>2</v>
      </c>
      <c r="U113" s="163" t="str">
        <f>IF(T113="","",IF(AND(T113&gt;=3,O113&gt;=1.5),"有効",IF(T113&gt;=3,"要確認","除外")))</f>
        <v>除外</v>
      </c>
      <c r="V113" s="163" t="str">
        <f>IF(AND(H113&lt;&gt;"",K113&lt;&gt;""),IF(H113&gt;=K113,"年初来高値更新●",IF(H113&gt;=K113*0.95,"高値圏","通常")),"")</f>
        <v>通常</v>
      </c>
      <c r="W113" s="169">
        <f t="array" ref="W113">IF(C113&lt;&gt;"",IFERROR(100-100/(1+SUMPRODUCT((終値!F197:R197&gt;終値!G197:S197)*( 終値!F197:R197-終値!G197:S197))/SUMPRODUCT((終値!F197:R197&lt;終値!G197:S197)*(終値!G197:S197-終値!F197:R197))),50),"")</f>
        <v>39.658444022770396</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見送り</v>
      </c>
      <c r="Z113" s="171">
        <f>IF(AND(E113&lt;&gt;"",G113&lt;&gt;"",G113&lt;&gt;0),(E113-G113)/G113*100,"")</f>
        <v>-3.3730781299027299</v>
      </c>
      <c r="AA113" s="163" t="str">
        <f>IF(OR(C113="",E113="",E113=0),"",IF(E113&gt;G113,"上昇▲",IF(E113&lt;G113,"下落▼","横ばい→")))</f>
        <v>下落▼</v>
      </c>
      <c r="AB113" s="405">
        <f>IF(C113="","",IFERROR(((終値!E115*0.333)+(終値!F115*0.222)+(終値!G115*0.148)+(終値!H115*0.099)+(終値!I115*0.066)+(終値!J115*0.044)+(終値!K115*0.029)+(終値!L115*0.019)+(終値!M115*0.013)+(終値!N115*0.009))/(0.333+0.222+0.148+0.099+0.066+0.044+0.029+0.019+0.013+0.009),""))</f>
        <v>6043.8411405295301</v>
      </c>
      <c r="AC113" s="405">
        <f>IF(C113="","",IFERROR(SUMPRODUCT((終値!E115:AC115),({0.077,0.071,0.065,0.06,0.055,0.051,0.047,0.043,0.039,0.036,0.033,0.031,0.028,0.026,0.024,0.022,0.02,0.018,0.017,0.016,0.014,0.013,0.012,0.011,0.01}))/SUM({0.077,0.071,0.065,0.06,0.055,0.051,0.047,0.043,0.039,0.036,0.033,0.031,0.028,0.026,0.024,0.022,0.02,0.018,0.017,0.016,0.014,0.013,0.012,0.011,0.01}),""))</f>
        <v>6116.6102502979729</v>
      </c>
      <c r="AD113" s="406" t="str">
        <f>IF(OR(C113="",AB113="",AC113=""),"",IF(AND(E113&gt;AB113,AB113&gt;AC113),"パーフェクト▲",IF(E113&gt;AC113,"上昇トレンド▲",IF(AND(E113&lt;AB113,AB113&lt;AC113),"下降トレンド▼","もみ合い→"))))</f>
        <v>上昇トレンド▲</v>
      </c>
      <c r="AE113" s="406" t="str">
        <f>IF(OR(C113="",AB113="",AC113=""),"",IF(AND(ABS(E113-AC113)/AC113&lt;=0.02,E113&gt;AC113),"25日押し目★",IF(AND(ABS(E113-AB113)/AB113&lt;=0.01,E113&gt;AB113),"5日押し目○","なし")))</f>
        <v>なし</v>
      </c>
      <c r="AF113" s="365">
        <f t="array" ref="AF113">IF(C113="","",IFERROR((INDEX(終値!$E:$E,MATCH(TEXT(C113,"0"),終値!$A:$A,0))-INDEX(終値!$E:$CZ,MATCH(TEXT(C113,"0"),終値!$A:$A,0),$AL$2))/INDEX(終値!$E:$CZ,MATCH(TEXT(C113,"0"),終値!$A:$A,0),$AL$2)*100,""))</f>
        <v>-27.129673450070989</v>
      </c>
      <c r="AG113" s="365">
        <f t="array" ref="AG113">IFERROR((終値!$E$5-INDEX(終値!$E$5:$IT$5,1,$AL$2))/INDEX(終値!$E$5:$IT$5,1,$AL$2)*100,"")</f>
        <v>1.0179378228534113</v>
      </c>
      <c r="AH113" s="366">
        <f>IF(OR(AF113="",AG113=""),"",AF113-AG113)</f>
        <v>-28.147611272924401</v>
      </c>
      <c r="AI113" s="364">
        <f>IF(AH113="","",IF(AH113&gt;5,3,IF(AH113&gt;0,1,IF(AH113&gt;-3,-1,-2))))</f>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8117</v>
      </c>
      <c r="F114" s="166">
        <f>IF(C114&lt;&gt;"",_xll.RssMarket(C114,"始値"),"")</f>
        <v>8280</v>
      </c>
      <c r="G114" s="165">
        <f>IF(C114&lt;&gt;"",終値!F92,"")</f>
        <v>8485</v>
      </c>
      <c r="H114" s="166">
        <f>IF(C114&lt;&gt;"",_xll.RssMarket(C114,"高値"),"")</f>
        <v>8473</v>
      </c>
      <c r="I114" s="166">
        <f>IF(C114&lt;&gt;"",_xll.RssMarket(C114,"安値"),"")</f>
        <v>8005</v>
      </c>
      <c r="J114" s="166">
        <f>IF(C114&lt;&gt;"",_xll.RssMarket(C114,"出来高"),"")</f>
        <v>1592700</v>
      </c>
      <c r="K114" s="166">
        <f>IF(C114&lt;&gt;"",_xll.RssMarket(C114,"年初来高値"),"")</f>
        <v>8943</v>
      </c>
      <c r="L114" s="167">
        <f>IF(AND(E114&lt;&gt;"",K114&lt;&gt;"",K114&lt;&gt;0),(E114-K114)/K114*100,"")</f>
        <v>-9.236274180923628</v>
      </c>
      <c r="M114" s="166">
        <f>IF(C114&lt;&gt;"",IFERROR(AVERAGE(出来高!E92:I92),""),"")</f>
        <v>1997180</v>
      </c>
      <c r="N114" s="166">
        <f>IF(C114&lt;&gt;"",IFERROR(AVERAGE(出来高!E92:AC92),""),"")</f>
        <v>1060564</v>
      </c>
      <c r="O114" s="168">
        <f>IF(AND(J114&lt;&gt;"",M114&lt;&gt;"",M114&lt;&gt;0),J114/M114,"")</f>
        <v>0.79747443895893211</v>
      </c>
      <c r="P114" s="163" t="str">
        <f>IF(O114="","",IF(O114&gt;=2,"急増↑↑",IF(O114&gt;=1.5,"増加↑",IF(O114&gt;=1,"普通→","減少↓"))))</f>
        <v>減少↓</v>
      </c>
      <c r="Q114" s="163" t="str">
        <f>IF(E114="","",IF(AND(E114&gt;G114,O114&gt;=1.5),"買い▲",IF(E114&lt;G114,"様子見▼","中立→")))</f>
        <v>様子見▼</v>
      </c>
      <c r="R114" s="166">
        <f>IF(E114&lt;&gt;"",ROUND(E114*1.08,0),"")</f>
        <v>8766</v>
      </c>
      <c r="S114" s="166">
        <f>IF(E114&lt;&gt;"",ROUND(E114*0.96,0),"")</f>
        <v>7792</v>
      </c>
      <c r="T114" s="163">
        <f>IF(C114="","",IFERROR(IF(O114&gt;=2,3,IF(O114&gt;=1.5,2,IF(O114&gt;=1,1,0)))+IF(E114&gt;G114,1,0)+IF(L114&gt;=-5,1,0)+IF(Q114="買い▲",2,0)+IF(W114&lt;=30,3,IF(W114&lt;=40,2,IF(AND(W114&gt;=40,W114&lt;=60),1,0)))+IF(X114&gt;0,1,0)+IF(V114="年初来高値更新●",3,IF(V114="高値圏",2,0))+IF(AD114="パーフェクト▲",3,IF(AD114="上昇トレンド▲",2,0))+IF(AE114="25日線押し目●",2,IF(AE114="5日線押し目○",1,0))+IF(P114="急増↑↑",2,IF(P114="増加↑",1,0))+N(AI114),0))</f>
        <v>1</v>
      </c>
      <c r="U114" s="163" t="str">
        <f>IF(T114="","",IF(AND(T114&gt;=3,O114&gt;=1.5),"有効",IF(T114&gt;=3,"要確認","除外")))</f>
        <v>除外</v>
      </c>
      <c r="V114" s="163" t="str">
        <f>IF(AND(H114&lt;&gt;"",K114&lt;&gt;""),IF(H114&gt;=K114,"年初来高値更新●",IF(H114&gt;=K114*0.95,"高値圏","通常")),"")</f>
        <v>通常</v>
      </c>
      <c r="W114" s="169">
        <f t="array" ref="W114">IF(C114&lt;&gt;"",IFERROR(100-100/(1+SUMPRODUCT((終値!F92:R92&gt;終値!G92:S92)*( 終値!F92:R92-終値!G92:S92))/SUMPRODUCT((終値!F92:R92&lt;終値!G92:S92)*(終値!G92:S92-終値!F92:R92))),50),"")</f>
        <v>55.263753678967625</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見送り</v>
      </c>
      <c r="Z114" s="171">
        <f>IF(AND(E114&lt;&gt;"",G114&lt;&gt;"",G114&lt;&gt;0),(E114-G114)/G114*100,"")</f>
        <v>-4.3370654095462582</v>
      </c>
      <c r="AA114" s="163" t="str">
        <f>IF(OR(C114="",E114="",E114=0),"",IF(E114&gt;G114,"上昇▲",IF(E114&lt;G114,"下落▼","横ばい→")))</f>
        <v>下落▼</v>
      </c>
      <c r="AB114" s="403">
        <f>IF(C114="","",IFERROR(((終値!E116*0.333)+(終値!F116*0.222)+(終値!G116*0.148)+(終値!H116*0.099)+(終値!I116*0.066)+(終値!J116*0.044)+(終値!K116*0.029)+(終値!L116*0.019)+(終値!M116*0.013)+(終値!N116*0.009))/(0.333+0.222+0.148+0.099+0.066+0.044+0.029+0.019+0.013+0.009),""))</f>
        <v>1749.2006109979629</v>
      </c>
      <c r="AC114" s="403">
        <f>IF(C114="","",IFERROR(SUMPRODUCT((終値!E116:AC116),({0.077,0.071,0.065,0.06,0.055,0.051,0.047,0.043,0.039,0.036,0.033,0.031,0.028,0.026,0.024,0.022,0.02,0.018,0.017,0.016,0.014,0.013,0.012,0.011,0.01}))/SUM({0.077,0.071,0.065,0.06,0.055,0.051,0.047,0.043,0.039,0.036,0.033,0.031,0.028,0.026,0.024,0.022,0.02,0.018,0.017,0.016,0.014,0.013,0.012,0.011,0.01}),""))</f>
        <v>1792.5792610250294</v>
      </c>
      <c r="AD114" s="404" t="str">
        <f>IF(OR(C114="",AB114="",AC114=""),"",IF(AND(E114&gt;AB114,AB114&gt;AC114),"パーフェクト▲",IF(E114&gt;AC114,"上昇トレンド▲",IF(AND(E114&lt;AB114,AB114&lt;AC114),"下降トレンド▼","もみ合い→"))))</f>
        <v>上昇トレンド▲</v>
      </c>
      <c r="AE114" s="404" t="str">
        <f>IF(OR(C114="",AB114="",AC114=""),"",IF(AND(ABS(E114-AC114)/AC114&lt;=0.02,E114&gt;AC114),"25日押し目★",IF(AND(ABS(E114-AB114)/AB114&lt;=0.01,E114&gt;AB114),"5日押し目○","なし")))</f>
        <v>なし</v>
      </c>
      <c r="AF114" s="365">
        <f t="array" ref="AF114">IF(C114="","",IFERROR((INDEX(終値!$E:$E,MATCH(TEXT(C114,"0"),終値!$A:$A,0))-INDEX(終値!$E:$CZ,MATCH(TEXT(C114,"0"),終値!$A:$A,0),$AL$2))/INDEX(終値!$E:$CZ,MATCH(TEXT(C114,"0"),終値!$A:$A,0),$AL$2)*100,""))</f>
        <v>-9.1244961934617113</v>
      </c>
      <c r="AG114" s="365">
        <f t="array" ref="AG114">IFERROR((終値!$E$5-INDEX(終値!$E$5:$IT$5,1,$AL$2))/INDEX(終値!$E$5:$IT$5,1,$AL$2)*100,"")</f>
        <v>1.0179378228534113</v>
      </c>
      <c r="AH114" s="366">
        <f>IF(OR(AF114="",AG114=""),"",AF114-AG114)</f>
        <v>-10.142434016315123</v>
      </c>
      <c r="AI114" s="364">
        <f>IF(AH114="","",IF(AH114&gt;5,3,IF(AH114&gt;0,1,IF(AH114&gt;-3,-1,-2))))</f>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76</v>
      </c>
      <c r="F115" s="166">
        <f>IF(C115&lt;&gt;"",_xll.RssMarket(C115,"始値"),"")</f>
        <v>76</v>
      </c>
      <c r="G115" s="165">
        <f>IF(C115&lt;&gt;"",終値!F137,"")</f>
        <v>78</v>
      </c>
      <c r="H115" s="166">
        <f>IF(C115&lt;&gt;"",_xll.RssMarket(C115,"高値"),"")</f>
        <v>79</v>
      </c>
      <c r="I115" s="166">
        <f>IF(C115&lt;&gt;"",_xll.RssMarket(C115,"安値"),"")</f>
        <v>75</v>
      </c>
      <c r="J115" s="166">
        <f>IF(C115&lt;&gt;"",_xll.RssMarket(C115,"出来高"),"")</f>
        <v>1367600</v>
      </c>
      <c r="K115" s="166">
        <f>IF(C115&lt;&gt;"",_xll.RssMarket(C115,"年初来高値"),"")</f>
        <v>720</v>
      </c>
      <c r="L115" s="167">
        <f>IF(AND(E115&lt;&gt;"",K115&lt;&gt;"",K115&lt;&gt;0),(E115-K115)/K115*100,"")</f>
        <v>-89.444444444444443</v>
      </c>
      <c r="M115" s="166">
        <f>IF(C115&lt;&gt;"",IFERROR(AVERAGE(出来高!E137:I137),""),"")</f>
        <v>3800860</v>
      </c>
      <c r="N115" s="166">
        <f>IF(C115&lt;&gt;"",IFERROR(AVERAGE(出来高!E137:AC137),""),"")</f>
        <v>3863145.8333333335</v>
      </c>
      <c r="O115" s="168">
        <f>IF(AND(J115&lt;&gt;"",M115&lt;&gt;"",M115&lt;&gt;0),J115/M115,"")</f>
        <v>0.35981330540982831</v>
      </c>
      <c r="P115" s="163" t="str">
        <f>IF(O115="","",IF(O115&gt;=2,"急増↑↑",IF(O115&gt;=1.5,"増加↑",IF(O115&gt;=1,"普通→","減少↓"))))</f>
        <v>減少↓</v>
      </c>
      <c r="Q115" s="163" t="str">
        <f>IF(E115="","",IF(AND(E115&gt;G115,O115&gt;=1.5),"買い▲",IF(E115&lt;G115,"様子見▼","中立→")))</f>
        <v>様子見▼</v>
      </c>
      <c r="R115" s="166">
        <f>IF(E115&lt;&gt;"",ROUND(E115*1.08,0),"")</f>
        <v>82</v>
      </c>
      <c r="S115" s="166">
        <f>IF(E115&lt;&gt;"",ROUND(E115*0.96,0),"")</f>
        <v>73</v>
      </c>
      <c r="T115" s="163">
        <f>IF(C115="","",IFERROR(IF(O115&gt;=2,3,IF(O115&gt;=1.5,2,IF(O115&gt;=1,1,0)))+IF(E115&gt;G115,1,0)+IF(L115&gt;=-5,1,0)+IF(Q115="買い▲",2,0)+IF(W115&lt;=30,3,IF(W115&lt;=40,2,IF(AND(W115&gt;=40,W115&lt;=60),1,0)))+IF(X115&gt;0,1,0)+IF(V115="年初来高値更新●",3,IF(V115="高値圏",2,0))+IF(AD115="パーフェクト▲",3,IF(AD115="上昇トレンド▲",2,0))+IF(AE115="25日線押し目●",2,IF(AE115="5日線押し目○",1,0))+IF(P115="急増↑↑",2,IF(P115="増加↑",1,0))+N(AI115),0))</f>
        <v>0</v>
      </c>
      <c r="U115" s="163" t="str">
        <f>IF(T115="","",IF(AND(T115&gt;=3,O115&gt;=1.5),"有効",IF(T115&gt;=3,"要確認","除外")))</f>
        <v>除外</v>
      </c>
      <c r="V115" s="163" t="str">
        <f>IF(AND(H115&lt;&gt;"",K115&lt;&gt;""),IF(H115&gt;=K115,"年初来高値更新●",IF(H115&gt;=K115*0.95,"高値圏","通常")),"")</f>
        <v>通常</v>
      </c>
      <c r="W115" s="169">
        <f t="array" ref="W115">IF(C115&lt;&gt;"",IFERROR(100-100/(1+SUMPRODUCT((終値!F137:R137&gt;終値!G137:S137)*( 終値!F137:R137-終値!G137:S137))/SUMPRODUCT((終値!F137:R137&lt;終値!G137:S137)*(終値!G137:S137-終値!F137:R137))),50),"")</f>
        <v>34.5</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見送り</v>
      </c>
      <c r="Z115" s="171">
        <f>IF(AND(E115&lt;&gt;"",G115&lt;&gt;"",G115&lt;&gt;0),(E115-G115)/G115*100,"")</f>
        <v>-2.5641025641025639</v>
      </c>
      <c r="AA115" s="163" t="str">
        <f>IF(OR(C115="",E115="",E115=0),"",IF(E115&gt;G115,"上昇▲",IF(E115&lt;G115,"下落▼","横ばい→")))</f>
        <v>下落▼</v>
      </c>
      <c r="AB115" s="405">
        <f>IF(C115="","",IFERROR(((終値!E117*0.333)+(終値!F117*0.222)+(終値!G117*0.148)+(終値!H117*0.099)+(終値!I117*0.066)+(終値!J117*0.044)+(終値!K117*0.029)+(終値!L117*0.019)+(終値!M117*0.013)+(終値!N117*0.009))/(0.333+0.222+0.148+0.099+0.066+0.044+0.029+0.019+0.013+0.009),""))</f>
        <v>5476.6048879837062</v>
      </c>
      <c r="AC115" s="405">
        <f>IF(C115="","",IFERROR(SUMPRODUCT((終値!E117:AC117),({0.077,0.071,0.065,0.06,0.055,0.051,0.047,0.043,0.039,0.036,0.033,0.031,0.028,0.026,0.024,0.022,0.02,0.018,0.017,0.016,0.014,0.013,0.012,0.011,0.01}))/SUM({0.077,0.071,0.065,0.06,0.055,0.051,0.047,0.043,0.039,0.036,0.033,0.031,0.028,0.026,0.024,0.022,0.02,0.018,0.017,0.016,0.014,0.013,0.012,0.011,0.01}),""))</f>
        <v>5504.0643623361102</v>
      </c>
      <c r="AD115" s="406" t="str">
        <f>IF(OR(C115="",AB115="",AC115=""),"",IF(AND(E115&gt;AB115,AB115&gt;AC115),"パーフェクト▲",IF(E115&gt;AC115,"上昇トレンド▲",IF(AND(E115&lt;AB115,AB115&lt;AC115),"下降トレンド▼","もみ合い→"))))</f>
        <v>下降トレンド▼</v>
      </c>
      <c r="AE115" s="406" t="str">
        <f>IF(OR(C115="",AB115="",AC115=""),"",IF(AND(ABS(E115-AC115)/AC115&lt;=0.02,E115&gt;AC115),"25日押し目★",IF(AND(ABS(E115-AB115)/AB115&lt;=0.01,E115&gt;AB115),"5日押し目○","なし")))</f>
        <v>なし</v>
      </c>
      <c r="AF115" s="365">
        <f t="array" ref="AF115">IF(C115="","",IFERROR((INDEX(終値!$E:$E,MATCH(TEXT(C115,"0"),終値!$A:$A,0))-INDEX(終値!$E:$CZ,MATCH(TEXT(C115,"0"),終値!$A:$A,0),$AL$2))/INDEX(終値!$E:$CZ,MATCH(TEXT(C115,"0"),終値!$A:$A,0),$AL$2)*100,""))</f>
        <v>-69.721115537848604</v>
      </c>
      <c r="AG115" s="365">
        <f t="array" ref="AG115">IFERROR((終値!$E$5-INDEX(終値!$E$5:$IT$5,1,$AL$2))/INDEX(終値!$E$5:$IT$5,1,$AL$2)*100,"")</f>
        <v>1.0179378228534113</v>
      </c>
      <c r="AH115" s="366">
        <f>IF(OR(AF115="",AG115=""),"",AF115-AG115)</f>
        <v>-70.739053360702016</v>
      </c>
      <c r="AI115" s="364">
        <f>IF(AH115="","",IF(AH115&gt;5,3,IF(AH115&gt;0,1,IF(AH115&gt;-3,-1,-2))))</f>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2358</v>
      </c>
      <c r="F116" s="166">
        <f>IF(C116&lt;&gt;"",_xll.RssMarket(C116,"始値"),"")</f>
        <v>2340</v>
      </c>
      <c r="G116" s="165">
        <f>IF(C116&lt;&gt;"",終値!F72,"")</f>
        <v>2390</v>
      </c>
      <c r="H116" s="166">
        <f>IF(C116&lt;&gt;"",_xll.RssMarket(C116,"高値"),"")</f>
        <v>2413</v>
      </c>
      <c r="I116" s="166">
        <f>IF(C116&lt;&gt;"",_xll.RssMarket(C116,"安値"),"")</f>
        <v>2340</v>
      </c>
      <c r="J116" s="166">
        <f>IF(C116&lt;&gt;"",_xll.RssMarket(C116,"出来高"),"")</f>
        <v>60500</v>
      </c>
      <c r="K116" s="166">
        <f>IF(C116&lt;&gt;"",_xll.RssMarket(C116,"年初来高値"),"")</f>
        <v>3490</v>
      </c>
      <c r="L116" s="167">
        <f>IF(AND(E116&lt;&gt;"",K116&lt;&gt;"",K116&lt;&gt;0),(E116-K116)/K116*100,"")</f>
        <v>-32.435530085959883</v>
      </c>
      <c r="M116" s="166">
        <f>IF(C116&lt;&gt;"",IFERROR(AVERAGE(出来高!E72:I72),""),"")</f>
        <v>49900</v>
      </c>
      <c r="N116" s="166">
        <f>IF(C116&lt;&gt;"",IFERROR(AVERAGE(出来高!E72:AC72),""),"")</f>
        <v>71812</v>
      </c>
      <c r="O116" s="168">
        <f>IF(AND(J116&lt;&gt;"",M116&lt;&gt;"",M116&lt;&gt;0),J116/M116,"")</f>
        <v>1.2124248496993988</v>
      </c>
      <c r="P116" s="163" t="str">
        <f>IF(O116="","",IF(O116&gt;=2,"急増↑↑",IF(O116&gt;=1.5,"増加↑",IF(O116&gt;=1,"普通→","減少↓"))))</f>
        <v>普通→</v>
      </c>
      <c r="Q116" s="163" t="str">
        <f>IF(E116="","",IF(AND(E116&gt;G116,O116&gt;=1.5),"買い▲",IF(E116&lt;G116,"様子見▼","中立→")))</f>
        <v>様子見▼</v>
      </c>
      <c r="R116" s="166">
        <f>IF(E116&lt;&gt;"",ROUND(E116*1.08,0),"")</f>
        <v>2547</v>
      </c>
      <c r="S116" s="166">
        <f>IF(E116&lt;&gt;"",ROUND(E116*0.96,0),"")</f>
        <v>2264</v>
      </c>
      <c r="T116" s="163">
        <f>IF(C116="","",IFERROR(IF(O116&gt;=2,3,IF(O116&gt;=1.5,2,IF(O116&gt;=1,1,0)))+IF(E116&gt;G116,1,0)+IF(L116&gt;=-5,1,0)+IF(Q116="買い▲",2,0)+IF(W116&lt;=30,3,IF(W116&lt;=40,2,IF(AND(W116&gt;=40,W116&lt;=60),1,0)))+IF(X116&gt;0,1,0)+IF(V116="年初来高値更新●",3,IF(V116="高値圏",2,0))+IF(AD116="パーフェクト▲",3,IF(AD116="上昇トレンド▲",2,0))+IF(AE116="25日線押し目●",2,IF(AE116="5日線押し目○",1,0))+IF(P116="急増↑↑",2,IF(P116="増加↑",1,0))+N(AI116),0))</f>
        <v>1</v>
      </c>
      <c r="U116" s="163" t="str">
        <f>IF(T116="","",IF(AND(T116&gt;=3,O116&gt;=1.5),"有効",IF(T116&gt;=3,"要確認","除外")))</f>
        <v>除外</v>
      </c>
      <c r="V116" s="163" t="str">
        <f>IF(AND(H116&lt;&gt;"",K116&lt;&gt;""),IF(H116&gt;=K116,"年初来高値更新●",IF(H116&gt;=K116*0.95,"高値圏","通常")),"")</f>
        <v>通常</v>
      </c>
      <c r="W116" s="169">
        <f t="array" ref="W116">IF(C116&lt;&gt;"",IFERROR(100-100/(1+SUMPRODUCT((終値!F72:R72&gt;終値!G72:S72)*( 終値!F72:R72-終値!G72:S72))/SUMPRODUCT((終値!F72:R72&lt;終値!G72:S72)*(終値!G72:S72-終値!F72:R72))),50),"")</f>
        <v>49.913941480206539</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見送り</v>
      </c>
      <c r="Z116" s="171">
        <f>IF(AND(E116&lt;&gt;"",G116&lt;&gt;"",G116&lt;&gt;0),(E116-G116)/G116*100,"")</f>
        <v>-1.3389121338912133</v>
      </c>
      <c r="AA116" s="163" t="str">
        <f>IF(OR(C116="",E116="",E116=0),"",IF(E116&gt;G116,"上昇▲",IF(E116&lt;G116,"下落▼","横ばい→")))</f>
        <v>下落▼</v>
      </c>
      <c r="AB116" s="403">
        <f>IF(C116="","",IFERROR(((終値!E118*0.333)+(終値!F118*0.222)+(終値!G118*0.148)+(終値!H118*0.099)+(終値!I118*0.066)+(終値!J118*0.044)+(終値!K118*0.029)+(終値!L118*0.019)+(終値!M118*0.013)+(終値!N118*0.009))/(0.333+0.222+0.148+0.099+0.066+0.044+0.029+0.019+0.013+0.009),""))</f>
        <v>4595.469450101833</v>
      </c>
      <c r="AC116" s="403">
        <f>IF(C116="","",IFERROR(SUMPRODUCT((終値!E118:AC118),({0.077,0.071,0.065,0.06,0.055,0.051,0.047,0.043,0.039,0.036,0.033,0.031,0.028,0.026,0.024,0.022,0.02,0.018,0.017,0.016,0.014,0.013,0.012,0.011,0.01}))/SUM({0.077,0.071,0.065,0.06,0.055,0.051,0.047,0.043,0.039,0.036,0.033,0.031,0.028,0.026,0.024,0.022,0.02,0.018,0.017,0.016,0.014,0.013,0.012,0.011,0.01}),""))</f>
        <v>4599.8295589988056</v>
      </c>
      <c r="AD116" s="404" t="str">
        <f>IF(OR(C116="",AB116="",AC116=""),"",IF(AND(E116&gt;AB116,AB116&gt;AC116),"パーフェクト▲",IF(E116&gt;AC116,"上昇トレンド▲",IF(AND(E116&lt;AB116,AB116&lt;AC116),"下降トレンド▼","もみ合い→"))))</f>
        <v>下降トレンド▼</v>
      </c>
      <c r="AE116" s="404" t="str">
        <f>IF(OR(C116="",AB116="",AC116=""),"",IF(AND(ABS(E116-AC116)/AC116&lt;=0.02,E116&gt;AC116),"25日押し目★",IF(AND(ABS(E116-AB116)/AB116&lt;=0.01,E116&gt;AB116),"5日押し目○","なし")))</f>
        <v>なし</v>
      </c>
      <c r="AF116" s="365">
        <f t="array" ref="AF116">IF(C116="","",IFERROR((INDEX(終値!$E:$E,MATCH(TEXT(C116,"0"),終値!$A:$A,0))-INDEX(終値!$E:$CZ,MATCH(TEXT(C116,"0"),終値!$A:$A,0),$AL$2))/INDEX(終値!$E:$CZ,MATCH(TEXT(C116,"0"),終値!$A:$A,0),$AL$2)*100,""))</f>
        <v>-1.8726591760299627</v>
      </c>
      <c r="AG116" s="365">
        <f t="array" ref="AG116">IFERROR((終値!$E$5-INDEX(終値!$E$5:$IT$5,1,$AL$2))/INDEX(終値!$E$5:$IT$5,1,$AL$2)*100,"")</f>
        <v>1.0179378228534113</v>
      </c>
      <c r="AH116" s="366">
        <f>IF(OR(AF116="",AG116=""),"",AF116-AG116)</f>
        <v>-2.8905969988833737</v>
      </c>
      <c r="AI116" s="364">
        <f>IF(AH116="","",IF(AH116&gt;5,3,IF(AH116&gt;0,1,IF(AH116&gt;-3,-1,-2))))</f>
        <v>-1</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3596</v>
      </c>
      <c r="F117" s="166">
        <f>IF(C117&lt;&gt;"",_xll.RssMarket(C117,"始値"),"")</f>
        <v>3508</v>
      </c>
      <c r="G117" s="165">
        <f>IF(C117&lt;&gt;"",終値!F42,"")</f>
        <v>3500</v>
      </c>
      <c r="H117" s="166">
        <f>IF(C117&lt;&gt;"",_xll.RssMarket(C117,"高値"),"")</f>
        <v>3644</v>
      </c>
      <c r="I117" s="166">
        <f>IF(C117&lt;&gt;"",_xll.RssMarket(C117,"安値"),"")</f>
        <v>3496</v>
      </c>
      <c r="J117" s="166">
        <f>IF(C117&lt;&gt;"",_xll.RssMarket(C117,"出来高"),"")</f>
        <v>721400</v>
      </c>
      <c r="K117" s="166">
        <f>IF(C117&lt;&gt;"",_xll.RssMarket(C117,"年初来高値"),"")</f>
        <v>4456</v>
      </c>
      <c r="L117" s="167">
        <f>IF(AND(E117&lt;&gt;"",K117&lt;&gt;"",K117&lt;&gt;0),(E117-K117)/K117*100,"")</f>
        <v>-19.299820466786354</v>
      </c>
      <c r="M117" s="166">
        <f>IF(C117&lt;&gt;"",IFERROR(AVERAGE(出来高!E42:I42),""),"")</f>
        <v>426820</v>
      </c>
      <c r="N117" s="166">
        <f>IF(C117&lt;&gt;"",IFERROR(AVERAGE(出来高!E42:AC42),""),"")</f>
        <v>332340</v>
      </c>
      <c r="O117" s="168">
        <f>IF(AND(J117&lt;&gt;"",M117&lt;&gt;"",M117&lt;&gt;0),J117/M117,"")</f>
        <v>1.6901738437748934</v>
      </c>
      <c r="P117" s="163" t="str">
        <f>IF(O117="","",IF(O117&gt;=2,"急増↑↑",IF(O117&gt;=1.5,"増加↑",IF(O117&gt;=1,"普通→","減少↓"))))</f>
        <v>増加↑</v>
      </c>
      <c r="Q117" s="163" t="str">
        <f>IF(E117="","",IF(AND(E117&gt;G117,O117&gt;=1.5),"買い▲",IF(E117&lt;G117,"様子見▼","中立→")))</f>
        <v>買い▲</v>
      </c>
      <c r="R117" s="166">
        <f>IF(E117&lt;&gt;"",ROUND(E117*1.08,0),"")</f>
        <v>3884</v>
      </c>
      <c r="S117" s="166">
        <f>IF(E117&lt;&gt;"",ROUND(E117*0.96,0),"")</f>
        <v>3452</v>
      </c>
      <c r="T117" s="163">
        <f>IF(C117="","",IFERROR(IF(O117&gt;=2,3,IF(O117&gt;=1.5,2,IF(O117&gt;=1,1,0)))+IF(E117&gt;G117,1,0)+IF(L117&gt;=-5,1,0)+IF(Q117="買い▲",2,0)+IF(W117&lt;=30,3,IF(W117&lt;=40,2,IF(AND(W117&gt;=40,W117&lt;=60),1,0)))+IF(X117&gt;0,1,0)+IF(V117="年初来高値更新●",3,IF(V117="高値圏",2,0))+IF(AD117="パーフェクト▲",3,IF(AD117="上昇トレンド▲",2,0))+IF(AE117="25日線押し目●",2,IF(AE117="5日線押し目○",1,0))+IF(P117="急増↑↑",2,IF(P117="増加↑",1,0))+N(AI117),0))</f>
        <v>8</v>
      </c>
      <c r="U117" s="163" t="str">
        <f>IF(T117="","",IF(AND(T117&gt;=3,O117&gt;=1.5),"有効",IF(T117&gt;=3,"要確認","除外")))</f>
        <v>有効</v>
      </c>
      <c r="V117" s="163" t="str">
        <f>IF(AND(H117&lt;&gt;"",K117&lt;&gt;""),IF(H117&gt;=K117,"年初来高値更新●",IF(H117&gt;=K117*0.95,"高値圏","通常")),"")</f>
        <v>通常</v>
      </c>
      <c r="W117" s="169">
        <f t="array" ref="W117">IF(C117&lt;&gt;"",IFERROR(100-100/(1+SUMPRODUCT((終値!F42:R42&gt;終値!G42:S42)*( 終値!F42:R42-終値!G42:S42))/SUMPRODUCT((終値!F42:R42&lt;終値!G42:S42)*(終値!G42:S42-終値!F42:R42))),50),"")</f>
        <v>42.812500000000007</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△注目</v>
      </c>
      <c r="Z117" s="171">
        <f>IF(AND(E117&lt;&gt;"",G117&lt;&gt;"",G117&lt;&gt;0),(E117-G117)/G117*100,"")</f>
        <v>2.7428571428571429</v>
      </c>
      <c r="AA117" s="163" t="str">
        <f>IF(OR(C117="",E117="",E117=0),"",IF(E117&gt;G117,"上昇▲",IF(E117&lt;G117,"下落▼","横ばい→")))</f>
        <v>上昇▲</v>
      </c>
      <c r="AB117" s="405">
        <f>IF(C117="","",IFERROR(((終値!E119*0.333)+(終値!F119*0.222)+(終値!G119*0.148)+(終値!H119*0.099)+(終値!I119*0.066)+(終値!J119*0.044)+(終値!K119*0.029)+(終値!L119*0.019)+(終値!M119*0.013)+(終値!N119*0.009))/(0.333+0.222+0.148+0.099+0.066+0.044+0.029+0.019+0.013+0.009),""))</f>
        <v>2855.3467413441949</v>
      </c>
      <c r="AC117" s="405">
        <f>IF(C117="","",IFERROR(SUMPRODUCT((終値!E119:AC119),({0.077,0.071,0.065,0.06,0.055,0.051,0.047,0.043,0.039,0.036,0.033,0.031,0.028,0.026,0.024,0.022,0.02,0.018,0.017,0.016,0.014,0.013,0.012,0.011,0.01}))/SUM({0.077,0.071,0.065,0.06,0.055,0.051,0.047,0.043,0.039,0.036,0.033,0.031,0.028,0.026,0.024,0.022,0.02,0.018,0.017,0.016,0.014,0.013,0.012,0.011,0.01}),""))</f>
        <v>2888.9278903456479</v>
      </c>
      <c r="AD117" s="406" t="str">
        <f>IF(OR(C117="",AB117="",AC117=""),"",IF(AND(E117&gt;AB117,AB117&gt;AC117),"パーフェクト▲",IF(E117&gt;AC117,"上昇トレンド▲",IF(AND(E117&lt;AB117,AB117&lt;AC117),"下降トレンド▼","もみ合い→"))))</f>
        <v>上昇トレンド▲</v>
      </c>
      <c r="AE117" s="406" t="str">
        <f>IF(OR(C117="",AB117="",AC117=""),"",IF(AND(ABS(E117-AC117)/AC117&lt;=0.02,E117&gt;AC117),"25日押し目★",IF(AND(ABS(E117-AB117)/AB117&lt;=0.01,E117&gt;AB117),"5日押し目○","なし")))</f>
        <v>なし</v>
      </c>
      <c r="AF117" s="365">
        <f t="array" ref="AF117">IF(C117="","",IFERROR((INDEX(終値!$E:$E,MATCH(TEXT(C117,"0"),終値!$A:$A,0))-INDEX(終値!$E:$CZ,MATCH(TEXT(C117,"0"),終値!$A:$A,0),$AL$2))/INDEX(終値!$E:$CZ,MATCH(TEXT(C117,"0"),終値!$A:$A,0),$AL$2)*100,""))</f>
        <v>0.86956521739130432</v>
      </c>
      <c r="AG117" s="365">
        <f t="array" ref="AG117">IFERROR((終値!$E$5-INDEX(終値!$E$5:$IT$5,1,$AL$2))/INDEX(終値!$E$5:$IT$5,1,$AL$2)*100,"")</f>
        <v>1.0179378228534113</v>
      </c>
      <c r="AH117" s="366">
        <f>IF(OR(AF117="",AG117=""),"",AF117-AG117)</f>
        <v>-0.14837260546210695</v>
      </c>
      <c r="AI117" s="364">
        <f>IF(AH117="","",IF(AH117&gt;5,3,IF(AH117&gt;0,1,IF(AH117&gt;-3,-1,-2))))</f>
        <v>-1</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1782.5</v>
      </c>
      <c r="F118" s="166">
        <f>IF(C118&lt;&gt;"",_xll.RssMarket(C118,"始値"),"")</f>
        <v>1750</v>
      </c>
      <c r="G118" s="165">
        <f>IF(C118&lt;&gt;"",終値!F36,"")</f>
        <v>1754.5</v>
      </c>
      <c r="H118" s="166">
        <f>IF(C118&lt;&gt;"",_xll.RssMarket(C118,"高値"),"")</f>
        <v>1785</v>
      </c>
      <c r="I118" s="166">
        <f>IF(C118&lt;&gt;"",_xll.RssMarket(C118,"安値"),"")</f>
        <v>1746</v>
      </c>
      <c r="J118" s="166">
        <f>IF(C118&lt;&gt;"",_xll.RssMarket(C118,"出来高"),"")</f>
        <v>2367100</v>
      </c>
      <c r="K118" s="166">
        <f>IF(C118&lt;&gt;"",_xll.RssMarket(C118,"年初来高値"),"")</f>
        <v>1943</v>
      </c>
      <c r="L118" s="167">
        <f>IF(AND(E118&lt;&gt;"",K118&lt;&gt;"",K118&lt;&gt;0),(E118-K118)/K118*100,"")</f>
        <v>-8.2604220277920746</v>
      </c>
      <c r="M118" s="166">
        <f>IF(C118&lt;&gt;"",IFERROR(AVERAGE(出来高!E36:I36),""),"")</f>
        <v>3631280</v>
      </c>
      <c r="N118" s="166">
        <f>IF(C118&lt;&gt;"",IFERROR(AVERAGE(出来高!E36:AC36),""),"")</f>
        <v>2348684</v>
      </c>
      <c r="O118" s="168">
        <f>IF(AND(J118&lt;&gt;"",M118&lt;&gt;"",M118&lt;&gt;0),J118/M118,"")</f>
        <v>0.65186380560022916</v>
      </c>
      <c r="P118" s="163" t="str">
        <f>IF(O118="","",IF(O118&gt;=2,"急増↑↑",IF(O118&gt;=1.5,"増加↑",IF(O118&gt;=1,"普通→","減少↓"))))</f>
        <v>減少↓</v>
      </c>
      <c r="Q118" s="163" t="str">
        <f>IF(E118="","",IF(AND(E118&gt;G118,O118&gt;=1.5),"買い▲",IF(E118&lt;G118,"様子見▼","中立→")))</f>
        <v>中立→</v>
      </c>
      <c r="R118" s="166">
        <f>IF(E118&lt;&gt;"",ROUND(E118*1.08,0),"")</f>
        <v>1925</v>
      </c>
      <c r="S118" s="166">
        <f>IF(E118&lt;&gt;"",ROUND(E118*0.96,0),"")</f>
        <v>1711</v>
      </c>
      <c r="T118" s="163">
        <f>IF(C118="","",IFERROR(IF(O118&gt;=2,3,IF(O118&gt;=1.5,2,IF(O118&gt;=1,1,0)))+IF(E118&gt;G118,1,0)+IF(L118&gt;=-5,1,0)+IF(Q118="買い▲",2,0)+IF(W118&lt;=30,3,IF(W118&lt;=40,2,IF(AND(W118&gt;=40,W118&lt;=60),1,0)))+IF(X118&gt;0,1,0)+IF(V118="年初来高値更新●",3,IF(V118="高値圏",2,0))+IF(AD118="パーフェクト▲",3,IF(AD118="上昇トレンド▲",2,0))+IF(AE118="25日線押し目●",2,IF(AE118="5日線押し目○",1,0))+IF(P118="急増↑↑",2,IF(P118="増加↑",1,0))+N(AI118),0))</f>
        <v>2</v>
      </c>
      <c r="U118" s="163" t="str">
        <f>IF(T118="","",IF(AND(T118&gt;=3,O118&gt;=1.5),"有効",IF(T118&gt;=3,"要確認","除外")))</f>
        <v>除外</v>
      </c>
      <c r="V118" s="163" t="str">
        <f>IF(AND(H118&lt;&gt;"",K118&lt;&gt;""),IF(H118&gt;=K118,"年初来高値更新●",IF(H118&gt;=K118*0.95,"高値圏","通常")),"")</f>
        <v>通常</v>
      </c>
      <c r="W118" s="169">
        <f t="array" ref="W118">IF(C118&lt;&gt;"",IFERROR(100-100/(1+SUMPRODUCT((終値!F36:R36&gt;終値!G36:S36)*( 終値!F36:R36-終値!G36:S36))/SUMPRODUCT((終値!F36:R36&lt;終値!G36:S36)*(終値!G36:S36-終値!F36:R36))),50),"")</f>
        <v>36.004162330905302</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見送り</v>
      </c>
      <c r="Z118" s="171">
        <f>IF(AND(E118&lt;&gt;"",G118&lt;&gt;"",G118&lt;&gt;0),(E118-G118)/G118*100,"")</f>
        <v>1.5958962667426617</v>
      </c>
      <c r="AA118" s="163" t="str">
        <f>IF(OR(C118="",E118="",E118=0),"",IF(E118&gt;G118,"上昇▲",IF(E118&lt;G118,"下落▼","横ばい→")))</f>
        <v>上昇▲</v>
      </c>
      <c r="AB118" s="403">
        <f>IF(C118="","",IFERROR(((終値!E120*0.333)+(終値!F120*0.222)+(終値!G120*0.148)+(終値!H120*0.099)+(終値!I120*0.066)+(終値!J120*0.044)+(終値!K120*0.029)+(終値!L120*0.019)+(終値!M120*0.013)+(終値!N120*0.009))/(0.333+0.222+0.148+0.099+0.066+0.044+0.029+0.019+0.013+0.009),""))</f>
        <v>4500.6924643584516</v>
      </c>
      <c r="AC118" s="403">
        <f>IF(C118="","",IFERROR(SUMPRODUCT((終値!E120:AC120),({0.077,0.071,0.065,0.06,0.055,0.051,0.047,0.043,0.039,0.036,0.033,0.031,0.028,0.026,0.024,0.022,0.02,0.018,0.017,0.016,0.014,0.013,0.012,0.011,0.01}))/SUM({0.077,0.071,0.065,0.06,0.055,0.051,0.047,0.043,0.039,0.036,0.033,0.031,0.028,0.026,0.024,0.022,0.02,0.018,0.017,0.016,0.014,0.013,0.012,0.011,0.01}),""))</f>
        <v>4221.1442193086987</v>
      </c>
      <c r="AD118" s="404" t="str">
        <f>IF(OR(C118="",AB118="",AC118=""),"",IF(AND(E118&gt;AB118,AB118&gt;AC118),"パーフェクト▲",IF(E118&gt;AC118,"上昇トレンド▲",IF(AND(E118&lt;AB118,AB118&lt;AC118),"下降トレンド▼","もみ合い→"))))</f>
        <v>もみ合い→</v>
      </c>
      <c r="AE118" s="404" t="str">
        <f>IF(OR(C118="",AB118="",AC118=""),"",IF(AND(ABS(E118-AC118)/AC118&lt;=0.02,E118&gt;AC118),"25日押し目★",IF(AND(ABS(E118-AB118)/AB118&lt;=0.01,E118&gt;AB118),"5日押し目○","なし")))</f>
        <v>なし</v>
      </c>
      <c r="AF118" s="365">
        <f t="array" ref="AF118">IF(C118="","",IFERROR((INDEX(終値!$E:$E,MATCH(TEXT(C118,"0"),終値!$A:$A,0))-INDEX(終値!$E:$CZ,MATCH(TEXT(C118,"0"),終値!$A:$A,0),$AL$2))/INDEX(終値!$E:$CZ,MATCH(TEXT(C118,"0"),終値!$A:$A,0),$AL$2)*100,""))</f>
        <v>-0.50237231370360036</v>
      </c>
      <c r="AG118" s="365">
        <f t="array" ref="AG118">IFERROR((終値!$E$5-INDEX(終値!$E$5:$IT$5,1,$AL$2))/INDEX(終値!$E$5:$IT$5,1,$AL$2)*100,"")</f>
        <v>1.0179378228534113</v>
      </c>
      <c r="AH118" s="366">
        <f>IF(OR(AF118="",AG118=""),"",AF118-AG118)</f>
        <v>-1.5203101365570117</v>
      </c>
      <c r="AI118" s="364">
        <f>IF(AH118="","",IF(AH118&gt;5,3,IF(AH118&gt;0,1,IF(AH118&gt;-3,-1,-2))))</f>
        <v>-1</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3635</v>
      </c>
      <c r="F119" s="166">
        <f>IF(C119&lt;&gt;"",_xll.RssMarket(C119,"始値"),"")</f>
        <v>3627</v>
      </c>
      <c r="G119" s="165">
        <f>IF(C119&lt;&gt;"",終値!F49,"")</f>
        <v>3612</v>
      </c>
      <c r="H119" s="166">
        <f>IF(C119&lt;&gt;"",_xll.RssMarket(C119,"高値"),"")</f>
        <v>3661</v>
      </c>
      <c r="I119" s="166">
        <f>IF(C119&lt;&gt;"",_xll.RssMarket(C119,"安値"),"")</f>
        <v>3614</v>
      </c>
      <c r="J119" s="166">
        <f>IF(C119&lt;&gt;"",_xll.RssMarket(C119,"出来高"),"")</f>
        <v>617900</v>
      </c>
      <c r="K119" s="166">
        <f>IF(C119&lt;&gt;"",_xll.RssMarket(C119,"年初来高値"),"")</f>
        <v>4284</v>
      </c>
      <c r="L119" s="167">
        <f>IF(AND(E119&lt;&gt;"",K119&lt;&gt;"",K119&lt;&gt;0),(E119-K119)/K119*100,"")</f>
        <v>-15.149393090569561</v>
      </c>
      <c r="M119" s="166">
        <f>IF(C119&lt;&gt;"",IFERROR(AVERAGE(出来高!E49:I49),""),"")</f>
        <v>1085400</v>
      </c>
      <c r="N119" s="166">
        <f>IF(C119&lt;&gt;"",IFERROR(AVERAGE(出来高!E49:AC49),""),"")</f>
        <v>670133.33333333337</v>
      </c>
      <c r="O119" s="168">
        <f>IF(AND(J119&lt;&gt;"",M119&lt;&gt;"",M119&lt;&gt;0),J119/M119,"")</f>
        <v>0.56928321356182054</v>
      </c>
      <c r="P119" s="163" t="str">
        <f>IF(O119="","",IF(O119&gt;=2,"急増↑↑",IF(O119&gt;=1.5,"増加↑",IF(O119&gt;=1,"普通→","減少↓"))))</f>
        <v>減少↓</v>
      </c>
      <c r="Q119" s="163" t="str">
        <f>IF(E119="","",IF(AND(E119&gt;G119,O119&gt;=1.5),"買い▲",IF(E119&lt;G119,"様子見▼","中立→")))</f>
        <v>中立→</v>
      </c>
      <c r="R119" s="166">
        <f>IF(E119&lt;&gt;"",ROUND(E119*1.08,0),"")</f>
        <v>3926</v>
      </c>
      <c r="S119" s="166">
        <f>IF(E119&lt;&gt;"",ROUND(E119*0.96,0),"")</f>
        <v>3490</v>
      </c>
      <c r="T119" s="163">
        <f>IF(C119="","",IFERROR(IF(O119&gt;=2,3,IF(O119&gt;=1.5,2,IF(O119&gt;=1,1,0)))+IF(E119&gt;G119,1,0)+IF(L119&gt;=-5,1,0)+IF(Q119="買い▲",2,0)+IF(W119&lt;=30,3,IF(W119&lt;=40,2,IF(AND(W119&gt;=40,W119&lt;=60),1,0)))+IF(X119&gt;0,1,0)+IF(V119="年初来高値更新●",3,IF(V119="高値圏",2,0))+IF(AD119="パーフェクト▲",3,IF(AD119="上昇トレンド▲",2,0))+IF(AE119="25日線押し目●",2,IF(AE119="5日線押し目○",1,0))+IF(P119="急増↑↑",2,IF(P119="増加↑",1,0))+N(AI119),0))</f>
        <v>2</v>
      </c>
      <c r="U119" s="163" t="str">
        <f>IF(T119="","",IF(AND(T119&gt;=3,O119&gt;=1.5),"有効",IF(T119&gt;=3,"要確認","除外")))</f>
        <v>除外</v>
      </c>
      <c r="V119" s="163" t="str">
        <f>IF(AND(H119&lt;&gt;"",K119&lt;&gt;""),IF(H119&gt;=K119,"年初来高値更新●",IF(H119&gt;=K119*0.95,"高値圏","通常")),"")</f>
        <v>通常</v>
      </c>
      <c r="W119" s="169">
        <f t="array" ref="W119">IF(C119&lt;&gt;"",IFERROR(100-100/(1+SUMPRODUCT((終値!F49:R49&gt;終値!G49:S49)*( 終値!F49:R49-終値!G49:S49))/SUMPRODUCT((終値!F49:R49&lt;終値!G49:S49)*(終値!G49:S49-終値!F49:R49))),50),"")</f>
        <v>49.441600744532337</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見送り</v>
      </c>
      <c r="Z119" s="171">
        <f>IF(AND(E119&lt;&gt;"",G119&lt;&gt;"",G119&lt;&gt;0),(E119-G119)/G119*100,"")</f>
        <v>0.63676633444075303</v>
      </c>
      <c r="AA119" s="163" t="str">
        <f>IF(OR(C119="",E119="",E119=0),"",IF(E119&gt;G119,"上昇▲",IF(E119&lt;G119,"下落▼","横ばい→")))</f>
        <v>上昇▲</v>
      </c>
      <c r="AB119" s="405">
        <f>IF(C119="","",IFERROR(((終値!E121*0.333)+(終値!F121*0.222)+(終値!G121*0.148)+(終値!H121*0.099)+(終値!I121*0.066)+(終値!J121*0.044)+(終値!K121*0.029)+(終値!L121*0.019)+(終値!M121*0.013)+(終値!N121*0.009))/(0.333+0.222+0.148+0.099+0.066+0.044+0.029+0.019+0.013+0.009),""))</f>
        <v>3026.7046843177181</v>
      </c>
      <c r="AC119" s="405">
        <f>IF(C119="","",IFERROR(SUMPRODUCT((終値!E121:AC121),({0.077,0.071,0.065,0.06,0.055,0.051,0.047,0.043,0.039,0.036,0.033,0.031,0.028,0.026,0.024,0.022,0.02,0.018,0.017,0.016,0.014,0.013,0.012,0.011,0.01}))/SUM({0.077,0.071,0.065,0.06,0.055,0.051,0.047,0.043,0.039,0.036,0.033,0.031,0.028,0.026,0.024,0.022,0.02,0.018,0.017,0.016,0.014,0.013,0.012,0.011,0.01}),""))</f>
        <v>3038.7556615017875</v>
      </c>
      <c r="AD119" s="406" t="str">
        <f>IF(OR(C119="",AB119="",AC119=""),"",IF(AND(E119&gt;AB119,AB119&gt;AC119),"パーフェクト▲",IF(E119&gt;AC119,"上昇トレンド▲",IF(AND(E119&lt;AB119,AB119&lt;AC119),"下降トレンド▼","もみ合い→"))))</f>
        <v>上昇トレンド▲</v>
      </c>
      <c r="AE119" s="406" t="str">
        <f>IF(OR(C119="",AB119="",AC119=""),"",IF(AND(ABS(E119-AC119)/AC119&lt;=0.02,E119&gt;AC119),"25日押し目★",IF(AND(ABS(E119-AB119)/AB119&lt;=0.01,E119&gt;AB119),"5日押し目○","なし")))</f>
        <v>なし</v>
      </c>
      <c r="AF119" s="365">
        <f t="array" ref="AF119">IF(C119="","",IFERROR((INDEX(終値!$E:$E,MATCH(TEXT(C119,"0"),終値!$A:$A,0))-INDEX(終値!$E:$CZ,MATCH(TEXT(C119,"0"),終値!$A:$A,0),$AL$2))/INDEX(終値!$E:$CZ,MATCH(TEXT(C119,"0"),終値!$A:$A,0),$AL$2)*100,""))</f>
        <v>-2.859433458043827</v>
      </c>
      <c r="AG119" s="365">
        <f t="array" ref="AG119">IFERROR((終値!$E$5-INDEX(終値!$E$5:$IT$5,1,$AL$2))/INDEX(終値!$E$5:$IT$5,1,$AL$2)*100,"")</f>
        <v>1.0179378228534113</v>
      </c>
      <c r="AH119" s="366">
        <f>IF(OR(AF119="",AG119=""),"",AF119-AG119)</f>
        <v>-3.877371280897238</v>
      </c>
      <c r="AI119" s="364">
        <f>IF(AH119="","",IF(AH119&gt;5,3,IF(AH119&gt;0,1,IF(AH119&gt;-3,-1,-2))))</f>
        <v>-2</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4250</v>
      </c>
      <c r="F120" s="166">
        <f>IF(C120&lt;&gt;"",_xll.RssMarket(C120,"始値"),"")</f>
        <v>4188</v>
      </c>
      <c r="G120" s="165">
        <f>IF(C120&lt;&gt;"",終値!F55,"")</f>
        <v>4239</v>
      </c>
      <c r="H120" s="166">
        <f>IF(C120&lt;&gt;"",_xll.RssMarket(C120,"高値"),"")</f>
        <v>4302</v>
      </c>
      <c r="I120" s="166">
        <f>IF(C120&lt;&gt;"",_xll.RssMarket(C120,"安値"),"")</f>
        <v>4170</v>
      </c>
      <c r="J120" s="166">
        <f>IF(C120&lt;&gt;"",_xll.RssMarket(C120,"出来高"),"")</f>
        <v>383400</v>
      </c>
      <c r="K120" s="166">
        <f>IF(C120&lt;&gt;"",_xll.RssMarket(C120,"年初来高値"),"")</f>
        <v>4404</v>
      </c>
      <c r="L120" s="167">
        <f>IF(AND(E120&lt;&gt;"",K120&lt;&gt;"",K120&lt;&gt;0),(E120-K120)/K120*100,"")</f>
        <v>-3.4968210717529522</v>
      </c>
      <c r="M120" s="166">
        <f>IF(C120&lt;&gt;"",IFERROR(AVERAGE(出来高!E55:I55),""),"")</f>
        <v>290760</v>
      </c>
      <c r="N120" s="166">
        <f>IF(C120&lt;&gt;"",IFERROR(AVERAGE(出来高!E55:AC55),""),"")</f>
        <v>225568</v>
      </c>
      <c r="O120" s="168">
        <f>IF(AND(J120&lt;&gt;"",M120&lt;&gt;"",M120&lt;&gt;0),J120/M120,"")</f>
        <v>1.3186132893107718</v>
      </c>
      <c r="P120" s="163" t="str">
        <f>IF(O120="","",IF(O120&gt;=2,"急増↑↑",IF(O120&gt;=1.5,"増加↑",IF(O120&gt;=1,"普通→","減少↓"))))</f>
        <v>普通→</v>
      </c>
      <c r="Q120" s="163" t="str">
        <f>IF(E120="","",IF(AND(E120&gt;G120,O120&gt;=1.5),"買い▲",IF(E120&lt;G120,"様子見▼","中立→")))</f>
        <v>中立→</v>
      </c>
      <c r="R120" s="166">
        <f>IF(E120&lt;&gt;"",ROUND(E120*1.08,0),"")</f>
        <v>4590</v>
      </c>
      <c r="S120" s="166">
        <f>IF(E120&lt;&gt;"",ROUND(E120*0.96,0),"")</f>
        <v>4080</v>
      </c>
      <c r="T120" s="163">
        <f>IF(C120="","",IFERROR(IF(O120&gt;=2,3,IF(O120&gt;=1.5,2,IF(O120&gt;=1,1,0)))+IF(E120&gt;G120,1,0)+IF(L120&gt;=-5,1,0)+IF(Q120="買い▲",2,0)+IF(W120&lt;=30,3,IF(W120&lt;=40,2,IF(AND(W120&gt;=40,W120&lt;=60),1,0)))+IF(X120&gt;0,1,0)+IF(V120="年初来高値更新●",3,IF(V120="高値圏",2,0))+IF(AD120="パーフェクト▲",3,IF(AD120="上昇トレンド▲",2,0))+IF(AE120="25日線押し目●",2,IF(AE120="5日線押し目○",1,0))+IF(P120="急増↑↑",2,IF(P120="増加↑",1,0))+N(AI120),0))</f>
        <v>10</v>
      </c>
      <c r="U120" s="163" t="str">
        <f>IF(T120="","",IF(AND(T120&gt;=3,O120&gt;=1.5),"有効",IF(T120&gt;=3,"要確認","除外")))</f>
        <v>要確認</v>
      </c>
      <c r="V120" s="163" t="str">
        <f>IF(AND(H120&lt;&gt;"",K120&lt;&gt;""),IF(H120&gt;=K120,"年初来高値更新●",IF(H120&gt;=K120*0.95,"高値圏","通常")),"")</f>
        <v>高値圏</v>
      </c>
      <c r="W120" s="169">
        <f t="array" ref="W120">IF(C120&lt;&gt;"",IFERROR(100-100/(1+SUMPRODUCT((終値!F55:R55&gt;終値!G55:S55)*( 終値!F55:R55-終値!G55:S55))/SUMPRODUCT((終値!F55:R55&lt;終値!G55:S55)*(終値!G55:S55-終値!F55:R55))),50),"")</f>
        <v>64.887640449438209</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○買い候補</v>
      </c>
      <c r="Z120" s="171">
        <f>IF(AND(E120&lt;&gt;"",G120&lt;&gt;"",G120&lt;&gt;0),(E120-G120)/G120*100,"")</f>
        <v>0.25949516395376265</v>
      </c>
      <c r="AA120" s="163" t="str">
        <f>IF(OR(C120="",E120="",E120=0),"",IF(E120&gt;G120,"上昇▲",IF(E120&lt;G120,"下落▼","横ばい→")))</f>
        <v>上昇▲</v>
      </c>
      <c r="AB120" s="403">
        <f>IF(C120="","",IFERROR(((終値!E122*0.333)+(終値!F122*0.222)+(終値!G122*0.148)+(終値!H122*0.099)+(終値!I122*0.066)+(終値!J122*0.044)+(終値!K122*0.029)+(終値!L122*0.019)+(終値!M122*0.013)+(終値!N122*0.009))/(0.333+0.222+0.148+0.099+0.066+0.044+0.029+0.019+0.013+0.009),""))</f>
        <v>2555.576374745418</v>
      </c>
      <c r="AC120" s="403">
        <f>IF(C120="","",IFERROR(SUMPRODUCT((終値!E122:AC122),({0.077,0.071,0.065,0.06,0.055,0.051,0.047,0.043,0.039,0.036,0.033,0.031,0.028,0.026,0.024,0.022,0.02,0.018,0.017,0.016,0.014,0.013,0.012,0.011,0.01}))/SUM({0.077,0.071,0.065,0.06,0.055,0.051,0.047,0.043,0.039,0.036,0.033,0.031,0.028,0.026,0.024,0.022,0.02,0.018,0.017,0.016,0.014,0.013,0.012,0.011,0.01}),""))</f>
        <v>2539.1781883194262</v>
      </c>
      <c r="AD120" s="404" t="str">
        <f>IF(OR(C120="",AB120="",AC120=""),"",IF(AND(E120&gt;AB120,AB120&gt;AC120),"パーフェクト▲",IF(E120&gt;AC120,"上昇トレンド▲",IF(AND(E120&lt;AB120,AB120&lt;AC120),"下降トレンド▼","もみ合い→"))))</f>
        <v>パーフェクト▲</v>
      </c>
      <c r="AE120" s="404" t="str">
        <f>IF(OR(C120="",AB120="",AC120=""),"",IF(AND(ABS(E120-AC120)/AC120&lt;=0.02,E120&gt;AC120),"25日押し目★",IF(AND(ABS(E120-AB120)/AB120&lt;=0.01,E120&gt;AB120),"5日押し目○","なし")))</f>
        <v>なし</v>
      </c>
      <c r="AF120" s="365">
        <f t="array" ref="AF120">IF(C120="","",IFERROR((INDEX(終値!$E:$E,MATCH(TEXT(C120,"0"),終値!$A:$A,0))-INDEX(終値!$E:$CZ,MATCH(TEXT(C120,"0"),終値!$A:$A,0),$AL$2))/INDEX(終値!$E:$CZ,MATCH(TEXT(C120,"0"),終値!$A:$A,0),$AL$2)*100,""))</f>
        <v>4.192203971561657</v>
      </c>
      <c r="AG120" s="365">
        <f t="array" ref="AG120">IFERROR((終値!$E$5-INDEX(終値!$E$5:$IT$5,1,$AL$2))/INDEX(終値!$E$5:$IT$5,1,$AL$2)*100,"")</f>
        <v>1.0179378228534113</v>
      </c>
      <c r="AH120" s="366">
        <f>IF(OR(AF120="",AG120=""),"",AF120-AG120)</f>
        <v>3.174266148708246</v>
      </c>
      <c r="AI120" s="364">
        <f>IF(AH120="","",IF(AH120&gt;5,3,IF(AH120&gt;0,1,IF(AH120&gt;-3,-1,-2))))</f>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2226</v>
      </c>
      <c r="F121" s="166">
        <f>IF(C121&lt;&gt;"",_xll.RssMarket(C121,"始値"),"")</f>
        <v>2213</v>
      </c>
      <c r="G121" s="165">
        <f>IF(C121&lt;&gt;"",終値!F89,"")</f>
        <v>2213</v>
      </c>
      <c r="H121" s="166">
        <f>IF(C121&lt;&gt;"",_xll.RssMarket(C121,"高値"),"")</f>
        <v>2253</v>
      </c>
      <c r="I121" s="166">
        <f>IF(C121&lt;&gt;"",_xll.RssMarket(C121,"安値"),"")</f>
        <v>2197</v>
      </c>
      <c r="J121" s="166">
        <f>IF(C121&lt;&gt;"",_xll.RssMarket(C121,"出来高"),"")</f>
        <v>27900</v>
      </c>
      <c r="K121" s="166">
        <f>IF(C121&lt;&gt;"",_xll.RssMarket(C121,"年初来高値"),"")</f>
        <v>2993</v>
      </c>
      <c r="L121" s="167">
        <f>IF(AND(E121&lt;&gt;"",K121&lt;&gt;"",K121&lt;&gt;0),(E121-K121)/K121*100,"")</f>
        <v>-25.626461744069495</v>
      </c>
      <c r="M121" s="166">
        <f>IF(C121&lt;&gt;"",IFERROR(AVERAGE(出来高!E89:I89),""),"")</f>
        <v>33440</v>
      </c>
      <c r="N121" s="166">
        <f>IF(C121&lt;&gt;"",IFERROR(AVERAGE(出来高!E89:AC89),""),"")</f>
        <v>46228</v>
      </c>
      <c r="O121" s="168">
        <f>IF(AND(J121&lt;&gt;"",M121&lt;&gt;"",M121&lt;&gt;0),J121/M121,"")</f>
        <v>0.83433014354066981</v>
      </c>
      <c r="P121" s="163" t="str">
        <f>IF(O121="","",IF(O121&gt;=2,"急増↑↑",IF(O121&gt;=1.5,"増加↑",IF(O121&gt;=1,"普通→","減少↓"))))</f>
        <v>減少↓</v>
      </c>
      <c r="Q121" s="163" t="str">
        <f>IF(E121="","",IF(AND(E121&gt;G121,O121&gt;=1.5),"買い▲",IF(E121&lt;G121,"様子見▼","中立→")))</f>
        <v>中立→</v>
      </c>
      <c r="R121" s="166">
        <f>IF(E121&lt;&gt;"",ROUND(E121*1.08,0),"")</f>
        <v>2404</v>
      </c>
      <c r="S121" s="166">
        <f>IF(E121&lt;&gt;"",ROUND(E121*0.96,0),"")</f>
        <v>2137</v>
      </c>
      <c r="T121" s="163">
        <f>IF(C121="","",IFERROR(IF(O121&gt;=2,3,IF(O121&gt;=1.5,2,IF(O121&gt;=1,1,0)))+IF(E121&gt;G121,1,0)+IF(L121&gt;=-5,1,0)+IF(Q121="買い▲",2,0)+IF(W121&lt;=30,3,IF(W121&lt;=40,2,IF(AND(W121&gt;=40,W121&lt;=60),1,0)))+IF(X121&gt;0,1,0)+IF(V121="年初来高値更新●",3,IF(V121="高値圏",2,0))+IF(AD121="パーフェクト▲",3,IF(AD121="上昇トレンド▲",2,0))+IF(AE121="25日線押し目●",2,IF(AE121="5日線押し目○",1,0))+IF(P121="急増↑↑",2,IF(P121="増加↑",1,0))+N(AI121),0))</f>
        <v>5</v>
      </c>
      <c r="U121" s="163" t="str">
        <f>IF(T121="","",IF(AND(T121&gt;=3,O121&gt;=1.5),"有効",IF(T121&gt;=3,"要確認","除外")))</f>
        <v>要確認</v>
      </c>
      <c r="V121" s="163" t="str">
        <f>IF(AND(H121&lt;&gt;"",K121&lt;&gt;""),IF(H121&gt;=K121,"年初来高値更新●",IF(H121&gt;=K121*0.95,"高値圏","通常")),"")</f>
        <v>通常</v>
      </c>
      <c r="W121" s="169">
        <f t="array" ref="W121">IF(C121&lt;&gt;"",IFERROR(100-100/(1+SUMPRODUCT((終値!F89:R89&gt;終値!G89:S89)*( 終値!F89:R89-終値!G89:S89))/SUMPRODUCT((終値!F89:R89&lt;終値!G89:S89)*(終値!G89:S89-終値!F89:R89))),50),"")</f>
        <v>62.396694214876035</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様子見</v>
      </c>
      <c r="Z121" s="171">
        <f>IF(AND(E121&lt;&gt;"",G121&lt;&gt;"",G121&lt;&gt;0),(E121-G121)/G121*100,"")</f>
        <v>0.58743786714866697</v>
      </c>
      <c r="AA121" s="163" t="str">
        <f>IF(OR(C121="",E121="",E121=0),"",IF(E121&gt;G121,"上昇▲",IF(E121&lt;G121,"下落▼","横ばい→")))</f>
        <v>上昇▲</v>
      </c>
      <c r="AB121" s="405">
        <f>IF(C121="","",IFERROR(((終値!E123*0.333)+(終値!F123*0.222)+(終値!G123*0.148)+(終値!H123*0.099)+(終値!I123*0.066)+(終値!J123*0.044)+(終値!K123*0.029)+(終値!L123*0.019)+(終値!M123*0.013)+(終値!N123*0.009))/(0.333+0.222+0.148+0.099+0.066+0.044+0.029+0.019+0.013+0.009),""))</f>
        <v>2541.645621181262</v>
      </c>
      <c r="AC121" s="405">
        <f>IF(C121="","",IFERROR(SUMPRODUCT((終値!E123:AC123),({0.077,0.071,0.065,0.06,0.055,0.051,0.047,0.043,0.039,0.036,0.033,0.031,0.028,0.026,0.024,0.022,0.02,0.018,0.017,0.016,0.014,0.013,0.012,0.011,0.01}))/SUM({0.077,0.071,0.065,0.06,0.055,0.051,0.047,0.043,0.039,0.036,0.033,0.031,0.028,0.026,0.024,0.022,0.02,0.018,0.017,0.016,0.014,0.013,0.012,0.011,0.01}),""))</f>
        <v>2559.0947556615006</v>
      </c>
      <c r="AD121" s="406" t="str">
        <f>IF(OR(C121="",AB121="",AC121=""),"",IF(AND(E121&gt;AB121,AB121&gt;AC121),"パーフェクト▲",IF(E121&gt;AC121,"上昇トレンド▲",IF(AND(E121&lt;AB121,AB121&lt;AC121),"下降トレンド▼","もみ合い→"))))</f>
        <v>下降トレンド▼</v>
      </c>
      <c r="AE121" s="406" t="str">
        <f>IF(OR(C121="",AB121="",AC121=""),"",IF(AND(ABS(E121-AC121)/AC121&lt;=0.02,E121&gt;AC121),"25日押し目★",IF(AND(ABS(E121-AB121)/AB121&lt;=0.01,E121&gt;AB121),"5日押し目○","なし")))</f>
        <v>なし</v>
      </c>
      <c r="AF121" s="365">
        <f t="array" ref="AF121">IF(C121="","",IFERROR((INDEX(終値!$E:$E,MATCH(TEXT(C121,"0"),終値!$A:$A,0))-INDEX(終値!$E:$CZ,MATCH(TEXT(C121,"0"),終値!$A:$A,0),$AL$2))/INDEX(終値!$E:$CZ,MATCH(TEXT(C121,"0"),終値!$A:$A,0),$AL$2)*100,""))</f>
        <v>9.5472440944881889</v>
      </c>
      <c r="AG121" s="365">
        <f t="array" ref="AG121">IFERROR((終値!$E$5-INDEX(終値!$E$5:$IT$5,1,$AL$2))/INDEX(終値!$E$5:$IT$5,1,$AL$2)*100,"")</f>
        <v>1.0179378228534113</v>
      </c>
      <c r="AH121" s="366">
        <f>IF(OR(AF121="",AG121=""),"",AF121-AG121)</f>
        <v>8.5293062716347769</v>
      </c>
      <c r="AI121" s="364">
        <f>IF(AH121="","",IF(AH121&gt;5,3,IF(AH121&gt;0,1,IF(AH121&gt;-3,-1,-2))))</f>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3460</v>
      </c>
      <c r="F122" s="166">
        <f>IF(C122&lt;&gt;"",_xll.RssMarket(C122,"始値"),"")</f>
        <v>3385</v>
      </c>
      <c r="G122" s="165">
        <f>IF(C122&lt;&gt;"",終値!F62,"")</f>
        <v>3290</v>
      </c>
      <c r="H122" s="166">
        <f>IF(C122&lt;&gt;"",_xll.RssMarket(C122,"高値"),"")</f>
        <v>3515</v>
      </c>
      <c r="I122" s="166">
        <f>IF(C122&lt;&gt;"",_xll.RssMarket(C122,"安値"),"")</f>
        <v>3380</v>
      </c>
      <c r="J122" s="166">
        <f>IF(C122&lt;&gt;"",_xll.RssMarket(C122,"出来高"),"")</f>
        <v>1265700</v>
      </c>
      <c r="K122" s="166">
        <f>IF(C122&lt;&gt;"",_xll.RssMarket(C122,"年初来高値"),"")</f>
        <v>4720</v>
      </c>
      <c r="L122" s="167">
        <f>IF(AND(E122&lt;&gt;"",K122&lt;&gt;"",K122&lt;&gt;0),(E122-K122)/K122*100,"")</f>
        <v>-26.694915254237291</v>
      </c>
      <c r="M122" s="166">
        <f>IF(C122&lt;&gt;"",IFERROR(AVERAGE(出来高!E62:I62),""),"")</f>
        <v>915560</v>
      </c>
      <c r="N122" s="166">
        <f>IF(C122&lt;&gt;"",IFERROR(AVERAGE(出来高!E62:AC62),""),"")</f>
        <v>698424</v>
      </c>
      <c r="O122" s="168">
        <f>IF(AND(J122&lt;&gt;"",M122&lt;&gt;"",M122&lt;&gt;0),J122/M122,"")</f>
        <v>1.3824326095504391</v>
      </c>
      <c r="P122" s="163" t="str">
        <f>IF(O122="","",IF(O122&gt;=2,"急増↑↑",IF(O122&gt;=1.5,"増加↑",IF(O122&gt;=1,"普通→","減少↓"))))</f>
        <v>普通→</v>
      </c>
      <c r="Q122" s="163" t="str">
        <f>IF(E122="","",IF(AND(E122&gt;G122,O122&gt;=1.5),"買い▲",IF(E122&lt;G122,"様子見▼","中立→")))</f>
        <v>中立→</v>
      </c>
      <c r="R122" s="166">
        <f>IF(E122&lt;&gt;"",ROUND(E122*1.08,0),"")</f>
        <v>3737</v>
      </c>
      <c r="S122" s="166">
        <f>IF(E122&lt;&gt;"",ROUND(E122*0.96,0),"")</f>
        <v>3322</v>
      </c>
      <c r="T122" s="163">
        <f>IF(C122="","",IFERROR(IF(O122&gt;=2,3,IF(O122&gt;=1.5,2,IF(O122&gt;=1,1,0)))+IF(E122&gt;G122,1,0)+IF(L122&gt;=-5,1,0)+IF(Q122="買い▲",2,0)+IF(W122&lt;=30,3,IF(W122&lt;=40,2,IF(AND(W122&gt;=40,W122&lt;=60),1,0)))+IF(X122&gt;0,1,0)+IF(V122="年初来高値更新●",3,IF(V122="高値圏",2,0))+IF(AD122="パーフェクト▲",3,IF(AD122="上昇トレンド▲",2,0))+IF(AE122="25日線押し目●",2,IF(AE122="5日線押し目○",1,0))+IF(P122="急増↑↑",2,IF(P122="増加↑",1,0))+N(AI122),0))</f>
        <v>9</v>
      </c>
      <c r="U122" s="163" t="str">
        <f>IF(T122="","",IF(AND(T122&gt;=3,O122&gt;=1.5),"有効",IF(T122&gt;=3,"要確認","除外")))</f>
        <v>要確認</v>
      </c>
      <c r="V122" s="163" t="str">
        <f>IF(AND(H122&lt;&gt;"",K122&lt;&gt;""),IF(H122&gt;=K122,"年初来高値更新●",IF(H122&gt;=K122*0.95,"高値圏","通常")),"")</f>
        <v>通常</v>
      </c>
      <c r="W122" s="169">
        <f t="array" ref="W122">IF(C122&lt;&gt;"",IFERROR(100-100/(1+SUMPRODUCT((終値!F62:R62&gt;終値!G62:S62)*( 終値!F62:R62-終値!G62:S62))/SUMPRODUCT((終値!F62:R62&lt;終値!G62:S62)*(終値!G62:S62-終値!F62:R62))),50),"")</f>
        <v>59.941804073714842</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△注目</v>
      </c>
      <c r="Z122" s="171">
        <f>IF(AND(E122&lt;&gt;"",G122&lt;&gt;"",G122&lt;&gt;0),(E122-G122)/G122*100,"")</f>
        <v>5.1671732522796354</v>
      </c>
      <c r="AA122" s="163" t="str">
        <f>IF(OR(C122="",E122="",E122=0),"",IF(E122&gt;G122,"上昇▲",IF(E122&lt;G122,"下落▼","横ばい→")))</f>
        <v>上昇▲</v>
      </c>
      <c r="AB122" s="403">
        <f>IF(C122="","",IFERROR(((終値!E124*0.333)+(終値!F124*0.222)+(終値!G124*0.148)+(終値!H124*0.099)+(終値!I124*0.066)+(終値!J124*0.044)+(終値!K124*0.029)+(終値!L124*0.019)+(終値!M124*0.013)+(終値!N124*0.009))/(0.333+0.222+0.148+0.099+0.066+0.044+0.029+0.019+0.013+0.009),""))</f>
        <v>1502.8981670061096</v>
      </c>
      <c r="AC122" s="403">
        <f>IF(C122="","",IFERROR(SUMPRODUCT((終値!E124:AC124),({0.077,0.071,0.065,0.06,0.055,0.051,0.047,0.043,0.039,0.036,0.033,0.031,0.028,0.026,0.024,0.022,0.02,0.018,0.017,0.016,0.014,0.013,0.012,0.011,0.01}))/SUM({0.077,0.071,0.065,0.06,0.055,0.051,0.047,0.043,0.039,0.036,0.033,0.031,0.028,0.026,0.024,0.022,0.02,0.018,0.017,0.016,0.014,0.013,0.012,0.011,0.01}),""))</f>
        <v>1538.2675804529197</v>
      </c>
      <c r="AD122" s="404" t="str">
        <f>IF(OR(C122="",AB122="",AC122=""),"",IF(AND(E122&gt;AB122,AB122&gt;AC122),"パーフェクト▲",IF(E122&gt;AC122,"上昇トレンド▲",IF(AND(E122&lt;AB122,AB122&lt;AC122),"下降トレンド▼","もみ合い→"))))</f>
        <v>上昇トレンド▲</v>
      </c>
      <c r="AE122" s="404" t="str">
        <f>IF(OR(C122="",AB122="",AC122=""),"",IF(AND(ABS(E122-AC122)/AC122&lt;=0.02,E122&gt;AC122),"25日押し目★",IF(AND(ABS(E122-AB122)/AB122&lt;=0.01,E122&gt;AB122),"5日押し目○","なし")))</f>
        <v>なし</v>
      </c>
      <c r="AF122" s="365">
        <f t="array" ref="AF122">IF(C122="","",IFERROR((INDEX(終値!$E:$E,MATCH(TEXT(C122,"0"),終値!$A:$A,0))-INDEX(終値!$E:$CZ,MATCH(TEXT(C122,"0"),終値!$A:$A,0),$AL$2))/INDEX(終値!$E:$CZ,MATCH(TEXT(C122,"0"),終値!$A:$A,0),$AL$2)*100,""))</f>
        <v>18.737131091283459</v>
      </c>
      <c r="AG122" s="365">
        <f t="array" ref="AG122">IFERROR((終値!$E$5-INDEX(終値!$E$5:$IT$5,1,$AL$2))/INDEX(終値!$E$5:$IT$5,1,$AL$2)*100,"")</f>
        <v>1.0179378228534113</v>
      </c>
      <c r="AH122" s="366">
        <f>IF(OR(AF122="",AG122=""),"",AF122-AG122)</f>
        <v>17.719193268430047</v>
      </c>
      <c r="AI122" s="364">
        <f>IF(AH122="","",IF(AH122&gt;5,3,IF(AH122&gt;0,1,IF(AH122&gt;-3,-1,-2))))</f>
        <v>3</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4630</v>
      </c>
      <c r="F123" s="166">
        <f>IF(C123&lt;&gt;"",_xll.RssMarket(C123,"始値"),"")</f>
        <v>4651</v>
      </c>
      <c r="G123" s="165">
        <f>IF(C123&lt;&gt;"",終値!F118,"")</f>
        <v>4677</v>
      </c>
      <c r="H123" s="166">
        <f>IF(C123&lt;&gt;"",_xll.RssMarket(C123,"高値"),"")</f>
        <v>4728</v>
      </c>
      <c r="I123" s="166">
        <f>IF(C123&lt;&gt;"",_xll.RssMarket(C123,"安値"),"")</f>
        <v>4610</v>
      </c>
      <c r="J123" s="166">
        <f>IF(C123&lt;&gt;"",_xll.RssMarket(C123,"出来高"),"")</f>
        <v>905100</v>
      </c>
      <c r="K123" s="166">
        <f>IF(C123&lt;&gt;"",_xll.RssMarket(C123,"年初来高値"),"")</f>
        <v>4890</v>
      </c>
      <c r="L123" s="167">
        <f>IF(AND(E123&lt;&gt;"",K123&lt;&gt;"",K123&lt;&gt;0),(E123-K123)/K123*100,"")</f>
        <v>-5.3169734151329244</v>
      </c>
      <c r="M123" s="166">
        <f>IF(C123&lt;&gt;"",IFERROR(AVERAGE(出来高!E118:I118),""),"")</f>
        <v>1132180</v>
      </c>
      <c r="N123" s="166">
        <f>IF(C123&lt;&gt;"",IFERROR(AVERAGE(出来高!E118:AC118),""),"")</f>
        <v>972772</v>
      </c>
      <c r="O123" s="168">
        <f>IF(AND(J123&lt;&gt;"",M123&lt;&gt;"",M123&lt;&gt;0),J123/M123,"")</f>
        <v>0.79943118585383954</v>
      </c>
      <c r="P123" s="163" t="str">
        <f>IF(O123="","",IF(O123&gt;=2,"急増↑↑",IF(O123&gt;=1.5,"増加↑",IF(O123&gt;=1,"普通→","減少↓"))))</f>
        <v>減少↓</v>
      </c>
      <c r="Q123" s="163" t="str">
        <f>IF(E123="","",IF(AND(E123&gt;G123,O123&gt;=1.5),"買い▲",IF(E123&lt;G123,"様子見▼","中立→")))</f>
        <v>様子見▼</v>
      </c>
      <c r="R123" s="166">
        <f>IF(E123&lt;&gt;"",ROUND(E123*1.08,0),"")</f>
        <v>5000</v>
      </c>
      <c r="S123" s="166">
        <f>IF(E123&lt;&gt;"",ROUND(E123*0.96,0),"")</f>
        <v>4445</v>
      </c>
      <c r="T123" s="163">
        <f>IF(C123="","",IFERROR(IF(O123&gt;=2,3,IF(O123&gt;=1.5,2,IF(O123&gt;=1,1,0)))+IF(E123&gt;G123,1,0)+IF(L123&gt;=-5,1,0)+IF(Q123="買い▲",2,0)+IF(W123&lt;=30,3,IF(W123&lt;=40,2,IF(AND(W123&gt;=40,W123&lt;=60),1,0)))+IF(X123&gt;0,1,0)+IF(V123="年初来高値更新●",3,IF(V123="高値圏",2,0))+IF(AD123="パーフェクト▲",3,IF(AD123="上昇トレンド▲",2,0))+IF(AE123="25日線押し目●",2,IF(AE123="5日線押し目○",1,0))+IF(P123="急増↑↑",2,IF(P123="増加↑",1,0))+N(AI123),0))</f>
        <v>6</v>
      </c>
      <c r="U123" s="163" t="str">
        <f>IF(T123="","",IF(AND(T123&gt;=3,O123&gt;=1.5),"有効",IF(T123&gt;=3,"要確認","除外")))</f>
        <v>要確認</v>
      </c>
      <c r="V123" s="163" t="str">
        <f>IF(AND(H123&lt;&gt;"",K123&lt;&gt;""),IF(H123&gt;=K123,"年初来高値更新●",IF(H123&gt;=K123*0.95,"高値圏","通常")),"")</f>
        <v>高値圏</v>
      </c>
      <c r="W123" s="169">
        <f t="array" ref="W123">IF(C123&lt;&gt;"",IFERROR(100-100/(1+SUMPRODUCT((終値!F118:R118&gt;終値!G118:S118)*( 終値!F118:R118-終値!G118:S118))/SUMPRODUCT((終値!F118:R118&lt;終値!G118:S118)*(終値!G118:S118-終値!F118:R118))),50),"")</f>
        <v>46.253021756647861</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△注目</v>
      </c>
      <c r="Z123" s="171">
        <f>IF(AND(E123&lt;&gt;"",G123&lt;&gt;"",G123&lt;&gt;0),(E123-G123)/G123*100,"")</f>
        <v>-1.0049176822749626</v>
      </c>
      <c r="AA123" s="163" t="str">
        <f>IF(OR(C123="",E123="",E123=0),"",IF(E123&gt;G123,"上昇▲",IF(E123&lt;G123,"下落▼","横ばい→")))</f>
        <v>下落▼</v>
      </c>
      <c r="AB123" s="405">
        <f>IF(C123="","",IFERROR(((終値!E125*0.333)+(終値!F125*0.222)+(終値!G125*0.148)+(終値!H125*0.099)+(終値!I125*0.066)+(終値!J125*0.044)+(終値!K125*0.029)+(終値!L125*0.019)+(終値!M125*0.013)+(終値!N125*0.009))/(0.333+0.222+0.148+0.099+0.066+0.044+0.029+0.019+0.013+0.009),""))</f>
        <v>2454.1751527494907</v>
      </c>
      <c r="AC123" s="405">
        <f>IF(C123="","",IFERROR(SUMPRODUCT((終値!E125:AC125),({0.077,0.071,0.065,0.06,0.055,0.051,0.047,0.043,0.039,0.036,0.033,0.031,0.028,0.026,0.024,0.022,0.02,0.018,0.017,0.016,0.014,0.013,0.012,0.011,0.01}))/SUM({0.077,0.071,0.065,0.06,0.055,0.051,0.047,0.043,0.039,0.036,0.033,0.031,0.028,0.026,0.024,0.022,0.02,0.018,0.017,0.016,0.014,0.013,0.012,0.011,0.01}),""))</f>
        <v>2492.3778307508928</v>
      </c>
      <c r="AD123" s="406" t="str">
        <f>IF(OR(C123="",AB123="",AC123=""),"",IF(AND(E123&gt;AB123,AB123&gt;AC123),"パーフェクト▲",IF(E123&gt;AC123,"上昇トレンド▲",IF(AND(E123&lt;AB123,AB123&lt;AC123),"下降トレンド▼","もみ合い→"))))</f>
        <v>上昇トレンド▲</v>
      </c>
      <c r="AE123" s="406" t="str">
        <f>IF(OR(C123="",AB123="",AC123=""),"",IF(AND(ABS(E123-AC123)/AC123&lt;=0.02,E123&gt;AC123),"25日押し目★",IF(AND(ABS(E123-AB123)/AB123&lt;=0.01,E123&gt;AB123),"5日押し目○","なし")))</f>
        <v>なし</v>
      </c>
      <c r="AF123" s="365">
        <f t="array" ref="AF123">IF(C123="","",IFERROR((INDEX(終値!$E:$E,MATCH(TEXT(C123,"0"),終値!$A:$A,0))-INDEX(終値!$E:$CZ,MATCH(TEXT(C123,"0"),終値!$A:$A,0),$AL$2))/INDEX(終値!$E:$CZ,MATCH(TEXT(C123,"0"),終値!$A:$A,0),$AL$2)*100,""))</f>
        <v>1.2464465340039361</v>
      </c>
      <c r="AG123" s="365">
        <f t="array" ref="AG123">IFERROR((終値!$E$5-INDEX(終値!$E$5:$IT$5,1,$AL$2))/INDEX(終値!$E$5:$IT$5,1,$AL$2)*100,"")</f>
        <v>1.0179378228534113</v>
      </c>
      <c r="AH123" s="366">
        <f>IF(OR(AF123="",AG123=""),"",AF123-AG123)</f>
        <v>0.22850871115052485</v>
      </c>
      <c r="AI123" s="364">
        <f>IF(AH123="","",IF(AH123&gt;5,3,IF(AH123&gt;0,1,IF(AH123&gt;-3,-1,-2))))</f>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5520</v>
      </c>
      <c r="F124" s="166">
        <f>IF(C124&lt;&gt;"",_xll.RssMarket(C124,"始値"),"")</f>
        <v>5552</v>
      </c>
      <c r="G124" s="165">
        <f>IF(C124&lt;&gt;"",終値!F117,"")</f>
        <v>5552</v>
      </c>
      <c r="H124" s="166">
        <f>IF(C124&lt;&gt;"",_xll.RssMarket(C124,"高値"),"")</f>
        <v>5613</v>
      </c>
      <c r="I124" s="166">
        <f>IF(C124&lt;&gt;"",_xll.RssMarket(C124,"安値"),"")</f>
        <v>5481</v>
      </c>
      <c r="J124" s="166">
        <f>IF(C124&lt;&gt;"",_xll.RssMarket(C124,"出来高"),"")</f>
        <v>1183400</v>
      </c>
      <c r="K124" s="166">
        <f>IF(C124&lt;&gt;"",_xll.RssMarket(C124,"年初来高値"),"")</f>
        <v>9317</v>
      </c>
      <c r="L124" s="167">
        <f>IF(AND(E124&lt;&gt;"",K124&lt;&gt;"",K124&lt;&gt;0),(E124-K124)/K124*100,"")</f>
        <v>-40.753461414618442</v>
      </c>
      <c r="M124" s="166">
        <f>IF(C124&lt;&gt;"",IFERROR(AVERAGE(出来高!E117:I117),""),"")</f>
        <v>1057000</v>
      </c>
      <c r="N124" s="166">
        <f>IF(C124&lt;&gt;"",IFERROR(AVERAGE(出来高!E117:AC117),""),"")</f>
        <v>1103732</v>
      </c>
      <c r="O124" s="168">
        <f>IF(AND(J124&lt;&gt;"",M124&lt;&gt;"",M124&lt;&gt;0),J124/M124,"")</f>
        <v>1.1195837275307474</v>
      </c>
      <c r="P124" s="163" t="str">
        <f>IF(O124="","",IF(O124&gt;=2,"急増↑↑",IF(O124&gt;=1.5,"増加↑",IF(O124&gt;=1,"普通→","減少↓"))))</f>
        <v>普通→</v>
      </c>
      <c r="Q124" s="163" t="str">
        <f>IF(E124="","",IF(AND(E124&gt;G124,O124&gt;=1.5),"買い▲",IF(E124&lt;G124,"様子見▼","中立→")))</f>
        <v>様子見▼</v>
      </c>
      <c r="R124" s="166">
        <f>IF(E124&lt;&gt;"",ROUND(E124*1.08,0),"")</f>
        <v>5962</v>
      </c>
      <c r="S124" s="166">
        <f>IF(E124&lt;&gt;"",ROUND(E124*0.96,0),"")</f>
        <v>5299</v>
      </c>
      <c r="T124" s="163">
        <f>IF(C124="","",IFERROR(IF(O124&gt;=2,3,IF(O124&gt;=1.5,2,IF(O124&gt;=1,1,0)))+IF(E124&gt;G124,1,0)+IF(L124&gt;=-5,1,0)+IF(Q124="買い▲",2,0)+IF(W124&lt;=30,3,IF(W124&lt;=40,2,IF(AND(W124&gt;=40,W124&lt;=60),1,0)))+IF(X124&gt;0,1,0)+IF(V124="年初来高値更新●",3,IF(V124="高値圏",2,0))+IF(AD124="パーフェクト▲",3,IF(AD124="上昇トレンド▲",2,0))+IF(AE124="25日線押し目●",2,IF(AE124="5日線押し目○",1,0))+IF(P124="急増↑↑",2,IF(P124="増加↑",1,0))+N(AI124),0))</f>
        <v>8</v>
      </c>
      <c r="U124" s="163" t="str">
        <f>IF(T124="","",IF(AND(T124&gt;=3,O124&gt;=1.5),"有効",IF(T124&gt;=3,"要確認","除外")))</f>
        <v>要確認</v>
      </c>
      <c r="V124" s="163" t="str">
        <f>IF(AND(H124&lt;&gt;"",K124&lt;&gt;""),IF(H124&gt;=K124,"年初来高値更新●",IF(H124&gt;=K124*0.95,"高値圏","通常")),"")</f>
        <v>通常</v>
      </c>
      <c r="W124" s="169">
        <f t="array" ref="W124">IF(C124&lt;&gt;"",IFERROR(100-100/(1+SUMPRODUCT((終値!F117:R117&gt;終値!G117:S117)*( 終値!F117:R117-終値!G117:S117))/SUMPRODUCT((終値!F117:R117&lt;終値!G117:S117)*(終値!G117:S117-終値!F117:R117))),50),"")</f>
        <v>46.917148362235061</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△注目</v>
      </c>
      <c r="Z124" s="171">
        <f>IF(AND(E124&lt;&gt;"",G124&lt;&gt;"",G124&lt;&gt;0),(E124-G124)/G124*100,"")</f>
        <v>-0.57636887608069165</v>
      </c>
      <c r="AA124" s="163" t="str">
        <f>IF(OR(C124="",E124="",E124=0),"",IF(E124&gt;G124,"上昇▲",IF(E124&lt;G124,"下落▼","横ばい→")))</f>
        <v>下落▼</v>
      </c>
      <c r="AB124" s="403">
        <f>IF(C124="","",IFERROR(((終値!E126*0.333)+(終値!F126*0.222)+(終値!G126*0.148)+(終値!H126*0.099)+(終値!I126*0.066)+(終値!J126*0.044)+(終値!K126*0.029)+(終値!L126*0.019)+(終値!M126*0.013)+(終値!N126*0.009))/(0.333+0.222+0.148+0.099+0.066+0.044+0.029+0.019+0.013+0.009),""))</f>
        <v>1022.0855397148677</v>
      </c>
      <c r="AC124" s="403">
        <f>IF(C124="","",IFERROR(SUMPRODUCT((終値!E126:AC126),({0.077,0.071,0.065,0.06,0.055,0.051,0.047,0.043,0.039,0.036,0.033,0.031,0.028,0.026,0.024,0.022,0.02,0.018,0.017,0.016,0.014,0.013,0.012,0.011,0.01}))/SUM({0.077,0.071,0.065,0.06,0.055,0.051,0.047,0.043,0.039,0.036,0.033,0.031,0.028,0.026,0.024,0.022,0.02,0.018,0.017,0.016,0.014,0.013,0.012,0.011,0.01}),""))</f>
        <v>1016.4779499404046</v>
      </c>
      <c r="AD124" s="404" t="str">
        <f>IF(OR(C124="",AB124="",AC124=""),"",IF(AND(E124&gt;AB124,AB124&gt;AC124),"パーフェクト▲",IF(E124&gt;AC124,"上昇トレンド▲",IF(AND(E124&lt;AB124,AB124&lt;AC124),"下降トレンド▼","もみ合い→"))))</f>
        <v>パーフェクト▲</v>
      </c>
      <c r="AE124" s="404" t="str">
        <f>IF(OR(C124="",AB124="",AC124=""),"",IF(AND(ABS(E124-AC124)/AC124&lt;=0.02,E124&gt;AC124),"25日押し目★",IF(AND(ABS(E124-AB124)/AB124&lt;=0.01,E124&gt;AB124),"5日押し目○","なし")))</f>
        <v>なし</v>
      </c>
      <c r="AF124" s="365">
        <f t="array" ref="AF124">IF(C124="","",IFERROR((INDEX(終値!$E:$E,MATCH(TEXT(C124,"0"),終値!$A:$A,0))-INDEX(終値!$E:$CZ,MATCH(TEXT(C124,"0"),終値!$A:$A,0),$AL$2))/INDEX(終値!$E:$CZ,MATCH(TEXT(C124,"0"),終値!$A:$A,0),$AL$2)*100,""))</f>
        <v>7.7493656060901817</v>
      </c>
      <c r="AG124" s="365">
        <f t="array" ref="AG124">IFERROR((終値!$E$5-INDEX(終値!$E$5:$IT$5,1,$AL$2))/INDEX(終値!$E$5:$IT$5,1,$AL$2)*100,"")</f>
        <v>1.0179378228534113</v>
      </c>
      <c r="AH124" s="366">
        <f>IF(OR(AF124="",AG124=""),"",AF124-AG124)</f>
        <v>6.7314277832367706</v>
      </c>
      <c r="AI124" s="364">
        <f>IF(AH124="","",IF(AH124&gt;5,3,IF(AH124&gt;0,1,IF(AH124&gt;-3,-1,-2))))</f>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4596</v>
      </c>
      <c r="F125" s="166">
        <f>IF(C125&lt;&gt;"",_xll.RssMarket(C125,"始値"),"")</f>
        <v>4833</v>
      </c>
      <c r="G125" s="165">
        <f>IF(C125&lt;&gt;"",終値!F103,"")</f>
        <v>5073</v>
      </c>
      <c r="H125" s="166">
        <f>IF(C125&lt;&gt;"",_xll.RssMarket(C125,"高値"),"")</f>
        <v>4917</v>
      </c>
      <c r="I125" s="166">
        <f>IF(C125&lt;&gt;"",_xll.RssMarket(C125,"安値"),"")</f>
        <v>4566</v>
      </c>
      <c r="J125" s="166">
        <f>IF(C125&lt;&gt;"",_xll.RssMarket(C125,"出来高"),"")</f>
        <v>57561600</v>
      </c>
      <c r="K125" s="166">
        <f>IF(C125&lt;&gt;"",_xll.RssMarket(C125,"年初来高値"),"")</f>
        <v>7933</v>
      </c>
      <c r="L125" s="167">
        <f>IF(AND(E125&lt;&gt;"",K125&lt;&gt;"",K125&lt;&gt;0),(E125-K125)/K125*100,"")</f>
        <v>-42.064792638346148</v>
      </c>
      <c r="M125" s="166">
        <f>IF(C125&lt;&gt;"",IFERROR(AVERAGE(出来高!E103:I103),""),"")</f>
        <v>54445500</v>
      </c>
      <c r="N125" s="166">
        <f>IF(C125&lt;&gt;"",IFERROR(AVERAGE(出来高!E103:AC103),""),"")</f>
        <v>42442200</v>
      </c>
      <c r="O125" s="168">
        <f>IF(AND(J125&lt;&gt;"",M125&lt;&gt;"",M125&lt;&gt;0),J125/M125,"")</f>
        <v>1.05723338016916</v>
      </c>
      <c r="P125" s="163" t="str">
        <f>IF(O125="","",IF(O125&gt;=2,"急増↑↑",IF(O125&gt;=1.5,"増加↑",IF(O125&gt;=1,"普通→","減少↓"))))</f>
        <v>普通→</v>
      </c>
      <c r="Q125" s="163" t="str">
        <f>IF(E125="","",IF(AND(E125&gt;G125,O125&gt;=1.5),"買い▲",IF(E125&lt;G125,"様子見▼","中立→")))</f>
        <v>様子見▼</v>
      </c>
      <c r="R125" s="166">
        <f>IF(E125&lt;&gt;"",ROUND(E125*1.08,0),"")</f>
        <v>4964</v>
      </c>
      <c r="S125" s="166">
        <f>IF(E125&lt;&gt;"",ROUND(E125*0.96,0),"")</f>
        <v>4412</v>
      </c>
      <c r="T125" s="163">
        <f>IF(C125="","",IFERROR(IF(O125&gt;=2,3,IF(O125&gt;=1.5,2,IF(O125&gt;=1,1,0)))+IF(E125&gt;G125,1,0)+IF(L125&gt;=-5,1,0)+IF(Q125="買い▲",2,0)+IF(W125&lt;=30,3,IF(W125&lt;=40,2,IF(AND(W125&gt;=40,W125&lt;=60),1,0)))+IF(X125&gt;0,1,0)+IF(V125="年初来高値更新●",3,IF(V125="高値圏",2,0))+IF(AD125="パーフェクト▲",3,IF(AD125="上昇トレンド▲",2,0))+IF(AE125="25日線押し目●",2,IF(AE125="5日線押し目○",1,0))+IF(P125="急増↑↑",2,IF(P125="増加↑",1,0))+N(AI125),0))</f>
        <v>0</v>
      </c>
      <c r="U125" s="163" t="str">
        <f>IF(T125="","",IF(AND(T125&gt;=3,O125&gt;=1.5),"有効",IF(T125&gt;=3,"要確認","除外")))</f>
        <v>除外</v>
      </c>
      <c r="V125" s="163" t="str">
        <f>IF(AND(H125&lt;&gt;"",K125&lt;&gt;""),IF(H125&gt;=K125,"年初来高値更新●",IF(H125&gt;=K125*0.95,"高値圏","通常")),"")</f>
        <v>通常</v>
      </c>
      <c r="W125" s="169">
        <f t="array" ref="W125">IF(C125&lt;&gt;"",IFERROR(100-100/(1+SUMPRODUCT((終値!F103:R103&gt;終値!G103:S103)*( 終値!F103:R103-終値!G103:S103))/SUMPRODUCT((終値!F103:R103&lt;終値!G103:S103)*(終値!G103:S103-終値!F103:R103))),50),"")</f>
        <v>48.920863309352519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見送り</v>
      </c>
      <c r="Z125" s="171">
        <f>IF(AND(E125&lt;&gt;"",G125&lt;&gt;"",G125&lt;&gt;0),(E125-G125)/G125*100,"")</f>
        <v>-9.4027202838557056</v>
      </c>
      <c r="AA125" s="163" t="str">
        <f>IF(OR(C125="",E125="",E125=0),"",IF(E125&gt;G125,"上昇▲",IF(E125&lt;G125,"下落▼","横ばい→")))</f>
        <v>下落▼</v>
      </c>
      <c r="AB125" s="405">
        <f>IF(C125="","",IFERROR(((終値!E127*0.333)+(終値!F127*0.222)+(終値!G127*0.148)+(終値!H127*0.099)+(終値!I127*0.066)+(終値!J127*0.044)+(終値!K127*0.029)+(終値!L127*0.019)+(終値!M127*0.013)+(終値!N127*0.009))/(0.333+0.222+0.148+0.099+0.066+0.044+0.029+0.019+0.013+0.009),""))</f>
        <v>5400.3737270875754</v>
      </c>
      <c r="AC125" s="405">
        <f>IF(C125="","",IFERROR(SUMPRODUCT((終値!E127:AC127),({0.077,0.071,0.065,0.06,0.055,0.051,0.047,0.043,0.039,0.036,0.033,0.031,0.028,0.026,0.024,0.022,0.02,0.018,0.017,0.016,0.014,0.013,0.012,0.011,0.01}))/SUM({0.077,0.071,0.065,0.06,0.055,0.051,0.047,0.043,0.039,0.036,0.033,0.031,0.028,0.026,0.024,0.022,0.02,0.018,0.017,0.016,0.014,0.013,0.012,0.011,0.01}),""))</f>
        <v>5440.1323003575653</v>
      </c>
      <c r="AD125" s="406" t="str">
        <f>IF(OR(C125="",AB125="",AC125=""),"",IF(AND(E125&gt;AB125,AB125&gt;AC125),"パーフェクト▲",IF(E125&gt;AC125,"上昇トレンド▲",IF(AND(E125&lt;AB125,AB125&lt;AC125),"下降トレンド▼","もみ合い→"))))</f>
        <v>下降トレンド▼</v>
      </c>
      <c r="AE125" s="406" t="str">
        <f>IF(OR(C125="",AB125="",AC125=""),"",IF(AND(ABS(E125-AC125)/AC125&lt;=0.02,E125&gt;AC125),"25日押し目★",IF(AND(ABS(E125-AB125)/AB125&lt;=0.01,E125&gt;AB125),"5日押し目○","なし")))</f>
        <v>なし</v>
      </c>
      <c r="AF125" s="365">
        <f t="array" ref="AF125">IF(C125="","",IFERROR((INDEX(終値!$E:$E,MATCH(TEXT(C125,"0"),終値!$A:$A,0))-INDEX(終値!$E:$CZ,MATCH(TEXT(C125,"0"),終値!$A:$A,0),$AL$2))/INDEX(終値!$E:$CZ,MATCH(TEXT(C125,"0"),終値!$A:$A,0),$AL$2)*100,""))</f>
        <v>-21.112255406797118</v>
      </c>
      <c r="AG125" s="365">
        <f t="array" ref="AG125">IFERROR((終値!$E$5-INDEX(終値!$E$5:$IT$5,1,$AL$2))/INDEX(終値!$E$5:$IT$5,1,$AL$2)*100,"")</f>
        <v>1.0179378228534113</v>
      </c>
      <c r="AH125" s="366">
        <f>IF(OR(AF125="",AG125=""),"",AF125-AG125)</f>
        <v>-22.13019322965053</v>
      </c>
      <c r="AI125" s="364">
        <f>IF(AH125="","",IF(AH125&gt;5,3,IF(AH125&gt;0,1,IF(AH125&gt;-3,-1,-2))))</f>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2158.5</v>
      </c>
      <c r="F126" s="166">
        <f>IF(C126&lt;&gt;"",_xll.RssMarket(C126,"始値"),"")</f>
        <v>2234</v>
      </c>
      <c r="G126" s="165">
        <f>IF(C126&lt;&gt;"",終値!F102,"")</f>
        <v>2371.5</v>
      </c>
      <c r="H126" s="166">
        <f>IF(C126&lt;&gt;"",_xll.RssMarket(C126,"高値"),"")</f>
        <v>2283</v>
      </c>
      <c r="I126" s="166">
        <f>IF(C126&lt;&gt;"",_xll.RssMarket(C126,"安値"),"")</f>
        <v>2145</v>
      </c>
      <c r="J126" s="166">
        <f>IF(C126&lt;&gt;"",_xll.RssMarket(C126,"出来高"),"")</f>
        <v>31968400</v>
      </c>
      <c r="K126" s="166">
        <f>IF(C126&lt;&gt;"",_xll.RssMarket(C126,"年初来高値"),"")</f>
        <v>3019</v>
      </c>
      <c r="L126" s="167">
        <f>IF(AND(E126&lt;&gt;"",K126&lt;&gt;"",K126&lt;&gt;0),(E126-K126)/K126*100,"")</f>
        <v>-28.502815501821793</v>
      </c>
      <c r="M126" s="166">
        <f>IF(C126&lt;&gt;"",IFERROR(AVERAGE(出来高!E102:I102),""),"")</f>
        <v>31458650</v>
      </c>
      <c r="N126" s="166">
        <f>IF(C126&lt;&gt;"",IFERROR(AVERAGE(出来高!E102:AC102),""),"")</f>
        <v>31458650</v>
      </c>
      <c r="O126" s="168">
        <f>IF(AND(J126&lt;&gt;"",M126&lt;&gt;"",M126&lt;&gt;0),J126/M126,"")</f>
        <v>1.0162038103987299</v>
      </c>
      <c r="P126" s="163" t="str">
        <f>IF(O126="","",IF(O126&gt;=2,"急増↑↑",IF(O126&gt;=1.5,"増加↑",IF(O126&gt;=1,"普通→","減少↓"))))</f>
        <v>普通→</v>
      </c>
      <c r="Q126" s="163" t="str">
        <f>IF(E126="","",IF(AND(E126&gt;G126,O126&gt;=1.5),"買い▲",IF(E126&lt;G126,"様子見▼","中立→")))</f>
        <v>様子見▼</v>
      </c>
      <c r="R126" s="166">
        <f>IF(E126&lt;&gt;"",ROUND(E126*1.08,0),"")</f>
        <v>2331</v>
      </c>
      <c r="S126" s="166">
        <f>IF(E126&lt;&gt;"",ROUND(E126*0.96,0),"")</f>
        <v>2072</v>
      </c>
      <c r="T126" s="163">
        <f>IF(C126="","",IFERROR(IF(O126&gt;=2,3,IF(O126&gt;=1.5,2,IF(O126&gt;=1,1,0)))+IF(E126&gt;G126,1,0)+IF(L126&gt;=-5,1,0)+IF(Q126="買い▲",2,0)+IF(W126&lt;=30,3,IF(W126&lt;=40,2,IF(AND(W126&gt;=40,W126&lt;=60),1,0)))+IF(X126&gt;0,1,0)+IF(V126="年初来高値更新●",3,IF(V126="高値圏",2,0))+IF(AD126="パーフェクト▲",3,IF(AD126="上昇トレンド▲",2,0))+IF(AE126="25日線押し目●",2,IF(AE126="5日線押し目○",1,0))+IF(P126="急増↑↑",2,IF(P126="増加↑",1,0))+N(AI126),0))</f>
        <v>6</v>
      </c>
      <c r="U126" s="163" t="str">
        <f>IF(T126="","",IF(AND(T126&gt;=3,O126&gt;=1.5),"有効",IF(T126&gt;=3,"要確認","除外")))</f>
        <v>要確認</v>
      </c>
      <c r="V126" s="163" t="str">
        <f>IF(AND(H126&lt;&gt;"",K126&lt;&gt;""),IF(H126&gt;=K126,"年初来高値更新●",IF(H126&gt;=K126*0.95,"高値圏","通常")),"")</f>
        <v>通常</v>
      </c>
      <c r="W126" s="169">
        <f t="array" ref="W126">IF(C126&lt;&gt;"",IFERROR(100-100/(1+SUMPRODUCT((終値!F102:R102&gt;終値!G102:S102)*( 終値!F102:R102-終値!G102:S102))/SUMPRODUCT((終値!F102:R102&lt;終値!G102:S102)*(終値!G102:S102-終値!F102:R102))),50),"")</f>
        <v>50</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△注目</v>
      </c>
      <c r="Z126" s="171">
        <f>IF(AND(E126&lt;&gt;"",G126&lt;&gt;"",G126&lt;&gt;0),(E126-G126)/G126*100,"")</f>
        <v>-8.9816571790006314</v>
      </c>
      <c r="AA126" s="163" t="str">
        <f>IF(OR(C126="",E126="",E126=0),"",IF(E126&gt;G126,"上昇▲",IF(E126&lt;G126,"下落▼","横ばい→")))</f>
        <v>下落▼</v>
      </c>
      <c r="AB126" s="403">
        <f>IF(C126="","",IFERROR(((終値!E128*0.333)+(終値!F128*0.222)+(終値!G128*0.148)+(終値!H128*0.099)+(終値!I128*0.066)+(終値!J128*0.044)+(終値!K128*0.029)+(終値!L128*0.019)+(終値!M128*0.013)+(終値!N128*0.009))/(0.333+0.222+0.148+0.099+0.066+0.044+0.029+0.019+0.013+0.009),""))</f>
        <v>1990.1018329938895</v>
      </c>
      <c r="AC126" s="403">
        <f>IF(C126="","",IFERROR(SUMPRODUCT((終値!E128:AC128),({0.077,0.071,0.065,0.06,0.055,0.051,0.047,0.043,0.039,0.036,0.033,0.031,0.028,0.026,0.024,0.022,0.02,0.018,0.017,0.016,0.014,0.013,0.012,0.011,0.01}))/SUM({0.077,0.071,0.065,0.06,0.055,0.051,0.047,0.043,0.039,0.036,0.033,0.031,0.028,0.026,0.024,0.022,0.02,0.018,0.017,0.016,0.014,0.013,0.012,0.011,0.01}),""))</f>
        <v>1884.0786650774724</v>
      </c>
      <c r="AD126" s="404" t="str">
        <f>IF(OR(C126="",AB126="",AC126=""),"",IF(AND(E126&gt;AB126,AB126&gt;AC126),"パーフェクト▲",IF(E126&gt;AC126,"上昇トレンド▲",IF(AND(E126&lt;AB126,AB126&lt;AC126),"下降トレンド▼","もみ合い→"))))</f>
        <v>パーフェクト▲</v>
      </c>
      <c r="AE126" s="404" t="str">
        <f>IF(OR(C126="",AB126="",AC126=""),"",IF(AND(ABS(E126-AC126)/AC126&lt;=0.02,E126&gt;AC126),"25日押し目★",IF(AND(ABS(E126-AB126)/AB126&lt;=0.01,E126&gt;AB126),"5日押し目○","なし")))</f>
        <v>なし</v>
      </c>
      <c r="AF126" s="365" t="str">
        <f t="array" ref="AF126">IF(C126="","",IFERROR((INDEX(終値!$E:$E,MATCH(TEXT(C126,"0"),終値!$A:$A,0))-INDEX(終値!$E:$CZ,MATCH(TEXT(C126,"0"),終値!$A:$A,0),$AL$2))/INDEX(終値!$E:$CZ,MATCH(TEXT(C126,"0"),終値!$A:$A,0),$AL$2)*100,""))</f>
        <v/>
      </c>
      <c r="AG126" s="365">
        <f t="array" ref="AG126">IFERROR((終値!$E$5-INDEX(終値!$E$5:$IT$5,1,$AL$2))/INDEX(終値!$E$5:$IT$5,1,$AL$2)*100,"")</f>
        <v>1.0179378228534113</v>
      </c>
      <c r="AH126" s="366" t="str">
        <f>IF(OR(AF126="",AG126=""),"",AF126-AG126)</f>
        <v/>
      </c>
      <c r="AI126" s="364" t="str">
        <f>IF(AH126="","",IF(AH126&gt;5,3,IF(AH126&gt;0,1,IF(AH126&gt;-3,-1,-2))))</f>
        <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3909</v>
      </c>
      <c r="F127" s="166">
        <f>IF(C127&lt;&gt;"",_xll.RssMarket(C127,"始値"),"")</f>
        <v>3781</v>
      </c>
      <c r="G127" s="165">
        <f>IF(C127&lt;&gt;"",終値!F200,"")</f>
        <v>3919</v>
      </c>
      <c r="H127" s="166">
        <f>IF(C127&lt;&gt;"",_xll.RssMarket(C127,"高値"),"")</f>
        <v>4085</v>
      </c>
      <c r="I127" s="166">
        <f>IF(C127&lt;&gt;"",_xll.RssMarket(C127,"安値"),"")</f>
        <v>3436</v>
      </c>
      <c r="J127" s="166">
        <f>IF(C127&lt;&gt;"",_xll.RssMarket(C127,"出来高"),"")</f>
        <v>72354600</v>
      </c>
      <c r="K127" s="166">
        <f>IF(C127&lt;&gt;"",_xll.RssMarket(C127,"年初来高値"),"")</f>
        <v>4870</v>
      </c>
      <c r="L127" s="167">
        <f>IF(AND(E127&lt;&gt;"",K127&lt;&gt;"",K127&lt;&gt;0),(E127-K127)/K127*100,"")</f>
        <v>-19.733059548254619</v>
      </c>
      <c r="M127" s="166">
        <f>IF(C127&lt;&gt;"",IFERROR(AVERAGE(出来高!E200:I200),""),"")</f>
        <v>37311000</v>
      </c>
      <c r="N127" s="166">
        <f>IF(C127&lt;&gt;"",IFERROR(AVERAGE(出来高!E200:AC200),""),"")</f>
        <v>22022140</v>
      </c>
      <c r="O127" s="168">
        <f>IF(AND(J127&lt;&gt;"",M127&lt;&gt;"",M127&lt;&gt;0),J127/M127,"")</f>
        <v>1.939229717777599</v>
      </c>
      <c r="P127" s="163" t="str">
        <f>IF(O127="","",IF(O127&gt;=2,"急増↑↑",IF(O127&gt;=1.5,"増加↑",IF(O127&gt;=1,"普通→","減少↓"))))</f>
        <v>増加↑</v>
      </c>
      <c r="Q127" s="163" t="str">
        <f>IF(E127="","",IF(AND(E127&gt;G127,O127&gt;=1.5),"買い▲",IF(E127&lt;G127,"様子見▼","中立→")))</f>
        <v>様子見▼</v>
      </c>
      <c r="R127" s="166">
        <f>IF(E127&lt;&gt;"",ROUND(E127*1.08,0),"")</f>
        <v>4222</v>
      </c>
      <c r="S127" s="166">
        <f>IF(E127&lt;&gt;"",ROUND(E127*0.96,0),"")</f>
        <v>3753</v>
      </c>
      <c r="T127" s="163">
        <f>IF(C127="","",IFERROR(IF(O127&gt;=2,3,IF(O127&gt;=1.5,2,IF(O127&gt;=1,1,0)))+IF(E127&gt;G127,1,0)+IF(L127&gt;=-5,1,0)+IF(Q127="買い▲",2,0)+IF(W127&lt;=30,3,IF(W127&lt;=40,2,IF(AND(W127&gt;=40,W127&lt;=60),1,0)))+IF(X127&gt;0,1,0)+IF(V127="年初来高値更新●",3,IF(V127="高値圏",2,0))+IF(AD127="パーフェクト▲",3,IF(AD127="上昇トレンド▲",2,0))+IF(AE127="25日線押し目●",2,IF(AE127="5日線押し目○",1,0))+IF(P127="急増↑↑",2,IF(P127="増加↑",1,0))+N(AI127),0))</f>
        <v>5</v>
      </c>
      <c r="U127" s="163" t="str">
        <f>IF(T127="","",IF(AND(T127&gt;=3,O127&gt;=1.5),"有効",IF(T127&gt;=3,"要確認","除外")))</f>
        <v>有効</v>
      </c>
      <c r="V127" s="163" t="str">
        <f>IF(AND(H127&lt;&gt;"",K127&lt;&gt;""),IF(H127&gt;=K127,"年初来高値更新●",IF(H127&gt;=K127*0.95,"高値圏","通常")),"")</f>
        <v>通常</v>
      </c>
      <c r="W127" s="169">
        <f t="array" ref="W127">IF(C127&lt;&gt;"",IFERROR(100-100/(1+SUMPRODUCT((終値!F200:R200&gt;終値!G200:S200)*( 終値!F200:R200-終値!G200:S200))/SUMPRODUCT((終値!F200:R200&lt;終値!G200:S200)*(終値!G200:S200-終値!F200:R200))),50),"")</f>
        <v>52.869467366841711</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様子見</v>
      </c>
      <c r="Z127" s="171">
        <f>IF(AND(E127&lt;&gt;"",G127&lt;&gt;"",G127&lt;&gt;0),(E127-G127)/G127*100,"")</f>
        <v>-0.25516713447307987</v>
      </c>
      <c r="AA127" s="163" t="str">
        <f>IF(OR(C127="",E127="",E127=0),"",IF(E127&gt;G127,"上昇▲",IF(E127&lt;G127,"下落▼","横ばい→")))</f>
        <v>下落▼</v>
      </c>
      <c r="AB127" s="405">
        <f>IF(C127="","",IFERROR(((終値!E129*0.333)+(終値!F129*0.222)+(終値!G129*0.148)+(終値!H129*0.099)+(終値!I129*0.066)+(終値!J129*0.044)+(終値!K129*0.029)+(終値!L129*0.019)+(終値!M129*0.013)+(終値!N129*0.009))/(0.333+0.222+0.148+0.099+0.066+0.044+0.029+0.019+0.013+0.009),""))</f>
        <v>1872.3971486761707</v>
      </c>
      <c r="AC127" s="405">
        <f>IF(C127="","",IFERROR(SUMPRODUCT((終値!E129:AC129),({0.077,0.071,0.065,0.06,0.055,0.051,0.047,0.043,0.039,0.036,0.033,0.031,0.028,0.026,0.024,0.022,0.02,0.018,0.017,0.016,0.014,0.013,0.012,0.011,0.01}))/SUM({0.077,0.071,0.065,0.06,0.055,0.051,0.047,0.043,0.039,0.036,0.033,0.031,0.028,0.026,0.024,0.022,0.02,0.018,0.017,0.016,0.014,0.013,0.012,0.011,0.01}),""))</f>
        <v>1852.6471990464831</v>
      </c>
      <c r="AD127" s="406" t="str">
        <f>IF(OR(C127="",AB127="",AC127=""),"",IF(AND(E127&gt;AB127,AB127&gt;AC127),"パーフェクト▲",IF(E127&gt;AC127,"上昇トレンド▲",IF(AND(E127&lt;AB127,AB127&lt;AC127),"下降トレンド▼","もみ合い→"))))</f>
        <v>パーフェクト▲</v>
      </c>
      <c r="AE127" s="406" t="str">
        <f>IF(OR(C127="",AB127="",AC127=""),"",IF(AND(ABS(E127-AC127)/AC127&lt;=0.02,E127&gt;AC127),"25日押し目★",IF(AND(ABS(E127-AB127)/AB127&lt;=0.01,E127&gt;AB127),"5日押し目○","なし")))</f>
        <v>なし</v>
      </c>
      <c r="AF127" s="365">
        <f t="array" ref="AF127">IF(C127="","",IFERROR((INDEX(終値!$E:$E,MATCH(TEXT(C127,"0"),終値!$A:$A,0))-INDEX(終値!$E:$CZ,MATCH(TEXT(C127,"0"),終値!$A:$A,0),$AL$2))/INDEX(終値!$E:$CZ,MATCH(TEXT(C127,"0"),終値!$A:$A,0),$AL$2)*100,""))</f>
        <v>-10.158584233509538</v>
      </c>
      <c r="AG127" s="365">
        <f t="array" ref="AG127">IFERROR((終値!$E$5-INDEX(終値!$E$5:$IT$5,1,$AL$2))/INDEX(終値!$E$5:$IT$5,1,$AL$2)*100,"")</f>
        <v>1.0179378228534113</v>
      </c>
      <c r="AH127" s="366">
        <f>IF(OR(AF127="",AG127=""),"",AF127-AG127)</f>
        <v>-11.17652205636295</v>
      </c>
      <c r="AI127" s="364">
        <f>IF(AH127="","",IF(AH127&gt;5,3,IF(AH127&gt;0,1,IF(AH127&gt;-3,-1,-2))))</f>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8907</v>
      </c>
      <c r="F128" s="166">
        <f>IF(C128&lt;&gt;"",_xll.RssMarket(C128,"始値"),"")</f>
        <v>8664</v>
      </c>
      <c r="G128" s="165">
        <f>IF(C128&lt;&gt;"",終値!F10,"")</f>
        <v>8559</v>
      </c>
      <c r="H128" s="166">
        <f>IF(C128&lt;&gt;"",_xll.RssMarket(C128,"高値"),"")</f>
        <v>8999</v>
      </c>
      <c r="I128" s="166">
        <f>IF(C128&lt;&gt;"",_xll.RssMarket(C128,"安値"),"")</f>
        <v>8602</v>
      </c>
      <c r="J128" s="166">
        <f>IF(C128&lt;&gt;"",_xll.RssMarket(C128,"出来高"),"")</f>
        <v>894700</v>
      </c>
      <c r="K128" s="166">
        <f>IF(C128&lt;&gt;"",_xll.RssMarket(C128,"年初来高値"),"")</f>
        <v>12380</v>
      </c>
      <c r="L128" s="167">
        <f>IF(AND(E128&lt;&gt;"",K128&lt;&gt;"",K128&lt;&gt;0),(E128-K128)/K128*100,"")</f>
        <v>-28.053311793214863</v>
      </c>
      <c r="M128" s="166">
        <f>IF(C128&lt;&gt;"",IFERROR(AVERAGE(出来高!E10:I10),""),"")</f>
        <v>575340</v>
      </c>
      <c r="N128" s="166">
        <f>IF(C128&lt;&gt;"",IFERROR(AVERAGE(出来高!E10:AC10),""),"")</f>
        <v>491308</v>
      </c>
      <c r="O128" s="168">
        <f>IF(AND(J128&lt;&gt;"",M128&lt;&gt;"",M128&lt;&gt;0),J128/M128,"")</f>
        <v>1.5550804741544131</v>
      </c>
      <c r="P128" s="163" t="str">
        <f>IF(O128="","",IF(O128&gt;=2,"急増↑↑",IF(O128&gt;=1.5,"増加↑",IF(O128&gt;=1,"普通→","減少↓"))))</f>
        <v>増加↑</v>
      </c>
      <c r="Q128" s="163" t="str">
        <f>IF(E128="","",IF(AND(E128&gt;G128,O128&gt;=1.5),"買い▲",IF(E128&lt;G128,"様子見▼","中立→")))</f>
        <v>買い▲</v>
      </c>
      <c r="R128" s="166">
        <f>IF(E128&lt;&gt;"",ROUND(E128*1.08,0),"")</f>
        <v>9620</v>
      </c>
      <c r="S128" s="166">
        <f>IF(E128&lt;&gt;"",ROUND(E128*0.96,0),"")</f>
        <v>8551</v>
      </c>
      <c r="T128" s="163">
        <f>IF(C128="","",IFERROR(IF(O128&gt;=2,3,IF(O128&gt;=1.5,2,IF(O128&gt;=1,1,0)))+IF(E128&gt;G128,1,0)+IF(L128&gt;=-5,1,0)+IF(Q128="買い▲",2,0)+IF(W128&lt;=30,3,IF(W128&lt;=40,2,IF(AND(W128&gt;=40,W128&lt;=60),1,0)))+IF(X128&gt;0,1,0)+IF(V128="年初来高値更新●",3,IF(V128="高値圏",2,0))+IF(AD128="パーフェクト▲",3,IF(AD128="上昇トレンド▲",2,0))+IF(AE128="25日線押し目●",2,IF(AE128="5日線押し目○",1,0))+IF(P128="急増↑↑",2,IF(P128="増加↑",1,0))+N(AI128),0))</f>
        <v>11</v>
      </c>
      <c r="U128" s="163" t="str">
        <f>IF(T128="","",IF(AND(T128&gt;=3,O128&gt;=1.5),"有効",IF(T128&gt;=3,"要確認","除外")))</f>
        <v>有効</v>
      </c>
      <c r="V128" s="163" t="str">
        <f>IF(AND(H128&lt;&gt;"",K128&lt;&gt;""),IF(H128&gt;=K128,"年初来高値更新●",IF(H128&gt;=K128*0.95,"高値圏","通常")),"")</f>
        <v>通常</v>
      </c>
      <c r="W128" s="169">
        <f t="array" ref="W128">IF(C128&lt;&gt;"",IFERROR(100-100/(1+SUMPRODUCT((終値!F10:R10&gt;終値!G10:S10)*( 終値!F10:R10-終値!G10:S10))/SUMPRODUCT((終値!F10:R10&lt;終値!G10:S10)*(終値!G10:S10-終値!F10:R10))),50),"")</f>
        <v>52.0393811533052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○買い候補</v>
      </c>
      <c r="Z128" s="171">
        <f>IF(AND(E128&lt;&gt;"",G128&lt;&gt;"",G128&lt;&gt;0),(E128-G128)/G128*100,"")</f>
        <v>4.0658955485453907</v>
      </c>
      <c r="AA128" s="163" t="str">
        <f>IF(OR(C128="",E128="",E128=0),"",IF(E128&gt;G128,"上昇▲",IF(E128&lt;G128,"下落▼","横ばい→")))</f>
        <v>上昇▲</v>
      </c>
      <c r="AB128" s="403">
        <f>IF(C128="","",IFERROR(((終値!E130*0.333)+(終値!F130*0.222)+(終値!G130*0.148)+(終値!H130*0.099)+(終値!I130*0.066)+(終値!J130*0.044)+(終値!K130*0.029)+(終値!L130*0.019)+(終値!M130*0.013)+(終値!N130*0.009))/(0.333+0.222+0.148+0.099+0.066+0.044+0.029+0.019+0.013+0.009),""))</f>
        <v>6704.1171079429723</v>
      </c>
      <c r="AC128" s="403">
        <f>IF(C128="","",IFERROR(SUMPRODUCT((終値!E130:AC130),({0.077,0.071,0.065,0.06,0.055,0.051,0.047,0.043,0.039,0.036,0.033,0.031,0.028,0.026,0.024,0.022,0.02,0.018,0.017,0.016,0.014,0.013,0.012,0.011,0.01}))/SUM({0.077,0.071,0.065,0.06,0.055,0.051,0.047,0.043,0.039,0.036,0.033,0.031,0.028,0.026,0.024,0.022,0.02,0.018,0.017,0.016,0.014,0.013,0.012,0.011,0.01}),""))</f>
        <v>6718.4064362336103</v>
      </c>
      <c r="AD128" s="404" t="str">
        <f>IF(OR(C128="",AB128="",AC128=""),"",IF(AND(E128&gt;AB128,AB128&gt;AC128),"パーフェクト▲",IF(E128&gt;AC128,"上昇トレンド▲",IF(AND(E128&lt;AB128,AB128&lt;AC128),"下降トレンド▼","もみ合い→"))))</f>
        <v>上昇トレンド▲</v>
      </c>
      <c r="AE128" s="404" t="str">
        <f>IF(OR(C128="",AB128="",AC128=""),"",IF(AND(ABS(E128-AC128)/AC128&lt;=0.02,E128&gt;AC128),"25日押し目★",IF(AND(ABS(E128-AB128)/AB128&lt;=0.01,E128&gt;AB128),"5日押し目○","なし")))</f>
        <v>なし</v>
      </c>
      <c r="AF128" s="365">
        <f t="array" ref="AF128">IF(C128="","",IFERROR((INDEX(終値!$E:$E,MATCH(TEXT(C128,"0"),終値!$A:$A,0))-INDEX(終値!$E:$CZ,MATCH(TEXT(C128,"0"),終値!$A:$A,0),$AL$2))/INDEX(終値!$E:$CZ,MATCH(TEXT(C128,"0"),終値!$A:$A,0),$AL$2)*100,""))</f>
        <v>3.5456870495233668</v>
      </c>
      <c r="AG128" s="365">
        <f t="array" ref="AG128">IFERROR((終値!$E$5-INDEX(終値!$E$5:$IT$5,1,$AL$2))/INDEX(終値!$E$5:$IT$5,1,$AL$2)*100,"")</f>
        <v>1.0179378228534113</v>
      </c>
      <c r="AH128" s="366">
        <f>IF(OR(AF128="",AG128=""),"",AF128-AG128)</f>
        <v>2.5277492266699557</v>
      </c>
      <c r="AI128" s="364">
        <f>IF(AH128="","",IF(AH128&gt;5,3,IF(AH128&gt;0,1,IF(AH128&gt;-3,-1,-2))))</f>
        <v>1</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9088</v>
      </c>
      <c r="F129" s="166">
        <f>IF(C129&lt;&gt;"",_xll.RssMarket(C129,"始値"),"")</f>
        <v>8820</v>
      </c>
      <c r="G129" s="165">
        <f>IF(C129&lt;&gt;"",終値!F8,"")</f>
        <v>8563</v>
      </c>
      <c r="H129" s="166">
        <f>IF(C129&lt;&gt;"",_xll.RssMarket(C129,"高値"),"")</f>
        <v>9210</v>
      </c>
      <c r="I129" s="166">
        <f>IF(C129&lt;&gt;"",_xll.RssMarket(C129,"安値"),"")</f>
        <v>8800</v>
      </c>
      <c r="J129" s="166">
        <f>IF(C129&lt;&gt;"",_xll.RssMarket(C129,"出来高"),"")</f>
        <v>4906500</v>
      </c>
      <c r="K129" s="166">
        <f>IF(C129&lt;&gt;"",_xll.RssMarket(C129,"年初来高値"),"")</f>
        <v>13300</v>
      </c>
      <c r="L129" s="167">
        <f>IF(AND(E129&lt;&gt;"",K129&lt;&gt;"",K129&lt;&gt;0),(E129-K129)/K129*100,"")</f>
        <v>-31.669172932330824</v>
      </c>
      <c r="M129" s="166">
        <f>IF(C129&lt;&gt;"",IFERROR(AVERAGE(出来高!F8:J8),""),"")</f>
        <v>3307800</v>
      </c>
      <c r="N129" s="166">
        <f>IF(C129&lt;&gt;"",IFERROR(AVERAGE(出来高!F8:AD8),""),"")</f>
        <v>2971856</v>
      </c>
      <c r="O129" s="168">
        <f>IF(AND(J129&lt;&gt;"",M129&lt;&gt;"",M129&lt;&gt;0),J129/M129,"")</f>
        <v>1.4833121712316344</v>
      </c>
      <c r="P129" s="163" t="str">
        <f>IF(O129="","",IF(O129&gt;=2,"急増↑↑",IF(O129&gt;=1.5,"増加↑",IF(O129&gt;=1,"普通→","減少↓"))))</f>
        <v>普通→</v>
      </c>
      <c r="Q129" s="163" t="str">
        <f>IF(E129="","",IF(AND(E129&gt;G129,O129&gt;=1.5),"買い▲",IF(E129&lt;G129,"様子見▼","中立→")))</f>
        <v>中立→</v>
      </c>
      <c r="R129" s="166">
        <f>IF(E129&lt;&gt;"",ROUND(E129*1.08,0),"")</f>
        <v>9815</v>
      </c>
      <c r="S129" s="166">
        <f>IF(E129&lt;&gt;"",ROUND(E129*0.96,0),"")</f>
        <v>8724</v>
      </c>
      <c r="T129" s="163">
        <f>IF(C129="","",IFERROR(IF(O129&gt;=2,3,IF(O129&gt;=1.5,2,IF(O129&gt;=1,1,0)))+IF(E129&gt;G129,1,0)+IF(L129&gt;=-5,1,0)+IF(Q129="買い▲",2,0)+IF(W129&lt;=30,3,IF(W129&lt;=40,2,IF(AND(W129&gt;=40,W129&lt;=60),1,0)))+IF(X129&gt;0,1,0)+IF(V129="年初来高値更新●",3,IF(V129="高値圏",2,0))+IF(AD129="パーフェクト▲",3,IF(AD129="上昇トレンド▲",2,0))+IF(AE129="25日線押し目●",2,IF(AE129="5日線押し目○",1,0))+IF(P129="急増↑↑",2,IF(P129="増加↑",1,0))+N(AI129),0))</f>
        <v>9</v>
      </c>
      <c r="U129" s="163" t="str">
        <f>IF(T129="","",IF(AND(T129&gt;=3,O129&gt;=1.5),"有効",IF(T129&gt;=3,"要確認","除外")))</f>
        <v>要確認</v>
      </c>
      <c r="V129" s="163" t="str">
        <f>IF(AND(H129&lt;&gt;"",K129&lt;&gt;""),IF(H129&gt;=K129,"年初来高値更新●",IF(H129&gt;=K129*0.95,"高値圏","通常")),"")</f>
        <v>通常</v>
      </c>
      <c r="W129" s="169">
        <f t="array" ref="W129">IF(C129&lt;&gt;"",IFERROR(100-100/(1+SUMPRODUCT((終値!F8:R8&gt;終値!G8:S8)*( 終値!F8:R8-終値!G8:S8))/SUMPRODUCT((終値!F8:R8&lt;終値!G8:S8)*(終値!G8:S8-終値!F8:R8))),50),"")</f>
        <v>62.459686089013118</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△注目</v>
      </c>
      <c r="Z129" s="171">
        <f>IF(AND(E129&lt;&gt;"",G129&lt;&gt;"",G129&lt;&gt;0),(E129-G129)/G129*100,"")</f>
        <v>6.1310288450309471</v>
      </c>
      <c r="AA129" s="163" t="str">
        <f>IF(OR(C129="",E129="",E129=0),"",IF(E129&gt;G129,"上昇▲",IF(E129&lt;G129,"下落▼","横ばい→")))</f>
        <v>上昇▲</v>
      </c>
      <c r="AB129" s="405">
        <f>IF(C129="","",IFERROR(((終値!E131*0.333)+(終値!F131*0.222)+(終値!G131*0.148)+(終値!H131*0.099)+(終値!I131*0.066)+(終値!J131*0.044)+(終値!K131*0.029)+(終値!L131*0.019)+(終値!M131*0.013)+(終値!N131*0.009))/(0.333+0.222+0.148+0.099+0.066+0.044+0.029+0.019+0.013+0.009),""))</f>
        <v>2594.2199592668017</v>
      </c>
      <c r="AC129" s="405">
        <f>IF(C129="","",IFERROR(SUMPRODUCT((終値!E131:AC131),({0.077,0.071,0.065,0.06,0.055,0.051,0.047,0.043,0.039,0.036,0.033,0.031,0.028,0.026,0.024,0.022,0.02,0.018,0.017,0.016,0.014,0.013,0.012,0.011,0.01}))/SUM({0.077,0.071,0.065,0.06,0.055,0.051,0.047,0.043,0.039,0.036,0.033,0.031,0.028,0.026,0.024,0.022,0.02,0.018,0.017,0.016,0.014,0.013,0.012,0.011,0.01}),""))</f>
        <v>2555.429082240762</v>
      </c>
      <c r="AD129" s="406" t="str">
        <f>IF(OR(C129="",AB129="",AC129=""),"",IF(AND(E129&gt;AB129,AB129&gt;AC129),"パーフェクト▲",IF(E129&gt;AC129,"上昇トレンド▲",IF(AND(E129&lt;AB129,AB129&lt;AC129),"下降トレンド▼","もみ合い→"))))</f>
        <v>パーフェクト▲</v>
      </c>
      <c r="AE129" s="406" t="str">
        <f>IF(OR(C129="",AB129="",AC129=""),"",IF(AND(ABS(E129-AC129)/AC129&lt;=0.02,E129&gt;AC129),"25日押し目★",IF(AND(ABS(E129-AB129)/AB129&lt;=0.01,E129&gt;AB129),"5日押し目○","なし")))</f>
        <v>なし</v>
      </c>
      <c r="AF129" s="365">
        <f t="array" ref="AF129">IF(C129="","",IFERROR((INDEX(終値!$E:$E,MATCH(TEXT(C129,"0"),終値!$A:$A,0))-INDEX(終値!$E:$CZ,MATCH(TEXT(C129,"0"),終値!$A:$A,0),$AL$2))/INDEX(終値!$E:$CZ,MATCH(TEXT(C129,"0"),終値!$A:$A,0),$AL$2)*100,""))</f>
        <v>23.882224645583424</v>
      </c>
      <c r="AG129" s="365">
        <f t="array" ref="AG129">IFERROR((終値!$E$5-INDEX(終値!$E$5:$IT$5,1,$AL$2))/INDEX(終値!$E$5:$IT$5,1,$AL$2)*100,"")</f>
        <v>1.0179378228534113</v>
      </c>
      <c r="AH129" s="366">
        <f>IF(OR(AF129="",AG129=""),"",AF129-AG129)</f>
        <v>22.864286822730012</v>
      </c>
      <c r="AI129" s="364">
        <f>IF(AH129="","",IF(AH129&gt;5,3,IF(AH129&gt;0,1,IF(AH129&gt;-3,-1,-2))))</f>
        <v>3</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4457</v>
      </c>
      <c r="F130" s="166">
        <f>IF(C130&lt;&gt;"",_xll.RssMarket(C130,"始値"),"")</f>
        <v>4380</v>
      </c>
      <c r="G130" s="165">
        <f>IF(C130&lt;&gt;"",終値!F9,"")</f>
        <v>4382</v>
      </c>
      <c r="H130" s="166">
        <f>IF(C130&lt;&gt;"",_xll.RssMarket(C130,"高値"),"")</f>
        <v>4543</v>
      </c>
      <c r="I130" s="166">
        <f>IF(C130&lt;&gt;"",_xll.RssMarket(C130,"安値"),"")</f>
        <v>4345</v>
      </c>
      <c r="J130" s="166">
        <f>IF(C130&lt;&gt;"",_xll.RssMarket(C130,"出来高"),"")</f>
        <v>1388100</v>
      </c>
      <c r="K130" s="166">
        <f>IF(C130&lt;&gt;"",_xll.RssMarket(C130,"年初来高値"),"")</f>
        <v>6126</v>
      </c>
      <c r="L130" s="167">
        <f>IF(AND(E130&lt;&gt;"",K130&lt;&gt;"",K130&lt;&gt;0),(E130-K130)/K130*100,"")</f>
        <v>-27.244531505060397</v>
      </c>
      <c r="M130" s="166">
        <f>IF(C130&lt;&gt;"",IFERROR(AVERAGE(出来高!E9:I9),""),"")</f>
        <v>1324120</v>
      </c>
      <c r="N130" s="166">
        <f>IF(C130&lt;&gt;"",IFERROR(AVERAGE(出来高!E9:AC9),""),"")</f>
        <v>1442080</v>
      </c>
      <c r="O130" s="168">
        <f>IF(AND(J130&lt;&gt;"",M130&lt;&gt;"",M130&lt;&gt;0),J130/M130,"")</f>
        <v>1.0483188834848804</v>
      </c>
      <c r="P130" s="163" t="str">
        <f>IF(O130="","",IF(O130&gt;=2,"急増↑↑",IF(O130&gt;=1.5,"増加↑",IF(O130&gt;=1,"普通→","減少↓"))))</f>
        <v>普通→</v>
      </c>
      <c r="Q130" s="163" t="str">
        <f>IF(E130="","",IF(AND(E130&gt;G130,O130&gt;=1.5),"買い▲",IF(E130&lt;G130,"様子見▼","中立→")))</f>
        <v>中立→</v>
      </c>
      <c r="R130" s="166">
        <f>IF(E130&lt;&gt;"",ROUND(E130*1.08,0),"")</f>
        <v>4814</v>
      </c>
      <c r="S130" s="166">
        <f>IF(E130&lt;&gt;"",ROUND(E130*0.96,0),"")</f>
        <v>4279</v>
      </c>
      <c r="T130" s="163">
        <f>IF(C130="","",IFERROR(IF(O130&gt;=2,3,IF(O130&gt;=1.5,2,IF(O130&gt;=1,1,0)))+IF(E130&gt;G130,1,0)+IF(L130&gt;=-5,1,0)+IF(Q130="買い▲",2,0)+IF(W130&lt;=30,3,IF(W130&lt;=40,2,IF(AND(W130&gt;=40,W130&lt;=60),1,0)))+IF(X130&gt;0,1,0)+IF(V130="年初来高値更新●",3,IF(V130="高値圏",2,0))+IF(AD130="パーフェクト▲",3,IF(AD130="上昇トレンド▲",2,0))+IF(AE130="25日線押し目●",2,IF(AE130="5日線押し目○",1,0))+IF(P130="急増↑↑",2,IF(P130="増加↑",1,0))+N(AI130),0))</f>
        <v>5</v>
      </c>
      <c r="U130" s="163" t="str">
        <f>IF(T130="","",IF(AND(T130&gt;=3,O130&gt;=1.5),"有効",IF(T130&gt;=3,"要確認","除外")))</f>
        <v>要確認</v>
      </c>
      <c r="V130" s="163" t="str">
        <f>IF(AND(H130&lt;&gt;"",K130&lt;&gt;""),IF(H130&gt;=K130,"年初来高値更新●",IF(H130&gt;=K130*0.95,"高値圏","通常")),"")</f>
        <v>通常</v>
      </c>
      <c r="W130" s="169">
        <f t="array" ref="W130">IF(C130&lt;&gt;"",IFERROR(100-100/(1+SUMPRODUCT((終値!F9:R9&gt;終値!G9:S9)*( 終値!F9:R9-終値!G9:S9))/SUMPRODUCT((終値!F9:R9&lt;終値!G9:S9)*(終値!G9:S9-終値!F9:R9))),50),"")</f>
        <v>54.38047559449312</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様子見</v>
      </c>
      <c r="Z130" s="171">
        <f>IF(AND(E130&lt;&gt;"",G130&lt;&gt;"",G130&lt;&gt;0),(E130-G130)/G130*100,"")</f>
        <v>1.711547238703788</v>
      </c>
      <c r="AA130" s="163" t="str">
        <f>IF(OR(C130="",E130="",E130=0),"",IF(E130&gt;G130,"上昇▲",IF(E130&lt;G130,"下落▼","横ばい→")))</f>
        <v>上昇▲</v>
      </c>
      <c r="AB130" s="403">
        <f>IF(C130="","",IFERROR(((終値!E132*0.333)+(終値!F132*0.222)+(終値!G132*0.148)+(終値!H132*0.099)+(終値!I132*0.066)+(終値!J132*0.044)+(終値!K132*0.029)+(終値!L132*0.019)+(終値!M132*0.013)+(終値!N132*0.009))/(0.333+0.222+0.148+0.099+0.066+0.044+0.029+0.019+0.013+0.009),""))</f>
        <v>6926.3340122199579</v>
      </c>
      <c r="AC130" s="403">
        <f>IF(C130="","",IFERROR(SUMPRODUCT((終値!E132:AC132),({0.077,0.071,0.065,0.06,0.055,0.051,0.047,0.043,0.039,0.036,0.033,0.031,0.028,0.026,0.024,0.022,0.02,0.018,0.017,0.016,0.014,0.013,0.012,0.011,0.01}))/SUM({0.077,0.071,0.065,0.06,0.055,0.051,0.047,0.043,0.039,0.036,0.033,0.031,0.028,0.026,0.024,0.022,0.02,0.018,0.017,0.016,0.014,0.013,0.012,0.011,0.01}),""))</f>
        <v>6440.0715137067918</v>
      </c>
      <c r="AD130" s="404" t="str">
        <f>IF(OR(C130="",AB130="",AC130=""),"",IF(AND(E130&gt;AB130,AB130&gt;AC130),"パーフェクト▲",IF(E130&gt;AC130,"上昇トレンド▲",IF(AND(E130&lt;AB130,AB130&lt;AC130),"下降トレンド▼","もみ合い→"))))</f>
        <v>もみ合い→</v>
      </c>
      <c r="AE130" s="404" t="str">
        <f>IF(OR(C130="",AB130="",AC130=""),"",IF(AND(ABS(E130-AC130)/AC130&lt;=0.02,E130&gt;AC130),"25日押し目★",IF(AND(ABS(E130-AB130)/AB130&lt;=0.01,E130&gt;AB130),"5日押し目○","なし")))</f>
        <v>なし</v>
      </c>
      <c r="AF130" s="365">
        <f t="array" ref="AF130">IF(C130="","",IFERROR((INDEX(終値!$E:$E,MATCH(TEXT(C130,"0"),終値!$A:$A,0))-INDEX(終値!$E:$CZ,MATCH(TEXT(C130,"0"),終値!$A:$A,0),$AL$2))/INDEX(終値!$E:$CZ,MATCH(TEXT(C130,"0"),終値!$A:$A,0),$AL$2)*100,""))</f>
        <v>1.5956234328698427</v>
      </c>
      <c r="AG130" s="365">
        <f t="array" ref="AG130">IFERROR((終値!$E$5-INDEX(終値!$E$5:$IT$5,1,$AL$2))/INDEX(終値!$E$5:$IT$5,1,$AL$2)*100,"")</f>
        <v>1.0179378228534113</v>
      </c>
      <c r="AH130" s="366">
        <f>IF(OR(AF130="",AG130=""),"",AF130-AG130)</f>
        <v>0.57768561001643137</v>
      </c>
      <c r="AI130" s="364">
        <f>IF(AH130="","",IF(AH130&gt;5,3,IF(AH130&gt;0,1,IF(AH130&gt;-3,-1,-2))))</f>
        <v>1</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31970</v>
      </c>
      <c r="F131" s="166">
        <f>IF(C131&lt;&gt;"",_xll.RssMarket(C131,"始値"),"")</f>
        <v>34800</v>
      </c>
      <c r="G131" s="165">
        <f>IF(C131&lt;&gt;"",終値!F6,"")</f>
        <v>35380</v>
      </c>
      <c r="H131" s="166">
        <f>IF(C131&lt;&gt;"",_xll.RssMarket(C131,"高値"),"")</f>
        <v>35200</v>
      </c>
      <c r="I131" s="166">
        <f>IF(C131&lt;&gt;"",_xll.RssMarket(C131,"安値"),"")</f>
        <v>31720</v>
      </c>
      <c r="J131" s="166">
        <f>IF(C131&lt;&gt;"",_xll.RssMarket(C131,"出来高"),"")</f>
        <v>1367900</v>
      </c>
      <c r="K131" s="166">
        <f>IF(C131&lt;&gt;"",_xll.RssMarket(C131,"年初来高値"),"")</f>
        <v>57700</v>
      </c>
      <c r="L131" s="167">
        <f>IF(AND(E131&lt;&gt;"",K131&lt;&gt;"",K131&lt;&gt;0),(E131-K131)/K131*100,"")</f>
        <v>-44.592720970537265</v>
      </c>
      <c r="M131" s="166">
        <f>IF(C131&lt;&gt;"",IFERROR(AVERAGE(出来高!F6:J6),""),"")</f>
        <v>1457140</v>
      </c>
      <c r="N131" s="166">
        <f>IF(C131&lt;&gt;"",IFERROR(AVERAGE(出来高!F6:AD6),""),"")</f>
        <v>1309736</v>
      </c>
      <c r="O131" s="168">
        <f>IF(AND(J131&lt;&gt;"",M131&lt;&gt;"",M131&lt;&gt;0),J131/M131,"")</f>
        <v>0.93875674266027975</v>
      </c>
      <c r="P131" s="163" t="str">
        <f>IF(O131="","",IF(O131&gt;=2,"急増↑↑",IF(O131&gt;=1.5,"増加↑",IF(O131&gt;=1,"普通→","減少↓"))))</f>
        <v>減少↓</v>
      </c>
      <c r="Q131" s="163" t="str">
        <f>IF(E131="","",IF(AND(E131&gt;G131,O131&gt;=1.5),"買い▲",IF(E131&lt;G131,"様子見▼","中立→")))</f>
        <v>様子見▼</v>
      </c>
      <c r="R131" s="166">
        <f>IF(E131&lt;&gt;"",ROUND(E131*1.08,0),"")</f>
        <v>34528</v>
      </c>
      <c r="S131" s="166">
        <f>IF(E131&lt;&gt;"",ROUND(E131*0.96,0),"")</f>
        <v>30691</v>
      </c>
      <c r="T131" s="163">
        <f>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1</v>
      </c>
      <c r="U131" s="163" t="str">
        <f>IF(T131="","",IF(AND(T131&gt;=3,O131&gt;=1.5),"有効",IF(T131&gt;=3,"要確認","除外")))</f>
        <v>除外</v>
      </c>
      <c r="V131" s="163" t="str">
        <f>IF(AND(H131&lt;&gt;"",K131&lt;&gt;""),IF(H131&gt;=K131,"年初来高値更新●",IF(H131&gt;=K131*0.95,"高値圏","通常")),"")</f>
        <v>通常</v>
      </c>
      <c r="W131" s="169">
        <f t="array" ref="W131">IF(C131&lt;&gt;"",IFERROR(100-100/(1+SUMPRODUCT((終値!F6:R6&gt;終値!G6:S6)*( 終値!F6:R6-終値!G6:S6))/SUMPRODUCT((終値!F6:R6&lt;終値!G6:S6)*(終値!G6:S6-終値!F6:R6))),50),"")</f>
        <v>50.74101519081141</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見送り</v>
      </c>
      <c r="Z131" s="171">
        <f>IF(AND(E131&lt;&gt;"",G131&lt;&gt;"",G131&lt;&gt;0),(E131-G131)/G131*100,"")</f>
        <v>-9.6382136800452241</v>
      </c>
      <c r="AA131" s="163" t="str">
        <f>IF(OR(C131="",E131="",E131=0),"",IF(E131&gt;G131,"上昇▲",IF(E131&lt;G131,"下落▼","横ばい→")))</f>
        <v>下落▼</v>
      </c>
      <c r="AB131" s="405">
        <f>IF(C131="","",IFERROR(((終値!E133*0.333)+(終値!F133*0.222)+(終値!G133*0.148)+(終値!H133*0.099)+(終値!I133*0.066)+(終値!J133*0.044)+(終値!K133*0.029)+(終値!L133*0.019)+(終値!M133*0.013)+(終値!N133*0.009))/(0.333+0.222+0.148+0.099+0.066+0.044+0.029+0.019+0.013+0.009),""))</f>
        <v>3170.2606924643578</v>
      </c>
      <c r="AC131" s="405">
        <f>IF(C131="","",IFERROR(SUMPRODUCT((終値!E133:AC133),({0.077,0.071,0.065,0.06,0.055,0.051,0.047,0.043,0.039,0.036,0.033,0.031,0.028,0.026,0.024,0.022,0.02,0.018,0.017,0.016,0.014,0.013,0.012,0.011,0.01}))/SUM({0.077,0.071,0.065,0.06,0.055,0.051,0.047,0.043,0.039,0.036,0.033,0.031,0.028,0.026,0.024,0.022,0.02,0.018,0.017,0.016,0.014,0.013,0.012,0.011,0.01}),""))</f>
        <v>3701.2717520858164</v>
      </c>
      <c r="AD131" s="406" t="str">
        <f>IF(OR(C131="",AB131="",AC131=""),"",IF(AND(E131&gt;AB131,AB131&gt;AC131),"パーフェクト▲",IF(E131&gt;AC131,"上昇トレンド▲",IF(AND(E131&lt;AB131,AB131&lt;AC131),"下降トレンド▼","もみ合い→"))))</f>
        <v>上昇トレンド▲</v>
      </c>
      <c r="AE131" s="406" t="str">
        <f>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-25.92678405931418</v>
      </c>
      <c r="AG131" s="365">
        <f t="array" ref="AG131">IFERROR((終値!$E$5-INDEX(終値!$E$5:$IT$5,1,$AL$2))/INDEX(終値!$E$5:$IT$5,1,$AL$2)*100,"")</f>
        <v>1.0179378228534113</v>
      </c>
      <c r="AH131" s="366">
        <f>IF(OR(AF131="",AG131=""),"",AF131-AG131)</f>
        <v>-26.944721882167592</v>
      </c>
      <c r="AI131" s="364">
        <f>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2936</v>
      </c>
      <c r="F132" s="166">
        <f>IF(C132&lt;&gt;"",_xll.RssMarket(C132,"始値"),"")</f>
        <v>2930</v>
      </c>
      <c r="G132" s="165">
        <f>IF(C132&lt;&gt;"",終値!F13,"")</f>
        <v>2917</v>
      </c>
      <c r="H132" s="166">
        <f>IF(C132&lt;&gt;"",_xll.RssMarket(C132,"高値"),"")</f>
        <v>2989</v>
      </c>
      <c r="I132" s="166">
        <f>IF(C132&lt;&gt;"",_xll.RssMarket(C132,"安値"),"")</f>
        <v>2916</v>
      </c>
      <c r="J132" s="166">
        <f>IF(C132&lt;&gt;"",_xll.RssMarket(C132,"出来高"),"")</f>
        <v>281400</v>
      </c>
      <c r="K132" s="166">
        <f>IF(C132&lt;&gt;"",_xll.RssMarket(C132,"年初来高値"),"")</f>
        <v>3330</v>
      </c>
      <c r="L132" s="167">
        <f>IF(AND(E132&lt;&gt;"",K132&lt;&gt;"",K132&lt;&gt;0),(E132-K132)/K132*100,"")</f>
        <v>-11.831831831831833</v>
      </c>
      <c r="M132" s="166">
        <f>IF(C132&lt;&gt;"",IFERROR(AVERAGE(出来高!E13:I13),""),"")</f>
        <v>622000</v>
      </c>
      <c r="N132" s="166">
        <f>IF(C132&lt;&gt;"",IFERROR(AVERAGE(出来高!E13:AC13),""),"")</f>
        <v>390060</v>
      </c>
      <c r="O132" s="168">
        <f>IF(AND(J132&lt;&gt;"",M132&lt;&gt;"",M132&lt;&gt;0),J132/M132,"")</f>
        <v>0.45241157556270095</v>
      </c>
      <c r="P132" s="163" t="str">
        <f>IF(O132="","",IF(O132&gt;=2,"急増↑↑",IF(O132&gt;=1.5,"増加↑",IF(O132&gt;=1,"普通→","減少↓"))))</f>
        <v>減少↓</v>
      </c>
      <c r="Q132" s="163" t="str">
        <f>IF(E132="","",IF(AND(E132&gt;G132,O132&gt;=1.5),"買い▲",IF(E132&lt;G132,"様子見▼","中立→")))</f>
        <v>中立→</v>
      </c>
      <c r="R132" s="166">
        <f>IF(E132&lt;&gt;"",ROUND(E132*1.08,0),"")</f>
        <v>3171</v>
      </c>
      <c r="S132" s="166">
        <f>IF(E132&lt;&gt;"",ROUND(E132*0.96,0),"")</f>
        <v>2819</v>
      </c>
      <c r="T132" s="163">
        <f>IF(C132="","",IFERROR(IF(O132&gt;=2,3,IF(O132&gt;=1.5,2,IF(O132&gt;=1,1,0)))+IF(E132&gt;G132,1,0)+IF(L132&gt;=-5,1,0)+IF(Q132="買い▲",2,0)+IF(W132&lt;=30,3,IF(W132&lt;=40,2,IF(AND(W132&gt;=40,W132&lt;=60),1,0)))+IF(X132&gt;0,1,0)+IF(V132="年初来高値更新●",3,IF(V132="高値圏",2,0))+IF(AD132="パーフェクト▲",3,IF(AD132="上昇トレンド▲",2,0))+IF(AE132="25日線押し目●",2,IF(AE132="5日線押し目○",1,0))+IF(P132="急増↑↑",2,IF(P132="増加↑",1,0))+N(AI132),0))</f>
        <v>8</v>
      </c>
      <c r="U132" s="163" t="str">
        <f>IF(T132="","",IF(AND(T132&gt;=3,O132&gt;=1.5),"有効",IF(T132&gt;=3,"要確認","除外")))</f>
        <v>要確認</v>
      </c>
      <c r="V132" s="163" t="str">
        <f>IF(AND(H132&lt;&gt;"",K132&lt;&gt;""),IF(H132&gt;=K132,"年初来高値更新●",IF(H132&gt;=K132*0.95,"高値圏","通常")),"")</f>
        <v>通常</v>
      </c>
      <c r="W132" s="169">
        <f t="array" ref="W132">IF(C132&lt;&gt;"",IFERROR(100-100/(1+SUMPRODUCT((終値!F13:R13&gt;終値!G13:S13)*( 終値!F13:R13-終値!G13:S13))/SUMPRODUCT((終値!F13:R13&lt;終値!G13:S13)*(終値!G13:S13-終値!F13:R13))),50),"")</f>
        <v>60.072376357056697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△注目</v>
      </c>
      <c r="Z132" s="171">
        <f>IF(AND(E132&lt;&gt;"",G132&lt;&gt;"",G132&lt;&gt;0),(E132-G132)/G132*100,"")</f>
        <v>0.65135413095646211</v>
      </c>
      <c r="AA132" s="163" t="str">
        <f>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1793.1812627291238</v>
      </c>
      <c r="AC132" s="403">
        <f>IF(C132="","",IFERROR(SUMPRODUCT((終値!E134:AC134),({0.077,0.071,0.065,0.06,0.055,0.051,0.047,0.043,0.039,0.036,0.033,0.031,0.028,0.026,0.024,0.022,0.02,0.018,0.017,0.016,0.014,0.013,0.012,0.011,0.01}))/SUM({0.077,0.071,0.065,0.06,0.055,0.051,0.047,0.043,0.039,0.036,0.033,0.031,0.028,0.026,0.024,0.022,0.02,0.018,0.017,0.016,0.014,0.013,0.012,0.011,0.01}),""))</f>
        <v>568.64243146603076</v>
      </c>
      <c r="AD132" s="404" t="str">
        <f>IF(OR(C132="",AB132="",AC132=""),"",IF(AND(E132&gt;AB132,AB132&gt;AC132),"パーフェクト▲",IF(E132&gt;AC132,"上昇トレンド▲",IF(AND(E132&lt;AB132,AB132&lt;AC132),"下降トレンド▼","もみ合い→"))))</f>
        <v>パーフェクト▲</v>
      </c>
      <c r="AE132" s="404" t="str">
        <f>IF(OR(C132="",AB132="",AC132=""),"",IF(AND(ABS(E132-AC132)/AC132&lt;=0.02,E132&gt;AC132),"25日押し目★",IF(AND(ABS(E132-AB132)/AB132&lt;=0.01,E132&gt;AB132),"5日押し目○","なし")))</f>
        <v>なし</v>
      </c>
      <c r="AF132" s="365">
        <f t="array" ref="AF132">IF(C132="","",IFERROR((INDEX(終値!$E:$E,MATCH(TEXT(C132,"0"),終値!$A:$A,0))-INDEX(終値!$E:$CZ,MATCH(TEXT(C132,"0"),終値!$A:$A,0),$AL$2))/INDEX(終値!$E:$CZ,MATCH(TEXT(C132,"0"),終値!$A:$A,0),$AL$2)*100,""))</f>
        <v>7.0751276440554349</v>
      </c>
      <c r="AG132" s="365">
        <f t="array" ref="AG132">IFERROR((終値!$E$5-INDEX(終値!$E$5:$IT$5,1,$AL$2))/INDEX(終値!$E$5:$IT$5,1,$AL$2)*100,"")</f>
        <v>1.0179378228534113</v>
      </c>
      <c r="AH132" s="366">
        <f>IF(OR(AF132="",AG132=""),"",AF132-AG132)</f>
        <v>6.0571898212020239</v>
      </c>
      <c r="AI132" s="364">
        <f>IF(AH132="","",IF(AH132&gt;5,3,IF(AH132&gt;0,1,IF(AH132&gt;-3,-1,-2))))</f>
        <v>3</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2538</v>
      </c>
      <c r="F133" s="166">
        <f>IF(C133&lt;&gt;"",_xll.RssMarket(C133,"始値"),"")</f>
        <v>2569</v>
      </c>
      <c r="G133" s="165">
        <f>IF(C133&lt;&gt;"",終値!F20,"")</f>
        <v>2546</v>
      </c>
      <c r="H133" s="166">
        <f>IF(C133&lt;&gt;"",_xll.RssMarket(C133,"高値"),"")</f>
        <v>2618</v>
      </c>
      <c r="I133" s="166">
        <f>IF(C133&lt;&gt;"",_xll.RssMarket(C133,"安値"),"")</f>
        <v>2437</v>
      </c>
      <c r="J133" s="166">
        <f>IF(C133&lt;&gt;"",_xll.RssMarket(C133,"出来高"),"")</f>
        <v>489900</v>
      </c>
      <c r="K133" s="166">
        <f>IF(C133&lt;&gt;"",_xll.RssMarket(C133,"年初来高値"),"")</f>
        <v>3865</v>
      </c>
      <c r="L133" s="167">
        <f>IF(AND(E133&lt;&gt;"",K133&lt;&gt;"",K133&lt;&gt;0),(E133-K133)/K133*100,"")</f>
        <v>-34.333764553686933</v>
      </c>
      <c r="M133" s="166">
        <f>IF(C133&lt;&gt;"",IFERROR(AVERAGE(出来高!E20:I20),""),"")</f>
        <v>325380</v>
      </c>
      <c r="N133" s="166">
        <f>IF(C133&lt;&gt;"",IFERROR(AVERAGE(出来高!E20:AC20),""),"")</f>
        <v>233675</v>
      </c>
      <c r="O133" s="168">
        <f>IF(AND(J133&lt;&gt;"",M133&lt;&gt;"",M133&lt;&gt;0),J133/M133,"")</f>
        <v>1.5056241932509682</v>
      </c>
      <c r="P133" s="163" t="str">
        <f>IF(O133="","",IF(O133&gt;=2,"急増↑↑",IF(O133&gt;=1.5,"増加↑",IF(O133&gt;=1,"普通→","減少↓"))))</f>
        <v>増加↑</v>
      </c>
      <c r="Q133" s="163" t="str">
        <f>IF(E133="","",IF(AND(E133&gt;G133,O133&gt;=1.5),"買い▲",IF(E133&lt;G133,"様子見▼","中立→")))</f>
        <v>様子見▼</v>
      </c>
      <c r="R133" s="166">
        <f>IF(E133&lt;&gt;"",ROUND(E133*1.08,0),"")</f>
        <v>2741</v>
      </c>
      <c r="S133" s="166">
        <f>IF(E133&lt;&gt;"",ROUND(E133*0.96,0),"")</f>
        <v>2436</v>
      </c>
      <c r="T133" s="163">
        <f>IF(C133="","",IFERROR(IF(O133&gt;=2,3,IF(O133&gt;=1.5,2,IF(O133&gt;=1,1,0)))+IF(E133&gt;G133,1,0)+IF(L133&gt;=-5,1,0)+IF(Q133="買い▲",2,0)+IF(W133&lt;=30,3,IF(W133&lt;=40,2,IF(AND(W133&gt;=40,W133&lt;=60),1,0)))+IF(X133&gt;0,1,0)+IF(V133="年初来高値更新●",3,IF(V133="高値圏",2,0))+IF(AD133="パーフェクト▲",3,IF(AD133="上昇トレンド▲",2,0))+IF(AE133="25日線押し目●",2,IF(AE133="5日線押し目○",1,0))+IF(P133="急増↑↑",2,IF(P133="増加↑",1,0))+N(AI133),0))</f>
        <v>8</v>
      </c>
      <c r="U133" s="163" t="str">
        <f>IF(T133="","",IF(AND(T133&gt;=3,O133&gt;=1.5),"有効",IF(T133&gt;=3,"要確認","除外")))</f>
        <v>有効</v>
      </c>
      <c r="V133" s="163" t="str">
        <f>IF(AND(H133&lt;&gt;"",K133&lt;&gt;""),IF(H133&gt;=K133,"年初来高値更新●",IF(H133&gt;=K133*0.95,"高値圏","通常")),"")</f>
        <v>通常</v>
      </c>
      <c r="W133" s="169">
        <f t="array" ref="W133">IF(C133&lt;&gt;"",IFERROR(100-100/(1+SUMPRODUCT((終値!F20:R20&gt;終値!G20:S20)*( 終値!F20:R20-終値!G20:S20))/SUMPRODUCT((終値!F20:R20&lt;終値!G20:S20)*(終値!G20:S20-終値!F20:R20))),50),"")</f>
        <v>52.438313580726643</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△注目</v>
      </c>
      <c r="Z133" s="171">
        <f>IF(AND(E133&lt;&gt;"",G133&lt;&gt;"",G133&lt;&gt;0),(E133-G133)/G133*100,"")</f>
        <v>-0.3142183817753339</v>
      </c>
      <c r="AA133" s="163" t="str">
        <f>IF(OR(C133="",E133="",E133=0),"",IF(E133&gt;G133,"上昇▲",IF(E133&lt;G133,"下落▼","横ばい→")))</f>
        <v>下落▼</v>
      </c>
      <c r="AB133" s="405">
        <f>IF(C133="","",IFERROR(((終値!E135*0.333)+(終値!F135*0.222)+(終値!G135*0.148)+(終値!H135*0.099)+(終値!I135*0.066)+(終値!J135*0.044)+(終値!K135*0.029)+(終値!L135*0.019)+(終値!M135*0.013)+(終値!N135*0.009))/(0.333+0.222+0.148+0.099+0.066+0.044+0.029+0.019+0.013+0.009),""))</f>
        <v>2288.8991853360485</v>
      </c>
      <c r="AC133" s="405">
        <f>IF(C133="","",IFERROR(SUMPRODUCT((終値!E135:AC135),({0.077,0.071,0.065,0.06,0.055,0.051,0.047,0.043,0.039,0.036,0.033,0.031,0.028,0.026,0.024,0.022,0.02,0.018,0.017,0.016,0.014,0.013,0.012,0.011,0.01}))/SUM({0.077,0.071,0.065,0.06,0.055,0.051,0.047,0.043,0.039,0.036,0.033,0.031,0.028,0.026,0.024,0.022,0.02,0.018,0.017,0.016,0.014,0.013,0.012,0.011,0.01}),""))</f>
        <v>3497.0727056019068</v>
      </c>
      <c r="AD133" s="406" t="str">
        <f>IF(OR(C133="",AB133="",AC133=""),"",IF(AND(E133&gt;AB133,AB133&gt;AC133),"パーフェクト▲",IF(E133&gt;AC133,"上昇トレンド▲",IF(AND(E133&lt;AB133,AB133&lt;AC133),"下降トレンド▼","もみ合い→"))))</f>
        <v>もみ合い→</v>
      </c>
      <c r="AE133" s="406" t="str">
        <f>IF(OR(C133="",AB133="",AC133=""),"",IF(AND(ABS(E133-AC133)/AC133&lt;=0.02,E133&gt;AC133),"25日押し目★",IF(AND(ABS(E133-AB133)/AB133&lt;=0.01,E133&gt;AB133),"5日押し目○","なし")))</f>
        <v>なし</v>
      </c>
      <c r="AF133" s="365">
        <f t="array" ref="AF133">IF(C133="","",IFERROR((INDEX(終値!$E:$E,MATCH(TEXT(C133,"0"),終値!$A:$A,0))-INDEX(終値!$E:$CZ,MATCH(TEXT(C133,"0"),終値!$A:$A,0),$AL$2))/INDEX(終値!$E:$CZ,MATCH(TEXT(C133,"0"),終値!$A:$A,0),$AL$2)*100,""))</f>
        <v>13.557046979865772</v>
      </c>
      <c r="AG133" s="365">
        <f t="array" ref="AG133">IFERROR((終値!$E$5-INDEX(終値!$E$5:$IT$5,1,$AL$2))/INDEX(終値!$E$5:$IT$5,1,$AL$2)*100,"")</f>
        <v>1.0179378228534113</v>
      </c>
      <c r="AH133" s="366">
        <f>IF(OR(AF133="",AG133=""),"",AF133-AG133)</f>
        <v>12.53910915701236</v>
      </c>
      <c r="AI133" s="364">
        <f>IF(AH133="","",IF(AH133&gt;5,3,IF(AH133&gt;0,1,IF(AH133&gt;-3,-1,-2))))</f>
        <v>3</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2777</v>
      </c>
      <c r="F134" s="166">
        <f>IF(C134&lt;&gt;"",_xll.RssMarket(C134,"始値"),"")</f>
        <v>2782</v>
      </c>
      <c r="G134" s="165">
        <f>IF(C134&lt;&gt;"",終値!F51,"")</f>
        <v>2732</v>
      </c>
      <c r="H134" s="166">
        <f>IF(C134&lt;&gt;"",_xll.RssMarket(C134,"高値"),"")</f>
        <v>2827</v>
      </c>
      <c r="I134" s="166">
        <f>IF(C134&lt;&gt;"",_xll.RssMarket(C134,"安値"),"")</f>
        <v>2673</v>
      </c>
      <c r="J134" s="166">
        <f>IF(C134&lt;&gt;"",_xll.RssMarket(C134,"出来高"),"")</f>
        <v>64200</v>
      </c>
      <c r="K134" s="166">
        <f>IF(C134&lt;&gt;"",_xll.RssMarket(C134,"年初来高値"),"")</f>
        <v>3935</v>
      </c>
      <c r="L134" s="167">
        <f>IF(AND(E134&lt;&gt;"",K134&lt;&gt;"",K134&lt;&gt;0),(E134-K134)/K134*100,"")</f>
        <v>-29.428208386276999</v>
      </c>
      <c r="M134" s="166">
        <f>IF(C134&lt;&gt;"",IFERROR(AVERAGE(出来高!E51:I51),""),"")</f>
        <v>80420</v>
      </c>
      <c r="N134" s="166">
        <f>IF(C134&lt;&gt;"",IFERROR(AVERAGE(出来高!E51:AC51),""),"")</f>
        <v>42388</v>
      </c>
      <c r="O134" s="168">
        <f>IF(AND(J134&lt;&gt;"",M134&lt;&gt;"",M134&lt;&gt;0),J134/M134,"")</f>
        <v>0.79830887838846054</v>
      </c>
      <c r="P134" s="163" t="str">
        <f>IF(O134="","",IF(O134&gt;=2,"急増↑↑",IF(O134&gt;=1.5,"増加↑",IF(O134&gt;=1,"普通→","減少↓"))))</f>
        <v>減少↓</v>
      </c>
      <c r="Q134" s="163" t="str">
        <f>IF(E134="","",IF(AND(E134&gt;G134,O134&gt;=1.5),"買い▲",IF(E134&lt;G134,"様子見▼","中立→")))</f>
        <v>中立→</v>
      </c>
      <c r="R134" s="166">
        <f>IF(E134&lt;&gt;"",ROUND(E134*1.08,0),"")</f>
        <v>2999</v>
      </c>
      <c r="S134" s="166">
        <f>IF(E134&lt;&gt;"",ROUND(E134*0.96,0),"")</f>
        <v>2666</v>
      </c>
      <c r="T134" s="163">
        <f>IF(C134="","",IFERROR(IF(O134&gt;=2,3,IF(O134&gt;=1.5,2,IF(O134&gt;=1,1,0)))+IF(E134&gt;G134,1,0)+IF(L134&gt;=-5,1,0)+IF(Q134="買い▲",2,0)+IF(W134&lt;=30,3,IF(W134&lt;=40,2,IF(AND(W134&gt;=40,W134&lt;=60),1,0)))+IF(X134&gt;0,1,0)+IF(V134="年初来高値更新●",3,IF(V134="高値圏",2,0))+IF(AD134="パーフェクト▲",3,IF(AD134="上昇トレンド▲",2,0))+IF(AE134="25日線押し目●",2,IF(AE134="5日線押し目○",1,0))+IF(P134="急増↑↑",2,IF(P134="増加↑",1,0))+N(AI134),0))</f>
        <v>8</v>
      </c>
      <c r="U134" s="163" t="str">
        <f>IF(T134="","",IF(AND(T134&gt;=3,O134&gt;=1.5),"有効",IF(T134&gt;=3,"要確認","除外")))</f>
        <v>要確認</v>
      </c>
      <c r="V134" s="163" t="str">
        <f>IF(AND(H134&lt;&gt;"",K134&lt;&gt;""),IF(H134&gt;=K134,"年初来高値更新●",IF(H134&gt;=K134*0.95,"高値圏","通常")),"")</f>
        <v>通常</v>
      </c>
      <c r="W134" s="169">
        <f t="array" ref="W134">IF(C134&lt;&gt;"",IFERROR(100-100/(1+SUMPRODUCT((終値!F51:R51&gt;終値!G51:S51)*( 終値!F51:R51-終値!G51:S51))/SUMPRODUCT((終値!F51:R51&lt;終値!G51:S51)*(終値!G51:S51-終値!F51:R51))),50),"")</f>
        <v>57.89473684210526</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△注目</v>
      </c>
      <c r="Z134" s="171">
        <f>IF(AND(E134&lt;&gt;"",G134&lt;&gt;"",G134&lt;&gt;0),(E134-G134)/G134*100,"")</f>
        <v>1.6471449487554906</v>
      </c>
      <c r="AA134" s="163" t="str">
        <f>IF(OR(C134="",E134="",E134=0),"",IF(E134&gt;G134,"上昇▲",IF(E134&lt;G134,"下落▼","横ばい→")))</f>
        <v>上昇▲</v>
      </c>
      <c r="AB134" s="403">
        <f>IF(C134="","",IFERROR(((終値!E136*0.333)+(終値!F136*0.222)+(終値!G136*0.148)+(終値!H136*0.099)+(終値!I136*0.066)+(終値!J136*0.044)+(終値!K136*0.029)+(終値!L136*0.019)+(終値!M136*0.013)+(終値!N136*0.009))/(0.333+0.222+0.148+0.099+0.066+0.044+0.029+0.019+0.013+0.009),""))</f>
        <v>867.26171079429719</v>
      </c>
      <c r="AC134" s="403">
        <f>IF(C134="","",IFERROR(SUMPRODUCT((終値!E136:AC136),({0.077,0.071,0.065,0.06,0.055,0.051,0.047,0.043,0.039,0.036,0.033,0.031,0.028,0.026,0.024,0.022,0.02,0.018,0.017,0.016,0.014,0.013,0.012,0.011,0.01}))/SUM({0.077,0.071,0.065,0.06,0.055,0.051,0.047,0.043,0.039,0.036,0.033,0.031,0.028,0.026,0.024,0.022,0.02,0.018,0.017,0.016,0.014,0.013,0.012,0.011,0.01}),""))</f>
        <v>890.45887961859341</v>
      </c>
      <c r="AD134" s="404" t="str">
        <f>IF(OR(C134="",AB134="",AC134=""),"",IF(AND(E134&gt;AB134,AB134&gt;AC134),"パーフェクト▲",IF(E134&gt;AC134,"上昇トレンド▲",IF(AND(E134&lt;AB134,AB134&lt;AC134),"下降トレンド▼","もみ合い→"))))</f>
        <v>上昇トレンド▲</v>
      </c>
      <c r="AE134" s="404" t="str">
        <f>IF(OR(C134="",AB134="",AC134=""),"",IF(AND(ABS(E134-AC134)/AC134&lt;=0.02,E134&gt;AC134),"25日押し目★",IF(AND(ABS(E134-AB134)/AB134&lt;=0.01,E134&gt;AB134),"5日押し目○","なし")))</f>
        <v>なし</v>
      </c>
      <c r="AF134" s="365">
        <f t="array" ref="AF134">IF(C134="","",IFERROR((INDEX(終値!$E:$E,MATCH(TEXT(C134,"0"),終値!$A:$A,0))-INDEX(終値!$E:$CZ,MATCH(TEXT(C134,"0"),終値!$A:$A,0),$AL$2))/INDEX(終値!$E:$CZ,MATCH(TEXT(C134,"0"),終値!$A:$A,0),$AL$2)*100,""))</f>
        <v>22.604856512141282</v>
      </c>
      <c r="AG134" s="365">
        <f t="array" ref="AG134">IFERROR((終値!$E$5-INDEX(終値!$E$5:$IT$5,1,$AL$2))/INDEX(終値!$E$5:$IT$5,1,$AL$2)*100,"")</f>
        <v>1.0179378228534113</v>
      </c>
      <c r="AH134" s="366">
        <f>IF(OR(AF134="",AG134=""),"",AF134-AG134)</f>
        <v>21.58691868928787</v>
      </c>
      <c r="AI134" s="364">
        <f>IF(AH134="","",IF(AH134&gt;5,3,IF(AH134&gt;0,1,IF(AH134&gt;-3,-1,-2))))</f>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1893</v>
      </c>
      <c r="F135" s="166">
        <f>IF(C135&lt;&gt;"",_xll.RssMarket(C135,"始値"),"")</f>
        <v>1856</v>
      </c>
      <c r="G135" s="165">
        <f>IF(C135&lt;&gt;"",終値!F180,"")</f>
        <v>1865</v>
      </c>
      <c r="H135" s="166">
        <f>IF(C135&lt;&gt;"",_xll.RssMarket(C135,"高値"),"")</f>
        <v>1902</v>
      </c>
      <c r="I135" s="166">
        <f>IF(C135&lt;&gt;"",_xll.RssMarket(C135,"安値"),"")</f>
        <v>1851</v>
      </c>
      <c r="J135" s="166">
        <f>IF(C135&lt;&gt;"",_xll.RssMarket(C135,"出来高"),"")</f>
        <v>132800</v>
      </c>
      <c r="K135" s="166">
        <f>IF(C135&lt;&gt;"",_xll.RssMarket(C135,"年初来高値"),"")</f>
        <v>2696</v>
      </c>
      <c r="L135" s="167">
        <f>IF(AND(E135&lt;&gt;"",K135&lt;&gt;"",K135&lt;&gt;0),(E135-K135)/K135*100,"")</f>
        <v>-29.784866468842729</v>
      </c>
      <c r="M135" s="166">
        <f>IF(C135&lt;&gt;"",IFERROR(AVERAGE(出来高!E180:I180),""),"")</f>
        <v>167920</v>
      </c>
      <c r="N135" s="166">
        <f>IF(C135&lt;&gt;"",IFERROR(AVERAGE(出来高!E180:AC180),""),"")</f>
        <v>125712.5</v>
      </c>
      <c r="O135" s="168">
        <f>IF(AND(J135&lt;&gt;"",M135&lt;&gt;"",M135&lt;&gt;0),J135/M135,"")</f>
        <v>0.79085278704144835</v>
      </c>
      <c r="P135" s="163" t="str">
        <f>IF(O135="","",IF(O135&gt;=2,"急増↑↑",IF(O135&gt;=1.5,"増加↑",IF(O135&gt;=1,"普通→","減少↓"))))</f>
        <v>減少↓</v>
      </c>
      <c r="Q135" s="163" t="str">
        <f>IF(E135="","",IF(AND(E135&gt;G135,O135&gt;=1.5),"買い▲",IF(E135&lt;G135,"様子見▼","中立→")))</f>
        <v>中立→</v>
      </c>
      <c r="R135" s="166">
        <f>IF(E135&lt;&gt;"",ROUND(E135*1.08,0),"")</f>
        <v>2044</v>
      </c>
      <c r="S135" s="166">
        <f>IF(E135&lt;&gt;"",ROUND(E135*0.96,0),"")</f>
        <v>1817</v>
      </c>
      <c r="T135" s="163">
        <f>IF(C135="","",IFERROR(IF(O135&gt;=2,3,IF(O135&gt;=1.5,2,IF(O135&gt;=1,1,0)))+IF(E135&gt;G135,1,0)+IF(L135&gt;=-5,1,0)+IF(Q135="買い▲",2,0)+IF(W135&lt;=30,3,IF(W135&lt;=40,2,IF(AND(W135&gt;=40,W135&lt;=60),1,0)))+IF(X135&gt;0,1,0)+IF(V135="年初来高値更新●",3,IF(V135="高値圏",2,0))+IF(AD135="パーフェクト▲",3,IF(AD135="上昇トレンド▲",2,0))+IF(AE135="25日線押し目●",2,IF(AE135="5日線押し目○",1,0))+IF(P135="急増↑↑",2,IF(P135="増加↑",1,0))+N(AI135),0))</f>
        <v>8</v>
      </c>
      <c r="U135" s="163" t="str">
        <f>IF(T135="","",IF(AND(T135&gt;=3,O135&gt;=1.5),"有効",IF(T135&gt;=3,"要確認","除外")))</f>
        <v>要確認</v>
      </c>
      <c r="V135" s="163" t="str">
        <f>IF(AND(H135&lt;&gt;"",K135&lt;&gt;""),IF(H135&gt;=K135,"年初来高値更新●",IF(H135&gt;=K135*0.95,"高値圏","通常")),"")</f>
        <v>通常</v>
      </c>
      <c r="W135" s="169">
        <f t="array" ref="W135">IF(C135&lt;&gt;"",IFERROR(100-100/(1+SUMPRODUCT((終値!F180:R180&gt;終値!G180:S180)*( 終値!F180:R180-終値!G180:S180))/SUMPRODUCT((終値!F180:R180&lt;終値!G180:S180)*(終値!G180:S180-終値!F180:R180))),50),"")</f>
        <v>50.254298861709856</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△注目</v>
      </c>
      <c r="Z135" s="171">
        <f>IF(AND(E135&lt;&gt;"",G135&lt;&gt;"",G135&lt;&gt;0),(E135-G135)/G135*100,"")</f>
        <v>1.5013404825737267</v>
      </c>
      <c r="AA135" s="163" t="str">
        <f>IF(OR(C135="",E135="",E135=0),"",IF(E135&gt;G135,"上昇▲",IF(E135&lt;G135,"下落▼","横ばい→")))</f>
        <v>上昇▲</v>
      </c>
      <c r="AB135" s="405">
        <f>IF(C135="","",IFERROR(((終値!E137*0.333)+(終値!F137*0.222)+(終値!G137*0.148)+(終値!H137*0.099)+(終値!I137*0.066)+(終値!J137*0.044)+(終値!K137*0.029)+(終値!L137*0.019)+(終値!M137*0.013)+(終値!N137*0.009))/(0.333+0.222+0.148+0.099+0.066+0.044+0.029+0.019+0.013+0.009),""))</f>
        <v>77.90325865580445</v>
      </c>
      <c r="AC135" s="405">
        <f>IF(C135="","",IFERROR(SUMPRODUCT((終値!E137:AC137),({0.077,0.071,0.065,0.06,0.055,0.051,0.047,0.043,0.039,0.036,0.033,0.031,0.028,0.026,0.024,0.022,0.02,0.018,0.017,0.016,0.014,0.013,0.012,0.011,0.01}))/SUM({0.077,0.071,0.065,0.06,0.055,0.051,0.047,0.043,0.039,0.036,0.033,0.031,0.028,0.026,0.024,0.022,0.02,0.018,0.017,0.016,0.014,0.013,0.012,0.011,0.01}),""))</f>
        <v>117.87008343265788</v>
      </c>
      <c r="AD135" s="406" t="str">
        <f>IF(OR(C135="",AB135="",AC135=""),"",IF(AND(E135&gt;AB135,AB135&gt;AC135),"パーフェクト▲",IF(E135&gt;AC135,"上昇トレンド▲",IF(AND(E135&lt;AB135,AB135&lt;AC135),"下降トレンド▼","もみ合い→"))))</f>
        <v>上昇トレンド▲</v>
      </c>
      <c r="AE135" s="406" t="str">
        <f>IF(OR(C135="",AB135="",AC135=""),"",IF(AND(ABS(E135-AC135)/AC135&lt;=0.02,E135&gt;AC135),"25日押し目★",IF(AND(ABS(E135-AB135)/AB135&lt;=0.01,E135&gt;AB135),"5日押し目○","なし")))</f>
        <v>なし</v>
      </c>
      <c r="AF135" s="365">
        <f t="array" ref="AF135">IF(C135="","",IFERROR((INDEX(終値!$E:$E,MATCH(TEXT(C135,"0"),終値!$A:$A,0))-INDEX(終値!$E:$CZ,MATCH(TEXT(C135,"0"),終値!$A:$A,0),$AL$2))/INDEX(終値!$E:$CZ,MATCH(TEXT(C135,"0"),終値!$A:$A,0),$AL$2)*100,""))</f>
        <v>10.122164048865621</v>
      </c>
      <c r="AG135" s="365">
        <f t="array" ref="AG135">IFERROR((終値!$E$5-INDEX(終値!$E$5:$IT$5,1,$AL$2))/INDEX(終値!$E$5:$IT$5,1,$AL$2)*100,"")</f>
        <v>1.0179378228534113</v>
      </c>
      <c r="AH135" s="366">
        <f>IF(OR(AF135="",AG135=""),"",AF135-AG135)</f>
        <v>9.1042262260122087</v>
      </c>
      <c r="AI135" s="364">
        <f>IF(AH135="","",IF(AH135&gt;5,3,IF(AH135&gt;0,1,IF(AH135&gt;-3,-1,-2))))</f>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1752</v>
      </c>
      <c r="F136" s="166">
        <f>IF(C136&lt;&gt;"",_xll.RssMarket(C136,"始値"),"")</f>
        <v>1736</v>
      </c>
      <c r="G136" s="165">
        <f>IF(C136&lt;&gt;"",終値!F7,"")</f>
        <v>1723</v>
      </c>
      <c r="H136" s="166">
        <f>IF(C136&lt;&gt;"",_xll.RssMarket(C136,"高値"),"")</f>
        <v>1772</v>
      </c>
      <c r="I136" s="166">
        <f>IF(C136&lt;&gt;"",_xll.RssMarket(C136,"安値"),"")</f>
        <v>1732</v>
      </c>
      <c r="J136" s="166">
        <f>IF(C136&lt;&gt;"",_xll.RssMarket(C136,"出来高"),"")</f>
        <v>406000</v>
      </c>
      <c r="K136" s="166">
        <f>IF(C136&lt;&gt;"",_xll.RssMarket(C136,"年初来高値"),"")</f>
        <v>1973</v>
      </c>
      <c r="L136" s="167">
        <f>IF(AND(E136&lt;&gt;"",K136&lt;&gt;"",K136&lt;&gt;0),(E136-K136)/K136*100,"")</f>
        <v>-11.201216421692854</v>
      </c>
      <c r="M136" s="166">
        <f>IF(C136&lt;&gt;"",IFERROR(AVERAGE(出来高!F7:J7),""),"")</f>
        <v>387160</v>
      </c>
      <c r="N136" s="166">
        <f>IF(C136&lt;&gt;"",IFERROR(AVERAGE(出来高!F7:AD7),""),"")</f>
        <v>388816</v>
      </c>
      <c r="O136" s="168">
        <f>IF(AND(J136&lt;&gt;"",M136&lt;&gt;"",M136&lt;&gt;0),J136/M136,"")</f>
        <v>1.0486620518648622</v>
      </c>
      <c r="P136" s="163" t="str">
        <f>IF(O136="","",IF(O136&gt;=2,"急増↑↑",IF(O136&gt;=1.5,"増加↑",IF(O136&gt;=1,"普通→","減少↓"))))</f>
        <v>普通→</v>
      </c>
      <c r="Q136" s="163" t="str">
        <f>IF(E136="","",IF(AND(E136&gt;G136,O136&gt;=1.5),"買い▲",IF(E136&lt;G136,"様子見▼","中立→")))</f>
        <v>中立→</v>
      </c>
      <c r="R136" s="166">
        <f>IF(E136&lt;&gt;"",ROUND(E136*1.08,0),"")</f>
        <v>1892</v>
      </c>
      <c r="S136" s="166">
        <f>IF(E136&lt;&gt;"",ROUND(E136*0.96,0),"")</f>
        <v>1682</v>
      </c>
      <c r="T136" s="163">
        <f>IF(C136="","",IFERROR(IF(O136&gt;=2,3,IF(O136&gt;=1.5,2,IF(O136&gt;=1,1,0)))+IF(E136&gt;G136,1,0)+IF(L136&gt;=-5,1,0)+IF(Q136="買い▲",2,0)+IF(W136&lt;=30,3,IF(W136&lt;=40,2,IF(AND(W136&gt;=40,W136&lt;=60),1,0)))+IF(X136&gt;0,1,0)+IF(V136="年初来高値更新●",3,IF(V136="高値圏",2,0))+IF(AD136="パーフェクト▲",3,IF(AD136="上昇トレンド▲",2,0))+IF(AE136="25日線押し目●",2,IF(AE136="5日線押し目○",1,0))+IF(P136="急増↑↑",2,IF(P136="増加↑",1,0))+N(AI136),0))</f>
        <v>7</v>
      </c>
      <c r="U136" s="163" t="str">
        <f>IF(T136="","",IF(AND(T136&gt;=3,O136&gt;=1.5),"有効",IF(T136&gt;=3,"要確認","除外")))</f>
        <v>要確認</v>
      </c>
      <c r="V136" s="163" t="str">
        <f>IF(AND(H136&lt;&gt;"",K136&lt;&gt;""),IF(H136&gt;=K136,"年初来高値更新●",IF(H136&gt;=K136*0.95,"高値圏","通常")),"")</f>
        <v>通常</v>
      </c>
      <c r="W136" s="169">
        <f t="array" ref="W136">IF(C136&lt;&gt;"",IFERROR(100-100/(1+SUMPRODUCT((終値!F7:R7&gt;終値!G7:S7)*( 終値!F7:R7-終値!G7:S7))/SUMPRODUCT((終値!F7:R7&lt;終値!G7:S7)*(終値!G7:S7-終値!F7:R7))),50),"")</f>
        <v>43.567251461988306</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△注目</v>
      </c>
      <c r="Z136" s="171">
        <f>IF(AND(E136&lt;&gt;"",G136&lt;&gt;"",G136&lt;&gt;0),(E136-G136)/G136*100,"")</f>
        <v>1.6831108531630876</v>
      </c>
      <c r="AA136" s="163" t="str">
        <f>IF(OR(C136="",E136="",E136=0),"",IF(E136&gt;G136,"上昇▲",IF(E136&lt;G136,"下落▼","横ばい→")))</f>
        <v>上昇▲</v>
      </c>
      <c r="AB136" s="403">
        <f>IF(C136="","",IFERROR(((終値!E138*0.333)+(終値!F138*0.222)+(終値!G138*0.148)+(終値!H138*0.099)+(終値!I138*0.066)+(終値!J138*0.044)+(終値!K138*0.029)+(終値!L138*0.019)+(終値!M138*0.013)+(終値!N138*0.009))/(0.333+0.222+0.148+0.099+0.066+0.044+0.029+0.019+0.013+0.009),""))</f>
        <v>1019.1863543788186</v>
      </c>
      <c r="AC136" s="403">
        <f>IF(C136="","",IFERROR(SUMPRODUCT((終値!E138:AC138),({0.077,0.071,0.065,0.06,0.055,0.051,0.047,0.043,0.039,0.036,0.033,0.031,0.028,0.026,0.024,0.022,0.02,0.018,0.017,0.016,0.014,0.013,0.012,0.011,0.01}))/SUM({0.077,0.071,0.065,0.06,0.055,0.051,0.047,0.043,0.039,0.036,0.033,0.031,0.028,0.026,0.024,0.022,0.02,0.018,0.017,0.016,0.014,0.013,0.012,0.011,0.01}),""))</f>
        <v>916.49463647198991</v>
      </c>
      <c r="AD136" s="404" t="str">
        <f>IF(OR(C136="",AB136="",AC136=""),"",IF(AND(E136&gt;AB136,AB136&gt;AC136),"パーフェクト▲",IF(E136&gt;AC136,"上昇トレンド▲",IF(AND(E136&lt;AB136,AB136&lt;AC136),"下降トレンド▼","もみ合い→"))))</f>
        <v>パーフェクト▲</v>
      </c>
      <c r="AE136" s="404" t="str">
        <f>IF(OR(C136="",AB136="",AC136=""),"",IF(AND(ABS(E136-AC136)/AC136&lt;=0.02,E136&gt;AC136),"25日押し目★",IF(AND(ABS(E136-AB136)/AB136&lt;=0.01,E136&gt;AB136),"5日押し目○","なし")))</f>
        <v>なし</v>
      </c>
      <c r="AF136" s="365">
        <f t="array" ref="AF136">IF(C136="","",IFERROR((INDEX(終値!$E:$E,MATCH(TEXT(C136,"0"),終値!$A:$A,0))-INDEX(終値!$E:$CZ,MATCH(TEXT(C136,"0"),終値!$A:$A,0),$AL$2))/INDEX(終値!$E:$CZ,MATCH(TEXT(C136,"0"),終値!$A:$A,0),$AL$2)*100,""))</f>
        <v>2.756598240469208</v>
      </c>
      <c r="AG136" s="365">
        <f t="array" ref="AG136">IFERROR((終値!$E$5-INDEX(終値!$E$5:$IT$5,1,$AL$2))/INDEX(終値!$E$5:$IT$5,1,$AL$2)*100,"")</f>
        <v>1.0179378228534113</v>
      </c>
      <c r="AH136" s="366">
        <f>IF(OR(AF136="",AG136=""),"",AF136-AG136)</f>
        <v>1.7386604176157967</v>
      </c>
      <c r="AI136" s="364">
        <f>IF(AH136="","",IF(AH136&gt;5,3,IF(AH136&gt;0,1,IF(AH136&gt;-3,-1,-2))))</f>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1858.5</v>
      </c>
      <c r="F137" s="166">
        <f>IF(C137&lt;&gt;"",_xll.RssMarket(C137,"始値"),"")</f>
        <v>1857.5</v>
      </c>
      <c r="G137" s="165">
        <f>IF(C137&lt;&gt;"",終値!F84,"")</f>
        <v>1838.5</v>
      </c>
      <c r="H137" s="166">
        <f>IF(C137&lt;&gt;"",_xll.RssMarket(C137,"高値"),"")</f>
        <v>1885.5</v>
      </c>
      <c r="I137" s="166">
        <f>IF(C137&lt;&gt;"",_xll.RssMarket(C137,"安値"),"")</f>
        <v>1822</v>
      </c>
      <c r="J137" s="166">
        <f>IF(C137&lt;&gt;"",_xll.RssMarket(C137,"出来高"),"")</f>
        <v>7346400</v>
      </c>
      <c r="K137" s="166">
        <f>IF(C137&lt;&gt;"",_xll.RssMarket(C137,"年初来高値"),"")</f>
        <v>2359</v>
      </c>
      <c r="L137" s="167">
        <f>IF(AND(E137&lt;&gt;"",K137&lt;&gt;"",K137&lt;&gt;0),(E137-K137)/K137*100,"")</f>
        <v>-21.216617210682493</v>
      </c>
      <c r="M137" s="166">
        <f>IF(C137&lt;&gt;"",IFERROR(AVERAGE(出来高!E84:I84),""),"")</f>
        <v>7907900</v>
      </c>
      <c r="N137" s="166">
        <f>IF(C137&lt;&gt;"",IFERROR(AVERAGE(出来高!E84:AC84),""),"")</f>
        <v>5935052</v>
      </c>
      <c r="O137" s="168">
        <f>IF(AND(J137&lt;&gt;"",M137&lt;&gt;"",M137&lt;&gt;0),J137/M137,"")</f>
        <v>0.92899505557733408</v>
      </c>
      <c r="P137" s="163" t="str">
        <f>IF(O137="","",IF(O137&gt;=2,"急増↑↑",IF(O137&gt;=1.5,"増加↑",IF(O137&gt;=1,"普通→","減少↓"))))</f>
        <v>減少↓</v>
      </c>
      <c r="Q137" s="163" t="str">
        <f>IF(E137="","",IF(AND(E137&gt;G137,O137&gt;=1.5),"買い▲",IF(E137&lt;G137,"様子見▼","中立→")))</f>
        <v>中立→</v>
      </c>
      <c r="R137" s="166">
        <f>IF(E137&lt;&gt;"",ROUND(E137*1.08,0),"")</f>
        <v>2007</v>
      </c>
      <c r="S137" s="166">
        <f>IF(E137&lt;&gt;"",ROUND(E137*0.96,0),"")</f>
        <v>1784</v>
      </c>
      <c r="T137" s="163">
        <f>IF(C137="","",IFERROR(IF(O137&gt;=2,3,IF(O137&gt;=1.5,2,IF(O137&gt;=1,1,0)))+IF(E137&gt;G137,1,0)+IF(L137&gt;=-5,1,0)+IF(Q137="買い▲",2,0)+IF(W137&lt;=30,3,IF(W137&lt;=40,2,IF(AND(W137&gt;=40,W137&lt;=60),1,0)))+IF(X137&gt;0,1,0)+IF(V137="年初来高値更新●",3,IF(V137="高値圏",2,0))+IF(AD137="パーフェクト▲",3,IF(AD137="上昇トレンド▲",2,0))+IF(AE137="25日線押し目●",2,IF(AE137="5日線押し目○",1,0))+IF(P137="急増↑↑",2,IF(P137="増加↑",1,0))+N(AI137),0))</f>
        <v>8</v>
      </c>
      <c r="U137" s="163" t="str">
        <f>IF(T137="","",IF(AND(T137&gt;=3,O137&gt;=1.5),"有効",IF(T137&gt;=3,"要確認","除外")))</f>
        <v>要確認</v>
      </c>
      <c r="V137" s="163" t="str">
        <f>IF(AND(H137&lt;&gt;"",K137&lt;&gt;""),IF(H137&gt;=K137,"年初来高値更新●",IF(H137&gt;=K137*0.95,"高値圏","通常")),"")</f>
        <v>通常</v>
      </c>
      <c r="W137" s="169">
        <f t="array" ref="W137">IF(C137&lt;&gt;"",IFERROR(100-100/(1+SUMPRODUCT((終値!F84:R84&gt;終値!G84:S84)*( 終値!F84:R84-終値!G84:S84))/SUMPRODUCT((終値!F84:R84&lt;終値!G84:S84)*(終値!G84:S84-終値!F84:R84))),50),"")</f>
        <v>71.014492753623188</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△注目</v>
      </c>
      <c r="Z137" s="171">
        <f>IF(AND(E137&lt;&gt;"",G137&lt;&gt;"",G137&lt;&gt;0),(E137-G137)/G137*100,"")</f>
        <v>1.0878433505575198</v>
      </c>
      <c r="AA137" s="163" t="str">
        <f>IF(OR(C137="",E137="",E137=0),"",IF(E137&gt;G137,"上昇▲",IF(E137&lt;G137,"下落▼","横ばい→")))</f>
        <v>上昇▲</v>
      </c>
      <c r="AB137" s="405">
        <f>IF(C137="","",IFERROR(((終値!E139*0.333)+(終値!F139*0.222)+(終値!G139*0.148)+(終値!H139*0.099)+(終値!I139*0.066)+(終値!J139*0.044)+(終値!K139*0.029)+(終値!L139*0.019)+(終値!M139*0.013)+(終値!N139*0.009))/(0.333+0.222+0.148+0.099+0.066+0.044+0.029+0.019+0.013+0.009),""))</f>
        <v>542.02240325865557</v>
      </c>
      <c r="AC137" s="405">
        <f>IF(C137="","",IFERROR(SUMPRODUCT((終値!E139:AC139),({0.077,0.071,0.065,0.06,0.055,0.051,0.047,0.043,0.039,0.036,0.033,0.031,0.028,0.026,0.024,0.022,0.02,0.018,0.017,0.016,0.014,0.013,0.012,0.011,0.01}))/SUM({0.077,0.071,0.065,0.06,0.055,0.051,0.047,0.043,0.039,0.036,0.033,0.031,0.028,0.026,0.024,0.022,0.02,0.018,0.017,0.016,0.014,0.013,0.012,0.011,0.01}),""))</f>
        <v>536.71632896305118</v>
      </c>
      <c r="AD137" s="406" t="str">
        <f>IF(OR(C137="",AB137="",AC137=""),"",IF(AND(E137&gt;AB137,AB137&gt;AC137),"パーフェクト▲",IF(E137&gt;AC137,"上昇トレンド▲",IF(AND(E137&lt;AB137,AB137&lt;AC137),"下降トレンド▼","もみ合い→"))))</f>
        <v>パーフェクト▲</v>
      </c>
      <c r="AE137" s="406" t="str">
        <f>IF(OR(C137="",AB137="",AC137=""),"",IF(AND(ABS(E137-AC137)/AC137&lt;=0.02,E137&gt;AC137),"25日押し目★",IF(AND(ABS(E137-AB137)/AB137&lt;=0.01,E137&gt;AB137),"5日押し目○","なし")))</f>
        <v>なし</v>
      </c>
      <c r="AF137" s="365">
        <f t="array" ref="AF137">IF(C137="","",IFERROR((INDEX(終値!$E:$E,MATCH(TEXT(C137,"0"),終値!$A:$A,0))-INDEX(終値!$E:$CZ,MATCH(TEXT(C137,"0"),終値!$A:$A,0),$AL$2))/INDEX(終値!$E:$CZ,MATCH(TEXT(C137,"0"),終値!$A:$A,0),$AL$2)*100,""))</f>
        <v>19.710144927536234</v>
      </c>
      <c r="AG137" s="365">
        <f t="array" ref="AG137">IFERROR((終値!$E$5-INDEX(終値!$E$5:$IT$5,1,$AL$2))/INDEX(終値!$E$5:$IT$5,1,$AL$2)*100,"")</f>
        <v>1.0179378228534113</v>
      </c>
      <c r="AH137" s="366">
        <f>IF(OR(AF137="",AG137=""),"",AF137-AG137)</f>
        <v>18.692207104682822</v>
      </c>
      <c r="AI137" s="364">
        <f>IF(AH137="","",IF(AH137&gt;5,3,IF(AH137&gt;0,1,IF(AH137&gt;-3,-1,-2))))</f>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2869</v>
      </c>
      <c r="F138" s="166">
        <f>IF(C138&lt;&gt;"",_xll.RssMarket(C138,"始値"),"")</f>
        <v>2833</v>
      </c>
      <c r="G138" s="165">
        <f>IF(C138&lt;&gt;"",終値!F179,"")</f>
        <v>2833</v>
      </c>
      <c r="H138" s="166">
        <f>IF(C138&lt;&gt;"",_xll.RssMarket(C138,"高値"),"")</f>
        <v>2900</v>
      </c>
      <c r="I138" s="166">
        <f>IF(C138&lt;&gt;"",_xll.RssMarket(C138,"安値"),"")</f>
        <v>2833</v>
      </c>
      <c r="J138" s="166">
        <f>IF(C138&lt;&gt;"",_xll.RssMarket(C138,"出来高"),"")</f>
        <v>109700</v>
      </c>
      <c r="K138" s="166">
        <f>IF(C138&lt;&gt;"",_xll.RssMarket(C138,"年初来高値"),"")</f>
        <v>4280</v>
      </c>
      <c r="L138" s="167">
        <f>IF(AND(E138&lt;&gt;"",K138&lt;&gt;"",K138&lt;&gt;0),(E138-K138)/K138*100,"")</f>
        <v>-32.967289719626166</v>
      </c>
      <c r="M138" s="166">
        <f>IF(C138&lt;&gt;"",IFERROR(AVERAGE(出来高!E179:I179),""),"")</f>
        <v>126620</v>
      </c>
      <c r="N138" s="166">
        <f>IF(C138&lt;&gt;"",IFERROR(AVERAGE(出来高!E179:AC179),""),"")</f>
        <v>104852</v>
      </c>
      <c r="O138" s="168">
        <f>IF(AND(J138&lt;&gt;"",M138&lt;&gt;"",M138&lt;&gt;0),J138/M138,"")</f>
        <v>0.86637182119728318</v>
      </c>
      <c r="P138" s="163" t="str">
        <f>IF(O138="","",IF(O138&gt;=2,"急増↑↑",IF(O138&gt;=1.5,"増加↑",IF(O138&gt;=1,"普通→","減少↓"))))</f>
        <v>減少↓</v>
      </c>
      <c r="Q138" s="163" t="str">
        <f>IF(E138="","",IF(AND(E138&gt;G138,O138&gt;=1.5),"買い▲",IF(E138&lt;G138,"様子見▼","中立→")))</f>
        <v>中立→</v>
      </c>
      <c r="R138" s="166">
        <f>IF(E138&lt;&gt;"",ROUND(E138*1.08,0),"")</f>
        <v>3099</v>
      </c>
      <c r="S138" s="166">
        <f>IF(E138&lt;&gt;"",ROUND(E138*0.96,0),"")</f>
        <v>2754</v>
      </c>
      <c r="T138" s="163">
        <f>IF(C138="","",IFERROR(IF(O138&gt;=2,3,IF(O138&gt;=1.5,2,IF(O138&gt;=1,1,0)))+IF(E138&gt;G138,1,0)+IF(L138&gt;=-5,1,0)+IF(Q138="買い▲",2,0)+IF(W138&lt;=30,3,IF(W138&lt;=40,2,IF(AND(W138&gt;=40,W138&lt;=60),1,0)))+IF(X138&gt;0,1,0)+IF(V138="年初来高値更新●",3,IF(V138="高値圏",2,0))+IF(AD138="パーフェクト▲",3,IF(AD138="上昇トレンド▲",2,0))+IF(AE138="25日線押し目●",2,IF(AE138="5日線押し目○",1,0))+IF(P138="急増↑↑",2,IF(P138="増加↑",1,0))+N(AI138),0))</f>
        <v>8</v>
      </c>
      <c r="U138" s="163" t="str">
        <f>IF(T138="","",IF(AND(T138&gt;=3,O138&gt;=1.5),"有効",IF(T138&gt;=3,"要確認","除外")))</f>
        <v>要確認</v>
      </c>
      <c r="V138" s="163" t="str">
        <f>IF(AND(H138&lt;&gt;"",K138&lt;&gt;""),IF(H138&gt;=K138,"年初来高値更新●",IF(H138&gt;=K138*0.95,"高値圏","通常")),"")</f>
        <v>通常</v>
      </c>
      <c r="W138" s="169">
        <f t="array" ref="W138">IF(C138&lt;&gt;"",IFERROR(100-100/(1+SUMPRODUCT((終値!F179:R179&gt;終値!G179:S179)*( 終値!F179:R179-終値!G179:S179))/SUMPRODUCT((終値!F179:R179&lt;終値!G179:S179)*(終値!G179:S179-終値!F179:R179))),50),"")</f>
        <v>64.403292181069958</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△注目</v>
      </c>
      <c r="Z138" s="171">
        <f>IF(AND(E138&lt;&gt;"",G138&lt;&gt;"",G138&lt;&gt;0),(E138-G138)/G138*100,"")</f>
        <v>1.2707377338510413</v>
      </c>
      <c r="AA138" s="163" t="str">
        <f>IF(OR(C138="",E138="",E138=0),"",IF(E138&gt;G138,"上昇▲",IF(E138&lt;G138,"下落▼","横ばい→")))</f>
        <v>上昇▲</v>
      </c>
      <c r="AB138" s="403">
        <f>IF(C138="","",IFERROR(((終値!E140*0.333)+(終値!F140*0.222)+(終値!G140*0.148)+(終値!H140*0.099)+(終値!I140*0.066)+(終値!J140*0.044)+(終値!K140*0.029)+(終値!L140*0.019)+(終値!M140*0.013)+(終値!N140*0.009))/(0.333+0.222+0.148+0.099+0.066+0.044+0.029+0.019+0.013+0.009),""))</f>
        <v>47.227087576374743</v>
      </c>
      <c r="AC138" s="403">
        <f>IF(C138="","",IFERROR(SUMPRODUCT((終値!E140:AC140),({0.077,0.071,0.065,0.06,0.055,0.051,0.047,0.043,0.039,0.036,0.033,0.031,0.028,0.026,0.024,0.022,0.02,0.018,0.017,0.016,0.014,0.013,0.012,0.011,0.01}))/SUM({0.077,0.071,0.065,0.06,0.055,0.051,0.047,0.043,0.039,0.036,0.033,0.031,0.028,0.026,0.024,0.022,0.02,0.018,0.017,0.016,0.014,0.013,0.012,0.011,0.01}),""))</f>
        <v>46.17044100119189</v>
      </c>
      <c r="AD138" s="404" t="str">
        <f>IF(OR(C138="",AB138="",AC138=""),"",IF(AND(E138&gt;AB138,AB138&gt;AC138),"パーフェクト▲",IF(E138&gt;AC138,"上昇トレンド▲",IF(AND(E138&lt;AB138,AB138&lt;AC138),"下降トレンド▼","もみ合い→"))))</f>
        <v>パーフェクト▲</v>
      </c>
      <c r="AE138" s="404" t="str">
        <f>IF(OR(C138="",AB138="",AC138=""),"",IF(AND(ABS(E138-AC138)/AC138&lt;=0.02,E138&gt;AC138),"25日押し目★",IF(AND(ABS(E138-AB138)/AB138&lt;=0.01,E138&gt;AB138),"5日押し目○","なし")))</f>
        <v>なし</v>
      </c>
      <c r="AF138" s="365">
        <f t="array" ref="AF138">IF(C138="","",IFERROR((INDEX(終値!$E:$E,MATCH(TEXT(C138,"0"),終値!$A:$A,0))-INDEX(終値!$E:$CZ,MATCH(TEXT(C138,"0"),終値!$A:$A,0),$AL$2))/INDEX(終値!$E:$CZ,MATCH(TEXT(C138,"0"),終値!$A:$A,0),$AL$2)*100,""))</f>
        <v>12.730844793713164</v>
      </c>
      <c r="AG138" s="365">
        <f t="array" ref="AG138">IFERROR((終値!$E$5-INDEX(終値!$E$5:$IT$5,1,$AL$2))/INDEX(終値!$E$5:$IT$5,1,$AL$2)*100,"")</f>
        <v>1.0179378228534113</v>
      </c>
      <c r="AH138" s="366">
        <f>IF(OR(AF138="",AG138=""),"",AF138-AG138)</f>
        <v>11.712906970859752</v>
      </c>
      <c r="AI138" s="364">
        <f>IF(AH138="","",IF(AH138&gt;5,3,IF(AH138&gt;0,1,IF(AH138&gt;-3,-1,-2))))</f>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2016.5</v>
      </c>
      <c r="F139" s="166">
        <f>IF(C139&lt;&gt;"",_xll.RssMarket(C139,"始値"),"")</f>
        <v>1952</v>
      </c>
      <c r="G139" s="165">
        <f>IF(C139&lt;&gt;"",終値!F38,"")</f>
        <v>1972</v>
      </c>
      <c r="H139" s="166">
        <f>IF(C139&lt;&gt;"",_xll.RssMarket(C139,"高値"),"")</f>
        <v>2022</v>
      </c>
      <c r="I139" s="166">
        <f>IF(C139&lt;&gt;"",_xll.RssMarket(C139,"安値"),"")</f>
        <v>1942</v>
      </c>
      <c r="J139" s="166">
        <f>IF(C139&lt;&gt;"",_xll.RssMarket(C139,"出来高"),"")</f>
        <v>2994700</v>
      </c>
      <c r="K139" s="166">
        <f>IF(C139&lt;&gt;"",_xll.RssMarket(C139,"年初来高値"),"")</f>
        <v>2379.5</v>
      </c>
      <c r="L139" s="167">
        <f>IF(AND(E139&lt;&gt;"",K139&lt;&gt;"",K139&lt;&gt;0),(E139-K139)/K139*100,"")</f>
        <v>-15.255305736499263</v>
      </c>
      <c r="M139" s="166">
        <f>IF(C139&lt;&gt;"",IFERROR(AVERAGE(出来高!E38:I38),""),"")</f>
        <v>3407660</v>
      </c>
      <c r="N139" s="166">
        <f>IF(C139&lt;&gt;"",IFERROR(AVERAGE(出来高!E38:AC38),""),"")</f>
        <v>2411612</v>
      </c>
      <c r="O139" s="168">
        <f>IF(AND(J139&lt;&gt;"",M139&lt;&gt;"",M139&lt;&gt;0),J139/M139,"")</f>
        <v>0.87881420094727758</v>
      </c>
      <c r="P139" s="163" t="str">
        <f>IF(O139="","",IF(O139&gt;=2,"急増↑↑",IF(O139&gt;=1.5,"増加↑",IF(O139&gt;=1,"普通→","減少↓"))))</f>
        <v>減少↓</v>
      </c>
      <c r="Q139" s="163" t="str">
        <f>IF(E139="","",IF(AND(E139&gt;G139,O139&gt;=1.5),"買い▲",IF(E139&lt;G139,"様子見▼","中立→")))</f>
        <v>中立→</v>
      </c>
      <c r="R139" s="166">
        <f>IF(E139&lt;&gt;"",ROUND(E139*1.08,0),"")</f>
        <v>2178</v>
      </c>
      <c r="S139" s="166">
        <f>IF(E139&lt;&gt;"",ROUND(E139*0.96,0),"")</f>
        <v>1936</v>
      </c>
      <c r="T139" s="163">
        <f>IF(C139="","",IFERROR(IF(O139&gt;=2,3,IF(O139&gt;=1.5,2,IF(O139&gt;=1,1,0)))+IF(E139&gt;G139,1,0)+IF(L139&gt;=-5,1,0)+IF(Q139="買い▲",2,0)+IF(W139&lt;=30,3,IF(W139&lt;=40,2,IF(AND(W139&gt;=40,W139&lt;=60),1,0)))+IF(X139&gt;0,1,0)+IF(V139="年初来高値更新●",3,IF(V139="高値圏",2,0))+IF(AD139="パーフェクト▲",3,IF(AD139="上昇トレンド▲",2,0))+IF(AE139="25日線押し目●",2,IF(AE139="5日線押し目○",1,0))+IF(P139="急増↑↑",2,IF(P139="増加↑",1,0))+N(AI139),0))</f>
        <v>8</v>
      </c>
      <c r="U139" s="163" t="str">
        <f>IF(T139="","",IF(AND(T139&gt;=3,O139&gt;=1.5),"有効",IF(T139&gt;=3,"要確認","除外")))</f>
        <v>要確認</v>
      </c>
      <c r="V139" s="163" t="str">
        <f>IF(AND(H139&lt;&gt;"",K139&lt;&gt;""),IF(H139&gt;=K139,"年初来高値更新●",IF(H139&gt;=K139*0.95,"高値圏","通常")),"")</f>
        <v>通常</v>
      </c>
      <c r="W139" s="169">
        <f t="array" ref="W139">IF(C139&lt;&gt;"",IFERROR(100-100/(1+SUMPRODUCT((終値!F38:R38&gt;終値!G38:S38)*( 終値!F38:R38-終値!G38:S38))/SUMPRODUCT((終値!F38:R38&lt;終値!G38:S38)*(終値!G38:S38-終値!F38:R38))),50),"")</f>
        <v>55.212922173274592</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△注目</v>
      </c>
      <c r="Z139" s="171">
        <f>IF(AND(E139&lt;&gt;"",G139&lt;&gt;"",G139&lt;&gt;0),(E139-G139)/G139*100,"")</f>
        <v>2.2565922920892496</v>
      </c>
      <c r="AA139" s="163" t="str">
        <f>IF(OR(C139="",E139="",E139=0),"",IF(E139&gt;G139,"上昇▲",IF(E139&lt;G139,"下落▼","横ばい→")))</f>
        <v>上昇▲</v>
      </c>
      <c r="AB139" s="405">
        <f>IF(C139="","",IFERROR(((終値!E141*0.333)+(終値!F141*0.222)+(終値!G141*0.148)+(終値!H141*0.099)+(終値!I141*0.066)+(終値!J141*0.044)+(終値!K141*0.029)+(終値!L141*0.019)+(終値!M141*0.013)+(終値!N141*0.009))/(0.333+0.222+0.148+0.099+0.066+0.044+0.029+0.019+0.013+0.009),""))</f>
        <v>1657.9531568228106</v>
      </c>
      <c r="AC139" s="405">
        <f>IF(C139="","",IFERROR(SUMPRODUCT((終値!E141:AC141),({0.077,0.071,0.065,0.06,0.055,0.051,0.047,0.043,0.039,0.036,0.033,0.031,0.028,0.026,0.024,0.022,0.02,0.018,0.017,0.016,0.014,0.013,0.012,0.011,0.01}))/SUM({0.077,0.071,0.065,0.06,0.055,0.051,0.047,0.043,0.039,0.036,0.033,0.031,0.028,0.026,0.024,0.022,0.02,0.018,0.017,0.016,0.014,0.013,0.012,0.011,0.01}),""))</f>
        <v>1786.5256257449337</v>
      </c>
      <c r="AD139" s="406" t="str">
        <f>IF(OR(C139="",AB139="",AC139=""),"",IF(AND(E139&gt;AB139,AB139&gt;AC139),"パーフェクト▲",IF(E139&gt;AC139,"上昇トレンド▲",IF(AND(E139&lt;AB139,AB139&lt;AC139),"下降トレンド▼","もみ合い→"))))</f>
        <v>上昇トレンド▲</v>
      </c>
      <c r="AE139" s="406" t="str">
        <f>IF(OR(C139="",AB139="",AC139=""),"",IF(AND(ABS(E139-AC139)/AC139&lt;=0.02,E139&gt;AC139),"25日押し目★",IF(AND(ABS(E139-AB139)/AB139&lt;=0.01,E139&gt;AB139),"5日押し目○","なし")))</f>
        <v>なし</v>
      </c>
      <c r="AF139" s="365">
        <f t="array" ref="AF139">IF(C139="","",IFERROR((INDEX(終値!$E:$E,MATCH(TEXT(C139,"0"),終値!$A:$A,0))-INDEX(終値!$E:$CZ,MATCH(TEXT(C139,"0"),終値!$A:$A,0),$AL$2))/INDEX(終値!$E:$CZ,MATCH(TEXT(C139,"0"),終値!$A:$A,0),$AL$2)*100,""))</f>
        <v>9.0589507842076795</v>
      </c>
      <c r="AG139" s="365">
        <f t="array" ref="AG139">IFERROR((終値!$E$5-INDEX(終値!$E$5:$IT$5,1,$AL$2))/INDEX(終値!$E$5:$IT$5,1,$AL$2)*100,"")</f>
        <v>1.0179378228534113</v>
      </c>
      <c r="AH139" s="366">
        <f>IF(OR(AF139="",AG139=""),"",AF139-AG139)</f>
        <v>8.0410129613542676</v>
      </c>
      <c r="AI139" s="364">
        <f>IF(AH139="","",IF(AH139&gt;5,3,IF(AH139&gt;0,1,IF(AH139&gt;-3,-1,-2))))</f>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683.5</v>
      </c>
      <c r="F140" s="166">
        <f>IF(C140&lt;&gt;"",_xll.RssMarket(C140,"始値"),"")</f>
        <v>665</v>
      </c>
      <c r="G140" s="165">
        <f>IF(C140&lt;&gt;"",終値!F46,"")</f>
        <v>672</v>
      </c>
      <c r="H140" s="166">
        <f>IF(C140&lt;&gt;"",_xll.RssMarket(C140,"高値"),"")</f>
        <v>685.3</v>
      </c>
      <c r="I140" s="166">
        <f>IF(C140&lt;&gt;"",_xll.RssMarket(C140,"安値"),"")</f>
        <v>663.5</v>
      </c>
      <c r="J140" s="166">
        <f>IF(C140&lt;&gt;"",_xll.RssMarket(C140,"出来高"),"")</f>
        <v>53136500</v>
      </c>
      <c r="K140" s="166">
        <f>IF(C140&lt;&gt;"",_xll.RssMarket(C140,"年初来高値"),"")</f>
        <v>699.8</v>
      </c>
      <c r="L140" s="167">
        <f>IF(AND(E140&lt;&gt;"",K140&lt;&gt;"",K140&lt;&gt;0),(E140-K140)/K140*100,"")</f>
        <v>-2.3292369248356608</v>
      </c>
      <c r="M140" s="166">
        <f>IF(C140&lt;&gt;"",IFERROR(AVERAGE(出来高!E46:I46),""),"")</f>
        <v>53198400</v>
      </c>
      <c r="N140" s="166">
        <f>IF(C140&lt;&gt;"",IFERROR(AVERAGE(出来高!E46:AC46),""),"")</f>
        <v>42637258.333333336</v>
      </c>
      <c r="O140" s="168">
        <f>IF(AND(J140&lt;&gt;"",M140&lt;&gt;"",M140&lt;&gt;0),J140/M140,"")</f>
        <v>0.99883643117086229</v>
      </c>
      <c r="P140" s="163" t="str">
        <f>IF(O140="","",IF(O140&gt;=2,"急増↑↑",IF(O140&gt;=1.5,"増加↑",IF(O140&gt;=1,"普通→","減少↓"))))</f>
        <v>減少↓</v>
      </c>
      <c r="Q140" s="163" t="str">
        <f>IF(E140="","",IF(AND(E140&gt;G140,O140&gt;=1.5),"買い▲",IF(E140&lt;G140,"様子見▼","中立→")))</f>
        <v>中立→</v>
      </c>
      <c r="R140" s="166">
        <f>IF(E140&lt;&gt;"",ROUND(E140*1.08,0),"")</f>
        <v>738</v>
      </c>
      <c r="S140" s="166">
        <f>IF(E140&lt;&gt;"",ROUND(E140*0.96,0),"")</f>
        <v>656</v>
      </c>
      <c r="T140" s="163">
        <f>IF(C140="","",IFERROR(IF(O140&gt;=2,3,IF(O140&gt;=1.5,2,IF(O140&gt;=1,1,0)))+IF(E140&gt;G140,1,0)+IF(L140&gt;=-5,1,0)+IF(Q140="買い▲",2,0)+IF(W140&lt;=30,3,IF(W140&lt;=40,2,IF(AND(W140&gt;=40,W140&lt;=60),1,0)))+IF(X140&gt;0,1,0)+IF(V140="年初来高値更新●",3,IF(V140="高値圏",2,0))+IF(AD140="パーフェクト▲",3,IF(AD140="上昇トレンド▲",2,0))+IF(AE140="25日線押し目●",2,IF(AE140="5日線押し目○",1,0))+IF(P140="急増↑↑",2,IF(P140="増加↑",1,0))+N(AI140),0))</f>
        <v>9</v>
      </c>
      <c r="U140" s="163" t="str">
        <f>IF(T140="","",IF(AND(T140&gt;=3,O140&gt;=1.5),"有効",IF(T140&gt;=3,"要確認","除外")))</f>
        <v>要確認</v>
      </c>
      <c r="V140" s="163" t="str">
        <f>IF(AND(H140&lt;&gt;"",K140&lt;&gt;""),IF(H140&gt;=K140,"年初来高値更新●",IF(H140&gt;=K140*0.95,"高値圏","通常")),"")</f>
        <v>高値圏</v>
      </c>
      <c r="W140" s="169">
        <f t="array" ref="W140">IF(C140&lt;&gt;"",IFERROR(100-100/(1+SUMPRODUCT((終値!F46:R46&gt;終値!G46:S46)*( 終値!F46:R46-終値!G46:S46))/SUMPRODUCT((終値!F46:R46&lt;終値!G46:S46)*(終値!G46:S46-終値!F46:R46))),50),"")</f>
        <v>53.573780086326721</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△注目</v>
      </c>
      <c r="Z140" s="171">
        <f>IF(AND(E140&lt;&gt;"",G140&lt;&gt;"",G140&lt;&gt;0),(E140-G140)/G140*100,"")</f>
        <v>1.7113095238095239</v>
      </c>
      <c r="AA140" s="163" t="str">
        <f>IF(OR(C140="",E140="",E140=0),"",IF(E140&gt;G140,"上昇▲",IF(E140&lt;G140,"下落▼","横ばい→")))</f>
        <v>上昇▲</v>
      </c>
      <c r="AB140" s="403">
        <f>IF(C140="","",IFERROR(((終値!E142*0.333)+(終値!F142*0.222)+(終値!G142*0.148)+(終値!H142*0.099)+(終値!I142*0.066)+(終値!J142*0.044)+(終値!K142*0.029)+(終値!L142*0.019)+(終値!M142*0.013)+(終値!N142*0.009))/(0.333+0.222+0.148+0.099+0.066+0.044+0.029+0.019+0.013+0.009),""))</f>
        <v>2628.4602851323825</v>
      </c>
      <c r="AC140" s="403">
        <f>IF(C140="","",IFERROR(SUMPRODUCT((終値!E142:AC142),({0.077,0.071,0.065,0.06,0.055,0.051,0.047,0.043,0.039,0.036,0.033,0.031,0.028,0.026,0.024,0.022,0.02,0.018,0.017,0.016,0.014,0.013,0.012,0.011,0.01}))/SUM({0.077,0.071,0.065,0.06,0.055,0.051,0.047,0.043,0.039,0.036,0.033,0.031,0.028,0.026,0.024,0.022,0.02,0.018,0.017,0.016,0.014,0.013,0.012,0.011,0.01}),""))</f>
        <v>2704.346245530392</v>
      </c>
      <c r="AD140" s="404" t="str">
        <f>IF(OR(C140="",AB140="",AC140=""),"",IF(AND(E140&gt;AB140,AB140&gt;AC140),"パーフェクト▲",IF(E140&gt;AC140,"上昇トレンド▲",IF(AND(E140&lt;AB140,AB140&lt;AC140),"下降トレンド▼","もみ合い→"))))</f>
        <v>下降トレンド▼</v>
      </c>
      <c r="AE140" s="404" t="str">
        <f>IF(OR(C140="",AB140="",AC140=""),"",IF(AND(ABS(E140-AC140)/AC140&lt;=0.02,E140&gt;AC140),"25日押し目★",IF(AND(ABS(E140-AB140)/AB140&lt;=0.01,E140&gt;AB140),"5日押し目○","なし")))</f>
        <v>なし</v>
      </c>
      <c r="AF140" s="365">
        <f t="array" ref="AF140">IF(C140="","",IFERROR((INDEX(終値!$E:$E,MATCH(TEXT(C140,"0"),終値!$A:$A,0))-INDEX(終値!$E:$CZ,MATCH(TEXT(C140,"0"),終値!$A:$A,0),$AL$2))/INDEX(終値!$E:$CZ,MATCH(TEXT(C140,"0"),終値!$A:$A,0),$AL$2)*100,""))</f>
        <v>28.719397363465159</v>
      </c>
      <c r="AG140" s="365">
        <f t="array" ref="AG140">IFERROR((終値!$E$5-INDEX(終値!$E$5:$IT$5,1,$AL$2))/INDEX(終値!$E$5:$IT$5,1,$AL$2)*100,"")</f>
        <v>1.0179378228534113</v>
      </c>
      <c r="AH140" s="366">
        <f>IF(OR(AF140="",AG140=""),"",AF140-AG140)</f>
        <v>27.701459540611747</v>
      </c>
      <c r="AI140" s="364">
        <f>IF(AH140="","",IF(AH140&gt;5,3,IF(AH140&gt;0,1,IF(AH140&gt;-3,-1,-2))))</f>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5772</v>
      </c>
      <c r="F141" s="166">
        <f>IF(C141&lt;&gt;"",_xll.RssMarket(C141,"始値"),"")</f>
        <v>5856</v>
      </c>
      <c r="G141" s="165">
        <f>IF(C141&lt;&gt;"",終値!F17,"")</f>
        <v>5928</v>
      </c>
      <c r="H141" s="166">
        <f>IF(C141&lt;&gt;"",_xll.RssMarket(C141,"高値"),"")</f>
        <v>5947</v>
      </c>
      <c r="I141" s="166">
        <f>IF(C141&lt;&gt;"",_xll.RssMarket(C141,"安値"),"")</f>
        <v>5675</v>
      </c>
      <c r="J141" s="166">
        <f>IF(C141&lt;&gt;"",_xll.RssMarket(C141,"出来高"),"")</f>
        <v>1655000</v>
      </c>
      <c r="K141" s="166">
        <f>IF(C141&lt;&gt;"",_xll.RssMarket(C141,"年初来高値"),"")</f>
        <v>7894</v>
      </c>
      <c r="L141" s="167">
        <f>IF(AND(E141&lt;&gt;"",K141&lt;&gt;"",K141&lt;&gt;0),(E141-K141)/K141*100,"")</f>
        <v>-26.881175576387129</v>
      </c>
      <c r="M141" s="166">
        <f>IF(C141&lt;&gt;"",IFERROR(AVERAGE(出来高!E17:I17),""),"")</f>
        <v>2227420</v>
      </c>
      <c r="N141" s="166">
        <f>IF(C141&lt;&gt;"",IFERROR(AVERAGE(出来高!E17:AC17),""),"")</f>
        <v>1910688</v>
      </c>
      <c r="O141" s="168">
        <f>IF(AND(J141&lt;&gt;"",M141&lt;&gt;"",M141&lt;&gt;0),J141/M141,"")</f>
        <v>0.74301209471047225</v>
      </c>
      <c r="P141" s="163" t="str">
        <f>IF(O141="","",IF(O141&gt;=2,"急増↑↑",IF(O141&gt;=1.5,"増加↑",IF(O141&gt;=1,"普通→","減少↓"))))</f>
        <v>減少↓</v>
      </c>
      <c r="Q141" s="163" t="str">
        <f>IF(E141="","",IF(AND(E141&gt;G141,O141&gt;=1.5),"買い▲",IF(E141&lt;G141,"様子見▼","中立→")))</f>
        <v>様子見▼</v>
      </c>
      <c r="R141" s="166">
        <f>IF(E141&lt;&gt;"",ROUND(E141*1.08,0),"")</f>
        <v>6234</v>
      </c>
      <c r="S141" s="166">
        <f>IF(E141&lt;&gt;"",ROUND(E141*0.96,0),"")</f>
        <v>5541</v>
      </c>
      <c r="T141" s="163">
        <f>IF(C141="","",IFERROR(IF(O141&gt;=2,3,IF(O141&gt;=1.5,2,IF(O141&gt;=1,1,0)))+IF(E141&gt;G141,1,0)+IF(L141&gt;=-5,1,0)+IF(Q141="買い▲",2,0)+IF(W141&lt;=30,3,IF(W141&lt;=40,2,IF(AND(W141&gt;=40,W141&lt;=60),1,0)))+IF(X141&gt;0,1,0)+IF(V141="年初来高値更新●",3,IF(V141="高値圏",2,0))+IF(AD141="パーフェクト▲",3,IF(AD141="上昇トレンド▲",2,0))+IF(AE141="25日線押し目●",2,IF(AE141="5日線押し目○",1,0))+IF(P141="急増↑↑",2,IF(P141="増加↑",1,0))+N(AI141),0))</f>
        <v>2</v>
      </c>
      <c r="U141" s="163" t="str">
        <f>IF(T141="","",IF(AND(T141&gt;=3,O141&gt;=1.5),"有効",IF(T141&gt;=3,"要確認","除外")))</f>
        <v>除外</v>
      </c>
      <c r="V141" s="163" t="str">
        <f>IF(AND(H141&lt;&gt;"",K141&lt;&gt;""),IF(H141&gt;=K141,"年初来高値更新●",IF(H141&gt;=K141*0.95,"高値圏","通常")),"")</f>
        <v>通常</v>
      </c>
      <c r="W141" s="169">
        <f t="array" ref="W141">IF(C141&lt;&gt;"",IFERROR(100-100/(1+SUMPRODUCT((終値!F17:R17&gt;終値!G17:S17)*( 終値!F17:R17-終値!G17:S17))/SUMPRODUCT((終値!F17:R17&lt;終値!G17:S17)*(終値!G17:S17-終値!F17:R17))),50),"")</f>
        <v>35.567905522750948</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見送り</v>
      </c>
      <c r="Z141" s="171">
        <f>IF(AND(E141&lt;&gt;"",G141&lt;&gt;"",G141&lt;&gt;0),(E141-G141)/G141*100,"")</f>
        <v>-2.6315789473684208</v>
      </c>
      <c r="AA141" s="163" t="str">
        <f>IF(OR(C141="",E141="",E141=0),"",IF(E141&gt;G141,"上昇▲",IF(E141&lt;G141,"下落▼","横ばい→")))</f>
        <v>下落▼</v>
      </c>
      <c r="AB141" s="405">
        <f>IF(C141="","",IFERROR(((終値!E143*0.333)+(終値!F143*0.222)+(終値!G143*0.148)+(終値!H143*0.099)+(終値!I143*0.066)+(終値!J143*0.044)+(終値!K143*0.029)+(終値!L143*0.019)+(終値!M143*0.013)+(終値!N143*0.009))/(0.333+0.222+0.148+0.099+0.066+0.044+0.029+0.019+0.013+0.009),""))</f>
        <v>1630.9389002036658</v>
      </c>
      <c r="AC141" s="405">
        <f>IF(C141="","",IFERROR(SUMPRODUCT((終値!E143:AC143),({0.077,0.071,0.065,0.06,0.055,0.051,0.047,0.043,0.039,0.036,0.033,0.031,0.028,0.026,0.024,0.022,0.02,0.018,0.017,0.016,0.014,0.013,0.012,0.011,0.01}))/SUM({0.077,0.071,0.065,0.06,0.055,0.051,0.047,0.043,0.039,0.036,0.033,0.031,0.028,0.026,0.024,0.022,0.02,0.018,0.017,0.016,0.014,0.013,0.012,0.011,0.01}),""))</f>
        <v>1658.4040524433844</v>
      </c>
      <c r="AD141" s="406" t="str">
        <f>IF(OR(C141="",AB141="",AC141=""),"",IF(AND(E141&gt;AB141,AB141&gt;AC141),"パーフェクト▲",IF(E141&gt;AC141,"上昇トレンド▲",IF(AND(E141&lt;AB141,AB141&lt;AC141),"下降トレンド▼","もみ合い→"))))</f>
        <v>上昇トレンド▲</v>
      </c>
      <c r="AE141" s="406" t="str">
        <f>IF(OR(C141="",AB141="",AC141=""),"",IF(AND(ABS(E141-AC141)/AC141&lt;=0.02,E141&gt;AC141),"25日押し目★",IF(AND(ABS(E141-AB141)/AB141&lt;=0.01,E141&gt;AB141),"5日押し目○","なし")))</f>
        <v>なし</v>
      </c>
      <c r="AF141" s="365">
        <f t="array" ref="AF141">IF(C141="","",IFERROR((INDEX(終値!$E:$E,MATCH(TEXT(C141,"0"),終値!$A:$A,0))-INDEX(終値!$E:$CZ,MATCH(TEXT(C141,"0"),終値!$A:$A,0),$AL$2))/INDEX(終値!$E:$CZ,MATCH(TEXT(C141,"0"),終値!$A:$A,0),$AL$2)*100,""))</f>
        <v>-24.64751958224543</v>
      </c>
      <c r="AG141" s="365">
        <f t="array" ref="AG141">IFERROR((終値!$E$5-INDEX(終値!$E$5:$IT$5,1,$AL$2))/INDEX(終値!$E$5:$IT$5,1,$AL$2)*100,"")</f>
        <v>1.0179378228534113</v>
      </c>
      <c r="AH141" s="366">
        <f>IF(OR(AF141="",AG141=""),"",AF141-AG141)</f>
        <v>-25.665457405098842</v>
      </c>
      <c r="AI141" s="364">
        <f>IF(AH141="","",IF(AH141&gt;5,3,IF(AH141&gt;0,1,IF(AH141&gt;-3,-1,-2))))</f>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6528</v>
      </c>
      <c r="F142" s="166">
        <f>IF(C142&lt;&gt;"",_xll.RssMarket(C142,"始値"),"")</f>
        <v>6504</v>
      </c>
      <c r="G142" s="165">
        <f>IF(C142&lt;&gt;"",終値!F21,"")</f>
        <v>6644</v>
      </c>
      <c r="H142" s="166">
        <f>IF(C142&lt;&gt;"",_xll.RssMarket(C142,"高値"),"")</f>
        <v>6679</v>
      </c>
      <c r="I142" s="166">
        <f>IF(C142&lt;&gt;"",_xll.RssMarket(C142,"安値"),"")</f>
        <v>6463</v>
      </c>
      <c r="J142" s="166">
        <f>IF(C142&lt;&gt;"",_xll.RssMarket(C142,"出来高"),"")</f>
        <v>1524700</v>
      </c>
      <c r="K142" s="166">
        <f>IF(C142&lt;&gt;"",_xll.RssMarket(C142,"年初来高値"),"")</f>
        <v>9500</v>
      </c>
      <c r="L142" s="167">
        <f>IF(AND(E142&lt;&gt;"",K142&lt;&gt;"",K142&lt;&gt;0),(E142-K142)/K142*100,"")</f>
        <v>-31.284210526315793</v>
      </c>
      <c r="M142" s="166">
        <f>IF(C142&lt;&gt;"",IFERROR(AVERAGE(出来高!E21:I21),""),"")</f>
        <v>2113280</v>
      </c>
      <c r="N142" s="166">
        <f>IF(C142&lt;&gt;"",IFERROR(AVERAGE(出来高!E21:AC21),""),"")</f>
        <v>1391454.1666666667</v>
      </c>
      <c r="O142" s="168">
        <f>IF(AND(J142&lt;&gt;"",M142&lt;&gt;"",M142&lt;&gt;0),J142/M142,"")</f>
        <v>0.72148508479709272</v>
      </c>
      <c r="P142" s="163" t="str">
        <f>IF(O142="","",IF(O142&gt;=2,"急増↑↑",IF(O142&gt;=1.5,"増加↑",IF(O142&gt;=1,"普通→","減少↓"))))</f>
        <v>減少↓</v>
      </c>
      <c r="Q142" s="163" t="str">
        <f>IF(E142="","",IF(AND(E142&gt;G142,O142&gt;=1.5),"買い▲",IF(E142&lt;G142,"様子見▼","中立→")))</f>
        <v>様子見▼</v>
      </c>
      <c r="R142" s="166">
        <f>IF(E142&lt;&gt;"",ROUND(E142*1.08,0),"")</f>
        <v>7050</v>
      </c>
      <c r="S142" s="166">
        <f>IF(E142&lt;&gt;"",ROUND(E142*0.96,0),"")</f>
        <v>6267</v>
      </c>
      <c r="T142" s="163">
        <f>IF(C142="","",IFERROR(IF(O142&gt;=2,3,IF(O142&gt;=1.5,2,IF(O142&gt;=1,1,0)))+IF(E142&gt;G142,1,0)+IF(L142&gt;=-5,1,0)+IF(Q142="買い▲",2,0)+IF(W142&lt;=30,3,IF(W142&lt;=40,2,IF(AND(W142&gt;=40,W142&lt;=60),1,0)))+IF(X142&gt;0,1,0)+IF(V142="年初来高値更新●",3,IF(V142="高値圏",2,0))+IF(AD142="パーフェクト▲",3,IF(AD142="上昇トレンド▲",2,0))+IF(AE142="25日線押し目●",2,IF(AE142="5日線押し目○",1,0))+IF(P142="急増↑↑",2,IF(P142="増加↑",1,0))+N(AI142),0))</f>
        <v>-1</v>
      </c>
      <c r="U142" s="163" t="str">
        <f>IF(T142="","",IF(AND(T142&gt;=3,O142&gt;=1.5),"有効",IF(T142&gt;=3,"要確認","除外")))</f>
        <v>除外</v>
      </c>
      <c r="V142" s="163" t="str">
        <f>IF(AND(H142&lt;&gt;"",K142&lt;&gt;""),IF(H142&gt;=K142,"年初来高値更新●",IF(H142&gt;=K142*0.95,"高値圏","通常")),"")</f>
        <v>通常</v>
      </c>
      <c r="W142" s="169">
        <f t="array" ref="W142">IF(C142&lt;&gt;"",IFERROR(100-100/(1+SUMPRODUCT((終値!F21:R21&gt;終値!G21:S21)*( 終値!F21:R21-終値!G21:S21))/SUMPRODUCT((終値!F21:R21&lt;終値!G21:S21)*(終値!G21:S21-終値!F21:R21))),50),"")</f>
        <v>46.397343663530712</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見送り</v>
      </c>
      <c r="Z142" s="171">
        <f>IF(AND(E142&lt;&gt;"",G142&lt;&gt;"",G142&lt;&gt;0),(E142-G142)/G142*100,"")</f>
        <v>-1.7459361830222759</v>
      </c>
      <c r="AA142" s="163" t="str">
        <f>IF(OR(C142="",E142="",E142=0),"",IF(E142&gt;G142,"上昇▲",IF(E142&lt;G142,"下落▼","横ばい→")))</f>
        <v>下落▼</v>
      </c>
      <c r="AB142" s="403">
        <f>IF(C142="","",IFERROR(((終値!E144*0.333)+(終値!F144*0.222)+(終値!G144*0.148)+(終値!H144*0.099)+(終値!I144*0.066)+(終値!J144*0.044)+(終値!K144*0.029)+(終値!L144*0.019)+(終値!M144*0.013)+(終値!N144*0.009))/(0.333+0.222+0.148+0.099+0.066+0.044+0.029+0.019+0.013+0.009),""))</f>
        <v>19077.800407331964</v>
      </c>
      <c r="AC142" s="403">
        <f>IF(C142="","",IFERROR(SUMPRODUCT((終値!E144:AC144),({0.077,0.071,0.065,0.06,0.055,0.051,0.047,0.043,0.039,0.036,0.033,0.031,0.028,0.026,0.024,0.022,0.02,0.018,0.017,0.016,0.014,0.013,0.012,0.011,0.01}))/SUM({0.077,0.071,0.065,0.06,0.055,0.051,0.047,0.043,0.039,0.036,0.033,0.031,0.028,0.026,0.024,0.022,0.02,0.018,0.017,0.016,0.014,0.013,0.012,0.011,0.01}),""))</f>
        <v>18262.729439809289</v>
      </c>
      <c r="AD142" s="404" t="str">
        <f>IF(OR(C142="",AB142="",AC142=""),"",IF(AND(E142&gt;AB142,AB142&gt;AC142),"パーフェクト▲",IF(E142&gt;AC142,"上昇トレンド▲",IF(AND(E142&lt;AB142,AB142&lt;AC142),"下降トレンド▼","もみ合い→"))))</f>
        <v>もみ合い→</v>
      </c>
      <c r="AE142" s="404" t="str">
        <f>IF(OR(C142="",AB142="",AC142=""),"",IF(AND(ABS(E142-AC142)/AC142&lt;=0.02,E142&gt;AC142),"25日押し目★",IF(AND(ABS(E142-AB142)/AB142&lt;=0.01,E142&gt;AB142),"5日押し目○","なし")))</f>
        <v>なし</v>
      </c>
      <c r="AF142" s="365">
        <f t="array" ref="AF142">IF(C142="","",IFERROR((INDEX(終値!$E:$E,MATCH(TEXT(C142,"0"),終値!$A:$A,0))-INDEX(終値!$E:$CZ,MATCH(TEXT(C142,"0"),終値!$A:$A,0),$AL$2))/INDEX(終値!$E:$CZ,MATCH(TEXT(C142,"0"),終値!$A:$A,0),$AL$2)*100,""))</f>
        <v>-20.997216507321795</v>
      </c>
      <c r="AG142" s="365">
        <f t="array" ref="AG142">IFERROR((終値!$E$5-INDEX(終値!$E$5:$IT$5,1,$AL$2))/INDEX(終値!$E$5:$IT$5,1,$AL$2)*100,"")</f>
        <v>1.0179378228534113</v>
      </c>
      <c r="AH142" s="366">
        <f>IF(OR(AF142="",AG142=""),"",AF142-AG142)</f>
        <v>-22.015154330175207</v>
      </c>
      <c r="AI142" s="364">
        <f>IF(AH142="","",IF(AH142&gt;5,3,IF(AH142&gt;0,1,IF(AH142&gt;-3,-1,-2))))</f>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2314</v>
      </c>
      <c r="F143" s="166">
        <f>IF(C143&lt;&gt;"",_xll.RssMarket(C143,"始値"),"")</f>
        <v>2260</v>
      </c>
      <c r="G143" s="165">
        <f>IF(C143&lt;&gt;"",終値!F193,"")</f>
        <v>2288</v>
      </c>
      <c r="H143" s="166">
        <f>IF(C143&lt;&gt;"",_xll.RssMarket(C143,"高値"),"")</f>
        <v>2412</v>
      </c>
      <c r="I143" s="166">
        <f>IF(C143&lt;&gt;"",_xll.RssMarket(C143,"安値"),"")</f>
        <v>2250</v>
      </c>
      <c r="J143" s="166">
        <f>IF(C143&lt;&gt;"",_xll.RssMarket(C143,"出来高"),"")</f>
        <v>492700</v>
      </c>
      <c r="K143" s="166">
        <f>IF(C143&lt;&gt;"",_xll.RssMarket(C143,"年初来高値"),"")</f>
        <v>3405</v>
      </c>
      <c r="L143" s="167">
        <f>IF(AND(E143&lt;&gt;"",K143&lt;&gt;"",K143&lt;&gt;0),(E143-K143)/K143*100,"")</f>
        <v>-32.041116005873718</v>
      </c>
      <c r="M143" s="166">
        <f>IF(C143&lt;&gt;"",IFERROR(AVERAGE(出来高!E193:I193),""),"")</f>
        <v>418560</v>
      </c>
      <c r="N143" s="166">
        <f>IF(C143&lt;&gt;"",IFERROR(AVERAGE(出来高!E193:AC193),""),"")</f>
        <v>619792</v>
      </c>
      <c r="O143" s="168">
        <f>IF(AND(J143&lt;&gt;"",M143&lt;&gt;"",M143&lt;&gt;0),J143/M143,"")</f>
        <v>1.177131116207951</v>
      </c>
      <c r="P143" s="163" t="str">
        <f>IF(O143="","",IF(O143&gt;=2,"急増↑↑",IF(O143&gt;=1.5,"増加↑",IF(O143&gt;=1,"普通→","減少↓"))))</f>
        <v>普通→</v>
      </c>
      <c r="Q143" s="163" t="str">
        <f>IF(E143="","",IF(AND(E143&gt;G143,O143&gt;=1.5),"買い▲",IF(E143&lt;G143,"様子見▼","中立→")))</f>
        <v>中立→</v>
      </c>
      <c r="R143" s="166">
        <f>IF(E143&lt;&gt;"",ROUND(E143*1.08,0),"")</f>
        <v>2499</v>
      </c>
      <c r="S143" s="166">
        <f>IF(E143&lt;&gt;"",ROUND(E143*0.96,0),"")</f>
        <v>2221</v>
      </c>
      <c r="T143" s="163">
        <f>IF(C143="","",IFERROR(IF(O143&gt;=2,3,IF(O143&gt;=1.5,2,IF(O143&gt;=1,1,0)))+IF(E143&gt;G143,1,0)+IF(L143&gt;=-5,1,0)+IF(Q143="買い▲",2,0)+IF(W143&lt;=30,3,IF(W143&lt;=40,2,IF(AND(W143&gt;=40,W143&lt;=60),1,0)))+IF(X143&gt;0,1,0)+IF(V143="年初来高値更新●",3,IF(V143="高値圏",2,0))+IF(AD143="パーフェクト▲",3,IF(AD143="上昇トレンド▲",2,0))+IF(AE143="25日線押し目●",2,IF(AE143="5日線押し目○",1,0))+IF(P143="急増↑↑",2,IF(P143="増加↑",1,0))+N(AI143),0))</f>
        <v>7</v>
      </c>
      <c r="U143" s="163" t="str">
        <f>IF(T143="","",IF(AND(T143&gt;=3,O143&gt;=1.5),"有効",IF(T143&gt;=3,"要確認","除外")))</f>
        <v>要確認</v>
      </c>
      <c r="V143" s="163" t="str">
        <f>IF(AND(H143&lt;&gt;"",K143&lt;&gt;""),IF(H143&gt;=K143,"年初来高値更新●",IF(H143&gt;=K143*0.95,"高値圏","通常")),"")</f>
        <v>通常</v>
      </c>
      <c r="W143" s="169">
        <f t="array" ref="W143">IF(C143&lt;&gt;"",IFERROR(100-100/(1+SUMPRODUCT((終値!F193:R193&gt;終値!G193:S193)*( 終値!F193:R193-終値!G193:S193))/SUMPRODUCT((終値!F193:R193&lt;終値!G193:S193)*(終値!G193:S193-終値!F193:R193))),50),"")</f>
        <v>56.87022900763359</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△注目</v>
      </c>
      <c r="Z143" s="171">
        <f>IF(AND(E143&lt;&gt;"",G143&lt;&gt;"",G143&lt;&gt;0),(E143-G143)/G143*100,"")</f>
        <v>1.1363636363636365</v>
      </c>
      <c r="AA143" s="163" t="str">
        <f>IF(OR(C143="",E143="",E143=0),"",IF(E143&gt;G143,"上昇▲",IF(E143&lt;G143,"下落▼","横ばい→")))</f>
        <v>上昇▲</v>
      </c>
      <c r="AB143" s="405">
        <f>IF(C143="","",IFERROR(((終値!E145*0.333)+(終値!F145*0.222)+(終値!G145*0.148)+(終値!H145*0.099)+(終値!I145*0.066)+(終値!J145*0.044)+(終値!K145*0.029)+(終値!L145*0.019)+(終値!M145*0.013)+(終値!N145*0.009))/(0.333+0.222+0.148+0.099+0.066+0.044+0.029+0.019+0.013+0.009),""))</f>
        <v>22835.865580448062</v>
      </c>
      <c r="AC143" s="405">
        <f>IF(C143="","",IFERROR(SUMPRODUCT((終値!E145:AC145),({0.077,0.071,0.065,0.06,0.055,0.051,0.047,0.043,0.039,0.036,0.033,0.031,0.028,0.026,0.024,0.022,0.02,0.018,0.017,0.016,0.014,0.013,0.012,0.011,0.01}))/SUM({0.077,0.071,0.065,0.06,0.055,0.051,0.047,0.043,0.039,0.036,0.033,0.031,0.028,0.026,0.024,0.022,0.02,0.018,0.017,0.016,0.014,0.013,0.012,0.011,0.01}),""))</f>
        <v>23149.63051251489</v>
      </c>
      <c r="AD143" s="406" t="str">
        <f>IF(OR(C143="",AB143="",AC143=""),"",IF(AND(E143&gt;AB143,AB143&gt;AC143),"パーフェクト▲",IF(E143&gt;AC143,"上昇トレンド▲",IF(AND(E143&lt;AB143,AB143&lt;AC143),"下降トレンド▼","もみ合い→"))))</f>
        <v>下降トレンド▼</v>
      </c>
      <c r="AE143" s="406" t="str">
        <f>IF(OR(C143="",AB143="",AC143=""),"",IF(AND(ABS(E143-AC143)/AC143&lt;=0.02,E143&gt;AC143),"25日押し目★",IF(AND(ABS(E143-AB143)/AB143&lt;=0.01,E143&gt;AB143),"5日押し目○","なし")))</f>
        <v>なし</v>
      </c>
      <c r="AF143" s="365">
        <f t="array" ref="AF143">IF(C143="","",IFERROR((INDEX(終値!$E:$E,MATCH(TEXT(C143,"0"),終値!$A:$A,0))-INDEX(終値!$E:$CZ,MATCH(TEXT(C143,"0"),終値!$A:$A,0),$AL$2))/INDEX(終値!$E:$CZ,MATCH(TEXT(C143,"0"),終値!$A:$A,0),$AL$2)*100,""))</f>
        <v>20.520833333333332</v>
      </c>
      <c r="AG143" s="365">
        <f t="array" ref="AG143">IFERROR((終値!$E$5-INDEX(終値!$E$5:$IT$5,1,$AL$2))/INDEX(終値!$E$5:$IT$5,1,$AL$2)*100,"")</f>
        <v>1.0179378228534113</v>
      </c>
      <c r="AH143" s="366">
        <f>IF(OR(AF143="",AG143=""),"",AF143-AG143)</f>
        <v>19.50289551047992</v>
      </c>
      <c r="AI143" s="364">
        <f>IF(AH143="","",IF(AH143&gt;5,3,IF(AH143&gt;0,1,IF(AH143&gt;-3,-1,-2))))</f>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4333</v>
      </c>
      <c r="F144" s="166">
        <f>IF(C144&lt;&gt;"",_xll.RssMarket(C144,"始値"),"")</f>
        <v>4020</v>
      </c>
      <c r="G144" s="165">
        <f>IF(C144&lt;&gt;"",終値!F34,"")</f>
        <v>4090</v>
      </c>
      <c r="H144" s="166">
        <f>IF(C144&lt;&gt;"",_xll.RssMarket(C144,"高値"),"")</f>
        <v>4380</v>
      </c>
      <c r="I144" s="166">
        <f>IF(C144&lt;&gt;"",_xll.RssMarket(C144,"安値"),"")</f>
        <v>4006</v>
      </c>
      <c r="J144" s="166">
        <f>IF(C144&lt;&gt;"",_xll.RssMarket(C144,"出来高"),"")</f>
        <v>1155500</v>
      </c>
      <c r="K144" s="166">
        <f>IF(C144&lt;&gt;"",_xll.RssMarket(C144,"年初来高値"),"")</f>
        <v>4968</v>
      </c>
      <c r="L144" s="167">
        <f>IF(AND(E144&lt;&gt;"",K144&lt;&gt;"",K144&lt;&gt;0),(E144-K144)/K144*100,"")</f>
        <v>-12.78180354267311</v>
      </c>
      <c r="M144" s="166">
        <f>IF(C144&lt;&gt;"",IFERROR(AVERAGE(出来高!E34:I34),""),"")</f>
        <v>705860</v>
      </c>
      <c r="N144" s="166">
        <f>IF(C144&lt;&gt;"",IFERROR(AVERAGE(出来高!E34:AC34),""),"")</f>
        <v>607492</v>
      </c>
      <c r="O144" s="168">
        <f>IF(AND(J144&lt;&gt;"",M144&lt;&gt;"",M144&lt;&gt;0),J144/M144,"")</f>
        <v>1.6370101719887797</v>
      </c>
      <c r="P144" s="163" t="str">
        <f>IF(O144="","",IF(O144&gt;=2,"急増↑↑",IF(O144&gt;=1.5,"増加↑",IF(O144&gt;=1,"普通→","減少↓"))))</f>
        <v>増加↑</v>
      </c>
      <c r="Q144" s="163" t="str">
        <f>IF(E144="","",IF(AND(E144&gt;G144,O144&gt;=1.5),"買い▲",IF(E144&lt;G144,"様子見▼","中立→")))</f>
        <v>買い▲</v>
      </c>
      <c r="R144" s="166">
        <f>IF(E144&lt;&gt;"",ROUND(E144*1.08,0),"")</f>
        <v>4680</v>
      </c>
      <c r="S144" s="166">
        <f>IF(E144&lt;&gt;"",ROUND(E144*0.96,0),"")</f>
        <v>4160</v>
      </c>
      <c r="T144" s="163">
        <f>IF(C144="","",IFERROR(IF(O144&gt;=2,3,IF(O144&gt;=1.5,2,IF(O144&gt;=1,1,0)))+IF(E144&gt;G144,1,0)+IF(L144&gt;=-5,1,0)+IF(Q144="買い▲",2,0)+IF(W144&lt;=30,3,IF(W144&lt;=40,2,IF(AND(W144&gt;=40,W144&lt;=60),1,0)))+IF(X144&gt;0,1,0)+IF(V144="年初来高値更新●",3,IF(V144="高値圏",2,0))+IF(AD144="パーフェクト▲",3,IF(AD144="上昇トレンド▲",2,0))+IF(AE144="25日線押し目●",2,IF(AE144="5日線押し目○",1,0))+IF(P144="急増↑↑",2,IF(P144="増加↑",1,0))+N(AI144),0))</f>
        <v>14</v>
      </c>
      <c r="U144" s="163" t="str">
        <f>IF(T144="","",IF(AND(T144&gt;=3,O144&gt;=1.5),"有効",IF(T144&gt;=3,"要確認","除外")))</f>
        <v>有効</v>
      </c>
      <c r="V144" s="163" t="str">
        <f>IF(AND(H144&lt;&gt;"",K144&lt;&gt;""),IF(H144&gt;=K144,"年初来高値更新●",IF(H144&gt;=K144*0.95,"高値圏","通常")),"")</f>
        <v>通常</v>
      </c>
      <c r="W144" s="169">
        <f t="array" ref="W144">IF(C144&lt;&gt;"",IFERROR(100-100/(1+SUMPRODUCT((終値!F34:R34&gt;終値!G34:S34)*( 終値!F34:R34-終値!G34:S34))/SUMPRODUCT((終値!F34:R34&lt;終値!G34:S34)*(終値!G34:S34-終値!F34:R34))),50),"")</f>
        <v>55.723542116630675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★強い買い</v>
      </c>
      <c r="Z144" s="171">
        <f>IF(AND(E144&lt;&gt;"",G144&lt;&gt;"",G144&lt;&gt;0),(E144-G144)/G144*100,"")</f>
        <v>5.9413202933985332</v>
      </c>
      <c r="AA144" s="163" t="str">
        <f>IF(OR(C144="",E144="",E144=0),"",IF(E144&gt;G144,"上昇▲",IF(E144&lt;G144,"下落▼","横ばい→")))</f>
        <v>上昇▲</v>
      </c>
      <c r="AB144" s="403">
        <f>IF(C144="","",IFERROR(((終値!E146*0.333)+(終値!F146*0.222)+(終値!G146*0.148)+(終値!H146*0.099)+(終値!I146*0.066)+(終値!J146*0.044)+(終値!K146*0.029)+(終値!L146*0.019)+(終値!M146*0.013)+(終値!N146*0.009))/(0.333+0.222+0.148+0.099+0.066+0.044+0.029+0.019+0.013+0.009),""))</f>
        <v>312.16598778004061</v>
      </c>
      <c r="AC144" s="403">
        <f>IF(C144="","",IFERROR(SUMPRODUCT((終値!E146:AC146),({0.077,0.071,0.065,0.06,0.055,0.051,0.047,0.043,0.039,0.036,0.033,0.031,0.028,0.026,0.024,0.022,0.02,0.018,0.017,0.016,0.014,0.013,0.012,0.011,0.01}))/SUM({0.077,0.071,0.065,0.06,0.055,0.051,0.047,0.043,0.039,0.036,0.033,0.031,0.028,0.026,0.024,0.022,0.02,0.018,0.017,0.016,0.014,0.013,0.012,0.011,0.01}),""))</f>
        <v>310.87485101311074</v>
      </c>
      <c r="AD144" s="404" t="str">
        <f>IF(OR(C144="",AB144="",AC144=""),"",IF(AND(E144&gt;AB144,AB144&gt;AC144),"パーフェクト▲",IF(E144&gt;AC144,"上昇トレンド▲",IF(AND(E144&lt;AB144,AB144&lt;AC144),"下降トレンド▼","もみ合い→"))))</f>
        <v>パーフェクト▲</v>
      </c>
      <c r="AE144" s="404" t="str">
        <f>IF(OR(C144="",AB144="",AC144=""),"",IF(AND(ABS(E144-AC144)/AC144&lt;=0.02,E144&gt;AC144),"25日押し目★",IF(AND(ABS(E144-AB144)/AB144&lt;=0.01,E144&gt;AB144),"5日押し目○","なし")))</f>
        <v>なし</v>
      </c>
      <c r="AF144" s="365">
        <f t="array" ref="AF144">IF(C144="","",IFERROR((INDEX(終値!$E:$E,MATCH(TEXT(C144,"0"),終値!$A:$A,0))-INDEX(終値!$E:$CZ,MATCH(TEXT(C144,"0"),終値!$A:$A,0),$AL$2))/INDEX(終値!$E:$CZ,MATCH(TEXT(C144,"0"),終値!$A:$A,0),$AL$2)*100,""))</f>
        <v>11.359547674119764</v>
      </c>
      <c r="AG144" s="365">
        <f t="array" ref="AG144">IFERROR((終値!$E$5-INDEX(終値!$E$5:$IT$5,1,$AL$2))/INDEX(終値!$E$5:$IT$5,1,$AL$2)*100,"")</f>
        <v>1.0179378228534113</v>
      </c>
      <c r="AH144" s="366">
        <f>IF(OR(AF144="",AG144=""),"",AF144-AG144)</f>
        <v>10.341609851266352</v>
      </c>
      <c r="AI144" s="364">
        <f>IF(AH144="","",IF(AH144&gt;5,3,IF(AH144&gt;0,1,IF(AH144&gt;-3,-1,-2))))</f>
        <v>3</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5786</v>
      </c>
      <c r="F145" s="166">
        <f>IF(C145&lt;&gt;"",_xll.RssMarket(C145,"始値"),"")</f>
        <v>5711</v>
      </c>
      <c r="G145" s="165">
        <f>IF(C145&lt;&gt;"",終値!F53,"")</f>
        <v>5765</v>
      </c>
      <c r="H145" s="166">
        <f>IF(C145&lt;&gt;"",_xll.RssMarket(C145,"高値"),"")</f>
        <v>5932</v>
      </c>
      <c r="I145" s="166">
        <f>IF(C145&lt;&gt;"",_xll.RssMarket(C145,"安値"),"")</f>
        <v>5698</v>
      </c>
      <c r="J145" s="166">
        <f>IF(C145&lt;&gt;"",_xll.RssMarket(C145,"出来高"),"")</f>
        <v>1626100</v>
      </c>
      <c r="K145" s="166">
        <f>IF(C145&lt;&gt;"",_xll.RssMarket(C145,"年初来高値"),"")</f>
        <v>8315</v>
      </c>
      <c r="L145" s="167">
        <f>IF(AND(E145&lt;&gt;"",K145&lt;&gt;"",K145&lt;&gt;0),(E145-K145)/K145*100,"")</f>
        <v>-30.414912808177991</v>
      </c>
      <c r="M145" s="166">
        <f>IF(C145&lt;&gt;"",IFERROR(AVERAGE(出来高!E53:I53),""),"")</f>
        <v>2739840</v>
      </c>
      <c r="N145" s="166">
        <f>IF(C145&lt;&gt;"",IFERROR(AVERAGE(出来高!E53:AC53),""),"")</f>
        <v>1577064</v>
      </c>
      <c r="O145" s="168">
        <f>IF(AND(J145&lt;&gt;"",M145&lt;&gt;"",M145&lt;&gt;0),J145/M145,"")</f>
        <v>0.59350181032469052</v>
      </c>
      <c r="P145" s="163" t="str">
        <f>IF(O145="","",IF(O145&gt;=2,"急増↑↑",IF(O145&gt;=1.5,"増加↑",IF(O145&gt;=1,"普通→","減少↓"))))</f>
        <v>減少↓</v>
      </c>
      <c r="Q145" s="163" t="str">
        <f>IF(E145="","",IF(AND(E145&gt;G145,O145&gt;=1.5),"買い▲",IF(E145&lt;G145,"様子見▼","中立→")))</f>
        <v>中立→</v>
      </c>
      <c r="R145" s="166">
        <f>IF(E145&lt;&gt;"",ROUND(E145*1.08,0),"")</f>
        <v>6249</v>
      </c>
      <c r="S145" s="166">
        <f>IF(E145&lt;&gt;"",ROUND(E145*0.96,0),"")</f>
        <v>5555</v>
      </c>
      <c r="T145" s="163">
        <f>IF(C145="","",IFERROR(IF(O145&gt;=2,3,IF(O145&gt;=1.5,2,IF(O145&gt;=1,1,0)))+IF(E145&gt;G145,1,0)+IF(L145&gt;=-5,1,0)+IF(Q145="買い▲",2,0)+IF(W145&lt;=30,3,IF(W145&lt;=40,2,IF(AND(W145&gt;=40,W145&lt;=60),1,0)))+IF(X145&gt;0,1,0)+IF(V145="年初来高値更新●",3,IF(V145="高値圏",2,0))+IF(AD145="パーフェクト▲",3,IF(AD145="上昇トレンド▲",2,0))+IF(AE145="25日線押し目●",2,IF(AE145="5日線押し目○",1,0))+IF(P145="急増↑↑",2,IF(P145="増加↑",1,0))+N(AI145),0))</f>
        <v>1</v>
      </c>
      <c r="U145" s="163" t="str">
        <f>IF(T145="","",IF(AND(T145&gt;=3,O145&gt;=1.5),"有効",IF(T145&gt;=3,"要確認","除外")))</f>
        <v>除外</v>
      </c>
      <c r="V145" s="163" t="str">
        <f>IF(AND(H145&lt;&gt;"",K145&lt;&gt;""),IF(H145&gt;=K145,"年初来高値更新●",IF(H145&gt;=K145*0.95,"高値圏","通常")),"")</f>
        <v>通常</v>
      </c>
      <c r="W145" s="169">
        <f t="array" ref="W145">IF(C145&lt;&gt;"",IFERROR(100-100/(1+SUMPRODUCT((終値!F53:R53&gt;終値!G53:S53)*( 終値!F53:R53-終値!G53:S53))/SUMPRODUCT((終値!F53:R53&lt;終値!G53:S53)*(終値!G53:S53-終値!F53:R53))),50),"")</f>
        <v>30.058417419012216</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見送り</v>
      </c>
      <c r="Z145" s="171">
        <f>IF(AND(E145&lt;&gt;"",G145&lt;&gt;"",G145&lt;&gt;0),(E145-G145)/G145*100,"")</f>
        <v>0.36426712922810062</v>
      </c>
      <c r="AA145" s="163" t="str">
        <f>IF(OR(C145="",E145="",E145=0),"",IF(E145&gt;G145,"上昇▲",IF(E145&lt;G145,"下落▼","横ばい→")))</f>
        <v>上昇▲</v>
      </c>
      <c r="AB145" s="405">
        <f>IF(C145="","",IFERROR(((終値!E147*0.333)+(終値!F147*0.222)+(終値!G147*0.148)+(終値!H147*0.099)+(終値!I147*0.066)+(終値!J147*0.044)+(終値!K147*0.029)+(終値!L147*0.019)+(終値!M147*0.013)+(終値!N147*0.009))/(0.333+0.222+0.148+0.099+0.066+0.044+0.029+0.019+0.013+0.009),""))</f>
        <v>9060.3360488798371</v>
      </c>
      <c r="AC145" s="405">
        <f>IF(C145="","",IFERROR(SUMPRODUCT((終値!E147:AC147),({0.077,0.071,0.065,0.06,0.055,0.051,0.047,0.043,0.039,0.036,0.033,0.031,0.028,0.026,0.024,0.022,0.02,0.018,0.017,0.016,0.014,0.013,0.012,0.011,0.01}))/SUM({0.077,0.071,0.065,0.06,0.055,0.051,0.047,0.043,0.039,0.036,0.033,0.031,0.028,0.026,0.024,0.022,0.02,0.018,0.017,0.016,0.014,0.013,0.012,0.011,0.01}),""))</f>
        <v>9379.5470798569695</v>
      </c>
      <c r="AD145" s="406" t="str">
        <f>IF(OR(C145="",AB145="",AC145=""),"",IF(AND(E145&gt;AB145,AB145&gt;AC145),"パーフェクト▲",IF(E145&gt;AC145,"上昇トレンド▲",IF(AND(E145&lt;AB145,AB145&lt;AC145),"下降トレンド▼","もみ合い→"))))</f>
        <v>下降トレンド▼</v>
      </c>
      <c r="AE145" s="406" t="str">
        <f>IF(OR(C145="",AB145="",AC145=""),"",IF(AND(ABS(E145-AC145)/AC145&lt;=0.02,E145&gt;AC145),"25日押し目★",IF(AND(ABS(E145-AB145)/AB145&lt;=0.01,E145&gt;AB145),"5日押し目○","なし")))</f>
        <v>なし</v>
      </c>
      <c r="AF145" s="365">
        <f t="array" ref="AF145">IF(C145="","",IFERROR((INDEX(終値!$E:$E,MATCH(TEXT(C145,"0"),終値!$A:$A,0))-INDEX(終値!$E:$CZ,MATCH(TEXT(C145,"0"),終値!$A:$A,0),$AL$2))/INDEX(終値!$E:$CZ,MATCH(TEXT(C145,"0"),終値!$A:$A,0),$AL$2)*100,""))</f>
        <v>-16.831967802213597</v>
      </c>
      <c r="AG145" s="365">
        <f t="array" ref="AG145">IFERROR((終値!$E$5-INDEX(終値!$E$5:$IT$5,1,$AL$2))/INDEX(終値!$E$5:$IT$5,1,$AL$2)*100,"")</f>
        <v>1.0179378228534113</v>
      </c>
      <c r="AH145" s="366">
        <f>IF(OR(AF145="",AG145=""),"",AF145-AG145)</f>
        <v>-17.849905625067009</v>
      </c>
      <c r="AI145" s="364">
        <f>IF(AH145="","",IF(AH145&gt;5,3,IF(AH145&gt;0,1,IF(AH145&gt;-3,-1,-2))))</f>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3811</v>
      </c>
      <c r="F146" s="166">
        <f>IF(C146&lt;&gt;"",_xll.RssMarket(C146,"始値"),"")</f>
        <v>3766</v>
      </c>
      <c r="G146" s="165">
        <f>IF(C146&lt;&gt;"",終値!F15,"")</f>
        <v>3753</v>
      </c>
      <c r="H146" s="166">
        <f>IF(C146&lt;&gt;"",_xll.RssMarket(C146,"高値"),"")</f>
        <v>3821</v>
      </c>
      <c r="I146" s="166">
        <f>IF(C146&lt;&gt;"",_xll.RssMarket(C146,"安値"),"")</f>
        <v>3762</v>
      </c>
      <c r="J146" s="166">
        <f>IF(C146&lt;&gt;"",_xll.RssMarket(C146,"出来高"),"")</f>
        <v>422700</v>
      </c>
      <c r="K146" s="166">
        <f>IF(C146&lt;&gt;"",_xll.RssMarket(C146,"年初来高値"),"")</f>
        <v>5034</v>
      </c>
      <c r="L146" s="167">
        <f>IF(AND(E146&lt;&gt;"",K146&lt;&gt;"",K146&lt;&gt;0),(E146-K146)/K146*100,"")</f>
        <v>-24.294795391338894</v>
      </c>
      <c r="M146" s="166">
        <f>IF(C146&lt;&gt;"",IFERROR(AVERAGE(出来高!E15:I15),""),"")</f>
        <v>555480</v>
      </c>
      <c r="N146" s="166">
        <f>IF(C146&lt;&gt;"",IFERROR(AVERAGE(出来高!E15:AC15),""),"")</f>
        <v>581216</v>
      </c>
      <c r="O146" s="168">
        <f>IF(AND(J146&lt;&gt;"",M146&lt;&gt;"",M146&lt;&gt;0),J146/M146,"")</f>
        <v>0.76096349103478078</v>
      </c>
      <c r="P146" s="163" t="str">
        <f>IF(O146="","",IF(O146&gt;=2,"急増↑↑",IF(O146&gt;=1.5,"増加↑",IF(O146&gt;=1,"普通→","減少↓"))))</f>
        <v>減少↓</v>
      </c>
      <c r="Q146" s="163" t="str">
        <f>IF(E146="","",IF(AND(E146&gt;G146,O146&gt;=1.5),"買い▲",IF(E146&lt;G146,"様子見▼","中立→")))</f>
        <v>中立→</v>
      </c>
      <c r="R146" s="166">
        <f>IF(E146&lt;&gt;"",ROUND(E146*1.08,0),"")</f>
        <v>4116</v>
      </c>
      <c r="S146" s="166">
        <f>IF(E146&lt;&gt;"",ROUND(E146*0.96,0),"")</f>
        <v>3659</v>
      </c>
      <c r="T146" s="163">
        <f>IF(C146="","",IFERROR(IF(O146&gt;=2,3,IF(O146&gt;=1.5,2,IF(O146&gt;=1,1,0)))+IF(E146&gt;G146,1,0)+IF(L146&gt;=-5,1,0)+IF(Q146="買い▲",2,0)+IF(W146&lt;=30,3,IF(W146&lt;=40,2,IF(AND(W146&gt;=40,W146&lt;=60),1,0)))+IF(X146&gt;0,1,0)+IF(V146="年初来高値更新●",3,IF(V146="高値圏",2,0))+IF(AD146="パーフェクト▲",3,IF(AD146="上昇トレンド▲",2,0))+IF(AE146="25日線押し目●",2,IF(AE146="5日線押し目○",1,0))+IF(P146="急増↑↑",2,IF(P146="増加↑",1,0))+N(AI146),0))</f>
        <v>4</v>
      </c>
      <c r="U146" s="163" t="str">
        <f>IF(T146="","",IF(AND(T146&gt;=3,O146&gt;=1.5),"有効",IF(T146&gt;=3,"要確認","除外")))</f>
        <v>要確認</v>
      </c>
      <c r="V146" s="163" t="str">
        <f>IF(AND(H146&lt;&gt;"",K146&lt;&gt;""),IF(H146&gt;=K146,"年初来高値更新●",IF(H146&gt;=K146*0.95,"高値圏","通常")),"")</f>
        <v>通常</v>
      </c>
      <c r="W146" s="169">
        <f t="array" ref="W146">IF(C146&lt;&gt;"",IFERROR(100-100/(1+SUMPRODUCT((終値!F15:R15&gt;終値!G15:S15)*( 終値!F15:R15-終値!G15:S15))/SUMPRODUCT((終値!F15:R15&lt;終値!G15:S15)*(終値!G15:S15-終値!F15:R15))),50),"")</f>
        <v>40.436241610738257</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様子見</v>
      </c>
      <c r="Z146" s="171">
        <f>IF(AND(E146&lt;&gt;"",G146&lt;&gt;"",G146&lt;&gt;0),(E146-G146)/G146*100,"")</f>
        <v>1.5454303224087398</v>
      </c>
      <c r="AA146" s="163" t="str">
        <f>IF(OR(C146="",E146="",E146=0),"",IF(E146&gt;G146,"上昇▲",IF(E146&lt;G146,"下落▼","横ばい→")))</f>
        <v>上昇▲</v>
      </c>
      <c r="AB146" s="403">
        <f>IF(C146="","",IFERROR(((終値!E148*0.333)+(終値!F148*0.222)+(終値!G148*0.148)+(終値!H148*0.099)+(終値!I148*0.066)+(終値!J148*0.044)+(終値!K148*0.029)+(終値!L148*0.019)+(終値!M148*0.013)+(終値!N148*0.009))/(0.333+0.222+0.148+0.099+0.066+0.044+0.029+0.019+0.013+0.009),""))</f>
        <v>1436.043788187372</v>
      </c>
      <c r="AC146" s="403">
        <f>IF(C146="","",IFERROR(SUMPRODUCT((終値!E148:AC148),({0.077,0.071,0.065,0.06,0.055,0.051,0.047,0.043,0.039,0.036,0.033,0.031,0.028,0.026,0.024,0.022,0.02,0.018,0.017,0.016,0.014,0.013,0.012,0.011,0.01}))/SUM({0.077,0.071,0.065,0.06,0.055,0.051,0.047,0.043,0.039,0.036,0.033,0.031,0.028,0.026,0.024,0.022,0.02,0.018,0.017,0.016,0.014,0.013,0.012,0.011,0.01}),""))</f>
        <v>1413.2288438617397</v>
      </c>
      <c r="AD146" s="404" t="str">
        <f>IF(OR(C146="",AB146="",AC146=""),"",IF(AND(E146&gt;AB146,AB146&gt;AC146),"パーフェクト▲",IF(E146&gt;AC146,"上昇トレンド▲",IF(AND(E146&lt;AB146,AB146&lt;AC146),"下降トレンド▼","もみ合い→"))))</f>
        <v>パーフェクト▲</v>
      </c>
      <c r="AE146" s="404" t="str">
        <f>IF(OR(C146="",AB146="",AC146=""),"",IF(AND(ABS(E146-AC146)/AC146&lt;=0.02,E146&gt;AC146),"25日押し目★",IF(AND(ABS(E146-AB146)/AB146&lt;=0.01,E146&gt;AB146),"5日押し目○","なし")))</f>
        <v>なし</v>
      </c>
      <c r="AF146" s="365">
        <f t="array" ref="AF146">IF(C146="","",IFERROR((INDEX(終値!$E:$E,MATCH(TEXT(C146,"0"),終値!$A:$A,0))-INDEX(終値!$E:$CZ,MATCH(TEXT(C146,"0"),終値!$A:$A,0),$AL$2))/INDEX(終値!$E:$CZ,MATCH(TEXT(C146,"0"),終値!$A:$A,0),$AL$2)*100,""))</f>
        <v>-5.2452137424600052E-2</v>
      </c>
      <c r="AG146" s="365">
        <f t="array" ref="AG146">IFERROR((終値!$E$5-INDEX(終値!$E$5:$IT$5,1,$AL$2))/INDEX(終値!$E$5:$IT$5,1,$AL$2)*100,"")</f>
        <v>1.0179378228534113</v>
      </c>
      <c r="AH146" s="366">
        <f>IF(OR(AF146="",AG146=""),"",AF146-AG146)</f>
        <v>-1.0703899602780114</v>
      </c>
      <c r="AI146" s="364">
        <f>IF(AH146="","",IF(AH146&gt;5,3,IF(AH146&gt;0,1,IF(AH146&gt;-3,-1,-2))))</f>
        <v>-1</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1300</v>
      </c>
      <c r="F147" s="166">
        <f>IF(C147&lt;&gt;"",_xll.RssMarket(C147,"始値"),"")</f>
        <v>1272</v>
      </c>
      <c r="G147" s="165">
        <f>IF(C147&lt;&gt;"",終値!F29,"")</f>
        <v>1283</v>
      </c>
      <c r="H147" s="166">
        <f>IF(C147&lt;&gt;"",_xll.RssMarket(C147,"高値"),"")</f>
        <v>1300</v>
      </c>
      <c r="I147" s="166">
        <f>IF(C147&lt;&gt;"",_xll.RssMarket(C147,"安値"),"")</f>
        <v>1271</v>
      </c>
      <c r="J147" s="166">
        <f>IF(C147&lt;&gt;"",_xll.RssMarket(C147,"出来高"),"")</f>
        <v>6473400</v>
      </c>
      <c r="K147" s="166">
        <f>IF(C147&lt;&gt;"",_xll.RssMarket(C147,"年初来高値"),"")</f>
        <v>1552.5</v>
      </c>
      <c r="L147" s="167">
        <f>IF(AND(E147&lt;&gt;"",K147&lt;&gt;"",K147&lt;&gt;0),(E147-K147)/K147*100,"")</f>
        <v>-16.264090177133657</v>
      </c>
      <c r="M147" s="166">
        <f>IF(C147&lt;&gt;"",IFERROR(AVERAGE(出来高!E29:I29),""),"")</f>
        <v>7169920</v>
      </c>
      <c r="N147" s="166">
        <f>IF(C147&lt;&gt;"",IFERROR(AVERAGE(出来高!E29:AC29),""),"")</f>
        <v>6764208</v>
      </c>
      <c r="O147" s="168">
        <f>IF(AND(J147&lt;&gt;"",M147&lt;&gt;"",M147&lt;&gt;0),J147/M147,"")</f>
        <v>0.90285526198339727</v>
      </c>
      <c r="P147" s="163" t="str">
        <f>IF(O147="","",IF(O147&gt;=2,"急増↑↑",IF(O147&gt;=1.5,"増加↑",IF(O147&gt;=1,"普通→","減少↓"))))</f>
        <v>減少↓</v>
      </c>
      <c r="Q147" s="163" t="str">
        <f>IF(E147="","",IF(AND(E147&gt;G147,O147&gt;=1.5),"買い▲",IF(E147&lt;G147,"様子見▼","中立→")))</f>
        <v>中立→</v>
      </c>
      <c r="R147" s="166">
        <f>IF(E147&lt;&gt;"",ROUND(E147*1.08,0),"")</f>
        <v>1404</v>
      </c>
      <c r="S147" s="166">
        <f>IF(E147&lt;&gt;"",ROUND(E147*0.96,0),"")</f>
        <v>1248</v>
      </c>
      <c r="T147" s="163">
        <f>IF(C147="","",IFERROR(IF(O147&gt;=2,3,IF(O147&gt;=1.5,2,IF(O147&gt;=1,1,0)))+IF(E147&gt;G147,1,0)+IF(L147&gt;=-5,1,0)+IF(Q147="買い▲",2,0)+IF(W147&lt;=30,3,IF(W147&lt;=40,2,IF(AND(W147&gt;=40,W147&lt;=60),1,0)))+IF(X147&gt;0,1,0)+IF(V147="年初来高値更新●",3,IF(V147="高値圏",2,0))+IF(AD147="パーフェクト▲",3,IF(AD147="上昇トレンド▲",2,0))+IF(AE147="25日線押し目●",2,IF(AE147="5日線押し目○",1,0))+IF(P147="急増↑↑",2,IF(P147="増加↑",1,0))+N(AI147),0))</f>
        <v>9</v>
      </c>
      <c r="U147" s="163" t="str">
        <f>IF(T147="","",IF(AND(T147&gt;=3,O147&gt;=1.5),"有効",IF(T147&gt;=3,"要確認","除外")))</f>
        <v>要確認</v>
      </c>
      <c r="V147" s="163" t="str">
        <f>IF(AND(H147&lt;&gt;"",K147&lt;&gt;""),IF(H147&gt;=K147,"年初来高値更新●",IF(H147&gt;=K147*0.95,"高値圏","通常")),"")</f>
        <v>通常</v>
      </c>
      <c r="W147" s="169">
        <f t="array" ref="W147">IF(C147&lt;&gt;"",IFERROR(100-100/(1+SUMPRODUCT((終値!F29:R29&gt;終値!G29:S29)*( 終値!F29:R29-終値!G29:S29))/SUMPRODUCT((終値!F29:R29&lt;終値!G29:S29)*(終値!G29:S29-終値!F29:R29))),50),"")</f>
        <v>50</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△注目</v>
      </c>
      <c r="Z147" s="171">
        <f>IF(AND(E147&lt;&gt;"",G147&lt;&gt;"",G147&lt;&gt;0),(E147-G147)/G147*100,"")</f>
        <v>1.3250194855806703</v>
      </c>
      <c r="AA147" s="163" t="str">
        <f>IF(OR(C147="",E147="",E147=0),"",IF(E147&gt;G147,"上昇▲",IF(E147&lt;G147,"下落▼","横ばい→")))</f>
        <v>上昇▲</v>
      </c>
      <c r="AB147" s="405">
        <f>IF(C147="","",IFERROR(((終値!E149*0.333)+(終値!F149*0.222)+(終値!G149*0.148)+(終値!H149*0.099)+(終値!I149*0.066)+(終値!J149*0.044)+(終値!K149*0.029)+(終値!L149*0.019)+(終値!M149*0.013)+(終値!N149*0.009))/(0.333+0.222+0.148+0.099+0.066+0.044+0.029+0.019+0.013+0.009),""))</f>
        <v>644.86252545824834</v>
      </c>
      <c r="AC147" s="405">
        <f>IF(C147="","",IFERROR(SUMPRODUCT((終値!E149:AC149),({0.077,0.071,0.065,0.06,0.055,0.051,0.047,0.043,0.039,0.036,0.033,0.031,0.028,0.026,0.024,0.022,0.02,0.018,0.017,0.016,0.014,0.013,0.012,0.011,0.01}))/SUM({0.077,0.071,0.065,0.06,0.055,0.051,0.047,0.043,0.039,0.036,0.033,0.031,0.028,0.026,0.024,0.022,0.02,0.018,0.017,0.016,0.014,0.013,0.012,0.011,0.01}),""))</f>
        <v>201.90584028605477</v>
      </c>
      <c r="AD147" s="406" t="str">
        <f>IF(OR(C147="",AB147="",AC147=""),"",IF(AND(E147&gt;AB147,AB147&gt;AC147),"パーフェクト▲",IF(E147&gt;AC147,"上昇トレンド▲",IF(AND(E147&lt;AB147,AB147&lt;AC147),"下降トレンド▼","もみ合い→"))))</f>
        <v>パーフェクト▲</v>
      </c>
      <c r="AE147" s="406" t="str">
        <f>IF(OR(C147="",AB147="",AC147=""),"",IF(AND(ABS(E147-AC147)/AC147&lt;=0.02,E147&gt;AC147),"25日押し目★",IF(AND(ABS(E147-AB147)/AB147&lt;=0.01,E147&gt;AB147),"5日押し目○","なし")))</f>
        <v>なし</v>
      </c>
      <c r="AF147" s="365">
        <f t="array" ref="AF147">IF(C147="","",IFERROR((INDEX(終値!$E:$E,MATCH(TEXT(C147,"0"),終値!$A:$A,0))-INDEX(終値!$E:$CZ,MATCH(TEXT(C147,"0"),終値!$A:$A,0),$AL$2))/INDEX(終値!$E:$CZ,MATCH(TEXT(C147,"0"),終値!$A:$A,0),$AL$2)*100,""))</f>
        <v>7.839070924927416</v>
      </c>
      <c r="AG147" s="365">
        <f t="array" ref="AG147">IFERROR((終値!$E$5-INDEX(終値!$E$5:$IT$5,1,$AL$2))/INDEX(終値!$E$5:$IT$5,1,$AL$2)*100,"")</f>
        <v>1.0179378228534113</v>
      </c>
      <c r="AH147" s="366">
        <f>IF(OR(AF147="",AG147=""),"",AF147-AG147)</f>
        <v>6.8211331020740049</v>
      </c>
      <c r="AI147" s="364">
        <f>IF(AH147="","",IF(AH147&gt;5,3,IF(AH147&gt;0,1,IF(AH147&gt;-3,-1,-2))))</f>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1258.5</v>
      </c>
      <c r="F148" s="166">
        <f>IF(C148&lt;&gt;"",_xll.RssMarket(C148,"始値"),"")</f>
        <v>1230</v>
      </c>
      <c r="G148" s="165">
        <f>IF(C148&lt;&gt;"",終値!F24,"")</f>
        <v>1241</v>
      </c>
      <c r="H148" s="166">
        <f>IF(C148&lt;&gt;"",_xll.RssMarket(C148,"高値"),"")</f>
        <v>1265</v>
      </c>
      <c r="I148" s="166">
        <f>IF(C148&lt;&gt;"",_xll.RssMarket(C148,"安値"),"")</f>
        <v>1228</v>
      </c>
      <c r="J148" s="166">
        <f>IF(C148&lt;&gt;"",_xll.RssMarket(C148,"出来高"),"")</f>
        <v>3226200</v>
      </c>
      <c r="K148" s="166">
        <f>IF(C148&lt;&gt;"",_xll.RssMarket(C148,"年初来高値"),"")</f>
        <v>1671</v>
      </c>
      <c r="L148" s="167">
        <f>IF(AND(E148&lt;&gt;"",K148&lt;&gt;"",K148&lt;&gt;0),(E148-K148)/K148*100,"")</f>
        <v>-24.685816876122082</v>
      </c>
      <c r="M148" s="166">
        <f>IF(C148&lt;&gt;"",IFERROR(AVERAGE(出来高!E24:I24),""),"")</f>
        <v>3579260</v>
      </c>
      <c r="N148" s="166">
        <f>IF(C148&lt;&gt;"",IFERROR(AVERAGE(出来高!E24:AC24),""),"")</f>
        <v>3500392</v>
      </c>
      <c r="O148" s="168">
        <f>IF(AND(J148&lt;&gt;"",M148&lt;&gt;"",M148&lt;&gt;0),J148/M148,"")</f>
        <v>0.90135949889083222</v>
      </c>
      <c r="P148" s="163" t="str">
        <f>IF(O148="","",IF(O148&gt;=2,"急増↑↑",IF(O148&gt;=1.5,"増加↑",IF(O148&gt;=1,"普通→","減少↓"))))</f>
        <v>減少↓</v>
      </c>
      <c r="Q148" s="163" t="str">
        <f>IF(E148="","",IF(AND(E148&gt;G148,O148&gt;=1.5),"買い▲",IF(E148&lt;G148,"様子見▼","中立→")))</f>
        <v>中立→</v>
      </c>
      <c r="R148" s="166">
        <f>IF(E148&lt;&gt;"",ROUND(E148*1.08,0),"")</f>
        <v>1359</v>
      </c>
      <c r="S148" s="166">
        <f>IF(E148&lt;&gt;"",ROUND(E148*0.96,0),"")</f>
        <v>1208</v>
      </c>
      <c r="T148" s="163">
        <f>IF(C148="","",IFERROR(IF(O148&gt;=2,3,IF(O148&gt;=1.5,2,IF(O148&gt;=1,1,0)))+IF(E148&gt;G148,1,0)+IF(L148&gt;=-5,1,0)+IF(Q148="買い▲",2,0)+IF(W148&lt;=30,3,IF(W148&lt;=40,2,IF(AND(W148&gt;=40,W148&lt;=60),1,0)))+IF(X148&gt;0,1,0)+IF(V148="年初来高値更新●",3,IF(V148="高値圏",2,0))+IF(AD148="パーフェクト▲",3,IF(AD148="上昇トレンド▲",2,0))+IF(AE148="25日線押し目●",2,IF(AE148="5日線押し目○",1,0))+IF(P148="急増↑↑",2,IF(P148="増加↑",1,0))+N(AI148),0))</f>
        <v>6</v>
      </c>
      <c r="U148" s="163" t="str">
        <f>IF(T148="","",IF(AND(T148&gt;=3,O148&gt;=1.5),"有効",IF(T148&gt;=3,"要確認","除外")))</f>
        <v>要確認</v>
      </c>
      <c r="V148" s="163" t="str">
        <f>IF(AND(H148&lt;&gt;"",K148&lt;&gt;""),IF(H148&gt;=K148,"年初来高値更新●",IF(H148&gt;=K148*0.95,"高値圏","通常")),"")</f>
        <v>通常</v>
      </c>
      <c r="W148" s="169">
        <f t="array" ref="W148">IF(C148&lt;&gt;"",IFERROR(100-100/(1+SUMPRODUCT((終値!F24:R24&gt;終値!G24:S24)*( 終値!F24:R24-終値!G24:S24))/SUMPRODUCT((終値!F24:R24&lt;終値!G24:S24)*(終値!G24:S24-終値!F24:R24))),50),"")</f>
        <v>42.495126705653021</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△注目</v>
      </c>
      <c r="Z148" s="171">
        <f>IF(AND(E148&lt;&gt;"",G148&lt;&gt;"",G148&lt;&gt;0),(E148-G148)/G148*100,"")</f>
        <v>1.4101531023368252</v>
      </c>
      <c r="AA148" s="163" t="str">
        <f>IF(OR(C148="",E148="",E148=0),"",IF(E148&gt;G148,"上昇▲",IF(E148&lt;G148,"下落▼","横ばい→")))</f>
        <v>上昇▲</v>
      </c>
      <c r="AB148" s="403">
        <f>IF(C148="","",IFERROR(((終値!E150*0.333)+(終値!F150*0.222)+(終値!G150*0.148)+(終値!H150*0.099)+(終値!I150*0.066)+(終値!J150*0.044)+(終値!K150*0.029)+(終値!L150*0.019)+(終値!M150*0.013)+(終値!N150*0.009))/(0.333+0.222+0.148+0.099+0.066+0.044+0.029+0.019+0.013+0.009),""))</f>
        <v>4754.8513238289179</v>
      </c>
      <c r="AC148" s="403">
        <f>IF(C148="","",IFERROR(SUMPRODUCT((終値!E150:AC150),({0.077,0.071,0.065,0.06,0.055,0.051,0.047,0.043,0.039,0.036,0.033,0.031,0.028,0.026,0.024,0.022,0.02,0.018,0.017,0.016,0.014,0.013,0.012,0.011,0.01}))/SUM({0.077,0.071,0.065,0.06,0.055,0.051,0.047,0.043,0.039,0.036,0.033,0.031,0.028,0.026,0.024,0.022,0.02,0.018,0.017,0.016,0.014,0.013,0.012,0.011,0.01}),""))</f>
        <v>4952.6019070321809</v>
      </c>
      <c r="AD148" s="404" t="str">
        <f>IF(OR(C148="",AB148="",AC148=""),"",IF(AND(E148&gt;AB148,AB148&gt;AC148),"パーフェクト▲",IF(E148&gt;AC148,"上昇トレンド▲",IF(AND(E148&lt;AB148,AB148&lt;AC148),"下降トレンド▼","もみ合い→"))))</f>
        <v>下降トレンド▼</v>
      </c>
      <c r="AE148" s="404" t="str">
        <f>IF(OR(C148="",AB148="",AC148=""),"",IF(AND(ABS(E148-AC148)/AC148&lt;=0.02,E148&gt;AC148),"25日押し目★",IF(AND(ABS(E148-AB148)/AB148&lt;=0.01,E148&gt;AB148),"5日押し目○","なし")))</f>
        <v>なし</v>
      </c>
      <c r="AF148" s="365">
        <f t="array" ref="AF148">IF(C148="","",IFERROR((INDEX(終値!$E:$E,MATCH(TEXT(C148,"0"),終値!$A:$A,0))-INDEX(終値!$E:$CZ,MATCH(TEXT(C148,"0"),終値!$A:$A,0),$AL$2))/INDEX(終値!$E:$CZ,MATCH(TEXT(C148,"0"),終値!$A:$A,0),$AL$2)*100,""))</f>
        <v>6.0682680151706698</v>
      </c>
      <c r="AG148" s="365">
        <f t="array" ref="AG148">IFERROR((終値!$E$5-INDEX(終値!$E$5:$IT$5,1,$AL$2))/INDEX(終値!$E$5:$IT$5,1,$AL$2)*100,"")</f>
        <v>1.0179378228534113</v>
      </c>
      <c r="AH148" s="366">
        <f>IF(OR(AF148="",AG148=""),"",AF148-AG148)</f>
        <v>5.0503301923172588</v>
      </c>
      <c r="AI148" s="364">
        <f>IF(AH148="","",IF(AH148&gt;5,3,IF(AH148&gt;0,1,IF(AH148&gt;-3,-1,-2))))</f>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3096</v>
      </c>
      <c r="F149" s="166">
        <f>IF(C149&lt;&gt;"",_xll.RssMarket(C149,"始値"),"")</f>
        <v>3151</v>
      </c>
      <c r="G149" s="165">
        <f>IF(C149&lt;&gt;"",終値!F69,"")</f>
        <v>3291</v>
      </c>
      <c r="H149" s="166">
        <f>IF(C149&lt;&gt;"",_xll.RssMarket(C149,"高値"),"")</f>
        <v>3263</v>
      </c>
      <c r="I149" s="166">
        <f>IF(C149&lt;&gt;"",_xll.RssMarket(C149,"安値"),"")</f>
        <v>3056</v>
      </c>
      <c r="J149" s="166">
        <f>IF(C149&lt;&gt;"",_xll.RssMarket(C149,"出来高"),"")</f>
        <v>3146400</v>
      </c>
      <c r="K149" s="166">
        <f>IF(C149&lt;&gt;"",_xll.RssMarket(C149,"年初来高値"),"")</f>
        <v>5228</v>
      </c>
      <c r="L149" s="167">
        <f>IF(AND(E149&lt;&gt;"",K149&lt;&gt;"",K149&lt;&gt;0),(E149-K149)/K149*100,"")</f>
        <v>-40.780413159908186</v>
      </c>
      <c r="M149" s="166">
        <f>IF(C149&lt;&gt;"",IFERROR(AVERAGE(出来高!E69:I69),""),"")</f>
        <v>2912260</v>
      </c>
      <c r="N149" s="166">
        <f>IF(C149&lt;&gt;"",IFERROR(AVERAGE(出来高!E69:AC69),""),"")</f>
        <v>1896376</v>
      </c>
      <c r="O149" s="168">
        <f>IF(AND(J149&lt;&gt;"",M149&lt;&gt;"",M149&lt;&gt;0),J149/M149,"")</f>
        <v>1.0803980413836676</v>
      </c>
      <c r="P149" s="163" t="str">
        <f>IF(O149="","",IF(O149&gt;=2,"急増↑↑",IF(O149&gt;=1.5,"増加↑",IF(O149&gt;=1,"普通→","減少↓"))))</f>
        <v>普通→</v>
      </c>
      <c r="Q149" s="163" t="str">
        <f>IF(E149="","",IF(AND(E149&gt;G149,O149&gt;=1.5),"買い▲",IF(E149&lt;G149,"様子見▼","中立→")))</f>
        <v>様子見▼</v>
      </c>
      <c r="R149" s="166">
        <f>IF(E149&lt;&gt;"",ROUND(E149*1.08,0),"")</f>
        <v>3344</v>
      </c>
      <c r="S149" s="166">
        <f>IF(E149&lt;&gt;"",ROUND(E149*0.96,0),"")</f>
        <v>2972</v>
      </c>
      <c r="T149" s="163">
        <f>IF(C149="","",IFERROR(IF(O149&gt;=2,3,IF(O149&gt;=1.5,2,IF(O149&gt;=1,1,0)))+IF(E149&gt;G149,1,0)+IF(L149&gt;=-5,1,0)+IF(Q149="買い▲",2,0)+IF(W149&lt;=30,3,IF(W149&lt;=40,2,IF(AND(W149&gt;=40,W149&lt;=60),1,0)))+IF(X149&gt;0,1,0)+IF(V149="年初来高値更新●",3,IF(V149="高値圏",2,0))+IF(AD149="パーフェクト▲",3,IF(AD149="上昇トレンド▲",2,0))+IF(AE149="25日線押し目●",2,IF(AE149="5日線押し目○",1,0))+IF(P149="急増↑↑",2,IF(P149="増加↑",1,0))+N(AI149),0))</f>
        <v>1</v>
      </c>
      <c r="U149" s="163" t="str">
        <f>IF(T149="","",IF(AND(T149&gt;=3,O149&gt;=1.5),"有効",IF(T149&gt;=3,"要確認","除外")))</f>
        <v>除外</v>
      </c>
      <c r="V149" s="163" t="str">
        <f>IF(AND(H149&lt;&gt;"",K149&lt;&gt;""),IF(H149&gt;=K149,"年初来高値更新●",IF(H149&gt;=K149*0.95,"高値圏","通常")),"")</f>
        <v>通常</v>
      </c>
      <c r="W149" s="169">
        <f t="array" ref="W149">IF(C149&lt;&gt;"",IFERROR(100-100/(1+SUMPRODUCT((終値!F69:R69&gt;終値!G69:S69)*( 終値!F69:R69-終値!G69:S69))/SUMPRODUCT((終値!F69:R69&lt;終値!G69:S69)*(終値!G69:S69-終値!F69:R69))),50),"")</f>
        <v>32.526881720430111</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見送り</v>
      </c>
      <c r="Z149" s="171">
        <f>IF(AND(E149&lt;&gt;"",G149&lt;&gt;"",G149&lt;&gt;0),(E149-G149)/G149*100,"")</f>
        <v>-5.9252506836827719</v>
      </c>
      <c r="AA149" s="163" t="str">
        <f>IF(OR(C149="",E149="",E149=0),"",IF(E149&gt;G149,"上昇▲",IF(E149&lt;G149,"下落▼","横ばい→")))</f>
        <v>下落▼</v>
      </c>
      <c r="AB149" s="405">
        <f>IF(C149="","",IFERROR(((終値!E151*0.333)+(終値!F151*0.222)+(終値!G151*0.148)+(終値!H151*0.099)+(終値!I151*0.066)+(終値!J151*0.044)+(終値!K151*0.029)+(終値!L151*0.019)+(終値!M151*0.013)+(終値!N151*0.009))/(0.333+0.222+0.148+0.099+0.066+0.044+0.029+0.019+0.013+0.009),""))</f>
        <v>5730.1221995926671</v>
      </c>
      <c r="AC149" s="405">
        <f>IF(C149="","",IFERROR(SUMPRODUCT((終値!E151:AC151),({0.077,0.071,0.065,0.06,0.055,0.051,0.047,0.043,0.039,0.036,0.033,0.031,0.028,0.026,0.024,0.022,0.02,0.018,0.017,0.016,0.014,0.013,0.012,0.011,0.01}))/SUM({0.077,0.071,0.065,0.06,0.055,0.051,0.047,0.043,0.039,0.036,0.033,0.031,0.028,0.026,0.024,0.022,0.02,0.018,0.017,0.016,0.014,0.013,0.012,0.011,0.01}),""))</f>
        <v>5485.3039332538719</v>
      </c>
      <c r="AD149" s="406" t="str">
        <f>IF(OR(C149="",AB149="",AC149=""),"",IF(AND(E149&gt;AB149,AB149&gt;AC149),"パーフェクト▲",IF(E149&gt;AC149,"上昇トレンド▲",IF(AND(E149&lt;AB149,AB149&lt;AC149),"下降トレンド▼","もみ合い→"))))</f>
        <v>もみ合い→</v>
      </c>
      <c r="AE149" s="406" t="str">
        <f>IF(OR(C149="",AB149="",AC149=""),"",IF(AND(ABS(E149-AC149)/AC149&lt;=0.02,E149&gt;AC149),"25日押し目★",IF(AND(ABS(E149-AB149)/AB149&lt;=0.01,E149&gt;AB149),"5日押し目○","なし")))</f>
        <v>なし</v>
      </c>
      <c r="AF149" s="365">
        <f t="array" ref="AF149">IF(C149="","",IFERROR((INDEX(終値!$E:$E,MATCH(TEXT(C149,"0"),終値!$A:$A,0))-INDEX(終値!$E:$CZ,MATCH(TEXT(C149,"0"),終値!$A:$A,0),$AL$2))/INDEX(終値!$E:$CZ,MATCH(TEXT(C149,"0"),終値!$A:$A,0),$AL$2)*100,""))</f>
        <v>-26.33832976445396</v>
      </c>
      <c r="AG149" s="365">
        <f t="array" ref="AG149">IFERROR((終値!$E$5-INDEX(終値!$E$5:$IT$5,1,$AL$2))/INDEX(終値!$E$5:$IT$5,1,$AL$2)*100,"")</f>
        <v>1.0179378228534113</v>
      </c>
      <c r="AH149" s="366">
        <f>IF(OR(AF149="",AG149=""),"",AF149-AG149)</f>
        <v>-27.356267587307372</v>
      </c>
      <c r="AI149" s="364">
        <f>IF(AH149="","",IF(AH149&gt;5,3,IF(AH149&gt;0,1,IF(AH149&gt;-3,-1,-2))))</f>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24320</v>
      </c>
      <c r="F150" s="166">
        <f>IF(C150&lt;&gt;"",_xll.RssMarket(C150,"始値"),"")</f>
        <v>25000</v>
      </c>
      <c r="G150" s="165">
        <f>IF(C150&lt;&gt;"",終値!F196,"")</f>
        <v>25500</v>
      </c>
      <c r="H150" s="166">
        <f>IF(C150&lt;&gt;"",_xll.RssMarket(C150,"高値"),"")</f>
        <v>25610</v>
      </c>
      <c r="I150" s="166">
        <f>IF(C150&lt;&gt;"",_xll.RssMarket(C150,"安値"),"")</f>
        <v>24000</v>
      </c>
      <c r="J150" s="166">
        <f>IF(C150&lt;&gt;"",_xll.RssMarket(C150,"出来高"),"")</f>
        <v>106500</v>
      </c>
      <c r="K150" s="166">
        <f>IF(C150&lt;&gt;"",_xll.RssMarket(C150,"年初来高値"),"")</f>
        <v>28430</v>
      </c>
      <c r="L150" s="167">
        <f>IF(AND(E150&lt;&gt;"",K150&lt;&gt;"",K150&lt;&gt;0),(E150-K150)/K150*100,"")</f>
        <v>-14.456559971860711</v>
      </c>
      <c r="M150" s="166">
        <f>IF(C150&lt;&gt;"",IFERROR(AVERAGE(出来高!E196:I196),""),"")</f>
        <v>102540</v>
      </c>
      <c r="N150" s="166">
        <f>IF(C150&lt;&gt;"",IFERROR(AVERAGE(出来高!E196:AC196),""),"")</f>
        <v>85104</v>
      </c>
      <c r="O150" s="168">
        <f>IF(AND(J150&lt;&gt;"",M150&lt;&gt;"",M150&lt;&gt;0),J150/M150,"")</f>
        <v>1.0386190754827385</v>
      </c>
      <c r="P150" s="163" t="str">
        <f>IF(O150="","",IF(O150&gt;=2,"急増↑↑",IF(O150&gt;=1.5,"増加↑",IF(O150&gt;=1,"普通→","減少↓"))))</f>
        <v>普通→</v>
      </c>
      <c r="Q150" s="163" t="str">
        <f>IF(E150="","",IF(AND(E150&gt;G150,O150&gt;=1.5),"買い▲",IF(E150&lt;G150,"様子見▼","中立→")))</f>
        <v>様子見▼</v>
      </c>
      <c r="R150" s="166">
        <f>IF(E150&lt;&gt;"",ROUND(E150*1.08,0),"")</f>
        <v>26266</v>
      </c>
      <c r="S150" s="166">
        <f>IF(E150&lt;&gt;"",ROUND(E150*0.96,0),"")</f>
        <v>23347</v>
      </c>
      <c r="T150" s="163">
        <f>IF(C150="","",IFERROR(IF(O150&gt;=2,3,IF(O150&gt;=1.5,2,IF(O150&gt;=1,1,0)))+IF(E150&gt;G150,1,0)+IF(L150&gt;=-5,1,0)+IF(Q150="買い▲",2,0)+IF(W150&lt;=30,3,IF(W150&lt;=40,2,IF(AND(W150&gt;=40,W150&lt;=60),1,0)))+IF(X150&gt;0,1,0)+IF(V150="年初来高値更新●",3,IF(V150="高値圏",2,0))+IF(AD150="パーフェクト▲",3,IF(AD150="上昇トレンド▲",2,0))+IF(AE150="25日線押し目●",2,IF(AE150="5日線押し目○",1,0))+IF(P150="急増↑↑",2,IF(P150="増加↑",1,0))+N(AI150),0))</f>
        <v>3</v>
      </c>
      <c r="U150" s="163" t="str">
        <f>IF(T150="","",IF(AND(T150&gt;=3,O150&gt;=1.5),"有効",IF(T150&gt;=3,"要確認","除外")))</f>
        <v>要確認</v>
      </c>
      <c r="V150" s="163" t="str">
        <f>IF(AND(H150&lt;&gt;"",K150&lt;&gt;""),IF(H150&gt;=K150,"年初来高値更新●",IF(H150&gt;=K150*0.95,"高値圏","通常")),"")</f>
        <v>通常</v>
      </c>
      <c r="W150" s="169">
        <f t="array" ref="W150">IF(C150&lt;&gt;"",IFERROR(100-100/(1+SUMPRODUCT((終値!F196:R196&gt;終値!G196:S196)*( 終値!F196:R196-終値!G196:S196))/SUMPRODUCT((終値!F196:R196&lt;終値!G196:S196)*(終値!G196:S196-終値!F196:R196))),50),"")</f>
        <v>50.985027580772261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様子見</v>
      </c>
      <c r="Z150" s="171">
        <f>IF(AND(E150&lt;&gt;"",G150&lt;&gt;"",G150&lt;&gt;0),(E150-G150)/G150*100,"")</f>
        <v>-4.6274509803921564</v>
      </c>
      <c r="AA150" s="163" t="str">
        <f>IF(OR(C150="",E150="",E150=0),"",IF(E150&gt;G150,"上昇▲",IF(E150&lt;G150,"下落▼","横ばい→")))</f>
        <v>下落▼</v>
      </c>
      <c r="AB150" s="403">
        <f>IF(C150="","",IFERROR(((終値!E152*0.333)+(終値!F152*0.222)+(終値!G152*0.148)+(終値!H152*0.099)+(終値!I152*0.066)+(終値!J152*0.044)+(終値!K152*0.029)+(終値!L152*0.019)+(終値!M152*0.013)+(終値!N152*0.009))/(0.333+0.222+0.148+0.099+0.066+0.044+0.029+0.019+0.013+0.009),""))</f>
        <v>1162.1955193482684</v>
      </c>
      <c r="AC150" s="403">
        <f>IF(C150="","",IFERROR(SUMPRODUCT((終値!E152:AC152),({0.077,0.071,0.065,0.06,0.055,0.051,0.047,0.043,0.039,0.036,0.033,0.031,0.028,0.026,0.024,0.022,0.02,0.018,0.017,0.016,0.014,0.013,0.012,0.011,0.01}))/SUM({0.077,0.071,0.065,0.06,0.055,0.051,0.047,0.043,0.039,0.036,0.033,0.031,0.028,0.026,0.024,0.022,0.02,0.018,0.017,0.016,0.014,0.013,0.012,0.011,0.01}),""))</f>
        <v>1124.6889153754464</v>
      </c>
      <c r="AD150" s="404" t="str">
        <f>IF(OR(C150="",AB150="",AC150=""),"",IF(AND(E150&gt;AB150,AB150&gt;AC150),"パーフェクト▲",IF(E150&gt;AC150,"上昇トレンド▲",IF(AND(E150&lt;AB150,AB150&lt;AC150),"下降トレンド▼","もみ合い→"))))</f>
        <v>パーフェクト▲</v>
      </c>
      <c r="AE150" s="404" t="str">
        <f>IF(OR(C150="",AB150="",AC150=""),"",IF(AND(ABS(E150-AC150)/AC150&lt;=0.02,E150&gt;AC150),"25日押し目★",IF(AND(ABS(E150-AB150)/AB150&lt;=0.01,E150&gt;AB150),"5日押し目○","なし")))</f>
        <v>なし</v>
      </c>
      <c r="AF150" s="365">
        <f t="array" ref="AF150">IF(C150="","",IFERROR((INDEX(終値!$E:$E,MATCH(TEXT(C150,"0"),終値!$A:$A,0))-INDEX(終値!$E:$CZ,MATCH(TEXT(C150,"0"),終値!$A:$A,0),$AL$2))/INDEX(終値!$E:$CZ,MATCH(TEXT(C150,"0"),終値!$A:$A,0),$AL$2)*100,""))</f>
        <v>-11.915972473741398</v>
      </c>
      <c r="AG150" s="365">
        <f t="array" ref="AG150">IFERROR((終値!$E$5-INDEX(終値!$E$5:$IT$5,1,$AL$2))/INDEX(終値!$E$5:$IT$5,1,$AL$2)*100,"")</f>
        <v>1.0179378228534113</v>
      </c>
      <c r="AH150" s="366">
        <f>IF(OR(AF150="",AG150=""),"",AF150-AG150)</f>
        <v>-12.93391029659481</v>
      </c>
      <c r="AI150" s="364">
        <f>IF(AH150="","",IF(AH150&gt;5,3,IF(AH150&gt;0,1,IF(AH150&gt;-3,-1,-2))))</f>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313</v>
      </c>
      <c r="F151" s="166">
        <f>IF(C151&lt;&gt;"",_xll.RssMarket(C151,"始値"),"")</f>
        <v>312</v>
      </c>
      <c r="G151" s="165">
        <f>IF(C151&lt;&gt;"",終値!F146,"")</f>
        <v>315</v>
      </c>
      <c r="H151" s="166">
        <f>IF(C151&lt;&gt;"",_xll.RssMarket(C151,"高値"),"")</f>
        <v>315</v>
      </c>
      <c r="I151" s="166">
        <f>IF(C151&lt;&gt;"",_xll.RssMarket(C151,"安値"),"")</f>
        <v>309</v>
      </c>
      <c r="J151" s="166">
        <f>IF(C151&lt;&gt;"",_xll.RssMarket(C151,"出来高"),"")</f>
        <v>80900</v>
      </c>
      <c r="K151" s="166">
        <f>IF(C151&lt;&gt;"",_xll.RssMarket(C151,"年初来高値"),"")</f>
        <v>995</v>
      </c>
      <c r="L151" s="167">
        <f>IF(AND(E151&lt;&gt;"",K151&lt;&gt;"",K151&lt;&gt;0),(E151-K151)/K151*100,"")</f>
        <v>-68.542713567839201</v>
      </c>
      <c r="M151" s="166">
        <f>IF(C151&lt;&gt;"",IFERROR(AVERAGE(出来高!E146:I146),""),"")</f>
        <v>162220</v>
      </c>
      <c r="N151" s="166">
        <f>IF(C151&lt;&gt;"",IFERROR(AVERAGE(出来高!E146:AC146),""),"")</f>
        <v>220876</v>
      </c>
      <c r="O151" s="168">
        <f>IF(AND(J151&lt;&gt;"",M151&lt;&gt;"",M151&lt;&gt;0),J151/M151,"")</f>
        <v>0.49870546171865365</v>
      </c>
      <c r="P151" s="163" t="str">
        <f>IF(O151="","",IF(O151&gt;=2,"急増↑↑",IF(O151&gt;=1.5,"増加↑",IF(O151&gt;=1,"普通→","減少↓"))))</f>
        <v>減少↓</v>
      </c>
      <c r="Q151" s="163" t="str">
        <f>IF(E151="","",IF(AND(E151&gt;G151,O151&gt;=1.5),"買い▲",IF(E151&lt;G151,"様子見▼","中立→")))</f>
        <v>様子見▼</v>
      </c>
      <c r="R151" s="166">
        <f>IF(E151&lt;&gt;"",ROUND(E151*1.08,0),"")</f>
        <v>338</v>
      </c>
      <c r="S151" s="166">
        <f>IF(E151&lt;&gt;"",ROUND(E151*0.96,0),"")</f>
        <v>300</v>
      </c>
      <c r="T151" s="163">
        <f>IF(C151="","",IFERROR(IF(O151&gt;=2,3,IF(O151&gt;=1.5,2,IF(O151&gt;=1,1,0)))+IF(E151&gt;G151,1,0)+IF(L151&gt;=-5,1,0)+IF(Q151="買い▲",2,0)+IF(W151&lt;=30,3,IF(W151&lt;=40,2,IF(AND(W151&gt;=40,W151&lt;=60),1,0)))+IF(X151&gt;0,1,0)+IF(V151="年初来高値更新●",3,IF(V151="高値圏",2,0))+IF(AD151="パーフェクト▲",3,IF(AD151="上昇トレンド▲",2,0))+IF(AE151="25日線押し目●",2,IF(AE151="5日線押し目○",1,0))+IF(P151="急増↑↑",2,IF(P151="増加↑",1,0))+N(AI151),0))</f>
        <v>3</v>
      </c>
      <c r="U151" s="163" t="str">
        <f>IF(T151="","",IF(AND(T151&gt;=3,O151&gt;=1.5),"有効",IF(T151&gt;=3,"要確認","除外")))</f>
        <v>要確認</v>
      </c>
      <c r="V151" s="163" t="str">
        <f>IF(AND(H151&lt;&gt;"",K151&lt;&gt;""),IF(H151&gt;=K151,"年初来高値更新●",IF(H151&gt;=K151*0.95,"高値圏","通常")),"")</f>
        <v>通常</v>
      </c>
      <c r="W151" s="169">
        <f t="array" ref="W151">IF(C151&lt;&gt;"",IFERROR(100-100/(1+SUMPRODUCT((終値!F146:R146&gt;終値!G146:S146)*( 終値!F146:R146-終値!G146:S146))/SUMPRODUCT((終値!F146:R146&lt;終値!G146:S146)*(終値!G146:S146-終値!F146:R146))),50),"")</f>
        <v>38.775510204081634</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様子見</v>
      </c>
      <c r="Z151" s="171">
        <f>IF(AND(E151&lt;&gt;"",G151&lt;&gt;"",G151&lt;&gt;0),(E151-G151)/G151*100,"")</f>
        <v>-0.63492063492063489</v>
      </c>
      <c r="AA151" s="163" t="str">
        <f>IF(OR(C151="",E151="",E151=0),"",IF(E151&gt;G151,"上昇▲",IF(E151&lt;G151,"下落▼","横ばい→")))</f>
        <v>下落▼</v>
      </c>
      <c r="AB151" s="405">
        <f>IF(C151="","",IFERROR(((終値!E153*0.333)+(終値!F153*0.222)+(終値!G153*0.148)+(終値!H153*0.099)+(終値!I153*0.066)+(終値!J153*0.044)+(終値!K153*0.029)+(終値!L153*0.019)+(終値!M153*0.013)+(終値!N153*0.009))/(0.333+0.222+0.148+0.099+0.066+0.044+0.029+0.019+0.013+0.009),""))</f>
        <v>4422.5661914460279</v>
      </c>
      <c r="AC151" s="405">
        <f>IF(C151="","",IFERROR(SUMPRODUCT((終値!E153:AC153),({0.077,0.071,0.065,0.06,0.055,0.051,0.047,0.043,0.039,0.036,0.033,0.031,0.028,0.026,0.024,0.022,0.02,0.018,0.017,0.016,0.014,0.013,0.012,0.011,0.01}))/SUM({0.077,0.071,0.065,0.06,0.055,0.051,0.047,0.043,0.039,0.036,0.033,0.031,0.028,0.026,0.024,0.022,0.02,0.018,0.017,0.016,0.014,0.013,0.012,0.011,0.01}),""))</f>
        <v>4322.2109654350406</v>
      </c>
      <c r="AD151" s="406" t="str">
        <f>IF(OR(C151="",AB151="",AC151=""),"",IF(AND(E151&gt;AB151,AB151&gt;AC151),"パーフェクト▲",IF(E151&gt;AC151,"上昇トレンド▲",IF(AND(E151&lt;AB151,AB151&lt;AC151),"下降トレンド▼","もみ合い→"))))</f>
        <v>もみ合い→</v>
      </c>
      <c r="AE151" s="406" t="str">
        <f>IF(OR(C151="",AB151="",AC151=""),"",IF(AND(ABS(E151-AC151)/AC151&lt;=0.02,E151&gt;AC151),"25日押し目★",IF(AND(ABS(E151-AB151)/AB151&lt;=0.01,E151&gt;AB151),"5日押し目○","なし")))</f>
        <v>なし</v>
      </c>
      <c r="AF151" s="365">
        <f t="array" ref="AF151">IF(C151="","",IFERROR((INDEX(終値!$E:$E,MATCH(TEXT(C151,"0"),終値!$A:$A,0))-INDEX(終値!$E:$CZ,MATCH(TEXT(C151,"0"),終値!$A:$A,0),$AL$2))/INDEX(終値!$E:$CZ,MATCH(TEXT(C151,"0"),終値!$A:$A,0),$AL$2)*100,""))</f>
        <v>1.9543973941368076</v>
      </c>
      <c r="AG151" s="365">
        <f t="array" ref="AG151">IFERROR((終値!$E$5-INDEX(終値!$E$5:$IT$5,1,$AL$2))/INDEX(終値!$E$5:$IT$5,1,$AL$2)*100,"")</f>
        <v>1.0179378228534113</v>
      </c>
      <c r="AH151" s="366">
        <f>IF(OR(AF151="",AG151=""),"",AF151-AG151)</f>
        <v>0.9364595712833963</v>
      </c>
      <c r="AI151" s="364">
        <f>IF(AH151="","",IF(AH151&gt;5,3,IF(AH151&gt;0,1,IF(AH151&gt;-3,-1,-2))))</f>
        <v>1</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1624</v>
      </c>
      <c r="F152" s="166">
        <f>IF(C152&lt;&gt;"",_xll.RssMarket(C152,"始値"),"")</f>
        <v>1603</v>
      </c>
      <c r="G152" s="165">
        <f>IF(C152&lt;&gt;"",終値!F192,"")</f>
        <v>1599</v>
      </c>
      <c r="H152" s="166">
        <f>IF(C152&lt;&gt;"",_xll.RssMarket(C152,"高値"),"")</f>
        <v>1640.5</v>
      </c>
      <c r="I152" s="166">
        <f>IF(C152&lt;&gt;"",_xll.RssMarket(C152,"安値"),"")</f>
        <v>1603</v>
      </c>
      <c r="J152" s="166">
        <f>IF(C152&lt;&gt;"",_xll.RssMarket(C152,"出来高"),"")</f>
        <v>390500</v>
      </c>
      <c r="K152" s="166">
        <f>IF(C152&lt;&gt;"",_xll.RssMarket(C152,"年初来高値"),"")</f>
        <v>2447</v>
      </c>
      <c r="L152" s="167">
        <f>IF(AND(E152&lt;&gt;"",K152&lt;&gt;"",K152&lt;&gt;0),(E152-K152)/K152*100,"")</f>
        <v>-33.633020024519823</v>
      </c>
      <c r="M152" s="166">
        <f>IF(C152&lt;&gt;"",IFERROR(AVERAGE(出来高!E192:I192),""),"")</f>
        <v>483740</v>
      </c>
      <c r="N152" s="166">
        <f>IF(C152&lt;&gt;"",IFERROR(AVERAGE(出来高!E192:AC192),""),"")</f>
        <v>425448</v>
      </c>
      <c r="O152" s="168">
        <f>IF(AND(J152&lt;&gt;"",M152&lt;&gt;"",M152&lt;&gt;0),J152/M152,"")</f>
        <v>0.80725182949518337</v>
      </c>
      <c r="P152" s="163" t="str">
        <f>IF(O152="","",IF(O152&gt;=2,"急増↑↑",IF(O152&gt;=1.5,"増加↑",IF(O152&gt;=1,"普通→","減少↓"))))</f>
        <v>減少↓</v>
      </c>
      <c r="Q152" s="163" t="str">
        <f>IF(E152="","",IF(AND(E152&gt;G152,O152&gt;=1.5),"買い▲",IF(E152&lt;G152,"様子見▼","中立→")))</f>
        <v>中立→</v>
      </c>
      <c r="R152" s="166">
        <f>IF(E152&lt;&gt;"",ROUND(E152*1.08,0),"")</f>
        <v>1754</v>
      </c>
      <c r="S152" s="166">
        <f>IF(E152&lt;&gt;"",ROUND(E152*0.96,0),"")</f>
        <v>1559</v>
      </c>
      <c r="T152" s="163">
        <f>IF(C152="","",IFERROR(IF(O152&gt;=2,3,IF(O152&gt;=1.5,2,IF(O152&gt;=1,1,0)))+IF(E152&gt;G152,1,0)+IF(L152&gt;=-5,1,0)+IF(Q152="買い▲",2,0)+IF(W152&lt;=30,3,IF(W152&lt;=40,2,IF(AND(W152&gt;=40,W152&lt;=60),1,0)))+IF(X152&gt;0,1,0)+IF(V152="年初来高値更新●",3,IF(V152="高値圏",2,0))+IF(AD152="パーフェクト▲",3,IF(AD152="上昇トレンド▲",2,0))+IF(AE152="25日線押し目●",2,IF(AE152="5日線押し目○",1,0))+IF(P152="急増↑↑",2,IF(P152="増加↑",1,0))+N(AI152),0))</f>
        <v>2</v>
      </c>
      <c r="U152" s="163" t="str">
        <f>IF(T152="","",IF(AND(T152&gt;=3,O152&gt;=1.5),"有効",IF(T152&gt;=3,"要確認","除外")))</f>
        <v>除外</v>
      </c>
      <c r="V152" s="163" t="str">
        <f>IF(AND(H152&lt;&gt;"",K152&lt;&gt;""),IF(H152&gt;=K152,"年初来高値更新●",IF(H152&gt;=K152*0.95,"高値圏","通常")),"")</f>
        <v>通常</v>
      </c>
      <c r="W152" s="169">
        <f t="array" ref="W152">IF(C152&lt;&gt;"",IFERROR(100-100/(1+SUMPRODUCT((終値!F192:R192&gt;終値!G192:S192)*( 終値!F192:R192-終値!G192:S192))/SUMPRODUCT((終値!F192:R192&lt;終値!G192:S192)*(終値!G192:S192-終値!F192:R192))),50),"")</f>
        <v>26.894865525672373</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見送り</v>
      </c>
      <c r="Z152" s="171">
        <f>IF(AND(E152&lt;&gt;"",G152&lt;&gt;"",G152&lt;&gt;0),(E152-G152)/G152*100,"")</f>
        <v>1.5634771732332706</v>
      </c>
      <c r="AA152" s="163" t="str">
        <f>IF(OR(C152="",E152="",E152=0),"",IF(E152&gt;G152,"上昇▲",IF(E152&lt;G152,"下落▼","横ばい→")))</f>
        <v>上昇▲</v>
      </c>
      <c r="AB152" s="403">
        <f>IF(C152="","",IFERROR(((終値!E154*0.333)+(終値!F154*0.222)+(終値!G154*0.148)+(終値!H154*0.099)+(終値!I154*0.066)+(終値!J154*0.044)+(終値!K154*0.029)+(終値!L154*0.019)+(終値!M154*0.013)+(終値!N154*0.009))/(0.333+0.222+0.148+0.099+0.066+0.044+0.029+0.019+0.013+0.009),""))</f>
        <v>7374.4938900203651</v>
      </c>
      <c r="AC152" s="403">
        <f>IF(C152="","",IFERROR(SUMPRODUCT((終値!E154:AC154),({0.077,0.071,0.065,0.06,0.055,0.051,0.047,0.043,0.039,0.036,0.033,0.031,0.028,0.026,0.024,0.022,0.02,0.018,0.017,0.016,0.014,0.013,0.012,0.011,0.01}))/SUM({0.077,0.071,0.065,0.06,0.055,0.051,0.047,0.043,0.039,0.036,0.033,0.031,0.028,0.026,0.024,0.022,0.02,0.018,0.017,0.016,0.014,0.013,0.012,0.011,0.01}),""))</f>
        <v>7925.7187127532725</v>
      </c>
      <c r="AD152" s="404" t="str">
        <f>IF(OR(C152="",AB152="",AC152=""),"",IF(AND(E152&gt;AB152,AB152&gt;AC152),"パーフェクト▲",IF(E152&gt;AC152,"上昇トレンド▲",IF(AND(E152&lt;AB152,AB152&lt;AC152),"下降トレンド▼","もみ合い→"))))</f>
        <v>下降トレンド▼</v>
      </c>
      <c r="AE152" s="404" t="str">
        <f>IF(OR(C152="",AB152="",AC152=""),"",IF(AND(ABS(E152-AC152)/AC152&lt;=0.02,E152&gt;AC152),"25日押し目★",IF(AND(ABS(E152-AB152)/AB152&lt;=0.01,E152&gt;AB152),"5日押し目○","なし")))</f>
        <v>なし</v>
      </c>
      <c r="AF152" s="365">
        <f t="array" ref="AF152">IF(C152="","",IFERROR((INDEX(終値!$E:$E,MATCH(TEXT(C152,"0"),終値!$A:$A,0))-INDEX(終値!$E:$CZ,MATCH(TEXT(C152,"0"),終値!$A:$A,0),$AL$2))/INDEX(終値!$E:$CZ,MATCH(TEXT(C152,"0"),終値!$A:$A,0),$AL$2)*100,""))</f>
        <v>-3.044776119402985</v>
      </c>
      <c r="AG152" s="365">
        <f t="array" ref="AG152">IFERROR((終値!$E$5-INDEX(終値!$E$5:$IT$5,1,$AL$2))/INDEX(終値!$E$5:$IT$5,1,$AL$2)*100,"")</f>
        <v>1.0179378228534113</v>
      </c>
      <c r="AH152" s="366">
        <f>IF(OR(AF152="",AG152=""),"",AF152-AG152)</f>
        <v>-4.062713942256396</v>
      </c>
      <c r="AI152" s="364">
        <f>IF(AH152="","",IF(AH152&gt;5,3,IF(AH152&gt;0,1,IF(AH152&gt;-3,-1,-2))))</f>
        <v>-2</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7899</v>
      </c>
      <c r="F153" s="166">
        <f>IF(C153&lt;&gt;"",_xll.RssMarket(C153,"始値"),"")</f>
        <v>7750</v>
      </c>
      <c r="G153" s="165">
        <f>IF(C153&lt;&gt;"",終値!F165,"")</f>
        <v>7746</v>
      </c>
      <c r="H153" s="166">
        <f>IF(C153&lt;&gt;"",_xll.RssMarket(C153,"高値"),"")</f>
        <v>7899</v>
      </c>
      <c r="I153" s="166">
        <f>IF(C153&lt;&gt;"",_xll.RssMarket(C153,"安値"),"")</f>
        <v>7714</v>
      </c>
      <c r="J153" s="166">
        <f>IF(C153&lt;&gt;"",_xll.RssMarket(C153,"出来高"),"")</f>
        <v>169400</v>
      </c>
      <c r="K153" s="166">
        <f>IF(C153&lt;&gt;"",_xll.RssMarket(C153,"年初来高値"),"")</f>
        <v>8611</v>
      </c>
      <c r="L153" s="167">
        <f>IF(AND(E153&lt;&gt;"",K153&lt;&gt;"",K153&lt;&gt;0),(E153-K153)/K153*100,"")</f>
        <v>-8.268493787016606</v>
      </c>
      <c r="M153" s="166">
        <f>IF(C153&lt;&gt;"",IFERROR(AVERAGE(出来高!E165:I165),""),"")</f>
        <v>239600</v>
      </c>
      <c r="N153" s="166">
        <f>IF(C153&lt;&gt;"",IFERROR(AVERAGE(出来高!E165:AC165),""),"")</f>
        <v>338028</v>
      </c>
      <c r="O153" s="168">
        <f>IF(AND(J153&lt;&gt;"",M153&lt;&gt;"",M153&lt;&gt;0),J153/M153,"")</f>
        <v>0.70701168614357257</v>
      </c>
      <c r="P153" s="163" t="str">
        <f>IF(O153="","",IF(O153&gt;=2,"急増↑↑",IF(O153&gt;=1.5,"増加↑",IF(O153&gt;=1,"普通→","減少↓"))))</f>
        <v>減少↓</v>
      </c>
      <c r="Q153" s="163" t="str">
        <f>IF(E153="","",IF(AND(E153&gt;G153,O153&gt;=1.5),"買い▲",IF(E153&lt;G153,"様子見▼","中立→")))</f>
        <v>中立→</v>
      </c>
      <c r="R153" s="166">
        <f>IF(E153&lt;&gt;"",ROUND(E153*1.08,0),"")</f>
        <v>8531</v>
      </c>
      <c r="S153" s="166">
        <f>IF(E153&lt;&gt;"",ROUND(E153*0.96,0),"")</f>
        <v>7583</v>
      </c>
      <c r="T153" s="163">
        <f>IF(C153="","",IFERROR(IF(O153&gt;=2,3,IF(O153&gt;=1.5,2,IF(O153&gt;=1,1,0)))+IF(E153&gt;G153,1,0)+IF(L153&gt;=-5,1,0)+IF(Q153="買い▲",2,0)+IF(W153&lt;=30,3,IF(W153&lt;=40,2,IF(AND(W153&gt;=40,W153&lt;=60),1,0)))+IF(X153&gt;0,1,0)+IF(V153="年初来高値更新●",3,IF(V153="高値圏",2,0))+IF(AD153="パーフェクト▲",3,IF(AD153="上昇トレンド▲",2,0))+IF(AE153="25日線押し目●",2,IF(AE153="5日線押し目○",1,0))+IF(P153="急増↑↑",2,IF(P153="増加↑",1,0))+N(AI153),0))</f>
        <v>7</v>
      </c>
      <c r="U153" s="163" t="str">
        <f>IF(T153="","",IF(AND(T153&gt;=3,O153&gt;=1.5),"有効",IF(T153&gt;=3,"要確認","除外")))</f>
        <v>要確認</v>
      </c>
      <c r="V153" s="163" t="str">
        <f>IF(AND(H153&lt;&gt;"",K153&lt;&gt;""),IF(H153&gt;=K153,"年初来高値更新●",IF(H153&gt;=K153*0.95,"高値圏","通常")),"")</f>
        <v>通常</v>
      </c>
      <c r="W153" s="169">
        <f t="array" ref="W153">IF(C153&lt;&gt;"",IFERROR(100-100/(1+SUMPRODUCT((終値!F165:R165&gt;終値!G165:S165)*( 終値!F165:R165-終値!G165:S165))/SUMPRODUCT((終値!F165:R165&lt;終値!G165:S165)*(終値!G165:S165-終値!F165:R165))),50),"")</f>
        <v>72.938612422811474</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△注目</v>
      </c>
      <c r="Z153" s="171">
        <f>IF(AND(E153&lt;&gt;"",G153&lt;&gt;"",G153&lt;&gt;0),(E153-G153)/G153*100,"")</f>
        <v>1.9752130131680867</v>
      </c>
      <c r="AA153" s="163" t="str">
        <f>IF(OR(C153="",E153="",E153=0),"",IF(E153&gt;G153,"上昇▲",IF(E153&lt;G153,"下落▼","横ばい→")))</f>
        <v>上昇▲</v>
      </c>
      <c r="AB153" s="405">
        <f>IF(C153="","",IFERROR(((終値!E155*0.333)+(終値!F155*0.222)+(終値!G155*0.148)+(終値!H155*0.099)+(終値!I155*0.066)+(終値!J155*0.044)+(終値!K155*0.029)+(終値!L155*0.019)+(終値!M155*0.013)+(終値!N155*0.009))/(0.333+0.222+0.148+0.099+0.066+0.044+0.029+0.019+0.013+0.009),""))</f>
        <v>3581.9806517311608</v>
      </c>
      <c r="AC153" s="405">
        <f>IF(C153="","",IFERROR(SUMPRODUCT((終値!E155:AC155),({0.077,0.071,0.065,0.06,0.055,0.051,0.047,0.043,0.039,0.036,0.033,0.031,0.028,0.026,0.024,0.022,0.02,0.018,0.017,0.016,0.014,0.013,0.012,0.011,0.01}))/SUM({0.077,0.071,0.065,0.06,0.055,0.051,0.047,0.043,0.039,0.036,0.033,0.031,0.028,0.026,0.024,0.022,0.02,0.018,0.017,0.016,0.014,0.013,0.012,0.011,0.01}),""))</f>
        <v>3614.0369487485091</v>
      </c>
      <c r="AD153" s="406" t="str">
        <f>IF(OR(C153="",AB153="",AC153=""),"",IF(AND(E153&gt;AB153,AB153&gt;AC153),"パーフェクト▲",IF(E153&gt;AC153,"上昇トレンド▲",IF(AND(E153&lt;AB153,AB153&lt;AC153),"下降トレンド▼","もみ合い→"))))</f>
        <v>上昇トレンド▲</v>
      </c>
      <c r="AE153" s="406" t="str">
        <f>IF(OR(C153="",AB153="",AC153=""),"",IF(AND(ABS(E153-AC153)/AC153&lt;=0.02,E153&gt;AC153),"25日押し目★",IF(AND(ABS(E153-AB153)/AB153&lt;=0.01,E153&gt;AB153),"5日押し目○","なし")))</f>
        <v>なし</v>
      </c>
      <c r="AF153" s="365">
        <f t="array" ref="AF153">IF(C153="","",IFERROR((INDEX(終値!$E:$E,MATCH(TEXT(C153,"0"),終値!$A:$A,0))-INDEX(終値!$E:$CZ,MATCH(TEXT(C153,"0"),終値!$A:$A,0),$AL$2))/INDEX(終値!$E:$CZ,MATCH(TEXT(C153,"0"),終値!$A:$A,0),$AL$2)*100,""))</f>
        <v>30.389567514031036</v>
      </c>
      <c r="AG153" s="365">
        <f t="array" ref="AG153">IFERROR((終値!$E$5-INDEX(終値!$E$5:$IT$5,1,$AL$2))/INDEX(終値!$E$5:$IT$5,1,$AL$2)*100,"")</f>
        <v>1.0179378228534113</v>
      </c>
      <c r="AH153" s="366">
        <f>IF(OR(AF153="",AG153=""),"",AF153-AG153)</f>
        <v>29.371629691177624</v>
      </c>
      <c r="AI153" s="364">
        <f>IF(AH153="","",IF(AH153&gt;5,3,IF(AH153&gt;0,1,IF(AH153&gt;-3,-1,-2))))</f>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1018</v>
      </c>
      <c r="F154" s="166">
        <f>IF(C154&lt;&gt;"",_xll.RssMarket(C154,"始値"),"")</f>
        <v>1010</v>
      </c>
      <c r="G154" s="165">
        <f>IF(C154&lt;&gt;"",終値!F170,"")</f>
        <v>1011</v>
      </c>
      <c r="H154" s="166">
        <f>IF(C154&lt;&gt;"",_xll.RssMarket(C154,"高値"),"")</f>
        <v>1020</v>
      </c>
      <c r="I154" s="166">
        <f>IF(C154&lt;&gt;"",_xll.RssMarket(C154,"安値"),"")</f>
        <v>1008</v>
      </c>
      <c r="J154" s="166">
        <f>IF(C154&lt;&gt;"",_xll.RssMarket(C154,"出来高"),"")</f>
        <v>46700</v>
      </c>
      <c r="K154" s="166">
        <f>IF(C154&lt;&gt;"",_xll.RssMarket(C154,"年初来高値"),"")</f>
        <v>1161</v>
      </c>
      <c r="L154" s="167">
        <f>IF(AND(E154&lt;&gt;"",K154&lt;&gt;"",K154&lt;&gt;0),(E154-K154)/K154*100,"")</f>
        <v>-12.316968130921619</v>
      </c>
      <c r="M154" s="166">
        <f>IF(C154&lt;&gt;"",IFERROR(AVERAGE(出来高!E170:I170),""),"")</f>
        <v>121420</v>
      </c>
      <c r="N154" s="166">
        <f>IF(C154&lt;&gt;"",IFERROR(AVERAGE(出来高!E170:AC170),""),"")</f>
        <v>69660</v>
      </c>
      <c r="O154" s="168">
        <f>IF(AND(J154&lt;&gt;"",M154&lt;&gt;"",M154&lt;&gt;0),J154/M154,"")</f>
        <v>0.38461538461538464</v>
      </c>
      <c r="P154" s="163" t="str">
        <f>IF(O154="","",IF(O154&gt;=2,"急増↑↑",IF(O154&gt;=1.5,"増加↑",IF(O154&gt;=1,"普通→","減少↓"))))</f>
        <v>減少↓</v>
      </c>
      <c r="Q154" s="163" t="str">
        <f>IF(E154="","",IF(AND(E154&gt;G154,O154&gt;=1.5),"買い▲",IF(E154&lt;G154,"様子見▼","中立→")))</f>
        <v>中立→</v>
      </c>
      <c r="R154" s="166">
        <f>IF(E154&lt;&gt;"",ROUND(E154*1.08,0),"")</f>
        <v>1099</v>
      </c>
      <c r="S154" s="166">
        <f>IF(E154&lt;&gt;"",ROUND(E154*0.96,0),"")</f>
        <v>977</v>
      </c>
      <c r="T154" s="163">
        <f>IF(C154="","",IFERROR(IF(O154&gt;=2,3,IF(O154&gt;=1.5,2,IF(O154&gt;=1,1,0)))+IF(E154&gt;G154,1,0)+IF(L154&gt;=-5,1,0)+IF(Q154="買い▲",2,0)+IF(W154&lt;=30,3,IF(W154&lt;=40,2,IF(AND(W154&gt;=40,W154&lt;=60),1,0)))+IF(X154&gt;0,1,0)+IF(V154="年初来高値更新●",3,IF(V154="高値圏",2,0))+IF(AD154="パーフェクト▲",3,IF(AD154="上昇トレンド▲",2,0))+IF(AE154="25日線押し目●",2,IF(AE154="5日線押し目○",1,0))+IF(P154="急増↑↑",2,IF(P154="増加↑",1,0))+N(AI154),0))</f>
        <v>2</v>
      </c>
      <c r="U154" s="163" t="str">
        <f>IF(T154="","",IF(AND(T154&gt;=3,O154&gt;=1.5),"有効",IF(T154&gt;=3,"要確認","除外")))</f>
        <v>除外</v>
      </c>
      <c r="V154" s="163" t="str">
        <f>IF(AND(H154&lt;&gt;"",K154&lt;&gt;""),IF(H154&gt;=K154,"年初来高値更新●",IF(H154&gt;=K154*0.95,"高値圏","通常")),"")</f>
        <v>通常</v>
      </c>
      <c r="W154" s="169">
        <f t="array" ref="W154">IF(C154&lt;&gt;"",IFERROR(100-100/(1+SUMPRODUCT((終値!F170:R170&gt;終値!G170:S170)*( 終値!F170:R170-終値!G170:S170))/SUMPRODUCT((終値!F170:R170&lt;終値!G170:S170)*(終値!G170:S170-終値!F170:R170))),50),"")</f>
        <v>26.984126984126974</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見送り</v>
      </c>
      <c r="Z154" s="171">
        <f>IF(AND(E154&lt;&gt;"",G154&lt;&gt;"",G154&lt;&gt;0),(E154-G154)/G154*100,"")</f>
        <v>0.6923837784371909</v>
      </c>
      <c r="AA154" s="163" t="str">
        <f>IF(OR(C154="",E154="",E154=0),"",IF(E154&gt;G154,"上昇▲",IF(E154&lt;G154,"下落▼","横ばい→")))</f>
        <v>上昇▲</v>
      </c>
      <c r="AB154" s="403">
        <f>IF(C154="","",IFERROR(((終値!E156*0.333)+(終値!F156*0.222)+(終値!G156*0.148)+(終値!H156*0.099)+(終値!I156*0.066)+(終値!J156*0.044)+(終値!K156*0.029)+(終値!L156*0.019)+(終値!M156*0.013)+(終値!N156*0.009))/(0.333+0.222+0.148+0.099+0.066+0.044+0.029+0.019+0.013+0.009),""))</f>
        <v>2571.3696537678206</v>
      </c>
      <c r="AC154" s="403">
        <f>IF(C154="","",IFERROR(SUMPRODUCT((終値!E156:AC156),({0.077,0.071,0.065,0.06,0.055,0.051,0.047,0.043,0.039,0.036,0.033,0.031,0.028,0.026,0.024,0.022,0.02,0.018,0.017,0.016,0.014,0.013,0.012,0.011,0.01}))/SUM({0.077,0.071,0.065,0.06,0.055,0.051,0.047,0.043,0.039,0.036,0.033,0.031,0.028,0.026,0.024,0.022,0.02,0.018,0.017,0.016,0.014,0.013,0.012,0.011,0.01}),""))</f>
        <v>2584.56495828367</v>
      </c>
      <c r="AD154" s="404" t="str">
        <f>IF(OR(C154="",AB154="",AC154=""),"",IF(AND(E154&gt;AB154,AB154&gt;AC154),"パーフェクト▲",IF(E154&gt;AC154,"上昇トレンド▲",IF(AND(E154&lt;AB154,AB154&lt;AC154),"下降トレンド▼","もみ合い→"))))</f>
        <v>下降トレンド▼</v>
      </c>
      <c r="AE154" s="404" t="str">
        <f>IF(OR(C154="",AB154="",AC154=""),"",IF(AND(ABS(E154-AC154)/AC154&lt;=0.02,E154&gt;AC154),"25日押し目★",IF(AND(ABS(E154-AB154)/AB154&lt;=0.01,E154&gt;AB154),"5日押し目○","なし")))</f>
        <v>なし</v>
      </c>
      <c r="AF154" s="365">
        <f t="array" ref="AF154">IF(C154="","",IFERROR((INDEX(終値!$E:$E,MATCH(TEXT(C154,"0"),終値!$A:$A,0))-INDEX(終値!$E:$CZ,MATCH(TEXT(C154,"0"),終値!$A:$A,0),$AL$2))/INDEX(終値!$E:$CZ,MATCH(TEXT(C154,"0"),終値!$A:$A,0),$AL$2)*100,""))</f>
        <v>-3.5071090047393367</v>
      </c>
      <c r="AG154" s="365">
        <f t="array" ref="AG154">IFERROR((終値!$E$5-INDEX(終値!$E$5:$IT$5,1,$AL$2))/INDEX(終値!$E$5:$IT$5,1,$AL$2)*100,"")</f>
        <v>1.0179378228534113</v>
      </c>
      <c r="AH154" s="366">
        <f>IF(OR(AF154="",AG154=""),"",AF154-AG154)</f>
        <v>-4.5250468275927478</v>
      </c>
      <c r="AI154" s="364">
        <f>IF(AH154="","",IF(AH154&gt;5,3,IF(AH154&gt;0,1,IF(AH154&gt;-3,-1,-2))))</f>
        <v>-2</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4051</v>
      </c>
      <c r="F155" s="166">
        <f>IF(C155&lt;&gt;"",_xll.RssMarket(C155,"始値"),"")</f>
        <v>4084</v>
      </c>
      <c r="G155" s="165">
        <f>IF(C155&lt;&gt;"",終値!F58,"")</f>
        <v>4084</v>
      </c>
      <c r="H155" s="166">
        <f>IF(C155&lt;&gt;"",_xll.RssMarket(C155,"高値"),"")</f>
        <v>4128</v>
      </c>
      <c r="I155" s="166">
        <f>IF(C155&lt;&gt;"",_xll.RssMarket(C155,"安値"),"")</f>
        <v>4003</v>
      </c>
      <c r="J155" s="166">
        <f>IF(C155&lt;&gt;"",_xll.RssMarket(C155,"出来高"),"")</f>
        <v>618300</v>
      </c>
      <c r="K155" s="166">
        <f>IF(C155&lt;&gt;"",_xll.RssMarket(C155,"年初来高値"),"")</f>
        <v>4466</v>
      </c>
      <c r="L155" s="167">
        <f>IF(AND(E155&lt;&gt;"",K155&lt;&gt;"",K155&lt;&gt;0),(E155-K155)/K155*100,"")</f>
        <v>-9.2924317062248107</v>
      </c>
      <c r="M155" s="166">
        <f>IF(C155&lt;&gt;"",IFERROR(AVERAGE(出来高!E58:I58),""),"")</f>
        <v>775400</v>
      </c>
      <c r="N155" s="166">
        <f>IF(C155&lt;&gt;"",IFERROR(AVERAGE(出来高!E58:AC58),""),"")</f>
        <v>580244</v>
      </c>
      <c r="O155" s="168">
        <f>IF(AND(J155&lt;&gt;"",M155&lt;&gt;"",M155&lt;&gt;0),J155/M155,"")</f>
        <v>0.7973948929584731</v>
      </c>
      <c r="P155" s="163" t="str">
        <f>IF(O155="","",IF(O155&gt;=2,"急増↑↑",IF(O155&gt;=1.5,"増加↑",IF(O155&gt;=1,"普通→","減少↓"))))</f>
        <v>減少↓</v>
      </c>
      <c r="Q155" s="163" t="str">
        <f>IF(E155="","",IF(AND(E155&gt;G155,O155&gt;=1.5),"買い▲",IF(E155&lt;G155,"様子見▼","中立→")))</f>
        <v>様子見▼</v>
      </c>
      <c r="R155" s="166">
        <f>IF(E155&lt;&gt;"",ROUND(E155*1.08,0),"")</f>
        <v>4375</v>
      </c>
      <c r="S155" s="166">
        <f>IF(E155&lt;&gt;"",ROUND(E155*0.96,0),"")</f>
        <v>3889</v>
      </c>
      <c r="T155" s="163">
        <f>IF(C155="","",IFERROR(IF(O155&gt;=2,3,IF(O155&gt;=1.5,2,IF(O155&gt;=1,1,0)))+IF(E155&gt;G155,1,0)+IF(L155&gt;=-5,1,0)+IF(Q155="買い▲",2,0)+IF(W155&lt;=30,3,IF(W155&lt;=40,2,IF(AND(W155&gt;=40,W155&lt;=60),1,0)))+IF(X155&gt;0,1,0)+IF(V155="年初来高値更新●",3,IF(V155="高値圏",2,0))+IF(AD155="パーフェクト▲",3,IF(AD155="上昇トレンド▲",2,0))+IF(AE155="25日線押し目●",2,IF(AE155="5日線押し目○",1,0))+IF(P155="急増↑↑",2,IF(P155="増加↑",1,0))+N(AI155),0))</f>
        <v>2</v>
      </c>
      <c r="U155" s="163" t="str">
        <f>IF(T155="","",IF(AND(T155&gt;=3,O155&gt;=1.5),"有効",IF(T155&gt;=3,"要確認","除外")))</f>
        <v>除外</v>
      </c>
      <c r="V155" s="163" t="str">
        <f>IF(AND(H155&lt;&gt;"",K155&lt;&gt;""),IF(H155&gt;=K155,"年初来高値更新●",IF(H155&gt;=K155*0.95,"高値圏","通常")),"")</f>
        <v>通常</v>
      </c>
      <c r="W155" s="169">
        <f t="array" ref="W155">IF(C155&lt;&gt;"",IFERROR(100-100/(1+SUMPRODUCT((終値!F58:R58&gt;終値!G58:S58)*( 終値!F58:R58-終値!G58:S58))/SUMPRODUCT((終値!F58:R58&lt;終値!G58:S58)*(終値!G58:S58-終値!F58:R58))),50),"")</f>
        <v>45.626072041166381</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見送り</v>
      </c>
      <c r="Z155" s="171">
        <f>IF(AND(E155&lt;&gt;"",G155&lt;&gt;"",G155&lt;&gt;0),(E155-G155)/G155*100,"")</f>
        <v>-0.8080313418217433</v>
      </c>
      <c r="AA155" s="163" t="str">
        <f>IF(OR(C155="",E155="",E155=0),"",IF(E155&gt;G155,"上昇▲",IF(E155&lt;G155,"下落▼","横ばい→")))</f>
        <v>下落▼</v>
      </c>
      <c r="AB155" s="405">
        <f>IF(C155="","",IFERROR(((終値!E157*0.333)+(終値!F157*0.222)+(終値!G157*0.148)+(終値!H157*0.099)+(終値!I157*0.066)+(終値!J157*0.044)+(終値!K157*0.029)+(終値!L157*0.019)+(終値!M157*0.013)+(終値!N157*0.009))/(0.333+0.222+0.148+0.099+0.066+0.044+0.029+0.019+0.013+0.009),""))</f>
        <v>5897.6578411405299</v>
      </c>
      <c r="AC155" s="405">
        <f>IF(C155="","",IFERROR(SUMPRODUCT((終値!E157:AC157),({0.077,0.071,0.065,0.06,0.055,0.051,0.047,0.043,0.039,0.036,0.033,0.031,0.028,0.026,0.024,0.022,0.02,0.018,0.017,0.016,0.014,0.013,0.012,0.011,0.01}))/SUM({0.077,0.071,0.065,0.06,0.055,0.051,0.047,0.043,0.039,0.036,0.033,0.031,0.028,0.026,0.024,0.022,0.02,0.018,0.017,0.016,0.014,0.013,0.012,0.011,0.01}),""))</f>
        <v>5939.114421930868</v>
      </c>
      <c r="AD155" s="406" t="str">
        <f>IF(OR(C155="",AB155="",AC155=""),"",IF(AND(E155&gt;AB155,AB155&gt;AC155),"パーフェクト▲",IF(E155&gt;AC155,"上昇トレンド▲",IF(AND(E155&lt;AB155,AB155&lt;AC155),"下降トレンド▼","もみ合い→"))))</f>
        <v>下降トレンド▼</v>
      </c>
      <c r="AE155" s="406" t="str">
        <f>IF(OR(C155="",AB155="",AC155=""),"",IF(AND(ABS(E155-AC155)/AC155&lt;=0.02,E155&gt;AC155),"25日押し目★",IF(AND(ABS(E155-AB155)/AB155&lt;=0.01,E155&gt;AB155),"5日押し目○","なし")))</f>
        <v>なし</v>
      </c>
      <c r="AF155" s="365">
        <f t="array" ref="AF155">IF(C155="","",IFERROR((INDEX(終値!$E:$E,MATCH(TEXT(C155,"0"),終値!$A:$A,0))-INDEX(終値!$E:$CZ,MATCH(TEXT(C155,"0"),終値!$A:$A,0),$AL$2))/INDEX(終値!$E:$CZ,MATCH(TEXT(C155,"0"),終値!$A:$A,0),$AL$2)*100,""))</f>
        <v>3.0002542588354943</v>
      </c>
      <c r="AG155" s="365">
        <f t="array" ref="AG155">IFERROR((終値!$E$5-INDEX(終値!$E$5:$IT$5,1,$AL$2))/INDEX(終値!$E$5:$IT$5,1,$AL$2)*100,"")</f>
        <v>1.0179378228534113</v>
      </c>
      <c r="AH155" s="366">
        <f>IF(OR(AF155="",AG155=""),"",AF155-AG155)</f>
        <v>1.9823164359820831</v>
      </c>
      <c r="AI155" s="364">
        <f>IF(AH155="","",IF(AH155&gt;5,3,IF(AH155&gt;0,1,IF(AH155&gt;-3,-1,-2))))</f>
        <v>1</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2954</v>
      </c>
      <c r="F156" s="166">
        <f>IF(C156&lt;&gt;"",_xll.RssMarket(C156,"始値"),"")</f>
        <v>2910.5</v>
      </c>
      <c r="G156" s="165">
        <f>IF(C156&lt;&gt;"",終値!F101,"")</f>
        <v>2860.5</v>
      </c>
      <c r="H156" s="166">
        <f>IF(C156&lt;&gt;"",_xll.RssMarket(C156,"高値"),"")</f>
        <v>2966.5</v>
      </c>
      <c r="I156" s="166">
        <f>IF(C156&lt;&gt;"",_xll.RssMarket(C156,"安値"),"")</f>
        <v>2888.5</v>
      </c>
      <c r="J156" s="166">
        <f>IF(C156&lt;&gt;"",_xll.RssMarket(C156,"出来高"),"")</f>
        <v>6257700</v>
      </c>
      <c r="K156" s="166">
        <f>IF(C156&lt;&gt;"",_xll.RssMarket(C156,"年初来高値"),"")</f>
        <v>3167</v>
      </c>
      <c r="L156" s="167">
        <f>IF(AND(E156&lt;&gt;"",K156&lt;&gt;"",K156&lt;&gt;0),(E156-K156)/K156*100,"")</f>
        <v>-6.7256078307546572</v>
      </c>
      <c r="M156" s="166">
        <f>IF(C156&lt;&gt;"",IFERROR(AVERAGE(出来高!E101:I101),""),"")</f>
        <v>10430280</v>
      </c>
      <c r="N156" s="166">
        <f>IF(C156&lt;&gt;"",IFERROR(AVERAGE(出来高!E101:AC101),""),"")</f>
        <v>7507054.166666667</v>
      </c>
      <c r="O156" s="168">
        <f>IF(AND(J156&lt;&gt;"",M156&lt;&gt;"",M156&lt;&gt;0),J156/M156,"")</f>
        <v>0.59995513063887063</v>
      </c>
      <c r="P156" s="163" t="str">
        <f>IF(O156="","",IF(O156&gt;=2,"急増↑↑",IF(O156&gt;=1.5,"増加↑",IF(O156&gt;=1,"普通→","減少↓"))))</f>
        <v>減少↓</v>
      </c>
      <c r="Q156" s="163" t="str">
        <f>IF(E156="","",IF(AND(E156&gt;G156,O156&gt;=1.5),"買い▲",IF(E156&lt;G156,"様子見▼","中立→")))</f>
        <v>中立→</v>
      </c>
      <c r="R156" s="166">
        <f>IF(E156&lt;&gt;"",ROUND(E156*1.08,0),"")</f>
        <v>3190</v>
      </c>
      <c r="S156" s="166">
        <f>IF(E156&lt;&gt;"",ROUND(E156*0.96,0),"")</f>
        <v>2836</v>
      </c>
      <c r="T156" s="163">
        <f>IF(C156="","",IFERROR(IF(O156&gt;=2,3,IF(O156&gt;=1.5,2,IF(O156&gt;=1,1,0)))+IF(E156&gt;G156,1,0)+IF(L156&gt;=-5,1,0)+IF(Q156="買い▲",2,0)+IF(W156&lt;=30,3,IF(W156&lt;=40,2,IF(AND(W156&gt;=40,W156&lt;=60),1,0)))+IF(X156&gt;0,1,0)+IF(V156="年初来高値更新●",3,IF(V156="高値圏",2,0))+IF(AD156="パーフェクト▲",3,IF(AD156="上昇トレンド▲",2,0))+IF(AE156="25日線押し目●",2,IF(AE156="5日線押し目○",1,0))+IF(P156="急増↑↑",2,IF(P156="増加↑",1,0))+N(AI156),0))</f>
        <v>6</v>
      </c>
      <c r="U156" s="163" t="str">
        <f>IF(T156="","",IF(AND(T156&gt;=3,O156&gt;=1.5),"有効",IF(T156&gt;=3,"要確認","除外")))</f>
        <v>要確認</v>
      </c>
      <c r="V156" s="163" t="str">
        <f>IF(AND(H156&lt;&gt;"",K156&lt;&gt;""),IF(H156&gt;=K156,"年初来高値更新●",IF(H156&gt;=K156*0.95,"高値圏","通常")),"")</f>
        <v>通常</v>
      </c>
      <c r="W156" s="169">
        <f t="array" ref="W156">IF(C156&lt;&gt;"",IFERROR(100-100/(1+SUMPRODUCT((終値!F101:R101&gt;終値!G101:S101)*( 終値!F101:R101-終値!G101:S101))/SUMPRODUCT((終値!F101:R101&lt;終値!G101:S101)*(終値!G101:S101-終値!F101:R101))),50),"")</f>
        <v>51.822976381563862</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△注目</v>
      </c>
      <c r="Z156" s="171">
        <f>IF(AND(E156&lt;&gt;"",G156&lt;&gt;"",G156&lt;&gt;0),(E156-G156)/G156*100,"")</f>
        <v>3.2686593252927811</v>
      </c>
      <c r="AA156" s="163" t="str">
        <f>IF(OR(C156="",E156="",E156=0),"",IF(E156&gt;G156,"上昇▲",IF(E156&lt;G156,"下落▼","横ばい→")))</f>
        <v>上昇▲</v>
      </c>
      <c r="AB156" s="403">
        <f>IF(C156="","",IFERROR(((終値!E158*0.333)+(終値!F158*0.222)+(終値!G158*0.148)+(終値!H158*0.099)+(終値!I158*0.066)+(終値!J158*0.044)+(終値!K158*0.029)+(終値!L158*0.019)+(終値!M158*0.013)+(終値!N158*0.009))/(0.333+0.222+0.148+0.099+0.066+0.044+0.029+0.019+0.013+0.009),""))</f>
        <v>31945.188391038686</v>
      </c>
      <c r="AC156" s="403">
        <f>IF(C156="","",IFERROR(SUMPRODUCT((終値!E158:AC158),({0.077,0.071,0.065,0.06,0.055,0.051,0.047,0.043,0.039,0.036,0.033,0.031,0.028,0.026,0.024,0.022,0.02,0.018,0.017,0.016,0.014,0.013,0.012,0.011,0.01}))/SUM({0.077,0.071,0.065,0.06,0.055,0.051,0.047,0.043,0.039,0.036,0.033,0.031,0.028,0.026,0.024,0.022,0.02,0.018,0.017,0.016,0.014,0.013,0.012,0.011,0.01}),""))</f>
        <v>30024.207389749692</v>
      </c>
      <c r="AD156" s="404" t="str">
        <f>IF(OR(C156="",AB156="",AC156=""),"",IF(AND(E156&gt;AB156,AB156&gt;AC156),"パーフェクト▲",IF(E156&gt;AC156,"上昇トレンド▲",IF(AND(E156&lt;AB156,AB156&lt;AC156),"下降トレンド▼","もみ合い→"))))</f>
        <v>もみ合い→</v>
      </c>
      <c r="AE156" s="404" t="str">
        <f>IF(OR(C156="",AB156="",AC156=""),"",IF(AND(ABS(E156-AC156)/AC156&lt;=0.02,E156&gt;AC156),"25日押し目★",IF(AND(ABS(E156-AB156)/AB156&lt;=0.01,E156&gt;AB156),"5日押し目○","なし")))</f>
        <v>なし</v>
      </c>
      <c r="AF156" s="365">
        <f t="array" ref="AF156">IF(C156="","",IFERROR((INDEX(終値!$E:$E,MATCH(TEXT(C156,"0"),終値!$A:$A,0))-INDEX(終値!$E:$CZ,MATCH(TEXT(C156,"0"),終値!$A:$A,0),$AL$2))/INDEX(終値!$E:$CZ,MATCH(TEXT(C156,"0"),終値!$A:$A,0),$AL$2)*100,""))</f>
        <v>22.470978441127695</v>
      </c>
      <c r="AG156" s="365">
        <f t="array" ref="AG156">IFERROR((終値!$E$5-INDEX(終値!$E$5:$IT$5,1,$AL$2))/INDEX(終値!$E$5:$IT$5,1,$AL$2)*100,"")</f>
        <v>1.0179378228534113</v>
      </c>
      <c r="AH156" s="366">
        <f>IF(OR(AF156="",AG156=""),"",AF156-AG156)</f>
        <v>21.453040618274283</v>
      </c>
      <c r="AI156" s="364">
        <f>IF(AH156="","",IF(AH156&gt;5,3,IF(AH156&gt;0,1,IF(AH156&gt;-3,-1,-2))))</f>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3763</v>
      </c>
      <c r="F157" s="166">
        <f>IF(C157&lt;&gt;"",_xll.RssMarket(C157,"始値"),"")</f>
        <v>3738</v>
      </c>
      <c r="G157" s="165">
        <f>IF(C157&lt;&gt;"",終値!F64,"")</f>
        <v>3714</v>
      </c>
      <c r="H157" s="166">
        <f>IF(C157&lt;&gt;"",_xll.RssMarket(C157,"高値"),"")</f>
        <v>3800</v>
      </c>
      <c r="I157" s="166">
        <f>IF(C157&lt;&gt;"",_xll.RssMarket(C157,"安値"),"")</f>
        <v>3717</v>
      </c>
      <c r="J157" s="166">
        <f>IF(C157&lt;&gt;"",_xll.RssMarket(C157,"出来高"),"")</f>
        <v>521500</v>
      </c>
      <c r="K157" s="166">
        <f>IF(C157&lt;&gt;"",_xll.RssMarket(C157,"年初来高値"),"")</f>
        <v>4403</v>
      </c>
      <c r="L157" s="167">
        <f>IF(AND(E157&lt;&gt;"",K157&lt;&gt;"",K157&lt;&gt;0),(E157-K157)/K157*100,"")</f>
        <v>-14.535543947308655</v>
      </c>
      <c r="M157" s="166">
        <f>IF(C157&lt;&gt;"",IFERROR(AVERAGE(出来高!E64:I64),""),"")</f>
        <v>437000</v>
      </c>
      <c r="N157" s="166">
        <f>IF(C157&lt;&gt;"",IFERROR(AVERAGE(出来高!E64:AC64),""),"")</f>
        <v>366056</v>
      </c>
      <c r="O157" s="168">
        <f>IF(AND(J157&lt;&gt;"",M157&lt;&gt;"",M157&lt;&gt;0),J157/M157,"")</f>
        <v>1.1933638443935928</v>
      </c>
      <c r="P157" s="163" t="str">
        <f>IF(O157="","",IF(O157&gt;=2,"急増↑↑",IF(O157&gt;=1.5,"増加↑",IF(O157&gt;=1,"普通→","減少↓"))))</f>
        <v>普通→</v>
      </c>
      <c r="Q157" s="163" t="str">
        <f>IF(E157="","",IF(AND(E157&gt;G157,O157&gt;=1.5),"買い▲",IF(E157&lt;G157,"様子見▼","中立→")))</f>
        <v>中立→</v>
      </c>
      <c r="R157" s="166">
        <f>IF(E157&lt;&gt;"",ROUND(E157*1.08,0),"")</f>
        <v>4064</v>
      </c>
      <c r="S157" s="166">
        <f>IF(E157&lt;&gt;"",ROUND(E157*0.96,0),"")</f>
        <v>3612</v>
      </c>
      <c r="T157" s="163">
        <f>IF(C157="","",IFERROR(IF(O157&gt;=2,3,IF(O157&gt;=1.5,2,IF(O157&gt;=1,1,0)))+IF(E157&gt;G157,1,0)+IF(L157&gt;=-5,1,0)+IF(Q157="買い▲",2,0)+IF(W157&lt;=30,3,IF(W157&lt;=40,2,IF(AND(W157&gt;=40,W157&lt;=60),1,0)))+IF(X157&gt;0,1,0)+IF(V157="年初来高値更新●",3,IF(V157="高値圏",2,0))+IF(AD157="パーフェクト▲",3,IF(AD157="上昇トレンド▲",2,0))+IF(AE157="25日線押し目●",2,IF(AE157="5日線押し目○",1,0))+IF(P157="急増↑↑",2,IF(P157="増加↑",1,0))+N(AI157),0))</f>
        <v>4</v>
      </c>
      <c r="U157" s="163" t="str">
        <f>IF(T157="","",IF(AND(T157&gt;=3,O157&gt;=1.5),"有効",IF(T157&gt;=3,"要確認","除外")))</f>
        <v>要確認</v>
      </c>
      <c r="V157" s="163" t="str">
        <f>IF(AND(H157&lt;&gt;"",K157&lt;&gt;""),IF(H157&gt;=K157,"年初来高値更新●",IF(H157&gt;=K157*0.95,"高値圏","通常")),"")</f>
        <v>通常</v>
      </c>
      <c r="W157" s="169">
        <f t="array" ref="W157">IF(C157&lt;&gt;"",IFERROR(100-100/(1+SUMPRODUCT((終値!F64:R64&gt;終値!G64:S64)*( 終値!F64:R64-終値!G64:S64))/SUMPRODUCT((終値!F64:R64&lt;終値!G64:S64)*(終値!G64:S64-終値!F64:R64))),50),"")</f>
        <v>40.1673640167364</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様子見</v>
      </c>
      <c r="Z157" s="171">
        <f>IF(AND(E157&lt;&gt;"",G157&lt;&gt;"",G157&lt;&gt;0),(E157-G157)/G157*100,"")</f>
        <v>1.3193322563274097</v>
      </c>
      <c r="AA157" s="163" t="str">
        <f>IF(OR(C157="",E157="",E157=0),"",IF(E157&gt;G157,"上昇▲",IF(E157&lt;G157,"下落▼","横ばい→")))</f>
        <v>上昇▲</v>
      </c>
      <c r="AB157" s="405">
        <f>IF(C157="","",IFERROR(((終値!E159*0.333)+(終値!F159*0.222)+(終値!G159*0.148)+(終値!H159*0.099)+(終値!I159*0.066)+(終値!J159*0.044)+(終値!K159*0.029)+(終値!L159*0.019)+(終値!M159*0.013)+(終値!N159*0.009))/(0.333+0.222+0.148+0.099+0.066+0.044+0.029+0.019+0.013+0.009),""))</f>
        <v>6941.3951120162928</v>
      </c>
      <c r="AC157" s="405">
        <f>IF(C157="","",IFERROR(SUMPRODUCT((終値!E159:AC159),({0.077,0.071,0.065,0.06,0.055,0.051,0.047,0.043,0.039,0.036,0.033,0.031,0.028,0.026,0.024,0.022,0.02,0.018,0.017,0.016,0.014,0.013,0.012,0.011,0.01}))/SUM({0.077,0.071,0.065,0.06,0.055,0.051,0.047,0.043,0.039,0.036,0.033,0.031,0.028,0.026,0.024,0.022,0.02,0.018,0.017,0.016,0.014,0.013,0.012,0.011,0.01}),""))</f>
        <v>7072.6936829558972</v>
      </c>
      <c r="AD157" s="406" t="str">
        <f>IF(OR(C157="",AB157="",AC157=""),"",IF(AND(E157&gt;AB157,AB157&gt;AC157),"パーフェクト▲",IF(E157&gt;AC157,"上昇トレンド▲",IF(AND(E157&lt;AB157,AB157&lt;AC157),"下降トレンド▼","もみ合い→"))))</f>
        <v>下降トレンド▼</v>
      </c>
      <c r="AE157" s="406" t="str">
        <f>IF(OR(C157="",AB157="",AC157=""),"",IF(AND(ABS(E157-AC157)/AC157&lt;=0.02,E157&gt;AC157),"25日押し目★",IF(AND(ABS(E157-AB157)/AB157&lt;=0.01,E157&gt;AB157),"5日押し目○","なし")))</f>
        <v>なし</v>
      </c>
      <c r="AF157" s="365">
        <f t="array" ref="AF157">IF(C157="","",IFERROR((INDEX(終値!$E:$E,MATCH(TEXT(C157,"0"),終値!$A:$A,0))-INDEX(終値!$E:$CZ,MATCH(TEXT(C157,"0"),終値!$A:$A,0),$AL$2))/INDEX(終値!$E:$CZ,MATCH(TEXT(C157,"0"),終値!$A:$A,0),$AL$2)*100,""))</f>
        <v>1.7577068685776096</v>
      </c>
      <c r="AG157" s="365">
        <f t="array" ref="AG157">IFERROR((終値!$E$5-INDEX(終値!$E$5:$IT$5,1,$AL$2))/INDEX(終値!$E$5:$IT$5,1,$AL$2)*100,"")</f>
        <v>1.0179378228534113</v>
      </c>
      <c r="AH157" s="366">
        <f>IF(OR(AF157="",AG157=""),"",AF157-AG157)</f>
        <v>0.73976904572419833</v>
      </c>
      <c r="AI157" s="364">
        <f>IF(AH157="","",IF(AH157&gt;5,3,IF(AH157&gt;0,1,IF(AH157&gt;-3,-1,-2))))</f>
        <v>1</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1876</v>
      </c>
      <c r="F158" s="166">
        <f>IF(C158&lt;&gt;"",_xll.RssMarket(C158,"始値"),"")</f>
        <v>1856</v>
      </c>
      <c r="G158" s="165">
        <f>IF(C158&lt;&gt;"",終値!F67,"")</f>
        <v>1855.5</v>
      </c>
      <c r="H158" s="166">
        <f>IF(C158&lt;&gt;"",_xll.RssMarket(C158,"高値"),"")</f>
        <v>1910</v>
      </c>
      <c r="I158" s="166">
        <f>IF(C158&lt;&gt;"",_xll.RssMarket(C158,"安値"),"")</f>
        <v>1851.5</v>
      </c>
      <c r="J158" s="166">
        <f>IF(C158&lt;&gt;"",_xll.RssMarket(C158,"出来高"),"")</f>
        <v>903500</v>
      </c>
      <c r="K158" s="166">
        <f>IF(C158&lt;&gt;"",_xll.RssMarket(C158,"年初来高値"),"")</f>
        <v>2254</v>
      </c>
      <c r="L158" s="167">
        <f>IF(AND(E158&lt;&gt;"",K158&lt;&gt;"",K158&lt;&gt;0),(E158-K158)/K158*100,"")</f>
        <v>-16.770186335403729</v>
      </c>
      <c r="M158" s="166">
        <f>IF(C158&lt;&gt;"",IFERROR(AVERAGE(出来高!E67:I67),""),"")</f>
        <v>1009340</v>
      </c>
      <c r="N158" s="166">
        <f>IF(C158&lt;&gt;"",IFERROR(AVERAGE(出来高!E67:AC67),""),"")</f>
        <v>1166095.8333333333</v>
      </c>
      <c r="O158" s="168">
        <f>IF(AND(J158&lt;&gt;"",M158&lt;&gt;"",M158&lt;&gt;0),J158/M158,"")</f>
        <v>0.89513939802247011</v>
      </c>
      <c r="P158" s="163" t="str">
        <f>IF(O158="","",IF(O158&gt;=2,"急増↑↑",IF(O158&gt;=1.5,"増加↑",IF(O158&gt;=1,"普通→","減少↓"))))</f>
        <v>減少↓</v>
      </c>
      <c r="Q158" s="163" t="str">
        <f>IF(E158="","",IF(AND(E158&gt;G158,O158&gt;=1.5),"買い▲",IF(E158&lt;G158,"様子見▼","中立→")))</f>
        <v>中立→</v>
      </c>
      <c r="R158" s="166">
        <f>IF(E158&lt;&gt;"",ROUND(E158*1.08,0),"")</f>
        <v>2026</v>
      </c>
      <c r="S158" s="166">
        <f>IF(E158&lt;&gt;"",ROUND(E158*0.96,0),"")</f>
        <v>1801</v>
      </c>
      <c r="T158" s="163">
        <f>IF(C158="","",IFERROR(IF(O158&gt;=2,3,IF(O158&gt;=1.5,2,IF(O158&gt;=1,1,0)))+IF(E158&gt;G158,1,0)+IF(L158&gt;=-5,1,0)+IF(Q158="買い▲",2,0)+IF(W158&lt;=30,3,IF(W158&lt;=40,2,IF(AND(W158&gt;=40,W158&lt;=60),1,0)))+IF(X158&gt;0,1,0)+IF(V158="年初来高値更新●",3,IF(V158="高値圏",2,0))+IF(AD158="パーフェクト▲",3,IF(AD158="上昇トレンド▲",2,0))+IF(AE158="25日線押し目●",2,IF(AE158="5日線押し目○",1,0))+IF(P158="急増↑↑",2,IF(P158="増加↑",1,0))+N(AI158),0))</f>
        <v>3</v>
      </c>
      <c r="U158" s="163" t="str">
        <f>IF(T158="","",IF(AND(T158&gt;=3,O158&gt;=1.5),"有効",IF(T158&gt;=3,"要確認","除外")))</f>
        <v>要確認</v>
      </c>
      <c r="V158" s="163" t="str">
        <f>IF(AND(H158&lt;&gt;"",K158&lt;&gt;""),IF(H158&gt;=K158,"年初来高値更新●",IF(H158&gt;=K158*0.95,"高値圏","通常")),"")</f>
        <v>通常</v>
      </c>
      <c r="W158" s="169">
        <f t="array" ref="W158">IF(C158&lt;&gt;"",IFERROR(100-100/(1+SUMPRODUCT((終値!F67:R67&gt;終値!G67:S67)*( 終値!F67:R67-終値!G67:S67))/SUMPRODUCT((終値!F67:R67&lt;終値!G67:S67)*(終値!G67:S67-終値!F67:R67))),50),"")</f>
        <v>47.153623188405795</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様子見</v>
      </c>
      <c r="Z158" s="171">
        <f>IF(AND(E158&lt;&gt;"",G158&lt;&gt;"",G158&lt;&gt;0),(E158-G158)/G158*100,"")</f>
        <v>1.1048234977095122</v>
      </c>
      <c r="AA158" s="163" t="str">
        <f>IF(OR(C158="",E158="",E158=0),"",IF(E158&gt;G158,"上昇▲",IF(E158&lt;G158,"下落▼","横ばい→")))</f>
        <v>上昇▲</v>
      </c>
      <c r="AB158" s="403">
        <f>IF(C158="","",IFERROR(((終値!E160*0.333)+(終値!F160*0.222)+(終値!G160*0.148)+(終値!H160*0.099)+(終値!I160*0.066)+(終値!J160*0.044)+(終値!K160*0.029)+(終値!L160*0.019)+(終値!M160*0.013)+(終値!N160*0.009))/(0.333+0.222+0.148+0.099+0.066+0.044+0.029+0.019+0.013+0.009),""))</f>
        <v>1091.7953156822809</v>
      </c>
      <c r="AC158" s="403">
        <f>IF(C158="","",IFERROR(SUMPRODUCT((終値!E160:AC160),({0.077,0.071,0.065,0.06,0.055,0.051,0.047,0.043,0.039,0.036,0.033,0.031,0.028,0.026,0.024,0.022,0.02,0.018,0.017,0.016,0.014,0.013,0.012,0.011,0.01}))/SUM({0.077,0.071,0.065,0.06,0.055,0.051,0.047,0.043,0.039,0.036,0.033,0.031,0.028,0.026,0.024,0.022,0.02,0.018,0.017,0.016,0.014,0.013,0.012,0.011,0.01}),""))</f>
        <v>1085.8712753277707</v>
      </c>
      <c r="AD158" s="404" t="str">
        <f>IF(OR(C158="",AB158="",AC158=""),"",IF(AND(E158&gt;AB158,AB158&gt;AC158),"パーフェクト▲",IF(E158&gt;AC158,"上昇トレンド▲",IF(AND(E158&lt;AB158,AB158&lt;AC158),"下降トレンド▼","もみ合い→"))))</f>
        <v>パーフェクト▲</v>
      </c>
      <c r="AE158" s="404" t="str">
        <f>IF(OR(C158="",AB158="",AC158=""),"",IF(AND(ABS(E158-AC158)/AC158&lt;=0.02,E158&gt;AC158),"25日押し目★",IF(AND(ABS(E158-AB158)/AB158&lt;=0.01,E158&gt;AB158),"5日押し目○","なし")))</f>
        <v>なし</v>
      </c>
      <c r="AF158" s="365">
        <f t="array" ref="AF158">IF(C158="","",IFERROR((INDEX(終値!$E:$E,MATCH(TEXT(C158,"0"),終値!$A:$A,0))-INDEX(終値!$E:$CZ,MATCH(TEXT(C158,"0"),終値!$A:$A,0),$AL$2))/INDEX(終値!$E:$CZ,MATCH(TEXT(C158,"0"),終値!$A:$A,0),$AL$2)*100,""))</f>
        <v>-12.110564535019911</v>
      </c>
      <c r="AG158" s="365">
        <f t="array" ref="AG158">IFERROR((終値!$E$5-INDEX(終値!$E$5:$IT$5,1,$AL$2))/INDEX(終値!$E$5:$IT$5,1,$AL$2)*100,"")</f>
        <v>1.0179378228534113</v>
      </c>
      <c r="AH158" s="366">
        <f>IF(OR(AF158="",AG158=""),"",AF158-AG158)</f>
        <v>-13.128502357873323</v>
      </c>
      <c r="AI158" s="364">
        <f>IF(AH158="","",IF(AH158&gt;5,3,IF(AH158&gt;0,1,IF(AH158&gt;-3,-1,-2))))</f>
        <v>-2</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2338</v>
      </c>
      <c r="F159" s="166">
        <f>IF(C159&lt;&gt;"",_xll.RssMarket(C159,"始値"),"")</f>
        <v>2303</v>
      </c>
      <c r="G159" s="165">
        <f>IF(C159&lt;&gt;"",終値!F100,"")</f>
        <v>2301</v>
      </c>
      <c r="H159" s="166">
        <f>IF(C159&lt;&gt;"",_xll.RssMarket(C159,"高値"),"")</f>
        <v>2348.5</v>
      </c>
      <c r="I159" s="166">
        <f>IF(C159&lt;&gt;"",_xll.RssMarket(C159,"安値"),"")</f>
        <v>2296.5</v>
      </c>
      <c r="J159" s="166">
        <f>IF(C159&lt;&gt;"",_xll.RssMarket(C159,"出来高"),"")</f>
        <v>1513200</v>
      </c>
      <c r="K159" s="166">
        <f>IF(C159&lt;&gt;"",_xll.RssMarket(C159,"年初来高値"),"")</f>
        <v>2674.5</v>
      </c>
      <c r="L159" s="167">
        <f>IF(AND(E159&lt;&gt;"",K159&lt;&gt;"",K159&lt;&gt;0),(E159-K159)/K159*100,"")</f>
        <v>-12.581790988969901</v>
      </c>
      <c r="M159" s="166">
        <f>IF(C159&lt;&gt;"",IFERROR(AVERAGE(出来高!E100:I100),""),"")</f>
        <v>2049380</v>
      </c>
      <c r="N159" s="166">
        <f>IF(C159&lt;&gt;"",IFERROR(AVERAGE(出来高!E100:AC100),""),"")</f>
        <v>1574395.8333333333</v>
      </c>
      <c r="O159" s="168">
        <f>IF(AND(J159&lt;&gt;"",M159&lt;&gt;"",M159&lt;&gt;0),J159/M159,"")</f>
        <v>0.73836965326098625</v>
      </c>
      <c r="P159" s="163" t="str">
        <f>IF(O159="","",IF(O159&gt;=2,"急増↑↑",IF(O159&gt;=1.5,"増加↑",IF(O159&gt;=1,"普通→","減少↓"))))</f>
        <v>減少↓</v>
      </c>
      <c r="Q159" s="163" t="str">
        <f>IF(E159="","",IF(AND(E159&gt;G159,O159&gt;=1.5),"買い▲",IF(E159&lt;G159,"様子見▼","中立→")))</f>
        <v>中立→</v>
      </c>
      <c r="R159" s="166">
        <f>IF(E159&lt;&gt;"",ROUND(E159*1.08,0),"")</f>
        <v>2525</v>
      </c>
      <c r="S159" s="166">
        <f>IF(E159&lt;&gt;"",ROUND(E159*0.96,0),"")</f>
        <v>2244</v>
      </c>
      <c r="T159" s="163">
        <f>IF(C159="","",IFERROR(IF(O159&gt;=2,3,IF(O159&gt;=1.5,2,IF(O159&gt;=1,1,0)))+IF(E159&gt;G159,1,0)+IF(L159&gt;=-5,1,0)+IF(Q159="買い▲",2,0)+IF(W159&lt;=30,3,IF(W159&lt;=40,2,IF(AND(W159&gt;=40,W159&lt;=60),1,0)))+IF(X159&gt;0,1,0)+IF(V159="年初来高値更新●",3,IF(V159="高値圏",2,0))+IF(AD159="パーフェクト▲",3,IF(AD159="上昇トレンド▲",2,0))+IF(AE159="25日線押し目●",2,IF(AE159="5日線押し目○",1,0))+IF(P159="急増↑↑",2,IF(P159="増加↑",1,0))+N(AI159),0))</f>
        <v>4</v>
      </c>
      <c r="U159" s="163" t="str">
        <f>IF(T159="","",IF(AND(T159&gt;=3,O159&gt;=1.5),"有効",IF(T159&gt;=3,"要確認","除外")))</f>
        <v>要確認</v>
      </c>
      <c r="V159" s="163" t="str">
        <f>IF(AND(H159&lt;&gt;"",K159&lt;&gt;""),IF(H159&gt;=K159,"年初来高値更新●",IF(H159&gt;=K159*0.95,"高値圏","通常")),"")</f>
        <v>通常</v>
      </c>
      <c r="W159" s="169">
        <f t="array" ref="W159">IF(C159&lt;&gt;"",IFERROR(100-100/(1+SUMPRODUCT((終値!F100:R100&gt;終値!G100:S100)*( 終値!F100:R100-終値!G100:S100))/SUMPRODUCT((終値!F100:R100&lt;終値!G100:S100)*(終値!G100:S100-終値!F100:R100))),50),"")</f>
        <v>49.159542791278454</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様子見</v>
      </c>
      <c r="Z159" s="171">
        <f>IF(AND(E159&lt;&gt;"",G159&lt;&gt;"",G159&lt;&gt;0),(E159-G159)/G159*100,"")</f>
        <v>1.6079965232507605</v>
      </c>
      <c r="AA159" s="163" t="str">
        <f>IF(OR(C159="",E159="",E159=0),"",IF(E159&gt;G159,"上昇▲",IF(E159&lt;G159,"下落▼","横ばい→")))</f>
        <v>上昇▲</v>
      </c>
      <c r="AB159" s="405">
        <f>IF(C159="","",IFERROR(((終値!E161*0.333)+(終値!F161*0.222)+(終値!G161*0.148)+(終値!H161*0.099)+(終値!I161*0.066)+(終値!J161*0.044)+(終値!K161*0.029)+(終値!L161*0.019)+(終値!M161*0.013)+(終値!N161*0.009))/(0.333+0.222+0.148+0.099+0.066+0.044+0.029+0.019+0.013+0.009),""))</f>
        <v>1066.1945010183297</v>
      </c>
      <c r="AC159" s="405">
        <f>IF(C159="","",IFERROR(SUMPRODUCT((終値!E161:AC161),({0.077,0.071,0.065,0.06,0.055,0.051,0.047,0.043,0.039,0.036,0.033,0.031,0.028,0.026,0.024,0.022,0.02,0.018,0.017,0.016,0.014,0.013,0.012,0.011,0.01}))/SUM({0.077,0.071,0.065,0.06,0.055,0.051,0.047,0.043,0.039,0.036,0.033,0.031,0.028,0.026,0.024,0.022,0.02,0.018,0.017,0.016,0.014,0.013,0.012,0.011,0.01}),""))</f>
        <v>1046.4410011918947</v>
      </c>
      <c r="AD159" s="406" t="str">
        <f>IF(OR(C159="",AB159="",AC159=""),"",IF(AND(E159&gt;AB159,AB159&gt;AC159),"パーフェクト▲",IF(E159&gt;AC159,"上昇トレンド▲",IF(AND(E159&lt;AB159,AB159&lt;AC159),"下降トレンド▼","もみ合い→"))))</f>
        <v>パーフェクト▲</v>
      </c>
      <c r="AE159" s="406" t="str">
        <f>IF(OR(C159="",AB159="",AC159=""),"",IF(AND(ABS(E159-AC159)/AC159&lt;=0.02,E159&gt;AC159),"25日押し目★",IF(AND(ABS(E159-AB159)/AB159&lt;=0.01,E159&gt;AB159),"5日押し目○","なし")))</f>
        <v>なし</v>
      </c>
      <c r="AF159" s="365">
        <f t="array" ref="AF159">IF(C159="","",IFERROR((INDEX(終値!$E:$E,MATCH(TEXT(C159,"0"),終値!$A:$A,0))-INDEX(終値!$E:$CZ,MATCH(TEXT(C159,"0"),終値!$A:$A,0),$AL$2))/INDEX(終値!$E:$CZ,MATCH(TEXT(C159,"0"),終値!$A:$A,0),$AL$2)*100,""))</f>
        <v>-1.2668918918918919</v>
      </c>
      <c r="AG159" s="365">
        <f t="array" ref="AG159">IFERROR((終値!$E$5-INDEX(終値!$E$5:$IT$5,1,$AL$2))/INDEX(終値!$E$5:$IT$5,1,$AL$2)*100,"")</f>
        <v>1.0179378228534113</v>
      </c>
      <c r="AH159" s="366">
        <f>IF(OR(AF159="",AG159=""),"",AF159-AG159)</f>
        <v>-2.2848297147453032</v>
      </c>
      <c r="AI159" s="364">
        <f>IF(AH159="","",IF(AH159&gt;5,3,IF(AH159&gt;0,1,IF(AH159&gt;-3,-1,-2))))</f>
        <v>-1</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4691</v>
      </c>
      <c r="F160" s="166">
        <f>IF(C160&lt;&gt;"",_xll.RssMarket(C160,"始値"),"")</f>
        <v>4501</v>
      </c>
      <c r="G160" s="165">
        <f>IF(C160&lt;&gt;"",終値!F99,"")</f>
        <v>4520</v>
      </c>
      <c r="H160" s="166">
        <f>IF(C160&lt;&gt;"",_xll.RssMarket(C160,"高値"),"")</f>
        <v>4698</v>
      </c>
      <c r="I160" s="166">
        <f>IF(C160&lt;&gt;"",_xll.RssMarket(C160,"安値"),"")</f>
        <v>4479</v>
      </c>
      <c r="J160" s="166">
        <f>IF(C160&lt;&gt;"",_xll.RssMarket(C160,"出来高"),"")</f>
        <v>1421600</v>
      </c>
      <c r="K160" s="166">
        <f>IF(C160&lt;&gt;"",_xll.RssMarket(C160,"年初来高値"),"")</f>
        <v>5243</v>
      </c>
      <c r="L160" s="167">
        <f>IF(AND(E160&lt;&gt;"",K160&lt;&gt;"",K160&lt;&gt;0),(E160-K160)/K160*100,"")</f>
        <v>-10.52832347892428</v>
      </c>
      <c r="M160" s="166">
        <f>IF(C160&lt;&gt;"",IFERROR(AVERAGE(出来高!E99:I99),""),"")</f>
        <v>1949820</v>
      </c>
      <c r="N160" s="166">
        <f>IF(C160&lt;&gt;"",IFERROR(AVERAGE(出来高!E99:AC99),""),"")</f>
        <v>1798724</v>
      </c>
      <c r="O160" s="168">
        <f>IF(AND(J160&lt;&gt;"",M160&lt;&gt;"",M160&lt;&gt;0),J160/M160,"")</f>
        <v>0.72909294191258678</v>
      </c>
      <c r="P160" s="163" t="str">
        <f>IF(O160="","",IF(O160&gt;=2,"急増↑↑",IF(O160&gt;=1.5,"増加↑",IF(O160&gt;=1,"普通→","減少↓"))))</f>
        <v>減少↓</v>
      </c>
      <c r="Q160" s="163" t="str">
        <f>IF(E160="","",IF(AND(E160&gt;G160,O160&gt;=1.5),"買い▲",IF(E160&lt;G160,"様子見▼","中立→")))</f>
        <v>中立→</v>
      </c>
      <c r="R160" s="166">
        <f>IF(E160&lt;&gt;"",ROUND(E160*1.08,0),"")</f>
        <v>5066</v>
      </c>
      <c r="S160" s="166">
        <f>IF(E160&lt;&gt;"",ROUND(E160*0.96,0),"")</f>
        <v>4503</v>
      </c>
      <c r="T160" s="163">
        <f>IF(C160="","",IFERROR(IF(O160&gt;=2,3,IF(O160&gt;=1.5,2,IF(O160&gt;=1,1,0)))+IF(E160&gt;G160,1,0)+IF(L160&gt;=-5,1,0)+IF(Q160="買い▲",2,0)+IF(W160&lt;=30,3,IF(W160&lt;=40,2,IF(AND(W160&gt;=40,W160&lt;=60),1,0)))+IF(X160&gt;0,1,0)+IF(V160="年初来高値更新●",3,IF(V160="高値圏",2,0))+IF(AD160="パーフェクト▲",3,IF(AD160="上昇トレンド▲",2,0))+IF(AE160="25日線押し目●",2,IF(AE160="5日線押し目○",1,0))+IF(P160="急増↑↑",2,IF(P160="増加↑",1,0))+N(AI160),0))</f>
        <v>9</v>
      </c>
      <c r="U160" s="163" t="str">
        <f>IF(T160="","",IF(AND(T160&gt;=3,O160&gt;=1.5),"有効",IF(T160&gt;=3,"要確認","除外")))</f>
        <v>要確認</v>
      </c>
      <c r="V160" s="163" t="str">
        <f>IF(AND(H160&lt;&gt;"",K160&lt;&gt;""),IF(H160&gt;=K160,"年初来高値更新●",IF(H160&gt;=K160*0.95,"高値圏","通常")),"")</f>
        <v>通常</v>
      </c>
      <c r="W160" s="169">
        <f t="array" ref="W160">IF(C160&lt;&gt;"",IFERROR(100-100/(1+SUMPRODUCT((終値!F99:R99&gt;終値!G99:S99)*( 終値!F99:R99-終値!G99:S99))/SUMPRODUCT((終値!F99:R99&lt;終値!G99:S99)*(終値!G99:S99-終値!F99:R99))),50),"")</f>
        <v>59.141274238227147</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△注目</v>
      </c>
      <c r="Z160" s="171">
        <f>IF(AND(E160&lt;&gt;"",G160&lt;&gt;"",G160&lt;&gt;0),(E160-G160)/G160*100,"")</f>
        <v>3.7831858407079642</v>
      </c>
      <c r="AA160" s="163" t="str">
        <f>IF(OR(C160="",E160="",E160=0),"",IF(E160&gt;G160,"上昇▲",IF(E160&lt;G160,"下落▼","横ばい→")))</f>
        <v>上昇▲</v>
      </c>
      <c r="AB160" s="403">
        <f>IF(C160="","",IFERROR(((終値!E162*0.333)+(終値!F162*0.222)+(終値!G162*0.148)+(終値!H162*0.099)+(終値!I162*0.066)+(終値!J162*0.044)+(終値!K162*0.029)+(終値!L162*0.019)+(終値!M162*0.013)+(終値!N162*0.009))/(0.333+0.222+0.148+0.099+0.066+0.044+0.029+0.019+0.013+0.009),""))</f>
        <v>4385.4226069246424</v>
      </c>
      <c r="AC160" s="403">
        <f>IF(C160="","",IFERROR(SUMPRODUCT((終値!E162:AC162),({0.077,0.071,0.065,0.06,0.055,0.051,0.047,0.043,0.039,0.036,0.033,0.031,0.028,0.026,0.024,0.022,0.02,0.018,0.017,0.016,0.014,0.013,0.012,0.011,0.01}))/SUM({0.077,0.071,0.065,0.06,0.055,0.051,0.047,0.043,0.039,0.036,0.033,0.031,0.028,0.026,0.024,0.022,0.02,0.018,0.017,0.016,0.014,0.013,0.012,0.011,0.01}),""))</f>
        <v>4247.7890345649566</v>
      </c>
      <c r="AD160" s="404" t="str">
        <f>IF(OR(C160="",AB160="",AC160=""),"",IF(AND(E160&gt;AB160,AB160&gt;AC160),"パーフェクト▲",IF(E160&gt;AC160,"上昇トレンド▲",IF(AND(E160&lt;AB160,AB160&lt;AC160),"下降トレンド▼","もみ合い→"))))</f>
        <v>パーフェクト▲</v>
      </c>
      <c r="AE160" s="404" t="str">
        <f>IF(OR(C160="",AB160="",AC160=""),"",IF(AND(ABS(E160-AC160)/AC160&lt;=0.02,E160&gt;AC160),"25日押し目★",IF(AND(ABS(E160-AB160)/AB160&lt;=0.01,E160&gt;AB160),"5日押し目○","なし")))</f>
        <v>なし</v>
      </c>
      <c r="AF160" s="365">
        <f t="array" ref="AF160">IF(C160="","",IFERROR((INDEX(終値!$E:$E,MATCH(TEXT(C160,"0"),終値!$A:$A,0))-INDEX(終値!$E:$CZ,MATCH(TEXT(C160,"0"),終値!$A:$A,0),$AL$2))/INDEX(終値!$E:$CZ,MATCH(TEXT(C160,"0"),終値!$A:$A,0),$AL$2)*100,""))</f>
        <v>14.164030177658798</v>
      </c>
      <c r="AG160" s="365">
        <f t="array" ref="AG160">IFERROR((終値!$E$5-INDEX(終値!$E$5:$IT$5,1,$AL$2))/INDEX(終値!$E$5:$IT$5,1,$AL$2)*100,"")</f>
        <v>1.0179378228534113</v>
      </c>
      <c r="AH160" s="366">
        <f>IF(OR(AF160="",AG160=""),"",AF160-AG160)</f>
        <v>13.146092354805386</v>
      </c>
      <c r="AI160" s="364">
        <f>IF(AH160="","",IF(AH160&gt;5,3,IF(AH160&gt;0,1,IF(AH160&gt;-3,-1,-2))))</f>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6764</v>
      </c>
      <c r="F161" s="166">
        <f>IF(C161&lt;&gt;"",_xll.RssMarket(C161,"始値"),"")</f>
        <v>6620</v>
      </c>
      <c r="G161" s="165">
        <f>IF(C161&lt;&gt;"",終値!F130,"")</f>
        <v>6688</v>
      </c>
      <c r="H161" s="166">
        <f>IF(C161&lt;&gt;"",_xll.RssMarket(C161,"高値"),"")</f>
        <v>6764</v>
      </c>
      <c r="I161" s="166">
        <f>IF(C161&lt;&gt;"",_xll.RssMarket(C161,"安値"),"")</f>
        <v>6578</v>
      </c>
      <c r="J161" s="166">
        <f>IF(C161&lt;&gt;"",_xll.RssMarket(C161,"出来高"),"")</f>
        <v>3147300</v>
      </c>
      <c r="K161" s="166">
        <f>IF(C161&lt;&gt;"",_xll.RssMarket(C161,"年初来高値"),"")</f>
        <v>10700</v>
      </c>
      <c r="L161" s="167">
        <f>IF(AND(E161&lt;&gt;"",K161&lt;&gt;"",K161&lt;&gt;0),(E161-K161)/K161*100,"")</f>
        <v>-36.785046728971963</v>
      </c>
      <c r="M161" s="166">
        <f>IF(C161&lt;&gt;"",IFERROR(AVERAGE(出来高!E130:I130),""),"")</f>
        <v>3070460</v>
      </c>
      <c r="N161" s="166">
        <f>IF(C161&lt;&gt;"",IFERROR(AVERAGE(出来高!E130:AC130),""),"")</f>
        <v>2849779.1666666665</v>
      </c>
      <c r="O161" s="168">
        <f>IF(AND(J161&lt;&gt;"",M161&lt;&gt;"",M161&lt;&gt;0),J161/M161,"")</f>
        <v>1.0250255662018068</v>
      </c>
      <c r="P161" s="163" t="str">
        <f>IF(O161="","",IF(O161&gt;=2,"急増↑↑",IF(O161&gt;=1.5,"増加↑",IF(O161&gt;=1,"普通→","減少↓"))))</f>
        <v>普通→</v>
      </c>
      <c r="Q161" s="163" t="str">
        <f>IF(E161="","",IF(AND(E161&gt;G161,O161&gt;=1.5),"買い▲",IF(E161&lt;G161,"様子見▼","中立→")))</f>
        <v>中立→</v>
      </c>
      <c r="R161" s="166">
        <f>IF(E161&lt;&gt;"",ROUND(E161*1.08,0),"")</f>
        <v>7305</v>
      </c>
      <c r="S161" s="166">
        <f>IF(E161&lt;&gt;"",ROUND(E161*0.96,0),"")</f>
        <v>6493</v>
      </c>
      <c r="T161" s="163">
        <f>IF(C161="","",IFERROR(IF(O161&gt;=2,3,IF(O161&gt;=1.5,2,IF(O161&gt;=1,1,0)))+IF(E161&gt;G161,1,0)+IF(L161&gt;=-5,1,0)+IF(Q161="買い▲",2,0)+IF(W161&lt;=30,3,IF(W161&lt;=40,2,IF(AND(W161&gt;=40,W161&lt;=60),1,0)))+IF(X161&gt;0,1,0)+IF(V161="年初来高値更新●",3,IF(V161="高値圏",2,0))+IF(AD161="パーフェクト▲",3,IF(AD161="上昇トレンド▲",2,0))+IF(AE161="25日線押し目●",2,IF(AE161="5日線押し目○",1,0))+IF(P161="急増↑↑",2,IF(P161="増加↑",1,0))+N(AI161),0))</f>
        <v>3</v>
      </c>
      <c r="U161" s="163" t="str">
        <f>IF(T161="","",IF(AND(T161&gt;=3,O161&gt;=1.5),"有効",IF(T161&gt;=3,"要確認","除外")))</f>
        <v>要確認</v>
      </c>
      <c r="V161" s="163" t="str">
        <f>IF(AND(H161&lt;&gt;"",K161&lt;&gt;""),IF(H161&gt;=K161,"年初来高値更新●",IF(H161&gt;=K161*0.95,"高値圏","通常")),"")</f>
        <v>通常</v>
      </c>
      <c r="W161" s="169">
        <f t="array" ref="W161">IF(C161&lt;&gt;"",IFERROR(100-100/(1+SUMPRODUCT((終値!F130:R130&gt;終値!G130:S130)*( 終値!F130:R130-終値!G130:S130))/SUMPRODUCT((終値!F130:R130&lt;終値!G130:S130)*(終値!G130:S130-終値!F130:R130))),50),"")</f>
        <v>48.546511627906973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様子見</v>
      </c>
      <c r="Z161" s="171">
        <f>IF(AND(E161&lt;&gt;"",G161&lt;&gt;"",G161&lt;&gt;0),(E161-G161)/G161*100,"")</f>
        <v>1.1363636363636365</v>
      </c>
      <c r="AA161" s="163" t="str">
        <f>IF(OR(C161="",E161="",E161=0),"",IF(E161&gt;G161,"上昇▲",IF(E161&lt;G161,"下落▼","横ばい→")))</f>
        <v>上昇▲</v>
      </c>
      <c r="AB161" s="405">
        <f>IF(C161="","",IFERROR(((終値!E163*0.333)+(終値!F163*0.222)+(終値!G163*0.148)+(終値!H163*0.099)+(終値!I163*0.066)+(終値!J163*0.044)+(終値!K163*0.029)+(終値!L163*0.019)+(終値!M163*0.013)+(終値!N163*0.009))/(0.333+0.222+0.148+0.099+0.066+0.044+0.029+0.019+0.013+0.009),""))</f>
        <v>1505.8940936863542</v>
      </c>
      <c r="AC161" s="405">
        <f>IF(C161="","",IFERROR(SUMPRODUCT((終値!E163:AC163),({0.077,0.071,0.065,0.06,0.055,0.051,0.047,0.043,0.039,0.036,0.033,0.031,0.028,0.026,0.024,0.022,0.02,0.018,0.017,0.016,0.014,0.013,0.012,0.011,0.01}))/SUM({0.077,0.071,0.065,0.06,0.055,0.051,0.047,0.043,0.039,0.036,0.033,0.031,0.028,0.026,0.024,0.022,0.02,0.018,0.017,0.016,0.014,0.013,0.012,0.011,0.01}),""))</f>
        <v>1544.3814064362327</v>
      </c>
      <c r="AD161" s="406" t="str">
        <f>IF(OR(C161="",AB161="",AC161=""),"",IF(AND(E161&gt;AB161,AB161&gt;AC161),"パーフェクト▲",IF(E161&gt;AC161,"上昇トレンド▲",IF(AND(E161&lt;AB161,AB161&lt;AC161),"下降トレンド▼","もみ合い→"))))</f>
        <v>上昇トレンド▲</v>
      </c>
      <c r="AE161" s="406" t="str">
        <f>IF(OR(C161="",AB161="",AC161=""),"",IF(AND(ABS(E161-AC161)/AC161&lt;=0.02,E161&gt;AC161),"25日押し目★",IF(AND(ABS(E161-AB161)/AB161&lt;=0.01,E161&gt;AB161),"5日押し目○","なし")))</f>
        <v>なし</v>
      </c>
      <c r="AF161" s="365">
        <f t="array" ref="AF161">IF(C161="","",IFERROR((INDEX(終値!$E:$E,MATCH(TEXT(C161,"0"),終値!$A:$A,0))-INDEX(終値!$E:$CZ,MATCH(TEXT(C161,"0"),終値!$A:$A,0),$AL$2))/INDEX(終値!$E:$CZ,MATCH(TEXT(C161,"0"),終値!$A:$A,0),$AL$2)*100,""))</f>
        <v>-7.1006729844801537</v>
      </c>
      <c r="AG161" s="365">
        <f t="array" ref="AG161">IFERROR((終値!$E$5-INDEX(終値!$E$5:$IT$5,1,$AL$2))/INDEX(終値!$E$5:$IT$5,1,$AL$2)*100,"")</f>
        <v>1.0179378228534113</v>
      </c>
      <c r="AH161" s="366">
        <f>IF(OR(AF161="",AG161=""),"",AF161-AG161)</f>
        <v>-8.1186108073335657</v>
      </c>
      <c r="AI161" s="364">
        <f>IF(AH161="","",IF(AH161&gt;5,3,IF(AH161&gt;0,1,IF(AH161&gt;-3,-1,-2))))</f>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551</v>
      </c>
      <c r="F162" s="166">
        <f>IF(C162&lt;&gt;"",_xll.RssMarket(C162,"始値"),"")</f>
        <v>565</v>
      </c>
      <c r="G162" s="165">
        <f>IF(C162&lt;&gt;"",終値!F139,"")</f>
        <v>555</v>
      </c>
      <c r="H162" s="166">
        <f>IF(C162&lt;&gt;"",_xll.RssMarket(C162,"高値"),"")</f>
        <v>565</v>
      </c>
      <c r="I162" s="166">
        <f>IF(C162&lt;&gt;"",_xll.RssMarket(C162,"安値"),"")</f>
        <v>543</v>
      </c>
      <c r="J162" s="166">
        <f>IF(C162&lt;&gt;"",_xll.RssMarket(C162,"出来高"),"")</f>
        <v>20600</v>
      </c>
      <c r="K162" s="166">
        <f>IF(C162&lt;&gt;"",_xll.RssMarket(C162,"年初来高値"),"")</f>
        <v>1630</v>
      </c>
      <c r="L162" s="167">
        <f>IF(AND(E162&lt;&gt;"",K162&lt;&gt;"",K162&lt;&gt;0),(E162-K162)/K162*100,"")</f>
        <v>-66.196319018404907</v>
      </c>
      <c r="M162" s="166">
        <f>IF(C162&lt;&gt;"",IFERROR(AVERAGE(出来高!E139:I139),""),"")</f>
        <v>58120</v>
      </c>
      <c r="N162" s="166">
        <f>IF(C162&lt;&gt;"",IFERROR(AVERAGE(出来高!E139:AC139),""),"")</f>
        <v>67176</v>
      </c>
      <c r="O162" s="168">
        <f>IF(AND(J162&lt;&gt;"",M162&lt;&gt;"",M162&lt;&gt;0),J162/M162,"")</f>
        <v>0.35443909153475567</v>
      </c>
      <c r="P162" s="163" t="str">
        <f>IF(O162="","",IF(O162&gt;=2,"急増↑↑",IF(O162&gt;=1.5,"増加↑",IF(O162&gt;=1,"普通→","減少↓"))))</f>
        <v>減少↓</v>
      </c>
      <c r="Q162" s="163" t="str">
        <f>IF(E162="","",IF(AND(E162&gt;G162,O162&gt;=1.5),"買い▲",IF(E162&lt;G162,"様子見▼","中立→")))</f>
        <v>様子見▼</v>
      </c>
      <c r="R162" s="166">
        <f>IF(E162&lt;&gt;"",ROUND(E162*1.08,0),"")</f>
        <v>595</v>
      </c>
      <c r="S162" s="166">
        <f>IF(E162&lt;&gt;"",ROUND(E162*0.96,0),"")</f>
        <v>529</v>
      </c>
      <c r="T162" s="163">
        <f>IF(C162="","",IFERROR(IF(O162&gt;=2,3,IF(O162&gt;=1.5,2,IF(O162&gt;=1,1,0)))+IF(E162&gt;G162,1,0)+IF(L162&gt;=-5,1,0)+IF(Q162="買い▲",2,0)+IF(W162&lt;=30,3,IF(W162&lt;=40,2,IF(AND(W162&gt;=40,W162&lt;=60),1,0)))+IF(X162&gt;0,1,0)+IF(V162="年初来高値更新●",3,IF(V162="高値圏",2,0))+IF(AD162="パーフェクト▲",3,IF(AD162="上昇トレンド▲",2,0))+IF(AE162="25日線押し目●",2,IF(AE162="5日線押し目○",1,0))+IF(P162="急増↑↑",2,IF(P162="増加↑",1,0))+N(AI162),0))</f>
        <v>0</v>
      </c>
      <c r="U162" s="163" t="str">
        <f>IF(T162="","",IF(AND(T162&gt;=3,O162&gt;=1.5),"有効",IF(T162&gt;=3,"要確認","除外")))</f>
        <v>除外</v>
      </c>
      <c r="V162" s="163" t="str">
        <f>IF(AND(H162&lt;&gt;"",K162&lt;&gt;""),IF(H162&gt;=K162,"年初来高値更新●",IF(H162&gt;=K162*0.95,"高値圏","通常")),"")</f>
        <v>通常</v>
      </c>
      <c r="W162" s="169">
        <f t="array" ref="W162">IF(C162&lt;&gt;"",IFERROR(100-100/(1+SUMPRODUCT((終値!F139:R139&gt;終値!G139:S139)*( 終値!F139:R139-終値!G139:S139))/SUMPRODUCT((終値!F139:R139&lt;終値!G139:S139)*(終値!G139:S139-終値!F139:R139))),50),"")</f>
        <v>47.596153846153847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見送り</v>
      </c>
      <c r="Z162" s="171">
        <f>IF(AND(E162&lt;&gt;"",G162&lt;&gt;"",G162&lt;&gt;0),(E162-G162)/G162*100,"")</f>
        <v>-0.72072072072072069</v>
      </c>
      <c r="AA162" s="163" t="str">
        <f>IF(OR(C162="",E162="",E162=0),"",IF(E162&gt;G162,"上昇▲",IF(E162&lt;G162,"下落▼","横ばい→")))</f>
        <v>下落▼</v>
      </c>
      <c r="AB162" s="403">
        <f>IF(C162="","",IFERROR(((終値!E164*0.333)+(終値!F164*0.222)+(終値!G164*0.148)+(終値!H164*0.099)+(終値!I164*0.066)+(終値!J164*0.044)+(終値!K164*0.029)+(終値!L164*0.019)+(終値!M164*0.013)+(終値!N164*0.009))/(0.333+0.222+0.148+0.099+0.066+0.044+0.029+0.019+0.013+0.009),""))</f>
        <v>1305.2393075356413</v>
      </c>
      <c r="AC162" s="403">
        <f>IF(C162="","",IFERROR(SUMPRODUCT((終値!E164:AC164),({0.077,0.071,0.065,0.06,0.055,0.051,0.047,0.043,0.039,0.036,0.033,0.031,0.028,0.026,0.024,0.022,0.02,0.018,0.017,0.016,0.014,0.013,0.012,0.011,0.01}))/SUM({0.077,0.071,0.065,0.06,0.055,0.051,0.047,0.043,0.039,0.036,0.033,0.031,0.028,0.026,0.024,0.022,0.02,0.018,0.017,0.016,0.014,0.013,0.012,0.011,0.01}),""))</f>
        <v>1272.3110846245527</v>
      </c>
      <c r="AD162" s="404" t="str">
        <f>IF(OR(C162="",AB162="",AC162=""),"",IF(AND(E162&gt;AB162,AB162&gt;AC162),"パーフェクト▲",IF(E162&gt;AC162,"上昇トレンド▲",IF(AND(E162&lt;AB162,AB162&lt;AC162),"下降トレンド▼","もみ合い→"))))</f>
        <v>もみ合い→</v>
      </c>
      <c r="AE162" s="404" t="str">
        <f>IF(OR(C162="",AB162="",AC162=""),"",IF(AND(ABS(E162-AC162)/AC162&lt;=0.02,E162&gt;AC162),"25日押し目★",IF(AND(ABS(E162-AB162)/AB162&lt;=0.01,E162&gt;AB162),"5日押し目○","なし")))</f>
        <v>なし</v>
      </c>
      <c r="AF162" s="365">
        <f t="array" ref="AF162">IF(C162="","",IFERROR((INDEX(終値!$E:$E,MATCH(TEXT(C162,"0"),終値!$A:$A,0))-INDEX(終値!$E:$CZ,MATCH(TEXT(C162,"0"),終値!$A:$A,0),$AL$2))/INDEX(終値!$E:$CZ,MATCH(TEXT(C162,"0"),終値!$A:$A,0),$AL$2)*100,""))</f>
        <v>-0.54151624548736454</v>
      </c>
      <c r="AG162" s="365">
        <f t="array" ref="AG162">IFERROR((終値!$E$5-INDEX(終値!$E$5:$IT$5,1,$AL$2))/INDEX(終値!$E$5:$IT$5,1,$AL$2)*100,"")</f>
        <v>1.0179378228534113</v>
      </c>
      <c r="AH162" s="366">
        <f>IF(OR(AF162="",AG162=""),"",AF162-AG162)</f>
        <v>-1.5594540683407758</v>
      </c>
      <c r="AI162" s="364">
        <f>IF(AH162="","",IF(AH162&gt;5,3,IF(AH162&gt;0,1,IF(AH162&gt;-3,-1,-2))))</f>
        <v>-1</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4600</v>
      </c>
      <c r="F163" s="166">
        <f>IF(C163&lt;&gt;"",_xll.RssMarket(C163,"始値"),"")</f>
        <v>4350</v>
      </c>
      <c r="G163" s="165">
        <f>IF(C163&lt;&gt;"",終値!F153,"")</f>
        <v>4365</v>
      </c>
      <c r="H163" s="166">
        <f>IF(C163&lt;&gt;"",_xll.RssMarket(C163,"高値"),"")</f>
        <v>4640</v>
      </c>
      <c r="I163" s="166">
        <f>IF(C163&lt;&gt;"",_xll.RssMarket(C163,"安値"),"")</f>
        <v>4250</v>
      </c>
      <c r="J163" s="166">
        <f>IF(C163&lt;&gt;"",_xll.RssMarket(C163,"出来高"),"")</f>
        <v>57300</v>
      </c>
      <c r="K163" s="166">
        <f>IF(C163&lt;&gt;"",_xll.RssMarket(C163,"年初来高値"),"")</f>
        <v>4700</v>
      </c>
      <c r="L163" s="167">
        <f>IF(AND(E163&lt;&gt;"",K163&lt;&gt;"",K163&lt;&gt;0),(E163-K163)/K163*100,"")</f>
        <v>-2.1276595744680851</v>
      </c>
      <c r="M163" s="166">
        <f>IF(C163&lt;&gt;"",IFERROR(AVERAGE(出来高!E153:I153),""),"")</f>
        <v>70000</v>
      </c>
      <c r="N163" s="166">
        <f>IF(C163&lt;&gt;"",IFERROR(AVERAGE(出来高!E153:AC153),""),"")</f>
        <v>70080</v>
      </c>
      <c r="O163" s="168">
        <f>IF(AND(J163&lt;&gt;"",M163&lt;&gt;"",M163&lt;&gt;0),J163/M163,"")</f>
        <v>0.81857142857142862</v>
      </c>
      <c r="P163" s="163" t="str">
        <f>IF(O163="","",IF(O163&gt;=2,"急増↑↑",IF(O163&gt;=1.5,"増加↑",IF(O163&gt;=1,"普通→","減少↓"))))</f>
        <v>減少↓</v>
      </c>
      <c r="Q163" s="163" t="str">
        <f>IF(E163="","",IF(AND(E163&gt;G163,O163&gt;=1.5),"買い▲",IF(E163&lt;G163,"様子見▼","中立→")))</f>
        <v>中立→</v>
      </c>
      <c r="R163" s="166">
        <f>IF(E163&lt;&gt;"",ROUND(E163*1.08,0),"")</f>
        <v>4968</v>
      </c>
      <c r="S163" s="166">
        <f>IF(E163&lt;&gt;"",ROUND(E163*0.96,0),"")</f>
        <v>4416</v>
      </c>
      <c r="T163" s="163">
        <f>IF(C163="","",IFERROR(IF(O163&gt;=2,3,IF(O163&gt;=1.5,2,IF(O163&gt;=1,1,0)))+IF(E163&gt;G163,1,0)+IF(L163&gt;=-5,1,0)+IF(Q163="買い▲",2,0)+IF(W163&lt;=30,3,IF(W163&lt;=40,2,IF(AND(W163&gt;=40,W163&lt;=60),1,0)))+IF(X163&gt;0,1,0)+IF(V163="年初来高値更新●",3,IF(V163="高値圏",2,0))+IF(AD163="パーフェクト▲",3,IF(AD163="上昇トレンド▲",2,0))+IF(AE163="25日線押し目●",2,IF(AE163="5日線押し目○",1,0))+IF(P163="急増↑↑",2,IF(P163="増加↑",1,0))+N(AI163),0))</f>
        <v>9</v>
      </c>
      <c r="U163" s="163" t="str">
        <f>IF(T163="","",IF(AND(T163&gt;=3,O163&gt;=1.5),"有効",IF(T163&gt;=3,"要確認","除外")))</f>
        <v>要確認</v>
      </c>
      <c r="V163" s="163" t="str">
        <f>IF(AND(H163&lt;&gt;"",K163&lt;&gt;""),IF(H163&gt;=K163,"年初来高値更新●",IF(H163&gt;=K163*0.95,"高値圏","通常")),"")</f>
        <v>高値圏</v>
      </c>
      <c r="W163" s="169">
        <f t="array" ref="W163">IF(C163&lt;&gt;"",IFERROR(100-100/(1+SUMPRODUCT((終値!F153:R153&gt;終値!G153:S153)*( 終値!F153:R153-終値!G153:S153))/SUMPRODUCT((終値!F153:R153&lt;終値!G153:S153)*(終値!G153:S153-終値!F153:R153))),50),"")</f>
        <v>50</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△注目</v>
      </c>
      <c r="Z163" s="171">
        <f>IF(AND(E163&lt;&gt;"",G163&lt;&gt;"",G163&lt;&gt;0),(E163-G163)/G163*100,"")</f>
        <v>5.3837342497136316</v>
      </c>
      <c r="AA163" s="163" t="str">
        <f>IF(OR(C163="",E163="",E163=0),"",IF(E163&gt;G163,"上昇▲",IF(E163&lt;G163,"下落▼","横ばい→")))</f>
        <v>上昇▲</v>
      </c>
      <c r="AB163" s="405">
        <f>IF(C163="","",IFERROR(((終値!E165*0.333)+(終値!F165*0.222)+(終値!G165*0.148)+(終値!H165*0.099)+(終値!I165*0.066)+(終値!J165*0.044)+(終値!K165*0.029)+(終値!L165*0.019)+(終値!M165*0.013)+(終値!N165*0.009))/(0.333+0.222+0.148+0.099+0.066+0.044+0.029+0.019+0.013+0.009),""))</f>
        <v>7876.6211812627289</v>
      </c>
      <c r="AC163" s="405">
        <f>IF(C163="","",IFERROR(SUMPRODUCT((終値!E165:AC165),({0.077,0.071,0.065,0.06,0.055,0.051,0.047,0.043,0.039,0.036,0.033,0.031,0.028,0.026,0.024,0.022,0.02,0.018,0.017,0.016,0.014,0.013,0.012,0.011,0.01}))/SUM({0.077,0.071,0.065,0.06,0.055,0.051,0.047,0.043,0.039,0.036,0.033,0.031,0.028,0.026,0.024,0.022,0.02,0.018,0.017,0.016,0.014,0.013,0.012,0.011,0.01}),""))</f>
        <v>7478.9320619785431</v>
      </c>
      <c r="AD163" s="406" t="str">
        <f>IF(OR(C163="",AB163="",AC163=""),"",IF(AND(E163&gt;AB163,AB163&gt;AC163),"パーフェクト▲",IF(E163&gt;AC163,"上昇トレンド▲",IF(AND(E163&lt;AB163,AB163&lt;AC163),"下降トレンド▼","もみ合い→"))))</f>
        <v>もみ合い→</v>
      </c>
      <c r="AE163" s="406" t="str">
        <f>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20.73490813648294</v>
      </c>
      <c r="AG163" s="365">
        <f t="array" ref="AG163">IFERROR((終値!$E$5-INDEX(終値!$E$5:$IT$5,1,$AL$2))/INDEX(終値!$E$5:$IT$5,1,$AL$2)*100,"")</f>
        <v>1.0179378228534113</v>
      </c>
      <c r="AH163" s="366">
        <f>IF(OR(AF163="",AG163=""),"",AF163-AG163)</f>
        <v>19.716970313629528</v>
      </c>
      <c r="AI163" s="364">
        <f>IF(AH163="","",IF(AH163&gt;5,3,IF(AH163&gt;0,1,IF(AH163&gt;-3,-1,-2))))</f>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724</v>
      </c>
      <c r="F164" s="166">
        <f>IF(C164&lt;&gt;"",_xll.RssMarket(C164,"始値"),"")</f>
        <v>713</v>
      </c>
      <c r="G164" s="165">
        <f>IF(C164&lt;&gt;"",終値!F173,"")</f>
        <v>713</v>
      </c>
      <c r="H164" s="166">
        <f>IF(C164&lt;&gt;"",_xll.RssMarket(C164,"高値"),"")</f>
        <v>727</v>
      </c>
      <c r="I164" s="166">
        <f>IF(C164&lt;&gt;"",_xll.RssMarket(C164,"安値"),"")</f>
        <v>712</v>
      </c>
      <c r="J164" s="166">
        <f>IF(C164&lt;&gt;"",_xll.RssMarket(C164,"出来高"),"")</f>
        <v>36200</v>
      </c>
      <c r="K164" s="166">
        <f>IF(C164&lt;&gt;"",_xll.RssMarket(C164,"年初来高値"),"")</f>
        <v>995</v>
      </c>
      <c r="L164" s="167">
        <f>IF(AND(E164&lt;&gt;"",K164&lt;&gt;"",K164&lt;&gt;0),(E164-K164)/K164*100,"")</f>
        <v>-27.236180904522612</v>
      </c>
      <c r="M164" s="166">
        <f>IF(C164&lt;&gt;"",IFERROR(AVERAGE(出来高!E173:I173),""),"")</f>
        <v>37320</v>
      </c>
      <c r="N164" s="166">
        <f>IF(C164&lt;&gt;"",IFERROR(AVERAGE(出来高!E173:AC173),""),"")</f>
        <v>51466.666666666664</v>
      </c>
      <c r="O164" s="168">
        <f>IF(AND(J164&lt;&gt;"",M164&lt;&gt;"",M164&lt;&gt;0),J164/M164,"")</f>
        <v>0.969989281886388</v>
      </c>
      <c r="P164" s="163" t="str">
        <f>IF(O164="","",IF(O164&gt;=2,"急増↑↑",IF(O164&gt;=1.5,"増加↑",IF(O164&gt;=1,"普通→","減少↓"))))</f>
        <v>減少↓</v>
      </c>
      <c r="Q164" s="163" t="str">
        <f>IF(E164="","",IF(AND(E164&gt;G164,O164&gt;=1.5),"買い▲",IF(E164&lt;G164,"様子見▼","中立→")))</f>
        <v>中立→</v>
      </c>
      <c r="R164" s="166">
        <f>IF(E164&lt;&gt;"",ROUND(E164*1.08,0),"")</f>
        <v>782</v>
      </c>
      <c r="S164" s="166">
        <f>IF(E164&lt;&gt;"",ROUND(E164*0.96,0),"")</f>
        <v>695</v>
      </c>
      <c r="T164" s="163">
        <f>IF(C164="","",IFERROR(IF(O164&gt;=2,3,IF(O164&gt;=1.5,2,IF(O164&gt;=1,1,0)))+IF(E164&gt;G164,1,0)+IF(L164&gt;=-5,1,0)+IF(Q164="買い▲",2,0)+IF(W164&lt;=30,3,IF(W164&lt;=40,2,IF(AND(W164&gt;=40,W164&lt;=60),1,0)))+IF(X164&gt;0,1,0)+IF(V164="年初来高値更新●",3,IF(V164="高値圏",2,0))+IF(AD164="パーフェクト▲",3,IF(AD164="上昇トレンド▲",2,0))+IF(AE164="25日線押し目●",2,IF(AE164="5日線押し目○",1,0))+IF(P164="急増↑↑",2,IF(P164="増加↑",1,0))+N(AI164),0))</f>
        <v>1</v>
      </c>
      <c r="U164" s="163" t="str">
        <f>IF(T164="","",IF(AND(T164&gt;=3,O164&gt;=1.5),"有効",IF(T164&gt;=3,"要確認","除外")))</f>
        <v>除外</v>
      </c>
      <c r="V164" s="163" t="str">
        <f>IF(AND(H164&lt;&gt;"",K164&lt;&gt;""),IF(H164&gt;=K164,"年初来高値更新●",IF(H164&gt;=K164*0.95,"高値圏","通常")),"")</f>
        <v>通常</v>
      </c>
      <c r="W164" s="169">
        <f t="array" ref="W164">IF(C164&lt;&gt;"",IFERROR(100-100/(1+SUMPRODUCT((終値!F173:R173&gt;終値!G173:S173)*( 終値!F173:R173-終値!G173:S173))/SUMPRODUCT((終値!F173:R173&lt;終値!G173:S173)*(終値!G173:S173-終値!F173:R173))),50),"")</f>
        <v>49.624573378839592</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見送り</v>
      </c>
      <c r="Z164" s="171">
        <f>IF(AND(E164&lt;&gt;"",G164&lt;&gt;"",G164&lt;&gt;0),(E164-G164)/G164*100,"")</f>
        <v>1.5427769985974753</v>
      </c>
      <c r="AA164" s="163" t="str">
        <f>IF(OR(C164="",E164="",E164=0),"",IF(E164&gt;G164,"上昇▲",IF(E164&lt;G164,"下落▼","横ばい→")))</f>
        <v>上昇▲</v>
      </c>
      <c r="AB164" s="403">
        <f>IF(C164="","",IFERROR(((終値!E166*0.333)+(終値!F166*0.222)+(終値!G166*0.148)+(終値!H166*0.099)+(終値!I166*0.066)+(終値!J166*0.044)+(終値!K166*0.029)+(終値!L166*0.019)+(終値!M166*0.013)+(終値!N166*0.009))/(0.333+0.222+0.148+0.099+0.066+0.044+0.029+0.019+0.013+0.009),""))</f>
        <v>2296.957230142566</v>
      </c>
      <c r="AC164" s="403">
        <f>IF(C164="","",IFERROR(SUMPRODUCT((終値!E166:AC166),({0.077,0.071,0.065,0.06,0.055,0.051,0.047,0.043,0.039,0.036,0.033,0.031,0.028,0.026,0.024,0.022,0.02,0.018,0.017,0.016,0.014,0.013,0.012,0.011,0.01}))/SUM({0.077,0.071,0.065,0.06,0.055,0.051,0.047,0.043,0.039,0.036,0.033,0.031,0.028,0.026,0.024,0.022,0.02,0.018,0.017,0.016,0.014,0.013,0.012,0.011,0.01}),""))</f>
        <v>2325.5065554231214</v>
      </c>
      <c r="AD164" s="404" t="str">
        <f>IF(OR(C164="",AB164="",AC164=""),"",IF(AND(E164&gt;AB164,AB164&gt;AC164),"パーフェクト▲",IF(E164&gt;AC164,"上昇トレンド▲",IF(AND(E164&lt;AB164,AB164&lt;AC164),"下降トレンド▼","もみ合い→"))))</f>
        <v>下降トレンド▼</v>
      </c>
      <c r="AE164" s="404" t="str">
        <f>IF(OR(C164="",AB164="",AC164=""),"",IF(AND(ABS(E164-AC164)/AC164&lt;=0.02,E164&gt;AC164),"25日押し目★",IF(AND(ABS(E164-AB164)/AB164&lt;=0.01,E164&gt;AB164),"5日押し目○","なし")))</f>
        <v>なし</v>
      </c>
      <c r="AF164" s="365">
        <f t="array" ref="AF164">IF(C164="","",IFERROR((INDEX(終値!$E:$E,MATCH(TEXT(C164,"0"),終値!$A:$A,0))-INDEX(終値!$E:$CZ,MATCH(TEXT(C164,"0"),終値!$A:$A,0),$AL$2))/INDEX(終値!$E:$CZ,MATCH(TEXT(C164,"0"),終値!$A:$A,0),$AL$2)*100,""))</f>
        <v>0.83565459610027859</v>
      </c>
      <c r="AG164" s="365">
        <f t="array" ref="AG164">IFERROR((終値!$E$5-INDEX(終値!$E$5:$IT$5,1,$AL$2))/INDEX(終値!$E$5:$IT$5,1,$AL$2)*100,"")</f>
        <v>1.0179378228534113</v>
      </c>
      <c r="AH164" s="366">
        <f>IF(OR(AF164="",AG164=""),"",AF164-AG164)</f>
        <v>-0.18228322675313269</v>
      </c>
      <c r="AI164" s="364">
        <f>IF(AH164="","",IF(AH164&gt;5,3,IF(AH164&gt;0,1,IF(AH164&gt;-3,-1,-2))))</f>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1083</v>
      </c>
      <c r="F165" s="166">
        <f>IF(C165&lt;&gt;"",_xll.RssMarket(C165,"始値"),"")</f>
        <v>1097</v>
      </c>
      <c r="G165" s="165">
        <f>IF(C165&lt;&gt;"",終値!F160,"")</f>
        <v>1069</v>
      </c>
      <c r="H165" s="166">
        <f>IF(C165&lt;&gt;"",_xll.RssMarket(C165,"高値"),"")</f>
        <v>1097</v>
      </c>
      <c r="I165" s="166">
        <f>IF(C165&lt;&gt;"",_xll.RssMarket(C165,"安値"),"")</f>
        <v>1072</v>
      </c>
      <c r="J165" s="166">
        <f>IF(C165&lt;&gt;"",_xll.RssMarket(C165,"出来高"),"")</f>
        <v>1123900</v>
      </c>
      <c r="K165" s="166">
        <f>IF(C165&lt;&gt;"",_xll.RssMarket(C165,"年初来高値"),"")</f>
        <v>1212</v>
      </c>
      <c r="L165" s="167">
        <f>IF(AND(E165&lt;&gt;"",K165&lt;&gt;"",K165&lt;&gt;0),(E165-K165)/K165*100,"")</f>
        <v>-10.643564356435643</v>
      </c>
      <c r="M165" s="166">
        <f>IF(C165&lt;&gt;"",IFERROR(AVERAGE(出来高!E160:I160),""),"")</f>
        <v>1175520</v>
      </c>
      <c r="N165" s="166">
        <f>IF(C165&lt;&gt;"",IFERROR(AVERAGE(出来高!E160:AC160),""),"")</f>
        <v>1149560</v>
      </c>
      <c r="O165" s="168">
        <f>IF(AND(J165&lt;&gt;"",M165&lt;&gt;"",M165&lt;&gt;0),J165/M165,"")</f>
        <v>0.95608751871512176</v>
      </c>
      <c r="P165" s="163" t="str">
        <f>IF(O165="","",IF(O165&gt;=2,"急増↑↑",IF(O165&gt;=1.5,"増加↑",IF(O165&gt;=1,"普通→","減少↓"))))</f>
        <v>減少↓</v>
      </c>
      <c r="Q165" s="163" t="str">
        <f>IF(E165="","",IF(AND(E165&gt;G165,O165&gt;=1.5),"買い▲",IF(E165&lt;G165,"様子見▼","中立→")))</f>
        <v>中立→</v>
      </c>
      <c r="R165" s="166">
        <f>IF(E165&lt;&gt;"",ROUND(E165*1.08,0),"")</f>
        <v>1170</v>
      </c>
      <c r="S165" s="166">
        <f>IF(E165&lt;&gt;"",ROUND(E165*0.96,0),"")</f>
        <v>1040</v>
      </c>
      <c r="T165" s="163">
        <f>IF(C165="","",IFERROR(IF(O165&gt;=2,3,IF(O165&gt;=1.5,2,IF(O165&gt;=1,1,0)))+IF(E165&gt;G165,1,0)+IF(L165&gt;=-5,1,0)+IF(Q165="買い▲",2,0)+IF(W165&lt;=30,3,IF(W165&lt;=40,2,IF(AND(W165&gt;=40,W165&lt;=60),1,0)))+IF(X165&gt;0,1,0)+IF(V165="年初来高値更新●",3,IF(V165="高値圏",2,0))+IF(AD165="パーフェクト▲",3,IF(AD165="上昇トレンド▲",2,0))+IF(AE165="25日線押し目●",2,IF(AE165="5日線押し目○",1,0))+IF(P165="急増↑↑",2,IF(P165="増加↑",1,0))+N(AI165),0))</f>
        <v>6</v>
      </c>
      <c r="U165" s="163" t="str">
        <f>IF(T165="","",IF(AND(T165&gt;=3,O165&gt;=1.5),"有効",IF(T165&gt;=3,"要確認","除外")))</f>
        <v>要確認</v>
      </c>
      <c r="V165" s="163" t="str">
        <f>IF(AND(H165&lt;&gt;"",K165&lt;&gt;""),IF(H165&gt;=K165,"年初来高値更新●",IF(H165&gt;=K165*0.95,"高値圏","通常")),"")</f>
        <v>通常</v>
      </c>
      <c r="W165" s="169">
        <f t="array" ref="W165">IF(C165&lt;&gt;"",IFERROR(100-100/(1+SUMPRODUCT((終値!F160:R160&gt;終値!G160:S160)*( 終値!F160:R160-終値!G160:S160))/SUMPRODUCT((終値!F160:R160&lt;終値!G160:S160)*(終値!G160:S160-終値!F160:R160))),50),"")</f>
        <v>55.270655270655276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△注目</v>
      </c>
      <c r="Z165" s="171">
        <f>IF(AND(E165&lt;&gt;"",G165&lt;&gt;"",G165&lt;&gt;0),(E165-G165)/G165*100,"")</f>
        <v>1.3096351730589337</v>
      </c>
      <c r="AA165" s="163" t="str">
        <f>IF(OR(C165="",E165="",E165=0),"",IF(E165&gt;G165,"上昇▲",IF(E165&lt;G165,"下落▼","横ばい→")))</f>
        <v>上昇▲</v>
      </c>
      <c r="AB165" s="405">
        <f>IF(C165="","",IFERROR(((終値!E167*0.333)+(終値!F167*0.222)+(終値!G167*0.148)+(終値!H167*0.099)+(終値!I167*0.066)+(終値!J167*0.044)+(終値!K167*0.029)+(終値!L167*0.019)+(終値!M167*0.013)+(終値!N167*0.009))/(0.333+0.222+0.148+0.099+0.066+0.044+0.029+0.019+0.013+0.009),""))</f>
        <v>3208.9307535641551</v>
      </c>
      <c r="AC165" s="405">
        <f>IF(C165="","",IFERROR(SUMPRODUCT((終値!E167:AC167),({0.077,0.071,0.065,0.06,0.055,0.051,0.047,0.043,0.039,0.036,0.033,0.031,0.028,0.026,0.024,0.022,0.02,0.018,0.017,0.016,0.014,0.013,0.012,0.011,0.01}))/SUM({0.077,0.071,0.065,0.06,0.055,0.051,0.047,0.043,0.039,0.036,0.033,0.031,0.028,0.026,0.024,0.022,0.02,0.018,0.017,0.016,0.014,0.013,0.012,0.011,0.01}),""))</f>
        <v>3057.7413587604287</v>
      </c>
      <c r="AD165" s="406" t="str">
        <f>IF(OR(C165="",AB165="",AC165=""),"",IF(AND(E165&gt;AB165,AB165&gt;AC165),"パーフェクト▲",IF(E165&gt;AC165,"上昇トレンド▲",IF(AND(E165&lt;AB165,AB165&lt;AC165),"下降トレンド▼","もみ合い→"))))</f>
        <v>もみ合い→</v>
      </c>
      <c r="AE165" s="406" t="str">
        <f>IF(OR(C165="",AB165="",AC165=""),"",IF(AND(ABS(E165-AC165)/AC165&lt;=0.02,E165&gt;AC165),"25日押し目★",IF(AND(ABS(E165-AB165)/AB165&lt;=0.01,E165&gt;AB165),"5日押し目○","なし")))</f>
        <v>なし</v>
      </c>
      <c r="AF165" s="365">
        <f t="array" ref="AF165">IF(C165="","",IFERROR((INDEX(終値!$E:$E,MATCH(TEXT(C165,"0"),終値!$A:$A,0))-INDEX(終値!$E:$CZ,MATCH(TEXT(C165,"0"),終値!$A:$A,0),$AL$2))/INDEX(終値!$E:$CZ,MATCH(TEXT(C165,"0"),終値!$A:$A,0),$AL$2)*100,""))</f>
        <v>14.603174603174605</v>
      </c>
      <c r="AG165" s="365">
        <f t="array" ref="AG165">IFERROR((終値!$E$5-INDEX(終値!$E$5:$IT$5,1,$AL$2))/INDEX(終値!$E$5:$IT$5,1,$AL$2)*100,"")</f>
        <v>1.0179378228534113</v>
      </c>
      <c r="AH165" s="366">
        <f>IF(OR(AF165="",AG165=""),"",AF165-AG165)</f>
        <v>13.585236780321193</v>
      </c>
      <c r="AI165" s="364">
        <f>IF(AH165="","",IF(AH165&gt;5,3,IF(AH165&gt;0,1,IF(AH165&gt;-3,-1,-2))))</f>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4738</v>
      </c>
      <c r="F166" s="166">
        <f>IF(C166&lt;&gt;"",_xll.RssMarket(C166,"始値"),"")</f>
        <v>4639</v>
      </c>
      <c r="G166" s="165">
        <f>IF(C166&lt;&gt;"",終値!F150,"")</f>
        <v>4570</v>
      </c>
      <c r="H166" s="166">
        <f>IF(C166&lt;&gt;"",_xll.RssMarket(C166,"高値"),"")</f>
        <v>4761</v>
      </c>
      <c r="I166" s="166">
        <f>IF(C166&lt;&gt;"",_xll.RssMarket(C166,"安値"),"")</f>
        <v>4629</v>
      </c>
      <c r="J166" s="166">
        <f>IF(C166&lt;&gt;"",_xll.RssMarket(C166,"出来高"),"")</f>
        <v>3127100</v>
      </c>
      <c r="K166" s="166">
        <f>IF(C166&lt;&gt;"",_xll.RssMarket(C166,"年初来高値"),"")</f>
        <v>6300</v>
      </c>
      <c r="L166" s="167">
        <f>IF(AND(E166&lt;&gt;"",K166&lt;&gt;"",K166&lt;&gt;0),(E166-K166)/K166*100,"")</f>
        <v>-24.793650793650794</v>
      </c>
      <c r="M166" s="166">
        <f>IF(C166&lt;&gt;"",IFERROR(AVERAGE(出来高!E150:I150),""),"")</f>
        <v>4527780</v>
      </c>
      <c r="N166" s="166">
        <f>IF(C166&lt;&gt;"",IFERROR(AVERAGE(出来高!E150:AC150),""),"")</f>
        <v>3053824</v>
      </c>
      <c r="O166" s="168">
        <f>IF(AND(J166&lt;&gt;"",M166&lt;&gt;"",M166&lt;&gt;0),J166/M166,"")</f>
        <v>0.69064751379263123</v>
      </c>
      <c r="P166" s="163" t="str">
        <f>IF(O166="","",IF(O166&gt;=2,"急増↑↑",IF(O166&gt;=1.5,"増加↑",IF(O166&gt;=1,"普通→","減少↓"))))</f>
        <v>減少↓</v>
      </c>
      <c r="Q166" s="163" t="str">
        <f>IF(E166="","",IF(AND(E166&gt;G166,O166&gt;=1.5),"買い▲",IF(E166&lt;G166,"様子見▼","中立→")))</f>
        <v>中立→</v>
      </c>
      <c r="R166" s="166">
        <f>IF(E166&lt;&gt;"",ROUND(E166*1.08,0),"")</f>
        <v>5117</v>
      </c>
      <c r="S166" s="166">
        <f>IF(E166&lt;&gt;"",ROUND(E166*0.96,0),"")</f>
        <v>4548</v>
      </c>
      <c r="T166" s="163">
        <f>IF(C166="","",IFERROR(IF(O166&gt;=2,3,IF(O166&gt;=1.5,2,IF(O166&gt;=1,1,0)))+IF(E166&gt;G166,1,0)+IF(L166&gt;=-5,1,0)+IF(Q166="買い▲",2,0)+IF(W166&lt;=30,3,IF(W166&lt;=40,2,IF(AND(W166&gt;=40,W166&lt;=60),1,0)))+IF(X166&gt;0,1,0)+IF(V166="年初来高値更新●",3,IF(V166="高値圏",2,0))+IF(AD166="パーフェクト▲",3,IF(AD166="上昇トレンド▲",2,0))+IF(AE166="25日線押し目●",2,IF(AE166="5日線押し目○",1,0))+IF(P166="急増↑↑",2,IF(P166="増加↑",1,0))+N(AI166),0))</f>
        <v>6</v>
      </c>
      <c r="U166" s="163" t="str">
        <f>IF(T166="","",IF(AND(T166&gt;=3,O166&gt;=1.5),"有効",IF(T166&gt;=3,"要確認","除外")))</f>
        <v>要確認</v>
      </c>
      <c r="V166" s="163" t="str">
        <f>IF(AND(H166&lt;&gt;"",K166&lt;&gt;""),IF(H166&gt;=K166,"年初来高値更新●",IF(H166&gt;=K166*0.95,"高値圏","通常")),"")</f>
        <v>通常</v>
      </c>
      <c r="W166" s="169">
        <f t="array" ref="W166">IF(C166&lt;&gt;"",IFERROR(100-100/(1+SUMPRODUCT((終値!F150:R150&gt;終値!G150:S150)*( 終値!F150:R150-終値!G150:S150))/SUMPRODUCT((終値!F150:R150&lt;終値!G150:S150)*(終値!G150:S150-終値!F150:R150))),50),"")</f>
        <v>41.090555014605648</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△注目</v>
      </c>
      <c r="Z166" s="171">
        <f>IF(AND(E166&lt;&gt;"",G166&lt;&gt;"",G166&lt;&gt;0),(E166-G166)/G166*100,"")</f>
        <v>3.6761487964989055</v>
      </c>
      <c r="AA166" s="163" t="str">
        <f>IF(OR(C166="",E166="",E166=0),"",IF(E166&gt;G166,"上昇▲",IF(E166&lt;G166,"下落▼","横ばい→")))</f>
        <v>上昇▲</v>
      </c>
      <c r="AB166" s="403">
        <f>IF(C166="","",IFERROR(((終値!E168*0.333)+(終値!F168*0.222)+(終値!G168*0.148)+(終値!H168*0.099)+(終値!I168*0.066)+(終値!J168*0.044)+(終値!K168*0.029)+(終値!L168*0.019)+(終値!M168*0.013)+(終値!N168*0.009))/(0.333+0.222+0.148+0.099+0.066+0.044+0.029+0.019+0.013+0.009),""))</f>
        <v>2010.9185336048874</v>
      </c>
      <c r="AC166" s="403">
        <f>IF(C166="","",IFERROR(SUMPRODUCT((終値!E168:AC168),({0.077,0.071,0.065,0.06,0.055,0.051,0.047,0.043,0.039,0.036,0.033,0.031,0.028,0.026,0.024,0.022,0.02,0.018,0.017,0.016,0.014,0.013,0.012,0.011,0.01}))/SUM({0.077,0.071,0.065,0.06,0.055,0.051,0.047,0.043,0.039,0.036,0.033,0.031,0.028,0.026,0.024,0.022,0.02,0.018,0.017,0.016,0.014,0.013,0.012,0.011,0.01}),""))</f>
        <v>1925.3230035756847</v>
      </c>
      <c r="AD166" s="404" t="str">
        <f>IF(OR(C166="",AB166="",AC166=""),"",IF(AND(E166&gt;AB166,AB166&gt;AC166),"パーフェクト▲",IF(E166&gt;AC166,"上昇トレンド▲",IF(AND(E166&lt;AB166,AB166&lt;AC166),"下降トレンド▼","もみ合い→"))))</f>
        <v>パーフェクト▲</v>
      </c>
      <c r="AE166" s="404" t="str">
        <f>IF(OR(C166="",AB166="",AC166=""),"",IF(AND(ABS(E166-AC166)/AC166&lt;=0.02,E166&gt;AC166),"25日押し目★",IF(AND(ABS(E166-AB166)/AB166&lt;=0.01,E166&gt;AB166),"5日押し目○","なし")))</f>
        <v>なし</v>
      </c>
      <c r="AF166" s="365">
        <f t="array" ref="AF166">IF(C166="","",IFERROR((INDEX(終値!$E:$E,MATCH(TEXT(C166,"0"),終値!$A:$A,0))-INDEX(終値!$E:$CZ,MATCH(TEXT(C166,"0"),終値!$A:$A,0),$AL$2))/INDEX(終値!$E:$CZ,MATCH(TEXT(C166,"0"),終値!$A:$A,0),$AL$2)*100,""))</f>
        <v>4.1089870358163045</v>
      </c>
      <c r="AG166" s="365">
        <f t="array" ref="AG166">IFERROR((終値!$E$5-INDEX(終値!$E$5:$IT$5,1,$AL$2))/INDEX(終値!$E$5:$IT$5,1,$AL$2)*100,"")</f>
        <v>1.0179378228534113</v>
      </c>
      <c r="AH166" s="366">
        <f>IF(OR(AF166="",AG166=""),"",AF166-AG166)</f>
        <v>3.0910492129628935</v>
      </c>
      <c r="AI166" s="364">
        <f>IF(AH166="","",IF(AH166&gt;5,3,IF(AH166&gt;0,1,IF(AH166&gt;-3,-1,-2))))</f>
        <v>1</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1184.5</v>
      </c>
      <c r="F167" s="166">
        <f>IF(C167&lt;&gt;"",_xll.RssMarket(C167,"始値"),"")</f>
        <v>1155.5</v>
      </c>
      <c r="G167" s="165">
        <f>IF(C167&lt;&gt;"",終値!F98,"")</f>
        <v>1154.5</v>
      </c>
      <c r="H167" s="166">
        <f>IF(C167&lt;&gt;"",_xll.RssMarket(C167,"高値"),"")</f>
        <v>1191.5</v>
      </c>
      <c r="I167" s="166">
        <f>IF(C167&lt;&gt;"",_xll.RssMarket(C167,"安値"),"")</f>
        <v>1155.5</v>
      </c>
      <c r="J167" s="166">
        <f>IF(C167&lt;&gt;"",_xll.RssMarket(C167,"出来高"),"")</f>
        <v>4918000</v>
      </c>
      <c r="K167" s="166">
        <f>IF(C167&lt;&gt;"",_xll.RssMarket(C167,"年初来高値"),"")</f>
        <v>1232.5</v>
      </c>
      <c r="L167" s="167">
        <f>IF(AND(E167&lt;&gt;"",K167&lt;&gt;"",K167&lt;&gt;0),(E167-K167)/K167*100,"")</f>
        <v>-3.8945233265720081</v>
      </c>
      <c r="M167" s="166">
        <f>IF(C167&lt;&gt;"",IFERROR(AVERAGE(出来高!E98:I98),""),"")</f>
        <v>8540860</v>
      </c>
      <c r="N167" s="166">
        <f>IF(C167&lt;&gt;"",IFERROR(AVERAGE(出来高!E98:AC98),""),"")</f>
        <v>6489016.666666667</v>
      </c>
      <c r="O167" s="168">
        <f>IF(AND(J167&lt;&gt;"",M167&lt;&gt;"",M167&lt;&gt;0),J167/M167,"")</f>
        <v>0.57582023355961809</v>
      </c>
      <c r="P167" s="163" t="str">
        <f>IF(O167="","",IF(O167&gt;=2,"急増↑↑",IF(O167&gt;=1.5,"増加↑",IF(O167&gt;=1,"普通→","減少↓"))))</f>
        <v>減少↓</v>
      </c>
      <c r="Q167" s="163" t="str">
        <f>IF(E167="","",IF(AND(E167&gt;G167,O167&gt;=1.5),"買い▲",IF(E167&lt;G167,"様子見▼","中立→")))</f>
        <v>中立→</v>
      </c>
      <c r="R167" s="166">
        <f>IF(E167&lt;&gt;"",ROUND(E167*1.08,0),"")</f>
        <v>1279</v>
      </c>
      <c r="S167" s="166">
        <f>IF(E167&lt;&gt;"",ROUND(E167*0.96,0),"")</f>
        <v>1137</v>
      </c>
      <c r="T167" s="163">
        <f>IF(C167="","",IFERROR(IF(O167&gt;=2,3,IF(O167&gt;=1.5,2,IF(O167&gt;=1,1,0)))+IF(E167&gt;G167,1,0)+IF(L167&gt;=-5,1,0)+IF(Q167="買い▲",2,0)+IF(W167&lt;=30,3,IF(W167&lt;=40,2,IF(AND(W167&gt;=40,W167&lt;=60),1,0)))+IF(X167&gt;0,1,0)+IF(V167="年初来高値更新●",3,IF(V167="高値圏",2,0))+IF(AD167="パーフェクト▲",3,IF(AD167="上昇トレンド▲",2,0))+IF(AE167="25日線押し目●",2,IF(AE167="5日線押し目○",1,0))+IF(P167="急増↑↑",2,IF(P167="増加↑",1,0))+N(AI167),0))</f>
        <v>10</v>
      </c>
      <c r="U167" s="163" t="str">
        <f>IF(T167="","",IF(AND(T167&gt;=3,O167&gt;=1.5),"有効",IF(T167&gt;=3,"要確認","除外")))</f>
        <v>要確認</v>
      </c>
      <c r="V167" s="163" t="str">
        <f>IF(AND(H167&lt;&gt;"",K167&lt;&gt;""),IF(H167&gt;=K167,"年初来高値更新●",IF(H167&gt;=K167*0.95,"高値圏","通常")),"")</f>
        <v>高値圏</v>
      </c>
      <c r="W167" s="169">
        <f t="array" ref="W167">IF(C167&lt;&gt;"",IFERROR(100-100/(1+SUMPRODUCT((終値!F98:R98&gt;終値!G98:S98)*( 終値!F98:R98-終値!G98:S98))/SUMPRODUCT((終値!F98:R98&lt;終値!G98:S98)*(終値!G98:S98-終値!F98:R98))),50),"")</f>
        <v>48.789671866594944</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○買い候補</v>
      </c>
      <c r="Z167" s="171">
        <f>IF(AND(E167&lt;&gt;"",G167&lt;&gt;"",G167&lt;&gt;0),(E167-G167)/G167*100,"")</f>
        <v>2.59852750108272</v>
      </c>
      <c r="AA167" s="163" t="str">
        <f>IF(OR(C167="",E167="",E167=0),"",IF(E167&gt;G167,"上昇▲",IF(E167&lt;G167,"下落▼","横ばい→")))</f>
        <v>上昇▲</v>
      </c>
      <c r="AB167" s="405">
        <f>IF(C167="","",IFERROR(((終値!E169*0.333)+(終値!F169*0.222)+(終値!G169*0.148)+(終値!H169*0.099)+(終値!I169*0.066)+(終値!J169*0.044)+(終値!K169*0.029)+(終値!L169*0.019)+(終値!M169*0.013)+(終値!N169*0.009))/(0.333+0.222+0.148+0.099+0.066+0.044+0.029+0.019+0.013+0.009),""))</f>
        <v>898.94908350305491</v>
      </c>
      <c r="AC167" s="405">
        <f>IF(C167="","",IFERROR(SUMPRODUCT((終値!E169:AC169),({0.077,0.071,0.065,0.06,0.055,0.051,0.047,0.043,0.039,0.036,0.033,0.031,0.028,0.026,0.024,0.022,0.02,0.018,0.017,0.016,0.014,0.013,0.012,0.011,0.01}))/SUM({0.077,0.071,0.065,0.06,0.055,0.051,0.047,0.043,0.039,0.036,0.033,0.031,0.028,0.026,0.024,0.022,0.02,0.018,0.017,0.016,0.014,0.013,0.012,0.011,0.01}),""))</f>
        <v>905.84982121573262</v>
      </c>
      <c r="AD167" s="406" t="str">
        <f>IF(OR(C167="",AB167="",AC167=""),"",IF(AND(E167&gt;AB167,AB167&gt;AC167),"パーフェクト▲",IF(E167&gt;AC167,"上昇トレンド▲",IF(AND(E167&lt;AB167,AB167&lt;AC167),"下降トレンド▼","もみ合い→"))))</f>
        <v>上昇トレンド▲</v>
      </c>
      <c r="AE167" s="406" t="str">
        <f>IF(OR(C167="",AB167="",AC167=""),"",IF(AND(ABS(E167-AC167)/AC167&lt;=0.02,E167&gt;AC167),"25日押し目★",IF(AND(ABS(E167-AB167)/AB167&lt;=0.01,E167&gt;AB167),"5日押し目○","なし")))</f>
        <v>なし</v>
      </c>
      <c r="AF167" s="365">
        <f t="array" ref="AF167">IF(C167="","",IFERROR((INDEX(終値!$E:$E,MATCH(TEXT(C167,"0"),終値!$A:$A,0))-INDEX(終値!$E:$CZ,MATCH(TEXT(C167,"0"),終値!$A:$A,0),$AL$2))/INDEX(終値!$E:$CZ,MATCH(TEXT(C167,"0"),終値!$A:$A,0),$AL$2)*100,""))</f>
        <v>6.2331838565022419</v>
      </c>
      <c r="AG167" s="365">
        <f t="array" ref="AG167">IFERROR((終値!$E$5-INDEX(終値!$E$5:$IT$5,1,$AL$2))/INDEX(終値!$E$5:$IT$5,1,$AL$2)*100,"")</f>
        <v>1.0179378228534113</v>
      </c>
      <c r="AH167" s="366">
        <f>IF(OR(AF167="",AG167=""),"",AF167-AG167)</f>
        <v>5.2152460336488309</v>
      </c>
      <c r="AI167" s="364">
        <f>IF(AH167="","",IF(AH167&gt;5,3,IF(AH167&gt;0,1,IF(AH167&gt;-3,-1,-2))))</f>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4498</v>
      </c>
      <c r="F168" s="166">
        <f>IF(C168&lt;&gt;"",_xll.RssMarket(C168,"始値"),"")</f>
        <v>4652</v>
      </c>
      <c r="G168" s="165">
        <f>IF(C168&lt;&gt;"",終値!F97,"")</f>
        <v>4691</v>
      </c>
      <c r="H168" s="166">
        <f>IF(C168&lt;&gt;"",_xll.RssMarket(C168,"高値"),"")</f>
        <v>4736</v>
      </c>
      <c r="I168" s="166">
        <f>IF(C168&lt;&gt;"",_xll.RssMarket(C168,"安値"),"")</f>
        <v>4498</v>
      </c>
      <c r="J168" s="166">
        <f>IF(C168&lt;&gt;"",_xll.RssMarket(C168,"出来高"),"")</f>
        <v>1050400</v>
      </c>
      <c r="K168" s="166">
        <f>IF(C168&lt;&gt;"",_xll.RssMarket(C168,"年初来高値"),"")</f>
        <v>5738</v>
      </c>
      <c r="L168" s="167">
        <f>IF(AND(E168&lt;&gt;"",K168&lt;&gt;"",K168&lt;&gt;0),(E168-K168)/K168*100,"")</f>
        <v>-21.610317183687698</v>
      </c>
      <c r="M168" s="166">
        <f>IF(C168&lt;&gt;"",IFERROR(AVERAGE(出来高!E97:I97),""),"")</f>
        <v>1463180</v>
      </c>
      <c r="N168" s="166">
        <f>IF(C168&lt;&gt;"",IFERROR(AVERAGE(出来高!E97:AC97),""),"")</f>
        <v>1115108</v>
      </c>
      <c r="O168" s="168">
        <f>IF(AND(J168&lt;&gt;"",M168&lt;&gt;"",M168&lt;&gt;0),J168/M168,"")</f>
        <v>0.71788843477904296</v>
      </c>
      <c r="P168" s="163" t="str">
        <f>IF(O168="","",IF(O168&gt;=2,"急増↑↑",IF(O168&gt;=1.5,"増加↑",IF(O168&gt;=1,"普通→","減少↓"))))</f>
        <v>減少↓</v>
      </c>
      <c r="Q168" s="163" t="str">
        <f>IF(E168="","",IF(AND(E168&gt;G168,O168&gt;=1.5),"買い▲",IF(E168&lt;G168,"様子見▼","中立→")))</f>
        <v>様子見▼</v>
      </c>
      <c r="R168" s="166">
        <f>IF(E168&lt;&gt;"",ROUND(E168*1.08,0),"")</f>
        <v>4858</v>
      </c>
      <c r="S168" s="166">
        <f>IF(E168&lt;&gt;"",ROUND(E168*0.96,0),"")</f>
        <v>4318</v>
      </c>
      <c r="T168" s="163">
        <f>IF(C168="","",IFERROR(IF(O168&gt;=2,3,IF(O168&gt;=1.5,2,IF(O168&gt;=1,1,0)))+IF(E168&gt;G168,1,0)+IF(L168&gt;=-5,1,0)+IF(Q168="買い▲",2,0)+IF(W168&lt;=30,3,IF(W168&lt;=40,2,IF(AND(W168&gt;=40,W168&lt;=60),1,0)))+IF(X168&gt;0,1,0)+IF(V168="年初来高値更新●",3,IF(V168="高値圏",2,0))+IF(AD168="パーフェクト▲",3,IF(AD168="上昇トレンド▲",2,0))+IF(AE168="25日線押し目●",2,IF(AE168="5日線押し目○",1,0))+IF(P168="急増↑↑",2,IF(P168="増加↑",1,0))+N(AI168),0))</f>
        <v>1</v>
      </c>
      <c r="U168" s="163" t="str">
        <f>IF(T168="","",IF(AND(T168&gt;=3,O168&gt;=1.5),"有効",IF(T168&gt;=3,"要確認","除外")))</f>
        <v>除外</v>
      </c>
      <c r="V168" s="163" t="str">
        <f>IF(AND(H168&lt;&gt;"",K168&lt;&gt;""),IF(H168&gt;=K168,"年初来高値更新●",IF(H168&gt;=K168*0.95,"高値圏","通常")),"")</f>
        <v>通常</v>
      </c>
      <c r="W168" s="169">
        <f t="array" ref="W168">IF(C168&lt;&gt;"",IFERROR(100-100/(1+SUMPRODUCT((終値!F97:R97&gt;終値!G97:S97)*( 終値!F97:R97-終値!G97:S97))/SUMPRODUCT((終値!F97:R97&lt;終値!G97:S97)*(終値!G97:S97-終値!F97:R97))),50),"")</f>
        <v>48.451809856083734</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見送り</v>
      </c>
      <c r="Z168" s="171">
        <f>IF(AND(E168&lt;&gt;"",G168&lt;&gt;"",G168&lt;&gt;0),(E168-G168)/G168*100,"")</f>
        <v>-4.1142613515241955</v>
      </c>
      <c r="AA168" s="163" t="str">
        <f>IF(OR(C168="",E168="",E168=0),"",IF(E168&gt;G168,"上昇▲",IF(E168&lt;G168,"下落▼","横ばい→")))</f>
        <v>下落▼</v>
      </c>
      <c r="AB168" s="403">
        <f>IF(C168="","",IFERROR(((終値!E170*0.333)+(終値!F170*0.222)+(終値!G170*0.148)+(終値!H170*0.099)+(終値!I170*0.066)+(終値!J170*0.044)+(終値!K170*0.029)+(終値!L170*0.019)+(終値!M170*0.013)+(終値!N170*0.009))/(0.333+0.222+0.148+0.099+0.066+0.044+0.029+0.019+0.013+0.009),""))</f>
        <v>1031.0183299388998</v>
      </c>
      <c r="AC168" s="403">
        <f>IF(C168="","",IFERROR(SUMPRODUCT((終値!E170:AC170),({0.077,0.071,0.065,0.06,0.055,0.051,0.047,0.043,0.039,0.036,0.033,0.031,0.028,0.026,0.024,0.022,0.02,0.018,0.017,0.016,0.014,0.013,0.012,0.011,0.01}))/SUM({0.077,0.071,0.065,0.06,0.055,0.051,0.047,0.043,0.039,0.036,0.033,0.031,0.028,0.026,0.024,0.022,0.02,0.018,0.017,0.016,0.014,0.013,0.012,0.011,0.01}),""))</f>
        <v>1077.4433849821214</v>
      </c>
      <c r="AD168" s="404" t="str">
        <f>IF(OR(C168="",AB168="",AC168=""),"",IF(AND(E168&gt;AB168,AB168&gt;AC168),"パーフェクト▲",IF(E168&gt;AC168,"上昇トレンド▲",IF(AND(E168&lt;AB168,AB168&lt;AC168),"下降トレンド▼","もみ合い→"))))</f>
        <v>上昇トレンド▲</v>
      </c>
      <c r="AE168" s="404" t="str">
        <f>IF(OR(C168="",AB168="",AC168=""),"",IF(AND(ABS(E168-AC168)/AC168&lt;=0.02,E168&gt;AC168),"25日押し目★",IF(AND(ABS(E168-AB168)/AB168&lt;=0.01,E168&gt;AB168),"5日押し目○","なし")))</f>
        <v>なし</v>
      </c>
      <c r="AF168" s="365">
        <f t="array" ref="AF168">IF(C168="","",IFERROR((INDEX(終値!$E:$E,MATCH(TEXT(C168,"0"),終値!$A:$A,0))-INDEX(終値!$E:$CZ,MATCH(TEXT(C168,"0"),終値!$A:$A,0),$AL$2))/INDEX(終値!$E:$CZ,MATCH(TEXT(C168,"0"),終値!$A:$A,0),$AL$2)*100,""))</f>
        <v>-12.795657231485071</v>
      </c>
      <c r="AG168" s="365">
        <f t="array" ref="AG168">IFERROR((終値!$E$5-INDEX(終値!$E$5:$IT$5,1,$AL$2))/INDEX(終値!$E$5:$IT$5,1,$AL$2)*100,"")</f>
        <v>1.0179378228534113</v>
      </c>
      <c r="AH168" s="366">
        <f>IF(OR(AF168="",AG168=""),"",AF168-AG168)</f>
        <v>-13.813595054338483</v>
      </c>
      <c r="AI168" s="364">
        <f>IF(AH168="","",IF(AH168&gt;5,3,IF(AH168&gt;0,1,IF(AH168&gt;-3,-1,-2))))</f>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6034</v>
      </c>
      <c r="F169" s="166">
        <f>IF(C169&lt;&gt;"",_xll.RssMarket(C169,"始値"),"")</f>
        <v>5921</v>
      </c>
      <c r="G169" s="165">
        <f>IF(C169&lt;&gt;"",終値!F157,"")</f>
        <v>5936</v>
      </c>
      <c r="H169" s="166">
        <f>IF(C169&lt;&gt;"",_xll.RssMarket(C169,"高値"),"")</f>
        <v>6095</v>
      </c>
      <c r="I169" s="166">
        <f>IF(C169&lt;&gt;"",_xll.RssMarket(C169,"安値"),"")</f>
        <v>5921</v>
      </c>
      <c r="J169" s="166">
        <f>IF(C169&lt;&gt;"",_xll.RssMarket(C169,"出来高"),"")</f>
        <v>440800</v>
      </c>
      <c r="K169" s="166">
        <f>IF(C169&lt;&gt;"",_xll.RssMarket(C169,"年初来高値"),"")</f>
        <v>6509</v>
      </c>
      <c r="L169" s="167">
        <f>IF(AND(E169&lt;&gt;"",K169&lt;&gt;"",K169&lt;&gt;0),(E169-K169)/K169*100,"")</f>
        <v>-7.2975879551390381</v>
      </c>
      <c r="M169" s="166">
        <f>IF(C169&lt;&gt;"",IFERROR(AVERAGE(出来高!E157:I157),""),"")</f>
        <v>570620</v>
      </c>
      <c r="N169" s="166">
        <f>IF(C169&lt;&gt;"",IFERROR(AVERAGE(出来高!E157:AC157),""),"")</f>
        <v>537636</v>
      </c>
      <c r="O169" s="168">
        <f>IF(AND(J169&lt;&gt;"",M169&lt;&gt;"",M169&lt;&gt;0),J169/M169,"")</f>
        <v>0.77249307770495246</v>
      </c>
      <c r="P169" s="163" t="str">
        <f>IF(O169="","",IF(O169&gt;=2,"急増↑↑",IF(O169&gt;=1.5,"増加↑",IF(O169&gt;=1,"普通→","減少↓"))))</f>
        <v>減少↓</v>
      </c>
      <c r="Q169" s="163" t="str">
        <f>IF(E169="","",IF(AND(E169&gt;G169,O169&gt;=1.5),"買い▲",IF(E169&lt;G169,"様子見▼","中立→")))</f>
        <v>中立→</v>
      </c>
      <c r="R169" s="166">
        <f>IF(E169&lt;&gt;"",ROUND(E169*1.08,0),"")</f>
        <v>6517</v>
      </c>
      <c r="S169" s="166">
        <f>IF(E169&lt;&gt;"",ROUND(E169*0.96,0),"")</f>
        <v>5793</v>
      </c>
      <c r="T169" s="163">
        <f>IF(C169="","",IFERROR(IF(O169&gt;=2,3,IF(O169&gt;=1.5,2,IF(O169&gt;=1,1,0)))+IF(E169&gt;G169,1,0)+IF(L169&gt;=-5,1,0)+IF(Q169="買い▲",2,0)+IF(W169&lt;=30,3,IF(W169&lt;=40,2,IF(AND(W169&gt;=40,W169&lt;=60),1,0)))+IF(X169&gt;0,1,0)+IF(V169="年初来高値更新●",3,IF(V169="高値圏",2,0))+IF(AD169="パーフェクト▲",3,IF(AD169="上昇トレンド▲",2,0))+IF(AE169="25日線押し目●",2,IF(AE169="5日線押し目○",1,0))+IF(P169="急増↑↑",2,IF(P169="増加↑",1,0))+N(AI169),0))</f>
        <v>3</v>
      </c>
      <c r="U169" s="163" t="str">
        <f>IF(T169="","",IF(AND(T169&gt;=3,O169&gt;=1.5),"有効",IF(T169&gt;=3,"要確認","除外")))</f>
        <v>要確認</v>
      </c>
      <c r="V169" s="163" t="str">
        <f>IF(AND(H169&lt;&gt;"",K169&lt;&gt;""),IF(H169&gt;=K169,"年初来高値更新●",IF(H169&gt;=K169*0.95,"高値圏","通常")),"")</f>
        <v>通常</v>
      </c>
      <c r="W169" s="169">
        <f t="array" ref="W169">IF(C169&lt;&gt;"",IFERROR(100-100/(1+SUMPRODUCT((終値!F157:R157&gt;終値!G157:S157)*( 終値!F157:R157-終値!G157:S157))/SUMPRODUCT((終値!F157:R157&lt;終値!G157:S157)*(終値!G157:S157-終値!F157:R157))),50),"")</f>
        <v>41.074380165289256</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様子見</v>
      </c>
      <c r="Z169" s="171">
        <f>IF(AND(E169&lt;&gt;"",G169&lt;&gt;"",G169&lt;&gt;0),(E169-G169)/G169*100,"")</f>
        <v>1.6509433962264151</v>
      </c>
      <c r="AA169" s="163" t="str">
        <f>IF(OR(C169="",E169="",E169=0),"",IF(E169&gt;G169,"上昇▲",IF(E169&lt;G169,"下落▼","横ばい→")))</f>
        <v>上昇▲</v>
      </c>
      <c r="AB169" s="405">
        <f>IF(C169="","",IFERROR(((終値!E171*0.333)+(終値!F171*0.222)+(終値!G171*0.148)+(終値!H171*0.099)+(終値!I171*0.066)+(終値!J171*0.044)+(終値!K171*0.029)+(終値!L171*0.019)+(終値!M171*0.013)+(終値!N171*0.009))/(0.333+0.222+0.148+0.099+0.066+0.044+0.029+0.019+0.013+0.009),""))</f>
        <v>3038.5896130346232</v>
      </c>
      <c r="AC169" s="405">
        <f>IF(C169="","",IFERROR(SUMPRODUCT((終値!E171:AC171),({0.077,0.071,0.065,0.06,0.055,0.051,0.047,0.043,0.039,0.036,0.033,0.031,0.028,0.026,0.024,0.022,0.02,0.018,0.017,0.016,0.014,0.013,0.012,0.011,0.01}))/SUM({0.077,0.071,0.065,0.06,0.055,0.051,0.047,0.043,0.039,0.036,0.033,0.031,0.028,0.026,0.024,0.022,0.02,0.018,0.017,0.016,0.014,0.013,0.012,0.011,0.01}),""))</f>
        <v>3083.5816448152541</v>
      </c>
      <c r="AD169" s="406" t="str">
        <f>IF(OR(C169="",AB169="",AC169=""),"",IF(AND(E169&gt;AB169,AB169&gt;AC169),"パーフェクト▲",IF(E169&gt;AC169,"上昇トレンド▲",IF(AND(E169&lt;AB169,AB169&lt;AC169),"下降トレンド▼","もみ合い→"))))</f>
        <v>上昇トレンド▲</v>
      </c>
      <c r="AE169" s="406" t="str">
        <f>IF(OR(C169="",AB169="",AC169=""),"",IF(AND(ABS(E169-AC169)/AC169&lt;=0.02,E169&gt;AC169),"25日押し目★",IF(AND(ABS(E169-AB169)/AB169&lt;=0.01,E169&gt;AB169),"5日押し目○","なし")))</f>
        <v>なし</v>
      </c>
      <c r="AF169" s="365">
        <f t="array" ref="AF169">IF(C169="","",IFERROR((INDEX(終値!$E:$E,MATCH(TEXT(C169,"0"),終値!$A:$A,0))-INDEX(終値!$E:$CZ,MATCH(TEXT(C169,"0"),終値!$A:$A,0),$AL$2))/INDEX(終値!$E:$CZ,MATCH(TEXT(C169,"0"),終値!$A:$A,0),$AL$2)*100,""))</f>
        <v>0.23255813953488372</v>
      </c>
      <c r="AG169" s="365">
        <f t="array" ref="AG169">IFERROR((終値!$E$5-INDEX(終値!$E$5:$IT$5,1,$AL$2))/INDEX(終値!$E$5:$IT$5,1,$AL$2)*100,"")</f>
        <v>1.0179378228534113</v>
      </c>
      <c r="AH169" s="366">
        <f>IF(OR(AF169="",AG169=""),"",AF169-AG169)</f>
        <v>-0.78537968331852759</v>
      </c>
      <c r="AI169" s="364">
        <f>IF(AH169="","",IF(AH169&gt;5,3,IF(AH169&gt;0,1,IF(AH169&gt;-3,-1,-2))))</f>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2614</v>
      </c>
      <c r="F170" s="166">
        <f>IF(C170&lt;&gt;"",_xll.RssMarket(C170,"始値"),"")</f>
        <v>2638</v>
      </c>
      <c r="G170" s="165">
        <f>IF(C170&lt;&gt;"",終値!F156,"")</f>
        <v>2548</v>
      </c>
      <c r="H170" s="166">
        <f>IF(C170&lt;&gt;"",_xll.RssMarket(C170,"高値"),"")</f>
        <v>2663</v>
      </c>
      <c r="I170" s="166">
        <f>IF(C170&lt;&gt;"",_xll.RssMarket(C170,"安値"),"")</f>
        <v>2580</v>
      </c>
      <c r="J170" s="166">
        <f>IF(C170&lt;&gt;"",_xll.RssMarket(C170,"出来高"),"")</f>
        <v>1440300</v>
      </c>
      <c r="K170" s="166">
        <f>IF(C170&lt;&gt;"",_xll.RssMarket(C170,"年初来高値"),"")</f>
        <v>2949</v>
      </c>
      <c r="L170" s="167">
        <f>IF(AND(E170&lt;&gt;"",K170&lt;&gt;"",K170&lt;&gt;0),(E170-K170)/K170*100,"")</f>
        <v>-11.359782977280435</v>
      </c>
      <c r="M170" s="166">
        <f>IF(C170&lt;&gt;"",IFERROR(AVERAGE(出来高!E156:I156),""),"")</f>
        <v>1458900</v>
      </c>
      <c r="N170" s="166">
        <f>IF(C170&lt;&gt;"",IFERROR(AVERAGE(出来高!E156:AC156),""),"")</f>
        <v>980244</v>
      </c>
      <c r="O170" s="168">
        <f>IF(AND(J170&lt;&gt;"",M170&lt;&gt;"",M170&lt;&gt;0),J170/M170,"")</f>
        <v>0.98725066831174169</v>
      </c>
      <c r="P170" s="163" t="str">
        <f>IF(O170="","",IF(O170&gt;=2,"急増↑↑",IF(O170&gt;=1.5,"増加↑",IF(O170&gt;=1,"普通→","減少↓"))))</f>
        <v>減少↓</v>
      </c>
      <c r="Q170" s="163" t="str">
        <f>IF(E170="","",IF(AND(E170&gt;G170,O170&gt;=1.5),"買い▲",IF(E170&lt;G170,"様子見▼","中立→")))</f>
        <v>中立→</v>
      </c>
      <c r="R170" s="166">
        <f>IF(E170&lt;&gt;"",ROUND(E170*1.08,0),"")</f>
        <v>2823</v>
      </c>
      <c r="S170" s="166">
        <f>IF(E170&lt;&gt;"",ROUND(E170*0.96,0),"")</f>
        <v>2509</v>
      </c>
      <c r="T170" s="163">
        <f>IF(C170="","",IFERROR(IF(O170&gt;=2,3,IF(O170&gt;=1.5,2,IF(O170&gt;=1,1,0)))+IF(E170&gt;G170,1,0)+IF(L170&gt;=-5,1,0)+IF(Q170="買い▲",2,0)+IF(W170&lt;=30,3,IF(W170&lt;=40,2,IF(AND(W170&gt;=40,W170&lt;=60),1,0)))+IF(X170&gt;0,1,0)+IF(V170="年初来高値更新●",3,IF(V170="高値圏",2,0))+IF(AD170="パーフェクト▲",3,IF(AD170="上昇トレンド▲",2,0))+IF(AE170="25日線押し目●",2,IF(AE170="5日線押し目○",1,0))+IF(P170="急増↑↑",2,IF(P170="増加↑",1,0))+N(AI170),0))</f>
        <v>3</v>
      </c>
      <c r="U170" s="163" t="str">
        <f>IF(T170="","",IF(AND(T170&gt;=3,O170&gt;=1.5),"有効",IF(T170&gt;=3,"要確認","除外")))</f>
        <v>要確認</v>
      </c>
      <c r="V170" s="163" t="str">
        <f>IF(AND(H170&lt;&gt;"",K170&lt;&gt;""),IF(H170&gt;=K170,"年初来高値更新●",IF(H170&gt;=K170*0.95,"高値圏","通常")),"")</f>
        <v>通常</v>
      </c>
      <c r="W170" s="169">
        <f t="array" ref="W170">IF(C170&lt;&gt;"",IFERROR(100-100/(1+SUMPRODUCT((終値!F156:R156&gt;終値!G156:S156)*( 終値!F156:R156-終値!G156:S156))/SUMPRODUCT((終値!F156:R156&lt;終値!G156:S156)*(終値!G156:S156-終値!F156:R156))),50),"")</f>
        <v>46.107784431137723</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様子見</v>
      </c>
      <c r="Z170" s="171">
        <f>IF(AND(E170&lt;&gt;"",G170&lt;&gt;"",G170&lt;&gt;0),(E170-G170)/G170*100,"")</f>
        <v>2.5902668759811616</v>
      </c>
      <c r="AA170" s="163" t="str">
        <f>IF(OR(C170="",E170="",E170=0),"",IF(E170&gt;G170,"上昇▲",IF(E170&lt;G170,"下落▼","横ばい→")))</f>
        <v>上昇▲</v>
      </c>
      <c r="AB170" s="403">
        <f>IF(C170="","",IFERROR(((終値!E172*0.333)+(終値!F172*0.222)+(終値!G172*0.148)+(終値!H172*0.099)+(終値!I172*0.066)+(終値!J172*0.044)+(終値!K172*0.029)+(終値!L172*0.019)+(終値!M172*0.013)+(終値!N172*0.009))/(0.333+0.222+0.148+0.099+0.066+0.044+0.029+0.019+0.013+0.009),""))</f>
        <v>1499.0610997963338</v>
      </c>
      <c r="AC170" s="403">
        <f>IF(C170="","",IFERROR(SUMPRODUCT((終値!E172:AC172),({0.077,0.071,0.065,0.06,0.055,0.051,0.047,0.043,0.039,0.036,0.033,0.031,0.028,0.026,0.024,0.022,0.02,0.018,0.017,0.016,0.014,0.013,0.012,0.011,0.01}))/SUM({0.077,0.071,0.065,0.06,0.055,0.051,0.047,0.043,0.039,0.036,0.033,0.031,0.028,0.026,0.024,0.022,0.02,0.018,0.017,0.016,0.014,0.013,0.012,0.011,0.01}),""))</f>
        <v>1460.5691299165667</v>
      </c>
      <c r="AD170" s="404" t="str">
        <f>IF(OR(C170="",AB170="",AC170=""),"",IF(AND(E170&gt;AB170,AB170&gt;AC170),"パーフェクト▲",IF(E170&gt;AC170,"上昇トレンド▲",IF(AND(E170&lt;AB170,AB170&lt;AC170),"下降トレンド▼","もみ合い→"))))</f>
        <v>パーフェクト▲</v>
      </c>
      <c r="AE170" s="404" t="str">
        <f>IF(OR(C170="",AB170="",AC170=""),"",IF(AND(ABS(E170-AC170)/AC170&lt;=0.02,E170&gt;AC170),"25日押し目★",IF(AND(ABS(E170-AB170)/AB170&lt;=0.01,E170&gt;AB170),"5日押し目○","なし")))</f>
        <v>なし</v>
      </c>
      <c r="AF170" s="365">
        <f t="array" ref="AF170">IF(C170="","",IFERROR((INDEX(終値!$E:$E,MATCH(TEXT(C170,"0"),終値!$A:$A,0))-INDEX(終値!$E:$CZ,MATCH(TEXT(C170,"0"),終値!$A:$A,0),$AL$2))/INDEX(終値!$E:$CZ,MATCH(TEXT(C170,"0"),終値!$A:$A,0),$AL$2)*100,""))</f>
        <v>-5.1523947750362842</v>
      </c>
      <c r="AG170" s="365">
        <f t="array" ref="AG170">IFERROR((終値!$E$5-INDEX(終値!$E$5:$IT$5,1,$AL$2))/INDEX(終値!$E$5:$IT$5,1,$AL$2)*100,"")</f>
        <v>1.0179378228534113</v>
      </c>
      <c r="AH170" s="366">
        <f>IF(OR(AF170="",AG170=""),"",AF170-AG170)</f>
        <v>-6.1703325978896952</v>
      </c>
      <c r="AI170" s="364">
        <f>IF(AH170="","",IF(AH170&gt;5,3,IF(AH170&gt;0,1,IF(AH170&gt;-3,-1,-2))))</f>
        <v>-2</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1921</v>
      </c>
      <c r="F171" s="166">
        <f>IF(C171&lt;&gt;"",_xll.RssMarket(C171,"始値"),"")</f>
        <v>1909</v>
      </c>
      <c r="G171" s="165">
        <f>IF(C171&lt;&gt;"",終値!F129,"")</f>
        <v>1949</v>
      </c>
      <c r="H171" s="166">
        <f>IF(C171&lt;&gt;"",_xll.RssMarket(C171,"高値"),"")</f>
        <v>1939</v>
      </c>
      <c r="I171" s="166">
        <f>IF(C171&lt;&gt;"",_xll.RssMarket(C171,"安値"),"")</f>
        <v>1884</v>
      </c>
      <c r="J171" s="166">
        <f>IF(C171&lt;&gt;"",_xll.RssMarket(C171,"出来高"),"")</f>
        <v>162100</v>
      </c>
      <c r="K171" s="166">
        <f>IF(C171&lt;&gt;"",_xll.RssMarket(C171,"年初来高値"),"")</f>
        <v>4400</v>
      </c>
      <c r="L171" s="167">
        <f>IF(AND(E171&lt;&gt;"",K171&lt;&gt;"",K171&lt;&gt;0),(E171-K171)/K171*100,"")</f>
        <v>-56.340909090909086</v>
      </c>
      <c r="M171" s="166">
        <f>IF(C171&lt;&gt;"",IFERROR(AVERAGE(出来高!E129:I129),""),"")</f>
        <v>202440</v>
      </c>
      <c r="N171" s="166">
        <f>IF(C171&lt;&gt;"",IFERROR(AVERAGE(出来高!E129:AC129),""),"")</f>
        <v>179728</v>
      </c>
      <c r="O171" s="168">
        <f>IF(AND(J171&lt;&gt;"",M171&lt;&gt;"",M171&lt;&gt;0),J171/M171,"")</f>
        <v>0.80073108081406841</v>
      </c>
      <c r="P171" s="163" t="str">
        <f>IF(O171="","",IF(O171&gt;=2,"急増↑↑",IF(O171&gt;=1.5,"増加↑",IF(O171&gt;=1,"普通→","減少↓"))))</f>
        <v>減少↓</v>
      </c>
      <c r="Q171" s="163" t="str">
        <f>IF(E171="","",IF(AND(E171&gt;G171,O171&gt;=1.5),"買い▲",IF(E171&lt;G171,"様子見▼","中立→")))</f>
        <v>様子見▼</v>
      </c>
      <c r="R171" s="166">
        <f>IF(E171&lt;&gt;"",ROUND(E171*1.08,0),"")</f>
        <v>2075</v>
      </c>
      <c r="S171" s="166">
        <f>IF(E171&lt;&gt;"",ROUND(E171*0.96,0),"")</f>
        <v>1844</v>
      </c>
      <c r="T171" s="163">
        <f>IF(C171="","",IFERROR(IF(O171&gt;=2,3,IF(O171&gt;=1.5,2,IF(O171&gt;=1,1,0)))+IF(E171&gt;G171,1,0)+IF(L171&gt;=-5,1,0)+IF(Q171="買い▲",2,0)+IF(W171&lt;=30,3,IF(W171&lt;=40,2,IF(AND(W171&gt;=40,W171&lt;=60),1,0)))+IF(X171&gt;0,1,0)+IF(V171="年初来高値更新●",3,IF(V171="高値圏",2,0))+IF(AD171="パーフェクト▲",3,IF(AD171="上昇トレンド▲",2,0))+IF(AE171="25日線押し目●",2,IF(AE171="5日線押し目○",1,0))+IF(P171="急増↑↑",2,IF(P171="増加↑",1,0))+N(AI171),0))</f>
        <v>2</v>
      </c>
      <c r="U171" s="163" t="str">
        <f>IF(T171="","",IF(AND(T171&gt;=3,O171&gt;=1.5),"有効",IF(T171&gt;=3,"要確認","除外")))</f>
        <v>除外</v>
      </c>
      <c r="V171" s="163" t="str">
        <f>IF(AND(H171&lt;&gt;"",K171&lt;&gt;""),IF(H171&gt;=K171,"年初来高値更新●",IF(H171&gt;=K171*0.95,"高値圏","通常")),"")</f>
        <v>通常</v>
      </c>
      <c r="W171" s="169">
        <f t="array" ref="W171">IF(C171&lt;&gt;"",IFERROR(100-100/(1+SUMPRODUCT((終値!F129:R129&gt;終値!G129:S129)*( 終値!F129:R129-終値!G129:S129))/SUMPRODUCT((終値!F129:R129&lt;終値!G129:S129)*(終値!G129:S129-終値!F129:R129))),50),"")</f>
        <v>50.057537399309552</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見送り</v>
      </c>
      <c r="Z171" s="171">
        <f>IF(AND(E171&lt;&gt;"",G171&lt;&gt;"",G171&lt;&gt;0),(E171-G171)/G171*100,"")</f>
        <v>-1.4366341713699333</v>
      </c>
      <c r="AA171" s="163" t="str">
        <f>IF(OR(C171="",E171="",E171=0),"",IF(E171&gt;G171,"上昇▲",IF(E171&lt;G171,"下落▼","横ばい→")))</f>
        <v>下落▼</v>
      </c>
      <c r="AB171" s="405">
        <f>IF(C171="","",IFERROR(((終値!E173*0.333)+(終値!F173*0.222)+(終値!G173*0.148)+(終値!H173*0.099)+(終値!I173*0.066)+(終値!J173*0.044)+(終値!K173*0.029)+(終値!L173*0.019)+(終値!M173*0.013)+(終値!N173*0.009))/(0.333+0.222+0.148+0.099+0.066+0.044+0.029+0.019+0.013+0.009),""))</f>
        <v>705.88696537678186</v>
      </c>
      <c r="AC171" s="405">
        <f>IF(C171="","",IFERROR(SUMPRODUCT((終値!E173:AC173),({0.077,0.071,0.065,0.06,0.055,0.051,0.047,0.043,0.039,0.036,0.033,0.031,0.028,0.026,0.024,0.022,0.02,0.018,0.017,0.016,0.014,0.013,0.012,0.011,0.01}))/SUM({0.077,0.071,0.065,0.06,0.055,0.051,0.047,0.043,0.039,0.036,0.033,0.031,0.028,0.026,0.024,0.022,0.02,0.018,0.017,0.016,0.014,0.013,0.012,0.011,0.01}),""))</f>
        <v>676.41835518474352</v>
      </c>
      <c r="AD171" s="406" t="str">
        <f>IF(OR(C171="",AB171="",AC171=""),"",IF(AND(E171&gt;AB171,AB171&gt;AC171),"パーフェクト▲",IF(E171&gt;AC171,"上昇トレンド▲",IF(AND(E171&lt;AB171,AB171&lt;AC171),"下降トレンド▼","もみ合い→"))))</f>
        <v>パーフェクト▲</v>
      </c>
      <c r="AE171" s="406" t="str">
        <f>IF(OR(C171="",AB171="",AC171=""),"",IF(AND(ABS(E171-AC171)/AC171&lt;=0.02,E171&gt;AC171),"25日押し目★",IF(AND(ABS(E171-AB171)/AB171&lt;=0.01,E171&gt;AB171),"5日押し目○","なし")))</f>
        <v>なし</v>
      </c>
      <c r="AF171" s="365">
        <f t="array" ref="AF171">IF(C171="","",IFERROR((INDEX(終値!$E:$E,MATCH(TEXT(C171,"0"),終値!$A:$A,0))-INDEX(終値!$E:$CZ,MATCH(TEXT(C171,"0"),終値!$A:$A,0),$AL$2))/INDEX(終値!$E:$CZ,MATCH(TEXT(C171,"0"),終値!$A:$A,0),$AL$2)*100,""))</f>
        <v>-5.0889328063241104</v>
      </c>
      <c r="AG171" s="365">
        <f t="array" ref="AG171">IFERROR((終値!$E$5-INDEX(終値!$E$5:$IT$5,1,$AL$2))/INDEX(終値!$E$5:$IT$5,1,$AL$2)*100,"")</f>
        <v>1.0179378228534113</v>
      </c>
      <c r="AH171" s="366">
        <f>IF(OR(AF171="",AG171=""),"",AF171-AG171)</f>
        <v>-6.1068706291775214</v>
      </c>
      <c r="AI171" s="364">
        <f>IF(AH171="","",IF(AH171&gt;5,3,IF(AH171&gt;0,1,IF(AH171&gt;-3,-1,-2))))</f>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6167</v>
      </c>
      <c r="F172" s="166">
        <f>IF(C172&lt;&gt;"",_xll.RssMarket(C172,"始値"),"")</f>
        <v>6093</v>
      </c>
      <c r="G172" s="165">
        <f>IF(C172&lt;&gt;"",終値!F66,"")</f>
        <v>6163</v>
      </c>
      <c r="H172" s="166">
        <f>IF(C172&lt;&gt;"",_xll.RssMarket(C172,"高値"),"")</f>
        <v>6234</v>
      </c>
      <c r="I172" s="166">
        <f>IF(C172&lt;&gt;"",_xll.RssMarket(C172,"安値"),"")</f>
        <v>6090</v>
      </c>
      <c r="J172" s="166">
        <f>IF(C172&lt;&gt;"",_xll.RssMarket(C172,"出来高"),"")</f>
        <v>6777500</v>
      </c>
      <c r="K172" s="166">
        <f>IF(C172&lt;&gt;"",_xll.RssMarket(C172,"年初来高値"),"")</f>
        <v>7930</v>
      </c>
      <c r="L172" s="167">
        <f>IF(AND(E172&lt;&gt;"",K172&lt;&gt;"",K172&lt;&gt;0),(E172-K172)/K172*100,"")</f>
        <v>-22.232030264817151</v>
      </c>
      <c r="M172" s="166">
        <f>IF(C172&lt;&gt;"",IFERROR(AVERAGE(出来高!E66:I66),""),"")</f>
        <v>10086480</v>
      </c>
      <c r="N172" s="166">
        <f>IF(C172&lt;&gt;"",IFERROR(AVERAGE(出来高!E66:AC66),""),"")</f>
        <v>8889956</v>
      </c>
      <c r="O172" s="168">
        <f>IF(AND(J172&lt;&gt;"",M172&lt;&gt;"",M172&lt;&gt;0),J172/M172,"")</f>
        <v>0.67193907091472937</v>
      </c>
      <c r="P172" s="163" t="str">
        <f>IF(O172="","",IF(O172&gt;=2,"急増↑↑",IF(O172&gt;=1.5,"増加↑",IF(O172&gt;=1,"普通→","減少↓"))))</f>
        <v>減少↓</v>
      </c>
      <c r="Q172" s="163" t="str">
        <f>IF(E172="","",IF(AND(E172&gt;G172,O172&gt;=1.5),"買い▲",IF(E172&lt;G172,"様子見▼","中立→")))</f>
        <v>中立→</v>
      </c>
      <c r="R172" s="166">
        <f>IF(E172&lt;&gt;"",ROUND(E172*1.08,0),"")</f>
        <v>6660</v>
      </c>
      <c r="S172" s="166">
        <f>IF(E172&lt;&gt;"",ROUND(E172*0.96,0),"")</f>
        <v>5920</v>
      </c>
      <c r="T172" s="163">
        <f>IF(C172="","",IFERROR(IF(O172&gt;=2,3,IF(O172&gt;=1.5,2,IF(O172&gt;=1,1,0)))+IF(E172&gt;G172,1,0)+IF(L172&gt;=-5,1,0)+IF(Q172="買い▲",2,0)+IF(W172&lt;=30,3,IF(W172&lt;=40,2,IF(AND(W172&gt;=40,W172&lt;=60),1,0)))+IF(X172&gt;0,1,0)+IF(V172="年初来高値更新●",3,IF(V172="高値圏",2,0))+IF(AD172="パーフェクト▲",3,IF(AD172="上昇トレンド▲",2,0))+IF(AE172="25日線押し目●",2,IF(AE172="5日線押し目○",1,0))+IF(P172="急増↑↑",2,IF(P172="増加↑",1,0))+N(AI172),0))</f>
        <v>4</v>
      </c>
      <c r="U172" s="163" t="str">
        <f>IF(T172="","",IF(AND(T172&gt;=3,O172&gt;=1.5),"有効",IF(T172&gt;=3,"要確認","除外")))</f>
        <v>要確認</v>
      </c>
      <c r="V172" s="163" t="str">
        <f>IF(AND(H172&lt;&gt;"",K172&lt;&gt;""),IF(H172&gt;=K172,"年初来高値更新●",IF(H172&gt;=K172*0.95,"高値圏","通常")),"")</f>
        <v>通常</v>
      </c>
      <c r="W172" s="169">
        <f t="array" ref="W172">IF(C172&lt;&gt;"",IFERROR(100-100/(1+SUMPRODUCT((終値!F66:R66&gt;終値!G66:S66)*( 終値!F66:R66-終値!G66:S66))/SUMPRODUCT((終値!F66:R66&lt;終値!G66:S66)*(終値!G66:S66-終値!F66:R66))),50),"")</f>
        <v>20.280264694433626</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様子見</v>
      </c>
      <c r="Z172" s="171">
        <f>IF(AND(E172&lt;&gt;"",G172&lt;&gt;"",G172&lt;&gt;0),(E172-G172)/G172*100,"")</f>
        <v>6.4903456109037805E-2</v>
      </c>
      <c r="AA172" s="163" t="str">
        <f>IF(OR(C172="",E172="",E172=0),"",IF(E172&gt;G172,"上昇▲",IF(E172&lt;G172,"下落▼","横ばい→")))</f>
        <v>上昇▲</v>
      </c>
      <c r="AB172" s="403">
        <f>IF(C172="","",IFERROR(((終値!E174*0.333)+(終値!F174*0.222)+(終値!G174*0.148)+(終値!H174*0.099)+(終値!I174*0.066)+(終値!J174*0.044)+(終値!K174*0.029)+(終値!L174*0.019)+(終値!M174*0.013)+(終値!N174*0.009))/(0.333+0.222+0.148+0.099+0.066+0.044+0.029+0.019+0.013+0.009),""))</f>
        <v>3752.645621181262</v>
      </c>
      <c r="AC172" s="403">
        <f>IF(C172="","",IFERROR(SUMPRODUCT((終値!E174:AC174),({0.077,0.071,0.065,0.06,0.055,0.051,0.047,0.043,0.039,0.036,0.033,0.031,0.028,0.026,0.024,0.022,0.02,0.018,0.017,0.016,0.014,0.013,0.012,0.011,0.01}))/SUM({0.077,0.071,0.065,0.06,0.055,0.051,0.047,0.043,0.039,0.036,0.033,0.031,0.028,0.026,0.024,0.022,0.02,0.018,0.017,0.016,0.014,0.013,0.012,0.011,0.01}),""))</f>
        <v>3789.8414779499381</v>
      </c>
      <c r="AD172" s="404" t="str">
        <f>IF(OR(C172="",AB172="",AC172=""),"",IF(AND(E172&gt;AB172,AB172&gt;AC172),"パーフェクト▲",IF(E172&gt;AC172,"上昇トレンド▲",IF(AND(E172&lt;AB172,AB172&lt;AC172),"下降トレンド▼","もみ合い→"))))</f>
        <v>上昇トレンド▲</v>
      </c>
      <c r="AE172" s="404" t="str">
        <f>IF(OR(C172="",AB172="",AC172=""),"",IF(AND(ABS(E172-AC172)/AC172&lt;=0.02,E172&gt;AC172),"25日押し目★",IF(AND(ABS(E172-AB172)/AB172&lt;=0.01,E172&gt;AB172),"5日押し目○","なし")))</f>
        <v>なし</v>
      </c>
      <c r="AF172" s="365">
        <f t="array" ref="AF172">IF(C172="","",IFERROR((INDEX(終値!$E:$E,MATCH(TEXT(C172,"0"),終値!$A:$A,0))-INDEX(終値!$E:$CZ,MATCH(TEXT(C172,"0"),終値!$A:$A,0),$AL$2))/INDEX(終値!$E:$CZ,MATCH(TEXT(C172,"0"),終値!$A:$A,0),$AL$2)*100,""))</f>
        <v>-15.043394406943106</v>
      </c>
      <c r="AG172" s="365">
        <f t="array" ref="AG172">IFERROR((終値!$E$5-INDEX(終値!$E$5:$IT$5,1,$AL$2))/INDEX(終値!$E$5:$IT$5,1,$AL$2)*100,"")</f>
        <v>1.0179378228534113</v>
      </c>
      <c r="AH172" s="366">
        <f>IF(OR(AF172="",AG172=""),"",AF172-AG172)</f>
        <v>-16.061332229796516</v>
      </c>
      <c r="AI172" s="364">
        <f>IF(AH172="","",IF(AH172&gt;5,3,IF(AH172&gt;0,1,IF(AH172&gt;-3,-1,-2))))</f>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19010</v>
      </c>
      <c r="F173" s="166">
        <f>IF(C173&lt;&gt;"",_xll.RssMarket(C173,"始値"),"")</f>
        <v>19980</v>
      </c>
      <c r="G173" s="165">
        <f>IF(C173&lt;&gt;"",終値!F96,"")</f>
        <v>20330</v>
      </c>
      <c r="H173" s="166">
        <f>IF(C173&lt;&gt;"",_xll.RssMarket(C173,"高値"),"")</f>
        <v>20300</v>
      </c>
      <c r="I173" s="166">
        <f>IF(C173&lt;&gt;"",_xll.RssMarket(C173,"安値"),"")</f>
        <v>18415</v>
      </c>
      <c r="J173" s="166">
        <f>IF(C173&lt;&gt;"",_xll.RssMarket(C173,"出来高"),"")</f>
        <v>12684800</v>
      </c>
      <c r="K173" s="166">
        <f>IF(C173&lt;&gt;"",_xll.RssMarket(C173,"年初来高値"),"")</f>
        <v>27480</v>
      </c>
      <c r="L173" s="167">
        <f>IF(AND(E173&lt;&gt;"",K173&lt;&gt;"",K173&lt;&gt;0),(E173-K173)/K173*100,"")</f>
        <v>-30.822416302765649</v>
      </c>
      <c r="M173" s="166">
        <f>IF(C173&lt;&gt;"",IFERROR(AVERAGE(出来高!E96:I96),""),"")</f>
        <v>8193800</v>
      </c>
      <c r="N173" s="166">
        <f>IF(C173&lt;&gt;"",IFERROR(AVERAGE(出来高!E96:AC96),""),"")</f>
        <v>8632500</v>
      </c>
      <c r="O173" s="168">
        <f>IF(AND(J173&lt;&gt;"",M173&lt;&gt;"",M173&lt;&gt;0),J173/M173,"")</f>
        <v>1.5480973418926505</v>
      </c>
      <c r="P173" s="163" t="str">
        <f>IF(O173="","",IF(O173&gt;=2,"急増↑↑",IF(O173&gt;=1.5,"増加↑",IF(O173&gt;=1,"普通→","減少↓"))))</f>
        <v>増加↑</v>
      </c>
      <c r="Q173" s="163" t="str">
        <f>IF(E173="","",IF(AND(E173&gt;G173,O173&gt;=1.5),"買い▲",IF(E173&lt;G173,"様子見▼","中立→")))</f>
        <v>様子見▼</v>
      </c>
      <c r="R173" s="166">
        <f>IF(E173&lt;&gt;"",ROUND(E173*1.08,0),"")</f>
        <v>20531</v>
      </c>
      <c r="S173" s="166">
        <f>IF(E173&lt;&gt;"",ROUND(E173*0.96,0),"")</f>
        <v>18250</v>
      </c>
      <c r="T173" s="163">
        <f>IF(C173="","",IFERROR(IF(O173&gt;=2,3,IF(O173&gt;=1.5,2,IF(O173&gt;=1,1,0)))+IF(E173&gt;G173,1,0)+IF(L173&gt;=-5,1,0)+IF(Q173="買い▲",2,0)+IF(W173&lt;=30,3,IF(W173&lt;=40,2,IF(AND(W173&gt;=40,W173&lt;=60),1,0)))+IF(X173&gt;0,1,0)+IF(V173="年初来高値更新●",3,IF(V173="高値圏",2,0))+IF(AD173="パーフェクト▲",3,IF(AD173="上昇トレンド▲",2,0))+IF(AE173="25日線押し目●",2,IF(AE173="5日線押し目○",1,0))+IF(P173="急増↑↑",2,IF(P173="増加↑",1,0))+N(AI173),0))</f>
        <v>4</v>
      </c>
      <c r="U173" s="163" t="str">
        <f>IF(T173="","",IF(AND(T173&gt;=3,O173&gt;=1.5),"有効",IF(T173&gt;=3,"要確認","除外")))</f>
        <v>有効</v>
      </c>
      <c r="V173" s="163" t="str">
        <f>IF(AND(H173&lt;&gt;"",K173&lt;&gt;""),IF(H173&gt;=K173,"年初来高値更新●",IF(H173&gt;=K173*0.95,"高値圏","通常")),"")</f>
        <v>通常</v>
      </c>
      <c r="W173" s="169">
        <f t="array" ref="W173">IF(C173&lt;&gt;"",IFERROR(100-100/(1+SUMPRODUCT((終値!F96:R96&gt;終値!G96:S96)*( 終値!F96:R96-終値!G96:S96))/SUMPRODUCT((終値!F96:R96&lt;終値!G96:S96)*(終値!G96:S96-終値!F96:R96))),50),"")</f>
        <v>52.463912394225986</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様子見</v>
      </c>
      <c r="Z173" s="171">
        <f>IF(AND(E173&lt;&gt;"",G173&lt;&gt;"",G173&lt;&gt;0),(E173-G173)/G173*100,"")</f>
        <v>-6.4928676832267582</v>
      </c>
      <c r="AA173" s="163" t="str">
        <f>IF(OR(C173="",E173="",E173=0),"",IF(E173&gt;G173,"上昇▲",IF(E173&lt;G173,"下落▼","横ばい→")))</f>
        <v>下落▼</v>
      </c>
      <c r="AB173" s="405">
        <f>IF(C173="","",IFERROR(((終値!E175*0.333)+(終値!F175*0.222)+(終値!G175*0.148)+(終値!H175*0.099)+(終値!I175*0.066)+(終値!J175*0.044)+(終値!K175*0.029)+(終値!L175*0.019)+(終値!M175*0.013)+(終値!N175*0.009))/(0.333+0.222+0.148+0.099+0.066+0.044+0.029+0.019+0.013+0.009),""))</f>
        <v>5587.5162932790199</v>
      </c>
      <c r="AC173" s="405">
        <f>IF(C173="","",IFERROR(SUMPRODUCT((終値!E175:AC175),({0.077,0.071,0.065,0.06,0.055,0.051,0.047,0.043,0.039,0.036,0.033,0.031,0.028,0.026,0.024,0.022,0.02,0.018,0.017,0.016,0.014,0.013,0.012,0.011,0.01}))/SUM({0.077,0.071,0.065,0.06,0.055,0.051,0.047,0.043,0.039,0.036,0.033,0.031,0.028,0.026,0.024,0.022,0.02,0.018,0.017,0.016,0.014,0.013,0.012,0.011,0.01}),""))</f>
        <v>5843.8712753277687</v>
      </c>
      <c r="AD173" s="406" t="str">
        <f>IF(OR(C173="",AB173="",AC173=""),"",IF(AND(E173&gt;AB173,AB173&gt;AC173),"パーフェクト▲",IF(E173&gt;AC173,"上昇トレンド▲",IF(AND(E173&lt;AB173,AB173&lt;AC173),"下降トレンド▼","もみ合い→"))))</f>
        <v>上昇トレンド▲</v>
      </c>
      <c r="AE173" s="406" t="str">
        <f>IF(OR(C173="",AB173="",AC173=""),"",IF(AND(ABS(E173-AC173)/AC173&lt;=0.02,E173&gt;AC173),"25日押し目★",IF(AND(ABS(E173-AB173)/AB173&lt;=0.01,E173&gt;AB173),"5日押し目○","なし")))</f>
        <v>なし</v>
      </c>
      <c r="AF173" s="365">
        <f t="array" ref="AF173">IF(C173="","",IFERROR((INDEX(終値!$E:$E,MATCH(TEXT(C173,"0"),終値!$A:$A,0))-INDEX(終値!$E:$CZ,MATCH(TEXT(C173,"0"),終値!$A:$A,0),$AL$2))/INDEX(終値!$E:$CZ,MATCH(TEXT(C173,"0"),終値!$A:$A,0),$AL$2)*100,""))</f>
        <v>-26.274966065541982</v>
      </c>
      <c r="AG173" s="365">
        <f t="array" ref="AG173">IFERROR((終値!$E$5-INDEX(終値!$E$5:$IT$5,1,$AL$2))/INDEX(終値!$E$5:$IT$5,1,$AL$2)*100,"")</f>
        <v>1.0179378228534113</v>
      </c>
      <c r="AH173" s="366">
        <f>IF(OR(AF173="",AG173=""),"",AF173-AG173)</f>
        <v>-27.292903888395394</v>
      </c>
      <c r="AI173" s="364">
        <f>IF(AH173="","",IF(AH173&gt;5,3,IF(AH173&gt;0,1,IF(AH173&gt;-3,-1,-2))))</f>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1848</v>
      </c>
      <c r="F174" s="166">
        <f>IF(C174&lt;&gt;"",_xll.RssMarket(C174,"始値"),"")</f>
        <v>1836</v>
      </c>
      <c r="G174" s="165">
        <f>IF(C174&lt;&gt;"",終値!F61,"")</f>
        <v>1841</v>
      </c>
      <c r="H174" s="166">
        <f>IF(C174&lt;&gt;"",_xll.RssMarket(C174,"高値"),"")</f>
        <v>1863</v>
      </c>
      <c r="I174" s="166">
        <f>IF(C174&lt;&gt;"",_xll.RssMarket(C174,"安値"),"")</f>
        <v>1836</v>
      </c>
      <c r="J174" s="166">
        <f>IF(C174&lt;&gt;"",_xll.RssMarket(C174,"出来高"),"")</f>
        <v>316300</v>
      </c>
      <c r="K174" s="166">
        <f>IF(C174&lt;&gt;"",_xll.RssMarket(C174,"年初来高値"),"")</f>
        <v>1922.5</v>
      </c>
      <c r="L174" s="167">
        <f>IF(AND(E174&lt;&gt;"",K174&lt;&gt;"",K174&lt;&gt;0),(E174-K174)/K174*100,"")</f>
        <v>-3.8751625487646297</v>
      </c>
      <c r="M174" s="166">
        <f>IF(C174&lt;&gt;"",IFERROR(AVERAGE(出来高!E61:I61),""),"")</f>
        <v>362800</v>
      </c>
      <c r="N174" s="166">
        <f>IF(C174&lt;&gt;"",IFERROR(AVERAGE(出来高!E61:AC61),""),"")</f>
        <v>316412</v>
      </c>
      <c r="O174" s="168">
        <f>IF(AND(J174&lt;&gt;"",M174&lt;&gt;"",M174&lt;&gt;0),J174/M174,"")</f>
        <v>0.87183020948180812</v>
      </c>
      <c r="P174" s="163" t="str">
        <f>IF(O174="","",IF(O174&gt;=2,"急増↑↑",IF(O174&gt;=1.5,"増加↑",IF(O174&gt;=1,"普通→","減少↓"))))</f>
        <v>減少↓</v>
      </c>
      <c r="Q174" s="163" t="str">
        <f>IF(E174="","",IF(AND(E174&gt;G174,O174&gt;=1.5),"買い▲",IF(E174&lt;G174,"様子見▼","中立→")))</f>
        <v>中立→</v>
      </c>
      <c r="R174" s="166">
        <f>IF(E174&lt;&gt;"",ROUND(E174*1.08,0),"")</f>
        <v>1996</v>
      </c>
      <c r="S174" s="166">
        <f>IF(E174&lt;&gt;"",ROUND(E174*0.96,0),"")</f>
        <v>1774</v>
      </c>
      <c r="T174" s="163">
        <f>IF(C174="","",IFERROR(IF(O174&gt;=2,3,IF(O174&gt;=1.5,2,IF(O174&gt;=1,1,0)))+IF(E174&gt;G174,1,0)+IF(L174&gt;=-5,1,0)+IF(Q174="買い▲",2,0)+IF(W174&lt;=30,3,IF(W174&lt;=40,2,IF(AND(W174&gt;=40,W174&lt;=60),1,0)))+IF(X174&gt;0,1,0)+IF(V174="年初来高値更新●",3,IF(V174="高値圏",2,0))+IF(AD174="パーフェクト▲",3,IF(AD174="上昇トレンド▲",2,0))+IF(AE174="25日線押し目●",2,IF(AE174="5日線押し目○",1,0))+IF(P174="急増↑↑",2,IF(P174="増加↑",1,0))+N(AI174),0))</f>
        <v>8</v>
      </c>
      <c r="U174" s="163" t="str">
        <f>IF(T174="","",IF(AND(T174&gt;=3,O174&gt;=1.5),"有効",IF(T174&gt;=3,"要確認","除外")))</f>
        <v>要確認</v>
      </c>
      <c r="V174" s="163" t="str">
        <f>IF(AND(H174&lt;&gt;"",K174&lt;&gt;""),IF(H174&gt;=K174,"年初来高値更新●",IF(H174&gt;=K174*0.95,"高値圏","通常")),"")</f>
        <v>高値圏</v>
      </c>
      <c r="W174" s="169">
        <f t="array" ref="W174">IF(C174&lt;&gt;"",IFERROR(100-100/(1+SUMPRODUCT((終値!F61:R61&gt;終値!G61:S61)*( 終値!F61:R61-終値!G61:S61))/SUMPRODUCT((終値!F61:R61&lt;終値!G61:S61)*(終値!G61:S61-終値!F61:R61))),50),"")</f>
        <v>74.365482233502533</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△注目</v>
      </c>
      <c r="Z174" s="171">
        <f>IF(AND(E174&lt;&gt;"",G174&lt;&gt;"",G174&lt;&gt;0),(E174-G174)/G174*100,"")</f>
        <v>0.38022813688212925</v>
      </c>
      <c r="AA174" s="163" t="str">
        <f>IF(OR(C174="",E174="",E174=0),"",IF(E174&gt;G174,"上昇▲",IF(E174&lt;G174,"下落▼","横ばい→")))</f>
        <v>上昇▲</v>
      </c>
      <c r="AB174" s="403">
        <f>IF(C174="","",IFERROR(((終値!E176*0.333)+(終値!F176*0.222)+(終値!G176*0.148)+(終値!H176*0.099)+(終値!I176*0.066)+(終値!J176*0.044)+(終値!K176*0.029)+(終値!L176*0.019)+(終値!M176*0.013)+(終値!N176*0.009))/(0.333+0.222+0.148+0.099+0.066+0.044+0.029+0.019+0.013+0.009),""))</f>
        <v>2469.838085539714</v>
      </c>
      <c r="AC174" s="403">
        <f>IF(C174="","",IFERROR(SUMPRODUCT((終値!E176:AC176),({0.077,0.071,0.065,0.06,0.055,0.051,0.047,0.043,0.039,0.036,0.033,0.031,0.028,0.026,0.024,0.022,0.02,0.018,0.017,0.016,0.014,0.013,0.012,0.011,0.01}))/SUM({0.077,0.071,0.065,0.06,0.055,0.051,0.047,0.043,0.039,0.036,0.033,0.031,0.028,0.026,0.024,0.022,0.02,0.018,0.017,0.016,0.014,0.013,0.012,0.011,0.01}),""))</f>
        <v>2494.8367103694864</v>
      </c>
      <c r="AD174" s="404" t="str">
        <f>IF(OR(C174="",AB174="",AC174=""),"",IF(AND(E174&gt;AB174,AB174&gt;AC174),"パーフェクト▲",IF(E174&gt;AC174,"上昇トレンド▲",IF(AND(E174&lt;AB174,AB174&lt;AC174),"下降トレンド▼","もみ合い→"))))</f>
        <v>下降トレンド▼</v>
      </c>
      <c r="AE174" s="404" t="str">
        <f>IF(OR(C174="",AB174="",AC174=""),"",IF(AND(ABS(E174-AC174)/AC174&lt;=0.02,E174&gt;AC174),"25日押し目★",IF(AND(ABS(E174-AB174)/AB174&lt;=0.01,E174&gt;AB174),"5日押し目○","なし")))</f>
        <v>なし</v>
      </c>
      <c r="AF174" s="365">
        <f t="array" ref="AF174">IF(C174="","",IFERROR((INDEX(終値!$E:$E,MATCH(TEXT(C174,"0"),終値!$A:$A,0))-INDEX(終値!$E:$CZ,MATCH(TEXT(C174,"0"),終値!$A:$A,0),$AL$2))/INDEX(終値!$E:$CZ,MATCH(TEXT(C174,"0"),終値!$A:$A,0),$AL$2)*100,""))</f>
        <v>6.5436725281060832</v>
      </c>
      <c r="AG174" s="365">
        <f t="array" ref="AG174">IFERROR((終値!$E$5-INDEX(終値!$E$5:$IT$5,1,$AL$2))/INDEX(終値!$E$5:$IT$5,1,$AL$2)*100,"")</f>
        <v>1.0179378228534113</v>
      </c>
      <c r="AH174" s="366">
        <f>IF(OR(AF174="",AG174=""),"",AF174-AG174)</f>
        <v>5.5257347052526722</v>
      </c>
      <c r="AI174" s="364">
        <f>IF(AH174="","",IF(AH174&gt;5,3,IF(AH174&gt;0,1,IF(AH174&gt;-3,-1,-2))))</f>
        <v>3</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1446</v>
      </c>
      <c r="F175" s="166">
        <f>IF(C175&lt;&gt;"",_xll.RssMarket(C175,"始値"),"")</f>
        <v>1260</v>
      </c>
      <c r="G175" s="165">
        <f>IF(C175&lt;&gt;"",終値!F95,"")</f>
        <v>1259</v>
      </c>
      <c r="H175" s="166">
        <f>IF(C175&lt;&gt;"",_xll.RssMarket(C175,"高値"),"")</f>
        <v>1530</v>
      </c>
      <c r="I175" s="166">
        <f>IF(C175&lt;&gt;"",_xll.RssMarket(C175,"安値"),"")</f>
        <v>1251</v>
      </c>
      <c r="J175" s="166">
        <f>IF(C175&lt;&gt;"",_xll.RssMarket(C175,"出来高"),"")</f>
        <v>1206100</v>
      </c>
      <c r="K175" s="166">
        <f>IF(C175&lt;&gt;"",_xll.RssMarket(C175,"年初来高値"),"")</f>
        <v>1398</v>
      </c>
      <c r="L175" s="167">
        <f>IF(AND(E175&lt;&gt;"",K175&lt;&gt;"",K175&lt;&gt;0),(E175-K175)/K175*100,"")</f>
        <v>3.4334763948497855</v>
      </c>
      <c r="M175" s="166">
        <f>IF(C175&lt;&gt;"",IFERROR(AVERAGE(出来高!E95:I95),""),"")</f>
        <v>377220</v>
      </c>
      <c r="N175" s="166">
        <f>IF(C175&lt;&gt;"",IFERROR(AVERAGE(出来高!E95:AC95),""),"")</f>
        <v>212554.16666666666</v>
      </c>
      <c r="O175" s="168">
        <f>IF(AND(J175&lt;&gt;"",M175&lt;&gt;"",M175&lt;&gt;0),J175/M175,"")</f>
        <v>3.1973384232013147</v>
      </c>
      <c r="P175" s="163" t="str">
        <f>IF(O175="","",IF(O175&gt;=2,"急増↑↑",IF(O175&gt;=1.5,"増加↑",IF(O175&gt;=1,"普通→","減少↓"))))</f>
        <v>急増↑↑</v>
      </c>
      <c r="Q175" s="163" t="str">
        <f>IF(E175="","",IF(AND(E175&gt;G175,O175&gt;=1.5),"買い▲",IF(E175&lt;G175,"様子見▼","中立→")))</f>
        <v>買い▲</v>
      </c>
      <c r="R175" s="166">
        <f>IF(E175&lt;&gt;"",ROUND(E175*1.08,0),"")</f>
        <v>1562</v>
      </c>
      <c r="S175" s="166">
        <f>IF(E175&lt;&gt;"",ROUND(E175*0.96,0),"")</f>
        <v>1388</v>
      </c>
      <c r="T175" s="163">
        <f>IF(C175="","",IFERROR(IF(O175&gt;=2,3,IF(O175&gt;=1.5,2,IF(O175&gt;=1,1,0)))+IF(E175&gt;G175,1,0)+IF(L175&gt;=-5,1,0)+IF(Q175="買い▲",2,0)+IF(W175&lt;=30,3,IF(W175&lt;=40,2,IF(AND(W175&gt;=40,W175&lt;=60),1,0)))+IF(X175&gt;0,1,0)+IF(V175="年初来高値更新●",3,IF(V175="高値圏",2,0))+IF(AD175="パーフェクト▲",3,IF(AD175="上昇トレンド▲",2,0))+IF(AE175="25日線押し目●",2,IF(AE175="5日線押し目○",1,0))+IF(P175="急増↑↑",2,IF(P175="増加↑",1,0))+N(AI175),0))</f>
        <v>19</v>
      </c>
      <c r="U175" s="163" t="str">
        <f>IF(T175="","",IF(AND(T175&gt;=3,O175&gt;=1.5),"有効",IF(T175&gt;=3,"要確認","除外")))</f>
        <v>有効</v>
      </c>
      <c r="V175" s="163" t="str">
        <f>IF(AND(H175&lt;&gt;"",K175&lt;&gt;""),IF(H175&gt;=K175,"年初来高値更新●",IF(H175&gt;=K175*0.95,"高値圏","通常")),"")</f>
        <v>年初来高値更新●</v>
      </c>
      <c r="W175" s="169">
        <f t="array" ref="W175">IF(C175&lt;&gt;"",IFERROR(100-100/(1+SUMPRODUCT((終値!F95:R95&gt;終値!G95:S95)*( 終値!F95:R95-終値!G95:S95))/SUMPRODUCT((終値!F95:R95&lt;終値!G95:S95)*(終値!G95:S95-終値!F95:R95))),50),"")</f>
        <v>49.006143838091795</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★強い買い</v>
      </c>
      <c r="Z175" s="171">
        <f>IF(AND(E175&lt;&gt;"",G175&lt;&gt;"",G175&lt;&gt;0),(E175-G175)/G175*100,"")</f>
        <v>14.853057982525813</v>
      </c>
      <c r="AA175" s="163" t="str">
        <f>IF(OR(C175="",E175="",E175=0),"",IF(E175&gt;G175,"上昇▲",IF(E175&lt;G175,"下落▼","横ばい→")))</f>
        <v>上昇▲</v>
      </c>
      <c r="AB175" s="405">
        <f>IF(C175="","",IFERROR(((終値!E177*0.333)+(終値!F177*0.222)+(終値!G177*0.148)+(終値!H177*0.099)+(終値!I177*0.066)+(終値!J177*0.044)+(終値!K177*0.029)+(終値!L177*0.019)+(終値!M177*0.013)+(終値!N177*0.009))/(0.333+0.222+0.148+0.099+0.066+0.044+0.029+0.019+0.013+0.009),""))</f>
        <v>866.86252545824834</v>
      </c>
      <c r="AC175" s="405">
        <f>IF(C175="","",IFERROR(SUMPRODUCT((終値!E177:AC177),({0.077,0.071,0.065,0.06,0.055,0.051,0.047,0.043,0.039,0.036,0.033,0.031,0.028,0.026,0.024,0.022,0.02,0.018,0.017,0.016,0.014,0.013,0.012,0.011,0.01}))/SUM({0.077,0.071,0.065,0.06,0.055,0.051,0.047,0.043,0.039,0.036,0.033,0.031,0.028,0.026,0.024,0.022,0.02,0.018,0.017,0.016,0.014,0.013,0.012,0.011,0.01}),""))</f>
        <v>270.45053635280084</v>
      </c>
      <c r="AD175" s="406" t="str">
        <f>IF(OR(C175="",AB175="",AC175=""),"",IF(AND(E175&gt;AB175,AB175&gt;AC175),"パーフェクト▲",IF(E175&gt;AC175,"上昇トレンド▲",IF(AND(E175&lt;AB175,AB175&lt;AC175),"下降トレンド▼","もみ合い→"))))</f>
        <v>パーフェクト▲</v>
      </c>
      <c r="AE175" s="406" t="str">
        <f>IF(OR(C175="",AB175="",AC175=""),"",IF(AND(ABS(E175-AC175)/AC175&lt;=0.02,E175&gt;AC175),"25日押し目★",IF(AND(ABS(E175-AB175)/AB175&lt;=0.01,E175&gt;AB175),"5日押し目○","なし")))</f>
        <v>なし</v>
      </c>
      <c r="AF175" s="365">
        <f t="array" ref="AF175">IF(C175="","",IFERROR((INDEX(終値!$E:$E,MATCH(TEXT(C175,"0"),終値!$A:$A,0))-INDEX(終値!$E:$CZ,MATCH(TEXT(C175,"0"),終値!$A:$A,0),$AL$2))/INDEX(終値!$E:$CZ,MATCH(TEXT(C175,"0"),終値!$A:$A,0),$AL$2)*100,""))</f>
        <v>12.441679626749611</v>
      </c>
      <c r="AG175" s="365">
        <f t="array" ref="AG175">IFERROR((終値!$E$5-INDEX(終値!$E$5:$IT$5,1,$AL$2))/INDEX(終値!$E$5:$IT$5,1,$AL$2)*100,"")</f>
        <v>1.0179378228534113</v>
      </c>
      <c r="AH175" s="366">
        <f>IF(OR(AF175="",AG175=""),"",AF175-AG175)</f>
        <v>11.423741803896199</v>
      </c>
      <c r="AI175" s="364">
        <f>IF(AH175="","",IF(AH175&gt;5,3,IF(AH175&gt;0,1,IF(AH175&gt;-3,-1,-2))))</f>
        <v>3</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1595.5</v>
      </c>
      <c r="F176" s="166">
        <f>IF(C176&lt;&gt;"",_xll.RssMarket(C176,"始値"),"")</f>
        <v>1650</v>
      </c>
      <c r="G176" s="165">
        <f>IF(C176&lt;&gt;"",終値!F48,"")</f>
        <v>1614.5</v>
      </c>
      <c r="H176" s="166">
        <f>IF(C176&lt;&gt;"",_xll.RssMarket(C176,"高値"),"")</f>
        <v>1665</v>
      </c>
      <c r="I176" s="166">
        <f>IF(C176&lt;&gt;"",_xll.RssMarket(C176,"安値"),"")</f>
        <v>1571.5</v>
      </c>
      <c r="J176" s="166">
        <f>IF(C176&lt;&gt;"",_xll.RssMarket(C176,"出来高"),"")</f>
        <v>1820200</v>
      </c>
      <c r="K176" s="166">
        <f>IF(C176&lt;&gt;"",_xll.RssMarket(C176,"年初来高値"),"")</f>
        <v>1614.5</v>
      </c>
      <c r="L176" s="167">
        <f>IF(AND(E176&lt;&gt;"",K176&lt;&gt;"",K176&lt;&gt;0),(E176-K176)/K176*100,"")</f>
        <v>-1.1768349334159183</v>
      </c>
      <c r="M176" s="166">
        <f>IF(C176&lt;&gt;"",IFERROR(AVERAGE(出来高!E48:I48),""),"")</f>
        <v>1423000</v>
      </c>
      <c r="N176" s="166">
        <f>IF(C176&lt;&gt;"",IFERROR(AVERAGE(出来高!E48:AC48),""),"")</f>
        <v>1069400</v>
      </c>
      <c r="O176" s="168">
        <f>IF(AND(J176&lt;&gt;"",M176&lt;&gt;"",M176&lt;&gt;0),J176/M176,"")</f>
        <v>1.2791286015460295</v>
      </c>
      <c r="P176" s="163" t="str">
        <f>IF(O176="","",IF(O176&gt;=2,"急増↑↑",IF(O176&gt;=1.5,"増加↑",IF(O176&gt;=1,"普通→","減少↓"))))</f>
        <v>普通→</v>
      </c>
      <c r="Q176" s="163" t="str">
        <f>IF(E176="","",IF(AND(E176&gt;G176,O176&gt;=1.5),"買い▲",IF(E176&lt;G176,"様子見▼","中立→")))</f>
        <v>様子見▼</v>
      </c>
      <c r="R176" s="166">
        <f>IF(E176&lt;&gt;"",ROUND(E176*1.08,0),"")</f>
        <v>1723</v>
      </c>
      <c r="S176" s="166">
        <f>IF(E176&lt;&gt;"",ROUND(E176*0.96,0),"")</f>
        <v>1532</v>
      </c>
      <c r="T176" s="163">
        <f>IF(C176="","",IFERROR(IF(O176&gt;=2,3,IF(O176&gt;=1.5,2,IF(O176&gt;=1,1,0)))+IF(E176&gt;G176,1,0)+IF(L176&gt;=-5,1,0)+IF(Q176="買い▲",2,0)+IF(W176&lt;=30,3,IF(W176&lt;=40,2,IF(AND(W176&gt;=40,W176&lt;=60),1,0)))+IF(X176&gt;0,1,0)+IF(V176="年初来高値更新●",3,IF(V176="高値圏",2,0))+IF(AD176="パーフェクト▲",3,IF(AD176="上昇トレンド▲",2,0))+IF(AE176="25日線押し目●",2,IF(AE176="5日線押し目○",1,0))+IF(P176="急増↑↑",2,IF(P176="増加↑",1,0))+N(AI176),0))</f>
        <v>9</v>
      </c>
      <c r="U176" s="163" t="str">
        <f>IF(T176="","",IF(AND(T176&gt;=3,O176&gt;=1.5),"有効",IF(T176&gt;=3,"要確認","除外")))</f>
        <v>要確認</v>
      </c>
      <c r="V176" s="163" t="str">
        <f>IF(AND(H176&lt;&gt;"",K176&lt;&gt;""),IF(H176&gt;=K176,"年初来高値更新●",IF(H176&gt;=K176*0.95,"高値圏","通常")),"")</f>
        <v>年初来高値更新●</v>
      </c>
      <c r="W176" s="169">
        <f t="array" ref="W176">IF(C176&lt;&gt;"",IFERROR(100-100/(1+SUMPRODUCT((終値!F48:R48&gt;終値!G48:S48)*( 終値!F48:R48-終値!G48:S48))/SUMPRODUCT((終値!F48:R48&lt;終値!G48:S48)*(終値!G48:S48-終値!F48:R48))),50),"")</f>
        <v>76.957831325301214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△注目</v>
      </c>
      <c r="Z176" s="171">
        <f>IF(AND(E176&lt;&gt;"",G176&lt;&gt;"",G176&lt;&gt;0),(E176-G176)/G176*100,"")</f>
        <v>-1.1768349334159183</v>
      </c>
      <c r="AA176" s="163" t="str">
        <f>IF(OR(C176="",E176="",E176=0),"",IF(E176&gt;G176,"上昇▲",IF(E176&lt;G176,"下落▼","横ばい→")))</f>
        <v>下落▼</v>
      </c>
      <c r="AB176" s="403">
        <f>IF(C176="","",IFERROR(((終値!E178*0.333)+(終値!F178*0.222)+(終値!G178*0.148)+(終値!H178*0.099)+(終値!I178*0.066)+(終値!J178*0.044)+(終値!K178*0.029)+(終値!L178*0.019)+(終値!M178*0.013)+(終値!N178*0.009))/(0.333+0.222+0.148+0.099+0.066+0.044+0.029+0.019+0.013+0.009),""))</f>
        <v>3856.4307535641547</v>
      </c>
      <c r="AC176" s="403">
        <f>IF(C176="","",IFERROR(SUMPRODUCT((終値!E178:AC178),({0.077,0.071,0.065,0.06,0.055,0.051,0.047,0.043,0.039,0.036,0.033,0.031,0.028,0.026,0.024,0.022,0.02,0.018,0.017,0.016,0.014,0.013,0.012,0.011,0.01}))/SUM({0.077,0.071,0.065,0.06,0.055,0.051,0.047,0.043,0.039,0.036,0.033,0.031,0.028,0.026,0.024,0.022,0.02,0.018,0.017,0.016,0.014,0.013,0.012,0.011,0.01}),""))</f>
        <v>3685.2908224076268</v>
      </c>
      <c r="AD176" s="404" t="str">
        <f>IF(OR(C176="",AB176="",AC176=""),"",IF(AND(E176&gt;AB176,AB176&gt;AC176),"パーフェクト▲",IF(E176&gt;AC176,"上昇トレンド▲",IF(AND(E176&lt;AB176,AB176&lt;AC176),"下降トレンド▼","もみ合い→"))))</f>
        <v>もみ合い→</v>
      </c>
      <c r="AE176" s="404" t="str">
        <f>IF(OR(C176="",AB176="",AC176=""),"",IF(AND(ABS(E176-AC176)/AC176&lt;=0.02,E176&gt;AC176),"25日押し目★",IF(AND(ABS(E176-AB176)/AB176&lt;=0.01,E176&gt;AB176),"5日押し目○","なし")))</f>
        <v>なし</v>
      </c>
      <c r="AF176" s="365">
        <f t="array" ref="AF176">IF(C176="","",IFERROR((INDEX(終値!$E:$E,MATCH(TEXT(C176,"0"),終値!$A:$A,0))-INDEX(終値!$E:$CZ,MATCH(TEXT(C176,"0"),終値!$A:$A,0),$AL$2))/INDEX(終値!$E:$CZ,MATCH(TEXT(C176,"0"),終値!$A:$A,0),$AL$2)*100,""))</f>
        <v>12.716354645001765</v>
      </c>
      <c r="AG176" s="365">
        <f t="array" ref="AG176">IFERROR((終値!$E$5-INDEX(終値!$E$5:$IT$5,1,$AL$2))/INDEX(終値!$E$5:$IT$5,1,$AL$2)*100,"")</f>
        <v>1.0179378228534113</v>
      </c>
      <c r="AH176" s="366">
        <f>IF(OR(AF176="",AG176=""),"",AF176-AG176)</f>
        <v>11.698416822148353</v>
      </c>
      <c r="AI176" s="364">
        <f>IF(AH176="","",IF(AH176&gt;5,3,IF(AH176&gt;0,1,IF(AH176&gt;-3,-1,-2))))</f>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7180</v>
      </c>
      <c r="F177" s="166">
        <f>IF(C177&lt;&gt;"",_xll.RssMarket(C177,"始値"),"")</f>
        <v>6990</v>
      </c>
      <c r="G177" s="165">
        <f>IF(C177&lt;&gt;"",終値!F159,"")</f>
        <v>7310</v>
      </c>
      <c r="H177" s="166">
        <f>IF(C177&lt;&gt;"",_xll.RssMarket(C177,"高値"),"")</f>
        <v>7320</v>
      </c>
      <c r="I177" s="166">
        <f>IF(C177&lt;&gt;"",_xll.RssMarket(C177,"安値"),"")</f>
        <v>6730</v>
      </c>
      <c r="J177" s="166">
        <f>IF(C177&lt;&gt;"",_xll.RssMarket(C177,"出来高"),"")</f>
        <v>210000</v>
      </c>
      <c r="K177" s="166">
        <f>IF(C177&lt;&gt;"",_xll.RssMarket(C177,"年初来高値"),"")</f>
        <v>11110</v>
      </c>
      <c r="L177" s="167">
        <f>IF(AND(E177&lt;&gt;"",K177&lt;&gt;"",K177&lt;&gt;0),(E177-K177)/K177*100,"")</f>
        <v>-35.373537353735372</v>
      </c>
      <c r="M177" s="166">
        <f>IF(C177&lt;&gt;"",IFERROR(AVERAGE(出来高!E159:I159),""),"")</f>
        <v>385740</v>
      </c>
      <c r="N177" s="166">
        <f>IF(C177&lt;&gt;"",IFERROR(AVERAGE(出来高!E159:AC159),""),"")</f>
        <v>221476</v>
      </c>
      <c r="O177" s="168">
        <f>IF(AND(J177&lt;&gt;"",M177&lt;&gt;"",M177&lt;&gt;0),J177/M177,"")</f>
        <v>0.54440815056773995</v>
      </c>
      <c r="P177" s="163" t="str">
        <f>IF(O177="","",IF(O177&gt;=2,"急増↑↑",IF(O177&gt;=1.5,"増加↑",IF(O177&gt;=1,"普通→","減少↓"))))</f>
        <v>減少↓</v>
      </c>
      <c r="Q177" s="163" t="str">
        <f>IF(E177="","",IF(AND(E177&gt;G177,O177&gt;=1.5),"買い▲",IF(E177&lt;G177,"様子見▼","中立→")))</f>
        <v>様子見▼</v>
      </c>
      <c r="R177" s="166">
        <f>IF(E177&lt;&gt;"",ROUND(E177*1.08,0),"")</f>
        <v>7754</v>
      </c>
      <c r="S177" s="166">
        <f>IF(E177&lt;&gt;"",ROUND(E177*0.96,0),"")</f>
        <v>6893</v>
      </c>
      <c r="T177" s="163">
        <f>IF(C177="","",IFERROR(IF(O177&gt;=2,3,IF(O177&gt;=1.5,2,IF(O177&gt;=1,1,0)))+IF(E177&gt;G177,1,0)+IF(L177&gt;=-5,1,0)+IF(Q177="買い▲",2,0)+IF(W177&lt;=30,3,IF(W177&lt;=40,2,IF(AND(W177&gt;=40,W177&lt;=60),1,0)))+IF(X177&gt;0,1,0)+IF(V177="年初来高値更新●",3,IF(V177="高値圏",2,0))+IF(AD177="パーフェクト▲",3,IF(AD177="上昇トレンド▲",2,0))+IF(AE177="25日線押し目●",2,IF(AE177="5日線押し目○",1,0))+IF(P177="急増↑↑",2,IF(P177="増加↑",1,0))+N(AI177),0))</f>
        <v>2</v>
      </c>
      <c r="U177" s="163" t="str">
        <f>IF(T177="","",IF(AND(T177&gt;=3,O177&gt;=1.5),"有効",IF(T177&gt;=3,"要確認","除外")))</f>
        <v>除外</v>
      </c>
      <c r="V177" s="163" t="str">
        <f>IF(AND(H177&lt;&gt;"",K177&lt;&gt;""),IF(H177&gt;=K177,"年初来高値更新●",IF(H177&gt;=K177*0.95,"高値圏","通常")),"")</f>
        <v>通常</v>
      </c>
      <c r="W177" s="169">
        <f t="array" ref="W177">IF(C177&lt;&gt;"",IFERROR(100-100/(1+SUMPRODUCT((終値!F159:R159&gt;終値!G159:S159)*( 終値!F159:R159-終値!G159:S159))/SUMPRODUCT((終値!F159:R159&lt;終値!G159:S159)*(終値!G159:S159-終値!F159:R159))),50),"")</f>
        <v>44.277673545966223</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見送り</v>
      </c>
      <c r="Z177" s="171">
        <f>IF(AND(E177&lt;&gt;"",G177&lt;&gt;"",G177&lt;&gt;0),(E177-G177)/G177*100,"")</f>
        <v>-1.7783857729138166</v>
      </c>
      <c r="AA177" s="163" t="str">
        <f>IF(OR(C177="",E177="",E177=0),"",IF(E177&gt;G177,"上昇▲",IF(E177&lt;G177,"下落▼","横ばい→")))</f>
        <v>下落▼</v>
      </c>
      <c r="AB177" s="405">
        <f>IF(C177="","",IFERROR(((終値!E179*0.333)+(終値!F179*0.222)+(終値!G179*0.148)+(終値!H179*0.099)+(終値!I179*0.066)+(終値!J179*0.044)+(終値!K179*0.029)+(終値!L179*0.019)+(終値!M179*0.013)+(終値!N179*0.009))/(0.333+0.222+0.148+0.099+0.066+0.044+0.029+0.019+0.013+0.009),""))</f>
        <v>2854.4164969450098</v>
      </c>
      <c r="AC177" s="405">
        <f>IF(C177="","",IFERROR(SUMPRODUCT((終値!E179:AC179),({0.077,0.071,0.065,0.06,0.055,0.051,0.047,0.043,0.039,0.036,0.033,0.031,0.028,0.026,0.024,0.022,0.02,0.018,0.017,0.016,0.014,0.013,0.012,0.011,0.01}))/SUM({0.077,0.071,0.065,0.06,0.055,0.051,0.047,0.043,0.039,0.036,0.033,0.031,0.028,0.026,0.024,0.022,0.02,0.018,0.017,0.016,0.014,0.013,0.012,0.011,0.01}),""))</f>
        <v>2797.3921334922525</v>
      </c>
      <c r="AD177" s="406" t="str">
        <f>IF(OR(C177="",AB177="",AC177=""),"",IF(AND(E177&gt;AB177,AB177&gt;AC177),"パーフェクト▲",IF(E177&gt;AC177,"上昇トレンド▲",IF(AND(E177&lt;AB177,AB177&lt;AC177),"下降トレンド▼","もみ合い→"))))</f>
        <v>パーフェクト▲</v>
      </c>
      <c r="AE177" s="406" t="str">
        <f>IF(OR(C177="",AB177="",AC177=""),"",IF(AND(ABS(E177-AC177)/AC177&lt;=0.02,E177&gt;AC177),"25日押し目★",IF(AND(ABS(E177-AB177)/AB177&lt;=0.01,E177&gt;AB177),"5日押し目○","なし")))</f>
        <v>なし</v>
      </c>
      <c r="AF177" s="365">
        <f t="array" ref="AF177">IF(C177="","",IFERROR((INDEX(終値!$E:$E,MATCH(TEXT(C177,"0"),終値!$A:$A,0))-INDEX(終値!$E:$CZ,MATCH(TEXT(C177,"0"),終値!$A:$A,0),$AL$2))/INDEX(終値!$E:$CZ,MATCH(TEXT(C177,"0"),終値!$A:$A,0),$AL$2)*100,""))</f>
        <v>-30.291262135922331</v>
      </c>
      <c r="AG177" s="365">
        <f t="array" ref="AG177">IFERROR((終値!$E$5-INDEX(終値!$E$5:$IT$5,1,$AL$2))/INDEX(終値!$E$5:$IT$5,1,$AL$2)*100,"")</f>
        <v>1.0179378228534113</v>
      </c>
      <c r="AH177" s="366">
        <f>IF(OR(AF177="",AG177=""),"",AF177-AG177)</f>
        <v>-31.309199958775743</v>
      </c>
      <c r="AI177" s="364">
        <f>IF(AH177="","",IF(AH177&gt;5,3,IF(AH177&gt;0,1,IF(AH177&gt;-3,-1,-2))))</f>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1365</v>
      </c>
      <c r="F178" s="166">
        <f>IF(C178&lt;&gt;"",_xll.RssMarket(C178,"始値"),"")</f>
        <v>1281</v>
      </c>
      <c r="G178" s="165">
        <f>IF(C178&lt;&gt;"",終値!F32,"")</f>
        <v>1303</v>
      </c>
      <c r="H178" s="166">
        <f>IF(C178&lt;&gt;"",_xll.RssMarket(C178,"高値"),"")</f>
        <v>1373</v>
      </c>
      <c r="I178" s="166">
        <f>IF(C178&lt;&gt;"",_xll.RssMarket(C178,"安値"),"")</f>
        <v>1251</v>
      </c>
      <c r="J178" s="166">
        <f>IF(C178&lt;&gt;"",_xll.RssMarket(C178,"出来高"),"")</f>
        <v>1601200</v>
      </c>
      <c r="K178" s="166">
        <f>IF(C178&lt;&gt;"",_xll.RssMarket(C178,"年初来高値"),"")</f>
        <v>1612</v>
      </c>
      <c r="L178" s="167">
        <f>IF(AND(E178&lt;&gt;"",K178&lt;&gt;"",K178&lt;&gt;0),(E178-K178)/K178*100,"")</f>
        <v>-15.32258064516129</v>
      </c>
      <c r="M178" s="166">
        <f>IF(C178&lt;&gt;"",IFERROR(AVERAGE(出来高!E32:I32),""),"")</f>
        <v>1277760</v>
      </c>
      <c r="N178" s="166">
        <f>IF(C178&lt;&gt;"",IFERROR(AVERAGE(出来高!E32:AC32),""),"")</f>
        <v>928488</v>
      </c>
      <c r="O178" s="168">
        <f>IF(AND(J178&lt;&gt;"",M178&lt;&gt;"",M178&lt;&gt;0),J178/M178,"")</f>
        <v>1.25313047833709</v>
      </c>
      <c r="P178" s="163" t="str">
        <f>IF(O178="","",IF(O178&gt;=2,"急増↑↑",IF(O178&gt;=1.5,"増加↑",IF(O178&gt;=1,"普通→","減少↓"))))</f>
        <v>普通→</v>
      </c>
      <c r="Q178" s="163" t="str">
        <f>IF(E178="","",IF(AND(E178&gt;G178,O178&gt;=1.5),"買い▲",IF(E178&lt;G178,"様子見▼","中立→")))</f>
        <v>中立→</v>
      </c>
      <c r="R178" s="166">
        <f>IF(E178&lt;&gt;"",ROUND(E178*1.08,0),"")</f>
        <v>1474</v>
      </c>
      <c r="S178" s="166">
        <f>IF(E178&lt;&gt;"",ROUND(E178*0.96,0),"")</f>
        <v>1310</v>
      </c>
      <c r="T178" s="163">
        <f>IF(C178="","",IFERROR(IF(O178&gt;=2,3,IF(O178&gt;=1.5,2,IF(O178&gt;=1,1,0)))+IF(E178&gt;G178,1,0)+IF(L178&gt;=-5,1,0)+IF(Q178="買い▲",2,0)+IF(W178&lt;=30,3,IF(W178&lt;=40,2,IF(AND(W178&gt;=40,W178&lt;=60),1,0)))+IF(X178&gt;0,1,0)+IF(V178="年初来高値更新●",3,IF(V178="高値圏",2,0))+IF(AD178="パーフェクト▲",3,IF(AD178="上昇トレンド▲",2,0))+IF(AE178="25日線押し目●",2,IF(AE178="5日線押し目○",1,0))+IF(P178="急増↑↑",2,IF(P178="増加↑",1,0))+N(AI178),0))</f>
        <v>5</v>
      </c>
      <c r="U178" s="163" t="str">
        <f>IF(T178="","",IF(AND(T178&gt;=3,O178&gt;=1.5),"有効",IF(T178&gt;=3,"要確認","除外")))</f>
        <v>要確認</v>
      </c>
      <c r="V178" s="163" t="str">
        <f>IF(AND(H178&lt;&gt;"",K178&lt;&gt;""),IF(H178&gt;=K178,"年初来高値更新●",IF(H178&gt;=K178*0.95,"高値圏","通常")),"")</f>
        <v>通常</v>
      </c>
      <c r="W178" s="169">
        <f t="array" ref="W178">IF(C178&lt;&gt;"",IFERROR(100-100/(1+SUMPRODUCT((終値!F32:R32&gt;終値!G32:S32)*( 終値!F32:R32-終値!G32:S32))/SUMPRODUCT((終値!F32:R32&lt;終値!G32:S32)*(終値!G32:S32-終値!F32:R32))),50),"")</f>
        <v>39.583333333333336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様子見</v>
      </c>
      <c r="Z178" s="171">
        <f>IF(AND(E178&lt;&gt;"",G178&lt;&gt;"",G178&lt;&gt;0),(E178-G178)/G178*100,"")</f>
        <v>4.7582501918649278</v>
      </c>
      <c r="AA178" s="163" t="str">
        <f>IF(OR(C178="",E178="",E178=0),"",IF(E178&gt;G178,"上昇▲",IF(E178&lt;G178,"下落▼","横ばい→")))</f>
        <v>上昇▲</v>
      </c>
      <c r="AB178" s="403">
        <f>IF(C178="","",IFERROR(((終値!E180*0.333)+(終値!F180*0.222)+(終値!G180*0.148)+(終値!H180*0.099)+(終値!I180*0.066)+(終値!J180*0.044)+(終値!K180*0.029)+(終値!L180*0.019)+(終値!M180*0.013)+(終値!N180*0.009))/(0.333+0.222+0.148+0.099+0.066+0.044+0.029+0.019+0.013+0.009),""))</f>
        <v>1876.507128309572</v>
      </c>
      <c r="AC178" s="403">
        <f>IF(C178="","",IFERROR(SUMPRODUCT((終値!E180:AC180),({0.077,0.071,0.065,0.06,0.055,0.051,0.047,0.043,0.039,0.036,0.033,0.031,0.028,0.026,0.024,0.022,0.02,0.018,0.017,0.016,0.014,0.013,0.012,0.011,0.01}))/SUM({0.077,0.071,0.065,0.06,0.055,0.051,0.047,0.043,0.039,0.036,0.033,0.031,0.028,0.026,0.024,0.022,0.02,0.018,0.017,0.016,0.014,0.013,0.012,0.011,0.01}),""))</f>
        <v>1804.7115613825983</v>
      </c>
      <c r="AD178" s="404" t="str">
        <f>IF(OR(C178="",AB178="",AC178=""),"",IF(AND(E178&gt;AB178,AB178&gt;AC178),"パーフェクト▲",IF(E178&gt;AC178,"上昇トレンド▲",IF(AND(E178&lt;AB178,AB178&lt;AC178),"下降トレンド▼","もみ合い→"))))</f>
        <v>もみ合い→</v>
      </c>
      <c r="AE178" s="404" t="str">
        <f>IF(OR(C178="",AB178="",AC178=""),"",IF(AND(ABS(E178-AC178)/AC178&lt;=0.02,E178&gt;AC178),"25日押し目★",IF(AND(ABS(E178-AB178)/AB178&lt;=0.01,E178&gt;AB178),"5日押し目○","なし")))</f>
        <v>なし</v>
      </c>
      <c r="AF178" s="365">
        <f t="array" ref="AF178">IF(C178="","",IFERROR((INDEX(終値!$E:$E,MATCH(TEXT(C178,"0"),終値!$A:$A,0))-INDEX(終値!$E:$CZ,MATCH(TEXT(C178,"0"),終値!$A:$A,0),$AL$2))/INDEX(終値!$E:$CZ,MATCH(TEXT(C178,"0"),終値!$A:$A,0),$AL$2)*100,""))</f>
        <v>5.2428681572860443</v>
      </c>
      <c r="AG178" s="365">
        <f t="array" ref="AG178">IFERROR((終値!$E$5-INDEX(終値!$E$5:$IT$5,1,$AL$2))/INDEX(終値!$E$5:$IT$5,1,$AL$2)*100,"")</f>
        <v>1.0179378228534113</v>
      </c>
      <c r="AH178" s="366">
        <f>IF(OR(AF178="",AG178=""),"",AF178-AG178)</f>
        <v>4.2249303344326332</v>
      </c>
      <c r="AI178" s="364">
        <f>IF(AH178="","",IF(AH178&gt;5,3,IF(AH178&gt;0,1,IF(AH178&gt;-3,-1,-2))))</f>
        <v>1</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873.8</v>
      </c>
      <c r="F179" s="166">
        <f>IF(C179&lt;&gt;"",_xll.RssMarket(C179,"始値"),"")</f>
        <v>867.3</v>
      </c>
      <c r="G179" s="165">
        <f>IF(C179&lt;&gt;"",終値!F41,"")</f>
        <v>852.3</v>
      </c>
      <c r="H179" s="166">
        <f>IF(C179&lt;&gt;"",_xll.RssMarket(C179,"高値"),"")</f>
        <v>875.8</v>
      </c>
      <c r="I179" s="166">
        <f>IF(C179&lt;&gt;"",_xll.RssMarket(C179,"安値"),"")</f>
        <v>857.8</v>
      </c>
      <c r="J179" s="166">
        <f>IF(C179&lt;&gt;"",_xll.RssMarket(C179,"出来高"),"")</f>
        <v>4520900</v>
      </c>
      <c r="K179" s="166">
        <f>IF(C179&lt;&gt;"",_xll.RssMarket(C179,"年初来高値"),"")</f>
        <v>990.7</v>
      </c>
      <c r="L179" s="167">
        <f>IF(AND(E179&lt;&gt;"",K179&lt;&gt;"",K179&lt;&gt;0),(E179-K179)/K179*100,"")</f>
        <v>-11.799737559301512</v>
      </c>
      <c r="M179" s="166">
        <f>IF(C179&lt;&gt;"",IFERROR(AVERAGE(出来高!E41:I41),""),"")</f>
        <v>5639660</v>
      </c>
      <c r="N179" s="166">
        <f>IF(C179&lt;&gt;"",IFERROR(AVERAGE(出来高!E41:AC41),""),"")</f>
        <v>3777408</v>
      </c>
      <c r="O179" s="168">
        <f>IF(AND(J179&lt;&gt;"",M179&lt;&gt;"",M179&lt;&gt;0),J179/M179,"")</f>
        <v>0.80162633917647519</v>
      </c>
      <c r="P179" s="163" t="str">
        <f>IF(O179="","",IF(O179&gt;=2,"急増↑↑",IF(O179&gt;=1.5,"増加↑",IF(O179&gt;=1,"普通→","減少↓"))))</f>
        <v>減少↓</v>
      </c>
      <c r="Q179" s="163" t="str">
        <f>IF(E179="","",IF(AND(E179&gt;G179,O179&gt;=1.5),"買い▲",IF(E179&lt;G179,"様子見▼","中立→")))</f>
        <v>中立→</v>
      </c>
      <c r="R179" s="166">
        <f>IF(E179&lt;&gt;"",ROUND(E179*1.08,0),"")</f>
        <v>944</v>
      </c>
      <c r="S179" s="166">
        <f>IF(E179&lt;&gt;"",ROUND(E179*0.96,0),"")</f>
        <v>839</v>
      </c>
      <c r="T179" s="163">
        <f>IF(C179="","",IFERROR(IF(O179&gt;=2,3,IF(O179&gt;=1.5,2,IF(O179&gt;=1,1,0)))+IF(E179&gt;G179,1,0)+IF(L179&gt;=-5,1,0)+IF(Q179="買い▲",2,0)+IF(W179&lt;=30,3,IF(W179&lt;=40,2,IF(AND(W179&gt;=40,W179&lt;=60),1,0)))+IF(X179&gt;0,1,0)+IF(V179="年初来高値更新●",3,IF(V179="高値圏",2,0))+IF(AD179="パーフェクト▲",3,IF(AD179="上昇トレンド▲",2,0))+IF(AE179="25日線押し目●",2,IF(AE179="5日線押し目○",1,0))+IF(P179="急増↑↑",2,IF(P179="増加↑",1,0))+N(AI179),0))</f>
        <v>6</v>
      </c>
      <c r="U179" s="163" t="str">
        <f>IF(T179="","",IF(AND(T179&gt;=3,O179&gt;=1.5),"有効",IF(T179&gt;=3,"要確認","除外")))</f>
        <v>要確認</v>
      </c>
      <c r="V179" s="163" t="str">
        <f>IF(AND(H179&lt;&gt;"",K179&lt;&gt;""),IF(H179&gt;=K179,"年初来高値更新●",IF(H179&gt;=K179*0.95,"高値圏","通常")),"")</f>
        <v>通常</v>
      </c>
      <c r="W179" s="169">
        <f t="array" ref="W179">IF(C179&lt;&gt;"",IFERROR(100-100/(1+SUMPRODUCT((終値!F41:R41&gt;終値!G41:S41)*( 終値!F41:R41-終値!G41:S41))/SUMPRODUCT((終値!F41:R41&lt;終値!G41:S41)*(終値!G41:S41-終値!F41:R41))),50),"")</f>
        <v>59.553158705701044</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△注目</v>
      </c>
      <c r="Z179" s="171">
        <f>IF(AND(E179&lt;&gt;"",G179&lt;&gt;"",G179&lt;&gt;0),(E179-G179)/G179*100,"")</f>
        <v>2.5225859439164613</v>
      </c>
      <c r="AA179" s="163" t="str">
        <f>IF(OR(C179="",E179="",E179=0),"",IF(E179&gt;G179,"上昇▲",IF(E179&lt;G179,"下落▼","横ばい→")))</f>
        <v>上昇▲</v>
      </c>
      <c r="AB179" s="405">
        <f>IF(C179="","",IFERROR(((終値!E181*0.333)+(終値!F181*0.222)+(終値!G181*0.148)+(終値!H181*0.099)+(終値!I181*0.066)+(終値!J181*0.044)+(終値!K181*0.029)+(終値!L181*0.019)+(終値!M181*0.013)+(終値!N181*0.009))/(0.333+0.222+0.148+0.099+0.066+0.044+0.029+0.019+0.013+0.009),""))</f>
        <v>932.53910386965367</v>
      </c>
      <c r="AC179" s="405">
        <f>IF(C179="","",IFERROR(SUMPRODUCT((終値!E181:AC181),({0.077,0.071,0.065,0.06,0.055,0.051,0.047,0.043,0.039,0.036,0.033,0.031,0.028,0.026,0.024,0.022,0.02,0.018,0.017,0.016,0.014,0.013,0.012,0.011,0.01}))/SUM({0.077,0.071,0.065,0.06,0.055,0.051,0.047,0.043,0.039,0.036,0.033,0.031,0.028,0.026,0.024,0.022,0.02,0.018,0.017,0.016,0.014,0.013,0.012,0.011,0.01}),""))</f>
        <v>935.56567342073845</v>
      </c>
      <c r="AD179" s="406" t="str">
        <f>IF(OR(C179="",AB179="",AC179=""),"",IF(AND(E179&gt;AB179,AB179&gt;AC179),"パーフェクト▲",IF(E179&gt;AC179,"上昇トレンド▲",IF(AND(E179&lt;AB179,AB179&lt;AC179),"下降トレンド▼","もみ合い→"))))</f>
        <v>下降トレンド▼</v>
      </c>
      <c r="AE179" s="406" t="str">
        <f>IF(OR(C179="",AB179="",AC179=""),"",IF(AND(ABS(E179-AC179)/AC179&lt;=0.02,E179&gt;AC179),"25日押し目★",IF(AND(ABS(E179-AB179)/AB179&lt;=0.01,E179&gt;AB179),"5日押し目○","なし")))</f>
        <v>なし</v>
      </c>
      <c r="AF179" s="365">
        <f t="array" ref="AF179">IF(C179="","",IFERROR((INDEX(終値!$E:$E,MATCH(TEXT(C179,"0"),終値!$A:$A,0))-INDEX(終値!$E:$CZ,MATCH(TEXT(C179,"0"),終値!$A:$A,0),$AL$2))/INDEX(終値!$E:$CZ,MATCH(TEXT(C179,"0"),終値!$A:$A,0),$AL$2)*100,""))</f>
        <v>9.9672791341555413</v>
      </c>
      <c r="AG179" s="365">
        <f t="array" ref="AG179">IFERROR((終値!$E$5-INDEX(終値!$E$5:$IT$5,1,$AL$2))/INDEX(終値!$E$5:$IT$5,1,$AL$2)*100,"")</f>
        <v>1.0179378228534113</v>
      </c>
      <c r="AH179" s="366">
        <f>IF(OR(AF179="",AG179=""),"",AF179-AG179)</f>
        <v>8.9493413113021294</v>
      </c>
      <c r="AI179" s="364">
        <f>IF(AH179="","",IF(AH179&gt;5,3,IF(AH179&gt;0,1,IF(AH179&gt;-3,-1,-2))))</f>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2215</v>
      </c>
      <c r="F180" s="166">
        <f>IF(C180&lt;&gt;"",_xll.RssMarket(C180,"始値"),"")</f>
        <v>2200</v>
      </c>
      <c r="G180" s="165">
        <f>IF(C180&lt;&gt;"",終値!F71,"")</f>
        <v>2198</v>
      </c>
      <c r="H180" s="166">
        <f>IF(C180&lt;&gt;"",_xll.RssMarket(C180,"高値"),"")</f>
        <v>2228</v>
      </c>
      <c r="I180" s="166">
        <f>IF(C180&lt;&gt;"",_xll.RssMarket(C180,"安値"),"")</f>
        <v>2195</v>
      </c>
      <c r="J180" s="166">
        <f>IF(C180&lt;&gt;"",_xll.RssMarket(C180,"出来高"),"")</f>
        <v>64500</v>
      </c>
      <c r="K180" s="166">
        <f>IF(C180&lt;&gt;"",_xll.RssMarket(C180,"年初来高値"),"")</f>
        <v>2653</v>
      </c>
      <c r="L180" s="167">
        <f>IF(AND(E180&lt;&gt;"",K180&lt;&gt;"",K180&lt;&gt;0),(E180-K180)/K180*100,"")</f>
        <v>-16.50961176027139</v>
      </c>
      <c r="M180" s="166">
        <f>IF(C180&lt;&gt;"",IFERROR(AVERAGE(出来高!E71:I71),""),"")</f>
        <v>78980</v>
      </c>
      <c r="N180" s="166">
        <f>IF(C180&lt;&gt;"",IFERROR(AVERAGE(出来高!E71:AC71),""),"")</f>
        <v>92764</v>
      </c>
      <c r="O180" s="168">
        <f>IF(AND(J180&lt;&gt;"",M180&lt;&gt;"",M180&lt;&gt;0),J180/M180,"")</f>
        <v>0.8166624461889086</v>
      </c>
      <c r="P180" s="163" t="str">
        <f>IF(O180="","",IF(O180&gt;=2,"急増↑↑",IF(O180&gt;=1.5,"増加↑",IF(O180&gt;=1,"普通→","減少↓"))))</f>
        <v>減少↓</v>
      </c>
      <c r="Q180" s="163" t="str">
        <f>IF(E180="","",IF(AND(E180&gt;G180,O180&gt;=1.5),"買い▲",IF(E180&lt;G180,"様子見▼","中立→")))</f>
        <v>中立→</v>
      </c>
      <c r="R180" s="166">
        <f>IF(E180&lt;&gt;"",ROUND(E180*1.08,0),"")</f>
        <v>2392</v>
      </c>
      <c r="S180" s="166">
        <f>IF(E180&lt;&gt;"",ROUND(E180*0.96,0),"")</f>
        <v>2126</v>
      </c>
      <c r="T180" s="163">
        <f>IF(C180="","",IFERROR(IF(O180&gt;=2,3,IF(O180&gt;=1.5,2,IF(O180&gt;=1,1,0)))+IF(E180&gt;G180,1,0)+IF(L180&gt;=-5,1,0)+IF(Q180="買い▲",2,0)+IF(W180&lt;=30,3,IF(W180&lt;=40,2,IF(AND(W180&gt;=40,W180&lt;=60),1,0)))+IF(X180&gt;0,1,0)+IF(V180="年初来高値更新●",3,IF(V180="高値圏",2,0))+IF(AD180="パーフェクト▲",3,IF(AD180="上昇トレンド▲",2,0))+IF(AE180="25日線押し目●",2,IF(AE180="5日線押し目○",1,0))+IF(P180="急増↑↑",2,IF(P180="増加↑",1,0))+N(AI180),0))</f>
        <v>3</v>
      </c>
      <c r="U180" s="163" t="str">
        <f>IF(T180="","",IF(AND(T180&gt;=3,O180&gt;=1.5),"有効",IF(T180&gt;=3,"要確認","除外")))</f>
        <v>要確認</v>
      </c>
      <c r="V180" s="163" t="str">
        <f>IF(AND(H180&lt;&gt;"",K180&lt;&gt;""),IF(H180&gt;=K180,"年初来高値更新●",IF(H180&gt;=K180*0.95,"高値圏","通常")),"")</f>
        <v>通常</v>
      </c>
      <c r="W180" s="169">
        <f t="array" ref="W180">IF(C180&lt;&gt;"",IFERROR(100-100/(1+SUMPRODUCT((終値!F71:R71&gt;終値!G71:S71)*( 終値!F71:R71-終値!G71:S71))/SUMPRODUCT((終値!F71:R71&lt;終値!G71:S71)*(終値!G71:S71-終値!F71:R71))),50),"")</f>
        <v>26.834862385321102</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様子見</v>
      </c>
      <c r="Z180" s="171">
        <f>IF(AND(E180&lt;&gt;"",G180&lt;&gt;"",G180&lt;&gt;0),(E180-G180)/G180*100,"")</f>
        <v>0.77343039126478619</v>
      </c>
      <c r="AA180" s="163" t="str">
        <f>IF(OR(C180="",E180="",E180=0),"",IF(E180&gt;G180,"上昇▲",IF(E180&lt;G180,"下落▼","横ばい→")))</f>
        <v>上昇▲</v>
      </c>
      <c r="AB180" s="403">
        <f>IF(C180="","",IFERROR(((終値!E182*0.333)+(終値!F182*0.222)+(終値!G182*0.148)+(終値!H182*0.099)+(終値!I182*0.066)+(終値!J182*0.044)+(終値!K182*0.029)+(終値!L182*0.019)+(終値!M182*0.013)+(終値!N182*0.009))/(0.333+0.222+0.148+0.099+0.066+0.044+0.029+0.019+0.013+0.009),""))</f>
        <v>2362.0549898167005</v>
      </c>
      <c r="AC180" s="403">
        <f>IF(C180="","",IFERROR(SUMPRODUCT((終値!E182:AC182),({0.077,0.071,0.065,0.06,0.055,0.051,0.047,0.043,0.039,0.036,0.033,0.031,0.028,0.026,0.024,0.022,0.02,0.018,0.017,0.016,0.014,0.013,0.012,0.011,0.01}))/SUM({0.077,0.071,0.065,0.06,0.055,0.051,0.047,0.043,0.039,0.036,0.033,0.031,0.028,0.026,0.024,0.022,0.02,0.018,0.017,0.016,0.014,0.013,0.012,0.011,0.01}),""))</f>
        <v>2344.6174016686518</v>
      </c>
      <c r="AD180" s="404" t="str">
        <f>IF(OR(C180="",AB180="",AC180=""),"",IF(AND(E180&gt;AB180,AB180&gt;AC180),"パーフェクト▲",IF(E180&gt;AC180,"上昇トレンド▲",IF(AND(E180&lt;AB180,AB180&lt;AC180),"下降トレンド▼","もみ合い→"))))</f>
        <v>もみ合い→</v>
      </c>
      <c r="AE180" s="404" t="str">
        <f>IF(OR(C180="",AB180="",AC180=""),"",IF(AND(ABS(E180-AC180)/AC180&lt;=0.02,E180&gt;AC180),"25日押し目★",IF(AND(ABS(E180-AB180)/AB180&lt;=0.01,E180&gt;AB180),"5日押し目○","なし")))</f>
        <v>なし</v>
      </c>
      <c r="AF180" s="365">
        <f t="array" ref="AF180">IF(C180="","",IFERROR((INDEX(終値!$E:$E,MATCH(TEXT(C180,"0"),終値!$A:$A,0))-INDEX(終値!$E:$CZ,MATCH(TEXT(C180,"0"),終値!$A:$A,0),$AL$2))/INDEX(終値!$E:$CZ,MATCH(TEXT(C180,"0"),終値!$A:$A,0),$AL$2)*100,""))</f>
        <v>-0.44943820224719105</v>
      </c>
      <c r="AG180" s="365">
        <f t="array" ref="AG180">IFERROR((終値!$E$5-INDEX(終値!$E$5:$IT$5,1,$AL$2))/INDEX(終値!$E$5:$IT$5,1,$AL$2)*100,"")</f>
        <v>1.0179378228534113</v>
      </c>
      <c r="AH180" s="366">
        <f>IF(OR(AF180="",AG180=""),"",AF180-AG180)</f>
        <v>-1.4673760251006023</v>
      </c>
      <c r="AI180" s="364">
        <f>IF(AH180="","",IF(AH180&gt;5,3,IF(AH180&gt;0,1,IF(AH180&gt;-3,-1,-2))))</f>
        <v>-1</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3544</v>
      </c>
      <c r="F181" s="166">
        <f>IF(C181&lt;&gt;"",_xll.RssMarket(C181,"始値"),"")</f>
        <v>3650</v>
      </c>
      <c r="G181" s="165">
        <f>IF(C181&lt;&gt;"",終値!F28,"")</f>
        <v>3756</v>
      </c>
      <c r="H181" s="166">
        <f>IF(C181&lt;&gt;"",_xll.RssMarket(C181,"高値"),"")</f>
        <v>3720</v>
      </c>
      <c r="I181" s="166">
        <f>IF(C181&lt;&gt;"",_xll.RssMarket(C181,"安値"),"")</f>
        <v>3427</v>
      </c>
      <c r="J181" s="166">
        <f>IF(C181&lt;&gt;"",_xll.RssMarket(C181,"出来高"),"")</f>
        <v>15463900</v>
      </c>
      <c r="K181" s="166">
        <f>IF(C181&lt;&gt;"",_xll.RssMarket(C181,"年初来高値"),"")</f>
        <v>5939</v>
      </c>
      <c r="L181" s="167">
        <f>IF(AND(E181&lt;&gt;"",K181&lt;&gt;"",K181&lt;&gt;0),(E181-K181)/K181*100,"")</f>
        <v>-40.326654318908908</v>
      </c>
      <c r="M181" s="166">
        <f>IF(C181&lt;&gt;"",IFERROR(AVERAGE(出来高!E28:I28),""),"")</f>
        <v>7844320</v>
      </c>
      <c r="N181" s="166">
        <f>IF(C181&lt;&gt;"",IFERROR(AVERAGE(出来高!E28:AC28),""),"")</f>
        <v>4646040</v>
      </c>
      <c r="O181" s="168">
        <f>IF(AND(J181&lt;&gt;"",M181&lt;&gt;"",M181&lt;&gt;0),J181/M181,"")</f>
        <v>1.9713499704244599</v>
      </c>
      <c r="P181" s="163" t="str">
        <f>IF(O181="","",IF(O181&gt;=2,"急増↑↑",IF(O181&gt;=1.5,"増加↑",IF(O181&gt;=1,"普通→","減少↓"))))</f>
        <v>増加↑</v>
      </c>
      <c r="Q181" s="163" t="str">
        <f>IF(E181="","",IF(AND(E181&gt;G181,O181&gt;=1.5),"買い▲",IF(E181&lt;G181,"様子見▼","中立→")))</f>
        <v>様子見▼</v>
      </c>
      <c r="R181" s="166">
        <f>IF(E181&lt;&gt;"",ROUND(E181*1.08,0),"")</f>
        <v>3828</v>
      </c>
      <c r="S181" s="166">
        <f>IF(E181&lt;&gt;"",ROUND(E181*0.96,0),"")</f>
        <v>3402</v>
      </c>
      <c r="T181" s="163">
        <f>IF(C181="","",IFERROR(IF(O181&gt;=2,3,IF(O181&gt;=1.5,2,IF(O181&gt;=1,1,0)))+IF(E181&gt;G181,1,0)+IF(L181&gt;=-5,1,0)+IF(Q181="買い▲",2,0)+IF(W181&lt;=30,3,IF(W181&lt;=40,2,IF(AND(W181&gt;=40,W181&lt;=60),1,0)))+IF(X181&gt;0,1,0)+IF(V181="年初来高値更新●",3,IF(V181="高値圏",2,0))+IF(AD181="パーフェクト▲",3,IF(AD181="上昇トレンド▲",2,0))+IF(AE181="25日線押し目●",2,IF(AE181="5日線押し目○",1,0))+IF(P181="急増↑↑",2,IF(P181="増加↑",1,0))+N(AI181),0))</f>
        <v>3</v>
      </c>
      <c r="U181" s="163" t="str">
        <f>IF(T181="","",IF(AND(T181&gt;=3,O181&gt;=1.5),"有効",IF(T181&gt;=3,"要確認","除外")))</f>
        <v>有効</v>
      </c>
      <c r="V181" s="163" t="str">
        <f>IF(AND(H181&lt;&gt;"",K181&lt;&gt;""),IF(H181&gt;=K181,"年初来高値更新●",IF(H181&gt;=K181*0.95,"高値圏","通常")),"")</f>
        <v>通常</v>
      </c>
      <c r="W181" s="169">
        <f t="array" ref="W181">IF(C181&lt;&gt;"",IFERROR(100-100/(1+SUMPRODUCT((終値!F28:R28&gt;終値!G28:S28)*( 終値!F28:R28-終値!G28:S28))/SUMPRODUCT((終値!F28:R28&lt;終値!G28:S28)*(終値!G28:S28-終値!F28:R28))),50),"")</f>
        <v>36.020498669557512</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様子見</v>
      </c>
      <c r="Z181" s="171">
        <f>IF(AND(E181&lt;&gt;"",G181&lt;&gt;"",G181&lt;&gt;0),(E181-G181)/G181*100,"")</f>
        <v>-5.6443024494142708</v>
      </c>
      <c r="AA181" s="163" t="str">
        <f>IF(OR(C181="",E181="",E181=0),"",IF(E181&gt;G181,"上昇▲",IF(E181&lt;G181,"下落▼","横ばい→")))</f>
        <v>下落▼</v>
      </c>
      <c r="AB181" s="405">
        <f>IF(C181="","",IFERROR(((終値!E183*0.333)+(終値!F183*0.222)+(終値!G183*0.148)+(終値!H183*0.099)+(終値!I183*0.066)+(終値!J183*0.044)+(終値!K183*0.029)+(終値!L183*0.019)+(終値!M183*0.013)+(終値!N183*0.009))/(0.333+0.222+0.148+0.099+0.066+0.044+0.029+0.019+0.013+0.009),""))</f>
        <v>13927.342158859467</v>
      </c>
      <c r="AC181" s="405">
        <f>IF(C181="","",IFERROR(SUMPRODUCT((終値!E183:AC183),({0.077,0.071,0.065,0.06,0.055,0.051,0.047,0.043,0.039,0.036,0.033,0.031,0.028,0.026,0.024,0.022,0.02,0.018,0.017,0.016,0.014,0.013,0.012,0.011,0.01}))/SUM({0.077,0.071,0.065,0.06,0.055,0.051,0.047,0.043,0.039,0.036,0.033,0.031,0.028,0.026,0.024,0.022,0.02,0.018,0.017,0.016,0.014,0.013,0.012,0.011,0.01}),""))</f>
        <v>13904.600715137065</v>
      </c>
      <c r="AD181" s="406" t="str">
        <f>IF(OR(C181="",AB181="",AC181=""),"",IF(AND(E181&gt;AB181,AB181&gt;AC181),"パーフェクト▲",IF(E181&gt;AC181,"上昇トレンド▲",IF(AND(E181&lt;AB181,AB181&lt;AC181),"下降トレンド▼","もみ合い→"))))</f>
        <v>もみ合い→</v>
      </c>
      <c r="AE181" s="406" t="str">
        <f>IF(OR(C181="",AB181="",AC181=""),"",IF(AND(ABS(E181-AC181)/AC181&lt;=0.02,E181&gt;AC181),"25日押し目★",IF(AND(ABS(E181-AB181)/AB181&lt;=0.01,E181&gt;AB181),"5日押し目○","なし")))</f>
        <v>なし</v>
      </c>
      <c r="AF181" s="365">
        <f t="array" ref="AF181">IF(C181="","",IFERROR((INDEX(終値!$E:$E,MATCH(TEXT(C181,"0"),終値!$A:$A,0))-INDEX(終値!$E:$CZ,MATCH(TEXT(C181,"0"),終値!$A:$A,0),$AL$2))/INDEX(終値!$E:$CZ,MATCH(TEXT(C181,"0"),終値!$A:$A,0),$AL$2)*100,""))</f>
        <v>-42.829488627197939</v>
      </c>
      <c r="AG181" s="365">
        <f t="array" ref="AG181">IFERROR((終値!$E$5-INDEX(終値!$E$5:$IT$5,1,$AL$2))/INDEX(終値!$E$5:$IT$5,1,$AL$2)*100,"")</f>
        <v>1.0179378228534113</v>
      </c>
      <c r="AH181" s="366">
        <f>IF(OR(AF181="",AG181=""),"",AF181-AG181)</f>
        <v>-43.847426450051351</v>
      </c>
      <c r="AI181" s="364">
        <f>IF(AH181="","",IF(AH181&gt;5,3,IF(AH181&gt;0,1,IF(AH181&gt;-3,-1,-2))))</f>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1666</v>
      </c>
      <c r="F182" s="166">
        <f>IF(C182&lt;&gt;"",_xll.RssMarket(C182,"始値"),"")</f>
        <v>1643</v>
      </c>
      <c r="G182" s="165">
        <f>IF(C182&lt;&gt;"",終値!F94,"")</f>
        <v>1635</v>
      </c>
      <c r="H182" s="166">
        <f>IF(C182&lt;&gt;"",_xll.RssMarket(C182,"高値"),"")</f>
        <v>1666</v>
      </c>
      <c r="I182" s="166">
        <f>IF(C182&lt;&gt;"",_xll.RssMarket(C182,"安値"),"")</f>
        <v>1635</v>
      </c>
      <c r="J182" s="166">
        <f>IF(C182&lt;&gt;"",_xll.RssMarket(C182,"出来高"),"")</f>
        <v>6477200</v>
      </c>
      <c r="K182" s="166">
        <f>IF(C182&lt;&gt;"",_xll.RssMarket(C182,"年初来高値"),"")</f>
        <v>1906</v>
      </c>
      <c r="L182" s="167">
        <f>IF(AND(E182&lt;&gt;"",K182&lt;&gt;"",K182&lt;&gt;0),(E182-K182)/K182*100,"")</f>
        <v>-12.591815320041972</v>
      </c>
      <c r="M182" s="166">
        <f>IF(C182&lt;&gt;"",IFERROR(AVERAGE(出来高!E94:I94),""),"")</f>
        <v>10733700</v>
      </c>
      <c r="N182" s="166">
        <f>IF(C182&lt;&gt;"",IFERROR(AVERAGE(出来高!E94:AC94),""),"")</f>
        <v>5775072</v>
      </c>
      <c r="O182" s="168">
        <f>IF(AND(J182&lt;&gt;"",M182&lt;&gt;"",M182&lt;&gt;0),J182/M182,"")</f>
        <v>0.60344522392092192</v>
      </c>
      <c r="P182" s="163" t="str">
        <f>IF(O182="","",IF(O182&gt;=2,"急増↑↑",IF(O182&gt;=1.5,"増加↑",IF(O182&gt;=1,"普通→","減少↓"))))</f>
        <v>減少↓</v>
      </c>
      <c r="Q182" s="163" t="str">
        <f>IF(E182="","",IF(AND(E182&gt;G182,O182&gt;=1.5),"買い▲",IF(E182&lt;G182,"様子見▼","中立→")))</f>
        <v>中立→</v>
      </c>
      <c r="R182" s="166">
        <f>IF(E182&lt;&gt;"",ROUND(E182*1.08,0),"")</f>
        <v>1799</v>
      </c>
      <c r="S182" s="166">
        <f>IF(E182&lt;&gt;"",ROUND(E182*0.96,0),"")</f>
        <v>1599</v>
      </c>
      <c r="T182" s="163">
        <f>IF(C182="","",IFERROR(IF(O182&gt;=2,3,IF(O182&gt;=1.5,2,IF(O182&gt;=1,1,0)))+IF(E182&gt;G182,1,0)+IF(L182&gt;=-5,1,0)+IF(Q182="買い▲",2,0)+IF(W182&lt;=30,3,IF(W182&lt;=40,2,IF(AND(W182&gt;=40,W182&lt;=60),1,0)))+IF(X182&gt;0,1,0)+IF(V182="年初来高値更新●",3,IF(V182="高値圏",2,0))+IF(AD182="パーフェクト▲",3,IF(AD182="上昇トレンド▲",2,0))+IF(AE182="25日線押し目●",2,IF(AE182="5日線押し目○",1,0))+IF(P182="急増↑↑",2,IF(P182="増加↑",1,0))+N(AI182),0))</f>
        <v>2</v>
      </c>
      <c r="U182" s="163" t="str">
        <f>IF(T182="","",IF(AND(T182&gt;=3,O182&gt;=1.5),"有効",IF(T182&gt;=3,"要確認","除外")))</f>
        <v>除外</v>
      </c>
      <c r="V182" s="163" t="str">
        <f>IF(AND(H182&lt;&gt;"",K182&lt;&gt;""),IF(H182&gt;=K182,"年初来高値更新●",IF(H182&gt;=K182*0.95,"高値圏","通常")),"")</f>
        <v>通常</v>
      </c>
      <c r="W182" s="169">
        <f t="array" ref="W182">IF(C182&lt;&gt;"",IFERROR(100-100/(1+SUMPRODUCT((終値!F94:R94&gt;終値!G94:S94)*( 終値!F94:R94-終値!G94:S94))/SUMPRODUCT((終値!F94:R94&lt;終値!G94:S94)*(終値!G94:S94-終値!F94:R94))),50),"")</f>
        <v>26.111636707663195</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見送り</v>
      </c>
      <c r="Z182" s="171">
        <f>IF(AND(E182&lt;&gt;"",G182&lt;&gt;"",G182&lt;&gt;0),(E182-G182)/G182*100,"")</f>
        <v>1.8960244648318043</v>
      </c>
      <c r="AA182" s="163" t="str">
        <f>IF(OR(C182="",E182="",E182=0),"",IF(E182&gt;G182,"上昇▲",IF(E182&lt;G182,"下落▼","横ばい→")))</f>
        <v>上昇▲</v>
      </c>
      <c r="AB182" s="403">
        <f>IF(C182="","",IFERROR(((終値!E184*0.333)+(終値!F184*0.222)+(終値!G184*0.148)+(終値!H184*0.099)+(終値!I184*0.066)+(終値!J184*0.044)+(終値!K184*0.029)+(終値!L184*0.019)+(終値!M184*0.013)+(終値!N184*0.009))/(0.333+0.222+0.148+0.099+0.066+0.044+0.029+0.019+0.013+0.009),""))</f>
        <v>3887.899185336048</v>
      </c>
      <c r="AC182" s="403">
        <f>IF(C182="","",IFERROR(SUMPRODUCT((終値!E184:AC184),({0.077,0.071,0.065,0.06,0.055,0.051,0.047,0.043,0.039,0.036,0.033,0.031,0.028,0.026,0.024,0.022,0.02,0.018,0.017,0.016,0.014,0.013,0.012,0.011,0.01}))/SUM({0.077,0.071,0.065,0.06,0.055,0.051,0.047,0.043,0.039,0.036,0.033,0.031,0.028,0.026,0.024,0.022,0.02,0.018,0.017,0.016,0.014,0.013,0.012,0.011,0.01}),""))</f>
        <v>3868.8748510131086</v>
      </c>
      <c r="AD182" s="404" t="str">
        <f>IF(OR(C182="",AB182="",AC182=""),"",IF(AND(E182&gt;AB182,AB182&gt;AC182),"パーフェクト▲",IF(E182&gt;AC182,"上昇トレンド▲",IF(AND(E182&lt;AB182,AB182&lt;AC182),"下降トレンド▼","もみ合い→"))))</f>
        <v>もみ合い→</v>
      </c>
      <c r="AE182" s="404" t="str">
        <f>IF(OR(C182="",AB182="",AC182=""),"",IF(AND(ABS(E182-AC182)/AC182&lt;=0.02,E182&gt;AC182),"25日押し目★",IF(AND(ABS(E182-AB182)/AB182&lt;=0.01,E182&gt;AB182),"5日押し目○","なし")))</f>
        <v>なし</v>
      </c>
      <c r="AF182" s="365">
        <f t="array" ref="AF182">IF(C182="","",IFERROR((INDEX(終値!$E:$E,MATCH(TEXT(C182,"0"),終値!$A:$A,0))-INDEX(終値!$E:$CZ,MATCH(TEXT(C182,"0"),終値!$A:$A,0),$AL$2))/INDEX(終値!$E:$CZ,MATCH(TEXT(C182,"0"),終値!$A:$A,0),$AL$2)*100,""))</f>
        <v>-6.5357643758765782</v>
      </c>
      <c r="AG182" s="365">
        <f t="array" ref="AG182">IFERROR((終値!$E$5-INDEX(終値!$E$5:$IT$5,1,$AL$2))/INDEX(終値!$E$5:$IT$5,1,$AL$2)*100,"")</f>
        <v>1.0179378228534113</v>
      </c>
      <c r="AH182" s="366">
        <f>IF(OR(AF182="",AG182=""),"",AF182-AG182)</f>
        <v>-7.5537021987299893</v>
      </c>
      <c r="AI182" s="364">
        <f>IF(AH182="","",IF(AH182&gt;5,3,IF(AH182&gt;0,1,IF(AH182&gt;-3,-1,-2))))</f>
        <v>-2</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1299.5</v>
      </c>
      <c r="F183" s="166">
        <f>IF(C183&lt;&gt;"",_xll.RssMarket(C183,"始値"),"")</f>
        <v>1188</v>
      </c>
      <c r="G183" s="165">
        <f>IF(C183&lt;&gt;"",終値!F44,"")</f>
        <v>1188.5</v>
      </c>
      <c r="H183" s="166">
        <f>IF(C183&lt;&gt;"",_xll.RssMarket(C183,"高値"),"")</f>
        <v>1306</v>
      </c>
      <c r="I183" s="166">
        <f>IF(C183&lt;&gt;"",_xll.RssMarket(C183,"安値"),"")</f>
        <v>1155</v>
      </c>
      <c r="J183" s="166">
        <f>IF(C183&lt;&gt;"",_xll.RssMarket(C183,"出来高"),"")</f>
        <v>18064200</v>
      </c>
      <c r="K183" s="166">
        <f>IF(C183&lt;&gt;"",_xll.RssMarket(C183,"年初来高値"),"")</f>
        <v>1353.5</v>
      </c>
      <c r="L183" s="167">
        <f>IF(AND(E183&lt;&gt;"",K183&lt;&gt;"",K183&lt;&gt;0),(E183-K183)/K183*100,"")</f>
        <v>-3.989656446250462</v>
      </c>
      <c r="M183" s="166">
        <f>IF(C183&lt;&gt;"",IFERROR(AVERAGE(出来高!E44:I44),""),"")</f>
        <v>7492260</v>
      </c>
      <c r="N183" s="166">
        <f>IF(C183&lt;&gt;"",IFERROR(AVERAGE(出来高!E44:AC44),""),"")</f>
        <v>4926844</v>
      </c>
      <c r="O183" s="168">
        <f>IF(AND(J183&lt;&gt;"",M183&lt;&gt;"",M183&lt;&gt;0),J183/M183,"")</f>
        <v>2.4110482017442001</v>
      </c>
      <c r="P183" s="163" t="str">
        <f>IF(O183="","",IF(O183&gt;=2,"急増↑↑",IF(O183&gt;=1.5,"増加↑",IF(O183&gt;=1,"普通→","減少↓"))))</f>
        <v>急増↑↑</v>
      </c>
      <c r="Q183" s="163" t="str">
        <f>IF(E183="","",IF(AND(E183&gt;G183,O183&gt;=1.5),"買い▲",IF(E183&lt;G183,"様子見▼","中立→")))</f>
        <v>買い▲</v>
      </c>
      <c r="R183" s="166">
        <f>IF(E183&lt;&gt;"",ROUND(E183*1.08,0),"")</f>
        <v>1403</v>
      </c>
      <c r="S183" s="166">
        <f>IF(E183&lt;&gt;"",ROUND(E183*0.96,0),"")</f>
        <v>1248</v>
      </c>
      <c r="T183" s="163">
        <f>IF(C183="","",IFERROR(IF(O183&gt;=2,3,IF(O183&gt;=1.5,2,IF(O183&gt;=1,1,0)))+IF(E183&gt;G183,1,0)+IF(L183&gt;=-5,1,0)+IF(Q183="買い▲",2,0)+IF(W183&lt;=30,3,IF(W183&lt;=40,2,IF(AND(W183&gt;=40,W183&lt;=60),1,0)))+IF(X183&gt;0,1,0)+IF(V183="年初来高値更新●",3,IF(V183="高値圏",2,0))+IF(AD183="パーフェクト▲",3,IF(AD183="上昇トレンド▲",2,0))+IF(AE183="25日線押し目●",2,IF(AE183="5日線押し目○",1,0))+IF(P183="急増↑↑",2,IF(P183="増加↑",1,0))+N(AI183),0))</f>
        <v>16</v>
      </c>
      <c r="U183" s="163" t="str">
        <f>IF(T183="","",IF(AND(T183&gt;=3,O183&gt;=1.5),"有効",IF(T183&gt;=3,"要確認","除外")))</f>
        <v>有効</v>
      </c>
      <c r="V183" s="163" t="str">
        <f>IF(AND(H183&lt;&gt;"",K183&lt;&gt;""),IF(H183&gt;=K183,"年初来高値更新●",IF(H183&gt;=K183*0.95,"高値圏","通常")),"")</f>
        <v>高値圏</v>
      </c>
      <c r="W183" s="169">
        <f t="array" ref="W183">IF(C183&lt;&gt;"",IFERROR(100-100/(1+SUMPRODUCT((終値!F44:R44&gt;終値!G44:S44)*( 終値!F44:R44-終値!G44:S44))/SUMPRODUCT((終値!F44:R44&lt;終値!G44:S44)*(終値!G44:S44-終値!F44:R44))),50),"")</f>
        <v>53.388090349075974</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○買い候補</v>
      </c>
      <c r="Z183" s="171">
        <f>IF(AND(E183&lt;&gt;"",G183&lt;&gt;"",G183&lt;&gt;0),(E183-G183)/G183*100,"")</f>
        <v>9.3395035759360532</v>
      </c>
      <c r="AA183" s="163" t="str">
        <f>IF(OR(C183="",E183="",E183=0),"",IF(E183&gt;G183,"上昇▲",IF(E183&lt;G183,"下落▼","横ばい→")))</f>
        <v>上昇▲</v>
      </c>
      <c r="AB183" s="405">
        <f>IF(C183="","",IFERROR(((終値!E185*0.333)+(終値!F185*0.222)+(終値!G185*0.148)+(終値!H185*0.099)+(終値!I185*0.066)+(終値!J185*0.044)+(終値!K185*0.029)+(終値!L185*0.019)+(終値!M185*0.013)+(終値!N185*0.009))/(0.333+0.222+0.148+0.099+0.066+0.044+0.029+0.019+0.013+0.009),""))</f>
        <v>2364.2606924643574</v>
      </c>
      <c r="AC183" s="405">
        <f>IF(C183="","",IFERROR(SUMPRODUCT((終値!E185:AC185),({0.077,0.071,0.065,0.06,0.055,0.051,0.047,0.043,0.039,0.036,0.033,0.031,0.028,0.026,0.024,0.022,0.02,0.018,0.017,0.016,0.014,0.013,0.012,0.011,0.01}))/SUM({0.077,0.071,0.065,0.06,0.055,0.051,0.047,0.043,0.039,0.036,0.033,0.031,0.028,0.026,0.024,0.022,0.02,0.018,0.017,0.016,0.014,0.013,0.012,0.011,0.01}),""))</f>
        <v>2353.6042908224067</v>
      </c>
      <c r="AD183" s="406" t="str">
        <f>IF(OR(C183="",AB183="",AC183=""),"",IF(AND(E183&gt;AB183,AB183&gt;AC183),"パーフェクト▲",IF(E183&gt;AC183,"上昇トレンド▲",IF(AND(E183&lt;AB183,AB183&lt;AC183),"下降トレンド▼","もみ合い→"))))</f>
        <v>もみ合い→</v>
      </c>
      <c r="AE183" s="406" t="str">
        <f>IF(OR(C183="",AB183="",AC183=""),"",IF(AND(ABS(E183-AC183)/AC183&lt;=0.02,E183&gt;AC183),"25日押し目★",IF(AND(ABS(E183-AB183)/AB183&lt;=0.01,E183&gt;AB183),"5日押し目○","なし")))</f>
        <v>なし</v>
      </c>
      <c r="AF183" s="365">
        <f t="array" ref="AF183">IF(C183="","",IFERROR((INDEX(終値!$E:$E,MATCH(TEXT(C183,"0"),終値!$A:$A,0))-INDEX(終値!$E:$CZ,MATCH(TEXT(C183,"0"),終値!$A:$A,0),$AL$2))/INDEX(終値!$E:$CZ,MATCH(TEXT(C183,"0"),終値!$A:$A,0),$AL$2)*100,""))</f>
        <v>15.511111111111111</v>
      </c>
      <c r="AG183" s="365">
        <f t="array" ref="AG183">IFERROR((終値!$E$5-INDEX(終値!$E$5:$IT$5,1,$AL$2))/INDEX(終値!$E$5:$IT$5,1,$AL$2)*100,"")</f>
        <v>1.0179378228534113</v>
      </c>
      <c r="AH183" s="366">
        <f>IF(OR(AF183="",AG183=""),"",AF183-AG183)</f>
        <v>14.493173288257699</v>
      </c>
      <c r="AI183" s="364">
        <f>IF(AH183="","",IF(AH183&gt;5,3,IF(AH183&gt;0,1,IF(AH183&gt;-3,-1,-2))))</f>
        <v>3</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1682.5</v>
      </c>
      <c r="F184" s="166">
        <f>IF(C184&lt;&gt;"",_xll.RssMarket(C184,"始値"),"")</f>
        <v>1638</v>
      </c>
      <c r="G184" s="165">
        <f>IF(C184&lt;&gt;"",終値!F27,"")</f>
        <v>1631</v>
      </c>
      <c r="H184" s="166">
        <f>IF(C184&lt;&gt;"",_xll.RssMarket(C184,"高値"),"")</f>
        <v>1685.5</v>
      </c>
      <c r="I184" s="166">
        <f>IF(C184&lt;&gt;"",_xll.RssMarket(C184,"安値"),"")</f>
        <v>1631</v>
      </c>
      <c r="J184" s="166">
        <f>IF(C184&lt;&gt;"",_xll.RssMarket(C184,"出来高"),"")</f>
        <v>1208500</v>
      </c>
      <c r="K184" s="166">
        <f>IF(C184&lt;&gt;"",_xll.RssMarket(C184,"年初来高値"),"")</f>
        <v>1773</v>
      </c>
      <c r="L184" s="167">
        <f>IF(AND(E184&lt;&gt;"",K184&lt;&gt;"",K184&lt;&gt;0),(E184-K184)/K184*100,"")</f>
        <v>-5.1043429216018055</v>
      </c>
      <c r="M184" s="166">
        <f>IF(C184&lt;&gt;"",IFERROR(AVERAGE(出来高!E27:I27),""),"")</f>
        <v>1261260</v>
      </c>
      <c r="N184" s="166">
        <f>IF(C184&lt;&gt;"",IFERROR(AVERAGE(出来高!E27:AC27),""),"")</f>
        <v>848964</v>
      </c>
      <c r="O184" s="168">
        <f>IF(AND(J184&lt;&gt;"",M184&lt;&gt;"",M184&lt;&gt;0),J184/M184,"")</f>
        <v>0.95816881531167242</v>
      </c>
      <c r="P184" s="163" t="str">
        <f>IF(O184="","",IF(O184&gt;=2,"急増↑↑",IF(O184&gt;=1.5,"増加↑",IF(O184&gt;=1,"普通→","減少↓"))))</f>
        <v>減少↓</v>
      </c>
      <c r="Q184" s="163" t="str">
        <f>IF(E184="","",IF(AND(E184&gt;G184,O184&gt;=1.5),"買い▲",IF(E184&lt;G184,"様子見▼","中立→")))</f>
        <v>中立→</v>
      </c>
      <c r="R184" s="166">
        <f>IF(E184&lt;&gt;"",ROUND(E184*1.08,0),"")</f>
        <v>1817</v>
      </c>
      <c r="S184" s="166">
        <f>IF(E184&lt;&gt;"",ROUND(E184*0.96,0),"")</f>
        <v>1615</v>
      </c>
      <c r="T184" s="163">
        <f>IF(C184="","",IFERROR(IF(O184&gt;=2,3,IF(O184&gt;=1.5,2,IF(O184&gt;=1,1,0)))+IF(E184&gt;G184,1,0)+IF(L184&gt;=-5,1,0)+IF(Q184="買い▲",2,0)+IF(W184&lt;=30,3,IF(W184&lt;=40,2,IF(AND(W184&gt;=40,W184&lt;=60),1,0)))+IF(X184&gt;0,1,0)+IF(V184="年初来高値更新●",3,IF(V184="高値圏",2,0))+IF(AD184="パーフェクト▲",3,IF(AD184="上昇トレンド▲",2,0))+IF(AE184="25日線押し目●",2,IF(AE184="5日線押し目○",1,0))+IF(P184="急増↑↑",2,IF(P184="増加↑",1,0))+N(AI184),0))</f>
        <v>9</v>
      </c>
      <c r="U184" s="163" t="str">
        <f>IF(T184="","",IF(AND(T184&gt;=3,O184&gt;=1.5),"有効",IF(T184&gt;=3,"要確認","除外")))</f>
        <v>要確認</v>
      </c>
      <c r="V184" s="163" t="str">
        <f>IF(AND(H184&lt;&gt;"",K184&lt;&gt;""),IF(H184&gt;=K184,"年初来高値更新●",IF(H184&gt;=K184*0.95,"高値圏","通常")),"")</f>
        <v>高値圏</v>
      </c>
      <c r="W184" s="169">
        <f t="array" ref="W184">IF(C184&lt;&gt;"",IFERROR(100-100/(1+SUMPRODUCT((終値!F27:R27&gt;終値!G27:S27)*( 終値!F27:R27-終値!G27:S27))/SUMPRODUCT((終値!F27:R27&lt;終値!G27:S27)*(終値!G27:S27-終値!F27:R27))),50),"")</f>
        <v>31.944444444444443</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△注目</v>
      </c>
      <c r="Z184" s="171">
        <f>IF(AND(E184&lt;&gt;"",G184&lt;&gt;"",G184&lt;&gt;0),(E184-G184)/G184*100,"")</f>
        <v>3.1575720416922128</v>
      </c>
      <c r="AA184" s="163" t="str">
        <f>IF(OR(C184="",E184="",E184=0),"",IF(E184&gt;G184,"上昇▲",IF(E184&lt;G184,"下落▼","横ばい→")))</f>
        <v>上昇▲</v>
      </c>
      <c r="AB184" s="403">
        <f>IF(C184="","",IFERROR(((終値!E186*0.333)+(終値!F186*0.222)+(終値!G186*0.148)+(終値!H186*0.099)+(終値!I186*0.066)+(終値!J186*0.044)+(終値!K186*0.029)+(終値!L186*0.019)+(終値!M186*0.013)+(終値!N186*0.009))/(0.333+0.222+0.148+0.099+0.066+0.044+0.029+0.019+0.013+0.009),""))</f>
        <v>1190.9643584521382</v>
      </c>
      <c r="AC184" s="403">
        <f>IF(C184="","",IFERROR(SUMPRODUCT((終値!E186:AC186),({0.077,0.071,0.065,0.06,0.055,0.051,0.047,0.043,0.039,0.036,0.033,0.031,0.028,0.026,0.024,0.022,0.02,0.018,0.017,0.016,0.014,0.013,0.012,0.011,0.01}))/SUM({0.077,0.071,0.065,0.06,0.055,0.051,0.047,0.043,0.039,0.036,0.033,0.031,0.028,0.026,0.024,0.022,0.02,0.018,0.017,0.016,0.014,0.013,0.012,0.011,0.01}),""))</f>
        <v>1157.9821215733011</v>
      </c>
      <c r="AD184" s="404" t="str">
        <f>IF(OR(C184="",AB184="",AC184=""),"",IF(AND(E184&gt;AB184,AB184&gt;AC184),"パーフェクト▲",IF(E184&gt;AC184,"上昇トレンド▲",IF(AND(E184&lt;AB184,AB184&lt;AC184),"下降トレンド▼","もみ合い→"))))</f>
        <v>パーフェクト▲</v>
      </c>
      <c r="AE184" s="404" t="str">
        <f>IF(OR(C184="",AB184="",AC184=""),"",IF(AND(ABS(E184-AC184)/AC184&lt;=0.02,E184&gt;AC184),"25日押し目★",IF(AND(ABS(E184-AB184)/AB184&lt;=0.01,E184&gt;AB184),"5日押し目○","なし")))</f>
        <v>なし</v>
      </c>
      <c r="AF184" s="365">
        <f t="array" ref="AF184">IF(C184="","",IFERROR((INDEX(終値!$E:$E,MATCH(TEXT(C184,"0"),終値!$A:$A,0))-INDEX(終値!$E:$CZ,MATCH(TEXT(C184,"0"),終値!$A:$A,0),$AL$2))/INDEX(終値!$E:$CZ,MATCH(TEXT(C184,"0"),終値!$A:$A,0),$AL$2)*100,""))</f>
        <v>3.6979969183359018</v>
      </c>
      <c r="AG184" s="365">
        <f t="array" ref="AG184">IFERROR((終値!$E$5-INDEX(終値!$E$5:$IT$5,1,$AL$2))/INDEX(終値!$E$5:$IT$5,1,$AL$2)*100,"")</f>
        <v>1.0179378228534113</v>
      </c>
      <c r="AH184" s="366">
        <f>IF(OR(AF184="",AG184=""),"",AF184-AG184)</f>
        <v>2.6800590954824903</v>
      </c>
      <c r="AI184" s="364">
        <f>IF(AH184="","",IF(AH184&gt;5,3,IF(AH184&gt;0,1,IF(AH184&gt;-3,-1,-2))))</f>
        <v>1</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2918</v>
      </c>
      <c r="F185" s="166">
        <f>IF(C185&lt;&gt;"",_xll.RssMarket(C185,"始値"),"")</f>
        <v>3150</v>
      </c>
      <c r="G185" s="165">
        <f>IF(C185&lt;&gt;"",終値!F134,"")</f>
        <v>3555</v>
      </c>
      <c r="H185" s="166">
        <f>IF(C185&lt;&gt;"",_xll.RssMarket(C185,"高値"),"")</f>
        <v>3150</v>
      </c>
      <c r="I185" s="166">
        <f>IF(C185&lt;&gt;"",_xll.RssMarket(C185,"安値"),"")</f>
        <v>2873</v>
      </c>
      <c r="J185" s="166">
        <f>IF(C185&lt;&gt;"",_xll.RssMarket(C185,"出来高"),"")</f>
        <v>21267600</v>
      </c>
      <c r="K185" s="166">
        <f>IF(C185&lt;&gt;"",_xll.RssMarket(C185,"年初来高値"),"")</f>
        <v>4580</v>
      </c>
      <c r="L185" s="167">
        <f>IF(AND(E185&lt;&gt;"",K185&lt;&gt;"",K185&lt;&gt;0),(E185-K185)/K185*100,"")</f>
        <v>-36.288209606986896</v>
      </c>
      <c r="M185" s="166">
        <f>IF(C185&lt;&gt;"",IFERROR(AVERAGE(出来高!E134:I134),""),"")</f>
        <v>16221650</v>
      </c>
      <c r="N185" s="166">
        <f>IF(C185&lt;&gt;"",IFERROR(AVERAGE(出来高!E134:AC134),""),"")</f>
        <v>16221650</v>
      </c>
      <c r="O185" s="168">
        <f>IF(AND(J185&lt;&gt;"",M185&lt;&gt;"",M185&lt;&gt;0),J185/M185,"")</f>
        <v>1.3110626847453866</v>
      </c>
      <c r="P185" s="163" t="str">
        <f>IF(O185="","",IF(O185&gt;=2,"急増↑↑",IF(O185&gt;=1.5,"増加↑",IF(O185&gt;=1,"普通→","減少↓"))))</f>
        <v>普通→</v>
      </c>
      <c r="Q185" s="163" t="str">
        <f>IF(E185="","",IF(AND(E185&gt;G185,O185&gt;=1.5),"買い▲",IF(E185&lt;G185,"様子見▼","中立→")))</f>
        <v>様子見▼</v>
      </c>
      <c r="R185" s="166">
        <f>IF(E185&lt;&gt;"",ROUND(E185*1.08,0),"")</f>
        <v>3151</v>
      </c>
      <c r="S185" s="166">
        <f>IF(E185&lt;&gt;"",ROUND(E185*0.96,0),"")</f>
        <v>2801</v>
      </c>
      <c r="T185" s="163">
        <f>IF(C185="","",IFERROR(IF(O185&gt;=2,3,IF(O185&gt;=1.5,2,IF(O185&gt;=1,1,0)))+IF(E185&gt;G185,1,0)+IF(L185&gt;=-5,1,0)+IF(Q185="買い▲",2,0)+IF(W185&lt;=30,3,IF(W185&lt;=40,2,IF(AND(W185&gt;=40,W185&lt;=60),1,0)))+IF(X185&gt;0,1,0)+IF(V185="年初来高値更新●",3,IF(V185="高値圏",2,0))+IF(AD185="パーフェクト▲",3,IF(AD185="上昇トレンド▲",2,0))+IF(AE185="25日線押し目●",2,IF(AE185="5日線押し目○",1,0))+IF(P185="急増↑↑",2,IF(P185="増加↑",1,0))+N(AI185),0))</f>
        <v>5</v>
      </c>
      <c r="U185" s="163" t="str">
        <f>IF(T185="","",IF(AND(T185&gt;=3,O185&gt;=1.5),"有効",IF(T185&gt;=3,"要確認","除外")))</f>
        <v>要確認</v>
      </c>
      <c r="V185" s="163" t="str">
        <f>IF(AND(H185&lt;&gt;"",K185&lt;&gt;""),IF(H185&gt;=K185,"年初来高値更新●",IF(H185&gt;=K185*0.95,"高値圏","通常")),"")</f>
        <v>通常</v>
      </c>
      <c r="W185" s="169">
        <f t="array" ref="W185">IF(C185&lt;&gt;"",IFERROR(100-100/(1+SUMPRODUCT((終値!F134:R134&gt;終値!G134:S134)*( 終値!F134:R134-終値!G134:S134))/SUMPRODUCT((終値!F134:R134&lt;終値!G134:S134)*(終値!G134:S134-終値!F134:R134))),50),"")</f>
        <v>50</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様子見</v>
      </c>
      <c r="Z185" s="171">
        <f>IF(AND(E185&lt;&gt;"",G185&lt;&gt;"",G185&lt;&gt;0),(E185-G185)/G185*100,"")</f>
        <v>-17.918424753867793</v>
      </c>
      <c r="AA185" s="163" t="str">
        <f>IF(OR(C185="",E185="",E185=0),"",IF(E185&gt;G185,"上昇▲",IF(E185&lt;G185,"下落▼","横ばい→")))</f>
        <v>下落▼</v>
      </c>
      <c r="AB185" s="405">
        <f>IF(C185="","",IFERROR(((終値!E187*0.333)+(終値!F187*0.222)+(終値!G187*0.148)+(終値!H187*0.099)+(終値!I187*0.066)+(終値!J187*0.044)+(終値!K187*0.029)+(終値!L187*0.019)+(終値!M187*0.013)+(終値!N187*0.009))/(0.333+0.222+0.148+0.099+0.066+0.044+0.029+0.019+0.013+0.009),""))</f>
        <v>643.66191446028495</v>
      </c>
      <c r="AC185" s="405">
        <f>IF(C185="","",IFERROR(SUMPRODUCT((終値!E187:AC187),({0.077,0.071,0.065,0.06,0.055,0.051,0.047,0.043,0.039,0.036,0.033,0.031,0.028,0.026,0.024,0.022,0.02,0.018,0.017,0.016,0.014,0.013,0.012,0.011,0.01}))/SUM({0.077,0.071,0.065,0.06,0.055,0.051,0.047,0.043,0.039,0.036,0.033,0.031,0.028,0.026,0.024,0.022,0.02,0.018,0.017,0.016,0.014,0.013,0.012,0.011,0.01}),""))</f>
        <v>661.73945172824767</v>
      </c>
      <c r="AD185" s="406" t="str">
        <f>IF(OR(C185="",AB185="",AC185=""),"",IF(AND(E185&gt;AB185,AB185&gt;AC185),"パーフェクト▲",IF(E185&gt;AC185,"上昇トレンド▲",IF(AND(E185&lt;AB185,AB185&lt;AC185),"下降トレンド▼","もみ合い→"))))</f>
        <v>上昇トレンド▲</v>
      </c>
      <c r="AE185" s="406" t="str">
        <f>IF(OR(C185="",AB185="",AC185=""),"",IF(AND(ABS(E185-AC185)/AC185&lt;=0.02,E185&gt;AC185),"25日押し目★",IF(AND(ABS(E185-AB185)/AB185&lt;=0.01,E185&gt;AB185),"5日押し目○","なし")))</f>
        <v>なし</v>
      </c>
      <c r="AF185" s="365" t="str">
        <f t="array" ref="AF185">IF(C185="","",IFERROR((INDEX(終値!$E:$E,MATCH(TEXT(C185,"0"),終値!$A:$A,0))-INDEX(終値!$E:$CZ,MATCH(TEXT(C185,"0"),終値!$A:$A,0),$AL$2))/INDEX(終値!$E:$CZ,MATCH(TEXT(C185,"0"),終値!$A:$A,0),$AL$2)*100,""))</f>
        <v/>
      </c>
      <c r="AG185" s="365">
        <f t="array" ref="AG185">IFERROR((終値!$E$5-INDEX(終値!$E$5:$IT$5,1,$AL$2))/INDEX(終値!$E$5:$IT$5,1,$AL$2)*100,"")</f>
        <v>1.0179378228534113</v>
      </c>
      <c r="AH185" s="366" t="str">
        <f>IF(OR(AF185="",AG185=""),"",AF185-AG185)</f>
        <v/>
      </c>
      <c r="AI185" s="364" t="str">
        <f>IF(AH185="","",IF(AH185&gt;5,3,IF(AH185&gt;0,1,IF(AH185&gt;-3,-1,-2))))</f>
        <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3735</v>
      </c>
      <c r="F186" s="166">
        <f>IF(C186&lt;&gt;"",_xll.RssMarket(C186,"始値"),"")</f>
        <v>3736</v>
      </c>
      <c r="G186" s="165">
        <f>IF(C186&lt;&gt;"",終値!F60,"")</f>
        <v>3748</v>
      </c>
      <c r="H186" s="166">
        <f>IF(C186&lt;&gt;"",_xll.RssMarket(C186,"高値"),"")</f>
        <v>3807</v>
      </c>
      <c r="I186" s="166">
        <f>IF(C186&lt;&gt;"",_xll.RssMarket(C186,"安値"),"")</f>
        <v>3711</v>
      </c>
      <c r="J186" s="166">
        <f>IF(C186&lt;&gt;"",_xll.RssMarket(C186,"出来高"),"")</f>
        <v>323900</v>
      </c>
      <c r="K186" s="166">
        <f>IF(C186&lt;&gt;"",_xll.RssMarket(C186,"年初来高値"),"")</f>
        <v>3758</v>
      </c>
      <c r="L186" s="167">
        <f>IF(AND(E186&lt;&gt;"",K186&lt;&gt;"",K186&lt;&gt;0),(E186-K186)/K186*100,"")</f>
        <v>-0.61202767429483762</v>
      </c>
      <c r="M186" s="166">
        <f>IF(C186&lt;&gt;"",IFERROR(AVERAGE(出来高!E60:I60),""),"")</f>
        <v>310860</v>
      </c>
      <c r="N186" s="166">
        <f>IF(C186&lt;&gt;"",IFERROR(AVERAGE(出来高!E60:AC60),""),"")</f>
        <v>296464</v>
      </c>
      <c r="O186" s="168">
        <f>IF(AND(J186&lt;&gt;"",M186&lt;&gt;"",M186&lt;&gt;0),J186/M186,"")</f>
        <v>1.0419481438589719</v>
      </c>
      <c r="P186" s="163" t="str">
        <f>IF(O186="","",IF(O186&gt;=2,"急増↑↑",IF(O186&gt;=1.5,"増加↑",IF(O186&gt;=1,"普通→","減少↓"))))</f>
        <v>普通→</v>
      </c>
      <c r="Q186" s="163" t="str">
        <f>IF(E186="","",IF(AND(E186&gt;G186,O186&gt;=1.5),"買い▲",IF(E186&lt;G186,"様子見▼","中立→")))</f>
        <v>様子見▼</v>
      </c>
      <c r="R186" s="166">
        <f>IF(E186&lt;&gt;"",ROUND(E186*1.08,0),"")</f>
        <v>4034</v>
      </c>
      <c r="S186" s="166">
        <f>IF(E186&lt;&gt;"",ROUND(E186*0.96,0),"")</f>
        <v>3586</v>
      </c>
      <c r="T186" s="163">
        <f>IF(C186="","",IFERROR(IF(O186&gt;=2,3,IF(O186&gt;=1.5,2,IF(O186&gt;=1,1,0)))+IF(E186&gt;G186,1,0)+IF(L186&gt;=-5,1,0)+IF(Q186="買い▲",2,0)+IF(W186&lt;=30,3,IF(W186&lt;=40,2,IF(AND(W186&gt;=40,W186&lt;=60),1,0)))+IF(X186&gt;0,1,0)+IF(V186="年初来高値更新●",3,IF(V186="高値圏",2,0))+IF(AD186="パーフェクト▲",3,IF(AD186="上昇トレンド▲",2,0))+IF(AE186="25日線押し目●",2,IF(AE186="5日線押し目○",1,0))+IF(P186="急増↑↑",2,IF(P186="増加↑",1,0))+N(AI186),0))</f>
        <v>12</v>
      </c>
      <c r="U186" s="163" t="str">
        <f>IF(T186="","",IF(AND(T186&gt;=3,O186&gt;=1.5),"有効",IF(T186&gt;=3,"要確認","除外")))</f>
        <v>要確認</v>
      </c>
      <c r="V186" s="163" t="str">
        <f>IF(AND(H186&lt;&gt;"",K186&lt;&gt;""),IF(H186&gt;=K186,"年初来高値更新●",IF(H186&gt;=K186*0.95,"高値圏","通常")),"")</f>
        <v>年初来高値更新●</v>
      </c>
      <c r="W186" s="169">
        <f t="array" ref="W186">IF(C186&lt;&gt;"",IFERROR(100-100/(1+SUMPRODUCT((終値!F60:R60&gt;終値!G60:S60)*( 終値!F60:R60-終値!G60:S60))/SUMPRODUCT((終値!F60:R60&lt;終値!G60:S60)*(終値!G60:S60-終値!F60:R60))),50),"")</f>
        <v>71.120689655172413</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★強い買い</v>
      </c>
      <c r="Z186" s="171">
        <f>IF(AND(E186&lt;&gt;"",G186&lt;&gt;"",G186&lt;&gt;0),(E186-G186)/G186*100,"")</f>
        <v>-0.34685165421558162</v>
      </c>
      <c r="AA186" s="163" t="str">
        <f>IF(OR(C186="",E186="",E186=0),"",IF(E186&gt;G186,"上昇▲",IF(E186&lt;G186,"下落▼","横ばい→")))</f>
        <v>下落▼</v>
      </c>
      <c r="AB186" s="403">
        <f>IF(C186="","",IFERROR(((終値!E188*0.333)+(終値!F188*0.222)+(終値!G188*0.148)+(終値!H188*0.099)+(終値!I188*0.066)+(終値!J188*0.044)+(終値!K188*0.029)+(終値!L188*0.019)+(終値!M188*0.013)+(終値!N188*0.009))/(0.333+0.222+0.148+0.099+0.066+0.044+0.029+0.019+0.013+0.009),""))</f>
        <v>625.66792260692444</v>
      </c>
      <c r="AC186" s="403">
        <f>IF(C186="","",IFERROR(SUMPRODUCT((終値!E188:AC188),({0.077,0.071,0.065,0.06,0.055,0.051,0.047,0.043,0.039,0.036,0.033,0.031,0.028,0.026,0.024,0.022,0.02,0.018,0.017,0.016,0.014,0.013,0.012,0.011,0.01}))/SUM({0.077,0.071,0.065,0.06,0.055,0.051,0.047,0.043,0.039,0.036,0.033,0.031,0.028,0.026,0.024,0.022,0.02,0.018,0.017,0.016,0.014,0.013,0.012,0.011,0.01}),""))</f>
        <v>625.54815256257416</v>
      </c>
      <c r="AD186" s="404" t="str">
        <f>IF(OR(C186="",AB186="",AC186=""),"",IF(AND(E186&gt;AB186,AB186&gt;AC186),"パーフェクト▲",IF(E186&gt;AC186,"上昇トレンド▲",IF(AND(E186&lt;AB186,AB186&lt;AC186),"下降トレンド▼","もみ合い→"))))</f>
        <v>パーフェクト▲</v>
      </c>
      <c r="AE186" s="404" t="str">
        <f>IF(OR(C186="",AB186="",AC186=""),"",IF(AND(ABS(E186-AC186)/AC186&lt;=0.02,E186&gt;AC186),"25日押し目★",IF(AND(ABS(E186-AB186)/AB186&lt;=0.01,E186&gt;AB186),"5日押し目○","なし")))</f>
        <v>なし</v>
      </c>
      <c r="AF186" s="365">
        <f t="array" ref="AF186">IF(C186="","",IFERROR((INDEX(終値!$E:$E,MATCH(TEXT(C186,"0"),終値!$A:$A,0))-INDEX(終値!$E:$CZ,MATCH(TEXT(C186,"0"),終値!$A:$A,0),$AL$2))/INDEX(終値!$E:$CZ,MATCH(TEXT(C186,"0"),終値!$A:$A,0),$AL$2)*100,""))</f>
        <v>9.3384074941451995</v>
      </c>
      <c r="AG186" s="365">
        <f t="array" ref="AG186">IFERROR((終値!$E$5-INDEX(終値!$E$5:$IT$5,1,$AL$2))/INDEX(終値!$E$5:$IT$5,1,$AL$2)*100,"")</f>
        <v>1.0179378228534113</v>
      </c>
      <c r="AH186" s="366">
        <f>IF(OR(AF186="",AG186=""),"",AF186-AG186)</f>
        <v>8.3204696712917876</v>
      </c>
      <c r="AI186" s="364">
        <f>IF(AH186="","",IF(AH186&gt;5,3,IF(AH186&gt;0,1,IF(AH186&gt;-3,-1,-2))))</f>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1258</v>
      </c>
      <c r="F187" s="166">
        <f>IF(C187&lt;&gt;"",_xll.RssMarket(C187,"始値"),"")</f>
        <v>964</v>
      </c>
      <c r="G187" s="165">
        <f>IF(C187&lt;&gt;"",終値!F138,"")</f>
        <v>1009</v>
      </c>
      <c r="H187" s="166">
        <f>IF(C187&lt;&gt;"",_xll.RssMarket(C187,"高値"),"")</f>
        <v>1298</v>
      </c>
      <c r="I187" s="166">
        <f>IF(C187&lt;&gt;"",_xll.RssMarket(C187,"安値"),"")</f>
        <v>909</v>
      </c>
      <c r="J187" s="166">
        <f>IF(C187&lt;&gt;"",_xll.RssMarket(C187,"出来高"),"")</f>
        <v>29708900</v>
      </c>
      <c r="K187" s="166">
        <f>IF(C187&lt;&gt;"",_xll.RssMarket(C187,"年初来高値"),"")</f>
        <v>4380</v>
      </c>
      <c r="L187" s="167">
        <f>IF(AND(E187&lt;&gt;"",K187&lt;&gt;"",K187&lt;&gt;0),(E187-K187)/K187*100,"")</f>
        <v>-71.278538812785385</v>
      </c>
      <c r="M187" s="166">
        <f>IF(C187&lt;&gt;"",IFERROR(AVERAGE(出来高!E138:I138),""),"")</f>
        <v>8521560</v>
      </c>
      <c r="N187" s="166">
        <f>IF(C187&lt;&gt;"",IFERROR(AVERAGE(出来高!E138:AC138),""),"")</f>
        <v>3725828</v>
      </c>
      <c r="O187" s="168">
        <f>IF(AND(J187&lt;&gt;"",M187&lt;&gt;"",M187&lt;&gt;0),J187/M187,"")</f>
        <v>3.4863217532939976</v>
      </c>
      <c r="P187" s="163" t="str">
        <f>IF(O187="","",IF(O187&gt;=2,"急増↑↑",IF(O187&gt;=1.5,"増加↑",IF(O187&gt;=1,"普通→","減少↓"))))</f>
        <v>急増↑↑</v>
      </c>
      <c r="Q187" s="163" t="str">
        <f>IF(E187="","",IF(AND(E187&gt;G187,O187&gt;=1.5),"買い▲",IF(E187&lt;G187,"様子見▼","中立→")))</f>
        <v>買い▲</v>
      </c>
      <c r="R187" s="166">
        <f>IF(E187&lt;&gt;"",ROUND(E187*1.08,0),"")</f>
        <v>1359</v>
      </c>
      <c r="S187" s="166">
        <f>IF(E187&lt;&gt;"",ROUND(E187*0.96,0),"")</f>
        <v>1208</v>
      </c>
      <c r="T187" s="163">
        <f>IF(C187="","",IFERROR(IF(O187&gt;=2,3,IF(O187&gt;=1.5,2,IF(O187&gt;=1,1,0)))+IF(E187&gt;G187,1,0)+IF(L187&gt;=-5,1,0)+IF(Q187="買い▲",2,0)+IF(W187&lt;=30,3,IF(W187&lt;=40,2,IF(AND(W187&gt;=40,W187&lt;=60),1,0)))+IF(X187&gt;0,1,0)+IF(V187="年初来高値更新●",3,IF(V187="高値圏",2,0))+IF(AD187="パーフェクト▲",3,IF(AD187="上昇トレンド▲",2,0))+IF(AE187="25日線押し目●",2,IF(AE187="5日線押し目○",1,0))+IF(P187="急増↑↑",2,IF(P187="増加↑",1,0))+N(AI187),0))</f>
        <v>13</v>
      </c>
      <c r="U187" s="163" t="str">
        <f>IF(T187="","",IF(AND(T187&gt;=3,O187&gt;=1.5),"有効",IF(T187&gt;=3,"要確認","除外")))</f>
        <v>有効</v>
      </c>
      <c r="V187" s="163" t="str">
        <f>IF(AND(H187&lt;&gt;"",K187&lt;&gt;""),IF(H187&gt;=K187,"年初来高値更新●",IF(H187&gt;=K187*0.95,"高値圏","通常")),"")</f>
        <v>通常</v>
      </c>
      <c r="W187" s="169">
        <f t="array" ref="W187">IF(C187&lt;&gt;"",IFERROR(100-100/(1+SUMPRODUCT((終値!F138:R138&gt;終値!G138:S138)*( 終値!F138:R138-終値!G138:S138))/SUMPRODUCT((終値!F138:R138&lt;終値!G138:S138)*(終値!G138:S138-終値!F138:R138))),50),"")</f>
        <v>53.09446254071662</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○買い候補</v>
      </c>
      <c r="Z187" s="171">
        <f>IF(AND(E187&lt;&gt;"",G187&lt;&gt;"",G187&lt;&gt;0),(E187-G187)/G187*100,"")</f>
        <v>24.677898909811695</v>
      </c>
      <c r="AA187" s="163" t="str">
        <f>IF(OR(C187="",E187="",E187=0),"",IF(E187&gt;G187,"上昇▲",IF(E187&lt;G187,"下落▼","横ばい→")))</f>
        <v>上昇▲</v>
      </c>
      <c r="AB187" s="405">
        <f>IF(C187="","",IFERROR(((終値!E189*0.333)+(終値!F189*0.222)+(終値!G189*0.148)+(終値!H189*0.099)+(終値!I189*0.066)+(終値!J189*0.044)+(終値!K189*0.029)+(終値!L189*0.019)+(終値!M189*0.013)+(終値!N189*0.009))/(0.333+0.222+0.148+0.099+0.066+0.044+0.029+0.019+0.013+0.009),""))</f>
        <v>1947.6349287169037</v>
      </c>
      <c r="AC187" s="405">
        <f>IF(C187="","",IFERROR(SUMPRODUCT((終値!E189:AC189),({0.077,0.071,0.065,0.06,0.055,0.051,0.047,0.043,0.039,0.036,0.033,0.031,0.028,0.026,0.024,0.022,0.02,0.018,0.017,0.016,0.014,0.013,0.012,0.011,0.01}))/SUM({0.077,0.071,0.065,0.06,0.055,0.051,0.047,0.043,0.039,0.036,0.033,0.031,0.028,0.026,0.024,0.022,0.02,0.018,0.017,0.016,0.014,0.013,0.012,0.011,0.01}),""))</f>
        <v>2002.9851013110836</v>
      </c>
      <c r="AD187" s="406" t="str">
        <f>IF(OR(C187="",AB187="",AC187=""),"",IF(AND(E187&gt;AB187,AB187&gt;AC187),"パーフェクト▲",IF(E187&gt;AC187,"上昇トレンド▲",IF(AND(E187&lt;AB187,AB187&lt;AC187),"下降トレンド▼","もみ合い→"))))</f>
        <v>下降トレンド▼</v>
      </c>
      <c r="AE187" s="406" t="str">
        <f>IF(OR(C187="",AB187="",AC187=""),"",IF(AND(ABS(E187-AC187)/AC187&lt;=0.02,E187&gt;AC187),"25日押し目★",IF(AND(ABS(E187-AB187)/AB187&lt;=0.01,E187&gt;AB187),"5日押し目○","なし")))</f>
        <v>なし</v>
      </c>
      <c r="AF187" s="365">
        <f t="array" ref="AF187">IF(C187="","",IFERROR((INDEX(終値!$E:$E,MATCH(TEXT(C187,"0"),終値!$A:$A,0))-INDEX(終値!$E:$CZ,MATCH(TEXT(C187,"0"),終値!$A:$A,0),$AL$2))/INDEX(終値!$E:$CZ,MATCH(TEXT(C187,"0"),終値!$A:$A,0),$AL$2)*100,""))</f>
        <v>25.049701789264411</v>
      </c>
      <c r="AG187" s="365">
        <f t="array" ref="AG187">IFERROR((終値!$E$5-INDEX(終値!$E$5:$IT$5,1,$AL$2))/INDEX(終値!$E$5:$IT$5,1,$AL$2)*100,"")</f>
        <v>1.0179378228534113</v>
      </c>
      <c r="AH187" s="366">
        <f>IF(OR(AF187="",AG187=""),"",AF187-AG187)</f>
        <v>24.031763966410999</v>
      </c>
      <c r="AI187" s="364">
        <f>IF(AH187="","",IF(AH187&gt;5,3,IF(AH187&gt;0,1,IF(AH187&gt;-3,-1,-2))))</f>
        <v>3</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1722.5</v>
      </c>
      <c r="F188" s="166">
        <f>IF(C188&lt;&gt;"",_xll.RssMarket(C188,"始値"),"")</f>
        <v>1715.5</v>
      </c>
      <c r="G188" s="165">
        <f>IF(C188&lt;&gt;"",終値!F88,"")</f>
        <v>1712.5</v>
      </c>
      <c r="H188" s="166">
        <f>IF(C188&lt;&gt;"",_xll.RssMarket(C188,"高値"),"")</f>
        <v>1734.5</v>
      </c>
      <c r="I188" s="166">
        <f>IF(C188&lt;&gt;"",_xll.RssMarket(C188,"安値"),"")</f>
        <v>1707.5</v>
      </c>
      <c r="J188" s="166">
        <f>IF(C188&lt;&gt;"",_xll.RssMarket(C188,"出来高"),"")</f>
        <v>2276800</v>
      </c>
      <c r="K188" s="166">
        <f>IF(C188&lt;&gt;"",_xll.RssMarket(C188,"年初来高値"),"")</f>
        <v>2094</v>
      </c>
      <c r="L188" s="167">
        <f>IF(AND(E188&lt;&gt;"",K188&lt;&gt;"",K188&lt;&gt;0),(E188-K188)/K188*100,"")</f>
        <v>-17.741165234001912</v>
      </c>
      <c r="M188" s="166">
        <f>IF(C188&lt;&gt;"",IFERROR(AVERAGE(出来高!E88:I88),""),"")</f>
        <v>3053580</v>
      </c>
      <c r="N188" s="166">
        <f>IF(C188&lt;&gt;"",IFERROR(AVERAGE(出来高!E88:AC88),""),"")</f>
        <v>2849512</v>
      </c>
      <c r="O188" s="168">
        <f>IF(AND(J188&lt;&gt;"",M188&lt;&gt;"",M188&lt;&gt;0),J188/M188,"")</f>
        <v>0.74561662049135768</v>
      </c>
      <c r="P188" s="163" t="str">
        <f>IF(O188="","",IF(O188&gt;=2,"急増↑↑",IF(O188&gt;=1.5,"増加↑",IF(O188&gt;=1,"普通→","減少↓"))))</f>
        <v>減少↓</v>
      </c>
      <c r="Q188" s="163" t="str">
        <f>IF(E188="","",IF(AND(E188&gt;G188,O188&gt;=1.5),"買い▲",IF(E188&lt;G188,"様子見▼","中立→")))</f>
        <v>中立→</v>
      </c>
      <c r="R188" s="166">
        <f>IF(E188&lt;&gt;"",ROUND(E188*1.08,0),"")</f>
        <v>1860</v>
      </c>
      <c r="S188" s="166">
        <f>IF(E188&lt;&gt;"",ROUND(E188*0.96,0),"")</f>
        <v>1654</v>
      </c>
      <c r="T188" s="163">
        <f>IF(C188="","",IFERROR(IF(O188&gt;=2,3,IF(O188&gt;=1.5,2,IF(O188&gt;=1,1,0)))+IF(E188&gt;G188,1,0)+IF(L188&gt;=-5,1,0)+IF(Q188="買い▲",2,0)+IF(W188&lt;=30,3,IF(W188&lt;=40,2,IF(AND(W188&gt;=40,W188&lt;=60),1,0)))+IF(X188&gt;0,1,0)+IF(V188="年初来高値更新●",3,IF(V188="高値圏",2,0))+IF(AD188="パーフェクト▲",3,IF(AD188="上昇トレンド▲",2,0))+IF(AE188="25日線押し目●",2,IF(AE188="5日線押し目○",1,0))+IF(P188="急増↑↑",2,IF(P188="増加↑",1,0))+N(AI188),0))</f>
        <v>5</v>
      </c>
      <c r="U188" s="163" t="str">
        <f>IF(T188="","",IF(AND(T188&gt;=3,O188&gt;=1.5),"有効",IF(T188&gt;=3,"要確認","除外")))</f>
        <v>要確認</v>
      </c>
      <c r="V188" s="163" t="str">
        <f>IF(AND(H188&lt;&gt;"",K188&lt;&gt;""),IF(H188&gt;=K188,"年初来高値更新●",IF(H188&gt;=K188*0.95,"高値圏","通常")),"")</f>
        <v>通常</v>
      </c>
      <c r="W188" s="169">
        <f t="array" ref="W188">IF(C188&lt;&gt;"",IFERROR(100-100/(1+SUMPRODUCT((終値!F88:R88&gt;終値!G88:S88)*( 終値!F88:R88-終値!G88:S88))/SUMPRODUCT((終値!F88:R88&lt;終値!G88:S88)*(終値!G88:S88-終値!F88:R88))),50),"")</f>
        <v>41.836734693877553</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様子見</v>
      </c>
      <c r="Z188" s="171">
        <f>IF(AND(E188&lt;&gt;"",G188&lt;&gt;"",G188&lt;&gt;0),(E188-G188)/G188*100,"")</f>
        <v>0.58394160583941601</v>
      </c>
      <c r="AA188" s="163" t="str">
        <f>IF(OR(C188="",E188="",E188=0),"",IF(E188&gt;G188,"上昇▲",IF(E188&lt;G188,"下落▼","横ばい→")))</f>
        <v>上昇▲</v>
      </c>
      <c r="AB188" s="403">
        <f>IF(C188="","",IFERROR(((終値!E190*0.333)+(終値!F190*0.222)+(終値!G190*0.148)+(終値!H190*0.099)+(終値!I190*0.066)+(終値!J190*0.044)+(終値!K190*0.029)+(終値!L190*0.019)+(終値!M190*0.013)+(終値!N190*0.009))/(0.333+0.222+0.148+0.099+0.066+0.044+0.029+0.019+0.013+0.009),""))</f>
        <v>1735.6924643584518</v>
      </c>
      <c r="AC188" s="403">
        <f>IF(C188="","",IFERROR(SUMPRODUCT((終値!E190:AC190),({0.077,0.071,0.065,0.06,0.055,0.051,0.047,0.043,0.039,0.036,0.033,0.031,0.028,0.026,0.024,0.022,0.02,0.018,0.017,0.016,0.014,0.013,0.012,0.011,0.01}))/SUM({0.077,0.071,0.065,0.06,0.055,0.051,0.047,0.043,0.039,0.036,0.033,0.031,0.028,0.026,0.024,0.022,0.02,0.018,0.017,0.016,0.014,0.013,0.012,0.011,0.01}),""))</f>
        <v>1716.4988081048866</v>
      </c>
      <c r="AD188" s="404" t="str">
        <f>IF(OR(C188="",AB188="",AC188=""),"",IF(AND(E188&gt;AB188,AB188&gt;AC188),"パーフェクト▲",IF(E188&gt;AC188,"上昇トレンド▲",IF(AND(E188&lt;AB188,AB188&lt;AC188),"下降トレンド▼","もみ合い→"))))</f>
        <v>上昇トレンド▲</v>
      </c>
      <c r="AE188" s="404" t="str">
        <f>IF(OR(C188="",AB188="",AC188=""),"",IF(AND(ABS(E188-AC188)/AC188&lt;=0.02,E188&gt;AC188),"25日押し目★",IF(AND(ABS(E188-AB188)/AB188&lt;=0.01,E188&gt;AB188),"5日押し目○","なし")))</f>
        <v>25日押し目★</v>
      </c>
      <c r="AF188" s="365">
        <f t="array" ref="AF188">IF(C188="","",IFERROR((INDEX(終値!$E:$E,MATCH(TEXT(C188,"0"),終値!$A:$A,0))-INDEX(終値!$E:$CZ,MATCH(TEXT(C188,"0"),終値!$A:$A,0),$AL$2))/INDEX(終値!$E:$CZ,MATCH(TEXT(C188,"0"),終値!$A:$A,0),$AL$2)*100,""))</f>
        <v>3.4845298888555121</v>
      </c>
      <c r="AG188" s="365">
        <f t="array" ref="AG188">IFERROR((終値!$E$5-INDEX(終値!$E$5:$IT$5,1,$AL$2))/INDEX(終値!$E$5:$IT$5,1,$AL$2)*100,"")</f>
        <v>1.0179378228534113</v>
      </c>
      <c r="AH188" s="366">
        <f>IF(OR(AF188="",AG188=""),"",AF188-AG188)</f>
        <v>2.466592066002101</v>
      </c>
      <c r="AI188" s="364">
        <f>IF(AH188="","",IF(AH188&gt;5,3,IF(AH188&gt;0,1,IF(AH188&gt;-3,-1,-2))))</f>
        <v>1</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7030</v>
      </c>
      <c r="F189" s="166">
        <f>IF(C189&lt;&gt;"",_xll.RssMarket(C189,"始値"),"")</f>
        <v>6943</v>
      </c>
      <c r="G189" s="165">
        <f>IF(C189&lt;&gt;"",終値!F87,"")</f>
        <v>6825</v>
      </c>
      <c r="H189" s="166">
        <f>IF(C189&lt;&gt;"",_xll.RssMarket(C189,"高値"),"")</f>
        <v>7063</v>
      </c>
      <c r="I189" s="166">
        <f>IF(C189&lt;&gt;"",_xll.RssMarket(C189,"安値"),"")</f>
        <v>6893</v>
      </c>
      <c r="J189" s="166">
        <f>IF(C189&lt;&gt;"",_xll.RssMarket(C189,"出来高"),"")</f>
        <v>4858200</v>
      </c>
      <c r="K189" s="166">
        <f>IF(C189&lt;&gt;"",_xll.RssMarket(C189,"年初来高値"),"")</f>
        <v>7218</v>
      </c>
      <c r="L189" s="167">
        <f>IF(AND(E189&lt;&gt;"",K189&lt;&gt;"",K189&lt;&gt;0),(E189-K189)/K189*100,"")</f>
        <v>-2.6045996120809085</v>
      </c>
      <c r="M189" s="166">
        <f>IF(C189&lt;&gt;"",IFERROR(AVERAGE(出来高!E87:I87),""),"")</f>
        <v>6446200</v>
      </c>
      <c r="N189" s="166">
        <f>IF(C189&lt;&gt;"",IFERROR(AVERAGE(出来高!E87:AC87),""),"")</f>
        <v>5011324</v>
      </c>
      <c r="O189" s="168">
        <f>IF(AND(J189&lt;&gt;"",M189&lt;&gt;"",M189&lt;&gt;0),J189/M189,"")</f>
        <v>0.75365331513139522</v>
      </c>
      <c r="P189" s="163" t="str">
        <f>IF(O189="","",IF(O189&gt;=2,"急増↑↑",IF(O189&gt;=1.5,"増加↑",IF(O189&gt;=1,"普通→","減少↓"))))</f>
        <v>減少↓</v>
      </c>
      <c r="Q189" s="163" t="str">
        <f>IF(E189="","",IF(AND(E189&gt;G189,O189&gt;=1.5),"買い▲",IF(E189&lt;G189,"様子見▼","中立→")))</f>
        <v>中立→</v>
      </c>
      <c r="R189" s="166">
        <f>IF(E189&lt;&gt;"",ROUND(E189*1.08,0),"")</f>
        <v>7592</v>
      </c>
      <c r="S189" s="166">
        <f>IF(E189&lt;&gt;"",ROUND(E189*0.96,0),"")</f>
        <v>6749</v>
      </c>
      <c r="T189" s="163">
        <f>IF(C189="","",IFERROR(IF(O189&gt;=2,3,IF(O189&gt;=1.5,2,IF(O189&gt;=1,1,0)))+IF(E189&gt;G189,1,0)+IF(L189&gt;=-5,1,0)+IF(Q189="買い▲",2,0)+IF(W189&lt;=30,3,IF(W189&lt;=40,2,IF(AND(W189&gt;=40,W189&lt;=60),1,0)))+IF(X189&gt;0,1,0)+IF(V189="年初来高値更新●",3,IF(V189="高値圏",2,0))+IF(AD189="パーフェクト▲",3,IF(AD189="上昇トレンド▲",2,0))+IF(AE189="25日線押し目●",2,IF(AE189="5日線押し目○",1,0))+IF(P189="急増↑↑",2,IF(P189="増加↑",1,0))+N(AI189),0))</f>
        <v>11</v>
      </c>
      <c r="U189" s="163" t="str">
        <f>IF(T189="","",IF(AND(T189&gt;=3,O189&gt;=1.5),"有効",IF(T189&gt;=3,"要確認","除外")))</f>
        <v>要確認</v>
      </c>
      <c r="V189" s="163" t="str">
        <f>IF(AND(H189&lt;&gt;"",K189&lt;&gt;""),IF(H189&gt;=K189,"年初来高値更新●",IF(H189&gt;=K189*0.95,"高値圏","通常")),"")</f>
        <v>高値圏</v>
      </c>
      <c r="W189" s="169">
        <f t="array" ref="W189">IF(C189&lt;&gt;"",IFERROR(100-100/(1+SUMPRODUCT((終値!F87:R87&gt;終値!G87:S87)*( 終値!F87:R87-終値!G87:S87))/SUMPRODUCT((終値!F87:R87&lt;終値!G87:S87)*(終値!G87:S87-終値!F87:R87))),50),"")</f>
        <v>70.347182697780312</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○買い候補</v>
      </c>
      <c r="Z189" s="171">
        <f>IF(AND(E189&lt;&gt;"",G189&lt;&gt;"",G189&lt;&gt;0),(E189-G189)/G189*100,"")</f>
        <v>3.0036630036630036</v>
      </c>
      <c r="AA189" s="163" t="str">
        <f>IF(OR(C189="",E189="",E189=0),"",IF(E189&gt;G189,"上昇▲",IF(E189&lt;G189,"下落▼","横ばい→")))</f>
        <v>上昇▲</v>
      </c>
      <c r="AB189" s="405">
        <f>IF(C189="","",IFERROR(((終値!E191*0.333)+(終値!F191*0.222)+(終値!G191*0.148)+(終値!H191*0.099)+(終値!I191*0.066)+(終値!J191*0.044)+(終値!K191*0.029)+(終値!L191*0.019)+(終値!M191*0.013)+(終値!N191*0.009))/(0.333+0.222+0.148+0.099+0.066+0.044+0.029+0.019+0.013+0.009),""))</f>
        <v>1587.591649694501</v>
      </c>
      <c r="AC189" s="405">
        <f>IF(C189="","",IFERROR(SUMPRODUCT((終値!E191:AC191),({0.077,0.071,0.065,0.06,0.055,0.051,0.047,0.043,0.039,0.036,0.033,0.031,0.028,0.026,0.024,0.022,0.02,0.018,0.017,0.016,0.014,0.013,0.012,0.011,0.01}))/SUM({0.077,0.071,0.065,0.06,0.055,0.051,0.047,0.043,0.039,0.036,0.033,0.031,0.028,0.026,0.024,0.022,0.02,0.018,0.017,0.016,0.014,0.013,0.012,0.011,0.01}),""))</f>
        <v>1565.9702026221682</v>
      </c>
      <c r="AD189" s="406" t="str">
        <f>IF(OR(C189="",AB189="",AC189=""),"",IF(AND(E189&gt;AB189,AB189&gt;AC189),"パーフェクト▲",IF(E189&gt;AC189,"上昇トレンド▲",IF(AND(E189&lt;AB189,AB189&lt;AC189),"下降トレンド▼","もみ合い→"))))</f>
        <v>パーフェクト▲</v>
      </c>
      <c r="AE189" s="406" t="str">
        <f>IF(OR(C189="",AB189="",AC189=""),"",IF(AND(ABS(E189-AC189)/AC189&lt;=0.02,E189&gt;AC189),"25日押し目★",IF(AND(ABS(E189-AB189)/AB189&lt;=0.01,E189&gt;AB189),"5日押し目○","なし")))</f>
        <v>なし</v>
      </c>
      <c r="AF189" s="365">
        <f t="array" ref="AF189">IF(C189="","",IFERROR((INDEX(終値!$E:$E,MATCH(TEXT(C189,"0"),終値!$A:$A,0))-INDEX(終値!$E:$CZ,MATCH(TEXT(C189,"0"),終値!$A:$A,0),$AL$2))/INDEX(終値!$E:$CZ,MATCH(TEXT(C189,"0"),終値!$A:$A,0),$AL$2)*100,""))</f>
        <v>17.656903765690377</v>
      </c>
      <c r="AG189" s="365">
        <f t="array" ref="AG189">IFERROR((終値!$E$5-INDEX(終値!$E$5:$IT$5,1,$AL$2))/INDEX(終値!$E$5:$IT$5,1,$AL$2)*100,"")</f>
        <v>1.0179378228534113</v>
      </c>
      <c r="AH189" s="366">
        <f>IF(OR(AF189="",AG189=""),"",AF189-AG189)</f>
        <v>16.638965942836965</v>
      </c>
      <c r="AI189" s="364">
        <f>IF(AH189="","",IF(AH189&gt;5,3,IF(AH189&gt;0,1,IF(AH189&gt;-3,-1,-2))))</f>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5196</v>
      </c>
      <c r="F190" s="166">
        <f>IF(C190&lt;&gt;"",_xll.RssMarket(C190,"始値"),"")</f>
        <v>5350</v>
      </c>
      <c r="G190" s="165">
        <f>IF(C190&lt;&gt;"",終値!F76,"")</f>
        <v>5333</v>
      </c>
      <c r="H190" s="166">
        <f>IF(C190&lt;&gt;"",_xll.RssMarket(C190,"高値"),"")</f>
        <v>5368</v>
      </c>
      <c r="I190" s="166">
        <f>IF(C190&lt;&gt;"",_xll.RssMarket(C190,"安値"),"")</f>
        <v>5154</v>
      </c>
      <c r="J190" s="166">
        <f>IF(C190&lt;&gt;"",_xll.RssMarket(C190,"出来高"),"")</f>
        <v>5499400</v>
      </c>
      <c r="K190" s="166">
        <f>IF(C190&lt;&gt;"",_xll.RssMarket(C190,"年初来高値"),"")</f>
        <v>6340</v>
      </c>
      <c r="L190" s="167">
        <f>IF(AND(E190&lt;&gt;"",K190&lt;&gt;"",K190&lt;&gt;0),(E190-K190)/K190*100,"")</f>
        <v>-18.044164037854891</v>
      </c>
      <c r="M190" s="166">
        <f>IF(C190&lt;&gt;"",IFERROR(AVERAGE(出来高!E76:I76),""),"")</f>
        <v>5056460</v>
      </c>
      <c r="N190" s="166">
        <f>IF(C190&lt;&gt;"",IFERROR(AVERAGE(出来高!E76:AC76),""),"")</f>
        <v>4228524</v>
      </c>
      <c r="O190" s="168">
        <f>IF(AND(J190&lt;&gt;"",M190&lt;&gt;"",M190&lt;&gt;0),J190/M190,"")</f>
        <v>1.0875988339668463</v>
      </c>
      <c r="P190" s="163" t="str">
        <f>IF(O190="","",IF(O190&gt;=2,"急増↑↑",IF(O190&gt;=1.5,"増加↑",IF(O190&gt;=1,"普通→","減少↓"))))</f>
        <v>普通→</v>
      </c>
      <c r="Q190" s="163" t="str">
        <f>IF(E190="","",IF(AND(E190&gt;G190,O190&gt;=1.5),"買い▲",IF(E190&lt;G190,"様子見▼","中立→")))</f>
        <v>様子見▼</v>
      </c>
      <c r="R190" s="166">
        <f>IF(E190&lt;&gt;"",ROUND(E190*1.08,0),"")</f>
        <v>5612</v>
      </c>
      <c r="S190" s="166">
        <f>IF(E190&lt;&gt;"",ROUND(E190*0.96,0),"")</f>
        <v>4988</v>
      </c>
      <c r="T190" s="163">
        <f>IF(C190="","",IFERROR(IF(O190&gt;=2,3,IF(O190&gt;=1.5,2,IF(O190&gt;=1,1,0)))+IF(E190&gt;G190,1,0)+IF(L190&gt;=-5,1,0)+IF(Q190="買い▲",2,0)+IF(W190&lt;=30,3,IF(W190&lt;=40,2,IF(AND(W190&gt;=40,W190&lt;=60),1,0)))+IF(X190&gt;0,1,0)+IF(V190="年初来高値更新●",3,IF(V190="高値圏",2,0))+IF(AD190="パーフェクト▲",3,IF(AD190="上昇トレンド▲",2,0))+IF(AE190="25日線押し目●",2,IF(AE190="5日線押し目○",1,0))+IF(P190="急増↑↑",2,IF(P190="増加↑",1,0))+N(AI190),0))</f>
        <v>2</v>
      </c>
      <c r="U190" s="163" t="str">
        <f>IF(T190="","",IF(AND(T190&gt;=3,O190&gt;=1.5),"有効",IF(T190&gt;=3,"要確認","除外")))</f>
        <v>除外</v>
      </c>
      <c r="V190" s="163" t="str">
        <f>IF(AND(H190&lt;&gt;"",K190&lt;&gt;""),IF(H190&gt;=K190,"年初来高値更新●",IF(H190&gt;=K190*0.95,"高値圏","通常")),"")</f>
        <v>通常</v>
      </c>
      <c r="W190" s="169">
        <f t="array" ref="W190">IF(C190&lt;&gt;"",IFERROR(100-100/(1+SUMPRODUCT((終値!F76:R76&gt;終値!G76:S76)*( 終値!F76:R76-終値!G76:S76))/SUMPRODUCT((終値!F76:R76&lt;終値!G76:S76)*(終値!G76:S76-終値!F76:R76))),50),"")</f>
        <v>41.00197758734344</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見送り</v>
      </c>
      <c r="Z190" s="171">
        <f>IF(AND(E190&lt;&gt;"",G190&lt;&gt;"",G190&lt;&gt;0),(E190-G190)/G190*100,"")</f>
        <v>-2.568910556909807</v>
      </c>
      <c r="AA190" s="163" t="str">
        <f>IF(OR(C190="",E190="",E190=0),"",IF(E190&gt;G190,"上昇▲",IF(E190&lt;G190,"下落▼","横ばい→")))</f>
        <v>下落▼</v>
      </c>
      <c r="AB190" s="403">
        <f>IF(C190="","",IFERROR(((終値!E192*0.333)+(終値!F192*0.222)+(終値!G192*0.148)+(終値!H192*0.099)+(終値!I192*0.066)+(終値!J192*0.044)+(終値!K192*0.029)+(終値!L192*0.019)+(終値!M192*0.013)+(終値!N192*0.009))/(0.333+0.222+0.148+0.099+0.066+0.044+0.029+0.019+0.013+0.009),""))</f>
        <v>1623.8701629327898</v>
      </c>
      <c r="AC190" s="403">
        <f>IF(C190="","",IFERROR(SUMPRODUCT((終値!E192:AC192),({0.077,0.071,0.065,0.06,0.055,0.051,0.047,0.043,0.039,0.036,0.033,0.031,0.028,0.026,0.024,0.022,0.02,0.018,0.017,0.016,0.014,0.013,0.012,0.011,0.01}))/SUM({0.077,0.071,0.065,0.06,0.055,0.051,0.047,0.043,0.039,0.036,0.033,0.031,0.028,0.026,0.024,0.022,0.02,0.018,0.017,0.016,0.014,0.013,0.012,0.011,0.01}),""))</f>
        <v>1659.8027413587595</v>
      </c>
      <c r="AD190" s="404" t="str">
        <f>IF(OR(C190="",AB190="",AC190=""),"",IF(AND(E190&gt;AB190,AB190&gt;AC190),"パーフェクト▲",IF(E190&gt;AC190,"上昇トレンド▲",IF(AND(E190&lt;AB190,AB190&lt;AC190),"下降トレンド▼","もみ合い→"))))</f>
        <v>上昇トレンド▲</v>
      </c>
      <c r="AE190" s="404" t="str">
        <f>IF(OR(C190="",AB190="",AC190=""),"",IF(AND(ABS(E190-AC190)/AC190&lt;=0.02,E190&gt;AC190),"25日押し目★",IF(AND(ABS(E190-AB190)/AB190&lt;=0.01,E190&gt;AB190),"5日押し目○","なし")))</f>
        <v>なし</v>
      </c>
      <c r="AF190" s="365">
        <f t="array" ref="AF190">IF(C190="","",IFERROR((INDEX(終値!$E:$E,MATCH(TEXT(C190,"0"),終値!$A:$A,0))-INDEX(終値!$E:$CZ,MATCH(TEXT(C190,"0"),終値!$A:$A,0),$AL$2))/INDEX(終値!$E:$CZ,MATCH(TEXT(C190,"0"),終値!$A:$A,0),$AL$2)*100,""))</f>
        <v>-15.854251012145749</v>
      </c>
      <c r="AG190" s="365">
        <f t="array" ref="AG190">IFERROR((終値!$E$5-INDEX(終値!$E$5:$IT$5,1,$AL$2))/INDEX(終値!$E$5:$IT$5,1,$AL$2)*100,"")</f>
        <v>1.0179378228534113</v>
      </c>
      <c r="AH190" s="366">
        <f>IF(OR(AF190="",AG190=""),"",AF190-AG190)</f>
        <v>-16.872188834999161</v>
      </c>
      <c r="AI190" s="364">
        <f>IF(AH190="","",IF(AH190&gt;5,3,IF(AH190&gt;0,1,IF(AH190&gt;-3,-1,-2))))</f>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5540</v>
      </c>
      <c r="F191" s="166">
        <f>IF(C191&lt;&gt;"",_xll.RssMarket(C191,"始値"),"")</f>
        <v>5370</v>
      </c>
      <c r="G191" s="165">
        <f>IF(C191&lt;&gt;"",終値!F202,"")</f>
        <v>5387</v>
      </c>
      <c r="H191" s="166">
        <f>IF(C191&lt;&gt;"",_xll.RssMarket(C191,"高値"),"")</f>
        <v>5574</v>
      </c>
      <c r="I191" s="166">
        <f>IF(C191&lt;&gt;"",_xll.RssMarket(C191,"安値"),"")</f>
        <v>5362</v>
      </c>
      <c r="J191" s="166">
        <f>IF(C191&lt;&gt;"",_xll.RssMarket(C191,"出来高"),"")</f>
        <v>1442700</v>
      </c>
      <c r="K191" s="166">
        <f>IF(C191&lt;&gt;"",_xll.RssMarket(C191,"年初来高値"),"")</f>
        <v>7257</v>
      </c>
      <c r="L191" s="167">
        <f>IF(AND(E191&lt;&gt;"",K191&lt;&gt;"",K191&lt;&gt;0),(E191-K191)/K191*100,"")</f>
        <v>-23.659914565247348</v>
      </c>
      <c r="M191" s="166">
        <f>IF(C191&lt;&gt;"",IFERROR(AVERAGE(出来高!E202:I202),""),"")</f>
        <v>1659760</v>
      </c>
      <c r="N191" s="166">
        <f>IF(C191&lt;&gt;"",IFERROR(AVERAGE(出来高!E202:AC202),""),"")</f>
        <v>1258908</v>
      </c>
      <c r="O191" s="168">
        <f>IF(AND(J191&lt;&gt;"",M191&lt;&gt;"",M191&lt;&gt;0),J191/M191,"")</f>
        <v>0.86922205620089654</v>
      </c>
      <c r="P191" s="163" t="str">
        <f>IF(O191="","",IF(O191&gt;=2,"急増↑↑",IF(O191&gt;=1.5,"増加↑",IF(O191&gt;=1,"普通→","減少↓"))))</f>
        <v>減少↓</v>
      </c>
      <c r="Q191" s="163" t="str">
        <f>IF(E191="","",IF(AND(E191&gt;G191,O191&gt;=1.5),"買い▲",IF(E191&lt;G191,"様子見▼","中立→")))</f>
        <v>中立→</v>
      </c>
      <c r="R191" s="166">
        <f>IF(E191&lt;&gt;"",ROUND(E191*1.08,0),"")</f>
        <v>5983</v>
      </c>
      <c r="S191" s="166">
        <f>IF(E191&lt;&gt;"",ROUND(E191*0.96,0),"")</f>
        <v>5318</v>
      </c>
      <c r="T191" s="163">
        <f>IF(C191="","",IFERROR(IF(O191&gt;=2,3,IF(O191&gt;=1.5,2,IF(O191&gt;=1,1,0)))+IF(E191&gt;G191,1,0)+IF(L191&gt;=-5,1,0)+IF(Q191="買い▲",2,0)+IF(W191&lt;=30,3,IF(W191&lt;=40,2,IF(AND(W191&gt;=40,W191&lt;=60),1,0)))+IF(X191&gt;0,1,0)+IF(V191="年初来高値更新●",3,IF(V191="高値圏",2,0))+IF(AD191="パーフェクト▲",3,IF(AD191="上昇トレンド▲",2,0))+IF(AE191="25日線押し目●",2,IF(AE191="5日線押し目○",1,0))+IF(P191="急増↑↑",2,IF(P191="増加↑",1,0))+N(AI191),0))</f>
        <v>9</v>
      </c>
      <c r="U191" s="163" t="str">
        <f>IF(T191="","",IF(AND(T191&gt;=3,O191&gt;=1.5),"有効",IF(T191&gt;=3,"要確認","除外")))</f>
        <v>要確認</v>
      </c>
      <c r="V191" s="163" t="str">
        <f>IF(AND(H191&lt;&gt;"",K191&lt;&gt;""),IF(H191&gt;=K191,"年初来高値更新●",IF(H191&gt;=K191*0.95,"高値圏","通常")),"")</f>
        <v>通常</v>
      </c>
      <c r="W191" s="169">
        <f t="array" ref="W191">IF(C191&lt;&gt;"",IFERROR(100-100/(1+SUMPRODUCT((終値!F202:R202&gt;終値!G202:S202)*( 終値!F202:R202-終値!G202:S202))/SUMPRODUCT((終値!F202:R202&lt;終値!G202:S202)*(終値!G202:S202-終値!F202:R202))),50),"")</f>
        <v>56.872427983539097</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△注目</v>
      </c>
      <c r="Z191" s="171">
        <f>IF(AND(E191&lt;&gt;"",G191&lt;&gt;"",G191&lt;&gt;0),(E191-G191)/G191*100,"")</f>
        <v>2.8401707815110449</v>
      </c>
      <c r="AA191" s="163" t="str">
        <f>IF(OR(C191="",E191="",E191=0),"",IF(E191&gt;G191,"上昇▲",IF(E191&lt;G191,"下落▼","横ばい→")))</f>
        <v>上昇▲</v>
      </c>
      <c r="AB191" s="405">
        <f>IF(C191="","",IFERROR(((終値!E193*0.333)+(終値!F193*0.222)+(終値!G193*0.148)+(終値!H193*0.099)+(終値!I193*0.066)+(終値!J193*0.044)+(終値!K193*0.029)+(終値!L193*0.019)+(終値!M193*0.013)+(終値!N193*0.009))/(0.333+0.222+0.148+0.099+0.066+0.044+0.029+0.019+0.013+0.009),""))</f>
        <v>2208.7057026476573</v>
      </c>
      <c r="AC191" s="405">
        <f>IF(C191="","",IFERROR(SUMPRODUCT((終値!E193:AC193),({0.077,0.071,0.065,0.06,0.055,0.051,0.047,0.043,0.039,0.036,0.033,0.031,0.028,0.026,0.024,0.022,0.02,0.018,0.017,0.016,0.014,0.013,0.012,0.011,0.01}))/SUM({0.077,0.071,0.065,0.06,0.055,0.051,0.047,0.043,0.039,0.036,0.033,0.031,0.028,0.026,0.024,0.022,0.02,0.018,0.017,0.016,0.014,0.013,0.012,0.011,0.01}),""))</f>
        <v>2115.6722288438609</v>
      </c>
      <c r="AD191" s="406" t="str">
        <f>IF(OR(C191="",AB191="",AC191=""),"",IF(AND(E191&gt;AB191,AB191&gt;AC191),"パーフェクト▲",IF(E191&gt;AC191,"上昇トレンド▲",IF(AND(E191&lt;AB191,AB191&lt;AC191),"下降トレンド▼","もみ合い→"))))</f>
        <v>パーフェクト▲</v>
      </c>
      <c r="AE191" s="406" t="str">
        <f>IF(OR(C191="",AB191="",AC191=""),"",IF(AND(ABS(E191-AC191)/AC191&lt;=0.02,E191&gt;AC191),"25日押し目★",IF(AND(ABS(E191-AB191)/AB191&lt;=0.01,E191&gt;AB191),"5日押し目○","なし")))</f>
        <v>なし</v>
      </c>
      <c r="AF191" s="365">
        <f t="array" ref="AF191">IF(C191="","",IFERROR((INDEX(終値!$E:$E,MATCH(TEXT(C191,"0"),終値!$A:$A,0))-INDEX(終値!$E:$CZ,MATCH(TEXT(C191,"0"),終値!$A:$A,0),$AL$2))/INDEX(終値!$E:$CZ,MATCH(TEXT(C191,"0"),終値!$A:$A,0),$AL$2)*100,""))</f>
        <v>7.3851521612715647</v>
      </c>
      <c r="AG191" s="365">
        <f t="array" ref="AG191">IFERROR((終値!$E$5-INDEX(終値!$E$5:$IT$5,1,$AL$2))/INDEX(終値!$E$5:$IT$5,1,$AL$2)*100,"")</f>
        <v>1.0179378228534113</v>
      </c>
      <c r="AH191" s="366">
        <f>IF(OR(AF191="",AG191=""),"",AF191-AG191)</f>
        <v>6.3672143384181537</v>
      </c>
      <c r="AI191" s="364">
        <f>IF(AH191="","",IF(AH191&gt;5,3,IF(AH191&gt;0,1,IF(AH191&gt;-3,-1,-2))))</f>
        <v>3</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8050</v>
      </c>
      <c r="F192" s="166">
        <f>IF(C192&lt;&gt;"",_xll.RssMarket(C192,"始値"),"")</f>
        <v>8080</v>
      </c>
      <c r="G192" s="165">
        <f>IF(C192&lt;&gt;"",終値!F194,"")</f>
        <v>7990</v>
      </c>
      <c r="H192" s="166">
        <f>IF(C192&lt;&gt;"",_xll.RssMarket(C192,"高値"),"")</f>
        <v>8120</v>
      </c>
      <c r="I192" s="166">
        <f>IF(C192&lt;&gt;"",_xll.RssMarket(C192,"安値"),"")</f>
        <v>8010</v>
      </c>
      <c r="J192" s="166">
        <f>IF(C192&lt;&gt;"",_xll.RssMarket(C192,"出来高"),"")</f>
        <v>613600</v>
      </c>
      <c r="K192" s="166">
        <f>IF(C192&lt;&gt;"",_xll.RssMarket(C192,"年初来高値"),"")</f>
        <v>8780</v>
      </c>
      <c r="L192" s="167">
        <f>IF(AND(E192&lt;&gt;"",K192&lt;&gt;"",K192&lt;&gt;0),(E192-K192)/K192*100,"")</f>
        <v>-8.3143507972665152</v>
      </c>
      <c r="M192" s="166">
        <f>IF(C192&lt;&gt;"",IFERROR(AVERAGE(出来高!E194:I194),""),"")</f>
        <v>620160</v>
      </c>
      <c r="N192" s="166">
        <f>IF(C192&lt;&gt;"",IFERROR(AVERAGE(出来高!E194:AC194),""),"")</f>
        <v>589525</v>
      </c>
      <c r="O192" s="168">
        <f>IF(AND(J192&lt;&gt;"",M192&lt;&gt;"",M192&lt;&gt;0),J192/M192,"")</f>
        <v>0.98942208462332304</v>
      </c>
      <c r="P192" s="163" t="str">
        <f>IF(O192="","",IF(O192&gt;=2,"急増↑↑",IF(O192&gt;=1.5,"増加↑",IF(O192&gt;=1,"普通→","減少↓"))))</f>
        <v>減少↓</v>
      </c>
      <c r="Q192" s="163" t="str">
        <f>IF(E192="","",IF(AND(E192&gt;G192,O192&gt;=1.5),"買い▲",IF(E192&lt;G192,"様子見▼","中立→")))</f>
        <v>中立→</v>
      </c>
      <c r="R192" s="166">
        <f>IF(E192&lt;&gt;"",ROUND(E192*1.08,0),"")</f>
        <v>8694</v>
      </c>
      <c r="S192" s="166">
        <f>IF(E192&lt;&gt;"",ROUND(E192*0.96,0),"")</f>
        <v>7728</v>
      </c>
      <c r="T192" s="163">
        <f>IF(C192="","",IFERROR(IF(O192&gt;=2,3,IF(O192&gt;=1.5,2,IF(O192&gt;=1,1,0)))+IF(E192&gt;G192,1,0)+IF(L192&gt;=-5,1,0)+IF(Q192="買い▲",2,0)+IF(W192&lt;=30,3,IF(W192&lt;=40,2,IF(AND(W192&gt;=40,W192&lt;=60),1,0)))+IF(X192&gt;0,1,0)+IF(V192="年初来高値更新●",3,IF(V192="高値圏",2,0))+IF(AD192="パーフェクト▲",3,IF(AD192="上昇トレンド▲",2,0))+IF(AE192="25日線押し目●",2,IF(AE192="5日線押し目○",1,0))+IF(P192="急増↑↑",2,IF(P192="増加↑",1,0))+N(AI192),0))</f>
        <v>9</v>
      </c>
      <c r="U192" s="163" t="str">
        <f>IF(T192="","",IF(AND(T192&gt;=3,O192&gt;=1.5),"有効",IF(T192&gt;=3,"要確認","除外")))</f>
        <v>要確認</v>
      </c>
      <c r="V192" s="163" t="str">
        <f>IF(AND(H192&lt;&gt;"",K192&lt;&gt;""),IF(H192&gt;=K192,"年初来高値更新●",IF(H192&gt;=K192*0.95,"高値圏","通常")),"")</f>
        <v>通常</v>
      </c>
      <c r="W192" s="169">
        <f t="array" ref="W192">IF(C192&lt;&gt;"",IFERROR(100-100/(1+SUMPRODUCT((終値!F194:R194&gt;終値!G194:S194)*( 終値!F194:R194-終値!G194:S194))/SUMPRODUCT((終値!F194:R194&lt;終値!G194:S194)*(終値!G194:S194-終値!F194:R194))),50),"")</f>
        <v>51.252290775809414</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△注目</v>
      </c>
      <c r="Z192" s="171">
        <f>IF(AND(E192&lt;&gt;"",G192&lt;&gt;"",G192&lt;&gt;0),(E192-G192)/G192*100,"")</f>
        <v>0.75093867334167708</v>
      </c>
      <c r="AA192" s="163" t="str">
        <f>IF(OR(C192="",E192="",E192=0),"",IF(E192&gt;G192,"上昇▲",IF(E192&lt;G192,"下落▼","横ばい→")))</f>
        <v>上昇▲</v>
      </c>
      <c r="AB192" s="403">
        <f>IF(C192="","",IFERROR(((終値!E194*0.333)+(終値!F194*0.222)+(終値!G194*0.148)+(終値!H194*0.099)+(終値!I194*0.066)+(終値!J194*0.044)+(終値!K194*0.029)+(終値!L194*0.019)+(終値!M194*0.013)+(終値!N194*0.009))/(0.333+0.222+0.148+0.099+0.066+0.044+0.029+0.019+0.013+0.009),""))</f>
        <v>7996.5071283095695</v>
      </c>
      <c r="AC192" s="403">
        <f>IF(C192="","",IFERROR(SUMPRODUCT((終値!E194:AC194),({0.077,0.071,0.065,0.06,0.055,0.051,0.047,0.043,0.039,0.036,0.033,0.031,0.028,0.026,0.024,0.022,0.02,0.018,0.017,0.016,0.014,0.013,0.012,0.011,0.01}))/SUM({0.077,0.071,0.065,0.06,0.055,0.051,0.047,0.043,0.039,0.036,0.033,0.031,0.028,0.026,0.024,0.022,0.02,0.018,0.017,0.016,0.014,0.013,0.012,0.011,0.01}),""))</f>
        <v>7562.3718712753252</v>
      </c>
      <c r="AD192" s="404" t="str">
        <f>IF(OR(C192="",AB192="",AC192=""),"",IF(AND(E192&gt;AB192,AB192&gt;AC192),"パーフェクト▲",IF(E192&gt;AC192,"上昇トレンド▲",IF(AND(E192&lt;AB192,AB192&lt;AC192),"下降トレンド▼","もみ合い→"))))</f>
        <v>パーフェクト▲</v>
      </c>
      <c r="AE192" s="404" t="str">
        <f>IF(OR(C192="",AB192="",AC192=""),"",IF(AND(ABS(E192-AC192)/AC192&lt;=0.02,E192&gt;AC192),"25日押し目★",IF(AND(ABS(E192-AB192)/AB192&lt;=0.01,E192&gt;AB192),"5日押し目○","なし")))</f>
        <v>5日押し目○</v>
      </c>
      <c r="AF192" s="365">
        <f t="array" ref="AF192">IF(C192="","",IFERROR((INDEX(終値!$E:$E,MATCH(TEXT(C192,"0"),終値!$A:$A,0))-INDEX(終値!$E:$CZ,MATCH(TEXT(C192,"0"),終値!$A:$A,0),$AL$2))/INDEX(終値!$E:$CZ,MATCH(TEXT(C192,"0"),終値!$A:$A,0),$AL$2)*100,""))</f>
        <v>9.6730245231607626</v>
      </c>
      <c r="AG192" s="365">
        <f t="array" ref="AG192">IFERROR((終値!$E$5-INDEX(終値!$E$5:$IT$5,1,$AL$2))/INDEX(終値!$E$5:$IT$5,1,$AL$2)*100,"")</f>
        <v>1.0179378228534113</v>
      </c>
      <c r="AH192" s="366">
        <f>IF(OR(AF192="",AG192=""),"",AF192-AG192)</f>
        <v>8.6550867003073506</v>
      </c>
      <c r="AI192" s="364">
        <f>IF(AH192="","",IF(AH192&gt;5,3,IF(AH192&gt;0,1,IF(AH192&gt;-3,-1,-2))))</f>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2030</v>
      </c>
      <c r="F193" s="166">
        <f>IF(C193&lt;&gt;"",_xll.RssMarket(C193,"始値"),"")</f>
        <v>2036</v>
      </c>
      <c r="G193" s="165">
        <f>IF(C193&lt;&gt;"",終値!F168,"")</f>
        <v>2033</v>
      </c>
      <c r="H193" s="166">
        <f>IF(C193&lt;&gt;"",_xll.RssMarket(C193,"高値"),"")</f>
        <v>2053</v>
      </c>
      <c r="I193" s="166">
        <f>IF(C193&lt;&gt;"",_xll.RssMarket(C193,"安値"),"")</f>
        <v>2030</v>
      </c>
      <c r="J193" s="166">
        <f>IF(C193&lt;&gt;"",_xll.RssMarket(C193,"出来高"),"")</f>
        <v>22400</v>
      </c>
      <c r="K193" s="166">
        <f>IF(C193&lt;&gt;"",_xll.RssMarket(C193,"年初来高値"),"")</f>
        <v>2348</v>
      </c>
      <c r="L193" s="167">
        <f>IF(AND(E193&lt;&gt;"",K193&lt;&gt;"",K193&lt;&gt;0),(E193-K193)/K193*100,"")</f>
        <v>-13.543441226575808</v>
      </c>
      <c r="M193" s="166">
        <f>IF(C193&lt;&gt;"",IFERROR(AVERAGE(出来高!E168:I168),""),"")</f>
        <v>24980</v>
      </c>
      <c r="N193" s="166">
        <f>IF(C193&lt;&gt;"",IFERROR(AVERAGE(出来高!E168:AC168),""),"")</f>
        <v>24295.833333333332</v>
      </c>
      <c r="O193" s="168">
        <f>IF(AND(J193&lt;&gt;"",M193&lt;&gt;"",M193&lt;&gt;0),J193/M193,"")</f>
        <v>0.89671737389911932</v>
      </c>
      <c r="P193" s="163" t="str">
        <f>IF(O193="","",IF(O193&gt;=2,"急増↑↑",IF(O193&gt;=1.5,"増加↑",IF(O193&gt;=1,"普通→","減少↓"))))</f>
        <v>減少↓</v>
      </c>
      <c r="Q193" s="163" t="str">
        <f>IF(E193="","",IF(AND(E193&gt;G193,O193&gt;=1.5),"買い▲",IF(E193&lt;G193,"様子見▼","中立→")))</f>
        <v>様子見▼</v>
      </c>
      <c r="R193" s="166">
        <f>IF(E193&lt;&gt;"",ROUND(E193*1.08,0),"")</f>
        <v>2192</v>
      </c>
      <c r="S193" s="166">
        <f>IF(E193&lt;&gt;"",ROUND(E193*0.96,0),"")</f>
        <v>1949</v>
      </c>
      <c r="T193" s="163">
        <f>IF(C193="","",IFERROR(IF(O193&gt;=2,3,IF(O193&gt;=1.5,2,IF(O193&gt;=1,1,0)))+IF(E193&gt;G193,1,0)+IF(L193&gt;=-5,1,0)+IF(Q193="買い▲",2,0)+IF(W193&lt;=30,3,IF(W193&lt;=40,2,IF(AND(W193&gt;=40,W193&lt;=60),1,0)))+IF(X193&gt;0,1,0)+IF(V193="年初来高値更新●",3,IF(V193="高値圏",2,0))+IF(AD193="パーフェクト▲",3,IF(AD193="上昇トレンド▲",2,0))+IF(AE193="25日線押し目●",2,IF(AE193="5日線押し目○",1,0))+IF(P193="急増↑↑",2,IF(P193="増加↑",1,0))+N(AI193),0))</f>
        <v>2</v>
      </c>
      <c r="U193" s="163" t="str">
        <f>IF(T193="","",IF(AND(T193&gt;=3,O193&gt;=1.5),"有効",IF(T193&gt;=3,"要確認","除外")))</f>
        <v>除外</v>
      </c>
      <c r="V193" s="163" t="str">
        <f>IF(AND(H193&lt;&gt;"",K193&lt;&gt;""),IF(H193&gt;=K193,"年初来高値更新●",IF(H193&gt;=K193*0.95,"高値圏","通常")),"")</f>
        <v>通常</v>
      </c>
      <c r="W193" s="169">
        <f t="array" ref="W193">IF(C193&lt;&gt;"",IFERROR(100-100/(1+SUMPRODUCT((終値!F168:R168&gt;終値!G168:S168)*( 終値!F168:R168-終値!G168:S168))/SUMPRODUCT((終値!F168:R168&lt;終値!G168:S168)*(終値!G168:S168-終値!F168:R168))),50),"")</f>
        <v>50.271546635182993</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見送り</v>
      </c>
      <c r="Z193" s="171">
        <f>IF(AND(E193&lt;&gt;"",G193&lt;&gt;"",G193&lt;&gt;0),(E193-G193)/G193*100,"")</f>
        <v>-0.14756517461878996</v>
      </c>
      <c r="AA193" s="163" t="str">
        <f>IF(OR(C193="",E193="",E193=0),"",IF(E193&gt;G193,"上昇▲",IF(E193&lt;G193,"下落▼","横ばい→")))</f>
        <v>下落▼</v>
      </c>
      <c r="AB193" s="405">
        <f>IF(C193="","",IFERROR(((終値!E195*0.333)+(終値!F195*0.222)+(終値!G195*0.148)+(終値!H195*0.099)+(終値!I195*0.066)+(終値!J195*0.044)+(終値!K195*0.029)+(終値!L195*0.019)+(終値!M195*0.013)+(終値!N195*0.009))/(0.333+0.222+0.148+0.099+0.066+0.044+0.029+0.019+0.013+0.009),""))</f>
        <v>8707.1181262729133</v>
      </c>
      <c r="AC193" s="405">
        <f>IF(C193="","",IFERROR(SUMPRODUCT((終値!E195:AC195),({0.077,0.071,0.065,0.06,0.055,0.051,0.047,0.043,0.039,0.036,0.033,0.031,0.028,0.026,0.024,0.022,0.02,0.018,0.017,0.016,0.014,0.013,0.012,0.011,0.01}))/SUM({0.077,0.071,0.065,0.06,0.055,0.051,0.047,0.043,0.039,0.036,0.033,0.031,0.028,0.026,0.024,0.022,0.02,0.018,0.017,0.016,0.014,0.013,0.012,0.011,0.01}),""))</f>
        <v>8326.6150178784228</v>
      </c>
      <c r="AD193" s="406" t="str">
        <f>IF(OR(C193="",AB193="",AC193=""),"",IF(AND(E193&gt;AB193,AB193&gt;AC193),"パーフェクト▲",IF(E193&gt;AC193,"上昇トレンド▲",IF(AND(E193&lt;AB193,AB193&lt;AC193),"下降トレンド▼","もみ合い→"))))</f>
        <v>もみ合い→</v>
      </c>
      <c r="AE193" s="406" t="str">
        <f>IF(OR(C193="",AB193="",AC193=""),"",IF(AND(ABS(E193-AC193)/AC193&lt;=0.02,E193&gt;AC193),"25日押し目★",IF(AND(ABS(E193-AB193)/AB193&lt;=0.01,E193&gt;AB193),"5日押し目○","なし")))</f>
        <v>なし</v>
      </c>
      <c r="AF193" s="365">
        <f t="array" ref="AF193">IF(C193="","",IFERROR((INDEX(終値!$E:$E,MATCH(TEXT(C193,"0"),終値!$A:$A,0))-INDEX(終値!$E:$CZ,MATCH(TEXT(C193,"0"),終値!$A:$A,0),$AL$2))/INDEX(終値!$E:$CZ,MATCH(TEXT(C193,"0"),終値!$A:$A,0),$AL$2)*100,""))</f>
        <v>5.3997923156801662</v>
      </c>
      <c r="AG193" s="365">
        <f t="array" ref="AG193">IFERROR((終値!$E$5-INDEX(終値!$E$5:$IT$5,1,$AL$2))/INDEX(終値!$E$5:$IT$5,1,$AL$2)*100,"")</f>
        <v>1.0179378228534113</v>
      </c>
      <c r="AH193" s="366">
        <f>IF(OR(AF193="",AG193=""),"",AF193-AG193)</f>
        <v>4.3818544928267551</v>
      </c>
      <c r="AI193" s="364">
        <f>IF(AH193="","",IF(AH193&gt;5,3,IF(AH193&gt;0,1,IF(AH193&gt;-3,-1,-2))))</f>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3753</v>
      </c>
      <c r="F194" s="166">
        <f>IF(C194&lt;&gt;"",_xll.RssMarket(C194,"始値"),"")</f>
        <v>3670</v>
      </c>
      <c r="G194" s="165">
        <f>IF(C194&lt;&gt;"",終値!F174,"")</f>
        <v>3662</v>
      </c>
      <c r="H194" s="166">
        <f>IF(C194&lt;&gt;"",_xll.RssMarket(C194,"高値"),"")</f>
        <v>3776</v>
      </c>
      <c r="I194" s="166">
        <f>IF(C194&lt;&gt;"",_xll.RssMarket(C194,"安値"),"")</f>
        <v>3643</v>
      </c>
      <c r="J194" s="166">
        <f>IF(C194&lt;&gt;"",_xll.RssMarket(C194,"出来高"),"")</f>
        <v>196300</v>
      </c>
      <c r="K194" s="166">
        <f>IF(C194&lt;&gt;"",_xll.RssMarket(C194,"年初来高値"),"")</f>
        <v>4655</v>
      </c>
      <c r="L194" s="167">
        <f>IF(AND(E194&lt;&gt;"",K194&lt;&gt;"",K194&lt;&gt;0),(E194-K194)/K194*100,"")</f>
        <v>-19.377013963480131</v>
      </c>
      <c r="M194" s="166">
        <f>IF(C194&lt;&gt;"",IFERROR(AVERAGE(出来高!E174:I174),""),"")</f>
        <v>326140</v>
      </c>
      <c r="N194" s="166">
        <f>IF(C194&lt;&gt;"",IFERROR(AVERAGE(出来高!E174:AC174),""),"")</f>
        <v>291716</v>
      </c>
      <c r="O194" s="168">
        <f>IF(AND(J194&lt;&gt;"",M194&lt;&gt;"",M194&lt;&gt;0),J194/M194,"")</f>
        <v>0.60188875942846631</v>
      </c>
      <c r="P194" s="163" t="str">
        <f>IF(O194="","",IF(O194&gt;=2,"急増↑↑",IF(O194&gt;=1.5,"増加↑",IF(O194&gt;=1,"普通→","減少↓"))))</f>
        <v>減少↓</v>
      </c>
      <c r="Q194" s="163" t="str">
        <f>IF(E194="","",IF(AND(E194&gt;G194,O194&gt;=1.5),"買い▲",IF(E194&lt;G194,"様子見▼","中立→")))</f>
        <v>中立→</v>
      </c>
      <c r="R194" s="166">
        <f>IF(E194&lt;&gt;"",ROUND(E194*1.08,0),"")</f>
        <v>4053</v>
      </c>
      <c r="S194" s="166">
        <f>IF(E194&lt;&gt;"",ROUND(E194*0.96,0),"")</f>
        <v>3603</v>
      </c>
      <c r="T194" s="163">
        <f>IF(C194="","",IFERROR(IF(O194&gt;=2,3,IF(O194&gt;=1.5,2,IF(O194&gt;=1,1,0)))+IF(E194&gt;G194,1,0)+IF(L194&gt;=-5,1,0)+IF(Q194="買い▲",2,0)+IF(W194&lt;=30,3,IF(W194&lt;=40,2,IF(AND(W194&gt;=40,W194&lt;=60),1,0)))+IF(X194&gt;0,1,0)+IF(V194="年初来高値更新●",3,IF(V194="高値圏",2,0))+IF(AD194="パーフェクト▲",3,IF(AD194="上昇トレンド▲",2,0))+IF(AE194="25日線押し目●",2,IF(AE194="5日線押し目○",1,0))+IF(P194="急増↑↑",2,IF(P194="増加↑",1,0))+N(AI194),0))</f>
        <v>6</v>
      </c>
      <c r="U194" s="163" t="str">
        <f>IF(T194="","",IF(AND(T194&gt;=3,O194&gt;=1.5),"有効",IF(T194&gt;=3,"要確認","除外")))</f>
        <v>要確認</v>
      </c>
      <c r="V194" s="163" t="str">
        <f>IF(AND(H194&lt;&gt;"",K194&lt;&gt;""),IF(H194&gt;=K194,"年初来高値更新●",IF(H194&gt;=K194*0.95,"高値圏","通常")),"")</f>
        <v>通常</v>
      </c>
      <c r="W194" s="169">
        <f t="array" ref="W194">IF(C194&lt;&gt;"",IFERROR(100-100/(1+SUMPRODUCT((終値!F174:R174&gt;終値!G174:S174)*( 終値!F174:R174-終値!G174:S174))/SUMPRODUCT((終値!F174:R174&lt;終値!G174:S174)*(終値!G174:S174-終値!F174:R174))),50),"")</f>
        <v>42.624999999999993</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△注目</v>
      </c>
      <c r="Z194" s="171">
        <f>IF(AND(E194&lt;&gt;"",G194&lt;&gt;"",G194&lt;&gt;0),(E194-G194)/G194*100,"")</f>
        <v>2.4849808847624248</v>
      </c>
      <c r="AA194" s="163" t="str">
        <f>IF(OR(C194="",E194="",E194=0),"",IF(E194&gt;G194,"上昇▲",IF(E194&lt;G194,"下落▼","横ばい→")))</f>
        <v>上昇▲</v>
      </c>
      <c r="AB194" s="403">
        <f>IF(C194="","",IFERROR(((終値!E196*0.333)+(終値!F196*0.222)+(終値!G196*0.148)+(終値!H196*0.099)+(終値!I196*0.066)+(終値!J196*0.044)+(終値!K196*0.029)+(終値!L196*0.019)+(終値!M196*0.013)+(終値!N196*0.009))/(0.333+0.222+0.148+0.099+0.066+0.044+0.029+0.019+0.013+0.009),""))</f>
        <v>23882.800407331975</v>
      </c>
      <c r="AC194" s="403">
        <f>IF(C194="","",IFERROR(SUMPRODUCT((終値!E196:AC196),({0.077,0.071,0.065,0.06,0.055,0.051,0.047,0.043,0.039,0.036,0.033,0.031,0.028,0.026,0.024,0.022,0.02,0.018,0.017,0.016,0.014,0.013,0.012,0.011,0.01}))/SUM({0.077,0.071,0.065,0.06,0.055,0.051,0.047,0.043,0.039,0.036,0.033,0.031,0.028,0.026,0.024,0.022,0.02,0.018,0.017,0.016,0.014,0.013,0.012,0.011,0.01}),""))</f>
        <v>23495.816448152556</v>
      </c>
      <c r="AD194" s="404" t="str">
        <f>IF(OR(C194="",AB194="",AC194=""),"",IF(AND(E194&gt;AB194,AB194&gt;AC194),"パーフェクト▲",IF(E194&gt;AC194,"上昇トレンド▲",IF(AND(E194&lt;AB194,AB194&lt;AC194),"下降トレンド▼","もみ合い→"))))</f>
        <v>もみ合い→</v>
      </c>
      <c r="AE194" s="404" t="str">
        <f>IF(OR(C194="",AB194="",AC194=""),"",IF(AND(ABS(E194-AC194)/AC194&lt;=0.02,E194&gt;AC194),"25日押し目★",IF(AND(ABS(E194-AB194)/AB194&lt;=0.01,E194&gt;AB194),"5日押し目○","なし")))</f>
        <v>なし</v>
      </c>
      <c r="AF194" s="365">
        <f t="array" ref="AF194">IF(C194="","",IFERROR((INDEX(終値!$E:$E,MATCH(TEXT(C194,"0"),終値!$A:$A,0))-INDEX(終値!$E:$CZ,MATCH(TEXT(C194,"0"),終値!$A:$A,0),$AL$2))/INDEX(終値!$E:$CZ,MATCH(TEXT(C194,"0"),終値!$A:$A,0),$AL$2)*100,""))</f>
        <v>13.07622777945164</v>
      </c>
      <c r="AG194" s="365">
        <f t="array" ref="AG194">IFERROR((終値!$E$5-INDEX(終値!$E$5:$IT$5,1,$AL$2))/INDEX(終値!$E$5:$IT$5,1,$AL$2)*100,"")</f>
        <v>1.0179378228534113</v>
      </c>
      <c r="AH194" s="366">
        <f>IF(OR(AF194="",AG194=""),"",AF194-AG194)</f>
        <v>12.058289956598228</v>
      </c>
      <c r="AI194" s="364">
        <f>IF(AH194="","",IF(AH194&gt;5,3,IF(AH194&gt;0,1,IF(AH194&gt;-3,-1,-2))))</f>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2719</v>
      </c>
      <c r="F195" s="166">
        <f>IF(C195&lt;&gt;"",_xll.RssMarket(C195,"始値"),"")</f>
        <v>2615</v>
      </c>
      <c r="G195" s="165">
        <f>IF(C195&lt;&gt;"",終値!F131,"")</f>
        <v>2633</v>
      </c>
      <c r="H195" s="166">
        <f>IF(C195&lt;&gt;"",_xll.RssMarket(C195,"高値"),"")</f>
        <v>2734</v>
      </c>
      <c r="I195" s="166">
        <f>IF(C195&lt;&gt;"",_xll.RssMarket(C195,"安値"),"")</f>
        <v>2600</v>
      </c>
      <c r="J195" s="166">
        <f>IF(C195&lt;&gt;"",_xll.RssMarket(C195,"出来高"),"")</f>
        <v>1129200</v>
      </c>
      <c r="K195" s="166">
        <f>IF(C195&lt;&gt;"",_xll.RssMarket(C195,"年初来高値"),"")</f>
        <v>3740</v>
      </c>
      <c r="L195" s="167">
        <f>IF(AND(E195&lt;&gt;"",K195&lt;&gt;"",K195&lt;&gt;0),(E195-K195)/K195*100,"")</f>
        <v>-27.299465240641712</v>
      </c>
      <c r="M195" s="166">
        <f>IF(C195&lt;&gt;"",IFERROR(AVERAGE(出来高!E131:I131),""),"")</f>
        <v>832400</v>
      </c>
      <c r="N195" s="166">
        <f>IF(C195&lt;&gt;"",IFERROR(AVERAGE(出来高!E131:AC131),""),"")</f>
        <v>860668</v>
      </c>
      <c r="O195" s="168">
        <f>IF(AND(J195&lt;&gt;"",M195&lt;&gt;"",M195&lt;&gt;0),J195/M195,"")</f>
        <v>1.3565593464680441</v>
      </c>
      <c r="P195" s="163" t="str">
        <f>IF(O195="","",IF(O195&gt;=2,"急増↑↑",IF(O195&gt;=1.5,"増加↑",IF(O195&gt;=1,"普通→","減少↓"))))</f>
        <v>普通→</v>
      </c>
      <c r="Q195" s="163" t="str">
        <f>IF(E195="","",IF(AND(E195&gt;G195,O195&gt;=1.5),"買い▲",IF(E195&lt;G195,"様子見▼","中立→")))</f>
        <v>中立→</v>
      </c>
      <c r="R195" s="166">
        <f>IF(E195&lt;&gt;"",ROUND(E195*1.08,0),"")</f>
        <v>2937</v>
      </c>
      <c r="S195" s="166">
        <f>IF(E195&lt;&gt;"",ROUND(E195*0.96,0),"")</f>
        <v>2610</v>
      </c>
      <c r="T195" s="163">
        <f>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1</v>
      </c>
      <c r="U195" s="163" t="str">
        <f>IF(T195="","",IF(AND(T195&gt;=3,O195&gt;=1.5),"有効",IF(T195&gt;=3,"要確認","除外")))</f>
        <v>除外</v>
      </c>
      <c r="V195" s="163" t="str">
        <f>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51.606217616580309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見送り</v>
      </c>
      <c r="Z195" s="171">
        <f>IF(AND(E195&lt;&gt;"",G195&lt;&gt;"",G195&lt;&gt;0),(E195-G195)/G195*100,"")</f>
        <v>3.2662362324344856</v>
      </c>
      <c r="AA195" s="163" t="str">
        <f>IF(OR(C195="",E195="",E195=0),"",IF(E195&gt;G195,"上昇▲",IF(E195&lt;G195,"下落▼","横ばい→")))</f>
        <v>上昇▲</v>
      </c>
      <c r="AB195" s="405">
        <f>IF(C195="","",IFERROR(((終値!E197*0.333)+(終値!F197*0.222)+(終値!G197*0.148)+(終値!H197*0.099)+(終値!I197*0.066)+(終値!J197*0.044)+(終値!K197*0.029)+(終値!L197*0.019)+(終値!M197*0.013)+(終値!N197*0.009))/(0.333+0.222+0.148+0.099+0.066+0.044+0.029+0.019+0.013+0.009),""))</f>
        <v>60793.024439918518</v>
      </c>
      <c r="AC195" s="405">
        <f>IF(C195="","",IFERROR(SUMPRODUCT((終値!E197:AC197),({0.077,0.071,0.065,0.06,0.055,0.051,0.047,0.043,0.039,0.036,0.033,0.031,0.028,0.026,0.024,0.022,0.02,0.018,0.017,0.016,0.014,0.013,0.012,0.011,0.01}))/SUM({0.077,0.071,0.065,0.06,0.055,0.051,0.047,0.043,0.039,0.036,0.033,0.031,0.028,0.026,0.024,0.022,0.02,0.018,0.017,0.016,0.014,0.013,0.012,0.011,0.01}),""))</f>
        <v>63292.264600715112</v>
      </c>
      <c r="AD195" s="406" t="str">
        <f>IF(OR(C195="",AB195="",AC195=""),"",IF(AND(E195&gt;AB195,AB195&gt;AC195),"パーフェクト▲",IF(E195&gt;AC195,"上昇トレンド▲",IF(AND(E195&lt;AB195,AB195&lt;AC195),"下降トレンド▼","もみ合い→"))))</f>
        <v>下降トレンド▼</v>
      </c>
      <c r="AE195" s="406" t="str">
        <f>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-2.5797205302758868</v>
      </c>
      <c r="AG195" s="365">
        <f t="array" ref="AG195">IFERROR((終値!$E$5-INDEX(終値!$E$5:$IT$5,1,$AL$2))/INDEX(終値!$E$5:$IT$5,1,$AL$2)*100,"")</f>
        <v>1.0179378228534113</v>
      </c>
      <c r="AH195" s="366">
        <f>IF(OR(AF195="",AG195=""),"",AF195-AG195)</f>
        <v>-3.5976583531292983</v>
      </c>
      <c r="AI195" s="364">
        <f>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639</v>
      </c>
      <c r="F196" s="166">
        <f>IF(C196&lt;&gt;"",_xll.RssMarket(C196,"始値"),"")</f>
        <v>638</v>
      </c>
      <c r="G196" s="165">
        <f>IF(C196&lt;&gt;"",終値!F187,"")</f>
        <v>635.5</v>
      </c>
      <c r="H196" s="166">
        <f>IF(C196&lt;&gt;"",_xll.RssMarket(C196,"高値"),"")</f>
        <v>641</v>
      </c>
      <c r="I196" s="166">
        <f>IF(C196&lt;&gt;"",_xll.RssMarket(C196,"安値"),"")</f>
        <v>635.5</v>
      </c>
      <c r="J196" s="166">
        <f>IF(C196&lt;&gt;"",_xll.RssMarket(C196,"出来高"),"")</f>
        <v>1470100</v>
      </c>
      <c r="K196" s="166">
        <f>IF(C196&lt;&gt;"",_xll.RssMarket(C196,"年初来高値"),"")</f>
        <v>763.7</v>
      </c>
      <c r="L196" s="167">
        <f>IF(AND(E196&lt;&gt;"",K196&lt;&gt;"",K196&lt;&gt;0),(E196-K196)/K196*100,"")</f>
        <v>-16.328401204661521</v>
      </c>
      <c r="M196" s="166">
        <f>IF(C196&lt;&gt;"",IFERROR(AVERAGE(出来高!E187:I187),""),"")</f>
        <v>3836180</v>
      </c>
      <c r="N196" s="166">
        <f>IF(C196&lt;&gt;"",IFERROR(AVERAGE(出来高!E187:AC187),""),"")</f>
        <v>2134460</v>
      </c>
      <c r="O196" s="168">
        <f>IF(AND(J196&lt;&gt;"",M196&lt;&gt;"",M196&lt;&gt;0),J196/M196,"")</f>
        <v>0.38321976549588394</v>
      </c>
      <c r="P196" s="163" t="str">
        <f>IF(O196="","",IF(O196&gt;=2,"急増↑↑",IF(O196&gt;=1.5,"増加↑",IF(O196&gt;=1,"普通→","減少↓"))))</f>
        <v>減少↓</v>
      </c>
      <c r="Q196" s="163" t="str">
        <f>IF(E196="","",IF(AND(E196&gt;G196,O196&gt;=1.5),"買い▲",IF(E196&lt;G196,"様子見▼","中立→")))</f>
        <v>中立→</v>
      </c>
      <c r="R196" s="166">
        <f>IF(E196&lt;&gt;"",ROUND(E196*1.08,0),"")</f>
        <v>690</v>
      </c>
      <c r="S196" s="166">
        <f>IF(E196&lt;&gt;"",ROUND(E196*0.96,0),"")</f>
        <v>613</v>
      </c>
      <c r="T196" s="163">
        <f>IF(C196="","",IFERROR(IF(O196&gt;=2,3,IF(O196&gt;=1.5,2,IF(O196&gt;=1,1,0)))+IF(E196&gt;G196,1,0)+IF(L196&gt;=-5,1,0)+IF(Q196="買い▲",2,0)+IF(W196&lt;=30,3,IF(W196&lt;=40,2,IF(AND(W196&gt;=40,W196&lt;=60),1,0)))+IF(X196&gt;0,1,0)+IF(V196="年初来高値更新●",3,IF(V196="高値圏",2,0))+IF(AD196="パーフェクト▲",3,IF(AD196="上昇トレンド▲",2,0))+IF(AE196="25日線押し目●",2,IF(AE196="5日線押し目○",1,0))+IF(P196="急増↑↑",2,IF(P196="増加↑",1,0))+N(AI196),0))</f>
        <v>2</v>
      </c>
      <c r="U196" s="163" t="str">
        <f>IF(T196="","",IF(AND(T196&gt;=3,O196&gt;=1.5),"有効",IF(T196&gt;=3,"要確認","除外")))</f>
        <v>除外</v>
      </c>
      <c r="V196" s="163" t="str">
        <f>IF(AND(H196&lt;&gt;"",K196&lt;&gt;""),IF(H196&gt;=K196,"年初来高値更新●",IF(H196&gt;=K196*0.95,"高値圏","通常")),"")</f>
        <v>通常</v>
      </c>
      <c r="W196" s="169">
        <f t="array" ref="W196">IF(C196&lt;&gt;"",IFERROR(100-100/(1+SUMPRODUCT((終値!F187:R187&gt;終値!G187:S187)*( 終値!F187:R187-終値!G187:S187))/SUMPRODUCT((終値!F187:R187&lt;終値!G187:S187)*(終値!G187:S187-終値!F187:R187))),50),"")</f>
        <v>34.680851063829735</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見送り</v>
      </c>
      <c r="Z196" s="171">
        <f>IF(AND(E196&lt;&gt;"",G196&lt;&gt;"",G196&lt;&gt;0),(E196-G196)/G196*100,"")</f>
        <v>0.55074744295830058</v>
      </c>
      <c r="AA196" s="163" t="str">
        <f>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56123.197556008141</v>
      </c>
      <c r="AC196" s="403">
        <f>IF(C196="","",IFERROR(SUMPRODUCT((終値!E198:AC198),({0.077,0.071,0.065,0.06,0.055,0.051,0.047,0.043,0.039,0.036,0.033,0.031,0.028,0.026,0.024,0.022,0.02,0.018,0.017,0.016,0.014,0.013,0.012,0.011,0.01}))/SUM({0.077,0.071,0.065,0.06,0.055,0.051,0.047,0.043,0.039,0.036,0.033,0.031,0.028,0.026,0.024,0.022,0.02,0.018,0.017,0.016,0.014,0.013,0.012,0.011,0.01}),""))</f>
        <v>60916.48390941594</v>
      </c>
      <c r="AD196" s="404" t="str">
        <f>IF(OR(C196="",AB196="",AC196=""),"",IF(AND(E196&gt;AB196,AB196&gt;AC196),"パーフェクト▲",IF(E196&gt;AC196,"上昇トレンド▲",IF(AND(E196&lt;AB196,AB196&lt;AC196),"下降トレンド▼","もみ合い→"))))</f>
        <v>下降トレンド▼</v>
      </c>
      <c r="AE196" s="404" t="str">
        <f>IF(OR(C196="",AB196="",AC196=""),"",IF(AND(ABS(E196-AC196)/AC196&lt;=0.02,E196&gt;AC196),"25日押し目★",IF(AND(ABS(E196-AB196)/AB196&lt;=0.01,E196&gt;AB196),"5日押し目○","なし")))</f>
        <v>なし</v>
      </c>
      <c r="AF196" s="365">
        <f t="array" ref="AF196">IF(C196="","",IFERROR((INDEX(終値!$E:$E,MATCH(TEXT(C196,"0"),終値!$A:$A,0))-INDEX(終値!$E:$CZ,MATCH(TEXT(C196,"0"),終値!$A:$A,0),$AL$2))/INDEX(終値!$E:$CZ,MATCH(TEXT(C196,"0"),終値!$A:$A,0),$AL$2)*100,""))</f>
        <v>0.58240201479616649</v>
      </c>
      <c r="AG196" s="365">
        <f t="array" ref="AG196">IFERROR((終値!$E$5-INDEX(終値!$E$5:$IT$5,1,$AL$2))/INDEX(終値!$E$5:$IT$5,1,$AL$2)*100,"")</f>
        <v>1.0179378228534113</v>
      </c>
      <c r="AH196" s="366">
        <f>IF(OR(AF196="",AG196=""),"",AF196-AG196)</f>
        <v>-0.43553580805724479</v>
      </c>
      <c r="AI196" s="364">
        <f>IF(AH196="","",IF(AH196&gt;5,3,IF(AH196&gt;0,1,IF(AH196&gt;-3,-1,-2))))</f>
        <v>-1</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2306</v>
      </c>
      <c r="F197" s="166">
        <f>IF(C197&lt;&gt;"",_xll.RssMarket(C197,"始値"),"")</f>
        <v>2327</v>
      </c>
      <c r="G197" s="165">
        <f>IF(C197&lt;&gt;"",終値!F86,"")</f>
        <v>2327</v>
      </c>
      <c r="H197" s="166">
        <f>IF(C197&lt;&gt;"",_xll.RssMarket(C197,"高値"),"")</f>
        <v>2355</v>
      </c>
      <c r="I197" s="166">
        <f>IF(C197&lt;&gt;"",_xll.RssMarket(C197,"安値"),"")</f>
        <v>2295</v>
      </c>
      <c r="J197" s="166">
        <f>IF(C197&lt;&gt;"",_xll.RssMarket(C197,"出来高"),"")</f>
        <v>975600</v>
      </c>
      <c r="K197" s="166">
        <f>IF(C197&lt;&gt;"",_xll.RssMarket(C197,"年初来高値"),"")</f>
        <v>2927.5</v>
      </c>
      <c r="L197" s="167">
        <f>IF(AND(E197&lt;&gt;"",K197&lt;&gt;"",K197&lt;&gt;0),(E197-K197)/K197*100,"")</f>
        <v>-21.229718189581554</v>
      </c>
      <c r="M197" s="166">
        <f>IF(C197&lt;&gt;"",IFERROR(AVERAGE(出来高!E86:I86),""),"")</f>
        <v>1332820</v>
      </c>
      <c r="N197" s="166">
        <f>IF(C197&lt;&gt;"",IFERROR(AVERAGE(出来高!E86:AC86),""),"")</f>
        <v>1629862.5</v>
      </c>
      <c r="O197" s="168">
        <f>IF(AND(J197&lt;&gt;"",M197&lt;&gt;"",M197&lt;&gt;0),J197/M197,"")</f>
        <v>0.73198181299800424</v>
      </c>
      <c r="P197" s="163" t="str">
        <f>IF(O197="","",IF(O197&gt;=2,"急増↑↑",IF(O197&gt;=1.5,"増加↑",IF(O197&gt;=1,"普通→","減少↓"))))</f>
        <v>減少↓</v>
      </c>
      <c r="Q197" s="163" t="str">
        <f>IF(E197="","",IF(AND(E197&gt;G197,O197&gt;=1.5),"買い▲",IF(E197&lt;G197,"様子見▼","中立→")))</f>
        <v>様子見▼</v>
      </c>
      <c r="R197" s="166">
        <f>IF(E197&lt;&gt;"",ROUND(E197*1.08,0),"")</f>
        <v>2490</v>
      </c>
      <c r="S197" s="166">
        <f>IF(E197&lt;&gt;"",ROUND(E197*0.96,0),"")</f>
        <v>2214</v>
      </c>
      <c r="T197" s="163">
        <f>IF(C197="","",IFERROR(IF(O197&gt;=2,3,IF(O197&gt;=1.5,2,IF(O197&gt;=1,1,0)))+IF(E197&gt;G197,1,0)+IF(L197&gt;=-5,1,0)+IF(Q197="買い▲",2,0)+IF(W197&lt;=30,3,IF(W197&lt;=40,2,IF(AND(W197&gt;=40,W197&lt;=60),1,0)))+IF(X197&gt;0,1,0)+IF(V197="年初来高値更新●",3,IF(V197="高値圏",2,0))+IF(AD197="パーフェクト▲",3,IF(AD197="上昇トレンド▲",2,0))+IF(AE197="25日線押し目●",2,IF(AE197="5日線押し目○",1,0))+IF(P197="急増↑↑",2,IF(P197="増加↑",1,0))+N(AI197),0))</f>
        <v>-1</v>
      </c>
      <c r="U197" s="163" t="str">
        <f>IF(T197="","",IF(AND(T197&gt;=3,O197&gt;=1.5),"有効",IF(T197&gt;=3,"要確認","除外")))</f>
        <v>除外</v>
      </c>
      <c r="V197" s="163" t="str">
        <f>IF(AND(H197&lt;&gt;"",K197&lt;&gt;""),IF(H197&gt;=K197,"年初来高値更新●",IF(H197&gt;=K197*0.95,"高値圏","通常")),"")</f>
        <v>通常</v>
      </c>
      <c r="W197" s="169">
        <f t="array" ref="W197">IF(C197&lt;&gt;"",IFERROR(100-100/(1+SUMPRODUCT((終値!F86:R86&gt;終値!G86:S86)*( 終値!F86:R86-終値!G86:S86))/SUMPRODUCT((終値!F86:R86&lt;終値!G86:S86)*(終値!G86:S86-終値!F86:R86))),50),"")</f>
        <v>50.019334880123743</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見送り</v>
      </c>
      <c r="Z197" s="171">
        <f>IF(AND(E197&lt;&gt;"",G197&lt;&gt;"",G197&lt;&gt;0),(E197-G197)/G197*100,"")</f>
        <v>-0.9024495058014611</v>
      </c>
      <c r="AA197" s="163" t="str">
        <f>IF(OR(C197="",E197="",E197=0),"",IF(E197&gt;G197,"上昇▲",IF(E197&lt;G197,"下落▼","横ばい→")))</f>
        <v>下落▼</v>
      </c>
      <c r="AB197" s="405">
        <f>IF(C197="","",IFERROR(((終値!E199*0.333)+(終値!F199*0.222)+(終値!G199*0.148)+(終値!H199*0.099)+(終値!I199*0.066)+(終値!J199*0.044)+(終値!K199*0.029)+(終値!L199*0.019)+(終値!M199*0.013)+(終値!N199*0.009))/(0.333+0.222+0.148+0.099+0.066+0.044+0.029+0.019+0.013+0.009),""))</f>
        <v>42781.894093686344</v>
      </c>
      <c r="AC197" s="405">
        <f>IF(C197="","",IFERROR(SUMPRODUCT((終値!E199:AC199),({0.077,0.071,0.065,0.06,0.055,0.051,0.047,0.043,0.039,0.036,0.033,0.031,0.028,0.026,0.024,0.022,0.02,0.018,0.017,0.016,0.014,0.013,0.012,0.011,0.01}))/SUM({0.077,0.071,0.065,0.06,0.055,0.051,0.047,0.043,0.039,0.036,0.033,0.031,0.028,0.026,0.024,0.022,0.02,0.018,0.017,0.016,0.014,0.013,0.012,0.011,0.01}),""))</f>
        <v>42275.482717520841</v>
      </c>
      <c r="AD197" s="406" t="str">
        <f>IF(OR(C197="",AB197="",AC197=""),"",IF(AND(E197&gt;AB197,AB197&gt;AC197),"パーフェクト▲",IF(E197&gt;AC197,"上昇トレンド▲",IF(AND(E197&lt;AB197,AB197&lt;AC197),"下降トレンド▼","もみ合い→"))))</f>
        <v>もみ合い→</v>
      </c>
      <c r="AE197" s="406" t="str">
        <f>IF(OR(C197="",AB197="",AC197=""),"",IF(AND(ABS(E197-AC197)/AC197&lt;=0.02,E197&gt;AC197),"25日押し目★",IF(AND(ABS(E197-AB197)/AB197&lt;=0.01,E197&gt;AB197),"5日押し目○","なし")))</f>
        <v>なし</v>
      </c>
      <c r="AF197" s="365">
        <f t="array" ref="AF197">IF(C197="","",IFERROR((INDEX(終値!$E:$E,MATCH(TEXT(C197,"0"),終値!$A:$A,0))-INDEX(終値!$E:$CZ,MATCH(TEXT(C197,"0"),終値!$A:$A,0),$AL$2))/INDEX(終値!$E:$CZ,MATCH(TEXT(C197,"0"),終値!$A:$A,0),$AL$2)*100,""))</f>
        <v>-7.1097683786505534</v>
      </c>
      <c r="AG197" s="365">
        <f t="array" ref="AG197">IFERROR((終値!$E$5-INDEX(終値!$E$5:$IT$5,1,$AL$2))/INDEX(終値!$E$5:$IT$5,1,$AL$2)*100,"")</f>
        <v>1.0179378228534113</v>
      </c>
      <c r="AH197" s="366">
        <f>IF(OR(AF197="",AG197=""),"",AF197-AG197)</f>
        <v>-8.1277062015039654</v>
      </c>
      <c r="AI197" s="364">
        <f>IF(AH197="","",IF(AH197&gt;5,3,IF(AH197&gt;0,1,IF(AH197&gt;-3,-1,-2))))</f>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2394</v>
      </c>
      <c r="F198" s="166">
        <f>IF(C198&lt;&gt;"",_xll.RssMarket(C198,"始値"),"")</f>
        <v>2441</v>
      </c>
      <c r="G198" s="165">
        <f>IF(C198&lt;&gt;"",終値!F59,"")</f>
        <v>2456</v>
      </c>
      <c r="H198" s="166">
        <f>IF(C198&lt;&gt;"",_xll.RssMarket(C198,"高値"),"")</f>
        <v>2488</v>
      </c>
      <c r="I198" s="166">
        <f>IF(C198&lt;&gt;"",_xll.RssMarket(C198,"安値"),"")</f>
        <v>2367</v>
      </c>
      <c r="J198" s="166">
        <f>IF(C198&lt;&gt;"",_xll.RssMarket(C198,"出来高"),"")</f>
        <v>956100</v>
      </c>
      <c r="K198" s="166">
        <f>IF(C198&lt;&gt;"",_xll.RssMarket(C198,"年初来高値"),"")</f>
        <v>3275</v>
      </c>
      <c r="L198" s="167">
        <f>IF(AND(E198&lt;&gt;"",K198&lt;&gt;"",K198&lt;&gt;0),(E198-K198)/K198*100,"")</f>
        <v>-26.900763358778622</v>
      </c>
      <c r="M198" s="166">
        <f>IF(C198&lt;&gt;"",IFERROR(AVERAGE(出来高!E59:I59),""),"")</f>
        <v>1046000</v>
      </c>
      <c r="N198" s="166">
        <f>IF(C198&lt;&gt;"",IFERROR(AVERAGE(出来高!E59:AC59),""),"")</f>
        <v>780276</v>
      </c>
      <c r="O198" s="168">
        <f>IF(AND(J198&lt;&gt;"",M198&lt;&gt;"",M198&lt;&gt;0),J198/M198,"")</f>
        <v>0.9140535372848948</v>
      </c>
      <c r="P198" s="163" t="str">
        <f>IF(O198="","",IF(O198&gt;=2,"急増↑↑",IF(O198&gt;=1.5,"増加↑",IF(O198&gt;=1,"普通→","減少↓"))))</f>
        <v>減少↓</v>
      </c>
      <c r="Q198" s="163" t="str">
        <f>IF(E198="","",IF(AND(E198&gt;G198,O198&gt;=1.5),"買い▲",IF(E198&lt;G198,"様子見▼","中立→")))</f>
        <v>様子見▼</v>
      </c>
      <c r="R198" s="166">
        <f>IF(E198&lt;&gt;"",ROUND(E198*1.08,0),"")</f>
        <v>2586</v>
      </c>
      <c r="S198" s="166">
        <f>IF(E198&lt;&gt;"",ROUND(E198*0.96,0),"")</f>
        <v>2298</v>
      </c>
      <c r="T198" s="163">
        <f>IF(C198="","",IFERROR(IF(O198&gt;=2,3,IF(O198&gt;=1.5,2,IF(O198&gt;=1,1,0)))+IF(E198&gt;G198,1,0)+IF(L198&gt;=-5,1,0)+IF(Q198="買い▲",2,0)+IF(W198&lt;=30,3,IF(W198&lt;=40,2,IF(AND(W198&gt;=40,W198&lt;=60),1,0)))+IF(X198&gt;0,1,0)+IF(V198="年初来高値更新●",3,IF(V198="高値圏",2,0))+IF(AD198="パーフェクト▲",3,IF(AD198="上昇トレンド▲",2,0))+IF(AE198="25日線押し目●",2,IF(AE198="5日線押し目○",1,0))+IF(P198="急増↑↑",2,IF(P198="増加↑",1,0))+N(AI198),0))</f>
        <v>-1</v>
      </c>
      <c r="U198" s="163" t="str">
        <f>IF(T198="","",IF(AND(T198&gt;=3,O198&gt;=1.5),"有効",IF(T198&gt;=3,"要確認","除外")))</f>
        <v>除外</v>
      </c>
      <c r="V198" s="163" t="str">
        <f>IF(AND(H198&lt;&gt;"",K198&lt;&gt;""),IF(H198&gt;=K198,"年初来高値更新●",IF(H198&gt;=K198*0.95,"高値圏","通常")),"")</f>
        <v>通常</v>
      </c>
      <c r="W198" s="169">
        <f t="array" ref="W198">IF(C198&lt;&gt;"",IFERROR(100-100/(1+SUMPRODUCT((終値!F59:R59&gt;終値!G59:S59)*( 終値!F59:R59-終値!G59:S59))/SUMPRODUCT((終値!F59:R59&lt;終値!G59:S59)*(終値!G59:S59-終値!F59:R59))),50),"")</f>
        <v>41.022964509394576</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見送り</v>
      </c>
      <c r="Z198" s="171">
        <f>IF(AND(E198&lt;&gt;"",G198&lt;&gt;"",G198&lt;&gt;0),(E198-G198)/G198*100,"")</f>
        <v>-2.5244299674267103</v>
      </c>
      <c r="AA198" s="163" t="str">
        <f>IF(OR(C198="",E198="",E198=0),"",IF(E198&gt;G198,"上昇▲",IF(E198&lt;G198,"下落▼","横ばい→")))</f>
        <v>下落▼</v>
      </c>
      <c r="AB198" s="403">
        <f>IF(C198="","",IFERROR(((終値!E200*0.333)+(終値!F200*0.222)+(終値!G200*0.148)+(終値!H200*0.099)+(終値!I200*0.066)+(終値!J200*0.044)+(終値!K200*0.029)+(終値!L200*0.019)+(終値!M200*0.013)+(終値!N200*0.009))/(0.333+0.222+0.148+0.099+0.066+0.044+0.029+0.019+0.013+0.009),""))</f>
        <v>3621.9047861507133</v>
      </c>
      <c r="AC198" s="403">
        <f>IF(C198="","",IFERROR(SUMPRODUCT((終値!E200:AC200),({0.077,0.071,0.065,0.06,0.055,0.051,0.047,0.043,0.039,0.036,0.033,0.031,0.028,0.026,0.024,0.022,0.02,0.018,0.017,0.016,0.014,0.013,0.012,0.011,0.01}))/SUM({0.077,0.071,0.065,0.06,0.055,0.051,0.047,0.043,0.039,0.036,0.033,0.031,0.028,0.026,0.024,0.022,0.02,0.018,0.017,0.016,0.014,0.013,0.012,0.011,0.01}),""))</f>
        <v>3448.8641239570907</v>
      </c>
      <c r="AD198" s="404" t="str">
        <f>IF(OR(C198="",AB198="",AC198=""),"",IF(AND(E198&gt;AB198,AB198&gt;AC198),"パーフェクト▲",IF(E198&gt;AC198,"上昇トレンド▲",IF(AND(E198&lt;AB198,AB198&lt;AC198),"下降トレンド▼","もみ合い→"))))</f>
        <v>もみ合い→</v>
      </c>
      <c r="AE198" s="404" t="str">
        <f>IF(OR(C198="",AB198="",AC198=""),"",IF(AND(ABS(E198-AC198)/AC198&lt;=0.02,E198&gt;AC198),"25日押し目★",IF(AND(ABS(E198-AB198)/AB198&lt;=0.01,E198&gt;AB198),"5日押し目○","なし")))</f>
        <v>なし</v>
      </c>
      <c r="AF198" s="365">
        <f t="array" ref="AF198">IF(C198="","",IFERROR((INDEX(終値!$E:$E,MATCH(TEXT(C198,"0"),終値!$A:$A,0))-INDEX(終値!$E:$CZ,MATCH(TEXT(C198,"0"),終値!$A:$A,0),$AL$2))/INDEX(終値!$E:$CZ,MATCH(TEXT(C198,"0"),終値!$A:$A,0),$AL$2)*100,""))</f>
        <v>-16.498081618416464</v>
      </c>
      <c r="AG198" s="365">
        <f t="array" ref="AG198">IFERROR((終値!$E$5-INDEX(終値!$E$5:$IT$5,1,$AL$2))/INDEX(終値!$E$5:$IT$5,1,$AL$2)*100,"")</f>
        <v>1.0179378228534113</v>
      </c>
      <c r="AH198" s="366">
        <f>IF(OR(AF198="",AG198=""),"",AF198-AG198)</f>
        <v>-17.516019441269876</v>
      </c>
      <c r="AI198" s="364">
        <f>IF(AH198="","",IF(AH198&gt;5,3,IF(AH198&gt;0,1,IF(AH198&gt;-3,-1,-2))))</f>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5642</v>
      </c>
      <c r="F199" s="166">
        <f>IF(C199&lt;&gt;"",_xll.RssMarket(C199,"始値"),"")</f>
        <v>5815</v>
      </c>
      <c r="G199" s="165">
        <f>IF(C199&lt;&gt;"",終値!F175,"")</f>
        <v>5684</v>
      </c>
      <c r="H199" s="166">
        <f>IF(C199&lt;&gt;"",_xll.RssMarket(C199,"高値"),"")</f>
        <v>5848</v>
      </c>
      <c r="I199" s="166">
        <f>IF(C199&lt;&gt;"",_xll.RssMarket(C199,"安値"),"")</f>
        <v>5618</v>
      </c>
      <c r="J199" s="166">
        <f>IF(C199&lt;&gt;"",_xll.RssMarket(C199,"出来高"),"")</f>
        <v>1490600</v>
      </c>
      <c r="K199" s="166">
        <f>IF(C199&lt;&gt;"",_xll.RssMarket(C199,"年初来高値"),"")</f>
        <v>7460</v>
      </c>
      <c r="L199" s="167">
        <f>IF(AND(E199&lt;&gt;"",K199&lt;&gt;"",K199&lt;&gt;0),(E199-K199)/K199*100,"")</f>
        <v>-24.369973190348524</v>
      </c>
      <c r="M199" s="166">
        <f>IF(C199&lt;&gt;"",IFERROR(AVERAGE(出来高!E175:I175),""),"")</f>
        <v>2491540</v>
      </c>
      <c r="N199" s="166">
        <f>IF(C199&lt;&gt;"",IFERROR(AVERAGE(出来高!E175:AC175),""),"")</f>
        <v>1277292</v>
      </c>
      <c r="O199" s="168">
        <f>IF(AND(J199&lt;&gt;"",M199&lt;&gt;"",M199&lt;&gt;0),J199/M199,"")</f>
        <v>0.59826452715990919</v>
      </c>
      <c r="P199" s="163" t="str">
        <f>IF(O199="","",IF(O199&gt;=2,"急増↑↑",IF(O199&gt;=1.5,"増加↑",IF(O199&gt;=1,"普通→","減少↓"))))</f>
        <v>減少↓</v>
      </c>
      <c r="Q199" s="163" t="str">
        <f>IF(E199="","",IF(AND(E199&gt;G199,O199&gt;=1.5),"買い▲",IF(E199&lt;G199,"様子見▼","中立→")))</f>
        <v>様子見▼</v>
      </c>
      <c r="R199" s="166">
        <f>IF(E199&lt;&gt;"",ROUND(E199*1.08,0),"")</f>
        <v>6093</v>
      </c>
      <c r="S199" s="166">
        <f>IF(E199&lt;&gt;"",ROUND(E199*0.96,0),"")</f>
        <v>5416</v>
      </c>
      <c r="T199" s="163">
        <f>IF(C199="","",IFERROR(IF(O199&gt;=2,3,IF(O199&gt;=1.5,2,IF(O199&gt;=1,1,0)))+IF(E199&gt;G199,1,0)+IF(L199&gt;=-5,1,0)+IF(Q199="買い▲",2,0)+IF(W199&lt;=30,3,IF(W199&lt;=40,2,IF(AND(W199&gt;=40,W199&lt;=60),1,0)))+IF(X199&gt;0,1,0)+IF(V199="年初来高値更新●",3,IF(V199="高値圏",2,0))+IF(AD199="パーフェクト▲",3,IF(AD199="上昇トレンド▲",2,0))+IF(AE199="25日線押し目●",2,IF(AE199="5日線押し目○",1,0))+IF(P199="急増↑↑",2,IF(P199="増加↑",1,0))+N(AI199),0))</f>
        <v>2</v>
      </c>
      <c r="U199" s="163" t="str">
        <f>IF(T199="","",IF(AND(T199&gt;=3,O199&gt;=1.5),"有効",IF(T199&gt;=3,"要確認","除外")))</f>
        <v>除外</v>
      </c>
      <c r="V199" s="163" t="str">
        <f>IF(AND(H199&lt;&gt;"",K199&lt;&gt;""),IF(H199&gt;=K199,"年初来高値更新●",IF(H199&gt;=K199*0.95,"高値圏","通常")),"")</f>
        <v>通常</v>
      </c>
      <c r="W199" s="169">
        <f t="array" ref="W199">IF(C199&lt;&gt;"",IFERROR(100-100/(1+SUMPRODUCT((終値!F175:R175&gt;終値!G175:S175)*( 終値!F175:R175-終値!G175:S175))/SUMPRODUCT((終値!F175:R175&lt;終値!G175:S175)*(終値!G175:S175-終値!F175:R175))),50),"")</f>
        <v>32.782515991471215</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見送り</v>
      </c>
      <c r="Z199" s="171">
        <f>IF(AND(E199&lt;&gt;"",G199&lt;&gt;"",G199&lt;&gt;0),(E199-G199)/G199*100,"")</f>
        <v>-0.73891625615763545</v>
      </c>
      <c r="AA199" s="163" t="str">
        <f>IF(OR(C199="",E199="",E199=0),"",IF(E199&gt;G199,"上昇▲",IF(E199&lt;G199,"下落▼","横ばい→")))</f>
        <v>下落▼</v>
      </c>
      <c r="AB199" s="405">
        <f>IF(C199="","",IFERROR(((終値!E201*0.333)+(終値!F201*0.222)+(終値!G201*0.148)+(終値!H201*0.099)+(終値!I201*0.066)+(終値!J201*0.044)+(終値!K201*0.029)+(終値!L201*0.019)+(終値!M201*0.013)+(終値!N201*0.009))/(0.333+0.222+0.148+0.099+0.066+0.044+0.029+0.019+0.013+0.009),""))</f>
        <v>5145.7484725050899</v>
      </c>
      <c r="AC199" s="405">
        <f>IF(C199="","",IFERROR(SUMPRODUCT((終値!E201:AC201),({0.077,0.071,0.065,0.06,0.055,0.051,0.047,0.043,0.039,0.036,0.033,0.031,0.028,0.026,0.024,0.022,0.02,0.018,0.017,0.016,0.014,0.013,0.012,0.011,0.01}))/SUM({0.077,0.071,0.065,0.06,0.055,0.051,0.047,0.043,0.039,0.036,0.033,0.031,0.028,0.026,0.024,0.022,0.02,0.018,0.017,0.016,0.014,0.013,0.012,0.011,0.01}),""))</f>
        <v>5354.1668653158504</v>
      </c>
      <c r="AD199" s="406" t="str">
        <f>IF(OR(C199="",AB199="",AC199=""),"",IF(AND(E199&gt;AB199,AB199&gt;AC199),"パーフェクト▲",IF(E199&gt;AC199,"上昇トレンド▲",IF(AND(E199&lt;AB199,AB199&lt;AC199),"下降トレンド▼","もみ合い→"))))</f>
        <v>上昇トレンド▲</v>
      </c>
      <c r="AE199" s="406" t="str">
        <f>IF(OR(C199="",AB199="",AC199=""),"",IF(AND(ABS(E199-AC199)/AC199&lt;=0.02,E199&gt;AC199),"25日押し目★",IF(AND(ABS(E199-AB199)/AB199&lt;=0.01,E199&gt;AB199),"5日押し目○","なし")))</f>
        <v>なし</v>
      </c>
      <c r="AF199" s="365">
        <f t="array" ref="AF199">IF(C199="","",IFERROR((INDEX(終値!$E:$E,MATCH(TEXT(C199,"0"),終値!$A:$A,0))-INDEX(終値!$E:$CZ,MATCH(TEXT(C199,"0"),終値!$A:$A,0),$AL$2))/INDEX(終値!$E:$CZ,MATCH(TEXT(C199,"0"),終値!$A:$A,0),$AL$2)*100,""))</f>
        <v>-16.116562592922985</v>
      </c>
      <c r="AG199" s="365">
        <f t="array" ref="AG199">IFERROR((終値!$E$5-INDEX(終値!$E$5:$IT$5,1,$AL$2))/INDEX(終値!$E$5:$IT$5,1,$AL$2)*100,"")</f>
        <v>1.0179378228534113</v>
      </c>
      <c r="AH199" s="366">
        <f>IF(OR(AF199="",AG199=""),"",AF199-AG199)</f>
        <v>-17.134500415776397</v>
      </c>
      <c r="AI199" s="364">
        <f>IF(AH199="","",IF(AH199&gt;5,3,IF(AH199&gt;0,1,IF(AH199&gt;-3,-1,-2))))</f>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2508</v>
      </c>
      <c r="F200" s="166">
        <f>IF(C200&lt;&gt;"",_xll.RssMarket(C200,"始値"),"")</f>
        <v>2506</v>
      </c>
      <c r="G200" s="165">
        <f>IF(C200&lt;&gt;"",終値!F176,"")</f>
        <v>2504</v>
      </c>
      <c r="H200" s="166">
        <f>IF(C200&lt;&gt;"",_xll.RssMarket(C200,"高値"),"")</f>
        <v>2585</v>
      </c>
      <c r="I200" s="166">
        <f>IF(C200&lt;&gt;"",_xll.RssMarket(C200,"安値"),"")</f>
        <v>2475</v>
      </c>
      <c r="J200" s="166">
        <f>IF(C200&lt;&gt;"",_xll.RssMarket(C200,"出来高"),"")</f>
        <v>240800</v>
      </c>
      <c r="K200" s="166">
        <f>IF(C200&lt;&gt;"",_xll.RssMarket(C200,"年初来高値"),"")</f>
        <v>3245</v>
      </c>
      <c r="L200" s="167">
        <f>IF(AND(E200&lt;&gt;"",K200&lt;&gt;"",K200&lt;&gt;0),(E200-K200)/K200*100,"")</f>
        <v>-22.711864406779661</v>
      </c>
      <c r="M200" s="166">
        <f>IF(C200&lt;&gt;"",IFERROR(AVERAGE(出来高!E176:I176),""),"")</f>
        <v>143400</v>
      </c>
      <c r="N200" s="166">
        <f>IF(C200&lt;&gt;"",IFERROR(AVERAGE(出来高!E176:AC176),""),"")</f>
        <v>93760</v>
      </c>
      <c r="O200" s="168">
        <f>IF(AND(J200&lt;&gt;"",M200&lt;&gt;"",M200&lt;&gt;0),J200/M200,"")</f>
        <v>1.6792189679218967</v>
      </c>
      <c r="P200" s="163" t="str">
        <f>IF(O200="","",IF(O200&gt;=2,"急増↑↑",IF(O200&gt;=1.5,"増加↑",IF(O200&gt;=1,"普通→","減少↓"))))</f>
        <v>増加↑</v>
      </c>
      <c r="Q200" s="163" t="str">
        <f>IF(E200="","",IF(AND(E200&gt;G200,O200&gt;=1.5),"買い▲",IF(E200&lt;G200,"様子見▼","中立→")))</f>
        <v>買い▲</v>
      </c>
      <c r="R200" s="166">
        <f>IF(E200&lt;&gt;"",ROUND(E200*1.08,0),"")</f>
        <v>2709</v>
      </c>
      <c r="S200" s="166">
        <f>IF(E200&lt;&gt;"",ROUND(E200*0.96,0),"")</f>
        <v>2408</v>
      </c>
      <c r="T200" s="163">
        <f>IF(C200="","",IFERROR(IF(O200&gt;=2,3,IF(O200&gt;=1.5,2,IF(O200&gt;=1,1,0)))+IF(E200&gt;G200,1,0)+IF(L200&gt;=-5,1,0)+IF(Q200="買い▲",2,0)+IF(W200&lt;=30,3,IF(W200&lt;=40,2,IF(AND(W200&gt;=40,W200&lt;=60),1,0)))+IF(X200&gt;0,1,0)+IF(V200="年初来高値更新●",3,IF(V200="高値圏",2,0))+IF(AD200="パーフェクト▲",3,IF(AD200="上昇トレンド▲",2,0))+IF(AE200="25日線押し目●",2,IF(AE200="5日線押し目○",1,0))+IF(P200="急増↑↑",2,IF(P200="増加↑",1,0))+N(AI200),0))</f>
        <v>5</v>
      </c>
      <c r="U200" s="163" t="str">
        <f>IF(T200="","",IF(AND(T200&gt;=3,O200&gt;=1.5),"有効",IF(T200&gt;=3,"要確認","除外")))</f>
        <v>有効</v>
      </c>
      <c r="V200" s="163" t="str">
        <f>IF(AND(H200&lt;&gt;"",K200&lt;&gt;""),IF(H200&gt;=K200,"年初来高値更新●",IF(H200&gt;=K200*0.95,"高値圏","通常")),"")</f>
        <v>通常</v>
      </c>
      <c r="W200" s="169">
        <f t="array" ref="W200">IF(C200&lt;&gt;"",IFERROR(100-100/(1+SUMPRODUCT((終値!F176:R176&gt;終値!G176:S176)*( 終値!F176:R176-終値!G176:S176))/SUMPRODUCT((終値!F176:R176&lt;終値!G176:S176)*(終値!G176:S176-終値!F176:R176))),50),"")</f>
        <v>41.92307692307692</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様子見</v>
      </c>
      <c r="Z200" s="171">
        <f>IF(AND(E200&lt;&gt;"",G200&lt;&gt;"",G200&lt;&gt;0),(E200-G200)/G200*100,"")</f>
        <v>0.15974440894568689</v>
      </c>
      <c r="AA200" s="163" t="str">
        <f>IF(OR(C200="",E200="",E200=0),"",IF(E200&gt;G200,"上昇▲",IF(E200&lt;G200,"下落▼","横ばい→")))</f>
        <v>上昇▲</v>
      </c>
      <c r="AB200" s="403">
        <f>IF(C200="","",IFERROR(((終値!E202*0.333)+(終値!F202*0.222)+(終値!G202*0.148)+(終値!H202*0.099)+(終値!I202*0.066)+(終値!J202*0.044)+(終値!K202*0.029)+(終値!L202*0.019)+(終値!M202*0.013)+(終値!N202*0.009))/(0.333+0.222+0.148+0.099+0.066+0.044+0.029+0.019+0.013+0.009),""))</f>
        <v>5392.4989816700599</v>
      </c>
      <c r="AC200" s="403">
        <f>IF(C200="","",IFERROR(SUMPRODUCT((終値!E202:AC202),({0.077,0.071,0.065,0.06,0.055,0.051,0.047,0.043,0.039,0.036,0.033,0.031,0.028,0.026,0.024,0.022,0.02,0.018,0.017,0.016,0.014,0.013,0.012,0.011,0.01}))/SUM({0.077,0.071,0.065,0.06,0.055,0.051,0.047,0.043,0.039,0.036,0.033,0.031,0.028,0.026,0.024,0.022,0.02,0.018,0.017,0.016,0.014,0.013,0.012,0.011,0.01}),""))</f>
        <v>5315.7115613825963</v>
      </c>
      <c r="AD200" s="404" t="str">
        <f>IF(OR(C200="",AB200="",AC200=""),"",IF(AND(E200&gt;AB200,AB200&gt;AC200),"パーフェクト▲",IF(E200&gt;AC200,"上昇トレンド▲",IF(AND(E200&lt;AB200,AB200&lt;AC200),"下降トレンド▼","もみ合い→"))))</f>
        <v>もみ合い→</v>
      </c>
      <c r="AE200" s="404" t="str">
        <f>IF(OR(C200="",AB200="",AC200=""),"",IF(AND(ABS(E200-AC200)/AC200&lt;=0.02,E200&gt;AC200),"25日押し目★",IF(AND(ABS(E200-AB200)/AB200&lt;=0.01,E200&gt;AB200),"5日押し目○","なし")))</f>
        <v>なし</v>
      </c>
      <c r="AF200" s="365">
        <f t="array" ref="AF200">IF(C200="","",IFERROR((INDEX(終値!$E:$E,MATCH(TEXT(C200,"0"),終値!$A:$A,0))-INDEX(終値!$E:$CZ,MATCH(TEXT(C200,"0"),終値!$A:$A,0),$AL$2))/INDEX(終値!$E:$CZ,MATCH(TEXT(C200,"0"),終値!$A:$A,0),$AL$2)*100,""))</f>
        <v>-5.9970014992503744</v>
      </c>
      <c r="AG200" s="365">
        <f t="array" ref="AG200">IFERROR((終値!$E$5-INDEX(終値!$E$5:$IT$5,1,$AL$2))/INDEX(終値!$E$5:$IT$5,1,$AL$2)*100,"")</f>
        <v>1.0179378228534113</v>
      </c>
      <c r="AH200" s="366">
        <f>IF(OR(AF200="",AG200=""),"",AF200-AG200)</f>
        <v>-7.0149393221037855</v>
      </c>
      <c r="AI200" s="364">
        <f>IF(AH200="","",IF(AH200&gt;5,3,IF(AH200&gt;0,1,IF(AH200&gt;-3,-1,-2))))</f>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1521</v>
      </c>
      <c r="F201" s="166">
        <f>IF(C201&lt;&gt;"",_xll.RssMarket(C201,"始値"),"")</f>
        <v>1530</v>
      </c>
      <c r="G201" s="165">
        <f>IF(C201&lt;&gt;"",終値!F163,"")</f>
        <v>1530</v>
      </c>
      <c r="H201" s="166">
        <f>IF(C201&lt;&gt;"",_xll.RssMarket(C201,"高値"),"")</f>
        <v>1550</v>
      </c>
      <c r="I201" s="166">
        <f>IF(C201&lt;&gt;"",_xll.RssMarket(C201,"安値"),"")</f>
        <v>1506</v>
      </c>
      <c r="J201" s="166">
        <f>IF(C201&lt;&gt;"",_xll.RssMarket(C201,"出来高"),"")</f>
        <v>59900</v>
      </c>
      <c r="K201" s="166">
        <f>IF(C201&lt;&gt;"",_xll.RssMarket(C201,"年初来高値"),"")</f>
        <v>1821</v>
      </c>
      <c r="L201" s="167">
        <f>IF(AND(E201&lt;&gt;"",K201&lt;&gt;"",K201&lt;&gt;0),(E201-K201)/K201*100,"")</f>
        <v>-16.474464579901152</v>
      </c>
      <c r="M201" s="166">
        <f>IF(C201&lt;&gt;"",IFERROR(AVERAGE(出来高!E163:I163),""),"")</f>
        <v>98880</v>
      </c>
      <c r="N201" s="166">
        <f>IF(C201&lt;&gt;"",IFERROR(AVERAGE(出来高!E163:AC163),""),"")</f>
        <v>111920</v>
      </c>
      <c r="O201" s="168">
        <f>IF(AND(J201&lt;&gt;"",M201&lt;&gt;"",M201&lt;&gt;0),J201/M201,"")</f>
        <v>0.60578478964401294</v>
      </c>
      <c r="P201" s="163" t="str">
        <f>IF(O201="","",IF(O201&gt;=2,"急増↑↑",IF(O201&gt;=1.5,"増加↑",IF(O201&gt;=1,"普通→","減少↓"))))</f>
        <v>減少↓</v>
      </c>
      <c r="Q201" s="163" t="str">
        <f>IF(E201="","",IF(AND(E201&gt;G201,O201&gt;=1.5),"買い▲",IF(E201&lt;G201,"様子見▼","中立→")))</f>
        <v>様子見▼</v>
      </c>
      <c r="R201" s="166">
        <f>IF(E201&lt;&gt;"",ROUND(E201*1.08,0),"")</f>
        <v>1643</v>
      </c>
      <c r="S201" s="166">
        <f>IF(E201&lt;&gt;"",ROUND(E201*0.96,0),"")</f>
        <v>1460</v>
      </c>
      <c r="T201" s="163">
        <f>IF(C201="","",IFERROR(IF(O201&gt;=2,3,IF(O201&gt;=1.5,2,IF(O201&gt;=1,1,0)))+IF(E201&gt;G201,1,0)+IF(L201&gt;=-5,1,0)+IF(Q201="買い▲",2,0)+IF(W201&lt;=30,3,IF(W201&lt;=40,2,IF(AND(W201&gt;=40,W201&lt;=60),1,0)))+IF(X201&gt;0,1,0)+IF(V201="年初来高値更新●",3,IF(V201="高値圏",2,0))+IF(AD201="パーフェクト▲",3,IF(AD201="上昇トレンド▲",2,0))+IF(AE201="25日線押し目●",2,IF(AE201="5日線押し目○",1,0))+IF(P201="急増↑↑",2,IF(P201="増加↑",1,0))+N(AI201),0))</f>
        <v>0</v>
      </c>
      <c r="U201" s="163" t="str">
        <f>IF(T201="","",IF(AND(T201&gt;=3,O201&gt;=1.5),"有効",IF(T201&gt;=3,"要確認","除外")))</f>
        <v>除外</v>
      </c>
      <c r="V201" s="163" t="str">
        <f>IF(AND(H201&lt;&gt;"",K201&lt;&gt;""),IF(H201&gt;=K201,"年初来高値更新●",IF(H201&gt;=K201*0.95,"高値圏","通常")),"")</f>
        <v>通常</v>
      </c>
      <c r="W201" s="169">
        <f t="array" ref="W201">IF(C201&lt;&gt;"",IFERROR(100-100/(1+SUMPRODUCT((終値!F163:R163&gt;終値!G163:S163)*( 終値!F163:R163-終値!G163:S163))/SUMPRODUCT((終値!F163:R163&lt;終値!G163:S163)*(終値!G163:S163-終値!F163:R163))),50),"")</f>
        <v>39.340101522842637</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見送り</v>
      </c>
      <c r="Z201" s="171">
        <f>IF(AND(E201&lt;&gt;"",G201&lt;&gt;"",G201&lt;&gt;0),(E201-G201)/G201*100,"")</f>
        <v>-0.58823529411764708</v>
      </c>
      <c r="AA201" s="163" t="str">
        <f>IF(OR(C201="",E201="",E201=0),"",IF(E201&gt;G201,"上昇▲",IF(E201&lt;G201,"下落▼","横ばい→")))</f>
        <v>下落▼</v>
      </c>
      <c r="AB201" s="405">
        <f>IF(C201="","",IFERROR(((終値!E203*0.333)+(終値!F203*0.222)+(終値!G203*0.148)+(終値!H203*0.099)+(終値!I203*0.066)+(終値!J203*0.044)+(終値!K203*0.029)+(終値!L203*0.019)+(終値!M203*0.013)+(終値!N203*0.009))/(0.333+0.222+0.148+0.099+0.066+0.044+0.029+0.019+0.013+0.009),""))</f>
        <v>5487.3951120162928</v>
      </c>
      <c r="AC201" s="405">
        <f>IF(C201="","",IFERROR(SUMPRODUCT((終値!E203:AC203),({0.077,0.071,0.065,0.06,0.055,0.051,0.047,0.043,0.039,0.036,0.033,0.031,0.028,0.026,0.024,0.022,0.02,0.018,0.017,0.016,0.014,0.013,0.012,0.011,0.01}))/SUM({0.077,0.071,0.065,0.06,0.055,0.051,0.047,0.043,0.039,0.036,0.033,0.031,0.028,0.026,0.024,0.022,0.02,0.018,0.017,0.016,0.014,0.013,0.012,0.011,0.01}),""))</f>
        <v>5400.4672228843847</v>
      </c>
      <c r="AD201" s="406" t="str">
        <f>IF(OR(C201="",AB201="",AC201=""),"",IF(AND(E201&gt;AB201,AB201&gt;AC201),"パーフェクト▲",IF(E201&gt;AC201,"上昇トレンド▲",IF(AND(E201&lt;AB201,AB201&lt;AC201),"下降トレンド▼","もみ合い→"))))</f>
        <v>もみ合い→</v>
      </c>
      <c r="AE201" s="406" t="str">
        <f>IF(OR(C201="",AB201="",AC201=""),"",IF(AND(ABS(E201-AC201)/AC201&lt;=0.02,E201&gt;AC201),"25日押し目★",IF(AND(ABS(E201-AB201)/AB201&lt;=0.01,E201&gt;AB201),"5日押し目○","なし")))</f>
        <v>なし</v>
      </c>
      <c r="AF201" s="365">
        <f t="array" ref="AF201">IF(C201="","",IFERROR((INDEX(終値!$E:$E,MATCH(TEXT(C201,"0"),終値!$A:$A,0))-INDEX(終値!$E:$CZ,MATCH(TEXT(C201,"0"),終値!$A:$A,0),$AL$2))/INDEX(終値!$E:$CZ,MATCH(TEXT(C201,"0"),終値!$A:$A,0),$AL$2)*100,""))</f>
        <v>-9.3563766388557799</v>
      </c>
      <c r="AG201" s="365">
        <f t="array" ref="AG201">IFERROR((終値!$E$5-INDEX(終値!$E$5:$IT$5,1,$AL$2))/INDEX(終値!$E$5:$IT$5,1,$AL$2)*100,"")</f>
        <v>1.0179378228534113</v>
      </c>
      <c r="AH201" s="366">
        <f>IF(OR(AF201="",AG201=""),"",AF201-AG201)</f>
        <v>-10.374314461709192</v>
      </c>
      <c r="AI201" s="364">
        <f>IF(AH201="","",IF(AH201&gt;5,3,IF(AH201&gt;0,1,IF(AH201&gt;-3,-1,-2))))</f>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4588</v>
      </c>
      <c r="F202" s="166">
        <f>IF(C202&lt;&gt;"",_xll.RssMarket(C202,"始値"),"")</f>
        <v>4533</v>
      </c>
      <c r="G202" s="165">
        <f>IF(C202&lt;&gt;"",終値!F83,"")</f>
        <v>4513</v>
      </c>
      <c r="H202" s="166">
        <f>IF(C202&lt;&gt;"",_xll.RssMarket(C202,"高値"),"")</f>
        <v>4607</v>
      </c>
      <c r="I202" s="166">
        <f>IF(C202&lt;&gt;"",_xll.RssMarket(C202,"安値"),"")</f>
        <v>4517</v>
      </c>
      <c r="J202" s="166">
        <f>IF(C202&lt;&gt;"",_xll.RssMarket(C202,"出来高"),"")</f>
        <v>2432300</v>
      </c>
      <c r="K202" s="166">
        <f>IF(C202&lt;&gt;"",_xll.RssMarket(C202,"年初来高値"),"")</f>
        <v>5805</v>
      </c>
      <c r="L202" s="167">
        <f>IF(AND(E202&lt;&gt;"",K202&lt;&gt;"",K202&lt;&gt;0),(E202-K202)/K202*100,"")</f>
        <v>-20.964685615848406</v>
      </c>
      <c r="M202" s="166">
        <f>IF(C202&lt;&gt;"",IFERROR(AVERAGE(出来高!E83:I83),""),"")</f>
        <v>2335540</v>
      </c>
      <c r="N202" s="166">
        <f>IF(C202&lt;&gt;"",IFERROR(AVERAGE(出来高!E83:AC83),""),"")</f>
        <v>2091572</v>
      </c>
      <c r="O202" s="168">
        <f>IF(AND(J202&lt;&gt;"",M202&lt;&gt;"",M202&lt;&gt;0),J202/M202,"")</f>
        <v>1.0414293910615959</v>
      </c>
      <c r="P202" s="163" t="str">
        <f>IF(O202="","",IF(O202&gt;=2,"急増↑↑",IF(O202&gt;=1.5,"増加↑",IF(O202&gt;=1,"普通→","減少↓"))))</f>
        <v>普通→</v>
      </c>
      <c r="Q202" s="163" t="str">
        <f>IF(E202="","",IF(AND(E202&gt;G202,O202&gt;=1.5),"買い▲",IF(E202&lt;G202,"様子見▼","中立→")))</f>
        <v>中立→</v>
      </c>
      <c r="R202" s="166">
        <f>IF(E202&lt;&gt;"",ROUND(E202*1.08,0),"")</f>
        <v>4955</v>
      </c>
      <c r="S202" s="166">
        <f>IF(E202&lt;&gt;"",ROUND(E202*0.96,0),"")</f>
        <v>4404</v>
      </c>
      <c r="T202" s="163">
        <f>IF(C202="","",IFERROR(IF(O202&gt;=2,3,IF(O202&gt;=1.5,2,IF(O202&gt;=1,1,0)))+IF(E202&gt;G202,1,0)+IF(L202&gt;=-5,1,0)+IF(Q202="買い▲",2,0)+IF(W202&lt;=30,3,IF(W202&lt;=40,2,IF(AND(W202&gt;=40,W202&lt;=60),1,0)))+IF(X202&gt;0,1,0)+IF(V202="年初来高値更新●",3,IF(V202="高値圏",2,0))+IF(AD202="パーフェクト▲",3,IF(AD202="上昇トレンド▲",2,0))+IF(AE202="25日線押し目●",2,IF(AE202="5日線押し目○",1,0))+IF(P202="急増↑↑",2,IF(P202="増加↑",1,0))+N(AI202),0))</f>
        <v>5</v>
      </c>
      <c r="U202" s="163" t="str">
        <f>IF(T202="","",IF(AND(T202&gt;=3,O202&gt;=1.5),"有効",IF(T202&gt;=3,"要確認","除外")))</f>
        <v>要確認</v>
      </c>
      <c r="V202" s="163" t="str">
        <f>IF(AND(H202&lt;&gt;"",K202&lt;&gt;""),IF(H202&gt;=K202,"年初来高値更新●",IF(H202&gt;=K202*0.95,"高値圏","通常")),"")</f>
        <v>通常</v>
      </c>
      <c r="W202" s="169">
        <f t="array" ref="W202">IF(C202&lt;&gt;"",IFERROR(100-100/(1+SUMPRODUCT((終値!F83:R83&gt;終値!G83:S83)*( 終値!F83:R83-終値!G83:S83))/SUMPRODUCT((終値!F83:R83&lt;終値!G83:S83)*(終値!G83:S83-終値!F83:R83))),50),"")</f>
        <v>45.095828635851184</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様子見</v>
      </c>
      <c r="Z202" s="171">
        <f>IF(AND(E202&lt;&gt;"",G202&lt;&gt;"",G202&lt;&gt;0),(E202-G202)/G202*100,"")</f>
        <v>1.661865721249723</v>
      </c>
      <c r="AA202" s="163" t="str">
        <f>IF(OR(C202="",E202="",E202=0),"",IF(E202&gt;G202,"上昇▲",IF(E202&lt;G202,"下落▼","横ばい→")))</f>
        <v>上昇▲</v>
      </c>
      <c r="AB202" s="403">
        <f>IF(C202="","",IFERROR(((終値!E204*0.333)+(終値!F204*0.222)+(終値!G204*0.148)+(終値!H204*0.099)+(終値!I204*0.066)+(終値!J204*0.044)+(終値!K204*0.029)+(終値!L204*0.019)+(終値!M204*0.013)+(終値!N204*0.009))/(0.333+0.222+0.148+0.099+0.066+0.044+0.029+0.019+0.013+0.009),""))</f>
        <v>7078.5621181262713</v>
      </c>
      <c r="AC202" s="403">
        <f>IF(C202="","",IFERROR(SUMPRODUCT((終値!E204:AC204),({0.077,0.071,0.065,0.06,0.055,0.051,0.047,0.043,0.039,0.036,0.033,0.031,0.028,0.026,0.024,0.022,0.02,0.018,0.017,0.016,0.014,0.013,0.012,0.011,0.01}))/SUM({0.077,0.071,0.065,0.06,0.055,0.051,0.047,0.043,0.039,0.036,0.033,0.031,0.028,0.026,0.024,0.022,0.02,0.018,0.017,0.016,0.014,0.013,0.012,0.011,0.01}),""))</f>
        <v>6623.021454112034</v>
      </c>
      <c r="AD202" s="404" t="str">
        <f>IF(OR(C202="",AB202="",AC202=""),"",IF(AND(E202&gt;AB202,AB202&gt;AC202),"パーフェクト▲",IF(E202&gt;AC202,"上昇トレンド▲",IF(AND(E202&lt;AB202,AB202&lt;AC202),"下降トレンド▼","もみ合い→"))))</f>
        <v>もみ合い→</v>
      </c>
      <c r="AE202" s="404" t="str">
        <f>IF(OR(C202="",AB202="",AC202=""),"",IF(AND(ABS(E202-AC202)/AC202&lt;=0.02,E202&gt;AC202),"25日押し目★",IF(AND(ABS(E202-AB202)/AB202&lt;=0.01,E202&gt;AB202),"5日押し目○","なし")))</f>
        <v>なし</v>
      </c>
      <c r="AF202" s="365">
        <f t="array" ref="AF202">IF(C202="","",IFERROR((INDEX(終値!$E:$E,MATCH(TEXT(C202,"0"),終値!$A:$A,0))-INDEX(終値!$E:$CZ,MATCH(TEXT(C202,"0"),終値!$A:$A,0),$AL$2))/INDEX(終値!$E:$CZ,MATCH(TEXT(C202,"0"),終値!$A:$A,0),$AL$2)*100,""))</f>
        <v>4.4864495559098154</v>
      </c>
      <c r="AG202" s="365">
        <f t="array" ref="AG202">IFERROR((終値!$E$5-INDEX(終値!$E$5:$IT$5,1,$AL$2))/INDEX(終値!$E$5:$IT$5,1,$AL$2)*100,"")</f>
        <v>1.0179378228534113</v>
      </c>
      <c r="AH202" s="366">
        <f>IF(OR(AF202="",AG202=""),"",AF202-AG202)</f>
        <v>3.4685117330564044</v>
      </c>
      <c r="AI202" s="364">
        <f>IF(AH202="","",IF(AH202&gt;5,3,IF(AH202&gt;0,1,IF(AH202&gt;-3,-1,-2))))</f>
        <v>1</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5750</v>
      </c>
      <c r="G203" s="165">
        <f>IF(C203&lt;&gt;"",終値!F80,"")</f>
        <v>5740</v>
      </c>
      <c r="H203" s="166">
        <f>IF(C203&lt;&gt;"",_xll.RssMarket(C203,"高値"),"")</f>
        <v>5830</v>
      </c>
      <c r="I203" s="166">
        <f>IF(C203&lt;&gt;"",_xll.RssMarket(C203,"安値"),"")</f>
        <v>5720</v>
      </c>
      <c r="J203" s="166">
        <f>IF(C203&lt;&gt;"",_xll.RssMarket(C203,"出来高"),"")</f>
        <v>121400</v>
      </c>
      <c r="K203" s="166">
        <f>IF(C203&lt;&gt;"",_xll.RssMarket(C203,"年初来高値"),"")</f>
        <v>7490</v>
      </c>
      <c r="L203" s="167">
        <f>IF(AND(E203&lt;&gt;"",K203&lt;&gt;"",K203&lt;&gt;0),(E203-K203)/K203*100,"")</f>
        <v>-22.696929238985312</v>
      </c>
      <c r="M203" s="166">
        <f>IF(C203&lt;&gt;"",IFERROR(AVERAGE(出来高!E80:I80),""),"")</f>
        <v>101400</v>
      </c>
      <c r="N203" s="166">
        <f>IF(C203&lt;&gt;"",IFERROR(AVERAGE(出来高!E80:AC80),""),"")</f>
        <v>103262.5</v>
      </c>
      <c r="O203" s="168">
        <f>IF(AND(J203&lt;&gt;"",M203&lt;&gt;"",M203&lt;&gt;0),J203/M203,"")</f>
        <v>1.1972386587771202</v>
      </c>
      <c r="P203" s="163" t="str">
        <f>IF(O203="","",IF(O203&gt;=2,"急増↑↑",IF(O203&gt;=1.5,"増加↑",IF(O203&gt;=1,"普通→","減少↓"))))</f>
        <v>普通→</v>
      </c>
      <c r="Q203" s="163" t="str">
        <f>IF(E203="","",IF(AND(E203&gt;G203,O203&gt;=1.5),"買い▲",IF(E203&lt;G203,"様子見▼","中立→")))</f>
        <v>中立→</v>
      </c>
      <c r="R203" s="166">
        <f>IF(E203&lt;&gt;"",ROUND(E203*1.08,0),"")</f>
        <v>6253</v>
      </c>
      <c r="S203" s="166">
        <f>IF(E203&lt;&gt;"",ROUND(E203*0.96,0),"")</f>
        <v>5558</v>
      </c>
      <c r="T203" s="163">
        <f>IF(C203="","",IFERROR(IF(O203&gt;=2,3,IF(O203&gt;=1.5,2,IF(O203&gt;=1,1,0)))+IF(E203&gt;G203,1,0)+IF(L203&gt;=-5,1,0)+IF(Q203="買い▲",2,0)+IF(W203&lt;=30,3,IF(W203&lt;=40,2,IF(AND(W203&gt;=40,W203&lt;=60),1,0)))+IF(X203&gt;0,1,0)+IF(V203="年初来高値更新●",3,IF(V203="高値圏",2,0))+IF(AD203="パーフェクト▲",3,IF(AD203="上昇トレンド▲",2,0))+IF(AE203="25日線押し目●",2,IF(AE203="5日線押し目○",1,0))+IF(P203="急増↑↑",2,IF(P203="増加↑",1,0))+N(AI203),0))</f>
        <v>4</v>
      </c>
      <c r="U203" s="163" t="str">
        <f>IF(T203="","",IF(AND(T203&gt;=3,O203&gt;=1.5),"有効",IF(T203&gt;=3,"要確認","除外")))</f>
        <v>要確認</v>
      </c>
      <c r="V203" s="163" t="str">
        <f>IF(AND(H203&lt;&gt;"",K203&lt;&gt;""),IF(H203&gt;=K203,"年初来高値更新●",IF(H203&gt;=K203*0.95,"高値圏","通常")),"")</f>
        <v>通常</v>
      </c>
      <c r="W203" s="169">
        <f t="array" ref="W203">IF(C203&lt;&gt;"",IFERROR(100-100/(1+SUMPRODUCT((終値!F80:R80&gt;終値!G80:S80)*( 終値!F80:R80-終値!G80:S80))/SUMPRODUCT((終値!F80:R80&lt;終値!G80:S80)*(終値!G80:S80-終値!F80:R80))),50),"")</f>
        <v>50.251677852348998</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様子見</v>
      </c>
      <c r="Z203" s="171">
        <f>IF(AND(E203&lt;&gt;"",G203&lt;&gt;"",G203&lt;&gt;0),(E203-G203)/G203*100,"")</f>
        <v>0.87108013937282225</v>
      </c>
      <c r="AA203" s="163" t="str">
        <f>IF(OR(C203="",E203="",E203=0),"",IF(E203&gt;G203,"上昇▲",IF(E203&lt;G203,"下落▼","横ばい→")))</f>
        <v>上昇▲</v>
      </c>
      <c r="AB203" s="172">
        <f>IF(OR(C203="",C203="TOPX",終値!E115=""),"",IFERROR(((終値!E115*0.333)+(終値!F115*0.222)+(終値!G115*0.148)+(終値!H115*0.099)+(終値!I115*0.066))/(0.333+0.222+0.148+0.099+0.066),""))</f>
        <v>6015.0023041474642</v>
      </c>
      <c r="AC203" s="172">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173" t="str">
        <f>IF(OR(C203="",AB203="",AC203="",AB203=0,AC203=0),"",IF(AND(E203&gt;AB203,AB203&gt;AC203),"パーフェクト▲",IF(E203&gt;AC203,"上昇トレンド▲",IF(AND(E203&lt;AB203,AB203&lt;AC203),"下降トレンド▼","もみ合い→"))))</f>
        <v>下降トレンド▼</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2.6595744680851063</v>
      </c>
      <c r="AG203" s="365">
        <f t="array" ref="AG203">IFERROR((終値!$E$5-INDEX(終値!$E$5:$IT$5,1,$AL$2))/INDEX(終値!$E$5:$IT$5,1,$AL$2)*100,"")</f>
        <v>1.0179378228534113</v>
      </c>
      <c r="AH203" s="366">
        <f>IF(OR(AF203="",AG203=""),"",AF203-AG203)</f>
        <v>1.6416366452316951</v>
      </c>
      <c r="AI203" s="364">
        <f>IF(AH203="","",IF(AH203&gt;5,3,IF(AH203&gt;0,1,IF(AH203&gt;-3,-1,-2))))</f>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5135</v>
      </c>
      <c r="F204" s="166">
        <f>IF(C204&lt;&gt;"",_xll.RssMarket(C204,"始値"),"")</f>
        <v>5170</v>
      </c>
      <c r="G204" s="165">
        <f>IF(C204&lt;&gt;"",終値!F208,"")</f>
        <v>5252</v>
      </c>
      <c r="H204" s="166">
        <f>IF(C204&lt;&gt;"",_xll.RssMarket(C204,"高値"),"")</f>
        <v>5315</v>
      </c>
      <c r="I204" s="166">
        <f>IF(C204&lt;&gt;"",_xll.RssMarket(C204,"安値"),"")</f>
        <v>5129</v>
      </c>
      <c r="J204" s="166">
        <f>IF(C204&lt;&gt;"",_xll.RssMarket(C204,"出来高"),"")</f>
        <v>2747900</v>
      </c>
      <c r="K204" s="166">
        <f>IF(C204&lt;&gt;"",_xll.RssMarket(C204,"年初来高値"),"")</f>
        <v>8040</v>
      </c>
      <c r="L204" s="167">
        <f>IF(AND(E204&lt;&gt;"",K204&lt;&gt;"",K204&lt;&gt;0),(E204-K204)/K204*100,"")</f>
        <v>-36.131840796019901</v>
      </c>
      <c r="M204" s="166">
        <f>IF(C204&lt;&gt;"",IFERROR(AVERAGE(出来高!E208:I208),""),"")</f>
        <v>2339240</v>
      </c>
      <c r="N204" s="166">
        <f>IF(C204&lt;&gt;"",IFERROR(AVERAGE(出来高!E208:AC208),""),"")</f>
        <v>1761128</v>
      </c>
      <c r="O204" s="168">
        <f>IF(AND(J204&lt;&gt;"",M204&lt;&gt;"",M204&lt;&gt;0),J204/M204,"")</f>
        <v>1.1746977650860964</v>
      </c>
      <c r="P204" s="163" t="str">
        <f>IF(O204="","",IF(O204&gt;=2,"急増↑↑",IF(O204&gt;=1.5,"増加↑",IF(O204&gt;=1,"普通→","減少↓"))))</f>
        <v>普通→</v>
      </c>
      <c r="Q204" s="163" t="str">
        <f>IF(E204="","",IF(AND(E204&gt;G204,O204&gt;=1.5),"買い▲",IF(E204&lt;G204,"様子見▼","中立→")))</f>
        <v>様子見▼</v>
      </c>
      <c r="R204" s="166">
        <f>IF(E204&lt;&gt;"",ROUND(E204*1.08,0),"")</f>
        <v>5546</v>
      </c>
      <c r="S204" s="166">
        <f>IF(E204&lt;&gt;"",ROUND(E204*0.96,0),"")</f>
        <v>4930</v>
      </c>
      <c r="T204" s="163">
        <f>IF(C204="","",IFERROR(IF(O204&gt;=2,3,IF(O204&gt;=1.5,2,IF(O204&gt;=1,1,0)))+IF(E204&gt;G204,1,0)+IF(L204&gt;=-5,1,0)+IF(Q204="買い▲",2,0)+IF(W204&lt;=30,3,IF(W204&lt;=40,2,IF(AND(W204&gt;=40,W204&lt;=60),1,0)))+IF(X204&gt;0,1,0)+IF(V204="年初来高値更新●",3,IF(V204="高値圏",2,0))+IF(AD204="パーフェクト▲",3,IF(AD204="上昇トレンド▲",2,0))+IF(AE204="25日線押し目●",2,IF(AE204="5日線押し目○",1,0))+IF(P204="急増↑↑",2,IF(P204="増加↑",1,0))+N(AI204),0))</f>
        <v>5</v>
      </c>
      <c r="U204" s="163" t="str">
        <f>IF(T204="","",IF(AND(T204&gt;=3,O204&gt;=1.5),"有効",IF(T204&gt;=3,"要確認","除外")))</f>
        <v>要確認</v>
      </c>
      <c r="V204" s="163" t="str">
        <f>IF(AND(H204&lt;&gt;"",K204&lt;&gt;""),IF(H204&gt;=K204,"年初来高値更新●",IF(H204&gt;=K204*0.95,"高値圏","通常")),"")</f>
        <v>通常</v>
      </c>
      <c r="W204" s="169">
        <f t="array" ref="W204">IF(C204&lt;&gt;"",IFERROR(100-100/(1+SUMPRODUCT((終値!F208:R208&gt;終値!G208:S208)*( 終値!F208:R208-終値!G208:S208))/SUMPRODUCT((終値!F208:R208&lt;終値!G208:S208)*(終値!G208:S208-終値!F208:R208))),50),"")</f>
        <v>26.826826826826832</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様子見</v>
      </c>
      <c r="Z204" s="171">
        <f>IF(AND(E204&lt;&gt;"",G204&lt;&gt;"",G204&lt;&gt;0),(E204-G204)/G204*100,"")</f>
        <v>-2.2277227722772275</v>
      </c>
      <c r="AA204" s="163" t="str">
        <f>IF(OR(C204="",E204="",E204=0),"",IF(E204&gt;G204,"上昇▲",IF(E204&lt;G204,"下落▼","横ばい→")))</f>
        <v>下落▼</v>
      </c>
      <c r="AB204" s="172">
        <f>IF(OR(C204="",C204="TOPX",終値!E122=""),"",IFERROR(((終値!E122*0.333)+(終値!F122*0.222)+(終値!G122*0.148)+(終値!H122*0.099)+(終値!I122*0.066))/(0.333+0.222+0.148+0.099+0.066),""))</f>
        <v>2558.7505760368667</v>
      </c>
      <c r="AC204" s="172">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-13.813360187982546</v>
      </c>
      <c r="AG204" s="365">
        <f t="array" ref="AG204">IFERROR((終値!$E$5-INDEX(終値!$E$5:$IT$5,1,$AL$2))/INDEX(終値!$E$5:$IT$5,1,$AL$2)*100,"")</f>
        <v>1.0179378228534113</v>
      </c>
      <c r="AH204" s="366">
        <f>IF(OR(AF204="",AG204=""),"",AF204-AG204)</f>
        <v>-14.831298010835958</v>
      </c>
      <c r="AI204" s="364">
        <f>IF(AH204="","",IF(AH204&gt;5,3,IF(AH204&gt;0,1,IF(AH204&gt;-3,-1,-2))))</f>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1718</v>
      </c>
      <c r="F205" s="166">
        <f>IF(C205&lt;&gt;"",_xll.RssMarket(C205,"始値"),"")</f>
        <v>1681</v>
      </c>
      <c r="G205" s="165">
        <f>IF(C205&lt;&gt;"",終値!F18,"")</f>
        <v>1691</v>
      </c>
      <c r="H205" s="166">
        <f>IF(C205&lt;&gt;"",_xll.RssMarket(C205,"高値"),"")</f>
        <v>1718</v>
      </c>
      <c r="I205" s="166">
        <f>IF(C205&lt;&gt;"",_xll.RssMarket(C205,"安値"),"")</f>
        <v>1622</v>
      </c>
      <c r="J205" s="166">
        <f>IF(C205&lt;&gt;"",_xll.RssMarket(C205,"出来高"),"")</f>
        <v>2647000</v>
      </c>
      <c r="K205" s="166">
        <f>IF(C205&lt;&gt;"",_xll.RssMarket(C205,"年初来高値"),"")</f>
        <v>2819</v>
      </c>
      <c r="L205" s="167">
        <f>IF(AND(E205&lt;&gt;"",K205&lt;&gt;"",K205&lt;&gt;0),(E205-K205)/K205*100,"")</f>
        <v>-39.056402979780067</v>
      </c>
      <c r="M205" s="166">
        <f>IF(C205&lt;&gt;"",IFERROR(AVERAGE(出来高!E18:I18),""),"")</f>
        <v>1610880</v>
      </c>
      <c r="N205" s="166">
        <f>IF(C205&lt;&gt;"",IFERROR(AVERAGE(出来高!E18:AC18),""),"")</f>
        <v>1438195.8333333333</v>
      </c>
      <c r="O205" s="168">
        <f>IF(AND(J205&lt;&gt;"",M205&lt;&gt;"",M205&lt;&gt;0),J205/M205,"")</f>
        <v>1.6432012316249502</v>
      </c>
      <c r="P205" s="163" t="str">
        <f>IF(O205="","",IF(O205&gt;=2,"急増↑↑",IF(O205&gt;=1.5,"増加↑",IF(O205&gt;=1,"普通→","減少↓"))))</f>
        <v>増加↑</v>
      </c>
      <c r="Q205" s="163" t="str">
        <f>IF(E205="","",IF(AND(E205&gt;G205,O205&gt;=1.5),"買い▲",IF(E205&lt;G205,"様子見▼","中立→")))</f>
        <v>買い▲</v>
      </c>
      <c r="R205" s="166">
        <f>IF(E205&lt;&gt;"",ROUND(E205*1.08,0),"")</f>
        <v>1855</v>
      </c>
      <c r="S205" s="166">
        <f>IF(E205&lt;&gt;"",ROUND(E205*0.96,0),"")</f>
        <v>1649</v>
      </c>
      <c r="T205" s="163">
        <f>IF(C205="","",IFERROR(IF(O205&gt;=2,3,IF(O205&gt;=1.5,2,IF(O205&gt;=1,1,0)))+IF(E205&gt;G205,1,0)+IF(L205&gt;=-5,1,0)+IF(Q205="買い▲",2,0)+IF(W205&lt;=30,3,IF(W205&lt;=40,2,IF(AND(W205&gt;=40,W205&lt;=60),1,0)))+IF(X205&gt;0,1,0)+IF(V205="年初来高値更新●",3,IF(V205="高値圏",2,0))+IF(AD205="パーフェクト▲",3,IF(AD205="上昇トレンド▲",2,0))+IF(AE205="25日線押し目●",2,IF(AE205="5日線押し目○",1,0))+IF(P205="急増↑↑",2,IF(P205="増加↑",1,0))+N(AI205),0))</f>
        <v>11</v>
      </c>
      <c r="U205" s="163" t="str">
        <f>IF(T205="","",IF(AND(T205&gt;=3,O205&gt;=1.5),"有効",IF(T205&gt;=3,"要確認","除外")))</f>
        <v>有効</v>
      </c>
      <c r="V205" s="163" t="str">
        <f>IF(AND(H205&lt;&gt;"",K205&lt;&gt;""),IF(H205&gt;=K205,"年初来高値更新●",IF(H205&gt;=K205*0.95,"高値圏","通常")),"")</f>
        <v>通常</v>
      </c>
      <c r="W205" s="169">
        <f t="array" ref="W205">IF(C205&lt;&gt;"",IFERROR(100-100/(1+SUMPRODUCT((終値!F18:R18&gt;終値!G18:S18)*( 終値!F18:R18-終値!G18:S18))/SUMPRODUCT((終値!F18:R18&lt;終値!G18:S18)*(終値!G18:S18-終値!F18:R18))),50),"")</f>
        <v>49.815108293713685</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○買い候補</v>
      </c>
      <c r="Z205" s="171">
        <f>IF(AND(E205&lt;&gt;"",G205&lt;&gt;"",G205&lt;&gt;0),(E205-G205)/G205*100,"")</f>
        <v>1.5966883500887048</v>
      </c>
      <c r="AA205" s="163" t="str">
        <f>IF(OR(C205="",E205="",E205=0),"",IF(E205&gt;G205,"上昇▲",IF(E205&lt;G205,"下落▼","横ばい→")))</f>
        <v>上昇▲</v>
      </c>
      <c r="AB205" s="172">
        <f>IF(OR(C205="",C205="TOPX",終値!E130=""),"",IFERROR(((終値!E130*0.333)+(終値!F130*0.222)+(終値!G130*0.148)+(終値!H130*0.099)+(終値!I130*0.066))/(0.333+0.222+0.148+0.099+0.066),""))</f>
        <v>6734.2315668202755</v>
      </c>
      <c r="AC205" s="172">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173" t="str">
        <f>IF(OR(C205="",AB205="",AC205="",AB205=0,AC205=0),"",IF(AND(E205&gt;AB205,AB205&gt;AC205),"パーフェクト▲",IF(E205&gt;AC205,"上昇トレンド▲",IF(AND(E205&lt;AB205,AB205&lt;AC205),"下降トレンド▼","もみ合い→"))))</f>
        <v>もみ合い→</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9.4267515923566894</v>
      </c>
      <c r="AG205" s="365">
        <f t="array" ref="AG205">IFERROR((終値!$E$5-INDEX(終値!$E$5:$IT$5,1,$AL$2))/INDEX(終値!$E$5:$IT$5,1,$AL$2)*100,"")</f>
        <v>1.0179378228534113</v>
      </c>
      <c r="AH205" s="366">
        <f>IF(OR(AF205="",AG205=""),"",AF205-AG205)</f>
        <v>8.4088137695032774</v>
      </c>
      <c r="AI205" s="364">
        <f>IF(AH205="","",IF(AH205&gt;5,3,IF(AH205&gt;0,1,IF(AH205&gt;-3,-1,-2))))</f>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3460</v>
      </c>
      <c r="F206" s="166">
        <f>IF(C206&lt;&gt;"",_xll.RssMarket(C206,"始値"),"")</f>
        <v>3400</v>
      </c>
      <c r="G206" s="165">
        <f>IF(C206&lt;&gt;"",終値!F12,"")</f>
        <v>3394</v>
      </c>
      <c r="H206" s="166">
        <f>IF(C206&lt;&gt;"",_xll.RssMarket(C206,"高値"),"")</f>
        <v>3460</v>
      </c>
      <c r="I206" s="166">
        <f>IF(C206&lt;&gt;"",_xll.RssMarket(C206,"安値"),"")</f>
        <v>3377</v>
      </c>
      <c r="J206" s="166">
        <f>IF(C206&lt;&gt;"",_xll.RssMarket(C206,"出来高"),"")</f>
        <v>3566500</v>
      </c>
      <c r="K206" s="166">
        <f>IF(C206&lt;&gt;"",_xll.RssMarket(C206,"年初来高値"),"")</f>
        <v>4955</v>
      </c>
      <c r="L206" s="167">
        <f>IF(AND(E206&lt;&gt;"",K206&lt;&gt;"",K206&lt;&gt;0),(E206-K206)/K206*100,"")</f>
        <v>-30.171543895055496</v>
      </c>
      <c r="M206" s="166">
        <f>IF(C206&lt;&gt;"",IFERROR(AVERAGE(出来高!E12:I12),""),"")</f>
        <v>3763060</v>
      </c>
      <c r="N206" s="166">
        <f>IF(C206&lt;&gt;"",IFERROR(AVERAGE(出来高!E12:AC12),""),"")</f>
        <v>4475644</v>
      </c>
      <c r="O206" s="168">
        <f>IF(AND(J206&lt;&gt;"",M206&lt;&gt;"",M206&lt;&gt;0),J206/M206,"")</f>
        <v>0.9477659139104877</v>
      </c>
      <c r="P206" s="163" t="str">
        <f>IF(O206="","",IF(O206&gt;=2,"急増↑↑",IF(O206&gt;=1.5,"増加↑",IF(O206&gt;=1,"普通→","減少↓"))))</f>
        <v>減少↓</v>
      </c>
      <c r="Q206" s="163" t="str">
        <f>IF(E206="","",IF(AND(E206&gt;G206,O206&gt;=1.5),"買い▲",IF(E206&lt;G206,"様子見▼","中立→")))</f>
        <v>中立→</v>
      </c>
      <c r="R206" s="166">
        <f>IF(E206&lt;&gt;"",ROUND(E206*1.08,0),"")</f>
        <v>3737</v>
      </c>
      <c r="S206" s="166">
        <f>IF(E206&lt;&gt;"",ROUND(E206*0.96,0),"")</f>
        <v>3322</v>
      </c>
      <c r="T206" s="163">
        <f>IF(C206="","",IFERROR(IF(O206&gt;=2,3,IF(O206&gt;=1.5,2,IF(O206&gt;=1,1,0)))+IF(E206&gt;G206,1,0)+IF(L206&gt;=-5,1,0)+IF(Q206="買い▲",2,0)+IF(W206&lt;=30,3,IF(W206&lt;=40,2,IF(AND(W206&gt;=40,W206&lt;=60),1,0)))+IF(X206&gt;0,1,0)+IF(V206="年初来高値更新●",3,IF(V206="高値圏",2,0))+IF(AD206="パーフェクト▲",3,IF(AD206="上昇トレンド▲",2,0))+IF(AE206="25日線押し目●",2,IF(AE206="5日線押し目○",1,0))+IF(P206="急増↑↑",2,IF(P206="増加↑",1,0))+N(AI206),0))</f>
        <v>6</v>
      </c>
      <c r="U206" s="163" t="str">
        <f>IF(T206="","",IF(AND(T206&gt;=3,O206&gt;=1.5),"有効",IF(T206&gt;=3,"要確認","除外")))</f>
        <v>要確認</v>
      </c>
      <c r="V206" s="163" t="str">
        <f>IF(AND(H206&lt;&gt;"",K206&lt;&gt;""),IF(H206&gt;=K206,"年初来高値更新●",IF(H206&gt;=K206*0.95,"高値圏","通常")),"")</f>
        <v>通常</v>
      </c>
      <c r="W206" s="169">
        <f t="array" ref="W206">IF(C206&lt;&gt;"",IFERROR(100-100/(1+SUMPRODUCT((終値!F12:R12&gt;終値!G12:S12)*( 終値!F12:R12-終値!G12:S12))/SUMPRODUCT((終値!F12:R12&lt;終値!G12:S12)*(終値!G12:S12-終値!F12:R12))),50),"")</f>
        <v>46.888888888888886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△注目</v>
      </c>
      <c r="Z206" s="171">
        <f>IF(AND(E206&lt;&gt;"",G206&lt;&gt;"",G206&lt;&gt;0),(E206-G206)/G206*100,"")</f>
        <v>1.9446081319976427</v>
      </c>
      <c r="AA206" s="163" t="str">
        <f>IF(OR(C206="",E206="",E206=0),"",IF(E206&gt;G206,"上昇▲",IF(E206&lt;G206,"下落▼","横ばい→")))</f>
        <v>上昇▲</v>
      </c>
      <c r="AB206" s="172">
        <f>IF(OR(C206="",C206="TOPX",終値!E202=""),"",IFERROR(((終値!E202*0.333)+(終値!F202*0.222)+(終値!G202*0.148)+(終値!H202*0.099)+(終値!I202*0.066))/(0.333+0.222+0.148+0.099+0.066),""))</f>
        <v>5396.6854838709678</v>
      </c>
      <c r="AC206" s="172">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7.9563182527301084</v>
      </c>
      <c r="AG206" s="365">
        <f t="array" ref="AG206">IFERROR((終値!$E$5-INDEX(終値!$E$5:$IT$5,1,$AL$2))/INDEX(終値!$E$5:$IT$5,1,$AL$2)*100,"")</f>
        <v>1.0179378228534113</v>
      </c>
      <c r="AH206" s="366">
        <f>IF(OR(AF206="",AG206=""),"",AF206-AG206)</f>
        <v>6.9383804298766973</v>
      </c>
      <c r="AI206" s="364">
        <f>IF(AH206="","",IF(AH206&gt;5,3,IF(AH206&gt;0,1,IF(AH206&gt;-3,-1,-2))))</f>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51" priority="1" stopIfTrue="1" operator="equal">
      <formula>"""買い▲"""</formula>
    </cfRule>
    <cfRule type="cellIs" dxfId="50" priority="2" stopIfTrue="1" operator="equal">
      <formula>"""様子見▼"""</formula>
    </cfRule>
  </conditionalFormatting>
  <conditionalFormatting sqref="T3:T206">
    <cfRule type="cellIs" dxfId="49" priority="6" stopIfTrue="1" operator="greaterThanOrEqual">
      <formula>AND(T3&gt;=5,T3&lt;&gt;"")</formula>
    </cfRule>
    <cfRule type="cellIs" dxfId="48" priority="7" stopIfTrue="1" operator="greaterThanOrEqual">
      <formula>AND(T3&gt;=3,T3&lt;&gt;"")</formula>
    </cfRule>
  </conditionalFormatting>
  <conditionalFormatting sqref="AA3:AA206">
    <cfRule type="cellIs" dxfId="47" priority="8" stopIfTrue="1" operator="equal">
      <formula>"""上昇▲"""</formula>
    </cfRule>
    <cfRule type="cellIs" dxfId="46" priority="9" stopIfTrue="1" operator="equal">
      <formula>"""下落▼"""</formula>
    </cfRule>
  </conditionalFormatting>
  <conditionalFormatting sqref="Z3:Z206">
    <cfRule type="cellIs" dxfId="45" priority="10" stopIfTrue="1" operator="greaterThan">
      <formula>0</formula>
    </cfRule>
    <cfRule type="cellIs" dxfId="44" priority="11" stopIfTrue="1" operator="lessThan">
      <formula>0</formula>
    </cfRule>
  </conditionalFormatting>
  <conditionalFormatting sqref="AD203:AD206">
    <cfRule type="cellIs" dxfId="43" priority="12" stopIfTrue="1" operator="equal">
      <formula>"""パーフェクト▲"""</formula>
    </cfRule>
    <cfRule type="cellIs" dxfId="42" priority="13" stopIfTrue="1" operator="equal">
      <formula>"""上昇トレンド▲"""</formula>
    </cfRule>
    <cfRule type="cellIs" dxfId="41" priority="14" stopIfTrue="1" operator="equal">
      <formula>"""下降トレンド▼"""</formula>
    </cfRule>
  </conditionalFormatting>
  <conditionalFormatting sqref="AE203:AE206">
    <cfRule type="cellIs" dxfId="40" priority="15" stopIfTrue="1" operator="equal">
      <formula>"""25日押し目★"""</formula>
    </cfRule>
    <cfRule type="cellIs" dxfId="39" priority="16" stopIfTrue="1" operator="equal">
      <formula>"""5日押し目○"""</formula>
    </cfRule>
  </conditionalFormatting>
  <conditionalFormatting sqref="AD3:AD202">
    <cfRule type="cellIs" dxfId="38" priority="17" stopIfTrue="1" operator="equal">
      <formula>"""パーフェクト▲"""</formula>
    </cfRule>
    <cfRule type="cellIs" dxfId="37" priority="18" stopIfTrue="1" operator="equal">
      <formula>"""上昇トレンド▲"""</formula>
    </cfRule>
    <cfRule type="cellIs" dxfId="36" priority="19" stopIfTrue="1" operator="equal">
      <formula>"""下降トレンド▼"""</formula>
    </cfRule>
  </conditionalFormatting>
  <conditionalFormatting sqref="AE3:AE202">
    <cfRule type="cellIs" dxfId="35" priority="20" stopIfTrue="1" operator="equal">
      <formula>"""25日押し目★"""</formula>
    </cfRule>
    <cfRule type="cellIs" dxfId="34"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1000</v>
      </c>
      <c r="B1" s="466" t="s">
        <v>1001</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COUNT(終値!$E$5:$IT$5)</f>
        <v>57</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1766</v>
      </c>
      <c r="F3" s="326">
        <f>IF(C3&lt;&gt;"",_xll.RssMarket(C3,"始値"),"")</f>
        <v>1720</v>
      </c>
      <c r="G3" s="325">
        <f>IF(C3&lt;&gt;"",終値!F141,"")</f>
        <v>1785</v>
      </c>
      <c r="H3" s="326">
        <f>IF(C3&lt;&gt;"",_xll.RssMarket(C3,"高値"),"")</f>
        <v>1798</v>
      </c>
      <c r="I3" s="326">
        <f>IF(C3&lt;&gt;"",_xll.RssMarket(C3,"安値"),"")</f>
        <v>1693</v>
      </c>
      <c r="J3" s="326">
        <f>IF(C3&lt;&gt;"",_xll.RssMarket(C3,"出来高"),"")</f>
        <v>1587700</v>
      </c>
      <c r="K3" s="326">
        <f>IF(C3&lt;&gt;"",_xll.RssMarket(C3,"年初来高値"),"")</f>
        <v>3620</v>
      </c>
      <c r="L3" s="327">
        <f>IF(AND(E3&lt;&gt;"",K3&lt;&gt;"",K3&lt;&gt;0),(E3-K3)/K3*100,"")</f>
        <v>-51.215469613259671</v>
      </c>
      <c r="M3" s="326">
        <f>IF(C3&lt;&gt;"",IFERROR(AVERAGE(出来高!E141:I141),""),"")</f>
        <v>2873100</v>
      </c>
      <c r="N3" s="326">
        <f>IF(C3&lt;&gt;"",IFERROR(AVERAGE(出来高!E141:AC141),""),"")</f>
        <v>2823640</v>
      </c>
      <c r="O3" s="328">
        <f>IF(AND(J3&lt;&gt;"",M3&lt;&gt;"",M3&lt;&gt;0),J3/M3,"")</f>
        <v>0.55260868051929968</v>
      </c>
      <c r="P3" s="325" t="str">
        <f>IF(O3="","",IF(O3&gt;=2,"急増↑↑",IF(O3&gt;=1.5,"増加↑",IF(O3&gt;=1,"普通→","減少↓"))))</f>
        <v>減少↓</v>
      </c>
      <c r="Q3" s="325" t="str">
        <f>IF(E3="","",IF(AND(E3&lt;G3,O3&gt;=1.5),"売り▼",IF(E3&gt;G3,"様子見▲","中立→")))</f>
        <v>中立→</v>
      </c>
      <c r="R3" s="326">
        <f>IF(E3&lt;&gt;"",ROUND(E3*0.92,0),"")</f>
        <v>1625</v>
      </c>
      <c r="S3" s="326">
        <f>IF(E3&lt;&gt;"",ROUND(E3*1.04,0),"")</f>
        <v>1837</v>
      </c>
      <c r="T3" s="325">
        <f>IF(C3="","",IFERROR(IF(W3&gt;=70,3,IF(W3&gt;=60,2,IF(W3&gt;=50,1,0)))+IF(X3&lt;0,2,0)+IF(AD3="下降トレンド▼",3,IF(AD3="もみ合い→",1,0))+IF(V3="年初来安値圏●",3,IF(V3="安値圏",2,0))+IF(Q3="売り▼",2,0)+IF(P3="急増↑↑",2,IF(P3="増加↑",1,0))+IF(Z3&lt;0,1,0)+IF(L3&lt;=-30,2,IF(L3&lt;=-15,1,0))+IF(AE3="25日戻り売り★",2,IF(AE3="5日戻り売り○",1,0))+N(AL3)+N(AP3)+N(AU3),0))</f>
        <v>14</v>
      </c>
      <c r="U3" s="325" t="str">
        <f>IF(T3="","",IF(AND(T3&gt;=3,O3&gt;=1.5),"有効",IF(T3&gt;=3,"要確認","除外")))</f>
        <v>要確認</v>
      </c>
      <c r="V3" s="325" t="str">
        <f>IF(AND(I3&lt;&gt;"",K3&lt;&gt;""),IF(I3&lt;=K3*0.6,"年初来安値圏●",IF(I3&lt;=K3*0.75,"安値圏","通常")),"")</f>
        <v>年初来安値圏●</v>
      </c>
      <c r="W3" s="329">
        <f t="array" ref="W3">IFERROR(100-100/(1+SUMPRODUCT((終値!F141:R141&gt;終値!G141:S141)*(終値!F141:R141-終値!G141:S141))/SUMPRODUCT((終値!F141:R141&lt;終値!G141:S141)*(終値!G141:S141-終値!F141:R141))),50)</f>
        <v>34.896621280887544</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-111.32775365289649</v>
      </c>
      <c r="Y3" s="325" t="str">
        <f>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○逆張り売り | もみ合い→ 25日戻り売り★ MACD- RSI:34.9 前日比:-1.1% [年初来安値圏] [14点]</v>
      </c>
      <c r="Z3" s="331">
        <f>IF(AND(E3&lt;&gt;"",G3&lt;&gt;"",G3&lt;&gt;0),(E3-G3)/G3*100,"")</f>
        <v>-1.0644257703081232</v>
      </c>
      <c r="AA3" s="325" t="str">
        <f>IF(OR(C3="",E3="",E3=0),"",IF(E3&gt;G3,"上昇▲",IF(E3&lt;G3,"下落▼","横ばい→")))</f>
        <v>下落▼</v>
      </c>
      <c r="AB3" s="326">
        <f>IF(OR(C3="",C3="TOPX",終値!E141=""),"",IFERROR(((終値!E141*0.333)+(終値!F141*0.222)+(終値!G141*0.148)+(終値!H141*0.099)+(終値!I141*0.066))/(0.333+0.222+0.148+0.099+0.066),""))</f>
        <v>1697.5264976958526</v>
      </c>
      <c r="AC3" s="326">
        <f>IF(OR(C3="",C3="TOPX",終値!E141=""),"",IFERROR(SUMPRODUCT((終値!E141:AC141),{0.077,0.071,0.065,0.06,0.055,0.051,0.047,0.043,0.039,0.036,0.033,0.031,0.028,0.026,0.024,0.022,0.02,0.018,0.017,0.016,0.014,0.013,0.012,0.011,0.01})/SUM({0.077,0.071,0.065,0.06,0.055,0.051,0.047,0.043,0.039,0.036,0.033,0.031,0.028,0.026,0.024,0.022,0.02,0.018,0.017,0.016,0.014,0.013,0.012,0.011,0.01}),""))</f>
        <v>1786.5256257449337</v>
      </c>
      <c r="AD3" s="325" t="str">
        <f>IF(OR(C3="",AB3="",AC3="",AB3=0,AC3=0),"",IF(AND(E3&gt;AB3,AB3&gt;AC3),"パーフェクト▲",IF(E3&gt;AC3,"上昇トレンド▲",IF(AND(E3&lt;AB3,AB3&lt;AC3),"下降トレンド▼","もみ合い→"))))</f>
        <v>もみ合い→</v>
      </c>
      <c r="AE3" s="325" t="str">
        <f>IF(OR(C3="",AB3="",AC3=""),"",IF(AND(ABS(E3-AC3)/AC3&lt;=0.02,E3&lt;AC3),"25日戻り売り★",IF(AND(ABS(E3-AB3)/AB3&lt;=0.01,E3&lt;AB3),"5日戻り売り○","なし")))</f>
        <v>25日戻り売り★</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○逆張り売り</v>
      </c>
      <c r="AG3">
        <f>IF(AND(T3&gt;=7,C3&lt;&gt;""),T3,0)</f>
        <v>14</v>
      </c>
      <c r="AH3">
        <f>IF(AG3&gt;0,AG3*10000-ROW(A3),0)</f>
        <v>139997</v>
      </c>
      <c r="AI3" s="373">
        <f t="array" ref="AI3">IF(C3="","",IFERROR((INDEX(終値!$E:$E,MATCH(TEXT(C3,"0"),終値!$A:$A,0))-INDEX(終値!$E:$CZ,MATCH(TEXT(C3,"0"),終値!$A:$A,0),$AN$2))/INDEX(終値!$E:$CZ,MATCH(TEXT(C3,"0"),終値!$A:$A,0),$AN$2)*100,""))</f>
        <v>-35.828488372093027</v>
      </c>
      <c r="AJ3" s="373">
        <f t="array" ref="AJ3">IFERROR((終値!$E$5-INDEX(終値!$E$5:$IT$5,1,$AN$2))/INDEX(終値!$E$5:$IT$5,1,$AN$2)*100,"")</f>
        <v>1.0179378228534113</v>
      </c>
      <c r="AK3" s="374">
        <f>IF(OR(AI3="",AJ3=""),"",AI3-AJ3)</f>
        <v>-36.846426194946439</v>
      </c>
      <c r="AL3" s="372">
        <f>IF(AK3="","",IF(AK3&lt;-5,3,IF(AK3&lt;0,1,IF(AK3&lt;3,-1,-2))))</f>
        <v>3</v>
      </c>
      <c r="AO3" s="376" t="str">
        <f>IF(OR($C3="",$E3="",$F3="",$H3="",$I3="",$H3-$I3&lt;=0),"-",IF(AND($H3-MAX($F3,$E3)&gt;=ABS($E3-$F3)*2,MIN($F3,$E3)-$I3&lt;=ABS($E3-$F3)*0.5,ABS($E3-$F3)&gt;0),"上ヒゲ陰線▼",IF(AND($E3&lt;$F3,ABS($E3-$F3)&gt;=($H3-$I3)*0.7),"大陰線▼",IF(AND(MIN($F3,$E3)-$I3&gt;=($H3-$I3)*0.5,$H3-MAX($F3,$E3)&lt;=($H3-$I3)*0.2),"長い下ヒゲ(反発警戒)","通常"))))</f>
        <v>通常</v>
      </c>
      <c r="AP3" s="377">
        <f>IF($AO3="上ヒゲ陰線▼",2,IF($AO3="大陰線▼",2,IF($AO3="長い下ヒゲ(反発警戒)",-2,0)))</f>
        <v>0</v>
      </c>
      <c r="AQ3">
        <f>IF(C3&lt;&gt;"",始値!F141,"")</f>
        <v>1820</v>
      </c>
      <c r="AR3">
        <f>IF(C3&lt;&gt;"",高値!F141,"")</f>
        <v>1920</v>
      </c>
      <c r="AS3">
        <f>IF(C3&lt;&gt;"",安値!F141,"")</f>
        <v>1757</v>
      </c>
      <c r="AT3" t="str">
        <f>IF(OR(C3="",AQ3="",AR3="",AS3="",AR3-AS3&lt;=0),"-",IF(AND(AR3-MAX(G3,AQ3)&gt;=ABS(G3-AQ3)*2,MIN(G3,AQ3)-AS3&lt;=ABS(G3-AQ3)*0.5,ABS(G3-AQ3)&gt;0),"上ヒゲ陰線▼",IF(AND(G3&lt;AQ3,ABS(G3-AQ3)&gt;=(AR3-AS3)*0.7),"大陰線▼",IF(AND(MIN(G3,AQ3)-AS3&gt;=(AR3-AS3)*0.5,AR3-MAX(G3,AQ3)&lt;=(AR3-AS3)*0.2),"長い下ヒゲ(反発)","通常"))))</f>
        <v>通常</v>
      </c>
      <c r="AU3">
        <f>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3544</v>
      </c>
      <c r="F4" s="333">
        <f>IF(C4&lt;&gt;"",_xll.RssMarket(C4,"始値"),"")</f>
        <v>3650</v>
      </c>
      <c r="G4" s="212">
        <f>IF(C4&lt;&gt;"",終値!F28,"")</f>
        <v>3756</v>
      </c>
      <c r="H4" s="333">
        <f>IF(C4&lt;&gt;"",_xll.RssMarket(C4,"高値"),"")</f>
        <v>3720</v>
      </c>
      <c r="I4" s="333">
        <f>IF(C4&lt;&gt;"",_xll.RssMarket(C4,"安値"),"")</f>
        <v>3427</v>
      </c>
      <c r="J4" s="333">
        <f>IF(C4&lt;&gt;"",_xll.RssMarket(C4,"出来高"),"")</f>
        <v>15463900</v>
      </c>
      <c r="K4" s="333">
        <f>IF(C4&lt;&gt;"",_xll.RssMarket(C4,"年初来高値"),"")</f>
        <v>5939</v>
      </c>
      <c r="L4" s="334">
        <f>IF(AND(E4&lt;&gt;"",K4&lt;&gt;"",K4&lt;&gt;0),(E4-K4)/K4*100,"")</f>
        <v>-40.326654318908908</v>
      </c>
      <c r="M4" s="333">
        <f>IF(C4&lt;&gt;"",IFERROR(AVERAGE(出来高!E28:I28),""),"")</f>
        <v>7844320</v>
      </c>
      <c r="N4" s="333">
        <f>IF(C4&lt;&gt;"",IFERROR(AVERAGE(出来高!E28:AC28),""),"")</f>
        <v>4646040</v>
      </c>
      <c r="O4" s="335">
        <f>IF(AND(J4&lt;&gt;"",M4&lt;&gt;"",M4&lt;&gt;0),J4/M4,"")</f>
        <v>1.9713499704244599</v>
      </c>
      <c r="P4" s="212" t="str">
        <f>IF(O4="","",IF(O4&gt;=2,"急増↑↑",IF(O4&gt;=1.5,"増加↑",IF(O4&gt;=1,"普通→","減少↓"))))</f>
        <v>増加↑</v>
      </c>
      <c r="Q4" s="212" t="str">
        <f>IF(E4="","",IF(AND(E4&lt;G4,O4&gt;=1.5),"売り▼",IF(E4&gt;G4,"様子見▲","中立→")))</f>
        <v>売り▼</v>
      </c>
      <c r="R4" s="333">
        <f>IF(E4&lt;&gt;"",ROUND(E4*0.92,0),"")</f>
        <v>3260</v>
      </c>
      <c r="S4" s="333">
        <f>IF(E4&lt;&gt;"",ROUND(E4*1.04,0),"")</f>
        <v>3686</v>
      </c>
      <c r="T4" s="325">
        <f>IF(C4="","",IFERROR(IF(W4&gt;=70,3,IF(W4&gt;=60,2,IF(W4&gt;=50,1,0)))+IF(X4&lt;0,2,0)+IF(AD4="下降トレンド▼",3,IF(AD4="もみ合い→",1,0))+IF(V4="年初来安値圏●",3,IF(V4="安値圏",2,0))+IF(Q4="売り▼",2,0)+IF(P4="急増↑↑",2,IF(P4="増加↑",1,0))+IF(Z4&lt;0,1,0)+IF(L4&lt;=-30,2,IF(L4&lt;=-15,1,0))+IF(AE4="25日戻り売り★",2,IF(AE4="5日戻り売り○",1,0))+N(AL4)+N(AP4)+N(AU4),0))</f>
        <v>17</v>
      </c>
      <c r="U4" s="212" t="str">
        <f>IF(T4="","",IF(AND(T4&gt;=3,O4&gt;=1.5),"有効",IF(T4&gt;=3,"要確認","除外")))</f>
        <v>有効</v>
      </c>
      <c r="V4" s="212" t="str">
        <f>IF(AND(I4&lt;&gt;"",K4&lt;&gt;""),IF(I4&lt;=K4*0.6,"年初来安値圏●",IF(I4&lt;=K4*0.75,"安値圏","通常")),"")</f>
        <v>年初来安値圏●</v>
      </c>
      <c r="W4" s="336">
        <f t="array" ref="W4">IFERROR(100-100/(1+SUMPRODUCT((終値!F28:R28&gt;終値!G28:S28)*(終値!F28:R28-終値!G28:S28))/SUMPRODUCT((終値!F28:R28&lt;終値!G28:S28)*(終値!G28:S28-終値!F28:R28))),50)</f>
        <v>36.020498669557512</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-184.18701515290104</v>
      </c>
      <c r="Y4" s="212" t="str">
        <f>IF(AF4="","",AF4&amp;" | "&amp;AD4&amp;IF(AE4&lt;&gt;"なし"," "&amp;AE4,"")&amp;IF(X4&lt;0," MACD-"," MACD+")&amp;" RSI:"&amp;TEXT(W4,"0.0")&amp;IF(W4&gt;=70," [過熱]",IF(W4&lt;=30," [売られ過ぎ]",""))&amp;" 前日比:"&amp;TEXT(Z4,"+0.0;-0.0;0.0")&amp;"%"&amp;IF(V4="年初来安値圏●"," [年初来安値圏]",IF(V4="安値圏"," [安値圏]",""))&amp;IF(OR(AO4="通常",AO4="-"),""," ["&amp;AO4&amp;"]")&amp;IF(OR(AT4="通常",AT4="-"),"","前日["&amp;AT4&amp;"]")&amp;" ["&amp;T4&amp;"点]")</f>
        <v>相場上昇・見送り | 下降トレンド▼ MACD- RSI:36.0 前日比:-5.6% [年初来安値圏] [17点]</v>
      </c>
      <c r="Z4" s="338">
        <f>IF(AND(E4&lt;&gt;"",G4&lt;&gt;"",G4&lt;&gt;0),(E4-G4)/G4*100,"")</f>
        <v>-5.6443024494142708</v>
      </c>
      <c r="AA4" s="212" t="str">
        <f>IF(OR(C4="",E4="",E4=0),"",IF(E4&gt;G4,"上昇▲",IF(E4&lt;G4,"下落▼","横ばい→")))</f>
        <v>下落▼</v>
      </c>
      <c r="AB4" s="333">
        <f>IF(OR(C4="",C4="TOPX",終値!E28=""),"",IFERROR(((終値!E28*0.333)+(終値!F28*0.222)+(終値!G28*0.148)+(終値!H28*0.099)+(終値!I28*0.066))/(0.333+0.222+0.148+0.099+0.066),""))</f>
        <v>4610.6451612903211</v>
      </c>
      <c r="AC4" s="333">
        <f>IF(OR(C4="",C4="TOPX",終値!E28=""),"",IFERROR(SUMPRODUCT((終値!E28:AC28),{0.077,0.071,0.065,0.06,0.055,0.051,0.047,0.043,0.039,0.036,0.033,0.031,0.028,0.026,0.024,0.022,0.02,0.018,0.017,0.016,0.014,0.013,0.012,0.011,0.01})/SUM({0.077,0.071,0.065,0.06,0.055,0.051,0.047,0.043,0.039,0.036,0.033,0.031,0.028,0.026,0.024,0.022,0.02,0.018,0.017,0.016,0.014,0.013,0.012,0.011,0.01}),""))</f>
        <v>5815.063170440998</v>
      </c>
      <c r="AD4" s="212" t="str">
        <f>IF(OR(C4="",AB4="",AC4="",AB4=0,AC4=0),"",IF(AND(E4&gt;AB4,AB4&gt;AC4),"パーフェクト▲",IF(E4&gt;AC4,"上昇トレンド▲",IF(AND(E4&lt;AB4,AB4&lt;AC4),"下降トレンド▼","もみ合い→"))))</f>
        <v>下降トレンド▼</v>
      </c>
      <c r="AE4" s="212" t="str">
        <f>IF(OR(C4="",AB4="",AC4=""),"",IF(AND(ABS(E4-AC4)/AC4&lt;=0.02,E4&lt;AC4),"25日戻り売り★",IF(AND(ABS(E4-AB4)/AB4&lt;=0.01,E4&lt;AB4),"5日戻り売り○","なし")))</f>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相場上昇・見送り</v>
      </c>
      <c r="AG4">
        <f>IF(AND(T4&gt;=7,C4&lt;&gt;""),T4,0)</f>
        <v>17</v>
      </c>
      <c r="AH4">
        <f>IF(AG4&gt;0,AG4*10000-ROW(A4),0)</f>
        <v>169996</v>
      </c>
      <c r="AI4" s="373">
        <f t="array" ref="AI4">IF(C4="","",IFERROR((INDEX(終値!$E:$E,MATCH(TEXT(C4,"0"),終値!$A:$A,0))-INDEX(終値!$E:$CZ,MATCH(TEXT(C4,"0"),終値!$A:$A,0),$AN$2))/INDEX(終値!$E:$CZ,MATCH(TEXT(C4,"0"),終値!$A:$A,0),$AN$2)*100,""))</f>
        <v>-42.829488627197939</v>
      </c>
      <c r="AJ4" s="373">
        <f t="array" ref="AJ4">IFERROR((終値!$E$5-INDEX(終値!$E$5:$IT$5,1,$AN$2))/INDEX(終値!$E$5:$IT$5,1,$AN$2)*100,"")</f>
        <v>1.0179378228534113</v>
      </c>
      <c r="AK4" s="374">
        <f>IF(OR(AI4="",AJ4=""),"",AI4-AJ4)</f>
        <v>-43.847426450051351</v>
      </c>
      <c r="AL4" s="372">
        <f>IF(AK4="","",IF(AK4&lt;-5,3,IF(AK4&lt;0,1,IF(AK4&lt;3,-1,-2))))</f>
        <v>3</v>
      </c>
      <c r="AO4" s="376" t="str">
        <f>IF(OR($C4="",$E4="",$F4="",$H4="",$I4="",$H4-$I4&lt;=0),"-",IF(AND($H4-MAX($F4,$E4)&gt;=ABS($E4-$F4)*2,MIN($F4,$E4)-$I4&lt;=ABS($E4-$F4)*0.5,ABS($E4-$F4)&gt;0),"上ヒゲ陰線▼",IF(AND($E4&lt;$F4,ABS($E4-$F4)&gt;=($H4-$I4)*0.7),"大陰線▼",IF(AND(MIN($F4,$E4)-$I4&gt;=($H4-$I4)*0.5,$H4-MAX($F4,$E4)&lt;=($H4-$I4)*0.2),"長い下ヒゲ(反発警戒)","通常"))))</f>
        <v>通常</v>
      </c>
      <c r="AP4" s="377">
        <f>IF($AO4="上ヒゲ陰線▼",2,IF($AO4="大陰線▼",2,IF($AO4="長い下ヒゲ(反発警戒)",-2,0)))</f>
        <v>0</v>
      </c>
      <c r="AQ4">
        <f>IF(C4&lt;&gt;"",始値!F28,"")</f>
        <v>3777</v>
      </c>
      <c r="AR4">
        <f>IF(C4&lt;&gt;"",高値!F28,"")</f>
        <v>3869</v>
      </c>
      <c r="AS4">
        <f>IF(C4&lt;&gt;"",安値!F28,"")</f>
        <v>3681</v>
      </c>
      <c r="AT4" t="str">
        <f>IF(OR(C4="",AQ4="",AR4="",AS4="",AR4-AS4&lt;=0),"-",IF(AND(AR4-MAX(G4,AQ4)&gt;=ABS(G4-AQ4)*2,MIN(G4,AQ4)-AS4&lt;=ABS(G4-AQ4)*0.5,ABS(G4-AQ4)&gt;0),"上ヒゲ陰線▼",IF(AND(G4&lt;AQ4,ABS(G4-AQ4)&gt;=(AR4-AS4)*0.7),"大陰線▼",IF(AND(MIN(G4,AQ4)-AS4&gt;=(AR4-AS4)*0.5,AR4-MAX(G4,AQ4)&lt;=(AR4-AS4)*0.2),"長い下ヒゲ(反発)","通常"))))</f>
        <v>通常</v>
      </c>
      <c r="AU4">
        <f>IF(AT4="上ヒゲ陰線▼",2,IF(AT4="大陰線▼",2,IF(AT4="長い下ヒゲ(反発)",-2,0)))</f>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4415</v>
      </c>
      <c r="F5" s="326">
        <f>IF(C5&lt;&gt;"",_xll.RssMarket(C5,"始値"),"")</f>
        <v>4535</v>
      </c>
      <c r="G5" s="325">
        <f>IF(C5&lt;&gt;"",終値!F30,"")</f>
        <v>4605</v>
      </c>
      <c r="H5" s="326">
        <f>IF(C5&lt;&gt;"",_xll.RssMarket(C5,"高値"),"")</f>
        <v>4610</v>
      </c>
      <c r="I5" s="326">
        <f>IF(C5&lt;&gt;"",_xll.RssMarket(C5,"安値"),"")</f>
        <v>4390</v>
      </c>
      <c r="J5" s="326">
        <f>IF(C5&lt;&gt;"",_xll.RssMarket(C5,"出来高"),"")</f>
        <v>749500</v>
      </c>
      <c r="K5" s="326">
        <f>IF(C5&lt;&gt;"",_xll.RssMarket(C5,"年初来高値"),"")</f>
        <v>5500</v>
      </c>
      <c r="L5" s="327">
        <f>IF(AND(E5&lt;&gt;"",K5&lt;&gt;"",K5&lt;&gt;0),(E5-K5)/K5*100,"")</f>
        <v>-19.727272727272727</v>
      </c>
      <c r="M5" s="326">
        <f>IF(C5&lt;&gt;"",IFERROR(AVERAGE(出来高!E30:I30),""),"")</f>
        <v>1065840</v>
      </c>
      <c r="N5" s="326">
        <f>IF(C5&lt;&gt;"",IFERROR(AVERAGE(出来高!E30:AC30),""),"")</f>
        <v>926276</v>
      </c>
      <c r="O5" s="328">
        <f>IF(AND(J5&lt;&gt;"",M5&lt;&gt;"",M5&lt;&gt;0),J5/M5,"")</f>
        <v>0.70320123095398934</v>
      </c>
      <c r="P5" s="325" t="str">
        <f>IF(O5="","",IF(O5&gt;=2,"急増↑↑",IF(O5&gt;=1.5,"増加↑",IF(O5&gt;=1,"普通→","減少↓"))))</f>
        <v>減少↓</v>
      </c>
      <c r="Q5" s="325" t="str">
        <f>IF(E5="","",IF(AND(E5&lt;G5,O5&gt;=1.5),"売り▼",IF(E5&gt;G5,"様子見▲","中立→")))</f>
        <v>中立→</v>
      </c>
      <c r="R5" s="326">
        <f>IF(E5&lt;&gt;"",ROUND(E5*0.92,0),"")</f>
        <v>4062</v>
      </c>
      <c r="S5" s="326">
        <f>IF(E5&lt;&gt;"",ROUND(E5*1.04,0),"")</f>
        <v>4592</v>
      </c>
      <c r="T5" s="325">
        <f>IF(C5="","",IFERROR(IF(W5&gt;=70,3,IF(W5&gt;=60,2,IF(W5&gt;=50,1,0)))+IF(X5&lt;0,2,0)+IF(AD5="下降トレンド▼",3,IF(AD5="もみ合い→",1,0))+IF(V5="年初来安値圏●",3,IF(V5="安値圏",2,0))+IF(Q5="売り▼",2,0)+IF(P5="急増↑↑",2,IF(P5="増加↑",1,0))+IF(Z5&lt;0,1,0)+IF(L5&lt;=-30,2,IF(L5&lt;=-15,1,0))+IF(AE5="25日戻り売り★",2,IF(AE5="5日戻り売り○",1,0))+N(AL5)+N(AP5)+N(AU5),0))</f>
        <v>8</v>
      </c>
      <c r="U5" s="325" t="str">
        <f>IF(T5="","",IF(AND(T5&gt;=3,O5&gt;=1.5),"有効",IF(T5&gt;=3,"要確認","除外")))</f>
        <v>要確認</v>
      </c>
      <c r="V5" s="325" t="str">
        <f>IF(AND(I5&lt;&gt;"",K5&lt;&gt;""),IF(I5&lt;=K5*0.6,"年初来安値圏●",IF(I5&lt;=K5*0.75,"安値圏","通常")),"")</f>
        <v>通常</v>
      </c>
      <c r="W5" s="329">
        <f t="array" ref="W5">IFERROR(100-100/(1+SUMPRODUCT((終値!F30:R30&gt;終値!G30:S30)*(終値!F30:R30-終値!G30:S30))/SUMPRODUCT((終値!F30:R30&lt;終値!G30:S30)*(終値!G30:S30-終値!F30:R30))),50)</f>
        <v>53.48101265822784</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-29.781950652562955</v>
      </c>
      <c r="Y5" s="325" t="str">
        <f>IF(AF5="","",AF5&amp;" | "&amp;AD5&amp;IF(AE5&lt;&gt;"なし"," "&amp;AE5,"")&amp;IF(X5&lt;0," MACD-"," MACD+")&amp;" RSI:"&amp;TEXT(W5,"0.0")&amp;IF(W5&gt;=70," [過熱]",IF(W5&lt;=30," [売られ過ぎ]",""))&amp;" 前日比:"&amp;TEXT(Z5,"+0.0;-0.0;0.0")&amp;"%"&amp;IF(V5="年初来安値圏●"," [年初来安値圏]",IF(V5="安値圏"," [安値圏]",""))&amp;IF(OR(AO5="通常",AO5="-"),""," ["&amp;AO5&amp;"]")&amp;IF(OR(AT5="通常",AT5="-"),"","前日["&amp;AT5&amp;"]")&amp;" ["&amp;T5&amp;"点]")</f>
        <v>相場上昇・見送り | パーフェクト▲ MACD- RSI:53.5 前日比:-4.1% [8点]</v>
      </c>
      <c r="Z5" s="331">
        <f>IF(AND(E5&lt;&gt;"",G5&lt;&gt;"",G5&lt;&gt;0),(E5-G5)/G5*100,"")</f>
        <v>-4.1259500542888166</v>
      </c>
      <c r="AA5" s="325" t="str">
        <f>IF(OR(C5="",E5="",E5=0),"",IF(E5&gt;G5,"上昇▲",IF(E5&lt;G5,"下落▼","横ばい→")))</f>
        <v>下落▼</v>
      </c>
      <c r="AB5" s="326">
        <f>IF(OR(C5="",C5="TOPX",終値!E30=""),"",IFERROR(((終値!E30*0.333)+(終値!F30*0.222)+(終値!G30*0.148)+(終値!H30*0.099)+(終値!I30*0.066))/(0.333+0.222+0.148+0.099+0.066),""))</f>
        <v>4347.0910138248846</v>
      </c>
      <c r="AC5" s="326">
        <f>IF(OR(C5="",C5="TOPX",終値!E30=""),"",IFERROR(SUMPRODUCT((終値!E30:AC30),{0.077,0.071,0.065,0.06,0.055,0.051,0.047,0.043,0.039,0.036,0.033,0.031,0.028,0.026,0.024,0.022,0.02,0.018,0.017,0.016,0.014,0.013,0.012,0.011,0.01})/SUM({0.077,0.071,0.065,0.06,0.055,0.051,0.047,0.043,0.039,0.036,0.033,0.031,0.028,0.026,0.024,0.022,0.02,0.018,0.017,0.016,0.014,0.013,0.012,0.011,0.01}),""))</f>
        <v>4162.4076281287225</v>
      </c>
      <c r="AD5" s="325" t="str">
        <f>IF(OR(C5="",AB5="",AC5="",AB5=0,AC5=0),"",IF(AND(E5&gt;AB5,AB5&gt;AC5),"パーフェクト▲",IF(E5&gt;AC5,"上昇トレンド▲",IF(AND(E5&lt;AB5,AB5&lt;AC5),"下降トレンド▼","もみ合い→"))))</f>
        <v>パーフェクト▲</v>
      </c>
      <c r="AE5" s="325" t="str">
        <f>IF(OR(C5="",AB5="",AC5=""),"",IF(AND(ABS(E5-AC5)/AC5&lt;=0.02,E5&lt;AC5),"25日戻り売り★",IF(AND(ABS(E5-AB5)/AB5&lt;=0.01,E5&lt;AB5),"5日戻り売り○","なし")))</f>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相場上昇・見送り</v>
      </c>
      <c r="AG5">
        <f>IF(AND(T5&gt;=7,C5&lt;&gt;""),T5,0)</f>
        <v>8</v>
      </c>
      <c r="AH5">
        <f>IF(AG5&gt;0,AG5*10000-ROW(A5),0)</f>
        <v>79995</v>
      </c>
      <c r="AI5" s="373">
        <f t="array" ref="AI5">IF(C5="","",IFERROR((INDEX(終値!$E:$E,MATCH(TEXT(C5,"0"),終値!$A:$A,0))-INDEX(終値!$E:$CZ,MATCH(TEXT(C5,"0"),終値!$A:$A,0),$AN$2))/INDEX(終値!$E:$CZ,MATCH(TEXT(C5,"0"),終値!$A:$A,0),$AN$2)*100,""))</f>
        <v>-14.932562620423893</v>
      </c>
      <c r="AJ5" s="373">
        <f t="array" ref="AJ5">IFERROR((終値!$E$5-INDEX(終値!$E$5:$IT$5,1,$AN$2))/INDEX(終値!$E$5:$IT$5,1,$AN$2)*100,"")</f>
        <v>1.0179378228534113</v>
      </c>
      <c r="AK5" s="374">
        <f>IF(OR(AI5="",AJ5=""),"",AI5-AJ5)</f>
        <v>-15.950500443277305</v>
      </c>
      <c r="AL5" s="372">
        <f>IF(AK5="","",IF(AK5&lt;-5,3,IF(AK5&lt;0,1,IF(AK5&lt;3,-1,-2))))</f>
        <v>3</v>
      </c>
      <c r="AO5" s="376" t="str">
        <f>IF(OR($C5="",$E5="",$F5="",$H5="",$I5="",$H5-$I5&lt;=0),"-",IF(AND($H5-MAX($F5,$E5)&gt;=ABS($E5-$F5)*2,MIN($F5,$E5)-$I5&lt;=ABS($E5-$F5)*0.5,ABS($E5-$F5)&gt;0),"上ヒゲ陰線▼",IF(AND($E5&lt;$F5,ABS($E5-$F5)&gt;=($H5-$I5)*0.7),"大陰線▼",IF(AND(MIN($F5,$E5)-$I5&gt;=($H5-$I5)*0.5,$H5-MAX($F5,$E5)&lt;=($H5-$I5)*0.2),"長い下ヒゲ(反発警戒)","通常"))))</f>
        <v>通常</v>
      </c>
      <c r="AP5" s="377">
        <f>IF($AO5="上ヒゲ陰線▼",2,IF($AO5="大陰線▼",2,IF($AO5="長い下ヒゲ(反発警戒)",-2,0)))</f>
        <v>0</v>
      </c>
      <c r="AQ5">
        <f>IF(C5&lt;&gt;"",始値!F30,"")</f>
        <v>4280</v>
      </c>
      <c r="AR5">
        <f>IF(C5&lt;&gt;"",高値!F30,"")</f>
        <v>4630</v>
      </c>
      <c r="AS5">
        <f>IF(C5&lt;&gt;"",安値!F30,"")</f>
        <v>4240</v>
      </c>
      <c r="AT5" t="str">
        <f>IF(OR(C5="",AQ5="",AR5="",AS5="",AR5-AS5&lt;=0),"-",IF(AND(AR5-MAX(G5,AQ5)&gt;=ABS(G5-AQ5)*2,MIN(G5,AQ5)-AS5&lt;=ABS(G5-AQ5)*0.5,ABS(G5-AQ5)&gt;0),"上ヒゲ陰線▼",IF(AND(G5&lt;AQ5,ABS(G5-AQ5)&gt;=(AR5-AS5)*0.7),"大陰線▼",IF(AND(MIN(G5,AQ5)-AS5&gt;=(AR5-AS5)*0.5,AR5-MAX(G5,AQ5)&lt;=(AR5-AS5)*0.2),"長い下ヒゲ(反発)","通常"))))</f>
        <v>通常</v>
      </c>
      <c r="AU5">
        <f>IF(AT5="上ヒゲ陰線▼",2,IF(AT5="大陰線▼",2,IF(AT5="長い下ヒゲ(反発)",-2,0)))</f>
        <v>0</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1480</v>
      </c>
      <c r="F6" s="333">
        <f>IF(C6&lt;&gt;"",_xll.RssMarket(C6,"始値"),"")</f>
        <v>1491</v>
      </c>
      <c r="G6" s="212">
        <f>IF(C6&lt;&gt;"",終値!F148,"")</f>
        <v>1516</v>
      </c>
      <c r="H6" s="333">
        <f>IF(C6&lt;&gt;"",_xll.RssMarket(C6,"高値"),"")</f>
        <v>1511</v>
      </c>
      <c r="I6" s="333">
        <f>IF(C6&lt;&gt;"",_xll.RssMarket(C6,"安値"),"")</f>
        <v>1460</v>
      </c>
      <c r="J6" s="333">
        <f>IF(C6&lt;&gt;"",_xll.RssMarket(C6,"出来高"),"")</f>
        <v>162700</v>
      </c>
      <c r="K6" s="333">
        <f>IF(C6&lt;&gt;"",_xll.RssMarket(C6,"年初来高値"),"")</f>
        <v>2496</v>
      </c>
      <c r="L6" s="334">
        <f>IF(AND(E6&lt;&gt;"",K6&lt;&gt;"",K6&lt;&gt;0),(E6-K6)/K6*100,"")</f>
        <v>-40.705128205128204</v>
      </c>
      <c r="M6" s="333">
        <f>IF(C6&lt;&gt;"",IFERROR(AVERAGE(出来高!E148:I148),""),"")</f>
        <v>247040</v>
      </c>
      <c r="N6" s="333">
        <f>IF(C6&lt;&gt;"",IFERROR(AVERAGE(出来高!E148:AC148),""),"")</f>
        <v>276636</v>
      </c>
      <c r="O6" s="335">
        <f>IF(AND(J6&lt;&gt;"",M6&lt;&gt;"",M6&lt;&gt;0),J6/M6,"")</f>
        <v>0.65859779792746109</v>
      </c>
      <c r="P6" s="212" t="str">
        <f>IF(O6="","",IF(O6&gt;=2,"急増↑↑",IF(O6&gt;=1.5,"増加↑",IF(O6&gt;=1,"普通→","減少↓"))))</f>
        <v>減少↓</v>
      </c>
      <c r="Q6" s="212" t="str">
        <f>IF(E6="","",IF(AND(E6&lt;G6,O6&gt;=1.5),"売り▼",IF(E6&gt;G6,"様子見▲","中立→")))</f>
        <v>中立→</v>
      </c>
      <c r="R6" s="333">
        <f>IF(E6&lt;&gt;"",ROUND(E6*0.92,0),"")</f>
        <v>1362</v>
      </c>
      <c r="S6" s="333">
        <f>IF(E6&lt;&gt;"",ROUND(E6*1.04,0),"")</f>
        <v>1539</v>
      </c>
      <c r="T6" s="325">
        <f>IF(C6="","",IFERROR(IF(W6&gt;=70,3,IF(W6&gt;=60,2,IF(W6&gt;=50,1,0)))+IF(X6&lt;0,2,0)+IF(AD6="下降トレンド▼",3,IF(AD6="もみ合い→",1,0))+IF(V6="年初来安値圏●",3,IF(V6="安値圏",2,0))+IF(Q6="売り▼",2,0)+IF(P6="急増↑↑",2,IF(P6="増加↑",1,0))+IF(Z6&lt;0,1,0)+IF(L6&lt;=-30,2,IF(L6&lt;=-15,1,0))+IF(AE6="25日戻り売り★",2,IF(AE6="5日戻り売り○",1,0))+N(AL6)+N(AP6)+N(AU6),0))</f>
        <v>12</v>
      </c>
      <c r="U6" s="212" t="str">
        <f>IF(T6="","",IF(AND(T6&gt;=3,O6&gt;=1.5),"有効",IF(T6&gt;=3,"要確認","除外")))</f>
        <v>要確認</v>
      </c>
      <c r="V6" s="212" t="str">
        <f>IF(AND(I6&lt;&gt;"",K6&lt;&gt;""),IF(I6&lt;=K6*0.6,"年初来安値圏●",IF(I6&lt;=K6*0.75,"安値圏","通常")),"")</f>
        <v>年初来安値圏●</v>
      </c>
      <c r="W6" s="336">
        <f t="array" ref="W6">IFERROR(100-100/(1+SUMPRODUCT((終値!F148:R148&gt;終値!G148:S148)*(終値!F148:R148-終値!G148:S148))/SUMPRODUCT((終値!F148:R148&lt;終値!G148:S148)*(終値!G148:S148-終値!F148:R148))),50)</f>
        <v>51.347708894878707</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-15.333829540795477</v>
      </c>
      <c r="Y6" s="212" t="str">
        <f>IF(AF6="","",AF6&amp;" | "&amp;AD6&amp;IF(AE6&lt;&gt;"なし"," "&amp;AE6,"")&amp;IF(X6&lt;0," MACD-"," MACD+")&amp;" RSI:"&amp;TEXT(W6,"0.0")&amp;IF(W6&gt;=70," [過熱]",IF(W6&lt;=30," [売られ過ぎ]",""))&amp;" 前日比:"&amp;TEXT(Z6,"+0.0;-0.0;0.0")&amp;"%"&amp;IF(V6="年初来安値圏●"," [年初来安値圏]",IF(V6="安値圏"," [安値圏]",""))&amp;IF(OR(AO6="通常",AO6="-"),""," ["&amp;AO6&amp;"]")&amp;IF(OR(AT6="通常",AT6="-"),"","前日["&amp;AT6&amp;"]")&amp;" ["&amp;T6&amp;"点]")</f>
        <v>相場上昇・見送り | パーフェクト▲ MACD- RSI:51.3 前日比:-2.4% [年初来安値圏] [12点]</v>
      </c>
      <c r="Z6" s="338">
        <f>IF(AND(E6&lt;&gt;"",G6&lt;&gt;"",G6&lt;&gt;0),(E6-G6)/G6*100,"")</f>
        <v>-2.3746701846965697</v>
      </c>
      <c r="AA6" s="212" t="str">
        <f>IF(OR(C6="",E6="",E6=0),"",IF(E6&gt;G6,"上昇▲",IF(E6&lt;G6,"下落▼","横ばい→")))</f>
        <v>下落▼</v>
      </c>
      <c r="AB6" s="333">
        <f>IF(OR(C6="",C6="TOPX",終値!E148=""),"",IFERROR(((終値!E148*0.333)+(終値!F148*0.222)+(終値!G148*0.148)+(終値!H148*0.099)+(終値!I148*0.066))/(0.333+0.222+0.148+0.099+0.066),""))</f>
        <v>1460.6290322580644</v>
      </c>
      <c r="AC6" s="333">
        <f>IF(OR(C6="",C6="TOPX",終値!E148=""),"",IFERROR(SUMPRODUCT((終値!E148:AC148),{0.077,0.071,0.065,0.06,0.055,0.051,0.047,0.043,0.039,0.036,0.033,0.031,0.028,0.026,0.024,0.022,0.02,0.018,0.017,0.016,0.014,0.013,0.012,0.011,0.01})/SUM({0.077,0.071,0.065,0.06,0.055,0.051,0.047,0.043,0.039,0.036,0.033,0.031,0.028,0.026,0.024,0.022,0.02,0.018,0.017,0.016,0.014,0.013,0.012,0.011,0.01}),""))</f>
        <v>1413.2288438617397</v>
      </c>
      <c r="AD6" s="212" t="str">
        <f>IF(OR(C6="",AB6="",AC6="",AB6=0,AC6=0),"",IF(AND(E6&gt;AB6,AB6&gt;AC6),"パーフェクト▲",IF(E6&gt;AC6,"上昇トレンド▲",IF(AND(E6&lt;AB6,AB6&lt;AC6),"下降トレンド▼","もみ合い→"))))</f>
        <v>パーフェクト▲</v>
      </c>
      <c r="AE6" s="212" t="str">
        <f>IF(OR(C6="",AB6="",AC6=""),"",IF(AND(ABS(E6-AC6)/AC6&lt;=0.02,E6&lt;AC6),"25日戻り売り★",IF(AND(ABS(E6-AB6)/AB6&lt;=0.01,E6&lt;AB6),"5日戻り売り○","なし")))</f>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相場上昇・見送り</v>
      </c>
      <c r="AG6">
        <f>IF(AND(T6&gt;=7,C6&lt;&gt;""),T6,0)</f>
        <v>12</v>
      </c>
      <c r="AH6">
        <f>IF(AG6&gt;0,AG6*10000-ROW(A6),0)</f>
        <v>119994</v>
      </c>
      <c r="AI6" s="373">
        <f t="array" ref="AI6">IF(C6="","",IFERROR((INDEX(終値!$E:$E,MATCH(TEXT(C6,"0"),終値!$A:$A,0))-INDEX(終値!$E:$CZ,MATCH(TEXT(C6,"0"),終値!$A:$A,0),$AN$2))/INDEX(終値!$E:$CZ,MATCH(TEXT(C6,"0"),終値!$A:$A,0),$AN$2)*100,""))</f>
        <v>-14.844649021864212</v>
      </c>
      <c r="AJ6" s="373">
        <f t="array" ref="AJ6">IFERROR((終値!$E$5-INDEX(終値!$E$5:$IT$5,1,$AN$2))/INDEX(終値!$E$5:$IT$5,1,$AN$2)*100,"")</f>
        <v>1.0179378228534113</v>
      </c>
      <c r="AK6" s="374">
        <f>IF(OR(AI6="",AJ6=""),"",AI6-AJ6)</f>
        <v>-15.862586844717624</v>
      </c>
      <c r="AL6" s="372">
        <f>IF(AK6="","",IF(AK6&lt;-5,3,IF(AK6&lt;0,1,IF(AK6&lt;3,-1,-2))))</f>
        <v>3</v>
      </c>
      <c r="AO6" s="376" t="str">
        <f>IF(OR($C6="",$E6="",$F6="",$H6="",$I6="",$H6-$I6&lt;=0),"-",IF(AND($H6-MAX($F6,$E6)&gt;=ABS($E6-$F6)*2,MIN($F6,$E6)-$I6&lt;=ABS($E6-$F6)*0.5,ABS($E6-$F6)&gt;0),"上ヒゲ陰線▼",IF(AND($E6&lt;$F6,ABS($E6-$F6)&gt;=($H6-$I6)*0.7),"大陰線▼",IF(AND(MIN($F6,$E6)-$I6&gt;=($H6-$I6)*0.5,$H6-MAX($F6,$E6)&lt;=($H6-$I6)*0.2),"長い下ヒゲ(反発警戒)","通常"))))</f>
        <v>通常</v>
      </c>
      <c r="AP6" s="377">
        <f>IF($AO6="上ヒゲ陰線▼",2,IF($AO6="大陰線▼",2,IF($AO6="長い下ヒゲ(反発警戒)",-2,0)))</f>
        <v>0</v>
      </c>
      <c r="AQ6">
        <f>IF(C6&lt;&gt;"",始値!F148,"")</f>
        <v>1468</v>
      </c>
      <c r="AR6">
        <f>IF(C6&lt;&gt;"",高値!F148,"")</f>
        <v>1519</v>
      </c>
      <c r="AS6">
        <f>IF(C6&lt;&gt;"",安値!F148,"")</f>
        <v>1457</v>
      </c>
      <c r="AT6" t="str">
        <f>IF(OR(C6="",AQ6="",AR6="",AS6="",AR6-AS6&lt;=0),"-",IF(AND(AR6-MAX(G6,AQ6)&gt;=ABS(G6-AQ6)*2,MIN(G6,AQ6)-AS6&lt;=ABS(G6-AQ6)*0.5,ABS(G6-AQ6)&gt;0),"上ヒゲ陰線▼",IF(AND(G6&lt;AQ6,ABS(G6-AQ6)&gt;=(AR6-AS6)*0.7),"大陰線▼",IF(AND(MIN(G6,AQ6)-AS6&gt;=(AR6-AS6)*0.5,AR6-MAX(G6,AQ6)&lt;=(AR6-AS6)*0.2),"長い下ヒゲ(反発)","通常"))))</f>
        <v>通常</v>
      </c>
      <c r="AU6">
        <f>IF(AT6="上ヒゲ陰線▼",2,IF(AT6="大陰線▼",2,IF(AT6="長い下ヒゲ(反発)",-2,0)))</f>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1858.5</v>
      </c>
      <c r="F7" s="326">
        <f>IF(C7&lt;&gt;"",_xll.RssMarket(C7,"始値"),"")</f>
        <v>1857.5</v>
      </c>
      <c r="G7" s="325">
        <f>IF(C7&lt;&gt;"",終値!F84,"")</f>
        <v>1838.5</v>
      </c>
      <c r="H7" s="326">
        <f>IF(C7&lt;&gt;"",_xll.RssMarket(C7,"高値"),"")</f>
        <v>1885.5</v>
      </c>
      <c r="I7" s="326">
        <f>IF(C7&lt;&gt;"",_xll.RssMarket(C7,"安値"),"")</f>
        <v>1822</v>
      </c>
      <c r="J7" s="326">
        <f>IF(C7&lt;&gt;"",_xll.RssMarket(C7,"出来高"),"")</f>
        <v>7346400</v>
      </c>
      <c r="K7" s="326">
        <f>IF(C7&lt;&gt;"",_xll.RssMarket(C7,"年初来高値"),"")</f>
        <v>2359</v>
      </c>
      <c r="L7" s="327">
        <f>IF(AND(E7&lt;&gt;"",K7&lt;&gt;"",K7&lt;&gt;0),(E7-K7)/K7*100,"")</f>
        <v>-21.216617210682493</v>
      </c>
      <c r="M7" s="326">
        <f>IF(C7&lt;&gt;"",IFERROR(AVERAGE(出来高!E84:I84),""),"")</f>
        <v>7907900</v>
      </c>
      <c r="N7" s="326">
        <f>IF(C7&lt;&gt;"",IFERROR(AVERAGE(出来高!E84:AC84),""),"")</f>
        <v>5935052</v>
      </c>
      <c r="O7" s="328">
        <f>IF(AND(J7&lt;&gt;"",M7&lt;&gt;"",M7&lt;&gt;0),J7/M7,"")</f>
        <v>0.92899505557733408</v>
      </c>
      <c r="P7" s="325" t="str">
        <f>IF(O7="","",IF(O7&gt;=2,"急増↑↑",IF(O7&gt;=1.5,"増加↑",IF(O7&gt;=1,"普通→","減少↓"))))</f>
        <v>減少↓</v>
      </c>
      <c r="Q7" s="325" t="str">
        <f>IF(E7="","",IF(AND(E7&lt;G7,O7&gt;=1.5),"売り▼",IF(E7&gt;G7,"様子見▲","中立→")))</f>
        <v>様子見▲</v>
      </c>
      <c r="R7" s="326">
        <f>IF(E7&lt;&gt;"",ROUND(E7*0.92,0),"")</f>
        <v>1710</v>
      </c>
      <c r="S7" s="326">
        <f>IF(E7&lt;&gt;"",ROUND(E7*1.04,0),"")</f>
        <v>1933</v>
      </c>
      <c r="T7" s="325">
        <f>IF(C7="","",IFERROR(IF(W7&gt;=70,3,IF(W7&gt;=60,2,IF(W7&gt;=50,1,0)))+IF(X7&lt;0,2,0)+IF(AD7="下降トレンド▼",3,IF(AD7="もみ合い→",1,0))+IF(V7="年初来安値圏●",3,IF(V7="安値圏",2,0))+IF(Q7="売り▼",2,0)+IF(P7="急増↑↑",2,IF(P7="増加↑",1,0))+IF(Z7&lt;0,1,0)+IF(L7&lt;=-30,2,IF(L7&lt;=-15,1,0))+IF(AE7="25日戻り売り★",2,IF(AE7="5日戻り売り○",1,0))+N(AL7)+N(AP7)+N(AU7),0))</f>
        <v>2</v>
      </c>
      <c r="U7" s="325" t="str">
        <f>IF(T7="","",IF(AND(T7&gt;=3,O7&gt;=1.5),"有効",IF(T7&gt;=3,"要確認","除外")))</f>
        <v>除外</v>
      </c>
      <c r="V7" s="325" t="str">
        <f>IF(AND(I7&lt;&gt;"",K7&lt;&gt;""),IF(I7&lt;=K7*0.6,"年初来安値圏●",IF(I7&lt;=K7*0.75,"安値圏","通常")),"")</f>
        <v>通常</v>
      </c>
      <c r="W7" s="329">
        <f t="array" ref="W7">IFERROR(100-100/(1+SUMPRODUCT((終値!F84:R84&gt;終値!G84:S84)*(終値!F84:R84-終値!G84:S84))/SUMPRODUCT((終値!F84:R84&lt;終値!G84:S84)*(終値!G84:S84-終値!F84:R84))),50)</f>
        <v>71.014492753623188</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26.239295053714386</v>
      </c>
      <c r="Y7" s="325" t="str">
        <f>IF(AF7="","",AF7&amp;" | "&amp;AD7&amp;IF(AE7&lt;&gt;"なし"," "&amp;AE7,"")&amp;IF(X7&lt;0," MACD-"," MACD+")&amp;" RSI:"&amp;TEXT(W7,"0.0")&amp;IF(W7&gt;=70," [過熱]",IF(W7&lt;=30," [売られ過ぎ]",""))&amp;" 前日比:"&amp;TEXT(Z7,"+0.0;-0.0;0.0")&amp;"%"&amp;IF(V7="年初来安値圏●"," [年初来安値圏]",IF(V7="安値圏"," [安値圏]",""))&amp;IF(OR(AO7="通常",AO7="-"),""," ["&amp;AO7&amp;"]")&amp;IF(OR(AT7="通常",AT7="-"),"","前日["&amp;AT7&amp;"]")&amp;" ["&amp;T7&amp;"点]")</f>
        <v>△過熱・様子見 | パーフェクト▲ MACD+ RSI:71.0 [過熱] 前日比:+1.1% [2点]</v>
      </c>
      <c r="Z7" s="331">
        <f>IF(AND(E7&lt;&gt;"",G7&lt;&gt;"",G7&lt;&gt;0),(E7-G7)/G7*100,"")</f>
        <v>1.0878433505575198</v>
      </c>
      <c r="AA7" s="325" t="str">
        <f>IF(OR(C7="",E7="",E7=0),"",IF(E7&gt;G7,"上昇▲",IF(E7&lt;G7,"下落▼","横ばい→")))</f>
        <v>上昇▲</v>
      </c>
      <c r="AB7" s="326">
        <f>IF(OR(C7="",C7="TOPX",終値!E84=""),"",IFERROR(((終値!E84*0.333)+(終値!F84*0.222)+(終値!G84*0.148)+(終値!H84*0.099)+(終値!I84*0.066))/(0.333+0.222+0.148+0.099+0.066),""))</f>
        <v>1832.8508064516125</v>
      </c>
      <c r="AC7" s="326">
        <f>IF(OR(C7="",C7="TOPX",終値!E84=""),"",IFERROR(SUMPRODUCT((終値!E84:AC84),{0.077,0.071,0.065,0.06,0.055,0.051,0.047,0.043,0.039,0.036,0.033,0.031,0.028,0.026,0.024,0.022,0.02,0.018,0.017,0.016,0.014,0.013,0.012,0.011,0.01})/SUM({0.077,0.071,0.065,0.06,0.055,0.051,0.047,0.043,0.039,0.036,0.033,0.031,0.028,0.026,0.024,0.022,0.02,0.018,0.017,0.016,0.014,0.013,0.012,0.011,0.01}),""))</f>
        <v>1767.6543504171623</v>
      </c>
      <c r="AD7" s="325" t="str">
        <f>IF(OR(C7="",AB7="",AC7="",AB7=0,AC7=0),"",IF(AND(E7&gt;AB7,AB7&gt;AC7),"パーフェクト▲",IF(E7&gt;AC7,"上昇トレンド▲",IF(AND(E7&lt;AB7,AB7&lt;AC7),"下降トレンド▼","もみ合い→"))))</f>
        <v>パーフェクト▲</v>
      </c>
      <c r="AE7" s="325" t="str">
        <f>IF(OR(C7="",AB7="",AC7=""),"",IF(AND(ABS(E7-AC7)/AC7&lt;=0.02,E7&lt;AC7),"25日戻り売り★",IF(AND(ABS(E7-AB7)/AB7&lt;=0.01,E7&lt;AB7),"5日戻り売り○","なし")))</f>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△過熱・様子見</v>
      </c>
      <c r="AG7">
        <f>IF(AND(T7&gt;=7,C7&lt;&gt;""),T7,0)</f>
        <v>0</v>
      </c>
      <c r="AH7">
        <f>IF(AG7&gt;0,AG7*10000-ROW(A7),0)</f>
        <v>0</v>
      </c>
      <c r="AI7" s="373">
        <f t="array" ref="AI7">IF(C7="","",IFERROR((INDEX(終値!$E:$E,MATCH(TEXT(C7,"0"),終値!$A:$A,0))-INDEX(終値!$E:$CZ,MATCH(TEXT(C7,"0"),終値!$A:$A,0),$AN$2))/INDEX(終値!$E:$CZ,MATCH(TEXT(C7,"0"),終値!$A:$A,0),$AN$2)*100,""))</f>
        <v>19.710144927536234</v>
      </c>
      <c r="AJ7" s="373">
        <f t="array" ref="AJ7">IFERROR((終値!$E$5-INDEX(終値!$E$5:$IT$5,1,$AN$2))/INDEX(終値!$E$5:$IT$5,1,$AN$2)*100,"")</f>
        <v>1.0179378228534113</v>
      </c>
      <c r="AK7" s="374">
        <f>IF(OR(AI7="",AJ7=""),"",AI7-AJ7)</f>
        <v>18.692207104682822</v>
      </c>
      <c r="AL7" s="372">
        <f>IF(AK7="","",IF(AK7&lt;-5,3,IF(AK7&lt;0,1,IF(AK7&lt;3,-1,-2))))</f>
        <v>-2</v>
      </c>
      <c r="AO7" s="376" t="str">
        <f>IF(OR($C7="",$E7="",$F7="",$H7="",$I7="",$H7-$I7&lt;=0),"-",IF(AND($H7-MAX($F7,$E7)&gt;=ABS($E7-$F7)*2,MIN($F7,$E7)-$I7&lt;=ABS($E7-$F7)*0.5,ABS($E7-$F7)&gt;0),"上ヒゲ陰線▼",IF(AND($E7&lt;$F7,ABS($E7-$F7)&gt;=($H7-$I7)*0.7),"大陰線▼",IF(AND(MIN($F7,$E7)-$I7&gt;=($H7-$I7)*0.5,$H7-MAX($F7,$E7)&lt;=($H7-$I7)*0.2),"長い下ヒゲ(反発警戒)","通常"))))</f>
        <v>通常</v>
      </c>
      <c r="AP7" s="377">
        <f>IF($AO7="上ヒゲ陰線▼",2,IF($AO7="大陰線▼",2,IF($AO7="長い下ヒゲ(反発警戒)",-2,0)))</f>
        <v>0</v>
      </c>
      <c r="AQ7">
        <f>IF(C7&lt;&gt;"",始値!F84,"")</f>
        <v>1777</v>
      </c>
      <c r="AR7">
        <f>IF(C7&lt;&gt;"",高値!F84,"")</f>
        <v>1840.5</v>
      </c>
      <c r="AS7">
        <f>IF(C7&lt;&gt;"",安値!F84,"")</f>
        <v>1758</v>
      </c>
      <c r="AT7" t="str">
        <f>IF(OR(C7="",AQ7="",AR7="",AS7="",AR7-AS7&lt;=0),"-",IF(AND(AR7-MAX(G7,AQ7)&gt;=ABS(G7-AQ7)*2,MIN(G7,AQ7)-AS7&lt;=ABS(G7-AQ7)*0.5,ABS(G7-AQ7)&gt;0),"上ヒゲ陰線▼",IF(AND(G7&lt;AQ7,ABS(G7-AQ7)&gt;=(AR7-AS7)*0.7),"大陰線▼",IF(AND(MIN(G7,AQ7)-AS7&gt;=(AR7-AS7)*0.5,AR7-MAX(G7,AQ7)&lt;=(AR7-AS7)*0.2),"長い下ヒゲ(反発)","通常"))))</f>
        <v>通常</v>
      </c>
      <c r="AU7">
        <f>IF(AT7="上ヒゲ陰線▼",2,IF(AT7="大陰線▼",2,IF(AT7="長い下ヒゲ(反発)",-2,0)))</f>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417</v>
      </c>
      <c r="F8" s="333">
        <f>IF(C8&lt;&gt;"",_xll.RssMarket(C8,"始値"),"")</f>
        <v>420</v>
      </c>
      <c r="G8" s="212">
        <f>IF(C8&lt;&gt;"",終値!F112,"")</f>
        <v>422</v>
      </c>
      <c r="H8" s="333">
        <f>IF(C8&lt;&gt;"",_xll.RssMarket(C8,"高値"),"")</f>
        <v>420</v>
      </c>
      <c r="I8" s="333">
        <f>IF(C8&lt;&gt;"",_xll.RssMarket(C8,"安値"),"")</f>
        <v>412</v>
      </c>
      <c r="J8" s="333">
        <f>IF(C8&lt;&gt;"",_xll.RssMarket(C8,"出来高"),"")</f>
        <v>495800</v>
      </c>
      <c r="K8" s="333">
        <f>IF(C8&lt;&gt;"",_xll.RssMarket(C8,"年初来高値"),"")</f>
        <v>710</v>
      </c>
      <c r="L8" s="334">
        <f>IF(AND(E8&lt;&gt;"",K8&lt;&gt;"",K8&lt;&gt;0),(E8-K8)/K8*100,"")</f>
        <v>-41.267605633802816</v>
      </c>
      <c r="M8" s="333">
        <f>IF(C8&lt;&gt;"",IFERROR(AVERAGE(出来高!E112:I112),""),"")</f>
        <v>842480</v>
      </c>
      <c r="N8" s="333">
        <f>IF(C8&lt;&gt;"",IFERROR(AVERAGE(出来高!E112:AC112),""),"")</f>
        <v>1585795.8333333333</v>
      </c>
      <c r="O8" s="335">
        <f>IF(AND(J8&lt;&gt;"",M8&lt;&gt;"",M8&lt;&gt;0),J8/M8,"")</f>
        <v>0.58850061722533475</v>
      </c>
      <c r="P8" s="212" t="str">
        <f>IF(O8="","",IF(O8&gt;=2,"急増↑↑",IF(O8&gt;=1.5,"増加↑",IF(O8&gt;=1,"普通→","減少↓"))))</f>
        <v>減少↓</v>
      </c>
      <c r="Q8" s="212" t="str">
        <f>IF(E8="","",IF(AND(E8&lt;G8,O8&gt;=1.5),"売り▼",IF(E8&gt;G8,"様子見▲","中立→")))</f>
        <v>中立→</v>
      </c>
      <c r="R8" s="333">
        <f>IF(E8&lt;&gt;"",ROUND(E8*0.92,0),"")</f>
        <v>384</v>
      </c>
      <c r="S8" s="333">
        <f>IF(E8&lt;&gt;"",ROUND(E8*1.04,0),"")</f>
        <v>434</v>
      </c>
      <c r="T8" s="325">
        <f>IF(C8="","",IFERROR(IF(W8&gt;=70,3,IF(W8&gt;=60,2,IF(W8&gt;=50,1,0)))+IF(X8&lt;0,2,0)+IF(AD8="下降トレンド▼",3,IF(AD8="もみ合い→",1,0))+IF(V8="年初来安値圏●",3,IF(V8="安値圏",2,0))+IF(Q8="売り▼",2,0)+IF(P8="急増↑↑",2,IF(P8="増加↑",1,0))+IF(Z8&lt;0,1,0)+IF(L8&lt;=-30,2,IF(L8&lt;=-15,1,0))+IF(AE8="25日戻り売り★",2,IF(AE8="5日戻り売り○",1,0))+N(AL8)+N(AP8)+N(AU8),0))</f>
        <v>9</v>
      </c>
      <c r="U8" s="212" t="str">
        <f>IF(T8="","",IF(AND(T8&gt;=3,O8&gt;=1.5),"有効",IF(T8&gt;=3,"要確認","除外")))</f>
        <v>要確認</v>
      </c>
      <c r="V8" s="212" t="str">
        <f>IF(AND(I8&lt;&gt;"",K8&lt;&gt;""),IF(I8&lt;=K8*0.6,"年初来安値圏●",IF(I8&lt;=K8*0.75,"安値圏","通常")),"")</f>
        <v>年初来安値圏●</v>
      </c>
      <c r="W8" s="336">
        <f t="array" ref="W8">IFERROR(100-100/(1+SUMPRODUCT((終値!F112:R112&gt;終値!G112:S112)*(終値!F112:R112-終値!G112:S112))/SUMPRODUCT((終値!F112:R112&lt;終値!G112:S112)*(終値!G112:S112-終値!F112:R112))),50)</f>
        <v>48.54054054054054</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-5.8037725034726577</v>
      </c>
      <c r="Y8" s="212" t="str">
        <f>IF(AF8="","",AF8&amp;" | "&amp;AD8&amp;IF(AE8&lt;&gt;"なし"," "&amp;AE8,"")&amp;IF(X8&lt;0," MACD-"," MACD+")&amp;" RSI:"&amp;TEXT(W8,"0.0")&amp;IF(W8&gt;=70," [過熱]",IF(W8&lt;=30," [売られ過ぎ]",""))&amp;" 前日比:"&amp;TEXT(Z8,"+0.0;-0.0;0.0")&amp;"%"&amp;IF(V8="年初来安値圏●"," [年初来安値圏]",IF(V8="安値圏"," [安値圏]",""))&amp;IF(OR(AO8="通常",AO8="-"),""," ["&amp;AO8&amp;"]")&amp;IF(OR(AT8="通常",AT8="-"),"","前日["&amp;AT8&amp;"]")&amp;" ["&amp;T8&amp;"点]")</f>
        <v>相場上昇・見送り | パーフェクト▲ MACD- RSI:48.5 前日比:-1.2% [年初来安値圏] [長い下ヒゲ(反発警戒)] [9点]</v>
      </c>
      <c r="Z8" s="338">
        <f>IF(AND(E8&lt;&gt;"",G8&lt;&gt;"",G8&lt;&gt;0),(E8-G8)/G8*100,"")</f>
        <v>-1.1848341232227488</v>
      </c>
      <c r="AA8" s="212" t="str">
        <f>IF(OR(C8="",E8="",E8=0),"",IF(E8&gt;G8,"上昇▲",IF(E8&lt;G8,"下落▼","横ばい→")))</f>
        <v>下落▼</v>
      </c>
      <c r="AB8" s="333">
        <f>IF(OR(C8="",C8="TOPX",終値!E112=""),"",IFERROR(((終値!E112*0.333)+(終値!F112*0.222)+(終値!G112*0.148)+(終値!H112*0.099)+(終値!I112*0.066))/(0.333+0.222+0.148+0.099+0.066),""))</f>
        <v>415.08755760368661</v>
      </c>
      <c r="AC8" s="333">
        <f>IF(OR(C8="",C8="TOPX",終値!E112=""),"",IFERROR(SUMPRODUCT((終値!E112:AC112),{0.077,0.071,0.065,0.06,0.055,0.051,0.047,0.043,0.039,0.036,0.033,0.031,0.028,0.026,0.024,0.022,0.02,0.018,0.017,0.016,0.014,0.013,0.012,0.011,0.01})/SUM({0.077,0.071,0.065,0.06,0.055,0.051,0.047,0.043,0.039,0.036,0.033,0.031,0.028,0.026,0.024,0.022,0.02,0.018,0.017,0.016,0.014,0.013,0.012,0.011,0.01}),""))</f>
        <v>401.72109654350402</v>
      </c>
      <c r="AD8" s="212" t="str">
        <f>IF(OR(C8="",AB8="",AC8="",AB8=0,AC8=0),"",IF(AND(E8&gt;AB8,AB8&gt;AC8),"パーフェクト▲",IF(E8&gt;AC8,"上昇トレンド▲",IF(AND(E8&lt;AB8,AB8&lt;AC8),"下降トレンド▼","もみ合い→"))))</f>
        <v>パーフェクト▲</v>
      </c>
      <c r="AE8" s="212" t="str">
        <f>IF(OR(C8="",AB8="",AC8=""),"",IF(AND(ABS(E8-AC8)/AC8&lt;=0.02,E8&lt;AC8),"25日戻り売り★",IF(AND(ABS(E8-AB8)/AB8&lt;=0.01,E8&lt;AB8),"5日戻り売り○","なし")))</f>
        <v>なし</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相場上昇・見送り</v>
      </c>
      <c r="AG8">
        <f>IF(AND(T8&gt;=7,C8&lt;&gt;""),T8,0)</f>
        <v>9</v>
      </c>
      <c r="AH8">
        <f>IF(AG8&gt;0,AG8*10000-ROW(A8),0)</f>
        <v>89992</v>
      </c>
      <c r="AI8" s="373">
        <f t="array" ref="AI8">IF(C8="","",IFERROR((INDEX(終値!$E:$E,MATCH(TEXT(C8,"0"),終値!$A:$A,0))-INDEX(終値!$E:$CZ,MATCH(TEXT(C8,"0"),終値!$A:$A,0),$AN$2))/INDEX(終値!$E:$CZ,MATCH(TEXT(C8,"0"),終値!$A:$A,0),$AN$2)*100,""))</f>
        <v>-5.2272727272727266</v>
      </c>
      <c r="AJ8" s="373">
        <f t="array" ref="AJ8">IFERROR((終値!$E$5-INDEX(終値!$E$5:$IT$5,1,$AN$2))/INDEX(終値!$E$5:$IT$5,1,$AN$2)*100,"")</f>
        <v>1.0179378228534113</v>
      </c>
      <c r="AK8" s="374">
        <f>IF(OR(AI8="",AJ8=""),"",AI8-AJ8)</f>
        <v>-6.2452105501261377</v>
      </c>
      <c r="AL8" s="372">
        <f>IF(AK8="","",IF(AK8&lt;-5,3,IF(AK8&lt;0,1,IF(AK8&lt;3,-1,-2))))</f>
        <v>3</v>
      </c>
      <c r="AO8" s="376" t="str">
        <f>IF(OR($C8="",$E8="",$F8="",$H8="",$I8="",$H8-$I8&lt;=0),"-",IF(AND($H8-MAX($F8,$E8)&gt;=ABS($E8-$F8)*2,MIN($F8,$E8)-$I8&lt;=ABS($E8-$F8)*0.5,ABS($E8-$F8)&gt;0),"上ヒゲ陰線▼",IF(AND($E8&lt;$F8,ABS($E8-$F8)&gt;=($H8-$I8)*0.7),"大陰線▼",IF(AND(MIN($F8,$E8)-$I8&gt;=($H8-$I8)*0.5,$H8-MAX($F8,$E8)&lt;=($H8-$I8)*0.2),"長い下ヒゲ(反発警戒)","通常"))))</f>
        <v>長い下ヒゲ(反発警戒)</v>
      </c>
      <c r="AP8" s="377">
        <f>IF($AO8="上ヒゲ陰線▼",2,IF($AO8="大陰線▼",2,IF($AO8="長い下ヒゲ(反発警戒)",-2,0)))</f>
        <v>-2</v>
      </c>
      <c r="AQ8">
        <f>IF(C8&lt;&gt;"",始値!F112,"")</f>
        <v>416</v>
      </c>
      <c r="AR8">
        <f>IF(C8&lt;&gt;"",高値!F112,"")</f>
        <v>424</v>
      </c>
      <c r="AS8">
        <f>IF(C8&lt;&gt;"",安値!F112,"")</f>
        <v>412</v>
      </c>
      <c r="AT8" t="str">
        <f>IF(OR(C8="",AQ8="",AR8="",AS8="",AR8-AS8&lt;=0),"-",IF(AND(AR8-MAX(G8,AQ8)&gt;=ABS(G8-AQ8)*2,MIN(G8,AQ8)-AS8&lt;=ABS(G8-AQ8)*0.5,ABS(G8-AQ8)&gt;0),"上ヒゲ陰線▼",IF(AND(G8&lt;AQ8,ABS(G8-AQ8)&gt;=(AR8-AS8)*0.7),"大陰線▼",IF(AND(MIN(G8,AQ8)-AS8&gt;=(AR8-AS8)*0.5,AR8-MAX(G8,AQ8)&lt;=(AR8-AS8)*0.2),"長い下ヒゲ(反発)","通常"))))</f>
        <v>通常</v>
      </c>
      <c r="AU8">
        <f>IF(AT8="上ヒゲ陰線▼",2,IF(AT8="大陰線▼",2,IF(AT8="長い下ヒゲ(反発)",-2,0)))</f>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1921</v>
      </c>
      <c r="F9" s="326">
        <f>IF(C9&lt;&gt;"",_xll.RssMarket(C9,"始値"),"")</f>
        <v>1909</v>
      </c>
      <c r="G9" s="325">
        <f>IF(C9&lt;&gt;"",終値!F129,"")</f>
        <v>1949</v>
      </c>
      <c r="H9" s="326">
        <f>IF(C9&lt;&gt;"",_xll.RssMarket(C9,"高値"),"")</f>
        <v>1939</v>
      </c>
      <c r="I9" s="326">
        <f>IF(C9&lt;&gt;"",_xll.RssMarket(C9,"安値"),"")</f>
        <v>1884</v>
      </c>
      <c r="J9" s="326">
        <f>IF(C9&lt;&gt;"",_xll.RssMarket(C9,"出来高"),"")</f>
        <v>162100</v>
      </c>
      <c r="K9" s="326">
        <f>IF(C9&lt;&gt;"",_xll.RssMarket(C9,"年初来高値"),"")</f>
        <v>4400</v>
      </c>
      <c r="L9" s="327">
        <f>IF(AND(E9&lt;&gt;"",K9&lt;&gt;"",K9&lt;&gt;0),(E9-K9)/K9*100,"")</f>
        <v>-56.340909090909086</v>
      </c>
      <c r="M9" s="326">
        <f>IF(C9&lt;&gt;"",IFERROR(AVERAGE(出来高!E129:I129),""),"")</f>
        <v>202440</v>
      </c>
      <c r="N9" s="326">
        <f>IF(C9&lt;&gt;"",IFERROR(AVERAGE(出来高!E129:AC129),""),"")</f>
        <v>179728</v>
      </c>
      <c r="O9" s="328">
        <f>IF(AND(J9&lt;&gt;"",M9&lt;&gt;"",M9&lt;&gt;0),J9/M9,"")</f>
        <v>0.80073108081406841</v>
      </c>
      <c r="P9" s="325" t="str">
        <f>IF(O9="","",IF(O9&gt;=2,"急増↑↑",IF(O9&gt;=1.5,"増加↑",IF(O9&gt;=1,"普通→","減少↓"))))</f>
        <v>減少↓</v>
      </c>
      <c r="Q9" s="325" t="str">
        <f>IF(E9="","",IF(AND(E9&lt;G9,O9&gt;=1.5),"売り▼",IF(E9&gt;G9,"様子見▲","中立→")))</f>
        <v>中立→</v>
      </c>
      <c r="R9" s="326">
        <f>IF(E9&lt;&gt;"",ROUND(E9*0.92,0),"")</f>
        <v>1767</v>
      </c>
      <c r="S9" s="326">
        <f>IF(E9&lt;&gt;"",ROUND(E9*1.04,0),"")</f>
        <v>1998</v>
      </c>
      <c r="T9" s="325">
        <f>IF(C9="","",IFERROR(IF(W9&gt;=70,3,IF(W9&gt;=60,2,IF(W9&gt;=50,1,0)))+IF(X9&lt;0,2,0)+IF(AD9="下降トレンド▼",3,IF(AD9="もみ合い→",1,0))+IF(V9="年初来安値圏●",3,IF(V9="安値圏",2,0))+IF(Q9="売り▼",2,0)+IF(P9="急増↑↑",2,IF(P9="増加↑",1,0))+IF(Z9&lt;0,1,0)+IF(L9&lt;=-30,2,IF(L9&lt;=-15,1,0))+IF(AE9="25日戻り売り★",2,IF(AE9="5日戻り売り○",1,0))+N(AL9)+N(AP9)+N(AU9),0))</f>
        <v>12</v>
      </c>
      <c r="U9" s="325" t="str">
        <f>IF(T9="","",IF(AND(T9&gt;=3,O9&gt;=1.5),"有効",IF(T9&gt;=3,"要確認","除外")))</f>
        <v>要確認</v>
      </c>
      <c r="V9" s="325" t="str">
        <f>IF(AND(I9&lt;&gt;"",K9&lt;&gt;""),IF(I9&lt;=K9*0.6,"年初来安値圏●",IF(I9&lt;=K9*0.75,"安値圏","通常")),"")</f>
        <v>年初来安値圏●</v>
      </c>
      <c r="W9" s="329">
        <f t="array" ref="W9">IFERROR(100-100/(1+SUMPRODUCT((終値!F129:R129&gt;終値!G129:S129)*(終値!F129:R129-終値!G129:S129))/SUMPRODUCT((終値!F129:R129&lt;終値!G129:S129)*(終値!G129:S129-終値!F129:R129))),50)</f>
        <v>50.057537399309552</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-11.146828318851703</v>
      </c>
      <c r="Y9" s="325" t="str">
        <f>IF(AF9="","",AF9&amp;" | "&amp;AD9&amp;IF(AE9&lt;&gt;"なし"," "&amp;AE9,"")&amp;IF(X9&lt;0," MACD-"," MACD+")&amp;" RSI:"&amp;TEXT(W9,"0.0")&amp;IF(W9&gt;=70," [過熱]",IF(W9&lt;=30," [売られ過ぎ]",""))&amp;" 前日比:"&amp;TEXT(Z9,"+0.0;-0.0;0.0")&amp;"%"&amp;IF(V9="年初来安値圏●"," [年初来安値圏]",IF(V9="安値圏"," [安値圏]",""))&amp;IF(OR(AO9="通常",AO9="-"),""," ["&amp;AO9&amp;"]")&amp;IF(OR(AT9="通常",AT9="-"),"","前日["&amp;AT9&amp;"]")&amp;" ["&amp;T9&amp;"点]")</f>
        <v>相場上昇・見送り | パーフェクト▲ MACD- RSI:50.1 前日比:-1.4% [年初来安値圏] [12点]</v>
      </c>
      <c r="Z9" s="331">
        <f>IF(AND(E9&lt;&gt;"",G9&lt;&gt;"",G9&lt;&gt;0),(E9-G9)/G9*100,"")</f>
        <v>-1.4366341713699333</v>
      </c>
      <c r="AA9" s="325" t="str">
        <f>IF(OR(C9="",E9="",E9=0),"",IF(E9&gt;G9,"上昇▲",IF(E9&lt;G9,"下落▼","横ばい→")))</f>
        <v>下落▼</v>
      </c>
      <c r="AB9" s="326">
        <f>IF(OR(C9="",C9="TOPX",終値!E129=""),"",IFERROR(((終値!E129*0.333)+(終値!F129*0.222)+(終値!G129*0.148)+(終値!H129*0.099)+(終値!I129*0.066))/(0.333+0.222+0.148+0.099+0.066),""))</f>
        <v>1890.4262672811055</v>
      </c>
      <c r="AC9" s="326">
        <f>IF(OR(C9="",C9="TOPX",終値!E129=""),"",IFERROR(SUMPRODUCT((終値!E129:AC129),{0.077,0.071,0.065,0.06,0.055,0.051,0.047,0.043,0.039,0.036,0.033,0.031,0.028,0.026,0.024,0.022,0.02,0.018,0.017,0.016,0.014,0.013,0.012,0.011,0.01})/SUM({0.077,0.071,0.065,0.06,0.055,0.051,0.047,0.043,0.039,0.036,0.033,0.031,0.028,0.026,0.024,0.022,0.02,0.018,0.017,0.016,0.014,0.013,0.012,0.011,0.01}),""))</f>
        <v>1852.6471990464831</v>
      </c>
      <c r="AD9" s="325" t="str">
        <f>IF(OR(C9="",AB9="",AC9="",AB9=0,AC9=0),"",IF(AND(E9&gt;AB9,AB9&gt;AC9),"パーフェクト▲",IF(E9&gt;AC9,"上昇トレンド▲",IF(AND(E9&lt;AB9,AB9&lt;AC9),"下降トレンド▼","もみ合い→"))))</f>
        <v>パーフェクト▲</v>
      </c>
      <c r="AE9" s="325" t="str">
        <f>IF(OR(C9="",AB9="",AC9=""),"",IF(AND(ABS(E9-AC9)/AC9&lt;=0.02,E9&lt;AC9),"25日戻り売り★",IF(AND(ABS(E9-AB9)/AB9&lt;=0.01,E9&lt;AB9),"5日戻り売り○","なし")))</f>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相場上昇・見送り</v>
      </c>
      <c r="AG9">
        <f>IF(AND(T9&gt;=7,C9&lt;&gt;""),T9,0)</f>
        <v>12</v>
      </c>
      <c r="AH9">
        <f>IF(AG9&gt;0,AG9*10000-ROW(A9),0)</f>
        <v>119991</v>
      </c>
      <c r="AI9" s="373">
        <f t="array" ref="AI9">IF(C9="","",IFERROR((INDEX(終値!$E:$E,MATCH(TEXT(C9,"0"),終値!$A:$A,0))-INDEX(終値!$E:$CZ,MATCH(TEXT(C9,"0"),終値!$A:$A,0),$AN$2))/INDEX(終値!$E:$CZ,MATCH(TEXT(C9,"0"),終値!$A:$A,0),$AN$2)*100,""))</f>
        <v>-5.0889328063241104</v>
      </c>
      <c r="AJ9" s="373">
        <f t="array" ref="AJ9">IFERROR((終値!$E$5-INDEX(終値!$E$5:$IT$5,1,$AN$2))/INDEX(終値!$E$5:$IT$5,1,$AN$2)*100,"")</f>
        <v>1.0179378228534113</v>
      </c>
      <c r="AK9" s="374">
        <f>IF(OR(AI9="",AJ9=""),"",AI9-AJ9)</f>
        <v>-6.1068706291775214</v>
      </c>
      <c r="AL9" s="372">
        <f>IF(AK9="","",IF(AK9&lt;-5,3,IF(AK9&lt;0,1,IF(AK9&lt;3,-1,-2))))</f>
        <v>3</v>
      </c>
      <c r="AO9" s="376" t="str">
        <f>IF(OR($C9="",$E9="",$F9="",$H9="",$I9="",$H9-$I9&lt;=0),"-",IF(AND($H9-MAX($F9,$E9)&gt;=ABS($E9-$F9)*2,MIN($F9,$E9)-$I9&lt;=ABS($E9-$F9)*0.5,ABS($E9-$F9)&gt;0),"上ヒゲ陰線▼",IF(AND($E9&lt;$F9,ABS($E9-$F9)&gt;=($H9-$I9)*0.7),"大陰線▼",IF(AND(MIN($F9,$E9)-$I9&gt;=($H9-$I9)*0.5,$H9-MAX($F9,$E9)&lt;=($H9-$I9)*0.2),"長い下ヒゲ(反発警戒)","通常"))))</f>
        <v>通常</v>
      </c>
      <c r="AP9" s="377">
        <f>IF($AO9="上ヒゲ陰線▼",2,IF($AO9="大陰線▼",2,IF($AO9="長い下ヒゲ(反発警戒)",-2,0)))</f>
        <v>0</v>
      </c>
      <c r="AQ9">
        <f>IF(C9&lt;&gt;"",始値!F129,"")</f>
        <v>1888</v>
      </c>
      <c r="AR9">
        <f>IF(C9&lt;&gt;"",高値!F129,"")</f>
        <v>1958</v>
      </c>
      <c r="AS9">
        <f>IF(C9&lt;&gt;"",安値!F129,"")</f>
        <v>1853</v>
      </c>
      <c r="AT9" t="str">
        <f>IF(OR(C9="",AQ9="",AR9="",AS9="",AR9-AS9&lt;=0),"-",IF(AND(AR9-MAX(G9,AQ9)&gt;=ABS(G9-AQ9)*2,MIN(G9,AQ9)-AS9&lt;=ABS(G9-AQ9)*0.5,ABS(G9-AQ9)&gt;0),"上ヒゲ陰線▼",IF(AND(G9&lt;AQ9,ABS(G9-AQ9)&gt;=(AR9-AS9)*0.7),"大陰線▼",IF(AND(MIN(G9,AQ9)-AS9&gt;=(AR9-AS9)*0.5,AR9-MAX(G9,AQ9)&lt;=(AR9-AS9)*0.2),"長い下ヒゲ(反発)","通常"))))</f>
        <v>通常</v>
      </c>
      <c r="AU9">
        <f>IF(AT9="上ヒゲ陰線▼",2,IF(AT9="大陰線▼",2,IF(AT9="長い下ヒゲ(反発)",-2,0)))</f>
        <v>0</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23790</v>
      </c>
      <c r="F10" s="333">
        <f>IF(C10&lt;&gt;"",_xll.RssMarket(C10,"始値"),"")</f>
        <v>24350</v>
      </c>
      <c r="G10" s="212">
        <f>IF(C10&lt;&gt;"",終値!F145,"")</f>
        <v>24800</v>
      </c>
      <c r="H10" s="333">
        <f>IF(C10&lt;&gt;"",_xll.RssMarket(C10,"高値"),"")</f>
        <v>24780</v>
      </c>
      <c r="I10" s="333">
        <f>IF(C10&lt;&gt;"",_xll.RssMarket(C10,"安値"),"")</f>
        <v>22680</v>
      </c>
      <c r="J10" s="333">
        <f>IF(C10&lt;&gt;"",_xll.RssMarket(C10,"出来高"),"")</f>
        <v>592100</v>
      </c>
      <c r="K10" s="333">
        <f>IF(C10&lt;&gt;"",_xll.RssMarket(C10,"年初来高値"),"")</f>
        <v>45300</v>
      </c>
      <c r="L10" s="334">
        <f>IF(AND(E10&lt;&gt;"",K10&lt;&gt;"",K10&lt;&gt;0),(E10-K10)/K10*100,"")</f>
        <v>-47.483443708609272</v>
      </c>
      <c r="M10" s="333">
        <f>IF(C10&lt;&gt;"",IFERROR(AVERAGE(出来高!E145:I145),""),"")</f>
        <v>530680</v>
      </c>
      <c r="N10" s="333">
        <f>IF(C10&lt;&gt;"",IFERROR(AVERAGE(出来高!E145:AC145),""),"")</f>
        <v>460096</v>
      </c>
      <c r="O10" s="335">
        <f>IF(AND(J10&lt;&gt;"",M10&lt;&gt;"",M10&lt;&gt;0),J10/M10,"")</f>
        <v>1.1157382980327128</v>
      </c>
      <c r="P10" s="212" t="str">
        <f>IF(O10="","",IF(O10&gt;=2,"急増↑↑",IF(O10&gt;=1.5,"増加↑",IF(O10&gt;=1,"普通→","減少↓"))))</f>
        <v>普通→</v>
      </c>
      <c r="Q10" s="212" t="str">
        <f>IF(E10="","",IF(AND(E10&lt;G10,O10&gt;=1.5),"売り▼",IF(E10&gt;G10,"様子見▲","中立→")))</f>
        <v>中立→</v>
      </c>
      <c r="R10" s="333">
        <f>IF(E10&lt;&gt;"",ROUND(E10*0.92,0),"")</f>
        <v>21887</v>
      </c>
      <c r="S10" s="333">
        <f>IF(E10&lt;&gt;"",ROUND(E10*1.04,0),"")</f>
        <v>24742</v>
      </c>
      <c r="T10" s="325">
        <f>IF(C10="","",IFERROR(IF(W10&gt;=70,3,IF(W10&gt;=60,2,IF(W10&gt;=50,1,0)))+IF(X10&lt;0,2,0)+IF(AD10="下降トレンド▼",3,IF(AD10="もみ合い→",1,0))+IF(V10="年初来安値圏●",3,IF(V10="安値圏",2,0))+IF(Q10="売り▼",2,0)+IF(P10="急増↑↑",2,IF(P10="増加↑",1,0))+IF(Z10&lt;0,1,0)+IF(L10&lt;=-30,2,IF(L10&lt;=-15,1,0))+IF(AE10="25日戻り売り★",2,IF(AE10="5日戻り売り○",1,0))+N(AL10)+N(AP10)+N(AU10),0))</f>
        <v>11</v>
      </c>
      <c r="U10" s="212" t="str">
        <f>IF(T10="","",IF(AND(T10&gt;=3,O10&gt;=1.5),"有効",IF(T10&gt;=3,"要確認","除外")))</f>
        <v>要確認</v>
      </c>
      <c r="V10" s="212" t="str">
        <f>IF(AND(I10&lt;&gt;"",K10&lt;&gt;""),IF(I10&lt;=K10*0.6,"年初来安値圏●",IF(I10&lt;=K10*0.75,"安値圏","通常")),"")</f>
        <v>年初来安値圏●</v>
      </c>
      <c r="W10" s="336">
        <f t="array" ref="W10">IFERROR(100-100/(1+SUMPRODUCT((終値!F145:R145&gt;終値!G145:S145)*(終値!F145:R145-終値!G145:S145))/SUMPRODUCT((終値!F145:R145&lt;終値!G145:S145)*(終値!G145:S145-終値!F145:R145))),50)</f>
        <v>44.196185286103542</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-537.04412929520549</v>
      </c>
      <c r="Y10" s="212" t="str">
        <f>IF(AF10="","",AF10&amp;" | "&amp;AD10&amp;IF(AE10&lt;&gt;"なし"," "&amp;AE10,"")&amp;IF(X10&lt;0," MACD-"," MACD+")&amp;" RSI:"&amp;TEXT(W10,"0.0")&amp;IF(W10&gt;=70," [過熱]",IF(W10&lt;=30," [売られ過ぎ]",""))&amp;" 前日比:"&amp;TEXT(Z10,"+0.0;-0.0;0.0")&amp;"%"&amp;IF(V10="年初来安値圏●"," [年初来安値圏]",IF(V10="安値圏"," [安値圏]",""))&amp;IF(OR(AO10="通常",AO10="-"),""," ["&amp;AO10&amp;"]")&amp;IF(OR(AT10="通常",AT10="-"),"","前日["&amp;AT10&amp;"]")&amp;" ["&amp;T10&amp;"点]")</f>
        <v>相場上昇・見送り | パーフェクト▲ MACD- RSI:44.2 前日比:-4.1% [年初来安値圏] [11点]</v>
      </c>
      <c r="Z10" s="338">
        <f>IF(AND(E10&lt;&gt;"",G10&lt;&gt;"",G10&lt;&gt;0),(E10-G10)/G10*100,"")</f>
        <v>-4.07258064516129</v>
      </c>
      <c r="AA10" s="212" t="str">
        <f>IF(OR(C10="",E10="",E10=0),"",IF(E10&gt;G10,"上昇▲",IF(E10&lt;G10,"下落▼","横ばい→")))</f>
        <v>下落▼</v>
      </c>
      <c r="AB10" s="333">
        <f>IF(OR(C10="",C10="TOPX",終値!E145=""),"",IFERROR(((終値!E145*0.333)+(終値!F145*0.222)+(終値!G145*0.148)+(終値!H145*0.099)+(終値!I145*0.066))/(0.333+0.222+0.148+0.099+0.066),""))</f>
        <v>23215.771889400919</v>
      </c>
      <c r="AC10" s="333">
        <f>IF(OR(C10="",C10="TOPX",終値!E145=""),"",IFERROR(SUMPRODUCT((終値!E145:AC145),{0.077,0.071,0.065,0.06,0.055,0.051,0.047,0.043,0.039,0.036,0.033,0.031,0.028,0.026,0.024,0.022,0.02,0.018,0.017,0.016,0.014,0.013,0.012,0.011,0.01})/SUM({0.077,0.071,0.065,0.06,0.055,0.051,0.047,0.043,0.039,0.036,0.033,0.031,0.028,0.026,0.024,0.022,0.02,0.018,0.017,0.016,0.014,0.013,0.012,0.011,0.01}),""))</f>
        <v>23149.63051251489</v>
      </c>
      <c r="AD10" s="212" t="str">
        <f>IF(OR(C10="",AB10="",AC10="",AB10=0,AC10=0),"",IF(AND(E10&gt;AB10,AB10&gt;AC10),"パーフェクト▲",IF(E10&gt;AC10,"上昇トレンド▲",IF(AND(E10&lt;AB10,AB10&lt;AC10),"下降トレンド▼","もみ合い→"))))</f>
        <v>パーフェクト▲</v>
      </c>
      <c r="AE10" s="212" t="str">
        <f>IF(OR(C10="",AB10="",AC10=""),"",IF(AND(ABS(E10-AC10)/AC10&lt;=0.02,E10&lt;AC10),"25日戻り売り★",IF(AND(ABS(E10-AB10)/AB10&lt;=0.01,E10&lt;AB10),"5日戻り売り○","なし")))</f>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相場上昇・見送り</v>
      </c>
      <c r="AG10">
        <f>IF(AND(T10&gt;=7,C10&lt;&gt;""),T10,0)</f>
        <v>11</v>
      </c>
      <c r="AH10">
        <f>IF(AG10&gt;0,AG10*10000-ROW(A10),0)</f>
        <v>109990</v>
      </c>
      <c r="AI10" s="373">
        <f t="array" ref="AI10">IF(C10="","",IFERROR((INDEX(終値!$E:$E,MATCH(TEXT(C10,"0"),終値!$A:$A,0))-INDEX(終値!$E:$CZ,MATCH(TEXT(C10,"0"),終値!$A:$A,0),$AN$2))/INDEX(終値!$E:$CZ,MATCH(TEXT(C10,"0"),終値!$A:$A,0),$AN$2)*100,""))</f>
        <v>-19.410569105691057</v>
      </c>
      <c r="AJ10" s="373">
        <f t="array" ref="AJ10">IFERROR((終値!$E$5-INDEX(終値!$E$5:$IT$5,1,$AN$2))/INDEX(終値!$E$5:$IT$5,1,$AN$2)*100,"")</f>
        <v>1.0179378228534113</v>
      </c>
      <c r="AK10" s="374">
        <f>IF(OR(AI10="",AJ10=""),"",AI10-AJ10)</f>
        <v>-20.428506928544468</v>
      </c>
      <c r="AL10" s="372">
        <f>IF(AK10="","",IF(AK10&lt;-5,3,IF(AK10&lt;0,1,IF(AK10&lt;3,-1,-2))))</f>
        <v>3</v>
      </c>
      <c r="AO10" s="376" t="str">
        <f>IF(OR($C10="",$E10="",$F10="",$H10="",$I10="",$H10-$I10&lt;=0),"-",IF(AND($H10-MAX($F10,$E10)&gt;=ABS($E10-$F10)*2,MIN($F10,$E10)-$I10&lt;=ABS($E10-$F10)*0.5,ABS($E10-$F10)&gt;0),"上ヒゲ陰線▼",IF(AND($E10&lt;$F10,ABS($E10-$F10)&gt;=($H10-$I10)*0.7),"大陰線▼",IF(AND(MIN($F10,$E10)-$I10&gt;=($H10-$I10)*0.5,$H10-MAX($F10,$E10)&lt;=($H10-$I10)*0.2),"長い下ヒゲ(反発警戒)","通常"))))</f>
        <v>通常</v>
      </c>
      <c r="AP10" s="377">
        <f>IF($AO10="上ヒゲ陰線▼",2,IF($AO10="大陰線▼",2,IF($AO10="長い下ヒゲ(反発警戒)",-2,0)))</f>
        <v>0</v>
      </c>
      <c r="AQ10">
        <f>IF(C10&lt;&gt;"",始値!F145,"")</f>
        <v>23340</v>
      </c>
      <c r="AR10">
        <f>IF(C10&lt;&gt;"",高値!F145,"")</f>
        <v>25060</v>
      </c>
      <c r="AS10">
        <f>IF(C10&lt;&gt;"",安値!F145,"")</f>
        <v>22980</v>
      </c>
      <c r="AT10" t="str">
        <f>IF(OR(C10="",AQ10="",AR10="",AS10="",AR10-AS10&lt;=0),"-",IF(AND(AR10-MAX(G10,AQ10)&gt;=ABS(G10-AQ10)*2,MIN(G10,AQ10)-AS10&lt;=ABS(G10-AQ10)*0.5,ABS(G10-AQ10)&gt;0),"上ヒゲ陰線▼",IF(AND(G10&lt;AQ10,ABS(G10-AQ10)&gt;=(AR10-AS10)*0.7),"大陰線▼",IF(AND(MIN(G10,AQ10)-AS10&gt;=(AR10-AS10)*0.5,AR10-MAX(G10,AQ10)&lt;=(AR10-AS10)*0.2),"長い下ヒゲ(反発)","通常"))))</f>
        <v>通常</v>
      </c>
      <c r="AU10">
        <f>IF(AT10="上ヒゲ陰線▼",2,IF(AT10="大陰線▼",2,IF(AT10="長い下ヒゲ(反発)",-2,0)))</f>
        <v>0</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31970</v>
      </c>
      <c r="F11" s="326">
        <f>IF(C11&lt;&gt;"",_xll.RssMarket(C11,"始値"),"")</f>
        <v>34800</v>
      </c>
      <c r="G11" s="325">
        <f>IF(C11&lt;&gt;"",終値!F6,"")</f>
        <v>35380</v>
      </c>
      <c r="H11" s="326">
        <f>IF(C11&lt;&gt;"",_xll.RssMarket(C11,"高値"),"")</f>
        <v>35200</v>
      </c>
      <c r="I11" s="326">
        <f>IF(C11&lt;&gt;"",_xll.RssMarket(C11,"安値"),"")</f>
        <v>31720</v>
      </c>
      <c r="J11" s="326">
        <f>IF(C11&lt;&gt;"",_xll.RssMarket(C11,"出来高"),"")</f>
        <v>1367900</v>
      </c>
      <c r="K11" s="326">
        <f>IF(C11&lt;&gt;"",_xll.RssMarket(C11,"年初来高値"),"")</f>
        <v>57700</v>
      </c>
      <c r="L11" s="327">
        <f>IF(AND(E11&lt;&gt;"",K11&lt;&gt;"",K11&lt;&gt;0),(E11-K11)/K11*100,"")</f>
        <v>-44.592720970537265</v>
      </c>
      <c r="M11" s="326">
        <f>IF(C11&lt;&gt;"",IFERROR(AVERAGE(出来高!E6:I6),""),"")</f>
        <v>1407920</v>
      </c>
      <c r="N11" s="326">
        <f>IF(C11&lt;&gt;"",IFERROR(AVERAGE(出来高!E6:AC6),""),"")</f>
        <v>1315992</v>
      </c>
      <c r="O11" s="328">
        <f>IF(AND(J11&lt;&gt;"",M11&lt;&gt;"",M11&lt;&gt;0),J11/M11,"")</f>
        <v>0.97157508949372129</v>
      </c>
      <c r="P11" s="325" t="str">
        <f>IF(O11="","",IF(O11&gt;=2,"急増↑↑",IF(O11&gt;=1.5,"増加↑",IF(O11&gt;=1,"普通→","減少↓"))))</f>
        <v>減少↓</v>
      </c>
      <c r="Q11" s="325" t="str">
        <f>IF(E11="","",IF(AND(E11&lt;G11,O11&gt;=1.5),"売り▼",IF(E11&gt;G11,"様子見▲","中立→")))</f>
        <v>中立→</v>
      </c>
      <c r="R11" s="326">
        <f>IF(E11&lt;&gt;"",ROUND(E11*0.92,0),"")</f>
        <v>29412</v>
      </c>
      <c r="S11" s="326">
        <f>IF(E11&lt;&gt;"",ROUND(E11*1.04,0),"")</f>
        <v>33249</v>
      </c>
      <c r="T11" s="325">
        <f>IF(C11="","",IFERROR(IF(W11&gt;=70,3,IF(W11&gt;=60,2,IF(W11&gt;=50,1,0)))+IF(X11&lt;0,2,0)+IF(AD11="下降トレンド▼",3,IF(AD11="もみ合い→",1,0))+IF(V11="年初来安値圏●",3,IF(V11="安値圏",2,0))+IF(Q11="売り▼",2,0)+IF(P11="急増↑↑",2,IF(P11="増加↑",1,0))+IF(Z11&lt;0,1,0)+IF(L11&lt;=-30,2,IF(L11&lt;=-15,1,0))+IF(AE11="25日戻り売り★",2,IF(AE11="5日戻り売り○",1,0))+N(AL11)+N(AP11)+N(AU11),0))</f>
        <v>17</v>
      </c>
      <c r="U11" s="325" t="str">
        <f>IF(T11="","",IF(AND(T11&gt;=3,O11&gt;=1.5),"有効",IF(T11&gt;=3,"要確認","除外")))</f>
        <v>要確認</v>
      </c>
      <c r="V11" s="325" t="str">
        <f>IF(AND(I11&lt;&gt;"",K11&lt;&gt;""),IF(I11&lt;=K11*0.6,"年初来安値圏●",IF(I11&lt;=K11*0.75,"安値圏","通常")),"")</f>
        <v>年初来安値圏●</v>
      </c>
      <c r="W11" s="329">
        <f t="array" ref="W11">IFERROR(100-100/(1+SUMPRODUCT((終値!F6:R6&gt;終値!G6:S6)*(終値!F6:R6-終値!G6:S6))/SUMPRODUCT((終値!F6:R6&lt;終値!G6:S6)*(終値!G6:S6-終値!F6:R6))),50)</f>
        <v>50.74101519081141</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-481.88293815849465</v>
      </c>
      <c r="Y11" s="325" t="str">
        <f>IF(AF11="","",AF11&amp;" | "&amp;AD11&amp;IF(AE11&lt;&gt;"なし"," "&amp;AE11,"")&amp;IF(X11&lt;0," MACD-"," MACD+")&amp;" RSI:"&amp;TEXT(W11,"0.0")&amp;IF(W11&gt;=70," [過熱]",IF(W11&lt;=30," [売られ過ぎ]",""))&amp;" 前日比:"&amp;TEXT(Z11,"+0.0;-0.0;0.0")&amp;"%"&amp;IF(V11="年初来安値圏●"," [年初来安値圏]",IF(V11="安値圏"," [安値圏]",""))&amp;IF(OR(AO11="通常",AO11="-"),""," ["&amp;AO11&amp;"]")&amp;IF(OR(AT11="通常",AT11="-"),"","前日["&amp;AT11&amp;"]")&amp;" ["&amp;T11&amp;"点]")</f>
        <v>○逆張り売り | もみ合い→ 25日戻り売り★ MACD- RSI:50.7 前日比:-9.6% [年初来安値圏] [大陰線▼] [17点]</v>
      </c>
      <c r="Z11" s="331">
        <f>IF(AND(E11&lt;&gt;"",G11&lt;&gt;"",G11&lt;&gt;0),(E11-G11)/G11*100,"")</f>
        <v>-9.6382136800452241</v>
      </c>
      <c r="AA11" s="325" t="str">
        <f>IF(OR(C11="",E11="",E11=0),"",IF(E11&gt;G11,"上昇▲",IF(E11&lt;G11,"下落▼","横ばい→")))</f>
        <v>下落▼</v>
      </c>
      <c r="AB11" s="326">
        <f>IF(OR(C11="",C11="TOPX",終値!E6=""),"",IFERROR(((終値!E6*0.333)+(終値!F6*0.222)+(終値!G6*0.148)+(終値!H6*0.099)+(終値!I6*0.066))/(0.333+0.222+0.148+0.099+0.066),""))</f>
        <v>32629.470046082948</v>
      </c>
      <c r="AC11" s="326">
        <f>IF(OR(C11="",C11="TOPX",終値!E6=""),"",IFERROR(SUMPRODUCT((終値!E6:AC6),{0.077,0.071,0.065,0.06,0.055,0.051,0.047,0.043,0.039,0.036,0.033,0.031,0.028,0.026,0.024,0.022,0.02,0.018,0.017,0.016,0.014,0.013,0.012,0.011,0.01})/SUM({0.077,0.071,0.065,0.06,0.055,0.051,0.047,0.043,0.039,0.036,0.033,0.031,0.028,0.026,0.024,0.022,0.02,0.018,0.017,0.016,0.014,0.013,0.012,0.011,0.01}),""))</f>
        <v>32157.544696066721</v>
      </c>
      <c r="AD11" s="325" t="str">
        <f>IF(OR(C11="",AB11="",AC11="",AB11=0,AC11=0),"",IF(AND(E11&gt;AB11,AB11&gt;AC11),"パーフェクト▲",IF(E11&gt;AC11,"上昇トレンド▲",IF(AND(E11&lt;AB11,AB11&lt;AC11),"下降トレンド▼","もみ合い→"))))</f>
        <v>もみ合い→</v>
      </c>
      <c r="AE11" s="325" t="str">
        <f>IF(OR(C11="",AB11="",AC11=""),"",IF(AND(ABS(E11-AC11)/AC11&lt;=0.02,E11&lt;AC11),"25日戻り売り★",IF(AND(ABS(E11-AB11)/AB11&lt;=0.01,E11&lt;AB11),"5日戻り売り○","なし")))</f>
        <v>25日戻り売り★</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○逆張り売り</v>
      </c>
      <c r="AG11">
        <f>IF(AND(T11&gt;=7,C11&lt;&gt;""),T11,0)</f>
        <v>17</v>
      </c>
      <c r="AH11">
        <f>IF(AG11&gt;0,AG11*10000-ROW(A11),0)</f>
        <v>169989</v>
      </c>
      <c r="AI11" s="373">
        <f t="array" ref="AI11">IF(C11="","",IFERROR((INDEX(終値!$E:$E,MATCH(TEXT(C11,"0"),終値!$A:$A,0))-INDEX(終値!$E:$CZ,MATCH(TEXT(C11,"0"),終値!$A:$A,0),$AN$2))/INDEX(終値!$E:$CZ,MATCH(TEXT(C11,"0"),終値!$A:$A,0),$AN$2)*100,""))</f>
        <v>-25.92678405931418</v>
      </c>
      <c r="AJ11" s="373">
        <f t="array" ref="AJ11">IFERROR((終値!$E$5-INDEX(終値!$E$5:$IT$5,1,$AN$2))/INDEX(終値!$E$5:$IT$5,1,$AN$2)*100,"")</f>
        <v>1.0179378228534113</v>
      </c>
      <c r="AK11" s="374">
        <f>IF(OR(AI11="",AJ11=""),"",AI11-AJ11)</f>
        <v>-26.944721882167592</v>
      </c>
      <c r="AL11" s="372">
        <f>IF(AK11="","",IF(AK11&lt;-5,3,IF(AK11&lt;0,1,IF(AK11&lt;3,-1,-2))))</f>
        <v>3</v>
      </c>
      <c r="AO11" s="376" t="str">
        <f>IF(OR($C11="",$E11="",$F11="",$H11="",$I11="",$H11-$I11&lt;=0),"-",IF(AND($H11-MAX($F11,$E11)&gt;=ABS($E11-$F11)*2,MIN($F11,$E11)-$I11&lt;=ABS($E11-$F11)*0.5,ABS($E11-$F11)&gt;0),"上ヒゲ陰線▼",IF(AND($E11&lt;$F11,ABS($E11-$F11)&gt;=($H11-$I11)*0.7),"大陰線▼",IF(AND(MIN($F11,$E11)-$I11&gt;=($H11-$I11)*0.5,$H11-MAX($F11,$E11)&lt;=($H11-$I11)*0.2),"長い下ヒゲ(反発警戒)","通常"))))</f>
        <v>大陰線▼</v>
      </c>
      <c r="AP11" s="377">
        <f>IF($AO11="上ヒゲ陰線▼",2,IF($AO11="大陰線▼",2,IF($AO11="長い下ヒゲ(反発警戒)",-2,0)))</f>
        <v>2</v>
      </c>
      <c r="AQ11">
        <f>IF(C11&lt;&gt;"",始値!F6,"")</f>
        <v>33900</v>
      </c>
      <c r="AR11">
        <f>IF(C11&lt;&gt;"",高値!F6,"")</f>
        <v>35440</v>
      </c>
      <c r="AS11">
        <f>IF(C11&lt;&gt;"",安値!F6,"")</f>
        <v>33370</v>
      </c>
      <c r="AT11" t="str">
        <f>IF(OR(C11="",AQ11="",AR11="",AS11="",AR11-AS11&lt;=0),"-",IF(AND(AR11-MAX(G11,AQ11)&gt;=ABS(G11-AQ11)*2,MIN(G11,AQ11)-AS11&lt;=ABS(G11-AQ11)*0.5,ABS(G11-AQ11)&gt;0),"上ヒゲ陰線▼",IF(AND(G11&lt;AQ11,ABS(G11-AQ11)&gt;=(AR11-AS11)*0.7),"大陰線▼",IF(AND(MIN(G11,AQ11)-AS11&gt;=(AR11-AS11)*0.5,AR11-MAX(G11,AQ11)&lt;=(AR11-AS11)*0.2),"長い下ヒゲ(反発)","通常"))))</f>
        <v>通常</v>
      </c>
      <c r="AU11">
        <f>IF(AT11="上ヒゲ陰線▼",2,IF(AT11="大陰線▼",2,IF(AT11="長い下ヒゲ(反発)",-2,0)))</f>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6528</v>
      </c>
      <c r="F12" s="333">
        <f>IF(C12&lt;&gt;"",_xll.RssMarket(C12,"始値"),"")</f>
        <v>6504</v>
      </c>
      <c r="G12" s="212">
        <f>IF(C12&lt;&gt;"",終値!F21,"")</f>
        <v>6644</v>
      </c>
      <c r="H12" s="333">
        <f>IF(C12&lt;&gt;"",_xll.RssMarket(C12,"高値"),"")</f>
        <v>6679</v>
      </c>
      <c r="I12" s="333">
        <f>IF(C12&lt;&gt;"",_xll.RssMarket(C12,"安値"),"")</f>
        <v>6463</v>
      </c>
      <c r="J12" s="333">
        <f>IF(C12&lt;&gt;"",_xll.RssMarket(C12,"出来高"),"")</f>
        <v>1524700</v>
      </c>
      <c r="K12" s="333">
        <f>IF(C12&lt;&gt;"",_xll.RssMarket(C12,"年初来高値"),"")</f>
        <v>9500</v>
      </c>
      <c r="L12" s="334">
        <f>IF(AND(E12&lt;&gt;"",K12&lt;&gt;"",K12&lt;&gt;0),(E12-K12)/K12*100,"")</f>
        <v>-31.284210526315793</v>
      </c>
      <c r="M12" s="333">
        <f>IF(C12&lt;&gt;"",IFERROR(AVERAGE(出来高!E21:I21),""),"")</f>
        <v>2113280</v>
      </c>
      <c r="N12" s="333">
        <f>IF(C12&lt;&gt;"",IFERROR(AVERAGE(出来高!E21:AC21),""),"")</f>
        <v>1391454.1666666667</v>
      </c>
      <c r="O12" s="335">
        <f>IF(AND(J12&lt;&gt;"",M12&lt;&gt;"",M12&lt;&gt;0),J12/M12,"")</f>
        <v>0.72148508479709272</v>
      </c>
      <c r="P12" s="212" t="str">
        <f>IF(O12="","",IF(O12&gt;=2,"急増↑↑",IF(O12&gt;=1.5,"増加↑",IF(O12&gt;=1,"普通→","減少↓"))))</f>
        <v>減少↓</v>
      </c>
      <c r="Q12" s="212" t="str">
        <f>IF(E12="","",IF(AND(E12&lt;G12,O12&gt;=1.5),"売り▼",IF(E12&gt;G12,"様子見▲","中立→")))</f>
        <v>中立→</v>
      </c>
      <c r="R12" s="333">
        <f>IF(E12&lt;&gt;"",ROUND(E12*0.92,0),"")</f>
        <v>6006</v>
      </c>
      <c r="S12" s="333">
        <f>IF(E12&lt;&gt;"",ROUND(E12*1.04,0),"")</f>
        <v>6789</v>
      </c>
      <c r="T12" s="325">
        <f>IF(C12="","",IFERROR(IF(W12&gt;=70,3,IF(W12&gt;=60,2,IF(W12&gt;=50,1,0)))+IF(X12&lt;0,2,0)+IF(AD12="下降トレンド▼",3,IF(AD12="もみ合い→",1,0))+IF(V12="年初来安値圏●",3,IF(V12="安値圏",2,0))+IF(Q12="売り▼",2,0)+IF(P12="急増↑↑",2,IF(P12="増加↑",1,0))+IF(Z12&lt;0,1,0)+IF(L12&lt;=-30,2,IF(L12&lt;=-15,1,0))+IF(AE12="25日戻り売り★",2,IF(AE12="5日戻り売り○",1,0))+N(AL12)+N(AP12)+N(AU12),0))</f>
        <v>11</v>
      </c>
      <c r="U12" s="212" t="str">
        <f>IF(T12="","",IF(AND(T12&gt;=3,O12&gt;=1.5),"有効",IF(T12&gt;=3,"要確認","除外")))</f>
        <v>要確認</v>
      </c>
      <c r="V12" s="212" t="str">
        <f>IF(AND(I12&lt;&gt;"",K12&lt;&gt;""),IF(I12&lt;=K12*0.6,"年初来安値圏●",IF(I12&lt;=K12*0.75,"安値圏","通常")),"")</f>
        <v>安値圏</v>
      </c>
      <c r="W12" s="336">
        <f t="array" ref="W12">IFERROR(100-100/(1+SUMPRODUCT((終値!F21:R21&gt;終値!G21:S21)*(終値!F21:R21-終値!G21:S21))/SUMPRODUCT((終値!F21:R21&lt;終値!G21:S21)*(終値!G21:S21-終値!F21:R21))),50)</f>
        <v>46.397343663530712</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-237.52031730741874</v>
      </c>
      <c r="Y12" s="212" t="str">
        <f>IF(AF12="","",AF12&amp;" | "&amp;AD12&amp;IF(AE12&lt;&gt;"なし"," "&amp;AE12,"")&amp;IF(X12&lt;0," MACD-"," MACD+")&amp;" RSI:"&amp;TEXT(W12,"0.0")&amp;IF(W12&gt;=70," [過熱]",IF(W12&lt;=30," [売られ過ぎ]",""))&amp;" 前日比:"&amp;TEXT(Z12,"+0.0;-0.0;0.0")&amp;"%"&amp;IF(V12="年初来安値圏●"," [年初来安値圏]",IF(V12="安値圏"," [安値圏]",""))&amp;IF(OR(AO12="通常",AO12="-"),""," ["&amp;AO12&amp;"]")&amp;IF(OR(AT12="通常",AT12="-"),"","前日["&amp;AT12&amp;"]")&amp;" ["&amp;T12&amp;"点]")</f>
        <v>相場上昇・見送り | もみ合い→ MACD- RSI:46.4 前日比:-1.7% [安値圏] [11点]</v>
      </c>
      <c r="Z12" s="338">
        <f>IF(AND(E12&lt;&gt;"",G12&lt;&gt;"",G12&lt;&gt;0),(E12-G12)/G12*100,"")</f>
        <v>-1.7459361830222759</v>
      </c>
      <c r="AA12" s="212" t="str">
        <f>IF(OR(C12="",E12="",E12=0),"",IF(E12&gt;G12,"上昇▲",IF(E12&lt;G12,"下落▼","横ばい→")))</f>
        <v>下落▼</v>
      </c>
      <c r="AB12" s="333">
        <f>IF(OR(C12="",C12="TOPX",終値!E21=""),"",IFERROR(((終値!E21*0.333)+(終値!F21*0.222)+(終値!G21*0.148)+(終値!H21*0.099)+(終値!I21*0.066))/(0.333+0.222+0.148+0.099+0.066),""))</f>
        <v>6513.8721198156672</v>
      </c>
      <c r="AC12" s="333">
        <f>IF(OR(C12="",C12="TOPX",終値!E21=""),"",IFERROR(SUMPRODUCT((終値!E21:AC21),{0.077,0.071,0.065,0.06,0.055,0.051,0.047,0.043,0.039,0.036,0.033,0.031,0.028,0.026,0.024,0.022,0.02,0.018,0.017,0.016,0.014,0.013,0.012,0.011,0.01})/SUM({0.077,0.071,0.065,0.06,0.055,0.051,0.047,0.043,0.039,0.036,0.033,0.031,0.028,0.026,0.024,0.022,0.02,0.018,0.017,0.016,0.014,0.013,0.012,0.011,0.01}),""))</f>
        <v>6817.9082240762782</v>
      </c>
      <c r="AD12" s="212" t="str">
        <f>IF(OR(C12="",AB12="",AC12="",AB12=0,AC12=0),"",IF(AND(E12&gt;AB12,AB12&gt;AC12),"パーフェクト▲",IF(E12&gt;AC12,"上昇トレンド▲",IF(AND(E12&lt;AB12,AB12&lt;AC12),"下降トレンド▼","もみ合い→"))))</f>
        <v>もみ合い→</v>
      </c>
      <c r="AE12" s="212" t="str">
        <f>IF(OR(C12="",AB12="",AC12=""),"",IF(AND(ABS(E12-AC12)/AC12&lt;=0.02,E12&lt;AC12),"25日戻り売り★",IF(AND(ABS(E12-AB12)/AB12&lt;=0.01,E12&lt;AB12),"5日戻り売り○","なし")))</f>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相場上昇・見送り</v>
      </c>
      <c r="AG12">
        <f>IF(AND(T12&gt;=7,C12&lt;&gt;""),T12,0)</f>
        <v>11</v>
      </c>
      <c r="AH12">
        <f>IF(AG12&gt;0,AG12*10000-ROW(A12),0)</f>
        <v>109988</v>
      </c>
      <c r="AI12" s="373">
        <f t="array" ref="AI12">IF(C12="","",IFERROR((INDEX(終値!$E:$E,MATCH(TEXT(C12,"0"),終値!$A:$A,0))-INDEX(終値!$E:$CZ,MATCH(TEXT(C12,"0"),終値!$A:$A,0),$AN$2))/INDEX(終値!$E:$CZ,MATCH(TEXT(C12,"0"),終値!$A:$A,0),$AN$2)*100,""))</f>
        <v>-20.997216507321795</v>
      </c>
      <c r="AJ12" s="373">
        <f t="array" ref="AJ12">IFERROR((終値!$E$5-INDEX(終値!$E$5:$IT$5,1,$AN$2))/INDEX(終値!$E$5:$IT$5,1,$AN$2)*100,"")</f>
        <v>1.0179378228534113</v>
      </c>
      <c r="AK12" s="374">
        <f>IF(OR(AI12="",AJ12=""),"",AI12-AJ12)</f>
        <v>-22.015154330175207</v>
      </c>
      <c r="AL12" s="372">
        <f>IF(AK12="","",IF(AK12&lt;-5,3,IF(AK12&lt;0,1,IF(AK12&lt;3,-1,-2))))</f>
        <v>3</v>
      </c>
      <c r="AO12" s="376" t="str">
        <f>IF(OR($C12="",$E12="",$F12="",$H12="",$I12="",$H12-$I12&lt;=0),"-",IF(AND($H12-MAX($F12,$E12)&gt;=ABS($E12-$F12)*2,MIN($F12,$E12)-$I12&lt;=ABS($E12-$F12)*0.5,ABS($E12-$F12)&gt;0),"上ヒゲ陰線▼",IF(AND($E12&lt;$F12,ABS($E12-$F12)&gt;=($H12-$I12)*0.7),"大陰線▼",IF(AND(MIN($F12,$E12)-$I12&gt;=($H12-$I12)*0.5,$H12-MAX($F12,$E12)&lt;=($H12-$I12)*0.2),"長い下ヒゲ(反発警戒)","通常"))))</f>
        <v>通常</v>
      </c>
      <c r="AP12" s="377">
        <f>IF($AO12="上ヒゲ陰線▼",2,IF($AO12="大陰線▼",2,IF($AO12="長い下ヒゲ(反発警戒)",-2,0)))</f>
        <v>0</v>
      </c>
      <c r="AQ12">
        <f>IF(C12&lt;&gt;"",始値!F21,"")</f>
        <v>6352</v>
      </c>
      <c r="AR12">
        <f>IF(C12&lt;&gt;"",高値!F21,"")</f>
        <v>6662</v>
      </c>
      <c r="AS12">
        <f>IF(C12&lt;&gt;"",安値!F21,"")</f>
        <v>6344</v>
      </c>
      <c r="AT12" t="str">
        <f>IF(OR(C12="",AQ12="",AR12="",AS12="",AR12-AS12&lt;=0),"-",IF(AND(AR12-MAX(G12,AQ12)&gt;=ABS(G12-AQ12)*2,MIN(G12,AQ12)-AS12&lt;=ABS(G12-AQ12)*0.5,ABS(G12-AQ12)&gt;0),"上ヒゲ陰線▼",IF(AND(G12&lt;AQ12,ABS(G12-AQ12)&gt;=(AR12-AS12)*0.7),"大陰線▼",IF(AND(MIN(G12,AQ12)-AS12&gt;=(AR12-AS12)*0.5,AR12-MAX(G12,AQ12)&lt;=(AR12-AS12)*0.2),"長い下ヒゲ(反発)","通常"))))</f>
        <v>通常</v>
      </c>
      <c r="AU12">
        <f>IF(AT12="上ヒゲ陰線▼",2,IF(AT12="大陰線▼",2,IF(AT12="長い下ヒゲ(反発)",-2,0)))</f>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3735</v>
      </c>
      <c r="F13" s="326">
        <f>IF(C13&lt;&gt;"",_xll.RssMarket(C13,"始値"),"")</f>
        <v>3736</v>
      </c>
      <c r="G13" s="325">
        <f>IF(C13&lt;&gt;"",終値!F60,"")</f>
        <v>3748</v>
      </c>
      <c r="H13" s="326">
        <f>IF(C13&lt;&gt;"",_xll.RssMarket(C13,"高値"),"")</f>
        <v>3807</v>
      </c>
      <c r="I13" s="326">
        <f>IF(C13&lt;&gt;"",_xll.RssMarket(C13,"安値"),"")</f>
        <v>3711</v>
      </c>
      <c r="J13" s="326">
        <f>IF(C13&lt;&gt;"",_xll.RssMarket(C13,"出来高"),"")</f>
        <v>323900</v>
      </c>
      <c r="K13" s="326">
        <f>IF(C13&lt;&gt;"",_xll.RssMarket(C13,"年初来高値"),"")</f>
        <v>3758</v>
      </c>
      <c r="L13" s="327">
        <f>IF(AND(E13&lt;&gt;"",K13&lt;&gt;"",K13&lt;&gt;0),(E13-K13)/K13*100,"")</f>
        <v>-0.61202767429483762</v>
      </c>
      <c r="M13" s="326">
        <f>IF(C13&lt;&gt;"",IFERROR(AVERAGE(出来高!E60:I60),""),"")</f>
        <v>310860</v>
      </c>
      <c r="N13" s="326">
        <f>IF(C13&lt;&gt;"",IFERROR(AVERAGE(出来高!E60:AC60),""),"")</f>
        <v>296464</v>
      </c>
      <c r="O13" s="328">
        <f>IF(AND(J13&lt;&gt;"",M13&lt;&gt;"",M13&lt;&gt;0),J13/M13,"")</f>
        <v>1.0419481438589719</v>
      </c>
      <c r="P13" s="325" t="str">
        <f>IF(O13="","",IF(O13&gt;=2,"急増↑↑",IF(O13&gt;=1.5,"増加↑",IF(O13&gt;=1,"普通→","減少↓"))))</f>
        <v>普通→</v>
      </c>
      <c r="Q13" s="325" t="str">
        <f>IF(E13="","",IF(AND(E13&lt;G13,O13&gt;=1.5),"売り▼",IF(E13&gt;G13,"様子見▲","中立→")))</f>
        <v>中立→</v>
      </c>
      <c r="R13" s="326">
        <f>IF(E13&lt;&gt;"",ROUND(E13*0.92,0),"")</f>
        <v>3436</v>
      </c>
      <c r="S13" s="326">
        <f>IF(E13&lt;&gt;"",ROUND(E13*1.04,0),"")</f>
        <v>3884</v>
      </c>
      <c r="T13" s="325">
        <f>IF(C13="","",IFERROR(IF(W13&gt;=70,3,IF(W13&gt;=60,2,IF(W13&gt;=50,1,0)))+IF(X13&lt;0,2,0)+IF(AD13="下降トレンド▼",3,IF(AD13="もみ合い→",1,0))+IF(V13="年初来安値圏●",3,IF(V13="安値圏",2,0))+IF(Q13="売り▼",2,0)+IF(P13="急増↑↑",2,IF(P13="増加↑",1,0))+IF(Z13&lt;0,1,0)+IF(L13&lt;=-30,2,IF(L13&lt;=-15,1,0))+IF(AE13="25日戻り売り★",2,IF(AE13="5日戻り売り○",1,0))+N(AL13)+N(AP13)+N(AU13),0))</f>
        <v>2</v>
      </c>
      <c r="U13" s="325" t="str">
        <f>IF(T13="","",IF(AND(T13&gt;=3,O13&gt;=1.5),"有効",IF(T13&gt;=3,"要確認","除外")))</f>
        <v>除外</v>
      </c>
      <c r="V13" s="325" t="str">
        <f>IF(AND(I13&lt;&gt;"",K13&lt;&gt;""),IF(I13&lt;=K13*0.6,"年初来安値圏●",IF(I13&lt;=K13*0.75,"安値圏","通常")),"")</f>
        <v>通常</v>
      </c>
      <c r="W13" s="329">
        <f t="array" ref="W13">IFERROR(100-100/(1+SUMPRODUCT((終値!F60:R60&gt;終値!G60:S60)*(終値!F60:R60-終値!G60:S60))/SUMPRODUCT((終値!F60:R60&lt;終値!G60:S60)*(終値!G60:S60-終値!F60:R60))),50)</f>
        <v>71.120689655172413</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34.705676666441832</v>
      </c>
      <c r="Y13" s="325" t="str">
        <f>IF(AF13="","",AF13&amp;" | "&amp;AD13&amp;IF(AE13&lt;&gt;"なし"," "&amp;AE13,"")&amp;IF(X13&lt;0," MACD-"," MACD+")&amp;" RSI:"&amp;TEXT(W13,"0.0")&amp;IF(W13&gt;=70," [過熱]",IF(W13&lt;=30," [売られ過ぎ]",""))&amp;" 前日比:"&amp;TEXT(Z13,"+0.0;-0.0;0.0")&amp;"%"&amp;IF(V13="年初来安値圏●"," [年初来安値圏]",IF(V13="安値圏"," [安値圏]",""))&amp;IF(OR(AO13="通常",AO13="-"),""," ["&amp;AO13&amp;"]")&amp;IF(OR(AT13="通常",AT13="-"),"","前日["&amp;AT13&amp;"]")&amp;" ["&amp;T13&amp;"点]")</f>
        <v>◎反落確認 | パーフェクト▲ MACD+ RSI:71.1 [過熱] 前日比:-0.3% [2点]</v>
      </c>
      <c r="Z13" s="331">
        <f>IF(AND(E13&lt;&gt;"",G13&lt;&gt;"",G13&lt;&gt;0),(E13-G13)/G13*100,"")</f>
        <v>-0.34685165421558162</v>
      </c>
      <c r="AA13" s="325" t="str">
        <f>IF(OR(C13="",E13="",E13=0),"",IF(E13&gt;G13,"上昇▲",IF(E13&lt;G13,"下落▼","横ばい→")))</f>
        <v>下落▼</v>
      </c>
      <c r="AB13" s="326">
        <f>IF(OR(C13="",C13="TOPX",終値!E60=""),"",IFERROR(((終値!E60*0.333)+(終値!F60*0.222)+(終値!G60*0.148)+(終値!H60*0.099)+(終値!I60*0.066))/(0.333+0.222+0.148+0.099+0.066),""))</f>
        <v>3681.2580645161288</v>
      </c>
      <c r="AC13" s="326">
        <f>IF(OR(C13="",C13="TOPX",終値!E60=""),"",IFERROR(SUMPRODUCT((終値!E60:AC60),{0.077,0.071,0.065,0.06,0.055,0.051,0.047,0.043,0.039,0.036,0.033,0.031,0.028,0.026,0.024,0.022,0.02,0.018,0.017,0.016,0.014,0.013,0.012,0.011,0.01})/SUM({0.077,0.071,0.065,0.06,0.055,0.051,0.047,0.043,0.039,0.036,0.033,0.031,0.028,0.026,0.024,0.022,0.02,0.018,0.017,0.016,0.014,0.013,0.012,0.011,0.01}),""))</f>
        <v>3560.8986889153739</v>
      </c>
      <c r="AD13" s="325" t="str">
        <f>IF(OR(C13="",AB13="",AC13="",AB13=0,AC13=0),"",IF(AND(E13&gt;AB13,AB13&gt;AC13),"パーフェクト▲",IF(E13&gt;AC13,"上昇トレンド▲",IF(AND(E13&lt;AB13,AB13&lt;AC13),"下降トレンド▼","もみ合い→"))))</f>
        <v>パーフェクト▲</v>
      </c>
      <c r="AE13" s="325" t="str">
        <f>IF(OR(C13="",AB13="",AC13=""),"",IF(AND(ABS(E13-AC13)/AC13&lt;=0.02,E13&lt;AC13),"25日戻り売り★",IF(AND(ABS(E13-AB13)/AB13&lt;=0.01,E13&lt;AB13),"5日戻り売り○","なし")))</f>
        <v>なし</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◎反落確認</v>
      </c>
      <c r="AG13">
        <f>IF(AND(T13&gt;=7,C13&lt;&gt;""),T13,0)</f>
        <v>0</v>
      </c>
      <c r="AH13">
        <f>IF(AG13&gt;0,AG13*10000-ROW(A13),0)</f>
        <v>0</v>
      </c>
      <c r="AI13" s="373">
        <f t="array" ref="AI13">IF(C13="","",IFERROR((INDEX(終値!$E:$E,MATCH(TEXT(C13,"0"),終値!$A:$A,0))-INDEX(終値!$E:$CZ,MATCH(TEXT(C13,"0"),終値!$A:$A,0),$AN$2))/INDEX(終値!$E:$CZ,MATCH(TEXT(C13,"0"),終値!$A:$A,0),$AN$2)*100,""))</f>
        <v>9.3384074941451995</v>
      </c>
      <c r="AJ13" s="373">
        <f t="array" ref="AJ13">IFERROR((終値!$E$5-INDEX(終値!$E$5:$IT$5,1,$AN$2))/INDEX(終値!$E$5:$IT$5,1,$AN$2)*100,"")</f>
        <v>1.0179378228534113</v>
      </c>
      <c r="AK13" s="374">
        <f>IF(OR(AI13="",AJ13=""),"",AI13-AJ13)</f>
        <v>8.3204696712917876</v>
      </c>
      <c r="AL13" s="372">
        <f>IF(AK13="","",IF(AK13&lt;-5,3,IF(AK13&lt;0,1,IF(AK13&lt;3,-1,-2))))</f>
        <v>-2</v>
      </c>
      <c r="AO13" s="376" t="str">
        <f>IF(OR($C13="",$E13="",$F13="",$H13="",$I13="",$H13-$I13&lt;=0),"-",IF(AND($H13-MAX($F13,$E13)&gt;=ABS($E13-$F13)*2,MIN($F13,$E13)-$I13&lt;=ABS($E13-$F13)*0.5,ABS($E13-$F13)&gt;0),"上ヒゲ陰線▼",IF(AND($E13&lt;$F13,ABS($E13-$F13)&gt;=($H13-$I13)*0.7),"大陰線▼",IF(AND(MIN($F13,$E13)-$I13&gt;=($H13-$I13)*0.5,$H13-MAX($F13,$E13)&lt;=($H13-$I13)*0.2),"長い下ヒゲ(反発警戒)","通常"))))</f>
        <v>通常</v>
      </c>
      <c r="AP13" s="377">
        <f>IF($AO13="上ヒゲ陰線▼",2,IF($AO13="大陰線▼",2,IF($AO13="長い下ヒゲ(反発警戒)",-2,0)))</f>
        <v>0</v>
      </c>
      <c r="AQ13">
        <f>IF(C13&lt;&gt;"",始値!F60,"")</f>
        <v>3618</v>
      </c>
      <c r="AR13">
        <f>IF(C13&lt;&gt;"",高値!F60,"")</f>
        <v>3758</v>
      </c>
      <c r="AS13">
        <f>IF(C13&lt;&gt;"",安値!F60,"")</f>
        <v>3618</v>
      </c>
      <c r="AT13" t="str">
        <f>IF(OR(C13="",AQ13="",AR13="",AS13="",AR13-AS13&lt;=0),"-",IF(AND(AR13-MAX(G13,AQ13)&gt;=ABS(G13-AQ13)*2,MIN(G13,AQ13)-AS13&lt;=ABS(G13-AQ13)*0.5,ABS(G13-AQ13)&gt;0),"上ヒゲ陰線▼",IF(AND(G13&lt;AQ13,ABS(G13-AQ13)&gt;=(AR13-AS13)*0.7),"大陰線▼",IF(AND(MIN(G13,AQ13)-AS13&gt;=(AR13-AS13)*0.5,AR13-MAX(G13,AQ13)&lt;=(AR13-AS13)*0.2),"長い下ヒゲ(反発)","通常"))))</f>
        <v>通常</v>
      </c>
      <c r="AU13">
        <f>IF(AT13="上ヒゲ陰線▼",2,IF(AT13="大陰線▼",2,IF(AT13="長い下ヒゲ(反発)",-2,0)))</f>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6167</v>
      </c>
      <c r="F14" s="333">
        <f>IF(C14&lt;&gt;"",_xll.RssMarket(C14,"始値"),"")</f>
        <v>6093</v>
      </c>
      <c r="G14" s="212">
        <f>IF(C14&lt;&gt;"",終値!F66,"")</f>
        <v>6163</v>
      </c>
      <c r="H14" s="333">
        <f>IF(C14&lt;&gt;"",_xll.RssMarket(C14,"高値"),"")</f>
        <v>6234</v>
      </c>
      <c r="I14" s="333">
        <f>IF(C14&lt;&gt;"",_xll.RssMarket(C14,"安値"),"")</f>
        <v>6090</v>
      </c>
      <c r="J14" s="333">
        <f>IF(C14&lt;&gt;"",_xll.RssMarket(C14,"出来高"),"")</f>
        <v>6777500</v>
      </c>
      <c r="K14" s="333">
        <f>IF(C14&lt;&gt;"",_xll.RssMarket(C14,"年初来高値"),"")</f>
        <v>7930</v>
      </c>
      <c r="L14" s="334">
        <f>IF(AND(E14&lt;&gt;"",K14&lt;&gt;"",K14&lt;&gt;0),(E14-K14)/K14*100,"")</f>
        <v>-22.232030264817151</v>
      </c>
      <c r="M14" s="333">
        <f>IF(C14&lt;&gt;"",IFERROR(AVERAGE(出来高!E66:I66),""),"")</f>
        <v>10086480</v>
      </c>
      <c r="N14" s="333">
        <f>IF(C14&lt;&gt;"",IFERROR(AVERAGE(出来高!E66:AC66),""),"")</f>
        <v>8889956</v>
      </c>
      <c r="O14" s="335">
        <f>IF(AND(J14&lt;&gt;"",M14&lt;&gt;"",M14&lt;&gt;0),J14/M14,"")</f>
        <v>0.67193907091472937</v>
      </c>
      <c r="P14" s="212" t="str">
        <f>IF(O14="","",IF(O14&gt;=2,"急増↑↑",IF(O14&gt;=1.5,"増加↑",IF(O14&gt;=1,"普通→","減少↓"))))</f>
        <v>減少↓</v>
      </c>
      <c r="Q14" s="212" t="str">
        <f>IF(E14="","",IF(AND(E14&lt;G14,O14&gt;=1.5),"売り▼",IF(E14&gt;G14,"様子見▲","中立→")))</f>
        <v>様子見▲</v>
      </c>
      <c r="R14" s="333">
        <f>IF(E14&lt;&gt;"",ROUND(E14*0.92,0),"")</f>
        <v>5674</v>
      </c>
      <c r="S14" s="333">
        <f>IF(E14&lt;&gt;"",ROUND(E14*1.04,0),"")</f>
        <v>6414</v>
      </c>
      <c r="T14" s="325">
        <f>IF(C14="","",IFERROR(IF(W14&gt;=70,3,IF(W14&gt;=60,2,IF(W14&gt;=50,1,0)))+IF(X14&lt;0,2,0)+IF(AD14="下降トレンド▼",3,IF(AD14="もみ合い→",1,0))+IF(V14="年初来安値圏●",3,IF(V14="安値圏",2,0))+IF(Q14="売り▼",2,0)+IF(P14="急増↑↑",2,IF(P14="増加↑",1,0))+IF(Z14&lt;0,1,0)+IF(L14&lt;=-30,2,IF(L14&lt;=-15,1,0))+IF(AE14="25日戻り売り★",2,IF(AE14="5日戻り売り○",1,0))+N(AL14)+N(AP14)+N(AU14),0))</f>
        <v>7</v>
      </c>
      <c r="U14" s="212" t="str">
        <f>IF(T14="","",IF(AND(T14&gt;=3,O14&gt;=1.5),"有効",IF(T14&gt;=3,"要確認","除外")))</f>
        <v>要確認</v>
      </c>
      <c r="V14" s="212" t="str">
        <f>IF(AND(I14&lt;&gt;"",K14&lt;&gt;""),IF(I14&lt;=K14*0.6,"年初来安値圏●",IF(I14&lt;=K14*0.75,"安値圏","通常")),"")</f>
        <v>通常</v>
      </c>
      <c r="W14" s="336">
        <f t="array" ref="W14">IFERROR(100-100/(1+SUMPRODUCT((終値!F66:R66&gt;終値!G66:S66)*(終値!F66:R66-終値!G66:S66))/SUMPRODUCT((終値!F66:R66&lt;終値!G66:S66)*(終値!G66:S66-終値!F66:R66))),50)</f>
        <v>20.280264694433626</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-195.24519879477066</v>
      </c>
      <c r="Y14" s="212" t="str">
        <f>IF(AF14="","",AF14&amp;" | "&amp;AD14&amp;IF(AE14&lt;&gt;"なし"," "&amp;AE14,"")&amp;IF(X14&lt;0," MACD-"," MACD+")&amp;" RSI:"&amp;TEXT(W14,"0.0")&amp;IF(W14&gt;=70," [過熱]",IF(W14&lt;=30," [売られ過ぎ]",""))&amp;" 前日比:"&amp;TEXT(Z14,"+0.0;-0.0;0.0")&amp;"%"&amp;IF(V14="年初来安値圏●"," [年初来安値圏]",IF(V14="安値圏"," [安値圏]",""))&amp;IF(OR(AO14="通常",AO14="-"),""," ["&amp;AO14&amp;"]")&amp;IF(OR(AT14="通常",AT14="-"),"","前日["&amp;AT14&amp;"]")&amp;" ["&amp;T14&amp;"点]")</f>
        <v>相場上昇・見送り | もみ合い→ MACD- RSI:20.3 [売られ過ぎ] 前日比:+0.1% [7点]</v>
      </c>
      <c r="Z14" s="338">
        <f>IF(AND(E14&lt;&gt;"",G14&lt;&gt;"",G14&lt;&gt;0),(E14-G14)/G14*100,"")</f>
        <v>6.4903456109037805E-2</v>
      </c>
      <c r="AA14" s="212" t="str">
        <f>IF(OR(C14="",E14="",E14=0),"",IF(E14&gt;G14,"上昇▲",IF(E14&lt;G14,"下落▼","横ばい→")))</f>
        <v>上昇▲</v>
      </c>
      <c r="AB14" s="333">
        <f>IF(OR(C14="",C14="TOPX",終値!E66=""),"",IFERROR(((終値!E66*0.333)+(終値!F66*0.222)+(終値!G66*0.148)+(終値!H66*0.099)+(終値!I66*0.066))/(0.333+0.222+0.148+0.099+0.066),""))</f>
        <v>6070.6543778801843</v>
      </c>
      <c r="AC14" s="333">
        <f>IF(OR(C14="",C14="TOPX",終値!E66=""),"",IFERROR(SUMPRODUCT((終値!E66:AC66),{0.077,0.071,0.065,0.06,0.055,0.051,0.047,0.043,0.039,0.036,0.033,0.031,0.028,0.026,0.024,0.022,0.02,0.018,0.017,0.016,0.014,0.013,0.012,0.011,0.01})/SUM({0.077,0.071,0.065,0.06,0.055,0.051,0.047,0.043,0.039,0.036,0.033,0.031,0.028,0.026,0.024,0.022,0.02,0.018,0.017,0.016,0.014,0.013,0.012,0.011,0.01}),""))</f>
        <v>6424.5780691299169</v>
      </c>
      <c r="AD14" s="212" t="str">
        <f>IF(OR(C14="",AB14="",AC14="",AB14=0,AC14=0),"",IF(AND(E14&gt;AB14,AB14&gt;AC14),"パーフェクト▲",IF(E14&gt;AC14,"上昇トレンド▲",IF(AND(E14&lt;AB14,AB14&lt;AC14),"下降トレンド▼","もみ合い→"))))</f>
        <v>もみ合い→</v>
      </c>
      <c r="AE14" s="212" t="str">
        <f>IF(OR(C14="",AB14="",AC14=""),"",IF(AND(ABS(E14-AC14)/AC14&lt;=0.02,E14&lt;AC14),"25日戻り売り★",IF(AND(ABS(E14-AB14)/AB14&lt;=0.01,E14&lt;AB14),"5日戻り売り○","なし")))</f>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相場上昇・見送り</v>
      </c>
      <c r="AG14">
        <f>IF(AND(T14&gt;=7,C14&lt;&gt;""),T14,0)</f>
        <v>7</v>
      </c>
      <c r="AH14">
        <f>IF(AG14&gt;0,AG14*10000-ROW(A14),0)</f>
        <v>69986</v>
      </c>
      <c r="AI14" s="373">
        <f t="array" ref="AI14">IF(C14="","",IFERROR((INDEX(終値!$E:$E,MATCH(TEXT(C14,"0"),終値!$A:$A,0))-INDEX(終値!$E:$CZ,MATCH(TEXT(C14,"0"),終値!$A:$A,0),$AN$2))/INDEX(終値!$E:$CZ,MATCH(TEXT(C14,"0"),終値!$A:$A,0),$AN$2)*100,""))</f>
        <v>-15.043394406943106</v>
      </c>
      <c r="AJ14" s="373">
        <f t="array" ref="AJ14">IFERROR((終値!$E$5-INDEX(終値!$E$5:$IT$5,1,$AN$2))/INDEX(終値!$E$5:$IT$5,1,$AN$2)*100,"")</f>
        <v>1.0179378228534113</v>
      </c>
      <c r="AK14" s="374">
        <f>IF(OR(AI14="",AJ14=""),"",AI14-AJ14)</f>
        <v>-16.061332229796516</v>
      </c>
      <c r="AL14" s="372">
        <f>IF(AK14="","",IF(AK14&lt;-5,3,IF(AK14&lt;0,1,IF(AK14&lt;3,-1,-2))))</f>
        <v>3</v>
      </c>
      <c r="AO14" s="376" t="str">
        <f>IF(OR($C14="",$E14="",$F14="",$H14="",$I14="",$H14-$I14&lt;=0),"-",IF(AND($H14-MAX($F14,$E14)&gt;=ABS($E14-$F14)*2,MIN($F14,$E14)-$I14&lt;=ABS($E14-$F14)*0.5,ABS($E14-$F14)&gt;0),"上ヒゲ陰線▼",IF(AND($E14&lt;$F14,ABS($E14-$F14)&gt;=($H14-$I14)*0.7),"大陰線▼",IF(AND(MIN($F14,$E14)-$I14&gt;=($H14-$I14)*0.5,$H14-MAX($F14,$E14)&lt;=($H14-$I14)*0.2),"長い下ヒゲ(反発警戒)","通常"))))</f>
        <v>通常</v>
      </c>
      <c r="AP14" s="377">
        <f>IF($AO14="上ヒゲ陰線▼",2,IF($AO14="大陰線▼",2,IF($AO14="長い下ヒゲ(反発警戒)",-2,0)))</f>
        <v>0</v>
      </c>
      <c r="AQ14">
        <f>IF(C14&lt;&gt;"",始値!F66,"")</f>
        <v>6004</v>
      </c>
      <c r="AR14">
        <f>IF(C14&lt;&gt;"",高値!F66,"")</f>
        <v>6213</v>
      </c>
      <c r="AS14">
        <f>IF(C14&lt;&gt;"",安値!F66,"")</f>
        <v>6004</v>
      </c>
      <c r="AT14" t="str">
        <f>IF(OR(C14="",AQ14="",AR14="",AS14="",AR14-AS14&lt;=0),"-",IF(AND(AR14-MAX(G14,AQ14)&gt;=ABS(G14-AQ14)*2,MIN(G14,AQ14)-AS14&lt;=ABS(G14-AQ14)*0.5,ABS(G14-AQ14)&gt;0),"上ヒゲ陰線▼",IF(AND(G14&lt;AQ14,ABS(G14-AQ14)&gt;=(AR14-AS14)*0.7),"大陰線▼",IF(AND(MIN(G14,AQ14)-AS14&gt;=(AR14-AS14)*0.5,AR14-MAX(G14,AQ14)&lt;=(AR14-AS14)*0.2),"長い下ヒゲ(反発)","通常"))))</f>
        <v>通常</v>
      </c>
      <c r="AU14">
        <f>IF(AT14="上ヒゲ陰線▼",2,IF(AT14="大陰線▼",2,IF(AT14="長い下ヒゲ(反発)",-2,0)))</f>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114</v>
      </c>
      <c r="F15" s="326">
        <f>IF(C15&lt;&gt;"",_xll.RssMarket(C15,"始値"),"")</f>
        <v>114</v>
      </c>
      <c r="G15" s="325">
        <f>IF(C15&lt;&gt;"",終値!F70,"")</f>
        <v>114</v>
      </c>
      <c r="H15" s="326">
        <f>IF(C15&lt;&gt;"",_xll.RssMarket(C15,"高値"),"")</f>
        <v>115</v>
      </c>
      <c r="I15" s="326">
        <f>IF(C15&lt;&gt;"",_xll.RssMarket(C15,"安値"),"")</f>
        <v>112</v>
      </c>
      <c r="J15" s="326">
        <f>IF(C15&lt;&gt;"",_xll.RssMarket(C15,"出来高"),"")</f>
        <v>2428600</v>
      </c>
      <c r="K15" s="326">
        <f>IF(C15&lt;&gt;"",_xll.RssMarket(C15,"年初来高値"),"")</f>
        <v>155</v>
      </c>
      <c r="L15" s="327">
        <f>IF(AND(E15&lt;&gt;"",K15&lt;&gt;"",K15&lt;&gt;0),(E15-K15)/K15*100,"")</f>
        <v>-26.451612903225808</v>
      </c>
      <c r="M15" s="326">
        <f>IF(C15&lt;&gt;"",IFERROR(AVERAGE(出来高!E70:I70),""),"")</f>
        <v>1510420</v>
      </c>
      <c r="N15" s="326">
        <f>IF(C15&lt;&gt;"",IFERROR(AVERAGE(出来高!E70:AC70),""),"")</f>
        <v>1457612.5</v>
      </c>
      <c r="O15" s="328">
        <f>IF(AND(J15&lt;&gt;"",M15&lt;&gt;"",M15&lt;&gt;0),J15/M15,"")</f>
        <v>1.607897141192516</v>
      </c>
      <c r="P15" s="325" t="str">
        <f>IF(O15="","",IF(O15&gt;=2,"急増↑↑",IF(O15&gt;=1.5,"増加↑",IF(O15&gt;=1,"普通→","減少↓"))))</f>
        <v>増加↑</v>
      </c>
      <c r="Q15" s="325" t="str">
        <f>IF(E15="","",IF(AND(E15&lt;G15,O15&gt;=1.5),"売り▼",IF(E15&gt;G15,"様子見▲","中立→")))</f>
        <v>中立→</v>
      </c>
      <c r="R15" s="326">
        <f>IF(E15&lt;&gt;"",ROUND(E15*0.92,0),"")</f>
        <v>105</v>
      </c>
      <c r="S15" s="326">
        <f>IF(E15&lt;&gt;"",ROUND(E15*1.04,0),"")</f>
        <v>119</v>
      </c>
      <c r="T15" s="325">
        <f>IF(C15="","",IFERROR(IF(W15&gt;=70,3,IF(W15&gt;=60,2,IF(W15&gt;=50,1,0)))+IF(X15&lt;0,2,0)+IF(AD15="下降トレンド▼",3,IF(AD15="もみ合い→",1,0))+IF(V15="年初来安値圏●",3,IF(V15="安値圏",2,0))+IF(Q15="売り▼",2,0)+IF(P15="急増↑↑",2,IF(P15="増加↑",1,0))+IF(Z15&lt;0,1,0)+IF(L15&lt;=-30,2,IF(L15&lt;=-15,1,0))+IF(AE15="25日戻り売り★",2,IF(AE15="5日戻り売り○",1,0))+N(AL15)+N(AP15)+N(AU15),0))</f>
        <v>5</v>
      </c>
      <c r="U15" s="325" t="str">
        <f>IF(T15="","",IF(AND(T15&gt;=3,O15&gt;=1.5),"有効",IF(T15&gt;=3,"要確認","除外")))</f>
        <v>有効</v>
      </c>
      <c r="V15" s="325" t="str">
        <f>IF(AND(I15&lt;&gt;"",K15&lt;&gt;""),IF(I15&lt;=K15*0.6,"年初来安値圏●",IF(I15&lt;=K15*0.75,"安値圏","通常")),"")</f>
        <v>安値圏</v>
      </c>
      <c r="W15" s="329">
        <f t="array" ref="W15">IFERROR(100-100/(1+SUMPRODUCT((終値!F70:R70&gt;終値!G70:S70)*(終値!F70:R70-終値!G70:S70))/SUMPRODUCT((終値!F70:R70&lt;終値!G70:S70)*(終値!G70:S70-終値!F70:R70))),50)</f>
        <v>49.1869918699187</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-0.31618100692962514</v>
      </c>
      <c r="Y15" s="325" t="str">
        <f>IF(AF15="","",AF15&amp;" | "&amp;AD15&amp;IF(AE15&lt;&gt;"なし"," "&amp;AE15,"")&amp;IF(X15&lt;0," MACD-"," MACD+")&amp;" RSI:"&amp;TEXT(W15,"0.0")&amp;IF(W15&gt;=70," [過熱]",IF(W15&lt;=30," [売られ過ぎ]",""))&amp;" 前日比:"&amp;TEXT(Z15,"+0.0;-0.0;0.0")&amp;"%"&amp;IF(V15="年初来安値圏●"," [年初来安値圏]",IF(V15="安値圏"," [安値圏]",""))&amp;IF(OR(AO15="通常",AO15="-"),""," ["&amp;AO15&amp;"]")&amp;IF(OR(AT15="通常",AT15="-"),"","前日["&amp;AT15&amp;"]")&amp;" ["&amp;T15&amp;"点]")</f>
        <v>相場上昇・見送り | 上昇トレンド▲ 5日戻り売り○ MACD- RSI:49.2 前日比:0.0% [安値圏] [5点]</v>
      </c>
      <c r="Z15" s="331">
        <f>IF(AND(E15&lt;&gt;"",G15&lt;&gt;"",G15&lt;&gt;0),(E15-G15)/G15*100,"")</f>
        <v>0</v>
      </c>
      <c r="AA15" s="325" t="str">
        <f>IF(OR(C15="",E15="",E15=0),"",IF(E15&gt;G15,"上昇▲",IF(E15&lt;G15,"下落▼","横ばい→")))</f>
        <v>横ばい→</v>
      </c>
      <c r="AB15" s="326">
        <f>IF(OR(C15="",C15="TOPX",終値!E70=""),"",IFERROR(((終値!E70*0.333)+(終値!F70*0.222)+(終値!G70*0.148)+(終値!H70*0.099)+(終値!I70*0.066))/(0.333+0.222+0.148+0.099+0.066),""))</f>
        <v>114.39861751152073</v>
      </c>
      <c r="AC15" s="326">
        <f>IF(OR(C15="",C15="TOPX",終値!E70=""),"",IFERROR(SUMPRODUCT((終値!E70:AC70),{0.077,0.071,0.065,0.06,0.055,0.051,0.047,0.043,0.039,0.036,0.033,0.031,0.028,0.026,0.024,0.022,0.02,0.018,0.017,0.016,0.014,0.013,0.012,0.011,0.01})/SUM({0.077,0.071,0.065,0.06,0.055,0.051,0.047,0.043,0.039,0.036,0.033,0.031,0.028,0.026,0.024,0.022,0.02,0.018,0.017,0.016,0.014,0.013,0.012,0.011,0.01}),""))</f>
        <v>108.86412395709173</v>
      </c>
      <c r="AD15" s="325" t="str">
        <f>IF(OR(C15="",AB15="",AC15="",AB15=0,AC15=0),"",IF(AND(E15&gt;AB15,AB15&gt;AC15),"パーフェクト▲",IF(E15&gt;AC15,"上昇トレンド▲",IF(AND(E15&lt;AB15,AB15&lt;AC15),"下降トレンド▼","もみ合い→"))))</f>
        <v>上昇トレンド▲</v>
      </c>
      <c r="AE15" s="325" t="str">
        <f>IF(OR(C15="",AB15="",AC15=""),"",IF(AND(ABS(E15-AC15)/AC15&lt;=0.02,E15&lt;AC15),"25日戻り売り★",IF(AND(ABS(E15-AB15)/AB15&lt;=0.01,E15&lt;AB15),"5日戻り売り○","なし")))</f>
        <v>5日戻り売り○</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相場上昇・見送り</v>
      </c>
      <c r="AG15">
        <f>IF(AND(T15&gt;=7,C15&lt;&gt;""),T15,0)</f>
        <v>0</v>
      </c>
      <c r="AH15">
        <f>IF(AG15&gt;0,AG15*10000-ROW(A15),0)</f>
        <v>0</v>
      </c>
      <c r="AI15" s="373">
        <f t="array" ref="AI15">IF(C15="","",IFERROR((INDEX(終値!$E:$E,MATCH(TEXT(C15,"0"),終値!$A:$A,0))-INDEX(終値!$E:$CZ,MATCH(TEXT(C15,"0"),終値!$A:$A,0),$AN$2))/INDEX(終値!$E:$CZ,MATCH(TEXT(C15,"0"),終値!$A:$A,0),$AN$2)*100,""))</f>
        <v>8.5714285714285712</v>
      </c>
      <c r="AJ15" s="373">
        <f t="array" ref="AJ15">IFERROR((終値!$E$5-INDEX(終値!$E$5:$IT$5,1,$AN$2))/INDEX(終値!$E$5:$IT$5,1,$AN$2)*100,"")</f>
        <v>1.0179378228534113</v>
      </c>
      <c r="AK15" s="374">
        <f>IF(OR(AI15="",AJ15=""),"",AI15-AJ15)</f>
        <v>7.5534907485751601</v>
      </c>
      <c r="AL15" s="372">
        <f>IF(AK15="","",IF(AK15&lt;-5,3,IF(AK15&lt;0,1,IF(AK15&lt;3,-1,-2))))</f>
        <v>-2</v>
      </c>
      <c r="AO15" s="376" t="str">
        <f>IF(OR($C15="",$E15="",$F15="",$H15="",$I15="",$H15-$I15&lt;=0),"-",IF(AND($H15-MAX($F15,$E15)&gt;=ABS($E15-$F15)*2,MIN($F15,$E15)-$I15&lt;=ABS($E15-$F15)*0.5,ABS($E15-$F15)&gt;0),"上ヒゲ陰線▼",IF(AND($E15&lt;$F15,ABS($E15-$F15)&gt;=($H15-$I15)*0.7),"大陰線▼",IF(AND(MIN($F15,$E15)-$I15&gt;=($H15-$I15)*0.5,$H15-MAX($F15,$E15)&lt;=($H15-$I15)*0.2),"長い下ヒゲ(反発警戒)","通常"))))</f>
        <v>通常</v>
      </c>
      <c r="AP15" s="377">
        <f>IF($AO15="上ヒゲ陰線▼",2,IF($AO15="大陰線▼",2,IF($AO15="長い下ヒゲ(反発警戒)",-2,0)))</f>
        <v>0</v>
      </c>
      <c r="AQ15">
        <f>IF(C15&lt;&gt;"",始値!F70,"")</f>
        <v>114</v>
      </c>
      <c r="AR15">
        <f>IF(C15&lt;&gt;"",高値!F70,"")</f>
        <v>116</v>
      </c>
      <c r="AS15">
        <f>IF(C15&lt;&gt;"",安値!F70,"")</f>
        <v>113</v>
      </c>
      <c r="AT15" t="str">
        <f>IF(OR(C15="",AQ15="",AR15="",AS15="",AR15-AS15&lt;=0),"-",IF(AND(AR15-MAX(G15,AQ15)&gt;=ABS(G15-AQ15)*2,MIN(G15,AQ15)-AS15&lt;=ABS(G15-AQ15)*0.5,ABS(G15-AQ15)&gt;0),"上ヒゲ陰線▼",IF(AND(G15&lt;AQ15,ABS(G15-AQ15)&gt;=(AR15-AS15)*0.7),"大陰線▼",IF(AND(MIN(G15,AQ15)-AS15&gt;=(AR15-AS15)*0.5,AR15-MAX(G15,AQ15)&lt;=(AR15-AS15)*0.2),"長い下ヒゲ(反発)","通常"))))</f>
        <v>通常</v>
      </c>
      <c r="AU15">
        <f>IF(AT15="上ヒゲ陰線▼",2,IF(AT15="大陰線▼",2,IF(AT15="長い下ヒゲ(反発)",-2,0)))</f>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6430</v>
      </c>
      <c r="F16" s="333">
        <f>IF(C16&lt;&gt;"",_xll.RssMarket(C16,"始値"),"")</f>
        <v>6500</v>
      </c>
      <c r="G16" s="212">
        <f>IF(C16&lt;&gt;"",終値!F78,"")</f>
        <v>6460</v>
      </c>
      <c r="H16" s="333">
        <f>IF(C16&lt;&gt;"",_xll.RssMarket(C16,"高値"),"")</f>
        <v>6556</v>
      </c>
      <c r="I16" s="333">
        <f>IF(C16&lt;&gt;"",_xll.RssMarket(C16,"安値"),"")</f>
        <v>6316</v>
      </c>
      <c r="J16" s="333">
        <f>IF(C16&lt;&gt;"",_xll.RssMarket(C16,"出来高"),"")</f>
        <v>6885700</v>
      </c>
      <c r="K16" s="333">
        <f>IF(C16&lt;&gt;"",_xll.RssMarket(C16,"年初来高値"),"")</f>
        <v>8880</v>
      </c>
      <c r="L16" s="334">
        <f>IF(AND(E16&lt;&gt;"",K16&lt;&gt;"",K16&lt;&gt;0),(E16-K16)/K16*100,"")</f>
        <v>-27.59009009009009</v>
      </c>
      <c r="M16" s="333">
        <f>IF(C16&lt;&gt;"",IFERROR(AVERAGE(出来高!E78:I78),""),"")</f>
        <v>11581080</v>
      </c>
      <c r="N16" s="333">
        <f>IF(C16&lt;&gt;"",IFERROR(AVERAGE(出来高!E78:AC78),""),"")</f>
        <v>6926760</v>
      </c>
      <c r="O16" s="335">
        <f>IF(AND(J16&lt;&gt;"",M16&lt;&gt;"",M16&lt;&gt;0),J16/M16,"")</f>
        <v>0.59456458292318159</v>
      </c>
      <c r="P16" s="212" t="str">
        <f>IF(O16="","",IF(O16&gt;=2,"急増↑↑",IF(O16&gt;=1.5,"増加↑",IF(O16&gt;=1,"普通→","減少↓"))))</f>
        <v>減少↓</v>
      </c>
      <c r="Q16" s="212" t="str">
        <f>IF(E16="","",IF(AND(E16&lt;G16,O16&gt;=1.5),"売り▼",IF(E16&gt;G16,"様子見▲","中立→")))</f>
        <v>中立→</v>
      </c>
      <c r="R16" s="333">
        <f>IF(E16&lt;&gt;"",ROUND(E16*0.92,0),"")</f>
        <v>5916</v>
      </c>
      <c r="S16" s="333">
        <f>IF(E16&lt;&gt;"",ROUND(E16*1.04,0),"")</f>
        <v>6687</v>
      </c>
      <c r="T16" s="325">
        <f>IF(C16="","",IFERROR(IF(W16&gt;=70,3,IF(W16&gt;=60,2,IF(W16&gt;=50,1,0)))+IF(X16&lt;0,2,0)+IF(AD16="下降トレンド▼",3,IF(AD16="もみ合い→",1,0))+IF(V16="年初来安値圏●",3,IF(V16="安値圏",2,0))+IF(Q16="売り▼",2,0)+IF(P16="急増↑↑",2,IF(P16="増加↑",1,0))+IF(Z16&lt;0,1,0)+IF(L16&lt;=-30,2,IF(L16&lt;=-15,1,0))+IF(AE16="25日戻り売り★",2,IF(AE16="5日戻り売り○",1,0))+N(AL16)+N(AP16)+N(AU16),0))</f>
        <v>8</v>
      </c>
      <c r="U16" s="212" t="str">
        <f>IF(T16="","",IF(AND(T16&gt;=3,O16&gt;=1.5),"有効",IF(T16&gt;=3,"要確認","除外")))</f>
        <v>要確認</v>
      </c>
      <c r="V16" s="212" t="str">
        <f>IF(AND(I16&lt;&gt;"",K16&lt;&gt;""),IF(I16&lt;=K16*0.6,"年初来安値圏●",IF(I16&lt;=K16*0.75,"安値圏","通常")),"")</f>
        <v>安値圏</v>
      </c>
      <c r="W16" s="336">
        <f t="array" ref="W16">IFERROR(100-100/(1+SUMPRODUCT((終値!F78:R78&gt;終値!G78:S78)*(終値!F78:R78-終値!G78:S78))/SUMPRODUCT((終値!F78:R78&lt;終値!G78:S78)*(終値!G78:S78-終値!F78:R78))),50)</f>
        <v>42.570498915401302</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-75.311697228532466</v>
      </c>
      <c r="Y16" s="212" t="str">
        <f>IF(AF16="","",AF16&amp;" | "&amp;AD16&amp;IF(AE16&lt;&gt;"なし"," "&amp;AE16,"")&amp;IF(X16&lt;0," MACD-"," MACD+")&amp;" RSI:"&amp;TEXT(W16,"0.0")&amp;IF(W16&gt;=70," [過熱]",IF(W16&lt;=30," [売られ過ぎ]",""))&amp;" 前日比:"&amp;TEXT(Z16,"+0.0;-0.0;0.0")&amp;"%"&amp;IF(V16="年初来安値圏●"," [年初来安値圏]",IF(V16="安値圏"," [安値圏]",""))&amp;IF(OR(AO16="通常",AO16="-"),""," ["&amp;AO16&amp;"]")&amp;IF(OR(AT16="通常",AT16="-"),"","前日["&amp;AT16&amp;"]")&amp;" ["&amp;T16&amp;"点]")</f>
        <v>相場上昇・見送り | もみ合い→ MACD- RSI:42.6 前日比:-0.5% [安値圏]前日[長い下ヒゲ(反発)] [8点]</v>
      </c>
      <c r="Z16" s="338">
        <f>IF(AND(E16&lt;&gt;"",G16&lt;&gt;"",G16&lt;&gt;0),(E16-G16)/G16*100,"")</f>
        <v>-0.46439628482972134</v>
      </c>
      <c r="AA16" s="212" t="str">
        <f>IF(OR(C16="",E16="",E16=0),"",IF(E16&gt;G16,"上昇▲",IF(E16&lt;G16,"下落▼","横ばい→")))</f>
        <v>下落▼</v>
      </c>
      <c r="AB16" s="333">
        <f>IF(OR(C16="",C16="TOPX",終値!E78=""),"",IFERROR(((終値!E78*0.333)+(終値!F78*0.222)+(終値!G78*0.148)+(終値!H78*0.099)+(終値!I78*0.066))/(0.333+0.222+0.148+0.099+0.066),""))</f>
        <v>6413.8041474654374</v>
      </c>
      <c r="AC16" s="333">
        <f>IF(OR(C16="",C16="TOPX",終値!E78=""),"",IFERROR(SUMPRODUCT((終値!E78:AC78),{0.077,0.071,0.065,0.06,0.055,0.051,0.047,0.043,0.039,0.036,0.033,0.031,0.028,0.026,0.024,0.022,0.02,0.018,0.017,0.016,0.014,0.013,0.012,0.011,0.01})/SUM({0.077,0.071,0.065,0.06,0.055,0.051,0.047,0.043,0.039,0.036,0.033,0.031,0.028,0.026,0.024,0.022,0.02,0.018,0.017,0.016,0.014,0.013,0.012,0.011,0.01}),""))</f>
        <v>6659.584028605479</v>
      </c>
      <c r="AD16" s="212" t="str">
        <f>IF(OR(C16="",AB16="",AC16="",AB16=0,AC16=0),"",IF(AND(E16&gt;AB16,AB16&gt;AC16),"パーフェクト▲",IF(E16&gt;AC16,"上昇トレンド▲",IF(AND(E16&lt;AB16,AB16&lt;AC16),"下降トレンド▼","もみ合い→"))))</f>
        <v>もみ合い→</v>
      </c>
      <c r="AE16" s="212" t="str">
        <f>IF(OR(C16="",AB16="",AC16=""),"",IF(AND(ABS(E16-AC16)/AC16&lt;=0.02,E16&lt;AC16),"25日戻り売り★",IF(AND(ABS(E16-AB16)/AB16&lt;=0.01,E16&lt;AB16),"5日戻り売り○","なし")))</f>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相場上昇・見送り</v>
      </c>
      <c r="AG16">
        <f>IF(AND(T16&gt;=7,C16&lt;&gt;""),T16,0)</f>
        <v>8</v>
      </c>
      <c r="AH16">
        <f>IF(AG16&gt;0,AG16*10000-ROW(A16),0)</f>
        <v>79984</v>
      </c>
      <c r="AI16" s="373">
        <f t="array" ref="AI16">IF(C16="","",IFERROR((INDEX(終値!$E:$E,MATCH(TEXT(C16,"0"),終値!$A:$A,0))-INDEX(終値!$E:$CZ,MATCH(TEXT(C16,"0"),終値!$A:$A,0),$AN$2))/INDEX(終値!$E:$CZ,MATCH(TEXT(C16,"0"),終値!$A:$A,0),$AN$2)*100,""))</f>
        <v>-13.283884018880649</v>
      </c>
      <c r="AJ16" s="373">
        <f t="array" ref="AJ16">IFERROR((終値!$E$5-INDEX(終値!$E$5:$IT$5,1,$AN$2))/INDEX(終値!$E$5:$IT$5,1,$AN$2)*100,"")</f>
        <v>1.0179378228534113</v>
      </c>
      <c r="AK16" s="374">
        <f>IF(OR(AI16="",AJ16=""),"",AI16-AJ16)</f>
        <v>-14.301821841734061</v>
      </c>
      <c r="AL16" s="372">
        <f>IF(AK16="","",IF(AK16&lt;-5,3,IF(AK16&lt;0,1,IF(AK16&lt;3,-1,-2))))</f>
        <v>3</v>
      </c>
      <c r="AO16" s="376" t="str">
        <f>IF(OR($C16="",$E16="",$F16="",$H16="",$I16="",$H16-$I16&lt;=0),"-",IF(AND($H16-MAX($F16,$E16)&gt;=ABS($E16-$F16)*2,MIN($F16,$E16)-$I16&lt;=ABS($E16-$F16)*0.5,ABS($E16-$F16)&gt;0),"上ヒゲ陰線▼",IF(AND($E16&lt;$F16,ABS($E16-$F16)&gt;=($H16-$I16)*0.7),"大陰線▼",IF(AND(MIN($F16,$E16)-$I16&gt;=($H16-$I16)*0.5,$H16-MAX($F16,$E16)&lt;=($H16-$I16)*0.2),"長い下ヒゲ(反発警戒)","通常"))))</f>
        <v>通常</v>
      </c>
      <c r="AP16" s="377">
        <f>IF($AO16="上ヒゲ陰線▼",2,IF($AO16="大陰線▼",2,IF($AO16="長い下ヒゲ(反発警戒)",-2,0)))</f>
        <v>0</v>
      </c>
      <c r="AQ16">
        <f>IF(C16&lt;&gt;"",始値!F78,"")</f>
        <v>6487</v>
      </c>
      <c r="AR16">
        <f>IF(C16&lt;&gt;"",高値!F78,"")</f>
        <v>6495</v>
      </c>
      <c r="AS16">
        <f>IF(C16&lt;&gt;"",安値!F78,"")</f>
        <v>6327</v>
      </c>
      <c r="AT16" t="str">
        <f>IF(OR(C16="",AQ16="",AR16="",AS16="",AR16-AS16&lt;=0),"-",IF(AND(AR16-MAX(G16,AQ16)&gt;=ABS(G16-AQ16)*2,MIN(G16,AQ16)-AS16&lt;=ABS(G16-AQ16)*0.5,ABS(G16-AQ16)&gt;0),"上ヒゲ陰線▼",IF(AND(G16&lt;AQ16,ABS(G16-AQ16)&gt;=(AR16-AS16)*0.7),"大陰線▼",IF(AND(MIN(G16,AQ16)-AS16&gt;=(AR16-AS16)*0.5,AR16-MAX(G16,AQ16)&lt;=(AR16-AS16)*0.2),"長い下ヒゲ(反発)","通常"))))</f>
        <v>長い下ヒゲ(反発)</v>
      </c>
      <c r="AU16">
        <f>IF(AT16="上ヒゲ陰線▼",2,IF(AT16="大陰線▼",2,IF(AT16="長い下ヒゲ(反発)",-2,0)))</f>
        <v>-2</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2338</v>
      </c>
      <c r="F17" s="326">
        <f>IF(C17&lt;&gt;"",_xll.RssMarket(C17,"始値"),"")</f>
        <v>2303</v>
      </c>
      <c r="G17" s="325">
        <f>IF(C17&lt;&gt;"",終値!F100,"")</f>
        <v>2301</v>
      </c>
      <c r="H17" s="326">
        <f>IF(C17&lt;&gt;"",_xll.RssMarket(C17,"高値"),"")</f>
        <v>2348.5</v>
      </c>
      <c r="I17" s="326">
        <f>IF(C17&lt;&gt;"",_xll.RssMarket(C17,"安値"),"")</f>
        <v>2296.5</v>
      </c>
      <c r="J17" s="326">
        <f>IF(C17&lt;&gt;"",_xll.RssMarket(C17,"出来高"),"")</f>
        <v>1513200</v>
      </c>
      <c r="K17" s="326">
        <f>IF(C17&lt;&gt;"",_xll.RssMarket(C17,"年初来高値"),"")</f>
        <v>2674.5</v>
      </c>
      <c r="L17" s="327">
        <f>IF(AND(E17&lt;&gt;"",K17&lt;&gt;"",K17&lt;&gt;0),(E17-K17)/K17*100,"")</f>
        <v>-12.581790988969901</v>
      </c>
      <c r="M17" s="326">
        <f>IF(C17&lt;&gt;"",IFERROR(AVERAGE(出来高!E100:I100),""),"")</f>
        <v>2049380</v>
      </c>
      <c r="N17" s="326">
        <f>IF(C17&lt;&gt;"",IFERROR(AVERAGE(出来高!E100:AC100),""),"")</f>
        <v>1574395.8333333333</v>
      </c>
      <c r="O17" s="328">
        <f>IF(AND(J17&lt;&gt;"",M17&lt;&gt;"",M17&lt;&gt;0),J17/M17,"")</f>
        <v>0.73836965326098625</v>
      </c>
      <c r="P17" s="325" t="str">
        <f>IF(O17="","",IF(O17&gt;=2,"急増↑↑",IF(O17&gt;=1.5,"増加↑",IF(O17&gt;=1,"普通→","減少↓"))))</f>
        <v>減少↓</v>
      </c>
      <c r="Q17" s="325" t="str">
        <f>IF(E17="","",IF(AND(E17&lt;G17,O17&gt;=1.5),"売り▼",IF(E17&gt;G17,"様子見▲","中立→")))</f>
        <v>様子見▲</v>
      </c>
      <c r="R17" s="326">
        <f>IF(E17&lt;&gt;"",ROUND(E17*0.92,0),"")</f>
        <v>2151</v>
      </c>
      <c r="S17" s="326">
        <f>IF(E17&lt;&gt;"",ROUND(E17*1.04,0),"")</f>
        <v>2432</v>
      </c>
      <c r="T17" s="325">
        <f>IF(C17="","",IFERROR(IF(W17&gt;=70,3,IF(W17&gt;=60,2,IF(W17&gt;=50,1,0)))+IF(X17&lt;0,2,0)+IF(AD17="下降トレンド▼",3,IF(AD17="もみ合い→",1,0))+IF(V17="年初来安値圏●",3,IF(V17="安値圏",2,0))+IF(Q17="売り▼",2,0)+IF(P17="急増↑↑",2,IF(P17="増加↑",1,0))+IF(Z17&lt;0,1,0)+IF(L17&lt;=-30,2,IF(L17&lt;=-15,1,0))+IF(AE17="25日戻り売り★",2,IF(AE17="5日戻り売り○",1,0))+N(AL17)+N(AP17)+N(AU17),0))</f>
        <v>1</v>
      </c>
      <c r="U17" s="325" t="str">
        <f>IF(T17="","",IF(AND(T17&gt;=3,O17&gt;=1.5),"有効",IF(T17&gt;=3,"要確認","除外")))</f>
        <v>除外</v>
      </c>
      <c r="V17" s="325" t="str">
        <f>IF(AND(I17&lt;&gt;"",K17&lt;&gt;""),IF(I17&lt;=K17*0.6,"年初来安値圏●",IF(I17&lt;=K17*0.75,"安値圏","通常")),"")</f>
        <v>通常</v>
      </c>
      <c r="W17" s="329">
        <f t="array" ref="W17">IFERROR(100-100/(1+SUMPRODUCT((終値!F100:R100&gt;終値!G100:S100)*(終値!F100:R100-終値!G100:S100))/SUMPRODUCT((終値!F100:R100&lt;終値!G100:S100)*(終値!G100:S100-終値!F100:R100))),50)</f>
        <v>49.159542791278454</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-19.220601697983966</v>
      </c>
      <c r="Y17" s="325" t="str">
        <f>IF(AF17="","",AF17&amp;" | "&amp;AD17&amp;IF(AE17&lt;&gt;"なし"," "&amp;AE17,"")&amp;IF(X17&lt;0," MACD-"," MACD+")&amp;" RSI:"&amp;TEXT(W17,"0.0")&amp;IF(W17&gt;=70," [過熱]",IF(W17&lt;=30," [売られ過ぎ]",""))&amp;" 前日比:"&amp;TEXT(Z17,"+0.0;-0.0;0.0")&amp;"%"&amp;IF(V17="年初来安値圏●"," [年初来安値圏]",IF(V17="安値圏"," [安値圏]",""))&amp;IF(OR(AO17="通常",AO17="-"),""," ["&amp;AO17&amp;"]")&amp;IF(OR(AT17="通常",AT17="-"),"","前日["&amp;AT17&amp;"]")&amp;" ["&amp;T17&amp;"点]")</f>
        <v>相場上昇・見送り | パーフェクト▲ MACD- RSI:49.2 前日比:+1.6%前日[長い下ヒゲ(反発)] [1点]</v>
      </c>
      <c r="Z17" s="331">
        <f>IF(AND(E17&lt;&gt;"",G17&lt;&gt;"",G17&lt;&gt;0),(E17-G17)/G17*100,"")</f>
        <v>1.6079965232507605</v>
      </c>
      <c r="AA17" s="325" t="str">
        <f>IF(OR(C17="",E17="",E17=0),"",IF(E17&gt;G17,"上昇▲",IF(E17&lt;G17,"下落▼","横ばい→")))</f>
        <v>上昇▲</v>
      </c>
      <c r="AB17" s="326">
        <f>IF(OR(C17="",C17="TOPX",終値!E100=""),"",IFERROR(((終値!E100*0.333)+(終値!F100*0.222)+(終値!G100*0.148)+(終値!H100*0.099)+(終値!I100*0.066))/(0.333+0.222+0.148+0.099+0.066),""))</f>
        <v>2326.6918202764978</v>
      </c>
      <c r="AC17" s="326">
        <f>IF(OR(C17="",C17="TOPX",終値!E100=""),"",IFERROR(SUMPRODUCT((終値!E100:AC100),{0.077,0.071,0.065,0.06,0.055,0.051,0.047,0.043,0.039,0.036,0.033,0.031,0.028,0.026,0.024,0.022,0.02,0.018,0.017,0.016,0.014,0.013,0.012,0.011,0.01})/SUM({0.077,0.071,0.065,0.06,0.055,0.051,0.047,0.043,0.039,0.036,0.033,0.031,0.028,0.026,0.024,0.022,0.02,0.018,0.017,0.016,0.014,0.013,0.012,0.011,0.01}),""))</f>
        <v>2287.8432657926101</v>
      </c>
      <c r="AD17" s="325" t="str">
        <f>IF(OR(C17="",AB17="",AC17="",AB17=0,AC17=0),"",IF(AND(E17&gt;AB17,AB17&gt;AC17),"パーフェクト▲",IF(E17&gt;AC17,"上昇トレンド▲",IF(AND(E17&lt;AB17,AB17&lt;AC17),"下降トレンド▼","もみ合い→"))))</f>
        <v>パーフェクト▲</v>
      </c>
      <c r="AE17" s="325" t="str">
        <f>IF(OR(C17="",AB17="",AC17=""),"",IF(AND(ABS(E17-AC17)/AC17&lt;=0.02,E17&lt;AC17),"25日戻り売り★",IF(AND(ABS(E17-AB17)/AB17&lt;=0.01,E17&lt;AB17),"5日戻り売り○","なし")))</f>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相場上昇・見送り</v>
      </c>
      <c r="AG17">
        <f>IF(AND(T17&gt;=7,C17&lt;&gt;""),T17,0)</f>
        <v>0</v>
      </c>
      <c r="AH17">
        <f>IF(AG17&gt;0,AG17*10000-ROW(A17),0)</f>
        <v>0</v>
      </c>
      <c r="AI17" s="373">
        <f t="array" ref="AI17">IF(C17="","",IFERROR((INDEX(終値!$E:$E,MATCH(TEXT(C17,"0"),終値!$A:$A,0))-INDEX(終値!$E:$CZ,MATCH(TEXT(C17,"0"),終値!$A:$A,0),$AN$2))/INDEX(終値!$E:$CZ,MATCH(TEXT(C17,"0"),終値!$A:$A,0),$AN$2)*100,""))</f>
        <v>-1.2668918918918919</v>
      </c>
      <c r="AJ17" s="373">
        <f t="array" ref="AJ17">IFERROR((終値!$E$5-INDEX(終値!$E$5:$IT$5,1,$AN$2))/INDEX(終値!$E$5:$IT$5,1,$AN$2)*100,"")</f>
        <v>1.0179378228534113</v>
      </c>
      <c r="AK17" s="374">
        <f>IF(OR(AI17="",AJ17=""),"",AI17-AJ17)</f>
        <v>-2.2848297147453032</v>
      </c>
      <c r="AL17" s="372">
        <f>IF(AK17="","",IF(AK17&lt;-5,3,IF(AK17&lt;0,1,IF(AK17&lt;3,-1,-2))))</f>
        <v>1</v>
      </c>
      <c r="AO17" s="376" t="str">
        <f>IF(OR($C17="",$E17="",$F17="",$H17="",$I17="",$H17-$I17&lt;=0),"-",IF(AND($H17-MAX($F17,$E17)&gt;=ABS($E17-$F17)*2,MIN($F17,$E17)-$I17&lt;=ABS($E17-$F17)*0.5,ABS($E17-$F17)&gt;0),"上ヒゲ陰線▼",IF(AND($E17&lt;$F17,ABS($E17-$F17)&gt;=($H17-$I17)*0.7),"大陰線▼",IF(AND(MIN($F17,$E17)-$I17&gt;=($H17-$I17)*0.5,$H17-MAX($F17,$E17)&lt;=($H17-$I17)*0.2),"長い下ヒゲ(反発警戒)","通常"))))</f>
        <v>通常</v>
      </c>
      <c r="AP17" s="377">
        <f>IF($AO17="上ヒゲ陰線▼",2,IF($AO17="大陰線▼",2,IF($AO17="長い下ヒゲ(反発警戒)",-2,0)))</f>
        <v>0</v>
      </c>
      <c r="AQ17">
        <f>IF(C17&lt;&gt;"",始値!F100,"")</f>
        <v>2320</v>
      </c>
      <c r="AR17">
        <f>IF(C17&lt;&gt;"",高値!F100,"")</f>
        <v>2320</v>
      </c>
      <c r="AS17">
        <f>IF(C17&lt;&gt;"",安値!F100,"")</f>
        <v>2264.5</v>
      </c>
      <c r="AT17" t="str">
        <f>IF(OR(C17="",AQ17="",AR17="",AS17="",AR17-AS17&lt;=0),"-",IF(AND(AR17-MAX(G17,AQ17)&gt;=ABS(G17-AQ17)*2,MIN(G17,AQ17)-AS17&lt;=ABS(G17-AQ17)*0.5,ABS(G17-AQ17)&gt;0),"上ヒゲ陰線▼",IF(AND(G17&lt;AQ17,ABS(G17-AQ17)&gt;=(AR17-AS17)*0.7),"大陰線▼",IF(AND(MIN(G17,AQ17)-AS17&gt;=(AR17-AS17)*0.5,AR17-MAX(G17,AQ17)&lt;=(AR17-AS17)*0.2),"長い下ヒゲ(反発)","通常"))))</f>
        <v>長い下ヒゲ(反発)</v>
      </c>
      <c r="AU17">
        <f>IF(AT17="上ヒゲ陰線▼",2,IF(AT17="大陰線▼",2,IF(AT17="長い下ヒゲ(反発)",-2,0)))</f>
        <v>-2</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17990</v>
      </c>
      <c r="F18" s="333">
        <f>IF(C18&lt;&gt;"",_xll.RssMarket(C18,"始値"),"")</f>
        <v>18680</v>
      </c>
      <c r="G18" s="212">
        <f>IF(C18&lt;&gt;"",終値!F107,"")</f>
        <v>18755</v>
      </c>
      <c r="H18" s="333">
        <f>IF(C18&lt;&gt;"",_xll.RssMarket(C18,"高値"),"")</f>
        <v>18680</v>
      </c>
      <c r="I18" s="333">
        <f>IF(C18&lt;&gt;"",_xll.RssMarket(C18,"安値"),"")</f>
        <v>17550</v>
      </c>
      <c r="J18" s="333">
        <f>IF(C18&lt;&gt;"",_xll.RssMarket(C18,"出来高"),"")</f>
        <v>580500</v>
      </c>
      <c r="K18" s="333">
        <f>IF(C18&lt;&gt;"",_xll.RssMarket(C18,"年初来高値"),"")</f>
        <v>21310</v>
      </c>
      <c r="L18" s="334">
        <f>IF(AND(E18&lt;&gt;"",K18&lt;&gt;"",K18&lt;&gt;0),(E18-K18)/K18*100,"")</f>
        <v>-15.579540122008448</v>
      </c>
      <c r="M18" s="333">
        <f>IF(C18&lt;&gt;"",IFERROR(AVERAGE(出来高!E107:I107),""),"")</f>
        <v>683020</v>
      </c>
      <c r="N18" s="333">
        <f>IF(C18&lt;&gt;"",IFERROR(AVERAGE(出来高!E107:AC107),""),"")</f>
        <v>575776</v>
      </c>
      <c r="O18" s="335">
        <f>IF(AND(J18&lt;&gt;"",M18&lt;&gt;"",M18&lt;&gt;0),J18/M18,"")</f>
        <v>0.84990190623993445</v>
      </c>
      <c r="P18" s="212" t="str">
        <f>IF(O18="","",IF(O18&gt;=2,"急増↑↑",IF(O18&gt;=1.5,"増加↑",IF(O18&gt;=1,"普通→","減少↓"))))</f>
        <v>減少↓</v>
      </c>
      <c r="Q18" s="212" t="str">
        <f>IF(E18="","",IF(AND(E18&lt;G18,O18&gt;=1.5),"売り▼",IF(E18&gt;G18,"様子見▲","中立→")))</f>
        <v>中立→</v>
      </c>
      <c r="R18" s="333">
        <f>IF(E18&lt;&gt;"",ROUND(E18*0.92,0),"")</f>
        <v>16551</v>
      </c>
      <c r="S18" s="333">
        <f>IF(E18&lt;&gt;"",ROUND(E18*1.04,0),"")</f>
        <v>18710</v>
      </c>
      <c r="T18" s="325">
        <f>IF(C18="","",IFERROR(IF(W18&gt;=70,3,IF(W18&gt;=60,2,IF(W18&gt;=50,1,0)))+IF(X18&lt;0,2,0)+IF(AD18="下降トレンド▼",3,IF(AD18="もみ合い→",1,0))+IF(V18="年初来安値圏●",3,IF(V18="安値圏",2,0))+IF(Q18="売り▼",2,0)+IF(P18="急増↑↑",2,IF(P18="増加↑",1,0))+IF(Z18&lt;0,1,0)+IF(L18&lt;=-30,2,IF(L18&lt;=-15,1,0))+IF(AE18="25日戻り売り★",2,IF(AE18="5日戻り売り○",1,0))+N(AL18)+N(AP18)+N(AU18),0))</f>
        <v>8</v>
      </c>
      <c r="U18" s="212" t="str">
        <f>IF(T18="","",IF(AND(T18&gt;=3,O18&gt;=1.5),"有効",IF(T18&gt;=3,"要確認","除外")))</f>
        <v>要確認</v>
      </c>
      <c r="V18" s="212" t="str">
        <f>IF(AND(I18&lt;&gt;"",K18&lt;&gt;""),IF(I18&lt;=K18*0.6,"年初来安値圏●",IF(I18&lt;=K18*0.75,"安値圏","通常")),"")</f>
        <v>通常</v>
      </c>
      <c r="W18" s="336">
        <f t="array" ref="W18">IFERROR(100-100/(1+SUMPRODUCT((終値!F107:R107&gt;終値!G107:S107)*(終値!F107:R107-終値!G107:S107))/SUMPRODUCT((終値!F107:R107&lt;終値!G107:S107)*(終値!G107:S107-終値!F107:R107))),50)</f>
        <v>48.090642047838863</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-142.37792500367505</v>
      </c>
      <c r="Y18" s="212" t="str">
        <f>IF(AF18="","",AF18&amp;" | "&amp;AD18&amp;IF(AE18&lt;&gt;"なし"," "&amp;AE18,"")&amp;IF(X18&lt;0," MACD-"," MACD+")&amp;" RSI:"&amp;TEXT(W18,"0.0")&amp;IF(W18&gt;=70," [過熱]",IF(W18&lt;=30," [売られ過ぎ]",""))&amp;" 前日比:"&amp;TEXT(Z18,"+0.0;-0.0;0.0")&amp;"%"&amp;IF(V18="年初来安値圏●"," [年初来安値圏]",IF(V18="安値圏"," [安値圏]",""))&amp;IF(OR(AO18="通常",AO18="-"),""," ["&amp;AO18&amp;"]")&amp;IF(OR(AT18="通常",AT18="-"),"","前日["&amp;AT18&amp;"]")&amp;" ["&amp;T18&amp;"点]")</f>
        <v>相場上昇・見送り | 上昇トレンド▲ 5日戻り売り○ MACD- RSI:48.1 前日比:-4.1% [8点]</v>
      </c>
      <c r="Z18" s="338">
        <f>IF(AND(E18&lt;&gt;"",G18&lt;&gt;"",G18&lt;&gt;0),(E18-G18)/G18*100,"")</f>
        <v>-4.0789122900559853</v>
      </c>
      <c r="AA18" s="212" t="str">
        <f>IF(OR(C18="",E18="",E18=0),"",IF(E18&gt;G18,"上昇▲",IF(E18&lt;G18,"下落▼","横ばい→")))</f>
        <v>下落▼</v>
      </c>
      <c r="AB18" s="333">
        <f>IF(OR(C18="",C18="TOPX",終値!E107=""),"",IFERROR(((終値!E107*0.333)+(終値!F107*0.222)+(終値!G107*0.148)+(終値!H107*0.099)+(終値!I107*0.066))/(0.333+0.222+0.148+0.099+0.066),""))</f>
        <v>18048.369815668197</v>
      </c>
      <c r="AC18" s="333">
        <f>IF(OR(C18="",C18="TOPX",終値!E107=""),"",IFERROR(SUMPRODUCT((終値!E107:AC107),{0.077,0.071,0.065,0.06,0.055,0.051,0.047,0.043,0.039,0.036,0.033,0.031,0.028,0.026,0.024,0.022,0.02,0.018,0.017,0.016,0.014,0.013,0.012,0.011,0.01})/SUM({0.077,0.071,0.065,0.06,0.055,0.051,0.047,0.043,0.039,0.036,0.033,0.031,0.028,0.026,0.024,0.022,0.02,0.018,0.017,0.016,0.014,0.013,0.012,0.011,0.01}),""))</f>
        <v>17650.42908224076</v>
      </c>
      <c r="AD18" s="212" t="str">
        <f>IF(OR(C18="",AB18="",AC18="",AB18=0,AC18=0),"",IF(AND(E18&gt;AB18,AB18&gt;AC18),"パーフェクト▲",IF(E18&gt;AC18,"上昇トレンド▲",IF(AND(E18&lt;AB18,AB18&lt;AC18),"下降トレンド▼","もみ合い→"))))</f>
        <v>上昇トレンド▲</v>
      </c>
      <c r="AE18" s="212" t="str">
        <f>IF(OR(C18="",AB18="",AC18=""),"",IF(AND(ABS(E18-AC18)/AC18&lt;=0.02,E18&lt;AC18),"25日戻り売り★",IF(AND(ABS(E18-AB18)/AB18&lt;=0.01,E18&lt;AB18),"5日戻り売り○","なし")))</f>
        <v>5日戻り売り○</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相場上昇・見送り</v>
      </c>
      <c r="AG18">
        <f>IF(AND(T18&gt;=7,C18&lt;&gt;""),T18,0)</f>
        <v>8</v>
      </c>
      <c r="AH18">
        <f>IF(AG18&gt;0,AG18*10000-ROW(A18),0)</f>
        <v>79982</v>
      </c>
      <c r="AI18" s="373">
        <f t="array" ref="AI18">IF(C18="","",IFERROR((INDEX(終値!$E:$E,MATCH(TEXT(C18,"0"),終値!$A:$A,0))-INDEX(終値!$E:$CZ,MATCH(TEXT(C18,"0"),終値!$A:$A,0),$AN$2))/INDEX(終値!$E:$CZ,MATCH(TEXT(C18,"0"),終値!$A:$A,0),$AN$2)*100,""))</f>
        <v>-14.005736137667304</v>
      </c>
      <c r="AJ18" s="373">
        <f t="array" ref="AJ18">IFERROR((終値!$E$5-INDEX(終値!$E$5:$IT$5,1,$AN$2))/INDEX(終値!$E$5:$IT$5,1,$AN$2)*100,"")</f>
        <v>1.0179378228534113</v>
      </c>
      <c r="AK18" s="374">
        <f>IF(OR(AI18="",AJ18=""),"",AI18-AJ18)</f>
        <v>-15.023673960520716</v>
      </c>
      <c r="AL18" s="372">
        <f>IF(AK18="","",IF(AK18&lt;-5,3,IF(AK18&lt;0,1,IF(AK18&lt;3,-1,-2))))</f>
        <v>3</v>
      </c>
      <c r="AO18" s="376" t="str">
        <f>IF(OR($C18="",$E18="",$F18="",$H18="",$I18="",$H18-$I18&lt;=0),"-",IF(AND($H18-MAX($F18,$E18)&gt;=ABS($E18-$F18)*2,MIN($F18,$E18)-$I18&lt;=ABS($E18-$F18)*0.5,ABS($E18-$F18)&gt;0),"上ヒゲ陰線▼",IF(AND($E18&lt;$F18,ABS($E18-$F18)&gt;=($H18-$I18)*0.7),"大陰線▼",IF(AND(MIN($F18,$E18)-$I18&gt;=($H18-$I18)*0.5,$H18-MAX($F18,$E18)&lt;=($H18-$I18)*0.2),"長い下ヒゲ(反発警戒)","通常"))))</f>
        <v>通常</v>
      </c>
      <c r="AP18" s="377">
        <f>IF($AO18="上ヒゲ陰線▼",2,IF($AO18="大陰線▼",2,IF($AO18="長い下ヒゲ(反発警戒)",-2,0)))</f>
        <v>0</v>
      </c>
      <c r="AQ18">
        <f>IF(C18&lt;&gt;"",始値!F107,"")</f>
        <v>18100</v>
      </c>
      <c r="AR18">
        <f>IF(C18&lt;&gt;"",高値!F107,"")</f>
        <v>18985</v>
      </c>
      <c r="AS18">
        <f>IF(C18&lt;&gt;"",安値!F107,"")</f>
        <v>17625</v>
      </c>
      <c r="AT18" t="str">
        <f>IF(OR(C18="",AQ18="",AR18="",AS18="",AR18-AS18&lt;=0),"-",IF(AND(AR18-MAX(G18,AQ18)&gt;=ABS(G18-AQ18)*2,MIN(G18,AQ18)-AS18&lt;=ABS(G18-AQ18)*0.5,ABS(G18-AQ18)&gt;0),"上ヒゲ陰線▼",IF(AND(G18&lt;AQ18,ABS(G18-AQ18)&gt;=(AR18-AS18)*0.7),"大陰線▼",IF(AND(MIN(G18,AQ18)-AS18&gt;=(AR18-AS18)*0.5,AR18-MAX(G18,AQ18)&lt;=(AR18-AS18)*0.2),"長い下ヒゲ(反発)","通常"))))</f>
        <v>通常</v>
      </c>
      <c r="AU18">
        <f>IF(AT18="上ヒゲ陰線▼",2,IF(AT18="大陰線▼",2,IF(AT18="長い下ヒゲ(反発)",-2,0)))</f>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1323</v>
      </c>
      <c r="F19" s="326">
        <f>IF(C19&lt;&gt;"",_xll.RssMarket(C19,"始値"),"")</f>
        <v>1329</v>
      </c>
      <c r="G19" s="325">
        <f>IF(C19&lt;&gt;"",終値!F164,"")</f>
        <v>1329</v>
      </c>
      <c r="H19" s="326">
        <f>IF(C19&lt;&gt;"",_xll.RssMarket(C19,"高値"),"")</f>
        <v>1348</v>
      </c>
      <c r="I19" s="326">
        <f>IF(C19&lt;&gt;"",_xll.RssMarket(C19,"安値"),"")</f>
        <v>1323</v>
      </c>
      <c r="J19" s="326">
        <f>IF(C19&lt;&gt;"",_xll.RssMarket(C19,"出来高"),"")</f>
        <v>48600</v>
      </c>
      <c r="K19" s="326">
        <f>IF(C19&lt;&gt;"",_xll.RssMarket(C19,"年初来高値"),"")</f>
        <v>1340</v>
      </c>
      <c r="L19" s="327">
        <f>IF(AND(E19&lt;&gt;"",K19&lt;&gt;"",K19&lt;&gt;0),(E19-K19)/K19*100,"")</f>
        <v>-1.2686567164179103</v>
      </c>
      <c r="M19" s="326">
        <f>IF(C19&lt;&gt;"",IFERROR(AVERAGE(出来高!E164:I164),""),"")</f>
        <v>128980</v>
      </c>
      <c r="N19" s="326">
        <f>IF(C19&lt;&gt;"",IFERROR(AVERAGE(出来高!E164:AC164),""),"")</f>
        <v>95876</v>
      </c>
      <c r="O19" s="328">
        <f>IF(AND(J19&lt;&gt;"",M19&lt;&gt;"",M19&lt;&gt;0),J19/M19,"")</f>
        <v>0.37680260505504731</v>
      </c>
      <c r="P19" s="325" t="str">
        <f>IF(O19="","",IF(O19&gt;=2,"急増↑↑",IF(O19&gt;=1.5,"増加↑",IF(O19&gt;=1,"普通→","減少↓"))))</f>
        <v>減少↓</v>
      </c>
      <c r="Q19" s="325" t="str">
        <f>IF(E19="","",IF(AND(E19&lt;G19,O19&gt;=1.5),"売り▼",IF(E19&gt;G19,"様子見▲","中立→")))</f>
        <v>中立→</v>
      </c>
      <c r="R19" s="326">
        <f>IF(E19&lt;&gt;"",ROUND(E19*0.92,0),"")</f>
        <v>1217</v>
      </c>
      <c r="S19" s="326">
        <f>IF(E19&lt;&gt;"",ROUND(E19*1.04,0),"")</f>
        <v>1376</v>
      </c>
      <c r="T19" s="325">
        <f>IF(C19="","",IFERROR(IF(W19&gt;=70,3,IF(W19&gt;=60,2,IF(W19&gt;=50,1,0)))+IF(X19&lt;0,2,0)+IF(AD19="下降トレンド▼",3,IF(AD19="もみ合い→",1,0))+IF(V19="年初来安値圏●",3,IF(V19="安値圏",2,0))+IF(Q19="売り▼",2,0)+IF(P19="急増↑↑",2,IF(P19="増加↑",1,0))+IF(Z19&lt;0,1,0)+IF(L19&lt;=-30,2,IF(L19&lt;=-15,1,0))+IF(AE19="25日戻り売り★",2,IF(AE19="5日戻り売り○",1,0))+N(AL19)+N(AP19)+N(AU19),0))</f>
        <v>2</v>
      </c>
      <c r="U19" s="325" t="str">
        <f>IF(T19="","",IF(AND(T19&gt;=3,O19&gt;=1.5),"有効",IF(T19&gt;=3,"要確認","除外")))</f>
        <v>除外</v>
      </c>
      <c r="V19" s="325" t="str">
        <f>IF(AND(I19&lt;&gt;"",K19&lt;&gt;""),IF(I19&lt;=K19*0.6,"年初来安値圏●",IF(I19&lt;=K19*0.75,"安値圏","通常")),"")</f>
        <v>通常</v>
      </c>
      <c r="W19" s="329">
        <f t="array" ref="W19">IFERROR(100-100/(1+SUMPRODUCT((終値!F164:R164&gt;終値!G164:S164)*(終値!F164:R164-終値!G164:S164))/SUMPRODUCT((終値!F164:R164&lt;終値!G164:S164)*(終値!G164:S164-終値!F164:R164))),50)</f>
        <v>51.936218678815493</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6.1241029458008143</v>
      </c>
      <c r="Y19" s="325" t="str">
        <f>IF(AF19="","",AF19&amp;" | "&amp;AD19&amp;IF(AE19&lt;&gt;"なし"," "&amp;AE19,"")&amp;IF(X19&lt;0," MACD-"," MACD+")&amp;" RSI:"&amp;TEXT(W19,"0.0")&amp;IF(W19&gt;=70," [過熱]",IF(W19&lt;=30," [売られ過ぎ]",""))&amp;" 前日比:"&amp;TEXT(Z19,"+0.0;-0.0;0.0")&amp;"%"&amp;IF(V19="年初来安値圏●"," [年初来安値圏]",IF(V19="安値圏"," [安値圏]",""))&amp;IF(OR(AO19="通常",AO19="-"),""," ["&amp;AO19&amp;"]")&amp;IF(OR(AT19="通常",AT19="-"),"","前日["&amp;AT19&amp;"]")&amp;" ["&amp;T19&amp;"点]")</f>
        <v>相場上昇・見送り | パーフェクト▲ MACD+ RSI:51.9 前日比:-0.5% [上ヒゲ陰線▼] [2点]</v>
      </c>
      <c r="Z19" s="331">
        <f>IF(AND(E19&lt;&gt;"",G19&lt;&gt;"",G19&lt;&gt;0),(E19-G19)/G19*100,"")</f>
        <v>-0.45146726862302478</v>
      </c>
      <c r="AA19" s="325" t="str">
        <f>IF(OR(C19="",E19="",E19=0),"",IF(E19&gt;G19,"上昇▲",IF(E19&lt;G19,"下落▼","横ばい→")))</f>
        <v>下落▼</v>
      </c>
      <c r="AB19" s="326">
        <f>IF(OR(C19="",C19="TOPX",終値!E164=""),"",IFERROR(((終値!E164*0.333)+(終値!F164*0.222)+(終値!G164*0.148)+(終値!H164*0.099)+(終値!I164*0.066))/(0.333+0.222+0.148+0.099+0.066),""))</f>
        <v>1315.7442396313361</v>
      </c>
      <c r="AC19" s="326">
        <f>IF(OR(C19="",C19="TOPX",終値!E164=""),"",IFERROR(SUMPRODUCT((終値!E164:AC164),{0.077,0.071,0.065,0.06,0.055,0.051,0.047,0.043,0.039,0.036,0.033,0.031,0.028,0.026,0.024,0.022,0.02,0.018,0.017,0.016,0.014,0.013,0.012,0.011,0.01})/SUM({0.077,0.071,0.065,0.06,0.055,0.051,0.047,0.043,0.039,0.036,0.033,0.031,0.028,0.026,0.024,0.022,0.02,0.018,0.017,0.016,0.014,0.013,0.012,0.011,0.01}),""))</f>
        <v>1272.3110846245527</v>
      </c>
      <c r="AD19" s="325" t="str">
        <f>IF(OR(C19="",AB19="",AC19="",AB19=0,AC19=0),"",IF(AND(E19&gt;AB19,AB19&gt;AC19),"パーフェクト▲",IF(E19&gt;AC19,"上昇トレンド▲",IF(AND(E19&lt;AB19,AB19&lt;AC19),"下降トレンド▼","もみ合い→"))))</f>
        <v>パーフェクト▲</v>
      </c>
      <c r="AE19" s="325" t="str">
        <f>IF(OR(C19="",AB19="",AC19=""),"",IF(AND(ABS(E19-AC19)/AC19&lt;=0.02,E19&lt;AC19),"25日戻り売り★",IF(AND(ABS(E19-AB19)/AB19&lt;=0.01,E19&lt;AB19),"5日戻り売り○","なし")))</f>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相場上昇・見送り</v>
      </c>
      <c r="AG19">
        <f>IF(AND(T19&gt;=7,C19&lt;&gt;""),T19,0)</f>
        <v>0</v>
      </c>
      <c r="AH19">
        <f>IF(AG19&gt;0,AG19*10000-ROW(A19),0)</f>
        <v>0</v>
      </c>
      <c r="AI19" s="373">
        <f t="array" ref="AI19">IF(C19="","",IFERROR((INDEX(終値!$E:$E,MATCH(TEXT(C19,"0"),終値!$A:$A,0))-INDEX(終値!$E:$CZ,MATCH(TEXT(C19,"0"),終値!$A:$A,0),$AN$2))/INDEX(終値!$E:$CZ,MATCH(TEXT(C19,"0"),終値!$A:$A,0),$AN$2)*100,""))</f>
        <v>9.5198675496688736</v>
      </c>
      <c r="AJ19" s="373">
        <f t="array" ref="AJ19">IFERROR((終値!$E$5-INDEX(終値!$E$5:$IT$5,1,$AN$2))/INDEX(終値!$E$5:$IT$5,1,$AN$2)*100,"")</f>
        <v>1.0179378228534113</v>
      </c>
      <c r="AK19" s="374">
        <f>IF(OR(AI19="",AJ19=""),"",AI19-AJ19)</f>
        <v>8.5019297268154617</v>
      </c>
      <c r="AL19" s="372">
        <f>IF(AK19="","",IF(AK19&lt;-5,3,IF(AK19&lt;0,1,IF(AK19&lt;3,-1,-2))))</f>
        <v>-2</v>
      </c>
      <c r="AO19" s="376" t="str">
        <f>IF(OR($C19="",$E19="",$F19="",$H19="",$I19="",$H19-$I19&lt;=0),"-",IF(AND($H19-MAX($F19,$E19)&gt;=ABS($E19-$F19)*2,MIN($F19,$E19)-$I19&lt;=ABS($E19-$F19)*0.5,ABS($E19-$F19)&gt;0),"上ヒゲ陰線▼",IF(AND($E19&lt;$F19,ABS($E19-$F19)&gt;=($H19-$I19)*0.7),"大陰線▼",IF(AND(MIN($F19,$E19)-$I19&gt;=($H19-$I19)*0.5,$H19-MAX($F19,$E19)&lt;=($H19-$I19)*0.2),"長い下ヒゲ(反発警戒)","通常"))))</f>
        <v>上ヒゲ陰線▼</v>
      </c>
      <c r="AP19" s="377">
        <f>IF($AO19="上ヒゲ陰線▼",2,IF($AO19="大陰線▼",2,IF($AO19="長い下ヒゲ(反発警戒)",-2,0)))</f>
        <v>2</v>
      </c>
      <c r="AQ19">
        <f>IF(C19&lt;&gt;"",始値!F164,"")</f>
        <v>1304</v>
      </c>
      <c r="AR19">
        <f>IF(C19&lt;&gt;"",高値!F164,"")</f>
        <v>1340</v>
      </c>
      <c r="AS19">
        <f>IF(C19&lt;&gt;"",安値!F164,"")</f>
        <v>1304</v>
      </c>
      <c r="AT19" t="str">
        <f>IF(OR(C19="",AQ19="",AR19="",AS19="",AR19-AS19&lt;=0),"-",IF(AND(AR19-MAX(G19,AQ19)&gt;=ABS(G19-AQ19)*2,MIN(G19,AQ19)-AS19&lt;=ABS(G19-AQ19)*0.5,ABS(G19-AQ19)&gt;0),"上ヒゲ陰線▼",IF(AND(G19&lt;AQ19,ABS(G19-AQ19)&gt;=(AR19-AS19)*0.7),"大陰線▼",IF(AND(MIN(G19,AQ19)-AS19&gt;=(AR19-AS19)*0.5,AR19-MAX(G19,AQ19)&lt;=(AR19-AS19)*0.2),"長い下ヒゲ(反発)","通常"))))</f>
        <v>通常</v>
      </c>
      <c r="AU19">
        <f>IF(AT19="上ヒゲ陰線▼",2,IF(AT19="大陰線▼",2,IF(AT19="長い下ヒゲ(反発)",-2,0)))</f>
        <v>0</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5255</v>
      </c>
      <c r="F20" s="333">
        <f>IF(C20&lt;&gt;"",_xll.RssMarket(C20,"始値"),"")</f>
        <v>5284</v>
      </c>
      <c r="G20" s="212">
        <f>IF(C20&lt;&gt;"",終値!F201,"")</f>
        <v>5382</v>
      </c>
      <c r="H20" s="333">
        <f>IF(C20&lt;&gt;"",_xll.RssMarket(C20,"高値"),"")</f>
        <v>5366</v>
      </c>
      <c r="I20" s="333">
        <f>IF(C20&lt;&gt;"",_xll.RssMarket(C20,"安値"),"")</f>
        <v>5161</v>
      </c>
      <c r="J20" s="333">
        <f>IF(C20&lt;&gt;"",_xll.RssMarket(C20,"出来高"),"")</f>
        <v>4722700</v>
      </c>
      <c r="K20" s="333">
        <f>IF(C20&lt;&gt;"",_xll.RssMarket(C20,"年初来高値"),"")</f>
        <v>7915</v>
      </c>
      <c r="L20" s="334">
        <f>IF(AND(E20&lt;&gt;"",K20&lt;&gt;"",K20&lt;&gt;0),(E20-K20)/K20*100,"")</f>
        <v>-33.607075173720787</v>
      </c>
      <c r="M20" s="333">
        <f>IF(C20&lt;&gt;"",IFERROR(AVERAGE(出来高!E201:I201),""),"")</f>
        <v>6209960</v>
      </c>
      <c r="N20" s="333">
        <f>IF(C20&lt;&gt;"",IFERROR(AVERAGE(出来高!E201:AC201),""),"")</f>
        <v>7904032</v>
      </c>
      <c r="O20" s="335">
        <f>IF(AND(J20&lt;&gt;"",M20&lt;&gt;"",M20&lt;&gt;0),J20/M20,"")</f>
        <v>0.76050409342411218</v>
      </c>
      <c r="P20" s="212" t="str">
        <f>IF(O20="","",IF(O20&gt;=2,"急増↑↑",IF(O20&gt;=1.5,"増加↑",IF(O20&gt;=1,"普通→","減少↓"))))</f>
        <v>減少↓</v>
      </c>
      <c r="Q20" s="212" t="str">
        <f>IF(E20="","",IF(AND(E20&lt;G20,O20&gt;=1.5),"売り▼",IF(E20&gt;G20,"様子見▲","中立→")))</f>
        <v>中立→</v>
      </c>
      <c r="R20" s="333">
        <f>IF(E20&lt;&gt;"",ROUND(E20*0.92,0),"")</f>
        <v>4835</v>
      </c>
      <c r="S20" s="333">
        <f>IF(E20&lt;&gt;"",ROUND(E20*1.04,0),"")</f>
        <v>5465</v>
      </c>
      <c r="T20" s="325">
        <f>IF(C20="","",IFERROR(IF(W20&gt;=70,3,IF(W20&gt;=60,2,IF(W20&gt;=50,1,0)))+IF(X20&lt;0,2,0)+IF(AD20="下降トレンド▼",3,IF(AD20="もみ合い→",1,0))+IF(V20="年初来安値圏●",3,IF(V20="安値圏",2,0))+IF(Q20="売り▼",2,0)+IF(P20="急増↑↑",2,IF(P20="増加↑",1,0))+IF(Z20&lt;0,1,0)+IF(L20&lt;=-30,2,IF(L20&lt;=-15,1,0))+IF(AE20="25日戻り売り★",2,IF(AE20="5日戻り売り○",1,0))+N(AL20)+N(AP20)+N(AU20),0))</f>
        <v>13</v>
      </c>
      <c r="U20" s="212" t="str">
        <f>IF(T20="","",IF(AND(T20&gt;=3,O20&gt;=1.5),"有効",IF(T20&gt;=3,"要確認","除外")))</f>
        <v>要確認</v>
      </c>
      <c r="V20" s="212" t="str">
        <f>IF(AND(I20&lt;&gt;"",K20&lt;&gt;""),IF(I20&lt;=K20*0.6,"年初来安値圏●",IF(I20&lt;=K20*0.75,"安値圏","通常")),"")</f>
        <v>安値圏</v>
      </c>
      <c r="W20" s="336">
        <f t="array" ref="W20">IFERROR(100-100/(1+SUMPRODUCT((終値!F201:R201&gt;終値!G201:S201)*(終値!F201:R201-終値!G201:S201))/SUMPRODUCT((終値!F201:R201&lt;終値!G201:S201)*(終値!G201:S201-終値!F201:R201))),50)</f>
        <v>47.841726618705032</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-153.02533046222743</v>
      </c>
      <c r="Y20" s="212" t="str">
        <f>IF(AF20="","",AF20&amp;" | "&amp;AD20&amp;IF(AE20&lt;&gt;"なし"," "&amp;AE20,"")&amp;IF(X20&lt;0," MACD-"," MACD+")&amp;" RSI:"&amp;TEXT(W20,"0.0")&amp;IF(W20&gt;=70," [過熱]",IF(W20&lt;=30," [売られ過ぎ]",""))&amp;" 前日比:"&amp;TEXT(Z20,"+0.0;-0.0;0.0")&amp;"%"&amp;IF(V20="年初来安値圏●"," [年初来安値圏]",IF(V20="安値圏"," [安値圏]",""))&amp;IF(OR(AO20="通常",AO20="-"),""," ["&amp;AO20&amp;"]")&amp;IF(OR(AT20="通常",AT20="-"),"","前日["&amp;AT20&amp;"]")&amp;" ["&amp;T20&amp;"点]")</f>
        <v>○逆張り売り | もみ合い→ 25日戻り売り★ MACD- RSI:47.8 前日比:-2.4% [安値圏] [13点]</v>
      </c>
      <c r="Z20" s="338">
        <f>IF(AND(E20&lt;&gt;"",G20&lt;&gt;"",G20&lt;&gt;0),(E20-G20)/G20*100,"")</f>
        <v>-2.3597175771088814</v>
      </c>
      <c r="AA20" s="212" t="str">
        <f>IF(OR(C20="",E20="",E20=0),"",IF(E20&gt;G20,"上昇▲",IF(E20&lt;G20,"下落▼","横ばい→")))</f>
        <v>下落▼</v>
      </c>
      <c r="AB20" s="333">
        <f>IF(OR(C20="",C20="TOPX",終値!E201=""),"",IFERROR(((終値!E201*0.333)+(終値!F201*0.222)+(終値!G201*0.148)+(終値!H201*0.099)+(終値!I201*0.066))/(0.333+0.222+0.148+0.099+0.066),""))</f>
        <v>5200.6797235023032</v>
      </c>
      <c r="AC20" s="333">
        <f>IF(OR(C20="",C20="TOPX",終値!E201=""),"",IFERROR(SUMPRODUCT((終値!E201:AC201),{0.077,0.071,0.065,0.06,0.055,0.051,0.047,0.043,0.039,0.036,0.033,0.031,0.028,0.026,0.024,0.022,0.02,0.018,0.017,0.016,0.014,0.013,0.012,0.011,0.01})/SUM({0.077,0.071,0.065,0.06,0.055,0.051,0.047,0.043,0.039,0.036,0.033,0.031,0.028,0.026,0.024,0.022,0.02,0.018,0.017,0.016,0.014,0.013,0.012,0.011,0.01}),""))</f>
        <v>5354.1668653158504</v>
      </c>
      <c r="AD20" s="212" t="str">
        <f>IF(OR(C20="",AB20="",AC20="",AB20=0,AC20=0),"",IF(AND(E20&gt;AB20,AB20&gt;AC20),"パーフェクト▲",IF(E20&gt;AC20,"上昇トレンド▲",IF(AND(E20&lt;AB20,AB20&lt;AC20),"下降トレンド▼","もみ合い→"))))</f>
        <v>もみ合い→</v>
      </c>
      <c r="AE20" s="212" t="str">
        <f>IF(OR(C20="",AB20="",AC20=""),"",IF(AND(ABS(E20-AC20)/AC20&lt;=0.02,E20&lt;AC20),"25日戻り売り★",IF(AND(ABS(E20-AB20)/AB20&lt;=0.01,E20&lt;AB20),"5日戻り売り○","なし")))</f>
        <v>25日戻り売り★</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○逆張り売り</v>
      </c>
      <c r="AG20">
        <f>IF(AND(T20&gt;=7,C20&lt;&gt;""),T20,0)</f>
        <v>13</v>
      </c>
      <c r="AH20">
        <f>IF(AG20&gt;0,AG20*10000-ROW(A20),0)</f>
        <v>129980</v>
      </c>
      <c r="AI20" s="373">
        <f t="array" ref="AI20">IF(C20="","",IFERROR((INDEX(終値!$E:$E,MATCH(TEXT(C20,"0"),終値!$A:$A,0))-INDEX(終値!$E:$CZ,MATCH(TEXT(C20,"0"),終値!$A:$A,0),$AN$2))/INDEX(終値!$E:$CZ,MATCH(TEXT(C20,"0"),終値!$A:$A,0),$AN$2)*100,""))</f>
        <v>-28.033415502602026</v>
      </c>
      <c r="AJ20" s="373">
        <f t="array" ref="AJ20">IFERROR((終値!$E$5-INDEX(終値!$E$5:$IT$5,1,$AN$2))/INDEX(終値!$E$5:$IT$5,1,$AN$2)*100,"")</f>
        <v>1.0179378228534113</v>
      </c>
      <c r="AK20" s="374">
        <f>IF(OR(AI20="",AJ20=""),"",AI20-AJ20)</f>
        <v>-29.051353325455437</v>
      </c>
      <c r="AL20" s="372">
        <f>IF(AK20="","",IF(AK20&lt;-5,3,IF(AK20&lt;0,1,IF(AK20&lt;3,-1,-2))))</f>
        <v>3</v>
      </c>
      <c r="AO20" s="376" t="str">
        <f>IF(OR($C20="",$E20="",$F20="",$H20="",$I20="",$H20-$I20&lt;=0),"-",IF(AND($H20-MAX($F20,$E20)&gt;=ABS($E20-$F20)*2,MIN($F20,$E20)-$I20&lt;=ABS($E20-$F20)*0.5,ABS($E20-$F20)&gt;0),"上ヒゲ陰線▼",IF(AND($E20&lt;$F20,ABS($E20-$F20)&gt;=($H20-$I20)*0.7),"大陰線▼",IF(AND(MIN($F20,$E20)-$I20&gt;=($H20-$I20)*0.5,$H20-MAX($F20,$E20)&lt;=($H20-$I20)*0.2),"長い下ヒゲ(反発警戒)","通常"))))</f>
        <v>通常</v>
      </c>
      <c r="AP20" s="377">
        <f>IF($AO20="上ヒゲ陰線▼",2,IF($AO20="大陰線▼",2,IF($AO20="長い下ヒゲ(反発警戒)",-2,0)))</f>
        <v>0</v>
      </c>
      <c r="AQ20">
        <f>IF(C20&lt;&gt;"",始値!F201,"")</f>
        <v>5231</v>
      </c>
      <c r="AR20">
        <f>IF(C20&lt;&gt;"",高値!F201,"")</f>
        <v>5405</v>
      </c>
      <c r="AS20">
        <f>IF(C20&lt;&gt;"",安値!F201,"")</f>
        <v>5211</v>
      </c>
      <c r="AT20" t="str">
        <f>IF(OR(C20="",AQ20="",AR20="",AS20="",AR20-AS20&lt;=0),"-",IF(AND(AR20-MAX(G20,AQ20)&gt;=ABS(G20-AQ20)*2,MIN(G20,AQ20)-AS20&lt;=ABS(G20-AQ20)*0.5,ABS(G20-AQ20)&gt;0),"上ヒゲ陰線▼",IF(AND(G20&lt;AQ20,ABS(G20-AQ20)&gt;=(AR20-AS20)*0.7),"大陰線▼",IF(AND(MIN(G20,AQ20)-AS20&gt;=(AR20-AS20)*0.5,AR20-MAX(G20,AQ20)&lt;=(AR20-AS20)*0.2),"長い下ヒゲ(反発)","通常"))))</f>
        <v>通常</v>
      </c>
      <c r="AU20">
        <f>IF(AT20="上ヒゲ陰線▼",2,IF(AT20="大陰線▼",2,IF(AT20="長い下ヒゲ(反発)",-2,0)))</f>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1365</v>
      </c>
      <c r="F21" s="326">
        <f>IF(C21&lt;&gt;"",_xll.RssMarket(C21,"始値"),"")</f>
        <v>1281</v>
      </c>
      <c r="G21" s="325">
        <f>IF(C21&lt;&gt;"",終値!F32,"")</f>
        <v>1303</v>
      </c>
      <c r="H21" s="326">
        <f>IF(C21&lt;&gt;"",_xll.RssMarket(C21,"高値"),"")</f>
        <v>1373</v>
      </c>
      <c r="I21" s="326">
        <f>IF(C21&lt;&gt;"",_xll.RssMarket(C21,"安値"),"")</f>
        <v>1251</v>
      </c>
      <c r="J21" s="326">
        <f>IF(C21&lt;&gt;"",_xll.RssMarket(C21,"出来高"),"")</f>
        <v>1601200</v>
      </c>
      <c r="K21" s="326">
        <f>IF(C21&lt;&gt;"",_xll.RssMarket(C21,"年初来高値"),"")</f>
        <v>1612</v>
      </c>
      <c r="L21" s="327">
        <f>IF(AND(E21&lt;&gt;"",K21&lt;&gt;"",K21&lt;&gt;0),(E21-K21)/K21*100,"")</f>
        <v>-15.32258064516129</v>
      </c>
      <c r="M21" s="326">
        <f>IF(C21&lt;&gt;"",IFERROR(AVERAGE(出来高!E32:I32),""),"")</f>
        <v>1277760</v>
      </c>
      <c r="N21" s="326">
        <f>IF(C21&lt;&gt;"",IFERROR(AVERAGE(出来高!E32:AC32),""),"")</f>
        <v>928488</v>
      </c>
      <c r="O21" s="328">
        <f>IF(AND(J21&lt;&gt;"",M21&lt;&gt;"",M21&lt;&gt;0),J21/M21,"")</f>
        <v>1.25313047833709</v>
      </c>
      <c r="P21" s="325" t="str">
        <f>IF(O21="","",IF(O21&gt;=2,"急増↑↑",IF(O21&gt;=1.5,"増加↑",IF(O21&gt;=1,"普通→","減少↓"))))</f>
        <v>普通→</v>
      </c>
      <c r="Q21" s="325" t="str">
        <f>IF(E21="","",IF(AND(E21&lt;G21,O21&gt;=1.5),"売り▼",IF(E21&gt;G21,"様子見▲","中立→")))</f>
        <v>様子見▲</v>
      </c>
      <c r="R21" s="326">
        <f>IF(E21&lt;&gt;"",ROUND(E21*0.92,0),"")</f>
        <v>1256</v>
      </c>
      <c r="S21" s="326">
        <f>IF(E21&lt;&gt;"",ROUND(E21*1.04,0),"")</f>
        <v>1420</v>
      </c>
      <c r="T21" s="325">
        <f>IF(C21="","",IFERROR(IF(W21&gt;=70,3,IF(W21&gt;=60,2,IF(W21&gt;=50,1,0)))+IF(X21&lt;0,2,0)+IF(AD21="下降トレンド▼",3,IF(AD21="もみ合い→",1,0))+IF(V21="年初来安値圏●",3,IF(V21="安値圏",2,0))+IF(Q21="売り▼",2,0)+IF(P21="急増↑↑",2,IF(P21="増加↑",1,0))+IF(Z21&lt;0,1,0)+IF(L21&lt;=-30,2,IF(L21&lt;=-15,1,0))+IF(AE21="25日戻り売り★",2,IF(AE21="5日戻り売り○",1,0))+N(AL21)+N(AP21)+N(AU21),0))</f>
        <v>2</v>
      </c>
      <c r="U21" s="325" t="str">
        <f>IF(T21="","",IF(AND(T21&gt;=3,O21&gt;=1.5),"有効",IF(T21&gt;=3,"要確認","除外")))</f>
        <v>除外</v>
      </c>
      <c r="V21" s="325" t="str">
        <f>IF(AND(I21&lt;&gt;"",K21&lt;&gt;""),IF(I21&lt;=K21*0.6,"年初来安値圏●",IF(I21&lt;=K21*0.75,"安値圏","通常")),"")</f>
        <v>通常</v>
      </c>
      <c r="W21" s="329">
        <f t="array" ref="W21">IFERROR(100-100/(1+SUMPRODUCT((終値!F32:R32&gt;終値!G32:S32)*(終値!F32:R32-終値!G32:S32))/SUMPRODUCT((終値!F32:R32&lt;終値!G32:S32)*(終値!G32:S32-終値!F32:R32))),50)</f>
        <v>39.583333333333336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-0.55992700177898769</v>
      </c>
      <c r="Y21" s="325" t="str">
        <f>IF(AF21="","",AF21&amp;" | "&amp;AD21&amp;IF(AE21&lt;&gt;"なし"," "&amp;AE21,"")&amp;IF(X21&lt;0," MACD-"," MACD+")&amp;" RSI:"&amp;TEXT(W21,"0.0")&amp;IF(W21&gt;=70," [過熱]",IF(W21&lt;=30," [売られ過ぎ]",""))&amp;" 前日比:"&amp;TEXT(Z21,"+0.0;-0.0;0.0")&amp;"%"&amp;IF(V21="年初来安値圏●"," [年初来安値圏]",IF(V21="安値圏"," [安値圏]",""))&amp;IF(OR(AO21="通常",AO21="-"),""," ["&amp;AO21&amp;"]")&amp;IF(OR(AT21="通常",AT21="-"),"","前日["&amp;AT21&amp;"]")&amp;" ["&amp;T21&amp;"点]")</f>
        <v>相場上昇・見送り | もみ合い→ MACD- RSI:39.6 前日比:+4.8% [2点]</v>
      </c>
      <c r="Z21" s="331">
        <f>IF(AND(E21&lt;&gt;"",G21&lt;&gt;"",G21&lt;&gt;0),(E21-G21)/G21*100,"")</f>
        <v>4.7582501918649278</v>
      </c>
      <c r="AA21" s="325" t="str">
        <f>IF(OR(C21="",E21="",E21=0),"",IF(E21&gt;G21,"上昇▲",IF(E21&lt;G21,"下落▼","横ばい→")))</f>
        <v>上昇▲</v>
      </c>
      <c r="AB21" s="326">
        <f>IF(OR(C21="",C21="TOPX",終値!E32=""),"",IFERROR(((終値!E32*0.333)+(終値!F32*0.222)+(終値!G32*0.148)+(終値!H32*0.099)+(終値!I32*0.066))/(0.333+0.222+0.148+0.099+0.066),""))</f>
        <v>1343.0944700460827</v>
      </c>
      <c r="AC21" s="326">
        <f>IF(OR(C21="",C21="TOPX",終値!E32=""),"",IFERROR(SUMPRODUCT((終値!E32:AC32),{0.077,0.071,0.065,0.06,0.055,0.051,0.047,0.043,0.039,0.036,0.033,0.031,0.028,0.026,0.024,0.022,0.02,0.018,0.017,0.016,0.014,0.013,0.012,0.011,0.01})/SUM({0.077,0.071,0.065,0.06,0.055,0.051,0.047,0.043,0.039,0.036,0.033,0.031,0.028,0.026,0.024,0.022,0.02,0.018,0.017,0.016,0.014,0.013,0.012,0.011,0.01}),""))</f>
        <v>1405.4874851013108</v>
      </c>
      <c r="AD21" s="325" t="str">
        <f>IF(OR(C21="",AB21="",AC21="",AB21=0,AC21=0),"",IF(AND(E21&gt;AB21,AB21&gt;AC21),"パーフェクト▲",IF(E21&gt;AC21,"上昇トレンド▲",IF(AND(E21&lt;AB21,AB21&lt;AC21),"下降トレンド▼","もみ合い→"))))</f>
        <v>もみ合い→</v>
      </c>
      <c r="AE21" s="325" t="str">
        <f>IF(OR(C21="",AB21="",AC21=""),"",IF(AND(ABS(E21-AC21)/AC21&lt;=0.02,E21&lt;AC21),"25日戻り売り★",IF(AND(ABS(E21-AB21)/AB21&lt;=0.01,E21&lt;AB21),"5日戻り売り○","なし")))</f>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相場上昇・見送り</v>
      </c>
      <c r="AG21">
        <f>IF(AND(T21&gt;=7,C21&lt;&gt;""),T21,0)</f>
        <v>0</v>
      </c>
      <c r="AH21">
        <f>IF(AG21&gt;0,AG21*10000-ROW(A21),0)</f>
        <v>0</v>
      </c>
      <c r="AI21" s="373">
        <f t="array" ref="AI21">IF(C21="","",IFERROR((INDEX(終値!$E:$E,MATCH(TEXT(C21,"0"),終値!$A:$A,0))-INDEX(終値!$E:$CZ,MATCH(TEXT(C21,"0"),終値!$A:$A,0),$AN$2))/INDEX(終値!$E:$CZ,MATCH(TEXT(C21,"0"),終値!$A:$A,0),$AN$2)*100,""))</f>
        <v>5.2428681572860443</v>
      </c>
      <c r="AJ21" s="373">
        <f t="array" ref="AJ21">IFERROR((終値!$E$5-INDEX(終値!$E$5:$IT$5,1,$AN$2))/INDEX(終値!$E$5:$IT$5,1,$AN$2)*100,"")</f>
        <v>1.0179378228534113</v>
      </c>
      <c r="AK21" s="374">
        <f>IF(OR(AI21="",AJ21=""),"",AI21-AJ21)</f>
        <v>4.2249303344326332</v>
      </c>
      <c r="AL21" s="372">
        <f>IF(AK21="","",IF(AK21&lt;-5,3,IF(AK21&lt;0,1,IF(AK21&lt;3,-1,-2))))</f>
        <v>-2</v>
      </c>
      <c r="AO21" s="376" t="str">
        <f>IF(OR($C21="",$E21="",$F21="",$H21="",$I21="",$H21-$I21&lt;=0),"-",IF(AND($H21-MAX($F21,$E21)&gt;=ABS($E21-$F21)*2,MIN($F21,$E21)-$I21&lt;=ABS($E21-$F21)*0.5,ABS($E21-$F21)&gt;0),"上ヒゲ陰線▼",IF(AND($E21&lt;$F21,ABS($E21-$F21)&gt;=($H21-$I21)*0.7),"大陰線▼",IF(AND(MIN($F21,$E21)-$I21&gt;=($H21-$I21)*0.5,$H21-MAX($F21,$E21)&lt;=($H21-$I21)*0.2),"長い下ヒゲ(反発警戒)","通常"))))</f>
        <v>通常</v>
      </c>
      <c r="AP21" s="377">
        <f>IF($AO21="上ヒゲ陰線▼",2,IF($AO21="大陰線▼",2,IF($AO21="長い下ヒゲ(反発警戒)",-2,0)))</f>
        <v>0</v>
      </c>
      <c r="AQ21">
        <f>IF(C21&lt;&gt;"",始値!F32,"")</f>
        <v>1325</v>
      </c>
      <c r="AR21">
        <f>IF(C21&lt;&gt;"",高値!F32,"")</f>
        <v>1373</v>
      </c>
      <c r="AS21">
        <f>IF(C21&lt;&gt;"",安値!F32,"")</f>
        <v>1263</v>
      </c>
      <c r="AT21" t="str">
        <f>IF(OR(C21="",AQ21="",AR21="",AS21="",AR21-AS21&lt;=0),"-",IF(AND(AR21-MAX(G21,AQ21)&gt;=ABS(G21-AQ21)*2,MIN(G21,AQ21)-AS21&lt;=ABS(G21-AQ21)*0.5,ABS(G21-AQ21)&gt;0),"上ヒゲ陰線▼",IF(AND(G21&lt;AQ21,ABS(G21-AQ21)&gt;=(AR21-AS21)*0.7),"大陰線▼",IF(AND(MIN(G21,AQ21)-AS21&gt;=(AR21-AS21)*0.5,AR21-MAX(G21,AQ21)&lt;=(AR21-AS21)*0.2),"長い下ヒゲ(反発)","通常"))))</f>
        <v>通常</v>
      </c>
      <c r="AU21">
        <f>IF(AT21="上ヒゲ陰線▼",2,IF(AT21="大陰線▼",2,IF(AT21="長い下ヒゲ(反発)",-2,0)))</f>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2242</v>
      </c>
      <c r="F22" s="333">
        <f>IF(C22&lt;&gt;"",_xll.RssMarket(C22,"始値"),"")</f>
        <v>2350</v>
      </c>
      <c r="G22" s="212">
        <f>IF(C22&lt;&gt;"",終値!F56,"")</f>
        <v>2500</v>
      </c>
      <c r="H22" s="333">
        <f>IF(C22&lt;&gt;"",_xll.RssMarket(C22,"高値"),"")</f>
        <v>2432</v>
      </c>
      <c r="I22" s="333">
        <f>IF(C22&lt;&gt;"",_xll.RssMarket(C22,"安値"),"")</f>
        <v>2230</v>
      </c>
      <c r="J22" s="333">
        <f>IF(C22&lt;&gt;"",_xll.RssMarket(C22,"出来高"),"")</f>
        <v>4532400</v>
      </c>
      <c r="K22" s="333">
        <f>IF(C22&lt;&gt;"",_xll.RssMarket(C22,"年初来高値"),"")</f>
        <v>4720</v>
      </c>
      <c r="L22" s="334">
        <f>IF(AND(E22&lt;&gt;"",K22&lt;&gt;"",K22&lt;&gt;0),(E22-K22)/K22*100,"")</f>
        <v>-52.5</v>
      </c>
      <c r="M22" s="333">
        <f>IF(C22&lt;&gt;"",IFERROR(AVERAGE(出来高!E56:I56),""),"")</f>
        <v>4240860</v>
      </c>
      <c r="N22" s="333">
        <f>IF(C22&lt;&gt;"",IFERROR(AVERAGE(出来高!E56:AC56),""),"")</f>
        <v>2814848</v>
      </c>
      <c r="O22" s="335">
        <f>IF(AND(J22&lt;&gt;"",M22&lt;&gt;"",M22&lt;&gt;0),J22/M22,"")</f>
        <v>1.0687454903014955</v>
      </c>
      <c r="P22" s="212" t="str">
        <f>IF(O22="","",IF(O22&gt;=2,"急増↑↑",IF(O22&gt;=1.5,"増加↑",IF(O22&gt;=1,"普通→","減少↓"))))</f>
        <v>普通→</v>
      </c>
      <c r="Q22" s="212" t="str">
        <f>IF(E22="","",IF(AND(E22&lt;G22,O22&gt;=1.5),"売り▼",IF(E22&gt;G22,"様子見▲","中立→")))</f>
        <v>中立→</v>
      </c>
      <c r="R22" s="333">
        <f>IF(E22&lt;&gt;"",ROUND(E22*0.92,0),"")</f>
        <v>2063</v>
      </c>
      <c r="S22" s="333">
        <f>IF(E22&lt;&gt;"",ROUND(E22*1.04,0),"")</f>
        <v>2332</v>
      </c>
      <c r="T22" s="325">
        <f>IF(C22="","",IFERROR(IF(W22&gt;=70,3,IF(W22&gt;=60,2,IF(W22&gt;=50,1,0)))+IF(X22&lt;0,2,0)+IF(AD22="下降トレンド▼",3,IF(AD22="もみ合い→",1,0))+IF(V22="年初来安値圏●",3,IF(V22="安値圏",2,0))+IF(Q22="売り▼",2,0)+IF(P22="急増↑↑",2,IF(P22="増加↑",1,0))+IF(Z22&lt;0,1,0)+IF(L22&lt;=-30,2,IF(L22&lt;=-15,1,0))+IF(AE22="25日戻り売り★",2,IF(AE22="5日戻り売り○",1,0))+N(AL22)+N(AP22)+N(AU22),0))</f>
        <v>15</v>
      </c>
      <c r="U22" s="212" t="str">
        <f>IF(T22="","",IF(AND(T22&gt;=3,O22&gt;=1.5),"有効",IF(T22&gt;=3,"要確認","除外")))</f>
        <v>要確認</v>
      </c>
      <c r="V22" s="212" t="str">
        <f>IF(AND(I22&lt;&gt;"",K22&lt;&gt;""),IF(I22&lt;=K22*0.6,"年初来安値圏●",IF(I22&lt;=K22*0.75,"安値圏","通常")),"")</f>
        <v>年初来安値圏●</v>
      </c>
      <c r="W22" s="336">
        <f t="array" ref="W22">IFERROR(100-100/(1+SUMPRODUCT((終値!F56:R56&gt;終値!G56:S56)*(終値!F56:R56-終値!G56:S56))/SUMPRODUCT((終値!F56:R56&lt;終値!G56:S56)*(終値!G56:S56-終値!F56:R56))),50)</f>
        <v>53.591160220994475</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-38.002021979070378</v>
      </c>
      <c r="Y22" s="212" t="str">
        <f>IF(AF22="","",AF22&amp;" | "&amp;AD22&amp;IF(AE22&lt;&gt;"なし"," "&amp;AE22,"")&amp;IF(X22&lt;0," MACD-"," MACD+")&amp;" RSI:"&amp;TEXT(W22,"0.0")&amp;IF(W22&gt;=70," [過熱]",IF(W22&lt;=30," [売られ過ぎ]",""))&amp;" 前日比:"&amp;TEXT(Z22,"+0.0;-0.0;0.0")&amp;"%"&amp;IF(V22="年初来安値圏●"," [年初来安値圏]",IF(V22="安値圏"," [安値圏]",""))&amp;IF(OR(AO22="通常",AO22="-"),""," ["&amp;AO22&amp;"]")&amp;IF(OR(AT22="通常",AT22="-"),"","前日["&amp;AT22&amp;"]")&amp;" ["&amp;T22&amp;"点]")</f>
        <v>相場上昇・見送り | 下降トレンド▼ MACD- RSI:53.6 前日比:-10.3% [年初来安値圏] [15点]</v>
      </c>
      <c r="Z22" s="338">
        <f>IF(AND(E22&lt;&gt;"",G22&lt;&gt;"",G22&lt;&gt;0),(E22-G22)/G22*100,"")</f>
        <v>-10.32</v>
      </c>
      <c r="AA22" s="212" t="str">
        <f>IF(OR(C22="",E22="",E22=0),"",IF(E22&gt;G22,"上昇▲",IF(E22&lt;G22,"下落▼","横ばい→")))</f>
        <v>下落▼</v>
      </c>
      <c r="AB22" s="333">
        <f>IF(OR(C22="",C22="TOPX",終値!E56=""),"",IFERROR(((終値!E56*0.333)+(終値!F56*0.222)+(終値!G56*0.148)+(終値!H56*0.099)+(終値!I56*0.066))/(0.333+0.222+0.148+0.099+0.066),""))</f>
        <v>2282.7580645161288</v>
      </c>
      <c r="AC22" s="333">
        <f>IF(OR(C22="",C22="TOPX",終値!E56=""),"",IFERROR(SUMPRODUCT((終値!E56:AC56),{0.077,0.071,0.065,0.06,0.055,0.051,0.047,0.043,0.039,0.036,0.033,0.031,0.028,0.026,0.024,0.022,0.02,0.018,0.017,0.016,0.014,0.013,0.012,0.011,0.01})/SUM({0.077,0.071,0.065,0.06,0.055,0.051,0.047,0.043,0.039,0.036,0.033,0.031,0.028,0.026,0.024,0.022,0.02,0.018,0.017,0.016,0.014,0.013,0.012,0.011,0.01}),""))</f>
        <v>2288.6626936829548</v>
      </c>
      <c r="AD22" s="212" t="str">
        <f>IF(OR(C22="",AB22="",AC22="",AB22=0,AC22=0),"",IF(AND(E22&gt;AB22,AB22&gt;AC22),"パーフェクト▲",IF(E22&gt;AC22,"上昇トレンド▲",IF(AND(E22&lt;AB22,AB22&lt;AC22),"下降トレンド▼","もみ合い→"))))</f>
        <v>下降トレンド▼</v>
      </c>
      <c r="AE22" s="212" t="str">
        <f>IF(OR(C22="",AB22="",AC22=""),"",IF(AND(ABS(E22-AC22)/AC22&lt;=0.02,E22&lt;AC22),"25日戻り売り★",IF(AND(ABS(E22-AB22)/AB22&lt;=0.01,E22&lt;AB22),"5日戻り売り○","なし")))</f>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相場上昇・見送り</v>
      </c>
      <c r="AG22">
        <f>IF(AND(T22&gt;=7,C22&lt;&gt;""),T22,0)</f>
        <v>15</v>
      </c>
      <c r="AH22">
        <f>IF(AG22&gt;0,AG22*10000-ROW(A22),0)</f>
        <v>149978</v>
      </c>
      <c r="AI22" s="373">
        <f t="array" ref="AI22">IF(C22="","",IFERROR((INDEX(終値!$E:$E,MATCH(TEXT(C22,"0"),終値!$A:$A,0))-INDEX(終値!$E:$CZ,MATCH(TEXT(C22,"0"),終値!$A:$A,0),$AN$2))/INDEX(終値!$E:$CZ,MATCH(TEXT(C22,"0"),終値!$A:$A,0),$AN$2)*100,""))</f>
        <v>-12.147335423197491</v>
      </c>
      <c r="AJ22" s="373">
        <f t="array" ref="AJ22">IFERROR((終値!$E$5-INDEX(終値!$E$5:$IT$5,1,$AN$2))/INDEX(終値!$E$5:$IT$5,1,$AN$2)*100,"")</f>
        <v>1.0179378228534113</v>
      </c>
      <c r="AK22" s="374">
        <f>IF(OR(AI22="",AJ22=""),"",AI22-AJ22)</f>
        <v>-13.165273246050903</v>
      </c>
      <c r="AL22" s="372">
        <f>IF(AK22="","",IF(AK22&lt;-5,3,IF(AK22&lt;0,1,IF(AK22&lt;3,-1,-2))))</f>
        <v>3</v>
      </c>
      <c r="AO22" s="376" t="str">
        <f>IF(OR($C22="",$E22="",$F22="",$H22="",$I22="",$H22-$I22&lt;=0),"-",IF(AND($H22-MAX($F22,$E22)&gt;=ABS($E22-$F22)*2,MIN($F22,$E22)-$I22&lt;=ABS($E22-$F22)*0.5,ABS($E22-$F22)&gt;0),"上ヒゲ陰線▼",IF(AND($E22&lt;$F22,ABS($E22-$F22)&gt;=($H22-$I22)*0.7),"大陰線▼",IF(AND(MIN($F22,$E22)-$I22&gt;=($H22-$I22)*0.5,$H22-MAX($F22,$E22)&lt;=($H22-$I22)*0.2),"長い下ヒゲ(反発警戒)","通常"))))</f>
        <v>通常</v>
      </c>
      <c r="AP22" s="377">
        <f>IF($AO22="上ヒゲ陰線▼",2,IF($AO22="大陰線▼",2,IF($AO22="長い下ヒゲ(反発警戒)",-2,0)))</f>
        <v>0</v>
      </c>
      <c r="AQ22">
        <f>IF(C22&lt;&gt;"",始値!F56,"")</f>
        <v>2260</v>
      </c>
      <c r="AR22">
        <f>IF(C22&lt;&gt;"",高値!F56,"")</f>
        <v>2500</v>
      </c>
      <c r="AS22">
        <f>IF(C22&lt;&gt;"",安値!F56,"")</f>
        <v>2235</v>
      </c>
      <c r="AT22" t="str">
        <f>IF(OR(C22="",AQ22="",AR22="",AS22="",AR22-AS22&lt;=0),"-",IF(AND(AR22-MAX(G22,AQ22)&gt;=ABS(G22-AQ22)*2,MIN(G22,AQ22)-AS22&lt;=ABS(G22-AQ22)*0.5,ABS(G22-AQ22)&gt;0),"上ヒゲ陰線▼",IF(AND(G22&lt;AQ22,ABS(G22-AQ22)&gt;=(AR22-AS22)*0.7),"大陰線▼",IF(AND(MIN(G22,AQ22)-AS22&gt;=(AR22-AS22)*0.5,AR22-MAX(G22,AQ22)&lt;=(AR22-AS22)*0.2),"長い下ヒゲ(反発)","通常"))))</f>
        <v>通常</v>
      </c>
      <c r="AU22">
        <f>IF(AT22="上ヒゲ陰線▼",2,IF(AT22="大陰線▼",2,IF(AT22="長い下ヒゲ(反発)",-2,0)))</f>
        <v>0</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5196</v>
      </c>
      <c r="F23" s="326">
        <f>IF(C23&lt;&gt;"",_xll.RssMarket(C23,"始値"),"")</f>
        <v>5350</v>
      </c>
      <c r="G23" s="325">
        <f>IF(C23&lt;&gt;"",終値!F76,"")</f>
        <v>5333</v>
      </c>
      <c r="H23" s="326">
        <f>IF(C23&lt;&gt;"",_xll.RssMarket(C23,"高値"),"")</f>
        <v>5368</v>
      </c>
      <c r="I23" s="326">
        <f>IF(C23&lt;&gt;"",_xll.RssMarket(C23,"安値"),"")</f>
        <v>5154</v>
      </c>
      <c r="J23" s="326">
        <f>IF(C23&lt;&gt;"",_xll.RssMarket(C23,"出来高"),"")</f>
        <v>5499400</v>
      </c>
      <c r="K23" s="326">
        <f>IF(C23&lt;&gt;"",_xll.RssMarket(C23,"年初来高値"),"")</f>
        <v>6340</v>
      </c>
      <c r="L23" s="327">
        <f>IF(AND(E23&lt;&gt;"",K23&lt;&gt;"",K23&lt;&gt;0),(E23-K23)/K23*100,"")</f>
        <v>-18.044164037854891</v>
      </c>
      <c r="M23" s="326">
        <f>IF(C23&lt;&gt;"",IFERROR(AVERAGE(出来高!E76:I76),""),"")</f>
        <v>5056460</v>
      </c>
      <c r="N23" s="326">
        <f>IF(C23&lt;&gt;"",IFERROR(AVERAGE(出来高!E76:AC76),""),"")</f>
        <v>4228524</v>
      </c>
      <c r="O23" s="328">
        <f>IF(AND(J23&lt;&gt;"",M23&lt;&gt;"",M23&lt;&gt;0),J23/M23,"")</f>
        <v>1.0875988339668463</v>
      </c>
      <c r="P23" s="325" t="str">
        <f>IF(O23="","",IF(O23&gt;=2,"急増↑↑",IF(O23&gt;=1.5,"増加↑",IF(O23&gt;=1,"普通→","減少↓"))))</f>
        <v>普通→</v>
      </c>
      <c r="Q23" s="325" t="str">
        <f>IF(E23="","",IF(AND(E23&lt;G23,O23&gt;=1.5),"売り▼",IF(E23&gt;G23,"様子見▲","中立→")))</f>
        <v>中立→</v>
      </c>
      <c r="R23" s="326">
        <f>IF(E23&lt;&gt;"",ROUND(E23*0.92,0),"")</f>
        <v>4780</v>
      </c>
      <c r="S23" s="326">
        <f>IF(E23&lt;&gt;"",ROUND(E23*1.04,0),"")</f>
        <v>5404</v>
      </c>
      <c r="T23" s="325">
        <f>IF(C23="","",IFERROR(IF(W23&gt;=70,3,IF(W23&gt;=60,2,IF(W23&gt;=50,1,0)))+IF(X23&lt;0,2,0)+IF(AD23="下降トレンド▼",3,IF(AD23="もみ合い→",1,0))+IF(V23="年初来安値圏●",3,IF(V23="安値圏",2,0))+IF(Q23="売り▼",2,0)+IF(P23="急増↑↑",2,IF(P23="増加↑",1,0))+IF(Z23&lt;0,1,0)+IF(L23&lt;=-30,2,IF(L23&lt;=-15,1,0))+IF(AE23="25日戻り売り★",2,IF(AE23="5日戻り売り○",1,0))+N(AL23)+N(AP23)+N(AU23),0))</f>
        <v>12</v>
      </c>
      <c r="U23" s="325" t="str">
        <f>IF(T23="","",IF(AND(T23&gt;=3,O23&gt;=1.5),"有効",IF(T23&gt;=3,"要確認","除外")))</f>
        <v>要確認</v>
      </c>
      <c r="V23" s="325" t="str">
        <f>IF(AND(I23&lt;&gt;"",K23&lt;&gt;""),IF(I23&lt;=K23*0.6,"年初来安値圏●",IF(I23&lt;=K23*0.75,"安値圏","通常")),"")</f>
        <v>通常</v>
      </c>
      <c r="W23" s="329">
        <f t="array" ref="W23">IFERROR(100-100/(1+SUMPRODUCT((終値!F76:R76&gt;終値!G76:S76)*(終値!F76:R76-終値!G76:S76))/SUMPRODUCT((終値!F76:R76&lt;終値!G76:S76)*(終値!G76:S76-終値!F76:R76))),50)</f>
        <v>41.00197758734344</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-87.298743427571935</v>
      </c>
      <c r="Y23" s="325" t="str">
        <f>IF(AF23="","",AF23&amp;" | "&amp;AD23&amp;IF(AE23&lt;&gt;"なし"," "&amp;AE23,"")&amp;IF(X23&lt;0," MACD-"," MACD+")&amp;" RSI:"&amp;TEXT(W23,"0.0")&amp;IF(W23&gt;=70," [過熱]",IF(W23&lt;=30," [売られ過ぎ]",""))&amp;" 前日比:"&amp;TEXT(Z23,"+0.0;-0.0;0.0")&amp;"%"&amp;IF(V23="年初来安値圏●"," [年初来安値圏]",IF(V23="安値圏"," [安値圏]",""))&amp;IF(OR(AO23="通常",AO23="-"),""," ["&amp;AO23&amp;"]")&amp;IF(OR(AT23="通常",AT23="-"),"","前日["&amp;AT23&amp;"]")&amp;" ["&amp;T23&amp;"点]")</f>
        <v>○逆張り売り | もみ合い→ 25日戻り売り★ MACD- RSI:41.0 前日比:-2.6% [大陰線▼] [12点]</v>
      </c>
      <c r="Z23" s="331">
        <f>IF(AND(E23&lt;&gt;"",G23&lt;&gt;"",G23&lt;&gt;0),(E23-G23)/G23*100,"")</f>
        <v>-2.568910556909807</v>
      </c>
      <c r="AA23" s="325" t="str">
        <f>IF(OR(C23="",E23="",E23=0),"",IF(E23&gt;G23,"上昇▲",IF(E23&lt;G23,"下落▼","横ばい→")))</f>
        <v>下落▼</v>
      </c>
      <c r="AB23" s="326">
        <f>IF(OR(C23="",C23="TOPX",終値!E76=""),"",IFERROR(((終値!E76*0.333)+(終値!F76*0.222)+(終値!G76*0.148)+(終値!H76*0.099)+(終値!I76*0.066))/(0.333+0.222+0.148+0.099+0.066),""))</f>
        <v>5137.8248847926261</v>
      </c>
      <c r="AC23" s="326">
        <f>IF(OR(C23="",C23="TOPX",終値!E76=""),"",IFERROR(SUMPRODUCT((終値!E76:AC76),{0.077,0.071,0.065,0.06,0.055,0.051,0.047,0.043,0.039,0.036,0.033,0.031,0.028,0.026,0.024,0.022,0.02,0.018,0.017,0.016,0.014,0.013,0.012,0.011,0.01})/SUM({0.077,0.071,0.065,0.06,0.055,0.051,0.047,0.043,0.039,0.036,0.033,0.031,0.028,0.026,0.024,0.022,0.02,0.018,0.017,0.016,0.014,0.013,0.012,0.011,0.01}),""))</f>
        <v>5211.8104886769934</v>
      </c>
      <c r="AD23" s="325" t="str">
        <f>IF(OR(C23="",AB23="",AC23="",AB23=0,AC23=0),"",IF(AND(E23&gt;AB23,AB23&gt;AC23),"パーフェクト▲",IF(E23&gt;AC23,"上昇トレンド▲",IF(AND(E23&lt;AB23,AB23&lt;AC23),"下降トレンド▼","もみ合い→"))))</f>
        <v>もみ合い→</v>
      </c>
      <c r="AE23" s="325" t="str">
        <f>IF(OR(C23="",AB23="",AC23=""),"",IF(AND(ABS(E23-AC23)/AC23&lt;=0.02,E23&lt;AC23),"25日戻り売り★",IF(AND(ABS(E23-AB23)/AB23&lt;=0.01,E23&lt;AB23),"5日戻り売り○","なし")))</f>
        <v>25日戻り売り★</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○逆張り売り</v>
      </c>
      <c r="AG23">
        <f>IF(AND(T23&gt;=7,C23&lt;&gt;""),T23,0)</f>
        <v>12</v>
      </c>
      <c r="AH23">
        <f>IF(AG23&gt;0,AG23*10000-ROW(A23),0)</f>
        <v>119977</v>
      </c>
      <c r="AI23" s="373">
        <f t="array" ref="AI23">IF(C23="","",IFERROR((INDEX(終値!$E:$E,MATCH(TEXT(C23,"0"),終値!$A:$A,0))-INDEX(終値!$E:$CZ,MATCH(TEXT(C23,"0"),終値!$A:$A,0),$AN$2))/INDEX(終値!$E:$CZ,MATCH(TEXT(C23,"0"),終値!$A:$A,0),$AN$2)*100,""))</f>
        <v>-15.854251012145749</v>
      </c>
      <c r="AJ23" s="373">
        <f t="array" ref="AJ23">IFERROR((終値!$E$5-INDEX(終値!$E$5:$IT$5,1,$AN$2))/INDEX(終値!$E$5:$IT$5,1,$AN$2)*100,"")</f>
        <v>1.0179378228534113</v>
      </c>
      <c r="AK23" s="374">
        <f>IF(OR(AI23="",AJ23=""),"",AI23-AJ23)</f>
        <v>-16.872188834999161</v>
      </c>
      <c r="AL23" s="372">
        <f>IF(AK23="","",IF(AK23&lt;-5,3,IF(AK23&lt;0,1,IF(AK23&lt;3,-1,-2))))</f>
        <v>3</v>
      </c>
      <c r="AO23" s="376" t="str">
        <f>IF(OR($C23="",$E23="",$F23="",$H23="",$I23="",$H23-$I23&lt;=0),"-",IF(AND($H23-MAX($F23,$E23)&gt;=ABS($E23-$F23)*2,MIN($F23,$E23)-$I23&lt;=ABS($E23-$F23)*0.5,ABS($E23-$F23)&gt;0),"上ヒゲ陰線▼",IF(AND($E23&lt;$F23,ABS($E23-$F23)&gt;=($H23-$I23)*0.7),"大陰線▼",IF(AND(MIN($F23,$E23)-$I23&gt;=($H23-$I23)*0.5,$H23-MAX($F23,$E23)&lt;=($H23-$I23)*0.2),"長い下ヒゲ(反発警戒)","通常"))))</f>
        <v>大陰線▼</v>
      </c>
      <c r="AP23" s="377">
        <f>IF($AO23="上ヒゲ陰線▼",2,IF($AO23="大陰線▼",2,IF($AO23="長い下ヒゲ(反発警戒)",-2,0)))</f>
        <v>2</v>
      </c>
      <c r="AQ23">
        <f>IF(C23&lt;&gt;"",始値!F76,"")</f>
        <v>5198</v>
      </c>
      <c r="AR23">
        <f>IF(C23&lt;&gt;"",高値!F76,"")</f>
        <v>5350</v>
      </c>
      <c r="AS23">
        <f>IF(C23&lt;&gt;"",安値!F76,"")</f>
        <v>5127</v>
      </c>
      <c r="AT23" t="str">
        <f>IF(OR(C23="",AQ23="",AR23="",AS23="",AR23-AS23&lt;=0),"-",IF(AND(AR23-MAX(G23,AQ23)&gt;=ABS(G23-AQ23)*2,MIN(G23,AQ23)-AS23&lt;=ABS(G23-AQ23)*0.5,ABS(G23-AQ23)&gt;0),"上ヒゲ陰線▼",IF(AND(G23&lt;AQ23,ABS(G23-AQ23)&gt;=(AR23-AS23)*0.7),"大陰線▼",IF(AND(MIN(G23,AQ23)-AS23&gt;=(AR23-AS23)*0.5,AR23-MAX(G23,AQ23)&lt;=(AR23-AS23)*0.2),"長い下ヒゲ(反発)","通常"))))</f>
        <v>通常</v>
      </c>
      <c r="AU23">
        <f>IF(AT23="上ヒゲ陰線▼",2,IF(AT23="大陰線▼",2,IF(AT23="長い下ヒゲ(反発)",-2,0)))</f>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3736</v>
      </c>
      <c r="F24" s="333">
        <f>IF(C24&lt;&gt;"",_xll.RssMarket(C24,"始値"),"")</f>
        <v>3852</v>
      </c>
      <c r="G24" s="212">
        <f>IF(C24&lt;&gt;"",終値!F79,"")</f>
        <v>4096</v>
      </c>
      <c r="H24" s="333">
        <f>IF(C24&lt;&gt;"",_xll.RssMarket(C24,"高値"),"")</f>
        <v>3910</v>
      </c>
      <c r="I24" s="333">
        <f>IF(C24&lt;&gt;"",_xll.RssMarket(C24,"安値"),"")</f>
        <v>3688</v>
      </c>
      <c r="J24" s="333">
        <f>IF(C24&lt;&gt;"",_xll.RssMarket(C24,"出来高"),"")</f>
        <v>6490100</v>
      </c>
      <c r="K24" s="333">
        <f>IF(C24&lt;&gt;"",_xll.RssMarket(C24,"年初来高値"),"")</f>
        <v>5307</v>
      </c>
      <c r="L24" s="334">
        <f>IF(AND(E24&lt;&gt;"",K24&lt;&gt;"",K24&lt;&gt;0),(E24-K24)/K24*100,"")</f>
        <v>-29.602411908799699</v>
      </c>
      <c r="M24" s="333">
        <f>IF(C24&lt;&gt;"",IFERROR(AVERAGE(出来高!E79:I79),""),"")</f>
        <v>4232280</v>
      </c>
      <c r="N24" s="333">
        <f>IF(C24&lt;&gt;"",IFERROR(AVERAGE(出来高!E79:AC79),""),"")</f>
        <v>3520708</v>
      </c>
      <c r="O24" s="335">
        <f>IF(AND(J24&lt;&gt;"",M24&lt;&gt;"",M24&lt;&gt;0),J24/M24,"")</f>
        <v>1.5334760460082981</v>
      </c>
      <c r="P24" s="212" t="str">
        <f>IF(O24="","",IF(O24&gt;=2,"急増↑↑",IF(O24&gt;=1.5,"増加↑",IF(O24&gt;=1,"普通→","減少↓"))))</f>
        <v>増加↑</v>
      </c>
      <c r="Q24" s="212" t="str">
        <f>IF(E24="","",IF(AND(E24&lt;G24,O24&gt;=1.5),"売り▼",IF(E24&gt;G24,"様子見▲","中立→")))</f>
        <v>売り▼</v>
      </c>
      <c r="R24" s="333">
        <f>IF(E24&lt;&gt;"",ROUND(E24*0.92,0),"")</f>
        <v>3437</v>
      </c>
      <c r="S24" s="333">
        <f>IF(E24&lt;&gt;"",ROUND(E24*1.04,0),"")</f>
        <v>3885</v>
      </c>
      <c r="T24" s="325">
        <f>IF(C24="","",IFERROR(IF(W24&gt;=70,3,IF(W24&gt;=60,2,IF(W24&gt;=50,1,0)))+IF(X24&lt;0,2,0)+IF(AD24="下降トレンド▼",3,IF(AD24="もみ合い→",1,0))+IF(V24="年初来安値圏●",3,IF(V24="安値圏",2,0))+IF(Q24="売り▼",2,0)+IF(P24="急増↑↑",2,IF(P24="増加↑",1,0))+IF(Z24&lt;0,1,0)+IF(L24&lt;=-30,2,IF(L24&lt;=-15,1,0))+IF(AE24="25日戻り売り★",2,IF(AE24="5日戻り売り○",1,0))+N(AL24)+N(AP24)+N(AU24),0))</f>
        <v>15</v>
      </c>
      <c r="U24" s="212" t="str">
        <f>IF(T24="","",IF(AND(T24&gt;=3,O24&gt;=1.5),"有効",IF(T24&gt;=3,"要確認","除外")))</f>
        <v>有効</v>
      </c>
      <c r="V24" s="212" t="str">
        <f>IF(AND(I24&lt;&gt;"",K24&lt;&gt;""),IF(I24&lt;=K24*0.6,"年初来安値圏●",IF(I24&lt;=K24*0.75,"安値圏","通常")),"")</f>
        <v>安値圏</v>
      </c>
      <c r="W24" s="336">
        <f t="array" ref="W24">IFERROR(100-100/(1+SUMPRODUCT((終値!F79:R79&gt;終値!G79:S79)*(終値!F79:R79-終値!G79:S79))/SUMPRODUCT((終値!F79:R79&lt;終値!G79:S79)*(終値!G79:S79-終値!F79:R79))),50)</f>
        <v>47.217010631644776</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-66.223233654009164</v>
      </c>
      <c r="Y24" s="212" t="str">
        <f>IF(AF24="","",AF24&amp;" | "&amp;AD24&amp;IF(AE24&lt;&gt;"なし"," "&amp;AE24,"")&amp;IF(X24&lt;0," MACD-"," MACD+")&amp;" RSI:"&amp;TEXT(W24,"0.0")&amp;IF(W24&gt;=70," [過熱]",IF(W24&lt;=30," [売られ過ぎ]",""))&amp;" 前日比:"&amp;TEXT(Z24,"+0.0;-0.0;0.0")&amp;"%"&amp;IF(V24="年初来安値圏●"," [年初来安値圏]",IF(V24="安値圏"," [安値圏]",""))&amp;IF(OR(AO24="通常",AO24="-"),""," ["&amp;AO24&amp;"]")&amp;IF(OR(AT24="通常",AT24="-"),"","前日["&amp;AT24&amp;"]")&amp;" ["&amp;T24&amp;"点]")</f>
        <v>相場上昇・見送り | 下降トレンド▼ MACD- RSI:47.2 前日比:-8.8% [安値圏] [15点]</v>
      </c>
      <c r="Z24" s="338">
        <f>IF(AND(E24&lt;&gt;"",G24&lt;&gt;"",G24&lt;&gt;0),(E24-G24)/G24*100,"")</f>
        <v>-8.7890625</v>
      </c>
      <c r="AA24" s="212" t="str">
        <f>IF(OR(C24="",E24="",E24=0),"",IF(E24&gt;G24,"上昇▲",IF(E24&lt;G24,"下落▼","横ばい→")))</f>
        <v>下落▼</v>
      </c>
      <c r="AB24" s="333">
        <f>IF(OR(C24="",C24="TOPX",終値!E79=""),"",IFERROR(((終値!E79*0.333)+(終値!F79*0.222)+(終値!G79*0.148)+(終値!H79*0.099)+(終値!I79*0.066))/(0.333+0.222+0.148+0.099+0.066),""))</f>
        <v>3847.7223502304146</v>
      </c>
      <c r="AC24" s="333">
        <f>IF(OR(C24="",C24="TOPX",終値!E79=""),"",IFERROR(SUMPRODUCT((終値!E79:AC79),{0.077,0.071,0.065,0.06,0.055,0.051,0.047,0.043,0.039,0.036,0.033,0.031,0.028,0.026,0.024,0.022,0.02,0.018,0.017,0.016,0.014,0.013,0.012,0.011,0.01})/SUM({0.077,0.071,0.065,0.06,0.055,0.051,0.047,0.043,0.039,0.036,0.033,0.031,0.028,0.026,0.024,0.022,0.02,0.018,0.017,0.016,0.014,0.013,0.012,0.011,0.01}),""))</f>
        <v>3923.965435041715</v>
      </c>
      <c r="AD24" s="212" t="str">
        <f>IF(OR(C24="",AB24="",AC24="",AB24=0,AC24=0),"",IF(AND(E24&gt;AB24,AB24&gt;AC24),"パーフェクト▲",IF(E24&gt;AC24,"上昇トレンド▲",IF(AND(E24&lt;AB24,AB24&lt;AC24),"下降トレンド▼","もみ合い→"))))</f>
        <v>下降トレンド▼</v>
      </c>
      <c r="AE24" s="212" t="str">
        <f>IF(OR(C24="",AB24="",AC24=""),"",IF(AND(ABS(E24-AC24)/AC24&lt;=0.02,E24&lt;AC24),"25日戻り売り★",IF(AND(ABS(E24-AB24)/AB24&lt;=0.01,E24&lt;AB24),"5日戻り売り○","なし")))</f>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相場上昇・見送り</v>
      </c>
      <c r="AG24">
        <f>IF(AND(T24&gt;=7,C24&lt;&gt;""),T24,0)</f>
        <v>15</v>
      </c>
      <c r="AH24">
        <f>IF(AG24&gt;0,AG24*10000-ROW(A24),0)</f>
        <v>149976</v>
      </c>
      <c r="AI24" s="373">
        <f t="array" ref="AI24">IF(C24="","",IFERROR((INDEX(終値!$E:$E,MATCH(TEXT(C24,"0"),終値!$A:$A,0))-INDEX(終値!$E:$CZ,MATCH(TEXT(C24,"0"),終値!$A:$A,0),$AN$2))/INDEX(終値!$E:$CZ,MATCH(TEXT(C24,"0"),終値!$A:$A,0),$AN$2)*100,""))</f>
        <v>-25.250100040016004</v>
      </c>
      <c r="AJ24" s="373">
        <f t="array" ref="AJ24">IFERROR((終値!$E$5-INDEX(終値!$E$5:$IT$5,1,$AN$2))/INDEX(終値!$E$5:$IT$5,1,$AN$2)*100,"")</f>
        <v>1.0179378228534113</v>
      </c>
      <c r="AK24" s="374">
        <f>IF(OR(AI24="",AJ24=""),"",AI24-AJ24)</f>
        <v>-26.268037862869416</v>
      </c>
      <c r="AL24" s="372">
        <f>IF(AK24="","",IF(AK24&lt;-5,3,IF(AK24&lt;0,1,IF(AK24&lt;3,-1,-2))))</f>
        <v>3</v>
      </c>
      <c r="AO24" s="376" t="str">
        <f>IF(OR($C24="",$E24="",$F24="",$H24="",$I24="",$H24-$I24&lt;=0),"-",IF(AND($H24-MAX($F24,$E24)&gt;=ABS($E24-$F24)*2,MIN($F24,$E24)-$I24&lt;=ABS($E24-$F24)*0.5,ABS($E24-$F24)&gt;0),"上ヒゲ陰線▼",IF(AND($E24&lt;$F24,ABS($E24-$F24)&gt;=($H24-$I24)*0.7),"大陰線▼",IF(AND(MIN($F24,$E24)-$I24&gt;=($H24-$I24)*0.5,$H24-MAX($F24,$E24)&lt;=($H24-$I24)*0.2),"長い下ヒゲ(反発警戒)","通常"))))</f>
        <v>通常</v>
      </c>
      <c r="AP24" s="377">
        <f>IF($AO24="上ヒゲ陰線▼",2,IF($AO24="大陰線▼",2,IF($AO24="長い下ヒゲ(反発警戒)",-2,0)))</f>
        <v>0</v>
      </c>
      <c r="AQ24">
        <f>IF(C24&lt;&gt;"",始値!F79,"")</f>
        <v>3927</v>
      </c>
      <c r="AR24">
        <f>IF(C24&lt;&gt;"",高値!F79,"")</f>
        <v>4126</v>
      </c>
      <c r="AS24">
        <f>IF(C24&lt;&gt;"",安値!F79,"")</f>
        <v>3913</v>
      </c>
      <c r="AT24" t="str">
        <f>IF(OR(C24="",AQ24="",AR24="",AS24="",AR24-AS24&lt;=0),"-",IF(AND(AR24-MAX(G24,AQ24)&gt;=ABS(G24-AQ24)*2,MIN(G24,AQ24)-AS24&lt;=ABS(G24-AQ24)*0.5,ABS(G24-AQ24)&gt;0),"上ヒゲ陰線▼",IF(AND(G24&lt;AQ24,ABS(G24-AQ24)&gt;=(AR24-AS24)*0.7),"大陰線▼",IF(AND(MIN(G24,AQ24)-AS24&gt;=(AR24-AS24)*0.5,AR24-MAX(G24,AQ24)&lt;=(AR24-AS24)*0.2),"長い下ヒゲ(反発)","通常"))))</f>
        <v>通常</v>
      </c>
      <c r="AU24">
        <f>IF(AT24="上ヒゲ陰線▼",2,IF(AT24="大陰線▼",2,IF(AT24="長い下ヒゲ(反発)",-2,0)))</f>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8117</v>
      </c>
      <c r="F25" s="326">
        <f>IF(C25&lt;&gt;"",_xll.RssMarket(C25,"始値"),"")</f>
        <v>8280</v>
      </c>
      <c r="G25" s="325">
        <f>IF(C25&lt;&gt;"",終値!F92,"")</f>
        <v>8485</v>
      </c>
      <c r="H25" s="326">
        <f>IF(C25&lt;&gt;"",_xll.RssMarket(C25,"高値"),"")</f>
        <v>8473</v>
      </c>
      <c r="I25" s="326">
        <f>IF(C25&lt;&gt;"",_xll.RssMarket(C25,"安値"),"")</f>
        <v>8005</v>
      </c>
      <c r="J25" s="326">
        <f>IF(C25&lt;&gt;"",_xll.RssMarket(C25,"出来高"),"")</f>
        <v>1592700</v>
      </c>
      <c r="K25" s="326">
        <f>IF(C25&lt;&gt;"",_xll.RssMarket(C25,"年初来高値"),"")</f>
        <v>8943</v>
      </c>
      <c r="L25" s="327">
        <f>IF(AND(E25&lt;&gt;"",K25&lt;&gt;"",K25&lt;&gt;0),(E25-K25)/K25*100,"")</f>
        <v>-9.236274180923628</v>
      </c>
      <c r="M25" s="326">
        <f>IF(C25&lt;&gt;"",IFERROR(AVERAGE(出来高!E92:I92),""),"")</f>
        <v>1997180</v>
      </c>
      <c r="N25" s="326">
        <f>IF(C25&lt;&gt;"",IFERROR(AVERAGE(出来高!E92:AC92),""),"")</f>
        <v>1060564</v>
      </c>
      <c r="O25" s="328">
        <f>IF(AND(J25&lt;&gt;"",M25&lt;&gt;"",M25&lt;&gt;0),J25/M25,"")</f>
        <v>0.79747443895893211</v>
      </c>
      <c r="P25" s="325" t="str">
        <f>IF(O25="","",IF(O25&gt;=2,"急増↑↑",IF(O25&gt;=1.5,"増加↑",IF(O25&gt;=1,"普通→","減少↓"))))</f>
        <v>減少↓</v>
      </c>
      <c r="Q25" s="325" t="str">
        <f>IF(E25="","",IF(AND(E25&lt;G25,O25&gt;=1.5),"売り▼",IF(E25&gt;G25,"様子見▲","中立→")))</f>
        <v>中立→</v>
      </c>
      <c r="R25" s="326">
        <f>IF(E25&lt;&gt;"",ROUND(E25*0.92,0),"")</f>
        <v>7468</v>
      </c>
      <c r="S25" s="326">
        <f>IF(E25&lt;&gt;"",ROUND(E25*1.04,0),"")</f>
        <v>8442</v>
      </c>
      <c r="T25" s="325">
        <f>IF(C25="","",IFERROR(IF(W25&gt;=70,3,IF(W25&gt;=60,2,IF(W25&gt;=50,1,0)))+IF(X25&lt;0,2,0)+IF(AD25="下降トレンド▼",3,IF(AD25="もみ合い→",1,0))+IF(V25="年初来安値圏●",3,IF(V25="安値圏",2,0))+IF(Q25="売り▼",2,0)+IF(P25="急増↑↑",2,IF(P25="増加↑",1,0))+IF(Z25&lt;0,1,0)+IF(L25&lt;=-30,2,IF(L25&lt;=-15,1,0))+IF(AE25="25日戻り売り★",2,IF(AE25="5日戻り売り○",1,0))+N(AL25)+N(AP25)+N(AU25),0))</f>
        <v>7</v>
      </c>
      <c r="U25" s="325" t="str">
        <f>IF(T25="","",IF(AND(T25&gt;=3,O25&gt;=1.5),"有効",IF(T25&gt;=3,"要確認","除外")))</f>
        <v>要確認</v>
      </c>
      <c r="V25" s="325" t="str">
        <f>IF(AND(I25&lt;&gt;"",K25&lt;&gt;""),IF(I25&lt;=K25*0.6,"年初来安値圏●",IF(I25&lt;=K25*0.75,"安値圏","通常")),"")</f>
        <v>通常</v>
      </c>
      <c r="W25" s="329">
        <f t="array" ref="W25">IFERROR(100-100/(1+SUMPRODUCT((終値!F92:R92&gt;終値!G92:S92)*(終値!F92:R92-終値!G92:S92))/SUMPRODUCT((終値!F92:R92&lt;終値!G92:S92)*(終値!G92:S92-終値!F92:R92))),50)</f>
        <v>55.263753678967625</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-19.614679647665071</v>
      </c>
      <c r="Y25" s="325" t="str">
        <f>IF(AF25="","",AF25&amp;" | "&amp;AD25&amp;IF(AE25&lt;&gt;"なし"," "&amp;AE25,"")&amp;IF(X25&lt;0," MACD-"," MACD+")&amp;" RSI:"&amp;TEXT(W25,"0.0")&amp;IF(W25&gt;=70," [過熱]",IF(W25&lt;=30," [売られ過ぎ]",""))&amp;" 前日比:"&amp;TEXT(Z25,"+0.0;-0.0;0.0")&amp;"%"&amp;IF(V25="年初来安値圏●"," [年初来安値圏]",IF(V25="安値圏"," [安値圏]",""))&amp;IF(OR(AO25="通常",AO25="-"),""," ["&amp;AO25&amp;"]")&amp;IF(OR(AT25="通常",AT25="-"),"","前日["&amp;AT25&amp;"]")&amp;" ["&amp;T25&amp;"点]")</f>
        <v>相場上昇・見送り | パーフェクト▲ MACD- RSI:55.3 前日比:-4.3% [7点]</v>
      </c>
      <c r="Z25" s="331">
        <f>IF(AND(E25&lt;&gt;"",G25&lt;&gt;"",G25&lt;&gt;0),(E25-G25)/G25*100,"")</f>
        <v>-4.3370654095462582</v>
      </c>
      <c r="AA25" s="325" t="str">
        <f>IF(OR(C25="",E25="",E25=0),"",IF(E25&gt;G25,"上昇▲",IF(E25&lt;G25,"下落▼","横ばい→")))</f>
        <v>下落▼</v>
      </c>
      <c r="AB25" s="326">
        <f>IF(OR(C25="",C25="TOPX",終値!E92=""),"",IFERROR(((終値!E92*0.333)+(終値!F92*0.222)+(終値!G92*0.148)+(終値!H92*0.099)+(終値!I92*0.066))/(0.333+0.222+0.148+0.099+0.066),""))</f>
        <v>8079.0668202764964</v>
      </c>
      <c r="AC25" s="326">
        <f>IF(OR(C25="",C25="TOPX",終値!E92=""),"",IFERROR(SUMPRODUCT((終値!E92:AC92),{0.077,0.071,0.065,0.06,0.055,0.051,0.047,0.043,0.039,0.036,0.033,0.031,0.028,0.026,0.024,0.022,0.02,0.018,0.017,0.016,0.014,0.013,0.012,0.011,0.01})/SUM({0.077,0.071,0.065,0.06,0.055,0.051,0.047,0.043,0.039,0.036,0.033,0.031,0.028,0.026,0.024,0.022,0.02,0.018,0.017,0.016,0.014,0.013,0.012,0.011,0.01}),""))</f>
        <v>7636.9630512514859</v>
      </c>
      <c r="AD25" s="325" t="str">
        <f>IF(OR(C25="",AB25="",AC25="",AB25=0,AC25=0),"",IF(AND(E25&gt;AB25,AB25&gt;AC25),"パーフェクト▲",IF(E25&gt;AC25,"上昇トレンド▲",IF(AND(E25&lt;AB25,AB25&lt;AC25),"下降トレンド▼","もみ合い→"))))</f>
        <v>パーフェクト▲</v>
      </c>
      <c r="AE25" s="325" t="str">
        <f>IF(OR(C25="",AB25="",AC25=""),"",IF(AND(ABS(E25-AC25)/AC25&lt;=0.02,E25&lt;AC25),"25日戻り売り★",IF(AND(ABS(E25-AB25)/AB25&lt;=0.01,E25&lt;AB25),"5日戻り売り○","なし")))</f>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相場上昇・見送り</v>
      </c>
      <c r="AG25">
        <f>IF(AND(T25&gt;=7,C25&lt;&gt;""),T25,0)</f>
        <v>7</v>
      </c>
      <c r="AH25">
        <f>IF(AG25&gt;0,AG25*10000-ROW(A25),0)</f>
        <v>69975</v>
      </c>
      <c r="AI25" s="373">
        <f t="array" ref="AI25">IF(C25="","",IFERROR((INDEX(終値!$E:$E,MATCH(TEXT(C25,"0"),終値!$A:$A,0))-INDEX(終値!$E:$CZ,MATCH(TEXT(C25,"0"),終値!$A:$A,0),$AN$2))/INDEX(終値!$E:$CZ,MATCH(TEXT(C25,"0"),終値!$A:$A,0),$AN$2)*100,""))</f>
        <v>-9.1244961934617113</v>
      </c>
      <c r="AJ25" s="373">
        <f t="array" ref="AJ25">IFERROR((終値!$E$5-INDEX(終値!$E$5:$IT$5,1,$AN$2))/INDEX(終値!$E$5:$IT$5,1,$AN$2)*100,"")</f>
        <v>1.0179378228534113</v>
      </c>
      <c r="AK25" s="374">
        <f>IF(OR(AI25="",AJ25=""),"",AI25-AJ25)</f>
        <v>-10.142434016315123</v>
      </c>
      <c r="AL25" s="372">
        <f>IF(AK25="","",IF(AK25&lt;-5,3,IF(AK25&lt;0,1,IF(AK25&lt;3,-1,-2))))</f>
        <v>3</v>
      </c>
      <c r="AO25" s="376" t="str">
        <f>IF(OR($C25="",$E25="",$F25="",$H25="",$I25="",$H25-$I25&lt;=0),"-",IF(AND($H25-MAX($F25,$E25)&gt;=ABS($E25-$F25)*2,MIN($F25,$E25)-$I25&lt;=ABS($E25-$F25)*0.5,ABS($E25-$F25)&gt;0),"上ヒゲ陰線▼",IF(AND($E25&lt;$F25,ABS($E25-$F25)&gt;=($H25-$I25)*0.7),"大陰線▼",IF(AND(MIN($F25,$E25)-$I25&gt;=($H25-$I25)*0.5,$H25-MAX($F25,$E25)&lt;=($H25-$I25)*0.2),"長い下ヒゲ(反発警戒)","通常"))))</f>
        <v>通常</v>
      </c>
      <c r="AP25" s="377">
        <f>IF($AO25="上ヒゲ陰線▼",2,IF($AO25="大陰線▼",2,IF($AO25="長い下ヒゲ(反発警戒)",-2,0)))</f>
        <v>0</v>
      </c>
      <c r="AQ25">
        <f>IF(C25&lt;&gt;"",始値!F92,"")</f>
        <v>8131</v>
      </c>
      <c r="AR25">
        <f>IF(C25&lt;&gt;"",高値!F92,"")</f>
        <v>8515</v>
      </c>
      <c r="AS25">
        <f>IF(C25&lt;&gt;"",安値!F92,"")</f>
        <v>7933</v>
      </c>
      <c r="AT25" t="str">
        <f>IF(OR(C25="",AQ25="",AR25="",AS25="",AR25-AS25&lt;=0),"-",IF(AND(AR25-MAX(G25,AQ25)&gt;=ABS(G25-AQ25)*2,MIN(G25,AQ25)-AS25&lt;=ABS(G25-AQ25)*0.5,ABS(G25-AQ25)&gt;0),"上ヒゲ陰線▼",IF(AND(G25&lt;AQ25,ABS(G25-AQ25)&gt;=(AR25-AS25)*0.7),"大陰線▼",IF(AND(MIN(G25,AQ25)-AS25&gt;=(AR25-AS25)*0.5,AR25-MAX(G25,AQ25)&lt;=(AR25-AS25)*0.2),"長い下ヒゲ(反発)","通常"))))</f>
        <v>通常</v>
      </c>
      <c r="AU25">
        <f>IF(AT25="上ヒゲ陰線▼",2,IF(AT25="大陰線▼",2,IF(AT25="長い下ヒゲ(反発)",-2,0)))</f>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2554.5</v>
      </c>
      <c r="F26" s="333">
        <f>IF(C26&lt;&gt;"",_xll.RssMarket(C26,"始値"),"")</f>
        <v>2568.5</v>
      </c>
      <c r="G26" s="212">
        <f>IF(C26&lt;&gt;"",終値!F123,"")</f>
        <v>2580</v>
      </c>
      <c r="H26" s="333">
        <f>IF(C26&lt;&gt;"",_xll.RssMarket(C26,"高値"),"")</f>
        <v>2635</v>
      </c>
      <c r="I26" s="333">
        <f>IF(C26&lt;&gt;"",_xll.RssMarket(C26,"安値"),"")</f>
        <v>2535</v>
      </c>
      <c r="J26" s="333">
        <f>IF(C26&lt;&gt;"",_xll.RssMarket(C26,"出来高"),"")</f>
        <v>2501400</v>
      </c>
      <c r="K26" s="333">
        <f>IF(C26&lt;&gt;"",_xll.RssMarket(C26,"年初来高値"),"")</f>
        <v>2699.5</v>
      </c>
      <c r="L26" s="334">
        <f>IF(AND(E26&lt;&gt;"",K26&lt;&gt;"",K26&lt;&gt;0),(E26-K26)/K26*100,"")</f>
        <v>-5.3713650676051117</v>
      </c>
      <c r="M26" s="333">
        <f>IF(C26&lt;&gt;"",IFERROR(AVERAGE(出来高!E123:I123),""),"")</f>
        <v>1915160</v>
      </c>
      <c r="N26" s="333">
        <f>IF(C26&lt;&gt;"",IFERROR(AVERAGE(出来高!E123:AC123),""),"")</f>
        <v>1476476</v>
      </c>
      <c r="O26" s="335">
        <f>IF(AND(J26&lt;&gt;"",M26&lt;&gt;"",M26&lt;&gt;0),J26/M26,"")</f>
        <v>1.3061049729526515</v>
      </c>
      <c r="P26" s="212" t="str">
        <f>IF(O26="","",IF(O26&gt;=2,"急増↑↑",IF(O26&gt;=1.5,"増加↑",IF(O26&gt;=1,"普通→","減少↓"))))</f>
        <v>普通→</v>
      </c>
      <c r="Q26" s="212" t="str">
        <f>IF(E26="","",IF(AND(E26&lt;G26,O26&gt;=1.5),"売り▼",IF(E26&gt;G26,"様子見▲","中立→")))</f>
        <v>中立→</v>
      </c>
      <c r="R26" s="333">
        <f>IF(E26&lt;&gt;"",ROUND(E26*0.92,0),"")</f>
        <v>2350</v>
      </c>
      <c r="S26" s="333">
        <f>IF(E26&lt;&gt;"",ROUND(E26*1.04,0),"")</f>
        <v>2657</v>
      </c>
      <c r="T26" s="325">
        <f>IF(C26="","",IFERROR(IF(W26&gt;=70,3,IF(W26&gt;=60,2,IF(W26&gt;=50,1,0)))+IF(X26&lt;0,2,0)+IF(AD26="下降トレンド▼",3,IF(AD26="もみ合い→",1,0))+IF(V26="年初来安値圏●",3,IF(V26="安値圏",2,0))+IF(Q26="売り▼",2,0)+IF(P26="急増↑↑",2,IF(P26="増加↑",1,0))+IF(Z26&lt;0,1,0)+IF(L26&lt;=-30,2,IF(L26&lt;=-15,1,0))+IF(AE26="25日戻り売り★",2,IF(AE26="5日戻り売り○",1,0))+N(AL26)+N(AP26)+N(AU26),0))</f>
        <v>4</v>
      </c>
      <c r="U26" s="212" t="str">
        <f>IF(T26="","",IF(AND(T26&gt;=3,O26&gt;=1.5),"有効",IF(T26&gt;=3,"要確認","除外")))</f>
        <v>要確認</v>
      </c>
      <c r="V26" s="212" t="str">
        <f>IF(AND(I26&lt;&gt;"",K26&lt;&gt;""),IF(I26&lt;=K26*0.6,"年初来安値圏●",IF(I26&lt;=K26*0.75,"安値圏","通常")),"")</f>
        <v>通常</v>
      </c>
      <c r="W26" s="336">
        <f t="array" ref="W26">IFERROR(100-100/(1+SUMPRODUCT((終値!F123:R123&gt;終値!G123:S123)*(終値!F123:R123-終値!G123:S123))/SUMPRODUCT((終値!F123:R123&lt;終値!G123:S123)*(終値!G123:S123-終値!F123:R123))),50)</f>
        <v>46.158940397350996</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-0.5833230509592795</v>
      </c>
      <c r="Y26" s="212" t="str">
        <f>IF(AF26="","",AF26&amp;" | "&amp;AD26&amp;IF(AE26&lt;&gt;"なし"," "&amp;AE26,"")&amp;IF(X26&lt;0," MACD-"," MACD+")&amp;" RSI:"&amp;TEXT(W26,"0.0")&amp;IF(W26&gt;=70," [過熱]",IF(W26&lt;=30," [売られ過ぎ]",""))&amp;" 前日比:"&amp;TEXT(Z26,"+0.0;-0.0;0.0")&amp;"%"&amp;IF(V26="年初来安値圏●"," [年初来安値圏]",IF(V26="安値圏"," [安値圏]",""))&amp;IF(OR(AO26="通常",AO26="-"),""," ["&amp;AO26&amp;"]")&amp;IF(OR(AT26="通常",AT26="-"),"","前日["&amp;AT26&amp;"]")&amp;" ["&amp;T26&amp;"点]")</f>
        <v>○逆張り売り | もみ合い→ 25日戻り売り★ MACD- RSI:46.2 前日比:-1.0% [4点]</v>
      </c>
      <c r="Z26" s="338">
        <f>IF(AND(E26&lt;&gt;"",G26&lt;&gt;"",G26&lt;&gt;0),(E26-G26)/G26*100,"")</f>
        <v>-0.98837209302325579</v>
      </c>
      <c r="AA26" s="212" t="str">
        <f>IF(OR(C26="",E26="",E26=0),"",IF(E26&gt;G26,"上昇▲",IF(E26&lt;G26,"下落▼","横ばい→")))</f>
        <v>下落▼</v>
      </c>
      <c r="AB26" s="333">
        <f>IF(OR(C26="",C26="TOPX",終値!E123=""),"",IFERROR(((終値!E123*0.333)+(終値!F123*0.222)+(終値!G123*0.148)+(終値!H123*0.099)+(終値!I123*0.066))/(0.333+0.222+0.148+0.099+0.066),""))</f>
        <v>2539.1612903225805</v>
      </c>
      <c r="AC26" s="333">
        <f>IF(OR(C26="",C26="TOPX",終値!E123=""),"",IFERROR(SUMPRODUCT((終値!E123:AC123),{0.077,0.071,0.065,0.06,0.055,0.051,0.047,0.043,0.039,0.036,0.033,0.031,0.028,0.026,0.024,0.022,0.02,0.018,0.017,0.016,0.014,0.013,0.012,0.011,0.01})/SUM({0.077,0.071,0.065,0.06,0.055,0.051,0.047,0.043,0.039,0.036,0.033,0.031,0.028,0.026,0.024,0.022,0.02,0.018,0.017,0.016,0.014,0.013,0.012,0.011,0.01}),""))</f>
        <v>2559.0947556615006</v>
      </c>
      <c r="AD26" s="212" t="str">
        <f>IF(OR(C26="",AB26="",AC26="",AB26=0,AC26=0),"",IF(AND(E26&gt;AB26,AB26&gt;AC26),"パーフェクト▲",IF(E26&gt;AC26,"上昇トレンド▲",IF(AND(E26&lt;AB26,AB26&lt;AC26),"下降トレンド▼","もみ合い→"))))</f>
        <v>もみ合い→</v>
      </c>
      <c r="AE26" s="212" t="str">
        <f>IF(OR(C26="",AB26="",AC26=""),"",IF(AND(ABS(E26-AC26)/AC26&lt;=0.02,E26&lt;AC26),"25日戻り売り★",IF(AND(ABS(E26-AB26)/AB26&lt;=0.01,E26&lt;AB26),"5日戻り売り○","なし")))</f>
        <v>25日戻り売り★</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○逆張り売り</v>
      </c>
      <c r="AG26">
        <f>IF(AND(T26&gt;=7,C26&lt;&gt;""),T26,0)</f>
        <v>0</v>
      </c>
      <c r="AH26">
        <f>IF(AG26&gt;0,AG26*10000-ROW(A26),0)</f>
        <v>0</v>
      </c>
      <c r="AI26" s="373">
        <f t="array" ref="AI26">IF(C26="","",IFERROR((INDEX(終値!$E:$E,MATCH(TEXT(C26,"0"),終値!$A:$A,0))-INDEX(終値!$E:$CZ,MATCH(TEXT(C26,"0"),終値!$A:$A,0),$AN$2))/INDEX(終値!$E:$CZ,MATCH(TEXT(C26,"0"),終値!$A:$A,0),$AN$2)*100,""))</f>
        <v>5.886010362694301</v>
      </c>
      <c r="AJ26" s="373">
        <f t="array" ref="AJ26">IFERROR((終値!$E$5-INDEX(終値!$E$5:$IT$5,1,$AN$2))/INDEX(終値!$E$5:$IT$5,1,$AN$2)*100,"")</f>
        <v>1.0179378228534113</v>
      </c>
      <c r="AK26" s="374">
        <f>IF(OR(AI26="",AJ26=""),"",AI26-AJ26)</f>
        <v>4.8680725398408899</v>
      </c>
      <c r="AL26" s="372">
        <f>IF(AK26="","",IF(AK26&lt;-5,3,IF(AK26&lt;0,1,IF(AK26&lt;3,-1,-2))))</f>
        <v>-2</v>
      </c>
      <c r="AO26" s="376" t="str">
        <f>IF(OR($C26="",$E26="",$F26="",$H26="",$I26="",$H26-$I26&lt;=0),"-",IF(AND($H26-MAX($F26,$E26)&gt;=ABS($E26-$F26)*2,MIN($F26,$E26)-$I26&lt;=ABS($E26-$F26)*0.5,ABS($E26-$F26)&gt;0),"上ヒゲ陰線▼",IF(AND($E26&lt;$F26,ABS($E26-$F26)&gt;=($H26-$I26)*0.7),"大陰線▼",IF(AND(MIN($F26,$E26)-$I26&gt;=($H26-$I26)*0.5,$H26-MAX($F26,$E26)&lt;=($H26-$I26)*0.2),"長い下ヒゲ(反発警戒)","通常"))))</f>
        <v>通常</v>
      </c>
      <c r="AP26" s="377">
        <f>IF($AO26="上ヒゲ陰線▼",2,IF($AO26="大陰線▼",2,IF($AO26="長い下ヒゲ(反発警戒)",-2,0)))</f>
        <v>0</v>
      </c>
      <c r="AQ26">
        <f>IF(C26&lt;&gt;"",始値!F123,"")</f>
        <v>2497</v>
      </c>
      <c r="AR26">
        <f>IF(C26&lt;&gt;"",高値!F123,"")</f>
        <v>2580</v>
      </c>
      <c r="AS26">
        <f>IF(C26&lt;&gt;"",安値!F123,"")</f>
        <v>2482</v>
      </c>
      <c r="AT26" t="str">
        <f>IF(OR(C26="",AQ26="",AR26="",AS26="",AR26-AS26&lt;=0),"-",IF(AND(AR26-MAX(G26,AQ26)&gt;=ABS(G26-AQ26)*2,MIN(G26,AQ26)-AS26&lt;=ABS(G26-AQ26)*0.5,ABS(G26-AQ26)&gt;0),"上ヒゲ陰線▼",IF(AND(G26&lt;AQ26,ABS(G26-AQ26)&gt;=(AR26-AS26)*0.7),"大陰線▼",IF(AND(MIN(G26,AQ26)-AS26&gt;=(AR26-AS26)*0.5,AR26-MAX(G26,AQ26)&lt;=(AR26-AS26)*0.2),"長い下ヒゲ(反発)","通常"))))</f>
        <v>通常</v>
      </c>
      <c r="AU26">
        <f>IF(AT26="上ヒゲ陰線▼",2,IF(AT26="大陰線▼",2,IF(AT26="長い下ヒゲ(反発)",-2,0)))</f>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3350</v>
      </c>
      <c r="F27" s="326">
        <f>IF(C27&lt;&gt;"",_xll.RssMarket(C27,"始値"),"")</f>
        <v>3220</v>
      </c>
      <c r="G27" s="325">
        <f>IF(C27&lt;&gt;"",終値!F133,"")</f>
        <v>3380</v>
      </c>
      <c r="H27" s="326">
        <f>IF(C27&lt;&gt;"",_xll.RssMarket(C27,"高値"),"")</f>
        <v>3375</v>
      </c>
      <c r="I27" s="326">
        <f>IF(C27&lt;&gt;"",_xll.RssMarket(C27,"安値"),"")</f>
        <v>3145</v>
      </c>
      <c r="J27" s="326">
        <f>IF(C27&lt;&gt;"",_xll.RssMarket(C27,"出来高"),"")</f>
        <v>447400</v>
      </c>
      <c r="K27" s="326">
        <f>IF(C27&lt;&gt;"",_xll.RssMarket(C27,"年初来高値"),"")</f>
        <v>9480</v>
      </c>
      <c r="L27" s="327">
        <f>IF(AND(E27&lt;&gt;"",K27&lt;&gt;"",K27&lt;&gt;0),(E27-K27)/K27*100,"")</f>
        <v>-64.662447257383974</v>
      </c>
      <c r="M27" s="326">
        <f>IF(C27&lt;&gt;"",IFERROR(AVERAGE(出来高!E133:I133),""),"")</f>
        <v>727700</v>
      </c>
      <c r="N27" s="326">
        <f>IF(C27&lt;&gt;"",IFERROR(AVERAGE(出来高!E133:AC133),""),"")</f>
        <v>867991.66666666663</v>
      </c>
      <c r="O27" s="328">
        <f>IF(AND(J27&lt;&gt;"",M27&lt;&gt;"",M27&lt;&gt;0),J27/M27,"")</f>
        <v>0.61481379689432458</v>
      </c>
      <c r="P27" s="325" t="str">
        <f>IF(O27="","",IF(O27&gt;=2,"急増↑↑",IF(O27&gt;=1.5,"増加↑",IF(O27&gt;=1,"普通→","減少↓"))))</f>
        <v>減少↓</v>
      </c>
      <c r="Q27" s="325" t="str">
        <f>IF(E27="","",IF(AND(E27&lt;G27,O27&gt;=1.5),"売り▼",IF(E27&gt;G27,"様子見▲","中立→")))</f>
        <v>中立→</v>
      </c>
      <c r="R27" s="326">
        <f>IF(E27&lt;&gt;"",ROUND(E27*0.92,0),"")</f>
        <v>3082</v>
      </c>
      <c r="S27" s="326">
        <f>IF(E27&lt;&gt;"",ROUND(E27*1.04,0),"")</f>
        <v>3484</v>
      </c>
      <c r="T27" s="325">
        <f>IF(C27="","",IFERROR(IF(W27&gt;=70,3,IF(W27&gt;=60,2,IF(W27&gt;=50,1,0)))+IF(X27&lt;0,2,0)+IF(AD27="下降トレンド▼",3,IF(AD27="もみ合い→",1,0))+IF(V27="年初来安値圏●",3,IF(V27="安値圏",2,0))+IF(Q27="売り▼",2,0)+IF(P27="急増↑↑",2,IF(P27="増加↑",1,0))+IF(Z27&lt;0,1,0)+IF(L27&lt;=-30,2,IF(L27&lt;=-15,1,0))+IF(AE27="25日戻り売り★",2,IF(AE27="5日戻り売り○",1,0))+N(AL27)+N(AP27)+N(AU27),0))</f>
        <v>12</v>
      </c>
      <c r="U27" s="325" t="str">
        <f>IF(T27="","",IF(AND(T27&gt;=3,O27&gt;=1.5),"有効",IF(T27&gt;=3,"要確認","除外")))</f>
        <v>要確認</v>
      </c>
      <c r="V27" s="325" t="str">
        <f>IF(AND(I27&lt;&gt;"",K27&lt;&gt;""),IF(I27&lt;=K27*0.6,"年初来安値圏●",IF(I27&lt;=K27*0.75,"安値圏","通常")),"")</f>
        <v>年初来安値圏●</v>
      </c>
      <c r="W27" s="329">
        <f t="array" ref="W27">IFERROR(100-100/(1+SUMPRODUCT((終値!F133:R133&gt;終値!G133:S133)*(終値!F133:R133-終値!G133:S133))/SUMPRODUCT((終値!F133:R133&lt;終値!G133:S133)*(終値!G133:S133-終値!F133:R133))),50)</f>
        <v>41.506646971935005</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-360.3045844793196</v>
      </c>
      <c r="Y27" s="325" t="str">
        <f>IF(AF27="","",AF27&amp;" | "&amp;AD27&amp;IF(AE27&lt;&gt;"なし"," "&amp;AE27,"")&amp;IF(X27&lt;0," MACD-"," MACD+")&amp;" RSI:"&amp;TEXT(W27,"0.0")&amp;IF(W27&gt;=70," [過熱]",IF(W27&lt;=30," [売られ過ぎ]",""))&amp;" 前日比:"&amp;TEXT(Z27,"+0.0;-0.0;0.0")&amp;"%"&amp;IF(V27="年初来安値圏●"," [年初来安値圏]",IF(V27="安値圏"," [安値圏]",""))&amp;IF(OR(AO27="通常",AO27="-"),""," ["&amp;AO27&amp;"]")&amp;IF(OR(AT27="通常",AT27="-"),"","前日["&amp;AT27&amp;"]")&amp;" ["&amp;T27&amp;"点]")</f>
        <v>相場上昇・見送り | もみ合い→ MACD- RSI:41.5 前日比:-0.9% [年初来安値圏] [12点]</v>
      </c>
      <c r="Z27" s="331">
        <f>IF(AND(E27&lt;&gt;"",G27&lt;&gt;"",G27&lt;&gt;0),(E27-G27)/G27*100,"")</f>
        <v>-0.8875739644970414</v>
      </c>
      <c r="AA27" s="325" t="str">
        <f>IF(OR(C27="",E27="",E27=0),"",IF(E27&gt;G27,"上昇▲",IF(E27&lt;G27,"下落▼","横ばい→")))</f>
        <v>下落▼</v>
      </c>
      <c r="AB27" s="326">
        <f>IF(OR(C27="",C27="TOPX",終値!E133=""),"",IFERROR(((終値!E133*0.333)+(終値!F133*0.222)+(終値!G133*0.148)+(終値!H133*0.099)+(終値!I133*0.066))/(0.333+0.222+0.148+0.099+0.066),""))</f>
        <v>3235.8145161290317</v>
      </c>
      <c r="AC27" s="326">
        <f>IF(OR(C27="",C27="TOPX",終値!E133=""),"",IFERROR(SUMPRODUCT((終値!E133:AC133),{0.077,0.071,0.065,0.06,0.055,0.051,0.047,0.043,0.039,0.036,0.033,0.031,0.028,0.026,0.024,0.022,0.02,0.018,0.017,0.016,0.014,0.013,0.012,0.011,0.01})/SUM({0.077,0.071,0.065,0.06,0.055,0.051,0.047,0.043,0.039,0.036,0.033,0.031,0.028,0.026,0.024,0.022,0.02,0.018,0.017,0.016,0.014,0.013,0.012,0.011,0.01}),""))</f>
        <v>3701.2717520858164</v>
      </c>
      <c r="AD27" s="325" t="str">
        <f>IF(OR(C27="",AB27="",AC27="",AB27=0,AC27=0),"",IF(AND(E27&gt;AB27,AB27&gt;AC27),"パーフェクト▲",IF(E27&gt;AC27,"上昇トレンド▲",IF(AND(E27&lt;AB27,AB27&lt;AC27),"下降トレンド▼","もみ合い→"))))</f>
        <v>もみ合い→</v>
      </c>
      <c r="AE27" s="325" t="str">
        <f>IF(OR(C27="",AB27="",AC27=""),"",IF(AND(ABS(E27-AC27)/AC27&lt;=0.02,E27&lt;AC27),"25日戻り売り★",IF(AND(ABS(E27-AB27)/AB27&lt;=0.01,E27&lt;AB27),"5日戻り売り○","なし")))</f>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相場上昇・見送り</v>
      </c>
      <c r="AG27">
        <f>IF(AND(T27&gt;=7,C27&lt;&gt;""),T27,0)</f>
        <v>12</v>
      </c>
      <c r="AH27">
        <f>IF(AG27&gt;0,AG27*10000-ROW(A27),0)</f>
        <v>119973</v>
      </c>
      <c r="AI27" s="373">
        <f t="array" ref="AI27">IF(C27="","",IFERROR((INDEX(終値!$E:$E,MATCH(TEXT(C27,"0"),終値!$A:$A,0))-INDEX(終値!$E:$CZ,MATCH(TEXT(C27,"0"),終値!$A:$A,0),$AN$2))/INDEX(終値!$E:$CZ,MATCH(TEXT(C27,"0"),終値!$A:$A,0),$AN$2)*100,""))</f>
        <v>-59.589867310012067</v>
      </c>
      <c r="AJ27" s="373">
        <f t="array" ref="AJ27">IFERROR((終値!$E$5-INDEX(終値!$E$5:$IT$5,1,$AN$2))/INDEX(終値!$E$5:$IT$5,1,$AN$2)*100,"")</f>
        <v>1.0179378228534113</v>
      </c>
      <c r="AK27" s="374">
        <f>IF(OR(AI27="",AJ27=""),"",AI27-AJ27)</f>
        <v>-60.607805132865479</v>
      </c>
      <c r="AL27" s="372">
        <f>IF(AK27="","",IF(AK27&lt;-5,3,IF(AK27&lt;0,1,IF(AK27&lt;3,-1,-2))))</f>
        <v>3</v>
      </c>
      <c r="AO27" s="376" t="str">
        <f>IF(OR($C27="",$E27="",$F27="",$H27="",$I27="",$H27-$I27&lt;=0),"-",IF(AND($H27-MAX($F27,$E27)&gt;=ABS($E27-$F27)*2,MIN($F27,$E27)-$I27&lt;=ABS($E27-$F27)*0.5,ABS($E27-$F27)&gt;0),"上ヒゲ陰線▼",IF(AND($E27&lt;$F27,ABS($E27-$F27)&gt;=($H27-$I27)*0.7),"大陰線▼",IF(AND(MIN($F27,$E27)-$I27&gt;=($H27-$I27)*0.5,$H27-MAX($F27,$E27)&lt;=($H27-$I27)*0.2),"長い下ヒゲ(反発警戒)","通常"))))</f>
        <v>通常</v>
      </c>
      <c r="AP27" s="377">
        <f>IF($AO27="上ヒゲ陰線▼",2,IF($AO27="大陰線▼",2,IF($AO27="長い下ヒゲ(反発警戒)",-2,0)))</f>
        <v>0</v>
      </c>
      <c r="AQ27">
        <f>IF(C27&lt;&gt;"",始値!F133,"")</f>
        <v>3415</v>
      </c>
      <c r="AR27">
        <f>IF(C27&lt;&gt;"",高値!F133,"")</f>
        <v>3500</v>
      </c>
      <c r="AS27">
        <f>IF(C27&lt;&gt;"",安値!F133,"")</f>
        <v>3215</v>
      </c>
      <c r="AT27" t="str">
        <f>IF(OR(C27="",AQ27="",AR27="",AS27="",AR27-AS27&lt;=0),"-",IF(AND(AR27-MAX(G27,AQ27)&gt;=ABS(G27-AQ27)*2,MIN(G27,AQ27)-AS27&lt;=ABS(G27-AQ27)*0.5,ABS(G27-AQ27)&gt;0),"上ヒゲ陰線▼",IF(AND(G27&lt;AQ27,ABS(G27-AQ27)&gt;=(AR27-AS27)*0.7),"大陰線▼",IF(AND(MIN(G27,AQ27)-AS27&gt;=(AR27-AS27)*0.5,AR27-MAX(G27,AQ27)&lt;=(AR27-AS27)*0.2),"長い下ヒゲ(反発)","通常"))))</f>
        <v>通常</v>
      </c>
      <c r="AU27">
        <f>IF(AT27="上ヒゲ陰線▼",2,IF(AT27="大陰線▼",2,IF(AT27="長い下ヒゲ(反発)",-2,0)))</f>
        <v>0</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1737</v>
      </c>
      <c r="F28" s="333">
        <f>IF(C28&lt;&gt;"",_xll.RssMarket(C28,"始値"),"")</f>
        <v>1800</v>
      </c>
      <c r="G28" s="212">
        <f>IF(C28&lt;&gt;"",終値!F135,"")</f>
        <v>1830</v>
      </c>
      <c r="H28" s="333">
        <f>IF(C28&lt;&gt;"",_xll.RssMarket(C28,"高値"),"")</f>
        <v>1809</v>
      </c>
      <c r="I28" s="333">
        <f>IF(C28&lt;&gt;"",_xll.RssMarket(C28,"安値"),"")</f>
        <v>1730</v>
      </c>
      <c r="J28" s="333">
        <f>IF(C28&lt;&gt;"",_xll.RssMarket(C28,"出来高"),"")</f>
        <v>433700</v>
      </c>
      <c r="K28" s="333">
        <f>IF(C28&lt;&gt;"",_xll.RssMarket(C28,"年初来高値"),"")</f>
        <v>4130</v>
      </c>
      <c r="L28" s="334">
        <f>IF(AND(E28&lt;&gt;"",K28&lt;&gt;"",K28&lt;&gt;0),(E28-K28)/K28*100,"")</f>
        <v>-57.941888619854723</v>
      </c>
      <c r="M28" s="333">
        <f>IF(C28&lt;&gt;"",IFERROR(AVERAGE(出来高!E135:I135),""),"")</f>
        <v>670220</v>
      </c>
      <c r="N28" s="333">
        <f>IF(C28&lt;&gt;"",IFERROR(AVERAGE(出来高!E135:AC135),""),"")</f>
        <v>841004</v>
      </c>
      <c r="O28" s="335">
        <f>IF(AND(J28&lt;&gt;"",M28&lt;&gt;"",M28&lt;&gt;0),J28/M28,"")</f>
        <v>0.64710095192623318</v>
      </c>
      <c r="P28" s="212" t="str">
        <f>IF(O28="","",IF(O28&gt;=2,"急増↑↑",IF(O28&gt;=1.5,"増加↑",IF(O28&gt;=1,"普通→","減少↓"))))</f>
        <v>減少↓</v>
      </c>
      <c r="Q28" s="212" t="str">
        <f>IF(E28="","",IF(AND(E28&lt;G28,O28&gt;=1.5),"売り▼",IF(E28&gt;G28,"様子見▲","中立→")))</f>
        <v>中立→</v>
      </c>
      <c r="R28" s="333">
        <f>IF(E28&lt;&gt;"",ROUND(E28*0.92,0),"")</f>
        <v>1598</v>
      </c>
      <c r="S28" s="333">
        <f>IF(E28&lt;&gt;"",ROUND(E28*1.04,0),"")</f>
        <v>1806</v>
      </c>
      <c r="T28" s="325">
        <f>IF(C28="","",IFERROR(IF(W28&gt;=70,3,IF(W28&gt;=60,2,IF(W28&gt;=50,1,0)))+IF(X28&lt;0,2,0)+IF(AD28="下降トレンド▼",3,IF(AD28="もみ合い→",1,0))+IF(V28="年初来安値圏●",3,IF(V28="安値圏",2,0))+IF(Q28="売り▼",2,0)+IF(P28="急増↑↑",2,IF(P28="増加↑",1,0))+IF(Z28&lt;0,1,0)+IF(L28&lt;=-30,2,IF(L28&lt;=-15,1,0))+IF(AE28="25日戻り売り★",2,IF(AE28="5日戻り売り○",1,0))+N(AL28)+N(AP28)+N(AU28),0))</f>
        <v>16</v>
      </c>
      <c r="U28" s="212" t="str">
        <f>IF(T28="","",IF(AND(T28&gt;=3,O28&gt;=1.5),"有効",IF(T28&gt;=3,"要確認","除外")))</f>
        <v>要確認</v>
      </c>
      <c r="V28" s="212" t="str">
        <f>IF(AND(I28&lt;&gt;"",K28&lt;&gt;""),IF(I28&lt;=K28*0.6,"年初来安値圏●",IF(I28&lt;=K28*0.75,"安値圏","通常")),"")</f>
        <v>年初来安値圏●</v>
      </c>
      <c r="W28" s="336">
        <f t="array" ref="W28">IFERROR(100-100/(1+SUMPRODUCT((終値!F135:R135&gt;終値!G135:S135)*(終値!F135:R135-終値!G135:S135))/SUMPRODUCT((終値!F135:R135&lt;終値!G135:S135)*(終値!G135:S135-終値!F135:R135))),50)</f>
        <v>29.811815150071453</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-452.55497753135342</v>
      </c>
      <c r="Y28" s="212" t="str">
        <f>IF(AF28="","",AF28&amp;" | "&amp;AD28&amp;IF(AE28&lt;&gt;"なし"," "&amp;AE28,"")&amp;IF(X28&lt;0," MACD-"," MACD+")&amp;" RSI:"&amp;TEXT(W28,"0.0")&amp;IF(W28&gt;=70," [過熱]",IF(W28&lt;=30," [売られ過ぎ]",""))&amp;" 前日比:"&amp;TEXT(Z28,"+0.0;-0.0;0.0")&amp;"%"&amp;IF(V28="年初来安値圏●"," [年初来安値圏]",IF(V28="安値圏"," [安値圏]",""))&amp;IF(OR(AO28="通常",AO28="-"),""," ["&amp;AO28&amp;"]")&amp;IF(OR(AT28="通常",AT28="-"),"","前日["&amp;AT28&amp;"]")&amp;" ["&amp;T28&amp;"点]")</f>
        <v>相場上昇・見送り | 下降トレンド▼ MACD- RSI:29.8 [売られ過ぎ] 前日比:-5.1% [年初来安値圏] [大陰線▼] [16点]</v>
      </c>
      <c r="Z28" s="338">
        <f>IF(AND(E28&lt;&gt;"",G28&lt;&gt;"",G28&lt;&gt;0),(E28-G28)/G28*100,"")</f>
        <v>-5.081967213114754</v>
      </c>
      <c r="AA28" s="212" t="str">
        <f>IF(OR(C28="",E28="",E28=0),"",IF(E28&gt;G28,"上昇▲",IF(E28&lt;G28,"下落▼","横ばい→")))</f>
        <v>下落▼</v>
      </c>
      <c r="AB28" s="333">
        <f>IF(OR(C28="",C28="TOPX",終値!E135=""),"",IFERROR(((終値!E135*0.333)+(終値!F135*0.222)+(終値!G135*0.148)+(終値!H135*0.099)+(終値!I135*0.066))/(0.333+0.222+0.148+0.099+0.066),""))</f>
        <v>2220.573732718894</v>
      </c>
      <c r="AC28" s="333">
        <f>IF(OR(C28="",C28="TOPX",終値!E135=""),"",IFERROR(SUMPRODUCT((終値!E135:AC135),{0.077,0.071,0.065,0.06,0.055,0.051,0.047,0.043,0.039,0.036,0.033,0.031,0.028,0.026,0.024,0.022,0.02,0.018,0.017,0.016,0.014,0.013,0.012,0.011,0.01})/SUM({0.077,0.071,0.065,0.06,0.055,0.051,0.047,0.043,0.039,0.036,0.033,0.031,0.028,0.026,0.024,0.022,0.02,0.018,0.017,0.016,0.014,0.013,0.012,0.011,0.01}),""))</f>
        <v>3497.0727056019068</v>
      </c>
      <c r="AD28" s="212" t="str">
        <f>IF(OR(C28="",AB28="",AC28="",AB28=0,AC28=0),"",IF(AND(E28&gt;AB28,AB28&gt;AC28),"パーフェクト▲",IF(E28&gt;AC28,"上昇トレンド▲",IF(AND(E28&lt;AB28,AB28&lt;AC28),"下降トレンド▼","もみ合い→"))))</f>
        <v>下降トレンド▼</v>
      </c>
      <c r="AE28" s="212" t="str">
        <f>IF(OR(C28="",AB28="",AC28=""),"",IF(AND(ABS(E28-AC28)/AC28&lt;=0.02,E28&lt;AC28),"25日戻り売り★",IF(AND(ABS(E28-AB28)/AB28&lt;=0.01,E28&lt;AB28),"5日戻り売り○","なし")))</f>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相場上昇・見送り</v>
      </c>
      <c r="AG28">
        <f>IF(AND(T28&gt;=7,C28&lt;&gt;""),T28,0)</f>
        <v>16</v>
      </c>
      <c r="AH28">
        <f>IF(AG28&gt;0,AG28*10000-ROW(A28),0)</f>
        <v>159972</v>
      </c>
      <c r="AI28" s="373">
        <f t="array" ref="AI28">IF(C28="","",IFERROR((INDEX(終値!$E:$E,MATCH(TEXT(C28,"0"),終値!$A:$A,0))-INDEX(終値!$E:$CZ,MATCH(TEXT(C28,"0"),終値!$A:$A,0),$AN$2))/INDEX(終値!$E:$CZ,MATCH(TEXT(C28,"0"),終値!$A:$A,0),$AN$2)*100,""))</f>
        <v>-79.047044632086852</v>
      </c>
      <c r="AJ28" s="373">
        <f t="array" ref="AJ28">IFERROR((終値!$E$5-INDEX(終値!$E$5:$IT$5,1,$AN$2))/INDEX(終値!$E$5:$IT$5,1,$AN$2)*100,"")</f>
        <v>1.0179378228534113</v>
      </c>
      <c r="AK28" s="374">
        <f>IF(OR(AI28="",AJ28=""),"",AI28-AJ28)</f>
        <v>-80.064982454940264</v>
      </c>
      <c r="AL28" s="372">
        <f>IF(AK28="","",IF(AK28&lt;-5,3,IF(AK28&lt;0,1,IF(AK28&lt;3,-1,-2))))</f>
        <v>3</v>
      </c>
      <c r="AO28" s="376" t="str">
        <f>IF(OR($C28="",$E28="",$F28="",$H28="",$I28="",$H28-$I28&lt;=0),"-",IF(AND($H28-MAX($F28,$E28)&gt;=ABS($E28-$F28)*2,MIN($F28,$E28)-$I28&lt;=ABS($E28-$F28)*0.5,ABS($E28-$F28)&gt;0),"上ヒゲ陰線▼",IF(AND($E28&lt;$F28,ABS($E28-$F28)&gt;=($H28-$I28)*0.7),"大陰線▼",IF(AND(MIN($F28,$E28)-$I28&gt;=($H28-$I28)*0.5,$H28-MAX($F28,$E28)&lt;=($H28-$I28)*0.2),"長い下ヒゲ(反発警戒)","通常"))))</f>
        <v>大陰線▼</v>
      </c>
      <c r="AP28" s="377">
        <f>IF($AO28="上ヒゲ陰線▼",2,IF($AO28="大陰線▼",2,IF($AO28="長い下ヒゲ(反発警戒)",-2,0)))</f>
        <v>2</v>
      </c>
      <c r="AQ28">
        <f>IF(C28&lt;&gt;"",始値!F135,"")</f>
        <v>1750</v>
      </c>
      <c r="AR28">
        <f>IF(C28&lt;&gt;"",高値!F135,"")</f>
        <v>1840</v>
      </c>
      <c r="AS28">
        <f>IF(C28&lt;&gt;"",安値!F135,"")</f>
        <v>1731</v>
      </c>
      <c r="AT28" t="str">
        <f>IF(OR(C28="",AQ28="",AR28="",AS28="",AR28-AS28&lt;=0),"-",IF(AND(AR28-MAX(G28,AQ28)&gt;=ABS(G28-AQ28)*2,MIN(G28,AQ28)-AS28&lt;=ABS(G28-AQ28)*0.5,ABS(G28-AQ28)&gt;0),"上ヒゲ陰線▼",IF(AND(G28&lt;AQ28,ABS(G28-AQ28)&gt;=(AR28-AS28)*0.7),"大陰線▼",IF(AND(MIN(G28,AQ28)-AS28&gt;=(AR28-AS28)*0.5,AR28-MAX(G28,AQ28)&lt;=(AR28-AS28)*0.2),"長い下ヒゲ(反発)","通常"))))</f>
        <v>通常</v>
      </c>
      <c r="AU28">
        <f>IF(AT28="上ヒゲ陰線▼",2,IF(AT28="大陰線▼",2,IF(AT28="長い下ヒゲ(反発)",-2,0)))</f>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5930</v>
      </c>
      <c r="F29" s="326">
        <f>IF(C29&lt;&gt;"",_xll.RssMarket(C29,"始値"),"")</f>
        <v>5950</v>
      </c>
      <c r="G29" s="325">
        <f>IF(C29&lt;&gt;"",終値!F151,"")</f>
        <v>6090</v>
      </c>
      <c r="H29" s="326">
        <f>IF(C29&lt;&gt;"",_xll.RssMarket(C29,"高値"),"")</f>
        <v>6030</v>
      </c>
      <c r="I29" s="326">
        <f>IF(C29&lt;&gt;"",_xll.RssMarket(C29,"安値"),"")</f>
        <v>5870</v>
      </c>
      <c r="J29" s="326">
        <f>IF(C29&lt;&gt;"",_xll.RssMarket(C29,"出来高"),"")</f>
        <v>175900</v>
      </c>
      <c r="K29" s="326">
        <f>IF(C29&lt;&gt;"",_xll.RssMarket(C29,"年初来高値"),"")</f>
        <v>7880</v>
      </c>
      <c r="L29" s="327">
        <f>IF(AND(E29&lt;&gt;"",K29&lt;&gt;"",K29&lt;&gt;0),(E29-K29)/K29*100,"")</f>
        <v>-24.746192893401016</v>
      </c>
      <c r="M29" s="326">
        <f>IF(C29&lt;&gt;"",IFERROR(AVERAGE(出来高!E151:I151),""),"")</f>
        <v>231080</v>
      </c>
      <c r="N29" s="326">
        <f>IF(C29&lt;&gt;"",IFERROR(AVERAGE(出来高!E151:AC151),""),"")</f>
        <v>189450</v>
      </c>
      <c r="O29" s="328">
        <f>IF(AND(J29&lt;&gt;"",M29&lt;&gt;"",M29&lt;&gt;0),J29/M29,"")</f>
        <v>0.76120823957071149</v>
      </c>
      <c r="P29" s="325" t="str">
        <f>IF(O29="","",IF(O29&gt;=2,"急増↑↑",IF(O29&gt;=1.5,"増加↑",IF(O29&gt;=1,"普通→","減少↓"))))</f>
        <v>減少↓</v>
      </c>
      <c r="Q29" s="325" t="str">
        <f>IF(E29="","",IF(AND(E29&lt;G29,O29&gt;=1.5),"売り▼",IF(E29&gt;G29,"様子見▲","中立→")))</f>
        <v>中立→</v>
      </c>
      <c r="R29" s="326">
        <f>IF(E29&lt;&gt;"",ROUND(E29*0.92,0),"")</f>
        <v>5456</v>
      </c>
      <c r="S29" s="326">
        <f>IF(E29&lt;&gt;"",ROUND(E29*1.04,0),"")</f>
        <v>6167</v>
      </c>
      <c r="T29" s="325">
        <f>IF(C29="","",IFERROR(IF(W29&gt;=70,3,IF(W29&gt;=60,2,IF(W29&gt;=50,1,0)))+IF(X29&lt;0,2,0)+IF(AD29="下降トレンド▼",3,IF(AD29="もみ合い→",1,0))+IF(V29="年初来安値圏●",3,IF(V29="安値圏",2,0))+IF(Q29="売り▼",2,0)+IF(P29="急増↑↑",2,IF(P29="増加↑",1,0))+IF(Z29&lt;0,1,0)+IF(L29&lt;=-30,2,IF(L29&lt;=-15,1,0))+IF(AE29="25日戻り売り★",2,IF(AE29="5日戻り売り○",1,0))+N(AL29)+N(AP29)+N(AU29),0))</f>
        <v>10</v>
      </c>
      <c r="U29" s="325" t="str">
        <f>IF(T29="","",IF(AND(T29&gt;=3,O29&gt;=1.5),"有効",IF(T29&gt;=3,"要確認","除外")))</f>
        <v>要確認</v>
      </c>
      <c r="V29" s="325" t="str">
        <f>IF(AND(I29&lt;&gt;"",K29&lt;&gt;""),IF(I29&lt;=K29*0.6,"年初来安値圏●",IF(I29&lt;=K29*0.75,"安値圏","通常")),"")</f>
        <v>安値圏</v>
      </c>
      <c r="W29" s="329">
        <f t="array" ref="W29">IFERROR(100-100/(1+SUMPRODUCT((終値!F151:R151&gt;終値!G151:S151)*(終値!F151:R151-終値!G151:S151))/SUMPRODUCT((終値!F151:R151&lt;終値!G151:S151)*(終値!G151:S151-終値!F151:R151))),50)</f>
        <v>50.578034682080919</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-59.005727613943236</v>
      </c>
      <c r="Y29" s="325" t="str">
        <f>IF(AF29="","",AF29&amp;" | "&amp;AD29&amp;IF(AE29&lt;&gt;"なし"," "&amp;AE29,"")&amp;IF(X29&lt;0," MACD-"," MACD+")&amp;" RSI:"&amp;TEXT(W29,"0.0")&amp;IF(W29&gt;=70," [過熱]",IF(W29&lt;=30," [売られ過ぎ]",""))&amp;" 前日比:"&amp;TEXT(Z29,"+0.0;-0.0;0.0")&amp;"%"&amp;IF(V29="年初来安値圏●"," [年初来安値圏]",IF(V29="安値圏"," [安値圏]",""))&amp;IF(OR(AO29="通常",AO29="-"),""," ["&amp;AO29&amp;"]")&amp;IF(OR(AT29="通常",AT29="-"),"","前日["&amp;AT29&amp;"]")&amp;" ["&amp;T29&amp;"点]")</f>
        <v>相場上昇・見送り | パーフェクト▲ MACD- RSI:50.6 前日比:-2.6% [安値圏] [10点]</v>
      </c>
      <c r="Z29" s="331">
        <f>IF(AND(E29&lt;&gt;"",G29&lt;&gt;"",G29&lt;&gt;0),(E29-G29)/G29*100,"")</f>
        <v>-2.6272577996715927</v>
      </c>
      <c r="AA29" s="325" t="str">
        <f>IF(OR(C29="",E29="",E29=0),"",IF(E29&gt;G29,"上昇▲",IF(E29&lt;G29,"下落▼","横ばい→")))</f>
        <v>下落▼</v>
      </c>
      <c r="AB29" s="326">
        <f>IF(OR(C29="",C29="TOPX",終値!E151=""),"",IFERROR(((終値!E151*0.333)+(終値!F151*0.222)+(終値!G151*0.148)+(終値!H151*0.099)+(終値!I151*0.066))/(0.333+0.222+0.148+0.099+0.066),""))</f>
        <v>5839.7350230414741</v>
      </c>
      <c r="AC29" s="326">
        <f>IF(OR(C29="",C29="TOPX",終値!E151=""),"",IFERROR(SUMPRODUCT((終値!E151:AC151),{0.077,0.071,0.065,0.06,0.055,0.051,0.047,0.043,0.039,0.036,0.033,0.031,0.028,0.026,0.024,0.022,0.02,0.018,0.017,0.016,0.014,0.013,0.012,0.011,0.01})/SUM({0.077,0.071,0.065,0.06,0.055,0.051,0.047,0.043,0.039,0.036,0.033,0.031,0.028,0.026,0.024,0.022,0.02,0.018,0.017,0.016,0.014,0.013,0.012,0.011,0.01}),""))</f>
        <v>5485.3039332538719</v>
      </c>
      <c r="AD29" s="325" t="str">
        <f>IF(OR(C29="",AB29="",AC29="",AB29=0,AC29=0),"",IF(AND(E29&gt;AB29,AB29&gt;AC29),"パーフェクト▲",IF(E29&gt;AC29,"上昇トレンド▲",IF(AND(E29&lt;AB29,AB29&lt;AC29),"下降トレンド▼","もみ合い→"))))</f>
        <v>パーフェクト▲</v>
      </c>
      <c r="AE29" s="325" t="str">
        <f>IF(OR(C29="",AB29="",AC29=""),"",IF(AND(ABS(E29-AC29)/AC29&lt;=0.02,E29&lt;AC29),"25日戻り売り★",IF(AND(ABS(E29-AB29)/AB29&lt;=0.01,E29&lt;AB29),"5日戻り売り○","なし")))</f>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相場上昇・見送り</v>
      </c>
      <c r="AG29">
        <f>IF(AND(T29&gt;=7,C29&lt;&gt;""),T29,0)</f>
        <v>10</v>
      </c>
      <c r="AH29">
        <f>IF(AG29&gt;0,AG29*10000-ROW(A29),0)</f>
        <v>99971</v>
      </c>
      <c r="AI29" s="373">
        <f t="array" ref="AI29">IF(C29="","",IFERROR((INDEX(終値!$E:$E,MATCH(TEXT(C29,"0"),終値!$A:$A,0))-INDEX(終値!$E:$CZ,MATCH(TEXT(C29,"0"),終値!$A:$A,0),$AN$2))/INDEX(終値!$E:$CZ,MATCH(TEXT(C29,"0"),終値!$A:$A,0),$AN$2)*100,""))</f>
        <v>-9.8784194528875382</v>
      </c>
      <c r="AJ29" s="373">
        <f t="array" ref="AJ29">IFERROR((終値!$E$5-INDEX(終値!$E$5:$IT$5,1,$AN$2))/INDEX(終値!$E$5:$IT$5,1,$AN$2)*100,"")</f>
        <v>1.0179378228534113</v>
      </c>
      <c r="AK29" s="374">
        <f>IF(OR(AI29="",AJ29=""),"",AI29-AJ29)</f>
        <v>-10.89635727574095</v>
      </c>
      <c r="AL29" s="372">
        <f>IF(AK29="","",IF(AK29&lt;-5,3,IF(AK29&lt;0,1,IF(AK29&lt;3,-1,-2))))</f>
        <v>3</v>
      </c>
      <c r="AO29" s="376" t="str">
        <f>IF(OR($C29="",$E29="",$F29="",$H29="",$I29="",$H29-$I29&lt;=0),"-",IF(AND($H29-MAX($F29,$E29)&gt;=ABS($E29-$F29)*2,MIN($F29,$E29)-$I29&lt;=ABS($E29-$F29)*0.5,ABS($E29-$F29)&gt;0),"上ヒゲ陰線▼",IF(AND($E29&lt;$F29,ABS($E29-$F29)&gt;=($H29-$I29)*0.7),"大陰線▼",IF(AND(MIN($F29,$E29)-$I29&gt;=($H29-$I29)*0.5,$H29-MAX($F29,$E29)&lt;=($H29-$I29)*0.2),"長い下ヒゲ(反発警戒)","通常"))))</f>
        <v>通常</v>
      </c>
      <c r="AP29" s="377">
        <f>IF($AO29="上ヒゲ陰線▼",2,IF($AO29="大陰線▼",2,IF($AO29="長い下ヒゲ(反発警戒)",-2,0)))</f>
        <v>0</v>
      </c>
      <c r="AQ29">
        <f>IF(C29&lt;&gt;"",始値!F151,"")</f>
        <v>5990</v>
      </c>
      <c r="AR29">
        <f>IF(C29&lt;&gt;"",高値!F151,"")</f>
        <v>6190</v>
      </c>
      <c r="AS29">
        <f>IF(C29&lt;&gt;"",安値!F151,"")</f>
        <v>5920</v>
      </c>
      <c r="AT29" t="str">
        <f>IF(OR(C29="",AQ29="",AR29="",AS29="",AR29-AS29&lt;=0),"-",IF(AND(AR29-MAX(G29,AQ29)&gt;=ABS(G29-AQ29)*2,MIN(G29,AQ29)-AS29&lt;=ABS(G29-AQ29)*0.5,ABS(G29-AQ29)&gt;0),"上ヒゲ陰線▼",IF(AND(G29&lt;AQ29,ABS(G29-AQ29)&gt;=(AR29-AS29)*0.7),"大陰線▼",IF(AND(MIN(G29,AQ29)-AS29&gt;=(AR29-AS29)*0.5,AR29-MAX(G29,AQ29)&lt;=(AR29-AS29)*0.2),"長い下ヒゲ(反発)","通常"))))</f>
        <v>通常</v>
      </c>
      <c r="AU29">
        <f>IF(AT29="上ヒゲ陰線▼",2,IF(AT29="大陰線▼",2,IF(AT29="長い下ヒゲ(反発)",-2,0)))</f>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7421</v>
      </c>
      <c r="F30" s="333">
        <f>IF(C30&lt;&gt;"",_xll.RssMarket(C30,"始値"),"")</f>
        <v>7686</v>
      </c>
      <c r="G30" s="212">
        <f>IF(C30&lt;&gt;"",終値!F154,"")</f>
        <v>7829</v>
      </c>
      <c r="H30" s="333">
        <f>IF(C30&lt;&gt;"",_xll.RssMarket(C30,"高値"),"")</f>
        <v>7762</v>
      </c>
      <c r="I30" s="333">
        <f>IF(C30&lt;&gt;"",_xll.RssMarket(C30,"安値"),"")</f>
        <v>7050</v>
      </c>
      <c r="J30" s="333">
        <f>IF(C30&lt;&gt;"",_xll.RssMarket(C30,"出来高"),"")</f>
        <v>36253800</v>
      </c>
      <c r="K30" s="333">
        <f>IF(C30&lt;&gt;"",_xll.RssMarket(C30,"年初来高値"),"")</f>
        <v>12895</v>
      </c>
      <c r="L30" s="334">
        <f>IF(AND(E30&lt;&gt;"",K30&lt;&gt;"",K30&lt;&gt;0),(E30-K30)/K30*100,"")</f>
        <v>-42.450562233423803</v>
      </c>
      <c r="M30" s="333">
        <f>IF(C30&lt;&gt;"",IFERROR(AVERAGE(出来高!E154:I154),""),"")</f>
        <v>29371300</v>
      </c>
      <c r="N30" s="333">
        <f>IF(C30&lt;&gt;"",IFERROR(AVERAGE(出来高!E154:AC154),""),"")</f>
        <v>31748592</v>
      </c>
      <c r="O30" s="335">
        <f>IF(AND(J30&lt;&gt;"",M30&lt;&gt;"",M30&lt;&gt;0),J30/M30,"")</f>
        <v>1.2343273876198875</v>
      </c>
      <c r="P30" s="212" t="str">
        <f>IF(O30="","",IF(O30&gt;=2,"急増↑↑",IF(O30&gt;=1.5,"増加↑",IF(O30&gt;=1,"普通→","減少↓"))))</f>
        <v>普通→</v>
      </c>
      <c r="Q30" s="212" t="str">
        <f>IF(E30="","",IF(AND(E30&lt;G30,O30&gt;=1.5),"売り▼",IF(E30&gt;G30,"様子見▲","中立→")))</f>
        <v>中立→</v>
      </c>
      <c r="R30" s="333">
        <f>IF(E30&lt;&gt;"",ROUND(E30*0.92,0),"")</f>
        <v>6827</v>
      </c>
      <c r="S30" s="333">
        <f>IF(E30&lt;&gt;"",ROUND(E30*1.04,0),"")</f>
        <v>7718</v>
      </c>
      <c r="T30" s="325">
        <f>IF(C30="","",IFERROR(IF(W30&gt;=70,3,IF(W30&gt;=60,2,IF(W30&gt;=50,1,0)))+IF(X30&lt;0,2,0)+IF(AD30="下降トレンド▼",3,IF(AD30="もみ合い→",1,0))+IF(V30="年初来安値圏●",3,IF(V30="安値圏",2,0))+IF(Q30="売り▼",2,0)+IF(P30="急増↑↑",2,IF(P30="増加↑",1,0))+IF(Z30&lt;0,1,0)+IF(L30&lt;=-30,2,IF(L30&lt;=-15,1,0))+IF(AE30="25日戻り売り★",2,IF(AE30="5日戻り売り○",1,0))+N(AL30)+N(AP30)+N(AU30),0))</f>
        <v>13</v>
      </c>
      <c r="U30" s="212" t="str">
        <f>IF(T30="","",IF(AND(T30&gt;=3,O30&gt;=1.5),"有効",IF(T30&gt;=3,"要確認","除外")))</f>
        <v>要確認</v>
      </c>
      <c r="V30" s="212" t="str">
        <f>IF(AND(I30&lt;&gt;"",K30&lt;&gt;""),IF(I30&lt;=K30*0.6,"年初来安値圏●",IF(I30&lt;=K30*0.75,"安値圏","通常")),"")</f>
        <v>年初来安値圏●</v>
      </c>
      <c r="W30" s="336">
        <f t="array" ref="W30">IFERROR(100-100/(1+SUMPRODUCT((終値!F154:R154&gt;終値!G154:S154)*(終値!F154:R154-終値!G154:S154))/SUMPRODUCT((終値!F154:R154&lt;終値!G154:S154)*(終値!G154:S154-終値!F154:R154))),50)</f>
        <v>40.726689041295778</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-280.88409641814724</v>
      </c>
      <c r="Y30" s="212" t="str">
        <f>IF(AF30="","",AF30&amp;" | "&amp;AD30&amp;IF(AE30&lt;&gt;"なし"," "&amp;AE30,"")&amp;IF(X30&lt;0," MACD-"," MACD+")&amp;" RSI:"&amp;TEXT(W30,"0.0")&amp;IF(W30&gt;=70," [過熱]",IF(W30&lt;=30," [売られ過ぎ]",""))&amp;" 前日比:"&amp;TEXT(Z30,"+0.0;-0.0;0.0")&amp;"%"&amp;IF(V30="年初来安値圏●"," [年初来安値圏]",IF(V30="安値圏"," [安値圏]",""))&amp;IF(OR(AO30="通常",AO30="-"),""," ["&amp;AO30&amp;"]")&amp;IF(OR(AT30="通常",AT30="-"),"","前日["&amp;AT30&amp;"]")&amp;" ["&amp;T30&amp;"点]")</f>
        <v>★逆張り売り | 下降トレンド▼ 5日戻り売り○ MACD- RSI:40.7 前日比:-5.2% [年初来安値圏] [長い下ヒゲ(反発警戒)] [13点]</v>
      </c>
      <c r="Z30" s="338">
        <f>IF(AND(E30&lt;&gt;"",G30&lt;&gt;"",G30&lt;&gt;0),(E30-G30)/G30*100,"")</f>
        <v>-5.2113935368501725</v>
      </c>
      <c r="AA30" s="212" t="str">
        <f>IF(OR(C30="",E30="",E30=0),"",IF(E30&gt;G30,"上昇▲",IF(E30&lt;G30,"下落▼","横ばい→")))</f>
        <v>下落▼</v>
      </c>
      <c r="AB30" s="333">
        <f>IF(OR(C30="",C30="TOPX",終値!E154=""),"",IFERROR(((終値!E154*0.333)+(終値!F154*0.222)+(終値!G154*0.148)+(終値!H154*0.099)+(終値!I154*0.066))/(0.333+0.222+0.148+0.099+0.066),""))</f>
        <v>7445.5276497695841</v>
      </c>
      <c r="AC30" s="333">
        <f>IF(OR(C30="",C30="TOPX",終値!E154=""),"",IFERROR(SUMPRODUCT((終値!E154:AC154),{0.077,0.071,0.065,0.06,0.055,0.051,0.047,0.043,0.039,0.036,0.033,0.031,0.028,0.026,0.024,0.022,0.02,0.018,0.017,0.016,0.014,0.013,0.012,0.011,0.01})/SUM({0.077,0.071,0.065,0.06,0.055,0.051,0.047,0.043,0.039,0.036,0.033,0.031,0.028,0.026,0.024,0.022,0.02,0.018,0.017,0.016,0.014,0.013,0.012,0.011,0.01}),""))</f>
        <v>7925.7187127532725</v>
      </c>
      <c r="AD30" s="212" t="str">
        <f>IF(OR(C30="",AB30="",AC30="",AB30=0,AC30=0),"",IF(AND(E30&gt;AB30,AB30&gt;AC30),"パーフェクト▲",IF(E30&gt;AC30,"上昇トレンド▲",IF(AND(E30&lt;AB30,AB30&lt;AC30),"下降トレンド▼","もみ合い→"))))</f>
        <v>下降トレンド▼</v>
      </c>
      <c r="AE30" s="212" t="str">
        <f>IF(OR(C30="",AB30="",AC30=""),"",IF(AND(ABS(E30-AC30)/AC30&lt;=0.02,E30&lt;AC30),"25日戻り売り★",IF(AND(ABS(E30-AB30)/AB30&lt;=0.01,E30&lt;AB30),"5日戻り売り○","なし")))</f>
        <v>5日戻り売り○</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★逆張り売り</v>
      </c>
      <c r="AG30">
        <f>IF(AND(T30&gt;=7,C30&lt;&gt;""),T30,0)</f>
        <v>13</v>
      </c>
      <c r="AH30">
        <f>IF(AG30&gt;0,AG30*10000-ROW(A30),0)</f>
        <v>129970</v>
      </c>
      <c r="AI30" s="373">
        <f t="array" ref="AI30">IF(C30="","",IFERROR((INDEX(終値!$E:$E,MATCH(TEXT(C30,"0"),終値!$A:$A,0))-INDEX(終値!$E:$CZ,MATCH(TEXT(C30,"0"),終値!$A:$A,0),$AN$2))/INDEX(終値!$E:$CZ,MATCH(TEXT(C30,"0"),終値!$A:$A,0),$AN$2)*100,""))</f>
        <v>-37.586206896551722</v>
      </c>
      <c r="AJ30" s="373">
        <f t="array" ref="AJ30">IFERROR((終値!$E$5-INDEX(終値!$E$5:$IT$5,1,$AN$2))/INDEX(終値!$E$5:$IT$5,1,$AN$2)*100,"")</f>
        <v>1.0179378228534113</v>
      </c>
      <c r="AK30" s="374">
        <f>IF(OR(AI30="",AJ30=""),"",AI30-AJ30)</f>
        <v>-38.604144719405134</v>
      </c>
      <c r="AL30" s="372">
        <f>IF(AK30="","",IF(AK30&lt;-5,3,IF(AK30&lt;0,1,IF(AK30&lt;3,-1,-2))))</f>
        <v>3</v>
      </c>
      <c r="AO30" s="376" t="str">
        <f>IF(OR($C30="",$E30="",$F30="",$H30="",$I30="",$H30-$I30&lt;=0),"-",IF(AND($H30-MAX($F30,$E30)&gt;=ABS($E30-$F30)*2,MIN($F30,$E30)-$I30&lt;=ABS($E30-$F30)*0.5,ABS($E30-$F30)&gt;0),"上ヒゲ陰線▼",IF(AND($E30&lt;$F30,ABS($E30-$F30)&gt;=($H30-$I30)*0.7),"大陰線▼",IF(AND(MIN($F30,$E30)-$I30&gt;=($H30-$I30)*0.5,$H30-MAX($F30,$E30)&lt;=($H30-$I30)*0.2),"長い下ヒゲ(反発警戒)","通常"))))</f>
        <v>長い下ヒゲ(反発警戒)</v>
      </c>
      <c r="AP30" s="377">
        <f>IF($AO30="上ヒゲ陰線▼",2,IF($AO30="大陰線▼",2,IF($AO30="長い下ヒゲ(反発警戒)",-2,0)))</f>
        <v>-2</v>
      </c>
      <c r="AQ30">
        <f>IF(C30&lt;&gt;"",始値!F154,"")</f>
        <v>7351</v>
      </c>
      <c r="AR30">
        <f>IF(C30&lt;&gt;"",高値!F154,"")</f>
        <v>7915</v>
      </c>
      <c r="AS30">
        <f>IF(C30&lt;&gt;"",安値!F154,"")</f>
        <v>7305</v>
      </c>
      <c r="AT30" t="str">
        <f>IF(OR(C30="",AQ30="",AR30="",AS30="",AR30-AS30&lt;=0),"-",IF(AND(AR30-MAX(G30,AQ30)&gt;=ABS(G30-AQ30)*2,MIN(G30,AQ30)-AS30&lt;=ABS(G30-AQ30)*0.5,ABS(G30-AQ30)&gt;0),"上ヒゲ陰線▼",IF(AND(G30&lt;AQ30,ABS(G30-AQ30)&gt;=(AR30-AS30)*0.7),"大陰線▼",IF(AND(MIN(G30,AQ30)-AS30&gt;=(AR30-AS30)*0.5,AR30-MAX(G30,AQ30)&lt;=(AR30-AS30)*0.2),"長い下ヒゲ(反発)","通常"))))</f>
        <v>通常</v>
      </c>
      <c r="AU30">
        <f>IF(AT30="上ヒゲ陰線▼",2,IF(AT30="大陰線▼",2,IF(AT30="長い下ヒゲ(反発)",-2,0)))</f>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3525</v>
      </c>
      <c r="F31" s="326">
        <f>IF(C31&lt;&gt;"",_xll.RssMarket(C31,"始値"),"")</f>
        <v>3572</v>
      </c>
      <c r="G31" s="325">
        <f>IF(C31&lt;&gt;"",終値!F155,"")</f>
        <v>3833</v>
      </c>
      <c r="H31" s="326">
        <f>IF(C31&lt;&gt;"",_xll.RssMarket(C31,"高値"),"")</f>
        <v>3663</v>
      </c>
      <c r="I31" s="326">
        <f>IF(C31&lt;&gt;"",_xll.RssMarket(C31,"安値"),"")</f>
        <v>3481</v>
      </c>
      <c r="J31" s="326">
        <f>IF(C31&lt;&gt;"",_xll.RssMarket(C31,"出来高"),"")</f>
        <v>2090900</v>
      </c>
      <c r="K31" s="326">
        <f>IF(C31&lt;&gt;"",_xll.RssMarket(C31,"年初来高値"),"")</f>
        <v>4855</v>
      </c>
      <c r="L31" s="327">
        <f>IF(AND(E31&lt;&gt;"",K31&lt;&gt;"",K31&lt;&gt;0),(E31-K31)/K31*100,"")</f>
        <v>-27.394438722966015</v>
      </c>
      <c r="M31" s="326">
        <f>IF(C31&lt;&gt;"",IFERROR(AVERAGE(出来高!E155:I155),""),"")</f>
        <v>2720060</v>
      </c>
      <c r="N31" s="326">
        <f>IF(C31&lt;&gt;"",IFERROR(AVERAGE(出来高!E155:AC155),""),"")</f>
        <v>1742029.1666666667</v>
      </c>
      <c r="O31" s="328">
        <f>IF(AND(J31&lt;&gt;"",M31&lt;&gt;"",M31&lt;&gt;0),J31/M31,"")</f>
        <v>0.76869627875855684</v>
      </c>
      <c r="P31" s="325" t="str">
        <f>IF(O31="","",IF(O31&gt;=2,"急増↑↑",IF(O31&gt;=1.5,"増加↑",IF(O31&gt;=1,"普通→","減少↓"))))</f>
        <v>減少↓</v>
      </c>
      <c r="Q31" s="325" t="str">
        <f>IF(E31="","",IF(AND(E31&lt;G31,O31&gt;=1.5),"売り▼",IF(E31&gt;G31,"様子見▲","中立→")))</f>
        <v>中立→</v>
      </c>
      <c r="R31" s="326">
        <f>IF(E31&lt;&gt;"",ROUND(E31*0.92,0),"")</f>
        <v>3243</v>
      </c>
      <c r="S31" s="326">
        <f>IF(E31&lt;&gt;"",ROUND(E31*1.04,0),"")</f>
        <v>3666</v>
      </c>
      <c r="T31" s="325">
        <f>IF(C31="","",IFERROR(IF(W31&gt;=70,3,IF(W31&gt;=60,2,IF(W31&gt;=50,1,0)))+IF(X31&lt;0,2,0)+IF(AD31="下降トレンド▼",3,IF(AD31="もみ合い→",1,0))+IF(V31="年初来安値圏●",3,IF(V31="安値圏",2,0))+IF(Q31="売り▼",2,0)+IF(P31="急増↑↑",2,IF(P31="増加↑",1,0))+IF(Z31&lt;0,1,0)+IF(L31&lt;=-30,2,IF(L31&lt;=-15,1,0))+IF(AE31="25日戻り売り★",2,IF(AE31="5日戻り売り○",1,0))+N(AL31)+N(AP31)+N(AU31),0))</f>
        <v>10</v>
      </c>
      <c r="U31" s="325" t="str">
        <f>IF(T31="","",IF(AND(T31&gt;=3,O31&gt;=1.5),"有効",IF(T31&gt;=3,"要確認","除外")))</f>
        <v>要確認</v>
      </c>
      <c r="V31" s="325" t="str">
        <f>IF(AND(I31&lt;&gt;"",K31&lt;&gt;""),IF(I31&lt;=K31*0.6,"年初来安値圏●",IF(I31&lt;=K31*0.75,"安値圏","通常")),"")</f>
        <v>安値圏</v>
      </c>
      <c r="W31" s="329">
        <f t="array" ref="W31">IFERROR(100-100/(1+SUMPRODUCT((終値!F155:R155&gt;終値!G155:S155)*(終値!F155:R155-終値!G155:S155))/SUMPRODUCT((終値!F155:R155&lt;終値!G155:S155)*(終値!G155:S155-終値!F155:R155))),50)</f>
        <v>48.660945093578739</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-80.63907076528676</v>
      </c>
      <c r="Y31" s="325" t="str">
        <f>IF(AF31="","",AF31&amp;" | "&amp;AD31&amp;IF(AE31&lt;&gt;"なし"," "&amp;AE31,"")&amp;IF(X31&lt;0," MACD-"," MACD+")&amp;" RSI:"&amp;TEXT(W31,"0.0")&amp;IF(W31&gt;=70," [過熱]",IF(W31&lt;=30," [売られ過ぎ]",""))&amp;" 前日比:"&amp;TEXT(Z31,"+0.0;-0.0;0.0")&amp;"%"&amp;IF(V31="年初来安値圏●"," [年初来安値圏]",IF(V31="安値圏"," [安値圏]",""))&amp;IF(OR(AO31="通常",AO31="-"),""," ["&amp;AO31&amp;"]")&amp;IF(OR(AT31="通常",AT31="-"),"","前日["&amp;AT31&amp;"]")&amp;" ["&amp;T31&amp;"点]")</f>
        <v>相場上昇・見送り | もみ合い→ MACD- RSI:48.7 前日比:-8.0% [安値圏] [10点]</v>
      </c>
      <c r="Z31" s="331">
        <f>IF(AND(E31&lt;&gt;"",G31&lt;&gt;"",G31&lt;&gt;0),(E31-G31)/G31*100,"")</f>
        <v>-8.0354813462040173</v>
      </c>
      <c r="AA31" s="325" t="str">
        <f>IF(OR(C31="",E31="",E31=0),"",IF(E31&gt;G31,"上昇▲",IF(E31&lt;G31,"下落▼","横ばい→")))</f>
        <v>下落▼</v>
      </c>
      <c r="AB31" s="326">
        <f>IF(OR(C31="",C31="TOPX",終値!E155=""),"",IFERROR(((終値!E155*0.333)+(終値!F155*0.222)+(終値!G155*0.148)+(終値!H155*0.099)+(終値!I155*0.066))/(0.333+0.222+0.148+0.099+0.066),""))</f>
        <v>3619.0069124423967</v>
      </c>
      <c r="AC31" s="326">
        <f>IF(OR(C31="",C31="TOPX",終値!E155=""),"",IFERROR(SUMPRODUCT((終値!E155:AC155),{0.077,0.071,0.065,0.06,0.055,0.051,0.047,0.043,0.039,0.036,0.033,0.031,0.028,0.026,0.024,0.022,0.02,0.018,0.017,0.016,0.014,0.013,0.012,0.011,0.01})/SUM({0.077,0.071,0.065,0.06,0.055,0.051,0.047,0.043,0.039,0.036,0.033,0.031,0.028,0.026,0.024,0.022,0.02,0.018,0.017,0.016,0.014,0.013,0.012,0.011,0.01}),""))</f>
        <v>3614.0369487485091</v>
      </c>
      <c r="AD31" s="325" t="str">
        <f>IF(OR(C31="",AB31="",AC31="",AB31=0,AC31=0),"",IF(AND(E31&gt;AB31,AB31&gt;AC31),"パーフェクト▲",IF(E31&gt;AC31,"上昇トレンド▲",IF(AND(E31&lt;AB31,AB31&lt;AC31),"下降トレンド▼","もみ合い→"))))</f>
        <v>もみ合い→</v>
      </c>
      <c r="AE31" s="325" t="str">
        <f>IF(OR(C31="",AB31="",AC31=""),"",IF(AND(ABS(E31-AC31)/AC31&lt;=0.02,E31&lt;AC31),"25日戻り売り★",IF(AND(ABS(E31-AB31)/AB31&lt;=0.01,E31&lt;AB31),"5日戻り売り○","なし")))</f>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相場上昇・見送り</v>
      </c>
      <c r="AG31">
        <f>IF(AND(T31&gt;=7,C31&lt;&gt;""),T31,0)</f>
        <v>10</v>
      </c>
      <c r="AH31">
        <f>IF(AG31&gt;0,AG31*10000-ROW(A31),0)</f>
        <v>99969</v>
      </c>
      <c r="AI31" s="373">
        <f t="array" ref="AI31">IF(C31="","",IFERROR((INDEX(終値!$E:$E,MATCH(TEXT(C31,"0"),終値!$A:$A,0))-INDEX(終値!$E:$CZ,MATCH(TEXT(C31,"0"),終値!$A:$A,0),$AN$2))/INDEX(終値!$E:$CZ,MATCH(TEXT(C31,"0"),終値!$A:$A,0),$AN$2)*100,""))</f>
        <v>-24.808020477815703</v>
      </c>
      <c r="AJ31" s="373">
        <f t="array" ref="AJ31">IFERROR((終値!$E$5-INDEX(終値!$E$5:$IT$5,1,$AN$2))/INDEX(終値!$E$5:$IT$5,1,$AN$2)*100,"")</f>
        <v>1.0179378228534113</v>
      </c>
      <c r="AK31" s="374">
        <f>IF(OR(AI31="",AJ31=""),"",AI31-AJ31)</f>
        <v>-25.825958300669114</v>
      </c>
      <c r="AL31" s="372">
        <f>IF(AK31="","",IF(AK31&lt;-5,3,IF(AK31&lt;0,1,IF(AK31&lt;3,-1,-2))))</f>
        <v>3</v>
      </c>
      <c r="AO31" s="376" t="str">
        <f>IF(OR($C31="",$E31="",$F31="",$H31="",$I31="",$H31-$I31&lt;=0),"-",IF(AND($H31-MAX($F31,$E31)&gt;=ABS($E31-$F31)*2,MIN($F31,$E31)-$I31&lt;=ABS($E31-$F31)*0.5,ABS($E31-$F31)&gt;0),"上ヒゲ陰線▼",IF(AND($E31&lt;$F31,ABS($E31-$F31)&gt;=($H31-$I31)*0.7),"大陰線▼",IF(AND(MIN($F31,$E31)-$I31&gt;=($H31-$I31)*0.5,$H31-MAX($F31,$E31)&lt;=($H31-$I31)*0.2),"長い下ヒゲ(反発警戒)","通常"))))</f>
        <v>通常</v>
      </c>
      <c r="AP31" s="377">
        <f>IF($AO31="上ヒゲ陰線▼",2,IF($AO31="大陰線▼",2,IF($AO31="長い下ヒゲ(反発警戒)",-2,0)))</f>
        <v>0</v>
      </c>
      <c r="AQ31">
        <f>IF(C31&lt;&gt;"",始値!F155,"")</f>
        <v>3635</v>
      </c>
      <c r="AR31">
        <f>IF(C31&lt;&gt;"",高値!F155,"")</f>
        <v>3873</v>
      </c>
      <c r="AS31">
        <f>IF(C31&lt;&gt;"",安値!F155,"")</f>
        <v>3630</v>
      </c>
      <c r="AT31" t="str">
        <f>IF(OR(C31="",AQ31="",AR31="",AS31="",AR31-AS31&lt;=0),"-",IF(AND(AR31-MAX(G31,AQ31)&gt;=ABS(G31-AQ31)*2,MIN(G31,AQ31)-AS31&lt;=ABS(G31-AQ31)*0.5,ABS(G31-AQ31)&gt;0),"上ヒゲ陰線▼",IF(AND(G31&lt;AQ31,ABS(G31-AQ31)&gt;=(AR31-AS31)*0.7),"大陰線▼",IF(AND(MIN(G31,AQ31)-AS31&gt;=(AR31-AS31)*0.5,AR31-MAX(G31,AQ31)&lt;=(AR31-AS31)*0.2),"長い下ヒゲ(反発)","通常"))))</f>
        <v>通常</v>
      </c>
      <c r="AU31">
        <f>IF(AT31="上ヒゲ陰線▼",2,IF(AT31="大陰線▼",2,IF(AT31="長い下ヒゲ(反発)",-2,0)))</f>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5642</v>
      </c>
      <c r="F32" s="333">
        <f>IF(C32&lt;&gt;"",_xll.RssMarket(C32,"始値"),"")</f>
        <v>5815</v>
      </c>
      <c r="G32" s="212">
        <f>IF(C32&lt;&gt;"",終値!F175,"")</f>
        <v>5684</v>
      </c>
      <c r="H32" s="333">
        <f>IF(C32&lt;&gt;"",_xll.RssMarket(C32,"高値"),"")</f>
        <v>5848</v>
      </c>
      <c r="I32" s="333">
        <f>IF(C32&lt;&gt;"",_xll.RssMarket(C32,"安値"),"")</f>
        <v>5618</v>
      </c>
      <c r="J32" s="333">
        <f>IF(C32&lt;&gt;"",_xll.RssMarket(C32,"出来高"),"")</f>
        <v>1490600</v>
      </c>
      <c r="K32" s="333">
        <f>IF(C32&lt;&gt;"",_xll.RssMarket(C32,"年初来高値"),"")</f>
        <v>7460</v>
      </c>
      <c r="L32" s="334">
        <f>IF(AND(E32&lt;&gt;"",K32&lt;&gt;"",K32&lt;&gt;0),(E32-K32)/K32*100,"")</f>
        <v>-24.369973190348524</v>
      </c>
      <c r="M32" s="333">
        <f>IF(C32&lt;&gt;"",IFERROR(AVERAGE(出来高!E175:I175),""),"")</f>
        <v>2491540</v>
      </c>
      <c r="N32" s="333">
        <f>IF(C32&lt;&gt;"",IFERROR(AVERAGE(出来高!E175:AC175),""),"")</f>
        <v>1277292</v>
      </c>
      <c r="O32" s="335">
        <f>IF(AND(J32&lt;&gt;"",M32&lt;&gt;"",M32&lt;&gt;0),J32/M32,"")</f>
        <v>0.59826452715990919</v>
      </c>
      <c r="P32" s="212" t="str">
        <f>IF(O32="","",IF(O32&gt;=2,"急増↑↑",IF(O32&gt;=1.5,"増加↑",IF(O32&gt;=1,"普通→","減少↓"))))</f>
        <v>減少↓</v>
      </c>
      <c r="Q32" s="212" t="str">
        <f>IF(E32="","",IF(AND(E32&lt;G32,O32&gt;=1.5),"売り▼",IF(E32&gt;G32,"様子見▲","中立→")))</f>
        <v>中立→</v>
      </c>
      <c r="R32" s="333">
        <f>IF(E32&lt;&gt;"",ROUND(E32*0.92,0),"")</f>
        <v>5191</v>
      </c>
      <c r="S32" s="333">
        <f>IF(E32&lt;&gt;"",ROUND(E32*1.04,0),"")</f>
        <v>5868</v>
      </c>
      <c r="T32" s="325">
        <f>IF(C32="","",IFERROR(IF(W32&gt;=70,3,IF(W32&gt;=60,2,IF(W32&gt;=50,1,0)))+IF(X32&lt;0,2,0)+IF(AD32="下降トレンド▼",3,IF(AD32="もみ合い→",1,0))+IF(V32="年初来安値圏●",3,IF(V32="安値圏",2,0))+IF(Q32="売り▼",2,0)+IF(P32="急増↑↑",2,IF(P32="増加↑",1,0))+IF(Z32&lt;0,1,0)+IF(L32&lt;=-30,2,IF(L32&lt;=-15,1,0))+IF(AE32="25日戻り売り★",2,IF(AE32="5日戻り売り○",1,0))+N(AL32)+N(AP32)+N(AU32),0))</f>
        <v>10</v>
      </c>
      <c r="U32" s="212" t="str">
        <f>IF(T32="","",IF(AND(T32&gt;=3,O32&gt;=1.5),"有効",IF(T32&gt;=3,"要確認","除外")))</f>
        <v>要確認</v>
      </c>
      <c r="V32" s="212" t="str">
        <f>IF(AND(I32&lt;&gt;"",K32&lt;&gt;""),IF(I32&lt;=K32*0.6,"年初来安値圏●",IF(I32&lt;=K32*0.75,"安値圏","通常")),"")</f>
        <v>通常</v>
      </c>
      <c r="W32" s="336">
        <f t="array" ref="W32">IFERROR(100-100/(1+SUMPRODUCT((終値!F175:R175&gt;終値!G175:S175)*(終値!F175:R175-終値!G175:S175))/SUMPRODUCT((終値!F175:R175&lt;終値!G175:S175)*(終値!G175:S175-終値!F175:R175))),50)</f>
        <v>32.782515991471215</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-106.16881933139211</v>
      </c>
      <c r="Y32" s="212" t="str">
        <f>IF(AF32="","",AF32&amp;" | "&amp;AD32&amp;IF(AE32&lt;&gt;"なし"," "&amp;AE32,"")&amp;IF(X32&lt;0," MACD-"," MACD+")&amp;" RSI:"&amp;TEXT(W32,"0.0")&amp;IF(W32&gt;=70," [過熱]",IF(W32&lt;=30," [売られ過ぎ]",""))&amp;" 前日比:"&amp;TEXT(Z32,"+0.0;-0.0;0.0")&amp;"%"&amp;IF(V32="年初来安値圏●"," [年初来安値圏]",IF(V32="安値圏"," [安値圏]",""))&amp;IF(OR(AO32="通常",AO32="-"),""," ["&amp;AO32&amp;"]")&amp;IF(OR(AT32="通常",AT32="-"),"","前日["&amp;AT32&amp;"]")&amp;" ["&amp;T32&amp;"点]")</f>
        <v>相場上昇・見送り | もみ合い→ MACD- RSI:32.8 前日比:-0.7% [大陰線▼] [10点]</v>
      </c>
      <c r="Z32" s="338">
        <f>IF(AND(E32&lt;&gt;"",G32&lt;&gt;"",G32&lt;&gt;0),(E32-G32)/G32*100,"")</f>
        <v>-0.73891625615763545</v>
      </c>
      <c r="AA32" s="212" t="str">
        <f>IF(OR(C32="",E32="",E32=0),"",IF(E32&gt;G32,"上昇▲",IF(E32&lt;G32,"下落▼","横ばい→")))</f>
        <v>下落▼</v>
      </c>
      <c r="AB32" s="333">
        <f>IF(OR(C32="",C32="TOPX",終値!E175=""),"",IFERROR(((終値!E175*0.333)+(終値!F175*0.222)+(終値!G175*0.148)+(終値!H175*0.099)+(終値!I175*0.066))/(0.333+0.222+0.148+0.099+0.066),""))</f>
        <v>5573.869815668203</v>
      </c>
      <c r="AC32" s="333">
        <f>IF(OR(C32="",C32="TOPX",終値!E175=""),"",IFERROR(SUMPRODUCT((終値!E175:AC175),{0.077,0.071,0.065,0.06,0.055,0.051,0.047,0.043,0.039,0.036,0.033,0.031,0.028,0.026,0.024,0.022,0.02,0.018,0.017,0.016,0.014,0.013,0.012,0.011,0.01})/SUM({0.077,0.071,0.065,0.06,0.055,0.051,0.047,0.043,0.039,0.036,0.033,0.031,0.028,0.026,0.024,0.022,0.02,0.018,0.017,0.016,0.014,0.013,0.012,0.011,0.01}),""))</f>
        <v>5843.8712753277687</v>
      </c>
      <c r="AD32" s="212" t="str">
        <f>IF(OR(C32="",AB32="",AC32="",AB32=0,AC32=0),"",IF(AND(E32&gt;AB32,AB32&gt;AC32),"パーフェクト▲",IF(E32&gt;AC32,"上昇トレンド▲",IF(AND(E32&lt;AB32,AB32&lt;AC32),"下降トレンド▼","もみ合い→"))))</f>
        <v>もみ合い→</v>
      </c>
      <c r="AE32" s="212" t="str">
        <f>IF(OR(C32="",AB32="",AC32=""),"",IF(AND(ABS(E32-AC32)/AC32&lt;=0.02,E32&lt;AC32),"25日戻り売り★",IF(AND(ABS(E32-AB32)/AB32&lt;=0.01,E32&lt;AB32),"5日戻り売り○","なし")))</f>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相場上昇・見送り</v>
      </c>
      <c r="AG32">
        <f>IF(AND(T32&gt;=7,C32&lt;&gt;""),T32,0)</f>
        <v>10</v>
      </c>
      <c r="AH32">
        <f>IF(AG32&gt;0,AG32*10000-ROW(A32),0)</f>
        <v>99968</v>
      </c>
      <c r="AI32" s="373">
        <f t="array" ref="AI32">IF(C32="","",IFERROR((INDEX(終値!$E:$E,MATCH(TEXT(C32,"0"),終値!$A:$A,0))-INDEX(終値!$E:$CZ,MATCH(TEXT(C32,"0"),終値!$A:$A,0),$AN$2))/INDEX(終値!$E:$CZ,MATCH(TEXT(C32,"0"),終値!$A:$A,0),$AN$2)*100,""))</f>
        <v>-16.116562592922985</v>
      </c>
      <c r="AJ32" s="373">
        <f t="array" ref="AJ32">IFERROR((終値!$E$5-INDEX(終値!$E$5:$IT$5,1,$AN$2))/INDEX(終値!$E$5:$IT$5,1,$AN$2)*100,"")</f>
        <v>1.0179378228534113</v>
      </c>
      <c r="AK32" s="374">
        <f>IF(OR(AI32="",AJ32=""),"",AI32-AJ32)</f>
        <v>-17.134500415776397</v>
      </c>
      <c r="AL32" s="372">
        <f>IF(AK32="","",IF(AK32&lt;-5,3,IF(AK32&lt;0,1,IF(AK32&lt;3,-1,-2))))</f>
        <v>3</v>
      </c>
      <c r="AO32" s="376" t="str">
        <f>IF(OR($C32="",$E32="",$F32="",$H32="",$I32="",$H32-$I32&lt;=0),"-",IF(AND($H32-MAX($F32,$E32)&gt;=ABS($E32-$F32)*2,MIN($F32,$E32)-$I32&lt;=ABS($E32-$F32)*0.5,ABS($E32-$F32)&gt;0),"上ヒゲ陰線▼",IF(AND($E32&lt;$F32,ABS($E32-$F32)&gt;=($H32-$I32)*0.7),"大陰線▼",IF(AND(MIN($F32,$E32)-$I32&gt;=($H32-$I32)*0.5,$H32-MAX($F32,$E32)&lt;=($H32-$I32)*0.2),"長い下ヒゲ(反発警戒)","通常"))))</f>
        <v>大陰線▼</v>
      </c>
      <c r="AP32" s="377">
        <f>IF($AO32="上ヒゲ陰線▼",2,IF($AO32="大陰線▼",2,IF($AO32="長い下ヒゲ(反発警戒)",-2,0)))</f>
        <v>2</v>
      </c>
      <c r="AQ32">
        <f>IF(C32&lt;&gt;"",始値!F175,"")</f>
        <v>5584</v>
      </c>
      <c r="AR32">
        <f>IF(C32&lt;&gt;"",高値!F175,"")</f>
        <v>5704</v>
      </c>
      <c r="AS32">
        <f>IF(C32&lt;&gt;"",安値!F175,"")</f>
        <v>5496</v>
      </c>
      <c r="AT32" t="str">
        <f>IF(OR(C32="",AQ32="",AR32="",AS32="",AR32-AS32&lt;=0),"-",IF(AND(AR32-MAX(G32,AQ32)&gt;=ABS(G32-AQ32)*2,MIN(G32,AQ32)-AS32&lt;=ABS(G32-AQ32)*0.5,ABS(G32-AQ32)&gt;0),"上ヒゲ陰線▼",IF(AND(G32&lt;AQ32,ABS(G32-AQ32)&gt;=(AR32-AS32)*0.7),"大陰線▼",IF(AND(MIN(G32,AQ32)-AS32&gt;=(AR32-AS32)*0.5,AR32-MAX(G32,AQ32)&lt;=(AR32-AS32)*0.2),"長い下ヒゲ(反発)","通常"))))</f>
        <v>通常</v>
      </c>
      <c r="AU32">
        <f>IF(AT32="上ヒゲ陰線▼",2,IF(AT32="大陰線▼",2,IF(AT32="長い下ヒゲ(反発)",-2,0)))</f>
        <v>0</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8880</v>
      </c>
      <c r="F33" s="326">
        <f>IF(C33&lt;&gt;"",_xll.RssMarket(C33,"始値"),"")</f>
        <v>8900</v>
      </c>
      <c r="G33" s="325">
        <f>IF(C33&lt;&gt;"",終値!F195,"")</f>
        <v>9370</v>
      </c>
      <c r="H33" s="326">
        <f>IF(C33&lt;&gt;"",_xll.RssMarket(C33,"高値"),"")</f>
        <v>9180</v>
      </c>
      <c r="I33" s="326">
        <f>IF(C33&lt;&gt;"",_xll.RssMarket(C33,"安値"),"")</f>
        <v>8720</v>
      </c>
      <c r="J33" s="326">
        <f>IF(C33&lt;&gt;"",_xll.RssMarket(C33,"出来高"),"")</f>
        <v>1357700</v>
      </c>
      <c r="K33" s="326">
        <f>IF(C33&lt;&gt;"",_xll.RssMarket(C33,"年初来高値"),"")</f>
        <v>11700</v>
      </c>
      <c r="L33" s="327">
        <f>IF(AND(E33&lt;&gt;"",K33&lt;&gt;"",K33&lt;&gt;0),(E33-K33)/K33*100,"")</f>
        <v>-24.102564102564102</v>
      </c>
      <c r="M33" s="326">
        <f>IF(C33&lt;&gt;"",IFERROR(AVERAGE(出来高!E195:I195),""),"")</f>
        <v>1656380</v>
      </c>
      <c r="N33" s="326">
        <f>IF(C33&lt;&gt;"",IFERROR(AVERAGE(出来高!E195:AC195),""),"")</f>
        <v>1634152</v>
      </c>
      <c r="O33" s="328">
        <f>IF(AND(J33&lt;&gt;"",M33&lt;&gt;"",M33&lt;&gt;0),J33/M33,"")</f>
        <v>0.81967905915309291</v>
      </c>
      <c r="P33" s="325" t="str">
        <f>IF(O33="","",IF(O33&gt;=2,"急増↑↑",IF(O33&gt;=1.5,"増加↑",IF(O33&gt;=1,"普通→","減少↓"))))</f>
        <v>減少↓</v>
      </c>
      <c r="Q33" s="325" t="str">
        <f>IF(E33="","",IF(AND(E33&lt;G33,O33&gt;=1.5),"売り▼",IF(E33&gt;G33,"様子見▲","中立→")))</f>
        <v>中立→</v>
      </c>
      <c r="R33" s="326">
        <f>IF(E33&lt;&gt;"",ROUND(E33*0.92,0),"")</f>
        <v>8170</v>
      </c>
      <c r="S33" s="326">
        <f>IF(E33&lt;&gt;"",ROUND(E33*1.04,0),"")</f>
        <v>9235</v>
      </c>
      <c r="T33" s="325">
        <f>IF(C33="","",IFERROR(IF(W33&gt;=70,3,IF(W33&gt;=60,2,IF(W33&gt;=50,1,0)))+IF(X33&lt;0,2,0)+IF(AD33="下降トレンド▼",3,IF(AD33="もみ合い→",1,0))+IF(V33="年初来安値圏●",3,IF(V33="安値圏",2,0))+IF(Q33="売り▼",2,0)+IF(P33="急増↑↑",2,IF(P33="増加↑",1,0))+IF(Z33&lt;0,1,0)+IF(L33&lt;=-30,2,IF(L33&lt;=-15,1,0))+IF(AE33="25日戻り売り★",2,IF(AE33="5日戻り売り○",1,0))+N(AL33)+N(AP33)+N(AU33),0))</f>
        <v>8</v>
      </c>
      <c r="U33" s="325" t="str">
        <f>IF(T33="","",IF(AND(T33&gt;=3,O33&gt;=1.5),"有効",IF(T33&gt;=3,"要確認","除外")))</f>
        <v>要確認</v>
      </c>
      <c r="V33" s="325" t="str">
        <f>IF(AND(I33&lt;&gt;"",K33&lt;&gt;""),IF(I33&lt;=K33*0.6,"年初来安値圏●",IF(I33&lt;=K33*0.75,"安値圏","通常")),"")</f>
        <v>安値圏</v>
      </c>
      <c r="W33" s="329">
        <f t="array" ref="W33">IFERROR(100-100/(1+SUMPRODUCT((終値!F195:R195&gt;終値!G195:S195)*(終値!F195:R195-終値!G195:S195))/SUMPRODUCT((終値!F195:R195&lt;終値!G195:S195)*(終値!G195:S195-終値!F195:R195))),50)</f>
        <v>57.510148849797027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58.745994849527051</v>
      </c>
      <c r="Y33" s="325" t="str">
        <f>IF(AF33="","",AF33&amp;" | "&amp;AD33&amp;IF(AE33&lt;&gt;"なし"," "&amp;AE33,"")&amp;IF(X33&lt;0," MACD-"," MACD+")&amp;" RSI:"&amp;TEXT(W33,"0.0")&amp;IF(W33&gt;=70," [過熱]",IF(W33&lt;=30," [売られ過ぎ]",""))&amp;" 前日比:"&amp;TEXT(Z33,"+0.0;-0.0;0.0")&amp;"%"&amp;IF(V33="年初来安値圏●"," [年初来安値圏]",IF(V33="安値圏"," [安値圏]",""))&amp;IF(OR(AO33="通常",AO33="-"),""," ["&amp;AO33&amp;"]")&amp;IF(OR(AT33="通常",AT33="-"),"","前日["&amp;AT33&amp;"]")&amp;" ["&amp;T33&amp;"点]")</f>
        <v>相場上昇・見送り | パーフェクト▲ MACD+ RSI:57.5 前日比:-5.2% [安値圏] [8点]</v>
      </c>
      <c r="Z33" s="331">
        <f>IF(AND(E33&lt;&gt;"",G33&lt;&gt;"",G33&lt;&gt;0),(E33-G33)/G33*100,"")</f>
        <v>-5.2294557097118464</v>
      </c>
      <c r="AA33" s="325" t="str">
        <f>IF(OR(C33="",E33="",E33=0),"",IF(E33&gt;G33,"上昇▲",IF(E33&lt;G33,"下落▼","横ばい→")))</f>
        <v>下落▼</v>
      </c>
      <c r="AB33" s="326">
        <f>IF(OR(C33="",C33="TOPX",終値!E195=""),"",IFERROR(((終値!E195*0.333)+(終値!F195*0.222)+(終値!G195*0.148)+(終値!H195*0.099)+(終値!I195*0.066))/(0.333+0.222+0.148+0.099+0.066),""))</f>
        <v>8858.6520737327191</v>
      </c>
      <c r="AC33" s="326">
        <f>IF(OR(C33="",C33="TOPX",終値!E195=""),"",IFERROR(SUMPRODUCT((終値!E195:AC195),{0.077,0.071,0.065,0.06,0.055,0.051,0.047,0.043,0.039,0.036,0.033,0.031,0.028,0.026,0.024,0.022,0.02,0.018,0.017,0.016,0.014,0.013,0.012,0.011,0.01})/SUM({0.077,0.071,0.065,0.06,0.055,0.051,0.047,0.043,0.039,0.036,0.033,0.031,0.028,0.026,0.024,0.022,0.02,0.018,0.017,0.016,0.014,0.013,0.012,0.011,0.01}),""))</f>
        <v>8326.6150178784228</v>
      </c>
      <c r="AD33" s="325" t="str">
        <f>IF(OR(C33="",AB33="",AC33="",AB33=0,AC33=0),"",IF(AND(E33&gt;AB33,AB33&gt;AC33),"パーフェクト▲",IF(E33&gt;AC33,"上昇トレンド▲",IF(AND(E33&lt;AB33,AB33&lt;AC33),"下降トレンド▼","もみ合い→"))))</f>
        <v>パーフェクト▲</v>
      </c>
      <c r="AE33" s="325" t="str">
        <f>IF(OR(C33="",AB33="",AC33=""),"",IF(AND(ABS(E33-AC33)/AC33&lt;=0.02,E33&lt;AC33),"25日戻り売り★",IF(AND(ABS(E33-AB33)/AB33&lt;=0.01,E33&lt;AB33),"5日戻り売り○","なし")))</f>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相場上昇・見送り</v>
      </c>
      <c r="AG33">
        <f>IF(AND(T33&gt;=7,C33&lt;&gt;""),T33,0)</f>
        <v>8</v>
      </c>
      <c r="AH33">
        <f>IF(AG33&gt;0,AG33*10000-ROW(A33),0)</f>
        <v>79967</v>
      </c>
      <c r="AI33" s="373">
        <f t="array" ref="AI33">IF(C33="","",IFERROR((INDEX(終値!$E:$E,MATCH(TEXT(C33,"0"),終値!$A:$A,0))-INDEX(終値!$E:$CZ,MATCH(TEXT(C33,"0"),終値!$A:$A,0),$AN$2))/INDEX(終値!$E:$CZ,MATCH(TEXT(C33,"0"),終値!$A:$A,0),$AN$2)*100,""))</f>
        <v>-8.6419753086419746</v>
      </c>
      <c r="AJ33" s="373">
        <f t="array" ref="AJ33">IFERROR((終値!$E$5-INDEX(終値!$E$5:$IT$5,1,$AN$2))/INDEX(終値!$E$5:$IT$5,1,$AN$2)*100,"")</f>
        <v>1.0179378228534113</v>
      </c>
      <c r="AK33" s="374">
        <f>IF(OR(AI33="",AJ33=""),"",AI33-AJ33)</f>
        <v>-9.6599131314953866</v>
      </c>
      <c r="AL33" s="372">
        <f>IF(AK33="","",IF(AK33&lt;-5,3,IF(AK33&lt;0,1,IF(AK33&lt;3,-1,-2))))</f>
        <v>3</v>
      </c>
      <c r="AO33" s="376" t="str">
        <f>IF(OR($C33="",$E33="",$F33="",$H33="",$I33="",$H33-$I33&lt;=0),"-",IF(AND($H33-MAX($F33,$E33)&gt;=ABS($E33-$F33)*2,MIN($F33,$E33)-$I33&lt;=ABS($E33-$F33)*0.5,ABS($E33-$F33)&gt;0),"上ヒゲ陰線▼",IF(AND($E33&lt;$F33,ABS($E33-$F33)&gt;=($H33-$I33)*0.7),"大陰線▼",IF(AND(MIN($F33,$E33)-$I33&gt;=($H33-$I33)*0.5,$H33-MAX($F33,$E33)&lt;=($H33-$I33)*0.2),"長い下ヒゲ(反発警戒)","通常"))))</f>
        <v>通常</v>
      </c>
      <c r="AP33" s="377">
        <f>IF($AO33="上ヒゲ陰線▼",2,IF($AO33="大陰線▼",2,IF($AO33="長い下ヒゲ(反発警戒)",-2,0)))</f>
        <v>0</v>
      </c>
      <c r="AQ33">
        <f>IF(C33&lt;&gt;"",始値!F195,"")</f>
        <v>8980</v>
      </c>
      <c r="AR33">
        <f>IF(C33&lt;&gt;"",高値!F195,"")</f>
        <v>9420</v>
      </c>
      <c r="AS33">
        <f>IF(C33&lt;&gt;"",安値!F195,"")</f>
        <v>8700</v>
      </c>
      <c r="AT33" t="str">
        <f>IF(OR(C33="",AQ33="",AR33="",AS33="",AR33-AS33&lt;=0),"-",IF(AND(AR33-MAX(G33,AQ33)&gt;=ABS(G33-AQ33)*2,MIN(G33,AQ33)-AS33&lt;=ABS(G33-AQ33)*0.5,ABS(G33-AQ33)&gt;0),"上ヒゲ陰線▼",IF(AND(G33&lt;AQ33,ABS(G33-AQ33)&gt;=(AR33-AS33)*0.7),"大陰線▼",IF(AND(MIN(G33,AQ33)-AS33&gt;=(AR33-AS33)*0.5,AR33-MAX(G33,AQ33)&lt;=(AR33-AS33)*0.2),"長い下ヒゲ(反発)","通常"))))</f>
        <v>通常</v>
      </c>
      <c r="AU33">
        <f>IF(AT33="上ヒゲ陰線▼",2,IF(AT33="大陰線▼",2,IF(AT33="長い下ヒゲ(反発)",-2,0)))</f>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24320</v>
      </c>
      <c r="F34" s="333">
        <f>IF(C34&lt;&gt;"",_xll.RssMarket(C34,"始値"),"")</f>
        <v>25000</v>
      </c>
      <c r="G34" s="212">
        <f>IF(C34&lt;&gt;"",終値!F196,"")</f>
        <v>25500</v>
      </c>
      <c r="H34" s="333">
        <f>IF(C34&lt;&gt;"",_xll.RssMarket(C34,"高値"),"")</f>
        <v>25610</v>
      </c>
      <c r="I34" s="333">
        <f>IF(C34&lt;&gt;"",_xll.RssMarket(C34,"安値"),"")</f>
        <v>24000</v>
      </c>
      <c r="J34" s="333">
        <f>IF(C34&lt;&gt;"",_xll.RssMarket(C34,"出来高"),"")</f>
        <v>106500</v>
      </c>
      <c r="K34" s="333">
        <f>IF(C34&lt;&gt;"",_xll.RssMarket(C34,"年初来高値"),"")</f>
        <v>28430</v>
      </c>
      <c r="L34" s="334">
        <f>IF(AND(E34&lt;&gt;"",K34&lt;&gt;"",K34&lt;&gt;0),(E34-K34)/K34*100,"")</f>
        <v>-14.456559971860711</v>
      </c>
      <c r="M34" s="333">
        <f>IF(C34&lt;&gt;"",IFERROR(AVERAGE(出来高!E196:I196),""),"")</f>
        <v>102540</v>
      </c>
      <c r="N34" s="333">
        <f>IF(C34&lt;&gt;"",IFERROR(AVERAGE(出来高!E196:AC196),""),"")</f>
        <v>85104</v>
      </c>
      <c r="O34" s="335">
        <f>IF(AND(J34&lt;&gt;"",M34&lt;&gt;"",M34&lt;&gt;0),J34/M34,"")</f>
        <v>1.0386190754827385</v>
      </c>
      <c r="P34" s="212" t="str">
        <f>IF(O34="","",IF(O34&gt;=2,"急増↑↑",IF(O34&gt;=1.5,"増加↑",IF(O34&gt;=1,"普通→","減少↓"))))</f>
        <v>普通→</v>
      </c>
      <c r="Q34" s="212" t="str">
        <f>IF(E34="","",IF(AND(E34&lt;G34,O34&gt;=1.5),"売り▼",IF(E34&gt;G34,"様子見▲","中立→")))</f>
        <v>中立→</v>
      </c>
      <c r="R34" s="333">
        <f>IF(E34&lt;&gt;"",ROUND(E34*0.92,0),"")</f>
        <v>22374</v>
      </c>
      <c r="S34" s="333">
        <f>IF(E34&lt;&gt;"",ROUND(E34*1.04,0),"")</f>
        <v>25293</v>
      </c>
      <c r="T34" s="325">
        <f>IF(C34="","",IFERROR(IF(W34&gt;=70,3,IF(W34&gt;=60,2,IF(W34&gt;=50,1,0)))+IF(X34&lt;0,2,0)+IF(AD34="下降トレンド▼",3,IF(AD34="もみ合い→",1,0))+IF(V34="年初来安値圏●",3,IF(V34="安値圏",2,0))+IF(Q34="売り▼",2,0)+IF(P34="急増↑↑",2,IF(P34="増加↑",1,0))+IF(Z34&lt;0,1,0)+IF(L34&lt;=-30,2,IF(L34&lt;=-15,1,0))+IF(AE34="25日戻り売り★",2,IF(AE34="5日戻り売り○",1,0))+N(AL34)+N(AP34)+N(AU34),0))</f>
        <v>7</v>
      </c>
      <c r="U34" s="212" t="str">
        <f>IF(T34="","",IF(AND(T34&gt;=3,O34&gt;=1.5),"有効",IF(T34&gt;=3,"要確認","除外")))</f>
        <v>要確認</v>
      </c>
      <c r="V34" s="212" t="str">
        <f>IF(AND(I34&lt;&gt;"",K34&lt;&gt;""),IF(I34&lt;=K34*0.6,"年初来安値圏●",IF(I34&lt;=K34*0.75,"安値圏","通常")),"")</f>
        <v>通常</v>
      </c>
      <c r="W34" s="336">
        <f t="array" ref="W34">IFERROR(100-100/(1+SUMPRODUCT((終値!F196:R196&gt;終値!G196:S196)*(終値!F196:R196-終値!G196:S196))/SUMPRODUCT((終値!F196:R196&lt;終値!G196:S196)*(終値!G196:S196-終値!F196:R196))),50)</f>
        <v>50.985027580772261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-157.15557696057658</v>
      </c>
      <c r="Y34" s="212" t="str">
        <f>IF(AF34="","",AF34&amp;" | "&amp;AD34&amp;IF(AE34&lt;&gt;"なし"," "&amp;AE34,"")&amp;IF(X34&lt;0," MACD-"," MACD+")&amp;" RSI:"&amp;TEXT(W34,"0.0")&amp;IF(W34&gt;=70," [過熱]",IF(W34&lt;=30," [売られ過ぎ]",""))&amp;" 前日比:"&amp;TEXT(Z34,"+0.0;-0.0;0.0")&amp;"%"&amp;IF(V34="年初来安値圏●"," [年初来安値圏]",IF(V34="安値圏"," [安値圏]",""))&amp;IF(OR(AO34="通常",AO34="-"),""," ["&amp;AO34&amp;"]")&amp;IF(OR(AT34="通常",AT34="-"),"","前日["&amp;AT34&amp;"]")&amp;" ["&amp;T34&amp;"点]")</f>
        <v>相場上昇・見送り | パーフェクト▲ MACD- RSI:51.0 前日比:-4.6% [7点]</v>
      </c>
      <c r="Z34" s="338">
        <f>IF(AND(E34&lt;&gt;"",G34&lt;&gt;"",G34&lt;&gt;0),(E34-G34)/G34*100,"")</f>
        <v>-4.6274509803921564</v>
      </c>
      <c r="AA34" s="212" t="str">
        <f>IF(OR(C34="",E34="",E34=0),"",IF(E34&gt;G34,"上昇▲",IF(E34&lt;G34,"下落▼","横ばい→")))</f>
        <v>下落▼</v>
      </c>
      <c r="AB34" s="333">
        <f>IF(OR(C34="",C34="TOPX",終値!E196=""),"",IFERROR(((終値!E196*0.333)+(終値!F196*0.222)+(終値!G196*0.148)+(終値!H196*0.099)+(終値!I196*0.066))/(0.333+0.222+0.148+0.099+0.066),""))</f>
        <v>24244.135944700462</v>
      </c>
      <c r="AC34" s="333">
        <f>IF(OR(C34="",C34="TOPX",終値!E196=""),"",IFERROR(SUMPRODUCT((終値!E196:AC196),{0.077,0.071,0.065,0.06,0.055,0.051,0.047,0.043,0.039,0.036,0.033,0.031,0.028,0.026,0.024,0.022,0.02,0.018,0.017,0.016,0.014,0.013,0.012,0.011,0.01})/SUM({0.077,0.071,0.065,0.06,0.055,0.051,0.047,0.043,0.039,0.036,0.033,0.031,0.028,0.026,0.024,0.022,0.02,0.018,0.017,0.016,0.014,0.013,0.012,0.011,0.01}),""))</f>
        <v>23495.816448152556</v>
      </c>
      <c r="AD34" s="212" t="str">
        <f>IF(OR(C34="",AB34="",AC34="",AB34=0,AC34=0),"",IF(AND(E34&gt;AB34,AB34&gt;AC34),"パーフェクト▲",IF(E34&gt;AC34,"上昇トレンド▲",IF(AND(E34&lt;AB34,AB34&lt;AC34),"下降トレンド▼","もみ合い→"))))</f>
        <v>パーフェクト▲</v>
      </c>
      <c r="AE34" s="212" t="str">
        <f>IF(OR(C34="",AB34="",AC34=""),"",IF(AND(ABS(E34-AC34)/AC34&lt;=0.02,E34&lt;AC34),"25日戻り売り★",IF(AND(ABS(E34-AB34)/AB34&lt;=0.01,E34&lt;AB34),"5日戻り売り○","なし")))</f>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相場上昇・見送り</v>
      </c>
      <c r="AG34">
        <f>IF(AND(T34&gt;=7,C34&lt;&gt;""),T34,0)</f>
        <v>7</v>
      </c>
      <c r="AH34">
        <f>IF(AG34&gt;0,AG34*10000-ROW(A34),0)</f>
        <v>69966</v>
      </c>
      <c r="AI34" s="373">
        <f t="array" ref="AI34">IF(C34="","",IFERROR((INDEX(終値!$E:$E,MATCH(TEXT(C34,"0"),終値!$A:$A,0))-INDEX(終値!$E:$CZ,MATCH(TEXT(C34,"0"),終値!$A:$A,0),$AN$2))/INDEX(終値!$E:$CZ,MATCH(TEXT(C34,"0"),終値!$A:$A,0),$AN$2)*100,""))</f>
        <v>-11.915972473741398</v>
      </c>
      <c r="AJ34" s="373">
        <f t="array" ref="AJ34">IFERROR((終値!$E$5-INDEX(終値!$E$5:$IT$5,1,$AN$2))/INDEX(終値!$E$5:$IT$5,1,$AN$2)*100,"")</f>
        <v>1.0179378228534113</v>
      </c>
      <c r="AK34" s="374">
        <f>IF(OR(AI34="",AJ34=""),"",AI34-AJ34)</f>
        <v>-12.93391029659481</v>
      </c>
      <c r="AL34" s="372">
        <f>IF(AK34="","",IF(AK34&lt;-5,3,IF(AK34&lt;0,1,IF(AK34&lt;3,-1,-2))))</f>
        <v>3</v>
      </c>
      <c r="AO34" s="376" t="str">
        <f>IF(OR($C34="",$E34="",$F34="",$H34="",$I34="",$H34-$I34&lt;=0),"-",IF(AND($H34-MAX($F34,$E34)&gt;=ABS($E34-$F34)*2,MIN($F34,$E34)-$I34&lt;=ABS($E34-$F34)*0.5,ABS($E34-$F34)&gt;0),"上ヒゲ陰線▼",IF(AND($E34&lt;$F34,ABS($E34-$F34)&gt;=($H34-$I34)*0.7),"大陰線▼",IF(AND(MIN($F34,$E34)-$I34&gt;=($H34-$I34)*0.5,$H34-MAX($F34,$E34)&lt;=($H34-$I34)*0.2),"長い下ヒゲ(反発警戒)","通常"))))</f>
        <v>通常</v>
      </c>
      <c r="AP34" s="377">
        <f>IF($AO34="上ヒゲ陰線▼",2,IF($AO34="大陰線▼",2,IF($AO34="長い下ヒゲ(反発警戒)",-2,0)))</f>
        <v>0</v>
      </c>
      <c r="AQ34">
        <f>IF(C34&lt;&gt;"",始値!F196,"")</f>
        <v>24790</v>
      </c>
      <c r="AR34">
        <f>IF(C34&lt;&gt;"",高値!F196,"")</f>
        <v>25750</v>
      </c>
      <c r="AS34">
        <f>IF(C34&lt;&gt;"",安値!F196,"")</f>
        <v>24710</v>
      </c>
      <c r="AT34" t="str">
        <f>IF(OR(C34="",AQ34="",AR34="",AS34="",AR34-AS34&lt;=0),"-",IF(AND(AR34-MAX(G34,AQ34)&gt;=ABS(G34-AQ34)*2,MIN(G34,AQ34)-AS34&lt;=ABS(G34-AQ34)*0.5,ABS(G34-AQ34)&gt;0),"上ヒゲ陰線▼",IF(AND(G34&lt;AQ34,ABS(G34-AQ34)&gt;=(AR34-AS34)*0.7),"大陰線▼",IF(AND(MIN(G34,AQ34)-AS34&gt;=(AR34-AS34)*0.5,AR34-MAX(G34,AQ34)&lt;=(AR34-AS34)*0.2),"長い下ヒゲ(反発)","通常"))))</f>
        <v>通常</v>
      </c>
      <c r="AU34">
        <f>IF(AT34="上ヒゲ陰線▼",2,IF(AT34="大陰線▼",2,IF(AT34="長い下ヒゲ(反発)",-2,0)))</f>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55330</v>
      </c>
      <c r="F35" s="326">
        <f>IF(C35&lt;&gt;"",_xll.RssMarket(C35,"始値"),"")</f>
        <v>56550</v>
      </c>
      <c r="G35" s="325">
        <f>IF(C35&lt;&gt;"",終値!F198,"")</f>
        <v>58550</v>
      </c>
      <c r="H35" s="326">
        <f>IF(C35&lt;&gt;"",_xll.RssMarket(C35,"高値"),"")</f>
        <v>56800</v>
      </c>
      <c r="I35" s="326">
        <f>IF(C35&lt;&gt;"",_xll.RssMarket(C35,"安値"),"")</f>
        <v>54800</v>
      </c>
      <c r="J35" s="326">
        <f>IF(C35&lt;&gt;"",_xll.RssMarket(C35,"出来高"),"")</f>
        <v>3602900</v>
      </c>
      <c r="K35" s="326">
        <f>IF(C35&lt;&gt;"",_xll.RssMarket(C35,"年初来高値"),"")</f>
        <v>81260</v>
      </c>
      <c r="L35" s="327">
        <f>IF(AND(E35&lt;&gt;"",K35&lt;&gt;"",K35&lt;&gt;0),(E35-K35)/K35*100,"")</f>
        <v>-31.909918779227169</v>
      </c>
      <c r="M35" s="326">
        <f>IF(C35&lt;&gt;"",IFERROR(AVERAGE(出来高!E198:I198),""),"")</f>
        <v>5880800</v>
      </c>
      <c r="N35" s="326">
        <f>IF(C35&lt;&gt;"",IFERROR(AVERAGE(出来高!E198:AC198),""),"")</f>
        <v>4666372</v>
      </c>
      <c r="O35" s="328">
        <f>IF(AND(J35&lt;&gt;"",M35&lt;&gt;"",M35&lt;&gt;0),J35/M35,"")</f>
        <v>0.61265474085158478</v>
      </c>
      <c r="P35" s="325" t="str">
        <f>IF(O35="","",IF(O35&gt;=2,"急増↑↑",IF(O35&gt;=1.5,"増加↑",IF(O35&gt;=1,"普通→","減少↓"))))</f>
        <v>減少↓</v>
      </c>
      <c r="Q35" s="325" t="str">
        <f>IF(E35="","",IF(AND(E35&lt;G35,O35&gt;=1.5),"売り▼",IF(E35&gt;G35,"様子見▲","中立→")))</f>
        <v>中立→</v>
      </c>
      <c r="R35" s="326">
        <f>IF(E35&lt;&gt;"",ROUND(E35*0.92,0),"")</f>
        <v>50904</v>
      </c>
      <c r="S35" s="326">
        <f>IF(E35&lt;&gt;"",ROUND(E35*1.04,0),"")</f>
        <v>57543</v>
      </c>
      <c r="T35" s="325">
        <f>IF(C35="","",IFERROR(IF(W35&gt;=70,3,IF(W35&gt;=60,2,IF(W35&gt;=50,1,0)))+IF(X35&lt;0,2,0)+IF(AD35="下降トレンド▼",3,IF(AD35="もみ合い→",1,0))+IF(V35="年初来安値圏●",3,IF(V35="安値圏",2,0))+IF(Q35="売り▼",2,0)+IF(P35="急増↑↑",2,IF(P35="増加↑",1,0))+IF(Z35&lt;0,1,0)+IF(L35&lt;=-30,2,IF(L35&lt;=-15,1,0))+IF(AE35="25日戻り売り★",2,IF(AE35="5日戻り売り○",1,0))+N(AL35)+N(AP35)+N(AU35),0))</f>
        <v>13</v>
      </c>
      <c r="U35" s="325" t="str">
        <f>IF(T35="","",IF(AND(T35&gt;=3,O35&gt;=1.5),"有効",IF(T35&gt;=3,"要確認","除外")))</f>
        <v>要確認</v>
      </c>
      <c r="V35" s="325" t="str">
        <f>IF(AND(I35&lt;&gt;"",K35&lt;&gt;""),IF(I35&lt;=K35*0.6,"年初来安値圏●",IF(I35&lt;=K35*0.75,"安値圏","通常")),"")</f>
        <v>安値圏</v>
      </c>
      <c r="W35" s="329">
        <f t="array" ref="W35">IFERROR(100-100/(1+SUMPRODUCT((終値!F198:R198&gt;終値!G198:S198)*(終値!F198:R198-終値!G198:S198))/SUMPRODUCT((終値!F198:R198&lt;終値!G198:S198)*(終値!G198:S198-終値!F198:R198))),50)</f>
        <v>28.814474750202535</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-2232.7768976950174</v>
      </c>
      <c r="Y35" s="325" t="str">
        <f>IF(AF35="","",AF35&amp;" | "&amp;AD35&amp;IF(AE35&lt;&gt;"なし"," "&amp;AE35,"")&amp;IF(X35&lt;0," MACD-"," MACD+")&amp;" RSI:"&amp;TEXT(W35,"0.0")&amp;IF(W35&gt;=70," [過熱]",IF(W35&lt;=30," [売られ過ぎ]",""))&amp;" 前日比:"&amp;TEXT(Z35,"+0.0;-0.0;0.0")&amp;"%"&amp;IF(V35="年初来安値圏●"," [年初来安値圏]",IF(V35="安値圏"," [安値圏]",""))&amp;IF(OR(AO35="通常",AO35="-"),""," ["&amp;AO35&amp;"]")&amp;IF(OR(AT35="通常",AT35="-"),"","前日["&amp;AT35&amp;"]")&amp;" ["&amp;T35&amp;"点]")</f>
        <v>相場上昇・見送り | 下降トレンド▼ MACD- RSI:28.8 [売られ過ぎ] 前日比:-5.5% [安値圏] [13点]</v>
      </c>
      <c r="Z35" s="331">
        <f>IF(AND(E35&lt;&gt;"",G35&lt;&gt;"",G35&lt;&gt;0),(E35-G35)/G35*100,"")</f>
        <v>-5.499573014517507</v>
      </c>
      <c r="AA35" s="325" t="str">
        <f>IF(OR(C35="",E35="",E35=0),"",IF(E35&gt;G35,"上昇▲",IF(E35&lt;G35,"下落▼","横ばい→")))</f>
        <v>下落▼</v>
      </c>
      <c r="AB35" s="326">
        <f>IF(OR(C35="",C35="TOPX",終値!E198=""),"",IFERROR(((終値!E198*0.333)+(終値!F198*0.222)+(終値!G198*0.148)+(終値!H198*0.099)+(終値!I198*0.066))/(0.333+0.222+0.148+0.099+0.066),""))</f>
        <v>56361.290322580637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60916.48390941594</v>
      </c>
      <c r="AD35" s="325" t="str">
        <f>IF(OR(C35="",AB35="",AC35="",AB35=0,AC35=0),"",IF(AND(E35&gt;AB35,AB35&gt;AC35),"パーフェクト▲",IF(E35&gt;AC35,"上昇トレンド▲",IF(AND(E35&lt;AB35,AB35&lt;AC35),"下降トレンド▼","もみ合い→"))))</f>
        <v>下降トレンド▼</v>
      </c>
      <c r="AE35" s="325" t="str">
        <f>IF(OR(C35="",AB35="",AC35=""),"",IF(AND(ABS(E35-AC35)/AC35&lt;=0.02,E35&lt;AC35),"25日戻り売り★",IF(AND(ABS(E35-AB35)/AB35&lt;=0.01,E35&lt;AB35),"5日戻り売り○","なし")))</f>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相場上昇・見送り</v>
      </c>
      <c r="AG35">
        <f>IF(AND(T35&gt;=7,C35&lt;&gt;""),T35,0)</f>
        <v>13</v>
      </c>
      <c r="AH35">
        <f>IF(AG35&gt;0,AG35*10000-ROW(A35),0)</f>
        <v>129965</v>
      </c>
      <c r="AI35" s="373">
        <f t="array" ref="AI35">IF(C35="","",IFERROR((INDEX(終値!$E:$E,MATCH(TEXT(C35,"0"),終値!$A:$A,0))-INDEX(終値!$E:$CZ,MATCH(TEXT(C35,"0"),終値!$A:$A,0),$AN$2))/INDEX(終値!$E:$CZ,MATCH(TEXT(C35,"0"),終値!$A:$A,0),$AN$2)*100,""))</f>
        <v>-29.784263959390859</v>
      </c>
      <c r="AJ35" s="373">
        <f t="array" ref="AJ35">IFERROR((終値!$E$5-INDEX(終値!$E$5:$IT$5,1,$AN$2))/INDEX(終値!$E$5:$IT$5,1,$AN$2)*100,"")</f>
        <v>1.0179378228534113</v>
      </c>
      <c r="AK35" s="374">
        <f>IF(OR(AI35="",AJ35=""),"",AI35-AJ35)</f>
        <v>-30.802201782244271</v>
      </c>
      <c r="AL35" s="372">
        <f>IF(AK35="","",IF(AK35&lt;-5,3,IF(AK35&lt;0,1,IF(AK35&lt;3,-1,-2))))</f>
        <v>3</v>
      </c>
      <c r="AO35" s="376" t="str">
        <f>IF(OR($C35="",$E35="",$F35="",$H35="",$I35="",$H35-$I35&lt;=0),"-",IF(AND($H35-MAX($F35,$E35)&gt;=ABS($E35-$F35)*2,MIN($F35,$E35)-$I35&lt;=ABS($E35-$F35)*0.5,ABS($E35-$F35)&gt;0),"上ヒゲ陰線▼",IF(AND($E35&lt;$F35,ABS($E35-$F35)&gt;=($H35-$I35)*0.7),"大陰線▼",IF(AND(MIN($F35,$E35)-$I35&gt;=($H35-$I35)*0.5,$H35-MAX($F35,$E35)&lt;=($H35-$I35)*0.2),"長い下ヒゲ(反発警戒)","通常"))))</f>
        <v>通常</v>
      </c>
      <c r="AP35" s="377">
        <f>IF($AO35="上ヒゲ陰線▼",2,IF($AO35="大陰線▼",2,IF($AO35="長い下ヒゲ(反発警戒)",-2,0)))</f>
        <v>0</v>
      </c>
      <c r="AQ35">
        <f>IF(C35&lt;&gt;"",始値!F198,"")</f>
        <v>59000</v>
      </c>
      <c r="AR35">
        <f>IF(C35&lt;&gt;"",高値!F198,"")</f>
        <v>59700</v>
      </c>
      <c r="AS35">
        <f>IF(C35&lt;&gt;"",安値!F198,"")</f>
        <v>58300</v>
      </c>
      <c r="AT35" t="str">
        <f>IF(OR(C35="",AQ35="",AR35="",AS35="",AR35-AS35&lt;=0),"-",IF(AND(AR35-MAX(G35,AQ35)&gt;=ABS(G35-AQ35)*2,MIN(G35,AQ35)-AS35&lt;=ABS(G35-AQ35)*0.5,ABS(G35-AQ35)&gt;0),"上ヒゲ陰線▼",IF(AND(G35&lt;AQ35,ABS(G35-AQ35)&gt;=(AR35-AS35)*0.7),"大陰線▼",IF(AND(MIN(G35,AQ35)-AS35&gt;=(AR35-AS35)*0.5,AR35-MAX(G35,AQ35)&lt;=(AR35-AS35)*0.2),"長い下ヒゲ(反発)","通常"))))</f>
        <v>通常</v>
      </c>
      <c r="AU35">
        <f>IF(AT35="上ヒゲ陰線▼",2,IF(AT35="大陰線▼",2,IF(AT35="長い下ヒゲ(反発)",-2,0)))</f>
        <v>0</v>
      </c>
    </row>
    <row r="36" spans="1:47" ht="14.25" customHeight="1">
      <c r="A36" s="332" t="str">
        <f>IF(銘柄管理!B5&lt;&gt;"",HYPERLINK("https://kabutan.jp/stock/?code="&amp;銘柄管理!B5,"株探"),"")</f>
        <v>株探</v>
      </c>
      <c r="B36" s="212"/>
      <c r="C36" s="469" t="str">
        <f>IF(銘柄管理!B5="","",銘柄管理!B5)</f>
        <v>TOPX</v>
      </c>
      <c r="D36" s="212">
        <f>IF(銘柄管理!C5="","",銘柄管理!C5)</f>
        <v>4055.85</v>
      </c>
      <c r="E36" s="333" cm="1">
        <f t="array" ref="E36">IF(C36="","",IF(C36="TOPX",_xll.RssIndexMarket("TOPX","現在値"),_xll.RssMarket(C36,"現在値")))</f>
        <v>4055.85</v>
      </c>
      <c r="F36" s="333" cm="1">
        <f t="array" ref="F36">IF(C36="","",IF(C36="TOPX",_xll.RssIndexMarket("TOPX","始値"),_xll.RssMarket(C36,"始値")))</f>
        <v>4041.15</v>
      </c>
      <c r="G36" s="212">
        <f>IF(C36&lt;&gt;"",終値!F5,"")</f>
        <v>4046.17</v>
      </c>
      <c r="H36" s="333" cm="1">
        <f t="array" ref="H36">IF(C36="","",IF(C36="TOPX",_xll.RssIndexMarket("TOPX","高値"),_xll.RssMarket(C36,"高値")))</f>
        <v>4065.66</v>
      </c>
      <c r="I36" s="333" cm="1">
        <f t="array" ref="I36">IF(C36="","",IF(C36="TOPX",_xll.RssIndexMarket("TOPX","安値"),_xll.RssMarket(C36,"安値")))</f>
        <v>4026.39</v>
      </c>
      <c r="J36" s="333" cm="1">
        <f t="array" ref="J36">IF(C36="","",IF(C36="TOPX",_xll.RssIndexMarket("TOPX","出来高"),_xll.RssMarket(C36,"出来高")))</f>
        <v>299730</v>
      </c>
      <c r="K36" s="333" cm="1">
        <f t="array" ref="K36">IF(C36="","",IF(C36="TOPX",_xll.RssIndexMarket("TOPX","年初来高値"),_xll.RssMarket(C36,"年初来高値")))</f>
        <v>4137.62</v>
      </c>
      <c r="L36" s="334">
        <f>IF(AND(E36&lt;&gt;"",K36&lt;&gt;"",K36&lt;&gt;0),(E36-K36)/K36*100,"")</f>
        <v>-1.9762568819756281</v>
      </c>
      <c r="M36" s="333">
        <f>IF(C36&lt;&gt;"",IFERROR(AVERAGE(出来高!E5:I5),""),"")</f>
        <v>312958.2</v>
      </c>
      <c r="N36" s="333">
        <f>IF(C36&lt;&gt;"",IFERROR(AVERAGE(出来高!E5:AC5),""),"")</f>
        <v>276185.03999999998</v>
      </c>
      <c r="O36" s="335">
        <f>IF(AND(J36&lt;&gt;"",M36&lt;&gt;"",M36&lt;&gt;0),J36/M36,"")</f>
        <v>0.95773173542025736</v>
      </c>
      <c r="P36" s="212" t="str">
        <f>IF(O36="","",IF(O36&gt;=2,"急増↑↑",IF(O36&gt;=1.5,"増加↑",IF(O36&gt;=1,"普通→","減少↓"))))</f>
        <v>減少↓</v>
      </c>
      <c r="Q36" s="212" t="str">
        <f>IF(E36="","",IF(AND(E36&lt;G36,O36&gt;=1.5),"売り▼",IF(E36&gt;G36,"様子見▲","中立→")))</f>
        <v>様子見▲</v>
      </c>
      <c r="R36" s="333">
        <f>IF(E36&lt;&gt;"",ROUND(E36*0.92,0),"")</f>
        <v>3731</v>
      </c>
      <c r="S36" s="333">
        <f>IF(E36&lt;&gt;"",ROUND(E36*1.04,0),"")</f>
        <v>4218</v>
      </c>
      <c r="T36" s="325">
        <f>IF(C36="","",IFERROR(IF(W36&gt;=70,3,IF(W36&gt;=60,2,IF(W36&gt;=50,1,0)))+IF(X36&lt;0,2,0)+IF(AD36="下降トレンド▼",3,IF(AD36="もみ合い→",1,0))+IF(V36="年初来安値圏●",3,IF(V36="安値圏",2,0))+IF(Q36="売り▼",2,0)+IF(P36="急増↑↑",2,IF(P36="増加↑",1,0))+IF(Z36&lt;0,1,0)+IF(L36&lt;=-30,2,IF(L36&lt;=-15,1,0))+IF(AE36="25日戻り売り★",2,IF(AE36="5日戻り売り○",1,0))+N(AL36)+N(AP36)+N(AU36),0))</f>
        <v>3</v>
      </c>
      <c r="U36" s="212" t="str">
        <f>IF(T36="","",IF(AND(T36&gt;=3,O36&gt;=1.5),"有効",IF(T36&gt;=3,"要確認","除外")))</f>
        <v>要確認</v>
      </c>
      <c r="V36" s="212" t="str">
        <f>IF(AND(I36&lt;&gt;"",K36&lt;&gt;""),IF(I36&lt;=K36*0.6,"年初来安値圏●",IF(I36&lt;=K36*0.75,"安値圏","通常")),"")</f>
        <v>通常</v>
      </c>
      <c r="W36" s="336">
        <f t="array" ref="W36">IFERROR(100-100/(1+SUMPRODUCT((終値!F5:R5&gt;終値!G5:S5)*(終値!F5:R5-終値!G5:S5))/SUMPRODUCT((終値!F5:R5&lt;終値!G5:S5)*(終値!G5:S5-終値!F5:R5))),50)</f>
        <v>61.612336735813841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-2.0023106683265723</v>
      </c>
      <c r="Y36" s="212" t="str">
        <f>IF(AF36="","",AF36&amp;" | "&amp;AD36&amp;IF(AE36&lt;&gt;"なし"," "&amp;AE36,"")&amp;IF(X36&lt;0," MACD-"," MACD+")&amp;" RSI:"&amp;TEXT(W36,"0.0")&amp;IF(W36&gt;=70," [過熱]",IF(W36&lt;=30," [売られ過ぎ]",""))&amp;" 前日比:"&amp;TEXT(Z36,"+0.0;-0.0;0.0")&amp;"%"&amp;IF(V36="年初来安値圏●"," [年初来安値圏]",IF(V36="安値圏"," [安値圏]",""))&amp;IF(OR(AO36="通常",AO36="-"),""," ["&amp;AO36&amp;"]")&amp;IF(OR(AT36="通常",AT36="-"),"","前日["&amp;AT36&amp;"]")&amp;" ["&amp;T36&amp;"点]")</f>
        <v>相場上昇・見送り |   MACD- RSI:61.6 前日比:+0.2% [3点]</v>
      </c>
      <c r="Z36" s="338">
        <f>IF(AND(E36&lt;&gt;"",G36&lt;&gt;"",G36&lt;&gt;0),(E36-G36)/G36*100,"")</f>
        <v>0.23923858859118216</v>
      </c>
      <c r="AA36" s="212" t="str">
        <f>IF(OR(C36="",E36="",E36=0),"",IF(E36&gt;G36,"上昇▲",IF(E36&lt;G36,"下落▼","横ばい→")))</f>
        <v>上昇▲</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IF(OR(C36="",AB36="",AC36="",AB36=0,AC36=0),"",IF(AND(E36&gt;AB36,AB36&gt;AC36),"パーフェクト▲",IF(E36&gt;AC36,"上昇トレンド▲",IF(AND(E36&lt;AB36,AB36&lt;AC36),"下降トレンド▼","もみ合い→"))))</f>
        <v/>
      </c>
      <c r="AE36" s="212" t="str">
        <f>IF(OR(C36="",AB36="",AC36=""),"",IF(AND(ABS(E36-AC36)/AC36&lt;=0.02,E36&lt;AC36),"25日戻り売り★",IF(AND(ABS(E36-AB36)/AB36&lt;=0.01,E36&lt;AB36),"5日戻り売り○","なし")))</f>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相場上昇・見送り</v>
      </c>
      <c r="AG36">
        <f>IF(AND(T36&gt;=7,C36&lt;&gt;""),T36,0)</f>
        <v>0</v>
      </c>
      <c r="AH36">
        <f>IF(AG36&gt;0,AG36*10000-ROW(A36),0)</f>
        <v>0</v>
      </c>
      <c r="AI36" s="373">
        <f t="array" ref="AI36">IF(C36="","",IFERROR((INDEX(終値!$E:$E,MATCH(TEXT(C36,"0"),終値!$A:$A,0))-INDEX(終値!$E:$CZ,MATCH(TEXT(C36,"0"),終値!$A:$A,0),$AN$2))/INDEX(終値!$E:$CZ,MATCH(TEXT(C36,"0"),終値!$A:$A,0),$AN$2)*100,""))</f>
        <v>1.0179378228534113</v>
      </c>
      <c r="AJ36" s="373">
        <f t="array" ref="AJ36">IFERROR((終値!$E$5-INDEX(終値!$E$5:$IT$5,1,$AN$2))/INDEX(終値!$E$5:$IT$5,1,$AN$2)*100,"")</f>
        <v>1.0179378228534113</v>
      </c>
      <c r="AK36" s="374">
        <f>IF(OR(AI36="",AJ36=""),"",AI36-AJ36)</f>
        <v>0</v>
      </c>
      <c r="AL36" s="372">
        <f>IF(AK36="","",IF(AK36&lt;-5,3,IF(AK36&lt;0,1,IF(AK36&lt;3,-1,-2))))</f>
        <v>-1</v>
      </c>
      <c r="AO36" s="376" t="str">
        <f>IF(OR($C36="",$E36="",$F36="",$H36="",$I36="",$H36-$I36&lt;=0),"-",IF(AND($H36-MAX($F36,$E36)&gt;=ABS($E36-$F36)*2,MIN($F36,$E36)-$I36&lt;=ABS($E36-$F36)*0.5,ABS($E36-$F36)&gt;0),"上ヒゲ陰線▼",IF(AND($E36&lt;$F36,ABS($E36-$F36)&gt;=($H36-$I36)*0.7),"大陰線▼",IF(AND(MIN($F36,$E36)-$I36&gt;=($H36-$I36)*0.5,$H36-MAX($F36,$E36)&lt;=($H36-$I36)*0.2),"長い下ヒゲ(反発警戒)","通常"))))</f>
        <v>通常</v>
      </c>
      <c r="AP36" s="377">
        <f>IF($AO36="上ヒゲ陰線▼",2,IF($AO36="大陰線▼",2,IF($AO36="長い下ヒゲ(反発警戒)",-2,0)))</f>
        <v>0</v>
      </c>
      <c r="AQ36">
        <f>IF(C36&lt;&gt;"",始値!F5,"")</f>
        <v>3985.63</v>
      </c>
      <c r="AR36">
        <f>IF(C36&lt;&gt;"",高値!F5,"")</f>
        <v>4047.77</v>
      </c>
      <c r="AS36">
        <f>IF(C36&lt;&gt;"",安値!F5,"")</f>
        <v>3980.38</v>
      </c>
      <c r="AT36" t="str">
        <f>IF(OR(C36="",AQ36="",AR36="",AS36="",AR36-AS36&lt;=0),"-",IF(AND(AR36-MAX(G36,AQ36)&gt;=ABS(G36-AQ36)*2,MIN(G36,AQ36)-AS36&lt;=ABS(G36-AQ36)*0.5,ABS(G36-AQ36)&gt;0),"上ヒゲ陰線▼",IF(AND(G36&lt;AQ36,ABS(G36-AQ36)&gt;=(AR36-AS36)*0.7),"大陰線▼",IF(AND(MIN(G36,AQ36)-AS36&gt;=(AR36-AS36)*0.5,AR36-MAX(G36,AQ36)&lt;=(AR36-AS36)*0.2),"長い下ヒゲ(反発)","通常"))))</f>
        <v>通常</v>
      </c>
      <c r="AU36">
        <f>IF(AT36="上ヒゲ陰線▼",2,IF(AT36="大陰線▼",2,IF(AT36="長い下ヒゲ(反発)",-2,0)))</f>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5772</v>
      </c>
      <c r="F37" s="326">
        <f>IF(C37&lt;&gt;"",_xll.RssMarket(C37,"始値"),"")</f>
        <v>5856</v>
      </c>
      <c r="G37" s="325">
        <f>IF(C37&lt;&gt;"",終値!F17,"")</f>
        <v>5928</v>
      </c>
      <c r="H37" s="326">
        <f>IF(C37&lt;&gt;"",_xll.RssMarket(C37,"高値"),"")</f>
        <v>5947</v>
      </c>
      <c r="I37" s="326">
        <f>IF(C37&lt;&gt;"",_xll.RssMarket(C37,"安値"),"")</f>
        <v>5675</v>
      </c>
      <c r="J37" s="326">
        <f>IF(C37&lt;&gt;"",_xll.RssMarket(C37,"出来高"),"")</f>
        <v>1655000</v>
      </c>
      <c r="K37" s="326">
        <f>IF(C37&lt;&gt;"",_xll.RssMarket(C37,"年初来高値"),"")</f>
        <v>7894</v>
      </c>
      <c r="L37" s="327">
        <f>IF(AND(E37&lt;&gt;"",K37&lt;&gt;"",K37&lt;&gt;0),(E37-K37)/K37*100,"")</f>
        <v>-26.881175576387129</v>
      </c>
      <c r="M37" s="326">
        <f>IF(C37&lt;&gt;"",IFERROR(AVERAGE(出来高!E17:I17),""),"")</f>
        <v>2227420</v>
      </c>
      <c r="N37" s="326">
        <f>IF(C37&lt;&gt;"",IFERROR(AVERAGE(出来高!E17:AC17),""),"")</f>
        <v>1910688</v>
      </c>
      <c r="O37" s="328">
        <f>IF(AND(J37&lt;&gt;"",M37&lt;&gt;"",M37&lt;&gt;0),J37/M37,"")</f>
        <v>0.74301209471047225</v>
      </c>
      <c r="P37" s="325" t="str">
        <f>IF(O37="","",IF(O37&gt;=2,"急増↑↑",IF(O37&gt;=1.5,"増加↑",IF(O37&gt;=1,"普通→","減少↓"))))</f>
        <v>減少↓</v>
      </c>
      <c r="Q37" s="325" t="str">
        <f>IF(E37="","",IF(AND(E37&lt;G37,O37&gt;=1.5),"売り▼",IF(E37&gt;G37,"様子見▲","中立→")))</f>
        <v>中立→</v>
      </c>
      <c r="R37" s="326">
        <f>IF(E37&lt;&gt;"",ROUND(E37*0.92,0),"")</f>
        <v>5310</v>
      </c>
      <c r="S37" s="326">
        <f>IF(E37&lt;&gt;"",ROUND(E37*1.04,0),"")</f>
        <v>6003</v>
      </c>
      <c r="T37" s="325">
        <f>IF(C37="","",IFERROR(IF(W37&gt;=70,3,IF(W37&gt;=60,2,IF(W37&gt;=50,1,0)))+IF(X37&lt;0,2,0)+IF(AD37="下降トレンド▼",3,IF(AD37="もみ合い→",1,0))+IF(V37="年初来安値圏●",3,IF(V37="安値圏",2,0))+IF(Q37="売り▼",2,0)+IF(P37="急増↑↑",2,IF(P37="増加↑",1,0))+IF(Z37&lt;0,1,0)+IF(L37&lt;=-30,2,IF(L37&lt;=-15,1,0))+IF(AE37="25日戻り売り★",2,IF(AE37="5日戻り売り○",1,0))+N(AL37)+N(AP37)+N(AU37),0))</f>
        <v>10</v>
      </c>
      <c r="U37" s="325" t="str">
        <f>IF(T37="","",IF(AND(T37&gt;=3,O37&gt;=1.5),"有効",IF(T37&gt;=3,"要確認","除外")))</f>
        <v>要確認</v>
      </c>
      <c r="V37" s="325" t="str">
        <f>IF(AND(I37&lt;&gt;"",K37&lt;&gt;""),IF(I37&lt;=K37*0.6,"年初来安値圏●",IF(I37&lt;=K37*0.75,"安値圏","通常")),"")</f>
        <v>安値圏</v>
      </c>
      <c r="W37" s="329">
        <f t="array" ref="W37">IFERROR(100-100/(1+SUMPRODUCT((終値!F17:R17&gt;終値!G17:S17)*(終値!F17:R17-終値!G17:S17))/SUMPRODUCT((終値!F17:R17&lt;終値!G17:S17)*(終値!G17:S17-終値!F17:R17))),50)</f>
        <v>35.567905522750948</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-164.28028689813164</v>
      </c>
      <c r="Y37" s="325" t="str">
        <f>IF(AF37="","",AF37&amp;" | "&amp;AD37&amp;IF(AE37&lt;&gt;"なし"," "&amp;AE37,"")&amp;IF(X37&lt;0," MACD-"," MACD+")&amp;" RSI:"&amp;TEXT(W37,"0.0")&amp;IF(W37&gt;=70," [過熱]",IF(W37&lt;=30," [売られ過ぎ]",""))&amp;" 前日比:"&amp;TEXT(Z37,"+0.0;-0.0;0.0")&amp;"%"&amp;IF(V37="年初来安値圏●"," [年初来安値圏]",IF(V37="安値圏"," [安値圏]",""))&amp;IF(OR(AO37="通常",AO37="-"),""," ["&amp;AO37&amp;"]")&amp;IF(OR(AT37="通常",AT37="-"),"","前日["&amp;AT37&amp;"]")&amp;" ["&amp;T37&amp;"点]")</f>
        <v>相場上昇・見送り | もみ合い→ MACD- RSI:35.6 前日比:-2.6% [安値圏] [10点]</v>
      </c>
      <c r="Z37" s="331">
        <f>IF(AND(E37&lt;&gt;"",G37&lt;&gt;"",G37&lt;&gt;0),(E37-G37)/G37*100,"")</f>
        <v>-2.6315789473684208</v>
      </c>
      <c r="AA37" s="325" t="str">
        <f>IF(OR(C37="",E37="",E37=0),"",IF(E37&gt;G37,"上昇▲",IF(E37&lt;G37,"下落▼","横ばい→")))</f>
        <v>下落▼</v>
      </c>
      <c r="AB37" s="326">
        <f>IF(OR(C37="",C37="TOPX",終値!E17=""),"",IFERROR(((終値!E17*0.333)+(終値!F17*0.222)+(終値!G17*0.148)+(終値!H17*0.099)+(終値!I17*0.066))/(0.333+0.222+0.148+0.099+0.066),""))</f>
        <v>5742.1751152073721</v>
      </c>
      <c r="AC37" s="326">
        <f>IF(OR(C37="",C37="TOPX",終値!E17=""),"",IFERROR(SUMPRODUCT((終値!E17:AC17),{0.077,0.071,0.065,0.06,0.055,0.051,0.047,0.043,0.039,0.036,0.033,0.031,0.028,0.026,0.024,0.022,0.02,0.018,0.017,0.016,0.014,0.013,0.012,0.011,0.01})/SUM({0.077,0.071,0.065,0.06,0.055,0.051,0.047,0.043,0.039,0.036,0.033,0.031,0.028,0.026,0.024,0.022,0.02,0.018,0.017,0.016,0.014,0.013,0.012,0.011,0.01}),""))</f>
        <v>6007.0023837902245</v>
      </c>
      <c r="AD37" s="325" t="str">
        <f>IF(OR(C37="",AB37="",AC37="",AB37=0,AC37=0),"",IF(AND(E37&gt;AB37,AB37&gt;AC37),"パーフェクト▲",IF(E37&gt;AC37,"上昇トレンド▲",IF(AND(E37&lt;AB37,AB37&lt;AC37),"下降トレンド▼","もみ合い→"))))</f>
        <v>もみ合い→</v>
      </c>
      <c r="AE37" s="325" t="str">
        <f>IF(OR(C37="",AB37="",AC37=""),"",IF(AND(ABS(E37-AC37)/AC37&lt;=0.02,E37&lt;AC37),"25日戻り売り★",IF(AND(ABS(E37-AB37)/AB37&lt;=0.01,E37&lt;AB37),"5日戻り売り○","なし")))</f>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相場上昇・見送り</v>
      </c>
      <c r="AG37">
        <f>IF(AND(T37&gt;=7,C37&lt;&gt;""),T37,0)</f>
        <v>10</v>
      </c>
      <c r="AH37">
        <f>IF(AG37&gt;0,AG37*10000-ROW(A37),0)</f>
        <v>99963</v>
      </c>
      <c r="AI37" s="373">
        <f t="array" ref="AI37">IF(C37="","",IFERROR((INDEX(終値!$E:$E,MATCH(TEXT(C37,"0"),終値!$A:$A,0))-INDEX(終値!$E:$CZ,MATCH(TEXT(C37,"0"),終値!$A:$A,0),$AN$2))/INDEX(終値!$E:$CZ,MATCH(TEXT(C37,"0"),終値!$A:$A,0),$AN$2)*100,""))</f>
        <v>-24.64751958224543</v>
      </c>
      <c r="AJ37" s="373">
        <f t="array" ref="AJ37">IFERROR((終値!$E$5-INDEX(終値!$E$5:$IT$5,1,$AN$2))/INDEX(終値!$E$5:$IT$5,1,$AN$2)*100,"")</f>
        <v>1.0179378228534113</v>
      </c>
      <c r="AK37" s="374">
        <f>IF(OR(AI37="",AJ37=""),"",AI37-AJ37)</f>
        <v>-25.665457405098842</v>
      </c>
      <c r="AL37" s="372">
        <f>IF(AK37="","",IF(AK37&lt;-5,3,IF(AK37&lt;0,1,IF(AK37&lt;3,-1,-2))))</f>
        <v>3</v>
      </c>
      <c r="AO37" s="376" t="str">
        <f>IF(OR($C37="",$E37="",$F37="",$H37="",$I37="",$H37-$I37&lt;=0),"-",IF(AND($H37-MAX($F37,$E37)&gt;=ABS($E37-$F37)*2,MIN($F37,$E37)-$I37&lt;=ABS($E37-$F37)*0.5,ABS($E37-$F37)&gt;0),"上ヒゲ陰線▼",IF(AND($E37&lt;$F37,ABS($E37-$F37)&gt;=($H37-$I37)*0.7),"大陰線▼",IF(AND(MIN($F37,$E37)-$I37&gt;=($H37-$I37)*0.5,$H37-MAX($F37,$E37)&lt;=($H37-$I37)*0.2),"長い下ヒゲ(反発警戒)","通常"))))</f>
        <v>通常</v>
      </c>
      <c r="AP37" s="377">
        <f>IF($AO37="上ヒゲ陰線▼",2,IF($AO37="大陰線▼",2,IF($AO37="長い下ヒゲ(反発警戒)",-2,0)))</f>
        <v>0</v>
      </c>
      <c r="AQ37">
        <f>IF(C37&lt;&gt;"",始値!F17,"")</f>
        <v>5796</v>
      </c>
      <c r="AR37">
        <f>IF(C37&lt;&gt;"",高値!F17,"")</f>
        <v>5963</v>
      </c>
      <c r="AS37">
        <f>IF(C37&lt;&gt;"",安値!F17,"")</f>
        <v>5702</v>
      </c>
      <c r="AT37" t="str">
        <f>IF(OR(C37="",AQ37="",AR37="",AS37="",AR37-AS37&lt;=0),"-",IF(AND(AR37-MAX(G37,AQ37)&gt;=ABS(G37-AQ37)*2,MIN(G37,AQ37)-AS37&lt;=ABS(G37-AQ37)*0.5,ABS(G37-AQ37)&gt;0),"上ヒゲ陰線▼",IF(AND(G37&lt;AQ37,ABS(G37-AQ37)&gt;=(AR37-AS37)*0.7),"大陰線▼",IF(AND(MIN(G37,AQ37)-AS37&gt;=(AR37-AS37)*0.5,AR37-MAX(G37,AQ37)&lt;=(AR37-AS37)*0.2),"長い下ヒゲ(反発)","通常"))))</f>
        <v>通常</v>
      </c>
      <c r="AU37">
        <f>IF(AT37="上ヒゲ陰線▼",2,IF(AT37="大陰線▼",2,IF(AT37="長い下ヒゲ(反発)",-2,0)))</f>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480.6</v>
      </c>
      <c r="F38" s="333">
        <f>IF(C38&lt;&gt;"",_xll.RssMarket(C38,"始値"),"")</f>
        <v>471.6</v>
      </c>
      <c r="G38" s="212">
        <f>IF(C38&lt;&gt;"",終値!F47,"")</f>
        <v>474.5</v>
      </c>
      <c r="H38" s="333">
        <f>IF(C38&lt;&gt;"",_xll.RssMarket(C38,"高値"),"")</f>
        <v>481.2</v>
      </c>
      <c r="I38" s="333">
        <f>IF(C38&lt;&gt;"",_xll.RssMarket(C38,"安値"),"")</f>
        <v>471.5</v>
      </c>
      <c r="J38" s="333">
        <f>IF(C38&lt;&gt;"",_xll.RssMarket(C38,"出来高"),"")</f>
        <v>1116200</v>
      </c>
      <c r="K38" s="333">
        <f>IF(C38&lt;&gt;"",_xll.RssMarket(C38,"年初来高値"),"")</f>
        <v>539.9</v>
      </c>
      <c r="L38" s="334">
        <f>IF(AND(E38&lt;&gt;"",K38&lt;&gt;"",K38&lt;&gt;0),(E38-K38)/K38*100,"")</f>
        <v>-10.983515465826997</v>
      </c>
      <c r="M38" s="333">
        <f>IF(C38&lt;&gt;"",IFERROR(AVERAGE(出来高!E47:I47),""),"")</f>
        <v>1505340</v>
      </c>
      <c r="N38" s="333">
        <f>IF(C38&lt;&gt;"",IFERROR(AVERAGE(出来高!E47:AC47),""),"")</f>
        <v>1400124</v>
      </c>
      <c r="O38" s="335">
        <f>IF(AND(J38&lt;&gt;"",M38&lt;&gt;"",M38&lt;&gt;0),J38/M38,"")</f>
        <v>0.74149361606015918</v>
      </c>
      <c r="P38" s="212" t="str">
        <f>IF(O38="","",IF(O38&gt;=2,"急増↑↑",IF(O38&gt;=1.5,"増加↑",IF(O38&gt;=1,"普通→","減少↓"))))</f>
        <v>減少↓</v>
      </c>
      <c r="Q38" s="212" t="str">
        <f>IF(E38="","",IF(AND(E38&lt;G38,O38&gt;=1.5),"売り▼",IF(E38&gt;G38,"様子見▲","中立→")))</f>
        <v>様子見▲</v>
      </c>
      <c r="R38" s="333">
        <f>IF(E38&lt;&gt;"",ROUND(E38*0.92,0),"")</f>
        <v>442</v>
      </c>
      <c r="S38" s="333">
        <f>IF(E38&lt;&gt;"",ROUND(E38*1.04,0),"")</f>
        <v>500</v>
      </c>
      <c r="T38" s="325">
        <f>IF(C38="","",IFERROR(IF(W38&gt;=70,3,IF(W38&gt;=60,2,IF(W38&gt;=50,1,0)))+IF(X38&lt;0,2,0)+IF(AD38="下降トレンド▼",3,IF(AD38="もみ合い→",1,0))+IF(V38="年初来安値圏●",3,IF(V38="安値圏",2,0))+IF(Q38="売り▼",2,0)+IF(P38="急増↑↑",2,IF(P38="増加↑",1,0))+IF(Z38&lt;0,1,0)+IF(L38&lt;=-30,2,IF(L38&lt;=-15,1,0))+IF(AE38="25日戻り売り★",2,IF(AE38="5日戻り売り○",1,0))+N(AL38)+N(AP38)+N(AU38),0))</f>
        <v>3</v>
      </c>
      <c r="U38" s="212" t="str">
        <f>IF(T38="","",IF(AND(T38&gt;=3,O38&gt;=1.5),"有効",IF(T38&gt;=3,"要確認","除外")))</f>
        <v>要確認</v>
      </c>
      <c r="V38" s="212" t="str">
        <f>IF(AND(I38&lt;&gt;"",K38&lt;&gt;""),IF(I38&lt;=K38*0.6,"年初来安値圏●",IF(I38&lt;=K38*0.75,"安値圏","通常")),"")</f>
        <v>通常</v>
      </c>
      <c r="W38" s="336">
        <f t="array" ref="W38">IFERROR(100-100/(1+SUMPRODUCT((終値!F47:R47&gt;終値!G47:S47)*(終値!F47:R47-終値!G47:S47))/SUMPRODUCT((終値!F47:R47&lt;終値!G47:S47)*(終値!G47:S47-終値!F47:R47))),50)</f>
        <v>39.520958083832326</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-0.40851141741546826</v>
      </c>
      <c r="Y38" s="212" t="str">
        <f>IF(AF38="","",AF38&amp;" | "&amp;AD38&amp;IF(AE38&lt;&gt;"なし"," "&amp;AE38,"")&amp;IF(X38&lt;0," MACD-"," MACD+")&amp;" RSI:"&amp;TEXT(W38,"0.0")&amp;IF(W38&gt;=70," [過熱]",IF(W38&lt;=30," [売られ過ぎ]",""))&amp;" 前日比:"&amp;TEXT(Z38,"+0.0;-0.0;0.0")&amp;"%"&amp;IF(V38="年初来安値圏●"," [年初来安値圏]",IF(V38="安値圏"," [安値圏]",""))&amp;IF(OR(AO38="通常",AO38="-"),""," ["&amp;AO38&amp;"]")&amp;IF(OR(AT38="通常",AT38="-"),"","前日["&amp;AT38&amp;"]")&amp;" ["&amp;T38&amp;"点]")</f>
        <v>○逆張り売り | もみ合い→ 25日戻り売り★ MACD- RSI:39.5 前日比:+1.3% [3点]</v>
      </c>
      <c r="Z38" s="338">
        <f>IF(AND(E38&lt;&gt;"",G38&lt;&gt;"",G38&lt;&gt;0),(E38-G38)/G38*100,"")</f>
        <v>1.2855637513171809</v>
      </c>
      <c r="AA38" s="212" t="str">
        <f>IF(OR(C38="",E38="",E38=0),"",IF(E38&gt;G38,"上昇▲",IF(E38&lt;G38,"下落▼","横ばい→")))</f>
        <v>上昇▲</v>
      </c>
      <c r="AB38" s="333">
        <f>IF(OR(C38="",C38="TOPX",終値!E47=""),"",IFERROR(((終値!E47*0.333)+(終値!F47*0.222)+(終値!G47*0.148)+(終値!H47*0.099)+(終値!I47*0.066))/(0.333+0.222+0.148+0.099+0.066),""))</f>
        <v>476.30875576036857</v>
      </c>
      <c r="AC38" s="333">
        <f>IF(OR(C38="",C38="TOPX",終値!E47=""),"",IFERROR(SUMPRODUCT((終値!E47:AC47),{0.077,0.071,0.065,0.06,0.055,0.051,0.047,0.043,0.039,0.036,0.033,0.031,0.028,0.026,0.024,0.022,0.02,0.018,0.017,0.016,0.014,0.013,0.012,0.011,0.01})/SUM({0.077,0.071,0.065,0.06,0.055,0.051,0.047,0.043,0.039,0.036,0.033,0.031,0.028,0.026,0.024,0.022,0.02,0.018,0.017,0.016,0.014,0.013,0.012,0.011,0.01}),""))</f>
        <v>482.22133492252669</v>
      </c>
      <c r="AD38" s="212" t="str">
        <f>IF(OR(C38="",AB38="",AC38="",AB38=0,AC38=0),"",IF(AND(E38&gt;AB38,AB38&gt;AC38),"パーフェクト▲",IF(E38&gt;AC38,"上昇トレンド▲",IF(AND(E38&lt;AB38,AB38&lt;AC38),"下降トレンド▼","もみ合い→"))))</f>
        <v>もみ合い→</v>
      </c>
      <c r="AE38" s="212" t="str">
        <f>IF(OR(C38="",AB38="",AC38=""),"",IF(AND(ABS(E38-AC38)/AC38&lt;=0.02,E38&lt;AC38),"25日戻り売り★",IF(AND(ABS(E38-AB38)/AB38&lt;=0.01,E38&lt;AB38),"5日戻り売り○","なし")))</f>
        <v>25日戻り売り★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○逆張り売り</v>
      </c>
      <c r="AG38">
        <f>IF(AND(T38&gt;=7,C38&lt;&gt;""),T38,0)</f>
        <v>0</v>
      </c>
      <c r="AH38">
        <f>IF(AG38&gt;0,AG38*10000-ROW(A38),0)</f>
        <v>0</v>
      </c>
      <c r="AI38" s="373">
        <f t="array" ref="AI38">IF(C38="","",IFERROR((INDEX(終値!$E:$E,MATCH(TEXT(C38,"0"),終値!$A:$A,0))-INDEX(終値!$E:$CZ,MATCH(TEXT(C38,"0"),終値!$A:$A,0),$AN$2))/INDEX(終値!$E:$CZ,MATCH(TEXT(C38,"0"),終値!$A:$A,0),$AN$2)*100,""))</f>
        <v>5.4641211323239052</v>
      </c>
      <c r="AJ38" s="373">
        <f t="array" ref="AJ38">IFERROR((終値!$E$5-INDEX(終値!$E$5:$IT$5,1,$AN$2))/INDEX(終値!$E$5:$IT$5,1,$AN$2)*100,"")</f>
        <v>1.0179378228534113</v>
      </c>
      <c r="AK38" s="374">
        <f>IF(OR(AI38="",AJ38=""),"",AI38-AJ38)</f>
        <v>4.4461833094704941</v>
      </c>
      <c r="AL38" s="372">
        <f>IF(AK38="","",IF(AK38&lt;-5,3,IF(AK38&lt;0,1,IF(AK38&lt;3,-1,-2))))</f>
        <v>-2</v>
      </c>
      <c r="AO38" s="376" t="str">
        <f>IF(OR($C38="",$E38="",$F38="",$H38="",$I38="",$H38-$I38&lt;=0),"-",IF(AND($H38-MAX($F38,$E38)&gt;=ABS($E38-$F38)*2,MIN($F38,$E38)-$I38&lt;=ABS($E38-$F38)*0.5,ABS($E38-$F38)&gt;0),"上ヒゲ陰線▼",IF(AND($E38&lt;$F38,ABS($E38-$F38)&gt;=($H38-$I38)*0.7),"大陰線▼",IF(AND(MIN($F38,$E38)-$I38&gt;=($H38-$I38)*0.5,$H38-MAX($F38,$E38)&lt;=($H38-$I38)*0.2),"長い下ヒゲ(反発警戒)","通常"))))</f>
        <v>通常</v>
      </c>
      <c r="AP38" s="377">
        <f>IF($AO38="上ヒゲ陰線▼",2,IF($AO38="大陰線▼",2,IF($AO38="長い下ヒゲ(反発警戒)",-2,0)))</f>
        <v>0</v>
      </c>
      <c r="AQ38">
        <f>IF(C38&lt;&gt;"",始値!F47,"")</f>
        <v>476</v>
      </c>
      <c r="AR38">
        <f>IF(C38&lt;&gt;"",高値!F47,"")</f>
        <v>480</v>
      </c>
      <c r="AS38">
        <f>IF(C38&lt;&gt;"",安値!F47,"")</f>
        <v>473</v>
      </c>
      <c r="AT38" t="str">
        <f>IF(OR(C38="",AQ38="",AR38="",AS38="",AR38-AS38&lt;=0),"-",IF(AND(AR38-MAX(G38,AQ38)&gt;=ABS(G38-AQ38)*2,MIN(G38,AQ38)-AS38&lt;=ABS(G38-AQ38)*0.5,ABS(G38-AQ38)&gt;0),"上ヒゲ陰線▼",IF(AND(G38&lt;AQ38,ABS(G38-AQ38)&gt;=(AR38-AS38)*0.7),"大陰線▼",IF(AND(MIN(G38,AQ38)-AS38&gt;=(AR38-AS38)*0.5,AR38-MAX(G38,AQ38)&lt;=(AR38-AS38)*0.2),"長い下ヒゲ(反発)","通常"))))</f>
        <v>通常</v>
      </c>
      <c r="AU38">
        <f>IF(AT38="上ヒゲ陰線▼",2,IF(AT38="大陰線▼",2,IF(AT38="長い下ヒゲ(反発)",-2,0)))</f>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5870</v>
      </c>
      <c r="F39" s="326">
        <f>IF(C39&lt;&gt;"",_xll.RssMarket(C39,"始値"),"")</f>
        <v>5925</v>
      </c>
      <c r="G39" s="325">
        <f>IF(C39&lt;&gt;"",終値!F68,"")</f>
        <v>5848</v>
      </c>
      <c r="H39" s="326">
        <f>IF(C39&lt;&gt;"",_xll.RssMarket(C39,"高値"),"")</f>
        <v>6061</v>
      </c>
      <c r="I39" s="326">
        <f>IF(C39&lt;&gt;"",_xll.RssMarket(C39,"安値"),"")</f>
        <v>5799</v>
      </c>
      <c r="J39" s="326">
        <f>IF(C39&lt;&gt;"",_xll.RssMarket(C39,"出来高"),"")</f>
        <v>7307800</v>
      </c>
      <c r="K39" s="326">
        <f>IF(C39&lt;&gt;"",_xll.RssMarket(C39,"年初来高値"),"")</f>
        <v>6686</v>
      </c>
      <c r="L39" s="327">
        <f>IF(AND(E39&lt;&gt;"",K39&lt;&gt;"",K39&lt;&gt;0),(E39-K39)/K39*100,"")</f>
        <v>-12.204606640741849</v>
      </c>
      <c r="M39" s="326">
        <f>IF(C39&lt;&gt;"",IFERROR(AVERAGE(出来高!E68:I68),""),"")</f>
        <v>9011900</v>
      </c>
      <c r="N39" s="326">
        <f>IF(C39&lt;&gt;"",IFERROR(AVERAGE(出来高!E68:AC68),""),"")</f>
        <v>6110416</v>
      </c>
      <c r="O39" s="328">
        <f>IF(AND(J39&lt;&gt;"",M39&lt;&gt;"",M39&lt;&gt;0),J39/M39,"")</f>
        <v>0.81090558039924987</v>
      </c>
      <c r="P39" s="325" t="str">
        <f>IF(O39="","",IF(O39&gt;=2,"急増↑↑",IF(O39&gt;=1.5,"増加↑",IF(O39&gt;=1,"普通→","減少↓"))))</f>
        <v>減少↓</v>
      </c>
      <c r="Q39" s="325" t="str">
        <f>IF(E39="","",IF(AND(E39&lt;G39,O39&gt;=1.5),"売り▼",IF(E39&gt;G39,"様子見▲","中立→")))</f>
        <v>様子見▲</v>
      </c>
      <c r="R39" s="326">
        <f>IF(E39&lt;&gt;"",ROUND(E39*0.92,0),"")</f>
        <v>5400</v>
      </c>
      <c r="S39" s="326">
        <f>IF(E39&lt;&gt;"",ROUND(E39*1.04,0),"")</f>
        <v>6105</v>
      </c>
      <c r="T39" s="325">
        <f>IF(C39="","",IFERROR(IF(W39&gt;=70,3,IF(W39&gt;=60,2,IF(W39&gt;=50,1,0)))+IF(X39&lt;0,2,0)+IF(AD39="下降トレンド▼",3,IF(AD39="もみ合い→",1,0))+IF(V39="年初来安値圏●",3,IF(V39="安値圏",2,0))+IF(Q39="売り▼",2,0)+IF(P39="急増↑↑",2,IF(P39="増加↑",1,0))+IF(Z39&lt;0,1,0)+IF(L39&lt;=-30,2,IF(L39&lt;=-15,1,0))+IF(AE39="25日戻り売り★",2,IF(AE39="5日戻り売り○",1,0))+N(AL39)+N(AP39)+N(AU39),0))</f>
        <v>4</v>
      </c>
      <c r="U39" s="325" t="str">
        <f>IF(T39="","",IF(AND(T39&gt;=3,O39&gt;=1.5),"有効",IF(T39&gt;=3,"要確認","除外")))</f>
        <v>要確認</v>
      </c>
      <c r="V39" s="325" t="str">
        <f>IF(AND(I39&lt;&gt;"",K39&lt;&gt;""),IF(I39&lt;=K39*0.6,"年初来安値圏●",IF(I39&lt;=K39*0.75,"安値圏","通常")),"")</f>
        <v>通常</v>
      </c>
      <c r="W39" s="329">
        <f t="array" ref="W39">IFERROR(100-100/(1+SUMPRODUCT((終値!F68:R68&gt;終値!G68:S68)*(終値!F68:R68-終値!G68:S68))/SUMPRODUCT((終値!F68:R68&lt;終値!G68:S68)*(終値!G68:S68-終値!F68:R68))),50)</f>
        <v>51.494661921708186</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-3.3203483535580745</v>
      </c>
      <c r="Y39" s="325" t="str">
        <f>IF(AF39="","",AF39&amp;" | "&amp;AD39&amp;IF(AE39&lt;&gt;"なし"," "&amp;AE39,"")&amp;IF(X39&lt;0," MACD-"," MACD+")&amp;" RSI:"&amp;TEXT(W39,"0.0")&amp;IF(W39&gt;=70," [過熱]",IF(W39&lt;=30," [売られ過ぎ]",""))&amp;" 前日比:"&amp;TEXT(Z39,"+0.0;-0.0;0.0")&amp;"%"&amp;IF(V39="年初来安値圏●"," [年初来安値圏]",IF(V39="安値圏"," [安値圏]",""))&amp;IF(OR(AO39="通常",AO39="-"),""," ["&amp;AO39&amp;"]")&amp;IF(OR(AT39="通常",AT39="-"),"","前日["&amp;AT39&amp;"]")&amp;" ["&amp;T39&amp;"点]")</f>
        <v>相場上昇・見送り | パーフェクト▲ MACD- RSI:51.5 前日比:+0.4% [4点]</v>
      </c>
      <c r="Z39" s="331">
        <f>IF(AND(E39&lt;&gt;"",G39&lt;&gt;"",G39&lt;&gt;0),(E39-G39)/G39*100,"")</f>
        <v>0.37619699042407662</v>
      </c>
      <c r="AA39" s="325" t="str">
        <f>IF(OR(C39="",E39="",E39=0),"",IF(E39&gt;G39,"上昇▲",IF(E39&lt;G39,"下落▼","横ばい→")))</f>
        <v>上昇▲</v>
      </c>
      <c r="AB39" s="326">
        <f>IF(OR(C39="",C39="TOPX",終値!E68=""),"",IFERROR(((終値!E68*0.333)+(終値!F68*0.222)+(終値!G68*0.148)+(終値!H68*0.099)+(終値!I68*0.066))/(0.333+0.222+0.148+0.099+0.066),""))</f>
        <v>5791.7903225806449</v>
      </c>
      <c r="AC39" s="326">
        <f>IF(OR(C39="",C39="TOPX",終値!E68=""),"",IFERROR(SUMPRODUCT((終値!E68:AC68),{0.077,0.071,0.065,0.06,0.055,0.051,0.047,0.043,0.039,0.036,0.033,0.031,0.028,0.026,0.024,0.022,0.02,0.018,0.017,0.016,0.014,0.013,0.012,0.011,0.01})/SUM({0.077,0.071,0.065,0.06,0.055,0.051,0.047,0.043,0.039,0.036,0.033,0.031,0.028,0.026,0.024,0.022,0.02,0.018,0.017,0.016,0.014,0.013,0.012,0.011,0.01}),""))</f>
        <v>5657.5768772348019</v>
      </c>
      <c r="AD39" s="325" t="str">
        <f>IF(OR(C39="",AB39="",AC39="",AB39=0,AC39=0),"",IF(AND(E39&gt;AB39,AB39&gt;AC39),"パーフェクト▲",IF(E39&gt;AC39,"上昇トレンド▲",IF(AND(E39&lt;AB39,AB39&lt;AC39),"下降トレンド▼","もみ合い→"))))</f>
        <v>パーフェクト▲</v>
      </c>
      <c r="AE39" s="325" t="str">
        <f>IF(OR(C39="",AB39="",AC39=""),"",IF(AND(ABS(E39-AC39)/AC39&lt;=0.02,E39&lt;AC39),"25日戻り売り★",IF(AND(ABS(E39-AB39)/AB39&lt;=0.01,E39&lt;AB39),"5日戻り売り○","なし")))</f>
        <v>なし</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相場上昇・見送り</v>
      </c>
      <c r="AG39">
        <f>IF(AND(T39&gt;=7,C39&lt;&gt;""),T39,0)</f>
        <v>0</v>
      </c>
      <c r="AH39">
        <f>IF(AG39&gt;0,AG39*10000-ROW(A39),0)</f>
        <v>0</v>
      </c>
      <c r="AI39" s="373">
        <f t="array" ref="AI39">IF(C39="","",IFERROR((INDEX(終値!$E:$E,MATCH(TEXT(C39,"0"),終値!$A:$A,0))-INDEX(終値!$E:$CZ,MATCH(TEXT(C39,"0"),終値!$A:$A,0),$AN$2))/INDEX(終値!$E:$CZ,MATCH(TEXT(C39,"0"),終値!$A:$A,0),$AN$2)*100,""))</f>
        <v>-2.7179317202519058</v>
      </c>
      <c r="AJ39" s="373">
        <f t="array" ref="AJ39">IFERROR((終値!$E$5-INDEX(終値!$E$5:$IT$5,1,$AN$2))/INDEX(終値!$E$5:$IT$5,1,$AN$2)*100,"")</f>
        <v>1.0179378228534113</v>
      </c>
      <c r="AK39" s="374">
        <f>IF(OR(AI39="",AJ39=""),"",AI39-AJ39)</f>
        <v>-3.7358695431053173</v>
      </c>
      <c r="AL39" s="372">
        <f>IF(AK39="","",IF(AK39&lt;-5,3,IF(AK39&lt;0,1,IF(AK39&lt;3,-1,-2))))</f>
        <v>1</v>
      </c>
      <c r="AO39" s="376" t="str">
        <f>IF(OR($C39="",$E39="",$F39="",$H39="",$I39="",$H39-$I39&lt;=0),"-",IF(AND($H39-MAX($F39,$E39)&gt;=ABS($E39-$F39)*2,MIN($F39,$E39)-$I39&lt;=ABS($E39-$F39)*0.5,ABS($E39-$F39)&gt;0),"上ヒゲ陰線▼",IF(AND($E39&lt;$F39,ABS($E39-$F39)&gt;=($H39-$I39)*0.7),"大陰線▼",IF(AND(MIN($F39,$E39)-$I39&gt;=($H39-$I39)*0.5,$H39-MAX($F39,$E39)&lt;=($H39-$I39)*0.2),"長い下ヒゲ(反発警戒)","通常"))))</f>
        <v>通常</v>
      </c>
      <c r="AP39" s="377">
        <f>IF($AO39="上ヒゲ陰線▼",2,IF($AO39="大陰線▼",2,IF($AO39="長い下ヒゲ(反発警戒)",-2,0)))</f>
        <v>0</v>
      </c>
      <c r="AQ39">
        <f>IF(C39&lt;&gt;"",始値!F68,"")</f>
        <v>5748</v>
      </c>
      <c r="AR39">
        <f>IF(C39&lt;&gt;"",高値!F68,"")</f>
        <v>5866</v>
      </c>
      <c r="AS39">
        <f>IF(C39&lt;&gt;"",安値!F68,"")</f>
        <v>5678</v>
      </c>
      <c r="AT39" t="str">
        <f>IF(OR(C39="",AQ39="",AR39="",AS39="",AR39-AS39&lt;=0),"-",IF(AND(AR39-MAX(G39,AQ39)&gt;=ABS(G39-AQ39)*2,MIN(G39,AQ39)-AS39&lt;=ABS(G39-AQ39)*0.5,ABS(G39-AQ39)&gt;0),"上ヒゲ陰線▼",IF(AND(G39&lt;AQ39,ABS(G39-AQ39)&gt;=(AR39-AS39)*0.7),"大陰線▼",IF(AND(MIN(G39,AQ39)-AS39&gt;=(AR39-AS39)*0.5,AR39-MAX(G39,AQ39)&lt;=(AR39-AS39)*0.2),"長い下ヒゲ(反発)","通常"))))</f>
        <v>通常</v>
      </c>
      <c r="AU39">
        <f>IF(AT39="上ヒゲ陰線▼",2,IF(AT39="大陰線▼",2,IF(AT39="長い下ヒゲ(反発)",-2,0)))</f>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2306</v>
      </c>
      <c r="F40" s="333">
        <f>IF(C40&lt;&gt;"",_xll.RssMarket(C40,"始値"),"")</f>
        <v>2327</v>
      </c>
      <c r="G40" s="212">
        <f>IF(C40&lt;&gt;"",終値!F86,"")</f>
        <v>2327</v>
      </c>
      <c r="H40" s="333">
        <f>IF(C40&lt;&gt;"",_xll.RssMarket(C40,"高値"),"")</f>
        <v>2355</v>
      </c>
      <c r="I40" s="333">
        <f>IF(C40&lt;&gt;"",_xll.RssMarket(C40,"安値"),"")</f>
        <v>2295</v>
      </c>
      <c r="J40" s="333">
        <f>IF(C40&lt;&gt;"",_xll.RssMarket(C40,"出来高"),"")</f>
        <v>975600</v>
      </c>
      <c r="K40" s="333">
        <f>IF(C40&lt;&gt;"",_xll.RssMarket(C40,"年初来高値"),"")</f>
        <v>2927.5</v>
      </c>
      <c r="L40" s="334">
        <f>IF(AND(E40&lt;&gt;"",K40&lt;&gt;"",K40&lt;&gt;0),(E40-K40)/K40*100,"")</f>
        <v>-21.229718189581554</v>
      </c>
      <c r="M40" s="333">
        <f>IF(C40&lt;&gt;"",IFERROR(AVERAGE(出来高!E86:I86),""),"")</f>
        <v>1332820</v>
      </c>
      <c r="N40" s="333">
        <f>IF(C40&lt;&gt;"",IFERROR(AVERAGE(出来高!E86:AC86),""),"")</f>
        <v>1629862.5</v>
      </c>
      <c r="O40" s="335">
        <f>IF(AND(J40&lt;&gt;"",M40&lt;&gt;"",M40&lt;&gt;0),J40/M40,"")</f>
        <v>0.73198181299800424</v>
      </c>
      <c r="P40" s="212" t="str">
        <f>IF(O40="","",IF(O40&gt;=2,"急増↑↑",IF(O40&gt;=1.5,"増加↑",IF(O40&gt;=1,"普通→","減少↓"))))</f>
        <v>減少↓</v>
      </c>
      <c r="Q40" s="212" t="str">
        <f>IF(E40="","",IF(AND(E40&lt;G40,O40&gt;=1.5),"売り▼",IF(E40&gt;G40,"様子見▲","中立→")))</f>
        <v>中立→</v>
      </c>
      <c r="R40" s="333">
        <f>IF(E40&lt;&gt;"",ROUND(E40*0.92,0),"")</f>
        <v>2122</v>
      </c>
      <c r="S40" s="333">
        <f>IF(E40&lt;&gt;"",ROUND(E40*1.04,0),"")</f>
        <v>2398</v>
      </c>
      <c r="T40" s="325">
        <f>IF(C40="","",IFERROR(IF(W40&gt;=70,3,IF(W40&gt;=60,2,IF(W40&gt;=50,1,0)))+IF(X40&lt;0,2,0)+IF(AD40="下降トレンド▼",3,IF(AD40="もみ合い→",1,0))+IF(V40="年初来安値圏●",3,IF(V40="安値圏",2,0))+IF(Q40="売り▼",2,0)+IF(P40="急増↑↑",2,IF(P40="増加↑",1,0))+IF(Z40&lt;0,1,0)+IF(L40&lt;=-30,2,IF(L40&lt;=-15,1,0))+IF(AE40="25日戻り売り★",2,IF(AE40="5日戻り売り○",1,0))+N(AL40)+N(AP40)+N(AU40),0))</f>
        <v>8</v>
      </c>
      <c r="U40" s="212" t="str">
        <f>IF(T40="","",IF(AND(T40&gt;=3,O40&gt;=1.5),"有効",IF(T40&gt;=3,"要確認","除外")))</f>
        <v>要確認</v>
      </c>
      <c r="V40" s="212" t="str">
        <f>IF(AND(I40&lt;&gt;"",K40&lt;&gt;""),IF(I40&lt;=K40*0.6,"年初来安値圏●",IF(I40&lt;=K40*0.75,"安値圏","通常")),"")</f>
        <v>通常</v>
      </c>
      <c r="W40" s="336">
        <f t="array" ref="W40">IFERROR(100-100/(1+SUMPRODUCT((終値!F86:R86&gt;終値!G86:S86)*(終値!F86:R86-終値!G86:S86))/SUMPRODUCT((終値!F86:R86&lt;終値!G86:S86)*(終値!G86:S86-終値!F86:R86))),50)</f>
        <v>50.019334880123743</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-16.096554476016536</v>
      </c>
      <c r="Y40" s="212" t="str">
        <f>IF(AF40="","",AF40&amp;" | "&amp;AD40&amp;IF(AE40&lt;&gt;"なし"," "&amp;AE40,"")&amp;IF(X40&lt;0," MACD-"," MACD+")&amp;" RSI:"&amp;TEXT(W40,"0.0")&amp;IF(W40&gt;=70," [過熱]",IF(W40&lt;=30," [売られ過ぎ]",""))&amp;" 前日比:"&amp;TEXT(Z40,"+0.0;-0.0;0.0")&amp;"%"&amp;IF(V40="年初来安値圏●"," [年初来安値圏]",IF(V40="安値圏"," [安値圏]",""))&amp;IF(OR(AO40="通常",AO40="-"),""," ["&amp;AO40&amp;"]")&amp;IF(OR(AT40="通常",AT40="-"),"","前日["&amp;AT40&amp;"]")&amp;" ["&amp;T40&amp;"点]")</f>
        <v>相場上昇・見送り | パーフェクト▲ MACD- RSI:50.0 前日比:-0.9% [8点]</v>
      </c>
      <c r="Z40" s="338">
        <f>IF(AND(E40&lt;&gt;"",G40&lt;&gt;"",G40&lt;&gt;0),(E40-G40)/G40*100,"")</f>
        <v>-0.9024495058014611</v>
      </c>
      <c r="AA40" s="212" t="str">
        <f>IF(OR(C40="",E40="",E40=0),"",IF(E40&gt;G40,"上昇▲",IF(E40&lt;G40,"下落▼","横ばい→")))</f>
        <v>下落▼</v>
      </c>
      <c r="AB40" s="333">
        <f>IF(OR(C40="",C40="TOPX",終値!E86=""),"",IFERROR(((終値!E86*0.333)+(終値!F86*0.222)+(終値!G86*0.148)+(終値!H86*0.099)+(終値!I86*0.066))/(0.333+0.222+0.148+0.099+0.066),""))</f>
        <v>2300.2298387096771</v>
      </c>
      <c r="AC40" s="333">
        <f>IF(OR(C40="",C40="TOPX",終値!E86=""),"",IFERROR(SUMPRODUCT((終値!E86:AC86),{0.077,0.071,0.065,0.06,0.055,0.051,0.047,0.043,0.039,0.036,0.033,0.031,0.028,0.026,0.024,0.022,0.02,0.018,0.017,0.016,0.014,0.013,0.012,0.011,0.01})/SUM({0.077,0.071,0.065,0.06,0.055,0.051,0.047,0.043,0.039,0.036,0.033,0.031,0.028,0.026,0.024,0.022,0.02,0.018,0.017,0.016,0.014,0.013,0.012,0.011,0.01}),""))</f>
        <v>2205.8450536352793</v>
      </c>
      <c r="AD40" s="212" t="str">
        <f>IF(OR(C40="",AB40="",AC40="",AB40=0,AC40=0),"",IF(AND(E40&gt;AB40,AB40&gt;AC40),"パーフェクト▲",IF(E40&gt;AC40,"上昇トレンド▲",IF(AND(E40&lt;AB40,AB40&lt;AC40),"下降トレンド▼","もみ合い→"))))</f>
        <v>パーフェクト▲</v>
      </c>
      <c r="AE40" s="212" t="str">
        <f>IF(OR(C40="",AB40="",AC40=""),"",IF(AND(ABS(E40-AC40)/AC40&lt;=0.02,E40&lt;AC40),"25日戻り売り★",IF(AND(ABS(E40-AB40)/AB40&lt;=0.01,E40&lt;AB40),"5日戻り売り○","なし")))</f>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相場上昇・見送り</v>
      </c>
      <c r="AG40">
        <f>IF(AND(T40&gt;=7,C40&lt;&gt;""),T40,0)</f>
        <v>8</v>
      </c>
      <c r="AH40">
        <f>IF(AG40&gt;0,AG40*10000-ROW(A40),0)</f>
        <v>79960</v>
      </c>
      <c r="AI40" s="373">
        <f t="array" ref="AI40">IF(C40="","",IFERROR((INDEX(終値!$E:$E,MATCH(TEXT(C40,"0"),終値!$A:$A,0))-INDEX(終値!$E:$CZ,MATCH(TEXT(C40,"0"),終値!$A:$A,0),$AN$2))/INDEX(終値!$E:$CZ,MATCH(TEXT(C40,"0"),終値!$A:$A,0),$AN$2)*100,""))</f>
        <v>-7.1097683786505534</v>
      </c>
      <c r="AJ40" s="373">
        <f t="array" ref="AJ40">IFERROR((終値!$E$5-INDEX(終値!$E$5:$IT$5,1,$AN$2))/INDEX(終値!$E$5:$IT$5,1,$AN$2)*100,"")</f>
        <v>1.0179378228534113</v>
      </c>
      <c r="AK40" s="374">
        <f>IF(OR(AI40="",AJ40=""),"",AI40-AJ40)</f>
        <v>-8.1277062015039654</v>
      </c>
      <c r="AL40" s="372">
        <f>IF(AK40="","",IF(AK40&lt;-5,3,IF(AK40&lt;0,1,IF(AK40&lt;3,-1,-2))))</f>
        <v>3</v>
      </c>
      <c r="AO40" s="376" t="str">
        <f>IF(OR($C40="",$E40="",$F40="",$H40="",$I40="",$H40-$I40&lt;=0),"-",IF(AND($H40-MAX($F40,$E40)&gt;=ABS($E40-$F40)*2,MIN($F40,$E40)-$I40&lt;=ABS($E40-$F40)*0.5,ABS($E40-$F40)&gt;0),"上ヒゲ陰線▼",IF(AND($E40&lt;$F40,ABS($E40-$F40)&gt;=($H40-$I40)*0.7),"大陰線▼",IF(AND(MIN($F40,$E40)-$I40&gt;=($H40-$I40)*0.5,$H40-MAX($F40,$E40)&lt;=($H40-$I40)*0.2),"長い下ヒゲ(反発警戒)","通常"))))</f>
        <v>通常</v>
      </c>
      <c r="AP40" s="377">
        <f>IF($AO40="上ヒゲ陰線▼",2,IF($AO40="大陰線▼",2,IF($AO40="長い下ヒゲ(反発警戒)",-2,0)))</f>
        <v>0</v>
      </c>
      <c r="AQ40">
        <f>IF(C40&lt;&gt;"",始値!F86,"")</f>
        <v>2310</v>
      </c>
      <c r="AR40">
        <f>IF(C40&lt;&gt;"",高値!F86,"")</f>
        <v>2355.5</v>
      </c>
      <c r="AS40">
        <f>IF(C40&lt;&gt;"",安値!F86,"")</f>
        <v>2302.5</v>
      </c>
      <c r="AT40" t="str">
        <f>IF(OR(C40="",AQ40="",AR40="",AS40="",AR40-AS40&lt;=0),"-",IF(AND(AR40-MAX(G40,AQ40)&gt;=ABS(G40-AQ40)*2,MIN(G40,AQ40)-AS40&lt;=ABS(G40-AQ40)*0.5,ABS(G40-AQ40)&gt;0),"上ヒゲ陰線▼",IF(AND(G40&lt;AQ40,ABS(G40-AQ40)&gt;=(AR40-AS40)*0.7),"大陰線▼",IF(AND(MIN(G40,AQ40)-AS40&gt;=(AR40-AS40)*0.5,AR40-MAX(G40,AQ40)&lt;=(AR40-AS40)*0.2),"長い下ヒゲ(反発)","通常"))))</f>
        <v>通常</v>
      </c>
      <c r="AU40">
        <f>IF(AT40="上ヒゲ陰線▼",2,IF(AT40="大陰線▼",2,IF(AT40="長い下ヒゲ(反発)",-2,0)))</f>
        <v>0</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4165</v>
      </c>
      <c r="F41" s="326">
        <f>IF(C41&lt;&gt;"",_xll.RssMarket(C41,"始値"),"")</f>
        <v>4293</v>
      </c>
      <c r="G41" s="325">
        <f>IF(C41&lt;&gt;"",終値!F90,"")</f>
        <v>4498</v>
      </c>
      <c r="H41" s="326">
        <f>IF(C41&lt;&gt;"",_xll.RssMarket(C41,"高値"),"")</f>
        <v>4348</v>
      </c>
      <c r="I41" s="326">
        <f>IF(C41&lt;&gt;"",_xll.RssMarket(C41,"安値"),"")</f>
        <v>4069</v>
      </c>
      <c r="J41" s="326">
        <f>IF(C41&lt;&gt;"",_xll.RssMarket(C41,"出来高"),"")</f>
        <v>1988400</v>
      </c>
      <c r="K41" s="326">
        <f>IF(C41&lt;&gt;"",_xll.RssMarket(C41,"年初来高値"),"")</f>
        <v>5199</v>
      </c>
      <c r="L41" s="327">
        <f>IF(AND(E41&lt;&gt;"",K41&lt;&gt;"",K41&lt;&gt;0),(E41-K41)/K41*100,"")</f>
        <v>-19.888440084631657</v>
      </c>
      <c r="M41" s="326">
        <f>IF(C41&lt;&gt;"",IFERROR(AVERAGE(出来高!E90:I90),""),"")</f>
        <v>3380340</v>
      </c>
      <c r="N41" s="326">
        <f>IF(C41&lt;&gt;"",IFERROR(AVERAGE(出来高!E90:AC90),""),"")</f>
        <v>3331148</v>
      </c>
      <c r="O41" s="328">
        <f>IF(AND(J41&lt;&gt;"",M41&lt;&gt;"",M41&lt;&gt;0),J41/M41,"")</f>
        <v>0.5882248531212837</v>
      </c>
      <c r="P41" s="325" t="str">
        <f>IF(O41="","",IF(O41&gt;=2,"急増↑↑",IF(O41&gt;=1.5,"増加↑",IF(O41&gt;=1,"普通→","減少↓"))))</f>
        <v>減少↓</v>
      </c>
      <c r="Q41" s="325" t="str">
        <f>IF(E41="","",IF(AND(E41&lt;G41,O41&gt;=1.5),"売り▼",IF(E41&gt;G41,"様子見▲","中立→")))</f>
        <v>中立→</v>
      </c>
      <c r="R41" s="326">
        <f>IF(E41&lt;&gt;"",ROUND(E41*0.92,0),"")</f>
        <v>3832</v>
      </c>
      <c r="S41" s="326">
        <f>IF(E41&lt;&gt;"",ROUND(E41*1.04,0),"")</f>
        <v>4332</v>
      </c>
      <c r="T41" s="325">
        <f>IF(C41="","",IFERROR(IF(W41&gt;=70,3,IF(W41&gt;=60,2,IF(W41&gt;=50,1,0)))+IF(X41&lt;0,2,0)+IF(AD41="下降トレンド▼",3,IF(AD41="もみ合い→",1,0))+IF(V41="年初来安値圏●",3,IF(V41="安値圏",2,0))+IF(Q41="売り▼",2,0)+IF(P41="急増↑↑",2,IF(P41="増加↑",1,0))+IF(Z41&lt;0,1,0)+IF(L41&lt;=-30,2,IF(L41&lt;=-15,1,0))+IF(AE41="25日戻り売り★",2,IF(AE41="5日戻り売り○",1,0))+N(AL41)+N(AP41)+N(AU41),0))</f>
        <v>10</v>
      </c>
      <c r="U41" s="325" t="str">
        <f>IF(T41="","",IF(AND(T41&gt;=3,O41&gt;=1.5),"有効",IF(T41&gt;=3,"要確認","除外")))</f>
        <v>要確認</v>
      </c>
      <c r="V41" s="325" t="str">
        <f>IF(AND(I41&lt;&gt;"",K41&lt;&gt;""),IF(I41&lt;=K41*0.6,"年初来安値圏●",IF(I41&lt;=K41*0.75,"安値圏","通常")),"")</f>
        <v>通常</v>
      </c>
      <c r="W41" s="329">
        <f t="array" ref="W41">IFERROR(100-100/(1+SUMPRODUCT((終値!F90:R90&gt;終値!G90:S90)*(終値!F90:R90-終値!G90:S90))/SUMPRODUCT((終値!F90:R90&lt;終値!G90:S90)*(終値!G90:S90-終値!F90:R90))),50)</f>
        <v>43.483275663206463</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-73.840530331674927</v>
      </c>
      <c r="Y41" s="325" t="str">
        <f>IF(AF41="","",AF41&amp;" | "&amp;AD41&amp;IF(AE41&lt;&gt;"なし"," "&amp;AE41,"")&amp;IF(X41&lt;0," MACD-"," MACD+")&amp;" RSI:"&amp;TEXT(W41,"0.0")&amp;IF(W41&gt;=70," [過熱]",IF(W41&lt;=30," [売られ過ぎ]",""))&amp;" 前日比:"&amp;TEXT(Z41,"+0.0;-0.0;0.0")&amp;"%"&amp;IF(V41="年初来安値圏●"," [年初来安値圏]",IF(V41="安値圏"," [安値圏]",""))&amp;IF(OR(AO41="通常",AO41="-"),""," ["&amp;AO41&amp;"]")&amp;IF(OR(AT41="通常",AT41="-"),"","前日["&amp;AT41&amp;"]")&amp;" ["&amp;T41&amp;"点]")</f>
        <v>相場上昇・見送り | 下降トレンド▼ MACD- RSI:43.5 前日比:-7.4% [10点]</v>
      </c>
      <c r="Z41" s="331">
        <f>IF(AND(E41&lt;&gt;"",G41&lt;&gt;"",G41&lt;&gt;0),(E41-G41)/G41*100,"")</f>
        <v>-7.4032903512672306</v>
      </c>
      <c r="AA41" s="325" t="str">
        <f>IF(OR(C41="",E41="",E41=0),"",IF(E41&gt;G41,"上昇▲",IF(E41&lt;G41,"下落▼","横ばい→")))</f>
        <v>下落▼</v>
      </c>
      <c r="AB41" s="326">
        <f>IF(OR(C41="",C41="TOPX",終値!E90=""),"",IFERROR(((終値!E90*0.333)+(終値!F90*0.222)+(終値!G90*0.148)+(終値!H90*0.099)+(終値!I90*0.066))/(0.333+0.222+0.148+0.099+0.066),""))</f>
        <v>4236.7695852534562</v>
      </c>
      <c r="AC41" s="326">
        <f>IF(OR(C41="",C41="TOPX",終値!E90=""),"",IFERROR(SUMPRODUCT((終値!E90:AC90),{0.077,0.071,0.065,0.06,0.055,0.051,0.047,0.043,0.039,0.036,0.033,0.031,0.028,0.026,0.024,0.022,0.02,0.018,0.017,0.016,0.014,0.013,0.012,0.011,0.01})/SUM({0.077,0.071,0.065,0.06,0.055,0.051,0.047,0.043,0.039,0.036,0.033,0.031,0.028,0.026,0.024,0.022,0.02,0.018,0.017,0.016,0.014,0.013,0.012,0.011,0.01}),""))</f>
        <v>4252.1382598331329</v>
      </c>
      <c r="AD41" s="325" t="str">
        <f>IF(OR(C41="",AB41="",AC41="",AB41=0,AC41=0),"",IF(AND(E41&gt;AB41,AB41&gt;AC41),"パーフェクト▲",IF(E41&gt;AC41,"上昇トレンド▲",IF(AND(E41&lt;AB41,AB41&lt;AC41),"下降トレンド▼","もみ合い→"))))</f>
        <v>下降トレンド▼</v>
      </c>
      <c r="AE41" s="325" t="str">
        <f>IF(OR(C41="",AB41="",AC41=""),"",IF(AND(ABS(E41-AC41)/AC41&lt;=0.02,E41&lt;AC41),"25日戻り売り★",IF(AND(ABS(E41-AB41)/AB41&lt;=0.01,E41&lt;AB41),"5日戻り売り○","なし")))</f>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相場上昇・見送り</v>
      </c>
      <c r="AG41">
        <f>IF(AND(T41&gt;=7,C41&lt;&gt;""),T41,0)</f>
        <v>10</v>
      </c>
      <c r="AH41">
        <f>IF(AG41&gt;0,AG41*10000-ROW(A41),0)</f>
        <v>99959</v>
      </c>
      <c r="AI41" s="373">
        <f t="array" ref="AI41">IF(C41="","",IFERROR((INDEX(終値!$E:$E,MATCH(TEXT(C41,"0"),終値!$A:$A,0))-INDEX(終値!$E:$CZ,MATCH(TEXT(C41,"0"),終値!$A:$A,0),$AN$2))/INDEX(終値!$E:$CZ,MATCH(TEXT(C41,"0"),終値!$A:$A,0),$AN$2)*100,""))</f>
        <v>-18.011811023622048</v>
      </c>
      <c r="AJ41" s="373">
        <f t="array" ref="AJ41">IFERROR((終値!$E$5-INDEX(終値!$E$5:$IT$5,1,$AN$2))/INDEX(終値!$E$5:$IT$5,1,$AN$2)*100,"")</f>
        <v>1.0179378228534113</v>
      </c>
      <c r="AK41" s="374">
        <f>IF(OR(AI41="",AJ41=""),"",AI41-AJ41)</f>
        <v>-19.02974884647546</v>
      </c>
      <c r="AL41" s="372">
        <f>IF(AK41="","",IF(AK41&lt;-5,3,IF(AK41&lt;0,1,IF(AK41&lt;3,-1,-2))))</f>
        <v>3</v>
      </c>
      <c r="AO41" s="376" t="str">
        <f>IF(OR($C41="",$E41="",$F41="",$H41="",$I41="",$H41-$I41&lt;=0),"-",IF(AND($H41-MAX($F41,$E41)&gt;=ABS($E41-$F41)*2,MIN($F41,$E41)-$I41&lt;=ABS($E41-$F41)*0.5,ABS($E41-$F41)&gt;0),"上ヒゲ陰線▼",IF(AND($E41&lt;$F41,ABS($E41-$F41)&gt;=($H41-$I41)*0.7),"大陰線▼",IF(AND(MIN($F41,$E41)-$I41&gt;=($H41-$I41)*0.5,$H41-MAX($F41,$E41)&lt;=($H41-$I41)*0.2),"長い下ヒゲ(反発警戒)","通常"))))</f>
        <v>通常</v>
      </c>
      <c r="AP41" s="377">
        <f>IF($AO41="上ヒゲ陰線▼",2,IF($AO41="大陰線▼",2,IF($AO41="長い下ヒゲ(反発警戒)",-2,0)))</f>
        <v>0</v>
      </c>
      <c r="AQ41">
        <f>IF(C41&lt;&gt;"",始値!F90,"")</f>
        <v>4400</v>
      </c>
      <c r="AR41">
        <f>IF(C41&lt;&gt;"",高値!F90,"")</f>
        <v>4524</v>
      </c>
      <c r="AS41">
        <f>IF(C41&lt;&gt;"",安値!F90,"")</f>
        <v>4372</v>
      </c>
      <c r="AT41" t="str">
        <f>IF(OR(C41="",AQ41="",AR41="",AS41="",AR41-AS41&lt;=0),"-",IF(AND(AR41-MAX(G41,AQ41)&gt;=ABS(G41-AQ41)*2,MIN(G41,AQ41)-AS41&lt;=ABS(G41-AQ41)*0.5,ABS(G41-AQ41)&gt;0),"上ヒゲ陰線▼",IF(AND(G41&lt;AQ41,ABS(G41-AQ41)&gt;=(AR41-AS41)*0.7),"大陰線▼",IF(AND(MIN(G41,AQ41)-AS41&gt;=(AR41-AS41)*0.5,AR41-MAX(G41,AQ41)&lt;=(AR41-AS41)*0.2),"長い下ヒゲ(反発)","通常"))))</f>
        <v>通常</v>
      </c>
      <c r="AU41">
        <f>IF(AT41="上ヒゲ陰線▼",2,IF(AT41="大陰線▼",2,IF(AT41="長い下ヒゲ(反発)",-2,0)))</f>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4093</v>
      </c>
      <c r="F42" s="333">
        <f>IF(C42&lt;&gt;"",_xll.RssMarket(C42,"始値"),"")</f>
        <v>4150</v>
      </c>
      <c r="G42" s="212">
        <f>IF(C42&lt;&gt;"",終値!F105,"")</f>
        <v>4360</v>
      </c>
      <c r="H42" s="333">
        <f>IF(C42&lt;&gt;"",_xll.RssMarket(C42,"高値"),"")</f>
        <v>4319</v>
      </c>
      <c r="I42" s="333">
        <f>IF(C42&lt;&gt;"",_xll.RssMarket(C42,"安値"),"")</f>
        <v>4067</v>
      </c>
      <c r="J42" s="333">
        <f>IF(C42&lt;&gt;"",_xll.RssMarket(C42,"出来高"),"")</f>
        <v>644000</v>
      </c>
      <c r="K42" s="333">
        <f>IF(C42&lt;&gt;"",_xll.RssMarket(C42,"年初来高値"),"")</f>
        <v>5164</v>
      </c>
      <c r="L42" s="334">
        <f>IF(AND(E42&lt;&gt;"",K42&lt;&gt;"",K42&lt;&gt;0),(E42-K42)/K42*100,"")</f>
        <v>-20.739736638264912</v>
      </c>
      <c r="M42" s="333">
        <f>IF(C42&lt;&gt;"",IFERROR(AVERAGE(出来高!E105:I105),""),"")</f>
        <v>703800</v>
      </c>
      <c r="N42" s="333">
        <f>IF(C42&lt;&gt;"",IFERROR(AVERAGE(出来高!E105:AC105),""),"")</f>
        <v>522040</v>
      </c>
      <c r="O42" s="335">
        <f>IF(AND(J42&lt;&gt;"",M42&lt;&gt;"",M42&lt;&gt;0),J42/M42,"")</f>
        <v>0.91503267973856206</v>
      </c>
      <c r="P42" s="212" t="str">
        <f>IF(O42="","",IF(O42&gt;=2,"急増↑↑",IF(O42&gt;=1.5,"増加↑",IF(O42&gt;=1,"普通→","減少↓"))))</f>
        <v>減少↓</v>
      </c>
      <c r="Q42" s="212" t="str">
        <f>IF(E42="","",IF(AND(E42&lt;G42,O42&gt;=1.5),"売り▼",IF(E42&gt;G42,"様子見▲","中立→")))</f>
        <v>中立→</v>
      </c>
      <c r="R42" s="333">
        <f>IF(E42&lt;&gt;"",ROUND(E42*0.92,0),"")</f>
        <v>3766</v>
      </c>
      <c r="S42" s="333">
        <f>IF(E42&lt;&gt;"",ROUND(E42*1.04,0),"")</f>
        <v>4257</v>
      </c>
      <c r="T42" s="325">
        <f>IF(C42="","",IFERROR(IF(W42&gt;=70,3,IF(W42&gt;=60,2,IF(W42&gt;=50,1,0)))+IF(X42&lt;0,2,0)+IF(AD42="下降トレンド▼",3,IF(AD42="もみ合い→",1,0))+IF(V42="年初来安値圏●",3,IF(V42="安値圏",2,0))+IF(Q42="売り▼",2,0)+IF(P42="急増↑↑",2,IF(P42="増加↑",1,0))+IF(Z42&lt;0,1,0)+IF(L42&lt;=-30,2,IF(L42&lt;=-15,1,0))+IF(AE42="25日戻り売り★",2,IF(AE42="5日戻り売り○",1,0))+N(AL42)+N(AP42)+N(AU42),0))</f>
        <v>10</v>
      </c>
      <c r="U42" s="212" t="str">
        <f>IF(T42="","",IF(AND(T42&gt;=3,O42&gt;=1.5),"有効",IF(T42&gt;=3,"要確認","除外")))</f>
        <v>要確認</v>
      </c>
      <c r="V42" s="212" t="str">
        <f>IF(AND(I42&lt;&gt;"",K42&lt;&gt;""),IF(I42&lt;=K42*0.6,"年初来安値圏●",IF(I42&lt;=K42*0.75,"安値圏","通常")),"")</f>
        <v>通常</v>
      </c>
      <c r="W42" s="336">
        <f t="array" ref="W42">IFERROR(100-100/(1+SUMPRODUCT((終値!F105:R105&gt;終値!G105:S105)*(終値!F105:R105-終値!G105:S105))/SUMPRODUCT((終値!F105:R105&lt;終値!G105:S105)*(終値!G105:S105-終値!F105:R105))),50)</f>
        <v>52.77654375832963</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-33.291013735924025</v>
      </c>
      <c r="Y42" s="212" t="str">
        <f>IF(AF42="","",AF42&amp;" | "&amp;AD42&amp;IF(AE42&lt;&gt;"なし"," "&amp;AE42,"")&amp;IF(X42&lt;0," MACD-"," MACD+")&amp;" RSI:"&amp;TEXT(W42,"0.0")&amp;IF(W42&gt;=70," [過熱]",IF(W42&lt;=30," [売られ過ぎ]",""))&amp;" 前日比:"&amp;TEXT(Z42,"+0.0;-0.0;0.0")&amp;"%"&amp;IF(V42="年初来安値圏●"," [年初来安値圏]",IF(V42="安値圏"," [安値圏]",""))&amp;IF(OR(AO42="通常",AO42="-"),""," ["&amp;AO42&amp;"]")&amp;IF(OR(AT42="通常",AT42="-"),"","前日["&amp;AT42&amp;"]")&amp;" ["&amp;T42&amp;"点]")</f>
        <v>相場上昇・見送り | パーフェクト▲ MACD- RSI:52.8 前日比:-6.1% [上ヒゲ陰線▼] [10点]</v>
      </c>
      <c r="Z42" s="338">
        <f>IF(AND(E42&lt;&gt;"",G42&lt;&gt;"",G42&lt;&gt;0),(E42-G42)/G42*100,"")</f>
        <v>-6.123853211009175</v>
      </c>
      <c r="AA42" s="212" t="str">
        <f>IF(OR(C42="",E42="",E42=0),"",IF(E42&gt;G42,"上昇▲",IF(E42&lt;G42,"下落▼","横ばい→")))</f>
        <v>下落▼</v>
      </c>
      <c r="AB42" s="333">
        <f>IF(OR(C42="",C42="TOPX",終値!E105=""),"",IFERROR(((終値!E105*0.333)+(終値!F105*0.222)+(終値!G105*0.148)+(終値!H105*0.099)+(終値!I105*0.066))/(0.333+0.222+0.148+0.099+0.066),""))</f>
        <v>4090.6578341013824</v>
      </c>
      <c r="AC42" s="333">
        <f>IF(OR(C42="",C42="TOPX",終値!E105=""),"",IFERROR(SUMPRODUCT((終値!E105:AC105),{0.077,0.071,0.065,0.06,0.055,0.051,0.047,0.043,0.039,0.036,0.033,0.031,0.028,0.026,0.024,0.022,0.02,0.018,0.017,0.016,0.014,0.013,0.012,0.011,0.01})/SUM({0.077,0.071,0.065,0.06,0.055,0.051,0.047,0.043,0.039,0.036,0.033,0.031,0.028,0.026,0.024,0.022,0.02,0.018,0.017,0.016,0.014,0.013,0.012,0.011,0.01}),""))</f>
        <v>4050.1418355184742</v>
      </c>
      <c r="AD42" s="212" t="str">
        <f>IF(OR(C42="",AB42="",AC42="",AB42=0,AC42=0),"",IF(AND(E42&gt;AB42,AB42&gt;AC42),"パーフェクト▲",IF(E42&gt;AC42,"上昇トレンド▲",IF(AND(E42&lt;AB42,AB42&lt;AC42),"下降トレンド▼","もみ合い→"))))</f>
        <v>パーフェクト▲</v>
      </c>
      <c r="AE42" s="212" t="str">
        <f>IF(OR(C42="",AB42="",AC42=""),"",IF(AND(ABS(E42-AC42)/AC42&lt;=0.02,E42&lt;AC42),"25日戻り売り★",IF(AND(ABS(E42-AB42)/AB42&lt;=0.01,E42&lt;AB42),"5日戻り売り○","なし")))</f>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相場上昇・見送り</v>
      </c>
      <c r="AG42">
        <f>IF(AND(T42&gt;=7,C42&lt;&gt;""),T42,0)</f>
        <v>10</v>
      </c>
      <c r="AH42">
        <f>IF(AG42&gt;0,AG42*10000-ROW(A42),0)</f>
        <v>99958</v>
      </c>
      <c r="AI42" s="373">
        <f t="array" ref="AI42">IF(C42="","",IFERROR((INDEX(終値!$E:$E,MATCH(TEXT(C42,"0"),終値!$A:$A,0))-INDEX(終値!$E:$CZ,MATCH(TEXT(C42,"0"),終値!$A:$A,0),$AN$2))/INDEX(終値!$E:$CZ,MATCH(TEXT(C42,"0"),終値!$A:$A,0),$AN$2)*100,""))</f>
        <v>-15.223695111847558</v>
      </c>
      <c r="AJ42" s="373">
        <f t="array" ref="AJ42">IFERROR((終値!$E$5-INDEX(終値!$E$5:$IT$5,1,$AN$2))/INDEX(終値!$E$5:$IT$5,1,$AN$2)*100,"")</f>
        <v>1.0179378228534113</v>
      </c>
      <c r="AK42" s="374">
        <f>IF(OR(AI42="",AJ42=""),"",AI42-AJ42)</f>
        <v>-16.24163293470097</v>
      </c>
      <c r="AL42" s="372">
        <f>IF(AK42="","",IF(AK42&lt;-5,3,IF(AK42&lt;0,1,IF(AK42&lt;3,-1,-2))))</f>
        <v>3</v>
      </c>
      <c r="AO42" s="376" t="str">
        <f>IF(OR($C42="",$E42="",$F42="",$H42="",$I42="",$H42-$I42&lt;=0),"-",IF(AND($H42-MAX($F42,$E42)&gt;=ABS($E42-$F42)*2,MIN($F42,$E42)-$I42&lt;=ABS($E42-$F42)*0.5,ABS($E42-$F42)&gt;0),"上ヒゲ陰線▼",IF(AND($E42&lt;$F42,ABS($E42-$F42)&gt;=($H42-$I42)*0.7),"大陰線▼",IF(AND(MIN($F42,$E42)-$I42&gt;=($H42-$I42)*0.5,$H42-MAX($F42,$E42)&lt;=($H42-$I42)*0.2),"長い下ヒゲ(反発警戒)","通常"))))</f>
        <v>上ヒゲ陰線▼</v>
      </c>
      <c r="AP42" s="377">
        <f>IF($AO42="上ヒゲ陰線▼",2,IF($AO42="大陰線▼",2,IF($AO42="長い下ヒゲ(反発警戒)",-2,0)))</f>
        <v>2</v>
      </c>
      <c r="AQ42">
        <f>IF(C42&lt;&gt;"",始値!F105,"")</f>
        <v>4363</v>
      </c>
      <c r="AR42">
        <f>IF(C42&lt;&gt;"",高値!F105,"")</f>
        <v>4416</v>
      </c>
      <c r="AS42">
        <f>IF(C42&lt;&gt;"",安値!F105,"")</f>
        <v>4245</v>
      </c>
      <c r="AT42" t="str">
        <f>IF(OR(C42="",AQ42="",AR42="",AS42="",AR42-AS42&lt;=0),"-",IF(AND(AR42-MAX(G42,AQ42)&gt;=ABS(G42-AQ42)*2,MIN(G42,AQ42)-AS42&lt;=ABS(G42-AQ42)*0.5,ABS(G42-AQ42)&gt;0),"上ヒゲ陰線▼",IF(AND(G42&lt;AQ42,ABS(G42-AQ42)&gt;=(AR42-AS42)*0.7),"大陰線▼",IF(AND(MIN(G42,AQ42)-AS42&gt;=(AR42-AS42)*0.5,AR42-MAX(G42,AQ42)&lt;=(AR42-AS42)*0.2),"長い下ヒゲ(反発)","通常"))))</f>
        <v>通常</v>
      </c>
      <c r="AU42">
        <f>IF(AT42="上ヒゲ陰線▼",2,IF(AT42="大陰線▼",2,IF(AT42="長い下ヒゲ(反発)",-2,0)))</f>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7180</v>
      </c>
      <c r="F43" s="326">
        <f>IF(C43&lt;&gt;"",_xll.RssMarket(C43,"始値"),"")</f>
        <v>6990</v>
      </c>
      <c r="G43" s="325">
        <f>IF(C43&lt;&gt;"",終値!F159,"")</f>
        <v>7310</v>
      </c>
      <c r="H43" s="326">
        <f>IF(C43&lt;&gt;"",_xll.RssMarket(C43,"高値"),"")</f>
        <v>7320</v>
      </c>
      <c r="I43" s="326">
        <f>IF(C43&lt;&gt;"",_xll.RssMarket(C43,"安値"),"")</f>
        <v>6730</v>
      </c>
      <c r="J43" s="326">
        <f>IF(C43&lt;&gt;"",_xll.RssMarket(C43,"出来高"),"")</f>
        <v>210000</v>
      </c>
      <c r="K43" s="326">
        <f>IF(C43&lt;&gt;"",_xll.RssMarket(C43,"年初来高値"),"")</f>
        <v>11110</v>
      </c>
      <c r="L43" s="327">
        <f>IF(AND(E43&lt;&gt;"",K43&lt;&gt;"",K43&lt;&gt;0),(E43-K43)/K43*100,"")</f>
        <v>-35.373537353735372</v>
      </c>
      <c r="M43" s="326">
        <f>IF(C43&lt;&gt;"",IFERROR(AVERAGE(出来高!E159:I159),""),"")</f>
        <v>385740</v>
      </c>
      <c r="N43" s="326">
        <f>IF(C43&lt;&gt;"",IFERROR(AVERAGE(出来高!E159:AC159),""),"")</f>
        <v>221476</v>
      </c>
      <c r="O43" s="328">
        <f>IF(AND(J43&lt;&gt;"",M43&lt;&gt;"",M43&lt;&gt;0),J43/M43,"")</f>
        <v>0.54440815056773995</v>
      </c>
      <c r="P43" s="325" t="str">
        <f>IF(O43="","",IF(O43&gt;=2,"急増↑↑",IF(O43&gt;=1.5,"増加↑",IF(O43&gt;=1,"普通→","減少↓"))))</f>
        <v>減少↓</v>
      </c>
      <c r="Q43" s="325" t="str">
        <f>IF(E43="","",IF(AND(E43&lt;G43,O43&gt;=1.5),"売り▼",IF(E43&gt;G43,"様子見▲","中立→")))</f>
        <v>中立→</v>
      </c>
      <c r="R43" s="326">
        <f>IF(E43&lt;&gt;"",ROUND(E43*0.92,0),"")</f>
        <v>6606</v>
      </c>
      <c r="S43" s="326">
        <f>IF(E43&lt;&gt;"",ROUND(E43*1.04,0),"")</f>
        <v>7467</v>
      </c>
      <c r="T43" s="325">
        <f>IF(C43="","",IFERROR(IF(W43&gt;=70,3,IF(W43&gt;=60,2,IF(W43&gt;=50,1,0)))+IF(X43&lt;0,2,0)+IF(AD43="下降トレンド▼",3,IF(AD43="もみ合い→",1,0))+IF(V43="年初来安値圏●",3,IF(V43="安値圏",2,0))+IF(Q43="売り▼",2,0)+IF(P43="急増↑↑",2,IF(P43="増加↑",1,0))+IF(Z43&lt;0,1,0)+IF(L43&lt;=-30,2,IF(L43&lt;=-15,1,0))+IF(AE43="25日戻り売り★",2,IF(AE43="5日戻り売り○",1,0))+N(AL43)+N(AP43)+N(AU43),0))</f>
        <v>10</v>
      </c>
      <c r="U43" s="325" t="str">
        <f>IF(T43="","",IF(AND(T43&gt;=3,O43&gt;=1.5),"有効",IF(T43&gt;=3,"要確認","除外")))</f>
        <v>要確認</v>
      </c>
      <c r="V43" s="325" t="str">
        <f>IF(AND(I43&lt;&gt;"",K43&lt;&gt;""),IF(I43&lt;=K43*0.6,"年初来安値圏●",IF(I43&lt;=K43*0.75,"安値圏","通常")),"")</f>
        <v>安値圏</v>
      </c>
      <c r="W43" s="329">
        <f t="array" ref="W43">IFERROR(100-100/(1+SUMPRODUCT((終値!F159:R159&gt;終値!G159:S159)*(終値!F159:R159-終値!G159:S159))/SUMPRODUCT((終値!F159:R159&lt;終値!G159:S159)*(終値!G159:S159-終値!F159:R159))),50)</f>
        <v>44.277673545966223</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-164.17847149526642</v>
      </c>
      <c r="Y43" s="325" t="str">
        <f>IF(AF43="","",AF43&amp;" | "&amp;AD43&amp;IF(AE43&lt;&gt;"なし"," "&amp;AE43,"")&amp;IF(X43&lt;0," MACD-"," MACD+")&amp;" RSI:"&amp;TEXT(W43,"0.0")&amp;IF(W43&gt;=70," [過熱]",IF(W43&lt;=30," [売られ過ぎ]",""))&amp;" 前日比:"&amp;TEXT(Z43,"+0.0;-0.0;0.0")&amp;"%"&amp;IF(V43="年初来安値圏●"," [年初来安値圏]",IF(V43="安値圏"," [安値圏]",""))&amp;IF(OR(AO43="通常",AO43="-"),""," ["&amp;AO43&amp;"]")&amp;IF(OR(AT43="通常",AT43="-"),"","前日["&amp;AT43&amp;"]")&amp;" ["&amp;T43&amp;"点]")</f>
        <v>相場上昇・見送り | 上昇トレンド▲ MACD- RSI:44.3 前日比:-1.8% [安値圏] [10点]</v>
      </c>
      <c r="Z43" s="331">
        <f>IF(AND(E43&lt;&gt;"",G43&lt;&gt;"",G43&lt;&gt;0),(E43-G43)/G43*100,"")</f>
        <v>-1.7783857729138166</v>
      </c>
      <c r="AA43" s="325" t="str">
        <f>IF(OR(C43="",E43="",E43=0),"",IF(E43&gt;G43,"上昇▲",IF(E43&lt;G43,"下落▼","横ばい→")))</f>
        <v>下落▼</v>
      </c>
      <c r="AB43" s="326">
        <f>IF(OR(C43="",C43="TOPX",終値!E159=""),"",IFERROR(((終値!E159*0.333)+(終値!F159*0.222)+(終値!G159*0.148)+(終値!H159*0.099)+(終値!I159*0.066))/(0.333+0.222+0.148+0.099+0.066),""))</f>
        <v>7072.0391705069123</v>
      </c>
      <c r="AC43" s="326">
        <f>IF(OR(C43="",C43="TOPX",終値!E159=""),"",IFERROR(SUMPRODUCT((終値!E159:AC159),{0.077,0.071,0.065,0.06,0.055,0.051,0.047,0.043,0.039,0.036,0.033,0.031,0.028,0.026,0.024,0.022,0.02,0.018,0.017,0.016,0.014,0.013,0.012,0.011,0.01})/SUM({0.077,0.071,0.065,0.06,0.055,0.051,0.047,0.043,0.039,0.036,0.033,0.031,0.028,0.026,0.024,0.022,0.02,0.018,0.017,0.016,0.014,0.013,0.012,0.011,0.01}),""))</f>
        <v>7072.6936829558972</v>
      </c>
      <c r="AD43" s="325" t="str">
        <f>IF(OR(C43="",AB43="",AC43="",AB43=0,AC43=0),"",IF(AND(E43&gt;AB43,AB43&gt;AC43),"パーフェクト▲",IF(E43&gt;AC43,"上昇トレンド▲",IF(AND(E43&lt;AB43,AB43&lt;AC43),"下降トレンド▼","もみ合い→"))))</f>
        <v>上昇トレンド▲</v>
      </c>
      <c r="AE43" s="325" t="str">
        <f>IF(OR(C43="",AB43="",AC43=""),"",IF(AND(ABS(E43-AC43)/AC43&lt;=0.02,E43&lt;AC43),"25日戻り売り★",IF(AND(ABS(E43-AB43)/AB43&lt;=0.01,E43&lt;AB43),"5日戻り売り○","なし")))</f>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相場上昇・見送り</v>
      </c>
      <c r="AG43">
        <f>IF(AND(T43&gt;=7,C43&lt;&gt;""),T43,0)</f>
        <v>10</v>
      </c>
      <c r="AH43">
        <f>IF(AG43&gt;0,AG43*10000-ROW(A43),0)</f>
        <v>99957</v>
      </c>
      <c r="AI43" s="373">
        <f t="array" ref="AI43">IF(C43="","",IFERROR((INDEX(終値!$E:$E,MATCH(TEXT(C43,"0"),終値!$A:$A,0))-INDEX(終値!$E:$CZ,MATCH(TEXT(C43,"0"),終値!$A:$A,0),$AN$2))/INDEX(終値!$E:$CZ,MATCH(TEXT(C43,"0"),終値!$A:$A,0),$AN$2)*100,""))</f>
        <v>-30.291262135922331</v>
      </c>
      <c r="AJ43" s="373">
        <f t="array" ref="AJ43">IFERROR((終値!$E$5-INDEX(終値!$E$5:$IT$5,1,$AN$2))/INDEX(終値!$E$5:$IT$5,1,$AN$2)*100,"")</f>
        <v>1.0179378228534113</v>
      </c>
      <c r="AK43" s="374">
        <f>IF(OR(AI43="",AJ43=""),"",AI43-AJ43)</f>
        <v>-31.309199958775743</v>
      </c>
      <c r="AL43" s="372">
        <f>IF(AK43="","",IF(AK43&lt;-5,3,IF(AK43&lt;0,1,IF(AK43&lt;3,-1,-2))))</f>
        <v>3</v>
      </c>
      <c r="AO43" s="376" t="str">
        <f>IF(OR($C43="",$E43="",$F43="",$H43="",$I43="",$H43-$I43&lt;=0),"-",IF(AND($H43-MAX($F43,$E43)&gt;=ABS($E43-$F43)*2,MIN($F43,$E43)-$I43&lt;=ABS($E43-$F43)*0.5,ABS($E43-$F43)&gt;0),"上ヒゲ陰線▼",IF(AND($E43&lt;$F43,ABS($E43-$F43)&gt;=($H43-$I43)*0.7),"大陰線▼",IF(AND(MIN($F43,$E43)-$I43&gt;=($H43-$I43)*0.5,$H43-MAX($F43,$E43)&lt;=($H43-$I43)*0.2),"長い下ヒゲ(反発警戒)","通常"))))</f>
        <v>通常</v>
      </c>
      <c r="AP43" s="377">
        <f>IF($AO43="上ヒゲ陰線▼",2,IF($AO43="大陰線▼",2,IF($AO43="長い下ヒゲ(反発警戒)",-2,0)))</f>
        <v>0</v>
      </c>
      <c r="AQ43">
        <f>IF(C43&lt;&gt;"",始値!F159,"")</f>
        <v>7300</v>
      </c>
      <c r="AR43">
        <f>IF(C43&lt;&gt;"",高値!F159,"")</f>
        <v>7700</v>
      </c>
      <c r="AS43">
        <f>IF(C43&lt;&gt;"",安値!F159,"")</f>
        <v>7140</v>
      </c>
      <c r="AT43" t="str">
        <f>IF(OR(C43="",AQ43="",AR43="",AS43="",AR43-AS43&lt;=0),"-",IF(AND(AR43-MAX(G43,AQ43)&gt;=ABS(G43-AQ43)*2,MIN(G43,AQ43)-AS43&lt;=ABS(G43-AQ43)*0.5,ABS(G43-AQ43)&gt;0),"上ヒゲ陰線▼",IF(AND(G43&lt;AQ43,ABS(G43-AQ43)&gt;=(AR43-AS43)*0.7),"大陰線▼",IF(AND(MIN(G43,AQ43)-AS43&gt;=(AR43-AS43)*0.5,AR43-MAX(G43,AQ43)&lt;=(AR43-AS43)*0.2),"長い下ヒゲ(反発)","通常"))))</f>
        <v>通常</v>
      </c>
      <c r="AU43">
        <f>IF(AT43="上ヒゲ陰線▼",2,IF(AT43="大陰線▼",2,IF(AT43="長い下ヒゲ(反発)",-2,0)))</f>
        <v>0</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4395</v>
      </c>
      <c r="F44" s="333">
        <f>IF(C44&lt;&gt;"",_xll.RssMarket(C44,"始値"),"")</f>
        <v>4445</v>
      </c>
      <c r="G44" s="212">
        <f>IF(C44&lt;&gt;"",終値!F162,"")</f>
        <v>4445</v>
      </c>
      <c r="H44" s="333">
        <f>IF(C44&lt;&gt;"",_xll.RssMarket(C44,"高値"),"")</f>
        <v>4445</v>
      </c>
      <c r="I44" s="333">
        <f>IF(C44&lt;&gt;"",_xll.RssMarket(C44,"安値"),"")</f>
        <v>4395</v>
      </c>
      <c r="J44" s="333">
        <f>IF(C44&lt;&gt;"",_xll.RssMarket(C44,"出来高"),"")</f>
        <v>500</v>
      </c>
      <c r="K44" s="333">
        <f>IF(C44&lt;&gt;"",_xll.RssMarket(C44,"年初来高値"),"")</f>
        <v>5320</v>
      </c>
      <c r="L44" s="334">
        <f>IF(AND(E44&lt;&gt;"",K44&lt;&gt;"",K44&lt;&gt;0),(E44-K44)/K44*100,"")</f>
        <v>-17.387218045112782</v>
      </c>
      <c r="M44" s="333">
        <f>IF(C44&lt;&gt;"",IFERROR(AVERAGE(出来高!E162:I162),""),"")</f>
        <v>780</v>
      </c>
      <c r="N44" s="333">
        <f>IF(C44&lt;&gt;"",IFERROR(AVERAGE(出来高!E162:AC162),""),"")</f>
        <v>1270.8333333333333</v>
      </c>
      <c r="O44" s="335">
        <f>IF(AND(J44&lt;&gt;"",M44&lt;&gt;"",M44&lt;&gt;0),J44/M44,"")</f>
        <v>0.64102564102564108</v>
      </c>
      <c r="P44" s="212" t="str">
        <f>IF(O44="","",IF(O44&gt;=2,"急増↑↑",IF(O44&gt;=1.5,"増加↑",IF(O44&gt;=1,"普通→","減少↓"))))</f>
        <v>減少↓</v>
      </c>
      <c r="Q44" s="212" t="str">
        <f>IF(E44="","",IF(AND(E44&lt;G44,O44&gt;=1.5),"売り▼",IF(E44&gt;G44,"様子見▲","中立→")))</f>
        <v>中立→</v>
      </c>
      <c r="R44" s="333">
        <f>IF(E44&lt;&gt;"",ROUND(E44*0.92,0),"")</f>
        <v>4043</v>
      </c>
      <c r="S44" s="333">
        <f>IF(E44&lt;&gt;"",ROUND(E44*1.04,0),"")</f>
        <v>4571</v>
      </c>
      <c r="T44" s="325">
        <f>IF(C44="","",IFERROR(IF(W44&gt;=70,3,IF(W44&gt;=60,2,IF(W44&gt;=50,1,0)))+IF(X44&lt;0,2,0)+IF(AD44="下降トレンド▼",3,IF(AD44="もみ合い→",1,0))+IF(V44="年初来安値圏●",3,IF(V44="安値圏",2,0))+IF(Q44="売り▼",2,0)+IF(P44="急増↑↑",2,IF(P44="増加↑",1,0))+IF(Z44&lt;0,1,0)+IF(L44&lt;=-30,2,IF(L44&lt;=-15,1,0))+IF(AE44="25日戻り売り★",2,IF(AE44="5日戻り売り○",1,0))+N(AL44)+N(AP44)+N(AU44),0))</f>
        <v>9</v>
      </c>
      <c r="U44" s="212" t="str">
        <f>IF(T44="","",IF(AND(T44&gt;=3,O44&gt;=1.5),"有効",IF(T44&gt;=3,"要確認","除外")))</f>
        <v>要確認</v>
      </c>
      <c r="V44" s="212" t="str">
        <f>IF(AND(I44&lt;&gt;"",K44&lt;&gt;""),IF(I44&lt;=K44*0.6,"年初来安値圏●",IF(I44&lt;=K44*0.75,"安値圏","通常")),"")</f>
        <v>通常</v>
      </c>
      <c r="W44" s="336">
        <f t="array" ref="W44">IFERROR(100-100/(1+SUMPRODUCT((終値!F162:R162&gt;終値!G162:S162)*(終値!F162:R162-終値!G162:S162))/SUMPRODUCT((終値!F162:R162&lt;終値!G162:S162)*(終値!G162:S162-終値!F162:R162))),50)</f>
        <v>50.260688216892596</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-6.8651761868150061</v>
      </c>
      <c r="Y44" s="212" t="str">
        <f>IF(AF44="","",AF44&amp;" | "&amp;AD44&amp;IF(AE44&lt;&gt;"なし"," "&amp;AE44,"")&amp;IF(X44&lt;0," MACD-"," MACD+")&amp;" RSI:"&amp;TEXT(W44,"0.0")&amp;IF(W44&gt;=70," [過熱]",IF(W44&lt;=30," [売られ過ぎ]",""))&amp;" 前日比:"&amp;TEXT(Z44,"+0.0;-0.0;0.0")&amp;"%"&amp;IF(V44="年初来安値圏●"," [年初来安値圏]",IF(V44="安値圏"," [安値圏]",""))&amp;IF(OR(AO44="通常",AO44="-"),""," ["&amp;AO44&amp;"]")&amp;IF(OR(AT44="通常",AT44="-"),"","前日["&amp;AT44&amp;"]")&amp;" ["&amp;T44&amp;"点]")</f>
        <v>相場上昇・見送り | 上昇トレンド▲ 5日戻り売り○ MACD- RSI:50.3 前日比:-1.1% [大陰線▼] [9点]</v>
      </c>
      <c r="Z44" s="338">
        <f>IF(AND(E44&lt;&gt;"",G44&lt;&gt;"",G44&lt;&gt;0),(E44-G44)/G44*100,"")</f>
        <v>-1.124859392575928</v>
      </c>
      <c r="AA44" s="212" t="str">
        <f>IF(OR(C44="",E44="",E44=0),"",IF(E44&gt;G44,"上昇▲",IF(E44&lt;G44,"下落▼","横ばい→")))</f>
        <v>下落▼</v>
      </c>
      <c r="AB44" s="333">
        <f>IF(OR(C44="",C44="TOPX",終値!E162=""),"",IFERROR(((終値!E162*0.333)+(終値!F162*0.222)+(終値!G162*0.148)+(終値!H162*0.099)+(終値!I162*0.066))/(0.333+0.222+0.148+0.099+0.066),""))</f>
        <v>4413.6923963133631</v>
      </c>
      <c r="AC44" s="333">
        <f>IF(OR(C44="",C44="TOPX",終値!E162=""),"",IFERROR(SUMPRODUCT((終値!E162:AC162),{0.077,0.071,0.065,0.06,0.055,0.051,0.047,0.043,0.039,0.036,0.033,0.031,0.028,0.026,0.024,0.022,0.02,0.018,0.017,0.016,0.014,0.013,0.012,0.011,0.01})/SUM({0.077,0.071,0.065,0.06,0.055,0.051,0.047,0.043,0.039,0.036,0.033,0.031,0.028,0.026,0.024,0.022,0.02,0.018,0.017,0.016,0.014,0.013,0.012,0.011,0.01}),""))</f>
        <v>4247.7890345649566</v>
      </c>
      <c r="AD44" s="212" t="str">
        <f>IF(OR(C44="",AB44="",AC44="",AB44=0,AC44=0),"",IF(AND(E44&gt;AB44,AB44&gt;AC44),"パーフェクト▲",IF(E44&gt;AC44,"上昇トレンド▲",IF(AND(E44&lt;AB44,AB44&lt;AC44),"下降トレンド▼","もみ合い→"))))</f>
        <v>上昇トレンド▲</v>
      </c>
      <c r="AE44" s="212" t="str">
        <f>IF(OR(C44="",AB44="",AC44=""),"",IF(AND(ABS(E44-AC44)/AC44&lt;=0.02,E44&lt;AC44),"25日戻り売り★",IF(AND(ABS(E44-AB44)/AB44&lt;=0.01,E44&lt;AB44),"5日戻り売り○","なし")))</f>
        <v>5日戻り売り○</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相場上昇・見送り</v>
      </c>
      <c r="AG44">
        <f>IF(AND(T44&gt;=7,C44&lt;&gt;""),T44,0)</f>
        <v>9</v>
      </c>
      <c r="AH44">
        <f>IF(AG44&gt;0,AG44*10000-ROW(A44),0)</f>
        <v>89956</v>
      </c>
      <c r="AI44" s="373">
        <f t="array" ref="AI44">IF(C44="","",IFERROR((INDEX(終値!$E:$E,MATCH(TEXT(C44,"0"),終値!$A:$A,0))-INDEX(終値!$E:$CZ,MATCH(TEXT(C44,"0"),終値!$A:$A,0),$AN$2))/INDEX(終値!$E:$CZ,MATCH(TEXT(C44,"0"),終値!$A:$A,0),$AN$2)*100,""))</f>
        <v>0.57208237986270016</v>
      </c>
      <c r="AJ44" s="373">
        <f t="array" ref="AJ44">IFERROR((終値!$E$5-INDEX(終値!$E$5:$IT$5,1,$AN$2))/INDEX(終値!$E$5:$IT$5,1,$AN$2)*100,"")</f>
        <v>1.0179378228534113</v>
      </c>
      <c r="AK44" s="374">
        <f>IF(OR(AI44="",AJ44=""),"",AI44-AJ44)</f>
        <v>-0.44585544299071111</v>
      </c>
      <c r="AL44" s="372">
        <f>IF(AK44="","",IF(AK44&lt;-5,3,IF(AK44&lt;0,1,IF(AK44&lt;3,-1,-2))))</f>
        <v>1</v>
      </c>
      <c r="AO44" s="376" t="str">
        <f>IF(OR($C44="",$E44="",$F44="",$H44="",$I44="",$H44-$I44&lt;=0),"-",IF(AND($H44-MAX($F44,$E44)&gt;=ABS($E44-$F44)*2,MIN($F44,$E44)-$I44&lt;=ABS($E44-$F44)*0.5,ABS($E44-$F44)&gt;0),"上ヒゲ陰線▼",IF(AND($E44&lt;$F44,ABS($E44-$F44)&gt;=($H44-$I44)*0.7),"大陰線▼",IF(AND(MIN($F44,$E44)-$I44&gt;=($H44-$I44)*0.5,$H44-MAX($F44,$E44)&lt;=($H44-$I44)*0.2),"長い下ヒゲ(反発警戒)","通常"))))</f>
        <v>大陰線▼</v>
      </c>
      <c r="AP44" s="377">
        <f>IF($AO44="上ヒゲ陰線▼",2,IF($AO44="大陰線▼",2,IF($AO44="長い下ヒゲ(反発警戒)",-2,0)))</f>
        <v>2</v>
      </c>
      <c r="AQ44">
        <f>IF(C44&lt;&gt;"",始値!F162,"")</f>
        <v>4375</v>
      </c>
      <c r="AR44">
        <f>IF(C44&lt;&gt;"",高値!F162,"")</f>
        <v>4445</v>
      </c>
      <c r="AS44">
        <f>IF(C44&lt;&gt;"",安値!F162,"")</f>
        <v>4375</v>
      </c>
      <c r="AT44" t="str">
        <f>IF(OR(C44="",AQ44="",AR44="",AS44="",AR44-AS44&lt;=0),"-",IF(AND(AR44-MAX(G44,AQ44)&gt;=ABS(G44-AQ44)*2,MIN(G44,AQ44)-AS44&lt;=ABS(G44-AQ44)*0.5,ABS(G44-AQ44)&gt;0),"上ヒゲ陰線▼",IF(AND(G44&lt;AQ44,ABS(G44-AQ44)&gt;=(AR44-AS44)*0.7),"大陰線▼",IF(AND(MIN(G44,AQ44)-AS44&gt;=(AR44-AS44)*0.5,AR44-MAX(G44,AQ44)&lt;=(AR44-AS44)*0.2),"長い下ヒゲ(反発)","通常"))))</f>
        <v>通常</v>
      </c>
      <c r="AU44">
        <f>IF(AT44="上ヒゲ陰線▼",2,IF(AT44="大陰線▼",2,IF(AT44="長い下ヒゲ(反発)",-2,0)))</f>
        <v>0</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3909</v>
      </c>
      <c r="F45" s="326">
        <f>IF(C45&lt;&gt;"",_xll.RssMarket(C45,"始値"),"")</f>
        <v>3781</v>
      </c>
      <c r="G45" s="325">
        <f>IF(C45&lt;&gt;"",終値!F200,"")</f>
        <v>3919</v>
      </c>
      <c r="H45" s="326">
        <f>IF(C45&lt;&gt;"",_xll.RssMarket(C45,"高値"),"")</f>
        <v>4085</v>
      </c>
      <c r="I45" s="326">
        <f>IF(C45&lt;&gt;"",_xll.RssMarket(C45,"安値"),"")</f>
        <v>3436</v>
      </c>
      <c r="J45" s="326">
        <f>IF(C45&lt;&gt;"",_xll.RssMarket(C45,"出来高"),"")</f>
        <v>72354600</v>
      </c>
      <c r="K45" s="326">
        <f>IF(C45&lt;&gt;"",_xll.RssMarket(C45,"年初来高値"),"")</f>
        <v>4870</v>
      </c>
      <c r="L45" s="327">
        <f>IF(AND(E45&lt;&gt;"",K45&lt;&gt;"",K45&lt;&gt;0),(E45-K45)/K45*100,"")</f>
        <v>-19.733059548254619</v>
      </c>
      <c r="M45" s="326">
        <f>IF(C45&lt;&gt;"",IFERROR(AVERAGE(出来高!E200:I200),""),"")</f>
        <v>37311000</v>
      </c>
      <c r="N45" s="326">
        <f>IF(C45&lt;&gt;"",IFERROR(AVERAGE(出来高!E200:AC200),""),"")</f>
        <v>22022140</v>
      </c>
      <c r="O45" s="328">
        <f>IF(AND(J45&lt;&gt;"",M45&lt;&gt;"",M45&lt;&gt;0),J45/M45,"")</f>
        <v>1.939229717777599</v>
      </c>
      <c r="P45" s="325" t="str">
        <f>IF(O45="","",IF(O45&gt;=2,"急増↑↑",IF(O45&gt;=1.5,"増加↑",IF(O45&gt;=1,"普通→","減少↓"))))</f>
        <v>増加↑</v>
      </c>
      <c r="Q45" s="325" t="str">
        <f>IF(E45="","",IF(AND(E45&lt;G45,O45&gt;=1.5),"売り▼",IF(E45&gt;G45,"様子見▲","中立→")))</f>
        <v>売り▼</v>
      </c>
      <c r="R45" s="326">
        <f>IF(E45&lt;&gt;"",ROUND(E45*0.92,0),"")</f>
        <v>3596</v>
      </c>
      <c r="S45" s="326">
        <f>IF(E45&lt;&gt;"",ROUND(E45*1.04,0),"")</f>
        <v>4065</v>
      </c>
      <c r="T45" s="325">
        <f>IF(C45="","",IFERROR(IF(W45&gt;=70,3,IF(W45&gt;=60,2,IF(W45&gt;=50,1,0)))+IF(X45&lt;0,2,0)+IF(AD45="下降トレンド▼",3,IF(AD45="もみ合い→",1,0))+IF(V45="年初来安値圏●",3,IF(V45="安値圏",2,0))+IF(Q45="売り▼",2,0)+IF(P45="急増↑↑",2,IF(P45="増加↑",1,0))+IF(Z45&lt;0,1,0)+IF(L45&lt;=-30,2,IF(L45&lt;=-15,1,0))+IF(AE45="25日戻り売り★",2,IF(AE45="5日戻り売り○",1,0))+N(AL45)+N(AP45)+N(AU45),0))</f>
        <v>13</v>
      </c>
      <c r="U45" s="325" t="str">
        <f>IF(T45="","",IF(AND(T45&gt;=3,O45&gt;=1.5),"有効",IF(T45&gt;=3,"要確認","除外")))</f>
        <v>有効</v>
      </c>
      <c r="V45" s="325" t="str">
        <f>IF(AND(I45&lt;&gt;"",K45&lt;&gt;""),IF(I45&lt;=K45*0.6,"年初来安値圏●",IF(I45&lt;=K45*0.75,"安値圏","通常")),"")</f>
        <v>安値圏</v>
      </c>
      <c r="W45" s="329">
        <f t="array" ref="W45">IFERROR(100-100/(1+SUMPRODUCT((終値!F200:R200&gt;終値!G200:S200)*(終値!F200:R200-終値!G200:S200))/SUMPRODUCT((終値!F200:R200&lt;終値!G200:S200)*(終値!G200:S200-終値!F200:R200))),50)</f>
        <v>52.869467366841711</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-23.200998849699317</v>
      </c>
      <c r="Y45" s="325" t="str">
        <f>IF(AF45="","",AF45&amp;" | "&amp;AD45&amp;IF(AE45&lt;&gt;"なし"," "&amp;AE45,"")&amp;IF(X45&lt;0," MACD-"," MACD+")&amp;" RSI:"&amp;TEXT(W45,"0.0")&amp;IF(W45&gt;=70," [過熱]",IF(W45&lt;=30," [売られ過ぎ]",""))&amp;" 前日比:"&amp;TEXT(Z45,"+0.0;-0.0;0.0")&amp;"%"&amp;IF(V45="年初来安値圏●"," [年初来安値圏]",IF(V45="安値圏"," [安値圏]",""))&amp;IF(OR(AO45="通常",AO45="-"),""," ["&amp;AO45&amp;"]")&amp;IF(OR(AT45="通常",AT45="-"),"","前日["&amp;AT45&amp;"]")&amp;" ["&amp;T45&amp;"点]")</f>
        <v>相場上昇・見送り | パーフェクト▲ MACD- RSI:52.9 前日比:-0.3% [安値圏] [13点]</v>
      </c>
      <c r="Z45" s="331">
        <f>IF(AND(E45&lt;&gt;"",G45&lt;&gt;"",G45&lt;&gt;0),(E45-G45)/G45*100,"")</f>
        <v>-0.25516713447307987</v>
      </c>
      <c r="AA45" s="325" t="str">
        <f>IF(OR(C45="",E45="",E45=0),"",IF(E45&gt;G45,"上昇▲",IF(E45&lt;G45,"下落▼","横ばい→")))</f>
        <v>下落▼</v>
      </c>
      <c r="AB45" s="326">
        <f>IF(OR(C45="",C45="TOPX",終値!E200=""),"",IFERROR(((終値!E200*0.333)+(終値!F200*0.222)+(終値!G200*0.148)+(終値!H200*0.099)+(終値!I200*0.066))/(0.333+0.222+0.148+0.099+0.066),""))</f>
        <v>3714.1163594470049</v>
      </c>
      <c r="AC45" s="326">
        <f>IF(OR(C45="",C45="TOPX",終値!E200=""),"",IFERROR(SUMPRODUCT((終値!E200:AC200),{0.077,0.071,0.065,0.06,0.055,0.051,0.047,0.043,0.039,0.036,0.033,0.031,0.028,0.026,0.024,0.022,0.02,0.018,0.017,0.016,0.014,0.013,0.012,0.011,0.01})/SUM({0.077,0.071,0.065,0.06,0.055,0.051,0.047,0.043,0.039,0.036,0.033,0.031,0.028,0.026,0.024,0.022,0.02,0.018,0.017,0.016,0.014,0.013,0.012,0.011,0.01}),""))</f>
        <v>3448.8641239570907</v>
      </c>
      <c r="AD45" s="325" t="str">
        <f>IF(OR(C45="",AB45="",AC45="",AB45=0,AC45=0),"",IF(AND(E45&gt;AB45,AB45&gt;AC45),"パーフェクト▲",IF(E45&gt;AC45,"上昇トレンド▲",IF(AND(E45&lt;AB45,AB45&lt;AC45),"下降トレンド▼","もみ合い→"))))</f>
        <v>パーフェクト▲</v>
      </c>
      <c r="AE45" s="325" t="str">
        <f>IF(OR(C45="",AB45="",AC45=""),"",IF(AND(ABS(E45-AC45)/AC45&lt;=0.02,E45&lt;AC45),"25日戻り売り★",IF(AND(ABS(E45-AB45)/AB45&lt;=0.01,E45&lt;AB45),"5日戻り売り○","なし")))</f>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相場上昇・見送り</v>
      </c>
      <c r="AG45">
        <f>IF(AND(T45&gt;=7,C45&lt;&gt;""),T45,0)</f>
        <v>13</v>
      </c>
      <c r="AH45">
        <f>IF(AG45&gt;0,AG45*10000-ROW(A45),0)</f>
        <v>129955</v>
      </c>
      <c r="AI45" s="373">
        <f t="array" ref="AI45">IF(C45="","",IFERROR((INDEX(終値!$E:$E,MATCH(TEXT(C45,"0"),終値!$A:$A,0))-INDEX(終値!$E:$CZ,MATCH(TEXT(C45,"0"),終値!$A:$A,0),$AN$2))/INDEX(終値!$E:$CZ,MATCH(TEXT(C45,"0"),終値!$A:$A,0),$AN$2)*100,""))</f>
        <v>-10.158584233509538</v>
      </c>
      <c r="AJ45" s="373">
        <f t="array" ref="AJ45">IFERROR((終値!$E$5-INDEX(終値!$E$5:$IT$5,1,$AN$2))/INDEX(終値!$E$5:$IT$5,1,$AN$2)*100,"")</f>
        <v>1.0179378228534113</v>
      </c>
      <c r="AK45" s="374">
        <f>IF(OR(AI45="",AJ45=""),"",AI45-AJ45)</f>
        <v>-11.17652205636295</v>
      </c>
      <c r="AL45" s="372">
        <f>IF(AK45="","",IF(AK45&lt;-5,3,IF(AK45&lt;0,1,IF(AK45&lt;3,-1,-2))))</f>
        <v>3</v>
      </c>
      <c r="AO45" s="376" t="str">
        <f>IF(OR($C45="",$E45="",$F45="",$H45="",$I45="",$H45-$I45&lt;=0),"-",IF(AND($H45-MAX($F45,$E45)&gt;=ABS($E45-$F45)*2,MIN($F45,$E45)-$I45&lt;=ABS($E45-$F45)*0.5,ABS($E45-$F45)&gt;0),"上ヒゲ陰線▼",IF(AND($E45&lt;$F45,ABS($E45-$F45)&gt;=($H45-$I45)*0.7),"大陰線▼",IF(AND(MIN($F45,$E45)-$I45&gt;=($H45-$I45)*0.5,$H45-MAX($F45,$E45)&lt;=($H45-$I45)*0.2),"長い下ヒゲ(反発警戒)","通常"))))</f>
        <v>通常</v>
      </c>
      <c r="AP45" s="377">
        <f>IF($AO45="上ヒゲ陰線▼",2,IF($AO45="大陰線▼",2,IF($AO45="長い下ヒゲ(反発警戒)",-2,0)))</f>
        <v>0</v>
      </c>
      <c r="AQ45">
        <f>IF(C45&lt;&gt;"",始値!F200,"")</f>
        <v>3846</v>
      </c>
      <c r="AR45">
        <f>IF(C45&lt;&gt;"",高値!F200,"")</f>
        <v>3976</v>
      </c>
      <c r="AS45">
        <f>IF(C45&lt;&gt;"",安値!F200,"")</f>
        <v>3781</v>
      </c>
      <c r="AT45" t="str">
        <f>IF(OR(C45="",AQ45="",AR45="",AS45="",AR45-AS45&lt;=0),"-",IF(AND(AR45-MAX(G45,AQ45)&gt;=ABS(G45-AQ45)*2,MIN(G45,AQ45)-AS45&lt;=ABS(G45-AQ45)*0.5,ABS(G45-AQ45)&gt;0),"上ヒゲ陰線▼",IF(AND(G45&lt;AQ45,ABS(G45-AQ45)&gt;=(AR45-AS45)*0.7),"大陰線▼",IF(AND(MIN(G45,AQ45)-AS45&gt;=(AR45-AS45)*0.5,AR45-MAX(G45,AQ45)&lt;=(AR45-AS45)*0.2),"長い下ヒゲ(反発)","通常"))))</f>
        <v>通常</v>
      </c>
      <c r="AU45">
        <f>IF(AT45="上ヒゲ陰線▼",2,IF(AT45="大陰線▼",2,IF(AT45="長い下ヒゲ(反発)",-2,0)))</f>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9088</v>
      </c>
      <c r="F46" s="333">
        <f>IF(C46&lt;&gt;"",_xll.RssMarket(C46,"始値"),"")</f>
        <v>8820</v>
      </c>
      <c r="G46" s="212">
        <f>IF(C46&lt;&gt;"",終値!F8,"")</f>
        <v>8563</v>
      </c>
      <c r="H46" s="333">
        <f>IF(C46&lt;&gt;"",_xll.RssMarket(C46,"高値"),"")</f>
        <v>9210</v>
      </c>
      <c r="I46" s="333">
        <f>IF(C46&lt;&gt;"",_xll.RssMarket(C46,"安値"),"")</f>
        <v>8800</v>
      </c>
      <c r="J46" s="333">
        <f>IF(C46&lt;&gt;"",_xll.RssMarket(C46,"出来高"),"")</f>
        <v>4906500</v>
      </c>
      <c r="K46" s="333">
        <f>IF(C46&lt;&gt;"",_xll.RssMarket(C46,"年初来高値"),"")</f>
        <v>13300</v>
      </c>
      <c r="L46" s="334">
        <f>IF(AND(E46&lt;&gt;"",K46&lt;&gt;"",K46&lt;&gt;0),(E46-K46)/K46*100,"")</f>
        <v>-31.669172932330824</v>
      </c>
      <c r="M46" s="333">
        <f>IF(C46&lt;&gt;"",IFERROR(AVERAGE(出来高!E8:I8),""),"")</f>
        <v>3732720</v>
      </c>
      <c r="N46" s="333">
        <f>IF(C46&lt;&gt;"",IFERROR(AVERAGE(出来高!E8:AC8),""),"")</f>
        <v>3060896</v>
      </c>
      <c r="O46" s="335">
        <f>IF(AND(J46&lt;&gt;"",M46&lt;&gt;"",M46&lt;&gt;0),J46/M46,"")</f>
        <v>1.3144570179386614</v>
      </c>
      <c r="P46" s="212" t="str">
        <f>IF(O46="","",IF(O46&gt;=2,"急増↑↑",IF(O46&gt;=1.5,"増加↑",IF(O46&gt;=1,"普通→","減少↓"))))</f>
        <v>普通→</v>
      </c>
      <c r="Q46" s="212" t="str">
        <f>IF(E46="","",IF(AND(E46&lt;G46,O46&gt;=1.5),"売り▼",IF(E46&gt;G46,"様子見▲","中立→")))</f>
        <v>様子見▲</v>
      </c>
      <c r="R46" s="333">
        <f>IF(E46&lt;&gt;"",ROUND(E46*0.92,0),"")</f>
        <v>8361</v>
      </c>
      <c r="S46" s="333">
        <f>IF(E46&lt;&gt;"",ROUND(E46*1.04,0),"")</f>
        <v>9452</v>
      </c>
      <c r="T46" s="325">
        <f>IF(C46="","",IFERROR(IF(W46&gt;=70,3,IF(W46&gt;=60,2,IF(W46&gt;=50,1,0)))+IF(X46&lt;0,2,0)+IF(AD46="下降トレンド▼",3,IF(AD46="もみ合い→",1,0))+IF(V46="年初来安値圏●",3,IF(V46="安値圏",2,0))+IF(Q46="売り▼",2,0)+IF(P46="急増↑↑",2,IF(P46="増加↑",1,0))+IF(Z46&lt;0,1,0)+IF(L46&lt;=-30,2,IF(L46&lt;=-15,1,0))+IF(AE46="25日戻り売り★",2,IF(AE46="5日戻り売り○",1,0))+N(AL46)+N(AP46)+N(AU46),0))</f>
        <v>4</v>
      </c>
      <c r="U46" s="212" t="str">
        <f>IF(T46="","",IF(AND(T46&gt;=3,O46&gt;=1.5),"有効",IF(T46&gt;=3,"要確認","除外")))</f>
        <v>要確認</v>
      </c>
      <c r="V46" s="212" t="str">
        <f>IF(AND(I46&lt;&gt;"",K46&lt;&gt;""),IF(I46&lt;=K46*0.6,"年初来安値圏●",IF(I46&lt;=K46*0.75,"安値圏","通常")),"")</f>
        <v>安値圏</v>
      </c>
      <c r="W46" s="336">
        <f t="array" ref="W46">IFERROR(100-100/(1+SUMPRODUCT((終値!F8:R8&gt;終値!G8:S8)*(終値!F8:R8-終値!G8:S8))/SUMPRODUCT((終値!F8:R8&lt;終値!G8:S8)*(終値!G8:S8-終値!F8:R8))),50)</f>
        <v>62.459686089013118</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147.36750066669811</v>
      </c>
      <c r="Y46" s="212" t="str">
        <f>IF(AF46="","",AF46&amp;" | "&amp;AD46&amp;IF(AE46&lt;&gt;"なし"," "&amp;AE46,"")&amp;IF(X46&lt;0," MACD-"," MACD+")&amp;" RSI:"&amp;TEXT(W46,"0.0")&amp;IF(W46&gt;=70," [過熱]",IF(W46&lt;=30," [売られ過ぎ]",""))&amp;" 前日比:"&amp;TEXT(Z46,"+0.0;-0.0;0.0")&amp;"%"&amp;IF(V46="年初来安値圏●"," [年初来安値圏]",IF(V46="安値圏"," [安値圏]",""))&amp;IF(OR(AO46="通常",AO46="-"),""," ["&amp;AO46&amp;"]")&amp;IF(OR(AT46="通常",AT46="-"),"","前日["&amp;AT46&amp;"]")&amp;" ["&amp;T46&amp;"点]")</f>
        <v>相場上昇・見送り | パーフェクト▲ MACD+ RSI:62.5 前日比:+6.1% [安値圏] [4点]</v>
      </c>
      <c r="Z46" s="338">
        <f>IF(AND(E46&lt;&gt;"",G46&lt;&gt;"",G46&lt;&gt;0),(E46-G46)/G46*100,"")</f>
        <v>6.1310288450309471</v>
      </c>
      <c r="AA46" s="212" t="str">
        <f>IF(OR(C46="",E46="",E46=0),"",IF(E46&gt;G46,"上昇▲",IF(E46&lt;G46,"下落▼","横ばい→")))</f>
        <v>上昇▲</v>
      </c>
      <c r="AB46" s="333">
        <f>IF(OR(C46="",C46="TOPX",終値!E8=""),"",IFERROR(((終値!E8*0.333)+(終値!F8*0.222)+(終値!G8*0.148)+(終値!H8*0.099)+(終値!I8*0.066))/(0.333+0.222+0.148+0.099+0.066),""))</f>
        <v>8580.9020737327173</v>
      </c>
      <c r="AC46" s="333">
        <f>IF(OR(C46="",C46="TOPX",終値!E8=""),"",IFERROR(SUMPRODUCT((終値!E8:AC8),{0.077,0.071,0.065,0.06,0.055,0.051,0.047,0.043,0.039,0.036,0.033,0.031,0.028,0.026,0.024,0.022,0.02,0.018,0.017,0.016,0.014,0.013,0.012,0.011,0.01})/SUM({0.077,0.071,0.065,0.06,0.055,0.051,0.047,0.043,0.039,0.036,0.033,0.031,0.028,0.026,0.024,0.022,0.02,0.018,0.017,0.016,0.014,0.013,0.012,0.011,0.01}),""))</f>
        <v>7815.4922526817591</v>
      </c>
      <c r="AD46" s="212" t="str">
        <f>IF(OR(C46="",AB46="",AC46="",AB46=0,AC46=0),"",IF(AND(E46&gt;AB46,AB46&gt;AC46),"パーフェクト▲",IF(E46&gt;AC46,"上昇トレンド▲",IF(AND(E46&lt;AB46,AB46&lt;AC46),"下降トレンド▼","もみ合い→"))))</f>
        <v>パーフェクト▲</v>
      </c>
      <c r="AE46" s="212" t="str">
        <f>IF(OR(C46="",AB46="",AC46=""),"",IF(AND(ABS(E46-AC46)/AC46&lt;=0.02,E46&lt;AC46),"25日戻り売り★",IF(AND(ABS(E46-AB46)/AB46&lt;=0.01,E46&lt;AB46),"5日戻り売り○","なし")))</f>
        <v>なし</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相場上昇・見送り</v>
      </c>
      <c r="AG46">
        <f>IF(AND(T46&gt;=7,C46&lt;&gt;""),T46,0)</f>
        <v>0</v>
      </c>
      <c r="AH46">
        <f>IF(AG46&gt;0,AG46*10000-ROW(A46),0)</f>
        <v>0</v>
      </c>
      <c r="AI46" s="373">
        <f t="array" ref="AI46">IF(C46="","",IFERROR((INDEX(終値!$E:$E,MATCH(TEXT(C46,"0"),終値!$A:$A,0))-INDEX(終値!$E:$CZ,MATCH(TEXT(C46,"0"),終値!$A:$A,0),$AN$2))/INDEX(終値!$E:$CZ,MATCH(TEXT(C46,"0"),終値!$A:$A,0),$AN$2)*100,""))</f>
        <v>23.882224645583424</v>
      </c>
      <c r="AJ46" s="373">
        <f t="array" ref="AJ46">IFERROR((終値!$E$5-INDEX(終値!$E$5:$IT$5,1,$AN$2))/INDEX(終値!$E$5:$IT$5,1,$AN$2)*100,"")</f>
        <v>1.0179378228534113</v>
      </c>
      <c r="AK46" s="374">
        <f>IF(OR(AI46="",AJ46=""),"",AI46-AJ46)</f>
        <v>22.864286822730012</v>
      </c>
      <c r="AL46" s="372">
        <f>IF(AK46="","",IF(AK46&lt;-5,3,IF(AK46&lt;0,1,IF(AK46&lt;3,-1,-2))))</f>
        <v>-2</v>
      </c>
      <c r="AO46" s="376" t="str">
        <f>IF(OR($C46="",$E46="",$F46="",$H46="",$I46="",$H46-$I46&lt;=0),"-",IF(AND($H46-MAX($F46,$E46)&gt;=ABS($E46-$F46)*2,MIN($F46,$E46)-$I46&lt;=ABS($E46-$F46)*0.5,ABS($E46-$F46)&gt;0),"上ヒゲ陰線▼",IF(AND($E46&lt;$F46,ABS($E46-$F46)&gt;=($H46-$I46)*0.7),"大陰線▼",IF(AND(MIN($F46,$E46)-$I46&gt;=($H46-$I46)*0.5,$H46-MAX($F46,$E46)&lt;=($H46-$I46)*0.2),"長い下ヒゲ(反発警戒)","通常"))))</f>
        <v>通常</v>
      </c>
      <c r="AP46" s="377">
        <f>IF($AO46="上ヒゲ陰線▼",2,IF($AO46="大陰線▼",2,IF($AO46="長い下ヒゲ(反発警戒)",-2,0)))</f>
        <v>0</v>
      </c>
      <c r="AQ46">
        <f>IF(C46&lt;&gt;"",始値!F8,"")</f>
        <v>8358</v>
      </c>
      <c r="AR46">
        <f>IF(C46&lt;&gt;"",高値!F8,"")</f>
        <v>8592</v>
      </c>
      <c r="AS46">
        <f>IF(C46&lt;&gt;"",安値!F8,"")</f>
        <v>8233</v>
      </c>
      <c r="AT46" t="str">
        <f>IF(OR(C46="",AQ46="",AR46="",AS46="",AR46-AS46&lt;=0),"-",IF(AND(AR46-MAX(G46,AQ46)&gt;=ABS(G46-AQ46)*2,MIN(G46,AQ46)-AS46&lt;=ABS(G46-AQ46)*0.5,ABS(G46-AQ46)&gt;0),"上ヒゲ陰線▼",IF(AND(G46&lt;AQ46,ABS(G46-AQ46)&gt;=(AR46-AS46)*0.7),"大陰線▼",IF(AND(MIN(G46,AQ46)-AS46&gt;=(AR46-AS46)*0.5,AR46-MAX(G46,AQ46)&lt;=(AR46-AS46)*0.2),"長い下ヒゲ(反発)","通常"))))</f>
        <v>通常</v>
      </c>
      <c r="AU46">
        <f>IF(AT46="上ヒゲ陰線▼",2,IF(AT46="大陰線▼",2,IF(AT46="長い下ヒゲ(反発)",-2,0)))</f>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8907</v>
      </c>
      <c r="F47" s="326">
        <f>IF(C47&lt;&gt;"",_xll.RssMarket(C47,"始値"),"")</f>
        <v>8664</v>
      </c>
      <c r="G47" s="325">
        <f>IF(C47&lt;&gt;"",終値!F10,"")</f>
        <v>8559</v>
      </c>
      <c r="H47" s="326">
        <f>IF(C47&lt;&gt;"",_xll.RssMarket(C47,"高値"),"")</f>
        <v>8999</v>
      </c>
      <c r="I47" s="326">
        <f>IF(C47&lt;&gt;"",_xll.RssMarket(C47,"安値"),"")</f>
        <v>8602</v>
      </c>
      <c r="J47" s="326">
        <f>IF(C47&lt;&gt;"",_xll.RssMarket(C47,"出来高"),"")</f>
        <v>894700</v>
      </c>
      <c r="K47" s="326">
        <f>IF(C47&lt;&gt;"",_xll.RssMarket(C47,"年初来高値"),"")</f>
        <v>12380</v>
      </c>
      <c r="L47" s="327">
        <f>IF(AND(E47&lt;&gt;"",K47&lt;&gt;"",K47&lt;&gt;0),(E47-K47)/K47*100,"")</f>
        <v>-28.053311793214863</v>
      </c>
      <c r="M47" s="326">
        <f>IF(C47&lt;&gt;"",IFERROR(AVERAGE(出来高!E10:I10),""),"")</f>
        <v>575340</v>
      </c>
      <c r="N47" s="326">
        <f>IF(C47&lt;&gt;"",IFERROR(AVERAGE(出来高!E10:AC10),""),"")</f>
        <v>491308</v>
      </c>
      <c r="O47" s="328">
        <f>IF(AND(J47&lt;&gt;"",M47&lt;&gt;"",M47&lt;&gt;0),J47/M47,"")</f>
        <v>1.5550804741544131</v>
      </c>
      <c r="P47" s="325" t="str">
        <f>IF(O47="","",IF(O47&gt;=2,"急増↑↑",IF(O47&gt;=1.5,"増加↑",IF(O47&gt;=1,"普通→","減少↓"))))</f>
        <v>増加↑</v>
      </c>
      <c r="Q47" s="325" t="str">
        <f>IF(E47="","",IF(AND(E47&lt;G47,O47&gt;=1.5),"売り▼",IF(E47&gt;G47,"様子見▲","中立→")))</f>
        <v>様子見▲</v>
      </c>
      <c r="R47" s="326">
        <f>IF(E47&lt;&gt;"",ROUND(E47*0.92,0),"")</f>
        <v>8194</v>
      </c>
      <c r="S47" s="326">
        <f>IF(E47&lt;&gt;"",ROUND(E47*1.04,0),"")</f>
        <v>9263</v>
      </c>
      <c r="T47" s="325">
        <f>IF(C47="","",IFERROR(IF(W47&gt;=70,3,IF(W47&gt;=60,2,IF(W47&gt;=50,1,0)))+IF(X47&lt;0,2,0)+IF(AD47="下降トレンド▼",3,IF(AD47="もみ合い→",1,0))+IF(V47="年初来安値圏●",3,IF(V47="安値圏",2,0))+IF(Q47="売り▼",2,0)+IF(P47="急増↑↑",2,IF(P47="増加↑",1,0))+IF(Z47&lt;0,1,0)+IF(L47&lt;=-30,2,IF(L47&lt;=-15,1,0))+IF(AE47="25日戻り売り★",2,IF(AE47="5日戻り売り○",1,0))+N(AL47)+N(AP47)+N(AU47),0))</f>
        <v>4</v>
      </c>
      <c r="U47" s="325" t="str">
        <f>IF(T47="","",IF(AND(T47&gt;=3,O47&gt;=1.5),"有効",IF(T47&gt;=3,"要確認","除外")))</f>
        <v>有効</v>
      </c>
      <c r="V47" s="325" t="str">
        <f>IF(AND(I47&lt;&gt;"",K47&lt;&gt;""),IF(I47&lt;=K47*0.6,"年初来安値圏●",IF(I47&lt;=K47*0.75,"安値圏","通常")),"")</f>
        <v>安値圏</v>
      </c>
      <c r="W47" s="329">
        <f t="array" ref="W47">IFERROR(100-100/(1+SUMPRODUCT((終値!F10:R10&gt;終値!G10:S10)*(終値!F10:R10-終値!G10:S10))/SUMPRODUCT((終値!F10:R10&lt;終値!G10:S10)*(終値!G10:S10-終値!F10:R10))),50)</f>
        <v>52.0393811533052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4.2658962183431868</v>
      </c>
      <c r="Y47" s="325" t="str">
        <f>IF(AF47="","",AF47&amp;" | "&amp;AD47&amp;IF(AE47&lt;&gt;"なし"," "&amp;AE47,"")&amp;IF(X47&lt;0," MACD-"," MACD+")&amp;" RSI:"&amp;TEXT(W47,"0.0")&amp;IF(W47&gt;=70," [過熱]",IF(W47&lt;=30," [売られ過ぎ]",""))&amp;" 前日比:"&amp;TEXT(Z47,"+0.0;-0.0;0.0")&amp;"%"&amp;IF(V47="年初来安値圏●"," [年初来安値圏]",IF(V47="安値圏"," [安値圏]",""))&amp;IF(OR(AO47="通常",AO47="-"),""," ["&amp;AO47&amp;"]")&amp;IF(OR(AT47="通常",AT47="-"),"","前日["&amp;AT47&amp;"]")&amp;" ["&amp;T47&amp;"点]")</f>
        <v>相場上昇・見送り | パーフェクト▲ MACD+ RSI:52.0 前日比:+4.1% [安値圏] [4点]</v>
      </c>
      <c r="Z47" s="331">
        <f>IF(AND(E47&lt;&gt;"",G47&lt;&gt;"",G47&lt;&gt;0),(E47-G47)/G47*100,"")</f>
        <v>4.0658955485453907</v>
      </c>
      <c r="AA47" s="325" t="str">
        <f>IF(OR(C47="",E47="",E47=0),"",IF(E47&gt;G47,"上昇▲",IF(E47&lt;G47,"下落▼","横ばい→")))</f>
        <v>上昇▲</v>
      </c>
      <c r="AB47" s="326">
        <f>IF(OR(C47="",C47="TOPX",終値!E10=""),"",IFERROR(((終値!E10*0.333)+(終値!F10*0.222)+(終値!G10*0.148)+(終値!H10*0.099)+(終値!I10*0.066))/(0.333+0.222+0.148+0.099+0.066),""))</f>
        <v>8560.525345622118</v>
      </c>
      <c r="AC47" s="326">
        <f>IF(OR(C47="",C47="TOPX",終値!E10=""),"",IFERROR(SUMPRODUCT((終値!E10:AC10),{0.077,0.071,0.065,0.06,0.055,0.051,0.047,0.043,0.039,0.036,0.033,0.031,0.028,0.026,0.024,0.022,0.02,0.018,0.017,0.016,0.014,0.013,0.012,0.011,0.01})/SUM({0.077,0.071,0.065,0.06,0.055,0.051,0.047,0.043,0.039,0.036,0.033,0.031,0.028,0.026,0.024,0.022,0.02,0.018,0.017,0.016,0.014,0.013,0.012,0.011,0.01}),""))</f>
        <v>8353.3885578069094</v>
      </c>
      <c r="AD47" s="325" t="str">
        <f>IF(OR(C47="",AB47="",AC47="",AB47=0,AC47=0),"",IF(AND(E47&gt;AB47,AB47&gt;AC47),"パーフェクト▲",IF(E47&gt;AC47,"上昇トレンド▲",IF(AND(E47&lt;AB47,AB47&lt;AC47),"下降トレンド▼","もみ合い→"))))</f>
        <v>パーフェクト▲</v>
      </c>
      <c r="AE47" s="325" t="str">
        <f>IF(OR(C47="",AB47="",AC47=""),"",IF(AND(ABS(E47-AC47)/AC47&lt;=0.02,E47&lt;AC47),"25日戻り売り★",IF(AND(ABS(E47-AB47)/AB47&lt;=0.01,E47&lt;AB47),"5日戻り売り○","なし")))</f>
        <v>なし</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相場上昇・見送り</v>
      </c>
      <c r="AG47">
        <f>IF(AND(T47&gt;=7,C47&lt;&gt;""),T47,0)</f>
        <v>0</v>
      </c>
      <c r="AH47">
        <f>IF(AG47&gt;0,AG47*10000-ROW(A47),0)</f>
        <v>0</v>
      </c>
      <c r="AI47" s="373">
        <f t="array" ref="AI47">IF(C47="","",IFERROR((INDEX(終値!$E:$E,MATCH(TEXT(C47,"0"),終値!$A:$A,0))-INDEX(終値!$E:$CZ,MATCH(TEXT(C47,"0"),終値!$A:$A,0),$AN$2))/INDEX(終値!$E:$CZ,MATCH(TEXT(C47,"0"),終値!$A:$A,0),$AN$2)*100,""))</f>
        <v>3.5456870495233668</v>
      </c>
      <c r="AJ47" s="373">
        <f t="array" ref="AJ47">IFERROR((終値!$E$5-INDEX(終値!$E$5:$IT$5,1,$AN$2))/INDEX(終値!$E$5:$IT$5,1,$AN$2)*100,"")</f>
        <v>1.0179378228534113</v>
      </c>
      <c r="AK47" s="374">
        <f>IF(OR(AI47="",AJ47=""),"",AI47-AJ47)</f>
        <v>2.5277492266699557</v>
      </c>
      <c r="AL47" s="372">
        <f>IF(AK47="","",IF(AK47&lt;-5,3,IF(AK47&lt;0,1,IF(AK47&lt;3,-1,-2))))</f>
        <v>-1</v>
      </c>
      <c r="AO47" s="376" t="str">
        <f>IF(OR($C47="",$E47="",$F47="",$H47="",$I47="",$H47-$I47&lt;=0),"-",IF(AND($H47-MAX($F47,$E47)&gt;=ABS($E47-$F47)*2,MIN($F47,$E47)-$I47&lt;=ABS($E47-$F47)*0.5,ABS($E47-$F47)&gt;0),"上ヒゲ陰線▼",IF(AND($E47&lt;$F47,ABS($E47-$F47)&gt;=($H47-$I47)*0.7),"大陰線▼",IF(AND(MIN($F47,$E47)-$I47&gt;=($H47-$I47)*0.5,$H47-MAX($F47,$E47)&lt;=($H47-$I47)*0.2),"長い下ヒゲ(反発警戒)","通常"))))</f>
        <v>通常</v>
      </c>
      <c r="AP47" s="377">
        <f>IF($AO47="上ヒゲ陰線▼",2,IF($AO47="大陰線▼",2,IF($AO47="長い下ヒゲ(反発警戒)",-2,0)))</f>
        <v>0</v>
      </c>
      <c r="AQ47">
        <f>IF(C47&lt;&gt;"",始値!F10,"")</f>
        <v>8347</v>
      </c>
      <c r="AR47">
        <f>IF(C47&lt;&gt;"",高値!F10,"")</f>
        <v>8628</v>
      </c>
      <c r="AS47">
        <f>IF(C47&lt;&gt;"",安値!F10,"")</f>
        <v>8330</v>
      </c>
      <c r="AT47" t="str">
        <f>IF(OR(C47="",AQ47="",AR47="",AS47="",AR47-AS47&lt;=0),"-",IF(AND(AR47-MAX(G47,AQ47)&gt;=ABS(G47-AQ47)*2,MIN(G47,AQ47)-AS47&lt;=ABS(G47-AQ47)*0.5,ABS(G47-AQ47)&gt;0),"上ヒゲ陰線▼",IF(AND(G47&lt;AQ47,ABS(G47-AQ47)&gt;=(AR47-AS47)*0.7),"大陰線▼",IF(AND(MIN(G47,AQ47)-AS47&gt;=(AR47-AS47)*0.5,AR47-MAX(G47,AQ47)&lt;=(AR47-AS47)*0.2),"長い下ヒゲ(反発)","通常"))))</f>
        <v>通常</v>
      </c>
      <c r="AU47">
        <f>IF(AT47="上ヒゲ陰線▼",2,IF(AT47="大陰線▼",2,IF(AT47="長い下ヒゲ(反発)",-2,0)))</f>
        <v>0</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2936</v>
      </c>
      <c r="F48" s="333">
        <f>IF(C48&lt;&gt;"",_xll.RssMarket(C48,"始値"),"")</f>
        <v>2930</v>
      </c>
      <c r="G48" s="212">
        <f>IF(C48&lt;&gt;"",終値!F13,"")</f>
        <v>2917</v>
      </c>
      <c r="H48" s="333">
        <f>IF(C48&lt;&gt;"",_xll.RssMarket(C48,"高値"),"")</f>
        <v>2989</v>
      </c>
      <c r="I48" s="333">
        <f>IF(C48&lt;&gt;"",_xll.RssMarket(C48,"安値"),"")</f>
        <v>2916</v>
      </c>
      <c r="J48" s="333">
        <f>IF(C48&lt;&gt;"",_xll.RssMarket(C48,"出来高"),"")</f>
        <v>281400</v>
      </c>
      <c r="K48" s="333">
        <f>IF(C48&lt;&gt;"",_xll.RssMarket(C48,"年初来高値"),"")</f>
        <v>3330</v>
      </c>
      <c r="L48" s="334">
        <f>IF(AND(E48&lt;&gt;"",K48&lt;&gt;"",K48&lt;&gt;0),(E48-K48)/K48*100,"")</f>
        <v>-11.831831831831833</v>
      </c>
      <c r="M48" s="333">
        <f>IF(C48&lt;&gt;"",IFERROR(AVERAGE(出来高!E13:I13),""),"")</f>
        <v>622000</v>
      </c>
      <c r="N48" s="333">
        <f>IF(C48&lt;&gt;"",IFERROR(AVERAGE(出来高!E13:AC13),""),"")</f>
        <v>390060</v>
      </c>
      <c r="O48" s="335">
        <f>IF(AND(J48&lt;&gt;"",M48&lt;&gt;"",M48&lt;&gt;0),J48/M48,"")</f>
        <v>0.45241157556270095</v>
      </c>
      <c r="P48" s="212" t="str">
        <f>IF(O48="","",IF(O48&gt;=2,"急増↑↑",IF(O48&gt;=1.5,"増加↑",IF(O48&gt;=1,"普通→","減少↓"))))</f>
        <v>減少↓</v>
      </c>
      <c r="Q48" s="212" t="str">
        <f>IF(E48="","",IF(AND(E48&lt;G48,O48&gt;=1.5),"売り▼",IF(E48&gt;G48,"様子見▲","中立→")))</f>
        <v>様子見▲</v>
      </c>
      <c r="R48" s="333">
        <f>IF(E48&lt;&gt;"",ROUND(E48*0.92,0),"")</f>
        <v>2701</v>
      </c>
      <c r="S48" s="333">
        <f>IF(E48&lt;&gt;"",ROUND(E48*1.04,0),"")</f>
        <v>3053</v>
      </c>
      <c r="T48" s="325">
        <f>IF(C48="","",IFERROR(IF(W48&gt;=70,3,IF(W48&gt;=60,2,IF(W48&gt;=50,1,0)))+IF(X48&lt;0,2,0)+IF(AD48="下降トレンド▼",3,IF(AD48="もみ合い→",1,0))+IF(V48="年初来安値圏●",3,IF(V48="安値圏",2,0))+IF(Q48="売り▼",2,0)+IF(P48="急増↑↑",2,IF(P48="増加↑",1,0))+IF(Z48&lt;0,1,0)+IF(L48&lt;=-30,2,IF(L48&lt;=-15,1,0))+IF(AE48="25日戻り売り★",2,IF(AE48="5日戻り売り○",1,0))+N(AL48)+N(AP48)+N(AU48),0))</f>
        <v>0</v>
      </c>
      <c r="U48" s="212" t="str">
        <f>IF(T48="","",IF(AND(T48&gt;=3,O48&gt;=1.5),"有効",IF(T48&gt;=3,"要確認","除外")))</f>
        <v>除外</v>
      </c>
      <c r="V48" s="212" t="str">
        <f>IF(AND(I48&lt;&gt;"",K48&lt;&gt;""),IF(I48&lt;=K48*0.6,"年初来安値圏●",IF(I48&lt;=K48*0.75,"安値圏","通常")),"")</f>
        <v>通常</v>
      </c>
      <c r="W48" s="336">
        <f t="array" ref="W48">IFERROR(100-100/(1+SUMPRODUCT((終値!F13:R13&gt;終値!G13:S13)*(終値!F13:R13-終値!G13:S13))/SUMPRODUCT((終値!F13:R13&lt;終値!G13:S13)*(終値!G13:S13-終値!F13:R13))),50)</f>
        <v>60.072376357056697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15.562675380814198</v>
      </c>
      <c r="Y48" s="212" t="str">
        <f>IF(AF48="","",AF48&amp;" | "&amp;AD48&amp;IF(AE48&lt;&gt;"なし"," "&amp;AE48,"")&amp;IF(X48&lt;0," MACD-"," MACD+")&amp;" RSI:"&amp;TEXT(W48,"0.0")&amp;IF(W48&gt;=70," [過熱]",IF(W48&lt;=30," [売られ過ぎ]",""))&amp;" 前日比:"&amp;TEXT(Z48,"+0.0;-0.0;0.0")&amp;"%"&amp;IF(V48="年初来安値圏●"," [年初来安値圏]",IF(V48="安値圏"," [安値圏]",""))&amp;IF(OR(AO48="通常",AO48="-"),""," ["&amp;AO48&amp;"]")&amp;IF(OR(AT48="通常",AT48="-"),"","前日["&amp;AT48&amp;"]")&amp;" ["&amp;T48&amp;"点]")</f>
        <v>相場上昇・見送り | パーフェクト▲ MACD+ RSI:60.1 前日比:+0.7% [0点]</v>
      </c>
      <c r="Z48" s="338">
        <f>IF(AND(E48&lt;&gt;"",G48&lt;&gt;"",G48&lt;&gt;0),(E48-G48)/G48*100,"")</f>
        <v>0.65135413095646211</v>
      </c>
      <c r="AA48" s="212" t="str">
        <f>IF(OR(C48="",E48="",E48=0),"",IF(E48&gt;G48,"上昇▲",IF(E48&lt;G48,"下落▼","横ばい→")))</f>
        <v>上昇▲</v>
      </c>
      <c r="AB48" s="333">
        <f>IF(OR(C48="",C48="TOPX",終値!E13=""),"",IFERROR(((終値!E13*0.333)+(終値!F13*0.222)+(終値!G13*0.148)+(終値!H13*0.099)+(終値!I13*0.066))/(0.333+0.222+0.148+0.099+0.066),""))</f>
        <v>2878.4343317972348</v>
      </c>
      <c r="AC48" s="333">
        <f>IF(OR(C48="",C48="TOPX",終値!E13=""),"",IFERROR(SUMPRODUCT((終値!E13:AC13),{0.077,0.071,0.065,0.06,0.055,0.051,0.047,0.043,0.039,0.036,0.033,0.031,0.028,0.026,0.024,0.022,0.02,0.018,0.017,0.016,0.014,0.013,0.012,0.011,0.01})/SUM({0.077,0.071,0.065,0.06,0.055,0.051,0.047,0.043,0.039,0.036,0.033,0.031,0.028,0.026,0.024,0.022,0.02,0.018,0.017,0.016,0.014,0.013,0.012,0.011,0.01}),""))</f>
        <v>2738.7044100119174</v>
      </c>
      <c r="AD48" s="212" t="str">
        <f>IF(OR(C48="",AB48="",AC48="",AB48=0,AC48=0),"",IF(AND(E48&gt;AB48,AB48&gt;AC48),"パーフェクト▲",IF(E48&gt;AC48,"上昇トレンド▲",IF(AND(E48&lt;AB48,AB48&lt;AC48),"下降トレンド▼","もみ合い→"))))</f>
        <v>パーフェクト▲</v>
      </c>
      <c r="AE48" s="212" t="str">
        <f>IF(OR(C48="",AB48="",AC48=""),"",IF(AND(ABS(E48-AC48)/AC48&lt;=0.02,E48&lt;AC48),"25日戻り売り★",IF(AND(ABS(E48-AB48)/AB48&lt;=0.01,E48&lt;AB48),"5日戻り売り○","なし")))</f>
        <v>なし</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相場上昇・見送り</v>
      </c>
      <c r="AG48">
        <f>IF(AND(T48&gt;=7,C48&lt;&gt;""),T48,0)</f>
        <v>0</v>
      </c>
      <c r="AH48">
        <f>IF(AG48&gt;0,AG48*10000-ROW(A48),0)</f>
        <v>0</v>
      </c>
      <c r="AI48" s="373">
        <f t="array" ref="AI48">IF(C48="","",IFERROR((INDEX(終値!$E:$E,MATCH(TEXT(C48,"0"),終値!$A:$A,0))-INDEX(終値!$E:$CZ,MATCH(TEXT(C48,"0"),終値!$A:$A,0),$AN$2))/INDEX(終値!$E:$CZ,MATCH(TEXT(C48,"0"),終値!$A:$A,0),$AN$2)*100,""))</f>
        <v>7.0751276440554349</v>
      </c>
      <c r="AJ48" s="373">
        <f t="array" ref="AJ48">IFERROR((終値!$E$5-INDEX(終値!$E$5:$IT$5,1,$AN$2))/INDEX(終値!$E$5:$IT$5,1,$AN$2)*100,"")</f>
        <v>1.0179378228534113</v>
      </c>
      <c r="AK48" s="374">
        <f>IF(OR(AI48="",AJ48=""),"",AI48-AJ48)</f>
        <v>6.0571898212020239</v>
      </c>
      <c r="AL48" s="372">
        <f>IF(AK48="","",IF(AK48&lt;-5,3,IF(AK48&lt;0,1,IF(AK48&lt;3,-1,-2))))</f>
        <v>-2</v>
      </c>
      <c r="AO48" s="376" t="str">
        <f>IF(OR($C48="",$E48="",$F48="",$H48="",$I48="",$H48-$I48&lt;=0),"-",IF(AND($H48-MAX($F48,$E48)&gt;=ABS($E48-$F48)*2,MIN($F48,$E48)-$I48&lt;=ABS($E48-$F48)*0.5,ABS($E48-$F48)&gt;0),"上ヒゲ陰線▼",IF(AND($E48&lt;$F48,ABS($E48-$F48)&gt;=($H48-$I48)*0.7),"大陰線▼",IF(AND(MIN($F48,$E48)-$I48&gt;=($H48-$I48)*0.5,$H48-MAX($F48,$E48)&lt;=($H48-$I48)*0.2),"長い下ヒゲ(反発警戒)","通常"))))</f>
        <v>通常</v>
      </c>
      <c r="AP48" s="377">
        <f>IF($AO48="上ヒゲ陰線▼",2,IF($AO48="大陰線▼",2,IF($AO48="長い下ヒゲ(反発警戒)",-2,0)))</f>
        <v>0</v>
      </c>
      <c r="AQ48">
        <f>IF(C48&lt;&gt;"",始値!F13,"")</f>
        <v>2841</v>
      </c>
      <c r="AR48">
        <f>IF(C48&lt;&gt;"",高値!F13,"")</f>
        <v>2917</v>
      </c>
      <c r="AS48">
        <f>IF(C48&lt;&gt;"",安値!F13,"")</f>
        <v>2811</v>
      </c>
      <c r="AT48" t="str">
        <f>IF(OR(C48="",AQ48="",AR48="",AS48="",AR48-AS48&lt;=0),"-",IF(AND(AR48-MAX(G48,AQ48)&gt;=ABS(G48-AQ48)*2,MIN(G48,AQ48)-AS48&lt;=ABS(G48-AQ48)*0.5,ABS(G48-AQ48)&gt;0),"上ヒゲ陰線▼",IF(AND(G48&lt;AQ48,ABS(G48-AQ48)&gt;=(AR48-AS48)*0.7),"大陰線▼",IF(AND(MIN(G48,AQ48)-AS48&gt;=(AR48-AS48)*0.5,AR48-MAX(G48,AQ48)&lt;=(AR48-AS48)*0.2),"長い下ヒゲ(反発)","通常"))))</f>
        <v>通常</v>
      </c>
      <c r="AU48">
        <f>IF(AT48="上ヒゲ陰線▼",2,IF(AT48="大陰線▼",2,IF(AT48="長い下ヒゲ(反発)",-2,0)))</f>
        <v>0</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1748.5</v>
      </c>
      <c r="F49" s="326">
        <f>IF(C49&lt;&gt;"",_xll.RssMarket(C49,"始値"),"")</f>
        <v>1713</v>
      </c>
      <c r="G49" s="325">
        <f>IF(C49&lt;&gt;"",終値!F25,"")</f>
        <v>1720.5</v>
      </c>
      <c r="H49" s="326">
        <f>IF(C49&lt;&gt;"",_xll.RssMarket(C49,"高値"),"")</f>
        <v>1768</v>
      </c>
      <c r="I49" s="326">
        <f>IF(C49&lt;&gt;"",_xll.RssMarket(C49,"安値"),"")</f>
        <v>1707</v>
      </c>
      <c r="J49" s="326">
        <f>IF(C49&lt;&gt;"",_xll.RssMarket(C49,"出来高"),"")</f>
        <v>10099400</v>
      </c>
      <c r="K49" s="326">
        <f>IF(C49&lt;&gt;"",_xll.RssMarket(C49,"年初来高値"),"")</f>
        <v>1720.5</v>
      </c>
      <c r="L49" s="327">
        <f>IF(AND(E49&lt;&gt;"",K49&lt;&gt;"",K49&lt;&gt;0),(E49-K49)/K49*100,"")</f>
        <v>1.6274338854984016</v>
      </c>
      <c r="M49" s="326">
        <f>IF(C49&lt;&gt;"",IFERROR(AVERAGE(出来高!E25:I25),""),"")</f>
        <v>16820420</v>
      </c>
      <c r="N49" s="326">
        <f>IF(C49&lt;&gt;"",IFERROR(AVERAGE(出来高!E25:AC25),""),"")</f>
        <v>12169588</v>
      </c>
      <c r="O49" s="328">
        <f>IF(AND(J49&lt;&gt;"",M49&lt;&gt;"",M49&lt;&gt;0),J49/M49,"")</f>
        <v>0.60042495966212495</v>
      </c>
      <c r="P49" s="325" t="str">
        <f>IF(O49="","",IF(O49&gt;=2,"急増↑↑",IF(O49&gt;=1.5,"増加↑",IF(O49&gt;=1,"普通→","減少↓"))))</f>
        <v>減少↓</v>
      </c>
      <c r="Q49" s="325" t="str">
        <f>IF(E49="","",IF(AND(E49&lt;G49,O49&gt;=1.5),"売り▼",IF(E49&gt;G49,"様子見▲","中立→")))</f>
        <v>様子見▲</v>
      </c>
      <c r="R49" s="326">
        <f>IF(E49&lt;&gt;"",ROUND(E49*0.92,0),"")</f>
        <v>1609</v>
      </c>
      <c r="S49" s="326">
        <f>IF(E49&lt;&gt;"",ROUND(E49*1.04,0),"")</f>
        <v>1818</v>
      </c>
      <c r="T49" s="325">
        <f>IF(C49="","",IFERROR(IF(W49&gt;=70,3,IF(W49&gt;=60,2,IF(W49&gt;=50,1,0)))+IF(X49&lt;0,2,0)+IF(AD49="下降トレンド▼",3,IF(AD49="もみ合い→",1,0))+IF(V49="年初来安値圏●",3,IF(V49="安値圏",2,0))+IF(Q49="売り▼",2,0)+IF(P49="急増↑↑",2,IF(P49="増加↑",1,0))+IF(Z49&lt;0,1,0)+IF(L49&lt;=-30,2,IF(L49&lt;=-15,1,0))+IF(AE49="25日戻り売り★",2,IF(AE49="5日戻り売り○",1,0))+N(AL49)+N(AP49)+N(AU49),0))</f>
        <v>0</v>
      </c>
      <c r="U49" s="325" t="str">
        <f>IF(T49="","",IF(AND(T49&gt;=3,O49&gt;=1.5),"有効",IF(T49&gt;=3,"要確認","除外")))</f>
        <v>除外</v>
      </c>
      <c r="V49" s="325" t="str">
        <f>IF(AND(I49&lt;&gt;"",K49&lt;&gt;""),IF(I49&lt;=K49*0.6,"年初来安値圏●",IF(I49&lt;=K49*0.75,"安値圏","通常")),"")</f>
        <v>通常</v>
      </c>
      <c r="W49" s="329">
        <f t="array" ref="W49">IFERROR(100-100/(1+SUMPRODUCT((終値!F25:R25&gt;終値!G25:S25)*(終値!F25:R25-終値!G25:S25))/SUMPRODUCT((終値!F25:R25&lt;終値!G25:S25)*(終値!G25:S25-終値!F25:R25))),50)</f>
        <v>66.091245376078916</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17.746866529480258</v>
      </c>
      <c r="Y49" s="325" t="str">
        <f>IF(AF49="","",AF49&amp;" | "&amp;AD49&amp;IF(AE49&lt;&gt;"なし"," "&amp;AE49,"")&amp;IF(X49&lt;0," MACD-"," MACD+")&amp;" RSI:"&amp;TEXT(W49,"0.0")&amp;IF(W49&gt;=70," [過熱]",IF(W49&lt;=30," [売られ過ぎ]",""))&amp;" 前日比:"&amp;TEXT(Z49,"+0.0;-0.0;0.0")&amp;"%"&amp;IF(V49="年初来安値圏●"," [年初来安値圏]",IF(V49="安値圏"," [安値圏]",""))&amp;IF(OR(AO49="通常",AO49="-"),""," ["&amp;AO49&amp;"]")&amp;IF(OR(AT49="通常",AT49="-"),"","前日["&amp;AT49&amp;"]")&amp;" ["&amp;T49&amp;"点]")</f>
        <v>相場上昇・見送り | パーフェクト▲ MACD+ RSI:66.1 前日比:+1.6% [0点]</v>
      </c>
      <c r="Z49" s="331">
        <f>IF(AND(E49&lt;&gt;"",G49&lt;&gt;"",G49&lt;&gt;0),(E49-G49)/G49*100,"")</f>
        <v>1.6274338854984016</v>
      </c>
      <c r="AA49" s="325" t="str">
        <f>IF(OR(C49="",E49="",E49=0),"",IF(E49&gt;G49,"上昇▲",IF(E49&lt;G49,"下落▼","横ばい→")))</f>
        <v>上昇▲</v>
      </c>
      <c r="AB49" s="326">
        <f>IF(OR(C49="",C49="TOPX",終値!E25=""),"",IFERROR(((終値!E25*0.333)+(終値!F25*0.222)+(終値!G25*0.148)+(終値!H25*0.099)+(終値!I25*0.066))/(0.333+0.222+0.148+0.099+0.066),""))</f>
        <v>1710.6693548387095</v>
      </c>
      <c r="AC49" s="326">
        <f>IF(OR(C49="",C49="TOPX",終値!E25=""),"",IFERROR(SUMPRODUCT((終値!E25:AC25),{0.077,0.071,0.065,0.06,0.055,0.051,0.047,0.043,0.039,0.036,0.033,0.031,0.028,0.026,0.024,0.022,0.02,0.018,0.017,0.016,0.014,0.013,0.012,0.011,0.01})/SUM({0.077,0.071,0.065,0.06,0.055,0.051,0.047,0.043,0.039,0.036,0.033,0.031,0.028,0.026,0.024,0.022,0.02,0.018,0.017,0.016,0.014,0.013,0.012,0.011,0.01}),""))</f>
        <v>1629.4433849821207</v>
      </c>
      <c r="AD49" s="325" t="str">
        <f>IF(OR(C49="",AB49="",AC49="",AB49=0,AC49=0),"",IF(AND(E49&gt;AB49,AB49&gt;AC49),"パーフェクト▲",IF(E49&gt;AC49,"上昇トレンド▲",IF(AND(E49&lt;AB49,AB49&lt;AC49),"下降トレンド▼","もみ合い→"))))</f>
        <v>パーフェクト▲</v>
      </c>
      <c r="AE49" s="325" t="str">
        <f>IF(OR(C49="",AB49="",AC49=""),"",IF(AND(ABS(E49-AC49)/AC49&lt;=0.02,E49&lt;AC49),"25日戻り売り★",IF(AND(ABS(E49-AB49)/AB49&lt;=0.01,E49&lt;AB49),"5日戻り売り○","なし")))</f>
        <v>なし</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相場上昇・見送り</v>
      </c>
      <c r="AG49">
        <f>IF(AND(T49&gt;=7,C49&lt;&gt;""),T49,0)</f>
        <v>0</v>
      </c>
      <c r="AH49">
        <f>IF(AG49&gt;0,AG49*10000-ROW(A49),0)</f>
        <v>0</v>
      </c>
      <c r="AI49" s="373">
        <f t="array" ref="AI49">IF(C49="","",IFERROR((INDEX(終値!$E:$E,MATCH(TEXT(C49,"0"),終値!$A:$A,0))-INDEX(終値!$E:$CZ,MATCH(TEXT(C49,"0"),終値!$A:$A,0),$AN$2))/INDEX(終値!$E:$CZ,MATCH(TEXT(C49,"0"),終値!$A:$A,0),$AN$2)*100,""))</f>
        <v>11.68955605237943</v>
      </c>
      <c r="AJ49" s="373">
        <f t="array" ref="AJ49">IFERROR((終値!$E$5-INDEX(終値!$E$5:$IT$5,1,$AN$2))/INDEX(終値!$E$5:$IT$5,1,$AN$2)*100,"")</f>
        <v>1.0179378228534113</v>
      </c>
      <c r="AK49" s="374">
        <f>IF(OR(AI49="",AJ49=""),"",AI49-AJ49)</f>
        <v>10.671618229526018</v>
      </c>
      <c r="AL49" s="372">
        <f>IF(AK49="","",IF(AK49&lt;-5,3,IF(AK49&lt;0,1,IF(AK49&lt;3,-1,-2))))</f>
        <v>-2</v>
      </c>
      <c r="AO49" s="376" t="str">
        <f>IF(OR($C49="",$E49="",$F49="",$H49="",$I49="",$H49-$I49&lt;=0),"-",IF(AND($H49-MAX($F49,$E49)&gt;=ABS($E49-$F49)*2,MIN($F49,$E49)-$I49&lt;=ABS($E49-$F49)*0.5,ABS($E49-$F49)&gt;0),"上ヒゲ陰線▼",IF(AND($E49&lt;$F49,ABS($E49-$F49)&gt;=($H49-$I49)*0.7),"大陰線▼",IF(AND(MIN($F49,$E49)-$I49&gt;=($H49-$I49)*0.5,$H49-MAX($F49,$E49)&lt;=($H49-$I49)*0.2),"長い下ヒゲ(反発警戒)","通常"))))</f>
        <v>通常</v>
      </c>
      <c r="AP49" s="377">
        <f>IF($AO49="上ヒゲ陰線▼",2,IF($AO49="大陰線▼",2,IF($AO49="長い下ヒゲ(反発警戒)",-2,0)))</f>
        <v>0</v>
      </c>
      <c r="AQ49">
        <f>IF(C49&lt;&gt;"",始値!F25,"")</f>
        <v>1660</v>
      </c>
      <c r="AR49">
        <f>IF(C49&lt;&gt;"",高値!F25,"")</f>
        <v>1720.5</v>
      </c>
      <c r="AS49">
        <f>IF(C49&lt;&gt;"",安値!F25,"")</f>
        <v>1657.5</v>
      </c>
      <c r="AT49" t="str">
        <f>IF(OR(C49="",AQ49="",AR49="",AS49="",AR49-AS49&lt;=0),"-",IF(AND(AR49-MAX(G49,AQ49)&gt;=ABS(G49-AQ49)*2,MIN(G49,AQ49)-AS49&lt;=ABS(G49-AQ49)*0.5,ABS(G49-AQ49)&gt;0),"上ヒゲ陰線▼",IF(AND(G49&lt;AQ49,ABS(G49-AQ49)&gt;=(AR49-AS49)*0.7),"大陰線▼",IF(AND(MIN(G49,AQ49)-AS49&gt;=(AR49-AS49)*0.5,AR49-MAX(G49,AQ49)&lt;=(AR49-AS49)*0.2),"長い下ヒゲ(反発)","通常"))))</f>
        <v>通常</v>
      </c>
      <c r="AU49">
        <f>IF(AT49="上ヒゲ陰線▼",2,IF(AT49="大陰線▼",2,IF(AT49="長い下ヒゲ(反発)",-2,0)))</f>
        <v>0</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1459</v>
      </c>
      <c r="F50" s="333">
        <f>IF(C50&lt;&gt;"",_xll.RssMarket(C50,"始値"),"")</f>
        <v>1451</v>
      </c>
      <c r="G50" s="212">
        <f>IF(C50&lt;&gt;"",終値!F57,"")</f>
        <v>1475</v>
      </c>
      <c r="H50" s="333">
        <f>IF(C50&lt;&gt;"",_xll.RssMarket(C50,"高値"),"")</f>
        <v>1502</v>
      </c>
      <c r="I50" s="333">
        <f>IF(C50&lt;&gt;"",_xll.RssMarket(C50,"安値"),"")</f>
        <v>1416</v>
      </c>
      <c r="J50" s="333">
        <f>IF(C50&lt;&gt;"",_xll.RssMarket(C50,"出来高"),"")</f>
        <v>424400</v>
      </c>
      <c r="K50" s="333">
        <f>IF(C50&lt;&gt;"",_xll.RssMarket(C50,"年初来高値"),"")</f>
        <v>2030</v>
      </c>
      <c r="L50" s="334">
        <f>IF(AND(E50&lt;&gt;"",K50&lt;&gt;"",K50&lt;&gt;0),(E50-K50)/K50*100,"")</f>
        <v>-28.128078817733993</v>
      </c>
      <c r="M50" s="333">
        <f>IF(C50&lt;&gt;"",IFERROR(AVERAGE(出来高!E57:I57),""),"")</f>
        <v>273240</v>
      </c>
      <c r="N50" s="333">
        <f>IF(C50&lt;&gt;"",IFERROR(AVERAGE(出来高!E57:AC57),""),"")</f>
        <v>338720</v>
      </c>
      <c r="O50" s="335">
        <f>IF(AND(J50&lt;&gt;"",M50&lt;&gt;"",M50&lt;&gt;0),J50/M50,"")</f>
        <v>1.5532132923437272</v>
      </c>
      <c r="P50" s="212" t="str">
        <f>IF(O50="","",IF(O50&gt;=2,"急増↑↑",IF(O50&gt;=1.5,"増加↑",IF(O50&gt;=1,"普通→","減少↓"))))</f>
        <v>増加↑</v>
      </c>
      <c r="Q50" s="212" t="str">
        <f>IF(E50="","",IF(AND(E50&lt;G50,O50&gt;=1.5),"売り▼",IF(E50&gt;G50,"様子見▲","中立→")))</f>
        <v>売り▼</v>
      </c>
      <c r="R50" s="333">
        <f>IF(E50&lt;&gt;"",ROUND(E50*0.92,0),"")</f>
        <v>1342</v>
      </c>
      <c r="S50" s="333">
        <f>IF(E50&lt;&gt;"",ROUND(E50*1.04,0),"")</f>
        <v>1517</v>
      </c>
      <c r="T50" s="325">
        <f>IF(C50="","",IFERROR(IF(W50&gt;=70,3,IF(W50&gt;=60,2,IF(W50&gt;=50,1,0)))+IF(X50&lt;0,2,0)+IF(AD50="下降トレンド▼",3,IF(AD50="もみ合い→",1,0))+IF(V50="年初来安値圏●",3,IF(V50="安値圏",2,0))+IF(Q50="売り▼",2,0)+IF(P50="急増↑↑",2,IF(P50="増加↑",1,0))+IF(Z50&lt;0,1,0)+IF(L50&lt;=-30,2,IF(L50&lt;=-15,1,0))+IF(AE50="25日戻り売り★",2,IF(AE50="5日戻り売り○",1,0))+N(AL50)+N(AP50)+N(AU50),0))</f>
        <v>10</v>
      </c>
      <c r="U50" s="212" t="str">
        <f>IF(T50="","",IF(AND(T50&gt;=3,O50&gt;=1.5),"有効",IF(T50&gt;=3,"要確認","除外")))</f>
        <v>有効</v>
      </c>
      <c r="V50" s="212" t="str">
        <f>IF(AND(I50&lt;&gt;"",K50&lt;&gt;""),IF(I50&lt;=K50*0.6,"年初来安値圏●",IF(I50&lt;=K50*0.75,"安値圏","通常")),"")</f>
        <v>安値圏</v>
      </c>
      <c r="W50" s="336">
        <f t="array" ref="W50">IFERROR(100-100/(1+SUMPRODUCT((終値!F57:R57&gt;終値!G57:S57)*(終値!F57:R57-終値!G57:S57))/SUMPRODUCT((終値!F57:R57&lt;終値!G57:S57)*(終値!G57:S57-終値!F57:R57))),50)</f>
        <v>35.489220563847425</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-24.692792520268995</v>
      </c>
      <c r="Y50" s="212" t="str">
        <f>IF(AF50="","",AF50&amp;" | "&amp;AD50&amp;IF(AE50&lt;&gt;"なし"," "&amp;AE50,"")&amp;IF(X50&lt;0," MACD-"," MACD+")&amp;" RSI:"&amp;TEXT(W50,"0.0")&amp;IF(W50&gt;=70," [過熱]",IF(W50&lt;=30," [売られ過ぎ]",""))&amp;" 前日比:"&amp;TEXT(Z50,"+0.0;-0.0;0.0")&amp;"%"&amp;IF(V50="年初来安値圏●"," [年初来安値圏]",IF(V50="安値圏"," [安値圏]",""))&amp;IF(OR(AO50="通常",AO50="-"),""," ["&amp;AO50&amp;"]")&amp;IF(OR(AT50="通常",AT50="-"),"","前日["&amp;AT50&amp;"]")&amp;" ["&amp;T50&amp;"点]")</f>
        <v>相場上昇・見送り | 上昇トレンド▲ MACD- RSI:35.5 前日比:-1.1% [安値圏] [10点]</v>
      </c>
      <c r="Z50" s="338">
        <f>IF(AND(E50&lt;&gt;"",G50&lt;&gt;"",G50&lt;&gt;0),(E50-G50)/G50*100,"")</f>
        <v>-1.0847457627118644</v>
      </c>
      <c r="AA50" s="212" t="str">
        <f>IF(OR(C50="",E50="",E50=0),"",IF(E50&gt;G50,"上昇▲",IF(E50&lt;G50,"下落▼","横ばい→")))</f>
        <v>下落▼</v>
      </c>
      <c r="AB50" s="333">
        <f>IF(OR(C50="",C50="TOPX",終値!E57=""),"",IFERROR(((終値!E57*0.333)+(終値!F57*0.222)+(終値!G57*0.148)+(終値!H57*0.099)+(終値!I57*0.066))/(0.333+0.222+0.148+0.099+0.066),""))</f>
        <v>1432.9112903225805</v>
      </c>
      <c r="AC50" s="333">
        <f>IF(OR(C50="",C50="TOPX",終値!E57=""),"",IFERROR(SUMPRODUCT((終値!E57:AC57),{0.077,0.071,0.065,0.06,0.055,0.051,0.047,0.043,0.039,0.036,0.033,0.031,0.028,0.026,0.024,0.022,0.02,0.018,0.017,0.016,0.014,0.013,0.012,0.011,0.01})/SUM({0.077,0.071,0.065,0.06,0.055,0.051,0.047,0.043,0.039,0.036,0.033,0.031,0.028,0.026,0.024,0.022,0.02,0.018,0.017,0.016,0.014,0.013,0.012,0.011,0.01}),""))</f>
        <v>1452.5220500595944</v>
      </c>
      <c r="AD50" s="212" t="str">
        <f>IF(OR(C50="",AB50="",AC50="",AB50=0,AC50=0),"",IF(AND(E50&gt;AB50,AB50&gt;AC50),"パーフェクト▲",IF(E50&gt;AC50,"上昇トレンド▲",IF(AND(E50&lt;AB50,AB50&lt;AC50),"下降トレンド▼","もみ合い→"))))</f>
        <v>上昇トレンド▲</v>
      </c>
      <c r="AE50" s="212" t="str">
        <f>IF(OR(C50="",AB50="",AC50=""),"",IF(AND(ABS(E50-AC50)/AC50&lt;=0.02,E50&lt;AC50),"25日戻り売り★",IF(AND(ABS(E50-AB50)/AB50&lt;=0.01,E50&lt;AB50),"5日戻り売り○","なし")))</f>
        <v>なし</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相場上昇・見送り</v>
      </c>
      <c r="AG50">
        <f>IF(AND(T50&gt;=7,C50&lt;&gt;""),T50,0)</f>
        <v>10</v>
      </c>
      <c r="AH50">
        <f>IF(AG50&gt;0,AG50*10000-ROW(A50),0)</f>
        <v>99950</v>
      </c>
      <c r="AI50" s="373">
        <f t="array" ref="AI50">IF(C50="","",IFERROR((INDEX(終値!$E:$E,MATCH(TEXT(C50,"0"),終値!$A:$A,0))-INDEX(終値!$E:$CZ,MATCH(TEXT(C50,"0"),終値!$A:$A,0),$AN$2))/INDEX(終値!$E:$CZ,MATCH(TEXT(C50,"0"),終値!$A:$A,0),$AN$2)*100,""))</f>
        <v>-3.56906807666887</v>
      </c>
      <c r="AJ50" s="373">
        <f t="array" ref="AJ50">IFERROR((終値!$E$5-INDEX(終値!$E$5:$IT$5,1,$AN$2))/INDEX(終値!$E$5:$IT$5,1,$AN$2)*100,"")</f>
        <v>1.0179378228534113</v>
      </c>
      <c r="AK50" s="374">
        <f>IF(OR(AI50="",AJ50=""),"",AI50-AJ50)</f>
        <v>-4.5870058995222811</v>
      </c>
      <c r="AL50" s="372">
        <f>IF(AK50="","",IF(AK50&lt;-5,3,IF(AK50&lt;0,1,IF(AK50&lt;3,-1,-2))))</f>
        <v>1</v>
      </c>
      <c r="AO50" s="376" t="str">
        <f>IF(OR($C50="",$E50="",$F50="",$H50="",$I50="",$H50-$I50&lt;=0),"-",IF(AND($H50-MAX($F50,$E50)&gt;=ABS($E50-$F50)*2,MIN($F50,$E50)-$I50&lt;=ABS($E50-$F50)*0.5,ABS($E50-$F50)&gt;0),"上ヒゲ陰線▼",IF(AND($E50&lt;$F50,ABS($E50-$F50)&gt;=($H50-$I50)*0.7),"大陰線▼",IF(AND(MIN($F50,$E50)-$I50&gt;=($H50-$I50)*0.5,$H50-MAX($F50,$E50)&lt;=($H50-$I50)*0.2),"長い下ヒゲ(反発警戒)","通常"))))</f>
        <v>通常</v>
      </c>
      <c r="AP50" s="377">
        <f>IF($AO50="上ヒゲ陰線▼",2,IF($AO50="大陰線▼",2,IF($AO50="長い下ヒゲ(反発警戒)",-2,0)))</f>
        <v>0</v>
      </c>
      <c r="AQ50">
        <f>IF(C50&lt;&gt;"",始値!F57,"")</f>
        <v>1405</v>
      </c>
      <c r="AR50">
        <f>IF(C50&lt;&gt;"",高値!F57,"")</f>
        <v>1475</v>
      </c>
      <c r="AS50">
        <f>IF(C50&lt;&gt;"",安値!F57,"")</f>
        <v>1405</v>
      </c>
      <c r="AT50" t="str">
        <f>IF(OR(C50="",AQ50="",AR50="",AS50="",AR50-AS50&lt;=0),"-",IF(AND(AR50-MAX(G50,AQ50)&gt;=ABS(G50-AQ50)*2,MIN(G50,AQ50)-AS50&lt;=ABS(G50-AQ50)*0.5,ABS(G50-AQ50)&gt;0),"上ヒゲ陰線▼",IF(AND(G50&lt;AQ50,ABS(G50-AQ50)&gt;=(AR50-AS50)*0.7),"大陰線▼",IF(AND(MIN(G50,AQ50)-AS50&gt;=(AR50-AS50)*0.5,AR50-MAX(G50,AQ50)&lt;=(AR50-AS50)*0.2),"長い下ヒゲ(反発)","通常"))))</f>
        <v>通常</v>
      </c>
      <c r="AU50">
        <f>IF(AT50="上ヒゲ陰線▼",2,IF(AT50="大陰線▼",2,IF(AT50="長い下ヒゲ(反発)",-2,0)))</f>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2394</v>
      </c>
      <c r="F51" s="326">
        <f>IF(C51&lt;&gt;"",_xll.RssMarket(C51,"始値"),"")</f>
        <v>2441</v>
      </c>
      <c r="G51" s="325">
        <f>IF(C51&lt;&gt;"",終値!F59,"")</f>
        <v>2456</v>
      </c>
      <c r="H51" s="326">
        <f>IF(C51&lt;&gt;"",_xll.RssMarket(C51,"高値"),"")</f>
        <v>2488</v>
      </c>
      <c r="I51" s="326">
        <f>IF(C51&lt;&gt;"",_xll.RssMarket(C51,"安値"),"")</f>
        <v>2367</v>
      </c>
      <c r="J51" s="326">
        <f>IF(C51&lt;&gt;"",_xll.RssMarket(C51,"出来高"),"")</f>
        <v>956100</v>
      </c>
      <c r="K51" s="326">
        <f>IF(C51&lt;&gt;"",_xll.RssMarket(C51,"年初来高値"),"")</f>
        <v>3275</v>
      </c>
      <c r="L51" s="327">
        <f>IF(AND(E51&lt;&gt;"",K51&lt;&gt;"",K51&lt;&gt;0),(E51-K51)/K51*100,"")</f>
        <v>-26.900763358778622</v>
      </c>
      <c r="M51" s="326">
        <f>IF(C51&lt;&gt;"",IFERROR(AVERAGE(出来高!E59:I59),""),"")</f>
        <v>1046000</v>
      </c>
      <c r="N51" s="326">
        <f>IF(C51&lt;&gt;"",IFERROR(AVERAGE(出来高!E59:AC59),""),"")</f>
        <v>780276</v>
      </c>
      <c r="O51" s="328">
        <f>IF(AND(J51&lt;&gt;"",M51&lt;&gt;"",M51&lt;&gt;0),J51/M51,"")</f>
        <v>0.9140535372848948</v>
      </c>
      <c r="P51" s="325" t="str">
        <f>IF(O51="","",IF(O51&gt;=2,"急増↑↑",IF(O51&gt;=1.5,"増加↑",IF(O51&gt;=1,"普通→","減少↓"))))</f>
        <v>減少↓</v>
      </c>
      <c r="Q51" s="325" t="str">
        <f>IF(E51="","",IF(AND(E51&lt;G51,O51&gt;=1.5),"売り▼",IF(E51&gt;G51,"様子見▲","中立→")))</f>
        <v>中立→</v>
      </c>
      <c r="R51" s="326">
        <f>IF(E51&lt;&gt;"",ROUND(E51*0.92,0),"")</f>
        <v>2202</v>
      </c>
      <c r="S51" s="326">
        <f>IF(E51&lt;&gt;"",ROUND(E51*1.04,0),"")</f>
        <v>2490</v>
      </c>
      <c r="T51" s="325">
        <f>IF(C51="","",IFERROR(IF(W51&gt;=70,3,IF(W51&gt;=60,2,IF(W51&gt;=50,1,0)))+IF(X51&lt;0,2,0)+IF(AD51="下降トレンド▼",3,IF(AD51="もみ合い→",1,0))+IF(V51="年初来安値圏●",3,IF(V51="安値圏",2,0))+IF(Q51="売り▼",2,0)+IF(P51="急増↑↑",2,IF(P51="増加↑",1,0))+IF(Z51&lt;0,1,0)+IF(L51&lt;=-30,2,IF(L51&lt;=-15,1,0))+IF(AE51="25日戻り売り★",2,IF(AE51="5日戻り売り○",1,0))+N(AL51)+N(AP51)+N(AU51),0))</f>
        <v>12</v>
      </c>
      <c r="U51" s="325" t="str">
        <f>IF(T51="","",IF(AND(T51&gt;=3,O51&gt;=1.5),"有効",IF(T51&gt;=3,"要確認","除外")))</f>
        <v>要確認</v>
      </c>
      <c r="V51" s="325" t="str">
        <f>IF(AND(I51&lt;&gt;"",K51&lt;&gt;""),IF(I51&lt;=K51*0.6,"年初来安値圏●",IF(I51&lt;=K51*0.75,"安値圏","通常")),"")</f>
        <v>安値圏</v>
      </c>
      <c r="W51" s="329">
        <f t="array" ref="W51">IFERROR(100-100/(1+SUMPRODUCT((終値!F59:R59&gt;終値!G59:S59)*(終値!F59:R59-終値!G59:S59))/SUMPRODUCT((終値!F59:R59&lt;終値!G59:S59)*(終値!G59:S59-終値!F59:R59))),50)</f>
        <v>41.022964509394576</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-43.721766923128598</v>
      </c>
      <c r="Y51" s="325" t="str">
        <f>IF(AF51="","",AF51&amp;" | "&amp;AD51&amp;IF(AE51&lt;&gt;"なし"," "&amp;AE51,"")&amp;IF(X51&lt;0," MACD-"," MACD+")&amp;" RSI:"&amp;TEXT(W51,"0.0")&amp;IF(W51&gt;=70," [過熱]",IF(W51&lt;=30," [売られ過ぎ]",""))&amp;" 前日比:"&amp;TEXT(Z51,"+0.0;-0.0;0.0")&amp;"%"&amp;IF(V51="年初来安値圏●"," [年初来安値圏]",IF(V51="安値圏"," [安値圏]",""))&amp;IF(OR(AO51="通常",AO51="-"),""," ["&amp;AO51&amp;"]")&amp;IF(OR(AT51="通常",AT51="-"),"","前日["&amp;AT51&amp;"]")&amp;" ["&amp;T51&amp;"点]")</f>
        <v>○逆張り売り | もみ合い→ 25日戻り売り★ MACD- RSI:41.0 前日比:-2.5% [安値圏] [12点]</v>
      </c>
      <c r="Z51" s="331">
        <f>IF(AND(E51&lt;&gt;"",G51&lt;&gt;"",G51&lt;&gt;0),(E51-G51)/G51*100,"")</f>
        <v>-2.5244299674267103</v>
      </c>
      <c r="AA51" s="325" t="str">
        <f>IF(OR(C51="",E51="",E51=0),"",IF(E51&gt;G51,"上昇▲",IF(E51&lt;G51,"下落▼","横ばい→")))</f>
        <v>下落▼</v>
      </c>
      <c r="AB51" s="326">
        <f>IF(OR(C51="",C51="TOPX",終値!E59=""),"",IFERROR(((終値!E59*0.333)+(終値!F59*0.222)+(終値!G59*0.148)+(終値!H59*0.099)+(終値!I59*0.066))/(0.333+0.222+0.148+0.099+0.066),""))</f>
        <v>2369.7949308755756</v>
      </c>
      <c r="AC51" s="326">
        <f>IF(OR(C51="",C51="TOPX",終値!E59=""),"",IFERROR(SUMPRODUCT((終値!E59:AC59),{0.077,0.071,0.065,0.06,0.055,0.051,0.047,0.043,0.039,0.036,0.033,0.031,0.028,0.026,0.024,0.022,0.02,0.018,0.017,0.016,0.014,0.013,0.012,0.011,0.01})/SUM({0.077,0.071,0.065,0.06,0.055,0.051,0.047,0.043,0.039,0.036,0.033,0.031,0.028,0.026,0.024,0.022,0.02,0.018,0.017,0.016,0.014,0.013,0.012,0.011,0.01}),""))</f>
        <v>2429.8164481525619</v>
      </c>
      <c r="AD51" s="325" t="str">
        <f>IF(OR(C51="",AB51="",AC51="",AB51=0,AC51=0),"",IF(AND(E51&gt;AB51,AB51&gt;AC51),"パーフェクト▲",IF(E51&gt;AC51,"上昇トレンド▲",IF(AND(E51&lt;AB51,AB51&lt;AC51),"下降トレンド▼","もみ合い→"))))</f>
        <v>もみ合い→</v>
      </c>
      <c r="AE51" s="325" t="str">
        <f>IF(OR(C51="",AB51="",AC51=""),"",IF(AND(ABS(E51-AC51)/AC51&lt;=0.02,E51&lt;AC51),"25日戻り売り★",IF(AND(ABS(E51-AB51)/AB51&lt;=0.01,E51&lt;AB51),"5日戻り売り○","なし")))</f>
        <v>25日戻り売り★</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○逆張り売り</v>
      </c>
      <c r="AG51">
        <f>IF(AND(T51&gt;=7,C51&lt;&gt;""),T51,0)</f>
        <v>12</v>
      </c>
      <c r="AH51">
        <f>IF(AG51&gt;0,AG51*10000-ROW(A51),0)</f>
        <v>119949</v>
      </c>
      <c r="AI51" s="373">
        <f t="array" ref="AI51">IF(C51="","",IFERROR((INDEX(終値!$E:$E,MATCH(TEXT(C51,"0"),終値!$A:$A,0))-INDEX(終値!$E:$CZ,MATCH(TEXT(C51,"0"),終値!$A:$A,0),$AN$2))/INDEX(終値!$E:$CZ,MATCH(TEXT(C51,"0"),終値!$A:$A,0),$AN$2)*100,""))</f>
        <v>-16.498081618416464</v>
      </c>
      <c r="AJ51" s="373">
        <f t="array" ref="AJ51">IFERROR((終値!$E$5-INDEX(終値!$E$5:$IT$5,1,$AN$2))/INDEX(終値!$E$5:$IT$5,1,$AN$2)*100,"")</f>
        <v>1.0179378228534113</v>
      </c>
      <c r="AK51" s="374">
        <f>IF(OR(AI51="",AJ51=""),"",AI51-AJ51)</f>
        <v>-17.516019441269876</v>
      </c>
      <c r="AL51" s="372">
        <f>IF(AK51="","",IF(AK51&lt;-5,3,IF(AK51&lt;0,1,IF(AK51&lt;3,-1,-2))))</f>
        <v>3</v>
      </c>
      <c r="AO51" s="376" t="str">
        <f>IF(OR($C51="",$E51="",$F51="",$H51="",$I51="",$H51-$I51&lt;=0),"-",IF(AND($H51-MAX($F51,$E51)&gt;=ABS($E51-$F51)*2,MIN($F51,$E51)-$I51&lt;=ABS($E51-$F51)*0.5,ABS($E51-$F51)&gt;0),"上ヒゲ陰線▼",IF(AND($E51&lt;$F51,ABS($E51-$F51)&gt;=($H51-$I51)*0.7),"大陰線▼",IF(AND(MIN($F51,$E51)-$I51&gt;=($H51-$I51)*0.5,$H51-MAX($F51,$E51)&lt;=($H51-$I51)*0.2),"長い下ヒゲ(反発警戒)","通常"))))</f>
        <v>通常</v>
      </c>
      <c r="AP51" s="377">
        <f>IF($AO51="上ヒゲ陰線▼",2,IF($AO51="大陰線▼",2,IF($AO51="長い下ヒゲ(反発警戒)",-2,0)))</f>
        <v>0</v>
      </c>
      <c r="AQ51">
        <f>IF(C51&lt;&gt;"",始値!F59,"")</f>
        <v>2291</v>
      </c>
      <c r="AR51">
        <f>IF(C51&lt;&gt;"",高値!F59,"")</f>
        <v>2472</v>
      </c>
      <c r="AS51">
        <f>IF(C51&lt;&gt;"",安値!F59,"")</f>
        <v>2282</v>
      </c>
      <c r="AT51" t="str">
        <f>IF(OR(C51="",AQ51="",AR51="",AS51="",AR51-AS51&lt;=0),"-",IF(AND(AR51-MAX(G51,AQ51)&gt;=ABS(G51-AQ51)*2,MIN(G51,AQ51)-AS51&lt;=ABS(G51-AQ51)*0.5,ABS(G51-AQ51)&gt;0),"上ヒゲ陰線▼",IF(AND(G51&lt;AQ51,ABS(G51-AQ51)&gt;=(AR51-AS51)*0.7),"大陰線▼",IF(AND(MIN(G51,AQ51)-AS51&gt;=(AR51-AS51)*0.5,AR51-MAX(G51,AQ51)&lt;=(AR51-AS51)*0.2),"長い下ヒゲ(反発)","通常"))))</f>
        <v>通常</v>
      </c>
      <c r="AU51">
        <f>IF(AT51="上ヒゲ陰線▼",2,IF(AT51="大陰線▼",2,IF(AT51="長い下ヒゲ(反発)",-2,0)))</f>
        <v>0</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3460</v>
      </c>
      <c r="F52" s="333">
        <f>IF(C52&lt;&gt;"",_xll.RssMarket(C52,"始値"),"")</f>
        <v>3385</v>
      </c>
      <c r="G52" s="212">
        <f>IF(C52&lt;&gt;"",終値!F62,"")</f>
        <v>3290</v>
      </c>
      <c r="H52" s="333">
        <f>IF(C52&lt;&gt;"",_xll.RssMarket(C52,"高値"),"")</f>
        <v>3515</v>
      </c>
      <c r="I52" s="333">
        <f>IF(C52&lt;&gt;"",_xll.RssMarket(C52,"安値"),"")</f>
        <v>3380</v>
      </c>
      <c r="J52" s="333">
        <f>IF(C52&lt;&gt;"",_xll.RssMarket(C52,"出来高"),"")</f>
        <v>1265700</v>
      </c>
      <c r="K52" s="333">
        <f>IF(C52&lt;&gt;"",_xll.RssMarket(C52,"年初来高値"),"")</f>
        <v>4720</v>
      </c>
      <c r="L52" s="334">
        <f>IF(AND(E52&lt;&gt;"",K52&lt;&gt;"",K52&lt;&gt;0),(E52-K52)/K52*100,"")</f>
        <v>-26.694915254237291</v>
      </c>
      <c r="M52" s="333">
        <f>IF(C52&lt;&gt;"",IFERROR(AVERAGE(出来高!E62:I62),""),"")</f>
        <v>915560</v>
      </c>
      <c r="N52" s="333">
        <f>IF(C52&lt;&gt;"",IFERROR(AVERAGE(出来高!E62:AC62),""),"")</f>
        <v>698424</v>
      </c>
      <c r="O52" s="335">
        <f>IF(AND(J52&lt;&gt;"",M52&lt;&gt;"",M52&lt;&gt;0),J52/M52,"")</f>
        <v>1.3824326095504391</v>
      </c>
      <c r="P52" s="212" t="str">
        <f>IF(O52="","",IF(O52&gt;=2,"急増↑↑",IF(O52&gt;=1.5,"増加↑",IF(O52&gt;=1,"普通→","減少↓"))))</f>
        <v>普通→</v>
      </c>
      <c r="Q52" s="212" t="str">
        <f>IF(E52="","",IF(AND(E52&lt;G52,O52&gt;=1.5),"売り▼",IF(E52&gt;G52,"様子見▲","中立→")))</f>
        <v>様子見▲</v>
      </c>
      <c r="R52" s="333">
        <f>IF(E52&lt;&gt;"",ROUND(E52*0.92,0),"")</f>
        <v>3183</v>
      </c>
      <c r="S52" s="333">
        <f>IF(E52&lt;&gt;"",ROUND(E52*1.04,0),"")</f>
        <v>3598</v>
      </c>
      <c r="T52" s="325">
        <f>IF(C52="","",IFERROR(IF(W52&gt;=70,3,IF(W52&gt;=60,2,IF(W52&gt;=50,1,0)))+IF(X52&lt;0,2,0)+IF(AD52="下降トレンド▼",3,IF(AD52="もみ合い→",1,0))+IF(V52="年初来安値圏●",3,IF(V52="安値圏",2,0))+IF(Q52="売り▼",2,0)+IF(P52="急増↑↑",2,IF(P52="増加↑",1,0))+IF(Z52&lt;0,1,0)+IF(L52&lt;=-30,2,IF(L52&lt;=-15,1,0))+IF(AE52="25日戻り売り★",2,IF(AE52="5日戻り売り○",1,0))+N(AL52)+N(AP52)+N(AU52),0))</f>
        <v>2</v>
      </c>
      <c r="U52" s="212" t="str">
        <f>IF(T52="","",IF(AND(T52&gt;=3,O52&gt;=1.5),"有効",IF(T52&gt;=3,"要確認","除外")))</f>
        <v>除外</v>
      </c>
      <c r="V52" s="212" t="str">
        <f>IF(AND(I52&lt;&gt;"",K52&lt;&gt;""),IF(I52&lt;=K52*0.6,"年初来安値圏●",IF(I52&lt;=K52*0.75,"安値圏","通常")),"")</f>
        <v>安値圏</v>
      </c>
      <c r="W52" s="336">
        <f t="array" ref="W52">IFERROR(100-100/(1+SUMPRODUCT((終値!F62:R62&gt;終値!G62:S62)*(終値!F62:R62-終値!G62:S62))/SUMPRODUCT((終値!F62:R62&lt;終値!G62:S62)*(終値!G62:S62-終値!F62:R62))),50)</f>
        <v>59.941804073714842</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30.406433714511877</v>
      </c>
      <c r="Y52" s="212" t="str">
        <f>IF(AF52="","",AF52&amp;" | "&amp;AD52&amp;IF(AE52&lt;&gt;"なし"," "&amp;AE52,"")&amp;IF(X52&lt;0," MACD-"," MACD+")&amp;" RSI:"&amp;TEXT(W52,"0.0")&amp;IF(W52&gt;=70," [過熱]",IF(W52&lt;=30," [売られ過ぎ]",""))&amp;" 前日比:"&amp;TEXT(Z52,"+0.0;-0.0;0.0")&amp;"%"&amp;IF(V52="年初来安値圏●"," [年初来安値圏]",IF(V52="安値圏"," [安値圏]",""))&amp;IF(OR(AO52="通常",AO52="-"),""," ["&amp;AO52&amp;"]")&amp;IF(OR(AT52="通常",AT52="-"),"","前日["&amp;AT52&amp;"]")&amp;" ["&amp;T52&amp;"点]")</f>
        <v>相場上昇・見送り | パーフェクト▲ MACD+ RSI:59.9 前日比:+5.2% [安値圏] [2点]</v>
      </c>
      <c r="Z52" s="338">
        <f>IF(AND(E52&lt;&gt;"",G52&lt;&gt;"",G52&lt;&gt;0),(E52-G52)/G52*100,"")</f>
        <v>5.1671732522796354</v>
      </c>
      <c r="AA52" s="212" t="str">
        <f>IF(OR(C52="",E52="",E52=0),"",IF(E52&gt;G52,"上昇▲",IF(E52&lt;G52,"下落▼","横ばい→")))</f>
        <v>上昇▲</v>
      </c>
      <c r="AB52" s="333">
        <f>IF(OR(C52="",C52="TOPX",終値!E62=""),"",IFERROR(((終値!E62*0.333)+(終値!F62*0.222)+(終値!G62*0.148)+(終値!H62*0.099)+(終値!I62*0.066))/(0.333+0.222+0.148+0.099+0.066),""))</f>
        <v>3278.9170506912437</v>
      </c>
      <c r="AC52" s="333">
        <f>IF(OR(C52="",C52="TOPX",終値!E62=""),"",IFERROR(SUMPRODUCT((終値!E62:AC62),{0.077,0.071,0.065,0.06,0.055,0.051,0.047,0.043,0.039,0.036,0.033,0.031,0.028,0.026,0.024,0.022,0.02,0.018,0.017,0.016,0.014,0.013,0.012,0.011,0.01})/SUM({0.077,0.071,0.065,0.06,0.055,0.051,0.047,0.043,0.039,0.036,0.033,0.031,0.028,0.026,0.024,0.022,0.02,0.018,0.017,0.016,0.014,0.013,0.012,0.011,0.01}),""))</f>
        <v>3102.7294398092963</v>
      </c>
      <c r="AD52" s="212" t="str">
        <f>IF(OR(C52="",AB52="",AC52="",AB52=0,AC52=0),"",IF(AND(E52&gt;AB52,AB52&gt;AC52),"パーフェクト▲",IF(E52&gt;AC52,"上昇トレンド▲",IF(AND(E52&lt;AB52,AB52&lt;AC52),"下降トレンド▼","もみ合い→"))))</f>
        <v>パーフェクト▲</v>
      </c>
      <c r="AE52" s="212" t="str">
        <f>IF(OR(C52="",AB52="",AC52=""),"",IF(AND(ABS(E52-AC52)/AC52&lt;=0.02,E52&lt;AC52),"25日戻り売り★",IF(AND(ABS(E52-AB52)/AB52&lt;=0.01,E52&lt;AB52),"5日戻り売り○","なし")))</f>
        <v>なし</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相場上昇・見送り</v>
      </c>
      <c r="AG52">
        <f>IF(AND(T52&gt;=7,C52&lt;&gt;""),T52,0)</f>
        <v>0</v>
      </c>
      <c r="AH52">
        <f>IF(AG52&gt;0,AG52*10000-ROW(A52),0)</f>
        <v>0</v>
      </c>
      <c r="AI52" s="373">
        <f t="array" ref="AI52">IF(C52="","",IFERROR((INDEX(終値!$E:$E,MATCH(TEXT(C52,"0"),終値!$A:$A,0))-INDEX(終値!$E:$CZ,MATCH(TEXT(C52,"0"),終値!$A:$A,0),$AN$2))/INDEX(終値!$E:$CZ,MATCH(TEXT(C52,"0"),終値!$A:$A,0),$AN$2)*100,""))</f>
        <v>18.737131091283459</v>
      </c>
      <c r="AJ52" s="373">
        <f t="array" ref="AJ52">IFERROR((終値!$E$5-INDEX(終値!$E$5:$IT$5,1,$AN$2))/INDEX(終値!$E$5:$IT$5,1,$AN$2)*100,"")</f>
        <v>1.0179378228534113</v>
      </c>
      <c r="AK52" s="374">
        <f>IF(OR(AI52="",AJ52=""),"",AI52-AJ52)</f>
        <v>17.719193268430047</v>
      </c>
      <c r="AL52" s="372">
        <f>IF(AK52="","",IF(AK52&lt;-5,3,IF(AK52&lt;0,1,IF(AK52&lt;3,-1,-2))))</f>
        <v>-2</v>
      </c>
      <c r="AO52" s="376" t="str">
        <f>IF(OR($C52="",$E52="",$F52="",$H52="",$I52="",$H52-$I52&lt;=0),"-",IF(AND($H52-MAX($F52,$E52)&gt;=ABS($E52-$F52)*2,MIN($F52,$E52)-$I52&lt;=ABS($E52-$F52)*0.5,ABS($E52-$F52)&gt;0),"上ヒゲ陰線▼",IF(AND($E52&lt;$F52,ABS($E52-$F52)&gt;=($H52-$I52)*0.7),"大陰線▼",IF(AND(MIN($F52,$E52)-$I52&gt;=($H52-$I52)*0.5,$H52-MAX($F52,$E52)&lt;=($H52-$I52)*0.2),"長い下ヒゲ(反発警戒)","通常"))))</f>
        <v>通常</v>
      </c>
      <c r="AP52" s="377">
        <f>IF($AO52="上ヒゲ陰線▼",2,IF($AO52="大陰線▼",2,IF($AO52="長い下ヒゲ(反発警戒)",-2,0)))</f>
        <v>0</v>
      </c>
      <c r="AQ52">
        <f>IF(C52&lt;&gt;"",始値!F62,"")</f>
        <v>3160</v>
      </c>
      <c r="AR52">
        <f>IF(C52&lt;&gt;"",高値!F62,"")</f>
        <v>3305</v>
      </c>
      <c r="AS52">
        <f>IF(C52&lt;&gt;"",安値!F62,"")</f>
        <v>3160</v>
      </c>
      <c r="AT52" t="str">
        <f>IF(OR(C52="",AQ52="",AR52="",AS52="",AR52-AS52&lt;=0),"-",IF(AND(AR52-MAX(G52,AQ52)&gt;=ABS(G52-AQ52)*2,MIN(G52,AQ52)-AS52&lt;=ABS(G52-AQ52)*0.5,ABS(G52-AQ52)&gt;0),"上ヒゲ陰線▼",IF(AND(G52&lt;AQ52,ABS(G52-AQ52)&gt;=(AR52-AS52)*0.7),"大陰線▼",IF(AND(MIN(G52,AQ52)-AS52&gt;=(AR52-AS52)*0.5,AR52-MAX(G52,AQ52)&lt;=(AR52-AS52)*0.2),"長い下ヒゲ(反発)","通常"))))</f>
        <v>通常</v>
      </c>
      <c r="AU52">
        <f>IF(AT52="上ヒゲ陰線▼",2,IF(AT52="大陰線▼",2,IF(AT52="長い下ヒゲ(反発)",-2,0)))</f>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5695</v>
      </c>
      <c r="F53" s="326">
        <f>IF(C53&lt;&gt;"",_xll.RssMarket(C53,"始値"),"")</f>
        <v>5760</v>
      </c>
      <c r="G53" s="325">
        <f>IF(C53&lt;&gt;"",終値!F65,"")</f>
        <v>5958</v>
      </c>
      <c r="H53" s="326">
        <f>IF(C53&lt;&gt;"",_xll.RssMarket(C53,"高値"),"")</f>
        <v>5881</v>
      </c>
      <c r="I53" s="326">
        <f>IF(C53&lt;&gt;"",_xll.RssMarket(C53,"安値"),"")</f>
        <v>5542</v>
      </c>
      <c r="J53" s="326">
        <f>IF(C53&lt;&gt;"",_xll.RssMarket(C53,"出来高"),"")</f>
        <v>46955700</v>
      </c>
      <c r="K53" s="326">
        <f>IF(C53&lt;&gt;"",_xll.RssMarket(C53,"年初来高値"),"")</f>
        <v>9074</v>
      </c>
      <c r="L53" s="327">
        <f>IF(AND(E53&lt;&gt;"",K53&lt;&gt;"",K53&lt;&gt;0),(E53-K53)/K53*100,"")</f>
        <v>-37.238263169495262</v>
      </c>
      <c r="M53" s="326">
        <f>IF(C53&lt;&gt;"",IFERROR(AVERAGE(出来高!E65:I65),""),"")</f>
        <v>53510180</v>
      </c>
      <c r="N53" s="326">
        <f>IF(C53&lt;&gt;"",IFERROR(AVERAGE(出来高!E65:AC65),""),"")</f>
        <v>52209192</v>
      </c>
      <c r="O53" s="328">
        <f>IF(AND(J53&lt;&gt;"",M53&lt;&gt;"",M53&lt;&gt;0),J53/M53,"")</f>
        <v>0.87750966264736918</v>
      </c>
      <c r="P53" s="325" t="str">
        <f>IF(O53="","",IF(O53&gt;=2,"急増↑↑",IF(O53&gt;=1.5,"増加↑",IF(O53&gt;=1,"普通→","減少↓"))))</f>
        <v>減少↓</v>
      </c>
      <c r="Q53" s="325" t="str">
        <f>IF(E53="","",IF(AND(E53&lt;G53,O53&gt;=1.5),"売り▼",IF(E53&gt;G53,"様子見▲","中立→")))</f>
        <v>中立→</v>
      </c>
      <c r="R53" s="326">
        <f>IF(E53&lt;&gt;"",ROUND(E53*0.92,0),"")</f>
        <v>5239</v>
      </c>
      <c r="S53" s="326">
        <f>IF(E53&lt;&gt;"",ROUND(E53*1.04,0),"")</f>
        <v>5923</v>
      </c>
      <c r="T53" s="325">
        <f>IF(C53="","",IFERROR(IF(W53&gt;=70,3,IF(W53&gt;=60,2,IF(W53&gt;=50,1,0)))+IF(X53&lt;0,2,0)+IF(AD53="下降トレンド▼",3,IF(AD53="もみ合い→",1,0))+IF(V53="年初来安値圏●",3,IF(V53="安値圏",2,0))+IF(Q53="売り▼",2,0)+IF(P53="急増↑↑",2,IF(P53="増加↑",1,0))+IF(Z53&lt;0,1,0)+IF(L53&lt;=-30,2,IF(L53&lt;=-15,1,0))+IF(AE53="25日戻り売り★",2,IF(AE53="5日戻り売り○",1,0))+N(AL53)+N(AP53)+N(AU53),0))</f>
        <v>10</v>
      </c>
      <c r="U53" s="325" t="str">
        <f>IF(T53="","",IF(AND(T53&gt;=3,O53&gt;=1.5),"有効",IF(T53&gt;=3,"要確認","除外")))</f>
        <v>要確認</v>
      </c>
      <c r="V53" s="325" t="str">
        <f>IF(AND(I53&lt;&gt;"",K53&lt;&gt;""),IF(I53&lt;=K53*0.6,"年初来安値圏●",IF(I53&lt;=K53*0.75,"安値圏","通常")),"")</f>
        <v>安値圏</v>
      </c>
      <c r="W53" s="329">
        <f t="array" ref="W53">IFERROR(100-100/(1+SUMPRODUCT((終値!F65:R65&gt;終値!G65:S65)*(終値!F65:R65-終値!G65:S65))/SUMPRODUCT((終値!F65:R65&lt;終値!G65:S65)*(終値!G65:S65-終値!F65:R65))),50)</f>
        <v>45.521390374331553</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-93.237648215444096</v>
      </c>
      <c r="Y53" s="325" t="str">
        <f>IF(AF53="","",AF53&amp;" | "&amp;AD53&amp;IF(AE53&lt;&gt;"なし"," "&amp;AE53,"")&amp;IF(X53&lt;0," MACD-"," MACD+")&amp;" RSI:"&amp;TEXT(W53,"0.0")&amp;IF(W53&gt;=70," [過熱]",IF(W53&lt;=30," [売られ過ぎ]",""))&amp;" 前日比:"&amp;TEXT(Z53,"+0.0;-0.0;0.0")&amp;"%"&amp;IF(V53="年初来安値圏●"," [年初来安値圏]",IF(V53="安値圏"," [安値圏]",""))&amp;IF(OR(AO53="通常",AO53="-"),""," ["&amp;AO53&amp;"]")&amp;IF(OR(AT53="通常",AT53="-"),"","前日["&amp;AT53&amp;"]")&amp;" ["&amp;T53&amp;"点]")</f>
        <v>相場上昇・見送り | パーフェクト▲ MACD- RSI:45.5 前日比:-4.4% [安値圏] [10点]</v>
      </c>
      <c r="Z53" s="331">
        <f>IF(AND(E53&lt;&gt;"",G53&lt;&gt;"",G53&lt;&gt;0),(E53-G53)/G53*100,"")</f>
        <v>-4.4142329640819069</v>
      </c>
      <c r="AA53" s="325" t="str">
        <f>IF(OR(C53="",E53="",E53=0),"",IF(E53&gt;G53,"上昇▲",IF(E53&lt;G53,"下落▼","横ばい→")))</f>
        <v>下落▼</v>
      </c>
      <c r="AB53" s="326">
        <f>IF(OR(C53="",C53="TOPX",終値!E65=""),"",IFERROR(((終値!E65*0.333)+(終値!F65*0.222)+(終値!G65*0.148)+(終値!H65*0.099)+(終値!I65*0.066))/(0.333+0.222+0.148+0.099+0.066),""))</f>
        <v>5615.1175115207361</v>
      </c>
      <c r="AC53" s="326">
        <f>IF(OR(C53="",C53="TOPX",終値!E65=""),"",IFERROR(SUMPRODUCT((終値!E65:AC65),{0.077,0.071,0.065,0.06,0.055,0.051,0.047,0.043,0.039,0.036,0.033,0.031,0.028,0.026,0.024,0.022,0.02,0.018,0.017,0.016,0.014,0.013,0.012,0.011,0.01})/SUM({0.077,0.071,0.065,0.06,0.055,0.051,0.047,0.043,0.039,0.036,0.033,0.031,0.028,0.026,0.024,0.022,0.02,0.018,0.017,0.016,0.014,0.013,0.012,0.011,0.01}),""))</f>
        <v>5556.4886769964223</v>
      </c>
      <c r="AD53" s="325" t="str">
        <f>IF(OR(C53="",AB53="",AC53="",AB53=0,AC53=0),"",IF(AND(E53&gt;AB53,AB53&gt;AC53),"パーフェクト▲",IF(E53&gt;AC53,"上昇トレンド▲",IF(AND(E53&lt;AB53,AB53&lt;AC53),"下降トレンド▼","もみ合い→"))))</f>
        <v>パーフェクト▲</v>
      </c>
      <c r="AE53" s="325" t="str">
        <f>IF(OR(C53="",AB53="",AC53=""),"",IF(AND(ABS(E53-AC53)/AC53&lt;=0.02,E53&lt;AC53),"25日戻り売り★",IF(AND(ABS(E53-AB53)/AB53&lt;=0.01,E53&lt;AB53),"5日戻り売り○","なし")))</f>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相場上昇・見送り</v>
      </c>
      <c r="AG53">
        <f>IF(AND(T53&gt;=7,C53&lt;&gt;""),T53,0)</f>
        <v>10</v>
      </c>
      <c r="AH53">
        <f>IF(AG53&gt;0,AG53*10000-ROW(A53),0)</f>
        <v>99947</v>
      </c>
      <c r="AI53" s="373">
        <f t="array" ref="AI53">IF(C53="","",IFERROR((INDEX(終値!$E:$E,MATCH(TEXT(C53,"0"),終値!$A:$A,0))-INDEX(終値!$E:$CZ,MATCH(TEXT(C53,"0"),終値!$A:$A,0),$AN$2))/INDEX(終値!$E:$CZ,MATCH(TEXT(C53,"0"),終値!$A:$A,0),$AN$2)*100,""))</f>
        <v>-5.083333333333333</v>
      </c>
      <c r="AJ53" s="373">
        <f t="array" ref="AJ53">IFERROR((終値!$E$5-INDEX(終値!$E$5:$IT$5,1,$AN$2))/INDEX(終値!$E$5:$IT$5,1,$AN$2)*100,"")</f>
        <v>1.0179378228534113</v>
      </c>
      <c r="AK53" s="374">
        <f>IF(OR(AI53="",AJ53=""),"",AI53-AJ53)</f>
        <v>-6.1012711561867441</v>
      </c>
      <c r="AL53" s="372">
        <f>IF(AK53="","",IF(AK53&lt;-5,3,IF(AK53&lt;0,1,IF(AK53&lt;3,-1,-2))))</f>
        <v>3</v>
      </c>
      <c r="AO53" s="376" t="str">
        <f>IF(OR($C53="",$E53="",$F53="",$H53="",$I53="",$H53-$I53&lt;=0),"-",IF(AND($H53-MAX($F53,$E53)&gt;=ABS($E53-$F53)*2,MIN($F53,$E53)-$I53&lt;=ABS($E53-$F53)*0.5,ABS($E53-$F53)&gt;0),"上ヒゲ陰線▼",IF(AND($E53&lt;$F53,ABS($E53-$F53)&gt;=($H53-$I53)*0.7),"大陰線▼",IF(AND(MIN($F53,$E53)-$I53&gt;=($H53-$I53)*0.5,$H53-MAX($F53,$E53)&lt;=($H53-$I53)*0.2),"長い下ヒゲ(反発警戒)","通常"))))</f>
        <v>通常</v>
      </c>
      <c r="AP53" s="377">
        <f>IF($AO53="上ヒゲ陰線▼",2,IF($AO53="大陰線▼",2,IF($AO53="長い下ヒゲ(反発警戒)",-2,0)))</f>
        <v>0</v>
      </c>
      <c r="AQ53">
        <f>IF(C53&lt;&gt;"",始値!F65,"")</f>
        <v>5628</v>
      </c>
      <c r="AR53">
        <f>IF(C53&lt;&gt;"",高値!F65,"")</f>
        <v>5958</v>
      </c>
      <c r="AS53">
        <f>IF(C53&lt;&gt;"",安値!F65,"")</f>
        <v>5605</v>
      </c>
      <c r="AT53" t="str">
        <f>IF(OR(C53="",AQ53="",AR53="",AS53="",AR53-AS53&lt;=0),"-",IF(AND(AR53-MAX(G53,AQ53)&gt;=ABS(G53-AQ53)*2,MIN(G53,AQ53)-AS53&lt;=ABS(G53-AQ53)*0.5,ABS(G53-AQ53)&gt;0),"上ヒゲ陰線▼",IF(AND(G53&lt;AQ53,ABS(G53-AQ53)&gt;=(AR53-AS53)*0.7),"大陰線▼",IF(AND(MIN(G53,AQ53)-AS53&gt;=(AR53-AS53)*0.5,AR53-MAX(G53,AQ53)&lt;=(AR53-AS53)*0.2),"長い下ヒゲ(反発)","通常"))))</f>
        <v>通常</v>
      </c>
      <c r="AU53">
        <f>IF(AT53="上ヒゲ陰線▼",2,IF(AT53="大陰線▼",2,IF(AT53="長い下ヒゲ(反発)",-2,0)))</f>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2215</v>
      </c>
      <c r="F54" s="333">
        <f>IF(C54&lt;&gt;"",_xll.RssMarket(C54,"始値"),"")</f>
        <v>2200</v>
      </c>
      <c r="G54" s="212">
        <f>IF(C54&lt;&gt;"",終値!F71,"")</f>
        <v>2198</v>
      </c>
      <c r="H54" s="333">
        <f>IF(C54&lt;&gt;"",_xll.RssMarket(C54,"高値"),"")</f>
        <v>2228</v>
      </c>
      <c r="I54" s="333">
        <f>IF(C54&lt;&gt;"",_xll.RssMarket(C54,"安値"),"")</f>
        <v>2195</v>
      </c>
      <c r="J54" s="333">
        <f>IF(C54&lt;&gt;"",_xll.RssMarket(C54,"出来高"),"")</f>
        <v>64500</v>
      </c>
      <c r="K54" s="333">
        <f>IF(C54&lt;&gt;"",_xll.RssMarket(C54,"年初来高値"),"")</f>
        <v>2653</v>
      </c>
      <c r="L54" s="334">
        <f>IF(AND(E54&lt;&gt;"",K54&lt;&gt;"",K54&lt;&gt;0),(E54-K54)/K54*100,"")</f>
        <v>-16.50961176027139</v>
      </c>
      <c r="M54" s="333">
        <f>IF(C54&lt;&gt;"",IFERROR(AVERAGE(出来高!E71:I71),""),"")</f>
        <v>78980</v>
      </c>
      <c r="N54" s="333">
        <f>IF(C54&lt;&gt;"",IFERROR(AVERAGE(出来高!E71:AC71),""),"")</f>
        <v>92764</v>
      </c>
      <c r="O54" s="335">
        <f>IF(AND(J54&lt;&gt;"",M54&lt;&gt;"",M54&lt;&gt;0),J54/M54,"")</f>
        <v>0.8166624461889086</v>
      </c>
      <c r="P54" s="212" t="str">
        <f>IF(O54="","",IF(O54&gt;=2,"急増↑↑",IF(O54&gt;=1.5,"増加↑",IF(O54&gt;=1,"普通→","減少↓"))))</f>
        <v>減少↓</v>
      </c>
      <c r="Q54" s="212" t="str">
        <f>IF(E54="","",IF(AND(E54&lt;G54,O54&gt;=1.5),"売り▼",IF(E54&gt;G54,"様子見▲","中立→")))</f>
        <v>様子見▲</v>
      </c>
      <c r="R54" s="333">
        <f>IF(E54&lt;&gt;"",ROUND(E54*0.92,0),"")</f>
        <v>2038</v>
      </c>
      <c r="S54" s="333">
        <f>IF(E54&lt;&gt;"",ROUND(E54*1.04,0),"")</f>
        <v>2304</v>
      </c>
      <c r="T54" s="325">
        <f>IF(C54="","",IFERROR(IF(W54&gt;=70,3,IF(W54&gt;=60,2,IF(W54&gt;=50,1,0)))+IF(X54&lt;0,2,0)+IF(AD54="下降トレンド▼",3,IF(AD54="もみ合い→",1,0))+IF(V54="年初来安値圏●",3,IF(V54="安値圏",2,0))+IF(Q54="売り▼",2,0)+IF(P54="急増↑↑",2,IF(P54="増加↑",1,0))+IF(Z54&lt;0,1,0)+IF(L54&lt;=-30,2,IF(L54&lt;=-15,1,0))+IF(AE54="25日戻り売り★",2,IF(AE54="5日戻り売り○",1,0))+N(AL54)+N(AP54)+N(AU54),0))</f>
        <v>5</v>
      </c>
      <c r="U54" s="212" t="str">
        <f>IF(T54="","",IF(AND(T54&gt;=3,O54&gt;=1.5),"有効",IF(T54&gt;=3,"要確認","除外")))</f>
        <v>要確認</v>
      </c>
      <c r="V54" s="212" t="str">
        <f>IF(AND(I54&lt;&gt;"",K54&lt;&gt;""),IF(I54&lt;=K54*0.6,"年初来安値圏●",IF(I54&lt;=K54*0.75,"安値圏","通常")),"")</f>
        <v>通常</v>
      </c>
      <c r="W54" s="336">
        <f t="array" ref="W54">IFERROR(100-100/(1+SUMPRODUCT((終値!F71:R71&gt;終値!G71:S71)*(終値!F71:R71-終値!G71:S71))/SUMPRODUCT((終値!F71:R71&lt;終値!G71:S71)*(終値!G71:S71-終値!F71:R71))),50)</f>
        <v>26.834862385321102</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-21.687789316148155</v>
      </c>
      <c r="Y54" s="212" t="str">
        <f>IF(AF54="","",AF54&amp;" | "&amp;AD54&amp;IF(AE54&lt;&gt;"なし"," "&amp;AE54,"")&amp;IF(X54&lt;0," MACD-"," MACD+")&amp;" RSI:"&amp;TEXT(W54,"0.0")&amp;IF(W54&gt;=70," [過熱]",IF(W54&lt;=30," [売られ過ぎ]",""))&amp;" 前日比:"&amp;TEXT(Z54,"+0.0;-0.0;0.0")&amp;"%"&amp;IF(V54="年初来安値圏●"," [年初来安値圏]",IF(V54="安値圏"," [安値圏]",""))&amp;IF(OR(AO54="通常",AO54="-"),""," ["&amp;AO54&amp;"]")&amp;IF(OR(AT54="通常",AT54="-"),"","前日["&amp;AT54&amp;"]")&amp;" ["&amp;T54&amp;"点]")</f>
        <v>相場上昇・見送り | もみ合い→ MACD- RSI:26.8 [売られ過ぎ] 前日比:+0.8% [5点]</v>
      </c>
      <c r="Z54" s="338">
        <f>IF(AND(E54&lt;&gt;"",G54&lt;&gt;"",G54&lt;&gt;0),(E54-G54)/G54*100,"")</f>
        <v>0.77343039126478619</v>
      </c>
      <c r="AA54" s="212" t="str">
        <f>IF(OR(C54="",E54="",E54=0),"",IF(E54&gt;G54,"上昇▲",IF(E54&lt;G54,"下落▼","横ばい→")))</f>
        <v>上昇▲</v>
      </c>
      <c r="AB54" s="333">
        <f>IF(OR(C54="",C54="TOPX",終値!E71=""),"",IFERROR(((終値!E71*0.333)+(終値!F71*0.222)+(終値!G71*0.148)+(終値!H71*0.099)+(終値!I71*0.066))/(0.333+0.222+0.148+0.099+0.066),""))</f>
        <v>2214.3617511520733</v>
      </c>
      <c r="AC54" s="333">
        <f>IF(OR(C54="",C54="TOPX",終値!E71=""),"",IFERROR(SUMPRODUCT((終値!E71:AC71),{0.077,0.071,0.065,0.06,0.055,0.051,0.047,0.043,0.039,0.036,0.033,0.031,0.028,0.026,0.024,0.022,0.02,0.018,0.017,0.016,0.014,0.013,0.012,0.011,0.01})/SUM({0.077,0.071,0.065,0.06,0.055,0.051,0.047,0.043,0.039,0.036,0.033,0.031,0.028,0.026,0.024,0.022,0.02,0.018,0.017,0.016,0.014,0.013,0.012,0.011,0.01}),""))</f>
        <v>2290.0345649582832</v>
      </c>
      <c r="AD54" s="212" t="str">
        <f>IF(OR(C54="",AB54="",AC54="",AB54=0,AC54=0),"",IF(AND(E54&gt;AB54,AB54&gt;AC54),"パーフェクト▲",IF(E54&gt;AC54,"上昇トレンド▲",IF(AND(E54&lt;AB54,AB54&lt;AC54),"下降トレンド▼","もみ合い→"))))</f>
        <v>もみ合い→</v>
      </c>
      <c r="AE54" s="212" t="str">
        <f>IF(OR(C54="",AB54="",AC54=""),"",IF(AND(ABS(E54-AC54)/AC54&lt;=0.02,E54&lt;AC54),"25日戻り売り★",IF(AND(ABS(E54-AB54)/AB54&lt;=0.01,E54&lt;AB54),"5日戻り売り○","なし")))</f>
        <v>なし</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相場上昇・見送り</v>
      </c>
      <c r="AG54">
        <f>IF(AND(T54&gt;=7,C54&lt;&gt;""),T54,0)</f>
        <v>0</v>
      </c>
      <c r="AH54">
        <f>IF(AG54&gt;0,AG54*10000-ROW(A54),0)</f>
        <v>0</v>
      </c>
      <c r="AI54" s="373">
        <f t="array" ref="AI54">IF(C54="","",IFERROR((INDEX(終値!$E:$E,MATCH(TEXT(C54,"0"),終値!$A:$A,0))-INDEX(終値!$E:$CZ,MATCH(TEXT(C54,"0"),終値!$A:$A,0),$AN$2))/INDEX(終値!$E:$CZ,MATCH(TEXT(C54,"0"),終値!$A:$A,0),$AN$2)*100,""))</f>
        <v>-0.44943820224719105</v>
      </c>
      <c r="AJ54" s="373">
        <f t="array" ref="AJ54">IFERROR((終値!$E$5-INDEX(終値!$E$5:$IT$5,1,$AN$2))/INDEX(終値!$E$5:$IT$5,1,$AN$2)*100,"")</f>
        <v>1.0179378228534113</v>
      </c>
      <c r="AK54" s="374">
        <f>IF(OR(AI54="",AJ54=""),"",AI54-AJ54)</f>
        <v>-1.4673760251006023</v>
      </c>
      <c r="AL54" s="372">
        <f>IF(AK54="","",IF(AK54&lt;-5,3,IF(AK54&lt;0,1,IF(AK54&lt;3,-1,-2))))</f>
        <v>1</v>
      </c>
      <c r="AO54" s="376" t="str">
        <f>IF(OR($C54="",$E54="",$F54="",$H54="",$I54="",$H54-$I54&lt;=0),"-",IF(AND($H54-MAX($F54,$E54)&gt;=ABS($E54-$F54)*2,MIN($F54,$E54)-$I54&lt;=ABS($E54-$F54)*0.5,ABS($E54-$F54)&gt;0),"上ヒゲ陰線▼",IF(AND($E54&lt;$F54,ABS($E54-$F54)&gt;=($H54-$I54)*0.7),"大陰線▼",IF(AND(MIN($F54,$E54)-$I54&gt;=($H54-$I54)*0.5,$H54-MAX($F54,$E54)&lt;=($H54-$I54)*0.2),"長い下ヒゲ(反発警戒)","通常"))))</f>
        <v>通常</v>
      </c>
      <c r="AP54" s="377">
        <f>IF($AO54="上ヒゲ陰線▼",2,IF($AO54="大陰線▼",2,IF($AO54="長い下ヒゲ(反発警戒)",-2,0)))</f>
        <v>0</v>
      </c>
      <c r="AQ54">
        <f>IF(C54&lt;&gt;"",始値!F71,"")</f>
        <v>2225</v>
      </c>
      <c r="AR54">
        <f>IF(C54&lt;&gt;"",高値!F71,"")</f>
        <v>2243</v>
      </c>
      <c r="AS54">
        <f>IF(C54&lt;&gt;"",安値!F71,"")</f>
        <v>2198</v>
      </c>
      <c r="AT54" t="str">
        <f>IF(OR(C54="",AQ54="",AR54="",AS54="",AR54-AS54&lt;=0),"-",IF(AND(AR54-MAX(G54,AQ54)&gt;=ABS(G54-AQ54)*2,MIN(G54,AQ54)-AS54&lt;=ABS(G54-AQ54)*0.5,ABS(G54-AQ54)&gt;0),"上ヒゲ陰線▼",IF(AND(G54&lt;AQ54,ABS(G54-AQ54)&gt;=(AR54-AS54)*0.7),"大陰線▼",IF(AND(MIN(G54,AQ54)-AS54&gt;=(AR54-AS54)*0.5,AR54-MAX(G54,AQ54)&lt;=(AR54-AS54)*0.2),"長い下ヒゲ(反発)","通常"))))</f>
        <v>通常</v>
      </c>
      <c r="AU54">
        <f>IF(AT54="上ヒゲ陰線▼",2,IF(AT54="大陰線▼",2,IF(AT54="長い下ヒゲ(反発)",-2,0)))</f>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7710</v>
      </c>
      <c r="F55" s="326">
        <f>IF(C55&lt;&gt;"",_xll.RssMarket(C55,"始値"),"")</f>
        <v>7500</v>
      </c>
      <c r="G55" s="325">
        <f>IF(C55&lt;&gt;"",終値!F73,"")</f>
        <v>7510</v>
      </c>
      <c r="H55" s="326">
        <f>IF(C55&lt;&gt;"",_xll.RssMarket(C55,"高値"),"")</f>
        <v>7970</v>
      </c>
      <c r="I55" s="326">
        <f>IF(C55&lt;&gt;"",_xll.RssMarket(C55,"安値"),"")</f>
        <v>7450</v>
      </c>
      <c r="J55" s="326">
        <f>IF(C55&lt;&gt;"",_xll.RssMarket(C55,"出来高"),"")</f>
        <v>273500</v>
      </c>
      <c r="K55" s="326">
        <f>IF(C55&lt;&gt;"",_xll.RssMarket(C55,"年初来高値"),"")</f>
        <v>8380</v>
      </c>
      <c r="L55" s="327">
        <f>IF(AND(E55&lt;&gt;"",K55&lt;&gt;"",K55&lt;&gt;0),(E55-K55)/K55*100,"")</f>
        <v>-7.9952267303102618</v>
      </c>
      <c r="M55" s="326">
        <f>IF(C55&lt;&gt;"",IFERROR(AVERAGE(出来高!E73:I73),""),"")</f>
        <v>222980</v>
      </c>
      <c r="N55" s="326">
        <f>IF(C55&lt;&gt;"",IFERROR(AVERAGE(出来高!E73:AC73),""),"")</f>
        <v>135392</v>
      </c>
      <c r="O55" s="328">
        <f>IF(AND(J55&lt;&gt;"",M55&lt;&gt;"",M55&lt;&gt;0),J55/M55,"")</f>
        <v>1.2265674051484439</v>
      </c>
      <c r="P55" s="325" t="str">
        <f>IF(O55="","",IF(O55&gt;=2,"急増↑↑",IF(O55&gt;=1.5,"増加↑",IF(O55&gt;=1,"普通→","減少↓"))))</f>
        <v>普通→</v>
      </c>
      <c r="Q55" s="325" t="str">
        <f>IF(E55="","",IF(AND(E55&lt;G55,O55&gt;=1.5),"売り▼",IF(E55&gt;G55,"様子見▲","中立→")))</f>
        <v>様子見▲</v>
      </c>
      <c r="R55" s="326">
        <f>IF(E55&lt;&gt;"",ROUND(E55*0.92,0),"")</f>
        <v>7093</v>
      </c>
      <c r="S55" s="326">
        <f>IF(E55&lt;&gt;"",ROUND(E55*1.04,0),"")</f>
        <v>8018</v>
      </c>
      <c r="T55" s="325">
        <f>IF(C55="","",IFERROR(IF(W55&gt;=70,3,IF(W55&gt;=60,2,IF(W55&gt;=50,1,0)))+IF(X55&lt;0,2,0)+IF(AD55="下降トレンド▼",3,IF(AD55="もみ合い→",1,0))+IF(V55="年初来安値圏●",3,IF(V55="安値圏",2,0))+IF(Q55="売り▼",2,0)+IF(P55="急増↑↑",2,IF(P55="増加↑",1,0))+IF(Z55&lt;0,1,0)+IF(L55&lt;=-30,2,IF(L55&lt;=-15,1,0))+IF(AE55="25日戻り売り★",2,IF(AE55="5日戻り売り○",1,0))+N(AL55)+N(AP55)+N(AU55),0))</f>
        <v>1</v>
      </c>
      <c r="U55" s="325" t="str">
        <f>IF(T55="","",IF(AND(T55&gt;=3,O55&gt;=1.5),"有効",IF(T55&gt;=3,"要確認","除外")))</f>
        <v>除外</v>
      </c>
      <c r="V55" s="325" t="str">
        <f>IF(AND(I55&lt;&gt;"",K55&lt;&gt;""),IF(I55&lt;=K55*0.6,"年初来安値圏●",IF(I55&lt;=K55*0.75,"安値圏","通常")),"")</f>
        <v>通常</v>
      </c>
      <c r="W55" s="329">
        <f t="array" ref="W55">IFERROR(100-100/(1+SUMPRODUCT((終値!F73:R73&gt;終値!G73:S73)*(終値!F73:R73-終値!G73:S73))/SUMPRODUCT((終値!F73:R73&lt;終値!G73:S73)*(終値!G73:S73-終値!F73:R73))),50)</f>
        <v>46.619217081850536</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-17.426175872375097</v>
      </c>
      <c r="Y55" s="325" t="str">
        <f>IF(AF55="","",AF55&amp;" | "&amp;AD55&amp;IF(AE55&lt;&gt;"なし"," "&amp;AE55,"")&amp;IF(X55&lt;0," MACD-"," MACD+")&amp;" RSI:"&amp;TEXT(W55,"0.0")&amp;IF(W55&gt;=70," [過熱]",IF(W55&lt;=30," [売られ過ぎ]",""))&amp;" 前日比:"&amp;TEXT(Z55,"+0.0;-0.0;0.0")&amp;"%"&amp;IF(V55="年初来安値圏●"," [年初来安値圏]",IF(V55="安値圏"," [安値圏]",""))&amp;IF(OR(AO55="通常",AO55="-"),""," ["&amp;AO55&amp;"]")&amp;IF(OR(AT55="通常",AT55="-"),"","前日["&amp;AT55&amp;"]")&amp;" ["&amp;T55&amp;"点]")</f>
        <v>相場上昇・見送り | パーフェクト▲ MACD- RSI:46.6 前日比:+2.7% [1点]</v>
      </c>
      <c r="Z55" s="331">
        <f>IF(AND(E55&lt;&gt;"",G55&lt;&gt;"",G55&lt;&gt;0),(E55-G55)/G55*100,"")</f>
        <v>2.6631158455392807</v>
      </c>
      <c r="AA55" s="325" t="str">
        <f>IF(OR(C55="",E55="",E55=0),"",IF(E55&gt;G55,"上昇▲",IF(E55&lt;G55,"下落▼","横ばい→")))</f>
        <v>上昇▲</v>
      </c>
      <c r="AB55" s="326">
        <f>IF(OR(C55="",C55="TOPX",終値!E73=""),"",IFERROR(((終値!E73*0.333)+(終値!F73*0.222)+(終値!G73*0.148)+(終値!H73*0.099)+(終値!I73*0.066))/(0.333+0.222+0.148+0.099+0.066),""))</f>
        <v>7608.6520737327182</v>
      </c>
      <c r="AC55" s="326">
        <f>IF(OR(C55="",C55="TOPX",終値!E73=""),"",IFERROR(SUMPRODUCT((終値!E73:AC73),{0.077,0.071,0.065,0.06,0.055,0.051,0.047,0.043,0.039,0.036,0.033,0.031,0.028,0.026,0.024,0.022,0.02,0.018,0.017,0.016,0.014,0.013,0.012,0.011,0.01})/SUM({0.077,0.071,0.065,0.06,0.055,0.051,0.047,0.043,0.039,0.036,0.033,0.031,0.028,0.026,0.024,0.022,0.02,0.018,0.017,0.016,0.014,0.013,0.012,0.011,0.01}),""))</f>
        <v>7597.103694874846</v>
      </c>
      <c r="AD55" s="325" t="str">
        <f>IF(OR(C55="",AB55="",AC55="",AB55=0,AC55=0),"",IF(AND(E55&gt;AB55,AB55&gt;AC55),"パーフェクト▲",IF(E55&gt;AC55,"上昇トレンド▲",IF(AND(E55&lt;AB55,AB55&lt;AC55),"下降トレンド▼","もみ合い→"))))</f>
        <v>パーフェクト▲</v>
      </c>
      <c r="AE55" s="325" t="str">
        <f>IF(OR(C55="",AB55="",AC55=""),"",IF(AND(ABS(E55-AC55)/AC55&lt;=0.02,E55&lt;AC55),"25日戻り売り★",IF(AND(ABS(E55-AB55)/AB55&lt;=0.01,E55&lt;AB55),"5日戻り売り○","なし")))</f>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相場上昇・見送り</v>
      </c>
      <c r="AG55">
        <f>IF(AND(T55&gt;=7,C55&lt;&gt;""),T55,0)</f>
        <v>0</v>
      </c>
      <c r="AH55">
        <f>IF(AG55&gt;0,AG55*10000-ROW(A55),0)</f>
        <v>0</v>
      </c>
      <c r="AI55" s="373">
        <f t="array" ref="AI55">IF(C55="","",IFERROR((INDEX(終値!$E:$E,MATCH(TEXT(C55,"0"),終値!$A:$A,0))-INDEX(終値!$E:$CZ,MATCH(TEXT(C55,"0"),終値!$A:$A,0),$AN$2))/INDEX(終値!$E:$CZ,MATCH(TEXT(C55,"0"),終値!$A:$A,0),$AN$2)*100,""))</f>
        <v>2.5265957446808507</v>
      </c>
      <c r="AJ55" s="373">
        <f t="array" ref="AJ55">IFERROR((終値!$E$5-INDEX(終値!$E$5:$IT$5,1,$AN$2))/INDEX(終値!$E$5:$IT$5,1,$AN$2)*100,"")</f>
        <v>1.0179378228534113</v>
      </c>
      <c r="AK55" s="374">
        <f>IF(OR(AI55="",AJ55=""),"",AI55-AJ55)</f>
        <v>1.5086579218274394</v>
      </c>
      <c r="AL55" s="372">
        <f>IF(AK55="","",IF(AK55&lt;-5,3,IF(AK55&lt;0,1,IF(AK55&lt;3,-1,-2))))</f>
        <v>-1</v>
      </c>
      <c r="AO55" s="376" t="str">
        <f>IF(OR($C55="",$E55="",$F55="",$H55="",$I55="",$H55-$I55&lt;=0),"-",IF(AND($H55-MAX($F55,$E55)&gt;=ABS($E55-$F55)*2,MIN($F55,$E55)-$I55&lt;=ABS($E55-$F55)*0.5,ABS($E55-$F55)&gt;0),"上ヒゲ陰線▼",IF(AND($E55&lt;$F55,ABS($E55-$F55)&gt;=($H55-$I55)*0.7),"大陰線▼",IF(AND(MIN($F55,$E55)-$I55&gt;=($H55-$I55)*0.5,$H55-MAX($F55,$E55)&lt;=($H55-$I55)*0.2),"長い下ヒゲ(反発警戒)","通常"))))</f>
        <v>通常</v>
      </c>
      <c r="AP55" s="377">
        <f>IF($AO55="上ヒゲ陰線▼",2,IF($AO55="大陰線▼",2,IF($AO55="長い下ヒゲ(反発警戒)",-2,0)))</f>
        <v>0</v>
      </c>
      <c r="AQ55">
        <f>IF(C55&lt;&gt;"",始値!F73,"")</f>
        <v>7850</v>
      </c>
      <c r="AR55">
        <f>IF(C55&lt;&gt;"",高値!F73,"")</f>
        <v>7940</v>
      </c>
      <c r="AS55">
        <f>IF(C55&lt;&gt;"",安値!F73,"")</f>
        <v>7120</v>
      </c>
      <c r="AT55" t="str">
        <f>IF(OR(C55="",AQ55="",AR55="",AS55="",AR55-AS55&lt;=0),"-",IF(AND(AR55-MAX(G55,AQ55)&gt;=ABS(G55-AQ55)*2,MIN(G55,AQ55)-AS55&lt;=ABS(G55-AQ55)*0.5,ABS(G55-AQ55)&gt;0),"上ヒゲ陰線▼",IF(AND(G55&lt;AQ55,ABS(G55-AQ55)&gt;=(AR55-AS55)*0.7),"大陰線▼",IF(AND(MIN(G55,AQ55)-AS55&gt;=(AR55-AS55)*0.5,AR55-MAX(G55,AQ55)&lt;=(AR55-AS55)*0.2),"長い下ヒゲ(反発)","通常"))))</f>
        <v>通常</v>
      </c>
      <c r="AU55">
        <f>IF(AT55="上ヒゲ陰線▼",2,IF(AT55="大陰線▼",2,IF(AT55="長い下ヒゲ(反発)",-2,0)))</f>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19010</v>
      </c>
      <c r="F56" s="333">
        <f>IF(C56&lt;&gt;"",_xll.RssMarket(C56,"始値"),"")</f>
        <v>19980</v>
      </c>
      <c r="G56" s="212">
        <f>IF(C56&lt;&gt;"",終値!F96,"")</f>
        <v>20330</v>
      </c>
      <c r="H56" s="333">
        <f>IF(C56&lt;&gt;"",_xll.RssMarket(C56,"高値"),"")</f>
        <v>20300</v>
      </c>
      <c r="I56" s="333">
        <f>IF(C56&lt;&gt;"",_xll.RssMarket(C56,"安値"),"")</f>
        <v>18415</v>
      </c>
      <c r="J56" s="333">
        <f>IF(C56&lt;&gt;"",_xll.RssMarket(C56,"出来高"),"")</f>
        <v>12684800</v>
      </c>
      <c r="K56" s="333">
        <f>IF(C56&lt;&gt;"",_xll.RssMarket(C56,"年初来高値"),"")</f>
        <v>27480</v>
      </c>
      <c r="L56" s="334">
        <f>IF(AND(E56&lt;&gt;"",K56&lt;&gt;"",K56&lt;&gt;0),(E56-K56)/K56*100,"")</f>
        <v>-30.822416302765649</v>
      </c>
      <c r="M56" s="333">
        <f>IF(C56&lt;&gt;"",IFERROR(AVERAGE(出来高!E96:I96),""),"")</f>
        <v>8193800</v>
      </c>
      <c r="N56" s="333">
        <f>IF(C56&lt;&gt;"",IFERROR(AVERAGE(出来高!E96:AC96),""),"")</f>
        <v>8632500</v>
      </c>
      <c r="O56" s="335">
        <f>IF(AND(J56&lt;&gt;"",M56&lt;&gt;"",M56&lt;&gt;0),J56/M56,"")</f>
        <v>1.5480973418926505</v>
      </c>
      <c r="P56" s="212" t="str">
        <f>IF(O56="","",IF(O56&gt;=2,"急増↑↑",IF(O56&gt;=1.5,"増加↑",IF(O56&gt;=1,"普通→","減少↓"))))</f>
        <v>増加↑</v>
      </c>
      <c r="Q56" s="212" t="str">
        <f>IF(E56="","",IF(AND(E56&lt;G56,O56&gt;=1.5),"売り▼",IF(E56&gt;G56,"様子見▲","中立→")))</f>
        <v>売り▼</v>
      </c>
      <c r="R56" s="333">
        <f>IF(E56&lt;&gt;"",ROUND(E56*0.92,0),"")</f>
        <v>17489</v>
      </c>
      <c r="S56" s="333">
        <f>IF(E56&lt;&gt;"",ROUND(E56*1.04,0),"")</f>
        <v>19770</v>
      </c>
      <c r="T56" s="325">
        <f>IF(C56="","",IFERROR(IF(W56&gt;=70,3,IF(W56&gt;=60,2,IF(W56&gt;=50,1,0)))+IF(X56&lt;0,2,0)+IF(AD56="下降トレンド▼",3,IF(AD56="もみ合い→",1,0))+IF(V56="年初来安値圏●",3,IF(V56="安値圏",2,0))+IF(Q56="売り▼",2,0)+IF(P56="急増↑↑",2,IF(P56="増加↑",1,0))+IF(Z56&lt;0,1,0)+IF(L56&lt;=-30,2,IF(L56&lt;=-15,1,0))+IF(AE56="25日戻り売り★",2,IF(AE56="5日戻り売り○",1,0))+N(AL56)+N(AP56)+N(AU56),0))</f>
        <v>12</v>
      </c>
      <c r="U56" s="212" t="str">
        <f>IF(T56="","",IF(AND(T56&gt;=3,O56&gt;=1.5),"有効",IF(T56&gt;=3,"要確認","除外")))</f>
        <v>有効</v>
      </c>
      <c r="V56" s="212" t="str">
        <f>IF(AND(I56&lt;&gt;"",K56&lt;&gt;""),IF(I56&lt;=K56*0.6,"年初来安値圏●",IF(I56&lt;=K56*0.75,"安値圏","通常")),"")</f>
        <v>安値圏</v>
      </c>
      <c r="W56" s="336">
        <f t="array" ref="W56">IFERROR(100-100/(1+SUMPRODUCT((終値!F96:R96&gt;終値!G96:S96)*(終値!F96:R96-終値!G96:S96))/SUMPRODUCT((終値!F96:R96&lt;終値!G96:S96)*(終値!G96:S96-終値!F96:R96))),50)</f>
        <v>52.463912394225986</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-294.27367964368386</v>
      </c>
      <c r="Y56" s="212" t="str">
        <f>IF(AF56="","",AF56&amp;" | "&amp;AD56&amp;IF(AE56&lt;&gt;"なし"," "&amp;AE56,"")&amp;IF(X56&lt;0," MACD-"," MACD+")&amp;" RSI:"&amp;TEXT(W56,"0.0")&amp;IF(W56&gt;=70," [過熱]",IF(W56&lt;=30," [売られ過ぎ]",""))&amp;" 前日比:"&amp;TEXT(Z56,"+0.0;-0.0;0.0")&amp;"%"&amp;IF(V56="年初来安値圏●"," [年初来安値圏]",IF(V56="安値圏"," [安値圏]",""))&amp;IF(OR(AO56="通常",AO56="-"),""," ["&amp;AO56&amp;"]")&amp;IF(OR(AT56="通常",AT56="-"),"","前日["&amp;AT56&amp;"]")&amp;" ["&amp;T56&amp;"点]")</f>
        <v>相場上昇・見送り | パーフェクト▲ MACD- RSI:52.5 前日比:-6.5% [安値圏]前日[長い下ヒゲ(反発)] [12点]</v>
      </c>
      <c r="Z56" s="338">
        <f>IF(AND(E56&lt;&gt;"",G56&lt;&gt;"",G56&lt;&gt;0),(E56-G56)/G56*100,"")</f>
        <v>-6.4928676832267582</v>
      </c>
      <c r="AA56" s="212" t="str">
        <f>IF(OR(C56="",E56="",E56=0),"",IF(E56&gt;G56,"上昇▲",IF(E56&lt;G56,"下落▼","横ばい→")))</f>
        <v>下落▼</v>
      </c>
      <c r="AB56" s="333">
        <f>IF(OR(C56="",C56="TOPX",終値!E96=""),"",IFERROR(((終値!E96*0.333)+(終値!F96*0.222)+(終値!G96*0.148)+(終値!H96*0.099)+(終値!I96*0.066))/(0.333+0.222+0.148+0.099+0.066),""))</f>
        <v>18314.85599078341</v>
      </c>
      <c r="AC56" s="333">
        <f>IF(OR(C56="",C56="TOPX",終値!E96=""),"",IFERROR(SUMPRODUCT((終値!E96:AC96),{0.077,0.071,0.065,0.06,0.055,0.051,0.047,0.043,0.039,0.036,0.033,0.031,0.028,0.026,0.024,0.022,0.02,0.018,0.017,0.016,0.014,0.013,0.012,0.011,0.01})/SUM({0.077,0.071,0.065,0.06,0.055,0.051,0.047,0.043,0.039,0.036,0.033,0.031,0.028,0.026,0.024,0.022,0.02,0.018,0.017,0.016,0.014,0.013,0.012,0.011,0.01}),""))</f>
        <v>17529.618593563762</v>
      </c>
      <c r="AD56" s="212" t="str">
        <f>IF(OR(C56="",AB56="",AC56="",AB56=0,AC56=0),"",IF(AND(E56&gt;AB56,AB56&gt;AC56),"パーフェクト▲",IF(E56&gt;AC56,"上昇トレンド▲",IF(AND(E56&lt;AB56,AB56&lt;AC56),"下降トレンド▼","もみ合い→"))))</f>
        <v>パーフェクト▲</v>
      </c>
      <c r="AE56" s="212" t="str">
        <f>IF(OR(C56="",AB56="",AC56=""),"",IF(AND(ABS(E56-AC56)/AC56&lt;=0.02,E56&lt;AC56),"25日戻り売り★",IF(AND(ABS(E56-AB56)/AB56&lt;=0.01,E56&lt;AB56),"5日戻り売り○","なし")))</f>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相場上昇・見送り</v>
      </c>
      <c r="AG56">
        <f>IF(AND(T56&gt;=7,C56&lt;&gt;""),T56,0)</f>
        <v>12</v>
      </c>
      <c r="AH56">
        <f>IF(AG56&gt;0,AG56*10000-ROW(A56),0)</f>
        <v>119944</v>
      </c>
      <c r="AI56" s="373">
        <f t="array" ref="AI56">IF(C56="","",IFERROR((INDEX(終値!$E:$E,MATCH(TEXT(C56,"0"),終値!$A:$A,0))-INDEX(終値!$E:$CZ,MATCH(TEXT(C56,"0"),終値!$A:$A,0),$AN$2))/INDEX(終値!$E:$CZ,MATCH(TEXT(C56,"0"),終値!$A:$A,0),$AN$2)*100,""))</f>
        <v>-26.274966065541982</v>
      </c>
      <c r="AJ56" s="373">
        <f t="array" ref="AJ56">IFERROR((終値!$E$5-INDEX(終値!$E$5:$IT$5,1,$AN$2))/INDEX(終値!$E$5:$IT$5,1,$AN$2)*100,"")</f>
        <v>1.0179378228534113</v>
      </c>
      <c r="AK56" s="374">
        <f>IF(OR(AI56="",AJ56=""),"",AI56-AJ56)</f>
        <v>-27.292903888395394</v>
      </c>
      <c r="AL56" s="372">
        <f>IF(AK56="","",IF(AK56&lt;-5,3,IF(AK56&lt;0,1,IF(AK56&lt;3,-1,-2))))</f>
        <v>3</v>
      </c>
      <c r="AO56" s="376" t="str">
        <f>IF(OR($C56="",$E56="",$F56="",$H56="",$I56="",$H56-$I56&lt;=0),"-",IF(AND($H56-MAX($F56,$E56)&gt;=ABS($E56-$F56)*2,MIN($F56,$E56)-$I56&lt;=ABS($E56-$F56)*0.5,ABS($E56-$F56)&gt;0),"上ヒゲ陰線▼",IF(AND($E56&lt;$F56,ABS($E56-$F56)&gt;=($H56-$I56)*0.7),"大陰線▼",IF(AND(MIN($F56,$E56)-$I56&gt;=($H56-$I56)*0.5,$H56-MAX($F56,$E56)&lt;=($H56-$I56)*0.2),"長い下ヒゲ(反発警戒)","通常"))))</f>
        <v>通常</v>
      </c>
      <c r="AP56" s="377">
        <f>IF($AO56="上ヒゲ陰線▼",2,IF($AO56="大陰線▼",2,IF($AO56="長い下ヒゲ(反発警戒)",-2,0)))</f>
        <v>0</v>
      </c>
      <c r="AQ56">
        <f>IF(C56&lt;&gt;"",始値!F96,"")</f>
        <v>19930</v>
      </c>
      <c r="AR56">
        <f>IF(C56&lt;&gt;"",高値!F96,"")</f>
        <v>20330</v>
      </c>
      <c r="AS56">
        <f>IF(C56&lt;&gt;"",安値!F96,"")</f>
        <v>19155</v>
      </c>
      <c r="AT56" t="str">
        <f>IF(OR(C56="",AQ56="",AR56="",AS56="",AR56-AS56&lt;=0),"-",IF(AND(AR56-MAX(G56,AQ56)&gt;=ABS(G56-AQ56)*2,MIN(G56,AQ56)-AS56&lt;=ABS(G56-AQ56)*0.5,ABS(G56-AQ56)&gt;0),"上ヒゲ陰線▼",IF(AND(G56&lt;AQ56,ABS(G56-AQ56)&gt;=(AR56-AS56)*0.7),"大陰線▼",IF(AND(MIN(G56,AQ56)-AS56&gt;=(AR56-AS56)*0.5,AR56-MAX(G56,AQ56)&lt;=(AR56-AS56)*0.2),"長い下ヒゲ(反発)","通常"))))</f>
        <v>長い下ヒゲ(反発)</v>
      </c>
      <c r="AU56">
        <f>IF(AT56="上ヒゲ陰線▼",2,IF(AT56="大陰線▼",2,IF(AT56="長い下ヒゲ(反発)",-2,0)))</f>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2158.5</v>
      </c>
      <c r="F57" s="326">
        <f>IF(C57&lt;&gt;"",_xll.RssMarket(C57,"始値"),"")</f>
        <v>2234</v>
      </c>
      <c r="G57" s="325">
        <f>IF(C57&lt;&gt;"",終値!F102,"")</f>
        <v>2371.5</v>
      </c>
      <c r="H57" s="326">
        <f>IF(C57&lt;&gt;"",_xll.RssMarket(C57,"高値"),"")</f>
        <v>2283</v>
      </c>
      <c r="I57" s="326">
        <f>IF(C57&lt;&gt;"",_xll.RssMarket(C57,"安値"),"")</f>
        <v>2145</v>
      </c>
      <c r="J57" s="326">
        <f>IF(C57&lt;&gt;"",_xll.RssMarket(C57,"出来高"),"")</f>
        <v>31968400</v>
      </c>
      <c r="K57" s="326">
        <f>IF(C57&lt;&gt;"",_xll.RssMarket(C57,"年初来高値"),"")</f>
        <v>3019</v>
      </c>
      <c r="L57" s="327">
        <f>IF(AND(E57&lt;&gt;"",K57&lt;&gt;"",K57&lt;&gt;0),(E57-K57)/K57*100,"")</f>
        <v>-28.502815501821793</v>
      </c>
      <c r="M57" s="326">
        <f>IF(C57&lt;&gt;"",IFERROR(AVERAGE(出来高!E102:I102),""),"")</f>
        <v>31458650</v>
      </c>
      <c r="N57" s="326">
        <f>IF(C57&lt;&gt;"",IFERROR(AVERAGE(出来高!E102:AC102),""),"")</f>
        <v>31458650</v>
      </c>
      <c r="O57" s="328">
        <f>IF(AND(J57&lt;&gt;"",M57&lt;&gt;"",M57&lt;&gt;0),J57/M57,"")</f>
        <v>1.0162038103987299</v>
      </c>
      <c r="P57" s="325" t="str">
        <f>IF(O57="","",IF(O57&gt;=2,"急増↑↑",IF(O57&gt;=1.5,"増加↑",IF(O57&gt;=1,"普通→","減少↓"))))</f>
        <v>普通→</v>
      </c>
      <c r="Q57" s="325" t="str">
        <f>IF(E57="","",IF(AND(E57&lt;G57,O57&gt;=1.5),"売り▼",IF(E57&gt;G57,"様子見▲","中立→")))</f>
        <v>中立→</v>
      </c>
      <c r="R57" s="326">
        <f>IF(E57&lt;&gt;"",ROUND(E57*0.92,0),"")</f>
        <v>1986</v>
      </c>
      <c r="S57" s="326">
        <f>IF(E57&lt;&gt;"",ROUND(E57*1.04,0),"")</f>
        <v>2245</v>
      </c>
      <c r="T57" s="325">
        <f>IF(C57="","",IFERROR(IF(W57&gt;=70,3,IF(W57&gt;=60,2,IF(W57&gt;=50,1,0)))+IF(X57&lt;0,2,0)+IF(AD57="下降トレンド▼",3,IF(AD57="もみ合い→",1,0))+IF(V57="年初来安値圏●",3,IF(V57="安値圏",2,0))+IF(Q57="売り▼",2,0)+IF(P57="急増↑↑",2,IF(P57="増加↑",1,0))+IF(Z57&lt;0,1,0)+IF(L57&lt;=-30,2,IF(L57&lt;=-15,1,0))+IF(AE57="25日戻り売り★",2,IF(AE57="5日戻り売り○",1,0))+N(AL57)+N(AP57)+N(AU57),0))</f>
        <v>5</v>
      </c>
      <c r="U57" s="325" t="str">
        <f>IF(T57="","",IF(AND(T57&gt;=3,O57&gt;=1.5),"有効",IF(T57&gt;=3,"要確認","除外")))</f>
        <v>要確認</v>
      </c>
      <c r="V57" s="325" t="str">
        <f>IF(AND(I57&lt;&gt;"",K57&lt;&gt;""),IF(I57&lt;=K57*0.6,"年初来安値圏●",IF(I57&lt;=K57*0.75,"安値圏","通常")),"")</f>
        <v>安値圏</v>
      </c>
      <c r="W57" s="329">
        <f t="array" ref="W57">IFERROR(100-100/(1+SUMPRODUCT((終値!F102:R102&gt;終値!G102:S102)*(終値!F102:R102-終値!G102:S102))/SUMPRODUCT((終値!F102:R102&lt;終値!G102:S102)*(終値!G102:S102-終値!F102:R102))),50)</f>
        <v>50</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141.16815661581222</v>
      </c>
      <c r="Y57" s="325" t="str">
        <f>IF(AF57="","",AF57&amp;" | "&amp;AD57&amp;IF(AE57&lt;&gt;"なし"," "&amp;AE57,"")&amp;IF(X57&lt;0," MACD-"," MACD+")&amp;" RSI:"&amp;TEXT(W57,"0.0")&amp;IF(W57&gt;=70," [過熱]",IF(W57&lt;=30," [売られ過ぎ]",""))&amp;" 前日比:"&amp;TEXT(Z57,"+0.0;-0.0;0.0")&amp;"%"&amp;IF(V57="年初来安値圏●"," [年初来安値圏]",IF(V57="安値圏"," [安値圏]",""))&amp;IF(OR(AO57="通常",AO57="-"),""," ["&amp;AO57&amp;"]")&amp;IF(OR(AT57="通常",AT57="-"),"","前日["&amp;AT57&amp;"]")&amp;" ["&amp;T57&amp;"点]")</f>
        <v>相場上昇・見送り | パーフェクト▲ MACD+ RSI:50.0 前日比:-9.0% [安値圏] [5点]</v>
      </c>
      <c r="Z57" s="331">
        <f>IF(AND(E57&lt;&gt;"",G57&lt;&gt;"",G57&lt;&gt;0),(E57-G57)/G57*100,"")</f>
        <v>-8.9816571790006314</v>
      </c>
      <c r="AA57" s="325" t="str">
        <f>IF(OR(C57="",E57="",E57=0),"",IF(E57&gt;G57,"上昇▲",IF(E57&lt;G57,"下落▼","横ばい→")))</f>
        <v>下落▼</v>
      </c>
      <c r="AB57" s="326">
        <f>IF(OR(C57="",C57="TOPX",終値!E102=""),"",IFERROR(((終値!E102*0.333)+(終値!F102*0.222)+(終値!G102*0.148)+(終値!H102*0.099)+(終値!I102*0.066))/(0.333+0.222+0.148+0.099+0.066),""))</f>
        <v>1434.6238479262672</v>
      </c>
      <c r="AC57" s="326">
        <f>IF(OR(C57="",C57="TOPX",終値!E102=""),"",IFERROR(SUMPRODUCT((終値!E102:AC102),{0.077,0.071,0.065,0.06,0.055,0.051,0.047,0.043,0.039,0.036,0.033,0.031,0.028,0.026,0.024,0.022,0.02,0.018,0.017,0.016,0.014,0.013,0.012,0.011,0.01})/SUM({0.077,0.071,0.065,0.06,0.055,0.051,0.047,0.043,0.039,0.036,0.033,0.031,0.028,0.026,0.024,0.022,0.02,0.018,0.017,0.016,0.014,0.013,0.012,0.011,0.01}),""))</f>
        <v>398.78545887961849</v>
      </c>
      <c r="AD57" s="325" t="str">
        <f>IF(OR(C57="",AB57="",AC57="",AB57=0,AC57=0),"",IF(AND(E57&gt;AB57,AB57&gt;AC57),"パーフェクト▲",IF(E57&gt;AC57,"上昇トレンド▲",IF(AND(E57&lt;AB57,AB57&lt;AC57),"下降トレンド▼","もみ合い→"))))</f>
        <v>パーフェクト▲</v>
      </c>
      <c r="AE57" s="325" t="str">
        <f>IF(OR(C57="",AB57="",AC57=""),"",IF(AND(ABS(E57-AC57)/AC57&lt;=0.02,E57&lt;AC57),"25日戻り売り★",IF(AND(ABS(E57-AB57)/AB57&lt;=0.01,E57&lt;AB57),"5日戻り売り○","なし")))</f>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相場上昇・見送り</v>
      </c>
      <c r="AG57">
        <f>IF(AND(T57&gt;=7,C57&lt;&gt;""),T57,0)</f>
        <v>0</v>
      </c>
      <c r="AH57">
        <f>IF(AG57&gt;0,AG57*10000-ROW(A57),0)</f>
        <v>0</v>
      </c>
      <c r="AI57" s="373" t="str">
        <f t="array" ref="AI57">IF(C57="","",IFERROR((INDEX(終値!$E:$E,MATCH(TEXT(C57,"0"),終値!$A:$A,0))-INDEX(終値!$E:$CZ,MATCH(TEXT(C57,"0"),終値!$A:$A,0),$AN$2))/INDEX(終値!$E:$CZ,MATCH(TEXT(C57,"0"),終値!$A:$A,0),$AN$2)*100,""))</f>
        <v/>
      </c>
      <c r="AJ57" s="373">
        <f t="array" ref="AJ57">IFERROR((終値!$E$5-INDEX(終値!$E$5:$IT$5,1,$AN$2))/INDEX(終値!$E$5:$IT$5,1,$AN$2)*100,"")</f>
        <v>1.0179378228534113</v>
      </c>
      <c r="AK57" s="374" t="str">
        <f>IF(OR(AI57="",AJ57=""),"",AI57-AJ57)</f>
        <v/>
      </c>
      <c r="AL57" s="372" t="str">
        <f>IF(AK57="","",IF(AK57&lt;-5,3,IF(AK57&lt;0,1,IF(AK57&lt;3,-1,-2))))</f>
        <v/>
      </c>
      <c r="AO57" s="376" t="str">
        <f>IF(OR($C57="",$E57="",$F57="",$H57="",$I57="",$H57-$I57&lt;=0),"-",IF(AND($H57-MAX($F57,$E57)&gt;=ABS($E57-$F57)*2,MIN($F57,$E57)-$I57&lt;=ABS($E57-$F57)*0.5,ABS($E57-$F57)&gt;0),"上ヒゲ陰線▼",IF(AND($E57&lt;$F57,ABS($E57-$F57)&gt;=($H57-$I57)*0.7),"大陰線▼",IF(AND(MIN($F57,$E57)-$I57&gt;=($H57-$I57)*0.5,$H57-MAX($F57,$E57)&lt;=($H57-$I57)*0.2),"長い下ヒゲ(反発警戒)","通常"))))</f>
        <v>通常</v>
      </c>
      <c r="AP57" s="377">
        <f>IF($AO57="上ヒゲ陰線▼",2,IF($AO57="大陰線▼",2,IF($AO57="長い下ヒゲ(反発警戒)",-2,0)))</f>
        <v>0</v>
      </c>
      <c r="AQ57">
        <f>IF(C57&lt;&gt;"",始値!F102,"")</f>
        <v>2352</v>
      </c>
      <c r="AR57">
        <f>IF(C57&lt;&gt;"",高値!F102,"")</f>
        <v>2395</v>
      </c>
      <c r="AS57">
        <f>IF(C57&lt;&gt;"",安値!F102,"")</f>
        <v>2294</v>
      </c>
      <c r="AT57" t="str">
        <f>IF(OR(C57="",AQ57="",AR57="",AS57="",AR57-AS57&lt;=0),"-",IF(AND(AR57-MAX(G57,AQ57)&gt;=ABS(G57-AQ57)*2,MIN(G57,AQ57)-AS57&lt;=ABS(G57-AQ57)*0.5,ABS(G57-AQ57)&gt;0),"上ヒゲ陰線▼",IF(AND(G57&lt;AQ57,ABS(G57-AQ57)&gt;=(AR57-AS57)*0.7),"大陰線▼",IF(AND(MIN(G57,AQ57)-AS57&gt;=(AR57-AS57)*0.5,AR57-MAX(G57,AQ57)&lt;=(AR57-AS57)*0.2),"長い下ヒゲ(反発)","通常"))))</f>
        <v>通常</v>
      </c>
      <c r="AU57">
        <f>IF(AT57="上ヒゲ陰線▼",2,IF(AT57="大陰線▼",2,IF(AT57="長い下ヒゲ(反発)",-2,0)))</f>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4596</v>
      </c>
      <c r="F58" s="333">
        <f>IF(C58&lt;&gt;"",_xll.RssMarket(C58,"始値"),"")</f>
        <v>4833</v>
      </c>
      <c r="G58" s="212">
        <f>IF(C58&lt;&gt;"",終値!F103,"")</f>
        <v>5073</v>
      </c>
      <c r="H58" s="333">
        <f>IF(C58&lt;&gt;"",_xll.RssMarket(C58,"高値"),"")</f>
        <v>4917</v>
      </c>
      <c r="I58" s="333">
        <f>IF(C58&lt;&gt;"",_xll.RssMarket(C58,"安値"),"")</f>
        <v>4566</v>
      </c>
      <c r="J58" s="333">
        <f>IF(C58&lt;&gt;"",_xll.RssMarket(C58,"出来高"),"")</f>
        <v>57561600</v>
      </c>
      <c r="K58" s="333">
        <f>IF(C58&lt;&gt;"",_xll.RssMarket(C58,"年初来高値"),"")</f>
        <v>7933</v>
      </c>
      <c r="L58" s="334">
        <f>IF(AND(E58&lt;&gt;"",K58&lt;&gt;"",K58&lt;&gt;0),(E58-K58)/K58*100,"")</f>
        <v>-42.064792638346148</v>
      </c>
      <c r="M58" s="333">
        <f>IF(C58&lt;&gt;"",IFERROR(AVERAGE(出来高!E103:I103),""),"")</f>
        <v>54445500</v>
      </c>
      <c r="N58" s="333">
        <f>IF(C58&lt;&gt;"",IFERROR(AVERAGE(出来高!E103:AC103),""),"")</f>
        <v>42442200</v>
      </c>
      <c r="O58" s="335">
        <f>IF(AND(J58&lt;&gt;"",M58&lt;&gt;"",M58&lt;&gt;0),J58/M58,"")</f>
        <v>1.05723338016916</v>
      </c>
      <c r="P58" s="212" t="str">
        <f>IF(O58="","",IF(O58&gt;=2,"急増↑↑",IF(O58&gt;=1.5,"増加↑",IF(O58&gt;=1,"普通→","減少↓"))))</f>
        <v>普通→</v>
      </c>
      <c r="Q58" s="212" t="str">
        <f>IF(E58="","",IF(AND(E58&lt;G58,O58&gt;=1.5),"売り▼",IF(E58&gt;G58,"様子見▲","中立→")))</f>
        <v>中立→</v>
      </c>
      <c r="R58" s="333">
        <f>IF(E58&lt;&gt;"",ROUND(E58*0.92,0),"")</f>
        <v>4228</v>
      </c>
      <c r="S58" s="333">
        <f>IF(E58&lt;&gt;"",ROUND(E58*1.04,0),"")</f>
        <v>4780</v>
      </c>
      <c r="T58" s="325">
        <f>IF(C58="","",IFERROR(IF(W58&gt;=70,3,IF(W58&gt;=60,2,IF(W58&gt;=50,1,0)))+IF(X58&lt;0,2,0)+IF(AD58="下降トレンド▼",3,IF(AD58="もみ合い→",1,0))+IF(V58="年初来安値圏●",3,IF(V58="安値圏",2,0))+IF(Q58="売り▼",2,0)+IF(P58="急増↑↑",2,IF(P58="増加↑",1,0))+IF(Z58&lt;0,1,0)+IF(L58&lt;=-30,2,IF(L58&lt;=-15,1,0))+IF(AE58="25日戻り売り★",2,IF(AE58="5日戻り売り○",1,0))+N(AL58)+N(AP58)+N(AU58),0))</f>
        <v>11</v>
      </c>
      <c r="U58" s="212" t="str">
        <f>IF(T58="","",IF(AND(T58&gt;=3,O58&gt;=1.5),"有効",IF(T58&gt;=3,"要確認","除外")))</f>
        <v>要確認</v>
      </c>
      <c r="V58" s="212" t="str">
        <f>IF(AND(I58&lt;&gt;"",K58&lt;&gt;""),IF(I58&lt;=K58*0.6,"年初来安値圏●",IF(I58&lt;=K58*0.75,"安値圏","通常")),"")</f>
        <v>年初来安値圏●</v>
      </c>
      <c r="W58" s="336">
        <f t="array" ref="W58">IFERROR(100-100/(1+SUMPRODUCT((終値!F103:R103&gt;終値!G103:S103)*(終値!F103:R103-終値!G103:S103))/SUMPRODUCT((終値!F103:R103&lt;終値!G103:S103)*(終値!G103:S103-終値!F103:R103))),50)</f>
        <v>48.920863309352519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-78.596810208606257</v>
      </c>
      <c r="Y58" s="212" t="str">
        <f>IF(AF58="","",AF58&amp;" | "&amp;AD58&amp;IF(AE58&lt;&gt;"なし"," "&amp;AE58,"")&amp;IF(X58&lt;0," MACD-"," MACD+")&amp;" RSI:"&amp;TEXT(W58,"0.0")&amp;IF(W58&gt;=70," [過熱]",IF(W58&lt;=30," [売られ過ぎ]",""))&amp;" 前日比:"&amp;TEXT(Z58,"+0.0;-0.0;0.0")&amp;"%"&amp;IF(V58="年初来安値圏●"," [年初来安値圏]",IF(V58="安値圏"," [安値圏]",""))&amp;IF(OR(AO58="通常",AO58="-"),""," ["&amp;AO58&amp;"]")&amp;IF(OR(AT58="通常",AT58="-"),"","前日["&amp;AT58&amp;"]")&amp;" ["&amp;T58&amp;"点]")</f>
        <v>相場上昇・見送り | 上昇トレンド▲ MACD- RSI:48.9 前日比:-9.4% [年初来安値圏] [11点]</v>
      </c>
      <c r="Z58" s="338">
        <f>IF(AND(E58&lt;&gt;"",G58&lt;&gt;"",G58&lt;&gt;0),(E58-G58)/G58*100,"")</f>
        <v>-9.4027202838557056</v>
      </c>
      <c r="AA58" s="212" t="str">
        <f>IF(OR(C58="",E58="",E58=0),"",IF(E58&gt;G58,"上昇▲",IF(E58&lt;G58,"下落▼","横ばい→")))</f>
        <v>下落▼</v>
      </c>
      <c r="AB58" s="333">
        <f>IF(OR(C58="",C58="TOPX",終値!E103=""),"",IFERROR(((終値!E103*0.333)+(終値!F103*0.222)+(終値!G103*0.148)+(終値!H103*0.099)+(終値!I103*0.066))/(0.333+0.222+0.148+0.099+0.066),""))</f>
        <v>4656.3133640552987</v>
      </c>
      <c r="AC58" s="333">
        <f>IF(OR(C58="",C58="TOPX",終値!E103=""),"",IFERROR(SUMPRODUCT((終値!E103:AC103),{0.077,0.071,0.065,0.06,0.055,0.051,0.047,0.043,0.039,0.036,0.033,0.031,0.028,0.026,0.024,0.022,0.02,0.018,0.017,0.016,0.014,0.013,0.012,0.011,0.01})/SUM({0.077,0.071,0.065,0.06,0.055,0.051,0.047,0.043,0.039,0.036,0.033,0.031,0.028,0.026,0.024,0.022,0.02,0.018,0.017,0.016,0.014,0.013,0.012,0.011,0.01}),""))</f>
        <v>4568.5113230035731</v>
      </c>
      <c r="AD58" s="212" t="str">
        <f>IF(OR(C58="",AB58="",AC58="",AB58=0,AC58=0),"",IF(AND(E58&gt;AB58,AB58&gt;AC58),"パーフェクト▲",IF(E58&gt;AC58,"上昇トレンド▲",IF(AND(E58&lt;AB58,AB58&lt;AC58),"下降トレンド▼","もみ合い→"))))</f>
        <v>上昇トレンド▲</v>
      </c>
      <c r="AE58" s="212" t="str">
        <f>IF(OR(C58="",AB58="",AC58=""),"",IF(AND(ABS(E58-AC58)/AC58&lt;=0.02,E58&lt;AC58),"25日戻り売り★",IF(AND(ABS(E58-AB58)/AB58&lt;=0.01,E58&lt;AB58),"5日戻り売り○","なし")))</f>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相場上昇・見送り</v>
      </c>
      <c r="AG58">
        <f>IF(AND(T58&gt;=7,C58&lt;&gt;""),T58,0)</f>
        <v>11</v>
      </c>
      <c r="AH58">
        <f>IF(AG58&gt;0,AG58*10000-ROW(A58),0)</f>
        <v>109942</v>
      </c>
      <c r="AI58" s="373">
        <f t="array" ref="AI58">IF(C58="","",IFERROR((INDEX(終値!$E:$E,MATCH(TEXT(C58,"0"),終値!$A:$A,0))-INDEX(終値!$E:$CZ,MATCH(TEXT(C58,"0"),終値!$A:$A,0),$AN$2))/INDEX(終値!$E:$CZ,MATCH(TEXT(C58,"0"),終値!$A:$A,0),$AN$2)*100,""))</f>
        <v>-21.112255406797118</v>
      </c>
      <c r="AJ58" s="373">
        <f t="array" ref="AJ58">IFERROR((終値!$E$5-INDEX(終値!$E$5:$IT$5,1,$AN$2))/INDEX(終値!$E$5:$IT$5,1,$AN$2)*100,"")</f>
        <v>1.0179378228534113</v>
      </c>
      <c r="AK58" s="374">
        <f>IF(OR(AI58="",AJ58=""),"",AI58-AJ58)</f>
        <v>-22.13019322965053</v>
      </c>
      <c r="AL58" s="372">
        <f>IF(AK58="","",IF(AK58&lt;-5,3,IF(AK58&lt;0,1,IF(AK58&lt;3,-1,-2))))</f>
        <v>3</v>
      </c>
      <c r="AO58" s="376" t="str">
        <f>IF(OR($C58="",$E58="",$F58="",$H58="",$I58="",$H58-$I58&lt;=0),"-",IF(AND($H58-MAX($F58,$E58)&gt;=ABS($E58-$F58)*2,MIN($F58,$E58)-$I58&lt;=ABS($E58-$F58)*0.5,ABS($E58-$F58)&gt;0),"上ヒゲ陰線▼",IF(AND($E58&lt;$F58,ABS($E58-$F58)&gt;=($H58-$I58)*0.7),"大陰線▼",IF(AND(MIN($F58,$E58)-$I58&gt;=($H58-$I58)*0.5,$H58-MAX($F58,$E58)&lt;=($H58-$I58)*0.2),"長い下ヒゲ(反発警戒)","通常"))))</f>
        <v>通常</v>
      </c>
      <c r="AP58" s="377">
        <f>IF($AO58="上ヒゲ陰線▼",2,IF($AO58="大陰線▼",2,IF($AO58="長い下ヒゲ(反発警戒)",-2,0)))</f>
        <v>0</v>
      </c>
      <c r="AQ58">
        <f>IF(C58&lt;&gt;"",始値!F103,"")</f>
        <v>4830</v>
      </c>
      <c r="AR58">
        <f>IF(C58&lt;&gt;"",高値!F103,"")</f>
        <v>5110</v>
      </c>
      <c r="AS58">
        <f>IF(C58&lt;&gt;"",安値!F103,"")</f>
        <v>4799</v>
      </c>
      <c r="AT58" t="str">
        <f>IF(OR(C58="",AQ58="",AR58="",AS58="",AR58-AS58&lt;=0),"-",IF(AND(AR58-MAX(G58,AQ58)&gt;=ABS(G58-AQ58)*2,MIN(G58,AQ58)-AS58&lt;=ABS(G58-AQ58)*0.5,ABS(G58-AQ58)&gt;0),"上ヒゲ陰線▼",IF(AND(G58&lt;AQ58,ABS(G58-AQ58)&gt;=(AR58-AS58)*0.7),"大陰線▼",IF(AND(MIN(G58,AQ58)-AS58&gt;=(AR58-AS58)*0.5,AR58-MAX(G58,AQ58)&lt;=(AR58-AS58)*0.2),"長い下ヒゲ(反発)","通常"))))</f>
        <v>通常</v>
      </c>
      <c r="AU58">
        <f>IF(AT58="上ヒゲ陰線▼",2,IF(AT58="大陰線▼",2,IF(AT58="長い下ヒゲ(反発)",-2,0)))</f>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2395</v>
      </c>
      <c r="F59" s="326">
        <f>IF(C59&lt;&gt;"",_xll.RssMarket(C59,"始値"),"")</f>
        <v>2355</v>
      </c>
      <c r="G59" s="325">
        <f>IF(C59&lt;&gt;"",終値!F104,"")</f>
        <v>2357</v>
      </c>
      <c r="H59" s="326">
        <f>IF(C59&lt;&gt;"",_xll.RssMarket(C59,"高値"),"")</f>
        <v>2397</v>
      </c>
      <c r="I59" s="326">
        <f>IF(C59&lt;&gt;"",_xll.RssMarket(C59,"安値"),"")</f>
        <v>2340</v>
      </c>
      <c r="J59" s="326">
        <f>IF(C59&lt;&gt;"",_xll.RssMarket(C59,"出来高"),"")</f>
        <v>3921800</v>
      </c>
      <c r="K59" s="326">
        <f>IF(C59&lt;&gt;"",_xll.RssMarket(C59,"年初来高値"),"")</f>
        <v>2539.5</v>
      </c>
      <c r="L59" s="327">
        <f>IF(AND(E59&lt;&gt;"",K59&lt;&gt;"",K59&lt;&gt;0),(E59-K59)/K59*100,"")</f>
        <v>-5.6900964756841903</v>
      </c>
      <c r="M59" s="326">
        <f>IF(C59&lt;&gt;"",IFERROR(AVERAGE(出来高!E104:I104),""),"")</f>
        <v>5159220</v>
      </c>
      <c r="N59" s="326">
        <f>IF(C59&lt;&gt;"",IFERROR(AVERAGE(出来高!E104:AC104),""),"")</f>
        <v>5511388</v>
      </c>
      <c r="O59" s="328">
        <f>IF(AND(J59&lt;&gt;"",M59&lt;&gt;"",M59&lt;&gt;0),J59/M59,"")</f>
        <v>0.76015366663953077</v>
      </c>
      <c r="P59" s="325" t="str">
        <f>IF(O59="","",IF(O59&gt;=2,"急増↑↑",IF(O59&gt;=1.5,"増加↑",IF(O59&gt;=1,"普通→","減少↓"))))</f>
        <v>減少↓</v>
      </c>
      <c r="Q59" s="325" t="str">
        <f>IF(E59="","",IF(AND(E59&lt;G59,O59&gt;=1.5),"売り▼",IF(E59&gt;G59,"様子見▲","中立→")))</f>
        <v>様子見▲</v>
      </c>
      <c r="R59" s="326">
        <f>IF(E59&lt;&gt;"",ROUND(E59*0.92,0),"")</f>
        <v>2203</v>
      </c>
      <c r="S59" s="326">
        <f>IF(E59&lt;&gt;"",ROUND(E59*1.04,0),"")</f>
        <v>2491</v>
      </c>
      <c r="T59" s="325">
        <f>IF(C59="","",IFERROR(IF(W59&gt;=70,3,IF(W59&gt;=60,2,IF(W59&gt;=50,1,0)))+IF(X59&lt;0,2,0)+IF(AD59="下降トレンド▼",3,IF(AD59="もみ合い→",1,0))+IF(V59="年初来安値圏●",3,IF(V59="安値圏",2,0))+IF(Q59="売り▼",2,0)+IF(P59="急増↑↑",2,IF(P59="増加↑",1,0))+IF(Z59&lt;0,1,0)+IF(L59&lt;=-30,2,IF(L59&lt;=-15,1,0))+IF(AE59="25日戻り売り★",2,IF(AE59="5日戻り売り○",1,0))+N(AL59)+N(AP59)+N(AU59),0))</f>
        <v>-4</v>
      </c>
      <c r="U59" s="325" t="str">
        <f>IF(T59="","",IF(AND(T59&gt;=3,O59&gt;=1.5),"有効",IF(T59&gt;=3,"要確認","除外")))</f>
        <v>除外</v>
      </c>
      <c r="V59" s="325" t="str">
        <f>IF(AND(I59&lt;&gt;"",K59&lt;&gt;""),IF(I59&lt;=K59*0.6,"年初来安値圏●",IF(I59&lt;=K59*0.75,"安値圏","通常")),"")</f>
        <v>通常</v>
      </c>
      <c r="W59" s="329">
        <f t="array" ref="W59">IFERROR(100-100/(1+SUMPRODUCT((終値!F104:R104&gt;終値!G104:S104)*(終値!F104:R104-終値!G104:S104))/SUMPRODUCT((終値!F104:R104&lt;終値!G104:S104)*(終値!G104:S104-終値!F104:R104))),50)</f>
        <v>45.240339302544768</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6.9606649445349831</v>
      </c>
      <c r="Y59" s="325" t="str">
        <f>IF(AF59="","",AF59&amp;" | "&amp;AD59&amp;IF(AE59&lt;&gt;"なし"," "&amp;AE59,"")&amp;IF(X59&lt;0," MACD-"," MACD+")&amp;" RSI:"&amp;TEXT(W59,"0.0")&amp;IF(W59&gt;=70," [過熱]",IF(W59&lt;=30," [売られ過ぎ]",""))&amp;" 前日比:"&amp;TEXT(Z59,"+0.0;-0.0;0.0")&amp;"%"&amp;IF(V59="年初来安値圏●"," [年初来安値圏]",IF(V59="安値圏"," [安値圏]",""))&amp;IF(OR(AO59="通常",AO59="-"),""," ["&amp;AO59&amp;"]")&amp;IF(OR(AT59="通常",AT59="-"),"","前日["&amp;AT59&amp;"]")&amp;" ["&amp;T59&amp;"点]")</f>
        <v>相場上昇・見送り | 上昇トレンド▲ MACD+ RSI:45.2 前日比:+1.6%前日[長い下ヒゲ(反発)] [-4点]</v>
      </c>
      <c r="Z59" s="331">
        <f>IF(AND(E59&lt;&gt;"",G59&lt;&gt;"",G59&lt;&gt;0),(E59-G59)/G59*100,"")</f>
        <v>1.6122189223589309</v>
      </c>
      <c r="AA59" s="325" t="str">
        <f>IF(OR(C59="",E59="",E59=0),"",IF(E59&gt;G59,"上昇▲",IF(E59&lt;G59,"下落▼","横ばい→")))</f>
        <v>上昇▲</v>
      </c>
      <c r="AB59" s="326">
        <f>IF(OR(C59="",C59="TOPX",終値!E104=""),"",IFERROR(((終値!E104*0.333)+(終値!F104*0.222)+(終値!G104*0.148)+(終値!H104*0.099)+(終値!I104*0.066))/(0.333+0.222+0.148+0.099+0.066),""))</f>
        <v>2365.9971198156686</v>
      </c>
      <c r="AC59" s="326">
        <f>IF(OR(C59="",C59="TOPX",終値!E104=""),"",IFERROR(SUMPRODUCT((終値!E104:AC104),{0.077,0.071,0.065,0.06,0.055,0.051,0.047,0.043,0.039,0.036,0.033,0.031,0.028,0.026,0.024,0.022,0.02,0.018,0.017,0.016,0.014,0.013,0.012,0.011,0.01})/SUM({0.077,0.071,0.065,0.06,0.055,0.051,0.047,0.043,0.039,0.036,0.033,0.031,0.028,0.026,0.024,0.022,0.02,0.018,0.017,0.016,0.014,0.013,0.012,0.011,0.01}),""))</f>
        <v>2391.2800953516089</v>
      </c>
      <c r="AD59" s="325" t="str">
        <f>IF(OR(C59="",AB59="",AC59="",AB59=0,AC59=0),"",IF(AND(E59&gt;AB59,AB59&gt;AC59),"パーフェクト▲",IF(E59&gt;AC59,"上昇トレンド▲",IF(AND(E59&lt;AB59,AB59&lt;AC59),"下降トレンド▼","もみ合い→"))))</f>
        <v>上昇トレンド▲</v>
      </c>
      <c r="AE59" s="325" t="str">
        <f>IF(OR(C59="",AB59="",AC59=""),"",IF(AND(ABS(E59-AC59)/AC59&lt;=0.02,E59&lt;AC59),"25日戻り売り★",IF(AND(ABS(E59-AB59)/AB59&lt;=0.01,E59&lt;AB59),"5日戻り売り○","なし")))</f>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相場上昇・見送り</v>
      </c>
      <c r="AG59">
        <f>IF(AND(T59&gt;=7,C59&lt;&gt;""),T59,0)</f>
        <v>0</v>
      </c>
      <c r="AH59">
        <f>IF(AG59&gt;0,AG59*10000-ROW(A59),0)</f>
        <v>0</v>
      </c>
      <c r="AI59" s="373">
        <f t="array" ref="AI59">IF(C59="","",IFERROR((INDEX(終値!$E:$E,MATCH(TEXT(C59,"0"),終値!$A:$A,0))-INDEX(終値!$E:$CZ,MATCH(TEXT(C59,"0"),終値!$A:$A,0),$AN$2))/INDEX(終値!$E:$CZ,MATCH(TEXT(C59,"0"),終値!$A:$A,0),$AN$2)*100,""))</f>
        <v>10.445008070094536</v>
      </c>
      <c r="AJ59" s="373">
        <f t="array" ref="AJ59">IFERROR((終値!$E$5-INDEX(終値!$E$5:$IT$5,1,$AN$2))/INDEX(終値!$E$5:$IT$5,1,$AN$2)*100,"")</f>
        <v>1.0179378228534113</v>
      </c>
      <c r="AK59" s="374">
        <f>IF(OR(AI59="",AJ59=""),"",AI59-AJ59)</f>
        <v>9.4270702472411241</v>
      </c>
      <c r="AL59" s="372">
        <f>IF(AK59="","",IF(AK59&lt;-5,3,IF(AK59&lt;0,1,IF(AK59&lt;3,-1,-2))))</f>
        <v>-2</v>
      </c>
      <c r="AO59" s="376" t="str">
        <f>IF(OR($C59="",$E59="",$F59="",$H59="",$I59="",$H59-$I59&lt;=0),"-",IF(AND($H59-MAX($F59,$E59)&gt;=ABS($E59-$F59)*2,MIN($F59,$E59)-$I59&lt;=ABS($E59-$F59)*0.5,ABS($E59-$F59)&gt;0),"上ヒゲ陰線▼",IF(AND($E59&lt;$F59,ABS($E59-$F59)&gt;=($H59-$I59)*0.7),"大陰線▼",IF(AND(MIN($F59,$E59)-$I59&gt;=($H59-$I59)*0.5,$H59-MAX($F59,$E59)&lt;=($H59-$I59)*0.2),"長い下ヒゲ(反発警戒)","通常"))))</f>
        <v>通常</v>
      </c>
      <c r="AP59" s="377">
        <f>IF($AO59="上ヒゲ陰線▼",2,IF($AO59="大陰線▼",2,IF($AO59="長い下ヒゲ(反発警戒)",-2,0)))</f>
        <v>0</v>
      </c>
      <c r="AQ59">
        <f>IF(C59&lt;&gt;"",始値!F104,"")</f>
        <v>2340</v>
      </c>
      <c r="AR59">
        <f>IF(C59&lt;&gt;"",高値!F104,"")</f>
        <v>2357</v>
      </c>
      <c r="AS59">
        <f>IF(C59&lt;&gt;"",安値!F104,"")</f>
        <v>2316.5</v>
      </c>
      <c r="AT59" t="str">
        <f>IF(OR(C59="",AQ59="",AR59="",AS59="",AR59-AS59&lt;=0),"-",IF(AND(AR59-MAX(G59,AQ59)&gt;=ABS(G59-AQ59)*2,MIN(G59,AQ59)-AS59&lt;=ABS(G59-AQ59)*0.5,ABS(G59-AQ59)&gt;0),"上ヒゲ陰線▼",IF(AND(G59&lt;AQ59,ABS(G59-AQ59)&gt;=(AR59-AS59)*0.7),"大陰線▼",IF(AND(MIN(G59,AQ59)-AS59&gt;=(AR59-AS59)*0.5,AR59-MAX(G59,AQ59)&lt;=(AR59-AS59)*0.2),"長い下ヒゲ(反発)","通常"))))</f>
        <v>長い下ヒゲ(反発)</v>
      </c>
      <c r="AU59">
        <f>IF(AT59="上ヒゲ陰線▼",2,IF(AT59="大陰線▼",2,IF(AT59="長い下ヒゲ(反発)",-2,0)))</f>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2215.5</v>
      </c>
      <c r="F60" s="333">
        <f>IF(C60&lt;&gt;"",_xll.RssMarket(C60,"始値"),"")</f>
        <v>2204.5</v>
      </c>
      <c r="G60" s="212">
        <f>IF(C60&lt;&gt;"",終値!F110,"")</f>
        <v>2196</v>
      </c>
      <c r="H60" s="333">
        <f>IF(C60&lt;&gt;"",_xll.RssMarket(C60,"高値"),"")</f>
        <v>2227.5</v>
      </c>
      <c r="I60" s="333">
        <f>IF(C60&lt;&gt;"",_xll.RssMarket(C60,"安値"),"")</f>
        <v>2193.5</v>
      </c>
      <c r="J60" s="333">
        <f>IF(C60&lt;&gt;"",_xll.RssMarket(C60,"出来高"),"")</f>
        <v>552000</v>
      </c>
      <c r="K60" s="333">
        <f>IF(C60&lt;&gt;"",_xll.RssMarket(C60,"年初来高値"),"")</f>
        <v>2274</v>
      </c>
      <c r="L60" s="334">
        <f>IF(AND(E60&lt;&gt;"",K60&lt;&gt;"",K60&lt;&gt;0),(E60-K60)/K60*100,"")</f>
        <v>-2.5725593667546174</v>
      </c>
      <c r="M60" s="333">
        <f>IF(C60&lt;&gt;"",IFERROR(AVERAGE(出来高!E110:I110),""),"")</f>
        <v>509460</v>
      </c>
      <c r="N60" s="333">
        <f>IF(C60&lt;&gt;"",IFERROR(AVERAGE(出来高!E110:AC110),""),"")</f>
        <v>410856</v>
      </c>
      <c r="O60" s="335">
        <f>IF(AND(J60&lt;&gt;"",M60&lt;&gt;"",M60&lt;&gt;0),J60/M60,"")</f>
        <v>1.0835001766576375</v>
      </c>
      <c r="P60" s="212" t="str">
        <f>IF(O60="","",IF(O60&gt;=2,"急増↑↑",IF(O60&gt;=1.5,"増加↑",IF(O60&gt;=1,"普通→","減少↓"))))</f>
        <v>普通→</v>
      </c>
      <c r="Q60" s="212" t="str">
        <f>IF(E60="","",IF(AND(E60&lt;G60,O60&gt;=1.5),"売り▼",IF(E60&gt;G60,"様子見▲","中立→")))</f>
        <v>様子見▲</v>
      </c>
      <c r="R60" s="333">
        <f>IF(E60&lt;&gt;"",ROUND(E60*0.92,0),"")</f>
        <v>2038</v>
      </c>
      <c r="S60" s="333">
        <f>IF(E60&lt;&gt;"",ROUND(E60*1.04,0),"")</f>
        <v>2304</v>
      </c>
      <c r="T60" s="325">
        <f>IF(C60="","",IFERROR(IF(W60&gt;=70,3,IF(W60&gt;=60,2,IF(W60&gt;=50,1,0)))+IF(X60&lt;0,2,0)+IF(AD60="下降トレンド▼",3,IF(AD60="もみ合い→",1,0))+IF(V60="年初来安値圏●",3,IF(V60="安値圏",2,0))+IF(Q60="売り▼",2,0)+IF(P60="急増↑↑",2,IF(P60="増加↑",1,0))+IF(Z60&lt;0,1,0)+IF(L60&lt;=-30,2,IF(L60&lt;=-15,1,0))+IF(AE60="25日戻り売り★",2,IF(AE60="5日戻り売り○",1,0))+N(AL60)+N(AP60)+N(AU60),0))</f>
        <v>-1</v>
      </c>
      <c r="U60" s="212" t="str">
        <f>IF(T60="","",IF(AND(T60&gt;=3,O60&gt;=1.5),"有効",IF(T60&gt;=3,"要確認","除外")))</f>
        <v>除外</v>
      </c>
      <c r="V60" s="212" t="str">
        <f>IF(AND(I60&lt;&gt;"",K60&lt;&gt;""),IF(I60&lt;=K60*0.6,"年初来安値圏●",IF(I60&lt;=K60*0.75,"安値圏","通常")),"")</f>
        <v>通常</v>
      </c>
      <c r="W60" s="336">
        <f t="array" ref="W60">IFERROR(100-100/(1+SUMPRODUCT((終値!F110:R110&gt;終値!G110:S110)*(終値!F110:R110-終値!G110:S110))/SUMPRODUCT((終値!F110:R110&lt;終値!G110:S110)*(終値!G110:S110-終値!F110:R110))),50)</f>
        <v>59.937888198757761</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17.963000370166355</v>
      </c>
      <c r="Y60" s="212" t="str">
        <f>IF(AF60="","",AF60&amp;" | "&amp;AD60&amp;IF(AE60&lt;&gt;"なし"," "&amp;AE60,"")&amp;IF(X60&lt;0," MACD-"," MACD+")&amp;" RSI:"&amp;TEXT(W60,"0.0")&amp;IF(W60&gt;=70," [過熱]",IF(W60&lt;=30," [売られ過ぎ]",""))&amp;" 前日比:"&amp;TEXT(Z60,"+0.0;-0.0;0.0")&amp;"%"&amp;IF(V60="年初来安値圏●"," [年初来安値圏]",IF(V60="安値圏"," [安値圏]",""))&amp;IF(OR(AO60="通常",AO60="-"),""," ["&amp;AO60&amp;"]")&amp;IF(OR(AT60="通常",AT60="-"),"","前日["&amp;AT60&amp;"]")&amp;" ["&amp;T60&amp;"点]")</f>
        <v>相場上昇・見送り | パーフェクト▲ MACD+ RSI:59.9 前日比:+0.9% [-1点]</v>
      </c>
      <c r="Z60" s="338">
        <f>IF(AND(E60&lt;&gt;"",G60&lt;&gt;"",G60&lt;&gt;0),(E60-G60)/G60*100,"")</f>
        <v>0.88797814207650272</v>
      </c>
      <c r="AA60" s="212" t="str">
        <f>IF(OR(C60="",E60="",E60=0),"",IF(E60&gt;G60,"上昇▲",IF(E60&lt;G60,"下落▼","横ばい→")))</f>
        <v>上昇▲</v>
      </c>
      <c r="AB60" s="333">
        <f>IF(OR(C60="",C60="TOPX",終値!E110=""),"",IFERROR(((終値!E110*0.333)+(終値!F110*0.222)+(終値!G110*0.148)+(終値!H110*0.099)+(終値!I110*0.066))/(0.333+0.222+0.148+0.099+0.066),""))</f>
        <v>2206.7131336405528</v>
      </c>
      <c r="AC60" s="333">
        <f>IF(OR(C60="",C60="TOPX",終値!E110=""),"",IFERROR(SUMPRODUCT((終値!E110:AC110),{0.077,0.071,0.065,0.06,0.055,0.051,0.047,0.043,0.039,0.036,0.033,0.031,0.028,0.026,0.024,0.022,0.02,0.018,0.017,0.016,0.014,0.013,0.012,0.011,0.01})/SUM({0.077,0.071,0.065,0.06,0.055,0.051,0.047,0.043,0.039,0.036,0.033,0.031,0.028,0.026,0.024,0.022,0.02,0.018,0.017,0.016,0.014,0.013,0.012,0.011,0.01}),""))</f>
        <v>2174.5607866507744</v>
      </c>
      <c r="AD60" s="212" t="str">
        <f>IF(OR(C60="",AB60="",AC60="",AB60=0,AC60=0),"",IF(AND(E60&gt;AB60,AB60&gt;AC60),"パーフェクト▲",IF(E60&gt;AC60,"上昇トレンド▲",IF(AND(E60&lt;AB60,AB60&lt;AC60),"下降トレンド▼","もみ合い→"))))</f>
        <v>パーフェクト▲</v>
      </c>
      <c r="AE60" s="212" t="str">
        <f>IF(OR(C60="",AB60="",AC60=""),"",IF(AND(ABS(E60-AC60)/AC60&lt;=0.02,E60&lt;AC60),"25日戻り売り★",IF(AND(ABS(E60-AB60)/AB60&lt;=0.01,E60&lt;AB60),"5日戻り売り○","なし")))</f>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相場上昇・見送り</v>
      </c>
      <c r="AG60">
        <f>IF(AND(T60&gt;=7,C60&lt;&gt;""),T60,0)</f>
        <v>0</v>
      </c>
      <c r="AH60">
        <f>IF(AG60&gt;0,AG60*10000-ROW(A60),0)</f>
        <v>0</v>
      </c>
      <c r="AI60" s="373">
        <f t="array" ref="AI60">IF(C60="","",IFERROR((INDEX(終値!$E:$E,MATCH(TEXT(C60,"0"),終値!$A:$A,0))-INDEX(終値!$E:$CZ,MATCH(TEXT(C60,"0"),終値!$A:$A,0),$AN$2))/INDEX(終値!$E:$CZ,MATCH(TEXT(C60,"0"),終値!$A:$A,0),$AN$2)*100,""))</f>
        <v>16.605263157894736</v>
      </c>
      <c r="AJ60" s="373">
        <f t="array" ref="AJ60">IFERROR((終値!$E$5-INDEX(終値!$E$5:$IT$5,1,$AN$2))/INDEX(終値!$E$5:$IT$5,1,$AN$2)*100,"")</f>
        <v>1.0179378228534113</v>
      </c>
      <c r="AK60" s="374">
        <f>IF(OR(AI60="",AJ60=""),"",AI60-AJ60)</f>
        <v>15.587325335041324</v>
      </c>
      <c r="AL60" s="372">
        <f>IF(AK60="","",IF(AK60&lt;-5,3,IF(AK60&lt;0,1,IF(AK60&lt;3,-1,-2))))</f>
        <v>-2</v>
      </c>
      <c r="AO60" s="376" t="str">
        <f>IF(OR($C60="",$E60="",$F60="",$H60="",$I60="",$H60-$I60&lt;=0),"-",IF(AND($H60-MAX($F60,$E60)&gt;=ABS($E60-$F60)*2,MIN($F60,$E60)-$I60&lt;=ABS($E60-$F60)*0.5,ABS($E60-$F60)&gt;0),"上ヒゲ陰線▼",IF(AND($E60&lt;$F60,ABS($E60-$F60)&gt;=($H60-$I60)*0.7),"大陰線▼",IF(AND(MIN($F60,$E60)-$I60&gt;=($H60-$I60)*0.5,$H60-MAX($F60,$E60)&lt;=($H60-$I60)*0.2),"長い下ヒゲ(反発警戒)","通常"))))</f>
        <v>通常</v>
      </c>
      <c r="AP60" s="377">
        <f>IF($AO60="上ヒゲ陰線▼",2,IF($AO60="大陰線▼",2,IF($AO60="長い下ヒゲ(反発警戒)",-2,0)))</f>
        <v>0</v>
      </c>
      <c r="AQ60">
        <f>IF(C60&lt;&gt;"",始値!F110,"")</f>
        <v>2202.5</v>
      </c>
      <c r="AR60">
        <f>IF(C60&lt;&gt;"",高値!F110,"")</f>
        <v>2218.5</v>
      </c>
      <c r="AS60">
        <f>IF(C60&lt;&gt;"",安値!F110,"")</f>
        <v>2186</v>
      </c>
      <c r="AT60" t="str">
        <f>IF(OR(C60="",AQ60="",AR60="",AS60="",AR60-AS60&lt;=0),"-",IF(AND(AR60-MAX(G60,AQ60)&gt;=ABS(G60-AQ60)*2,MIN(G60,AQ60)-AS60&lt;=ABS(G60-AQ60)*0.5,ABS(G60-AQ60)&gt;0),"上ヒゲ陰線▼",IF(AND(G60&lt;AQ60,ABS(G60-AQ60)&gt;=(AR60-AS60)*0.7),"大陰線▼",IF(AND(MIN(G60,AQ60)-AS60&gt;=(AR60-AS60)*0.5,AR60-MAX(G60,AQ60)&lt;=(AR60-AS60)*0.2),"長い下ヒゲ(反発)","通常"))))</f>
        <v>通常</v>
      </c>
      <c r="AU60">
        <f>IF(AT60="上ヒゲ陰線▼",2,IF(AT60="大陰線▼",2,IF(AT60="長い下ヒゲ(反発)",-2,0)))</f>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4630</v>
      </c>
      <c r="F61" s="326">
        <f>IF(C61&lt;&gt;"",_xll.RssMarket(C61,"始値"),"")</f>
        <v>4651</v>
      </c>
      <c r="G61" s="325">
        <f>IF(C61&lt;&gt;"",終値!F118,"")</f>
        <v>4677</v>
      </c>
      <c r="H61" s="326">
        <f>IF(C61&lt;&gt;"",_xll.RssMarket(C61,"高値"),"")</f>
        <v>4728</v>
      </c>
      <c r="I61" s="326">
        <f>IF(C61&lt;&gt;"",_xll.RssMarket(C61,"安値"),"")</f>
        <v>4610</v>
      </c>
      <c r="J61" s="326">
        <f>IF(C61&lt;&gt;"",_xll.RssMarket(C61,"出来高"),"")</f>
        <v>905100</v>
      </c>
      <c r="K61" s="326">
        <f>IF(C61&lt;&gt;"",_xll.RssMarket(C61,"年初来高値"),"")</f>
        <v>4890</v>
      </c>
      <c r="L61" s="327">
        <f>IF(AND(E61&lt;&gt;"",K61&lt;&gt;"",K61&lt;&gt;0),(E61-K61)/K61*100,"")</f>
        <v>-5.3169734151329244</v>
      </c>
      <c r="M61" s="326">
        <f>IF(C61&lt;&gt;"",IFERROR(AVERAGE(出来高!E118:I118),""),"")</f>
        <v>1132180</v>
      </c>
      <c r="N61" s="326">
        <f>IF(C61&lt;&gt;"",IFERROR(AVERAGE(出来高!E118:AC118),""),"")</f>
        <v>972772</v>
      </c>
      <c r="O61" s="328">
        <f>IF(AND(J61&lt;&gt;"",M61&lt;&gt;"",M61&lt;&gt;0),J61/M61,"")</f>
        <v>0.79943118585383954</v>
      </c>
      <c r="P61" s="325" t="str">
        <f>IF(O61="","",IF(O61&gt;=2,"急増↑↑",IF(O61&gt;=1.5,"増加↑",IF(O61&gt;=1,"普通→","減少↓"))))</f>
        <v>減少↓</v>
      </c>
      <c r="Q61" s="325" t="str">
        <f>IF(E61="","",IF(AND(E61&lt;G61,O61&gt;=1.5),"売り▼",IF(E61&gt;G61,"様子見▲","中立→")))</f>
        <v>中立→</v>
      </c>
      <c r="R61" s="326">
        <f>IF(E61&lt;&gt;"",ROUND(E61*0.92,0),"")</f>
        <v>4260</v>
      </c>
      <c r="S61" s="326">
        <f>IF(E61&lt;&gt;"",ROUND(E61*1.04,0),"")</f>
        <v>4815</v>
      </c>
      <c r="T61" s="325">
        <f>IF(C61="","",IFERROR(IF(W61&gt;=70,3,IF(W61&gt;=60,2,IF(W61&gt;=50,1,0)))+IF(X61&lt;0,2,0)+IF(AD61="下降トレンド▼",3,IF(AD61="もみ合い→",1,0))+IF(V61="年初来安値圏●",3,IF(V61="安値圏",2,0))+IF(Q61="売り▼",2,0)+IF(P61="急増↑↑",2,IF(P61="増加↑",1,0))+IF(Z61&lt;0,1,0)+IF(L61&lt;=-30,2,IF(L61&lt;=-15,1,0))+IF(AE61="25日戻り売り★",2,IF(AE61="5日戻り売り○",1,0))+N(AL61)+N(AP61)+N(AU61),0))</f>
        <v>2</v>
      </c>
      <c r="U61" s="325" t="str">
        <f>IF(T61="","",IF(AND(T61&gt;=3,O61&gt;=1.5),"有効",IF(T61&gt;=3,"要確認","除外")))</f>
        <v>除外</v>
      </c>
      <c r="V61" s="325" t="str">
        <f>IF(AND(I61&lt;&gt;"",K61&lt;&gt;""),IF(I61&lt;=K61*0.6,"年初来安値圏●",IF(I61&lt;=K61*0.75,"安値圏","通常")),"")</f>
        <v>通常</v>
      </c>
      <c r="W61" s="329">
        <f t="array" ref="W61">IFERROR(100-100/(1+SUMPRODUCT((終値!F118:R118&gt;終値!G118:S118)*(終値!F118:R118-終値!G118:S118))/SUMPRODUCT((終値!F118:R118&lt;終値!G118:S118)*(終値!G118:S118-終値!F118:R118))),50)</f>
        <v>46.253021756647861</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-7.8835570910550814</v>
      </c>
      <c r="Y61" s="325" t="str">
        <f>IF(AF61="","",AF61&amp;" | "&amp;AD61&amp;IF(AE61&lt;&gt;"なし"," "&amp;AE61,"")&amp;IF(X61&lt;0," MACD-"," MACD+")&amp;" RSI:"&amp;TEXT(W61,"0.0")&amp;IF(W61&gt;=70," [過熱]",IF(W61&lt;=30," [売られ過ぎ]",""))&amp;" 前日比:"&amp;TEXT(Z61,"+0.0;-0.0;0.0")&amp;"%"&amp;IF(V61="年初来安値圏●"," [年初来安値圏]",IF(V61="安値圏"," [安値圏]",""))&amp;IF(OR(AO61="通常",AO61="-"),""," ["&amp;AO61&amp;"]")&amp;IF(OR(AT61="通常",AT61="-"),"","前日["&amp;AT61&amp;"]")&amp;" ["&amp;T61&amp;"点]")</f>
        <v>相場上昇・見送り | パーフェクト▲ MACD- RSI:46.3 前日比:-1.0% [2点]</v>
      </c>
      <c r="Z61" s="331">
        <f>IF(AND(E61&lt;&gt;"",G61&lt;&gt;"",G61&lt;&gt;0),(E61-G61)/G61*100,"")</f>
        <v>-1.0049176822749626</v>
      </c>
      <c r="AA61" s="325" t="str">
        <f>IF(OR(C61="",E61="",E61=0),"",IF(E61&gt;G61,"上昇▲",IF(E61&lt;G61,"下落▼","横ばい→")))</f>
        <v>下落▼</v>
      </c>
      <c r="AB61" s="326">
        <f>IF(OR(C61="",C61="TOPX",終値!E118=""),"",IFERROR(((終値!E118*0.333)+(終値!F118*0.222)+(終値!G118*0.148)+(終値!H118*0.099)+(終値!I118*0.066))/(0.333+0.222+0.148+0.099+0.066),""))</f>
        <v>4601.8294930875572</v>
      </c>
      <c r="AC61" s="326">
        <f>IF(OR(C61="",C61="TOPX",終値!E118=""),"",IFERROR(SUMPRODUCT((終値!E118:AC118),{0.077,0.071,0.065,0.06,0.055,0.051,0.047,0.043,0.039,0.036,0.033,0.031,0.028,0.026,0.024,0.022,0.02,0.018,0.017,0.016,0.014,0.013,0.012,0.011,0.01})/SUM({0.077,0.071,0.065,0.06,0.055,0.051,0.047,0.043,0.039,0.036,0.033,0.031,0.028,0.026,0.024,0.022,0.02,0.018,0.017,0.016,0.014,0.013,0.012,0.011,0.01}),""))</f>
        <v>4599.8295589988056</v>
      </c>
      <c r="AD61" s="325" t="str">
        <f>IF(OR(C61="",AB61="",AC61="",AB61=0,AC61=0),"",IF(AND(E61&gt;AB61,AB61&gt;AC61),"パーフェクト▲",IF(E61&gt;AC61,"上昇トレンド▲",IF(AND(E61&lt;AB61,AB61&lt;AC61),"下降トレンド▼","もみ合い→"))))</f>
        <v>パーフェクト▲</v>
      </c>
      <c r="AE61" s="325" t="str">
        <f>IF(OR(C61="",AB61="",AC61=""),"",IF(AND(ABS(E61-AC61)/AC61&lt;=0.02,E61&lt;AC61),"25日戻り売り★",IF(AND(ABS(E61-AB61)/AB61&lt;=0.01,E61&lt;AB61),"5日戻り売り○","なし")))</f>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相場上昇・見送り</v>
      </c>
      <c r="AG61">
        <f>IF(AND(T61&gt;=7,C61&lt;&gt;""),T61,0)</f>
        <v>0</v>
      </c>
      <c r="AH61">
        <f>IF(AG61&gt;0,AG61*10000-ROW(A61),0)</f>
        <v>0</v>
      </c>
      <c r="AI61" s="373">
        <f t="array" ref="AI61">IF(C61="","",IFERROR((INDEX(終値!$E:$E,MATCH(TEXT(C61,"0"),終値!$A:$A,0))-INDEX(終値!$E:$CZ,MATCH(TEXT(C61,"0"),終値!$A:$A,0),$AN$2))/INDEX(終値!$E:$CZ,MATCH(TEXT(C61,"0"),終値!$A:$A,0),$AN$2)*100,""))</f>
        <v>1.2464465340039361</v>
      </c>
      <c r="AJ61" s="373">
        <f t="array" ref="AJ61">IFERROR((終値!$E$5-INDEX(終値!$E$5:$IT$5,1,$AN$2))/INDEX(終値!$E$5:$IT$5,1,$AN$2)*100,"")</f>
        <v>1.0179378228534113</v>
      </c>
      <c r="AK61" s="374">
        <f>IF(OR(AI61="",AJ61=""),"",AI61-AJ61)</f>
        <v>0.22850871115052485</v>
      </c>
      <c r="AL61" s="372">
        <f>IF(AK61="","",IF(AK61&lt;-5,3,IF(AK61&lt;0,1,IF(AK61&lt;3,-1,-2))))</f>
        <v>-1</v>
      </c>
      <c r="AO61" s="376" t="str">
        <f>IF(OR($C61="",$E61="",$F61="",$H61="",$I61="",$H61-$I61&lt;=0),"-",IF(AND($H61-MAX($F61,$E61)&gt;=ABS($E61-$F61)*2,MIN($F61,$E61)-$I61&lt;=ABS($E61-$F61)*0.5,ABS($E61-$F61)&gt;0),"上ヒゲ陰線▼",IF(AND($E61&lt;$F61,ABS($E61-$F61)&gt;=($H61-$I61)*0.7),"大陰線▼",IF(AND(MIN($F61,$E61)-$I61&gt;=($H61-$I61)*0.5,$H61-MAX($F61,$E61)&lt;=($H61-$I61)*0.2),"長い下ヒゲ(反発警戒)","通常"))))</f>
        <v>通常</v>
      </c>
      <c r="AP61" s="377">
        <f>IF($AO61="上ヒゲ陰線▼",2,IF($AO61="大陰線▼",2,IF($AO61="長い下ヒゲ(反発警戒)",-2,0)))</f>
        <v>0</v>
      </c>
      <c r="AQ61">
        <f>IF(C61&lt;&gt;"",始値!F118,"")</f>
        <v>4540</v>
      </c>
      <c r="AR61">
        <f>IF(C61&lt;&gt;"",高値!F118,"")</f>
        <v>4677</v>
      </c>
      <c r="AS61">
        <f>IF(C61&lt;&gt;"",安値!F118,"")</f>
        <v>4535</v>
      </c>
      <c r="AT61" t="str">
        <f>IF(OR(C61="",AQ61="",AR61="",AS61="",AR61-AS61&lt;=0),"-",IF(AND(AR61-MAX(G61,AQ61)&gt;=ABS(G61-AQ61)*2,MIN(G61,AQ61)-AS61&lt;=ABS(G61-AQ61)*0.5,ABS(G61-AQ61)&gt;0),"上ヒゲ陰線▼",IF(AND(G61&lt;AQ61,ABS(G61-AQ61)&gt;=(AR61-AS61)*0.7),"大陰線▼",IF(AND(MIN(G61,AQ61)-AS61&gt;=(AR61-AS61)*0.5,AR61-MAX(G61,AQ61)&lt;=(AR61-AS61)*0.2),"長い下ヒゲ(反発)","通常"))))</f>
        <v>通常</v>
      </c>
      <c r="AU61">
        <f>IF(AT61="上ヒゲ陰線▼",2,IF(AT61="大陰線▼",2,IF(AT61="長い下ヒゲ(反発)",-2,0)))</f>
        <v>0</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9290</v>
      </c>
      <c r="F62" s="333">
        <f>IF(C62&lt;&gt;"",_xll.RssMarket(C62,"始値"),"")</f>
        <v>9450</v>
      </c>
      <c r="G62" s="212">
        <f>IF(C62&lt;&gt;"",終値!F147,"")</f>
        <v>9860</v>
      </c>
      <c r="H62" s="333">
        <f>IF(C62&lt;&gt;"",_xll.RssMarket(C62,"高値"),"")</f>
        <v>9680</v>
      </c>
      <c r="I62" s="333">
        <f>IF(C62&lt;&gt;"",_xll.RssMarket(C62,"安値"),"")</f>
        <v>9130</v>
      </c>
      <c r="J62" s="333">
        <f>IF(C62&lt;&gt;"",_xll.RssMarket(C62,"出来高"),"")</f>
        <v>92600</v>
      </c>
      <c r="K62" s="333">
        <f>IF(C62&lt;&gt;"",_xll.RssMarket(C62,"年初来高値"),"")</f>
        <v>16930</v>
      </c>
      <c r="L62" s="334">
        <f>IF(AND(E62&lt;&gt;"",K62&lt;&gt;"",K62&lt;&gt;0),(E62-K62)/K62*100,"")</f>
        <v>-45.126993502658003</v>
      </c>
      <c r="M62" s="333">
        <f>IF(C62&lt;&gt;"",IFERROR(AVERAGE(出来高!E147:I147),""),"")</f>
        <v>155040</v>
      </c>
      <c r="N62" s="333">
        <f>IF(C62&lt;&gt;"",IFERROR(AVERAGE(出来高!E147:AC147),""),"")</f>
        <v>114808.33333333333</v>
      </c>
      <c r="O62" s="335">
        <f>IF(AND(J62&lt;&gt;"",M62&lt;&gt;"",M62&lt;&gt;0),J62/M62,"")</f>
        <v>0.59726522187822495</v>
      </c>
      <c r="P62" s="212" t="str">
        <f>IF(O62="","",IF(O62&gt;=2,"急増↑↑",IF(O62&gt;=1.5,"増加↑",IF(O62&gt;=1,"普通→","減少↓"))))</f>
        <v>減少↓</v>
      </c>
      <c r="Q62" s="212" t="str">
        <f>IF(E62="","",IF(AND(E62&lt;G62,O62&gt;=1.5),"売り▼",IF(E62&gt;G62,"様子見▲","中立→")))</f>
        <v>中立→</v>
      </c>
      <c r="R62" s="333">
        <f>IF(E62&lt;&gt;"",ROUND(E62*0.92,0),"")</f>
        <v>8547</v>
      </c>
      <c r="S62" s="333">
        <f>IF(E62&lt;&gt;"",ROUND(E62*1.04,0),"")</f>
        <v>9662</v>
      </c>
      <c r="T62" s="325">
        <f>IF(C62="","",IFERROR(IF(W62&gt;=70,3,IF(W62&gt;=60,2,IF(W62&gt;=50,1,0)))+IF(X62&lt;0,2,0)+IF(AD62="下降トレンド▼",3,IF(AD62="もみ合い→",1,0))+IF(V62="年初来安値圏●",3,IF(V62="安値圏",2,0))+IF(Q62="売り▼",2,0)+IF(P62="急増↑↑",2,IF(P62="増加↑",1,0))+IF(Z62&lt;0,1,0)+IF(L62&lt;=-30,2,IF(L62&lt;=-15,1,0))+IF(AE62="25日戻り売り★",2,IF(AE62="5日戻り売り○",1,0))+N(AL62)+N(AP62)+N(AU62),0))</f>
        <v>14</v>
      </c>
      <c r="U62" s="212" t="str">
        <f>IF(T62="","",IF(AND(T62&gt;=3,O62&gt;=1.5),"有効",IF(T62&gt;=3,"要確認","除外")))</f>
        <v>要確認</v>
      </c>
      <c r="V62" s="212" t="str">
        <f>IF(AND(I62&lt;&gt;"",K62&lt;&gt;""),IF(I62&lt;=K62*0.6,"年初来安値圏●",IF(I62&lt;=K62*0.75,"安値圏","通常")),"")</f>
        <v>年初来安値圏●</v>
      </c>
      <c r="W62" s="336">
        <f t="array" ref="W62">IFERROR(100-100/(1+SUMPRODUCT((終値!F147:R147&gt;終値!G147:S147)*(終値!F147:R147-終値!G147:S147))/SUMPRODUCT((終値!F147:R147&lt;終値!G147:S147)*(終値!G147:S147-終値!F147:R147))),50)</f>
        <v>45.194805194805191</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-483.93501805053711</v>
      </c>
      <c r="Y62" s="212" t="str">
        <f>IF(AF62="","",AF62&amp;" | "&amp;AD62&amp;IF(AE62&lt;&gt;"なし"," "&amp;AE62,"")&amp;IF(X62&lt;0," MACD-"," MACD+")&amp;" RSI:"&amp;TEXT(W62,"0.0")&amp;IF(W62&gt;=70," [過熱]",IF(W62&lt;=30," [売られ過ぎ]",""))&amp;" 前日比:"&amp;TEXT(Z62,"+0.0;-0.0;0.0")&amp;"%"&amp;IF(V62="年初来安値圏●"," [年初来安値圏]",IF(V62="安値圏"," [安値圏]",""))&amp;IF(OR(AO62="通常",AO62="-"),""," ["&amp;AO62&amp;"]")&amp;IF(OR(AT62="通常",AT62="-"),"","前日["&amp;AT62&amp;"]")&amp;" ["&amp;T62&amp;"点]")</f>
        <v>★逆張り売り | 下降トレンド▼ 25日戻り売り★ MACD- RSI:45.2 前日比:-5.8% [年初来安値圏]前日[長い下ヒゲ(反発)] [14点]</v>
      </c>
      <c r="Z62" s="338">
        <f>IF(AND(E62&lt;&gt;"",G62&lt;&gt;"",G62&lt;&gt;0),(E62-G62)/G62*100,"")</f>
        <v>-5.7809330628803242</v>
      </c>
      <c r="AA62" s="212" t="str">
        <f>IF(OR(C62="",E62="",E62=0),"",IF(E62&gt;G62,"上昇▲",IF(E62&lt;G62,"下落▼","横ばい→")))</f>
        <v>下落▼</v>
      </c>
      <c r="AB62" s="333">
        <f>IF(OR(C62="",C62="TOPX",終値!E147=""),"",IFERROR(((終値!E147*0.333)+(終値!F147*0.222)+(終値!G147*0.148)+(終値!H147*0.099)+(終値!I147*0.066))/(0.333+0.222+0.148+0.099+0.066),""))</f>
        <v>9299.6428571428569</v>
      </c>
      <c r="AC62" s="333">
        <f>IF(OR(C62="",C62="TOPX",終値!E147=""),"",IFERROR(SUMPRODUCT((終値!E147:AC147),{0.077,0.071,0.065,0.06,0.055,0.051,0.047,0.043,0.039,0.036,0.033,0.031,0.028,0.026,0.024,0.022,0.02,0.018,0.017,0.016,0.014,0.013,0.012,0.011,0.01})/SUM({0.077,0.071,0.065,0.06,0.055,0.051,0.047,0.043,0.039,0.036,0.033,0.031,0.028,0.026,0.024,0.022,0.02,0.018,0.017,0.016,0.014,0.013,0.012,0.011,0.01}),""))</f>
        <v>9379.5470798569695</v>
      </c>
      <c r="AD62" s="212" t="str">
        <f>IF(OR(C62="",AB62="",AC62="",AB62=0,AC62=0),"",IF(AND(E62&gt;AB62,AB62&gt;AC62),"パーフェクト▲",IF(E62&gt;AC62,"上昇トレンド▲",IF(AND(E62&lt;AB62,AB62&lt;AC62),"下降トレンド▼","もみ合い→"))))</f>
        <v>下降トレンド▼</v>
      </c>
      <c r="AE62" s="212" t="str">
        <f>IF(OR(C62="",AB62="",AC62=""),"",IF(AND(ABS(E62-AC62)/AC62&lt;=0.02,E62&lt;AC62),"25日戻り売り★",IF(AND(ABS(E62-AB62)/AB62&lt;=0.01,E62&lt;AB62),"5日戻り売り○","なし")))</f>
        <v>25日戻り売り★</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★逆張り売り</v>
      </c>
      <c r="AG62">
        <f>IF(AND(T62&gt;=7,C62&lt;&gt;""),T62,0)</f>
        <v>14</v>
      </c>
      <c r="AH62">
        <f>IF(AG62&gt;0,AG62*10000-ROW(A62),0)</f>
        <v>139938</v>
      </c>
      <c r="AI62" s="373">
        <f t="array" ref="AI62">IF(C62="","",IFERROR((INDEX(終値!$E:$E,MATCH(TEXT(C62,"0"),終値!$A:$A,0))-INDEX(終値!$E:$CZ,MATCH(TEXT(C62,"0"),終値!$A:$A,0),$AN$2))/INDEX(終値!$E:$CZ,MATCH(TEXT(C62,"0"),終値!$A:$A,0),$AN$2)*100,""))</f>
        <v>-33.926031294452343</v>
      </c>
      <c r="AJ62" s="373">
        <f t="array" ref="AJ62">IFERROR((終値!$E$5-INDEX(終値!$E$5:$IT$5,1,$AN$2))/INDEX(終値!$E$5:$IT$5,1,$AN$2)*100,"")</f>
        <v>1.0179378228534113</v>
      </c>
      <c r="AK62" s="374">
        <f>IF(OR(AI62="",AJ62=""),"",AI62-AJ62)</f>
        <v>-34.943969117305755</v>
      </c>
      <c r="AL62" s="372">
        <f>IF(AK62="","",IF(AK62&lt;-5,3,IF(AK62&lt;0,1,IF(AK62&lt;3,-1,-2))))</f>
        <v>3</v>
      </c>
      <c r="AO62" s="376" t="str">
        <f>IF(OR($C62="",$E62="",$F62="",$H62="",$I62="",$H62-$I62&lt;=0),"-",IF(AND($H62-MAX($F62,$E62)&gt;=ABS($E62-$F62)*2,MIN($F62,$E62)-$I62&lt;=ABS($E62-$F62)*0.5,ABS($E62-$F62)&gt;0),"上ヒゲ陰線▼",IF(AND($E62&lt;$F62,ABS($E62-$F62)&gt;=($H62-$I62)*0.7),"大陰線▼",IF(AND(MIN($F62,$E62)-$I62&gt;=($H62-$I62)*0.5,$H62-MAX($F62,$E62)&lt;=($H62-$I62)*0.2),"長い下ヒゲ(反発警戒)","通常"))))</f>
        <v>通常</v>
      </c>
      <c r="AP62" s="377">
        <f>IF($AO62="上ヒゲ陰線▼",2,IF($AO62="大陰線▼",2,IF($AO62="長い下ヒゲ(反発警戒)",-2,0)))</f>
        <v>0</v>
      </c>
      <c r="AQ62">
        <f>IF(C62&lt;&gt;"",始値!F147,"")</f>
        <v>9950</v>
      </c>
      <c r="AR62">
        <f>IF(C62&lt;&gt;"",高値!F147,"")</f>
        <v>9960</v>
      </c>
      <c r="AS62">
        <f>IF(C62&lt;&gt;"",安値!F147,"")</f>
        <v>9460</v>
      </c>
      <c r="AT62" t="str">
        <f>IF(OR(C62="",AQ62="",AR62="",AS62="",AR62-AS62&lt;=0),"-",IF(AND(AR62-MAX(G62,AQ62)&gt;=ABS(G62-AQ62)*2,MIN(G62,AQ62)-AS62&lt;=ABS(G62-AQ62)*0.5,ABS(G62-AQ62)&gt;0),"上ヒゲ陰線▼",IF(AND(G62&lt;AQ62,ABS(G62-AQ62)&gt;=(AR62-AS62)*0.7),"大陰線▼",IF(AND(MIN(G62,AQ62)-AS62&gt;=(AR62-AS62)*0.5,AR62-MAX(G62,AQ62)&lt;=(AR62-AS62)*0.2),"長い下ヒゲ(反発)","通常"))))</f>
        <v>長い下ヒゲ(反発)</v>
      </c>
      <c r="AU62">
        <f>IF(AT62="上ヒゲ陰線▼",2,IF(AT62="大陰線▼",2,IF(AT62="長い下ヒゲ(反発)",-2,0)))</f>
        <v>-2</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1215</v>
      </c>
      <c r="F63" s="326">
        <f>IF(C63&lt;&gt;"",_xll.RssMarket(C63,"始値"),"")</f>
        <v>1166</v>
      </c>
      <c r="G63" s="325">
        <f>IF(C63&lt;&gt;"",終値!F152,"")</f>
        <v>1166</v>
      </c>
      <c r="H63" s="326">
        <f>IF(C63&lt;&gt;"",_xll.RssMarket(C63,"高値"),"")</f>
        <v>1216</v>
      </c>
      <c r="I63" s="326">
        <f>IF(C63&lt;&gt;"",_xll.RssMarket(C63,"安値"),"")</f>
        <v>1166</v>
      </c>
      <c r="J63" s="326">
        <f>IF(C63&lt;&gt;"",_xll.RssMarket(C63,"出来高"),"")</f>
        <v>575800</v>
      </c>
      <c r="K63" s="326">
        <f>IF(C63&lt;&gt;"",_xll.RssMarket(C63,"年初来高値"),"")</f>
        <v>1189</v>
      </c>
      <c r="L63" s="327">
        <f>IF(AND(E63&lt;&gt;"",K63&lt;&gt;"",K63&lt;&gt;0),(E63-K63)/K63*100,"")</f>
        <v>2.1867115222876365</v>
      </c>
      <c r="M63" s="326">
        <f>IF(C63&lt;&gt;"",IFERROR(AVERAGE(出来高!E152:I152),""),"")</f>
        <v>639940</v>
      </c>
      <c r="N63" s="326">
        <f>IF(C63&lt;&gt;"",IFERROR(AVERAGE(出来高!E152:AC152),""),"")</f>
        <v>543020</v>
      </c>
      <c r="O63" s="328">
        <f>IF(AND(J63&lt;&gt;"",M63&lt;&gt;"",M63&lt;&gt;0),J63/M63,"")</f>
        <v>0.8997718536112761</v>
      </c>
      <c r="P63" s="325" t="str">
        <f>IF(O63="","",IF(O63&gt;=2,"急増↑↑",IF(O63&gt;=1.5,"増加↑",IF(O63&gt;=1,"普通→","減少↓"))))</f>
        <v>減少↓</v>
      </c>
      <c r="Q63" s="325" t="str">
        <f>IF(E63="","",IF(AND(E63&lt;G63,O63&gt;=1.5),"売り▼",IF(E63&gt;G63,"様子見▲","中立→")))</f>
        <v>様子見▲</v>
      </c>
      <c r="R63" s="326">
        <f>IF(E63&lt;&gt;"",ROUND(E63*0.92,0),"")</f>
        <v>1118</v>
      </c>
      <c r="S63" s="326">
        <f>IF(E63&lt;&gt;"",ROUND(E63*1.04,0),"")</f>
        <v>1264</v>
      </c>
      <c r="T63" s="325">
        <f>IF(C63="","",IFERROR(IF(W63&gt;=70,3,IF(W63&gt;=60,2,IF(W63&gt;=50,1,0)))+IF(X63&lt;0,2,0)+IF(AD63="下降トレンド▼",3,IF(AD63="もみ合い→",1,0))+IF(V63="年初来安値圏●",3,IF(V63="安値圏",2,0))+IF(Q63="売り▼",2,0)+IF(P63="急増↑↑",2,IF(P63="増加↑",1,0))+IF(Z63&lt;0,1,0)+IF(L63&lt;=-30,2,IF(L63&lt;=-15,1,0))+IF(AE63="25日戻り売り★",2,IF(AE63="5日戻り売り○",1,0))+N(AL63)+N(AP63)+N(AU63),0))</f>
        <v>-1</v>
      </c>
      <c r="U63" s="325" t="str">
        <f>IF(T63="","",IF(AND(T63&gt;=3,O63&gt;=1.5),"有効",IF(T63&gt;=3,"要確認","除外")))</f>
        <v>除外</v>
      </c>
      <c r="V63" s="325" t="str">
        <f>IF(AND(I63&lt;&gt;"",K63&lt;&gt;""),IF(I63&lt;=K63*0.6,"年初来安値圏●",IF(I63&lt;=K63*0.75,"安値圏","通常")),"")</f>
        <v>通常</v>
      </c>
      <c r="W63" s="329">
        <f t="array" ref="W63">IFERROR(100-100/(1+SUMPRODUCT((終値!F152:R152&gt;終値!G152:S152)*(終値!F152:R152-終値!G152:S152))/SUMPRODUCT((終値!F152:R152&lt;終値!G152:S152)*(終値!G152:S152-終値!F152:R152))),50)</f>
        <v>55.131264916467785</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12.290705264707867</v>
      </c>
      <c r="Y63" s="325" t="str">
        <f>IF(AF63="","",AF63&amp;" | "&amp;AD63&amp;IF(AE63&lt;&gt;"なし"," "&amp;AE63,"")&amp;IF(X63&lt;0," MACD-"," MACD+")&amp;" RSI:"&amp;TEXT(W63,"0.0")&amp;IF(W63&gt;=70," [過熱]",IF(W63&lt;=30," [売られ過ぎ]",""))&amp;" 前日比:"&amp;TEXT(Z63,"+0.0;-0.0;0.0")&amp;"%"&amp;IF(V63="年初来安値圏●"," [年初来安値圏]",IF(V63="安値圏"," [安値圏]",""))&amp;IF(OR(AO63="通常",AO63="-"),""," ["&amp;AO63&amp;"]")&amp;IF(OR(AT63="通常",AT63="-"),"","前日["&amp;AT63&amp;"]")&amp;" ["&amp;T63&amp;"点]")</f>
        <v>相場上昇・見送り | パーフェクト▲ MACD+ RSI:55.1 前日比:+4.2% [-1点]</v>
      </c>
      <c r="Z63" s="331">
        <f>IF(AND(E63&lt;&gt;"",G63&lt;&gt;"",G63&lt;&gt;0),(E63-G63)/G63*100,"")</f>
        <v>4.2024013722126927</v>
      </c>
      <c r="AA63" s="325" t="str">
        <f>IF(OR(C63="",E63="",E63=0),"",IF(E63&gt;G63,"上昇▲",IF(E63&lt;G63,"下落▼","横ばい→")))</f>
        <v>上昇▲</v>
      </c>
      <c r="AB63" s="326">
        <f>IF(OR(C63="",C63="TOPX",終値!E152=""),"",IFERROR(((終値!E152*0.333)+(終値!F152*0.222)+(終値!G152*0.148)+(終値!H152*0.099)+(終値!I152*0.066))/(0.333+0.222+0.148+0.099+0.066),""))</f>
        <v>1168.8732718894007</v>
      </c>
      <c r="AC63" s="326">
        <f>IF(OR(C63="",C63="TOPX",終値!E152=""),"",IFERROR(SUMPRODUCT((終値!E152:AC152),{0.077,0.071,0.065,0.06,0.055,0.051,0.047,0.043,0.039,0.036,0.033,0.031,0.028,0.026,0.024,0.022,0.02,0.018,0.017,0.016,0.014,0.013,0.012,0.011,0.01})/SUM({0.077,0.071,0.065,0.06,0.055,0.051,0.047,0.043,0.039,0.036,0.033,0.031,0.028,0.026,0.024,0.022,0.02,0.018,0.017,0.016,0.014,0.013,0.012,0.011,0.01}),""))</f>
        <v>1124.6889153754464</v>
      </c>
      <c r="AD63" s="325" t="str">
        <f>IF(OR(C63="",AB63="",AC63="",AB63=0,AC63=0),"",IF(AND(E63&gt;AB63,AB63&gt;AC63),"パーフェクト▲",IF(E63&gt;AC63,"上昇トレンド▲",IF(AND(E63&lt;AB63,AB63&lt;AC63),"下降トレンド▼","もみ合い→"))))</f>
        <v>パーフェクト▲</v>
      </c>
      <c r="AE63" s="325" t="str">
        <f>IF(OR(C63="",AB63="",AC63=""),"",IF(AND(ABS(E63-AC63)/AC63&lt;=0.02,E63&lt;AC63),"25日戻り売り★",IF(AND(ABS(E63-AB63)/AB63&lt;=0.01,E63&lt;AB63),"5日戻り売り○","なし")))</f>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相場上昇・見送り</v>
      </c>
      <c r="AG63">
        <f>IF(AND(T63&gt;=7,C63&lt;&gt;""),T63,0)</f>
        <v>0</v>
      </c>
      <c r="AH63">
        <f>IF(AG63&gt;0,AG63*10000-ROW(A63),0)</f>
        <v>0</v>
      </c>
      <c r="AI63" s="373">
        <f t="array" ref="AI63">IF(C63="","",IFERROR((INDEX(終値!$E:$E,MATCH(TEXT(C63,"0"),終値!$A:$A,0))-INDEX(終値!$E:$CZ,MATCH(TEXT(C63,"0"),終値!$A:$A,0),$AN$2))/INDEX(終値!$E:$CZ,MATCH(TEXT(C63,"0"),終値!$A:$A,0),$AN$2)*100,""))</f>
        <v>18.421052631578945</v>
      </c>
      <c r="AJ63" s="373">
        <f t="array" ref="AJ63">IFERROR((終値!$E$5-INDEX(終値!$E$5:$IT$5,1,$AN$2))/INDEX(終値!$E$5:$IT$5,1,$AN$2)*100,"")</f>
        <v>1.0179378228534113</v>
      </c>
      <c r="AK63" s="374">
        <f>IF(OR(AI63="",AJ63=""),"",AI63-AJ63)</f>
        <v>17.403114808725533</v>
      </c>
      <c r="AL63" s="372">
        <f>IF(AK63="","",IF(AK63&lt;-5,3,IF(AK63&lt;0,1,IF(AK63&lt;3,-1,-2))))</f>
        <v>-2</v>
      </c>
      <c r="AO63" s="376" t="str">
        <f>IF(OR($C63="",$E63="",$F63="",$H63="",$I63="",$H63-$I63&lt;=0),"-",IF(AND($H63-MAX($F63,$E63)&gt;=ABS($E63-$F63)*2,MIN($F63,$E63)-$I63&lt;=ABS($E63-$F63)*0.5,ABS($E63-$F63)&gt;0),"上ヒゲ陰線▼",IF(AND($E63&lt;$F63,ABS($E63-$F63)&gt;=($H63-$I63)*0.7),"大陰線▼",IF(AND(MIN($F63,$E63)-$I63&gt;=($H63-$I63)*0.5,$H63-MAX($F63,$E63)&lt;=($H63-$I63)*0.2),"長い下ヒゲ(反発警戒)","通常"))))</f>
        <v>通常</v>
      </c>
      <c r="AP63" s="377">
        <f>IF($AO63="上ヒゲ陰線▼",2,IF($AO63="大陰線▼",2,IF($AO63="長い下ヒゲ(反発警戒)",-2,0)))</f>
        <v>0</v>
      </c>
      <c r="AQ63">
        <f>IF(C63&lt;&gt;"",始値!F152,"")</f>
        <v>1138</v>
      </c>
      <c r="AR63">
        <f>IF(C63&lt;&gt;"",高値!F152,"")</f>
        <v>1178</v>
      </c>
      <c r="AS63">
        <f>IF(C63&lt;&gt;"",安値!F152,"")</f>
        <v>1138</v>
      </c>
      <c r="AT63" t="str">
        <f>IF(OR(C63="",AQ63="",AR63="",AS63="",AR63-AS63&lt;=0),"-",IF(AND(AR63-MAX(G63,AQ63)&gt;=ABS(G63-AQ63)*2,MIN(G63,AQ63)-AS63&lt;=ABS(G63-AQ63)*0.5,ABS(G63-AQ63)&gt;0),"上ヒゲ陰線▼",IF(AND(G63&lt;AQ63,ABS(G63-AQ63)&gt;=(AR63-AS63)*0.7),"大陰線▼",IF(AND(MIN(G63,AQ63)-AS63&gt;=(AR63-AS63)*0.5,AR63-MAX(G63,AQ63)&lt;=(AR63-AS63)*0.2),"長い下ヒゲ(反発)","通常"))))</f>
        <v>通常</v>
      </c>
      <c r="AU63">
        <f>IF(AT63="上ヒゲ陰線▼",2,IF(AT63="大陰線▼",2,IF(AT63="長い下ヒゲ(反発)",-2,0)))</f>
        <v>0</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14020</v>
      </c>
      <c r="F64" s="333">
        <f>IF(C64&lt;&gt;"",_xll.RssMarket(C64,"始値"),"")</f>
        <v>14620</v>
      </c>
      <c r="G64" s="212">
        <f>IF(C64&lt;&gt;"",終値!F183,"")</f>
        <v>14820</v>
      </c>
      <c r="H64" s="333">
        <f>IF(C64&lt;&gt;"",_xll.RssMarket(C64,"高値"),"")</f>
        <v>15010</v>
      </c>
      <c r="I64" s="333">
        <f>IF(C64&lt;&gt;"",_xll.RssMarket(C64,"安値"),"")</f>
        <v>13900</v>
      </c>
      <c r="J64" s="333">
        <f>IF(C64&lt;&gt;"",_xll.RssMarket(C64,"出来高"),"")</f>
        <v>150800</v>
      </c>
      <c r="K64" s="333">
        <f>IF(C64&lt;&gt;"",_xll.RssMarket(C64,"年初来高値"),"")</f>
        <v>16900</v>
      </c>
      <c r="L64" s="334">
        <f>IF(AND(E64&lt;&gt;"",K64&lt;&gt;"",K64&lt;&gt;0),(E64-K64)/K64*100,"")</f>
        <v>-17.041420118343193</v>
      </c>
      <c r="M64" s="333">
        <f>IF(C64&lt;&gt;"",IFERROR(AVERAGE(出来高!E183:I183),""),"")</f>
        <v>199660</v>
      </c>
      <c r="N64" s="333">
        <f>IF(C64&lt;&gt;"",IFERROR(AVERAGE(出来高!E183:AC183),""),"")</f>
        <v>158780</v>
      </c>
      <c r="O64" s="335">
        <f>IF(AND(J64&lt;&gt;"",M64&lt;&gt;"",M64&lt;&gt;0),J64/M64,"")</f>
        <v>0.75528398277071018</v>
      </c>
      <c r="P64" s="212" t="str">
        <f>IF(O64="","",IF(O64&gt;=2,"急増↑↑",IF(O64&gt;=1.5,"増加↑",IF(O64&gt;=1,"普通→","減少↓"))))</f>
        <v>減少↓</v>
      </c>
      <c r="Q64" s="212" t="str">
        <f>IF(E64="","",IF(AND(E64&lt;G64,O64&gt;=1.5),"売り▼",IF(E64&gt;G64,"様子見▲","中立→")))</f>
        <v>中立→</v>
      </c>
      <c r="R64" s="333">
        <f>IF(E64&lt;&gt;"",ROUND(E64*0.92,0),"")</f>
        <v>12898</v>
      </c>
      <c r="S64" s="333">
        <f>IF(E64&lt;&gt;"",ROUND(E64*1.04,0),"")</f>
        <v>14581</v>
      </c>
      <c r="T64" s="325">
        <f>IF(C64="","",IFERROR(IF(W64&gt;=70,3,IF(W64&gt;=60,2,IF(W64&gt;=50,1,0)))+IF(X64&lt;0,2,0)+IF(AD64="下降トレンド▼",3,IF(AD64="もみ合い→",1,0))+IF(V64="年初来安値圏●",3,IF(V64="安値圏",2,0))+IF(Q64="売り▼",2,0)+IF(P64="急増↑↑",2,IF(P64="増加↑",1,0))+IF(Z64&lt;0,1,0)+IF(L64&lt;=-30,2,IF(L64&lt;=-15,1,0))+IF(AE64="25日戻り売り★",2,IF(AE64="5日戻り売り○",1,0))+N(AL64)+N(AP64)+N(AU64),0))</f>
        <v>8</v>
      </c>
      <c r="U64" s="212" t="str">
        <f>IF(T64="","",IF(AND(T64&gt;=3,O64&gt;=1.5),"有効",IF(T64&gt;=3,"要確認","除外")))</f>
        <v>要確認</v>
      </c>
      <c r="V64" s="212" t="str">
        <f>IF(AND(I64&lt;&gt;"",K64&lt;&gt;""),IF(I64&lt;=K64*0.6,"年初来安値圏●",IF(I64&lt;=K64*0.75,"安値圏","通常")),"")</f>
        <v>通常</v>
      </c>
      <c r="W64" s="336">
        <f t="array" ref="W64">IFERROR(100-100/(1+SUMPRODUCT((終値!F183:R183&gt;終値!G183:S183)*(終値!F183:R183-終値!G183:S183))/SUMPRODUCT((終値!F183:R183&lt;終値!G183:S183)*(終値!G183:S183-終値!F183:R183))),50)</f>
        <v>49.391069012178626</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-140.85311197703959</v>
      </c>
      <c r="Y64" s="212" t="str">
        <f>IF(AF64="","",AF64&amp;" | "&amp;AD64&amp;IF(AE64&lt;&gt;"なし"," "&amp;AE64,"")&amp;IF(X64&lt;0," MACD-"," MACD+")&amp;" RSI:"&amp;TEXT(W64,"0.0")&amp;IF(W64&gt;=70," [過熱]",IF(W64&lt;=30," [売られ過ぎ]",""))&amp;" 前日比:"&amp;TEXT(Z64,"+0.0;-0.0;0.0")&amp;"%"&amp;IF(V64="年初来安値圏●"," [年初来安値圏]",IF(V64="安値圏"," [安値圏]",""))&amp;IF(OR(AO64="通常",AO64="-"),""," ["&amp;AO64&amp;"]")&amp;IF(OR(AT64="通常",AT64="-"),"","前日["&amp;AT64&amp;"]")&amp;" ["&amp;T64&amp;"点]")</f>
        <v>相場上昇・見送り | 上昇トレンド▲ 5日戻り売り○ MACD- RSI:49.4 前日比:-5.4% [8点]</v>
      </c>
      <c r="Z64" s="338">
        <f>IF(AND(E64&lt;&gt;"",G64&lt;&gt;"",G64&lt;&gt;0),(E64-G64)/G64*100,"")</f>
        <v>-5.3981106612685563</v>
      </c>
      <c r="AA64" s="212" t="str">
        <f>IF(OR(C64="",E64="",E64=0),"",IF(E64&gt;G64,"上昇▲",IF(E64&lt;G64,"下落▼","横ばい→")))</f>
        <v>下落▼</v>
      </c>
      <c r="AB64" s="333">
        <f>IF(OR(C64="",C64="TOPX",終値!E183=""),"",IFERROR(((終値!E183*0.333)+(終値!F183*0.222)+(終値!G183*0.148)+(終値!H183*0.099)+(終値!I183*0.066))/(0.333+0.222+0.148+0.099+0.066),""))</f>
        <v>14107.131336405528</v>
      </c>
      <c r="AC64" s="333">
        <f>IF(OR(C64="",C64="TOPX",終値!E183=""),"",IFERROR(SUMPRODUCT((終値!E183:AC183),{0.077,0.071,0.065,0.06,0.055,0.051,0.047,0.043,0.039,0.036,0.033,0.031,0.028,0.026,0.024,0.022,0.02,0.018,0.017,0.016,0.014,0.013,0.012,0.011,0.01})/SUM({0.077,0.071,0.065,0.06,0.055,0.051,0.047,0.043,0.039,0.036,0.033,0.031,0.028,0.026,0.024,0.022,0.02,0.018,0.017,0.016,0.014,0.013,0.012,0.011,0.01}),""))</f>
        <v>13904.600715137065</v>
      </c>
      <c r="AD64" s="212" t="str">
        <f>IF(OR(C64="",AB64="",AC64="",AB64=0,AC64=0),"",IF(AND(E64&gt;AB64,AB64&gt;AC64),"パーフェクト▲",IF(E64&gt;AC64,"上昇トレンド▲",IF(AND(E64&lt;AB64,AB64&lt;AC64),"下降トレンド▼","もみ合い→"))))</f>
        <v>上昇トレンド▲</v>
      </c>
      <c r="AE64" s="212" t="str">
        <f>IF(OR(C64="",AB64="",AC64=""),"",IF(AND(ABS(E64-AC64)/AC64&lt;=0.02,E64&lt;AC64),"25日戻り売り★",IF(AND(ABS(E64-AB64)/AB64&lt;=0.01,E64&lt;AB64),"5日戻り売り○","なし")))</f>
        <v>5日戻り売り○</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相場上昇・見送り</v>
      </c>
      <c r="AG64">
        <f>IF(AND(T64&gt;=7,C64&lt;&gt;""),T64,0)</f>
        <v>8</v>
      </c>
      <c r="AH64">
        <f>IF(AG64&gt;0,AG64*10000-ROW(A64),0)</f>
        <v>79936</v>
      </c>
      <c r="AI64" s="373">
        <f t="array" ref="AI64">IF(C64="","",IFERROR((INDEX(終値!$E:$E,MATCH(TEXT(C64,"0"),終値!$A:$A,0))-INDEX(終値!$E:$CZ,MATCH(TEXT(C64,"0"),終値!$A:$A,0),$AN$2))/INDEX(終値!$E:$CZ,MATCH(TEXT(C64,"0"),終値!$A:$A,0),$AN$2)*100,""))</f>
        <v>-14.927184466019416</v>
      </c>
      <c r="AJ64" s="373">
        <f t="array" ref="AJ64">IFERROR((終値!$E$5-INDEX(終値!$E$5:$IT$5,1,$AN$2))/INDEX(終値!$E$5:$IT$5,1,$AN$2)*100,"")</f>
        <v>1.0179378228534113</v>
      </c>
      <c r="AK64" s="374">
        <f>IF(OR(AI64="",AJ64=""),"",AI64-AJ64)</f>
        <v>-15.945122288872827</v>
      </c>
      <c r="AL64" s="372">
        <f>IF(AK64="","",IF(AK64&lt;-5,3,IF(AK64&lt;0,1,IF(AK64&lt;3,-1,-2))))</f>
        <v>3</v>
      </c>
      <c r="AO64" s="376" t="str">
        <f>IF(OR($C64="",$E64="",$F64="",$H64="",$I64="",$H64-$I64&lt;=0),"-",IF(AND($H64-MAX($F64,$E64)&gt;=ABS($E64-$F64)*2,MIN($F64,$E64)-$I64&lt;=ABS($E64-$F64)*0.5,ABS($E64-$F64)&gt;0),"上ヒゲ陰線▼",IF(AND($E64&lt;$F64,ABS($E64-$F64)&gt;=($H64-$I64)*0.7),"大陰線▼",IF(AND(MIN($F64,$E64)-$I64&gt;=($H64-$I64)*0.5,$H64-MAX($F64,$E64)&lt;=($H64-$I64)*0.2),"長い下ヒゲ(反発警戒)","通常"))))</f>
        <v>通常</v>
      </c>
      <c r="AP64" s="377">
        <f>IF($AO64="上ヒゲ陰線▼",2,IF($AO64="大陰線▼",2,IF($AO64="長い下ヒゲ(反発警戒)",-2,0)))</f>
        <v>0</v>
      </c>
      <c r="AQ64">
        <f>IF(C64&lt;&gt;"",始値!F183,"")</f>
        <v>14450</v>
      </c>
      <c r="AR64">
        <f>IF(C64&lt;&gt;"",高値!F183,"")</f>
        <v>15060</v>
      </c>
      <c r="AS64">
        <f>IF(C64&lt;&gt;"",安値!F183,"")</f>
        <v>14150</v>
      </c>
      <c r="AT64" t="str">
        <f>IF(OR(C64="",AQ64="",AR64="",AS64="",AR64-AS64&lt;=0),"-",IF(AND(AR64-MAX(G64,AQ64)&gt;=ABS(G64-AQ64)*2,MIN(G64,AQ64)-AS64&lt;=ABS(G64-AQ64)*0.5,ABS(G64-AQ64)&gt;0),"上ヒゲ陰線▼",IF(AND(G64&lt;AQ64,ABS(G64-AQ64)&gt;=(AR64-AS64)*0.7),"大陰線▼",IF(AND(MIN(G64,AQ64)-AS64&gt;=(AR64-AS64)*0.5,AR64-MAX(G64,AQ64)&lt;=(AR64-AS64)*0.2),"長い下ヒゲ(反発)","通常"))))</f>
        <v>通常</v>
      </c>
      <c r="AU64">
        <f>IF(AT64="上ヒゲ陰線▼",2,IF(AT64="大陰線▼",2,IF(AT64="長い下ヒゲ(反発)",-2,0)))</f>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7460</v>
      </c>
      <c r="F65" s="326">
        <f>IF(C65&lt;&gt;"",_xll.RssMarket(C65,"始値"),"")</f>
        <v>7066</v>
      </c>
      <c r="G65" s="325">
        <f>IF(C65&lt;&gt;"",終値!F204,"")</f>
        <v>7243</v>
      </c>
      <c r="H65" s="326">
        <f>IF(C65&lt;&gt;"",_xll.RssMarket(C65,"高値"),"")</f>
        <v>7460</v>
      </c>
      <c r="I65" s="326">
        <f>IF(C65&lt;&gt;"",_xll.RssMarket(C65,"安値"),"")</f>
        <v>7055</v>
      </c>
      <c r="J65" s="326">
        <f>IF(C65&lt;&gt;"",_xll.RssMarket(C65,"出来高"),"")</f>
        <v>3211000</v>
      </c>
      <c r="K65" s="326">
        <f>IF(C65&lt;&gt;"",_xll.RssMarket(C65,"年初来高値"),"")</f>
        <v>7559</v>
      </c>
      <c r="L65" s="327">
        <f>IF(AND(E65&lt;&gt;"",K65&lt;&gt;"",K65&lt;&gt;0),(E65-K65)/K65*100,"")</f>
        <v>-1.3096970498743219</v>
      </c>
      <c r="M65" s="326">
        <f>IF(C65&lt;&gt;"",IFERROR(AVERAGE(出来高!E204:I204),""),"")</f>
        <v>3735360</v>
      </c>
      <c r="N65" s="326">
        <f>IF(C65&lt;&gt;"",IFERROR(AVERAGE(出来高!E204:AC204),""),"")</f>
        <v>2956032</v>
      </c>
      <c r="O65" s="328">
        <f>IF(AND(J65&lt;&gt;"",M65&lt;&gt;"",M65&lt;&gt;0),J65/M65,"")</f>
        <v>0.85962263342756784</v>
      </c>
      <c r="P65" s="325" t="str">
        <f>IF(O65="","",IF(O65&gt;=2,"急増↑↑",IF(O65&gt;=1.5,"増加↑",IF(O65&gt;=1,"普通→","減少↓"))))</f>
        <v>減少↓</v>
      </c>
      <c r="Q65" s="325" t="str">
        <f>IF(E65="","",IF(AND(E65&lt;G65,O65&gt;=1.5),"売り▼",IF(E65&gt;G65,"様子見▲","中立→")))</f>
        <v>様子見▲</v>
      </c>
      <c r="R65" s="326">
        <f>IF(E65&lt;&gt;"",ROUND(E65*0.92,0),"")</f>
        <v>6863</v>
      </c>
      <c r="S65" s="326">
        <f>IF(E65&lt;&gt;"",ROUND(E65*1.04,0),"")</f>
        <v>7758</v>
      </c>
      <c r="T65" s="325">
        <f>IF(C65="","",IFERROR(IF(W65&gt;=70,3,IF(W65&gt;=60,2,IF(W65&gt;=50,1,0)))+IF(X65&lt;0,2,0)+IF(AD65="下降トレンド▼",3,IF(AD65="もみ合い→",1,0))+IF(V65="年初来安値圏●",3,IF(V65="安値圏",2,0))+IF(Q65="売り▼",2,0)+IF(P65="急増↑↑",2,IF(P65="増加↑",1,0))+IF(Z65&lt;0,1,0)+IF(L65&lt;=-30,2,IF(L65&lt;=-15,1,0))+IF(AE65="25日戻り売り★",2,IF(AE65="5日戻り売り○",1,0))+N(AL65)+N(AP65)+N(AU65),0))</f>
        <v>1</v>
      </c>
      <c r="U65" s="325" t="str">
        <f>IF(T65="","",IF(AND(T65&gt;=3,O65&gt;=1.5),"有効",IF(T65&gt;=3,"要確認","除外")))</f>
        <v>除外</v>
      </c>
      <c r="V65" s="325" t="str">
        <f>IF(AND(I65&lt;&gt;"",K65&lt;&gt;""),IF(I65&lt;=K65*0.6,"年初来安値圏●",IF(I65&lt;=K65*0.75,"安値圏","通常")),"")</f>
        <v>通常</v>
      </c>
      <c r="W65" s="329">
        <f t="array" ref="W65">IFERROR(100-100/(1+SUMPRODUCT((終値!F204:R204&gt;終値!G204:S204)*(終値!F204:R204-終値!G204:S204))/SUMPRODUCT((終値!F204:R204&lt;終値!G204:S204)*(終値!G204:S204-終値!F204:R204))),50)</f>
        <v>74.951076320939336</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120.46616170260495</v>
      </c>
      <c r="Y65" s="325" t="str">
        <f>IF(AF65="","",AF65&amp;" | "&amp;AD65&amp;IF(AE65&lt;&gt;"なし"," "&amp;AE65,"")&amp;IF(X65&lt;0," MACD-"," MACD+")&amp;" RSI:"&amp;TEXT(W65,"0.0")&amp;IF(W65&gt;=70," [過熱]",IF(W65&lt;=30," [売られ過ぎ]",""))&amp;" 前日比:"&amp;TEXT(Z65,"+0.0;-0.0;0.0")&amp;"%"&amp;IF(V65="年初来安値圏●"," [年初来安値圏]",IF(V65="安値圏"," [安値圏]",""))&amp;IF(OR(AO65="通常",AO65="-"),""," ["&amp;AO65&amp;"]")&amp;IF(OR(AT65="通常",AT65="-"),"","前日["&amp;AT65&amp;"]")&amp;" ["&amp;T65&amp;"点]")</f>
        <v>△過熱・様子見 | パーフェクト▲ MACD+ RSI:75.0 [過熱] 前日比:+3.0% [1点]</v>
      </c>
      <c r="Z65" s="331">
        <f>IF(AND(E65&lt;&gt;"",G65&lt;&gt;"",G65&lt;&gt;0),(E65-G65)/G65*100,"")</f>
        <v>2.9959961341985366</v>
      </c>
      <c r="AA65" s="325" t="str">
        <f>IF(OR(C65="",E65="",E65=0),"",IF(E65&gt;G65,"上昇▲",IF(E65&lt;G65,"下落▼","横ばい→")))</f>
        <v>上昇▲</v>
      </c>
      <c r="AB65" s="326">
        <f>IF(OR(C65="",C65="TOPX",終値!E204=""),"",IFERROR(((終値!E204*0.333)+(終値!F204*0.222)+(終値!G204*0.148)+(終値!H204*0.099)+(終値!I204*0.066))/(0.333+0.222+0.148+0.099+0.066),""))</f>
        <v>7146.3145161290313</v>
      </c>
      <c r="AC65" s="326">
        <f>IF(OR(C65="",C65="TOPX",終値!E204=""),"",IFERROR(SUMPRODUCT((終値!E204:AC204),{0.077,0.071,0.065,0.06,0.055,0.051,0.047,0.043,0.039,0.036,0.033,0.031,0.028,0.026,0.024,0.022,0.02,0.018,0.017,0.016,0.014,0.013,0.012,0.011,0.01})/SUM({0.077,0.071,0.065,0.06,0.055,0.051,0.047,0.043,0.039,0.036,0.033,0.031,0.028,0.026,0.024,0.022,0.02,0.018,0.017,0.016,0.014,0.013,0.012,0.011,0.01}),""))</f>
        <v>6623.021454112034</v>
      </c>
      <c r="AD65" s="325" t="str">
        <f>IF(OR(C65="",AB65="",AC65="",AB65=0,AC65=0),"",IF(AND(E65&gt;AB65,AB65&gt;AC65),"パーフェクト▲",IF(E65&gt;AC65,"上昇トレンド▲",IF(AND(E65&lt;AB65,AB65&lt;AC65),"下降トレンド▼","もみ合い→"))))</f>
        <v>パーフェクト▲</v>
      </c>
      <c r="AE65" s="325" t="str">
        <f>IF(OR(C65="",AB65="",AC65=""),"",IF(AND(ABS(E65-AC65)/AC65&lt;=0.02,E65&lt;AC65),"25日戻り売り★",IF(AND(ABS(E65-AB65)/AB65&lt;=0.01,E65&lt;AB65),"5日戻り売り○","なし")))</f>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△過熱・様子見</v>
      </c>
      <c r="AG65">
        <f>IF(AND(T65&gt;=7,C65&lt;&gt;""),T65,0)</f>
        <v>0</v>
      </c>
      <c r="AH65">
        <f>IF(AG65&gt;0,AG65*10000-ROW(A65),0)</f>
        <v>0</v>
      </c>
      <c r="AI65" s="373">
        <f t="array" ref="AI65">IF(C65="","",IFERROR((INDEX(終値!$E:$E,MATCH(TEXT(C65,"0"),終値!$A:$A,0))-INDEX(終値!$E:$CZ,MATCH(TEXT(C65,"0"),終値!$A:$A,0),$AN$2))/INDEX(終値!$E:$CZ,MATCH(TEXT(C65,"0"),終値!$A:$A,0),$AN$2)*100,""))</f>
        <v>24.023275145469658</v>
      </c>
      <c r="AJ65" s="373">
        <f t="array" ref="AJ65">IFERROR((終値!$E$5-INDEX(終値!$E$5:$IT$5,1,$AN$2))/INDEX(終値!$E$5:$IT$5,1,$AN$2)*100,"")</f>
        <v>1.0179378228534113</v>
      </c>
      <c r="AK65" s="374">
        <f>IF(OR(AI65="",AJ65=""),"",AI65-AJ65)</f>
        <v>23.005337322616246</v>
      </c>
      <c r="AL65" s="372">
        <f>IF(AK65="","",IF(AK65&lt;-5,3,IF(AK65&lt;0,1,IF(AK65&lt;3,-1,-2))))</f>
        <v>-2</v>
      </c>
      <c r="AO65" s="376" t="str">
        <f>IF(OR($C65="",$E65="",$F65="",$H65="",$I65="",$H65-$I65&lt;=0),"-",IF(AND($H65-MAX($F65,$E65)&gt;=ABS($E65-$F65)*2,MIN($F65,$E65)-$I65&lt;=ABS($E65-$F65)*0.5,ABS($E65-$F65)&gt;0),"上ヒゲ陰線▼",IF(AND($E65&lt;$F65,ABS($E65-$F65)&gt;=($H65-$I65)*0.7),"大陰線▼",IF(AND(MIN($F65,$E65)-$I65&gt;=($H65-$I65)*0.5,$H65-MAX($F65,$E65)&lt;=($H65-$I65)*0.2),"長い下ヒゲ(反発警戒)","通常"))))</f>
        <v>通常</v>
      </c>
      <c r="AP65" s="377">
        <f>IF($AO65="上ヒゲ陰線▼",2,IF($AO65="大陰線▼",2,IF($AO65="長い下ヒゲ(反発警戒)",-2,0)))</f>
        <v>0</v>
      </c>
      <c r="AQ65">
        <f>IF(C65&lt;&gt;"",始値!F204,"")</f>
        <v>6990</v>
      </c>
      <c r="AR65">
        <f>IF(C65&lt;&gt;"",高値!F204,"")</f>
        <v>7243</v>
      </c>
      <c r="AS65">
        <f>IF(C65&lt;&gt;"",安値!F204,"")</f>
        <v>6868</v>
      </c>
      <c r="AT65" t="str">
        <f>IF(OR(C65="",AQ65="",AR65="",AS65="",AR65-AS65&lt;=0),"-",IF(AND(AR65-MAX(G65,AQ65)&gt;=ABS(G65-AQ65)*2,MIN(G65,AQ65)-AS65&lt;=ABS(G65-AQ65)*0.5,ABS(G65-AQ65)&gt;0),"上ヒゲ陰線▼",IF(AND(G65&lt;AQ65,ABS(G65-AQ65)&gt;=(AR65-AS65)*0.7),"大陰線▼",IF(AND(MIN(G65,AQ65)-AS65&gt;=(AR65-AS65)*0.5,AR65-MAX(G65,AQ65)&lt;=(AR65-AS65)*0.2),"長い下ヒゲ(反発)","通常"))))</f>
        <v>通常</v>
      </c>
      <c r="AU65">
        <f>IF(AT65="上ヒゲ陰線▼",2,IF(AT65="大陰線▼",2,IF(AT65="長い下ヒゲ(反発)",-2,0)))</f>
        <v>0</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8499</v>
      </c>
      <c r="F66" s="333">
        <f>IF(C66&lt;&gt;"",_xll.RssMarket(C66,"始値"),"")</f>
        <v>8436</v>
      </c>
      <c r="G66" s="212">
        <f>IF(C66&lt;&gt;"",終値!F19,"")</f>
        <v>8470</v>
      </c>
      <c r="H66" s="333">
        <f>IF(C66&lt;&gt;"",_xll.RssMarket(C66,"高値"),"")</f>
        <v>8655</v>
      </c>
      <c r="I66" s="333">
        <f>IF(C66&lt;&gt;"",_xll.RssMarket(C66,"安値"),"")</f>
        <v>8417</v>
      </c>
      <c r="J66" s="333">
        <f>IF(C66&lt;&gt;"",_xll.RssMarket(C66,"出来高"),"")</f>
        <v>9317000</v>
      </c>
      <c r="K66" s="333">
        <f>IF(C66&lt;&gt;"",_xll.RssMarket(C66,"年初来高値"),"")</f>
        <v>8816</v>
      </c>
      <c r="L66" s="334">
        <f>IF(AND(E66&lt;&gt;"",K66&lt;&gt;"",K66&lt;&gt;0),(E66-K66)/K66*100,"")</f>
        <v>-3.5957350272232307</v>
      </c>
      <c r="M66" s="333">
        <f>IF(C66&lt;&gt;"",IFERROR(AVERAGE(出来高!E19:I19),""),"")</f>
        <v>10416060</v>
      </c>
      <c r="N66" s="333">
        <f>IF(C66&lt;&gt;"",IFERROR(AVERAGE(出来高!E19:AC19),""),"")</f>
        <v>9841340</v>
      </c>
      <c r="O66" s="335">
        <f>IF(AND(J66&lt;&gt;"",M66&lt;&gt;"",M66&lt;&gt;0),J66/M66,"")</f>
        <v>0.8944840947536784</v>
      </c>
      <c r="P66" s="212" t="str">
        <f>IF(O66="","",IF(O66&gt;=2,"急増↑↑",IF(O66&gt;=1.5,"増加↑",IF(O66&gt;=1,"普通→","減少↓"))))</f>
        <v>減少↓</v>
      </c>
      <c r="Q66" s="212" t="str">
        <f>IF(E66="","",IF(AND(E66&lt;G66,O66&gt;=1.5),"売り▼",IF(E66&gt;G66,"様子見▲","中立→")))</f>
        <v>様子見▲</v>
      </c>
      <c r="R66" s="333">
        <f>IF(E66&lt;&gt;"",ROUND(E66*0.92,0),"")</f>
        <v>7819</v>
      </c>
      <c r="S66" s="333">
        <f>IF(E66&lt;&gt;"",ROUND(E66*1.04,0),"")</f>
        <v>8839</v>
      </c>
      <c r="T66" s="325">
        <f>IF(C66="","",IFERROR(IF(W66&gt;=70,3,IF(W66&gt;=60,2,IF(W66&gt;=50,1,0)))+IF(X66&lt;0,2,0)+IF(AD66="下降トレンド▼",3,IF(AD66="もみ合い→",1,0))+IF(V66="年初来安値圏●",3,IF(V66="安値圏",2,0))+IF(Q66="売り▼",2,0)+IF(P66="急増↑↑",2,IF(P66="増加↑",1,0))+IF(Z66&lt;0,1,0)+IF(L66&lt;=-30,2,IF(L66&lt;=-15,1,0))+IF(AE66="25日戻り売り★",2,IF(AE66="5日戻り売り○",1,0))+N(AL66)+N(AP66)+N(AU66),0))</f>
        <v>0</v>
      </c>
      <c r="U66" s="212" t="str">
        <f>IF(T66="","",IF(AND(T66&gt;=3,O66&gt;=1.5),"有効",IF(T66&gt;=3,"要確認","除外")))</f>
        <v>除外</v>
      </c>
      <c r="V66" s="212" t="str">
        <f>IF(AND(I66&lt;&gt;"",K66&lt;&gt;""),IF(I66&lt;=K66*0.6,"年初来安値圏●",IF(I66&lt;=K66*0.75,"安値圏","通常")),"")</f>
        <v>通常</v>
      </c>
      <c r="W66" s="336">
        <f t="array" ref="W66">IFERROR(100-100/(1+SUMPRODUCT((終値!F19:R19&gt;終値!G19:S19)*(終値!F19:R19-終値!G19:S19))/SUMPRODUCT((終値!F19:R19&lt;終値!G19:S19)*(終値!G19:S19-終値!F19:R19))),50)</f>
        <v>47.649572649572647</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6.9587185906675586</v>
      </c>
      <c r="Y66" s="212" t="str">
        <f>IF(AF66="","",AF66&amp;" | "&amp;AD66&amp;IF(AE66&lt;&gt;"なし"," "&amp;AE66,"")&amp;IF(X66&lt;0," MACD-"," MACD+")&amp;" RSI:"&amp;TEXT(W66,"0.0")&amp;IF(W66&gt;=70," [過熱]",IF(W66&lt;=30," [売られ過ぎ]",""))&amp;" 前日比:"&amp;TEXT(Z66,"+0.0;-0.0;0.0")&amp;"%"&amp;IF(V66="年初来安値圏●"," [年初来安値圏]",IF(V66="安値圏"," [安値圏]",""))&amp;IF(OR(AO66="通常",AO66="-"),""," ["&amp;AO66&amp;"]")&amp;IF(OR(AT66="通常",AT66="-"),"","前日["&amp;AT66&amp;"]")&amp;" ["&amp;T66&amp;"点]")</f>
        <v>相場上昇・見送り | パーフェクト▲ MACD+ RSI:47.6 前日比:+0.3% [上ヒゲ陰線▼] [0点]</v>
      </c>
      <c r="Z66" s="338">
        <f>IF(AND(E66&lt;&gt;"",G66&lt;&gt;"",G66&lt;&gt;0),(E66-G66)/G66*100,"")</f>
        <v>0.34238488783943333</v>
      </c>
      <c r="AA66" s="212" t="str">
        <f>IF(OR(C66="",E66="",E66=0),"",IF(E66&gt;G66,"上昇▲",IF(E66&lt;G66,"下落▼","横ばい→")))</f>
        <v>上昇▲</v>
      </c>
      <c r="AB66" s="333">
        <f>IF(OR(C66="",C66="TOPX",終値!E19=""),"",IFERROR(((終値!E19*0.333)+(終値!F19*0.222)+(終値!G19*0.148)+(終値!H19*0.099)+(終値!I19*0.066))/(0.333+0.222+0.148+0.099+0.066),""))</f>
        <v>8357.399769585254</v>
      </c>
      <c r="AC66" s="333">
        <f>IF(OR(C66="",C66="TOPX",終値!E19=""),"",IFERROR(SUMPRODUCT((終値!E19:AC19),{0.077,0.071,0.065,0.06,0.055,0.051,0.047,0.043,0.039,0.036,0.033,0.031,0.028,0.026,0.024,0.022,0.02,0.018,0.017,0.016,0.014,0.013,0.012,0.011,0.01})/SUM({0.077,0.071,0.065,0.06,0.055,0.051,0.047,0.043,0.039,0.036,0.033,0.031,0.028,0.026,0.024,0.022,0.02,0.018,0.017,0.016,0.014,0.013,0.012,0.011,0.01}),""))</f>
        <v>8295.6746126340859</v>
      </c>
      <c r="AD66" s="212" t="str">
        <f>IF(OR(C66="",AB66="",AC66="",AB66=0,AC66=0),"",IF(AND(E66&gt;AB66,AB66&gt;AC66),"パーフェクト▲",IF(E66&gt;AC66,"上昇トレンド▲",IF(AND(E66&lt;AB66,AB66&lt;AC66),"下降トレンド▼","もみ合い→"))))</f>
        <v>パーフェクト▲</v>
      </c>
      <c r="AE66" s="212" t="str">
        <f>IF(OR(C66="",AB66="",AC66=""),"",IF(AND(ABS(E66-AC66)/AC66&lt;=0.02,E66&lt;AC66),"25日戻り売り★",IF(AND(ABS(E66-AB66)/AB66&lt;=0.01,E66&lt;AB66),"5日戻り売り○","なし")))</f>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相場上昇・見送り</v>
      </c>
      <c r="AG66">
        <f>IF(AND(T66&gt;=7,C66&lt;&gt;""),T66,0)</f>
        <v>0</v>
      </c>
      <c r="AH66">
        <f>IF(AG66&gt;0,AG66*10000-ROW(A66),0)</f>
        <v>0</v>
      </c>
      <c r="AI66" s="373">
        <f t="array" ref="AI66">IF(C66="","",IFERROR((INDEX(終値!$E:$E,MATCH(TEXT(C66,"0"),終値!$A:$A,0))-INDEX(終値!$E:$CZ,MATCH(TEXT(C66,"0"),終値!$A:$A,0),$AN$2))/INDEX(終値!$E:$CZ,MATCH(TEXT(C66,"0"),終値!$A:$A,0),$AN$2)*100,""))</f>
        <v>8.766316867161505</v>
      </c>
      <c r="AJ66" s="373">
        <f t="array" ref="AJ66">IFERROR((終値!$E$5-INDEX(終値!$E$5:$IT$5,1,$AN$2))/INDEX(終値!$E$5:$IT$5,1,$AN$2)*100,"")</f>
        <v>1.0179378228534113</v>
      </c>
      <c r="AK66" s="374">
        <f>IF(OR(AI66="",AJ66=""),"",AI66-AJ66)</f>
        <v>7.748379044308094</v>
      </c>
      <c r="AL66" s="372">
        <f>IF(AK66="","",IF(AK66&lt;-5,3,IF(AK66&lt;0,1,IF(AK66&lt;3,-1,-2))))</f>
        <v>-2</v>
      </c>
      <c r="AO66" s="376" t="str">
        <f>IF(OR($C66="",$E66="",$F66="",$H66="",$I66="",$H66-$I66&lt;=0),"-",IF(AND($H66-MAX($F66,$E66)&gt;=ABS($E66-$F66)*2,MIN($F66,$E66)-$I66&lt;=ABS($E66-$F66)*0.5,ABS($E66-$F66)&gt;0),"上ヒゲ陰線▼",IF(AND($E66&lt;$F66,ABS($E66-$F66)&gt;=($H66-$I66)*0.7),"大陰線▼",IF(AND(MIN($F66,$E66)-$I66&gt;=($H66-$I66)*0.5,$H66-MAX($F66,$E66)&lt;=($H66-$I66)*0.2),"長い下ヒゲ(反発警戒)","通常"))))</f>
        <v>上ヒゲ陰線▼</v>
      </c>
      <c r="AP66" s="377">
        <f>IF($AO66="上ヒゲ陰線▼",2,IF($AO66="大陰線▼",2,IF($AO66="長い下ヒゲ(反発警戒)",-2,0)))</f>
        <v>2</v>
      </c>
      <c r="AQ66">
        <f>IF(C66&lt;&gt;"",始値!F19,"")</f>
        <v>8188</v>
      </c>
      <c r="AR66">
        <f>IF(C66&lt;&gt;"",高値!F19,"")</f>
        <v>8479</v>
      </c>
      <c r="AS66">
        <f>IF(C66&lt;&gt;"",安値!F19,"")</f>
        <v>8137</v>
      </c>
      <c r="AT66" t="str">
        <f>IF(OR(C66="",AQ66="",AR66="",AS66="",AR66-AS66&lt;=0),"-",IF(AND(AR66-MAX(G66,AQ66)&gt;=ABS(G66-AQ66)*2,MIN(G66,AQ66)-AS66&lt;=ABS(G66-AQ66)*0.5,ABS(G66-AQ66)&gt;0),"上ヒゲ陰線▼",IF(AND(G66&lt;AQ66,ABS(G66-AQ66)&gt;=(AR66-AS66)*0.7),"大陰線▼",IF(AND(MIN(G66,AQ66)-AS66&gt;=(AR66-AS66)*0.5,AR66-MAX(G66,AQ66)&lt;=(AR66-AS66)*0.2),"長い下ヒゲ(反発)","通常"))))</f>
        <v>通常</v>
      </c>
      <c r="AU66">
        <f>IF(AT66="上ヒゲ陰線▼",2,IF(AT66="大陰線▼",2,IF(AT66="長い下ヒゲ(反発)",-2,0)))</f>
        <v>0</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6513</v>
      </c>
      <c r="F67" s="326">
        <f>IF(C67&lt;&gt;"",_xll.RssMarket(C67,"始値"),"")</f>
        <v>6505</v>
      </c>
      <c r="G67" s="325">
        <f>IF(C67&lt;&gt;"",終値!F26,"")</f>
        <v>6547</v>
      </c>
      <c r="H67" s="326">
        <f>IF(C67&lt;&gt;"",_xll.RssMarket(C67,"高値"),"")</f>
        <v>6534</v>
      </c>
      <c r="I67" s="326">
        <f>IF(C67&lt;&gt;"",_xll.RssMarket(C67,"安値"),"")</f>
        <v>6472</v>
      </c>
      <c r="J67" s="326">
        <f>IF(C67&lt;&gt;"",_xll.RssMarket(C67,"出来高"),"")</f>
        <v>2873500</v>
      </c>
      <c r="K67" s="326">
        <f>IF(C67&lt;&gt;"",_xll.RssMarket(C67,"年初来高値"),"")</f>
        <v>6680</v>
      </c>
      <c r="L67" s="327">
        <f>IF(AND(E67&lt;&gt;"",K67&lt;&gt;"",K67&lt;&gt;0),(E67-K67)/K67*100,"")</f>
        <v>-2.5</v>
      </c>
      <c r="M67" s="326">
        <f>IF(C67&lt;&gt;"",IFERROR(AVERAGE(出来高!E26:I26),""),"")</f>
        <v>3313460</v>
      </c>
      <c r="N67" s="326">
        <f>IF(C67&lt;&gt;"",IFERROR(AVERAGE(出来高!E26:AC26),""),"")</f>
        <v>3144688</v>
      </c>
      <c r="O67" s="328">
        <f>IF(AND(J67&lt;&gt;"",M67&lt;&gt;"",M67&lt;&gt;0),J67/M67,"")</f>
        <v>0.86722036783302048</v>
      </c>
      <c r="P67" s="325" t="str">
        <f>IF(O67="","",IF(O67&gt;=2,"急増↑↑",IF(O67&gt;=1.5,"増加↑",IF(O67&gt;=1,"普通→","減少↓"))))</f>
        <v>減少↓</v>
      </c>
      <c r="Q67" s="325" t="str">
        <f>IF(E67="","",IF(AND(E67&lt;G67,O67&gt;=1.5),"売り▼",IF(E67&gt;G67,"様子見▲","中立→")))</f>
        <v>中立→</v>
      </c>
      <c r="R67" s="326">
        <f>IF(E67&lt;&gt;"",ROUND(E67*0.92,0),"")</f>
        <v>5992</v>
      </c>
      <c r="S67" s="326">
        <f>IF(E67&lt;&gt;"",ROUND(E67*1.04,0),"")</f>
        <v>6774</v>
      </c>
      <c r="T67" s="325">
        <f>IF(C67="","",IFERROR(IF(W67&gt;=70,3,IF(W67&gt;=60,2,IF(W67&gt;=50,1,0)))+IF(X67&lt;0,2,0)+IF(AD67="下降トレンド▼",3,IF(AD67="もみ合い→",1,0))+IF(V67="年初来安値圏●",3,IF(V67="安値圏",2,0))+IF(Q67="売り▼",2,0)+IF(P67="急増↑↑",2,IF(P67="増加↑",1,0))+IF(Z67&lt;0,1,0)+IF(L67&lt;=-30,2,IF(L67&lt;=-15,1,0))+IF(AE67="25日戻り売り★",2,IF(AE67="5日戻り売り○",1,0))+N(AL67)+N(AP67)+N(AU67),0))</f>
        <v>-1</v>
      </c>
      <c r="U67" s="325" t="str">
        <f>IF(T67="","",IF(AND(T67&gt;=3,O67&gt;=1.5),"有効",IF(T67&gt;=3,"要確認","除外")))</f>
        <v>除外</v>
      </c>
      <c r="V67" s="325" t="str">
        <f>IF(AND(I67&lt;&gt;"",K67&lt;&gt;""),IF(I67&lt;=K67*0.6,"年初来安値圏●",IF(I67&lt;=K67*0.75,"安値圏","通常")),"")</f>
        <v>通常</v>
      </c>
      <c r="W67" s="329">
        <f t="array" ref="W67">IFERROR(100-100/(1+SUMPRODUCT((終値!F26:R26&gt;終値!G26:S26)*(終値!F26:R26-終値!G26:S26))/SUMPRODUCT((終値!F26:R26&lt;終値!G26:S26)*(終値!G26:S26-終値!F26:R26))),50)</f>
        <v>48.832487309644677</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8.3236659117419549</v>
      </c>
      <c r="Y67" s="325" t="str">
        <f>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相場上昇・見送り | パーフェクト▲ MACD+ RSI:48.8 前日比:-0.5% [-1点]</v>
      </c>
      <c r="Z67" s="331">
        <f>IF(AND(E67&lt;&gt;"",G67&lt;&gt;"",G67&lt;&gt;0),(E67-G67)/G67*100,"")</f>
        <v>-0.51932182679089667</v>
      </c>
      <c r="AA67" s="325" t="str">
        <f>IF(OR(C67="",E67="",E67=0),"",IF(E67&gt;G67,"上昇▲",IF(E67&lt;G67,"下落▼","横ばい→")))</f>
        <v>下落▼</v>
      </c>
      <c r="AB67" s="326">
        <f>IF(OR(C67="",C67="TOPX",終値!E26=""),"",IFERROR(((終値!E26*0.333)+(終値!F26*0.222)+(終値!G26*0.148)+(終値!H26*0.099)+(終値!I26*0.066))/(0.333+0.222+0.148+0.099+0.066),""))</f>
        <v>6463.5011520737326</v>
      </c>
      <c r="AC67" s="326">
        <f>IF(OR(C67="",C67="TOPX",終値!E26=""),"",IFERROR(SUMPRODUCT((終値!E26:AC26),{0.077,0.071,0.065,0.06,0.055,0.051,0.047,0.043,0.039,0.036,0.033,0.031,0.028,0.026,0.024,0.022,0.02,0.018,0.017,0.016,0.014,0.013,0.012,0.011,0.01})/SUM({0.077,0.071,0.065,0.06,0.055,0.051,0.047,0.043,0.039,0.036,0.033,0.031,0.028,0.026,0.024,0.022,0.02,0.018,0.017,0.016,0.014,0.013,0.012,0.011,0.01}),""))</f>
        <v>6448.6817640047639</v>
      </c>
      <c r="AD67" s="325" t="str">
        <f>IF(OR(C67="",AB67="",AC67="",AB67=0,AC67=0),"",IF(AND(E67&gt;AB67,AB67&gt;AC67),"パーフェクト▲",IF(E67&gt;AC67,"上昇トレンド▲",IF(AND(E67&lt;AB67,AB67&lt;AC67),"下降トレンド▼","もみ合い→"))))</f>
        <v>パーフェクト▲</v>
      </c>
      <c r="AE67" s="325" t="str">
        <f>IF(OR(C67="",AB67="",AC67=""),"",IF(AND(ABS(E67-AC67)/AC67&lt;=0.02,E67&lt;AC67),"25日戻り売り★",IF(AND(ABS(E67-AB67)/AB67&lt;=0.01,E67&lt;AB67),"5日戻り売り○","なし")))</f>
        <v>なし</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相場上昇・見送り</v>
      </c>
      <c r="AG67">
        <f>IF(AND(T67&gt;=7,C67&lt;&gt;""),T67,0)</f>
        <v>0</v>
      </c>
      <c r="AH67">
        <f>IF(AG67&gt;0,AG67*10000-ROW(A67),0)</f>
        <v>0</v>
      </c>
      <c r="AI67" s="373">
        <f t="array" ref="AI67">IF(C67="","",IFERROR((INDEX(終値!$E:$E,MATCH(TEXT(C67,"0"),終値!$A:$A,0))-INDEX(終値!$E:$CZ,MATCH(TEXT(C67,"0"),終値!$A:$A,0),$AN$2))/INDEX(終値!$E:$CZ,MATCH(TEXT(C67,"0"),終値!$A:$A,0),$AN$2)*100,""))</f>
        <v>5.0653331182448778</v>
      </c>
      <c r="AJ67" s="373">
        <f t="array" ref="AJ67">IFERROR((終値!$E$5-INDEX(終値!$E$5:$IT$5,1,$AN$2))/INDEX(終値!$E$5:$IT$5,1,$AN$2)*100,"")</f>
        <v>1.0179378228534113</v>
      </c>
      <c r="AK67" s="374">
        <f>IF(OR(AI67="",AJ67=""),"",AI67-AJ67)</f>
        <v>4.0473952953914667</v>
      </c>
      <c r="AL67" s="372">
        <f>IF(AK67="","",IF(AK67&lt;-5,3,IF(AK67&lt;0,1,IF(AK67&lt;3,-1,-2))))</f>
        <v>-2</v>
      </c>
      <c r="AO67" s="376" t="str">
        <f>IF(OR($C67="",$E67="",$F67="",$H67="",$I67="",$H67-$I67&lt;=0),"-",IF(AND($H67-MAX($F67,$E67)&gt;=ABS($E67-$F67)*2,MIN($F67,$E67)-$I67&lt;=ABS($E67-$F67)*0.5,ABS($E67-$F67)&gt;0),"上ヒゲ陰線▼",IF(AND($E67&lt;$F67,ABS($E67-$F67)&gt;=($H67-$I67)*0.7),"大陰線▼",IF(AND(MIN($F67,$E67)-$I67&gt;=($H67-$I67)*0.5,$H67-MAX($F67,$E67)&lt;=($H67-$I67)*0.2),"長い下ヒゲ(反発警戒)","通常"))))</f>
        <v>通常</v>
      </c>
      <c r="AP67" s="377">
        <f>IF($AO67="上ヒゲ陰線▼",2,IF($AO67="大陰線▼",2,IF($AO67="長い下ヒゲ(反発警戒)",-2,0)))</f>
        <v>0</v>
      </c>
      <c r="AQ67">
        <f>IF(C67&lt;&gt;"",始値!F26,"")</f>
        <v>6384</v>
      </c>
      <c r="AR67">
        <f>IF(C67&lt;&gt;"",高値!F26,"")</f>
        <v>6547</v>
      </c>
      <c r="AS67">
        <f>IF(C67&lt;&gt;"",安値!F26,"")</f>
        <v>6384</v>
      </c>
      <c r="AT67" t="str">
        <f>IF(OR(C67="",AQ67="",AR67="",AS67="",AR67-AS67&lt;=0),"-",IF(AND(AR67-MAX(G67,AQ67)&gt;=ABS(G67-AQ67)*2,MIN(G67,AQ67)-AS67&lt;=ABS(G67-AQ67)*0.5,ABS(G67-AQ67)&gt;0),"上ヒゲ陰線▼",IF(AND(G67&lt;AQ67,ABS(G67-AQ67)&gt;=(AR67-AS67)*0.7),"大陰線▼",IF(AND(MIN(G67,AQ67)-AS67&gt;=(AR67-AS67)*0.5,AR67-MAX(G67,AQ67)&lt;=(AR67-AS67)*0.2),"長い下ヒゲ(反発)","通常"))))</f>
        <v>通常</v>
      </c>
      <c r="AU67">
        <f>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1679</v>
      </c>
      <c r="F68" s="333">
        <f>IF(C68&lt;&gt;"",_xll.RssMarket(C68,"始値"),"")</f>
        <v>1646</v>
      </c>
      <c r="G68" s="212">
        <f>IF(C68&lt;&gt;"",終値!F31,"")</f>
        <v>1661</v>
      </c>
      <c r="H68" s="333">
        <f>IF(C68&lt;&gt;"",_xll.RssMarket(C68,"高値"),"")</f>
        <v>1687</v>
      </c>
      <c r="I68" s="333">
        <f>IF(C68&lt;&gt;"",_xll.RssMarket(C68,"安値"),"")</f>
        <v>1646</v>
      </c>
      <c r="J68" s="333">
        <f>IF(C68&lt;&gt;"",_xll.RssMarket(C68,"出来高"),"")</f>
        <v>7699800</v>
      </c>
      <c r="K68" s="333">
        <f>IF(C68&lt;&gt;"",_xll.RssMarket(C68,"年初来高値"),"")</f>
        <v>1705</v>
      </c>
      <c r="L68" s="334">
        <f>IF(AND(E68&lt;&gt;"",K68&lt;&gt;"",K68&lt;&gt;0),(E68-K68)/K68*100,"")</f>
        <v>-1.5249266862170088</v>
      </c>
      <c r="M68" s="333">
        <f>IF(C68&lt;&gt;"",IFERROR(AVERAGE(出来高!E31:I31),""),"")</f>
        <v>11203700</v>
      </c>
      <c r="N68" s="333">
        <f>IF(C68&lt;&gt;"",IFERROR(AVERAGE(出来高!E31:AC31),""),"")</f>
        <v>4648868</v>
      </c>
      <c r="O68" s="335">
        <f>IF(AND(J68&lt;&gt;"",M68&lt;&gt;"",M68&lt;&gt;0),J68/M68,"")</f>
        <v>0.68725510322482752</v>
      </c>
      <c r="P68" s="212" t="str">
        <f>IF(O68="","",IF(O68&gt;=2,"急増↑↑",IF(O68&gt;=1.5,"増加↑",IF(O68&gt;=1,"普通→","減少↓"))))</f>
        <v>減少↓</v>
      </c>
      <c r="Q68" s="212" t="str">
        <f>IF(E68="","",IF(AND(E68&lt;G68,O68&gt;=1.5),"売り▼",IF(E68&gt;G68,"様子見▲","中立→")))</f>
        <v>様子見▲</v>
      </c>
      <c r="R68" s="333">
        <f>IF(E68&lt;&gt;"",ROUND(E68*0.92,0),"")</f>
        <v>1545</v>
      </c>
      <c r="S68" s="333">
        <f>IF(E68&lt;&gt;"",ROUND(E68*1.04,0),"")</f>
        <v>1746</v>
      </c>
      <c r="T68" s="325">
        <f>IF(C68="","",IFERROR(IF(W68&gt;=70,3,IF(W68&gt;=60,2,IF(W68&gt;=50,1,0)))+IF(X68&lt;0,2,0)+IF(AD68="下降トレンド▼",3,IF(AD68="もみ合い→",1,0))+IF(V68="年初来安値圏●",3,IF(V68="安値圏",2,0))+IF(Q68="売り▼",2,0)+IF(P68="急増↑↑",2,IF(P68="増加↑",1,0))+IF(Z68&lt;0,1,0)+IF(L68&lt;=-30,2,IF(L68&lt;=-15,1,0))+IF(AE68="25日戻り売り★",2,IF(AE68="5日戻り売り○",1,0))+N(AL68)+N(AP68)+N(AU68),0))</f>
        <v>-2</v>
      </c>
      <c r="U68" s="212" t="str">
        <f>IF(T68="","",IF(AND(T68&gt;=3,O68&gt;=1.5),"有効",IF(T68&gt;=3,"要確認","除外")))</f>
        <v>除外</v>
      </c>
      <c r="V68" s="212" t="str">
        <f>IF(AND(I68&lt;&gt;"",K68&lt;&gt;""),IF(I68&lt;=K68*0.6,"年初来安値圏●",IF(I68&lt;=K68*0.75,"安値圏","通常")),"")</f>
        <v>通常</v>
      </c>
      <c r="W68" s="336">
        <f t="array" ref="W68">IFERROR(100-100/(1+SUMPRODUCT((終値!F31:R31&gt;終値!G31:S31)*(終値!F31:R31-終値!G31:S31))/SUMPRODUCT((終値!F31:R31&lt;終値!G31:S31)*(終値!G31:S31-終値!F31:R31))),50)</f>
        <v>46.13807245386193</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3.7529876929941111</v>
      </c>
      <c r="Y68" s="212" t="str">
        <f>IF(AF68="","",AF68&amp;" | "&amp;AD68&amp;IF(AE68&lt;&gt;"なし"," "&amp;AE68,"")&amp;IF(X68&lt;0," MACD-"," MACD+")&amp;" RSI:"&amp;TEXT(W68,"0.0")&amp;IF(W68&gt;=70," [過熱]",IF(W68&lt;=30," [売られ過ぎ]",""))&amp;" 前日比:"&amp;TEXT(Z68,"+0.0;-0.0;0.0")&amp;"%"&amp;IF(V68="年初来安値圏●"," [年初来安値圏]",IF(V68="安値圏"," [安値圏]",""))&amp;IF(OR(AO68="通常",AO68="-"),""," ["&amp;AO68&amp;"]")&amp;IF(OR(AT68="通常",AT68="-"),"","前日["&amp;AT68&amp;"]")&amp;" ["&amp;T68&amp;"点]")</f>
        <v>相場上昇・見送り | 上昇トレンド▲ MACD+ RSI:46.1 前日比:+1.1% [-2点]</v>
      </c>
      <c r="Z68" s="338">
        <f>IF(AND(E68&lt;&gt;"",G68&lt;&gt;"",G68&lt;&gt;0),(E68-G68)/G68*100,"")</f>
        <v>1.0836845273931366</v>
      </c>
      <c r="AA68" s="212" t="str">
        <f>IF(OR(C68="",E68="",E68=0),"",IF(E68&gt;G68,"上昇▲",IF(E68&lt;G68,"下落▼","横ばい→")))</f>
        <v>上昇▲</v>
      </c>
      <c r="AB68" s="333">
        <f>IF(OR(C68="",C68="TOPX",終値!E31=""),"",IFERROR(((終値!E31*0.333)+(終値!F31*0.222)+(終値!G31*0.148)+(終値!H31*0.099)+(終値!I31*0.066))/(0.333+0.222+0.148+0.099+0.066),""))</f>
        <v>1658.3231566820275</v>
      </c>
      <c r="AC68" s="333">
        <f>IF(OR(C68="",C68="TOPX",終値!E31=""),"",IFERROR(SUMPRODUCT((終値!E31:AC31),{0.077,0.071,0.065,0.06,0.055,0.051,0.047,0.043,0.039,0.036,0.033,0.031,0.028,0.026,0.024,0.022,0.02,0.018,0.017,0.016,0.014,0.013,0.012,0.011,0.01})/SUM({0.077,0.071,0.065,0.06,0.055,0.051,0.047,0.043,0.039,0.036,0.033,0.031,0.028,0.026,0.024,0.022,0.02,0.018,0.017,0.016,0.014,0.013,0.012,0.011,0.01}),""))</f>
        <v>1665.0333730631698</v>
      </c>
      <c r="AD68" s="212" t="str">
        <f>IF(OR(C68="",AB68="",AC68="",AB68=0,AC68=0),"",IF(AND(E68&gt;AB68,AB68&gt;AC68),"パーフェクト▲",IF(E68&gt;AC68,"上昇トレンド▲",IF(AND(E68&lt;AB68,AB68&lt;AC68),"下降トレンド▼","もみ合い→"))))</f>
        <v>上昇トレンド▲</v>
      </c>
      <c r="AE68" s="212" t="str">
        <f>IF(OR(C68="",AB68="",AC68=""),"",IF(AND(ABS(E68-AC68)/AC68&lt;=0.02,E68&lt;AC68),"25日戻り売り★",IF(AND(ABS(E68-AB68)/AB68&lt;=0.01,E68&lt;AB68),"5日戻り売り○","なし")))</f>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相場上昇・見送り</v>
      </c>
      <c r="AG68">
        <f>IF(AND(T68&gt;=7,C68&lt;&gt;""),T68,0)</f>
        <v>0</v>
      </c>
      <c r="AH68">
        <f>IF(AG68&gt;0,AG68*10000-ROW(A68),0)</f>
        <v>0</v>
      </c>
      <c r="AI68" s="373">
        <f t="array" ref="AI68">IF(C68="","",IFERROR((INDEX(終値!$E:$E,MATCH(TEXT(C68,"0"),終値!$A:$A,0))-INDEX(終値!$E:$CZ,MATCH(TEXT(C68,"0"),終値!$A:$A,0),$AN$2))/INDEX(終値!$E:$CZ,MATCH(TEXT(C68,"0"),終値!$A:$A,0),$AN$2)*100,""))</f>
        <v>9.7385620915032689</v>
      </c>
      <c r="AJ68" s="373">
        <f t="array" ref="AJ68">IFERROR((終値!$E$5-INDEX(終値!$E$5:$IT$5,1,$AN$2))/INDEX(終値!$E$5:$IT$5,1,$AN$2)*100,"")</f>
        <v>1.0179378228534113</v>
      </c>
      <c r="AK68" s="374">
        <f>IF(OR(AI68="",AJ68=""),"",AI68-AJ68)</f>
        <v>8.720624268649857</v>
      </c>
      <c r="AL68" s="372">
        <f>IF(AK68="","",IF(AK68&lt;-5,3,IF(AK68&lt;0,1,IF(AK68&lt;3,-1,-2))))</f>
        <v>-2</v>
      </c>
      <c r="AO68" s="376" t="str">
        <f>IF(OR($C68="",$E68="",$F68="",$H68="",$I68="",$H68-$I68&lt;=0),"-",IF(AND($H68-MAX($F68,$E68)&gt;=ABS($E68-$F68)*2,MIN($F68,$E68)-$I68&lt;=ABS($E68-$F68)*0.5,ABS($E68-$F68)&gt;0),"上ヒゲ陰線▼",IF(AND($E68&lt;$F68,ABS($E68-$F68)&gt;=($H68-$I68)*0.7),"大陰線▼",IF(AND(MIN($F68,$E68)-$I68&gt;=($H68-$I68)*0.5,$H68-MAX($F68,$E68)&lt;=($H68-$I68)*0.2),"長い下ヒゲ(反発警戒)","通常"))))</f>
        <v>通常</v>
      </c>
      <c r="AP68" s="377">
        <f>IF($AO68="上ヒゲ陰線▼",2,IF($AO68="大陰線▼",2,IF($AO68="長い下ヒゲ(反発警戒)",-2,0)))</f>
        <v>0</v>
      </c>
      <c r="AQ68">
        <f>IF(C68&lt;&gt;"",始値!F31,"")</f>
        <v>1642</v>
      </c>
      <c r="AR68">
        <f>IF(C68&lt;&gt;"",高値!F31,"")</f>
        <v>1666.5</v>
      </c>
      <c r="AS68">
        <f>IF(C68&lt;&gt;"",安値!F31,"")</f>
        <v>1621</v>
      </c>
      <c r="AT68" t="str">
        <f>IF(OR(C68="",AQ68="",AR68="",AS68="",AR68-AS68&lt;=0),"-",IF(AND(AR68-MAX(G68,AQ68)&gt;=ABS(G68-AQ68)*2,MIN(G68,AQ68)-AS68&lt;=ABS(G68-AQ68)*0.5,ABS(G68-AQ68)&gt;0),"上ヒゲ陰線▼",IF(AND(G68&lt;AQ68,ABS(G68-AQ68)&gt;=(AR68-AS68)*0.7),"大陰線▼",IF(AND(MIN(G68,AQ68)-AS68&gt;=(AR68-AS68)*0.5,AR68-MAX(G68,AQ68)&lt;=(AR68-AS68)*0.2),"長い下ヒゲ(反発)","通常"))))</f>
        <v>通常</v>
      </c>
      <c r="AU68">
        <f>IF(AT68="上ヒゲ陰線▼",2,IF(AT68="大陰線▼",2,IF(AT68="長い下ヒゲ(反発)",-2,0)))</f>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3635</v>
      </c>
      <c r="F69" s="326">
        <f>IF(C69&lt;&gt;"",_xll.RssMarket(C69,"始値"),"")</f>
        <v>3627</v>
      </c>
      <c r="G69" s="325">
        <f>IF(C69&lt;&gt;"",終値!F49,"")</f>
        <v>3612</v>
      </c>
      <c r="H69" s="326">
        <f>IF(C69&lt;&gt;"",_xll.RssMarket(C69,"高値"),"")</f>
        <v>3661</v>
      </c>
      <c r="I69" s="326">
        <f>IF(C69&lt;&gt;"",_xll.RssMarket(C69,"安値"),"")</f>
        <v>3614</v>
      </c>
      <c r="J69" s="326">
        <f>IF(C69&lt;&gt;"",_xll.RssMarket(C69,"出来高"),"")</f>
        <v>617900</v>
      </c>
      <c r="K69" s="326">
        <f>IF(C69&lt;&gt;"",_xll.RssMarket(C69,"年初来高値"),"")</f>
        <v>4284</v>
      </c>
      <c r="L69" s="327">
        <f>IF(AND(E69&lt;&gt;"",K69&lt;&gt;"",K69&lt;&gt;0),(E69-K69)/K69*100,"")</f>
        <v>-15.149393090569561</v>
      </c>
      <c r="M69" s="326">
        <f>IF(C69&lt;&gt;"",IFERROR(AVERAGE(出来高!E49:I49),""),"")</f>
        <v>1085400</v>
      </c>
      <c r="N69" s="326">
        <f>IF(C69&lt;&gt;"",IFERROR(AVERAGE(出来高!E49:AC49),""),"")</f>
        <v>670133.33333333337</v>
      </c>
      <c r="O69" s="328">
        <f>IF(AND(J69&lt;&gt;"",M69&lt;&gt;"",M69&lt;&gt;0),J69/M69,"")</f>
        <v>0.56928321356182054</v>
      </c>
      <c r="P69" s="325" t="str">
        <f>IF(O69="","",IF(O69&gt;=2,"急増↑↑",IF(O69&gt;=1.5,"増加↑",IF(O69&gt;=1,"普通→","減少↓"))))</f>
        <v>減少↓</v>
      </c>
      <c r="Q69" s="325" t="str">
        <f>IF(E69="","",IF(AND(E69&lt;G69,O69&gt;=1.5),"売り▼",IF(E69&gt;G69,"様子見▲","中立→")))</f>
        <v>様子見▲</v>
      </c>
      <c r="R69" s="326">
        <f>IF(E69&lt;&gt;"",ROUND(E69*0.92,0),"")</f>
        <v>3344</v>
      </c>
      <c r="S69" s="326">
        <f>IF(E69&lt;&gt;"",ROUND(E69*1.04,0),"")</f>
        <v>3780</v>
      </c>
      <c r="T69" s="325">
        <f>IF(C69="","",IFERROR(IF(W69&gt;=70,3,IF(W69&gt;=60,2,IF(W69&gt;=50,1,0)))+IF(X69&lt;0,2,0)+IF(AD69="下降トレンド▼",3,IF(AD69="もみ合い→",1,0))+IF(V69="年初来安値圏●",3,IF(V69="安値圏",2,0))+IF(Q69="売り▼",2,0)+IF(P69="急増↑↑",2,IF(P69="増加↑",1,0))+IF(Z69&lt;0,1,0)+IF(L69&lt;=-30,2,IF(L69&lt;=-15,1,0))+IF(AE69="25日戻り売り★",2,IF(AE69="5日戻り売り○",1,0))+N(AL69)+N(AP69)+N(AU69),0))</f>
        <v>4</v>
      </c>
      <c r="U69" s="325" t="str">
        <f>IF(T69="","",IF(AND(T69&gt;=3,O69&gt;=1.5),"有効",IF(T69&gt;=3,"要確認","除外")))</f>
        <v>要確認</v>
      </c>
      <c r="V69" s="325" t="str">
        <f>IF(AND(I69&lt;&gt;"",K69&lt;&gt;""),IF(I69&lt;=K69*0.6,"年初来安値圏●",IF(I69&lt;=K69*0.75,"安値圏","通常")),"")</f>
        <v>通常</v>
      </c>
      <c r="W69" s="329">
        <f t="array" ref="W69">IFERROR(100-100/(1+SUMPRODUCT((終値!F49:R49&gt;終値!G49:S49)*(終値!F49:R49-終値!G49:S49))/SUMPRODUCT((終値!F49:R49&lt;終値!G49:S49)*(終値!G49:S49-終値!F49:R49))),50)</f>
        <v>49.441600744532337</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-28.692760678079139</v>
      </c>
      <c r="Y69" s="325" t="str">
        <f>IF(AF69="","",AF69&amp;" | "&amp;AD69&amp;IF(AE69&lt;&gt;"なし"," "&amp;AE69,"")&amp;IF(X69&lt;0," MACD-"," MACD+")&amp;" RSI:"&amp;TEXT(W69,"0.0")&amp;IF(W69&gt;=70," [過熱]",IF(W69&lt;=30," [売られ過ぎ]",""))&amp;" 前日比:"&amp;TEXT(Z69,"+0.0;-0.0;0.0")&amp;"%"&amp;IF(V69="年初来安値圏●"," [年初来安値圏]",IF(V69="安値圏"," [安値圏]",""))&amp;IF(OR(AO69="通常",AO69="-"),""," ["&amp;AO69&amp;"]")&amp;IF(OR(AT69="通常",AT69="-"),"","前日["&amp;AT69&amp;"]")&amp;" ["&amp;T69&amp;"点]")</f>
        <v>相場上昇・見送り | パーフェクト▲ MACD- RSI:49.4 前日比:+0.6% [4点]</v>
      </c>
      <c r="Z69" s="331">
        <f>IF(AND(E69&lt;&gt;"",G69&lt;&gt;"",G69&lt;&gt;0),(E69-G69)/G69*100,"")</f>
        <v>0.63676633444075303</v>
      </c>
      <c r="AA69" s="325" t="str">
        <f>IF(OR(C69="",E69="",E69=0),"",IF(E69&gt;G69,"上昇▲",IF(E69&lt;G69,"下落▼","横ばい→")))</f>
        <v>上昇▲</v>
      </c>
      <c r="AB69" s="326">
        <f>IF(OR(C69="",C69="TOPX",終値!E49=""),"",IFERROR(((終値!E49*0.333)+(終値!F49*0.222)+(終値!G49*0.148)+(終値!H49*0.099)+(終値!I49*0.066))/(0.333+0.222+0.148+0.099+0.066),""))</f>
        <v>3579.1071428571431</v>
      </c>
      <c r="AC69" s="326">
        <f>IF(OR(C69="",C69="TOPX",終値!E49=""),"",IFERROR(SUMPRODUCT((終値!E49:AC49),{0.077,0.071,0.065,0.06,0.055,0.051,0.047,0.043,0.039,0.036,0.033,0.031,0.028,0.026,0.024,0.022,0.02,0.018,0.017,0.016,0.014,0.013,0.012,0.011,0.01})/SUM({0.077,0.071,0.065,0.06,0.055,0.051,0.047,0.043,0.039,0.036,0.033,0.031,0.028,0.026,0.024,0.022,0.02,0.018,0.017,0.016,0.014,0.013,0.012,0.011,0.01}),""))</f>
        <v>3552.7413587604274</v>
      </c>
      <c r="AD69" s="325" t="str">
        <f>IF(OR(C69="",AB69="",AC69="",AB69=0,AC69=0),"",IF(AND(E69&gt;AB69,AB69&gt;AC69),"パーフェクト▲",IF(E69&gt;AC69,"上昇トレンド▲",IF(AND(E69&lt;AB69,AB69&lt;AC69),"下降トレンド▼","もみ合い→"))))</f>
        <v>パーフェクト▲</v>
      </c>
      <c r="AE69" s="325" t="str">
        <f>IF(OR(C69="",AB69="",AC69=""),"",IF(AND(ABS(E69-AC69)/AC69&lt;=0.02,E69&lt;AC69),"25日戻り売り★",IF(AND(ABS(E69-AB69)/AB69&lt;=0.01,E69&lt;AB69),"5日戻り売り○","なし")))</f>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相場上昇・見送り</v>
      </c>
      <c r="AG69">
        <f>IF(AND(T69&gt;=7,C69&lt;&gt;""),T69,0)</f>
        <v>0</v>
      </c>
      <c r="AH69">
        <f>IF(AG69&gt;0,AG69*10000-ROW(A69),0)</f>
        <v>0</v>
      </c>
      <c r="AI69" s="373">
        <f t="array" ref="AI69">IF(C69="","",IFERROR((INDEX(終値!$E:$E,MATCH(TEXT(C69,"0"),終値!$A:$A,0))-INDEX(終値!$E:$CZ,MATCH(TEXT(C69,"0"),終値!$A:$A,0),$AN$2))/INDEX(終値!$E:$CZ,MATCH(TEXT(C69,"0"),終値!$A:$A,0),$AN$2)*100,""))</f>
        <v>-2.859433458043827</v>
      </c>
      <c r="AJ69" s="373">
        <f t="array" ref="AJ69">IFERROR((終値!$E$5-INDEX(終値!$E$5:$IT$5,1,$AN$2))/INDEX(終値!$E$5:$IT$5,1,$AN$2)*100,"")</f>
        <v>1.0179378228534113</v>
      </c>
      <c r="AK69" s="374">
        <f>IF(OR(AI69="",AJ69=""),"",AI69-AJ69)</f>
        <v>-3.877371280897238</v>
      </c>
      <c r="AL69" s="372">
        <f>IF(AK69="","",IF(AK69&lt;-5,3,IF(AK69&lt;0,1,IF(AK69&lt;3,-1,-2))))</f>
        <v>1</v>
      </c>
      <c r="AO69" s="376" t="str">
        <f>IF(OR($C69="",$E69="",$F69="",$H69="",$I69="",$H69-$I69&lt;=0),"-",IF(AND($H69-MAX($F69,$E69)&gt;=ABS($E69-$F69)*2,MIN($F69,$E69)-$I69&lt;=ABS($E69-$F69)*0.5,ABS($E69-$F69)&gt;0),"上ヒゲ陰線▼",IF(AND($E69&lt;$F69,ABS($E69-$F69)&gt;=($H69-$I69)*0.7),"大陰線▼",IF(AND(MIN($F69,$E69)-$I69&gt;=($H69-$I69)*0.5,$H69-MAX($F69,$E69)&lt;=($H69-$I69)*0.2),"長い下ヒゲ(反発警戒)","通常"))))</f>
        <v>通常</v>
      </c>
      <c r="AP69" s="377">
        <f>IF($AO69="上ヒゲ陰線▼",2,IF($AO69="大陰線▼",2,IF($AO69="長い下ヒゲ(反発警戒)",-2,0)))</f>
        <v>0</v>
      </c>
      <c r="AQ69">
        <f>IF(C69&lt;&gt;"",始値!F49,"")</f>
        <v>3516</v>
      </c>
      <c r="AR69">
        <f>IF(C69&lt;&gt;"",高値!F49,"")</f>
        <v>3629</v>
      </c>
      <c r="AS69">
        <f>IF(C69&lt;&gt;"",安値!F49,"")</f>
        <v>3516</v>
      </c>
      <c r="AT69" t="str">
        <f>IF(OR(C69="",AQ69="",AR69="",AS69="",AR69-AS69&lt;=0),"-",IF(AND(AR69-MAX(G69,AQ69)&gt;=ABS(G69-AQ69)*2,MIN(G69,AQ69)-AS69&lt;=ABS(G69-AQ69)*0.5,ABS(G69-AQ69)&gt;0),"上ヒゲ陰線▼",IF(AND(G69&lt;AQ69,ABS(G69-AQ69)&gt;=(AR69-AS69)*0.7),"大陰線▼",IF(AND(MIN(G69,AQ69)-AS69&gt;=(AR69-AS69)*0.5,AR69-MAX(G69,AQ69)&lt;=(AR69-AS69)*0.2),"長い下ヒゲ(反発)","通常"))))</f>
        <v>通常</v>
      </c>
      <c r="AU69">
        <f>IF(AT69="上ヒゲ陰線▼",2,IF(AT69="大陰線▼",2,IF(AT69="長い下ヒゲ(反発)",-2,0)))</f>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6781</v>
      </c>
      <c r="F70" s="333">
        <f>IF(C70&lt;&gt;"",_xll.RssMarket(C70,"始値"),"")</f>
        <v>6700</v>
      </c>
      <c r="G70" s="212">
        <f>IF(C70&lt;&gt;"",終値!F50,"")</f>
        <v>6666</v>
      </c>
      <c r="H70" s="333">
        <f>IF(C70&lt;&gt;"",_xll.RssMarket(C70,"高値"),"")</f>
        <v>6823</v>
      </c>
      <c r="I70" s="333">
        <f>IF(C70&lt;&gt;"",_xll.RssMarket(C70,"安値"),"")</f>
        <v>6681</v>
      </c>
      <c r="J70" s="333">
        <f>IF(C70&lt;&gt;"",_xll.RssMarket(C70,"出来高"),"")</f>
        <v>10686000</v>
      </c>
      <c r="K70" s="333">
        <f>IF(C70&lt;&gt;"",_xll.RssMarket(C70,"年初来高値"),"")</f>
        <v>7260</v>
      </c>
      <c r="L70" s="334">
        <f>IF(AND(E70&lt;&gt;"",K70&lt;&gt;"",K70&lt;&gt;0),(E70-K70)/K70*100,"")</f>
        <v>-6.5977961432506893</v>
      </c>
      <c r="M70" s="333">
        <f>IF(C70&lt;&gt;"",IFERROR(AVERAGE(出来高!E50:I50),""),"")</f>
        <v>14272960</v>
      </c>
      <c r="N70" s="333">
        <f>IF(C70&lt;&gt;"",IFERROR(AVERAGE(出来高!E50:AC50),""),"")</f>
        <v>12951480</v>
      </c>
      <c r="O70" s="335">
        <f>IF(AND(J70&lt;&gt;"",M70&lt;&gt;"",M70&lt;&gt;0),J70/M70,"")</f>
        <v>0.74868842902943744</v>
      </c>
      <c r="P70" s="212" t="str">
        <f>IF(O70="","",IF(O70&gt;=2,"急増↑↑",IF(O70&gt;=1.5,"増加↑",IF(O70&gt;=1,"普通→","減少↓"))))</f>
        <v>減少↓</v>
      </c>
      <c r="Q70" s="212" t="str">
        <f>IF(E70="","",IF(AND(E70&lt;G70,O70&gt;=1.5),"売り▼",IF(E70&gt;G70,"様子見▲","中立→")))</f>
        <v>様子見▲</v>
      </c>
      <c r="R70" s="333">
        <f>IF(E70&lt;&gt;"",ROUND(E70*0.92,0),"")</f>
        <v>6239</v>
      </c>
      <c r="S70" s="333">
        <f>IF(E70&lt;&gt;"",ROUND(E70*1.04,0),"")</f>
        <v>7052</v>
      </c>
      <c r="T70" s="325">
        <f>IF(C70="","",IFERROR(IF(W70&gt;=70,3,IF(W70&gt;=60,2,IF(W70&gt;=50,1,0)))+IF(X70&lt;0,2,0)+IF(AD70="下降トレンド▼",3,IF(AD70="もみ合い→",1,0))+IF(V70="年初来安値圏●",3,IF(V70="安値圏",2,0))+IF(Q70="売り▼",2,0)+IF(P70="急増↑↑",2,IF(P70="増加↑",1,0))+IF(Z70&lt;0,1,0)+IF(L70&lt;=-30,2,IF(L70&lt;=-15,1,0))+IF(AE70="25日戻り売り★",2,IF(AE70="5日戻り売り○",1,0))+N(AL70)+N(AP70)+N(AU70),0))</f>
        <v>3</v>
      </c>
      <c r="U70" s="212" t="str">
        <f>IF(T70="","",IF(AND(T70&gt;=3,O70&gt;=1.5),"有効",IF(T70&gt;=3,"要確認","除外")))</f>
        <v>要確認</v>
      </c>
      <c r="V70" s="212" t="str">
        <f>IF(AND(I70&lt;&gt;"",K70&lt;&gt;""),IF(I70&lt;=K70*0.6,"年初来安値圏●",IF(I70&lt;=K70*0.75,"安値圏","通常")),"")</f>
        <v>通常</v>
      </c>
      <c r="W70" s="336">
        <f t="array" ref="W70">IFERROR(100-100/(1+SUMPRODUCT((終値!F50:R50&gt;終値!G50:S50)*(終値!F50:R50-終値!G50:S50))/SUMPRODUCT((終値!F50:R50&lt;終値!G50:S50)*(終値!G50:S50-終値!F50:R50))),50)</f>
        <v>38.907849829351534</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-15.823542523252399</v>
      </c>
      <c r="Y70" s="212" t="str">
        <f>IF(AF70="","",AF70&amp;" | "&amp;AD70&amp;IF(AE70&lt;&gt;"なし"," "&amp;AE70,"")&amp;IF(X70&lt;0," MACD-"," MACD+")&amp;" RSI:"&amp;TEXT(W70,"0.0")&amp;IF(W70&gt;=70," [過熱]",IF(W70&lt;=30," [売られ過ぎ]",""))&amp;" 前日比:"&amp;TEXT(Z70,"+0.0;-0.0;0.0")&amp;"%"&amp;IF(V70="年初来安値圏●"," [年初来安値圏]",IF(V70="安値圏"," [安値圏]",""))&amp;IF(OR(AO70="通常",AO70="-"),""," ["&amp;AO70&amp;"]")&amp;IF(OR(AT70="通常",AT70="-"),"","前日["&amp;AT70&amp;"]")&amp;" ["&amp;T70&amp;"点]")</f>
        <v>○逆張り売り | もみ合い→ 25日戻り売り★ MACD- RSI:38.9 前日比:+1.7% [3点]</v>
      </c>
      <c r="Z70" s="338">
        <f>IF(AND(E70&lt;&gt;"",G70&lt;&gt;"",G70&lt;&gt;0),(E70-G70)/G70*100,"")</f>
        <v>1.7251725172517254</v>
      </c>
      <c r="AA70" s="212" t="str">
        <f>IF(OR(C70="",E70="",E70=0),"",IF(E70&gt;G70,"上昇▲",IF(E70&lt;G70,"下落▼","横ばい→")))</f>
        <v>上昇▲</v>
      </c>
      <c r="AB70" s="333">
        <f>IF(OR(C70="",C70="TOPX",終値!E50=""),"",IFERROR(((終値!E50*0.333)+(終値!F50*0.222)+(終値!G50*0.148)+(終値!H50*0.099)+(終値!I50*0.066))/(0.333+0.222+0.148+0.099+0.066),""))</f>
        <v>6689.6947004608292</v>
      </c>
      <c r="AC70" s="333">
        <f>IF(OR(C70="",C70="TOPX",終値!E50=""),"",IFERROR(SUMPRODUCT((終値!E50:AC50),{0.077,0.071,0.065,0.06,0.055,0.051,0.047,0.043,0.039,0.036,0.033,0.031,0.028,0.026,0.024,0.022,0.02,0.018,0.017,0.016,0.014,0.013,0.012,0.011,0.01})/SUM({0.077,0.071,0.065,0.06,0.055,0.051,0.047,0.043,0.039,0.036,0.033,0.031,0.028,0.026,0.024,0.022,0.02,0.018,0.017,0.016,0.014,0.013,0.012,0.011,0.01}),""))</f>
        <v>6825.6376638855754</v>
      </c>
      <c r="AD70" s="212" t="str">
        <f>IF(OR(C70="",AB70="",AC70="",AB70=0,AC70=0),"",IF(AND(E70&gt;AB70,AB70&gt;AC70),"パーフェクト▲",IF(E70&gt;AC70,"上昇トレンド▲",IF(AND(E70&lt;AB70,AB70&lt;AC70),"下降トレンド▼","もみ合い→"))))</f>
        <v>もみ合い→</v>
      </c>
      <c r="AE70" s="212" t="str">
        <f>IF(OR(C70="",AB70="",AC70=""),"",IF(AND(ABS(E70-AC70)/AC70&lt;=0.02,E70&lt;AC70),"25日戻り売り★",IF(AND(ABS(E70-AB70)/AB70&lt;=0.01,E70&lt;AB70),"5日戻り売り○","なし")))</f>
        <v>25日戻り売り★</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○逆張り売り</v>
      </c>
      <c r="AG70">
        <f>IF(AND(T70&gt;=7,C70&lt;&gt;""),T70,0)</f>
        <v>0</v>
      </c>
      <c r="AH70">
        <f>IF(AG70&gt;0,AG70*10000-ROW(A70),0)</f>
        <v>0</v>
      </c>
      <c r="AI70" s="373">
        <f t="array" ref="AI70">IF(C70="","",IFERROR((INDEX(終値!$E:$E,MATCH(TEXT(C70,"0"),終値!$A:$A,0))-INDEX(終値!$E:$CZ,MATCH(TEXT(C70,"0"),終値!$A:$A,0),$AN$2))/INDEX(終値!$E:$CZ,MATCH(TEXT(C70,"0"),終値!$A:$A,0),$AN$2)*100,""))</f>
        <v>5.4096067153738536</v>
      </c>
      <c r="AJ70" s="373">
        <f t="array" ref="AJ70">IFERROR((終値!$E$5-INDEX(終値!$E$5:$IT$5,1,$AN$2))/INDEX(終値!$E$5:$IT$5,1,$AN$2)*100,"")</f>
        <v>1.0179378228534113</v>
      </c>
      <c r="AK70" s="374">
        <f>IF(OR(AI70="",AJ70=""),"",AI70-AJ70)</f>
        <v>4.3916688925204426</v>
      </c>
      <c r="AL70" s="372">
        <f>IF(AK70="","",IF(AK70&lt;-5,3,IF(AK70&lt;0,1,IF(AK70&lt;3,-1,-2))))</f>
        <v>-2</v>
      </c>
      <c r="AO70" s="376" t="str">
        <f>IF(OR($C70="",$E70="",$F70="",$H70="",$I70="",$H70-$I70&lt;=0),"-",IF(AND($H70-MAX($F70,$E70)&gt;=ABS($E70-$F70)*2,MIN($F70,$E70)-$I70&lt;=ABS($E70-$F70)*0.5,ABS($E70-$F70)&gt;0),"上ヒゲ陰線▼",IF(AND($E70&lt;$F70,ABS($E70-$F70)&gt;=($H70-$I70)*0.7),"大陰線▼",IF(AND(MIN($F70,$E70)-$I70&gt;=($H70-$I70)*0.5,$H70-MAX($F70,$E70)&lt;=($H70-$I70)*0.2),"長い下ヒゲ(反発警戒)","通常"))))</f>
        <v>通常</v>
      </c>
      <c r="AP70" s="377">
        <f>IF($AO70="上ヒゲ陰線▼",2,IF($AO70="大陰線▼",2,IF($AO70="長い下ヒゲ(反発警戒)",-2,0)))</f>
        <v>0</v>
      </c>
      <c r="AQ70">
        <f>IF(C70&lt;&gt;"",始値!F50,"")</f>
        <v>6560</v>
      </c>
      <c r="AR70">
        <f>IF(C70&lt;&gt;"",高値!F50,"")</f>
        <v>6670</v>
      </c>
      <c r="AS70">
        <f>IF(C70&lt;&gt;"",安値!F50,"")</f>
        <v>6474</v>
      </c>
      <c r="AT70" t="str">
        <f>IF(OR(C70="",AQ70="",AR70="",AS70="",AR70-AS70&lt;=0),"-",IF(AND(AR70-MAX(G70,AQ70)&gt;=ABS(G70-AQ70)*2,MIN(G70,AQ70)-AS70&lt;=ABS(G70-AQ70)*0.5,ABS(G70-AQ70)&gt;0),"上ヒゲ陰線▼",IF(AND(G70&lt;AQ70,ABS(G70-AQ70)&gt;=(AR70-AS70)*0.7),"大陰線▼",IF(AND(MIN(G70,AQ70)-AS70&gt;=(AR70-AS70)*0.5,AR70-MAX(G70,AQ70)&lt;=(AR70-AS70)*0.2),"長い下ヒゲ(反発)","通常"))))</f>
        <v>通常</v>
      </c>
      <c r="AU70">
        <f>IF(AT70="上ヒゲ陰線▼",2,IF(AT70="大陰線▼",2,IF(AT70="長い下ヒゲ(反発)",-2,0)))</f>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4250</v>
      </c>
      <c r="F71" s="326">
        <f>IF(C71&lt;&gt;"",_xll.RssMarket(C71,"始値"),"")</f>
        <v>4188</v>
      </c>
      <c r="G71" s="325">
        <f>IF(C71&lt;&gt;"",終値!F55,"")</f>
        <v>4239</v>
      </c>
      <c r="H71" s="326">
        <f>IF(C71&lt;&gt;"",_xll.RssMarket(C71,"高値"),"")</f>
        <v>4302</v>
      </c>
      <c r="I71" s="326">
        <f>IF(C71&lt;&gt;"",_xll.RssMarket(C71,"安値"),"")</f>
        <v>4170</v>
      </c>
      <c r="J71" s="326">
        <f>IF(C71&lt;&gt;"",_xll.RssMarket(C71,"出来高"),"")</f>
        <v>383400</v>
      </c>
      <c r="K71" s="326">
        <f>IF(C71&lt;&gt;"",_xll.RssMarket(C71,"年初来高値"),"")</f>
        <v>4404</v>
      </c>
      <c r="L71" s="327">
        <f>IF(AND(E71&lt;&gt;"",K71&lt;&gt;"",K71&lt;&gt;0),(E71-K71)/K71*100,"")</f>
        <v>-3.4968210717529522</v>
      </c>
      <c r="M71" s="326">
        <f>IF(C71&lt;&gt;"",IFERROR(AVERAGE(出来高!E55:I55),""),"")</f>
        <v>290760</v>
      </c>
      <c r="N71" s="326">
        <f>IF(C71&lt;&gt;"",IFERROR(AVERAGE(出来高!E55:AC55),""),"")</f>
        <v>225568</v>
      </c>
      <c r="O71" s="328">
        <f>IF(AND(J71&lt;&gt;"",M71&lt;&gt;"",M71&lt;&gt;0),J71/M71,"")</f>
        <v>1.3186132893107718</v>
      </c>
      <c r="P71" s="325" t="str">
        <f>IF(O71="","",IF(O71&gt;=2,"急増↑↑",IF(O71&gt;=1.5,"増加↑",IF(O71&gt;=1,"普通→","減少↓"))))</f>
        <v>普通→</v>
      </c>
      <c r="Q71" s="325" t="str">
        <f>IF(E71="","",IF(AND(E71&lt;G71,O71&gt;=1.5),"売り▼",IF(E71&gt;G71,"様子見▲","中立→")))</f>
        <v>様子見▲</v>
      </c>
      <c r="R71" s="326">
        <f>IF(E71&lt;&gt;"",ROUND(E71*0.92,0),"")</f>
        <v>3910</v>
      </c>
      <c r="S71" s="326">
        <f>IF(E71&lt;&gt;"",ROUND(E71*1.04,0),"")</f>
        <v>4420</v>
      </c>
      <c r="T71" s="325">
        <f>IF(C71="","",IFERROR(IF(W71&gt;=70,3,IF(W71&gt;=60,2,IF(W71&gt;=50,1,0)))+IF(X71&lt;0,2,0)+IF(AD71="下降トレンド▼",3,IF(AD71="もみ合い→",1,0))+IF(V71="年初来安値圏●",3,IF(V71="安値圏",2,0))+IF(Q71="売り▼",2,0)+IF(P71="急増↑↑",2,IF(P71="増加↑",1,0))+IF(Z71&lt;0,1,0)+IF(L71&lt;=-30,2,IF(L71&lt;=-15,1,0))+IF(AE71="25日戻り売り★",2,IF(AE71="5日戻り売り○",1,0))+N(AL71)+N(AP71)+N(AU71),0))</f>
        <v>0</v>
      </c>
      <c r="U71" s="325" t="str">
        <f>IF(T71="","",IF(AND(T71&gt;=3,O71&gt;=1.5),"有効",IF(T71&gt;=3,"要確認","除外")))</f>
        <v>除外</v>
      </c>
      <c r="V71" s="325" t="str">
        <f>IF(AND(I71&lt;&gt;"",K71&lt;&gt;""),IF(I71&lt;=K71*0.6,"年初来安値圏●",IF(I71&lt;=K71*0.75,"安値圏","通常")),"")</f>
        <v>通常</v>
      </c>
      <c r="W71" s="329">
        <f t="array" ref="W71">IFERROR(100-100/(1+SUMPRODUCT((終値!F55:R55&gt;終値!G55:S55)*(終値!F55:R55-終値!G55:S55))/SUMPRODUCT((終値!F55:R55&lt;終値!G55:S55)*(終値!G55:S55-終値!F55:R55))),50)</f>
        <v>64.887640449438209</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11.794247708357034</v>
      </c>
      <c r="Y71" s="325" t="str">
        <f>IF(AF71="","",AF71&amp;" | "&amp;AD71&amp;IF(AE71&lt;&gt;"なし"," "&amp;AE71,"")&amp;IF(X71&lt;0," MACD-"," MACD+")&amp;" RSI:"&amp;TEXT(W71,"0.0")&amp;IF(W71&gt;=70," [過熱]",IF(W71&lt;=30," [売られ過ぎ]",""))&amp;" 前日比:"&amp;TEXT(Z71,"+0.0;-0.0;0.0")&amp;"%"&amp;IF(V71="年初来安値圏●"," [年初来安値圏]",IF(V71="安値圏"," [安値圏]",""))&amp;IF(OR(AO71="通常",AO71="-"),""," ["&amp;AO71&amp;"]")&amp;IF(OR(AT71="通常",AT71="-"),"","前日["&amp;AT71&amp;"]")&amp;" ["&amp;T71&amp;"点]")</f>
        <v>相場上昇・見送り | パーフェクト▲ MACD+ RSI:64.9 前日比:+0.3% [0点]</v>
      </c>
      <c r="Z71" s="331">
        <f>IF(AND(E71&lt;&gt;"",G71&lt;&gt;"",G71&lt;&gt;0),(E71-G71)/G71*100,"")</f>
        <v>0.25949516395376265</v>
      </c>
      <c r="AA71" s="325" t="str">
        <f>IF(OR(C71="",E71="",E71=0),"",IF(E71&gt;G71,"上昇▲",IF(E71&lt;G71,"下落▼","横ばい→")))</f>
        <v>上昇▲</v>
      </c>
      <c r="AB71" s="326">
        <f>IF(OR(C71="",C71="TOPX",終値!E55=""),"",IFERROR(((終値!E55*0.333)+(終値!F55*0.222)+(終値!G55*0.148)+(終値!H55*0.099)+(終値!I55*0.066))/(0.333+0.222+0.148+0.099+0.066),""))</f>
        <v>4162.4573732718891</v>
      </c>
      <c r="AC71" s="326">
        <f>IF(OR(C71="",C71="TOPX",終値!E55=""),"",IFERROR(SUMPRODUCT((終値!E55:AC55),{0.077,0.071,0.065,0.06,0.055,0.051,0.047,0.043,0.039,0.036,0.033,0.031,0.028,0.026,0.024,0.022,0.02,0.018,0.017,0.016,0.014,0.013,0.012,0.011,0.01})/SUM({0.077,0.071,0.065,0.06,0.055,0.051,0.047,0.043,0.039,0.036,0.033,0.031,0.028,0.026,0.024,0.022,0.02,0.018,0.017,0.016,0.014,0.013,0.012,0.011,0.01}),""))</f>
        <v>4108.8343265792591</v>
      </c>
      <c r="AD71" s="325" t="str">
        <f>IF(OR(C71="",AB71="",AC71="",AB71=0,AC71=0),"",IF(AND(E71&gt;AB71,AB71&gt;AC71),"パーフェクト▲",IF(E71&gt;AC71,"上昇トレンド▲",IF(AND(E71&lt;AB71,AB71&lt;AC71),"下降トレンド▼","もみ合い→"))))</f>
        <v>パーフェクト▲</v>
      </c>
      <c r="AE71" s="325" t="str">
        <f>IF(OR(C71="",AB71="",AC71=""),"",IF(AND(ABS(E71-AC71)/AC71&lt;=0.02,E71&lt;AC71),"25日戻り売り★",IF(AND(ABS(E71-AB71)/AB71&lt;=0.01,E71&lt;AB71),"5日戻り売り○","なし")))</f>
        <v>なし</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相場上昇・見送り</v>
      </c>
      <c r="AG71">
        <f>IF(AND(T71&gt;=7,C71&lt;&gt;""),T71,0)</f>
        <v>0</v>
      </c>
      <c r="AH71">
        <f>IF(AG71&gt;0,AG71*10000-ROW(A71),0)</f>
        <v>0</v>
      </c>
      <c r="AI71" s="373">
        <f t="array" ref="AI71">IF(C71="","",IFERROR((INDEX(終値!$E:$E,MATCH(TEXT(C71,"0"),終値!$A:$A,0))-INDEX(終値!$E:$CZ,MATCH(TEXT(C71,"0"),終値!$A:$A,0),$AN$2))/INDEX(終値!$E:$CZ,MATCH(TEXT(C71,"0"),終値!$A:$A,0),$AN$2)*100,""))</f>
        <v>4.192203971561657</v>
      </c>
      <c r="AJ71" s="373">
        <f t="array" ref="AJ71">IFERROR((終値!$E$5-INDEX(終値!$E$5:$IT$5,1,$AN$2))/INDEX(終値!$E$5:$IT$5,1,$AN$2)*100,"")</f>
        <v>1.0179378228534113</v>
      </c>
      <c r="AK71" s="374">
        <f>IF(OR(AI71="",AJ71=""),"",AI71-AJ71)</f>
        <v>3.174266148708246</v>
      </c>
      <c r="AL71" s="372">
        <f>IF(AK71="","",IF(AK71&lt;-5,3,IF(AK71&lt;0,1,IF(AK71&lt;3,-1,-2))))</f>
        <v>-2</v>
      </c>
      <c r="AO71" s="376" t="str">
        <f>IF(OR($C71="",$E71="",$F71="",$H71="",$I71="",$H71-$I71&lt;=0),"-",IF(AND($H71-MAX($F71,$E71)&gt;=ABS($E71-$F71)*2,MIN($F71,$E71)-$I71&lt;=ABS($E71-$F71)*0.5,ABS($E71-$F71)&gt;0),"上ヒゲ陰線▼",IF(AND($E71&lt;$F71,ABS($E71-$F71)&gt;=($H71-$I71)*0.7),"大陰線▼",IF(AND(MIN($F71,$E71)-$I71&gt;=($H71-$I71)*0.5,$H71-MAX($F71,$E71)&lt;=($H71-$I71)*0.2),"長い下ヒゲ(反発警戒)","通常"))))</f>
        <v>通常</v>
      </c>
      <c r="AP71" s="377">
        <f>IF($AO71="上ヒゲ陰線▼",2,IF($AO71="大陰線▼",2,IF($AO71="長い下ヒゲ(反発警戒)",-2,0)))</f>
        <v>0</v>
      </c>
      <c r="AQ71">
        <f>IF(C71&lt;&gt;"",始値!F55,"")</f>
        <v>4000</v>
      </c>
      <c r="AR71">
        <f>IF(C71&lt;&gt;"",高値!F55,"")</f>
        <v>4305</v>
      </c>
      <c r="AS71">
        <f>IF(C71&lt;&gt;"",安値!F55,"")</f>
        <v>3990</v>
      </c>
      <c r="AT71" t="str">
        <f>IF(OR(C71="",AQ71="",AR71="",AS71="",AR71-AS71&lt;=0),"-",IF(AND(AR71-MAX(G71,AQ71)&gt;=ABS(G71-AQ71)*2,MIN(G71,AQ71)-AS71&lt;=ABS(G71-AQ71)*0.5,ABS(G71-AQ71)&gt;0),"上ヒゲ陰線▼",IF(AND(G71&lt;AQ71,ABS(G71-AQ71)&gt;=(AR71-AS71)*0.7),"大陰線▼",IF(AND(MIN(G71,AQ71)-AS71&gt;=(AR71-AS71)*0.5,AR71-MAX(G71,AQ71)&lt;=(AR71-AS71)*0.2),"長い下ヒゲ(反発)","通常"))))</f>
        <v>通常</v>
      </c>
      <c r="AU71">
        <f>IF(AT71="上ヒゲ陰線▼",2,IF(AT71="大陰線▼",2,IF(AT71="長い下ヒゲ(反発)",-2,0)))</f>
        <v>0</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3096</v>
      </c>
      <c r="F72" s="333">
        <f>IF(C72&lt;&gt;"",_xll.RssMarket(C72,"始値"),"")</f>
        <v>3151</v>
      </c>
      <c r="G72" s="212">
        <f>IF(C72&lt;&gt;"",終値!F69,"")</f>
        <v>3291</v>
      </c>
      <c r="H72" s="333">
        <f>IF(C72&lt;&gt;"",_xll.RssMarket(C72,"高値"),"")</f>
        <v>3263</v>
      </c>
      <c r="I72" s="333">
        <f>IF(C72&lt;&gt;"",_xll.RssMarket(C72,"安値"),"")</f>
        <v>3056</v>
      </c>
      <c r="J72" s="333">
        <f>IF(C72&lt;&gt;"",_xll.RssMarket(C72,"出来高"),"")</f>
        <v>3146400</v>
      </c>
      <c r="K72" s="333">
        <f>IF(C72&lt;&gt;"",_xll.RssMarket(C72,"年初来高値"),"")</f>
        <v>5228</v>
      </c>
      <c r="L72" s="334">
        <f>IF(AND(E72&lt;&gt;"",K72&lt;&gt;"",K72&lt;&gt;0),(E72-K72)/K72*100,"")</f>
        <v>-40.780413159908186</v>
      </c>
      <c r="M72" s="333">
        <f>IF(C72&lt;&gt;"",IFERROR(AVERAGE(出来高!E69:I69),""),"")</f>
        <v>2912260</v>
      </c>
      <c r="N72" s="333">
        <f>IF(C72&lt;&gt;"",IFERROR(AVERAGE(出来高!E69:AC69),""),"")</f>
        <v>1896376</v>
      </c>
      <c r="O72" s="335">
        <f>IF(AND(J72&lt;&gt;"",M72&lt;&gt;"",M72&lt;&gt;0),J72/M72,"")</f>
        <v>1.0803980413836676</v>
      </c>
      <c r="P72" s="212" t="str">
        <f>IF(O72="","",IF(O72&gt;=2,"急増↑↑",IF(O72&gt;=1.5,"増加↑",IF(O72&gt;=1,"普通→","減少↓"))))</f>
        <v>普通→</v>
      </c>
      <c r="Q72" s="212" t="str">
        <f>IF(E72="","",IF(AND(E72&lt;G72,O72&gt;=1.5),"売り▼",IF(E72&gt;G72,"様子見▲","中立→")))</f>
        <v>中立→</v>
      </c>
      <c r="R72" s="333">
        <f>IF(E72&lt;&gt;"",ROUND(E72*0.92,0),"")</f>
        <v>2848</v>
      </c>
      <c r="S72" s="333">
        <f>IF(E72&lt;&gt;"",ROUND(E72*1.04,0),"")</f>
        <v>3220</v>
      </c>
      <c r="T72" s="325">
        <f>IF(C72="","",IFERROR(IF(W72&gt;=70,3,IF(W72&gt;=60,2,IF(W72&gt;=50,1,0)))+IF(X72&lt;0,2,0)+IF(AD72="下降トレンド▼",3,IF(AD72="もみ合い→",1,0))+IF(V72="年初来安値圏●",3,IF(V72="安値圏",2,0))+IF(Q72="売り▼",2,0)+IF(P72="急増↑↑",2,IF(P72="増加↑",1,0))+IF(Z72&lt;0,1,0)+IF(L72&lt;=-30,2,IF(L72&lt;=-15,1,0))+IF(AE72="25日戻り売り★",2,IF(AE72="5日戻り売り○",1,0))+N(AL72)+N(AP72)+N(AU72),0))</f>
        <v>14</v>
      </c>
      <c r="U72" s="212" t="str">
        <f>IF(T72="","",IF(AND(T72&gt;=3,O72&gt;=1.5),"有効",IF(T72&gt;=3,"要確認","除外")))</f>
        <v>要確認</v>
      </c>
      <c r="V72" s="212" t="str">
        <f>IF(AND(I72&lt;&gt;"",K72&lt;&gt;""),IF(I72&lt;=K72*0.6,"年初来安値圏●",IF(I72&lt;=K72*0.75,"安値圏","通常")),"")</f>
        <v>年初来安値圏●</v>
      </c>
      <c r="W72" s="336">
        <f t="array" ref="W72">IFERROR(100-100/(1+SUMPRODUCT((終値!F69:R69&gt;終値!G69:S69)*(終値!F69:R69-終値!G69:S69))/SUMPRODUCT((終値!F69:R69&lt;終値!G69:S69)*(終値!G69:S69-終値!F69:R69))),50)</f>
        <v>32.526881720430111</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-97.420338800901391</v>
      </c>
      <c r="Y72" s="212" t="str">
        <f>IF(AF72="","",AF72&amp;" | "&amp;AD72&amp;IF(AE72&lt;&gt;"なし"," "&amp;AE72,"")&amp;IF(X72&lt;0," MACD-"," MACD+")&amp;" RSI:"&amp;TEXT(W72,"0.0")&amp;IF(W72&gt;=70," [過熱]",IF(W72&lt;=30," [売られ過ぎ]",""))&amp;" 前日比:"&amp;TEXT(Z72,"+0.0;-0.0;0.0")&amp;"%"&amp;IF(V72="年初来安値圏●"," [年初来安値圏]",IF(V72="安値圏"," [安値圏]",""))&amp;IF(OR(AO72="通常",AO72="-"),""," ["&amp;AO72&amp;"]")&amp;IF(OR(AT72="通常",AT72="-"),"","前日["&amp;AT72&amp;"]")&amp;" ["&amp;T72&amp;"点]")</f>
        <v>相場上昇・見送り | 下降トレンド▼ MACD- RSI:32.5 前日比:-5.9% [年初来安値圏] [14点]</v>
      </c>
      <c r="Z72" s="338">
        <f>IF(AND(E72&lt;&gt;"",G72&lt;&gt;"",G72&lt;&gt;0),(E72-G72)/G72*100,"")</f>
        <v>-5.9252506836827719</v>
      </c>
      <c r="AA72" s="212" t="str">
        <f>IF(OR(C72="",E72="",E72=0),"",IF(E72&gt;G72,"上昇▲",IF(E72&lt;G72,"下落▼","横ばい→")))</f>
        <v>下落▼</v>
      </c>
      <c r="AB72" s="333">
        <f>IF(OR(C72="",C72="TOPX",終値!E69=""),"",IFERROR(((終値!E69*0.333)+(終値!F69*0.222)+(終値!G69*0.148)+(終値!H69*0.099)+(終値!I69*0.066))/(0.333+0.222+0.148+0.099+0.066),""))</f>
        <v>3248.2142857142853</v>
      </c>
      <c r="AC72" s="333">
        <f>IF(OR(C72="",C72="TOPX",終値!E69=""),"",IFERROR(SUMPRODUCT((終値!E69:AC69),{0.077,0.071,0.065,0.06,0.055,0.051,0.047,0.043,0.039,0.036,0.033,0.031,0.028,0.026,0.024,0.022,0.02,0.018,0.017,0.016,0.014,0.013,0.012,0.011,0.01})/SUM({0.077,0.071,0.065,0.06,0.055,0.051,0.047,0.043,0.039,0.036,0.033,0.031,0.028,0.026,0.024,0.022,0.02,0.018,0.017,0.016,0.014,0.013,0.012,0.011,0.01}),""))</f>
        <v>3508.3861740166853</v>
      </c>
      <c r="AD72" s="212" t="str">
        <f>IF(OR(C72="",AB72="",AC72="",AB72=0,AC72=0),"",IF(AND(E72&gt;AB72,AB72&gt;AC72),"パーフェクト▲",IF(E72&gt;AC72,"上昇トレンド▲",IF(AND(E72&lt;AB72,AB72&lt;AC72),"下降トレンド▼","もみ合い→"))))</f>
        <v>下降トレンド▼</v>
      </c>
      <c r="AE72" s="212" t="str">
        <f>IF(OR(C72="",AB72="",AC72=""),"",IF(AND(ABS(E72-AC72)/AC72&lt;=0.02,E72&lt;AC72),"25日戻り売り★",IF(AND(ABS(E72-AB72)/AB72&lt;=0.01,E72&lt;AB72),"5日戻り売り○","なし")))</f>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相場上昇・見送り</v>
      </c>
      <c r="AG72">
        <f>IF(AND(T72&gt;=7,C72&lt;&gt;""),T72,0)</f>
        <v>14</v>
      </c>
      <c r="AH72">
        <f>IF(AG72&gt;0,AG72*10000-ROW(A72),0)</f>
        <v>139928</v>
      </c>
      <c r="AI72" s="373">
        <f t="array" ref="AI72">IF(C72="","",IFERROR((INDEX(終値!$E:$E,MATCH(TEXT(C72,"0"),終値!$A:$A,0))-INDEX(終値!$E:$CZ,MATCH(TEXT(C72,"0"),終値!$A:$A,0),$AN$2))/INDEX(終値!$E:$CZ,MATCH(TEXT(C72,"0"),終値!$A:$A,0),$AN$2)*100,""))</f>
        <v>-26.33832976445396</v>
      </c>
      <c r="AJ72" s="373">
        <f t="array" ref="AJ72">IFERROR((終値!$E$5-INDEX(終値!$E$5:$IT$5,1,$AN$2))/INDEX(終値!$E$5:$IT$5,1,$AN$2)*100,"")</f>
        <v>1.0179378228534113</v>
      </c>
      <c r="AK72" s="374">
        <f>IF(OR(AI72="",AJ72=""),"",AI72-AJ72)</f>
        <v>-27.356267587307372</v>
      </c>
      <c r="AL72" s="372">
        <f>IF(AK72="","",IF(AK72&lt;-5,3,IF(AK72&lt;0,1,IF(AK72&lt;3,-1,-2))))</f>
        <v>3</v>
      </c>
      <c r="AO72" s="376" t="str">
        <f>IF(OR($C72="",$E72="",$F72="",$H72="",$I72="",$H72-$I72&lt;=0),"-",IF(AND($H72-MAX($F72,$E72)&gt;=ABS($E72-$F72)*2,MIN($F72,$E72)-$I72&lt;=ABS($E72-$F72)*0.5,ABS($E72-$F72)&gt;0),"上ヒゲ陰線▼",IF(AND($E72&lt;$F72,ABS($E72-$F72)&gt;=($H72-$I72)*0.7),"大陰線▼",IF(AND(MIN($F72,$E72)-$I72&gt;=($H72-$I72)*0.5,$H72-MAX($F72,$E72)&lt;=($H72-$I72)*0.2),"長い下ヒゲ(反発警戒)","通常"))))</f>
        <v>通常</v>
      </c>
      <c r="AP72" s="377">
        <f>IF($AO72="上ヒゲ陰線▼",2,IF($AO72="大陰線▼",2,IF($AO72="長い下ヒゲ(反発警戒)",-2,0)))</f>
        <v>0</v>
      </c>
      <c r="AQ72">
        <f>IF(C72&lt;&gt;"",始値!F69,"")</f>
        <v>3271</v>
      </c>
      <c r="AR72">
        <f>IF(C72&lt;&gt;"",高値!F69,"")</f>
        <v>3349</v>
      </c>
      <c r="AS72">
        <f>IF(C72&lt;&gt;"",安値!F69,"")</f>
        <v>3170</v>
      </c>
      <c r="AT72" t="str">
        <f>IF(OR(C72="",AQ72="",AR72="",AS72="",AR72-AS72&lt;=0),"-",IF(AND(AR72-MAX(G72,AQ72)&gt;=ABS(G72-AQ72)*2,MIN(G72,AQ72)-AS72&lt;=ABS(G72-AQ72)*0.5,ABS(G72-AQ72)&gt;0),"上ヒゲ陰線▼",IF(AND(G72&lt;AQ72,ABS(G72-AQ72)&gt;=(AR72-AS72)*0.7),"大陰線▼",IF(AND(MIN(G72,AQ72)-AS72&gt;=(AR72-AS72)*0.5,AR72-MAX(G72,AQ72)&lt;=(AR72-AS72)*0.2),"長い下ヒゲ(反発)","通常"))))</f>
        <v>通常</v>
      </c>
      <c r="AU72">
        <f>IF(AT72="上ヒゲ陰線▼",2,IF(AT72="大陰線▼",2,IF(AT72="長い下ヒゲ(反発)",-2,0)))</f>
        <v>0</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2983.5</v>
      </c>
      <c r="F73" s="326">
        <f>IF(C73&lt;&gt;"",_xll.RssMarket(C73,"始値"),"")</f>
        <v>2930</v>
      </c>
      <c r="G73" s="325">
        <f>IF(C73&lt;&gt;"",終値!F77,"")</f>
        <v>2914.5</v>
      </c>
      <c r="H73" s="326">
        <f>IF(C73&lt;&gt;"",_xll.RssMarket(C73,"高値"),"")</f>
        <v>2993.5</v>
      </c>
      <c r="I73" s="326">
        <f>IF(C73&lt;&gt;"",_xll.RssMarket(C73,"安値"),"")</f>
        <v>2918</v>
      </c>
      <c r="J73" s="326">
        <f>IF(C73&lt;&gt;"",_xll.RssMarket(C73,"出来高"),"")</f>
        <v>31969900</v>
      </c>
      <c r="K73" s="326">
        <f>IF(C73&lt;&gt;"",_xll.RssMarket(C73,"年初来高値"),"")</f>
        <v>4000</v>
      </c>
      <c r="L73" s="327">
        <f>IF(AND(E73&lt;&gt;"",K73&lt;&gt;"",K73&lt;&gt;0),(E73-K73)/K73*100,"")</f>
        <v>-25.412499999999998</v>
      </c>
      <c r="M73" s="326">
        <f>IF(C73&lt;&gt;"",IFERROR(AVERAGE(出来高!E77:I77),""),"")</f>
        <v>46197340</v>
      </c>
      <c r="N73" s="326">
        <f>IF(C73&lt;&gt;"",IFERROR(AVERAGE(出来高!E77:AC77),""),"")</f>
        <v>34860832</v>
      </c>
      <c r="O73" s="328">
        <f>IF(AND(J73&lt;&gt;"",M73&lt;&gt;"",M73&lt;&gt;0),J73/M73,"")</f>
        <v>0.69202902158435964</v>
      </c>
      <c r="P73" s="325" t="str">
        <f>IF(O73="","",IF(O73&gt;=2,"急増↑↑",IF(O73&gt;=1.5,"増加↑",IF(O73&gt;=1,"普通→","減少↓"))))</f>
        <v>減少↓</v>
      </c>
      <c r="Q73" s="325" t="str">
        <f>IF(E73="","",IF(AND(E73&lt;G73,O73&gt;=1.5),"売り▼",IF(E73&gt;G73,"様子見▲","中立→")))</f>
        <v>様子見▲</v>
      </c>
      <c r="R73" s="326">
        <f>IF(E73&lt;&gt;"",ROUND(E73*0.92,0),"")</f>
        <v>2745</v>
      </c>
      <c r="S73" s="326">
        <f>IF(E73&lt;&gt;"",ROUND(E73*1.04,0),"")</f>
        <v>3103</v>
      </c>
      <c r="T73" s="325">
        <f>IF(C73="","",IFERROR(IF(W73&gt;=70,3,IF(W73&gt;=60,2,IF(W73&gt;=50,1,0)))+IF(X73&lt;0,2,0)+IF(AD73="下降トレンド▼",3,IF(AD73="もみ合い→",1,0))+IF(V73="年初来安値圏●",3,IF(V73="安値圏",2,0))+IF(Q73="売り▼",2,0)+IF(P73="急増↑↑",2,IF(P73="増加↑",1,0))+IF(Z73&lt;0,1,0)+IF(L73&lt;=-30,2,IF(L73&lt;=-15,1,0))+IF(AE73="25日戻り売り★",2,IF(AE73="5日戻り売り○",1,0))+N(AL73)+N(AP73)+N(AU73),0))</f>
        <v>0</v>
      </c>
      <c r="U73" s="325" t="str">
        <f>IF(T73="","",IF(AND(T73&gt;=3,O73&gt;=1.5),"有効",IF(T73&gt;=3,"要確認","除外")))</f>
        <v>除外</v>
      </c>
      <c r="V73" s="325" t="str">
        <f>IF(AND(I73&lt;&gt;"",K73&lt;&gt;""),IF(I73&lt;=K73*0.6,"年初来安値圏●",IF(I73&lt;=K73*0.75,"安値圏","通常")),"")</f>
        <v>安値圏</v>
      </c>
      <c r="W73" s="329">
        <f t="array" ref="W73">IFERROR(100-100/(1+SUMPRODUCT((終値!F77:R77&gt;終値!G77:S77)*(終値!F77:R77-終値!G77:S77))/SUMPRODUCT((終値!F77:R77&lt;終値!G77:S77)*(終値!G77:S77-終値!F77:R77))),50)</f>
        <v>52.516129032258071</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19.566191952683312</v>
      </c>
      <c r="Y73" s="325" t="str">
        <f>IF(AF73="","",AF73&amp;" | "&amp;AD73&amp;IF(AE73&lt;&gt;"なし"," "&amp;AE73,"")&amp;IF(X73&lt;0," MACD-"," MACD+")&amp;" RSI:"&amp;TEXT(W73,"0.0")&amp;IF(W73&gt;=70," [過熱]",IF(W73&lt;=30," [売られ過ぎ]",""))&amp;" 前日比:"&amp;TEXT(Z73,"+0.0;-0.0;0.0")&amp;"%"&amp;IF(V73="年初来安値圏●"," [年初来安値圏]",IF(V73="安値圏"," [安値圏]",""))&amp;IF(OR(AO73="通常",AO73="-"),""," ["&amp;AO73&amp;"]")&amp;IF(OR(AT73="通常",AT73="-"),"","前日["&amp;AT73&amp;"]")&amp;" ["&amp;T73&amp;"点]")</f>
        <v>相場上昇・見送り | 上昇トレンド▲ MACD+ RSI:52.5 前日比:+2.4% [安値圏]前日[長い下ヒゲ(反発)] [0点]</v>
      </c>
      <c r="Z73" s="331">
        <f>IF(AND(E73&lt;&gt;"",G73&lt;&gt;"",G73&lt;&gt;0),(E73-G73)/G73*100,"")</f>
        <v>2.3674729799279466</v>
      </c>
      <c r="AA73" s="325" t="str">
        <f>IF(OR(C73="",E73="",E73=0),"",IF(E73&gt;G73,"上昇▲",IF(E73&lt;G73,"下落▼","横ばい→")))</f>
        <v>上昇▲</v>
      </c>
      <c r="AB73" s="326">
        <f>IF(OR(C73="",C73="TOPX",終値!E77=""),"",IFERROR(((終値!E77*0.333)+(終値!F77*0.222)+(終値!G77*0.148)+(終値!H77*0.099)+(終値!I77*0.066))/(0.333+0.222+0.148+0.099+0.066),""))</f>
        <v>2958.8375576036865</v>
      </c>
      <c r="AC73" s="326">
        <f>IF(OR(C73="",C73="TOPX",終値!E77=""),"",IFERROR(SUMPRODUCT((終値!E77:AC77),{0.077,0.071,0.065,0.06,0.055,0.051,0.047,0.043,0.039,0.036,0.033,0.031,0.028,0.026,0.024,0.022,0.02,0.018,0.017,0.016,0.014,0.013,0.012,0.011,0.01})/SUM({0.077,0.071,0.065,0.06,0.055,0.051,0.047,0.043,0.039,0.036,0.033,0.031,0.028,0.026,0.024,0.022,0.02,0.018,0.017,0.016,0.014,0.013,0.012,0.011,0.01}),""))</f>
        <v>2959.6853396901056</v>
      </c>
      <c r="AD73" s="325" t="str">
        <f>IF(OR(C73="",AB73="",AC73="",AB73=0,AC73=0),"",IF(AND(E73&gt;AB73,AB73&gt;AC73),"パーフェクト▲",IF(E73&gt;AC73,"上昇トレンド▲",IF(AND(E73&lt;AB73,AB73&lt;AC73),"下降トレンド▼","もみ合い→"))))</f>
        <v>上昇トレンド▲</v>
      </c>
      <c r="AE73" s="325" t="str">
        <f>IF(OR(C73="",AB73="",AC73=""),"",IF(AND(ABS(E73-AC73)/AC73&lt;=0.02,E73&lt;AC73),"25日戻り売り★",IF(AND(ABS(E73-AB73)/AB73&lt;=0.01,E73&lt;AB73),"5日戻り売り○","なし")))</f>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相場上昇・見送り</v>
      </c>
      <c r="AG73">
        <f>IF(AND(T73&gt;=7,C73&lt;&gt;""),T73,0)</f>
        <v>0</v>
      </c>
      <c r="AH73">
        <f>IF(AG73&gt;0,AG73*10000-ROW(A73),0)</f>
        <v>0</v>
      </c>
      <c r="AI73" s="373">
        <f t="array" ref="AI73">IF(C73="","",IFERROR((INDEX(終値!$E:$E,MATCH(TEXT(C73,"0"),終値!$A:$A,0))-INDEX(終値!$E:$CZ,MATCH(TEXT(C73,"0"),終値!$A:$A,0),$AN$2))/INDEX(終値!$E:$CZ,MATCH(TEXT(C73,"0"),終値!$A:$A,0),$AN$2)*100,""))</f>
        <v>9.5063314369609095</v>
      </c>
      <c r="AJ73" s="373">
        <f t="array" ref="AJ73">IFERROR((終値!$E$5-INDEX(終値!$E$5:$IT$5,1,$AN$2))/INDEX(終値!$E$5:$IT$5,1,$AN$2)*100,"")</f>
        <v>1.0179378228534113</v>
      </c>
      <c r="AK73" s="374">
        <f>IF(OR(AI73="",AJ73=""),"",AI73-AJ73)</f>
        <v>8.4883936141074976</v>
      </c>
      <c r="AL73" s="372">
        <f>IF(AK73="","",IF(AK73&lt;-5,3,IF(AK73&lt;0,1,IF(AK73&lt;3,-1,-2))))</f>
        <v>-2</v>
      </c>
      <c r="AO73" s="376" t="str">
        <f>IF(OR($C73="",$E73="",$F73="",$H73="",$I73="",$H73-$I73&lt;=0),"-",IF(AND($H73-MAX($F73,$E73)&gt;=ABS($E73-$F73)*2,MIN($F73,$E73)-$I73&lt;=ABS($E73-$F73)*0.5,ABS($E73-$F73)&gt;0),"上ヒゲ陰線▼",IF(AND($E73&lt;$F73,ABS($E73-$F73)&gt;=($H73-$I73)*0.7),"大陰線▼",IF(AND(MIN($F73,$E73)-$I73&gt;=($H73-$I73)*0.5,$H73-MAX($F73,$E73)&lt;=($H73-$I73)*0.2),"長い下ヒゲ(反発警戒)","通常"))))</f>
        <v>通常</v>
      </c>
      <c r="AP73" s="377">
        <f>IF($AO73="上ヒゲ陰線▼",2,IF($AO73="大陰線▼",2,IF($AO73="長い下ヒゲ(反発警戒)",-2,0)))</f>
        <v>0</v>
      </c>
      <c r="AQ73">
        <f>IF(C73&lt;&gt;"",始値!F77,"")</f>
        <v>2903</v>
      </c>
      <c r="AR73">
        <f>IF(C73&lt;&gt;"",高値!F77,"")</f>
        <v>2924.5</v>
      </c>
      <c r="AS73">
        <f>IF(C73&lt;&gt;"",安値!F77,"")</f>
        <v>2869.5</v>
      </c>
      <c r="AT73" t="str">
        <f>IF(OR(C73="",AQ73="",AR73="",AS73="",AR73-AS73&lt;=0),"-",IF(AND(AR73-MAX(G73,AQ73)&gt;=ABS(G73-AQ73)*2,MIN(G73,AQ73)-AS73&lt;=ABS(G73-AQ73)*0.5,ABS(G73-AQ73)&gt;0),"上ヒゲ陰線▼",IF(AND(G73&lt;AQ73,ABS(G73-AQ73)&gt;=(AR73-AS73)*0.7),"大陰線▼",IF(AND(MIN(G73,AQ73)-AS73&gt;=(AR73-AS73)*0.5,AR73-MAX(G73,AQ73)&lt;=(AR73-AS73)*0.2),"長い下ヒゲ(反発)","通常"))))</f>
        <v>長い下ヒゲ(反発)</v>
      </c>
      <c r="AU73">
        <f>IF(AT73="上ヒゲ陰線▼",2,IF(AT73="大陰線▼",2,IF(AT73="長い下ヒゲ(反発)",-2,0)))</f>
        <v>-2</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2226</v>
      </c>
      <c r="F74" s="333">
        <f>IF(C74&lt;&gt;"",_xll.RssMarket(C74,"始値"),"")</f>
        <v>2213</v>
      </c>
      <c r="G74" s="212">
        <f>IF(C74&lt;&gt;"",終値!F89,"")</f>
        <v>2213</v>
      </c>
      <c r="H74" s="333">
        <f>IF(C74&lt;&gt;"",_xll.RssMarket(C74,"高値"),"")</f>
        <v>2253</v>
      </c>
      <c r="I74" s="333">
        <f>IF(C74&lt;&gt;"",_xll.RssMarket(C74,"安値"),"")</f>
        <v>2197</v>
      </c>
      <c r="J74" s="333">
        <f>IF(C74&lt;&gt;"",_xll.RssMarket(C74,"出来高"),"")</f>
        <v>27900</v>
      </c>
      <c r="K74" s="333">
        <f>IF(C74&lt;&gt;"",_xll.RssMarket(C74,"年初来高値"),"")</f>
        <v>2993</v>
      </c>
      <c r="L74" s="334">
        <f>IF(AND(E74&lt;&gt;"",K74&lt;&gt;"",K74&lt;&gt;0),(E74-K74)/K74*100,"")</f>
        <v>-25.626461744069495</v>
      </c>
      <c r="M74" s="333">
        <f>IF(C74&lt;&gt;"",IFERROR(AVERAGE(出来高!E89:I89),""),"")</f>
        <v>33440</v>
      </c>
      <c r="N74" s="333">
        <f>IF(C74&lt;&gt;"",IFERROR(AVERAGE(出来高!E89:AC89),""),"")</f>
        <v>46228</v>
      </c>
      <c r="O74" s="335">
        <f>IF(AND(J74&lt;&gt;"",M74&lt;&gt;"",M74&lt;&gt;0),J74/M74,"")</f>
        <v>0.83433014354066981</v>
      </c>
      <c r="P74" s="212" t="str">
        <f>IF(O74="","",IF(O74&gt;=2,"急増↑↑",IF(O74&gt;=1.5,"増加↑",IF(O74&gt;=1,"普通→","減少↓"))))</f>
        <v>減少↓</v>
      </c>
      <c r="Q74" s="212" t="str">
        <f>IF(E74="","",IF(AND(E74&lt;G74,O74&gt;=1.5),"売り▼",IF(E74&gt;G74,"様子見▲","中立→")))</f>
        <v>様子見▲</v>
      </c>
      <c r="R74" s="333">
        <f>IF(E74&lt;&gt;"",ROUND(E74*0.92,0),"")</f>
        <v>2048</v>
      </c>
      <c r="S74" s="333">
        <f>IF(E74&lt;&gt;"",ROUND(E74*1.04,0),"")</f>
        <v>2315</v>
      </c>
      <c r="T74" s="325">
        <f>IF(C74="","",IFERROR(IF(W74&gt;=70,3,IF(W74&gt;=60,2,IF(W74&gt;=50,1,0)))+IF(X74&lt;0,2,0)+IF(AD74="下降トレンド▼",3,IF(AD74="もみ合い→",1,0))+IF(V74="年初来安値圏●",3,IF(V74="安値圏",2,0))+IF(Q74="売り▼",2,0)+IF(P74="急増↑↑",2,IF(P74="増加↑",1,0))+IF(Z74&lt;0,1,0)+IF(L74&lt;=-30,2,IF(L74&lt;=-15,1,0))+IF(AE74="25日戻り売り★",2,IF(AE74="5日戻り売り○",1,0))+N(AL74)+N(AP74)+N(AU74),0))</f>
        <v>3</v>
      </c>
      <c r="U74" s="212" t="str">
        <f>IF(T74="","",IF(AND(T74&gt;=3,O74&gt;=1.5),"有効",IF(T74&gt;=3,"要確認","除外")))</f>
        <v>要確認</v>
      </c>
      <c r="V74" s="212" t="str">
        <f>IF(AND(I74&lt;&gt;"",K74&lt;&gt;""),IF(I74&lt;=K74*0.6,"年初来安値圏●",IF(I74&lt;=K74*0.75,"安値圏","通常")),"")</f>
        <v>安値圏</v>
      </c>
      <c r="W74" s="336">
        <f t="array" ref="W74">IFERROR(100-100/(1+SUMPRODUCT((終値!F89:R89&gt;終値!G89:S89)*(終値!F89:R89-終値!G89:S89))/SUMPRODUCT((終値!F89:R89&lt;終値!G89:S89)*(終値!G89:S89-終値!F89:R89))),50)</f>
        <v>62.396694214876035</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12.107523115440017</v>
      </c>
      <c r="Y74" s="212" t="str">
        <f>IF(AF74="","",AF74&amp;" | "&amp;AD74&amp;IF(AE74&lt;&gt;"なし"," "&amp;AE74,"")&amp;IF(X74&lt;0," MACD-"," MACD+")&amp;" RSI:"&amp;TEXT(W74,"0.0")&amp;IF(W74&gt;=70," [過熱]",IF(W74&lt;=30," [売られ過ぎ]",""))&amp;" 前日比:"&amp;TEXT(Z74,"+0.0;-0.0;0.0")&amp;"%"&amp;IF(V74="年初来安値圏●"," [年初来安値圏]",IF(V74="安値圏"," [安値圏]",""))&amp;IF(OR(AO74="通常",AO74="-"),""," ["&amp;AO74&amp;"]")&amp;IF(OR(AT74="通常",AT74="-"),"","前日["&amp;AT74&amp;"]")&amp;" ["&amp;T74&amp;"点]")</f>
        <v>相場上昇・見送り | パーフェクト▲ MACD+ RSI:62.4 前日比:+0.6% [安値圏] [3点]</v>
      </c>
      <c r="Z74" s="338">
        <f>IF(AND(E74&lt;&gt;"",G74&lt;&gt;"",G74&lt;&gt;0),(E74-G74)/G74*100,"")</f>
        <v>0.58743786714866697</v>
      </c>
      <c r="AA74" s="212" t="str">
        <f>IF(OR(C74="",E74="",E74=0),"",IF(E74&gt;G74,"上昇▲",IF(E74&lt;G74,"下落▼","横ばい→")))</f>
        <v>上昇▲</v>
      </c>
      <c r="AB74" s="333">
        <f>IF(OR(C74="",C74="TOPX",終値!E89=""),"",IFERROR(((終値!E89*0.333)+(終値!F89*0.222)+(終値!G89*0.148)+(終値!H89*0.099)+(終値!I89*0.066))/(0.333+0.222+0.148+0.099+0.066),""))</f>
        <v>2188.4965437788014</v>
      </c>
      <c r="AC74" s="333">
        <f>IF(OR(C74="",C74="TOPX",終値!E89=""),"",IFERROR(SUMPRODUCT((終値!E89:AC89),{0.077,0.071,0.065,0.06,0.055,0.051,0.047,0.043,0.039,0.036,0.033,0.031,0.028,0.026,0.024,0.022,0.02,0.018,0.017,0.016,0.014,0.013,0.012,0.011,0.01})/SUM({0.077,0.071,0.065,0.06,0.055,0.051,0.047,0.043,0.039,0.036,0.033,0.031,0.028,0.026,0.024,0.022,0.02,0.018,0.017,0.016,0.014,0.013,0.012,0.011,0.01}),""))</f>
        <v>2093.5649582836709</v>
      </c>
      <c r="AD74" s="212" t="str">
        <f>IF(OR(C74="",AB74="",AC74="",AB74=0,AC74=0),"",IF(AND(E74&gt;AB74,AB74&gt;AC74),"パーフェクト▲",IF(E74&gt;AC74,"上昇トレンド▲",IF(AND(E74&lt;AB74,AB74&lt;AC74),"下降トレンド▼","もみ合い→"))))</f>
        <v>パーフェクト▲</v>
      </c>
      <c r="AE74" s="212" t="str">
        <f>IF(OR(C74="",AB74="",AC74=""),"",IF(AND(ABS(E74-AC74)/AC74&lt;=0.02,E74&lt;AC74),"25日戻り売り★",IF(AND(ABS(E74-AB74)/AB74&lt;=0.01,E74&lt;AB74),"5日戻り売り○","なし")))</f>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相場上昇・見送り</v>
      </c>
      <c r="AG74">
        <f>IF(AND(T74&gt;=7,C74&lt;&gt;""),T74,0)</f>
        <v>0</v>
      </c>
      <c r="AH74">
        <f>IF(AG74&gt;0,AG74*10000-ROW(A74),0)</f>
        <v>0</v>
      </c>
      <c r="AI74" s="373">
        <f t="array" ref="AI74">IF(C74="","",IFERROR((INDEX(終値!$E:$E,MATCH(TEXT(C74,"0"),終値!$A:$A,0))-INDEX(終値!$E:$CZ,MATCH(TEXT(C74,"0"),終値!$A:$A,0),$AN$2))/INDEX(終値!$E:$CZ,MATCH(TEXT(C74,"0"),終値!$A:$A,0),$AN$2)*100,""))</f>
        <v>9.5472440944881889</v>
      </c>
      <c r="AJ74" s="373">
        <f t="array" ref="AJ74">IFERROR((終値!$E$5-INDEX(終値!$E$5:$IT$5,1,$AN$2))/INDEX(終値!$E$5:$IT$5,1,$AN$2)*100,"")</f>
        <v>1.0179378228534113</v>
      </c>
      <c r="AK74" s="374">
        <f>IF(OR(AI74="",AJ74=""),"",AI74-AJ74)</f>
        <v>8.5293062716347769</v>
      </c>
      <c r="AL74" s="372">
        <f>IF(AK74="","",IF(AK74&lt;-5,3,IF(AK74&lt;0,1,IF(AK74&lt;3,-1,-2))))</f>
        <v>-2</v>
      </c>
      <c r="AO74" s="376" t="str">
        <f>IF(OR($C74="",$E74="",$F74="",$H74="",$I74="",$H74-$I74&lt;=0),"-",IF(AND($H74-MAX($F74,$E74)&gt;=ABS($E74-$F74)*2,MIN($F74,$E74)-$I74&lt;=ABS($E74-$F74)*0.5,ABS($E74-$F74)&gt;0),"上ヒゲ陰線▼",IF(AND($E74&lt;$F74,ABS($E74-$F74)&gt;=($H74-$I74)*0.7),"大陰線▼",IF(AND(MIN($F74,$E74)-$I74&gt;=($H74-$I74)*0.5,$H74-MAX($F74,$E74)&lt;=($H74-$I74)*0.2),"長い下ヒゲ(反発警戒)","通常"))))</f>
        <v>通常</v>
      </c>
      <c r="AP74" s="377">
        <f>IF($AO74="上ヒゲ陰線▼",2,IF($AO74="大陰線▼",2,IF($AO74="長い下ヒゲ(反発警戒)",-2,0)))</f>
        <v>0</v>
      </c>
      <c r="AQ74">
        <f>IF(C74&lt;&gt;"",始値!F89,"")</f>
        <v>2124</v>
      </c>
      <c r="AR74">
        <f>IF(C74&lt;&gt;"",高値!F89,"")</f>
        <v>2213</v>
      </c>
      <c r="AS74">
        <f>IF(C74&lt;&gt;"",安値!F89,"")</f>
        <v>2120</v>
      </c>
      <c r="AT74" t="str">
        <f>IF(OR(C74="",AQ74="",AR74="",AS74="",AR74-AS74&lt;=0),"-",IF(AND(AR74-MAX(G74,AQ74)&gt;=ABS(G74-AQ74)*2,MIN(G74,AQ74)-AS74&lt;=ABS(G74-AQ74)*0.5,ABS(G74-AQ74)&gt;0),"上ヒゲ陰線▼",IF(AND(G74&lt;AQ74,ABS(G74-AQ74)&gt;=(AR74-AS74)*0.7),"大陰線▼",IF(AND(MIN(G74,AQ74)-AS74&gt;=(AR74-AS74)*0.5,AR74-MAX(G74,AQ74)&lt;=(AR74-AS74)*0.2),"長い下ヒゲ(反発)","通常"))))</f>
        <v>通常</v>
      </c>
      <c r="AU74">
        <f>IF(AT74="上ヒゲ陰線▼",2,IF(AT74="大陰線▼",2,IF(AT74="長い下ヒゲ(反発)",-2,0)))</f>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4498</v>
      </c>
      <c r="F75" s="326">
        <f>IF(C75&lt;&gt;"",_xll.RssMarket(C75,"始値"),"")</f>
        <v>4652</v>
      </c>
      <c r="G75" s="325">
        <f>IF(C75&lt;&gt;"",終値!F97,"")</f>
        <v>4691</v>
      </c>
      <c r="H75" s="326">
        <f>IF(C75&lt;&gt;"",_xll.RssMarket(C75,"高値"),"")</f>
        <v>4736</v>
      </c>
      <c r="I75" s="326">
        <f>IF(C75&lt;&gt;"",_xll.RssMarket(C75,"安値"),"")</f>
        <v>4498</v>
      </c>
      <c r="J75" s="326">
        <f>IF(C75&lt;&gt;"",_xll.RssMarket(C75,"出来高"),"")</f>
        <v>1050400</v>
      </c>
      <c r="K75" s="326">
        <f>IF(C75&lt;&gt;"",_xll.RssMarket(C75,"年初来高値"),"")</f>
        <v>5738</v>
      </c>
      <c r="L75" s="327">
        <f>IF(AND(E75&lt;&gt;"",K75&lt;&gt;"",K75&lt;&gt;0),(E75-K75)/K75*100,"")</f>
        <v>-21.610317183687698</v>
      </c>
      <c r="M75" s="326">
        <f>IF(C75&lt;&gt;"",IFERROR(AVERAGE(出来高!E97:I97),""),"")</f>
        <v>1463180</v>
      </c>
      <c r="N75" s="326">
        <f>IF(C75&lt;&gt;"",IFERROR(AVERAGE(出来高!E97:AC97),""),"")</f>
        <v>1115108</v>
      </c>
      <c r="O75" s="328">
        <f>IF(AND(J75&lt;&gt;"",M75&lt;&gt;"",M75&lt;&gt;0),J75/M75,"")</f>
        <v>0.71788843477904296</v>
      </c>
      <c r="P75" s="325" t="str">
        <f>IF(O75="","",IF(O75&gt;=2,"急増↑↑",IF(O75&gt;=1.5,"増加↑",IF(O75&gt;=1,"普通→","減少↓"))))</f>
        <v>減少↓</v>
      </c>
      <c r="Q75" s="325" t="str">
        <f>IF(E75="","",IF(AND(E75&lt;G75,O75&gt;=1.5),"売り▼",IF(E75&gt;G75,"様子見▲","中立→")))</f>
        <v>中立→</v>
      </c>
      <c r="R75" s="326">
        <f>IF(E75&lt;&gt;"",ROUND(E75*0.92,0),"")</f>
        <v>4138</v>
      </c>
      <c r="S75" s="326">
        <f>IF(E75&lt;&gt;"",ROUND(E75*1.04,0),"")</f>
        <v>4678</v>
      </c>
      <c r="T75" s="325">
        <f>IF(C75="","",IFERROR(IF(W75&gt;=70,3,IF(W75&gt;=60,2,IF(W75&gt;=50,1,0)))+IF(X75&lt;0,2,0)+IF(AD75="下降トレンド▼",3,IF(AD75="もみ合い→",1,0))+IF(V75="年初来安値圏●",3,IF(V75="安値圏",2,0))+IF(Q75="売り▼",2,0)+IF(P75="急増↑↑",2,IF(P75="増加↑",1,0))+IF(Z75&lt;0,1,0)+IF(L75&lt;=-30,2,IF(L75&lt;=-15,1,0))+IF(AE75="25日戻り売り★",2,IF(AE75="5日戻り売り○",1,0))+N(AL75)+N(AP75)+N(AU75),0))</f>
        <v>7</v>
      </c>
      <c r="U75" s="325" t="str">
        <f>IF(T75="","",IF(AND(T75&gt;=3,O75&gt;=1.5),"有効",IF(T75&gt;=3,"要確認","除外")))</f>
        <v>要確認</v>
      </c>
      <c r="V75" s="325" t="str">
        <f>IF(AND(I75&lt;&gt;"",K75&lt;&gt;""),IF(I75&lt;=K75*0.6,"年初来安値圏●",IF(I75&lt;=K75*0.75,"安値圏","通常")),"")</f>
        <v>通常</v>
      </c>
      <c r="W75" s="329">
        <f t="array" ref="W75">IFERROR(100-100/(1+SUMPRODUCT((終値!F97:R97&gt;終値!G97:S97)*(終値!F97:R97-終値!G97:S97))/SUMPRODUCT((終値!F97:R97&lt;終値!G97:S97)*(終値!G97:S97-終値!F97:R97))),50)</f>
        <v>48.451809856083734</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-46.752020984002229</v>
      </c>
      <c r="Y75" s="325" t="str">
        <f>IF(AF75="","",AF75&amp;" | "&amp;AD75&amp;IF(AE75&lt;&gt;"なし"," "&amp;AE75,"")&amp;IF(X75&lt;0," MACD-"," MACD+")&amp;" RSI:"&amp;TEXT(W75,"0.0")&amp;IF(W75&gt;=70," [過熱]",IF(W75&lt;=30," [売られ過ぎ]",""))&amp;" 前日比:"&amp;TEXT(Z75,"+0.0;-0.0;0.0")&amp;"%"&amp;IF(V75="年初来安値圏●"," [年初来安値圏]",IF(V75="安値圏"," [安値圏]",""))&amp;IF(OR(AO75="通常",AO75="-"),""," ["&amp;AO75&amp;"]")&amp;IF(OR(AT75="通常",AT75="-"),"","前日["&amp;AT75&amp;"]")&amp;" ["&amp;T75&amp;"点]")</f>
        <v>相場上昇・見送り | パーフェクト▲ MACD- RSI:48.5 前日比:-4.1% [7点]</v>
      </c>
      <c r="Z75" s="331">
        <f>IF(AND(E75&lt;&gt;"",G75&lt;&gt;"",G75&lt;&gt;0),(E75-G75)/G75*100,"")</f>
        <v>-4.1142613515241955</v>
      </c>
      <c r="AA75" s="325" t="str">
        <f>IF(OR(C75="",E75="",E75=0),"",IF(E75&gt;G75,"上昇▲",IF(E75&lt;G75,"下落▼","横ばい→")))</f>
        <v>下落▼</v>
      </c>
      <c r="AB75" s="326">
        <f>IF(OR(C75="",C75="TOPX",終値!E97=""),"",IFERROR(((終値!E97*0.333)+(終値!F97*0.222)+(終値!G97*0.148)+(終値!H97*0.099)+(終値!I97*0.066))/(0.333+0.222+0.148+0.099+0.066),""))</f>
        <v>4461.5794930875572</v>
      </c>
      <c r="AC75" s="326">
        <f>IF(OR(C75="",C75="TOPX",終値!E97=""),"",IFERROR(SUMPRODUCT((終値!E97:AC97),{0.077,0.071,0.065,0.06,0.055,0.051,0.047,0.043,0.039,0.036,0.033,0.031,0.028,0.026,0.024,0.022,0.02,0.018,0.017,0.016,0.014,0.013,0.012,0.011,0.01})/SUM({0.077,0.071,0.065,0.06,0.055,0.051,0.047,0.043,0.039,0.036,0.033,0.031,0.028,0.026,0.024,0.022,0.02,0.018,0.017,0.016,0.014,0.013,0.012,0.011,0.01}),""))</f>
        <v>4394.3170441001184</v>
      </c>
      <c r="AD75" s="325" t="str">
        <f>IF(OR(C75="",AB75="",AC75="",AB75=0,AC75=0),"",IF(AND(E75&gt;AB75,AB75&gt;AC75),"パーフェクト▲",IF(E75&gt;AC75,"上昇トレンド▲",IF(AND(E75&lt;AB75,AB75&lt;AC75),"下降トレンド▼","もみ合い→"))))</f>
        <v>パーフェクト▲</v>
      </c>
      <c r="AE75" s="325" t="str">
        <f>IF(OR(C75="",AB75="",AC75=""),"",IF(AND(ABS(E75-AC75)/AC75&lt;=0.02,E75&lt;AC75),"25日戻り売り★",IF(AND(ABS(E75-AB75)/AB75&lt;=0.01,E75&lt;AB75),"5日戻り売り○","なし")))</f>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相場上昇・見送り</v>
      </c>
      <c r="AG75">
        <f>IF(AND(T75&gt;=7,C75&lt;&gt;""),T75,0)</f>
        <v>7</v>
      </c>
      <c r="AH75">
        <f>IF(AG75&gt;0,AG75*10000-ROW(A75),0)</f>
        <v>69925</v>
      </c>
      <c r="AI75" s="373">
        <f t="array" ref="AI75">IF(C75="","",IFERROR((INDEX(終値!$E:$E,MATCH(TEXT(C75,"0"),終値!$A:$A,0))-INDEX(終値!$E:$CZ,MATCH(TEXT(C75,"0"),終値!$A:$A,0),$AN$2))/INDEX(終値!$E:$CZ,MATCH(TEXT(C75,"0"),終値!$A:$A,0),$AN$2)*100,""))</f>
        <v>-12.795657231485071</v>
      </c>
      <c r="AJ75" s="373">
        <f t="array" ref="AJ75">IFERROR((終値!$E$5-INDEX(終値!$E$5:$IT$5,1,$AN$2))/INDEX(終値!$E$5:$IT$5,1,$AN$2)*100,"")</f>
        <v>1.0179378228534113</v>
      </c>
      <c r="AK75" s="374">
        <f>IF(OR(AI75="",AJ75=""),"",AI75-AJ75)</f>
        <v>-13.813595054338483</v>
      </c>
      <c r="AL75" s="372">
        <f>IF(AK75="","",IF(AK75&lt;-5,3,IF(AK75&lt;0,1,IF(AK75&lt;3,-1,-2))))</f>
        <v>3</v>
      </c>
      <c r="AO75" s="376" t="str">
        <f>IF(OR($C75="",$E75="",$F75="",$H75="",$I75="",$H75-$I75&lt;=0),"-",IF(AND($H75-MAX($F75,$E75)&gt;=ABS($E75-$F75)*2,MIN($F75,$E75)-$I75&lt;=ABS($E75-$F75)*0.5,ABS($E75-$F75)&gt;0),"上ヒゲ陰線▼",IF(AND($E75&lt;$F75,ABS($E75-$F75)&gt;=($H75-$I75)*0.7),"大陰線▼",IF(AND(MIN($F75,$E75)-$I75&gt;=($H75-$I75)*0.5,$H75-MAX($F75,$E75)&lt;=($H75-$I75)*0.2),"長い下ヒゲ(反発警戒)","通常"))))</f>
        <v>通常</v>
      </c>
      <c r="AP75" s="377">
        <f>IF($AO75="上ヒゲ陰線▼",2,IF($AO75="大陰線▼",2,IF($AO75="長い下ヒゲ(反発警戒)",-2,0)))</f>
        <v>0</v>
      </c>
      <c r="AQ75">
        <f>IF(C75&lt;&gt;"",始値!F97,"")</f>
        <v>4590</v>
      </c>
      <c r="AR75">
        <f>IF(C75&lt;&gt;"",高値!F97,"")</f>
        <v>4720</v>
      </c>
      <c r="AS75">
        <f>IF(C75&lt;&gt;"",安値!F97,"")</f>
        <v>4539</v>
      </c>
      <c r="AT75" t="str">
        <f>IF(OR(C75="",AQ75="",AR75="",AS75="",AR75-AS75&lt;=0),"-",IF(AND(AR75-MAX(G75,AQ75)&gt;=ABS(G75-AQ75)*2,MIN(G75,AQ75)-AS75&lt;=ABS(G75-AQ75)*0.5,ABS(G75-AQ75)&gt;0),"上ヒゲ陰線▼",IF(AND(G75&lt;AQ75,ABS(G75-AQ75)&gt;=(AR75-AS75)*0.7),"大陰線▼",IF(AND(MIN(G75,AQ75)-AS75&gt;=(AR75-AS75)*0.5,AR75-MAX(G75,AQ75)&lt;=(AR75-AS75)*0.2),"長い下ヒゲ(反発)","通常"))))</f>
        <v>通常</v>
      </c>
      <c r="AU75">
        <f>IF(AT75="上ヒゲ陰線▼",2,IF(AT75="大陰線▼",2,IF(AT75="長い下ヒゲ(反発)",-2,0)))</f>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2089</v>
      </c>
      <c r="F76" s="333">
        <f>IF(C76&lt;&gt;"",_xll.RssMarket(C76,"始値"),"")</f>
        <v>2080</v>
      </c>
      <c r="G76" s="212">
        <f>IF(C76&lt;&gt;"",終値!F106,"")</f>
        <v>2050</v>
      </c>
      <c r="H76" s="333">
        <f>IF(C76&lt;&gt;"",_xll.RssMarket(C76,"高値"),"")</f>
        <v>2089</v>
      </c>
      <c r="I76" s="333">
        <f>IF(C76&lt;&gt;"",_xll.RssMarket(C76,"安値"),"")</f>
        <v>2051</v>
      </c>
      <c r="J76" s="333">
        <f>IF(C76&lt;&gt;"",_xll.RssMarket(C76,"出来高"),"")</f>
        <v>1400</v>
      </c>
      <c r="K76" s="333">
        <f>IF(C76&lt;&gt;"",_xll.RssMarket(C76,"年初来高値"),"")</f>
        <v>2539</v>
      </c>
      <c r="L76" s="334">
        <f>IF(AND(E76&lt;&gt;"",K76&lt;&gt;"",K76&lt;&gt;0),(E76-K76)/K76*100,"")</f>
        <v>-17.723513194170934</v>
      </c>
      <c r="M76" s="333">
        <f>IF(C76&lt;&gt;"",IFERROR(AVERAGE(出来高!E106:I106),""),"")</f>
        <v>1480</v>
      </c>
      <c r="N76" s="333">
        <f>IF(C76&lt;&gt;"",IFERROR(AVERAGE(出来高!E106:AC106),""),"")</f>
        <v>1556</v>
      </c>
      <c r="O76" s="335">
        <f>IF(AND(J76&lt;&gt;"",M76&lt;&gt;"",M76&lt;&gt;0),J76/M76,"")</f>
        <v>0.94594594594594594</v>
      </c>
      <c r="P76" s="212" t="str">
        <f>IF(O76="","",IF(O76&gt;=2,"急増↑↑",IF(O76&gt;=1.5,"増加↑",IF(O76&gt;=1,"普通→","減少↓"))))</f>
        <v>減少↓</v>
      </c>
      <c r="Q76" s="212" t="str">
        <f>IF(E76="","",IF(AND(E76&lt;G76,O76&gt;=1.5),"売り▼",IF(E76&gt;G76,"様子見▲","中立→")))</f>
        <v>様子見▲</v>
      </c>
      <c r="R76" s="333">
        <f>IF(E76&lt;&gt;"",ROUND(E76*0.92,0),"")</f>
        <v>1922</v>
      </c>
      <c r="S76" s="333">
        <f>IF(E76&lt;&gt;"",ROUND(E76*1.04,0),"")</f>
        <v>2173</v>
      </c>
      <c r="T76" s="325">
        <f>IF(C76="","",IFERROR(IF(W76&gt;=70,3,IF(W76&gt;=60,2,IF(W76&gt;=50,1,0)))+IF(X76&lt;0,2,0)+IF(AD76="下降トレンド▼",3,IF(AD76="もみ合い→",1,0))+IF(V76="年初来安値圏●",3,IF(V76="安値圏",2,0))+IF(Q76="売り▼",2,0)+IF(P76="急増↑↑",2,IF(P76="増加↑",1,0))+IF(Z76&lt;0,1,0)+IF(L76&lt;=-30,2,IF(L76&lt;=-15,1,0))+IF(AE76="25日戻り売り★",2,IF(AE76="5日戻り売り○",1,0))+N(AL76)+N(AP76)+N(AU76),0))</f>
        <v>0</v>
      </c>
      <c r="U76" s="212" t="str">
        <f>IF(T76="","",IF(AND(T76&gt;=3,O76&gt;=1.5),"有効",IF(T76&gt;=3,"要確認","除外")))</f>
        <v>除外</v>
      </c>
      <c r="V76" s="212" t="str">
        <f>IF(AND(I76&lt;&gt;"",K76&lt;&gt;""),IF(I76&lt;=K76*0.6,"年初来安値圏●",IF(I76&lt;=K76*0.75,"安値圏","通常")),"")</f>
        <v>通常</v>
      </c>
      <c r="W76" s="336">
        <f t="array" ref="W76">IFERROR(100-100/(1+SUMPRODUCT((終値!F106:R106&gt;終値!G106:S106)*(終値!F106:R106-終値!G106:S106))/SUMPRODUCT((終値!F106:R106&lt;終値!G106:S106)*(終値!G106:S106-終値!F106:R106))),50)</f>
        <v>88.059701492537314</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29.961841115432662</v>
      </c>
      <c r="Y76" s="212" t="str">
        <f>IF(AF76="","",AF76&amp;" | "&amp;AD76&amp;IF(AE76&lt;&gt;"なし"," "&amp;AE76,"")&amp;IF(X76&lt;0," MACD-"," MACD+")&amp;" RSI:"&amp;TEXT(W76,"0.0")&amp;IF(W76&gt;=70," [過熱]",IF(W76&lt;=30," [売られ過ぎ]",""))&amp;" 前日比:"&amp;TEXT(Z76,"+0.0;-0.0;0.0")&amp;"%"&amp;IF(V76="年初来安値圏●"," [年初来安値圏]",IF(V76="安値圏"," [安値圏]",""))&amp;IF(OR(AO76="通常",AO76="-"),""," ["&amp;AO76&amp;"]")&amp;IF(OR(AT76="通常",AT76="-"),"","前日["&amp;AT76&amp;"]")&amp;" ["&amp;T76&amp;"点]")</f>
        <v>△過熱・様子見 | パーフェクト▲ MACD+ RSI:88.1 [過熱] 前日比:+1.9% [長い下ヒゲ(反発警戒)] [0点]</v>
      </c>
      <c r="Z76" s="338">
        <f>IF(AND(E76&lt;&gt;"",G76&lt;&gt;"",G76&lt;&gt;0),(E76-G76)/G76*100,"")</f>
        <v>1.9024390243902438</v>
      </c>
      <c r="AA76" s="212" t="str">
        <f>IF(OR(C76="",E76="",E76=0),"",IF(E76&gt;G76,"上昇▲",IF(E76&lt;G76,"下落▼","横ばい→")))</f>
        <v>上昇▲</v>
      </c>
      <c r="AB76" s="333">
        <f>IF(OR(C76="",C76="TOPX",終値!E106=""),"",IFERROR(((終値!E106*0.333)+(終値!F106*0.222)+(終値!G106*0.148)+(終値!H106*0.099)+(終値!I106*0.066))/(0.333+0.222+0.148+0.099+0.066),""))</f>
        <v>2061.2684331797236</v>
      </c>
      <c r="AC76" s="333">
        <f>IF(OR(C76="",C76="TOPX",終値!E106=""),"",IFERROR(SUMPRODUCT((終値!E106:AC106),{0.077,0.071,0.065,0.06,0.055,0.051,0.047,0.043,0.039,0.036,0.033,0.031,0.028,0.026,0.024,0.022,0.02,0.018,0.017,0.016,0.014,0.013,0.012,0.011,0.01})/SUM({0.077,0.071,0.065,0.06,0.055,0.051,0.047,0.043,0.039,0.036,0.033,0.031,0.028,0.026,0.024,0.022,0.02,0.018,0.017,0.016,0.014,0.013,0.012,0.011,0.01}),""))</f>
        <v>1961.8200238379011</v>
      </c>
      <c r="AD76" s="212" t="str">
        <f>IF(OR(C76="",AB76="",AC76="",AB76=0,AC76=0),"",IF(AND(E76&gt;AB76,AB76&gt;AC76),"パーフェクト▲",IF(E76&gt;AC76,"上昇トレンド▲",IF(AND(E76&lt;AB76,AB76&lt;AC76),"下降トレンド▼","もみ合い→"))))</f>
        <v>パーフェクト▲</v>
      </c>
      <c r="AE76" s="212" t="str">
        <f>IF(OR(C76="",AB76="",AC76=""),"",IF(AND(ABS(E76-AC76)/AC76&lt;=0.02,E76&lt;AC76),"25日戻り売り★",IF(AND(ABS(E76-AB76)/AB76&lt;=0.01,E76&lt;AB76),"5日戻り売り○","なし")))</f>
        <v>なし</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△過熱・様子見</v>
      </c>
      <c r="AG76">
        <f>IF(AND(T76&gt;=7,C76&lt;&gt;""),T76,0)</f>
        <v>0</v>
      </c>
      <c r="AH76">
        <f>IF(AG76&gt;0,AG76*10000-ROW(A76),0)</f>
        <v>0</v>
      </c>
      <c r="AI76" s="373">
        <f t="array" ref="AI76">IF(C76="","",IFERROR((INDEX(終値!$E:$E,MATCH(TEXT(C76,"0"),終値!$A:$A,0))-INDEX(終値!$E:$CZ,MATCH(TEXT(C76,"0"),終値!$A:$A,0),$AN$2))/INDEX(終値!$E:$CZ,MATCH(TEXT(C76,"0"),終値!$A:$A,0),$AN$2)*100,""))</f>
        <v>16.120066703724291</v>
      </c>
      <c r="AJ76" s="373">
        <f t="array" ref="AJ76">IFERROR((終値!$E$5-INDEX(終値!$E$5:$IT$5,1,$AN$2))/INDEX(終値!$E$5:$IT$5,1,$AN$2)*100,"")</f>
        <v>1.0179378228534113</v>
      </c>
      <c r="AK76" s="374">
        <f>IF(OR(AI76="",AJ76=""),"",AI76-AJ76)</f>
        <v>15.102128880870879</v>
      </c>
      <c r="AL76" s="372">
        <f>IF(AK76="","",IF(AK76&lt;-5,3,IF(AK76&lt;0,1,IF(AK76&lt;3,-1,-2))))</f>
        <v>-2</v>
      </c>
      <c r="AO76" s="376" t="str">
        <f>IF(OR($C76="",$E76="",$F76="",$H76="",$I76="",$H76-$I76&lt;=0),"-",IF(AND($H76-MAX($F76,$E76)&gt;=ABS($E76-$F76)*2,MIN($F76,$E76)-$I76&lt;=ABS($E76-$F76)*0.5,ABS($E76-$F76)&gt;0),"上ヒゲ陰線▼",IF(AND($E76&lt;$F76,ABS($E76-$F76)&gt;=($H76-$I76)*0.7),"大陰線▼",IF(AND(MIN($F76,$E76)-$I76&gt;=($H76-$I76)*0.5,$H76-MAX($F76,$E76)&lt;=($H76-$I76)*0.2),"長い下ヒゲ(反発警戒)","通常"))))</f>
        <v>長い下ヒゲ(反発警戒)</v>
      </c>
      <c r="AP76" s="377">
        <f>IF($AO76="上ヒゲ陰線▼",2,IF($AO76="大陰線▼",2,IF($AO76="長い下ヒゲ(反発警戒)",-2,0)))</f>
        <v>-2</v>
      </c>
      <c r="AQ76">
        <f>IF(C76&lt;&gt;"",始値!F106,"")</f>
        <v>2101</v>
      </c>
      <c r="AR76">
        <f>IF(C76&lt;&gt;"",高値!F106,"")</f>
        <v>2149</v>
      </c>
      <c r="AS76">
        <f>IF(C76&lt;&gt;"",安値!F106,"")</f>
        <v>2050</v>
      </c>
      <c r="AT76" t="str">
        <f>IF(OR(C76="",AQ76="",AR76="",AS76="",AR76-AS76&lt;=0),"-",IF(AND(AR76-MAX(G76,AQ76)&gt;=ABS(G76-AQ76)*2,MIN(G76,AQ76)-AS76&lt;=ABS(G76-AQ76)*0.5,ABS(G76-AQ76)&gt;0),"上ヒゲ陰線▼",IF(AND(G76&lt;AQ76,ABS(G76-AQ76)&gt;=(AR76-AS76)*0.7),"大陰線▼",IF(AND(MIN(G76,AQ76)-AS76&gt;=(AR76-AS76)*0.5,AR76-MAX(G76,AQ76)&lt;=(AR76-AS76)*0.2),"長い下ヒゲ(反発)","通常"))))</f>
        <v>通常</v>
      </c>
      <c r="AU76">
        <f>IF(AT76="上ヒゲ陰線▼",2,IF(AT76="大陰線▼",2,IF(AT76="長い下ヒゲ(反発)",-2,0)))</f>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4196</v>
      </c>
      <c r="F77" s="326">
        <f>IF(C77&lt;&gt;"",_xll.RssMarket(C77,"始値"),"")</f>
        <v>4215</v>
      </c>
      <c r="G77" s="325">
        <f>IF(C77&lt;&gt;"",終値!F113,"")</f>
        <v>4184</v>
      </c>
      <c r="H77" s="326">
        <f>IF(C77&lt;&gt;"",_xll.RssMarket(C77,"高値"),"")</f>
        <v>4223</v>
      </c>
      <c r="I77" s="326">
        <f>IF(C77&lt;&gt;"",_xll.RssMarket(C77,"安値"),"")</f>
        <v>4137</v>
      </c>
      <c r="J77" s="326">
        <f>IF(C77&lt;&gt;"",_xll.RssMarket(C77,"出来高"),"")</f>
        <v>373600</v>
      </c>
      <c r="K77" s="326">
        <f>IF(C77&lt;&gt;"",_xll.RssMarket(C77,"年初来高値"),"")</f>
        <v>4302</v>
      </c>
      <c r="L77" s="327">
        <f>IF(AND(E77&lt;&gt;"",K77&lt;&gt;"",K77&lt;&gt;0),(E77-K77)/K77*100,"")</f>
        <v>-2.4639702463970248</v>
      </c>
      <c r="M77" s="326">
        <f>IF(C77&lt;&gt;"",IFERROR(AVERAGE(出来高!E113:I113),""),"")</f>
        <v>464320</v>
      </c>
      <c r="N77" s="326">
        <f>IF(C77&lt;&gt;"",IFERROR(AVERAGE(出来高!E113:AC113),""),"")</f>
        <v>509904</v>
      </c>
      <c r="O77" s="328">
        <f>IF(AND(J77&lt;&gt;"",M77&lt;&gt;"",M77&lt;&gt;0),J77/M77,"")</f>
        <v>0.80461750516884911</v>
      </c>
      <c r="P77" s="325" t="str">
        <f>IF(O77="","",IF(O77&gt;=2,"急増↑↑",IF(O77&gt;=1.5,"増加↑",IF(O77&gt;=1,"普通→","減少↓"))))</f>
        <v>減少↓</v>
      </c>
      <c r="Q77" s="325" t="str">
        <f>IF(E77="","",IF(AND(E77&lt;G77,O77&gt;=1.5),"売り▼",IF(E77&gt;G77,"様子見▲","中立→")))</f>
        <v>様子見▲</v>
      </c>
      <c r="R77" s="326">
        <f>IF(E77&lt;&gt;"",ROUND(E77*0.92,0),"")</f>
        <v>3860</v>
      </c>
      <c r="S77" s="326">
        <f>IF(E77&lt;&gt;"",ROUND(E77*1.04,0),"")</f>
        <v>4364</v>
      </c>
      <c r="T77" s="325">
        <f>IF(C77="","",IFERROR(IF(W77&gt;=70,3,IF(W77&gt;=60,2,IF(W77&gt;=50,1,0)))+IF(X77&lt;0,2,0)+IF(AD77="下降トレンド▼",3,IF(AD77="もみ合い→",1,0))+IF(V77="年初来安値圏●",3,IF(V77="安値圏",2,0))+IF(Q77="売り▼",2,0)+IF(P77="急増↑↑",2,IF(P77="増加↑",1,0))+IF(Z77&lt;0,1,0)+IF(L77&lt;=-30,2,IF(L77&lt;=-15,1,0))+IF(AE77="25日戻り売り★",2,IF(AE77="5日戻り売り○",1,0))+N(AL77)+N(AP77)+N(AU77),0))</f>
        <v>-3</v>
      </c>
      <c r="U77" s="325" t="str">
        <f>IF(T77="","",IF(AND(T77&gt;=3,O77&gt;=1.5),"有効",IF(T77&gt;=3,"要確認","除外")))</f>
        <v>除外</v>
      </c>
      <c r="V77" s="325" t="str">
        <f>IF(AND(I77&lt;&gt;"",K77&lt;&gt;""),IF(I77&lt;=K77*0.6,"年初来安値圏●",IF(I77&lt;=K77*0.75,"安値圏","通常")),"")</f>
        <v>通常</v>
      </c>
      <c r="W77" s="329">
        <f t="array" ref="W77">IFERROR(100-100/(1+SUMPRODUCT((終値!F113:R113&gt;終値!G113:S113)*(終値!F113:R113-終値!G113:S113))/SUMPRODUCT((終値!F113:R113&lt;終値!G113:S113)*(終値!G113:S113-終値!F113:R113))),50)</f>
        <v>59.125</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44.153272382075556</v>
      </c>
      <c r="Y77" s="325" t="str">
        <f>IF(AF77="","",AF77&amp;" | "&amp;AD77&amp;IF(AE77&lt;&gt;"なし"," "&amp;AE77,"")&amp;IF(X77&lt;0," MACD-"," MACD+")&amp;" RSI:"&amp;TEXT(W77,"0.0")&amp;IF(W77&gt;=70," [過熱]",IF(W77&lt;=30," [売られ過ぎ]",""))&amp;" 前日比:"&amp;TEXT(Z77,"+0.0;-0.0;0.0")&amp;"%"&amp;IF(V77="年初来安値圏●"," [年初来安値圏]",IF(V77="安値圏"," [安値圏]",""))&amp;IF(OR(AO77="通常",AO77="-"),""," ["&amp;AO77&amp;"]")&amp;IF(OR(AT77="通常",AT77="-"),"","前日["&amp;AT77&amp;"]")&amp;" ["&amp;T77&amp;"点]")</f>
        <v>相場上昇・見送り | パーフェクト▲ MACD+ RSI:59.1 前日比:+0.3% [長い下ヒゲ(反発警戒)] [-3点]</v>
      </c>
      <c r="Z77" s="331">
        <f>IF(AND(E77&lt;&gt;"",G77&lt;&gt;"",G77&lt;&gt;0),(E77-G77)/G77*100,"")</f>
        <v>0.28680688336520077</v>
      </c>
      <c r="AA77" s="325" t="str">
        <f>IF(OR(C77="",E77="",E77=0),"",IF(E77&gt;G77,"上昇▲",IF(E77&lt;G77,"下落▼","横ばい→")))</f>
        <v>上昇▲</v>
      </c>
      <c r="AB77" s="326">
        <f>IF(OR(C77="",C77="TOPX",終値!E113=""),"",IFERROR(((終値!E113*0.333)+(終値!F113*0.222)+(終値!G113*0.148)+(終値!H113*0.099)+(終値!I113*0.066))/(0.333+0.222+0.148+0.099+0.066),""))</f>
        <v>4184.0241935483864</v>
      </c>
      <c r="AC77" s="326">
        <f>IF(OR(C77="",C77="TOPX",終値!E113=""),"",IFERROR(SUMPRODUCT((終値!E113:AC113),{0.077,0.071,0.065,0.06,0.055,0.051,0.047,0.043,0.039,0.036,0.033,0.031,0.028,0.026,0.024,0.022,0.02,0.018,0.017,0.016,0.014,0.013,0.012,0.011,0.01})/SUM({0.077,0.071,0.065,0.06,0.055,0.051,0.047,0.043,0.039,0.036,0.033,0.031,0.028,0.026,0.024,0.022,0.02,0.018,0.017,0.016,0.014,0.013,0.012,0.011,0.01}),""))</f>
        <v>4066.9678188319399</v>
      </c>
      <c r="AD77" s="325" t="str">
        <f>IF(OR(C77="",AB77="",AC77="",AB77=0,AC77=0),"",IF(AND(E77&gt;AB77,AB77&gt;AC77),"パーフェクト▲",IF(E77&gt;AC77,"上昇トレンド▲",IF(AND(E77&lt;AB77,AB77&lt;AC77),"下降トレンド▼","もみ合い→"))))</f>
        <v>パーフェクト▲</v>
      </c>
      <c r="AE77" s="325" t="str">
        <f>IF(OR(C77="",AB77="",AC77=""),"",IF(AND(ABS(E77-AC77)/AC77&lt;=0.02,E77&lt;AC77),"25日戻り売り★",IF(AND(ABS(E77-AB77)/AB77&lt;=0.01,E77&lt;AB77),"5日戻り売り○","なし")))</f>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相場上昇・見送り</v>
      </c>
      <c r="AG77">
        <f>IF(AND(T77&gt;=7,C77&lt;&gt;""),T77,0)</f>
        <v>0</v>
      </c>
      <c r="AH77">
        <f>IF(AG77&gt;0,AG77*10000-ROW(A77),0)</f>
        <v>0</v>
      </c>
      <c r="AI77" s="373">
        <f t="array" ref="AI77">IF(C77="","",IFERROR((INDEX(終値!$E:$E,MATCH(TEXT(C77,"0"),終値!$A:$A,0))-INDEX(終値!$E:$CZ,MATCH(TEXT(C77,"0"),終値!$A:$A,0),$AN$2))/INDEX(終値!$E:$CZ,MATCH(TEXT(C77,"0"),終値!$A:$A,0),$AN$2)*100,""))</f>
        <v>24.510385756676559</v>
      </c>
      <c r="AJ77" s="373">
        <f t="array" ref="AJ77">IFERROR((終値!$E$5-INDEX(終値!$E$5:$IT$5,1,$AN$2))/INDEX(終値!$E$5:$IT$5,1,$AN$2)*100,"")</f>
        <v>1.0179378228534113</v>
      </c>
      <c r="AK77" s="374">
        <f>IF(OR(AI77="",AJ77=""),"",AI77-AJ77)</f>
        <v>23.492447933823147</v>
      </c>
      <c r="AL77" s="372">
        <f>IF(AK77="","",IF(AK77&lt;-5,3,IF(AK77&lt;0,1,IF(AK77&lt;3,-1,-2))))</f>
        <v>-2</v>
      </c>
      <c r="AO77" s="376" t="str">
        <f>IF(OR($C77="",$E77="",$F77="",$H77="",$I77="",$H77-$I77&lt;=0),"-",IF(AND($H77-MAX($F77,$E77)&gt;=ABS($E77-$F77)*2,MIN($F77,$E77)-$I77&lt;=ABS($E77-$F77)*0.5,ABS($E77-$F77)&gt;0),"上ヒゲ陰線▼",IF(AND($E77&lt;$F77,ABS($E77-$F77)&gt;=($H77-$I77)*0.7),"大陰線▼",IF(AND(MIN($F77,$E77)-$I77&gt;=($H77-$I77)*0.5,$H77-MAX($F77,$E77)&lt;=($H77-$I77)*0.2),"長い下ヒゲ(反発警戒)","通常"))))</f>
        <v>長い下ヒゲ(反発警戒)</v>
      </c>
      <c r="AP77" s="377">
        <f>IF($AO77="上ヒゲ陰線▼",2,IF($AO77="大陰線▼",2,IF($AO77="長い下ヒゲ(反発警戒)",-2,0)))</f>
        <v>-2</v>
      </c>
      <c r="AQ77">
        <f>IF(C77&lt;&gt;"",始値!F113,"")</f>
        <v>4218</v>
      </c>
      <c r="AR77">
        <f>IF(C77&lt;&gt;"",高値!F113,"")</f>
        <v>4274</v>
      </c>
      <c r="AS77">
        <f>IF(C77&lt;&gt;"",安値!F113,"")</f>
        <v>4151</v>
      </c>
      <c r="AT77" t="str">
        <f>IF(OR(C77="",AQ77="",AR77="",AS77="",AR77-AS77&lt;=0),"-",IF(AND(AR77-MAX(G77,AQ77)&gt;=ABS(G77-AQ77)*2,MIN(G77,AQ77)-AS77&lt;=ABS(G77-AQ77)*0.5,ABS(G77-AQ77)&gt;0),"上ヒゲ陰線▼",IF(AND(G77&lt;AQ77,ABS(G77-AQ77)&gt;=(AR77-AS77)*0.7),"大陰線▼",IF(AND(MIN(G77,AQ77)-AS77&gt;=(AR77-AS77)*0.5,AR77-MAX(G77,AQ77)&lt;=(AR77-AS77)*0.2),"長い下ヒゲ(反発)","通常"))))</f>
        <v>通常</v>
      </c>
      <c r="AU77">
        <f>IF(AT77="上ヒゲ陰線▼",2,IF(AT77="大陰線▼",2,IF(AT77="長い下ヒゲ(反発)",-2,0)))</f>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2871</v>
      </c>
      <c r="F78" s="333">
        <f>IF(C78&lt;&gt;"",_xll.RssMarket(C78,"始値"),"")</f>
        <v>2794.5</v>
      </c>
      <c r="G78" s="212">
        <f>IF(C78&lt;&gt;"",終値!F119,"")</f>
        <v>2773.5</v>
      </c>
      <c r="H78" s="333">
        <f>IF(C78&lt;&gt;"",_xll.RssMarket(C78,"高値"),"")</f>
        <v>2874.5</v>
      </c>
      <c r="I78" s="333">
        <f>IF(C78&lt;&gt;"",_xll.RssMarket(C78,"安値"),"")</f>
        <v>2792.5</v>
      </c>
      <c r="J78" s="333">
        <f>IF(C78&lt;&gt;"",_xll.RssMarket(C78,"出来高"),"")</f>
        <v>602900</v>
      </c>
      <c r="K78" s="333">
        <f>IF(C78&lt;&gt;"",_xll.RssMarket(C78,"年初来高値"),"")</f>
        <v>3953</v>
      </c>
      <c r="L78" s="334">
        <f>IF(AND(E78&lt;&gt;"",K78&lt;&gt;"",K78&lt;&gt;0),(E78-K78)/K78*100,"")</f>
        <v>-27.371616493802176</v>
      </c>
      <c r="M78" s="333">
        <f>IF(C78&lt;&gt;"",IFERROR(AVERAGE(出来高!E119:I119),""),"")</f>
        <v>674800</v>
      </c>
      <c r="N78" s="333">
        <f>IF(C78&lt;&gt;"",IFERROR(AVERAGE(出来高!E119:AC119),""),"")</f>
        <v>510732</v>
      </c>
      <c r="O78" s="335">
        <f>IF(AND(J78&lt;&gt;"",M78&lt;&gt;"",M78&lt;&gt;0),J78/M78,"")</f>
        <v>0.8934499110847659</v>
      </c>
      <c r="P78" s="212" t="str">
        <f>IF(O78="","",IF(O78&gt;=2,"急増↑↑",IF(O78&gt;=1.5,"増加↑",IF(O78&gt;=1,"普通→","減少↓"))))</f>
        <v>減少↓</v>
      </c>
      <c r="Q78" s="212" t="str">
        <f>IF(E78="","",IF(AND(E78&lt;G78,O78&gt;=1.5),"売り▼",IF(E78&gt;G78,"様子見▲","中立→")))</f>
        <v>様子見▲</v>
      </c>
      <c r="R78" s="333">
        <f>IF(E78&lt;&gt;"",ROUND(E78*0.92,0),"")</f>
        <v>2641</v>
      </c>
      <c r="S78" s="333">
        <f>IF(E78&lt;&gt;"",ROUND(E78*1.04,0),"")</f>
        <v>2986</v>
      </c>
      <c r="T78" s="325">
        <f>IF(C78="","",IFERROR(IF(W78&gt;=70,3,IF(W78&gt;=60,2,IF(W78&gt;=50,1,0)))+IF(X78&lt;0,2,0)+IF(AD78="下降トレンド▼",3,IF(AD78="もみ合い→",1,0))+IF(V78="年初来安値圏●",3,IF(V78="安値圏",2,0))+IF(Q78="売り▼",2,0)+IF(P78="急増↑↑",2,IF(P78="増加↑",1,0))+IF(Z78&lt;0,1,0)+IF(L78&lt;=-30,2,IF(L78&lt;=-15,1,0))+IF(AE78="25日戻り売り★",2,IF(AE78="5日戻り売り○",1,0))+N(AL78)+N(AP78)+N(AU78),0))</f>
        <v>7</v>
      </c>
      <c r="U78" s="212" t="str">
        <f>IF(T78="","",IF(AND(T78&gt;=3,O78&gt;=1.5),"有効",IF(T78&gt;=3,"要確認","除外")))</f>
        <v>要確認</v>
      </c>
      <c r="V78" s="212" t="str">
        <f>IF(AND(I78&lt;&gt;"",K78&lt;&gt;""),IF(I78&lt;=K78*0.6,"年初来安値圏●",IF(I78&lt;=K78*0.75,"安値圏","通常")),"")</f>
        <v>安値圏</v>
      </c>
      <c r="W78" s="336">
        <f t="array" ref="W78">IFERROR(100-100/(1+SUMPRODUCT((終値!F119:R119&gt;終値!G119:S119)*(終値!F119:R119-終値!G119:S119))/SUMPRODUCT((終値!F119:R119&lt;終値!G119:S119)*(終値!G119:S119-終値!F119:R119))),50)</f>
        <v>43.15561959654179</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-2.4934783214375784</v>
      </c>
      <c r="Y78" s="212" t="str">
        <f>IF(AF78="","",AF78&amp;" | "&amp;AD78&amp;IF(AE78&lt;&gt;"なし"," "&amp;AE78,"")&amp;IF(X78&lt;0," MACD-"," MACD+")&amp;" RSI:"&amp;TEXT(W78,"0.0")&amp;IF(W78&gt;=70," [過熱]",IF(W78&lt;=30," [売られ過ぎ]",""))&amp;" 前日比:"&amp;TEXT(Z78,"+0.0;-0.0;0.0")&amp;"%"&amp;IF(V78="年初来安値圏●"," [年初来安値圏]",IF(V78="安値圏"," [安値圏]",""))&amp;IF(OR(AO78="通常",AO78="-"),""," ["&amp;AO78&amp;"]")&amp;IF(OR(AT78="通常",AT78="-"),"","前日["&amp;AT78&amp;"]")&amp;" ["&amp;T78&amp;"点]")</f>
        <v>○逆張り売り | もみ合い→ 25日戻り売り★ MACD- RSI:43.2 前日比:+3.5% [安値圏] [7点]</v>
      </c>
      <c r="Z78" s="338">
        <f>IF(AND(E78&lt;&gt;"",G78&lt;&gt;"",G78&lt;&gt;0),(E78-G78)/G78*100,"")</f>
        <v>3.5154137371552192</v>
      </c>
      <c r="AA78" s="212" t="str">
        <f>IF(OR(C78="",E78="",E78=0),"",IF(E78&gt;G78,"上昇▲",IF(E78&lt;G78,"下落▼","横ばい→")))</f>
        <v>上昇▲</v>
      </c>
      <c r="AB78" s="333">
        <f>IF(OR(C78="",C78="TOPX",終値!E119=""),"",IFERROR(((終値!E119*0.333)+(終値!F119*0.222)+(終値!G119*0.148)+(終値!H119*0.099)+(終値!I119*0.066))/(0.333+0.222+0.148+0.099+0.066),""))</f>
        <v>2837.5881336405528</v>
      </c>
      <c r="AC78" s="333">
        <f>IF(OR(C78="",C78="TOPX",終値!E119=""),"",IFERROR(SUMPRODUCT((終値!E119:AC119),{0.077,0.071,0.065,0.06,0.055,0.051,0.047,0.043,0.039,0.036,0.033,0.031,0.028,0.026,0.024,0.022,0.02,0.018,0.017,0.016,0.014,0.013,0.012,0.011,0.01})/SUM({0.077,0.071,0.065,0.06,0.055,0.051,0.047,0.043,0.039,0.036,0.033,0.031,0.028,0.026,0.024,0.022,0.02,0.018,0.017,0.016,0.014,0.013,0.012,0.011,0.01}),""))</f>
        <v>2888.9278903456479</v>
      </c>
      <c r="AD78" s="212" t="str">
        <f>IF(OR(C78="",AB78="",AC78="",AB78=0,AC78=0),"",IF(AND(E78&gt;AB78,AB78&gt;AC78),"パーフェクト▲",IF(E78&gt;AC78,"上昇トレンド▲",IF(AND(E78&lt;AB78,AB78&lt;AC78),"下降トレンド▼","もみ合い→"))))</f>
        <v>もみ合い→</v>
      </c>
      <c r="AE78" s="212" t="str">
        <f>IF(OR(C78="",AB78="",AC78=""),"",IF(AND(ABS(E78-AC78)/AC78&lt;=0.02,E78&lt;AC78),"25日戻り売り★",IF(AND(ABS(E78-AB78)/AB78&lt;=0.01,E78&lt;AB78),"5日戻り売り○","なし")))</f>
        <v>25日戻り売り★</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○逆張り売り</v>
      </c>
      <c r="AG78">
        <f>IF(AND(T78&gt;=7,C78&lt;&gt;""),T78,0)</f>
        <v>7</v>
      </c>
      <c r="AH78">
        <f>IF(AG78&gt;0,AG78*10000-ROW(A78),0)</f>
        <v>69922</v>
      </c>
      <c r="AI78" s="373">
        <f t="array" ref="AI78">IF(C78="","",IFERROR((INDEX(終値!$E:$E,MATCH(TEXT(C78,"0"),終値!$A:$A,0))-INDEX(終値!$E:$CZ,MATCH(TEXT(C78,"0"),終値!$A:$A,0),$AN$2))/INDEX(終値!$E:$CZ,MATCH(TEXT(C78,"0"),終値!$A:$A,0),$AN$2)*100,""))</f>
        <v>1.7543859649122806</v>
      </c>
      <c r="AJ78" s="373">
        <f t="array" ref="AJ78">IFERROR((終値!$E$5-INDEX(終値!$E$5:$IT$5,1,$AN$2))/INDEX(終値!$E$5:$IT$5,1,$AN$2)*100,"")</f>
        <v>1.0179378228534113</v>
      </c>
      <c r="AK78" s="374">
        <f>IF(OR(AI78="",AJ78=""),"",AI78-AJ78)</f>
        <v>0.73644814205886933</v>
      </c>
      <c r="AL78" s="372">
        <f>IF(AK78="","",IF(AK78&lt;-5,3,IF(AK78&lt;0,1,IF(AK78&lt;3,-1,-2))))</f>
        <v>-1</v>
      </c>
      <c r="AO78" s="376" t="str">
        <f>IF(OR($C78="",$E78="",$F78="",$H78="",$I78="",$H78-$I78&lt;=0),"-",IF(AND($H78-MAX($F78,$E78)&gt;=ABS($E78-$F78)*2,MIN($F78,$E78)-$I78&lt;=ABS($E78-$F78)*0.5,ABS($E78-$F78)&gt;0),"上ヒゲ陰線▼",IF(AND($E78&lt;$F78,ABS($E78-$F78)&gt;=($H78-$I78)*0.7),"大陰線▼",IF(AND(MIN($F78,$E78)-$I78&gt;=($H78-$I78)*0.5,$H78-MAX($F78,$E78)&lt;=($H78-$I78)*0.2),"長い下ヒゲ(反発警戒)","通常"))))</f>
        <v>通常</v>
      </c>
      <c r="AP78" s="377">
        <f>IF($AO78="上ヒゲ陰線▼",2,IF($AO78="大陰線▼",2,IF($AO78="長い下ヒゲ(反発警戒)",-2,0)))</f>
        <v>0</v>
      </c>
      <c r="AQ78">
        <f>IF(C78&lt;&gt;"",始値!F119,"")</f>
        <v>2833.5</v>
      </c>
      <c r="AR78">
        <f>IF(C78&lt;&gt;"",高値!F119,"")</f>
        <v>2844</v>
      </c>
      <c r="AS78">
        <f>IF(C78&lt;&gt;"",安値!F119,"")</f>
        <v>2753</v>
      </c>
      <c r="AT78" t="str">
        <f>IF(OR(C78="",AQ78="",AR78="",AS78="",AR78-AS78&lt;=0),"-",IF(AND(AR78-MAX(G78,AQ78)&gt;=ABS(G78-AQ78)*2,MIN(G78,AQ78)-AS78&lt;=ABS(G78-AQ78)*0.5,ABS(G78-AQ78)&gt;0),"上ヒゲ陰線▼",IF(AND(G78&lt;AQ78,ABS(G78-AQ78)&gt;=(AR78-AS78)*0.7),"大陰線▼",IF(AND(MIN(G78,AQ78)-AS78&gt;=(AR78-AS78)*0.5,AR78-MAX(G78,AQ78)&lt;=(AR78-AS78)*0.2),"長い下ヒゲ(反発)","通常"))))</f>
        <v>通常</v>
      </c>
      <c r="AU78">
        <f>IF(AT78="上ヒゲ陰線▼",2,IF(AT78="大陰線▼",2,IF(AT78="長い下ヒゲ(反発)",-2,0)))</f>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5391</v>
      </c>
      <c r="F79" s="326">
        <f>IF(C79&lt;&gt;"",_xll.RssMarket(C79,"始値"),"")</f>
        <v>5315</v>
      </c>
      <c r="G79" s="325">
        <f>IF(C79&lt;&gt;"",終値!F127,"")</f>
        <v>5310</v>
      </c>
      <c r="H79" s="326">
        <f>IF(C79&lt;&gt;"",_xll.RssMarket(C79,"高値"),"")</f>
        <v>5394</v>
      </c>
      <c r="I79" s="326">
        <f>IF(C79&lt;&gt;"",_xll.RssMarket(C79,"安値"),"")</f>
        <v>5302</v>
      </c>
      <c r="J79" s="326">
        <f>IF(C79&lt;&gt;"",_xll.RssMarket(C79,"出来高"),"")</f>
        <v>1009000</v>
      </c>
      <c r="K79" s="326">
        <f>IF(C79&lt;&gt;"",_xll.RssMarket(C79,"年初来高値"),"")</f>
        <v>6828</v>
      </c>
      <c r="L79" s="327">
        <f>IF(AND(E79&lt;&gt;"",K79&lt;&gt;"",K79&lt;&gt;0),(E79-K79)/K79*100,"")</f>
        <v>-21.045694200351495</v>
      </c>
      <c r="M79" s="326">
        <f>IF(C79&lt;&gt;"",IFERROR(AVERAGE(出来高!E127:I127),""),"")</f>
        <v>1011680</v>
      </c>
      <c r="N79" s="326">
        <f>IF(C79&lt;&gt;"",IFERROR(AVERAGE(出来高!E127:AC127),""),"")</f>
        <v>926596</v>
      </c>
      <c r="O79" s="328">
        <f>IF(AND(J79&lt;&gt;"",M79&lt;&gt;"",M79&lt;&gt;0),J79/M79,"")</f>
        <v>0.99735094100901467</v>
      </c>
      <c r="P79" s="325" t="str">
        <f>IF(O79="","",IF(O79&gt;=2,"急増↑↑",IF(O79&gt;=1.5,"増加↑",IF(O79&gt;=1,"普通→","減少↓"))))</f>
        <v>減少↓</v>
      </c>
      <c r="Q79" s="325" t="str">
        <f>IF(E79="","",IF(AND(E79&lt;G79,O79&gt;=1.5),"売り▼",IF(E79&gt;G79,"様子見▲","中立→")))</f>
        <v>様子見▲</v>
      </c>
      <c r="R79" s="326">
        <f>IF(E79&lt;&gt;"",ROUND(E79*0.92,0),"")</f>
        <v>4960</v>
      </c>
      <c r="S79" s="326">
        <f>IF(E79&lt;&gt;"",ROUND(E79*1.04,0),"")</f>
        <v>5607</v>
      </c>
      <c r="T79" s="325">
        <f>IF(C79="","",IFERROR(IF(W79&gt;=70,3,IF(W79&gt;=60,2,IF(W79&gt;=50,1,0)))+IF(X79&lt;0,2,0)+IF(AD79="下降トレンド▼",3,IF(AD79="もみ合い→",1,0))+IF(V79="年初来安値圏●",3,IF(V79="安値圏",2,0))+IF(Q79="売り▼",2,0)+IF(P79="急増↑↑",2,IF(P79="増加↑",1,0))+IF(Z79&lt;0,1,0)+IF(L79&lt;=-30,2,IF(L79&lt;=-15,1,0))+IF(AE79="25日戻り売り★",2,IF(AE79="5日戻り売り○",1,0))+N(AL79)+N(AP79)+N(AU79),0))</f>
        <v>3</v>
      </c>
      <c r="U79" s="325" t="str">
        <f>IF(T79="","",IF(AND(T79&gt;=3,O79&gt;=1.5),"有効",IF(T79&gt;=3,"要確認","除外")))</f>
        <v>要確認</v>
      </c>
      <c r="V79" s="325" t="str">
        <f>IF(AND(I79&lt;&gt;"",K79&lt;&gt;""),IF(I79&lt;=K79*0.6,"年初来安値圏●",IF(I79&lt;=K79*0.75,"安値圏","通常")),"")</f>
        <v>通常</v>
      </c>
      <c r="W79" s="329">
        <f t="array" ref="W79">IFERROR(100-100/(1+SUMPRODUCT((終値!F127:R127&gt;終値!G127:S127)*(終値!F127:R127-終値!G127:S127))/SUMPRODUCT((終値!F127:R127&lt;終値!G127:S127)*(終値!G127:S127-終値!F127:R127))),50)</f>
        <v>44.126074498567334</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4.8191303897910984</v>
      </c>
      <c r="Y79" s="325" t="str">
        <f>IF(AF79="","",AF79&amp;" | "&amp;AD79&amp;IF(AE79&lt;&gt;"なし"," "&amp;AE79,"")&amp;IF(X79&lt;0," MACD-"," MACD+")&amp;" RSI:"&amp;TEXT(W79,"0.0")&amp;IF(W79&gt;=70," [過熱]",IF(W79&lt;=30," [売られ過ぎ]",""))&amp;" 前日比:"&amp;TEXT(Z79,"+0.0;-0.0;0.0")&amp;"%"&amp;IF(V79="年初来安値圏●"," [年初来安値圏]",IF(V79="安値圏"," [安値圏]",""))&amp;IF(OR(AO79="通常",AO79="-"),""," ["&amp;AO79&amp;"]")&amp;IF(OR(AT79="通常",AT79="-"),"","前日["&amp;AT79&amp;"]")&amp;" ["&amp;T79&amp;"点]")</f>
        <v>○逆張り売り | もみ合い→ 25日戻り売り★ MACD+ RSI:44.1 前日比:+1.5% [3点]</v>
      </c>
      <c r="Z79" s="331">
        <f>IF(AND(E79&lt;&gt;"",G79&lt;&gt;"",G79&lt;&gt;0),(E79-G79)/G79*100,"")</f>
        <v>1.5254237288135595</v>
      </c>
      <c r="AA79" s="325" t="str">
        <f>IF(OR(C79="",E79="",E79=0),"",IF(E79&gt;G79,"上昇▲",IF(E79&lt;G79,"下落▼","横ばい→")))</f>
        <v>上昇▲</v>
      </c>
      <c r="AB79" s="326">
        <f>IF(OR(C79="",C79="TOPX",終値!E127=""),"",IFERROR(((終値!E127*0.333)+(終値!F127*0.222)+(終値!G127*0.148)+(終値!H127*0.099)+(終値!I127*0.066))/(0.333+0.222+0.148+0.099+0.066),""))</f>
        <v>5380.4055299539168</v>
      </c>
      <c r="AC79" s="326">
        <f>IF(OR(C79="",C79="TOPX",終値!E127=""),"",IFERROR(SUMPRODUCT((終値!E127:AC127),{0.077,0.071,0.065,0.06,0.055,0.051,0.047,0.043,0.039,0.036,0.033,0.031,0.028,0.026,0.024,0.022,0.02,0.018,0.017,0.016,0.014,0.013,0.012,0.011,0.01})/SUM({0.077,0.071,0.065,0.06,0.055,0.051,0.047,0.043,0.039,0.036,0.033,0.031,0.028,0.026,0.024,0.022,0.02,0.018,0.017,0.016,0.014,0.013,0.012,0.011,0.01}),""))</f>
        <v>5440.1323003575653</v>
      </c>
      <c r="AD79" s="325" t="str">
        <f>IF(OR(C79="",AB79="",AC79="",AB79=0,AC79=0),"",IF(AND(E79&gt;AB79,AB79&gt;AC79),"パーフェクト▲",IF(E79&gt;AC79,"上昇トレンド▲",IF(AND(E79&lt;AB79,AB79&lt;AC79),"下降トレンド▼","もみ合い→"))))</f>
        <v>もみ合い→</v>
      </c>
      <c r="AE79" s="325" t="str">
        <f>IF(OR(C79="",AB79="",AC79=""),"",IF(AND(ABS(E79-AC79)/AC79&lt;=0.02,E79&lt;AC79),"25日戻り売り★",IF(AND(ABS(E79-AB79)/AB79&lt;=0.01,E79&lt;AB79),"5日戻り売り○","なし")))</f>
        <v>25日戻り売り★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○逆張り売り</v>
      </c>
      <c r="AG79">
        <f>IF(AND(T79&gt;=7,C79&lt;&gt;""),T79,0)</f>
        <v>0</v>
      </c>
      <c r="AH79">
        <f>IF(AG79&gt;0,AG79*10000-ROW(A79),0)</f>
        <v>0</v>
      </c>
      <c r="AI79" s="373">
        <f t="array" ref="AI79">IF(C79="","",IFERROR((INDEX(終値!$E:$E,MATCH(TEXT(C79,"0"),終値!$A:$A,0))-INDEX(終値!$E:$CZ,MATCH(TEXT(C79,"0"),終値!$A:$A,0),$AN$2))/INDEX(終値!$E:$CZ,MATCH(TEXT(C79,"0"),終値!$A:$A,0),$AN$2)*100,""))</f>
        <v>1.7553793884484712</v>
      </c>
      <c r="AJ79" s="373">
        <f t="array" ref="AJ79">IFERROR((終値!$E$5-INDEX(終値!$E$5:$IT$5,1,$AN$2))/INDEX(終値!$E$5:$IT$5,1,$AN$2)*100,"")</f>
        <v>1.0179378228534113</v>
      </c>
      <c r="AK79" s="374">
        <f>IF(OR(AI79="",AJ79=""),"",AI79-AJ79)</f>
        <v>0.73744156559505991</v>
      </c>
      <c r="AL79" s="372">
        <f>IF(AK79="","",IF(AK79&lt;-5,3,IF(AK79&lt;0,1,IF(AK79&lt;3,-1,-2))))</f>
        <v>-1</v>
      </c>
      <c r="AO79" s="376" t="str">
        <f>IF(OR($C79="",$E79="",$F79="",$H79="",$I79="",$H79-$I79&lt;=0),"-",IF(AND($H79-MAX($F79,$E79)&gt;=ABS($E79-$F79)*2,MIN($F79,$E79)-$I79&lt;=ABS($E79-$F79)*0.5,ABS($E79-$F79)&gt;0),"上ヒゲ陰線▼",IF(AND($E79&lt;$F79,ABS($E79-$F79)&gt;=($H79-$I79)*0.7),"大陰線▼",IF(AND(MIN($F79,$E79)-$I79&gt;=($H79-$I79)*0.5,$H79-MAX($F79,$E79)&lt;=($H79-$I79)*0.2),"長い下ヒゲ(反発警戒)","通常"))))</f>
        <v>通常</v>
      </c>
      <c r="AP79" s="377">
        <f>IF($AO79="上ヒゲ陰線▼",2,IF($AO79="大陰線▼",2,IF($AO79="長い下ヒゲ(反発警戒)",-2,0)))</f>
        <v>0</v>
      </c>
      <c r="AQ79">
        <f>IF(C79&lt;&gt;"",始値!F127,"")</f>
        <v>5375</v>
      </c>
      <c r="AR79">
        <f>IF(C79&lt;&gt;"",高値!F127,"")</f>
        <v>5389</v>
      </c>
      <c r="AS79">
        <f>IF(C79&lt;&gt;"",安値!F127,"")</f>
        <v>5266</v>
      </c>
      <c r="AT79" t="str">
        <f>IF(OR(C79="",AQ79="",AR79="",AS79="",AR79-AS79&lt;=0),"-",IF(AND(AR79-MAX(G79,AQ79)&gt;=ABS(G79-AQ79)*2,MIN(G79,AQ79)-AS79&lt;=ABS(G79-AQ79)*0.5,ABS(G79-AQ79)&gt;0),"上ヒゲ陰線▼",IF(AND(G79&lt;AQ79,ABS(G79-AQ79)&gt;=(AR79-AS79)*0.7),"大陰線▼",IF(AND(MIN(G79,AQ79)-AS79&gt;=(AR79-AS79)*0.5,AR79-MAX(G79,AQ79)&lt;=(AR79-AS79)*0.2),"長い下ヒゲ(反発)","通常"))))</f>
        <v>通常</v>
      </c>
      <c r="AU79">
        <f>IF(AT79="上ヒゲ陰線▼",2,IF(AT79="大陰線▼",2,IF(AT79="長い下ヒゲ(反発)",-2,0)))</f>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874</v>
      </c>
      <c r="F80" s="333">
        <f>IF(C80&lt;&gt;"",_xll.RssMarket(C80,"始値"),"")</f>
        <v>891</v>
      </c>
      <c r="G80" s="212">
        <f>IF(C80&lt;&gt;"",終値!F136,"")</f>
        <v>897</v>
      </c>
      <c r="H80" s="333">
        <f>IF(C80&lt;&gt;"",_xll.RssMarket(C80,"高値"),"")</f>
        <v>892</v>
      </c>
      <c r="I80" s="333">
        <f>IF(C80&lt;&gt;"",_xll.RssMarket(C80,"安値"),"")</f>
        <v>870</v>
      </c>
      <c r="J80" s="333">
        <f>IF(C80&lt;&gt;"",_xll.RssMarket(C80,"出来高"),"")</f>
        <v>209600</v>
      </c>
      <c r="K80" s="333">
        <f>IF(C80&lt;&gt;"",_xll.RssMarket(C80,"年初来高値"),"")</f>
        <v>3100</v>
      </c>
      <c r="L80" s="334">
        <f>IF(AND(E80&lt;&gt;"",K80&lt;&gt;"",K80&lt;&gt;0),(E80-K80)/K80*100,"")</f>
        <v>-71.806451612903217</v>
      </c>
      <c r="M80" s="333">
        <f>IF(C80&lt;&gt;"",IFERROR(AVERAGE(出来高!E136:I136),""),"")</f>
        <v>343580</v>
      </c>
      <c r="N80" s="333">
        <f>IF(C80&lt;&gt;"",IFERROR(AVERAGE(出来高!E136:AC136),""),"")</f>
        <v>341495.83333333331</v>
      </c>
      <c r="O80" s="335">
        <f>IF(AND(J80&lt;&gt;"",M80&lt;&gt;"",M80&lt;&gt;0),J80/M80,"")</f>
        <v>0.61004715059083769</v>
      </c>
      <c r="P80" s="212" t="str">
        <f>IF(O80="","",IF(O80&gt;=2,"急増↑↑",IF(O80&gt;=1.5,"増加↑",IF(O80&gt;=1,"普通→","減少↓"))))</f>
        <v>減少↓</v>
      </c>
      <c r="Q80" s="212" t="str">
        <f>IF(E80="","",IF(AND(E80&lt;G80,O80&gt;=1.5),"売り▼",IF(E80&gt;G80,"様子見▲","中立→")))</f>
        <v>中立→</v>
      </c>
      <c r="R80" s="333">
        <f>IF(E80&lt;&gt;"",ROUND(E80*0.92,0),"")</f>
        <v>804</v>
      </c>
      <c r="S80" s="333">
        <f>IF(E80&lt;&gt;"",ROUND(E80*1.04,0),"")</f>
        <v>909</v>
      </c>
      <c r="T80" s="325">
        <f>IF(C80="","",IFERROR(IF(W80&gt;=70,3,IF(W80&gt;=60,2,IF(W80&gt;=50,1,0)))+IF(X80&lt;0,2,0)+IF(AD80="下降トレンド▼",3,IF(AD80="もみ合い→",1,0))+IF(V80="年初来安値圏●",3,IF(V80="安値圏",2,0))+IF(Q80="売り▼",2,0)+IF(P80="急増↑↑",2,IF(P80="増加↑",1,0))+IF(Z80&lt;0,1,0)+IF(L80&lt;=-30,2,IF(L80&lt;=-15,1,0))+IF(AE80="25日戻り売り★",2,IF(AE80="5日戻り売り○",1,0))+N(AL80)+N(AP80)+N(AU80),0))</f>
        <v>18</v>
      </c>
      <c r="U80" s="212" t="str">
        <f>IF(T80="","",IF(AND(T80&gt;=3,O80&gt;=1.5),"有効",IF(T80&gt;=3,"要確認","除外")))</f>
        <v>要確認</v>
      </c>
      <c r="V80" s="212" t="str">
        <f>IF(AND(I80&lt;&gt;"",K80&lt;&gt;""),IF(I80&lt;=K80*0.6,"年初来安値圏●",IF(I80&lt;=K80*0.75,"安値圏","通常")),"")</f>
        <v>年初来安値圏●</v>
      </c>
      <c r="W80" s="336">
        <f t="array" ref="W80">IFERROR(100-100/(1+SUMPRODUCT((終値!F136:R136&gt;終値!G136:S136)*(終値!F136:R136-終値!G136:S136))/SUMPRODUCT((終値!F136:R136&lt;終値!G136:S136)*(終値!G136:S136-終値!F136:R136))),50)</f>
        <v>47.182468694096606</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-29.612126302046704</v>
      </c>
      <c r="Y80" s="212" t="str">
        <f>IF(AF80="","",AF80&amp;" | "&amp;AD80&amp;IF(AE80&lt;&gt;"なし"," "&amp;AE80,"")&amp;IF(X80&lt;0," MACD-"," MACD+")&amp;" RSI:"&amp;TEXT(W80,"0.0")&amp;IF(W80&gt;=70," [過熱]",IF(W80&lt;=30," [売られ過ぎ]",""))&amp;" 前日比:"&amp;TEXT(Z80,"+0.0;-0.0;0.0")&amp;"%"&amp;IF(V80="年初来安値圏●"," [年初来安値圏]",IF(V80="安値圏"," [安値圏]",""))&amp;IF(OR(AO80="通常",AO80="-"),""," ["&amp;AO80&amp;"]")&amp;IF(OR(AT80="通常",AT80="-"),"","前日["&amp;AT80&amp;"]")&amp;" ["&amp;T80&amp;"点]")</f>
        <v>★逆張り売り | 下降トレンド▼ 25日戻り売り★ MACD- RSI:47.2 前日比:-2.6% [年初来安値圏] [大陰線▼] [18点]</v>
      </c>
      <c r="Z80" s="338">
        <f>IF(AND(E80&lt;&gt;"",G80&lt;&gt;"",G80&lt;&gt;0),(E80-G80)/G80*100,"")</f>
        <v>-2.5641025641025639</v>
      </c>
      <c r="AA80" s="212" t="str">
        <f>IF(OR(C80="",E80="",E80=0),"",IF(E80&gt;G80,"上昇▲",IF(E80&lt;G80,"下落▼","横ばい→")))</f>
        <v>下落▼</v>
      </c>
      <c r="AB80" s="333">
        <f>IF(OR(C80="",C80="TOPX",終値!E136=""),"",IFERROR(((終値!E136*0.333)+(終値!F136*0.222)+(終値!G136*0.148)+(終値!H136*0.099)+(終値!I136*0.066))/(0.333+0.222+0.148+0.099+0.066),""))</f>
        <v>877.95852534562209</v>
      </c>
      <c r="AC80" s="333">
        <f>IF(OR(C80="",C80="TOPX",終値!E136=""),"",IFERROR(SUMPRODUCT((終値!E136:AC136),{0.077,0.071,0.065,0.06,0.055,0.051,0.047,0.043,0.039,0.036,0.033,0.031,0.028,0.026,0.024,0.022,0.02,0.018,0.017,0.016,0.014,0.013,0.012,0.011,0.01})/SUM({0.077,0.071,0.065,0.06,0.055,0.051,0.047,0.043,0.039,0.036,0.033,0.031,0.028,0.026,0.024,0.022,0.02,0.018,0.017,0.016,0.014,0.013,0.012,0.011,0.01}),""))</f>
        <v>890.45887961859341</v>
      </c>
      <c r="AD80" s="212" t="str">
        <f>IF(OR(C80="",AB80="",AC80="",AB80=0,AC80=0),"",IF(AND(E80&gt;AB80,AB80&gt;AC80),"パーフェクト▲",IF(E80&gt;AC80,"上昇トレンド▲",IF(AND(E80&lt;AB80,AB80&lt;AC80),"下降トレンド▼","もみ合い→"))))</f>
        <v>下降トレンド▼</v>
      </c>
      <c r="AE80" s="212" t="str">
        <f>IF(OR(C80="",AB80="",AC80=""),"",IF(AND(ABS(E80-AC80)/AC80&lt;=0.02,E80&lt;AC80),"25日戻り売り★",IF(AND(ABS(E80-AB80)/AB80&lt;=0.01,E80&lt;AB80),"5日戻り売り○","なし")))</f>
        <v>25日戻り売り★</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★逆張り売り</v>
      </c>
      <c r="AG80">
        <f>IF(AND(T80&gt;=7,C80&lt;&gt;""),T80,0)</f>
        <v>18</v>
      </c>
      <c r="AH80">
        <f>IF(AG80&gt;0,AG80*10000-ROW(A80),0)</f>
        <v>179920</v>
      </c>
      <c r="AI80" s="373">
        <f t="array" ref="AI80">IF(C80="","",IFERROR((INDEX(終値!$E:$E,MATCH(TEXT(C80,"0"),終値!$A:$A,0))-INDEX(終値!$E:$CZ,MATCH(TEXT(C80,"0"),終値!$A:$A,0),$AN$2))/INDEX(終値!$E:$CZ,MATCH(TEXT(C80,"0"),終値!$A:$A,0),$AN$2)*100,""))</f>
        <v>-28.18405916187346</v>
      </c>
      <c r="AJ80" s="373">
        <f t="array" ref="AJ80">IFERROR((終値!$E$5-INDEX(終値!$E$5:$IT$5,1,$AN$2))/INDEX(終値!$E$5:$IT$5,1,$AN$2)*100,"")</f>
        <v>1.0179378228534113</v>
      </c>
      <c r="AK80" s="374">
        <f>IF(OR(AI80="",AJ80=""),"",AI80-AJ80)</f>
        <v>-29.201996984726872</v>
      </c>
      <c r="AL80" s="372">
        <f>IF(AK80="","",IF(AK80&lt;-5,3,IF(AK80&lt;0,1,IF(AK80&lt;3,-1,-2))))</f>
        <v>3</v>
      </c>
      <c r="AO80" s="376" t="str">
        <f>IF(OR($C80="",$E80="",$F80="",$H80="",$I80="",$H80-$I80&lt;=0),"-",IF(AND($H80-MAX($F80,$E80)&gt;=ABS($E80-$F80)*2,MIN($F80,$E80)-$I80&lt;=ABS($E80-$F80)*0.5,ABS($E80-$F80)&gt;0),"上ヒゲ陰線▼",IF(AND($E80&lt;$F80,ABS($E80-$F80)&gt;=($H80-$I80)*0.7),"大陰線▼",IF(AND(MIN($F80,$E80)-$I80&gt;=($H80-$I80)*0.5,$H80-MAX($F80,$E80)&lt;=($H80-$I80)*0.2),"長い下ヒゲ(反発警戒)","通常"))))</f>
        <v>大陰線▼</v>
      </c>
      <c r="AP80" s="377">
        <f>IF($AO80="上ヒゲ陰線▼",2,IF($AO80="大陰線▼",2,IF($AO80="長い下ヒゲ(反発警戒)",-2,0)))</f>
        <v>2</v>
      </c>
      <c r="AQ80">
        <f>IF(C80&lt;&gt;"",始値!F136,"")</f>
        <v>886</v>
      </c>
      <c r="AR80">
        <f>IF(C80&lt;&gt;"",高値!F136,"")</f>
        <v>909</v>
      </c>
      <c r="AS80">
        <f>IF(C80&lt;&gt;"",安値!F136,"")</f>
        <v>871</v>
      </c>
      <c r="AT80" t="str">
        <f>IF(OR(C80="",AQ80="",AR80="",AS80="",AR80-AS80&lt;=0),"-",IF(AND(AR80-MAX(G80,AQ80)&gt;=ABS(G80-AQ80)*2,MIN(G80,AQ80)-AS80&lt;=ABS(G80-AQ80)*0.5,ABS(G80-AQ80)&gt;0),"上ヒゲ陰線▼",IF(AND(G80&lt;AQ80,ABS(G80-AQ80)&gt;=(AR80-AS80)*0.7),"大陰線▼",IF(AND(MIN(G80,AQ80)-AS80&gt;=(AR80-AS80)*0.5,AR80-MAX(G80,AQ80)&lt;=(AR80-AS80)*0.2),"長い下ヒゲ(反発)","通常"))))</f>
        <v>通常</v>
      </c>
      <c r="AU80">
        <f>IF(AT80="上ヒゲ陰線▼",2,IF(AT80="大陰線▼",2,IF(AT80="長い下ヒゲ(反発)",-2,0)))</f>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1258</v>
      </c>
      <c r="F81" s="326">
        <f>IF(C81&lt;&gt;"",_xll.RssMarket(C81,"始値"),"")</f>
        <v>964</v>
      </c>
      <c r="G81" s="325">
        <f>IF(C81&lt;&gt;"",終値!F138,"")</f>
        <v>1009</v>
      </c>
      <c r="H81" s="326">
        <f>IF(C81&lt;&gt;"",_xll.RssMarket(C81,"高値"),"")</f>
        <v>1298</v>
      </c>
      <c r="I81" s="326">
        <f>IF(C81&lt;&gt;"",_xll.RssMarket(C81,"安値"),"")</f>
        <v>909</v>
      </c>
      <c r="J81" s="326">
        <f>IF(C81&lt;&gt;"",_xll.RssMarket(C81,"出来高"),"")</f>
        <v>29708900</v>
      </c>
      <c r="K81" s="326">
        <f>IF(C81&lt;&gt;"",_xll.RssMarket(C81,"年初来高値"),"")</f>
        <v>4380</v>
      </c>
      <c r="L81" s="327">
        <f>IF(AND(E81&lt;&gt;"",K81&lt;&gt;"",K81&lt;&gt;0),(E81-K81)/K81*100,"")</f>
        <v>-71.278538812785385</v>
      </c>
      <c r="M81" s="326">
        <f>IF(C81&lt;&gt;"",IFERROR(AVERAGE(出来高!E138:I138),""),"")</f>
        <v>8521560</v>
      </c>
      <c r="N81" s="326">
        <f>IF(C81&lt;&gt;"",IFERROR(AVERAGE(出来高!E138:AC138),""),"")</f>
        <v>3725828</v>
      </c>
      <c r="O81" s="328">
        <f>IF(AND(J81&lt;&gt;"",M81&lt;&gt;"",M81&lt;&gt;0),J81/M81,"")</f>
        <v>3.4863217532939976</v>
      </c>
      <c r="P81" s="325" t="str">
        <f>IF(O81="","",IF(O81&gt;=2,"急増↑↑",IF(O81&gt;=1.5,"増加↑",IF(O81&gt;=1,"普通→","減少↓"))))</f>
        <v>急増↑↑</v>
      </c>
      <c r="Q81" s="325" t="str">
        <f>IF(E81="","",IF(AND(E81&lt;G81,O81&gt;=1.5),"売り▼",IF(E81&gt;G81,"様子見▲","中立→")))</f>
        <v>様子見▲</v>
      </c>
      <c r="R81" s="326">
        <f>IF(E81&lt;&gt;"",ROUND(E81*0.92,0),"")</f>
        <v>1157</v>
      </c>
      <c r="S81" s="326">
        <f>IF(E81&lt;&gt;"",ROUND(E81*1.04,0),"")</f>
        <v>1308</v>
      </c>
      <c r="T81" s="325">
        <f>IF(C81="","",IFERROR(IF(W81&gt;=70,3,IF(W81&gt;=60,2,IF(W81&gt;=50,1,0)))+IF(X81&lt;0,2,0)+IF(AD81="下降トレンド▼",3,IF(AD81="もみ合い→",1,0))+IF(V81="年初来安値圏●",3,IF(V81="安値圏",2,0))+IF(Q81="売り▼",2,0)+IF(P81="急増↑↑",2,IF(P81="増加↑",1,0))+IF(Z81&lt;0,1,0)+IF(L81&lt;=-30,2,IF(L81&lt;=-15,1,0))+IF(AE81="25日戻り売り★",2,IF(AE81="5日戻り売り○",1,0))+N(AL81)+N(AP81)+N(AU81),0))</f>
        <v>6</v>
      </c>
      <c r="U81" s="325" t="str">
        <f>IF(T81="","",IF(AND(T81&gt;=3,O81&gt;=1.5),"有効",IF(T81&gt;=3,"要確認","除外")))</f>
        <v>有効</v>
      </c>
      <c r="V81" s="325" t="str">
        <f>IF(AND(I81&lt;&gt;"",K81&lt;&gt;""),IF(I81&lt;=K81*0.6,"年初来安値圏●",IF(I81&lt;=K81*0.75,"安値圏","通常")),"")</f>
        <v>年初来安値圏●</v>
      </c>
      <c r="W81" s="329">
        <f t="array" ref="W81">IFERROR(100-100/(1+SUMPRODUCT((終値!F138:R138&gt;終値!G138:S138)*(終値!F138:R138-終値!G138:S138))/SUMPRODUCT((終値!F138:R138&lt;終値!G138:S138)*(終値!G138:S138-終値!F138:R138))),50)</f>
        <v>53.09446254071662</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4.6854489151768348</v>
      </c>
      <c r="Y81" s="325" t="str">
        <f>IF(AF81="","",AF81&amp;" | "&amp;AD81&amp;IF(AE81&lt;&gt;"なし"," "&amp;AE81,"")&amp;IF(X81&lt;0," MACD-"," MACD+")&amp;" RSI:"&amp;TEXT(W81,"0.0")&amp;IF(W81&gt;=70," [過熱]",IF(W81&lt;=30," [売られ過ぎ]",""))&amp;" 前日比:"&amp;TEXT(Z81,"+0.0;-0.0;0.0")&amp;"%"&amp;IF(V81="年初来安値圏●"," [年初来安値圏]",IF(V81="安値圏"," [安値圏]",""))&amp;IF(OR(AO81="通常",AO81="-"),""," ["&amp;AO81&amp;"]")&amp;IF(OR(AT81="通常",AT81="-"),"","前日["&amp;AT81&amp;"]")&amp;" ["&amp;T81&amp;"点]")</f>
        <v>相場上昇・見送り | パーフェクト▲ MACD+ RSI:53.1 前日比:+24.7% [年初来安値圏] [6点]</v>
      </c>
      <c r="Z81" s="331">
        <f>IF(AND(E81&lt;&gt;"",G81&lt;&gt;"",G81&lt;&gt;0),(E81-G81)/G81*100,"")</f>
        <v>24.677898909811695</v>
      </c>
      <c r="AA81" s="325" t="str">
        <f>IF(OR(C81="",E81="",E81=0),"",IF(E81&gt;G81,"上昇▲",IF(E81&lt;G81,"下落▼","横ばい→")))</f>
        <v>上昇▲</v>
      </c>
      <c r="AB81" s="326">
        <f>IF(OR(C81="",C81="TOPX",終値!E138=""),"",IFERROR(((終値!E138*0.333)+(終値!F138*0.222)+(終値!G138*0.148)+(終値!H138*0.099)+(終値!I138*0.066))/(0.333+0.222+0.148+0.099+0.066),""))</f>
        <v>1048.7350230414745</v>
      </c>
      <c r="AC81" s="326">
        <f>IF(OR(C81="",C81="TOPX",終値!E138=""),"",IFERROR(SUMPRODUCT((終値!E138:AC138),{0.077,0.071,0.065,0.06,0.055,0.051,0.047,0.043,0.039,0.036,0.033,0.031,0.028,0.026,0.024,0.022,0.02,0.018,0.017,0.016,0.014,0.013,0.012,0.011,0.01})/SUM({0.077,0.071,0.065,0.06,0.055,0.051,0.047,0.043,0.039,0.036,0.033,0.031,0.028,0.026,0.024,0.022,0.02,0.018,0.017,0.016,0.014,0.013,0.012,0.011,0.01}),""))</f>
        <v>916.49463647198991</v>
      </c>
      <c r="AD81" s="325" t="str">
        <f>IF(OR(C81="",AB81="",AC81="",AB81=0,AC81=0),"",IF(AND(E81&gt;AB81,AB81&gt;AC81),"パーフェクト▲",IF(E81&gt;AC81,"上昇トレンド▲",IF(AND(E81&lt;AB81,AB81&lt;AC81),"下降トレンド▼","もみ合い→"))))</f>
        <v>パーフェクト▲</v>
      </c>
      <c r="AE81" s="325" t="str">
        <f>IF(OR(C81="",AB81="",AC81=""),"",IF(AND(ABS(E81-AC81)/AC81&lt;=0.02,E81&lt;AC81),"25日戻り売り★",IF(AND(ABS(E81-AB81)/AB81&lt;=0.01,E81&lt;AB81),"5日戻り売り○","なし")))</f>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相場上昇・見送り</v>
      </c>
      <c r="AG81">
        <f>IF(AND(T81&gt;=7,C81&lt;&gt;""),T81,0)</f>
        <v>0</v>
      </c>
      <c r="AH81">
        <f>IF(AG81&gt;0,AG81*10000-ROW(A81),0)</f>
        <v>0</v>
      </c>
      <c r="AI81" s="373">
        <f t="array" ref="AI81">IF(C81="","",IFERROR((INDEX(終値!$E:$E,MATCH(TEXT(C81,"0"),終値!$A:$A,0))-INDEX(終値!$E:$CZ,MATCH(TEXT(C81,"0"),終値!$A:$A,0),$AN$2))/INDEX(終値!$E:$CZ,MATCH(TEXT(C81,"0"),終値!$A:$A,0),$AN$2)*100,""))</f>
        <v>25.049701789264411</v>
      </c>
      <c r="AJ81" s="373">
        <f t="array" ref="AJ81">IFERROR((終値!$E$5-INDEX(終値!$E$5:$IT$5,1,$AN$2))/INDEX(終値!$E$5:$IT$5,1,$AN$2)*100,"")</f>
        <v>1.0179378228534113</v>
      </c>
      <c r="AK81" s="374">
        <f>IF(OR(AI81="",AJ81=""),"",AI81-AJ81)</f>
        <v>24.031763966410999</v>
      </c>
      <c r="AL81" s="372">
        <f>IF(AK81="","",IF(AK81&lt;-5,3,IF(AK81&lt;0,1,IF(AK81&lt;3,-1,-2))))</f>
        <v>-2</v>
      </c>
      <c r="AO81" s="376" t="str">
        <f>IF(OR($C81="",$E81="",$F81="",$H81="",$I81="",$H81-$I81&lt;=0),"-",IF(AND($H81-MAX($F81,$E81)&gt;=ABS($E81-$F81)*2,MIN($F81,$E81)-$I81&lt;=ABS($E81-$F81)*0.5,ABS($E81-$F81)&gt;0),"上ヒゲ陰線▼",IF(AND($E81&lt;$F81,ABS($E81-$F81)&gt;=($H81-$I81)*0.7),"大陰線▼",IF(AND(MIN($F81,$E81)-$I81&gt;=($H81-$I81)*0.5,$H81-MAX($F81,$E81)&lt;=($H81-$I81)*0.2),"長い下ヒゲ(反発警戒)","通常"))))</f>
        <v>通常</v>
      </c>
      <c r="AP81" s="377">
        <f>IF($AO81="上ヒゲ陰線▼",2,IF($AO81="大陰線▼",2,IF($AO81="長い下ヒゲ(反発警戒)",-2,0)))</f>
        <v>0</v>
      </c>
      <c r="AQ81">
        <f>IF(C81&lt;&gt;"",始値!F138,"")</f>
        <v>914</v>
      </c>
      <c r="AR81">
        <f>IF(C81&lt;&gt;"",高値!F138,"")</f>
        <v>1025</v>
      </c>
      <c r="AS81">
        <f>IF(C81&lt;&gt;"",安値!F138,"")</f>
        <v>914</v>
      </c>
      <c r="AT81" t="str">
        <f>IF(OR(C81="",AQ81="",AR81="",AS81="",AR81-AS81&lt;=0),"-",IF(AND(AR81-MAX(G81,AQ81)&gt;=ABS(G81-AQ81)*2,MIN(G81,AQ81)-AS81&lt;=ABS(G81-AQ81)*0.5,ABS(G81-AQ81)&gt;0),"上ヒゲ陰線▼",IF(AND(G81&lt;AQ81,ABS(G81-AQ81)&gt;=(AR81-AS81)*0.7),"大陰線▼",IF(AND(MIN(G81,AQ81)-AS81&gt;=(AR81-AS81)*0.5,AR81-MAX(G81,AQ81)&lt;=(AR81-AS81)*0.2),"長い下ヒゲ(反発)","通常"))))</f>
        <v>通常</v>
      </c>
      <c r="AU81">
        <f>IF(AT81="上ヒゲ陰線▼",2,IF(AT81="大陰線▼",2,IF(AT81="長い下ヒゲ(反発)",-2,0)))</f>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1083</v>
      </c>
      <c r="F82" s="333">
        <f>IF(C82&lt;&gt;"",_xll.RssMarket(C82,"始値"),"")</f>
        <v>1097</v>
      </c>
      <c r="G82" s="212">
        <f>IF(C82&lt;&gt;"",終値!F160,"")</f>
        <v>1069</v>
      </c>
      <c r="H82" s="333">
        <f>IF(C82&lt;&gt;"",_xll.RssMarket(C82,"高値"),"")</f>
        <v>1097</v>
      </c>
      <c r="I82" s="333">
        <f>IF(C82&lt;&gt;"",_xll.RssMarket(C82,"安値"),"")</f>
        <v>1072</v>
      </c>
      <c r="J82" s="333">
        <f>IF(C82&lt;&gt;"",_xll.RssMarket(C82,"出来高"),"")</f>
        <v>1123900</v>
      </c>
      <c r="K82" s="333">
        <f>IF(C82&lt;&gt;"",_xll.RssMarket(C82,"年初来高値"),"")</f>
        <v>1212</v>
      </c>
      <c r="L82" s="334">
        <f>IF(AND(E82&lt;&gt;"",K82&lt;&gt;"",K82&lt;&gt;0),(E82-K82)/K82*100,"")</f>
        <v>-10.643564356435643</v>
      </c>
      <c r="M82" s="333">
        <f>IF(C82&lt;&gt;"",IFERROR(AVERAGE(出来高!E160:I160),""),"")</f>
        <v>1175520</v>
      </c>
      <c r="N82" s="333">
        <f>IF(C82&lt;&gt;"",IFERROR(AVERAGE(出来高!E160:AC160),""),"")</f>
        <v>1149560</v>
      </c>
      <c r="O82" s="335">
        <f>IF(AND(J82&lt;&gt;"",M82&lt;&gt;"",M82&lt;&gt;0),J82/M82,"")</f>
        <v>0.95608751871512176</v>
      </c>
      <c r="P82" s="212" t="str">
        <f>IF(O82="","",IF(O82&gt;=2,"急増↑↑",IF(O82&gt;=1.5,"増加↑",IF(O82&gt;=1,"普通→","減少↓"))))</f>
        <v>減少↓</v>
      </c>
      <c r="Q82" s="212" t="str">
        <f>IF(E82="","",IF(AND(E82&lt;G82,O82&gt;=1.5),"売り▼",IF(E82&gt;G82,"様子見▲","中立→")))</f>
        <v>様子見▲</v>
      </c>
      <c r="R82" s="333">
        <f>IF(E82&lt;&gt;"",ROUND(E82*0.92,0),"")</f>
        <v>996</v>
      </c>
      <c r="S82" s="333">
        <f>IF(E82&lt;&gt;"",ROUND(E82*1.04,0),"")</f>
        <v>1126</v>
      </c>
      <c r="T82" s="325">
        <f>IF(C82="","",IFERROR(IF(W82&gt;=70,3,IF(W82&gt;=60,2,IF(W82&gt;=50,1,0)))+IF(X82&lt;0,2,0)+IF(AD82="下降トレンド▼",3,IF(AD82="もみ合い→",1,0))+IF(V82="年初来安値圏●",3,IF(V82="安値圏",2,0))+IF(Q82="売り▼",2,0)+IF(P82="急増↑↑",2,IF(P82="増加↑",1,0))+IF(Z82&lt;0,1,0)+IF(L82&lt;=-30,2,IF(L82&lt;=-15,1,0))+IF(AE82="25日戻り売り★",2,IF(AE82="5日戻り売り○",1,0))+N(AL82)+N(AP82)+N(AU82),0))</f>
        <v>4</v>
      </c>
      <c r="U82" s="212" t="str">
        <f>IF(T82="","",IF(AND(T82&gt;=3,O82&gt;=1.5),"有効",IF(T82&gt;=3,"要確認","除外")))</f>
        <v>要確認</v>
      </c>
      <c r="V82" s="212" t="str">
        <f>IF(AND(I82&lt;&gt;"",K82&lt;&gt;""),IF(I82&lt;=K82*0.6,"年初来安値圏●",IF(I82&lt;=K82*0.75,"安値圏","通常")),"")</f>
        <v>通常</v>
      </c>
      <c r="W82" s="336">
        <f t="array" ref="W82">IFERROR(100-100/(1+SUMPRODUCT((終値!F160:R160&gt;終値!G160:S160)*(終値!F160:R160-終値!G160:S160))/SUMPRODUCT((終値!F160:R160&lt;終値!G160:S160)*(終値!G160:S160-終値!F160:R160))),50)</f>
        <v>55.270655270655276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8.9366837951113212</v>
      </c>
      <c r="Y82" s="212" t="str">
        <f>IF(AF82="","",AF82&amp;" | "&amp;AD82&amp;IF(AE82&lt;&gt;"なし"," "&amp;AE82,"")&amp;IF(X82&lt;0," MACD-"," MACD+")&amp;" RSI:"&amp;TEXT(W82,"0.0")&amp;IF(W82&gt;=70," [過熱]",IF(W82&lt;=30," [売られ過ぎ]",""))&amp;" 前日比:"&amp;TEXT(Z82,"+0.0;-0.0;0.0")&amp;"%"&amp;IF(V82="年初来安値圏●"," [年初来安値圏]",IF(V82="安値圏"," [安値圏]",""))&amp;IF(OR(AO82="通常",AO82="-"),""," ["&amp;AO82&amp;"]")&amp;IF(OR(AT82="通常",AT82="-"),"","前日["&amp;AT82&amp;"]")&amp;" ["&amp;T82&amp;"点]")</f>
        <v>★逆張り売り | 下降トレンド▼ 25日戻り売り★ MACD+ RSI:55.3 前日比:+1.3% [4点]</v>
      </c>
      <c r="Z82" s="338">
        <f>IF(AND(E82&lt;&gt;"",G82&lt;&gt;"",G82&lt;&gt;0),(E82-G82)/G82*100,"")</f>
        <v>1.3096351730589337</v>
      </c>
      <c r="AA82" s="212" t="str">
        <f>IF(OR(C82="",E82="",E82=0),"",IF(E82&gt;G82,"上昇▲",IF(E82&lt;G82,"下落▼","横ばい→")))</f>
        <v>上昇▲</v>
      </c>
      <c r="AB82" s="333">
        <f>IF(OR(C82="",C82="TOPX",終値!E160=""),"",IFERROR(((終値!E160*0.333)+(終値!F160*0.222)+(終値!G160*0.148)+(終値!H160*0.099)+(終値!I160*0.066))/(0.333+0.222+0.148+0.099+0.066),""))</f>
        <v>1083.6993087557603</v>
      </c>
      <c r="AC82" s="333">
        <f>IF(OR(C82="",C82="TOPX",終値!E160=""),"",IFERROR(SUMPRODUCT((終値!E160:AC160),{0.077,0.071,0.065,0.06,0.055,0.051,0.047,0.043,0.039,0.036,0.033,0.031,0.028,0.026,0.024,0.022,0.02,0.018,0.017,0.016,0.014,0.013,0.012,0.011,0.01})/SUM({0.077,0.071,0.065,0.06,0.055,0.051,0.047,0.043,0.039,0.036,0.033,0.031,0.028,0.026,0.024,0.022,0.02,0.018,0.017,0.016,0.014,0.013,0.012,0.011,0.01}),""))</f>
        <v>1085.8712753277707</v>
      </c>
      <c r="AD82" s="212" t="str">
        <f>IF(OR(C82="",AB82="",AC82="",AB82=0,AC82=0),"",IF(AND(E82&gt;AB82,AB82&gt;AC82),"パーフェクト▲",IF(E82&gt;AC82,"上昇トレンド▲",IF(AND(E82&lt;AB82,AB82&lt;AC82),"下降トレンド▼","もみ合い→"))))</f>
        <v>下降トレンド▼</v>
      </c>
      <c r="AE82" s="212" t="str">
        <f>IF(OR(C82="",AB82="",AC82=""),"",IF(AND(ABS(E82-AC82)/AC82&lt;=0.02,E82&lt;AC82),"25日戻り売り★",IF(AND(ABS(E82-AB82)/AB82&lt;=0.01,E82&lt;AB82),"5日戻り売り○","なし")))</f>
        <v>25日戻り売り★</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★逆張り売り</v>
      </c>
      <c r="AG82">
        <f>IF(AND(T82&gt;=7,C82&lt;&gt;""),T82,0)</f>
        <v>0</v>
      </c>
      <c r="AH82">
        <f>IF(AG82&gt;0,AG82*10000-ROW(A82),0)</f>
        <v>0</v>
      </c>
      <c r="AI82" s="373">
        <f t="array" ref="AI82">IF(C82="","",IFERROR((INDEX(終値!$E:$E,MATCH(TEXT(C82,"0"),終値!$A:$A,0))-INDEX(終値!$E:$CZ,MATCH(TEXT(C82,"0"),終値!$A:$A,0),$AN$2))/INDEX(終値!$E:$CZ,MATCH(TEXT(C82,"0"),終値!$A:$A,0),$AN$2)*100,""))</f>
        <v>14.603174603174605</v>
      </c>
      <c r="AJ82" s="373">
        <f t="array" ref="AJ82">IFERROR((終値!$E$5-INDEX(終値!$E$5:$IT$5,1,$AN$2))/INDEX(終値!$E$5:$IT$5,1,$AN$2)*100,"")</f>
        <v>1.0179378228534113</v>
      </c>
      <c r="AK82" s="374">
        <f>IF(OR(AI82="",AJ82=""),"",AI82-AJ82)</f>
        <v>13.585236780321193</v>
      </c>
      <c r="AL82" s="372">
        <f>IF(AK82="","",IF(AK82&lt;-5,3,IF(AK82&lt;0,1,IF(AK82&lt;3,-1,-2))))</f>
        <v>-2</v>
      </c>
      <c r="AO82" s="376" t="str">
        <f>IF(OR($C82="",$E82="",$F82="",$H82="",$I82="",$H82-$I82&lt;=0),"-",IF(AND($H82-MAX($F82,$E82)&gt;=ABS($E82-$F82)*2,MIN($F82,$E82)-$I82&lt;=ABS($E82-$F82)*0.5,ABS($E82-$F82)&gt;0),"上ヒゲ陰線▼",IF(AND($E82&lt;$F82,ABS($E82-$F82)&gt;=($H82-$I82)*0.7),"大陰線▼",IF(AND(MIN($F82,$E82)-$I82&gt;=($H82-$I82)*0.5,$H82-MAX($F82,$E82)&lt;=($H82-$I82)*0.2),"長い下ヒゲ(反発警戒)","通常"))))</f>
        <v>通常</v>
      </c>
      <c r="AP82" s="377">
        <f>IF($AO82="上ヒゲ陰線▼",2,IF($AO82="大陰線▼",2,IF($AO82="長い下ヒゲ(反発警戒)",-2,0)))</f>
        <v>0</v>
      </c>
      <c r="AQ82">
        <f>IF(C82&lt;&gt;"",始値!F160,"")</f>
        <v>1100</v>
      </c>
      <c r="AR82">
        <f>IF(C82&lt;&gt;"",高値!F160,"")</f>
        <v>1105</v>
      </c>
      <c r="AS82">
        <f>IF(C82&lt;&gt;"",安値!F160,"")</f>
        <v>1055</v>
      </c>
      <c r="AT82" t="str">
        <f>IF(OR(C82="",AQ82="",AR82="",AS82="",AR82-AS82&lt;=0),"-",IF(AND(AR82-MAX(G82,AQ82)&gt;=ABS(G82-AQ82)*2,MIN(G82,AQ82)-AS82&lt;=ABS(G82-AQ82)*0.5,ABS(G82-AQ82)&gt;0),"上ヒゲ陰線▼",IF(AND(G82&lt;AQ82,ABS(G82-AQ82)&gt;=(AR82-AS82)*0.7),"大陰線▼",IF(AND(MIN(G82,AQ82)-AS82&gt;=(AR82-AS82)*0.5,AR82-MAX(G82,AQ82)&lt;=(AR82-AS82)*0.2),"長い下ヒゲ(反発)","通常"))))</f>
        <v>通常</v>
      </c>
      <c r="AU82">
        <f>IF(AT82="上ヒゲ陰線▼",2,IF(AT82="大陰線▼",2,IF(AT82="長い下ヒゲ(反発)",-2,0)))</f>
        <v>0</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1521</v>
      </c>
      <c r="F83" s="326">
        <f>IF(C83&lt;&gt;"",_xll.RssMarket(C83,"始値"),"")</f>
        <v>1530</v>
      </c>
      <c r="G83" s="325">
        <f>IF(C83&lt;&gt;"",終値!F163,"")</f>
        <v>1530</v>
      </c>
      <c r="H83" s="326">
        <f>IF(C83&lt;&gt;"",_xll.RssMarket(C83,"高値"),"")</f>
        <v>1550</v>
      </c>
      <c r="I83" s="326">
        <f>IF(C83&lt;&gt;"",_xll.RssMarket(C83,"安値"),"")</f>
        <v>1506</v>
      </c>
      <c r="J83" s="326">
        <f>IF(C83&lt;&gt;"",_xll.RssMarket(C83,"出来高"),"")</f>
        <v>59900</v>
      </c>
      <c r="K83" s="326">
        <f>IF(C83&lt;&gt;"",_xll.RssMarket(C83,"年初来高値"),"")</f>
        <v>1821</v>
      </c>
      <c r="L83" s="327">
        <f>IF(AND(E83&lt;&gt;"",K83&lt;&gt;"",K83&lt;&gt;0),(E83-K83)/K83*100,"")</f>
        <v>-16.474464579901152</v>
      </c>
      <c r="M83" s="326">
        <f>IF(C83&lt;&gt;"",IFERROR(AVERAGE(出来高!E163:I163),""),"")</f>
        <v>98880</v>
      </c>
      <c r="N83" s="326">
        <f>IF(C83&lt;&gt;"",IFERROR(AVERAGE(出来高!E163:AC163),""),"")</f>
        <v>111920</v>
      </c>
      <c r="O83" s="328">
        <f>IF(AND(J83&lt;&gt;"",M83&lt;&gt;"",M83&lt;&gt;0),J83/M83,"")</f>
        <v>0.60578478964401294</v>
      </c>
      <c r="P83" s="325" t="str">
        <f>IF(O83="","",IF(O83&gt;=2,"急増↑↑",IF(O83&gt;=1.5,"増加↑",IF(O83&gt;=1,"普通→","減少↓"))))</f>
        <v>減少↓</v>
      </c>
      <c r="Q83" s="325" t="str">
        <f>IF(E83="","",IF(AND(E83&lt;G83,O83&gt;=1.5),"売り▼",IF(E83&gt;G83,"様子見▲","中立→")))</f>
        <v>中立→</v>
      </c>
      <c r="R83" s="326">
        <f>IF(E83&lt;&gt;"",ROUND(E83*0.92,0),"")</f>
        <v>1399</v>
      </c>
      <c r="S83" s="326">
        <f>IF(E83&lt;&gt;"",ROUND(E83*1.04,0),"")</f>
        <v>1582</v>
      </c>
      <c r="T83" s="325">
        <f>IF(C83="","",IFERROR(IF(W83&gt;=70,3,IF(W83&gt;=60,2,IF(W83&gt;=50,1,0)))+IF(X83&lt;0,2,0)+IF(AD83="下降トレンド▼",3,IF(AD83="もみ合い→",1,0))+IF(V83="年初来安値圏●",3,IF(V83="安値圏",2,0))+IF(Q83="売り▼",2,0)+IF(P83="急増↑↑",2,IF(P83="増加↑",1,0))+IF(Z83&lt;0,1,0)+IF(L83&lt;=-30,2,IF(L83&lt;=-15,1,0))+IF(AE83="25日戻り売り★",2,IF(AE83="5日戻り売り○",1,0))+N(AL83)+N(AP83)+N(AU83),0))</f>
        <v>10</v>
      </c>
      <c r="U83" s="325" t="str">
        <f>IF(T83="","",IF(AND(T83&gt;=3,O83&gt;=1.5),"有効",IF(T83&gt;=3,"要確認","除外")))</f>
        <v>要確認</v>
      </c>
      <c r="V83" s="325" t="str">
        <f>IF(AND(I83&lt;&gt;"",K83&lt;&gt;""),IF(I83&lt;=K83*0.6,"年初来安値圏●",IF(I83&lt;=K83*0.75,"安値圏","通常")),"")</f>
        <v>通常</v>
      </c>
      <c r="W83" s="329">
        <f t="array" ref="W83">IFERROR(100-100/(1+SUMPRODUCT((終値!F163:R163&gt;終値!G163:S163)*(終値!F163:R163-終値!G163:S163))/SUMPRODUCT((終値!F163:R163&lt;終値!G163:S163)*(終値!G163:S163-終値!F163:R163))),50)</f>
        <v>39.340101522842637</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-16.378114066685157</v>
      </c>
      <c r="Y83" s="325" t="str">
        <f>IF(AF83="","",AF83&amp;" | "&amp;AD83&amp;IF(AE83&lt;&gt;"なし"," "&amp;AE83,"")&amp;IF(X83&lt;0," MACD-"," MACD+")&amp;" RSI:"&amp;TEXT(W83,"0.0")&amp;IF(W83&gt;=70," [過熱]",IF(W83&lt;=30," [売られ過ぎ]",""))&amp;" 前日比:"&amp;TEXT(Z83,"+0.0;-0.0;0.0")&amp;"%"&amp;IF(V83="年初来安値圏●"," [年初来安値圏]",IF(V83="安値圏"," [安値圏]",""))&amp;IF(OR(AO83="通常",AO83="-"),""," ["&amp;AO83&amp;"]")&amp;IF(OR(AT83="通常",AT83="-"),"","前日["&amp;AT83&amp;"]")&amp;" ["&amp;T83&amp;"点]")</f>
        <v>○逆張り売り | もみ合い→ 25日戻り売り★ MACD- RSI:39.3 前日比:-0.6% [10点]</v>
      </c>
      <c r="Z83" s="331">
        <f>IF(AND(E83&lt;&gt;"",G83&lt;&gt;"",G83&lt;&gt;0),(E83-G83)/G83*100,"")</f>
        <v>-0.58823529411764708</v>
      </c>
      <c r="AA83" s="325" t="str">
        <f>IF(OR(C83="",E83="",E83=0),"",IF(E83&gt;G83,"上昇▲",IF(E83&lt;G83,"下落▼","横ばい→")))</f>
        <v>下落▼</v>
      </c>
      <c r="AB83" s="326">
        <f>IF(OR(C83="",C83="TOPX",終値!E163=""),"",IFERROR(((終値!E163*0.333)+(終値!F163*0.222)+(終値!G163*0.148)+(終値!H163*0.099)+(終値!I163*0.066))/(0.333+0.222+0.148+0.099+0.066),""))</f>
        <v>1506.8467741935483</v>
      </c>
      <c r="AC83" s="326">
        <f>IF(OR(C83="",C83="TOPX",終値!E163=""),"",IFERROR(SUMPRODUCT((終値!E163:AC163),{0.077,0.071,0.065,0.06,0.055,0.051,0.047,0.043,0.039,0.036,0.033,0.031,0.028,0.026,0.024,0.022,0.02,0.018,0.017,0.016,0.014,0.013,0.012,0.011,0.01})/SUM({0.077,0.071,0.065,0.06,0.055,0.051,0.047,0.043,0.039,0.036,0.033,0.031,0.028,0.026,0.024,0.022,0.02,0.018,0.017,0.016,0.014,0.013,0.012,0.011,0.01}),""))</f>
        <v>1544.3814064362327</v>
      </c>
      <c r="AD83" s="325" t="str">
        <f>IF(OR(C83="",AB83="",AC83="",AB83=0,AC83=0),"",IF(AND(E83&gt;AB83,AB83&gt;AC83),"パーフェクト▲",IF(E83&gt;AC83,"上昇トレンド▲",IF(AND(E83&lt;AB83,AB83&lt;AC83),"下降トレンド▼","もみ合い→"))))</f>
        <v>もみ合い→</v>
      </c>
      <c r="AE83" s="325" t="str">
        <f>IF(OR(C83="",AB83="",AC83=""),"",IF(AND(ABS(E83-AC83)/AC83&lt;=0.02,E83&lt;AC83),"25日戻り売り★",IF(AND(ABS(E83-AB83)/AB83&lt;=0.01,E83&lt;AB83),"5日戻り売り○","なし")))</f>
        <v>25日戻り売り★</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○逆張り売り</v>
      </c>
      <c r="AG83">
        <f>IF(AND(T83&gt;=7,C83&lt;&gt;""),T83,0)</f>
        <v>10</v>
      </c>
      <c r="AH83">
        <f>IF(AG83&gt;0,AG83*10000-ROW(A83),0)</f>
        <v>99917</v>
      </c>
      <c r="AI83" s="373">
        <f t="array" ref="AI83">IF(C83="","",IFERROR((INDEX(終値!$E:$E,MATCH(TEXT(C83,"0"),終値!$A:$A,0))-INDEX(終値!$E:$CZ,MATCH(TEXT(C83,"0"),終値!$A:$A,0),$AN$2))/INDEX(終値!$E:$CZ,MATCH(TEXT(C83,"0"),終値!$A:$A,0),$AN$2)*100,""))</f>
        <v>-9.3563766388557799</v>
      </c>
      <c r="AJ83" s="373">
        <f t="array" ref="AJ83">IFERROR((終値!$E$5-INDEX(終値!$E$5:$IT$5,1,$AN$2))/INDEX(終値!$E$5:$IT$5,1,$AN$2)*100,"")</f>
        <v>1.0179378228534113</v>
      </c>
      <c r="AK83" s="374">
        <f>IF(OR(AI83="",AJ83=""),"",AI83-AJ83)</f>
        <v>-10.374314461709192</v>
      </c>
      <c r="AL83" s="372">
        <f>IF(AK83="","",IF(AK83&lt;-5,3,IF(AK83&lt;0,1,IF(AK83&lt;3,-1,-2))))</f>
        <v>3</v>
      </c>
      <c r="AO83" s="376" t="str">
        <f>IF(OR($C83="",$E83="",$F83="",$H83="",$I83="",$H83-$I83&lt;=0),"-",IF(AND($H83-MAX($F83,$E83)&gt;=ABS($E83-$F83)*2,MIN($F83,$E83)-$I83&lt;=ABS($E83-$F83)*0.5,ABS($E83-$F83)&gt;0),"上ヒゲ陰線▼",IF(AND($E83&lt;$F83,ABS($E83-$F83)&gt;=($H83-$I83)*0.7),"大陰線▼",IF(AND(MIN($F83,$E83)-$I83&gt;=($H83-$I83)*0.5,$H83-MAX($F83,$E83)&lt;=($H83-$I83)*0.2),"長い下ヒゲ(反発警戒)","通常"))))</f>
        <v>通常</v>
      </c>
      <c r="AP83" s="377">
        <f>IF($AO83="上ヒゲ陰線▼",2,IF($AO83="大陰線▼",2,IF($AO83="長い下ヒゲ(反発警戒)",-2,0)))</f>
        <v>0</v>
      </c>
      <c r="AQ83">
        <f>IF(C83&lt;&gt;"",始値!F163,"")</f>
        <v>1493</v>
      </c>
      <c r="AR83">
        <f>IF(C83&lt;&gt;"",高値!F163,"")</f>
        <v>1530</v>
      </c>
      <c r="AS83">
        <f>IF(C83&lt;&gt;"",安値!F163,"")</f>
        <v>1484</v>
      </c>
      <c r="AT83" t="str">
        <f>IF(OR(C83="",AQ83="",AR83="",AS83="",AR83-AS83&lt;=0),"-",IF(AND(AR83-MAX(G83,AQ83)&gt;=ABS(G83-AQ83)*2,MIN(G83,AQ83)-AS83&lt;=ABS(G83-AQ83)*0.5,ABS(G83-AQ83)&gt;0),"上ヒゲ陰線▼",IF(AND(G83&lt;AQ83,ABS(G83-AQ83)&gt;=(AR83-AS83)*0.7),"大陰線▼",IF(AND(MIN(G83,AQ83)-AS83&gt;=(AR83-AS83)*0.5,AR83-MAX(G83,AQ83)&lt;=(AR83-AS83)*0.2),"長い下ヒゲ(反発)","通常"))))</f>
        <v>通常</v>
      </c>
      <c r="AU83">
        <f>IF(AT83="上ヒゲ陰線▼",2,IF(AT83="大陰線▼",2,IF(AT83="長い下ヒゲ(反発)",-2,0)))</f>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43330</v>
      </c>
      <c r="F84" s="333">
        <f>IF(C84&lt;&gt;"",_xll.RssMarket(C84,"始値"),"")</f>
        <v>45280</v>
      </c>
      <c r="G84" s="212">
        <f>IF(C84&lt;&gt;"",終値!F199,"")</f>
        <v>46680</v>
      </c>
      <c r="H84" s="333">
        <f>IF(C84&lt;&gt;"",_xll.RssMarket(C84,"高値"),"")</f>
        <v>45850</v>
      </c>
      <c r="I84" s="333">
        <f>IF(C84&lt;&gt;"",_xll.RssMarket(C84,"安値"),"")</f>
        <v>43250</v>
      </c>
      <c r="J84" s="333">
        <f>IF(C84&lt;&gt;"",_xll.RssMarket(C84,"出来高"),"")</f>
        <v>2765700</v>
      </c>
      <c r="K84" s="333">
        <f>IF(C84&lt;&gt;"",_xll.RssMarket(C84,"年初来高値"),"")</f>
        <v>58580</v>
      </c>
      <c r="L84" s="334">
        <f>IF(AND(E84&lt;&gt;"",K84&lt;&gt;"",K84&lt;&gt;0),(E84-K84)/K84*100,"")</f>
        <v>-26.032775691362243</v>
      </c>
      <c r="M84" s="333">
        <f>IF(C84&lt;&gt;"",IFERROR(AVERAGE(出来高!E199:I199),""),"")</f>
        <v>4306560</v>
      </c>
      <c r="N84" s="333">
        <f>IF(C84&lt;&gt;"",IFERROR(AVERAGE(出来高!E199:AC199),""),"")</f>
        <v>3538468</v>
      </c>
      <c r="O84" s="335">
        <f>IF(AND(J84&lt;&gt;"",M84&lt;&gt;"",M84&lt;&gt;0),J84/M84,"")</f>
        <v>0.64220630851538119</v>
      </c>
      <c r="P84" s="212" t="str">
        <f>IF(O84="","",IF(O84&gt;=2,"急増↑↑",IF(O84&gt;=1.5,"増加↑",IF(O84&gt;=1,"普通→","減少↓"))))</f>
        <v>減少↓</v>
      </c>
      <c r="Q84" s="212" t="str">
        <f>IF(E84="","",IF(AND(E84&lt;G84,O84&gt;=1.5),"売り▼",IF(E84&gt;G84,"様子見▲","中立→")))</f>
        <v>中立→</v>
      </c>
      <c r="R84" s="333">
        <f>IF(E84&lt;&gt;"",ROUND(E84*0.92,0),"")</f>
        <v>39864</v>
      </c>
      <c r="S84" s="333">
        <f>IF(E84&lt;&gt;"",ROUND(E84*1.04,0),"")</f>
        <v>45063</v>
      </c>
      <c r="T84" s="325">
        <f>IF(C84="","",IFERROR(IF(W84&gt;=70,3,IF(W84&gt;=60,2,IF(W84&gt;=50,1,0)))+IF(X84&lt;0,2,0)+IF(AD84="下降トレンド▼",3,IF(AD84="もみ合い→",1,0))+IF(V84="年初来安値圏●",3,IF(V84="安値圏",2,0))+IF(Q84="売り▼",2,0)+IF(P84="急増↑↑",2,IF(P84="増加↑",1,0))+IF(Z84&lt;0,1,0)+IF(L84&lt;=-30,2,IF(L84&lt;=-15,1,0))+IF(AE84="25日戻り売り★",2,IF(AE84="5日戻り売り○",1,0))+N(AL84)+N(AP84)+N(AU84),0))</f>
        <v>12</v>
      </c>
      <c r="U84" s="212" t="str">
        <f>IF(T84="","",IF(AND(T84&gt;=3,O84&gt;=1.5),"有効",IF(T84&gt;=3,"要確認","除外")))</f>
        <v>要確認</v>
      </c>
      <c r="V84" s="212" t="str">
        <f>IF(AND(I84&lt;&gt;"",K84&lt;&gt;""),IF(I84&lt;=K84*0.6,"年初来安値圏●",IF(I84&lt;=K84*0.75,"安値圏","通常")),"")</f>
        <v>安値圏</v>
      </c>
      <c r="W84" s="336">
        <f t="array" ref="W84">IFERROR(100-100/(1+SUMPRODUCT((終値!F199:R199&gt;終値!G199:S199)*(終値!F199:R199-終値!G199:S199))/SUMPRODUCT((終値!F199:R199&lt;終値!G199:S199)*(終値!G199:S199-終値!F199:R199))),50)</f>
        <v>45.864248419895574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-482.33218170746113</v>
      </c>
      <c r="Y84" s="212" t="str">
        <f>IF(AF84="","",AF84&amp;" | "&amp;AD84&amp;IF(AE84&lt;&gt;"なし"," "&amp;AE84,"")&amp;IF(X84&lt;0," MACD-"," MACD+")&amp;" RSI:"&amp;TEXT(W84,"0.0")&amp;IF(W84&gt;=70," [過熱]",IF(W84&lt;=30," [売られ過ぎ]",""))&amp;" 前日比:"&amp;TEXT(Z84,"+0.0;-0.0;0.0")&amp;"%"&amp;IF(V84="年初来安値圏●"," [年初来安値圏]",IF(V84="安値圏"," [安値圏]",""))&amp;IF(OR(AO84="通常",AO84="-"),""," ["&amp;AO84&amp;"]")&amp;IF(OR(AT84="通常",AT84="-"),"","前日["&amp;AT84&amp;"]")&amp;" ["&amp;T84&amp;"点]")</f>
        <v>相場上昇・見送り | 上昇トレンド▲ 5日戻り売り○ MACD- RSI:45.9 前日比:-7.2% [安値圏] [大陰線▼] [12点]</v>
      </c>
      <c r="Z84" s="338">
        <f>IF(AND(E84&lt;&gt;"",G84&lt;&gt;"",G84&lt;&gt;0),(E84-G84)/G84*100,"")</f>
        <v>-7.1765209940017147</v>
      </c>
      <c r="AA84" s="212" t="str">
        <f>IF(OR(C84="",E84="",E84=0),"",IF(E84&gt;G84,"上昇▲",IF(E84&lt;G84,"下落▼","横ばい→")))</f>
        <v>下落▼</v>
      </c>
      <c r="AB84" s="333">
        <f>IF(OR(C84="",C84="TOPX",終値!E199=""),"",IFERROR(((終値!E199*0.333)+(終値!F199*0.222)+(終値!G199*0.148)+(終値!H199*0.099)+(終値!I199*0.066))/(0.333+0.222+0.148+0.099+0.066),""))</f>
        <v>43629.953917050691</v>
      </c>
      <c r="AC84" s="333">
        <f>IF(OR(C84="",C84="TOPX",終値!E199=""),"",IFERROR(SUMPRODUCT((終値!E199:AC199),{0.077,0.071,0.065,0.06,0.055,0.051,0.047,0.043,0.039,0.036,0.033,0.031,0.028,0.026,0.024,0.022,0.02,0.018,0.017,0.016,0.014,0.013,0.012,0.011,0.01})/SUM({0.077,0.071,0.065,0.06,0.055,0.051,0.047,0.043,0.039,0.036,0.033,0.031,0.028,0.026,0.024,0.022,0.02,0.018,0.017,0.016,0.014,0.013,0.012,0.011,0.01}),""))</f>
        <v>42275.482717520841</v>
      </c>
      <c r="AD84" s="212" t="str">
        <f>IF(OR(C84="",AB84="",AC84="",AB84=0,AC84=0),"",IF(AND(E84&gt;AB84,AB84&gt;AC84),"パーフェクト▲",IF(E84&gt;AC84,"上昇トレンド▲",IF(AND(E84&lt;AB84,AB84&lt;AC84),"下降トレンド▼","もみ合い→"))))</f>
        <v>上昇トレンド▲</v>
      </c>
      <c r="AE84" s="212" t="str">
        <f>IF(OR(C84="",AB84="",AC84=""),"",IF(AND(ABS(E84-AC84)/AC84&lt;=0.02,E84&lt;AC84),"25日戻り売り★",IF(AND(ABS(E84-AB84)/AB84&lt;=0.01,E84&lt;AB84),"5日戻り売り○","なし")))</f>
        <v>5日戻り売り○</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相場上昇・見送り</v>
      </c>
      <c r="AG84">
        <f>IF(AND(T84&gt;=7,C84&lt;&gt;""),T84,0)</f>
        <v>12</v>
      </c>
      <c r="AH84">
        <f>IF(AG84&gt;0,AG84*10000-ROW(A84),0)</f>
        <v>119916</v>
      </c>
      <c r="AI84" s="373">
        <f t="array" ref="AI84">IF(C84="","",IFERROR((INDEX(終値!$E:$E,MATCH(TEXT(C84,"0"),終値!$A:$A,0))-INDEX(終値!$E:$CZ,MATCH(TEXT(C84,"0"),終値!$A:$A,0),$AN$2))/INDEX(終値!$E:$CZ,MATCH(TEXT(C84,"0"),終値!$A:$A,0),$AN$2)*100,""))</f>
        <v>-14.687930695018705</v>
      </c>
      <c r="AJ84" s="373">
        <f t="array" ref="AJ84">IFERROR((終値!$E$5-INDEX(終値!$E$5:$IT$5,1,$AN$2))/INDEX(終値!$E$5:$IT$5,1,$AN$2)*100,"")</f>
        <v>1.0179378228534113</v>
      </c>
      <c r="AK84" s="374">
        <f>IF(OR(AI84="",AJ84=""),"",AI84-AJ84)</f>
        <v>-15.705868517872117</v>
      </c>
      <c r="AL84" s="372">
        <f>IF(AK84="","",IF(AK84&lt;-5,3,IF(AK84&lt;0,1,IF(AK84&lt;3,-1,-2))))</f>
        <v>3</v>
      </c>
      <c r="AO84" s="376" t="str">
        <f>IF(OR($C84="",$E84="",$F84="",$H84="",$I84="",$H84-$I84&lt;=0),"-",IF(AND($H84-MAX($F84,$E84)&gt;=ABS($E84-$F84)*2,MIN($F84,$E84)-$I84&lt;=ABS($E84-$F84)*0.5,ABS($E84-$F84)&gt;0),"上ヒゲ陰線▼",IF(AND($E84&lt;$F84,ABS($E84-$F84)&gt;=($H84-$I84)*0.7),"大陰線▼",IF(AND(MIN($F84,$E84)-$I84&gt;=($H84-$I84)*0.5,$H84-MAX($F84,$E84)&lt;=($H84-$I84)*0.2),"長い下ヒゲ(反発警戒)","通常"))))</f>
        <v>大陰線▼</v>
      </c>
      <c r="AP84" s="377">
        <f>IF($AO84="上ヒゲ陰線▼",2,IF($AO84="大陰線▼",2,IF($AO84="長い下ヒゲ(反発警戒)",-2,0)))</f>
        <v>2</v>
      </c>
      <c r="AQ84">
        <f>IF(C84&lt;&gt;"",始値!F199,"")</f>
        <v>45140</v>
      </c>
      <c r="AR84">
        <f>IF(C84&lt;&gt;"",高値!F199,"")</f>
        <v>46870</v>
      </c>
      <c r="AS84">
        <f>IF(C84&lt;&gt;"",安値!F199,"")</f>
        <v>44560</v>
      </c>
      <c r="AT84" t="str">
        <f>IF(OR(C84="",AQ84="",AR84="",AS84="",AR84-AS84&lt;=0),"-",IF(AND(AR84-MAX(G84,AQ84)&gt;=ABS(G84-AQ84)*2,MIN(G84,AQ84)-AS84&lt;=ABS(G84-AQ84)*0.5,ABS(G84-AQ84)&gt;0),"上ヒゲ陰線▼",IF(AND(G84&lt;AQ84,ABS(G84-AQ84)&gt;=(AR84-AS84)*0.7),"大陰線▼",IF(AND(MIN(G84,AQ84)-AS84&gt;=(AR84-AS84)*0.5,AR84-MAX(G84,AQ84)&lt;=(AR84-AS84)*0.2),"長い下ヒゲ(反発)","通常"))))</f>
        <v>通常</v>
      </c>
      <c r="AU84">
        <f>IF(AT84="上ヒゲ陰線▼",2,IF(AT84="大陰線▼",2,IF(AT84="長い下ヒゲ(反発)",-2,0)))</f>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5637</v>
      </c>
      <c r="F85" s="326">
        <f>IF(C85&lt;&gt;"",_xll.RssMarket(C85,"始値"),"")</f>
        <v>5422</v>
      </c>
      <c r="G85" s="325">
        <f>IF(C85&lt;&gt;"",終値!F203,"")</f>
        <v>5481</v>
      </c>
      <c r="H85" s="326">
        <f>IF(C85&lt;&gt;"",_xll.RssMarket(C85,"高値"),"")</f>
        <v>5652</v>
      </c>
      <c r="I85" s="326">
        <f>IF(C85&lt;&gt;"",_xll.RssMarket(C85,"安値"),"")</f>
        <v>5406</v>
      </c>
      <c r="J85" s="326">
        <f>IF(C85&lt;&gt;"",_xll.RssMarket(C85,"出来高"),"")</f>
        <v>1146400</v>
      </c>
      <c r="K85" s="326">
        <f>IF(C85&lt;&gt;"",_xll.RssMarket(C85,"年初来高値"),"")</f>
        <v>7225</v>
      </c>
      <c r="L85" s="327">
        <f>IF(AND(E85&lt;&gt;"",K85&lt;&gt;"",K85&lt;&gt;0),(E85-K85)/K85*100,"")</f>
        <v>-21.979238754325259</v>
      </c>
      <c r="M85" s="326">
        <f>IF(C85&lt;&gt;"",IFERROR(AVERAGE(出来高!E203:I203),""),"")</f>
        <v>2126040</v>
      </c>
      <c r="N85" s="326">
        <f>IF(C85&lt;&gt;"",IFERROR(AVERAGE(出来高!E203:AC203),""),"")</f>
        <v>1188620</v>
      </c>
      <c r="O85" s="328">
        <f>IF(AND(J85&lt;&gt;"",M85&lt;&gt;"",M85&lt;&gt;0),J85/M85,"")</f>
        <v>0.53921845308648941</v>
      </c>
      <c r="P85" s="325" t="str">
        <f>IF(O85="","",IF(O85&gt;=2,"急増↑↑",IF(O85&gt;=1.5,"増加↑",IF(O85&gt;=1,"普通→","減少↓"))))</f>
        <v>減少↓</v>
      </c>
      <c r="Q85" s="325" t="str">
        <f>IF(E85="","",IF(AND(E85&lt;G85,O85&gt;=1.5),"売り▼",IF(E85&gt;G85,"様子見▲","中立→")))</f>
        <v>様子見▲</v>
      </c>
      <c r="R85" s="326">
        <f>IF(E85&lt;&gt;"",ROUND(E85*0.92,0),"")</f>
        <v>5186</v>
      </c>
      <c r="S85" s="326">
        <f>IF(E85&lt;&gt;"",ROUND(E85*1.04,0),"")</f>
        <v>5862</v>
      </c>
      <c r="T85" s="325">
        <f>IF(C85="","",IFERROR(IF(W85&gt;=70,3,IF(W85&gt;=60,2,IF(W85&gt;=50,1,0)))+IF(X85&lt;0,2,0)+IF(AD85="下降トレンド▼",3,IF(AD85="もみ合い→",1,0))+IF(V85="年初来安値圏●",3,IF(V85="安値圏",2,0))+IF(Q85="売り▼",2,0)+IF(P85="急増↑↑",2,IF(P85="増加↑",1,0))+IF(Z85&lt;0,1,0)+IF(L85&lt;=-30,2,IF(L85&lt;=-15,1,0))+IF(AE85="25日戻り売り★",2,IF(AE85="5日戻り売り○",1,0))+N(AL85)+N(AP85)+N(AU85),0))</f>
        <v>2</v>
      </c>
      <c r="U85" s="325" t="str">
        <f>IF(T85="","",IF(AND(T85&gt;=3,O85&gt;=1.5),"有効",IF(T85&gt;=3,"要確認","除外")))</f>
        <v>除外</v>
      </c>
      <c r="V85" s="325" t="str">
        <f>IF(AND(I85&lt;&gt;"",K85&lt;&gt;""),IF(I85&lt;=K85*0.6,"年初来安値圏●",IF(I85&lt;=K85*0.75,"安値圏","通常")),"")</f>
        <v>安値圏</v>
      </c>
      <c r="W85" s="329">
        <f t="array" ref="W85">IFERROR(100-100/(1+SUMPRODUCT((終値!F203:R203&gt;終値!G203:S203)*(終値!F203:R203-終値!G203:S203))/SUMPRODUCT((終値!F203:R203&lt;終値!G203:S203)*(終値!G203:S203-終値!F203:R203))),50)</f>
        <v>56.270270270270274</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38.002447868369018</v>
      </c>
      <c r="Y85" s="325" t="str">
        <f>IF(AF85="","",AF85&amp;" | "&amp;AD85&amp;IF(AE85&lt;&gt;"なし"," "&amp;AE85,"")&amp;IF(X85&lt;0," MACD-"," MACD+")&amp;" RSI:"&amp;TEXT(W85,"0.0")&amp;IF(W85&gt;=70," [過熱]",IF(W85&lt;=30," [売られ過ぎ]",""))&amp;" 前日比:"&amp;TEXT(Z85,"+0.0;-0.0;0.0")&amp;"%"&amp;IF(V85="年初来安値圏●"," [年初来安値圏]",IF(V85="安値圏"," [安値圏]",""))&amp;IF(OR(AO85="通常",AO85="-"),""," ["&amp;AO85&amp;"]")&amp;IF(OR(AT85="通常",AT85="-"),"","前日["&amp;AT85&amp;"]")&amp;" ["&amp;T85&amp;"点]")</f>
        <v>相場上昇・見送り | パーフェクト▲ MACD+ RSI:56.3 前日比:+2.8% [安値圏] [2点]</v>
      </c>
      <c r="Z85" s="331">
        <f>IF(AND(E85&lt;&gt;"",G85&lt;&gt;"",G85&lt;&gt;0),(E85-G85)/G85*100,"")</f>
        <v>2.8461959496442253</v>
      </c>
      <c r="AA85" s="325" t="str">
        <f>IF(OR(C85="",E85="",E85=0),"",IF(E85&gt;G85,"上昇▲",IF(E85&lt;G85,"下落▼","横ばい→")))</f>
        <v>上昇▲</v>
      </c>
      <c r="AB85" s="326">
        <f>IF(OR(C85="",C85="TOPX",終値!E203=""),"",IFERROR(((終値!E203*0.333)+(終値!F203*0.222)+(終値!G203*0.148)+(終値!H203*0.099)+(終値!I203*0.066))/(0.333+0.222+0.148+0.099+0.066),""))</f>
        <v>5477.192396313364</v>
      </c>
      <c r="AC85" s="326">
        <f>IF(OR(C85="",C85="TOPX",終値!E203=""),"",IFERROR(SUMPRODUCT((終値!E203:AC203),{0.077,0.071,0.065,0.06,0.055,0.051,0.047,0.043,0.039,0.036,0.033,0.031,0.028,0.026,0.024,0.022,0.02,0.018,0.017,0.016,0.014,0.013,0.012,0.011,0.01})/SUM({0.077,0.071,0.065,0.06,0.055,0.051,0.047,0.043,0.039,0.036,0.033,0.031,0.028,0.026,0.024,0.022,0.02,0.018,0.017,0.016,0.014,0.013,0.012,0.011,0.01}),""))</f>
        <v>5400.4672228843847</v>
      </c>
      <c r="AD85" s="325" t="str">
        <f>IF(OR(C85="",AB85="",AC85="",AB85=0,AC85=0),"",IF(AND(E85&gt;AB85,AB85&gt;AC85),"パーフェクト▲",IF(E85&gt;AC85,"上昇トレンド▲",IF(AND(E85&lt;AB85,AB85&lt;AC85),"下降トレンド▼","もみ合い→"))))</f>
        <v>パーフェクト▲</v>
      </c>
      <c r="AE85" s="325" t="str">
        <f>IF(OR(C85="",AB85="",AC85=""),"",IF(AND(ABS(E85-AC85)/AC85&lt;=0.02,E85&lt;AC85),"25日戻り売り★",IF(AND(ABS(E85-AB85)/AB85&lt;=0.01,E85&lt;AB85),"5日戻り売り○","なし")))</f>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相場上昇・見送り</v>
      </c>
      <c r="AG85">
        <f>IF(AND(T85&gt;=7,C85&lt;&gt;""),T85,0)</f>
        <v>0</v>
      </c>
      <c r="AH85">
        <f>IF(AG85&gt;0,AG85*10000-ROW(A85),0)</f>
        <v>0</v>
      </c>
      <c r="AI85" s="373">
        <f t="array" ref="AI85">IF(C85="","",IFERROR((INDEX(終値!$E:$E,MATCH(TEXT(C85,"0"),終値!$A:$A,0))-INDEX(終値!$E:$CZ,MATCH(TEXT(C85,"0"),終値!$A:$A,0),$AN$2))/INDEX(終値!$E:$CZ,MATCH(TEXT(C85,"0"),終値!$A:$A,0),$AN$2)*100,""))</f>
        <v>8.278908951210143</v>
      </c>
      <c r="AJ85" s="373">
        <f t="array" ref="AJ85">IFERROR((終値!$E$5-INDEX(終値!$E$5:$IT$5,1,$AN$2))/INDEX(終値!$E$5:$IT$5,1,$AN$2)*100,"")</f>
        <v>1.0179378228534113</v>
      </c>
      <c r="AK85" s="374">
        <f>IF(OR(AI85="",AJ85=""),"",AI85-AJ85)</f>
        <v>7.260971128356732</v>
      </c>
      <c r="AL85" s="372">
        <f>IF(AK85="","",IF(AK85&lt;-5,3,IF(AK85&lt;0,1,IF(AK85&lt;3,-1,-2))))</f>
        <v>-2</v>
      </c>
      <c r="AO85" s="376" t="str">
        <f>IF(OR($C85="",$E85="",$F85="",$H85="",$I85="",$H85-$I85&lt;=0),"-",IF(AND($H85-MAX($F85,$E85)&gt;=ABS($E85-$F85)*2,MIN($F85,$E85)-$I85&lt;=ABS($E85-$F85)*0.5,ABS($E85-$F85)&gt;0),"上ヒゲ陰線▼",IF(AND($E85&lt;$F85,ABS($E85-$F85)&gt;=($H85-$I85)*0.7),"大陰線▼",IF(AND(MIN($F85,$E85)-$I85&gt;=($H85-$I85)*0.5,$H85-MAX($F85,$E85)&lt;=($H85-$I85)*0.2),"長い下ヒゲ(反発警戒)","通常"))))</f>
        <v>通常</v>
      </c>
      <c r="AP85" s="377">
        <f>IF($AO85="上ヒゲ陰線▼",2,IF($AO85="大陰線▼",2,IF($AO85="長い下ヒゲ(反発警戒)",-2,0)))</f>
        <v>0</v>
      </c>
      <c r="AQ85">
        <f>IF(C85&lt;&gt;"",始値!F203,"")</f>
        <v>5318</v>
      </c>
      <c r="AR85">
        <f>IF(C85&lt;&gt;"",高値!F203,"")</f>
        <v>5487</v>
      </c>
      <c r="AS85">
        <f>IF(C85&lt;&gt;"",安値!F203,"")</f>
        <v>5312</v>
      </c>
      <c r="AT85" t="str">
        <f>IF(OR(C85="",AQ85="",AR85="",AS85="",AR85-AS85&lt;=0),"-",IF(AND(AR85-MAX(G85,AQ85)&gt;=ABS(G85-AQ85)*2,MIN(G85,AQ85)-AS85&lt;=ABS(G85-AQ85)*0.5,ABS(G85-AQ85)&gt;0),"上ヒゲ陰線▼",IF(AND(G85&lt;AQ85,ABS(G85-AQ85)&gt;=(AR85-AS85)*0.7),"大陰線▼",IF(AND(MIN(G85,AQ85)-AS85&gt;=(AR85-AS85)*0.5,AR85-MAX(G85,AQ85)&lt;=(AR85-AS85)*0.2),"長い下ヒゲ(反発)","通常"))))</f>
        <v>通常</v>
      </c>
      <c r="AU85">
        <f>IF(AT85="上ヒゲ陰線▼",2,IF(AT85="大陰線▼",2,IF(AT85="長い下ヒゲ(反発)",-2,0)))</f>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3626</v>
      </c>
      <c r="F86" s="333">
        <f>IF(C86&lt;&gt;"",_xll.RssMarket(C86,"始値"),"")</f>
        <v>3650</v>
      </c>
      <c r="G86" s="212">
        <f>IF(C86&lt;&gt;"",終値!F205,"")</f>
        <v>3565</v>
      </c>
      <c r="H86" s="333">
        <f>IF(C86&lt;&gt;"",_xll.RssMarket(C86,"高値"),"")</f>
        <v>3663</v>
      </c>
      <c r="I86" s="333">
        <f>IF(C86&lt;&gt;"",_xll.RssMarket(C86,"安値"),"")</f>
        <v>3594</v>
      </c>
      <c r="J86" s="333">
        <f>IF(C86&lt;&gt;"",_xll.RssMarket(C86,"出来高"),"")</f>
        <v>17528500</v>
      </c>
      <c r="K86" s="333">
        <f>IF(C86&lt;&gt;"",_xll.RssMarket(C86,"年初来高値"),"")</f>
        <v>4124</v>
      </c>
      <c r="L86" s="334">
        <f>IF(AND(E86&lt;&gt;"",K86&lt;&gt;"",K86&lt;&gt;0),(E86-K86)/K86*100,"")</f>
        <v>-12.075654704170708</v>
      </c>
      <c r="M86" s="333">
        <f>IF(C86&lt;&gt;"",IFERROR(AVERAGE(出来高!E205:I205),""),"")</f>
        <v>17147100</v>
      </c>
      <c r="N86" s="333">
        <f>IF(C86&lt;&gt;"",IFERROR(AVERAGE(出来高!E205:AC205),""),"")</f>
        <v>17147100</v>
      </c>
      <c r="O86" s="335">
        <f>IF(AND(J86&lt;&gt;"",M86&lt;&gt;"",M86&lt;&gt;0),J86/M86,"")</f>
        <v>1.0222428282333456</v>
      </c>
      <c r="P86" s="212" t="str">
        <f>IF(O86="","",IF(O86&gt;=2,"急増↑↑",IF(O86&gt;=1.5,"増加↑",IF(O86&gt;=1,"普通→","減少↓"))))</f>
        <v>普通→</v>
      </c>
      <c r="Q86" s="212" t="str">
        <f>IF(E86="","",IF(AND(E86&lt;G86,O86&gt;=1.5),"売り▼",IF(E86&gt;G86,"様子見▲","中立→")))</f>
        <v>様子見▲</v>
      </c>
      <c r="R86" s="333">
        <f>IF(E86&lt;&gt;"",ROUND(E86*0.92,0),"")</f>
        <v>3336</v>
      </c>
      <c r="S86" s="333">
        <f>IF(E86&lt;&gt;"",ROUND(E86*1.04,0),"")</f>
        <v>3771</v>
      </c>
      <c r="T86" s="325">
        <f>IF(C86="","",IFERROR(IF(W86&gt;=70,3,IF(W86&gt;=60,2,IF(W86&gt;=50,1,0)))+IF(X86&lt;0,2,0)+IF(AD86="下降トレンド▼",3,IF(AD86="もみ合い→",1,0))+IF(V86="年初来安値圏●",3,IF(V86="安値圏",2,0))+IF(Q86="売り▼",2,0)+IF(P86="急増↑↑",2,IF(P86="増加↑",1,0))+IF(Z86&lt;0,1,0)+IF(L86&lt;=-30,2,IF(L86&lt;=-15,1,0))+IF(AE86="25日戻り売り★",2,IF(AE86="5日戻り売り○",1,0))+N(AL86)+N(AP86)+N(AU86),0))</f>
        <v>1</v>
      </c>
      <c r="U86" s="212" t="str">
        <f>IF(T86="","",IF(AND(T86&gt;=3,O86&gt;=1.5),"有効",IF(T86&gt;=3,"要確認","除外")))</f>
        <v>除外</v>
      </c>
      <c r="V86" s="212" t="str">
        <f>IF(AND(I86&lt;&gt;"",K86&lt;&gt;""),IF(I86&lt;=K86*0.6,"年初来安値圏●",IF(I86&lt;=K86*0.75,"安値圏","通常")),"")</f>
        <v>通常</v>
      </c>
      <c r="W86" s="336">
        <f t="array" ref="W86">IFERROR(100-100/(1+SUMPRODUCT((終値!F205:R205&gt;終値!G205:S205)*(終値!F205:R205-終値!G205:S205))/SUMPRODUCT((終値!F205:R205&lt;終値!G205:S205)*(終値!G205:S205-終値!F205:R205))),50)</f>
        <v>50</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225.33108116176254</v>
      </c>
      <c r="Y86" s="212" t="str">
        <f>IF(AF86="","",AF86&amp;" | "&amp;AD86&amp;IF(AE86&lt;&gt;"なし"," "&amp;AE86,"")&amp;IF(X86&lt;0," MACD-"," MACD+")&amp;" RSI:"&amp;TEXT(W86,"0.0")&amp;IF(W86&gt;=70," [過熱]",IF(W86&lt;=30," [売られ過ぎ]",""))&amp;" 前日比:"&amp;TEXT(Z86,"+0.0;-0.0;0.0")&amp;"%"&amp;IF(V86="年初来安値圏●"," [年初来安値圏]",IF(V86="安値圏"," [安値圏]",""))&amp;IF(OR(AO86="通常",AO86="-"),""," ["&amp;AO86&amp;"]")&amp;IF(OR(AT86="通常",AT86="-"),"","前日["&amp;AT86&amp;"]")&amp;" ["&amp;T86&amp;"点]")</f>
        <v>相場上昇・見送り | パーフェクト▲ MACD+ RSI:50.0 前日比:+1.7% [1点]</v>
      </c>
      <c r="Z86" s="338">
        <f>IF(AND(E86&lt;&gt;"",G86&lt;&gt;"",G86&lt;&gt;0),(E86-G86)/G86*100,"")</f>
        <v>1.7110799438990183</v>
      </c>
      <c r="AA86" s="212" t="str">
        <f>IF(OR(C86="",E86="",E86=0),"",IF(E86&gt;G86,"上昇▲",IF(E86&lt;G86,"下落▼","横ばい→")))</f>
        <v>上昇▲</v>
      </c>
      <c r="AB86" s="333">
        <f>IF(OR(C86="",C86="TOPX",終値!E205=""),"",IFERROR(((終値!E205*0.333)+(終値!F205*0.222)+(終値!G205*0.148)+(終値!H205*0.099)+(終値!I205*0.066))/(0.333+0.222+0.148+0.099+0.066),""))</f>
        <v>2302.8663594470045</v>
      </c>
      <c r="AC86" s="333">
        <f>IF(OR(C86="",C86="TOPX",終値!E205=""),"",IFERROR(SUMPRODUCT((終値!E205:AC205),{0.077,0.071,0.065,0.06,0.055,0.051,0.047,0.043,0.039,0.036,0.033,0.031,0.028,0.026,0.024,0.022,0.02,0.018,0.017,0.016,0.014,0.013,0.012,0.011,0.01})/SUM({0.077,0.071,0.065,0.06,0.055,0.051,0.047,0.043,0.039,0.036,0.033,0.031,0.028,0.026,0.024,0.022,0.02,0.018,0.017,0.016,0.014,0.013,0.012,0.011,0.01}),""))</f>
        <v>634.46603098927278</v>
      </c>
      <c r="AD86" s="212" t="str">
        <f>IF(OR(C86="",AB86="",AC86="",AB86=0,AC86=0),"",IF(AND(E86&gt;AB86,AB86&gt;AC86),"パーフェクト▲",IF(E86&gt;AC86,"上昇トレンド▲",IF(AND(E86&lt;AB86,AB86&lt;AC86),"下降トレンド▼","もみ合い→"))))</f>
        <v>パーフェクト▲</v>
      </c>
      <c r="AE86" s="212" t="str">
        <f>IF(OR(C86="",AB86="",AC86=""),"",IF(AND(ABS(E86-AC86)/AC86&lt;=0.02,E86&lt;AC86),"25日戻り売り★",IF(AND(ABS(E86-AB86)/AB86&lt;=0.01,E86&lt;AB86),"5日戻り売り○","なし")))</f>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相場上昇・見送り</v>
      </c>
      <c r="AG86">
        <f>IF(AND(T86&gt;=7,C86&lt;&gt;""),T86,0)</f>
        <v>0</v>
      </c>
      <c r="AH86">
        <f>IF(AG86&gt;0,AG86*10000-ROW(A86),0)</f>
        <v>0</v>
      </c>
      <c r="AI86" s="373" t="str">
        <f t="array" ref="AI86">IF(C86="","",IFERROR((INDEX(終値!$E:$E,MATCH(TEXT(C86,"0"),終値!$A:$A,0))-INDEX(終値!$E:$CZ,MATCH(TEXT(C86,"0"),終値!$A:$A,0),$AN$2))/INDEX(終値!$E:$CZ,MATCH(TEXT(C86,"0"),終値!$A:$A,0),$AN$2)*100,""))</f>
        <v/>
      </c>
      <c r="AJ86" s="373">
        <f t="array" ref="AJ86">IFERROR((終値!$E$5-INDEX(終値!$E$5:$IT$5,1,$AN$2))/INDEX(終値!$E$5:$IT$5,1,$AN$2)*100,"")</f>
        <v>1.0179378228534113</v>
      </c>
      <c r="AK86" s="374" t="str">
        <f>IF(OR(AI86="",AJ86=""),"",AI86-AJ86)</f>
        <v/>
      </c>
      <c r="AL86" s="372" t="str">
        <f>IF(AK86="","",IF(AK86&lt;-5,3,IF(AK86&lt;0,1,IF(AK86&lt;3,-1,-2))))</f>
        <v/>
      </c>
      <c r="AO86" s="376" t="str">
        <f>IF(OR($C86="",$E86="",$F86="",$H86="",$I86="",$H86-$I86&lt;=0),"-",IF(AND($H86-MAX($F86,$E86)&gt;=ABS($E86-$F86)*2,MIN($F86,$E86)-$I86&lt;=ABS($E86-$F86)*0.5,ABS($E86-$F86)&gt;0),"上ヒゲ陰線▼",IF(AND($E86&lt;$F86,ABS($E86-$F86)&gt;=($H86-$I86)*0.7),"大陰線▼",IF(AND(MIN($F86,$E86)-$I86&gt;=($H86-$I86)*0.5,$H86-MAX($F86,$E86)&lt;=($H86-$I86)*0.2),"長い下ヒゲ(反発警戒)","通常"))))</f>
        <v>通常</v>
      </c>
      <c r="AP86" s="377">
        <f>IF($AO86="上ヒゲ陰線▼",2,IF($AO86="大陰線▼",2,IF($AO86="長い下ヒゲ(反発警戒)",-2,0)))</f>
        <v>0</v>
      </c>
      <c r="AQ86">
        <f>IF(C86&lt;&gt;"",始値!F205,"")</f>
        <v>3522</v>
      </c>
      <c r="AR86">
        <f>IF(C86&lt;&gt;"",高値!F205,"")</f>
        <v>3642</v>
      </c>
      <c r="AS86">
        <f>IF(C86&lt;&gt;"",安値!F205,"")</f>
        <v>3515</v>
      </c>
      <c r="AT86" t="str">
        <f>IF(OR(C86="",AQ86="",AR86="",AS86="",AR86-AS86&lt;=0),"-",IF(AND(AR86-MAX(G86,AQ86)&gt;=ABS(G86-AQ86)*2,MIN(G86,AQ86)-AS86&lt;=ABS(G86-AQ86)*0.5,ABS(G86-AQ86)&gt;0),"上ヒゲ陰線▼",IF(AND(G86&lt;AQ86,ABS(G86-AQ86)&gt;=(AR86-AS86)*0.7),"大陰線▼",IF(AND(MIN(G86,AQ86)-AS86&gt;=(AR86-AS86)*0.5,AR86-MAX(G86,AQ86)&lt;=(AR86-AS86)*0.2),"長い下ヒゲ(反発)","通常"))))</f>
        <v>通常</v>
      </c>
      <c r="AU86">
        <f>IF(AT86="上ヒゲ陰線▼",2,IF(AT86="大陰線▼",2,IF(AT86="長い下ヒゲ(反発)",-2,0)))</f>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4457</v>
      </c>
      <c r="F87" s="326">
        <f>IF(C87&lt;&gt;"",_xll.RssMarket(C87,"始値"),"")</f>
        <v>4380</v>
      </c>
      <c r="G87" s="325">
        <f>IF(C87&lt;&gt;"",終値!F9,"")</f>
        <v>4382</v>
      </c>
      <c r="H87" s="326">
        <f>IF(C87&lt;&gt;"",_xll.RssMarket(C87,"高値"),"")</f>
        <v>4543</v>
      </c>
      <c r="I87" s="326">
        <f>IF(C87&lt;&gt;"",_xll.RssMarket(C87,"安値"),"")</f>
        <v>4345</v>
      </c>
      <c r="J87" s="326">
        <f>IF(C87&lt;&gt;"",_xll.RssMarket(C87,"出来高"),"")</f>
        <v>1388100</v>
      </c>
      <c r="K87" s="326">
        <f>IF(C87&lt;&gt;"",_xll.RssMarket(C87,"年初来高値"),"")</f>
        <v>6126</v>
      </c>
      <c r="L87" s="327">
        <f>IF(AND(E87&lt;&gt;"",K87&lt;&gt;"",K87&lt;&gt;0),(E87-K87)/K87*100,"")</f>
        <v>-27.244531505060397</v>
      </c>
      <c r="M87" s="326">
        <f>IF(C87&lt;&gt;"",IFERROR(AVERAGE(出来高!E9:I9),""),"")</f>
        <v>1324120</v>
      </c>
      <c r="N87" s="326">
        <f>IF(C87&lt;&gt;"",IFERROR(AVERAGE(出来高!E9:AC9),""),"")</f>
        <v>1442080</v>
      </c>
      <c r="O87" s="328">
        <f>IF(AND(J87&lt;&gt;"",M87&lt;&gt;"",M87&lt;&gt;0),J87/M87,"")</f>
        <v>1.0483188834848804</v>
      </c>
      <c r="P87" s="325" t="str">
        <f>IF(O87="","",IF(O87&gt;=2,"急増↑↑",IF(O87&gt;=1.5,"増加↑",IF(O87&gt;=1,"普通→","減少↓"))))</f>
        <v>普通→</v>
      </c>
      <c r="Q87" s="325" t="str">
        <f>IF(E87="","",IF(AND(E87&lt;G87,O87&gt;=1.5),"売り▼",IF(E87&gt;G87,"様子見▲","中立→")))</f>
        <v>様子見▲</v>
      </c>
      <c r="R87" s="326">
        <f>IF(E87&lt;&gt;"",ROUND(E87*0.92,0),"")</f>
        <v>4100</v>
      </c>
      <c r="S87" s="326">
        <f>IF(E87&lt;&gt;"",ROUND(E87*1.04,0),"")</f>
        <v>4635</v>
      </c>
      <c r="T87" s="325">
        <f>IF(C87="","",IFERROR(IF(W87&gt;=70,3,IF(W87&gt;=60,2,IF(W87&gt;=50,1,0)))+IF(X87&lt;0,2,0)+IF(AD87="下降トレンド▼",3,IF(AD87="もみ合い→",1,0))+IF(V87="年初来安値圏●",3,IF(V87="安値圏",2,0))+IF(Q87="売り▼",2,0)+IF(P87="急増↑↑",2,IF(P87="増加↑",1,0))+IF(Z87&lt;0,1,0)+IF(L87&lt;=-30,2,IF(L87&lt;=-15,1,0))+IF(AE87="25日戻り売り★",2,IF(AE87="5日戻り売り○",1,0))+N(AL87)+N(AP87)+N(AU87),0))</f>
        <v>3</v>
      </c>
      <c r="U87" s="325" t="str">
        <f>IF(T87="","",IF(AND(T87&gt;=3,O87&gt;=1.5),"有効",IF(T87&gt;=3,"要確認","除外")))</f>
        <v>要確認</v>
      </c>
      <c r="V87" s="325" t="str">
        <f>IF(AND(I87&lt;&gt;"",K87&lt;&gt;""),IF(I87&lt;=K87*0.6,"年初来安値圏●",IF(I87&lt;=K87*0.75,"安値圏","通常")),"")</f>
        <v>安値圏</v>
      </c>
      <c r="W87" s="329">
        <f t="array" ref="W87">IFERROR(100-100/(1+SUMPRODUCT((終値!F9:R9&gt;終値!G9:S9)*(終値!F9:R9-終値!G9:S9))/SUMPRODUCT((終値!F9:R9&lt;終値!G9:S9)*(終値!G9:S9-終値!F9:R9))),50)</f>
        <v>54.38047559449312</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9.9006643076900218</v>
      </c>
      <c r="Y87" s="325" t="str">
        <f>IF(AF87="","",AF87&amp;" | "&amp;AD87&amp;IF(AE87&lt;&gt;"なし"," "&amp;AE87,"")&amp;IF(X87&lt;0," MACD-"," MACD+")&amp;" RSI:"&amp;TEXT(W87,"0.0")&amp;IF(W87&gt;=70," [過熱]",IF(W87&lt;=30," [売られ過ぎ]",""))&amp;" 前日比:"&amp;TEXT(Z87,"+0.0;-0.0;0.0")&amp;"%"&amp;IF(V87="年初来安値圏●"," [年初来安値圏]",IF(V87="安値圏"," [安値圏]",""))&amp;IF(OR(AO87="通常",AO87="-"),""," ["&amp;AO87&amp;"]")&amp;IF(OR(AT87="通常",AT87="-"),"","前日["&amp;AT87&amp;"]")&amp;" ["&amp;T87&amp;"点]")</f>
        <v>相場上昇・見送り | パーフェクト▲ MACD+ RSI:54.4 前日比:+1.7% [安値圏] [3点]</v>
      </c>
      <c r="Z87" s="331">
        <f>IF(AND(E87&lt;&gt;"",G87&lt;&gt;"",G87&lt;&gt;0),(E87-G87)/G87*100,"")</f>
        <v>1.711547238703788</v>
      </c>
      <c r="AA87" s="325" t="str">
        <f>IF(OR(C87="",E87="",E87=0),"",IF(E87&gt;G87,"上昇▲",IF(E87&lt;G87,"下落▼","横ばい→")))</f>
        <v>上昇▲</v>
      </c>
      <c r="AB87" s="326">
        <f>IF(OR(C87="",C87="TOPX",終値!E9=""),"",IFERROR(((終値!E9*0.333)+(終値!F9*0.222)+(終値!G9*0.148)+(終値!H9*0.099)+(終値!I9*0.066))/(0.333+0.222+0.148+0.099+0.066),""))</f>
        <v>4329.4746543778792</v>
      </c>
      <c r="AC87" s="326">
        <f>IF(OR(C87="",C87="TOPX",終値!E9=""),"",IFERROR(SUMPRODUCT((終値!E9:AC9),{0.077,0.071,0.065,0.06,0.055,0.051,0.047,0.043,0.039,0.036,0.033,0.031,0.028,0.026,0.024,0.022,0.02,0.018,0.017,0.016,0.014,0.013,0.012,0.011,0.01})/SUM({0.077,0.071,0.065,0.06,0.055,0.051,0.047,0.043,0.039,0.036,0.033,0.031,0.028,0.026,0.024,0.022,0.02,0.018,0.017,0.016,0.014,0.013,0.012,0.011,0.01}),""))</f>
        <v>4197.8676996424292</v>
      </c>
      <c r="AD87" s="325" t="str">
        <f>IF(OR(C87="",AB87="",AC87="",AB87=0,AC87=0),"",IF(AND(E87&gt;AB87,AB87&gt;AC87),"パーフェクト▲",IF(E87&gt;AC87,"上昇トレンド▲",IF(AND(E87&lt;AB87,AB87&lt;AC87),"下降トレンド▼","もみ合い→"))))</f>
        <v>パーフェクト▲</v>
      </c>
      <c r="AE87" s="325" t="str">
        <f>IF(OR(C87="",AB87="",AC87=""),"",IF(AND(ABS(E87-AC87)/AC87&lt;=0.02,E87&lt;AC87),"25日戻り売り★",IF(AND(ABS(E87-AB87)/AB87&lt;=0.01,E87&lt;AB87),"5日戻り売り○","なし")))</f>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相場上昇・見送り</v>
      </c>
      <c r="AG87">
        <f>IF(AND(T87&gt;=7,C87&lt;&gt;""),T87,0)</f>
        <v>0</v>
      </c>
      <c r="AH87">
        <f>IF(AG87&gt;0,AG87*10000-ROW(A87),0)</f>
        <v>0</v>
      </c>
      <c r="AI87" s="373">
        <f t="array" ref="AI87">IF(C87="","",IFERROR((INDEX(終値!$E:$E,MATCH(TEXT(C87,"0"),終値!$A:$A,0))-INDEX(終値!$E:$CZ,MATCH(TEXT(C87,"0"),終値!$A:$A,0),$AN$2))/INDEX(終値!$E:$CZ,MATCH(TEXT(C87,"0"),終値!$A:$A,0),$AN$2)*100,""))</f>
        <v>1.5956234328698427</v>
      </c>
      <c r="AJ87" s="373">
        <f t="array" ref="AJ87">IFERROR((終値!$E$5-INDEX(終値!$E$5:$IT$5,1,$AN$2))/INDEX(終値!$E$5:$IT$5,1,$AN$2)*100,"")</f>
        <v>1.0179378228534113</v>
      </c>
      <c r="AK87" s="374">
        <f>IF(OR(AI87="",AJ87=""),"",AI87-AJ87)</f>
        <v>0.57768561001643137</v>
      </c>
      <c r="AL87" s="372">
        <f>IF(AK87="","",IF(AK87&lt;-5,3,IF(AK87&lt;0,1,IF(AK87&lt;3,-1,-2))))</f>
        <v>-1</v>
      </c>
      <c r="AO87" s="376" t="str">
        <f>IF(OR($C87="",$E87="",$F87="",$H87="",$I87="",$H87-$I87&lt;=0),"-",IF(AND($H87-MAX($F87,$E87)&gt;=ABS($E87-$F87)*2,MIN($F87,$E87)-$I87&lt;=ABS($E87-$F87)*0.5,ABS($E87-$F87)&gt;0),"上ヒゲ陰線▼",IF(AND($E87&lt;$F87,ABS($E87-$F87)&gt;=($H87-$I87)*0.7),"大陰線▼",IF(AND(MIN($F87,$E87)-$I87&gt;=($H87-$I87)*0.5,$H87-MAX($F87,$E87)&lt;=($H87-$I87)*0.2),"長い下ヒゲ(反発警戒)","通常"))))</f>
        <v>通常</v>
      </c>
      <c r="AP87" s="377">
        <f>IF($AO87="上ヒゲ陰線▼",2,IF($AO87="大陰線▼",2,IF($AO87="長い下ヒゲ(反発警戒)",-2,0)))</f>
        <v>0</v>
      </c>
      <c r="AQ87">
        <f>IF(C87&lt;&gt;"",始値!F9,"")</f>
        <v>4236</v>
      </c>
      <c r="AR87">
        <f>IF(C87&lt;&gt;"",高値!F9,"")</f>
        <v>4407</v>
      </c>
      <c r="AS87">
        <f>IF(C87&lt;&gt;"",安値!F9,"")</f>
        <v>4230</v>
      </c>
      <c r="AT87" t="str">
        <f>IF(OR(C87="",AQ87="",AR87="",AS87="",AR87-AS87&lt;=0),"-",IF(AND(AR87-MAX(G87,AQ87)&gt;=ABS(G87-AQ87)*2,MIN(G87,AQ87)-AS87&lt;=ABS(G87-AQ87)*0.5,ABS(G87-AQ87)&gt;0),"上ヒゲ陰線▼",IF(AND(G87&lt;AQ87,ABS(G87-AQ87)&gt;=(AR87-AS87)*0.7),"大陰線▼",IF(AND(MIN(G87,AQ87)-AS87&gt;=(AR87-AS87)*0.5,AR87-MAX(G87,AQ87)&lt;=(AR87-AS87)*0.2),"長い下ヒゲ(反発)","通常"))))</f>
        <v>通常</v>
      </c>
      <c r="AU87">
        <f>IF(AT87="上ヒゲ陰線▼",2,IF(AT87="大陰線▼",2,IF(AT87="長い下ヒゲ(反発)",-2,0)))</f>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3811</v>
      </c>
      <c r="F88" s="333">
        <f>IF(C88&lt;&gt;"",_xll.RssMarket(C88,"始値"),"")</f>
        <v>3766</v>
      </c>
      <c r="G88" s="212">
        <f>IF(C88&lt;&gt;"",終値!F15,"")</f>
        <v>3753</v>
      </c>
      <c r="H88" s="333">
        <f>IF(C88&lt;&gt;"",_xll.RssMarket(C88,"高値"),"")</f>
        <v>3821</v>
      </c>
      <c r="I88" s="333">
        <f>IF(C88&lt;&gt;"",_xll.RssMarket(C88,"安値"),"")</f>
        <v>3762</v>
      </c>
      <c r="J88" s="333">
        <f>IF(C88&lt;&gt;"",_xll.RssMarket(C88,"出来高"),"")</f>
        <v>422700</v>
      </c>
      <c r="K88" s="333">
        <f>IF(C88&lt;&gt;"",_xll.RssMarket(C88,"年初来高値"),"")</f>
        <v>5034</v>
      </c>
      <c r="L88" s="334">
        <f>IF(AND(E88&lt;&gt;"",K88&lt;&gt;"",K88&lt;&gt;0),(E88-K88)/K88*100,"")</f>
        <v>-24.294795391338894</v>
      </c>
      <c r="M88" s="333">
        <f>IF(C88&lt;&gt;"",IFERROR(AVERAGE(出来高!E15:I15),""),"")</f>
        <v>555480</v>
      </c>
      <c r="N88" s="333">
        <f>IF(C88&lt;&gt;"",IFERROR(AVERAGE(出来高!E15:AC15),""),"")</f>
        <v>581216</v>
      </c>
      <c r="O88" s="335">
        <f>IF(AND(J88&lt;&gt;"",M88&lt;&gt;"",M88&lt;&gt;0),J88/M88,"")</f>
        <v>0.76096349103478078</v>
      </c>
      <c r="P88" s="212" t="str">
        <f>IF(O88="","",IF(O88&gt;=2,"急増↑↑",IF(O88&gt;=1.5,"増加↑",IF(O88&gt;=1,"普通→","減少↓"))))</f>
        <v>減少↓</v>
      </c>
      <c r="Q88" s="212" t="str">
        <f>IF(E88="","",IF(AND(E88&lt;G88,O88&gt;=1.5),"売り▼",IF(E88&gt;G88,"様子見▲","中立→")))</f>
        <v>様子見▲</v>
      </c>
      <c r="R88" s="333">
        <f>IF(E88&lt;&gt;"",ROUND(E88*0.92,0),"")</f>
        <v>3506</v>
      </c>
      <c r="S88" s="333">
        <f>IF(E88&lt;&gt;"",ROUND(E88*1.04,0),"")</f>
        <v>3963</v>
      </c>
      <c r="T88" s="325">
        <f>IF(C88="","",IFERROR(IF(W88&gt;=70,3,IF(W88&gt;=60,2,IF(W88&gt;=50,1,0)))+IF(X88&lt;0,2,0)+IF(AD88="下降トレンド▼",3,IF(AD88="もみ合い→",1,0))+IF(V88="年初来安値圏●",3,IF(V88="安値圏",2,0))+IF(Q88="売り▼",2,0)+IF(P88="急増↑↑",2,IF(P88="増加↑",1,0))+IF(Z88&lt;0,1,0)+IF(L88&lt;=-30,2,IF(L88&lt;=-15,1,0))+IF(AE88="25日戻り売り★",2,IF(AE88="5日戻り売り○",1,0))+N(AL88)+N(AP88)+N(AU88),0))</f>
        <v>9</v>
      </c>
      <c r="U88" s="212" t="str">
        <f>IF(T88="","",IF(AND(T88&gt;=3,O88&gt;=1.5),"有効",IF(T88&gt;=3,"要確認","除外")))</f>
        <v>要確認</v>
      </c>
      <c r="V88" s="212" t="str">
        <f>IF(AND(I88&lt;&gt;"",K88&lt;&gt;""),IF(I88&lt;=K88*0.6,"年初来安値圏●",IF(I88&lt;=K88*0.75,"安値圏","通常")),"")</f>
        <v>安値圏</v>
      </c>
      <c r="W88" s="336">
        <f t="array" ref="W88">IFERROR(100-100/(1+SUMPRODUCT((終値!F15:R15&gt;終値!G15:S15)*(終値!F15:R15-終値!G15:S15))/SUMPRODUCT((終値!F15:R15&lt;終値!G15:S15)*(終値!G15:S15-終値!F15:R15))),50)</f>
        <v>40.436241610738257</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-1.4450642615183824</v>
      </c>
      <c r="Y88" s="212" t="str">
        <f>IF(AF88="","",AF88&amp;" | "&amp;AD88&amp;IF(AE88&lt;&gt;"なし"," "&amp;AE88,"")&amp;IF(X88&lt;0," MACD-"," MACD+")&amp;" RSI:"&amp;TEXT(W88,"0.0")&amp;IF(W88&gt;=70," [過熱]",IF(W88&lt;=30," [売られ過ぎ]",""))&amp;" 前日比:"&amp;TEXT(Z88,"+0.0;-0.0;0.0")&amp;"%"&amp;IF(V88="年初来安値圏●"," [年初来安値圏]",IF(V88="安値圏"," [安値圏]",""))&amp;IF(OR(AO88="通常",AO88="-"),""," ["&amp;AO88&amp;"]")&amp;IF(OR(AT88="通常",AT88="-"),"","前日["&amp;AT88&amp;"]")&amp;" ["&amp;T88&amp;"点]")</f>
        <v>○逆張り売り | もみ合い→ 25日戻り売り★ MACD- RSI:40.4 前日比:+1.5% [安値圏] [9点]</v>
      </c>
      <c r="Z88" s="338">
        <f>IF(AND(E88&lt;&gt;"",G88&lt;&gt;"",G88&lt;&gt;0),(E88-G88)/G88*100,"")</f>
        <v>1.5454303224087398</v>
      </c>
      <c r="AA88" s="212" t="str">
        <f>IF(OR(C88="",E88="",E88=0),"",IF(E88&gt;G88,"上昇▲",IF(E88&lt;G88,"下落▼","横ばい→")))</f>
        <v>上昇▲</v>
      </c>
      <c r="AB88" s="333">
        <f>IF(OR(C88="",C88="TOPX",終値!E15=""),"",IFERROR(((終値!E15*0.333)+(終値!F15*0.222)+(終値!G15*0.148)+(終値!H15*0.099)+(終値!I15*0.066))/(0.333+0.222+0.148+0.099+0.066),""))</f>
        <v>3807.9089861751149</v>
      </c>
      <c r="AC88" s="333">
        <f>IF(OR(C88="",C88="TOPX",終値!E15=""),"",IFERROR(SUMPRODUCT((終値!E15:AC15),{0.077,0.071,0.065,0.06,0.055,0.051,0.047,0.043,0.039,0.036,0.033,0.031,0.028,0.026,0.024,0.022,0.02,0.018,0.017,0.016,0.014,0.013,0.012,0.011,0.01})/SUM({0.077,0.071,0.065,0.06,0.055,0.051,0.047,0.043,0.039,0.036,0.033,0.031,0.028,0.026,0.024,0.022,0.02,0.018,0.017,0.016,0.014,0.013,0.012,0.011,0.01}),""))</f>
        <v>3887.6555423122754</v>
      </c>
      <c r="AD88" s="212" t="str">
        <f>IF(OR(C88="",AB88="",AC88="",AB88=0,AC88=0),"",IF(AND(E88&gt;AB88,AB88&gt;AC88),"パーフェクト▲",IF(E88&gt;AC88,"上昇トレンド▲",IF(AND(E88&lt;AB88,AB88&lt;AC88),"下降トレンド▼","もみ合い→"))))</f>
        <v>もみ合い→</v>
      </c>
      <c r="AE88" s="212" t="str">
        <f>IF(OR(C88="",AB88="",AC88=""),"",IF(AND(ABS(E88-AC88)/AC88&lt;=0.02,E88&lt;AC88),"25日戻り売り★",IF(AND(ABS(E88-AB88)/AB88&lt;=0.01,E88&lt;AB88),"5日戻り売り○","なし")))</f>
        <v>25日戻り売り★</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○逆張り売り</v>
      </c>
      <c r="AG88">
        <f>IF(AND(T88&gt;=7,C88&lt;&gt;""),T88,0)</f>
        <v>9</v>
      </c>
      <c r="AH88">
        <f>IF(AG88&gt;0,AG88*10000-ROW(A88),0)</f>
        <v>89912</v>
      </c>
      <c r="AI88" s="373">
        <f t="array" ref="AI88">IF(C88="","",IFERROR((INDEX(終値!$E:$E,MATCH(TEXT(C88,"0"),終値!$A:$A,0))-INDEX(終値!$E:$CZ,MATCH(TEXT(C88,"0"),終値!$A:$A,0),$AN$2))/INDEX(終値!$E:$CZ,MATCH(TEXT(C88,"0"),終値!$A:$A,0),$AN$2)*100,""))</f>
        <v>-5.2452137424600052E-2</v>
      </c>
      <c r="AJ88" s="373">
        <f t="array" ref="AJ88">IFERROR((終値!$E$5-INDEX(終値!$E$5:$IT$5,1,$AN$2))/INDEX(終値!$E$5:$IT$5,1,$AN$2)*100,"")</f>
        <v>1.0179378228534113</v>
      </c>
      <c r="AK88" s="374">
        <f>IF(OR(AI88="",AJ88=""),"",AI88-AJ88)</f>
        <v>-1.0703899602780114</v>
      </c>
      <c r="AL88" s="372">
        <f>IF(AK88="","",IF(AK88&lt;-5,3,IF(AK88&lt;0,1,IF(AK88&lt;3,-1,-2))))</f>
        <v>1</v>
      </c>
      <c r="AO88" s="376" t="str">
        <f>IF(OR($C88="",$E88="",$F88="",$H88="",$I88="",$H88-$I88&lt;=0),"-",IF(AND($H88-MAX($F88,$E88)&gt;=ABS($E88-$F88)*2,MIN($F88,$E88)-$I88&lt;=ABS($E88-$F88)*0.5,ABS($E88-$F88)&gt;0),"上ヒゲ陰線▼",IF(AND($E88&lt;$F88,ABS($E88-$F88)&gt;=($H88-$I88)*0.7),"大陰線▼",IF(AND(MIN($F88,$E88)-$I88&gt;=($H88-$I88)*0.5,$H88-MAX($F88,$E88)&lt;=($H88-$I88)*0.2),"長い下ヒゲ(反発警戒)","通常"))))</f>
        <v>通常</v>
      </c>
      <c r="AP88" s="377">
        <f>IF($AO88="上ヒゲ陰線▼",2,IF($AO88="大陰線▼",2,IF($AO88="長い下ヒゲ(反発警戒)",-2,0)))</f>
        <v>0</v>
      </c>
      <c r="AQ88">
        <f>IF(C88&lt;&gt;"",始値!F15,"")</f>
        <v>3790</v>
      </c>
      <c r="AR88">
        <f>IF(C88&lt;&gt;"",高値!F15,"")</f>
        <v>3828</v>
      </c>
      <c r="AS88">
        <f>IF(C88&lt;&gt;"",安値!F15,"")</f>
        <v>3731</v>
      </c>
      <c r="AT88" t="str">
        <f>IF(OR(C88="",AQ88="",AR88="",AS88="",AR88-AS88&lt;=0),"-",IF(AND(AR88-MAX(G88,AQ88)&gt;=ABS(G88-AQ88)*2,MIN(G88,AQ88)-AS88&lt;=ABS(G88-AQ88)*0.5,ABS(G88-AQ88)&gt;0),"上ヒゲ陰線▼",IF(AND(G88&lt;AQ88,ABS(G88-AQ88)&gt;=(AR88-AS88)*0.7),"大陰線▼",IF(AND(MIN(G88,AQ88)-AS88&gt;=(AR88-AS88)*0.5,AR88-MAX(G88,AQ88)&lt;=(AR88-AS88)*0.2),"長い下ヒゲ(反発)","通常"))))</f>
        <v>通常</v>
      </c>
      <c r="AU88">
        <f>IF(AT88="上ヒゲ陰線▼",2,IF(AT88="大陰線▼",2,IF(AT88="長い下ヒゲ(反発)",-2,0)))</f>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4748</v>
      </c>
      <c r="F89" s="326">
        <f>IF(C89&lt;&gt;"",_xll.RssMarket(C89,"始値"),"")</f>
        <v>4635</v>
      </c>
      <c r="G89" s="325">
        <f>IF(C89&lt;&gt;"",終値!F16,"")</f>
        <v>4641</v>
      </c>
      <c r="H89" s="326">
        <f>IF(C89&lt;&gt;"",_xll.RssMarket(C89,"高値"),"")</f>
        <v>4748</v>
      </c>
      <c r="I89" s="326">
        <f>IF(C89&lt;&gt;"",_xll.RssMarket(C89,"安値"),"")</f>
        <v>4631</v>
      </c>
      <c r="J89" s="326">
        <f>IF(C89&lt;&gt;"",_xll.RssMarket(C89,"出来高"),"")</f>
        <v>6019000</v>
      </c>
      <c r="K89" s="326">
        <f>IF(C89&lt;&gt;"",_xll.RssMarket(C89,"年初来高値"),"")</f>
        <v>6012</v>
      </c>
      <c r="L89" s="327">
        <f>IF(AND(E89&lt;&gt;"",K89&lt;&gt;"",K89&lt;&gt;0),(E89-K89)/K89*100,"")</f>
        <v>-21.024617431803062</v>
      </c>
      <c r="M89" s="326">
        <f>IF(C89&lt;&gt;"",IFERROR(AVERAGE(出来高!E16:I16),""),"")</f>
        <v>9899860</v>
      </c>
      <c r="N89" s="326">
        <f>IF(C89&lt;&gt;"",IFERROR(AVERAGE(出来高!E16:AC16),""),"")</f>
        <v>8365096</v>
      </c>
      <c r="O89" s="328">
        <f>IF(AND(J89&lt;&gt;"",M89&lt;&gt;"",M89&lt;&gt;0),J89/M89,"")</f>
        <v>0.60798839579549613</v>
      </c>
      <c r="P89" s="325" t="str">
        <f>IF(O89="","",IF(O89&gt;=2,"急増↑↑",IF(O89&gt;=1.5,"増加↑",IF(O89&gt;=1,"普通→","減少↓"))))</f>
        <v>減少↓</v>
      </c>
      <c r="Q89" s="325" t="str">
        <f>IF(E89="","",IF(AND(E89&lt;G89,O89&gt;=1.5),"売り▼",IF(E89&gt;G89,"様子見▲","中立→")))</f>
        <v>様子見▲</v>
      </c>
      <c r="R89" s="326">
        <f>IF(E89&lt;&gt;"",ROUND(E89*0.92,0),"")</f>
        <v>4368</v>
      </c>
      <c r="S89" s="326">
        <f>IF(E89&lt;&gt;"",ROUND(E89*1.04,0),"")</f>
        <v>4938</v>
      </c>
      <c r="T89" s="325">
        <f>IF(C89="","",IFERROR(IF(W89&gt;=70,3,IF(W89&gt;=60,2,IF(W89&gt;=50,1,0)))+IF(X89&lt;0,2,0)+IF(AD89="下降トレンド▼",3,IF(AD89="もみ合い→",1,0))+IF(V89="年初来安値圏●",3,IF(V89="安値圏",2,0))+IF(Q89="売り▼",2,0)+IF(P89="急増↑↑",2,IF(P89="増加↑",1,0))+IF(Z89&lt;0,1,0)+IF(L89&lt;=-30,2,IF(L89&lt;=-15,1,0))+IF(AE89="25日戻り売り★",2,IF(AE89="5日戻り売り○",1,0))+N(AL89)+N(AP89)+N(AU89),0))</f>
        <v>0</v>
      </c>
      <c r="U89" s="325" t="str">
        <f>IF(T89="","",IF(AND(T89&gt;=3,O89&gt;=1.5),"有効",IF(T89&gt;=3,"要確認","除外")))</f>
        <v>除外</v>
      </c>
      <c r="V89" s="325" t="str">
        <f>IF(AND(I89&lt;&gt;"",K89&lt;&gt;""),IF(I89&lt;=K89*0.6,"年初来安値圏●",IF(I89&lt;=K89*0.75,"安値圏","通常")),"")</f>
        <v>通常</v>
      </c>
      <c r="W89" s="329">
        <f t="array" ref="W89">IFERROR(100-100/(1+SUMPRODUCT((終値!F16:R16&gt;終値!G16:S16)*(終値!F16:R16-終値!G16:S16))/SUMPRODUCT((終値!F16:R16&lt;終値!G16:S16)*(終値!G16:S16-終値!F16:R16))),50)</f>
        <v>52.816901408450704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41.907824820192218</v>
      </c>
      <c r="Y89" s="325" t="str">
        <f>IF(AF89="","",AF89&amp;" | "&amp;AD89&amp;IF(AE89&lt;&gt;"なし"," "&amp;AE89,"")&amp;IF(X89&lt;0," MACD-"," MACD+")&amp;" RSI:"&amp;TEXT(W89,"0.0")&amp;IF(W89&gt;=70," [過熱]",IF(W89&lt;=30," [売られ過ぎ]",""))&amp;" 前日比:"&amp;TEXT(Z89,"+0.0;-0.0;0.0")&amp;"%"&amp;IF(V89="年初来安値圏●"," [年初来安値圏]",IF(V89="安値圏"," [安値圏]",""))&amp;IF(OR(AO89="通常",AO89="-"),""," ["&amp;AO89&amp;"]")&amp;IF(OR(AT89="通常",AT89="-"),"","前日["&amp;AT89&amp;"]")&amp;" ["&amp;T89&amp;"点]")</f>
        <v>相場上昇・見送り | パーフェクト▲ MACD+ RSI:52.8 前日比:+2.3% [0点]</v>
      </c>
      <c r="Z89" s="331">
        <f>IF(AND(E89&lt;&gt;"",G89&lt;&gt;"",G89&lt;&gt;0),(E89-G89)/G89*100,"")</f>
        <v>2.305537599655247</v>
      </c>
      <c r="AA89" s="325" t="str">
        <f>IF(OR(C89="",E89="",E89=0),"",IF(E89&gt;G89,"上昇▲",IF(E89&lt;G89,"下落▼","横ばい→")))</f>
        <v>上昇▲</v>
      </c>
      <c r="AB89" s="326">
        <f>IF(OR(C89="",C89="TOPX",終値!E16=""),"",IFERROR(((終値!E16*0.333)+(終値!F16*0.222)+(終値!G16*0.148)+(終値!H16*0.099)+(終値!I16*0.066))/(0.333+0.222+0.148+0.099+0.066),""))</f>
        <v>4725.5057603686628</v>
      </c>
      <c r="AC89" s="326">
        <f>IF(OR(C89="",C89="TOPX",終値!E16=""),"",IFERROR(SUMPRODUCT((終値!E16:AC16),{0.077,0.071,0.065,0.06,0.055,0.051,0.047,0.043,0.039,0.036,0.033,0.031,0.028,0.026,0.024,0.022,0.02,0.018,0.017,0.016,0.014,0.013,0.012,0.011,0.01})/SUM({0.077,0.071,0.065,0.06,0.055,0.051,0.047,0.043,0.039,0.036,0.033,0.031,0.028,0.026,0.024,0.022,0.02,0.018,0.017,0.016,0.014,0.013,0.012,0.011,0.01}),""))</f>
        <v>4701.7771156138242</v>
      </c>
      <c r="AD89" s="325" t="str">
        <f>IF(OR(C89="",AB89="",AC89="",AB89=0,AC89=0),"",IF(AND(E89&gt;AB89,AB89&gt;AC89),"パーフェクト▲",IF(E89&gt;AC89,"上昇トレンド▲",IF(AND(E89&lt;AB89,AB89&lt;AC89),"下降トレンド▼","もみ合い→"))))</f>
        <v>パーフェクト▲</v>
      </c>
      <c r="AE89" s="325" t="str">
        <f>IF(OR(C89="",AB89="",AC89=""),"",IF(AND(ABS(E89-AC89)/AC89&lt;=0.02,E89&lt;AC89),"25日戻り売り★",IF(AND(ABS(E89-AB89)/AB89&lt;=0.01,E89&lt;AB89),"5日戻り売り○","なし")))</f>
        <v>なし</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相場上昇・見送り</v>
      </c>
      <c r="AG89">
        <f>IF(AND(T89&gt;=7,C89&lt;&gt;""),T89,0)</f>
        <v>0</v>
      </c>
      <c r="AH89">
        <f>IF(AG89&gt;0,AG89*10000-ROW(A89),0)</f>
        <v>0</v>
      </c>
      <c r="AI89" s="373">
        <f t="array" ref="AI89">IF(C89="","",IFERROR((INDEX(終値!$E:$E,MATCH(TEXT(C89,"0"),終値!$A:$A,0))-INDEX(終値!$E:$CZ,MATCH(TEXT(C89,"0"),終値!$A:$A,0),$AN$2))/INDEX(終値!$E:$CZ,MATCH(TEXT(C89,"0"),終値!$A:$A,0),$AN$2)*100,""))</f>
        <v>9.3001841620626156</v>
      </c>
      <c r="AJ89" s="373">
        <f t="array" ref="AJ89">IFERROR((終値!$E$5-INDEX(終値!$E$5:$IT$5,1,$AN$2))/INDEX(終値!$E$5:$IT$5,1,$AN$2)*100,"")</f>
        <v>1.0179378228534113</v>
      </c>
      <c r="AK89" s="374">
        <f>IF(OR(AI89="",AJ89=""),"",AI89-AJ89)</f>
        <v>8.2822463392092036</v>
      </c>
      <c r="AL89" s="372">
        <f>IF(AK89="","",IF(AK89&lt;-5,3,IF(AK89&lt;0,1,IF(AK89&lt;3,-1,-2))))</f>
        <v>-2</v>
      </c>
      <c r="AO89" s="376" t="str">
        <f>IF(OR($C89="",$E89="",$F89="",$H89="",$I89="",$H89-$I89&lt;=0),"-",IF(AND($H89-MAX($F89,$E89)&gt;=ABS($E89-$F89)*2,MIN($F89,$E89)-$I89&lt;=ABS($E89-$F89)*0.5,ABS($E89-$F89)&gt;0),"上ヒゲ陰線▼",IF(AND($E89&lt;$F89,ABS($E89-$F89)&gt;=($H89-$I89)*0.7),"大陰線▼",IF(AND(MIN($F89,$E89)-$I89&gt;=($H89-$I89)*0.5,$H89-MAX($F89,$E89)&lt;=($H89-$I89)*0.2),"長い下ヒゲ(反発警戒)","通常"))))</f>
        <v>通常</v>
      </c>
      <c r="AP89" s="377">
        <f>IF($AO89="上ヒゲ陰線▼",2,IF($AO89="大陰線▼",2,IF($AO89="長い下ヒゲ(反発警戒)",-2,0)))</f>
        <v>0</v>
      </c>
      <c r="AQ89">
        <f>IF(C89&lt;&gt;"",始値!F16,"")</f>
        <v>4694</v>
      </c>
      <c r="AR89">
        <f>IF(C89&lt;&gt;"",高値!F16,"")</f>
        <v>4744</v>
      </c>
      <c r="AS89">
        <f>IF(C89&lt;&gt;"",安値!F16,"")</f>
        <v>4641</v>
      </c>
      <c r="AT89" t="str">
        <f>IF(OR(C89="",AQ89="",AR89="",AS89="",AR89-AS89&lt;=0),"-",IF(AND(AR89-MAX(G89,AQ89)&gt;=ABS(G89-AQ89)*2,MIN(G89,AQ89)-AS89&lt;=ABS(G89-AQ89)*0.5,ABS(G89-AQ89)&gt;0),"上ヒゲ陰線▼",IF(AND(G89&lt;AQ89,ABS(G89-AQ89)&gt;=(AR89-AS89)*0.7),"大陰線▼",IF(AND(MIN(G89,AQ89)-AS89&gt;=(AR89-AS89)*0.5,AR89-MAX(G89,AQ89)&lt;=(AR89-AS89)*0.2),"長い下ヒゲ(反発)","通常"))))</f>
        <v>通常</v>
      </c>
      <c r="AU89">
        <f>IF(AT89="上ヒゲ陰線▼",2,IF(AT89="大陰線▼",2,IF(AT89="長い下ヒゲ(反発)",-2,0)))</f>
        <v>0</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2538</v>
      </c>
      <c r="F90" s="333">
        <f>IF(C90&lt;&gt;"",_xll.RssMarket(C90,"始値"),"")</f>
        <v>2569</v>
      </c>
      <c r="G90" s="212">
        <f>IF(C90&lt;&gt;"",終値!F20,"")</f>
        <v>2546</v>
      </c>
      <c r="H90" s="333">
        <f>IF(C90&lt;&gt;"",_xll.RssMarket(C90,"高値"),"")</f>
        <v>2618</v>
      </c>
      <c r="I90" s="333">
        <f>IF(C90&lt;&gt;"",_xll.RssMarket(C90,"安値"),"")</f>
        <v>2437</v>
      </c>
      <c r="J90" s="333">
        <f>IF(C90&lt;&gt;"",_xll.RssMarket(C90,"出来高"),"")</f>
        <v>489900</v>
      </c>
      <c r="K90" s="333">
        <f>IF(C90&lt;&gt;"",_xll.RssMarket(C90,"年初来高値"),"")</f>
        <v>3865</v>
      </c>
      <c r="L90" s="334">
        <f>IF(AND(E90&lt;&gt;"",K90&lt;&gt;"",K90&lt;&gt;0),(E90-K90)/K90*100,"")</f>
        <v>-34.333764553686933</v>
      </c>
      <c r="M90" s="333">
        <f>IF(C90&lt;&gt;"",IFERROR(AVERAGE(出来高!E20:I20),""),"")</f>
        <v>325380</v>
      </c>
      <c r="N90" s="333">
        <f>IF(C90&lt;&gt;"",IFERROR(AVERAGE(出来高!E20:AC20),""),"")</f>
        <v>233675</v>
      </c>
      <c r="O90" s="335">
        <f>IF(AND(J90&lt;&gt;"",M90&lt;&gt;"",M90&lt;&gt;0),J90/M90,"")</f>
        <v>1.5056241932509682</v>
      </c>
      <c r="P90" s="212" t="str">
        <f>IF(O90="","",IF(O90&gt;=2,"急増↑↑",IF(O90&gt;=1.5,"増加↑",IF(O90&gt;=1,"普通→","減少↓"))))</f>
        <v>増加↑</v>
      </c>
      <c r="Q90" s="212" t="str">
        <f>IF(E90="","",IF(AND(E90&lt;G90,O90&gt;=1.5),"売り▼",IF(E90&gt;G90,"様子見▲","中立→")))</f>
        <v>売り▼</v>
      </c>
      <c r="R90" s="333">
        <f>IF(E90&lt;&gt;"",ROUND(E90*0.92,0),"")</f>
        <v>2335</v>
      </c>
      <c r="S90" s="333">
        <f>IF(E90&lt;&gt;"",ROUND(E90*1.04,0),"")</f>
        <v>2640</v>
      </c>
      <c r="T90" s="325">
        <f>IF(C90="","",IFERROR(IF(W90&gt;=70,3,IF(W90&gt;=60,2,IF(W90&gt;=50,1,0)))+IF(X90&lt;0,2,0)+IF(AD90="下降トレンド▼",3,IF(AD90="もみ合い→",1,0))+IF(V90="年初来安値圏●",3,IF(V90="安値圏",2,0))+IF(Q90="売り▼",2,0)+IF(P90="急増↑↑",2,IF(P90="増加↑",1,0))+IF(Z90&lt;0,1,0)+IF(L90&lt;=-30,2,IF(L90&lt;=-15,1,0))+IF(AE90="25日戻り売り★",2,IF(AE90="5日戻り売り○",1,0))+N(AL90)+N(AP90)+N(AU90),0))</f>
        <v>7</v>
      </c>
      <c r="U90" s="212" t="str">
        <f>IF(T90="","",IF(AND(T90&gt;=3,O90&gt;=1.5),"有効",IF(T90&gt;=3,"要確認","除外")))</f>
        <v>有効</v>
      </c>
      <c r="V90" s="212" t="str">
        <f>IF(AND(I90&lt;&gt;"",K90&lt;&gt;""),IF(I90&lt;=K90*0.6,"年初来安値圏●",IF(I90&lt;=K90*0.75,"安値圏","通常")),"")</f>
        <v>安値圏</v>
      </c>
      <c r="W90" s="336">
        <f t="array" ref="W90">IFERROR(100-100/(1+SUMPRODUCT((終値!F20:R20&gt;終値!G20:S20)*(終値!F20:R20-終値!G20:S20))/SUMPRODUCT((終値!F20:R20&lt;終値!G20:S20)*(終値!G20:S20-終値!F20:R20))),50)</f>
        <v>52.438313580726643</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22.686595234020388</v>
      </c>
      <c r="Y90" s="212" t="str">
        <f>IF(AF90="","",AF90&amp;" | "&amp;AD90&amp;IF(AE90&lt;&gt;"なし"," "&amp;AE90,"")&amp;IF(X90&lt;0," MACD-"," MACD+")&amp;" RSI:"&amp;TEXT(W90,"0.0")&amp;IF(W90&gt;=70," [過熱]",IF(W90&lt;=30," [売られ過ぎ]",""))&amp;" 前日比:"&amp;TEXT(Z90,"+0.0;-0.0;0.0")&amp;"%"&amp;IF(V90="年初来安値圏●"," [年初来安値圏]",IF(V90="安値圏"," [安値圏]",""))&amp;IF(OR(AO90="通常",AO90="-"),""," ["&amp;AO90&amp;"]")&amp;IF(OR(AT90="通常",AT90="-"),"","前日["&amp;AT90&amp;"]")&amp;" ["&amp;T90&amp;"点]")</f>
        <v>相場上昇・見送り | パーフェクト▲ MACD+ RSI:52.4 前日比:-0.3% [安値圏] [7点]</v>
      </c>
      <c r="Z90" s="338">
        <f>IF(AND(E90&lt;&gt;"",G90&lt;&gt;"",G90&lt;&gt;0),(E90-G90)/G90*100,"")</f>
        <v>-0.3142183817753339</v>
      </c>
      <c r="AA90" s="212" t="str">
        <f>IF(OR(C90="",E90="",E90=0),"",IF(E90&gt;G90,"上昇▲",IF(E90&lt;G90,"下落▼","横ばい→")))</f>
        <v>下落▼</v>
      </c>
      <c r="AB90" s="333">
        <f>IF(OR(C90="",C90="TOPX",終値!E20=""),"",IFERROR(((終値!E20*0.333)+(終値!F20*0.222)+(終値!G20*0.148)+(終値!H20*0.099)+(終値!I20*0.066))/(0.333+0.222+0.148+0.099+0.066),""))</f>
        <v>2514.8087557603681</v>
      </c>
      <c r="AC90" s="333">
        <f>IF(OR(C90="",C90="TOPX",終値!E20=""),"",IFERROR(SUMPRODUCT((終値!E20:AC20),{0.077,0.071,0.065,0.06,0.055,0.051,0.047,0.043,0.039,0.036,0.033,0.031,0.028,0.026,0.024,0.022,0.02,0.018,0.017,0.016,0.014,0.013,0.012,0.011,0.01})/SUM({0.077,0.071,0.065,0.06,0.055,0.051,0.047,0.043,0.039,0.036,0.033,0.031,0.028,0.026,0.024,0.022,0.02,0.018,0.017,0.016,0.014,0.013,0.012,0.011,0.01}),""))</f>
        <v>2288.9702026221685</v>
      </c>
      <c r="AD90" s="212" t="str">
        <f>IF(OR(C90="",AB90="",AC90="",AB90=0,AC90=0),"",IF(AND(E90&gt;AB90,AB90&gt;AC90),"パーフェクト▲",IF(E90&gt;AC90,"上昇トレンド▲",IF(AND(E90&lt;AB90,AB90&lt;AC90),"下降トレンド▼","もみ合い→"))))</f>
        <v>パーフェクト▲</v>
      </c>
      <c r="AE90" s="212" t="str">
        <f>IF(OR(C90="",AB90="",AC90=""),"",IF(AND(ABS(E90-AC90)/AC90&lt;=0.02,E90&lt;AC90),"25日戻り売り★",IF(AND(ABS(E90-AB90)/AB90&lt;=0.01,E90&lt;AB90),"5日戻り売り○","なし")))</f>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相場上昇・見送り</v>
      </c>
      <c r="AG90">
        <f>IF(AND(T90&gt;=7,C90&lt;&gt;""),T90,0)</f>
        <v>7</v>
      </c>
      <c r="AH90">
        <f>IF(AG90&gt;0,AG90*10000-ROW(A90),0)</f>
        <v>69910</v>
      </c>
      <c r="AI90" s="373">
        <f t="array" ref="AI90">IF(C90="","",IFERROR((INDEX(終値!$E:$E,MATCH(TEXT(C90,"0"),終値!$A:$A,0))-INDEX(終値!$E:$CZ,MATCH(TEXT(C90,"0"),終値!$A:$A,0),$AN$2))/INDEX(終値!$E:$CZ,MATCH(TEXT(C90,"0"),終値!$A:$A,0),$AN$2)*100,""))</f>
        <v>13.557046979865772</v>
      </c>
      <c r="AJ90" s="373">
        <f t="array" ref="AJ90">IFERROR((終値!$E$5-INDEX(終値!$E$5:$IT$5,1,$AN$2))/INDEX(終値!$E$5:$IT$5,1,$AN$2)*100,"")</f>
        <v>1.0179378228534113</v>
      </c>
      <c r="AK90" s="374">
        <f>IF(OR(AI90="",AJ90=""),"",AI90-AJ90)</f>
        <v>12.53910915701236</v>
      </c>
      <c r="AL90" s="372">
        <f>IF(AK90="","",IF(AK90&lt;-5,3,IF(AK90&lt;0,1,IF(AK90&lt;3,-1,-2))))</f>
        <v>-2</v>
      </c>
      <c r="AO90" s="376" t="str">
        <f>IF(OR($C90="",$E90="",$F90="",$H90="",$I90="",$H90-$I90&lt;=0),"-",IF(AND($H90-MAX($F90,$E90)&gt;=ABS($E90-$F90)*2,MIN($F90,$E90)-$I90&lt;=ABS($E90-$F90)*0.5,ABS($E90-$F90)&gt;0),"上ヒゲ陰線▼",IF(AND($E90&lt;$F90,ABS($E90-$F90)&gt;=($H90-$I90)*0.7),"大陰線▼",IF(AND(MIN($F90,$E90)-$I90&gt;=($H90-$I90)*0.5,$H90-MAX($F90,$E90)&lt;=($H90-$I90)*0.2),"長い下ヒゲ(反発警戒)","通常"))))</f>
        <v>通常</v>
      </c>
      <c r="AP90" s="377">
        <f>IF($AO90="上ヒゲ陰線▼",2,IF($AO90="大陰線▼",2,IF($AO90="長い下ヒゲ(反発警戒)",-2,0)))</f>
        <v>0</v>
      </c>
      <c r="AQ90">
        <f>IF(C90&lt;&gt;"",始値!F20,"")</f>
        <v>2495</v>
      </c>
      <c r="AR90">
        <f>IF(C90&lt;&gt;"",高値!F20,"")</f>
        <v>2579</v>
      </c>
      <c r="AS90">
        <f>IF(C90&lt;&gt;"",安値!F20,"")</f>
        <v>2485</v>
      </c>
      <c r="AT90" t="str">
        <f>IF(OR(C90="",AQ90="",AR90="",AS90="",AR90-AS90&lt;=0),"-",IF(AND(AR90-MAX(G90,AQ90)&gt;=ABS(G90-AQ90)*2,MIN(G90,AQ90)-AS90&lt;=ABS(G90-AQ90)*0.5,ABS(G90-AQ90)&gt;0),"上ヒゲ陰線▼",IF(AND(G90&lt;AQ90,ABS(G90-AQ90)&gt;=(AR90-AS90)*0.7),"大陰線▼",IF(AND(MIN(G90,AQ90)-AS90&gt;=(AR90-AS90)*0.5,AR90-MAX(G90,AQ90)&lt;=(AR90-AS90)*0.2),"長い下ヒゲ(反発)","通常"))))</f>
        <v>通常</v>
      </c>
      <c r="AU90">
        <f>IF(AT90="上ヒゲ陰線▼",2,IF(AT90="大陰線▼",2,IF(AT90="長い下ヒゲ(反発)",-2,0)))</f>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4962</v>
      </c>
      <c r="F91" s="326">
        <f>IF(C91&lt;&gt;"",_xll.RssMarket(C91,"始値"),"")</f>
        <v>5038</v>
      </c>
      <c r="G91" s="325">
        <f>IF(C91&lt;&gt;"",終値!F23,"")</f>
        <v>5032</v>
      </c>
      <c r="H91" s="326">
        <f>IF(C91&lt;&gt;"",_xll.RssMarket(C91,"高値"),"")</f>
        <v>5065</v>
      </c>
      <c r="I91" s="326">
        <f>IF(C91&lt;&gt;"",_xll.RssMarket(C91,"安値"),"")</f>
        <v>4935</v>
      </c>
      <c r="J91" s="326">
        <f>IF(C91&lt;&gt;"",_xll.RssMarket(C91,"出来高"),"")</f>
        <v>2230100</v>
      </c>
      <c r="K91" s="326">
        <f>IF(C91&lt;&gt;"",_xll.RssMarket(C91,"年初来高値"),"")</f>
        <v>5176</v>
      </c>
      <c r="L91" s="327">
        <f>IF(AND(E91&lt;&gt;"",K91&lt;&gt;"",K91&lt;&gt;0),(E91-K91)/K91*100,"")</f>
        <v>-4.1344667697063366</v>
      </c>
      <c r="M91" s="326">
        <f>IF(C91&lt;&gt;"",IFERROR(AVERAGE(出来高!E23:I23),""),"")</f>
        <v>1516460</v>
      </c>
      <c r="N91" s="326">
        <f>IF(C91&lt;&gt;"",IFERROR(AVERAGE(出来高!E23:AC23),""),"")</f>
        <v>1565250</v>
      </c>
      <c r="O91" s="328">
        <f>IF(AND(J91&lt;&gt;"",M91&lt;&gt;"",M91&lt;&gt;0),J91/M91,"")</f>
        <v>1.470595993300186</v>
      </c>
      <c r="P91" s="325" t="str">
        <f>IF(O91="","",IF(O91&gt;=2,"急増↑↑",IF(O91&gt;=1.5,"増加↑",IF(O91&gt;=1,"普通→","減少↓"))))</f>
        <v>普通→</v>
      </c>
      <c r="Q91" s="325" t="str">
        <f>IF(E91="","",IF(AND(E91&lt;G91,O91&gt;=1.5),"売り▼",IF(E91&gt;G91,"様子見▲","中立→")))</f>
        <v>中立→</v>
      </c>
      <c r="R91" s="326">
        <f>IF(E91&lt;&gt;"",ROUND(E91*0.92,0),"")</f>
        <v>4565</v>
      </c>
      <c r="S91" s="326">
        <f>IF(E91&lt;&gt;"",ROUND(E91*1.04,0),"")</f>
        <v>5160</v>
      </c>
      <c r="T91" s="325">
        <f>IF(C91="","",IFERROR(IF(W91&gt;=70,3,IF(W91&gt;=60,2,IF(W91&gt;=50,1,0)))+IF(X91&lt;0,2,0)+IF(AD91="下降トレンド▼",3,IF(AD91="もみ合い→",1,0))+IF(V91="年初来安値圏●",3,IF(V91="安値圏",2,0))+IF(Q91="売り▼",2,0)+IF(P91="急増↑↑",2,IF(P91="増加↑",1,0))+IF(Z91&lt;0,1,0)+IF(L91&lt;=-30,2,IF(L91&lt;=-15,1,0))+IF(AE91="25日戻り売り★",2,IF(AE91="5日戻り売り○",1,0))+N(AL91)+N(AP91)+N(AU91),0))</f>
        <v>1</v>
      </c>
      <c r="U91" s="325" t="str">
        <f>IF(T91="","",IF(AND(T91&gt;=3,O91&gt;=1.5),"有効",IF(T91&gt;=3,"要確認","除外")))</f>
        <v>除外</v>
      </c>
      <c r="V91" s="325" t="str">
        <f>IF(AND(I91&lt;&gt;"",K91&lt;&gt;""),IF(I91&lt;=K91*0.6,"年初来安値圏●",IF(I91&lt;=K91*0.75,"安値圏","通常")),"")</f>
        <v>通常</v>
      </c>
      <c r="W91" s="329">
        <f t="array" ref="W91">IFERROR(100-100/(1+SUMPRODUCT((終値!F23:R23&gt;終値!G23:S23)*(終値!F23:R23-終値!G23:S23))/SUMPRODUCT((終値!F23:R23&lt;終値!G23:S23)*(終値!G23:S23-終値!F23:R23))),50)</f>
        <v>49.920198616776027</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-7.9163625074124866</v>
      </c>
      <c r="Y91" s="325" t="str">
        <f>IF(AF91="","",AF91&amp;" | "&amp;AD91&amp;IF(AE91&lt;&gt;"なし"," "&amp;AE91,"")&amp;IF(X91&lt;0," MACD-"," MACD+")&amp;" RSI:"&amp;TEXT(W91,"0.0")&amp;IF(W91&gt;=70," [過熱]",IF(W91&lt;=30," [売られ過ぎ]",""))&amp;" 前日比:"&amp;TEXT(Z91,"+0.0;-0.0;0.0")&amp;"%"&amp;IF(V91="年初来安値圏●"," [年初来安値圏]",IF(V91="安値圏"," [安値圏]",""))&amp;IF(OR(AO91="通常",AO91="-"),""," ["&amp;AO91&amp;"]")&amp;IF(OR(AT91="通常",AT91="-"),"","前日["&amp;AT91&amp;"]")&amp;" ["&amp;T91&amp;"点]")</f>
        <v>相場上昇・見送り | 上昇トレンド▲ 5日戻り売り○ MACD- RSI:49.9 前日比:-1.4%前日[長い下ヒゲ(反発)] [1点]</v>
      </c>
      <c r="Z91" s="331">
        <f>IF(AND(E91&lt;&gt;"",G91&lt;&gt;"",G91&lt;&gt;0),(E91-G91)/G91*100,"")</f>
        <v>-1.3910969793322734</v>
      </c>
      <c r="AA91" s="325" t="str">
        <f>IF(OR(C91="",E91="",E91=0),"",IF(E91&gt;G91,"上昇▲",IF(E91&lt;G91,"下落▼","横ばい→")))</f>
        <v>下落▼</v>
      </c>
      <c r="AB91" s="326">
        <f>IF(OR(C91="",C91="TOPX",終値!E23=""),"",IFERROR(((終値!E23*0.333)+(終値!F23*0.222)+(終値!G23*0.148)+(終値!H23*0.099)+(終値!I23*0.066))/(0.333+0.222+0.148+0.099+0.066),""))</f>
        <v>4991.4758064516118</v>
      </c>
      <c r="AC91" s="326">
        <f>IF(OR(C91="",C91="TOPX",終値!E23=""),"",IFERROR(SUMPRODUCT((終値!E23:AC23),{0.077,0.071,0.065,0.06,0.055,0.051,0.047,0.043,0.039,0.036,0.033,0.031,0.028,0.026,0.024,0.022,0.02,0.018,0.017,0.016,0.014,0.013,0.012,0.011,0.01})/SUM({0.077,0.071,0.065,0.06,0.055,0.051,0.047,0.043,0.039,0.036,0.033,0.031,0.028,0.026,0.024,0.022,0.02,0.018,0.017,0.016,0.014,0.013,0.012,0.011,0.01}),""))</f>
        <v>4789.4755661501767</v>
      </c>
      <c r="AD91" s="325" t="str">
        <f>IF(OR(C91="",AB91="",AC91="",AB91=0,AC91=0),"",IF(AND(E91&gt;AB91,AB91&gt;AC91),"パーフェクト▲",IF(E91&gt;AC91,"上昇トレンド▲",IF(AND(E91&lt;AB91,AB91&lt;AC91),"下降トレンド▼","もみ合い→"))))</f>
        <v>上昇トレンド▲</v>
      </c>
      <c r="AE91" s="325" t="str">
        <f>IF(OR(C91="",AB91="",AC91=""),"",IF(AND(ABS(E91-AC91)/AC91&lt;=0.02,E91&lt;AC91),"25日戻り売り★",IF(AND(ABS(E91-AB91)/AB91&lt;=0.01,E91&lt;AB91),"5日戻り売り○","なし")))</f>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相場上昇・見送り</v>
      </c>
      <c r="AG91">
        <f>IF(AND(T91&gt;=7,C91&lt;&gt;""),T91,0)</f>
        <v>0</v>
      </c>
      <c r="AH91">
        <f>IF(AG91&gt;0,AG91*10000-ROW(A91),0)</f>
        <v>0</v>
      </c>
      <c r="AI91" s="373">
        <f t="array" ref="AI91">IF(C91="","",IFERROR((INDEX(終値!$E:$E,MATCH(TEXT(C91,"0"),終値!$A:$A,0))-INDEX(終値!$E:$CZ,MATCH(TEXT(C91,"0"),終値!$A:$A,0),$AN$2))/INDEX(終値!$E:$CZ,MATCH(TEXT(C91,"0"),終値!$A:$A,0),$AN$2)*100,""))</f>
        <v>3.0529595015576323</v>
      </c>
      <c r="AJ91" s="373">
        <f t="array" ref="AJ91">IFERROR((終値!$E$5-INDEX(終値!$E$5:$IT$5,1,$AN$2))/INDEX(終値!$E$5:$IT$5,1,$AN$2)*100,"")</f>
        <v>1.0179378228534113</v>
      </c>
      <c r="AK91" s="374">
        <f>IF(OR(AI91="",AJ91=""),"",AI91-AJ91)</f>
        <v>2.0350216787042212</v>
      </c>
      <c r="AL91" s="372">
        <f>IF(AK91="","",IF(AK91&lt;-5,3,IF(AK91&lt;0,1,IF(AK91&lt;3,-1,-2))))</f>
        <v>-1</v>
      </c>
      <c r="AO91" s="376" t="str">
        <f>IF(OR($C91="",$E91="",$F91="",$H91="",$I91="",$H91-$I91&lt;=0),"-",IF(AND($H91-MAX($F91,$E91)&gt;=ABS($E91-$F91)*2,MIN($F91,$E91)-$I91&lt;=ABS($E91-$F91)*0.5,ABS($E91-$F91)&gt;0),"上ヒゲ陰線▼",IF(AND($E91&lt;$F91,ABS($E91-$F91)&gt;=($H91-$I91)*0.7),"大陰線▼",IF(AND(MIN($F91,$E91)-$I91&gt;=($H91-$I91)*0.5,$H91-MAX($F91,$E91)&lt;=($H91-$I91)*0.2),"長い下ヒゲ(反発警戒)","通常"))))</f>
        <v>通常</v>
      </c>
      <c r="AP91" s="377">
        <f>IF($AO91="上ヒゲ陰線▼",2,IF($AO91="大陰線▼",2,IF($AO91="長い下ヒゲ(反発警戒)",-2,0)))</f>
        <v>0</v>
      </c>
      <c r="AQ91">
        <f>IF(C91&lt;&gt;"",始値!F23,"")</f>
        <v>5020</v>
      </c>
      <c r="AR91">
        <f>IF(C91&lt;&gt;"",高値!F23,"")</f>
        <v>5040</v>
      </c>
      <c r="AS91">
        <f>IF(C91&lt;&gt;"",安値!F23,"")</f>
        <v>4973</v>
      </c>
      <c r="AT91" t="str">
        <f>IF(OR(C91="",AQ91="",AR91="",AS91="",AR91-AS91&lt;=0),"-",IF(AND(AR91-MAX(G91,AQ91)&gt;=ABS(G91-AQ91)*2,MIN(G91,AQ91)-AS91&lt;=ABS(G91-AQ91)*0.5,ABS(G91-AQ91)&gt;0),"上ヒゲ陰線▼",IF(AND(G91&lt;AQ91,ABS(G91-AQ91)&gt;=(AR91-AS91)*0.7),"大陰線▼",IF(AND(MIN(G91,AQ91)-AS91&gt;=(AR91-AS91)*0.5,AR91-MAX(G91,AQ91)&lt;=(AR91-AS91)*0.2),"長い下ヒゲ(反発)","通常"))))</f>
        <v>長い下ヒゲ(反発)</v>
      </c>
      <c r="AU91">
        <f>IF(AT91="上ヒゲ陰線▼",2,IF(AT91="大陰線▼",2,IF(AT91="長い下ヒゲ(反発)",-2,0)))</f>
        <v>-2</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2342</v>
      </c>
      <c r="F92" s="333">
        <f>IF(C92&lt;&gt;"",_xll.RssMarket(C92,"始値"),"")</f>
        <v>2289</v>
      </c>
      <c r="G92" s="212">
        <f>IF(C92&lt;&gt;"",終値!F35,"")</f>
        <v>2283</v>
      </c>
      <c r="H92" s="333">
        <f>IF(C92&lt;&gt;"",_xll.RssMarket(C92,"高値"),"")</f>
        <v>2362</v>
      </c>
      <c r="I92" s="333">
        <f>IF(C92&lt;&gt;"",_xll.RssMarket(C92,"安値"),"")</f>
        <v>2280.5</v>
      </c>
      <c r="J92" s="333">
        <f>IF(C92&lt;&gt;"",_xll.RssMarket(C92,"出来高"),"")</f>
        <v>10474300</v>
      </c>
      <c r="K92" s="333">
        <f>IF(C92&lt;&gt;"",_xll.RssMarket(C92,"年初来高値"),"")</f>
        <v>2420.5</v>
      </c>
      <c r="L92" s="334">
        <f>IF(AND(E92&lt;&gt;"",K92&lt;&gt;"",K92&lt;&gt;0),(E92-K92)/K92*100,"")</f>
        <v>-3.2431315843833923</v>
      </c>
      <c r="M92" s="333">
        <f>IF(C92&lt;&gt;"",IFERROR(AVERAGE(出来高!E35:I35),""),"")</f>
        <v>12101780</v>
      </c>
      <c r="N92" s="333">
        <f>IF(C92&lt;&gt;"",IFERROR(AVERAGE(出来高!E35:AC35),""),"")</f>
        <v>10432052</v>
      </c>
      <c r="O92" s="335">
        <f>IF(AND(J92&lt;&gt;"",M92&lt;&gt;"",M92&lt;&gt;0),J92/M92,"")</f>
        <v>0.86551730406601346</v>
      </c>
      <c r="P92" s="212" t="str">
        <f>IF(O92="","",IF(O92&gt;=2,"急増↑↑",IF(O92&gt;=1.5,"増加↑",IF(O92&gt;=1,"普通→","減少↓"))))</f>
        <v>減少↓</v>
      </c>
      <c r="Q92" s="212" t="str">
        <f>IF(E92="","",IF(AND(E92&lt;G92,O92&gt;=1.5),"売り▼",IF(E92&gt;G92,"様子見▲","中立→")))</f>
        <v>様子見▲</v>
      </c>
      <c r="R92" s="333">
        <f>IF(E92&lt;&gt;"",ROUND(E92*0.92,0),"")</f>
        <v>2155</v>
      </c>
      <c r="S92" s="333">
        <f>IF(E92&lt;&gt;"",ROUND(E92*1.04,0),"")</f>
        <v>2436</v>
      </c>
      <c r="T92" s="325">
        <f>IF(C92="","",IFERROR(IF(W92&gt;=70,3,IF(W92&gt;=60,2,IF(W92&gt;=50,1,0)))+IF(X92&lt;0,2,0)+IF(AD92="下降トレンド▼",3,IF(AD92="もみ合い→",1,0))+IF(V92="年初来安値圏●",3,IF(V92="安値圏",2,0))+IF(Q92="売り▼",2,0)+IF(P92="急増↑↑",2,IF(P92="増加↑",1,0))+IF(Z92&lt;0,1,0)+IF(L92&lt;=-30,2,IF(L92&lt;=-15,1,0))+IF(AE92="25日戻り売り★",2,IF(AE92="5日戻り売り○",1,0))+N(AL92)+N(AP92)+N(AU92),0))</f>
        <v>0</v>
      </c>
      <c r="U92" s="212" t="str">
        <f>IF(T92="","",IF(AND(T92&gt;=3,O92&gt;=1.5),"有効",IF(T92&gt;=3,"要確認","除外")))</f>
        <v>除外</v>
      </c>
      <c r="V92" s="212" t="str">
        <f>IF(AND(I92&lt;&gt;"",K92&lt;&gt;""),IF(I92&lt;=K92*0.6,"年初来安値圏●",IF(I92&lt;=K92*0.75,"安値圏","通常")),"")</f>
        <v>通常</v>
      </c>
      <c r="W92" s="336">
        <f t="array" ref="W92">IFERROR(100-100/(1+SUMPRODUCT((終値!F35:R35&gt;終値!G35:S35)*(終値!F35:R35-終値!G35:S35))/SUMPRODUCT((終値!F35:R35&lt;終値!G35:S35)*(終値!G35:S35-終値!F35:R35))),50)</f>
        <v>43.60503644797879</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-5.9527919630299948</v>
      </c>
      <c r="Y92" s="212" t="str">
        <f>IF(AF92="","",AF92&amp;" | "&amp;AD92&amp;IF(AE92&lt;&gt;"なし"," "&amp;AE92,"")&amp;IF(X92&lt;0," MACD-"," MACD+")&amp;" RSI:"&amp;TEXT(W92,"0.0")&amp;IF(W92&gt;=70," [過熱]",IF(W92&lt;=30," [売られ過ぎ]",""))&amp;" 前日比:"&amp;TEXT(Z92,"+0.0;-0.0;0.0")&amp;"%"&amp;IF(V92="年初来安値圏●"," [年初来安値圏]",IF(V92="安値圏"," [安値圏]",""))&amp;IF(OR(AO92="通常",AO92="-"),""," ["&amp;AO92&amp;"]")&amp;IF(OR(AT92="通常",AT92="-"),"","前日["&amp;AT92&amp;"]")&amp;" ["&amp;T92&amp;"点]")</f>
        <v>相場上昇・見送り | 上昇トレンド▲ MACD- RSI:43.6 前日比:+2.6% [0点]</v>
      </c>
      <c r="Z92" s="338">
        <f>IF(AND(E92&lt;&gt;"",G92&lt;&gt;"",G92&lt;&gt;0),(E92-G92)/G92*100,"")</f>
        <v>2.5843188786684186</v>
      </c>
      <c r="AA92" s="212" t="str">
        <f>IF(OR(C92="",E92="",E92=0),"",IF(E92&gt;G92,"上昇▲",IF(E92&lt;G92,"下落▼","横ばい→")))</f>
        <v>上昇▲</v>
      </c>
      <c r="AB92" s="333">
        <f>IF(OR(C92="",C92="TOPX",終値!E35=""),"",IFERROR(((終値!E35*0.333)+(終値!F35*0.222)+(終値!G35*0.148)+(終値!H35*0.099)+(終値!I35*0.066))/(0.333+0.222+0.148+0.099+0.066),""))</f>
        <v>2278.9130184331798</v>
      </c>
      <c r="AC92" s="333">
        <f>IF(OR(C92="",C92="TOPX",終値!E35=""),"",IFERROR(SUMPRODUCT((終値!E35:AC35),{0.077,0.071,0.065,0.06,0.055,0.051,0.047,0.043,0.039,0.036,0.033,0.031,0.028,0.026,0.024,0.022,0.02,0.018,0.017,0.016,0.014,0.013,0.012,0.011,0.01})/SUM({0.077,0.071,0.065,0.06,0.055,0.051,0.047,0.043,0.039,0.036,0.033,0.031,0.028,0.026,0.024,0.022,0.02,0.018,0.017,0.016,0.014,0.013,0.012,0.011,0.01}),""))</f>
        <v>2282.5417163289621</v>
      </c>
      <c r="AD92" s="212" t="str">
        <f>IF(OR(C92="",AB92="",AC92="",AB92=0,AC92=0),"",IF(AND(E92&gt;AB92,AB92&gt;AC92),"パーフェクト▲",IF(E92&gt;AC92,"上昇トレンド▲",IF(AND(E92&lt;AB92,AB92&lt;AC92),"下降トレンド▼","もみ合い→"))))</f>
        <v>上昇トレンド▲</v>
      </c>
      <c r="AE92" s="212" t="str">
        <f>IF(OR(C92="",AB92="",AC92=""),"",IF(AND(ABS(E92-AC92)/AC92&lt;=0.02,E92&lt;AC92),"25日戻り売り★",IF(AND(ABS(E92-AB92)/AB92&lt;=0.01,E92&lt;AB92),"5日戻り売り○","なし")))</f>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相場上昇・見送り</v>
      </c>
      <c r="AG92">
        <f>IF(AND(T92&gt;=7,C92&lt;&gt;""),T92,0)</f>
        <v>0</v>
      </c>
      <c r="AH92">
        <f>IF(AG92&gt;0,AG92*10000-ROW(A92),0)</f>
        <v>0</v>
      </c>
      <c r="AI92" s="373">
        <f t="array" ref="AI92">IF(C92="","",IFERROR((INDEX(終値!$E:$E,MATCH(TEXT(C92,"0"),終値!$A:$A,0))-INDEX(終値!$E:$CZ,MATCH(TEXT(C92,"0"),終値!$A:$A,0),$AN$2))/INDEX(終値!$E:$CZ,MATCH(TEXT(C92,"0"),終値!$A:$A,0),$AN$2)*100,""))</f>
        <v>10.759044691416412</v>
      </c>
      <c r="AJ92" s="373">
        <f t="array" ref="AJ92">IFERROR((終値!$E$5-INDEX(終値!$E$5:$IT$5,1,$AN$2))/INDEX(終値!$E$5:$IT$5,1,$AN$2)*100,"")</f>
        <v>1.0179378228534113</v>
      </c>
      <c r="AK92" s="374">
        <f>IF(OR(AI92="",AJ92=""),"",AI92-AJ92)</f>
        <v>9.7411068685629996</v>
      </c>
      <c r="AL92" s="372">
        <f>IF(AK92="","",IF(AK92&lt;-5,3,IF(AK92&lt;0,1,IF(AK92&lt;3,-1,-2))))</f>
        <v>-2</v>
      </c>
      <c r="AO92" s="376" t="str">
        <f>IF(OR($C92="",$E92="",$F92="",$H92="",$I92="",$H92-$I92&lt;=0),"-",IF(AND($H92-MAX($F92,$E92)&gt;=ABS($E92-$F92)*2,MIN($F92,$E92)-$I92&lt;=ABS($E92-$F92)*0.5,ABS($E92-$F92)&gt;0),"上ヒゲ陰線▼",IF(AND($E92&lt;$F92,ABS($E92-$F92)&gt;=($H92-$I92)*0.7),"大陰線▼",IF(AND(MIN($F92,$E92)-$I92&gt;=($H92-$I92)*0.5,$H92-MAX($F92,$E92)&lt;=($H92-$I92)*0.2),"長い下ヒゲ(反発警戒)","通常"))))</f>
        <v>通常</v>
      </c>
      <c r="AP92" s="377">
        <f>IF($AO92="上ヒゲ陰線▼",2,IF($AO92="大陰線▼",2,IF($AO92="長い下ヒゲ(反発警戒)",-2,0)))</f>
        <v>0</v>
      </c>
      <c r="AQ92">
        <f>IF(C92&lt;&gt;"",始値!F35,"")</f>
        <v>2208</v>
      </c>
      <c r="AR92">
        <f>IF(C92&lt;&gt;"",高値!F35,"")</f>
        <v>2283</v>
      </c>
      <c r="AS92">
        <f>IF(C92&lt;&gt;"",安値!F35,"")</f>
        <v>2183.5</v>
      </c>
      <c r="AT92" t="str">
        <f>IF(OR(C92="",AQ92="",AR92="",AS92="",AR92-AS92&lt;=0),"-",IF(AND(AR92-MAX(G92,AQ92)&gt;=ABS(G92-AQ92)*2,MIN(G92,AQ92)-AS92&lt;=ABS(G92-AQ92)*0.5,ABS(G92-AQ92)&gt;0),"上ヒゲ陰線▼",IF(AND(G92&lt;AQ92,ABS(G92-AQ92)&gt;=(AR92-AS92)*0.7),"大陰線▼",IF(AND(MIN(G92,AQ92)-AS92&gt;=(AR92-AS92)*0.5,AR92-MAX(G92,AQ92)&lt;=(AR92-AS92)*0.2),"長い下ヒゲ(反発)","通常"))))</f>
        <v>通常</v>
      </c>
      <c r="AU92">
        <f>IF(AT92="上ヒゲ陰線▼",2,IF(AT92="大陰線▼",2,IF(AT92="長い下ヒゲ(反発)",-2,0)))</f>
        <v>0</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1782.5</v>
      </c>
      <c r="F93" s="326">
        <f>IF(C93&lt;&gt;"",_xll.RssMarket(C93,"始値"),"")</f>
        <v>1750</v>
      </c>
      <c r="G93" s="325">
        <f>IF(C93&lt;&gt;"",終値!F36,"")</f>
        <v>1754.5</v>
      </c>
      <c r="H93" s="326">
        <f>IF(C93&lt;&gt;"",_xll.RssMarket(C93,"高値"),"")</f>
        <v>1785</v>
      </c>
      <c r="I93" s="326">
        <f>IF(C93&lt;&gt;"",_xll.RssMarket(C93,"安値"),"")</f>
        <v>1746</v>
      </c>
      <c r="J93" s="326">
        <f>IF(C93&lt;&gt;"",_xll.RssMarket(C93,"出来高"),"")</f>
        <v>2367100</v>
      </c>
      <c r="K93" s="326">
        <f>IF(C93&lt;&gt;"",_xll.RssMarket(C93,"年初来高値"),"")</f>
        <v>1943</v>
      </c>
      <c r="L93" s="327">
        <f>IF(AND(E93&lt;&gt;"",K93&lt;&gt;"",K93&lt;&gt;0),(E93-K93)/K93*100,"")</f>
        <v>-8.2604220277920746</v>
      </c>
      <c r="M93" s="326">
        <f>IF(C93&lt;&gt;"",IFERROR(AVERAGE(出来高!E36:I36),""),"")</f>
        <v>3631280</v>
      </c>
      <c r="N93" s="326">
        <f>IF(C93&lt;&gt;"",IFERROR(AVERAGE(出来高!E36:AC36),""),"")</f>
        <v>2348684</v>
      </c>
      <c r="O93" s="328">
        <f>IF(AND(J93&lt;&gt;"",M93&lt;&gt;"",M93&lt;&gt;0),J93/M93,"")</f>
        <v>0.65186380560022916</v>
      </c>
      <c r="P93" s="325" t="str">
        <f>IF(O93="","",IF(O93&gt;=2,"急増↑↑",IF(O93&gt;=1.5,"増加↑",IF(O93&gt;=1,"普通→","減少↓"))))</f>
        <v>減少↓</v>
      </c>
      <c r="Q93" s="325" t="str">
        <f>IF(E93="","",IF(AND(E93&lt;G93,O93&gt;=1.5),"売り▼",IF(E93&gt;G93,"様子見▲","中立→")))</f>
        <v>様子見▲</v>
      </c>
      <c r="R93" s="326">
        <f>IF(E93&lt;&gt;"",ROUND(E93*0.92,0),"")</f>
        <v>1640</v>
      </c>
      <c r="S93" s="326">
        <f>IF(E93&lt;&gt;"",ROUND(E93*1.04,0),"")</f>
        <v>1854</v>
      </c>
      <c r="T93" s="325">
        <f>IF(C93="","",IFERROR(IF(W93&gt;=70,3,IF(W93&gt;=60,2,IF(W93&gt;=50,1,0)))+IF(X93&lt;0,2,0)+IF(AD93="下降トレンド▼",3,IF(AD93="もみ合い→",1,0))+IF(V93="年初来安値圏●",3,IF(V93="安値圏",2,0))+IF(Q93="売り▼",2,0)+IF(P93="急増↑↑",2,IF(P93="増加↑",1,0))+IF(Z93&lt;0,1,0)+IF(L93&lt;=-30,2,IF(L93&lt;=-15,1,0))+IF(AE93="25日戻り売り★",2,IF(AE93="5日戻り売り○",1,0))+N(AL93)+N(AP93)+N(AU93),0))</f>
        <v>4</v>
      </c>
      <c r="U93" s="325" t="str">
        <f>IF(T93="","",IF(AND(T93&gt;=3,O93&gt;=1.5),"有効",IF(T93&gt;=3,"要確認","除外")))</f>
        <v>要確認</v>
      </c>
      <c r="V93" s="325" t="str">
        <f>IF(AND(I93&lt;&gt;"",K93&lt;&gt;""),IF(I93&lt;=K93*0.6,"年初来安値圏●",IF(I93&lt;=K93*0.75,"安値圏","通常")),"")</f>
        <v>通常</v>
      </c>
      <c r="W93" s="329">
        <f t="array" ref="W93">IFERROR(100-100/(1+SUMPRODUCT((終値!F36:R36&gt;終値!G36:S36)*(終値!F36:R36-終値!G36:S36))/SUMPRODUCT((終値!F36:R36&lt;終値!G36:S36)*(終値!G36:S36-終値!F36:R36))),50)</f>
        <v>36.004162330905302</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-12.571641942532324</v>
      </c>
      <c r="Y93" s="325" t="str">
        <f>IF(AF93="","",AF93&amp;" | "&amp;AD93&amp;IF(AE93&lt;&gt;"なし"," "&amp;AE93,"")&amp;IF(X93&lt;0," MACD-"," MACD+")&amp;" RSI:"&amp;TEXT(W93,"0.0")&amp;IF(W93&gt;=70," [過熱]",IF(W93&lt;=30," [売られ過ぎ]",""))&amp;" 前日比:"&amp;TEXT(Z93,"+0.0;-0.0;0.0")&amp;"%"&amp;IF(V93="年初来安値圏●"," [年初来安値圏]",IF(V93="安値圏"," [安値圏]",""))&amp;IF(OR(AO93="通常",AO93="-"),""," ["&amp;AO93&amp;"]")&amp;IF(OR(AT93="通常",AT93="-"),"","前日["&amp;AT93&amp;"]")&amp;" ["&amp;T93&amp;"点]")</f>
        <v>相場上昇・見送り | もみ合い→ MACD- RSI:36.0 前日比:+1.6% [4点]</v>
      </c>
      <c r="Z93" s="331">
        <f>IF(AND(E93&lt;&gt;"",G93&lt;&gt;"",G93&lt;&gt;0),(E93-G93)/G93*100,"")</f>
        <v>1.5958962667426617</v>
      </c>
      <c r="AA93" s="325" t="str">
        <f>IF(OR(C93="",E93="",E93=0),"",IF(E93&gt;G93,"上昇▲",IF(E93&lt;G93,"下落▼","横ばい→")))</f>
        <v>上昇▲</v>
      </c>
      <c r="AB93" s="326">
        <f>IF(OR(C93="",C93="TOPX",終値!E36=""),"",IFERROR(((終値!E36*0.333)+(終値!F36*0.222)+(終値!G36*0.148)+(終値!H36*0.099)+(終値!I36*0.066))/(0.333+0.222+0.148+0.099+0.066),""))</f>
        <v>1753.8277649769584</v>
      </c>
      <c r="AC93" s="326">
        <f>IF(OR(C93="",C93="TOPX",終値!E36=""),"",IFERROR(SUMPRODUCT((終値!E36:AC36),{0.077,0.071,0.065,0.06,0.055,0.051,0.047,0.043,0.039,0.036,0.033,0.031,0.028,0.026,0.024,0.022,0.02,0.018,0.017,0.016,0.014,0.013,0.012,0.011,0.01})/SUM({0.077,0.071,0.065,0.06,0.055,0.051,0.047,0.043,0.039,0.036,0.033,0.031,0.028,0.026,0.024,0.022,0.02,0.018,0.017,0.016,0.014,0.013,0.012,0.011,0.01}),""))</f>
        <v>1821.7997616209773</v>
      </c>
      <c r="AD93" s="325" t="str">
        <f>IF(OR(C93="",AB93="",AC93="",AB93=0,AC93=0),"",IF(AND(E93&gt;AB93,AB93&gt;AC93),"パーフェクト▲",IF(E93&gt;AC93,"上昇トレンド▲",IF(AND(E93&lt;AB93,AB93&lt;AC93),"下降トレンド▼","もみ合い→"))))</f>
        <v>もみ合い→</v>
      </c>
      <c r="AE93" s="325" t="str">
        <f>IF(OR(C93="",AB93="",AC93=""),"",IF(AND(ABS(E93-AC93)/AC93&lt;=0.02,E93&lt;AC93),"25日戻り売り★",IF(AND(ABS(E93-AB93)/AB93&lt;=0.01,E93&lt;AB93),"5日戻り売り○","なし")))</f>
        <v>なし</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相場上昇・見送り</v>
      </c>
      <c r="AG93">
        <f>IF(AND(T93&gt;=7,C93&lt;&gt;""),T93,0)</f>
        <v>0</v>
      </c>
      <c r="AH93">
        <f>IF(AG93&gt;0,AG93*10000-ROW(A93),0)</f>
        <v>0</v>
      </c>
      <c r="AI93" s="373">
        <f t="array" ref="AI93">IF(C93="","",IFERROR((INDEX(終値!$E:$E,MATCH(TEXT(C93,"0"),終値!$A:$A,0))-INDEX(終値!$E:$CZ,MATCH(TEXT(C93,"0"),終値!$A:$A,0),$AN$2))/INDEX(終値!$E:$CZ,MATCH(TEXT(C93,"0"),終値!$A:$A,0),$AN$2)*100,""))</f>
        <v>-0.50237231370360036</v>
      </c>
      <c r="AJ93" s="373">
        <f t="array" ref="AJ93">IFERROR((終値!$E$5-INDEX(終値!$E$5:$IT$5,1,$AN$2))/INDEX(終値!$E$5:$IT$5,1,$AN$2)*100,"")</f>
        <v>1.0179378228534113</v>
      </c>
      <c r="AK93" s="374">
        <f>IF(OR(AI93="",AJ93=""),"",AI93-AJ93)</f>
        <v>-1.5203101365570117</v>
      </c>
      <c r="AL93" s="372">
        <f>IF(AK93="","",IF(AK93&lt;-5,3,IF(AK93&lt;0,1,IF(AK93&lt;3,-1,-2))))</f>
        <v>1</v>
      </c>
      <c r="AO93" s="376" t="str">
        <f>IF(OR($C93="",$E93="",$F93="",$H93="",$I93="",$H93-$I93&lt;=0),"-",IF(AND($H93-MAX($F93,$E93)&gt;=ABS($E93-$F93)*2,MIN($F93,$E93)-$I93&lt;=ABS($E93-$F93)*0.5,ABS($E93-$F93)&gt;0),"上ヒゲ陰線▼",IF(AND($E93&lt;$F93,ABS($E93-$F93)&gt;=($H93-$I93)*0.7),"大陰線▼",IF(AND(MIN($F93,$E93)-$I93&gt;=($H93-$I93)*0.5,$H93-MAX($F93,$E93)&lt;=($H93-$I93)*0.2),"長い下ヒゲ(反発警戒)","通常"))))</f>
        <v>通常</v>
      </c>
      <c r="AP93" s="377">
        <f>IF($AO93="上ヒゲ陰線▼",2,IF($AO93="大陰線▼",2,IF($AO93="長い下ヒゲ(反発警戒)",-2,0)))</f>
        <v>0</v>
      </c>
      <c r="AQ93">
        <f>IF(C93&lt;&gt;"",始値!F36,"")</f>
        <v>1720</v>
      </c>
      <c r="AR93">
        <f>IF(C93&lt;&gt;"",高値!F36,"")</f>
        <v>1754.5</v>
      </c>
      <c r="AS93">
        <f>IF(C93&lt;&gt;"",安値!F36,"")</f>
        <v>1719</v>
      </c>
      <c r="AT93" t="str">
        <f>IF(OR(C93="",AQ93="",AR93="",AS93="",AR93-AS93&lt;=0),"-",IF(AND(AR93-MAX(G93,AQ93)&gt;=ABS(G93-AQ93)*2,MIN(G93,AQ93)-AS93&lt;=ABS(G93-AQ93)*0.5,ABS(G93-AQ93)&gt;0),"上ヒゲ陰線▼",IF(AND(G93&lt;AQ93,ABS(G93-AQ93)&gt;=(AR93-AS93)*0.7),"大陰線▼",IF(AND(MIN(G93,AQ93)-AS93&gt;=(AR93-AS93)*0.5,AR93-MAX(G93,AQ93)&lt;=(AR93-AS93)*0.2),"長い下ヒゲ(反発)","通常"))))</f>
        <v>通常</v>
      </c>
      <c r="AU93">
        <f>IF(AT93="上ヒゲ陰線▼",2,IF(AT93="大陰線▼",2,IF(AT93="長い下ヒゲ(反発)",-2,0)))</f>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1594.5</v>
      </c>
      <c r="F94" s="333">
        <f>IF(C94&lt;&gt;"",_xll.RssMarket(C94,"始値"),"")</f>
        <v>1546</v>
      </c>
      <c r="G94" s="212">
        <f>IF(C94&lt;&gt;"",終値!F37,"")</f>
        <v>1546.5</v>
      </c>
      <c r="H94" s="333">
        <f>IF(C94&lt;&gt;"",_xll.RssMarket(C94,"高値"),"")</f>
        <v>1599</v>
      </c>
      <c r="I94" s="333">
        <f>IF(C94&lt;&gt;"",_xll.RssMarket(C94,"安値"),"")</f>
        <v>1541.5</v>
      </c>
      <c r="J94" s="333">
        <f>IF(C94&lt;&gt;"",_xll.RssMarket(C94,"出来高"),"")</f>
        <v>891700</v>
      </c>
      <c r="K94" s="333">
        <f>IF(C94&lt;&gt;"",_xll.RssMarket(C94,"年初来高値"),"")</f>
        <v>1860</v>
      </c>
      <c r="L94" s="334">
        <f>IF(AND(E94&lt;&gt;"",K94&lt;&gt;"",K94&lt;&gt;0),(E94-K94)/K94*100,"")</f>
        <v>-14.274193548387096</v>
      </c>
      <c r="M94" s="333">
        <f>IF(C94&lt;&gt;"",IFERROR(AVERAGE(出来高!E37:I37),""),"")</f>
        <v>598360</v>
      </c>
      <c r="N94" s="333">
        <f>IF(C94&lt;&gt;"",IFERROR(AVERAGE(出来高!E37:AC37),""),"")</f>
        <v>544956</v>
      </c>
      <c r="O94" s="335">
        <f>IF(AND(J94&lt;&gt;"",M94&lt;&gt;"",M94&lt;&gt;0),J94/M94,"")</f>
        <v>1.4902399893040978</v>
      </c>
      <c r="P94" s="212" t="str">
        <f>IF(O94="","",IF(O94&gt;=2,"急増↑↑",IF(O94&gt;=1.5,"増加↑",IF(O94&gt;=1,"普通→","減少↓"))))</f>
        <v>普通→</v>
      </c>
      <c r="Q94" s="212" t="str">
        <f>IF(E94="","",IF(AND(E94&lt;G94,O94&gt;=1.5),"売り▼",IF(E94&gt;G94,"様子見▲","中立→")))</f>
        <v>様子見▲</v>
      </c>
      <c r="R94" s="333">
        <f>IF(E94&lt;&gt;"",ROUND(E94*0.92,0),"")</f>
        <v>1467</v>
      </c>
      <c r="S94" s="333">
        <f>IF(E94&lt;&gt;"",ROUND(E94*1.04,0),"")</f>
        <v>1658</v>
      </c>
      <c r="T94" s="325">
        <f>IF(C94="","",IFERROR(IF(W94&gt;=70,3,IF(W94&gt;=60,2,IF(W94&gt;=50,1,0)))+IF(X94&lt;0,2,0)+IF(AD94="下降トレンド▼",3,IF(AD94="もみ合い→",1,0))+IF(V94="年初来安値圏●",3,IF(V94="安値圏",2,0))+IF(Q94="売り▼",2,0)+IF(P94="急増↑↑",2,IF(P94="増加↑",1,0))+IF(Z94&lt;0,1,0)+IF(L94&lt;=-30,2,IF(L94&lt;=-15,1,0))+IF(AE94="25日戻り売り★",2,IF(AE94="5日戻り売り○",1,0))+N(AL94)+N(AP94)+N(AU94),0))</f>
        <v>-3</v>
      </c>
      <c r="U94" s="212" t="str">
        <f>IF(T94="","",IF(AND(T94&gt;=3,O94&gt;=1.5),"有効",IF(T94&gt;=3,"要確認","除外")))</f>
        <v>除外</v>
      </c>
      <c r="V94" s="212" t="str">
        <f>IF(AND(I94&lt;&gt;"",K94&lt;&gt;""),IF(I94&lt;=K94*0.6,"年初来安値圏●",IF(I94&lt;=K94*0.75,"安値圏","通常")),"")</f>
        <v>通常</v>
      </c>
      <c r="W94" s="336">
        <f t="array" ref="W94">IFERROR(100-100/(1+SUMPRODUCT((終値!F37:R37&gt;終値!G37:S37)*(終値!F37:R37-終値!G37:S37))/SUMPRODUCT((終値!F37:R37&lt;終値!G37:S37)*(終値!G37:S37-終値!F37:R37))),50)</f>
        <v>50.970873786407765</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4.6187445022476368</v>
      </c>
      <c r="Y94" s="212" t="str">
        <f>IF(AF94="","",AF94&amp;" | "&amp;AD94&amp;IF(AE94&lt;&gt;"なし"," "&amp;AE94,"")&amp;IF(X94&lt;0," MACD-"," MACD+")&amp;" RSI:"&amp;TEXT(W94,"0.0")&amp;IF(W94&gt;=70," [過熱]",IF(W94&lt;=30," [売られ過ぎ]",""))&amp;" 前日比:"&amp;TEXT(Z94,"+0.0;-0.0;0.0")&amp;"%"&amp;IF(V94="年初来安値圏●"," [年初来安値圏]",IF(V94="安値圏"," [安値圏]",""))&amp;IF(OR(AO94="通常",AO94="-"),""," ["&amp;AO94&amp;"]")&amp;IF(OR(AT94="通常",AT94="-"),"","前日["&amp;AT94&amp;"]")&amp;" ["&amp;T94&amp;"点]")</f>
        <v>相場上昇・見送り | パーフェクト▲ MACD+ RSI:51.0 前日比:+3.1%前日[長い下ヒゲ(反発)] [-3点]</v>
      </c>
      <c r="Z94" s="338">
        <f>IF(AND(E94&lt;&gt;"",G94&lt;&gt;"",G94&lt;&gt;0),(E94-G94)/G94*100,"")</f>
        <v>3.1037827352085356</v>
      </c>
      <c r="AA94" s="212" t="str">
        <f>IF(OR(C94="",E94="",E94=0),"",IF(E94&gt;G94,"上昇▲",IF(E94&lt;G94,"下落▼","横ばい→")))</f>
        <v>上昇▲</v>
      </c>
      <c r="AB94" s="333">
        <f>IF(OR(C94="",C94="TOPX",終値!E37=""),"",IFERROR(((終値!E37*0.333)+(終値!F37*0.222)+(終値!G37*0.148)+(終値!H37*0.099)+(終値!I37*0.066))/(0.333+0.222+0.148+0.099+0.066),""))</f>
        <v>1563.3001152073732</v>
      </c>
      <c r="AC94" s="333">
        <f>IF(OR(C94="",C94="TOPX",終値!E37=""),"",IFERROR(SUMPRODUCT((終値!E37:AC37),{0.077,0.071,0.065,0.06,0.055,0.051,0.047,0.043,0.039,0.036,0.033,0.031,0.028,0.026,0.024,0.022,0.02,0.018,0.017,0.016,0.014,0.013,0.012,0.011,0.01})/SUM({0.077,0.071,0.065,0.06,0.055,0.051,0.047,0.043,0.039,0.036,0.033,0.031,0.028,0.026,0.024,0.022,0.02,0.018,0.017,0.016,0.014,0.013,0.012,0.011,0.01}),""))</f>
        <v>1555.7407628128722</v>
      </c>
      <c r="AD94" s="212" t="str">
        <f>IF(OR(C94="",AB94="",AC94="",AB94=0,AC94=0),"",IF(AND(E94&gt;AB94,AB94&gt;AC94),"パーフェクト▲",IF(E94&gt;AC94,"上昇トレンド▲",IF(AND(E94&lt;AB94,AB94&lt;AC94),"下降トレンド▼","もみ合い→"))))</f>
        <v>パーフェクト▲</v>
      </c>
      <c r="AE94" s="212" t="str">
        <f>IF(OR(C94="",AB94="",AC94=""),"",IF(AND(ABS(E94-AC94)/AC94&lt;=0.02,E94&lt;AC94),"25日戻り売り★",IF(AND(ABS(E94-AB94)/AB94&lt;=0.01,E94&lt;AB94),"5日戻り売り○","なし")))</f>
        <v>なし</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相場上昇・見送り</v>
      </c>
      <c r="AG94">
        <f>IF(AND(T94&gt;=7,C94&lt;&gt;""),T94,0)</f>
        <v>0</v>
      </c>
      <c r="AH94">
        <f>IF(AG94&gt;0,AG94*10000-ROW(A94),0)</f>
        <v>0</v>
      </c>
      <c r="AI94" s="373">
        <f t="array" ref="AI94">IF(C94="","",IFERROR((INDEX(終値!$E:$E,MATCH(TEXT(C94,"0"),終値!$A:$A,0))-INDEX(終値!$E:$CZ,MATCH(TEXT(C94,"0"),終値!$A:$A,0),$AN$2))/INDEX(終値!$E:$CZ,MATCH(TEXT(C94,"0"),終値!$A:$A,0),$AN$2)*100,""))</f>
        <v>8.4325059503570223</v>
      </c>
      <c r="AJ94" s="373">
        <f t="array" ref="AJ94">IFERROR((終値!$E$5-INDEX(終値!$E$5:$IT$5,1,$AN$2))/INDEX(終値!$E$5:$IT$5,1,$AN$2)*100,"")</f>
        <v>1.0179378228534113</v>
      </c>
      <c r="AK94" s="374">
        <f>IF(OR(AI94="",AJ94=""),"",AI94-AJ94)</f>
        <v>7.4145681275036113</v>
      </c>
      <c r="AL94" s="372">
        <f>IF(AK94="","",IF(AK94&lt;-5,3,IF(AK94&lt;0,1,IF(AK94&lt;3,-1,-2))))</f>
        <v>-2</v>
      </c>
      <c r="AO94" s="376" t="str">
        <f>IF(OR($C94="",$E94="",$F94="",$H94="",$I94="",$H94-$I94&lt;=0),"-",IF(AND($H94-MAX($F94,$E94)&gt;=ABS($E94-$F94)*2,MIN($F94,$E94)-$I94&lt;=ABS($E94-$F94)*0.5,ABS($E94-$F94)&gt;0),"上ヒゲ陰線▼",IF(AND($E94&lt;$F94,ABS($E94-$F94)&gt;=($H94-$I94)*0.7),"大陰線▼",IF(AND(MIN($F94,$E94)-$I94&gt;=($H94-$I94)*0.5,$H94-MAX($F94,$E94)&lt;=($H94-$I94)*0.2),"長い下ヒゲ(反発警戒)","通常"))))</f>
        <v>通常</v>
      </c>
      <c r="AP94" s="377">
        <f>IF($AO94="上ヒゲ陰線▼",2,IF($AO94="大陰線▼",2,IF($AO94="長い下ヒゲ(反発警戒)",-2,0)))</f>
        <v>0</v>
      </c>
      <c r="AQ94">
        <f>IF(C94&lt;&gt;"",始値!F37,"")</f>
        <v>1541.5</v>
      </c>
      <c r="AR94">
        <f>IF(C94&lt;&gt;"",高値!F37,"")</f>
        <v>1549</v>
      </c>
      <c r="AS94">
        <f>IF(C94&lt;&gt;"",安値!F37,"")</f>
        <v>1528</v>
      </c>
      <c r="AT94" t="str">
        <f>IF(OR(C94="",AQ94="",AR94="",AS94="",AR94-AS94&lt;=0),"-",IF(AND(AR94-MAX(G94,AQ94)&gt;=ABS(G94-AQ94)*2,MIN(G94,AQ94)-AS94&lt;=ABS(G94-AQ94)*0.5,ABS(G94-AQ94)&gt;0),"上ヒゲ陰線▼",IF(AND(G94&lt;AQ94,ABS(G94-AQ94)&gt;=(AR94-AS94)*0.7),"大陰線▼",IF(AND(MIN(G94,AQ94)-AS94&gt;=(AR94-AS94)*0.5,AR94-MAX(G94,AQ94)&lt;=(AR94-AS94)*0.2),"長い下ヒゲ(反発)","通常"))))</f>
        <v>長い下ヒゲ(反発)</v>
      </c>
      <c r="AU94">
        <f>IF(AT94="上ヒゲ陰線▼",2,IF(AT94="大陰線▼",2,IF(AT94="長い下ヒゲ(反発)",-2,0)))</f>
        <v>-2</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2016.5</v>
      </c>
      <c r="F95" s="326">
        <f>IF(C95&lt;&gt;"",_xll.RssMarket(C95,"始値"),"")</f>
        <v>1952</v>
      </c>
      <c r="G95" s="325">
        <f>IF(C95&lt;&gt;"",終値!F38,"")</f>
        <v>1972</v>
      </c>
      <c r="H95" s="326">
        <f>IF(C95&lt;&gt;"",_xll.RssMarket(C95,"高値"),"")</f>
        <v>2022</v>
      </c>
      <c r="I95" s="326">
        <f>IF(C95&lt;&gt;"",_xll.RssMarket(C95,"安値"),"")</f>
        <v>1942</v>
      </c>
      <c r="J95" s="326">
        <f>IF(C95&lt;&gt;"",_xll.RssMarket(C95,"出来高"),"")</f>
        <v>2994700</v>
      </c>
      <c r="K95" s="326">
        <f>IF(C95&lt;&gt;"",_xll.RssMarket(C95,"年初来高値"),"")</f>
        <v>2379.5</v>
      </c>
      <c r="L95" s="327">
        <f>IF(AND(E95&lt;&gt;"",K95&lt;&gt;"",K95&lt;&gt;0),(E95-K95)/K95*100,"")</f>
        <v>-15.255305736499263</v>
      </c>
      <c r="M95" s="326">
        <f>IF(C95&lt;&gt;"",IFERROR(AVERAGE(出来高!E38:I38),""),"")</f>
        <v>3407660</v>
      </c>
      <c r="N95" s="326">
        <f>IF(C95&lt;&gt;"",IFERROR(AVERAGE(出来高!E38:AC38),""),"")</f>
        <v>2411612</v>
      </c>
      <c r="O95" s="328">
        <f>IF(AND(J95&lt;&gt;"",M95&lt;&gt;"",M95&lt;&gt;0),J95/M95,"")</f>
        <v>0.87881420094727758</v>
      </c>
      <c r="P95" s="325" t="str">
        <f>IF(O95="","",IF(O95&gt;=2,"急増↑↑",IF(O95&gt;=1.5,"増加↑",IF(O95&gt;=1,"普通→","減少↓"))))</f>
        <v>減少↓</v>
      </c>
      <c r="Q95" s="325" t="str">
        <f>IF(E95="","",IF(AND(E95&lt;G95,O95&gt;=1.5),"売り▼",IF(E95&gt;G95,"様子見▲","中立→")))</f>
        <v>様子見▲</v>
      </c>
      <c r="R95" s="326">
        <f>IF(E95&lt;&gt;"",ROUND(E95*0.92,0),"")</f>
        <v>1855</v>
      </c>
      <c r="S95" s="326">
        <f>IF(E95&lt;&gt;"",ROUND(E95*1.04,0),"")</f>
        <v>2097</v>
      </c>
      <c r="T95" s="325">
        <f>IF(C95="","",IFERROR(IF(W95&gt;=70,3,IF(W95&gt;=60,2,IF(W95&gt;=50,1,0)))+IF(X95&lt;0,2,0)+IF(AD95="下降トレンド▼",3,IF(AD95="もみ合い→",1,0))+IF(V95="年初来安値圏●",3,IF(V95="安値圏",2,0))+IF(Q95="売り▼",2,0)+IF(P95="急増↑↑",2,IF(P95="増加↑",1,0))+IF(Z95&lt;0,1,0)+IF(L95&lt;=-30,2,IF(L95&lt;=-15,1,0))+IF(AE95="25日戻り売り★",2,IF(AE95="5日戻り売り○",1,0))+N(AL95)+N(AP95)+N(AU95),0))</f>
        <v>1</v>
      </c>
      <c r="U95" s="325" t="str">
        <f>IF(T95="","",IF(AND(T95&gt;=3,O95&gt;=1.5),"有効",IF(T95&gt;=3,"要確認","除外")))</f>
        <v>除外</v>
      </c>
      <c r="V95" s="325" t="str">
        <f>IF(AND(I95&lt;&gt;"",K95&lt;&gt;""),IF(I95&lt;=K95*0.6,"年初来安値圏●",IF(I95&lt;=K95*0.75,"安値圏","通常")),"")</f>
        <v>通常</v>
      </c>
      <c r="W95" s="329">
        <f t="array" ref="W95">IFERROR(100-100/(1+SUMPRODUCT((終値!F38:R38&gt;終値!G38:S38)*(終値!F38:R38-終値!G38:S38))/SUMPRODUCT((終値!F38:R38&lt;終値!G38:S38)*(終値!G38:S38-終値!F38:R38))),50)</f>
        <v>55.212922173274592</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19.49264843436049</v>
      </c>
      <c r="Y95" s="325" t="str">
        <f>IF(AF95="","",AF95&amp;" | "&amp;AD95&amp;IF(AE95&lt;&gt;"なし"," "&amp;AE95,"")&amp;IF(X95&lt;0," MACD-"," MACD+")&amp;" RSI:"&amp;TEXT(W95,"0.0")&amp;IF(W95&gt;=70," [過熱]",IF(W95&lt;=30," [売られ過ぎ]",""))&amp;" 前日比:"&amp;TEXT(Z95,"+0.0;-0.0;0.0")&amp;"%"&amp;IF(V95="年初来安値圏●"," [年初来安値圏]",IF(V95="安値圏"," [安値圏]",""))&amp;IF(OR(AO95="通常",AO95="-"),""," ["&amp;AO95&amp;"]")&amp;IF(OR(AT95="通常",AT95="-"),"","前日["&amp;AT95&amp;"]")&amp;" ["&amp;T95&amp;"点]")</f>
        <v>相場上昇・見送り | 上昇トレンド▲ 5日戻り売り○ MACD+ RSI:55.2 前日比:+2.3% [1点]</v>
      </c>
      <c r="Z95" s="331">
        <f>IF(AND(E95&lt;&gt;"",G95&lt;&gt;"",G95&lt;&gt;0),(E95-G95)/G95*100,"")</f>
        <v>2.2565922920892496</v>
      </c>
      <c r="AA95" s="325" t="str">
        <f>IF(OR(C95="",E95="",E95=0),"",IF(E95&gt;G95,"上昇▲",IF(E95&lt;G95,"下落▼","横ばい→")))</f>
        <v>上昇▲</v>
      </c>
      <c r="AB95" s="326">
        <f>IF(OR(C95="",C95="TOPX",終値!E38=""),"",IFERROR(((終値!E38*0.333)+(終値!F38*0.222)+(終値!G38*0.148)+(終値!H38*0.099)+(終値!I38*0.066))/(0.333+0.222+0.148+0.099+0.066),""))</f>
        <v>2021.9602534562207</v>
      </c>
      <c r="AC95" s="326">
        <f>IF(OR(C95="",C95="TOPX",終値!E38=""),"",IFERROR(SUMPRODUCT((終値!E38:AC38),{0.077,0.071,0.065,0.06,0.055,0.051,0.047,0.043,0.039,0.036,0.033,0.031,0.028,0.026,0.024,0.022,0.02,0.018,0.017,0.016,0.014,0.013,0.012,0.011,0.01})/SUM({0.077,0.071,0.065,0.06,0.055,0.051,0.047,0.043,0.039,0.036,0.033,0.031,0.028,0.026,0.024,0.022,0.02,0.018,0.017,0.016,0.014,0.013,0.012,0.011,0.01}),""))</f>
        <v>1996.5160905840276</v>
      </c>
      <c r="AD95" s="325" t="str">
        <f>IF(OR(C95="",AB95="",AC95="",AB95=0,AC95=0),"",IF(AND(E95&gt;AB95,AB95&gt;AC95),"パーフェクト▲",IF(E95&gt;AC95,"上昇トレンド▲",IF(AND(E95&lt;AB95,AB95&lt;AC95),"下降トレンド▼","もみ合い→"))))</f>
        <v>上昇トレンド▲</v>
      </c>
      <c r="AE95" s="325" t="str">
        <f>IF(OR(C95="",AB95="",AC95=""),"",IF(AND(ABS(E95-AC95)/AC95&lt;=0.02,E95&lt;AC95),"25日戻り売り★",IF(AND(ABS(E95-AB95)/AB95&lt;=0.01,E95&lt;AB95),"5日戻り売り○","なし")))</f>
        <v>5日戻り売り○</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相場上昇・見送り</v>
      </c>
      <c r="AG95">
        <f>IF(AND(T95&gt;=7,C95&lt;&gt;""),T95,0)</f>
        <v>0</v>
      </c>
      <c r="AH95">
        <f>IF(AG95&gt;0,AG95*10000-ROW(A95),0)</f>
        <v>0</v>
      </c>
      <c r="AI95" s="373">
        <f t="array" ref="AI95">IF(C95="","",IFERROR((INDEX(終値!$E:$E,MATCH(TEXT(C95,"0"),終値!$A:$A,0))-INDEX(終値!$E:$CZ,MATCH(TEXT(C95,"0"),終値!$A:$A,0),$AN$2))/INDEX(終値!$E:$CZ,MATCH(TEXT(C95,"0"),終値!$A:$A,0),$AN$2)*100,""))</f>
        <v>9.0589507842076795</v>
      </c>
      <c r="AJ95" s="373">
        <f t="array" ref="AJ95">IFERROR((終値!$E$5-INDEX(終値!$E$5:$IT$5,1,$AN$2))/INDEX(終値!$E$5:$IT$5,1,$AN$2)*100,"")</f>
        <v>1.0179378228534113</v>
      </c>
      <c r="AK95" s="374">
        <f>IF(OR(AI95="",AJ95=""),"",AI95-AJ95)</f>
        <v>8.0410129613542676</v>
      </c>
      <c r="AL95" s="372">
        <f>IF(AK95="","",IF(AK95&lt;-5,3,IF(AK95&lt;0,1,IF(AK95&lt;3,-1,-2))))</f>
        <v>-2</v>
      </c>
      <c r="AO95" s="376" t="str">
        <f>IF(OR($C95="",$E95="",$F95="",$H95="",$I95="",$H95-$I95&lt;=0),"-",IF(AND($H95-MAX($F95,$E95)&gt;=ABS($E95-$F95)*2,MIN($F95,$E95)-$I95&lt;=ABS($E95-$F95)*0.5,ABS($E95-$F95)&gt;0),"上ヒゲ陰線▼",IF(AND($E95&lt;$F95,ABS($E95-$F95)&gt;=($H95-$I95)*0.7),"大陰線▼",IF(AND(MIN($F95,$E95)-$I95&gt;=($H95-$I95)*0.5,$H95-MAX($F95,$E95)&lt;=($H95-$I95)*0.2),"長い下ヒゲ(反発警戒)","通常"))))</f>
        <v>通常</v>
      </c>
      <c r="AP95" s="377">
        <f>IF($AO95="上ヒゲ陰線▼",2,IF($AO95="大陰線▼",2,IF($AO95="長い下ヒゲ(反発警戒)",-2,0)))</f>
        <v>0</v>
      </c>
      <c r="AQ95">
        <f>IF(C95&lt;&gt;"",始値!F38,"")</f>
        <v>2080</v>
      </c>
      <c r="AR95">
        <f>IF(C95&lt;&gt;"",高値!F38,"")</f>
        <v>2093.5</v>
      </c>
      <c r="AS95">
        <f>IF(C95&lt;&gt;"",安値!F38,"")</f>
        <v>1919.5</v>
      </c>
      <c r="AT95" t="str">
        <f>IF(OR(C95="",AQ95="",AR95="",AS95="",AR95-AS95&lt;=0),"-",IF(AND(AR95-MAX(G95,AQ95)&gt;=ABS(G95-AQ95)*2,MIN(G95,AQ95)-AS95&lt;=ABS(G95-AQ95)*0.5,ABS(G95-AQ95)&gt;0),"上ヒゲ陰線▼",IF(AND(G95&lt;AQ95,ABS(G95-AQ95)&gt;=(AR95-AS95)*0.7),"大陰線▼",IF(AND(MIN(G95,AQ95)-AS95&gt;=(AR95-AS95)*0.5,AR95-MAX(G95,AQ95)&lt;=(AR95-AS95)*0.2),"長い下ヒゲ(反発)","通常"))))</f>
        <v>通常</v>
      </c>
      <c r="AU95">
        <f>IF(AT95="上ヒゲ陰線▼",2,IF(AT95="大陰線▼",2,IF(AT95="長い下ヒゲ(反発)",-2,0)))</f>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3596</v>
      </c>
      <c r="F96" s="333">
        <f>IF(C96&lt;&gt;"",_xll.RssMarket(C96,"始値"),"")</f>
        <v>3508</v>
      </c>
      <c r="G96" s="212">
        <f>IF(C96&lt;&gt;"",終値!F42,"")</f>
        <v>3500</v>
      </c>
      <c r="H96" s="333">
        <f>IF(C96&lt;&gt;"",_xll.RssMarket(C96,"高値"),"")</f>
        <v>3644</v>
      </c>
      <c r="I96" s="333">
        <f>IF(C96&lt;&gt;"",_xll.RssMarket(C96,"安値"),"")</f>
        <v>3496</v>
      </c>
      <c r="J96" s="333">
        <f>IF(C96&lt;&gt;"",_xll.RssMarket(C96,"出来高"),"")</f>
        <v>721400</v>
      </c>
      <c r="K96" s="333">
        <f>IF(C96&lt;&gt;"",_xll.RssMarket(C96,"年初来高値"),"")</f>
        <v>4456</v>
      </c>
      <c r="L96" s="334">
        <f>IF(AND(E96&lt;&gt;"",K96&lt;&gt;"",K96&lt;&gt;0),(E96-K96)/K96*100,"")</f>
        <v>-19.299820466786354</v>
      </c>
      <c r="M96" s="333">
        <f>IF(C96&lt;&gt;"",IFERROR(AVERAGE(出来高!E42:I42),""),"")</f>
        <v>426820</v>
      </c>
      <c r="N96" s="333">
        <f>IF(C96&lt;&gt;"",IFERROR(AVERAGE(出来高!E42:AC42),""),"")</f>
        <v>332340</v>
      </c>
      <c r="O96" s="335">
        <f>IF(AND(J96&lt;&gt;"",M96&lt;&gt;"",M96&lt;&gt;0),J96/M96,"")</f>
        <v>1.6901738437748934</v>
      </c>
      <c r="P96" s="212" t="str">
        <f>IF(O96="","",IF(O96&gt;=2,"急増↑↑",IF(O96&gt;=1.5,"増加↑",IF(O96&gt;=1,"普通→","減少↓"))))</f>
        <v>増加↑</v>
      </c>
      <c r="Q96" s="212" t="str">
        <f>IF(E96="","",IF(AND(E96&lt;G96,O96&gt;=1.5),"売り▼",IF(E96&gt;G96,"様子見▲","中立→")))</f>
        <v>様子見▲</v>
      </c>
      <c r="R96" s="333">
        <f>IF(E96&lt;&gt;"",ROUND(E96*0.92,0),"")</f>
        <v>3308</v>
      </c>
      <c r="S96" s="333">
        <f>IF(E96&lt;&gt;"",ROUND(E96*1.04,0),"")</f>
        <v>3740</v>
      </c>
      <c r="T96" s="325">
        <f>IF(C96="","",IFERROR(IF(W96&gt;=70,3,IF(W96&gt;=60,2,IF(W96&gt;=50,1,0)))+IF(X96&lt;0,2,0)+IF(AD96="下降トレンド▼",3,IF(AD96="もみ合い→",1,0))+IF(V96="年初来安値圏●",3,IF(V96="安値圏",2,0))+IF(Q96="売り▼",2,0)+IF(P96="急増↑↑",2,IF(P96="増加↑",1,0))+IF(Z96&lt;0,1,0)+IF(L96&lt;=-30,2,IF(L96&lt;=-15,1,0))+IF(AE96="25日戻り売り★",2,IF(AE96="5日戻り売り○",1,0))+N(AL96)+N(AP96)+N(AU96),0))</f>
        <v>8</v>
      </c>
      <c r="U96" s="212" t="str">
        <f>IF(T96="","",IF(AND(T96&gt;=3,O96&gt;=1.5),"有効",IF(T96&gt;=3,"要確認","除外")))</f>
        <v>有効</v>
      </c>
      <c r="V96" s="212" t="str">
        <f>IF(AND(I96&lt;&gt;"",K96&lt;&gt;""),IF(I96&lt;=K96*0.6,"年初来安値圏●",IF(I96&lt;=K96*0.75,"安値圏","通常")),"")</f>
        <v>通常</v>
      </c>
      <c r="W96" s="336">
        <f t="array" ref="W96">IFERROR(100-100/(1+SUMPRODUCT((終値!F42:R42&gt;終値!G42:S42)*(終値!F42:R42-終値!G42:S42))/SUMPRODUCT((終値!F42:R42&lt;終値!G42:S42)*(終値!G42:S42-終値!F42:R42))),50)</f>
        <v>42.812500000000007</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-3.1264911100579411</v>
      </c>
      <c r="Y96" s="212" t="str">
        <f>IF(AF96="","",AF96&amp;" | "&amp;AD96&amp;IF(AE96&lt;&gt;"なし"," "&amp;AE96,"")&amp;IF(X96&lt;0," MACD-"," MACD+")&amp;" RSI:"&amp;TEXT(W96,"0.0")&amp;IF(W96&gt;=70," [過熱]",IF(W96&lt;=30," [売られ過ぎ]",""))&amp;" 前日比:"&amp;TEXT(Z96,"+0.0;-0.0;0.0")&amp;"%"&amp;IF(V96="年初来安値圏●"," [年初来安値圏]",IF(V96="安値圏"," [安値圏]",""))&amp;IF(OR(AO96="通常",AO96="-"),""," ["&amp;AO96&amp;"]")&amp;IF(OR(AT96="通常",AT96="-"),"","前日["&amp;AT96&amp;"]")&amp;" ["&amp;T96&amp;"点]")</f>
        <v>○逆張り売り | もみ合い→ 25日戻り売り★ MACD- RSI:42.8 前日比:+2.7% [8点]</v>
      </c>
      <c r="Z96" s="338">
        <f>IF(AND(E96&lt;&gt;"",G96&lt;&gt;"",G96&lt;&gt;0),(E96-G96)/G96*100,"")</f>
        <v>2.7428571428571429</v>
      </c>
      <c r="AA96" s="212" t="str">
        <f>IF(OR(C96="",E96="",E96=0),"",IF(E96&gt;G96,"上昇▲",IF(E96&lt;G96,"下落▼","横ばい→")))</f>
        <v>上昇▲</v>
      </c>
      <c r="AB96" s="333">
        <f>IF(OR(C96="",C96="TOPX",終値!E42=""),"",IFERROR(((終値!E42*0.333)+(終値!F42*0.222)+(終値!G42*0.148)+(終値!H42*0.099)+(終値!I42*0.066))/(0.333+0.222+0.148+0.099+0.066),""))</f>
        <v>3545.5437788018435</v>
      </c>
      <c r="AC96" s="333">
        <f>IF(OR(C96="",C96="TOPX",終値!E42=""),"",IFERROR(SUMPRODUCT((終値!E42:AC42),{0.077,0.071,0.065,0.06,0.055,0.051,0.047,0.043,0.039,0.036,0.033,0.031,0.028,0.026,0.024,0.022,0.02,0.018,0.017,0.016,0.014,0.013,0.012,0.011,0.01})/SUM({0.077,0.071,0.065,0.06,0.055,0.051,0.047,0.043,0.039,0.036,0.033,0.031,0.028,0.026,0.024,0.022,0.02,0.018,0.017,0.016,0.014,0.013,0.012,0.011,0.01}),""))</f>
        <v>3600.5697258641235</v>
      </c>
      <c r="AD96" s="212" t="str">
        <f>IF(OR(C96="",AB96="",AC96="",AB96=0,AC96=0),"",IF(AND(E96&gt;AB96,AB96&gt;AC96),"パーフェクト▲",IF(E96&gt;AC96,"上昇トレンド▲",IF(AND(E96&lt;AB96,AB96&lt;AC96),"下降トレンド▼","もみ合い→"))))</f>
        <v>もみ合い→</v>
      </c>
      <c r="AE96" s="212" t="str">
        <f>IF(OR(C96="",AB96="",AC96=""),"",IF(AND(ABS(E96-AC96)/AC96&lt;=0.02,E96&lt;AC96),"25日戻り売り★",IF(AND(ABS(E96-AB96)/AB96&lt;=0.01,E96&lt;AB96),"5日戻り売り○","なし")))</f>
        <v>25日戻り売り★</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○逆張り売り</v>
      </c>
      <c r="AG96">
        <f>IF(AND(T96&gt;=7,C96&lt;&gt;""),T96,0)</f>
        <v>8</v>
      </c>
      <c r="AH96">
        <f>IF(AG96&gt;0,AG96*10000-ROW(A96),0)</f>
        <v>79904</v>
      </c>
      <c r="AI96" s="373">
        <f t="array" ref="AI96">IF(C96="","",IFERROR((INDEX(終値!$E:$E,MATCH(TEXT(C96,"0"),終値!$A:$A,0))-INDEX(終値!$E:$CZ,MATCH(TEXT(C96,"0"),終値!$A:$A,0),$AN$2))/INDEX(終値!$E:$CZ,MATCH(TEXT(C96,"0"),終値!$A:$A,0),$AN$2)*100,""))</f>
        <v>0.86956521739130432</v>
      </c>
      <c r="AJ96" s="373">
        <f t="array" ref="AJ96">IFERROR((終値!$E$5-INDEX(終値!$E$5:$IT$5,1,$AN$2))/INDEX(終値!$E$5:$IT$5,1,$AN$2)*100,"")</f>
        <v>1.0179378228534113</v>
      </c>
      <c r="AK96" s="374">
        <f>IF(OR(AI96="",AJ96=""),"",AI96-AJ96)</f>
        <v>-0.14837260546210695</v>
      </c>
      <c r="AL96" s="372">
        <f>IF(AK96="","",IF(AK96&lt;-5,3,IF(AK96&lt;0,1,IF(AK96&lt;3,-1,-2))))</f>
        <v>1</v>
      </c>
      <c r="AO96" s="376" t="str">
        <f>IF(OR($C96="",$E96="",$F96="",$H96="",$I96="",$H96-$I96&lt;=0),"-",IF(AND($H96-MAX($F96,$E96)&gt;=ABS($E96-$F96)*2,MIN($F96,$E96)-$I96&lt;=ABS($E96-$F96)*0.5,ABS($E96-$F96)&gt;0),"上ヒゲ陰線▼",IF(AND($E96&lt;$F96,ABS($E96-$F96)&gt;=($H96-$I96)*0.7),"大陰線▼",IF(AND(MIN($F96,$E96)-$I96&gt;=($H96-$I96)*0.5,$H96-MAX($F96,$E96)&lt;=($H96-$I96)*0.2),"長い下ヒゲ(反発警戒)","通常"))))</f>
        <v>通常</v>
      </c>
      <c r="AP96" s="377">
        <f>IF($AO96="上ヒゲ陰線▼",2,IF($AO96="大陰線▼",2,IF($AO96="長い下ヒゲ(反発警戒)",-2,0)))</f>
        <v>0</v>
      </c>
      <c r="AQ96">
        <f>IF(C96&lt;&gt;"",始値!F42,"")</f>
        <v>3481</v>
      </c>
      <c r="AR96">
        <f>IF(C96&lt;&gt;"",高値!F42,"")</f>
        <v>3500</v>
      </c>
      <c r="AS96">
        <f>IF(C96&lt;&gt;"",安値!F42,"")</f>
        <v>3463</v>
      </c>
      <c r="AT96" t="str">
        <f>IF(OR(C96="",AQ96="",AR96="",AS96="",AR96-AS96&lt;=0),"-",IF(AND(AR96-MAX(G96,AQ96)&gt;=ABS(G96-AQ96)*2,MIN(G96,AQ96)-AS96&lt;=ABS(G96-AQ96)*0.5,ABS(G96-AQ96)&gt;0),"上ヒゲ陰線▼",IF(AND(G96&lt;AQ96,ABS(G96-AQ96)&gt;=(AR96-AS96)*0.7),"大陰線▼",IF(AND(MIN(G96,AQ96)-AS96&gt;=(AR96-AS96)*0.5,AR96-MAX(G96,AQ96)&lt;=(AR96-AS96)*0.2),"長い下ヒゲ(反発)","通常"))))</f>
        <v>通常</v>
      </c>
      <c r="AU96">
        <f>IF(AT96="上ヒゲ陰線▼",2,IF(AT96="大陰線▼",2,IF(AT96="長い下ヒゲ(反発)",-2,0)))</f>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2777</v>
      </c>
      <c r="F97" s="326">
        <f>IF(C97&lt;&gt;"",_xll.RssMarket(C97,"始値"),"")</f>
        <v>2782</v>
      </c>
      <c r="G97" s="325">
        <f>IF(C97&lt;&gt;"",終値!F51,"")</f>
        <v>2732</v>
      </c>
      <c r="H97" s="326">
        <f>IF(C97&lt;&gt;"",_xll.RssMarket(C97,"高値"),"")</f>
        <v>2827</v>
      </c>
      <c r="I97" s="326">
        <f>IF(C97&lt;&gt;"",_xll.RssMarket(C97,"安値"),"")</f>
        <v>2673</v>
      </c>
      <c r="J97" s="326">
        <f>IF(C97&lt;&gt;"",_xll.RssMarket(C97,"出来高"),"")</f>
        <v>64200</v>
      </c>
      <c r="K97" s="326">
        <f>IF(C97&lt;&gt;"",_xll.RssMarket(C97,"年初来高値"),"")</f>
        <v>3935</v>
      </c>
      <c r="L97" s="327">
        <f>IF(AND(E97&lt;&gt;"",K97&lt;&gt;"",K97&lt;&gt;0),(E97-K97)/K97*100,"")</f>
        <v>-29.428208386276999</v>
      </c>
      <c r="M97" s="326">
        <f>IF(C97&lt;&gt;"",IFERROR(AVERAGE(出来高!E51:I51),""),"")</f>
        <v>80420</v>
      </c>
      <c r="N97" s="326">
        <f>IF(C97&lt;&gt;"",IFERROR(AVERAGE(出来高!E51:AC51),""),"")</f>
        <v>42388</v>
      </c>
      <c r="O97" s="328">
        <f>IF(AND(J97&lt;&gt;"",M97&lt;&gt;"",M97&lt;&gt;0),J97/M97,"")</f>
        <v>0.79830887838846054</v>
      </c>
      <c r="P97" s="325" t="str">
        <f>IF(O97="","",IF(O97&gt;=2,"急増↑↑",IF(O97&gt;=1.5,"増加↑",IF(O97&gt;=1,"普通→","減少↓"))))</f>
        <v>減少↓</v>
      </c>
      <c r="Q97" s="325" t="str">
        <f>IF(E97="","",IF(AND(E97&lt;G97,O97&gt;=1.5),"売り▼",IF(E97&gt;G97,"様子見▲","中立→")))</f>
        <v>様子見▲</v>
      </c>
      <c r="R97" s="326">
        <f>IF(E97&lt;&gt;"",ROUND(E97*0.92,0),"")</f>
        <v>2555</v>
      </c>
      <c r="S97" s="326">
        <f>IF(E97&lt;&gt;"",ROUND(E97*1.04,0),"")</f>
        <v>2888</v>
      </c>
      <c r="T97" s="325">
        <f>IF(C97="","",IFERROR(IF(W97&gt;=70,3,IF(W97&gt;=60,2,IF(W97&gt;=50,1,0)))+IF(X97&lt;0,2,0)+IF(AD97="下降トレンド▼",3,IF(AD97="もみ合い→",1,0))+IF(V97="年初来安値圏●",3,IF(V97="安値圏",2,0))+IF(Q97="売り▼",2,0)+IF(P97="急増↑↑",2,IF(P97="増加↑",1,0))+IF(Z97&lt;0,1,0)+IF(L97&lt;=-30,2,IF(L97&lt;=-15,1,0))+IF(AE97="25日戻り売り★",2,IF(AE97="5日戻り売り○",1,0))+N(AL97)+N(AP97)+N(AU97),0))</f>
        <v>2</v>
      </c>
      <c r="U97" s="325" t="str">
        <f>IF(T97="","",IF(AND(T97&gt;=3,O97&gt;=1.5),"有効",IF(T97&gt;=3,"要確認","除外")))</f>
        <v>除外</v>
      </c>
      <c r="V97" s="325" t="str">
        <f>IF(AND(I97&lt;&gt;"",K97&lt;&gt;""),IF(I97&lt;=K97*0.6,"年初来安値圏●",IF(I97&lt;=K97*0.75,"安値圏","通常")),"")</f>
        <v>安値圏</v>
      </c>
      <c r="W97" s="329">
        <f t="array" ref="W97">IFERROR(100-100/(1+SUMPRODUCT((終値!F51:R51&gt;終値!G51:S51)*(終値!F51:R51-終値!G51:S51))/SUMPRODUCT((終値!F51:R51&lt;終値!G51:S51)*(終値!G51:S51-終値!F51:R51))),50)</f>
        <v>57.89473684210526</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23.826129701200898</v>
      </c>
      <c r="Y97" s="325" t="str">
        <f>IF(AF97="","",AF97&amp;" | "&amp;AD97&amp;IF(AE97&lt;&gt;"なし"," "&amp;AE97,"")&amp;IF(X97&lt;0," MACD-"," MACD+")&amp;" RSI:"&amp;TEXT(W97,"0.0")&amp;IF(W97&gt;=70," [過熱]",IF(W97&lt;=30," [売られ過ぎ]",""))&amp;" 前日比:"&amp;TEXT(Z97,"+0.0;-0.0;0.0")&amp;"%"&amp;IF(V97="年初来安値圏●"," [年初来安値圏]",IF(V97="安値圏"," [安値圏]",""))&amp;IF(OR(AO97="通常",AO97="-"),""," ["&amp;AO97&amp;"]")&amp;IF(OR(AT97="通常",AT97="-"),"","前日["&amp;AT97&amp;"]")&amp;" ["&amp;T97&amp;"点]")</f>
        <v>相場上昇・見送り | パーフェクト▲ MACD+ RSI:57.9 前日比:+1.6% [安値圏] [2点]</v>
      </c>
      <c r="Z97" s="331">
        <f>IF(AND(E97&lt;&gt;"",G97&lt;&gt;"",G97&lt;&gt;0),(E97-G97)/G97*100,"")</f>
        <v>1.6471449487554906</v>
      </c>
      <c r="AA97" s="325" t="str">
        <f>IF(OR(C97="",E97="",E97=0),"",IF(E97&gt;G97,"上昇▲",IF(E97&lt;G97,"下落▼","横ばい→")))</f>
        <v>上昇▲</v>
      </c>
      <c r="AB97" s="326">
        <f>IF(OR(C97="",C97="TOPX",終値!E51=""),"",IFERROR(((終値!E51*0.333)+(終値!F51*0.222)+(終値!G51*0.148)+(終値!H51*0.099)+(終値!I51*0.066))/(0.333+0.222+0.148+0.099+0.066),""))</f>
        <v>2642.1394009216588</v>
      </c>
      <c r="AC97" s="326">
        <f>IF(OR(C97="",C97="TOPX",終値!E51=""),"",IFERROR(SUMPRODUCT((終値!E51:AC51),{0.077,0.071,0.065,0.06,0.055,0.051,0.047,0.043,0.039,0.036,0.033,0.031,0.028,0.026,0.024,0.022,0.02,0.018,0.017,0.016,0.014,0.013,0.012,0.011,0.01})/SUM({0.077,0.071,0.065,0.06,0.055,0.051,0.047,0.043,0.039,0.036,0.033,0.031,0.028,0.026,0.024,0.022,0.02,0.018,0.017,0.016,0.014,0.013,0.012,0.011,0.01}),""))</f>
        <v>2608.2562574493436</v>
      </c>
      <c r="AD97" s="325" t="str">
        <f>IF(OR(C97="",AB97="",AC97="",AB97=0,AC97=0),"",IF(AND(E97&gt;AB97,AB97&gt;AC97),"パーフェクト▲",IF(E97&gt;AC97,"上昇トレンド▲",IF(AND(E97&lt;AB97,AB97&lt;AC97),"下降トレンド▼","もみ合い→"))))</f>
        <v>パーフェクト▲</v>
      </c>
      <c r="AE97" s="325" t="str">
        <f>IF(OR(C97="",AB97="",AC97=""),"",IF(AND(ABS(E97-AC97)/AC97&lt;=0.02,E97&lt;AC97),"25日戻り売り★",IF(AND(ABS(E97-AB97)/AB97&lt;=0.01,E97&lt;AB97),"5日戻り売り○","なし")))</f>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相場上昇・見送り</v>
      </c>
      <c r="AG97">
        <f>IF(AND(T97&gt;=7,C97&lt;&gt;""),T97,0)</f>
        <v>0</v>
      </c>
      <c r="AH97">
        <f>IF(AG97&gt;0,AG97*10000-ROW(A97),0)</f>
        <v>0</v>
      </c>
      <c r="AI97" s="373">
        <f t="array" ref="AI97">IF(C97="","",IFERROR((INDEX(終値!$E:$E,MATCH(TEXT(C97,"0"),終値!$A:$A,0))-INDEX(終値!$E:$CZ,MATCH(TEXT(C97,"0"),終値!$A:$A,0),$AN$2))/INDEX(終値!$E:$CZ,MATCH(TEXT(C97,"0"),終値!$A:$A,0),$AN$2)*100,""))</f>
        <v>22.604856512141282</v>
      </c>
      <c r="AJ97" s="373">
        <f t="array" ref="AJ97">IFERROR((終値!$E$5-INDEX(終値!$E$5:$IT$5,1,$AN$2))/INDEX(終値!$E$5:$IT$5,1,$AN$2)*100,"")</f>
        <v>1.0179378228534113</v>
      </c>
      <c r="AK97" s="374">
        <f>IF(OR(AI97="",AJ97=""),"",AI97-AJ97)</f>
        <v>21.58691868928787</v>
      </c>
      <c r="AL97" s="372">
        <f>IF(AK97="","",IF(AK97&lt;-5,3,IF(AK97&lt;0,1,IF(AK97&lt;3,-1,-2))))</f>
        <v>-2</v>
      </c>
      <c r="AO97" s="376" t="str">
        <f>IF(OR($C97="",$E97="",$F97="",$H97="",$I97="",$H97-$I97&lt;=0),"-",IF(AND($H97-MAX($F97,$E97)&gt;=ABS($E97-$F97)*2,MIN($F97,$E97)-$I97&lt;=ABS($E97-$F97)*0.5,ABS($E97-$F97)&gt;0),"上ヒゲ陰線▼",IF(AND($E97&lt;$F97,ABS($E97-$F97)&gt;=($H97-$I97)*0.7),"大陰線▼",IF(AND(MIN($F97,$E97)-$I97&gt;=($H97-$I97)*0.5,$H97-MAX($F97,$E97)&lt;=($H97-$I97)*0.2),"長い下ヒゲ(反発警戒)","通常"))))</f>
        <v>通常</v>
      </c>
      <c r="AP97" s="377">
        <f>IF($AO97="上ヒゲ陰線▼",2,IF($AO97="大陰線▼",2,IF($AO97="長い下ヒゲ(反発警戒)",-2,0)))</f>
        <v>0</v>
      </c>
      <c r="AQ97">
        <f>IF(C97&lt;&gt;"",始値!F51,"")</f>
        <v>2498</v>
      </c>
      <c r="AR97">
        <f>IF(C97&lt;&gt;"",高値!F51,"")</f>
        <v>2770</v>
      </c>
      <c r="AS97">
        <f>IF(C97&lt;&gt;"",安値!F51,"")</f>
        <v>2491</v>
      </c>
      <c r="AT97" t="str">
        <f>IF(OR(C97="",AQ97="",AR97="",AS97="",AR97-AS97&lt;=0),"-",IF(AND(AR97-MAX(G97,AQ97)&gt;=ABS(G97-AQ97)*2,MIN(G97,AQ97)-AS97&lt;=ABS(G97-AQ97)*0.5,ABS(G97-AQ97)&gt;0),"上ヒゲ陰線▼",IF(AND(G97&lt;AQ97,ABS(G97-AQ97)&gt;=(AR97-AS97)*0.7),"大陰線▼",IF(AND(MIN(G97,AQ97)-AS97&gt;=(AR97-AS97)*0.5,AR97-MAX(G97,AQ97)&lt;=(AR97-AS97)*0.2),"長い下ヒゲ(反発)","通常"))))</f>
        <v>通常</v>
      </c>
      <c r="AU97">
        <f>IF(AT97="上ヒゲ陰線▼",2,IF(AT97="大陰線▼",2,IF(AT97="長い下ヒゲ(反発)",-2,0)))</f>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2358</v>
      </c>
      <c r="F98" s="333">
        <f>IF(C98&lt;&gt;"",_xll.RssMarket(C98,"始値"),"")</f>
        <v>2340</v>
      </c>
      <c r="G98" s="212">
        <f>IF(C98&lt;&gt;"",終値!F72,"")</f>
        <v>2390</v>
      </c>
      <c r="H98" s="333">
        <f>IF(C98&lt;&gt;"",_xll.RssMarket(C98,"高値"),"")</f>
        <v>2413</v>
      </c>
      <c r="I98" s="333">
        <f>IF(C98&lt;&gt;"",_xll.RssMarket(C98,"安値"),"")</f>
        <v>2340</v>
      </c>
      <c r="J98" s="333">
        <f>IF(C98&lt;&gt;"",_xll.RssMarket(C98,"出来高"),"")</f>
        <v>60500</v>
      </c>
      <c r="K98" s="333">
        <f>IF(C98&lt;&gt;"",_xll.RssMarket(C98,"年初来高値"),"")</f>
        <v>3490</v>
      </c>
      <c r="L98" s="334">
        <f>IF(AND(E98&lt;&gt;"",K98&lt;&gt;"",K98&lt;&gt;0),(E98-K98)/K98*100,"")</f>
        <v>-32.435530085959883</v>
      </c>
      <c r="M98" s="333">
        <f>IF(C98&lt;&gt;"",IFERROR(AVERAGE(出来高!E72:I72),""),"")</f>
        <v>49900</v>
      </c>
      <c r="N98" s="333">
        <f>IF(C98&lt;&gt;"",IFERROR(AVERAGE(出来高!E72:AC72),""),"")</f>
        <v>71812</v>
      </c>
      <c r="O98" s="335">
        <f>IF(AND(J98&lt;&gt;"",M98&lt;&gt;"",M98&lt;&gt;0),J98/M98,"")</f>
        <v>1.2124248496993988</v>
      </c>
      <c r="P98" s="212" t="str">
        <f>IF(O98="","",IF(O98&gt;=2,"急増↑↑",IF(O98&gt;=1.5,"増加↑",IF(O98&gt;=1,"普通→","減少↓"))))</f>
        <v>普通→</v>
      </c>
      <c r="Q98" s="212" t="str">
        <f>IF(E98="","",IF(AND(E98&lt;G98,O98&gt;=1.5),"売り▼",IF(E98&gt;G98,"様子見▲","中立→")))</f>
        <v>中立→</v>
      </c>
      <c r="R98" s="333">
        <f>IF(E98&lt;&gt;"",ROUND(E98*0.92,0),"")</f>
        <v>2169</v>
      </c>
      <c r="S98" s="333">
        <f>IF(E98&lt;&gt;"",ROUND(E98*1.04,0),"")</f>
        <v>2452</v>
      </c>
      <c r="T98" s="325">
        <f>IF(C98="","",IFERROR(IF(W98&gt;=70,3,IF(W98&gt;=60,2,IF(W98&gt;=50,1,0)))+IF(X98&lt;0,2,0)+IF(AD98="下降トレンド▼",3,IF(AD98="もみ合い→",1,0))+IF(V98="年初来安値圏●",3,IF(V98="安値圏",2,0))+IF(Q98="売り▼",2,0)+IF(P98="急増↑↑",2,IF(P98="増加↑",1,0))+IF(Z98&lt;0,1,0)+IF(L98&lt;=-30,2,IF(L98&lt;=-15,1,0))+IF(AE98="25日戻り売り★",2,IF(AE98="5日戻り売り○",1,0))+N(AL98)+N(AP98)+N(AU98),0))</f>
        <v>10</v>
      </c>
      <c r="U98" s="212" t="str">
        <f>IF(T98="","",IF(AND(T98&gt;=3,O98&gt;=1.5),"有効",IF(T98&gt;=3,"要確認","除外")))</f>
        <v>要確認</v>
      </c>
      <c r="V98" s="212" t="str">
        <f>IF(AND(I98&lt;&gt;"",K98&lt;&gt;""),IF(I98&lt;=K98*0.6,"年初来安値圏●",IF(I98&lt;=K98*0.75,"安値圏","通常")),"")</f>
        <v>安値圏</v>
      </c>
      <c r="W98" s="336">
        <f t="array" ref="W98">IFERROR(100-100/(1+SUMPRODUCT((終値!F72:R72&gt;終値!G72:S72)*(終値!F72:R72-終値!G72:S72))/SUMPRODUCT((終値!F72:R72&lt;終値!G72:S72)*(終値!G72:S72-終値!F72:R72))),50)</f>
        <v>49.913941480206539</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-8.9113851750730646</v>
      </c>
      <c r="Y98" s="212" t="str">
        <f>IF(AF98="","",AF98&amp;" | "&amp;AD98&amp;IF(AE98&lt;&gt;"なし"," "&amp;AE98,"")&amp;IF(X98&lt;0," MACD-"," MACD+")&amp;" RSI:"&amp;TEXT(W98,"0.0")&amp;IF(W98&gt;=70," [過熱]",IF(W98&lt;=30," [売られ過ぎ]",""))&amp;" 前日比:"&amp;TEXT(Z98,"+0.0;-0.0;0.0")&amp;"%"&amp;IF(V98="年初来安値圏●"," [年初来安値圏]",IF(V98="安値圏"," [安値圏]",""))&amp;IF(OR(AO98="通常",AO98="-"),""," ["&amp;AO98&amp;"]")&amp;IF(OR(AT98="通常",AT98="-"),"","前日["&amp;AT98&amp;"]")&amp;" ["&amp;T98&amp;"点]")</f>
        <v>相場上昇・見送り | パーフェクト▲ MACD- RSI:49.9 前日比:-1.3% [安値圏] [上ヒゲ陰線▼] [10点]</v>
      </c>
      <c r="Z98" s="338">
        <f>IF(AND(E98&lt;&gt;"",G98&lt;&gt;"",G98&lt;&gt;0),(E98-G98)/G98*100,"")</f>
        <v>-1.3389121338912133</v>
      </c>
      <c r="AA98" s="212" t="str">
        <f>IF(OR(C98="",E98="",E98=0),"",IF(E98&gt;G98,"上昇▲",IF(E98&lt;G98,"下落▼","横ばい→")))</f>
        <v>下落▼</v>
      </c>
      <c r="AB98" s="333">
        <f>IF(OR(C98="",C98="TOPX",終値!E72=""),"",IFERROR(((終値!E72*0.333)+(終値!F72*0.222)+(終値!G72*0.148)+(終値!H72*0.099)+(終値!I72*0.066))/(0.333+0.222+0.148+0.099+0.066),""))</f>
        <v>2341.8536866359445</v>
      </c>
      <c r="AC98" s="333">
        <f>IF(OR(C98="",C98="TOPX",終値!E72=""),"",IFERROR(SUMPRODUCT((終値!E72:AC72),{0.077,0.071,0.065,0.06,0.055,0.051,0.047,0.043,0.039,0.036,0.033,0.031,0.028,0.026,0.024,0.022,0.02,0.018,0.017,0.016,0.014,0.013,0.012,0.011,0.01})/SUM({0.077,0.071,0.065,0.06,0.055,0.051,0.047,0.043,0.039,0.036,0.033,0.031,0.028,0.026,0.024,0.022,0.02,0.018,0.017,0.016,0.014,0.013,0.012,0.011,0.01}),""))</f>
        <v>2326.4827175208575</v>
      </c>
      <c r="AD98" s="212" t="str">
        <f>IF(OR(C98="",AB98="",AC98="",AB98=0,AC98=0),"",IF(AND(E98&gt;AB98,AB98&gt;AC98),"パーフェクト▲",IF(E98&gt;AC98,"上昇トレンド▲",IF(AND(E98&lt;AB98,AB98&lt;AC98),"下降トレンド▼","もみ合い→"))))</f>
        <v>パーフェクト▲</v>
      </c>
      <c r="AE98" s="212" t="str">
        <f>IF(OR(C98="",AB98="",AC98=""),"",IF(AND(ABS(E98-AC98)/AC98&lt;=0.02,E98&lt;AC98),"25日戻り売り★",IF(AND(ABS(E98-AB98)/AB98&lt;=0.01,E98&lt;AB98),"5日戻り売り○","なし")))</f>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相場上昇・見送り</v>
      </c>
      <c r="AG98">
        <f>IF(AND(T98&gt;=7,C98&lt;&gt;""),T98,0)</f>
        <v>10</v>
      </c>
      <c r="AH98">
        <f>IF(AG98&gt;0,AG98*10000-ROW(A98),0)</f>
        <v>99902</v>
      </c>
      <c r="AI98" s="373">
        <f t="array" ref="AI98">IF(C98="","",IFERROR((INDEX(終値!$E:$E,MATCH(TEXT(C98,"0"),終値!$A:$A,0))-INDEX(終値!$E:$CZ,MATCH(TEXT(C98,"0"),終値!$A:$A,0),$AN$2))/INDEX(終値!$E:$CZ,MATCH(TEXT(C98,"0"),終値!$A:$A,0),$AN$2)*100,""))</f>
        <v>-1.8726591760299627</v>
      </c>
      <c r="AJ98" s="373">
        <f t="array" ref="AJ98">IFERROR((終値!$E$5-INDEX(終値!$E$5:$IT$5,1,$AN$2))/INDEX(終値!$E$5:$IT$5,1,$AN$2)*100,"")</f>
        <v>1.0179378228534113</v>
      </c>
      <c r="AK98" s="374">
        <f>IF(OR(AI98="",AJ98=""),"",AI98-AJ98)</f>
        <v>-2.8905969988833737</v>
      </c>
      <c r="AL98" s="372">
        <f>IF(AK98="","",IF(AK98&lt;-5,3,IF(AK98&lt;0,1,IF(AK98&lt;3,-1,-2))))</f>
        <v>1</v>
      </c>
      <c r="AO98" s="376" t="str">
        <f>IF(OR($C98="",$E98="",$F98="",$H98="",$I98="",$H98-$I98&lt;=0),"-",IF(AND($H98-MAX($F98,$E98)&gt;=ABS($E98-$F98)*2,MIN($F98,$E98)-$I98&lt;=ABS($E98-$F98)*0.5,ABS($E98-$F98)&gt;0),"上ヒゲ陰線▼",IF(AND($E98&lt;$F98,ABS($E98-$F98)&gt;=($H98-$I98)*0.7),"大陰線▼",IF(AND(MIN($F98,$E98)-$I98&gt;=($H98-$I98)*0.5,$H98-MAX($F98,$E98)&lt;=($H98-$I98)*0.2),"長い下ヒゲ(反発警戒)","通常"))))</f>
        <v>上ヒゲ陰線▼</v>
      </c>
      <c r="AP98" s="377">
        <f>IF($AO98="上ヒゲ陰線▼",2,IF($AO98="大陰線▼",2,IF($AO98="長い下ヒゲ(反発警戒)",-2,0)))</f>
        <v>2</v>
      </c>
      <c r="AQ98">
        <f>IF(C98&lt;&gt;"",始値!F72,"")</f>
        <v>2318</v>
      </c>
      <c r="AR98">
        <f>IF(C98&lt;&gt;"",高値!F72,"")</f>
        <v>2391</v>
      </c>
      <c r="AS98">
        <f>IF(C98&lt;&gt;"",安値!F72,"")</f>
        <v>2305</v>
      </c>
      <c r="AT98" t="str">
        <f>IF(OR(C98="",AQ98="",AR98="",AS98="",AR98-AS98&lt;=0),"-",IF(AND(AR98-MAX(G98,AQ98)&gt;=ABS(G98-AQ98)*2,MIN(G98,AQ98)-AS98&lt;=ABS(G98-AQ98)*0.5,ABS(G98-AQ98)&gt;0),"上ヒゲ陰線▼",IF(AND(G98&lt;AQ98,ABS(G98-AQ98)&gt;=(AR98-AS98)*0.7),"大陰線▼",IF(AND(MIN(G98,AQ98)-AS98&gt;=(AR98-AS98)*0.5,AR98-MAX(G98,AQ98)&lt;=(AR98-AS98)*0.2),"長い下ヒゲ(反発)","通常"))))</f>
        <v>通常</v>
      </c>
      <c r="AU98">
        <f>IF(AT98="上ヒゲ陰線▼",2,IF(AT98="大陰線▼",2,IF(AT98="長い下ヒゲ(反発)",-2,0)))</f>
        <v>0</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3164</v>
      </c>
      <c r="F99" s="326">
        <f>IF(C99&lt;&gt;"",_xll.RssMarket(C99,"始値"),"")</f>
        <v>3165</v>
      </c>
      <c r="G99" s="325">
        <f>IF(C99&lt;&gt;"",終値!F74,"")</f>
        <v>3151</v>
      </c>
      <c r="H99" s="326">
        <f>IF(C99&lt;&gt;"",_xll.RssMarket(C99,"高値"),"")</f>
        <v>3177</v>
      </c>
      <c r="I99" s="326">
        <f>IF(C99&lt;&gt;"",_xll.RssMarket(C99,"安値"),"")</f>
        <v>3135</v>
      </c>
      <c r="J99" s="326">
        <f>IF(C99&lt;&gt;"",_xll.RssMarket(C99,"出来高"),"")</f>
        <v>1596700</v>
      </c>
      <c r="K99" s="326">
        <f>IF(C99&lt;&gt;"",_xll.RssMarket(C99,"年初来高値"),"")</f>
        <v>3419</v>
      </c>
      <c r="L99" s="327">
        <f>IF(AND(E99&lt;&gt;"",K99&lt;&gt;"",K99&lt;&gt;0),(E99-K99)/K99*100,"")</f>
        <v>-7.4583211465340753</v>
      </c>
      <c r="M99" s="326">
        <f>IF(C99&lt;&gt;"",IFERROR(AVERAGE(出来高!E74:I74),""),"")</f>
        <v>2516960</v>
      </c>
      <c r="N99" s="326">
        <f>IF(C99&lt;&gt;"",IFERROR(AVERAGE(出来高!E74:AC74),""),"")</f>
        <v>2701416</v>
      </c>
      <c r="O99" s="328">
        <f>IF(AND(J99&lt;&gt;"",M99&lt;&gt;"",M99&lt;&gt;0),J99/M99,"")</f>
        <v>0.63437639056639761</v>
      </c>
      <c r="P99" s="325" t="str">
        <f>IF(O99="","",IF(O99&gt;=2,"急増↑↑",IF(O99&gt;=1.5,"増加↑",IF(O99&gt;=1,"普通→","減少↓"))))</f>
        <v>減少↓</v>
      </c>
      <c r="Q99" s="325" t="str">
        <f>IF(E99="","",IF(AND(E99&lt;G99,O99&gt;=1.5),"売り▼",IF(E99&gt;G99,"様子見▲","中立→")))</f>
        <v>様子見▲</v>
      </c>
      <c r="R99" s="326">
        <f>IF(E99&lt;&gt;"",ROUND(E99*0.92,0),"")</f>
        <v>2911</v>
      </c>
      <c r="S99" s="326">
        <f>IF(E99&lt;&gt;"",ROUND(E99*1.04,0),"")</f>
        <v>3291</v>
      </c>
      <c r="T99" s="325">
        <f>IF(C99="","",IFERROR(IF(W99&gt;=70,3,IF(W99&gt;=60,2,IF(W99&gt;=50,1,0)))+IF(X99&lt;0,2,0)+IF(AD99="下降トレンド▼",3,IF(AD99="もみ合い→",1,0))+IF(V99="年初来安値圏●",3,IF(V99="安値圏",2,0))+IF(Q99="売り▼",2,0)+IF(P99="急増↑↑",2,IF(P99="増加↑",1,0))+IF(Z99&lt;0,1,0)+IF(L99&lt;=-30,2,IF(L99&lt;=-15,1,0))+IF(AE99="25日戻り売り★",2,IF(AE99="5日戻り売り○",1,0))+N(AL99)+N(AP99)+N(AU99),0))</f>
        <v>0</v>
      </c>
      <c r="U99" s="325" t="str">
        <f>IF(T99="","",IF(AND(T99&gt;=3,O99&gt;=1.5),"有効",IF(T99&gt;=3,"要確認","除外")))</f>
        <v>除外</v>
      </c>
      <c r="V99" s="325" t="str">
        <f>IF(AND(I99&lt;&gt;"",K99&lt;&gt;""),IF(I99&lt;=K99*0.6,"年初来安値圏●",IF(I99&lt;=K99*0.75,"安値圏","通常")),"")</f>
        <v>通常</v>
      </c>
      <c r="W99" s="329">
        <f t="array" ref="W99">IFERROR(100-100/(1+SUMPRODUCT((終値!F74:R74&gt;終値!G74:S74)*(終値!F74:R74-終値!G74:S74))/SUMPRODUCT((終値!F74:R74&lt;終値!G74:S74)*(終値!G74:S74-終値!F74:R74))),50)</f>
        <v>61.912479740680709</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12.932769195866058</v>
      </c>
      <c r="Y99" s="325" t="str">
        <f>IF(AF99="","",AF99&amp;" | "&amp;AD99&amp;IF(AE99&lt;&gt;"なし"," "&amp;AE99,"")&amp;IF(X99&lt;0," MACD-"," MACD+")&amp;" RSI:"&amp;TEXT(W99,"0.0")&amp;IF(W99&gt;=70," [過熱]",IF(W99&lt;=30," [売られ過ぎ]",""))&amp;" 前日比:"&amp;TEXT(Z99,"+0.0;-0.0;0.0")&amp;"%"&amp;IF(V99="年初来安値圏●"," [年初来安値圏]",IF(V99="安値圏"," [安値圏]",""))&amp;IF(OR(AO99="通常",AO99="-"),""," ["&amp;AO99&amp;"]")&amp;IF(OR(AT99="通常",AT99="-"),"","前日["&amp;AT99&amp;"]")&amp;" ["&amp;T99&amp;"点]")</f>
        <v>相場上昇・見送り | パーフェクト▲ MACD+ RSI:61.9 前日比:+0.4% [0点]</v>
      </c>
      <c r="Z99" s="331">
        <f>IF(AND(E99&lt;&gt;"",G99&lt;&gt;"",G99&lt;&gt;0),(E99-G99)/G99*100,"")</f>
        <v>0.41256743890828312</v>
      </c>
      <c r="AA99" s="325" t="str">
        <f>IF(OR(C99="",E99="",E99=0),"",IF(E99&gt;G99,"上昇▲",IF(E99&lt;G99,"下落▼","横ばい→")))</f>
        <v>上昇▲</v>
      </c>
      <c r="AB99" s="326">
        <f>IF(OR(C99="",C99="TOPX",終値!E74=""),"",IFERROR(((終値!E74*0.333)+(終値!F74*0.222)+(終値!G74*0.148)+(終値!H74*0.099)+(終値!I74*0.066))/(0.333+0.222+0.148+0.099+0.066),""))</f>
        <v>3142.1209677419356</v>
      </c>
      <c r="AC99" s="326">
        <f>IF(OR(C99="",C99="TOPX",終値!E74=""),"",IFERROR(SUMPRODUCT((終値!E74:AC74),{0.077,0.071,0.065,0.06,0.055,0.051,0.047,0.043,0.039,0.036,0.033,0.031,0.028,0.026,0.024,0.022,0.02,0.018,0.017,0.016,0.014,0.013,0.012,0.011,0.01})/SUM({0.077,0.071,0.065,0.06,0.055,0.051,0.047,0.043,0.039,0.036,0.033,0.031,0.028,0.026,0.024,0.022,0.02,0.018,0.017,0.016,0.014,0.013,0.012,0.011,0.01}),""))</f>
        <v>3099.0548271752068</v>
      </c>
      <c r="AD99" s="325" t="str">
        <f>IF(OR(C99="",AB99="",AC99="",AB99=0,AC99=0),"",IF(AND(E99&gt;AB99,AB99&gt;AC99),"パーフェクト▲",IF(E99&gt;AC99,"上昇トレンド▲",IF(AND(E99&lt;AB99,AB99&lt;AC99),"下降トレンド▼","もみ合い→"))))</f>
        <v>パーフェクト▲</v>
      </c>
      <c r="AE99" s="325" t="str">
        <f>IF(OR(C99="",AB99="",AC99=""),"",IF(AND(ABS(E99-AC99)/AC99&lt;=0.02,E99&lt;AC99),"25日戻り売り★",IF(AND(ABS(E99-AB99)/AB99&lt;=0.01,E99&lt;AB99),"5日戻り売り○","なし")))</f>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相場上昇・見送り</v>
      </c>
      <c r="AG99">
        <f>IF(AND(T99&gt;=7,C99&lt;&gt;""),T99,0)</f>
        <v>0</v>
      </c>
      <c r="AH99">
        <f>IF(AG99&gt;0,AG99*10000-ROW(A99),0)</f>
        <v>0</v>
      </c>
      <c r="AI99" s="373">
        <f t="array" ref="AI99">IF(C99="","",IFERROR((INDEX(終値!$E:$E,MATCH(TEXT(C99,"0"),終値!$A:$A,0))-INDEX(終値!$E:$CZ,MATCH(TEXT(C99,"0"),終値!$A:$A,0),$AN$2))/INDEX(終値!$E:$CZ,MATCH(TEXT(C99,"0"),終値!$A:$A,0),$AN$2)*100,""))</f>
        <v>7.0184339590732279</v>
      </c>
      <c r="AJ99" s="373">
        <f t="array" ref="AJ99">IFERROR((終値!$E$5-INDEX(終値!$E$5:$IT$5,1,$AN$2))/INDEX(終値!$E$5:$IT$5,1,$AN$2)*100,"")</f>
        <v>1.0179378228534113</v>
      </c>
      <c r="AK99" s="374">
        <f>IF(OR(AI99="",AJ99=""),"",AI99-AJ99)</f>
        <v>6.0004961362198168</v>
      </c>
      <c r="AL99" s="372">
        <f>IF(AK99="","",IF(AK99&lt;-5,3,IF(AK99&lt;0,1,IF(AK99&lt;3,-1,-2))))</f>
        <v>-2</v>
      </c>
      <c r="AO99" s="376" t="str">
        <f>IF(OR($C99="",$E99="",$F99="",$H99="",$I99="",$H99-$I99&lt;=0),"-",IF(AND($H99-MAX($F99,$E99)&gt;=ABS($E99-$F99)*2,MIN($F99,$E99)-$I99&lt;=ABS($E99-$F99)*0.5,ABS($E99-$F99)&gt;0),"上ヒゲ陰線▼",IF(AND($E99&lt;$F99,ABS($E99-$F99)&gt;=($H99-$I99)*0.7),"大陰線▼",IF(AND(MIN($F99,$E99)-$I99&gt;=($H99-$I99)*0.5,$H99-MAX($F99,$E99)&lt;=($H99-$I99)*0.2),"長い下ヒゲ(反発警戒)","通常"))))</f>
        <v>通常</v>
      </c>
      <c r="AP99" s="377">
        <f>IF($AO99="上ヒゲ陰線▼",2,IF($AO99="大陰線▼",2,IF($AO99="長い下ヒゲ(反発警戒)",-2,0)))</f>
        <v>0</v>
      </c>
      <c r="AQ99">
        <f>IF(C99&lt;&gt;"",始値!F74,"")</f>
        <v>3115</v>
      </c>
      <c r="AR99">
        <f>IF(C99&lt;&gt;"",高値!F74,"")</f>
        <v>3157</v>
      </c>
      <c r="AS99">
        <f>IF(C99&lt;&gt;"",安値!F74,"")</f>
        <v>3103</v>
      </c>
      <c r="AT99" t="str">
        <f>IF(OR(C99="",AQ99="",AR99="",AS99="",AR99-AS99&lt;=0),"-",IF(AND(AR99-MAX(G99,AQ99)&gt;=ABS(G99-AQ99)*2,MIN(G99,AQ99)-AS99&lt;=ABS(G99-AQ99)*0.5,ABS(G99-AQ99)&gt;0),"上ヒゲ陰線▼",IF(AND(G99&lt;AQ99,ABS(G99-AQ99)&gt;=(AR99-AS99)*0.7),"大陰線▼",IF(AND(MIN(G99,AQ99)-AS99&gt;=(AR99-AS99)*0.5,AR99-MAX(G99,AQ99)&lt;=(AR99-AS99)*0.2),"長い下ヒゲ(反発)","通常"))))</f>
        <v>通常</v>
      </c>
      <c r="AU99">
        <f>IF(AT99="上ヒゲ陰線▼",2,IF(AT99="大陰線▼",2,IF(AT99="長い下ヒゲ(反発)",-2,0)))</f>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5335</v>
      </c>
      <c r="F100" s="333">
        <f>IF(C100&lt;&gt;"",_xll.RssMarket(C100,"始値"),"")</f>
        <v>5251</v>
      </c>
      <c r="G100" s="212">
        <f>IF(C100&lt;&gt;"",終値!F81,"")</f>
        <v>5302</v>
      </c>
      <c r="H100" s="333">
        <f>IF(C100&lt;&gt;"",_xll.RssMarket(C100,"高値"),"")</f>
        <v>5371</v>
      </c>
      <c r="I100" s="333">
        <f>IF(C100&lt;&gt;"",_xll.RssMarket(C100,"安値"),"")</f>
        <v>5210</v>
      </c>
      <c r="J100" s="333">
        <f>IF(C100&lt;&gt;"",_xll.RssMarket(C100,"出来高"),"")</f>
        <v>2820200</v>
      </c>
      <c r="K100" s="333">
        <f>IF(C100&lt;&gt;"",_xll.RssMarket(C100,"年初来高値"),"")</f>
        <v>6317</v>
      </c>
      <c r="L100" s="334">
        <f>IF(AND(E100&lt;&gt;"",K100&lt;&gt;"",K100&lt;&gt;0),(E100-K100)/K100*100,"")</f>
        <v>-15.545353807186956</v>
      </c>
      <c r="M100" s="333">
        <f>IF(C100&lt;&gt;"",IFERROR(AVERAGE(出来高!E81:I81),""),"")</f>
        <v>1921380</v>
      </c>
      <c r="N100" s="333">
        <f>IF(C100&lt;&gt;"",IFERROR(AVERAGE(出来高!E81:AC81),""),"")</f>
        <v>1227704</v>
      </c>
      <c r="O100" s="335">
        <f>IF(AND(J100&lt;&gt;"",M100&lt;&gt;"",M100&lt;&gt;0),J100/M100,"")</f>
        <v>1.4677991860017279</v>
      </c>
      <c r="P100" s="212" t="str">
        <f>IF(O100="","",IF(O100&gt;=2,"急増↑↑",IF(O100&gt;=1.5,"増加↑",IF(O100&gt;=1,"普通→","減少↓"))))</f>
        <v>普通→</v>
      </c>
      <c r="Q100" s="212" t="str">
        <f>IF(E100="","",IF(AND(E100&lt;G100,O100&gt;=1.5),"売り▼",IF(E100&gt;G100,"様子見▲","中立→")))</f>
        <v>様子見▲</v>
      </c>
      <c r="R100" s="333">
        <f>IF(E100&lt;&gt;"",ROUND(E100*0.92,0),"")</f>
        <v>4908</v>
      </c>
      <c r="S100" s="333">
        <f>IF(E100&lt;&gt;"",ROUND(E100*1.04,0),"")</f>
        <v>5548</v>
      </c>
      <c r="T100" s="325">
        <f>IF(C100="","",IFERROR(IF(W100&gt;=70,3,IF(W100&gt;=60,2,IF(W100&gt;=50,1,0)))+IF(X100&lt;0,2,0)+IF(AD100="下降トレンド▼",3,IF(AD100="もみ合い→",1,0))+IF(V100="年初来安値圏●",3,IF(V100="安値圏",2,0))+IF(Q100="売り▼",2,0)+IF(P100="急増↑↑",2,IF(P100="増加↑",1,0))+IF(Z100&lt;0,1,0)+IF(L100&lt;=-30,2,IF(L100&lt;=-15,1,0))+IF(AE100="25日戻り売り★",2,IF(AE100="5日戻り売り○",1,0))+N(AL100)+N(AP100)+N(AU100),0))</f>
        <v>7</v>
      </c>
      <c r="U100" s="212" t="str">
        <f>IF(T100="","",IF(AND(T100&gt;=3,O100&gt;=1.5),"有効",IF(T100&gt;=3,"要確認","除外")))</f>
        <v>要確認</v>
      </c>
      <c r="V100" s="212" t="str">
        <f>IF(AND(I100&lt;&gt;"",K100&lt;&gt;""),IF(I100&lt;=K100*0.6,"年初来安値圏●",IF(I100&lt;=K100*0.75,"安値圏","通常")),"")</f>
        <v>通常</v>
      </c>
      <c r="W100" s="336">
        <f t="array" ref="W100">IFERROR(100-100/(1+SUMPRODUCT((終値!F81:R81&gt;終値!G81:S81)*(終値!F81:R81-終値!G81:S81))/SUMPRODUCT((終値!F81:R81&lt;終値!G81:S81)*(終値!G81:S81-終値!F81:R81))),50)</f>
        <v>43.318385650224208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0.28642846055026894</v>
      </c>
      <c r="Y100" s="212" t="str">
        <f>IF(AF100="","",AF100&amp;" | "&amp;AD100&amp;IF(AE100&lt;&gt;"なし"," "&amp;AE100,"")&amp;IF(X100&lt;0," MACD-"," MACD+")&amp;" RSI:"&amp;TEXT(W100,"0.0")&amp;IF(W100&gt;=70," [過熱]",IF(W100&lt;=30," [売られ過ぎ]",""))&amp;" 前日比:"&amp;TEXT(Z100,"+0.0;-0.0;0.0")&amp;"%"&amp;IF(V100="年初来安値圏●"," [年初来安値圏]",IF(V100="安値圏"," [安値圏]",""))&amp;IF(OR(AO100="通常",AO100="-"),""," ["&amp;AO100&amp;"]")&amp;IF(OR(AT100="通常",AT100="-"),"","前日["&amp;AT100&amp;"]")&amp;" ["&amp;T100&amp;"点]")</f>
        <v>相場上昇・見送り | 下降トレンド▼ MACD+ RSI:43.3 前日比:+0.6% [7点]</v>
      </c>
      <c r="Z100" s="338">
        <f>IF(AND(E100&lt;&gt;"",G100&lt;&gt;"",G100&lt;&gt;0),(E100-G100)/G100*100,"")</f>
        <v>0.62240663900414939</v>
      </c>
      <c r="AA100" s="212" t="str">
        <f>IF(OR(C100="",E100="",E100=0),"",IF(E100&gt;G100,"上昇▲",IF(E100&lt;G100,"下落▼","横ばい→")))</f>
        <v>上昇▲</v>
      </c>
      <c r="AB100" s="333">
        <f>IF(OR(C100="",C100="TOPX",終値!E81=""),"",IFERROR(((終値!E81*0.333)+(終値!F81*0.222)+(終値!G81*0.148)+(終値!H81*0.099)+(終値!I81*0.066))/(0.333+0.222+0.148+0.099+0.066),""))</f>
        <v>5497.9481566820268</v>
      </c>
      <c r="AC100" s="333">
        <f>IF(OR(C100="",C100="TOPX",終値!E81=""),"",IFERROR(SUMPRODUCT((終値!E81:AC81),{0.077,0.071,0.065,0.06,0.055,0.051,0.047,0.043,0.039,0.036,0.033,0.031,0.028,0.026,0.024,0.022,0.02,0.018,0.017,0.016,0.014,0.013,0.012,0.011,0.01})/SUM({0.077,0.071,0.065,0.06,0.055,0.051,0.047,0.043,0.039,0.036,0.033,0.031,0.028,0.026,0.024,0.022,0.02,0.018,0.017,0.016,0.014,0.013,0.012,0.011,0.01}),""))</f>
        <v>5629.7735399284848</v>
      </c>
      <c r="AD100" s="212" t="str">
        <f>IF(OR(C100="",AB100="",AC100="",AB100=0,AC100=0),"",IF(AND(E100&gt;AB100,AB100&gt;AC100),"パーフェクト▲",IF(E100&gt;AC100,"上昇トレンド▲",IF(AND(E100&lt;AB100,AB100&lt;AC100),"下降トレンド▼","もみ合い→"))))</f>
        <v>下降トレンド▼</v>
      </c>
      <c r="AE100" s="212" t="str">
        <f>IF(OR(C100="",AB100="",AC100=""),"",IF(AND(ABS(E100-AC100)/AC100&lt;=0.02,E100&lt;AC100),"25日戻り売り★",IF(AND(ABS(E100-AB100)/AB100&lt;=0.01,E100&lt;AB100),"5日戻り売り○","なし")))</f>
        <v>なし</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相場上昇・見送り</v>
      </c>
      <c r="AG100">
        <f>IF(AND(T100&gt;=7,C100&lt;&gt;""),T100,0)</f>
        <v>7</v>
      </c>
      <c r="AH100">
        <f>IF(AG100&gt;0,AG100*10000-ROW(A100),0)</f>
        <v>69900</v>
      </c>
      <c r="AI100" s="373">
        <f t="array" ref="AI100">IF(C100="","",IFERROR((INDEX(終値!$E:$E,MATCH(TEXT(C100,"0"),終値!$A:$A,0))-INDEX(終値!$E:$CZ,MATCH(TEXT(C100,"0"),終値!$A:$A,0),$AN$2))/INDEX(終値!$E:$CZ,MATCH(TEXT(C100,"0"),終値!$A:$A,0),$AN$2)*100,""))</f>
        <v>-6.6328316415820794</v>
      </c>
      <c r="AJ100" s="373">
        <f t="array" ref="AJ100">IFERROR((終値!$E$5-INDEX(終値!$E$5:$IT$5,1,$AN$2))/INDEX(終値!$E$5:$IT$5,1,$AN$2)*100,"")</f>
        <v>1.0179378228534113</v>
      </c>
      <c r="AK100" s="374">
        <f>IF(OR(AI100="",AJ100=""),"",AI100-AJ100)</f>
        <v>-7.6507694644354904</v>
      </c>
      <c r="AL100" s="372">
        <f>IF(AK100="","",IF(AK100&lt;-5,3,IF(AK100&lt;0,1,IF(AK100&lt;3,-1,-2))))</f>
        <v>3</v>
      </c>
      <c r="AO100" s="376" t="str">
        <f>IF(OR($C100="",$E100="",$F100="",$H100="",$I100="",$H100-$I100&lt;=0),"-",IF(AND($H100-MAX($F100,$E100)&gt;=ABS($E100-$F100)*2,MIN($F100,$E100)-$I100&lt;=ABS($E100-$F100)*0.5,ABS($E100-$F100)&gt;0),"上ヒゲ陰線▼",IF(AND($E100&lt;$F100,ABS($E100-$F100)&gt;=($H100-$I100)*0.7),"大陰線▼",IF(AND(MIN($F100,$E100)-$I100&gt;=($H100-$I100)*0.5,$H100-MAX($F100,$E100)&lt;=($H100-$I100)*0.2),"長い下ヒゲ(反発警戒)","通常"))))</f>
        <v>通常</v>
      </c>
      <c r="AP100" s="377">
        <f>IF($AO100="上ヒゲ陰線▼",2,IF($AO100="大陰線▼",2,IF($AO100="長い下ヒゲ(反発警戒)",-2,0)))</f>
        <v>0</v>
      </c>
      <c r="AQ100">
        <f>IF(C100&lt;&gt;"",始値!F81,"")</f>
        <v>5460</v>
      </c>
      <c r="AR100">
        <f>IF(C100&lt;&gt;"",高値!F81,"")</f>
        <v>5581</v>
      </c>
      <c r="AS100">
        <f>IF(C100&lt;&gt;"",安値!F81,"")</f>
        <v>5253</v>
      </c>
      <c r="AT100" t="str">
        <f>IF(OR(C100="",AQ100="",AR100="",AS100="",AR100-AS100&lt;=0),"-",IF(AND(AR100-MAX(G100,AQ100)&gt;=ABS(G100-AQ100)*2,MIN(G100,AQ100)-AS100&lt;=ABS(G100-AQ100)*0.5,ABS(G100-AQ100)&gt;0),"上ヒゲ陰線▼",IF(AND(G100&lt;AQ100,ABS(G100-AQ100)&gt;=(AR100-AS100)*0.7),"大陰線▼",IF(AND(MIN(G100,AQ100)-AS100&gt;=(AR100-AS100)*0.5,AR100-MAX(G100,AQ100)&lt;=(AR100-AS100)*0.2),"長い下ヒゲ(反発)","通常"))))</f>
        <v>通常</v>
      </c>
      <c r="AU100">
        <f>IF(AT100="上ヒゲ陰線▼",2,IF(AT100="大陰線▼",2,IF(AT100="長い下ヒゲ(反発)",-2,0)))</f>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1628</v>
      </c>
      <c r="F101" s="326">
        <f>IF(C101&lt;&gt;"",_xll.RssMarket(C101,"始値"),"")</f>
        <v>1562</v>
      </c>
      <c r="G101" s="325">
        <f>IF(C101&lt;&gt;"",終値!F82,"")</f>
        <v>1522</v>
      </c>
      <c r="H101" s="326">
        <f>IF(C101&lt;&gt;"",_xll.RssMarket(C101,"高値"),"")</f>
        <v>1636.5</v>
      </c>
      <c r="I101" s="326">
        <f>IF(C101&lt;&gt;"",_xll.RssMarket(C101,"安値"),"")</f>
        <v>1556.5</v>
      </c>
      <c r="J101" s="326">
        <f>IF(C101&lt;&gt;"",_xll.RssMarket(C101,"出来高"),"")</f>
        <v>4771400</v>
      </c>
      <c r="K101" s="326">
        <f>IF(C101&lt;&gt;"",_xll.RssMarket(C101,"年初来高値"),"")</f>
        <v>1585.5</v>
      </c>
      <c r="L101" s="327">
        <f>IF(AND(E101&lt;&gt;"",K101&lt;&gt;"",K101&lt;&gt;0),(E101-K101)/K101*100,"")</f>
        <v>2.6805424156417534</v>
      </c>
      <c r="M101" s="326">
        <f>IF(C101&lt;&gt;"",IFERROR(AVERAGE(出来高!E82:I82),""),"")</f>
        <v>3550420</v>
      </c>
      <c r="N101" s="326">
        <f>IF(C101&lt;&gt;"",IFERROR(AVERAGE(出来高!E82:AC82),""),"")</f>
        <v>3110808</v>
      </c>
      <c r="O101" s="328">
        <f>IF(AND(J101&lt;&gt;"",M101&lt;&gt;"",M101&lt;&gt;0),J101/M101,"")</f>
        <v>1.3438973417229512</v>
      </c>
      <c r="P101" s="325" t="str">
        <f>IF(O101="","",IF(O101&gt;=2,"急増↑↑",IF(O101&gt;=1.5,"増加↑",IF(O101&gt;=1,"普通→","減少↓"))))</f>
        <v>普通→</v>
      </c>
      <c r="Q101" s="325" t="str">
        <f>IF(E101="","",IF(AND(E101&lt;G101,O101&gt;=1.5),"売り▼",IF(E101&gt;G101,"様子見▲","中立→")))</f>
        <v>様子見▲</v>
      </c>
      <c r="R101" s="326">
        <f>IF(E101&lt;&gt;"",ROUND(E101*0.92,0),"")</f>
        <v>1498</v>
      </c>
      <c r="S101" s="326">
        <f>IF(E101&lt;&gt;"",ROUND(E101*1.04,0),"")</f>
        <v>1693</v>
      </c>
      <c r="T101" s="325">
        <f>IF(C101="","",IFERROR(IF(W101&gt;=70,3,IF(W101&gt;=60,2,IF(W101&gt;=50,1,0)))+IF(X101&lt;0,2,0)+IF(AD101="下降トレンド▼",3,IF(AD101="もみ合い→",1,0))+IF(V101="年初来安値圏●",3,IF(V101="安値圏",2,0))+IF(Q101="売り▼",2,0)+IF(P101="急増↑↑",2,IF(P101="増加↑",1,0))+IF(Z101&lt;0,1,0)+IF(L101&lt;=-30,2,IF(L101&lt;=-15,1,0))+IF(AE101="25日戻り売り★",2,IF(AE101="5日戻り売り○",1,0))+N(AL101)+N(AP101)+N(AU101),0))</f>
        <v>-2</v>
      </c>
      <c r="U101" s="325" t="str">
        <f>IF(T101="","",IF(AND(T101&gt;=3,O101&gt;=1.5),"有効",IF(T101&gt;=3,"要確認","除外")))</f>
        <v>除外</v>
      </c>
      <c r="V101" s="325" t="str">
        <f>IF(AND(I101&lt;&gt;"",K101&lt;&gt;""),IF(I101&lt;=K101*0.6,"年初来安値圏●",IF(I101&lt;=K101*0.75,"安値圏","通常")),"")</f>
        <v>通常</v>
      </c>
      <c r="W101" s="329">
        <f t="array" ref="W101">IFERROR(100-100/(1+SUMPRODUCT((終値!F82:R82&gt;終値!G82:S82)*(終値!F82:R82-終値!G82:S82))/SUMPRODUCT((終値!F82:R82&lt;終値!G82:S82)*(終値!G82:S82-終値!F82:R82))),50)</f>
        <v>48.828606658446368</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4.2269323234054355</v>
      </c>
      <c r="Y101" s="325" t="str">
        <f>IF(AF101="","",AF101&amp;" | "&amp;AD101&amp;IF(AE101&lt;&gt;"なし"," "&amp;AE101,"")&amp;IF(X101&lt;0," MACD-"," MACD+")&amp;" RSI:"&amp;TEXT(W101,"0.0")&amp;IF(W101&gt;=70," [過熱]",IF(W101&lt;=30," [売られ過ぎ]",""))&amp;" 前日比:"&amp;TEXT(Z101,"+0.0;-0.0;0.0")&amp;"%"&amp;IF(V101="年初来安値圏●"," [年初来安値圏]",IF(V101="安値圏"," [安値圏]",""))&amp;IF(OR(AO101="通常",AO101="-"),""," ["&amp;AO101&amp;"]")&amp;IF(OR(AT101="通常",AT101="-"),"","前日["&amp;AT101&amp;"]")&amp;" ["&amp;T101&amp;"点]")</f>
        <v>相場上昇・見送り | パーフェクト▲ MACD+ RSI:48.8 前日比:+7.0% [-2点]</v>
      </c>
      <c r="Z101" s="331">
        <f>IF(AND(E101&lt;&gt;"",G101&lt;&gt;"",G101&lt;&gt;0),(E101-G101)/G101*100,"")</f>
        <v>6.9645203679369247</v>
      </c>
      <c r="AA101" s="325" t="str">
        <f>IF(OR(C101="",E101="",E101=0),"",IF(E101&gt;G101,"上昇▲",IF(E101&lt;G101,"下落▼","横ばい→")))</f>
        <v>上昇▲</v>
      </c>
      <c r="AB101" s="326">
        <f>IF(OR(C101="",C101="TOPX",終値!E82=""),"",IFERROR(((終値!E82*0.333)+(終値!F82*0.222)+(終値!G82*0.148)+(終値!H82*0.099)+(終値!I82*0.066))/(0.333+0.222+0.148+0.099+0.066),""))</f>
        <v>1551.9688940092162</v>
      </c>
      <c r="AC101" s="326">
        <f>IF(OR(C101="",C101="TOPX",終値!E82=""),"",IFERROR(SUMPRODUCT((終値!E82:AC82),{0.077,0.071,0.065,0.06,0.055,0.051,0.047,0.043,0.039,0.036,0.033,0.031,0.028,0.026,0.024,0.022,0.02,0.018,0.017,0.016,0.014,0.013,0.012,0.011,0.01})/SUM({0.077,0.071,0.065,0.06,0.055,0.051,0.047,0.043,0.039,0.036,0.033,0.031,0.028,0.026,0.024,0.022,0.02,0.018,0.017,0.016,0.014,0.013,0.012,0.011,0.01}),""))</f>
        <v>1517.9755661501783</v>
      </c>
      <c r="AD101" s="325" t="str">
        <f>IF(OR(C101="",AB101="",AC101="",AB101=0,AC101=0),"",IF(AND(E101&gt;AB101,AB101&gt;AC101),"パーフェクト▲",IF(E101&gt;AC101,"上昇トレンド▲",IF(AND(E101&lt;AB101,AB101&lt;AC101),"下降トレンド▼","もみ合い→"))))</f>
        <v>パーフェクト▲</v>
      </c>
      <c r="AE101" s="325" t="str">
        <f>IF(OR(C101="",AB101="",AC101=""),"",IF(AND(ABS(E101-AC101)/AC101&lt;=0.02,E101&lt;AC101),"25日戻り売り★",IF(AND(ABS(E101-AB101)/AB101&lt;=0.01,E101&lt;AB101),"5日戻り売り○","なし")))</f>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相場上昇・見送り</v>
      </c>
      <c r="AG101">
        <f>IF(AND(T101&gt;=7,C101&lt;&gt;""),T101,0)</f>
        <v>0</v>
      </c>
      <c r="AH101">
        <f>IF(AG101&gt;0,AG101*10000-ROW(A101),0)</f>
        <v>0</v>
      </c>
      <c r="AI101" s="373">
        <f t="array" ref="AI101">IF(C101="","",IFERROR((INDEX(終値!$E:$E,MATCH(TEXT(C101,"0"),終値!$A:$A,0))-INDEX(終値!$E:$CZ,MATCH(TEXT(C101,"0"),終値!$A:$A,0),$AN$2))/INDEX(終値!$E:$CZ,MATCH(TEXT(C101,"0"),終値!$A:$A,0),$AN$2)*100,""))</f>
        <v>13.726859937128886</v>
      </c>
      <c r="AJ101" s="373">
        <f t="array" ref="AJ101">IFERROR((終値!$E$5-INDEX(終値!$E$5:$IT$5,1,$AN$2))/INDEX(終値!$E$5:$IT$5,1,$AN$2)*100,"")</f>
        <v>1.0179378228534113</v>
      </c>
      <c r="AK101" s="374">
        <f>IF(OR(AI101="",AJ101=""),"",AI101-AJ101)</f>
        <v>12.708922114275474</v>
      </c>
      <c r="AL101" s="372">
        <f>IF(AK101="","",IF(AK101&lt;-5,3,IF(AK101&lt;0,1,IF(AK101&lt;3,-1,-2))))</f>
        <v>-2</v>
      </c>
      <c r="AO101" s="376" t="str">
        <f>IF(OR($C101="",$E101="",$F101="",$H101="",$I101="",$H101-$I101&lt;=0),"-",IF(AND($H101-MAX($F101,$E101)&gt;=ABS($E101-$F101)*2,MIN($F101,$E101)-$I101&lt;=ABS($E101-$F101)*0.5,ABS($E101-$F101)&gt;0),"上ヒゲ陰線▼",IF(AND($E101&lt;$F101,ABS($E101-$F101)&gt;=($H101-$I101)*0.7),"大陰線▼",IF(AND(MIN($F101,$E101)-$I101&gt;=($H101-$I101)*0.5,$H101-MAX($F101,$E101)&lt;=($H101-$I101)*0.2),"長い下ヒゲ(反発警戒)","通常"))))</f>
        <v>通常</v>
      </c>
      <c r="AP101" s="377">
        <f>IF($AO101="上ヒゲ陰線▼",2,IF($AO101="大陰線▼",2,IF($AO101="長い下ヒゲ(反発警戒)",-2,0)))</f>
        <v>0</v>
      </c>
      <c r="AQ101">
        <f>IF(C101&lt;&gt;"",始値!F82,"")</f>
        <v>1490</v>
      </c>
      <c r="AR101">
        <f>IF(C101&lt;&gt;"",高値!F82,"")</f>
        <v>1522</v>
      </c>
      <c r="AS101">
        <f>IF(C101&lt;&gt;"",安値!F82,"")</f>
        <v>1479</v>
      </c>
      <c r="AT101" t="str">
        <f>IF(OR(C101="",AQ101="",AR101="",AS101="",AR101-AS101&lt;=0),"-",IF(AND(AR101-MAX(G101,AQ101)&gt;=ABS(G101-AQ101)*2,MIN(G101,AQ101)-AS101&lt;=ABS(G101-AQ101)*0.5,ABS(G101-AQ101)&gt;0),"上ヒゲ陰線▼",IF(AND(G101&lt;AQ101,ABS(G101-AQ101)&gt;=(AR101-AS101)*0.7),"大陰線▼",IF(AND(MIN(G101,AQ101)-AS101&gt;=(AR101-AS101)*0.5,AR101-MAX(G101,AQ101)&lt;=(AR101-AS101)*0.2),"長い下ヒゲ(反発)","通常"))))</f>
        <v>通常</v>
      </c>
      <c r="AU101">
        <f>IF(AT101="上ヒゲ陰線▼",2,IF(AT101="大陰線▼",2,IF(AT101="長い下ヒゲ(反発)",-2,0)))</f>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3232</v>
      </c>
      <c r="F102" s="333">
        <f>IF(C102&lt;&gt;"",_xll.RssMarket(C102,"始値"),"")</f>
        <v>3189</v>
      </c>
      <c r="G102" s="212">
        <f>IF(C102&lt;&gt;"",終値!F85,"")</f>
        <v>3200</v>
      </c>
      <c r="H102" s="333">
        <f>IF(C102&lt;&gt;"",_xll.RssMarket(C102,"高値"),"")</f>
        <v>3246</v>
      </c>
      <c r="I102" s="333">
        <f>IF(C102&lt;&gt;"",_xll.RssMarket(C102,"安値"),"")</f>
        <v>3185</v>
      </c>
      <c r="J102" s="333">
        <f>IF(C102&lt;&gt;"",_xll.RssMarket(C102,"出来高"),"")</f>
        <v>5230400</v>
      </c>
      <c r="K102" s="333">
        <f>IF(C102&lt;&gt;"",_xll.RssMarket(C102,"年初来高値"),"")</f>
        <v>3465</v>
      </c>
      <c r="L102" s="334">
        <f>IF(AND(E102&lt;&gt;"",K102&lt;&gt;"",K102&lt;&gt;0),(E102-K102)/K102*100,"")</f>
        <v>-6.7243867243867248</v>
      </c>
      <c r="M102" s="333">
        <f>IF(C102&lt;&gt;"",IFERROR(AVERAGE(出来高!E85:I85),""),"")</f>
        <v>7322700</v>
      </c>
      <c r="N102" s="333">
        <f>IF(C102&lt;&gt;"",IFERROR(AVERAGE(出来高!E85:AC85),""),"")</f>
        <v>6567544</v>
      </c>
      <c r="O102" s="335">
        <f>IF(AND(J102&lt;&gt;"",M102&lt;&gt;"",M102&lt;&gt;0),J102/M102,"")</f>
        <v>0.71427205812063854</v>
      </c>
      <c r="P102" s="212" t="str">
        <f>IF(O102="","",IF(O102&gt;=2,"急増↑↑",IF(O102&gt;=1.5,"増加↑",IF(O102&gt;=1,"普通→","減少↓"))))</f>
        <v>減少↓</v>
      </c>
      <c r="Q102" s="212" t="str">
        <f>IF(E102="","",IF(AND(E102&lt;G102,O102&gt;=1.5),"売り▼",IF(E102&gt;G102,"様子見▲","中立→")))</f>
        <v>様子見▲</v>
      </c>
      <c r="R102" s="333">
        <f>IF(E102&lt;&gt;"",ROUND(E102*0.92,0),"")</f>
        <v>2973</v>
      </c>
      <c r="S102" s="333">
        <f>IF(E102&lt;&gt;"",ROUND(E102*1.04,0),"")</f>
        <v>3361</v>
      </c>
      <c r="T102" s="325">
        <f>IF(C102="","",IFERROR(IF(W102&gt;=70,3,IF(W102&gt;=60,2,IF(W102&gt;=50,1,0)))+IF(X102&lt;0,2,0)+IF(AD102="下降トレンド▼",3,IF(AD102="もみ合い→",1,0))+IF(V102="年初来安値圏●",3,IF(V102="安値圏",2,0))+IF(Q102="売り▼",2,0)+IF(P102="急増↑↑",2,IF(P102="増加↑",1,0))+IF(Z102&lt;0,1,0)+IF(L102&lt;=-30,2,IF(L102&lt;=-15,1,0))+IF(AE102="25日戻り売り★",2,IF(AE102="5日戻り売り○",1,0))+N(AL102)+N(AP102)+N(AU102),0))</f>
        <v>3</v>
      </c>
      <c r="U102" s="212" t="str">
        <f>IF(T102="","",IF(AND(T102&gt;=3,O102&gt;=1.5),"有効",IF(T102&gt;=3,"要確認","除外")))</f>
        <v>要確認</v>
      </c>
      <c r="V102" s="212" t="str">
        <f>IF(AND(I102&lt;&gt;"",K102&lt;&gt;""),IF(I102&lt;=K102*0.6,"年初来安値圏●",IF(I102&lt;=K102*0.75,"安値圏","通常")),"")</f>
        <v>通常</v>
      </c>
      <c r="W102" s="336">
        <f t="array" ref="W102">IFERROR(100-100/(1+SUMPRODUCT((終値!F85:R85&gt;終値!G85:S85)*(終値!F85:R85-終値!G85:S85))/SUMPRODUCT((終値!F85:R85&lt;終値!G85:S85)*(終値!G85:S85-終値!F85:R85))),50)</f>
        <v>42.299794661190965</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-12.192099952635544</v>
      </c>
      <c r="Y102" s="212" t="str">
        <f>IF(AF102="","",AF102&amp;" | "&amp;AD102&amp;IF(AE102&lt;&gt;"なし"," "&amp;AE102,"")&amp;IF(X102&lt;0," MACD-"," MACD+")&amp;" RSI:"&amp;TEXT(W102,"0.0")&amp;IF(W102&gt;=70," [過熱]",IF(W102&lt;=30," [売られ過ぎ]",""))&amp;" 前日比:"&amp;TEXT(Z102,"+0.0;-0.0;0.0")&amp;"%"&amp;IF(V102="年初来安値圏●"," [年初来安値圏]",IF(V102="安値圏"," [安値圏]",""))&amp;IF(OR(AO102="通常",AO102="-"),""," ["&amp;AO102&amp;"]")&amp;IF(OR(AT102="通常",AT102="-"),"","前日["&amp;AT102&amp;"]")&amp;" ["&amp;T102&amp;"点]")</f>
        <v>○逆張り売り | もみ合い→ 25日戻り売り★ MACD- RSI:42.3 前日比:+1.0% [3点]</v>
      </c>
      <c r="Z102" s="338">
        <f>IF(AND(E102&lt;&gt;"",G102&lt;&gt;"",G102&lt;&gt;0),(E102-G102)/G102*100,"")</f>
        <v>1</v>
      </c>
      <c r="AA102" s="212" t="str">
        <f>IF(OR(C102="",E102="",E102=0),"",IF(E102&gt;G102,"上昇▲",IF(E102&lt;G102,"下落▼","横ばい→")))</f>
        <v>上昇▲</v>
      </c>
      <c r="AB102" s="333">
        <f>IF(OR(C102="",C102="TOPX",終値!E85=""),"",IFERROR(((終値!E85*0.333)+(終値!F85*0.222)+(終値!G85*0.148)+(終値!H85*0.099)+(終値!I85*0.066))/(0.333+0.222+0.148+0.099+0.066),""))</f>
        <v>3176.4285714285711</v>
      </c>
      <c r="AC102" s="333">
        <f>IF(OR(C102="",C102="TOPX",終値!E85=""),"",IFERROR(SUMPRODUCT((終値!E85:AC85),{0.077,0.071,0.065,0.06,0.055,0.051,0.047,0.043,0.039,0.036,0.033,0.031,0.028,0.026,0.024,0.022,0.02,0.018,0.017,0.016,0.014,0.013,0.012,0.011,0.01})/SUM({0.077,0.071,0.065,0.06,0.055,0.051,0.047,0.043,0.039,0.036,0.033,0.031,0.028,0.026,0.024,0.022,0.02,0.018,0.017,0.016,0.014,0.013,0.012,0.011,0.01}),""))</f>
        <v>3236.9404052443374</v>
      </c>
      <c r="AD102" s="212" t="str">
        <f>IF(OR(C102="",AB102="",AC102="",AB102=0,AC102=0),"",IF(AND(E102&gt;AB102,AB102&gt;AC102),"パーフェクト▲",IF(E102&gt;AC102,"上昇トレンド▲",IF(AND(E102&lt;AB102,AB102&lt;AC102),"下降トレンド▼","もみ合い→"))))</f>
        <v>もみ合い→</v>
      </c>
      <c r="AE102" s="212" t="str">
        <f>IF(OR(C102="",AB102="",AC102=""),"",IF(AND(ABS(E102-AC102)/AC102&lt;=0.02,E102&lt;AC102),"25日戻り売り★",IF(AND(ABS(E102-AB102)/AB102&lt;=0.01,E102&lt;AB102),"5日戻り売り○","なし")))</f>
        <v>25日戻り売り★</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○逆張り売り</v>
      </c>
      <c r="AG102">
        <f>IF(AND(T102&gt;=7,C102&lt;&gt;""),T102,0)</f>
        <v>0</v>
      </c>
      <c r="AH102">
        <f>IF(AG102&gt;0,AG102*10000-ROW(A102),0)</f>
        <v>0</v>
      </c>
      <c r="AI102" s="373">
        <f t="array" ref="AI102">IF(C102="","",IFERROR((INDEX(終値!$E:$E,MATCH(TEXT(C102,"0"),終値!$A:$A,0))-INDEX(終値!$E:$CZ,MATCH(TEXT(C102,"0"),終値!$A:$A,0),$AN$2))/INDEX(終値!$E:$CZ,MATCH(TEXT(C102,"0"),終値!$A:$A,0),$AN$2)*100,""))</f>
        <v>4.697116942014901</v>
      </c>
      <c r="AJ102" s="373">
        <f t="array" ref="AJ102">IFERROR((終値!$E$5-INDEX(終値!$E$5:$IT$5,1,$AN$2))/INDEX(終値!$E$5:$IT$5,1,$AN$2)*100,"")</f>
        <v>1.0179378228534113</v>
      </c>
      <c r="AK102" s="374">
        <f>IF(OR(AI102="",AJ102=""),"",AI102-AJ102)</f>
        <v>3.67917911916149</v>
      </c>
      <c r="AL102" s="372">
        <f>IF(AK102="","",IF(AK102&lt;-5,3,IF(AK102&lt;0,1,IF(AK102&lt;3,-1,-2))))</f>
        <v>-2</v>
      </c>
      <c r="AO102" s="376" t="str">
        <f>IF(OR($C102="",$E102="",$F102="",$H102="",$I102="",$H102-$I102&lt;=0),"-",IF(AND($H102-MAX($F102,$E102)&gt;=ABS($E102-$F102)*2,MIN($F102,$E102)-$I102&lt;=ABS($E102-$F102)*0.5,ABS($E102-$F102)&gt;0),"上ヒゲ陰線▼",IF(AND($E102&lt;$F102,ABS($E102-$F102)&gt;=($H102-$I102)*0.7),"大陰線▼",IF(AND(MIN($F102,$E102)-$I102&gt;=($H102-$I102)*0.5,$H102-MAX($F102,$E102)&lt;=($H102-$I102)*0.2),"長い下ヒゲ(反発警戒)","通常"))))</f>
        <v>通常</v>
      </c>
      <c r="AP102" s="377">
        <f>IF($AO102="上ヒゲ陰線▼",2,IF($AO102="大陰線▼",2,IF($AO102="長い下ヒゲ(反発警戒)",-2,0)))</f>
        <v>0</v>
      </c>
      <c r="AQ102">
        <f>IF(C102&lt;&gt;"",始値!F85,"")</f>
        <v>3127</v>
      </c>
      <c r="AR102">
        <f>IF(C102&lt;&gt;"",高値!F85,"")</f>
        <v>3200</v>
      </c>
      <c r="AS102">
        <f>IF(C102&lt;&gt;"",安値!F85,"")</f>
        <v>3081</v>
      </c>
      <c r="AT102" t="str">
        <f>IF(OR(C102="",AQ102="",AR102="",AS102="",AR102-AS102&lt;=0),"-",IF(AND(AR102-MAX(G102,AQ102)&gt;=ABS(G102-AQ102)*2,MIN(G102,AQ102)-AS102&lt;=ABS(G102-AQ102)*0.5,ABS(G102-AQ102)&gt;0),"上ヒゲ陰線▼",IF(AND(G102&lt;AQ102,ABS(G102-AQ102)&gt;=(AR102-AS102)*0.7),"大陰線▼",IF(AND(MIN(G102,AQ102)-AS102&gt;=(AR102-AS102)*0.5,AR102-MAX(G102,AQ102)&lt;=(AR102-AS102)*0.2),"長い下ヒゲ(反発)","通常"))))</f>
        <v>通常</v>
      </c>
      <c r="AU102">
        <f>IF(AT102="上ヒゲ陰線▼",2,IF(AT102="大陰線▼",2,IF(AT102="長い下ヒゲ(反発)",-2,0)))</f>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2954</v>
      </c>
      <c r="F103" s="326">
        <f>IF(C103&lt;&gt;"",_xll.RssMarket(C103,"始値"),"")</f>
        <v>2910.5</v>
      </c>
      <c r="G103" s="325">
        <f>IF(C103&lt;&gt;"",終値!F101,"")</f>
        <v>2860.5</v>
      </c>
      <c r="H103" s="326">
        <f>IF(C103&lt;&gt;"",_xll.RssMarket(C103,"高値"),"")</f>
        <v>2966.5</v>
      </c>
      <c r="I103" s="326">
        <f>IF(C103&lt;&gt;"",_xll.RssMarket(C103,"安値"),"")</f>
        <v>2888.5</v>
      </c>
      <c r="J103" s="326">
        <f>IF(C103&lt;&gt;"",_xll.RssMarket(C103,"出来高"),"")</f>
        <v>6257700</v>
      </c>
      <c r="K103" s="326">
        <f>IF(C103&lt;&gt;"",_xll.RssMarket(C103,"年初来高値"),"")</f>
        <v>3167</v>
      </c>
      <c r="L103" s="327">
        <f>IF(AND(E103&lt;&gt;"",K103&lt;&gt;"",K103&lt;&gt;0),(E103-K103)/K103*100,"")</f>
        <v>-6.7256078307546572</v>
      </c>
      <c r="M103" s="326">
        <f>IF(C103&lt;&gt;"",IFERROR(AVERAGE(出来高!E101:I101),""),"")</f>
        <v>10430280</v>
      </c>
      <c r="N103" s="326">
        <f>IF(C103&lt;&gt;"",IFERROR(AVERAGE(出来高!E101:AC101),""),"")</f>
        <v>7507054.166666667</v>
      </c>
      <c r="O103" s="328">
        <f>IF(AND(J103&lt;&gt;"",M103&lt;&gt;"",M103&lt;&gt;0),J103/M103,"")</f>
        <v>0.59995513063887063</v>
      </c>
      <c r="P103" s="325" t="str">
        <f>IF(O103="","",IF(O103&gt;=2,"急増↑↑",IF(O103&gt;=1.5,"増加↑",IF(O103&gt;=1,"普通→","減少↓"))))</f>
        <v>減少↓</v>
      </c>
      <c r="Q103" s="325" t="str">
        <f>IF(E103="","",IF(AND(E103&lt;G103,O103&gt;=1.5),"売り▼",IF(E103&gt;G103,"様子見▲","中立→")))</f>
        <v>様子見▲</v>
      </c>
      <c r="R103" s="326">
        <f>IF(E103&lt;&gt;"",ROUND(E103*0.92,0),"")</f>
        <v>2718</v>
      </c>
      <c r="S103" s="326">
        <f>IF(E103&lt;&gt;"",ROUND(E103*1.04,0),"")</f>
        <v>3072</v>
      </c>
      <c r="T103" s="325">
        <f>IF(C103="","",IFERROR(IF(W103&gt;=70,3,IF(W103&gt;=60,2,IF(W103&gt;=50,1,0)))+IF(X103&lt;0,2,0)+IF(AD103="下降トレンド▼",3,IF(AD103="もみ合い→",1,0))+IF(V103="年初来安値圏●",3,IF(V103="安値圏",2,0))+IF(Q103="売り▼",2,0)+IF(P103="急増↑↑",2,IF(P103="増加↑",1,0))+IF(Z103&lt;0,1,0)+IF(L103&lt;=-30,2,IF(L103&lt;=-15,1,0))+IF(AE103="25日戻り売り★",2,IF(AE103="5日戻り売り○",1,0))+N(AL103)+N(AP103)+N(AU103),0))</f>
        <v>0</v>
      </c>
      <c r="U103" s="325" t="str">
        <f>IF(T103="","",IF(AND(T103&gt;=3,O103&gt;=1.5),"有効",IF(T103&gt;=3,"要確認","除外")))</f>
        <v>除外</v>
      </c>
      <c r="V103" s="325" t="str">
        <f>IF(AND(I103&lt;&gt;"",K103&lt;&gt;""),IF(I103&lt;=K103*0.6,"年初来安値圏●",IF(I103&lt;=K103*0.75,"安値圏","通常")),"")</f>
        <v>通常</v>
      </c>
      <c r="W103" s="329">
        <f t="array" ref="W103">IFERROR(100-100/(1+SUMPRODUCT((終値!F101:R101&gt;終値!G101:S101)*(終値!F101:R101-終値!G101:S101))/SUMPRODUCT((終値!F101:R101&lt;終値!G101:S101)*(終値!G101:S101-終値!F101:R101))),50)</f>
        <v>51.822976381563862</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37.425399718993503</v>
      </c>
      <c r="Y103" s="325" t="str">
        <f>IF(AF103="","",AF103&amp;" | "&amp;AD103&amp;IF(AE103&lt;&gt;"なし"," "&amp;AE103,"")&amp;IF(X103&lt;0," MACD-"," MACD+")&amp;" RSI:"&amp;TEXT(W103,"0.0")&amp;IF(W103&gt;=70," [過熱]",IF(W103&lt;=30," [売られ過ぎ]",""))&amp;" 前日比:"&amp;TEXT(Z103,"+0.0;-0.0;0.0")&amp;"%"&amp;IF(V103="年初来安値圏●"," [年初来安値圏]",IF(V103="安値圏"," [安値圏]",""))&amp;IF(OR(AO103="通常",AO103="-"),""," ["&amp;AO103&amp;"]")&amp;IF(OR(AT103="通常",AT103="-"),"","前日["&amp;AT103&amp;"]")&amp;" ["&amp;T103&amp;"点]")</f>
        <v>相場上昇・見送り | 上昇トレンド▲ 5日戻り売り○ MACD+ RSI:51.8 前日比:+3.3% [0点]</v>
      </c>
      <c r="Z103" s="331">
        <f>IF(AND(E103&lt;&gt;"",G103&lt;&gt;"",G103&lt;&gt;0),(E103-G103)/G103*100,"")</f>
        <v>3.2686593252927811</v>
      </c>
      <c r="AA103" s="325" t="str">
        <f>IF(OR(C103="",E103="",E103=0),"",IF(E103&gt;G103,"上昇▲",IF(E103&lt;G103,"下落▼","横ばい→")))</f>
        <v>上昇▲</v>
      </c>
      <c r="AB103" s="326">
        <f>IF(OR(C103="",C103="TOPX",終値!E101=""),"",IFERROR(((終値!E101*0.333)+(終値!F101*0.222)+(終値!G101*0.148)+(終値!H101*0.099)+(終値!I101*0.066))/(0.333+0.222+0.148+0.099+0.066),""))</f>
        <v>2959.9170506912442</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2724.8867699642424</v>
      </c>
      <c r="AD103" s="325" t="str">
        <f>IF(OR(C103="",AB103="",AC103="",AB103=0,AC103=0),"",IF(AND(E103&gt;AB103,AB103&gt;AC103),"パーフェクト▲",IF(E103&gt;AC103,"上昇トレンド▲",IF(AND(E103&lt;AB103,AB103&lt;AC103),"下降トレンド▼","もみ合い→"))))</f>
        <v>上昇トレンド▲</v>
      </c>
      <c r="AE103" s="325" t="str">
        <f>IF(OR(C103="",AB103="",AC103=""),"",IF(AND(ABS(E103-AC103)/AC103&lt;=0.02,E103&lt;AC103),"25日戻り売り★",IF(AND(ABS(E103-AB103)/AB103&lt;=0.01,E103&lt;AB103),"5日戻り売り○","なし")))</f>
        <v>5日戻り売り○</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相場上昇・見送り</v>
      </c>
      <c r="AG103">
        <f>IF(AND(T103&gt;=7,C103&lt;&gt;""),T103,0)</f>
        <v>0</v>
      </c>
      <c r="AH103">
        <f>IF(AG103&gt;0,AG103*10000-ROW(A103),0)</f>
        <v>0</v>
      </c>
      <c r="AI103" s="373">
        <f t="array" ref="AI103">IF(C103="","",IFERROR((INDEX(終値!$E:$E,MATCH(TEXT(C103,"0"),終値!$A:$A,0))-INDEX(終値!$E:$CZ,MATCH(TEXT(C103,"0"),終値!$A:$A,0),$AN$2))/INDEX(終値!$E:$CZ,MATCH(TEXT(C103,"0"),終値!$A:$A,0),$AN$2)*100,""))</f>
        <v>22.470978441127695</v>
      </c>
      <c r="AJ103" s="373">
        <f t="array" ref="AJ103">IFERROR((終値!$E$5-INDEX(終値!$E$5:$IT$5,1,$AN$2))/INDEX(終値!$E$5:$IT$5,1,$AN$2)*100,"")</f>
        <v>1.0179378228534113</v>
      </c>
      <c r="AK103" s="374">
        <f>IF(OR(AI103="",AJ103=""),"",AI103-AJ103)</f>
        <v>21.453040618274283</v>
      </c>
      <c r="AL103" s="372">
        <f>IF(AK103="","",IF(AK103&lt;-5,3,IF(AK103&lt;0,1,IF(AK103&lt;3,-1,-2))))</f>
        <v>-2</v>
      </c>
      <c r="AO103" s="376" t="str">
        <f>IF(OR($C103="",$E103="",$F103="",$H103="",$I103="",$H103-$I103&lt;=0),"-",IF(AND($H103-MAX($F103,$E103)&gt;=ABS($E103-$F103)*2,MIN($F103,$E103)-$I103&lt;=ABS($E103-$F103)*0.5,ABS($E103-$F103)&gt;0),"上ヒゲ陰線▼",IF(AND($E103&lt;$F103,ABS($E103-$F103)&gt;=($H103-$I103)*0.7),"大陰線▼",IF(AND(MIN($F103,$E103)-$I103&gt;=($H103-$I103)*0.5,$H103-MAX($F103,$E103)&lt;=($H103-$I103)*0.2),"長い下ヒゲ(反発警戒)","通常"))))</f>
        <v>通常</v>
      </c>
      <c r="AP103" s="377">
        <f>IF($AO103="上ヒゲ陰線▼",2,IF($AO103="大陰線▼",2,IF($AO103="長い下ヒゲ(反発警戒)",-2,0)))</f>
        <v>0</v>
      </c>
      <c r="AQ103">
        <f>IF(C103&lt;&gt;"",始値!F101,"")</f>
        <v>2915</v>
      </c>
      <c r="AR103">
        <f>IF(C103&lt;&gt;"",高値!F101,"")</f>
        <v>2943</v>
      </c>
      <c r="AS103">
        <f>IF(C103&lt;&gt;"",安値!F101,"")</f>
        <v>2847</v>
      </c>
      <c r="AT103" t="str">
        <f>IF(OR(C103="",AQ103="",AR103="",AS103="",AR103-AS103&lt;=0),"-",IF(AND(AR103-MAX(G103,AQ103)&gt;=ABS(G103-AQ103)*2,MIN(G103,AQ103)-AS103&lt;=ABS(G103-AQ103)*0.5,ABS(G103-AQ103)&gt;0),"上ヒゲ陰線▼",IF(AND(G103&lt;AQ103,ABS(G103-AQ103)&gt;=(AR103-AS103)*0.7),"大陰線▼",IF(AND(MIN(G103,AQ103)-AS103&gt;=(AR103-AS103)*0.5,AR103-MAX(G103,AQ103)&lt;=(AR103-AS103)*0.2),"長い下ヒゲ(反発)","通常"))))</f>
        <v>通常</v>
      </c>
      <c r="AU103">
        <f>IF(AT103="上ヒゲ陰線▼",2,IF(AT103="大陰線▼",2,IF(AT103="長い下ヒゲ(反発)",-2,0)))</f>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3428</v>
      </c>
      <c r="F104" s="333">
        <f>IF(C104&lt;&gt;"",_xll.RssMarket(C104,"始値"),"")</f>
        <v>3391</v>
      </c>
      <c r="G104" s="212">
        <f>IF(C104&lt;&gt;"",終値!F109,"")</f>
        <v>3369</v>
      </c>
      <c r="H104" s="333">
        <f>IF(C104&lt;&gt;"",_xll.RssMarket(C104,"高値"),"")</f>
        <v>3448</v>
      </c>
      <c r="I104" s="333">
        <f>IF(C104&lt;&gt;"",_xll.RssMarket(C104,"安値"),"")</f>
        <v>3380</v>
      </c>
      <c r="J104" s="333">
        <f>IF(C104&lt;&gt;"",_xll.RssMarket(C104,"出来高"),"")</f>
        <v>3821800</v>
      </c>
      <c r="K104" s="333">
        <f>IF(C104&lt;&gt;"",_xll.RssMarket(C104,"年初来高値"),"")</f>
        <v>4211</v>
      </c>
      <c r="L104" s="334">
        <f>IF(AND(E104&lt;&gt;"",K104&lt;&gt;"",K104&lt;&gt;0),(E104-K104)/K104*100,"")</f>
        <v>-18.594158157207314</v>
      </c>
      <c r="M104" s="333">
        <f>IF(C104&lt;&gt;"",IFERROR(AVERAGE(出来高!E109:I109),""),"")</f>
        <v>4503300</v>
      </c>
      <c r="N104" s="333">
        <f>IF(C104&lt;&gt;"",IFERROR(AVERAGE(出来高!E109:AC109),""),"")</f>
        <v>3279896</v>
      </c>
      <c r="O104" s="335">
        <f>IF(AND(J104&lt;&gt;"",M104&lt;&gt;"",M104&lt;&gt;0),J104/M104,"")</f>
        <v>0.84866653343103948</v>
      </c>
      <c r="P104" s="212" t="str">
        <f>IF(O104="","",IF(O104&gt;=2,"急増↑↑",IF(O104&gt;=1.5,"増加↑",IF(O104&gt;=1,"普通→","減少↓"))))</f>
        <v>減少↓</v>
      </c>
      <c r="Q104" s="212" t="str">
        <f>IF(E104="","",IF(AND(E104&lt;G104,O104&gt;=1.5),"売り▼",IF(E104&gt;G104,"様子見▲","中立→")))</f>
        <v>様子見▲</v>
      </c>
      <c r="R104" s="333">
        <f>IF(E104&lt;&gt;"",ROUND(E104*0.92,0),"")</f>
        <v>3154</v>
      </c>
      <c r="S104" s="333">
        <f>IF(E104&lt;&gt;"",ROUND(E104*1.04,0),"")</f>
        <v>3565</v>
      </c>
      <c r="T104" s="325">
        <f>IF(C104="","",IFERROR(IF(W104&gt;=70,3,IF(W104&gt;=60,2,IF(W104&gt;=50,1,0)))+IF(X104&lt;0,2,0)+IF(AD104="下降トレンド▼",3,IF(AD104="もみ合い→",1,0))+IF(V104="年初来安値圏●",3,IF(V104="安値圏",2,0))+IF(Q104="売り▼",2,0)+IF(P104="急増↑↑",2,IF(P104="増加↑",1,0))+IF(Z104&lt;0,1,0)+IF(L104&lt;=-30,2,IF(L104&lt;=-15,1,0))+IF(AE104="25日戻り売り★",2,IF(AE104="5日戻り売り○",1,0))+N(AL104)+N(AP104)+N(AU104),0))</f>
        <v>2</v>
      </c>
      <c r="U104" s="212" t="str">
        <f>IF(T104="","",IF(AND(T104&gt;=3,O104&gt;=1.5),"有効",IF(T104&gt;=3,"要確認","除外")))</f>
        <v>除外</v>
      </c>
      <c r="V104" s="212" t="str">
        <f>IF(AND(I104&lt;&gt;"",K104&lt;&gt;""),IF(I104&lt;=K104*0.6,"年初来安値圏●",IF(I104&lt;=K104*0.75,"安値圏","通常")),"")</f>
        <v>通常</v>
      </c>
      <c r="W104" s="336">
        <f t="array" ref="W104">IFERROR(100-100/(1+SUMPRODUCT((終値!F109:R109&gt;終値!G109:S109)*(終値!F109:R109-終値!G109:S109))/SUMPRODUCT((終値!F109:R109&lt;終値!G109:S109)*(終値!G109:S109-終値!F109:R109))),50)</f>
        <v>40.312213039485769</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-2.8047655817763371</v>
      </c>
      <c r="Y104" s="212" t="str">
        <f>IF(AF104="","",AF104&amp;" | "&amp;AD104&amp;IF(AE104&lt;&gt;"なし"," "&amp;AE104,"")&amp;IF(X104&lt;0," MACD-"," MACD+")&amp;" RSI:"&amp;TEXT(W104,"0.0")&amp;IF(W104&gt;=70," [過熱]",IF(W104&lt;=30," [売られ過ぎ]",""))&amp;" 前日比:"&amp;TEXT(Z104,"+0.0;-0.0;0.0")&amp;"%"&amp;IF(V104="年初来安値圏●"," [年初来安値圏]",IF(V104="安値圏"," [安値圏]",""))&amp;IF(OR(AO104="通常",AO104="-"),""," ["&amp;AO104&amp;"]")&amp;IF(OR(AT104="通常",AT104="-"),"","前日["&amp;AT104&amp;"]")&amp;" ["&amp;T104&amp;"点]")</f>
        <v>相場上昇・見送り | もみ合い→ MACD- RSI:40.3 前日比:+1.8% [2点]</v>
      </c>
      <c r="Z104" s="338">
        <f>IF(AND(E104&lt;&gt;"",G104&lt;&gt;"",G104&lt;&gt;0),(E104-G104)/G104*100,"")</f>
        <v>1.7512615019293558</v>
      </c>
      <c r="AA104" s="212" t="str">
        <f>IF(OR(C104="",E104="",E104=0),"",IF(E104&gt;G104,"上昇▲",IF(E104&lt;G104,"下落▼","横ばい→")))</f>
        <v>上昇▲</v>
      </c>
      <c r="AB104" s="333">
        <f>IF(OR(C104="",C104="TOPX",終値!E109=""),"",IFERROR(((終値!E109*0.333)+(終値!F109*0.222)+(終値!G109*0.148)+(終値!H109*0.099)+(終値!I109*0.066))/(0.333+0.222+0.148+0.099+0.066),""))</f>
        <v>3427.6728110599079</v>
      </c>
      <c r="AC104" s="333">
        <f>IF(OR(C104="",C104="TOPX",終値!E109=""),"",IFERROR(SUMPRODUCT((終値!E109:AC109),{0.077,0.071,0.065,0.06,0.055,0.051,0.047,0.043,0.039,0.036,0.033,0.031,0.028,0.026,0.024,0.022,0.02,0.018,0.017,0.016,0.014,0.013,0.012,0.011,0.01})/SUM({0.077,0.071,0.065,0.06,0.055,0.051,0.047,0.043,0.039,0.036,0.033,0.031,0.028,0.026,0.024,0.022,0.02,0.018,0.017,0.016,0.014,0.013,0.012,0.011,0.01}),""))</f>
        <v>3577.2336114421905</v>
      </c>
      <c r="AD104" s="212" t="str">
        <f>IF(OR(C104="",AB104="",AC104="",AB104=0,AC104=0),"",IF(AND(E104&gt;AB104,AB104&gt;AC104),"パーフェクト▲",IF(E104&gt;AC104,"上昇トレンド▲",IF(AND(E104&lt;AB104,AB104&lt;AC104),"下降トレンド▼","もみ合い→"))))</f>
        <v>もみ合い→</v>
      </c>
      <c r="AE104" s="212" t="str">
        <f>IF(OR(C104="",AB104="",AC104=""),"",IF(AND(ABS(E104-AC104)/AC104&lt;=0.02,E104&lt;AC104),"25日戻り売り★",IF(AND(ABS(E104-AB104)/AB104&lt;=0.01,E104&lt;AB104),"5日戻り売り○","なし")))</f>
        <v>なし</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相場上昇・見送り</v>
      </c>
      <c r="AG104">
        <f>IF(AND(T104&gt;=7,C104&lt;&gt;""),T104,0)</f>
        <v>0</v>
      </c>
      <c r="AH104">
        <f>IF(AG104&gt;0,AG104*10000-ROW(A104),0)</f>
        <v>0</v>
      </c>
      <c r="AI104" s="373">
        <f t="array" ref="AI104">IF(C104="","",IFERROR((INDEX(終値!$E:$E,MATCH(TEXT(C104,"0"),終値!$A:$A,0))-INDEX(終値!$E:$CZ,MATCH(TEXT(C104,"0"),終値!$A:$A,0),$AN$2))/INDEX(終値!$E:$CZ,MATCH(TEXT(C104,"0"),終値!$A:$A,0),$AN$2)*100,""))</f>
        <v>4.0364188163884673</v>
      </c>
      <c r="AJ104" s="373">
        <f t="array" ref="AJ104">IFERROR((終値!$E$5-INDEX(終値!$E$5:$IT$5,1,$AN$2))/INDEX(終値!$E$5:$IT$5,1,$AN$2)*100,"")</f>
        <v>1.0179378228534113</v>
      </c>
      <c r="AK104" s="374">
        <f>IF(OR(AI104="",AJ104=""),"",AI104-AJ104)</f>
        <v>3.0184809935350563</v>
      </c>
      <c r="AL104" s="372">
        <f>IF(AK104="","",IF(AK104&lt;-5,3,IF(AK104&lt;0,1,IF(AK104&lt;3,-1,-2))))</f>
        <v>-2</v>
      </c>
      <c r="AO104" s="376" t="str">
        <f>IF(OR($C104="",$E104="",$F104="",$H104="",$I104="",$H104-$I104&lt;=0),"-",IF(AND($H104-MAX($F104,$E104)&gt;=ABS($E104-$F104)*2,MIN($F104,$E104)-$I104&lt;=ABS($E104-$F104)*0.5,ABS($E104-$F104)&gt;0),"上ヒゲ陰線▼",IF(AND($E104&lt;$F104,ABS($E104-$F104)&gt;=($H104-$I104)*0.7),"大陰線▼",IF(AND(MIN($F104,$E104)-$I104&gt;=($H104-$I104)*0.5,$H104-MAX($F104,$E104)&lt;=($H104-$I104)*0.2),"長い下ヒゲ(反発警戒)","通常"))))</f>
        <v>通常</v>
      </c>
      <c r="AP104" s="377">
        <f>IF($AO104="上ヒゲ陰線▼",2,IF($AO104="大陰線▼",2,IF($AO104="長い下ヒゲ(反発警戒)",-2,0)))</f>
        <v>0</v>
      </c>
      <c r="AQ104">
        <f>IF(C104&lt;&gt;"",始値!F109,"")</f>
        <v>3412</v>
      </c>
      <c r="AR104">
        <f>IF(C104&lt;&gt;"",高値!F109,"")</f>
        <v>3447</v>
      </c>
      <c r="AS104">
        <f>IF(C104&lt;&gt;"",安値!F109,"")</f>
        <v>3351</v>
      </c>
      <c r="AT104" t="str">
        <f>IF(OR(C104="",AQ104="",AR104="",AS104="",AR104-AS104&lt;=0),"-",IF(AND(AR104-MAX(G104,AQ104)&gt;=ABS(G104-AQ104)*2,MIN(G104,AQ104)-AS104&lt;=ABS(G104-AQ104)*0.5,ABS(G104-AQ104)&gt;0),"上ヒゲ陰線▼",IF(AND(G104&lt;AQ104,ABS(G104-AQ104)&gt;=(AR104-AS104)*0.7),"大陰線▼",IF(AND(MIN(G104,AQ104)-AS104&gt;=(AR104-AS104)*0.5,AR104-MAX(G104,AQ104)&lt;=(AR104-AS104)*0.2),"長い下ヒゲ(反発)","通常"))))</f>
        <v>通常</v>
      </c>
      <c r="AU104">
        <f>IF(AT104="上ヒゲ陰線▼",2,IF(AT104="大陰線▼",2,IF(AT104="長い下ヒゲ(反発)",-2,0)))</f>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537</v>
      </c>
      <c r="F105" s="326">
        <f>IF(C105&lt;&gt;"",_xll.RssMarket(C105,"始値"),"")</f>
        <v>521</v>
      </c>
      <c r="G105" s="325">
        <f>IF(C105&lt;&gt;"",終値!F114,"")</f>
        <v>526</v>
      </c>
      <c r="H105" s="326">
        <f>IF(C105&lt;&gt;"",_xll.RssMarket(C105,"高値"),"")</f>
        <v>542.70000000000005</v>
      </c>
      <c r="I105" s="326">
        <f>IF(C105&lt;&gt;"",_xll.RssMarket(C105,"安値"),"")</f>
        <v>518.9</v>
      </c>
      <c r="J105" s="326">
        <f>IF(C105&lt;&gt;"",_xll.RssMarket(C105,"出来高"),"")</f>
        <v>32319200</v>
      </c>
      <c r="K105" s="326">
        <f>IF(C105&lt;&gt;"",_xll.RssMarket(C105,"年初来高値"),"")</f>
        <v>760</v>
      </c>
      <c r="L105" s="327">
        <f>IF(AND(E105&lt;&gt;"",K105&lt;&gt;"",K105&lt;&gt;0),(E105-K105)/K105*100,"")</f>
        <v>-29.342105263157897</v>
      </c>
      <c r="M105" s="326">
        <f>IF(C105&lt;&gt;"",IFERROR(AVERAGE(出来高!E114:I114),""),"")</f>
        <v>37089640</v>
      </c>
      <c r="N105" s="326">
        <f>IF(C105&lt;&gt;"",IFERROR(AVERAGE(出来高!E114:AC114),""),"")</f>
        <v>35292060</v>
      </c>
      <c r="O105" s="328">
        <f>IF(AND(J105&lt;&gt;"",M105&lt;&gt;"",M105&lt;&gt;0),J105/M105,"")</f>
        <v>0.87138079528407397</v>
      </c>
      <c r="P105" s="325" t="str">
        <f>IF(O105="","",IF(O105&gt;=2,"急増↑↑",IF(O105&gt;=1.5,"増加↑",IF(O105&gt;=1,"普通→","減少↓"))))</f>
        <v>減少↓</v>
      </c>
      <c r="Q105" s="325" t="str">
        <f>IF(E105="","",IF(AND(E105&lt;G105,O105&gt;=1.5),"売り▼",IF(E105&gt;G105,"様子見▲","中立→")))</f>
        <v>様子見▲</v>
      </c>
      <c r="R105" s="326">
        <f>IF(E105&lt;&gt;"",ROUND(E105*0.92,0),"")</f>
        <v>494</v>
      </c>
      <c r="S105" s="326">
        <f>IF(E105&lt;&gt;"",ROUND(E105*1.04,0),"")</f>
        <v>558</v>
      </c>
      <c r="T105" s="325">
        <f>IF(C105="","",IFERROR(IF(W105&gt;=70,3,IF(W105&gt;=60,2,IF(W105&gt;=50,1,0)))+IF(X105&lt;0,2,0)+IF(AD105="下降トレンド▼",3,IF(AD105="もみ合い→",1,0))+IF(V105="年初来安値圏●",3,IF(V105="安値圏",2,0))+IF(Q105="売り▼",2,0)+IF(P105="急増↑↑",2,IF(P105="増加↑",1,0))+IF(Z105&lt;0,1,0)+IF(L105&lt;=-30,2,IF(L105&lt;=-15,1,0))+IF(AE105="25日戻り売り★",2,IF(AE105="5日戻り売り○",1,0))+N(AL105)+N(AP105)+N(AU105),0))</f>
        <v>2</v>
      </c>
      <c r="U105" s="325" t="str">
        <f>IF(T105="","",IF(AND(T105&gt;=3,O105&gt;=1.5),"有効",IF(T105&gt;=3,"要確認","除外")))</f>
        <v>除外</v>
      </c>
      <c r="V105" s="325" t="str">
        <f>IF(AND(I105&lt;&gt;"",K105&lt;&gt;""),IF(I105&lt;=K105*0.6,"年初来安値圏●",IF(I105&lt;=K105*0.75,"安値圏","通常")),"")</f>
        <v>安値圏</v>
      </c>
      <c r="W105" s="329">
        <f t="array" ref="W105">IFERROR(100-100/(1+SUMPRODUCT((終値!F114:R114&gt;終値!G114:S114)*(終値!F114:R114-終値!G114:S114))/SUMPRODUCT((終値!F114:R114&lt;終値!G114:S114)*(終値!G114:S114-終値!F114:R114))),50)</f>
        <v>59.751972942502803</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6.0435171291084089</v>
      </c>
      <c r="Y105" s="325" t="str">
        <f>IF(AF105="","",AF105&amp;" | "&amp;AD105&amp;IF(AE105&lt;&gt;"なし"," "&amp;AE105,"")&amp;IF(X105&lt;0," MACD-"," MACD+")&amp;" RSI:"&amp;TEXT(W105,"0.0")&amp;IF(W105&gt;=70," [過熱]",IF(W105&lt;=30," [売られ過ぎ]",""))&amp;" 前日比:"&amp;TEXT(Z105,"+0.0;-0.0;0.0")&amp;"%"&amp;IF(V105="年初来安値圏●"," [年初来安値圏]",IF(V105="安値圏"," [安値圏]",""))&amp;IF(OR(AO105="通常",AO105="-"),""," ["&amp;AO105&amp;"]")&amp;IF(OR(AT105="通常",AT105="-"),"","前日["&amp;AT105&amp;"]")&amp;" ["&amp;T105&amp;"点]")</f>
        <v>相場上昇・見送り | パーフェクト▲ MACD+ RSI:59.8 前日比:+2.1% [安値圏] [2点]</v>
      </c>
      <c r="Z105" s="331">
        <f>IF(AND(E105&lt;&gt;"",G105&lt;&gt;"",G105&lt;&gt;0),(E105-G105)/G105*100,"")</f>
        <v>2.0912547528517109</v>
      </c>
      <c r="AA105" s="325" t="str">
        <f>IF(OR(C105="",E105="",E105=0),"",IF(E105&gt;G105,"上昇▲",IF(E105&lt;G105,"下落▼","横ばい→")))</f>
        <v>上昇▲</v>
      </c>
      <c r="AB105" s="326">
        <f>IF(OR(C105="",C105="TOPX",終値!E114=""),"",IFERROR(((終値!E114*0.333)+(終値!F114*0.222)+(終値!G114*0.148)+(終値!H114*0.099)+(終値!I114*0.066))/(0.333+0.222+0.148+0.099+0.066),""))</f>
        <v>529.22960829493081</v>
      </c>
      <c r="AC105" s="326">
        <f>IF(OR(C105="",C105="TOPX",終値!E114=""),"",IFERROR(SUMPRODUCT((終値!E114:AC114),{0.077,0.071,0.065,0.06,0.055,0.051,0.047,0.043,0.039,0.036,0.033,0.031,0.028,0.026,0.024,0.022,0.02,0.018,0.017,0.016,0.014,0.013,0.012,0.011,0.01})/SUM({0.077,0.071,0.065,0.06,0.055,0.051,0.047,0.043,0.039,0.036,0.033,0.031,0.028,0.026,0.024,0.022,0.02,0.018,0.017,0.016,0.014,0.013,0.012,0.011,0.01}),""))</f>
        <v>514.74505363527987</v>
      </c>
      <c r="AD105" s="325" t="str">
        <f>IF(OR(C105="",AB105="",AC105="",AB105=0,AC105=0),"",IF(AND(E105&gt;AB105,AB105&gt;AC105),"パーフェクト▲",IF(E105&gt;AC105,"上昇トレンド▲",IF(AND(E105&lt;AB105,AB105&lt;AC105),"下降トレンド▼","もみ合い→"))))</f>
        <v>パーフェクト▲</v>
      </c>
      <c r="AE105" s="325" t="str">
        <f>IF(OR(C105="",AB105="",AC105=""),"",IF(AND(ABS(E105-AC105)/AC105&lt;=0.02,E105&lt;AC105),"25日戻り売り★",IF(AND(ABS(E105-AB105)/AB105&lt;=0.01,E105&lt;AB105),"5日戻り売り○","なし")))</f>
        <v>なし</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相場上昇・見送り</v>
      </c>
      <c r="AG105">
        <f>IF(AND(T105&gt;=7,C105&lt;&gt;""),T105,0)</f>
        <v>0</v>
      </c>
      <c r="AH105">
        <f>IF(AG105&gt;0,AG105*10000-ROW(A105),0)</f>
        <v>0</v>
      </c>
      <c r="AI105" s="373">
        <f t="array" ref="AI105">IF(C105="","",IFERROR((INDEX(終値!$E:$E,MATCH(TEXT(C105,"0"),終値!$A:$A,0))-INDEX(終値!$E:$CZ,MATCH(TEXT(C105,"0"),終値!$A:$A,0),$AN$2))/INDEX(終値!$E:$CZ,MATCH(TEXT(C105,"0"),終値!$A:$A,0),$AN$2)*100,""))</f>
        <v>17.996044825313113</v>
      </c>
      <c r="AJ105" s="373">
        <f t="array" ref="AJ105">IFERROR((終値!$E$5-INDEX(終値!$E$5:$IT$5,1,$AN$2))/INDEX(終値!$E$5:$IT$5,1,$AN$2)*100,"")</f>
        <v>1.0179378228534113</v>
      </c>
      <c r="AK105" s="374">
        <f>IF(OR(AI105="",AJ105=""),"",AI105-AJ105)</f>
        <v>16.978107002459701</v>
      </c>
      <c r="AL105" s="372">
        <f>IF(AK105="","",IF(AK105&lt;-5,3,IF(AK105&lt;0,1,IF(AK105&lt;3,-1,-2))))</f>
        <v>-2</v>
      </c>
      <c r="AO105" s="376" t="str">
        <f>IF(OR($C105="",$E105="",$F105="",$H105="",$I105="",$H105-$I105&lt;=0),"-",IF(AND($H105-MAX($F105,$E105)&gt;=ABS($E105-$F105)*2,MIN($F105,$E105)-$I105&lt;=ABS($E105-$F105)*0.5,ABS($E105-$F105)&gt;0),"上ヒゲ陰線▼",IF(AND($E105&lt;$F105,ABS($E105-$F105)&gt;=($H105-$I105)*0.7),"大陰線▼",IF(AND(MIN($F105,$E105)-$I105&gt;=($H105-$I105)*0.5,$H105-MAX($F105,$E105)&lt;=($H105-$I105)*0.2),"長い下ヒゲ(反発警戒)","通常"))))</f>
        <v>通常</v>
      </c>
      <c r="AP105" s="377">
        <f>IF($AO105="上ヒゲ陰線▼",2,IF($AO105="大陰線▼",2,IF($AO105="長い下ヒゲ(反発警戒)",-2,0)))</f>
        <v>0</v>
      </c>
      <c r="AQ105">
        <f>IF(C105&lt;&gt;"",始値!F114,"")</f>
        <v>527.79999999999995</v>
      </c>
      <c r="AR105">
        <f>IF(C105&lt;&gt;"",高値!F114,"")</f>
        <v>534.29999999999995</v>
      </c>
      <c r="AS105">
        <f>IF(C105&lt;&gt;"",安値!F114,"")</f>
        <v>518.79999999999995</v>
      </c>
      <c r="AT105" t="str">
        <f>IF(OR(C105="",AQ105="",AR105="",AS105="",AR105-AS105&lt;=0),"-",IF(AND(AR105-MAX(G105,AQ105)&gt;=ABS(G105-AQ105)*2,MIN(G105,AQ105)-AS105&lt;=ABS(G105-AQ105)*0.5,ABS(G105-AQ105)&gt;0),"上ヒゲ陰線▼",IF(AND(G105&lt;AQ105,ABS(G105-AQ105)&gt;=(AR105-AS105)*0.7),"大陰線▼",IF(AND(MIN(G105,AQ105)-AS105&gt;=(AR105-AS105)*0.5,AR105-MAX(G105,AQ105)&lt;=(AR105-AS105)*0.2),"長い下ヒゲ(反発)","通常"))))</f>
        <v>通常</v>
      </c>
      <c r="AU105">
        <f>IF(AT105="上ヒゲ陰線▼",2,IF(AT105="大陰線▼",2,IF(AT105="長い下ヒゲ(反発)",-2,0)))</f>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4600</v>
      </c>
      <c r="F106" s="333">
        <f>IF(C106&lt;&gt;"",_xll.RssMarket(C106,"始値"),"")</f>
        <v>4690</v>
      </c>
      <c r="G106" s="212">
        <f>IF(C106&lt;&gt;"",終値!F120,"")</f>
        <v>4620</v>
      </c>
      <c r="H106" s="333">
        <f>IF(C106&lt;&gt;"",_xll.RssMarket(C106,"高値"),"")</f>
        <v>4765</v>
      </c>
      <c r="I106" s="333">
        <f>IF(C106&lt;&gt;"",_xll.RssMarket(C106,"安値"),"")</f>
        <v>4550</v>
      </c>
      <c r="J106" s="333">
        <f>IF(C106&lt;&gt;"",_xll.RssMarket(C106,"出来高"),"")</f>
        <v>116100</v>
      </c>
      <c r="K106" s="333">
        <f>IF(C106&lt;&gt;"",_xll.RssMarket(C106,"年初来高値"),"")</f>
        <v>5020</v>
      </c>
      <c r="L106" s="334">
        <f>IF(AND(E106&lt;&gt;"",K106&lt;&gt;"",K106&lt;&gt;0),(E106-K106)/K106*100,"")</f>
        <v>-8.3665338645418323</v>
      </c>
      <c r="M106" s="333">
        <f>IF(C106&lt;&gt;"",IFERROR(AVERAGE(出来高!E120:I120),""),"")</f>
        <v>100160</v>
      </c>
      <c r="N106" s="333">
        <f>IF(C106&lt;&gt;"",IFERROR(AVERAGE(出来高!E120:AC120),""),"")</f>
        <v>81566.666666666672</v>
      </c>
      <c r="O106" s="335">
        <f>IF(AND(J106&lt;&gt;"",M106&lt;&gt;"",M106&lt;&gt;0),J106/M106,"")</f>
        <v>1.1591453674121406</v>
      </c>
      <c r="P106" s="212" t="str">
        <f>IF(O106="","",IF(O106&gt;=2,"急増↑↑",IF(O106&gt;=1.5,"増加↑",IF(O106&gt;=1,"普通→","減少↓"))))</f>
        <v>普通→</v>
      </c>
      <c r="Q106" s="212" t="str">
        <f>IF(E106="","",IF(AND(E106&lt;G106,O106&gt;=1.5),"売り▼",IF(E106&gt;G106,"様子見▲","中立→")))</f>
        <v>中立→</v>
      </c>
      <c r="R106" s="333">
        <f>IF(E106&lt;&gt;"",ROUND(E106*0.92,0),"")</f>
        <v>4232</v>
      </c>
      <c r="S106" s="333">
        <f>IF(E106&lt;&gt;"",ROUND(E106*1.04,0),"")</f>
        <v>4784</v>
      </c>
      <c r="T106" s="325">
        <f>IF(C106="","",IFERROR(IF(W106&gt;=70,3,IF(W106&gt;=60,2,IF(W106&gt;=50,1,0)))+IF(X106&lt;0,2,0)+IF(AD106="下降トレンド▼",3,IF(AD106="もみ合い→",1,0))+IF(V106="年初来安値圏●",3,IF(V106="安値圏",2,0))+IF(Q106="売り▼",2,0)+IF(P106="急増↑↑",2,IF(P106="増加↑",1,0))+IF(Z106&lt;0,1,0)+IF(L106&lt;=-30,2,IF(L106&lt;=-15,1,0))+IF(AE106="25日戻り売り★",2,IF(AE106="5日戻り売り○",1,0))+N(AL106)+N(AP106)+N(AU106),0))</f>
        <v>0</v>
      </c>
      <c r="U106" s="212" t="str">
        <f>IF(T106="","",IF(AND(T106&gt;=3,O106&gt;=1.5),"有効",IF(T106&gt;=3,"要確認","除外")))</f>
        <v>除外</v>
      </c>
      <c r="V106" s="212" t="str">
        <f>IF(AND(I106&lt;&gt;"",K106&lt;&gt;""),IF(I106&lt;=K106*0.6,"年初来安値圏●",IF(I106&lt;=K106*0.75,"安値圏","通常")),"")</f>
        <v>通常</v>
      </c>
      <c r="W106" s="336">
        <f t="array" ref="W106">IFERROR(100-100/(1+SUMPRODUCT((終値!F120:R120&gt;終値!G120:S120)*(終値!F120:R120-終値!G120:S120))/SUMPRODUCT((終値!F120:R120&lt;終値!G120:S120)*(終値!G120:S120-終値!F120:R120))),50)</f>
        <v>51.465798045602604</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18.641273846817057</v>
      </c>
      <c r="Y106" s="212" t="str">
        <f>IF(AF106="","",AF106&amp;" | "&amp;AD106&amp;IF(AE106&lt;&gt;"なし"," "&amp;AE106,"")&amp;IF(X106&lt;0," MACD-"," MACD+")&amp;" RSI:"&amp;TEXT(W106,"0.0")&amp;IF(W106&gt;=70," [過熱]",IF(W106&lt;=30," [売られ過ぎ]",""))&amp;" 前日比:"&amp;TEXT(Z106,"+0.0;-0.0;0.0")&amp;"%"&amp;IF(V106="年初来安値圏●"," [年初来安値圏]",IF(V106="安値圏"," [安値圏]",""))&amp;IF(OR(AO106="通常",AO106="-"),""," ["&amp;AO106&amp;"]")&amp;IF(OR(AT106="通常",AT106="-"),"","前日["&amp;AT106&amp;"]")&amp;" ["&amp;T106&amp;"点]")</f>
        <v>相場上昇・見送り | パーフェクト▲ MACD+ RSI:51.5 前日比:-0.4% [0点]</v>
      </c>
      <c r="Z106" s="338">
        <f>IF(AND(E106&lt;&gt;"",G106&lt;&gt;"",G106&lt;&gt;0),(E106-G106)/G106*100,"")</f>
        <v>-0.4329004329004329</v>
      </c>
      <c r="AA106" s="212" t="str">
        <f>IF(OR(C106="",E106="",E106=0),"",IF(E106&gt;G106,"上昇▲",IF(E106&lt;G106,"下落▼","横ばい→")))</f>
        <v>下落▼</v>
      </c>
      <c r="AB106" s="333">
        <f>IF(OR(C106="",C106="TOPX",終値!E120=""),"",IFERROR(((終値!E120*0.333)+(終値!F120*0.222)+(終値!G120*0.148)+(終値!H120*0.099)+(終値!I120*0.066))/(0.333+0.222+0.148+0.099+0.066),""))</f>
        <v>4560.1267281105993</v>
      </c>
      <c r="AC106" s="333">
        <f>IF(OR(C106="",C106="TOPX",終値!E120=""),"",IFERROR(SUMPRODUCT((終値!E120:AC120),{0.077,0.071,0.065,0.06,0.055,0.051,0.047,0.043,0.039,0.036,0.033,0.031,0.028,0.026,0.024,0.022,0.02,0.018,0.017,0.016,0.014,0.013,0.012,0.011,0.01})/SUM({0.077,0.071,0.065,0.06,0.055,0.051,0.047,0.043,0.039,0.036,0.033,0.031,0.028,0.026,0.024,0.022,0.02,0.018,0.017,0.016,0.014,0.013,0.012,0.011,0.01}),""))</f>
        <v>4221.1442193086987</v>
      </c>
      <c r="AD106" s="212" t="str">
        <f>IF(OR(C106="",AB106="",AC106="",AB106=0,AC106=0),"",IF(AND(E106&gt;AB106,AB106&gt;AC106),"パーフェクト▲",IF(E106&gt;AC106,"上昇トレンド▲",IF(AND(E106&lt;AB106,AB106&lt;AC106),"下降トレンド▼","もみ合い→"))))</f>
        <v>パーフェクト▲</v>
      </c>
      <c r="AE106" s="212" t="str">
        <f>IF(OR(C106="",AB106="",AC106=""),"",IF(AND(ABS(E106-AC106)/AC106&lt;=0.02,E106&lt;AC106),"25日戻り売り★",IF(AND(ABS(E106-AB106)/AB106&lt;=0.01,E106&lt;AB106),"5日戻り売り○","なし")))</f>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相場上昇・見送り</v>
      </c>
      <c r="AG106">
        <f>IF(AND(T106&gt;=7,C106&lt;&gt;""),T106,0)</f>
        <v>0</v>
      </c>
      <c r="AH106">
        <f>IF(AG106&gt;0,AG106*10000-ROW(A106),0)</f>
        <v>0</v>
      </c>
      <c r="AI106" s="373">
        <f t="array" ref="AI106">IF(C106="","",IFERROR((INDEX(終値!$E:$E,MATCH(TEXT(C106,"0"),終値!$A:$A,0))-INDEX(終値!$E:$CZ,MATCH(TEXT(C106,"0"),終値!$A:$A,0),$AN$2))/INDEX(終値!$E:$CZ,MATCH(TEXT(C106,"0"),終値!$A:$A,0),$AN$2)*100,""))</f>
        <v>11.650485436893204</v>
      </c>
      <c r="AJ106" s="373">
        <f t="array" ref="AJ106">IFERROR((終値!$E$5-INDEX(終値!$E$5:$IT$5,1,$AN$2))/INDEX(終値!$E$5:$IT$5,1,$AN$2)*100,"")</f>
        <v>1.0179378228534113</v>
      </c>
      <c r="AK106" s="374">
        <f>IF(OR(AI106="",AJ106=""),"",AI106-AJ106)</f>
        <v>10.632547614039792</v>
      </c>
      <c r="AL106" s="372">
        <f>IF(AK106="","",IF(AK106&lt;-5,3,IF(AK106&lt;0,1,IF(AK106&lt;3,-1,-2))))</f>
        <v>-2</v>
      </c>
      <c r="AO106" s="376" t="str">
        <f>IF(OR($C106="",$E106="",$F106="",$H106="",$I106="",$H106-$I106&lt;=0),"-",IF(AND($H106-MAX($F106,$E106)&gt;=ABS($E106-$F106)*2,MIN($F106,$E106)-$I106&lt;=ABS($E106-$F106)*0.5,ABS($E106-$F106)&gt;0),"上ヒゲ陰線▼",IF(AND($E106&lt;$F106,ABS($E106-$F106)&gt;=($H106-$I106)*0.7),"大陰線▼",IF(AND(MIN($F106,$E106)-$I106&gt;=($H106-$I106)*0.5,$H106-MAX($F106,$E106)&lt;=($H106-$I106)*0.2),"長い下ヒゲ(反発警戒)","通常"))))</f>
        <v>通常</v>
      </c>
      <c r="AP106" s="377">
        <f>IF($AO106="上ヒゲ陰線▼",2,IF($AO106="大陰線▼",2,IF($AO106="長い下ヒゲ(反発警戒)",-2,0)))</f>
        <v>0</v>
      </c>
      <c r="AQ106">
        <f>IF(C106&lt;&gt;"",始値!F120,"")</f>
        <v>4550</v>
      </c>
      <c r="AR106">
        <f>IF(C106&lt;&gt;"",高値!F120,"")</f>
        <v>4620</v>
      </c>
      <c r="AS106">
        <f>IF(C106&lt;&gt;"",安値!F120,"")</f>
        <v>4545</v>
      </c>
      <c r="AT106" t="str">
        <f>IF(OR(C106="",AQ106="",AR106="",AS106="",AR106-AS106&lt;=0),"-",IF(AND(AR106-MAX(G106,AQ106)&gt;=ABS(G106-AQ106)*2,MIN(G106,AQ106)-AS106&lt;=ABS(G106-AQ106)*0.5,ABS(G106-AQ106)&gt;0),"上ヒゲ陰線▼",IF(AND(G106&lt;AQ106,ABS(G106-AQ106)&gt;=(AR106-AS106)*0.7),"大陰線▼",IF(AND(MIN(G106,AQ106)-AS106&gt;=(AR106-AS106)*0.5,AR106-MAX(G106,AQ106)&lt;=(AR106-AS106)*0.2),"長い下ヒゲ(反発)","通常"))))</f>
        <v>通常</v>
      </c>
      <c r="AU106">
        <f>IF(AT106="上ヒゲ陰線▼",2,IF(AT106="大陰線▼",2,IF(AT106="長い下ヒゲ(反発)",-2,0)))</f>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1022</v>
      </c>
      <c r="F107" s="326">
        <f>IF(C107&lt;&gt;"",_xll.RssMarket(C107,"始値"),"")</f>
        <v>1021</v>
      </c>
      <c r="G107" s="325">
        <f>IF(C107&lt;&gt;"",終値!F126,"")</f>
        <v>1020</v>
      </c>
      <c r="H107" s="326">
        <f>IF(C107&lt;&gt;"",_xll.RssMarket(C107,"高値"),"")</f>
        <v>1028</v>
      </c>
      <c r="I107" s="326">
        <f>IF(C107&lt;&gt;"",_xll.RssMarket(C107,"安値"),"")</f>
        <v>1014</v>
      </c>
      <c r="J107" s="326">
        <f>IF(C107&lt;&gt;"",_xll.RssMarket(C107,"出来高"),"")</f>
        <v>166200</v>
      </c>
      <c r="K107" s="326">
        <f>IF(C107&lt;&gt;"",_xll.RssMarket(C107,"年初来高値"),"")</f>
        <v>1343</v>
      </c>
      <c r="L107" s="327">
        <f>IF(AND(E107&lt;&gt;"",K107&lt;&gt;"",K107&lt;&gt;0),(E107-K107)/K107*100,"")</f>
        <v>-23.901712583767683</v>
      </c>
      <c r="M107" s="326">
        <f>IF(C107&lt;&gt;"",IFERROR(AVERAGE(出来高!E126:I126),""),"")</f>
        <v>217800</v>
      </c>
      <c r="N107" s="326">
        <f>IF(C107&lt;&gt;"",IFERROR(AVERAGE(出来高!E126:AC126),""),"")</f>
        <v>331356</v>
      </c>
      <c r="O107" s="328">
        <f>IF(AND(J107&lt;&gt;"",M107&lt;&gt;"",M107&lt;&gt;0),J107/M107,"")</f>
        <v>0.76308539944903586</v>
      </c>
      <c r="P107" s="325" t="str">
        <f>IF(O107="","",IF(O107&gt;=2,"急増↑↑",IF(O107&gt;=1.5,"増加↑",IF(O107&gt;=1,"普通→","減少↓"))))</f>
        <v>減少↓</v>
      </c>
      <c r="Q107" s="325" t="str">
        <f>IF(E107="","",IF(AND(E107&lt;G107,O107&gt;=1.5),"売り▼",IF(E107&gt;G107,"様子見▲","中立→")))</f>
        <v>様子見▲</v>
      </c>
      <c r="R107" s="326">
        <f>IF(E107&lt;&gt;"",ROUND(E107*0.92,0),"")</f>
        <v>940</v>
      </c>
      <c r="S107" s="326">
        <f>IF(E107&lt;&gt;"",ROUND(E107*1.04,0),"")</f>
        <v>1063</v>
      </c>
      <c r="T107" s="325">
        <f>IF(C107="","",IFERROR(IF(W107&gt;=70,3,IF(W107&gt;=60,2,IF(W107&gt;=50,1,0)))+IF(X107&lt;0,2,0)+IF(AD107="下降トレンド▼",3,IF(AD107="もみ合い→",1,0))+IF(V107="年初来安値圏●",3,IF(V107="安値圏",2,0))+IF(Q107="売り▼",2,0)+IF(P107="急増↑↑",2,IF(P107="増加↑",1,0))+IF(Z107&lt;0,1,0)+IF(L107&lt;=-30,2,IF(L107&lt;=-15,1,0))+IF(AE107="25日戻り売り★",2,IF(AE107="5日戻り売り○",1,0))+N(AL107)+N(AP107)+N(AU107),0))</f>
        <v>0</v>
      </c>
      <c r="U107" s="325" t="str">
        <f>IF(T107="","",IF(AND(T107&gt;=3,O107&gt;=1.5),"有効",IF(T107&gt;=3,"要確認","除外")))</f>
        <v>除外</v>
      </c>
      <c r="V107" s="325" t="str">
        <f>IF(AND(I107&lt;&gt;"",K107&lt;&gt;""),IF(I107&lt;=K107*0.6,"年初来安値圏●",IF(I107&lt;=K107*0.75,"安値圏","通常")),"")</f>
        <v>通常</v>
      </c>
      <c r="W107" s="329">
        <f t="array" ref="W107">IFERROR(100-100/(1+SUMPRODUCT((終値!F126:R126&gt;終値!G126:S126)*(終値!F126:R126-終値!G126:S126))/SUMPRODUCT((終値!F126:R126&lt;終値!G126:S126)*(終値!G126:S126-終値!F126:R126))),50)</f>
        <v>51.948051948051948</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2.578276063828298</v>
      </c>
      <c r="Y107" s="325" t="str">
        <f>IF(AF107="","",AF107&amp;" | "&amp;AD107&amp;IF(AE107&lt;&gt;"なし"," "&amp;AE107,"")&amp;IF(X107&lt;0," MACD-"," MACD+")&amp;" RSI:"&amp;TEXT(W107,"0.0")&amp;IF(W107&gt;=70," [過熱]",IF(W107&lt;=30," [売られ過ぎ]",""))&amp;" 前日比:"&amp;TEXT(Z107,"+0.0;-0.0;0.0")&amp;"%"&amp;IF(V107="年初来安値圏●"," [年初来安値圏]",IF(V107="安値圏"," [安値圏]",""))&amp;IF(OR(AO107="通常",AO107="-"),""," ["&amp;AO107&amp;"]")&amp;IF(OR(AT107="通常",AT107="-"),"","前日["&amp;AT107&amp;"]")&amp;" ["&amp;T107&amp;"点]")</f>
        <v>相場上昇・見送り | パーフェクト▲ MACD+ RSI:51.9 前日比:+0.2% [0点]</v>
      </c>
      <c r="Z107" s="331">
        <f>IF(AND(E107&lt;&gt;"",G107&lt;&gt;"",G107&lt;&gt;0),(E107-G107)/G107*100,"")</f>
        <v>0.19607843137254902</v>
      </c>
      <c r="AA107" s="325" t="str">
        <f>IF(OR(C107="",E107="",E107=0),"",IF(E107&gt;G107,"上昇▲",IF(E107&lt;G107,"下落▼","横ばい→")))</f>
        <v>上昇▲</v>
      </c>
      <c r="AB107" s="326">
        <f>IF(OR(C107="",C107="TOPX",終値!E126=""),"",IFERROR(((終値!E126*0.333)+(終値!F126*0.222)+(終値!G126*0.148)+(終値!H126*0.099)+(終値!I126*0.066))/(0.333+0.222+0.148+0.099+0.066),""))</f>
        <v>1020.6785714285713</v>
      </c>
      <c r="AC107" s="326">
        <f>IF(OR(C107="",C107="TOPX",終値!E126=""),"",IFERROR(SUMPRODUCT((終値!E126:AC126),{0.077,0.071,0.065,0.06,0.055,0.051,0.047,0.043,0.039,0.036,0.033,0.031,0.028,0.026,0.024,0.022,0.02,0.018,0.017,0.016,0.014,0.013,0.012,0.011,0.01})/SUM({0.077,0.071,0.065,0.06,0.055,0.051,0.047,0.043,0.039,0.036,0.033,0.031,0.028,0.026,0.024,0.022,0.02,0.018,0.017,0.016,0.014,0.013,0.012,0.011,0.01}),""))</f>
        <v>1016.4779499404046</v>
      </c>
      <c r="AD107" s="325" t="str">
        <f>IF(OR(C107="",AB107="",AC107="",AB107=0,AC107=0),"",IF(AND(E107&gt;AB107,AB107&gt;AC107),"パーフェクト▲",IF(E107&gt;AC107,"上昇トレンド▲",IF(AND(E107&lt;AB107,AB107&lt;AC107),"下降トレンド▼","もみ合い→"))))</f>
        <v>パーフェクト▲</v>
      </c>
      <c r="AE107" s="325" t="str">
        <f>IF(OR(C107="",AB107="",AC107=""),"",IF(AND(ABS(E107-AC107)/AC107&lt;=0.02,E107&lt;AC107),"25日戻り売り★",IF(AND(ABS(E107-AB107)/AB107&lt;=0.01,E107&lt;AB107),"5日戻り売り○","なし")))</f>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相場上昇・見送り</v>
      </c>
      <c r="AG107">
        <f>IF(AND(T107&gt;=7,C107&lt;&gt;""),T107,0)</f>
        <v>0</v>
      </c>
      <c r="AH107">
        <f>IF(AG107&gt;0,AG107*10000-ROW(A107),0)</f>
        <v>0</v>
      </c>
      <c r="AI107" s="373">
        <f t="array" ref="AI107">IF(C107="","",IFERROR((INDEX(終値!$E:$E,MATCH(TEXT(C107,"0"),終値!$A:$A,0))-INDEX(終値!$E:$CZ,MATCH(TEXT(C107,"0"),終値!$A:$A,0),$AN$2))/INDEX(終値!$E:$CZ,MATCH(TEXT(C107,"0"),終値!$A:$A,0),$AN$2)*100,""))</f>
        <v>6.0165975103734439</v>
      </c>
      <c r="AJ107" s="373">
        <f t="array" ref="AJ107">IFERROR((終値!$E$5-INDEX(終値!$E$5:$IT$5,1,$AN$2))/INDEX(終値!$E$5:$IT$5,1,$AN$2)*100,"")</f>
        <v>1.0179378228534113</v>
      </c>
      <c r="AK107" s="374">
        <f>IF(OR(AI107="",AJ107=""),"",AI107-AJ107)</f>
        <v>4.9986596875200329</v>
      </c>
      <c r="AL107" s="372">
        <f>IF(AK107="","",IF(AK107&lt;-5,3,IF(AK107&lt;0,1,IF(AK107&lt;3,-1,-2))))</f>
        <v>-2</v>
      </c>
      <c r="AO107" s="376" t="str">
        <f>IF(OR($C107="",$E107="",$F107="",$H107="",$I107="",$H107-$I107&lt;=0),"-",IF(AND($H107-MAX($F107,$E107)&gt;=ABS($E107-$F107)*2,MIN($F107,$E107)-$I107&lt;=ABS($E107-$F107)*0.5,ABS($E107-$F107)&gt;0),"上ヒゲ陰線▼",IF(AND($E107&lt;$F107,ABS($E107-$F107)&gt;=($H107-$I107)*0.7),"大陰線▼",IF(AND(MIN($F107,$E107)-$I107&gt;=($H107-$I107)*0.5,$H107-MAX($F107,$E107)&lt;=($H107-$I107)*0.2),"長い下ヒゲ(反発警戒)","通常"))))</f>
        <v>通常</v>
      </c>
      <c r="AP107" s="377">
        <f>IF($AO107="上ヒゲ陰線▼",2,IF($AO107="大陰線▼",2,IF($AO107="長い下ヒゲ(反発警戒)",-2,0)))</f>
        <v>0</v>
      </c>
      <c r="AQ107">
        <f>IF(C107&lt;&gt;"",始値!F126,"")</f>
        <v>1010</v>
      </c>
      <c r="AR107">
        <f>IF(C107&lt;&gt;"",高値!F126,"")</f>
        <v>1025</v>
      </c>
      <c r="AS107">
        <f>IF(C107&lt;&gt;"",安値!F126,"")</f>
        <v>1009</v>
      </c>
      <c r="AT107" t="str">
        <f>IF(OR(C107="",AQ107="",AR107="",AS107="",AR107-AS107&lt;=0),"-",IF(AND(AR107-MAX(G107,AQ107)&gt;=ABS(G107-AQ107)*2,MIN(G107,AQ107)-AS107&lt;=ABS(G107-AQ107)*0.5,ABS(G107-AQ107)&gt;0),"上ヒゲ陰線▼",IF(AND(G107&lt;AQ107,ABS(G107-AQ107)&gt;=(AR107-AS107)*0.7),"大陰線▼",IF(AND(MIN(G107,AQ107)-AS107&gt;=(AR107-AS107)*0.5,AR107-MAX(G107,AQ107)&lt;=(AR107-AS107)*0.2),"長い下ヒゲ(反発)","通常"))))</f>
        <v>通常</v>
      </c>
      <c r="AU107">
        <f>IF(AT107="上ヒゲ陰線▼",2,IF(AT107="大陰線▼",2,IF(AT107="長い下ヒゲ(反発)",-2,0)))</f>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7400</v>
      </c>
      <c r="F108" s="333">
        <f>IF(C108&lt;&gt;"",_xll.RssMarket(C108,"始値"),"")</f>
        <v>7080</v>
      </c>
      <c r="G108" s="212">
        <f>IF(C108&lt;&gt;"",終値!F132,"")</f>
        <v>7380</v>
      </c>
      <c r="H108" s="333">
        <f>IF(C108&lt;&gt;"",_xll.RssMarket(C108,"高値"),"")</f>
        <v>7430</v>
      </c>
      <c r="I108" s="333">
        <f>IF(C108&lt;&gt;"",_xll.RssMarket(C108,"安値"),"")</f>
        <v>6950</v>
      </c>
      <c r="J108" s="333">
        <f>IF(C108&lt;&gt;"",_xll.RssMarket(C108,"出来高"),"")</f>
        <v>895500</v>
      </c>
      <c r="K108" s="333">
        <f>IF(C108&lt;&gt;"",_xll.RssMarket(C108,"年初来高値"),"")</f>
        <v>9190</v>
      </c>
      <c r="L108" s="334">
        <f>IF(AND(E108&lt;&gt;"",K108&lt;&gt;"",K108&lt;&gt;0),(E108-K108)/K108*100,"")</f>
        <v>-19.477693144722526</v>
      </c>
      <c r="M108" s="333">
        <f>IF(C108&lt;&gt;"",IFERROR(AVERAGE(出来高!E132:I132),""),"")</f>
        <v>1086600</v>
      </c>
      <c r="N108" s="333">
        <f>IF(C108&lt;&gt;"",IFERROR(AVERAGE(出来高!E132:AC132),""),"")</f>
        <v>1480050</v>
      </c>
      <c r="O108" s="335">
        <f>IF(AND(J108&lt;&gt;"",M108&lt;&gt;"",M108&lt;&gt;0),J108/M108,"")</f>
        <v>0.82413031474323584</v>
      </c>
      <c r="P108" s="212" t="str">
        <f>IF(O108="","",IF(O108&gt;=2,"急増↑↑",IF(O108&gt;=1.5,"増加↑",IF(O108&gt;=1,"普通→","減少↓"))))</f>
        <v>減少↓</v>
      </c>
      <c r="Q108" s="212" t="str">
        <f>IF(E108="","",IF(AND(E108&lt;G108,O108&gt;=1.5),"売り▼",IF(E108&gt;G108,"様子見▲","中立→")))</f>
        <v>様子見▲</v>
      </c>
      <c r="R108" s="333">
        <f>IF(E108&lt;&gt;"",ROUND(E108*0.92,0),"")</f>
        <v>6808</v>
      </c>
      <c r="S108" s="333">
        <f>IF(E108&lt;&gt;"",ROUND(E108*1.04,0),"")</f>
        <v>7696</v>
      </c>
      <c r="T108" s="325">
        <f>IF(C108="","",IFERROR(IF(W108&gt;=70,3,IF(W108&gt;=60,2,IF(W108&gt;=50,1,0)))+IF(X108&lt;0,2,0)+IF(AD108="下降トレンド▼",3,IF(AD108="もみ合い→",1,0))+IF(V108="年初来安値圏●",3,IF(V108="安値圏",2,0))+IF(Q108="売り▼",2,0)+IF(P108="急増↑↑",2,IF(P108="増加↑",1,0))+IF(Z108&lt;0,1,0)+IF(L108&lt;=-30,2,IF(L108&lt;=-15,1,0))+IF(AE108="25日戻り売り★",2,IF(AE108="5日戻り売り○",1,0))+N(AL108)+N(AP108)+N(AU108),0))</f>
        <v>4</v>
      </c>
      <c r="U108" s="212" t="str">
        <f>IF(T108="","",IF(AND(T108&gt;=3,O108&gt;=1.5),"有効",IF(T108&gt;=3,"要確認","除外")))</f>
        <v>要確認</v>
      </c>
      <c r="V108" s="212" t="str">
        <f>IF(AND(I108&lt;&gt;"",K108&lt;&gt;""),IF(I108&lt;=K108*0.6,"年初来安値圏●",IF(I108&lt;=K108*0.75,"安値圏","通常")),"")</f>
        <v>通常</v>
      </c>
      <c r="W108" s="336">
        <f t="array" ref="W108">IFERROR(100-100/(1+SUMPRODUCT((終値!F132:R132&gt;終値!G132:S132)*(終値!F132:R132-終値!G132:S132))/SUMPRODUCT((終値!F132:R132&lt;終値!G132:S132)*(終値!G132:S132-終値!F132:R132))),50)</f>
        <v>49.94753410283316</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-55.548342414991566</v>
      </c>
      <c r="Y108" s="212" t="str">
        <f>IF(AF108="","",AF108&amp;" | "&amp;AD108&amp;IF(AE108&lt;&gt;"なし"," "&amp;AE108,"")&amp;IF(X108&lt;0," MACD-"," MACD+")&amp;" RSI:"&amp;TEXT(W108,"0.0")&amp;IF(W108&gt;=70," [過熱]",IF(W108&lt;=30," [売られ過ぎ]",""))&amp;" 前日比:"&amp;TEXT(Z108,"+0.0;-0.0;0.0")&amp;"%"&amp;IF(V108="年初来安値圏●"," [年初来安値圏]",IF(V108="安値圏"," [安値圏]",""))&amp;IF(OR(AO108="通常",AO108="-"),""," ["&amp;AO108&amp;"]")&amp;IF(OR(AT108="通常",AT108="-"),"","前日["&amp;AT108&amp;"]")&amp;" ["&amp;T108&amp;"点]")</f>
        <v>相場上昇・見送り | パーフェクト▲ MACD- RSI:49.9 前日比:+0.3% [4点]</v>
      </c>
      <c r="Z108" s="338">
        <f>IF(AND(E108&lt;&gt;"",G108&lt;&gt;"",G108&lt;&gt;0),(E108-G108)/G108*100,"")</f>
        <v>0.27100271002710025</v>
      </c>
      <c r="AA108" s="212" t="str">
        <f>IF(OR(C108="",E108="",E108=0),"",IF(E108&gt;G108,"上昇▲",IF(E108&lt;G108,"下落▼","横ばい→")))</f>
        <v>上昇▲</v>
      </c>
      <c r="AB108" s="333">
        <f>IF(OR(C108="",C108="TOPX",終値!E132=""),"",IFERROR(((終値!E132*0.333)+(終値!F132*0.222)+(終値!G132*0.148)+(終値!H132*0.099)+(終値!I132*0.066))/(0.333+0.222+0.148+0.099+0.066),""))</f>
        <v>7133.8364055299535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6440.0715137067918</v>
      </c>
      <c r="AD108" s="212" t="str">
        <f>IF(OR(C108="",AB108="",AC108="",AB108=0,AC108=0),"",IF(AND(E108&gt;AB108,AB108&gt;AC108),"パーフェクト▲",IF(E108&gt;AC108,"上昇トレンド▲",IF(AND(E108&lt;AB108,AB108&lt;AC108),"下降トレンド▼","もみ合い→"))))</f>
        <v>パーフェクト▲</v>
      </c>
      <c r="AE108" s="212" t="str">
        <f>IF(OR(C108="",AB108="",AC108=""),"",IF(AND(ABS(E108-AC108)/AC108&lt;=0.02,E108&lt;AC108),"25日戻り売り★",IF(AND(ABS(E108-AB108)/AB108&lt;=0.01,E108&lt;AB108),"5日戻り売り○","なし")))</f>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相場上昇・見送り</v>
      </c>
      <c r="AG108">
        <f>IF(AND(T108&gt;=7,C108&lt;&gt;""),T108,0)</f>
        <v>0</v>
      </c>
      <c r="AH108">
        <f>IF(AG108&gt;0,AG108*10000-ROW(A108),0)</f>
        <v>0</v>
      </c>
      <c r="AI108" s="373">
        <f t="array" ref="AI108">IF(C108="","",IFERROR((INDEX(終値!$E:$E,MATCH(TEXT(C108,"0"),終値!$A:$A,0))-INDEX(終値!$E:$CZ,MATCH(TEXT(C108,"0"),終値!$A:$A,0),$AN$2))/INDEX(終値!$E:$CZ,MATCH(TEXT(C108,"0"),終値!$A:$A,0),$AN$2)*100,""))</f>
        <v>-0.67114093959731547</v>
      </c>
      <c r="AJ108" s="373">
        <f t="array" ref="AJ108">IFERROR((終値!$E$5-INDEX(終値!$E$5:$IT$5,1,$AN$2))/INDEX(終値!$E$5:$IT$5,1,$AN$2)*100,"")</f>
        <v>1.0179378228534113</v>
      </c>
      <c r="AK108" s="374">
        <f>IF(OR(AI108="",AJ108=""),"",AI108-AJ108)</f>
        <v>-1.6890787624507269</v>
      </c>
      <c r="AL108" s="372">
        <f>IF(AK108="","",IF(AK108&lt;-5,3,IF(AK108&lt;0,1,IF(AK108&lt;3,-1,-2))))</f>
        <v>1</v>
      </c>
      <c r="AO108" s="376" t="str">
        <f>IF(OR($C108="",$E108="",$F108="",$H108="",$I108="",$H108-$I108&lt;=0),"-",IF(AND($H108-MAX($F108,$E108)&gt;=ABS($E108-$F108)*2,MIN($F108,$E108)-$I108&lt;=ABS($E108-$F108)*0.5,ABS($E108-$F108)&gt;0),"上ヒゲ陰線▼",IF(AND($E108&lt;$F108,ABS($E108-$F108)&gt;=($H108-$I108)*0.7),"大陰線▼",IF(AND(MIN($F108,$E108)-$I108&gt;=($H108-$I108)*0.5,$H108-MAX($F108,$E108)&lt;=($H108-$I108)*0.2),"長い下ヒゲ(反発警戒)","通常"))))</f>
        <v>通常</v>
      </c>
      <c r="AP108" s="377">
        <f>IF($AO108="上ヒゲ陰線▼",2,IF($AO108="大陰線▼",2,IF($AO108="長い下ヒゲ(反発警戒)",-2,0)))</f>
        <v>0</v>
      </c>
      <c r="AQ108">
        <f>IF(C108&lt;&gt;"",始値!F132,"")</f>
        <v>7180</v>
      </c>
      <c r="AR108">
        <f>IF(C108&lt;&gt;"",高値!F132,"")</f>
        <v>7600</v>
      </c>
      <c r="AS108">
        <f>IF(C108&lt;&gt;"",安値!F132,"")</f>
        <v>7080</v>
      </c>
      <c r="AT108" t="str">
        <f>IF(OR(C108="",AQ108="",AR108="",AS108="",AR108-AS108&lt;=0),"-",IF(AND(AR108-MAX(G108,AQ108)&gt;=ABS(G108-AQ108)*2,MIN(G108,AQ108)-AS108&lt;=ABS(G108-AQ108)*0.5,ABS(G108-AQ108)&gt;0),"上ヒゲ陰線▼",IF(AND(G108&lt;AQ108,ABS(G108-AQ108)&gt;=(AR108-AS108)*0.7),"大陰線▼",IF(AND(MIN(G108,AQ108)-AS108&gt;=(AR108-AS108)*0.5,AR108-MAX(G108,AQ108)&lt;=(AR108-AS108)*0.2),"長い下ヒゲ(反発)","通常"))))</f>
        <v>通常</v>
      </c>
      <c r="AU108">
        <f>IF(AT108="上ヒゲ陰線▼",2,IF(AT108="大陰線▼",2,IF(AT108="長い下ヒゲ(反発)",-2,0)))</f>
        <v>0</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2918</v>
      </c>
      <c r="F109" s="326">
        <f>IF(C109&lt;&gt;"",_xll.RssMarket(C109,"始値"),"")</f>
        <v>3150</v>
      </c>
      <c r="G109" s="325">
        <f>IF(C109&lt;&gt;"",終値!F134,"")</f>
        <v>3555</v>
      </c>
      <c r="H109" s="326">
        <f>IF(C109&lt;&gt;"",_xll.RssMarket(C109,"高値"),"")</f>
        <v>3150</v>
      </c>
      <c r="I109" s="326">
        <f>IF(C109&lt;&gt;"",_xll.RssMarket(C109,"安値"),"")</f>
        <v>2873</v>
      </c>
      <c r="J109" s="326">
        <f>IF(C109&lt;&gt;"",_xll.RssMarket(C109,"出来高"),"")</f>
        <v>21267600</v>
      </c>
      <c r="K109" s="326">
        <f>IF(C109&lt;&gt;"",_xll.RssMarket(C109,"年初来高値"),"")</f>
        <v>4580</v>
      </c>
      <c r="L109" s="327">
        <f>IF(AND(E109&lt;&gt;"",K109&lt;&gt;"",K109&lt;&gt;0),(E109-K109)/K109*100,"")</f>
        <v>-36.288209606986896</v>
      </c>
      <c r="M109" s="326">
        <f>IF(C109&lt;&gt;"",IFERROR(AVERAGE(出来高!E134:I134),""),"")</f>
        <v>16221650</v>
      </c>
      <c r="N109" s="326">
        <f>IF(C109&lt;&gt;"",IFERROR(AVERAGE(出来高!E134:AC134),""),"")</f>
        <v>16221650</v>
      </c>
      <c r="O109" s="328">
        <f>IF(AND(J109&lt;&gt;"",M109&lt;&gt;"",M109&lt;&gt;0),J109/M109,"")</f>
        <v>1.3110626847453866</v>
      </c>
      <c r="P109" s="325" t="str">
        <f>IF(O109="","",IF(O109&gt;=2,"急増↑↑",IF(O109&gt;=1.5,"増加↑",IF(O109&gt;=1,"普通→","減少↓"))))</f>
        <v>普通→</v>
      </c>
      <c r="Q109" s="325" t="str">
        <f>IF(E109="","",IF(AND(E109&lt;G109,O109&gt;=1.5),"売り▼",IF(E109&gt;G109,"様子見▲","中立→")))</f>
        <v>中立→</v>
      </c>
      <c r="R109" s="326">
        <f>IF(E109&lt;&gt;"",ROUND(E109*0.92,0),"")</f>
        <v>2685</v>
      </c>
      <c r="S109" s="326">
        <f>IF(E109&lt;&gt;"",ROUND(E109*1.04,0),"")</f>
        <v>3035</v>
      </c>
      <c r="T109" s="325">
        <f>IF(C109="","",IFERROR(IF(W109&gt;=70,3,IF(W109&gt;=60,2,IF(W109&gt;=50,1,0)))+IF(X109&lt;0,2,0)+IF(AD109="下降トレンド▼",3,IF(AD109="もみ合い→",1,0))+IF(V109="年初来安値圏●",3,IF(V109="安値圏",2,0))+IF(Q109="売り▼",2,0)+IF(P109="急増↑↑",2,IF(P109="増加↑",1,0))+IF(Z109&lt;0,1,0)+IF(L109&lt;=-30,2,IF(L109&lt;=-15,1,0))+IF(AE109="25日戻り売り★",2,IF(AE109="5日戻り売り○",1,0))+N(AL109)+N(AP109)+N(AU109),0))</f>
        <v>8</v>
      </c>
      <c r="U109" s="325" t="str">
        <f>IF(T109="","",IF(AND(T109&gt;=3,O109&gt;=1.5),"有効",IF(T109&gt;=3,"要確認","除外")))</f>
        <v>要確認</v>
      </c>
      <c r="V109" s="325" t="str">
        <f>IF(AND(I109&lt;&gt;"",K109&lt;&gt;""),IF(I109&lt;=K109*0.6,"年初来安値圏●",IF(I109&lt;=K109*0.75,"安値圏","通常")),"")</f>
        <v>安値圏</v>
      </c>
      <c r="W109" s="329">
        <f t="array" ref="W109">IFERROR(100-100/(1+SUMPRODUCT((終値!F134:R134&gt;終値!G134:S134)*(終値!F134:R134-終値!G134:S134))/SUMPRODUCT((終値!F134:R134&lt;終値!G134:S134)*(終値!G134:S134-終値!F134:R134))),50)</f>
        <v>50</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200.68570763297123</v>
      </c>
      <c r="Y109" s="325" t="str">
        <f>IF(AF109="","",AF109&amp;" | "&amp;AD109&amp;IF(AE109&lt;&gt;"なし"," "&amp;AE109,"")&amp;IF(X109&lt;0," MACD-"," MACD+")&amp;" RSI:"&amp;TEXT(W109,"0.0")&amp;IF(W109&gt;=70," [過熱]",IF(W109&lt;=30," [売られ過ぎ]",""))&amp;" 前日比:"&amp;TEXT(Z109,"+0.0;-0.0;0.0")&amp;"%"&amp;IF(V109="年初来安値圏●"," [年初来安値圏]",IF(V109="安値圏"," [安値圏]",""))&amp;IF(OR(AO109="通常",AO109="-"),""," ["&amp;AO109&amp;"]")&amp;IF(OR(AT109="通常",AT109="-"),"","前日["&amp;AT109&amp;"]")&amp;" ["&amp;T109&amp;"点]")</f>
        <v>相場上昇・見送り | パーフェクト▲ MACD+ RSI:50.0 前日比:-17.9% [安値圏] [大陰線▼] [8点]</v>
      </c>
      <c r="Z109" s="331">
        <f>IF(AND(E109&lt;&gt;"",G109&lt;&gt;"",G109&lt;&gt;0),(E109-G109)/G109*100,"")</f>
        <v>-17.918424753867793</v>
      </c>
      <c r="AA109" s="325" t="str">
        <f>IF(OR(C109="",E109="",E109=0),"",IF(E109&gt;G109,"上昇▲",IF(E109&lt;G109,"下落▼","横ばい→")))</f>
        <v>下落▼</v>
      </c>
      <c r="AB109" s="326">
        <f>IF(OR(C109="",C109="TOPX",終値!E134=""),"",IFERROR(((終値!E134*0.333)+(終値!F134*0.222)+(終値!G134*0.148)+(終値!H134*0.099)+(終値!I134*0.066))/(0.333+0.222+0.148+0.099+0.066),""))</f>
        <v>2028.691244239631</v>
      </c>
      <c r="AC109" s="326">
        <f>IF(OR(C109="",C109="TOPX",終値!E134=""),"",IFERROR(SUMPRODUCT((終値!E134:AC134),{0.077,0.071,0.065,0.06,0.055,0.051,0.047,0.043,0.039,0.036,0.033,0.031,0.028,0.026,0.024,0.022,0.02,0.018,0.017,0.016,0.014,0.013,0.012,0.011,0.01})/SUM({0.077,0.071,0.065,0.06,0.055,0.051,0.047,0.043,0.039,0.036,0.033,0.031,0.028,0.026,0.024,0.022,0.02,0.018,0.017,0.016,0.014,0.013,0.012,0.011,0.01}),""))</f>
        <v>568.64243146603076</v>
      </c>
      <c r="AD109" s="325" t="str">
        <f>IF(OR(C109="",AB109="",AC109="",AB109=0,AC109=0),"",IF(AND(E109&gt;AB109,AB109&gt;AC109),"パーフェクト▲",IF(E109&gt;AC109,"上昇トレンド▲",IF(AND(E109&lt;AB109,AB109&lt;AC109),"下降トレンド▼","もみ合い→"))))</f>
        <v>パーフェクト▲</v>
      </c>
      <c r="AE109" s="325" t="str">
        <f>IF(OR(C109="",AB109="",AC109=""),"",IF(AND(ABS(E109-AC109)/AC109&lt;=0.02,E109&lt;AC109),"25日戻り売り★",IF(AND(ABS(E109-AB109)/AB109&lt;=0.01,E109&lt;AB109),"5日戻り売り○","なし")))</f>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相場上昇・見送り</v>
      </c>
      <c r="AG109">
        <f>IF(AND(T109&gt;=7,C109&lt;&gt;""),T109,0)</f>
        <v>8</v>
      </c>
      <c r="AH109">
        <f>IF(AG109&gt;0,AG109*10000-ROW(A109),0)</f>
        <v>79891</v>
      </c>
      <c r="AI109" s="373" t="str">
        <f t="array" ref="AI109">IF(C109="","",IFERROR((INDEX(終値!$E:$E,MATCH(TEXT(C109,"0"),終値!$A:$A,0))-INDEX(終値!$E:$CZ,MATCH(TEXT(C109,"0"),終値!$A:$A,0),$AN$2))/INDEX(終値!$E:$CZ,MATCH(TEXT(C109,"0"),終値!$A:$A,0),$AN$2)*100,""))</f>
        <v/>
      </c>
      <c r="AJ109" s="373">
        <f t="array" ref="AJ109">IFERROR((終値!$E$5-INDEX(終値!$E$5:$IT$5,1,$AN$2))/INDEX(終値!$E$5:$IT$5,1,$AN$2)*100,"")</f>
        <v>1.0179378228534113</v>
      </c>
      <c r="AK109" s="374" t="str">
        <f>IF(OR(AI109="",AJ109=""),"",AI109-AJ109)</f>
        <v/>
      </c>
      <c r="AL109" s="372" t="str">
        <f>IF(AK109="","",IF(AK109&lt;-5,3,IF(AK109&lt;0,1,IF(AK109&lt;3,-1,-2))))</f>
        <v/>
      </c>
      <c r="AO109" s="376" t="str">
        <f>IF(OR($C109="",$E109="",$F109="",$H109="",$I109="",$H109-$I109&lt;=0),"-",IF(AND($H109-MAX($F109,$E109)&gt;=ABS($E109-$F109)*2,MIN($F109,$E109)-$I109&lt;=ABS($E109-$F109)*0.5,ABS($E109-$F109)&gt;0),"上ヒゲ陰線▼",IF(AND($E109&lt;$F109,ABS($E109-$F109)&gt;=($H109-$I109)*0.7),"大陰線▼",IF(AND(MIN($F109,$E109)-$I109&gt;=($H109-$I109)*0.5,$H109-MAX($F109,$E109)&lt;=($H109-$I109)*0.2),"長い下ヒゲ(反発警戒)","通常"))))</f>
        <v>大陰線▼</v>
      </c>
      <c r="AP109" s="377">
        <f>IF($AO109="上ヒゲ陰線▼",2,IF($AO109="大陰線▼",2,IF($AO109="長い下ヒゲ(反発警戒)",-2,0)))</f>
        <v>2</v>
      </c>
      <c r="AQ109">
        <f>IF(C109&lt;&gt;"",始値!F134,"")</f>
        <v>3350</v>
      </c>
      <c r="AR109">
        <f>IF(C109&lt;&gt;"",高値!F134,"")</f>
        <v>3610</v>
      </c>
      <c r="AS109">
        <f>IF(C109&lt;&gt;"",安値!F134,"")</f>
        <v>3350</v>
      </c>
      <c r="AT109" t="str">
        <f>IF(OR(C109="",AQ109="",AR109="",AS109="",AR109-AS109&lt;=0),"-",IF(AND(AR109-MAX(G109,AQ109)&gt;=ABS(G109-AQ109)*2,MIN(G109,AQ109)-AS109&lt;=ABS(G109-AQ109)*0.5,ABS(G109-AQ109)&gt;0),"上ヒゲ陰線▼",IF(AND(G109&lt;AQ109,ABS(G109-AQ109)&gt;=(AR109-AS109)*0.7),"大陰線▼",IF(AND(MIN(G109,AQ109)-AS109&gt;=(AR109-AS109)*0.5,AR109-MAX(G109,AQ109)&lt;=(AR109-AS109)*0.2),"長い下ヒゲ(反発)","通常"))))</f>
        <v>通常</v>
      </c>
      <c r="AU109">
        <f>IF(AT109="上ヒゲ陰線▼",2,IF(AT109="大陰線▼",2,IF(AT109="長い下ヒゲ(反発)",-2,0)))</f>
        <v>0</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2660</v>
      </c>
      <c r="F110" s="333">
        <f>IF(C110&lt;&gt;"",_xll.RssMarket(C110,"始値"),"")</f>
        <v>2612</v>
      </c>
      <c r="G110" s="212">
        <f>IF(C110&lt;&gt;"",終値!F142,"")</f>
        <v>2585</v>
      </c>
      <c r="H110" s="333">
        <f>IF(C110&lt;&gt;"",_xll.RssMarket(C110,"高値"),"")</f>
        <v>2666.5</v>
      </c>
      <c r="I110" s="333">
        <f>IF(C110&lt;&gt;"",_xll.RssMarket(C110,"安値"),"")</f>
        <v>2604.5</v>
      </c>
      <c r="J110" s="333">
        <f>IF(C110&lt;&gt;"",_xll.RssMarket(C110,"出来高"),"")</f>
        <v>6881900</v>
      </c>
      <c r="K110" s="333">
        <f>IF(C110&lt;&gt;"",_xll.RssMarket(C110,"年初来高値"),"")</f>
        <v>3625</v>
      </c>
      <c r="L110" s="334">
        <f>IF(AND(E110&lt;&gt;"",K110&lt;&gt;"",K110&lt;&gt;0),(E110-K110)/K110*100,"")</f>
        <v>-26.620689655172413</v>
      </c>
      <c r="M110" s="333">
        <f>IF(C110&lt;&gt;"",IFERROR(AVERAGE(出来高!E142:I142),""),"")</f>
        <v>10034380</v>
      </c>
      <c r="N110" s="333">
        <f>IF(C110&lt;&gt;"",IFERROR(AVERAGE(出来高!E142:AC142),""),"")</f>
        <v>7121316</v>
      </c>
      <c r="O110" s="335">
        <f>IF(AND(J110&lt;&gt;"",M110&lt;&gt;"",M110&lt;&gt;0),J110/M110,"")</f>
        <v>0.68583210920854099</v>
      </c>
      <c r="P110" s="212" t="str">
        <f>IF(O110="","",IF(O110&gt;=2,"急増↑↑",IF(O110&gt;=1.5,"増加↑",IF(O110&gt;=1,"普通→","減少↓"))))</f>
        <v>減少↓</v>
      </c>
      <c r="Q110" s="212" t="str">
        <f>IF(E110="","",IF(AND(E110&lt;G110,O110&gt;=1.5),"売り▼",IF(E110&gt;G110,"様子見▲","中立→")))</f>
        <v>様子見▲</v>
      </c>
      <c r="R110" s="333">
        <f>IF(E110&lt;&gt;"",ROUND(E110*0.92,0),"")</f>
        <v>2447</v>
      </c>
      <c r="S110" s="333">
        <f>IF(E110&lt;&gt;"",ROUND(E110*1.04,0),"")</f>
        <v>2766</v>
      </c>
      <c r="T110" s="325">
        <f>IF(C110="","",IFERROR(IF(W110&gt;=70,3,IF(W110&gt;=60,2,IF(W110&gt;=50,1,0)))+IF(X110&lt;0,2,0)+IF(AD110="下降トレンド▼",3,IF(AD110="もみ合い→",1,0))+IF(V110="年初来安値圏●",3,IF(V110="安値圏",2,0))+IF(Q110="売り▼",2,0)+IF(P110="急増↑↑",2,IF(P110="増加↑",1,0))+IF(Z110&lt;0,1,0)+IF(L110&lt;=-30,2,IF(L110&lt;=-15,1,0))+IF(AE110="25日戻り売り★",2,IF(AE110="5日戻り売り○",1,0))+N(AL110)+N(AP110)+N(AU110),0))</f>
        <v>7</v>
      </c>
      <c r="U110" s="212" t="str">
        <f>IF(T110="","",IF(AND(T110&gt;=3,O110&gt;=1.5),"有効",IF(T110&gt;=3,"要確認","除外")))</f>
        <v>要確認</v>
      </c>
      <c r="V110" s="212" t="str">
        <f>IF(AND(I110&lt;&gt;"",K110&lt;&gt;""),IF(I110&lt;=K110*0.6,"年初来安値圏●",IF(I110&lt;=K110*0.75,"安値圏","通常")),"")</f>
        <v>安値圏</v>
      </c>
      <c r="W110" s="336">
        <f t="array" ref="W110">IFERROR(100-100/(1+SUMPRODUCT((終値!F142:R142&gt;終値!G142:S142)*(終値!F142:R142-終値!G142:S142))/SUMPRODUCT((終値!F142:R142&lt;終値!G142:S142)*(終値!G142:S142-終値!F142:R142))),50)</f>
        <v>44.369645042839657</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-10.568278611202004</v>
      </c>
      <c r="Y110" s="212" t="str">
        <f>IF(AF110="","",AF110&amp;" | "&amp;AD110&amp;IF(AE110&lt;&gt;"なし"," "&amp;AE110,"")&amp;IF(X110&lt;0," MACD-"," MACD+")&amp;" RSI:"&amp;TEXT(W110,"0.0")&amp;IF(W110&gt;=70," [過熱]",IF(W110&lt;=30," [売られ過ぎ]",""))&amp;" 前日比:"&amp;TEXT(Z110,"+0.0;-0.0;0.0")&amp;"%"&amp;IF(V110="年初来安値圏●"," [年初来安値圏]",IF(V110="安値圏"," [安値圏]",""))&amp;IF(OR(AO110="通常",AO110="-"),""," ["&amp;AO110&amp;"]")&amp;IF(OR(AT110="通常",AT110="-"),"","前日["&amp;AT110&amp;"]")&amp;" ["&amp;T110&amp;"点]")</f>
        <v>○逆張り売り | もみ合い→ 25日戻り売り★ MACD- RSI:44.4 前日比:+2.9% [安値圏] [7点]</v>
      </c>
      <c r="Z110" s="338">
        <f>IF(AND(E110&lt;&gt;"",G110&lt;&gt;"",G110&lt;&gt;0),(E110-G110)/G110*100,"")</f>
        <v>2.9013539651837523</v>
      </c>
      <c r="AA110" s="212" t="str">
        <f>IF(OR(C110="",E110="",E110=0),"",IF(E110&gt;G110,"上昇▲",IF(E110&lt;G110,"下落▼","横ばい→")))</f>
        <v>上昇▲</v>
      </c>
      <c r="AB110" s="333">
        <f>IF(OR(C110="",C110="TOPX",終値!E142=""),"",IFERROR(((終値!E142*0.333)+(終値!F142*0.222)+(終値!G142*0.148)+(終値!H142*0.099)+(終値!I142*0.066))/(0.333+0.222+0.148+0.099+0.066),""))</f>
        <v>2596.2384792626722</v>
      </c>
      <c r="AC110" s="333">
        <f>IF(OR(C110="",C110="TOPX",終値!E142=""),"",IFERROR(SUMPRODUCT((終値!E142:AC142),{0.077,0.071,0.065,0.06,0.055,0.051,0.047,0.043,0.039,0.036,0.033,0.031,0.028,0.026,0.024,0.022,0.02,0.018,0.017,0.016,0.014,0.013,0.012,0.011,0.01})/SUM({0.077,0.071,0.065,0.06,0.055,0.051,0.047,0.043,0.039,0.036,0.033,0.031,0.028,0.026,0.024,0.022,0.02,0.018,0.017,0.016,0.014,0.013,0.012,0.011,0.01}),""))</f>
        <v>2704.346245530392</v>
      </c>
      <c r="AD110" s="212" t="str">
        <f>IF(OR(C110="",AB110="",AC110="",AB110=0,AC110=0),"",IF(AND(E110&gt;AB110,AB110&gt;AC110),"パーフェクト▲",IF(E110&gt;AC110,"上昇トレンド▲",IF(AND(E110&lt;AB110,AB110&lt;AC110),"下降トレンド▼","もみ合い→"))))</f>
        <v>もみ合い→</v>
      </c>
      <c r="AE110" s="212" t="str">
        <f>IF(OR(C110="",AB110="",AC110=""),"",IF(AND(ABS(E110-AC110)/AC110&lt;=0.02,E110&lt;AC110),"25日戻り売り★",IF(AND(ABS(E110-AB110)/AB110&lt;=0.01,E110&lt;AB110),"5日戻り売り○","なし")))</f>
        <v>25日戻り売り★</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○逆張り売り</v>
      </c>
      <c r="AG110">
        <f>IF(AND(T110&gt;=7,C110&lt;&gt;""),T110,0)</f>
        <v>7</v>
      </c>
      <c r="AH110">
        <f>IF(AG110&gt;0,AG110*10000-ROW(A110),0)</f>
        <v>69890</v>
      </c>
      <c r="AI110" s="373">
        <f t="array" ref="AI110">IF(C110="","",IFERROR((INDEX(終値!$E:$E,MATCH(TEXT(C110,"0"),終値!$A:$A,0))-INDEX(終値!$E:$CZ,MATCH(TEXT(C110,"0"),終値!$A:$A,0),$AN$2))/INDEX(終値!$E:$CZ,MATCH(TEXT(C110,"0"),終値!$A:$A,0),$AN$2)*100,""))</f>
        <v>3.160752375412061</v>
      </c>
      <c r="AJ110" s="373">
        <f t="array" ref="AJ110">IFERROR((終値!$E$5-INDEX(終値!$E$5:$IT$5,1,$AN$2))/INDEX(終値!$E$5:$IT$5,1,$AN$2)*100,"")</f>
        <v>1.0179378228534113</v>
      </c>
      <c r="AK110" s="374">
        <f>IF(OR(AI110="",AJ110=""),"",AI110-AJ110)</f>
        <v>2.1428145525586499</v>
      </c>
      <c r="AL110" s="372">
        <f>IF(AK110="","",IF(AK110&lt;-5,3,IF(AK110&lt;0,1,IF(AK110&lt;3,-1,-2))))</f>
        <v>-1</v>
      </c>
      <c r="AO110" s="376" t="str">
        <f>IF(OR($C110="",$E110="",$F110="",$H110="",$I110="",$H110-$I110&lt;=0),"-",IF(AND($H110-MAX($F110,$E110)&gt;=ABS($E110-$F110)*2,MIN($F110,$E110)-$I110&lt;=ABS($E110-$F110)*0.5,ABS($E110-$F110)&gt;0),"上ヒゲ陰線▼",IF(AND($E110&lt;$F110,ABS($E110-$F110)&gt;=($H110-$I110)*0.7),"大陰線▼",IF(AND(MIN($F110,$E110)-$I110&gt;=($H110-$I110)*0.5,$H110-MAX($F110,$E110)&lt;=($H110-$I110)*0.2),"長い下ヒゲ(反発警戒)","通常"))))</f>
        <v>通常</v>
      </c>
      <c r="AP110" s="377">
        <f>IF($AO110="上ヒゲ陰線▼",2,IF($AO110="大陰線▼",2,IF($AO110="長い下ヒゲ(反発警戒)",-2,0)))</f>
        <v>0</v>
      </c>
      <c r="AQ110">
        <f>IF(C110&lt;&gt;"",始値!F142,"")</f>
        <v>2509</v>
      </c>
      <c r="AR110">
        <f>IF(C110&lt;&gt;"",高値!F142,"")</f>
        <v>2586.5</v>
      </c>
      <c r="AS110">
        <f>IF(C110&lt;&gt;"",安値!F142,"")</f>
        <v>2508</v>
      </c>
      <c r="AT110" t="str">
        <f>IF(OR(C110="",AQ110="",AR110="",AS110="",AR110-AS110&lt;=0),"-",IF(AND(AR110-MAX(G110,AQ110)&gt;=ABS(G110-AQ110)*2,MIN(G110,AQ110)-AS110&lt;=ABS(G110-AQ110)*0.5,ABS(G110-AQ110)&gt;0),"上ヒゲ陰線▼",IF(AND(G110&lt;AQ110,ABS(G110-AQ110)&gt;=(AR110-AS110)*0.7),"大陰線▼",IF(AND(MIN(G110,AQ110)-AS110&gt;=(AR110-AS110)*0.5,AR110-MAX(G110,AQ110)&lt;=(AR110-AS110)*0.2),"長い下ヒゲ(反発)","通常"))))</f>
        <v>通常</v>
      </c>
      <c r="AU110">
        <f>IF(AT110="上ヒゲ陰線▼",2,IF(AT110="大陰線▼",2,IF(AT110="長い下ヒゲ(反発)",-2,0)))</f>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1614</v>
      </c>
      <c r="F111" s="326">
        <f>IF(C111&lt;&gt;"",_xll.RssMarket(C111,"始値"),"")</f>
        <v>1665</v>
      </c>
      <c r="G111" s="325">
        <f>IF(C111&lt;&gt;"",終値!F143,"")</f>
        <v>1662</v>
      </c>
      <c r="H111" s="326">
        <f>IF(C111&lt;&gt;"",_xll.RssMarket(C111,"高値"),"")</f>
        <v>1755</v>
      </c>
      <c r="I111" s="326">
        <f>IF(C111&lt;&gt;"",_xll.RssMarket(C111,"安値"),"")</f>
        <v>1601</v>
      </c>
      <c r="J111" s="326">
        <f>IF(C111&lt;&gt;"",_xll.RssMarket(C111,"出来高"),"")</f>
        <v>772100</v>
      </c>
      <c r="K111" s="326">
        <f>IF(C111&lt;&gt;"",_xll.RssMarket(C111,"年初来高値"),"")</f>
        <v>2580</v>
      </c>
      <c r="L111" s="327">
        <f>IF(AND(E111&lt;&gt;"",K111&lt;&gt;"",K111&lt;&gt;0),(E111-K111)/K111*100,"")</f>
        <v>-37.441860465116278</v>
      </c>
      <c r="M111" s="326">
        <f>IF(C111&lt;&gt;"",IFERROR(AVERAGE(出来高!E143:I143),""),"")</f>
        <v>1364720</v>
      </c>
      <c r="N111" s="326">
        <f>IF(C111&lt;&gt;"",IFERROR(AVERAGE(出来高!E143:AC143),""),"")</f>
        <v>2675604</v>
      </c>
      <c r="O111" s="328">
        <f>IF(AND(J111&lt;&gt;"",M111&lt;&gt;"",M111&lt;&gt;0),J111/M111,"")</f>
        <v>0.56575707837505129</v>
      </c>
      <c r="P111" s="325" t="str">
        <f>IF(O111="","",IF(O111&gt;=2,"急増↑↑",IF(O111&gt;=1.5,"増加↑",IF(O111&gt;=1,"普通→","減少↓"))))</f>
        <v>減少↓</v>
      </c>
      <c r="Q111" s="325" t="str">
        <f>IF(E111="","",IF(AND(E111&lt;G111,O111&gt;=1.5),"売り▼",IF(E111&gt;G111,"様子見▲","中立→")))</f>
        <v>中立→</v>
      </c>
      <c r="R111" s="326">
        <f>IF(E111&lt;&gt;"",ROUND(E111*0.92,0),"")</f>
        <v>1485</v>
      </c>
      <c r="S111" s="326">
        <f>IF(E111&lt;&gt;"",ROUND(E111*1.04,0),"")</f>
        <v>1679</v>
      </c>
      <c r="T111" s="325">
        <f>IF(C111="","",IFERROR(IF(W111&gt;=70,3,IF(W111&gt;=60,2,IF(W111&gt;=50,1,0)))+IF(X111&lt;0,2,0)+IF(AD111="下降トレンド▼",3,IF(AD111="もみ合い→",1,0))+IF(V111="年初来安値圏●",3,IF(V111="安値圏",2,0))+IF(Q111="売り▼",2,0)+IF(P111="急増↑↑",2,IF(P111="増加↑",1,0))+IF(Z111&lt;0,1,0)+IF(L111&lt;=-30,2,IF(L111&lt;=-15,1,0))+IF(AE111="25日戻り売り★",2,IF(AE111="5日戻り売り○",1,0))+N(AL111)+N(AP111)+N(AU111),0))</f>
        <v>9</v>
      </c>
      <c r="U111" s="325" t="str">
        <f>IF(T111="","",IF(AND(T111&gt;=3,O111&gt;=1.5),"有効",IF(T111&gt;=3,"要確認","除外")))</f>
        <v>要確認</v>
      </c>
      <c r="V111" s="325" t="str">
        <f>IF(AND(I111&lt;&gt;"",K111&lt;&gt;""),IF(I111&lt;=K111*0.6,"年初来安値圏●",IF(I111&lt;=K111*0.75,"安値圏","通常")),"")</f>
        <v>安値圏</v>
      </c>
      <c r="W111" s="329">
        <f t="array" ref="W111">IFERROR(100-100/(1+SUMPRODUCT((終値!F143:R143&gt;終値!G143:S143)*(終値!F143:R143-終値!G143:S143))/SUMPRODUCT((終値!F143:R143&lt;終値!G143:S143)*(終値!G143:S143-終値!F143:R143))),50)</f>
        <v>44.370546318289783</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-21.131679396908794</v>
      </c>
      <c r="Y111" s="325" t="str">
        <f>IF(AF111="","",AF111&amp;" | "&amp;AD111&amp;IF(AE111&lt;&gt;"なし"," "&amp;AE111,"")&amp;IF(X111&lt;0," MACD-"," MACD+")&amp;" RSI:"&amp;TEXT(W111,"0.0")&amp;IF(W111&gt;=70," [過熱]",IF(W111&lt;=30," [売られ過ぎ]",""))&amp;" 前日比:"&amp;TEXT(Z111,"+0.0;-0.0;0.0")&amp;"%"&amp;IF(V111="年初来安値圏●"," [年初来安値圏]",IF(V111="安値圏"," [安値圏]",""))&amp;IF(OR(AO111="通常",AO111="-"),""," ["&amp;AO111&amp;"]")&amp;IF(OR(AT111="通常",AT111="-"),"","前日["&amp;AT111&amp;"]")&amp;" ["&amp;T111&amp;"点]")</f>
        <v>相場上昇・見送り | 下降トレンド▼ MACD- RSI:44.4 前日比:-2.9% [安値圏] [9点]</v>
      </c>
      <c r="Z111" s="331">
        <f>IF(AND(E111&lt;&gt;"",G111&lt;&gt;"",G111&lt;&gt;0),(E111-G111)/G111*100,"")</f>
        <v>-2.8880866425992782</v>
      </c>
      <c r="AA111" s="325" t="str">
        <f>IF(OR(C111="",E111="",E111=0),"",IF(E111&gt;G111,"上昇▲",IF(E111&lt;G111,"下落▼","横ばい→")))</f>
        <v>下落▼</v>
      </c>
      <c r="AB111" s="326">
        <f>IF(OR(C111="",C111="TOPX",終値!E143=""),"",IFERROR(((終値!E143*0.333)+(終値!F143*0.222)+(終値!G143*0.148)+(終値!H143*0.099)+(終値!I143*0.066))/(0.333+0.222+0.148+0.099+0.066),""))</f>
        <v>1640.8525345622118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1658.4040524433844</v>
      </c>
      <c r="AD111" s="325" t="str">
        <f>IF(OR(C111="",AB111="",AC111="",AB111=0,AC111=0),"",IF(AND(E111&gt;AB111,AB111&gt;AC111),"パーフェクト▲",IF(E111&gt;AC111,"上昇トレンド▲",IF(AND(E111&lt;AB111,AB111&lt;AC111),"下降トレンド▼","もみ合い→"))))</f>
        <v>下降トレンド▼</v>
      </c>
      <c r="AE111" s="325" t="str">
        <f>IF(OR(C111="",AB111="",AC111=""),"",IF(AND(ABS(E111-AC111)/AC111&lt;=0.02,E111&lt;AC111),"25日戻り売り★",IF(AND(ABS(E111-AB111)/AB111&lt;=0.01,E111&lt;AB111),"5日戻り売り○","なし")))</f>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相場上昇・見送り</v>
      </c>
      <c r="AG111">
        <f>IF(AND(T111&gt;=7,C111&lt;&gt;""),T111,0)</f>
        <v>9</v>
      </c>
      <c r="AH111">
        <f>IF(AG111&gt;0,AG111*10000-ROW(A111),0)</f>
        <v>89889</v>
      </c>
      <c r="AI111" s="373">
        <f t="array" ref="AI111">IF(C111="","",IFERROR((INDEX(終値!$E:$E,MATCH(TEXT(C111,"0"),終値!$A:$A,0))-INDEX(終値!$E:$CZ,MATCH(TEXT(C111,"0"),終値!$A:$A,0),$AN$2))/INDEX(終値!$E:$CZ,MATCH(TEXT(C111,"0"),終値!$A:$A,0),$AN$2)*100,""))</f>
        <v>3.4615384615384617</v>
      </c>
      <c r="AJ111" s="373">
        <f t="array" ref="AJ111">IFERROR((終値!$E$5-INDEX(終値!$E$5:$IT$5,1,$AN$2))/INDEX(終値!$E$5:$IT$5,1,$AN$2)*100,"")</f>
        <v>1.0179378228534113</v>
      </c>
      <c r="AK111" s="374">
        <f>IF(OR(AI111="",AJ111=""),"",AI111-AJ111)</f>
        <v>2.4436006386850506</v>
      </c>
      <c r="AL111" s="372">
        <f>IF(AK111="","",IF(AK111&lt;-5,3,IF(AK111&lt;0,1,IF(AK111&lt;3,-1,-2))))</f>
        <v>-1</v>
      </c>
      <c r="AO111" s="376" t="str">
        <f>IF(OR($C111="",$E111="",$F111="",$H111="",$I111="",$H111-$I111&lt;=0),"-",IF(AND($H111-MAX($F111,$E111)&gt;=ABS($E111-$F111)*2,MIN($F111,$E111)-$I111&lt;=ABS($E111-$F111)*0.5,ABS($E111-$F111)&gt;0),"上ヒゲ陰線▼",IF(AND($E111&lt;$F111,ABS($E111-$F111)&gt;=($H111-$I111)*0.7),"大陰線▼",IF(AND(MIN($F111,$E111)-$I111&gt;=($H111-$I111)*0.5,$H111-MAX($F111,$E111)&lt;=($H111-$I111)*0.2),"長い下ヒゲ(反発警戒)","通常"))))</f>
        <v>通常</v>
      </c>
      <c r="AP111" s="377">
        <f>IF($AO111="上ヒゲ陰線▼",2,IF($AO111="大陰線▼",2,IF($AO111="長い下ヒゲ(反発警戒)",-2,0)))</f>
        <v>0</v>
      </c>
      <c r="AQ111">
        <f>IF(C111&lt;&gt;"",始値!F143,"")</f>
        <v>1746</v>
      </c>
      <c r="AR111">
        <f>IF(C111&lt;&gt;"",高値!F143,"")</f>
        <v>1788</v>
      </c>
      <c r="AS111">
        <f>IF(C111&lt;&gt;"",安値!F143,"")</f>
        <v>1653</v>
      </c>
      <c r="AT111" t="str">
        <f>IF(OR(C111="",AQ111="",AR111="",AS111="",AR111-AS111&lt;=0),"-",IF(AND(AR111-MAX(G111,AQ111)&gt;=ABS(G111-AQ111)*2,MIN(G111,AQ111)-AS111&lt;=ABS(G111-AQ111)*0.5,ABS(G111-AQ111)&gt;0),"上ヒゲ陰線▼",IF(AND(G111&lt;AQ111,ABS(G111-AQ111)&gt;=(AR111-AS111)*0.7),"大陰線▼",IF(AND(MIN(G111,AQ111)-AS111&gt;=(AR111-AS111)*0.5,AR111-MAX(G111,AQ111)&lt;=(AR111-AS111)*0.2),"長い下ヒゲ(反発)","通常"))))</f>
        <v>通常</v>
      </c>
      <c r="AU111">
        <f>IF(AT111="上ヒゲ陰線▼",2,IF(AT111="大陰線▼",2,IF(AT111="長い下ヒゲ(反発)",-2,0)))</f>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4600</v>
      </c>
      <c r="F112" s="333">
        <f>IF(C112&lt;&gt;"",_xll.RssMarket(C112,"始値"),"")</f>
        <v>4350</v>
      </c>
      <c r="G112" s="212">
        <f>IF(C112&lt;&gt;"",終値!F153,"")</f>
        <v>4365</v>
      </c>
      <c r="H112" s="333">
        <f>IF(C112&lt;&gt;"",_xll.RssMarket(C112,"高値"),"")</f>
        <v>4640</v>
      </c>
      <c r="I112" s="333">
        <f>IF(C112&lt;&gt;"",_xll.RssMarket(C112,"安値"),"")</f>
        <v>4250</v>
      </c>
      <c r="J112" s="333">
        <f>IF(C112&lt;&gt;"",_xll.RssMarket(C112,"出来高"),"")</f>
        <v>57300</v>
      </c>
      <c r="K112" s="333">
        <f>IF(C112&lt;&gt;"",_xll.RssMarket(C112,"年初来高値"),"")</f>
        <v>4700</v>
      </c>
      <c r="L112" s="334">
        <f>IF(AND(E112&lt;&gt;"",K112&lt;&gt;"",K112&lt;&gt;0),(E112-K112)/K112*100,"")</f>
        <v>-2.1276595744680851</v>
      </c>
      <c r="M112" s="333">
        <f>IF(C112&lt;&gt;"",IFERROR(AVERAGE(出来高!E153:I153),""),"")</f>
        <v>70000</v>
      </c>
      <c r="N112" s="333">
        <f>IF(C112&lt;&gt;"",IFERROR(AVERAGE(出来高!E153:AC153),""),"")</f>
        <v>70080</v>
      </c>
      <c r="O112" s="335">
        <f>IF(AND(J112&lt;&gt;"",M112&lt;&gt;"",M112&lt;&gt;0),J112/M112,"")</f>
        <v>0.81857142857142862</v>
      </c>
      <c r="P112" s="212" t="str">
        <f>IF(O112="","",IF(O112&gt;=2,"急増↑↑",IF(O112&gt;=1.5,"増加↑",IF(O112&gt;=1,"普通→","減少↓"))))</f>
        <v>減少↓</v>
      </c>
      <c r="Q112" s="212" t="str">
        <f>IF(E112="","",IF(AND(E112&lt;G112,O112&gt;=1.5),"売り▼",IF(E112&gt;G112,"様子見▲","中立→")))</f>
        <v>様子見▲</v>
      </c>
      <c r="R112" s="333">
        <f>IF(E112&lt;&gt;"",ROUND(E112*0.92,0),"")</f>
        <v>4232</v>
      </c>
      <c r="S112" s="333">
        <f>IF(E112&lt;&gt;"",ROUND(E112*1.04,0),"")</f>
        <v>4784</v>
      </c>
      <c r="T112" s="325">
        <f>IF(C112="","",IFERROR(IF(W112&gt;=70,3,IF(W112&gt;=60,2,IF(W112&gt;=50,1,0)))+IF(X112&lt;0,2,0)+IF(AD112="下降トレンド▼",3,IF(AD112="もみ合い→",1,0))+IF(V112="年初来安値圏●",3,IF(V112="安値圏",2,0))+IF(Q112="売り▼",2,0)+IF(P112="急増↑↑",2,IF(P112="増加↑",1,0))+IF(Z112&lt;0,1,0)+IF(L112&lt;=-30,2,IF(L112&lt;=-15,1,0))+IF(AE112="25日戻り売り★",2,IF(AE112="5日戻り売り○",1,0))+N(AL112)+N(AP112)+N(AU112),0))</f>
        <v>-1</v>
      </c>
      <c r="U112" s="212" t="str">
        <f>IF(T112="","",IF(AND(T112&gt;=3,O112&gt;=1.5),"有効",IF(T112&gt;=3,"要確認","除外")))</f>
        <v>除外</v>
      </c>
      <c r="V112" s="212" t="str">
        <f>IF(AND(I112&lt;&gt;"",K112&lt;&gt;""),IF(I112&lt;=K112*0.6,"年初来安値圏●",IF(I112&lt;=K112*0.75,"安値圏","通常")),"")</f>
        <v>通常</v>
      </c>
      <c r="W112" s="336">
        <f t="array" ref="W112">IFERROR(100-100/(1+SUMPRODUCT((終値!F153:R153&gt;終値!G153:S153)*(終値!F153:R153-終値!G153:S153))/SUMPRODUCT((終値!F153:R153&lt;終値!G153:S153)*(終値!G153:S153-終値!F153:R153))),50)</f>
        <v>50</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34.685369309701855</v>
      </c>
      <c r="Y112" s="212" t="str">
        <f>IF(AF112="","",AF112&amp;" | "&amp;AD112&amp;IF(AE112&lt;&gt;"なし"," "&amp;AE112,"")&amp;IF(X112&lt;0," MACD-"," MACD+")&amp;" RSI:"&amp;TEXT(W112,"0.0")&amp;IF(W112&gt;=70," [過熱]",IF(W112&lt;=30," [売られ過ぎ]",""))&amp;" 前日比:"&amp;TEXT(Z112,"+0.0;-0.0;0.0")&amp;"%"&amp;IF(V112="年初来安値圏●"," [年初来安値圏]",IF(V112="安値圏"," [安値圏]",""))&amp;IF(OR(AO112="通常",AO112="-"),""," ["&amp;AO112&amp;"]")&amp;IF(OR(AT112="通常",AT112="-"),"","前日["&amp;AT112&amp;"]")&amp;" ["&amp;T112&amp;"点]")</f>
        <v>相場上昇・見送り | パーフェクト▲ MACD+ RSI:50.0 前日比:+5.4% [-1点]</v>
      </c>
      <c r="Z112" s="338">
        <f>IF(AND(E112&lt;&gt;"",G112&lt;&gt;"",G112&lt;&gt;0),(E112-G112)/G112*100,"")</f>
        <v>5.3837342497136316</v>
      </c>
      <c r="AA112" s="212" t="str">
        <f>IF(OR(C112="",E112="",E112=0),"",IF(E112&gt;G112,"上昇▲",IF(E112&lt;G112,"下落▼","横ばい→")))</f>
        <v>上昇▲</v>
      </c>
      <c r="AB112" s="333">
        <f>IF(OR(C112="",C112="TOPX",終値!E153=""),"",IFERROR(((終値!E153*0.333)+(終値!F153*0.222)+(終値!G153*0.148)+(終値!H153*0.099)+(終値!I153*0.066))/(0.333+0.222+0.148+0.099+0.066),""))</f>
        <v>4422.8456221198157</v>
      </c>
      <c r="AC112" s="333">
        <f>IF(OR(C112="",C112="TOPX",終値!E153=""),"",IFERROR(SUMPRODUCT((終値!E153:AC153),{0.077,0.071,0.065,0.06,0.055,0.051,0.047,0.043,0.039,0.036,0.033,0.031,0.028,0.026,0.024,0.022,0.02,0.018,0.017,0.016,0.014,0.013,0.012,0.011,0.01})/SUM({0.077,0.071,0.065,0.06,0.055,0.051,0.047,0.043,0.039,0.036,0.033,0.031,0.028,0.026,0.024,0.022,0.02,0.018,0.017,0.016,0.014,0.013,0.012,0.011,0.01}),""))</f>
        <v>4322.2109654350406</v>
      </c>
      <c r="AD112" s="212" t="str">
        <f>IF(OR(C112="",AB112="",AC112="",AB112=0,AC112=0),"",IF(AND(E112&gt;AB112,AB112&gt;AC112),"パーフェクト▲",IF(E112&gt;AC112,"上昇トレンド▲",IF(AND(E112&lt;AB112,AB112&lt;AC112),"下降トレンド▼","もみ合い→"))))</f>
        <v>パーフェクト▲</v>
      </c>
      <c r="AE112" s="212" t="str">
        <f>IF(OR(C112="",AB112="",AC112=""),"",IF(AND(ABS(E112-AC112)/AC112&lt;=0.02,E112&lt;AC112),"25日戻り売り★",IF(AND(ABS(E112-AB112)/AB112&lt;=0.01,E112&lt;AB112),"5日戻り売り○","なし")))</f>
        <v>なし</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相場上昇・見送り</v>
      </c>
      <c r="AG112">
        <f>IF(AND(T112&gt;=7,C112&lt;&gt;""),T112,0)</f>
        <v>0</v>
      </c>
      <c r="AH112">
        <f>IF(AG112&gt;0,AG112*10000-ROW(A112),0)</f>
        <v>0</v>
      </c>
      <c r="AI112" s="373">
        <f t="array" ref="AI112">IF(C112="","",IFERROR((INDEX(終値!$E:$E,MATCH(TEXT(C112,"0"),終値!$A:$A,0))-INDEX(終値!$E:$CZ,MATCH(TEXT(C112,"0"),終値!$A:$A,0),$AN$2))/INDEX(終値!$E:$CZ,MATCH(TEXT(C112,"0"),終値!$A:$A,0),$AN$2)*100,""))</f>
        <v>20.73490813648294</v>
      </c>
      <c r="AJ112" s="373">
        <f t="array" ref="AJ112">IFERROR((終値!$E$5-INDEX(終値!$E$5:$IT$5,1,$AN$2))/INDEX(終値!$E$5:$IT$5,1,$AN$2)*100,"")</f>
        <v>1.0179378228534113</v>
      </c>
      <c r="AK112" s="374">
        <f>IF(OR(AI112="",AJ112=""),"",AI112-AJ112)</f>
        <v>19.716970313629528</v>
      </c>
      <c r="AL112" s="372">
        <f>IF(AK112="","",IF(AK112&lt;-5,3,IF(AK112&lt;0,1,IF(AK112&lt;3,-1,-2))))</f>
        <v>-2</v>
      </c>
      <c r="AO112" s="376" t="str">
        <f>IF(OR($C112="",$E112="",$F112="",$H112="",$I112="",$H112-$I112&lt;=0),"-",IF(AND($H112-MAX($F112,$E112)&gt;=ABS($E112-$F112)*2,MIN($F112,$E112)-$I112&lt;=ABS($E112-$F112)*0.5,ABS($E112-$F112)&gt;0),"上ヒゲ陰線▼",IF(AND($E112&lt;$F112,ABS($E112-$F112)&gt;=($H112-$I112)*0.7),"大陰線▼",IF(AND(MIN($F112,$E112)-$I112&gt;=($H112-$I112)*0.5,$H112-MAX($F112,$E112)&lt;=($H112-$I112)*0.2),"長い下ヒゲ(反発警戒)","通常"))))</f>
        <v>通常</v>
      </c>
      <c r="AP112" s="377">
        <f>IF($AO112="上ヒゲ陰線▼",2,IF($AO112="大陰線▼",2,IF($AO112="長い下ヒゲ(反発警戒)",-2,0)))</f>
        <v>0</v>
      </c>
      <c r="AQ112">
        <f>IF(C112&lt;&gt;"",始値!F153,"")</f>
        <v>4155</v>
      </c>
      <c r="AR112">
        <f>IF(C112&lt;&gt;"",高値!F153,"")</f>
        <v>4465</v>
      </c>
      <c r="AS112">
        <f>IF(C112&lt;&gt;"",安値!F153,"")</f>
        <v>4150</v>
      </c>
      <c r="AT112" t="str">
        <f>IF(OR(C112="",AQ112="",AR112="",AS112="",AR112-AS112&lt;=0),"-",IF(AND(AR112-MAX(G112,AQ112)&gt;=ABS(G112-AQ112)*2,MIN(G112,AQ112)-AS112&lt;=ABS(G112-AQ112)*0.5,ABS(G112-AQ112)&gt;0),"上ヒゲ陰線▼",IF(AND(G112&lt;AQ112,ABS(G112-AQ112)&gt;=(AR112-AS112)*0.7),"大陰線▼",IF(AND(MIN(G112,AQ112)-AS112&gt;=(AR112-AS112)*0.5,AR112-MAX(G112,AQ112)&lt;=(AR112-AS112)*0.2),"長い下ヒゲ(反発)","通常"))))</f>
        <v>通常</v>
      </c>
      <c r="AU112">
        <f>IF(AT112="上ヒゲ陰線▼",2,IF(AT112="大陰線▼",2,IF(AT112="長い下ヒゲ(反発)",-2,0)))</f>
        <v>0</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32930</v>
      </c>
      <c r="F113" s="326">
        <f>IF(C113&lt;&gt;"",_xll.RssMarket(C113,"始値"),"")</f>
        <v>32500</v>
      </c>
      <c r="G113" s="325">
        <f>IF(C113&lt;&gt;"",終値!F158,"")</f>
        <v>33720</v>
      </c>
      <c r="H113" s="326">
        <f>IF(C113&lt;&gt;"",_xll.RssMarket(C113,"高値"),"")</f>
        <v>33200</v>
      </c>
      <c r="I113" s="326">
        <f>IF(C113&lt;&gt;"",_xll.RssMarket(C113,"安値"),"")</f>
        <v>31910</v>
      </c>
      <c r="J113" s="326">
        <f>IF(C113&lt;&gt;"",_xll.RssMarket(C113,"出来高"),"")</f>
        <v>7818100</v>
      </c>
      <c r="K113" s="326">
        <f>IF(C113&lt;&gt;"",_xll.RssMarket(C113,"年初来高値"),"")</f>
        <v>35940</v>
      </c>
      <c r="L113" s="327">
        <f>IF(AND(E113&lt;&gt;"",K113&lt;&gt;"",K113&lt;&gt;0),(E113-K113)/K113*100,"")</f>
        <v>-8.3750695603784084</v>
      </c>
      <c r="M113" s="326">
        <f>IF(C113&lt;&gt;"",IFERROR(AVERAGE(出来高!E158:I158),""),"")</f>
        <v>11042100</v>
      </c>
      <c r="N113" s="326">
        <f>IF(C113&lt;&gt;"",IFERROR(AVERAGE(出来高!E158:AC158),""),"")</f>
        <v>9656364</v>
      </c>
      <c r="O113" s="328">
        <f>IF(AND(J113&lt;&gt;"",M113&lt;&gt;"",M113&lt;&gt;0),J113/M113,"")</f>
        <v>0.70802655292018724</v>
      </c>
      <c r="P113" s="325" t="str">
        <f>IF(O113="","",IF(O113&gt;=2,"急増↑↑",IF(O113&gt;=1.5,"増加↑",IF(O113&gt;=1,"普通→","減少↓"))))</f>
        <v>減少↓</v>
      </c>
      <c r="Q113" s="325" t="str">
        <f>IF(E113="","",IF(AND(E113&lt;G113,O113&gt;=1.5),"売り▼",IF(E113&gt;G113,"様子見▲","中立→")))</f>
        <v>中立→</v>
      </c>
      <c r="R113" s="326">
        <f>IF(E113&lt;&gt;"",ROUND(E113*0.92,0),"")</f>
        <v>30296</v>
      </c>
      <c r="S113" s="326">
        <f>IF(E113&lt;&gt;"",ROUND(E113*1.04,0),"")</f>
        <v>34247</v>
      </c>
      <c r="T113" s="325">
        <f>IF(C113="","",IFERROR(IF(W113&gt;=70,3,IF(W113&gt;=60,2,IF(W113&gt;=50,1,0)))+IF(X113&lt;0,2,0)+IF(AD113="下降トレンド▼",3,IF(AD113="もみ合い→",1,0))+IF(V113="年初来安値圏●",3,IF(V113="安値圏",2,0))+IF(Q113="売り▼",2,0)+IF(P113="急増↑↑",2,IF(P113="増加↑",1,0))+IF(Z113&lt;0,1,0)+IF(L113&lt;=-30,2,IF(L113&lt;=-15,1,0))+IF(AE113="25日戻り売り★",2,IF(AE113="5日戻り売り○",1,0))+N(AL113)+N(AP113)+N(AU113),0))</f>
        <v>1</v>
      </c>
      <c r="U113" s="325" t="str">
        <f>IF(T113="","",IF(AND(T113&gt;=3,O113&gt;=1.5),"有効",IF(T113&gt;=3,"要確認","除外")))</f>
        <v>除外</v>
      </c>
      <c r="V113" s="325" t="str">
        <f>IF(AND(I113&lt;&gt;"",K113&lt;&gt;""),IF(I113&lt;=K113*0.6,"年初来安値圏●",IF(I113&lt;=K113*0.75,"安値圏","通常")),"")</f>
        <v>通常</v>
      </c>
      <c r="W113" s="329">
        <f t="array" ref="W113">IFERROR(100-100/(1+SUMPRODUCT((終値!F158:R158&gt;終値!G158:S158)*(終値!F158:R158-終値!G158:S158))/SUMPRODUCT((終値!F158:R158&lt;終値!G158:S158)*(終値!G158:S158-終値!F158:R158))),50)</f>
        <v>54.508363933088532</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272.34657039712329</v>
      </c>
      <c r="Y113" s="325" t="str">
        <f>IF(AF113="","",AF113&amp;" | "&amp;AD113&amp;IF(AE113&lt;&gt;"なし"," "&amp;AE113,"")&amp;IF(X113&lt;0," MACD-"," MACD+")&amp;" RSI:"&amp;TEXT(W113,"0.0")&amp;IF(W113&gt;=70," [過熱]",IF(W113&lt;=30," [売られ過ぎ]",""))&amp;" 前日比:"&amp;TEXT(Z113,"+0.0;-0.0;0.0")&amp;"%"&amp;IF(V113="年初来安値圏●"," [年初来安値圏]",IF(V113="安値圏"," [安値圏]",""))&amp;IF(OR(AO113="通常",AO113="-"),""," ["&amp;AO113&amp;"]")&amp;IF(OR(AT113="通常",AT113="-"),"","前日["&amp;AT113&amp;"]")&amp;" ["&amp;T113&amp;"点]")</f>
        <v>相場上昇・見送り | パーフェクト▲ MACD+ RSI:54.5 前日比:-2.3% [1点]</v>
      </c>
      <c r="Z113" s="331">
        <f>IF(AND(E113&lt;&gt;"",G113&lt;&gt;"",G113&lt;&gt;0),(E113-G113)/G113*100,"")</f>
        <v>-2.34282325029656</v>
      </c>
      <c r="AA113" s="325" t="str">
        <f>IF(OR(C113="",E113="",E113=0),"",IF(E113&gt;G113,"上昇▲",IF(E113&lt;G113,"下落▼","横ばい→")))</f>
        <v>下落▼</v>
      </c>
      <c r="AB113" s="326">
        <f>IF(OR(C113="",C113="TOPX",終値!E158=""),"",IFERROR(((終値!E158*0.333)+(終値!F158*0.222)+(終値!G158*0.148)+(終値!H158*0.099)+(終値!I158*0.066))/(0.333+0.222+0.148+0.099+0.066),""))</f>
        <v>32599.193548387091</v>
      </c>
      <c r="AC113" s="326">
        <f>IF(OR(C113="",C113="TOPX",終値!E158=""),"",IFERROR(SUMPRODUCT((終値!E158:AC158),{0.077,0.071,0.065,0.06,0.055,0.051,0.047,0.043,0.039,0.036,0.033,0.031,0.028,0.026,0.024,0.022,0.02,0.018,0.017,0.016,0.014,0.013,0.012,0.011,0.01})/SUM({0.077,0.071,0.065,0.06,0.055,0.051,0.047,0.043,0.039,0.036,0.033,0.031,0.028,0.026,0.024,0.022,0.02,0.018,0.017,0.016,0.014,0.013,0.012,0.011,0.01}),""))</f>
        <v>30024.207389749692</v>
      </c>
      <c r="AD113" s="325" t="str">
        <f>IF(OR(C113="",AB113="",AC113="",AB113=0,AC113=0),"",IF(AND(E113&gt;AB113,AB113&gt;AC113),"パーフェクト▲",IF(E113&gt;AC113,"上昇トレンド▲",IF(AND(E113&lt;AB113,AB113&lt;AC113),"下降トレンド▼","もみ合い→"))))</f>
        <v>パーフェクト▲</v>
      </c>
      <c r="AE113" s="325" t="str">
        <f>IF(OR(C113="",AB113="",AC113=""),"",IF(AND(ABS(E113-AC113)/AC113&lt;=0.02,E113&lt;AC113),"25日戻り売り★",IF(AND(ABS(E113-AB113)/AB113&lt;=0.01,E113&lt;AB113),"5日戻り売り○","なし")))</f>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相場上昇・見送り</v>
      </c>
      <c r="AG113">
        <f>IF(AND(T113&gt;=7,C113&lt;&gt;""),T113,0)</f>
        <v>0</v>
      </c>
      <c r="AH113">
        <f>IF(AG113&gt;0,AG113*10000-ROW(A113),0)</f>
        <v>0</v>
      </c>
      <c r="AI113" s="373">
        <f t="array" ref="AI113">IF(C113="","",IFERROR((INDEX(終値!$E:$E,MATCH(TEXT(C113,"0"),終値!$A:$A,0))-INDEX(終値!$E:$CZ,MATCH(TEXT(C113,"0"),終値!$A:$A,0),$AN$2))/INDEX(終値!$E:$CZ,MATCH(TEXT(C113,"0"),終値!$A:$A,0),$AN$2)*100,""))</f>
        <v>2.90625</v>
      </c>
      <c r="AJ113" s="373">
        <f t="array" ref="AJ113">IFERROR((終値!$E$5-INDEX(終値!$E$5:$IT$5,1,$AN$2))/INDEX(終値!$E$5:$IT$5,1,$AN$2)*100,"")</f>
        <v>1.0179378228534113</v>
      </c>
      <c r="AK113" s="374">
        <f>IF(OR(AI113="",AJ113=""),"",AI113-AJ113)</f>
        <v>1.8883121771465887</v>
      </c>
      <c r="AL113" s="372">
        <f>IF(AK113="","",IF(AK113&lt;-5,3,IF(AK113&lt;0,1,IF(AK113&lt;3,-1,-2))))</f>
        <v>-1</v>
      </c>
      <c r="AO113" s="376" t="str">
        <f>IF(OR($C113="",$E113="",$F113="",$H113="",$I113="",$H113-$I113&lt;=0),"-",IF(AND($H113-MAX($F113,$E113)&gt;=ABS($E113-$F113)*2,MIN($F113,$E113)-$I113&lt;=ABS($E113-$F113)*0.5,ABS($E113-$F113)&gt;0),"上ヒゲ陰線▼",IF(AND($E113&lt;$F113,ABS($E113-$F113)&gt;=($H113-$I113)*0.7),"大陰線▼",IF(AND(MIN($F113,$E113)-$I113&gt;=($H113-$I113)*0.5,$H113-MAX($F113,$E113)&lt;=($H113-$I113)*0.2),"長い下ヒゲ(反発警戒)","通常"))))</f>
        <v>通常</v>
      </c>
      <c r="AP113" s="377">
        <f>IF($AO113="上ヒゲ陰線▼",2,IF($AO113="大陰線▼",2,IF($AO113="長い下ヒゲ(反発警戒)",-2,0)))</f>
        <v>0</v>
      </c>
      <c r="AQ113">
        <f>IF(C113&lt;&gt;"",始値!F158,"")</f>
        <v>32500</v>
      </c>
      <c r="AR113">
        <f>IF(C113&lt;&gt;"",高値!F158,"")</f>
        <v>33840</v>
      </c>
      <c r="AS113">
        <f>IF(C113&lt;&gt;"",安値!F158,"")</f>
        <v>32390</v>
      </c>
      <c r="AT113" t="str">
        <f>IF(OR(C113="",AQ113="",AR113="",AS113="",AR113-AS113&lt;=0),"-",IF(AND(AR113-MAX(G113,AQ113)&gt;=ABS(G113-AQ113)*2,MIN(G113,AQ113)-AS113&lt;=ABS(G113-AQ113)*0.5,ABS(G113-AQ113)&gt;0),"上ヒゲ陰線▼",IF(AND(G113&lt;AQ113,ABS(G113-AQ113)&gt;=(AR113-AS113)*0.7),"大陰線▼",IF(AND(MIN(G113,AQ113)-AS113&gt;=(AR113-AS113)*0.5,AR113-MAX(G113,AQ113)&lt;=(AR113-AS113)*0.2),"長い下ヒゲ(反発)","通常"))))</f>
        <v>通常</v>
      </c>
      <c r="AU113">
        <f>IF(AT113="上ヒゲ陰線▼",2,IF(AT113="大陰線▼",2,IF(AT113="長い下ヒゲ(反発)",-2,0)))</f>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1075</v>
      </c>
      <c r="F114" s="333">
        <f>IF(C114&lt;&gt;"",_xll.RssMarket(C114,"始値"),"")</f>
        <v>1075</v>
      </c>
      <c r="G114" s="212">
        <f>IF(C114&lt;&gt;"",終値!F161,"")</f>
        <v>1072</v>
      </c>
      <c r="H114" s="333">
        <f>IF(C114&lt;&gt;"",_xll.RssMarket(C114,"高値"),"")</f>
        <v>1084</v>
      </c>
      <c r="I114" s="333">
        <f>IF(C114&lt;&gt;"",_xll.RssMarket(C114,"安値"),"")</f>
        <v>1069</v>
      </c>
      <c r="J114" s="333">
        <f>IF(C114&lt;&gt;"",_xll.RssMarket(C114,"出来高"),"")</f>
        <v>104000</v>
      </c>
      <c r="K114" s="333">
        <f>IF(C114&lt;&gt;"",_xll.RssMarket(C114,"年初来高値"),"")</f>
        <v>1267</v>
      </c>
      <c r="L114" s="334">
        <f>IF(AND(E114&lt;&gt;"",K114&lt;&gt;"",K114&lt;&gt;0),(E114-K114)/K114*100,"")</f>
        <v>-15.153906866614051</v>
      </c>
      <c r="M114" s="333">
        <f>IF(C114&lt;&gt;"",IFERROR(AVERAGE(出来高!E161:I161),""),"")</f>
        <v>230220</v>
      </c>
      <c r="N114" s="333">
        <f>IF(C114&lt;&gt;"",IFERROR(AVERAGE(出来高!E161:AC161),""),"")</f>
        <v>185733.33333333334</v>
      </c>
      <c r="O114" s="335">
        <f>IF(AND(J114&lt;&gt;"",M114&lt;&gt;"",M114&lt;&gt;0),J114/M114,"")</f>
        <v>0.45174181217965426</v>
      </c>
      <c r="P114" s="212" t="str">
        <f>IF(O114="","",IF(O114&gt;=2,"急増↑↑",IF(O114&gt;=1.5,"増加↑",IF(O114&gt;=1,"普通→","減少↓"))))</f>
        <v>減少↓</v>
      </c>
      <c r="Q114" s="212" t="str">
        <f>IF(E114="","",IF(AND(E114&lt;G114,O114&gt;=1.5),"売り▼",IF(E114&gt;G114,"様子見▲","中立→")))</f>
        <v>様子見▲</v>
      </c>
      <c r="R114" s="333">
        <f>IF(E114&lt;&gt;"",ROUND(E114*0.92,0),"")</f>
        <v>989</v>
      </c>
      <c r="S114" s="333">
        <f>IF(E114&lt;&gt;"",ROUND(E114*1.04,0),"")</f>
        <v>1118</v>
      </c>
      <c r="T114" s="325">
        <f>IF(C114="","",IFERROR(IF(W114&gt;=70,3,IF(W114&gt;=60,2,IF(W114&gt;=50,1,0)))+IF(X114&lt;0,2,0)+IF(AD114="下降トレンド▼",3,IF(AD114="もみ合い→",1,0))+IF(V114="年初来安値圏●",3,IF(V114="安値圏",2,0))+IF(Q114="売り▼",2,0)+IF(P114="急増↑↑",2,IF(P114="増加↑",1,0))+IF(Z114&lt;0,1,0)+IF(L114&lt;=-30,2,IF(L114&lt;=-15,1,0))+IF(AE114="25日戻り売り★",2,IF(AE114="5日戻り売り○",1,0))+N(AL114)+N(AP114)+N(AU114),0))</f>
        <v>4</v>
      </c>
      <c r="U114" s="212" t="str">
        <f>IF(T114="","",IF(AND(T114&gt;=3,O114&gt;=1.5),"有効",IF(T114&gt;=3,"要確認","除外")))</f>
        <v>要確認</v>
      </c>
      <c r="V114" s="212" t="str">
        <f>IF(AND(I114&lt;&gt;"",K114&lt;&gt;""),IF(I114&lt;=K114*0.6,"年初来安値圏●",IF(I114&lt;=K114*0.75,"安値圏","通常")),"")</f>
        <v>通常</v>
      </c>
      <c r="W114" s="336">
        <f t="array" ref="W114">IFERROR(100-100/(1+SUMPRODUCT((終値!F161:R161&gt;終値!G161:S161)*(終値!F161:R161-終値!G161:S161))/SUMPRODUCT((終値!F161:R161&lt;終値!G161:S161)*(終値!G161:S161-終値!F161:R161))),50)</f>
        <v>49.073675140025856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-8.8209434044867976</v>
      </c>
      <c r="Y114" s="212" t="str">
        <f>IF(AF114="","",AF114&amp;" | "&amp;AD114&amp;IF(AE114&lt;&gt;"なし"," "&amp;AE114,"")&amp;IF(X114&lt;0," MACD-"," MACD+")&amp;" RSI:"&amp;TEXT(W114,"0.0")&amp;IF(W114&gt;=70," [過熱]",IF(W114&lt;=30," [売られ過ぎ]",""))&amp;" 前日比:"&amp;TEXT(Z114,"+0.0;-0.0;0.0")&amp;"%"&amp;IF(V114="年初来安値圏●"," [年初来安値圏]",IF(V114="安値圏"," [安値圏]",""))&amp;IF(OR(AO114="通常",AO114="-"),""," ["&amp;AO114&amp;"]")&amp;IF(OR(AT114="通常",AT114="-"),"","前日["&amp;AT114&amp;"]")&amp;" ["&amp;T114&amp;"点]")</f>
        <v>相場上昇・見送り | パーフェクト▲ MACD- RSI:49.1 前日比:+0.3% [4点]</v>
      </c>
      <c r="Z114" s="338">
        <f>IF(AND(E114&lt;&gt;"",G114&lt;&gt;"",G114&lt;&gt;0),(E114-G114)/G114*100,"")</f>
        <v>0.27985074626865669</v>
      </c>
      <c r="AA114" s="212" t="str">
        <f>IF(OR(C114="",E114="",E114=0),"",IF(E114&gt;G114,"上昇▲",IF(E114&lt;G114,"下落▼","横ばい→")))</f>
        <v>上昇▲</v>
      </c>
      <c r="AB114" s="333">
        <f>IF(OR(C114="",C114="TOPX",終値!E161=""),"",IFERROR(((終値!E161*0.333)+(終値!F161*0.222)+(終値!G161*0.148)+(終値!H161*0.099)+(終値!I161*0.066))/(0.333+0.222+0.148+0.099+0.066),""))</f>
        <v>1072.7707373271887</v>
      </c>
      <c r="AC114" s="333">
        <f>IF(OR(C114="",C114="TOPX",終値!E161=""),"",IFERROR(SUMPRODUCT((終値!E161:AC161),{0.077,0.071,0.065,0.06,0.055,0.051,0.047,0.043,0.039,0.036,0.033,0.031,0.028,0.026,0.024,0.022,0.02,0.018,0.017,0.016,0.014,0.013,0.012,0.011,0.01})/SUM({0.077,0.071,0.065,0.06,0.055,0.051,0.047,0.043,0.039,0.036,0.033,0.031,0.028,0.026,0.024,0.022,0.02,0.018,0.017,0.016,0.014,0.013,0.012,0.011,0.01}),""))</f>
        <v>1046.4410011918947</v>
      </c>
      <c r="AD114" s="212" t="str">
        <f>IF(OR(C114="",AB114="",AC114="",AB114=0,AC114=0),"",IF(AND(E114&gt;AB114,AB114&gt;AC114),"パーフェクト▲",IF(E114&gt;AC114,"上昇トレンド▲",IF(AND(E114&lt;AB114,AB114&lt;AC114),"下降トレンド▼","もみ合い→"))))</f>
        <v>パーフェクト▲</v>
      </c>
      <c r="AE114" s="212" t="str">
        <f>IF(OR(C114="",AB114="",AC114=""),"",IF(AND(ABS(E114-AC114)/AC114&lt;=0.02,E114&lt;AC114),"25日戻り売り★",IF(AND(ABS(E114-AB114)/AB114&lt;=0.01,E114&lt;AB114),"5日戻り売り○","なし")))</f>
        <v>なし</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相場上昇・見送り</v>
      </c>
      <c r="AG114">
        <f>IF(AND(T114&gt;=7,C114&lt;&gt;""),T114,0)</f>
        <v>0</v>
      </c>
      <c r="AH114">
        <f>IF(AG114&gt;0,AG114*10000-ROW(A114),0)</f>
        <v>0</v>
      </c>
      <c r="AI114" s="373">
        <f t="array" ref="AI114">IF(C114="","",IFERROR((INDEX(終値!$E:$E,MATCH(TEXT(C114,"0"),終値!$A:$A,0))-INDEX(終値!$E:$CZ,MATCH(TEXT(C114,"0"),終値!$A:$A,0),$AN$2))/INDEX(終値!$E:$CZ,MATCH(TEXT(C114,"0"),終値!$A:$A,0),$AN$2)*100,""))</f>
        <v>9.3109869646182494E-2</v>
      </c>
      <c r="AJ114" s="373">
        <f t="array" ref="AJ114">IFERROR((終値!$E$5-INDEX(終値!$E$5:$IT$5,1,$AN$2))/INDEX(終値!$E$5:$IT$5,1,$AN$2)*100,"")</f>
        <v>1.0179378228534113</v>
      </c>
      <c r="AK114" s="374">
        <f>IF(OR(AI114="",AJ114=""),"",AI114-AJ114)</f>
        <v>-0.92482795320722877</v>
      </c>
      <c r="AL114" s="372">
        <f>IF(AK114="","",IF(AK114&lt;-5,3,IF(AK114&lt;0,1,IF(AK114&lt;3,-1,-2))))</f>
        <v>1</v>
      </c>
      <c r="AO114" s="376" t="str">
        <f>IF(OR($C114="",$E114="",$F114="",$H114="",$I114="",$H114-$I114&lt;=0),"-",IF(AND($H114-MAX($F114,$E114)&gt;=ABS($E114-$F114)*2,MIN($F114,$E114)-$I114&lt;=ABS($E114-$F114)*0.5,ABS($E114-$F114)&gt;0),"上ヒゲ陰線▼",IF(AND($E114&lt;$F114,ABS($E114-$F114)&gt;=($H114-$I114)*0.7),"大陰線▼",IF(AND(MIN($F114,$E114)-$I114&gt;=($H114-$I114)*0.5,$H114-MAX($F114,$E114)&lt;=($H114-$I114)*0.2),"長い下ヒゲ(反発警戒)","通常"))))</f>
        <v>通常</v>
      </c>
      <c r="AP114" s="377">
        <f>IF($AO114="上ヒゲ陰線▼",2,IF($AO114="大陰線▼",2,IF($AO114="長い下ヒゲ(反発警戒)",-2,0)))</f>
        <v>0</v>
      </c>
      <c r="AQ114">
        <f>IF(C114&lt;&gt;"",始値!F161,"")</f>
        <v>1073</v>
      </c>
      <c r="AR114">
        <f>IF(C114&lt;&gt;"",高値!F161,"")</f>
        <v>1084</v>
      </c>
      <c r="AS114">
        <f>IF(C114&lt;&gt;"",安値!F161,"")</f>
        <v>1066</v>
      </c>
      <c r="AT114" t="str">
        <f>IF(OR(C114="",AQ114="",AR114="",AS114="",AR114-AS114&lt;=0),"-",IF(AND(AR114-MAX(G114,AQ114)&gt;=ABS(G114-AQ114)*2,MIN(G114,AQ114)-AS114&lt;=ABS(G114-AQ114)*0.5,ABS(G114-AQ114)&gt;0),"上ヒゲ陰線▼",IF(AND(G114&lt;AQ114,ABS(G114-AQ114)&gt;=(AR114-AS114)*0.7),"大陰線▼",IF(AND(MIN(G114,AQ114)-AS114&gt;=(AR114-AS114)*0.5,AR114-MAX(G114,AQ114)&lt;=(AR114-AS114)*0.2),"長い下ヒゲ(反発)","通常"))))</f>
        <v>通常</v>
      </c>
      <c r="AU114">
        <f>IF(AT114="上ヒゲ陰線▼",2,IF(AT114="大陰線▼",2,IF(AT114="長い下ヒゲ(反発)",-2,0)))</f>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1018</v>
      </c>
      <c r="F115" s="326">
        <f>IF(C115&lt;&gt;"",_xll.RssMarket(C115,"始値"),"")</f>
        <v>1010</v>
      </c>
      <c r="G115" s="325">
        <f>IF(C115&lt;&gt;"",終値!F170,"")</f>
        <v>1011</v>
      </c>
      <c r="H115" s="326">
        <f>IF(C115&lt;&gt;"",_xll.RssMarket(C115,"高値"),"")</f>
        <v>1020</v>
      </c>
      <c r="I115" s="326">
        <f>IF(C115&lt;&gt;"",_xll.RssMarket(C115,"安値"),"")</f>
        <v>1008</v>
      </c>
      <c r="J115" s="326">
        <f>IF(C115&lt;&gt;"",_xll.RssMarket(C115,"出来高"),"")</f>
        <v>46700</v>
      </c>
      <c r="K115" s="326">
        <f>IF(C115&lt;&gt;"",_xll.RssMarket(C115,"年初来高値"),"")</f>
        <v>1161</v>
      </c>
      <c r="L115" s="327">
        <f>IF(AND(E115&lt;&gt;"",K115&lt;&gt;"",K115&lt;&gt;0),(E115-K115)/K115*100,"")</f>
        <v>-12.316968130921619</v>
      </c>
      <c r="M115" s="326">
        <f>IF(C115&lt;&gt;"",IFERROR(AVERAGE(出来高!E170:I170),""),"")</f>
        <v>121420</v>
      </c>
      <c r="N115" s="326">
        <f>IF(C115&lt;&gt;"",IFERROR(AVERAGE(出来高!E170:AC170),""),"")</f>
        <v>69660</v>
      </c>
      <c r="O115" s="328">
        <f>IF(AND(J115&lt;&gt;"",M115&lt;&gt;"",M115&lt;&gt;0),J115/M115,"")</f>
        <v>0.38461538461538464</v>
      </c>
      <c r="P115" s="325" t="str">
        <f>IF(O115="","",IF(O115&gt;=2,"急増↑↑",IF(O115&gt;=1.5,"増加↑",IF(O115&gt;=1,"普通→","減少↓"))))</f>
        <v>減少↓</v>
      </c>
      <c r="Q115" s="325" t="str">
        <f>IF(E115="","",IF(AND(E115&lt;G115,O115&gt;=1.5),"売り▼",IF(E115&gt;G115,"様子見▲","中立→")))</f>
        <v>様子見▲</v>
      </c>
      <c r="R115" s="326">
        <f>IF(E115&lt;&gt;"",ROUND(E115*0.92,0),"")</f>
        <v>937</v>
      </c>
      <c r="S115" s="326">
        <f>IF(E115&lt;&gt;"",ROUND(E115*1.04,0),"")</f>
        <v>1059</v>
      </c>
      <c r="T115" s="325">
        <f>IF(C115="","",IFERROR(IF(W115&gt;=70,3,IF(W115&gt;=60,2,IF(W115&gt;=50,1,0)))+IF(X115&lt;0,2,0)+IF(AD115="下降トレンド▼",3,IF(AD115="もみ合い→",1,0))+IF(V115="年初来安値圏●",3,IF(V115="安値圏",2,0))+IF(Q115="売り▼",2,0)+IF(P115="急増↑↑",2,IF(P115="増加↑",1,0))+IF(Z115&lt;0,1,0)+IF(L115&lt;=-30,2,IF(L115&lt;=-15,1,0))+IF(AE115="25日戻り売り★",2,IF(AE115="5日戻り売り○",1,0))+N(AL115)+N(AP115)+N(AU115),0))</f>
        <v>4</v>
      </c>
      <c r="U115" s="325" t="str">
        <f>IF(T115="","",IF(AND(T115&gt;=3,O115&gt;=1.5),"有効",IF(T115&gt;=3,"要確認","除外")))</f>
        <v>要確認</v>
      </c>
      <c r="V115" s="325" t="str">
        <f>IF(AND(I115&lt;&gt;"",K115&lt;&gt;""),IF(I115&lt;=K115*0.6,"年初来安値圏●",IF(I115&lt;=K115*0.75,"安値圏","通常")),"")</f>
        <v>通常</v>
      </c>
      <c r="W115" s="329">
        <f t="array" ref="W115">IFERROR(100-100/(1+SUMPRODUCT((終値!F170:R170&gt;終値!G170:S170)*(終値!F170:R170-終値!G170:S170))/SUMPRODUCT((終値!F170:R170&lt;終値!G170:S170)*(終値!G170:S170-終値!F170:R170))),50)</f>
        <v>26.984126984126974</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-8.4495341089559588</v>
      </c>
      <c r="Y115" s="325" t="str">
        <f>IF(AF115="","",AF115&amp;" | "&amp;AD115&amp;IF(AE115&lt;&gt;"なし"," "&amp;AE115,"")&amp;IF(X115&lt;0," MACD-"," MACD+")&amp;" RSI:"&amp;TEXT(W115,"0.0")&amp;IF(W115&gt;=70," [過熱]",IF(W115&lt;=30," [売られ過ぎ]",""))&amp;" 前日比:"&amp;TEXT(Z115,"+0.0;-0.0;0.0")&amp;"%"&amp;IF(V115="年初来安値圏●"," [年初来安値圏]",IF(V115="安値圏"," [安値圏]",""))&amp;IF(OR(AO115="通常",AO115="-"),""," ["&amp;AO115&amp;"]")&amp;IF(OR(AT115="通常",AT115="-"),"","前日["&amp;AT115&amp;"]")&amp;" ["&amp;T115&amp;"点]")</f>
        <v>相場上昇・見送り | もみ合い→ MACD- RSI:27.0 [売られ過ぎ] 前日比:+0.7% [4点]</v>
      </c>
      <c r="Z115" s="331">
        <f>IF(AND(E115&lt;&gt;"",G115&lt;&gt;"",G115&lt;&gt;0),(E115-G115)/G115*100,"")</f>
        <v>0.6923837784371909</v>
      </c>
      <c r="AA115" s="325" t="str">
        <f>IF(OR(C115="",E115="",E115=0),"",IF(E115&gt;G115,"上昇▲",IF(E115&lt;G115,"下落▼","横ばい→")))</f>
        <v>上昇▲</v>
      </c>
      <c r="AB115" s="326">
        <f>IF(OR(C115="",C115="TOPX",終値!E170=""),"",IFERROR(((終値!E170*0.333)+(終値!F170*0.222)+(終値!G170*0.148)+(終値!H170*0.099)+(終値!I170*0.066))/(0.333+0.222+0.148+0.099+0.066),""))</f>
        <v>1016.4631336405529</v>
      </c>
      <c r="AC115" s="326">
        <f>IF(OR(C115="",C115="TOPX",終値!E170=""),"",IFERROR(SUMPRODUCT((終値!E170:AC170),{0.077,0.071,0.065,0.06,0.055,0.051,0.047,0.043,0.039,0.036,0.033,0.031,0.028,0.026,0.024,0.022,0.02,0.018,0.017,0.016,0.014,0.013,0.012,0.011,0.01})/SUM({0.077,0.071,0.065,0.06,0.055,0.051,0.047,0.043,0.039,0.036,0.033,0.031,0.028,0.026,0.024,0.022,0.02,0.018,0.017,0.016,0.014,0.013,0.012,0.011,0.01}),""))</f>
        <v>1077.4433849821214</v>
      </c>
      <c r="AD115" s="325" t="str">
        <f>IF(OR(C115="",AB115="",AC115="",AB115=0,AC115=0),"",IF(AND(E115&gt;AB115,AB115&gt;AC115),"パーフェクト▲",IF(E115&gt;AC115,"上昇トレンド▲",IF(AND(E115&lt;AB115,AB115&lt;AC115),"下降トレンド▼","もみ合い→"))))</f>
        <v>もみ合い→</v>
      </c>
      <c r="AE115" s="325" t="str">
        <f>IF(OR(C115="",AB115="",AC115=""),"",IF(AND(ABS(E115-AC115)/AC115&lt;=0.02,E115&lt;AC115),"25日戻り売り★",IF(AND(ABS(E115-AB115)/AB115&lt;=0.01,E115&lt;AB115),"5日戻り売り○","なし")))</f>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相場上昇・見送り</v>
      </c>
      <c r="AG115">
        <f>IF(AND(T115&gt;=7,C115&lt;&gt;""),T115,0)</f>
        <v>0</v>
      </c>
      <c r="AH115">
        <f>IF(AG115&gt;0,AG115*10000-ROW(A115),0)</f>
        <v>0</v>
      </c>
      <c r="AI115" s="373">
        <f t="array" ref="AI115">IF(C115="","",IFERROR((INDEX(終値!$E:$E,MATCH(TEXT(C115,"0"),終値!$A:$A,0))-INDEX(終値!$E:$CZ,MATCH(TEXT(C115,"0"),終値!$A:$A,0),$AN$2))/INDEX(終値!$E:$CZ,MATCH(TEXT(C115,"0"),終値!$A:$A,0),$AN$2)*100,""))</f>
        <v>-3.5071090047393367</v>
      </c>
      <c r="AJ115" s="373">
        <f t="array" ref="AJ115">IFERROR((終値!$E$5-INDEX(終値!$E$5:$IT$5,1,$AN$2))/INDEX(終値!$E$5:$IT$5,1,$AN$2)*100,"")</f>
        <v>1.0179378228534113</v>
      </c>
      <c r="AK115" s="374">
        <f>IF(OR(AI115="",AJ115=""),"",AI115-AJ115)</f>
        <v>-4.5250468275927478</v>
      </c>
      <c r="AL115" s="372">
        <f>IF(AK115="","",IF(AK115&lt;-5,3,IF(AK115&lt;0,1,IF(AK115&lt;3,-1,-2))))</f>
        <v>1</v>
      </c>
      <c r="AO115" s="376" t="str">
        <f>IF(OR($C115="",$E115="",$F115="",$H115="",$I115="",$H115-$I115&lt;=0),"-",IF(AND($H115-MAX($F115,$E115)&gt;=ABS($E115-$F115)*2,MIN($F115,$E115)-$I115&lt;=ABS($E115-$F115)*0.5,ABS($E115-$F115)&gt;0),"上ヒゲ陰線▼",IF(AND($E115&lt;$F115,ABS($E115-$F115)&gt;=($H115-$I115)*0.7),"大陰線▼",IF(AND(MIN($F115,$E115)-$I115&gt;=($H115-$I115)*0.5,$H115-MAX($F115,$E115)&lt;=($H115-$I115)*0.2),"長い下ヒゲ(反発警戒)","通常"))))</f>
        <v>通常</v>
      </c>
      <c r="AP115" s="377">
        <f>IF($AO115="上ヒゲ陰線▼",2,IF($AO115="大陰線▼",2,IF($AO115="長い下ヒゲ(反発警戒)",-2,0)))</f>
        <v>0</v>
      </c>
      <c r="AQ115">
        <f>IF(C115&lt;&gt;"",始値!F170,"")</f>
        <v>1010</v>
      </c>
      <c r="AR115">
        <f>IF(C115&lt;&gt;"",高値!F170,"")</f>
        <v>1019</v>
      </c>
      <c r="AS115">
        <f>IF(C115&lt;&gt;"",安値!F170,"")</f>
        <v>1007</v>
      </c>
      <c r="AT115" t="str">
        <f>IF(OR(C115="",AQ115="",AR115="",AS115="",AR115-AS115&lt;=0),"-",IF(AND(AR115-MAX(G115,AQ115)&gt;=ABS(G115-AQ115)*2,MIN(G115,AQ115)-AS115&lt;=ABS(G115-AQ115)*0.5,ABS(G115-AQ115)&gt;0),"上ヒゲ陰線▼",IF(AND(G115&lt;AQ115,ABS(G115-AQ115)&gt;=(AR115-AS115)*0.7),"大陰線▼",IF(AND(MIN(G115,AQ115)-AS115&gt;=(AR115-AS115)*0.5,AR115-MAX(G115,AQ115)&lt;=(AR115-AS115)*0.2),"長い下ヒゲ(反発)","通常"))))</f>
        <v>通常</v>
      </c>
      <c r="AU115">
        <f>IF(AT115="上ヒゲ陰線▼",2,IF(AT115="大陰線▼",2,IF(AT115="長い下ヒゲ(反発)",-2,0)))</f>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3055</v>
      </c>
      <c r="F116" s="333">
        <f>IF(C116&lt;&gt;"",_xll.RssMarket(C116,"始値"),"")</f>
        <v>2999</v>
      </c>
      <c r="G116" s="212">
        <f>IF(C116&lt;&gt;"",終値!F171,"")</f>
        <v>3005</v>
      </c>
      <c r="H116" s="333">
        <f>IF(C116&lt;&gt;"",_xll.RssMarket(C116,"高値"),"")</f>
        <v>3060</v>
      </c>
      <c r="I116" s="333">
        <f>IF(C116&lt;&gt;"",_xll.RssMarket(C116,"安値"),"")</f>
        <v>2999</v>
      </c>
      <c r="J116" s="333">
        <f>IF(C116&lt;&gt;"",_xll.RssMarket(C116,"出来高"),"")</f>
        <v>101500</v>
      </c>
      <c r="K116" s="333">
        <f>IF(C116&lt;&gt;"",_xll.RssMarket(C116,"年初来高値"),"")</f>
        <v>3330</v>
      </c>
      <c r="L116" s="334">
        <f>IF(AND(E116&lt;&gt;"",K116&lt;&gt;"",K116&lt;&gt;0),(E116-K116)/K116*100,"")</f>
        <v>-8.2582582582582589</v>
      </c>
      <c r="M116" s="333">
        <f>IF(C116&lt;&gt;"",IFERROR(AVERAGE(出来高!E171:I171),""),"")</f>
        <v>241140</v>
      </c>
      <c r="N116" s="333">
        <f>IF(C116&lt;&gt;"",IFERROR(AVERAGE(出来高!E171:AC171),""),"")</f>
        <v>144192</v>
      </c>
      <c r="O116" s="335">
        <f>IF(AND(J116&lt;&gt;"",M116&lt;&gt;"",M116&lt;&gt;0),J116/M116,"")</f>
        <v>0.4209173094467944</v>
      </c>
      <c r="P116" s="212" t="str">
        <f>IF(O116="","",IF(O116&gt;=2,"急増↑↑",IF(O116&gt;=1.5,"増加↑",IF(O116&gt;=1,"普通→","減少↓"))))</f>
        <v>減少↓</v>
      </c>
      <c r="Q116" s="212" t="str">
        <f>IF(E116="","",IF(AND(E116&lt;G116,O116&gt;=1.5),"売り▼",IF(E116&gt;G116,"様子見▲","中立→")))</f>
        <v>様子見▲</v>
      </c>
      <c r="R116" s="333">
        <f>IF(E116&lt;&gt;"",ROUND(E116*0.92,0),"")</f>
        <v>2811</v>
      </c>
      <c r="S116" s="333">
        <f>IF(E116&lt;&gt;"",ROUND(E116*1.04,0),"")</f>
        <v>3177</v>
      </c>
      <c r="T116" s="325">
        <f>IF(C116="","",IFERROR(IF(W116&gt;=70,3,IF(W116&gt;=60,2,IF(W116&gt;=50,1,0)))+IF(X116&lt;0,2,0)+IF(AD116="下降トレンド▼",3,IF(AD116="もみ合い→",1,0))+IF(V116="年初来安値圏●",3,IF(V116="安値圏",2,0))+IF(Q116="売り▼",2,0)+IF(P116="急増↑↑",2,IF(P116="増加↑",1,0))+IF(Z116&lt;0,1,0)+IF(L116&lt;=-30,2,IF(L116&lt;=-15,1,0))+IF(AE116="25日戻り売り★",2,IF(AE116="5日戻り売り○",1,0))+N(AL116)+N(AP116)+N(AU116),0))</f>
        <v>6</v>
      </c>
      <c r="U116" s="212" t="str">
        <f>IF(T116="","",IF(AND(T116&gt;=3,O116&gt;=1.5),"有効",IF(T116&gt;=3,"要確認","除外")))</f>
        <v>要確認</v>
      </c>
      <c r="V116" s="212" t="str">
        <f>IF(AND(I116&lt;&gt;"",K116&lt;&gt;""),IF(I116&lt;=K116*0.6,"年初来安値圏●",IF(I116&lt;=K116*0.75,"安値圏","通常")),"")</f>
        <v>通常</v>
      </c>
      <c r="W116" s="336">
        <f t="array" ref="W116">IFERROR(100-100/(1+SUMPRODUCT((終値!F171:R171&gt;終値!G171:S171)*(終値!F171:R171-終値!G171:S171))/SUMPRODUCT((終値!F171:R171&lt;終値!G171:S171)*(終値!G171:S171-終値!F171:R171))),50)</f>
        <v>40.476190476190482</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-3.5127906097372943</v>
      </c>
      <c r="Y116" s="212" t="str">
        <f>IF(AF116="","",AF116&amp;" | "&amp;AD116&amp;IF(AE116&lt;&gt;"なし"," "&amp;AE116,"")&amp;IF(X116&lt;0," MACD-"," MACD+")&amp;" RSI:"&amp;TEXT(W116,"0.0")&amp;IF(W116&gt;=70," [過熱]",IF(W116&lt;=30," [売られ過ぎ]",""))&amp;" 前日比:"&amp;TEXT(Z116,"+0.0;-0.0;0.0")&amp;"%"&amp;IF(V116="年初来安値圏●"," [年初来安値圏]",IF(V116="安値圏"," [安値圏]",""))&amp;IF(OR(AO116="通常",AO116="-"),""," ["&amp;AO116&amp;"]")&amp;IF(OR(AT116="通常",AT116="-"),"","前日["&amp;AT116&amp;"]")&amp;" ["&amp;T116&amp;"点]")</f>
        <v>○逆張り売り | もみ合い→ 25日戻り売り★ MACD- RSI:40.5 前日比:+1.7% [6点]</v>
      </c>
      <c r="Z116" s="338">
        <f>IF(AND(E116&lt;&gt;"",G116&lt;&gt;"",G116&lt;&gt;0),(E116-G116)/G116*100,"")</f>
        <v>1.6638935108153077</v>
      </c>
      <c r="AA116" s="212" t="str">
        <f>IF(OR(C116="",E116="",E116=0),"",IF(E116&gt;G116,"上昇▲",IF(E116&lt;G116,"下落▼","横ばい→")))</f>
        <v>上昇▲</v>
      </c>
      <c r="AB116" s="333">
        <f>IF(OR(C116="",C116="TOPX",終値!E171=""),"",IFERROR(((終値!E171*0.333)+(終値!F171*0.222)+(終値!G171*0.148)+(終値!H171*0.099)+(終値!I171*0.066))/(0.333+0.222+0.148+0.099+0.066),""))</f>
        <v>3021.6244239631337</v>
      </c>
      <c r="AC116" s="333">
        <f>IF(OR(C116="",C116="TOPX",終値!E171=""),"",IFERROR(SUMPRODUCT((終値!E171:AC171),{0.077,0.071,0.065,0.06,0.055,0.051,0.047,0.043,0.039,0.036,0.033,0.031,0.028,0.026,0.024,0.022,0.02,0.018,0.017,0.016,0.014,0.013,0.012,0.011,0.01})/SUM({0.077,0.071,0.065,0.06,0.055,0.051,0.047,0.043,0.039,0.036,0.033,0.031,0.028,0.026,0.024,0.022,0.02,0.018,0.017,0.016,0.014,0.013,0.012,0.011,0.01}),""))</f>
        <v>3083.5816448152541</v>
      </c>
      <c r="AD116" s="212" t="str">
        <f>IF(OR(C116="",AB116="",AC116="",AB116=0,AC116=0),"",IF(AND(E116&gt;AB116,AB116&gt;AC116),"パーフェクト▲",IF(E116&gt;AC116,"上昇トレンド▲",IF(AND(E116&lt;AB116,AB116&lt;AC116),"下降トレンド▼","もみ合い→"))))</f>
        <v>もみ合い→</v>
      </c>
      <c r="AE116" s="212" t="str">
        <f>IF(OR(C116="",AB116="",AC116=""),"",IF(AND(ABS(E116-AC116)/AC116&lt;=0.02,E116&lt;AC116),"25日戻り売り★",IF(AND(ABS(E116-AB116)/AB116&lt;=0.01,E116&lt;AB116),"5日戻り売り○","なし")))</f>
        <v>25日戻り売り★</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○逆張り売り</v>
      </c>
      <c r="AG116">
        <f>IF(AND(T116&gt;=7,C116&lt;&gt;""),T116,0)</f>
        <v>0</v>
      </c>
      <c r="AH116">
        <f>IF(AG116&gt;0,AG116*10000-ROW(A116),0)</f>
        <v>0</v>
      </c>
      <c r="AI116" s="373">
        <f t="array" ref="AI116">IF(C116="","",IFERROR((INDEX(終値!$E:$E,MATCH(TEXT(C116,"0"),終値!$A:$A,0))-INDEX(終値!$E:$CZ,MATCH(TEXT(C116,"0"),終値!$A:$A,0),$AN$2))/INDEX(終値!$E:$CZ,MATCH(TEXT(C116,"0"),終値!$A:$A,0),$AN$2)*100,""))</f>
        <v>0.16393442622950818</v>
      </c>
      <c r="AJ116" s="373">
        <f t="array" ref="AJ116">IFERROR((終値!$E$5-INDEX(終値!$E$5:$IT$5,1,$AN$2))/INDEX(終値!$E$5:$IT$5,1,$AN$2)*100,"")</f>
        <v>1.0179378228534113</v>
      </c>
      <c r="AK116" s="374">
        <f>IF(OR(AI116="",AJ116=""),"",AI116-AJ116)</f>
        <v>-0.85400339662390312</v>
      </c>
      <c r="AL116" s="372">
        <f>IF(AK116="","",IF(AK116&lt;-5,3,IF(AK116&lt;0,1,IF(AK116&lt;3,-1,-2))))</f>
        <v>1</v>
      </c>
      <c r="AO116" s="376" t="str">
        <f>IF(OR($C116="",$E116="",$F116="",$H116="",$I116="",$H116-$I116&lt;=0),"-",IF(AND($H116-MAX($F116,$E116)&gt;=ABS($E116-$F116)*2,MIN($F116,$E116)-$I116&lt;=ABS($E116-$F116)*0.5,ABS($E116-$F116)&gt;0),"上ヒゲ陰線▼",IF(AND($E116&lt;$F116,ABS($E116-$F116)&gt;=($H116-$I116)*0.7),"大陰線▼",IF(AND(MIN($F116,$E116)-$I116&gt;=($H116-$I116)*0.5,$H116-MAX($F116,$E116)&lt;=($H116-$I116)*0.2),"長い下ヒゲ(反発警戒)","通常"))))</f>
        <v>通常</v>
      </c>
      <c r="AP116" s="377">
        <f>IF($AO116="上ヒゲ陰線▼",2,IF($AO116="大陰線▼",2,IF($AO116="長い下ヒゲ(反発警戒)",-2,0)))</f>
        <v>0</v>
      </c>
      <c r="AQ116">
        <f>IF(C116&lt;&gt;"",始値!F171,"")</f>
        <v>2990</v>
      </c>
      <c r="AR116">
        <f>IF(C116&lt;&gt;"",高値!F171,"")</f>
        <v>3010</v>
      </c>
      <c r="AS116">
        <f>IF(C116&lt;&gt;"",安値!F171,"")</f>
        <v>2980</v>
      </c>
      <c r="AT116" t="str">
        <f>IF(OR(C116="",AQ116="",AR116="",AS116="",AR116-AS116&lt;=0),"-",IF(AND(AR116-MAX(G116,AQ116)&gt;=ABS(G116-AQ116)*2,MIN(G116,AQ116)-AS116&lt;=ABS(G116-AQ116)*0.5,ABS(G116-AQ116)&gt;0),"上ヒゲ陰線▼",IF(AND(G116&lt;AQ116,ABS(G116-AQ116)&gt;=(AR116-AS116)*0.7),"大陰線▼",IF(AND(MIN(G116,AQ116)-AS116&gt;=(AR116-AS116)*0.5,AR116-MAX(G116,AQ116)&lt;=(AR116-AS116)*0.2),"長い下ヒゲ(反発)","通常"))))</f>
        <v>通常</v>
      </c>
      <c r="AU116">
        <f>IF(AT116="上ヒゲ陰線▼",2,IF(AT116="大陰線▼",2,IF(AT116="長い下ヒゲ(反発)",-2,0)))</f>
        <v>0</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2508</v>
      </c>
      <c r="F117" s="326">
        <f>IF(C117&lt;&gt;"",_xll.RssMarket(C117,"始値"),"")</f>
        <v>2506</v>
      </c>
      <c r="G117" s="325">
        <f>IF(C117&lt;&gt;"",終値!F176,"")</f>
        <v>2504</v>
      </c>
      <c r="H117" s="326">
        <f>IF(C117&lt;&gt;"",_xll.RssMarket(C117,"高値"),"")</f>
        <v>2585</v>
      </c>
      <c r="I117" s="326">
        <f>IF(C117&lt;&gt;"",_xll.RssMarket(C117,"安値"),"")</f>
        <v>2475</v>
      </c>
      <c r="J117" s="326">
        <f>IF(C117&lt;&gt;"",_xll.RssMarket(C117,"出来高"),"")</f>
        <v>240800</v>
      </c>
      <c r="K117" s="326">
        <f>IF(C117&lt;&gt;"",_xll.RssMarket(C117,"年初来高値"),"")</f>
        <v>3245</v>
      </c>
      <c r="L117" s="327">
        <f>IF(AND(E117&lt;&gt;"",K117&lt;&gt;"",K117&lt;&gt;0),(E117-K117)/K117*100,"")</f>
        <v>-22.711864406779661</v>
      </c>
      <c r="M117" s="326">
        <f>IF(C117&lt;&gt;"",IFERROR(AVERAGE(出来高!E176:I176),""),"")</f>
        <v>143400</v>
      </c>
      <c r="N117" s="326">
        <f>IF(C117&lt;&gt;"",IFERROR(AVERAGE(出来高!E176:AC176),""),"")</f>
        <v>93760</v>
      </c>
      <c r="O117" s="328">
        <f>IF(AND(J117&lt;&gt;"",M117&lt;&gt;"",M117&lt;&gt;0),J117/M117,"")</f>
        <v>1.6792189679218967</v>
      </c>
      <c r="P117" s="325" t="str">
        <f>IF(O117="","",IF(O117&gt;=2,"急増↑↑",IF(O117&gt;=1.5,"増加↑",IF(O117&gt;=1,"普通→","減少↓"))))</f>
        <v>増加↑</v>
      </c>
      <c r="Q117" s="325" t="str">
        <f>IF(E117="","",IF(AND(E117&lt;G117,O117&gt;=1.5),"売り▼",IF(E117&gt;G117,"様子見▲","中立→")))</f>
        <v>様子見▲</v>
      </c>
      <c r="R117" s="326">
        <f>IF(E117&lt;&gt;"",ROUND(E117*0.92,0),"")</f>
        <v>2307</v>
      </c>
      <c r="S117" s="326">
        <f>IF(E117&lt;&gt;"",ROUND(E117*1.04,0),"")</f>
        <v>2608</v>
      </c>
      <c r="T117" s="325">
        <f>IF(C117="","",IFERROR(IF(W117&gt;=70,3,IF(W117&gt;=60,2,IF(W117&gt;=50,1,0)))+IF(X117&lt;0,2,0)+IF(AD117="下降トレンド▼",3,IF(AD117="もみ合い→",1,0))+IF(V117="年初来安値圏●",3,IF(V117="安値圏",2,0))+IF(Q117="売り▼",2,0)+IF(P117="急増↑↑",2,IF(P117="増加↑",1,0))+IF(Z117&lt;0,1,0)+IF(L117&lt;=-30,2,IF(L117&lt;=-15,1,0))+IF(AE117="25日戻り売り★",2,IF(AE117="5日戻り売り○",1,0))+N(AL117)+N(AP117)+N(AU117),0))</f>
        <v>7</v>
      </c>
      <c r="U117" s="325" t="str">
        <f>IF(T117="","",IF(AND(T117&gt;=3,O117&gt;=1.5),"有効",IF(T117&gt;=3,"要確認","除外")))</f>
        <v>有効</v>
      </c>
      <c r="V117" s="325" t="str">
        <f>IF(AND(I117&lt;&gt;"",K117&lt;&gt;""),IF(I117&lt;=K117*0.6,"年初来安値圏●",IF(I117&lt;=K117*0.75,"安値圏","通常")),"")</f>
        <v>通常</v>
      </c>
      <c r="W117" s="329">
        <f t="array" ref="W117">IFERROR(100-100/(1+SUMPRODUCT((終値!F176:R176&gt;終値!G176:S176)*(終値!F176:R176-終値!G176:S176))/SUMPRODUCT((終値!F176:R176&lt;終値!G176:S176)*(終値!G176:S176-終値!F176:R176))),50)</f>
        <v>41.92307692307692</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-17.928798872786047</v>
      </c>
      <c r="Y117" s="325" t="str">
        <f>IF(AF117="","",AF117&amp;" | "&amp;AD117&amp;IF(AE117&lt;&gt;"なし"," "&amp;AE117,"")&amp;IF(X117&lt;0," MACD-"," MACD+")&amp;" RSI:"&amp;TEXT(W117,"0.0")&amp;IF(W117&gt;=70," [過熱]",IF(W117&lt;=30," [売られ過ぎ]",""))&amp;" 前日比:"&amp;TEXT(Z117,"+0.0;-0.0;0.0")&amp;"%"&amp;IF(V117="年初来安値圏●"," [年初来安値圏]",IF(V117="安値圏"," [安値圏]",""))&amp;IF(OR(AO117="通常",AO117="-"),""," ["&amp;AO117&amp;"]")&amp;IF(OR(AT117="通常",AT117="-"),"","前日["&amp;AT117&amp;"]")&amp;" ["&amp;T117&amp;"点]")</f>
        <v>相場上昇・見送り | 上昇トレンド▲ MACD- RSI:41.9 前日比:+0.2% [7点]</v>
      </c>
      <c r="Z117" s="331">
        <f>IF(AND(E117&lt;&gt;"",G117&lt;&gt;"",G117&lt;&gt;0),(E117-G117)/G117*100,"")</f>
        <v>0.15974440894568689</v>
      </c>
      <c r="AA117" s="325" t="str">
        <f>IF(OR(C117="",E117="",E117=0),"",IF(E117&gt;G117,"上昇▲",IF(E117&lt;G117,"下落▼","横ばい→")))</f>
        <v>上昇▲</v>
      </c>
      <c r="AB117" s="326">
        <f>IF(OR(C117="",C117="TOPX",終値!E176=""),"",IFERROR(((終値!E176*0.333)+(終値!F176*0.222)+(終値!G176*0.148)+(終値!H176*0.099)+(終値!I176*0.066))/(0.333+0.222+0.148+0.099+0.066),""))</f>
        <v>2474.7592165898614</v>
      </c>
      <c r="AC117" s="326">
        <f>IF(OR(C117="",C117="TOPX",終値!E176=""),"",IFERROR(SUMPRODUCT((終値!E176:AC176),{0.077,0.071,0.065,0.06,0.055,0.051,0.047,0.043,0.039,0.036,0.033,0.031,0.028,0.026,0.024,0.022,0.02,0.018,0.017,0.016,0.014,0.013,0.012,0.011,0.01})/SUM({0.077,0.071,0.065,0.06,0.055,0.051,0.047,0.043,0.039,0.036,0.033,0.031,0.028,0.026,0.024,0.022,0.02,0.018,0.017,0.016,0.014,0.013,0.012,0.011,0.01}),""))</f>
        <v>2494.8367103694864</v>
      </c>
      <c r="AD117" s="325" t="str">
        <f>IF(OR(C117="",AB117="",AC117="",AB117=0,AC117=0),"",IF(AND(E117&gt;AB117,AB117&gt;AC117),"パーフェクト▲",IF(E117&gt;AC117,"上昇トレンド▲",IF(AND(E117&lt;AB117,AB117&lt;AC117),"下降トレンド▼","もみ合い→"))))</f>
        <v>上昇トレンド▲</v>
      </c>
      <c r="AE117" s="325" t="str">
        <f>IF(OR(C117="",AB117="",AC117=""),"",IF(AND(ABS(E117-AC117)/AC117&lt;=0.02,E117&lt;AC117),"25日戻り売り★",IF(AND(ABS(E117-AB117)/AB117&lt;=0.01,E117&lt;AB117),"5日戻り売り○","なし")))</f>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相場上昇・見送り</v>
      </c>
      <c r="AG117">
        <f>IF(AND(T117&gt;=7,C117&lt;&gt;""),T117,0)</f>
        <v>7</v>
      </c>
      <c r="AH117">
        <f>IF(AG117&gt;0,AG117*10000-ROW(A117),0)</f>
        <v>69883</v>
      </c>
      <c r="AI117" s="373">
        <f t="array" ref="AI117">IF(C117="","",IFERROR((INDEX(終値!$E:$E,MATCH(TEXT(C117,"0"),終値!$A:$A,0))-INDEX(終値!$E:$CZ,MATCH(TEXT(C117,"0"),終値!$A:$A,0),$AN$2))/INDEX(終値!$E:$CZ,MATCH(TEXT(C117,"0"),終値!$A:$A,0),$AN$2)*100,""))</f>
        <v>-5.9970014992503744</v>
      </c>
      <c r="AJ117" s="373">
        <f t="array" ref="AJ117">IFERROR((終値!$E$5-INDEX(終値!$E$5:$IT$5,1,$AN$2))/INDEX(終値!$E$5:$IT$5,1,$AN$2)*100,"")</f>
        <v>1.0179378228534113</v>
      </c>
      <c r="AK117" s="374">
        <f>IF(OR(AI117="",AJ117=""),"",AI117-AJ117)</f>
        <v>-7.0149393221037855</v>
      </c>
      <c r="AL117" s="372">
        <f>IF(AK117="","",IF(AK117&lt;-5,3,IF(AK117&lt;0,1,IF(AK117&lt;3,-1,-2))))</f>
        <v>3</v>
      </c>
      <c r="AO117" s="376" t="str">
        <f>IF(OR($C117="",$E117="",$F117="",$H117="",$I117="",$H117-$I117&lt;=0),"-",IF(AND($H117-MAX($F117,$E117)&gt;=ABS($E117-$F117)*2,MIN($F117,$E117)-$I117&lt;=ABS($E117-$F117)*0.5,ABS($E117-$F117)&gt;0),"上ヒゲ陰線▼",IF(AND($E117&lt;$F117,ABS($E117-$F117)&gt;=($H117-$I117)*0.7),"大陰線▼",IF(AND(MIN($F117,$E117)-$I117&gt;=($H117-$I117)*0.5,$H117-MAX($F117,$E117)&lt;=($H117-$I117)*0.2),"長い下ヒゲ(反発警戒)","通常"))))</f>
        <v>通常</v>
      </c>
      <c r="AP117" s="377">
        <f>IF($AO117="上ヒゲ陰線▼",2,IF($AO117="大陰線▼",2,IF($AO117="長い下ヒゲ(反発警戒)",-2,0)))</f>
        <v>0</v>
      </c>
      <c r="AQ117">
        <f>IF(C117&lt;&gt;"",始値!F176,"")</f>
        <v>2462</v>
      </c>
      <c r="AR117">
        <f>IF(C117&lt;&gt;"",高値!F176,"")</f>
        <v>2506</v>
      </c>
      <c r="AS117">
        <f>IF(C117&lt;&gt;"",安値!F176,"")</f>
        <v>2428</v>
      </c>
      <c r="AT117" t="str">
        <f>IF(OR(C117="",AQ117="",AR117="",AS117="",AR117-AS117&lt;=0),"-",IF(AND(AR117-MAX(G117,AQ117)&gt;=ABS(G117-AQ117)*2,MIN(G117,AQ117)-AS117&lt;=ABS(G117-AQ117)*0.5,ABS(G117-AQ117)&gt;0),"上ヒゲ陰線▼",IF(AND(G117&lt;AQ117,ABS(G117-AQ117)&gt;=(AR117-AS117)*0.7),"大陰線▼",IF(AND(MIN(G117,AQ117)-AS117&gt;=(AR117-AS117)*0.5,AR117-MAX(G117,AQ117)&lt;=(AR117-AS117)*0.2),"長い下ヒゲ(反発)","通常"))))</f>
        <v>通常</v>
      </c>
      <c r="AU117">
        <f>IF(AT117="上ヒゲ陰線▼",2,IF(AT117="大陰線▼",2,IF(AT117="長い下ヒゲ(反発)",-2,0)))</f>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2869</v>
      </c>
      <c r="F118" s="333">
        <f>IF(C118&lt;&gt;"",_xll.RssMarket(C118,"始値"),"")</f>
        <v>2833</v>
      </c>
      <c r="G118" s="212">
        <f>IF(C118&lt;&gt;"",終値!F179,"")</f>
        <v>2833</v>
      </c>
      <c r="H118" s="333">
        <f>IF(C118&lt;&gt;"",_xll.RssMarket(C118,"高値"),"")</f>
        <v>2900</v>
      </c>
      <c r="I118" s="333">
        <f>IF(C118&lt;&gt;"",_xll.RssMarket(C118,"安値"),"")</f>
        <v>2833</v>
      </c>
      <c r="J118" s="333">
        <f>IF(C118&lt;&gt;"",_xll.RssMarket(C118,"出来高"),"")</f>
        <v>109700</v>
      </c>
      <c r="K118" s="333">
        <f>IF(C118&lt;&gt;"",_xll.RssMarket(C118,"年初来高値"),"")</f>
        <v>4280</v>
      </c>
      <c r="L118" s="334">
        <f>IF(AND(E118&lt;&gt;"",K118&lt;&gt;"",K118&lt;&gt;0),(E118-K118)/K118*100,"")</f>
        <v>-32.967289719626166</v>
      </c>
      <c r="M118" s="333">
        <f>IF(C118&lt;&gt;"",IFERROR(AVERAGE(出来高!E179:I179),""),"")</f>
        <v>126620</v>
      </c>
      <c r="N118" s="333">
        <f>IF(C118&lt;&gt;"",IFERROR(AVERAGE(出来高!E179:AC179),""),"")</f>
        <v>104852</v>
      </c>
      <c r="O118" s="335">
        <f>IF(AND(J118&lt;&gt;"",M118&lt;&gt;"",M118&lt;&gt;0),J118/M118,"")</f>
        <v>0.86637182119728318</v>
      </c>
      <c r="P118" s="212" t="str">
        <f>IF(O118="","",IF(O118&gt;=2,"急増↑↑",IF(O118&gt;=1.5,"増加↑",IF(O118&gt;=1,"普通→","減少↓"))))</f>
        <v>減少↓</v>
      </c>
      <c r="Q118" s="212" t="str">
        <f>IF(E118="","",IF(AND(E118&lt;G118,O118&gt;=1.5),"売り▼",IF(E118&gt;G118,"様子見▲","中立→")))</f>
        <v>様子見▲</v>
      </c>
      <c r="R118" s="333">
        <f>IF(E118&lt;&gt;"",ROUND(E118*0.92,0),"")</f>
        <v>2639</v>
      </c>
      <c r="S118" s="333">
        <f>IF(E118&lt;&gt;"",ROUND(E118*1.04,0),"")</f>
        <v>2984</v>
      </c>
      <c r="T118" s="325">
        <f>IF(C118="","",IFERROR(IF(W118&gt;=70,3,IF(W118&gt;=60,2,IF(W118&gt;=50,1,0)))+IF(X118&lt;0,2,0)+IF(AD118="下降トレンド▼",3,IF(AD118="もみ合い→",1,0))+IF(V118="年初来安値圏●",3,IF(V118="安値圏",2,0))+IF(Q118="売り▼",2,0)+IF(P118="急増↑↑",2,IF(P118="増加↑",1,0))+IF(Z118&lt;0,1,0)+IF(L118&lt;=-30,2,IF(L118&lt;=-15,1,0))+IF(AE118="25日戻り売り★",2,IF(AE118="5日戻り売り○",1,0))+N(AL118)+N(AP118)+N(AU118),0))</f>
        <v>4</v>
      </c>
      <c r="U118" s="212" t="str">
        <f>IF(T118="","",IF(AND(T118&gt;=3,O118&gt;=1.5),"有効",IF(T118&gt;=3,"要確認","除外")))</f>
        <v>要確認</v>
      </c>
      <c r="V118" s="212" t="str">
        <f>IF(AND(I118&lt;&gt;"",K118&lt;&gt;""),IF(I118&lt;=K118*0.6,"年初来安値圏●",IF(I118&lt;=K118*0.75,"安値圏","通常")),"")</f>
        <v>安値圏</v>
      </c>
      <c r="W118" s="336">
        <f t="array" ref="W118">IFERROR(100-100/(1+SUMPRODUCT((終値!F179:R179&gt;終値!G179:S179)*(終値!F179:R179-終値!G179:S179))/SUMPRODUCT((終値!F179:R179&lt;終値!G179:S179)*(終値!G179:S179-終値!F179:R179))),50)</f>
        <v>64.403292181069958</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27.708733516692064</v>
      </c>
      <c r="Y118" s="212" t="str">
        <f>IF(AF118="","",AF118&amp;" | "&amp;AD118&amp;IF(AE118&lt;&gt;"なし"," "&amp;AE118,"")&amp;IF(X118&lt;0," MACD-"," MACD+")&amp;" RSI:"&amp;TEXT(W118,"0.0")&amp;IF(W118&gt;=70," [過熱]",IF(W118&lt;=30," [売られ過ぎ]",""))&amp;" 前日比:"&amp;TEXT(Z118,"+0.0;-0.0;0.0")&amp;"%"&amp;IF(V118="年初来安値圏●"," [年初来安値圏]",IF(V118="安値圏"," [安値圏]",""))&amp;IF(OR(AO118="通常",AO118="-"),""," ["&amp;AO118&amp;"]")&amp;IF(OR(AT118="通常",AT118="-"),"","前日["&amp;AT118&amp;"]")&amp;" ["&amp;T118&amp;"点]")</f>
        <v>相場上昇・見送り | パーフェクト▲ MACD+ RSI:64.4 前日比:+1.3% [安値圏] [4点]</v>
      </c>
      <c r="Z118" s="338">
        <f>IF(AND(E118&lt;&gt;"",G118&lt;&gt;"",G118&lt;&gt;0),(E118-G118)/G118*100,"")</f>
        <v>1.2707377338510413</v>
      </c>
      <c r="AA118" s="212" t="str">
        <f>IF(OR(C118="",E118="",E118=0),"",IF(E118&gt;G118,"上昇▲",IF(E118&lt;G118,"下落▼","横ばい→")))</f>
        <v>上昇▲</v>
      </c>
      <c r="AB118" s="333">
        <f>IF(OR(C118="",C118="TOPX",終値!E179=""),"",IFERROR(((終値!E179*0.333)+(終値!F179*0.222)+(終値!G179*0.148)+(終値!H179*0.099)+(終値!I179*0.066))/(0.333+0.222+0.148+0.099+0.066),""))</f>
        <v>2850.9389400921659</v>
      </c>
      <c r="AC118" s="333">
        <f>IF(OR(C118="",C118="TOPX",終値!E179=""),"",IFERROR(SUMPRODUCT((終値!E179:AC179),{0.077,0.071,0.065,0.06,0.055,0.051,0.047,0.043,0.039,0.036,0.033,0.031,0.028,0.026,0.024,0.022,0.02,0.018,0.017,0.016,0.014,0.013,0.012,0.011,0.01})/SUM({0.077,0.071,0.065,0.06,0.055,0.051,0.047,0.043,0.039,0.036,0.033,0.031,0.028,0.026,0.024,0.022,0.02,0.018,0.017,0.016,0.014,0.013,0.012,0.011,0.01}),""))</f>
        <v>2797.3921334922525</v>
      </c>
      <c r="AD118" s="212" t="str">
        <f>IF(OR(C118="",AB118="",AC118="",AB118=0,AC118=0),"",IF(AND(E118&gt;AB118,AB118&gt;AC118),"パーフェクト▲",IF(E118&gt;AC118,"上昇トレンド▲",IF(AND(E118&lt;AB118,AB118&lt;AC118),"下降トレンド▼","もみ合い→"))))</f>
        <v>パーフェクト▲</v>
      </c>
      <c r="AE118" s="212" t="str">
        <f>IF(OR(C118="",AB118="",AC118=""),"",IF(AND(ABS(E118-AC118)/AC118&lt;=0.02,E118&lt;AC118),"25日戻り売り★",IF(AND(ABS(E118-AB118)/AB118&lt;=0.01,E118&lt;AB118),"5日戻り売り○","なし")))</f>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相場上昇・見送り</v>
      </c>
      <c r="AG118">
        <f>IF(AND(T118&gt;=7,C118&lt;&gt;""),T118,0)</f>
        <v>0</v>
      </c>
      <c r="AH118">
        <f>IF(AG118&gt;0,AG118*10000-ROW(A118),0)</f>
        <v>0</v>
      </c>
      <c r="AI118" s="373">
        <f t="array" ref="AI118">IF(C118="","",IFERROR((INDEX(終値!$E:$E,MATCH(TEXT(C118,"0"),終値!$A:$A,0))-INDEX(終値!$E:$CZ,MATCH(TEXT(C118,"0"),終値!$A:$A,0),$AN$2))/INDEX(終値!$E:$CZ,MATCH(TEXT(C118,"0"),終値!$A:$A,0),$AN$2)*100,""))</f>
        <v>12.730844793713164</v>
      </c>
      <c r="AJ118" s="373">
        <f t="array" ref="AJ118">IFERROR((終値!$E$5-INDEX(終値!$E$5:$IT$5,1,$AN$2))/INDEX(終値!$E$5:$IT$5,1,$AN$2)*100,"")</f>
        <v>1.0179378228534113</v>
      </c>
      <c r="AK118" s="374">
        <f>IF(OR(AI118="",AJ118=""),"",AI118-AJ118)</f>
        <v>11.712906970859752</v>
      </c>
      <c r="AL118" s="372">
        <f>IF(AK118="","",IF(AK118&lt;-5,3,IF(AK118&lt;0,1,IF(AK118&lt;3,-1,-2))))</f>
        <v>-2</v>
      </c>
      <c r="AO118" s="376" t="str">
        <f>IF(OR($C118="",$E118="",$F118="",$H118="",$I118="",$H118-$I118&lt;=0),"-",IF(AND($H118-MAX($F118,$E118)&gt;=ABS($E118-$F118)*2,MIN($F118,$E118)-$I118&lt;=ABS($E118-$F118)*0.5,ABS($E118-$F118)&gt;0),"上ヒゲ陰線▼",IF(AND($E118&lt;$F118,ABS($E118-$F118)&gt;=($H118-$I118)*0.7),"大陰線▼",IF(AND(MIN($F118,$E118)-$I118&gt;=($H118-$I118)*0.5,$H118-MAX($F118,$E118)&lt;=($H118-$I118)*0.2),"長い下ヒゲ(反発警戒)","通常"))))</f>
        <v>通常</v>
      </c>
      <c r="AP118" s="377">
        <f>IF($AO118="上ヒゲ陰線▼",2,IF($AO118="大陰線▼",2,IF($AO118="長い下ヒゲ(反発警戒)",-2,0)))</f>
        <v>0</v>
      </c>
      <c r="AQ118">
        <f>IF(C118&lt;&gt;"",始値!F179,"")</f>
        <v>2828</v>
      </c>
      <c r="AR118">
        <f>IF(C118&lt;&gt;"",高値!F179,"")</f>
        <v>2862</v>
      </c>
      <c r="AS118">
        <f>IF(C118&lt;&gt;"",安値!F179,"")</f>
        <v>2817</v>
      </c>
      <c r="AT118" t="str">
        <f>IF(OR(C118="",AQ118="",AR118="",AS118="",AR118-AS118&lt;=0),"-",IF(AND(AR118-MAX(G118,AQ118)&gt;=ABS(G118-AQ118)*2,MIN(G118,AQ118)-AS118&lt;=ABS(G118-AQ118)*0.5,ABS(G118-AQ118)&gt;0),"上ヒゲ陰線▼",IF(AND(G118&lt;AQ118,ABS(G118-AQ118)&gt;=(AR118-AS118)*0.7),"大陰線▼",IF(AND(MIN(G118,AQ118)-AS118&gt;=(AR118-AS118)*0.5,AR118-MAX(G118,AQ118)&lt;=(AR118-AS118)*0.2),"長い下ヒゲ(反発)","通常"))))</f>
        <v>通常</v>
      </c>
      <c r="AU118">
        <f>IF(AT118="上ヒゲ陰線▼",2,IF(AT118="大陰線▼",2,IF(AT118="長い下ヒゲ(反発)",-2,0)))</f>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1750.5</v>
      </c>
      <c r="F119" s="326">
        <f>IF(C119&lt;&gt;"",_xll.RssMarket(C119,"始値"),"")</f>
        <v>1721</v>
      </c>
      <c r="G119" s="325">
        <f>IF(C119&lt;&gt;"",終値!F190,"")</f>
        <v>1721</v>
      </c>
      <c r="H119" s="326">
        <f>IF(C119&lt;&gt;"",_xll.RssMarket(C119,"高値"),"")</f>
        <v>1758</v>
      </c>
      <c r="I119" s="326">
        <f>IF(C119&lt;&gt;"",_xll.RssMarket(C119,"安値"),"")</f>
        <v>1709</v>
      </c>
      <c r="J119" s="326">
        <f>IF(C119&lt;&gt;"",_xll.RssMarket(C119,"出来高"),"")</f>
        <v>1888700</v>
      </c>
      <c r="K119" s="326">
        <f>IF(C119&lt;&gt;"",_xll.RssMarket(C119,"年初来高値"),"")</f>
        <v>1797.5</v>
      </c>
      <c r="L119" s="327">
        <f>IF(AND(E119&lt;&gt;"",K119&lt;&gt;"",K119&lt;&gt;0),(E119-K119)/K119*100,"")</f>
        <v>-2.6147426981919333</v>
      </c>
      <c r="M119" s="326">
        <f>IF(C119&lt;&gt;"",IFERROR(AVERAGE(出来高!E190:I190),""),"")</f>
        <v>2128920</v>
      </c>
      <c r="N119" s="326">
        <f>IF(C119&lt;&gt;"",IFERROR(AVERAGE(出来高!E190:AC190),""),"")</f>
        <v>2316672</v>
      </c>
      <c r="O119" s="328">
        <f>IF(AND(J119&lt;&gt;"",M119&lt;&gt;"",M119&lt;&gt;0),J119/M119,"")</f>
        <v>0.88716344437555195</v>
      </c>
      <c r="P119" s="325" t="str">
        <f>IF(O119="","",IF(O119&gt;=2,"急増↑↑",IF(O119&gt;=1.5,"増加↑",IF(O119&gt;=1,"普通→","減少↓"))))</f>
        <v>減少↓</v>
      </c>
      <c r="Q119" s="325" t="str">
        <f>IF(E119="","",IF(AND(E119&lt;G119,O119&gt;=1.5),"売り▼",IF(E119&gt;G119,"様子見▲","中立→")))</f>
        <v>様子見▲</v>
      </c>
      <c r="R119" s="326">
        <f>IF(E119&lt;&gt;"",ROUND(E119*0.92,0),"")</f>
        <v>1610</v>
      </c>
      <c r="S119" s="326">
        <f>IF(E119&lt;&gt;"",ROUND(E119*1.04,0),"")</f>
        <v>1821</v>
      </c>
      <c r="T119" s="325">
        <f>IF(C119="","",IFERROR(IF(W119&gt;=70,3,IF(W119&gt;=60,2,IF(W119&gt;=50,1,0)))+IF(X119&lt;0,2,0)+IF(AD119="下降トレンド▼",3,IF(AD119="もみ合い→",1,0))+IF(V119="年初来安値圏●",3,IF(V119="安値圏",2,0))+IF(Q119="売り▼",2,0)+IF(P119="急増↑↑",2,IF(P119="増加↑",1,0))+IF(Z119&lt;0,1,0)+IF(L119&lt;=-30,2,IF(L119&lt;=-15,1,0))+IF(AE119="25日戻り売り★",2,IF(AE119="5日戻り売り○",1,0))+N(AL119)+N(AP119)+N(AU119),0))</f>
        <v>-1</v>
      </c>
      <c r="U119" s="325" t="str">
        <f>IF(T119="","",IF(AND(T119&gt;=3,O119&gt;=1.5),"有効",IF(T119&gt;=3,"要確認","除外")))</f>
        <v>除外</v>
      </c>
      <c r="V119" s="325" t="str">
        <f>IF(AND(I119&lt;&gt;"",K119&lt;&gt;""),IF(I119&lt;=K119*0.6,"年初来安値圏●",IF(I119&lt;=K119*0.75,"安値圏","通常")),"")</f>
        <v>通常</v>
      </c>
      <c r="W119" s="329">
        <f t="array" ref="W119">IFERROR(100-100/(1+SUMPRODUCT((終値!F190:R190&gt;終値!G190:S190)*(終値!F190:R190-終値!G190:S190))/SUMPRODUCT((終値!F190:R190&lt;終値!G190:S190)*(終値!G190:S190-終値!F190:R190))),50)</f>
        <v>55.231930960086295</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16.304830261225106</v>
      </c>
      <c r="Y119" s="325" t="str">
        <f>IF(AF119="","",AF119&amp;" | "&amp;AD119&amp;IF(AE119&lt;&gt;"なし"," "&amp;AE119,"")&amp;IF(X119&lt;0," MACD-"," MACD+")&amp;" RSI:"&amp;TEXT(W119,"0.0")&amp;IF(W119&gt;=70," [過熱]",IF(W119&lt;=30," [売られ過ぎ]",""))&amp;" 前日比:"&amp;TEXT(Z119,"+0.0;-0.0;0.0")&amp;"%"&amp;IF(V119="年初来安値圏●"," [年初来安値圏]",IF(V119="安値圏"," [安値圏]",""))&amp;IF(OR(AO119="通常",AO119="-"),""," ["&amp;AO119&amp;"]")&amp;IF(OR(AT119="通常",AT119="-"),"","前日["&amp;AT119&amp;"]")&amp;" ["&amp;T119&amp;"点]")</f>
        <v>相場上昇・見送り | パーフェクト▲ MACD+ RSI:55.2 前日比:+1.7% [-1点]</v>
      </c>
      <c r="Z119" s="331">
        <f>IF(AND(E119&lt;&gt;"",G119&lt;&gt;"",G119&lt;&gt;0),(E119-G119)/G119*100,"")</f>
        <v>1.7141196978500872</v>
      </c>
      <c r="AA119" s="325" t="str">
        <f>IF(OR(C119="",E119="",E119=0),"",IF(E119&gt;G119,"上昇▲",IF(E119&lt;G119,"下落▼","横ばい→")))</f>
        <v>上昇▲</v>
      </c>
      <c r="AB119" s="326">
        <f>IF(OR(C119="",C119="TOPX",終値!E190=""),"",IFERROR(((終値!E190*0.333)+(終値!F190*0.222)+(終値!G190*0.148)+(終値!H190*0.099)+(終値!I190*0.066))/(0.333+0.222+0.148+0.099+0.066),""))</f>
        <v>1730.9498847926266</v>
      </c>
      <c r="AC119" s="326">
        <f>IF(OR(C119="",C119="TOPX",終値!E190=""),"",IFERROR(SUMPRODUCT((終値!E190:AC190),{0.077,0.071,0.065,0.06,0.055,0.051,0.047,0.043,0.039,0.036,0.033,0.031,0.028,0.026,0.024,0.022,0.02,0.018,0.017,0.016,0.014,0.013,0.012,0.011,0.01})/SUM({0.077,0.071,0.065,0.06,0.055,0.051,0.047,0.043,0.039,0.036,0.033,0.031,0.028,0.026,0.024,0.022,0.02,0.018,0.017,0.016,0.014,0.013,0.012,0.011,0.01}),""))</f>
        <v>1716.4988081048866</v>
      </c>
      <c r="AD119" s="325" t="str">
        <f>IF(OR(C119="",AB119="",AC119="",AB119=0,AC119=0),"",IF(AND(E119&gt;AB119,AB119&gt;AC119),"パーフェクト▲",IF(E119&gt;AC119,"上昇トレンド▲",IF(AND(E119&lt;AB119,AB119&lt;AC119),"下降トレンド▼","もみ合い→"))))</f>
        <v>パーフェクト▲</v>
      </c>
      <c r="AE119" s="325" t="str">
        <f>IF(OR(C119="",AB119="",AC119=""),"",IF(AND(ABS(E119-AC119)/AC119&lt;=0.02,E119&lt;AC119),"25日戻り売り★",IF(AND(ABS(E119-AB119)/AB119&lt;=0.01,E119&lt;AB119),"5日戻り売り○","なし")))</f>
        <v>なし</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相場上昇・見送り</v>
      </c>
      <c r="AG119">
        <f>IF(AND(T119&gt;=7,C119&lt;&gt;""),T119,0)</f>
        <v>0</v>
      </c>
      <c r="AH119">
        <f>IF(AG119&gt;0,AG119*10000-ROW(A119),0)</f>
        <v>0</v>
      </c>
      <c r="AI119" s="373">
        <f t="array" ref="AI119">IF(C119="","",IFERROR((INDEX(終値!$E:$E,MATCH(TEXT(C119,"0"),終値!$A:$A,0))-INDEX(終値!$E:$CZ,MATCH(TEXT(C119,"0"),終値!$A:$A,0),$AN$2))/INDEX(終値!$E:$CZ,MATCH(TEXT(C119,"0"),終値!$A:$A,0),$AN$2)*100,""))</f>
        <v>15.240289664252799</v>
      </c>
      <c r="AJ119" s="373">
        <f t="array" ref="AJ119">IFERROR((終値!$E$5-INDEX(終値!$E$5:$IT$5,1,$AN$2))/INDEX(終値!$E$5:$IT$5,1,$AN$2)*100,"")</f>
        <v>1.0179378228534113</v>
      </c>
      <c r="AK119" s="374">
        <f>IF(OR(AI119="",AJ119=""),"",AI119-AJ119)</f>
        <v>14.222351841399387</v>
      </c>
      <c r="AL119" s="372">
        <f>IF(AK119="","",IF(AK119&lt;-5,3,IF(AK119&lt;0,1,IF(AK119&lt;3,-1,-2))))</f>
        <v>-2</v>
      </c>
      <c r="AO119" s="376" t="str">
        <f>IF(OR($C119="",$E119="",$F119="",$H119="",$I119="",$H119-$I119&lt;=0),"-",IF(AND($H119-MAX($F119,$E119)&gt;=ABS($E119-$F119)*2,MIN($F119,$E119)-$I119&lt;=ABS($E119-$F119)*0.5,ABS($E119-$F119)&gt;0),"上ヒゲ陰線▼",IF(AND($E119&lt;$F119,ABS($E119-$F119)&gt;=($H119-$I119)*0.7),"大陰線▼",IF(AND(MIN($F119,$E119)-$I119&gt;=($H119-$I119)*0.5,$H119-MAX($F119,$E119)&lt;=($H119-$I119)*0.2),"長い下ヒゲ(反発警戒)","通常"))))</f>
        <v>通常</v>
      </c>
      <c r="AP119" s="377">
        <f>IF($AO119="上ヒゲ陰線▼",2,IF($AO119="大陰線▼",2,IF($AO119="長い下ヒゲ(反発警戒)",-2,0)))</f>
        <v>0</v>
      </c>
      <c r="AQ119">
        <f>IF(C119&lt;&gt;"",始値!F190,"")</f>
        <v>1698.5</v>
      </c>
      <c r="AR119">
        <f>IF(C119&lt;&gt;"",高値!F190,"")</f>
        <v>1730</v>
      </c>
      <c r="AS119">
        <f>IF(C119&lt;&gt;"",安値!F190,"")</f>
        <v>1696.5</v>
      </c>
      <c r="AT119" t="str">
        <f>IF(OR(C119="",AQ119="",AR119="",AS119="",AR119-AS119&lt;=0),"-",IF(AND(AR119-MAX(G119,AQ119)&gt;=ABS(G119-AQ119)*2,MIN(G119,AQ119)-AS119&lt;=ABS(G119-AQ119)*0.5,ABS(G119-AQ119)&gt;0),"上ヒゲ陰線▼",IF(AND(G119&lt;AQ119,ABS(G119-AQ119)&gt;=(AR119-AS119)*0.7),"大陰線▼",IF(AND(MIN(G119,AQ119)-AS119&gt;=(AR119-AS119)*0.5,AR119-MAX(G119,AQ119)&lt;=(AR119-AS119)*0.2),"長い下ヒゲ(反発)","通常"))))</f>
        <v>通常</v>
      </c>
      <c r="AU119">
        <f>IF(AT119="上ヒゲ陰線▼",2,IF(AT119="大陰線▼",2,IF(AT119="長い下ヒゲ(反発)",-2,0)))</f>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61590</v>
      </c>
      <c r="F120" s="333">
        <f>IF(C120&lt;&gt;"",_xll.RssMarket(C120,"始値"),"")</f>
        <v>61800</v>
      </c>
      <c r="G120" s="212">
        <f>IF(C120&lt;&gt;"",終値!F197,"")</f>
        <v>63740</v>
      </c>
      <c r="H120" s="333">
        <f>IF(C120&lt;&gt;"",_xll.RssMarket(C120,"高値"),"")</f>
        <v>63000</v>
      </c>
      <c r="I120" s="333">
        <f>IF(C120&lt;&gt;"",_xll.RssMarket(C120,"安値"),"")</f>
        <v>60700</v>
      </c>
      <c r="J120" s="333">
        <f>IF(C120&lt;&gt;"",_xll.RssMarket(C120,"出来高"),"")</f>
        <v>1569200</v>
      </c>
      <c r="K120" s="333">
        <f>IF(C120&lt;&gt;"",_xll.RssMarket(C120,"年初来高値"),"")</f>
        <v>91680</v>
      </c>
      <c r="L120" s="334">
        <f>IF(AND(E120&lt;&gt;"",K120&lt;&gt;"",K120&lt;&gt;0),(E120-K120)/K120*100,"")</f>
        <v>-32.82068062827225</v>
      </c>
      <c r="M120" s="333">
        <f>IF(C120&lt;&gt;"",IFERROR(AVERAGE(出来高!E197:I197),""),"")</f>
        <v>2315160</v>
      </c>
      <c r="N120" s="333">
        <f>IF(C120&lt;&gt;"",IFERROR(AVERAGE(出来高!E197:AC197),""),"")</f>
        <v>1957596</v>
      </c>
      <c r="O120" s="335">
        <f>IF(AND(J120&lt;&gt;"",M120&lt;&gt;"",M120&lt;&gt;0),J120/M120,"")</f>
        <v>0.67779332745900933</v>
      </c>
      <c r="P120" s="212" t="str">
        <f>IF(O120="","",IF(O120&gt;=2,"急増↑↑",IF(O120&gt;=1.5,"増加↑",IF(O120&gt;=1,"普通→","減少↓"))))</f>
        <v>減少↓</v>
      </c>
      <c r="Q120" s="212" t="str">
        <f>IF(E120="","",IF(AND(E120&lt;G120,O120&gt;=1.5),"売り▼",IF(E120&gt;G120,"様子見▲","中立→")))</f>
        <v>中立→</v>
      </c>
      <c r="R120" s="333">
        <f>IF(E120&lt;&gt;"",ROUND(E120*0.92,0),"")</f>
        <v>56663</v>
      </c>
      <c r="S120" s="333">
        <f>IF(E120&lt;&gt;"",ROUND(E120*1.04,0),"")</f>
        <v>64054</v>
      </c>
      <c r="T120" s="325">
        <f>IF(C120="","",IFERROR(IF(W120&gt;=70,3,IF(W120&gt;=60,2,IF(W120&gt;=50,1,0)))+IF(X120&lt;0,2,0)+IF(AD120="下降トレンド▼",3,IF(AD120="もみ合い→",1,0))+IF(V120="年初来安値圏●",3,IF(V120="安値圏",2,0))+IF(Q120="売り▼",2,0)+IF(P120="急増↑↑",2,IF(P120="増加↑",1,0))+IF(Z120&lt;0,1,0)+IF(L120&lt;=-30,2,IF(L120&lt;=-15,1,0))+IF(AE120="25日戻り売り★",2,IF(AE120="5日戻り売り○",1,0))+N(AL120)+N(AP120)+N(AU120),0))</f>
        <v>14</v>
      </c>
      <c r="U120" s="212" t="str">
        <f>IF(T120="","",IF(AND(T120&gt;=3,O120&gt;=1.5),"有効",IF(T120&gt;=3,"要確認","除外")))</f>
        <v>要確認</v>
      </c>
      <c r="V120" s="212" t="str">
        <f>IF(AND(I120&lt;&gt;"",K120&lt;&gt;""),IF(I120&lt;=K120*0.6,"年初来安値圏●",IF(I120&lt;=K120*0.75,"安値圏","通常")),"")</f>
        <v>安値圏</v>
      </c>
      <c r="W120" s="336">
        <f t="array" ref="W120">IFERROR(100-100/(1+SUMPRODUCT((終値!F197:R197&gt;終値!G197:S197)*(終値!F197:R197-終値!G197:S197))/SUMPRODUCT((終値!F197:R197&lt;終値!G197:S197)*(終値!G197:S197-終値!F197:R197))),50)</f>
        <v>39.658444022770396</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-1755.6264552875655</v>
      </c>
      <c r="Y120" s="212" t="str">
        <f>IF(AF120="","",AF120&amp;" | "&amp;AD120&amp;IF(AE120&lt;&gt;"なし"," "&amp;AE120,"")&amp;IF(X120&lt;0," MACD-"," MACD+")&amp;" RSI:"&amp;TEXT(W120,"0.0")&amp;IF(W120&gt;=70," [過熱]",IF(W120&lt;=30," [売られ過ぎ]",""))&amp;" 前日比:"&amp;TEXT(Z120,"+0.0;-0.0;0.0")&amp;"%"&amp;IF(V120="年初来安値圏●"," [年初来安値圏]",IF(V120="安値圏"," [安値圏]",""))&amp;IF(OR(AO120="通常",AO120="-"),""," ["&amp;AO120&amp;"]")&amp;IF(OR(AT120="通常",AT120="-"),"","前日["&amp;AT120&amp;"]")&amp;" ["&amp;T120&amp;"点]")</f>
        <v>★逆張り売り | 下降トレンド▼ 5日戻り売り○ MACD- RSI:39.7 前日比:-3.4% [安値圏] [14点]</v>
      </c>
      <c r="Z120" s="338">
        <f>IF(AND(E120&lt;&gt;"",G120&lt;&gt;"",G120&lt;&gt;0),(E120-G120)/G120*100,"")</f>
        <v>-3.3730781299027299</v>
      </c>
      <c r="AA120" s="212" t="str">
        <f>IF(OR(C120="",E120="",E120=0),"",IF(E120&gt;G120,"上昇▲",IF(E120&lt;G120,"下落▼","横ばい→")))</f>
        <v>下落▼</v>
      </c>
      <c r="AB120" s="333">
        <f>IF(OR(C120="",C120="TOPX",終値!E197=""),"",IFERROR(((終値!E197*0.333)+(終値!F197*0.222)+(終値!G197*0.148)+(終値!H197*0.099)+(終値!I197*0.066))/(0.333+0.222+0.148+0.099+0.066),""))</f>
        <v>61662.016129032258</v>
      </c>
      <c r="AC120" s="333">
        <f>IF(OR(C120="",C120="TOPX",終値!E197=""),"",IFERROR(SUMPRODUCT((終値!E197:AC197),{0.077,0.071,0.065,0.06,0.055,0.051,0.047,0.043,0.039,0.036,0.033,0.031,0.028,0.026,0.024,0.022,0.02,0.018,0.017,0.016,0.014,0.013,0.012,0.011,0.01})/SUM({0.077,0.071,0.065,0.06,0.055,0.051,0.047,0.043,0.039,0.036,0.033,0.031,0.028,0.026,0.024,0.022,0.02,0.018,0.017,0.016,0.014,0.013,0.012,0.011,0.01}),""))</f>
        <v>63292.264600715112</v>
      </c>
      <c r="AD120" s="212" t="str">
        <f>IF(OR(C120="",AB120="",AC120="",AB120=0,AC120=0),"",IF(AND(E120&gt;AB120,AB120&gt;AC120),"パーフェクト▲",IF(E120&gt;AC120,"上昇トレンド▲",IF(AND(E120&lt;AB120,AB120&lt;AC120),"下降トレンド▼","もみ合い→"))))</f>
        <v>下降トレンド▼</v>
      </c>
      <c r="AE120" s="212" t="str">
        <f>IF(OR(C120="",AB120="",AC120=""),"",IF(AND(ABS(E120-AC120)/AC120&lt;=0.02,E120&lt;AC120),"25日戻り売り★",IF(AND(ABS(E120-AB120)/AB120&lt;=0.01,E120&lt;AB120),"5日戻り売り○","なし")))</f>
        <v>5日戻り売り○</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★逆張り売り</v>
      </c>
      <c r="AG120">
        <f>IF(AND(T120&gt;=7,C120&lt;&gt;""),T120,0)</f>
        <v>14</v>
      </c>
      <c r="AH120">
        <f>IF(AG120&gt;0,AG120*10000-ROW(A120),0)</f>
        <v>139880</v>
      </c>
      <c r="AI120" s="373">
        <f t="array" ref="AI120">IF(C120="","",IFERROR((INDEX(終値!$E:$E,MATCH(TEXT(C120,"0"),終値!$A:$A,0))-INDEX(終値!$E:$CZ,MATCH(TEXT(C120,"0"),終値!$A:$A,0),$AN$2))/INDEX(終値!$E:$CZ,MATCH(TEXT(C120,"0"),終値!$A:$A,0),$AN$2)*100,""))</f>
        <v>-27.129673450070989</v>
      </c>
      <c r="AJ120" s="373">
        <f t="array" ref="AJ120">IFERROR((終値!$E$5-INDEX(終値!$E$5:$IT$5,1,$AN$2))/INDEX(終値!$E$5:$IT$5,1,$AN$2)*100,"")</f>
        <v>1.0179378228534113</v>
      </c>
      <c r="AK120" s="374">
        <f>IF(OR(AI120="",AJ120=""),"",AI120-AJ120)</f>
        <v>-28.147611272924401</v>
      </c>
      <c r="AL120" s="372">
        <f>IF(AK120="","",IF(AK120&lt;-5,3,IF(AK120&lt;0,1,IF(AK120&lt;3,-1,-2))))</f>
        <v>3</v>
      </c>
      <c r="AO120" s="376" t="str">
        <f>IF(OR($C120="",$E120="",$F120="",$H120="",$I120="",$H120-$I120&lt;=0),"-",IF(AND($H120-MAX($F120,$E120)&gt;=ABS($E120-$F120)*2,MIN($F120,$E120)-$I120&lt;=ABS($E120-$F120)*0.5,ABS($E120-$F120)&gt;0),"上ヒゲ陰線▼",IF(AND($E120&lt;$F120,ABS($E120-$F120)&gt;=($H120-$I120)*0.7),"大陰線▼",IF(AND(MIN($F120,$E120)-$I120&gt;=($H120-$I120)*0.5,$H120-MAX($F120,$E120)&lt;=($H120-$I120)*0.2),"長い下ヒゲ(反発警戒)","通常"))))</f>
        <v>通常</v>
      </c>
      <c r="AP120" s="377">
        <f>IF($AO120="上ヒゲ陰線▼",2,IF($AO120="大陰線▼",2,IF($AO120="長い下ヒゲ(反発警戒)",-2,0)))</f>
        <v>0</v>
      </c>
      <c r="AQ120">
        <f>IF(C120&lt;&gt;"",始値!F197,"")</f>
        <v>63890</v>
      </c>
      <c r="AR120">
        <f>IF(C120&lt;&gt;"",高値!F197,"")</f>
        <v>64480</v>
      </c>
      <c r="AS120">
        <f>IF(C120&lt;&gt;"",安値!F197,"")</f>
        <v>62440</v>
      </c>
      <c r="AT120" t="str">
        <f>IF(OR(C120="",AQ120="",AR120="",AS120="",AR120-AS120&lt;=0),"-",IF(AND(AR120-MAX(G120,AQ120)&gt;=ABS(G120-AQ120)*2,MIN(G120,AQ120)-AS120&lt;=ABS(G120-AQ120)*0.5,ABS(G120-AQ120)&gt;0),"上ヒゲ陰線▼",IF(AND(G120&lt;AQ120,ABS(G120-AQ120)&gt;=(AR120-AS120)*0.7),"大陰線▼",IF(AND(MIN(G120,AQ120)-AS120&gt;=(AR120-AS120)*0.5,AR120-MAX(G120,AQ120)&lt;=(AR120-AS120)*0.2),"長い下ヒゲ(反発)","通常"))))</f>
        <v>通常</v>
      </c>
      <c r="AU120">
        <f>IF(AT120="上ヒゲ陰線▼",2,IF(AT120="大陰線▼",2,IF(AT120="長い下ヒゲ(反発)",-2,0)))</f>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5135</v>
      </c>
      <c r="F121" s="326">
        <f>IF(C121&lt;&gt;"",_xll.RssMarket(C121,"始値"),"")</f>
        <v>5170</v>
      </c>
      <c r="G121" s="325">
        <f>IF(C121&lt;&gt;"",終値!F208,"")</f>
        <v>5252</v>
      </c>
      <c r="H121" s="326">
        <f>IF(C121&lt;&gt;"",_xll.RssMarket(C121,"高値"),"")</f>
        <v>5315</v>
      </c>
      <c r="I121" s="326">
        <f>IF(C121&lt;&gt;"",_xll.RssMarket(C121,"安値"),"")</f>
        <v>5129</v>
      </c>
      <c r="J121" s="326">
        <f>IF(C121&lt;&gt;"",_xll.RssMarket(C121,"出来高"),"")</f>
        <v>2747900</v>
      </c>
      <c r="K121" s="326">
        <f>IF(C121&lt;&gt;"",_xll.RssMarket(C121,"年初来高値"),"")</f>
        <v>8040</v>
      </c>
      <c r="L121" s="327">
        <f>IF(AND(E121&lt;&gt;"",K121&lt;&gt;"",K121&lt;&gt;0),(E121-K121)/K121*100,"")</f>
        <v>-36.131840796019901</v>
      </c>
      <c r="M121" s="326">
        <f>IF(C121&lt;&gt;"",IFERROR(AVERAGE(出来高!E208:I208),""),"")</f>
        <v>2339240</v>
      </c>
      <c r="N121" s="326">
        <f>IF(C121&lt;&gt;"",IFERROR(AVERAGE(出来高!E208:AC208),""),"")</f>
        <v>1761128</v>
      </c>
      <c r="O121" s="328">
        <f>IF(AND(J121&lt;&gt;"",M121&lt;&gt;"",M121&lt;&gt;0),J121/M121,"")</f>
        <v>1.1746977650860964</v>
      </c>
      <c r="P121" s="325" t="str">
        <f>IF(O121="","",IF(O121&gt;=2,"急増↑↑",IF(O121&gt;=1.5,"増加↑",IF(O121&gt;=1,"普通→","減少↓"))))</f>
        <v>普通→</v>
      </c>
      <c r="Q121" s="325" t="str">
        <f>IF(E121="","",IF(AND(E121&lt;G121,O121&gt;=1.5),"売り▼",IF(E121&gt;G121,"様子見▲","中立→")))</f>
        <v>中立→</v>
      </c>
      <c r="R121" s="326">
        <f>IF(E121&lt;&gt;"",ROUND(E121*0.92,0),"")</f>
        <v>4724</v>
      </c>
      <c r="S121" s="326">
        <f>IF(E121&lt;&gt;"",ROUND(E121*1.04,0),"")</f>
        <v>5340</v>
      </c>
      <c r="T121" s="325">
        <f>IF(C121="","",IFERROR(IF(W121&gt;=70,3,IF(W121&gt;=60,2,IF(W121&gt;=50,1,0)))+IF(X121&lt;0,2,0)+IF(AD121="下降トレンド▼",3,IF(AD121="もみ合い→",1,0))+IF(V121="年初来安値圏●",3,IF(V121="安値圏",2,0))+IF(Q121="売り▼",2,0)+IF(P121="急増↑↑",2,IF(P121="増加↑",1,0))+IF(Z121&lt;0,1,0)+IF(L121&lt;=-30,2,IF(L121&lt;=-15,1,0))+IF(AE121="25日戻り売り★",2,IF(AE121="5日戻り売り○",1,0))+N(AL121)+N(AP121)+N(AU121),0))</f>
        <v>15</v>
      </c>
      <c r="U121" s="325" t="str">
        <f>IF(T121="","",IF(AND(T121&gt;=3,O121&gt;=1.5),"有効",IF(T121&gt;=3,"要確認","除外")))</f>
        <v>要確認</v>
      </c>
      <c r="V121" s="325" t="str">
        <f>IF(AND(I121&lt;&gt;"",K121&lt;&gt;""),IF(I121&lt;=K121*0.6,"年初来安値圏●",IF(I121&lt;=K121*0.75,"安値圏","通常")),"")</f>
        <v>安値圏</v>
      </c>
      <c r="W121" s="329">
        <f t="array" ref="W121">IFERROR(100-100/(1+SUMPRODUCT((終値!F208:R208&gt;終値!G208:S208)*(終値!F208:R208-終値!G208:S208))/SUMPRODUCT((終値!F208:R208&lt;終値!G208:S208)*(終値!G208:S208-終値!F208:R208))),50)</f>
        <v>26.826826826826832</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-68.3282372561589</v>
      </c>
      <c r="Y121" s="325" t="str">
        <f>IF(AF121="","",AF121&amp;" | "&amp;AD121&amp;IF(AE121&lt;&gt;"なし"," "&amp;AE121,"")&amp;IF(X121&lt;0," MACD-"," MACD+")&amp;" RSI:"&amp;TEXT(W121,"0.0")&amp;IF(W121&gt;=70," [過熱]",IF(W121&lt;=30," [売られ過ぎ]",""))&amp;" 前日比:"&amp;TEXT(Z121,"+0.0;-0.0;0.0")&amp;"%"&amp;IF(V121="年初来安値圏●"," [年初来安値圏]",IF(V121="安値圏"," [安値圏]",""))&amp;IF(OR(AO121="通常",AO121="-"),""," ["&amp;AO121&amp;"]")&amp;IF(OR(AT121="通常",AT121="-"),"","前日["&amp;AT121&amp;"]")&amp;" ["&amp;T121&amp;"点]")</f>
        <v>相場上昇・見送り | 下降トレンド▼ MACD- RSI:26.8 [売られ過ぎ] 前日比:-2.2% [安値圏] [上ヒゲ陰線▼] [15点]</v>
      </c>
      <c r="Z121" s="331">
        <f>IF(AND(E121&lt;&gt;"",G121&lt;&gt;"",G121&lt;&gt;0),(E121-G121)/G121*100,"")</f>
        <v>-2.2277227722772275</v>
      </c>
      <c r="AA121" s="325" t="str">
        <f>IF(OR(C121="",E121="",E121=0),"",IF(E121&gt;G121,"上昇▲",IF(E121&lt;G121,"下落▼","横ばい→")))</f>
        <v>下落▼</v>
      </c>
      <c r="AB121" s="326">
        <f>IF(OR(C121="",C121="TOPX",終値!E208=""),"",IFERROR(((終値!E208*0.333)+(終値!F208*0.222)+(終値!G208*0.148)+(終値!H208*0.099)+(終値!I208*0.066))/(0.333+0.222+0.148+0.099+0.066),""))</f>
        <v>5227.3064516129034</v>
      </c>
      <c r="AC121" s="326">
        <f>IF(OR(C121="",C121="TOPX",終値!E208=""),"",IFERROR(SUMPRODUCT((終値!E208:AC208),{0.077,0.071,0.065,0.06,0.055,0.051,0.047,0.043,0.039,0.036,0.033,0.031,0.028,0.026,0.024,0.022,0.02,0.018,0.017,0.016,0.014,0.013,0.012,0.011,0.01})/SUM({0.077,0.071,0.065,0.06,0.055,0.051,0.047,0.043,0.039,0.036,0.033,0.031,0.028,0.026,0.024,0.022,0.02,0.018,0.017,0.016,0.014,0.013,0.012,0.011,0.01}),""))</f>
        <v>5487.6162097735369</v>
      </c>
      <c r="AD121" s="325" t="str">
        <f>IF(OR(C121="",AB121="",AC121="",AB121=0,AC121=0),"",IF(AND(E121&gt;AB121,AB121&gt;AC121),"パーフェクト▲",IF(E121&gt;AC121,"上昇トレンド▲",IF(AND(E121&lt;AB121,AB121&lt;AC121),"下降トレンド▼","もみ合い→"))))</f>
        <v>下降トレンド▼</v>
      </c>
      <c r="AE121" s="325" t="str">
        <f>IF(OR(C121="",AB121="",AC121=""),"",IF(AND(ABS(E121-AC121)/AC121&lt;=0.02,E121&lt;AC121),"25日戻り売り★",IF(AND(ABS(E121-AB121)/AB121&lt;=0.01,E121&lt;AB121),"5日戻り売り○","なし")))</f>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相場上昇・見送り</v>
      </c>
      <c r="AG121">
        <f>IF(AND(T121&gt;=7,C121&lt;&gt;""),T121,0)</f>
        <v>15</v>
      </c>
      <c r="AH121">
        <f>IF(AG121&gt;0,AG121*10000-ROW(A121),0)</f>
        <v>149879</v>
      </c>
      <c r="AI121" s="373">
        <f t="array" ref="AI121">IF(C121="","",IFERROR((INDEX(終値!$E:$E,MATCH(TEXT(C121,"0"),終値!$A:$A,0))-INDEX(終値!$E:$CZ,MATCH(TEXT(C121,"0"),終値!$A:$A,0),$AN$2))/INDEX(終値!$E:$CZ,MATCH(TEXT(C121,"0"),終値!$A:$A,0),$AN$2)*100,""))</f>
        <v>-13.813360187982546</v>
      </c>
      <c r="AJ121" s="373">
        <f t="array" ref="AJ121">IFERROR((終値!$E$5-INDEX(終値!$E$5:$IT$5,1,$AN$2))/INDEX(終値!$E$5:$IT$5,1,$AN$2)*100,"")</f>
        <v>1.0179378228534113</v>
      </c>
      <c r="AK121" s="374">
        <f>IF(OR(AI121="",AJ121=""),"",AI121-AJ121)</f>
        <v>-14.831298010835958</v>
      </c>
      <c r="AL121" s="372">
        <f>IF(AK121="","",IF(AK121&lt;-5,3,IF(AK121&lt;0,1,IF(AK121&lt;3,-1,-2))))</f>
        <v>3</v>
      </c>
      <c r="AO121" s="376" t="str">
        <f>IF(OR($C121="",$E121="",$F121="",$H121="",$I121="",$H121-$I121&lt;=0),"-",IF(AND($H121-MAX($F121,$E121)&gt;=ABS($E121-$F121)*2,MIN($F121,$E121)-$I121&lt;=ABS($E121-$F121)*0.5,ABS($E121-$F121)&gt;0),"上ヒゲ陰線▼",IF(AND($E121&lt;$F121,ABS($E121-$F121)&gt;=($H121-$I121)*0.7),"大陰線▼",IF(AND(MIN($F121,$E121)-$I121&gt;=($H121-$I121)*0.5,$H121-MAX($F121,$E121)&lt;=($H121-$I121)*0.2),"長い下ヒゲ(反発警戒)","通常"))))</f>
        <v>上ヒゲ陰線▼</v>
      </c>
      <c r="AP121" s="377">
        <f>IF($AO121="上ヒゲ陰線▼",2,IF($AO121="大陰線▼",2,IF($AO121="長い下ヒゲ(反発警戒)",-2,0)))</f>
        <v>2</v>
      </c>
      <c r="AQ121">
        <f>IF(C121&lt;&gt;"",始値!F208,"")</f>
        <v>5356</v>
      </c>
      <c r="AR121">
        <f>IF(C121&lt;&gt;"",高値!F208,"")</f>
        <v>5454</v>
      </c>
      <c r="AS121">
        <f>IF(C121&lt;&gt;"",安値!F208,"")</f>
        <v>5102</v>
      </c>
      <c r="AT121" t="str">
        <f>IF(OR(C121="",AQ121="",AR121="",AS121="",AR121-AS121&lt;=0),"-",IF(AND(AR121-MAX(G121,AQ121)&gt;=ABS(G121-AQ121)*2,MIN(G121,AQ121)-AS121&lt;=ABS(G121-AQ121)*0.5,ABS(G121-AQ121)&gt;0),"上ヒゲ陰線▼",IF(AND(G121&lt;AQ121,ABS(G121-AQ121)&gt;=(AR121-AS121)*0.7),"大陰線▼",IF(AND(MIN(G121,AQ121)-AS121&gt;=(AR121-AS121)*0.5,AR121-MAX(G121,AQ121)&lt;=(AR121-AS121)*0.2),"長い下ヒゲ(反発)","通常"))))</f>
        <v>通常</v>
      </c>
      <c r="AU121">
        <f>IF(AT121="上ヒゲ陰線▼",2,IF(AT121="大陰線▼",2,IF(AT121="長い下ヒゲ(反発)",-2,0)))</f>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1718</v>
      </c>
      <c r="F122" s="333">
        <f>IF(C122&lt;&gt;"",_xll.RssMarket(C122,"始値"),"")</f>
        <v>1681</v>
      </c>
      <c r="G122" s="212">
        <f>IF(C122&lt;&gt;"",終値!F18,"")</f>
        <v>1691</v>
      </c>
      <c r="H122" s="333">
        <f>IF(C122&lt;&gt;"",_xll.RssMarket(C122,"高値"),"")</f>
        <v>1718</v>
      </c>
      <c r="I122" s="333">
        <f>IF(C122&lt;&gt;"",_xll.RssMarket(C122,"安値"),"")</f>
        <v>1622</v>
      </c>
      <c r="J122" s="333">
        <f>IF(C122&lt;&gt;"",_xll.RssMarket(C122,"出来高"),"")</f>
        <v>2647000</v>
      </c>
      <c r="K122" s="333">
        <f>IF(C122&lt;&gt;"",_xll.RssMarket(C122,"年初来高値"),"")</f>
        <v>2819</v>
      </c>
      <c r="L122" s="334">
        <f>IF(AND(E122&lt;&gt;"",K122&lt;&gt;"",K122&lt;&gt;0),(E122-K122)/K122*100,"")</f>
        <v>-39.056402979780067</v>
      </c>
      <c r="M122" s="333">
        <f>IF(C122&lt;&gt;"",IFERROR(AVERAGE(出来高!E18:I18),""),"")</f>
        <v>1610880</v>
      </c>
      <c r="N122" s="333">
        <f>IF(C122&lt;&gt;"",IFERROR(AVERAGE(出来高!E18:AC18),""),"")</f>
        <v>1438195.8333333333</v>
      </c>
      <c r="O122" s="335">
        <f>IF(AND(J122&lt;&gt;"",M122&lt;&gt;"",M122&lt;&gt;0),J122/M122,"")</f>
        <v>1.6432012316249502</v>
      </c>
      <c r="P122" s="212" t="str">
        <f>IF(O122="","",IF(O122&gt;=2,"急増↑↑",IF(O122&gt;=1.5,"増加↑",IF(O122&gt;=1,"普通→","減少↓"))))</f>
        <v>増加↑</v>
      </c>
      <c r="Q122" s="212" t="str">
        <f>IF(E122="","",IF(AND(E122&lt;G122,O122&gt;=1.5),"売り▼",IF(E122&gt;G122,"様子見▲","中立→")))</f>
        <v>様子見▲</v>
      </c>
      <c r="R122" s="333">
        <f>IF(E122&lt;&gt;"",ROUND(E122*0.92,0),"")</f>
        <v>1581</v>
      </c>
      <c r="S122" s="333">
        <f>IF(E122&lt;&gt;"",ROUND(E122*1.04,0),"")</f>
        <v>1787</v>
      </c>
      <c r="T122" s="325">
        <f>IF(C122="","",IFERROR(IF(W122&gt;=70,3,IF(W122&gt;=60,2,IF(W122&gt;=50,1,0)))+IF(X122&lt;0,2,0)+IF(AD122="下降トレンド▼",3,IF(AD122="もみ合い→",1,0))+IF(V122="年初来安値圏●",3,IF(V122="安値圏",2,0))+IF(Q122="売り▼",2,0)+IF(P122="急増↑↑",2,IF(P122="増加↑",1,0))+IF(Z122&lt;0,1,0)+IF(L122&lt;=-30,2,IF(L122&lt;=-15,1,0))+IF(AE122="25日戻り売り★",2,IF(AE122="5日戻り売り○",1,0))+N(AL122)+N(AP122)+N(AU122),0))</f>
        <v>2</v>
      </c>
      <c r="U122" s="212" t="str">
        <f>IF(T122="","",IF(AND(T122&gt;=3,O122&gt;=1.5),"有効",IF(T122&gt;=3,"要確認","除外")))</f>
        <v>除外</v>
      </c>
      <c r="V122" s="212" t="str">
        <f>IF(AND(I122&lt;&gt;"",K122&lt;&gt;""),IF(I122&lt;=K122*0.6,"年初来安値圏●",IF(I122&lt;=K122*0.75,"安値圏","通常")),"")</f>
        <v>年初来安値圏●</v>
      </c>
      <c r="W122" s="336">
        <f t="array" ref="W122">IFERROR(100-100/(1+SUMPRODUCT((終値!F18:R18&gt;終値!G18:S18)*(終値!F18:R18-終値!G18:S18))/SUMPRODUCT((終値!F18:R18&lt;終値!G18:S18)*(終値!G18:S18-終値!F18:R18))),50)</f>
        <v>49.815108293713685</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0.53590604961846111</v>
      </c>
      <c r="Y122" s="212" t="str">
        <f>IF(AF122="","",AF122&amp;" | "&amp;AD122&amp;IF(AE122&lt;&gt;"なし"," "&amp;AE122,"")&amp;IF(X122&lt;0," MACD-"," MACD+")&amp;" RSI:"&amp;TEXT(W122,"0.0")&amp;IF(W122&gt;=70," [過熱]",IF(W122&lt;=30," [売られ過ぎ]",""))&amp;" 前日比:"&amp;TEXT(Z122,"+0.0;-0.0;0.0")&amp;"%"&amp;IF(V122="年初来安値圏●"," [年初来安値圏]",IF(V122="安値圏"," [安値圏]",""))&amp;IF(OR(AO122="通常",AO122="-"),""," ["&amp;AO122&amp;"]")&amp;IF(OR(AT122="通常",AT122="-"),"","前日["&amp;AT122&amp;"]")&amp;" ["&amp;T122&amp;"点]")</f>
        <v>相場上昇・見送り | パーフェクト▲ MACD+ RSI:49.8 前日比:+1.6% [年初来安値圏] [長い下ヒゲ(反発警戒)] [2点]</v>
      </c>
      <c r="Z122" s="338">
        <f>IF(AND(E122&lt;&gt;"",G122&lt;&gt;"",G122&lt;&gt;0),(E122-G122)/G122*100,"")</f>
        <v>1.5966883500887048</v>
      </c>
      <c r="AA122" s="212" t="str">
        <f>IF(OR(C122="",E122="",E122=0),"",IF(E122&gt;G122,"上昇▲",IF(E122&lt;G122,"下落▼","横ばい→")))</f>
        <v>上昇▲</v>
      </c>
      <c r="AB122" s="333">
        <f>IF(OR(C122="",C122="TOPX",終値!E18=""),"",IFERROR(((終値!E18*0.333)+(終値!F18*0.222)+(終値!G18*0.148)+(終値!H18*0.099)+(終値!I18*0.066))/(0.333+0.222+0.148+0.099+0.066),""))</f>
        <v>1711.0092165898618</v>
      </c>
      <c r="AC122" s="333">
        <f>IF(OR(C122="",C122="TOPX",終値!E18=""),"",IFERROR(SUMPRODUCT((終値!E18:AC18),{0.077,0.071,0.065,0.06,0.055,0.051,0.047,0.043,0.039,0.036,0.033,0.031,0.028,0.026,0.024,0.022,0.02,0.018,0.017,0.016,0.014,0.013,0.012,0.011,0.01})/SUM({0.077,0.071,0.065,0.06,0.055,0.051,0.047,0.043,0.039,0.036,0.033,0.031,0.028,0.026,0.024,0.022,0.02,0.018,0.017,0.016,0.014,0.013,0.012,0.011,0.01}),""))</f>
        <v>1640.8998808104875</v>
      </c>
      <c r="AD122" s="212" t="str">
        <f>IF(OR(C122="",AB122="",AC122="",AB122=0,AC122=0),"",IF(AND(E122&gt;AB122,AB122&gt;AC122),"パーフェクト▲",IF(E122&gt;AC122,"上昇トレンド▲",IF(AND(E122&lt;AB122,AB122&lt;AC122),"下降トレンド▼","もみ合い→"))))</f>
        <v>パーフェクト▲</v>
      </c>
      <c r="AE122" s="212" t="str">
        <f>IF(OR(C122="",AB122="",AC122=""),"",IF(AND(ABS(E122-AC122)/AC122&lt;=0.02,E122&lt;AC122),"25日戻り売り★",IF(AND(ABS(E122-AB122)/AB122&lt;=0.01,E122&lt;AB122),"5日戻り売り○","なし")))</f>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相場上昇・見送り</v>
      </c>
      <c r="AG122">
        <f>IF(AND(T122&gt;=7,C122&lt;&gt;""),T122,0)</f>
        <v>0</v>
      </c>
      <c r="AH122">
        <f>IF(AG122&gt;0,AG122*10000-ROW(A122),0)</f>
        <v>0</v>
      </c>
      <c r="AI122" s="373">
        <f t="array" ref="AI122">IF(C122="","",IFERROR((INDEX(終値!$E:$E,MATCH(TEXT(C122,"0"),終値!$A:$A,0))-INDEX(終値!$E:$CZ,MATCH(TEXT(C122,"0"),終値!$A:$A,0),$AN$2))/INDEX(終値!$E:$CZ,MATCH(TEXT(C122,"0"),終値!$A:$A,0),$AN$2)*100,""))</f>
        <v>9.4267515923566894</v>
      </c>
      <c r="AJ122" s="373">
        <f t="array" ref="AJ122">IFERROR((終値!$E$5-INDEX(終値!$E$5:$IT$5,1,$AN$2))/INDEX(終値!$E$5:$IT$5,1,$AN$2)*100,"")</f>
        <v>1.0179378228534113</v>
      </c>
      <c r="AK122" s="374">
        <f>IF(OR(AI122="",AJ122=""),"",AI122-AJ122)</f>
        <v>8.4088137695032774</v>
      </c>
      <c r="AL122" s="372">
        <f>IF(AK122="","",IF(AK122&lt;-5,3,IF(AK122&lt;0,1,IF(AK122&lt;3,-1,-2))))</f>
        <v>-2</v>
      </c>
      <c r="AO122" s="376" t="str">
        <f>IF(OR($C122="",$E122="",$F122="",$H122="",$I122="",$H122-$I122&lt;=0),"-",IF(AND($H122-MAX($F122,$E122)&gt;=ABS($E122-$F122)*2,MIN($F122,$E122)-$I122&lt;=ABS($E122-$F122)*0.5,ABS($E122-$F122)&gt;0),"上ヒゲ陰線▼",IF(AND($E122&lt;$F122,ABS($E122-$F122)&gt;=($H122-$I122)*0.7),"大陰線▼",IF(AND(MIN($F122,$E122)-$I122&gt;=($H122-$I122)*0.5,$H122-MAX($F122,$E122)&lt;=($H122-$I122)*0.2),"長い下ヒゲ(反発警戒)","通常"))))</f>
        <v>長い下ヒゲ(反発警戒)</v>
      </c>
      <c r="AP122" s="377">
        <f>IF($AO122="上ヒゲ陰線▼",2,IF($AO122="大陰線▼",2,IF($AO122="長い下ヒゲ(反発警戒)",-2,0)))</f>
        <v>-2</v>
      </c>
      <c r="AQ122">
        <f>IF(C122&lt;&gt;"",始値!F18,"")</f>
        <v>1701</v>
      </c>
      <c r="AR122">
        <f>IF(C122&lt;&gt;"",高値!F18,"")</f>
        <v>1711</v>
      </c>
      <c r="AS122">
        <f>IF(C122&lt;&gt;"",安値!F18,"")</f>
        <v>1671</v>
      </c>
      <c r="AT122" t="str">
        <f>IF(OR(C122="",AQ122="",AR122="",AS122="",AR122-AS122&lt;=0),"-",IF(AND(AR122-MAX(G122,AQ122)&gt;=ABS(G122-AQ122)*2,MIN(G122,AQ122)-AS122&lt;=ABS(G122-AQ122)*0.5,ABS(G122-AQ122)&gt;0),"上ヒゲ陰線▼",IF(AND(G122&lt;AQ122,ABS(G122-AQ122)&gt;=(AR122-AS122)*0.7),"大陰線▼",IF(AND(MIN(G122,AQ122)-AS122&gt;=(AR122-AS122)*0.5,AR122-MAX(G122,AQ122)&lt;=(AR122-AS122)*0.2),"長い下ヒゲ(反発)","通常"))))</f>
        <v>通常</v>
      </c>
      <c r="AU122">
        <f>IF(AT122="上ヒゲ陰線▼",2,IF(AT122="大陰線▼",2,IF(AT122="長い下ヒゲ(反発)",-2,0)))</f>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873.8</v>
      </c>
      <c r="F123" s="326">
        <f>IF(C123&lt;&gt;"",_xll.RssMarket(C123,"始値"),"")</f>
        <v>867.3</v>
      </c>
      <c r="G123" s="325">
        <f>IF(C123&lt;&gt;"",終値!F41,"")</f>
        <v>852.3</v>
      </c>
      <c r="H123" s="326">
        <f>IF(C123&lt;&gt;"",_xll.RssMarket(C123,"高値"),"")</f>
        <v>875.8</v>
      </c>
      <c r="I123" s="326">
        <f>IF(C123&lt;&gt;"",_xll.RssMarket(C123,"安値"),"")</f>
        <v>857.8</v>
      </c>
      <c r="J123" s="326">
        <f>IF(C123&lt;&gt;"",_xll.RssMarket(C123,"出来高"),"")</f>
        <v>4520900</v>
      </c>
      <c r="K123" s="326">
        <f>IF(C123&lt;&gt;"",_xll.RssMarket(C123,"年初来高値"),"")</f>
        <v>990.7</v>
      </c>
      <c r="L123" s="327">
        <f>IF(AND(E123&lt;&gt;"",K123&lt;&gt;"",K123&lt;&gt;0),(E123-K123)/K123*100,"")</f>
        <v>-11.799737559301512</v>
      </c>
      <c r="M123" s="326">
        <f>IF(C123&lt;&gt;"",IFERROR(AVERAGE(出来高!E41:I41),""),"")</f>
        <v>5639660</v>
      </c>
      <c r="N123" s="326">
        <f>IF(C123&lt;&gt;"",IFERROR(AVERAGE(出来高!E41:AC41),""),"")</f>
        <v>3777408</v>
      </c>
      <c r="O123" s="328">
        <f>IF(AND(J123&lt;&gt;"",M123&lt;&gt;"",M123&lt;&gt;0),J123/M123,"")</f>
        <v>0.80162633917647519</v>
      </c>
      <c r="P123" s="325" t="str">
        <f>IF(O123="","",IF(O123&gt;=2,"急増↑↑",IF(O123&gt;=1.5,"増加↑",IF(O123&gt;=1,"普通→","減少↓"))))</f>
        <v>減少↓</v>
      </c>
      <c r="Q123" s="325" t="str">
        <f>IF(E123="","",IF(AND(E123&lt;G123,O123&gt;=1.5),"売り▼",IF(E123&gt;G123,"様子見▲","中立→")))</f>
        <v>様子見▲</v>
      </c>
      <c r="R123" s="326">
        <f>IF(E123&lt;&gt;"",ROUND(E123*0.92,0),"")</f>
        <v>804</v>
      </c>
      <c r="S123" s="326">
        <f>IF(E123&lt;&gt;"",ROUND(E123*1.04,0),"")</f>
        <v>909</v>
      </c>
      <c r="T123" s="325">
        <f>IF(C123="","",IFERROR(IF(W123&gt;=70,3,IF(W123&gt;=60,2,IF(W123&gt;=50,1,0)))+IF(X123&lt;0,2,0)+IF(AD123="下降トレンド▼",3,IF(AD123="もみ合い→",1,0))+IF(V123="年初来安値圏●",3,IF(V123="安値圏",2,0))+IF(Q123="売り▼",2,0)+IF(P123="急増↑↑",2,IF(P123="増加↑",1,0))+IF(Z123&lt;0,1,0)+IF(L123&lt;=-30,2,IF(L123&lt;=-15,1,0))+IF(AE123="25日戻り売り★",2,IF(AE123="5日戻り売り○",1,0))+N(AL123)+N(AP123)+N(AU123),0))</f>
        <v>-3</v>
      </c>
      <c r="U123" s="325" t="str">
        <f>IF(T123="","",IF(AND(T123&gt;=3,O123&gt;=1.5),"有効",IF(T123&gt;=3,"要確認","除外")))</f>
        <v>除外</v>
      </c>
      <c r="V123" s="325" t="str">
        <f>IF(AND(I123&lt;&gt;"",K123&lt;&gt;""),IF(I123&lt;=K123*0.6,"年初来安値圏●",IF(I123&lt;=K123*0.75,"安値圏","通常")),"")</f>
        <v>通常</v>
      </c>
      <c r="W123" s="329">
        <f t="array" ref="W123">IFERROR(100-100/(1+SUMPRODUCT((終値!F41:R41&gt;終値!G41:S41)*(終値!F41:R41-終値!G41:S41))/SUMPRODUCT((終値!F41:R41&lt;終値!G41:S41)*(終値!G41:S41-終値!F41:R41))),50)</f>
        <v>59.553158705701044</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7.2237467112989862</v>
      </c>
      <c r="Y123" s="325" t="str">
        <f>IF(AF123="","",AF123&amp;" | "&amp;AD123&amp;IF(AE123&lt;&gt;"なし"," "&amp;AE123,"")&amp;IF(X123&lt;0," MACD-"," MACD+")&amp;" RSI:"&amp;TEXT(W123,"0.0")&amp;IF(W123&gt;=70," [過熱]",IF(W123&lt;=30," [売られ過ぎ]",""))&amp;" 前日比:"&amp;TEXT(Z123,"+0.0;-0.0;0.0")&amp;"%"&amp;IF(V123="年初来安値圏●"," [年初来安値圏]",IF(V123="安値圏"," [安値圏]",""))&amp;IF(OR(AO123="通常",AO123="-"),""," ["&amp;AO123&amp;"]")&amp;IF(OR(AT123="通常",AT123="-"),"","前日["&amp;AT123&amp;"]")&amp;" ["&amp;T123&amp;"点]")</f>
        <v>相場上昇・見送り | パーフェクト▲ MACD+ RSI:59.6 前日比:+2.5% [長い下ヒゲ(反発警戒)] [-3点]</v>
      </c>
      <c r="Z123" s="331">
        <f>IF(AND(E123&lt;&gt;"",G123&lt;&gt;"",G123&lt;&gt;0),(E123-G123)/G123*100,"")</f>
        <v>2.5225859439164613</v>
      </c>
      <c r="AA123" s="325" t="str">
        <f>IF(OR(C123="",E123="",E123=0),"",IF(E123&gt;G123,"上昇▲",IF(E123&lt;G123,"下落▼","横ばい→")))</f>
        <v>上昇▲</v>
      </c>
      <c r="AB123" s="326">
        <f>IF(OR(C123="",C123="TOPX",終値!E41=""),"",IFERROR(((終値!E41*0.333)+(終値!F41*0.222)+(終値!G41*0.148)+(終値!H41*0.099)+(終値!I41*0.066))/(0.333+0.222+0.148+0.099+0.066),""))</f>
        <v>868.83790322580637</v>
      </c>
      <c r="AC123" s="326">
        <f>IF(OR(C123="",C123="TOPX",終値!E41=""),"",IFERROR(SUMPRODUCT((終値!E41:AC41),{0.077,0.071,0.065,0.06,0.055,0.051,0.047,0.043,0.039,0.036,0.033,0.031,0.028,0.026,0.024,0.022,0.02,0.018,0.017,0.016,0.014,0.013,0.012,0.011,0.01})/SUM({0.077,0.071,0.065,0.06,0.055,0.051,0.047,0.043,0.039,0.036,0.033,0.031,0.028,0.026,0.024,0.022,0.02,0.018,0.017,0.016,0.014,0.013,0.012,0.011,0.01}),""))</f>
        <v>861.56233611442167</v>
      </c>
      <c r="AD123" s="325" t="str">
        <f>IF(OR(C123="",AB123="",AC123="",AB123=0,AC123=0),"",IF(AND(E123&gt;AB123,AB123&gt;AC123),"パーフェクト▲",IF(E123&gt;AC123,"上昇トレンド▲",IF(AND(E123&lt;AB123,AB123&lt;AC123),"下降トレンド▼","もみ合い→"))))</f>
        <v>パーフェクト▲</v>
      </c>
      <c r="AE123" s="325" t="str">
        <f>IF(OR(C123="",AB123="",AC123=""),"",IF(AND(ABS(E123-AC123)/AC123&lt;=0.02,E123&lt;AC123),"25日戻り売り★",IF(AND(ABS(E123-AB123)/AB123&lt;=0.01,E123&lt;AB123),"5日戻り売り○","なし")))</f>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相場上昇・見送り</v>
      </c>
      <c r="AG123">
        <f>IF(AND(T123&gt;=7,C123&lt;&gt;""),T123,0)</f>
        <v>0</v>
      </c>
      <c r="AH123">
        <f>IF(AG123&gt;0,AG123*10000-ROW(A123),0)</f>
        <v>0</v>
      </c>
      <c r="AI123" s="373">
        <f t="array" ref="AI123">IF(C123="","",IFERROR((INDEX(終値!$E:$E,MATCH(TEXT(C123,"0"),終値!$A:$A,0))-INDEX(終値!$E:$CZ,MATCH(TEXT(C123,"0"),終値!$A:$A,0),$AN$2))/INDEX(終値!$E:$CZ,MATCH(TEXT(C123,"0"),終値!$A:$A,0),$AN$2)*100,""))</f>
        <v>9.9672791341555413</v>
      </c>
      <c r="AJ123" s="373">
        <f t="array" ref="AJ123">IFERROR((終値!$E$5-INDEX(終値!$E$5:$IT$5,1,$AN$2))/INDEX(終値!$E$5:$IT$5,1,$AN$2)*100,"")</f>
        <v>1.0179378228534113</v>
      </c>
      <c r="AK123" s="374">
        <f>IF(OR(AI123="",AJ123=""),"",AI123-AJ123)</f>
        <v>8.9493413113021294</v>
      </c>
      <c r="AL123" s="372">
        <f>IF(AK123="","",IF(AK123&lt;-5,3,IF(AK123&lt;0,1,IF(AK123&lt;3,-1,-2))))</f>
        <v>-2</v>
      </c>
      <c r="AO123" s="376" t="str">
        <f>IF(OR($C123="",$E123="",$F123="",$H123="",$I123="",$H123-$I123&lt;=0),"-",IF(AND($H123-MAX($F123,$E123)&gt;=ABS($E123-$F123)*2,MIN($F123,$E123)-$I123&lt;=ABS($E123-$F123)*0.5,ABS($E123-$F123)&gt;0),"上ヒゲ陰線▼",IF(AND($E123&lt;$F123,ABS($E123-$F123)&gt;=($H123-$I123)*0.7),"大陰線▼",IF(AND(MIN($F123,$E123)-$I123&gt;=($H123-$I123)*0.5,$H123-MAX($F123,$E123)&lt;=($H123-$I123)*0.2),"長い下ヒゲ(反発警戒)","通常"))))</f>
        <v>長い下ヒゲ(反発警戒)</v>
      </c>
      <c r="AP123" s="377">
        <f>IF($AO123="上ヒゲ陰線▼",2,IF($AO123="大陰線▼",2,IF($AO123="長い下ヒゲ(反発警戒)",-2,0)))</f>
        <v>-2</v>
      </c>
      <c r="AQ123">
        <f>IF(C123&lt;&gt;"",始値!F41,"")</f>
        <v>864.3</v>
      </c>
      <c r="AR123">
        <f>IF(C123&lt;&gt;"",高値!F41,"")</f>
        <v>878.1</v>
      </c>
      <c r="AS123">
        <f>IF(C123&lt;&gt;"",安値!F41,"")</f>
        <v>842.5</v>
      </c>
      <c r="AT123" t="str">
        <f>IF(OR(C123="",AQ123="",AR123="",AS123="",AR123-AS123&lt;=0),"-",IF(AND(AR123-MAX(G123,AQ123)&gt;=ABS(G123-AQ123)*2,MIN(G123,AQ123)-AS123&lt;=ABS(G123-AQ123)*0.5,ABS(G123-AQ123)&gt;0),"上ヒゲ陰線▼",IF(AND(G123&lt;AQ123,ABS(G123-AQ123)&gt;=(AR123-AS123)*0.7),"大陰線▼",IF(AND(MIN(G123,AQ123)-AS123&gt;=(AR123-AS123)*0.5,AR123-MAX(G123,AQ123)&lt;=(AR123-AS123)*0.2),"長い下ヒゲ(反発)","通常"))))</f>
        <v>通常</v>
      </c>
      <c r="AU123">
        <f>IF(AT123="上ヒゲ陰線▼",2,IF(AT123="大陰線▼",2,IF(AT123="長い下ヒゲ(反発)",-2,0)))</f>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3763</v>
      </c>
      <c r="F124" s="333">
        <f>IF(C124&lt;&gt;"",_xll.RssMarket(C124,"始値"),"")</f>
        <v>3738</v>
      </c>
      <c r="G124" s="212">
        <f>IF(C124&lt;&gt;"",終値!F64,"")</f>
        <v>3714</v>
      </c>
      <c r="H124" s="333">
        <f>IF(C124&lt;&gt;"",_xll.RssMarket(C124,"高値"),"")</f>
        <v>3800</v>
      </c>
      <c r="I124" s="333">
        <f>IF(C124&lt;&gt;"",_xll.RssMarket(C124,"安値"),"")</f>
        <v>3717</v>
      </c>
      <c r="J124" s="333">
        <f>IF(C124&lt;&gt;"",_xll.RssMarket(C124,"出来高"),"")</f>
        <v>521500</v>
      </c>
      <c r="K124" s="333">
        <f>IF(C124&lt;&gt;"",_xll.RssMarket(C124,"年初来高値"),"")</f>
        <v>4403</v>
      </c>
      <c r="L124" s="334">
        <f>IF(AND(E124&lt;&gt;"",K124&lt;&gt;"",K124&lt;&gt;0),(E124-K124)/K124*100,"")</f>
        <v>-14.535543947308655</v>
      </c>
      <c r="M124" s="333">
        <f>IF(C124&lt;&gt;"",IFERROR(AVERAGE(出来高!E64:I64),""),"")</f>
        <v>437000</v>
      </c>
      <c r="N124" s="333">
        <f>IF(C124&lt;&gt;"",IFERROR(AVERAGE(出来高!E64:AC64),""),"")</f>
        <v>366056</v>
      </c>
      <c r="O124" s="335">
        <f>IF(AND(J124&lt;&gt;"",M124&lt;&gt;"",M124&lt;&gt;0),J124/M124,"")</f>
        <v>1.1933638443935928</v>
      </c>
      <c r="P124" s="212" t="str">
        <f>IF(O124="","",IF(O124&gt;=2,"急増↑↑",IF(O124&gt;=1.5,"増加↑",IF(O124&gt;=1,"普通→","減少↓"))))</f>
        <v>普通→</v>
      </c>
      <c r="Q124" s="212" t="str">
        <f>IF(E124="","",IF(AND(E124&lt;G124,O124&gt;=1.5),"売り▼",IF(E124&gt;G124,"様子見▲","中立→")))</f>
        <v>様子見▲</v>
      </c>
      <c r="R124" s="333">
        <f>IF(E124&lt;&gt;"",ROUND(E124*0.92,0),"")</f>
        <v>3462</v>
      </c>
      <c r="S124" s="333">
        <f>IF(E124&lt;&gt;"",ROUND(E124*1.04,0),"")</f>
        <v>3914</v>
      </c>
      <c r="T124" s="325">
        <f>IF(C124="","",IFERROR(IF(W124&gt;=70,3,IF(W124&gt;=60,2,IF(W124&gt;=50,1,0)))+IF(X124&lt;0,2,0)+IF(AD124="下降トレンド▼",3,IF(AD124="もみ合い→",1,0))+IF(V124="年初来安値圏●",3,IF(V124="安値圏",2,0))+IF(Q124="売り▼",2,0)+IF(P124="急増↑↑",2,IF(P124="増加↑",1,0))+IF(Z124&lt;0,1,0)+IF(L124&lt;=-30,2,IF(L124&lt;=-15,1,0))+IF(AE124="25日戻り売り★",2,IF(AE124="5日戻り売り○",1,0))+N(AL124)+N(AP124)+N(AU124),0))</f>
        <v>4</v>
      </c>
      <c r="U124" s="212" t="str">
        <f>IF(T124="","",IF(AND(T124&gt;=3,O124&gt;=1.5),"有効",IF(T124&gt;=3,"要確認","除外")))</f>
        <v>要確認</v>
      </c>
      <c r="V124" s="212" t="str">
        <f>IF(AND(I124&lt;&gt;"",K124&lt;&gt;""),IF(I124&lt;=K124*0.6,"年初来安値圏●",IF(I124&lt;=K124*0.75,"安値圏","通常")),"")</f>
        <v>通常</v>
      </c>
      <c r="W124" s="336">
        <f t="array" ref="W124">IFERROR(100-100/(1+SUMPRODUCT((終値!F64:R64&gt;終値!G64:S64)*(終値!F64:R64-終値!G64:S64))/SUMPRODUCT((終値!F64:R64&lt;終値!G64:S64)*(終値!G64:S64-終値!F64:R64))),50)</f>
        <v>40.1673640167364</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-2.9870302779422673</v>
      </c>
      <c r="Y124" s="212" t="str">
        <f>IF(AF124="","",AF124&amp;" | "&amp;AD124&amp;IF(AE124&lt;&gt;"なし"," "&amp;AE124,"")&amp;IF(X124&lt;0," MACD-"," MACD+")&amp;" RSI:"&amp;TEXT(W124,"0.0")&amp;IF(W124&gt;=70," [過熱]",IF(W124&lt;=30," [売られ過ぎ]",""))&amp;" 前日比:"&amp;TEXT(Z124,"+0.0;-0.0;0.0")&amp;"%"&amp;IF(V124="年初来安値圏●"," [年初来安値圏]",IF(V124="安値圏"," [安値圏]",""))&amp;IF(OR(AO124="通常",AO124="-"),""," ["&amp;AO124&amp;"]")&amp;IF(OR(AT124="通常",AT124="-"),"","前日["&amp;AT124&amp;"]")&amp;" ["&amp;T124&amp;"点]")</f>
        <v>○逆張り売り | もみ合い→ 25日戻り売り★ MACD- RSI:40.2 前日比:+1.3% [4点]</v>
      </c>
      <c r="Z124" s="338">
        <f>IF(AND(E124&lt;&gt;"",G124&lt;&gt;"",G124&lt;&gt;0),(E124-G124)/G124*100,"")</f>
        <v>1.3193322563274097</v>
      </c>
      <c r="AA124" s="212" t="str">
        <f>IF(OR(C124="",E124="",E124=0),"",IF(E124&gt;G124,"上昇▲",IF(E124&lt;G124,"下落▼","横ばい→")))</f>
        <v>上昇▲</v>
      </c>
      <c r="AB124" s="333">
        <f>IF(OR(C124="",C124="TOPX",終値!E64=""),"",IFERROR(((終値!E64*0.333)+(終値!F64*0.222)+(終値!G64*0.148)+(終値!H64*0.099)+(終値!I64*0.066))/(0.333+0.222+0.148+0.099+0.066),""))</f>
        <v>3758.3352534562214</v>
      </c>
      <c r="AC124" s="333">
        <f>IF(OR(C124="",C124="TOPX",終値!E64=""),"",IFERROR(SUMPRODUCT((終値!E64:AC64),{0.077,0.071,0.065,0.06,0.055,0.051,0.047,0.043,0.039,0.036,0.033,0.031,0.028,0.026,0.024,0.022,0.02,0.018,0.017,0.016,0.014,0.013,0.012,0.011,0.01})/SUM({0.077,0.071,0.065,0.06,0.055,0.051,0.047,0.043,0.039,0.036,0.033,0.031,0.028,0.026,0.024,0.022,0.02,0.018,0.017,0.016,0.014,0.013,0.012,0.011,0.01}),""))</f>
        <v>3830.9129916567326</v>
      </c>
      <c r="AD124" s="212" t="str">
        <f>IF(OR(C124="",AB124="",AC124="",AB124=0,AC124=0),"",IF(AND(E124&gt;AB124,AB124&gt;AC124),"パーフェクト▲",IF(E124&gt;AC124,"上昇トレンド▲",IF(AND(E124&lt;AB124,AB124&lt;AC124),"下降トレンド▼","もみ合い→"))))</f>
        <v>もみ合い→</v>
      </c>
      <c r="AE124" s="212" t="str">
        <f>IF(OR(C124="",AB124="",AC124=""),"",IF(AND(ABS(E124-AC124)/AC124&lt;=0.02,E124&lt;AC124),"25日戻り売り★",IF(AND(ABS(E124-AB124)/AB124&lt;=0.01,E124&lt;AB124),"5日戻り売り○","なし")))</f>
        <v>25日戻り売り★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○逆張り売り</v>
      </c>
      <c r="AG124">
        <f>IF(AND(T124&gt;=7,C124&lt;&gt;""),T124,0)</f>
        <v>0</v>
      </c>
      <c r="AH124">
        <f>IF(AG124&gt;0,AG124*10000-ROW(A124),0)</f>
        <v>0</v>
      </c>
      <c r="AI124" s="373">
        <f t="array" ref="AI124">IF(C124="","",IFERROR((INDEX(終値!$E:$E,MATCH(TEXT(C124,"0"),終値!$A:$A,0))-INDEX(終値!$E:$CZ,MATCH(TEXT(C124,"0"),終値!$A:$A,0),$AN$2))/INDEX(終値!$E:$CZ,MATCH(TEXT(C124,"0"),終値!$A:$A,0),$AN$2)*100,""))</f>
        <v>1.7577068685776096</v>
      </c>
      <c r="AJ124" s="373">
        <f t="array" ref="AJ124">IFERROR((終値!$E$5-INDEX(終値!$E$5:$IT$5,1,$AN$2))/INDEX(終値!$E$5:$IT$5,1,$AN$2)*100,"")</f>
        <v>1.0179378228534113</v>
      </c>
      <c r="AK124" s="374">
        <f>IF(OR(AI124="",AJ124=""),"",AI124-AJ124)</f>
        <v>0.73976904572419833</v>
      </c>
      <c r="AL124" s="372">
        <f>IF(AK124="","",IF(AK124&lt;-5,3,IF(AK124&lt;0,1,IF(AK124&lt;3,-1,-2))))</f>
        <v>-1</v>
      </c>
      <c r="AO124" s="376" t="str">
        <f>IF(OR($C124="",$E124="",$F124="",$H124="",$I124="",$H124-$I124&lt;=0),"-",IF(AND($H124-MAX($F124,$E124)&gt;=ABS($E124-$F124)*2,MIN($F124,$E124)-$I124&lt;=ABS($E124-$F124)*0.5,ABS($E124-$F124)&gt;0),"上ヒゲ陰線▼",IF(AND($E124&lt;$F124,ABS($E124-$F124)&gt;=($H124-$I124)*0.7),"大陰線▼",IF(AND(MIN($F124,$E124)-$I124&gt;=($H124-$I124)*0.5,$H124-MAX($F124,$E124)&lt;=($H124-$I124)*0.2),"長い下ヒゲ(反発警戒)","通常"))))</f>
        <v>通常</v>
      </c>
      <c r="AP124" s="377">
        <f>IF($AO124="上ヒゲ陰線▼",2,IF($AO124="大陰線▼",2,IF($AO124="長い下ヒゲ(反発警戒)",-2,0)))</f>
        <v>0</v>
      </c>
      <c r="AQ124">
        <f>IF(C124&lt;&gt;"",始値!F64,"")</f>
        <v>3754</v>
      </c>
      <c r="AR124">
        <f>IF(C124&lt;&gt;"",高値!F64,"")</f>
        <v>3770</v>
      </c>
      <c r="AS124">
        <f>IF(C124&lt;&gt;"",安値!F64,"")</f>
        <v>3702</v>
      </c>
      <c r="AT124" t="str">
        <f>IF(OR(C124="",AQ124="",AR124="",AS124="",AR124-AS124&lt;=0),"-",IF(AND(AR124-MAX(G124,AQ124)&gt;=ABS(G124-AQ124)*2,MIN(G124,AQ124)-AS124&lt;=ABS(G124-AQ124)*0.5,ABS(G124-AQ124)&gt;0),"上ヒゲ陰線▼",IF(AND(G124&lt;AQ124,ABS(G124-AQ124)&gt;=(AR124-AS124)*0.7),"大陰線▼",IF(AND(MIN(G124,AQ124)-AS124&gt;=(AR124-AS124)*0.5,AR124-MAX(G124,AQ124)&lt;=(AR124-AS124)*0.2),"長い下ヒゲ(反発)","通常"))))</f>
        <v>通常</v>
      </c>
      <c r="AU124">
        <f>IF(AT124="上ヒゲ陰線▼",2,IF(AT124="大陰線▼",2,IF(AT124="長い下ヒゲ(反発)",-2,0)))</f>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1876</v>
      </c>
      <c r="F125" s="326">
        <f>IF(C125&lt;&gt;"",_xll.RssMarket(C125,"始値"),"")</f>
        <v>1856</v>
      </c>
      <c r="G125" s="325">
        <f>IF(C125&lt;&gt;"",終値!F67,"")</f>
        <v>1855.5</v>
      </c>
      <c r="H125" s="326">
        <f>IF(C125&lt;&gt;"",_xll.RssMarket(C125,"高値"),"")</f>
        <v>1910</v>
      </c>
      <c r="I125" s="326">
        <f>IF(C125&lt;&gt;"",_xll.RssMarket(C125,"安値"),"")</f>
        <v>1851.5</v>
      </c>
      <c r="J125" s="326">
        <f>IF(C125&lt;&gt;"",_xll.RssMarket(C125,"出来高"),"")</f>
        <v>903500</v>
      </c>
      <c r="K125" s="326">
        <f>IF(C125&lt;&gt;"",_xll.RssMarket(C125,"年初来高値"),"")</f>
        <v>2254</v>
      </c>
      <c r="L125" s="327">
        <f>IF(AND(E125&lt;&gt;"",K125&lt;&gt;"",K125&lt;&gt;0),(E125-K125)/K125*100,"")</f>
        <v>-16.770186335403729</v>
      </c>
      <c r="M125" s="326">
        <f>IF(C125&lt;&gt;"",IFERROR(AVERAGE(出来高!E67:I67),""),"")</f>
        <v>1009340</v>
      </c>
      <c r="N125" s="326">
        <f>IF(C125&lt;&gt;"",IFERROR(AVERAGE(出来高!E67:AC67),""),"")</f>
        <v>1166095.8333333333</v>
      </c>
      <c r="O125" s="328">
        <f>IF(AND(J125&lt;&gt;"",M125&lt;&gt;"",M125&lt;&gt;0),J125/M125,"")</f>
        <v>0.89513939802247011</v>
      </c>
      <c r="P125" s="325" t="str">
        <f>IF(O125="","",IF(O125&gt;=2,"急増↑↑",IF(O125&gt;=1.5,"増加↑",IF(O125&gt;=1,"普通→","減少↓"))))</f>
        <v>減少↓</v>
      </c>
      <c r="Q125" s="325" t="str">
        <f>IF(E125="","",IF(AND(E125&lt;G125,O125&gt;=1.5),"売り▼",IF(E125&gt;G125,"様子見▲","中立→")))</f>
        <v>様子見▲</v>
      </c>
      <c r="R125" s="326">
        <f>IF(E125&lt;&gt;"",ROUND(E125*0.92,0),"")</f>
        <v>1726</v>
      </c>
      <c r="S125" s="326">
        <f>IF(E125&lt;&gt;"",ROUND(E125*1.04,0),"")</f>
        <v>1951</v>
      </c>
      <c r="T125" s="325">
        <f>IF(C125="","",IFERROR(IF(W125&gt;=70,3,IF(W125&gt;=60,2,IF(W125&gt;=50,1,0)))+IF(X125&lt;0,2,0)+IF(AD125="下降トレンド▼",3,IF(AD125="もみ合い→",1,0))+IF(V125="年初来安値圏●",3,IF(V125="安値圏",2,0))+IF(Q125="売り▼",2,0)+IF(P125="急増↑↑",2,IF(P125="増加↑",1,0))+IF(Z125&lt;0,1,0)+IF(L125&lt;=-30,2,IF(L125&lt;=-15,1,0))+IF(AE125="25日戻り売り★",2,IF(AE125="5日戻り売り○",1,0))+N(AL125)+N(AP125)+N(AU125),0))</f>
        <v>9</v>
      </c>
      <c r="U125" s="325" t="str">
        <f>IF(T125="","",IF(AND(T125&gt;=3,O125&gt;=1.5),"有効",IF(T125&gt;=3,"要確認","除外")))</f>
        <v>要確認</v>
      </c>
      <c r="V125" s="325" t="str">
        <f>IF(AND(I125&lt;&gt;"",K125&lt;&gt;""),IF(I125&lt;=K125*0.6,"年初来安値圏●",IF(I125&lt;=K125*0.75,"安値圏","通常")),"")</f>
        <v>通常</v>
      </c>
      <c r="W125" s="329">
        <f t="array" ref="W125">IFERROR(100-100/(1+SUMPRODUCT((終値!F67:R67&gt;終値!G67:S67)*(終値!F67:R67-終値!G67:S67))/SUMPRODUCT((終値!F67:R67&lt;終値!G67:S67)*(終値!G67:S67-終値!F67:R67))),50)</f>
        <v>47.153623188405795</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-43.355476259657053</v>
      </c>
      <c r="Y125" s="325" t="str">
        <f>IF(AF125="","",AF125&amp;" | "&amp;AD125&amp;IF(AE125&lt;&gt;"なし"," "&amp;AE125,"")&amp;IF(X125&lt;0," MACD-"," MACD+")&amp;" RSI:"&amp;TEXT(W125,"0.0")&amp;IF(W125&gt;=70," [過熱]",IF(W125&lt;=30," [売られ過ぎ]",""))&amp;" 前日比:"&amp;TEXT(Z125,"+0.0;-0.0;0.0")&amp;"%"&amp;IF(V125="年初来安値圏●"," [年初来安値圏]",IF(V125="安値圏"," [安値圏]",""))&amp;IF(OR(AO125="通常",AO125="-"),""," ["&amp;AO125&amp;"]")&amp;IF(OR(AT125="通常",AT125="-"),"","前日["&amp;AT125&amp;"]")&amp;" ["&amp;T125&amp;"点]")</f>
        <v>○逆張り売り | もみ合い→ 25日戻り売り★ MACD- RSI:47.2 前日比:+1.1% [9点]</v>
      </c>
      <c r="Z125" s="331">
        <f>IF(AND(E125&lt;&gt;"",G125&lt;&gt;"",G125&lt;&gt;0),(E125-G125)/G125*100,"")</f>
        <v>1.1048234977095122</v>
      </c>
      <c r="AA125" s="325" t="str">
        <f>IF(OR(C125="",E125="",E125=0),"",IF(E125&gt;G125,"上昇▲",IF(E125&lt;G125,"下落▼","横ばい→")))</f>
        <v>上昇▲</v>
      </c>
      <c r="AB125" s="326">
        <f>IF(OR(C125="",C125="TOPX",終値!E67=""),"",IFERROR(((終値!E67*0.333)+(終値!F67*0.222)+(終値!G67*0.148)+(終値!H67*0.099)+(終値!I67*0.066))/(0.333+0.222+0.148+0.099+0.066),""))</f>
        <v>1869.5437788018432</v>
      </c>
      <c r="AC125" s="326">
        <f>IF(OR(C125="",C125="TOPX",終値!E67=""),"",IFERROR(SUMPRODUCT((終値!E67:AC67),{0.077,0.071,0.065,0.06,0.055,0.051,0.047,0.043,0.039,0.036,0.033,0.031,0.028,0.026,0.024,0.022,0.02,0.018,0.017,0.016,0.014,0.013,0.012,0.011,0.01})/SUM({0.077,0.071,0.065,0.06,0.055,0.051,0.047,0.043,0.039,0.036,0.033,0.031,0.028,0.026,0.024,0.022,0.02,0.018,0.017,0.016,0.014,0.013,0.012,0.011,0.01}),""))</f>
        <v>1891.2920143027409</v>
      </c>
      <c r="AD125" s="325" t="str">
        <f>IF(OR(C125="",AB125="",AC125="",AB125=0,AC125=0),"",IF(AND(E125&gt;AB125,AB125&gt;AC125),"パーフェクト▲",IF(E125&gt;AC125,"上昇トレンド▲",IF(AND(E125&lt;AB125,AB125&lt;AC125),"下降トレンド▼","もみ合い→"))))</f>
        <v>もみ合い→</v>
      </c>
      <c r="AE125" s="325" t="str">
        <f>IF(OR(C125="",AB125="",AC125=""),"",IF(AND(ABS(E125-AC125)/AC125&lt;=0.02,E125&lt;AC125),"25日戻り売り★",IF(AND(ABS(E125-AB125)/AB125&lt;=0.01,E125&lt;AB125),"5日戻り売り○","なし")))</f>
        <v>25日戻り売り★</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○逆張り売り</v>
      </c>
      <c r="AG125">
        <f>IF(AND(T125&gt;=7,C125&lt;&gt;""),T125,0)</f>
        <v>9</v>
      </c>
      <c r="AH125">
        <f>IF(AG125&gt;0,AG125*10000-ROW(A125),0)</f>
        <v>89875</v>
      </c>
      <c r="AI125" s="373">
        <f t="array" ref="AI125">IF(C125="","",IFERROR((INDEX(終値!$E:$E,MATCH(TEXT(C125,"0"),終値!$A:$A,0))-INDEX(終値!$E:$CZ,MATCH(TEXT(C125,"0"),終値!$A:$A,0),$AN$2))/INDEX(終値!$E:$CZ,MATCH(TEXT(C125,"0"),終値!$A:$A,0),$AN$2)*100,""))</f>
        <v>-12.110564535019911</v>
      </c>
      <c r="AJ125" s="373">
        <f t="array" ref="AJ125">IFERROR((終値!$E$5-INDEX(終値!$E$5:$IT$5,1,$AN$2))/INDEX(終値!$E$5:$IT$5,1,$AN$2)*100,"")</f>
        <v>1.0179378228534113</v>
      </c>
      <c r="AK125" s="374">
        <f>IF(OR(AI125="",AJ125=""),"",AI125-AJ125)</f>
        <v>-13.128502357873323</v>
      </c>
      <c r="AL125" s="372">
        <f>IF(AK125="","",IF(AK125&lt;-5,3,IF(AK125&lt;0,1,IF(AK125&lt;3,-1,-2))))</f>
        <v>3</v>
      </c>
      <c r="AO125" s="376" t="str">
        <f>IF(OR($C125="",$E125="",$F125="",$H125="",$I125="",$H125-$I125&lt;=0),"-",IF(AND($H125-MAX($F125,$E125)&gt;=ABS($E125-$F125)*2,MIN($F125,$E125)-$I125&lt;=ABS($E125-$F125)*0.5,ABS($E125-$F125)&gt;0),"上ヒゲ陰線▼",IF(AND($E125&lt;$F125,ABS($E125-$F125)&gt;=($H125-$I125)*0.7),"大陰線▼",IF(AND(MIN($F125,$E125)-$I125&gt;=($H125-$I125)*0.5,$H125-MAX($F125,$E125)&lt;=($H125-$I125)*0.2),"長い下ヒゲ(反発警戒)","通常"))))</f>
        <v>通常</v>
      </c>
      <c r="AP125" s="377">
        <f>IF($AO125="上ヒゲ陰線▼",2,IF($AO125="大陰線▼",2,IF($AO125="長い下ヒゲ(反発警戒)",-2,0)))</f>
        <v>0</v>
      </c>
      <c r="AQ125">
        <f>IF(C125&lt;&gt;"",始値!F67,"")</f>
        <v>1860</v>
      </c>
      <c r="AR125">
        <f>IF(C125&lt;&gt;"",高値!F67,"")</f>
        <v>1875</v>
      </c>
      <c r="AS125">
        <f>IF(C125&lt;&gt;"",安値!F67,"")</f>
        <v>1845</v>
      </c>
      <c r="AT125" t="str">
        <f>IF(OR(C125="",AQ125="",AR125="",AS125="",AR125-AS125&lt;=0),"-",IF(AND(AR125-MAX(G125,AQ125)&gt;=ABS(G125-AQ125)*2,MIN(G125,AQ125)-AS125&lt;=ABS(G125-AQ125)*0.5,ABS(G125-AQ125)&gt;0),"上ヒゲ陰線▼",IF(AND(G125&lt;AQ125,ABS(G125-AQ125)&gt;=(AR125-AS125)*0.7),"大陰線▼",IF(AND(MIN(G125,AQ125)-AS125&gt;=(AR125-AS125)*0.5,AR125-MAX(G125,AQ125)&lt;=(AR125-AS125)*0.2),"長い下ヒゲ(反発)","通常"))))</f>
        <v>通常</v>
      </c>
      <c r="AU125">
        <f>IF(AT125="上ヒゲ陰線▼",2,IF(AT125="大陰線▼",2,IF(AT125="長い下ヒゲ(反発)",-2,0)))</f>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5500</v>
      </c>
      <c r="F126" s="333">
        <f>IF(C126&lt;&gt;"",_xll.RssMarket(C126,"始値"),"")</f>
        <v>5425</v>
      </c>
      <c r="G126" s="212">
        <f>IF(C126&lt;&gt;"",終値!F91,"")</f>
        <v>5476</v>
      </c>
      <c r="H126" s="333">
        <f>IF(C126&lt;&gt;"",_xll.RssMarket(C126,"高値"),"")</f>
        <v>5595</v>
      </c>
      <c r="I126" s="333">
        <f>IF(C126&lt;&gt;"",_xll.RssMarket(C126,"安値"),"")</f>
        <v>5424</v>
      </c>
      <c r="J126" s="333">
        <f>IF(C126&lt;&gt;"",_xll.RssMarket(C126,"出来高"),"")</f>
        <v>11584500</v>
      </c>
      <c r="K126" s="333">
        <f>IF(C126&lt;&gt;"",_xll.RssMarket(C126,"年初来高値"),"")</f>
        <v>6039</v>
      </c>
      <c r="L126" s="334">
        <f>IF(AND(E126&lt;&gt;"",K126&lt;&gt;"",K126&lt;&gt;0),(E126-K126)/K126*100,"")</f>
        <v>-8.9253187613843341</v>
      </c>
      <c r="M126" s="333">
        <f>IF(C126&lt;&gt;"",IFERROR(AVERAGE(出来高!E91:I91),""),"")</f>
        <v>14973120</v>
      </c>
      <c r="N126" s="333">
        <f>IF(C126&lt;&gt;"",IFERROR(AVERAGE(出来高!E91:AC91),""),"")</f>
        <v>12655132</v>
      </c>
      <c r="O126" s="335">
        <f>IF(AND(J126&lt;&gt;"",M126&lt;&gt;"",M126&lt;&gt;0),J126/M126,"")</f>
        <v>0.77368644611143167</v>
      </c>
      <c r="P126" s="212" t="str">
        <f>IF(O126="","",IF(O126&gt;=2,"急増↑↑",IF(O126&gt;=1.5,"増加↑",IF(O126&gt;=1,"普通→","減少↓"))))</f>
        <v>減少↓</v>
      </c>
      <c r="Q126" s="212" t="str">
        <f>IF(E126="","",IF(AND(E126&lt;G126,O126&gt;=1.5),"売り▼",IF(E126&gt;G126,"様子見▲","中立→")))</f>
        <v>様子見▲</v>
      </c>
      <c r="R126" s="333">
        <f>IF(E126&lt;&gt;"",ROUND(E126*0.92,0),"")</f>
        <v>5060</v>
      </c>
      <c r="S126" s="333">
        <f>IF(E126&lt;&gt;"",ROUND(E126*1.04,0),"")</f>
        <v>5720</v>
      </c>
      <c r="T126" s="325">
        <f>IF(C126="","",IFERROR(IF(W126&gt;=70,3,IF(W126&gt;=60,2,IF(W126&gt;=50,1,0)))+IF(X126&lt;0,2,0)+IF(AD126="下降トレンド▼",3,IF(AD126="もみ合い→",1,0))+IF(V126="年初来安値圏●",3,IF(V126="安値圏",2,0))+IF(Q126="売り▼",2,0)+IF(P126="急増↑↑",2,IF(P126="増加↑",1,0))+IF(Z126&lt;0,1,0)+IF(L126&lt;=-30,2,IF(L126&lt;=-15,1,0))+IF(AE126="25日戻り売り★",2,IF(AE126="5日戻り売り○",1,0))+N(AL126)+N(AP126)+N(AU126),0))</f>
        <v>-1</v>
      </c>
      <c r="U126" s="212" t="str">
        <f>IF(T126="","",IF(AND(T126&gt;=3,O126&gt;=1.5),"有効",IF(T126&gt;=3,"要確認","除外")))</f>
        <v>除外</v>
      </c>
      <c r="V126" s="212" t="str">
        <f>IF(AND(I126&lt;&gt;"",K126&lt;&gt;""),IF(I126&lt;=K126*0.6,"年初来安値圏●",IF(I126&lt;=K126*0.75,"安値圏","通常")),"")</f>
        <v>通常</v>
      </c>
      <c r="W126" s="336">
        <f t="array" ref="W126">IFERROR(100-100/(1+SUMPRODUCT((終値!F91:R91&gt;終値!G91:S91)*(終値!F91:R91-終値!G91:S91))/SUMPRODUCT((終値!F91:R91&lt;終値!G91:S91)*(終値!G91:S91-終値!F91:R91))),50)</f>
        <v>80.57553956834532</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89.453132276440556</v>
      </c>
      <c r="Y126" s="212" t="str">
        <f>IF(AF126="","",AF126&amp;" | "&amp;AD126&amp;IF(AE126&lt;&gt;"なし"," "&amp;AE126,"")&amp;IF(X126&lt;0," MACD-"," MACD+")&amp;" RSI:"&amp;TEXT(W126,"0.0")&amp;IF(W126&gt;=70," [過熱]",IF(W126&lt;=30," [売られ過ぎ]",""))&amp;" 前日比:"&amp;TEXT(Z126,"+0.0;-0.0;0.0")&amp;"%"&amp;IF(V126="年初来安値圏●"," [年初来安値圏]",IF(V126="安値圏"," [安値圏]",""))&amp;IF(OR(AO126="通常",AO126="-"),""," ["&amp;AO126&amp;"]")&amp;IF(OR(AT126="通常",AT126="-"),"","前日["&amp;AT126&amp;"]")&amp;" ["&amp;T126&amp;"点]")</f>
        <v>△過熱・様子見 | パーフェクト▲ MACD+ RSI:80.6 [過熱] 前日比:+0.4%前日[長い下ヒゲ(反発)] [-1点]</v>
      </c>
      <c r="Z126" s="338">
        <f>IF(AND(E126&lt;&gt;"",G126&lt;&gt;"",G126&lt;&gt;0),(E126-G126)/G126*100,"")</f>
        <v>0.43827611395178961</v>
      </c>
      <c r="AA126" s="212" t="str">
        <f>IF(OR(C126="",E126="",E126=0),"",IF(E126&gt;G126,"上昇▲",IF(E126&lt;G126,"下落▼","横ばい→")))</f>
        <v>上昇▲</v>
      </c>
      <c r="AB126" s="333">
        <f>IF(OR(C126="",C126="TOPX",終値!E91=""),"",IFERROR(((終値!E91*0.333)+(終値!F91*0.222)+(終値!G91*0.148)+(終値!H91*0.099)+(終値!I91*0.066))/(0.333+0.222+0.148+0.099+0.066),""))</f>
        <v>5438.4435483870966</v>
      </c>
      <c r="AC126" s="333">
        <f>IF(OR(C126="",C126="TOPX",終値!E91=""),"",IFERROR(SUMPRODUCT((終値!E91:AC91),{0.077,0.071,0.065,0.06,0.055,0.051,0.047,0.043,0.039,0.036,0.033,0.031,0.028,0.026,0.024,0.022,0.02,0.018,0.017,0.016,0.014,0.013,0.012,0.011,0.01})/SUM({0.077,0.071,0.065,0.06,0.055,0.051,0.047,0.043,0.039,0.036,0.033,0.031,0.028,0.026,0.024,0.022,0.02,0.018,0.017,0.016,0.014,0.013,0.012,0.011,0.01}),""))</f>
        <v>5077.4052443384953</v>
      </c>
      <c r="AD126" s="212" t="str">
        <f>IF(OR(C126="",AB126="",AC126="",AB126=0,AC126=0),"",IF(AND(E126&gt;AB126,AB126&gt;AC126),"パーフェクト▲",IF(E126&gt;AC126,"上昇トレンド▲",IF(AND(E126&lt;AB126,AB126&lt;AC126),"下降トレンド▼","もみ合い→"))))</f>
        <v>パーフェクト▲</v>
      </c>
      <c r="AE126" s="212" t="str">
        <f>IF(OR(C126="",AB126="",AC126=""),"",IF(AND(ABS(E126-AC126)/AC126&lt;=0.02,E126&lt;AC126),"25日戻り売り★",IF(AND(ABS(E126-AB126)/AB126&lt;=0.01,E126&lt;AB126),"5日戻り売り○","なし")))</f>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△過熱・様子見</v>
      </c>
      <c r="AG126">
        <f>IF(AND(T126&gt;=7,C126&lt;&gt;""),T126,0)</f>
        <v>0</v>
      </c>
      <c r="AH126">
        <f>IF(AG126&gt;0,AG126*10000-ROW(A126),0)</f>
        <v>0</v>
      </c>
      <c r="AI126" s="373">
        <f t="array" ref="AI126">IF(C126="","",IFERROR((INDEX(終値!$E:$E,MATCH(TEXT(C126,"0"),終値!$A:$A,0))-INDEX(終値!$E:$CZ,MATCH(TEXT(C126,"0"),終値!$A:$A,0),$AN$2))/INDEX(終値!$E:$CZ,MATCH(TEXT(C126,"0"),終値!$A:$A,0),$AN$2)*100,""))</f>
        <v>22.330960854092528</v>
      </c>
      <c r="AJ126" s="373">
        <f t="array" ref="AJ126">IFERROR((終値!$E$5-INDEX(終値!$E$5:$IT$5,1,$AN$2))/INDEX(終値!$E$5:$IT$5,1,$AN$2)*100,"")</f>
        <v>1.0179378228534113</v>
      </c>
      <c r="AK126" s="374">
        <f>IF(OR(AI126="",AJ126=""),"",AI126-AJ126)</f>
        <v>21.313023031239116</v>
      </c>
      <c r="AL126" s="372">
        <f>IF(AK126="","",IF(AK126&lt;-5,3,IF(AK126&lt;0,1,IF(AK126&lt;3,-1,-2))))</f>
        <v>-2</v>
      </c>
      <c r="AO126" s="376" t="str">
        <f>IF(OR($C126="",$E126="",$F126="",$H126="",$I126="",$H126-$I126&lt;=0),"-",IF(AND($H126-MAX($F126,$E126)&gt;=ABS($E126-$F126)*2,MIN($F126,$E126)-$I126&lt;=ABS($E126-$F126)*0.5,ABS($E126-$F126)&gt;0),"上ヒゲ陰線▼",IF(AND($E126&lt;$F126,ABS($E126-$F126)&gt;=($H126-$I126)*0.7),"大陰線▼",IF(AND(MIN($F126,$E126)-$I126&gt;=($H126-$I126)*0.5,$H126-MAX($F126,$E126)&lt;=($H126-$I126)*0.2),"長い下ヒゲ(反発警戒)","通常"))))</f>
        <v>通常</v>
      </c>
      <c r="AP126" s="377">
        <f>IF($AO126="上ヒゲ陰線▼",2,IF($AO126="大陰線▼",2,IF($AO126="長い下ヒゲ(反発警戒)",-2,0)))</f>
        <v>0</v>
      </c>
      <c r="AQ126">
        <f>IF(C126&lt;&gt;"",始値!F91,"")</f>
        <v>5425</v>
      </c>
      <c r="AR126">
        <f>IF(C126&lt;&gt;"",高値!F91,"")</f>
        <v>5498</v>
      </c>
      <c r="AS126">
        <f>IF(C126&lt;&gt;"",安値!F91,"")</f>
        <v>5314</v>
      </c>
      <c r="AT126" t="str">
        <f>IF(OR(C126="",AQ126="",AR126="",AS126="",AR126-AS126&lt;=0),"-",IF(AND(AR126-MAX(G126,AQ126)&gt;=ABS(G126-AQ126)*2,MIN(G126,AQ126)-AS126&lt;=ABS(G126-AQ126)*0.5,ABS(G126-AQ126)&gt;0),"上ヒゲ陰線▼",IF(AND(G126&lt;AQ126,ABS(G126-AQ126)&gt;=(AR126-AS126)*0.7),"大陰線▼",IF(AND(MIN(G126,AQ126)-AS126&gt;=(AR126-AS126)*0.5,AR126-MAX(G126,AQ126)&lt;=(AR126-AS126)*0.2),"長い下ヒゲ(反発)","通常"))))</f>
        <v>長い下ヒゲ(反発)</v>
      </c>
      <c r="AU126">
        <f>IF(AT126="上ヒゲ陰線▼",2,IF(AT126="大陰線▼",2,IF(AT126="長い下ヒゲ(反発)",-2,0)))</f>
        <v>-2</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1446</v>
      </c>
      <c r="F127" s="326">
        <f>IF(C127&lt;&gt;"",_xll.RssMarket(C127,"始値"),"")</f>
        <v>1260</v>
      </c>
      <c r="G127" s="325">
        <f>IF(C127&lt;&gt;"",終値!F95,"")</f>
        <v>1259</v>
      </c>
      <c r="H127" s="326">
        <f>IF(C127&lt;&gt;"",_xll.RssMarket(C127,"高値"),"")</f>
        <v>1530</v>
      </c>
      <c r="I127" s="326">
        <f>IF(C127&lt;&gt;"",_xll.RssMarket(C127,"安値"),"")</f>
        <v>1251</v>
      </c>
      <c r="J127" s="326">
        <f>IF(C127&lt;&gt;"",_xll.RssMarket(C127,"出来高"),"")</f>
        <v>1206100</v>
      </c>
      <c r="K127" s="326">
        <f>IF(C127&lt;&gt;"",_xll.RssMarket(C127,"年初来高値"),"")</f>
        <v>1398</v>
      </c>
      <c r="L127" s="327">
        <f>IF(AND(E127&lt;&gt;"",K127&lt;&gt;"",K127&lt;&gt;0),(E127-K127)/K127*100,"")</f>
        <v>3.4334763948497855</v>
      </c>
      <c r="M127" s="326">
        <f>IF(C127&lt;&gt;"",IFERROR(AVERAGE(出来高!E95:I95),""),"")</f>
        <v>377220</v>
      </c>
      <c r="N127" s="326">
        <f>IF(C127&lt;&gt;"",IFERROR(AVERAGE(出来高!E95:AC95),""),"")</f>
        <v>212554.16666666666</v>
      </c>
      <c r="O127" s="328">
        <f>IF(AND(J127&lt;&gt;"",M127&lt;&gt;"",M127&lt;&gt;0),J127/M127,"")</f>
        <v>3.1973384232013147</v>
      </c>
      <c r="P127" s="325" t="str">
        <f>IF(O127="","",IF(O127&gt;=2,"急増↑↑",IF(O127&gt;=1.5,"増加↑",IF(O127&gt;=1,"普通→","減少↓"))))</f>
        <v>急増↑↑</v>
      </c>
      <c r="Q127" s="325" t="str">
        <f>IF(E127="","",IF(AND(E127&lt;G127,O127&gt;=1.5),"売り▼",IF(E127&gt;G127,"様子見▲","中立→")))</f>
        <v>様子見▲</v>
      </c>
      <c r="R127" s="326">
        <f>IF(E127&lt;&gt;"",ROUND(E127*0.92,0),"")</f>
        <v>1330</v>
      </c>
      <c r="S127" s="326">
        <f>IF(E127&lt;&gt;"",ROUND(E127*1.04,0),"")</f>
        <v>1504</v>
      </c>
      <c r="T127" s="325">
        <f>IF(C127="","",IFERROR(IF(W127&gt;=70,3,IF(W127&gt;=60,2,IF(W127&gt;=50,1,0)))+IF(X127&lt;0,2,0)+IF(AD127="下降トレンド▼",3,IF(AD127="もみ合い→",1,0))+IF(V127="年初来安値圏●",3,IF(V127="安値圏",2,0))+IF(Q127="売り▼",2,0)+IF(P127="急増↑↑",2,IF(P127="増加↑",1,0))+IF(Z127&lt;0,1,0)+IF(L127&lt;=-30,2,IF(L127&lt;=-15,1,0))+IF(AE127="25日戻り売り★",2,IF(AE127="5日戻り売り○",1,0))+N(AL127)+N(AP127)+N(AU127),0))</f>
        <v>2</v>
      </c>
      <c r="U127" s="325" t="str">
        <f>IF(T127="","",IF(AND(T127&gt;=3,O127&gt;=1.5),"有効",IF(T127&gt;=3,"要確認","除外")))</f>
        <v>除外</v>
      </c>
      <c r="V127" s="325" t="str">
        <f>IF(AND(I127&lt;&gt;"",K127&lt;&gt;""),IF(I127&lt;=K127*0.6,"年初来安値圏●",IF(I127&lt;=K127*0.75,"安値圏","通常")),"")</f>
        <v>通常</v>
      </c>
      <c r="W127" s="329">
        <f t="array" ref="W127">IFERROR(100-100/(1+SUMPRODUCT((終値!F95:R95&gt;終値!G95:S95)*(終値!F95:R95-終値!G95:S95))/SUMPRODUCT((終値!F95:R95&lt;終値!G95:S95)*(終値!G95:S95-終値!F95:R95))),50)</f>
        <v>49.006143838091795</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-5.6683476689518102</v>
      </c>
      <c r="Y127" s="325" t="str">
        <f>IF(AF127="","",AF127&amp;" | "&amp;AD127&amp;IF(AE127&lt;&gt;"なし"," "&amp;AE127,"")&amp;IF(X127&lt;0," MACD-"," MACD+")&amp;" RSI:"&amp;TEXT(W127,"0.0")&amp;IF(W127&gt;=70," [過熱]",IF(W127&lt;=30," [売られ過ぎ]",""))&amp;" 前日比:"&amp;TEXT(Z127,"+0.0;-0.0;0.0")&amp;"%"&amp;IF(V127="年初来安値圏●"," [年初来安値圏]",IF(V127="安値圏"," [安値圏]",""))&amp;IF(OR(AO127="通常",AO127="-"),""," ["&amp;AO127&amp;"]")&amp;IF(OR(AT127="通常",AT127="-"),"","前日["&amp;AT127&amp;"]")&amp;" ["&amp;T127&amp;"点]")</f>
        <v>相場上昇・見送り | パーフェクト▲ MACD- RSI:49.0 前日比:+14.9% [2点]</v>
      </c>
      <c r="Z127" s="331">
        <f>IF(AND(E127&lt;&gt;"",G127&lt;&gt;"",G127&lt;&gt;0),(E127-G127)/G127*100,"")</f>
        <v>14.853057982525813</v>
      </c>
      <c r="AA127" s="325" t="str">
        <f>IF(OR(C127="",E127="",E127=0),"",IF(E127&gt;G127,"上昇▲",IF(E127&lt;G127,"下落▼","横ばい→")))</f>
        <v>上昇▲</v>
      </c>
      <c r="AB127" s="326">
        <f>IF(OR(C127="",C127="TOPX",終値!E95=""),"",IFERROR(((終値!E95*0.333)+(終値!F95*0.222)+(終値!G95*0.148)+(終値!H95*0.099)+(終値!I95*0.066))/(0.333+0.222+0.148+0.099+0.066),""))</f>
        <v>1319.7465437788019</v>
      </c>
      <c r="AC127" s="326">
        <f>IF(OR(C127="",C127="TOPX",終値!E95=""),"",IFERROR(SUMPRODUCT((終値!E95:AC95),{0.077,0.071,0.065,0.06,0.055,0.051,0.047,0.043,0.039,0.036,0.033,0.031,0.028,0.026,0.024,0.022,0.02,0.018,0.017,0.016,0.014,0.013,0.012,0.011,0.01})/SUM({0.077,0.071,0.065,0.06,0.055,0.051,0.047,0.043,0.039,0.036,0.033,0.031,0.028,0.026,0.024,0.022,0.02,0.018,0.017,0.016,0.014,0.013,0.012,0.011,0.01}),""))</f>
        <v>1223.1597139451724</v>
      </c>
      <c r="AD127" s="325" t="str">
        <f>IF(OR(C127="",AB127="",AC127="",AB127=0,AC127=0),"",IF(AND(E127&gt;AB127,AB127&gt;AC127),"パーフェクト▲",IF(E127&gt;AC127,"上昇トレンド▲",IF(AND(E127&lt;AB127,AB127&lt;AC127),"下降トレンド▼","もみ合い→"))))</f>
        <v>パーフェクト▲</v>
      </c>
      <c r="AE127" s="325" t="str">
        <f>IF(OR(C127="",AB127="",AC127=""),"",IF(AND(ABS(E127-AC127)/AC127&lt;=0.02,E127&lt;AC127),"25日戻り売り★",IF(AND(ABS(E127-AB127)/AB127&lt;=0.01,E127&lt;AB127),"5日戻り売り○","なし")))</f>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相場上昇・見送り</v>
      </c>
      <c r="AG127">
        <f>IF(AND(T127&gt;=7,C127&lt;&gt;""),T127,0)</f>
        <v>0</v>
      </c>
      <c r="AH127">
        <f>IF(AG127&gt;0,AG127*10000-ROW(A127),0)</f>
        <v>0</v>
      </c>
      <c r="AI127" s="373">
        <f t="array" ref="AI127">IF(C127="","",IFERROR((INDEX(終値!$E:$E,MATCH(TEXT(C127,"0"),終値!$A:$A,0))-INDEX(終値!$E:$CZ,MATCH(TEXT(C127,"0"),終値!$A:$A,0),$AN$2))/INDEX(終値!$E:$CZ,MATCH(TEXT(C127,"0"),終値!$A:$A,0),$AN$2)*100,""))</f>
        <v>12.441679626749611</v>
      </c>
      <c r="AJ127" s="373">
        <f t="array" ref="AJ127">IFERROR((終値!$E$5-INDEX(終値!$E$5:$IT$5,1,$AN$2))/INDEX(終値!$E$5:$IT$5,1,$AN$2)*100,"")</f>
        <v>1.0179378228534113</v>
      </c>
      <c r="AK127" s="374">
        <f>IF(OR(AI127="",AJ127=""),"",AI127-AJ127)</f>
        <v>11.423741803896199</v>
      </c>
      <c r="AL127" s="372">
        <f>IF(AK127="","",IF(AK127&lt;-5,3,IF(AK127&lt;0,1,IF(AK127&lt;3,-1,-2))))</f>
        <v>-2</v>
      </c>
      <c r="AO127" s="376" t="str">
        <f>IF(OR($C127="",$E127="",$F127="",$H127="",$I127="",$H127-$I127&lt;=0),"-",IF(AND($H127-MAX($F127,$E127)&gt;=ABS($E127-$F127)*2,MIN($F127,$E127)-$I127&lt;=ABS($E127-$F127)*0.5,ABS($E127-$F127)&gt;0),"上ヒゲ陰線▼",IF(AND($E127&lt;$F127,ABS($E127-$F127)&gt;=($H127-$I127)*0.7),"大陰線▼",IF(AND(MIN($F127,$E127)-$I127&gt;=($H127-$I127)*0.5,$H127-MAX($F127,$E127)&lt;=($H127-$I127)*0.2),"長い下ヒゲ(反発警戒)","通常"))))</f>
        <v>通常</v>
      </c>
      <c r="AP127" s="377">
        <f>IF($AO127="上ヒゲ陰線▼",2,IF($AO127="大陰線▼",2,IF($AO127="長い下ヒゲ(反発警戒)",-2,0)))</f>
        <v>0</v>
      </c>
      <c r="AQ127">
        <f>IF(C127&lt;&gt;"",始値!F95,"")</f>
        <v>1248</v>
      </c>
      <c r="AR127">
        <f>IF(C127&lt;&gt;"",高値!F95,"")</f>
        <v>1266</v>
      </c>
      <c r="AS127">
        <f>IF(C127&lt;&gt;"",安値!F95,"")</f>
        <v>1240</v>
      </c>
      <c r="AT127" t="str">
        <f>IF(OR(C127="",AQ127="",AR127="",AS127="",AR127-AS127&lt;=0),"-",IF(AND(AR127-MAX(G127,AQ127)&gt;=ABS(G127-AQ127)*2,MIN(G127,AQ127)-AS127&lt;=ABS(G127-AQ127)*0.5,ABS(G127-AQ127)&gt;0),"上ヒゲ陰線▼",IF(AND(G127&lt;AQ127,ABS(G127-AQ127)&gt;=(AR127-AS127)*0.7),"大陰線▼",IF(AND(MIN(G127,AQ127)-AS127&gt;=(AR127-AS127)*0.5,AR127-MAX(G127,AQ127)&lt;=(AR127-AS127)*0.2),"長い下ヒゲ(反発)","通常"))))</f>
        <v>通常</v>
      </c>
      <c r="AU127">
        <f>IF(AT127="上ヒゲ陰線▼",2,IF(AT127="大陰線▼",2,IF(AT127="長い下ヒゲ(反発)",-2,0)))</f>
        <v>0</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1738</v>
      </c>
      <c r="F128" s="333">
        <f>IF(C128&lt;&gt;"",_xll.RssMarket(C128,"始値"),"")</f>
        <v>1720</v>
      </c>
      <c r="G128" s="212">
        <f>IF(C128&lt;&gt;"",終値!F116,"")</f>
        <v>1714</v>
      </c>
      <c r="H128" s="333">
        <f>IF(C128&lt;&gt;"",_xll.RssMarket(C128,"高値"),"")</f>
        <v>1743</v>
      </c>
      <c r="I128" s="333">
        <f>IF(C128&lt;&gt;"",_xll.RssMarket(C128,"安値"),"")</f>
        <v>1713</v>
      </c>
      <c r="J128" s="333">
        <f>IF(C128&lt;&gt;"",_xll.RssMarket(C128,"出来高"),"")</f>
        <v>175300</v>
      </c>
      <c r="K128" s="333">
        <f>IF(C128&lt;&gt;"",_xll.RssMarket(C128,"年初来高値"),"")</f>
        <v>1891</v>
      </c>
      <c r="L128" s="334">
        <f>IF(AND(E128&lt;&gt;"",K128&lt;&gt;"",K128&lt;&gt;0),(E128-K128)/K128*100,"")</f>
        <v>-8.0909571655208889</v>
      </c>
      <c r="M128" s="333">
        <f>IF(C128&lt;&gt;"",IFERROR(AVERAGE(出来高!E116:I116),""),"")</f>
        <v>230540</v>
      </c>
      <c r="N128" s="333">
        <f>IF(C128&lt;&gt;"",IFERROR(AVERAGE(出来高!E116:AC116),""),"")</f>
        <v>197472</v>
      </c>
      <c r="O128" s="335">
        <f>IF(AND(J128&lt;&gt;"",M128&lt;&gt;"",M128&lt;&gt;0),J128/M128,"")</f>
        <v>0.76038865272837686</v>
      </c>
      <c r="P128" s="212" t="str">
        <f>IF(O128="","",IF(O128&gt;=2,"急増↑↑",IF(O128&gt;=1.5,"増加↑",IF(O128&gt;=1,"普通→","減少↓"))))</f>
        <v>減少↓</v>
      </c>
      <c r="Q128" s="212" t="str">
        <f>IF(E128="","",IF(AND(E128&lt;G128,O128&gt;=1.5),"売り▼",IF(E128&gt;G128,"様子見▲","中立→")))</f>
        <v>様子見▲</v>
      </c>
      <c r="R128" s="333">
        <f>IF(E128&lt;&gt;"",ROUND(E128*0.92,0),"")</f>
        <v>1599</v>
      </c>
      <c r="S128" s="333">
        <f>IF(E128&lt;&gt;"",ROUND(E128*1.04,0),"")</f>
        <v>1808</v>
      </c>
      <c r="T128" s="325">
        <f>IF(C128="","",IFERROR(IF(W128&gt;=70,3,IF(W128&gt;=60,2,IF(W128&gt;=50,1,0)))+IF(X128&lt;0,2,0)+IF(AD128="下降トレンド▼",3,IF(AD128="もみ合い→",1,0))+IF(V128="年初来安値圏●",3,IF(V128="安値圏",2,0))+IF(Q128="売り▼",2,0)+IF(P128="急増↑↑",2,IF(P128="増加↑",1,0))+IF(Z128&lt;0,1,0)+IF(L128&lt;=-30,2,IF(L128&lt;=-15,1,0))+IF(AE128="25日戻り売り★",2,IF(AE128="5日戻り売り○",1,0))+N(AL128)+N(AP128)+N(AU128),0))</f>
        <v>4</v>
      </c>
      <c r="U128" s="212" t="str">
        <f>IF(T128="","",IF(AND(T128&gt;=3,O128&gt;=1.5),"有効",IF(T128&gt;=3,"要確認","除外")))</f>
        <v>要確認</v>
      </c>
      <c r="V128" s="212" t="str">
        <f>IF(AND(I128&lt;&gt;"",K128&lt;&gt;""),IF(I128&lt;=K128*0.6,"年初来安値圏●",IF(I128&lt;=K128*0.75,"安値圏","通常")),"")</f>
        <v>通常</v>
      </c>
      <c r="W128" s="336">
        <f t="array" ref="W128">IFERROR(100-100/(1+SUMPRODUCT((終値!F116:R116&gt;終値!G116:S116)*(終値!F116:R116-終値!G116:S116))/SUMPRODUCT((終値!F116:R116&lt;終値!G116:S116)*(終値!G116:S116-終値!F116:R116))),50)</f>
        <v>34.294871794871796</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-7.5489314955073041</v>
      </c>
      <c r="Y128" s="212" t="str">
        <f>IF(AF128="","",AF128&amp;" | "&amp;AD128&amp;IF(AE128&lt;&gt;"なし"," "&amp;AE128,"")&amp;IF(X128&lt;0," MACD-"," MACD+")&amp;" RSI:"&amp;TEXT(W128,"0.0")&amp;IF(W128&gt;=70," [過熱]",IF(W128&lt;=30," [売られ過ぎ]",""))&amp;" 前日比:"&amp;TEXT(Z128,"+0.0;-0.0;0.0")&amp;"%"&amp;IF(V128="年初来安値圏●"," [年初来安値圏]",IF(V128="安値圏"," [安値圏]",""))&amp;IF(OR(AO128="通常",AO128="-"),""," ["&amp;AO128&amp;"]")&amp;IF(OR(AT128="通常",AT128="-"),"","前日["&amp;AT128&amp;"]")&amp;" ["&amp;T128&amp;"点]")</f>
        <v>相場上昇・見送り | もみ合い→ MACD- RSI:34.3 前日比:+1.4% [4点]</v>
      </c>
      <c r="Z128" s="338">
        <f>IF(AND(E128&lt;&gt;"",G128&lt;&gt;"",G128&lt;&gt;0),(E128-G128)/G128*100,"")</f>
        <v>1.4002333722287048</v>
      </c>
      <c r="AA128" s="212" t="str">
        <f>IF(OR(C128="",E128="",E128=0),"",IF(E128&gt;G128,"上昇▲",IF(E128&lt;G128,"下落▼","横ばい→")))</f>
        <v>上昇▲</v>
      </c>
      <c r="AB128" s="333">
        <f>IF(OR(C128="",C128="TOPX",終値!E116=""),"",IFERROR(((終値!E116*0.333)+(終値!F116*0.222)+(終値!G116*0.148)+(終値!H116*0.099)+(終値!I116*0.066))/(0.333+0.222+0.148+0.099+0.066),""))</f>
        <v>1734.989631336405</v>
      </c>
      <c r="AC128" s="333">
        <f>IF(OR(C128="",C128="TOPX",終値!E116=""),"",IFERROR(SUMPRODUCT((終値!E116:AC116),{0.077,0.071,0.065,0.06,0.055,0.051,0.047,0.043,0.039,0.036,0.033,0.031,0.028,0.026,0.024,0.022,0.02,0.018,0.017,0.016,0.014,0.013,0.012,0.011,0.01})/SUM({0.077,0.071,0.065,0.06,0.055,0.051,0.047,0.043,0.039,0.036,0.033,0.031,0.028,0.026,0.024,0.022,0.02,0.018,0.017,0.016,0.014,0.013,0.012,0.011,0.01}),""))</f>
        <v>1792.5792610250294</v>
      </c>
      <c r="AD128" s="212" t="str">
        <f>IF(OR(C128="",AB128="",AC128="",AB128=0,AC128=0),"",IF(AND(E128&gt;AB128,AB128&gt;AC128),"パーフェクト▲",IF(E128&gt;AC128,"上昇トレンド▲",IF(AND(E128&lt;AB128,AB128&lt;AC128),"下降トレンド▼","もみ合い→"))))</f>
        <v>もみ合い→</v>
      </c>
      <c r="AE128" s="212" t="str">
        <f>IF(OR(C128="",AB128="",AC128=""),"",IF(AND(ABS(E128-AC128)/AC128&lt;=0.02,E128&lt;AC128),"25日戻り売り★",IF(AND(ABS(E128-AB128)/AB128&lt;=0.01,E128&lt;AB128),"5日戻り売り○","なし")))</f>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相場上昇・見送り</v>
      </c>
      <c r="AG128">
        <f>IF(AND(T128&gt;=7,C128&lt;&gt;""),T128,0)</f>
        <v>0</v>
      </c>
      <c r="AH128">
        <f>IF(AG128&gt;0,AG128*10000-ROW(A128),0)</f>
        <v>0</v>
      </c>
      <c r="AI128" s="373">
        <f t="array" ref="AI128">IF(C128="","",IFERROR((INDEX(終値!$E:$E,MATCH(TEXT(C128,"0"),終値!$A:$A,0))-INDEX(終値!$E:$CZ,MATCH(TEXT(C128,"0"),終値!$A:$A,0),$AN$2))/INDEX(終値!$E:$CZ,MATCH(TEXT(C128,"0"),終値!$A:$A,0),$AN$2)*100,""))</f>
        <v>-0.17231476163124643</v>
      </c>
      <c r="AJ128" s="373">
        <f t="array" ref="AJ128">IFERROR((終値!$E$5-INDEX(終値!$E$5:$IT$5,1,$AN$2))/INDEX(終値!$E$5:$IT$5,1,$AN$2)*100,"")</f>
        <v>1.0179378228534113</v>
      </c>
      <c r="AK128" s="374">
        <f>IF(OR(AI128="",AJ128=""),"",AI128-AJ128)</f>
        <v>-1.1902525844846576</v>
      </c>
      <c r="AL128" s="372">
        <f>IF(AK128="","",IF(AK128&lt;-5,3,IF(AK128&lt;0,1,IF(AK128&lt;3,-1,-2))))</f>
        <v>1</v>
      </c>
      <c r="AO128" s="376" t="str">
        <f>IF(OR($C128="",$E128="",$F128="",$H128="",$I128="",$H128-$I128&lt;=0),"-",IF(AND($H128-MAX($F128,$E128)&gt;=ABS($E128-$F128)*2,MIN($F128,$E128)-$I128&lt;=ABS($E128-$F128)*0.5,ABS($E128-$F128)&gt;0),"上ヒゲ陰線▼",IF(AND($E128&lt;$F128,ABS($E128-$F128)&gt;=($H128-$I128)*0.7),"大陰線▼",IF(AND(MIN($F128,$E128)-$I128&gt;=($H128-$I128)*0.5,$H128-MAX($F128,$E128)&lt;=($H128-$I128)*0.2),"長い下ヒゲ(反発警戒)","通常"))))</f>
        <v>通常</v>
      </c>
      <c r="AP128" s="377">
        <f>IF($AO128="上ヒゲ陰線▼",2,IF($AO128="大陰線▼",2,IF($AO128="長い下ヒゲ(反発警戒)",-2,0)))</f>
        <v>0</v>
      </c>
      <c r="AQ128">
        <f>IF(C128&lt;&gt;"",始値!F116,"")</f>
        <v>1725</v>
      </c>
      <c r="AR128">
        <f>IF(C128&lt;&gt;"",高値!F116,"")</f>
        <v>1728</v>
      </c>
      <c r="AS128">
        <f>IF(C128&lt;&gt;"",安値!F116,"")</f>
        <v>1707</v>
      </c>
      <c r="AT128" t="str">
        <f>IF(OR(C128="",AQ128="",AR128="",AS128="",AR128-AS128&lt;=0),"-",IF(AND(AR128-MAX(G128,AQ128)&gt;=ABS(G128-AQ128)*2,MIN(G128,AQ128)-AS128&lt;=ABS(G128-AQ128)*0.5,ABS(G128-AQ128)&gt;0),"上ヒゲ陰線▼",IF(AND(G128&lt;AQ128,ABS(G128-AQ128)&gt;=(AR128-AS128)*0.7),"大陰線▼",IF(AND(MIN(G128,AQ128)-AS128&gt;=(AR128-AS128)*0.5,AR128-MAX(G128,AQ128)&lt;=(AR128-AS128)*0.2),"長い下ヒゲ(反発)","通常"))))</f>
        <v>通常</v>
      </c>
      <c r="AU128">
        <f>IF(AT128="上ヒゲ陰線▼",2,IF(AT128="大陰線▼",2,IF(AT128="長い下ヒゲ(反発)",-2,0)))</f>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1488</v>
      </c>
      <c r="F129" s="326">
        <f>IF(C129&lt;&gt;"",_xll.RssMarket(C129,"始値"),"")</f>
        <v>1488</v>
      </c>
      <c r="G129" s="325">
        <f>IF(C129&lt;&gt;"",終値!F124,"")</f>
        <v>1481.5</v>
      </c>
      <c r="H129" s="326">
        <f>IF(C129&lt;&gt;"",_xll.RssMarket(C129,"高値"),"")</f>
        <v>1507</v>
      </c>
      <c r="I129" s="326">
        <f>IF(C129&lt;&gt;"",_xll.RssMarket(C129,"安値"),"")</f>
        <v>1475.5</v>
      </c>
      <c r="J129" s="326">
        <f>IF(C129&lt;&gt;"",_xll.RssMarket(C129,"出来高"),"")</f>
        <v>9906200</v>
      </c>
      <c r="K129" s="326">
        <f>IF(C129&lt;&gt;"",_xll.RssMarket(C129,"年初来高値"),"")</f>
        <v>2158</v>
      </c>
      <c r="L129" s="327">
        <f>IF(AND(E129&lt;&gt;"",K129&lt;&gt;"",K129&lt;&gt;0),(E129-K129)/K129*100,"")</f>
        <v>-31.047265987025025</v>
      </c>
      <c r="M129" s="326">
        <f>IF(C129&lt;&gt;"",IFERROR(AVERAGE(出来高!E124:I124),""),"")</f>
        <v>10539140</v>
      </c>
      <c r="N129" s="326">
        <f>IF(C129&lt;&gt;"",IFERROR(AVERAGE(出来高!E124:AC124),""),"")</f>
        <v>8742800</v>
      </c>
      <c r="O129" s="328">
        <f>IF(AND(J129&lt;&gt;"",M129&lt;&gt;"",M129&lt;&gt;0),J129/M129,"")</f>
        <v>0.93994386638757998</v>
      </c>
      <c r="P129" s="325" t="str">
        <f>IF(O129="","",IF(O129&gt;=2,"急増↑↑",IF(O129&gt;=1.5,"増加↑",IF(O129&gt;=1,"普通→","減少↓"))))</f>
        <v>減少↓</v>
      </c>
      <c r="Q129" s="325" t="str">
        <f>IF(E129="","",IF(AND(E129&lt;G129,O129&gt;=1.5),"売り▼",IF(E129&gt;G129,"様子見▲","中立→")))</f>
        <v>様子見▲</v>
      </c>
      <c r="R129" s="326">
        <f>IF(E129&lt;&gt;"",ROUND(E129*0.92,0),"")</f>
        <v>1369</v>
      </c>
      <c r="S129" s="326">
        <f>IF(E129&lt;&gt;"",ROUND(E129*1.04,0),"")</f>
        <v>1548</v>
      </c>
      <c r="T129" s="325">
        <f>IF(C129="","",IFERROR(IF(W129&gt;=70,3,IF(W129&gt;=60,2,IF(W129&gt;=50,1,0)))+IF(X129&lt;0,2,0)+IF(AD129="下降トレンド▼",3,IF(AD129="もみ合い→",1,0))+IF(V129="年初来安値圏●",3,IF(V129="安値圏",2,0))+IF(Q129="売り▼",2,0)+IF(P129="急増↑↑",2,IF(P129="増加↑",1,0))+IF(Z129&lt;0,1,0)+IF(L129&lt;=-30,2,IF(L129&lt;=-15,1,0))+IF(AE129="25日戻り売り★",2,IF(AE129="5日戻り売り○",1,0))+N(AL129)+N(AP129)+N(AU129),0))</f>
        <v>11</v>
      </c>
      <c r="U129" s="325" t="str">
        <f>IF(T129="","",IF(AND(T129&gt;=3,O129&gt;=1.5),"有効",IF(T129&gt;=3,"要確認","除外")))</f>
        <v>要確認</v>
      </c>
      <c r="V129" s="325" t="str">
        <f>IF(AND(I129&lt;&gt;"",K129&lt;&gt;""),IF(I129&lt;=K129*0.6,"年初来安値圏●",IF(I129&lt;=K129*0.75,"安値圏","通常")),"")</f>
        <v>安値圏</v>
      </c>
      <c r="W129" s="329">
        <f t="array" ref="W129">IFERROR(100-100/(1+SUMPRODUCT((終値!F124:R124&gt;終値!G124:S124)*(終値!F124:R124-終値!G124:S124))/SUMPRODUCT((終値!F124:R124&lt;終値!G124:S124)*(終値!G124:S124-終値!F124:R124))),50)</f>
        <v>38.546603475513429</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-3.1877942914898085</v>
      </c>
      <c r="Y129" s="325" t="str">
        <f>IF(AF129="","",AF129&amp;" | "&amp;AD129&amp;IF(AE129&lt;&gt;"なし"," "&amp;AE129,"")&amp;IF(X129&lt;0," MACD-"," MACD+")&amp;" RSI:"&amp;TEXT(W129,"0.0")&amp;IF(W129&gt;=70," [過熱]",IF(W129&lt;=30," [売られ過ぎ]",""))&amp;" 前日比:"&amp;TEXT(Z129,"+0.0;-0.0;0.0")&amp;"%"&amp;IF(V129="年初来安値圏●"," [年初来安値圏]",IF(V129="安値圏"," [安値圏]",""))&amp;IF(OR(AO129="通常",AO129="-"),""," ["&amp;AO129&amp;"]")&amp;IF(OR(AT129="通常",AT129="-"),"","前日["&amp;AT129&amp;"]")&amp;" ["&amp;T129&amp;"点]")</f>
        <v>★逆張り売り | 下降トレンド▼ 5日戻り売り○ MACD- RSI:38.5 前日比:+0.4% [安値圏] [11点]</v>
      </c>
      <c r="Z129" s="331">
        <f>IF(AND(E129&lt;&gt;"",G129&lt;&gt;"",G129&lt;&gt;0),(E129-G129)/G129*100,"")</f>
        <v>0.43874451569355388</v>
      </c>
      <c r="AA129" s="325" t="str">
        <f>IF(OR(C129="",E129="",E129=0),"",IF(E129&gt;G129,"上昇▲",IF(E129&lt;G129,"下落▼","横ばい→")))</f>
        <v>上昇▲</v>
      </c>
      <c r="AB129" s="326">
        <f>IF(OR(C129="",C129="TOPX",終値!E124=""),"",IFERROR(((終値!E124*0.333)+(終値!F124*0.222)+(終値!G124*0.148)+(終値!H124*0.099)+(終値!I124*0.066))/(0.333+0.222+0.148+0.099+0.066),""))</f>
        <v>1489.4821428571427</v>
      </c>
      <c r="AC129" s="326">
        <f>IF(OR(C129="",C129="TOPX",終値!E124=""),"",IFERROR(SUMPRODUCT((終値!E124:AC124),{0.077,0.071,0.065,0.06,0.055,0.051,0.047,0.043,0.039,0.036,0.033,0.031,0.028,0.026,0.024,0.022,0.02,0.018,0.017,0.016,0.014,0.013,0.012,0.011,0.01})/SUM({0.077,0.071,0.065,0.06,0.055,0.051,0.047,0.043,0.039,0.036,0.033,0.031,0.028,0.026,0.024,0.022,0.02,0.018,0.017,0.016,0.014,0.013,0.012,0.011,0.01}),""))</f>
        <v>1538.2675804529197</v>
      </c>
      <c r="AD129" s="325" t="str">
        <f>IF(OR(C129="",AB129="",AC129="",AB129=0,AC129=0),"",IF(AND(E129&gt;AB129,AB129&gt;AC129),"パーフェクト▲",IF(E129&gt;AC129,"上昇トレンド▲",IF(AND(E129&lt;AB129,AB129&lt;AC129),"下降トレンド▼","もみ合い→"))))</f>
        <v>下降トレンド▼</v>
      </c>
      <c r="AE129" s="325" t="str">
        <f>IF(OR(C129="",AB129="",AC129=""),"",IF(AND(ABS(E129-AC129)/AC129&lt;=0.02,E129&lt;AC129),"25日戻り売り★",IF(AND(ABS(E129-AB129)/AB129&lt;=0.01,E129&lt;AB129),"5日戻り売り○","なし")))</f>
        <v>5日戻り売り○</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★逆張り売り</v>
      </c>
      <c r="AG129">
        <f>IF(AND(T129&gt;=7,C129&lt;&gt;""),T129,0)</f>
        <v>11</v>
      </c>
      <c r="AH129">
        <f>IF(AG129&gt;0,AG129*10000-ROW(A129),0)</f>
        <v>109871</v>
      </c>
      <c r="AI129" s="373">
        <f t="array" ref="AI129">IF(C129="","",IFERROR((INDEX(終値!$E:$E,MATCH(TEXT(C129,"0"),終値!$A:$A,0))-INDEX(終値!$E:$CZ,MATCH(TEXT(C129,"0"),終値!$A:$A,0),$AN$2))/INDEX(終値!$E:$CZ,MATCH(TEXT(C129,"0"),終値!$A:$A,0),$AN$2)*100,""))</f>
        <v>0.6085192697768762</v>
      </c>
      <c r="AJ129" s="373">
        <f t="array" ref="AJ129">IFERROR((終値!$E$5-INDEX(終値!$E$5:$IT$5,1,$AN$2))/INDEX(終値!$E$5:$IT$5,1,$AN$2)*100,"")</f>
        <v>1.0179378228534113</v>
      </c>
      <c r="AK129" s="374">
        <f>IF(OR(AI129="",AJ129=""),"",AI129-AJ129)</f>
        <v>-0.40941855307653507</v>
      </c>
      <c r="AL129" s="372">
        <f>IF(AK129="","",IF(AK129&lt;-5,3,IF(AK129&lt;0,1,IF(AK129&lt;3,-1,-2))))</f>
        <v>1</v>
      </c>
      <c r="AO129" s="376" t="str">
        <f>IF(OR($C129="",$E129="",$F129="",$H129="",$I129="",$H129-$I129&lt;=0),"-",IF(AND($H129-MAX($F129,$E129)&gt;=ABS($E129-$F129)*2,MIN($F129,$E129)-$I129&lt;=ABS($E129-$F129)*0.5,ABS($E129-$F129)&gt;0),"上ヒゲ陰線▼",IF(AND($E129&lt;$F129,ABS($E129-$F129)&gt;=($H129-$I129)*0.7),"大陰線▼",IF(AND(MIN($F129,$E129)-$I129&gt;=($H129-$I129)*0.5,$H129-MAX($F129,$E129)&lt;=($H129-$I129)*0.2),"長い下ヒゲ(反発警戒)","通常"))))</f>
        <v>通常</v>
      </c>
      <c r="AP129" s="377">
        <f>IF($AO129="上ヒゲ陰線▼",2,IF($AO129="大陰線▼",2,IF($AO129="長い下ヒゲ(反発警戒)",-2,0)))</f>
        <v>0</v>
      </c>
      <c r="AQ129">
        <f>IF(C129&lt;&gt;"",始値!F124,"")</f>
        <v>1479.5</v>
      </c>
      <c r="AR129">
        <f>IF(C129&lt;&gt;"",高値!F124,"")</f>
        <v>1495.5</v>
      </c>
      <c r="AS129">
        <f>IF(C129&lt;&gt;"",安値!F124,"")</f>
        <v>1473.5</v>
      </c>
      <c r="AT129" t="str">
        <f>IF(OR(C129="",AQ129="",AR129="",AS129="",AR129-AS129&lt;=0),"-",IF(AND(AR129-MAX(G129,AQ129)&gt;=ABS(G129-AQ129)*2,MIN(G129,AQ129)-AS129&lt;=ABS(G129-AQ129)*0.5,ABS(G129-AQ129)&gt;0),"上ヒゲ陰線▼",IF(AND(G129&lt;AQ129,ABS(G129-AQ129)&gt;=(AR129-AS129)*0.7),"大陰線▼",IF(AND(MIN(G129,AQ129)-AS129&gt;=(AR129-AS129)*0.5,AR129-MAX(G129,AQ129)&lt;=(AR129-AS129)*0.2),"長い下ヒゲ(反発)","通常"))))</f>
        <v>通常</v>
      </c>
      <c r="AU129">
        <f>IF(AT129="上ヒゲ陰線▼",2,IF(AT129="大陰線▼",2,IF(AT129="長い下ヒゲ(反発)",-2,0)))</f>
        <v>0</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19550</v>
      </c>
      <c r="F130" s="333">
        <f>IF(C130&lt;&gt;"",_xll.RssMarket(C130,"始値"),"")</f>
        <v>20710</v>
      </c>
      <c r="G130" s="212">
        <f>IF(C130&lt;&gt;"",終値!F144,"")</f>
        <v>21450</v>
      </c>
      <c r="H130" s="333">
        <f>IF(C130&lt;&gt;"",_xll.RssMarket(C130,"高値"),"")</f>
        <v>20810</v>
      </c>
      <c r="I130" s="333">
        <f>IF(C130&lt;&gt;"",_xll.RssMarket(C130,"安値"),"")</f>
        <v>19450</v>
      </c>
      <c r="J130" s="333">
        <f>IF(C130&lt;&gt;"",_xll.RssMarket(C130,"出来高"),"")</f>
        <v>202200</v>
      </c>
      <c r="K130" s="333">
        <f>IF(C130&lt;&gt;"",_xll.RssMarket(C130,"年初来高値"),"")</f>
        <v>34700</v>
      </c>
      <c r="L130" s="334">
        <f>IF(AND(E130&lt;&gt;"",K130&lt;&gt;"",K130&lt;&gt;0),(E130-K130)/K130*100,"")</f>
        <v>-43.659942363112393</v>
      </c>
      <c r="M130" s="333">
        <f>IF(C130&lt;&gt;"",IFERROR(AVERAGE(出来高!E144:I144),""),"")</f>
        <v>183040</v>
      </c>
      <c r="N130" s="333">
        <f>IF(C130&lt;&gt;"",IFERROR(AVERAGE(出来高!E144:AC144),""),"")</f>
        <v>148287.5</v>
      </c>
      <c r="O130" s="335">
        <f>IF(AND(J130&lt;&gt;"",M130&lt;&gt;"",M130&lt;&gt;0),J130/M130,"")</f>
        <v>1.1046765734265733</v>
      </c>
      <c r="P130" s="212" t="str">
        <f>IF(O130="","",IF(O130&gt;=2,"急増↑↑",IF(O130&gt;=1.5,"増加↑",IF(O130&gt;=1,"普通→","減少↓"))))</f>
        <v>普通→</v>
      </c>
      <c r="Q130" s="212" t="str">
        <f>IF(E130="","",IF(AND(E130&lt;G130,O130&gt;=1.5),"売り▼",IF(E130&gt;G130,"様子見▲","中立→")))</f>
        <v>中立→</v>
      </c>
      <c r="R130" s="333">
        <f>IF(E130&lt;&gt;"",ROUND(E130*0.92,0),"")</f>
        <v>17986</v>
      </c>
      <c r="S130" s="333">
        <f>IF(E130&lt;&gt;"",ROUND(E130*1.04,0),"")</f>
        <v>20332</v>
      </c>
      <c r="T130" s="325">
        <f>IF(C130="","",IFERROR(IF(W130&gt;=70,3,IF(W130&gt;=60,2,IF(W130&gt;=50,1,0)))+IF(X130&lt;0,2,0)+IF(AD130="下降トレンド▼",3,IF(AD130="もみ合い→",1,0))+IF(V130="年初来安値圏●",3,IF(V130="安値圏",2,0))+IF(Q130="売り▼",2,0)+IF(P130="急増↑↑",2,IF(P130="増加↑",1,0))+IF(Z130&lt;0,1,0)+IF(L130&lt;=-30,2,IF(L130&lt;=-15,1,0))+IF(AE130="25日戻り売り★",2,IF(AE130="5日戻り売り○",1,0))+N(AL130)+N(AP130)+N(AU130),0))</f>
        <v>12</v>
      </c>
      <c r="U130" s="212" t="str">
        <f>IF(T130="","",IF(AND(T130&gt;=3,O130&gt;=1.5),"有効",IF(T130&gt;=3,"要確認","除外")))</f>
        <v>要確認</v>
      </c>
      <c r="V130" s="212" t="str">
        <f>IF(AND(I130&lt;&gt;"",K130&lt;&gt;""),IF(I130&lt;=K130*0.6,"年初来安値圏●",IF(I130&lt;=K130*0.75,"安値圏","通常")),"")</f>
        <v>年初来安値圏●</v>
      </c>
      <c r="W130" s="336">
        <f t="array" ref="W130">IFERROR(100-100/(1+SUMPRODUCT((終値!F144:R144&gt;終値!G144:S144)*(終値!F144:R144-終値!G144:S144))/SUMPRODUCT((終値!F144:R144&lt;終値!G144:S144)*(終値!G144:S144-終値!F144:R144))),50)</f>
        <v>49.602069239952243</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-418.16338227742381</v>
      </c>
      <c r="Y130" s="212" t="str">
        <f>IF(AF130="","",AF130&amp;" | "&amp;AD130&amp;IF(AE130&lt;&gt;"なし"," "&amp;AE130,"")&amp;IF(X130&lt;0," MACD-"," MACD+")&amp;" RSI:"&amp;TEXT(W130,"0.0")&amp;IF(W130&gt;=70," [過熱]",IF(W130&lt;=30," [売られ過ぎ]",""))&amp;" 前日比:"&amp;TEXT(Z130,"+0.0;-0.0;0.0")&amp;"%"&amp;IF(V130="年初来安値圏●"," [年初来安値圏]",IF(V130="安値圏"," [安値圏]",""))&amp;IF(OR(AO130="通常",AO130="-"),""," ["&amp;AO130&amp;"]")&amp;IF(OR(AT130="通常",AT130="-"),"","前日["&amp;AT130&amp;"]")&amp;" ["&amp;T130&amp;"点]")</f>
        <v>相場上昇・見送り | 上昇トレンド▲ 5日戻り売り○ MACD- RSI:49.6 前日比:-8.9% [年初来安値圏] [大陰線▼]前日[長い下ヒゲ(反発)] [12点]</v>
      </c>
      <c r="Z130" s="338">
        <f>IF(AND(E130&lt;&gt;"",G130&lt;&gt;"",G130&lt;&gt;0),(E130-G130)/G130*100,"")</f>
        <v>-8.8578088578088572</v>
      </c>
      <c r="AA130" s="212" t="str">
        <f>IF(OR(C130="",E130="",E130=0),"",IF(E130&gt;G130,"上昇▲",IF(E130&lt;G130,"下落▼","横ばい→")))</f>
        <v>下落▼</v>
      </c>
      <c r="AB130" s="333">
        <f>IF(OR(C130="",C130="TOPX",終値!E144=""),"",IFERROR(((終値!E144*0.333)+(終値!F144*0.222)+(終値!G144*0.148)+(終値!H144*0.099)+(終値!I144*0.066))/(0.333+0.222+0.148+0.099+0.066),""))</f>
        <v>19662.096774193542</v>
      </c>
      <c r="AC130" s="333">
        <f>IF(OR(C130="",C130="TOPX",終値!E144=""),"",IFERROR(SUMPRODUCT((終値!E144:AC144),{0.077,0.071,0.065,0.06,0.055,0.051,0.047,0.043,0.039,0.036,0.033,0.031,0.028,0.026,0.024,0.022,0.02,0.018,0.017,0.016,0.014,0.013,0.012,0.011,0.01})/SUM({0.077,0.071,0.065,0.06,0.055,0.051,0.047,0.043,0.039,0.036,0.033,0.031,0.028,0.026,0.024,0.022,0.02,0.018,0.017,0.016,0.014,0.013,0.012,0.011,0.01}),""))</f>
        <v>18262.729439809289</v>
      </c>
      <c r="AD130" s="212" t="str">
        <f>IF(OR(C130="",AB130="",AC130="",AB130=0,AC130=0),"",IF(AND(E130&gt;AB130,AB130&gt;AC130),"パーフェクト▲",IF(E130&gt;AC130,"上昇トレンド▲",IF(AND(E130&lt;AB130,AB130&lt;AC130),"下降トレンド▼","もみ合い→"))))</f>
        <v>上昇トレンド▲</v>
      </c>
      <c r="AE130" s="212" t="str">
        <f>IF(OR(C130="",AB130="",AC130=""),"",IF(AND(ABS(E130-AC130)/AC130&lt;=0.02,E130&lt;AC130),"25日戻り売り★",IF(AND(ABS(E130-AB130)/AB130&lt;=0.01,E130&lt;AB130),"5日戻り売り○","なし")))</f>
        <v>5日戻り売り○</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相場上昇・見送り</v>
      </c>
      <c r="AG130">
        <f>IF(AND(T130&gt;=7,C130&lt;&gt;""),T130,0)</f>
        <v>12</v>
      </c>
      <c r="AH130">
        <f>IF(AG130&gt;0,AG130*10000-ROW(A130),0)</f>
        <v>119870</v>
      </c>
      <c r="AI130" s="373">
        <f t="array" ref="AI130">IF(C130="","",IFERROR((INDEX(終値!$E:$E,MATCH(TEXT(C130,"0"),終値!$A:$A,0))-INDEX(終値!$E:$CZ,MATCH(TEXT(C130,"0"),終値!$A:$A,0),$AN$2))/INDEX(終値!$E:$CZ,MATCH(TEXT(C130,"0"),終値!$A:$A,0),$AN$2)*100,""))</f>
        <v>-24.224806201550386</v>
      </c>
      <c r="AJ130" s="373">
        <f t="array" ref="AJ130">IFERROR((終値!$E$5-INDEX(終値!$E$5:$IT$5,1,$AN$2))/INDEX(終値!$E$5:$IT$5,1,$AN$2)*100,"")</f>
        <v>1.0179378228534113</v>
      </c>
      <c r="AK130" s="374">
        <f>IF(OR(AI130="",AJ130=""),"",AI130-AJ130)</f>
        <v>-25.242744024403798</v>
      </c>
      <c r="AL130" s="372">
        <f>IF(AK130="","",IF(AK130&lt;-5,3,IF(AK130&lt;0,1,IF(AK130&lt;3,-1,-2))))</f>
        <v>3</v>
      </c>
      <c r="AO130" s="376" t="str">
        <f>IF(OR($C130="",$E130="",$F130="",$H130="",$I130="",$H130-$I130&lt;=0),"-",IF(AND($H130-MAX($F130,$E130)&gt;=ABS($E130-$F130)*2,MIN($F130,$E130)-$I130&lt;=ABS($E130-$F130)*0.5,ABS($E130-$F130)&gt;0),"上ヒゲ陰線▼",IF(AND($E130&lt;$F130,ABS($E130-$F130)&gt;=($H130-$I130)*0.7),"大陰線▼",IF(AND(MIN($F130,$E130)-$I130&gt;=($H130-$I130)*0.5,$H130-MAX($F130,$E130)&lt;=($H130-$I130)*0.2),"長い下ヒゲ(反発警戒)","通常"))))</f>
        <v>大陰線▼</v>
      </c>
      <c r="AP130" s="377">
        <f>IF($AO130="上ヒゲ陰線▼",2,IF($AO130="大陰線▼",2,IF($AO130="長い下ヒゲ(反発警戒)",-2,0)))</f>
        <v>2</v>
      </c>
      <c r="AQ130">
        <f>IF(C130&lt;&gt;"",始値!F144,"")</f>
        <v>21000</v>
      </c>
      <c r="AR130">
        <f>IF(C130&lt;&gt;"",高値!F144,"")</f>
        <v>21540</v>
      </c>
      <c r="AS130">
        <f>IF(C130&lt;&gt;"",安値!F144,"")</f>
        <v>20320</v>
      </c>
      <c r="AT130" t="str">
        <f>IF(OR(C130="",AQ130="",AR130="",AS130="",AR130-AS130&lt;=0),"-",IF(AND(AR130-MAX(G130,AQ130)&gt;=ABS(G130-AQ130)*2,MIN(G130,AQ130)-AS130&lt;=ABS(G130-AQ130)*0.5,ABS(G130-AQ130)&gt;0),"上ヒゲ陰線▼",IF(AND(G130&lt;AQ130,ABS(G130-AQ130)&gt;=(AR130-AS130)*0.7),"大陰線▼",IF(AND(MIN(G130,AQ130)-AS130&gt;=(AR130-AS130)*0.5,AR130-MAX(G130,AQ130)&lt;=(AR130-AS130)*0.2),"長い下ヒゲ(反発)","通常"))))</f>
        <v>長い下ヒゲ(反発)</v>
      </c>
      <c r="AU130">
        <f>IF(AT130="上ヒゲ陰線▼",2,IF(AT130="大陰線▼",2,IF(AT130="長い下ヒゲ(反発)",-2,0)))</f>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313</v>
      </c>
      <c r="F131" s="326">
        <f>IF(C131&lt;&gt;"",_xll.RssMarket(C131,"始値"),"")</f>
        <v>312</v>
      </c>
      <c r="G131" s="325">
        <f>IF(C131&lt;&gt;"",終値!F146,"")</f>
        <v>315</v>
      </c>
      <c r="H131" s="326">
        <f>IF(C131&lt;&gt;"",_xll.RssMarket(C131,"高値"),"")</f>
        <v>315</v>
      </c>
      <c r="I131" s="326">
        <f>IF(C131&lt;&gt;"",_xll.RssMarket(C131,"安値"),"")</f>
        <v>309</v>
      </c>
      <c r="J131" s="326">
        <f>IF(C131&lt;&gt;"",_xll.RssMarket(C131,"出来高"),"")</f>
        <v>80900</v>
      </c>
      <c r="K131" s="326">
        <f>IF(C131&lt;&gt;"",_xll.RssMarket(C131,"年初来高値"),"")</f>
        <v>995</v>
      </c>
      <c r="L131" s="327">
        <f>IF(AND(E131&lt;&gt;"",K131&lt;&gt;"",K131&lt;&gt;0),(E131-K131)/K131*100,"")</f>
        <v>-68.542713567839201</v>
      </c>
      <c r="M131" s="326">
        <f>IF(C131&lt;&gt;"",IFERROR(AVERAGE(出来高!E146:I146),""),"")</f>
        <v>162220</v>
      </c>
      <c r="N131" s="326">
        <f>IF(C131&lt;&gt;"",IFERROR(AVERAGE(出来高!E146:AC146),""),"")</f>
        <v>220876</v>
      </c>
      <c r="O131" s="328">
        <f>IF(AND(J131&lt;&gt;"",M131&lt;&gt;"",M131&lt;&gt;0),J131/M131,"")</f>
        <v>0.49870546171865365</v>
      </c>
      <c r="P131" s="325" t="str">
        <f>IF(O131="","",IF(O131&gt;=2,"急増↑↑",IF(O131&gt;=1.5,"増加↑",IF(O131&gt;=1,"普通→","減少↓"))))</f>
        <v>減少↓</v>
      </c>
      <c r="Q131" s="325" t="str">
        <f>IF(E131="","",IF(AND(E131&lt;G131,O131&gt;=1.5),"売り▼",IF(E131&gt;G131,"様子見▲","中立→")))</f>
        <v>中立→</v>
      </c>
      <c r="R131" s="326">
        <f>IF(E131&lt;&gt;"",ROUND(E131*0.92,0),"")</f>
        <v>288</v>
      </c>
      <c r="S131" s="326">
        <f>IF(E131&lt;&gt;"",ROUND(E131*1.04,0),"")</f>
        <v>326</v>
      </c>
      <c r="T131" s="325">
        <f>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8</v>
      </c>
      <c r="U131" s="325" t="str">
        <f>IF(T131="","",IF(AND(T131&gt;=3,O131&gt;=1.5),"有効",IF(T131&gt;=3,"要確認","除外")))</f>
        <v>要確認</v>
      </c>
      <c r="V131" s="325" t="str">
        <f>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38.775510204081634</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-0.56291618737543558</v>
      </c>
      <c r="Y131" s="325" t="str">
        <f>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相場上昇・見送り | 上昇トレンド▲ 5日戻り売り○ MACD- RSI:38.8 前日比:-0.6% [年初来安値圏] [8点]</v>
      </c>
      <c r="Z131" s="331">
        <f>IF(AND(E131&lt;&gt;"",G131&lt;&gt;"",G131&lt;&gt;0),(E131-G131)/G131*100,"")</f>
        <v>-0.63492063492063489</v>
      </c>
      <c r="AA131" s="325" t="str">
        <f>IF(OR(C131="",E131="",E131=0),"",IF(E131&gt;G131,"上昇▲",IF(E131&lt;G131,"下落▼","横ばい→")))</f>
        <v>下落▼</v>
      </c>
      <c r="AB131" s="326">
        <f>IF(OR(C131="",C131="TOPX",終値!E146=""),"",IFERROR(((終値!E146*0.333)+(終値!F146*0.222)+(終値!G146*0.148)+(終値!H146*0.099)+(終値!I146*0.066))/(0.333+0.222+0.148+0.099+0.066),""))</f>
        <v>313.33870967741933</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310.87485101311074</v>
      </c>
      <c r="AD131" s="325" t="str">
        <f>IF(OR(C131="",AB131="",AC131="",AB131=0,AC131=0),"",IF(AND(E131&gt;AB131,AB131&gt;AC131),"パーフェクト▲",IF(E131&gt;AC131,"上昇トレンド▲",IF(AND(E131&lt;AB131,AB131&lt;AC131),"下降トレンド▼","もみ合い→"))))</f>
        <v>上昇トレンド▲</v>
      </c>
      <c r="AE131" s="325" t="str">
        <f>IF(OR(C131="",AB131="",AC131=""),"",IF(AND(ABS(E131-AC131)/AC131&lt;=0.02,E131&lt;AC131),"25日戻り売り★",IF(AND(ABS(E131-AB131)/AB131&lt;=0.01,E131&lt;AB131),"5日戻り売り○","なし")))</f>
        <v>5日戻り売り○</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相場上昇・見送り</v>
      </c>
      <c r="AG131">
        <f>IF(AND(T131&gt;=7,C131&lt;&gt;""),T131,0)</f>
        <v>8</v>
      </c>
      <c r="AH131">
        <f>IF(AG131&gt;0,AG131*10000-ROW(A131),0)</f>
        <v>79869</v>
      </c>
      <c r="AI131" s="373">
        <f t="array" ref="AI131">IF(C131="","",IFERROR((INDEX(終値!$E:$E,MATCH(TEXT(C131,"0"),終値!$A:$A,0))-INDEX(終値!$E:$CZ,MATCH(TEXT(C131,"0"),終値!$A:$A,0),$AN$2))/INDEX(終値!$E:$CZ,MATCH(TEXT(C131,"0"),終値!$A:$A,0),$AN$2)*100,""))</f>
        <v>1.9543973941368076</v>
      </c>
      <c r="AJ131" s="373">
        <f t="array" ref="AJ131">IFERROR((終値!$E$5-INDEX(終値!$E$5:$IT$5,1,$AN$2))/INDEX(終値!$E$5:$IT$5,1,$AN$2)*100,"")</f>
        <v>1.0179378228534113</v>
      </c>
      <c r="AK131" s="374">
        <f>IF(OR(AI131="",AJ131=""),"",AI131-AJ131)</f>
        <v>0.9364595712833963</v>
      </c>
      <c r="AL131" s="372">
        <f>IF(AK131="","",IF(AK131&lt;-5,3,IF(AK131&lt;0,1,IF(AK131&lt;3,-1,-2))))</f>
        <v>-1</v>
      </c>
      <c r="AO131" s="376" t="str">
        <f>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IF($AO131="上ヒゲ陰線▼",2,IF($AO131="大陰線▼",2,IF($AO131="長い下ヒゲ(反発警戒)",-2,0)))</f>
        <v>0</v>
      </c>
      <c r="AQ131">
        <f>IF(C131&lt;&gt;"",始値!F146,"")</f>
        <v>316</v>
      </c>
      <c r="AR131">
        <f>IF(C131&lt;&gt;"",高値!F146,"")</f>
        <v>322</v>
      </c>
      <c r="AS131">
        <f>IF(C131&lt;&gt;"",安値!F146,"")</f>
        <v>313</v>
      </c>
      <c r="AT131" t="str">
        <f>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通常</v>
      </c>
      <c r="AU131">
        <f>IF(AT131="上ヒゲ陰線▼",2,IF(AT131="大陰線▼",2,IF(AT131="長い下ヒゲ(反発)",-2,0)))</f>
        <v>0</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2614</v>
      </c>
      <c r="F132" s="333">
        <f>IF(C132&lt;&gt;"",_xll.RssMarket(C132,"始値"),"")</f>
        <v>2638</v>
      </c>
      <c r="G132" s="212">
        <f>IF(C132&lt;&gt;"",終値!F156,"")</f>
        <v>2548</v>
      </c>
      <c r="H132" s="333">
        <f>IF(C132&lt;&gt;"",_xll.RssMarket(C132,"高値"),"")</f>
        <v>2663</v>
      </c>
      <c r="I132" s="333">
        <f>IF(C132&lt;&gt;"",_xll.RssMarket(C132,"安値"),"")</f>
        <v>2580</v>
      </c>
      <c r="J132" s="333">
        <f>IF(C132&lt;&gt;"",_xll.RssMarket(C132,"出来高"),"")</f>
        <v>1440300</v>
      </c>
      <c r="K132" s="333">
        <f>IF(C132&lt;&gt;"",_xll.RssMarket(C132,"年初来高値"),"")</f>
        <v>2949</v>
      </c>
      <c r="L132" s="334">
        <f>IF(AND(E132&lt;&gt;"",K132&lt;&gt;"",K132&lt;&gt;0),(E132-K132)/K132*100,"")</f>
        <v>-11.359782977280435</v>
      </c>
      <c r="M132" s="333">
        <f>IF(C132&lt;&gt;"",IFERROR(AVERAGE(出来高!E156:I156),""),"")</f>
        <v>1458900</v>
      </c>
      <c r="N132" s="333">
        <f>IF(C132&lt;&gt;"",IFERROR(AVERAGE(出来高!E156:AC156),""),"")</f>
        <v>980244</v>
      </c>
      <c r="O132" s="335">
        <f>IF(AND(J132&lt;&gt;"",M132&lt;&gt;"",M132&lt;&gt;0),J132/M132,"")</f>
        <v>0.98725066831174169</v>
      </c>
      <c r="P132" s="212" t="str">
        <f>IF(O132="","",IF(O132&gt;=2,"急増↑↑",IF(O132&gt;=1.5,"増加↑",IF(O132&gt;=1,"普通→","減少↓"))))</f>
        <v>減少↓</v>
      </c>
      <c r="Q132" s="212" t="str">
        <f>IF(E132="","",IF(AND(E132&lt;G132,O132&gt;=1.5),"売り▼",IF(E132&gt;G132,"様子見▲","中立→")))</f>
        <v>様子見▲</v>
      </c>
      <c r="R132" s="333">
        <f>IF(E132&lt;&gt;"",ROUND(E132*0.92,0),"")</f>
        <v>2405</v>
      </c>
      <c r="S132" s="333">
        <f>IF(E132&lt;&gt;"",ROUND(E132*1.04,0),"")</f>
        <v>2719</v>
      </c>
      <c r="T132" s="325">
        <f>IF(C132="","",IFERROR(IF(W132&gt;=70,3,IF(W132&gt;=60,2,IF(W132&gt;=50,1,0)))+IF(X132&lt;0,2,0)+IF(AD132="下降トレンド▼",3,IF(AD132="もみ合い→",1,0))+IF(V132="年初来安値圏●",3,IF(V132="安値圏",2,0))+IF(Q132="売り▼",2,0)+IF(P132="急増↑↑",2,IF(P132="増加↑",1,0))+IF(Z132&lt;0,1,0)+IF(L132&lt;=-30,2,IF(L132&lt;=-15,1,0))+IF(AE132="25日戻り売り★",2,IF(AE132="5日戻り売り○",1,0))+N(AL132)+N(AP132)+N(AU132),0))</f>
        <v>5</v>
      </c>
      <c r="U132" s="212" t="str">
        <f>IF(T132="","",IF(AND(T132&gt;=3,O132&gt;=1.5),"有効",IF(T132&gt;=3,"要確認","除外")))</f>
        <v>要確認</v>
      </c>
      <c r="V132" s="212" t="str">
        <f>IF(AND(I132&lt;&gt;"",K132&lt;&gt;""),IF(I132&lt;=K132*0.6,"年初来安値圏●",IF(I132&lt;=K132*0.75,"安値圏","通常")),"")</f>
        <v>通常</v>
      </c>
      <c r="W132" s="336">
        <f t="array" ref="W132">IFERROR(100-100/(1+SUMPRODUCT((終値!F156:R156&gt;終値!G156:S156)*(終値!F156:R156-終値!G156:S156))/SUMPRODUCT((終値!F156:R156&lt;終値!G156:S156)*(終値!G156:S156-終値!F156:R156))),50)</f>
        <v>46.107784431137723</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-5.352216415444218</v>
      </c>
      <c r="Y132" s="212" t="str">
        <f>IF(AF132="","",AF132&amp;" | "&amp;AD132&amp;IF(AE132&lt;&gt;"なし"," "&amp;AE132,"")&amp;IF(X132&lt;0," MACD-"," MACD+")&amp;" RSI:"&amp;TEXT(W132,"0.0")&amp;IF(W132&gt;=70," [過熱]",IF(W132&lt;=30," [売られ過ぎ]",""))&amp;" 前日比:"&amp;TEXT(Z132,"+0.0;-0.0;0.0")&amp;"%"&amp;IF(V132="年初来安値圏●"," [年初来安値圏]",IF(V132="安値圏"," [安値圏]",""))&amp;IF(OR(AO132="通常",AO132="-"),""," ["&amp;AO132&amp;"]")&amp;IF(OR(AT132="通常",AT132="-"),"","前日["&amp;AT132&amp;"]")&amp;" ["&amp;T132&amp;"点]")</f>
        <v>相場上昇・見送り | 上昇トレンド▲ MACD- RSI:46.1 前日比:+2.6% [5点]</v>
      </c>
      <c r="Z132" s="338">
        <f>IF(AND(E132&lt;&gt;"",G132&lt;&gt;"",G132&lt;&gt;0),(E132-G132)/G132*100,"")</f>
        <v>2.5902668759811616</v>
      </c>
      <c r="AA132" s="212" t="str">
        <f>IF(OR(C132="",E132="",E132=0),"",IF(E132&gt;G132,"上昇▲",IF(E132&lt;G132,"下落▼","横ばい→")))</f>
        <v>上昇▲</v>
      </c>
      <c r="AB132" s="333">
        <f>IF(OR(C132="",C132="TOPX",終値!E156=""),"",IFERROR(((終値!E156*0.333)+(終値!F156*0.222)+(終値!G156*0.148)+(終値!H156*0.099)+(終値!I156*0.066))/(0.333+0.222+0.148+0.099+0.066),""))</f>
        <v>2568.5138248847925</v>
      </c>
      <c r="AC132" s="333">
        <f>IF(OR(C132="",C132="TOPX",終値!E156=""),"",IFERROR(SUMPRODUCT((終値!E156:AC156),{0.077,0.071,0.065,0.06,0.055,0.051,0.047,0.043,0.039,0.036,0.033,0.031,0.028,0.026,0.024,0.022,0.02,0.018,0.017,0.016,0.014,0.013,0.012,0.011,0.01})/SUM({0.077,0.071,0.065,0.06,0.055,0.051,0.047,0.043,0.039,0.036,0.033,0.031,0.028,0.026,0.024,0.022,0.02,0.018,0.017,0.016,0.014,0.013,0.012,0.011,0.01}),""))</f>
        <v>2584.56495828367</v>
      </c>
      <c r="AD132" s="212" t="str">
        <f>IF(OR(C132="",AB132="",AC132="",AB132=0,AC132=0),"",IF(AND(E132&gt;AB132,AB132&gt;AC132),"パーフェクト▲",IF(E132&gt;AC132,"上昇トレンド▲",IF(AND(E132&lt;AB132,AB132&lt;AC132),"下降トレンド▼","もみ合い→"))))</f>
        <v>上昇トレンド▲</v>
      </c>
      <c r="AE132" s="212" t="str">
        <f>IF(OR(C132="",AB132="",AC132=""),"",IF(AND(ABS(E132-AC132)/AC132&lt;=0.02,E132&lt;AC132),"25日戻り売り★",IF(AND(ABS(E132-AB132)/AB132&lt;=0.01,E132&lt;AB132),"5日戻り売り○","なし")))</f>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相場上昇・見送り</v>
      </c>
      <c r="AG132">
        <f>IF(AND(T132&gt;=7,C132&lt;&gt;""),T132,0)</f>
        <v>0</v>
      </c>
      <c r="AH132">
        <f>IF(AG132&gt;0,AG132*10000-ROW(A132),0)</f>
        <v>0</v>
      </c>
      <c r="AI132" s="373">
        <f t="array" ref="AI132">IF(C132="","",IFERROR((INDEX(終値!$E:$E,MATCH(TEXT(C132,"0"),終値!$A:$A,0))-INDEX(終値!$E:$CZ,MATCH(TEXT(C132,"0"),終値!$A:$A,0),$AN$2))/INDEX(終値!$E:$CZ,MATCH(TEXT(C132,"0"),終値!$A:$A,0),$AN$2)*100,""))</f>
        <v>-5.1523947750362842</v>
      </c>
      <c r="AJ132" s="373">
        <f t="array" ref="AJ132">IFERROR((終値!$E$5-INDEX(終値!$E$5:$IT$5,1,$AN$2))/INDEX(終値!$E$5:$IT$5,1,$AN$2)*100,"")</f>
        <v>1.0179378228534113</v>
      </c>
      <c r="AK132" s="374">
        <f>IF(OR(AI132="",AJ132=""),"",AI132-AJ132)</f>
        <v>-6.1703325978896952</v>
      </c>
      <c r="AL132" s="372">
        <f>IF(AK132="","",IF(AK132&lt;-5,3,IF(AK132&lt;0,1,IF(AK132&lt;3,-1,-2))))</f>
        <v>3</v>
      </c>
      <c r="AO132" s="376" t="str">
        <f>IF(OR($C132="",$E132="",$F132="",$H132="",$I132="",$H132-$I132&lt;=0),"-",IF(AND($H132-MAX($F132,$E132)&gt;=ABS($E132-$F132)*2,MIN($F132,$E132)-$I132&lt;=ABS($E132-$F132)*0.5,ABS($E132-$F132)&gt;0),"上ヒゲ陰線▼",IF(AND($E132&lt;$F132,ABS($E132-$F132)&gt;=($H132-$I132)*0.7),"大陰線▼",IF(AND(MIN($F132,$E132)-$I132&gt;=($H132-$I132)*0.5,$H132-MAX($F132,$E132)&lt;=($H132-$I132)*0.2),"長い下ヒゲ(反発警戒)","通常"))))</f>
        <v>通常</v>
      </c>
      <c r="AP132" s="377">
        <f>IF($AO132="上ヒゲ陰線▼",2,IF($AO132="大陰線▼",2,IF($AO132="長い下ヒゲ(反発警戒)",-2,0)))</f>
        <v>0</v>
      </c>
      <c r="AQ132">
        <f>IF(C132&lt;&gt;"",始値!F156,"")</f>
        <v>2524</v>
      </c>
      <c r="AR132">
        <f>IF(C132&lt;&gt;"",高値!F156,"")</f>
        <v>2577</v>
      </c>
      <c r="AS132">
        <f>IF(C132&lt;&gt;"",安値!F156,"")</f>
        <v>2520</v>
      </c>
      <c r="AT132" t="str">
        <f>IF(OR(C132="",AQ132="",AR132="",AS132="",AR132-AS132&lt;=0),"-",IF(AND(AR132-MAX(G132,AQ132)&gt;=ABS(G132-AQ132)*2,MIN(G132,AQ132)-AS132&lt;=ABS(G132-AQ132)*0.5,ABS(G132-AQ132)&gt;0),"上ヒゲ陰線▼",IF(AND(G132&lt;AQ132,ABS(G132-AQ132)&gt;=(AR132-AS132)*0.7),"大陰線▼",IF(AND(MIN(G132,AQ132)-AS132&gt;=(AR132-AS132)*0.5,AR132-MAX(G132,AQ132)&lt;=(AR132-AS132)*0.2),"長い下ヒゲ(反発)","通常"))))</f>
        <v>通常</v>
      </c>
      <c r="AU132">
        <f>IF(AT132="上ヒゲ陰線▼",2,IF(AT132="大陰線▼",2,IF(AT132="長い下ヒゲ(反発)",-2,0)))</f>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7899</v>
      </c>
      <c r="F133" s="326">
        <f>IF(C133&lt;&gt;"",_xll.RssMarket(C133,"始値"),"")</f>
        <v>7750</v>
      </c>
      <c r="G133" s="325">
        <f>IF(C133&lt;&gt;"",終値!F165,"")</f>
        <v>7746</v>
      </c>
      <c r="H133" s="326">
        <f>IF(C133&lt;&gt;"",_xll.RssMarket(C133,"高値"),"")</f>
        <v>7899</v>
      </c>
      <c r="I133" s="326">
        <f>IF(C133&lt;&gt;"",_xll.RssMarket(C133,"安値"),"")</f>
        <v>7714</v>
      </c>
      <c r="J133" s="326">
        <f>IF(C133&lt;&gt;"",_xll.RssMarket(C133,"出来高"),"")</f>
        <v>169400</v>
      </c>
      <c r="K133" s="326">
        <f>IF(C133&lt;&gt;"",_xll.RssMarket(C133,"年初来高値"),"")</f>
        <v>8611</v>
      </c>
      <c r="L133" s="327">
        <f>IF(AND(E133&lt;&gt;"",K133&lt;&gt;"",K133&lt;&gt;0),(E133-K133)/K133*100,"")</f>
        <v>-8.268493787016606</v>
      </c>
      <c r="M133" s="326">
        <f>IF(C133&lt;&gt;"",IFERROR(AVERAGE(出来高!E165:I165),""),"")</f>
        <v>239600</v>
      </c>
      <c r="N133" s="326">
        <f>IF(C133&lt;&gt;"",IFERROR(AVERAGE(出来高!E165:AC165),""),"")</f>
        <v>338028</v>
      </c>
      <c r="O133" s="328">
        <f>IF(AND(J133&lt;&gt;"",M133&lt;&gt;"",M133&lt;&gt;0),J133/M133,"")</f>
        <v>0.70701168614357257</v>
      </c>
      <c r="P133" s="325" t="str">
        <f>IF(O133="","",IF(O133&gt;=2,"急増↑↑",IF(O133&gt;=1.5,"増加↑",IF(O133&gt;=1,"普通→","減少↓"))))</f>
        <v>減少↓</v>
      </c>
      <c r="Q133" s="325" t="str">
        <f>IF(E133="","",IF(AND(E133&lt;G133,O133&gt;=1.5),"売り▼",IF(E133&gt;G133,"様子見▲","中立→")))</f>
        <v>様子見▲</v>
      </c>
      <c r="R133" s="326">
        <f>IF(E133&lt;&gt;"",ROUND(E133*0.92,0),"")</f>
        <v>7267</v>
      </c>
      <c r="S133" s="326">
        <f>IF(E133&lt;&gt;"",ROUND(E133*1.04,0),"")</f>
        <v>8215</v>
      </c>
      <c r="T133" s="325">
        <f>IF(C133="","",IFERROR(IF(W133&gt;=70,3,IF(W133&gt;=60,2,IF(W133&gt;=50,1,0)))+IF(X133&lt;0,2,0)+IF(AD133="下降トレンド▼",3,IF(AD133="もみ合い→",1,0))+IF(V133="年初来安値圏●",3,IF(V133="安値圏",2,0))+IF(Q133="売り▼",2,0)+IF(P133="急増↑↑",2,IF(P133="増加↑",1,0))+IF(Z133&lt;0,1,0)+IF(L133&lt;=-30,2,IF(L133&lt;=-15,1,0))+IF(AE133="25日戻り売り★",2,IF(AE133="5日戻り売り○",1,0))+N(AL133)+N(AP133)+N(AU133),0))</f>
        <v>3</v>
      </c>
      <c r="U133" s="325" t="str">
        <f>IF(T133="","",IF(AND(T133&gt;=3,O133&gt;=1.5),"有効",IF(T133&gt;=3,"要確認","除外")))</f>
        <v>要確認</v>
      </c>
      <c r="V133" s="325" t="str">
        <f>IF(AND(I133&lt;&gt;"",K133&lt;&gt;""),IF(I133&lt;=K133*0.6,"年初来安値圏●",IF(I133&lt;=K133*0.75,"安値圏","通常")),"")</f>
        <v>通常</v>
      </c>
      <c r="W133" s="329">
        <f t="array" ref="W133">IFERROR(100-100/(1+SUMPRODUCT((終値!F165:R165&gt;終値!G165:S165)*(終値!F165:R165-終値!G165:S165))/SUMPRODUCT((終値!F165:R165&lt;終値!G165:S165)*(終値!G165:S165-終値!F165:R165))),50)</f>
        <v>72.938612422811474</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216.68577927790102</v>
      </c>
      <c r="Y133" s="325" t="str">
        <f>IF(AF133="","",AF133&amp;" | "&amp;AD133&amp;IF(AE133&lt;&gt;"なし"," "&amp;AE133,"")&amp;IF(X133&lt;0," MACD-"," MACD+")&amp;" RSI:"&amp;TEXT(W133,"0.0")&amp;IF(W133&gt;=70," [過熱]",IF(W133&lt;=30," [売られ過ぎ]",""))&amp;" 前日比:"&amp;TEXT(Z133,"+0.0;-0.0;0.0")&amp;"%"&amp;IF(V133="年初来安値圏●"," [年初来安値圏]",IF(V133="安値圏"," [安値圏]",""))&amp;IF(OR(AO133="通常",AO133="-"),""," ["&amp;AO133&amp;"]")&amp;IF(OR(AT133="通常",AT133="-"),"","前日["&amp;AT133&amp;"]")&amp;" ["&amp;T133&amp;"点]")</f>
        <v>△過熱・様子見 | パーフェクト▲ MACD+ RSI:72.9 [過熱] 前日比:+2.0%前日[上ヒゲ陰線▼] [3点]</v>
      </c>
      <c r="Z133" s="331">
        <f>IF(AND(E133&lt;&gt;"",G133&lt;&gt;"",G133&lt;&gt;0),(E133-G133)/G133*100,"")</f>
        <v>1.9752130131680867</v>
      </c>
      <c r="AA133" s="325" t="str">
        <f>IF(OR(C133="",E133="",E133=0),"",IF(E133&gt;G133,"上昇▲",IF(E133&lt;G133,"下落▼","横ばい→")))</f>
        <v>上昇▲</v>
      </c>
      <c r="AB133" s="326">
        <f>IF(OR(C133="",C133="TOPX",終値!E165=""),"",IFERROR(((終値!E165*0.333)+(終値!F165*0.222)+(終値!G165*0.148)+(終値!H165*0.099)+(終値!I165*0.066))/(0.333+0.222+0.148+0.099+0.066),""))</f>
        <v>7832.9262672811055</v>
      </c>
      <c r="AC133" s="326">
        <f>IF(OR(C133="",C133="TOPX",終値!E165=""),"",IFERROR(SUMPRODUCT((終値!E165:AC165),{0.077,0.071,0.065,0.06,0.055,0.051,0.047,0.043,0.039,0.036,0.033,0.031,0.028,0.026,0.024,0.022,0.02,0.018,0.017,0.016,0.014,0.013,0.012,0.011,0.01})/SUM({0.077,0.071,0.065,0.06,0.055,0.051,0.047,0.043,0.039,0.036,0.033,0.031,0.028,0.026,0.024,0.022,0.02,0.018,0.017,0.016,0.014,0.013,0.012,0.011,0.01}),""))</f>
        <v>7478.9320619785431</v>
      </c>
      <c r="AD133" s="325" t="str">
        <f>IF(OR(C133="",AB133="",AC133="",AB133=0,AC133=0),"",IF(AND(E133&gt;AB133,AB133&gt;AC133),"パーフェクト▲",IF(E133&gt;AC133,"上昇トレンド▲",IF(AND(E133&lt;AB133,AB133&lt;AC133),"下降トレンド▼","もみ合い→"))))</f>
        <v>パーフェクト▲</v>
      </c>
      <c r="AE133" s="325" t="str">
        <f>IF(OR(C133="",AB133="",AC133=""),"",IF(AND(ABS(E133-AC133)/AC133&lt;=0.02,E133&lt;AC133),"25日戻り売り★",IF(AND(ABS(E133-AB133)/AB133&lt;=0.01,E133&lt;AB133),"5日戻り売り○","なし")))</f>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△過熱・様子見</v>
      </c>
      <c r="AG133">
        <f>IF(AND(T133&gt;=7,C133&lt;&gt;""),T133,0)</f>
        <v>0</v>
      </c>
      <c r="AH133">
        <f>IF(AG133&gt;0,AG133*10000-ROW(A133),0)</f>
        <v>0</v>
      </c>
      <c r="AI133" s="373">
        <f t="array" ref="AI133">IF(C133="","",IFERROR((INDEX(終値!$E:$E,MATCH(TEXT(C133,"0"),終値!$A:$A,0))-INDEX(終値!$E:$CZ,MATCH(TEXT(C133,"0"),終値!$A:$A,0),$AN$2))/INDEX(終値!$E:$CZ,MATCH(TEXT(C133,"0"),終値!$A:$A,0),$AN$2)*100,""))</f>
        <v>30.389567514031036</v>
      </c>
      <c r="AJ133" s="373">
        <f t="array" ref="AJ133">IFERROR((終値!$E$5-INDEX(終値!$E$5:$IT$5,1,$AN$2))/INDEX(終値!$E$5:$IT$5,1,$AN$2)*100,"")</f>
        <v>1.0179378228534113</v>
      </c>
      <c r="AK133" s="374">
        <f>IF(OR(AI133="",AJ133=""),"",AI133-AJ133)</f>
        <v>29.371629691177624</v>
      </c>
      <c r="AL133" s="372">
        <f>IF(AK133="","",IF(AK133&lt;-5,3,IF(AK133&lt;0,1,IF(AK133&lt;3,-1,-2))))</f>
        <v>-2</v>
      </c>
      <c r="AO133" s="376" t="str">
        <f>IF(OR($C133="",$E133="",$F133="",$H133="",$I133="",$H133-$I133&lt;=0),"-",IF(AND($H133-MAX($F133,$E133)&gt;=ABS($E133-$F133)*2,MIN($F133,$E133)-$I133&lt;=ABS($E133-$F133)*0.5,ABS($E133-$F133)&gt;0),"上ヒゲ陰線▼",IF(AND($E133&lt;$F133,ABS($E133-$F133)&gt;=($H133-$I133)*0.7),"大陰線▼",IF(AND(MIN($F133,$E133)-$I133&gt;=($H133-$I133)*0.5,$H133-MAX($F133,$E133)&lt;=($H133-$I133)*0.2),"長い下ヒゲ(反発警戒)","通常"))))</f>
        <v>通常</v>
      </c>
      <c r="AP133" s="377">
        <f>IF($AO133="上ヒゲ陰線▼",2,IF($AO133="大陰線▼",2,IF($AO133="長い下ヒゲ(反発警戒)",-2,0)))</f>
        <v>0</v>
      </c>
      <c r="AQ133">
        <f>IF(C133&lt;&gt;"",始値!F165,"")</f>
        <v>7781</v>
      </c>
      <c r="AR133">
        <f>IF(C133&lt;&gt;"",高値!F165,"")</f>
        <v>7935</v>
      </c>
      <c r="AS133">
        <f>IF(C133&lt;&gt;"",安値!F165,"")</f>
        <v>7746</v>
      </c>
      <c r="AT133" t="str">
        <f>IF(OR(C133="",AQ133="",AR133="",AS133="",AR133-AS133&lt;=0),"-",IF(AND(AR133-MAX(G133,AQ133)&gt;=ABS(G133-AQ133)*2,MIN(G133,AQ133)-AS133&lt;=ABS(G133-AQ133)*0.5,ABS(G133-AQ133)&gt;0),"上ヒゲ陰線▼",IF(AND(G133&lt;AQ133,ABS(G133-AQ133)&gt;=(AR133-AS133)*0.7),"大陰線▼",IF(AND(MIN(G133,AQ133)-AS133&gt;=(AR133-AS133)*0.5,AR133-MAX(G133,AQ133)&lt;=(AR133-AS133)*0.2),"長い下ヒゲ(反発)","通常"))))</f>
        <v>上ヒゲ陰線▼</v>
      </c>
      <c r="AU133">
        <f>IF(AT133="上ヒゲ陰線▼",2,IF(AT133="大陰線▼",2,IF(AT133="長い下ヒゲ(反発)",-2,0)))</f>
        <v>2</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3290</v>
      </c>
      <c r="F134" s="333">
        <f>IF(C134&lt;&gt;"",_xll.RssMarket(C134,"始値"),"")</f>
        <v>3335</v>
      </c>
      <c r="G134" s="212">
        <f>IF(C134&lt;&gt;"",終値!F167,"")</f>
        <v>3335</v>
      </c>
      <c r="H134" s="333">
        <f>IF(C134&lt;&gt;"",_xll.RssMarket(C134,"高値"),"")</f>
        <v>3370</v>
      </c>
      <c r="I134" s="333">
        <f>IF(C134&lt;&gt;"",_xll.RssMarket(C134,"安値"),"")</f>
        <v>3250</v>
      </c>
      <c r="J134" s="333">
        <f>IF(C134&lt;&gt;"",_xll.RssMarket(C134,"出来高"),"")</f>
        <v>94100</v>
      </c>
      <c r="K134" s="333">
        <f>IF(C134&lt;&gt;"",_xll.RssMarket(C134,"年初来高値"),"")</f>
        <v>4220</v>
      </c>
      <c r="L134" s="334">
        <f>IF(AND(E134&lt;&gt;"",K134&lt;&gt;"",K134&lt;&gt;0),(E134-K134)/K134*100,"")</f>
        <v>-22.037914691943129</v>
      </c>
      <c r="M134" s="333">
        <f>IF(C134&lt;&gt;"",IFERROR(AVERAGE(出来高!E167:I167),""),"")</f>
        <v>160860</v>
      </c>
      <c r="N134" s="333">
        <f>IF(C134&lt;&gt;"",IFERROR(AVERAGE(出来高!E167:AC167),""),"")</f>
        <v>143537.5</v>
      </c>
      <c r="O134" s="335">
        <f>IF(AND(J134&lt;&gt;"",M134&lt;&gt;"",M134&lt;&gt;0),J134/M134,"")</f>
        <v>0.58498072858386174</v>
      </c>
      <c r="P134" s="212" t="str">
        <f>IF(O134="","",IF(O134&gt;=2,"急増↑↑",IF(O134&gt;=1.5,"増加↑",IF(O134&gt;=1,"普通→","減少↓"))))</f>
        <v>減少↓</v>
      </c>
      <c r="Q134" s="212" t="str">
        <f>IF(E134="","",IF(AND(E134&lt;G134,O134&gt;=1.5),"売り▼",IF(E134&gt;G134,"様子見▲","中立→")))</f>
        <v>中立→</v>
      </c>
      <c r="R134" s="333">
        <f>IF(E134&lt;&gt;"",ROUND(E134*0.92,0),"")</f>
        <v>3027</v>
      </c>
      <c r="S134" s="333">
        <f>IF(E134&lt;&gt;"",ROUND(E134*1.04,0),"")</f>
        <v>3422</v>
      </c>
      <c r="T134" s="325">
        <f>IF(C134="","",IFERROR(IF(W134&gt;=70,3,IF(W134&gt;=60,2,IF(W134&gt;=50,1,0)))+IF(X134&lt;0,2,0)+IF(AD134="下降トレンド▼",3,IF(AD134="もみ合い→",1,0))+IF(V134="年初来安値圏●",3,IF(V134="安値圏",2,0))+IF(Q134="売り▼",2,0)+IF(P134="急増↑↑",2,IF(P134="増加↑",1,0))+IF(Z134&lt;0,1,0)+IF(L134&lt;=-30,2,IF(L134&lt;=-15,1,0))+IF(AE134="25日戻り売り★",2,IF(AE134="5日戻り売り○",1,0))+N(AL134)+N(AP134)+N(AU134),0))</f>
        <v>6</v>
      </c>
      <c r="U134" s="212" t="str">
        <f>IF(T134="","",IF(AND(T134&gt;=3,O134&gt;=1.5),"有効",IF(T134&gt;=3,"要確認","除外")))</f>
        <v>要確認</v>
      </c>
      <c r="V134" s="212" t="str">
        <f>IF(AND(I134&lt;&gt;"",K134&lt;&gt;""),IF(I134&lt;=K134*0.6,"年初来安値圏●",IF(I134&lt;=K134*0.75,"安値圏","通常")),"")</f>
        <v>通常</v>
      </c>
      <c r="W134" s="336">
        <f t="array" ref="W134">IFERROR(100-100/(1+SUMPRODUCT((終値!F167:R167&gt;終値!G167:S167)*(終値!F167:R167-終値!G167:S167))/SUMPRODUCT((終値!F167:R167&lt;終値!G167:S167)*(終値!G167:S167-終値!F167:R167))),50)</f>
        <v>50.736842105263158</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-13.79018583898096</v>
      </c>
      <c r="Y134" s="212" t="str">
        <f>IF(AF134="","",AF134&amp;" | "&amp;AD134&amp;IF(AE134&lt;&gt;"なし"," "&amp;AE134,"")&amp;IF(X134&lt;0," MACD-"," MACD+")&amp;" RSI:"&amp;TEXT(W134,"0.0")&amp;IF(W134&gt;=70," [過熱]",IF(W134&lt;=30," [売られ過ぎ]",""))&amp;" 前日比:"&amp;TEXT(Z134,"+0.0;-0.0;0.0")&amp;"%"&amp;IF(V134="年初来安値圏●"," [年初来安値圏]",IF(V134="安値圏"," [安値圏]",""))&amp;IF(OR(AO134="通常",AO134="-"),""," ["&amp;AO134&amp;"]")&amp;IF(OR(AT134="通常",AT134="-"),"","前日["&amp;AT134&amp;"]")&amp;" ["&amp;T134&amp;"点]")</f>
        <v>相場上昇・見送り | パーフェクト▲ MACD- RSI:50.7 前日比:-1.3% [6点]</v>
      </c>
      <c r="Z134" s="338">
        <f>IF(AND(E134&lt;&gt;"",G134&lt;&gt;"",G134&lt;&gt;0),(E134-G134)/G134*100,"")</f>
        <v>-1.3493253373313343</v>
      </c>
      <c r="AA134" s="212" t="str">
        <f>IF(OR(C134="",E134="",E134=0),"",IF(E134&gt;G134,"上昇▲",IF(E134&lt;G134,"下落▼","横ばい→")))</f>
        <v>下落▼</v>
      </c>
      <c r="AB134" s="333">
        <f>IF(OR(C134="",C134="TOPX",終値!E167=""),"",IFERROR(((終値!E167*0.333)+(終値!F167*0.222)+(終値!G167*0.148)+(終値!H167*0.099)+(終値!I167*0.066))/(0.333+0.222+0.148+0.099+0.066),""))</f>
        <v>3257.7246543778801</v>
      </c>
      <c r="AC134" s="333">
        <f>IF(OR(C134="",C134="TOPX",終値!E167=""),"",IFERROR(SUMPRODUCT((終値!E167:AC167),{0.077,0.071,0.065,0.06,0.055,0.051,0.047,0.043,0.039,0.036,0.033,0.031,0.028,0.026,0.024,0.022,0.02,0.018,0.017,0.016,0.014,0.013,0.012,0.011,0.01})/SUM({0.077,0.071,0.065,0.06,0.055,0.051,0.047,0.043,0.039,0.036,0.033,0.031,0.028,0.026,0.024,0.022,0.02,0.018,0.017,0.016,0.014,0.013,0.012,0.011,0.01}),""))</f>
        <v>3057.7413587604287</v>
      </c>
      <c r="AD134" s="212" t="str">
        <f>IF(OR(C134="",AB134="",AC134="",AB134=0,AC134=0),"",IF(AND(E134&gt;AB134,AB134&gt;AC134),"パーフェクト▲",IF(E134&gt;AC134,"上昇トレンド▲",IF(AND(E134&lt;AB134,AB134&lt;AC134),"下降トレンド▼","もみ合い→"))))</f>
        <v>パーフェクト▲</v>
      </c>
      <c r="AE134" s="212" t="str">
        <f>IF(OR(C134="",AB134="",AC134=""),"",IF(AND(ABS(E134-AC134)/AC134&lt;=0.02,E134&lt;AC134),"25日戻り売り★",IF(AND(ABS(E134-AB134)/AB134&lt;=0.01,E134&lt;AB134),"5日戻り売り○","なし")))</f>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相場上昇・見送り</v>
      </c>
      <c r="AG134">
        <f>IF(AND(T134&gt;=7,C134&lt;&gt;""),T134,0)</f>
        <v>0</v>
      </c>
      <c r="AH134">
        <f>IF(AG134&gt;0,AG134*10000-ROW(A134),0)</f>
        <v>0</v>
      </c>
      <c r="AI134" s="373">
        <f t="array" ref="AI134">IF(C134="","",IFERROR((INDEX(終値!$E:$E,MATCH(TEXT(C134,"0"),終値!$A:$A,0))-INDEX(終値!$E:$CZ,MATCH(TEXT(C134,"0"),終値!$A:$A,0),$AN$2))/INDEX(終値!$E:$CZ,MATCH(TEXT(C134,"0"),終値!$A:$A,0),$AN$2)*100,""))</f>
        <v>-1.791044776119403</v>
      </c>
      <c r="AJ134" s="373">
        <f t="array" ref="AJ134">IFERROR((終値!$E$5-INDEX(終値!$E$5:$IT$5,1,$AN$2))/INDEX(終値!$E$5:$IT$5,1,$AN$2)*100,"")</f>
        <v>1.0179378228534113</v>
      </c>
      <c r="AK134" s="374">
        <f>IF(OR(AI134="",AJ134=""),"",AI134-AJ134)</f>
        <v>-2.8089825989728143</v>
      </c>
      <c r="AL134" s="372">
        <f>IF(AK134="","",IF(AK134&lt;-5,3,IF(AK134&lt;0,1,IF(AK134&lt;3,-1,-2))))</f>
        <v>1</v>
      </c>
      <c r="AO134" s="376" t="str">
        <f>IF(OR($C134="",$E134="",$F134="",$H134="",$I134="",$H134-$I134&lt;=0),"-",IF(AND($H134-MAX($F134,$E134)&gt;=ABS($E134-$F134)*2,MIN($F134,$E134)-$I134&lt;=ABS($E134-$F134)*0.5,ABS($E134-$F134)&gt;0),"上ヒゲ陰線▼",IF(AND($E134&lt;$F134,ABS($E134-$F134)&gt;=($H134-$I134)*0.7),"大陰線▼",IF(AND(MIN($F134,$E134)-$I134&gt;=($H134-$I134)*0.5,$H134-MAX($F134,$E134)&lt;=($H134-$I134)*0.2),"長い下ヒゲ(反発警戒)","通常"))))</f>
        <v>通常</v>
      </c>
      <c r="AP134" s="377">
        <f>IF($AO134="上ヒゲ陰線▼",2,IF($AO134="大陰線▼",2,IF($AO134="長い下ヒゲ(反発警戒)",-2,0)))</f>
        <v>0</v>
      </c>
      <c r="AQ134">
        <f>IF(C134&lt;&gt;"",始値!F167,"")</f>
        <v>3235</v>
      </c>
      <c r="AR134">
        <f>IF(C134&lt;&gt;"",高値!F167,"")</f>
        <v>3350</v>
      </c>
      <c r="AS134">
        <f>IF(C134&lt;&gt;"",安値!F167,"")</f>
        <v>3235</v>
      </c>
      <c r="AT134" t="str">
        <f>IF(OR(C134="",AQ134="",AR134="",AS134="",AR134-AS134&lt;=0),"-",IF(AND(AR134-MAX(G134,AQ134)&gt;=ABS(G134-AQ134)*2,MIN(G134,AQ134)-AS134&lt;=ABS(G134-AQ134)*0.5,ABS(G134-AQ134)&gt;0),"上ヒゲ陰線▼",IF(AND(G134&lt;AQ134,ABS(G134-AQ134)&gt;=(AR134-AS134)*0.7),"大陰線▼",IF(AND(MIN(G134,AQ134)-AS134&gt;=(AR134-AS134)*0.5,AR134-MAX(G134,AQ134)&lt;=(AR134-AS134)*0.2),"長い下ヒゲ(反発)","通常"))))</f>
        <v>通常</v>
      </c>
      <c r="AU134">
        <f>IF(AT134="上ヒゲ陰線▼",2,IF(AT134="大陰線▼",2,IF(AT134="長い下ヒゲ(反発)",-2,0)))</f>
        <v>0</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2030</v>
      </c>
      <c r="F135" s="326">
        <f>IF(C135&lt;&gt;"",_xll.RssMarket(C135,"始値"),"")</f>
        <v>2036</v>
      </c>
      <c r="G135" s="325">
        <f>IF(C135&lt;&gt;"",終値!F168,"")</f>
        <v>2033</v>
      </c>
      <c r="H135" s="326">
        <f>IF(C135&lt;&gt;"",_xll.RssMarket(C135,"高値"),"")</f>
        <v>2053</v>
      </c>
      <c r="I135" s="326">
        <f>IF(C135&lt;&gt;"",_xll.RssMarket(C135,"安値"),"")</f>
        <v>2030</v>
      </c>
      <c r="J135" s="326">
        <f>IF(C135&lt;&gt;"",_xll.RssMarket(C135,"出来高"),"")</f>
        <v>22400</v>
      </c>
      <c r="K135" s="326">
        <f>IF(C135&lt;&gt;"",_xll.RssMarket(C135,"年初来高値"),"")</f>
        <v>2348</v>
      </c>
      <c r="L135" s="327">
        <f>IF(AND(E135&lt;&gt;"",K135&lt;&gt;"",K135&lt;&gt;0),(E135-K135)/K135*100,"")</f>
        <v>-13.543441226575808</v>
      </c>
      <c r="M135" s="326">
        <f>IF(C135&lt;&gt;"",IFERROR(AVERAGE(出来高!E168:I168),""),"")</f>
        <v>24980</v>
      </c>
      <c r="N135" s="326">
        <f>IF(C135&lt;&gt;"",IFERROR(AVERAGE(出来高!E168:AC168),""),"")</f>
        <v>24295.833333333332</v>
      </c>
      <c r="O135" s="328">
        <f>IF(AND(J135&lt;&gt;"",M135&lt;&gt;"",M135&lt;&gt;0),J135/M135,"")</f>
        <v>0.89671737389911932</v>
      </c>
      <c r="P135" s="325" t="str">
        <f>IF(O135="","",IF(O135&gt;=2,"急増↑↑",IF(O135&gt;=1.5,"増加↑",IF(O135&gt;=1,"普通→","減少↓"))))</f>
        <v>減少↓</v>
      </c>
      <c r="Q135" s="325" t="str">
        <f>IF(E135="","",IF(AND(E135&lt;G135,O135&gt;=1.5),"売り▼",IF(E135&gt;G135,"様子見▲","中立→")))</f>
        <v>中立→</v>
      </c>
      <c r="R135" s="326">
        <f>IF(E135&lt;&gt;"",ROUND(E135*0.92,0),"")</f>
        <v>1868</v>
      </c>
      <c r="S135" s="326">
        <f>IF(E135&lt;&gt;"",ROUND(E135*1.04,0),"")</f>
        <v>2111</v>
      </c>
      <c r="T135" s="325">
        <f>IF(C135="","",IFERROR(IF(W135&gt;=70,3,IF(W135&gt;=60,2,IF(W135&gt;=50,1,0)))+IF(X135&lt;0,2,0)+IF(AD135="下降トレンド▼",3,IF(AD135="もみ合い→",1,0))+IF(V135="年初来安値圏●",3,IF(V135="安値圏",2,0))+IF(Q135="売り▼",2,0)+IF(P135="急増↑↑",2,IF(P135="増加↑",1,0))+IF(Z135&lt;0,1,0)+IF(L135&lt;=-30,2,IF(L135&lt;=-15,1,0))+IF(AE135="25日戻り売り★",2,IF(AE135="5日戻り売り○",1,0))+N(AL135)+N(AP135)+N(AU135),0))</f>
        <v>4</v>
      </c>
      <c r="U135" s="325" t="str">
        <f>IF(T135="","",IF(AND(T135&gt;=3,O135&gt;=1.5),"有効",IF(T135&gt;=3,"要確認","除外")))</f>
        <v>要確認</v>
      </c>
      <c r="V135" s="325" t="str">
        <f>IF(AND(I135&lt;&gt;"",K135&lt;&gt;""),IF(I135&lt;=K135*0.6,"年初来安値圏●",IF(I135&lt;=K135*0.75,"安値圏","通常")),"")</f>
        <v>通常</v>
      </c>
      <c r="W135" s="329">
        <f t="array" ref="W135">IFERROR(100-100/(1+SUMPRODUCT((終値!F168:R168&gt;終値!G168:S168)*(終値!F168:R168-終値!G168:S168))/SUMPRODUCT((終値!F168:R168&lt;終値!G168:S168)*(終値!G168:S168-終値!F168:R168))),50)</f>
        <v>50.271546635182993</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-4.9094686732132686E-2</v>
      </c>
      <c r="Y135" s="325" t="str">
        <f>IF(AF135="","",AF135&amp;" | "&amp;AD135&amp;IF(AE135&lt;&gt;"なし"," "&amp;AE135,"")&amp;IF(X135&lt;0," MACD-"," MACD+")&amp;" RSI:"&amp;TEXT(W135,"0.0")&amp;IF(W135&gt;=70," [過熱]",IF(W135&lt;=30," [売られ過ぎ]",""))&amp;" 前日比:"&amp;TEXT(Z135,"+0.0;-0.0;0.0")&amp;"%"&amp;IF(V135="年初来安値圏●"," [年初来安値圏]",IF(V135="安値圏"," [安値圏]",""))&amp;IF(OR(AO135="通常",AO135="-"),""," ["&amp;AO135&amp;"]")&amp;IF(OR(AT135="通常",AT135="-"),"","前日["&amp;AT135&amp;"]")&amp;" ["&amp;T135&amp;"点]")</f>
        <v>相場上昇・見送り | パーフェクト▲ MACD- RSI:50.3 前日比:-0.1% [上ヒゲ陰線▼] [4点]</v>
      </c>
      <c r="Z135" s="331">
        <f>IF(AND(E135&lt;&gt;"",G135&lt;&gt;"",G135&lt;&gt;0),(E135-G135)/G135*100,"")</f>
        <v>-0.14756517461878996</v>
      </c>
      <c r="AA135" s="325" t="str">
        <f>IF(OR(C135="",E135="",E135=0),"",IF(E135&gt;G135,"上昇▲",IF(E135&lt;G135,"下落▼","横ばい→")))</f>
        <v>下落▼</v>
      </c>
      <c r="AB135" s="326">
        <f>IF(OR(C135="",C135="TOPX",終値!E168=""),"",IFERROR(((終値!E168*0.333)+(終値!F168*0.222)+(終値!G168*0.148)+(終値!H168*0.099)+(終値!I168*0.066))/(0.333+0.222+0.148+0.099+0.066),""))</f>
        <v>2027.8317972350226</v>
      </c>
      <c r="AC135" s="326">
        <f>IF(OR(C135="",C135="TOPX",終値!E168=""),"",IFERROR(SUMPRODUCT((終値!E168:AC168),{0.077,0.071,0.065,0.06,0.055,0.051,0.047,0.043,0.039,0.036,0.033,0.031,0.028,0.026,0.024,0.022,0.02,0.018,0.017,0.016,0.014,0.013,0.012,0.011,0.01})/SUM({0.077,0.071,0.065,0.06,0.055,0.051,0.047,0.043,0.039,0.036,0.033,0.031,0.028,0.026,0.024,0.022,0.02,0.018,0.017,0.016,0.014,0.013,0.012,0.011,0.01}),""))</f>
        <v>1925.3230035756847</v>
      </c>
      <c r="AD135" s="325" t="str">
        <f>IF(OR(C135="",AB135="",AC135="",AB135=0,AC135=0),"",IF(AND(E135&gt;AB135,AB135&gt;AC135),"パーフェクト▲",IF(E135&gt;AC135,"上昇トレンド▲",IF(AND(E135&lt;AB135,AB135&lt;AC135),"下降トレンド▼","もみ合い→"))))</f>
        <v>パーフェクト▲</v>
      </c>
      <c r="AE135" s="325" t="str">
        <f>IF(OR(C135="",AB135="",AC135=""),"",IF(AND(ABS(E135-AC135)/AC135&lt;=0.02,E135&lt;AC135),"25日戻り売り★",IF(AND(ABS(E135-AB135)/AB135&lt;=0.01,E135&lt;AB135),"5日戻り売り○","なし")))</f>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相場上昇・見送り</v>
      </c>
      <c r="AG135">
        <f>IF(AND(T135&gt;=7,C135&lt;&gt;""),T135,0)</f>
        <v>0</v>
      </c>
      <c r="AH135">
        <f>IF(AG135&gt;0,AG135*10000-ROW(A135),0)</f>
        <v>0</v>
      </c>
      <c r="AI135" s="373">
        <f t="array" ref="AI135">IF(C135="","",IFERROR((INDEX(終値!$E:$E,MATCH(TEXT(C135,"0"),終値!$A:$A,0))-INDEX(終値!$E:$CZ,MATCH(TEXT(C135,"0"),終値!$A:$A,0),$AN$2))/INDEX(終値!$E:$CZ,MATCH(TEXT(C135,"0"),終値!$A:$A,0),$AN$2)*100,""))</f>
        <v>5.3997923156801662</v>
      </c>
      <c r="AJ135" s="373">
        <f t="array" ref="AJ135">IFERROR((終値!$E$5-INDEX(終値!$E$5:$IT$5,1,$AN$2))/INDEX(終値!$E$5:$IT$5,1,$AN$2)*100,"")</f>
        <v>1.0179378228534113</v>
      </c>
      <c r="AK135" s="374">
        <f>IF(OR(AI135="",AJ135=""),"",AI135-AJ135)</f>
        <v>4.3818544928267551</v>
      </c>
      <c r="AL135" s="372">
        <f>IF(AK135="","",IF(AK135&lt;-5,3,IF(AK135&lt;0,1,IF(AK135&lt;3,-1,-2))))</f>
        <v>-2</v>
      </c>
      <c r="AO135" s="376" t="str">
        <f>IF(OR($C135="",$E135="",$F135="",$H135="",$I135="",$H135-$I135&lt;=0),"-",IF(AND($H135-MAX($F135,$E135)&gt;=ABS($E135-$F135)*2,MIN($F135,$E135)-$I135&lt;=ABS($E135-$F135)*0.5,ABS($E135-$F135)&gt;0),"上ヒゲ陰線▼",IF(AND($E135&lt;$F135,ABS($E135-$F135)&gt;=($H135-$I135)*0.7),"大陰線▼",IF(AND(MIN($F135,$E135)-$I135&gt;=($H135-$I135)*0.5,$H135-MAX($F135,$E135)&lt;=($H135-$I135)*0.2),"長い下ヒゲ(反発警戒)","通常"))))</f>
        <v>上ヒゲ陰線▼</v>
      </c>
      <c r="AP135" s="377">
        <f>IF($AO135="上ヒゲ陰線▼",2,IF($AO135="大陰線▼",2,IF($AO135="長い下ヒゲ(反発警戒)",-2,0)))</f>
        <v>2</v>
      </c>
      <c r="AQ135">
        <f>IF(C135&lt;&gt;"",始値!F168,"")</f>
        <v>2016</v>
      </c>
      <c r="AR135">
        <f>IF(C135&lt;&gt;"",高値!F168,"")</f>
        <v>2064</v>
      </c>
      <c r="AS135">
        <f>IF(C135&lt;&gt;"",安値!F168,"")</f>
        <v>2016</v>
      </c>
      <c r="AT135" t="str">
        <f>IF(OR(C135="",AQ135="",AR135="",AS135="",AR135-AS135&lt;=0),"-",IF(AND(AR135-MAX(G135,AQ135)&gt;=ABS(G135-AQ135)*2,MIN(G135,AQ135)-AS135&lt;=ABS(G135-AQ135)*0.5,ABS(G135-AQ135)&gt;0),"上ヒゲ陰線▼",IF(AND(G135&lt;AQ135,ABS(G135-AQ135)&gt;=(AR135-AS135)*0.7),"大陰線▼",IF(AND(MIN(G135,AQ135)-AS135&gt;=(AR135-AS135)*0.5,AR135-MAX(G135,AQ135)&lt;=(AR135-AS135)*0.2),"長い下ヒゲ(反発)","通常"))))</f>
        <v>通常</v>
      </c>
      <c r="AU135">
        <f>IF(AT135="上ヒゲ陰線▼",2,IF(AT135="大陰線▼",2,IF(AT135="長い下ヒゲ(反発)",-2,0)))</f>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900</v>
      </c>
      <c r="F136" s="333">
        <f>IF(C136&lt;&gt;"",_xll.RssMarket(C136,"始値"),"")</f>
        <v>890</v>
      </c>
      <c r="G136" s="212">
        <f>IF(C136&lt;&gt;"",終値!F169,"")</f>
        <v>889</v>
      </c>
      <c r="H136" s="333">
        <f>IF(C136&lt;&gt;"",_xll.RssMarket(C136,"高値"),"")</f>
        <v>902</v>
      </c>
      <c r="I136" s="333">
        <f>IF(C136&lt;&gt;"",_xll.RssMarket(C136,"安値"),"")</f>
        <v>890</v>
      </c>
      <c r="J136" s="333">
        <f>IF(C136&lt;&gt;"",_xll.RssMarket(C136,"出来高"),"")</f>
        <v>104300</v>
      </c>
      <c r="K136" s="333">
        <f>IF(C136&lt;&gt;"",_xll.RssMarket(C136,"年初来高値"),"")</f>
        <v>1041</v>
      </c>
      <c r="L136" s="334">
        <f>IF(AND(E136&lt;&gt;"",K136&lt;&gt;"",K136&lt;&gt;0),(E136-K136)/K136*100,"")</f>
        <v>-13.544668587896252</v>
      </c>
      <c r="M136" s="333">
        <f>IF(C136&lt;&gt;"",IFERROR(AVERAGE(出来高!E169:I169),""),"")</f>
        <v>210320</v>
      </c>
      <c r="N136" s="333">
        <f>IF(C136&lt;&gt;"",IFERROR(AVERAGE(出来高!E169:AC169),""),"")</f>
        <v>184648</v>
      </c>
      <c r="O136" s="335">
        <f>IF(AND(J136&lt;&gt;"",M136&lt;&gt;"",M136&lt;&gt;0),J136/M136,"")</f>
        <v>0.49591099277291745</v>
      </c>
      <c r="P136" s="212" t="str">
        <f>IF(O136="","",IF(O136&gt;=2,"急増↑↑",IF(O136&gt;=1.5,"増加↑",IF(O136&gt;=1,"普通→","減少↓"))))</f>
        <v>減少↓</v>
      </c>
      <c r="Q136" s="212" t="str">
        <f>IF(E136="","",IF(AND(E136&lt;G136,O136&gt;=1.5),"売り▼",IF(E136&gt;G136,"様子見▲","中立→")))</f>
        <v>様子見▲</v>
      </c>
      <c r="R136" s="333">
        <f>IF(E136&lt;&gt;"",ROUND(E136*0.92,0),"")</f>
        <v>828</v>
      </c>
      <c r="S136" s="333">
        <f>IF(E136&lt;&gt;"",ROUND(E136*1.04,0),"")</f>
        <v>936</v>
      </c>
      <c r="T136" s="325">
        <f>IF(C136="","",IFERROR(IF(W136&gt;=70,3,IF(W136&gt;=60,2,IF(W136&gt;=50,1,0)))+IF(X136&lt;0,2,0)+IF(AD136="下降トレンド▼",3,IF(AD136="もみ合い→",1,0))+IF(V136="年初来安値圏●",3,IF(V136="安値圏",2,0))+IF(Q136="売り▼",2,0)+IF(P136="急増↑↑",2,IF(P136="増加↑",1,0))+IF(Z136&lt;0,1,0)+IF(L136&lt;=-30,2,IF(L136&lt;=-15,1,0))+IF(AE136="25日戻り売り★",2,IF(AE136="5日戻り売り○",1,0))+N(AL136)+N(AP136)+N(AU136),0))</f>
        <v>4</v>
      </c>
      <c r="U136" s="212" t="str">
        <f>IF(T136="","",IF(AND(T136&gt;=3,O136&gt;=1.5),"有効",IF(T136&gt;=3,"要確認","除外")))</f>
        <v>要確認</v>
      </c>
      <c r="V136" s="212" t="str">
        <f>IF(AND(I136&lt;&gt;"",K136&lt;&gt;""),IF(I136&lt;=K136*0.6,"年初来安値圏●",IF(I136&lt;=K136*0.75,"安値圏","通常")),"")</f>
        <v>通常</v>
      </c>
      <c r="W136" s="336">
        <f t="array" ref="W136">IFERROR(100-100/(1+SUMPRODUCT((終値!F169:R169&gt;終値!G169:S169)*(終値!F169:R169-終値!G169:S169))/SUMPRODUCT((終値!F169:R169&lt;終値!G169:S169)*(終値!G169:S169-終値!F169:R169))),50)</f>
        <v>38.333333333333329</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-0.56063947078280307</v>
      </c>
      <c r="Y136" s="212" t="str">
        <f>IF(AF136="","",AF136&amp;" | "&amp;AD136&amp;IF(AE136&lt;&gt;"なし"," "&amp;AE136,"")&amp;IF(X136&lt;0," MACD-"," MACD+")&amp;" RSI:"&amp;TEXT(W136,"0.0")&amp;IF(W136&gt;=70," [過熱]",IF(W136&lt;=30," [売られ過ぎ]",""))&amp;" 前日比:"&amp;TEXT(Z136,"+0.0;-0.0;0.0")&amp;"%"&amp;IF(V136="年初来安値圏●"," [年初来安値圏]",IF(V136="安値圏"," [安値圏]",""))&amp;IF(OR(AO136="通常",AO136="-"),""," ["&amp;AO136&amp;"]")&amp;IF(OR(AT136="通常",AT136="-"),"","前日["&amp;AT136&amp;"]")&amp;" ["&amp;T136&amp;"点]")</f>
        <v>○逆張り売り | もみ合い→ 25日戻り売り★ MACD- RSI:38.3 前日比:+1.2% [4点]</v>
      </c>
      <c r="Z136" s="338">
        <f>IF(AND(E136&lt;&gt;"",G136&lt;&gt;"",G136&lt;&gt;0),(E136-G136)/G136*100,"")</f>
        <v>1.2373453318335208</v>
      </c>
      <c r="AA136" s="212" t="str">
        <f>IF(OR(C136="",E136="",E136=0),"",IF(E136&gt;G136,"上昇▲",IF(E136&lt;G136,"下落▼","横ばい→")))</f>
        <v>上昇▲</v>
      </c>
      <c r="AB136" s="333">
        <f>IF(OR(C136="",C136="TOPX",終値!E169=""),"",IFERROR(((終値!E169*0.333)+(終値!F169*0.222)+(終値!G169*0.148)+(終値!H169*0.099)+(終値!I169*0.066))/(0.333+0.222+0.148+0.099+0.066),""))</f>
        <v>896.25806451612902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905.84982121573262</v>
      </c>
      <c r="AD136" s="212" t="str">
        <f>IF(OR(C136="",AB136="",AC136="",AB136=0,AC136=0),"",IF(AND(E136&gt;AB136,AB136&gt;AC136),"パーフェクト▲",IF(E136&gt;AC136,"上昇トレンド▲",IF(AND(E136&lt;AB136,AB136&lt;AC136),"下降トレンド▼","もみ合い→"))))</f>
        <v>もみ合い→</v>
      </c>
      <c r="AE136" s="212" t="str">
        <f>IF(OR(C136="",AB136="",AC136=""),"",IF(AND(ABS(E136-AC136)/AC136&lt;=0.02,E136&lt;AC136),"25日戻り売り★",IF(AND(ABS(E136-AB136)/AB136&lt;=0.01,E136&lt;AB136),"5日戻り売り○","なし")))</f>
        <v>25日戻り売り★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○逆張り売り</v>
      </c>
      <c r="AG136">
        <f>IF(AND(T136&gt;=7,C136&lt;&gt;""),T136,0)</f>
        <v>0</v>
      </c>
      <c r="AH136">
        <f>IF(AG136&gt;0,AG136*10000-ROW(A136),0)</f>
        <v>0</v>
      </c>
      <c r="AI136" s="373">
        <f t="array" ref="AI136">IF(C136="","",IFERROR((INDEX(終値!$E:$E,MATCH(TEXT(C136,"0"),終値!$A:$A,0))-INDEX(終値!$E:$CZ,MATCH(TEXT(C136,"0"),終値!$A:$A,0),$AN$2))/INDEX(終値!$E:$CZ,MATCH(TEXT(C136,"0"),終値!$A:$A,0),$AN$2)*100,""))</f>
        <v>2.5056947608200453</v>
      </c>
      <c r="AJ136" s="373">
        <f t="array" ref="AJ136">IFERROR((終値!$E$5-INDEX(終値!$E$5:$IT$5,1,$AN$2))/INDEX(終値!$E$5:$IT$5,1,$AN$2)*100,"")</f>
        <v>1.0179378228534113</v>
      </c>
      <c r="AK136" s="374">
        <f>IF(OR(AI136="",AJ136=""),"",AI136-AJ136)</f>
        <v>1.487756937966634</v>
      </c>
      <c r="AL136" s="372">
        <f>IF(AK136="","",IF(AK136&lt;-5,3,IF(AK136&lt;0,1,IF(AK136&lt;3,-1,-2))))</f>
        <v>-1</v>
      </c>
      <c r="AO136" s="376" t="str">
        <f>IF(OR($C136="",$E136="",$F136="",$H136="",$I136="",$H136-$I136&lt;=0),"-",IF(AND($H136-MAX($F136,$E136)&gt;=ABS($E136-$F136)*2,MIN($F136,$E136)-$I136&lt;=ABS($E136-$F136)*0.5,ABS($E136-$F136)&gt;0),"上ヒゲ陰線▼",IF(AND($E136&lt;$F136,ABS($E136-$F136)&gt;=($H136-$I136)*0.7),"大陰線▼",IF(AND(MIN($F136,$E136)-$I136&gt;=($H136-$I136)*0.5,$H136-MAX($F136,$E136)&lt;=($H136-$I136)*0.2),"長い下ヒゲ(反発警戒)","通常"))))</f>
        <v>通常</v>
      </c>
      <c r="AP136" s="377">
        <f>IF($AO136="上ヒゲ陰線▼",2,IF($AO136="大陰線▼",2,IF($AO136="長い下ヒゲ(反発警戒)",-2,0)))</f>
        <v>0</v>
      </c>
      <c r="AQ136">
        <f>IF(C136&lt;&gt;"",始値!F169,"")</f>
        <v>891</v>
      </c>
      <c r="AR136">
        <f>IF(C136&lt;&gt;"",高値!F169,"")</f>
        <v>900</v>
      </c>
      <c r="AS136">
        <f>IF(C136&lt;&gt;"",安値!F169,"")</f>
        <v>885</v>
      </c>
      <c r="AT136" t="str">
        <f>IF(OR(C136="",AQ136="",AR136="",AS136="",AR136-AS136&lt;=0),"-",IF(AND(AR136-MAX(G136,AQ136)&gt;=ABS(G136-AQ136)*2,MIN(G136,AQ136)-AS136&lt;=ABS(G136-AQ136)*0.5,ABS(G136-AQ136)&gt;0),"上ヒゲ陰線▼",IF(AND(G136&lt;AQ136,ABS(G136-AQ136)&gt;=(AR136-AS136)*0.7),"大陰線▼",IF(AND(MIN(G136,AQ136)-AS136&gt;=(AR136-AS136)*0.5,AR136-MAX(G136,AQ136)&lt;=(AR136-AS136)*0.2),"長い下ヒゲ(反発)","通常"))))</f>
        <v>通常</v>
      </c>
      <c r="AU136">
        <f>IF(AT136="上ヒゲ陰線▼",2,IF(AT136="大陰線▼",2,IF(AT136="長い下ヒゲ(反発)",-2,0)))</f>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1537</v>
      </c>
      <c r="F137" s="326">
        <f>IF(C137&lt;&gt;"",_xll.RssMarket(C137,"始値"),"")</f>
        <v>1515</v>
      </c>
      <c r="G137" s="325">
        <f>IF(C137&lt;&gt;"",終値!F177,"")</f>
        <v>1529</v>
      </c>
      <c r="H137" s="326">
        <f>IF(C137&lt;&gt;"",_xll.RssMarket(C137,"高値"),"")</f>
        <v>1562</v>
      </c>
      <c r="I137" s="326">
        <f>IF(C137&lt;&gt;"",_xll.RssMarket(C137,"安値"),"")</f>
        <v>1504</v>
      </c>
      <c r="J137" s="326">
        <f>IF(C137&lt;&gt;"",_xll.RssMarket(C137,"出来高"),"")</f>
        <v>455900</v>
      </c>
      <c r="K137" s="326">
        <f>IF(C137&lt;&gt;"",_xll.RssMarket(C137,"年初来高値"),"")</f>
        <v>1596</v>
      </c>
      <c r="L137" s="327">
        <f>IF(AND(E137&lt;&gt;"",K137&lt;&gt;"",K137&lt;&gt;0),(E137-K137)/K137*100,"")</f>
        <v>-3.6967418546365911</v>
      </c>
      <c r="M137" s="326">
        <f>IF(C137&lt;&gt;"",IFERROR(AVERAGE(出来高!E177:I177),""),"")</f>
        <v>553600</v>
      </c>
      <c r="N137" s="326">
        <f>IF(C137&lt;&gt;"",IFERROR(AVERAGE(出来高!E177:AC177),""),"")</f>
        <v>553600</v>
      </c>
      <c r="O137" s="328">
        <f>IF(AND(J137&lt;&gt;"",M137&lt;&gt;"",M137&lt;&gt;0),J137/M137,"")</f>
        <v>0.82351878612716767</v>
      </c>
      <c r="P137" s="325" t="str">
        <f>IF(O137="","",IF(O137&gt;=2,"急増↑↑",IF(O137&gt;=1.5,"増加↑",IF(O137&gt;=1,"普通→","減少↓"))))</f>
        <v>減少↓</v>
      </c>
      <c r="Q137" s="325" t="str">
        <f>IF(E137="","",IF(AND(E137&lt;G137,O137&gt;=1.5),"売り▼",IF(E137&gt;G137,"様子見▲","中立→")))</f>
        <v>様子見▲</v>
      </c>
      <c r="R137" s="326">
        <f>IF(E137&lt;&gt;"",ROUND(E137*0.92,0),"")</f>
        <v>1414</v>
      </c>
      <c r="S137" s="326">
        <f>IF(E137&lt;&gt;"",ROUND(E137*1.04,0),"")</f>
        <v>1598</v>
      </c>
      <c r="T137" s="325">
        <f>IF(C137="","",IFERROR(IF(W137&gt;=70,3,IF(W137&gt;=60,2,IF(W137&gt;=50,1,0)))+IF(X137&lt;0,2,0)+IF(AD137="下降トレンド▼",3,IF(AD137="もみ合い→",1,0))+IF(V137="年初来安値圏●",3,IF(V137="安値圏",2,0))+IF(Q137="売り▼",2,0)+IF(P137="急増↑↑",2,IF(P137="増加↑",1,0))+IF(Z137&lt;0,1,0)+IF(L137&lt;=-30,2,IF(L137&lt;=-15,1,0))+IF(AE137="25日戻り売り★",2,IF(AE137="5日戻り売り○",1,0))+N(AL137)+N(AP137)+N(AU137),0))</f>
        <v>1</v>
      </c>
      <c r="U137" s="325" t="str">
        <f>IF(T137="","",IF(AND(T137&gt;=3,O137&gt;=1.5),"有効",IF(T137&gt;=3,"要確認","除外")))</f>
        <v>除外</v>
      </c>
      <c r="V137" s="325" t="str">
        <f>IF(AND(I137&lt;&gt;"",K137&lt;&gt;""),IF(I137&lt;=K137*0.6,"年初来安値圏●",IF(I137&lt;=K137*0.75,"安値圏","通常")),"")</f>
        <v>通常</v>
      </c>
      <c r="W137" s="329">
        <f t="array" ref="W137">IFERROR(100-100/(1+SUMPRODUCT((終値!F177:R177&gt;終値!G177:S177)*(終値!F177:R177-終値!G177:S177))/SUMPRODUCT((終値!F177:R177&lt;終値!G177:S177)*(終値!G177:S177-終値!F177:R177))),50)</f>
        <v>50</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96.017704257698938</v>
      </c>
      <c r="Y137" s="325" t="str">
        <f>IF(AF137="","",AF137&amp;" | "&amp;AD137&amp;IF(AE137&lt;&gt;"なし"," "&amp;AE137,"")&amp;IF(X137&lt;0," MACD-"," MACD+")&amp;" RSI:"&amp;TEXT(W137,"0.0")&amp;IF(W137&gt;=70," [過熱]",IF(W137&lt;=30," [売られ過ぎ]",""))&amp;" 前日比:"&amp;TEXT(Z137,"+0.0;-0.0;0.0")&amp;"%"&amp;IF(V137="年初来安値圏●"," [年初来安値圏]",IF(V137="安値圏"," [安値圏]",""))&amp;IF(OR(AO137="通常",AO137="-"),""," ["&amp;AO137&amp;"]")&amp;IF(OR(AT137="通常",AT137="-"),"","前日["&amp;AT137&amp;"]")&amp;" ["&amp;T137&amp;"点]")</f>
        <v>相場上昇・見送り | パーフェクト▲ MACD+ RSI:50.0 前日比:+0.5% [1点]</v>
      </c>
      <c r="Z137" s="331">
        <f>IF(AND(E137&lt;&gt;"",G137&lt;&gt;"",G137&lt;&gt;0),(E137-G137)/G137*100,"")</f>
        <v>0.52321778940483976</v>
      </c>
      <c r="AA137" s="325" t="str">
        <f>IF(OR(C137="",E137="",E137=0),"",IF(E137&gt;G137,"上昇▲",IF(E137&lt;G137,"下落▼","横ばい→")))</f>
        <v>上昇▲</v>
      </c>
      <c r="AB137" s="326">
        <f>IF(OR(C137="",C137="TOPX",終値!E177=""),"",IFERROR(((終値!E177*0.333)+(終値!F177*0.222)+(終値!G177*0.148)+(終値!H177*0.099)+(終値!I177*0.066))/(0.333+0.222+0.148+0.099+0.066),""))</f>
        <v>980.71313364055288</v>
      </c>
      <c r="AC137" s="326">
        <f>IF(OR(C137="",C137="TOPX",終値!E177=""),"",IFERROR(SUMPRODUCT((終値!E177:AC177),{0.077,0.071,0.065,0.06,0.055,0.051,0.047,0.043,0.039,0.036,0.033,0.031,0.028,0.026,0.024,0.022,0.02,0.018,0.017,0.016,0.014,0.013,0.012,0.011,0.01})/SUM({0.077,0.071,0.065,0.06,0.055,0.051,0.047,0.043,0.039,0.036,0.033,0.031,0.028,0.026,0.024,0.022,0.02,0.018,0.017,0.016,0.014,0.013,0.012,0.011,0.01}),""))</f>
        <v>270.45053635280084</v>
      </c>
      <c r="AD137" s="325" t="str">
        <f>IF(OR(C137="",AB137="",AC137="",AB137=0,AC137=0),"",IF(AND(E137&gt;AB137,AB137&gt;AC137),"パーフェクト▲",IF(E137&gt;AC137,"上昇トレンド▲",IF(AND(E137&lt;AB137,AB137&lt;AC137),"下降トレンド▼","もみ合い→"))))</f>
        <v>パーフェクト▲</v>
      </c>
      <c r="AE137" s="325" t="str">
        <f>IF(OR(C137="",AB137="",AC137=""),"",IF(AND(ABS(E137-AC137)/AC137&lt;=0.02,E137&lt;AC137),"25日戻り売り★",IF(AND(ABS(E137-AB137)/AB137&lt;=0.01,E137&lt;AB137),"5日戻り売り○","なし")))</f>
        <v>なし</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相場上昇・見送り</v>
      </c>
      <c r="AG137">
        <f>IF(AND(T137&gt;=7,C137&lt;&gt;""),T137,0)</f>
        <v>0</v>
      </c>
      <c r="AH137">
        <f>IF(AG137&gt;0,AG137*10000-ROW(A137),0)</f>
        <v>0</v>
      </c>
      <c r="AI137" s="373" t="str">
        <f t="array" ref="AI137">IF(C137="","",IFERROR((INDEX(終値!$E:$E,MATCH(TEXT(C137,"0"),終値!$A:$A,0))-INDEX(終値!$E:$CZ,MATCH(TEXT(C137,"0"),終値!$A:$A,0),$AN$2))/INDEX(終値!$E:$CZ,MATCH(TEXT(C137,"0"),終値!$A:$A,0),$AN$2)*100,""))</f>
        <v/>
      </c>
      <c r="AJ137" s="373">
        <f t="array" ref="AJ137">IFERROR((終値!$E$5-INDEX(終値!$E$5:$IT$5,1,$AN$2))/INDEX(終値!$E$5:$IT$5,1,$AN$2)*100,"")</f>
        <v>1.0179378228534113</v>
      </c>
      <c r="AK137" s="374" t="str">
        <f>IF(OR(AI137="",AJ137=""),"",AI137-AJ137)</f>
        <v/>
      </c>
      <c r="AL137" s="372" t="str">
        <f>IF(AK137="","",IF(AK137&lt;-5,3,IF(AK137&lt;0,1,IF(AK137&lt;3,-1,-2))))</f>
        <v/>
      </c>
      <c r="AO137" s="376" t="str">
        <f>IF(OR($C137="",$E137="",$F137="",$H137="",$I137="",$H137-$I137&lt;=0),"-",IF(AND($H137-MAX($F137,$E137)&gt;=ABS($E137-$F137)*2,MIN($F137,$E137)-$I137&lt;=ABS($E137-$F137)*0.5,ABS($E137-$F137)&gt;0),"上ヒゲ陰線▼",IF(AND($E137&lt;$F137,ABS($E137-$F137)&gt;=($H137-$I137)*0.7),"大陰線▼",IF(AND(MIN($F137,$E137)-$I137&gt;=($H137-$I137)*0.5,$H137-MAX($F137,$E137)&lt;=($H137-$I137)*0.2),"長い下ヒゲ(反発警戒)","通常"))))</f>
        <v>通常</v>
      </c>
      <c r="AP137" s="377">
        <f>IF($AO137="上ヒゲ陰線▼",2,IF($AO137="大陰線▼",2,IF($AO137="長い下ヒゲ(反発警戒)",-2,0)))</f>
        <v>0</v>
      </c>
      <c r="AQ137">
        <f>IF(C137&lt;&gt;"",始値!F177,"")</f>
        <v>1465</v>
      </c>
      <c r="AR137">
        <f>IF(C137&lt;&gt;"",高値!F177,"")</f>
        <v>1535</v>
      </c>
      <c r="AS137">
        <f>IF(C137&lt;&gt;"",安値!F177,"")</f>
        <v>1465</v>
      </c>
      <c r="AT137" t="str">
        <f>IF(OR(C137="",AQ137="",AR137="",AS137="",AR137-AS137&lt;=0),"-",IF(AND(AR137-MAX(G137,AQ137)&gt;=ABS(G137-AQ137)*2,MIN(G137,AQ137)-AS137&lt;=ABS(G137-AQ137)*0.5,ABS(G137-AQ137)&gt;0),"上ヒゲ陰線▼",IF(AND(G137&lt;AQ137,ABS(G137-AQ137)&gt;=(AR137-AS137)*0.7),"大陰線▼",IF(AND(MIN(G137,AQ137)-AS137&gt;=(AR137-AS137)*0.5,AR137-MAX(G137,AQ137)&lt;=(AR137-AS137)*0.2),"長い下ヒゲ(反発)","通常"))))</f>
        <v>通常</v>
      </c>
      <c r="AU137">
        <f>IF(AT137="上ヒゲ陰線▼",2,IF(AT137="大陰線▼",2,IF(AT137="長い下ヒゲ(反発)",-2,0)))</f>
        <v>0</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2314</v>
      </c>
      <c r="F138" s="333">
        <f>IF(C138&lt;&gt;"",_xll.RssMarket(C138,"始値"),"")</f>
        <v>2260</v>
      </c>
      <c r="G138" s="212">
        <f>IF(C138&lt;&gt;"",終値!F193,"")</f>
        <v>2288</v>
      </c>
      <c r="H138" s="333">
        <f>IF(C138&lt;&gt;"",_xll.RssMarket(C138,"高値"),"")</f>
        <v>2412</v>
      </c>
      <c r="I138" s="333">
        <f>IF(C138&lt;&gt;"",_xll.RssMarket(C138,"安値"),"")</f>
        <v>2250</v>
      </c>
      <c r="J138" s="333">
        <f>IF(C138&lt;&gt;"",_xll.RssMarket(C138,"出来高"),"")</f>
        <v>492700</v>
      </c>
      <c r="K138" s="333">
        <f>IF(C138&lt;&gt;"",_xll.RssMarket(C138,"年初来高値"),"")</f>
        <v>3405</v>
      </c>
      <c r="L138" s="334">
        <f>IF(AND(E138&lt;&gt;"",K138&lt;&gt;"",K138&lt;&gt;0),(E138-K138)/K138*100,"")</f>
        <v>-32.041116005873718</v>
      </c>
      <c r="M138" s="333">
        <f>IF(C138&lt;&gt;"",IFERROR(AVERAGE(出来高!E193:I193),""),"")</f>
        <v>418560</v>
      </c>
      <c r="N138" s="333">
        <f>IF(C138&lt;&gt;"",IFERROR(AVERAGE(出来高!E193:AC193),""),"")</f>
        <v>619792</v>
      </c>
      <c r="O138" s="335">
        <f>IF(AND(J138&lt;&gt;"",M138&lt;&gt;"",M138&lt;&gt;0),J138/M138,"")</f>
        <v>1.177131116207951</v>
      </c>
      <c r="P138" s="212" t="str">
        <f>IF(O138="","",IF(O138&gt;=2,"急増↑↑",IF(O138&gt;=1.5,"増加↑",IF(O138&gt;=1,"普通→","減少↓"))))</f>
        <v>普通→</v>
      </c>
      <c r="Q138" s="212" t="str">
        <f>IF(E138="","",IF(AND(E138&lt;G138,O138&gt;=1.5),"売り▼",IF(E138&gt;G138,"様子見▲","中立→")))</f>
        <v>様子見▲</v>
      </c>
      <c r="R138" s="333">
        <f>IF(E138&lt;&gt;"",ROUND(E138*0.92,0),"")</f>
        <v>2129</v>
      </c>
      <c r="S138" s="333">
        <f>IF(E138&lt;&gt;"",ROUND(E138*1.04,0),"")</f>
        <v>2407</v>
      </c>
      <c r="T138" s="325">
        <f>IF(C138="","",IFERROR(IF(W138&gt;=70,3,IF(W138&gt;=60,2,IF(W138&gt;=50,1,0)))+IF(X138&lt;0,2,0)+IF(AD138="下降トレンド▼",3,IF(AD138="もみ合い→",1,0))+IF(V138="年初来安値圏●",3,IF(V138="安値圏",2,0))+IF(Q138="売り▼",2,0)+IF(P138="急増↑↑",2,IF(P138="増加↑",1,0))+IF(Z138&lt;0,1,0)+IF(L138&lt;=-30,2,IF(L138&lt;=-15,1,0))+IF(AE138="25日戻り売り★",2,IF(AE138="5日戻り売り○",1,0))+N(AL138)+N(AP138)+N(AU138),0))</f>
        <v>3</v>
      </c>
      <c r="U138" s="212" t="str">
        <f>IF(T138="","",IF(AND(T138&gt;=3,O138&gt;=1.5),"有効",IF(T138&gt;=3,"要確認","除外")))</f>
        <v>要確認</v>
      </c>
      <c r="V138" s="212" t="str">
        <f>IF(AND(I138&lt;&gt;"",K138&lt;&gt;""),IF(I138&lt;=K138*0.6,"年初来安値圏●",IF(I138&lt;=K138*0.75,"安値圏","通常")),"")</f>
        <v>安値圏</v>
      </c>
      <c r="W138" s="336">
        <f t="array" ref="W138">IFERROR(100-100/(1+SUMPRODUCT((終値!F193:R193&gt;終値!G193:S193)*(終値!F193:R193-終値!G193:S193))/SUMPRODUCT((終値!F193:R193&lt;終値!G193:S193)*(終値!G193:S193-終値!F193:R193))),50)</f>
        <v>56.87022900763359</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9.3532254148453831</v>
      </c>
      <c r="Y138" s="212" t="str">
        <f>IF(AF138="","",AF138&amp;" | "&amp;AD138&amp;IF(AE138&lt;&gt;"なし"," "&amp;AE138,"")&amp;IF(X138&lt;0," MACD-"," MACD+")&amp;" RSI:"&amp;TEXT(W138,"0.0")&amp;IF(W138&gt;=70," [過熱]",IF(W138&lt;=30," [売られ過ぎ]",""))&amp;" 前日比:"&amp;TEXT(Z138,"+0.0;-0.0;0.0")&amp;"%"&amp;IF(V138="年初来安値圏●"," [年初来安値圏]",IF(V138="安値圏"," [安値圏]",""))&amp;IF(OR(AO138="通常",AO138="-"),""," ["&amp;AO138&amp;"]")&amp;IF(OR(AT138="通常",AT138="-"),"","前日["&amp;AT138&amp;"]")&amp;" ["&amp;T138&amp;"点]")</f>
        <v>相場上昇・見送り | パーフェクト▲ MACD+ RSI:56.9 前日比:+1.1% [安値圏] [3点]</v>
      </c>
      <c r="Z138" s="338">
        <f>IF(AND(E138&lt;&gt;"",G138&lt;&gt;"",G138&lt;&gt;0),(E138-G138)/G138*100,"")</f>
        <v>1.1363636363636365</v>
      </c>
      <c r="AA138" s="212" t="str">
        <f>IF(OR(C138="",E138="",E138=0),"",IF(E138&gt;G138,"上昇▲",IF(E138&lt;G138,"下落▼","横ばい→")))</f>
        <v>上昇▲</v>
      </c>
      <c r="AB138" s="333">
        <f>IF(OR(C138="",C138="TOPX",終値!E193=""),"",IFERROR(((終値!E193*0.333)+(終値!F193*0.222)+(終値!G193*0.148)+(終値!H193*0.099)+(終値!I193*0.066))/(0.333+0.222+0.148+0.099+0.066),""))</f>
        <v>2229.0460829493086</v>
      </c>
      <c r="AC138" s="333">
        <f>IF(OR(C138="",C138="TOPX",終値!E193=""),"",IFERROR(SUMPRODUCT((終値!E193:AC193),{0.077,0.071,0.065,0.06,0.055,0.051,0.047,0.043,0.039,0.036,0.033,0.031,0.028,0.026,0.024,0.022,0.02,0.018,0.017,0.016,0.014,0.013,0.012,0.011,0.01})/SUM({0.077,0.071,0.065,0.06,0.055,0.051,0.047,0.043,0.039,0.036,0.033,0.031,0.028,0.026,0.024,0.022,0.02,0.018,0.017,0.016,0.014,0.013,0.012,0.011,0.01}),""))</f>
        <v>2115.6722288438609</v>
      </c>
      <c r="AD138" s="212" t="str">
        <f>IF(OR(C138="",AB138="",AC138="",AB138=0,AC138=0),"",IF(AND(E138&gt;AB138,AB138&gt;AC138),"パーフェクト▲",IF(E138&gt;AC138,"上昇トレンド▲",IF(AND(E138&lt;AB138,AB138&lt;AC138),"下降トレンド▼","もみ合い→"))))</f>
        <v>パーフェクト▲</v>
      </c>
      <c r="AE138" s="212" t="str">
        <f>IF(OR(C138="",AB138="",AC138=""),"",IF(AND(ABS(E138-AC138)/AC138&lt;=0.02,E138&lt;AC138),"25日戻り売り★",IF(AND(ABS(E138-AB138)/AB138&lt;=0.01,E138&lt;AB138),"5日戻り売り○","なし")))</f>
        <v>なし</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相場上昇・見送り</v>
      </c>
      <c r="AG138">
        <f>IF(AND(T138&gt;=7,C138&lt;&gt;""),T138,0)</f>
        <v>0</v>
      </c>
      <c r="AH138">
        <f>IF(AG138&gt;0,AG138*10000-ROW(A138),0)</f>
        <v>0</v>
      </c>
      <c r="AI138" s="373">
        <f t="array" ref="AI138">IF(C138="","",IFERROR((INDEX(終値!$E:$E,MATCH(TEXT(C138,"0"),終値!$A:$A,0))-INDEX(終値!$E:$CZ,MATCH(TEXT(C138,"0"),終値!$A:$A,0),$AN$2))/INDEX(終値!$E:$CZ,MATCH(TEXT(C138,"0"),終値!$A:$A,0),$AN$2)*100,""))</f>
        <v>20.520833333333332</v>
      </c>
      <c r="AJ138" s="373">
        <f t="array" ref="AJ138">IFERROR((終値!$E$5-INDEX(終値!$E$5:$IT$5,1,$AN$2))/INDEX(終値!$E$5:$IT$5,1,$AN$2)*100,"")</f>
        <v>1.0179378228534113</v>
      </c>
      <c r="AK138" s="374">
        <f>IF(OR(AI138="",AJ138=""),"",AI138-AJ138)</f>
        <v>19.50289551047992</v>
      </c>
      <c r="AL138" s="372">
        <f>IF(AK138="","",IF(AK138&lt;-5,3,IF(AK138&lt;0,1,IF(AK138&lt;3,-1,-2))))</f>
        <v>-2</v>
      </c>
      <c r="AO138" s="376" t="str">
        <f>IF(OR($C138="",$E138="",$F138="",$H138="",$I138="",$H138-$I138&lt;=0),"-",IF(AND($H138-MAX($F138,$E138)&gt;=ABS($E138-$F138)*2,MIN($F138,$E138)-$I138&lt;=ABS($E138-$F138)*0.5,ABS($E138-$F138)&gt;0),"上ヒゲ陰線▼",IF(AND($E138&lt;$F138,ABS($E138-$F138)&gt;=($H138-$I138)*0.7),"大陰線▼",IF(AND(MIN($F138,$E138)-$I138&gt;=($H138-$I138)*0.5,$H138-MAX($F138,$E138)&lt;=($H138-$I138)*0.2),"長い下ヒゲ(反発警戒)","通常"))))</f>
        <v>通常</v>
      </c>
      <c r="AP138" s="377">
        <f>IF($AO138="上ヒゲ陰線▼",2,IF($AO138="大陰線▼",2,IF($AO138="長い下ヒゲ(反発警戒)",-2,0)))</f>
        <v>0</v>
      </c>
      <c r="AQ138">
        <f>IF(C138&lt;&gt;"",始値!F193,"")</f>
        <v>2182</v>
      </c>
      <c r="AR138">
        <f>IF(C138&lt;&gt;"",高値!F193,"")</f>
        <v>2310</v>
      </c>
      <c r="AS138">
        <f>IF(C138&lt;&gt;"",安値!F193,"")</f>
        <v>2160</v>
      </c>
      <c r="AT138" t="str">
        <f>IF(OR(C138="",AQ138="",AR138="",AS138="",AR138-AS138&lt;=0),"-",IF(AND(AR138-MAX(G138,AQ138)&gt;=ABS(G138-AQ138)*2,MIN(G138,AQ138)-AS138&lt;=ABS(G138-AQ138)*0.5,ABS(G138-AQ138)&gt;0),"上ヒゲ陰線▼",IF(AND(G138&lt;AQ138,ABS(G138-AQ138)&gt;=(AR138-AS138)*0.7),"大陰線▼",IF(AND(MIN(G138,AQ138)-AS138&gt;=(AR138-AS138)*0.5,AR138-MAX(G138,AQ138)&lt;=(AR138-AS138)*0.2),"長い下ヒゲ(反発)","通常"))))</f>
        <v>通常</v>
      </c>
      <c r="AU138">
        <f>IF(AT138="上ヒゲ陰線▼",2,IF(AT138="大陰線▼",2,IF(AT138="長い下ヒゲ(反発)",-2,0)))</f>
        <v>0</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4690</v>
      </c>
      <c r="F139" s="326">
        <f>IF(C139&lt;&gt;"",_xll.RssMarket(C139,"始値"),"")</f>
        <v>4626</v>
      </c>
      <c r="G139" s="325">
        <f>IF(C139&lt;&gt;"",終値!F11,"")</f>
        <v>4631</v>
      </c>
      <c r="H139" s="326">
        <f>IF(C139&lt;&gt;"",_xll.RssMarket(C139,"高値"),"")</f>
        <v>4747</v>
      </c>
      <c r="I139" s="326">
        <f>IF(C139&lt;&gt;"",_xll.RssMarket(C139,"安値"),"")</f>
        <v>4619</v>
      </c>
      <c r="J139" s="326">
        <f>IF(C139&lt;&gt;"",_xll.RssMarket(C139,"出来高"),"")</f>
        <v>5467900</v>
      </c>
      <c r="K139" s="326">
        <f>IF(C139&lt;&gt;"",_xll.RssMarket(C139,"年初来高値"),"")</f>
        <v>6036</v>
      </c>
      <c r="L139" s="327">
        <f>IF(AND(E139&lt;&gt;"",K139&lt;&gt;"",K139&lt;&gt;0),(E139-K139)/K139*100,"")</f>
        <v>-22.299536116633529</v>
      </c>
      <c r="M139" s="326">
        <f>IF(C139&lt;&gt;"",IFERROR(AVERAGE(出来高!E11:I11),""),"")</f>
        <v>7196020</v>
      </c>
      <c r="N139" s="326">
        <f>IF(C139&lt;&gt;"",IFERROR(AVERAGE(出来高!E11:AC11),""),"")</f>
        <v>7094672</v>
      </c>
      <c r="O139" s="328">
        <f>IF(AND(J139&lt;&gt;"",M139&lt;&gt;"",M139&lt;&gt;0),J139/M139,"")</f>
        <v>0.75985058407286254</v>
      </c>
      <c r="P139" s="325" t="str">
        <f>IF(O139="","",IF(O139&gt;=2,"急増↑↑",IF(O139&gt;=1.5,"増加↑",IF(O139&gt;=1,"普通→","減少↓"))))</f>
        <v>減少↓</v>
      </c>
      <c r="Q139" s="325" t="str">
        <f>IF(E139="","",IF(AND(E139&lt;G139,O139&gt;=1.5),"売り▼",IF(E139&gt;G139,"様子見▲","中立→")))</f>
        <v>様子見▲</v>
      </c>
      <c r="R139" s="326">
        <f>IF(E139&lt;&gt;"",ROUND(E139*0.92,0),"")</f>
        <v>4315</v>
      </c>
      <c r="S139" s="326">
        <f>IF(E139&lt;&gt;"",ROUND(E139*1.04,0),"")</f>
        <v>4878</v>
      </c>
      <c r="T139" s="325">
        <f>IF(C139="","",IFERROR(IF(W139&gt;=70,3,IF(W139&gt;=60,2,IF(W139&gt;=50,1,0)))+IF(X139&lt;0,2,0)+IF(AD139="下降トレンド▼",3,IF(AD139="もみ合い→",1,0))+IF(V139="年初来安値圏●",3,IF(V139="安値圏",2,0))+IF(Q139="売り▼",2,0)+IF(P139="急増↑↑",2,IF(P139="増加↑",1,0))+IF(Z139&lt;0,1,0)+IF(L139&lt;=-30,2,IF(L139&lt;=-15,1,0))+IF(AE139="25日戻り売り★",2,IF(AE139="5日戻り売り○",1,0))+N(AL139)+N(AP139)+N(AU139),0))</f>
        <v>1</v>
      </c>
      <c r="U139" s="325" t="str">
        <f>IF(T139="","",IF(AND(T139&gt;=3,O139&gt;=1.5),"有効",IF(T139&gt;=3,"要確認","除外")))</f>
        <v>除外</v>
      </c>
      <c r="V139" s="325" t="str">
        <f>IF(AND(I139&lt;&gt;"",K139&lt;&gt;""),IF(I139&lt;=K139*0.6,"年初来安値圏●",IF(I139&lt;=K139*0.75,"安値圏","通常")),"")</f>
        <v>通常</v>
      </c>
      <c r="W139" s="329">
        <f t="array" ref="W139">IFERROR(100-100/(1+SUMPRODUCT((終値!F11:R11&gt;終値!G11:S11)*(終値!F11:R11-終値!G11:S11))/SUMPRODUCT((終値!F11:R11&lt;終値!G11:S11)*(終値!G11:S11-終値!F11:R11))),50)</f>
        <v>62.009314703925476</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50.995956041859245</v>
      </c>
      <c r="Y139" s="325" t="str">
        <f>IF(AF139="","",AF139&amp;" | "&amp;AD139&amp;IF(AE139&lt;&gt;"なし"," "&amp;AE139,"")&amp;IF(X139&lt;0," MACD-"," MACD+")&amp;" RSI:"&amp;TEXT(W139,"0.0")&amp;IF(W139&gt;=70," [過熱]",IF(W139&lt;=30," [売られ過ぎ]",""))&amp;" 前日比:"&amp;TEXT(Z139,"+0.0;-0.0;0.0")&amp;"%"&amp;IF(V139="年初来安値圏●"," [年初来安値圏]",IF(V139="安値圏"," [安値圏]",""))&amp;IF(OR(AO139="通常",AO139="-"),""," ["&amp;AO139&amp;"]")&amp;IF(OR(AT139="通常",AT139="-"),"","前日["&amp;AT139&amp;"]")&amp;" ["&amp;T139&amp;"点]")</f>
        <v>相場上昇・見送り | パーフェクト▲ MACD+ RSI:62.0 前日比:+1.3% [1点]</v>
      </c>
      <c r="Z139" s="331">
        <f>IF(AND(E139&lt;&gt;"",G139&lt;&gt;"",G139&lt;&gt;0),(E139-G139)/G139*100,"")</f>
        <v>1.2740228892247896</v>
      </c>
      <c r="AA139" s="325" t="str">
        <f>IF(OR(C139="",E139="",E139=0),"",IF(E139&gt;G139,"上昇▲",IF(E139&lt;G139,"下落▼","横ばい→")))</f>
        <v>上昇▲</v>
      </c>
      <c r="AB139" s="326">
        <f>IF(OR(C139="",C139="TOPX",終値!E11=""),"",IFERROR(((終値!E11*0.333)+(終値!F11*0.222)+(終値!G11*0.148)+(終値!H11*0.099)+(終値!I11*0.066))/(0.333+0.222+0.148+0.099+0.066),""))</f>
        <v>4667.9297235023032</v>
      </c>
      <c r="AC139" s="326">
        <f>IF(OR(C139="",C139="TOPX",終値!E11=""),"",IFERROR(SUMPRODUCT((終値!E11:AC11),{0.077,0.071,0.065,0.06,0.055,0.051,0.047,0.043,0.039,0.036,0.033,0.031,0.028,0.026,0.024,0.022,0.02,0.018,0.017,0.016,0.014,0.013,0.012,0.011,0.01})/SUM({0.077,0.071,0.065,0.06,0.055,0.051,0.047,0.043,0.039,0.036,0.033,0.031,0.028,0.026,0.024,0.022,0.02,0.018,0.017,0.016,0.014,0.013,0.012,0.011,0.01}),""))</f>
        <v>4528.2598331346826</v>
      </c>
      <c r="AD139" s="325" t="str">
        <f>IF(OR(C139="",AB139="",AC139="",AB139=0,AC139=0),"",IF(AND(E139&gt;AB139,AB139&gt;AC139),"パーフェクト▲",IF(E139&gt;AC139,"上昇トレンド▲",IF(AND(E139&lt;AB139,AB139&lt;AC139),"下降トレンド▼","もみ合い→"))))</f>
        <v>パーフェクト▲</v>
      </c>
      <c r="AE139" s="325" t="str">
        <f>IF(OR(C139="",AB139="",AC139=""),"",IF(AND(ABS(E139-AC139)/AC139&lt;=0.02,E139&lt;AC139),"25日戻り売り★",IF(AND(ABS(E139-AB139)/AB139&lt;=0.01,E139&lt;AB139),"5日戻り売り○","なし")))</f>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相場上昇・見送り</v>
      </c>
      <c r="AG139">
        <f>IF(AND(T139&gt;=7,C139&lt;&gt;""),T139,0)</f>
        <v>0</v>
      </c>
      <c r="AH139">
        <f>IF(AG139&gt;0,AG139*10000-ROW(A139),0)</f>
        <v>0</v>
      </c>
      <c r="AI139" s="373">
        <f t="array" ref="AI139">IF(C139="","",IFERROR((INDEX(終値!$E:$E,MATCH(TEXT(C139,"0"),終値!$A:$A,0))-INDEX(終値!$E:$CZ,MATCH(TEXT(C139,"0"),終値!$A:$A,0),$AN$2))/INDEX(終値!$E:$CZ,MATCH(TEXT(C139,"0"),終値!$A:$A,0),$AN$2)*100,""))</f>
        <v>17.809595579000252</v>
      </c>
      <c r="AJ139" s="373">
        <f t="array" ref="AJ139">IFERROR((終値!$E$5-INDEX(終値!$E$5:$IT$5,1,$AN$2))/INDEX(終値!$E$5:$IT$5,1,$AN$2)*100,"")</f>
        <v>1.0179378228534113</v>
      </c>
      <c r="AK139" s="374">
        <f>IF(OR(AI139="",AJ139=""),"",AI139-AJ139)</f>
        <v>16.79165775614684</v>
      </c>
      <c r="AL139" s="372">
        <f>IF(AK139="","",IF(AK139&lt;-5,3,IF(AK139&lt;0,1,IF(AK139&lt;3,-1,-2))))</f>
        <v>-2</v>
      </c>
      <c r="AO139" s="376" t="str">
        <f>IF(OR($C139="",$E139="",$F139="",$H139="",$I139="",$H139-$I139&lt;=0),"-",IF(AND($H139-MAX($F139,$E139)&gt;=ABS($E139-$F139)*2,MIN($F139,$E139)-$I139&lt;=ABS($E139-$F139)*0.5,ABS($E139-$F139)&gt;0),"上ヒゲ陰線▼",IF(AND($E139&lt;$F139,ABS($E139-$F139)&gt;=($H139-$I139)*0.7),"大陰線▼",IF(AND(MIN($F139,$E139)-$I139&gt;=($H139-$I139)*0.5,$H139-MAX($F139,$E139)&lt;=($H139-$I139)*0.2),"長い下ヒゲ(反発警戒)","通常"))))</f>
        <v>通常</v>
      </c>
      <c r="AP139" s="377">
        <f>IF($AO139="上ヒゲ陰線▼",2,IF($AO139="大陰線▼",2,IF($AO139="長い下ヒゲ(反発警戒)",-2,0)))</f>
        <v>0</v>
      </c>
      <c r="AQ139">
        <f>IF(C139&lt;&gt;"",始値!F11,"")</f>
        <v>4677</v>
      </c>
      <c r="AR139">
        <f>IF(C139&lt;&gt;"",高値!F11,"")</f>
        <v>4753</v>
      </c>
      <c r="AS139">
        <f>IF(C139&lt;&gt;"",安値!F11,"")</f>
        <v>4631</v>
      </c>
      <c r="AT139" t="str">
        <f>IF(OR(C139="",AQ139="",AR139="",AS139="",AR139-AS139&lt;=0),"-",IF(AND(AR139-MAX(G139,AQ139)&gt;=ABS(G139-AQ139)*2,MIN(G139,AQ139)-AS139&lt;=ABS(G139-AQ139)*0.5,ABS(G139-AQ139)&gt;0),"上ヒゲ陰線▼",IF(AND(G139&lt;AQ139,ABS(G139-AQ139)&gt;=(AR139-AS139)*0.7),"大陰線▼",IF(AND(MIN(G139,AQ139)-AS139&gt;=(AR139-AS139)*0.5,AR139-MAX(G139,AQ139)&lt;=(AR139-AS139)*0.2),"長い下ヒゲ(反発)","通常"))))</f>
        <v>通常</v>
      </c>
      <c r="AU139">
        <f>IF(AT139="上ヒゲ陰線▼",2,IF(AT139="大陰線▼",2,IF(AT139="長い下ヒゲ(反発)",-2,0)))</f>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1258.5</v>
      </c>
      <c r="F140" s="333">
        <f>IF(C140&lt;&gt;"",_xll.RssMarket(C140,"始値"),"")</f>
        <v>1230</v>
      </c>
      <c r="G140" s="212">
        <f>IF(C140&lt;&gt;"",終値!F24,"")</f>
        <v>1241</v>
      </c>
      <c r="H140" s="333">
        <f>IF(C140&lt;&gt;"",_xll.RssMarket(C140,"高値"),"")</f>
        <v>1265</v>
      </c>
      <c r="I140" s="333">
        <f>IF(C140&lt;&gt;"",_xll.RssMarket(C140,"安値"),"")</f>
        <v>1228</v>
      </c>
      <c r="J140" s="333">
        <f>IF(C140&lt;&gt;"",_xll.RssMarket(C140,"出来高"),"")</f>
        <v>3226200</v>
      </c>
      <c r="K140" s="333">
        <f>IF(C140&lt;&gt;"",_xll.RssMarket(C140,"年初来高値"),"")</f>
        <v>1671</v>
      </c>
      <c r="L140" s="334">
        <f>IF(AND(E140&lt;&gt;"",K140&lt;&gt;"",K140&lt;&gt;0),(E140-K140)/K140*100,"")</f>
        <v>-24.685816876122082</v>
      </c>
      <c r="M140" s="333">
        <f>IF(C140&lt;&gt;"",IFERROR(AVERAGE(出来高!E24:I24),""),"")</f>
        <v>3579260</v>
      </c>
      <c r="N140" s="333">
        <f>IF(C140&lt;&gt;"",IFERROR(AVERAGE(出来高!E24:AC24),""),"")</f>
        <v>3500392</v>
      </c>
      <c r="O140" s="335">
        <f>IF(AND(J140&lt;&gt;"",M140&lt;&gt;"",M140&lt;&gt;0),J140/M140,"")</f>
        <v>0.90135949889083222</v>
      </c>
      <c r="P140" s="212" t="str">
        <f>IF(O140="","",IF(O140&gt;=2,"急増↑↑",IF(O140&gt;=1.5,"増加↑",IF(O140&gt;=1,"普通→","減少↓"))))</f>
        <v>減少↓</v>
      </c>
      <c r="Q140" s="212" t="str">
        <f>IF(E140="","",IF(AND(E140&lt;G140,O140&gt;=1.5),"売り▼",IF(E140&gt;G140,"様子見▲","中立→")))</f>
        <v>様子見▲</v>
      </c>
      <c r="R140" s="333">
        <f>IF(E140&lt;&gt;"",ROUND(E140*0.92,0),"")</f>
        <v>1158</v>
      </c>
      <c r="S140" s="333">
        <f>IF(E140&lt;&gt;"",ROUND(E140*1.04,0),"")</f>
        <v>1309</v>
      </c>
      <c r="T140" s="325">
        <f>IF(C140="","",IFERROR(IF(W140&gt;=70,3,IF(W140&gt;=60,2,IF(W140&gt;=50,1,0)))+IF(X140&lt;0,2,0)+IF(AD140="下降トレンド▼",3,IF(AD140="もみ合い→",1,0))+IF(V140="年初来安値圏●",3,IF(V140="安値圏",2,0))+IF(Q140="売り▼",2,0)+IF(P140="急増↑↑",2,IF(P140="増加↑",1,0))+IF(Z140&lt;0,1,0)+IF(L140&lt;=-30,2,IF(L140&lt;=-15,1,0))+IF(AE140="25日戻り売り★",2,IF(AE140="5日戻り売り○",1,0))+N(AL140)+N(AP140)+N(AU140),0))</f>
        <v>4</v>
      </c>
      <c r="U140" s="212" t="str">
        <f>IF(T140="","",IF(AND(T140&gt;=3,O140&gt;=1.5),"有効",IF(T140&gt;=3,"要確認","除外")))</f>
        <v>要確認</v>
      </c>
      <c r="V140" s="212" t="str">
        <f>IF(AND(I140&lt;&gt;"",K140&lt;&gt;""),IF(I140&lt;=K140*0.6,"年初来安値圏●",IF(I140&lt;=K140*0.75,"安値圏","通常")),"")</f>
        <v>安値圏</v>
      </c>
      <c r="W140" s="336">
        <f t="array" ref="W140">IFERROR(100-100/(1+SUMPRODUCT((終値!F24:R24&gt;終値!G24:S24)*(終値!F24:R24-終値!G24:S24))/SUMPRODUCT((終値!F24:R24&lt;終値!G24:S24)*(終値!G24:S24-終値!F24:R24))),50)</f>
        <v>42.495126705653021</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3.7276706641882811</v>
      </c>
      <c r="Y140" s="212" t="str">
        <f>IF(AF140="","",AF140&amp;" | "&amp;AD140&amp;IF(AE140&lt;&gt;"なし"," "&amp;AE140,"")&amp;IF(X140&lt;0," MACD-"," MACD+")&amp;" RSI:"&amp;TEXT(W140,"0.0")&amp;IF(W140&gt;=70," [過熱]",IF(W140&lt;=30," [売られ過ぎ]",""))&amp;" 前日比:"&amp;TEXT(Z140,"+0.0;-0.0;0.0")&amp;"%"&amp;IF(V140="年初来安値圏●"," [年初来安値圏]",IF(V140="安値圏"," [安値圏]",""))&amp;IF(OR(AO140="通常",AO140="-"),""," ["&amp;AO140&amp;"]")&amp;IF(OR(AT140="通常",AT140="-"),"","前日["&amp;AT140&amp;"]")&amp;" ["&amp;T140&amp;"点]")</f>
        <v>○逆張り売り | もみ合い→ 25日戻り売り★ MACD+ RSI:42.5 前日比:+1.4% [安値圏] [4点]</v>
      </c>
      <c r="Z140" s="338">
        <f>IF(AND(E140&lt;&gt;"",G140&lt;&gt;"",G140&lt;&gt;0),(E140-G140)/G140*100,"")</f>
        <v>1.4101531023368252</v>
      </c>
      <c r="AA140" s="212" t="str">
        <f>IF(OR(C140="",E140="",E140=0),"",IF(E140&gt;G140,"上昇▲",IF(E140&lt;G140,"下落▼","横ばい→")))</f>
        <v>上昇▲</v>
      </c>
      <c r="AB140" s="333">
        <f>IF(OR(C140="",C140="TOPX",終値!E24=""),"",IFERROR(((終値!E24*0.333)+(終値!F24*0.222)+(終値!G24*0.148)+(終値!H24*0.099)+(終値!I24*0.066))/(0.333+0.222+0.148+0.099+0.066),""))</f>
        <v>1257.4510368663593</v>
      </c>
      <c r="AC140" s="333">
        <f>IF(OR(C140="",C140="TOPX",終値!E24=""),"",IFERROR(SUMPRODUCT((終値!E24:AC24),{0.077,0.071,0.065,0.06,0.055,0.051,0.047,0.043,0.039,0.036,0.033,0.031,0.028,0.026,0.024,0.022,0.02,0.018,0.017,0.016,0.014,0.013,0.012,0.011,0.01})/SUM({0.077,0.071,0.065,0.06,0.055,0.051,0.047,0.043,0.039,0.036,0.033,0.031,0.028,0.026,0.024,0.022,0.02,0.018,0.017,0.016,0.014,0.013,0.012,0.011,0.01}),""))</f>
        <v>1277.1954707985692</v>
      </c>
      <c r="AD140" s="212" t="str">
        <f>IF(OR(C140="",AB140="",AC140="",AB140=0,AC140=0),"",IF(AND(E140&gt;AB140,AB140&gt;AC140),"パーフェクト▲",IF(E140&gt;AC140,"上昇トレンド▲",IF(AND(E140&lt;AB140,AB140&lt;AC140),"下降トレンド▼","もみ合い→"))))</f>
        <v>もみ合い→</v>
      </c>
      <c r="AE140" s="212" t="str">
        <f>IF(OR(C140="",AB140="",AC140=""),"",IF(AND(ABS(E140-AC140)/AC140&lt;=0.02,E140&lt;AC140),"25日戻り売り★",IF(AND(ABS(E140-AB140)/AB140&lt;=0.01,E140&lt;AB140),"5日戻り売り○","なし")))</f>
        <v>25日戻り売り★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○逆張り売り</v>
      </c>
      <c r="AG140">
        <f>IF(AND(T140&gt;=7,C140&lt;&gt;""),T140,0)</f>
        <v>0</v>
      </c>
      <c r="AH140">
        <f>IF(AG140&gt;0,AG140*10000-ROW(A140),0)</f>
        <v>0</v>
      </c>
      <c r="AI140" s="373">
        <f t="array" ref="AI140">IF(C140="","",IFERROR((INDEX(終値!$E:$E,MATCH(TEXT(C140,"0"),終値!$A:$A,0))-INDEX(終値!$E:$CZ,MATCH(TEXT(C140,"0"),終値!$A:$A,0),$AN$2))/INDEX(終値!$E:$CZ,MATCH(TEXT(C140,"0"),終値!$A:$A,0),$AN$2)*100,""))</f>
        <v>6.0682680151706698</v>
      </c>
      <c r="AJ140" s="373">
        <f t="array" ref="AJ140">IFERROR((終値!$E$5-INDEX(終値!$E$5:$IT$5,1,$AN$2))/INDEX(終値!$E$5:$IT$5,1,$AN$2)*100,"")</f>
        <v>1.0179378228534113</v>
      </c>
      <c r="AK140" s="374">
        <f>IF(OR(AI140="",AJ140=""),"",AI140-AJ140)</f>
        <v>5.0503301923172588</v>
      </c>
      <c r="AL140" s="372">
        <f>IF(AK140="","",IF(AK140&lt;-5,3,IF(AK140&lt;0,1,IF(AK140&lt;3,-1,-2))))</f>
        <v>-2</v>
      </c>
      <c r="AO140" s="376" t="str">
        <f>IF(OR($C140="",$E140="",$F140="",$H140="",$I140="",$H140-$I140&lt;=0),"-",IF(AND($H140-MAX($F140,$E140)&gt;=ABS($E140-$F140)*2,MIN($F140,$E140)-$I140&lt;=ABS($E140-$F140)*0.5,ABS($E140-$F140)&gt;0),"上ヒゲ陰線▼",IF(AND($E140&lt;$F140,ABS($E140-$F140)&gt;=($H140-$I140)*0.7),"大陰線▼",IF(AND(MIN($F140,$E140)-$I140&gt;=($H140-$I140)*0.5,$H140-MAX($F140,$E140)&lt;=($H140-$I140)*0.2),"長い下ヒゲ(反発警戒)","通常"))))</f>
        <v>通常</v>
      </c>
      <c r="AP140" s="377">
        <f>IF($AO140="上ヒゲ陰線▼",2,IF($AO140="大陰線▼",2,IF($AO140="長い下ヒゲ(反発警戒)",-2,0)))</f>
        <v>0</v>
      </c>
      <c r="AQ140">
        <f>IF(C140&lt;&gt;"",始値!F24,"")</f>
        <v>1244.5</v>
      </c>
      <c r="AR140">
        <f>IF(C140&lt;&gt;"",高値!F24,"")</f>
        <v>1255</v>
      </c>
      <c r="AS140">
        <f>IF(C140&lt;&gt;"",安値!F24,"")</f>
        <v>1231</v>
      </c>
      <c r="AT140" t="str">
        <f>IF(OR(C140="",AQ140="",AR140="",AS140="",AR140-AS140&lt;=0),"-",IF(AND(AR140-MAX(G140,AQ140)&gt;=ABS(G140-AQ140)*2,MIN(G140,AQ140)-AS140&lt;=ABS(G140-AQ140)*0.5,ABS(G140-AQ140)&gt;0),"上ヒゲ陰線▼",IF(AND(G140&lt;AQ140,ABS(G140-AQ140)&gt;=(AR140-AS140)*0.7),"大陰線▼",IF(AND(MIN(G140,AQ140)-AS140&gt;=(AR140-AS140)*0.5,AR140-MAX(G140,AQ140)&lt;=(AR140-AS140)*0.2),"長い下ヒゲ(反発)","通常"))))</f>
        <v>通常</v>
      </c>
      <c r="AU140">
        <f>IF(AT140="上ヒゲ陰線▼",2,IF(AT140="大陰線▼",2,IF(AT140="長い下ヒゲ(反発)",-2,0)))</f>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1300</v>
      </c>
      <c r="F141" s="326">
        <f>IF(C141&lt;&gt;"",_xll.RssMarket(C141,"始値"),"")</f>
        <v>1272</v>
      </c>
      <c r="G141" s="325">
        <f>IF(C141&lt;&gt;"",終値!F29,"")</f>
        <v>1283</v>
      </c>
      <c r="H141" s="326">
        <f>IF(C141&lt;&gt;"",_xll.RssMarket(C141,"高値"),"")</f>
        <v>1300</v>
      </c>
      <c r="I141" s="326">
        <f>IF(C141&lt;&gt;"",_xll.RssMarket(C141,"安値"),"")</f>
        <v>1271</v>
      </c>
      <c r="J141" s="326">
        <f>IF(C141&lt;&gt;"",_xll.RssMarket(C141,"出来高"),"")</f>
        <v>6473400</v>
      </c>
      <c r="K141" s="326">
        <f>IF(C141&lt;&gt;"",_xll.RssMarket(C141,"年初来高値"),"")</f>
        <v>1552.5</v>
      </c>
      <c r="L141" s="327">
        <f>IF(AND(E141&lt;&gt;"",K141&lt;&gt;"",K141&lt;&gt;0),(E141-K141)/K141*100,"")</f>
        <v>-16.264090177133657</v>
      </c>
      <c r="M141" s="326">
        <f>IF(C141&lt;&gt;"",IFERROR(AVERAGE(出来高!E29:I29),""),"")</f>
        <v>7169920</v>
      </c>
      <c r="N141" s="326">
        <f>IF(C141&lt;&gt;"",IFERROR(AVERAGE(出来高!E29:AC29),""),"")</f>
        <v>6764208</v>
      </c>
      <c r="O141" s="328">
        <f>IF(AND(J141&lt;&gt;"",M141&lt;&gt;"",M141&lt;&gt;0),J141/M141,"")</f>
        <v>0.90285526198339727</v>
      </c>
      <c r="P141" s="325" t="str">
        <f>IF(O141="","",IF(O141&gt;=2,"急増↑↑",IF(O141&gt;=1.5,"増加↑",IF(O141&gt;=1,"普通→","減少↓"))))</f>
        <v>減少↓</v>
      </c>
      <c r="Q141" s="325" t="str">
        <f>IF(E141="","",IF(AND(E141&lt;G141,O141&gt;=1.5),"売り▼",IF(E141&gt;G141,"様子見▲","中立→")))</f>
        <v>様子見▲</v>
      </c>
      <c r="R141" s="326">
        <f>IF(E141&lt;&gt;"",ROUND(E141*0.92,0),"")</f>
        <v>1196</v>
      </c>
      <c r="S141" s="326">
        <f>IF(E141&lt;&gt;"",ROUND(E141*1.04,0),"")</f>
        <v>1352</v>
      </c>
      <c r="T141" s="325">
        <f>IF(C141="","",IFERROR(IF(W141&gt;=70,3,IF(W141&gt;=60,2,IF(W141&gt;=50,1,0)))+IF(X141&lt;0,2,0)+IF(AD141="下降トレンド▼",3,IF(AD141="もみ合い→",1,0))+IF(V141="年初来安値圏●",3,IF(V141="安値圏",2,0))+IF(Q141="売り▼",2,0)+IF(P141="急増↑↑",2,IF(P141="増加↑",1,0))+IF(Z141&lt;0,1,0)+IF(L141&lt;=-30,2,IF(L141&lt;=-15,1,0))+IF(AE141="25日戻り売り★",2,IF(AE141="5日戻り売り○",1,0))+N(AL141)+N(AP141)+N(AU141),0))</f>
        <v>0</v>
      </c>
      <c r="U141" s="325" t="str">
        <f>IF(T141="","",IF(AND(T141&gt;=3,O141&gt;=1.5),"有効",IF(T141&gt;=3,"要確認","除外")))</f>
        <v>除外</v>
      </c>
      <c r="V141" s="325" t="str">
        <f>IF(AND(I141&lt;&gt;"",K141&lt;&gt;""),IF(I141&lt;=K141*0.6,"年初来安値圏●",IF(I141&lt;=K141*0.75,"安値圏","通常")),"")</f>
        <v>通常</v>
      </c>
      <c r="W141" s="329">
        <f t="array" ref="W141">IFERROR(100-100/(1+SUMPRODUCT((終値!F29:R29&gt;終値!G29:S29)*(終値!F29:R29-終値!G29:S29))/SUMPRODUCT((終値!F29:R29&lt;終値!G29:S29)*(終値!G29:S29-終値!F29:R29))),50)</f>
        <v>50</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6.5022797017986704</v>
      </c>
      <c r="Y141" s="325" t="str">
        <f>IF(AF141="","",AF141&amp;" | "&amp;AD141&amp;IF(AE141&lt;&gt;"なし"," "&amp;AE141,"")&amp;IF(X141&lt;0," MACD-"," MACD+")&amp;" RSI:"&amp;TEXT(W141,"0.0")&amp;IF(W141&gt;=70," [過熱]",IF(W141&lt;=30," [売られ過ぎ]",""))&amp;" 前日比:"&amp;TEXT(Z141,"+0.0;-0.0;0.0")&amp;"%"&amp;IF(V141="年初来安値圏●"," [年初来安値圏]",IF(V141="安値圏"," [安値圏]",""))&amp;IF(OR(AO141="通常",AO141="-"),""," ["&amp;AO141&amp;"]")&amp;IF(OR(AT141="通常",AT141="-"),"","前日["&amp;AT141&amp;"]")&amp;" ["&amp;T141&amp;"点]")</f>
        <v>相場上昇・見送り | パーフェクト▲ MACD+ RSI:50.0 前日比:+1.3% [0点]</v>
      </c>
      <c r="Z141" s="331">
        <f>IF(AND(E141&lt;&gt;"",G141&lt;&gt;"",G141&lt;&gt;0),(E141-G141)/G141*100,"")</f>
        <v>1.3250194855806703</v>
      </c>
      <c r="AA141" s="325" t="str">
        <f>IF(OR(C141="",E141="",E141=0),"",IF(E141&gt;G141,"上昇▲",IF(E141&lt;G141,"下落▼","横ばい→")))</f>
        <v>上昇▲</v>
      </c>
      <c r="AB141" s="326">
        <f>IF(OR(C141="",C141="TOPX",終値!E29=""),"",IFERROR(((終値!E29*0.333)+(終値!F29*0.222)+(終値!G29*0.148)+(終値!H29*0.099)+(終値!I29*0.066))/(0.333+0.222+0.148+0.099+0.066),""))</f>
        <v>1293.9043778801843</v>
      </c>
      <c r="AC141" s="326">
        <f>IF(OR(C141="",C141="TOPX",終値!E29=""),"",IFERROR(SUMPRODUCT((終値!E29:AC29),{0.077,0.071,0.065,0.06,0.055,0.051,0.047,0.043,0.039,0.036,0.033,0.031,0.028,0.026,0.024,0.022,0.02,0.018,0.017,0.016,0.014,0.013,0.012,0.011,0.01})/SUM({0.077,0.071,0.065,0.06,0.055,0.051,0.047,0.043,0.039,0.036,0.033,0.031,0.028,0.026,0.024,0.022,0.02,0.018,0.017,0.016,0.014,0.013,0.012,0.011,0.01}),""))</f>
        <v>1291.2473182359947</v>
      </c>
      <c r="AD141" s="325" t="str">
        <f>IF(OR(C141="",AB141="",AC141="",AB141=0,AC141=0),"",IF(AND(E141&gt;AB141,AB141&gt;AC141),"パーフェクト▲",IF(E141&gt;AC141,"上昇トレンド▲",IF(AND(E141&lt;AB141,AB141&lt;AC141),"下降トレンド▼","もみ合い→"))))</f>
        <v>パーフェクト▲</v>
      </c>
      <c r="AE141" s="325" t="str">
        <f>IF(OR(C141="",AB141="",AC141=""),"",IF(AND(ABS(E141-AC141)/AC141&lt;=0.02,E141&lt;AC141),"25日戻り売り★",IF(AND(ABS(E141-AB141)/AB141&lt;=0.01,E141&lt;AB141),"5日戻り売り○","なし")))</f>
        <v>なし</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相場上昇・見送り</v>
      </c>
      <c r="AG141">
        <f>IF(AND(T141&gt;=7,C141&lt;&gt;""),T141,0)</f>
        <v>0</v>
      </c>
      <c r="AH141">
        <f>IF(AG141&gt;0,AG141*10000-ROW(A141),0)</f>
        <v>0</v>
      </c>
      <c r="AI141" s="373">
        <f t="array" ref="AI141">IF(C141="","",IFERROR((INDEX(終値!$E:$E,MATCH(TEXT(C141,"0"),終値!$A:$A,0))-INDEX(終値!$E:$CZ,MATCH(TEXT(C141,"0"),終値!$A:$A,0),$AN$2))/INDEX(終値!$E:$CZ,MATCH(TEXT(C141,"0"),終値!$A:$A,0),$AN$2)*100,""))</f>
        <v>7.839070924927416</v>
      </c>
      <c r="AJ141" s="373">
        <f t="array" ref="AJ141">IFERROR((終値!$E$5-INDEX(終値!$E$5:$IT$5,1,$AN$2))/INDEX(終値!$E$5:$IT$5,1,$AN$2)*100,"")</f>
        <v>1.0179378228534113</v>
      </c>
      <c r="AK141" s="374">
        <f>IF(OR(AI141="",AJ141=""),"",AI141-AJ141)</f>
        <v>6.8211331020740049</v>
      </c>
      <c r="AL141" s="372">
        <f>IF(AK141="","",IF(AK141&lt;-5,3,IF(AK141&lt;0,1,IF(AK141&lt;3,-1,-2))))</f>
        <v>-2</v>
      </c>
      <c r="AO141" s="376" t="str">
        <f>IF(OR($C141="",$E141="",$F141="",$H141="",$I141="",$H141-$I141&lt;=0),"-",IF(AND($H141-MAX($F141,$E141)&gt;=ABS($E141-$F141)*2,MIN($F141,$E141)-$I141&lt;=ABS($E141-$F141)*0.5,ABS($E141-$F141)&gt;0),"上ヒゲ陰線▼",IF(AND($E141&lt;$F141,ABS($E141-$F141)&gt;=($H141-$I141)*0.7),"大陰線▼",IF(AND(MIN($F141,$E141)-$I141&gt;=($H141-$I141)*0.5,$H141-MAX($F141,$E141)&lt;=($H141-$I141)*0.2),"長い下ヒゲ(反発警戒)","通常"))))</f>
        <v>通常</v>
      </c>
      <c r="AP141" s="377">
        <f>IF($AO141="上ヒゲ陰線▼",2,IF($AO141="大陰線▼",2,IF($AO141="長い下ヒゲ(反発警戒)",-2,0)))</f>
        <v>0</v>
      </c>
      <c r="AQ141">
        <f>IF(C141&lt;&gt;"",始値!F29,"")</f>
        <v>1279</v>
      </c>
      <c r="AR141">
        <f>IF(C141&lt;&gt;"",高値!F29,"")</f>
        <v>1301</v>
      </c>
      <c r="AS141">
        <f>IF(C141&lt;&gt;"",安値!F29,"")</f>
        <v>1273.5</v>
      </c>
      <c r="AT141" t="str">
        <f>IF(OR(C141="",AQ141="",AR141="",AS141="",AR141-AS141&lt;=0),"-",IF(AND(AR141-MAX(G141,AQ141)&gt;=ABS(G141-AQ141)*2,MIN(G141,AQ141)-AS141&lt;=ABS(G141-AQ141)*0.5,ABS(G141-AQ141)&gt;0),"上ヒゲ陰線▼",IF(AND(G141&lt;AQ141,ABS(G141-AQ141)&gt;=(AR141-AS141)*0.7),"大陰線▼",IF(AND(MIN(G141,AQ141)-AS141&gt;=(AR141-AS141)*0.5,AR141-MAX(G141,AQ141)&lt;=(AR141-AS141)*0.2),"長い下ヒゲ(反発)","通常"))))</f>
        <v>通常</v>
      </c>
      <c r="AU141">
        <f>IF(AT141="上ヒゲ陰線▼",2,IF(AT141="大陰線▼",2,IF(AT141="長い下ヒゲ(反発)",-2,0)))</f>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1595.5</v>
      </c>
      <c r="F142" s="333">
        <f>IF(C142&lt;&gt;"",_xll.RssMarket(C142,"始値"),"")</f>
        <v>1650</v>
      </c>
      <c r="G142" s="212">
        <f>IF(C142&lt;&gt;"",終値!F48,"")</f>
        <v>1614.5</v>
      </c>
      <c r="H142" s="333">
        <f>IF(C142&lt;&gt;"",_xll.RssMarket(C142,"高値"),"")</f>
        <v>1665</v>
      </c>
      <c r="I142" s="333">
        <f>IF(C142&lt;&gt;"",_xll.RssMarket(C142,"安値"),"")</f>
        <v>1571.5</v>
      </c>
      <c r="J142" s="333">
        <f>IF(C142&lt;&gt;"",_xll.RssMarket(C142,"出来高"),"")</f>
        <v>1820200</v>
      </c>
      <c r="K142" s="333">
        <f>IF(C142&lt;&gt;"",_xll.RssMarket(C142,"年初来高値"),"")</f>
        <v>1614.5</v>
      </c>
      <c r="L142" s="334">
        <f>IF(AND(E142&lt;&gt;"",K142&lt;&gt;"",K142&lt;&gt;0),(E142-K142)/K142*100,"")</f>
        <v>-1.1768349334159183</v>
      </c>
      <c r="M142" s="333">
        <f>IF(C142&lt;&gt;"",IFERROR(AVERAGE(出来高!E48:I48),""),"")</f>
        <v>1423000</v>
      </c>
      <c r="N142" s="333">
        <f>IF(C142&lt;&gt;"",IFERROR(AVERAGE(出来高!E48:AC48),""),"")</f>
        <v>1069400</v>
      </c>
      <c r="O142" s="335">
        <f>IF(AND(J142&lt;&gt;"",M142&lt;&gt;"",M142&lt;&gt;0),J142/M142,"")</f>
        <v>1.2791286015460295</v>
      </c>
      <c r="P142" s="212" t="str">
        <f>IF(O142="","",IF(O142&gt;=2,"急増↑↑",IF(O142&gt;=1.5,"増加↑",IF(O142&gt;=1,"普通→","減少↓"))))</f>
        <v>普通→</v>
      </c>
      <c r="Q142" s="212" t="str">
        <f>IF(E142="","",IF(AND(E142&lt;G142,O142&gt;=1.5),"売り▼",IF(E142&gt;G142,"様子見▲","中立→")))</f>
        <v>中立→</v>
      </c>
      <c r="R142" s="333">
        <f>IF(E142&lt;&gt;"",ROUND(E142*0.92,0),"")</f>
        <v>1468</v>
      </c>
      <c r="S142" s="333">
        <f>IF(E142&lt;&gt;"",ROUND(E142*1.04,0),"")</f>
        <v>1659</v>
      </c>
      <c r="T142" s="325">
        <f>IF(C142="","",IFERROR(IF(W142&gt;=70,3,IF(W142&gt;=60,2,IF(W142&gt;=50,1,0)))+IF(X142&lt;0,2,0)+IF(AD142="下降トレンド▼",3,IF(AD142="もみ合い→",1,0))+IF(V142="年初来安値圏●",3,IF(V142="安値圏",2,0))+IF(Q142="売り▼",2,0)+IF(P142="急増↑↑",2,IF(P142="増加↑",1,0))+IF(Z142&lt;0,1,0)+IF(L142&lt;=-30,2,IF(L142&lt;=-15,1,0))+IF(AE142="25日戻り売り★",2,IF(AE142="5日戻り売り○",1,0))+N(AL142)+N(AP142)+N(AU142),0))</f>
        <v>2</v>
      </c>
      <c r="U142" s="212" t="str">
        <f>IF(T142="","",IF(AND(T142&gt;=3,O142&gt;=1.5),"有効",IF(T142&gt;=3,"要確認","除外")))</f>
        <v>除外</v>
      </c>
      <c r="V142" s="212" t="str">
        <f>IF(AND(I142&lt;&gt;"",K142&lt;&gt;""),IF(I142&lt;=K142*0.6,"年初来安値圏●",IF(I142&lt;=K142*0.75,"安値圏","通常")),"")</f>
        <v>通常</v>
      </c>
      <c r="W142" s="336">
        <f t="array" ref="W142">IFERROR(100-100/(1+SUMPRODUCT((終値!F48:R48&gt;終値!G48:S48)*(終値!F48:R48-終値!G48:S48))/SUMPRODUCT((終値!F48:R48&lt;終値!G48:S48)*(終値!G48:S48-終値!F48:R48))),50)</f>
        <v>76.957831325301214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18.141353452290105</v>
      </c>
      <c r="Y142" s="212" t="str">
        <f>IF(AF142="","",AF142&amp;" | "&amp;AD142&amp;IF(AE142&lt;&gt;"なし"," "&amp;AE142,"")&amp;IF(X142&lt;0," MACD-"," MACD+")&amp;" RSI:"&amp;TEXT(W142,"0.0")&amp;IF(W142&gt;=70," [過熱]",IF(W142&lt;=30," [売られ過ぎ]",""))&amp;" 前日比:"&amp;TEXT(Z142,"+0.0;-0.0;0.0")&amp;"%"&amp;IF(V142="年初来安値圏●"," [年初来安値圏]",IF(V142="安値圏"," [安値圏]",""))&amp;IF(OR(AO142="通常",AO142="-"),""," ["&amp;AO142&amp;"]")&amp;IF(OR(AT142="通常",AT142="-"),"","前日["&amp;AT142&amp;"]")&amp;" ["&amp;T142&amp;"点]")</f>
        <v>◎反落確認 | パーフェクト▲ MACD+ RSI:77.0 [過熱] 前日比:-1.2% [2点]</v>
      </c>
      <c r="Z142" s="338">
        <f>IF(AND(E142&lt;&gt;"",G142&lt;&gt;"",G142&lt;&gt;0),(E142-G142)/G142*100,"")</f>
        <v>-1.1768349334159183</v>
      </c>
      <c r="AA142" s="212" t="str">
        <f>IF(OR(C142="",E142="",E142=0),"",IF(E142&gt;G142,"上昇▲",IF(E142&lt;G142,"下落▼","横ばい→")))</f>
        <v>下落▼</v>
      </c>
      <c r="AB142" s="333">
        <f>IF(OR(C142="",C142="TOPX",終値!E48=""),"",IFERROR(((終値!E48*0.333)+(終値!F48*0.222)+(終値!G48*0.148)+(終値!H48*0.099)+(終値!I48*0.066))/(0.333+0.222+0.148+0.099+0.066),""))</f>
        <v>1563.0650921658982</v>
      </c>
      <c r="AC142" s="333">
        <f>IF(OR(C142="",C142="TOPX",終値!E48=""),"",IFERROR(SUMPRODUCT((終値!E48:AC48),{0.077,0.071,0.065,0.06,0.055,0.051,0.047,0.043,0.039,0.036,0.033,0.031,0.028,0.026,0.024,0.022,0.02,0.018,0.017,0.016,0.014,0.013,0.012,0.011,0.01})/SUM({0.077,0.071,0.065,0.06,0.055,0.051,0.047,0.043,0.039,0.036,0.033,0.031,0.028,0.026,0.024,0.022,0.02,0.018,0.017,0.016,0.014,0.013,0.012,0.011,0.01}),""))</f>
        <v>1498.1477949940397</v>
      </c>
      <c r="AD142" s="212" t="str">
        <f>IF(OR(C142="",AB142="",AC142="",AB142=0,AC142=0),"",IF(AND(E142&gt;AB142,AB142&gt;AC142),"パーフェクト▲",IF(E142&gt;AC142,"上昇トレンド▲",IF(AND(E142&lt;AB142,AB142&lt;AC142),"下降トレンド▼","もみ合い→"))))</f>
        <v>パーフェクト▲</v>
      </c>
      <c r="AE142" s="212" t="str">
        <f>IF(OR(C142="",AB142="",AC142=""),"",IF(AND(ABS(E142-AC142)/AC142&lt;=0.02,E142&lt;AC142),"25日戻り売り★",IF(AND(ABS(E142-AB142)/AB142&lt;=0.01,E142&lt;AB142),"5日戻り売り○","なし")))</f>
        <v>なし</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◎反落確認</v>
      </c>
      <c r="AG142">
        <f>IF(AND(T142&gt;=7,C142&lt;&gt;""),T142,0)</f>
        <v>0</v>
      </c>
      <c r="AH142">
        <f>IF(AG142&gt;0,AG142*10000-ROW(A142),0)</f>
        <v>0</v>
      </c>
      <c r="AI142" s="373">
        <f t="array" ref="AI142">IF(C142="","",IFERROR((INDEX(終値!$E:$E,MATCH(TEXT(C142,"0"),終値!$A:$A,0))-INDEX(終値!$E:$CZ,MATCH(TEXT(C142,"0"),終値!$A:$A,0),$AN$2))/INDEX(終値!$E:$CZ,MATCH(TEXT(C142,"0"),終値!$A:$A,0),$AN$2)*100,""))</f>
        <v>12.716354645001765</v>
      </c>
      <c r="AJ142" s="373">
        <f t="array" ref="AJ142">IFERROR((終値!$E$5-INDEX(終値!$E$5:$IT$5,1,$AN$2))/INDEX(終値!$E$5:$IT$5,1,$AN$2)*100,"")</f>
        <v>1.0179378228534113</v>
      </c>
      <c r="AK142" s="374">
        <f>IF(OR(AI142="",AJ142=""),"",AI142-AJ142)</f>
        <v>11.698416822148353</v>
      </c>
      <c r="AL142" s="372">
        <f>IF(AK142="","",IF(AK142&lt;-5,3,IF(AK142&lt;0,1,IF(AK142&lt;3,-1,-2))))</f>
        <v>-2</v>
      </c>
      <c r="AO142" s="376" t="str">
        <f>IF(OR($C142="",$E142="",$F142="",$H142="",$I142="",$H142-$I142&lt;=0),"-",IF(AND($H142-MAX($F142,$E142)&gt;=ABS($E142-$F142)*2,MIN($F142,$E142)-$I142&lt;=ABS($E142-$F142)*0.5,ABS($E142-$F142)&gt;0),"上ヒゲ陰線▼",IF(AND($E142&lt;$F142,ABS($E142-$F142)&gt;=($H142-$I142)*0.7),"大陰線▼",IF(AND(MIN($F142,$E142)-$I142&gt;=($H142-$I142)*0.5,$H142-MAX($F142,$E142)&lt;=($H142-$I142)*0.2),"長い下ヒゲ(反発警戒)","通常"))))</f>
        <v>通常</v>
      </c>
      <c r="AP142" s="377">
        <f>IF($AO142="上ヒゲ陰線▼",2,IF($AO142="大陰線▼",2,IF($AO142="長い下ヒゲ(反発警戒)",-2,0)))</f>
        <v>0</v>
      </c>
      <c r="AQ142">
        <f>IF(C142&lt;&gt;"",始値!F48,"")</f>
        <v>1507</v>
      </c>
      <c r="AR142">
        <f>IF(C142&lt;&gt;"",高値!F48,"")</f>
        <v>1614.5</v>
      </c>
      <c r="AS142">
        <f>IF(C142&lt;&gt;"",安値!F48,"")</f>
        <v>1492</v>
      </c>
      <c r="AT142" t="str">
        <f>IF(OR(C142="",AQ142="",AR142="",AS142="",AR142-AS142&lt;=0),"-",IF(AND(AR142-MAX(G142,AQ142)&gt;=ABS(G142-AQ142)*2,MIN(G142,AQ142)-AS142&lt;=ABS(G142-AQ142)*0.5,ABS(G142-AQ142)&gt;0),"上ヒゲ陰線▼",IF(AND(G142&lt;AQ142,ABS(G142-AQ142)&gt;=(AR142-AS142)*0.7),"大陰線▼",IF(AND(MIN(G142,AQ142)-AS142&gt;=(AR142-AS142)*0.5,AR142-MAX(G142,AQ142)&lt;=(AR142-AS142)*0.2),"長い下ヒゲ(反発)","通常"))))</f>
        <v>通常</v>
      </c>
      <c r="AU142">
        <f>IF(AT142="上ヒゲ陰線▼",2,IF(AT142="大陰線▼",2,IF(AT142="長い下ヒゲ(反発)",-2,0)))</f>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1722.5</v>
      </c>
      <c r="F143" s="326">
        <f>IF(C143&lt;&gt;"",_xll.RssMarket(C143,"始値"),"")</f>
        <v>1715.5</v>
      </c>
      <c r="G143" s="325">
        <f>IF(C143&lt;&gt;"",終値!F88,"")</f>
        <v>1712.5</v>
      </c>
      <c r="H143" s="326">
        <f>IF(C143&lt;&gt;"",_xll.RssMarket(C143,"高値"),"")</f>
        <v>1734.5</v>
      </c>
      <c r="I143" s="326">
        <f>IF(C143&lt;&gt;"",_xll.RssMarket(C143,"安値"),"")</f>
        <v>1707.5</v>
      </c>
      <c r="J143" s="326">
        <f>IF(C143&lt;&gt;"",_xll.RssMarket(C143,"出来高"),"")</f>
        <v>2276800</v>
      </c>
      <c r="K143" s="326">
        <f>IF(C143&lt;&gt;"",_xll.RssMarket(C143,"年初来高値"),"")</f>
        <v>2094</v>
      </c>
      <c r="L143" s="327">
        <f>IF(AND(E143&lt;&gt;"",K143&lt;&gt;"",K143&lt;&gt;0),(E143-K143)/K143*100,"")</f>
        <v>-17.741165234001912</v>
      </c>
      <c r="M143" s="326">
        <f>IF(C143&lt;&gt;"",IFERROR(AVERAGE(出来高!E88:I88),""),"")</f>
        <v>3053580</v>
      </c>
      <c r="N143" s="326">
        <f>IF(C143&lt;&gt;"",IFERROR(AVERAGE(出来高!E88:AC88),""),"")</f>
        <v>2849512</v>
      </c>
      <c r="O143" s="328">
        <f>IF(AND(J143&lt;&gt;"",M143&lt;&gt;"",M143&lt;&gt;0),J143/M143,"")</f>
        <v>0.74561662049135768</v>
      </c>
      <c r="P143" s="325" t="str">
        <f>IF(O143="","",IF(O143&gt;=2,"急増↑↑",IF(O143&gt;=1.5,"増加↑",IF(O143&gt;=1,"普通→","減少↓"))))</f>
        <v>減少↓</v>
      </c>
      <c r="Q143" s="325" t="str">
        <f>IF(E143="","",IF(AND(E143&lt;G143,O143&gt;=1.5),"売り▼",IF(E143&gt;G143,"様子見▲","中立→")))</f>
        <v>様子見▲</v>
      </c>
      <c r="R143" s="326">
        <f>IF(E143&lt;&gt;"",ROUND(E143*0.92,0),"")</f>
        <v>1585</v>
      </c>
      <c r="S143" s="326">
        <f>IF(E143&lt;&gt;"",ROUND(E143*1.04,0),"")</f>
        <v>1791</v>
      </c>
      <c r="T143" s="325">
        <f>IF(C143="","",IFERROR(IF(W143&gt;=70,3,IF(W143&gt;=60,2,IF(W143&gt;=50,1,0)))+IF(X143&lt;0,2,0)+IF(AD143="下降トレンド▼",3,IF(AD143="もみ合い→",1,0))+IF(V143="年初来安値圏●",3,IF(V143="安値圏",2,0))+IF(Q143="売り▼",2,0)+IF(P143="急増↑↑",2,IF(P143="増加↑",1,0))+IF(Z143&lt;0,1,0)+IF(L143&lt;=-30,2,IF(L143&lt;=-15,1,0))+IF(AE143="25日戻り売り★",2,IF(AE143="5日戻り売り○",1,0))+N(AL143)+N(AP143)+N(AU143),0))</f>
        <v>3</v>
      </c>
      <c r="U143" s="325" t="str">
        <f>IF(T143="","",IF(AND(T143&gt;=3,O143&gt;=1.5),"有効",IF(T143&gt;=3,"要確認","除外")))</f>
        <v>要確認</v>
      </c>
      <c r="V143" s="325" t="str">
        <f>IF(AND(I143&lt;&gt;"",K143&lt;&gt;""),IF(I143&lt;=K143*0.6,"年初来安値圏●",IF(I143&lt;=K143*0.75,"安値圏","通常")),"")</f>
        <v>通常</v>
      </c>
      <c r="W143" s="329">
        <f t="array" ref="W143">IFERROR(100-100/(1+SUMPRODUCT((終値!F88:R88&gt;終値!G88:S88)*(終値!F88:R88-終値!G88:S88))/SUMPRODUCT((終値!F88:R88&lt;終値!G88:S88)*(終値!G88:S88-終値!F88:R88))),50)</f>
        <v>41.836734693877553</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-4.0135816891479408</v>
      </c>
      <c r="Y143" s="325" t="str">
        <f>IF(AF143="","",AF143&amp;" | "&amp;AD143&amp;IF(AE143&lt;&gt;"なし"," "&amp;AE143,"")&amp;IF(X143&lt;0," MACD-"," MACD+")&amp;" RSI:"&amp;TEXT(W143,"0.0")&amp;IF(W143&gt;=70," [過熱]",IF(W143&lt;=30," [売られ過ぎ]",""))&amp;" 前日比:"&amp;TEXT(Z143,"+0.0;-0.0;0.0")&amp;"%"&amp;IF(V143="年初来安値圏●"," [年初来安値圏]",IF(V143="安値圏"," [安値圏]",""))&amp;IF(OR(AO143="通常",AO143="-"),""," ["&amp;AO143&amp;"]")&amp;IF(OR(AT143="通常",AT143="-"),"","前日["&amp;AT143&amp;"]")&amp;" ["&amp;T143&amp;"点]")</f>
        <v>相場上昇・見送り | もみ合い→ MACD- RSI:41.8 前日比:+0.6% [3点]</v>
      </c>
      <c r="Z143" s="331">
        <f>IF(AND(E143&lt;&gt;"",G143&lt;&gt;"",G143&lt;&gt;0),(E143-G143)/G143*100,"")</f>
        <v>0.58394160583941601</v>
      </c>
      <c r="AA143" s="325" t="str">
        <f>IF(OR(C143="",E143="",E143=0),"",IF(E143&gt;G143,"上昇▲",IF(E143&lt;G143,"下落▼","横ばい→")))</f>
        <v>上昇▲</v>
      </c>
      <c r="AB143" s="326">
        <f>IF(OR(C143="",C143="TOPX",終値!E88=""),"",IFERROR(((終値!E88*0.333)+(終値!F88*0.222)+(終値!G88*0.148)+(終値!H88*0.099)+(終値!I88*0.066))/(0.333+0.222+0.148+0.099+0.066),""))</f>
        <v>1719.9752304147464</v>
      </c>
      <c r="AC143" s="326">
        <f>IF(OR(C143="",C143="TOPX",終値!E88=""),"",IFERROR(SUMPRODUCT((終値!E88:AC88),{0.077,0.071,0.065,0.06,0.055,0.051,0.047,0.043,0.039,0.036,0.033,0.031,0.028,0.026,0.024,0.022,0.02,0.018,0.017,0.016,0.014,0.013,0.012,0.011,0.01})/SUM({0.077,0.071,0.065,0.06,0.055,0.051,0.047,0.043,0.039,0.036,0.033,0.031,0.028,0.026,0.024,0.022,0.02,0.018,0.017,0.016,0.014,0.013,0.012,0.011,0.01}),""))</f>
        <v>1769.9606674612628</v>
      </c>
      <c r="AD143" s="325" t="str">
        <f>IF(OR(C143="",AB143="",AC143="",AB143=0,AC143=0),"",IF(AND(E143&gt;AB143,AB143&gt;AC143),"パーフェクト▲",IF(E143&gt;AC143,"上昇トレンド▲",IF(AND(E143&lt;AB143,AB143&lt;AC143),"下降トレンド▼","もみ合い→"))))</f>
        <v>もみ合い→</v>
      </c>
      <c r="AE143" s="325" t="str">
        <f>IF(OR(C143="",AB143="",AC143=""),"",IF(AND(ABS(E143-AC143)/AC143&lt;=0.02,E143&lt;AC143),"25日戻り売り★",IF(AND(ABS(E143-AB143)/AB143&lt;=0.01,E143&lt;AB143),"5日戻り売り○","なし")))</f>
        <v>なし</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相場上昇・見送り</v>
      </c>
      <c r="AG143">
        <f>IF(AND(T143&gt;=7,C143&lt;&gt;""),T143,0)</f>
        <v>0</v>
      </c>
      <c r="AH143">
        <f>IF(AG143&gt;0,AG143*10000-ROW(A143),0)</f>
        <v>0</v>
      </c>
      <c r="AI143" s="373">
        <f t="array" ref="AI143">IF(C143="","",IFERROR((INDEX(終値!$E:$E,MATCH(TEXT(C143,"0"),終値!$A:$A,0))-INDEX(終値!$E:$CZ,MATCH(TEXT(C143,"0"),終値!$A:$A,0),$AN$2))/INDEX(終値!$E:$CZ,MATCH(TEXT(C143,"0"),終値!$A:$A,0),$AN$2)*100,""))</f>
        <v>3.4845298888555121</v>
      </c>
      <c r="AJ143" s="373">
        <f t="array" ref="AJ143">IFERROR((終値!$E$5-INDEX(終値!$E$5:$IT$5,1,$AN$2))/INDEX(終値!$E$5:$IT$5,1,$AN$2)*100,"")</f>
        <v>1.0179378228534113</v>
      </c>
      <c r="AK143" s="374">
        <f>IF(OR(AI143="",AJ143=""),"",AI143-AJ143)</f>
        <v>2.466592066002101</v>
      </c>
      <c r="AL143" s="372">
        <f>IF(AK143="","",IF(AK143&lt;-5,3,IF(AK143&lt;0,1,IF(AK143&lt;3,-1,-2))))</f>
        <v>-1</v>
      </c>
      <c r="AO143" s="376" t="str">
        <f>IF(OR($C143="",$E143="",$F143="",$H143="",$I143="",$H143-$I143&lt;=0),"-",IF(AND($H143-MAX($F143,$E143)&gt;=ABS($E143-$F143)*2,MIN($F143,$E143)-$I143&lt;=ABS($E143-$F143)*0.5,ABS($E143-$F143)&gt;0),"上ヒゲ陰線▼",IF(AND($E143&lt;$F143,ABS($E143-$F143)&gt;=($H143-$I143)*0.7),"大陰線▼",IF(AND(MIN($F143,$E143)-$I143&gt;=($H143-$I143)*0.5,$H143-MAX($F143,$E143)&lt;=($H143-$I143)*0.2),"長い下ヒゲ(反発警戒)","通常"))))</f>
        <v>通常</v>
      </c>
      <c r="AP143" s="377">
        <f>IF($AO143="上ヒゲ陰線▼",2,IF($AO143="大陰線▼",2,IF($AO143="長い下ヒゲ(反発警戒)",-2,0)))</f>
        <v>0</v>
      </c>
      <c r="AQ143">
        <f>IF(C143&lt;&gt;"",始値!F88,"")</f>
        <v>1719</v>
      </c>
      <c r="AR143">
        <f>IF(C143&lt;&gt;"",高値!F88,"")</f>
        <v>1728</v>
      </c>
      <c r="AS143">
        <f>IF(C143&lt;&gt;"",安値!F88,"")</f>
        <v>1699</v>
      </c>
      <c r="AT143" t="str">
        <f>IF(OR(C143="",AQ143="",AR143="",AS143="",AR143-AS143&lt;=0),"-",IF(AND(AR143-MAX(G143,AQ143)&gt;=ABS(G143-AQ143)*2,MIN(G143,AQ143)-AS143&lt;=ABS(G143-AQ143)*0.5,ABS(G143-AQ143)&gt;0),"上ヒゲ陰線▼",IF(AND(G143&lt;AQ143,ABS(G143-AQ143)&gt;=(AR143-AS143)*0.7),"大陰線▼",IF(AND(MIN(G143,AQ143)-AS143&gt;=(AR143-AS143)*0.5,AR143-MAX(G143,AQ143)&lt;=(AR143-AS143)*0.2),"長い下ヒゲ(反発)","通常"))))</f>
        <v>通常</v>
      </c>
      <c r="AU143">
        <f>IF(AT143="上ヒゲ陰線▼",2,IF(AT143="大陰線▼",2,IF(AT143="長い下ヒゲ(反発)",-2,0)))</f>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728</v>
      </c>
      <c r="F144" s="333">
        <f>IF(C144&lt;&gt;"",_xll.RssMarket(C144,"始値"),"")</f>
        <v>737</v>
      </c>
      <c r="G144" s="212">
        <f>IF(C144&lt;&gt;"",終値!F93,"")</f>
        <v>742</v>
      </c>
      <c r="H144" s="333">
        <f>IF(C144&lt;&gt;"",_xll.RssMarket(C144,"高値"),"")</f>
        <v>737</v>
      </c>
      <c r="I144" s="333">
        <f>IF(C144&lt;&gt;"",_xll.RssMarket(C144,"安値"),"")</f>
        <v>724</v>
      </c>
      <c r="J144" s="333">
        <f>IF(C144&lt;&gt;"",_xll.RssMarket(C144,"出来高"),"")</f>
        <v>223700</v>
      </c>
      <c r="K144" s="333">
        <f>IF(C144&lt;&gt;"",_xll.RssMarket(C144,"年初来高値"),"")</f>
        <v>1638</v>
      </c>
      <c r="L144" s="334">
        <f>IF(AND(E144&lt;&gt;"",K144&lt;&gt;"",K144&lt;&gt;0),(E144-K144)/K144*100,"")</f>
        <v>-55.555555555555557</v>
      </c>
      <c r="M144" s="333">
        <f>IF(C144&lt;&gt;"",IFERROR(AVERAGE(出来高!E93:I93),""),"")</f>
        <v>269200</v>
      </c>
      <c r="N144" s="333">
        <f>IF(C144&lt;&gt;"",IFERROR(AVERAGE(出来高!E93:AC93),""),"")</f>
        <v>497712</v>
      </c>
      <c r="O144" s="335">
        <f>IF(AND(J144&lt;&gt;"",M144&lt;&gt;"",M144&lt;&gt;0),J144/M144,"")</f>
        <v>0.83098068350668652</v>
      </c>
      <c r="P144" s="212" t="str">
        <f>IF(O144="","",IF(O144&gt;=2,"急増↑↑",IF(O144&gt;=1.5,"増加↑",IF(O144&gt;=1,"普通→","減少↓"))))</f>
        <v>減少↓</v>
      </c>
      <c r="Q144" s="212" t="str">
        <f>IF(E144="","",IF(AND(E144&lt;G144,O144&gt;=1.5),"売り▼",IF(E144&gt;G144,"様子見▲","中立→")))</f>
        <v>中立→</v>
      </c>
      <c r="R144" s="333">
        <f>IF(E144&lt;&gt;"",ROUND(E144*0.92,0),"")</f>
        <v>670</v>
      </c>
      <c r="S144" s="333">
        <f>IF(E144&lt;&gt;"",ROUND(E144*1.04,0),"")</f>
        <v>757</v>
      </c>
      <c r="T144" s="325">
        <f>IF(C144="","",IFERROR(IF(W144&gt;=70,3,IF(W144&gt;=60,2,IF(W144&gt;=50,1,0)))+IF(X144&lt;0,2,0)+IF(AD144="下降トレンド▼",3,IF(AD144="もみ合い→",1,0))+IF(V144="年初来安値圏●",3,IF(V144="安値圏",2,0))+IF(Q144="売り▼",2,0)+IF(P144="急増↑↑",2,IF(P144="増加↑",1,0))+IF(Z144&lt;0,1,0)+IF(L144&lt;=-30,2,IF(L144&lt;=-15,1,0))+IF(AE144="25日戻り売り★",2,IF(AE144="5日戻り売り○",1,0))+N(AL144)+N(AP144)+N(AU144),0))</f>
        <v>15</v>
      </c>
      <c r="U144" s="212" t="str">
        <f>IF(T144="","",IF(AND(T144&gt;=3,O144&gt;=1.5),"有効",IF(T144&gt;=3,"要確認","除外")))</f>
        <v>要確認</v>
      </c>
      <c r="V144" s="212" t="str">
        <f>IF(AND(I144&lt;&gt;"",K144&lt;&gt;""),IF(I144&lt;=K144*0.6,"年初来安値圏●",IF(I144&lt;=K144*0.75,"安値圏","通常")),"")</f>
        <v>年初来安値圏●</v>
      </c>
      <c r="W144" s="336">
        <f t="array" ref="W144">IFERROR(100-100/(1+SUMPRODUCT((終値!F93:R93&gt;終値!G93:S93)*(終値!F93:R93-終値!G93:S93))/SUMPRODUCT((終値!F93:R93&lt;終値!G93:S93)*(終値!G93:S93-終値!F93:R93))),50)</f>
        <v>35.57692307692308</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-9.6398051257965562</v>
      </c>
      <c r="Y144" s="212" t="str">
        <f>IF(AF144="","",AF144&amp;" | "&amp;AD144&amp;IF(AE144&lt;&gt;"なし"," "&amp;AE144,"")&amp;IF(X144&lt;0," MACD-"," MACD+")&amp;" RSI:"&amp;TEXT(W144,"0.0")&amp;IF(W144&gt;=70," [過熱]",IF(W144&lt;=30," [売られ過ぎ]",""))&amp;" 前日比:"&amp;TEXT(Z144,"+0.0;-0.0;0.0")&amp;"%"&amp;IF(V144="年初来安値圏●"," [年初来安値圏]",IF(V144="安値圏"," [安値圏]",""))&amp;IF(OR(AO144="通常",AO144="-"),""," ["&amp;AO144&amp;"]")&amp;IF(OR(AT144="通常",AT144="-"),"","前日["&amp;AT144&amp;"]")&amp;" ["&amp;T144&amp;"点]")</f>
        <v>★逆張り売り | 下降トレンド▼ 5日戻り売り○ MACD- RSI:35.6 前日比:-1.9% [年初来安値圏] [15点]</v>
      </c>
      <c r="Z144" s="338">
        <f>IF(AND(E144&lt;&gt;"",G144&lt;&gt;"",G144&lt;&gt;0),(E144-G144)/G144*100,"")</f>
        <v>-1.8867924528301887</v>
      </c>
      <c r="AA144" s="212" t="str">
        <f>IF(OR(C144="",E144="",E144=0),"",IF(E144&gt;G144,"上昇▲",IF(E144&lt;G144,"下落▼","横ばい→")))</f>
        <v>下落▼</v>
      </c>
      <c r="AB144" s="333">
        <f>IF(OR(C144="",C144="TOPX",終値!E93=""),"",IFERROR(((終値!E93*0.333)+(終値!F93*0.222)+(終値!G93*0.148)+(終値!H93*0.099)+(終値!I93*0.066))/(0.333+0.222+0.148+0.099+0.066),""))</f>
        <v>731.32949308755747</v>
      </c>
      <c r="AC144" s="333">
        <f>IF(OR(C144="",C144="TOPX",終値!E93=""),"",IFERROR(SUMPRODUCT((終値!E93:AC93),{0.077,0.071,0.065,0.06,0.055,0.051,0.047,0.043,0.039,0.036,0.033,0.031,0.028,0.026,0.024,0.022,0.02,0.018,0.017,0.016,0.014,0.013,0.012,0.011,0.01})/SUM({0.077,0.071,0.065,0.06,0.055,0.051,0.047,0.043,0.039,0.036,0.033,0.031,0.028,0.026,0.024,0.022,0.02,0.018,0.017,0.016,0.014,0.013,0.012,0.011,0.01}),""))</f>
        <v>753.20143027413565</v>
      </c>
      <c r="AD144" s="212" t="str">
        <f>IF(OR(C144="",AB144="",AC144="",AB144=0,AC144=0),"",IF(AND(E144&gt;AB144,AB144&gt;AC144),"パーフェクト▲",IF(E144&gt;AC144,"上昇トレンド▲",IF(AND(E144&lt;AB144,AB144&lt;AC144),"下降トレンド▼","もみ合い→"))))</f>
        <v>下降トレンド▼</v>
      </c>
      <c r="AE144" s="212" t="str">
        <f>IF(OR(C144="",AB144="",AC144=""),"",IF(AND(ABS(E144-AC144)/AC144&lt;=0.02,E144&lt;AC144),"25日戻り売り★",IF(AND(ABS(E144-AB144)/AB144&lt;=0.01,E144&lt;AB144),"5日戻り売り○","なし")))</f>
        <v>5日戻り売り○</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★逆張り売り</v>
      </c>
      <c r="AG144">
        <f>IF(AND(T144&gt;=7,C144&lt;&gt;""),T144,0)</f>
        <v>15</v>
      </c>
      <c r="AH144">
        <f>IF(AG144&gt;0,AG144*10000-ROW(A144),0)</f>
        <v>149856</v>
      </c>
      <c r="AI144" s="373">
        <f t="array" ref="AI144">IF(C144="","",IFERROR((INDEX(終値!$E:$E,MATCH(TEXT(C144,"0"),終値!$A:$A,0))-INDEX(終値!$E:$CZ,MATCH(TEXT(C144,"0"),終値!$A:$A,0),$AN$2))/INDEX(終値!$E:$CZ,MATCH(TEXT(C144,"0"),終値!$A:$A,0),$AN$2)*100,""))</f>
        <v>-16.894977168949772</v>
      </c>
      <c r="AJ144" s="373">
        <f t="array" ref="AJ144">IFERROR((終値!$E$5-INDEX(終値!$E$5:$IT$5,1,$AN$2))/INDEX(終値!$E$5:$IT$5,1,$AN$2)*100,"")</f>
        <v>1.0179378228534113</v>
      </c>
      <c r="AK144" s="374">
        <f>IF(OR(AI144="",AJ144=""),"",AI144-AJ144)</f>
        <v>-17.912914991803184</v>
      </c>
      <c r="AL144" s="372">
        <f>IF(AK144="","",IF(AK144&lt;-5,3,IF(AK144&lt;0,1,IF(AK144&lt;3,-1,-2))))</f>
        <v>3</v>
      </c>
      <c r="AO144" s="376" t="str">
        <f>IF(OR($C144="",$E144="",$F144="",$H144="",$I144="",$H144-$I144&lt;=0),"-",IF(AND($H144-MAX($F144,$E144)&gt;=ABS($E144-$F144)*2,MIN($F144,$E144)-$I144&lt;=ABS($E144-$F144)*0.5,ABS($E144-$F144)&gt;0),"上ヒゲ陰線▼",IF(AND($E144&lt;$F144,ABS($E144-$F144)&gt;=($H144-$I144)*0.7),"大陰線▼",IF(AND(MIN($F144,$E144)-$I144&gt;=($H144-$I144)*0.5,$H144-MAX($F144,$E144)&lt;=($H144-$I144)*0.2),"長い下ヒゲ(反発警戒)","通常"))))</f>
        <v>通常</v>
      </c>
      <c r="AP144" s="377">
        <f>IF($AO144="上ヒゲ陰線▼",2,IF($AO144="大陰線▼",2,IF($AO144="長い下ヒゲ(反発警戒)",-2,0)))</f>
        <v>0</v>
      </c>
      <c r="AQ144">
        <f>IF(C144&lt;&gt;"",始値!F93,"")</f>
        <v>733</v>
      </c>
      <c r="AR144">
        <f>IF(C144&lt;&gt;"",高値!F93,"")</f>
        <v>755</v>
      </c>
      <c r="AS144">
        <f>IF(C144&lt;&gt;"",安値!F93,"")</f>
        <v>733</v>
      </c>
      <c r="AT144" t="str">
        <f>IF(OR(C144="",AQ144="",AR144="",AS144="",AR144-AS144&lt;=0),"-",IF(AND(AR144-MAX(G144,AQ144)&gt;=ABS(G144-AQ144)*2,MIN(G144,AQ144)-AS144&lt;=ABS(G144-AQ144)*0.5,ABS(G144-AQ144)&gt;0),"上ヒゲ陰線▼",IF(AND(G144&lt;AQ144,ABS(G144-AQ144)&gt;=(AR144-AS144)*0.7),"大陰線▼",IF(AND(MIN(G144,AQ144)-AS144&gt;=(AR144-AS144)*0.5,AR144-MAX(G144,AQ144)&lt;=(AR144-AS144)*0.2),"長い下ヒゲ(反発)","通常"))))</f>
        <v>通常</v>
      </c>
      <c r="AU144">
        <f>IF(AT144="上ヒゲ陰線▼",2,IF(AT144="大陰線▼",2,IF(AT144="長い下ヒゲ(反発)",-2,0)))</f>
        <v>0</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1184.5</v>
      </c>
      <c r="F145" s="326">
        <f>IF(C145&lt;&gt;"",_xll.RssMarket(C145,"始値"),"")</f>
        <v>1155.5</v>
      </c>
      <c r="G145" s="325">
        <f>IF(C145&lt;&gt;"",終値!F98,"")</f>
        <v>1154.5</v>
      </c>
      <c r="H145" s="326">
        <f>IF(C145&lt;&gt;"",_xll.RssMarket(C145,"高値"),"")</f>
        <v>1191.5</v>
      </c>
      <c r="I145" s="326">
        <f>IF(C145&lt;&gt;"",_xll.RssMarket(C145,"安値"),"")</f>
        <v>1155.5</v>
      </c>
      <c r="J145" s="326">
        <f>IF(C145&lt;&gt;"",_xll.RssMarket(C145,"出来高"),"")</f>
        <v>4918000</v>
      </c>
      <c r="K145" s="326">
        <f>IF(C145&lt;&gt;"",_xll.RssMarket(C145,"年初来高値"),"")</f>
        <v>1232.5</v>
      </c>
      <c r="L145" s="327">
        <f>IF(AND(E145&lt;&gt;"",K145&lt;&gt;"",K145&lt;&gt;0),(E145-K145)/K145*100,"")</f>
        <v>-3.8945233265720081</v>
      </c>
      <c r="M145" s="326">
        <f>IF(C145&lt;&gt;"",IFERROR(AVERAGE(出来高!E98:I98),""),"")</f>
        <v>8540860</v>
      </c>
      <c r="N145" s="326">
        <f>IF(C145&lt;&gt;"",IFERROR(AVERAGE(出来高!E98:AC98),""),"")</f>
        <v>6489016.666666667</v>
      </c>
      <c r="O145" s="328">
        <f>IF(AND(J145&lt;&gt;"",M145&lt;&gt;"",M145&lt;&gt;0),J145/M145,"")</f>
        <v>0.57582023355961809</v>
      </c>
      <c r="P145" s="325" t="str">
        <f>IF(O145="","",IF(O145&gt;=2,"急増↑↑",IF(O145&gt;=1.5,"増加↑",IF(O145&gt;=1,"普通→","減少↓"))))</f>
        <v>減少↓</v>
      </c>
      <c r="Q145" s="325" t="str">
        <f>IF(E145="","",IF(AND(E145&lt;G145,O145&gt;=1.5),"売り▼",IF(E145&gt;G145,"様子見▲","中立→")))</f>
        <v>様子見▲</v>
      </c>
      <c r="R145" s="326">
        <f>IF(E145&lt;&gt;"",ROUND(E145*0.92,0),"")</f>
        <v>1090</v>
      </c>
      <c r="S145" s="326">
        <f>IF(E145&lt;&gt;"",ROUND(E145*1.04,0),"")</f>
        <v>1232</v>
      </c>
      <c r="T145" s="325">
        <f>IF(C145="","",IFERROR(IF(W145&gt;=70,3,IF(W145&gt;=60,2,IF(W145&gt;=50,1,0)))+IF(X145&lt;0,2,0)+IF(AD145="下降トレンド▼",3,IF(AD145="もみ合い→",1,0))+IF(V145="年初来安値圏●",3,IF(V145="安値圏",2,0))+IF(Q145="売り▼",2,0)+IF(P145="急増↑↑",2,IF(P145="増加↑",1,0))+IF(Z145&lt;0,1,0)+IF(L145&lt;=-30,2,IF(L145&lt;=-15,1,0))+IF(AE145="25日戻り売り★",2,IF(AE145="5日戻り売り○",1,0))+N(AL145)+N(AP145)+N(AU145),0))</f>
        <v>0</v>
      </c>
      <c r="U145" s="325" t="str">
        <f>IF(T145="","",IF(AND(T145&gt;=3,O145&gt;=1.5),"有効",IF(T145&gt;=3,"要確認","除外")))</f>
        <v>除外</v>
      </c>
      <c r="V145" s="325" t="str">
        <f>IF(AND(I145&lt;&gt;"",K145&lt;&gt;""),IF(I145&lt;=K145*0.6,"年初来安値圏●",IF(I145&lt;=K145*0.75,"安値圏","通常")),"")</f>
        <v>通常</v>
      </c>
      <c r="W145" s="329">
        <f t="array" ref="W145">IFERROR(100-100/(1+SUMPRODUCT((終値!F98:R98&gt;終値!G98:S98)*(終値!F98:R98-終値!G98:S98))/SUMPRODUCT((終値!F98:R98&lt;終値!G98:S98)*(終値!G98:S98-終値!F98:R98))),50)</f>
        <v>48.789671866594944</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-7.7476874609428705</v>
      </c>
      <c r="Y145" s="325" t="str">
        <f>IF(AF145="","",AF145&amp;" | "&amp;AD145&amp;IF(AE145&lt;&gt;"なし"," "&amp;AE145,"")&amp;IF(X145&lt;0," MACD-"," MACD+")&amp;" RSI:"&amp;TEXT(W145,"0.0")&amp;IF(W145&gt;=70," [過熱]",IF(W145&lt;=30," [売られ過ぎ]",""))&amp;" 前日比:"&amp;TEXT(Z145,"+0.0;-0.0;0.0")&amp;"%"&amp;IF(V145="年初来安値圏●"," [年初来安値圏]",IF(V145="安値圏"," [安値圏]",""))&amp;IF(OR(AO145="通常",AO145="-"),""," ["&amp;AO145&amp;"]")&amp;IF(OR(AT145="通常",AT145="-"),"","前日["&amp;AT145&amp;"]")&amp;" ["&amp;T145&amp;"点]")</f>
        <v>相場上昇・見送り | パーフェクト▲ MACD- RSI:48.8 前日比:+2.6% [0点]</v>
      </c>
      <c r="Z145" s="331">
        <f>IF(AND(E145&lt;&gt;"",G145&lt;&gt;"",G145&lt;&gt;0),(E145-G145)/G145*100,"")</f>
        <v>2.59852750108272</v>
      </c>
      <c r="AA145" s="325" t="str">
        <f>IF(OR(C145="",E145="",E145=0),"",IF(E145&gt;G145,"上昇▲",IF(E145&lt;G145,"下落▼","横ばい→")))</f>
        <v>上昇▲</v>
      </c>
      <c r="AB145" s="326">
        <f>IF(OR(C145="",C145="TOPX",終値!E98=""),"",IFERROR(((終値!E98*0.333)+(終値!F98*0.222)+(終値!G98*0.148)+(終値!H98*0.099)+(終値!I98*0.066))/(0.333+0.222+0.148+0.099+0.066),""))</f>
        <v>1160.08064516129</v>
      </c>
      <c r="AC145" s="326">
        <f>IF(OR(C145="",C145="TOPX",終値!E98=""),"",IFERROR(SUMPRODUCT((終値!E98:AC98),{0.077,0.071,0.065,0.06,0.055,0.051,0.047,0.043,0.039,0.036,0.033,0.031,0.028,0.026,0.024,0.022,0.02,0.018,0.017,0.016,0.014,0.013,0.012,0.011,0.01})/SUM({0.077,0.071,0.065,0.06,0.055,0.051,0.047,0.043,0.039,0.036,0.033,0.031,0.028,0.026,0.024,0.022,0.02,0.018,0.017,0.016,0.014,0.013,0.012,0.011,0.01}),""))</f>
        <v>1119.1495828367099</v>
      </c>
      <c r="AD145" s="325" t="str">
        <f>IF(OR(C145="",AB145="",AC145="",AB145=0,AC145=0),"",IF(AND(E145&gt;AB145,AB145&gt;AC145),"パーフェクト▲",IF(E145&gt;AC145,"上昇トレンド▲",IF(AND(E145&lt;AB145,AB145&lt;AC145),"下降トレンド▼","もみ合い→"))))</f>
        <v>パーフェクト▲</v>
      </c>
      <c r="AE145" s="325" t="str">
        <f>IF(OR(C145="",AB145="",AC145=""),"",IF(AND(ABS(E145-AC145)/AC145&lt;=0.02,E145&lt;AC145),"25日戻り売り★",IF(AND(ABS(E145-AB145)/AB145&lt;=0.01,E145&lt;AB145),"5日戻り売り○","なし")))</f>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相場上昇・見送り</v>
      </c>
      <c r="AG145">
        <f>IF(AND(T145&gt;=7,C145&lt;&gt;""),T145,0)</f>
        <v>0</v>
      </c>
      <c r="AH145">
        <f>IF(AG145&gt;0,AG145*10000-ROW(A145),0)</f>
        <v>0</v>
      </c>
      <c r="AI145" s="373">
        <f t="array" ref="AI145">IF(C145="","",IFERROR((INDEX(終値!$E:$E,MATCH(TEXT(C145,"0"),終値!$A:$A,0))-INDEX(終値!$E:$CZ,MATCH(TEXT(C145,"0"),終値!$A:$A,0),$AN$2))/INDEX(終値!$E:$CZ,MATCH(TEXT(C145,"0"),終値!$A:$A,0),$AN$2)*100,""))</f>
        <v>6.2331838565022419</v>
      </c>
      <c r="AJ145" s="373">
        <f t="array" ref="AJ145">IFERROR((終値!$E$5-INDEX(終値!$E$5:$IT$5,1,$AN$2))/INDEX(終値!$E$5:$IT$5,1,$AN$2)*100,"")</f>
        <v>1.0179378228534113</v>
      </c>
      <c r="AK145" s="374">
        <f>IF(OR(AI145="",AJ145=""),"",AI145-AJ145)</f>
        <v>5.2152460336488309</v>
      </c>
      <c r="AL145" s="372">
        <f>IF(AK145="","",IF(AK145&lt;-5,3,IF(AK145&lt;0,1,IF(AK145&lt;3,-1,-2))))</f>
        <v>-2</v>
      </c>
      <c r="AO145" s="376" t="str">
        <f>IF(OR($C145="",$E145="",$F145="",$H145="",$I145="",$H145-$I145&lt;=0),"-",IF(AND($H145-MAX($F145,$E145)&gt;=ABS($E145-$F145)*2,MIN($F145,$E145)-$I145&lt;=ABS($E145-$F145)*0.5,ABS($E145-$F145)&gt;0),"上ヒゲ陰線▼",IF(AND($E145&lt;$F145,ABS($E145-$F145)&gt;=($H145-$I145)*0.7),"大陰線▼",IF(AND(MIN($F145,$E145)-$I145&gt;=($H145-$I145)*0.5,$H145-MAX($F145,$E145)&lt;=($H145-$I145)*0.2),"長い下ヒゲ(反発警戒)","通常"))))</f>
        <v>通常</v>
      </c>
      <c r="AP145" s="377">
        <f>IF($AO145="上ヒゲ陰線▼",2,IF($AO145="大陰線▼",2,IF($AO145="長い下ヒゲ(反発警戒)",-2,0)))</f>
        <v>0</v>
      </c>
      <c r="AQ145">
        <f>IF(C145&lt;&gt;"",始値!F98,"")</f>
        <v>1130</v>
      </c>
      <c r="AR145">
        <f>IF(C145&lt;&gt;"",高値!F98,"")</f>
        <v>1164</v>
      </c>
      <c r="AS145">
        <f>IF(C145&lt;&gt;"",安値!F98,"")</f>
        <v>1123</v>
      </c>
      <c r="AT145" t="str">
        <f>IF(OR(C145="",AQ145="",AR145="",AS145="",AR145-AS145&lt;=0),"-",IF(AND(AR145-MAX(G145,AQ145)&gt;=ABS(G145-AQ145)*2,MIN(G145,AQ145)-AS145&lt;=ABS(G145-AQ145)*0.5,ABS(G145-AQ145)&gt;0),"上ヒゲ陰線▼",IF(AND(G145&lt;AQ145,ABS(G145-AQ145)&gt;=(AR145-AS145)*0.7),"大陰線▼",IF(AND(MIN(G145,AQ145)-AS145&gt;=(AR145-AS145)*0.5,AR145-MAX(G145,AQ145)&lt;=(AR145-AS145)*0.2),"長い下ヒゲ(反発)","通常"))))</f>
        <v>通常</v>
      </c>
      <c r="AU145">
        <f>IF(AT145="上ヒゲ陰線▼",2,IF(AT145="大陰線▼",2,IF(AT145="長い下ヒゲ(反発)",-2,0)))</f>
        <v>0</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899</v>
      </c>
      <c r="F146" s="333">
        <f>IF(C146&lt;&gt;"",_xll.RssMarket(C146,"始値"),"")</f>
        <v>881</v>
      </c>
      <c r="G146" s="212">
        <f>IF(C146&lt;&gt;"",終値!F111,"")</f>
        <v>893</v>
      </c>
      <c r="H146" s="333">
        <f>IF(C146&lt;&gt;"",_xll.RssMarket(C146,"高値"),"")</f>
        <v>904</v>
      </c>
      <c r="I146" s="333">
        <f>IF(C146&lt;&gt;"",_xll.RssMarket(C146,"安値"),"")</f>
        <v>869</v>
      </c>
      <c r="J146" s="333">
        <f>IF(C146&lt;&gt;"",_xll.RssMarket(C146,"出来高"),"")</f>
        <v>149700</v>
      </c>
      <c r="K146" s="333">
        <f>IF(C146&lt;&gt;"",_xll.RssMarket(C146,"年初来高値"),"")</f>
        <v>1620</v>
      </c>
      <c r="L146" s="334">
        <f>IF(AND(E146&lt;&gt;"",K146&lt;&gt;"",K146&lt;&gt;0),(E146-K146)/K146*100,"")</f>
        <v>-44.506172839506178</v>
      </c>
      <c r="M146" s="333">
        <f>IF(C146&lt;&gt;"",IFERROR(AVERAGE(出来高!E111:I111),""),"")</f>
        <v>256380</v>
      </c>
      <c r="N146" s="333">
        <f>IF(C146&lt;&gt;"",IFERROR(AVERAGE(出来高!E111:AC111),""),"")</f>
        <v>396204.16666666669</v>
      </c>
      <c r="O146" s="335">
        <f>IF(AND(J146&lt;&gt;"",M146&lt;&gt;"",M146&lt;&gt;0),J146/M146,"")</f>
        <v>0.58389890007020828</v>
      </c>
      <c r="P146" s="212" t="str">
        <f>IF(O146="","",IF(O146&gt;=2,"急増↑↑",IF(O146&gt;=1.5,"増加↑",IF(O146&gt;=1,"普通→","減少↓"))))</f>
        <v>減少↓</v>
      </c>
      <c r="Q146" s="212" t="str">
        <f>IF(E146="","",IF(AND(E146&lt;G146,O146&gt;=1.5),"売り▼",IF(E146&gt;G146,"様子見▲","中立→")))</f>
        <v>様子見▲</v>
      </c>
      <c r="R146" s="333">
        <f>IF(E146&lt;&gt;"",ROUND(E146*0.92,0),"")</f>
        <v>827</v>
      </c>
      <c r="S146" s="333">
        <f>IF(E146&lt;&gt;"",ROUND(E146*1.04,0),"")</f>
        <v>935</v>
      </c>
      <c r="T146" s="325">
        <f>IF(C146="","",IFERROR(IF(W146&gt;=70,3,IF(W146&gt;=60,2,IF(W146&gt;=50,1,0)))+IF(X146&lt;0,2,0)+IF(AD146="下降トレンド▼",3,IF(AD146="もみ合い→",1,0))+IF(V146="年初来安値圏●",3,IF(V146="安値圏",2,0))+IF(Q146="売り▼",2,0)+IF(P146="急増↑↑",2,IF(P146="増加↑",1,0))+IF(Z146&lt;0,1,0)+IF(L146&lt;=-30,2,IF(L146&lt;=-15,1,0))+IF(AE146="25日戻り売り★",2,IF(AE146="5日戻り売り○",1,0))+N(AL146)+N(AP146)+N(AU146),0))</f>
        <v>11</v>
      </c>
      <c r="U146" s="212" t="str">
        <f>IF(T146="","",IF(AND(T146&gt;=3,O146&gt;=1.5),"有効",IF(T146&gt;=3,"要確認","除外")))</f>
        <v>要確認</v>
      </c>
      <c r="V146" s="212" t="str">
        <f>IF(AND(I146&lt;&gt;"",K146&lt;&gt;""),IF(I146&lt;=K146*0.6,"年初来安値圏●",IF(I146&lt;=K146*0.75,"安値圏","通常")),"")</f>
        <v>年初来安値圏●</v>
      </c>
      <c r="W146" s="336">
        <f t="array" ref="W146">IFERROR(100-100/(1+SUMPRODUCT((終値!F111:R111&gt;終値!G111:S111)*(終値!F111:R111-終値!G111:S111))/SUMPRODUCT((終値!F111:R111&lt;終値!G111:S111)*(終値!G111:S111-終値!F111:R111))),50)</f>
        <v>51.239251390996458</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-5.7821436958306549E-2</v>
      </c>
      <c r="Y146" s="212" t="str">
        <f>IF(AF146="","",AF146&amp;" | "&amp;AD146&amp;IF(AE146&lt;&gt;"なし"," "&amp;AE146,"")&amp;IF(X146&lt;0," MACD-"," MACD+")&amp;" RSI:"&amp;TEXT(W146,"0.0")&amp;IF(W146&gt;=70," [過熱]",IF(W146&lt;=30," [売られ過ぎ]",""))&amp;" 前日比:"&amp;TEXT(Z146,"+0.0;-0.0;0.0")&amp;"%"&amp;IF(V146="年初来安値圏●"," [年初来安値圏]",IF(V146="安値圏"," [安値圏]",""))&amp;IF(OR(AO146="通常",AO146="-"),""," ["&amp;AO146&amp;"]")&amp;IF(OR(AT146="通常",AT146="-"),"","前日["&amp;AT146&amp;"]")&amp;" ["&amp;T146&amp;"点]")</f>
        <v>相場上昇・見送り | パーフェクト▲ MACD- RSI:51.2 前日比:+0.7% [年初来安値圏] [11点]</v>
      </c>
      <c r="Z146" s="338">
        <f>IF(AND(E146&lt;&gt;"",G146&lt;&gt;"",G146&lt;&gt;0),(E146-G146)/G146*100,"")</f>
        <v>0.67189249720044786</v>
      </c>
      <c r="AA146" s="212" t="str">
        <f>IF(OR(C146="",E146="",E146=0),"",IF(E146&gt;G146,"上昇▲",IF(E146&lt;G146,"下落▼","横ばい→")))</f>
        <v>上昇▲</v>
      </c>
      <c r="AB146" s="333">
        <f>IF(OR(C146="",C146="TOPX",終値!E111=""),"",IFERROR(((終値!E111*0.333)+(終値!F111*0.222)+(終値!G111*0.148)+(終値!H111*0.099)+(終値!I111*0.066))/(0.333+0.222+0.148+0.099+0.066),""))</f>
        <v>885.44354838709671</v>
      </c>
      <c r="AC146" s="333">
        <f>IF(OR(C146="",C146="TOPX",終値!E111=""),"",IFERROR(SUMPRODUCT((終値!E111:AC111),{0.077,0.071,0.065,0.06,0.055,0.051,0.047,0.043,0.039,0.036,0.033,0.031,0.028,0.026,0.024,0.022,0.02,0.018,0.017,0.016,0.014,0.013,0.012,0.011,0.01})/SUM({0.077,0.071,0.065,0.06,0.055,0.051,0.047,0.043,0.039,0.036,0.033,0.031,0.028,0.026,0.024,0.022,0.02,0.018,0.017,0.016,0.014,0.013,0.012,0.011,0.01}),""))</f>
        <v>828.97854588796179</v>
      </c>
      <c r="AD146" s="212" t="str">
        <f>IF(OR(C146="",AB146="",AC146="",AB146=0,AC146=0),"",IF(AND(E146&gt;AB146,AB146&gt;AC146),"パーフェクト▲",IF(E146&gt;AC146,"上昇トレンド▲",IF(AND(E146&lt;AB146,AB146&lt;AC146),"下降トレンド▼","もみ合い→"))))</f>
        <v>パーフェクト▲</v>
      </c>
      <c r="AE146" s="212" t="str">
        <f>IF(OR(C146="",AB146="",AC146=""),"",IF(AND(ABS(E146-AC146)/AC146&lt;=0.02,E146&lt;AC146),"25日戻り売り★",IF(AND(ABS(E146-AB146)/AB146&lt;=0.01,E146&lt;AB146),"5日戻り売り○","なし")))</f>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相場上昇・見送り</v>
      </c>
      <c r="AG146">
        <f>IF(AND(T146&gt;=7,C146&lt;&gt;""),T146,0)</f>
        <v>11</v>
      </c>
      <c r="AH146">
        <f>IF(AG146&gt;0,AG146*10000-ROW(A146),0)</f>
        <v>109854</v>
      </c>
      <c r="AI146" s="373">
        <f t="array" ref="AI146">IF(C146="","",IFERROR((INDEX(終値!$E:$E,MATCH(TEXT(C146,"0"),終値!$A:$A,0))-INDEX(終値!$E:$CZ,MATCH(TEXT(C146,"0"),終値!$A:$A,0),$AN$2))/INDEX(終値!$E:$CZ,MATCH(TEXT(C146,"0"),終値!$A:$A,0),$AN$2)*100,""))</f>
        <v>-4.3617021276595747</v>
      </c>
      <c r="AJ146" s="373">
        <f t="array" ref="AJ146">IFERROR((終値!$E$5-INDEX(終値!$E$5:$IT$5,1,$AN$2))/INDEX(終値!$E$5:$IT$5,1,$AN$2)*100,"")</f>
        <v>1.0179378228534113</v>
      </c>
      <c r="AK146" s="374">
        <f>IF(OR(AI146="",AJ146=""),"",AI146-AJ146)</f>
        <v>-5.3796399505129857</v>
      </c>
      <c r="AL146" s="372">
        <f>IF(AK146="","",IF(AK146&lt;-5,3,IF(AK146&lt;0,1,IF(AK146&lt;3,-1,-2))))</f>
        <v>3</v>
      </c>
      <c r="AO146" s="376" t="str">
        <f>IF(OR($C146="",$E146="",$F146="",$H146="",$I146="",$H146-$I146&lt;=0),"-",IF(AND($H146-MAX($F146,$E146)&gt;=ABS($E146-$F146)*2,MIN($F146,$E146)-$I146&lt;=ABS($E146-$F146)*0.5,ABS($E146-$F146)&gt;0),"上ヒゲ陰線▼",IF(AND($E146&lt;$F146,ABS($E146-$F146)&gt;=($H146-$I146)*0.7),"大陰線▼",IF(AND(MIN($F146,$E146)-$I146&gt;=($H146-$I146)*0.5,$H146-MAX($F146,$E146)&lt;=($H146-$I146)*0.2),"長い下ヒゲ(反発警戒)","通常"))))</f>
        <v>通常</v>
      </c>
      <c r="AP146" s="377">
        <f>IF($AO146="上ヒゲ陰線▼",2,IF($AO146="大陰線▼",2,IF($AO146="長い下ヒゲ(反発警戒)",-2,0)))</f>
        <v>0</v>
      </c>
      <c r="AQ146">
        <f>IF(C146&lt;&gt;"",始値!F111,"")</f>
        <v>866</v>
      </c>
      <c r="AR146">
        <f>IF(C146&lt;&gt;"",高値!F111,"")</f>
        <v>898</v>
      </c>
      <c r="AS146">
        <f>IF(C146&lt;&gt;"",安値!F111,"")</f>
        <v>865</v>
      </c>
      <c r="AT146" t="str">
        <f>IF(OR(C146="",AQ146="",AR146="",AS146="",AR146-AS146&lt;=0),"-",IF(AND(AR146-MAX(G146,AQ146)&gt;=ABS(G146-AQ146)*2,MIN(G146,AQ146)-AS146&lt;=ABS(G146-AQ146)*0.5,ABS(G146-AQ146)&gt;0),"上ヒゲ陰線▼",IF(AND(G146&lt;AQ146,ABS(G146-AQ146)&gt;=(AR146-AS146)*0.7),"大陰線▼",IF(AND(MIN(G146,AQ146)-AS146&gt;=(AR146-AS146)*0.5,AR146-MAX(G146,AQ146)&lt;=(AR146-AS146)*0.2),"長い下ヒゲ(反発)","通常"))))</f>
        <v>通常</v>
      </c>
      <c r="AU146">
        <f>IF(AT146="上ヒゲ陰線▼",2,IF(AT146="大陰線▼",2,IF(AT146="長い下ヒゲ(反発)",-2,0)))</f>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5520</v>
      </c>
      <c r="F147" s="326">
        <f>IF(C147&lt;&gt;"",_xll.RssMarket(C147,"始値"),"")</f>
        <v>5552</v>
      </c>
      <c r="G147" s="325">
        <f>IF(C147&lt;&gt;"",終値!F117,"")</f>
        <v>5552</v>
      </c>
      <c r="H147" s="326">
        <f>IF(C147&lt;&gt;"",_xll.RssMarket(C147,"高値"),"")</f>
        <v>5613</v>
      </c>
      <c r="I147" s="326">
        <f>IF(C147&lt;&gt;"",_xll.RssMarket(C147,"安値"),"")</f>
        <v>5481</v>
      </c>
      <c r="J147" s="326">
        <f>IF(C147&lt;&gt;"",_xll.RssMarket(C147,"出来高"),"")</f>
        <v>1183400</v>
      </c>
      <c r="K147" s="326">
        <f>IF(C147&lt;&gt;"",_xll.RssMarket(C147,"年初来高値"),"")</f>
        <v>9317</v>
      </c>
      <c r="L147" s="327">
        <f>IF(AND(E147&lt;&gt;"",K147&lt;&gt;"",K147&lt;&gt;0),(E147-K147)/K147*100,"")</f>
        <v>-40.753461414618442</v>
      </c>
      <c r="M147" s="326">
        <f>IF(C147&lt;&gt;"",IFERROR(AVERAGE(出来高!E117:I117),""),"")</f>
        <v>1057000</v>
      </c>
      <c r="N147" s="326">
        <f>IF(C147&lt;&gt;"",IFERROR(AVERAGE(出来高!E117:AC117),""),"")</f>
        <v>1103732</v>
      </c>
      <c r="O147" s="328">
        <f>IF(AND(J147&lt;&gt;"",M147&lt;&gt;"",M147&lt;&gt;0),J147/M147,"")</f>
        <v>1.1195837275307474</v>
      </c>
      <c r="P147" s="325" t="str">
        <f>IF(O147="","",IF(O147&gt;=2,"急増↑↑",IF(O147&gt;=1.5,"増加↑",IF(O147&gt;=1,"普通→","減少↓"))))</f>
        <v>普通→</v>
      </c>
      <c r="Q147" s="325" t="str">
        <f>IF(E147="","",IF(AND(E147&lt;G147,O147&gt;=1.5),"売り▼",IF(E147&gt;G147,"様子見▲","中立→")))</f>
        <v>中立→</v>
      </c>
      <c r="R147" s="326">
        <f>IF(E147&lt;&gt;"",ROUND(E147*0.92,0),"")</f>
        <v>5078</v>
      </c>
      <c r="S147" s="326">
        <f>IF(E147&lt;&gt;"",ROUND(E147*1.04,0),"")</f>
        <v>5741</v>
      </c>
      <c r="T147" s="325">
        <f>IF(C147="","",IFERROR(IF(W147&gt;=70,3,IF(W147&gt;=60,2,IF(W147&gt;=50,1,0)))+IF(X147&lt;0,2,0)+IF(AD147="下降トレンド▼",3,IF(AD147="もみ合い→",1,0))+IF(V147="年初来安値圏●",3,IF(V147="安値圏",2,0))+IF(Q147="売り▼",2,0)+IF(P147="急増↑↑",2,IF(P147="増加↑",1,0))+IF(Z147&lt;0,1,0)+IF(L147&lt;=-30,2,IF(L147&lt;=-15,1,0))+IF(AE147="25日戻り売り★",2,IF(AE147="5日戻り売り○",1,0))+N(AL147)+N(AP147)+N(AU147),0))</f>
        <v>6</v>
      </c>
      <c r="U147" s="325" t="str">
        <f>IF(T147="","",IF(AND(T147&gt;=3,O147&gt;=1.5),"有効",IF(T147&gt;=3,"要確認","除外")))</f>
        <v>要確認</v>
      </c>
      <c r="V147" s="325" t="str">
        <f>IF(AND(I147&lt;&gt;"",K147&lt;&gt;""),IF(I147&lt;=K147*0.6,"年初来安値圏●",IF(I147&lt;=K147*0.75,"安値圏","通常")),"")</f>
        <v>年初来安値圏●</v>
      </c>
      <c r="W147" s="329">
        <f t="array" ref="W147">IFERROR(100-100/(1+SUMPRODUCT((終値!F117:R117&gt;終値!G117:S117)*(終値!F117:R117-終値!G117:S117))/SUMPRODUCT((終値!F117:R117&lt;終値!G117:S117)*(終値!G117:S117-終値!F117:R117))),50)</f>
        <v>46.917148362235061</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-10.922985682953367</v>
      </c>
      <c r="Y147" s="325" t="str">
        <f>IF(AF147="","",AF147&amp;" | "&amp;AD147&amp;IF(AE147&lt;&gt;"なし"," "&amp;AE147,"")&amp;IF(X147&lt;0," MACD-"," MACD+")&amp;" RSI:"&amp;TEXT(W147,"0.0")&amp;IF(W147&gt;=70," [過熱]",IF(W147&lt;=30," [売られ過ぎ]",""))&amp;" 前日比:"&amp;TEXT(Z147,"+0.0;-0.0;0.0")&amp;"%"&amp;IF(V147="年初来安値圏●"," [年初来安値圏]",IF(V147="安値圏"," [安値圏]",""))&amp;IF(OR(AO147="通常",AO147="-"),""," ["&amp;AO147&amp;"]")&amp;IF(OR(AT147="通常",AT147="-"),"","前日["&amp;AT147&amp;"]")&amp;" ["&amp;T147&amp;"点]")</f>
        <v>相場上昇・見送り | 上昇トレンド▲ MACD- RSI:46.9 前日比:-0.6% [年初来安値圏] [6点]</v>
      </c>
      <c r="Z147" s="331">
        <f>IF(AND(E147&lt;&gt;"",G147&lt;&gt;"",G147&lt;&gt;0),(E147-G147)/G147*100,"")</f>
        <v>-0.57636887608069165</v>
      </c>
      <c r="AA147" s="325" t="str">
        <f>IF(OR(C147="",E147="",E147=0),"",IF(E147&gt;G147,"上昇▲",IF(E147&lt;G147,"下落▼","横ばい→")))</f>
        <v>下落▼</v>
      </c>
      <c r="AB147" s="326">
        <f>IF(OR(C147="",C147="TOPX",終値!E117=""),"",IFERROR(((終値!E117*0.333)+(終値!F117*0.222)+(終値!G117*0.148)+(終値!H117*0.099)+(終値!I117*0.066))/(0.333+0.222+0.148+0.099+0.066),""))</f>
        <v>5480.5368663594472</v>
      </c>
      <c r="AC147" s="326">
        <f>IF(OR(C147="",C147="TOPX",終値!E117=""),"",IFERROR(SUMPRODUCT((終値!E117:AC117),{0.077,0.071,0.065,0.06,0.055,0.051,0.047,0.043,0.039,0.036,0.033,0.031,0.028,0.026,0.024,0.022,0.02,0.018,0.017,0.016,0.014,0.013,0.012,0.011,0.01})/SUM({0.077,0.071,0.065,0.06,0.055,0.051,0.047,0.043,0.039,0.036,0.033,0.031,0.028,0.026,0.024,0.022,0.02,0.018,0.017,0.016,0.014,0.013,0.012,0.011,0.01}),""))</f>
        <v>5504.0643623361102</v>
      </c>
      <c r="AD147" s="325" t="str">
        <f>IF(OR(C147="",AB147="",AC147="",AB147=0,AC147=0),"",IF(AND(E147&gt;AB147,AB147&gt;AC147),"パーフェクト▲",IF(E147&gt;AC147,"上昇トレンド▲",IF(AND(E147&lt;AB147,AB147&lt;AC147),"下降トレンド▼","もみ合い→"))))</f>
        <v>上昇トレンド▲</v>
      </c>
      <c r="AE147" s="325" t="str">
        <f>IF(OR(C147="",AB147="",AC147=""),"",IF(AND(ABS(E147-AC147)/AC147&lt;=0.02,E147&lt;AC147),"25日戻り売り★",IF(AND(ABS(E147-AB147)/AB147&lt;=0.01,E147&lt;AB147),"5日戻り売り○","なし")))</f>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相場上昇・見送り</v>
      </c>
      <c r="AG147">
        <f>IF(AND(T147&gt;=7,C147&lt;&gt;""),T147,0)</f>
        <v>0</v>
      </c>
      <c r="AH147">
        <f>IF(AG147&gt;0,AG147*10000-ROW(A147),0)</f>
        <v>0</v>
      </c>
      <c r="AI147" s="373">
        <f t="array" ref="AI147">IF(C147="","",IFERROR((INDEX(終値!$E:$E,MATCH(TEXT(C147,"0"),終値!$A:$A,0))-INDEX(終値!$E:$CZ,MATCH(TEXT(C147,"0"),終値!$A:$A,0),$AN$2))/INDEX(終値!$E:$CZ,MATCH(TEXT(C147,"0"),終値!$A:$A,0),$AN$2)*100,""))</f>
        <v>7.7493656060901817</v>
      </c>
      <c r="AJ147" s="373">
        <f t="array" ref="AJ147">IFERROR((終値!$E$5-INDEX(終値!$E$5:$IT$5,1,$AN$2))/INDEX(終値!$E$5:$IT$5,1,$AN$2)*100,"")</f>
        <v>1.0179378228534113</v>
      </c>
      <c r="AK147" s="374">
        <f>IF(OR(AI147="",AJ147=""),"",AI147-AJ147)</f>
        <v>6.7314277832367706</v>
      </c>
      <c r="AL147" s="372">
        <f>IF(AK147="","",IF(AK147&lt;-5,3,IF(AK147&lt;0,1,IF(AK147&lt;3,-1,-2))))</f>
        <v>-2</v>
      </c>
      <c r="AO147" s="376" t="str">
        <f>IF(OR($C147="",$E147="",$F147="",$H147="",$I147="",$H147-$I147&lt;=0),"-",IF(AND($H147-MAX($F147,$E147)&gt;=ABS($E147-$F147)*2,MIN($F147,$E147)-$I147&lt;=ABS($E147-$F147)*0.5,ABS($E147-$F147)&gt;0),"上ヒゲ陰線▼",IF(AND($E147&lt;$F147,ABS($E147-$F147)&gt;=($H147-$I147)*0.7),"大陰線▼",IF(AND(MIN($F147,$E147)-$I147&gt;=($H147-$I147)*0.5,$H147-MAX($F147,$E147)&lt;=($H147-$I147)*0.2),"長い下ヒゲ(反発警戒)","通常"))))</f>
        <v>通常</v>
      </c>
      <c r="AP147" s="377">
        <f>IF($AO147="上ヒゲ陰線▼",2,IF($AO147="大陰線▼",2,IF($AO147="長い下ヒゲ(反発警戒)",-2,0)))</f>
        <v>0</v>
      </c>
      <c r="AQ147">
        <f>IF(C147&lt;&gt;"",始値!F117,"")</f>
        <v>5355</v>
      </c>
      <c r="AR147">
        <f>IF(C147&lt;&gt;"",高値!F117,"")</f>
        <v>5602</v>
      </c>
      <c r="AS147">
        <f>IF(C147&lt;&gt;"",安値!F117,"")</f>
        <v>5291</v>
      </c>
      <c r="AT147" t="str">
        <f>IF(OR(C147="",AQ147="",AR147="",AS147="",AR147-AS147&lt;=0),"-",IF(AND(AR147-MAX(G147,AQ147)&gt;=ABS(G147-AQ147)*2,MIN(G147,AQ147)-AS147&lt;=ABS(G147-AQ147)*0.5,ABS(G147-AQ147)&gt;0),"上ヒゲ陰線▼",IF(AND(G147&lt;AQ147,ABS(G147-AQ147)&gt;=(AR147-AS147)*0.7),"大陰線▼",IF(AND(MIN(G147,AQ147)-AS147&gt;=(AR147-AS147)*0.5,AR147-MAX(G147,AQ147)&lt;=(AR147-AS147)*0.2),"長い下ヒゲ(反発)","通常"))))</f>
        <v>通常</v>
      </c>
      <c r="AU147">
        <f>IF(AT147="上ヒゲ陰線▼",2,IF(AT147="大陰線▼",2,IF(AT147="長い下ヒゲ(反発)",-2,0)))</f>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3100</v>
      </c>
      <c r="F148" s="333">
        <f>IF(C148&lt;&gt;"",_xll.RssMarket(C148,"始値"),"")</f>
        <v>3200</v>
      </c>
      <c r="G148" s="212">
        <f>IF(C148&lt;&gt;"",終値!F121,"")</f>
        <v>3130</v>
      </c>
      <c r="H148" s="333">
        <f>IF(C148&lt;&gt;"",_xll.RssMarket(C148,"高値"),"")</f>
        <v>3265</v>
      </c>
      <c r="I148" s="333">
        <f>IF(C148&lt;&gt;"",_xll.RssMarket(C148,"安値"),"")</f>
        <v>3100</v>
      </c>
      <c r="J148" s="333">
        <f>IF(C148&lt;&gt;"",_xll.RssMarket(C148,"出来高"),"")</f>
        <v>345300</v>
      </c>
      <c r="K148" s="333">
        <f>IF(C148&lt;&gt;"",_xll.RssMarket(C148,"年初来高値"),"")</f>
        <v>4155</v>
      </c>
      <c r="L148" s="334">
        <f>IF(AND(E148&lt;&gt;"",K148&lt;&gt;"",K148&lt;&gt;0),(E148-K148)/K148*100,"")</f>
        <v>-25.391095066185322</v>
      </c>
      <c r="M148" s="333">
        <f>IF(C148&lt;&gt;"",IFERROR(AVERAGE(出来高!E121:I121),""),"")</f>
        <v>296600</v>
      </c>
      <c r="N148" s="333">
        <f>IF(C148&lt;&gt;"",IFERROR(AVERAGE(出来高!E121:AC121),""),"")</f>
        <v>340300</v>
      </c>
      <c r="O148" s="335">
        <f>IF(AND(J148&lt;&gt;"",M148&lt;&gt;"",M148&lt;&gt;0),J148/M148,"")</f>
        <v>1.1641942009440325</v>
      </c>
      <c r="P148" s="212" t="str">
        <f>IF(O148="","",IF(O148&gt;=2,"急増↑↑",IF(O148&gt;=1.5,"増加↑",IF(O148&gt;=1,"普通→","減少↓"))))</f>
        <v>普通→</v>
      </c>
      <c r="Q148" s="212" t="str">
        <f>IF(E148="","",IF(AND(E148&lt;G148,O148&gt;=1.5),"売り▼",IF(E148&gt;G148,"様子見▲","中立→")))</f>
        <v>中立→</v>
      </c>
      <c r="R148" s="333">
        <f>IF(E148&lt;&gt;"",ROUND(E148*0.92,0),"")</f>
        <v>2852</v>
      </c>
      <c r="S148" s="333">
        <f>IF(E148&lt;&gt;"",ROUND(E148*1.04,0),"")</f>
        <v>3224</v>
      </c>
      <c r="T148" s="325">
        <f>IF(C148="","",IFERROR(IF(W148&gt;=70,3,IF(W148&gt;=60,2,IF(W148&gt;=50,1,0)))+IF(X148&lt;0,2,0)+IF(AD148="下降トレンド▼",3,IF(AD148="もみ合い→",1,0))+IF(V148="年初来安値圏●",3,IF(V148="安値圏",2,0))+IF(Q148="売り▼",2,0)+IF(P148="急増↑↑",2,IF(P148="増加↑",1,0))+IF(Z148&lt;0,1,0)+IF(L148&lt;=-30,2,IF(L148&lt;=-15,1,0))+IF(AE148="25日戻り売り★",2,IF(AE148="5日戻り売り○",1,0))+N(AL148)+N(AP148)+N(AU148),0))</f>
        <v>9</v>
      </c>
      <c r="U148" s="212" t="str">
        <f>IF(T148="","",IF(AND(T148&gt;=3,O148&gt;=1.5),"有効",IF(T148&gt;=3,"要確認","除外")))</f>
        <v>要確認</v>
      </c>
      <c r="V148" s="212" t="str">
        <f>IF(AND(I148&lt;&gt;"",K148&lt;&gt;""),IF(I148&lt;=K148*0.6,"年初来安値圏●",IF(I148&lt;=K148*0.75,"安値圏","通常")),"")</f>
        <v>安値圏</v>
      </c>
      <c r="W148" s="336">
        <f t="array" ref="W148">IFERROR(100-100/(1+SUMPRODUCT((終値!F121:R121&gt;終値!G121:S121)*(終値!F121:R121-終値!G121:S121))/SUMPRODUCT((終値!F121:R121&lt;終値!G121:S121)*(終値!G121:S121-終値!F121:R121))),50)</f>
        <v>46.765249537892792</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-82.891585303236752</v>
      </c>
      <c r="Y148" s="212" t="str">
        <f>IF(AF148="","",AF148&amp;" | "&amp;AD148&amp;IF(AE148&lt;&gt;"なし"," "&amp;AE148,"")&amp;IF(X148&lt;0," MACD-"," MACD+")&amp;" RSI:"&amp;TEXT(W148,"0.0")&amp;IF(W148&gt;=70," [過熱]",IF(W148&lt;=30," [売られ過ぎ]",""))&amp;" 前日比:"&amp;TEXT(Z148,"+0.0;-0.0;0.0")&amp;"%"&amp;IF(V148="年初来安値圏●"," [年初来安値圏]",IF(V148="安値圏"," [安値圏]",""))&amp;IF(OR(AO148="通常",AO148="-"),""," ["&amp;AO148&amp;"]")&amp;IF(OR(AT148="通常",AT148="-"),"","前日["&amp;AT148&amp;"]")&amp;" ["&amp;T148&amp;"点]")</f>
        <v>相場上昇・見送り | パーフェクト▲ MACD- RSI:46.8 前日比:-1.0% [安値圏] [9点]</v>
      </c>
      <c r="Z148" s="338">
        <f>IF(AND(E148&lt;&gt;"",G148&lt;&gt;"",G148&lt;&gt;0),(E148-G148)/G148*100,"")</f>
        <v>-0.95846645367412142</v>
      </c>
      <c r="AA148" s="212" t="str">
        <f>IF(OR(C148="",E148="",E148=0),"",IF(E148&gt;G148,"上昇▲",IF(E148&lt;G148,"下落▼","横ばい→")))</f>
        <v>下落▼</v>
      </c>
      <c r="AB148" s="333">
        <f>IF(OR(C148="",C148="TOPX",終値!E121=""),"",IFERROR(((終値!E121*0.333)+(終値!F121*0.222)+(終値!G121*0.148)+(終値!H121*0.099)+(終値!I121*0.066))/(0.333+0.222+0.148+0.099+0.066),""))</f>
        <v>3060.5990783410134</v>
      </c>
      <c r="AC148" s="333">
        <f>IF(OR(C148="",C148="TOPX",終値!E121=""),"",IFERROR(SUMPRODUCT((終値!E121:AC121),{0.077,0.071,0.065,0.06,0.055,0.051,0.047,0.043,0.039,0.036,0.033,0.031,0.028,0.026,0.024,0.022,0.02,0.018,0.017,0.016,0.014,0.013,0.012,0.011,0.01})/SUM({0.077,0.071,0.065,0.06,0.055,0.051,0.047,0.043,0.039,0.036,0.033,0.031,0.028,0.026,0.024,0.022,0.02,0.018,0.017,0.016,0.014,0.013,0.012,0.011,0.01}),""))</f>
        <v>3038.7556615017875</v>
      </c>
      <c r="AD148" s="212" t="str">
        <f>IF(OR(C148="",AB148="",AC148="",AB148=0,AC148=0),"",IF(AND(E148&gt;AB148,AB148&gt;AC148),"パーフェクト▲",IF(E148&gt;AC148,"上昇トレンド▲",IF(AND(E148&lt;AB148,AB148&lt;AC148),"下降トレンド▼","もみ合い→"))))</f>
        <v>パーフェクト▲</v>
      </c>
      <c r="AE148" s="212" t="str">
        <f>IF(OR(C148="",AB148="",AC148=""),"",IF(AND(ABS(E148-AC148)/AC148&lt;=0.02,E148&lt;AC148),"25日戻り売り★",IF(AND(ABS(E148-AB148)/AB148&lt;=0.01,E148&lt;AB148),"5日戻り売り○","なし")))</f>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相場上昇・見送り</v>
      </c>
      <c r="AG148">
        <f>IF(AND(T148&gt;=7,C148&lt;&gt;""),T148,0)</f>
        <v>9</v>
      </c>
      <c r="AH148">
        <f>IF(AG148&gt;0,AG148*10000-ROW(A148),0)</f>
        <v>89852</v>
      </c>
      <c r="AI148" s="373">
        <f t="array" ref="AI148">IF(C148="","",IFERROR((INDEX(終値!$E:$E,MATCH(TEXT(C148,"0"),終値!$A:$A,0))-INDEX(終値!$E:$CZ,MATCH(TEXT(C148,"0"),終値!$A:$A,0),$AN$2))/INDEX(終値!$E:$CZ,MATCH(TEXT(C148,"0"),終値!$A:$A,0),$AN$2)*100,""))</f>
        <v>-5.6316590563165905</v>
      </c>
      <c r="AJ148" s="373">
        <f t="array" ref="AJ148">IFERROR((終値!$E$5-INDEX(終値!$E$5:$IT$5,1,$AN$2))/INDEX(終値!$E$5:$IT$5,1,$AN$2)*100,"")</f>
        <v>1.0179378228534113</v>
      </c>
      <c r="AK148" s="374">
        <f>IF(OR(AI148="",AJ148=""),"",AI148-AJ148)</f>
        <v>-6.6495968791700015</v>
      </c>
      <c r="AL148" s="372">
        <f>IF(AK148="","",IF(AK148&lt;-5,3,IF(AK148&lt;0,1,IF(AK148&lt;3,-1,-2))))</f>
        <v>3</v>
      </c>
      <c r="AO148" s="376" t="str">
        <f>IF(OR($C148="",$E148="",$F148="",$H148="",$I148="",$H148-$I148&lt;=0),"-",IF(AND($H148-MAX($F148,$E148)&gt;=ABS($E148-$F148)*2,MIN($F148,$E148)-$I148&lt;=ABS($E148-$F148)*0.5,ABS($E148-$F148)&gt;0),"上ヒゲ陰線▼",IF(AND($E148&lt;$F148,ABS($E148-$F148)&gt;=($H148-$I148)*0.7),"大陰線▼",IF(AND(MIN($F148,$E148)-$I148&gt;=($H148-$I148)*0.5,$H148-MAX($F148,$E148)&lt;=($H148-$I148)*0.2),"長い下ヒゲ(反発警戒)","通常"))))</f>
        <v>通常</v>
      </c>
      <c r="AP148" s="377">
        <f>IF($AO148="上ヒゲ陰線▼",2,IF($AO148="大陰線▼",2,IF($AO148="長い下ヒゲ(反発警戒)",-2,0)))</f>
        <v>0</v>
      </c>
      <c r="AQ148">
        <f>IF(C148&lt;&gt;"",始値!F121,"")</f>
        <v>2980</v>
      </c>
      <c r="AR148">
        <f>IF(C148&lt;&gt;"",高値!F121,"")</f>
        <v>3145</v>
      </c>
      <c r="AS148">
        <f>IF(C148&lt;&gt;"",安値!F121,"")</f>
        <v>2972</v>
      </c>
      <c r="AT148" t="str">
        <f>IF(OR(C148="",AQ148="",AR148="",AS148="",AR148-AS148&lt;=0),"-",IF(AND(AR148-MAX(G148,AQ148)&gt;=ABS(G148-AQ148)*2,MIN(G148,AQ148)-AS148&lt;=ABS(G148-AQ148)*0.5,ABS(G148-AQ148)&gt;0),"上ヒゲ陰線▼",IF(AND(G148&lt;AQ148,ABS(G148-AQ148)&gt;=(AR148-AS148)*0.7),"大陰線▼",IF(AND(MIN(G148,AQ148)-AS148&gt;=(AR148-AS148)*0.5,AR148-MAX(G148,AQ148)&lt;=(AR148-AS148)*0.2),"長い下ヒゲ(反発)","通常"))))</f>
        <v>通常</v>
      </c>
      <c r="AU148">
        <f>IF(AT148="上ヒゲ陰線▼",2,IF(AT148="大陰線▼",2,IF(AT148="長い下ヒゲ(反発)",-2,0)))</f>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2448</v>
      </c>
      <c r="F149" s="326">
        <f>IF(C149&lt;&gt;"",_xll.RssMarket(C149,"始値"),"")</f>
        <v>2434</v>
      </c>
      <c r="G149" s="325">
        <f>IF(C149&lt;&gt;"",終値!F125,"")</f>
        <v>2434</v>
      </c>
      <c r="H149" s="326">
        <f>IF(C149&lt;&gt;"",_xll.RssMarket(C149,"高値"),"")</f>
        <v>2470</v>
      </c>
      <c r="I149" s="326">
        <f>IF(C149&lt;&gt;"",_xll.RssMarket(C149,"安値"),"")</f>
        <v>2417</v>
      </c>
      <c r="J149" s="326">
        <f>IF(C149&lt;&gt;"",_xll.RssMarket(C149,"出来高"),"")</f>
        <v>118900</v>
      </c>
      <c r="K149" s="326">
        <f>IF(C149&lt;&gt;"",_xll.RssMarket(C149,"年初来高値"),"")</f>
        <v>2885</v>
      </c>
      <c r="L149" s="327">
        <f>IF(AND(E149&lt;&gt;"",K149&lt;&gt;"",K149&lt;&gt;0),(E149-K149)/K149*100,"")</f>
        <v>-15.147313691507799</v>
      </c>
      <c r="M149" s="326">
        <f>IF(C149&lt;&gt;"",IFERROR(AVERAGE(出来高!E125:I125),""),"")</f>
        <v>106800</v>
      </c>
      <c r="N149" s="326">
        <f>IF(C149&lt;&gt;"",IFERROR(AVERAGE(出来高!E125:AC125),""),"")</f>
        <v>115548</v>
      </c>
      <c r="O149" s="328">
        <f>IF(AND(J149&lt;&gt;"",M149&lt;&gt;"",M149&lt;&gt;0),J149/M149,"")</f>
        <v>1.1132958801498127</v>
      </c>
      <c r="P149" s="325" t="str">
        <f>IF(O149="","",IF(O149&gt;=2,"急増↑↑",IF(O149&gt;=1.5,"増加↑",IF(O149&gt;=1,"普通→","減少↓"))))</f>
        <v>普通→</v>
      </c>
      <c r="Q149" s="325" t="str">
        <f>IF(E149="","",IF(AND(E149&lt;G149,O149&gt;=1.5),"売り▼",IF(E149&gt;G149,"様子見▲","中立→")))</f>
        <v>様子見▲</v>
      </c>
      <c r="R149" s="326">
        <f>IF(E149&lt;&gt;"",ROUND(E149*0.92,0),"")</f>
        <v>2252</v>
      </c>
      <c r="S149" s="326">
        <f>IF(E149&lt;&gt;"",ROUND(E149*1.04,0),"")</f>
        <v>2546</v>
      </c>
      <c r="T149" s="325">
        <f>IF(C149="","",IFERROR(IF(W149&gt;=70,3,IF(W149&gt;=60,2,IF(W149&gt;=50,1,0)))+IF(X149&lt;0,2,0)+IF(AD149="下降トレンド▼",3,IF(AD149="もみ合い→",1,0))+IF(V149="年初来安値圏●",3,IF(V149="安値圏",2,0))+IF(Q149="売り▼",2,0)+IF(P149="急増↑↑",2,IF(P149="増加↑",1,0))+IF(Z149&lt;0,1,0)+IF(L149&lt;=-30,2,IF(L149&lt;=-15,1,0))+IF(AE149="25日戻り売り★",2,IF(AE149="5日戻り売り○",1,0))+N(AL149)+N(AP149)+N(AU149),0))</f>
        <v>5</v>
      </c>
      <c r="U149" s="325" t="str">
        <f>IF(T149="","",IF(AND(T149&gt;=3,O149&gt;=1.5),"有効",IF(T149&gt;=3,"要確認","除外")))</f>
        <v>要確認</v>
      </c>
      <c r="V149" s="325" t="str">
        <f>IF(AND(I149&lt;&gt;"",K149&lt;&gt;""),IF(I149&lt;=K149*0.6,"年初来安値圏●",IF(I149&lt;=K149*0.75,"安値圏","通常")),"")</f>
        <v>通常</v>
      </c>
      <c r="W149" s="329">
        <f t="array" ref="W149">IFERROR(100-100/(1+SUMPRODUCT((終値!F125:R125&gt;終値!G125:S125)*(終値!F125:R125-終値!G125:S125))/SUMPRODUCT((終値!F125:R125&lt;終値!G125:S125)*(終値!G125:S125-終値!F125:R125))),50)</f>
        <v>38.975501113585743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-4.7389159326371555</v>
      </c>
      <c r="Y149" s="325" t="str">
        <f>IF(AF149="","",AF149&amp;" | "&amp;AD149&amp;IF(AE149&lt;&gt;"なし"," "&amp;AE149,"")&amp;IF(X149&lt;0," MACD-"," MACD+")&amp;" RSI:"&amp;TEXT(W149,"0.0")&amp;IF(W149&gt;=70," [過熱]",IF(W149&lt;=30," [売られ過ぎ]",""))&amp;" 前日比:"&amp;TEXT(Z149,"+0.0;-0.0;0.0")&amp;"%"&amp;IF(V149="年初来安値圏●"," [年初来安値圏]",IF(V149="安値圏"," [安値圏]",""))&amp;IF(OR(AO149="通常",AO149="-"),""," ["&amp;AO149&amp;"]")&amp;IF(OR(AT149="通常",AT149="-"),"","前日["&amp;AT149&amp;"]")&amp;" ["&amp;T149&amp;"点]")</f>
        <v>○逆張り売り | もみ合い→ 25日戻り売り★ MACD- RSI:39.0 前日比:+0.6% [5点]</v>
      </c>
      <c r="Z149" s="331">
        <f>IF(AND(E149&lt;&gt;"",G149&lt;&gt;"",G149&lt;&gt;0),(E149-G149)/G149*100,"")</f>
        <v>0.57518488085456043</v>
      </c>
      <c r="AA149" s="325" t="str">
        <f>IF(OR(C149="",E149="",E149=0),"",IF(E149&gt;G149,"上昇▲",IF(E149&lt;G149,"下落▼","横ばい→")))</f>
        <v>上昇▲</v>
      </c>
      <c r="AB149" s="326">
        <f>IF(OR(C149="",C149="TOPX",終値!E125=""),"",IFERROR(((終値!E125*0.333)+(終値!F125*0.222)+(終値!G125*0.148)+(終値!H125*0.099)+(終値!I125*0.066))/(0.333+0.222+0.148+0.099+0.066),""))</f>
        <v>2441.1900921658989</v>
      </c>
      <c r="AC149" s="326">
        <f>IF(OR(C149="",C149="TOPX",終値!E125=""),"",IFERROR(SUMPRODUCT((終値!E125:AC125),{0.077,0.071,0.065,0.06,0.055,0.051,0.047,0.043,0.039,0.036,0.033,0.031,0.028,0.026,0.024,0.022,0.02,0.018,0.017,0.016,0.014,0.013,0.012,0.011,0.01})/SUM({0.077,0.071,0.065,0.06,0.055,0.051,0.047,0.043,0.039,0.036,0.033,0.031,0.028,0.026,0.024,0.022,0.02,0.018,0.017,0.016,0.014,0.013,0.012,0.011,0.01}),""))</f>
        <v>2492.3778307508928</v>
      </c>
      <c r="AD149" s="325" t="str">
        <f>IF(OR(C149="",AB149="",AC149="",AB149=0,AC149=0),"",IF(AND(E149&gt;AB149,AB149&gt;AC149),"パーフェクト▲",IF(E149&gt;AC149,"上昇トレンド▲",IF(AND(E149&lt;AB149,AB149&lt;AC149),"下降トレンド▼","もみ合い→"))))</f>
        <v>もみ合い→</v>
      </c>
      <c r="AE149" s="325" t="str">
        <f>IF(OR(C149="",AB149="",AC149=""),"",IF(AND(ABS(E149-AC149)/AC149&lt;=0.02,E149&lt;AC149),"25日戻り売り★",IF(AND(ABS(E149-AB149)/AB149&lt;=0.01,E149&lt;AB149),"5日戻り売り○","なし")))</f>
        <v>25日戻り売り★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○逆張り売り</v>
      </c>
      <c r="AG149">
        <f>IF(AND(T149&gt;=7,C149&lt;&gt;""),T149,0)</f>
        <v>0</v>
      </c>
      <c r="AH149">
        <f>IF(AG149&gt;0,AG149*10000-ROW(A149),0)</f>
        <v>0</v>
      </c>
      <c r="AI149" s="373">
        <f t="array" ref="AI149">IF(C149="","",IFERROR((INDEX(終値!$E:$E,MATCH(TEXT(C149,"0"),終値!$A:$A,0))-INDEX(終値!$E:$CZ,MATCH(TEXT(C149,"0"),終値!$A:$A,0),$AN$2))/INDEX(終値!$E:$CZ,MATCH(TEXT(C149,"0"),終値!$A:$A,0),$AN$2)*100,""))</f>
        <v>2.5555090071219104</v>
      </c>
      <c r="AJ149" s="373">
        <f t="array" ref="AJ149">IFERROR((終値!$E$5-INDEX(終値!$E$5:$IT$5,1,$AN$2))/INDEX(終値!$E$5:$IT$5,1,$AN$2)*100,"")</f>
        <v>1.0179378228534113</v>
      </c>
      <c r="AK149" s="374">
        <f>IF(OR(AI149="",AJ149=""),"",AI149-AJ149)</f>
        <v>1.5375711842684991</v>
      </c>
      <c r="AL149" s="372">
        <f>IF(AK149="","",IF(AK149&lt;-5,3,IF(AK149&lt;0,1,IF(AK149&lt;3,-1,-2))))</f>
        <v>-1</v>
      </c>
      <c r="AO149" s="376" t="str">
        <f>IF(OR($C149="",$E149="",$F149="",$H149="",$I149="",$H149-$I149&lt;=0),"-",IF(AND($H149-MAX($F149,$E149)&gt;=ABS($E149-$F149)*2,MIN($F149,$E149)-$I149&lt;=ABS($E149-$F149)*0.5,ABS($E149-$F149)&gt;0),"上ヒゲ陰線▼",IF(AND($E149&lt;$F149,ABS($E149-$F149)&gt;=($H149-$I149)*0.7),"大陰線▼",IF(AND(MIN($F149,$E149)-$I149&gt;=($H149-$I149)*0.5,$H149-MAX($F149,$E149)&lt;=($H149-$I149)*0.2),"長い下ヒゲ(反発警戒)","通常"))))</f>
        <v>通常</v>
      </c>
      <c r="AP149" s="377">
        <f>IF($AO149="上ヒゲ陰線▼",2,IF($AO149="大陰線▼",2,IF($AO149="長い下ヒゲ(反発警戒)",-2,0)))</f>
        <v>0</v>
      </c>
      <c r="AQ149">
        <f>IF(C149&lt;&gt;"",始値!F125,"")</f>
        <v>2425</v>
      </c>
      <c r="AR149">
        <f>IF(C149&lt;&gt;"",高値!F125,"")</f>
        <v>2445</v>
      </c>
      <c r="AS149">
        <f>IF(C149&lt;&gt;"",安値!F125,"")</f>
        <v>2414</v>
      </c>
      <c r="AT149" t="str">
        <f>IF(OR(C149="",AQ149="",AR149="",AS149="",AR149-AS149&lt;=0),"-",IF(AND(AR149-MAX(G149,AQ149)&gt;=ABS(G149-AQ149)*2,MIN(G149,AQ149)-AS149&lt;=ABS(G149-AQ149)*0.5,ABS(G149-AQ149)&gt;0),"上ヒゲ陰線▼",IF(AND(G149&lt;AQ149,ABS(G149-AQ149)&gt;=(AR149-AS149)*0.7),"大陰線▼",IF(AND(MIN(G149,AQ149)-AS149&gt;=(AR149-AS149)*0.5,AR149-MAX(G149,AQ149)&lt;=(AR149-AS149)*0.2),"長い下ヒゲ(反発)","通常"))))</f>
        <v>通常</v>
      </c>
      <c r="AU149">
        <f>IF(AT149="上ヒゲ陰線▼",2,IF(AT149="大陰線▼",2,IF(AT149="長い下ヒゲ(反発)",-2,0)))</f>
        <v>0</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76</v>
      </c>
      <c r="F150" s="333">
        <f>IF(C150&lt;&gt;"",_xll.RssMarket(C150,"始値"),"")</f>
        <v>76</v>
      </c>
      <c r="G150" s="212">
        <f>IF(C150&lt;&gt;"",終値!F137,"")</f>
        <v>78</v>
      </c>
      <c r="H150" s="333">
        <f>IF(C150&lt;&gt;"",_xll.RssMarket(C150,"高値"),"")</f>
        <v>79</v>
      </c>
      <c r="I150" s="333">
        <f>IF(C150&lt;&gt;"",_xll.RssMarket(C150,"安値"),"")</f>
        <v>75</v>
      </c>
      <c r="J150" s="333">
        <f>IF(C150&lt;&gt;"",_xll.RssMarket(C150,"出来高"),"")</f>
        <v>1367600</v>
      </c>
      <c r="K150" s="333">
        <f>IF(C150&lt;&gt;"",_xll.RssMarket(C150,"年初来高値"),"")</f>
        <v>720</v>
      </c>
      <c r="L150" s="334">
        <f>IF(AND(E150&lt;&gt;"",K150&lt;&gt;"",K150&lt;&gt;0),(E150-K150)/K150*100,"")</f>
        <v>-89.444444444444443</v>
      </c>
      <c r="M150" s="333">
        <f>IF(C150&lt;&gt;"",IFERROR(AVERAGE(出来高!E137:I137),""),"")</f>
        <v>3800860</v>
      </c>
      <c r="N150" s="333">
        <f>IF(C150&lt;&gt;"",IFERROR(AVERAGE(出来高!E137:AC137),""),"")</f>
        <v>3863145.8333333335</v>
      </c>
      <c r="O150" s="335">
        <f>IF(AND(J150&lt;&gt;"",M150&lt;&gt;"",M150&lt;&gt;0),J150/M150,"")</f>
        <v>0.35981330540982831</v>
      </c>
      <c r="P150" s="212" t="str">
        <f>IF(O150="","",IF(O150&gt;=2,"急増↑↑",IF(O150&gt;=1.5,"増加↑",IF(O150&gt;=1,"普通→","減少↓"))))</f>
        <v>減少↓</v>
      </c>
      <c r="Q150" s="212" t="str">
        <f>IF(E150="","",IF(AND(E150&lt;G150,O150&gt;=1.5),"売り▼",IF(E150&gt;G150,"様子見▲","中立→")))</f>
        <v>中立→</v>
      </c>
      <c r="R150" s="333">
        <f>IF(E150&lt;&gt;"",ROUND(E150*0.92,0),"")</f>
        <v>70</v>
      </c>
      <c r="S150" s="333">
        <f>IF(E150&lt;&gt;"",ROUND(E150*1.04,0),"")</f>
        <v>79</v>
      </c>
      <c r="T150" s="325">
        <f>IF(C150="","",IFERROR(IF(W150&gt;=70,3,IF(W150&gt;=60,2,IF(W150&gt;=50,1,0)))+IF(X150&lt;0,2,0)+IF(AD150="下降トレンド▼",3,IF(AD150="もみ合い→",1,0))+IF(V150="年初来安値圏●",3,IF(V150="安値圏",2,0))+IF(Q150="売り▼",2,0)+IF(P150="急増↑↑",2,IF(P150="増加↑",1,0))+IF(Z150&lt;0,1,0)+IF(L150&lt;=-30,2,IF(L150&lt;=-15,1,0))+IF(AE150="25日戻り売り★",2,IF(AE150="5日戻り売り○",1,0))+N(AL150)+N(AP150)+N(AU150),0))</f>
        <v>14</v>
      </c>
      <c r="U150" s="212" t="str">
        <f>IF(T150="","",IF(AND(T150&gt;=3,O150&gt;=1.5),"有効",IF(T150&gt;=3,"要確認","除外")))</f>
        <v>要確認</v>
      </c>
      <c r="V150" s="212" t="str">
        <f>IF(AND(I150&lt;&gt;"",K150&lt;&gt;""),IF(I150&lt;=K150*0.6,"年初来安値圏●",IF(I150&lt;=K150*0.75,"安値圏","通常")),"")</f>
        <v>年初来安値圏●</v>
      </c>
      <c r="W150" s="336">
        <f t="array" ref="W150">IFERROR(100-100/(1+SUMPRODUCT((終値!F137:R137&gt;終値!G137:S137)*(終値!F137:R137-終値!G137:S137))/SUMPRODUCT((終値!F137:R137&lt;終値!G137:S137)*(終値!G137:S137-終値!F137:R137))),50)</f>
        <v>34.5</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-20.021764136937279</v>
      </c>
      <c r="Y150" s="212" t="str">
        <f>IF(AF150="","",AF150&amp;" | "&amp;AD150&amp;IF(AE150&lt;&gt;"なし"," "&amp;AE150,"")&amp;IF(X150&lt;0," MACD-"," MACD+")&amp;" RSI:"&amp;TEXT(W150,"0.0")&amp;IF(W150&gt;=70," [過熱]",IF(W150&lt;=30," [売られ過ぎ]",""))&amp;" 前日比:"&amp;TEXT(Z150,"+0.0;-0.0;0.0")&amp;"%"&amp;IF(V150="年初来安値圏●"," [年初来安値圏]",IF(V150="安値圏"," [安値圏]",""))&amp;IF(OR(AO150="通常",AO150="-"),""," ["&amp;AO150&amp;"]")&amp;IF(OR(AT150="通常",AT150="-"),"","前日["&amp;AT150&amp;"]")&amp;" ["&amp;T150&amp;"点]")</f>
        <v>相場上昇・見送り | 下降トレンド▼ MACD- RSI:34.5 前日比:-2.6% [年初来安値圏] [14点]</v>
      </c>
      <c r="Z150" s="338">
        <f>IF(AND(E150&lt;&gt;"",G150&lt;&gt;"",G150&lt;&gt;0),(E150-G150)/G150*100,"")</f>
        <v>-2.5641025641025639</v>
      </c>
      <c r="AA150" s="212" t="str">
        <f>IF(OR(C150="",E150="",E150=0),"",IF(E150&gt;G150,"上昇▲",IF(E150&lt;G150,"下落▼","横ばい→")))</f>
        <v>下落▼</v>
      </c>
      <c r="AB150" s="333">
        <f>IF(OR(C150="",C150="TOPX",終値!E137=""),"",IFERROR(((終値!E137*0.333)+(終値!F137*0.222)+(終値!G137*0.148)+(終値!H137*0.099)+(終値!I137*0.066))/(0.333+0.222+0.148+0.099+0.066),""))</f>
        <v>76.910138248847915</v>
      </c>
      <c r="AC150" s="333">
        <f>IF(OR(C150="",C150="TOPX",終値!E137=""),"",IFERROR(SUMPRODUCT((終値!E137:AC137),{0.077,0.071,0.065,0.06,0.055,0.051,0.047,0.043,0.039,0.036,0.033,0.031,0.028,0.026,0.024,0.022,0.02,0.018,0.017,0.016,0.014,0.013,0.012,0.011,0.01})/SUM({0.077,0.071,0.065,0.06,0.055,0.051,0.047,0.043,0.039,0.036,0.033,0.031,0.028,0.026,0.024,0.022,0.02,0.018,0.017,0.016,0.014,0.013,0.012,0.011,0.01}),""))</f>
        <v>117.87008343265788</v>
      </c>
      <c r="AD150" s="212" t="str">
        <f>IF(OR(C150="",AB150="",AC150="",AB150=0,AC150=0),"",IF(AND(E150&gt;AB150,AB150&gt;AC150),"パーフェクト▲",IF(E150&gt;AC150,"上昇トレンド▲",IF(AND(E150&lt;AB150,AB150&lt;AC150),"下降トレンド▼","もみ合い→"))))</f>
        <v>下降トレンド▼</v>
      </c>
      <c r="AE150" s="212" t="str">
        <f>IF(OR(C150="",AB150="",AC150=""),"",IF(AND(ABS(E150-AC150)/AC150&lt;=0.02,E150&lt;AC150),"25日戻り売り★",IF(AND(ABS(E150-AB150)/AB150&lt;=0.01,E150&lt;AB150),"5日戻り売り○","なし")))</f>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相場上昇・見送り</v>
      </c>
      <c r="AG150">
        <f>IF(AND(T150&gt;=7,C150&lt;&gt;""),T150,0)</f>
        <v>14</v>
      </c>
      <c r="AH150">
        <f>IF(AG150&gt;0,AG150*10000-ROW(A150),0)</f>
        <v>139850</v>
      </c>
      <c r="AI150" s="373">
        <f t="array" ref="AI150">IF(C150="","",IFERROR((INDEX(終値!$E:$E,MATCH(TEXT(C150,"0"),終値!$A:$A,0))-INDEX(終値!$E:$CZ,MATCH(TEXT(C150,"0"),終値!$A:$A,0),$AN$2))/INDEX(終値!$E:$CZ,MATCH(TEXT(C150,"0"),終値!$A:$A,0),$AN$2)*100,""))</f>
        <v>-69.721115537848604</v>
      </c>
      <c r="AJ150" s="373">
        <f t="array" ref="AJ150">IFERROR((終値!$E$5-INDEX(終値!$E$5:$IT$5,1,$AN$2))/INDEX(終値!$E$5:$IT$5,1,$AN$2)*100,"")</f>
        <v>1.0179378228534113</v>
      </c>
      <c r="AK150" s="374">
        <f>IF(OR(AI150="",AJ150=""),"",AI150-AJ150)</f>
        <v>-70.739053360702016</v>
      </c>
      <c r="AL150" s="372">
        <f>IF(AK150="","",IF(AK150&lt;-5,3,IF(AK150&lt;0,1,IF(AK150&lt;3,-1,-2))))</f>
        <v>3</v>
      </c>
      <c r="AO150" s="376" t="str">
        <f>IF(OR($C150="",$E150="",$F150="",$H150="",$I150="",$H150-$I150&lt;=0),"-",IF(AND($H150-MAX($F150,$E150)&gt;=ABS($E150-$F150)*2,MIN($F150,$E150)-$I150&lt;=ABS($E150-$F150)*0.5,ABS($E150-$F150)&gt;0),"上ヒゲ陰線▼",IF(AND($E150&lt;$F150,ABS($E150-$F150)&gt;=($H150-$I150)*0.7),"大陰線▼",IF(AND(MIN($F150,$E150)-$I150&gt;=($H150-$I150)*0.5,$H150-MAX($F150,$E150)&lt;=($H150-$I150)*0.2),"長い下ヒゲ(反発警戒)","通常"))))</f>
        <v>通常</v>
      </c>
      <c r="AP150" s="377">
        <f>IF($AO150="上ヒゲ陰線▼",2,IF($AO150="大陰線▼",2,IF($AO150="長い下ヒゲ(反発警戒)",-2,0)))</f>
        <v>0</v>
      </c>
      <c r="AQ150">
        <f>IF(C150&lt;&gt;"",始値!F137,"")</f>
        <v>78</v>
      </c>
      <c r="AR150">
        <f>IF(C150&lt;&gt;"",高値!F137,"")</f>
        <v>81</v>
      </c>
      <c r="AS150">
        <f>IF(C150&lt;&gt;"",安値!F137,"")</f>
        <v>74</v>
      </c>
      <c r="AT150" t="str">
        <f>IF(OR(C150="",AQ150="",AR150="",AS150="",AR150-AS150&lt;=0),"-",IF(AND(AR150-MAX(G150,AQ150)&gt;=ABS(G150-AQ150)*2,MIN(G150,AQ150)-AS150&lt;=ABS(G150-AQ150)*0.5,ABS(G150-AQ150)&gt;0),"上ヒゲ陰線▼",IF(AND(G150&lt;AQ150,ABS(G150-AQ150)&gt;=(AR150-AS150)*0.7),"大陰線▼",IF(AND(MIN(G150,AQ150)-AS150&gt;=(AR150-AS150)*0.5,AR150-MAX(G150,AQ150)&lt;=(AR150-AS150)*0.2),"長い下ヒゲ(反発)","通常"))))</f>
        <v>通常</v>
      </c>
      <c r="AU150">
        <f>IF(AT150="上ヒゲ陰線▼",2,IF(AT150="大陰線▼",2,IF(AT150="長い下ヒゲ(反発)",-2,0)))</f>
        <v>0</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4738</v>
      </c>
      <c r="F151" s="326">
        <f>IF(C151&lt;&gt;"",_xll.RssMarket(C151,"始値"),"")</f>
        <v>4639</v>
      </c>
      <c r="G151" s="325">
        <f>IF(C151&lt;&gt;"",終値!F150,"")</f>
        <v>4570</v>
      </c>
      <c r="H151" s="326">
        <f>IF(C151&lt;&gt;"",_xll.RssMarket(C151,"高値"),"")</f>
        <v>4761</v>
      </c>
      <c r="I151" s="326">
        <f>IF(C151&lt;&gt;"",_xll.RssMarket(C151,"安値"),"")</f>
        <v>4629</v>
      </c>
      <c r="J151" s="326">
        <f>IF(C151&lt;&gt;"",_xll.RssMarket(C151,"出来高"),"")</f>
        <v>3127100</v>
      </c>
      <c r="K151" s="326">
        <f>IF(C151&lt;&gt;"",_xll.RssMarket(C151,"年初来高値"),"")</f>
        <v>6300</v>
      </c>
      <c r="L151" s="327">
        <f>IF(AND(E151&lt;&gt;"",K151&lt;&gt;"",K151&lt;&gt;0),(E151-K151)/K151*100,"")</f>
        <v>-24.793650793650794</v>
      </c>
      <c r="M151" s="326">
        <f>IF(C151&lt;&gt;"",IFERROR(AVERAGE(出来高!E150:I150),""),"")</f>
        <v>4527780</v>
      </c>
      <c r="N151" s="326">
        <f>IF(C151&lt;&gt;"",IFERROR(AVERAGE(出来高!E150:AC150),""),"")</f>
        <v>3053824</v>
      </c>
      <c r="O151" s="328">
        <f>IF(AND(J151&lt;&gt;"",M151&lt;&gt;"",M151&lt;&gt;0),J151/M151,"")</f>
        <v>0.69064751379263123</v>
      </c>
      <c r="P151" s="325" t="str">
        <f>IF(O151="","",IF(O151&gt;=2,"急増↑↑",IF(O151&gt;=1.5,"増加↑",IF(O151&gt;=1,"普通→","減少↓"))))</f>
        <v>減少↓</v>
      </c>
      <c r="Q151" s="325" t="str">
        <f>IF(E151="","",IF(AND(E151&lt;G151,O151&gt;=1.5),"売り▼",IF(E151&gt;G151,"様子見▲","中立→")))</f>
        <v>様子見▲</v>
      </c>
      <c r="R151" s="326">
        <f>IF(E151&lt;&gt;"",ROUND(E151*0.92,0),"")</f>
        <v>4359</v>
      </c>
      <c r="S151" s="326">
        <f>IF(E151&lt;&gt;"",ROUND(E151*1.04,0),"")</f>
        <v>4928</v>
      </c>
      <c r="T151" s="325">
        <f>IF(C151="","",IFERROR(IF(W151&gt;=70,3,IF(W151&gt;=60,2,IF(W151&gt;=50,1,0)))+IF(X151&lt;0,2,0)+IF(AD151="下降トレンド▼",3,IF(AD151="もみ合い→",1,0))+IF(V151="年初来安値圏●",3,IF(V151="安値圏",2,0))+IF(Q151="売り▼",2,0)+IF(P151="急増↑↑",2,IF(P151="増加↑",1,0))+IF(Z151&lt;0,1,0)+IF(L151&lt;=-30,2,IF(L151&lt;=-15,1,0))+IF(AE151="25日戻り売り★",2,IF(AE151="5日戻り売り○",1,0))+N(AL151)+N(AP151)+N(AU151),0))</f>
        <v>4</v>
      </c>
      <c r="U151" s="325" t="str">
        <f>IF(T151="","",IF(AND(T151&gt;=3,O151&gt;=1.5),"有効",IF(T151&gt;=3,"要確認","除外")))</f>
        <v>要確認</v>
      </c>
      <c r="V151" s="325" t="str">
        <f>IF(AND(I151&lt;&gt;"",K151&lt;&gt;""),IF(I151&lt;=K151*0.6,"年初来安値圏●",IF(I151&lt;=K151*0.75,"安値圏","通常")),"")</f>
        <v>安値圏</v>
      </c>
      <c r="W151" s="329">
        <f t="array" ref="W151">IFERROR(100-100/(1+SUMPRODUCT((終値!F150:R150&gt;終値!G150:S150)*(終値!F150:R150-終値!G150:S150))/SUMPRODUCT((終値!F150:R150&lt;終値!G150:S150)*(終値!G150:S150-終値!F150:R150))),50)</f>
        <v>41.090555014605648</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-26.596352477122309</v>
      </c>
      <c r="Y151" s="325" t="str">
        <f>IF(AF151="","",AF151&amp;" | "&amp;AD151&amp;IF(AE151&lt;&gt;"なし"," "&amp;AE151,"")&amp;IF(X151&lt;0," MACD-"," MACD+")&amp;" RSI:"&amp;TEXT(W151,"0.0")&amp;IF(W151&gt;=70," [過熱]",IF(W151&lt;=30," [売られ過ぎ]",""))&amp;" 前日比:"&amp;TEXT(Z151,"+0.0;-0.0;0.0")&amp;"%"&amp;IF(V151="年初来安値圏●"," [年初来安値圏]",IF(V151="安値圏"," [安値圏]",""))&amp;IF(OR(AO151="通常",AO151="-"),""," ["&amp;AO151&amp;"]")&amp;IF(OR(AT151="通常",AT151="-"),"","前日["&amp;AT151&amp;"]")&amp;" ["&amp;T151&amp;"点]")</f>
        <v>相場上昇・見送り | もみ合い→ MACD- RSI:41.1 前日比:+3.7% [安値圏] [4点]</v>
      </c>
      <c r="Z151" s="331">
        <f>IF(AND(E151&lt;&gt;"",G151&lt;&gt;"",G151&lt;&gt;0),(E151-G151)/G151*100,"")</f>
        <v>3.6761487964989055</v>
      </c>
      <c r="AA151" s="325" t="str">
        <f>IF(OR(C151="",E151="",E151=0),"",IF(E151&gt;G151,"上昇▲",IF(E151&lt;G151,"下落▼","横ばい→")))</f>
        <v>上昇▲</v>
      </c>
      <c r="AB151" s="326">
        <f>IF(OR(C151="",C151="TOPX",終値!E150=""),"",IFERROR(((終値!E150*0.333)+(終値!F150*0.222)+(終値!G150*0.148)+(終値!H150*0.099)+(終値!I150*0.066))/(0.333+0.222+0.148+0.099+0.066),""))</f>
        <v>4666.4493087557594</v>
      </c>
      <c r="AC151" s="326">
        <f>IF(OR(C151="",C151="TOPX",終値!E150=""),"",IFERROR(SUMPRODUCT((終値!E150:AC150),{0.077,0.071,0.065,0.06,0.055,0.051,0.047,0.043,0.039,0.036,0.033,0.031,0.028,0.026,0.024,0.022,0.02,0.018,0.017,0.016,0.014,0.013,0.012,0.011,0.01})/SUM({0.077,0.071,0.065,0.06,0.055,0.051,0.047,0.043,0.039,0.036,0.033,0.031,0.028,0.026,0.024,0.022,0.02,0.018,0.017,0.016,0.014,0.013,0.012,0.011,0.01}),""))</f>
        <v>4952.6019070321809</v>
      </c>
      <c r="AD151" s="325" t="str">
        <f>IF(OR(C151="",AB151="",AC151="",AB151=0,AC151=0),"",IF(AND(E151&gt;AB151,AB151&gt;AC151),"パーフェクト▲",IF(E151&gt;AC151,"上昇トレンド▲",IF(AND(E151&lt;AB151,AB151&lt;AC151),"下降トレンド▼","もみ合い→"))))</f>
        <v>もみ合い→</v>
      </c>
      <c r="AE151" s="325" t="str">
        <f>IF(OR(C151="",AB151="",AC151=""),"",IF(AND(ABS(E151-AC151)/AC151&lt;=0.02,E151&lt;AC151),"25日戻り売り★",IF(AND(ABS(E151-AB151)/AB151&lt;=0.01,E151&lt;AB151),"5日戻り売り○","なし")))</f>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相場上昇・見送り</v>
      </c>
      <c r="AG151">
        <f>IF(AND(T151&gt;=7,C151&lt;&gt;""),T151,0)</f>
        <v>0</v>
      </c>
      <c r="AH151">
        <f>IF(AG151&gt;0,AG151*10000-ROW(A151),0)</f>
        <v>0</v>
      </c>
      <c r="AI151" s="373">
        <f t="array" ref="AI151">IF(C151="","",IFERROR((INDEX(終値!$E:$E,MATCH(TEXT(C151,"0"),終値!$A:$A,0))-INDEX(終値!$E:$CZ,MATCH(TEXT(C151,"0"),終値!$A:$A,0),$AN$2))/INDEX(終値!$E:$CZ,MATCH(TEXT(C151,"0"),終値!$A:$A,0),$AN$2)*100,""))</f>
        <v>4.1089870358163045</v>
      </c>
      <c r="AJ151" s="373">
        <f t="array" ref="AJ151">IFERROR((終値!$E$5-INDEX(終値!$E$5:$IT$5,1,$AN$2))/INDEX(終値!$E$5:$IT$5,1,$AN$2)*100,"")</f>
        <v>1.0179378228534113</v>
      </c>
      <c r="AK151" s="374">
        <f>IF(OR(AI151="",AJ151=""),"",AI151-AJ151)</f>
        <v>3.0910492129628935</v>
      </c>
      <c r="AL151" s="372">
        <f>IF(AK151="","",IF(AK151&lt;-5,3,IF(AK151&lt;0,1,IF(AK151&lt;3,-1,-2))))</f>
        <v>-2</v>
      </c>
      <c r="AO151" s="376" t="str">
        <f>IF(OR($C151="",$E151="",$F151="",$H151="",$I151="",$H151-$I151&lt;=0),"-",IF(AND($H151-MAX($F151,$E151)&gt;=ABS($E151-$F151)*2,MIN($F151,$E151)-$I151&lt;=ABS($E151-$F151)*0.5,ABS($E151-$F151)&gt;0),"上ヒゲ陰線▼",IF(AND($E151&lt;$F151,ABS($E151-$F151)&gt;=($H151-$I151)*0.7),"大陰線▼",IF(AND(MIN($F151,$E151)-$I151&gt;=($H151-$I151)*0.5,$H151-MAX($F151,$E151)&lt;=($H151-$I151)*0.2),"長い下ヒゲ(反発警戒)","通常"))))</f>
        <v>通常</v>
      </c>
      <c r="AP151" s="377">
        <f>IF($AO151="上ヒゲ陰線▼",2,IF($AO151="大陰線▼",2,IF($AO151="長い下ヒゲ(反発警戒)",-2,0)))</f>
        <v>0</v>
      </c>
      <c r="AQ151">
        <f>IF(C151&lt;&gt;"",始値!F150,"")</f>
        <v>4589</v>
      </c>
      <c r="AR151">
        <f>IF(C151&lt;&gt;"",高値!F150,"")</f>
        <v>4660</v>
      </c>
      <c r="AS151">
        <f>IF(C151&lt;&gt;"",安値!F150,"")</f>
        <v>4486</v>
      </c>
      <c r="AT151" t="str">
        <f>IF(OR(C151="",AQ151="",AR151="",AS151="",AR151-AS151&lt;=0),"-",IF(AND(AR151-MAX(G151,AQ151)&gt;=ABS(G151-AQ151)*2,MIN(G151,AQ151)-AS151&lt;=ABS(G151-AQ151)*0.5,ABS(G151-AQ151)&gt;0),"上ヒゲ陰線▼",IF(AND(G151&lt;AQ151,ABS(G151-AQ151)&gt;=(AR151-AS151)*0.7),"大陰線▼",IF(AND(MIN(G151,AQ151)-AS151&gt;=(AR151-AS151)*0.5,AR151-MAX(G151,AQ151)&lt;=(AR151-AS151)*0.2),"長い下ヒゲ(反発)","通常"))))</f>
        <v>通常</v>
      </c>
      <c r="AU151">
        <f>IF(AT151="上ヒゲ陰線▼",2,IF(AT151="大陰線▼",2,IF(AT151="長い下ヒゲ(反発)",-2,0)))</f>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6034</v>
      </c>
      <c r="F152" s="333">
        <f>IF(C152&lt;&gt;"",_xll.RssMarket(C152,"始値"),"")</f>
        <v>5921</v>
      </c>
      <c r="G152" s="212">
        <f>IF(C152&lt;&gt;"",終値!F157,"")</f>
        <v>5936</v>
      </c>
      <c r="H152" s="333">
        <f>IF(C152&lt;&gt;"",_xll.RssMarket(C152,"高値"),"")</f>
        <v>6095</v>
      </c>
      <c r="I152" s="333">
        <f>IF(C152&lt;&gt;"",_xll.RssMarket(C152,"安値"),"")</f>
        <v>5921</v>
      </c>
      <c r="J152" s="333">
        <f>IF(C152&lt;&gt;"",_xll.RssMarket(C152,"出来高"),"")</f>
        <v>440800</v>
      </c>
      <c r="K152" s="333">
        <f>IF(C152&lt;&gt;"",_xll.RssMarket(C152,"年初来高値"),"")</f>
        <v>6509</v>
      </c>
      <c r="L152" s="334">
        <f>IF(AND(E152&lt;&gt;"",K152&lt;&gt;"",K152&lt;&gt;0),(E152-K152)/K152*100,"")</f>
        <v>-7.2975879551390381</v>
      </c>
      <c r="M152" s="333">
        <f>IF(C152&lt;&gt;"",IFERROR(AVERAGE(出来高!E157:I157),""),"")</f>
        <v>570620</v>
      </c>
      <c r="N152" s="333">
        <f>IF(C152&lt;&gt;"",IFERROR(AVERAGE(出来高!E157:AC157),""),"")</f>
        <v>537636</v>
      </c>
      <c r="O152" s="335">
        <f>IF(AND(J152&lt;&gt;"",M152&lt;&gt;"",M152&lt;&gt;0),J152/M152,"")</f>
        <v>0.77249307770495246</v>
      </c>
      <c r="P152" s="212" t="str">
        <f>IF(O152="","",IF(O152&gt;=2,"急増↑↑",IF(O152&gt;=1.5,"増加↑",IF(O152&gt;=1,"普通→","減少↓"))))</f>
        <v>減少↓</v>
      </c>
      <c r="Q152" s="212" t="str">
        <f>IF(E152="","",IF(AND(E152&lt;G152,O152&gt;=1.5),"売り▼",IF(E152&gt;G152,"様子見▲","中立→")))</f>
        <v>様子見▲</v>
      </c>
      <c r="R152" s="333">
        <f>IF(E152&lt;&gt;"",ROUND(E152*0.92,0),"")</f>
        <v>5551</v>
      </c>
      <c r="S152" s="333">
        <f>IF(E152&lt;&gt;"",ROUND(E152*1.04,0),"")</f>
        <v>6275</v>
      </c>
      <c r="T152" s="325">
        <f>IF(C152="","",IFERROR(IF(W152&gt;=70,3,IF(W152&gt;=60,2,IF(W152&gt;=50,1,0)))+IF(X152&lt;0,2,0)+IF(AD152="下降トレンド▼",3,IF(AD152="もみ合い→",1,0))+IF(V152="年初来安値圏●",3,IF(V152="安値圏",2,0))+IF(Q152="売り▼",2,0)+IF(P152="急増↑↑",2,IF(P152="増加↑",1,0))+IF(Z152&lt;0,1,0)+IF(L152&lt;=-30,2,IF(L152&lt;=-15,1,0))+IF(AE152="25日戻り売り★",2,IF(AE152="5日戻り売り○",1,0))+N(AL152)+N(AP152)+N(AU152),0))</f>
        <v>3</v>
      </c>
      <c r="U152" s="212" t="str">
        <f>IF(T152="","",IF(AND(T152&gt;=3,O152&gt;=1.5),"有効",IF(T152&gt;=3,"要確認","除外")))</f>
        <v>要確認</v>
      </c>
      <c r="V152" s="212" t="str">
        <f>IF(AND(I152&lt;&gt;"",K152&lt;&gt;""),IF(I152&lt;=K152*0.6,"年初来安値圏●",IF(I152&lt;=K152*0.75,"安値圏","通常")),"")</f>
        <v>通常</v>
      </c>
      <c r="W152" s="336">
        <f t="array" ref="W152">IFERROR(100-100/(1+SUMPRODUCT((終値!F157:R157&gt;終値!G157:S157)*(終値!F157:R157-終値!G157:S157))/SUMPRODUCT((終値!F157:R157&lt;終値!G157:S157)*(終値!G157:S157-終値!F157:R157))),50)</f>
        <v>41.074380165289256</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-36.036905098331772</v>
      </c>
      <c r="Y152" s="212" t="str">
        <f>IF(AF152="","",AF152&amp;" | "&amp;AD152&amp;IF(AE152&lt;&gt;"なし"," "&amp;AE152,"")&amp;IF(X152&lt;0," MACD-"," MACD+")&amp;" RSI:"&amp;TEXT(W152,"0.0")&amp;IF(W152&gt;=70," [過熱]",IF(W152&lt;=30," [売られ過ぎ]",""))&amp;" 前日比:"&amp;TEXT(Z152,"+0.0;-0.0;0.0")&amp;"%"&amp;IF(V152="年初来安値圏●"," [年初来安値圏]",IF(V152="安値圏"," [安値圏]",""))&amp;IF(OR(AO152="通常",AO152="-"),""," ["&amp;AO152&amp;"]")&amp;IF(OR(AT152="通常",AT152="-"),"","前日["&amp;AT152&amp;"]")&amp;" ["&amp;T152&amp;"点]")</f>
        <v>相場上昇・見送り | 上昇トレンド▲ MACD- RSI:41.1 前日比:+1.7% [3点]</v>
      </c>
      <c r="Z152" s="338">
        <f>IF(AND(E152&lt;&gt;"",G152&lt;&gt;"",G152&lt;&gt;0),(E152-G152)/G152*100,"")</f>
        <v>1.6509433962264151</v>
      </c>
      <c r="AA152" s="212" t="str">
        <f>IF(OR(C152="",E152="",E152=0),"",IF(E152&gt;G152,"上昇▲",IF(E152&lt;G152,"下落▼","横ばい→")))</f>
        <v>上昇▲</v>
      </c>
      <c r="AB152" s="333">
        <f>IF(OR(C152="",C152="TOPX",終値!E157=""),"",IFERROR(((終値!E157*0.333)+(終値!F157*0.222)+(終値!G157*0.148)+(終値!H157*0.099)+(終値!I157*0.066))/(0.333+0.222+0.148+0.099+0.066),""))</f>
        <v>5901.9124423963131</v>
      </c>
      <c r="AC152" s="333">
        <f>IF(OR(C152="",C152="TOPX",終値!E157=""),"",IFERROR(SUMPRODUCT((終値!E157:AC157),{0.077,0.071,0.065,0.06,0.055,0.051,0.047,0.043,0.039,0.036,0.033,0.031,0.028,0.026,0.024,0.022,0.02,0.018,0.017,0.016,0.014,0.013,0.012,0.011,0.01})/SUM({0.077,0.071,0.065,0.06,0.055,0.051,0.047,0.043,0.039,0.036,0.033,0.031,0.028,0.026,0.024,0.022,0.02,0.018,0.017,0.016,0.014,0.013,0.012,0.011,0.01}),""))</f>
        <v>5939.114421930868</v>
      </c>
      <c r="AD152" s="212" t="str">
        <f>IF(OR(C152="",AB152="",AC152="",AB152=0,AC152=0),"",IF(AND(E152&gt;AB152,AB152&gt;AC152),"パーフェクト▲",IF(E152&gt;AC152,"上昇トレンド▲",IF(AND(E152&lt;AB152,AB152&lt;AC152),"下降トレンド▼","もみ合い→"))))</f>
        <v>上昇トレンド▲</v>
      </c>
      <c r="AE152" s="212" t="str">
        <f>IF(OR(C152="",AB152="",AC152=""),"",IF(AND(ABS(E152-AC152)/AC152&lt;=0.02,E152&lt;AC152),"25日戻り売り★",IF(AND(ABS(E152-AB152)/AB152&lt;=0.01,E152&lt;AB152),"5日戻り売り○","なし")))</f>
        <v>なし</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相場上昇・見送り</v>
      </c>
      <c r="AG152">
        <f>IF(AND(T152&gt;=7,C152&lt;&gt;""),T152,0)</f>
        <v>0</v>
      </c>
      <c r="AH152">
        <f>IF(AG152&gt;0,AG152*10000-ROW(A152),0)</f>
        <v>0</v>
      </c>
      <c r="AI152" s="373">
        <f t="array" ref="AI152">IF(C152="","",IFERROR((INDEX(終値!$E:$E,MATCH(TEXT(C152,"0"),終値!$A:$A,0))-INDEX(終値!$E:$CZ,MATCH(TEXT(C152,"0"),終値!$A:$A,0),$AN$2))/INDEX(終値!$E:$CZ,MATCH(TEXT(C152,"0"),終値!$A:$A,0),$AN$2)*100,""))</f>
        <v>0.23255813953488372</v>
      </c>
      <c r="AJ152" s="373">
        <f t="array" ref="AJ152">IFERROR((終値!$E$5-INDEX(終値!$E$5:$IT$5,1,$AN$2))/INDEX(終値!$E$5:$IT$5,1,$AN$2)*100,"")</f>
        <v>1.0179378228534113</v>
      </c>
      <c r="AK152" s="374">
        <f>IF(OR(AI152="",AJ152=""),"",AI152-AJ152)</f>
        <v>-0.78537968331852759</v>
      </c>
      <c r="AL152" s="372">
        <f>IF(AK152="","",IF(AK152&lt;-5,3,IF(AK152&lt;0,1,IF(AK152&lt;3,-1,-2))))</f>
        <v>1</v>
      </c>
      <c r="AO152" s="376" t="str">
        <f>IF(OR($C152="",$E152="",$F152="",$H152="",$I152="",$H152-$I152&lt;=0),"-",IF(AND($H152-MAX($F152,$E152)&gt;=ABS($E152-$F152)*2,MIN($F152,$E152)-$I152&lt;=ABS($E152-$F152)*0.5,ABS($E152-$F152)&gt;0),"上ヒゲ陰線▼",IF(AND($E152&lt;$F152,ABS($E152-$F152)&gt;=($H152-$I152)*0.7),"大陰線▼",IF(AND(MIN($F152,$E152)-$I152&gt;=($H152-$I152)*0.5,$H152-MAX($F152,$E152)&lt;=($H152-$I152)*0.2),"長い下ヒゲ(反発警戒)","通常"))))</f>
        <v>通常</v>
      </c>
      <c r="AP152" s="377">
        <f>IF($AO152="上ヒゲ陰線▼",2,IF($AO152="大陰線▼",2,IF($AO152="長い下ヒゲ(反発警戒)",-2,0)))</f>
        <v>0</v>
      </c>
      <c r="AQ152">
        <f>IF(C152&lt;&gt;"",始値!F157,"")</f>
        <v>5800</v>
      </c>
      <c r="AR152">
        <f>IF(C152&lt;&gt;"",高値!F157,"")</f>
        <v>5955</v>
      </c>
      <c r="AS152">
        <f>IF(C152&lt;&gt;"",安値!F157,"")</f>
        <v>5800</v>
      </c>
      <c r="AT152" t="str">
        <f>IF(OR(C152="",AQ152="",AR152="",AS152="",AR152-AS152&lt;=0),"-",IF(AND(AR152-MAX(G152,AQ152)&gt;=ABS(G152-AQ152)*2,MIN(G152,AQ152)-AS152&lt;=ABS(G152-AQ152)*0.5,ABS(G152-AQ152)&gt;0),"上ヒゲ陰線▼",IF(AND(G152&lt;AQ152,ABS(G152-AQ152)&gt;=(AR152-AS152)*0.7),"大陰線▼",IF(AND(MIN(G152,AQ152)-AS152&gt;=(AR152-AS152)*0.5,AR152-MAX(G152,AQ152)&lt;=(AR152-AS152)*0.2),"長い下ヒゲ(反発)","通常"))))</f>
        <v>通常</v>
      </c>
      <c r="AU152">
        <f>IF(AT152="上ヒゲ陰線▼",2,IF(AT152="大陰線▼",2,IF(AT152="長い下ヒゲ(反発)",-2,0)))</f>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2284</v>
      </c>
      <c r="F153" s="326">
        <f>IF(C153&lt;&gt;"",_xll.RssMarket(C153,"始値"),"")</f>
        <v>2285</v>
      </c>
      <c r="G153" s="325">
        <f>IF(C153&lt;&gt;"",終値!F166,"")</f>
        <v>2282</v>
      </c>
      <c r="H153" s="326">
        <f>IF(C153&lt;&gt;"",_xll.RssMarket(C153,"高値"),"")</f>
        <v>2300</v>
      </c>
      <c r="I153" s="326">
        <f>IF(C153&lt;&gt;"",_xll.RssMarket(C153,"安値"),"")</f>
        <v>2283</v>
      </c>
      <c r="J153" s="326">
        <f>IF(C153&lt;&gt;"",_xll.RssMarket(C153,"出来高"),"")</f>
        <v>6800</v>
      </c>
      <c r="K153" s="326">
        <f>IF(C153&lt;&gt;"",_xll.RssMarket(C153,"年初来高値"),"")</f>
        <v>2877</v>
      </c>
      <c r="L153" s="327">
        <f>IF(AND(E153&lt;&gt;"",K153&lt;&gt;"",K153&lt;&gt;0),(E153-K153)/K153*100,"")</f>
        <v>-20.611748348974626</v>
      </c>
      <c r="M153" s="326">
        <f>IF(C153&lt;&gt;"",IFERROR(AVERAGE(出来高!E166:I166),""),"")</f>
        <v>17620</v>
      </c>
      <c r="N153" s="326">
        <f>IF(C153&lt;&gt;"",IFERROR(AVERAGE(出来高!E166:AC166),""),"")</f>
        <v>25232</v>
      </c>
      <c r="O153" s="328">
        <f>IF(AND(J153&lt;&gt;"",M153&lt;&gt;"",M153&lt;&gt;0),J153/M153,"")</f>
        <v>0.38592508513053347</v>
      </c>
      <c r="P153" s="325" t="str">
        <f>IF(O153="","",IF(O153&gt;=2,"急増↑↑",IF(O153&gt;=1.5,"増加↑",IF(O153&gt;=1,"普通→","減少↓"))))</f>
        <v>減少↓</v>
      </c>
      <c r="Q153" s="325" t="str">
        <f>IF(E153="","",IF(AND(E153&lt;G153,O153&gt;=1.5),"売り▼",IF(E153&gt;G153,"様子見▲","中立→")))</f>
        <v>様子見▲</v>
      </c>
      <c r="R153" s="326">
        <f>IF(E153&lt;&gt;"",ROUND(E153*0.92,0),"")</f>
        <v>2101</v>
      </c>
      <c r="S153" s="326">
        <f>IF(E153&lt;&gt;"",ROUND(E153*1.04,0),"")</f>
        <v>2375</v>
      </c>
      <c r="T153" s="325">
        <f>IF(C153="","",IFERROR(IF(W153&gt;=70,3,IF(W153&gt;=60,2,IF(W153&gt;=50,1,0)))+IF(X153&lt;0,2,0)+IF(AD153="下降トレンド▼",3,IF(AD153="もみ合い→",1,0))+IF(V153="年初来安値圏●",3,IF(V153="安値圏",2,0))+IF(Q153="売り▼",2,0)+IF(P153="急増↑↑",2,IF(P153="増加↑",1,0))+IF(Z153&lt;0,1,0)+IF(L153&lt;=-30,2,IF(L153&lt;=-15,1,0))+IF(AE153="25日戻り売り★",2,IF(AE153="5日戻り売り○",1,0))+N(AL153)+N(AP153)+N(AU153),0))</f>
        <v>11</v>
      </c>
      <c r="U153" s="325" t="str">
        <f>IF(T153="","",IF(AND(T153&gt;=3,O153&gt;=1.5),"有効",IF(T153&gt;=3,"要確認","除外")))</f>
        <v>要確認</v>
      </c>
      <c r="V153" s="325" t="str">
        <f>IF(AND(I153&lt;&gt;"",K153&lt;&gt;""),IF(I153&lt;=K153*0.6,"年初来安値圏●",IF(I153&lt;=K153*0.75,"安値圏","通常")),"")</f>
        <v>通常</v>
      </c>
      <c r="W153" s="329">
        <f t="array" ref="W153">IFERROR(100-100/(1+SUMPRODUCT((終値!F166:R166&gt;終値!G166:S166)*(終値!F166:R166-終値!G166:S166))/SUMPRODUCT((終値!F166:R166&lt;終値!G166:S166)*(終値!G166:S166-終値!F166:R166))),50)</f>
        <v>37.454545454545453</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-8.2958318573150791</v>
      </c>
      <c r="Y153" s="325" t="str">
        <f>IF(AF153="","",AF153&amp;" | "&amp;AD153&amp;IF(AE153&lt;&gt;"なし"," "&amp;AE153,"")&amp;IF(X153&lt;0," MACD-"," MACD+")&amp;" RSI:"&amp;TEXT(W153,"0.0")&amp;IF(W153&gt;=70," [過熱]",IF(W153&lt;=30," [売られ過ぎ]",""))&amp;" 前日比:"&amp;TEXT(Z153,"+0.0;-0.0;0.0")&amp;"%"&amp;IF(V153="年初来安値圏●"," [年初来安値圏]",IF(V153="安値圏"," [安値圏]",""))&amp;IF(OR(AO153="通常",AO153="-"),""," ["&amp;AO153&amp;"]")&amp;IF(OR(AT153="通常",AT153="-"),"","前日["&amp;AT153&amp;"]")&amp;" ["&amp;T153&amp;"点]")</f>
        <v>★逆張り売り | 下降トレンド▼ 25日戻り売り★ MACD- RSI:37.5 前日比:+0.1%前日[大陰線▼] [11点]</v>
      </c>
      <c r="Z153" s="331">
        <f>IF(AND(E153&lt;&gt;"",G153&lt;&gt;"",G153&lt;&gt;0),(E153-G153)/G153*100,"")</f>
        <v>8.7642418930762495E-2</v>
      </c>
      <c r="AA153" s="325" t="str">
        <f>IF(OR(C153="",E153="",E153=0),"",IF(E153&gt;G153,"上昇▲",IF(E153&lt;G153,"下落▼","横ばい→")))</f>
        <v>上昇▲</v>
      </c>
      <c r="AB153" s="326">
        <f>IF(OR(C153="",C153="TOPX",終値!E166=""),"",IFERROR(((終値!E166*0.333)+(終値!F166*0.222)+(終値!G166*0.148)+(終値!H166*0.099)+(終値!I166*0.066))/(0.333+0.222+0.148+0.099+0.066),""))</f>
        <v>2293.1981566820273</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2325.5065554231214</v>
      </c>
      <c r="AD153" s="325" t="str">
        <f>IF(OR(C153="",AB153="",AC153="",AB153=0,AC153=0),"",IF(AND(E153&gt;AB153,AB153&gt;AC153),"パーフェクト▲",IF(E153&gt;AC153,"上昇トレンド▲",IF(AND(E153&lt;AB153,AB153&lt;AC153),"下降トレンド▼","もみ合い→"))))</f>
        <v>下降トレンド▼</v>
      </c>
      <c r="AE153" s="325" t="str">
        <f>IF(OR(C153="",AB153="",AC153=""),"",IF(AND(ABS(E153-AC153)/AC153&lt;=0.02,E153&lt;AC153),"25日戻り売り★",IF(AND(ABS(E153-AB153)/AB153&lt;=0.01,E153&lt;AB153),"5日戻り売り○","なし")))</f>
        <v>25日戻り売り★</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★逆張り売り</v>
      </c>
      <c r="AG153">
        <f>IF(AND(T153&gt;=7,C153&lt;&gt;""),T153,0)</f>
        <v>11</v>
      </c>
      <c r="AH153">
        <f>IF(AG153&gt;0,AG153*10000-ROW(A153),0)</f>
        <v>109847</v>
      </c>
      <c r="AI153" s="373">
        <f t="array" ref="AI153">IF(C153="","",IFERROR((INDEX(終値!$E:$E,MATCH(TEXT(C153,"0"),終値!$A:$A,0))-INDEX(終値!$E:$CZ,MATCH(TEXT(C153,"0"),終値!$A:$A,0),$AN$2))/INDEX(終値!$E:$CZ,MATCH(TEXT(C153,"0"),終値!$A:$A,0),$AN$2)*100,""))</f>
        <v>-1.1255411255411256</v>
      </c>
      <c r="AJ153" s="373">
        <f t="array" ref="AJ153">IFERROR((終値!$E$5-INDEX(終値!$E$5:$IT$5,1,$AN$2))/INDEX(終値!$E$5:$IT$5,1,$AN$2)*100,"")</f>
        <v>1.0179378228534113</v>
      </c>
      <c r="AK153" s="374">
        <f>IF(OR(AI153="",AJ153=""),"",AI153-AJ153)</f>
        <v>-2.1434789483945371</v>
      </c>
      <c r="AL153" s="372">
        <f>IF(AK153="","",IF(AK153&lt;-5,3,IF(AK153&lt;0,1,IF(AK153&lt;3,-1,-2))))</f>
        <v>1</v>
      </c>
      <c r="AO153" s="376" t="str">
        <f>IF(OR($C153="",$E153="",$F153="",$H153="",$I153="",$H153-$I153&lt;=0),"-",IF(AND($H153-MAX($F153,$E153)&gt;=ABS($E153-$F153)*2,MIN($F153,$E153)-$I153&lt;=ABS($E153-$F153)*0.5,ABS($E153-$F153)&gt;0),"上ヒゲ陰線▼",IF(AND($E153&lt;$F153,ABS($E153-$F153)&gt;=($H153-$I153)*0.7),"大陰線▼",IF(AND(MIN($F153,$E153)-$I153&gt;=($H153-$I153)*0.5,$H153-MAX($F153,$E153)&lt;=($H153-$I153)*0.2),"長い下ヒゲ(反発警戒)","通常"))))</f>
        <v>通常</v>
      </c>
      <c r="AP153" s="377">
        <f>IF($AO153="上ヒゲ陰線▼",2,IF($AO153="大陰線▼",2,IF($AO153="長い下ヒゲ(反発警戒)",-2,0)))</f>
        <v>0</v>
      </c>
      <c r="AQ153">
        <f>IF(C153&lt;&gt;"",始値!F166,"")</f>
        <v>2312</v>
      </c>
      <c r="AR153">
        <f>IF(C153&lt;&gt;"",高値!F166,"")</f>
        <v>2312</v>
      </c>
      <c r="AS153">
        <f>IF(C153&lt;&gt;"",安値!F166,"")</f>
        <v>2282</v>
      </c>
      <c r="AT153" t="str">
        <f>IF(OR(C153="",AQ153="",AR153="",AS153="",AR153-AS153&lt;=0),"-",IF(AND(AR153-MAX(G153,AQ153)&gt;=ABS(G153-AQ153)*2,MIN(G153,AQ153)-AS153&lt;=ABS(G153-AQ153)*0.5,ABS(G153-AQ153)&gt;0),"上ヒゲ陰線▼",IF(AND(G153&lt;AQ153,ABS(G153-AQ153)&gt;=(AR153-AS153)*0.7),"大陰線▼",IF(AND(MIN(G153,AQ153)-AS153&gt;=(AR153-AS153)*0.5,AR153-MAX(G153,AQ153)&lt;=(AR153-AS153)*0.2),"長い下ヒゲ(反発)","通常"))))</f>
        <v>大陰線▼</v>
      </c>
      <c r="AU153">
        <f>IF(AT153="上ヒゲ陰線▼",2,IF(AT153="大陰線▼",2,IF(AT153="長い下ヒゲ(反発)",-2,0)))</f>
        <v>2</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3753</v>
      </c>
      <c r="F154" s="333">
        <f>IF(C154&lt;&gt;"",_xll.RssMarket(C154,"始値"),"")</f>
        <v>3670</v>
      </c>
      <c r="G154" s="212">
        <f>IF(C154&lt;&gt;"",終値!F174,"")</f>
        <v>3662</v>
      </c>
      <c r="H154" s="333">
        <f>IF(C154&lt;&gt;"",_xll.RssMarket(C154,"高値"),"")</f>
        <v>3776</v>
      </c>
      <c r="I154" s="333">
        <f>IF(C154&lt;&gt;"",_xll.RssMarket(C154,"安値"),"")</f>
        <v>3643</v>
      </c>
      <c r="J154" s="333">
        <f>IF(C154&lt;&gt;"",_xll.RssMarket(C154,"出来高"),"")</f>
        <v>196300</v>
      </c>
      <c r="K154" s="333">
        <f>IF(C154&lt;&gt;"",_xll.RssMarket(C154,"年初来高値"),"")</f>
        <v>4655</v>
      </c>
      <c r="L154" s="334">
        <f>IF(AND(E154&lt;&gt;"",K154&lt;&gt;"",K154&lt;&gt;0),(E154-K154)/K154*100,"")</f>
        <v>-19.377013963480131</v>
      </c>
      <c r="M154" s="333">
        <f>IF(C154&lt;&gt;"",IFERROR(AVERAGE(出来高!E174:I174),""),"")</f>
        <v>326140</v>
      </c>
      <c r="N154" s="333">
        <f>IF(C154&lt;&gt;"",IFERROR(AVERAGE(出来高!E174:AC174),""),"")</f>
        <v>291716</v>
      </c>
      <c r="O154" s="335">
        <f>IF(AND(J154&lt;&gt;"",M154&lt;&gt;"",M154&lt;&gt;0),J154/M154,"")</f>
        <v>0.60188875942846631</v>
      </c>
      <c r="P154" s="212" t="str">
        <f>IF(O154="","",IF(O154&gt;=2,"急増↑↑",IF(O154&gt;=1.5,"増加↑",IF(O154&gt;=1,"普通→","減少↓"))))</f>
        <v>減少↓</v>
      </c>
      <c r="Q154" s="212" t="str">
        <f>IF(E154="","",IF(AND(E154&lt;G154,O154&gt;=1.5),"売り▼",IF(E154&gt;G154,"様子見▲","中立→")))</f>
        <v>様子見▲</v>
      </c>
      <c r="R154" s="333">
        <f>IF(E154&lt;&gt;"",ROUND(E154*0.92,0),"")</f>
        <v>3453</v>
      </c>
      <c r="S154" s="333">
        <f>IF(E154&lt;&gt;"",ROUND(E154*1.04,0),"")</f>
        <v>3903</v>
      </c>
      <c r="T154" s="325">
        <f>IF(C154="","",IFERROR(IF(W154&gt;=70,3,IF(W154&gt;=60,2,IF(W154&gt;=50,1,0)))+IF(X154&lt;0,2,0)+IF(AD154="下降トレンド▼",3,IF(AD154="もみ合い→",1,0))+IF(V154="年初来安値圏●",3,IF(V154="安値圏",2,0))+IF(Q154="売り▼",2,0)+IF(P154="急増↑↑",2,IF(P154="増加↑",1,0))+IF(Z154&lt;0,1,0)+IF(L154&lt;=-30,2,IF(L154&lt;=-15,1,0))+IF(AE154="25日戻り売り★",2,IF(AE154="5日戻り売り○",1,0))+N(AL154)+N(AP154)+N(AU154),0))</f>
        <v>2</v>
      </c>
      <c r="U154" s="212" t="str">
        <f>IF(T154="","",IF(AND(T154&gt;=3,O154&gt;=1.5),"有効",IF(T154&gt;=3,"要確認","除外")))</f>
        <v>除外</v>
      </c>
      <c r="V154" s="212" t="str">
        <f>IF(AND(I154&lt;&gt;"",K154&lt;&gt;""),IF(I154&lt;=K154*0.6,"年初来安値圏●",IF(I154&lt;=K154*0.75,"安値圏","通常")),"")</f>
        <v>通常</v>
      </c>
      <c r="W154" s="336">
        <f t="array" ref="W154">IFERROR(100-100/(1+SUMPRODUCT((終値!F174:R174&gt;終値!G174:S174)*(終値!F174:R174-終値!G174:S174))/SUMPRODUCT((終値!F174:R174&lt;終値!G174:S174)*(終値!G174:S174-終値!F174:R174))),50)</f>
        <v>42.624999999999993</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2.7714785522962302</v>
      </c>
      <c r="Y154" s="212" t="str">
        <f>IF(AF154="","",AF154&amp;" | "&amp;AD154&amp;IF(AE154&lt;&gt;"なし"," "&amp;AE154,"")&amp;IF(X154&lt;0," MACD-"," MACD+")&amp;" RSI:"&amp;TEXT(W154,"0.0")&amp;IF(W154&gt;=70," [過熱]",IF(W154&lt;=30," [売られ過ぎ]",""))&amp;" 前日比:"&amp;TEXT(Z154,"+0.0;-0.0;0.0")&amp;"%"&amp;IF(V154="年初来安値圏●"," [年初来安値圏]",IF(V154="安値圏"," [安値圏]",""))&amp;IF(OR(AO154="通常",AO154="-"),""," ["&amp;AO154&amp;"]")&amp;IF(OR(AT154="通常",AT154="-"),"","前日["&amp;AT154&amp;"]")&amp;" ["&amp;T154&amp;"点]")</f>
        <v>○逆張り売り | もみ合い→ 25日戻り売り★ MACD+ RSI:42.6 前日比:+2.5% [2点]</v>
      </c>
      <c r="Z154" s="338">
        <f>IF(AND(E154&lt;&gt;"",G154&lt;&gt;"",G154&lt;&gt;0),(E154-G154)/G154*100,"")</f>
        <v>2.4849808847624248</v>
      </c>
      <c r="AA154" s="212" t="str">
        <f>IF(OR(C154="",E154="",E154=0),"",IF(E154&gt;G154,"上昇▲",IF(E154&lt;G154,"下落▼","横ばい→")))</f>
        <v>上昇▲</v>
      </c>
      <c r="AB154" s="333">
        <f>IF(OR(C154="",C154="TOPX",終値!E174=""),"",IFERROR(((終値!E174*0.333)+(終値!F174*0.222)+(終値!G174*0.148)+(終値!H174*0.099)+(終値!I174*0.066))/(0.333+0.222+0.148+0.099+0.066),""))</f>
        <v>3729.2453917050689</v>
      </c>
      <c r="AC154" s="333">
        <f>IF(OR(C154="",C154="TOPX",終値!E174=""),"",IFERROR(SUMPRODUCT((終値!E174:AC174),{0.077,0.071,0.065,0.06,0.055,0.051,0.047,0.043,0.039,0.036,0.033,0.031,0.028,0.026,0.024,0.022,0.02,0.018,0.017,0.016,0.014,0.013,0.012,0.011,0.01})/SUM({0.077,0.071,0.065,0.06,0.055,0.051,0.047,0.043,0.039,0.036,0.033,0.031,0.028,0.026,0.024,0.022,0.02,0.018,0.017,0.016,0.014,0.013,0.012,0.011,0.01}),""))</f>
        <v>3789.8414779499381</v>
      </c>
      <c r="AD154" s="212" t="str">
        <f>IF(OR(C154="",AB154="",AC154="",AB154=0,AC154=0),"",IF(AND(E154&gt;AB154,AB154&gt;AC154),"パーフェクト▲",IF(E154&gt;AC154,"上昇トレンド▲",IF(AND(E154&lt;AB154,AB154&lt;AC154),"下降トレンド▼","もみ合い→"))))</f>
        <v>もみ合い→</v>
      </c>
      <c r="AE154" s="212" t="str">
        <f>IF(OR(C154="",AB154="",AC154=""),"",IF(AND(ABS(E154-AC154)/AC154&lt;=0.02,E154&lt;AC154),"25日戻り売り★",IF(AND(ABS(E154-AB154)/AB154&lt;=0.01,E154&lt;AB154),"5日戻り売り○","なし")))</f>
        <v>25日戻り売り★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○逆張り売り</v>
      </c>
      <c r="AG154">
        <f>IF(AND(T154&gt;=7,C154&lt;&gt;""),T154,0)</f>
        <v>0</v>
      </c>
      <c r="AH154">
        <f>IF(AG154&gt;0,AG154*10000-ROW(A154),0)</f>
        <v>0</v>
      </c>
      <c r="AI154" s="373">
        <f t="array" ref="AI154">IF(C154="","",IFERROR((INDEX(終値!$E:$E,MATCH(TEXT(C154,"0"),終値!$A:$A,0))-INDEX(終値!$E:$CZ,MATCH(TEXT(C154,"0"),終値!$A:$A,0),$AN$2))/INDEX(終値!$E:$CZ,MATCH(TEXT(C154,"0"),終値!$A:$A,0),$AN$2)*100,""))</f>
        <v>13.07622777945164</v>
      </c>
      <c r="AJ154" s="373">
        <f t="array" ref="AJ154">IFERROR((終値!$E$5-INDEX(終値!$E$5:$IT$5,1,$AN$2))/INDEX(終値!$E$5:$IT$5,1,$AN$2)*100,"")</f>
        <v>1.0179378228534113</v>
      </c>
      <c r="AK154" s="374">
        <f>IF(OR(AI154="",AJ154=""),"",AI154-AJ154)</f>
        <v>12.058289956598228</v>
      </c>
      <c r="AL154" s="372">
        <f>IF(AK154="","",IF(AK154&lt;-5,3,IF(AK154&lt;0,1,IF(AK154&lt;3,-1,-2))))</f>
        <v>-2</v>
      </c>
      <c r="AO154" s="376" t="str">
        <f>IF(OR($C154="",$E154="",$F154="",$H154="",$I154="",$H154-$I154&lt;=0),"-",IF(AND($H154-MAX($F154,$E154)&gt;=ABS($E154-$F154)*2,MIN($F154,$E154)-$I154&lt;=ABS($E154-$F154)*0.5,ABS($E154-$F154)&gt;0),"上ヒゲ陰線▼",IF(AND($E154&lt;$F154,ABS($E154-$F154)&gt;=($H154-$I154)*0.7),"大陰線▼",IF(AND(MIN($F154,$E154)-$I154&gt;=($H154-$I154)*0.5,$H154-MAX($F154,$E154)&lt;=($H154-$I154)*0.2),"長い下ヒゲ(反発警戒)","通常"))))</f>
        <v>通常</v>
      </c>
      <c r="AP154" s="377">
        <f>IF($AO154="上ヒゲ陰線▼",2,IF($AO154="大陰線▼",2,IF($AO154="長い下ヒゲ(反発警戒)",-2,0)))</f>
        <v>0</v>
      </c>
      <c r="AQ154">
        <f>IF(C154&lt;&gt;"",始値!F174,"")</f>
        <v>3710</v>
      </c>
      <c r="AR154">
        <f>IF(C154&lt;&gt;"",高値!F174,"")</f>
        <v>3713</v>
      </c>
      <c r="AS154">
        <f>IF(C154&lt;&gt;"",安値!F174,"")</f>
        <v>3617</v>
      </c>
      <c r="AT154" t="str">
        <f>IF(OR(C154="",AQ154="",AR154="",AS154="",AR154-AS154&lt;=0),"-",IF(AND(AR154-MAX(G154,AQ154)&gt;=ABS(G154-AQ154)*2,MIN(G154,AQ154)-AS154&lt;=ABS(G154-AQ154)*0.5,ABS(G154-AQ154)&gt;0),"上ヒゲ陰線▼",IF(AND(G154&lt;AQ154,ABS(G154-AQ154)&gt;=(AR154-AS154)*0.7),"大陰線▼",IF(AND(MIN(G154,AQ154)-AS154&gt;=(AR154-AS154)*0.5,AR154-MAX(G154,AQ154)&lt;=(AR154-AS154)*0.2),"長い下ヒゲ(反発)","通常"))))</f>
        <v>通常</v>
      </c>
      <c r="AU154">
        <f>IF(AT154="上ヒゲ陰線▼",2,IF(AT154="大陰線▼",2,IF(AT154="長い下ヒゲ(反発)",-2,0)))</f>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3896</v>
      </c>
      <c r="F155" s="326">
        <f>IF(C155&lt;&gt;"",_xll.RssMarket(C155,"始値"),"")</f>
        <v>3907</v>
      </c>
      <c r="G155" s="325">
        <f>IF(C155&lt;&gt;"",終値!F178,"")</f>
        <v>3880</v>
      </c>
      <c r="H155" s="326">
        <f>IF(C155&lt;&gt;"",_xll.RssMarket(C155,"高値"),"")</f>
        <v>3932</v>
      </c>
      <c r="I155" s="326">
        <f>IF(C155&lt;&gt;"",_xll.RssMarket(C155,"安値"),"")</f>
        <v>3869</v>
      </c>
      <c r="J155" s="326">
        <f>IF(C155&lt;&gt;"",_xll.RssMarket(C155,"出来高"),"")</f>
        <v>198300</v>
      </c>
      <c r="K155" s="326">
        <f>IF(C155&lt;&gt;"",_xll.RssMarket(C155,"年初来高値"),"")</f>
        <v>4310</v>
      </c>
      <c r="L155" s="327">
        <f>IF(AND(E155&lt;&gt;"",K155&lt;&gt;"",K155&lt;&gt;0),(E155-K155)/K155*100,"")</f>
        <v>-9.6055684454756367</v>
      </c>
      <c r="M155" s="326">
        <f>IF(C155&lt;&gt;"",IFERROR(AVERAGE(出来高!E178:I178),""),"")</f>
        <v>418920</v>
      </c>
      <c r="N155" s="326">
        <f>IF(C155&lt;&gt;"",IFERROR(AVERAGE(出来高!E178:AC178),""),"")</f>
        <v>328625</v>
      </c>
      <c r="O155" s="328">
        <f>IF(AND(J155&lt;&gt;"",M155&lt;&gt;"",M155&lt;&gt;0),J155/M155,"")</f>
        <v>0.47336006874820968</v>
      </c>
      <c r="P155" s="325" t="str">
        <f>IF(O155="","",IF(O155&gt;=2,"急増↑↑",IF(O155&gt;=1.5,"増加↑",IF(O155&gt;=1,"普通→","減少↓"))))</f>
        <v>減少↓</v>
      </c>
      <c r="Q155" s="325" t="str">
        <f>IF(E155="","",IF(AND(E155&lt;G155,O155&gt;=1.5),"売り▼",IF(E155&gt;G155,"様子見▲","中立→")))</f>
        <v>様子見▲</v>
      </c>
      <c r="R155" s="326">
        <f>IF(E155&lt;&gt;"",ROUND(E155*0.92,0),"")</f>
        <v>3584</v>
      </c>
      <c r="S155" s="326">
        <f>IF(E155&lt;&gt;"",ROUND(E155*1.04,0),"")</f>
        <v>4052</v>
      </c>
      <c r="T155" s="325">
        <f>IF(C155="","",IFERROR(IF(W155&gt;=70,3,IF(W155&gt;=60,2,IF(W155&gt;=50,1,0)))+IF(X155&lt;0,2,0)+IF(AD155="下降トレンド▼",3,IF(AD155="もみ合い→",1,0))+IF(V155="年初来安値圏●",3,IF(V155="安値圏",2,0))+IF(Q155="売り▼",2,0)+IF(P155="急増↑↑",2,IF(P155="増加↑",1,0))+IF(Z155&lt;0,1,0)+IF(L155&lt;=-30,2,IF(L155&lt;=-15,1,0))+IF(AE155="25日戻り売り★",2,IF(AE155="5日戻り売り○",1,0))+N(AL155)+N(AP155)+N(AU155),0))</f>
        <v>-3</v>
      </c>
      <c r="U155" s="325" t="str">
        <f>IF(T155="","",IF(AND(T155&gt;=3,O155&gt;=1.5),"有効",IF(T155&gt;=3,"要確認","除外")))</f>
        <v>除外</v>
      </c>
      <c r="V155" s="325" t="str">
        <f>IF(AND(I155&lt;&gt;"",K155&lt;&gt;""),IF(I155&lt;=K155*0.6,"年初来安値圏●",IF(I155&lt;=K155*0.75,"安値圏","通常")),"")</f>
        <v>通常</v>
      </c>
      <c r="W155" s="329">
        <f t="array" ref="W155">IFERROR(100-100/(1+SUMPRODUCT((終値!F178:R178&gt;終値!G178:S178)*(終値!F178:R178-終値!G178:S178))/SUMPRODUCT((終値!F178:R178&lt;終値!G178:S178)*(終値!G178:S178-終値!F178:R178))),50)</f>
        <v>50.59960414483642</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5.3773697554925093</v>
      </c>
      <c r="Y155" s="325" t="str">
        <f>IF(AF155="","",AF155&amp;" | "&amp;AD155&amp;IF(AE155&lt;&gt;"なし"," "&amp;AE155,"")&amp;IF(X155&lt;0," MACD-"," MACD+")&amp;" RSI:"&amp;TEXT(W155,"0.0")&amp;IF(W155&gt;=70," [過熱]",IF(W155&lt;=30," [売られ過ぎ]",""))&amp;" 前日比:"&amp;TEXT(Z155,"+0.0;-0.0;0.0")&amp;"%"&amp;IF(V155="年初来安値圏●"," [年初来安値圏]",IF(V155="安値圏"," [安値圏]",""))&amp;IF(OR(AO155="通常",AO155="-"),""," ["&amp;AO155&amp;"]")&amp;IF(OR(AT155="通常",AT155="-"),"","前日["&amp;AT155&amp;"]")&amp;" ["&amp;T155&amp;"点]")</f>
        <v>相場上昇・見送り | パーフェクト▲ MACD+ RSI:50.6 前日比:+0.4%前日[長い下ヒゲ(反発)] [-3点]</v>
      </c>
      <c r="Z155" s="331">
        <f>IF(AND(E155&lt;&gt;"",G155&lt;&gt;"",G155&lt;&gt;0),(E155-G155)/G155*100,"")</f>
        <v>0.41237113402061859</v>
      </c>
      <c r="AA155" s="325" t="str">
        <f>IF(OR(C155="",E155="",E155=0),"",IF(E155&gt;G155,"上昇▲",IF(E155&lt;G155,"下落▼","横ばい→")))</f>
        <v>上昇▲</v>
      </c>
      <c r="AB155" s="326">
        <f>IF(OR(C155="",C155="TOPX",終値!E178=""),"",IFERROR(((終値!E178*0.333)+(終値!F178*0.222)+(終値!G178*0.148)+(終値!H178*0.099)+(終値!I178*0.066))/(0.333+0.222+0.148+0.099+0.066),""))</f>
        <v>3891.5564516129034</v>
      </c>
      <c r="AC155" s="326">
        <f>IF(OR(C155="",C155="TOPX",終値!E178=""),"",IFERROR(SUMPRODUCT((終値!E178:AC178),{0.077,0.071,0.065,0.06,0.055,0.051,0.047,0.043,0.039,0.036,0.033,0.031,0.028,0.026,0.024,0.022,0.02,0.018,0.017,0.016,0.014,0.013,0.012,0.011,0.01})/SUM({0.077,0.071,0.065,0.06,0.055,0.051,0.047,0.043,0.039,0.036,0.033,0.031,0.028,0.026,0.024,0.022,0.02,0.018,0.017,0.016,0.014,0.013,0.012,0.011,0.01}),""))</f>
        <v>3685.2908224076268</v>
      </c>
      <c r="AD155" s="325" t="str">
        <f>IF(OR(C155="",AB155="",AC155="",AB155=0,AC155=0),"",IF(AND(E155&gt;AB155,AB155&gt;AC155),"パーフェクト▲",IF(E155&gt;AC155,"上昇トレンド▲",IF(AND(E155&lt;AB155,AB155&lt;AC155),"下降トレンド▼","もみ合い→"))))</f>
        <v>パーフェクト▲</v>
      </c>
      <c r="AE155" s="325" t="str">
        <f>IF(OR(C155="",AB155="",AC155=""),"",IF(AND(ABS(E155-AC155)/AC155&lt;=0.02,E155&lt;AC155),"25日戻り売り★",IF(AND(ABS(E155-AB155)/AB155&lt;=0.01,E155&lt;AB155),"5日戻り売り○","なし")))</f>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相場上昇・見送り</v>
      </c>
      <c r="AG155">
        <f>IF(AND(T155&gt;=7,C155&lt;&gt;""),T155,0)</f>
        <v>0</v>
      </c>
      <c r="AH155">
        <f>IF(AG155&gt;0,AG155*10000-ROW(A155),0)</f>
        <v>0</v>
      </c>
      <c r="AI155" s="373">
        <f t="array" ref="AI155">IF(C155="","",IFERROR((INDEX(終値!$E:$E,MATCH(TEXT(C155,"0"),終値!$A:$A,0))-INDEX(終値!$E:$CZ,MATCH(TEXT(C155,"0"),終値!$A:$A,0),$AN$2))/INDEX(終値!$E:$CZ,MATCH(TEXT(C155,"0"),終値!$A:$A,0),$AN$2)*100,""))</f>
        <v>6.5354115395132624</v>
      </c>
      <c r="AJ155" s="373">
        <f t="array" ref="AJ155">IFERROR((終値!$E$5-INDEX(終値!$E$5:$IT$5,1,$AN$2))/INDEX(終値!$E$5:$IT$5,1,$AN$2)*100,"")</f>
        <v>1.0179378228534113</v>
      </c>
      <c r="AK155" s="374">
        <f>IF(OR(AI155="",AJ155=""),"",AI155-AJ155)</f>
        <v>5.5174737166598513</v>
      </c>
      <c r="AL155" s="372">
        <f>IF(AK155="","",IF(AK155&lt;-5,3,IF(AK155&lt;0,1,IF(AK155&lt;3,-1,-2))))</f>
        <v>-2</v>
      </c>
      <c r="AO155" s="376" t="str">
        <f>IF(OR($C155="",$E155="",$F155="",$H155="",$I155="",$H155-$I155&lt;=0),"-",IF(AND($H155-MAX($F155,$E155)&gt;=ABS($E155-$F155)*2,MIN($F155,$E155)-$I155&lt;=ABS($E155-$F155)*0.5,ABS($E155-$F155)&gt;0),"上ヒゲ陰線▼",IF(AND($E155&lt;$F155,ABS($E155-$F155)&gt;=($H155-$I155)*0.7),"大陰線▼",IF(AND(MIN($F155,$E155)-$I155&gt;=($H155-$I155)*0.5,$H155-MAX($F155,$E155)&lt;=($H155-$I155)*0.2),"長い下ヒゲ(反発警戒)","通常"))))</f>
        <v>通常</v>
      </c>
      <c r="AP155" s="377">
        <f>IF($AO155="上ヒゲ陰線▼",2,IF($AO155="大陰線▼",2,IF($AO155="長い下ヒゲ(反発警戒)",-2,0)))</f>
        <v>0</v>
      </c>
      <c r="AQ155">
        <f>IF(C155&lt;&gt;"",始値!F178,"")</f>
        <v>3868</v>
      </c>
      <c r="AR155">
        <f>IF(C155&lt;&gt;"",高値!F178,"")</f>
        <v>3884</v>
      </c>
      <c r="AS155">
        <f>IF(C155&lt;&gt;"",安値!F178,"")</f>
        <v>3829</v>
      </c>
      <c r="AT155" t="str">
        <f>IF(OR(C155="",AQ155="",AR155="",AS155="",AR155-AS155&lt;=0),"-",IF(AND(AR155-MAX(G155,AQ155)&gt;=ABS(G155-AQ155)*2,MIN(G155,AQ155)-AS155&lt;=ABS(G155-AQ155)*0.5,ABS(G155-AQ155)&gt;0),"上ヒゲ陰線▼",IF(AND(G155&lt;AQ155,ABS(G155-AQ155)&gt;=(AR155-AS155)*0.7),"大陰線▼",IF(AND(MIN(G155,AQ155)-AS155&gt;=(AR155-AS155)*0.5,AR155-MAX(G155,AQ155)&lt;=(AR155-AS155)*0.2),"長い下ヒゲ(反発)","通常"))))</f>
        <v>長い下ヒゲ(反発)</v>
      </c>
      <c r="AU155">
        <f>IF(AT155="上ヒゲ陰線▼",2,IF(AT155="大陰線▼",2,IF(AT155="長い下ヒゲ(反発)",-2,0)))</f>
        <v>-2</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1893</v>
      </c>
      <c r="F156" s="333">
        <f>IF(C156&lt;&gt;"",_xll.RssMarket(C156,"始値"),"")</f>
        <v>1856</v>
      </c>
      <c r="G156" s="212">
        <f>IF(C156&lt;&gt;"",終値!F180,"")</f>
        <v>1865</v>
      </c>
      <c r="H156" s="333">
        <f>IF(C156&lt;&gt;"",_xll.RssMarket(C156,"高値"),"")</f>
        <v>1902</v>
      </c>
      <c r="I156" s="333">
        <f>IF(C156&lt;&gt;"",_xll.RssMarket(C156,"安値"),"")</f>
        <v>1851</v>
      </c>
      <c r="J156" s="333">
        <f>IF(C156&lt;&gt;"",_xll.RssMarket(C156,"出来高"),"")</f>
        <v>132800</v>
      </c>
      <c r="K156" s="333">
        <f>IF(C156&lt;&gt;"",_xll.RssMarket(C156,"年初来高値"),"")</f>
        <v>2696</v>
      </c>
      <c r="L156" s="334">
        <f>IF(AND(E156&lt;&gt;"",K156&lt;&gt;"",K156&lt;&gt;0),(E156-K156)/K156*100,"")</f>
        <v>-29.784866468842729</v>
      </c>
      <c r="M156" s="333">
        <f>IF(C156&lt;&gt;"",IFERROR(AVERAGE(出来高!E180:I180),""),"")</f>
        <v>167920</v>
      </c>
      <c r="N156" s="333">
        <f>IF(C156&lt;&gt;"",IFERROR(AVERAGE(出来高!E180:AC180),""),"")</f>
        <v>125712.5</v>
      </c>
      <c r="O156" s="335">
        <f>IF(AND(J156&lt;&gt;"",M156&lt;&gt;"",M156&lt;&gt;0),J156/M156,"")</f>
        <v>0.79085278704144835</v>
      </c>
      <c r="P156" s="212" t="str">
        <f>IF(O156="","",IF(O156&gt;=2,"急増↑↑",IF(O156&gt;=1.5,"増加↑",IF(O156&gt;=1,"普通→","減少↓"))))</f>
        <v>減少↓</v>
      </c>
      <c r="Q156" s="212" t="str">
        <f>IF(E156="","",IF(AND(E156&lt;G156,O156&gt;=1.5),"売り▼",IF(E156&gt;G156,"様子見▲","中立→")))</f>
        <v>様子見▲</v>
      </c>
      <c r="R156" s="333">
        <f>IF(E156&lt;&gt;"",ROUND(E156*0.92,0),"")</f>
        <v>1742</v>
      </c>
      <c r="S156" s="333">
        <f>IF(E156&lt;&gt;"",ROUND(E156*1.04,0),"")</f>
        <v>1969</v>
      </c>
      <c r="T156" s="325">
        <f>IF(C156="","",IFERROR(IF(W156&gt;=70,3,IF(W156&gt;=60,2,IF(W156&gt;=50,1,0)))+IF(X156&lt;0,2,0)+IF(AD156="下降トレンド▼",3,IF(AD156="もみ合い→",1,0))+IF(V156="年初来安値圏●",3,IF(V156="安値圏",2,0))+IF(Q156="売り▼",2,0)+IF(P156="急増↑↑",2,IF(P156="増加↑",1,0))+IF(Z156&lt;0,1,0)+IF(L156&lt;=-30,2,IF(L156&lt;=-15,1,0))+IF(AE156="25日戻り売り★",2,IF(AE156="5日戻り売り○",1,0))+N(AL156)+N(AP156)+N(AU156),0))</f>
        <v>2</v>
      </c>
      <c r="U156" s="212" t="str">
        <f>IF(T156="","",IF(AND(T156&gt;=3,O156&gt;=1.5),"有効",IF(T156&gt;=3,"要確認","除外")))</f>
        <v>除外</v>
      </c>
      <c r="V156" s="212" t="str">
        <f>IF(AND(I156&lt;&gt;"",K156&lt;&gt;""),IF(I156&lt;=K156*0.6,"年初来安値圏●",IF(I156&lt;=K156*0.75,"安値圏","通常")),"")</f>
        <v>安値圏</v>
      </c>
      <c r="W156" s="336">
        <f t="array" ref="W156">IFERROR(100-100/(1+SUMPRODUCT((終値!F180:R180&gt;終値!G180:S180)*(終値!F180:R180-終値!G180:S180))/SUMPRODUCT((終値!F180:R180&lt;終値!G180:S180)*(終値!G180:S180-終値!F180:R180))),50)</f>
        <v>50.254298861709856</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5.8413184258815818</v>
      </c>
      <c r="Y156" s="212" t="str">
        <f>IF(AF156="","",AF156&amp;" | "&amp;AD156&amp;IF(AE156&lt;&gt;"なし"," "&amp;AE156,"")&amp;IF(X156&lt;0," MACD-"," MACD+")&amp;" RSI:"&amp;TEXT(W156,"0.0")&amp;IF(W156&gt;=70," [過熱]",IF(W156&lt;=30," [売られ過ぎ]",""))&amp;" 前日比:"&amp;TEXT(Z156,"+0.0;-0.0;0.0")&amp;"%"&amp;IF(V156="年初来安値圏●"," [年初来安値圏]",IF(V156="安値圏"," [安値圏]",""))&amp;IF(OR(AO156="通常",AO156="-"),""," ["&amp;AO156&amp;"]")&amp;IF(OR(AT156="通常",AT156="-"),"","前日["&amp;AT156&amp;"]")&amp;" ["&amp;T156&amp;"点]")</f>
        <v>相場上昇・見送り | パーフェクト▲ MACD+ RSI:50.3 前日比:+1.5% [安値圏] [2点]</v>
      </c>
      <c r="Z156" s="338">
        <f>IF(AND(E156&lt;&gt;"",G156&lt;&gt;"",G156&lt;&gt;0),(E156-G156)/G156*100,"")</f>
        <v>1.5013404825737267</v>
      </c>
      <c r="AA156" s="212" t="str">
        <f>IF(OR(C156="",E156="",E156=0),"",IF(E156&gt;G156,"上昇▲",IF(E156&lt;G156,"下落▼","横ばい→")))</f>
        <v>上昇▲</v>
      </c>
      <c r="AB156" s="333">
        <f>IF(OR(C156="",C156="TOPX",終値!E180=""),"",IFERROR(((終値!E180*0.333)+(終値!F180*0.222)+(終値!G180*0.148)+(終値!H180*0.099)+(終値!I180*0.066))/(0.333+0.222+0.148+0.099+0.066),""))</f>
        <v>1882.8513824884792</v>
      </c>
      <c r="AC156" s="333">
        <f>IF(OR(C156="",C156="TOPX",終値!E180=""),"",IFERROR(SUMPRODUCT((終値!E180:AC180),{0.077,0.071,0.065,0.06,0.055,0.051,0.047,0.043,0.039,0.036,0.033,0.031,0.028,0.026,0.024,0.022,0.02,0.018,0.017,0.016,0.014,0.013,0.012,0.011,0.01})/SUM({0.077,0.071,0.065,0.06,0.055,0.051,0.047,0.043,0.039,0.036,0.033,0.031,0.028,0.026,0.024,0.022,0.02,0.018,0.017,0.016,0.014,0.013,0.012,0.011,0.01}),""))</f>
        <v>1804.7115613825983</v>
      </c>
      <c r="AD156" s="212" t="str">
        <f>IF(OR(C156="",AB156="",AC156="",AB156=0,AC156=0),"",IF(AND(E156&gt;AB156,AB156&gt;AC156),"パーフェクト▲",IF(E156&gt;AC156,"上昇トレンド▲",IF(AND(E156&lt;AB156,AB156&lt;AC156),"下降トレンド▼","もみ合い→"))))</f>
        <v>パーフェクト▲</v>
      </c>
      <c r="AE156" s="212" t="str">
        <f>IF(OR(C156="",AB156="",AC156=""),"",IF(AND(ABS(E156-AC156)/AC156&lt;=0.02,E156&lt;AC156),"25日戻り売り★",IF(AND(ABS(E156-AB156)/AB156&lt;=0.01,E156&lt;AB156),"5日戻り売り○","なし")))</f>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相場上昇・見送り</v>
      </c>
      <c r="AG156">
        <f>IF(AND(T156&gt;=7,C156&lt;&gt;""),T156,0)</f>
        <v>0</v>
      </c>
      <c r="AH156">
        <f>IF(AG156&gt;0,AG156*10000-ROW(A156),0)</f>
        <v>0</v>
      </c>
      <c r="AI156" s="373">
        <f t="array" ref="AI156">IF(C156="","",IFERROR((INDEX(終値!$E:$E,MATCH(TEXT(C156,"0"),終値!$A:$A,0))-INDEX(終値!$E:$CZ,MATCH(TEXT(C156,"0"),終値!$A:$A,0),$AN$2))/INDEX(終値!$E:$CZ,MATCH(TEXT(C156,"0"),終値!$A:$A,0),$AN$2)*100,""))</f>
        <v>10.122164048865621</v>
      </c>
      <c r="AJ156" s="373">
        <f t="array" ref="AJ156">IFERROR((終値!$E$5-INDEX(終値!$E$5:$IT$5,1,$AN$2))/INDEX(終値!$E$5:$IT$5,1,$AN$2)*100,"")</f>
        <v>1.0179378228534113</v>
      </c>
      <c r="AK156" s="374">
        <f>IF(OR(AI156="",AJ156=""),"",AI156-AJ156)</f>
        <v>9.1042262260122087</v>
      </c>
      <c r="AL156" s="372">
        <f>IF(AK156="","",IF(AK156&lt;-5,3,IF(AK156&lt;0,1,IF(AK156&lt;3,-1,-2))))</f>
        <v>-2</v>
      </c>
      <c r="AO156" s="376" t="str">
        <f>IF(OR($C156="",$E156="",$F156="",$H156="",$I156="",$H156-$I156&lt;=0),"-",IF(AND($H156-MAX($F156,$E156)&gt;=ABS($E156-$F156)*2,MIN($F156,$E156)-$I156&lt;=ABS($E156-$F156)*0.5,ABS($E156-$F156)&gt;0),"上ヒゲ陰線▼",IF(AND($E156&lt;$F156,ABS($E156-$F156)&gt;=($H156-$I156)*0.7),"大陰線▼",IF(AND(MIN($F156,$E156)-$I156&gt;=($H156-$I156)*0.5,$H156-MAX($F156,$E156)&lt;=($H156-$I156)*0.2),"長い下ヒゲ(反発警戒)","通常"))))</f>
        <v>通常</v>
      </c>
      <c r="AP156" s="377">
        <f>IF($AO156="上ヒゲ陰線▼",2,IF($AO156="大陰線▼",2,IF($AO156="長い下ヒゲ(反発警戒)",-2,0)))</f>
        <v>0</v>
      </c>
      <c r="AQ156">
        <f>IF(C156&lt;&gt;"",始値!F180,"")</f>
        <v>1866</v>
      </c>
      <c r="AR156">
        <f>IF(C156&lt;&gt;"",高値!F180,"")</f>
        <v>1873</v>
      </c>
      <c r="AS156">
        <f>IF(C156&lt;&gt;"",安値!F180,"")</f>
        <v>1852</v>
      </c>
      <c r="AT156" t="str">
        <f>IF(OR(C156="",AQ156="",AR156="",AS156="",AR156-AS156&lt;=0),"-",IF(AND(AR156-MAX(G156,AQ156)&gt;=ABS(G156-AQ156)*2,MIN(G156,AQ156)-AS156&lt;=ABS(G156-AQ156)*0.5,ABS(G156-AQ156)&gt;0),"上ヒゲ陰線▼",IF(AND(G156&lt;AQ156,ABS(G156-AQ156)&gt;=(AR156-AS156)*0.7),"大陰線▼",IF(AND(MIN(G156,AQ156)-AS156&gt;=(AR156-AS156)*0.5,AR156-MAX(G156,AQ156)&lt;=(AR156-AS156)*0.2),"長い下ヒゲ(反発)","通常"))))</f>
        <v>通常</v>
      </c>
      <c r="AU156">
        <f>IF(AT156="上ヒゲ陰線▼",2,IF(AT156="大陰線▼",2,IF(AT156="長い下ヒゲ(反発)",-2,0)))</f>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921.5</v>
      </c>
      <c r="F157" s="326">
        <f>IF(C157&lt;&gt;"",_xll.RssMarket(C157,"始値"),"")</f>
        <v>910</v>
      </c>
      <c r="G157" s="325">
        <f>IF(C157&lt;&gt;"",終値!F181,"")</f>
        <v>915.8</v>
      </c>
      <c r="H157" s="326">
        <f>IF(C157&lt;&gt;"",_xll.RssMarket(C157,"高値"),"")</f>
        <v>928.2</v>
      </c>
      <c r="I157" s="326">
        <f>IF(C157&lt;&gt;"",_xll.RssMarket(C157,"安値"),"")</f>
        <v>909.3</v>
      </c>
      <c r="J157" s="326">
        <f>IF(C157&lt;&gt;"",_xll.RssMarket(C157,"出来高"),"")</f>
        <v>932100</v>
      </c>
      <c r="K157" s="326">
        <f>IF(C157&lt;&gt;"",_xll.RssMarket(C157,"年初来高値"),"")</f>
        <v>1142</v>
      </c>
      <c r="L157" s="327">
        <f>IF(AND(E157&lt;&gt;"",K157&lt;&gt;"",K157&lt;&gt;0),(E157-K157)/K157*100,"")</f>
        <v>-19.308231173380037</v>
      </c>
      <c r="M157" s="326">
        <f>IF(C157&lt;&gt;"",IFERROR(AVERAGE(出来高!E181:I181),""),"")</f>
        <v>1023140</v>
      </c>
      <c r="N157" s="326">
        <f>IF(C157&lt;&gt;"",IFERROR(AVERAGE(出来高!E181:AC181),""),"")</f>
        <v>932964</v>
      </c>
      <c r="O157" s="328">
        <f>IF(AND(J157&lt;&gt;"",M157&lt;&gt;"",M157&lt;&gt;0),J157/M157,"")</f>
        <v>0.91101901987997735</v>
      </c>
      <c r="P157" s="325" t="str">
        <f>IF(O157="","",IF(O157&gt;=2,"急増↑↑",IF(O157&gt;=1.5,"増加↑",IF(O157&gt;=1,"普通→","減少↓"))))</f>
        <v>減少↓</v>
      </c>
      <c r="Q157" s="325" t="str">
        <f>IF(E157="","",IF(AND(E157&lt;G157,O157&gt;=1.5),"売り▼",IF(E157&gt;G157,"様子見▲","中立→")))</f>
        <v>様子見▲</v>
      </c>
      <c r="R157" s="326">
        <f>IF(E157&lt;&gt;"",ROUND(E157*0.92,0),"")</f>
        <v>848</v>
      </c>
      <c r="S157" s="326">
        <f>IF(E157&lt;&gt;"",ROUND(E157*1.04,0),"")</f>
        <v>958</v>
      </c>
      <c r="T157" s="325">
        <f>IF(C157="","",IFERROR(IF(W157&gt;=70,3,IF(W157&gt;=60,2,IF(W157&gt;=50,1,0)))+IF(X157&lt;0,2,0)+IF(AD157="下降トレンド▼",3,IF(AD157="もみ合い→",1,0))+IF(V157="年初来安値圏●",3,IF(V157="安値圏",2,0))+IF(Q157="売り▼",2,0)+IF(P157="急増↑↑",2,IF(P157="増加↑",1,0))+IF(Z157&lt;0,1,0)+IF(L157&lt;=-30,2,IF(L157&lt;=-15,1,0))+IF(AE157="25日戻り売り★",2,IF(AE157="5日戻り売り○",1,0))+N(AL157)+N(AP157)+N(AU157),0))</f>
        <v>5</v>
      </c>
      <c r="U157" s="325" t="str">
        <f>IF(T157="","",IF(AND(T157&gt;=3,O157&gt;=1.5),"有効",IF(T157&gt;=3,"要確認","除外")))</f>
        <v>要確認</v>
      </c>
      <c r="V157" s="325" t="str">
        <f>IF(AND(I157&lt;&gt;"",K157&lt;&gt;""),IF(I157&lt;=K157*0.6,"年初来安値圏●",IF(I157&lt;=K157*0.75,"安値圏","通常")),"")</f>
        <v>通常</v>
      </c>
      <c r="W157" s="329">
        <f t="array" ref="W157">IFERROR(100-100/(1+SUMPRODUCT((終値!F181:R181&gt;終値!G181:S181)*(終値!F181:R181-終値!G181:S181))/SUMPRODUCT((終値!F181:R181&lt;終値!G181:S181)*(終値!G181:S181-終値!F181:R181))),50)</f>
        <v>51.273584905660371</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5.2491997659601566</v>
      </c>
      <c r="Y157" s="325" t="str">
        <f>IF(AF157="","",AF157&amp;" | "&amp;AD157&amp;IF(AE157&lt;&gt;"なし"," "&amp;AE157,"")&amp;IF(X157&lt;0," MACD-"," MACD+")&amp;" RSI:"&amp;TEXT(W157,"0.0")&amp;IF(W157&gt;=70," [過熱]",IF(W157&lt;=30," [売られ過ぎ]",""))&amp;" 前日比:"&amp;TEXT(Z157,"+0.0;-0.0;0.0")&amp;"%"&amp;IF(V157="年初来安値圏●"," [年初来安値圏]",IF(V157="安値圏"," [安値圏]",""))&amp;IF(OR(AO157="通常",AO157="-"),""," ["&amp;AO157&amp;"]")&amp;IF(OR(AT157="通常",AT157="-"),"","前日["&amp;AT157&amp;"]")&amp;" ["&amp;T157&amp;"点]")</f>
        <v>★逆張り売り | 下降トレンド▼ 25日戻り売り★ MACD+ RSI:51.3 前日比:+0.6% [5点]</v>
      </c>
      <c r="Z157" s="331">
        <f>IF(AND(E157&lt;&gt;"",G157&lt;&gt;"",G157&lt;&gt;0),(E157-G157)/G157*100,"")</f>
        <v>0.62240663900415438</v>
      </c>
      <c r="AA157" s="325" t="str">
        <f>IF(OR(C157="",E157="",E157=0),"",IF(E157&gt;G157,"上昇▲",IF(E157&lt;G157,"下落▼","横ばい→")))</f>
        <v>上昇▲</v>
      </c>
      <c r="AB157" s="326">
        <f>IF(OR(C157="",C157="TOPX",終値!E181=""),"",IFERROR(((終値!E181*0.333)+(終値!F181*0.222)+(終値!G181*0.148)+(終値!H181*0.099)+(終値!I181*0.066))/(0.333+0.222+0.148+0.099+0.066),""))</f>
        <v>926.966935483871</v>
      </c>
      <c r="AC157" s="326">
        <f>IF(OR(C157="",C157="TOPX",終値!E181=""),"",IFERROR(SUMPRODUCT((終値!E181:AC181),{0.077,0.071,0.065,0.06,0.055,0.051,0.047,0.043,0.039,0.036,0.033,0.031,0.028,0.026,0.024,0.022,0.02,0.018,0.017,0.016,0.014,0.013,0.012,0.011,0.01})/SUM({0.077,0.071,0.065,0.06,0.055,0.051,0.047,0.043,0.039,0.036,0.033,0.031,0.028,0.026,0.024,0.022,0.02,0.018,0.017,0.016,0.014,0.013,0.012,0.011,0.01}),""))</f>
        <v>935.56567342073845</v>
      </c>
      <c r="AD157" s="325" t="str">
        <f>IF(OR(C157="",AB157="",AC157="",AB157=0,AC157=0),"",IF(AND(E157&gt;AB157,AB157&gt;AC157),"パーフェクト▲",IF(E157&gt;AC157,"上昇トレンド▲",IF(AND(E157&lt;AB157,AB157&lt;AC157),"下降トレンド▼","もみ合い→"))))</f>
        <v>下降トレンド▼</v>
      </c>
      <c r="AE157" s="325" t="str">
        <f>IF(OR(C157="",AB157="",AC157=""),"",IF(AND(ABS(E157-AC157)/AC157&lt;=0.02,E157&lt;AC157),"25日戻り売り★",IF(AND(ABS(E157-AB157)/AB157&lt;=0.01,E157&lt;AB157),"5日戻り売り○","なし")))</f>
        <v>25日戻り売り★</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★逆張り売り</v>
      </c>
      <c r="AG157">
        <f>IF(AND(T157&gt;=7,C157&lt;&gt;""),T157,0)</f>
        <v>0</v>
      </c>
      <c r="AH157">
        <f>IF(AG157&gt;0,AG157*10000-ROW(A157),0)</f>
        <v>0</v>
      </c>
      <c r="AI157" s="373">
        <f t="array" ref="AI157">IF(C157="","",IFERROR((INDEX(終値!$E:$E,MATCH(TEXT(C157,"0"),終値!$A:$A,0))-INDEX(終値!$E:$CZ,MATCH(TEXT(C157,"0"),終値!$A:$A,0),$AN$2))/INDEX(終値!$E:$CZ,MATCH(TEXT(C157,"0"),終値!$A:$A,0),$AN$2)*100,""))</f>
        <v>5.3142857142857141</v>
      </c>
      <c r="AJ157" s="373">
        <f t="array" ref="AJ157">IFERROR((終値!$E$5-INDEX(終値!$E$5:$IT$5,1,$AN$2))/INDEX(終値!$E$5:$IT$5,1,$AN$2)*100,"")</f>
        <v>1.0179378228534113</v>
      </c>
      <c r="AK157" s="374">
        <f>IF(OR(AI157="",AJ157=""),"",AI157-AJ157)</f>
        <v>4.296347891432303</v>
      </c>
      <c r="AL157" s="372">
        <f>IF(AK157="","",IF(AK157&lt;-5,3,IF(AK157&lt;0,1,IF(AK157&lt;3,-1,-2))))</f>
        <v>-2</v>
      </c>
      <c r="AO157" s="376" t="str">
        <f>IF(OR($C157="",$E157="",$F157="",$H157="",$I157="",$H157-$I157&lt;=0),"-",IF(AND($H157-MAX($F157,$E157)&gt;=ABS($E157-$F157)*2,MIN($F157,$E157)-$I157&lt;=ABS($E157-$F157)*0.5,ABS($E157-$F157)&gt;0),"上ヒゲ陰線▼",IF(AND($E157&lt;$F157,ABS($E157-$F157)&gt;=($H157-$I157)*0.7),"大陰線▼",IF(AND(MIN($F157,$E157)-$I157&gt;=($H157-$I157)*0.5,$H157-MAX($F157,$E157)&lt;=($H157-$I157)*0.2),"長い下ヒゲ(反発警戒)","通常"))))</f>
        <v>通常</v>
      </c>
      <c r="AP157" s="377">
        <f>IF($AO157="上ヒゲ陰線▼",2,IF($AO157="大陰線▼",2,IF($AO157="長い下ヒゲ(反発警戒)",-2,0)))</f>
        <v>0</v>
      </c>
      <c r="AQ157">
        <f>IF(C157&lt;&gt;"",始値!F181,"")</f>
        <v>924.7</v>
      </c>
      <c r="AR157">
        <f>IF(C157&lt;&gt;"",高値!F181,"")</f>
        <v>939.6</v>
      </c>
      <c r="AS157">
        <f>IF(C157&lt;&gt;"",安値!F181,"")</f>
        <v>910.4</v>
      </c>
      <c r="AT157" t="str">
        <f>IF(OR(C157="",AQ157="",AR157="",AS157="",AR157-AS157&lt;=0),"-",IF(AND(AR157-MAX(G157,AQ157)&gt;=ABS(G157-AQ157)*2,MIN(G157,AQ157)-AS157&lt;=ABS(G157-AQ157)*0.5,ABS(G157-AQ157)&gt;0),"上ヒゲ陰線▼",IF(AND(G157&lt;AQ157,ABS(G157-AQ157)&gt;=(AR157-AS157)*0.7),"大陰線▼",IF(AND(MIN(G157,AQ157)-AS157&gt;=(AR157-AS157)*0.5,AR157-MAX(G157,AQ157)&lt;=(AR157-AS157)*0.2),"長い下ヒゲ(反発)","通常"))))</f>
        <v>通常</v>
      </c>
      <c r="AU157">
        <f>IF(AT157="上ヒゲ陰線▼",2,IF(AT157="大陰線▼",2,IF(AT157="長い下ヒゲ(反発)",-2,0)))</f>
        <v>0</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2365</v>
      </c>
      <c r="F158" s="333">
        <f>IF(C158&lt;&gt;"",_xll.RssMarket(C158,"始値"),"")</f>
        <v>2331</v>
      </c>
      <c r="G158" s="212">
        <f>IF(C158&lt;&gt;"",終値!F182,"")</f>
        <v>2336</v>
      </c>
      <c r="H158" s="333">
        <f>IF(C158&lt;&gt;"",_xll.RssMarket(C158,"高値"),"")</f>
        <v>2372</v>
      </c>
      <c r="I158" s="333">
        <f>IF(C158&lt;&gt;"",_xll.RssMarket(C158,"安値"),"")</f>
        <v>2331</v>
      </c>
      <c r="J158" s="333">
        <f>IF(C158&lt;&gt;"",_xll.RssMarket(C158,"出来高"),"")</f>
        <v>7700</v>
      </c>
      <c r="K158" s="333">
        <f>IF(C158&lt;&gt;"",_xll.RssMarket(C158,"年初来高値"),"")</f>
        <v>2730</v>
      </c>
      <c r="L158" s="334">
        <f>IF(AND(E158&lt;&gt;"",K158&lt;&gt;"",K158&lt;&gt;0),(E158-K158)/K158*100,"")</f>
        <v>-13.36996336996337</v>
      </c>
      <c r="M158" s="333">
        <f>IF(C158&lt;&gt;"",IFERROR(AVERAGE(出来高!E182:I182),""),"")</f>
        <v>11960</v>
      </c>
      <c r="N158" s="333">
        <f>IF(C158&lt;&gt;"",IFERROR(AVERAGE(出来高!E182:AC182),""),"")</f>
        <v>14184</v>
      </c>
      <c r="O158" s="335">
        <f>IF(AND(J158&lt;&gt;"",M158&lt;&gt;"",M158&lt;&gt;0),J158/M158,"")</f>
        <v>0.64381270903010035</v>
      </c>
      <c r="P158" s="212" t="str">
        <f>IF(O158="","",IF(O158&gt;=2,"急増↑↑",IF(O158&gt;=1.5,"増加↑",IF(O158&gt;=1,"普通→","減少↓"))))</f>
        <v>減少↓</v>
      </c>
      <c r="Q158" s="212" t="str">
        <f>IF(E158="","",IF(AND(E158&lt;G158,O158&gt;=1.5),"売り▼",IF(E158&gt;G158,"様子見▲","中立→")))</f>
        <v>様子見▲</v>
      </c>
      <c r="R158" s="333">
        <f>IF(E158&lt;&gt;"",ROUND(E158*0.92,0),"")</f>
        <v>2176</v>
      </c>
      <c r="S158" s="333">
        <f>IF(E158&lt;&gt;"",ROUND(E158*1.04,0),"")</f>
        <v>2460</v>
      </c>
      <c r="T158" s="325">
        <f>IF(C158="","",IFERROR(IF(W158&gt;=70,3,IF(W158&gt;=60,2,IF(W158&gt;=50,1,0)))+IF(X158&lt;0,2,0)+IF(AD158="下降トレンド▼",3,IF(AD158="もみ合い→",1,0))+IF(V158="年初来安値圏●",3,IF(V158="安値圏",2,0))+IF(Q158="売り▼",2,0)+IF(P158="急増↑↑",2,IF(P158="増加↑",1,0))+IF(Z158&lt;0,1,0)+IF(L158&lt;=-30,2,IF(L158&lt;=-15,1,0))+IF(AE158="25日戻り売り★",2,IF(AE158="5日戻り売り○",1,0))+N(AL158)+N(AP158)+N(AU158),0))</f>
        <v>2</v>
      </c>
      <c r="U158" s="212" t="str">
        <f>IF(T158="","",IF(AND(T158&gt;=3,O158&gt;=1.5),"有効",IF(T158&gt;=3,"要確認","除外")))</f>
        <v>除外</v>
      </c>
      <c r="V158" s="212" t="str">
        <f>IF(AND(I158&lt;&gt;"",K158&lt;&gt;""),IF(I158&lt;=K158*0.6,"年初来安値圏●",IF(I158&lt;=K158*0.75,"安値圏","通常")),"")</f>
        <v>通常</v>
      </c>
      <c r="W158" s="336">
        <f t="array" ref="W158">IFERROR(100-100/(1+SUMPRODUCT((終値!F182:R182&gt;終値!G182:S182)*(終値!F182:R182-終値!G182:S182))/SUMPRODUCT((終値!F182:R182&lt;終値!G182:S182)*(終値!G182:S182-終値!F182:R182))),50)</f>
        <v>53.333333333333329</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9.5846226103435583</v>
      </c>
      <c r="Y158" s="212" t="str">
        <f>IF(AF158="","",AF158&amp;" | "&amp;AD158&amp;IF(AE158&lt;&gt;"なし"," "&amp;AE158,"")&amp;IF(X158&lt;0," MACD-"," MACD+")&amp;" RSI:"&amp;TEXT(W158,"0.0")&amp;IF(W158&gt;=70," [過熱]",IF(W158&lt;=30," [売られ過ぎ]",""))&amp;" 前日比:"&amp;TEXT(Z158,"+0.0;-0.0;0.0")&amp;"%"&amp;IF(V158="年初来安値圏●"," [年初来安値圏]",IF(V158="安値圏"," [安値圏]",""))&amp;IF(OR(AO158="通常",AO158="-"),""," ["&amp;AO158&amp;"]")&amp;IF(OR(AT158="通常",AT158="-"),"","前日["&amp;AT158&amp;"]")&amp;" ["&amp;T158&amp;"点]")</f>
        <v>相場上昇・見送り | パーフェクト▲ MACD+ RSI:53.3 前日比:+1.2%前日[大陰線▼] [2点]</v>
      </c>
      <c r="Z158" s="338">
        <f>IF(AND(E158&lt;&gt;"",G158&lt;&gt;"",G158&lt;&gt;0),(E158-G158)/G158*100,"")</f>
        <v>1.2414383561643836</v>
      </c>
      <c r="AA158" s="212" t="str">
        <f>IF(OR(C158="",E158="",E158=0),"",IF(E158&gt;G158,"上昇▲",IF(E158&lt;G158,"下落▼","横ばい→")))</f>
        <v>上昇▲</v>
      </c>
      <c r="AB158" s="333">
        <f>IF(OR(C158="",C158="TOPX",終値!E182=""),"",IFERROR(((終値!E182*0.333)+(終値!F182*0.222)+(終値!G182*0.148)+(終値!H182*0.099)+(終値!I182*0.066))/(0.333+0.222+0.148+0.099+0.066),""))</f>
        <v>2360.5702764976959</v>
      </c>
      <c r="AC158" s="333">
        <f>IF(OR(C158="",C158="TOPX",終値!E182=""),"",IFERROR(SUMPRODUCT((終値!E182:AC182),{0.077,0.071,0.065,0.06,0.055,0.051,0.047,0.043,0.039,0.036,0.033,0.031,0.028,0.026,0.024,0.022,0.02,0.018,0.017,0.016,0.014,0.013,0.012,0.011,0.01})/SUM({0.077,0.071,0.065,0.06,0.055,0.051,0.047,0.043,0.039,0.036,0.033,0.031,0.028,0.026,0.024,0.022,0.02,0.018,0.017,0.016,0.014,0.013,0.012,0.011,0.01}),""))</f>
        <v>2344.6174016686518</v>
      </c>
      <c r="AD158" s="212" t="str">
        <f>IF(OR(C158="",AB158="",AC158="",AB158=0,AC158=0),"",IF(AND(E158&gt;AB158,AB158&gt;AC158),"パーフェクト▲",IF(E158&gt;AC158,"上昇トレンド▲",IF(AND(E158&lt;AB158,AB158&lt;AC158),"下降トレンド▼","もみ合い→"))))</f>
        <v>パーフェクト▲</v>
      </c>
      <c r="AE158" s="212" t="str">
        <f>IF(OR(C158="",AB158="",AC158=""),"",IF(AND(ABS(E158-AC158)/AC158&lt;=0.02,E158&lt;AC158),"25日戻り売り★",IF(AND(ABS(E158-AB158)/AB158&lt;=0.01,E158&lt;AB158),"5日戻り売り○","なし")))</f>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相場上昇・見送り</v>
      </c>
      <c r="AG158">
        <f>IF(AND(T158&gt;=7,C158&lt;&gt;""),T158,0)</f>
        <v>0</v>
      </c>
      <c r="AH158">
        <f>IF(AG158&gt;0,AG158*10000-ROW(A158),0)</f>
        <v>0</v>
      </c>
      <c r="AI158" s="373">
        <f t="array" ref="AI158">IF(C158="","",IFERROR((INDEX(終値!$E:$E,MATCH(TEXT(C158,"0"),終値!$A:$A,0))-INDEX(終値!$E:$CZ,MATCH(TEXT(C158,"0"),終値!$A:$A,0),$AN$2))/INDEX(終値!$E:$CZ,MATCH(TEXT(C158,"0"),終値!$A:$A,0),$AN$2)*100,""))</f>
        <v>4.0017590149516273</v>
      </c>
      <c r="AJ158" s="373">
        <f t="array" ref="AJ158">IFERROR((終値!$E$5-INDEX(終値!$E$5:$IT$5,1,$AN$2))/INDEX(終値!$E$5:$IT$5,1,$AN$2)*100,"")</f>
        <v>1.0179378228534113</v>
      </c>
      <c r="AK158" s="374">
        <f>IF(OR(AI158="",AJ158=""),"",AI158-AJ158)</f>
        <v>2.9838211920982163</v>
      </c>
      <c r="AL158" s="372">
        <f>IF(AK158="","",IF(AK158&lt;-5,3,IF(AK158&lt;0,1,IF(AK158&lt;3,-1,-2))))</f>
        <v>-1</v>
      </c>
      <c r="AO158" s="376" t="str">
        <f>IF(OR($C158="",$E158="",$F158="",$H158="",$I158="",$H158-$I158&lt;=0),"-",IF(AND($H158-MAX($F158,$E158)&gt;=ABS($E158-$F158)*2,MIN($F158,$E158)-$I158&lt;=ABS($E158-$F158)*0.5,ABS($E158-$F158)&gt;0),"上ヒゲ陰線▼",IF(AND($E158&lt;$F158,ABS($E158-$F158)&gt;=($H158-$I158)*0.7),"大陰線▼",IF(AND(MIN($F158,$E158)-$I158&gt;=($H158-$I158)*0.5,$H158-MAX($F158,$E158)&lt;=($H158-$I158)*0.2),"長い下ヒゲ(反発警戒)","通常"))))</f>
        <v>通常</v>
      </c>
      <c r="AP158" s="377">
        <f>IF($AO158="上ヒゲ陰線▼",2,IF($AO158="大陰線▼",2,IF($AO158="長い下ヒゲ(反発警戒)",-2,0)))</f>
        <v>0</v>
      </c>
      <c r="AQ158">
        <f>IF(C158&lt;&gt;"",始値!F182,"")</f>
        <v>2357</v>
      </c>
      <c r="AR158">
        <f>IF(C158&lt;&gt;"",高値!F182,"")</f>
        <v>2358</v>
      </c>
      <c r="AS158">
        <f>IF(C158&lt;&gt;"",安値!F182,"")</f>
        <v>2333</v>
      </c>
      <c r="AT158" t="str">
        <f>IF(OR(C158="",AQ158="",AR158="",AS158="",AR158-AS158&lt;=0),"-",IF(AND(AR158-MAX(G158,AQ158)&gt;=ABS(G158-AQ158)*2,MIN(G158,AQ158)-AS158&lt;=ABS(G158-AQ158)*0.5,ABS(G158-AQ158)&gt;0),"上ヒゲ陰線▼",IF(AND(G158&lt;AQ158,ABS(G158-AQ158)&gt;=(AR158-AS158)*0.7),"大陰線▼",IF(AND(MIN(G158,AQ158)-AS158&gt;=(AR158-AS158)*0.5,AR158-MAX(G158,AQ158)&lt;=(AR158-AS158)*0.2),"長い下ヒゲ(反発)","通常"))))</f>
        <v>大陰線▼</v>
      </c>
      <c r="AU158">
        <f>IF(AT158="上ヒゲ陰線▼",2,IF(AT158="大陰線▼",2,IF(AT158="長い下ヒゲ(反発)",-2,0)))</f>
        <v>2</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3847</v>
      </c>
      <c r="F159" s="326">
        <f>IF(C159&lt;&gt;"",_xll.RssMarket(C159,"始値"),"")</f>
        <v>3810</v>
      </c>
      <c r="G159" s="325">
        <f>IF(C159&lt;&gt;"",終値!F184,"")</f>
        <v>3830</v>
      </c>
      <c r="H159" s="326">
        <f>IF(C159&lt;&gt;"",_xll.RssMarket(C159,"高値"),"")</f>
        <v>3880</v>
      </c>
      <c r="I159" s="326">
        <f>IF(C159&lt;&gt;"",_xll.RssMarket(C159,"安値"),"")</f>
        <v>3798</v>
      </c>
      <c r="J159" s="326">
        <f>IF(C159&lt;&gt;"",_xll.RssMarket(C159,"出来高"),"")</f>
        <v>2156300</v>
      </c>
      <c r="K159" s="326">
        <f>IF(C159&lt;&gt;"",_xll.RssMarket(C159,"年初来高値"),"")</f>
        <v>4830</v>
      </c>
      <c r="L159" s="327">
        <f>IF(AND(E159&lt;&gt;"",K159&lt;&gt;"",K159&lt;&gt;0),(E159-K159)/K159*100,"")</f>
        <v>-20.351966873706004</v>
      </c>
      <c r="M159" s="326">
        <f>IF(C159&lt;&gt;"",IFERROR(AVERAGE(出来高!E184:I184),""),"")</f>
        <v>3419500</v>
      </c>
      <c r="N159" s="326">
        <f>IF(C159&lt;&gt;"",IFERROR(AVERAGE(出来高!E184:AC184),""),"")</f>
        <v>3138100</v>
      </c>
      <c r="O159" s="328">
        <f>IF(AND(J159&lt;&gt;"",M159&lt;&gt;"",M159&lt;&gt;0),J159/M159,"")</f>
        <v>0.6305892674367598</v>
      </c>
      <c r="P159" s="325" t="str">
        <f>IF(O159="","",IF(O159&gt;=2,"急増↑↑",IF(O159&gt;=1.5,"増加↑",IF(O159&gt;=1,"普通→","減少↓"))))</f>
        <v>減少↓</v>
      </c>
      <c r="Q159" s="325" t="str">
        <f>IF(E159="","",IF(AND(E159&lt;G159,O159&gt;=1.5),"売り▼",IF(E159&gt;G159,"様子見▲","中立→")))</f>
        <v>様子見▲</v>
      </c>
      <c r="R159" s="326">
        <f>IF(E159&lt;&gt;"",ROUND(E159*0.92,0),"")</f>
        <v>3539</v>
      </c>
      <c r="S159" s="326">
        <f>IF(E159&lt;&gt;"",ROUND(E159*1.04,0),"")</f>
        <v>4001</v>
      </c>
      <c r="T159" s="325">
        <f>IF(C159="","",IFERROR(IF(W159&gt;=70,3,IF(W159&gt;=60,2,IF(W159&gt;=50,1,0)))+IF(X159&lt;0,2,0)+IF(AD159="下降トレンド▼",3,IF(AD159="もみ合い→",1,0))+IF(V159="年初来安値圏●",3,IF(V159="安値圏",2,0))+IF(Q159="売り▼",2,0)+IF(P159="急増↑↑",2,IF(P159="増加↑",1,0))+IF(Z159&lt;0,1,0)+IF(L159&lt;=-30,2,IF(L159&lt;=-15,1,0))+IF(AE159="25日戻り売り★",2,IF(AE159="5日戻り売り○",1,0))+N(AL159)+N(AP159)+N(AU159),0))</f>
        <v>3</v>
      </c>
      <c r="U159" s="325" t="str">
        <f>IF(T159="","",IF(AND(T159&gt;=3,O159&gt;=1.5),"有効",IF(T159&gt;=3,"要確認","除外")))</f>
        <v>要確認</v>
      </c>
      <c r="V159" s="325" t="str">
        <f>IF(AND(I159&lt;&gt;"",K159&lt;&gt;""),IF(I159&lt;=K159*0.6,"年初来安値圏●",IF(I159&lt;=K159*0.75,"安値圏","通常")),"")</f>
        <v>通常</v>
      </c>
      <c r="W159" s="329">
        <f t="array" ref="W159">IFERROR(100-100/(1+SUMPRODUCT((終値!F184:R184&gt;終値!G184:S184)*(終値!F184:R184-終値!G184:S184))/SUMPRODUCT((終値!F184:R184&lt;終値!G184:S184)*(終値!G184:S184-終値!F184:R184))),50)</f>
        <v>56.378986866791742</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38.584168859133115</v>
      </c>
      <c r="Y159" s="325" t="str">
        <f>IF(AF159="","",AF159&amp;" | "&amp;AD159&amp;IF(AE159&lt;&gt;"なし"," "&amp;AE159,"")&amp;IF(X159&lt;0," MACD-"," MACD+")&amp;" RSI:"&amp;TEXT(W159,"0.0")&amp;IF(W159&gt;=70," [過熱]",IF(W159&lt;=30," [売られ過ぎ]",""))&amp;" 前日比:"&amp;TEXT(Z159,"+0.0;-0.0;0.0")&amp;"%"&amp;IF(V159="年初来安値圏●"," [年初来安値圏]",IF(V159="安値圏"," [安値圏]",""))&amp;IF(OR(AO159="通常",AO159="-"),""," ["&amp;AO159&amp;"]")&amp;IF(OR(AT159="通常",AT159="-"),"","前日["&amp;AT159&amp;"]")&amp;" ["&amp;T159&amp;"点]")</f>
        <v>★逆張り売り | 下降トレンド▼ 25日戻り売り★ MACD+ RSI:56.4 前日比:+0.4%前日[長い下ヒゲ(反発)] [3点]</v>
      </c>
      <c r="Z159" s="331">
        <f>IF(AND(E159&lt;&gt;"",G159&lt;&gt;"",G159&lt;&gt;0),(E159-G159)/G159*100,"")</f>
        <v>0.44386422976501305</v>
      </c>
      <c r="AA159" s="325" t="str">
        <f>IF(OR(C159="",E159="",E159=0),"",IF(E159&gt;G159,"上昇▲",IF(E159&lt;G159,"下落▼","横ばい→")))</f>
        <v>上昇▲</v>
      </c>
      <c r="AB159" s="326">
        <f>IF(OR(C159="",C159="TOPX",終値!E184=""),"",IFERROR(((終値!E184*0.333)+(終値!F184*0.222)+(終値!G184*0.148)+(終値!H184*0.099)+(終値!I184*0.066))/(0.333+0.222+0.148+0.099+0.066),""))</f>
        <v>3855.0426267281105</v>
      </c>
      <c r="AC159" s="326">
        <f>IF(OR(C159="",C159="TOPX",終値!E184=""),"",IFERROR(SUMPRODUCT((終値!E184:AC184),{0.077,0.071,0.065,0.06,0.055,0.051,0.047,0.043,0.039,0.036,0.033,0.031,0.028,0.026,0.024,0.022,0.02,0.018,0.017,0.016,0.014,0.013,0.012,0.011,0.01})/SUM({0.077,0.071,0.065,0.06,0.055,0.051,0.047,0.043,0.039,0.036,0.033,0.031,0.028,0.026,0.024,0.022,0.02,0.018,0.017,0.016,0.014,0.013,0.012,0.011,0.01}),""))</f>
        <v>3868.8748510131086</v>
      </c>
      <c r="AD159" s="325" t="str">
        <f>IF(OR(C159="",AB159="",AC159="",AB159=0,AC159=0),"",IF(AND(E159&gt;AB159,AB159&gt;AC159),"パーフェクト▲",IF(E159&gt;AC159,"上昇トレンド▲",IF(AND(E159&lt;AB159,AB159&lt;AC159),"下降トレンド▼","もみ合い→"))))</f>
        <v>下降トレンド▼</v>
      </c>
      <c r="AE159" s="325" t="str">
        <f>IF(OR(C159="",AB159="",AC159=""),"",IF(AND(ABS(E159-AC159)/AC159&lt;=0.02,E159&lt;AC159),"25日戻り売り★",IF(AND(ABS(E159-AB159)/AB159&lt;=0.01,E159&lt;AB159),"5日戻り売り○","なし")))</f>
        <v>25日戻り売り★</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★逆張り売り</v>
      </c>
      <c r="AG159">
        <f>IF(AND(T159&gt;=7,C159&lt;&gt;""),T159,0)</f>
        <v>0</v>
      </c>
      <c r="AH159">
        <f>IF(AG159&gt;0,AG159*10000-ROW(A159),0)</f>
        <v>0</v>
      </c>
      <c r="AI159" s="373">
        <f t="array" ref="AI159">IF(C159="","",IFERROR((INDEX(終値!$E:$E,MATCH(TEXT(C159,"0"),終値!$A:$A,0))-INDEX(終値!$E:$CZ,MATCH(TEXT(C159,"0"),終値!$A:$A,0),$AN$2))/INDEX(終値!$E:$CZ,MATCH(TEXT(C159,"0"),終値!$A:$A,0),$AN$2)*100,""))</f>
        <v>13.682033096926713</v>
      </c>
      <c r="AJ159" s="373">
        <f t="array" ref="AJ159">IFERROR((終値!$E$5-INDEX(終値!$E$5:$IT$5,1,$AN$2))/INDEX(終値!$E$5:$IT$5,1,$AN$2)*100,"")</f>
        <v>1.0179378228534113</v>
      </c>
      <c r="AK159" s="374">
        <f>IF(OR(AI159="",AJ159=""),"",AI159-AJ159)</f>
        <v>12.664095274073301</v>
      </c>
      <c r="AL159" s="372">
        <f>IF(AK159="","",IF(AK159&lt;-5,3,IF(AK159&lt;0,1,IF(AK159&lt;3,-1,-2))))</f>
        <v>-2</v>
      </c>
      <c r="AO159" s="376" t="str">
        <f>IF(OR($C159="",$E159="",$F159="",$H159="",$I159="",$H159-$I159&lt;=0),"-",IF(AND($H159-MAX($F159,$E159)&gt;=ABS($E159-$F159)*2,MIN($F159,$E159)-$I159&lt;=ABS($E159-$F159)*0.5,ABS($E159-$F159)&gt;0),"上ヒゲ陰線▼",IF(AND($E159&lt;$F159,ABS($E159-$F159)&gt;=($H159-$I159)*0.7),"大陰線▼",IF(AND(MIN($F159,$E159)-$I159&gt;=($H159-$I159)*0.5,$H159-MAX($F159,$E159)&lt;=($H159-$I159)*0.2),"長い下ヒゲ(反発警戒)","通常"))))</f>
        <v>通常</v>
      </c>
      <c r="AP159" s="377">
        <f>IF($AO159="上ヒゲ陰線▼",2,IF($AO159="大陰線▼",2,IF($AO159="長い下ヒゲ(反発警戒)",-2,0)))</f>
        <v>0</v>
      </c>
      <c r="AQ159">
        <f>IF(C159&lt;&gt;"",始値!F184,"")</f>
        <v>3840</v>
      </c>
      <c r="AR159">
        <f>IF(C159&lt;&gt;"",高値!F184,"")</f>
        <v>3844</v>
      </c>
      <c r="AS159">
        <f>IF(C159&lt;&gt;"",安値!F184,"")</f>
        <v>3764</v>
      </c>
      <c r="AT159" t="str">
        <f>IF(OR(C159="",AQ159="",AR159="",AS159="",AR159-AS159&lt;=0),"-",IF(AND(AR159-MAX(G159,AQ159)&gt;=ABS(G159-AQ159)*2,MIN(G159,AQ159)-AS159&lt;=ABS(G159-AQ159)*0.5,ABS(G159-AQ159)&gt;0),"上ヒゲ陰線▼",IF(AND(G159&lt;AQ159,ABS(G159-AQ159)&gt;=(AR159-AS159)*0.7),"大陰線▼",IF(AND(MIN(G159,AQ159)-AS159&gt;=(AR159-AS159)*0.5,AR159-MAX(G159,AQ159)&lt;=(AR159-AS159)*0.2),"長い下ヒゲ(反発)","通常"))))</f>
        <v>長い下ヒゲ(反発)</v>
      </c>
      <c r="AU159">
        <f>IF(AT159="上ヒゲ陰線▼",2,IF(AT159="大陰線▼",2,IF(AT159="長い下ヒゲ(反発)",-2,0)))</f>
        <v>-2</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2359</v>
      </c>
      <c r="F160" s="333">
        <f>IF(C160&lt;&gt;"",_xll.RssMarket(C160,"始値"),"")</f>
        <v>2356</v>
      </c>
      <c r="G160" s="212">
        <f>IF(C160&lt;&gt;"",終値!F185,"")</f>
        <v>2333</v>
      </c>
      <c r="H160" s="333">
        <f>IF(C160&lt;&gt;"",_xll.RssMarket(C160,"高値"),"")</f>
        <v>2380</v>
      </c>
      <c r="I160" s="333">
        <f>IF(C160&lt;&gt;"",_xll.RssMarket(C160,"安値"),"")</f>
        <v>2325</v>
      </c>
      <c r="J160" s="333">
        <f>IF(C160&lt;&gt;"",_xll.RssMarket(C160,"出来高"),"")</f>
        <v>71200</v>
      </c>
      <c r="K160" s="333">
        <f>IF(C160&lt;&gt;"",_xll.RssMarket(C160,"年初来高値"),"")</f>
        <v>2634</v>
      </c>
      <c r="L160" s="334">
        <f>IF(AND(E160&lt;&gt;"",K160&lt;&gt;"",K160&lt;&gt;0),(E160-K160)/K160*100,"")</f>
        <v>-10.44039483675019</v>
      </c>
      <c r="M160" s="333">
        <f>IF(C160&lt;&gt;"",IFERROR(AVERAGE(出来高!E185:I185),""),"")</f>
        <v>86920</v>
      </c>
      <c r="N160" s="333">
        <f>IF(C160&lt;&gt;"",IFERROR(AVERAGE(出来高!E185:AC185),""),"")</f>
        <v>75796</v>
      </c>
      <c r="O160" s="335">
        <f>IF(AND(J160&lt;&gt;"",M160&lt;&gt;"",M160&lt;&gt;0),J160/M160,"")</f>
        <v>0.81914404049700873</v>
      </c>
      <c r="P160" s="212" t="str">
        <f>IF(O160="","",IF(O160&gt;=2,"急増↑↑",IF(O160&gt;=1.5,"増加↑",IF(O160&gt;=1,"普通→","減少↓"))))</f>
        <v>減少↓</v>
      </c>
      <c r="Q160" s="212" t="str">
        <f>IF(E160="","",IF(AND(E160&lt;G160,O160&gt;=1.5),"売り▼",IF(E160&gt;G160,"様子見▲","中立→")))</f>
        <v>様子見▲</v>
      </c>
      <c r="R160" s="333">
        <f>IF(E160&lt;&gt;"",ROUND(E160*0.92,0),"")</f>
        <v>2170</v>
      </c>
      <c r="S160" s="333">
        <f>IF(E160&lt;&gt;"",ROUND(E160*1.04,0),"")</f>
        <v>2453</v>
      </c>
      <c r="T160" s="325">
        <f>IF(C160="","",IFERROR(IF(W160&gt;=70,3,IF(W160&gt;=60,2,IF(W160&gt;=50,1,0)))+IF(X160&lt;0,2,0)+IF(AD160="下降トレンド▼",3,IF(AD160="もみ合い→",1,0))+IF(V160="年初来安値圏●",3,IF(V160="安値圏",2,0))+IF(Q160="売り▼",2,0)+IF(P160="急増↑↑",2,IF(P160="増加↑",1,0))+IF(Z160&lt;0,1,0)+IF(L160&lt;=-30,2,IF(L160&lt;=-15,1,0))+IF(AE160="25日戻り売り★",2,IF(AE160="5日戻り売り○",1,0))+N(AL160)+N(AP160)+N(AU160),0))</f>
        <v>2</v>
      </c>
      <c r="U160" s="212" t="str">
        <f>IF(T160="","",IF(AND(T160&gt;=3,O160&gt;=1.5),"有効",IF(T160&gt;=3,"要確認","除外")))</f>
        <v>除外</v>
      </c>
      <c r="V160" s="212" t="str">
        <f>IF(AND(I160&lt;&gt;"",K160&lt;&gt;""),IF(I160&lt;=K160*0.6,"年初来安値圏●",IF(I160&lt;=K160*0.75,"安値圏","通常")),"")</f>
        <v>通常</v>
      </c>
      <c r="W160" s="336">
        <f t="array" ref="W160">IFERROR(100-100/(1+SUMPRODUCT((終値!F185:R185&gt;終値!G185:S185)*(終値!F185:R185-終値!G185:S185))/SUMPRODUCT((終値!F185:R185&lt;終値!G185:S185)*(終値!G185:S185-終値!F185:R185))),50)</f>
        <v>50</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8.2315603867232312</v>
      </c>
      <c r="Y160" s="212" t="str">
        <f>IF(AF160="","",AF160&amp;" | "&amp;AD160&amp;IF(AE160&lt;&gt;"なし"," "&amp;AE160,"")&amp;IF(X160&lt;0," MACD-"," MACD+")&amp;" RSI:"&amp;TEXT(W160,"0.0")&amp;IF(W160&gt;=70," [過熱]",IF(W160&lt;=30," [売られ過ぎ]",""))&amp;" 前日比:"&amp;TEXT(Z160,"+0.0;-0.0;0.0")&amp;"%"&amp;IF(V160="年初来安値圏●"," [年初来安値圏]",IF(V160="安値圏"," [安値圏]",""))&amp;IF(OR(AO160="通常",AO160="-"),""," ["&amp;AO160&amp;"]")&amp;IF(OR(AT160="通常",AT160="-"),"","前日["&amp;AT160&amp;"]")&amp;" ["&amp;T160&amp;"点]")</f>
        <v>相場上昇・見送り | 上昇トレンド▲ 5日戻り売り○ MACD+ RSI:50.0 前日比:+1.1%前日[大陰線▼] [2点]</v>
      </c>
      <c r="Z160" s="338">
        <f>IF(AND(E160&lt;&gt;"",G160&lt;&gt;"",G160&lt;&gt;0),(E160-G160)/G160*100,"")</f>
        <v>1.1144449207029576</v>
      </c>
      <c r="AA160" s="212" t="str">
        <f>IF(OR(C160="",E160="",E160=0),"",IF(E160&gt;G160,"上昇▲",IF(E160&lt;G160,"下落▼","横ばい→")))</f>
        <v>上昇▲</v>
      </c>
      <c r="AB160" s="333">
        <f>IF(OR(C160="",C160="TOPX",終値!E185=""),"",IFERROR(((終値!E185*0.333)+(終値!F185*0.222)+(終値!G185*0.148)+(終値!H185*0.099)+(終値!I185*0.066))/(0.333+0.222+0.148+0.099+0.066),""))</f>
        <v>2363.0967741935478</v>
      </c>
      <c r="AC160" s="333">
        <f>IF(OR(C160="",C160="TOPX",終値!E185=""),"",IFERROR(SUMPRODUCT((終値!E185:AC185),{0.077,0.071,0.065,0.06,0.055,0.051,0.047,0.043,0.039,0.036,0.033,0.031,0.028,0.026,0.024,0.022,0.02,0.018,0.017,0.016,0.014,0.013,0.012,0.011,0.01})/SUM({0.077,0.071,0.065,0.06,0.055,0.051,0.047,0.043,0.039,0.036,0.033,0.031,0.028,0.026,0.024,0.022,0.02,0.018,0.017,0.016,0.014,0.013,0.012,0.011,0.01}),""))</f>
        <v>2353.6042908224067</v>
      </c>
      <c r="AD160" s="212" t="str">
        <f>IF(OR(C160="",AB160="",AC160="",AB160=0,AC160=0),"",IF(AND(E160&gt;AB160,AB160&gt;AC160),"パーフェクト▲",IF(E160&gt;AC160,"上昇トレンド▲",IF(AND(E160&lt;AB160,AB160&lt;AC160),"下降トレンド▼","もみ合い→"))))</f>
        <v>上昇トレンド▲</v>
      </c>
      <c r="AE160" s="212" t="str">
        <f>IF(OR(C160="",AB160="",AC160=""),"",IF(AND(ABS(E160-AC160)/AC160&lt;=0.02,E160&lt;AC160),"25日戻り売り★",IF(AND(ABS(E160-AB160)/AB160&lt;=0.01,E160&lt;AB160),"5日戻り売り○","なし")))</f>
        <v>5日戻り売り○</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相場上昇・見送り</v>
      </c>
      <c r="AG160">
        <f>IF(AND(T160&gt;=7,C160&lt;&gt;""),T160,0)</f>
        <v>0</v>
      </c>
      <c r="AH160">
        <f>IF(AG160&gt;0,AG160*10000-ROW(A160),0)</f>
        <v>0</v>
      </c>
      <c r="AI160" s="373">
        <f t="array" ref="AI160">IF(C160="","",IFERROR((INDEX(終値!$E:$E,MATCH(TEXT(C160,"0"),終値!$A:$A,0))-INDEX(終値!$E:$CZ,MATCH(TEXT(C160,"0"),終値!$A:$A,0),$AN$2))/INDEX(終値!$E:$CZ,MATCH(TEXT(C160,"0"),終値!$A:$A,0),$AN$2)*100,""))</f>
        <v>6.02247191011236</v>
      </c>
      <c r="AJ160" s="373">
        <f t="array" ref="AJ160">IFERROR((終値!$E$5-INDEX(終値!$E$5:$IT$5,1,$AN$2))/INDEX(終値!$E$5:$IT$5,1,$AN$2)*100,"")</f>
        <v>1.0179378228534113</v>
      </c>
      <c r="AK160" s="374">
        <f>IF(OR(AI160="",AJ160=""),"",AI160-AJ160)</f>
        <v>5.004534087258949</v>
      </c>
      <c r="AL160" s="372">
        <f>IF(AK160="","",IF(AK160&lt;-5,3,IF(AK160&lt;0,1,IF(AK160&lt;3,-1,-2))))</f>
        <v>-2</v>
      </c>
      <c r="AO160" s="376" t="str">
        <f>IF(OR($C160="",$E160="",$F160="",$H160="",$I160="",$H160-$I160&lt;=0),"-",IF(AND($H160-MAX($F160,$E160)&gt;=ABS($E160-$F160)*2,MIN($F160,$E160)-$I160&lt;=ABS($E160-$F160)*0.5,ABS($E160-$F160)&gt;0),"上ヒゲ陰線▼",IF(AND($E160&lt;$F160,ABS($E160-$F160)&gt;=($H160-$I160)*0.7),"大陰線▼",IF(AND(MIN($F160,$E160)-$I160&gt;=($H160-$I160)*0.5,$H160-MAX($F160,$E160)&lt;=($H160-$I160)*0.2),"長い下ヒゲ(反発警戒)","通常"))))</f>
        <v>通常</v>
      </c>
      <c r="AP160" s="377">
        <f>IF($AO160="上ヒゲ陰線▼",2,IF($AO160="大陰線▼",2,IF($AO160="長い下ヒゲ(反発警戒)",-2,0)))</f>
        <v>0</v>
      </c>
      <c r="AQ160">
        <f>IF(C160&lt;&gt;"",始値!F185,"")</f>
        <v>2381</v>
      </c>
      <c r="AR160">
        <f>IF(C160&lt;&gt;"",高値!F185,"")</f>
        <v>2397</v>
      </c>
      <c r="AS160">
        <f>IF(C160&lt;&gt;"",安値!F185,"")</f>
        <v>2333</v>
      </c>
      <c r="AT160" t="str">
        <f>IF(OR(C160="",AQ160="",AR160="",AS160="",AR160-AS160&lt;=0),"-",IF(AND(AR160-MAX(G160,AQ160)&gt;=ABS(G160-AQ160)*2,MIN(G160,AQ160)-AS160&lt;=ABS(G160-AQ160)*0.5,ABS(G160-AQ160)&gt;0),"上ヒゲ陰線▼",IF(AND(G160&lt;AQ160,ABS(G160-AQ160)&gt;=(AR160-AS160)*0.7),"大陰線▼",IF(AND(MIN(G160,AQ160)-AS160&gt;=(AR160-AS160)*0.5,AR160-MAX(G160,AQ160)&lt;=(AR160-AS160)*0.2),"長い下ヒゲ(反発)","通常"))))</f>
        <v>大陰線▼</v>
      </c>
      <c r="AU160">
        <f>IF(AT160="上ヒゲ陰線▼",2,IF(AT160="大陰線▼",2,IF(AT160="長い下ヒゲ(反発)",-2,0)))</f>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639</v>
      </c>
      <c r="F161" s="326">
        <f>IF(C161&lt;&gt;"",_xll.RssMarket(C161,"始値"),"")</f>
        <v>638</v>
      </c>
      <c r="G161" s="325">
        <f>IF(C161&lt;&gt;"",終値!F187,"")</f>
        <v>635.5</v>
      </c>
      <c r="H161" s="326">
        <f>IF(C161&lt;&gt;"",_xll.RssMarket(C161,"高値"),"")</f>
        <v>641</v>
      </c>
      <c r="I161" s="326">
        <f>IF(C161&lt;&gt;"",_xll.RssMarket(C161,"安値"),"")</f>
        <v>635.5</v>
      </c>
      <c r="J161" s="326">
        <f>IF(C161&lt;&gt;"",_xll.RssMarket(C161,"出来高"),"")</f>
        <v>1470100</v>
      </c>
      <c r="K161" s="326">
        <f>IF(C161&lt;&gt;"",_xll.RssMarket(C161,"年初来高値"),"")</f>
        <v>763.7</v>
      </c>
      <c r="L161" s="327">
        <f>IF(AND(E161&lt;&gt;"",K161&lt;&gt;"",K161&lt;&gt;0),(E161-K161)/K161*100,"")</f>
        <v>-16.328401204661521</v>
      </c>
      <c r="M161" s="326">
        <f>IF(C161&lt;&gt;"",IFERROR(AVERAGE(出来高!E187:I187),""),"")</f>
        <v>3836180</v>
      </c>
      <c r="N161" s="326">
        <f>IF(C161&lt;&gt;"",IFERROR(AVERAGE(出来高!E187:AC187),""),"")</f>
        <v>2134460</v>
      </c>
      <c r="O161" s="328">
        <f>IF(AND(J161&lt;&gt;"",M161&lt;&gt;"",M161&lt;&gt;0),J161/M161,"")</f>
        <v>0.38321976549588394</v>
      </c>
      <c r="P161" s="325" t="str">
        <f>IF(O161="","",IF(O161&gt;=2,"急増↑↑",IF(O161&gt;=1.5,"増加↑",IF(O161&gt;=1,"普通→","減少↓"))))</f>
        <v>減少↓</v>
      </c>
      <c r="Q161" s="325" t="str">
        <f>IF(E161="","",IF(AND(E161&lt;G161,O161&gt;=1.5),"売り▼",IF(E161&gt;G161,"様子見▲","中立→")))</f>
        <v>様子見▲</v>
      </c>
      <c r="R161" s="326">
        <f>IF(E161&lt;&gt;"",ROUND(E161*0.92,0),"")</f>
        <v>588</v>
      </c>
      <c r="S161" s="326">
        <f>IF(E161&lt;&gt;"",ROUND(E161*1.04,0),"")</f>
        <v>665</v>
      </c>
      <c r="T161" s="325">
        <f>IF(C161="","",IFERROR(IF(W161&gt;=70,3,IF(W161&gt;=60,2,IF(W161&gt;=50,1,0)))+IF(X161&lt;0,2,0)+IF(AD161="下降トレンド▼",3,IF(AD161="もみ合い→",1,0))+IF(V161="年初来安値圏●",3,IF(V161="安値圏",2,0))+IF(Q161="売り▼",2,0)+IF(P161="急増↑↑",2,IF(P161="増加↑",1,0))+IF(Z161&lt;0,1,0)+IF(L161&lt;=-30,2,IF(L161&lt;=-15,1,0))+IF(AE161="25日戻り売り★",2,IF(AE161="5日戻り売り○",1,0))+N(AL161)+N(AP161)+N(AU161),0))</f>
        <v>3</v>
      </c>
      <c r="U161" s="325" t="str">
        <f>IF(T161="","",IF(AND(T161&gt;=3,O161&gt;=1.5),"有効",IF(T161&gt;=3,"要確認","除外")))</f>
        <v>要確認</v>
      </c>
      <c r="V161" s="325" t="str">
        <f>IF(AND(I161&lt;&gt;"",K161&lt;&gt;""),IF(I161&lt;=K161*0.6,"年初来安値圏●",IF(I161&lt;=K161*0.75,"安値圏","通常")),"")</f>
        <v>通常</v>
      </c>
      <c r="W161" s="329">
        <f t="array" ref="W161">IFERROR(100-100/(1+SUMPRODUCT((終値!F187:R187&gt;終値!G187:S187)*(終値!F187:R187-終値!G187:S187))/SUMPRODUCT((終値!F187:R187&lt;終値!G187:S187)*(終値!G187:S187-終値!F187:R187))),50)</f>
        <v>34.680851063829735</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-3.7187164413168148</v>
      </c>
      <c r="Y161" s="325" t="str">
        <f>IF(AF161="","",AF161&amp;" | "&amp;AD161&amp;IF(AE161&lt;&gt;"なし"," "&amp;AE161,"")&amp;IF(X161&lt;0," MACD-"," MACD+")&amp;" RSI:"&amp;TEXT(W161,"0.0")&amp;IF(W161&gt;=70," [過熱]",IF(W161&lt;=30," [売られ過ぎ]",""))&amp;" 前日比:"&amp;TEXT(Z161,"+0.0;-0.0;0.0")&amp;"%"&amp;IF(V161="年初来安値圏●"," [年初来安値圏]",IF(V161="安値圏"," [安値圏]",""))&amp;IF(OR(AO161="通常",AO161="-"),""," ["&amp;AO161&amp;"]")&amp;IF(OR(AT161="通常",AT161="-"),"","前日["&amp;AT161&amp;"]")&amp;" ["&amp;T161&amp;"点]")</f>
        <v>相場上昇・見送り | もみ合い→ MACD- RSI:34.7 前日比:+0.6%前日[長い下ヒゲ(反発)] [3点]</v>
      </c>
      <c r="Z161" s="331">
        <f>IF(AND(E161&lt;&gt;"",G161&lt;&gt;"",G161&lt;&gt;0),(E161-G161)/G161*100,"")</f>
        <v>0.55074744295830058</v>
      </c>
      <c r="AA161" s="325" t="str">
        <f>IF(OR(C161="",E161="",E161=0),"",IF(E161&gt;G161,"上昇▲",IF(E161&lt;G161,"下落▼","横ばい→")))</f>
        <v>上昇▲</v>
      </c>
      <c r="AB161" s="326">
        <f>IF(OR(C161="",C161="TOPX",終値!E187=""),"",IFERROR(((終値!E187*0.333)+(終値!F187*0.222)+(終値!G187*0.148)+(終値!H187*0.099)+(終値!I187*0.066))/(0.333+0.222+0.148+0.099+0.066),""))</f>
        <v>637.38467741935483</v>
      </c>
      <c r="AC161" s="326">
        <f>IF(OR(C161="",C161="TOPX",終値!E187=""),"",IFERROR(SUMPRODUCT((終値!E187:AC187),{0.077,0.071,0.065,0.06,0.055,0.051,0.047,0.043,0.039,0.036,0.033,0.031,0.028,0.026,0.024,0.022,0.02,0.018,0.017,0.016,0.014,0.013,0.012,0.011,0.01})/SUM({0.077,0.071,0.065,0.06,0.055,0.051,0.047,0.043,0.039,0.036,0.033,0.031,0.028,0.026,0.024,0.022,0.02,0.018,0.017,0.016,0.014,0.013,0.012,0.011,0.01}),""))</f>
        <v>661.73945172824767</v>
      </c>
      <c r="AD161" s="325" t="str">
        <f>IF(OR(C161="",AB161="",AC161="",AB161=0,AC161=0),"",IF(AND(E161&gt;AB161,AB161&gt;AC161),"パーフェクト▲",IF(E161&gt;AC161,"上昇トレンド▲",IF(AND(E161&lt;AB161,AB161&lt;AC161),"下降トレンド▼","もみ合い→"))))</f>
        <v>もみ合い→</v>
      </c>
      <c r="AE161" s="325" t="str">
        <f>IF(OR(C161="",AB161="",AC161=""),"",IF(AND(ABS(E161-AC161)/AC161&lt;=0.02,E161&lt;AC161),"25日戻り売り★",IF(AND(ABS(E161-AB161)/AB161&lt;=0.01,E161&lt;AB161),"5日戻り売り○","なし")))</f>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相場上昇・見送り</v>
      </c>
      <c r="AG161">
        <f>IF(AND(T161&gt;=7,C161&lt;&gt;""),T161,0)</f>
        <v>0</v>
      </c>
      <c r="AH161">
        <f>IF(AG161&gt;0,AG161*10000-ROW(A161),0)</f>
        <v>0</v>
      </c>
      <c r="AI161" s="373">
        <f t="array" ref="AI161">IF(C161="","",IFERROR((INDEX(終値!$E:$E,MATCH(TEXT(C161,"0"),終値!$A:$A,0))-INDEX(終値!$E:$CZ,MATCH(TEXT(C161,"0"),終値!$A:$A,0),$AN$2))/INDEX(終値!$E:$CZ,MATCH(TEXT(C161,"0"),終値!$A:$A,0),$AN$2)*100,""))</f>
        <v>0.58240201479616649</v>
      </c>
      <c r="AJ161" s="373">
        <f t="array" ref="AJ161">IFERROR((終値!$E$5-INDEX(終値!$E$5:$IT$5,1,$AN$2))/INDEX(終値!$E$5:$IT$5,1,$AN$2)*100,"")</f>
        <v>1.0179378228534113</v>
      </c>
      <c r="AK161" s="374">
        <f>IF(OR(AI161="",AJ161=""),"",AI161-AJ161)</f>
        <v>-0.43553580805724479</v>
      </c>
      <c r="AL161" s="372">
        <f>IF(AK161="","",IF(AK161&lt;-5,3,IF(AK161&lt;0,1,IF(AK161&lt;3,-1,-2))))</f>
        <v>1</v>
      </c>
      <c r="AO161" s="376" t="str">
        <f>IF(OR($C161="",$E161="",$F161="",$H161="",$I161="",$H161-$I161&lt;=0),"-",IF(AND($H161-MAX($F161,$E161)&gt;=ABS($E161-$F161)*2,MIN($F161,$E161)-$I161&lt;=ABS($E161-$F161)*0.5,ABS($E161-$F161)&gt;0),"上ヒゲ陰線▼",IF(AND($E161&lt;$F161,ABS($E161-$F161)&gt;=($H161-$I161)*0.7),"大陰線▼",IF(AND(MIN($F161,$E161)-$I161&gt;=($H161-$I161)*0.5,$H161-MAX($F161,$E161)&lt;=($H161-$I161)*0.2),"長い下ヒゲ(反発警戒)","通常"))))</f>
        <v>通常</v>
      </c>
      <c r="AP161" s="377">
        <f>IF($AO161="上ヒゲ陰線▼",2,IF($AO161="大陰線▼",2,IF($AO161="長い下ヒゲ(反発警戒)",-2,0)))</f>
        <v>0</v>
      </c>
      <c r="AQ161">
        <f>IF(C161&lt;&gt;"",始値!F187,"")</f>
        <v>637</v>
      </c>
      <c r="AR161">
        <f>IF(C161&lt;&gt;"",高値!F187,"")</f>
        <v>637</v>
      </c>
      <c r="AS161">
        <f>IF(C161&lt;&gt;"",安値!F187,"")</f>
        <v>629.29999999999995</v>
      </c>
      <c r="AT161" t="str">
        <f>IF(OR(C161="",AQ161="",AR161="",AS161="",AR161-AS161&lt;=0),"-",IF(AND(AR161-MAX(G161,AQ161)&gt;=ABS(G161-AQ161)*2,MIN(G161,AQ161)-AS161&lt;=ABS(G161-AQ161)*0.5,ABS(G161-AQ161)&gt;0),"上ヒゲ陰線▼",IF(AND(G161&lt;AQ161,ABS(G161-AQ161)&gt;=(AR161-AS161)*0.7),"大陰線▼",IF(AND(MIN(G161,AQ161)-AS161&gt;=(AR161-AS161)*0.5,AR161-MAX(G161,AQ161)&lt;=(AR161-AS161)*0.2),"長い下ヒゲ(反発)","通常"))))</f>
        <v>長い下ヒゲ(反発)</v>
      </c>
      <c r="AU161">
        <f>IF(AT161="上ヒゲ陰線▼",2,IF(AT161="大陰線▼",2,IF(AT161="長い下ヒゲ(反発)",-2,0)))</f>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634.9</v>
      </c>
      <c r="F162" s="333">
        <f>IF(C162&lt;&gt;"",_xll.RssMarket(C162,"始値"),"")</f>
        <v>619</v>
      </c>
      <c r="G162" s="212">
        <f>IF(C162&lt;&gt;"",終値!F188,"")</f>
        <v>621.6</v>
      </c>
      <c r="H162" s="333">
        <f>IF(C162&lt;&gt;"",_xll.RssMarket(C162,"高値"),"")</f>
        <v>634.9</v>
      </c>
      <c r="I162" s="333">
        <f>IF(C162&lt;&gt;"",_xll.RssMarket(C162,"安値"),"")</f>
        <v>613.4</v>
      </c>
      <c r="J162" s="333">
        <f>IF(C162&lt;&gt;"",_xll.RssMarket(C162,"出来高"),"")</f>
        <v>3164500</v>
      </c>
      <c r="K162" s="333">
        <f>IF(C162&lt;&gt;"",_xll.RssMarket(C162,"年初来高値"),"")</f>
        <v>830.5</v>
      </c>
      <c r="L162" s="334">
        <f>IF(AND(E162&lt;&gt;"",K162&lt;&gt;"",K162&lt;&gt;0),(E162-K162)/K162*100,"")</f>
        <v>-23.552077062010842</v>
      </c>
      <c r="M162" s="333">
        <f>IF(C162&lt;&gt;"",IFERROR(AVERAGE(出来高!E188:I188),""),"")</f>
        <v>3302160</v>
      </c>
      <c r="N162" s="333">
        <f>IF(C162&lt;&gt;"",IFERROR(AVERAGE(出来高!E188:AC188),""),"")</f>
        <v>3311376</v>
      </c>
      <c r="O162" s="335">
        <f>IF(AND(J162&lt;&gt;"",M162&lt;&gt;"",M162&lt;&gt;0),J162/M162,"")</f>
        <v>0.95831213508733681</v>
      </c>
      <c r="P162" s="212" t="str">
        <f>IF(O162="","",IF(O162&gt;=2,"急増↑↑",IF(O162&gt;=1.5,"増加↑",IF(O162&gt;=1,"普通→","減少↓"))))</f>
        <v>減少↓</v>
      </c>
      <c r="Q162" s="212" t="str">
        <f>IF(E162="","",IF(AND(E162&lt;G162,O162&gt;=1.5),"売り▼",IF(E162&gt;G162,"様子見▲","中立→")))</f>
        <v>様子見▲</v>
      </c>
      <c r="R162" s="333">
        <f>IF(E162&lt;&gt;"",ROUND(E162*0.92,0),"")</f>
        <v>584</v>
      </c>
      <c r="S162" s="333">
        <f>IF(E162&lt;&gt;"",ROUND(E162*1.04,0),"")</f>
        <v>660</v>
      </c>
      <c r="T162" s="325">
        <f>IF(C162="","",IFERROR(IF(W162&gt;=70,3,IF(W162&gt;=60,2,IF(W162&gt;=50,1,0)))+IF(X162&lt;0,2,0)+IF(AD162="下降トレンド▼",3,IF(AD162="もみ合い→",1,0))+IF(V162="年初来安値圏●",3,IF(V162="安値圏",2,0))+IF(Q162="売り▼",2,0)+IF(P162="急増↑↑",2,IF(P162="増加↑",1,0))+IF(Z162&lt;0,1,0)+IF(L162&lt;=-30,2,IF(L162&lt;=-15,1,0))+IF(AE162="25日戻り売り★",2,IF(AE162="5日戻り売り○",1,0))+N(AL162)+N(AP162)+N(AU162),0))</f>
        <v>6</v>
      </c>
      <c r="U162" s="212" t="str">
        <f>IF(T162="","",IF(AND(T162&gt;=3,O162&gt;=1.5),"有効",IF(T162&gt;=3,"要確認","除外")))</f>
        <v>要確認</v>
      </c>
      <c r="V162" s="212" t="str">
        <f>IF(AND(I162&lt;&gt;"",K162&lt;&gt;""),IF(I162&lt;=K162*0.6,"年初来安値圏●",IF(I162&lt;=K162*0.75,"安値圏","通常")),"")</f>
        <v>安値圏</v>
      </c>
      <c r="W162" s="336">
        <f t="array" ref="W162">IFERROR(100-100/(1+SUMPRODUCT((終値!F188:R188&gt;終値!G188:S188)*(終値!F188:R188-終値!G188:S188))/SUMPRODUCT((終値!F188:R188&lt;終値!G188:S188)*(終値!G188:S188-終値!F188:R188))),50)</f>
        <v>44.086021505376358</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-2.3530795378105722</v>
      </c>
      <c r="Y162" s="212" t="str">
        <f>IF(AF162="","",AF162&amp;" | "&amp;AD162&amp;IF(AE162&lt;&gt;"なし"," "&amp;AE162,"")&amp;IF(X162&lt;0," MACD-"," MACD+")&amp;" RSI:"&amp;TEXT(W162,"0.0")&amp;IF(W162&gt;=70," [過熱]",IF(W162&lt;=30," [売られ過ぎ]",""))&amp;" 前日比:"&amp;TEXT(Z162,"+0.0;-0.0;0.0")&amp;"%"&amp;IF(V162="年初来安値圏●"," [年初来安値圏]",IF(V162="安値圏"," [安値圏]",""))&amp;IF(OR(AO162="通常",AO162="-"),""," ["&amp;AO162&amp;"]")&amp;IF(OR(AT162="通常",AT162="-"),"","前日["&amp;AT162&amp;"]")&amp;" ["&amp;T162&amp;"点]")</f>
        <v>相場上昇・見送り | パーフェクト▲ MACD- RSI:44.1 前日比:+2.1% [安値圏] [6点]</v>
      </c>
      <c r="Z162" s="338">
        <f>IF(AND(E162&lt;&gt;"",G162&lt;&gt;"",G162&lt;&gt;0),(E162-G162)/G162*100,"")</f>
        <v>2.1396396396396322</v>
      </c>
      <c r="AA162" s="212" t="str">
        <f>IF(OR(C162="",E162="",E162=0),"",IF(E162&gt;G162,"上昇▲",IF(E162&lt;G162,"下落▼","横ばい→")))</f>
        <v>上昇▲</v>
      </c>
      <c r="AB162" s="333">
        <f>IF(OR(C162="",C162="TOPX",終値!E188=""),"",IFERROR(((終値!E188*0.333)+(終値!F188*0.222)+(終値!G188*0.148)+(終値!H188*0.099)+(終値!I188*0.066))/(0.333+0.222+0.148+0.099+0.066),""))</f>
        <v>625.96520737327182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625.54815256257416</v>
      </c>
      <c r="AD162" s="212" t="str">
        <f>IF(OR(C162="",AB162="",AC162="",AB162=0,AC162=0),"",IF(AND(E162&gt;AB162,AB162&gt;AC162),"パーフェクト▲",IF(E162&gt;AC162,"上昇トレンド▲",IF(AND(E162&lt;AB162,AB162&lt;AC162),"下降トレンド▼","もみ合い→"))))</f>
        <v>パーフェクト▲</v>
      </c>
      <c r="AE162" s="212" t="str">
        <f>IF(OR(C162="",AB162="",AC162=""),"",IF(AND(ABS(E162-AC162)/AC162&lt;=0.02,E162&lt;AC162),"25日戻り売り★",IF(AND(ABS(E162-AB162)/AB162&lt;=0.01,E162&lt;AB162),"5日戻り売り○","なし")))</f>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相場上昇・見送り</v>
      </c>
      <c r="AG162">
        <f>IF(AND(T162&gt;=7,C162&lt;&gt;""),T162,0)</f>
        <v>0</v>
      </c>
      <c r="AH162">
        <f>IF(AG162&gt;0,AG162*10000-ROW(A162),0)</f>
        <v>0</v>
      </c>
      <c r="AI162" s="373">
        <f t="array" ref="AI162">IF(C162="","",IFERROR((INDEX(終値!$E:$E,MATCH(TEXT(C162,"0"),終値!$A:$A,0))-INDEX(終値!$E:$CZ,MATCH(TEXT(C162,"0"),終値!$A:$A,0),$AN$2))/INDEX(終値!$E:$CZ,MATCH(TEXT(C162,"0"),終値!$A:$A,0),$AN$2)*100,""))</f>
        <v>-0.20433825840931596</v>
      </c>
      <c r="AJ162" s="373">
        <f t="array" ref="AJ162">IFERROR((終値!$E$5-INDEX(終値!$E$5:$IT$5,1,$AN$2))/INDEX(終値!$E$5:$IT$5,1,$AN$2)*100,"")</f>
        <v>1.0179378228534113</v>
      </c>
      <c r="AK162" s="374">
        <f>IF(OR(AI162="",AJ162=""),"",AI162-AJ162)</f>
        <v>-1.2222760812627271</v>
      </c>
      <c r="AL162" s="372">
        <f>IF(AK162="","",IF(AK162&lt;-5,3,IF(AK162&lt;0,1,IF(AK162&lt;3,-1,-2))))</f>
        <v>1</v>
      </c>
      <c r="AO162" s="376" t="str">
        <f>IF(OR($C162="",$E162="",$F162="",$H162="",$I162="",$H162-$I162&lt;=0),"-",IF(AND($H162-MAX($F162,$E162)&gt;=ABS($E162-$F162)*2,MIN($F162,$E162)-$I162&lt;=ABS($E162-$F162)*0.5,ABS($E162-$F162)&gt;0),"上ヒゲ陰線▼",IF(AND($E162&lt;$F162,ABS($E162-$F162)&gt;=($H162-$I162)*0.7),"大陰線▼",IF(AND(MIN($F162,$E162)-$I162&gt;=($H162-$I162)*0.5,$H162-MAX($F162,$E162)&lt;=($H162-$I162)*0.2),"長い下ヒゲ(反発警戒)","通常"))))</f>
        <v>通常</v>
      </c>
      <c r="AP162" s="377">
        <f>IF($AO162="上ヒゲ陰線▼",2,IF($AO162="大陰線▼",2,IF($AO162="長い下ヒゲ(反発警戒)",-2,0)))</f>
        <v>0</v>
      </c>
      <c r="AQ162">
        <f>IF(C162&lt;&gt;"",始値!F188,"")</f>
        <v>617</v>
      </c>
      <c r="AR162">
        <f>IF(C162&lt;&gt;"",高値!F188,"")</f>
        <v>632.9</v>
      </c>
      <c r="AS162">
        <f>IF(C162&lt;&gt;"",安値!F188,"")</f>
        <v>612.5</v>
      </c>
      <c r="AT162" t="str">
        <f>IF(OR(C162="",AQ162="",AR162="",AS162="",AR162-AS162&lt;=0),"-",IF(AND(AR162-MAX(G162,AQ162)&gt;=ABS(G162-AQ162)*2,MIN(G162,AQ162)-AS162&lt;=ABS(G162-AQ162)*0.5,ABS(G162-AQ162)&gt;0),"上ヒゲ陰線▼",IF(AND(G162&lt;AQ162,ABS(G162-AQ162)&gt;=(AR162-AS162)*0.7),"大陰線▼",IF(AND(MIN(G162,AQ162)-AS162&gt;=(AR162-AS162)*0.5,AR162-MAX(G162,AQ162)&lt;=(AR162-AS162)*0.2),"長い下ヒゲ(反発)","通常"))))</f>
        <v>通常</v>
      </c>
      <c r="AU162">
        <f>IF(AT162="上ヒゲ陰線▼",2,IF(AT162="大陰線▼",2,IF(AT162="長い下ヒゲ(反発)",-2,0)))</f>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1892.5</v>
      </c>
      <c r="F163" s="326">
        <f>IF(C163&lt;&gt;"",_xll.RssMarket(C163,"始値"),"")</f>
        <v>1890</v>
      </c>
      <c r="G163" s="325">
        <f>IF(C163&lt;&gt;"",終値!F189,"")</f>
        <v>1880</v>
      </c>
      <c r="H163" s="326">
        <f>IF(C163&lt;&gt;"",_xll.RssMarket(C163,"高値"),"")</f>
        <v>1904.5</v>
      </c>
      <c r="I163" s="326">
        <f>IF(C163&lt;&gt;"",_xll.RssMarket(C163,"安値"),"")</f>
        <v>1840</v>
      </c>
      <c r="J163" s="326">
        <f>IF(C163&lt;&gt;"",_xll.RssMarket(C163,"出来高"),"")</f>
        <v>2459100</v>
      </c>
      <c r="K163" s="326">
        <f>IF(C163&lt;&gt;"",_xll.RssMarket(C163,"年初来高値"),"")</f>
        <v>2275</v>
      </c>
      <c r="L163" s="327">
        <f>IF(AND(E163&lt;&gt;"",K163&lt;&gt;"",K163&lt;&gt;0),(E163-K163)/K163*100,"")</f>
        <v>-16.813186813186814</v>
      </c>
      <c r="M163" s="326">
        <f>IF(C163&lt;&gt;"",IFERROR(AVERAGE(出来高!E189:I189),""),"")</f>
        <v>2093260</v>
      </c>
      <c r="N163" s="326">
        <f>IF(C163&lt;&gt;"",IFERROR(AVERAGE(出来高!E189:AC189),""),"")</f>
        <v>1468836</v>
      </c>
      <c r="O163" s="328">
        <f>IF(AND(J163&lt;&gt;"",M163&lt;&gt;"",M163&lt;&gt;0),J163/M163,"")</f>
        <v>1.1747704537420101</v>
      </c>
      <c r="P163" s="325" t="str">
        <f>IF(O163="","",IF(O163&gt;=2,"急増↑↑",IF(O163&gt;=1.5,"増加↑",IF(O163&gt;=1,"普通→","減少↓"))))</f>
        <v>普通→</v>
      </c>
      <c r="Q163" s="325" t="str">
        <f>IF(E163="","",IF(AND(E163&lt;G163,O163&gt;=1.5),"売り▼",IF(E163&gt;G163,"様子見▲","中立→")))</f>
        <v>様子見▲</v>
      </c>
      <c r="R163" s="326">
        <f>IF(E163&lt;&gt;"",ROUND(E163*0.92,0),"")</f>
        <v>1741</v>
      </c>
      <c r="S163" s="326">
        <f>IF(E163&lt;&gt;"",ROUND(E163*1.04,0),"")</f>
        <v>1968</v>
      </c>
      <c r="T163" s="325">
        <f>IF(C163="","",IFERROR(IF(W163&gt;=70,3,IF(W163&gt;=60,2,IF(W163&gt;=50,1,0)))+IF(X163&lt;0,2,0)+IF(AD163="下降トレンド▼",3,IF(AD163="もみ合い→",1,0))+IF(V163="年初来安値圏●",3,IF(V163="安値圏",2,0))+IF(Q163="売り▼",2,0)+IF(P163="急増↑↑",2,IF(P163="増加↑",1,0))+IF(Z163&lt;0,1,0)+IF(L163&lt;=-30,2,IF(L163&lt;=-15,1,0))+IF(AE163="25日戻り売り★",2,IF(AE163="5日戻り売り○",1,0))+N(AL163)+N(AP163)+N(AU163),0))</f>
        <v>1</v>
      </c>
      <c r="U163" s="325" t="str">
        <f>IF(T163="","",IF(AND(T163&gt;=3,O163&gt;=1.5),"有効",IF(T163&gt;=3,"要確認","除外")))</f>
        <v>除外</v>
      </c>
      <c r="V163" s="325" t="str">
        <f>IF(AND(I163&lt;&gt;"",K163&lt;&gt;""),IF(I163&lt;=K163*0.6,"年初来安値圏●",IF(I163&lt;=K163*0.75,"安値圏","通常")),"")</f>
        <v>通常</v>
      </c>
      <c r="W163" s="329">
        <f t="array" ref="W163">IFERROR(100-100/(1+SUMPRODUCT((終値!F189:R189&gt;終値!G189:S189)*(終値!F189:R189-終値!G189:S189))/SUMPRODUCT((終値!F189:R189&lt;終値!G189:S189)*(終値!G189:S189-終値!F189:R189))),50)</f>
        <v>41.289701636188646</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2.786810566830809</v>
      </c>
      <c r="Y163" s="325" t="str">
        <f>IF(AF163="","",AF163&amp;" | "&amp;AD163&amp;IF(AE163&lt;&gt;"なし"," "&amp;AE163,"")&amp;IF(X163&lt;0," MACD-"," MACD+")&amp;" RSI:"&amp;TEXT(W163,"0.0")&amp;IF(W163&gt;=70," [過熱]",IF(W163&lt;=30," [売られ過ぎ]",""))&amp;" 前日比:"&amp;TEXT(Z163,"+0.0;-0.0;0.0")&amp;"%"&amp;IF(V163="年初来安値圏●"," [年初来安値圏]",IF(V163="安値圏"," [安値圏]",""))&amp;IF(OR(AO163="通常",AO163="-"),""," ["&amp;AO163&amp;"]")&amp;IF(OR(AT163="通常",AT163="-"),"","前日["&amp;AT163&amp;"]")&amp;" ["&amp;T163&amp;"点]")</f>
        <v>相場上昇・見送り | 下降トレンド▼ MACD+ RSI:41.3 前日比:+0.7% [長い下ヒゲ(反発警戒)] [1点]</v>
      </c>
      <c r="Z163" s="331">
        <f>IF(AND(E163&lt;&gt;"",G163&lt;&gt;"",G163&lt;&gt;0),(E163-G163)/G163*100,"")</f>
        <v>0.66489361702127658</v>
      </c>
      <c r="AA163" s="325" t="str">
        <f>IF(OR(C163="",E163="",E163=0),"",IF(E163&gt;G163,"上昇▲",IF(E163&lt;G163,"下落▼","横ばい→")))</f>
        <v>上昇▲</v>
      </c>
      <c r="AB163" s="326">
        <f>IF(OR(C163="",C163="TOPX",終値!E189=""),"",IFERROR(((終値!E189*0.333)+(終値!F189*0.222)+(終値!G189*0.148)+(終値!H189*0.099)+(終値!I189*0.066))/(0.333+0.222+0.148+0.099+0.066),""))</f>
        <v>1923.6203917050686</v>
      </c>
      <c r="AC163" s="326">
        <f>IF(OR(C163="",C163="TOPX",終値!E189=""),"",IFERROR(SUMPRODUCT((終値!E189:AC189),{0.077,0.071,0.065,0.06,0.055,0.051,0.047,0.043,0.039,0.036,0.033,0.031,0.028,0.026,0.024,0.022,0.02,0.018,0.017,0.016,0.014,0.013,0.012,0.011,0.01})/SUM({0.077,0.071,0.065,0.06,0.055,0.051,0.047,0.043,0.039,0.036,0.033,0.031,0.028,0.026,0.024,0.022,0.02,0.018,0.017,0.016,0.014,0.013,0.012,0.011,0.01}),""))</f>
        <v>2002.9851013110836</v>
      </c>
      <c r="AD163" s="325" t="str">
        <f>IF(OR(C163="",AB163="",AC163="",AB163=0,AC163=0),"",IF(AND(E163&gt;AB163,AB163&gt;AC163),"パーフェクト▲",IF(E163&gt;AC163,"上昇トレンド▲",IF(AND(E163&lt;AB163,AB163&lt;AC163),"下降トレンド▼","もみ合い→"))))</f>
        <v>下降トレンド▼</v>
      </c>
      <c r="AE163" s="325" t="str">
        <f>IF(OR(C163="",AB163="",AC163=""),"",IF(AND(ABS(E163-AC163)/AC163&lt;=0.02,E163&lt;AC163),"25日戻り売り★",IF(AND(ABS(E163-AB163)/AB163&lt;=0.01,E163&lt;AB163),"5日戻り売り○","なし")))</f>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相場上昇・見送り</v>
      </c>
      <c r="AG163">
        <f>IF(AND(T163&gt;=7,C163&lt;&gt;""),T163,0)</f>
        <v>0</v>
      </c>
      <c r="AH163">
        <f>IF(AG163&gt;0,AG163*10000-ROW(A163),0)</f>
        <v>0</v>
      </c>
      <c r="AI163" s="373">
        <f t="array" ref="AI163">IF(C163="","",IFERROR((INDEX(終値!$E:$E,MATCH(TEXT(C163,"0"),終値!$A:$A,0))-INDEX(終値!$E:$CZ,MATCH(TEXT(C163,"0"),終値!$A:$A,0),$AN$2))/INDEX(終値!$E:$CZ,MATCH(TEXT(C163,"0"),終値!$A:$A,0),$AN$2)*100,""))</f>
        <v>2.8812177222071211</v>
      </c>
      <c r="AJ163" s="373">
        <f t="array" ref="AJ163">IFERROR((終値!$E$5-INDEX(終値!$E$5:$IT$5,1,$AN$2))/INDEX(終値!$E$5:$IT$5,1,$AN$2)*100,"")</f>
        <v>1.0179378228534113</v>
      </c>
      <c r="AK163" s="374">
        <f>IF(OR(AI163="",AJ163=""),"",AI163-AJ163)</f>
        <v>1.8632798993537099</v>
      </c>
      <c r="AL163" s="372">
        <f>IF(AK163="","",IF(AK163&lt;-5,3,IF(AK163&lt;0,1,IF(AK163&lt;3,-1,-2))))</f>
        <v>-1</v>
      </c>
      <c r="AO163" s="376" t="str">
        <f>IF(OR($C163="",$E163="",$F163="",$H163="",$I163="",$H163-$I163&lt;=0),"-",IF(AND($H163-MAX($F163,$E163)&gt;=ABS($E163-$F163)*2,MIN($F163,$E163)-$I163&lt;=ABS($E163-$F163)*0.5,ABS($E163-$F163)&gt;0),"上ヒゲ陰線▼",IF(AND($E163&lt;$F163,ABS($E163-$F163)&gt;=($H163-$I163)*0.7),"大陰線▼",IF(AND(MIN($F163,$E163)-$I163&gt;=($H163-$I163)*0.5,$H163-MAX($F163,$E163)&lt;=($H163-$I163)*0.2),"長い下ヒゲ(反発警戒)","通常"))))</f>
        <v>長い下ヒゲ(反発警戒)</v>
      </c>
      <c r="AP163" s="377">
        <f>IF($AO163="上ヒゲ陰線▼",2,IF($AO163="大陰線▼",2,IF($AO163="長い下ヒゲ(反発警戒)",-2,0)))</f>
        <v>-2</v>
      </c>
      <c r="AQ163">
        <f>IF(C163&lt;&gt;"",始値!F189,"")</f>
        <v>1910</v>
      </c>
      <c r="AR163">
        <f>IF(C163&lt;&gt;"",高値!F189,"")</f>
        <v>1961.5</v>
      </c>
      <c r="AS163">
        <f>IF(C163&lt;&gt;"",安値!F189,"")</f>
        <v>1876</v>
      </c>
      <c r="AT163" t="str">
        <f>IF(OR(C163="",AQ163="",AR163="",AS163="",AR163-AS163&lt;=0),"-",IF(AND(AR163-MAX(G163,AQ163)&gt;=ABS(G163-AQ163)*2,MIN(G163,AQ163)-AS163&lt;=ABS(G163-AQ163)*0.5,ABS(G163-AQ163)&gt;0),"上ヒゲ陰線▼",IF(AND(G163&lt;AQ163,ABS(G163-AQ163)&gt;=(AR163-AS163)*0.7),"大陰線▼",IF(AND(MIN(G163,AQ163)-AS163&gt;=(AR163-AS163)*0.5,AR163-MAX(G163,AQ163)&lt;=(AR163-AS163)*0.2),"長い下ヒゲ(反発)","通常"))))</f>
        <v>通常</v>
      </c>
      <c r="AU163">
        <f>IF(AT163="上ヒゲ陰線▼",2,IF(AT163="大陰線▼",2,IF(AT163="長い下ヒゲ(反発)",-2,0)))</f>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5931</v>
      </c>
      <c r="F164" s="333">
        <f>IF(C164&lt;&gt;"",_xll.RssMarket(C164,"始値"),"")</f>
        <v>5750</v>
      </c>
      <c r="G164" s="212">
        <f>IF(C164&lt;&gt;"",終値!F206,"")</f>
        <v>5798</v>
      </c>
      <c r="H164" s="333">
        <f>IF(C164&lt;&gt;"",_xll.RssMarket(C164,"高値"),"")</f>
        <v>5950</v>
      </c>
      <c r="I164" s="333">
        <f>IF(C164&lt;&gt;"",_xll.RssMarket(C164,"安値"),"")</f>
        <v>5735</v>
      </c>
      <c r="J164" s="333">
        <f>IF(C164&lt;&gt;"",_xll.RssMarket(C164,"出来高"),"")</f>
        <v>3270400</v>
      </c>
      <c r="K164" s="333">
        <f>IF(C164&lt;&gt;"",_xll.RssMarket(C164,"年初来高値"),"")</f>
        <v>6394</v>
      </c>
      <c r="L164" s="334">
        <f>IF(AND(E164&lt;&gt;"",K164&lt;&gt;"",K164&lt;&gt;0),(E164-K164)/K164*100,"")</f>
        <v>-7.2411635908664369</v>
      </c>
      <c r="M164" s="333">
        <f>IF(C164&lt;&gt;"",IFERROR(AVERAGE(出来高!E206:I206),""),"")</f>
        <v>4034420</v>
      </c>
      <c r="N164" s="333">
        <f>IF(C164&lt;&gt;"",IFERROR(AVERAGE(出来高!E206:AC206),""),"")</f>
        <v>2991568</v>
      </c>
      <c r="O164" s="335">
        <f>IF(AND(J164&lt;&gt;"",M164&lt;&gt;"",M164&lt;&gt;0),J164/M164,"")</f>
        <v>0.81062457552758516</v>
      </c>
      <c r="P164" s="212" t="str">
        <f>IF(O164="","",IF(O164&gt;=2,"急増↑↑",IF(O164&gt;=1.5,"増加↑",IF(O164&gt;=1,"普通→","減少↓"))))</f>
        <v>減少↓</v>
      </c>
      <c r="Q164" s="212" t="str">
        <f>IF(E164="","",IF(AND(E164&lt;G164,O164&gt;=1.5),"売り▼",IF(E164&gt;G164,"様子見▲","中立→")))</f>
        <v>様子見▲</v>
      </c>
      <c r="R164" s="333">
        <f>IF(E164&lt;&gt;"",ROUND(E164*0.92,0),"")</f>
        <v>5457</v>
      </c>
      <c r="S164" s="333">
        <f>IF(E164&lt;&gt;"",ROUND(E164*1.04,0),"")</f>
        <v>6168</v>
      </c>
      <c r="T164" s="325">
        <f>IF(C164="","",IFERROR(IF(W164&gt;=70,3,IF(W164&gt;=60,2,IF(W164&gt;=50,1,0)))+IF(X164&lt;0,2,0)+IF(AD164="下降トレンド▼",3,IF(AD164="もみ合い→",1,0))+IF(V164="年初来安値圏●",3,IF(V164="安値圏",2,0))+IF(Q164="売り▼",2,0)+IF(P164="急増↑↑",2,IF(P164="増加↑",1,0))+IF(Z164&lt;0,1,0)+IF(L164&lt;=-30,2,IF(L164&lt;=-15,1,0))+IF(AE164="25日戻り売り★",2,IF(AE164="5日戻り売り○",1,0))+N(AL164)+N(AP164)+N(AU164),0))</f>
        <v>2</v>
      </c>
      <c r="U164" s="212" t="str">
        <f>IF(T164="","",IF(AND(T164&gt;=3,O164&gt;=1.5),"有効",IF(T164&gt;=3,"要確認","除外")))</f>
        <v>除外</v>
      </c>
      <c r="V164" s="212" t="str">
        <f>IF(AND(I164&lt;&gt;"",K164&lt;&gt;""),IF(I164&lt;=K164*0.6,"年初来安値圏●",IF(I164&lt;=K164*0.75,"安値圏","通常")),"")</f>
        <v>通常</v>
      </c>
      <c r="W164" s="336">
        <f t="array" ref="W164">IFERROR(100-100/(1+SUMPRODUCT((終値!F206:R206&gt;終値!G206:S206)*(終値!F206:R206-終値!G206:S206))/SUMPRODUCT((終値!F206:R206&lt;終値!G206:S206)*(終値!G206:S206-終値!F206:R206))),50)</f>
        <v>59.181636726546905</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79.977748279527987</v>
      </c>
      <c r="Y164" s="212" t="str">
        <f>IF(AF164="","",AF164&amp;" | "&amp;AD164&amp;IF(AE164&lt;&gt;"なし"," "&amp;AE164,"")&amp;IF(X164&lt;0," MACD-"," MACD+")&amp;" RSI:"&amp;TEXT(W164,"0.0")&amp;IF(W164&gt;=70," [過熱]",IF(W164&lt;=30," [売られ過ぎ]",""))&amp;" 前日比:"&amp;TEXT(Z164,"+0.0;-0.0;0.0")&amp;"%"&amp;IF(V164="年初来安値圏●"," [年初来安値圏]",IF(V164="安値圏"," [安値圏]",""))&amp;IF(OR(AO164="通常",AO164="-"),""," ["&amp;AO164&amp;"]")&amp;IF(OR(AT164="通常",AT164="-"),"","前日["&amp;AT164&amp;"]")&amp;" ["&amp;T164&amp;"点]")</f>
        <v>相場上昇・見送り | 上昇トレンド▲ 5日戻り売り○ MACD+ RSI:59.2 前日比:+2.3%前日[大陰線▼] [2点]</v>
      </c>
      <c r="Z164" s="338">
        <f>IF(AND(E164&lt;&gt;"",G164&lt;&gt;"",G164&lt;&gt;0),(E164-G164)/G164*100,"")</f>
        <v>2.293894446360814</v>
      </c>
      <c r="AA164" s="212" t="str">
        <f>IF(OR(C164="",E164="",E164=0),"",IF(E164&gt;G164,"上昇▲",IF(E164&lt;G164,"下落▼","横ばい→")))</f>
        <v>上昇▲</v>
      </c>
      <c r="AB164" s="333">
        <f>IF(OR(C164="",C164="TOPX",終値!E206=""),"",IFERROR(((終値!E206*0.333)+(終値!F206*0.222)+(終値!G206*0.148)+(終値!H206*0.099)+(終値!I206*0.066))/(0.333+0.222+0.148+0.099+0.066),""))</f>
        <v>5938.2592165898614</v>
      </c>
      <c r="AC164" s="333">
        <f>IF(OR(C164="",C164="TOPX",終値!E206=""),"",IFERROR(SUMPRODUCT((終値!E206:AC206),{0.077,0.071,0.065,0.06,0.055,0.051,0.047,0.043,0.039,0.036,0.033,0.031,0.028,0.026,0.024,0.022,0.02,0.018,0.017,0.016,0.014,0.013,0.012,0.011,0.01})/SUM({0.077,0.071,0.065,0.06,0.055,0.051,0.047,0.043,0.039,0.036,0.033,0.031,0.028,0.026,0.024,0.022,0.02,0.018,0.017,0.016,0.014,0.013,0.012,0.011,0.01}),""))</f>
        <v>5838.280095351608</v>
      </c>
      <c r="AD164" s="212" t="str">
        <f>IF(OR(C164="",AB164="",AC164="",AB164=0,AC164=0),"",IF(AND(E164&gt;AB164,AB164&gt;AC164),"パーフェクト▲",IF(E164&gt;AC164,"上昇トレンド▲",IF(AND(E164&lt;AB164,AB164&lt;AC164),"下降トレンド▼","もみ合い→"))))</f>
        <v>上昇トレンド▲</v>
      </c>
      <c r="AE164" s="212" t="str">
        <f>IF(OR(C164="",AB164="",AC164=""),"",IF(AND(ABS(E164-AC164)/AC164&lt;=0.02,E164&lt;AC164),"25日戻り売り★",IF(AND(ABS(E164-AB164)/AB164&lt;=0.01,E164&lt;AB164),"5日戻り売り○","なし")))</f>
        <v>5日戻り売り○</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相場上昇・見送り</v>
      </c>
      <c r="AG164">
        <f>IF(AND(T164&gt;=7,C164&lt;&gt;""),T164,0)</f>
        <v>0</v>
      </c>
      <c r="AH164">
        <f>IF(AG164&gt;0,AG164*10000-ROW(A164),0)</f>
        <v>0</v>
      </c>
      <c r="AI164" s="373">
        <f t="array" ref="AI164">IF(C164="","",IFERROR((INDEX(終値!$E:$E,MATCH(TEXT(C164,"0"),終値!$A:$A,0))-INDEX(終値!$E:$CZ,MATCH(TEXT(C164,"0"),終値!$A:$A,0),$AN$2))/INDEX(終値!$E:$CZ,MATCH(TEXT(C164,"0"),終値!$A:$A,0),$AN$2)*100,""))</f>
        <v>16.751968503937007</v>
      </c>
      <c r="AJ164" s="373">
        <f t="array" ref="AJ164">IFERROR((終値!$E$5-INDEX(終値!$E$5:$IT$5,1,$AN$2))/INDEX(終値!$E$5:$IT$5,1,$AN$2)*100,"")</f>
        <v>1.0179378228534113</v>
      </c>
      <c r="AK164" s="374">
        <f>IF(OR(AI164="",AJ164=""),"",AI164-AJ164)</f>
        <v>15.734030681083595</v>
      </c>
      <c r="AL164" s="372">
        <f>IF(AK164="","",IF(AK164&lt;-5,3,IF(AK164&lt;0,1,IF(AK164&lt;3,-1,-2))))</f>
        <v>-2</v>
      </c>
      <c r="AO164" s="376" t="str">
        <f>IF(OR($C164="",$E164="",$F164="",$H164="",$I164="",$H164-$I164&lt;=0),"-",IF(AND($H164-MAX($F164,$E164)&gt;=ABS($E164-$F164)*2,MIN($F164,$E164)-$I164&lt;=ABS($E164-$F164)*0.5,ABS($E164-$F164)&gt;0),"上ヒゲ陰線▼",IF(AND($E164&lt;$F164,ABS($E164-$F164)&gt;=($H164-$I164)*0.7),"大陰線▼",IF(AND(MIN($F164,$E164)-$I164&gt;=($H164-$I164)*0.5,$H164-MAX($F164,$E164)&lt;=($H164-$I164)*0.2),"長い下ヒゲ(反発警戒)","通常"))))</f>
        <v>通常</v>
      </c>
      <c r="AP164" s="377">
        <f>IF($AO164="上ヒゲ陰線▼",2,IF($AO164="大陰線▼",2,IF($AO164="長い下ヒゲ(反発警戒)",-2,0)))</f>
        <v>0</v>
      </c>
      <c r="AQ164">
        <f>IF(C164&lt;&gt;"",始値!F206,"")</f>
        <v>5994</v>
      </c>
      <c r="AR164">
        <f>IF(C164&lt;&gt;"",高値!F206,"")</f>
        <v>6005</v>
      </c>
      <c r="AS164">
        <f>IF(C164&lt;&gt;"",安値!F206,"")</f>
        <v>5737</v>
      </c>
      <c r="AT164" t="str">
        <f>IF(OR(C164="",AQ164="",AR164="",AS164="",AR164-AS164&lt;=0),"-",IF(AND(AR164-MAX(G164,AQ164)&gt;=ABS(G164-AQ164)*2,MIN(G164,AQ164)-AS164&lt;=ABS(G164-AQ164)*0.5,ABS(G164-AQ164)&gt;0),"上ヒゲ陰線▼",IF(AND(G164&lt;AQ164,ABS(G164-AQ164)&gt;=(AR164-AS164)*0.7),"大陰線▼",IF(AND(MIN(G164,AQ164)-AS164&gt;=(AR164-AS164)*0.5,AR164-MAX(G164,AQ164)&lt;=(AR164-AS164)*0.2),"長い下ヒゲ(反発)","通常"))))</f>
        <v>大陰線▼</v>
      </c>
      <c r="AU164">
        <f>IF(AT164="上ヒゲ陰線▼",2,IF(AT164="大陰線▼",2,IF(AT164="長い下ヒゲ(反発)",-2,0)))</f>
        <v>2</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1752</v>
      </c>
      <c r="F165" s="326">
        <f>IF(C165&lt;&gt;"",_xll.RssMarket(C165,"始値"),"")</f>
        <v>1736</v>
      </c>
      <c r="G165" s="325">
        <f>IF(C165&lt;&gt;"",終値!F7,"")</f>
        <v>1723</v>
      </c>
      <c r="H165" s="326">
        <f>IF(C165&lt;&gt;"",_xll.RssMarket(C165,"高値"),"")</f>
        <v>1772</v>
      </c>
      <c r="I165" s="326">
        <f>IF(C165&lt;&gt;"",_xll.RssMarket(C165,"安値"),"")</f>
        <v>1732</v>
      </c>
      <c r="J165" s="326">
        <f>IF(C165&lt;&gt;"",_xll.RssMarket(C165,"出来高"),"")</f>
        <v>406000</v>
      </c>
      <c r="K165" s="326">
        <f>IF(C165&lt;&gt;"",_xll.RssMarket(C165,"年初来高値"),"")</f>
        <v>1973</v>
      </c>
      <c r="L165" s="327">
        <f>IF(AND(E165&lt;&gt;"",K165&lt;&gt;"",K165&lt;&gt;0),(E165-K165)/K165*100,"")</f>
        <v>-11.201216421692854</v>
      </c>
      <c r="M165" s="326">
        <f>IF(C165&lt;&gt;"",IFERROR(AVERAGE(出来高!E7:I7),""),"")</f>
        <v>388500</v>
      </c>
      <c r="N165" s="326">
        <f>IF(C165&lt;&gt;"",IFERROR(AVERAGE(出来高!E7:AC7),""),"")</f>
        <v>396324</v>
      </c>
      <c r="O165" s="328">
        <f>IF(AND(J165&lt;&gt;"",M165&lt;&gt;"",M165&lt;&gt;0),J165/M165,"")</f>
        <v>1.045045045045045</v>
      </c>
      <c r="P165" s="325" t="str">
        <f>IF(O165="","",IF(O165&gt;=2,"急増↑↑",IF(O165&gt;=1.5,"増加↑",IF(O165&gt;=1,"普通→","減少↓"))))</f>
        <v>普通→</v>
      </c>
      <c r="Q165" s="325" t="str">
        <f>IF(E165="","",IF(AND(E165&lt;G165,O165&gt;=1.5),"売り▼",IF(E165&gt;G165,"様子見▲","中立→")))</f>
        <v>様子見▲</v>
      </c>
      <c r="R165" s="326">
        <f>IF(E165&lt;&gt;"",ROUND(E165*0.92,0),"")</f>
        <v>1612</v>
      </c>
      <c r="S165" s="326">
        <f>IF(E165&lt;&gt;"",ROUND(E165*1.04,0),"")</f>
        <v>1822</v>
      </c>
      <c r="T165" s="325">
        <f>IF(C165="","",IFERROR(IF(W165&gt;=70,3,IF(W165&gt;=60,2,IF(W165&gt;=50,1,0)))+IF(X165&lt;0,2,0)+IF(AD165="下降トレンド▼",3,IF(AD165="もみ合い→",1,0))+IF(V165="年初来安値圏●",3,IF(V165="安値圏",2,0))+IF(Q165="売り▼",2,0)+IF(P165="急増↑↑",2,IF(P165="増加↑",1,0))+IF(Z165&lt;0,1,0)+IF(L165&lt;=-30,2,IF(L165&lt;=-15,1,0))+IF(AE165="25日戻り売り★",2,IF(AE165="5日戻り売り○",1,0))+N(AL165)+N(AP165)+N(AU165),0))</f>
        <v>1</v>
      </c>
      <c r="U165" s="325" t="str">
        <f>IF(T165="","",IF(AND(T165&gt;=3,O165&gt;=1.5),"有効",IF(T165&gt;=3,"要確認","除外")))</f>
        <v>除外</v>
      </c>
      <c r="V165" s="325" t="str">
        <f>IF(AND(I165&lt;&gt;"",K165&lt;&gt;""),IF(I165&lt;=K165*0.6,"年初来安値圏●",IF(I165&lt;=K165*0.75,"安値圏","通常")),"")</f>
        <v>通常</v>
      </c>
      <c r="W165" s="329">
        <f t="array" ref="W165">IFERROR(100-100/(1+SUMPRODUCT((終値!F7:R7&gt;終値!G7:S7)*(終値!F7:R7-終値!G7:S7))/SUMPRODUCT((終値!F7:R7&lt;終値!G7:S7)*(終値!G7:S7-終値!F7:R7))),50)</f>
        <v>43.567251461988306</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-0.61025756351455129</v>
      </c>
      <c r="Y165" s="325" t="str">
        <f>IF(AF165="","",AF165&amp;" | "&amp;AD165&amp;IF(AE165&lt;&gt;"なし"," "&amp;AE165,"")&amp;IF(X165&lt;0," MACD-"," MACD+")&amp;" RSI:"&amp;TEXT(W165,"0.0")&amp;IF(W165&gt;=70," [過熱]",IF(W165&lt;=30," [売られ過ぎ]",""))&amp;" 前日比:"&amp;TEXT(Z165,"+0.0;-0.0;0.0")&amp;"%"&amp;IF(V165="年初来安値圏●"," [年初来安値圏]",IF(V165="安値圏"," [安値圏]",""))&amp;IF(OR(AO165="通常",AO165="-"),""," ["&amp;AO165&amp;"]")&amp;IF(OR(AT165="通常",AT165="-"),"","前日["&amp;AT165&amp;"]")&amp;" ["&amp;T165&amp;"点]")</f>
        <v>相場上昇・見送り | 上昇トレンド▲ MACD- RSI:43.6 前日比:+1.7% [1点]</v>
      </c>
      <c r="Z165" s="331">
        <f>IF(AND(E165&lt;&gt;"",G165&lt;&gt;"",G165&lt;&gt;0),(E165-G165)/G165*100,"")</f>
        <v>1.6831108531630876</v>
      </c>
      <c r="AA165" s="325" t="str">
        <f>IF(OR(C165="",E165="",E165=0),"",IF(E165&gt;G165,"上昇▲",IF(E165&lt;G165,"下落▼","横ばい→")))</f>
        <v>上昇▲</v>
      </c>
      <c r="AB165" s="326">
        <f>IF(OR(C165="",C165="TOPX",終値!E7=""),"",IFERROR(((終値!E7*0.333)+(終値!F7*0.222)+(終値!G7*0.148)+(終値!H7*0.099)+(終値!I7*0.066))/(0.333+0.222+0.148+0.099+0.066),""))</f>
        <v>1728.8605990783408</v>
      </c>
      <c r="AC165" s="326">
        <f>IF(OR(C165="",C165="TOPX",終値!E7=""),"",IFERROR(SUMPRODUCT((終値!E7:AC7),{0.077,0.071,0.065,0.06,0.055,0.051,0.047,0.043,0.039,0.036,0.033,0.031,0.028,0.026,0.024,0.022,0.02,0.018,0.017,0.016,0.014,0.013,0.012,0.011,0.01})/SUM({0.077,0.071,0.065,0.06,0.055,0.051,0.047,0.043,0.039,0.036,0.033,0.031,0.028,0.026,0.024,0.022,0.02,0.018,0.017,0.016,0.014,0.013,0.012,0.011,0.01}),""))</f>
        <v>1735.6936829558997</v>
      </c>
      <c r="AD165" s="325" t="str">
        <f>IF(OR(C165="",AB165="",AC165="",AB165=0,AC165=0),"",IF(AND(E165&gt;AB165,AB165&gt;AC165),"パーフェクト▲",IF(E165&gt;AC165,"上昇トレンド▲",IF(AND(E165&lt;AB165,AB165&lt;AC165),"下降トレンド▼","もみ合い→"))))</f>
        <v>上昇トレンド▲</v>
      </c>
      <c r="AE165" s="325" t="str">
        <f>IF(OR(C165="",AB165="",AC165=""),"",IF(AND(ABS(E165-AC165)/AC165&lt;=0.02,E165&lt;AC165),"25日戻り売り★",IF(AND(ABS(E165-AB165)/AB165&lt;=0.01,E165&lt;AB165),"5日戻り売り○","なし")))</f>
        <v>なし</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相場上昇・見送り</v>
      </c>
      <c r="AG165">
        <f>IF(AND(T165&gt;=7,C165&lt;&gt;""),T165,0)</f>
        <v>0</v>
      </c>
      <c r="AH165">
        <f>IF(AG165&gt;0,AG165*10000-ROW(A165),0)</f>
        <v>0</v>
      </c>
      <c r="AI165" s="373">
        <f t="array" ref="AI165">IF(C165="","",IFERROR((INDEX(終値!$E:$E,MATCH(TEXT(C165,"0"),終値!$A:$A,0))-INDEX(終値!$E:$CZ,MATCH(TEXT(C165,"0"),終値!$A:$A,0),$AN$2))/INDEX(終値!$E:$CZ,MATCH(TEXT(C165,"0"),終値!$A:$A,0),$AN$2)*100,""))</f>
        <v>2.756598240469208</v>
      </c>
      <c r="AJ165" s="373">
        <f t="array" ref="AJ165">IFERROR((終値!$E$5-INDEX(終値!$E$5:$IT$5,1,$AN$2))/INDEX(終値!$E$5:$IT$5,1,$AN$2)*100,"")</f>
        <v>1.0179378228534113</v>
      </c>
      <c r="AK165" s="374">
        <f>IF(OR(AI165="",AJ165=""),"",AI165-AJ165)</f>
        <v>1.7386604176157967</v>
      </c>
      <c r="AL165" s="372">
        <f>IF(AK165="","",IF(AK165&lt;-5,3,IF(AK165&lt;0,1,IF(AK165&lt;3,-1,-2))))</f>
        <v>-1</v>
      </c>
      <c r="AO165" s="376" t="str">
        <f>IF(OR($C165="",$E165="",$F165="",$H165="",$I165="",$H165-$I165&lt;=0),"-",IF(AND($H165-MAX($F165,$E165)&gt;=ABS($E165-$F165)*2,MIN($F165,$E165)-$I165&lt;=ABS($E165-$F165)*0.5,ABS($E165-$F165)&gt;0),"上ヒゲ陰線▼",IF(AND($E165&lt;$F165,ABS($E165-$F165)&gt;=($H165-$I165)*0.7),"大陰線▼",IF(AND(MIN($F165,$E165)-$I165&gt;=($H165-$I165)*0.5,$H165-MAX($F165,$E165)&lt;=($H165-$I165)*0.2),"長い下ヒゲ(反発警戒)","通常"))))</f>
        <v>通常</v>
      </c>
      <c r="AP165" s="377">
        <f>IF($AO165="上ヒゲ陰線▼",2,IF($AO165="大陰線▼",2,IF($AO165="長い下ヒゲ(反発警戒)",-2,0)))</f>
        <v>0</v>
      </c>
      <c r="AQ165">
        <f>IF(C165&lt;&gt;"",始値!F7,"")</f>
        <v>1697</v>
      </c>
      <c r="AR165">
        <f>IF(C165&lt;&gt;"",高値!F7,"")</f>
        <v>1723</v>
      </c>
      <c r="AS165">
        <f>IF(C165&lt;&gt;"",安値!F7,"")</f>
        <v>1689</v>
      </c>
      <c r="AT165" t="str">
        <f>IF(OR(C165="",AQ165="",AR165="",AS165="",AR165-AS165&lt;=0),"-",IF(AND(AR165-MAX(G165,AQ165)&gt;=ABS(G165-AQ165)*2,MIN(G165,AQ165)-AS165&lt;=ABS(G165-AQ165)*0.5,ABS(G165-AQ165)&gt;0),"上ヒゲ陰線▼",IF(AND(G165&lt;AQ165,ABS(G165-AQ165)&gt;=(AR165-AS165)*0.7),"大陰線▼",IF(AND(MIN(G165,AQ165)-AS165&gt;=(AR165-AS165)*0.5,AR165-MAX(G165,AQ165)&lt;=(AR165-AS165)*0.2),"長い下ヒゲ(反発)","通常"))))</f>
        <v>通常</v>
      </c>
      <c r="AU165">
        <f>IF(AT165="上ヒゲ陰線▼",2,IF(AT165="大陰線▼",2,IF(AT165="長い下ヒゲ(反発)",-2,0)))</f>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3460</v>
      </c>
      <c r="F166" s="333">
        <f>IF(C166&lt;&gt;"",_xll.RssMarket(C166,"始値"),"")</f>
        <v>3400</v>
      </c>
      <c r="G166" s="212">
        <f>IF(C166&lt;&gt;"",終値!F12,"")</f>
        <v>3394</v>
      </c>
      <c r="H166" s="333">
        <f>IF(C166&lt;&gt;"",_xll.RssMarket(C166,"高値"),"")</f>
        <v>3460</v>
      </c>
      <c r="I166" s="333">
        <f>IF(C166&lt;&gt;"",_xll.RssMarket(C166,"安値"),"")</f>
        <v>3377</v>
      </c>
      <c r="J166" s="333">
        <f>IF(C166&lt;&gt;"",_xll.RssMarket(C166,"出来高"),"")</f>
        <v>3566500</v>
      </c>
      <c r="K166" s="333">
        <f>IF(C166&lt;&gt;"",_xll.RssMarket(C166,"年初来高値"),"")</f>
        <v>4955</v>
      </c>
      <c r="L166" s="334">
        <f>IF(AND(E166&lt;&gt;"",K166&lt;&gt;"",K166&lt;&gt;0),(E166-K166)/K166*100,"")</f>
        <v>-30.171543895055496</v>
      </c>
      <c r="M166" s="333">
        <f>IF(C166&lt;&gt;"",IFERROR(AVERAGE(出来高!E12:I12),""),"")</f>
        <v>3763060</v>
      </c>
      <c r="N166" s="333">
        <f>IF(C166&lt;&gt;"",IFERROR(AVERAGE(出来高!E12:AC12),""),"")</f>
        <v>4475644</v>
      </c>
      <c r="O166" s="335">
        <f>IF(AND(J166&lt;&gt;"",M166&lt;&gt;"",M166&lt;&gt;0),J166/M166,"")</f>
        <v>0.9477659139104877</v>
      </c>
      <c r="P166" s="212" t="str">
        <f>IF(O166="","",IF(O166&gt;=2,"急増↑↑",IF(O166&gt;=1.5,"増加↑",IF(O166&gt;=1,"普通→","減少↓"))))</f>
        <v>減少↓</v>
      </c>
      <c r="Q166" s="212" t="str">
        <f>IF(E166="","",IF(AND(E166&lt;G166,O166&gt;=1.5),"売り▼",IF(E166&gt;G166,"様子見▲","中立→")))</f>
        <v>様子見▲</v>
      </c>
      <c r="R166" s="333">
        <f>IF(E166&lt;&gt;"",ROUND(E166*0.92,0),"")</f>
        <v>3183</v>
      </c>
      <c r="S166" s="333">
        <f>IF(E166&lt;&gt;"",ROUND(E166*1.04,0),"")</f>
        <v>3598</v>
      </c>
      <c r="T166" s="325">
        <f>IF(C166="","",IFERROR(IF(W166&gt;=70,3,IF(W166&gt;=60,2,IF(W166&gt;=50,1,0)))+IF(X166&lt;0,2,0)+IF(AD166="下降トレンド▼",3,IF(AD166="もみ合い→",1,0))+IF(V166="年初来安値圏●",3,IF(V166="安値圏",2,0))+IF(Q166="売り▼",2,0)+IF(P166="急増↑↑",2,IF(P166="増加↑",1,0))+IF(Z166&lt;0,1,0)+IF(L166&lt;=-30,2,IF(L166&lt;=-15,1,0))+IF(AE166="25日戻り売り★",2,IF(AE166="5日戻り売り○",1,0))+N(AL166)+N(AP166)+N(AU166),0))</f>
        <v>7</v>
      </c>
      <c r="U166" s="212" t="str">
        <f>IF(T166="","",IF(AND(T166&gt;=3,O166&gt;=1.5),"有効",IF(T166&gt;=3,"要確認","除外")))</f>
        <v>要確認</v>
      </c>
      <c r="V166" s="212" t="str">
        <f>IF(AND(I166&lt;&gt;"",K166&lt;&gt;""),IF(I166&lt;=K166*0.6,"年初来安値圏●",IF(I166&lt;=K166*0.75,"安値圏","通常")),"")</f>
        <v>安値圏</v>
      </c>
      <c r="W166" s="336">
        <f t="array" ref="W166">IFERROR(100-100/(1+SUMPRODUCT((終値!F12:R12&gt;終値!G12:S12)*(終値!F12:R12-終値!G12:S12))/SUMPRODUCT((終値!F12:R12&lt;終値!G12:S12)*(終値!G12:S12-終値!F12:R12))),50)</f>
        <v>46.888888888888886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17.230927523196442</v>
      </c>
      <c r="Y166" s="212" t="str">
        <f>IF(AF166="","",AF166&amp;" | "&amp;AD166&amp;IF(AE166&lt;&gt;"なし"," "&amp;AE166,"")&amp;IF(X166&lt;0," MACD-"," MACD+")&amp;" RSI:"&amp;TEXT(W166,"0.0")&amp;IF(W166&gt;=70," [過熱]",IF(W166&lt;=30," [売られ過ぎ]",""))&amp;" 前日比:"&amp;TEXT(Z166,"+0.0;-0.0;0.0")&amp;"%"&amp;IF(V166="年初来安値圏●"," [年初来安値圏]",IF(V166="安値圏"," [安値圏]",""))&amp;IF(OR(AO166="通常",AO166="-"),""," ["&amp;AO166&amp;"]")&amp;IF(OR(AT166="通常",AT166="-"),"","前日["&amp;AT166&amp;"]")&amp;" ["&amp;T166&amp;"点]")</f>
        <v>★逆張り売り | 下降トレンド▼ 25日戻り売り★ MACD+ RSI:46.9 前日比:+1.9% [安値圏] [7点]</v>
      </c>
      <c r="Z166" s="338">
        <f>IF(AND(E166&lt;&gt;"",G166&lt;&gt;"",G166&lt;&gt;0),(E166-G166)/G166*100,"")</f>
        <v>1.9446081319976427</v>
      </c>
      <c r="AA166" s="212" t="str">
        <f>IF(OR(C166="",E166="",E166=0),"",IF(E166&gt;G166,"上昇▲",IF(E166&lt;G166,"下落▼","横ばい→")))</f>
        <v>上昇▲</v>
      </c>
      <c r="AB166" s="333">
        <f>IF(OR(C166="",C166="TOPX",終値!E12=""),"",IFERROR(((終値!E12*0.333)+(終値!F12*0.222)+(終値!G12*0.148)+(終値!H12*0.099)+(終値!I12*0.066))/(0.333+0.222+0.148+0.099+0.066),""))</f>
        <v>3468.0034562211977</v>
      </c>
      <c r="AC166" s="333">
        <f>IF(OR(C166="",C166="TOPX",終値!E12=""),"",IFERROR(SUMPRODUCT((終値!E12:AC12),{0.077,0.071,0.065,0.06,0.055,0.051,0.047,0.043,0.039,0.036,0.033,0.031,0.028,0.026,0.024,0.022,0.02,0.018,0.017,0.016,0.014,0.013,0.012,0.011,0.01})/SUM({0.077,0.071,0.065,0.06,0.055,0.051,0.047,0.043,0.039,0.036,0.033,0.031,0.028,0.026,0.024,0.022,0.02,0.018,0.017,0.016,0.014,0.013,0.012,0.011,0.01}),""))</f>
        <v>3516.251489868891</v>
      </c>
      <c r="AD166" s="212" t="str">
        <f>IF(OR(C166="",AB166="",AC166="",AB166=0,AC166=0),"",IF(AND(E166&gt;AB166,AB166&gt;AC166),"パーフェクト▲",IF(E166&gt;AC166,"上昇トレンド▲",IF(AND(E166&lt;AB166,AB166&lt;AC166),"下降トレンド▼","もみ合い→"))))</f>
        <v>下降トレンド▼</v>
      </c>
      <c r="AE166" s="212" t="str">
        <f>IF(OR(C166="",AB166="",AC166=""),"",IF(AND(ABS(E166-AC166)/AC166&lt;=0.02,E166&lt;AC166),"25日戻り売り★",IF(AND(ABS(E166-AB166)/AB166&lt;=0.01,E166&lt;AB166),"5日戻り売り○","なし")))</f>
        <v>25日戻り売り★</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★逆張り売り</v>
      </c>
      <c r="AG166">
        <f>IF(AND(T166&gt;=7,C166&lt;&gt;""),T166,0)</f>
        <v>7</v>
      </c>
      <c r="AH166">
        <f>IF(AG166&gt;0,AG166*10000-ROW(A166),0)</f>
        <v>69834</v>
      </c>
      <c r="AI166" s="373">
        <f t="array" ref="AI166">IF(C166="","",IFERROR((INDEX(終値!$E:$E,MATCH(TEXT(C166,"0"),終値!$A:$A,0))-INDEX(終値!$E:$CZ,MATCH(TEXT(C166,"0"),終値!$A:$A,0),$AN$2))/INDEX(終値!$E:$CZ,MATCH(TEXT(C166,"0"),終値!$A:$A,0),$AN$2)*100,""))</f>
        <v>7.9563182527301084</v>
      </c>
      <c r="AJ166" s="373">
        <f t="array" ref="AJ166">IFERROR((終値!$E$5-INDEX(終値!$E$5:$IT$5,1,$AN$2))/INDEX(終値!$E$5:$IT$5,1,$AN$2)*100,"")</f>
        <v>1.0179378228534113</v>
      </c>
      <c r="AK166" s="374">
        <f>IF(OR(AI166="",AJ166=""),"",AI166-AJ166)</f>
        <v>6.9383804298766973</v>
      </c>
      <c r="AL166" s="372">
        <f>IF(AK166="","",IF(AK166&lt;-5,3,IF(AK166&lt;0,1,IF(AK166&lt;3,-1,-2))))</f>
        <v>-2</v>
      </c>
      <c r="AO166" s="376" t="str">
        <f>IF(OR($C166="",$E166="",$F166="",$H166="",$I166="",$H166-$I166&lt;=0),"-",IF(AND($H166-MAX($F166,$E166)&gt;=ABS($E166-$F166)*2,MIN($F166,$E166)-$I166&lt;=ABS($E166-$F166)*0.5,ABS($E166-$F166)&gt;0),"上ヒゲ陰線▼",IF(AND($E166&lt;$F166,ABS($E166-$F166)&gt;=($H166-$I166)*0.7),"大陰線▼",IF(AND(MIN($F166,$E166)-$I166&gt;=($H166-$I166)*0.5,$H166-MAX($F166,$E166)&lt;=($H166-$I166)*0.2),"長い下ヒゲ(反発警戒)","通常"))))</f>
        <v>通常</v>
      </c>
      <c r="AP166" s="377">
        <f>IF($AO166="上ヒゲ陰線▼",2,IF($AO166="大陰線▼",2,IF($AO166="長い下ヒゲ(反発警戒)",-2,0)))</f>
        <v>0</v>
      </c>
      <c r="AQ166">
        <f>IF(C166&lt;&gt;"",始値!F12,"")</f>
        <v>3451</v>
      </c>
      <c r="AR166">
        <f>IF(C166&lt;&gt;"",高値!F12,"")</f>
        <v>3472</v>
      </c>
      <c r="AS166">
        <f>IF(C166&lt;&gt;"",安値!F12,"")</f>
        <v>3385</v>
      </c>
      <c r="AT166" t="str">
        <f>IF(OR(C166="",AQ166="",AR166="",AS166="",AR166-AS166&lt;=0),"-",IF(AND(AR166-MAX(G166,AQ166)&gt;=ABS(G166-AQ166)*2,MIN(G166,AQ166)-AS166&lt;=ABS(G166-AQ166)*0.5,ABS(G166-AQ166)&gt;0),"上ヒゲ陰線▼",IF(AND(G166&lt;AQ166,ABS(G166-AQ166)&gt;=(AR166-AS166)*0.7),"大陰線▼",IF(AND(MIN(G166,AQ166)-AS166&gt;=(AR166-AS166)*0.5,AR166-MAX(G166,AQ166)&lt;=(AR166-AS166)*0.2),"長い下ヒゲ(反発)","通常"))))</f>
        <v>通常</v>
      </c>
      <c r="AU166">
        <f>IF(AT166="上ヒゲ陰線▼",2,IF(AT166="大陰線▼",2,IF(AT166="長い下ヒゲ(反発)",-2,0)))</f>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4936</v>
      </c>
      <c r="F167" s="326">
        <f>IF(C167&lt;&gt;"",_xll.RssMarket(C167,"始値"),"")</f>
        <v>4800</v>
      </c>
      <c r="G167" s="325">
        <f>IF(C167&lt;&gt;"",終値!F14,"")</f>
        <v>4862</v>
      </c>
      <c r="H167" s="326">
        <f>IF(C167&lt;&gt;"",_xll.RssMarket(C167,"高値"),"")</f>
        <v>4960</v>
      </c>
      <c r="I167" s="326">
        <f>IF(C167&lt;&gt;"",_xll.RssMarket(C167,"安値"),"")</f>
        <v>4800</v>
      </c>
      <c r="J167" s="326">
        <f>IF(C167&lt;&gt;"",_xll.RssMarket(C167,"出来高"),"")</f>
        <v>5635700</v>
      </c>
      <c r="K167" s="326">
        <f>IF(C167&lt;&gt;"",_xll.RssMarket(C167,"年初来高値"),"")</f>
        <v>6328</v>
      </c>
      <c r="L167" s="327">
        <f>IF(AND(E167&lt;&gt;"",K167&lt;&gt;"",K167&lt;&gt;0),(E167-K167)/K167*100,"")</f>
        <v>-21.997471554993677</v>
      </c>
      <c r="M167" s="326">
        <f>IF(C167&lt;&gt;"",IFERROR(AVERAGE(出来高!E14:I14),""),"")</f>
        <v>8010600</v>
      </c>
      <c r="N167" s="326">
        <f>IF(C167&lt;&gt;"",IFERROR(AVERAGE(出来高!E14:AC14),""),"")</f>
        <v>5130076</v>
      </c>
      <c r="O167" s="328">
        <f>IF(AND(J167&lt;&gt;"",M167&lt;&gt;"",M167&lt;&gt;0),J167/M167,"")</f>
        <v>0.70353032232292212</v>
      </c>
      <c r="P167" s="325" t="str">
        <f>IF(O167="","",IF(O167&gt;=2,"急増↑↑",IF(O167&gt;=1.5,"増加↑",IF(O167&gt;=1,"普通→","減少↓"))))</f>
        <v>減少↓</v>
      </c>
      <c r="Q167" s="325" t="str">
        <f>IF(E167="","",IF(AND(E167&lt;G167,O167&gt;=1.5),"売り▼",IF(E167&gt;G167,"様子見▲","中立→")))</f>
        <v>様子見▲</v>
      </c>
      <c r="R167" s="326">
        <f>IF(E167&lt;&gt;"",ROUND(E167*0.92,0),"")</f>
        <v>4541</v>
      </c>
      <c r="S167" s="326">
        <f>IF(E167&lt;&gt;"",ROUND(E167*1.04,0),"")</f>
        <v>5133</v>
      </c>
      <c r="T167" s="325">
        <f>IF(C167="","",IFERROR(IF(W167&gt;=70,3,IF(W167&gt;=60,2,IF(W167&gt;=50,1,0)))+IF(X167&lt;0,2,0)+IF(AD167="下降トレンド▼",3,IF(AD167="もみ合い→",1,0))+IF(V167="年初来安値圏●",3,IF(V167="安値圏",2,0))+IF(Q167="売り▼",2,0)+IF(P167="急増↑↑",2,IF(P167="増加↑",1,0))+IF(Z167&lt;0,1,0)+IF(L167&lt;=-30,2,IF(L167&lt;=-15,1,0))+IF(AE167="25日戻り売り★",2,IF(AE167="5日戻り売り○",1,0))+N(AL167)+N(AP167)+N(AU167),0))</f>
        <v>1</v>
      </c>
      <c r="U167" s="325" t="str">
        <f>IF(T167="","",IF(AND(T167&gt;=3,O167&gt;=1.5),"有効",IF(T167&gt;=3,"要確認","除外")))</f>
        <v>除外</v>
      </c>
      <c r="V167" s="325" t="str">
        <f>IF(AND(I167&lt;&gt;"",K167&lt;&gt;""),IF(I167&lt;=K167*0.6,"年初来安値圏●",IF(I167&lt;=K167*0.75,"安値圏","通常")),"")</f>
        <v>通常</v>
      </c>
      <c r="W167" s="329">
        <f t="array" ref="W167">IFERROR(100-100/(1+SUMPRODUCT((終値!F14:R14&gt;終値!G14:S14)*(終値!F14:R14-終値!G14:S14))/SUMPRODUCT((終値!F14:R14&lt;終値!G14:S14)*(終値!G14:S14-終値!F14:R14))),50)</f>
        <v>39.752066115702483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12.541084385785325</v>
      </c>
      <c r="Y167" s="325" t="str">
        <f>IF(AF167="","",AF167&amp;" | "&amp;AD167&amp;IF(AE167&lt;&gt;"なし"," "&amp;AE167,"")&amp;IF(X167&lt;0," MACD-"," MACD+")&amp;" RSI:"&amp;TEXT(W167,"0.0")&amp;IF(W167&gt;=70," [過熱]",IF(W167&lt;=30," [売られ過ぎ]",""))&amp;" 前日比:"&amp;TEXT(Z167,"+0.0;-0.0;0.0")&amp;"%"&amp;IF(V167="年初来安値圏●"," [年初来安値圏]",IF(V167="安値圏"," [安値圏]",""))&amp;IF(OR(AO167="通常",AO167="-"),""," ["&amp;AO167&amp;"]")&amp;IF(OR(AT167="通常",AT167="-"),"","前日["&amp;AT167&amp;"]")&amp;" ["&amp;T167&amp;"点]")</f>
        <v>★逆張り売り | 下降トレンド▼ 5日戻り売り○ MACD+ RSI:39.8 前日比:+1.5%前日[長い下ヒゲ(反発)] [1点]</v>
      </c>
      <c r="Z167" s="331">
        <f>IF(AND(E167&lt;&gt;"",G167&lt;&gt;"",G167&lt;&gt;0),(E167-G167)/G167*100,"")</f>
        <v>1.5220074043603455</v>
      </c>
      <c r="AA167" s="325" t="str">
        <f>IF(OR(C167="",E167="",E167=0),"",IF(E167&gt;G167,"上昇▲",IF(E167&lt;G167,"下落▼","横ばい→")))</f>
        <v>上昇▲</v>
      </c>
      <c r="AB167" s="326">
        <f>IF(OR(C167="",C167="TOPX",終値!E14=""),"",IFERROR(((終値!E14*0.333)+(終値!F14*0.222)+(終値!G14*0.148)+(終値!H14*0.099)+(終値!I14*0.066))/(0.333+0.222+0.148+0.099+0.066),""))</f>
        <v>4959.7488479262665</v>
      </c>
      <c r="AC167" s="326">
        <f>IF(OR(C167="",C167="TOPX",終値!E14=""),"",IFERROR(SUMPRODUCT((終値!E14:AC14),{0.077,0.071,0.065,0.06,0.055,0.051,0.047,0.043,0.039,0.036,0.033,0.031,0.028,0.026,0.024,0.022,0.02,0.018,0.017,0.016,0.014,0.013,0.012,0.011,0.01})/SUM({0.077,0.071,0.065,0.06,0.055,0.051,0.047,0.043,0.039,0.036,0.033,0.031,0.028,0.026,0.024,0.022,0.02,0.018,0.017,0.016,0.014,0.013,0.012,0.011,0.01}),""))</f>
        <v>5092.1823599523232</v>
      </c>
      <c r="AD167" s="325" t="str">
        <f>IF(OR(C167="",AB167="",AC167="",AB167=0,AC167=0),"",IF(AND(E167&gt;AB167,AB167&gt;AC167),"パーフェクト▲",IF(E167&gt;AC167,"上昇トレンド▲",IF(AND(E167&lt;AB167,AB167&lt;AC167),"下降トレンド▼","もみ合い→"))))</f>
        <v>下降トレンド▼</v>
      </c>
      <c r="AE167" s="325" t="str">
        <f>IF(OR(C167="",AB167="",AC167=""),"",IF(AND(ABS(E167-AC167)/AC167&lt;=0.02,E167&lt;AC167),"25日戻り売り★",IF(AND(ABS(E167-AB167)/AB167&lt;=0.01,E167&lt;AB167),"5日戻り売り○","なし")))</f>
        <v>5日戻り売り○</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★逆張り売り</v>
      </c>
      <c r="AG167">
        <f>IF(AND(T167&gt;=7,C167&lt;&gt;""),T167,0)</f>
        <v>0</v>
      </c>
      <c r="AH167">
        <f>IF(AG167&gt;0,AG167*10000-ROW(A167),0)</f>
        <v>0</v>
      </c>
      <c r="AI167" s="373">
        <f t="array" ref="AI167">IF(C167="","",IFERROR((INDEX(終値!$E:$E,MATCH(TEXT(C167,"0"),終値!$A:$A,0))-INDEX(終値!$E:$CZ,MATCH(TEXT(C167,"0"),終値!$A:$A,0),$AN$2))/INDEX(終値!$E:$CZ,MATCH(TEXT(C167,"0"),終値!$A:$A,0),$AN$2)*100,""))</f>
        <v>5.7412167952013711</v>
      </c>
      <c r="AJ167" s="373">
        <f t="array" ref="AJ167">IFERROR((終値!$E$5-INDEX(終値!$E$5:$IT$5,1,$AN$2))/INDEX(終値!$E$5:$IT$5,1,$AN$2)*100,"")</f>
        <v>1.0179378228534113</v>
      </c>
      <c r="AK167" s="374">
        <f>IF(OR(AI167="",AJ167=""),"",AI167-AJ167)</f>
        <v>4.72327897234796</v>
      </c>
      <c r="AL167" s="372">
        <f>IF(AK167="","",IF(AK167&lt;-5,3,IF(AK167&lt;0,1,IF(AK167&lt;3,-1,-2))))</f>
        <v>-2</v>
      </c>
      <c r="AO167" s="376" t="str">
        <f>IF(OR($C167="",$E167="",$F167="",$H167="",$I167="",$H167-$I167&lt;=0),"-",IF(AND($H167-MAX($F167,$E167)&gt;=ABS($E167-$F167)*2,MIN($F167,$E167)-$I167&lt;=ABS($E167-$F167)*0.5,ABS($E167-$F167)&gt;0),"上ヒゲ陰線▼",IF(AND($E167&lt;$F167,ABS($E167-$F167)&gt;=($H167-$I167)*0.7),"大陰線▼",IF(AND(MIN($F167,$E167)-$I167&gt;=($H167-$I167)*0.5,$H167-MAX($F167,$E167)&lt;=($H167-$I167)*0.2),"長い下ヒゲ(反発警戒)","通常"))))</f>
        <v>通常</v>
      </c>
      <c r="AP167" s="377">
        <f>IF($AO167="上ヒゲ陰線▼",2,IF($AO167="大陰線▼",2,IF($AO167="長い下ヒゲ(反発警戒)",-2,0)))</f>
        <v>0</v>
      </c>
      <c r="AQ167">
        <f>IF(C167&lt;&gt;"",始値!F14,"")</f>
        <v>4901</v>
      </c>
      <c r="AR167">
        <f>IF(C167&lt;&gt;"",高値!F14,"")</f>
        <v>4922</v>
      </c>
      <c r="AS167">
        <f>IF(C167&lt;&gt;"",安値!F14,"")</f>
        <v>4788</v>
      </c>
      <c r="AT167" t="str">
        <f>IF(OR(C167="",AQ167="",AR167="",AS167="",AR167-AS167&lt;=0),"-",IF(AND(AR167-MAX(G167,AQ167)&gt;=ABS(G167-AQ167)*2,MIN(G167,AQ167)-AS167&lt;=ABS(G167-AQ167)*0.5,ABS(G167-AQ167)&gt;0),"上ヒゲ陰線▼",IF(AND(G167&lt;AQ167,ABS(G167-AQ167)&gt;=(AR167-AS167)*0.7),"大陰線▼",IF(AND(MIN(G167,AQ167)-AS167&gt;=(AR167-AS167)*0.5,AR167-MAX(G167,AQ167)&lt;=(AR167-AS167)*0.2),"長い下ヒゲ(反発)","通常"))))</f>
        <v>長い下ヒゲ(反発)</v>
      </c>
      <c r="AU167">
        <f>IF(AT167="上ヒゲ陰線▼",2,IF(AT167="大陰線▼",2,IF(AT167="長い下ヒゲ(反発)",-2,0)))</f>
        <v>-2</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4827</v>
      </c>
      <c r="F168" s="333">
        <f>IF(C168&lt;&gt;"",_xll.RssMarket(C168,"始値"),"")</f>
        <v>4788</v>
      </c>
      <c r="G168" s="212">
        <f>IF(C168&lt;&gt;"",終値!F22,"")</f>
        <v>4779</v>
      </c>
      <c r="H168" s="333">
        <f>IF(C168&lt;&gt;"",_xll.RssMarket(C168,"高値"),"")</f>
        <v>4849</v>
      </c>
      <c r="I168" s="333">
        <f>IF(C168&lt;&gt;"",_xll.RssMarket(C168,"安値"),"")</f>
        <v>4771</v>
      </c>
      <c r="J168" s="333">
        <f>IF(C168&lt;&gt;"",_xll.RssMarket(C168,"出来高"),"")</f>
        <v>3283600</v>
      </c>
      <c r="K168" s="333">
        <f>IF(C168&lt;&gt;"",_xll.RssMarket(C168,"年初来高値"),"")</f>
        <v>5073</v>
      </c>
      <c r="L168" s="334">
        <f>IF(AND(E168&lt;&gt;"",K168&lt;&gt;"",K168&lt;&gt;0),(E168-K168)/K168*100,"")</f>
        <v>-4.849201655824956</v>
      </c>
      <c r="M168" s="333">
        <f>IF(C168&lt;&gt;"",IFERROR(AVERAGE(出来高!E22:I22),""),"")</f>
        <v>4114620</v>
      </c>
      <c r="N168" s="333">
        <f>IF(C168&lt;&gt;"",IFERROR(AVERAGE(出来高!E22:AC22),""),"")</f>
        <v>4694064</v>
      </c>
      <c r="O168" s="335">
        <f>IF(AND(J168&lt;&gt;"",M168&lt;&gt;"",M168&lt;&gt;0),J168/M168,"")</f>
        <v>0.79803238209117733</v>
      </c>
      <c r="P168" s="212" t="str">
        <f>IF(O168="","",IF(O168&gt;=2,"急増↑↑",IF(O168&gt;=1.5,"増加↑",IF(O168&gt;=1,"普通→","減少↓"))))</f>
        <v>減少↓</v>
      </c>
      <c r="Q168" s="212" t="str">
        <f>IF(E168="","",IF(AND(E168&lt;G168,O168&gt;=1.5),"売り▼",IF(E168&gt;G168,"様子見▲","中立→")))</f>
        <v>様子見▲</v>
      </c>
      <c r="R168" s="333">
        <f>IF(E168&lt;&gt;"",ROUND(E168*0.92,0),"")</f>
        <v>4441</v>
      </c>
      <c r="S168" s="333">
        <f>IF(E168&lt;&gt;"",ROUND(E168*1.04,0),"")</f>
        <v>5020</v>
      </c>
      <c r="T168" s="325">
        <f>IF(C168="","",IFERROR(IF(W168&gt;=70,3,IF(W168&gt;=60,2,IF(W168&gt;=50,1,0)))+IF(X168&lt;0,2,0)+IF(AD168="下降トレンド▼",3,IF(AD168="もみ合い→",1,0))+IF(V168="年初来安値圏●",3,IF(V168="安値圏",2,0))+IF(Q168="売り▼",2,0)+IF(P168="急増↑↑",2,IF(P168="増加↑",1,0))+IF(Z168&lt;0,1,0)+IF(L168&lt;=-30,2,IF(L168&lt;=-15,1,0))+IF(AE168="25日戻り売り★",2,IF(AE168="5日戻り売り○",1,0))+N(AL168)+N(AP168)+N(AU168),0))</f>
        <v>-2</v>
      </c>
      <c r="U168" s="212" t="str">
        <f>IF(T168="","",IF(AND(T168&gt;=3,O168&gt;=1.5),"有効",IF(T168&gt;=3,"要確認","除外")))</f>
        <v>除外</v>
      </c>
      <c r="V168" s="212" t="str">
        <f>IF(AND(I168&lt;&gt;"",K168&lt;&gt;""),IF(I168&lt;=K168*0.6,"年初来安値圏●",IF(I168&lt;=K168*0.75,"安値圏","通常")),"")</f>
        <v>通常</v>
      </c>
      <c r="W168" s="336">
        <f t="array" ref="W168">IFERROR(100-100/(1+SUMPRODUCT((終値!F22:R22&gt;終値!G22:S22)*(終値!F22:R22-終値!G22:S22))/SUMPRODUCT((終値!F22:R22&lt;終値!G22:S22)*(終値!G22:S22-終値!F22:R22))),50)</f>
        <v>60.219341974077771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53.994797782193018</v>
      </c>
      <c r="Y168" s="212" t="str">
        <f>IF(AF168="","",AF168&amp;" | "&amp;AD168&amp;IF(AE168&lt;&gt;"なし"," "&amp;AE168,"")&amp;IF(X168&lt;0," MACD-"," MACD+")&amp;" RSI:"&amp;TEXT(W168,"0.0")&amp;IF(W168&gt;=70," [過熱]",IF(W168&lt;=30," [売られ過ぎ]",""))&amp;" 前日比:"&amp;TEXT(Z168,"+0.0;-0.0;0.0")&amp;"%"&amp;IF(V168="年初来安値圏●"," [年初来安値圏]",IF(V168="安値圏"," [安値圏]",""))&amp;IF(OR(AO168="通常",AO168="-"),""," ["&amp;AO168&amp;"]")&amp;IF(OR(AT168="通常",AT168="-"),"","前日["&amp;AT168&amp;"]")&amp;" ["&amp;T168&amp;"点]")</f>
        <v>相場上昇・見送り | パーフェクト▲ MACD+ RSI:60.2 前日比:+1.0%前日[長い下ヒゲ(反発)] [-2点]</v>
      </c>
      <c r="Z168" s="338">
        <f>IF(AND(E168&lt;&gt;"",G168&lt;&gt;"",G168&lt;&gt;0),(E168-G168)/G168*100,"")</f>
        <v>1.0043942247332078</v>
      </c>
      <c r="AA168" s="212" t="str">
        <f>IF(OR(C168="",E168="",E168=0),"",IF(E168&gt;G168,"上昇▲",IF(E168&lt;G168,"下落▼","横ばい→")))</f>
        <v>上昇▲</v>
      </c>
      <c r="AB168" s="333">
        <f>IF(OR(C168="",C168="TOPX",終値!E22=""),"",IFERROR(((終値!E22*0.333)+(終値!F22*0.222)+(終値!G22*0.148)+(終値!H22*0.099)+(終値!I22*0.066))/(0.333+0.222+0.148+0.099+0.066),""))</f>
        <v>4806.807603686636</v>
      </c>
      <c r="AC168" s="333">
        <f>IF(OR(C168="",C168="TOPX",終値!E22=""),"",IFERROR(SUMPRODUCT((終値!E22:AC22),{0.077,0.071,0.065,0.06,0.055,0.051,0.047,0.043,0.039,0.036,0.033,0.031,0.028,0.026,0.024,0.022,0.02,0.018,0.017,0.016,0.014,0.013,0.012,0.011,0.01})/SUM({0.077,0.071,0.065,0.06,0.055,0.051,0.047,0.043,0.039,0.036,0.033,0.031,0.028,0.026,0.024,0.022,0.02,0.018,0.017,0.016,0.014,0.013,0.012,0.011,0.01}),""))</f>
        <v>4782.5697258641221</v>
      </c>
      <c r="AD168" s="212" t="str">
        <f>IF(OR(C168="",AB168="",AC168="",AB168=0,AC168=0),"",IF(AND(E168&gt;AB168,AB168&gt;AC168),"パーフェクト▲",IF(E168&gt;AC168,"上昇トレンド▲",IF(AND(E168&lt;AB168,AB168&lt;AC168),"下降トレンド▼","もみ合い→"))))</f>
        <v>パーフェクト▲</v>
      </c>
      <c r="AE168" s="212" t="str">
        <f>IF(OR(C168="",AB168="",AC168=""),"",IF(AND(ABS(E168-AC168)/AC168&lt;=0.02,E168&lt;AC168),"25日戻り売り★",IF(AND(ABS(E168-AB168)/AB168&lt;=0.01,E168&lt;AB168),"5日戻り売り○","なし")))</f>
        <v>なし</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相場上昇・見送り</v>
      </c>
      <c r="AG168">
        <f>IF(AND(T168&gt;=7,C168&lt;&gt;""),T168,0)</f>
        <v>0</v>
      </c>
      <c r="AH168">
        <f>IF(AG168&gt;0,AG168*10000-ROW(A168),0)</f>
        <v>0</v>
      </c>
      <c r="AI168" s="373">
        <f t="array" ref="AI168">IF(C168="","",IFERROR((INDEX(終値!$E:$E,MATCH(TEXT(C168,"0"),終値!$A:$A,0))-INDEX(終値!$E:$CZ,MATCH(TEXT(C168,"0"),終値!$A:$A,0),$AN$2))/INDEX(終値!$E:$CZ,MATCH(TEXT(C168,"0"),終値!$A:$A,0),$AN$2)*100,""))</f>
        <v>12.754029432375614</v>
      </c>
      <c r="AJ168" s="373">
        <f t="array" ref="AJ168">IFERROR((終値!$E$5-INDEX(終値!$E$5:$IT$5,1,$AN$2))/INDEX(終値!$E$5:$IT$5,1,$AN$2)*100,"")</f>
        <v>1.0179378228534113</v>
      </c>
      <c r="AK168" s="374">
        <f>IF(OR(AI168="",AJ168=""),"",AI168-AJ168)</f>
        <v>11.736091609522202</v>
      </c>
      <c r="AL168" s="372">
        <f>IF(AK168="","",IF(AK168&lt;-5,3,IF(AK168&lt;0,1,IF(AK168&lt;3,-1,-2))))</f>
        <v>-2</v>
      </c>
      <c r="AO168" s="376" t="str">
        <f>IF(OR($C168="",$E168="",$F168="",$H168="",$I168="",$H168-$I168&lt;=0),"-",IF(AND($H168-MAX($F168,$E168)&gt;=ABS($E168-$F168)*2,MIN($F168,$E168)-$I168&lt;=ABS($E168-$F168)*0.5,ABS($E168-$F168)&gt;0),"上ヒゲ陰線▼",IF(AND($E168&lt;$F168,ABS($E168-$F168)&gt;=($H168-$I168)*0.7),"大陰線▼",IF(AND(MIN($F168,$E168)-$I168&gt;=($H168-$I168)*0.5,$H168-MAX($F168,$E168)&lt;=($H168-$I168)*0.2),"長い下ヒゲ(反発警戒)","通常"))))</f>
        <v>通常</v>
      </c>
      <c r="AP168" s="377">
        <f>IF($AO168="上ヒゲ陰線▼",2,IF($AO168="大陰線▼",2,IF($AO168="長い下ヒゲ(反発警戒)",-2,0)))</f>
        <v>0</v>
      </c>
      <c r="AQ168">
        <f>IF(C168&lt;&gt;"",始値!F22,"")</f>
        <v>4809</v>
      </c>
      <c r="AR168">
        <f>IF(C168&lt;&gt;"",高値!F22,"")</f>
        <v>4822</v>
      </c>
      <c r="AS168">
        <f>IF(C168&lt;&gt;"",安値!F22,"")</f>
        <v>4731</v>
      </c>
      <c r="AT168" t="str">
        <f>IF(OR(C168="",AQ168="",AR168="",AS168="",AR168-AS168&lt;=0),"-",IF(AND(AR168-MAX(G168,AQ168)&gt;=ABS(G168-AQ168)*2,MIN(G168,AQ168)-AS168&lt;=ABS(G168-AQ168)*0.5,ABS(G168-AQ168)&gt;0),"上ヒゲ陰線▼",IF(AND(G168&lt;AQ168,ABS(G168-AQ168)&gt;=(AR168-AS168)*0.7),"大陰線▼",IF(AND(MIN(G168,AQ168)-AS168&gt;=(AR168-AS168)*0.5,AR168-MAX(G168,AQ168)&lt;=(AR168-AS168)*0.2),"長い下ヒゲ(反発)","通常"))))</f>
        <v>長い下ヒゲ(反発)</v>
      </c>
      <c r="AU168">
        <f>IF(AT168="上ヒゲ陰線▼",2,IF(AT168="大陰線▼",2,IF(AT168="長い下ヒゲ(反発)",-2,0)))</f>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1682.5</v>
      </c>
      <c r="F169" s="326">
        <f>IF(C169&lt;&gt;"",_xll.RssMarket(C169,"始値"),"")</f>
        <v>1638</v>
      </c>
      <c r="G169" s="325">
        <f>IF(C169&lt;&gt;"",終値!F27,"")</f>
        <v>1631</v>
      </c>
      <c r="H169" s="326">
        <f>IF(C169&lt;&gt;"",_xll.RssMarket(C169,"高値"),"")</f>
        <v>1685.5</v>
      </c>
      <c r="I169" s="326">
        <f>IF(C169&lt;&gt;"",_xll.RssMarket(C169,"安値"),"")</f>
        <v>1631</v>
      </c>
      <c r="J169" s="326">
        <f>IF(C169&lt;&gt;"",_xll.RssMarket(C169,"出来高"),"")</f>
        <v>1208500</v>
      </c>
      <c r="K169" s="326">
        <f>IF(C169&lt;&gt;"",_xll.RssMarket(C169,"年初来高値"),"")</f>
        <v>1773</v>
      </c>
      <c r="L169" s="327">
        <f>IF(AND(E169&lt;&gt;"",K169&lt;&gt;"",K169&lt;&gt;0),(E169-K169)/K169*100,"")</f>
        <v>-5.1043429216018055</v>
      </c>
      <c r="M169" s="326">
        <f>IF(C169&lt;&gt;"",IFERROR(AVERAGE(出来高!E27:I27),""),"")</f>
        <v>1261260</v>
      </c>
      <c r="N169" s="326">
        <f>IF(C169&lt;&gt;"",IFERROR(AVERAGE(出来高!E27:AC27),""),"")</f>
        <v>848964</v>
      </c>
      <c r="O169" s="328">
        <f>IF(AND(J169&lt;&gt;"",M169&lt;&gt;"",M169&lt;&gt;0),J169/M169,"")</f>
        <v>0.95816881531167242</v>
      </c>
      <c r="P169" s="325" t="str">
        <f>IF(O169="","",IF(O169&gt;=2,"急増↑↑",IF(O169&gt;=1.5,"増加↑",IF(O169&gt;=1,"普通→","減少↓"))))</f>
        <v>減少↓</v>
      </c>
      <c r="Q169" s="325" t="str">
        <f>IF(E169="","",IF(AND(E169&lt;G169,O169&gt;=1.5),"売り▼",IF(E169&gt;G169,"様子見▲","中立→")))</f>
        <v>様子見▲</v>
      </c>
      <c r="R169" s="326">
        <f>IF(E169&lt;&gt;"",ROUND(E169*0.92,0),"")</f>
        <v>1548</v>
      </c>
      <c r="S169" s="326">
        <f>IF(E169&lt;&gt;"",ROUND(E169*1.04,0),"")</f>
        <v>1750</v>
      </c>
      <c r="T169" s="325">
        <f>IF(C169="","",IFERROR(IF(W169&gt;=70,3,IF(W169&gt;=60,2,IF(W169&gt;=50,1,0)))+IF(X169&lt;0,2,0)+IF(AD169="下降トレンド▼",3,IF(AD169="もみ合い→",1,0))+IF(V169="年初来安値圏●",3,IF(V169="安値圏",2,0))+IF(Q169="売り▼",2,0)+IF(P169="急増↑↑",2,IF(P169="増加↑",1,0))+IF(Z169&lt;0,1,0)+IF(L169&lt;=-30,2,IF(L169&lt;=-15,1,0))+IF(AE169="25日戻り売り★",2,IF(AE169="5日戻り売り○",1,0))+N(AL169)+N(AP169)+N(AU169),0))</f>
        <v>1</v>
      </c>
      <c r="U169" s="325" t="str">
        <f>IF(T169="","",IF(AND(T169&gt;=3,O169&gt;=1.5),"有効",IF(T169&gt;=3,"要確認","除外")))</f>
        <v>除外</v>
      </c>
      <c r="V169" s="325" t="str">
        <f>IF(AND(I169&lt;&gt;"",K169&lt;&gt;""),IF(I169&lt;=K169*0.6,"年初来安値圏●",IF(I169&lt;=K169*0.75,"安値圏","通常")),"")</f>
        <v>通常</v>
      </c>
      <c r="W169" s="329">
        <f t="array" ref="W169">IFERROR(100-100/(1+SUMPRODUCT((終値!F27:R27&gt;終値!G27:S27)*(終値!F27:R27-終値!G27:S27))/SUMPRODUCT((終値!F27:R27&lt;終値!G27:S27)*(終値!G27:S27-終値!F27:R27))),50)</f>
        <v>31.944444444444443</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-5.5846902749965466</v>
      </c>
      <c r="Y169" s="325" t="str">
        <f>IF(AF169="","",AF169&amp;" | "&amp;AD169&amp;IF(AE169&lt;&gt;"なし"," "&amp;AE169,"")&amp;IF(X169&lt;0," MACD-"," MACD+")&amp;" RSI:"&amp;TEXT(W169,"0.0")&amp;IF(W169&gt;=70," [過熱]",IF(W169&lt;=30," [売られ過ぎ]",""))&amp;" 前日比:"&amp;TEXT(Z169,"+0.0;-0.0;0.0")&amp;"%"&amp;IF(V169="年初来安値圏●"," [年初来安値圏]",IF(V169="安値圏"," [安値圏]",""))&amp;IF(OR(AO169="通常",AO169="-"),""," ["&amp;AO169&amp;"]")&amp;IF(OR(AT169="通常",AT169="-"),"","前日["&amp;AT169&amp;"]")&amp;" ["&amp;T169&amp;"点]")</f>
        <v>相場上昇・見送り | 上昇トレンド▲ MACD- RSI:31.9 前日比:+3.2% [1点]</v>
      </c>
      <c r="Z169" s="331">
        <f>IF(AND(E169&lt;&gt;"",G169&lt;&gt;"",G169&lt;&gt;0),(E169-G169)/G169*100,"")</f>
        <v>3.1575720416922128</v>
      </c>
      <c r="AA169" s="325" t="str">
        <f>IF(OR(C169="",E169="",E169=0),"",IF(E169&gt;G169,"上昇▲",IF(E169&lt;G169,"下落▼","横ばい→")))</f>
        <v>上昇▲</v>
      </c>
      <c r="AB169" s="326">
        <f>IF(OR(C169="",C169="TOPX",終値!E27=""),"",IFERROR(((終値!E27*0.333)+(終値!F27*0.222)+(終値!G27*0.148)+(終値!H27*0.099)+(終値!I27*0.066))/(0.333+0.222+0.148+0.099+0.066),""))</f>
        <v>1651.0097926267279</v>
      </c>
      <c r="AC169" s="326">
        <f>IF(OR(C169="",C169="TOPX",終値!E27=""),"",IFERROR(SUMPRODUCT((終値!E27:AC27),{0.077,0.071,0.065,0.06,0.055,0.051,0.047,0.043,0.039,0.036,0.033,0.031,0.028,0.026,0.024,0.022,0.02,0.018,0.017,0.016,0.014,0.013,0.012,0.011,0.01})/SUM({0.077,0.071,0.065,0.06,0.055,0.051,0.047,0.043,0.039,0.036,0.033,0.031,0.028,0.026,0.024,0.022,0.02,0.018,0.017,0.016,0.014,0.013,0.012,0.011,0.01}),""))</f>
        <v>1673.0250297973771</v>
      </c>
      <c r="AD169" s="325" t="str">
        <f>IF(OR(C169="",AB169="",AC169="",AB169=0,AC169=0),"",IF(AND(E169&gt;AB169,AB169&gt;AC169),"パーフェクト▲",IF(E169&gt;AC169,"上昇トレンド▲",IF(AND(E169&lt;AB169,AB169&lt;AC169),"下降トレンド▼","もみ合い→"))))</f>
        <v>上昇トレンド▲</v>
      </c>
      <c r="AE169" s="325" t="str">
        <f>IF(OR(C169="",AB169="",AC169=""),"",IF(AND(ABS(E169-AC169)/AC169&lt;=0.02,E169&lt;AC169),"25日戻り売り★",IF(AND(ABS(E169-AB169)/AB169&lt;=0.01,E169&lt;AB169),"5日戻り売り○","なし")))</f>
        <v>なし</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相場上昇・見送り</v>
      </c>
      <c r="AG169">
        <f>IF(AND(T169&gt;=7,C169&lt;&gt;""),T169,0)</f>
        <v>0</v>
      </c>
      <c r="AH169">
        <f>IF(AG169&gt;0,AG169*10000-ROW(A169),0)</f>
        <v>0</v>
      </c>
      <c r="AI169" s="373">
        <f t="array" ref="AI169">IF(C169="","",IFERROR((INDEX(終値!$E:$E,MATCH(TEXT(C169,"0"),終値!$A:$A,0))-INDEX(終値!$E:$CZ,MATCH(TEXT(C169,"0"),終値!$A:$A,0),$AN$2))/INDEX(終値!$E:$CZ,MATCH(TEXT(C169,"0"),終値!$A:$A,0),$AN$2)*100,""))</f>
        <v>3.6979969183359018</v>
      </c>
      <c r="AJ169" s="373">
        <f t="array" ref="AJ169">IFERROR((終値!$E$5-INDEX(終値!$E$5:$IT$5,1,$AN$2))/INDEX(終値!$E$5:$IT$5,1,$AN$2)*100,"")</f>
        <v>1.0179378228534113</v>
      </c>
      <c r="AK169" s="374">
        <f>IF(OR(AI169="",AJ169=""),"",AI169-AJ169)</f>
        <v>2.6800590954824903</v>
      </c>
      <c r="AL169" s="372">
        <f>IF(AK169="","",IF(AK169&lt;-5,3,IF(AK169&lt;0,1,IF(AK169&lt;3,-1,-2))))</f>
        <v>-1</v>
      </c>
      <c r="AO169" s="376" t="str">
        <f>IF(OR($C169="",$E169="",$F169="",$H169="",$I169="",$H169-$I169&lt;=0),"-",IF(AND($H169-MAX($F169,$E169)&gt;=ABS($E169-$F169)*2,MIN($F169,$E169)-$I169&lt;=ABS($E169-$F169)*0.5,ABS($E169-$F169)&gt;0),"上ヒゲ陰線▼",IF(AND($E169&lt;$F169,ABS($E169-$F169)&gt;=($H169-$I169)*0.7),"大陰線▼",IF(AND(MIN($F169,$E169)-$I169&gt;=($H169-$I169)*0.5,$H169-MAX($F169,$E169)&lt;=($H169-$I169)*0.2),"長い下ヒゲ(反発警戒)","通常"))))</f>
        <v>通常</v>
      </c>
      <c r="AP169" s="377">
        <f>IF($AO169="上ヒゲ陰線▼",2,IF($AO169="大陰線▼",2,IF($AO169="長い下ヒゲ(反発警戒)",-2,0)))</f>
        <v>0</v>
      </c>
      <c r="AQ169">
        <f>IF(C169&lt;&gt;"",始値!F27,"")</f>
        <v>1628.5</v>
      </c>
      <c r="AR169">
        <f>IF(C169&lt;&gt;"",高値!F27,"")</f>
        <v>1659</v>
      </c>
      <c r="AS169">
        <f>IF(C169&lt;&gt;"",安値!F27,"")</f>
        <v>1612</v>
      </c>
      <c r="AT169" t="str">
        <f>IF(OR(C169="",AQ169="",AR169="",AS169="",AR169-AS169&lt;=0),"-",IF(AND(AR169-MAX(G169,AQ169)&gt;=ABS(G169-AQ169)*2,MIN(G169,AQ169)-AS169&lt;=ABS(G169-AQ169)*0.5,ABS(G169-AQ169)&gt;0),"上ヒゲ陰線▼",IF(AND(G169&lt;AQ169,ABS(G169-AQ169)&gt;=(AR169-AS169)*0.7),"大陰線▼",IF(AND(MIN(G169,AQ169)-AS169&gt;=(AR169-AS169)*0.5,AR169-MAX(G169,AQ169)&lt;=(AR169-AS169)*0.2),"長い下ヒゲ(反発)","通常"))))</f>
        <v>通常</v>
      </c>
      <c r="AU169">
        <f>IF(AT169="上ヒゲ陰線▼",2,IF(AT169="大陰線▼",2,IF(AT169="長い下ヒゲ(反発)",-2,0)))</f>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4333</v>
      </c>
      <c r="F170" s="333">
        <f>IF(C170&lt;&gt;"",_xll.RssMarket(C170,"始値"),"")</f>
        <v>4020</v>
      </c>
      <c r="G170" s="212">
        <f>IF(C170&lt;&gt;"",終値!F34,"")</f>
        <v>4090</v>
      </c>
      <c r="H170" s="333">
        <f>IF(C170&lt;&gt;"",_xll.RssMarket(C170,"高値"),"")</f>
        <v>4380</v>
      </c>
      <c r="I170" s="333">
        <f>IF(C170&lt;&gt;"",_xll.RssMarket(C170,"安値"),"")</f>
        <v>4006</v>
      </c>
      <c r="J170" s="333">
        <f>IF(C170&lt;&gt;"",_xll.RssMarket(C170,"出来高"),"")</f>
        <v>1155500</v>
      </c>
      <c r="K170" s="333">
        <f>IF(C170&lt;&gt;"",_xll.RssMarket(C170,"年初来高値"),"")</f>
        <v>4968</v>
      </c>
      <c r="L170" s="334">
        <f>IF(AND(E170&lt;&gt;"",K170&lt;&gt;"",K170&lt;&gt;0),(E170-K170)/K170*100,"")</f>
        <v>-12.78180354267311</v>
      </c>
      <c r="M170" s="333">
        <f>IF(C170&lt;&gt;"",IFERROR(AVERAGE(出来高!E34:I34),""),"")</f>
        <v>705860</v>
      </c>
      <c r="N170" s="333">
        <f>IF(C170&lt;&gt;"",IFERROR(AVERAGE(出来高!E34:AC34),""),"")</f>
        <v>607492</v>
      </c>
      <c r="O170" s="335">
        <f>IF(AND(J170&lt;&gt;"",M170&lt;&gt;"",M170&lt;&gt;0),J170/M170,"")</f>
        <v>1.6370101719887797</v>
      </c>
      <c r="P170" s="212" t="str">
        <f>IF(O170="","",IF(O170&gt;=2,"急増↑↑",IF(O170&gt;=1.5,"増加↑",IF(O170&gt;=1,"普通→","減少↓"))))</f>
        <v>増加↑</v>
      </c>
      <c r="Q170" s="212" t="str">
        <f>IF(E170="","",IF(AND(E170&lt;G170,O170&gt;=1.5),"売り▼",IF(E170&gt;G170,"様子見▲","中立→")))</f>
        <v>様子見▲</v>
      </c>
      <c r="R170" s="333">
        <f>IF(E170&lt;&gt;"",ROUND(E170*0.92,0),"")</f>
        <v>3986</v>
      </c>
      <c r="S170" s="333">
        <f>IF(E170&lt;&gt;"",ROUND(E170*1.04,0),"")</f>
        <v>4506</v>
      </c>
      <c r="T170" s="325">
        <f>IF(C170="","",IFERROR(IF(W170&gt;=70,3,IF(W170&gt;=60,2,IF(W170&gt;=50,1,0)))+IF(X170&lt;0,2,0)+IF(AD170="下降トレンド▼",3,IF(AD170="もみ合い→",1,0))+IF(V170="年初来安値圏●",3,IF(V170="安値圏",2,0))+IF(Q170="売り▼",2,0)+IF(P170="急増↑↑",2,IF(P170="増加↑",1,0))+IF(Z170&lt;0,1,0)+IF(L170&lt;=-30,2,IF(L170&lt;=-15,1,0))+IF(AE170="25日戻り売り★",2,IF(AE170="5日戻り売り○",1,0))+N(AL170)+N(AP170)+N(AU170),0))</f>
        <v>0</v>
      </c>
      <c r="U170" s="212" t="str">
        <f>IF(T170="","",IF(AND(T170&gt;=3,O170&gt;=1.5),"有効",IF(T170&gt;=3,"要確認","除外")))</f>
        <v>除外</v>
      </c>
      <c r="V170" s="212" t="str">
        <f>IF(AND(I170&lt;&gt;"",K170&lt;&gt;""),IF(I170&lt;=K170*0.6,"年初来安値圏●",IF(I170&lt;=K170*0.75,"安値圏","通常")),"")</f>
        <v>通常</v>
      </c>
      <c r="W170" s="336">
        <f t="array" ref="W170">IFERROR(100-100/(1+SUMPRODUCT((終値!F34:R34&gt;終値!G34:S34)*(終値!F34:R34-終値!G34:S34))/SUMPRODUCT((終値!F34:R34&lt;終値!G34:S34)*(終値!G34:S34-終値!F34:R34))),50)</f>
        <v>55.723542116630675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25.165812234564328</v>
      </c>
      <c r="Y170" s="212" t="str">
        <f>IF(AF170="","",AF170&amp;" | "&amp;AD170&amp;IF(AE170&lt;&gt;"なし"," "&amp;AE170,"")&amp;IF(X170&lt;0," MACD-"," MACD+")&amp;" RSI:"&amp;TEXT(W170,"0.0")&amp;IF(W170&gt;=70," [過熱]",IF(W170&lt;=30," [売られ過ぎ]",""))&amp;" 前日比:"&amp;TEXT(Z170,"+0.0;-0.0;0.0")&amp;"%"&amp;IF(V170="年初来安値圏●"," [年初来安値圏]",IF(V170="安値圏"," [安値圏]",""))&amp;IF(OR(AO170="通常",AO170="-"),""," ["&amp;AO170&amp;"]")&amp;IF(OR(AT170="通常",AT170="-"),"","前日["&amp;AT170&amp;"]")&amp;" ["&amp;T170&amp;"点]")</f>
        <v>相場上昇・見送り | パーフェクト▲ MACD+ RSI:55.7 前日比:+5.9% [0点]</v>
      </c>
      <c r="Z170" s="338">
        <f>IF(AND(E170&lt;&gt;"",G170&lt;&gt;"",G170&lt;&gt;0),(E170-G170)/G170*100,"")</f>
        <v>5.9413202933985332</v>
      </c>
      <c r="AA170" s="212" t="str">
        <f>IF(OR(C170="",E170="",E170=0),"",IF(E170&gt;G170,"上昇▲",IF(E170&lt;G170,"下落▼","横ばい→")))</f>
        <v>上昇▲</v>
      </c>
      <c r="AB170" s="333">
        <f>IF(OR(C170="",C170="TOPX",終値!E34=""),"",IFERROR(((終値!E34*0.333)+(終値!F34*0.222)+(終値!G34*0.148)+(終値!H34*0.099)+(終値!I34*0.066))/(0.333+0.222+0.148+0.099+0.066),""))</f>
        <v>4151.7211981566816</v>
      </c>
      <c r="AC170" s="333">
        <f>IF(OR(C170="",C170="TOPX",終値!E34=""),"",IFERROR(SUMPRODUCT((終値!E34:AC34),{0.077,0.071,0.065,0.06,0.055,0.051,0.047,0.043,0.039,0.036,0.033,0.031,0.028,0.026,0.024,0.022,0.02,0.018,0.017,0.016,0.014,0.013,0.012,0.011,0.01})/SUM({0.077,0.071,0.065,0.06,0.055,0.051,0.047,0.043,0.039,0.036,0.033,0.031,0.028,0.026,0.024,0.022,0.02,0.018,0.017,0.016,0.014,0.013,0.012,0.011,0.01}),""))</f>
        <v>4099.5387365911783</v>
      </c>
      <c r="AD170" s="212" t="str">
        <f>IF(OR(C170="",AB170="",AC170="",AB170=0,AC170=0),"",IF(AND(E170&gt;AB170,AB170&gt;AC170),"パーフェクト▲",IF(E170&gt;AC170,"上昇トレンド▲",IF(AND(E170&lt;AB170,AB170&lt;AC170),"下降トレンド▼","もみ合い→"))))</f>
        <v>パーフェクト▲</v>
      </c>
      <c r="AE170" s="212" t="str">
        <f>IF(OR(C170="",AB170="",AC170=""),"",IF(AND(ABS(E170-AC170)/AC170&lt;=0.02,E170&lt;AC170),"25日戻り売り★",IF(AND(ABS(E170-AB170)/AB170&lt;=0.01,E170&lt;AB170),"5日戻り売り○","なし")))</f>
        <v>なし</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相場上昇・見送り</v>
      </c>
      <c r="AG170">
        <f>IF(AND(T170&gt;=7,C170&lt;&gt;""),T170,0)</f>
        <v>0</v>
      </c>
      <c r="AH170">
        <f>IF(AG170&gt;0,AG170*10000-ROW(A170),0)</f>
        <v>0</v>
      </c>
      <c r="AI170" s="373">
        <f t="array" ref="AI170">IF(C170="","",IFERROR((INDEX(終値!$E:$E,MATCH(TEXT(C170,"0"),終値!$A:$A,0))-INDEX(終値!$E:$CZ,MATCH(TEXT(C170,"0"),終値!$A:$A,0),$AN$2))/INDEX(終値!$E:$CZ,MATCH(TEXT(C170,"0"),終値!$A:$A,0),$AN$2)*100,""))</f>
        <v>11.359547674119764</v>
      </c>
      <c r="AJ170" s="373">
        <f t="array" ref="AJ170">IFERROR((終値!$E$5-INDEX(終値!$E$5:$IT$5,1,$AN$2))/INDEX(終値!$E$5:$IT$5,1,$AN$2)*100,"")</f>
        <v>1.0179378228534113</v>
      </c>
      <c r="AK170" s="374">
        <f>IF(OR(AI170="",AJ170=""),"",AI170-AJ170)</f>
        <v>10.341609851266352</v>
      </c>
      <c r="AL170" s="372">
        <f>IF(AK170="","",IF(AK170&lt;-5,3,IF(AK170&lt;0,1,IF(AK170&lt;3,-1,-2))))</f>
        <v>-2</v>
      </c>
      <c r="AO170" s="376" t="str">
        <f>IF(OR($C170="",$E170="",$F170="",$H170="",$I170="",$H170-$I170&lt;=0),"-",IF(AND($H170-MAX($F170,$E170)&gt;=ABS($E170-$F170)*2,MIN($F170,$E170)-$I170&lt;=ABS($E170-$F170)*0.5,ABS($E170-$F170)&gt;0),"上ヒゲ陰線▼",IF(AND($E170&lt;$F170,ABS($E170-$F170)&gt;=($H170-$I170)*0.7),"大陰線▼",IF(AND(MIN($F170,$E170)-$I170&gt;=($H170-$I170)*0.5,$H170-MAX($F170,$E170)&lt;=($H170-$I170)*0.2),"長い下ヒゲ(反発警戒)","通常"))))</f>
        <v>通常</v>
      </c>
      <c r="AP170" s="377">
        <f>IF($AO170="上ヒゲ陰線▼",2,IF($AO170="大陰線▼",2,IF($AO170="長い下ヒゲ(反発警戒)",-2,0)))</f>
        <v>0</v>
      </c>
      <c r="AQ170">
        <f>IF(C170&lt;&gt;"",始値!F34,"")</f>
        <v>4058</v>
      </c>
      <c r="AR170">
        <f>IF(C170&lt;&gt;"",高値!F34,"")</f>
        <v>4126</v>
      </c>
      <c r="AS170">
        <f>IF(C170&lt;&gt;"",安値!F34,"")</f>
        <v>4026</v>
      </c>
      <c r="AT170" t="str">
        <f>IF(OR(C170="",AQ170="",AR170="",AS170="",AR170-AS170&lt;=0),"-",IF(AND(AR170-MAX(G170,AQ170)&gt;=ABS(G170-AQ170)*2,MIN(G170,AQ170)-AS170&lt;=ABS(G170-AQ170)*0.5,ABS(G170-AQ170)&gt;0),"上ヒゲ陰線▼",IF(AND(G170&lt;AQ170,ABS(G170-AQ170)&gt;=(AR170-AS170)*0.7),"大陰線▼",IF(AND(MIN(G170,AQ170)-AS170&gt;=(AR170-AS170)*0.5,AR170-MAX(G170,AQ170)&lt;=(AR170-AS170)*0.2),"長い下ヒゲ(反発)","通常"))))</f>
        <v>通常</v>
      </c>
      <c r="AU170">
        <f>IF(AT170="上ヒゲ陰線▼",2,IF(AT170="大陰線▼",2,IF(AT170="長い下ヒゲ(反発)",-2,0)))</f>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1427.5</v>
      </c>
      <c r="F171" s="326">
        <f>IF(C171&lt;&gt;"",_xll.RssMarket(C171,"始値"),"")</f>
        <v>1410</v>
      </c>
      <c r="G171" s="325">
        <f>IF(C171&lt;&gt;"",終値!F39,"")</f>
        <v>1416.5</v>
      </c>
      <c r="H171" s="326">
        <f>IF(C171&lt;&gt;"",_xll.RssMarket(C171,"高値"),"")</f>
        <v>1430</v>
      </c>
      <c r="I171" s="326">
        <f>IF(C171&lt;&gt;"",_xll.RssMarket(C171,"安値"),"")</f>
        <v>1404</v>
      </c>
      <c r="J171" s="326">
        <f>IF(C171&lt;&gt;"",_xll.RssMarket(C171,"出来高"),"")</f>
        <v>3802100</v>
      </c>
      <c r="K171" s="326">
        <f>IF(C171&lt;&gt;"",_xll.RssMarket(C171,"年初来高値"),"")</f>
        <v>1541.5</v>
      </c>
      <c r="L171" s="327">
        <f>IF(AND(E171&lt;&gt;"",K171&lt;&gt;"",K171&lt;&gt;0),(E171-K171)/K171*100,"")</f>
        <v>-7.3953940966590981</v>
      </c>
      <c r="M171" s="326">
        <f>IF(C171&lt;&gt;"",IFERROR(AVERAGE(出来高!E39:I39),""),"")</f>
        <v>5093880</v>
      </c>
      <c r="N171" s="326">
        <f>IF(C171&lt;&gt;"",IFERROR(AVERAGE(出来高!E39:AC39),""),"")</f>
        <v>4330540</v>
      </c>
      <c r="O171" s="328">
        <f>IF(AND(J171&lt;&gt;"",M171&lt;&gt;"",M171&lt;&gt;0),J171/M171,"")</f>
        <v>0.74640549051018079</v>
      </c>
      <c r="P171" s="325" t="str">
        <f>IF(O171="","",IF(O171&gt;=2,"急増↑↑",IF(O171&gt;=1.5,"増加↑",IF(O171&gt;=1,"普通→","減少↓"))))</f>
        <v>減少↓</v>
      </c>
      <c r="Q171" s="325" t="str">
        <f>IF(E171="","",IF(AND(E171&lt;G171,O171&gt;=1.5),"売り▼",IF(E171&gt;G171,"様子見▲","中立→")))</f>
        <v>様子見▲</v>
      </c>
      <c r="R171" s="326">
        <f>IF(E171&lt;&gt;"",ROUND(E171*0.92,0),"")</f>
        <v>1313</v>
      </c>
      <c r="S171" s="326">
        <f>IF(E171&lt;&gt;"",ROUND(E171*1.04,0),"")</f>
        <v>1485</v>
      </c>
      <c r="T171" s="325">
        <f>IF(C171="","",IFERROR(IF(W171&gt;=70,3,IF(W171&gt;=60,2,IF(W171&gt;=50,1,0)))+IF(X171&lt;0,2,0)+IF(AD171="下降トレンド▼",3,IF(AD171="もみ合い→",1,0))+IF(V171="年初来安値圏●",3,IF(V171="安値圏",2,0))+IF(Q171="売り▼",2,0)+IF(P171="急増↑↑",2,IF(P171="増加↑",1,0))+IF(Z171&lt;0,1,0)+IF(L171&lt;=-30,2,IF(L171&lt;=-15,1,0))+IF(AE171="25日戻り売り★",2,IF(AE171="5日戻り売り○",1,0))+N(AL171)+N(AP171)+N(AU171),0))</f>
        <v>2</v>
      </c>
      <c r="U171" s="325" t="str">
        <f>IF(T171="","",IF(AND(T171&gt;=3,O171&gt;=1.5),"有効",IF(T171&gt;=3,"要確認","除外")))</f>
        <v>除外</v>
      </c>
      <c r="V171" s="325" t="str">
        <f>IF(AND(I171&lt;&gt;"",K171&lt;&gt;""),IF(I171&lt;=K171*0.6,"年初来安値圏●",IF(I171&lt;=K171*0.75,"安値圏","通常")),"")</f>
        <v>通常</v>
      </c>
      <c r="W171" s="329">
        <f t="array" ref="W171">IFERROR(100-100/(1+SUMPRODUCT((終値!F39:R39&gt;終値!G39:S39)*(終値!F39:R39-終値!G39:S39))/SUMPRODUCT((終値!F39:R39&lt;終値!G39:S39)*(終値!G39:S39-終値!F39:R39))),50)</f>
        <v>50.445632798573982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8.4283272103466516</v>
      </c>
      <c r="Y171" s="325" t="str">
        <f>IF(AF171="","",AF171&amp;" | "&amp;AD171&amp;IF(AE171&lt;&gt;"なし"," "&amp;AE171,"")&amp;IF(X171&lt;0," MACD-"," MACD+")&amp;" RSI:"&amp;TEXT(W171,"0.0")&amp;IF(W171&gt;=70," [過熱]",IF(W171&lt;=30," [売られ過ぎ]",""))&amp;" 前日比:"&amp;TEXT(Z171,"+0.0;-0.0;0.0")&amp;"%"&amp;IF(V171="年初来安値圏●"," [年初来安値圏]",IF(V171="安値圏"," [安値圏]",""))&amp;IF(OR(AO171="通常",AO171="-"),""," ["&amp;AO171&amp;"]")&amp;IF(OR(AT171="通常",AT171="-"),"","前日["&amp;AT171&amp;"]")&amp;" ["&amp;T171&amp;"点]")</f>
        <v>○逆張り売り | もみ合い→ 25日戻り売り★ MACD+ RSI:50.4 前日比:+0.8% [2点]</v>
      </c>
      <c r="Z171" s="331">
        <f>IF(AND(E171&lt;&gt;"",G171&lt;&gt;"",G171&lt;&gt;0),(E171-G171)/G171*100,"")</f>
        <v>0.7765619484645252</v>
      </c>
      <c r="AA171" s="325" t="str">
        <f>IF(OR(C171="",E171="",E171=0),"",IF(E171&gt;G171,"上昇▲",IF(E171&lt;G171,"下落▼","横ばい→")))</f>
        <v>上昇▲</v>
      </c>
      <c r="AB171" s="326">
        <f>IF(OR(C171="",C171="TOPX",終値!E39=""),"",IFERROR(((終値!E39*0.333)+(終値!F39*0.222)+(終値!G39*0.148)+(終値!H39*0.099)+(終値!I39*0.066))/(0.333+0.222+0.148+0.099+0.066),""))</f>
        <v>1425.4193548387098</v>
      </c>
      <c r="AC171" s="326">
        <f>IF(OR(C171="",C171="TOPX",終値!E39=""),"",IFERROR(SUMPRODUCT((終値!E39:AC39),{0.077,0.071,0.065,0.06,0.055,0.051,0.047,0.043,0.039,0.036,0.033,0.031,0.028,0.026,0.024,0.022,0.02,0.018,0.017,0.016,0.014,0.013,0.012,0.011,0.01})/SUM({0.077,0.071,0.065,0.06,0.055,0.051,0.047,0.043,0.039,0.036,0.033,0.031,0.028,0.026,0.024,0.022,0.02,0.018,0.017,0.016,0.014,0.013,0.012,0.011,0.01}),""))</f>
        <v>1430.8265792610248</v>
      </c>
      <c r="AD171" s="325" t="str">
        <f>IF(OR(C171="",AB171="",AC171="",AB171=0,AC171=0),"",IF(AND(E171&gt;AB171,AB171&gt;AC171),"パーフェクト▲",IF(E171&gt;AC171,"上昇トレンド▲",IF(AND(E171&lt;AB171,AB171&lt;AC171),"下降トレンド▼","もみ合い→"))))</f>
        <v>もみ合い→</v>
      </c>
      <c r="AE171" s="325" t="str">
        <f>IF(OR(C171="",AB171="",AC171=""),"",IF(AND(ABS(E171-AC171)/AC171&lt;=0.02,E171&lt;AC171),"25日戻り売り★",IF(AND(ABS(E171-AB171)/AB171&lt;=0.01,E171&lt;AB171),"5日戻り売り○","なし")))</f>
        <v>25日戻り売り★</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○逆張り売り</v>
      </c>
      <c r="AG171">
        <f>IF(AND(T171&gt;=7,C171&lt;&gt;""),T171,0)</f>
        <v>0</v>
      </c>
      <c r="AH171">
        <f>IF(AG171&gt;0,AG171*10000-ROW(A171),0)</f>
        <v>0</v>
      </c>
      <c r="AI171" s="373">
        <f t="array" ref="AI171">IF(C171="","",IFERROR((INDEX(終値!$E:$E,MATCH(TEXT(C171,"0"),終値!$A:$A,0))-INDEX(終値!$E:$CZ,MATCH(TEXT(C171,"0"),終値!$A:$A,0),$AN$2))/INDEX(終値!$E:$CZ,MATCH(TEXT(C171,"0"),終値!$A:$A,0),$AN$2)*100,""))</f>
        <v>9.1360856269113153</v>
      </c>
      <c r="AJ171" s="373">
        <f t="array" ref="AJ171">IFERROR((終値!$E$5-INDEX(終値!$E$5:$IT$5,1,$AN$2))/INDEX(終値!$E$5:$IT$5,1,$AN$2)*100,"")</f>
        <v>1.0179378228534113</v>
      </c>
      <c r="AK171" s="374">
        <f>IF(OR(AI171="",AJ171=""),"",AI171-AJ171)</f>
        <v>8.1181478040579034</v>
      </c>
      <c r="AL171" s="372">
        <f>IF(AK171="","",IF(AK171&lt;-5,3,IF(AK171&lt;0,1,IF(AK171&lt;3,-1,-2))))</f>
        <v>-2</v>
      </c>
      <c r="AO171" s="376" t="str">
        <f>IF(OR($C171="",$E171="",$F171="",$H171="",$I171="",$H171-$I171&lt;=0),"-",IF(AND($H171-MAX($F171,$E171)&gt;=ABS($E171-$F171)*2,MIN($F171,$E171)-$I171&lt;=ABS($E171-$F171)*0.5,ABS($E171-$F171)&gt;0),"上ヒゲ陰線▼",IF(AND($E171&lt;$F171,ABS($E171-$F171)&gt;=($H171-$I171)*0.7),"大陰線▼",IF(AND(MIN($F171,$E171)-$I171&gt;=($H171-$I171)*0.5,$H171-MAX($F171,$E171)&lt;=($H171-$I171)*0.2),"長い下ヒゲ(反発警戒)","通常"))))</f>
        <v>通常</v>
      </c>
      <c r="AP171" s="377">
        <f>IF($AO171="上ヒゲ陰線▼",2,IF($AO171="大陰線▼",2,IF($AO171="長い下ヒゲ(反発警戒)",-2,0)))</f>
        <v>0</v>
      </c>
      <c r="AQ171">
        <f>IF(C171&lt;&gt;"",始値!F39,"")</f>
        <v>1414.5</v>
      </c>
      <c r="AR171">
        <f>IF(C171&lt;&gt;"",高値!F39,"")</f>
        <v>1422</v>
      </c>
      <c r="AS171">
        <f>IF(C171&lt;&gt;"",安値!F39,"")</f>
        <v>1405</v>
      </c>
      <c r="AT171" t="str">
        <f>IF(OR(C171="",AQ171="",AR171="",AS171="",AR171-AS171&lt;=0),"-",IF(AND(AR171-MAX(G171,AQ171)&gt;=ABS(G171-AQ171)*2,MIN(G171,AQ171)-AS171&lt;=ABS(G171-AQ171)*0.5,ABS(G171-AQ171)&gt;0),"上ヒゲ陰線▼",IF(AND(G171&lt;AQ171,ABS(G171-AQ171)&gt;=(AR171-AS171)*0.7),"大陰線▼",IF(AND(MIN(G171,AQ171)-AS171&gt;=(AR171-AS171)*0.5,AR171-MAX(G171,AQ171)&lt;=(AR171-AS171)*0.2),"長い下ヒゲ(反発)","通常"))))</f>
        <v>通常</v>
      </c>
      <c r="AU171">
        <f>IF(AT171="上ヒゲ陰線▼",2,IF(AT171="大陰線▼",2,IF(AT171="長い下ヒゲ(反発)",-2,0)))</f>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1299.5</v>
      </c>
      <c r="F172" s="333">
        <f>IF(C172&lt;&gt;"",_xll.RssMarket(C172,"始値"),"")</f>
        <v>1188</v>
      </c>
      <c r="G172" s="212">
        <f>IF(C172&lt;&gt;"",終値!F44,"")</f>
        <v>1188.5</v>
      </c>
      <c r="H172" s="333">
        <f>IF(C172&lt;&gt;"",_xll.RssMarket(C172,"高値"),"")</f>
        <v>1306</v>
      </c>
      <c r="I172" s="333">
        <f>IF(C172&lt;&gt;"",_xll.RssMarket(C172,"安値"),"")</f>
        <v>1155</v>
      </c>
      <c r="J172" s="333">
        <f>IF(C172&lt;&gt;"",_xll.RssMarket(C172,"出来高"),"")</f>
        <v>18064200</v>
      </c>
      <c r="K172" s="333">
        <f>IF(C172&lt;&gt;"",_xll.RssMarket(C172,"年初来高値"),"")</f>
        <v>1353.5</v>
      </c>
      <c r="L172" s="334">
        <f>IF(AND(E172&lt;&gt;"",K172&lt;&gt;"",K172&lt;&gt;0),(E172-K172)/K172*100,"")</f>
        <v>-3.989656446250462</v>
      </c>
      <c r="M172" s="333">
        <f>IF(C172&lt;&gt;"",IFERROR(AVERAGE(出来高!E44:I44),""),"")</f>
        <v>7492260</v>
      </c>
      <c r="N172" s="333">
        <f>IF(C172&lt;&gt;"",IFERROR(AVERAGE(出来高!E44:AC44),""),"")</f>
        <v>4926844</v>
      </c>
      <c r="O172" s="335">
        <f>IF(AND(J172&lt;&gt;"",M172&lt;&gt;"",M172&lt;&gt;0),J172/M172,"")</f>
        <v>2.4110482017442001</v>
      </c>
      <c r="P172" s="212" t="str">
        <f>IF(O172="","",IF(O172&gt;=2,"急増↑↑",IF(O172&gt;=1.5,"増加↑",IF(O172&gt;=1,"普通→","減少↓"))))</f>
        <v>急増↑↑</v>
      </c>
      <c r="Q172" s="212" t="str">
        <f>IF(E172="","",IF(AND(E172&lt;G172,O172&gt;=1.5),"売り▼",IF(E172&gt;G172,"様子見▲","中立→")))</f>
        <v>様子見▲</v>
      </c>
      <c r="R172" s="333">
        <f>IF(E172&lt;&gt;"",ROUND(E172*0.92,0),"")</f>
        <v>1196</v>
      </c>
      <c r="S172" s="333">
        <f>IF(E172&lt;&gt;"",ROUND(E172*1.04,0),"")</f>
        <v>1351</v>
      </c>
      <c r="T172" s="325">
        <f>IF(C172="","",IFERROR(IF(W172&gt;=70,3,IF(W172&gt;=60,2,IF(W172&gt;=50,1,0)))+IF(X172&lt;0,2,0)+IF(AD172="下降トレンド▼",3,IF(AD172="もみ合い→",1,0))+IF(V172="年初来安値圏●",3,IF(V172="安値圏",2,0))+IF(Q172="売り▼",2,0)+IF(P172="急増↑↑",2,IF(P172="増加↑",1,0))+IF(Z172&lt;0,1,0)+IF(L172&lt;=-30,2,IF(L172&lt;=-15,1,0))+IF(AE172="25日戻り売り★",2,IF(AE172="5日戻り売り○",1,0))+N(AL172)+N(AP172)+N(AU172),0))</f>
        <v>1</v>
      </c>
      <c r="U172" s="212" t="str">
        <f>IF(T172="","",IF(AND(T172&gt;=3,O172&gt;=1.5),"有効",IF(T172&gt;=3,"要確認","除外")))</f>
        <v>除外</v>
      </c>
      <c r="V172" s="212" t="str">
        <f>IF(AND(I172&lt;&gt;"",K172&lt;&gt;""),IF(I172&lt;=K172*0.6,"年初来安値圏●",IF(I172&lt;=K172*0.75,"安値圏","通常")),"")</f>
        <v>通常</v>
      </c>
      <c r="W172" s="336">
        <f t="array" ref="W172">IFERROR(100-100/(1+SUMPRODUCT((終値!F44:R44&gt;終値!G44:S44)*(終値!F44:R44-終値!G44:S44))/SUMPRODUCT((終値!F44:R44&lt;終値!G44:S44)*(終値!G44:S44-終値!F44:R44))),50)</f>
        <v>53.388090349075974</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5.5799477788086733</v>
      </c>
      <c r="Y172" s="212" t="str">
        <f>IF(AF172="","",AF172&amp;" | "&amp;AD172&amp;IF(AE172&lt;&gt;"なし"," "&amp;AE172,"")&amp;IF(X172&lt;0," MACD-"," MACD+")&amp;" RSI:"&amp;TEXT(W172,"0.0")&amp;IF(W172&gt;=70," [過熱]",IF(W172&lt;=30," [売られ過ぎ]",""))&amp;" 前日比:"&amp;TEXT(Z172,"+0.0;-0.0;0.0")&amp;"%"&amp;IF(V172="年初来安値圏●"," [年初来安値圏]",IF(V172="安値圏"," [安値圏]",""))&amp;IF(OR(AO172="通常",AO172="-"),""," ["&amp;AO172&amp;"]")&amp;IF(OR(AT172="通常",AT172="-"),"","前日["&amp;AT172&amp;"]")&amp;" ["&amp;T172&amp;"点]")</f>
        <v>相場上昇・見送り | パーフェクト▲ MACD+ RSI:53.4 前日比:+9.3% [1点]</v>
      </c>
      <c r="Z172" s="338">
        <f>IF(AND(E172&lt;&gt;"",G172&lt;&gt;"",G172&lt;&gt;0),(E172-G172)/G172*100,"")</f>
        <v>9.3395035759360532</v>
      </c>
      <c r="AA172" s="212" t="str">
        <f>IF(OR(C172="",E172="",E172=0),"",IF(E172&gt;G172,"上昇▲",IF(E172&lt;G172,"下落▼","横ばい→")))</f>
        <v>上昇▲</v>
      </c>
      <c r="AB172" s="333">
        <f>IF(OR(C172="",C172="TOPX",終値!E44=""),"",IFERROR(((終値!E44*0.333)+(終値!F44*0.222)+(終値!G44*0.148)+(終値!H44*0.099)+(終値!I44*0.066))/(0.333+0.222+0.148+0.099+0.066),""))</f>
        <v>1214.8744239631335</v>
      </c>
      <c r="AC172" s="333">
        <f>IF(OR(C172="",C172="TOPX",終値!E44=""),"",IFERROR(SUMPRODUCT((終値!E44:AC44),{0.077,0.071,0.065,0.06,0.055,0.051,0.047,0.043,0.039,0.036,0.033,0.031,0.028,0.026,0.024,0.022,0.02,0.018,0.017,0.016,0.014,0.013,0.012,0.011,0.01})/SUM({0.077,0.071,0.065,0.06,0.055,0.051,0.047,0.043,0.039,0.036,0.033,0.031,0.028,0.026,0.024,0.022,0.02,0.018,0.017,0.016,0.014,0.013,0.012,0.011,0.01}),""))</f>
        <v>1171.7288438617395</v>
      </c>
      <c r="AD172" s="212" t="str">
        <f>IF(OR(C172="",AB172="",AC172="",AB172=0,AC172=0),"",IF(AND(E172&gt;AB172,AB172&gt;AC172),"パーフェクト▲",IF(E172&gt;AC172,"上昇トレンド▲",IF(AND(E172&lt;AB172,AB172&lt;AC172),"下降トレンド▼","もみ合い→"))))</f>
        <v>パーフェクト▲</v>
      </c>
      <c r="AE172" s="212" t="str">
        <f>IF(OR(C172="",AB172="",AC172=""),"",IF(AND(ABS(E172-AC172)/AC172&lt;=0.02,E172&lt;AC172),"25日戻り売り★",IF(AND(ABS(E172-AB172)/AB172&lt;=0.01,E172&lt;AB172),"5日戻り売り○","なし")))</f>
        <v>なし</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相場上昇・見送り</v>
      </c>
      <c r="AG172">
        <f>IF(AND(T172&gt;=7,C172&lt;&gt;""),T172,0)</f>
        <v>0</v>
      </c>
      <c r="AH172">
        <f>IF(AG172&gt;0,AG172*10000-ROW(A172),0)</f>
        <v>0</v>
      </c>
      <c r="AI172" s="373">
        <f t="array" ref="AI172">IF(C172="","",IFERROR((INDEX(終値!$E:$E,MATCH(TEXT(C172,"0"),終値!$A:$A,0))-INDEX(終値!$E:$CZ,MATCH(TEXT(C172,"0"),終値!$A:$A,0),$AN$2))/INDEX(終値!$E:$CZ,MATCH(TEXT(C172,"0"),終値!$A:$A,0),$AN$2)*100,""))</f>
        <v>15.511111111111111</v>
      </c>
      <c r="AJ172" s="373">
        <f t="array" ref="AJ172">IFERROR((終値!$E$5-INDEX(終値!$E$5:$IT$5,1,$AN$2))/INDEX(終値!$E$5:$IT$5,1,$AN$2)*100,"")</f>
        <v>1.0179378228534113</v>
      </c>
      <c r="AK172" s="374">
        <f>IF(OR(AI172="",AJ172=""),"",AI172-AJ172)</f>
        <v>14.493173288257699</v>
      </c>
      <c r="AL172" s="372">
        <f>IF(AK172="","",IF(AK172&lt;-5,3,IF(AK172&lt;0,1,IF(AK172&lt;3,-1,-2))))</f>
        <v>-2</v>
      </c>
      <c r="AO172" s="376" t="str">
        <f>IF(OR($C172="",$E172="",$F172="",$H172="",$I172="",$H172-$I172&lt;=0),"-",IF(AND($H172-MAX($F172,$E172)&gt;=ABS($E172-$F172)*2,MIN($F172,$E172)-$I172&lt;=ABS($E172-$F172)*0.5,ABS($E172-$F172)&gt;0),"上ヒゲ陰線▼",IF(AND($E172&lt;$F172,ABS($E172-$F172)&gt;=($H172-$I172)*0.7),"大陰線▼",IF(AND(MIN($F172,$E172)-$I172&gt;=($H172-$I172)*0.5,$H172-MAX($F172,$E172)&lt;=($H172-$I172)*0.2),"長い下ヒゲ(反発警戒)","通常"))))</f>
        <v>通常</v>
      </c>
      <c r="AP172" s="377">
        <f>IF($AO172="上ヒゲ陰線▼",2,IF($AO172="大陰線▼",2,IF($AO172="長い下ヒゲ(反発警戒)",-2,0)))</f>
        <v>0</v>
      </c>
      <c r="AQ172">
        <f>IF(C172&lt;&gt;"",始値!F44,"")</f>
        <v>1151</v>
      </c>
      <c r="AR172">
        <f>IF(C172&lt;&gt;"",高値!F44,"")</f>
        <v>1188.5</v>
      </c>
      <c r="AS172">
        <f>IF(C172&lt;&gt;"",安値!F44,"")</f>
        <v>1150.5</v>
      </c>
      <c r="AT172" t="str">
        <f>IF(OR(C172="",AQ172="",AR172="",AS172="",AR172-AS172&lt;=0),"-",IF(AND(AR172-MAX(G172,AQ172)&gt;=ABS(G172-AQ172)*2,MIN(G172,AQ172)-AS172&lt;=ABS(G172-AQ172)*0.5,ABS(G172-AQ172)&gt;0),"上ヒゲ陰線▼",IF(AND(G172&lt;AQ172,ABS(G172-AQ172)&gt;=(AR172-AS172)*0.7),"大陰線▼",IF(AND(MIN(G172,AQ172)-AS172&gt;=(AR172-AS172)*0.5,AR172-MAX(G172,AQ172)&lt;=(AR172-AS172)*0.2),"長い下ヒゲ(反発)","通常"))))</f>
        <v>通常</v>
      </c>
      <c r="AU172">
        <f>IF(AT172="上ヒゲ陰線▼",2,IF(AT172="大陰線▼",2,IF(AT172="長い下ヒゲ(反発)",-2,0)))</f>
        <v>0</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683.5</v>
      </c>
      <c r="F173" s="326">
        <f>IF(C173&lt;&gt;"",_xll.RssMarket(C173,"始値"),"")</f>
        <v>665</v>
      </c>
      <c r="G173" s="325">
        <f>IF(C173&lt;&gt;"",終値!F46,"")</f>
        <v>672</v>
      </c>
      <c r="H173" s="326">
        <f>IF(C173&lt;&gt;"",_xll.RssMarket(C173,"高値"),"")</f>
        <v>685.3</v>
      </c>
      <c r="I173" s="326">
        <f>IF(C173&lt;&gt;"",_xll.RssMarket(C173,"安値"),"")</f>
        <v>663.5</v>
      </c>
      <c r="J173" s="326">
        <f>IF(C173&lt;&gt;"",_xll.RssMarket(C173,"出来高"),"")</f>
        <v>53136500</v>
      </c>
      <c r="K173" s="326">
        <f>IF(C173&lt;&gt;"",_xll.RssMarket(C173,"年初来高値"),"")</f>
        <v>699.8</v>
      </c>
      <c r="L173" s="327">
        <f>IF(AND(E173&lt;&gt;"",K173&lt;&gt;"",K173&lt;&gt;0),(E173-K173)/K173*100,"")</f>
        <v>-2.3292369248356608</v>
      </c>
      <c r="M173" s="326">
        <f>IF(C173&lt;&gt;"",IFERROR(AVERAGE(出来高!E46:I46),""),"")</f>
        <v>53198400</v>
      </c>
      <c r="N173" s="326">
        <f>IF(C173&lt;&gt;"",IFERROR(AVERAGE(出来高!E46:AC46),""),"")</f>
        <v>42637258.333333336</v>
      </c>
      <c r="O173" s="328">
        <f>IF(AND(J173&lt;&gt;"",M173&lt;&gt;"",M173&lt;&gt;0),J173/M173,"")</f>
        <v>0.99883643117086229</v>
      </c>
      <c r="P173" s="325" t="str">
        <f>IF(O173="","",IF(O173&gt;=2,"急増↑↑",IF(O173&gt;=1.5,"増加↑",IF(O173&gt;=1,"普通→","減少↓"))))</f>
        <v>減少↓</v>
      </c>
      <c r="Q173" s="325" t="str">
        <f>IF(E173="","",IF(AND(E173&lt;G173,O173&gt;=1.5),"売り▼",IF(E173&gt;G173,"様子見▲","中立→")))</f>
        <v>様子見▲</v>
      </c>
      <c r="R173" s="326">
        <f>IF(E173&lt;&gt;"",ROUND(E173*0.92,0),"")</f>
        <v>629</v>
      </c>
      <c r="S173" s="326">
        <f>IF(E173&lt;&gt;"",ROUND(E173*1.04,0),"")</f>
        <v>711</v>
      </c>
      <c r="T173" s="325">
        <f>IF(C173="","",IFERROR(IF(W173&gt;=70,3,IF(W173&gt;=60,2,IF(W173&gt;=50,1,0)))+IF(X173&lt;0,2,0)+IF(AD173="下降トレンド▼",3,IF(AD173="もみ合い→",1,0))+IF(V173="年初来安値圏●",3,IF(V173="安値圏",2,0))+IF(Q173="売り▼",2,0)+IF(P173="急増↑↑",2,IF(P173="増加↑",1,0))+IF(Z173&lt;0,1,0)+IF(L173&lt;=-30,2,IF(L173&lt;=-15,1,0))+IF(AE173="25日戻り売り★",2,IF(AE173="5日戻り売り○",1,0))+N(AL173)+N(AP173)+N(AU173),0))</f>
        <v>-1</v>
      </c>
      <c r="U173" s="325" t="str">
        <f>IF(T173="","",IF(AND(T173&gt;=3,O173&gt;=1.5),"有効",IF(T173&gt;=3,"要確認","除外")))</f>
        <v>除外</v>
      </c>
      <c r="V173" s="325" t="str">
        <f>IF(AND(I173&lt;&gt;"",K173&lt;&gt;""),IF(I173&lt;=K173*0.6,"年初来安値圏●",IF(I173&lt;=K173*0.75,"安値圏","通常")),"")</f>
        <v>通常</v>
      </c>
      <c r="W173" s="329">
        <f t="array" ref="W173">IFERROR(100-100/(1+SUMPRODUCT((終値!F46:R46&gt;終値!G46:S46)*(終値!F46:R46-終値!G46:S46))/SUMPRODUCT((終値!F46:R46&lt;終値!G46:S46)*(終値!G46:S46-終値!F46:R46))),50)</f>
        <v>53.573780086326721</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12.149735709822266</v>
      </c>
      <c r="Y173" s="325" t="str">
        <f>IF(AF173="","",AF173&amp;" | "&amp;AD173&amp;IF(AE173&lt;&gt;"なし"," "&amp;AE173,"")&amp;IF(X173&lt;0," MACD-"," MACD+")&amp;" RSI:"&amp;TEXT(W173,"0.0")&amp;IF(W173&gt;=70," [過熱]",IF(W173&lt;=30," [売られ過ぎ]",""))&amp;" 前日比:"&amp;TEXT(Z173,"+0.0;-0.0;0.0")&amp;"%"&amp;IF(V173="年初来安値圏●"," [年初来安値圏]",IF(V173="安値圏"," [安値圏]",""))&amp;IF(OR(AO173="通常",AO173="-"),""," ["&amp;AO173&amp;"]")&amp;IF(OR(AT173="通常",AT173="-"),"","前日["&amp;AT173&amp;"]")&amp;" ["&amp;T173&amp;"点]")</f>
        <v>相場上昇・見送り | パーフェクト▲ MACD+ RSI:53.6 前日比:+1.7% [-1点]</v>
      </c>
      <c r="Z173" s="331">
        <f>IF(AND(E173&lt;&gt;"",G173&lt;&gt;"",G173&lt;&gt;0),(E173-G173)/G173*100,"")</f>
        <v>1.7113095238095239</v>
      </c>
      <c r="AA173" s="325" t="str">
        <f>IF(OR(C173="",E173="",E173=0),"",IF(E173&gt;G173,"上昇▲",IF(E173&lt;G173,"下落▼","横ばい→")))</f>
        <v>上昇▲</v>
      </c>
      <c r="AB173" s="326">
        <f>IF(OR(C173="",C173="TOPX",終値!E46=""),"",IFERROR(((終値!E46*0.333)+(終値!F46*0.222)+(終値!G46*0.148)+(終値!H46*0.099)+(終値!I46*0.066))/(0.333+0.222+0.148+0.099+0.066),""))</f>
        <v>667.42407834101368</v>
      </c>
      <c r="AC173" s="326">
        <f>IF(OR(C173="",C173="TOPX",終値!E46=""),"",IFERROR(SUMPRODUCT((終値!E46:AC46),{0.077,0.071,0.065,0.06,0.055,0.051,0.047,0.043,0.039,0.036,0.033,0.031,0.028,0.026,0.024,0.022,0.02,0.018,0.017,0.016,0.014,0.013,0.012,0.011,0.01})/SUM({0.077,0.071,0.065,0.06,0.055,0.051,0.047,0.043,0.039,0.036,0.033,0.031,0.028,0.026,0.024,0.022,0.02,0.018,0.017,0.016,0.014,0.013,0.012,0.011,0.01}),""))</f>
        <v>601.21406436233576</v>
      </c>
      <c r="AD173" s="325" t="str">
        <f>IF(OR(C173="",AB173="",AC173="",AB173=0,AC173=0),"",IF(AND(E173&gt;AB173,AB173&gt;AC173),"パーフェクト▲",IF(E173&gt;AC173,"上昇トレンド▲",IF(AND(E173&lt;AB173,AB173&lt;AC173),"下降トレンド▼","もみ合い→"))))</f>
        <v>パーフェクト▲</v>
      </c>
      <c r="AE173" s="325" t="str">
        <f>IF(OR(C173="",AB173="",AC173=""),"",IF(AND(ABS(E173-AC173)/AC173&lt;=0.02,E173&lt;AC173),"25日戻り売り★",IF(AND(ABS(E173-AB173)/AB173&lt;=0.01,E173&lt;AB173),"5日戻り売り○","なし")))</f>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相場上昇・見送り</v>
      </c>
      <c r="AG173">
        <f>IF(AND(T173&gt;=7,C173&lt;&gt;""),T173,0)</f>
        <v>0</v>
      </c>
      <c r="AH173">
        <f>IF(AG173&gt;0,AG173*10000-ROW(A173),0)</f>
        <v>0</v>
      </c>
      <c r="AI173" s="373">
        <f t="array" ref="AI173">IF(C173="","",IFERROR((INDEX(終値!$E:$E,MATCH(TEXT(C173,"0"),終値!$A:$A,0))-INDEX(終値!$E:$CZ,MATCH(TEXT(C173,"0"),終値!$A:$A,0),$AN$2))/INDEX(終値!$E:$CZ,MATCH(TEXT(C173,"0"),終値!$A:$A,0),$AN$2)*100,""))</f>
        <v>28.719397363465159</v>
      </c>
      <c r="AJ173" s="373">
        <f t="array" ref="AJ173">IFERROR((終値!$E$5-INDEX(終値!$E$5:$IT$5,1,$AN$2))/INDEX(終値!$E$5:$IT$5,1,$AN$2)*100,"")</f>
        <v>1.0179378228534113</v>
      </c>
      <c r="AK173" s="374">
        <f>IF(OR(AI173="",AJ173=""),"",AI173-AJ173)</f>
        <v>27.701459540611747</v>
      </c>
      <c r="AL173" s="372">
        <f>IF(AK173="","",IF(AK173&lt;-5,3,IF(AK173&lt;0,1,IF(AK173&lt;3,-1,-2))))</f>
        <v>-2</v>
      </c>
      <c r="AO173" s="376" t="str">
        <f>IF(OR($C173="",$E173="",$F173="",$H173="",$I173="",$H173-$I173&lt;=0),"-",IF(AND($H173-MAX($F173,$E173)&gt;=ABS($E173-$F173)*2,MIN($F173,$E173)-$I173&lt;=ABS($E173-$F173)*0.5,ABS($E173-$F173)&gt;0),"上ヒゲ陰線▼",IF(AND($E173&lt;$F173,ABS($E173-$F173)&gt;=($H173-$I173)*0.7),"大陰線▼",IF(AND(MIN($F173,$E173)-$I173&gt;=($H173-$I173)*0.5,$H173-MAX($F173,$E173)&lt;=($H173-$I173)*0.2),"長い下ヒゲ(反発警戒)","通常"))))</f>
        <v>通常</v>
      </c>
      <c r="AP173" s="377">
        <f>IF($AO173="上ヒゲ陰線▼",2,IF($AO173="大陰線▼",2,IF($AO173="長い下ヒゲ(反発警戒)",-2,0)))</f>
        <v>0</v>
      </c>
      <c r="AQ173">
        <f>IF(C173&lt;&gt;"",始値!F46,"")</f>
        <v>658</v>
      </c>
      <c r="AR173">
        <f>IF(C173&lt;&gt;"",高値!F46,"")</f>
        <v>675.7</v>
      </c>
      <c r="AS173">
        <f>IF(C173&lt;&gt;"",安値!F46,"")</f>
        <v>655.9</v>
      </c>
      <c r="AT173" t="str">
        <f>IF(OR(C173="",AQ173="",AR173="",AS173="",AR173-AS173&lt;=0),"-",IF(AND(AR173-MAX(G173,AQ173)&gt;=ABS(G173-AQ173)*2,MIN(G173,AQ173)-AS173&lt;=ABS(G173-AQ173)*0.5,ABS(G173-AQ173)&gt;0),"上ヒゲ陰線▼",IF(AND(G173&lt;AQ173,ABS(G173-AQ173)&gt;=(AR173-AS173)*0.7),"大陰線▼",IF(AND(MIN(G173,AQ173)-AS173&gt;=(AR173-AS173)*0.5,AR173-MAX(G173,AQ173)&lt;=(AR173-AS173)*0.2),"長い下ヒゲ(反発)","通常"))))</f>
        <v>通常</v>
      </c>
      <c r="AU173">
        <f>IF(AT173="上ヒゲ陰線▼",2,IF(AT173="大陰線▼",2,IF(AT173="長い下ヒゲ(反発)",-2,0)))</f>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7817</v>
      </c>
      <c r="F174" s="333">
        <f>IF(C174&lt;&gt;"",_xll.RssMarket(C174,"始値"),"")</f>
        <v>7715</v>
      </c>
      <c r="G174" s="212">
        <f>IF(C174&lt;&gt;"",終値!F52,"")</f>
        <v>7742</v>
      </c>
      <c r="H174" s="333">
        <f>IF(C174&lt;&gt;"",_xll.RssMarket(C174,"高値"),"")</f>
        <v>7838</v>
      </c>
      <c r="I174" s="333">
        <f>IF(C174&lt;&gt;"",_xll.RssMarket(C174,"安値"),"")</f>
        <v>7700</v>
      </c>
      <c r="J174" s="333">
        <f>IF(C174&lt;&gt;"",_xll.RssMarket(C174,"出来高"),"")</f>
        <v>3609900</v>
      </c>
      <c r="K174" s="333">
        <f>IF(C174&lt;&gt;"",_xll.RssMarket(C174,"年初来高値"),"")</f>
        <v>8468</v>
      </c>
      <c r="L174" s="334">
        <f>IF(AND(E174&lt;&gt;"",K174&lt;&gt;"",K174&lt;&gt;0),(E174-K174)/K174*100,"")</f>
        <v>-7.687765706188002</v>
      </c>
      <c r="M174" s="333">
        <f>IF(C174&lt;&gt;"",IFERROR(AVERAGE(出来高!E52:I52),""),"")</f>
        <v>4208460</v>
      </c>
      <c r="N174" s="333">
        <f>IF(C174&lt;&gt;"",IFERROR(AVERAGE(出来高!E52:AC52),""),"")</f>
        <v>5066816</v>
      </c>
      <c r="O174" s="335">
        <f>IF(AND(J174&lt;&gt;"",M174&lt;&gt;"",M174&lt;&gt;0),J174/M174,"")</f>
        <v>0.85777220170798818</v>
      </c>
      <c r="P174" s="212" t="str">
        <f>IF(O174="","",IF(O174&gt;=2,"急増↑↑",IF(O174&gt;=1.5,"増加↑",IF(O174&gt;=1,"普通→","減少↓"))))</f>
        <v>減少↓</v>
      </c>
      <c r="Q174" s="212" t="str">
        <f>IF(E174="","",IF(AND(E174&lt;G174,O174&gt;=1.5),"売り▼",IF(E174&gt;G174,"様子見▲","中立→")))</f>
        <v>様子見▲</v>
      </c>
      <c r="R174" s="333">
        <f>IF(E174&lt;&gt;"",ROUND(E174*0.92,0),"")</f>
        <v>7192</v>
      </c>
      <c r="S174" s="333">
        <f>IF(E174&lt;&gt;"",ROUND(E174*1.04,0),"")</f>
        <v>8130</v>
      </c>
      <c r="T174" s="325">
        <f>IF(C174="","",IFERROR(IF(W174&gt;=70,3,IF(W174&gt;=60,2,IF(W174&gt;=50,1,0)))+IF(X174&lt;0,2,0)+IF(AD174="下降トレンド▼",3,IF(AD174="もみ合い→",1,0))+IF(V174="年初来安値圏●",3,IF(V174="安値圏",2,0))+IF(Q174="売り▼",2,0)+IF(P174="急増↑↑",2,IF(P174="増加↑",1,0))+IF(Z174&lt;0,1,0)+IF(L174&lt;=-30,2,IF(L174&lt;=-15,1,0))+IF(AE174="25日戻り売り★",2,IF(AE174="5日戻り売り○",1,0))+N(AL174)+N(AP174)+N(AU174),0))</f>
        <v>1</v>
      </c>
      <c r="U174" s="212" t="str">
        <f>IF(T174="","",IF(AND(T174&gt;=3,O174&gt;=1.5),"有効",IF(T174&gt;=3,"要確認","除外")))</f>
        <v>除外</v>
      </c>
      <c r="V174" s="212" t="str">
        <f>IF(AND(I174&lt;&gt;"",K174&lt;&gt;""),IF(I174&lt;=K174*0.6,"年初来安値圏●",IF(I174&lt;=K174*0.75,"安値圏","通常")),"")</f>
        <v>通常</v>
      </c>
      <c r="W174" s="336">
        <f t="array" ref="W174">IFERROR(100-100/(1+SUMPRODUCT((終値!F52:R52&gt;終値!G52:S52)*(終値!F52:R52-終値!G52:S52))/SUMPRODUCT((終値!F52:R52&lt;終値!G52:S52)*(終値!G52:S52-終値!F52:R52))),50)</f>
        <v>49.199573105656356</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40.149513013505384</v>
      </c>
      <c r="Y174" s="212" t="str">
        <f>IF(AF174="","",AF174&amp;" | "&amp;AD174&amp;IF(AE174&lt;&gt;"なし"," "&amp;AE174,"")&amp;IF(X174&lt;0," MACD-"," MACD+")&amp;" RSI:"&amp;TEXT(W174,"0.0")&amp;IF(W174&gt;=70," [過熱]",IF(W174&lt;=30," [売られ過ぎ]",""))&amp;" 前日比:"&amp;TEXT(Z174,"+0.0;-0.0;0.0")&amp;"%"&amp;IF(V174="年初来安値圏●"," [年初来安値圏]",IF(V174="安値圏"," [安値圏]",""))&amp;IF(OR(AO174="通常",AO174="-"),""," ["&amp;AO174&amp;"]")&amp;IF(OR(AT174="通常",AT174="-"),"","前日["&amp;AT174&amp;"]")&amp;" ["&amp;T174&amp;"点]")</f>
        <v>○逆張り売り | もみ合い→ 25日戻り売り★ MACD+ RSI:49.2 前日比:+1.0% [1点]</v>
      </c>
      <c r="Z174" s="338">
        <f>IF(AND(E174&lt;&gt;"",G174&lt;&gt;"",G174&lt;&gt;0),(E174-G174)/G174*100,"")</f>
        <v>0.96874192715060703</v>
      </c>
      <c r="AA174" s="212" t="str">
        <f>IF(OR(C174="",E174="",E174=0),"",IF(E174&gt;G174,"上昇▲",IF(E174&lt;G174,"下落▼","横ばい→")))</f>
        <v>上昇▲</v>
      </c>
      <c r="AB174" s="333">
        <f>IF(OR(C174="",C174="TOPX",終値!E52=""),"",IFERROR(((終値!E52*0.333)+(終値!F52*0.222)+(終値!G52*0.148)+(終値!H52*0.099)+(終値!I52*0.066))/(0.333+0.222+0.148+0.099+0.066),""))</f>
        <v>7809.7419354838694</v>
      </c>
      <c r="AC174" s="333">
        <f>IF(OR(C174="",C174="TOPX",終値!E52=""),"",IFERROR(SUMPRODUCT((終値!E52:AC52),{0.077,0.071,0.065,0.06,0.055,0.051,0.047,0.043,0.039,0.036,0.033,0.031,0.028,0.026,0.024,0.022,0.02,0.018,0.017,0.016,0.014,0.013,0.012,0.011,0.01})/SUM({0.077,0.071,0.065,0.06,0.055,0.051,0.047,0.043,0.039,0.036,0.033,0.031,0.028,0.026,0.024,0.022,0.02,0.018,0.017,0.016,0.014,0.013,0.012,0.011,0.01}),""))</f>
        <v>7908.5578069129879</v>
      </c>
      <c r="AD174" s="212" t="str">
        <f>IF(OR(C174="",AB174="",AC174="",AB174=0,AC174=0),"",IF(AND(E174&gt;AB174,AB174&gt;AC174),"パーフェクト▲",IF(E174&gt;AC174,"上昇トレンド▲",IF(AND(E174&lt;AB174,AB174&lt;AC174),"下降トレンド▼","もみ合い→"))))</f>
        <v>もみ合い→</v>
      </c>
      <c r="AE174" s="212" t="str">
        <f>IF(OR(C174="",AB174="",AC174=""),"",IF(AND(ABS(E174-AC174)/AC174&lt;=0.02,E174&lt;AC174),"25日戻り売り★",IF(AND(ABS(E174-AB174)/AB174&lt;=0.01,E174&lt;AB174),"5日戻り売り○","なし")))</f>
        <v>25日戻り売り★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○逆張り売り</v>
      </c>
      <c r="AG174">
        <f>IF(AND(T174&gt;=7,C174&lt;&gt;""),T174,0)</f>
        <v>0</v>
      </c>
      <c r="AH174">
        <f>IF(AG174&gt;0,AG174*10000-ROW(A174),0)</f>
        <v>0</v>
      </c>
      <c r="AI174" s="373">
        <f t="array" ref="AI174">IF(C174="","",IFERROR((INDEX(終値!$E:$E,MATCH(TEXT(C174,"0"),終値!$A:$A,0))-INDEX(終値!$E:$CZ,MATCH(TEXT(C174,"0"),終値!$A:$A,0),$AN$2))/INDEX(終値!$E:$CZ,MATCH(TEXT(C174,"0"),終値!$A:$A,0),$AN$2)*100,""))</f>
        <v>9.9128233970753659</v>
      </c>
      <c r="AJ174" s="373">
        <f t="array" ref="AJ174">IFERROR((終値!$E$5-INDEX(終値!$E$5:$IT$5,1,$AN$2))/INDEX(終値!$E$5:$IT$5,1,$AN$2)*100,"")</f>
        <v>1.0179378228534113</v>
      </c>
      <c r="AK174" s="374">
        <f>IF(OR(AI174="",AJ174=""),"",AI174-AJ174)</f>
        <v>8.8948855742219539</v>
      </c>
      <c r="AL174" s="372">
        <f>IF(AK174="","",IF(AK174&lt;-5,3,IF(AK174&lt;0,1,IF(AK174&lt;3,-1,-2))))</f>
        <v>-2</v>
      </c>
      <c r="AO174" s="376" t="str">
        <f>IF(OR($C174="",$E174="",$F174="",$H174="",$I174="",$H174-$I174&lt;=0),"-",IF(AND($H174-MAX($F174,$E174)&gt;=ABS($E174-$F174)*2,MIN($F174,$E174)-$I174&lt;=ABS($E174-$F174)*0.5,ABS($E174-$F174)&gt;0),"上ヒゲ陰線▼",IF(AND($E174&lt;$F174,ABS($E174-$F174)&gt;=($H174-$I174)*0.7),"大陰線▼",IF(AND(MIN($F174,$E174)-$I174&gt;=($H174-$I174)*0.5,$H174-MAX($F174,$E174)&lt;=($H174-$I174)*0.2),"長い下ヒゲ(反発警戒)","通常"))))</f>
        <v>通常</v>
      </c>
      <c r="AP174" s="377">
        <f>IF($AO174="上ヒゲ陰線▼",2,IF($AO174="大陰線▼",2,IF($AO174="長い下ヒゲ(反発警戒)",-2,0)))</f>
        <v>0</v>
      </c>
      <c r="AQ174">
        <f>IF(C174&lt;&gt;"",始値!F52,"")</f>
        <v>7717</v>
      </c>
      <c r="AR174">
        <f>IF(C174&lt;&gt;"",高値!F52,"")</f>
        <v>7819</v>
      </c>
      <c r="AS174">
        <f>IF(C174&lt;&gt;"",安値!F52,"")</f>
        <v>7682</v>
      </c>
      <c r="AT174" t="str">
        <f>IF(OR(C174="",AQ174="",AR174="",AS174="",AR174-AS174&lt;=0),"-",IF(AND(AR174-MAX(G174,AQ174)&gt;=ABS(G174-AQ174)*2,MIN(G174,AQ174)-AS174&lt;=ABS(G174-AQ174)*0.5,ABS(G174-AQ174)&gt;0),"上ヒゲ陰線▼",IF(AND(G174&lt;AQ174,ABS(G174-AQ174)&gt;=(AR174-AS174)*0.7),"大陰線▼",IF(AND(MIN(G174,AQ174)-AS174&gt;=(AR174-AS174)*0.5,AR174-MAX(G174,AQ174)&lt;=(AR174-AS174)*0.2),"長い下ヒゲ(反発)","通常"))))</f>
        <v>通常</v>
      </c>
      <c r="AU174">
        <f>IF(AT174="上ヒゲ陰線▼",2,IF(AT174="大陰線▼",2,IF(AT174="長い下ヒゲ(反発)",-2,0)))</f>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5786</v>
      </c>
      <c r="F175" s="326">
        <f>IF(C175&lt;&gt;"",_xll.RssMarket(C175,"始値"),"")</f>
        <v>5711</v>
      </c>
      <c r="G175" s="325">
        <f>IF(C175&lt;&gt;"",終値!F53,"")</f>
        <v>5765</v>
      </c>
      <c r="H175" s="326">
        <f>IF(C175&lt;&gt;"",_xll.RssMarket(C175,"高値"),"")</f>
        <v>5932</v>
      </c>
      <c r="I175" s="326">
        <f>IF(C175&lt;&gt;"",_xll.RssMarket(C175,"安値"),"")</f>
        <v>5698</v>
      </c>
      <c r="J175" s="326">
        <f>IF(C175&lt;&gt;"",_xll.RssMarket(C175,"出来高"),"")</f>
        <v>1626100</v>
      </c>
      <c r="K175" s="326">
        <f>IF(C175&lt;&gt;"",_xll.RssMarket(C175,"年初来高値"),"")</f>
        <v>8315</v>
      </c>
      <c r="L175" s="327">
        <f>IF(AND(E175&lt;&gt;"",K175&lt;&gt;"",K175&lt;&gt;0),(E175-K175)/K175*100,"")</f>
        <v>-30.414912808177991</v>
      </c>
      <c r="M175" s="326">
        <f>IF(C175&lt;&gt;"",IFERROR(AVERAGE(出来高!E53:I53),""),"")</f>
        <v>2739840</v>
      </c>
      <c r="N175" s="326">
        <f>IF(C175&lt;&gt;"",IFERROR(AVERAGE(出来高!E53:AC53),""),"")</f>
        <v>1577064</v>
      </c>
      <c r="O175" s="328">
        <f>IF(AND(J175&lt;&gt;"",M175&lt;&gt;"",M175&lt;&gt;0),J175/M175,"")</f>
        <v>0.59350181032469052</v>
      </c>
      <c r="P175" s="325" t="str">
        <f>IF(O175="","",IF(O175&gt;=2,"急増↑↑",IF(O175&gt;=1.5,"増加↑",IF(O175&gt;=1,"普通→","減少↓"))))</f>
        <v>減少↓</v>
      </c>
      <c r="Q175" s="325" t="str">
        <f>IF(E175="","",IF(AND(E175&lt;G175,O175&gt;=1.5),"売り▼",IF(E175&gt;G175,"様子見▲","中立→")))</f>
        <v>様子見▲</v>
      </c>
      <c r="R175" s="326">
        <f>IF(E175&lt;&gt;"",ROUND(E175*0.92,0),"")</f>
        <v>5323</v>
      </c>
      <c r="S175" s="326">
        <f>IF(E175&lt;&gt;"",ROUND(E175*1.04,0),"")</f>
        <v>6017</v>
      </c>
      <c r="T175" s="325">
        <f>IF(C175="","",IFERROR(IF(W175&gt;=70,3,IF(W175&gt;=60,2,IF(W175&gt;=50,1,0)))+IF(X175&lt;0,2,0)+IF(AD175="下降トレンド▼",3,IF(AD175="もみ合い→",1,0))+IF(V175="年初来安値圏●",3,IF(V175="安値圏",2,0))+IF(Q175="売り▼",2,0)+IF(P175="急増↑↑",2,IF(P175="増加↑",1,0))+IF(Z175&lt;0,1,0)+IF(L175&lt;=-30,2,IF(L175&lt;=-15,1,0))+IF(AE175="25日戻り売り★",2,IF(AE175="5日戻り売り○",1,0))+N(AL175)+N(AP175)+N(AU175),0))</f>
        <v>13</v>
      </c>
      <c r="U175" s="325" t="str">
        <f>IF(T175="","",IF(AND(T175&gt;=3,O175&gt;=1.5),"有効",IF(T175&gt;=3,"要確認","除外")))</f>
        <v>要確認</v>
      </c>
      <c r="V175" s="325" t="str">
        <f>IF(AND(I175&lt;&gt;"",K175&lt;&gt;""),IF(I175&lt;=K175*0.6,"年初来安値圏●",IF(I175&lt;=K175*0.75,"安値圏","通常")),"")</f>
        <v>安値圏</v>
      </c>
      <c r="W175" s="329">
        <f t="array" ref="W175">IFERROR(100-100/(1+SUMPRODUCT((終値!F53:R53&gt;終値!G53:S53)*(終値!F53:R53-終値!G53:S53))/SUMPRODUCT((終値!F53:R53&lt;終値!G53:S53)*(終値!G53:S53-終値!F53:R53))),50)</f>
        <v>30.058417419012216</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-85.2944507023185</v>
      </c>
      <c r="Y175" s="325" t="str">
        <f>IF(AF175="","",AF175&amp;" | "&amp;AD175&amp;IF(AE175&lt;&gt;"なし"," "&amp;AE175,"")&amp;IF(X175&lt;0," MACD-"," MACD+")&amp;" RSI:"&amp;TEXT(W175,"0.0")&amp;IF(W175&gt;=70," [過熱]",IF(W175&lt;=30," [売られ過ぎ]",""))&amp;" 前日比:"&amp;TEXT(Z175,"+0.0;-0.0;0.0")&amp;"%"&amp;IF(V175="年初来安値圏●"," [年初来安値圏]",IF(V175="安値圏"," [安値圏]",""))&amp;IF(OR(AO175="通常",AO175="-"),""," ["&amp;AO175&amp;"]")&amp;IF(OR(AT175="通常",AT175="-"),"","前日["&amp;AT175&amp;"]")&amp;" ["&amp;T175&amp;"点]")</f>
        <v>★逆張り売り | 下降トレンド▼ 5日戻り売り○ MACD- RSI:30.1 前日比:+0.4% [安値圏] [13点]</v>
      </c>
      <c r="Z175" s="331">
        <f>IF(AND(E175&lt;&gt;"",G175&lt;&gt;"",G175&lt;&gt;0),(E175-G175)/G175*100,"")</f>
        <v>0.36426712922810062</v>
      </c>
      <c r="AA175" s="325" t="str">
        <f>IF(OR(C175="",E175="",E175=0),"",IF(E175&gt;G175,"上昇▲",IF(E175&lt;G175,"下落▼","横ばい→")))</f>
        <v>上昇▲</v>
      </c>
      <c r="AB175" s="326">
        <f>IF(OR(C175="",C175="TOPX",終値!E53=""),"",IFERROR(((終値!E53*0.333)+(終値!F53*0.222)+(終値!G53*0.148)+(終値!H53*0.099)+(終値!I53*0.066))/(0.333+0.222+0.148+0.099+0.066),""))</f>
        <v>5800.2292626728104</v>
      </c>
      <c r="AC175" s="326">
        <f>IF(OR(C175="",C175="TOPX",終値!E53=""),"",IFERROR(SUMPRODUCT((終値!E53:AC53),{0.077,0.071,0.065,0.06,0.055,0.051,0.047,0.043,0.039,0.036,0.033,0.031,0.028,0.026,0.024,0.022,0.02,0.018,0.017,0.016,0.014,0.013,0.012,0.011,0.01})/SUM({0.077,0.071,0.065,0.06,0.055,0.051,0.047,0.043,0.039,0.036,0.033,0.031,0.028,0.026,0.024,0.022,0.02,0.018,0.017,0.016,0.014,0.013,0.012,0.011,0.01}),""))</f>
        <v>6122.5065554231187</v>
      </c>
      <c r="AD175" s="325" t="str">
        <f>IF(OR(C175="",AB175="",AC175="",AB175=0,AC175=0),"",IF(AND(E175&gt;AB175,AB175&gt;AC175),"パーフェクト▲",IF(E175&gt;AC175,"上昇トレンド▲",IF(AND(E175&lt;AB175,AB175&lt;AC175),"下降トレンド▼","もみ合い→"))))</f>
        <v>下降トレンド▼</v>
      </c>
      <c r="AE175" s="325" t="str">
        <f>IF(OR(C175="",AB175="",AC175=""),"",IF(AND(ABS(E175-AC175)/AC175&lt;=0.02,E175&lt;AC175),"25日戻り売り★",IF(AND(ABS(E175-AB175)/AB175&lt;=0.01,E175&lt;AB175),"5日戻り売り○","なし")))</f>
        <v>5日戻り売り○</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★逆張り売り</v>
      </c>
      <c r="AG175">
        <f>IF(AND(T175&gt;=7,C175&lt;&gt;""),T175,0)</f>
        <v>13</v>
      </c>
      <c r="AH175">
        <f>IF(AG175&gt;0,AG175*10000-ROW(A175),0)</f>
        <v>129825</v>
      </c>
      <c r="AI175" s="373">
        <f t="array" ref="AI175">IF(C175="","",IFERROR((INDEX(終値!$E:$E,MATCH(TEXT(C175,"0"),終値!$A:$A,0))-INDEX(終値!$E:$CZ,MATCH(TEXT(C175,"0"),終値!$A:$A,0),$AN$2))/INDEX(終値!$E:$CZ,MATCH(TEXT(C175,"0"),終値!$A:$A,0),$AN$2)*100,""))</f>
        <v>-16.831967802213597</v>
      </c>
      <c r="AJ175" s="373">
        <f t="array" ref="AJ175">IFERROR((終値!$E$5-INDEX(終値!$E$5:$IT$5,1,$AN$2))/INDEX(終値!$E$5:$IT$5,1,$AN$2)*100,"")</f>
        <v>1.0179378228534113</v>
      </c>
      <c r="AK175" s="374">
        <f>IF(OR(AI175="",AJ175=""),"",AI175-AJ175)</f>
        <v>-17.849905625067009</v>
      </c>
      <c r="AL175" s="372">
        <f>IF(AK175="","",IF(AK175&lt;-5,3,IF(AK175&lt;0,1,IF(AK175&lt;3,-1,-2))))</f>
        <v>3</v>
      </c>
      <c r="AO175" s="376" t="str">
        <f>IF(OR($C175="",$E175="",$F175="",$H175="",$I175="",$H175-$I175&lt;=0),"-",IF(AND($H175-MAX($F175,$E175)&gt;=ABS($E175-$F175)*2,MIN($F175,$E175)-$I175&lt;=ABS($E175-$F175)*0.5,ABS($E175-$F175)&gt;0),"上ヒゲ陰線▼",IF(AND($E175&lt;$F175,ABS($E175-$F175)&gt;=($H175-$I175)*0.7),"大陰線▼",IF(AND(MIN($F175,$E175)-$I175&gt;=($H175-$I175)*0.5,$H175-MAX($F175,$E175)&lt;=($H175-$I175)*0.2),"長い下ヒゲ(反発警戒)","通常"))))</f>
        <v>通常</v>
      </c>
      <c r="AP175" s="377">
        <f>IF($AO175="上ヒゲ陰線▼",2,IF($AO175="大陰線▼",2,IF($AO175="長い下ヒゲ(反発警戒)",-2,0)))</f>
        <v>0</v>
      </c>
      <c r="AQ175">
        <f>IF(C175&lt;&gt;"",始値!F53,"")</f>
        <v>5634</v>
      </c>
      <c r="AR175">
        <f>IF(C175&lt;&gt;"",高値!F53,"")</f>
        <v>5821</v>
      </c>
      <c r="AS175">
        <f>IF(C175&lt;&gt;"",安値!F53,"")</f>
        <v>5611</v>
      </c>
      <c r="AT175" t="str">
        <f>IF(OR(C175="",AQ175="",AR175="",AS175="",AR175-AS175&lt;=0),"-",IF(AND(AR175-MAX(G175,AQ175)&gt;=ABS(G175-AQ175)*2,MIN(G175,AQ175)-AS175&lt;=ABS(G175-AQ175)*0.5,ABS(G175-AQ175)&gt;0),"上ヒゲ陰線▼",IF(AND(G175&lt;AQ175,ABS(G175-AQ175)&gt;=(AR175-AS175)*0.7),"大陰線▼",IF(AND(MIN(G175,AQ175)-AS175&gt;=(AR175-AS175)*0.5,AR175-MAX(G175,AQ175)&lt;=(AR175-AS175)*0.2),"長い下ヒゲ(反発)","通常"))))</f>
        <v>通常</v>
      </c>
      <c r="AU175">
        <f>IF(AT175="上ヒゲ陰線▼",2,IF(AT175="大陰線▼",2,IF(AT175="長い下ヒゲ(反発)",-2,0)))</f>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6997</v>
      </c>
      <c r="F176" s="333">
        <f>IF(C176&lt;&gt;"",_xll.RssMarket(C176,"始値"),"")</f>
        <v>6942</v>
      </c>
      <c r="G176" s="212">
        <f>IF(C176&lt;&gt;"",終値!F54,"")</f>
        <v>6962</v>
      </c>
      <c r="H176" s="333">
        <f>IF(C176&lt;&gt;"",_xll.RssMarket(C176,"高値"),"")</f>
        <v>7038</v>
      </c>
      <c r="I176" s="333">
        <f>IF(C176&lt;&gt;"",_xll.RssMarket(C176,"安値"),"")</f>
        <v>6916</v>
      </c>
      <c r="J176" s="333">
        <f>IF(C176&lt;&gt;"",_xll.RssMarket(C176,"出来高"),"")</f>
        <v>2132600</v>
      </c>
      <c r="K176" s="333">
        <f>IF(C176&lt;&gt;"",_xll.RssMarket(C176,"年初来高値"),"")</f>
        <v>7413</v>
      </c>
      <c r="L176" s="334">
        <f>IF(AND(E176&lt;&gt;"",K176&lt;&gt;"",K176&lt;&gt;0),(E176-K176)/K176*100,"")</f>
        <v>-5.6117631188452721</v>
      </c>
      <c r="M176" s="333">
        <f>IF(C176&lt;&gt;"",IFERROR(AVERAGE(出来高!E54:I54),""),"")</f>
        <v>2527720</v>
      </c>
      <c r="N176" s="333">
        <f>IF(C176&lt;&gt;"",IFERROR(AVERAGE(出来高!E54:AC54),""),"")</f>
        <v>2598076</v>
      </c>
      <c r="O176" s="335">
        <f>IF(AND(J176&lt;&gt;"",M176&lt;&gt;"",M176&lt;&gt;0),J176/M176,"")</f>
        <v>0.84368521829949517</v>
      </c>
      <c r="P176" s="212" t="str">
        <f>IF(O176="","",IF(O176&gt;=2,"急増↑↑",IF(O176&gt;=1.5,"増加↑",IF(O176&gt;=1,"普通→","減少↓"))))</f>
        <v>減少↓</v>
      </c>
      <c r="Q176" s="212" t="str">
        <f>IF(E176="","",IF(AND(E176&lt;G176,O176&gt;=1.5),"売り▼",IF(E176&gt;G176,"様子見▲","中立→")))</f>
        <v>様子見▲</v>
      </c>
      <c r="R176" s="333">
        <f>IF(E176&lt;&gt;"",ROUND(E176*0.92,0),"")</f>
        <v>6437</v>
      </c>
      <c r="S176" s="333">
        <f>IF(E176&lt;&gt;"",ROUND(E176*1.04,0),"")</f>
        <v>7277</v>
      </c>
      <c r="T176" s="325">
        <f>IF(C176="","",IFERROR(IF(W176&gt;=70,3,IF(W176&gt;=60,2,IF(W176&gt;=50,1,0)))+IF(X176&lt;0,2,0)+IF(AD176="下降トレンド▼",3,IF(AD176="もみ合い→",1,0))+IF(V176="年初来安値圏●",3,IF(V176="安値圏",2,0))+IF(Q176="売り▼",2,0)+IF(P176="急増↑↑",2,IF(P176="増加↑",1,0))+IF(Z176&lt;0,1,0)+IF(L176&lt;=-30,2,IF(L176&lt;=-15,1,0))+IF(AE176="25日戻り売り★",2,IF(AE176="5日戻り売り○",1,0))+N(AL176)+N(AP176)+N(AU176),0))</f>
        <v>0</v>
      </c>
      <c r="U176" s="212" t="str">
        <f>IF(T176="","",IF(AND(T176&gt;=3,O176&gt;=1.5),"有効",IF(T176&gt;=3,"要確認","除外")))</f>
        <v>除外</v>
      </c>
      <c r="V176" s="212" t="str">
        <f>IF(AND(I176&lt;&gt;"",K176&lt;&gt;""),IF(I176&lt;=K176*0.6,"年初来安値圏●",IF(I176&lt;=K176*0.75,"安値圏","通常")),"")</f>
        <v>通常</v>
      </c>
      <c r="W176" s="336">
        <f t="array" ref="W176">IFERROR(100-100/(1+SUMPRODUCT((終値!F54:R54&gt;終値!G54:S54)*(終値!F54:R54-終値!G54:S54))/SUMPRODUCT((終値!F54:R54&lt;終値!G54:S54)*(終値!G54:S54-終値!F54:R54))),50)</f>
        <v>60.697827518104013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60.382048567301354</v>
      </c>
      <c r="Y176" s="212" t="str">
        <f>IF(AF176="","",AF176&amp;" | "&amp;AD176&amp;IF(AE176&lt;&gt;"なし"," "&amp;AE176,"")&amp;IF(X176&lt;0," MACD-"," MACD+")&amp;" RSI:"&amp;TEXT(W176,"0.0")&amp;IF(W176&gt;=70," [過熱]",IF(W176&lt;=30," [売られ過ぎ]",""))&amp;" 前日比:"&amp;TEXT(Z176,"+0.0;-0.0;0.0")&amp;"%"&amp;IF(V176="年初来安値圏●"," [年初来安値圏]",IF(V176="安値圏"," [安値圏]",""))&amp;IF(OR(AO176="通常",AO176="-"),""," ["&amp;AO176&amp;"]")&amp;IF(OR(AT176="通常",AT176="-"),"","前日["&amp;AT176&amp;"]")&amp;" ["&amp;T176&amp;"点]")</f>
        <v>相場上昇・見送り | パーフェクト▲ MACD+ RSI:60.7 前日比:+0.5% [0点]</v>
      </c>
      <c r="Z176" s="338">
        <f>IF(AND(E176&lt;&gt;"",G176&lt;&gt;"",G176&lt;&gt;0),(E176-G176)/G176*100,"")</f>
        <v>0.50272910083309397</v>
      </c>
      <c r="AA176" s="212" t="str">
        <f>IF(OR(C176="",E176="",E176=0),"",IF(E176&gt;G176,"上昇▲",IF(E176&lt;G176,"下落▼","横ばい→")))</f>
        <v>上昇▲</v>
      </c>
      <c r="AB176" s="333">
        <f>IF(OR(C176="",C176="TOPX",終値!E54=""),"",IFERROR(((終値!E54*0.333)+(終値!F54*0.222)+(終値!G54*0.148)+(終値!H54*0.099)+(終値!I54*0.066))/(0.333+0.222+0.148+0.099+0.066),""))</f>
        <v>6950.897465437788</v>
      </c>
      <c r="AC176" s="333">
        <f>IF(OR(C176="",C176="TOPX",終値!E54=""),"",IFERROR(SUMPRODUCT((終値!E54:AC54),{0.077,0.071,0.065,0.06,0.055,0.051,0.047,0.043,0.039,0.036,0.033,0.031,0.028,0.026,0.024,0.022,0.02,0.018,0.017,0.016,0.014,0.013,0.012,0.011,0.01})/SUM({0.077,0.071,0.065,0.06,0.055,0.051,0.047,0.043,0.039,0.036,0.033,0.031,0.028,0.026,0.024,0.022,0.02,0.018,0.017,0.016,0.014,0.013,0.012,0.011,0.01}),""))</f>
        <v>6935.3742550655525</v>
      </c>
      <c r="AD176" s="212" t="str">
        <f>IF(OR(C176="",AB176="",AC176="",AB176=0,AC176=0),"",IF(AND(E176&gt;AB176,AB176&gt;AC176),"パーフェクト▲",IF(E176&gt;AC176,"上昇トレンド▲",IF(AND(E176&lt;AB176,AB176&lt;AC176),"下降トレンド▼","もみ合い→"))))</f>
        <v>パーフェクト▲</v>
      </c>
      <c r="AE176" s="212" t="str">
        <f>IF(OR(C176="",AB176="",AC176=""),"",IF(AND(ABS(E176-AC176)/AC176&lt;=0.02,E176&lt;AC176),"25日戻り売り★",IF(AND(ABS(E176-AB176)/AB176&lt;=0.01,E176&lt;AB176),"5日戻り売り○","なし")))</f>
        <v>なし</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相場上昇・見送り</v>
      </c>
      <c r="AG176">
        <f>IF(AND(T176&gt;=7,C176&lt;&gt;""),T176,0)</f>
        <v>0</v>
      </c>
      <c r="AH176">
        <f>IF(AG176&gt;0,AG176*10000-ROW(A176),0)</f>
        <v>0</v>
      </c>
      <c r="AI176" s="373">
        <f t="array" ref="AI176">IF(C176="","",IFERROR((INDEX(終値!$E:$E,MATCH(TEXT(C176,"0"),終値!$A:$A,0))-INDEX(終値!$E:$CZ,MATCH(TEXT(C176,"0"),終値!$A:$A,0),$AN$2))/INDEX(終値!$E:$CZ,MATCH(TEXT(C176,"0"),終値!$A:$A,0),$AN$2)*100,""))</f>
        <v>11.952</v>
      </c>
      <c r="AJ176" s="373">
        <f t="array" ref="AJ176">IFERROR((終値!$E$5-INDEX(終値!$E$5:$IT$5,1,$AN$2))/INDEX(終値!$E$5:$IT$5,1,$AN$2)*100,"")</f>
        <v>1.0179378228534113</v>
      </c>
      <c r="AK176" s="374">
        <f>IF(OR(AI176="",AJ176=""),"",AI176-AJ176)</f>
        <v>10.934062177146588</v>
      </c>
      <c r="AL176" s="372">
        <f>IF(AK176="","",IF(AK176&lt;-5,3,IF(AK176&lt;0,1,IF(AK176&lt;3,-1,-2))))</f>
        <v>-2</v>
      </c>
      <c r="AO176" s="376" t="str">
        <f>IF(OR($C176="",$E176="",$F176="",$H176="",$I176="",$H176-$I176&lt;=0),"-",IF(AND($H176-MAX($F176,$E176)&gt;=ABS($E176-$F176)*2,MIN($F176,$E176)-$I176&lt;=ABS($E176-$F176)*0.5,ABS($E176-$F176)&gt;0),"上ヒゲ陰線▼",IF(AND($E176&lt;$F176,ABS($E176-$F176)&gt;=($H176-$I176)*0.7),"大陰線▼",IF(AND(MIN($F176,$E176)-$I176&gt;=($H176-$I176)*0.5,$H176-MAX($F176,$E176)&lt;=($H176-$I176)*0.2),"長い下ヒゲ(反発警戒)","通常"))))</f>
        <v>通常</v>
      </c>
      <c r="AP176" s="377">
        <f>IF($AO176="上ヒゲ陰線▼",2,IF($AO176="大陰線▼",2,IF($AO176="長い下ヒゲ(反発警戒)",-2,0)))</f>
        <v>0</v>
      </c>
      <c r="AQ176">
        <f>IF(C176&lt;&gt;"",始値!F54,"")</f>
        <v>6863</v>
      </c>
      <c r="AR176">
        <f>IF(C176&lt;&gt;"",高値!F54,"")</f>
        <v>6963</v>
      </c>
      <c r="AS176">
        <f>IF(C176&lt;&gt;"",安値!F54,"")</f>
        <v>6852</v>
      </c>
      <c r="AT176" t="str">
        <f>IF(OR(C176="",AQ176="",AR176="",AS176="",AR176-AS176&lt;=0),"-",IF(AND(AR176-MAX(G176,AQ176)&gt;=ABS(G176-AQ176)*2,MIN(G176,AQ176)-AS176&lt;=ABS(G176-AQ176)*0.5,ABS(G176-AQ176)&gt;0),"上ヒゲ陰線▼",IF(AND(G176&lt;AQ176,ABS(G176-AQ176)&gt;=(AR176-AS176)*0.7),"大陰線▼",IF(AND(MIN(G176,AQ176)-AS176&gt;=(AR176-AS176)*0.5,AR176-MAX(G176,AQ176)&lt;=(AR176-AS176)*0.2),"長い下ヒゲ(反発)","通常"))))</f>
        <v>通常</v>
      </c>
      <c r="AU176">
        <f>IF(AT176="上ヒゲ陰線▼",2,IF(AT176="大陰線▼",2,IF(AT176="長い下ヒゲ(反発)",-2,0)))</f>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4051</v>
      </c>
      <c r="F177" s="326">
        <f>IF(C177&lt;&gt;"",_xll.RssMarket(C177,"始値"),"")</f>
        <v>4084</v>
      </c>
      <c r="G177" s="325">
        <f>IF(C177&lt;&gt;"",終値!F58,"")</f>
        <v>4084</v>
      </c>
      <c r="H177" s="326">
        <f>IF(C177&lt;&gt;"",_xll.RssMarket(C177,"高値"),"")</f>
        <v>4128</v>
      </c>
      <c r="I177" s="326">
        <f>IF(C177&lt;&gt;"",_xll.RssMarket(C177,"安値"),"")</f>
        <v>4003</v>
      </c>
      <c r="J177" s="326">
        <f>IF(C177&lt;&gt;"",_xll.RssMarket(C177,"出来高"),"")</f>
        <v>618300</v>
      </c>
      <c r="K177" s="326">
        <f>IF(C177&lt;&gt;"",_xll.RssMarket(C177,"年初来高値"),"")</f>
        <v>4466</v>
      </c>
      <c r="L177" s="327">
        <f>IF(AND(E177&lt;&gt;"",K177&lt;&gt;"",K177&lt;&gt;0),(E177-K177)/K177*100,"")</f>
        <v>-9.2924317062248107</v>
      </c>
      <c r="M177" s="326">
        <f>IF(C177&lt;&gt;"",IFERROR(AVERAGE(出来高!E58:I58),""),"")</f>
        <v>775400</v>
      </c>
      <c r="N177" s="326">
        <f>IF(C177&lt;&gt;"",IFERROR(AVERAGE(出来高!E58:AC58),""),"")</f>
        <v>580244</v>
      </c>
      <c r="O177" s="328">
        <f>IF(AND(J177&lt;&gt;"",M177&lt;&gt;"",M177&lt;&gt;0),J177/M177,"")</f>
        <v>0.7973948929584731</v>
      </c>
      <c r="P177" s="325" t="str">
        <f>IF(O177="","",IF(O177&gt;=2,"急増↑↑",IF(O177&gt;=1.5,"増加↑",IF(O177&gt;=1,"普通→","減少↓"))))</f>
        <v>減少↓</v>
      </c>
      <c r="Q177" s="325" t="str">
        <f>IF(E177="","",IF(AND(E177&lt;G177,O177&gt;=1.5),"売り▼",IF(E177&gt;G177,"様子見▲","中立→")))</f>
        <v>中立→</v>
      </c>
      <c r="R177" s="326">
        <f>IF(E177&lt;&gt;"",ROUND(E177*0.92,0),"")</f>
        <v>3727</v>
      </c>
      <c r="S177" s="326">
        <f>IF(E177&lt;&gt;"",ROUND(E177*1.04,0),"")</f>
        <v>4213</v>
      </c>
      <c r="T177" s="325">
        <f>IF(C177="","",IFERROR(IF(W177&gt;=70,3,IF(W177&gt;=60,2,IF(W177&gt;=50,1,0)))+IF(X177&lt;0,2,0)+IF(AD177="下降トレンド▼",3,IF(AD177="もみ合い→",1,0))+IF(V177="年初来安値圏●",3,IF(V177="安値圏",2,0))+IF(Q177="売り▼",2,0)+IF(P177="急増↑↑",2,IF(P177="増加↑",1,0))+IF(Z177&lt;0,1,0)+IF(L177&lt;=-30,2,IF(L177&lt;=-15,1,0))+IF(AE177="25日戻り売り★",2,IF(AE177="5日戻り売り○",1,0))+N(AL177)+N(AP177)+N(AU177),0))</f>
        <v>5</v>
      </c>
      <c r="U177" s="325" t="str">
        <f>IF(T177="","",IF(AND(T177&gt;=3,O177&gt;=1.5),"有効",IF(T177&gt;=3,"要確認","除外")))</f>
        <v>要確認</v>
      </c>
      <c r="V177" s="325" t="str">
        <f>IF(AND(I177&lt;&gt;"",K177&lt;&gt;""),IF(I177&lt;=K177*0.6,"年初来安値圏●",IF(I177&lt;=K177*0.75,"安値圏","通常")),"")</f>
        <v>通常</v>
      </c>
      <c r="W177" s="329">
        <f t="array" ref="W177">IFERROR(100-100/(1+SUMPRODUCT((終値!F58:R58&gt;終値!G58:S58)*(終値!F58:R58-終値!G58:S58))/SUMPRODUCT((終値!F58:R58&lt;終値!G58:S58)*(終値!G58:S58-終値!F58:R58))),50)</f>
        <v>45.626072041166381</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-8.6593263784648116</v>
      </c>
      <c r="Y177" s="325" t="str">
        <f>IF(AF177="","",AF177&amp;" | "&amp;AD177&amp;IF(AE177&lt;&gt;"なし"," "&amp;AE177,"")&amp;IF(X177&lt;0," MACD-"," MACD+")&amp;" RSI:"&amp;TEXT(W177,"0.0")&amp;IF(W177&gt;=70," [過熱]",IF(W177&lt;=30," [売られ過ぎ]",""))&amp;" 前日比:"&amp;TEXT(Z177,"+0.0;-0.0;0.0")&amp;"%"&amp;IF(V177="年初来安値圏●"," [年初来安値圏]",IF(V177="安値圏"," [安値圏]",""))&amp;IF(OR(AO177="通常",AO177="-"),""," ["&amp;AO177&amp;"]")&amp;IF(OR(AT177="通常",AT177="-"),"","前日["&amp;AT177&amp;"]")&amp;" ["&amp;T177&amp;"点]")</f>
        <v>○逆張り売り | もみ合い→ 25日戻り売り★ MACD- RSI:45.6 前日比:-0.8% [5点]</v>
      </c>
      <c r="Z177" s="331">
        <f>IF(AND(E177&lt;&gt;"",G177&lt;&gt;"",G177&lt;&gt;0),(E177-G177)/G177*100,"")</f>
        <v>-0.8080313418217433</v>
      </c>
      <c r="AA177" s="325" t="str">
        <f>IF(OR(C177="",E177="",E177=0),"",IF(E177&gt;G177,"上昇▲",IF(E177&lt;G177,"下落▼","横ばい→")))</f>
        <v>下落▼</v>
      </c>
      <c r="AB177" s="326">
        <f>IF(OR(C177="",C177="TOPX",終値!E58=""),"",IFERROR(((終値!E58*0.333)+(終値!F58*0.222)+(終値!G58*0.148)+(終値!H58*0.099)+(終値!I58*0.066))/(0.333+0.222+0.148+0.099+0.066),""))</f>
        <v>4009.2235023041471</v>
      </c>
      <c r="AC177" s="326">
        <f>IF(OR(C177="",C177="TOPX",終値!E58=""),"",IFERROR(SUMPRODUCT((終値!E58:AC58),{0.077,0.071,0.065,0.06,0.055,0.051,0.047,0.043,0.039,0.036,0.033,0.031,0.028,0.026,0.024,0.022,0.02,0.018,0.017,0.016,0.014,0.013,0.012,0.011,0.01})/SUM({0.077,0.071,0.065,0.06,0.055,0.051,0.047,0.043,0.039,0.036,0.033,0.031,0.028,0.026,0.024,0.022,0.02,0.018,0.017,0.016,0.014,0.013,0.012,0.011,0.01}),""))</f>
        <v>4069.9272943980914</v>
      </c>
      <c r="AD177" s="325" t="str">
        <f>IF(OR(C177="",AB177="",AC177="",AB177=0,AC177=0),"",IF(AND(E177&gt;AB177,AB177&gt;AC177),"パーフェクト▲",IF(E177&gt;AC177,"上昇トレンド▲",IF(AND(E177&lt;AB177,AB177&lt;AC177),"下降トレンド▼","もみ合い→"))))</f>
        <v>もみ合い→</v>
      </c>
      <c r="AE177" s="325" t="str">
        <f>IF(OR(C177="",AB177="",AC177=""),"",IF(AND(ABS(E177-AC177)/AC177&lt;=0.02,E177&lt;AC177),"25日戻り売り★",IF(AND(ABS(E177-AB177)/AB177&lt;=0.01,E177&lt;AB177),"5日戻り売り○","なし")))</f>
        <v>25日戻り売り★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○逆張り売り</v>
      </c>
      <c r="AG177">
        <f>IF(AND(T177&gt;=7,C177&lt;&gt;""),T177,0)</f>
        <v>0</v>
      </c>
      <c r="AH177">
        <f>IF(AG177&gt;0,AG177*10000-ROW(A177),0)</f>
        <v>0</v>
      </c>
      <c r="AI177" s="373">
        <f t="array" ref="AI177">IF(C177="","",IFERROR((INDEX(終値!$E:$E,MATCH(TEXT(C177,"0"),終値!$A:$A,0))-INDEX(終値!$E:$CZ,MATCH(TEXT(C177,"0"),終値!$A:$A,0),$AN$2))/INDEX(終値!$E:$CZ,MATCH(TEXT(C177,"0"),終値!$A:$A,0),$AN$2)*100,""))</f>
        <v>3.0002542588354943</v>
      </c>
      <c r="AJ177" s="373">
        <f t="array" ref="AJ177">IFERROR((終値!$E$5-INDEX(終値!$E$5:$IT$5,1,$AN$2))/INDEX(終値!$E$5:$IT$5,1,$AN$2)*100,"")</f>
        <v>1.0179378228534113</v>
      </c>
      <c r="AK177" s="374">
        <f>IF(OR(AI177="",AJ177=""),"",AI177-AJ177)</f>
        <v>1.9823164359820831</v>
      </c>
      <c r="AL177" s="372">
        <f>IF(AK177="","",IF(AK177&lt;-5,3,IF(AK177&lt;0,1,IF(AK177&lt;3,-1,-2))))</f>
        <v>-1</v>
      </c>
      <c r="AO177" s="376" t="str">
        <f>IF(OR($C177="",$E177="",$F177="",$H177="",$I177="",$H177-$I177&lt;=0),"-",IF(AND($H177-MAX($F177,$E177)&gt;=ABS($E177-$F177)*2,MIN($F177,$E177)-$I177&lt;=ABS($E177-$F177)*0.5,ABS($E177-$F177)&gt;0),"上ヒゲ陰線▼",IF(AND($E177&lt;$F177,ABS($E177-$F177)&gt;=($H177-$I177)*0.7),"大陰線▼",IF(AND(MIN($F177,$E177)-$I177&gt;=($H177-$I177)*0.5,$H177-MAX($F177,$E177)&lt;=($H177-$I177)*0.2),"長い下ヒゲ(反発警戒)","通常"))))</f>
        <v>通常</v>
      </c>
      <c r="AP177" s="377">
        <f>IF($AO177="上ヒゲ陰線▼",2,IF($AO177="大陰線▼",2,IF($AO177="長い下ヒゲ(反発警戒)",-2,0)))</f>
        <v>0</v>
      </c>
      <c r="AQ177">
        <f>IF(C177&lt;&gt;"",始値!F58,"")</f>
        <v>4004</v>
      </c>
      <c r="AR177">
        <f>IF(C177&lt;&gt;"",高値!F58,"")</f>
        <v>4103</v>
      </c>
      <c r="AS177">
        <f>IF(C177&lt;&gt;"",安値!F58,"")</f>
        <v>3934</v>
      </c>
      <c r="AT177" t="str">
        <f>IF(OR(C177="",AQ177="",AR177="",AS177="",AR177-AS177&lt;=0),"-",IF(AND(AR177-MAX(G177,AQ177)&gt;=ABS(G177-AQ177)*2,MIN(G177,AQ177)-AS177&lt;=ABS(G177-AQ177)*0.5,ABS(G177-AQ177)&gt;0),"上ヒゲ陰線▼",IF(AND(G177&lt;AQ177,ABS(G177-AQ177)&gt;=(AR177-AS177)*0.7),"大陰線▼",IF(AND(MIN(G177,AQ177)-AS177&gt;=(AR177-AS177)*0.5,AR177-MAX(G177,AQ177)&lt;=(AR177-AS177)*0.2),"長い下ヒゲ(反発)","通常"))))</f>
        <v>通常</v>
      </c>
      <c r="AU177">
        <f>IF(AT177="上ヒゲ陰線▼",2,IF(AT177="大陰線▼",2,IF(AT177="長い下ヒゲ(反発)",-2,0)))</f>
        <v>0</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1848</v>
      </c>
      <c r="F178" s="333">
        <f>IF(C178&lt;&gt;"",_xll.RssMarket(C178,"始値"),"")</f>
        <v>1836</v>
      </c>
      <c r="G178" s="212">
        <f>IF(C178&lt;&gt;"",終値!F61,"")</f>
        <v>1841</v>
      </c>
      <c r="H178" s="333">
        <f>IF(C178&lt;&gt;"",_xll.RssMarket(C178,"高値"),"")</f>
        <v>1863</v>
      </c>
      <c r="I178" s="333">
        <f>IF(C178&lt;&gt;"",_xll.RssMarket(C178,"安値"),"")</f>
        <v>1836</v>
      </c>
      <c r="J178" s="333">
        <f>IF(C178&lt;&gt;"",_xll.RssMarket(C178,"出来高"),"")</f>
        <v>316300</v>
      </c>
      <c r="K178" s="333">
        <f>IF(C178&lt;&gt;"",_xll.RssMarket(C178,"年初来高値"),"")</f>
        <v>1922.5</v>
      </c>
      <c r="L178" s="334">
        <f>IF(AND(E178&lt;&gt;"",K178&lt;&gt;"",K178&lt;&gt;0),(E178-K178)/K178*100,"")</f>
        <v>-3.8751625487646297</v>
      </c>
      <c r="M178" s="333">
        <f>IF(C178&lt;&gt;"",IFERROR(AVERAGE(出来高!E61:I61),""),"")</f>
        <v>362800</v>
      </c>
      <c r="N178" s="333">
        <f>IF(C178&lt;&gt;"",IFERROR(AVERAGE(出来高!E61:AC61),""),"")</f>
        <v>316412</v>
      </c>
      <c r="O178" s="335">
        <f>IF(AND(J178&lt;&gt;"",M178&lt;&gt;"",M178&lt;&gt;0),J178/M178,"")</f>
        <v>0.87183020948180812</v>
      </c>
      <c r="P178" s="212" t="str">
        <f>IF(O178="","",IF(O178&gt;=2,"急増↑↑",IF(O178&gt;=1.5,"増加↑",IF(O178&gt;=1,"普通→","減少↓"))))</f>
        <v>減少↓</v>
      </c>
      <c r="Q178" s="212" t="str">
        <f>IF(E178="","",IF(AND(E178&lt;G178,O178&gt;=1.5),"売り▼",IF(E178&gt;G178,"様子見▲","中立→")))</f>
        <v>様子見▲</v>
      </c>
      <c r="R178" s="333">
        <f>IF(E178&lt;&gt;"",ROUND(E178*0.92,0),"")</f>
        <v>1700</v>
      </c>
      <c r="S178" s="333">
        <f>IF(E178&lt;&gt;"",ROUND(E178*1.04,0),"")</f>
        <v>1922</v>
      </c>
      <c r="T178" s="325">
        <f>IF(C178="","",IFERROR(IF(W178&gt;=70,3,IF(W178&gt;=60,2,IF(W178&gt;=50,1,0)))+IF(X178&lt;0,2,0)+IF(AD178="下降トレンド▼",3,IF(AD178="もみ合い→",1,0))+IF(V178="年初来安値圏●",3,IF(V178="安値圏",2,0))+IF(Q178="売り▼",2,0)+IF(P178="急増↑↑",2,IF(P178="増加↑",1,0))+IF(Z178&lt;0,1,0)+IF(L178&lt;=-30,2,IF(L178&lt;=-15,1,0))+IF(AE178="25日戻り売り★",2,IF(AE178="5日戻り売り○",1,0))+N(AL178)+N(AP178)+N(AU178),0))</f>
        <v>1</v>
      </c>
      <c r="U178" s="212" t="str">
        <f>IF(T178="","",IF(AND(T178&gt;=3,O178&gt;=1.5),"有効",IF(T178&gt;=3,"要確認","除外")))</f>
        <v>除外</v>
      </c>
      <c r="V178" s="212" t="str">
        <f>IF(AND(I178&lt;&gt;"",K178&lt;&gt;""),IF(I178&lt;=K178*0.6,"年初来安値圏●",IF(I178&lt;=K178*0.75,"安値圏","通常")),"")</f>
        <v>通常</v>
      </c>
      <c r="W178" s="336">
        <f t="array" ref="W178">IFERROR(100-100/(1+SUMPRODUCT((終値!F61:R61&gt;終値!G61:S61)*(終値!F61:R61-終値!G61:S61))/SUMPRODUCT((終値!F61:R61&lt;終値!G61:S61)*(終値!G61:S61-終値!F61:R61))),50)</f>
        <v>74.365482233502533</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13.314295352234922</v>
      </c>
      <c r="Y178" s="212" t="str">
        <f>IF(AF178="","",AF178&amp;" | "&amp;AD178&amp;IF(AE178&lt;&gt;"なし"," "&amp;AE178,"")&amp;IF(X178&lt;0," MACD-"," MACD+")&amp;" RSI:"&amp;TEXT(W178,"0.0")&amp;IF(W178&gt;=70," [過熱]",IF(W178&lt;=30," [売られ過ぎ]",""))&amp;" 前日比:"&amp;TEXT(Z178,"+0.0;-0.0;0.0")&amp;"%"&amp;IF(V178="年初来安値圏●"," [年初来安値圏]",IF(V178="安値圏"," [安値圏]",""))&amp;IF(OR(AO178="通常",AO178="-"),""," ["&amp;AO178&amp;"]")&amp;IF(OR(AT178="通常",AT178="-"),"","前日["&amp;AT178&amp;"]")&amp;" ["&amp;T178&amp;"点]")</f>
        <v>△過熱・様子見 | パーフェクト▲ MACD+ RSI:74.4 [過熱] 前日比:+0.4% [1点]</v>
      </c>
      <c r="Z178" s="338">
        <f>IF(AND(E178&lt;&gt;"",G178&lt;&gt;"",G178&lt;&gt;0),(E178-G178)/G178*100,"")</f>
        <v>0.38022813688212925</v>
      </c>
      <c r="AA178" s="212" t="str">
        <f>IF(OR(C178="",E178="",E178=0),"",IF(E178&gt;G178,"上昇▲",IF(E178&lt;G178,"下落▼","横ばい→")))</f>
        <v>上昇▲</v>
      </c>
      <c r="AB178" s="333">
        <f>IF(OR(C178="",C178="TOPX",終値!E61=""),"",IFERROR(((終値!E61*0.333)+(終値!F61*0.222)+(終値!G61*0.148)+(終値!H61*0.099)+(終値!I61*0.066))/(0.333+0.222+0.148+0.099+0.066),""))</f>
        <v>1836.6514976958524</v>
      </c>
      <c r="AC178" s="333">
        <f>IF(OR(C178="",C178="TOPX",終値!E61=""),"",IFERROR(SUMPRODUCT((終値!E61:AC61),{0.077,0.071,0.065,0.06,0.055,0.051,0.047,0.043,0.039,0.036,0.033,0.031,0.028,0.026,0.024,0.022,0.02,0.018,0.017,0.016,0.014,0.013,0.012,0.011,0.01})/SUM({0.077,0.071,0.065,0.06,0.055,0.051,0.047,0.043,0.039,0.036,0.033,0.031,0.028,0.026,0.024,0.022,0.02,0.018,0.017,0.016,0.014,0.013,0.012,0.011,0.01}),""))</f>
        <v>1790.2920143027404</v>
      </c>
      <c r="AD178" s="212" t="str">
        <f>IF(OR(C178="",AB178="",AC178="",AB178=0,AC178=0),"",IF(AND(E178&gt;AB178,AB178&gt;AC178),"パーフェクト▲",IF(E178&gt;AC178,"上昇トレンド▲",IF(AND(E178&lt;AB178,AB178&lt;AC178),"下降トレンド▼","もみ合い→"))))</f>
        <v>パーフェクト▲</v>
      </c>
      <c r="AE178" s="212" t="str">
        <f>IF(OR(C178="",AB178="",AC178=""),"",IF(AND(ABS(E178-AC178)/AC178&lt;=0.02,E178&lt;AC178),"25日戻り売り★",IF(AND(ABS(E178-AB178)/AB178&lt;=0.01,E178&lt;AB178),"5日戻り売り○","なし")))</f>
        <v>なし</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△過熱・様子見</v>
      </c>
      <c r="AG178">
        <f>IF(AND(T178&gt;=7,C178&lt;&gt;""),T178,0)</f>
        <v>0</v>
      </c>
      <c r="AH178">
        <f>IF(AG178&gt;0,AG178*10000-ROW(A178),0)</f>
        <v>0</v>
      </c>
      <c r="AI178" s="373">
        <f t="array" ref="AI178">IF(C178="","",IFERROR((INDEX(終値!$E:$E,MATCH(TEXT(C178,"0"),終値!$A:$A,0))-INDEX(終値!$E:$CZ,MATCH(TEXT(C178,"0"),終値!$A:$A,0),$AN$2))/INDEX(終値!$E:$CZ,MATCH(TEXT(C178,"0"),終値!$A:$A,0),$AN$2)*100,""))</f>
        <v>6.5436725281060832</v>
      </c>
      <c r="AJ178" s="373">
        <f t="array" ref="AJ178">IFERROR((終値!$E$5-INDEX(終値!$E$5:$IT$5,1,$AN$2))/INDEX(終値!$E$5:$IT$5,1,$AN$2)*100,"")</f>
        <v>1.0179378228534113</v>
      </c>
      <c r="AK178" s="374">
        <f>IF(OR(AI178="",AJ178=""),"",AI178-AJ178)</f>
        <v>5.5257347052526722</v>
      </c>
      <c r="AL178" s="372">
        <f>IF(AK178="","",IF(AK178&lt;-5,3,IF(AK178&lt;0,1,IF(AK178&lt;3,-1,-2))))</f>
        <v>-2</v>
      </c>
      <c r="AO178" s="376" t="str">
        <f>IF(OR($C178="",$E178="",$F178="",$H178="",$I178="",$H178-$I178&lt;=0),"-",IF(AND($H178-MAX($F178,$E178)&gt;=ABS($E178-$F178)*2,MIN($F178,$E178)-$I178&lt;=ABS($E178-$F178)*0.5,ABS($E178-$F178)&gt;0),"上ヒゲ陰線▼",IF(AND($E178&lt;$F178,ABS($E178-$F178)&gt;=($H178-$I178)*0.7),"大陰線▼",IF(AND(MIN($F178,$E178)-$I178&gt;=($H178-$I178)*0.5,$H178-MAX($F178,$E178)&lt;=($H178-$I178)*0.2),"長い下ヒゲ(反発警戒)","通常"))))</f>
        <v>通常</v>
      </c>
      <c r="AP178" s="377">
        <f>IF($AO178="上ヒゲ陰線▼",2,IF($AO178="大陰線▼",2,IF($AO178="長い下ヒゲ(反発警戒)",-2,0)))</f>
        <v>0</v>
      </c>
      <c r="AQ178">
        <f>IF(C178&lt;&gt;"",始値!F61,"")</f>
        <v>1829</v>
      </c>
      <c r="AR178">
        <f>IF(C178&lt;&gt;"",高値!F61,"")</f>
        <v>1845</v>
      </c>
      <c r="AS178">
        <f>IF(C178&lt;&gt;"",安値!F61,"")</f>
        <v>1826.5</v>
      </c>
      <c r="AT178" t="str">
        <f>IF(OR(C178="",AQ178="",AR178="",AS178="",AR178-AS178&lt;=0),"-",IF(AND(AR178-MAX(G178,AQ178)&gt;=ABS(G178-AQ178)*2,MIN(G178,AQ178)-AS178&lt;=ABS(G178-AQ178)*0.5,ABS(G178-AQ178)&gt;0),"上ヒゲ陰線▼",IF(AND(G178&lt;AQ178,ABS(G178-AQ178)&gt;=(AR178-AS178)*0.7),"大陰線▼",IF(AND(MIN(G178,AQ178)-AS178&gt;=(AR178-AS178)*0.5,AR178-MAX(G178,AQ178)&lt;=(AR178-AS178)*0.2),"長い下ヒゲ(反発)","通常"))))</f>
        <v>通常</v>
      </c>
      <c r="AU178">
        <f>IF(AT178="上ヒゲ陰線▼",2,IF(AT178="大陰線▼",2,IF(AT178="長い下ヒゲ(反発)",-2,0)))</f>
        <v>0</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1085</v>
      </c>
      <c r="F179" s="326">
        <f>IF(C179&lt;&gt;"",_xll.RssMarket(C179,"始値"),"")</f>
        <v>1069</v>
      </c>
      <c r="G179" s="325">
        <f>IF(C179&lt;&gt;"",終値!F63,"")</f>
        <v>1067</v>
      </c>
      <c r="H179" s="326">
        <f>IF(C179&lt;&gt;"",_xll.RssMarket(C179,"高値"),"")</f>
        <v>1087</v>
      </c>
      <c r="I179" s="326">
        <f>IF(C179&lt;&gt;"",_xll.RssMarket(C179,"安値"),"")</f>
        <v>1069</v>
      </c>
      <c r="J179" s="326">
        <f>IF(C179&lt;&gt;"",_xll.RssMarket(C179,"出来高"),"")</f>
        <v>57800</v>
      </c>
      <c r="K179" s="326">
        <f>IF(C179&lt;&gt;"",_xll.RssMarket(C179,"年初来高値"),"")</f>
        <v>1168</v>
      </c>
      <c r="L179" s="327">
        <f>IF(AND(E179&lt;&gt;"",K179&lt;&gt;"",K179&lt;&gt;0),(E179-K179)/K179*100,"")</f>
        <v>-7.1061643835616444</v>
      </c>
      <c r="M179" s="326">
        <f>IF(C179&lt;&gt;"",IFERROR(AVERAGE(出来高!E63:I63),""),"")</f>
        <v>79260</v>
      </c>
      <c r="N179" s="326">
        <f>IF(C179&lt;&gt;"",IFERROR(AVERAGE(出来高!E63:AC63),""),"")</f>
        <v>83300</v>
      </c>
      <c r="O179" s="328">
        <f>IF(AND(J179&lt;&gt;"",M179&lt;&gt;"",M179&lt;&gt;0),J179/M179,"")</f>
        <v>0.7292455210698966</v>
      </c>
      <c r="P179" s="325" t="str">
        <f>IF(O179="","",IF(O179&gt;=2,"急増↑↑",IF(O179&gt;=1.5,"増加↑",IF(O179&gt;=1,"普通→","減少↓"))))</f>
        <v>減少↓</v>
      </c>
      <c r="Q179" s="325" t="str">
        <f>IF(E179="","",IF(AND(E179&lt;G179,O179&gt;=1.5),"売り▼",IF(E179&gt;G179,"様子見▲","中立→")))</f>
        <v>様子見▲</v>
      </c>
      <c r="R179" s="326">
        <f>IF(E179&lt;&gt;"",ROUND(E179*0.92,0),"")</f>
        <v>998</v>
      </c>
      <c r="S179" s="326">
        <f>IF(E179&lt;&gt;"",ROUND(E179*1.04,0),"")</f>
        <v>1128</v>
      </c>
      <c r="T179" s="325">
        <f>IF(C179="","",IFERROR(IF(W179&gt;=70,3,IF(W179&gt;=60,2,IF(W179&gt;=50,1,0)))+IF(X179&lt;0,2,0)+IF(AD179="下降トレンド▼",3,IF(AD179="もみ合い→",1,0))+IF(V179="年初来安値圏●",3,IF(V179="安値圏",2,0))+IF(Q179="売り▼",2,0)+IF(P179="急増↑↑",2,IF(P179="増加↑",1,0))+IF(Z179&lt;0,1,0)+IF(L179&lt;=-30,2,IF(L179&lt;=-15,1,0))+IF(AE179="25日戻り売り★",2,IF(AE179="5日戻り売り○",1,0))+N(AL179)+N(AP179)+N(AU179),0))</f>
        <v>1</v>
      </c>
      <c r="U179" s="325" t="str">
        <f>IF(T179="","",IF(AND(T179&gt;=3,O179&gt;=1.5),"有効",IF(T179&gt;=3,"要確認","除外")))</f>
        <v>除外</v>
      </c>
      <c r="V179" s="325" t="str">
        <f>IF(AND(I179&lt;&gt;"",K179&lt;&gt;""),IF(I179&lt;=K179*0.6,"年初来安値圏●",IF(I179&lt;=K179*0.75,"安値圏","通常")),"")</f>
        <v>通常</v>
      </c>
      <c r="W179" s="329">
        <f t="array" ref="W179">IFERROR(100-100/(1+SUMPRODUCT((終値!F63:R63&gt;終値!G63:S63)*(終値!F63:R63-終値!G63:S63))/SUMPRODUCT((終値!F63:R63&lt;終値!G63:S63)*(終値!G63:S63-終値!F63:R63))),50)</f>
        <v>49.406276505513148</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-5.3776623056130575</v>
      </c>
      <c r="Y179" s="325" t="str">
        <f>IF(AF179="","",AF179&amp;" | "&amp;AD179&amp;IF(AE179&lt;&gt;"なし"," "&amp;AE179,"")&amp;IF(X179&lt;0," MACD-"," MACD+")&amp;" RSI:"&amp;TEXT(W179,"0.0")&amp;IF(W179&gt;=70," [過熱]",IF(W179&lt;=30," [売られ過ぎ]",""))&amp;" 前日比:"&amp;TEXT(Z179,"+0.0;-0.0;0.0")&amp;"%"&amp;IF(V179="年初来安値圏●"," [年初来安値圏]",IF(V179="安値圏"," [安値圏]",""))&amp;IF(OR(AO179="通常",AO179="-"),""," ["&amp;AO179&amp;"]")&amp;IF(OR(AT179="通常",AT179="-"),"","前日["&amp;AT179&amp;"]")&amp;" ["&amp;T179&amp;"点]")</f>
        <v>相場上昇・見送り | パーフェクト▲ MACD- RSI:49.4 前日比:+1.7% [1点]</v>
      </c>
      <c r="Z179" s="331">
        <f>IF(AND(E179&lt;&gt;"",G179&lt;&gt;"",G179&lt;&gt;0),(E179-G179)/G179*100,"")</f>
        <v>1.6869728209934396</v>
      </c>
      <c r="AA179" s="325" t="str">
        <f>IF(OR(C179="",E179="",E179=0),"",IF(E179&gt;G179,"上昇▲",IF(E179&lt;G179,"下落▼","横ばい→")))</f>
        <v>上昇▲</v>
      </c>
      <c r="AB179" s="326">
        <f>IF(OR(C179="",C179="TOPX",終値!E63=""),"",IFERROR(((終値!E63*0.333)+(終値!F63*0.222)+(終値!G63*0.148)+(終値!H63*0.099)+(終値!I63*0.066))/(0.333+0.222+0.148+0.099+0.066),""))</f>
        <v>1079.8133640552994</v>
      </c>
      <c r="AC179" s="326">
        <f>IF(OR(C179="",C179="TOPX",終値!E63=""),"",IFERROR(SUMPRODUCT((終値!E63:AC63),{0.077,0.071,0.065,0.06,0.055,0.051,0.047,0.043,0.039,0.036,0.033,0.031,0.028,0.026,0.024,0.022,0.02,0.018,0.017,0.016,0.014,0.013,0.012,0.011,0.01})/SUM({0.077,0.071,0.065,0.06,0.055,0.051,0.047,0.043,0.039,0.036,0.033,0.031,0.028,0.026,0.024,0.022,0.02,0.018,0.017,0.016,0.014,0.013,0.012,0.011,0.01}),""))</f>
        <v>1049.4290822407622</v>
      </c>
      <c r="AD179" s="325" t="str">
        <f>IF(OR(C179="",AB179="",AC179="",AB179=0,AC179=0),"",IF(AND(E179&gt;AB179,AB179&gt;AC179),"パーフェクト▲",IF(E179&gt;AC179,"上昇トレンド▲",IF(AND(E179&lt;AB179,AB179&lt;AC179),"下降トレンド▼","もみ合い→"))))</f>
        <v>パーフェクト▲</v>
      </c>
      <c r="AE179" s="325" t="str">
        <f>IF(OR(C179="",AB179="",AC179=""),"",IF(AND(ABS(E179-AC179)/AC179&lt;=0.02,E179&lt;AC179),"25日戻り売り★",IF(AND(ABS(E179-AB179)/AB179&lt;=0.01,E179&lt;AB179),"5日戻り売り○","なし")))</f>
        <v>なし</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相場上昇・見送り</v>
      </c>
      <c r="AG179">
        <f>IF(AND(T179&gt;=7,C179&lt;&gt;""),T179,0)</f>
        <v>0</v>
      </c>
      <c r="AH179">
        <f>IF(AG179&gt;0,AG179*10000-ROW(A179),0)</f>
        <v>0</v>
      </c>
      <c r="AI179" s="373">
        <f t="array" ref="AI179">IF(C179="","",IFERROR((INDEX(終値!$E:$E,MATCH(TEXT(C179,"0"),終値!$A:$A,0))-INDEX(終値!$E:$CZ,MATCH(TEXT(C179,"0"),終値!$A:$A,0),$AN$2))/INDEX(終値!$E:$CZ,MATCH(TEXT(C179,"0"),終値!$A:$A,0),$AN$2)*100,""))</f>
        <v>3.0389363722697058</v>
      </c>
      <c r="AJ179" s="373">
        <f t="array" ref="AJ179">IFERROR((終値!$E$5-INDEX(終値!$E$5:$IT$5,1,$AN$2))/INDEX(終値!$E$5:$IT$5,1,$AN$2)*100,"")</f>
        <v>1.0179378228534113</v>
      </c>
      <c r="AK179" s="374">
        <f>IF(OR(AI179="",AJ179=""),"",AI179-AJ179)</f>
        <v>2.0209985494162943</v>
      </c>
      <c r="AL179" s="372">
        <f>IF(AK179="","",IF(AK179&lt;-5,3,IF(AK179&lt;0,1,IF(AK179&lt;3,-1,-2))))</f>
        <v>-1</v>
      </c>
      <c r="AO179" s="376" t="str">
        <f>IF(OR($C179="",$E179="",$F179="",$H179="",$I179="",$H179-$I179&lt;=0),"-",IF(AND($H179-MAX($F179,$E179)&gt;=ABS($E179-$F179)*2,MIN($F179,$E179)-$I179&lt;=ABS($E179-$F179)*0.5,ABS($E179-$F179)&gt;0),"上ヒゲ陰線▼",IF(AND($E179&lt;$F179,ABS($E179-$F179)&gt;=($H179-$I179)*0.7),"大陰線▼",IF(AND(MIN($F179,$E179)-$I179&gt;=($H179-$I179)*0.5,$H179-MAX($F179,$E179)&lt;=($H179-$I179)*0.2),"長い下ヒゲ(反発警戒)","通常"))))</f>
        <v>通常</v>
      </c>
      <c r="AP179" s="377">
        <f>IF($AO179="上ヒゲ陰線▼",2,IF($AO179="大陰線▼",2,IF($AO179="長い下ヒゲ(反発警戒)",-2,0)))</f>
        <v>0</v>
      </c>
      <c r="AQ179">
        <f>IF(C179&lt;&gt;"",始値!F63,"")</f>
        <v>1074</v>
      </c>
      <c r="AR179">
        <f>IF(C179&lt;&gt;"",高値!F63,"")</f>
        <v>1079</v>
      </c>
      <c r="AS179">
        <f>IF(C179&lt;&gt;"",安値!F63,"")</f>
        <v>1067</v>
      </c>
      <c r="AT179" t="str">
        <f>IF(OR(C179="",AQ179="",AR179="",AS179="",AR179-AS179&lt;=0),"-",IF(AND(AR179-MAX(G179,AQ179)&gt;=ABS(G179-AQ179)*2,MIN(G179,AQ179)-AS179&lt;=ABS(G179-AQ179)*0.5,ABS(G179-AQ179)&gt;0),"上ヒゲ陰線▼",IF(AND(G179&lt;AQ179,ABS(G179-AQ179)&gt;=(AR179-AS179)*0.7),"大陰線▼",IF(AND(MIN(G179,AQ179)-AS179&gt;=(AR179-AS179)*0.5,AR179-MAX(G179,AQ179)&lt;=(AR179-AS179)*0.2),"長い下ヒゲ(反発)","通常"))))</f>
        <v>通常</v>
      </c>
      <c r="AU179">
        <f>IF(AT179="上ヒゲ陰線▼",2,IF(AT179="大陰線▼",2,IF(AT179="長い下ヒゲ(反発)",-2,0)))</f>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5750</v>
      </c>
      <c r="G180" s="212">
        <f>IF(C180&lt;&gt;"",終値!F80,"")</f>
        <v>5740</v>
      </c>
      <c r="H180" s="333">
        <f>IF(C180&lt;&gt;"",_xll.RssMarket(C180,"高値"),"")</f>
        <v>5830</v>
      </c>
      <c r="I180" s="333">
        <f>IF(C180&lt;&gt;"",_xll.RssMarket(C180,"安値"),"")</f>
        <v>5720</v>
      </c>
      <c r="J180" s="333">
        <f>IF(C180&lt;&gt;"",_xll.RssMarket(C180,"出来高"),"")</f>
        <v>121400</v>
      </c>
      <c r="K180" s="333">
        <f>IF(C180&lt;&gt;"",_xll.RssMarket(C180,"年初来高値"),"")</f>
        <v>7490</v>
      </c>
      <c r="L180" s="334">
        <f>IF(AND(E180&lt;&gt;"",K180&lt;&gt;"",K180&lt;&gt;0),(E180-K180)/K180*100,"")</f>
        <v>-22.696929238985312</v>
      </c>
      <c r="M180" s="333">
        <f>IF(C180&lt;&gt;"",IFERROR(AVERAGE(出来高!E80:I80),""),"")</f>
        <v>101400</v>
      </c>
      <c r="N180" s="333">
        <f>IF(C180&lt;&gt;"",IFERROR(AVERAGE(出来高!E80:AC80),""),"")</f>
        <v>103262.5</v>
      </c>
      <c r="O180" s="335">
        <f>IF(AND(J180&lt;&gt;"",M180&lt;&gt;"",M180&lt;&gt;0),J180/M180,"")</f>
        <v>1.1972386587771202</v>
      </c>
      <c r="P180" s="212" t="str">
        <f>IF(O180="","",IF(O180&gt;=2,"急増↑↑",IF(O180&gt;=1.5,"増加↑",IF(O180&gt;=1,"普通→","減少↓"))))</f>
        <v>普通→</v>
      </c>
      <c r="Q180" s="212" t="str">
        <f>IF(E180="","",IF(AND(E180&lt;G180,O180&gt;=1.5),"売り▼",IF(E180&gt;G180,"様子見▲","中立→")))</f>
        <v>様子見▲</v>
      </c>
      <c r="R180" s="333">
        <f>IF(E180&lt;&gt;"",ROUND(E180*0.92,0),"")</f>
        <v>5327</v>
      </c>
      <c r="S180" s="333">
        <f>IF(E180&lt;&gt;"",ROUND(E180*1.04,0),"")</f>
        <v>6022</v>
      </c>
      <c r="T180" s="325">
        <f>IF(C180="","",IFERROR(IF(W180&gt;=70,3,IF(W180&gt;=60,2,IF(W180&gt;=50,1,0)))+IF(X180&lt;0,2,0)+IF(AD180="下降トレンド▼",3,IF(AD180="もみ合い→",1,0))+IF(V180="年初来安値圏●",3,IF(V180="安値圏",2,0))+IF(Q180="売り▼",2,0)+IF(P180="急増↑↑",2,IF(P180="増加↑",1,0))+IF(Z180&lt;0,1,0)+IF(L180&lt;=-30,2,IF(L180&lt;=-15,1,0))+IF(AE180="25日戻り売り★",2,IF(AE180="5日戻り売り○",1,0))+N(AL180)+N(AP180)+N(AU180),0))</f>
        <v>3</v>
      </c>
      <c r="U180" s="212" t="str">
        <f>IF(T180="","",IF(AND(T180&gt;=3,O180&gt;=1.5),"有効",IF(T180&gt;=3,"要確認","除外")))</f>
        <v>要確認</v>
      </c>
      <c r="V180" s="212" t="str">
        <f>IF(AND(I180&lt;&gt;"",K180&lt;&gt;""),IF(I180&lt;=K180*0.6,"年初来安値圏●",IF(I180&lt;=K180*0.75,"安値圏","通常")),"")</f>
        <v>通常</v>
      </c>
      <c r="W180" s="336">
        <f t="array" ref="W180">IFERROR(100-100/(1+SUMPRODUCT((終値!F80:R80&gt;終値!G80:S80)*(終値!F80:R80-終値!G80:S80))/SUMPRODUCT((終値!F80:R80&lt;終値!G80:S80)*(終値!G80:S80-終値!F80:R80))),50)</f>
        <v>50.251677852348998</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-3.8555319834886177</v>
      </c>
      <c r="Y180" s="212" t="str">
        <f>IF(AF180="","",AF180&amp;" | "&amp;AD180&amp;IF(AE180&lt;&gt;"なし"," "&amp;AE180,"")&amp;IF(X180&lt;0," MACD-"," MACD+")&amp;" RSI:"&amp;TEXT(W180,"0.0")&amp;IF(W180&gt;=70," [過熱]",IF(W180&lt;=30," [売られ過ぎ]",""))&amp;" 前日比:"&amp;TEXT(Z180,"+0.0;-0.0;0.0")&amp;"%"&amp;IF(V180="年初来安値圏●"," [年初来安値圏]",IF(V180="安値圏"," [安値圏]",""))&amp;IF(OR(AO180="通常",AO180="-"),""," ["&amp;AO180&amp;"]")&amp;IF(OR(AT180="通常",AT180="-"),"","前日["&amp;AT180&amp;"]")&amp;" ["&amp;T180&amp;"点]")</f>
        <v>相場上昇・見送り | パーフェクト▲ MACD- RSI:50.3 前日比:+0.9% [3点]</v>
      </c>
      <c r="Z180" s="338">
        <f>IF(AND(E180&lt;&gt;"",G180&lt;&gt;"",G180&lt;&gt;0),(E180-G180)/G180*100,"")</f>
        <v>0.87108013937282225</v>
      </c>
      <c r="AA180" s="212" t="str">
        <f>IF(OR(C180="",E180="",E180=0),"",IF(E180&gt;G180,"上昇▲",IF(E180&lt;G180,"下落▼","横ばい→")))</f>
        <v>上昇▲</v>
      </c>
      <c r="AB180" s="333">
        <f>IF(OR(C180="",C180="TOPX",終値!E80=""),"",IFERROR(((終値!E80*0.333)+(終値!F80*0.222)+(終値!G80*0.148)+(終値!H80*0.099)+(終値!I80*0.066))/(0.333+0.222+0.148+0.099+0.066),""))</f>
        <v>5765.8410138248855</v>
      </c>
      <c r="AC180" s="333">
        <f>IF(OR(C180="",C180="TOPX",終値!E80=""),"",IFERROR(SUMPRODUCT((終値!E80:AC80),{0.077,0.071,0.065,0.06,0.055,0.051,0.047,0.043,0.039,0.036,0.033,0.031,0.028,0.026,0.024,0.022,0.02,0.018,0.017,0.016,0.014,0.013,0.012,0.011,0.01})/SUM({0.077,0.071,0.065,0.06,0.055,0.051,0.047,0.043,0.039,0.036,0.033,0.031,0.028,0.026,0.024,0.022,0.02,0.018,0.017,0.016,0.014,0.013,0.012,0.011,0.01}),""))</f>
        <v>5496.6984505363507</v>
      </c>
      <c r="AD180" s="212" t="str">
        <f>IF(OR(C180="",AB180="",AC180="",AB180=0,AC180=0),"",IF(AND(E180&gt;AB180,AB180&gt;AC180),"パーフェクト▲",IF(E180&gt;AC180,"上昇トレンド▲",IF(AND(E180&lt;AB180,AB180&lt;AC180),"下降トレンド▼","もみ合い→"))))</f>
        <v>パーフェクト▲</v>
      </c>
      <c r="AE180" s="212" t="str">
        <f>IF(OR(C180="",AB180="",AC180=""),"",IF(AND(ABS(E180-AC180)/AC180&lt;=0.02,E180&lt;AC180),"25日戻り売り★",IF(AND(ABS(E180-AB180)/AB180&lt;=0.01,E180&lt;AB180),"5日戻り売り○","なし")))</f>
        <v>なし</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相場上昇・見送り</v>
      </c>
      <c r="AG180">
        <f>IF(AND(T180&gt;=7,C180&lt;&gt;""),T180,0)</f>
        <v>0</v>
      </c>
      <c r="AH180">
        <f>IF(AG180&gt;0,AG180*10000-ROW(A180),0)</f>
        <v>0</v>
      </c>
      <c r="AI180" s="373">
        <f t="array" ref="AI180">IF(C180="","",IFERROR((INDEX(終値!$E:$E,MATCH(TEXT(C180,"0"),終値!$A:$A,0))-INDEX(終値!$E:$CZ,MATCH(TEXT(C180,"0"),終値!$A:$A,0),$AN$2))/INDEX(終値!$E:$CZ,MATCH(TEXT(C180,"0"),終値!$A:$A,0),$AN$2)*100,""))</f>
        <v>2.6595744680851063</v>
      </c>
      <c r="AJ180" s="373">
        <f t="array" ref="AJ180">IFERROR((終値!$E$5-INDEX(終値!$E$5:$IT$5,1,$AN$2))/INDEX(終値!$E$5:$IT$5,1,$AN$2)*100,"")</f>
        <v>1.0179378228534113</v>
      </c>
      <c r="AK180" s="374">
        <f>IF(OR(AI180="",AJ180=""),"",AI180-AJ180)</f>
        <v>1.6416366452316951</v>
      </c>
      <c r="AL180" s="372">
        <f>IF(AK180="","",IF(AK180&lt;-5,3,IF(AK180&lt;0,1,IF(AK180&lt;3,-1,-2))))</f>
        <v>-1</v>
      </c>
      <c r="AO180" s="376" t="str">
        <f>IF(OR($C180="",$E180="",$F180="",$H180="",$I180="",$H180-$I180&lt;=0),"-",IF(AND($H180-MAX($F180,$E180)&gt;=ABS($E180-$F180)*2,MIN($F180,$E180)-$I180&lt;=ABS($E180-$F180)*0.5,ABS($E180-$F180)&gt;0),"上ヒゲ陰線▼",IF(AND($E180&lt;$F180,ABS($E180-$F180)&gt;=($H180-$I180)*0.7),"大陰線▼",IF(AND(MIN($F180,$E180)-$I180&gt;=($H180-$I180)*0.5,$H180-MAX($F180,$E180)&lt;=($H180-$I180)*0.2),"長い下ヒゲ(反発警戒)","通常"))))</f>
        <v>通常</v>
      </c>
      <c r="AP180" s="377">
        <f>IF($AO180="上ヒゲ陰線▼",2,IF($AO180="大陰線▼",2,IF($AO180="長い下ヒゲ(反発警戒)",-2,0)))</f>
        <v>0</v>
      </c>
      <c r="AQ180">
        <f>IF(C180&lt;&gt;"",始値!F80,"")</f>
        <v>5750</v>
      </c>
      <c r="AR180">
        <f>IF(C180&lt;&gt;"",高値!F80,"")</f>
        <v>5770</v>
      </c>
      <c r="AS180">
        <f>IF(C180&lt;&gt;"",安値!F80,"")</f>
        <v>5710</v>
      </c>
      <c r="AT180" t="str">
        <f>IF(OR(C180="",AQ180="",AR180="",AS180="",AR180-AS180&lt;=0),"-",IF(AND(AR180-MAX(G180,AQ180)&gt;=ABS(G180-AQ180)*2,MIN(G180,AQ180)-AS180&lt;=ABS(G180-AQ180)*0.5,ABS(G180-AQ180)&gt;0),"上ヒゲ陰線▼",IF(AND(G180&lt;AQ180,ABS(G180-AQ180)&gt;=(AR180-AS180)*0.7),"大陰線▼",IF(AND(MIN(G180,AQ180)-AS180&gt;=(AR180-AS180)*0.5,AR180-MAX(G180,AQ180)&lt;=(AR180-AS180)*0.2),"長い下ヒゲ(反発)","通常"))))</f>
        <v>通常</v>
      </c>
      <c r="AU180">
        <f>IF(AT180="上ヒゲ陰線▼",2,IF(AT180="大陰線▼",2,IF(AT180="長い下ヒゲ(反発)",-2,0)))</f>
        <v>0</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4588</v>
      </c>
      <c r="F181" s="326">
        <f>IF(C181&lt;&gt;"",_xll.RssMarket(C181,"始値"),"")</f>
        <v>4533</v>
      </c>
      <c r="G181" s="325">
        <f>IF(C181&lt;&gt;"",終値!F83,"")</f>
        <v>4513</v>
      </c>
      <c r="H181" s="326">
        <f>IF(C181&lt;&gt;"",_xll.RssMarket(C181,"高値"),"")</f>
        <v>4607</v>
      </c>
      <c r="I181" s="326">
        <f>IF(C181&lt;&gt;"",_xll.RssMarket(C181,"安値"),"")</f>
        <v>4517</v>
      </c>
      <c r="J181" s="326">
        <f>IF(C181&lt;&gt;"",_xll.RssMarket(C181,"出来高"),"")</f>
        <v>2432300</v>
      </c>
      <c r="K181" s="326">
        <f>IF(C181&lt;&gt;"",_xll.RssMarket(C181,"年初来高値"),"")</f>
        <v>5805</v>
      </c>
      <c r="L181" s="327">
        <f>IF(AND(E181&lt;&gt;"",K181&lt;&gt;"",K181&lt;&gt;0),(E181-K181)/K181*100,"")</f>
        <v>-20.964685615848406</v>
      </c>
      <c r="M181" s="326">
        <f>IF(C181&lt;&gt;"",IFERROR(AVERAGE(出来高!E83:I83),""),"")</f>
        <v>2335540</v>
      </c>
      <c r="N181" s="326">
        <f>IF(C181&lt;&gt;"",IFERROR(AVERAGE(出来高!E83:AC83),""),"")</f>
        <v>2091572</v>
      </c>
      <c r="O181" s="328">
        <f>IF(AND(J181&lt;&gt;"",M181&lt;&gt;"",M181&lt;&gt;0),J181/M181,"")</f>
        <v>1.0414293910615959</v>
      </c>
      <c r="P181" s="325" t="str">
        <f>IF(O181="","",IF(O181&gt;=2,"急増↑↑",IF(O181&gt;=1.5,"増加↑",IF(O181&gt;=1,"普通→","減少↓"))))</f>
        <v>普通→</v>
      </c>
      <c r="Q181" s="325" t="str">
        <f>IF(E181="","",IF(AND(E181&lt;G181,O181&gt;=1.5),"売り▼",IF(E181&gt;G181,"様子見▲","中立→")))</f>
        <v>様子見▲</v>
      </c>
      <c r="R181" s="326">
        <f>IF(E181&lt;&gt;"",ROUND(E181*0.92,0),"")</f>
        <v>4221</v>
      </c>
      <c r="S181" s="326">
        <f>IF(E181&lt;&gt;"",ROUND(E181*1.04,0),"")</f>
        <v>4772</v>
      </c>
      <c r="T181" s="325">
        <f>IF(C181="","",IFERROR(IF(W181&gt;=70,3,IF(W181&gt;=60,2,IF(W181&gt;=50,1,0)))+IF(X181&lt;0,2,0)+IF(AD181="下降トレンド▼",3,IF(AD181="もみ合い→",1,0))+IF(V181="年初来安値圏●",3,IF(V181="安値圏",2,0))+IF(Q181="売り▼",2,0)+IF(P181="急増↑↑",2,IF(P181="増加↑",1,0))+IF(Z181&lt;0,1,0)+IF(L181&lt;=-30,2,IF(L181&lt;=-15,1,0))+IF(AE181="25日戻り売り★",2,IF(AE181="5日戻り売り○",1,0))+N(AL181)+N(AP181)+N(AU181),0))</f>
        <v>2</v>
      </c>
      <c r="U181" s="325" t="str">
        <f>IF(T181="","",IF(AND(T181&gt;=3,O181&gt;=1.5),"有効",IF(T181&gt;=3,"要確認","除外")))</f>
        <v>除外</v>
      </c>
      <c r="V181" s="325" t="str">
        <f>IF(AND(I181&lt;&gt;"",K181&lt;&gt;""),IF(I181&lt;=K181*0.6,"年初来安値圏●",IF(I181&lt;=K181*0.75,"安値圏","通常")),"")</f>
        <v>通常</v>
      </c>
      <c r="W181" s="329">
        <f t="array" ref="W181">IFERROR(100-100/(1+SUMPRODUCT((終値!F83:R83&gt;終値!G83:S83)*(終値!F83:R83-終値!G83:S83))/SUMPRODUCT((終値!F83:R83&lt;終値!G83:S83)*(終値!G83:S83-終値!F83:R83))),50)</f>
        <v>45.095828635851184</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10.154764984737085</v>
      </c>
      <c r="Y181" s="325" t="str">
        <f>IF(AF181="","",AF181&amp;" | "&amp;AD181&amp;IF(AE181&lt;&gt;"なし"," "&amp;AE181,"")&amp;IF(X181&lt;0," MACD-"," MACD+")&amp;" RSI:"&amp;TEXT(W181,"0.0")&amp;IF(W181&gt;=70," [過熱]",IF(W181&lt;=30," [売られ過ぎ]",""))&amp;" 前日比:"&amp;TEXT(Z181,"+0.0;-0.0;0.0")&amp;"%"&amp;IF(V181="年初来安値圏●"," [年初来安値圏]",IF(V181="安値圏"," [安値圏]",""))&amp;IF(OR(AO181="通常",AO181="-"),""," ["&amp;AO181&amp;"]")&amp;IF(OR(AT181="通常",AT181="-"),"","前日["&amp;AT181&amp;"]")&amp;" ["&amp;T181&amp;"点]")</f>
        <v>○逆張り売り | もみ合い→ 25日戻り売り★ MACD+ RSI:45.1 前日比:+1.7% [2点]</v>
      </c>
      <c r="Z181" s="331">
        <f>IF(AND(E181&lt;&gt;"",G181&lt;&gt;"",G181&lt;&gt;0),(E181-G181)/G181*100,"")</f>
        <v>1.661865721249723</v>
      </c>
      <c r="AA181" s="325" t="str">
        <f>IF(OR(C181="",E181="",E181=0),"",IF(E181&gt;G181,"上昇▲",IF(E181&lt;G181,"下落▼","横ばい→")))</f>
        <v>上昇▲</v>
      </c>
      <c r="AB181" s="326">
        <f>IF(OR(C181="",C181="TOPX",終値!E83=""),"",IFERROR(((終値!E83*0.333)+(終値!F83*0.222)+(終値!G83*0.148)+(終値!H83*0.099)+(終値!I83*0.066))/(0.333+0.222+0.148+0.099+0.066),""))</f>
        <v>4567.702764976958</v>
      </c>
      <c r="AC181" s="326">
        <f>IF(OR(C181="",C181="TOPX",終値!E83=""),"",IFERROR(SUMPRODUCT((終値!E83:AC83),{0.077,0.071,0.065,0.06,0.055,0.051,0.047,0.043,0.039,0.036,0.033,0.031,0.028,0.026,0.024,0.022,0.02,0.018,0.017,0.016,0.014,0.013,0.012,0.011,0.01})/SUM({0.077,0.071,0.065,0.06,0.055,0.051,0.047,0.043,0.039,0.036,0.033,0.031,0.028,0.026,0.024,0.022,0.02,0.018,0.017,0.016,0.014,0.013,0.012,0.011,0.01}),""))</f>
        <v>4623.2693682955887</v>
      </c>
      <c r="AD181" s="325" t="str">
        <f>IF(OR(C181="",AB181="",AC181="",AB181=0,AC181=0),"",IF(AND(E181&gt;AB181,AB181&gt;AC181),"パーフェクト▲",IF(E181&gt;AC181,"上昇トレンド▲",IF(AND(E181&lt;AB181,AB181&lt;AC181),"下降トレンド▼","もみ合い→"))))</f>
        <v>もみ合い→</v>
      </c>
      <c r="AE181" s="325" t="str">
        <f>IF(OR(C181="",AB181="",AC181=""),"",IF(AND(ABS(E181-AC181)/AC181&lt;=0.02,E181&lt;AC181),"25日戻り売り★",IF(AND(ABS(E181-AB181)/AB181&lt;=0.01,E181&lt;AB181),"5日戻り売り○","なし")))</f>
        <v>25日戻り売り★</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○逆張り売り</v>
      </c>
      <c r="AG181">
        <f>IF(AND(T181&gt;=7,C181&lt;&gt;""),T181,0)</f>
        <v>0</v>
      </c>
      <c r="AH181">
        <f>IF(AG181&gt;0,AG181*10000-ROW(A181),0)</f>
        <v>0</v>
      </c>
      <c r="AI181" s="373">
        <f t="array" ref="AI181">IF(C181="","",IFERROR((INDEX(終値!$E:$E,MATCH(TEXT(C181,"0"),終値!$A:$A,0))-INDEX(終値!$E:$CZ,MATCH(TEXT(C181,"0"),終値!$A:$A,0),$AN$2))/INDEX(終値!$E:$CZ,MATCH(TEXT(C181,"0"),終値!$A:$A,0),$AN$2)*100,""))</f>
        <v>4.4864495559098154</v>
      </c>
      <c r="AJ181" s="373">
        <f t="array" ref="AJ181">IFERROR((終値!$E$5-INDEX(終値!$E$5:$IT$5,1,$AN$2))/INDEX(終値!$E$5:$IT$5,1,$AN$2)*100,"")</f>
        <v>1.0179378228534113</v>
      </c>
      <c r="AK181" s="374">
        <f>IF(OR(AI181="",AJ181=""),"",AI181-AJ181)</f>
        <v>3.4685117330564044</v>
      </c>
      <c r="AL181" s="372">
        <f>IF(AK181="","",IF(AK181&lt;-5,3,IF(AK181&lt;0,1,IF(AK181&lt;3,-1,-2))))</f>
        <v>-2</v>
      </c>
      <c r="AO181" s="376" t="str">
        <f>IF(OR($C181="",$E181="",$F181="",$H181="",$I181="",$H181-$I181&lt;=0),"-",IF(AND($H181-MAX($F181,$E181)&gt;=ABS($E181-$F181)*2,MIN($F181,$E181)-$I181&lt;=ABS($E181-$F181)*0.5,ABS($E181-$F181)&gt;0),"上ヒゲ陰線▼",IF(AND($E181&lt;$F181,ABS($E181-$F181)&gt;=($H181-$I181)*0.7),"大陰線▼",IF(AND(MIN($F181,$E181)-$I181&gt;=($H181-$I181)*0.5,$H181-MAX($F181,$E181)&lt;=($H181-$I181)*0.2),"長い下ヒゲ(反発警戒)","通常"))))</f>
        <v>通常</v>
      </c>
      <c r="AP181" s="377">
        <f>IF($AO181="上ヒゲ陰線▼",2,IF($AO181="大陰線▼",2,IF($AO181="長い下ヒゲ(反発警戒)",-2,0)))</f>
        <v>0</v>
      </c>
      <c r="AQ181">
        <f>IF(C181&lt;&gt;"",始値!F83,"")</f>
        <v>4560</v>
      </c>
      <c r="AR181">
        <f>IF(C181&lt;&gt;"",高値!F83,"")</f>
        <v>4573</v>
      </c>
      <c r="AS181">
        <f>IF(C181&lt;&gt;"",安値!F83,"")</f>
        <v>4484</v>
      </c>
      <c r="AT181" t="str">
        <f>IF(OR(C181="",AQ181="",AR181="",AS181="",AR181-AS181&lt;=0),"-",IF(AND(AR181-MAX(G181,AQ181)&gt;=ABS(G181-AQ181)*2,MIN(G181,AQ181)-AS181&lt;=ABS(G181-AQ181)*0.5,ABS(G181-AQ181)&gt;0),"上ヒゲ陰線▼",IF(AND(G181&lt;AQ181,ABS(G181-AQ181)&gt;=(AR181-AS181)*0.7),"大陰線▼",IF(AND(MIN(G181,AQ181)-AS181&gt;=(AR181-AS181)*0.5,AR181-MAX(G181,AQ181)&lt;=(AR181-AS181)*0.2),"長い下ヒゲ(反発)","通常"))))</f>
        <v>通常</v>
      </c>
      <c r="AU181">
        <f>IF(AT181="上ヒゲ陰線▼",2,IF(AT181="大陰線▼",2,IF(AT181="長い下ヒゲ(反発)",-2,0)))</f>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7030</v>
      </c>
      <c r="F182" s="333">
        <f>IF(C182&lt;&gt;"",_xll.RssMarket(C182,"始値"),"")</f>
        <v>6943</v>
      </c>
      <c r="G182" s="212">
        <f>IF(C182&lt;&gt;"",終値!F87,"")</f>
        <v>6825</v>
      </c>
      <c r="H182" s="333">
        <f>IF(C182&lt;&gt;"",_xll.RssMarket(C182,"高値"),"")</f>
        <v>7063</v>
      </c>
      <c r="I182" s="333">
        <f>IF(C182&lt;&gt;"",_xll.RssMarket(C182,"安値"),"")</f>
        <v>6893</v>
      </c>
      <c r="J182" s="333">
        <f>IF(C182&lt;&gt;"",_xll.RssMarket(C182,"出来高"),"")</f>
        <v>4858200</v>
      </c>
      <c r="K182" s="333">
        <f>IF(C182&lt;&gt;"",_xll.RssMarket(C182,"年初来高値"),"")</f>
        <v>7218</v>
      </c>
      <c r="L182" s="334">
        <f>IF(AND(E182&lt;&gt;"",K182&lt;&gt;"",K182&lt;&gt;0),(E182-K182)/K182*100,"")</f>
        <v>-2.6045996120809085</v>
      </c>
      <c r="M182" s="333">
        <f>IF(C182&lt;&gt;"",IFERROR(AVERAGE(出来高!E87:I87),""),"")</f>
        <v>6446200</v>
      </c>
      <c r="N182" s="333">
        <f>IF(C182&lt;&gt;"",IFERROR(AVERAGE(出来高!E87:AC87),""),"")</f>
        <v>5011324</v>
      </c>
      <c r="O182" s="335">
        <f>IF(AND(J182&lt;&gt;"",M182&lt;&gt;"",M182&lt;&gt;0),J182/M182,"")</f>
        <v>0.75365331513139522</v>
      </c>
      <c r="P182" s="212" t="str">
        <f>IF(O182="","",IF(O182&gt;=2,"急増↑↑",IF(O182&gt;=1.5,"増加↑",IF(O182&gt;=1,"普通→","減少↓"))))</f>
        <v>減少↓</v>
      </c>
      <c r="Q182" s="212" t="str">
        <f>IF(E182="","",IF(AND(E182&lt;G182,O182&gt;=1.5),"売り▼",IF(E182&gt;G182,"様子見▲","中立→")))</f>
        <v>様子見▲</v>
      </c>
      <c r="R182" s="333">
        <f>IF(E182&lt;&gt;"",ROUND(E182*0.92,0),"")</f>
        <v>6468</v>
      </c>
      <c r="S182" s="333">
        <f>IF(E182&lt;&gt;"",ROUND(E182*1.04,0),"")</f>
        <v>7311</v>
      </c>
      <c r="T182" s="325">
        <f>IF(C182="","",IFERROR(IF(W182&gt;=70,3,IF(W182&gt;=60,2,IF(W182&gt;=50,1,0)))+IF(X182&lt;0,2,0)+IF(AD182="下降トレンド▼",3,IF(AD182="もみ合い→",1,0))+IF(V182="年初来安値圏●",3,IF(V182="安値圏",2,0))+IF(Q182="売り▼",2,0)+IF(P182="急増↑↑",2,IF(P182="増加↑",1,0))+IF(Z182&lt;0,1,0)+IF(L182&lt;=-30,2,IF(L182&lt;=-15,1,0))+IF(AE182="25日戻り売り★",2,IF(AE182="5日戻り売り○",1,0))+N(AL182)+N(AP182)+N(AU182),0))</f>
        <v>1</v>
      </c>
      <c r="U182" s="212" t="str">
        <f>IF(T182="","",IF(AND(T182&gt;=3,O182&gt;=1.5),"有効",IF(T182&gt;=3,"要確認","除外")))</f>
        <v>除外</v>
      </c>
      <c r="V182" s="212" t="str">
        <f>IF(AND(I182&lt;&gt;"",K182&lt;&gt;""),IF(I182&lt;=K182*0.6,"年初来安値圏●",IF(I182&lt;=K182*0.75,"安値圏","通常")),"")</f>
        <v>通常</v>
      </c>
      <c r="W182" s="336">
        <f t="array" ref="W182">IFERROR(100-100/(1+SUMPRODUCT((終値!F87:R87&gt;終値!G87:S87)*(終値!F87:R87-終値!G87:S87))/SUMPRODUCT((終値!F87:R87&lt;終値!G87:S87)*(終値!G87:S87-終値!F87:R87))),50)</f>
        <v>70.347182697780312</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105.01814805822414</v>
      </c>
      <c r="Y182" s="212" t="str">
        <f>IF(AF182="","",AF182&amp;" | "&amp;AD182&amp;IF(AE182&lt;&gt;"なし"," "&amp;AE182,"")&amp;IF(X182&lt;0," MACD-"," MACD+")&amp;" RSI:"&amp;TEXT(W182,"0.0")&amp;IF(W182&gt;=70," [過熱]",IF(W182&lt;=30," [売られ過ぎ]",""))&amp;" 前日比:"&amp;TEXT(Z182,"+0.0;-0.0;0.0")&amp;"%"&amp;IF(V182="年初来安値圏●"," [年初来安値圏]",IF(V182="安値圏"," [安値圏]",""))&amp;IF(OR(AO182="通常",AO182="-"),""," ["&amp;AO182&amp;"]")&amp;IF(OR(AT182="通常",AT182="-"),"","前日["&amp;AT182&amp;"]")&amp;" ["&amp;T182&amp;"点]")</f>
        <v>△過熱・様子見 | パーフェクト▲ MACD+ RSI:70.3 [過熱] 前日比:+3.0% [1点]</v>
      </c>
      <c r="Z182" s="338">
        <f>IF(AND(E182&lt;&gt;"",G182&lt;&gt;"",G182&lt;&gt;0),(E182-G182)/G182*100,"")</f>
        <v>3.0036630036630036</v>
      </c>
      <c r="AA182" s="212" t="str">
        <f>IF(OR(C182="",E182="",E182=0),"",IF(E182&gt;G182,"上昇▲",IF(E182&lt;G182,"下落▼","横ばい→")))</f>
        <v>上昇▲</v>
      </c>
      <c r="AB182" s="333">
        <f>IF(OR(C182="",C182="TOPX",終値!E87=""),"",IFERROR(((終値!E87*0.333)+(終値!F87*0.222)+(終値!G87*0.148)+(終値!H87*0.099)+(終値!I87*0.066))/(0.333+0.222+0.148+0.099+0.066),""))</f>
        <v>6945.3559907834097</v>
      </c>
      <c r="AC182" s="333">
        <f>IF(OR(C182="",C182="TOPX",終値!E87=""),"",IFERROR(SUMPRODUCT((終値!E87:AC87),{0.077,0.071,0.065,0.06,0.055,0.051,0.047,0.043,0.039,0.036,0.033,0.031,0.028,0.026,0.024,0.022,0.02,0.018,0.017,0.016,0.014,0.013,0.012,0.011,0.01})/SUM({0.077,0.071,0.065,0.06,0.055,0.051,0.047,0.043,0.039,0.036,0.033,0.031,0.028,0.026,0.024,0.022,0.02,0.018,0.017,0.016,0.014,0.013,0.012,0.011,0.01}),""))</f>
        <v>6618.4278903456479</v>
      </c>
      <c r="AD182" s="212" t="str">
        <f>IF(OR(C182="",AB182="",AC182="",AB182=0,AC182=0),"",IF(AND(E182&gt;AB182,AB182&gt;AC182),"パーフェクト▲",IF(E182&gt;AC182,"上昇トレンド▲",IF(AND(E182&lt;AB182,AB182&lt;AC182),"下降トレンド▼","もみ合い→"))))</f>
        <v>パーフェクト▲</v>
      </c>
      <c r="AE182" s="212" t="str">
        <f>IF(OR(C182="",AB182="",AC182=""),"",IF(AND(ABS(E182-AC182)/AC182&lt;=0.02,E182&lt;AC182),"25日戻り売り★",IF(AND(ABS(E182-AB182)/AB182&lt;=0.01,E182&lt;AB182),"5日戻り売り○","なし")))</f>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△過熱・様子見</v>
      </c>
      <c r="AG182">
        <f>IF(AND(T182&gt;=7,C182&lt;&gt;""),T182,0)</f>
        <v>0</v>
      </c>
      <c r="AH182">
        <f>IF(AG182&gt;0,AG182*10000-ROW(A182),0)</f>
        <v>0</v>
      </c>
      <c r="AI182" s="373">
        <f t="array" ref="AI182">IF(C182="","",IFERROR((INDEX(終値!$E:$E,MATCH(TEXT(C182,"0"),終値!$A:$A,0))-INDEX(終値!$E:$CZ,MATCH(TEXT(C182,"0"),終値!$A:$A,0),$AN$2))/INDEX(終値!$E:$CZ,MATCH(TEXT(C182,"0"),終値!$A:$A,0),$AN$2)*100,""))</f>
        <v>17.656903765690377</v>
      </c>
      <c r="AJ182" s="373">
        <f t="array" ref="AJ182">IFERROR((終値!$E$5-INDEX(終値!$E$5:$IT$5,1,$AN$2))/INDEX(終値!$E$5:$IT$5,1,$AN$2)*100,"")</f>
        <v>1.0179378228534113</v>
      </c>
      <c r="AK182" s="374">
        <f>IF(OR(AI182="",AJ182=""),"",AI182-AJ182)</f>
        <v>16.638965942836965</v>
      </c>
      <c r="AL182" s="372">
        <f>IF(AK182="","",IF(AK182&lt;-5,3,IF(AK182&lt;0,1,IF(AK182&lt;3,-1,-2))))</f>
        <v>-2</v>
      </c>
      <c r="AO182" s="376" t="str">
        <f>IF(OR($C182="",$E182="",$F182="",$H182="",$I182="",$H182-$I182&lt;=0),"-",IF(AND($H182-MAX($F182,$E182)&gt;=ABS($E182-$F182)*2,MIN($F182,$E182)-$I182&lt;=ABS($E182-$F182)*0.5,ABS($E182-$F182)&gt;0),"上ヒゲ陰線▼",IF(AND($E182&lt;$F182,ABS($E182-$F182)&gt;=($H182-$I182)*0.7),"大陰線▼",IF(AND(MIN($F182,$E182)-$I182&gt;=($H182-$I182)*0.5,$H182-MAX($F182,$E182)&lt;=($H182-$I182)*0.2),"長い下ヒゲ(反発警戒)","通常"))))</f>
        <v>通常</v>
      </c>
      <c r="AP182" s="377">
        <f>IF($AO182="上ヒゲ陰線▼",2,IF($AO182="大陰線▼",2,IF($AO182="長い下ヒゲ(反発警戒)",-2,0)))</f>
        <v>0</v>
      </c>
      <c r="AQ182">
        <f>IF(C182&lt;&gt;"",始値!F87,"")</f>
        <v>6758</v>
      </c>
      <c r="AR182">
        <f>IF(C182&lt;&gt;"",高値!F87,"")</f>
        <v>6853</v>
      </c>
      <c r="AS182">
        <f>IF(C182&lt;&gt;"",安値!F87,"")</f>
        <v>6671</v>
      </c>
      <c r="AT182" t="str">
        <f>IF(OR(C182="",AQ182="",AR182="",AS182="",AR182-AS182&lt;=0),"-",IF(AND(AR182-MAX(G182,AQ182)&gt;=ABS(G182-AQ182)*2,MIN(G182,AQ182)-AS182&lt;=ABS(G182-AQ182)*0.5,ABS(G182-AQ182)&gt;0),"上ヒゲ陰線▼",IF(AND(G182&lt;AQ182,ABS(G182-AQ182)&gt;=(AR182-AS182)*0.7),"大陰線▼",IF(AND(MIN(G182,AQ182)-AS182&gt;=(AR182-AS182)*0.5,AR182-MAX(G182,AQ182)&lt;=(AR182-AS182)*0.2),"長い下ヒゲ(反発)","通常"))))</f>
        <v>通常</v>
      </c>
      <c r="AU182">
        <f>IF(AT182="上ヒゲ陰線▼",2,IF(AT182="大陰線▼",2,IF(AT182="長い下ヒゲ(反発)",-2,0)))</f>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1666</v>
      </c>
      <c r="F183" s="326">
        <f>IF(C183&lt;&gt;"",_xll.RssMarket(C183,"始値"),"")</f>
        <v>1643</v>
      </c>
      <c r="G183" s="325">
        <f>IF(C183&lt;&gt;"",終値!F94,"")</f>
        <v>1635</v>
      </c>
      <c r="H183" s="326">
        <f>IF(C183&lt;&gt;"",_xll.RssMarket(C183,"高値"),"")</f>
        <v>1666</v>
      </c>
      <c r="I183" s="326">
        <f>IF(C183&lt;&gt;"",_xll.RssMarket(C183,"安値"),"")</f>
        <v>1635</v>
      </c>
      <c r="J183" s="326">
        <f>IF(C183&lt;&gt;"",_xll.RssMarket(C183,"出来高"),"")</f>
        <v>6477200</v>
      </c>
      <c r="K183" s="326">
        <f>IF(C183&lt;&gt;"",_xll.RssMarket(C183,"年初来高値"),"")</f>
        <v>1906</v>
      </c>
      <c r="L183" s="327">
        <f>IF(AND(E183&lt;&gt;"",K183&lt;&gt;"",K183&lt;&gt;0),(E183-K183)/K183*100,"")</f>
        <v>-12.591815320041972</v>
      </c>
      <c r="M183" s="326">
        <f>IF(C183&lt;&gt;"",IFERROR(AVERAGE(出来高!E94:I94),""),"")</f>
        <v>10733700</v>
      </c>
      <c r="N183" s="326">
        <f>IF(C183&lt;&gt;"",IFERROR(AVERAGE(出来高!E94:AC94),""),"")</f>
        <v>5775072</v>
      </c>
      <c r="O183" s="328">
        <f>IF(AND(J183&lt;&gt;"",M183&lt;&gt;"",M183&lt;&gt;0),J183/M183,"")</f>
        <v>0.60344522392092192</v>
      </c>
      <c r="P183" s="325" t="str">
        <f>IF(O183="","",IF(O183&gt;=2,"急増↑↑",IF(O183&gt;=1.5,"増加↑",IF(O183&gt;=1,"普通→","減少↓"))))</f>
        <v>減少↓</v>
      </c>
      <c r="Q183" s="325" t="str">
        <f>IF(E183="","",IF(AND(E183&lt;G183,O183&gt;=1.5),"売り▼",IF(E183&gt;G183,"様子見▲","中立→")))</f>
        <v>様子見▲</v>
      </c>
      <c r="R183" s="326">
        <f>IF(E183&lt;&gt;"",ROUND(E183*0.92,0),"")</f>
        <v>1533</v>
      </c>
      <c r="S183" s="326">
        <f>IF(E183&lt;&gt;"",ROUND(E183*1.04,0),"")</f>
        <v>1733</v>
      </c>
      <c r="T183" s="325">
        <f>IF(C183="","",IFERROR(IF(W183&gt;=70,3,IF(W183&gt;=60,2,IF(W183&gt;=50,1,0)))+IF(X183&lt;0,2,0)+IF(AD183="下降トレンド▼",3,IF(AD183="もみ合い→",1,0))+IF(V183="年初来安値圏●",3,IF(V183="安値圏",2,0))+IF(Q183="売り▼",2,0)+IF(P183="急増↑↑",2,IF(P183="増加↑",1,0))+IF(Z183&lt;0,1,0)+IF(L183&lt;=-30,2,IF(L183&lt;=-15,1,0))+IF(AE183="25日戻り売り★",2,IF(AE183="5日戻り売り○",1,0))+N(AL183)+N(AP183)+N(AU183),0))</f>
        <v>6</v>
      </c>
      <c r="U183" s="325" t="str">
        <f>IF(T183="","",IF(AND(T183&gt;=3,O183&gt;=1.5),"有効",IF(T183&gt;=3,"要確認","除外")))</f>
        <v>要確認</v>
      </c>
      <c r="V183" s="325" t="str">
        <f>IF(AND(I183&lt;&gt;"",K183&lt;&gt;""),IF(I183&lt;=K183*0.6,"年初来安値圏●",IF(I183&lt;=K183*0.75,"安値圏","通常")),"")</f>
        <v>通常</v>
      </c>
      <c r="W183" s="329">
        <f t="array" ref="W183">IFERROR(100-100/(1+SUMPRODUCT((終値!F94:R94&gt;終値!G94:S94)*(終値!F94:R94-終値!G94:S94))/SUMPRODUCT((終値!F94:R94&lt;終値!G94:S94)*(終値!G94:S94-終値!F94:R94))),50)</f>
        <v>26.111636707663195</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-24.600608384844463</v>
      </c>
      <c r="Y183" s="325" t="str">
        <f>IF(AF183="","",AF183&amp;" | "&amp;AD183&amp;IF(AE183&lt;&gt;"なし"," "&amp;AE183,"")&amp;IF(X183&lt;0," MACD-"," MACD+")&amp;" RSI:"&amp;TEXT(W183,"0.0")&amp;IF(W183&gt;=70," [過熱]",IF(W183&lt;=30," [売られ過ぎ]",""))&amp;" 前日比:"&amp;TEXT(Z183,"+0.0;-0.0;0.0")&amp;"%"&amp;IF(V183="年初来安値圏●"," [年初来安値圏]",IF(V183="安値圏"," [安値圏]",""))&amp;IF(OR(AO183="通常",AO183="-"),""," ["&amp;AO183&amp;"]")&amp;IF(OR(AT183="通常",AT183="-"),"","前日["&amp;AT183&amp;"]")&amp;" ["&amp;T183&amp;"点]")</f>
        <v>相場上昇・見送り | もみ合い→ MACD- RSI:26.1 [売られ過ぎ] 前日比:+1.9% [6点]</v>
      </c>
      <c r="Z183" s="331">
        <f>IF(AND(E183&lt;&gt;"",G183&lt;&gt;"",G183&lt;&gt;0),(E183-G183)/G183*100,"")</f>
        <v>1.8960244648318043</v>
      </c>
      <c r="AA183" s="325" t="str">
        <f>IF(OR(C183="",E183="",E183=0),"",IF(E183&gt;G183,"上昇▲",IF(E183&lt;G183,"下落▼","横ばい→")))</f>
        <v>上昇▲</v>
      </c>
      <c r="AB183" s="326">
        <f>IF(OR(C183="",C183="TOPX",終値!E94=""),"",IFERROR(((終値!E94*0.333)+(終値!F94*0.222)+(終値!G94*0.148)+(終値!H94*0.099)+(終値!I94*0.066))/(0.333+0.222+0.148+0.099+0.066),""))</f>
        <v>1645.5086405529953</v>
      </c>
      <c r="AC183" s="326">
        <f>IF(OR(C183="",C183="TOPX",終値!E94=""),"",IFERROR(SUMPRODUCT((終値!E94:AC94),{0.077,0.071,0.065,0.06,0.055,0.051,0.047,0.043,0.039,0.036,0.033,0.031,0.028,0.026,0.024,0.022,0.02,0.018,0.017,0.016,0.014,0.013,0.012,0.011,0.01})/SUM({0.077,0.071,0.065,0.06,0.055,0.051,0.047,0.043,0.039,0.036,0.033,0.031,0.028,0.026,0.024,0.022,0.02,0.018,0.017,0.016,0.014,0.013,0.012,0.011,0.01}),""))</f>
        <v>1767.9272943980923</v>
      </c>
      <c r="AD183" s="325" t="str">
        <f>IF(OR(C183="",AB183="",AC183="",AB183=0,AC183=0),"",IF(AND(E183&gt;AB183,AB183&gt;AC183),"パーフェクト▲",IF(E183&gt;AC183,"上昇トレンド▲",IF(AND(E183&lt;AB183,AB183&lt;AC183),"下降トレンド▼","もみ合い→"))))</f>
        <v>もみ合い→</v>
      </c>
      <c r="AE183" s="325" t="str">
        <f>IF(OR(C183="",AB183="",AC183=""),"",IF(AND(ABS(E183-AC183)/AC183&lt;=0.02,E183&lt;AC183),"25日戻り売り★",IF(AND(ABS(E183-AB183)/AB183&lt;=0.01,E183&lt;AB183),"5日戻り売り○","なし")))</f>
        <v>なし</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相場上昇・見送り</v>
      </c>
      <c r="AG183">
        <f>IF(AND(T183&gt;=7,C183&lt;&gt;""),T183,0)</f>
        <v>0</v>
      </c>
      <c r="AH183">
        <f>IF(AG183&gt;0,AG183*10000-ROW(A183),0)</f>
        <v>0</v>
      </c>
      <c r="AI183" s="373">
        <f t="array" ref="AI183">IF(C183="","",IFERROR((INDEX(終値!$E:$E,MATCH(TEXT(C183,"0"),終値!$A:$A,0))-INDEX(終値!$E:$CZ,MATCH(TEXT(C183,"0"),終値!$A:$A,0),$AN$2))/INDEX(終値!$E:$CZ,MATCH(TEXT(C183,"0"),終値!$A:$A,0),$AN$2)*100,""))</f>
        <v>-6.5357643758765782</v>
      </c>
      <c r="AJ183" s="373">
        <f t="array" ref="AJ183">IFERROR((終値!$E$5-INDEX(終値!$E$5:$IT$5,1,$AN$2))/INDEX(終値!$E$5:$IT$5,1,$AN$2)*100,"")</f>
        <v>1.0179378228534113</v>
      </c>
      <c r="AK183" s="374">
        <f>IF(OR(AI183="",AJ183=""),"",AI183-AJ183)</f>
        <v>-7.5537021987299893</v>
      </c>
      <c r="AL183" s="372">
        <f>IF(AK183="","",IF(AK183&lt;-5,3,IF(AK183&lt;0,1,IF(AK183&lt;3,-1,-2))))</f>
        <v>3</v>
      </c>
      <c r="AO183" s="376" t="str">
        <f>IF(OR($C183="",$E183="",$F183="",$H183="",$I183="",$H183-$I183&lt;=0),"-",IF(AND($H183-MAX($F183,$E183)&gt;=ABS($E183-$F183)*2,MIN($F183,$E183)-$I183&lt;=ABS($E183-$F183)*0.5,ABS($E183-$F183)&gt;0),"上ヒゲ陰線▼",IF(AND($E183&lt;$F183,ABS($E183-$F183)&gt;=($H183-$I183)*0.7),"大陰線▼",IF(AND(MIN($F183,$E183)-$I183&gt;=($H183-$I183)*0.5,$H183-MAX($F183,$E183)&lt;=($H183-$I183)*0.2),"長い下ヒゲ(反発警戒)","通常"))))</f>
        <v>通常</v>
      </c>
      <c r="AP183" s="377">
        <f>IF($AO183="上ヒゲ陰線▼",2,IF($AO183="大陰線▼",2,IF($AO183="長い下ヒゲ(反発警戒)",-2,0)))</f>
        <v>0</v>
      </c>
      <c r="AQ183">
        <f>IF(C183&lt;&gt;"",始値!F94,"")</f>
        <v>1610</v>
      </c>
      <c r="AR183">
        <f>IF(C183&lt;&gt;"",高値!F94,"")</f>
        <v>1639.5</v>
      </c>
      <c r="AS183">
        <f>IF(C183&lt;&gt;"",安値!F94,"")</f>
        <v>1605</v>
      </c>
      <c r="AT183" t="str">
        <f>IF(OR(C183="",AQ183="",AR183="",AS183="",AR183-AS183&lt;=0),"-",IF(AND(AR183-MAX(G183,AQ183)&gt;=ABS(G183-AQ183)*2,MIN(G183,AQ183)-AS183&lt;=ABS(G183-AQ183)*0.5,ABS(G183-AQ183)&gt;0),"上ヒゲ陰線▼",IF(AND(G183&lt;AQ183,ABS(G183-AQ183)&gt;=(AR183-AS183)*0.7),"大陰線▼",IF(AND(MIN(G183,AQ183)-AS183&gt;=(AR183-AS183)*0.5,AR183-MAX(G183,AQ183)&lt;=(AR183-AS183)*0.2),"長い下ヒゲ(反発)","通常"))))</f>
        <v>通常</v>
      </c>
      <c r="AU183">
        <f>IF(AT183="上ヒゲ陰線▼",2,IF(AT183="大陰線▼",2,IF(AT183="長い下ヒゲ(反発)",-2,0)))</f>
        <v>0</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4691</v>
      </c>
      <c r="F184" s="333">
        <f>IF(C184&lt;&gt;"",_xll.RssMarket(C184,"始値"),"")</f>
        <v>4501</v>
      </c>
      <c r="G184" s="212">
        <f>IF(C184&lt;&gt;"",終値!F99,"")</f>
        <v>4520</v>
      </c>
      <c r="H184" s="333">
        <f>IF(C184&lt;&gt;"",_xll.RssMarket(C184,"高値"),"")</f>
        <v>4698</v>
      </c>
      <c r="I184" s="333">
        <f>IF(C184&lt;&gt;"",_xll.RssMarket(C184,"安値"),"")</f>
        <v>4479</v>
      </c>
      <c r="J184" s="333">
        <f>IF(C184&lt;&gt;"",_xll.RssMarket(C184,"出来高"),"")</f>
        <v>1421600</v>
      </c>
      <c r="K184" s="333">
        <f>IF(C184&lt;&gt;"",_xll.RssMarket(C184,"年初来高値"),"")</f>
        <v>5243</v>
      </c>
      <c r="L184" s="334">
        <f>IF(AND(E184&lt;&gt;"",K184&lt;&gt;"",K184&lt;&gt;0),(E184-K184)/K184*100,"")</f>
        <v>-10.52832347892428</v>
      </c>
      <c r="M184" s="333">
        <f>IF(C184&lt;&gt;"",IFERROR(AVERAGE(出来高!E99:I99),""),"")</f>
        <v>1949820</v>
      </c>
      <c r="N184" s="333">
        <f>IF(C184&lt;&gt;"",IFERROR(AVERAGE(出来高!E99:AC99),""),"")</f>
        <v>1798724</v>
      </c>
      <c r="O184" s="335">
        <f>IF(AND(J184&lt;&gt;"",M184&lt;&gt;"",M184&lt;&gt;0),J184/M184,"")</f>
        <v>0.72909294191258678</v>
      </c>
      <c r="P184" s="212" t="str">
        <f>IF(O184="","",IF(O184&gt;=2,"急増↑↑",IF(O184&gt;=1.5,"増加↑",IF(O184&gt;=1,"普通→","減少↓"))))</f>
        <v>減少↓</v>
      </c>
      <c r="Q184" s="212" t="str">
        <f>IF(E184="","",IF(AND(E184&lt;G184,O184&gt;=1.5),"売り▼",IF(E184&gt;G184,"様子見▲","中立→")))</f>
        <v>様子見▲</v>
      </c>
      <c r="R184" s="333">
        <f>IF(E184&lt;&gt;"",ROUND(E184*0.92,0),"")</f>
        <v>4316</v>
      </c>
      <c r="S184" s="333">
        <f>IF(E184&lt;&gt;"",ROUND(E184*1.04,0),"")</f>
        <v>4879</v>
      </c>
      <c r="T184" s="325">
        <f>IF(C184="","",IFERROR(IF(W184&gt;=70,3,IF(W184&gt;=60,2,IF(W184&gt;=50,1,0)))+IF(X184&lt;0,2,0)+IF(AD184="下降トレンド▼",3,IF(AD184="もみ合い→",1,0))+IF(V184="年初来安値圏●",3,IF(V184="安値圏",2,0))+IF(Q184="売り▼",2,0)+IF(P184="急増↑↑",2,IF(P184="増加↑",1,0))+IF(Z184&lt;0,1,0)+IF(L184&lt;=-30,2,IF(L184&lt;=-15,1,0))+IF(AE184="25日戻り売り★",2,IF(AE184="5日戻り売り○",1,0))+N(AL184)+N(AP184)+N(AU184),0))</f>
        <v>-1</v>
      </c>
      <c r="U184" s="212" t="str">
        <f>IF(T184="","",IF(AND(T184&gt;=3,O184&gt;=1.5),"有効",IF(T184&gt;=3,"要確認","除外")))</f>
        <v>除外</v>
      </c>
      <c r="V184" s="212" t="str">
        <f>IF(AND(I184&lt;&gt;"",K184&lt;&gt;""),IF(I184&lt;=K184*0.6,"年初来安値圏●",IF(I184&lt;=K184*0.75,"安値圏","通常")),"")</f>
        <v>通常</v>
      </c>
      <c r="W184" s="336">
        <f t="array" ref="W184">IFERROR(100-100/(1+SUMPRODUCT((終値!F99:R99&gt;終値!G99:S99)*(終値!F99:R99-終値!G99:S99))/SUMPRODUCT((終値!F99:R99&lt;終値!G99:S99)*(終値!G99:S99-終値!F99:R99))),50)</f>
        <v>59.141274238227147</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60.323277835052068</v>
      </c>
      <c r="Y184" s="212" t="str">
        <f>IF(AF184="","",AF184&amp;" | "&amp;AD184&amp;IF(AE184&lt;&gt;"なし"," "&amp;AE184,"")&amp;IF(X184&lt;0," MACD-"," MACD+")&amp;" RSI:"&amp;TEXT(W184,"0.0")&amp;IF(W184&gt;=70," [過熱]",IF(W184&lt;=30," [売られ過ぎ]",""))&amp;" 前日比:"&amp;TEXT(Z184,"+0.0;-0.0;0.0")&amp;"%"&amp;IF(V184="年初来安値圏●"," [年初来安値圏]",IF(V184="安値圏"," [安値圏]",""))&amp;IF(OR(AO184="通常",AO184="-"),""," ["&amp;AO184&amp;"]")&amp;IF(OR(AT184="通常",AT184="-"),"","前日["&amp;AT184&amp;"]")&amp;" ["&amp;T184&amp;"点]")</f>
        <v>相場上昇・見送り | パーフェクト▲ MACD+ RSI:59.1 前日比:+3.8% [-1点]</v>
      </c>
      <c r="Z184" s="338">
        <f>IF(AND(E184&lt;&gt;"",G184&lt;&gt;"",G184&lt;&gt;0),(E184-G184)/G184*100,"")</f>
        <v>3.7831858407079642</v>
      </c>
      <c r="AA184" s="212" t="str">
        <f>IF(OR(C184="",E184="",E184=0),"",IF(E184&gt;G184,"上昇▲",IF(E184&lt;G184,"下落▼","横ばい→")))</f>
        <v>上昇▲</v>
      </c>
      <c r="AB184" s="333">
        <f>IF(OR(C184="",C184="TOPX",終値!E99=""),"",IFERROR(((終値!E99*0.333)+(終値!F99*0.222)+(終値!G99*0.148)+(終値!H99*0.099)+(終値!I99*0.066))/(0.333+0.222+0.148+0.099+0.066),""))</f>
        <v>4642.0956221198157</v>
      </c>
      <c r="AC184" s="333">
        <f>IF(OR(C184="",C184="TOPX",終値!E99=""),"",IFERROR(SUMPRODUCT((終値!E99:AC99),{0.077,0.071,0.065,0.06,0.055,0.051,0.047,0.043,0.039,0.036,0.033,0.031,0.028,0.026,0.024,0.022,0.02,0.018,0.017,0.016,0.014,0.013,0.012,0.011,0.01})/SUM({0.077,0.071,0.065,0.06,0.055,0.051,0.047,0.043,0.039,0.036,0.033,0.031,0.028,0.026,0.024,0.022,0.02,0.018,0.017,0.016,0.014,0.013,0.012,0.011,0.01}),""))</f>
        <v>4617.61978545888</v>
      </c>
      <c r="AD184" s="212" t="str">
        <f>IF(OR(C184="",AB184="",AC184="",AB184=0,AC184=0),"",IF(AND(E184&gt;AB184,AB184&gt;AC184),"パーフェクト▲",IF(E184&gt;AC184,"上昇トレンド▲",IF(AND(E184&lt;AB184,AB184&lt;AC184),"下降トレンド▼","もみ合い→"))))</f>
        <v>パーフェクト▲</v>
      </c>
      <c r="AE184" s="212" t="str">
        <f>IF(OR(C184="",AB184="",AC184=""),"",IF(AND(ABS(E184-AC184)/AC184&lt;=0.02,E184&lt;AC184),"25日戻り売り★",IF(AND(ABS(E184-AB184)/AB184&lt;=0.01,E184&lt;AB184),"5日戻り売り○","なし")))</f>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相場上昇・見送り</v>
      </c>
      <c r="AG184">
        <f>IF(AND(T184&gt;=7,C184&lt;&gt;""),T184,0)</f>
        <v>0</v>
      </c>
      <c r="AH184">
        <f>IF(AG184&gt;0,AG184*10000-ROW(A184),0)</f>
        <v>0</v>
      </c>
      <c r="AI184" s="373">
        <f t="array" ref="AI184">IF(C184="","",IFERROR((INDEX(終値!$E:$E,MATCH(TEXT(C184,"0"),終値!$A:$A,0))-INDEX(終値!$E:$CZ,MATCH(TEXT(C184,"0"),終値!$A:$A,0),$AN$2))/INDEX(終値!$E:$CZ,MATCH(TEXT(C184,"0"),終値!$A:$A,0),$AN$2)*100,""))</f>
        <v>14.164030177658798</v>
      </c>
      <c r="AJ184" s="373">
        <f t="array" ref="AJ184">IFERROR((終値!$E$5-INDEX(終値!$E$5:$IT$5,1,$AN$2))/INDEX(終値!$E$5:$IT$5,1,$AN$2)*100,"")</f>
        <v>1.0179378228534113</v>
      </c>
      <c r="AK184" s="374">
        <f>IF(OR(AI184="",AJ184=""),"",AI184-AJ184)</f>
        <v>13.146092354805386</v>
      </c>
      <c r="AL184" s="372">
        <f>IF(AK184="","",IF(AK184&lt;-5,3,IF(AK184&lt;0,1,IF(AK184&lt;3,-1,-2))))</f>
        <v>-2</v>
      </c>
      <c r="AO184" s="376" t="str">
        <f>IF(OR($C184="",$E184="",$F184="",$H184="",$I184="",$H184-$I184&lt;=0),"-",IF(AND($H184-MAX($F184,$E184)&gt;=ABS($E184-$F184)*2,MIN($F184,$E184)-$I184&lt;=ABS($E184-$F184)*0.5,ABS($E184-$F184)&gt;0),"上ヒゲ陰線▼",IF(AND($E184&lt;$F184,ABS($E184-$F184)&gt;=($H184-$I184)*0.7),"大陰線▼",IF(AND(MIN($F184,$E184)-$I184&gt;=($H184-$I184)*0.5,$H184-MAX($F184,$E184)&lt;=($H184-$I184)*0.2),"長い下ヒゲ(反発警戒)","通常"))))</f>
        <v>通常</v>
      </c>
      <c r="AP184" s="377">
        <f>IF($AO184="上ヒゲ陰線▼",2,IF($AO184="大陰線▼",2,IF($AO184="長い下ヒゲ(反発警戒)",-2,0)))</f>
        <v>0</v>
      </c>
      <c r="AQ184">
        <f>IF(C184&lt;&gt;"",始値!F99,"")</f>
        <v>4590</v>
      </c>
      <c r="AR184">
        <f>IF(C184&lt;&gt;"",高値!F99,"")</f>
        <v>4607</v>
      </c>
      <c r="AS184">
        <f>IF(C184&lt;&gt;"",安値!F99,"")</f>
        <v>4476</v>
      </c>
      <c r="AT184" t="str">
        <f>IF(OR(C184="",AQ184="",AR184="",AS184="",AR184-AS184&lt;=0),"-",IF(AND(AR184-MAX(G184,AQ184)&gt;=ABS(G184-AQ184)*2,MIN(G184,AQ184)-AS184&lt;=ABS(G184-AQ184)*0.5,ABS(G184-AQ184)&gt;0),"上ヒゲ陰線▼",IF(AND(G184&lt;AQ184,ABS(G184-AQ184)&gt;=(AR184-AS184)*0.7),"大陰線▼",IF(AND(MIN(G184,AQ184)-AS184&gt;=(AR184-AS184)*0.5,AR184-MAX(G184,AQ184)&lt;=(AR184-AS184)*0.2),"長い下ヒゲ(反発)","通常"))))</f>
        <v>通常</v>
      </c>
      <c r="AU184">
        <f>IF(AT184="上ヒゲ陰線▼",2,IF(AT184="大陰線▼",2,IF(AT184="長い下ヒゲ(反発)",-2,0)))</f>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4413</v>
      </c>
      <c r="F185" s="326">
        <f>IF(C185&lt;&gt;"",_xll.RssMarket(C185,"始値"),"")</f>
        <v>4394</v>
      </c>
      <c r="G185" s="325">
        <f>IF(C185&lt;&gt;"",終値!F108,"")</f>
        <v>4365</v>
      </c>
      <c r="H185" s="326">
        <f>IF(C185&lt;&gt;"",_xll.RssMarket(C185,"高値"),"")</f>
        <v>4418</v>
      </c>
      <c r="I185" s="326">
        <f>IF(C185&lt;&gt;"",_xll.RssMarket(C185,"安値"),"")</f>
        <v>4375</v>
      </c>
      <c r="J185" s="326">
        <f>IF(C185&lt;&gt;"",_xll.RssMarket(C185,"出来高"),"")</f>
        <v>130900</v>
      </c>
      <c r="K185" s="326">
        <f>IF(C185&lt;&gt;"",_xll.RssMarket(C185,"年初来高値"),"")</f>
        <v>4664</v>
      </c>
      <c r="L185" s="327">
        <f>IF(AND(E185&lt;&gt;"",K185&lt;&gt;"",K185&lt;&gt;0),(E185-K185)/K185*100,"")</f>
        <v>-5.3816466552315614</v>
      </c>
      <c r="M185" s="326">
        <f>IF(C185&lt;&gt;"",IFERROR(AVERAGE(出来高!E108:I108),""),"")</f>
        <v>224060</v>
      </c>
      <c r="N185" s="326">
        <f>IF(C185&lt;&gt;"",IFERROR(AVERAGE(出来高!E108:AC108),""),"")</f>
        <v>182876</v>
      </c>
      <c r="O185" s="328">
        <f>IF(AND(J185&lt;&gt;"",M185&lt;&gt;"",M185&lt;&gt;0),J185/M185,"")</f>
        <v>0.58421851289833082</v>
      </c>
      <c r="P185" s="325" t="str">
        <f>IF(O185="","",IF(O185&gt;=2,"急増↑↑",IF(O185&gt;=1.5,"増加↑",IF(O185&gt;=1,"普通→","減少↓"))))</f>
        <v>減少↓</v>
      </c>
      <c r="Q185" s="325" t="str">
        <f>IF(E185="","",IF(AND(E185&lt;G185,O185&gt;=1.5),"売り▼",IF(E185&gt;G185,"様子見▲","中立→")))</f>
        <v>様子見▲</v>
      </c>
      <c r="R185" s="326">
        <f>IF(E185&lt;&gt;"",ROUND(E185*0.92,0),"")</f>
        <v>4060</v>
      </c>
      <c r="S185" s="326">
        <f>IF(E185&lt;&gt;"",ROUND(E185*1.04,0),"")</f>
        <v>4590</v>
      </c>
      <c r="T185" s="325">
        <f>IF(C185="","",IFERROR(IF(W185&gt;=70,3,IF(W185&gt;=60,2,IF(W185&gt;=50,1,0)))+IF(X185&lt;0,2,0)+IF(AD185="下降トレンド▼",3,IF(AD185="もみ合い→",1,0))+IF(V185="年初来安値圏●",3,IF(V185="安値圏",2,0))+IF(Q185="売り▼",2,0)+IF(P185="急増↑↑",2,IF(P185="増加↑",1,0))+IF(Z185&lt;0,1,0)+IF(L185&lt;=-30,2,IF(L185&lt;=-15,1,0))+IF(AE185="25日戻り売り★",2,IF(AE185="5日戻り売り○",1,0))+N(AL185)+N(AP185)+N(AU185),0))</f>
        <v>2</v>
      </c>
      <c r="U185" s="325" t="str">
        <f>IF(T185="","",IF(AND(T185&gt;=3,O185&gt;=1.5),"有効",IF(T185&gt;=3,"要確認","除外")))</f>
        <v>除外</v>
      </c>
      <c r="V185" s="325" t="str">
        <f>IF(AND(I185&lt;&gt;"",K185&lt;&gt;""),IF(I185&lt;=K185*0.6,"年初来安値圏●",IF(I185&lt;=K185*0.75,"安値圏","通常")),"")</f>
        <v>通常</v>
      </c>
      <c r="W185" s="329">
        <f t="array" ref="W185">IFERROR(100-100/(1+SUMPRODUCT((終値!F108:R108&gt;終値!G108:S108)*(終値!F108:R108-終値!G108:S108))/SUMPRODUCT((終値!F108:R108&lt;終値!G108:S108)*(終値!G108:S108-終値!F108:R108))),50)</f>
        <v>50.314465408805034</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21.235801368417924</v>
      </c>
      <c r="Y185" s="325" t="str">
        <f>IF(AF185="","",AF185&amp;" | "&amp;AD185&amp;IF(AE185&lt;&gt;"なし"," "&amp;AE185,"")&amp;IF(X185&lt;0," MACD-"," MACD+")&amp;" RSI:"&amp;TEXT(W185,"0.0")&amp;IF(W185&gt;=70," [過熱]",IF(W185&lt;=30," [売られ過ぎ]",""))&amp;" 前日比:"&amp;TEXT(Z185,"+0.0;-0.0;0.0")&amp;"%"&amp;IF(V185="年初来安値圏●"," [年初来安値圏]",IF(V185="安値圏"," [安値圏]",""))&amp;IF(OR(AO185="通常",AO185="-"),""," ["&amp;AO185&amp;"]")&amp;IF(OR(AT185="通常",AT185="-"),"","前日["&amp;AT185&amp;"]")&amp;" ["&amp;T185&amp;"点]")</f>
        <v>○逆張り売り | もみ合い→ 25日戻り売り★ MACD+ RSI:50.3 前日比:+1.1% [2点]</v>
      </c>
      <c r="Z185" s="331">
        <f>IF(AND(E185&lt;&gt;"",G185&lt;&gt;"",G185&lt;&gt;0),(E185-G185)/G185*100,"")</f>
        <v>1.0996563573883162</v>
      </c>
      <c r="AA185" s="325" t="str">
        <f>IF(OR(C185="",E185="",E185=0),"",IF(E185&gt;G185,"上昇▲",IF(E185&lt;G185,"下落▼","横ばい→")))</f>
        <v>上昇▲</v>
      </c>
      <c r="AB185" s="326">
        <f>IF(OR(C185="",C185="TOPX",終値!E108=""),"",IFERROR(((終値!E108*0.333)+(終値!F108*0.222)+(終値!G108*0.148)+(終値!H108*0.099)+(終値!I108*0.066))/(0.333+0.222+0.148+0.099+0.066),""))</f>
        <v>4409.9458525345626</v>
      </c>
      <c r="AC185" s="326">
        <f>IF(OR(C185="",C185="TOPX",終値!E108=""),"",IFERROR(SUMPRODUCT((終値!E108:AC108),{0.077,0.071,0.065,0.06,0.055,0.051,0.047,0.043,0.039,0.036,0.033,0.031,0.028,0.026,0.024,0.022,0.02,0.018,0.017,0.016,0.014,0.013,0.012,0.011,0.01})/SUM({0.077,0.071,0.065,0.06,0.055,0.051,0.047,0.043,0.039,0.036,0.033,0.031,0.028,0.026,0.024,0.022,0.02,0.018,0.017,0.016,0.014,0.013,0.012,0.011,0.01}),""))</f>
        <v>4413.1275327771136</v>
      </c>
      <c r="AD185" s="325" t="str">
        <f>IF(OR(C185="",AB185="",AC185="",AB185=0,AC185=0),"",IF(AND(E185&gt;AB185,AB185&gt;AC185),"パーフェクト▲",IF(E185&gt;AC185,"上昇トレンド▲",IF(AND(E185&lt;AB185,AB185&lt;AC185),"下降トレンド▼","もみ合い→"))))</f>
        <v>もみ合い→</v>
      </c>
      <c r="AE185" s="325" t="str">
        <f>IF(OR(C185="",AB185="",AC185=""),"",IF(AND(ABS(E185-AC185)/AC185&lt;=0.02,E185&lt;AC185),"25日戻り売り★",IF(AND(ABS(E185-AB185)/AB185&lt;=0.01,E185&lt;AB185),"5日戻り売り○","なし")))</f>
        <v>25日戻り売り★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○逆張り売り</v>
      </c>
      <c r="AG185">
        <f>IF(AND(T185&gt;=7,C185&lt;&gt;""),T185,0)</f>
        <v>0</v>
      </c>
      <c r="AH185">
        <f>IF(AG185&gt;0,AG185*10000-ROW(A185),0)</f>
        <v>0</v>
      </c>
      <c r="AI185" s="373">
        <f t="array" ref="AI185">IF(C185="","",IFERROR((INDEX(終値!$E:$E,MATCH(TEXT(C185,"0"),終値!$A:$A,0))-INDEX(終値!$E:$CZ,MATCH(TEXT(C185,"0"),終値!$A:$A,0),$AN$2))/INDEX(終値!$E:$CZ,MATCH(TEXT(C185,"0"),終値!$A:$A,0),$AN$2)*100,""))</f>
        <v>6.0052846504924329</v>
      </c>
      <c r="AJ185" s="373">
        <f t="array" ref="AJ185">IFERROR((終値!$E$5-INDEX(終値!$E$5:$IT$5,1,$AN$2))/INDEX(終値!$E$5:$IT$5,1,$AN$2)*100,"")</f>
        <v>1.0179378228534113</v>
      </c>
      <c r="AK185" s="374">
        <f>IF(OR(AI185="",AJ185=""),"",AI185-AJ185)</f>
        <v>4.9873468276390218</v>
      </c>
      <c r="AL185" s="372">
        <f>IF(AK185="","",IF(AK185&lt;-5,3,IF(AK185&lt;0,1,IF(AK185&lt;3,-1,-2))))</f>
        <v>-2</v>
      </c>
      <c r="AO185" s="376" t="str">
        <f>IF(OR($C185="",$E185="",$F185="",$H185="",$I185="",$H185-$I185&lt;=0),"-",IF(AND($H185-MAX($F185,$E185)&gt;=ABS($E185-$F185)*2,MIN($F185,$E185)-$I185&lt;=ABS($E185-$F185)*0.5,ABS($E185-$F185)&gt;0),"上ヒゲ陰線▼",IF(AND($E185&lt;$F185,ABS($E185-$F185)&gt;=($H185-$I185)*0.7),"大陰線▼",IF(AND(MIN($F185,$E185)-$I185&gt;=($H185-$I185)*0.5,$H185-MAX($F185,$E185)&lt;=($H185-$I185)*0.2),"長い下ヒゲ(反発警戒)","通常"))))</f>
        <v>通常</v>
      </c>
      <c r="AP185" s="377">
        <f>IF($AO185="上ヒゲ陰線▼",2,IF($AO185="大陰線▼",2,IF($AO185="長い下ヒゲ(反発警戒)",-2,0)))</f>
        <v>0</v>
      </c>
      <c r="AQ185">
        <f>IF(C185&lt;&gt;"",始値!F108,"")</f>
        <v>4389</v>
      </c>
      <c r="AR185">
        <f>IF(C185&lt;&gt;"",高値!F108,"")</f>
        <v>4409</v>
      </c>
      <c r="AS185">
        <f>IF(C185&lt;&gt;"",安値!F108,"")</f>
        <v>4350</v>
      </c>
      <c r="AT185" t="str">
        <f>IF(OR(C185="",AQ185="",AR185="",AS185="",AR185-AS185&lt;=0),"-",IF(AND(AR185-MAX(G185,AQ185)&gt;=ABS(G185-AQ185)*2,MIN(G185,AQ185)-AS185&lt;=ABS(G185-AQ185)*0.5,ABS(G185-AQ185)&gt;0),"上ヒゲ陰線▼",IF(AND(G185&lt;AQ185,ABS(G185-AQ185)&gt;=(AR185-AS185)*0.7),"大陰線▼",IF(AND(MIN(G185,AQ185)-AS185&gt;=(AR185-AS185)*0.5,AR185-MAX(G185,AQ185)&lt;=(AR185-AS185)*0.2),"長い下ヒゲ(反発)","通常"))))</f>
        <v>通常</v>
      </c>
      <c r="AU185">
        <f>IF(AT185="上ヒゲ陰線▼",2,IF(AT185="大陰線▼",2,IF(AT185="長い下ヒゲ(反発)",-2,0)))</f>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2018</v>
      </c>
      <c r="F186" s="333">
        <f>IF(C186&lt;&gt;"",_xll.RssMarket(C186,"始値"),"")</f>
        <v>2089</v>
      </c>
      <c r="G186" s="212">
        <f>IF(C186&lt;&gt;"",終値!F128,"")</f>
        <v>2105</v>
      </c>
      <c r="H186" s="333">
        <f>IF(C186&lt;&gt;"",_xll.RssMarket(C186,"高値"),"")</f>
        <v>2116</v>
      </c>
      <c r="I186" s="333">
        <f>IF(C186&lt;&gt;"",_xll.RssMarket(C186,"安値"),"")</f>
        <v>2002</v>
      </c>
      <c r="J186" s="333">
        <f>IF(C186&lt;&gt;"",_xll.RssMarket(C186,"出来高"),"")</f>
        <v>1312000</v>
      </c>
      <c r="K186" s="333">
        <f>IF(C186&lt;&gt;"",_xll.RssMarket(C186,"年初来高値"),"")</f>
        <v>8760</v>
      </c>
      <c r="L186" s="334">
        <f>IF(AND(E186&lt;&gt;"",K186&lt;&gt;"",K186&lt;&gt;0),(E186-K186)/K186*100,"")</f>
        <v>-76.963470319634709</v>
      </c>
      <c r="M186" s="333">
        <f>IF(C186&lt;&gt;"",IFERROR(AVERAGE(出来高!E128:I128),""),"")</f>
        <v>1592960</v>
      </c>
      <c r="N186" s="333">
        <f>IF(C186&lt;&gt;"",IFERROR(AVERAGE(出来高!E128:AC128),""),"")</f>
        <v>1896187.5</v>
      </c>
      <c r="O186" s="335">
        <f>IF(AND(J186&lt;&gt;"",M186&lt;&gt;"",M186&lt;&gt;0),J186/M186,"")</f>
        <v>0.82362394535958217</v>
      </c>
      <c r="P186" s="212" t="str">
        <f>IF(O186="","",IF(O186&gt;=2,"急増↑↑",IF(O186&gt;=1.5,"増加↑",IF(O186&gt;=1,"普通→","減少↓"))))</f>
        <v>減少↓</v>
      </c>
      <c r="Q186" s="212" t="str">
        <f>IF(E186="","",IF(AND(E186&lt;G186,O186&gt;=1.5),"売り▼",IF(E186&gt;G186,"様子見▲","中立→")))</f>
        <v>中立→</v>
      </c>
      <c r="R186" s="333">
        <f>IF(E186&lt;&gt;"",ROUND(E186*0.92,0),"")</f>
        <v>1857</v>
      </c>
      <c r="S186" s="333">
        <f>IF(E186&lt;&gt;"",ROUND(E186*1.04,0),"")</f>
        <v>2099</v>
      </c>
      <c r="T186" s="325">
        <f>IF(C186="","",IFERROR(IF(W186&gt;=70,3,IF(W186&gt;=60,2,IF(W186&gt;=50,1,0)))+IF(X186&lt;0,2,0)+IF(AD186="下降トレンド▼",3,IF(AD186="もみ合い→",1,0))+IF(V186="年初来安値圏●",3,IF(V186="安値圏",2,0))+IF(Q186="売り▼",2,0)+IF(P186="急増↑↑",2,IF(P186="増加↑",1,0))+IF(Z186&lt;0,1,0)+IF(L186&lt;=-30,2,IF(L186&lt;=-15,1,0))+IF(AE186="25日戻り売り★",2,IF(AE186="5日戻り売り○",1,0))+N(AL186)+N(AP186)+N(AU186),0))</f>
        <v>5</v>
      </c>
      <c r="U186" s="212" t="str">
        <f>IF(T186="","",IF(AND(T186&gt;=3,O186&gt;=1.5),"有効",IF(T186&gt;=3,"要確認","除外")))</f>
        <v>要確認</v>
      </c>
      <c r="V186" s="212" t="str">
        <f>IF(AND(I186&lt;&gt;"",K186&lt;&gt;""),IF(I186&lt;=K186*0.6,"年初来安値圏●",IF(I186&lt;=K186*0.75,"安値圏","通常")),"")</f>
        <v>年初来安値圏●</v>
      </c>
      <c r="W186" s="336">
        <f t="array" ref="W186">IFERROR(100-100/(1+SUMPRODUCT((終値!F128:R128&gt;終値!G128:S128)*(終値!F128:R128-終値!G128:S128))/SUMPRODUCT((終値!F128:R128&lt;終値!G128:S128)*(終値!G128:S128-終値!F128:R128))),50)</f>
        <v>51.526326572423685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0.94891517638666301</v>
      </c>
      <c r="Y186" s="212" t="str">
        <f>IF(AF186="","",AF186&amp;" | "&amp;AD186&amp;IF(AE186&lt;&gt;"なし"," "&amp;AE186,"")&amp;IF(X186&lt;0," MACD-"," MACD+")&amp;" RSI:"&amp;TEXT(W186,"0.0")&amp;IF(W186&gt;=70," [過熱]",IF(W186&lt;=30," [売られ過ぎ]",""))&amp;" 前日比:"&amp;TEXT(Z186,"+0.0;-0.0;0.0")&amp;"%"&amp;IF(V186="年初来安値圏●"," [年初来安値圏]",IF(V186="安値圏"," [安値圏]",""))&amp;IF(OR(AO186="通常",AO186="-"),""," ["&amp;AO186&amp;"]")&amp;IF(OR(AT186="通常",AT186="-"),"","前日["&amp;AT186&amp;"]")&amp;" ["&amp;T186&amp;"点]")</f>
        <v>相場上昇・見送り | パーフェクト▲ MACD+ RSI:51.5 前日比:-4.1% [年初来安値圏] [5点]</v>
      </c>
      <c r="Z186" s="338">
        <f>IF(AND(E186&lt;&gt;"",G186&lt;&gt;"",G186&lt;&gt;0),(E186-G186)/G186*100,"")</f>
        <v>-4.1330166270783852</v>
      </c>
      <c r="AA186" s="212" t="str">
        <f>IF(OR(C186="",E186="",E186=0),"",IF(E186&gt;G186,"上昇▲",IF(E186&lt;G186,"下落▼","横ばい→")))</f>
        <v>下落▼</v>
      </c>
      <c r="AB186" s="333">
        <f>IF(OR(C186="",C186="TOPX",終値!E128=""),"",IFERROR(((終値!E128*0.333)+(終値!F128*0.222)+(終値!G128*0.148)+(終値!H128*0.099)+(終値!I128*0.066))/(0.333+0.222+0.148+0.099+0.066),""))</f>
        <v>2017.2615207373271</v>
      </c>
      <c r="AC186" s="333">
        <f>IF(OR(C186="",C186="TOPX",終値!E128=""),"",IFERROR(SUMPRODUCT((終値!E128:AC128),{0.077,0.071,0.065,0.06,0.055,0.051,0.047,0.043,0.039,0.036,0.033,0.031,0.028,0.026,0.024,0.022,0.02,0.018,0.017,0.016,0.014,0.013,0.012,0.011,0.01})/SUM({0.077,0.071,0.065,0.06,0.055,0.051,0.047,0.043,0.039,0.036,0.033,0.031,0.028,0.026,0.024,0.022,0.02,0.018,0.017,0.016,0.014,0.013,0.012,0.011,0.01}),""))</f>
        <v>1884.0786650774724</v>
      </c>
      <c r="AD186" s="212" t="str">
        <f>IF(OR(C186="",AB186="",AC186="",AB186=0,AC186=0),"",IF(AND(E186&gt;AB186,AB186&gt;AC186),"パーフェクト▲",IF(E186&gt;AC186,"上昇トレンド▲",IF(AND(E186&lt;AB186,AB186&lt;AC186),"下降トレンド▼","もみ合い→"))))</f>
        <v>パーフェクト▲</v>
      </c>
      <c r="AE186" s="212" t="str">
        <f>IF(OR(C186="",AB186="",AC186=""),"",IF(AND(ABS(E186-AC186)/AC186&lt;=0.02,E186&lt;AC186),"25日戻り売り★",IF(AND(ABS(E186-AB186)/AB186&lt;=0.01,E186&lt;AB186),"5日戻り売り○","なし")))</f>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相場上昇・見送り</v>
      </c>
      <c r="AG186">
        <f>IF(AND(T186&gt;=7,C186&lt;&gt;""),T186,0)</f>
        <v>0</v>
      </c>
      <c r="AH186">
        <f>IF(AG186&gt;0,AG186*10000-ROW(A186),0)</f>
        <v>0</v>
      </c>
      <c r="AI186" s="373">
        <f t="array" ref="AI186">IF(C186="","",IFERROR((INDEX(終値!$E:$E,MATCH(TEXT(C186,"0"),終値!$A:$A,0))-INDEX(終値!$E:$CZ,MATCH(TEXT(C186,"0"),終値!$A:$A,0),$AN$2))/INDEX(終値!$E:$CZ,MATCH(TEXT(C186,"0"),終値!$A:$A,0),$AN$2)*100,""))</f>
        <v>4.1279669762641902</v>
      </c>
      <c r="AJ186" s="373">
        <f t="array" ref="AJ186">IFERROR((終値!$E$5-INDEX(終値!$E$5:$IT$5,1,$AN$2))/INDEX(終値!$E$5:$IT$5,1,$AN$2)*100,"")</f>
        <v>1.0179378228534113</v>
      </c>
      <c r="AK186" s="374">
        <f>IF(OR(AI186="",AJ186=""),"",AI186-AJ186)</f>
        <v>3.1100291534107791</v>
      </c>
      <c r="AL186" s="372">
        <f>IF(AK186="","",IF(AK186&lt;-5,3,IF(AK186&lt;0,1,IF(AK186&lt;3,-1,-2))))</f>
        <v>-2</v>
      </c>
      <c r="AO186" s="376" t="str">
        <f>IF(OR($C186="",$E186="",$F186="",$H186="",$I186="",$H186-$I186&lt;=0),"-",IF(AND($H186-MAX($F186,$E186)&gt;=ABS($E186-$F186)*2,MIN($F186,$E186)-$I186&lt;=ABS($E186-$F186)*0.5,ABS($E186-$F186)&gt;0),"上ヒゲ陰線▼",IF(AND($E186&lt;$F186,ABS($E186-$F186)&gt;=($H186-$I186)*0.7),"大陰線▼",IF(AND(MIN($F186,$E186)-$I186&gt;=($H186-$I186)*0.5,$H186-MAX($F186,$E186)&lt;=($H186-$I186)*0.2),"長い下ヒゲ(反発警戒)","通常"))))</f>
        <v>通常</v>
      </c>
      <c r="AP186" s="377">
        <f>IF($AO186="上ヒゲ陰線▼",2,IF($AO186="大陰線▼",2,IF($AO186="長い下ヒゲ(反発警戒)",-2,0)))</f>
        <v>0</v>
      </c>
      <c r="AQ186">
        <f>IF(C186&lt;&gt;"",始値!F128,"")</f>
        <v>2025</v>
      </c>
      <c r="AR186">
        <f>IF(C186&lt;&gt;"",高値!F128,"")</f>
        <v>2128</v>
      </c>
      <c r="AS186">
        <f>IF(C186&lt;&gt;"",安値!F128,"")</f>
        <v>2011</v>
      </c>
      <c r="AT186" t="str">
        <f>IF(OR(C186="",AQ186="",AR186="",AS186="",AR186-AS186&lt;=0),"-",IF(AND(AR186-MAX(G186,AQ186)&gt;=ABS(G186-AQ186)*2,MIN(G186,AQ186)-AS186&lt;=ABS(G186-AQ186)*0.5,ABS(G186-AQ186)&gt;0),"上ヒゲ陰線▼",IF(AND(G186&lt;AQ186,ABS(G186-AQ186)&gt;=(AR186-AS186)*0.7),"大陰線▼",IF(AND(MIN(G186,AQ186)-AS186&gt;=(AR186-AS186)*0.5,AR186-MAX(G186,AQ186)&lt;=(AR186-AS186)*0.2),"長い下ヒゲ(反発)","通常"))))</f>
        <v>通常</v>
      </c>
      <c r="AU186">
        <f>IF(AT186="上ヒゲ陰線▼",2,IF(AT186="大陰線▼",2,IF(AT186="長い下ヒゲ(反発)",-2,0)))</f>
        <v>0</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2719</v>
      </c>
      <c r="F187" s="326">
        <f>IF(C187&lt;&gt;"",_xll.RssMarket(C187,"始値"),"")</f>
        <v>2615</v>
      </c>
      <c r="G187" s="325">
        <f>IF(C187&lt;&gt;"",終値!F131,"")</f>
        <v>2633</v>
      </c>
      <c r="H187" s="326">
        <f>IF(C187&lt;&gt;"",_xll.RssMarket(C187,"高値"),"")</f>
        <v>2734</v>
      </c>
      <c r="I187" s="326">
        <f>IF(C187&lt;&gt;"",_xll.RssMarket(C187,"安値"),"")</f>
        <v>2600</v>
      </c>
      <c r="J187" s="326">
        <f>IF(C187&lt;&gt;"",_xll.RssMarket(C187,"出来高"),"")</f>
        <v>1129200</v>
      </c>
      <c r="K187" s="326">
        <f>IF(C187&lt;&gt;"",_xll.RssMarket(C187,"年初来高値"),"")</f>
        <v>3740</v>
      </c>
      <c r="L187" s="327">
        <f>IF(AND(E187&lt;&gt;"",K187&lt;&gt;"",K187&lt;&gt;0),(E187-K187)/K187*100,"")</f>
        <v>-27.299465240641712</v>
      </c>
      <c r="M187" s="326">
        <f>IF(C187&lt;&gt;"",IFERROR(AVERAGE(出来高!E131:I131),""),"")</f>
        <v>832400</v>
      </c>
      <c r="N187" s="326">
        <f>IF(C187&lt;&gt;"",IFERROR(AVERAGE(出来高!E131:AC131),""),"")</f>
        <v>860668</v>
      </c>
      <c r="O187" s="328">
        <f>IF(AND(J187&lt;&gt;"",M187&lt;&gt;"",M187&lt;&gt;0),J187/M187,"")</f>
        <v>1.3565593464680441</v>
      </c>
      <c r="P187" s="325" t="str">
        <f>IF(O187="","",IF(O187&gt;=2,"急増↑↑",IF(O187&gt;=1.5,"増加↑",IF(O187&gt;=1,"普通→","減少↓"))))</f>
        <v>普通→</v>
      </c>
      <c r="Q187" s="325" t="str">
        <f>IF(E187="","",IF(AND(E187&lt;G187,O187&gt;=1.5),"売り▼",IF(E187&gt;G187,"様子見▲","中立→")))</f>
        <v>様子見▲</v>
      </c>
      <c r="R187" s="326">
        <f>IF(E187&lt;&gt;"",ROUND(E187*0.92,0),"")</f>
        <v>2501</v>
      </c>
      <c r="S187" s="326">
        <f>IF(E187&lt;&gt;"",ROUND(E187*1.04,0),"")</f>
        <v>2828</v>
      </c>
      <c r="T187" s="325">
        <f>IF(C187="","",IFERROR(IF(W187&gt;=70,3,IF(W187&gt;=60,2,IF(W187&gt;=50,1,0)))+IF(X187&lt;0,2,0)+IF(AD187="下降トレンド▼",3,IF(AD187="もみ合い→",1,0))+IF(V187="年初来安値圏●",3,IF(V187="安値圏",2,0))+IF(Q187="売り▼",2,0)+IF(P187="急増↑↑",2,IF(P187="増加↑",1,0))+IF(Z187&lt;0,1,0)+IF(L187&lt;=-30,2,IF(L187&lt;=-15,1,0))+IF(AE187="25日戻り売り★",2,IF(AE187="5日戻り売り○",1,0))+N(AL187)+N(AP187)+N(AU187),0))</f>
        <v>7</v>
      </c>
      <c r="U187" s="325" t="str">
        <f>IF(T187="","",IF(AND(T187&gt;=3,O187&gt;=1.5),"有効",IF(T187&gt;=3,"要確認","除外")))</f>
        <v>要確認</v>
      </c>
      <c r="V187" s="325" t="str">
        <f>IF(AND(I187&lt;&gt;"",K187&lt;&gt;""),IF(I187&lt;=K187*0.6,"年初来安値圏●",IF(I187&lt;=K187*0.75,"安値圏","通常")),"")</f>
        <v>安値圏</v>
      </c>
      <c r="W187" s="329">
        <f t="array" ref="W187">IFERROR(100-100/(1+SUMPRODUCT((終値!F131:R131&gt;終値!G131:S131)*(終値!F131:R131-終値!G131:S131))/SUMPRODUCT((終値!F131:R131&lt;終値!G131:S131)*(終値!G131:S131-終値!F131:R131))),50)</f>
        <v>51.606217616580309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-8.842413001164914</v>
      </c>
      <c r="Y187" s="325" t="str">
        <f>IF(AF187="","",AF187&amp;" | "&amp;AD187&amp;IF(AE187&lt;&gt;"なし"," "&amp;AE187,"")&amp;IF(X187&lt;0," MACD-"," MACD+")&amp;" RSI:"&amp;TEXT(W187,"0.0")&amp;IF(W187&gt;=70," [過熱]",IF(W187&lt;=30," [売られ過ぎ]",""))&amp;" 前日比:"&amp;TEXT(Z187,"+0.0;-0.0;0.0")&amp;"%"&amp;IF(V187="年初来安値圏●"," [年初来安値圏]",IF(V187="安値圏"," [安値圏]",""))&amp;IF(OR(AO187="通常",AO187="-"),""," ["&amp;AO187&amp;"]")&amp;IF(OR(AT187="通常",AT187="-"),"","前日["&amp;AT187&amp;"]")&amp;" ["&amp;T187&amp;"点]")</f>
        <v>相場上昇・見送り | パーフェクト▲ MACD- RSI:51.6 前日比:+3.3% [安値圏] [7点]</v>
      </c>
      <c r="Z187" s="331">
        <f>IF(AND(E187&lt;&gt;"",G187&lt;&gt;"",G187&lt;&gt;0),(E187-G187)/G187*100,"")</f>
        <v>3.2662362324344856</v>
      </c>
      <c r="AA187" s="325" t="str">
        <f>IF(OR(C187="",E187="",E187=0),"",IF(E187&gt;G187,"上昇▲",IF(E187&lt;G187,"下落▼","横ばい→")))</f>
        <v>上昇▲</v>
      </c>
      <c r="AB187" s="326">
        <f>IF(OR(C187="",C187="TOPX",終値!E131=""),"",IFERROR(((終値!E131*0.333)+(終値!F131*0.222)+(終値!G131*0.148)+(終値!H131*0.099)+(終値!I131*0.066))/(0.333+0.222+0.148+0.099+0.066),""))</f>
        <v>2620.2200460829486</v>
      </c>
      <c r="AC187" s="326">
        <f>IF(OR(C187="",C187="TOPX",終値!E131=""),"",IFERROR(SUMPRODUCT((終値!E131:AC131),{0.077,0.071,0.065,0.06,0.055,0.051,0.047,0.043,0.039,0.036,0.033,0.031,0.028,0.026,0.024,0.022,0.02,0.018,0.017,0.016,0.014,0.013,0.012,0.011,0.01})/SUM({0.077,0.071,0.065,0.06,0.055,0.051,0.047,0.043,0.039,0.036,0.033,0.031,0.028,0.026,0.024,0.022,0.02,0.018,0.017,0.016,0.014,0.013,0.012,0.011,0.01}),""))</f>
        <v>2555.429082240762</v>
      </c>
      <c r="AD187" s="325" t="str">
        <f>IF(OR(C187="",AB187="",AC187="",AB187=0,AC187=0),"",IF(AND(E187&gt;AB187,AB187&gt;AC187),"パーフェクト▲",IF(E187&gt;AC187,"上昇トレンド▲",IF(AND(E187&lt;AB187,AB187&lt;AC187),"下降トレンド▼","もみ合い→"))))</f>
        <v>パーフェクト▲</v>
      </c>
      <c r="AE187" s="325" t="str">
        <f>IF(OR(C187="",AB187="",AC187=""),"",IF(AND(ABS(E187-AC187)/AC187&lt;=0.02,E187&lt;AC187),"25日戻り売り★",IF(AND(ABS(E187-AB187)/AB187&lt;=0.01,E187&lt;AB187),"5日戻り売り○","なし")))</f>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相場上昇・見送り</v>
      </c>
      <c r="AG187">
        <f>IF(AND(T187&gt;=7,C187&lt;&gt;""),T187,0)</f>
        <v>7</v>
      </c>
      <c r="AH187">
        <f>IF(AG187&gt;0,AG187*10000-ROW(A187),0)</f>
        <v>69813</v>
      </c>
      <c r="AI187" s="373">
        <f t="array" ref="AI187">IF(C187="","",IFERROR((INDEX(終値!$E:$E,MATCH(TEXT(C187,"0"),終値!$A:$A,0))-INDEX(終値!$E:$CZ,MATCH(TEXT(C187,"0"),終値!$A:$A,0),$AN$2))/INDEX(終値!$E:$CZ,MATCH(TEXT(C187,"0"),終値!$A:$A,0),$AN$2)*100,""))</f>
        <v>-2.5797205302758868</v>
      </c>
      <c r="AJ187" s="373">
        <f t="array" ref="AJ187">IFERROR((終値!$E$5-INDEX(終値!$E$5:$IT$5,1,$AN$2))/INDEX(終値!$E$5:$IT$5,1,$AN$2)*100,"")</f>
        <v>1.0179378228534113</v>
      </c>
      <c r="AK187" s="374">
        <f>IF(OR(AI187="",AJ187=""),"",AI187-AJ187)</f>
        <v>-3.5976583531292983</v>
      </c>
      <c r="AL187" s="372">
        <f>IF(AK187="","",IF(AK187&lt;-5,3,IF(AK187&lt;0,1,IF(AK187&lt;3,-1,-2))))</f>
        <v>1</v>
      </c>
      <c r="AO187" s="376" t="str">
        <f>IF(OR($C187="",$E187="",$F187="",$H187="",$I187="",$H187-$I187&lt;=0),"-",IF(AND($H187-MAX($F187,$E187)&gt;=ABS($E187-$F187)*2,MIN($F187,$E187)-$I187&lt;=ABS($E187-$F187)*0.5,ABS($E187-$F187)&gt;0),"上ヒゲ陰線▼",IF(AND($E187&lt;$F187,ABS($E187-$F187)&gt;=($H187-$I187)*0.7),"大陰線▼",IF(AND(MIN($F187,$E187)-$I187&gt;=($H187-$I187)*0.5,$H187-MAX($F187,$E187)&lt;=($H187-$I187)*0.2),"長い下ヒゲ(反発警戒)","通常"))))</f>
        <v>通常</v>
      </c>
      <c r="AP187" s="377">
        <f>IF($AO187="上ヒゲ陰線▼",2,IF($AO187="大陰線▼",2,IF($AO187="長い下ヒゲ(反発警戒)",-2,0)))</f>
        <v>0</v>
      </c>
      <c r="AQ187">
        <f>IF(C187&lt;&gt;"",始値!F131,"")</f>
        <v>2532</v>
      </c>
      <c r="AR187">
        <f>IF(C187&lt;&gt;"",高値!F131,"")</f>
        <v>2665</v>
      </c>
      <c r="AS187">
        <f>IF(C187&lt;&gt;"",安値!F131,"")</f>
        <v>2526</v>
      </c>
      <c r="AT187" t="str">
        <f>IF(OR(C187="",AQ187="",AR187="",AS187="",AR187-AS187&lt;=0),"-",IF(AND(AR187-MAX(G187,AQ187)&gt;=ABS(G187-AQ187)*2,MIN(G187,AQ187)-AS187&lt;=ABS(G187-AQ187)*0.5,ABS(G187-AQ187)&gt;0),"上ヒゲ陰線▼",IF(AND(G187&lt;AQ187,ABS(G187-AQ187)&gt;=(AR187-AS187)*0.7),"大陰線▼",IF(AND(MIN(G187,AQ187)-AS187&gt;=(AR187-AS187)*0.5,AR187-MAX(G187,AQ187)&lt;=(AR187-AS187)*0.2),"長い下ヒゲ(反発)","通常"))))</f>
        <v>通常</v>
      </c>
      <c r="AU187">
        <f>IF(AT187="上ヒゲ陰線▼",2,IF(AT187="大陰線▼",2,IF(AT187="長い下ヒゲ(反発)",-2,0)))</f>
        <v>0</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551</v>
      </c>
      <c r="F188" s="333">
        <f>IF(C188&lt;&gt;"",_xll.RssMarket(C188,"始値"),"")</f>
        <v>565</v>
      </c>
      <c r="G188" s="212">
        <f>IF(C188&lt;&gt;"",終値!F139,"")</f>
        <v>555</v>
      </c>
      <c r="H188" s="333">
        <f>IF(C188&lt;&gt;"",_xll.RssMarket(C188,"高値"),"")</f>
        <v>565</v>
      </c>
      <c r="I188" s="333">
        <f>IF(C188&lt;&gt;"",_xll.RssMarket(C188,"安値"),"")</f>
        <v>543</v>
      </c>
      <c r="J188" s="333">
        <f>IF(C188&lt;&gt;"",_xll.RssMarket(C188,"出来高"),"")</f>
        <v>20600</v>
      </c>
      <c r="K188" s="333">
        <f>IF(C188&lt;&gt;"",_xll.RssMarket(C188,"年初来高値"),"")</f>
        <v>1630</v>
      </c>
      <c r="L188" s="334">
        <f>IF(AND(E188&lt;&gt;"",K188&lt;&gt;"",K188&lt;&gt;0),(E188-K188)/K188*100,"")</f>
        <v>-66.196319018404907</v>
      </c>
      <c r="M188" s="333">
        <f>IF(C188&lt;&gt;"",IFERROR(AVERAGE(出来高!E139:I139),""),"")</f>
        <v>58120</v>
      </c>
      <c r="N188" s="333">
        <f>IF(C188&lt;&gt;"",IFERROR(AVERAGE(出来高!E139:AC139),""),"")</f>
        <v>67176</v>
      </c>
      <c r="O188" s="335">
        <f>IF(AND(J188&lt;&gt;"",M188&lt;&gt;"",M188&lt;&gt;0),J188/M188,"")</f>
        <v>0.35443909153475567</v>
      </c>
      <c r="P188" s="212" t="str">
        <f>IF(O188="","",IF(O188&gt;=2,"急増↑↑",IF(O188&gt;=1.5,"増加↑",IF(O188&gt;=1,"普通→","減少↓"))))</f>
        <v>減少↓</v>
      </c>
      <c r="Q188" s="212" t="str">
        <f>IF(E188="","",IF(AND(E188&lt;G188,O188&gt;=1.5),"売り▼",IF(E188&gt;G188,"様子見▲","中立→")))</f>
        <v>中立→</v>
      </c>
      <c r="R188" s="333">
        <f>IF(E188&lt;&gt;"",ROUND(E188*0.92,0),"")</f>
        <v>507</v>
      </c>
      <c r="S188" s="333">
        <f>IF(E188&lt;&gt;"",ROUND(E188*1.04,0),"")</f>
        <v>573</v>
      </c>
      <c r="T188" s="325">
        <f>IF(C188="","",IFERROR(IF(W188&gt;=70,3,IF(W188&gt;=60,2,IF(W188&gt;=50,1,0)))+IF(X188&lt;0,2,0)+IF(AD188="下降トレンド▼",3,IF(AD188="もみ合い→",1,0))+IF(V188="年初来安値圏●",3,IF(V188="安値圏",2,0))+IF(Q188="売り▼",2,0)+IF(P188="急増↑↑",2,IF(P188="増加↑",1,0))+IF(Z188&lt;0,1,0)+IF(L188&lt;=-30,2,IF(L188&lt;=-15,1,0))+IF(AE188="25日戻り売り★",2,IF(AE188="5日戻り売り○",1,0))+N(AL188)+N(AP188)+N(AU188),0))</f>
        <v>9</v>
      </c>
      <c r="U188" s="212" t="str">
        <f>IF(T188="","",IF(AND(T188&gt;=3,O188&gt;=1.5),"有効",IF(T188&gt;=3,"要確認","除外")))</f>
        <v>要確認</v>
      </c>
      <c r="V188" s="212" t="str">
        <f>IF(AND(I188&lt;&gt;"",K188&lt;&gt;""),IF(I188&lt;=K188*0.6,"年初来安値圏●",IF(I188&lt;=K188*0.75,"安値圏","通常")),"")</f>
        <v>年初来安値圏●</v>
      </c>
      <c r="W188" s="336">
        <f t="array" ref="W188">IFERROR(100-100/(1+SUMPRODUCT((終値!F139:R139&gt;終値!G139:S139)*(終値!F139:R139-終値!G139:S139))/SUMPRODUCT((終値!F139:R139&lt;終値!G139:S139)*(終値!G139:S139-終値!F139:R139))),50)</f>
        <v>47.596153846153847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-2.6833015574809451</v>
      </c>
      <c r="Y188" s="212" t="str">
        <f>IF(AF188="","",AF188&amp;" | "&amp;AD188&amp;IF(AE188&lt;&gt;"なし"," "&amp;AE188,"")&amp;IF(X188&lt;0," MACD-"," MACD+")&amp;" RSI:"&amp;TEXT(W188,"0.0")&amp;IF(W188&gt;=70," [過熱]",IF(W188&lt;=30," [売られ過ぎ]",""))&amp;" 前日比:"&amp;TEXT(Z188,"+0.0;-0.0;0.0")&amp;"%"&amp;IF(V188="年初来安値圏●"," [年初来安値圏]",IF(V188="安値圏"," [安値圏]",""))&amp;IF(OR(AO188="通常",AO188="-"),""," ["&amp;AO188&amp;"]")&amp;IF(OR(AT188="通常",AT188="-"),"","前日["&amp;AT188&amp;"]")&amp;" ["&amp;T188&amp;"点]")</f>
        <v>相場上昇・見送り | パーフェクト▲ MACD- RSI:47.6 前日比:-0.7% [年初来安値圏] [9点]</v>
      </c>
      <c r="Z188" s="338">
        <f>IF(AND(E188&lt;&gt;"",G188&lt;&gt;"",G188&lt;&gt;0),(E188-G188)/G188*100,"")</f>
        <v>-0.72072072072072069</v>
      </c>
      <c r="AA188" s="212" t="str">
        <f>IF(OR(C188="",E188="",E188=0),"",IF(E188&gt;G188,"上昇▲",IF(E188&lt;G188,"下落▼","横ばい→")))</f>
        <v>下落▼</v>
      </c>
      <c r="AB188" s="333">
        <f>IF(OR(C188="",C188="TOPX",終値!E139=""),"",IFERROR(((終値!E139*0.333)+(終値!F139*0.222)+(終値!G139*0.148)+(終値!H139*0.099)+(終値!I139*0.066))/(0.333+0.222+0.148+0.099+0.066),""))</f>
        <v>547.53456221198144</v>
      </c>
      <c r="AC188" s="333">
        <f>IF(OR(C188="",C188="TOPX",終値!E139=""),"",IFERROR(SUMPRODUCT((終値!E139:AC139),{0.077,0.071,0.065,0.06,0.055,0.051,0.047,0.043,0.039,0.036,0.033,0.031,0.028,0.026,0.024,0.022,0.02,0.018,0.017,0.016,0.014,0.013,0.012,0.011,0.01})/SUM({0.077,0.071,0.065,0.06,0.055,0.051,0.047,0.043,0.039,0.036,0.033,0.031,0.028,0.026,0.024,0.022,0.02,0.018,0.017,0.016,0.014,0.013,0.012,0.011,0.01}),""))</f>
        <v>536.71632896305118</v>
      </c>
      <c r="AD188" s="212" t="str">
        <f>IF(OR(C188="",AB188="",AC188="",AB188=0,AC188=0),"",IF(AND(E188&gt;AB188,AB188&gt;AC188),"パーフェクト▲",IF(E188&gt;AC188,"上昇トレンド▲",IF(AND(E188&lt;AB188,AB188&lt;AC188),"下降トレンド▼","もみ合い→"))))</f>
        <v>パーフェクト▲</v>
      </c>
      <c r="AE188" s="212" t="str">
        <f>IF(OR(C188="",AB188="",AC188=""),"",IF(AND(ABS(E188-AC188)/AC188&lt;=0.02,E188&lt;AC188),"25日戻り売り★",IF(AND(ABS(E188-AB188)/AB188&lt;=0.01,E188&lt;AB188),"5日戻り売り○","なし")))</f>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相場上昇・見送り</v>
      </c>
      <c r="AG188">
        <f>IF(AND(T188&gt;=7,C188&lt;&gt;""),T188,0)</f>
        <v>9</v>
      </c>
      <c r="AH188">
        <f>IF(AG188&gt;0,AG188*10000-ROW(A188),0)</f>
        <v>89812</v>
      </c>
      <c r="AI188" s="373">
        <f t="array" ref="AI188">IF(C188="","",IFERROR((INDEX(終値!$E:$E,MATCH(TEXT(C188,"0"),終値!$A:$A,0))-INDEX(終値!$E:$CZ,MATCH(TEXT(C188,"0"),終値!$A:$A,0),$AN$2))/INDEX(終値!$E:$CZ,MATCH(TEXT(C188,"0"),終値!$A:$A,0),$AN$2)*100,""))</f>
        <v>-0.54151624548736454</v>
      </c>
      <c r="AJ188" s="373">
        <f t="array" ref="AJ188">IFERROR((終値!$E$5-INDEX(終値!$E$5:$IT$5,1,$AN$2))/INDEX(終値!$E$5:$IT$5,1,$AN$2)*100,"")</f>
        <v>1.0179378228534113</v>
      </c>
      <c r="AK188" s="374">
        <f>IF(OR(AI188="",AJ188=""),"",AI188-AJ188)</f>
        <v>-1.5594540683407758</v>
      </c>
      <c r="AL188" s="372">
        <f>IF(AK188="","",IF(AK188&lt;-5,3,IF(AK188&lt;0,1,IF(AK188&lt;3,-1,-2))))</f>
        <v>1</v>
      </c>
      <c r="AO188" s="376" t="str">
        <f>IF(OR($C188="",$E188="",$F188="",$H188="",$I188="",$H188-$I188&lt;=0),"-",IF(AND($H188-MAX($F188,$E188)&gt;=ABS($E188-$F188)*2,MIN($F188,$E188)-$I188&lt;=ABS($E188-$F188)*0.5,ABS($E188-$F188)&gt;0),"上ヒゲ陰線▼",IF(AND($E188&lt;$F188,ABS($E188-$F188)&gt;=($H188-$I188)*0.7),"大陰線▼",IF(AND(MIN($F188,$E188)-$I188&gt;=($H188-$I188)*0.5,$H188-MAX($F188,$E188)&lt;=($H188-$I188)*0.2),"長い下ヒゲ(反発警戒)","通常"))))</f>
        <v>通常</v>
      </c>
      <c r="AP188" s="377">
        <f>IF($AO188="上ヒゲ陰線▼",2,IF($AO188="大陰線▼",2,IF($AO188="長い下ヒゲ(反発警戒)",-2,0)))</f>
        <v>0</v>
      </c>
      <c r="AQ188">
        <f>IF(C188&lt;&gt;"",始値!F139,"")</f>
        <v>552</v>
      </c>
      <c r="AR188">
        <f>IF(C188&lt;&gt;"",高値!F139,"")</f>
        <v>572</v>
      </c>
      <c r="AS188">
        <f>IF(C188&lt;&gt;"",安値!F139,"")</f>
        <v>542</v>
      </c>
      <c r="AT188" t="str">
        <f>IF(OR(C188="",AQ188="",AR188="",AS188="",AR188-AS188&lt;=0),"-",IF(AND(AR188-MAX(G188,AQ188)&gt;=ABS(G188-AQ188)*2,MIN(G188,AQ188)-AS188&lt;=ABS(G188-AQ188)*0.5,ABS(G188-AQ188)&gt;0),"上ヒゲ陰線▼",IF(AND(G188&lt;AQ188,ABS(G188-AQ188)&gt;=(AR188-AS188)*0.7),"大陰線▼",IF(AND(MIN(G188,AQ188)-AS188&gt;=(AR188-AS188)*0.5,AR188-MAX(G188,AQ188)&lt;=(AR188-AS188)*0.2),"長い下ヒゲ(反発)","通常"))))</f>
        <v>通常</v>
      </c>
      <c r="AU188">
        <f>IF(AT188="上ヒゲ陰線▼",2,IF(AT188="大陰線▼",2,IF(AT188="長い下ヒゲ(反発)",-2,0)))</f>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49</v>
      </c>
      <c r="G189" s="325">
        <f>IF(C189&lt;&gt;"",終値!F140,"")</f>
        <v>49</v>
      </c>
      <c r="H189" s="326">
        <f>IF(C189&lt;&gt;"",_xll.RssMarket(C189,"高値"),"")</f>
        <v>50</v>
      </c>
      <c r="I189" s="326">
        <f>IF(C189&lt;&gt;"",_xll.RssMarket(C189,"安値"),"")</f>
        <v>47</v>
      </c>
      <c r="J189" s="326">
        <f>IF(C189&lt;&gt;"",_xll.RssMarket(C189,"出来高"),"")</f>
        <v>13294400</v>
      </c>
      <c r="K189" s="326">
        <f>IF(C189&lt;&gt;"",_xll.RssMarket(C189,"年初来高値"),"")</f>
        <v>164</v>
      </c>
      <c r="L189" s="327">
        <f>IF(AND(E189&lt;&gt;"",K189&lt;&gt;"",K189&lt;&gt;0),(E189-K189)/K189*100,"")</f>
        <v>-70.731707317073173</v>
      </c>
      <c r="M189" s="326">
        <f>IF(C189&lt;&gt;"",IFERROR(AVERAGE(出来高!E140:I140),""),"")</f>
        <v>11598340</v>
      </c>
      <c r="N189" s="326">
        <f>IF(C189&lt;&gt;"",IFERROR(AVERAGE(出来高!E140:AC140),""),"")</f>
        <v>23217912.5</v>
      </c>
      <c r="O189" s="328">
        <f>IF(AND(J189&lt;&gt;"",M189&lt;&gt;"",M189&lt;&gt;0),J189/M189,"")</f>
        <v>1.1462329954114123</v>
      </c>
      <c r="P189" s="325" t="str">
        <f>IF(O189="","",IF(O189&gt;=2,"急増↑↑",IF(O189&gt;=1.5,"増加↑",IF(O189&gt;=1,"普通→","減少↓"))))</f>
        <v>普通→</v>
      </c>
      <c r="Q189" s="325" t="str">
        <f>IF(E189="","",IF(AND(E189&lt;G189,O189&gt;=1.5),"売り▼",IF(E189&gt;G189,"様子見▲","中立→")))</f>
        <v>中立→</v>
      </c>
      <c r="R189" s="326">
        <f>IF(E189&lt;&gt;"",ROUND(E189*0.92,0),"")</f>
        <v>44</v>
      </c>
      <c r="S189" s="326">
        <f>IF(E189&lt;&gt;"",ROUND(E189*1.04,0),"")</f>
        <v>50</v>
      </c>
      <c r="T189" s="325">
        <f>IF(C189="","",IFERROR(IF(W189&gt;=70,3,IF(W189&gt;=60,2,IF(W189&gt;=50,1,0)))+IF(X189&lt;0,2,0)+IF(AD189="下降トレンド▼",3,IF(AD189="もみ合い→",1,0))+IF(V189="年初来安値圏●",3,IF(V189="安値圏",2,0))+IF(Q189="売り▼",2,0)+IF(P189="急増↑↑",2,IF(P189="増加↑",1,0))+IF(Z189&lt;0,1,0)+IF(L189&lt;=-30,2,IF(L189&lt;=-15,1,0))+IF(AE189="25日戻り売り★",2,IF(AE189="5日戻り売り○",1,0))+N(AL189)+N(AP189)+N(AU189),0))</f>
        <v>11</v>
      </c>
      <c r="U189" s="325" t="str">
        <f>IF(T189="","",IF(AND(T189&gt;=3,O189&gt;=1.5),"有効",IF(T189&gt;=3,"要確認","除外")))</f>
        <v>要確認</v>
      </c>
      <c r="V189" s="325" t="str">
        <f>IF(AND(I189&lt;&gt;"",K189&lt;&gt;""),IF(I189&lt;=K189*0.6,"年初来安値圏●",IF(I189&lt;=K189*0.75,"安値圏","通常")),"")</f>
        <v>年初来安値圏●</v>
      </c>
      <c r="W189" s="329">
        <f t="array" ref="W189">IFERROR(100-100/(1+SUMPRODUCT((終値!F140:R140&gt;終値!G140:S140)*(終値!F140:R140-終値!G140:S140))/SUMPRODUCT((終値!F140:R140&lt;終値!G140:S140)*(終値!G140:S140-終値!F140:R140))),50)</f>
        <v>49.565217391304351</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-0.68337718268261227</v>
      </c>
      <c r="Y189" s="325" t="str">
        <f>IF(AF189="","",AF189&amp;" | "&amp;AD189&amp;IF(AE189&lt;&gt;"なし"," "&amp;AE189,"")&amp;IF(X189&lt;0," MACD-"," MACD+")&amp;" RSI:"&amp;TEXT(W189,"0.0")&amp;IF(W189&gt;=70," [過熱]",IF(W189&lt;=30," [売られ過ぎ]",""))&amp;" 前日比:"&amp;TEXT(Z189,"+0.0;-0.0;0.0")&amp;"%"&amp;IF(V189="年初来安値圏●"," [年初来安値圏]",IF(V189="安値圏"," [安値圏]",""))&amp;IF(OR(AO189="通常",AO189="-"),""," ["&amp;AO189&amp;"]")&amp;IF(OR(AT189="通常",AT189="-"),"","前日["&amp;AT189&amp;"]")&amp;" ["&amp;T189&amp;"点]")</f>
        <v>相場上昇・見送り | パーフェクト▲ MACD- RSI:49.6 前日比:-2.0% [年初来安値圏] [11点]</v>
      </c>
      <c r="Z189" s="331">
        <f>IF(AND(E189&lt;&gt;"",G189&lt;&gt;"",G189&lt;&gt;0),(E189-G189)/G189*100,"")</f>
        <v>-2.0408163265306123</v>
      </c>
      <c r="AA189" s="325" t="str">
        <f>IF(OR(C189="",E189="",E189=0),"",IF(E189&gt;G189,"上昇▲",IF(E189&lt;G189,"下落▼","横ばい→")))</f>
        <v>下落▼</v>
      </c>
      <c r="AB189" s="326">
        <f>IF(OR(C189="",C189="TOPX",終値!E140=""),"",IFERROR(((終値!E140*0.333)+(終値!F140*0.222)+(終値!G140*0.148)+(終値!H140*0.099)+(終値!I140*0.066))/(0.333+0.222+0.148+0.099+0.066),""))</f>
        <v>47.800691244239623</v>
      </c>
      <c r="AC189" s="326">
        <f>IF(OR(C189="",C189="TOPX",終値!E140=""),"",IFERROR(SUMPRODUCT((終値!E140:AC140),{0.077,0.071,0.065,0.06,0.055,0.051,0.047,0.043,0.039,0.036,0.033,0.031,0.028,0.026,0.024,0.022,0.02,0.018,0.017,0.016,0.014,0.013,0.012,0.011,0.01})/SUM({0.077,0.071,0.065,0.06,0.055,0.051,0.047,0.043,0.039,0.036,0.033,0.031,0.028,0.026,0.024,0.022,0.02,0.018,0.017,0.016,0.014,0.013,0.012,0.011,0.01}),""))</f>
        <v>46.17044100119189</v>
      </c>
      <c r="AD189" s="325" t="str">
        <f>IF(OR(C189="",AB189="",AC189="",AB189=0,AC189=0),"",IF(AND(E189&gt;AB189,AB189&gt;AC189),"パーフェクト▲",IF(E189&gt;AC189,"上昇トレンド▲",IF(AND(E189&lt;AB189,AB189&lt;AC189),"下降トレンド▼","もみ合い→"))))</f>
        <v>パーフェクト▲</v>
      </c>
      <c r="AE189" s="325" t="str">
        <f>IF(OR(C189="",AB189="",AC189=""),"",IF(AND(ABS(E189-AC189)/AC189&lt;=0.02,E189&lt;AC189),"25日戻り売り★",IF(AND(ABS(E189-AB189)/AB189&lt;=0.01,E189&lt;AB189),"5日戻り売り○","なし")))</f>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相場上昇・見送り</v>
      </c>
      <c r="AG189">
        <f>IF(AND(T189&gt;=7,C189&lt;&gt;""),T189,0)</f>
        <v>11</v>
      </c>
      <c r="AH189">
        <f>IF(AG189&gt;0,AG189*10000-ROW(A189),0)</f>
        <v>109811</v>
      </c>
      <c r="AI189" s="373">
        <f t="array" ref="AI189">IF(C189="","",IFERROR((INDEX(終値!$E:$E,MATCH(TEXT(C189,"0"),終値!$A:$A,0))-INDEX(終値!$E:$CZ,MATCH(TEXT(C189,"0"),終値!$A:$A,0),$AN$2))/INDEX(終値!$E:$CZ,MATCH(TEXT(C189,"0"),終値!$A:$A,0),$AN$2)*100,""))</f>
        <v>-11.111111111111111</v>
      </c>
      <c r="AJ189" s="373">
        <f t="array" ref="AJ189">IFERROR((終値!$E$5-INDEX(終値!$E$5:$IT$5,1,$AN$2))/INDEX(終値!$E$5:$IT$5,1,$AN$2)*100,"")</f>
        <v>1.0179378228534113</v>
      </c>
      <c r="AK189" s="374">
        <f>IF(OR(AI189="",AJ189=""),"",AI189-AJ189)</f>
        <v>-12.129048933964523</v>
      </c>
      <c r="AL189" s="372">
        <f>IF(AK189="","",IF(AK189&lt;-5,3,IF(AK189&lt;0,1,IF(AK189&lt;3,-1,-2))))</f>
        <v>3</v>
      </c>
      <c r="AO189" s="376" t="str">
        <f>IF(OR($C189="",$E189="",$F189="",$H189="",$I189="",$H189-$I189&lt;=0),"-",IF(AND($H189-MAX($F189,$E189)&gt;=ABS($E189-$F189)*2,MIN($F189,$E189)-$I189&lt;=ABS($E189-$F189)*0.5,ABS($E189-$F189)&gt;0),"上ヒゲ陰線▼",IF(AND($E189&lt;$F189,ABS($E189-$F189)&gt;=($H189-$I189)*0.7),"大陰線▼",IF(AND(MIN($F189,$E189)-$I189&gt;=($H189-$I189)*0.5,$H189-MAX($F189,$E189)&lt;=($H189-$I189)*0.2),"長い下ヒゲ(反発警戒)","通常"))))</f>
        <v>通常</v>
      </c>
      <c r="AP189" s="377">
        <f>IF($AO189="上ヒゲ陰線▼",2,IF($AO189="大陰線▼",2,IF($AO189="長い下ヒゲ(反発警戒)",-2,0)))</f>
        <v>0</v>
      </c>
      <c r="AQ189">
        <f>IF(C189&lt;&gt;"",始値!F140,"")</f>
        <v>46</v>
      </c>
      <c r="AR189">
        <f>IF(C189&lt;&gt;"",高値!F140,"")</f>
        <v>49</v>
      </c>
      <c r="AS189">
        <f>IF(C189&lt;&gt;"",安値!F140,"")</f>
        <v>46</v>
      </c>
      <c r="AT189" t="str">
        <f>IF(OR(C189="",AQ189="",AR189="",AS189="",AR189-AS189&lt;=0),"-",IF(AND(AR189-MAX(G189,AQ189)&gt;=ABS(G189-AQ189)*2,MIN(G189,AQ189)-AS189&lt;=ABS(G189-AQ189)*0.5,ABS(G189-AQ189)&gt;0),"上ヒゲ陰線▼",IF(AND(G189&lt;AQ189,ABS(G189-AQ189)&gt;=(AR189-AS189)*0.7),"大陰線▼",IF(AND(MIN(G189,AQ189)-AS189&gt;=(AR189-AS189)*0.5,AR189-MAX(G189,AQ189)&lt;=(AR189-AS189)*0.2),"長い下ヒゲ(反発)","通常"))))</f>
        <v>通常</v>
      </c>
      <c r="AU189">
        <f>IF(AT189="上ヒゲ陰線▼",2,IF(AT189="大陰線▼",2,IF(AT189="長い下ヒゲ(反発)",-2,0)))</f>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1123</v>
      </c>
      <c r="F190" s="333">
        <f>IF(C190&lt;&gt;"",_xll.RssMarket(C190,"始値"),"")</f>
        <v>1151</v>
      </c>
      <c r="G190" s="212">
        <f>IF(C190&lt;&gt;"",終値!F149,"")</f>
        <v>1168</v>
      </c>
      <c r="H190" s="333">
        <f>IF(C190&lt;&gt;"",_xll.RssMarket(C190,"高値"),"")</f>
        <v>1154</v>
      </c>
      <c r="I190" s="333">
        <f>IF(C190&lt;&gt;"",_xll.RssMarket(C190,"安値"),"")</f>
        <v>1123</v>
      </c>
      <c r="J190" s="333">
        <f>IF(C190&lt;&gt;"",_xll.RssMarket(C190,"出来高"),"")</f>
        <v>9300</v>
      </c>
      <c r="K190" s="333">
        <f>IF(C190&lt;&gt;"",_xll.RssMarket(C190,"年初来高値"),"")</f>
        <v>2660</v>
      </c>
      <c r="L190" s="334">
        <f>IF(AND(E190&lt;&gt;"",K190&lt;&gt;"",K190&lt;&gt;0),(E190-K190)/K190*100,"")</f>
        <v>-57.781954887218049</v>
      </c>
      <c r="M190" s="333">
        <f>IF(C190&lt;&gt;"",IFERROR(AVERAGE(出来高!E149:I149),""),"")</f>
        <v>11600</v>
      </c>
      <c r="N190" s="333">
        <f>IF(C190&lt;&gt;"",IFERROR(AVERAGE(出来高!E149:AC149),""),"")</f>
        <v>11600</v>
      </c>
      <c r="O190" s="335">
        <f>IF(AND(J190&lt;&gt;"",M190&lt;&gt;"",M190&lt;&gt;0),J190/M190,"")</f>
        <v>0.80172413793103448</v>
      </c>
      <c r="P190" s="212" t="str">
        <f>IF(O190="","",IF(O190&gt;=2,"急増↑↑",IF(O190&gt;=1.5,"増加↑",IF(O190&gt;=1,"普通→","減少↓"))))</f>
        <v>減少↓</v>
      </c>
      <c r="Q190" s="212" t="str">
        <f>IF(E190="","",IF(AND(E190&lt;G190,O190&gt;=1.5),"売り▼",IF(E190&gt;G190,"様子見▲","中立→")))</f>
        <v>中立→</v>
      </c>
      <c r="R190" s="333">
        <f>IF(E190&lt;&gt;"",ROUND(E190*0.92,0),"")</f>
        <v>1033</v>
      </c>
      <c r="S190" s="333">
        <f>IF(E190&lt;&gt;"",ROUND(E190*1.04,0),"")</f>
        <v>1168</v>
      </c>
      <c r="T190" s="325">
        <f>IF(C190="","",IFERROR(IF(W190&gt;=70,3,IF(W190&gt;=60,2,IF(W190&gt;=50,1,0)))+IF(X190&lt;0,2,0)+IF(AD190="下降トレンド▼",3,IF(AD190="もみ合い→",1,0))+IF(V190="年初来安値圏●",3,IF(V190="安値圏",2,0))+IF(Q190="売り▼",2,0)+IF(P190="急増↑↑",2,IF(P190="増加↑",1,0))+IF(Z190&lt;0,1,0)+IF(L190&lt;=-30,2,IF(L190&lt;=-15,1,0))+IF(AE190="25日戻り売り★",2,IF(AE190="5日戻り売り○",1,0))+N(AL190)+N(AP190)+N(AU190),0))</f>
        <v>9</v>
      </c>
      <c r="U190" s="212" t="str">
        <f>IF(T190="","",IF(AND(T190&gt;=3,O190&gt;=1.5),"有効",IF(T190&gt;=3,"要確認","除外")))</f>
        <v>要確認</v>
      </c>
      <c r="V190" s="212" t="str">
        <f>IF(AND(I190&lt;&gt;"",K190&lt;&gt;""),IF(I190&lt;=K190*0.6,"年初来安値圏●",IF(I190&lt;=K190*0.75,"安値圏","通常")),"")</f>
        <v>年初来安値圏●</v>
      </c>
      <c r="W190" s="336">
        <f t="array" ref="W190">IFERROR(100-100/(1+SUMPRODUCT((終値!F149:R149&gt;終値!G149:S149)*(終値!F149:R149-終値!G149:S149))/SUMPRODUCT((終値!F149:R149&lt;終値!G149:S149)*(終値!G149:S149-終値!F149:R149))),50)</f>
        <v>50</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71.588919315870726</v>
      </c>
      <c r="Y190" s="212" t="str">
        <f>IF(AF190="","",AF190&amp;" | "&amp;AD190&amp;IF(AE190&lt;&gt;"なし"," "&amp;AE190,"")&amp;IF(X190&lt;0," MACD-"," MACD+")&amp;" RSI:"&amp;TEXT(W190,"0.0")&amp;IF(W190&gt;=70," [過熱]",IF(W190&lt;=30," [売られ過ぎ]",""))&amp;" 前日比:"&amp;TEXT(Z190,"+0.0;-0.0;0.0")&amp;"%"&amp;IF(V190="年初来安値圏●"," [年初来安値圏]",IF(V190="安値圏"," [安値圏]",""))&amp;IF(OR(AO190="通常",AO190="-"),""," ["&amp;AO190&amp;"]")&amp;IF(OR(AT190="通常",AT190="-"),"","前日["&amp;AT190&amp;"]")&amp;" ["&amp;T190&amp;"点]")</f>
        <v>相場上昇・見送り | パーフェクト▲ MACD+ RSI:50.0 前日比:-3.9% [年初来安値圏] [大陰線▼] [9点]</v>
      </c>
      <c r="Z190" s="338">
        <f>IF(AND(E190&lt;&gt;"",G190&lt;&gt;"",G190&lt;&gt;0),(E190-G190)/G190*100,"")</f>
        <v>-3.8527397260273974</v>
      </c>
      <c r="AA190" s="212" t="str">
        <f>IF(OR(C190="",E190="",E190=0),"",IF(E190&gt;G190,"上昇▲",IF(E190&lt;G190,"下落▼","横ばい→")))</f>
        <v>下落▼</v>
      </c>
      <c r="AB190" s="333">
        <f>IF(OR(C190="",C190="TOPX",終値!E149=""),"",IFERROR(((終値!E149*0.333)+(終値!F149*0.222)+(終値!G149*0.148)+(終値!H149*0.099)+(終値!I149*0.066))/(0.333+0.222+0.148+0.099+0.066),""))</f>
        <v>729.55645161290317</v>
      </c>
      <c r="AC190" s="333">
        <f>IF(OR(C190="",C190="TOPX",終値!E149=""),"",IFERROR(SUMPRODUCT((終値!E149:AC149),{0.077,0.071,0.065,0.06,0.055,0.051,0.047,0.043,0.039,0.036,0.033,0.031,0.028,0.026,0.024,0.022,0.02,0.018,0.017,0.016,0.014,0.013,0.012,0.011,0.01})/SUM({0.077,0.071,0.065,0.06,0.055,0.051,0.047,0.043,0.039,0.036,0.033,0.031,0.028,0.026,0.024,0.022,0.02,0.018,0.017,0.016,0.014,0.013,0.012,0.011,0.01}),""))</f>
        <v>201.90584028605477</v>
      </c>
      <c r="AD190" s="212" t="str">
        <f>IF(OR(C190="",AB190="",AC190="",AB190=0,AC190=0),"",IF(AND(E190&gt;AB190,AB190&gt;AC190),"パーフェクト▲",IF(E190&gt;AC190,"上昇トレンド▲",IF(AND(E190&lt;AB190,AB190&lt;AC190),"下降トレンド▼","もみ合い→"))))</f>
        <v>パーフェクト▲</v>
      </c>
      <c r="AE190" s="212" t="str">
        <f>IF(OR(C190="",AB190="",AC190=""),"",IF(AND(ABS(E190-AC190)/AC190&lt;=0.02,E190&lt;AC190),"25日戻り売り★",IF(AND(ABS(E190-AB190)/AB190&lt;=0.01,E190&lt;AB190),"5日戻り売り○","なし")))</f>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相場上昇・見送り</v>
      </c>
      <c r="AG190">
        <f>IF(AND(T190&gt;=7,C190&lt;&gt;""),T190,0)</f>
        <v>9</v>
      </c>
      <c r="AH190">
        <f>IF(AG190&gt;0,AG190*10000-ROW(A190),0)</f>
        <v>89810</v>
      </c>
      <c r="AI190" s="373" t="str">
        <f t="array" ref="AI190">IF(C190="","",IFERROR((INDEX(終値!$E:$E,MATCH(TEXT(C190,"0"),終値!$A:$A,0))-INDEX(終値!$E:$CZ,MATCH(TEXT(C190,"0"),終値!$A:$A,0),$AN$2))/INDEX(終値!$E:$CZ,MATCH(TEXT(C190,"0"),終値!$A:$A,0),$AN$2)*100,""))</f>
        <v/>
      </c>
      <c r="AJ190" s="373">
        <f t="array" ref="AJ190">IFERROR((終値!$E$5-INDEX(終値!$E$5:$IT$5,1,$AN$2))/INDEX(終値!$E$5:$IT$5,1,$AN$2)*100,"")</f>
        <v>1.0179378228534113</v>
      </c>
      <c r="AK190" s="374" t="str">
        <f>IF(OR(AI190="",AJ190=""),"",AI190-AJ190)</f>
        <v/>
      </c>
      <c r="AL190" s="372" t="str">
        <f>IF(AK190="","",IF(AK190&lt;-5,3,IF(AK190&lt;0,1,IF(AK190&lt;3,-1,-2))))</f>
        <v/>
      </c>
      <c r="AO190" s="376" t="str">
        <f>IF(OR($C190="",$E190="",$F190="",$H190="",$I190="",$H190-$I190&lt;=0),"-",IF(AND($H190-MAX($F190,$E190)&gt;=ABS($E190-$F190)*2,MIN($F190,$E190)-$I190&lt;=ABS($E190-$F190)*0.5,ABS($E190-$F190)&gt;0),"上ヒゲ陰線▼",IF(AND($E190&lt;$F190,ABS($E190-$F190)&gt;=($H190-$I190)*0.7),"大陰線▼",IF(AND(MIN($F190,$E190)-$I190&gt;=($H190-$I190)*0.5,$H190-MAX($F190,$E190)&lt;=($H190-$I190)*0.2),"長い下ヒゲ(反発警戒)","通常"))))</f>
        <v>大陰線▼</v>
      </c>
      <c r="AP190" s="377">
        <f>IF($AO190="上ヒゲ陰線▼",2,IF($AO190="大陰線▼",2,IF($AO190="長い下ヒゲ(反発警戒)",-2,0)))</f>
        <v>2</v>
      </c>
      <c r="AQ190">
        <f>IF(C190&lt;&gt;"",始値!F149,"")</f>
        <v>1138</v>
      </c>
      <c r="AR190">
        <f>IF(C190&lt;&gt;"",高値!F149,"")</f>
        <v>1170</v>
      </c>
      <c r="AS190">
        <f>IF(C190&lt;&gt;"",安値!F149,"")</f>
        <v>1134</v>
      </c>
      <c r="AT190" t="str">
        <f>IF(OR(C190="",AQ190="",AR190="",AS190="",AR190-AS190&lt;=0),"-",IF(AND(AR190-MAX(G190,AQ190)&gt;=ABS(G190-AQ190)*2,MIN(G190,AQ190)-AS190&lt;=ABS(G190-AQ190)*0.5,ABS(G190-AQ190)&gt;0),"上ヒゲ陰線▼",IF(AND(G190&lt;AQ190,ABS(G190-AQ190)&gt;=(AR190-AS190)*0.7),"大陰線▼",IF(AND(MIN(G190,AQ190)-AS190&gt;=(AR190-AS190)*0.5,AR190-MAX(G190,AQ190)&lt;=(AR190-AS190)*0.2),"長い下ヒゲ(反発)","通常"))))</f>
        <v>通常</v>
      </c>
      <c r="AU190">
        <f>IF(AT190="上ヒゲ陰線▼",2,IF(AT190="大陰線▼",2,IF(AT190="長い下ヒゲ(反発)",-2,0)))</f>
        <v>0</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1564.5</v>
      </c>
      <c r="F191" s="326">
        <f>IF(C191&lt;&gt;"",_xll.RssMarket(C191,"始値"),"")</f>
        <v>1525</v>
      </c>
      <c r="G191" s="325">
        <f>IF(C191&lt;&gt;"",終値!F172,"")</f>
        <v>1500.5</v>
      </c>
      <c r="H191" s="326">
        <f>IF(C191&lt;&gt;"",_xll.RssMarket(C191,"高値"),"")</f>
        <v>1577</v>
      </c>
      <c r="I191" s="326">
        <f>IF(C191&lt;&gt;"",_xll.RssMarket(C191,"安値"),"")</f>
        <v>1520</v>
      </c>
      <c r="J191" s="326">
        <f>IF(C191&lt;&gt;"",_xll.RssMarket(C191,"出来高"),"")</f>
        <v>8499700</v>
      </c>
      <c r="K191" s="326">
        <f>IF(C191&lt;&gt;"",_xll.RssMarket(C191,"年初来高値"),"")</f>
        <v>2200</v>
      </c>
      <c r="L191" s="327">
        <f>IF(AND(E191&lt;&gt;"",K191&lt;&gt;"",K191&lt;&gt;0),(E191-K191)/K191*100,"")</f>
        <v>-28.886363636363637</v>
      </c>
      <c r="M191" s="326">
        <f>IF(C191&lt;&gt;"",IFERROR(AVERAGE(出来高!E172:I172),""),"")</f>
        <v>7272040</v>
      </c>
      <c r="N191" s="326">
        <f>IF(C191&lt;&gt;"",IFERROR(AVERAGE(出来高!E172:AC172),""),"")</f>
        <v>3990348</v>
      </c>
      <c r="O191" s="328">
        <f>IF(AND(J191&lt;&gt;"",M191&lt;&gt;"",M191&lt;&gt;0),J191/M191,"")</f>
        <v>1.1688192034147227</v>
      </c>
      <c r="P191" s="325" t="str">
        <f>IF(O191="","",IF(O191&gt;=2,"急増↑↑",IF(O191&gt;=1.5,"増加↑",IF(O191&gt;=1,"普通→","減少↓"))))</f>
        <v>普通→</v>
      </c>
      <c r="Q191" s="325" t="str">
        <f>IF(E191="","",IF(AND(E191&lt;G191,O191&gt;=1.5),"売り▼",IF(E191&gt;G191,"様子見▲","中立→")))</f>
        <v>様子見▲</v>
      </c>
      <c r="R191" s="326">
        <f>IF(E191&lt;&gt;"",ROUND(E191*0.92,0),"")</f>
        <v>1439</v>
      </c>
      <c r="S191" s="326">
        <f>IF(E191&lt;&gt;"",ROUND(E191*1.04,0),"")</f>
        <v>1627</v>
      </c>
      <c r="T191" s="325">
        <f>IF(C191="","",IFERROR(IF(W191&gt;=70,3,IF(W191&gt;=60,2,IF(W191&gt;=50,1,0)))+IF(X191&lt;0,2,0)+IF(AD191="下降トレンド▼",3,IF(AD191="もみ合い→",1,0))+IF(V191="年初来安値圏●",3,IF(V191="安値圏",2,0))+IF(Q191="売り▼",2,0)+IF(P191="急増↑↑",2,IF(P191="増加↑",1,0))+IF(Z191&lt;0,1,0)+IF(L191&lt;=-30,2,IF(L191&lt;=-15,1,0))+IF(AE191="25日戻り売り★",2,IF(AE191="5日戻り売り○",1,0))+N(AL191)+N(AP191)+N(AU191),0))</f>
        <v>2</v>
      </c>
      <c r="U191" s="325" t="str">
        <f>IF(T191="","",IF(AND(T191&gt;=3,O191&gt;=1.5),"有効",IF(T191&gt;=3,"要確認","除外")))</f>
        <v>除外</v>
      </c>
      <c r="V191" s="325" t="str">
        <f>IF(AND(I191&lt;&gt;"",K191&lt;&gt;""),IF(I191&lt;=K191*0.6,"年初来安値圏●",IF(I191&lt;=K191*0.75,"安値圏","通常")),"")</f>
        <v>安値圏</v>
      </c>
      <c r="W191" s="329">
        <f t="array" ref="W191">IFERROR(100-100/(1+SUMPRODUCT((終値!F172:R172&gt;終値!G172:S172)*(終値!F172:R172-終値!G172:S172))/SUMPRODUCT((終値!F172:R172&lt;終値!G172:S172)*(終値!G172:S172-終値!F172:R172))),50)</f>
        <v>53.584905660377352</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6.1117730527510048</v>
      </c>
      <c r="Y191" s="325" t="str">
        <f>IF(AF191="","",AF191&amp;" | "&amp;AD191&amp;IF(AE191&lt;&gt;"なし"," "&amp;AE191,"")&amp;IF(X191&lt;0," MACD-"," MACD+")&amp;" RSI:"&amp;TEXT(W191,"0.0")&amp;IF(W191&gt;=70," [過熱]",IF(W191&lt;=30," [売られ過ぎ]",""))&amp;" 前日比:"&amp;TEXT(Z191,"+0.0;-0.0;0.0")&amp;"%"&amp;IF(V191="年初来安値圏●"," [年初来安値圏]",IF(V191="安値圏"," [安値圏]",""))&amp;IF(OR(AO191="通常",AO191="-"),""," ["&amp;AO191&amp;"]")&amp;IF(OR(AT191="通常",AT191="-"),"","前日["&amp;AT191&amp;"]")&amp;" ["&amp;T191&amp;"点]")</f>
        <v>相場上昇・見送り | パーフェクト▲ MACD+ RSI:53.6 前日比:+4.3% [安値圏] [2点]</v>
      </c>
      <c r="Z191" s="331">
        <f>IF(AND(E191&lt;&gt;"",G191&lt;&gt;"",G191&lt;&gt;0),(E191-G191)/G191*100,"")</f>
        <v>4.2652449183605468</v>
      </c>
      <c r="AA191" s="325" t="str">
        <f>IF(OR(C191="",E191="",E191=0),"",IF(E191&gt;G191,"上昇▲",IF(E191&lt;G191,"下落▼","横ばい→")))</f>
        <v>上昇▲</v>
      </c>
      <c r="AB191" s="326">
        <f>IF(OR(C191="",C191="TOPX",終値!E172=""),"",IFERROR(((終値!E172*0.333)+(終値!F172*0.222)+(終値!G172*0.148)+(終値!H172*0.099)+(終値!I172*0.066))/(0.333+0.222+0.148+0.099+0.066),""))</f>
        <v>1508.2563364055297</v>
      </c>
      <c r="AC191" s="326">
        <f>IF(OR(C191="",C191="TOPX",終値!E172=""),"",IFERROR(SUMPRODUCT((終値!E172:AC172),{0.077,0.071,0.065,0.06,0.055,0.051,0.047,0.043,0.039,0.036,0.033,0.031,0.028,0.026,0.024,0.022,0.02,0.018,0.017,0.016,0.014,0.013,0.012,0.011,0.01})/SUM({0.077,0.071,0.065,0.06,0.055,0.051,0.047,0.043,0.039,0.036,0.033,0.031,0.028,0.026,0.024,0.022,0.02,0.018,0.017,0.016,0.014,0.013,0.012,0.011,0.01}),""))</f>
        <v>1460.5691299165667</v>
      </c>
      <c r="AD191" s="325" t="str">
        <f>IF(OR(C191="",AB191="",AC191="",AB191=0,AC191=0),"",IF(AND(E191&gt;AB191,AB191&gt;AC191),"パーフェクト▲",IF(E191&gt;AC191,"上昇トレンド▲",IF(AND(E191&lt;AB191,AB191&lt;AC191),"下降トレンド▼","もみ合い→"))))</f>
        <v>パーフェクト▲</v>
      </c>
      <c r="AE191" s="325" t="str">
        <f>IF(OR(C191="",AB191="",AC191=""),"",IF(AND(ABS(E191-AC191)/AC191&lt;=0.02,E191&lt;AC191),"25日戻り売り★",IF(AND(ABS(E191-AB191)/AB191&lt;=0.01,E191&lt;AB191),"5日戻り売り○","なし")))</f>
        <v>なし</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相場上昇・見送り</v>
      </c>
      <c r="AG191">
        <f>IF(AND(T191&gt;=7,C191&lt;&gt;""),T191,0)</f>
        <v>0</v>
      </c>
      <c r="AH191">
        <f>IF(AG191&gt;0,AG191*10000-ROW(A191),0)</f>
        <v>0</v>
      </c>
      <c r="AI191" s="373">
        <f t="array" ref="AI191">IF(C191="","",IFERROR((INDEX(終値!$E:$E,MATCH(TEXT(C191,"0"),終値!$A:$A,0))-INDEX(終値!$E:$CZ,MATCH(TEXT(C191,"0"),終値!$A:$A,0),$AN$2))/INDEX(終値!$E:$CZ,MATCH(TEXT(C191,"0"),終値!$A:$A,0),$AN$2)*100,""))</f>
        <v>14.447695683979516</v>
      </c>
      <c r="AJ191" s="373">
        <f t="array" ref="AJ191">IFERROR((終値!$E$5-INDEX(終値!$E$5:$IT$5,1,$AN$2))/INDEX(終値!$E$5:$IT$5,1,$AN$2)*100,"")</f>
        <v>1.0179378228534113</v>
      </c>
      <c r="AK191" s="374">
        <f>IF(OR(AI191="",AJ191=""),"",AI191-AJ191)</f>
        <v>13.429757861126104</v>
      </c>
      <c r="AL191" s="372">
        <f>IF(AK191="","",IF(AK191&lt;-5,3,IF(AK191&lt;0,1,IF(AK191&lt;3,-1,-2))))</f>
        <v>-2</v>
      </c>
      <c r="AO191" s="376" t="str">
        <f>IF(OR($C191="",$E191="",$F191="",$H191="",$I191="",$H191-$I191&lt;=0),"-",IF(AND($H191-MAX($F191,$E191)&gt;=ABS($E191-$F191)*2,MIN($F191,$E191)-$I191&lt;=ABS($E191-$F191)*0.5,ABS($E191-$F191)&gt;0),"上ヒゲ陰線▼",IF(AND($E191&lt;$F191,ABS($E191-$F191)&gt;=($H191-$I191)*0.7),"大陰線▼",IF(AND(MIN($F191,$E191)-$I191&gt;=($H191-$I191)*0.5,$H191-MAX($F191,$E191)&lt;=($H191-$I191)*0.2),"長い下ヒゲ(反発警戒)","通常"))))</f>
        <v>通常</v>
      </c>
      <c r="AP191" s="377">
        <f>IF($AO191="上ヒゲ陰線▼",2,IF($AO191="大陰線▼",2,IF($AO191="長い下ヒゲ(反発警戒)",-2,0)))</f>
        <v>0</v>
      </c>
      <c r="AQ191">
        <f>IF(C191&lt;&gt;"",始値!F172,"")</f>
        <v>1449.5</v>
      </c>
      <c r="AR191">
        <f>IF(C191&lt;&gt;"",高値!F172,"")</f>
        <v>1504</v>
      </c>
      <c r="AS191">
        <f>IF(C191&lt;&gt;"",安値!F172,"")</f>
        <v>1443</v>
      </c>
      <c r="AT191" t="str">
        <f>IF(OR(C191="",AQ191="",AR191="",AS191="",AR191-AS191&lt;=0),"-",IF(AND(AR191-MAX(G191,AQ191)&gt;=ABS(G191-AQ191)*2,MIN(G191,AQ191)-AS191&lt;=ABS(G191-AQ191)*0.5,ABS(G191-AQ191)&gt;0),"上ヒゲ陰線▼",IF(AND(G191&lt;AQ191,ABS(G191-AQ191)&gt;=(AR191-AS191)*0.7),"大陰線▼",IF(AND(MIN(G191,AQ191)-AS191&gt;=(AR191-AS191)*0.5,AR191-MAX(G191,AQ191)&lt;=(AR191-AS191)*0.2),"長い下ヒゲ(反発)","通常"))))</f>
        <v>通常</v>
      </c>
      <c r="AU191">
        <f>IF(AT191="上ヒゲ陰線▼",2,IF(AT191="大陰線▼",2,IF(AT191="長い下ヒゲ(反発)",-2,0)))</f>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724</v>
      </c>
      <c r="F192" s="333">
        <f>IF(C192&lt;&gt;"",_xll.RssMarket(C192,"始値"),"")</f>
        <v>713</v>
      </c>
      <c r="G192" s="212">
        <f>IF(C192&lt;&gt;"",終値!F173,"")</f>
        <v>713</v>
      </c>
      <c r="H192" s="333">
        <f>IF(C192&lt;&gt;"",_xll.RssMarket(C192,"高値"),"")</f>
        <v>727</v>
      </c>
      <c r="I192" s="333">
        <f>IF(C192&lt;&gt;"",_xll.RssMarket(C192,"安値"),"")</f>
        <v>712</v>
      </c>
      <c r="J192" s="333">
        <f>IF(C192&lt;&gt;"",_xll.RssMarket(C192,"出来高"),"")</f>
        <v>36200</v>
      </c>
      <c r="K192" s="333">
        <f>IF(C192&lt;&gt;"",_xll.RssMarket(C192,"年初来高値"),"")</f>
        <v>995</v>
      </c>
      <c r="L192" s="334">
        <f>IF(AND(E192&lt;&gt;"",K192&lt;&gt;"",K192&lt;&gt;0),(E192-K192)/K192*100,"")</f>
        <v>-27.236180904522612</v>
      </c>
      <c r="M192" s="333">
        <f>IF(C192&lt;&gt;"",IFERROR(AVERAGE(出来高!E173:I173),""),"")</f>
        <v>37320</v>
      </c>
      <c r="N192" s="333">
        <f>IF(C192&lt;&gt;"",IFERROR(AVERAGE(出来高!E173:AC173),""),"")</f>
        <v>51466.666666666664</v>
      </c>
      <c r="O192" s="335">
        <f>IF(AND(J192&lt;&gt;"",M192&lt;&gt;"",M192&lt;&gt;0),J192/M192,"")</f>
        <v>0.969989281886388</v>
      </c>
      <c r="P192" s="212" t="str">
        <f>IF(O192="","",IF(O192&gt;=2,"急増↑↑",IF(O192&gt;=1.5,"増加↑",IF(O192&gt;=1,"普通→","減少↓"))))</f>
        <v>減少↓</v>
      </c>
      <c r="Q192" s="212" t="str">
        <f>IF(E192="","",IF(AND(E192&lt;G192,O192&gt;=1.5),"売り▼",IF(E192&gt;G192,"様子見▲","中立→")))</f>
        <v>様子見▲</v>
      </c>
      <c r="R192" s="333">
        <f>IF(E192&lt;&gt;"",ROUND(E192*0.92,0),"")</f>
        <v>666</v>
      </c>
      <c r="S192" s="333">
        <f>IF(E192&lt;&gt;"",ROUND(E192*1.04,0),"")</f>
        <v>753</v>
      </c>
      <c r="T192" s="325">
        <f>IF(C192="","",IFERROR(IF(W192&gt;=70,3,IF(W192&gt;=60,2,IF(W192&gt;=50,1,0)))+IF(X192&lt;0,2,0)+IF(AD192="下降トレンド▼",3,IF(AD192="もみ合い→",1,0))+IF(V192="年初来安値圏●",3,IF(V192="安値圏",2,0))+IF(Q192="売り▼",2,0)+IF(P192="急増↑↑",2,IF(P192="増加↑",1,0))+IF(Z192&lt;0,1,0)+IF(L192&lt;=-30,2,IF(L192&lt;=-15,1,0))+IF(AE192="25日戻り売り★",2,IF(AE192="5日戻り売り○",1,0))+N(AL192)+N(AP192)+N(AU192),0))</f>
        <v>6</v>
      </c>
      <c r="U192" s="212" t="str">
        <f>IF(T192="","",IF(AND(T192&gt;=3,O192&gt;=1.5),"有効",IF(T192&gt;=3,"要確認","除外")))</f>
        <v>要確認</v>
      </c>
      <c r="V192" s="212" t="str">
        <f>IF(AND(I192&lt;&gt;"",K192&lt;&gt;""),IF(I192&lt;=K192*0.6,"年初来安値圏●",IF(I192&lt;=K192*0.75,"安値圏","通常")),"")</f>
        <v>安値圏</v>
      </c>
      <c r="W192" s="336">
        <f t="array" ref="W192">IFERROR(100-100/(1+SUMPRODUCT((終値!F173:R173&gt;終値!G173:S173)*(終値!F173:R173-終値!G173:S173))/SUMPRODUCT((終値!F173:R173&lt;終値!G173:S173)*(終値!G173:S173-終値!F173:R173))),50)</f>
        <v>49.624573378839592</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-2.5680646714880595</v>
      </c>
      <c r="Y192" s="212" t="str">
        <f>IF(AF192="","",AF192&amp;" | "&amp;AD192&amp;IF(AE192&lt;&gt;"なし"," "&amp;AE192,"")&amp;IF(X192&lt;0," MACD-"," MACD+")&amp;" RSI:"&amp;TEXT(W192,"0.0")&amp;IF(W192&gt;=70," [過熱]",IF(W192&lt;=30," [売られ過ぎ]",""))&amp;" 前日比:"&amp;TEXT(Z192,"+0.0;-0.0;0.0")&amp;"%"&amp;IF(V192="年初来安値圏●"," [年初来安値圏]",IF(V192="安値圏"," [安値圏]",""))&amp;IF(OR(AO192="通常",AO192="-"),""," ["&amp;AO192&amp;"]")&amp;IF(OR(AT192="通常",AT192="-"),"","前日["&amp;AT192&amp;"]")&amp;" ["&amp;T192&amp;"点]")</f>
        <v>相場上昇・見送り | パーフェクト▲ MACD- RSI:49.6 前日比:+1.5% [安値圏] [6点]</v>
      </c>
      <c r="Z192" s="338">
        <f>IF(AND(E192&lt;&gt;"",G192&lt;&gt;"",G192&lt;&gt;0),(E192-G192)/G192*100,"")</f>
        <v>1.5427769985974753</v>
      </c>
      <c r="AA192" s="212" t="str">
        <f>IF(OR(C192="",E192="",E192=0),"",IF(E192&gt;G192,"上昇▲",IF(E192&lt;G192,"下落▼","横ばい→")))</f>
        <v>上昇▲</v>
      </c>
      <c r="AB192" s="333">
        <f>IF(OR(C192="",C192="TOPX",終値!E173=""),"",IFERROR(((終値!E173*0.333)+(終値!F173*0.222)+(終値!G173*0.148)+(終値!H173*0.099)+(終値!I173*0.066))/(0.333+0.222+0.148+0.099+0.066),""))</f>
        <v>714.03110599078332</v>
      </c>
      <c r="AC192" s="333">
        <f>IF(OR(C192="",C192="TOPX",終値!E173=""),"",IFERROR(SUMPRODUCT((終値!E173:AC173),{0.077,0.071,0.065,0.06,0.055,0.051,0.047,0.043,0.039,0.036,0.033,0.031,0.028,0.026,0.024,0.022,0.02,0.018,0.017,0.016,0.014,0.013,0.012,0.011,0.01})/SUM({0.077,0.071,0.065,0.06,0.055,0.051,0.047,0.043,0.039,0.036,0.033,0.031,0.028,0.026,0.024,0.022,0.02,0.018,0.017,0.016,0.014,0.013,0.012,0.011,0.01}),""))</f>
        <v>676.41835518474352</v>
      </c>
      <c r="AD192" s="212" t="str">
        <f>IF(OR(C192="",AB192="",AC192="",AB192=0,AC192=0),"",IF(AND(E192&gt;AB192,AB192&gt;AC192),"パーフェクト▲",IF(E192&gt;AC192,"上昇トレンド▲",IF(AND(E192&lt;AB192,AB192&lt;AC192),"下降トレンド▼","もみ合い→"))))</f>
        <v>パーフェクト▲</v>
      </c>
      <c r="AE192" s="212" t="str">
        <f>IF(OR(C192="",AB192="",AC192=""),"",IF(AND(ABS(E192-AC192)/AC192&lt;=0.02,E192&lt;AC192),"25日戻り売り★",IF(AND(ABS(E192-AB192)/AB192&lt;=0.01,E192&lt;AB192),"5日戻り売り○","なし")))</f>
        <v>なし</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相場上昇・見送り</v>
      </c>
      <c r="AG192">
        <f>IF(AND(T192&gt;=7,C192&lt;&gt;""),T192,0)</f>
        <v>0</v>
      </c>
      <c r="AH192">
        <f>IF(AG192&gt;0,AG192*10000-ROW(A192),0)</f>
        <v>0</v>
      </c>
      <c r="AI192" s="373">
        <f t="array" ref="AI192">IF(C192="","",IFERROR((INDEX(終値!$E:$E,MATCH(TEXT(C192,"0"),終値!$A:$A,0))-INDEX(終値!$E:$CZ,MATCH(TEXT(C192,"0"),終値!$A:$A,0),$AN$2))/INDEX(終値!$E:$CZ,MATCH(TEXT(C192,"0"),終値!$A:$A,0),$AN$2)*100,""))</f>
        <v>0.83565459610027859</v>
      </c>
      <c r="AJ192" s="373">
        <f t="array" ref="AJ192">IFERROR((終値!$E$5-INDEX(終値!$E$5:$IT$5,1,$AN$2))/INDEX(終値!$E$5:$IT$5,1,$AN$2)*100,"")</f>
        <v>1.0179378228534113</v>
      </c>
      <c r="AK192" s="374">
        <f>IF(OR(AI192="",AJ192=""),"",AI192-AJ192)</f>
        <v>-0.18228322675313269</v>
      </c>
      <c r="AL192" s="372">
        <f>IF(AK192="","",IF(AK192&lt;-5,3,IF(AK192&lt;0,1,IF(AK192&lt;3,-1,-2))))</f>
        <v>1</v>
      </c>
      <c r="AO192" s="376" t="str">
        <f>IF(OR($C192="",$E192="",$F192="",$H192="",$I192="",$H192-$I192&lt;=0),"-",IF(AND($H192-MAX($F192,$E192)&gt;=ABS($E192-$F192)*2,MIN($F192,$E192)-$I192&lt;=ABS($E192-$F192)*0.5,ABS($E192-$F192)&gt;0),"上ヒゲ陰線▼",IF(AND($E192&lt;$F192,ABS($E192-$F192)&gt;=($H192-$I192)*0.7),"大陰線▼",IF(AND(MIN($F192,$E192)-$I192&gt;=($H192-$I192)*0.5,$H192-MAX($F192,$E192)&lt;=($H192-$I192)*0.2),"長い下ヒゲ(反発警戒)","通常"))))</f>
        <v>通常</v>
      </c>
      <c r="AP192" s="377">
        <f>IF($AO192="上ヒゲ陰線▼",2,IF($AO192="大陰線▼",2,IF($AO192="長い下ヒゲ(反発警戒)",-2,0)))</f>
        <v>0</v>
      </c>
      <c r="AQ192">
        <f>IF(C192&lt;&gt;"",始値!F173,"")</f>
        <v>706</v>
      </c>
      <c r="AR192">
        <f>IF(C192&lt;&gt;"",高値!F173,"")</f>
        <v>716</v>
      </c>
      <c r="AS192">
        <f>IF(C192&lt;&gt;"",安値!F173,"")</f>
        <v>706</v>
      </c>
      <c r="AT192" t="str">
        <f>IF(OR(C192="",AQ192="",AR192="",AS192="",AR192-AS192&lt;=0),"-",IF(AND(AR192-MAX(G192,AQ192)&gt;=ABS(G192-AQ192)*2,MIN(G192,AQ192)-AS192&lt;=ABS(G192-AQ192)*0.5,ABS(G192-AQ192)&gt;0),"上ヒゲ陰線▼",IF(AND(G192&lt;AQ192,ABS(G192-AQ192)&gt;=(AR192-AS192)*0.7),"大陰線▼",IF(AND(MIN(G192,AQ192)-AS192&gt;=(AR192-AS192)*0.5,AR192-MAX(G192,AQ192)&lt;=(AR192-AS192)*0.2),"長い下ヒゲ(反発)","通常"))))</f>
        <v>通常</v>
      </c>
      <c r="AU192">
        <f>IF(AT192="上ヒゲ陰線▼",2,IF(AT192="大陰線▼",2,IF(AT192="長い下ヒゲ(反発)",-2,0)))</f>
        <v>0</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1205</v>
      </c>
      <c r="F193" s="326">
        <f>IF(C193&lt;&gt;"",_xll.RssMarket(C193,"始値"),"")</f>
        <v>1178.5</v>
      </c>
      <c r="G193" s="325">
        <f>IF(C193&lt;&gt;"",終値!F186,"")</f>
        <v>1183.5</v>
      </c>
      <c r="H193" s="326">
        <f>IF(C193&lt;&gt;"",_xll.RssMarket(C193,"高値"),"")</f>
        <v>1211.5</v>
      </c>
      <c r="I193" s="326">
        <f>IF(C193&lt;&gt;"",_xll.RssMarket(C193,"安値"),"")</f>
        <v>1174.5</v>
      </c>
      <c r="J193" s="326">
        <f>IF(C193&lt;&gt;"",_xll.RssMarket(C193,"出来高"),"")</f>
        <v>3154500</v>
      </c>
      <c r="K193" s="326">
        <f>IF(C193&lt;&gt;"",_xll.RssMarket(C193,"年初来高値"),"")</f>
        <v>1323</v>
      </c>
      <c r="L193" s="327">
        <f>IF(AND(E193&lt;&gt;"",K193&lt;&gt;"",K193&lt;&gt;0),(E193-K193)/K193*100,"")</f>
        <v>-8.9191232048374918</v>
      </c>
      <c r="M193" s="326">
        <f>IF(C193&lt;&gt;"",IFERROR(AVERAGE(出来高!E186:I186),""),"")</f>
        <v>3383820</v>
      </c>
      <c r="N193" s="326">
        <f>IF(C193&lt;&gt;"",IFERROR(AVERAGE(出来高!E186:AC186),""),"")</f>
        <v>2731824</v>
      </c>
      <c r="O193" s="328">
        <f>IF(AND(J193&lt;&gt;"",M193&lt;&gt;"",M193&lt;&gt;0),J193/M193,"")</f>
        <v>0.93223043778924408</v>
      </c>
      <c r="P193" s="325" t="str">
        <f>IF(O193="","",IF(O193&gt;=2,"急増↑↑",IF(O193&gt;=1.5,"増加↑",IF(O193&gt;=1,"普通→","減少↓"))))</f>
        <v>減少↓</v>
      </c>
      <c r="Q193" s="325" t="str">
        <f>IF(E193="","",IF(AND(E193&lt;G193,O193&gt;=1.5),"売り▼",IF(E193&gt;G193,"様子見▲","中立→")))</f>
        <v>様子見▲</v>
      </c>
      <c r="R193" s="326">
        <f>IF(E193&lt;&gt;"",ROUND(E193*0.92,0),"")</f>
        <v>1109</v>
      </c>
      <c r="S193" s="326">
        <f>IF(E193&lt;&gt;"",ROUND(E193*1.04,0),"")</f>
        <v>1253</v>
      </c>
      <c r="T193" s="325">
        <f>IF(C193="","",IFERROR(IF(W193&gt;=70,3,IF(W193&gt;=60,2,IF(W193&gt;=50,1,0)))+IF(X193&lt;0,2,0)+IF(AD193="下降トレンド▼",3,IF(AD193="もみ合い→",1,0))+IF(V193="年初来安値圏●",3,IF(V193="安値圏",2,0))+IF(Q193="売り▼",2,0)+IF(P193="急増↑↑",2,IF(P193="増加↑",1,0))+IF(Z193&lt;0,1,0)+IF(L193&lt;=-30,2,IF(L193&lt;=-15,1,0))+IF(AE193="25日戻り売り★",2,IF(AE193="5日戻り売り○",1,0))+N(AL193)+N(AP193)+N(AU193),0))</f>
        <v>0</v>
      </c>
      <c r="U193" s="325" t="str">
        <f>IF(T193="","",IF(AND(T193&gt;=3,O193&gt;=1.5),"有効",IF(T193&gt;=3,"要確認","除外")))</f>
        <v>除外</v>
      </c>
      <c r="V193" s="325" t="str">
        <f>IF(AND(I193&lt;&gt;"",K193&lt;&gt;""),IF(I193&lt;=K193*0.6,"年初来安値圏●",IF(I193&lt;=K193*0.75,"安値圏","通常")),"")</f>
        <v>通常</v>
      </c>
      <c r="W193" s="329">
        <f t="array" ref="W193">IFERROR(100-100/(1+SUMPRODUCT((終値!F186:R186&gt;終値!G186:S186)*(終値!F186:R186-終値!G186:S186))/SUMPRODUCT((終値!F186:R186&lt;終値!G186:S186)*(終値!G186:S186-終値!F186:R186))),50)</f>
        <v>69.178082191780817</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12.64561035508018</v>
      </c>
      <c r="Y193" s="325" t="str">
        <f>IF(AF193="","",AF193&amp;" | "&amp;AD193&amp;IF(AE193&lt;&gt;"なし"," "&amp;AE193,"")&amp;IF(X193&lt;0," MACD-"," MACD+")&amp;" RSI:"&amp;TEXT(W193,"0.0")&amp;IF(W193&gt;=70," [過熱]",IF(W193&lt;=30," [売られ過ぎ]",""))&amp;" 前日比:"&amp;TEXT(Z193,"+0.0;-0.0;0.0")&amp;"%"&amp;IF(V193="年初来安値圏●"," [年初来安値圏]",IF(V193="安値圏"," [安値圏]",""))&amp;IF(OR(AO193="通常",AO193="-"),""," ["&amp;AO193&amp;"]")&amp;IF(OR(AT193="通常",AT193="-"),"","前日["&amp;AT193&amp;"]")&amp;" ["&amp;T193&amp;"点]")</f>
        <v>相場上昇・見送り | パーフェクト▲ MACD+ RSI:69.2 前日比:+1.8% [0点]</v>
      </c>
      <c r="Z193" s="331">
        <f>IF(AND(E193&lt;&gt;"",G193&lt;&gt;"",G193&lt;&gt;0),(E193-G193)/G193*100,"")</f>
        <v>1.8166455428812844</v>
      </c>
      <c r="AA193" s="325" t="str">
        <f>IF(OR(C193="",E193="",E193=0),"",IF(E193&gt;G193,"上昇▲",IF(E193&lt;G193,"下落▼","横ばい→")))</f>
        <v>上昇▲</v>
      </c>
      <c r="AB193" s="326">
        <f>IF(OR(C193="",C193="TOPX",終値!E186=""),"",IFERROR(((終値!E186*0.333)+(終値!F186*0.222)+(終値!G186*0.148)+(終値!H186*0.099)+(終値!I186*0.066))/(0.333+0.222+0.148+0.099+0.066),""))</f>
        <v>1192.830069124424</v>
      </c>
      <c r="AC193" s="326">
        <f>IF(OR(C193="",C193="TOPX",終値!E186=""),"",IFERROR(SUMPRODUCT((終値!E186:AC186),{0.077,0.071,0.065,0.06,0.055,0.051,0.047,0.043,0.039,0.036,0.033,0.031,0.028,0.026,0.024,0.022,0.02,0.018,0.017,0.016,0.014,0.013,0.012,0.011,0.01})/SUM({0.077,0.071,0.065,0.06,0.055,0.051,0.047,0.043,0.039,0.036,0.033,0.031,0.028,0.026,0.024,0.022,0.02,0.018,0.017,0.016,0.014,0.013,0.012,0.011,0.01}),""))</f>
        <v>1157.9821215733011</v>
      </c>
      <c r="AD193" s="325" t="str">
        <f>IF(OR(C193="",AB193="",AC193="",AB193=0,AC193=0),"",IF(AND(E193&gt;AB193,AB193&gt;AC193),"パーフェクト▲",IF(E193&gt;AC193,"上昇トレンド▲",IF(AND(E193&lt;AB193,AB193&lt;AC193),"下降トレンド▼","もみ合い→"))))</f>
        <v>パーフェクト▲</v>
      </c>
      <c r="AE193" s="325" t="str">
        <f>IF(OR(C193="",AB193="",AC193=""),"",IF(AND(ABS(E193-AC193)/AC193&lt;=0.02,E193&lt;AC193),"25日戻り売り★",IF(AND(ABS(E193-AB193)/AB193&lt;=0.01,E193&lt;AB193),"5日戻り売り○","なし")))</f>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相場上昇・見送り</v>
      </c>
      <c r="AG193">
        <f>IF(AND(T193&gt;=7,C193&lt;&gt;""),T193,0)</f>
        <v>0</v>
      </c>
      <c r="AH193">
        <f>IF(AG193&gt;0,AG193*10000-ROW(A193),0)</f>
        <v>0</v>
      </c>
      <c r="AI193" s="373">
        <f t="array" ref="AI193">IF(C193="","",IFERROR((INDEX(終値!$E:$E,MATCH(TEXT(C193,"0"),終値!$A:$A,0))-INDEX(終値!$E:$CZ,MATCH(TEXT(C193,"0"),終値!$A:$A,0),$AN$2))/INDEX(終値!$E:$CZ,MATCH(TEXT(C193,"0"),終値!$A:$A,0),$AN$2)*100,""))</f>
        <v>13.465160075329566</v>
      </c>
      <c r="AJ193" s="373">
        <f t="array" ref="AJ193">IFERROR((終値!$E$5-INDEX(終値!$E$5:$IT$5,1,$AN$2))/INDEX(終値!$E$5:$IT$5,1,$AN$2)*100,"")</f>
        <v>1.0179378228534113</v>
      </c>
      <c r="AK193" s="374">
        <f>IF(OR(AI193="",AJ193=""),"",AI193-AJ193)</f>
        <v>12.447222252476154</v>
      </c>
      <c r="AL193" s="372">
        <f>IF(AK193="","",IF(AK193&lt;-5,3,IF(AK193&lt;0,1,IF(AK193&lt;3,-1,-2))))</f>
        <v>-2</v>
      </c>
      <c r="AO193" s="376" t="str">
        <f>IF(OR($C193="",$E193="",$F193="",$H193="",$I193="",$H193-$I193&lt;=0),"-",IF(AND($H193-MAX($F193,$E193)&gt;=ABS($E193-$F193)*2,MIN($F193,$E193)-$I193&lt;=ABS($E193-$F193)*0.5,ABS($E193-$F193)&gt;0),"上ヒゲ陰線▼",IF(AND($E193&lt;$F193,ABS($E193-$F193)&gt;=($H193-$I193)*0.7),"大陰線▼",IF(AND(MIN($F193,$E193)-$I193&gt;=($H193-$I193)*0.5,$H193-MAX($F193,$E193)&lt;=($H193-$I193)*0.2),"長い下ヒゲ(反発警戒)","通常"))))</f>
        <v>通常</v>
      </c>
      <c r="AP193" s="377">
        <f>IF($AO193="上ヒゲ陰線▼",2,IF($AO193="大陰線▼",2,IF($AO193="長い下ヒゲ(反発警戒)",-2,0)))</f>
        <v>0</v>
      </c>
      <c r="AQ193">
        <f>IF(C193&lt;&gt;"",始値!F186,"")</f>
        <v>1192</v>
      </c>
      <c r="AR193">
        <f>IF(C193&lt;&gt;"",高値!F186,"")</f>
        <v>1208</v>
      </c>
      <c r="AS193">
        <f>IF(C193&lt;&gt;"",安値!F186,"")</f>
        <v>1183</v>
      </c>
      <c r="AT193" t="str">
        <f>IF(OR(C193="",AQ193="",AR193="",AS193="",AR193-AS193&lt;=0),"-",IF(AND(AR193-MAX(G193,AQ193)&gt;=ABS(G193-AQ193)*2,MIN(G193,AQ193)-AS193&lt;=ABS(G193-AQ193)*0.5,ABS(G193-AQ193)&gt;0),"上ヒゲ陰線▼",IF(AND(G193&lt;AQ193,ABS(G193-AQ193)&gt;=(AR193-AS193)*0.7),"大陰線▼",IF(AND(MIN(G193,AQ193)-AS193&gt;=(AR193-AS193)*0.5,AR193-MAX(G193,AQ193)&lt;=(AR193-AS193)*0.2),"長い下ヒゲ(反発)","通常"))))</f>
        <v>通常</v>
      </c>
      <c r="AU193">
        <f>IF(AT193="上ヒゲ陰線▼",2,IF(AT193="大陰線▼",2,IF(AT193="長い下ヒゲ(反発)",-2,0)))</f>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1605</v>
      </c>
      <c r="F194" s="333">
        <f>IF(C194&lt;&gt;"",_xll.RssMarket(C194,"始値"),"")</f>
        <v>1587</v>
      </c>
      <c r="G194" s="212">
        <f>IF(C194&lt;&gt;"",終値!F191,"")</f>
        <v>1587</v>
      </c>
      <c r="H194" s="333">
        <f>IF(C194&lt;&gt;"",_xll.RssMarket(C194,"高値"),"")</f>
        <v>1605</v>
      </c>
      <c r="I194" s="333">
        <f>IF(C194&lt;&gt;"",_xll.RssMarket(C194,"安値"),"")</f>
        <v>1581</v>
      </c>
      <c r="J194" s="333">
        <f>IF(C194&lt;&gt;"",_xll.RssMarket(C194,"出来高"),"")</f>
        <v>27500</v>
      </c>
      <c r="K194" s="333">
        <f>IF(C194&lt;&gt;"",_xll.RssMarket(C194,"年初来高値"),"")</f>
        <v>1787</v>
      </c>
      <c r="L194" s="334">
        <f>IF(AND(E194&lt;&gt;"",K194&lt;&gt;"",K194&lt;&gt;0),(E194-K194)/K194*100,"")</f>
        <v>-10.184667039731393</v>
      </c>
      <c r="M194" s="333">
        <f>IF(C194&lt;&gt;"",IFERROR(AVERAGE(出来高!E191:I191),""),"")</f>
        <v>23540</v>
      </c>
      <c r="N194" s="333">
        <f>IF(C194&lt;&gt;"",IFERROR(AVERAGE(出来高!E191:AC191),""),"")</f>
        <v>23432</v>
      </c>
      <c r="O194" s="335">
        <f>IF(AND(J194&lt;&gt;"",M194&lt;&gt;"",M194&lt;&gt;0),J194/M194,"")</f>
        <v>1.1682242990654206</v>
      </c>
      <c r="P194" s="212" t="str">
        <f>IF(O194="","",IF(O194&gt;=2,"急増↑↑",IF(O194&gt;=1.5,"増加↑",IF(O194&gt;=1,"普通→","減少↓"))))</f>
        <v>普通→</v>
      </c>
      <c r="Q194" s="212" t="str">
        <f>IF(E194="","",IF(AND(E194&lt;G194,O194&gt;=1.5),"売り▼",IF(E194&gt;G194,"様子見▲","中立→")))</f>
        <v>様子見▲</v>
      </c>
      <c r="R194" s="333">
        <f>IF(E194&lt;&gt;"",ROUND(E194*0.92,0),"")</f>
        <v>1477</v>
      </c>
      <c r="S194" s="333">
        <f>IF(E194&lt;&gt;"",ROUND(E194*1.04,0),"")</f>
        <v>1669</v>
      </c>
      <c r="T194" s="325">
        <f>IF(C194="","",IFERROR(IF(W194&gt;=70,3,IF(W194&gt;=60,2,IF(W194&gt;=50,1,0)))+IF(X194&lt;0,2,0)+IF(AD194="下降トレンド▼",3,IF(AD194="もみ合い→",1,0))+IF(V194="年初来安値圏●",3,IF(V194="安値圏",2,0))+IF(Q194="売り▼",2,0)+IF(P194="急増↑↑",2,IF(P194="増加↑",1,0))+IF(Z194&lt;0,1,0)+IF(L194&lt;=-30,2,IF(L194&lt;=-15,1,0))+IF(AE194="25日戻り売り★",2,IF(AE194="5日戻り売り○",1,0))+N(AL194)+N(AP194)+N(AU194),0))</f>
        <v>-1</v>
      </c>
      <c r="U194" s="212" t="str">
        <f>IF(T194="","",IF(AND(T194&gt;=3,O194&gt;=1.5),"有効",IF(T194&gt;=3,"要確認","除外")))</f>
        <v>除外</v>
      </c>
      <c r="V194" s="212" t="str">
        <f>IF(AND(I194&lt;&gt;"",K194&lt;&gt;""),IF(I194&lt;=K194*0.6,"年初来安値圏●",IF(I194&lt;=K194*0.75,"安値圏","通常")),"")</f>
        <v>通常</v>
      </c>
      <c r="W194" s="336">
        <f t="array" ref="W194">IFERROR(100-100/(1+SUMPRODUCT((終値!F191:R191&gt;終値!G191:S191)*(終値!F191:R191-終値!G191:S191))/SUMPRODUCT((終値!F191:R191&lt;終値!G191:S191)*(終値!G191:S191-終値!F191:R191))),50)</f>
        <v>59.76331360946746</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7.0993317120360189</v>
      </c>
      <c r="Y194" s="212" t="str">
        <f>IF(AF194="","",AF194&amp;" | "&amp;AD194&amp;IF(AE194&lt;&gt;"なし"," "&amp;AE194,"")&amp;IF(X194&lt;0," MACD-"," MACD+")&amp;" RSI:"&amp;TEXT(W194,"0.0")&amp;IF(W194&gt;=70," [過熱]",IF(W194&lt;=30," [売られ過ぎ]",""))&amp;" 前日比:"&amp;TEXT(Z194,"+0.0;-0.0;0.0")&amp;"%"&amp;IF(V194="年初来安値圏●"," [年初来安値圏]",IF(V194="安値圏"," [安値圏]",""))&amp;IF(OR(AO194="通常",AO194="-"),""," ["&amp;AO194&amp;"]")&amp;IF(OR(AT194="通常",AT194="-"),"","前日["&amp;AT194&amp;"]")&amp;" ["&amp;T194&amp;"点]")</f>
        <v>相場上昇・見送り | パーフェクト▲ MACD+ RSI:59.8 前日比:+1.1% [-1点]</v>
      </c>
      <c r="Z194" s="338">
        <f>IF(AND(E194&lt;&gt;"",G194&lt;&gt;"",G194&lt;&gt;0),(E194-G194)/G194*100,"")</f>
        <v>1.1342155009451798</v>
      </c>
      <c r="AA194" s="212" t="str">
        <f>IF(OR(C194="",E194="",E194=0),"",IF(E194&gt;G194,"上昇▲",IF(E194&lt;G194,"下落▼","横ばい→")))</f>
        <v>上昇▲</v>
      </c>
      <c r="AB194" s="333">
        <f>IF(OR(C194="",C194="TOPX",終値!E191=""),"",IFERROR(((終値!E191*0.333)+(終値!F191*0.222)+(終値!G191*0.148)+(終値!H191*0.099)+(終値!I191*0.066))/(0.333+0.222+0.148+0.099+0.066),""))</f>
        <v>1588.3248847926268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1565.9702026221682</v>
      </c>
      <c r="AD194" s="212" t="str">
        <f>IF(OR(C194="",AB194="",AC194="",AB194=0,AC194=0),"",IF(AND(E194&gt;AB194,AB194&gt;AC194),"パーフェクト▲",IF(E194&gt;AC194,"上昇トレンド▲",IF(AND(E194&lt;AB194,AB194&lt;AC194),"下降トレンド▼","もみ合い→"))))</f>
        <v>パーフェクト▲</v>
      </c>
      <c r="AE194" s="212" t="str">
        <f>IF(OR(C194="",AB194="",AC194=""),"",IF(AND(ABS(E194-AC194)/AC194&lt;=0.02,E194&lt;AC194),"25日戻り売り★",IF(AND(ABS(E194-AB194)/AB194&lt;=0.01,E194&lt;AB194),"5日戻り売り○","なし")))</f>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相場上昇・見送り</v>
      </c>
      <c r="AG194">
        <f>IF(AND(T194&gt;=7,C194&lt;&gt;""),T194,0)</f>
        <v>0</v>
      </c>
      <c r="AH194">
        <f>IF(AG194&gt;0,AG194*10000-ROW(A194),0)</f>
        <v>0</v>
      </c>
      <c r="AI194" s="373">
        <f t="array" ref="AI194">IF(C194="","",IFERROR((INDEX(終値!$E:$E,MATCH(TEXT(C194,"0"),終値!$A:$A,0))-INDEX(終値!$E:$CZ,MATCH(TEXT(C194,"0"),終値!$A:$A,0),$AN$2))/INDEX(終値!$E:$CZ,MATCH(TEXT(C194,"0"),終値!$A:$A,0),$AN$2)*100,""))</f>
        <v>5.6616194865042786</v>
      </c>
      <c r="AJ194" s="373">
        <f t="array" ref="AJ194">IFERROR((終値!$E$5-INDEX(終値!$E$5:$IT$5,1,$AN$2))/INDEX(終値!$E$5:$IT$5,1,$AN$2)*100,"")</f>
        <v>1.0179378228534113</v>
      </c>
      <c r="AK194" s="374">
        <f>IF(OR(AI194="",AJ194=""),"",AI194-AJ194)</f>
        <v>4.6436816636508675</v>
      </c>
      <c r="AL194" s="372">
        <f>IF(AK194="","",IF(AK194&lt;-5,3,IF(AK194&lt;0,1,IF(AK194&lt;3,-1,-2))))</f>
        <v>-2</v>
      </c>
      <c r="AO194" s="376" t="str">
        <f>IF(OR($C194="",$E194="",$F194="",$H194="",$I194="",$H194-$I194&lt;=0),"-",IF(AND($H194-MAX($F194,$E194)&gt;=ABS($E194-$F194)*2,MIN($F194,$E194)-$I194&lt;=ABS($E194-$F194)*0.5,ABS($E194-$F194)&gt;0),"上ヒゲ陰線▼",IF(AND($E194&lt;$F194,ABS($E194-$F194)&gt;=($H194-$I194)*0.7),"大陰線▼",IF(AND(MIN($F194,$E194)-$I194&gt;=($H194-$I194)*0.5,$H194-MAX($F194,$E194)&lt;=($H194-$I194)*0.2),"長い下ヒゲ(反発警戒)","通常"))))</f>
        <v>通常</v>
      </c>
      <c r="AP194" s="377">
        <f>IF($AO194="上ヒゲ陰線▼",2,IF($AO194="大陰線▼",2,IF($AO194="長い下ヒゲ(反発警戒)",-2,0)))</f>
        <v>0</v>
      </c>
      <c r="AQ194">
        <f>IF(C194&lt;&gt;"",始値!F191,"")</f>
        <v>1580</v>
      </c>
      <c r="AR194">
        <f>IF(C194&lt;&gt;"",高値!F191,"")</f>
        <v>1592</v>
      </c>
      <c r="AS194">
        <f>IF(C194&lt;&gt;"",安値!F191,"")</f>
        <v>1571</v>
      </c>
      <c r="AT194" t="str">
        <f>IF(OR(C194="",AQ194="",AR194="",AS194="",AR194-AS194&lt;=0),"-",IF(AND(AR194-MAX(G194,AQ194)&gt;=ABS(G194-AQ194)*2,MIN(G194,AQ194)-AS194&lt;=ABS(G194-AQ194)*0.5,ABS(G194-AQ194)&gt;0),"上ヒゲ陰線▼",IF(AND(G194&lt;AQ194,ABS(G194-AQ194)&gt;=(AR194-AS194)*0.7),"大陰線▼",IF(AND(MIN(G194,AQ194)-AS194&gt;=(AR194-AS194)*0.5,AR194-MAX(G194,AQ194)&lt;=(AR194-AS194)*0.2),"長い下ヒゲ(反発)","通常"))))</f>
        <v>通常</v>
      </c>
      <c r="AU194">
        <f>IF(AT194="上ヒゲ陰線▼",2,IF(AT194="大陰線▼",2,IF(AT194="長い下ヒゲ(反発)",-2,0)))</f>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1624</v>
      </c>
      <c r="F195" s="326">
        <f>IF(C195&lt;&gt;"",_xll.RssMarket(C195,"始値"),"")</f>
        <v>1603</v>
      </c>
      <c r="G195" s="325">
        <f>IF(C195&lt;&gt;"",終値!F192,"")</f>
        <v>1599</v>
      </c>
      <c r="H195" s="326">
        <f>IF(C195&lt;&gt;"",_xll.RssMarket(C195,"高値"),"")</f>
        <v>1640.5</v>
      </c>
      <c r="I195" s="326">
        <f>IF(C195&lt;&gt;"",_xll.RssMarket(C195,"安値"),"")</f>
        <v>1603</v>
      </c>
      <c r="J195" s="326">
        <f>IF(C195&lt;&gt;"",_xll.RssMarket(C195,"出来高"),"")</f>
        <v>390500</v>
      </c>
      <c r="K195" s="326">
        <f>IF(C195&lt;&gt;"",_xll.RssMarket(C195,"年初来高値"),"")</f>
        <v>2447</v>
      </c>
      <c r="L195" s="327">
        <f>IF(AND(E195&lt;&gt;"",K195&lt;&gt;"",K195&lt;&gt;0),(E195-K195)/K195*100,"")</f>
        <v>-33.633020024519823</v>
      </c>
      <c r="M195" s="326">
        <f>IF(C195&lt;&gt;"",IFERROR(AVERAGE(出来高!E192:I192),""),"")</f>
        <v>483740</v>
      </c>
      <c r="N195" s="326">
        <f>IF(C195&lt;&gt;"",IFERROR(AVERAGE(出来高!E192:AC192),""),"")</f>
        <v>425448</v>
      </c>
      <c r="O195" s="328">
        <f>IF(AND(J195&lt;&gt;"",M195&lt;&gt;"",M195&lt;&gt;0),J195/M195,"")</f>
        <v>0.80725182949518337</v>
      </c>
      <c r="P195" s="325" t="str">
        <f>IF(O195="","",IF(O195&gt;=2,"急増↑↑",IF(O195&gt;=1.5,"増加↑",IF(O195&gt;=1,"普通→","減少↓"))))</f>
        <v>減少↓</v>
      </c>
      <c r="Q195" s="325" t="str">
        <f>IF(E195="","",IF(AND(E195&lt;G195,O195&gt;=1.5),"売り▼",IF(E195&gt;G195,"様子見▲","中立→")))</f>
        <v>様子見▲</v>
      </c>
      <c r="R195" s="326">
        <f>IF(E195&lt;&gt;"",ROUND(E195*0.92,0),"")</f>
        <v>1494</v>
      </c>
      <c r="S195" s="326">
        <f>IF(E195&lt;&gt;"",ROUND(E195*1.04,0),"")</f>
        <v>1689</v>
      </c>
      <c r="T195" s="325">
        <f>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10</v>
      </c>
      <c r="U195" s="325" t="str">
        <f>IF(T195="","",IF(AND(T195&gt;=3,O195&gt;=1.5),"有効",IF(T195&gt;=3,"要確認","除外")))</f>
        <v>要確認</v>
      </c>
      <c r="V195" s="325" t="str">
        <f>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26.894865525672373</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-8.7269542149108474</v>
      </c>
      <c r="Y195" s="325" t="str">
        <f>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相場上昇・見送り | もみ合い→ MACD- RSI:26.9 [売られ過ぎ] 前日比:+1.6% [安値圏]前日[上ヒゲ陰線▼] [10点]</v>
      </c>
      <c r="Z195" s="331">
        <f>IF(AND(E195&lt;&gt;"",G195&lt;&gt;"",G195&lt;&gt;0),(E195-G195)/G195*100,"")</f>
        <v>1.5634771732332706</v>
      </c>
      <c r="AA195" s="325" t="str">
        <f>IF(OR(C195="",E195="",E195=0),"",IF(E195&gt;G195,"上昇▲",IF(E195&lt;G195,"下落▼","横ばい→")))</f>
        <v>上昇▲</v>
      </c>
      <c r="AB195" s="326">
        <f>IF(OR(C195="",C195="TOPX",終値!E192=""),"",IFERROR(((終値!E192*0.333)+(終値!F192*0.222)+(終値!G192*0.148)+(終値!H192*0.099)+(終値!I192*0.066))/(0.333+0.222+0.148+0.099+0.066),""))</f>
        <v>1614.9291474654374</v>
      </c>
      <c r="AC195" s="326">
        <f>IF(OR(C195="",C195="TOPX",終値!E192=""),"",IFERROR(SUMPRODUCT((終値!E192:AC192),{0.077,0.071,0.065,0.06,0.055,0.051,0.047,0.043,0.039,0.036,0.033,0.031,0.028,0.026,0.024,0.022,0.02,0.018,0.017,0.016,0.014,0.013,0.012,0.011,0.01})/SUM({0.077,0.071,0.065,0.06,0.055,0.051,0.047,0.043,0.039,0.036,0.033,0.031,0.028,0.026,0.024,0.022,0.02,0.018,0.017,0.016,0.014,0.013,0.012,0.011,0.01}),""))</f>
        <v>1659.8027413587595</v>
      </c>
      <c r="AD195" s="325" t="str">
        <f>IF(OR(C195="",AB195="",AC195="",AB195=0,AC195=0),"",IF(AND(E195&gt;AB195,AB195&gt;AC195),"パーフェクト▲",IF(E195&gt;AC195,"上昇トレンド▲",IF(AND(E195&lt;AB195,AB195&lt;AC195),"下降トレンド▼","もみ合い→"))))</f>
        <v>もみ合い→</v>
      </c>
      <c r="AE195" s="325" t="str">
        <f>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相場上昇・見送り</v>
      </c>
      <c r="AG195">
        <f>IF(AND(T195&gt;=7,C195&lt;&gt;""),T195,0)</f>
        <v>10</v>
      </c>
      <c r="AH195">
        <f>IF(AG195&gt;0,AG195*10000-ROW(A195),0)</f>
        <v>99805</v>
      </c>
      <c r="AI195" s="373">
        <f t="array" ref="AI195">IF(C195="","",IFERROR((INDEX(終値!$E:$E,MATCH(TEXT(C195,"0"),終値!$A:$A,0))-INDEX(終値!$E:$CZ,MATCH(TEXT(C195,"0"),終値!$A:$A,0),$AN$2))/INDEX(終値!$E:$CZ,MATCH(TEXT(C195,"0"),終値!$A:$A,0),$AN$2)*100,""))</f>
        <v>-3.044776119402985</v>
      </c>
      <c r="AJ195" s="373">
        <f t="array" ref="AJ195">IFERROR((終値!$E$5-INDEX(終値!$E$5:$IT$5,1,$AN$2))/INDEX(終値!$E$5:$IT$5,1,$AN$2)*100,"")</f>
        <v>1.0179378228534113</v>
      </c>
      <c r="AK195" s="374">
        <f>IF(OR(AI195="",AJ195=""),"",AI195-AJ195)</f>
        <v>-4.062713942256396</v>
      </c>
      <c r="AL195" s="372">
        <f>IF(AK195="","",IF(AK195&lt;-5,3,IF(AK195&lt;0,1,IF(AK195&lt;3,-1,-2))))</f>
        <v>1</v>
      </c>
      <c r="AO195" s="376" t="str">
        <f>IF(OR($C195="",$E195="",$F195="",$H195="",$I195="",$H195-$I195&lt;=0),"-",IF(AND($H195-MAX($F195,$E195)&gt;=ABS($E195-$F195)*2,MIN($F195,$E195)-$I195&lt;=ABS($E195-$F195)*0.5,ABS($E195-$F195)&gt;0),"上ヒゲ陰線▼",IF(AND($E195&lt;$F195,ABS($E195-$F195)&gt;=($H195-$I195)*0.7),"大陰線▼",IF(AND(MIN($F195,$E195)-$I195&gt;=($H195-$I195)*0.5,$H195-MAX($F195,$E195)&lt;=($H195-$I195)*0.2),"長い下ヒゲ(反発警戒)","通常"))))</f>
        <v>通常</v>
      </c>
      <c r="AP195" s="377">
        <f>IF($AO195="上ヒゲ陰線▼",2,IF($AO195="大陰線▼",2,IF($AO195="長い下ヒゲ(反発警戒)",-2,0)))</f>
        <v>0</v>
      </c>
      <c r="AQ195">
        <f>IF(C195&lt;&gt;"",始値!F192,"")</f>
        <v>1605</v>
      </c>
      <c r="AR195">
        <f>IF(C195&lt;&gt;"",高値!F192,"")</f>
        <v>1619</v>
      </c>
      <c r="AS195">
        <f>IF(C195&lt;&gt;"",安値!F192,"")</f>
        <v>1599</v>
      </c>
      <c r="AT195" t="str">
        <f>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上ヒゲ陰線▼</v>
      </c>
      <c r="AU195">
        <f>IF(AT195="上ヒゲ陰線▼",2,IF(AT195="大陰線▼",2,IF(AT195="長い下ヒゲ(反発)",-2,0)))</f>
        <v>2</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8050</v>
      </c>
      <c r="F196" s="333">
        <f>IF(C196&lt;&gt;"",_xll.RssMarket(C196,"始値"),"")</f>
        <v>8080</v>
      </c>
      <c r="G196" s="212">
        <f>IF(C196&lt;&gt;"",終値!F194,"")</f>
        <v>7990</v>
      </c>
      <c r="H196" s="333">
        <f>IF(C196&lt;&gt;"",_xll.RssMarket(C196,"高値"),"")</f>
        <v>8120</v>
      </c>
      <c r="I196" s="333">
        <f>IF(C196&lt;&gt;"",_xll.RssMarket(C196,"安値"),"")</f>
        <v>8010</v>
      </c>
      <c r="J196" s="333">
        <f>IF(C196&lt;&gt;"",_xll.RssMarket(C196,"出来高"),"")</f>
        <v>613600</v>
      </c>
      <c r="K196" s="333">
        <f>IF(C196&lt;&gt;"",_xll.RssMarket(C196,"年初来高値"),"")</f>
        <v>8780</v>
      </c>
      <c r="L196" s="334">
        <f>IF(AND(E196&lt;&gt;"",K196&lt;&gt;"",K196&lt;&gt;0),(E196-K196)/K196*100,"")</f>
        <v>-8.3143507972665152</v>
      </c>
      <c r="M196" s="333">
        <f>IF(C196&lt;&gt;"",IFERROR(AVERAGE(出来高!E194:I194),""),"")</f>
        <v>620160</v>
      </c>
      <c r="N196" s="333">
        <f>IF(C196&lt;&gt;"",IFERROR(AVERAGE(出来高!E194:AC194),""),"")</f>
        <v>589525</v>
      </c>
      <c r="O196" s="335">
        <f>IF(AND(J196&lt;&gt;"",M196&lt;&gt;"",M196&lt;&gt;0),J196/M196,"")</f>
        <v>0.98942208462332304</v>
      </c>
      <c r="P196" s="212" t="str">
        <f>IF(O196="","",IF(O196&gt;=2,"急増↑↑",IF(O196&gt;=1.5,"増加↑",IF(O196&gt;=1,"普通→","減少↓"))))</f>
        <v>減少↓</v>
      </c>
      <c r="Q196" s="212" t="str">
        <f>IF(E196="","",IF(AND(E196&lt;G196,O196&gt;=1.5),"売り▼",IF(E196&gt;G196,"様子見▲","中立→")))</f>
        <v>様子見▲</v>
      </c>
      <c r="R196" s="333">
        <f>IF(E196&lt;&gt;"",ROUND(E196*0.92,0),"")</f>
        <v>7406</v>
      </c>
      <c r="S196" s="333">
        <f>IF(E196&lt;&gt;"",ROUND(E196*1.04,0),"")</f>
        <v>8372</v>
      </c>
      <c r="T196" s="325">
        <f>IF(C196="","",IFERROR(IF(W196&gt;=70,3,IF(W196&gt;=60,2,IF(W196&gt;=50,1,0)))+IF(X196&lt;0,2,0)+IF(AD196="下降トレンド▼",3,IF(AD196="もみ合い→",1,0))+IF(V196="年初来安値圏●",3,IF(V196="安値圏",2,0))+IF(Q196="売り▼",2,0)+IF(P196="急増↑↑",2,IF(P196="増加↑",1,0))+IF(Z196&lt;0,1,0)+IF(L196&lt;=-30,2,IF(L196&lt;=-15,1,0))+IF(AE196="25日戻り売り★",2,IF(AE196="5日戻り売り○",1,0))+N(AL196)+N(AP196)+N(AU196),0))</f>
        <v>2</v>
      </c>
      <c r="U196" s="212" t="str">
        <f>IF(T196="","",IF(AND(T196&gt;=3,O196&gt;=1.5),"有効",IF(T196&gt;=3,"要確認","除外")))</f>
        <v>除外</v>
      </c>
      <c r="V196" s="212" t="str">
        <f>IF(AND(I196&lt;&gt;"",K196&lt;&gt;""),IF(I196&lt;=K196*0.6,"年初来安値圏●",IF(I196&lt;=K196*0.75,"安値圏","通常")),"")</f>
        <v>通常</v>
      </c>
      <c r="W196" s="336">
        <f t="array" ref="W196">IFERROR(100-100/(1+SUMPRODUCT((終値!F194:R194&gt;終値!G194:S194)*(終値!F194:R194-終値!G194:S194))/SUMPRODUCT((終値!F194:R194&lt;終値!G194:S194)*(終値!G194:S194-終値!F194:R194))),50)</f>
        <v>51.252290775809414</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31.017258467038118</v>
      </c>
      <c r="Y196" s="212" t="str">
        <f>IF(AF196="","",AF196&amp;" | "&amp;AD196&amp;IF(AE196&lt;&gt;"なし"," "&amp;AE196,"")&amp;IF(X196&lt;0," MACD-"," MACD+")&amp;" RSI:"&amp;TEXT(W196,"0.0")&amp;IF(W196&gt;=70," [過熱]",IF(W196&lt;=30," [売られ過ぎ]",""))&amp;" 前日比:"&amp;TEXT(Z196,"+0.0;-0.0;0.0")&amp;"%"&amp;IF(V196="年初来安値圏●"," [年初来安値圏]",IF(V196="安値圏"," [安値圏]",""))&amp;IF(OR(AO196="通常",AO196="-"),""," ["&amp;AO196&amp;"]")&amp;IF(OR(AT196="通常",AT196="-"),"","前日["&amp;AT196&amp;"]")&amp;" ["&amp;T196&amp;"点]")</f>
        <v>相場上昇・見送り | 上昇トレンド▲ 5日戻り売り○ MACD+ RSI:51.3 前日比:+0.8%前日[大陰線▼] [2点]</v>
      </c>
      <c r="Z196" s="338">
        <f>IF(AND(E196&lt;&gt;"",G196&lt;&gt;"",G196&lt;&gt;0),(E196-G196)/G196*100,"")</f>
        <v>0.75093867334167708</v>
      </c>
      <c r="AA196" s="212" t="str">
        <f>IF(OR(C196="",E196="",E196=0),"",IF(E196&gt;G196,"上昇▲",IF(E196&lt;G196,"下落▼","横ばい→")))</f>
        <v>上昇▲</v>
      </c>
      <c r="AB196" s="333">
        <f>IF(OR(C196="",C196="TOPX",終値!E194=""),"",IFERROR(((終値!E194*0.333)+(終値!F194*0.222)+(終値!G194*0.148)+(終値!H194*0.099)+(終値!I194*0.066))/(0.333+0.222+0.148+0.099+0.066),""))</f>
        <v>8073.3755760368649</v>
      </c>
      <c r="AC196" s="333">
        <f>IF(OR(C196="",C196="TOPX",終値!E194=""),"",IFERROR(SUMPRODUCT((終値!E194:AC194),{0.077,0.071,0.065,0.06,0.055,0.051,0.047,0.043,0.039,0.036,0.033,0.031,0.028,0.026,0.024,0.022,0.02,0.018,0.017,0.016,0.014,0.013,0.012,0.011,0.01})/SUM({0.077,0.071,0.065,0.06,0.055,0.051,0.047,0.043,0.039,0.036,0.033,0.031,0.028,0.026,0.024,0.022,0.02,0.018,0.017,0.016,0.014,0.013,0.012,0.011,0.01}),""))</f>
        <v>7562.3718712753252</v>
      </c>
      <c r="AD196" s="212" t="str">
        <f>IF(OR(C196="",AB196="",AC196="",AB196=0,AC196=0),"",IF(AND(E196&gt;AB196,AB196&gt;AC196),"パーフェクト▲",IF(E196&gt;AC196,"上昇トレンド▲",IF(AND(E196&lt;AB196,AB196&lt;AC196),"下降トレンド▼","もみ合い→"))))</f>
        <v>上昇トレンド▲</v>
      </c>
      <c r="AE196" s="212" t="str">
        <f>IF(OR(C196="",AB196="",AC196=""),"",IF(AND(ABS(E196-AC196)/AC196&lt;=0.02,E196&lt;AC196),"25日戻り売り★",IF(AND(ABS(E196-AB196)/AB196&lt;=0.01,E196&lt;AB196),"5日戻り売り○","なし")))</f>
        <v>5日戻り売り○</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相場上昇・見送り</v>
      </c>
      <c r="AG196">
        <f>IF(AND(T196&gt;=7,C196&lt;&gt;""),T196,0)</f>
        <v>0</v>
      </c>
      <c r="AH196">
        <f>IF(AG196&gt;0,AG196*10000-ROW(A196),0)</f>
        <v>0</v>
      </c>
      <c r="AI196" s="373">
        <f t="array" ref="AI196">IF(C196="","",IFERROR((INDEX(終値!$E:$E,MATCH(TEXT(C196,"0"),終値!$A:$A,0))-INDEX(終値!$E:$CZ,MATCH(TEXT(C196,"0"),終値!$A:$A,0),$AN$2))/INDEX(終値!$E:$CZ,MATCH(TEXT(C196,"0"),終値!$A:$A,0),$AN$2)*100,""))</f>
        <v>9.6730245231607626</v>
      </c>
      <c r="AJ196" s="373">
        <f t="array" ref="AJ196">IFERROR((終値!$E$5-INDEX(終値!$E$5:$IT$5,1,$AN$2))/INDEX(終値!$E$5:$IT$5,1,$AN$2)*100,"")</f>
        <v>1.0179378228534113</v>
      </c>
      <c r="AK196" s="374">
        <f>IF(OR(AI196="",AJ196=""),"",AI196-AJ196)</f>
        <v>8.6550867003073506</v>
      </c>
      <c r="AL196" s="372">
        <f>IF(AK196="","",IF(AK196&lt;-5,3,IF(AK196&lt;0,1,IF(AK196&lt;3,-1,-2))))</f>
        <v>-2</v>
      </c>
      <c r="AO196" s="376" t="str">
        <f>IF(OR($C196="",$E196="",$F196="",$H196="",$I196="",$H196-$I196&lt;=0),"-",IF(AND($H196-MAX($F196,$E196)&gt;=ABS($E196-$F196)*2,MIN($F196,$E196)-$I196&lt;=ABS($E196-$F196)*0.5,ABS($E196-$F196)&gt;0),"上ヒゲ陰線▼",IF(AND($E196&lt;$F196,ABS($E196-$F196)&gt;=($H196-$I196)*0.7),"大陰線▼",IF(AND(MIN($F196,$E196)-$I196&gt;=($H196-$I196)*0.5,$H196-MAX($F196,$E196)&lt;=($H196-$I196)*0.2),"長い下ヒゲ(反発警戒)","通常"))))</f>
        <v>通常</v>
      </c>
      <c r="AP196" s="377">
        <f>IF($AO196="上ヒゲ陰線▼",2,IF($AO196="大陰線▼",2,IF($AO196="長い下ヒゲ(反発警戒)",-2,0)))</f>
        <v>0</v>
      </c>
      <c r="AQ196">
        <f>IF(C196&lt;&gt;"",始値!F194,"")</f>
        <v>8140</v>
      </c>
      <c r="AR196">
        <f>IF(C196&lt;&gt;"",高値!F194,"")</f>
        <v>8150</v>
      </c>
      <c r="AS196">
        <f>IF(C196&lt;&gt;"",安値!F194,"")</f>
        <v>7980</v>
      </c>
      <c r="AT196" t="str">
        <f>IF(OR(C196="",AQ196="",AR196="",AS196="",AR196-AS196&lt;=0),"-",IF(AND(AR196-MAX(G196,AQ196)&gt;=ABS(G196-AQ196)*2,MIN(G196,AQ196)-AS196&lt;=ABS(G196-AQ196)*0.5,ABS(G196-AQ196)&gt;0),"上ヒゲ陰線▼",IF(AND(G196&lt;AQ196,ABS(G196-AQ196)&gt;=(AR196-AS196)*0.7),"大陰線▼",IF(AND(MIN(G196,AQ196)-AS196&gt;=(AR196-AS196)*0.5,AR196-MAX(G196,AQ196)&lt;=(AR196-AS196)*0.2),"長い下ヒゲ(反発)","通常"))))</f>
        <v>大陰線▼</v>
      </c>
      <c r="AU196">
        <f>IF(AT196="上ヒゲ陰線▼",2,IF(AT196="大陰線▼",2,IF(AT196="長い下ヒゲ(反発)",-2,0)))</f>
        <v>2</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3998</v>
      </c>
      <c r="F197" s="326">
        <f>IF(C197&lt;&gt;"",_xll.RssMarket(C197,"始値"),"")</f>
        <v>4050</v>
      </c>
      <c r="G197" s="325">
        <f>IF(C197&lt;&gt;"",終値!F207,"")</f>
        <v>4000</v>
      </c>
      <c r="H197" s="326">
        <f>IF(C197&lt;&gt;"",_xll.RssMarket(C197,"高値"),"")</f>
        <v>4137</v>
      </c>
      <c r="I197" s="326">
        <f>IF(C197&lt;&gt;"",_xll.RssMarket(C197,"安値"),"")</f>
        <v>3976</v>
      </c>
      <c r="J197" s="326">
        <f>IF(C197&lt;&gt;"",_xll.RssMarket(C197,"出来高"),"")</f>
        <v>19815300</v>
      </c>
      <c r="K197" s="326">
        <f>IF(C197&lt;&gt;"",_xll.RssMarket(C197,"年初来高値"),"")</f>
        <v>5208</v>
      </c>
      <c r="L197" s="327">
        <f>IF(AND(E197&lt;&gt;"",K197&lt;&gt;"",K197&lt;&gt;0),(E197-K197)/K197*100,"")</f>
        <v>-23.233486943164365</v>
      </c>
      <c r="M197" s="326">
        <f>IF(C197&lt;&gt;"",IFERROR(AVERAGE(出来高!E207:I207),""),"")</f>
        <v>29811200</v>
      </c>
      <c r="N197" s="326">
        <f>IF(C197&lt;&gt;"",IFERROR(AVERAGE(出来高!E207:AC207),""),"")</f>
        <v>20416600</v>
      </c>
      <c r="O197" s="328">
        <f>IF(AND(J197&lt;&gt;"",M197&lt;&gt;"",M197&lt;&gt;0),J197/M197,"")</f>
        <v>0.66469313546586517</v>
      </c>
      <c r="P197" s="325" t="str">
        <f>IF(O197="","",IF(O197&gt;=2,"急増↑↑",IF(O197&gt;=1.5,"増加↑",IF(O197&gt;=1,"普通→","減少↓"))))</f>
        <v>減少↓</v>
      </c>
      <c r="Q197" s="325" t="str">
        <f>IF(E197="","",IF(AND(E197&lt;G197,O197&gt;=1.5),"売り▼",IF(E197&gt;G197,"様子見▲","中立→")))</f>
        <v>中立→</v>
      </c>
      <c r="R197" s="326">
        <f>IF(E197&lt;&gt;"",ROUND(E197*0.92,0),"")</f>
        <v>3678</v>
      </c>
      <c r="S197" s="326">
        <f>IF(E197&lt;&gt;"",ROUND(E197*1.04,0),"")</f>
        <v>4158</v>
      </c>
      <c r="T197" s="325">
        <f>IF(C197="","",IFERROR(IF(W197&gt;=70,3,IF(W197&gt;=60,2,IF(W197&gt;=50,1,0)))+IF(X197&lt;0,2,0)+IF(AD197="下降トレンド▼",3,IF(AD197="もみ合い→",1,0))+IF(V197="年初来安値圏●",3,IF(V197="安値圏",2,0))+IF(Q197="売り▼",2,0)+IF(P197="急増↑↑",2,IF(P197="増加↑",1,0))+IF(Z197&lt;0,1,0)+IF(L197&lt;=-30,2,IF(L197&lt;=-15,1,0))+IF(AE197="25日戻り売り★",2,IF(AE197="5日戻り売り○",1,0))+N(AL197)+N(AP197)+N(AU197),0))</f>
        <v>-1</v>
      </c>
      <c r="U197" s="325" t="str">
        <f>IF(T197="","",IF(AND(T197&gt;=3,O197&gt;=1.5),"有効",IF(T197&gt;=3,"要確認","除外")))</f>
        <v>除外</v>
      </c>
      <c r="V197" s="325" t="str">
        <f>IF(AND(I197&lt;&gt;"",K197&lt;&gt;""),IF(I197&lt;=K197*0.6,"年初来安値圏●",IF(I197&lt;=K197*0.75,"安値圏","通常")),"")</f>
        <v>通常</v>
      </c>
      <c r="W197" s="329">
        <f t="array" ref="W197">IFERROR(100-100/(1+SUMPRODUCT((終値!F207:R207&gt;終値!G207:S207)*(終値!F207:R207-終値!G207:S207))/SUMPRODUCT((終値!F207:R207&lt;終値!G207:S207)*(終値!G207:S207-終値!F207:R207))),50)</f>
        <v>58.067542213883677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17.666074932633364</v>
      </c>
      <c r="Y197" s="325" t="str">
        <f>IF(AF197="","",AF197&amp;" | "&amp;AD197&amp;IF(AE197&lt;&gt;"なし"," "&amp;AE197,"")&amp;IF(X197&lt;0," MACD-"," MACD+")&amp;" RSI:"&amp;TEXT(W197,"0.0")&amp;IF(W197&gt;=70," [過熱]",IF(W197&lt;=30," [売られ過ぎ]",""))&amp;" 前日比:"&amp;TEXT(Z197,"+0.0;-0.0;0.0")&amp;"%"&amp;IF(V197="年初来安値圏●"," [年初来安値圏]",IF(V197="安値圏"," [安値圏]",""))&amp;IF(OR(AO197="通常",AO197="-"),""," ["&amp;AO197&amp;"]")&amp;IF(OR(AT197="通常",AT197="-"),"","前日["&amp;AT197&amp;"]")&amp;" ["&amp;T197&amp;"点]")</f>
        <v>相場上昇・見送り | パーフェクト▲ MACD+ RSI:58.1 前日比:-0.1%前日[長い下ヒゲ(反発)] [-1点]</v>
      </c>
      <c r="Z197" s="331">
        <f>IF(AND(E197&lt;&gt;"",G197&lt;&gt;"",G197&lt;&gt;0),(E197-G197)/G197*100,"")</f>
        <v>-0.05</v>
      </c>
      <c r="AA197" s="325" t="str">
        <f>IF(OR(C197="",E197="",E197=0),"",IF(E197&gt;G197,"上昇▲",IF(E197&lt;G197,"下落▼","横ばい→")))</f>
        <v>下落▼</v>
      </c>
      <c r="AB197" s="326">
        <f>IF(OR(C197="",C197="TOPX",終値!E207=""),"",IFERROR(((終値!E207*0.333)+(終値!F207*0.222)+(終値!G207*0.148)+(終値!H207*0.099)+(終値!I207*0.066))/(0.333+0.222+0.148+0.099+0.066),""))</f>
        <v>3973.8790322580639</v>
      </c>
      <c r="AC197" s="326">
        <f>IF(OR(C197="",C197="TOPX",終値!E207=""),"",IFERROR(SUMPRODUCT((終値!E207:AC207),{0.077,0.071,0.065,0.06,0.055,0.051,0.047,0.043,0.039,0.036,0.033,0.031,0.028,0.026,0.024,0.022,0.02,0.018,0.017,0.016,0.014,0.013,0.012,0.011,0.01})/SUM({0.077,0.071,0.065,0.06,0.055,0.051,0.047,0.043,0.039,0.036,0.033,0.031,0.028,0.026,0.024,0.022,0.02,0.018,0.017,0.016,0.014,0.013,0.012,0.011,0.01}),""))</f>
        <v>3871.7544696066739</v>
      </c>
      <c r="AD197" s="325" t="str">
        <f>IF(OR(C197="",AB197="",AC197="",AB197=0,AC197=0),"",IF(AND(E197&gt;AB197,AB197&gt;AC197),"パーフェクト▲",IF(E197&gt;AC197,"上昇トレンド▲",IF(AND(E197&lt;AB197,AB197&lt;AC197),"下降トレンド▼","もみ合い→"))))</f>
        <v>パーフェクト▲</v>
      </c>
      <c r="AE197" s="325" t="str">
        <f>IF(OR(C197="",AB197="",AC197=""),"",IF(AND(ABS(E197-AC197)/AC197&lt;=0.02,E197&lt;AC197),"25日戻り売り★",IF(AND(ABS(E197-AB197)/AB197&lt;=0.01,E197&lt;AB197),"5日戻り売り○","なし")))</f>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相場上昇・見送り</v>
      </c>
      <c r="AG197">
        <f>IF(AND(T197&gt;=7,C197&lt;&gt;""),T197,0)</f>
        <v>0</v>
      </c>
      <c r="AH197">
        <f>IF(AG197&gt;0,AG197*10000-ROW(A197),0)</f>
        <v>0</v>
      </c>
      <c r="AI197" s="373">
        <f t="array" ref="AI197">IF(C197="","",IFERROR((INDEX(終値!$E:$E,MATCH(TEXT(C197,"0"),終値!$A:$A,0))-INDEX(終値!$E:$CZ,MATCH(TEXT(C197,"0"),終値!$A:$A,0),$AN$2))/INDEX(終値!$E:$CZ,MATCH(TEXT(C197,"0"),終値!$A:$A,0),$AN$2)*100,""))</f>
        <v>7.0128479657387581</v>
      </c>
      <c r="AJ197" s="373">
        <f t="array" ref="AJ197">IFERROR((終値!$E$5-INDEX(終値!$E$5:$IT$5,1,$AN$2))/INDEX(終値!$E$5:$IT$5,1,$AN$2)*100,"")</f>
        <v>1.0179378228534113</v>
      </c>
      <c r="AK197" s="374">
        <f>IF(OR(AI197="",AJ197=""),"",AI197-AJ197)</f>
        <v>5.9949101428853471</v>
      </c>
      <c r="AL197" s="372">
        <f>IF(AK197="","",IF(AK197&lt;-5,3,IF(AK197&lt;0,1,IF(AK197&lt;3,-1,-2))))</f>
        <v>-2</v>
      </c>
      <c r="AO197" s="376" t="str">
        <f>IF(OR($C197="",$E197="",$F197="",$H197="",$I197="",$H197-$I197&lt;=0),"-",IF(AND($H197-MAX($F197,$E197)&gt;=ABS($E197-$F197)*2,MIN($F197,$E197)-$I197&lt;=ABS($E197-$F197)*0.5,ABS($E197-$F197)&gt;0),"上ヒゲ陰線▼",IF(AND($E197&lt;$F197,ABS($E197-$F197)&gt;=($H197-$I197)*0.7),"大陰線▼",IF(AND(MIN($F197,$E197)-$I197&gt;=($H197-$I197)*0.5,$H197-MAX($F197,$E197)&lt;=($H197-$I197)*0.2),"長い下ヒゲ(反発警戒)","通常"))))</f>
        <v>通常</v>
      </c>
      <c r="AP197" s="377">
        <f>IF($AO197="上ヒゲ陰線▼",2,IF($AO197="大陰線▼",2,IF($AO197="長い下ヒゲ(反発警戒)",-2,0)))</f>
        <v>0</v>
      </c>
      <c r="AQ197">
        <f>IF(C197&lt;&gt;"",始値!F207,"")</f>
        <v>4040</v>
      </c>
      <c r="AR197">
        <f>IF(C197&lt;&gt;"",高値!F207,"")</f>
        <v>4072</v>
      </c>
      <c r="AS197">
        <f>IF(C197&lt;&gt;"",安値!F207,"")</f>
        <v>3887</v>
      </c>
      <c r="AT197" t="str">
        <f>IF(OR(C197="",AQ197="",AR197="",AS197="",AR197-AS197&lt;=0),"-",IF(AND(AR197-MAX(G197,AQ197)&gt;=ABS(G197-AQ197)*2,MIN(G197,AQ197)-AS197&lt;=ABS(G197-AQ197)*0.5,ABS(G197-AQ197)&gt;0),"上ヒゲ陰線▼",IF(AND(G197&lt;AQ197,ABS(G197-AQ197)&gt;=(AR197-AS197)*0.7),"大陰線▼",IF(AND(MIN(G197,AQ197)-AS197&gt;=(AR197-AS197)*0.5,AR197-MAX(G197,AQ197)&lt;=(AR197-AS197)*0.2),"長い下ヒゲ(反発)","通常"))))</f>
        <v>長い下ヒゲ(反発)</v>
      </c>
      <c r="AU197">
        <f>IF(AT197="上ヒゲ陰線▼",2,IF(AT197="大陰線▼",2,IF(AT197="長い下ヒゲ(反発)",-2,0)))</f>
        <v>-2</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1825.5</v>
      </c>
      <c r="F198" s="333">
        <f>IF(C198&lt;&gt;"",_xll.RssMarket(C198,"始値"),"")</f>
        <v>1790.5</v>
      </c>
      <c r="G198" s="212">
        <f>IF(C198&lt;&gt;"",終値!F33,"")</f>
        <v>1811</v>
      </c>
      <c r="H198" s="333">
        <f>IF(C198&lt;&gt;"",_xll.RssMarket(C198,"高値"),"")</f>
        <v>1828.5</v>
      </c>
      <c r="I198" s="333">
        <f>IF(C198&lt;&gt;"",_xll.RssMarket(C198,"安値"),"")</f>
        <v>1790</v>
      </c>
      <c r="J198" s="333">
        <f>IF(C198&lt;&gt;"",_xll.RssMarket(C198,"出来高"),"")</f>
        <v>3642300</v>
      </c>
      <c r="K198" s="333">
        <f>IF(C198&lt;&gt;"",_xll.RssMarket(C198,"年初来高値"),"")</f>
        <v>1886.5</v>
      </c>
      <c r="L198" s="334">
        <f>IF(AND(E198&lt;&gt;"",K198&lt;&gt;"",K198&lt;&gt;0),(E198-K198)/K198*100,"")</f>
        <v>-3.2335011926848662</v>
      </c>
      <c r="M198" s="333">
        <f>IF(C198&lt;&gt;"",IFERROR(AVERAGE(出来高!E33:I33),""),"")</f>
        <v>5796960</v>
      </c>
      <c r="N198" s="333">
        <f>IF(C198&lt;&gt;"",IFERROR(AVERAGE(出来高!E33:AC33),""),"")</f>
        <v>4949128</v>
      </c>
      <c r="O198" s="335">
        <f>IF(AND(J198&lt;&gt;"",M198&lt;&gt;"",M198&lt;&gt;0),J198/M198,"")</f>
        <v>0.62831208081477186</v>
      </c>
      <c r="P198" s="212" t="str">
        <f>IF(O198="","",IF(O198&gt;=2,"急増↑↑",IF(O198&gt;=1.5,"増加↑",IF(O198&gt;=1,"普通→","減少↓"))))</f>
        <v>減少↓</v>
      </c>
      <c r="Q198" s="212" t="str">
        <f>IF(E198="","",IF(AND(E198&lt;G198,O198&gt;=1.5),"売り▼",IF(E198&gt;G198,"様子見▲","中立→")))</f>
        <v>様子見▲</v>
      </c>
      <c r="R198" s="333">
        <f>IF(E198&lt;&gt;"",ROUND(E198*0.92,0),"")</f>
        <v>1679</v>
      </c>
      <c r="S198" s="333">
        <f>IF(E198&lt;&gt;"",ROUND(E198*1.04,0),"")</f>
        <v>1899</v>
      </c>
      <c r="T198" s="325">
        <f>IF(C198="","",IFERROR(IF(W198&gt;=70,3,IF(W198&gt;=60,2,IF(W198&gt;=50,1,0)))+IF(X198&lt;0,2,0)+IF(AD198="下降トレンド▼",3,IF(AD198="もみ合い→",1,0))+IF(V198="年初来安値圏●",3,IF(V198="安値圏",2,0))+IF(Q198="売り▼",2,0)+IF(P198="急増↑↑",2,IF(P198="増加↑",1,0))+IF(Z198&lt;0,1,0)+IF(L198&lt;=-30,2,IF(L198&lt;=-15,1,0))+IF(AE198="25日戻り売り★",2,IF(AE198="5日戻り売り○",1,0))+N(AL198)+N(AP198)+N(AU198),0))</f>
        <v>-2</v>
      </c>
      <c r="U198" s="212" t="str">
        <f>IF(T198="","",IF(AND(T198&gt;=3,O198&gt;=1.5),"有効",IF(T198&gt;=3,"要確認","除外")))</f>
        <v>除外</v>
      </c>
      <c r="V198" s="212" t="str">
        <f>IF(AND(I198&lt;&gt;"",K198&lt;&gt;""),IF(I198&lt;=K198*0.6,"年初来安値圏●",IF(I198&lt;=K198*0.75,"安値圏","通常")),"")</f>
        <v>通常</v>
      </c>
      <c r="W198" s="336">
        <f t="array" ref="W198">IFERROR(100-100/(1+SUMPRODUCT((終値!F33:R33&gt;終値!G33:S33)*(終値!F33:R33-終値!G33:S33))/SUMPRODUCT((終値!F33:R33&lt;終値!G33:S33)*(終値!G33:S33-終値!F33:R33))),50)</f>
        <v>41.666666666666671</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5.411585183829402</v>
      </c>
      <c r="Y198" s="212" t="str">
        <f>IF(AF198="","",AF198&amp;" | "&amp;AD198&amp;IF(AE198&lt;&gt;"なし"," "&amp;AE198,"")&amp;IF(X198&lt;0," MACD-"," MACD+")&amp;" RSI:"&amp;TEXT(W198,"0.0")&amp;IF(W198&gt;=70," [過熱]",IF(W198&lt;=30," [売られ過ぎ]",""))&amp;" 前日比:"&amp;TEXT(Z198,"+0.0;-0.0;0.0")&amp;"%"&amp;IF(V198="年初来安値圏●"," [年初来安値圏]",IF(V198="安値圏"," [安値圏]",""))&amp;IF(OR(AO198="通常",AO198="-"),""," ["&amp;AO198&amp;"]")&amp;IF(OR(AT198="通常",AT198="-"),"","前日["&amp;AT198&amp;"]")&amp;" ["&amp;T198&amp;"点]")</f>
        <v>相場上昇・見送り | パーフェクト▲ MACD+ RSI:41.7 前日比:+0.8% [-2点]</v>
      </c>
      <c r="Z198" s="338">
        <f>IF(AND(E198&lt;&gt;"",G198&lt;&gt;"",G198&lt;&gt;0),(E198-G198)/G198*100,"")</f>
        <v>0.80066261733848698</v>
      </c>
      <c r="AA198" s="212" t="str">
        <f>IF(OR(C198="",E198="",E198=0),"",IF(E198&gt;G198,"上昇▲",IF(E198&lt;G198,"下落▼","横ばい→")))</f>
        <v>上昇▲</v>
      </c>
      <c r="AB198" s="333">
        <f>IF(OR(C198="",C198="TOPX",終値!E33=""),"",IFERROR(((終値!E33*0.333)+(終値!F33*0.222)+(終値!G33*0.148)+(終値!H33*0.099)+(終値!I33*0.066))/(0.333+0.222+0.148+0.099+0.066),""))</f>
        <v>1808.6146313364052</v>
      </c>
      <c r="AC198" s="333">
        <f>IF(OR(C198="",C198="TOPX",終値!E33=""),"",IFERROR(SUMPRODUCT((終値!E33:AC33),{0.077,0.071,0.065,0.06,0.055,0.051,0.047,0.043,0.039,0.036,0.033,0.031,0.028,0.026,0.024,0.022,0.02,0.018,0.017,0.016,0.014,0.013,0.012,0.011,0.01})/SUM({0.077,0.071,0.065,0.06,0.055,0.051,0.047,0.043,0.039,0.036,0.033,0.031,0.028,0.026,0.024,0.022,0.02,0.018,0.017,0.016,0.014,0.013,0.012,0.011,0.01}),""))</f>
        <v>1808.5524433849816</v>
      </c>
      <c r="AD198" s="212" t="str">
        <f>IF(OR(C198="",AB198="",AC198="",AB198=0,AC198=0),"",IF(AND(E198&gt;AB198,AB198&gt;AC198),"パーフェクト▲",IF(E198&gt;AC198,"上昇トレンド▲",IF(AND(E198&lt;AB198,AB198&lt;AC198),"下降トレンド▼","もみ合い→"))))</f>
        <v>パーフェクト▲</v>
      </c>
      <c r="AE198" s="212" t="str">
        <f>IF(OR(C198="",AB198="",AC198=""),"",IF(AND(ABS(E198-AC198)/AC198&lt;=0.02,E198&lt;AC198),"25日戻り売り★",IF(AND(ABS(E198-AB198)/AB198&lt;=0.01,E198&lt;AB198),"5日戻り売り○","なし")))</f>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相場上昇・見送り</v>
      </c>
      <c r="AG198">
        <f>IF(AND(T198&gt;=7,C198&lt;&gt;""),T198,0)</f>
        <v>0</v>
      </c>
      <c r="AH198">
        <f>IF(AG198&gt;0,AG198*10000-ROW(A198),0)</f>
        <v>0</v>
      </c>
      <c r="AI198" s="373">
        <f t="array" ref="AI198">IF(C198="","",IFERROR((INDEX(終値!$E:$E,MATCH(TEXT(C198,"0"),終値!$A:$A,0))-INDEX(終値!$E:$CZ,MATCH(TEXT(C198,"0"),終値!$A:$A,0),$AN$2))/INDEX(終値!$E:$CZ,MATCH(TEXT(C198,"0"),終値!$A:$A,0),$AN$2)*100,""))</f>
        <v>11.890897946674839</v>
      </c>
      <c r="AJ198" s="373">
        <f t="array" ref="AJ198">IFERROR((終値!$E$5-INDEX(終値!$E$5:$IT$5,1,$AN$2))/INDEX(終値!$E$5:$IT$5,1,$AN$2)*100,"")</f>
        <v>1.0179378228534113</v>
      </c>
      <c r="AK198" s="374">
        <f>IF(OR(AI198="",AJ198=""),"",AI198-AJ198)</f>
        <v>10.872960123821427</v>
      </c>
      <c r="AL198" s="372">
        <f>IF(AK198="","",IF(AK198&lt;-5,3,IF(AK198&lt;0,1,IF(AK198&lt;3,-1,-2))))</f>
        <v>-2</v>
      </c>
      <c r="AO198" s="376" t="str">
        <f>IF(OR($C198="",$E198="",$F198="",$H198="",$I198="",$H198-$I198&lt;=0),"-",IF(AND($H198-MAX($F198,$E198)&gt;=ABS($E198-$F198)*2,MIN($F198,$E198)-$I198&lt;=ABS($E198-$F198)*0.5,ABS($E198-$F198)&gt;0),"上ヒゲ陰線▼",IF(AND($E198&lt;$F198,ABS($E198-$F198)&gt;=($H198-$I198)*0.7),"大陰線▼",IF(AND(MIN($F198,$E198)-$I198&gt;=($H198-$I198)*0.5,$H198-MAX($F198,$E198)&lt;=($H198-$I198)*0.2),"長い下ヒゲ(反発警戒)","通常"))))</f>
        <v>通常</v>
      </c>
      <c r="AP198" s="377">
        <f>IF($AO198="上ヒゲ陰線▼",2,IF($AO198="大陰線▼",2,IF($AO198="長い下ヒゲ(反発警戒)",-2,0)))</f>
        <v>0</v>
      </c>
      <c r="AQ198">
        <f>IF(C198&lt;&gt;"",始値!F33,"")</f>
        <v>1787</v>
      </c>
      <c r="AR198">
        <f>IF(C198&lt;&gt;"",高値!F33,"")</f>
        <v>1830</v>
      </c>
      <c r="AS198">
        <f>IF(C198&lt;&gt;"",安値!F33,"")</f>
        <v>1782</v>
      </c>
      <c r="AT198" t="str">
        <f>IF(OR(C198="",AQ198="",AR198="",AS198="",AR198-AS198&lt;=0),"-",IF(AND(AR198-MAX(G198,AQ198)&gt;=ABS(G198-AQ198)*2,MIN(G198,AQ198)-AS198&lt;=ABS(G198-AQ198)*0.5,ABS(G198-AQ198)&gt;0),"上ヒゲ陰線▼",IF(AND(G198&lt;AQ198,ABS(G198-AQ198)&gt;=(AR198-AS198)*0.7),"大陰線▼",IF(AND(MIN(G198,AQ198)-AS198&gt;=(AR198-AS198)*0.5,AR198-MAX(G198,AQ198)&lt;=(AR198-AS198)*0.2),"長い下ヒゲ(反発)","通常"))))</f>
        <v>通常</v>
      </c>
      <c r="AU198">
        <f>IF(AT198="上ヒゲ陰線▼",2,IF(AT198="大陰線▼",2,IF(AT198="長い下ヒゲ(反発)",-2,0)))</f>
        <v>0</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1577</v>
      </c>
      <c r="F199" s="326">
        <f>IF(C199&lt;&gt;"",_xll.RssMarket(C199,"始値"),"")</f>
        <v>1551.5</v>
      </c>
      <c r="G199" s="325">
        <f>IF(C199&lt;&gt;"",終値!F40,"")</f>
        <v>1558.5</v>
      </c>
      <c r="H199" s="326">
        <f>IF(C199&lt;&gt;"",_xll.RssMarket(C199,"高値"),"")</f>
        <v>1580</v>
      </c>
      <c r="I199" s="326">
        <f>IF(C199&lt;&gt;"",_xll.RssMarket(C199,"安値"),"")</f>
        <v>1551</v>
      </c>
      <c r="J199" s="326">
        <f>IF(C199&lt;&gt;"",_xll.RssMarket(C199,"出来高"),"")</f>
        <v>8448700</v>
      </c>
      <c r="K199" s="326">
        <f>IF(C199&lt;&gt;"",_xll.RssMarket(C199,"年初来高値"),"")</f>
        <v>1636</v>
      </c>
      <c r="L199" s="327">
        <f>IF(AND(E199&lt;&gt;"",K199&lt;&gt;"",K199&lt;&gt;0),(E199-K199)/K199*100,"")</f>
        <v>-3.6063569682151591</v>
      </c>
      <c r="M199" s="326">
        <f>IF(C199&lt;&gt;"",IFERROR(AVERAGE(出来高!E40:I40),""),"")</f>
        <v>12119640</v>
      </c>
      <c r="N199" s="326">
        <f>IF(C199&lt;&gt;"",IFERROR(AVERAGE(出来高!E40:AC40),""),"")</f>
        <v>11148344</v>
      </c>
      <c r="O199" s="328">
        <f>IF(AND(J199&lt;&gt;"",M199&lt;&gt;"",M199&lt;&gt;0),J199/M199,"")</f>
        <v>0.6971081649289913</v>
      </c>
      <c r="P199" s="325" t="str">
        <f>IF(O199="","",IF(O199&gt;=2,"急増↑↑",IF(O199&gt;=1.5,"増加↑",IF(O199&gt;=1,"普通→","減少↓"))))</f>
        <v>減少↓</v>
      </c>
      <c r="Q199" s="325" t="str">
        <f>IF(E199="","",IF(AND(E199&lt;G199,O199&gt;=1.5),"売り▼",IF(E199&gt;G199,"様子見▲","中立→")))</f>
        <v>様子見▲</v>
      </c>
      <c r="R199" s="326">
        <f>IF(E199&lt;&gt;"",ROUND(E199*0.92,0),"")</f>
        <v>1451</v>
      </c>
      <c r="S199" s="326">
        <f>IF(E199&lt;&gt;"",ROUND(E199*1.04,0),"")</f>
        <v>1640</v>
      </c>
      <c r="T199" s="325">
        <f>IF(C199="","",IFERROR(IF(W199&gt;=70,3,IF(W199&gt;=60,2,IF(W199&gt;=50,1,0)))+IF(X199&lt;0,2,0)+IF(AD199="下降トレンド▼",3,IF(AD199="もみ合い→",1,0))+IF(V199="年初来安値圏●",3,IF(V199="安値圏",2,0))+IF(Q199="売り▼",2,0)+IF(P199="急増↑↑",2,IF(P199="増加↑",1,0))+IF(Z199&lt;0,1,0)+IF(L199&lt;=-30,2,IF(L199&lt;=-15,1,0))+IF(AE199="25日戻り売り★",2,IF(AE199="5日戻り売り○",1,0))+N(AL199)+N(AP199)+N(AU199),0))</f>
        <v>-2</v>
      </c>
      <c r="U199" s="325" t="str">
        <f>IF(T199="","",IF(AND(T199&gt;=3,O199&gt;=1.5),"有効",IF(T199&gt;=3,"要確認","除外")))</f>
        <v>除外</v>
      </c>
      <c r="V199" s="325" t="str">
        <f>IF(AND(I199&lt;&gt;"",K199&lt;&gt;""),IF(I199&lt;=K199*0.6,"年初来安値圏●",IF(I199&lt;=K199*0.75,"安値圏","通常")),"")</f>
        <v>通常</v>
      </c>
      <c r="W199" s="329">
        <f t="array" ref="W199">IFERROR(100-100/(1+SUMPRODUCT((終値!F40:R40&gt;終値!G40:S40)*(終値!F40:R40-終値!G40:S40))/SUMPRODUCT((終値!F40:R40&lt;終値!G40:S40)*(終値!G40:S40-終値!F40:R40))),50)</f>
        <v>43.202416918429002</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0.73365102551747441</v>
      </c>
      <c r="Y199" s="325" t="str">
        <f>IF(AF199="","",AF199&amp;" | "&amp;AD199&amp;IF(AE199&lt;&gt;"なし"," "&amp;AE199,"")&amp;IF(X199&lt;0," MACD-"," MACD+")&amp;" RSI:"&amp;TEXT(W199,"0.0")&amp;IF(W199&gt;=70," [過熱]",IF(W199&lt;=30," [売られ過ぎ]",""))&amp;" 前日比:"&amp;TEXT(Z199,"+0.0;-0.0;0.0")&amp;"%"&amp;IF(V199="年初来安値圏●"," [年初来安値圏]",IF(V199="安値圏"," [安値圏]",""))&amp;IF(OR(AO199="通常",AO199="-"),""," ["&amp;AO199&amp;"]")&amp;IF(OR(AT199="通常",AT199="-"),"","前日["&amp;AT199&amp;"]")&amp;" ["&amp;T199&amp;"点]")</f>
        <v>相場上昇・見送り | パーフェクト▲ MACD+ RSI:43.2 前日比:+1.2% [-2点]</v>
      </c>
      <c r="Z199" s="331">
        <f>IF(AND(E199&lt;&gt;"",G199&lt;&gt;"",G199&lt;&gt;0),(E199-G199)/G199*100,"")</f>
        <v>1.1870388193776067</v>
      </c>
      <c r="AA199" s="325" t="str">
        <f>IF(OR(C199="",E199="",E199=0),"",IF(E199&gt;G199,"上昇▲",IF(E199&lt;G199,"下落▼","横ばい→")))</f>
        <v>上昇▲</v>
      </c>
      <c r="AB199" s="326">
        <f>IF(OR(C199="",C199="TOPX",終値!E40=""),"",IFERROR(((終値!E40*0.333)+(終値!F40*0.222)+(終値!G40*0.148)+(終値!H40*0.099)+(終値!I40*0.066))/(0.333+0.222+0.148+0.099+0.066),""))</f>
        <v>1549.2079493087556</v>
      </c>
      <c r="AC199" s="326">
        <f>IF(OR(C199="",C199="TOPX",終値!E40=""),"",IFERROR(SUMPRODUCT((終値!E40:AC40),{0.077,0.071,0.065,0.06,0.055,0.051,0.047,0.043,0.039,0.036,0.033,0.031,0.028,0.026,0.024,0.022,0.02,0.018,0.017,0.016,0.014,0.013,0.012,0.011,0.01})/SUM({0.077,0.071,0.065,0.06,0.055,0.051,0.047,0.043,0.039,0.036,0.033,0.031,0.028,0.026,0.024,0.022,0.02,0.018,0.017,0.016,0.014,0.013,0.012,0.011,0.01}),""))</f>
        <v>1549.1907032181159</v>
      </c>
      <c r="AD199" s="325" t="str">
        <f>IF(OR(C199="",AB199="",AC199="",AB199=0,AC199=0),"",IF(AND(E199&gt;AB199,AB199&gt;AC199),"パーフェクト▲",IF(E199&gt;AC199,"上昇トレンド▲",IF(AND(E199&lt;AB199,AB199&lt;AC199),"下降トレンド▼","もみ合い→"))))</f>
        <v>パーフェクト▲</v>
      </c>
      <c r="AE199" s="325" t="str">
        <f>IF(OR(C199="",AB199="",AC199=""),"",IF(AND(ABS(E199-AC199)/AC199&lt;=0.02,E199&lt;AC199),"25日戻り売り★",IF(AND(ABS(E199-AB199)/AB199&lt;=0.01,E199&lt;AB199),"5日戻り売り○","なし")))</f>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相場上昇・見送り</v>
      </c>
      <c r="AG199">
        <f>IF(AND(T199&gt;=7,C199&lt;&gt;""),T199,0)</f>
        <v>0</v>
      </c>
      <c r="AH199">
        <f>IF(AG199&gt;0,AG199*10000-ROW(A199),0)</f>
        <v>0</v>
      </c>
      <c r="AI199" s="373">
        <f t="array" ref="AI199">IF(C199="","",IFERROR((INDEX(終値!$E:$E,MATCH(TEXT(C199,"0"),終値!$A:$A,0))-INDEX(終値!$E:$CZ,MATCH(TEXT(C199,"0"),終値!$A:$A,0),$AN$2))/INDEX(終値!$E:$CZ,MATCH(TEXT(C199,"0"),終値!$A:$A,0),$AN$2)*100,""))</f>
        <v>9.5519277526919062</v>
      </c>
      <c r="AJ199" s="373">
        <f t="array" ref="AJ199">IFERROR((終値!$E$5-INDEX(終値!$E$5:$IT$5,1,$AN$2))/INDEX(終値!$E$5:$IT$5,1,$AN$2)*100,"")</f>
        <v>1.0179378228534113</v>
      </c>
      <c r="AK199" s="374">
        <f>IF(OR(AI199="",AJ199=""),"",AI199-AJ199)</f>
        <v>8.5339899298384942</v>
      </c>
      <c r="AL199" s="372">
        <f>IF(AK199="","",IF(AK199&lt;-5,3,IF(AK199&lt;0,1,IF(AK199&lt;3,-1,-2))))</f>
        <v>-2</v>
      </c>
      <c r="AO199" s="376" t="str">
        <f>IF(OR($C199="",$E199="",$F199="",$H199="",$I199="",$H199-$I199&lt;=0),"-",IF(AND($H199-MAX($F199,$E199)&gt;=ABS($E199-$F199)*2,MIN($F199,$E199)-$I199&lt;=ABS($E199-$F199)*0.5,ABS($E199-$F199)&gt;0),"上ヒゲ陰線▼",IF(AND($E199&lt;$F199,ABS($E199-$F199)&gt;=($H199-$I199)*0.7),"大陰線▼",IF(AND(MIN($F199,$E199)-$I199&gt;=($H199-$I199)*0.5,$H199-MAX($F199,$E199)&lt;=($H199-$I199)*0.2),"長い下ヒゲ(反発警戒)","通常"))))</f>
        <v>通常</v>
      </c>
      <c r="AP199" s="377">
        <f>IF($AO199="上ヒゲ陰線▼",2,IF($AO199="大陰線▼",2,IF($AO199="長い下ヒゲ(反発警戒)",-2,0)))</f>
        <v>0</v>
      </c>
      <c r="AQ199">
        <f>IF(C199&lt;&gt;"",始値!F40,"")</f>
        <v>1548</v>
      </c>
      <c r="AR199">
        <f>IF(C199&lt;&gt;"",高値!F40,"")</f>
        <v>1566</v>
      </c>
      <c r="AS199">
        <f>IF(C199&lt;&gt;"",安値!F40,"")</f>
        <v>1531.5</v>
      </c>
      <c r="AT199" t="str">
        <f>IF(OR(C199="",AQ199="",AR199="",AS199="",AR199-AS199&lt;=0),"-",IF(AND(AR199-MAX(G199,AQ199)&gt;=ABS(G199-AQ199)*2,MIN(G199,AQ199)-AS199&lt;=ABS(G199-AQ199)*0.5,ABS(G199-AQ199)&gt;0),"上ヒゲ陰線▼",IF(AND(G199&lt;AQ199,ABS(G199-AQ199)&gt;=(AR199-AS199)*0.7),"大陰線▼",IF(AND(MIN(G199,AQ199)-AS199&gt;=(AR199-AS199)*0.5,AR199-MAX(G199,AQ199)&lt;=(AR199-AS199)*0.2),"長い下ヒゲ(反発)","通常"))))</f>
        <v>通常</v>
      </c>
      <c r="AU199">
        <f>IF(AT199="上ヒゲ陰線▼",2,IF(AT199="大陰線▼",2,IF(AT199="長い下ヒゲ(反発)",-2,0)))</f>
        <v>0</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1921</v>
      </c>
      <c r="F200" s="333">
        <f>IF(C200&lt;&gt;"",_xll.RssMarket(C200,"始値"),"")</f>
        <v>1902</v>
      </c>
      <c r="G200" s="212">
        <f>IF(C200&lt;&gt;"",終値!F43,"")</f>
        <v>1913.5</v>
      </c>
      <c r="H200" s="333">
        <f>IF(C200&lt;&gt;"",_xll.RssMarket(C200,"高値"),"")</f>
        <v>1928.5</v>
      </c>
      <c r="I200" s="333">
        <f>IF(C200&lt;&gt;"",_xll.RssMarket(C200,"安値"),"")</f>
        <v>1891.5</v>
      </c>
      <c r="J200" s="333">
        <f>IF(C200&lt;&gt;"",_xll.RssMarket(C200,"出来高"),"")</f>
        <v>7537800</v>
      </c>
      <c r="K200" s="333">
        <f>IF(C200&lt;&gt;"",_xll.RssMarket(C200,"年初来高値"),"")</f>
        <v>1959</v>
      </c>
      <c r="L200" s="334">
        <f>IF(AND(E200&lt;&gt;"",K200&lt;&gt;"",K200&lt;&gt;0),(E200-K200)/K200*100,"")</f>
        <v>-1.9397651863195506</v>
      </c>
      <c r="M200" s="333">
        <f>IF(C200&lt;&gt;"",IFERROR(AVERAGE(出来高!E43:I43),""),"")</f>
        <v>8316500</v>
      </c>
      <c r="N200" s="333">
        <f>IF(C200&lt;&gt;"",IFERROR(AVERAGE(出来高!E43:AC43),""),"")</f>
        <v>9897258.333333334</v>
      </c>
      <c r="O200" s="335">
        <f>IF(AND(J200&lt;&gt;"",M200&lt;&gt;"",M200&lt;&gt;0),J200/M200,"")</f>
        <v>0.90636686105933983</v>
      </c>
      <c r="P200" s="212" t="str">
        <f>IF(O200="","",IF(O200&gt;=2,"急増↑↑",IF(O200&gt;=1.5,"増加↑",IF(O200&gt;=1,"普通→","減少↓"))))</f>
        <v>減少↓</v>
      </c>
      <c r="Q200" s="212" t="str">
        <f>IF(E200="","",IF(AND(E200&lt;G200,O200&gt;=1.5),"売り▼",IF(E200&gt;G200,"様子見▲","中立→")))</f>
        <v>様子見▲</v>
      </c>
      <c r="R200" s="333">
        <f>IF(E200&lt;&gt;"",ROUND(E200*0.92,0),"")</f>
        <v>1767</v>
      </c>
      <c r="S200" s="333">
        <f>IF(E200&lt;&gt;"",ROUND(E200*1.04,0),"")</f>
        <v>1998</v>
      </c>
      <c r="T200" s="325">
        <f>IF(C200="","",IFERROR(IF(W200&gt;=70,3,IF(W200&gt;=60,2,IF(W200&gt;=50,1,0)))+IF(X200&lt;0,2,0)+IF(AD200="下降トレンド▼",3,IF(AD200="もみ合い→",1,0))+IF(V200="年初来安値圏●",3,IF(V200="安値圏",2,0))+IF(Q200="売り▼",2,0)+IF(P200="急増↑↑",2,IF(P200="増加↑",1,0))+IF(Z200&lt;0,1,0)+IF(L200&lt;=-30,2,IF(L200&lt;=-15,1,0))+IF(AE200="25日戻り売り★",2,IF(AE200="5日戻り売り○",1,0))+N(AL200)+N(AP200)+N(AU200),0))</f>
        <v>-1</v>
      </c>
      <c r="U200" s="212" t="str">
        <f>IF(T200="","",IF(AND(T200&gt;=3,O200&gt;=1.5),"有効",IF(T200&gt;=3,"要確認","除外")))</f>
        <v>除外</v>
      </c>
      <c r="V200" s="212" t="str">
        <f>IF(AND(I200&lt;&gt;"",K200&lt;&gt;""),IF(I200&lt;=K200*0.6,"年初来安値圏●",IF(I200&lt;=K200*0.75,"安値圏","通常")),"")</f>
        <v>通常</v>
      </c>
      <c r="W200" s="336">
        <f t="array" ref="W200">IFERROR(100-100/(1+SUMPRODUCT((終値!F43:R43&gt;終値!G43:S43)*(終値!F43:R43-終値!G43:S43))/SUMPRODUCT((終値!F43:R43&lt;終値!G43:S43)*(終値!G43:S43-終値!F43:R43))),50)</f>
        <v>50.345069598783475</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1.7618502700627232</v>
      </c>
      <c r="Y200" s="212" t="str">
        <f>IF(AF200="","",AF200&amp;" | "&amp;AD200&amp;IF(AE200&lt;&gt;"なし"," "&amp;AE200,"")&amp;IF(X200&lt;0," MACD-"," MACD+")&amp;" RSI:"&amp;TEXT(W200,"0.0")&amp;IF(W200&gt;=70," [過熱]",IF(W200&lt;=30," [売られ過ぎ]",""))&amp;" 前日比:"&amp;TEXT(Z200,"+0.0;-0.0;0.0")&amp;"%"&amp;IF(V200="年初来安値圏●"," [年初来安値圏]",IF(V200="安値圏"," [安値圏]",""))&amp;IF(OR(AO200="通常",AO200="-"),""," ["&amp;AO200&amp;"]")&amp;IF(OR(AT200="通常",AT200="-"),"","前日["&amp;AT200&amp;"]")&amp;" ["&amp;T200&amp;"点]")</f>
        <v>相場上昇・見送り | パーフェクト▲ MACD+ RSI:50.3 前日比:+0.4% [-1点]</v>
      </c>
      <c r="Z200" s="338">
        <f>IF(AND(E200&lt;&gt;"",G200&lt;&gt;"",G200&lt;&gt;0),(E200-G200)/G200*100,"")</f>
        <v>0.39195192056441075</v>
      </c>
      <c r="AA200" s="212" t="str">
        <f>IF(OR(C200="",E200="",E200=0),"",IF(E200&gt;G200,"上昇▲",IF(E200&lt;G200,"下落▼","横ばい→")))</f>
        <v>上昇▲</v>
      </c>
      <c r="AB200" s="333">
        <f>IF(OR(C200="",C200="TOPX",終値!E43=""),"",IFERROR(((終値!E43*0.333)+(終値!F43*0.222)+(終値!G43*0.148)+(終値!H43*0.099)+(終値!I43*0.066))/(0.333+0.222+0.148+0.099+0.066),""))</f>
        <v>1908.3646313364054</v>
      </c>
      <c r="AC200" s="333">
        <f>IF(OR(C200="",C200="TOPX",終値!E43=""),"",IFERROR(SUMPRODUCT((終値!E43:AC43),{0.077,0.071,0.065,0.06,0.055,0.051,0.047,0.043,0.039,0.036,0.033,0.031,0.028,0.026,0.024,0.022,0.02,0.018,0.017,0.016,0.014,0.013,0.012,0.011,0.01})/SUM({0.077,0.071,0.065,0.06,0.055,0.051,0.047,0.043,0.039,0.036,0.033,0.031,0.028,0.026,0.024,0.022,0.02,0.018,0.017,0.016,0.014,0.013,0.012,0.011,0.01}),""))</f>
        <v>1811.9761620977349</v>
      </c>
      <c r="AD200" s="212" t="str">
        <f>IF(OR(C200="",AB200="",AC200="",AB200=0,AC200=0),"",IF(AND(E200&gt;AB200,AB200&gt;AC200),"パーフェクト▲",IF(E200&gt;AC200,"上昇トレンド▲",IF(AND(E200&lt;AB200,AB200&lt;AC200),"下降トレンド▼","もみ合い→"))))</f>
        <v>パーフェクト▲</v>
      </c>
      <c r="AE200" s="212" t="str">
        <f>IF(OR(C200="",AB200="",AC200=""),"",IF(AND(ABS(E200-AC200)/AC200&lt;=0.02,E200&lt;AC200),"25日戻り売り★",IF(AND(ABS(E200-AB200)/AB200&lt;=0.01,E200&lt;AB200),"5日戻り売り○","なし")))</f>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相場上昇・見送り</v>
      </c>
      <c r="AG200">
        <f>IF(AND(T200&gt;=7,C200&lt;&gt;""),T200,0)</f>
        <v>0</v>
      </c>
      <c r="AH200">
        <f>IF(AG200&gt;0,AG200*10000-ROW(A200),0)</f>
        <v>0</v>
      </c>
      <c r="AI200" s="373">
        <f t="array" ref="AI200">IF(C200="","",IFERROR((INDEX(終値!$E:$E,MATCH(TEXT(C200,"0"),終値!$A:$A,0))-INDEX(終値!$E:$CZ,MATCH(TEXT(C200,"0"),終値!$A:$A,0),$AN$2))/INDEX(終値!$E:$CZ,MATCH(TEXT(C200,"0"),終値!$A:$A,0),$AN$2)*100,""))</f>
        <v>7.2585147962032384</v>
      </c>
      <c r="AJ200" s="373">
        <f t="array" ref="AJ200">IFERROR((終値!$E$5-INDEX(終値!$E$5:$IT$5,1,$AN$2))/INDEX(終値!$E$5:$IT$5,1,$AN$2)*100,"")</f>
        <v>1.0179378228534113</v>
      </c>
      <c r="AK200" s="374">
        <f>IF(OR(AI200="",AJ200=""),"",AI200-AJ200)</f>
        <v>6.2405769733498273</v>
      </c>
      <c r="AL200" s="372">
        <f>IF(AK200="","",IF(AK200&lt;-5,3,IF(AK200&lt;0,1,IF(AK200&lt;3,-1,-2))))</f>
        <v>-2</v>
      </c>
      <c r="AO200" s="376" t="str">
        <f>IF(OR($C200="",$E200="",$F200="",$H200="",$I200="",$H200-$I200&lt;=0),"-",IF(AND($H200-MAX($F200,$E200)&gt;=ABS($E200-$F200)*2,MIN($F200,$E200)-$I200&lt;=ABS($E200-$F200)*0.5,ABS($E200-$F200)&gt;0),"上ヒゲ陰線▼",IF(AND($E200&lt;$F200,ABS($E200-$F200)&gt;=($H200-$I200)*0.7),"大陰線▼",IF(AND(MIN($F200,$E200)-$I200&gt;=($H200-$I200)*0.5,$H200-MAX($F200,$E200)&lt;=($H200-$I200)*0.2),"長い下ヒゲ(反発警戒)","通常"))))</f>
        <v>通常</v>
      </c>
      <c r="AP200" s="377">
        <f>IF($AO200="上ヒゲ陰線▼",2,IF($AO200="大陰線▼",2,IF($AO200="長い下ヒゲ(反発警戒)",-2,0)))</f>
        <v>0</v>
      </c>
      <c r="AQ200">
        <f>IF(C200&lt;&gt;"",始値!F43,"")</f>
        <v>1891.5</v>
      </c>
      <c r="AR200">
        <f>IF(C200&lt;&gt;"",高値!F43,"")</f>
        <v>1914.5</v>
      </c>
      <c r="AS200">
        <f>IF(C200&lt;&gt;"",安値!F43,"")</f>
        <v>1880</v>
      </c>
      <c r="AT200" t="str">
        <f>IF(OR(C200="",AQ200="",AR200="",AS200="",AR200-AS200&lt;=0),"-",IF(AND(AR200-MAX(G200,AQ200)&gt;=ABS(G200-AQ200)*2,MIN(G200,AQ200)-AS200&lt;=ABS(G200-AQ200)*0.5,ABS(G200-AQ200)&gt;0),"上ヒゲ陰線▼",IF(AND(G200&lt;AQ200,ABS(G200-AQ200)&gt;=(AR200-AS200)*0.7),"大陰線▼",IF(AND(MIN(G200,AQ200)-AS200&gt;=(AR200-AS200)*0.5,AR200-MAX(G200,AQ200)&lt;=(AR200-AS200)*0.2),"長い下ヒゲ(反発)","通常"))))</f>
        <v>通常</v>
      </c>
      <c r="AU200">
        <f>IF(AT200="上ヒゲ陰線▼",2,IF(AT200="大陰線▼",2,IF(AT200="長い下ヒゲ(反発)",-2,0)))</f>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3574</v>
      </c>
      <c r="F201" s="326">
        <f>IF(C201&lt;&gt;"",_xll.RssMarket(C201,"始値"),"")</f>
        <v>3541</v>
      </c>
      <c r="G201" s="325">
        <f>IF(C201&lt;&gt;"",終値!F45,"")</f>
        <v>3541</v>
      </c>
      <c r="H201" s="326">
        <f>IF(C201&lt;&gt;"",_xll.RssMarket(C201,"高値"),"")</f>
        <v>3603</v>
      </c>
      <c r="I201" s="326">
        <f>IF(C201&lt;&gt;"",_xll.RssMarket(C201,"安値"),"")</f>
        <v>3538</v>
      </c>
      <c r="J201" s="326">
        <f>IF(C201&lt;&gt;"",_xll.RssMarket(C201,"出来高"),"")</f>
        <v>35721200</v>
      </c>
      <c r="K201" s="326">
        <f>IF(C201&lt;&gt;"",_xll.RssMarket(C201,"年初来高値"),"")</f>
        <v>3813</v>
      </c>
      <c r="L201" s="327">
        <f>IF(AND(E201&lt;&gt;"",K201&lt;&gt;"",K201&lt;&gt;0),(E201-K201)/K201*100,"")</f>
        <v>-6.2680304222397067</v>
      </c>
      <c r="M201" s="326">
        <f>IF(C201&lt;&gt;"",IFERROR(AVERAGE(出来高!E45:I45),""),"")</f>
        <v>45988060</v>
      </c>
      <c r="N201" s="326">
        <f>IF(C201&lt;&gt;"",IFERROR(AVERAGE(出来高!E45:AC45),""),"")</f>
        <v>43282364</v>
      </c>
      <c r="O201" s="328">
        <f>IF(AND(J201&lt;&gt;"",M201&lt;&gt;"",M201&lt;&gt;0),J201/M201,"")</f>
        <v>0.7767494432250458</v>
      </c>
      <c r="P201" s="325" t="str">
        <f>IF(O201="","",IF(O201&gt;=2,"急増↑↑",IF(O201&gt;=1.5,"増加↑",IF(O201&gt;=1,"普通→","減少↓"))))</f>
        <v>減少↓</v>
      </c>
      <c r="Q201" s="325" t="str">
        <f>IF(E201="","",IF(AND(E201&lt;G201,O201&gt;=1.5),"売り▼",IF(E201&gt;G201,"様子見▲","中立→")))</f>
        <v>様子見▲</v>
      </c>
      <c r="R201" s="326">
        <f>IF(E201&lt;&gt;"",ROUND(E201*0.92,0),"")</f>
        <v>3288</v>
      </c>
      <c r="S201" s="326">
        <f>IF(E201&lt;&gt;"",ROUND(E201*1.04,0),"")</f>
        <v>3717</v>
      </c>
      <c r="T201" s="325">
        <f>IF(C201="","",IFERROR(IF(W201&gt;=70,3,IF(W201&gt;=60,2,IF(W201&gt;=50,1,0)))+IF(X201&lt;0,2,0)+IF(AD201="下降トレンド▼",3,IF(AD201="もみ合い→",1,0))+IF(V201="年初来安値圏●",3,IF(V201="安値圏",2,0))+IF(Q201="売り▼",2,0)+IF(P201="急増↑↑",2,IF(P201="増加↑",1,0))+IF(Z201&lt;0,1,0)+IF(L201&lt;=-30,2,IF(L201&lt;=-15,1,0))+IF(AE201="25日戻り売り★",2,IF(AE201="5日戻り売り○",1,0))+N(AL201)+N(AP201)+N(AU201),0))</f>
        <v>-2</v>
      </c>
      <c r="U201" s="325" t="str">
        <f>IF(T201="","",IF(AND(T201&gt;=3,O201&gt;=1.5),"有効",IF(T201&gt;=3,"要確認","除外")))</f>
        <v>除外</v>
      </c>
      <c r="V201" s="325" t="str">
        <f>IF(AND(I201&lt;&gt;"",K201&lt;&gt;""),IF(I201&lt;=K201*0.6,"年初来安値圏●",IF(I201&lt;=K201*0.75,"安値圏","通常")),"")</f>
        <v>通常</v>
      </c>
      <c r="W201" s="329">
        <f t="array" ref="W201">IFERROR(100-100/(1+SUMPRODUCT((終値!F45:R45&gt;終値!G45:S45)*(終値!F45:R45-終値!G45:S45))/SUMPRODUCT((終値!F45:R45&lt;終値!G45:S45)*(終値!G45:S45-終値!F45:R45))),50)</f>
        <v>42.514395393474096</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12.36828677076528</v>
      </c>
      <c r="Y201" s="325" t="str">
        <f>IF(AF201="","",AF201&amp;" | "&amp;AD201&amp;IF(AE201&lt;&gt;"なし"," "&amp;AE201,"")&amp;IF(X201&lt;0," MACD-"," MACD+")&amp;" RSI:"&amp;TEXT(W201,"0.0")&amp;IF(W201&gt;=70," [過熱]",IF(W201&lt;=30," [売られ過ぎ]",""))&amp;" 前日比:"&amp;TEXT(Z201,"+0.0;-0.0;0.0")&amp;"%"&amp;IF(V201="年初来安値圏●"," [年初来安値圏]",IF(V201="安値圏"," [安値圏]",""))&amp;IF(OR(AO201="通常",AO201="-"),""," ["&amp;AO201&amp;"]")&amp;IF(OR(AT201="通常",AT201="-"),"","前日["&amp;AT201&amp;"]")&amp;" ["&amp;T201&amp;"点]")</f>
        <v>相場上昇・見送り | 上昇トレンド▲ MACD+ RSI:42.5 前日比:+0.9% [-2点]</v>
      </c>
      <c r="Z201" s="331">
        <f>IF(AND(E201&lt;&gt;"",G201&lt;&gt;"",G201&lt;&gt;0),(E201-G201)/G201*100,"")</f>
        <v>0.93194012990680597</v>
      </c>
      <c r="AA201" s="325" t="str">
        <f>IF(OR(C201="",E201="",E201=0),"",IF(E201&gt;G201,"上昇▲",IF(E201&lt;G201,"下落▼","横ばい→")))</f>
        <v>上昇▲</v>
      </c>
      <c r="AB201" s="326">
        <f>IF(OR(C201="",C201="TOPX",終値!E45=""),"",IFERROR(((終値!E45*0.333)+(終値!F45*0.222)+(終値!G45*0.148)+(終値!H45*0.099)+(終値!I45*0.066))/(0.333+0.222+0.148+0.099+0.066),""))</f>
        <v>3546.8006912442393</v>
      </c>
      <c r="AC201" s="326">
        <f>IF(OR(C201="",C201="TOPX",終値!E45=""),"",IFERROR(SUMPRODUCT((終値!E45:AC45),{0.077,0.071,0.065,0.06,0.055,0.051,0.047,0.043,0.039,0.036,0.033,0.031,0.028,0.026,0.024,0.022,0.02,0.018,0.017,0.016,0.014,0.013,0.012,0.011,0.01})/SUM({0.077,0.071,0.065,0.06,0.055,0.051,0.047,0.043,0.039,0.036,0.033,0.031,0.028,0.026,0.024,0.022,0.02,0.018,0.017,0.016,0.014,0.013,0.012,0.011,0.01}),""))</f>
        <v>3572.4743742550636</v>
      </c>
      <c r="AD201" s="325" t="str">
        <f>IF(OR(C201="",AB201="",AC201="",AB201=0,AC201=0),"",IF(AND(E201&gt;AB201,AB201&gt;AC201),"パーフェクト▲",IF(E201&gt;AC201,"上昇トレンド▲",IF(AND(E201&lt;AB201,AB201&lt;AC201),"下降トレンド▼","もみ合い→"))))</f>
        <v>上昇トレンド▲</v>
      </c>
      <c r="AE201" s="325" t="str">
        <f>IF(OR(C201="",AB201="",AC201=""),"",IF(AND(ABS(E201-AC201)/AC201&lt;=0.02,E201&lt;AC201),"25日戻り売り★",IF(AND(ABS(E201-AB201)/AB201&lt;=0.01,E201&lt;AB201),"5日戻り売り○","なし")))</f>
        <v>なし</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相場上昇・見送り</v>
      </c>
      <c r="AG201">
        <f>IF(AND(T201&gt;=7,C201&lt;&gt;""),T201,0)</f>
        <v>0</v>
      </c>
      <c r="AH201">
        <f>IF(AG201&gt;0,AG201*10000-ROW(A201),0)</f>
        <v>0</v>
      </c>
      <c r="AI201" s="373">
        <f t="array" ref="AI201">IF(C201="","",IFERROR((INDEX(終値!$E:$E,MATCH(TEXT(C201,"0"),終値!$A:$A,0))-INDEX(終値!$E:$CZ,MATCH(TEXT(C201,"0"),終値!$A:$A,0),$AN$2))/INDEX(終値!$E:$CZ,MATCH(TEXT(C201,"0"),終値!$A:$A,0),$AN$2)*100,""))</f>
        <v>10.07083461656914</v>
      </c>
      <c r="AJ201" s="373">
        <f t="array" ref="AJ201">IFERROR((終値!$E$5-INDEX(終値!$E$5:$IT$5,1,$AN$2))/INDEX(終値!$E$5:$IT$5,1,$AN$2)*100,"")</f>
        <v>1.0179378228534113</v>
      </c>
      <c r="AK201" s="374">
        <f>IF(OR(AI201="",AJ201=""),"",AI201-AJ201)</f>
        <v>9.0528967937157283</v>
      </c>
      <c r="AL201" s="372">
        <f>IF(AK201="","",IF(AK201&lt;-5,3,IF(AK201&lt;0,1,IF(AK201&lt;3,-1,-2))))</f>
        <v>-2</v>
      </c>
      <c r="AO201" s="376" t="str">
        <f>IF(OR($C201="",$E201="",$F201="",$H201="",$I201="",$H201-$I201&lt;=0),"-",IF(AND($H201-MAX($F201,$E201)&gt;=ABS($E201-$F201)*2,MIN($F201,$E201)-$I201&lt;=ABS($E201-$F201)*0.5,ABS($E201-$F201)&gt;0),"上ヒゲ陰線▼",IF(AND($E201&lt;$F201,ABS($E201-$F201)&gt;=($H201-$I201)*0.7),"大陰線▼",IF(AND(MIN($F201,$E201)-$I201&gt;=($H201-$I201)*0.5,$H201-MAX($F201,$E201)&lt;=($H201-$I201)*0.2),"長い下ヒゲ(反発警戒)","通常"))))</f>
        <v>通常</v>
      </c>
      <c r="AP201" s="377">
        <f>IF($AO201="上ヒゲ陰線▼",2,IF($AO201="大陰線▼",2,IF($AO201="長い下ヒゲ(反発警戒)",-2,0)))</f>
        <v>0</v>
      </c>
      <c r="AQ201">
        <f>IF(C201&lt;&gt;"",始値!F45,"")</f>
        <v>3480</v>
      </c>
      <c r="AR201">
        <f>IF(C201&lt;&gt;"",高値!F45,"")</f>
        <v>3558</v>
      </c>
      <c r="AS201">
        <f>IF(C201&lt;&gt;"",安値!F45,"")</f>
        <v>3449</v>
      </c>
      <c r="AT201" t="str">
        <f>IF(OR(C201="",AQ201="",AR201="",AS201="",AR201-AS201&lt;=0),"-",IF(AND(AR201-MAX(G201,AQ201)&gt;=ABS(G201-AQ201)*2,MIN(G201,AQ201)-AS201&lt;=ABS(G201-AQ201)*0.5,ABS(G201-AQ201)&gt;0),"上ヒゲ陰線▼",IF(AND(G201&lt;AQ201,ABS(G201-AQ201)&gt;=(AR201-AS201)*0.7),"大陰線▼",IF(AND(MIN(G201,AQ201)-AS201&gt;=(AR201-AS201)*0.5,AR201-MAX(G201,AQ201)&lt;=(AR201-AS201)*0.2),"長い下ヒゲ(反発)","通常"))))</f>
        <v>通常</v>
      </c>
      <c r="AU201">
        <f>IF(AT201="上ヒゲ陰線▼",2,IF(AT201="大陰線▼",2,IF(AT201="長い下ヒゲ(反発)",-2,0)))</f>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1813.5</v>
      </c>
      <c r="F202" s="333">
        <f>IF(C202&lt;&gt;"",_xll.RssMarket(C202,"始値"),"")</f>
        <v>1768</v>
      </c>
      <c r="G202" s="212">
        <f>IF(C202&lt;&gt;"",終値!F75,"")</f>
        <v>1775.5</v>
      </c>
      <c r="H202" s="333">
        <f>IF(C202&lt;&gt;"",_xll.RssMarket(C202,"高値"),"")</f>
        <v>1814.5</v>
      </c>
      <c r="I202" s="333">
        <f>IF(C202&lt;&gt;"",_xll.RssMarket(C202,"安値"),"")</f>
        <v>1768</v>
      </c>
      <c r="J202" s="333">
        <f>IF(C202&lt;&gt;"",_xll.RssMarket(C202,"出来高"),"")</f>
        <v>248900</v>
      </c>
      <c r="K202" s="333">
        <f>IF(C202&lt;&gt;"",_xll.RssMarket(C202,"年初来高値"),"")</f>
        <v>1862.5</v>
      </c>
      <c r="L202" s="334">
        <f>IF(AND(E202&lt;&gt;"",K202&lt;&gt;"",K202&lt;&gt;0),(E202-K202)/K202*100,"")</f>
        <v>-2.6308724832214763</v>
      </c>
      <c r="M202" s="333">
        <f>IF(C202&lt;&gt;"",IFERROR(AVERAGE(出来高!E75:I75),""),"")</f>
        <v>221900</v>
      </c>
      <c r="N202" s="333">
        <f>IF(C202&lt;&gt;"",IFERROR(AVERAGE(出来高!E75:AC75),""),"")</f>
        <v>202564</v>
      </c>
      <c r="O202" s="335">
        <f>IF(AND(J202&lt;&gt;"",M202&lt;&gt;"",M202&lt;&gt;0),J202/M202,"")</f>
        <v>1.1216764308246958</v>
      </c>
      <c r="P202" s="212" t="str">
        <f>IF(O202="","",IF(O202&gt;=2,"急増↑↑",IF(O202&gt;=1.5,"増加↑",IF(O202&gt;=1,"普通→","減少↓"))))</f>
        <v>普通→</v>
      </c>
      <c r="Q202" s="212" t="str">
        <f>IF(E202="","",IF(AND(E202&lt;G202,O202&gt;=1.5),"売り▼",IF(E202&gt;G202,"様子見▲","中立→")))</f>
        <v>様子見▲</v>
      </c>
      <c r="R202" s="333">
        <f>IF(E202&lt;&gt;"",ROUND(E202*0.92,0),"")</f>
        <v>1668</v>
      </c>
      <c r="S202" s="333">
        <f>IF(E202&lt;&gt;"",ROUND(E202*1.04,0),"")</f>
        <v>1886</v>
      </c>
      <c r="T202" s="325">
        <f>IF(C202="","",IFERROR(IF(W202&gt;=70,3,IF(W202&gt;=60,2,IF(W202&gt;=50,1,0)))+IF(X202&lt;0,2,0)+IF(AD202="下降トレンド▼",3,IF(AD202="もみ合い→",1,0))+IF(V202="年初来安値圏●",3,IF(V202="安値圏",2,0))+IF(Q202="売り▼",2,0)+IF(P202="急増↑↑",2,IF(P202="増加↑",1,0))+IF(Z202&lt;0,1,0)+IF(L202&lt;=-30,2,IF(L202&lt;=-15,1,0))+IF(AE202="25日戻り売り★",2,IF(AE202="5日戻り売り○",1,0))+N(AL202)+N(AP202)+N(AU202),0))</f>
        <v>-4</v>
      </c>
      <c r="U202" s="212" t="str">
        <f>IF(T202="","",IF(AND(T202&gt;=3,O202&gt;=1.5),"有効",IF(T202&gt;=3,"要確認","除外")))</f>
        <v>除外</v>
      </c>
      <c r="V202" s="212" t="str">
        <f>IF(AND(I202&lt;&gt;"",K202&lt;&gt;""),IF(I202&lt;=K202*0.6,"年初来安値圏●",IF(I202&lt;=K202*0.75,"安値圏","通常")),"")</f>
        <v>通常</v>
      </c>
      <c r="W202" s="336">
        <f t="array" ref="W202">IFERROR(100-100/(1+SUMPRODUCT((終値!F75:R75&gt;終値!G75:S75)*(終値!F75:R75-終値!G75:S75))/SUMPRODUCT((終値!F75:R75&lt;終値!G75:S75)*(終値!G75:S75-終値!F75:R75))),50)</f>
        <v>47.010309278350512</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4.7116988206453243</v>
      </c>
      <c r="Y202" s="212" t="str">
        <f>IF(AF202="","",AF202&amp;" | "&amp;AD202&amp;IF(AE202&lt;&gt;"なし"," "&amp;AE202,"")&amp;IF(X202&lt;0," MACD-"," MACD+")&amp;" RSI:"&amp;TEXT(W202,"0.0")&amp;IF(W202&gt;=70," [過熱]",IF(W202&lt;=30," [売られ過ぎ]",""))&amp;" 前日比:"&amp;TEXT(Z202,"+0.0;-0.0;0.0")&amp;"%"&amp;IF(V202="年初来安値圏●"," [年初来安値圏]",IF(V202="安値圏"," [安値圏]",""))&amp;IF(OR(AO202="通常",AO202="-"),""," ["&amp;AO202&amp;"]")&amp;IF(OR(AT202="通常",AT202="-"),"","前日["&amp;AT202&amp;"]")&amp;" ["&amp;T202&amp;"点]")</f>
        <v>相場上昇・見送り | パーフェクト▲ MACD+ RSI:47.0 前日比:+2.1%前日[長い下ヒゲ(反発)] [-4点]</v>
      </c>
      <c r="Z202" s="338">
        <f>IF(AND(E202&lt;&gt;"",G202&lt;&gt;"",G202&lt;&gt;0),(E202-G202)/G202*100,"")</f>
        <v>2.1402421852999156</v>
      </c>
      <c r="AA202" s="212" t="str">
        <f>IF(OR(C202="",E202="",E202=0),"",IF(E202&gt;G202,"上昇▲",IF(E202&lt;G202,"下落▼","横ばい→")))</f>
        <v>上昇▲</v>
      </c>
      <c r="AB202" s="333">
        <f>IF(OR(C202="",C202="TOPX",終値!E75=""),"",IFERROR(((終値!E75*0.333)+(終値!F75*0.222)+(終値!G75*0.148)+(終値!H75*0.099)+(終値!I75*0.066))/(0.333+0.222+0.148+0.099+0.066),""))</f>
        <v>1794.5080645161288</v>
      </c>
      <c r="AC202" s="333">
        <f>IF(OR(C202="",C202="TOPX",終値!E75=""),"",IFERROR(SUMPRODUCT((終値!E75:AC75),{0.077,0.071,0.065,0.06,0.055,0.051,0.047,0.043,0.039,0.036,0.033,0.031,0.028,0.026,0.024,0.022,0.02,0.018,0.017,0.016,0.014,0.013,0.012,0.011,0.01})/SUM({0.077,0.071,0.065,0.06,0.055,0.051,0.047,0.043,0.039,0.036,0.033,0.031,0.028,0.026,0.024,0.022,0.02,0.018,0.017,0.016,0.014,0.013,0.012,0.011,0.01}),""))</f>
        <v>1791.4845053635272</v>
      </c>
      <c r="AD202" s="212" t="str">
        <f>IF(OR(C202="",AB202="",AC202="",AB202=0,AC202=0),"",IF(AND(E202&gt;AB202,AB202&gt;AC202),"パーフェクト▲",IF(E202&gt;AC202,"上昇トレンド▲",IF(AND(E202&lt;AB202,AB202&lt;AC202),"下降トレンド▼","もみ合い→"))))</f>
        <v>パーフェクト▲</v>
      </c>
      <c r="AE202" s="212" t="str">
        <f>IF(OR(C202="",AB202="",AC202=""),"",IF(AND(ABS(E202-AC202)/AC202&lt;=0.02,E202&lt;AC202),"25日戻り売り★",IF(AND(ABS(E202-AB202)/AB202&lt;=0.01,E202&lt;AB202),"5日戻り売り○","なし")))</f>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相場上昇・見送り</v>
      </c>
      <c r="AG202">
        <f>IF(AND(T202&gt;=7,C202&lt;&gt;""),T202,0)</f>
        <v>0</v>
      </c>
      <c r="AH202">
        <f>IF(AG202&gt;0,AG202*10000-ROW(A202),0)</f>
        <v>0</v>
      </c>
      <c r="AI202" s="373">
        <f t="array" ref="AI202">IF(C202="","",IFERROR((INDEX(終値!$E:$E,MATCH(TEXT(C202,"0"),終値!$A:$A,0))-INDEX(終値!$E:$CZ,MATCH(TEXT(C202,"0"),終値!$A:$A,0),$AN$2))/INDEX(終値!$E:$CZ,MATCH(TEXT(C202,"0"),終値!$A:$A,0),$AN$2)*100,""))</f>
        <v>7.0859167404783001</v>
      </c>
      <c r="AJ202" s="373">
        <f t="array" ref="AJ202">IFERROR((終値!$E$5-INDEX(終値!$E$5:$IT$5,1,$AN$2))/INDEX(終値!$E$5:$IT$5,1,$AN$2)*100,"")</f>
        <v>1.0179378228534113</v>
      </c>
      <c r="AK202" s="374">
        <f>IF(OR(AI202="",AJ202=""),"",AI202-AJ202)</f>
        <v>6.0679789176248891</v>
      </c>
      <c r="AL202" s="372">
        <f>IF(AK202="","",IF(AK202&lt;-5,3,IF(AK202&lt;0,1,IF(AK202&lt;3,-1,-2))))</f>
        <v>-2</v>
      </c>
      <c r="AO202" s="376" t="str">
        <f>IF(OR($C202="",$E202="",$F202="",$H202="",$I202="",$H202-$I202&lt;=0),"-",IF(AND($H202-MAX($F202,$E202)&gt;=ABS($E202-$F202)*2,MIN($F202,$E202)-$I202&lt;=ABS($E202-$F202)*0.5,ABS($E202-$F202)&gt;0),"上ヒゲ陰線▼",IF(AND($E202&lt;$F202,ABS($E202-$F202)&gt;=($H202-$I202)*0.7),"大陰線▼",IF(AND(MIN($F202,$E202)-$I202&gt;=($H202-$I202)*0.5,$H202-MAX($F202,$E202)&lt;=($H202-$I202)*0.2),"長い下ヒゲ(反発警戒)","通常"))))</f>
        <v>通常</v>
      </c>
      <c r="AP202" s="377">
        <f>IF($AO202="上ヒゲ陰線▼",2,IF($AO202="大陰線▼",2,IF($AO202="長い下ヒゲ(反発警戒)",-2,0)))</f>
        <v>0</v>
      </c>
      <c r="AQ202">
        <f>IF(C202&lt;&gt;"",始値!F75,"")</f>
        <v>1789.5</v>
      </c>
      <c r="AR202">
        <f>IF(C202&lt;&gt;"",高値!F75,"")</f>
        <v>1789.5</v>
      </c>
      <c r="AS202">
        <f>IF(C202&lt;&gt;"",安値!F75,"")</f>
        <v>1758.5</v>
      </c>
      <c r="AT202" t="str">
        <f>IF(OR(C202="",AQ202="",AR202="",AS202="",AR202-AS202&lt;=0),"-",IF(AND(AR202-MAX(G202,AQ202)&gt;=ABS(G202-AQ202)*2,MIN(G202,AQ202)-AS202&lt;=ABS(G202-AQ202)*0.5,ABS(G202-AQ202)&gt;0),"上ヒゲ陰線▼",IF(AND(G202&lt;AQ202,ABS(G202-AQ202)&gt;=(AR202-AS202)*0.7),"大陰線▼",IF(AND(MIN(G202,AQ202)-AS202&gt;=(AR202-AS202)*0.5,AR202-MAX(G202,AQ202)&lt;=(AR202-AS202)*0.2),"長い下ヒゲ(反発)","通常"))))</f>
        <v>長い下ヒゲ(反発)</v>
      </c>
      <c r="AU202">
        <f>IF(AT202="上ヒゲ陰線▼",2,IF(AT202="大陰線▼",2,IF(AT202="長い下ヒゲ(反発)",-2,0)))</f>
        <v>-2</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5967</v>
      </c>
      <c r="F203" s="326">
        <f>IF(C203&lt;&gt;"",_xll.RssMarket(C203,"始値"),"")</f>
        <v>5988</v>
      </c>
      <c r="G203" s="325">
        <f>IF(C203&lt;&gt;"",終値!F115,"")</f>
        <v>5937</v>
      </c>
      <c r="H203" s="326">
        <f>IF(C203&lt;&gt;"",_xll.RssMarket(C203,"高値"),"")</f>
        <v>6024</v>
      </c>
      <c r="I203" s="326">
        <f>IF(C203&lt;&gt;"",_xll.RssMarket(C203,"安値"),"")</f>
        <v>5925</v>
      </c>
      <c r="J203" s="326">
        <f>IF(C203&lt;&gt;"",_xll.RssMarket(C203,"出来高"),"")</f>
        <v>862300</v>
      </c>
      <c r="K203" s="326">
        <f>IF(C203&lt;&gt;"",_xll.RssMarket(C203,"年初来高値"),"")</f>
        <v>7967</v>
      </c>
      <c r="L203" s="327">
        <f>IF(AND(E203&lt;&gt;"",K203&lt;&gt;"",K203&lt;&gt;0),(E203-K203)/K203*100,"")</f>
        <v>-25.1035521526296</v>
      </c>
      <c r="M203" s="326">
        <f>IF(C203&lt;&gt;"",IFERROR(AVERAGE(出来高!E115:I115),""),"")</f>
        <v>1019980</v>
      </c>
      <c r="N203" s="326">
        <f>IF(C203&lt;&gt;"",IFERROR(AVERAGE(出来高!E115:AC115),""),"")</f>
        <v>1033772</v>
      </c>
      <c r="O203" s="328">
        <f>IF(AND(J203&lt;&gt;"",M203&lt;&gt;"",M203&lt;&gt;0),J203/M203,"")</f>
        <v>0.84540873350457857</v>
      </c>
      <c r="P203" s="325" t="str">
        <f>IF(O203="","",IF(O203&gt;=2,"急増↑↑",IF(O203&gt;=1.5,"増加↑",IF(O203&gt;=1,"普通→","減少↓"))))</f>
        <v>減少↓</v>
      </c>
      <c r="Q203" s="325" t="str">
        <f>IF(E203="","",IF(AND(E203&lt;G203,O203&gt;=1.5),"売り▼",IF(E203&gt;G203,"様子見▲","中立→")))</f>
        <v>様子見▲</v>
      </c>
      <c r="R203" s="326">
        <f>IF(E203&lt;&gt;"",ROUND(E203*0.92,0),"")</f>
        <v>5490</v>
      </c>
      <c r="S203" s="326">
        <f>IF(E203&lt;&gt;"",ROUND(E203*1.04,0),"")</f>
        <v>6206</v>
      </c>
      <c r="T203" s="325">
        <f>IF(C203="","",IFERROR(IF(W203&gt;=70,3,IF(W203&gt;=60,2,IF(W203&gt;=50,1,0)))+IF(X203&lt;0,2,0)+IF(AD203="下降トレンド▼",3,IF(AD203="もみ合い→",1,0))+IF(V203="年初来安値圏●",3,IF(V203="安値圏",2,0))+IF(Q203="売り▼",2,0)+IF(P203="急増↑↑",2,IF(P203="増加↑",1,0))+IF(Z203&lt;0,1,0)+IF(L203&lt;=-30,2,IF(L203&lt;=-15,1,0))+IF(AE203="25日戻り売り★",2,IF(AE203="5日戻り売り○",1,0))+N(AL203)+N(AP203)+N(AU203),0))</f>
        <v>8</v>
      </c>
      <c r="U203" s="325" t="str">
        <f>IF(T203="","",IF(AND(T203&gt;=3,O203&gt;=1.5),"有効",IF(T203&gt;=3,"要確認","除外")))</f>
        <v>要確認</v>
      </c>
      <c r="V203" s="325" t="str">
        <f>IF(AND(I203&lt;&gt;"",K203&lt;&gt;""),IF(I203&lt;=K203*0.6,"年初来安値圏●",IF(I203&lt;=K203*0.75,"安値圏","通常")),"")</f>
        <v>安値圏</v>
      </c>
      <c r="W203" s="329">
        <f t="array" ref="W203">IFERROR(100-100/(1+SUMPRODUCT((終値!F115:R115&gt;終値!G115:S115)*(終値!F115:R115-終値!G115:S115))/SUMPRODUCT((終値!F115:R115&lt;終値!G115:S115)*(終値!G115:S115-終値!F115:R115))),50)</f>
        <v>39.567233384853175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5.2677390850958545</v>
      </c>
      <c r="Y203" s="325" t="str">
        <f>IF(AF203="","",AF203&amp;" | "&amp;AD203&amp;IF(AE203&lt;&gt;"なし"," "&amp;AE203,"")&amp;IF(X203&lt;0," MACD-"," MACD+")&amp;" RSI:"&amp;TEXT(W203,"0.0")&amp;IF(W203&gt;=70," [過熱]",IF(W203&lt;=30," [売られ過ぎ]",""))&amp;" 前日比:"&amp;TEXT(Z203,"+0.0;-0.0;0.0")&amp;"%"&amp;IF(V203="年初来安値圏●"," [年初来安値圏]",IF(V203="安値圏"," [安値圏]",""))&amp;IF(OR(AO203="通常",AO203="-"),""," ["&amp;AO203&amp;"]")&amp;IF(OR(AT203="通常",AT203="-"),"","前日["&amp;AT203&amp;"]")&amp;" ["&amp;T203&amp;"点]")</f>
        <v>★逆張り売り | 下降トレンド▼ 5日戻り売り○ MACD+ RSI:39.6 前日比:+0.5% [安値圏] [8点]</v>
      </c>
      <c r="Z203" s="331">
        <f>IF(AND(E203&lt;&gt;"",G203&lt;&gt;"",G203&lt;&gt;0),(E203-G203)/G203*100,"")</f>
        <v>0.50530570995452251</v>
      </c>
      <c r="AA203" s="325" t="str">
        <f>IF(OR(C203="",E203="",E203=0),"",IF(E203&gt;G203,"上昇▲",IF(E203&lt;G203,"下落▼","横ばい→")))</f>
        <v>上昇▲</v>
      </c>
      <c r="AB203" s="326">
        <f>IF(OR(C203="",C203="TOPX",終値!E115=""),"",IFERROR(((終値!E115*0.333)+(終値!F115*0.222)+(終値!G115*0.148)+(終値!H115*0.099)+(終値!I115*0.066))/(0.333+0.222+0.148+0.099+0.066),""))</f>
        <v>6015.0023041474642</v>
      </c>
      <c r="AC203" s="326">
        <f>IF(OR(C203="",C203="TOPX",終値!E115=""),"",IFERROR(SUMPRODUCT((終値!E115:AC115),{0.077,0.071,0.065,0.06,0.055,0.051,0.047,0.043,0.039,0.036,0.033,0.031,0.028,0.026,0.024,0.022,0.02,0.018,0.017,0.016,0.014,0.013,0.012,0.011,0.01})/SUM({0.077,0.071,0.065,0.06,0.055,0.051,0.047,0.043,0.039,0.036,0.033,0.031,0.028,0.026,0.024,0.022,0.02,0.018,0.017,0.016,0.014,0.013,0.012,0.011,0.01}),""))</f>
        <v>6116.6102502979729</v>
      </c>
      <c r="AD203" s="325" t="str">
        <f>IF(OR(C203="",AB203="",AC203="",AB203=0,AC203=0),"",IF(AND(E203&gt;AB203,AB203&gt;AC203),"パーフェクト▲",IF(E203&gt;AC203,"上昇トレンド▲",IF(AND(E203&lt;AB203,AB203&lt;AC203),"下降トレンド▼","もみ合い→"))))</f>
        <v>下降トレンド▼</v>
      </c>
      <c r="AE203" s="325" t="str">
        <f>IF(OR(C203="",AB203="",AC203=""),"",IF(AND(ABS(E203-AC203)/AC203&lt;=0.02,E203&lt;AC203),"25日戻り売り★",IF(AND(ABS(E203-AB203)/AB203&lt;=0.01,E203&lt;AB203),"5日戻り売り○","なし")))</f>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★逆張り売り</v>
      </c>
      <c r="AG203">
        <f>IF(AND(T203&gt;=7,C203&lt;&gt;""),T203,0)</f>
        <v>8</v>
      </c>
      <c r="AH203">
        <f>IF(AG203&gt;0,AG203*10000-ROW(A203),0)</f>
        <v>79797</v>
      </c>
      <c r="AI203" s="373">
        <f t="array" ref="AI203">IF(C203="","",IFERROR((INDEX(終値!$E:$E,MATCH(TEXT(C203,"0"),終値!$A:$A,0))-INDEX(終値!$E:$CZ,MATCH(TEXT(C203,"0"),終値!$A:$A,0),$AN$2))/INDEX(終値!$E:$CZ,MATCH(TEXT(C203,"0"),終値!$A:$A,0),$AN$2)*100,""))</f>
        <v>-0.33405712376816438</v>
      </c>
      <c r="AJ203" s="373">
        <f t="array" ref="AJ203">IFERROR((終値!$E$5-INDEX(終値!$E$5:$IT$5,1,$AN$2))/INDEX(終値!$E$5:$IT$5,1,$AN$2)*100,"")</f>
        <v>1.0179378228534113</v>
      </c>
      <c r="AK203" s="374">
        <f>IF(OR(AI203="",AJ203=""),"",AI203-AJ203)</f>
        <v>-1.3519949466215757</v>
      </c>
      <c r="AL203" s="372">
        <f>IF(AK203="","",IF(AK203&lt;-5,3,IF(AK203&lt;0,1,IF(AK203&lt;3,-1,-2))))</f>
        <v>1</v>
      </c>
      <c r="AO203" s="376" t="str">
        <f>IF(OR($C203="",$E203="",$F203="",$H203="",$I203="",$H203-$I203&lt;=0),"-",IF(AND($H203-MAX($F203,$E203)&gt;=ABS($E203-$F203)*2,MIN($F203,$E203)-$I203&lt;=ABS($E203-$F203)*0.5,ABS($E203-$F203)&gt;0),"上ヒゲ陰線▼",IF(AND($E203&lt;$F203,ABS($E203-$F203)&gt;=($H203-$I203)*0.7),"大陰線▼",IF(AND(MIN($F203,$E203)-$I203&gt;=($H203-$I203)*0.5,$H203-MAX($F203,$E203)&lt;=($H203-$I203)*0.2),"長い下ヒゲ(反発警戒)","通常"))))</f>
        <v>通常</v>
      </c>
      <c r="AP203" s="377">
        <f>IF($AO203="上ヒゲ陰線▼",2,IF($AO203="大陰線▼",2,IF($AO203="長い下ヒゲ(反発警戒)",-2,0)))</f>
        <v>0</v>
      </c>
      <c r="AQ203">
        <f>IF(C203&lt;&gt;"",始値!F115,"")</f>
        <v>6059</v>
      </c>
      <c r="AR203">
        <f>IF(C203&lt;&gt;"",高値!F115,"")</f>
        <v>6079</v>
      </c>
      <c r="AS203">
        <f>IF(C203&lt;&gt;"",安値!F115,"")</f>
        <v>5901</v>
      </c>
      <c r="AT203" t="str">
        <f>IF(OR(C203="",AQ203="",AR203="",AS203="",AR203-AS203&lt;=0),"-",IF(AND(AR203-MAX(G203,AQ203)&gt;=ABS(G203-AQ203)*2,MIN(G203,AQ203)-AS203&lt;=ABS(G203-AQ203)*0.5,ABS(G203-AQ203)&gt;0),"上ヒゲ陰線▼",IF(AND(G203&lt;AQ203,ABS(G203-AQ203)&gt;=(AR203-AS203)*0.7),"大陰線▼",IF(AND(MIN(G203,AQ203)-AS203&gt;=(AR203-AS203)*0.5,AR203-MAX(G203,AQ203)&lt;=(AR203-AS203)*0.2),"長い下ヒゲ(反発)","通常"))))</f>
        <v>通常</v>
      </c>
      <c r="AU203">
        <f>IF(AT203="上ヒゲ陰線▼",2,IF(AT203="大陰線▼",2,IF(AT203="長い下ヒゲ(反発)",-2,0)))</f>
        <v>0</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2594</v>
      </c>
      <c r="F204" s="333">
        <f>IF(C204&lt;&gt;"",_xll.RssMarket(C204,"始値"),"")</f>
        <v>2565</v>
      </c>
      <c r="G204" s="212">
        <f>IF(C204&lt;&gt;"",終値!F122,"")</f>
        <v>2568</v>
      </c>
      <c r="H204" s="333">
        <f>IF(C204&lt;&gt;"",_xll.RssMarket(C204,"高値"),"")</f>
        <v>2613</v>
      </c>
      <c r="I204" s="333">
        <f>IF(C204&lt;&gt;"",_xll.RssMarket(C204,"安値"),"")</f>
        <v>2556</v>
      </c>
      <c r="J204" s="333">
        <f>IF(C204&lt;&gt;"",_xll.RssMarket(C204,"出来高"),"")</f>
        <v>1183300</v>
      </c>
      <c r="K204" s="333">
        <f>IF(C204&lt;&gt;"",_xll.RssMarket(C204,"年初来高値"),"")</f>
        <v>2661</v>
      </c>
      <c r="L204" s="334">
        <f>IF(AND(E204&lt;&gt;"",K204&lt;&gt;"",K204&lt;&gt;0),(E204-K204)/K204*100,"")</f>
        <v>-2.5178504321683577</v>
      </c>
      <c r="M204" s="333">
        <f>IF(C204&lt;&gt;"",IFERROR(AVERAGE(出来高!E122:I122),""),"")</f>
        <v>1120580</v>
      </c>
      <c r="N204" s="333">
        <f>IF(C204&lt;&gt;"",IFERROR(AVERAGE(出来高!E122:AC122),""),"")</f>
        <v>970820</v>
      </c>
      <c r="O204" s="335">
        <f>IF(AND(J204&lt;&gt;"",M204&lt;&gt;"",M204&lt;&gt;0),J204/M204,"")</f>
        <v>1.0559710150100841</v>
      </c>
      <c r="P204" s="212" t="str">
        <f>IF(O204="","",IF(O204&gt;=2,"急増↑↑",IF(O204&gt;=1.5,"増加↑",IF(O204&gt;=1,"普通→","減少↓"))))</f>
        <v>普通→</v>
      </c>
      <c r="Q204" s="212" t="str">
        <f>IF(E204="","",IF(AND(E204&lt;G204,O204&gt;=1.5),"売り▼",IF(E204&gt;G204,"様子見▲","中立→")))</f>
        <v>様子見▲</v>
      </c>
      <c r="R204" s="333">
        <f>IF(E204&lt;&gt;"",ROUND(E204*0.92,0),"")</f>
        <v>2386</v>
      </c>
      <c r="S204" s="333">
        <f>IF(E204&lt;&gt;"",ROUND(E204*1.04,0),"")</f>
        <v>2698</v>
      </c>
      <c r="T204" s="325">
        <f>IF(C204="","",IFERROR(IF(W204&gt;=70,3,IF(W204&gt;=60,2,IF(W204&gt;=50,1,0)))+IF(X204&lt;0,2,0)+IF(AD204="下降トレンド▼",3,IF(AD204="もみ合い→",1,0))+IF(V204="年初来安値圏●",3,IF(V204="安値圏",2,0))+IF(Q204="売り▼",2,0)+IF(P204="急増↑↑",2,IF(P204="増加↑",1,0))+IF(Z204&lt;0,1,0)+IF(L204&lt;=-30,2,IF(L204&lt;=-15,1,0))+IF(AE204="25日戻り売り★",2,IF(AE204="5日戻り売り○",1,0))+N(AL204)+N(AP204)+N(AU204),0))</f>
        <v>-2</v>
      </c>
      <c r="U204" s="212" t="str">
        <f>IF(T204="","",IF(AND(T204&gt;=3,O204&gt;=1.5),"有効",IF(T204&gt;=3,"要確認","除外")))</f>
        <v>除外</v>
      </c>
      <c r="V204" s="212" t="str">
        <f>IF(AND(I204&lt;&gt;"",K204&lt;&gt;""),IF(I204&lt;=K204*0.6,"年初来安値圏●",IF(I204&lt;=K204*0.75,"安値圏","通常")),"")</f>
        <v>通常</v>
      </c>
      <c r="W204" s="336">
        <f t="array" ref="W204">IFERROR(100-100/(1+SUMPRODUCT((終値!F122:R122&gt;終値!G122:S122)*(終値!F122:R122-終値!G122:S122))/SUMPRODUCT((終値!F122:R122&lt;終値!G122:S122)*(終値!G122:S122-終値!F122:R122))),50)</f>
        <v>46.553966189856958</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8.2172642384343817</v>
      </c>
      <c r="Y204" s="212" t="str">
        <f>IF(AF204="","",AF204&amp;" | "&amp;AD204&amp;IF(AE204&lt;&gt;"なし"," "&amp;AE204,"")&amp;IF(X204&lt;0," MACD-"," MACD+")&amp;" RSI:"&amp;TEXT(W204,"0.0")&amp;IF(W204&gt;=70," [過熱]",IF(W204&lt;=30," [売られ過ぎ]",""))&amp;" 前日比:"&amp;TEXT(Z204,"+0.0;-0.0;0.0")&amp;"%"&amp;IF(V204="年初来安値圏●"," [年初来安値圏]",IF(V204="安値圏"," [安値圏]",""))&amp;IF(OR(AO204="通常",AO204="-"),""," ["&amp;AO204&amp;"]")&amp;IF(OR(AT204="通常",AT204="-"),"","前日["&amp;AT204&amp;"]")&amp;" ["&amp;T204&amp;"点]")</f>
        <v>相場上昇・見送り | パーフェクト▲ MACD+ RSI:46.6 前日比:+1.0% [-2点]</v>
      </c>
      <c r="Z204" s="338">
        <f>IF(AND(E204&lt;&gt;"",G204&lt;&gt;"",G204&lt;&gt;0),(E204-G204)/G204*100,"")</f>
        <v>1.0124610591900312</v>
      </c>
      <c r="AA204" s="212" t="str">
        <f>IF(OR(C204="",E204="",E204=0),"",IF(E204&gt;G204,"上昇▲",IF(E204&lt;G204,"下落▼","横ばい→")))</f>
        <v>上昇▲</v>
      </c>
      <c r="AB204" s="333">
        <f>IF(OR(C204="",C204="TOPX",終値!E122=""),"",IFERROR(((終値!E122*0.333)+(終値!F122*0.222)+(終値!G122*0.148)+(終値!H122*0.099)+(終値!I122*0.066))/(0.333+0.222+0.148+0.099+0.066),""))</f>
        <v>2558.7505760368667</v>
      </c>
      <c r="AC204" s="333">
        <f>IF(OR(C204="",C204="TOPX",終値!E122=""),"",IFERROR(SUMPRODUCT((終値!E122:AC122),{0.077,0.071,0.065,0.06,0.055,0.051,0.047,0.043,0.039,0.036,0.033,0.031,0.028,0.026,0.024,0.022,0.02,0.018,0.017,0.016,0.014,0.013,0.012,0.011,0.01})/SUM({0.077,0.071,0.065,0.06,0.055,0.051,0.047,0.043,0.039,0.036,0.033,0.031,0.028,0.026,0.024,0.022,0.02,0.018,0.017,0.016,0.014,0.013,0.012,0.011,0.01}),""))</f>
        <v>2539.1781883194262</v>
      </c>
      <c r="AD204" s="212" t="str">
        <f>IF(OR(C204="",AB204="",AC204="",AB204=0,AC204=0),"",IF(AND(E204&gt;AB204,AB204&gt;AC204),"パーフェクト▲",IF(E204&gt;AC204,"上昇トレンド▲",IF(AND(E204&lt;AB204,AB204&lt;AC204),"下降トレンド▼","もみ合い→"))))</f>
        <v>パーフェクト▲</v>
      </c>
      <c r="AE204" s="212" t="str">
        <f>IF(OR(C204="",AB204="",AC204=""),"",IF(AND(ABS(E204-AC204)/AC204&lt;=0.02,E204&lt;AC204),"25日戻り売り★",IF(AND(ABS(E204-AB204)/AB204&lt;=0.01,E204&lt;AB204),"5日戻り売り○","なし")))</f>
        <v>なし</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相場上昇・見送り</v>
      </c>
      <c r="AG204">
        <f>IF(AND(T204&gt;=7,C204&lt;&gt;""),T204,0)</f>
        <v>0</v>
      </c>
      <c r="AH204">
        <f>IF(AG204&gt;0,AG204*10000-ROW(A204),0)</f>
        <v>0</v>
      </c>
      <c r="AI204" s="373">
        <f t="array" ref="AI204">IF(C204="","",IFERROR((INDEX(終値!$E:$E,MATCH(TEXT(C204,"0"),終値!$A:$A,0))-INDEX(終値!$E:$CZ,MATCH(TEXT(C204,"0"),終値!$A:$A,0),$AN$2))/INDEX(終値!$E:$CZ,MATCH(TEXT(C204,"0"),終値!$A:$A,0),$AN$2)*100,""))</f>
        <v>9.985160059359762</v>
      </c>
      <c r="AJ204" s="373">
        <f t="array" ref="AJ204">IFERROR((終値!$E$5-INDEX(終値!$E$5:$IT$5,1,$AN$2))/INDEX(終値!$E$5:$IT$5,1,$AN$2)*100,"")</f>
        <v>1.0179378228534113</v>
      </c>
      <c r="AK204" s="374">
        <f>IF(OR(AI204="",AJ204=""),"",AI204-AJ204)</f>
        <v>8.9672222365063501</v>
      </c>
      <c r="AL204" s="372">
        <f>IF(AK204="","",IF(AK204&lt;-5,3,IF(AK204&lt;0,1,IF(AK204&lt;3,-1,-2))))</f>
        <v>-2</v>
      </c>
      <c r="AO204" s="376" t="str">
        <f>IF(OR($C204="",$E204="",$F204="",$H204="",$I204="",$H204-$I204&lt;=0),"-",IF(AND($H204-MAX($F204,$E204)&gt;=ABS($E204-$F204)*2,MIN($F204,$E204)-$I204&lt;=ABS($E204-$F204)*0.5,ABS($E204-$F204)&gt;0),"上ヒゲ陰線▼",IF(AND($E204&lt;$F204,ABS($E204-$F204)&gt;=($H204-$I204)*0.7),"大陰線▼",IF(AND(MIN($F204,$E204)-$I204&gt;=($H204-$I204)*0.5,$H204-MAX($F204,$E204)&lt;=($H204-$I204)*0.2),"長い下ヒゲ(反発警戒)","通常"))))</f>
        <v>通常</v>
      </c>
      <c r="AP204" s="377">
        <f>IF($AO204="上ヒゲ陰線▼",2,IF($AO204="大陰線▼",2,IF($AO204="長い下ヒゲ(反発警戒)",-2,0)))</f>
        <v>0</v>
      </c>
      <c r="AQ204">
        <f>IF(C204&lt;&gt;"",始値!F122,"")</f>
        <v>2496.5</v>
      </c>
      <c r="AR204">
        <f>IF(C204&lt;&gt;"",高値!F122,"")</f>
        <v>2570</v>
      </c>
      <c r="AS204">
        <f>IF(C204&lt;&gt;"",安値!F122,"")</f>
        <v>2496.5</v>
      </c>
      <c r="AT204" t="str">
        <f>IF(OR(C204="",AQ204="",AR204="",AS204="",AR204-AS204&lt;=0),"-",IF(AND(AR204-MAX(G204,AQ204)&gt;=ABS(G204-AQ204)*2,MIN(G204,AQ204)-AS204&lt;=ABS(G204-AQ204)*0.5,ABS(G204-AQ204)&gt;0),"上ヒゲ陰線▼",IF(AND(G204&lt;AQ204,ABS(G204-AQ204)&gt;=(AR204-AS204)*0.7),"大陰線▼",IF(AND(MIN(G204,AQ204)-AS204&gt;=(AR204-AS204)*0.5,AR204-MAX(G204,AQ204)&lt;=(AR204-AS204)*0.2),"長い下ヒゲ(反発)","通常"))))</f>
        <v>通常</v>
      </c>
      <c r="AU204">
        <f>IF(AT204="上ヒゲ陰線▼",2,IF(AT204="大陰線▼",2,IF(AT204="長い下ヒゲ(反発)",-2,0)))</f>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6764</v>
      </c>
      <c r="F205" s="326">
        <f>IF(C205&lt;&gt;"",_xll.RssMarket(C205,"始値"),"")</f>
        <v>6620</v>
      </c>
      <c r="G205" s="325">
        <f>IF(C205&lt;&gt;"",終値!F130,"")</f>
        <v>6688</v>
      </c>
      <c r="H205" s="326">
        <f>IF(C205&lt;&gt;"",_xll.RssMarket(C205,"高値"),"")</f>
        <v>6764</v>
      </c>
      <c r="I205" s="326">
        <f>IF(C205&lt;&gt;"",_xll.RssMarket(C205,"安値"),"")</f>
        <v>6578</v>
      </c>
      <c r="J205" s="326">
        <f>IF(C205&lt;&gt;"",_xll.RssMarket(C205,"出来高"),"")</f>
        <v>3147300</v>
      </c>
      <c r="K205" s="326">
        <f>IF(C205&lt;&gt;"",_xll.RssMarket(C205,"年初来高値"),"")</f>
        <v>10700</v>
      </c>
      <c r="L205" s="327">
        <f>IF(AND(E205&lt;&gt;"",K205&lt;&gt;"",K205&lt;&gt;0),(E205-K205)/K205*100,"")</f>
        <v>-36.785046728971963</v>
      </c>
      <c r="M205" s="326">
        <f>IF(C205&lt;&gt;"",IFERROR(AVERAGE(出来高!E130:I130),""),"")</f>
        <v>3070460</v>
      </c>
      <c r="N205" s="326">
        <f>IF(C205&lt;&gt;"",IFERROR(AVERAGE(出来高!E130:AC130),""),"")</f>
        <v>2849779.1666666665</v>
      </c>
      <c r="O205" s="328">
        <f>IF(AND(J205&lt;&gt;"",M205&lt;&gt;"",M205&lt;&gt;0),J205/M205,"")</f>
        <v>1.0250255662018068</v>
      </c>
      <c r="P205" s="325" t="str">
        <f>IF(O205="","",IF(O205&gt;=2,"急増↑↑",IF(O205&gt;=1.5,"増加↑",IF(O205&gt;=1,"普通→","減少↓"))))</f>
        <v>普通→</v>
      </c>
      <c r="Q205" s="325" t="str">
        <f>IF(E205="","",IF(AND(E205&lt;G205,O205&gt;=1.5),"売り▼",IF(E205&gt;G205,"様子見▲","中立→")))</f>
        <v>様子見▲</v>
      </c>
      <c r="R205" s="326">
        <f>IF(E205&lt;&gt;"",ROUND(E205*0.92,0),"")</f>
        <v>6223</v>
      </c>
      <c r="S205" s="326">
        <f>IF(E205&lt;&gt;"",ROUND(E205*1.04,0),"")</f>
        <v>7035</v>
      </c>
      <c r="T205" s="325">
        <f>IF(C205="","",IFERROR(IF(W205&gt;=70,3,IF(W205&gt;=60,2,IF(W205&gt;=50,1,0)))+IF(X205&lt;0,2,0)+IF(AD205="下降トレンド▼",3,IF(AD205="もみ合い→",1,0))+IF(V205="年初来安値圏●",3,IF(V205="安値圏",2,0))+IF(Q205="売り▼",2,0)+IF(P205="急増↑↑",2,IF(P205="増加↑",1,0))+IF(Z205&lt;0,1,0)+IF(L205&lt;=-30,2,IF(L205&lt;=-15,1,0))+IF(AE205="25日戻り売り★",2,IF(AE205="5日戻り売り○",1,0))+N(AL205)+N(AP205)+N(AU205),0))</f>
        <v>9</v>
      </c>
      <c r="U205" s="325" t="str">
        <f>IF(T205="","",IF(AND(T205&gt;=3,O205&gt;=1.5),"有効",IF(T205&gt;=3,"要確認","除外")))</f>
        <v>要確認</v>
      </c>
      <c r="V205" s="325" t="str">
        <f>IF(AND(I205&lt;&gt;"",K205&lt;&gt;""),IF(I205&lt;=K205*0.6,"年初来安値圏●",IF(I205&lt;=K205*0.75,"安値圏","通常")),"")</f>
        <v>安値圏</v>
      </c>
      <c r="W205" s="329">
        <f t="array" ref="W205">IFERROR(100-100/(1+SUMPRODUCT((終値!F130:R130&gt;終値!G130:S130)*(終値!F130:R130-終値!G130:S130))/SUMPRODUCT((終値!F130:R130&lt;終値!G130:S130)*(終値!G130:S130-終値!F130:R130))),50)</f>
        <v>48.546511627906973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-112.20118492749953</v>
      </c>
      <c r="Y205" s="325" t="str">
        <f>IF(AF205="","",AF205&amp;" | "&amp;AD205&amp;IF(AE205&lt;&gt;"なし"," "&amp;AE205,"")&amp;IF(X205&lt;0," MACD-"," MACD+")&amp;" RSI:"&amp;TEXT(W205,"0.0")&amp;IF(W205&gt;=70," [過熱]",IF(W205&lt;=30," [売られ過ぎ]",""))&amp;" 前日比:"&amp;TEXT(Z205,"+0.0;-0.0;0.0")&amp;"%"&amp;IF(V205="年初来安値圏●"," [年初来安値圏]",IF(V205="安値圏"," [安値圏]",""))&amp;IF(OR(AO205="通常",AO205="-"),""," ["&amp;AO205&amp;"]")&amp;IF(OR(AT205="通常",AT205="-"),"","前日["&amp;AT205&amp;"]")&amp;" ["&amp;T205&amp;"点]")</f>
        <v>相場上昇・見送り | パーフェクト▲ MACD- RSI:48.5 前日比:+1.1% [安値圏] [9点]</v>
      </c>
      <c r="Z205" s="331">
        <f>IF(AND(E205&lt;&gt;"",G205&lt;&gt;"",G205&lt;&gt;0),(E205-G205)/G205*100,"")</f>
        <v>1.1363636363636365</v>
      </c>
      <c r="AA205" s="325" t="str">
        <f>IF(OR(C205="",E205="",E205=0),"",IF(E205&gt;G205,"上昇▲",IF(E205&lt;G205,"下落▼","横ばい→")))</f>
        <v>上昇▲</v>
      </c>
      <c r="AB205" s="326">
        <f>IF(OR(C205="",C205="TOPX",終値!E130=""),"",IFERROR(((終値!E130*0.333)+(終値!F130*0.222)+(終値!G130*0.148)+(終値!H130*0.099)+(終値!I130*0.066))/(0.333+0.222+0.148+0.099+0.066),""))</f>
        <v>6734.2315668202755</v>
      </c>
      <c r="AC205" s="326">
        <f>IF(OR(C205="",C205="TOPX",終値!E130=""),"",IFERROR(SUMPRODUCT((終値!E130:AC130),{0.077,0.071,0.065,0.06,0.055,0.051,0.047,0.043,0.039,0.036,0.033,0.031,0.028,0.026,0.024,0.022,0.02,0.018,0.017,0.016,0.014,0.013,0.012,0.011,0.01})/SUM({0.077,0.071,0.065,0.06,0.055,0.051,0.047,0.043,0.039,0.036,0.033,0.031,0.028,0.026,0.024,0.022,0.02,0.018,0.017,0.016,0.014,0.013,0.012,0.011,0.01}),""))</f>
        <v>6718.4064362336103</v>
      </c>
      <c r="AD205" s="325" t="str">
        <f>IF(OR(C205="",AB205="",AC205="",AB205=0,AC205=0),"",IF(AND(E205&gt;AB205,AB205&gt;AC205),"パーフェクト▲",IF(E205&gt;AC205,"上昇トレンド▲",IF(AND(E205&lt;AB205,AB205&lt;AC205),"下降トレンド▼","もみ合い→"))))</f>
        <v>パーフェクト▲</v>
      </c>
      <c r="AE205" s="325" t="str">
        <f>IF(OR(C205="",AB205="",AC205=""),"",IF(AND(ABS(E205-AC205)/AC205&lt;=0.02,E205&lt;AC205),"25日戻り売り★",IF(AND(ABS(E205-AB205)/AB205&lt;=0.01,E205&lt;AB205),"5日戻り売り○","なし")))</f>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相場上昇・見送り</v>
      </c>
      <c r="AG205">
        <f>IF(AND(T205&gt;=7,C205&lt;&gt;""),T205,0)</f>
        <v>9</v>
      </c>
      <c r="AH205">
        <f>IF(AG205&gt;0,AG205*10000-ROW(A205),0)</f>
        <v>89795</v>
      </c>
      <c r="AI205" s="373">
        <f t="array" ref="AI205">IF(C205="","",IFERROR((INDEX(終値!$E:$E,MATCH(TEXT(C205,"0"),終値!$A:$A,0))-INDEX(終値!$E:$CZ,MATCH(TEXT(C205,"0"),終値!$A:$A,0),$AN$2))/INDEX(終値!$E:$CZ,MATCH(TEXT(C205,"0"),終値!$A:$A,0),$AN$2)*100,""))</f>
        <v>-7.1006729844801537</v>
      </c>
      <c r="AJ205" s="373">
        <f t="array" ref="AJ205">IFERROR((終値!$E$5-INDEX(終値!$E$5:$IT$5,1,$AN$2))/INDEX(終値!$E$5:$IT$5,1,$AN$2)*100,"")</f>
        <v>1.0179378228534113</v>
      </c>
      <c r="AK205" s="374">
        <f>IF(OR(AI205="",AJ205=""),"",AI205-AJ205)</f>
        <v>-8.1186108073335657</v>
      </c>
      <c r="AL205" s="372">
        <f>IF(AK205="","",IF(AK205&lt;-5,3,IF(AK205&lt;0,1,IF(AK205&lt;3,-1,-2))))</f>
        <v>3</v>
      </c>
      <c r="AO205" s="376" t="str">
        <f>IF(OR($C205="",$E205="",$F205="",$H205="",$I205="",$H205-$I205&lt;=0),"-",IF(AND($H205-MAX($F205,$E205)&gt;=ABS($E205-$F205)*2,MIN($F205,$E205)-$I205&lt;=ABS($E205-$F205)*0.5,ABS($E205-$F205)&gt;0),"上ヒゲ陰線▼",IF(AND($E205&lt;$F205,ABS($E205-$F205)&gt;=($H205-$I205)*0.7),"大陰線▼",IF(AND(MIN($F205,$E205)-$I205&gt;=($H205-$I205)*0.5,$H205-MAX($F205,$E205)&lt;=($H205-$I205)*0.2),"長い下ヒゲ(反発警戒)","通常"))))</f>
        <v>通常</v>
      </c>
      <c r="AP205" s="377">
        <f>IF($AO205="上ヒゲ陰線▼",2,IF($AO205="大陰線▼",2,IF($AO205="長い下ヒゲ(反発警戒)",-2,0)))</f>
        <v>0</v>
      </c>
      <c r="AQ205">
        <f>IF(C205&lt;&gt;"",始値!F130,"")</f>
        <v>6601</v>
      </c>
      <c r="AR205">
        <f>IF(C205&lt;&gt;"",高値!F130,"")</f>
        <v>6693</v>
      </c>
      <c r="AS205">
        <f>IF(C205&lt;&gt;"",安値!F130,"")</f>
        <v>6601</v>
      </c>
      <c r="AT205" t="str">
        <f>IF(OR(C205="",AQ205="",AR205="",AS205="",AR205-AS205&lt;=0),"-",IF(AND(AR205-MAX(G205,AQ205)&gt;=ABS(G205-AQ205)*2,MIN(G205,AQ205)-AS205&lt;=ABS(G205-AQ205)*0.5,ABS(G205-AQ205)&gt;0),"上ヒゲ陰線▼",IF(AND(G205&lt;AQ205,ABS(G205-AQ205)&gt;=(AR205-AS205)*0.7),"大陰線▼",IF(AND(MIN(G205,AQ205)-AS205&gt;=(AR205-AS205)*0.5,AR205-MAX(G205,AQ205)&lt;=(AR205-AS205)*0.2),"長い下ヒゲ(反発)","通常"))))</f>
        <v>通常</v>
      </c>
      <c r="AU205">
        <f>IF(AT205="上ヒゲ陰線▼",2,IF(AT205="大陰線▼",2,IF(AT205="長い下ヒゲ(反発)",-2,0)))</f>
        <v>0</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5540</v>
      </c>
      <c r="F206" s="333">
        <f>IF(C206&lt;&gt;"",_xll.RssMarket(C206,"始値"),"")</f>
        <v>5370</v>
      </c>
      <c r="G206" s="212">
        <f>IF(C206&lt;&gt;"",終値!F202,"")</f>
        <v>5387</v>
      </c>
      <c r="H206" s="333">
        <f>IF(C206&lt;&gt;"",_xll.RssMarket(C206,"高値"),"")</f>
        <v>5574</v>
      </c>
      <c r="I206" s="333">
        <f>IF(C206&lt;&gt;"",_xll.RssMarket(C206,"安値"),"")</f>
        <v>5362</v>
      </c>
      <c r="J206" s="333">
        <f>IF(C206&lt;&gt;"",_xll.RssMarket(C206,"出来高"),"")</f>
        <v>1442700</v>
      </c>
      <c r="K206" s="333">
        <f>IF(C206&lt;&gt;"",_xll.RssMarket(C206,"年初来高値"),"")</f>
        <v>7257</v>
      </c>
      <c r="L206" s="334">
        <f>IF(AND(E206&lt;&gt;"",K206&lt;&gt;"",K206&lt;&gt;0),(E206-K206)/K206*100,"")</f>
        <v>-23.659914565247348</v>
      </c>
      <c r="M206" s="333">
        <f>IF(C206&lt;&gt;"",IFERROR(AVERAGE(出来高!E202:I202),""),"")</f>
        <v>1659760</v>
      </c>
      <c r="N206" s="333">
        <f>IF(C206&lt;&gt;"",IFERROR(AVERAGE(出来高!E202:AC202),""),"")</f>
        <v>1258908</v>
      </c>
      <c r="O206" s="335">
        <f>IF(AND(J206&lt;&gt;"",M206&lt;&gt;"",M206&lt;&gt;0),J206/M206,"")</f>
        <v>0.86922205620089654</v>
      </c>
      <c r="P206" s="212" t="str">
        <f>IF(O206="","",IF(O206&gt;=2,"急増↑↑",IF(O206&gt;=1.5,"増加↑",IF(O206&gt;=1,"普通→","減少↓"))))</f>
        <v>減少↓</v>
      </c>
      <c r="Q206" s="212" t="str">
        <f>IF(E206="","",IF(AND(E206&lt;G206,O206&gt;=1.5),"売り▼",IF(E206&gt;G206,"様子見▲","中立→")))</f>
        <v>様子見▲</v>
      </c>
      <c r="R206" s="333">
        <f>IF(E206&lt;&gt;"",ROUND(E206*0.92,0),"")</f>
        <v>5097</v>
      </c>
      <c r="S206" s="333">
        <f>IF(E206&lt;&gt;"",ROUND(E206*1.04,0),"")</f>
        <v>5762</v>
      </c>
      <c r="T206" s="325">
        <f>IF(C206="","",IFERROR(IF(W206&gt;=70,3,IF(W206&gt;=60,2,IF(W206&gt;=50,1,0)))+IF(X206&lt;0,2,0)+IF(AD206="下降トレンド▼",3,IF(AD206="もみ合い→",1,0))+IF(V206="年初来安値圏●",3,IF(V206="安値圏",2,0))+IF(Q206="売り▼",2,0)+IF(P206="急増↑↑",2,IF(P206="増加↑",1,0))+IF(Z206&lt;0,1,0)+IF(L206&lt;=-30,2,IF(L206&lt;=-15,1,0))+IF(AE206="25日戻り売り★",2,IF(AE206="5日戻り売り○",1,0))+N(AL206)+N(AP206)+N(AU206),0))</f>
        <v>2</v>
      </c>
      <c r="U206" s="212" t="str">
        <f>IF(T206="","",IF(AND(T206&gt;=3,O206&gt;=1.5),"有効",IF(T206&gt;=3,"要確認","除外")))</f>
        <v>除外</v>
      </c>
      <c r="V206" s="212" t="str">
        <f>IF(AND(I206&lt;&gt;"",K206&lt;&gt;""),IF(I206&lt;=K206*0.6,"年初来安値圏●",IF(I206&lt;=K206*0.75,"安値圏","通常")),"")</f>
        <v>安値圏</v>
      </c>
      <c r="W206" s="336">
        <f t="array" ref="W206">IFERROR(100-100/(1+SUMPRODUCT((終値!F202:R202&gt;終値!G202:S202)*(終値!F202:R202-終値!G202:S202))/SUMPRODUCT((終値!F202:R202&lt;終値!G202:S202)*(終値!G202:S202-終値!F202:R202))),50)</f>
        <v>56.872427983539097</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32.439171466214248</v>
      </c>
      <c r="Y206" s="212" t="str">
        <f>IF(AF206="","",AF206&amp;" | "&amp;AD206&amp;IF(AE206&lt;&gt;"なし"," "&amp;AE206,"")&amp;IF(X206&lt;0," MACD-"," MACD+")&amp;" RSI:"&amp;TEXT(W206,"0.0")&amp;IF(W206&gt;=70," [過熱]",IF(W206&lt;=30," [売られ過ぎ]",""))&amp;" 前日比:"&amp;TEXT(Z206,"+0.0;-0.0;0.0")&amp;"%"&amp;IF(V206="年初来安値圏●"," [年初来安値圏]",IF(V206="安値圏"," [安値圏]",""))&amp;IF(OR(AO206="通常",AO206="-"),""," ["&amp;AO206&amp;"]")&amp;IF(OR(AT206="通常",AT206="-"),"","前日["&amp;AT206&amp;"]")&amp;" ["&amp;T206&amp;"点]")</f>
        <v>相場上昇・見送り | パーフェクト▲ MACD+ RSI:56.9 前日比:+2.8% [安値圏] [2点]</v>
      </c>
      <c r="Z206" s="338">
        <f>IF(AND(E206&lt;&gt;"",G206&lt;&gt;"",G206&lt;&gt;0),(E206-G206)/G206*100,"")</f>
        <v>2.8401707815110449</v>
      </c>
      <c r="AA206" s="212" t="str">
        <f>IF(OR(C206="",E206="",E206=0),"",IF(E206&gt;G206,"上昇▲",IF(E206&lt;G206,"下落▼","横ばい→")))</f>
        <v>上昇▲</v>
      </c>
      <c r="AB206" s="333">
        <f>IF(OR(C206="",C206="TOPX",終値!E202=""),"",IFERROR(((終値!E202*0.333)+(終値!F202*0.222)+(終値!G202*0.148)+(終値!H202*0.099)+(終値!I202*0.066))/(0.333+0.222+0.148+0.099+0.066),""))</f>
        <v>5396.6854838709678</v>
      </c>
      <c r="AC206" s="333">
        <f>IF(OR(C206="",C206="TOPX",終値!E202=""),"",IFERROR(SUMPRODUCT((終値!E202:AC202),{0.077,0.071,0.065,0.06,0.055,0.051,0.047,0.043,0.039,0.036,0.033,0.031,0.028,0.026,0.024,0.022,0.02,0.018,0.017,0.016,0.014,0.013,0.012,0.011,0.01})/SUM({0.077,0.071,0.065,0.06,0.055,0.051,0.047,0.043,0.039,0.036,0.033,0.031,0.028,0.026,0.024,0.022,0.02,0.018,0.017,0.016,0.014,0.013,0.012,0.011,0.01}),""))</f>
        <v>5315.7115613825963</v>
      </c>
      <c r="AD206" s="212" t="str">
        <f>IF(OR(C206="",AB206="",AC206="",AB206=0,AC206=0),"",IF(AND(E206&gt;AB206,AB206&gt;AC206),"パーフェクト▲",IF(E206&gt;AC206,"上昇トレンド▲",IF(AND(E206&lt;AB206,AB206&lt;AC206),"下降トレンド▼","もみ合い→"))))</f>
        <v>パーフェクト▲</v>
      </c>
      <c r="AE206" s="212" t="str">
        <f>IF(OR(C206="",AB206="",AC206=""),"",IF(AND(ABS(E206-AC206)/AC206&lt;=0.02,E206&lt;AC206),"25日戻り売り★",IF(AND(ABS(E206-AB206)/AB206&lt;=0.01,E206&lt;AB206),"5日戻り売り○","なし")))</f>
        <v>なし</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相場上昇・見送り</v>
      </c>
      <c r="AG206">
        <f>IF(AND(T206&gt;=7,C206&lt;&gt;""),T206,0)</f>
        <v>0</v>
      </c>
      <c r="AH206">
        <f>IF(AG206&gt;0,AG206*10000-ROW(A206),0)</f>
        <v>0</v>
      </c>
      <c r="AI206" s="373">
        <f t="array" ref="AI206">IF(C206="","",IFERROR((INDEX(終値!$E:$E,MATCH(TEXT(C206,"0"),終値!$A:$A,0))-INDEX(終値!$E:$CZ,MATCH(TEXT(C206,"0"),終値!$A:$A,0),$AN$2))/INDEX(終値!$E:$CZ,MATCH(TEXT(C206,"0"),終値!$A:$A,0),$AN$2)*100,""))</f>
        <v>7.3851521612715647</v>
      </c>
      <c r="AJ206" s="373">
        <f t="array" ref="AJ206">IFERROR((終値!$E$5-INDEX(終値!$E$5:$IT$5,1,$AN$2))/INDEX(終値!$E$5:$IT$5,1,$AN$2)*100,"")</f>
        <v>1.0179378228534113</v>
      </c>
      <c r="AK206" s="374">
        <f>IF(OR(AI206="",AJ206=""),"",AI206-AJ206)</f>
        <v>6.3672143384181537</v>
      </c>
      <c r="AL206" s="372">
        <f>IF(AK206="","",IF(AK206&lt;-5,3,IF(AK206&lt;0,1,IF(AK206&lt;3,-1,-2))))</f>
        <v>-2</v>
      </c>
      <c r="AO206" s="376" t="str">
        <f>IF(OR($C206="",$E206="",$F206="",$H206="",$I206="",$H206-$I206&lt;=0),"-",IF(AND($H206-MAX($F206,$E206)&gt;=ABS($E206-$F206)*2,MIN($F206,$E206)-$I206&lt;=ABS($E206-$F206)*0.5,ABS($E206-$F206)&gt;0),"上ヒゲ陰線▼",IF(AND($E206&lt;$F206,ABS($E206-$F206)&gt;=($H206-$I206)*0.7),"大陰線▼",IF(AND(MIN($F206,$E206)-$I206&gt;=($H206-$I206)*0.5,$H206-MAX($F206,$E206)&lt;=($H206-$I206)*0.2),"長い下ヒゲ(反発警戒)","通常"))))</f>
        <v>通常</v>
      </c>
      <c r="AP206" s="377">
        <f>IF($AO206="上ヒゲ陰線▼",2,IF($AO206="大陰線▼",2,IF($AO206="長い下ヒゲ(反発警戒)",-2,0)))</f>
        <v>0</v>
      </c>
      <c r="AQ206">
        <f>IF(C206&lt;&gt;"",始値!F202,"")</f>
        <v>5255</v>
      </c>
      <c r="AR206">
        <f>IF(C206&lt;&gt;"",高値!F202,"")</f>
        <v>5387</v>
      </c>
      <c r="AS206">
        <f>IF(C206&lt;&gt;"",安値!F202,"")</f>
        <v>5217</v>
      </c>
      <c r="AT206" t="str">
        <f>IF(OR(C206="",AQ206="",AR206="",AS206="",AR206-AS206&lt;=0),"-",IF(AND(AR206-MAX(G206,AQ206)&gt;=ABS(G206-AQ206)*2,MIN(G206,AQ206)-AS206&lt;=ABS(G206-AQ206)*0.5,ABS(G206-AQ206)&gt;0),"上ヒゲ陰線▼",IF(AND(G206&lt;AQ206,ABS(G206-AQ206)&gt;=(AR206-AS206)*0.7),"大陰線▼",IF(AND(MIN(G206,AQ206)-AS206&gt;=(AR206-AS206)*0.5,AR206-MAX(G206,AQ206)&lt;=(AR206-AS206)*0.2),"長い下ヒゲ(反発)","通常"))))</f>
        <v>通常</v>
      </c>
      <c r="AU206">
        <f>IF(AT206="上ヒゲ陰線▼",2,IF(AT206="大陰線▼",2,IF(AT206="長い下ヒゲ(反発)",-2,0)))</f>
        <v>0</v>
      </c>
    </row>
  </sheetData>
  <autoFilter ref="A2:AU206" xr:uid="{00000000-0001-0000-0400-000000000000}"/>
  <phoneticPr fontId="16"/>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63" t="s">
        <v>579</v>
      </c>
      <c r="B1" s="755"/>
      <c r="C1" s="755"/>
      <c r="D1" s="755"/>
      <c r="E1" s="755"/>
      <c r="F1" s="755"/>
      <c r="G1" s="755"/>
      <c r="H1" s="755"/>
      <c r="I1" s="755"/>
      <c r="J1" s="755"/>
      <c r="K1" s="755"/>
      <c r="L1" s="755"/>
      <c r="M1" s="755"/>
      <c r="N1" s="755"/>
      <c r="O1" s="755"/>
      <c r="P1" s="755"/>
      <c r="Q1" s="755"/>
      <c r="R1" s="755"/>
      <c r="S1" s="755"/>
      <c r="T1" s="755"/>
      <c r="U1" s="755"/>
      <c r="V1" s="755"/>
      <c r="W1" s="755"/>
      <c r="X1" s="755"/>
      <c r="Y1" s="764"/>
      <c r="Z1" s="755"/>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1766</v>
      </c>
      <c r="F3" s="326">
        <f>IF(売分析!F3&lt;&gt;"",売分析!F3,"")</f>
        <v>1720</v>
      </c>
      <c r="G3" s="326">
        <f>IF(売分析!H3&lt;&gt;"",売分析!H3,"")</f>
        <v>1798</v>
      </c>
      <c r="H3" s="326">
        <f>IF(売分析!I3&lt;&gt;"",売分析!I3,"")</f>
        <v>1693</v>
      </c>
      <c r="I3" s="325">
        <f>IF(売分析!J3&lt;&gt;"",売分析!J3,"")</f>
        <v>1587700</v>
      </c>
      <c r="J3" s="326">
        <f>IF(売分析!AB3&lt;&gt;"",売分析!AB3,"")</f>
        <v>1697.5264976958526</v>
      </c>
      <c r="K3" s="326">
        <f>IF(売分析!AC3&lt;&gt;"",売分析!AC3,"")</f>
        <v>1786.5256257449337</v>
      </c>
      <c r="L3" s="326">
        <f>IF(売分析!K3&lt;&gt;"",売分析!K3,"")</f>
        <v>3620</v>
      </c>
      <c r="M3" s="325" t="str">
        <f>IF(売分析!P3&lt;&gt;"",売分析!P3,"")</f>
        <v>減少↓</v>
      </c>
      <c r="N3" s="328">
        <f>IF(売分析!O3&lt;&gt;"",売分析!O3,"")</f>
        <v>0.55260868051929968</v>
      </c>
      <c r="O3" s="330">
        <f>IF(売分析!X3&lt;&gt;"",売分析!X3,"")</f>
        <v>-111.32775365289649</v>
      </c>
      <c r="P3" s="327">
        <f>IF(売分析!L3&lt;&gt;"",売分析!L3,"")</f>
        <v>-51.215469613259671</v>
      </c>
      <c r="Q3" s="326">
        <f>IF(売分析!S3&lt;&gt;"",売分析!S3,"")</f>
        <v>1837</v>
      </c>
      <c r="R3" s="326">
        <f>IF(売分析!R3&lt;&gt;"",売分析!R3,"")</f>
        <v>1625</v>
      </c>
      <c r="S3" s="325" t="str">
        <f>IF(売分析!AA3&lt;&gt;"",売分析!AA3,"")</f>
        <v>下落▼</v>
      </c>
      <c r="T3" s="331">
        <f>IF(売分析!Z3&lt;&gt;"",売分析!Z3,"")</f>
        <v>-1.0644257703081232</v>
      </c>
      <c r="U3" s="325" t="str">
        <f>IF(売分析!V3&lt;&gt;"",売分析!V3,"")</f>
        <v>年初来安値圏●</v>
      </c>
      <c r="V3" s="329">
        <f>IF(売分析!W3&lt;&gt;"",売分析!W3,"")</f>
        <v>34.896621280887544</v>
      </c>
      <c r="W3" s="325" t="str">
        <f>IF(売分析!AD3&lt;&gt;"",売分析!AD3,"")</f>
        <v>もみ合い→</v>
      </c>
      <c r="X3" s="325" t="str">
        <f>IF(売分析!AE3&lt;&gt;"",売分析!AE3,"")</f>
        <v>25日戻り売り★</v>
      </c>
      <c r="Y3" s="387">
        <f>IF(売分析!T3&lt;&gt;"",売分析!T3,"")</f>
        <v>14</v>
      </c>
      <c r="Z3" s="325" t="str">
        <f>IF(売分析!Y3&lt;&gt;"",売分析!Y3,"")</f>
        <v>○逆張り売り | もみ合い→ 25日戻り売り★ MACD- RSI:34.9 前日比:-1.1% [年初来安値圏] [14点]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3544</v>
      </c>
      <c r="F4" s="333">
        <f>IF(売分析!F4&lt;&gt;"",売分析!F4,"")</f>
        <v>3650</v>
      </c>
      <c r="G4" s="333">
        <f>IF(売分析!H4&lt;&gt;"",売分析!H4,"")</f>
        <v>3720</v>
      </c>
      <c r="H4" s="333">
        <f>IF(売分析!I4&lt;&gt;"",売分析!I4,"")</f>
        <v>3427</v>
      </c>
      <c r="I4" s="212">
        <f>IF(売分析!J4&lt;&gt;"",売分析!J4,"")</f>
        <v>15463900</v>
      </c>
      <c r="J4" s="333">
        <f>IF(売分析!AB4&lt;&gt;"",売分析!AB4,"")</f>
        <v>4610.6451612903211</v>
      </c>
      <c r="K4" s="333">
        <f>IF(売分析!AC4&lt;&gt;"",売分析!AC4,"")</f>
        <v>5815.063170440998</v>
      </c>
      <c r="L4" s="333">
        <f>IF(売分析!K4&lt;&gt;"",売分析!K4,"")</f>
        <v>5939</v>
      </c>
      <c r="M4" s="212" t="str">
        <f>IF(売分析!P4&lt;&gt;"",売分析!P4,"")</f>
        <v>増加↑</v>
      </c>
      <c r="N4" s="335">
        <f>IF(売分析!O4&lt;&gt;"",売分析!O4,"")</f>
        <v>1.9713499704244599</v>
      </c>
      <c r="O4" s="337">
        <f>IF(売分析!X4&lt;&gt;"",売分析!X4,"")</f>
        <v>-184.18701515290104</v>
      </c>
      <c r="P4" s="334">
        <f>IF(売分析!L4&lt;&gt;"",売分析!L4,"")</f>
        <v>-40.326654318908908</v>
      </c>
      <c r="Q4" s="333">
        <f>IF(売分析!S4&lt;&gt;"",売分析!S4,"")</f>
        <v>3686</v>
      </c>
      <c r="R4" s="333">
        <f>IF(売分析!R4&lt;&gt;"",売分析!R4,"")</f>
        <v>3260</v>
      </c>
      <c r="S4" s="212" t="str">
        <f>IF(売分析!AA4&lt;&gt;"",売分析!AA4,"")</f>
        <v>下落▼</v>
      </c>
      <c r="T4" s="338">
        <f>IF(売分析!Z4&lt;&gt;"",売分析!Z4,"")</f>
        <v>-5.6443024494142708</v>
      </c>
      <c r="U4" s="212" t="str">
        <f>IF(売分析!V4&lt;&gt;"",売分析!V4,"")</f>
        <v>年初来安値圏●</v>
      </c>
      <c r="V4" s="336">
        <f>IF(売分析!W4&lt;&gt;"",売分析!W4,"")</f>
        <v>36.020498669557512</v>
      </c>
      <c r="W4" s="212" t="str">
        <f>IF(売分析!AD4&lt;&gt;"",売分析!AD4,"")</f>
        <v>下降トレンド▼</v>
      </c>
      <c r="X4" s="212" t="str">
        <f>IF(売分析!AE4&lt;&gt;"",売分析!AE4,"")</f>
        <v>なし</v>
      </c>
      <c r="Y4" s="388">
        <f>IF(売分析!T4&lt;&gt;"",売分析!T4,"")</f>
        <v>17</v>
      </c>
      <c r="Z4" s="212" t="str">
        <f>IF(売分析!Y4&lt;&gt;"",売分析!Y4,"")</f>
        <v>相場上昇・見送り | 下降トレンド▼ MACD- RSI:36.0 前日比:-5.6% [年初来安値圏] [17点]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4415</v>
      </c>
      <c r="F5" s="326">
        <f>IF(売分析!F5&lt;&gt;"",売分析!F5,"")</f>
        <v>4535</v>
      </c>
      <c r="G5" s="326">
        <f>IF(売分析!H5&lt;&gt;"",売分析!H5,"")</f>
        <v>4610</v>
      </c>
      <c r="H5" s="326">
        <f>IF(売分析!I5&lt;&gt;"",売分析!I5,"")</f>
        <v>4390</v>
      </c>
      <c r="I5" s="325">
        <f>IF(売分析!J5&lt;&gt;"",売分析!J5,"")</f>
        <v>749500</v>
      </c>
      <c r="J5" s="326">
        <f>IF(売分析!AB5&lt;&gt;"",売分析!AB5,"")</f>
        <v>4347.0910138248846</v>
      </c>
      <c r="K5" s="326">
        <f>IF(売分析!AC5&lt;&gt;"",売分析!AC5,"")</f>
        <v>4162.4076281287225</v>
      </c>
      <c r="L5" s="326">
        <f>IF(売分析!K5&lt;&gt;"",売分析!K5,"")</f>
        <v>5500</v>
      </c>
      <c r="M5" s="325" t="str">
        <f>IF(売分析!P5&lt;&gt;"",売分析!P5,"")</f>
        <v>減少↓</v>
      </c>
      <c r="N5" s="328">
        <f>IF(売分析!O5&lt;&gt;"",売分析!O5,"")</f>
        <v>0.70320123095398934</v>
      </c>
      <c r="O5" s="330">
        <f>IF(売分析!X5&lt;&gt;"",売分析!X5,"")</f>
        <v>-29.781950652562955</v>
      </c>
      <c r="P5" s="327">
        <f>IF(売分析!L5&lt;&gt;"",売分析!L5,"")</f>
        <v>-19.727272727272727</v>
      </c>
      <c r="Q5" s="326">
        <f>IF(売分析!S5&lt;&gt;"",売分析!S5,"")</f>
        <v>4592</v>
      </c>
      <c r="R5" s="326">
        <f>IF(売分析!R5&lt;&gt;"",売分析!R5,"")</f>
        <v>4062</v>
      </c>
      <c r="S5" s="325" t="str">
        <f>IF(売分析!AA5&lt;&gt;"",売分析!AA5,"")</f>
        <v>下落▼</v>
      </c>
      <c r="T5" s="331">
        <f>IF(売分析!Z5&lt;&gt;"",売分析!Z5,"")</f>
        <v>-4.1259500542888166</v>
      </c>
      <c r="U5" s="325" t="str">
        <f>IF(売分析!V5&lt;&gt;"",売分析!V5,"")</f>
        <v>通常</v>
      </c>
      <c r="V5" s="329">
        <f>IF(売分析!W5&lt;&gt;"",売分析!W5,"")</f>
        <v>53.48101265822784</v>
      </c>
      <c r="W5" s="325" t="str">
        <f>IF(売分析!AD5&lt;&gt;"",売分析!AD5,"")</f>
        <v>パーフェクト▲</v>
      </c>
      <c r="X5" s="325" t="str">
        <f>IF(売分析!AE5&lt;&gt;"",売分析!AE5,"")</f>
        <v>なし</v>
      </c>
      <c r="Y5" s="387">
        <f>IF(売分析!T5&lt;&gt;"",売分析!T5,"")</f>
        <v>8</v>
      </c>
      <c r="Z5" s="325" t="str">
        <f>IF(売分析!Y5&lt;&gt;"",売分析!Y5,"")</f>
        <v>相場上昇・見送り | パーフェクト▲ MACD- RSI:53.5 前日比:-4.1% [8点]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1480</v>
      </c>
      <c r="F6" s="333">
        <f>IF(売分析!F6&lt;&gt;"",売分析!F6,"")</f>
        <v>1491</v>
      </c>
      <c r="G6" s="333">
        <f>IF(売分析!H6&lt;&gt;"",売分析!H6,"")</f>
        <v>1511</v>
      </c>
      <c r="H6" s="333">
        <f>IF(売分析!I6&lt;&gt;"",売分析!I6,"")</f>
        <v>1460</v>
      </c>
      <c r="I6" s="212">
        <f>IF(売分析!J6&lt;&gt;"",売分析!J6,"")</f>
        <v>162700</v>
      </c>
      <c r="J6" s="333">
        <f>IF(売分析!AB6&lt;&gt;"",売分析!AB6,"")</f>
        <v>1460.6290322580644</v>
      </c>
      <c r="K6" s="333">
        <f>IF(売分析!AC6&lt;&gt;"",売分析!AC6,"")</f>
        <v>1413.2288438617397</v>
      </c>
      <c r="L6" s="333">
        <f>IF(売分析!K6&lt;&gt;"",売分析!K6,"")</f>
        <v>2496</v>
      </c>
      <c r="M6" s="212" t="str">
        <f>IF(売分析!P6&lt;&gt;"",売分析!P6,"")</f>
        <v>減少↓</v>
      </c>
      <c r="N6" s="335">
        <f>IF(売分析!O6&lt;&gt;"",売分析!O6,"")</f>
        <v>0.65859779792746109</v>
      </c>
      <c r="O6" s="337">
        <f>IF(売分析!X6&lt;&gt;"",売分析!X6,"")</f>
        <v>-15.333829540795477</v>
      </c>
      <c r="P6" s="334">
        <f>IF(売分析!L6&lt;&gt;"",売分析!L6,"")</f>
        <v>-40.705128205128204</v>
      </c>
      <c r="Q6" s="333">
        <f>IF(売分析!S6&lt;&gt;"",売分析!S6,"")</f>
        <v>1539</v>
      </c>
      <c r="R6" s="333">
        <f>IF(売分析!R6&lt;&gt;"",売分析!R6,"")</f>
        <v>1362</v>
      </c>
      <c r="S6" s="212" t="str">
        <f>IF(売分析!AA6&lt;&gt;"",売分析!AA6,"")</f>
        <v>下落▼</v>
      </c>
      <c r="T6" s="338">
        <f>IF(売分析!Z6&lt;&gt;"",売分析!Z6,"")</f>
        <v>-2.3746701846965697</v>
      </c>
      <c r="U6" s="212" t="str">
        <f>IF(売分析!V6&lt;&gt;"",売分析!V6,"")</f>
        <v>年初来安値圏●</v>
      </c>
      <c r="V6" s="336">
        <f>IF(売分析!W6&lt;&gt;"",売分析!W6,"")</f>
        <v>51.347708894878707</v>
      </c>
      <c r="W6" s="212" t="str">
        <f>IF(売分析!AD6&lt;&gt;"",売分析!AD6,"")</f>
        <v>パーフェクト▲</v>
      </c>
      <c r="X6" s="212" t="str">
        <f>IF(売分析!AE6&lt;&gt;"",売分析!AE6,"")</f>
        <v>なし</v>
      </c>
      <c r="Y6" s="388">
        <f>IF(売分析!T6&lt;&gt;"",売分析!T6,"")</f>
        <v>12</v>
      </c>
      <c r="Z6" s="212" t="str">
        <f>IF(売分析!Y6&lt;&gt;"",売分析!Y6,"")</f>
        <v>相場上昇・見送り | パーフェクト▲ MACD- RSI:51.3 前日比:-2.4% [年初来安値圏] [12点]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1858.5</v>
      </c>
      <c r="F7" s="326">
        <f>IF(売分析!F7&lt;&gt;"",売分析!F7,"")</f>
        <v>1857.5</v>
      </c>
      <c r="G7" s="326">
        <f>IF(売分析!H7&lt;&gt;"",売分析!H7,"")</f>
        <v>1885.5</v>
      </c>
      <c r="H7" s="326">
        <f>IF(売分析!I7&lt;&gt;"",売分析!I7,"")</f>
        <v>1822</v>
      </c>
      <c r="I7" s="325">
        <f>IF(売分析!J7&lt;&gt;"",売分析!J7,"")</f>
        <v>7346400</v>
      </c>
      <c r="J7" s="326">
        <f>IF(売分析!AB7&lt;&gt;"",売分析!AB7,"")</f>
        <v>1832.8508064516125</v>
      </c>
      <c r="K7" s="326">
        <f>IF(売分析!AC7&lt;&gt;"",売分析!AC7,"")</f>
        <v>1767.6543504171623</v>
      </c>
      <c r="L7" s="326">
        <f>IF(売分析!K7&lt;&gt;"",売分析!K7,"")</f>
        <v>2359</v>
      </c>
      <c r="M7" s="325" t="str">
        <f>IF(売分析!P7&lt;&gt;"",売分析!P7,"")</f>
        <v>減少↓</v>
      </c>
      <c r="N7" s="328">
        <f>IF(売分析!O7&lt;&gt;"",売分析!O7,"")</f>
        <v>0.92899505557733408</v>
      </c>
      <c r="O7" s="330">
        <f>IF(売分析!X7&lt;&gt;"",売分析!X7,"")</f>
        <v>26.239295053714386</v>
      </c>
      <c r="P7" s="327">
        <f>IF(売分析!L7&lt;&gt;"",売分析!L7,"")</f>
        <v>-21.216617210682493</v>
      </c>
      <c r="Q7" s="326">
        <f>IF(売分析!S7&lt;&gt;"",売分析!S7,"")</f>
        <v>1933</v>
      </c>
      <c r="R7" s="326">
        <f>IF(売分析!R7&lt;&gt;"",売分析!R7,"")</f>
        <v>1710</v>
      </c>
      <c r="S7" s="325" t="str">
        <f>IF(売分析!AA7&lt;&gt;"",売分析!AA7,"")</f>
        <v>上昇▲</v>
      </c>
      <c r="T7" s="331">
        <f>IF(売分析!Z7&lt;&gt;"",売分析!Z7,"")</f>
        <v>1.0878433505575198</v>
      </c>
      <c r="U7" s="325" t="str">
        <f>IF(売分析!V7&lt;&gt;"",売分析!V7,"")</f>
        <v>通常</v>
      </c>
      <c r="V7" s="329">
        <f>IF(売分析!W7&lt;&gt;"",売分析!W7,"")</f>
        <v>71.014492753623188</v>
      </c>
      <c r="W7" s="325" t="str">
        <f>IF(売分析!AD7&lt;&gt;"",売分析!AD7,"")</f>
        <v>パーフェクト▲</v>
      </c>
      <c r="X7" s="325" t="str">
        <f>IF(売分析!AE7&lt;&gt;"",売分析!AE7,"")</f>
        <v>なし</v>
      </c>
      <c r="Y7" s="387">
        <f>IF(売分析!T7&lt;&gt;"",売分析!T7,"")</f>
        <v>2</v>
      </c>
      <c r="Z7" s="325" t="str">
        <f>IF(売分析!Y7&lt;&gt;"",売分析!Y7,"")</f>
        <v>△過熱・様子見 | パーフェクト▲ MACD+ RSI:71.0 [過熱] 前日比:+1.1% [2点]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417</v>
      </c>
      <c r="F8" s="333">
        <f>IF(売分析!F8&lt;&gt;"",売分析!F8,"")</f>
        <v>420</v>
      </c>
      <c r="G8" s="333">
        <f>IF(売分析!H8&lt;&gt;"",売分析!H8,"")</f>
        <v>420</v>
      </c>
      <c r="H8" s="333">
        <f>IF(売分析!I8&lt;&gt;"",売分析!I8,"")</f>
        <v>412</v>
      </c>
      <c r="I8" s="212">
        <f>IF(売分析!J8&lt;&gt;"",売分析!J8,"")</f>
        <v>495800</v>
      </c>
      <c r="J8" s="333">
        <f>IF(売分析!AB8&lt;&gt;"",売分析!AB8,"")</f>
        <v>415.08755760368661</v>
      </c>
      <c r="K8" s="333">
        <f>IF(売分析!AC8&lt;&gt;"",売分析!AC8,"")</f>
        <v>401.72109654350402</v>
      </c>
      <c r="L8" s="333">
        <f>IF(売分析!K8&lt;&gt;"",売分析!K8,"")</f>
        <v>710</v>
      </c>
      <c r="M8" s="212" t="str">
        <f>IF(売分析!P8&lt;&gt;"",売分析!P8,"")</f>
        <v>減少↓</v>
      </c>
      <c r="N8" s="335">
        <f>IF(売分析!O8&lt;&gt;"",売分析!O8,"")</f>
        <v>0.58850061722533475</v>
      </c>
      <c r="O8" s="337">
        <f>IF(売分析!X8&lt;&gt;"",売分析!X8,"")</f>
        <v>-5.8037725034726577</v>
      </c>
      <c r="P8" s="334">
        <f>IF(売分析!L8&lt;&gt;"",売分析!L8,"")</f>
        <v>-41.267605633802816</v>
      </c>
      <c r="Q8" s="333">
        <f>IF(売分析!S8&lt;&gt;"",売分析!S8,"")</f>
        <v>434</v>
      </c>
      <c r="R8" s="333">
        <f>IF(売分析!R8&lt;&gt;"",売分析!R8,"")</f>
        <v>384</v>
      </c>
      <c r="S8" s="212" t="str">
        <f>IF(売分析!AA8&lt;&gt;"",売分析!AA8,"")</f>
        <v>下落▼</v>
      </c>
      <c r="T8" s="338">
        <f>IF(売分析!Z8&lt;&gt;"",売分析!Z8,"")</f>
        <v>-1.1848341232227488</v>
      </c>
      <c r="U8" s="212" t="str">
        <f>IF(売分析!V8&lt;&gt;"",売分析!V8,"")</f>
        <v>年初来安値圏●</v>
      </c>
      <c r="V8" s="336">
        <f>IF(売分析!W8&lt;&gt;"",売分析!W8,"")</f>
        <v>48.54054054054054</v>
      </c>
      <c r="W8" s="212" t="str">
        <f>IF(売分析!AD8&lt;&gt;"",売分析!AD8,"")</f>
        <v>パーフェクト▲</v>
      </c>
      <c r="X8" s="212" t="str">
        <f>IF(売分析!AE8&lt;&gt;"",売分析!AE8,"")</f>
        <v>なし</v>
      </c>
      <c r="Y8" s="388">
        <f>IF(売分析!T8&lt;&gt;"",売分析!T8,"")</f>
        <v>9</v>
      </c>
      <c r="Z8" s="212" t="str">
        <f>IF(売分析!Y8&lt;&gt;"",売分析!Y8,"")</f>
        <v>相場上昇・見送り | パーフェクト▲ MACD- RSI:48.5 前日比:-1.2% [年初来安値圏] [長い下ヒゲ(反発警戒)] [9点]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1921</v>
      </c>
      <c r="F9" s="326">
        <f>IF(売分析!F9&lt;&gt;"",売分析!F9,"")</f>
        <v>1909</v>
      </c>
      <c r="G9" s="326">
        <f>IF(売分析!H9&lt;&gt;"",売分析!H9,"")</f>
        <v>1939</v>
      </c>
      <c r="H9" s="326">
        <f>IF(売分析!I9&lt;&gt;"",売分析!I9,"")</f>
        <v>1884</v>
      </c>
      <c r="I9" s="325">
        <f>IF(売分析!J9&lt;&gt;"",売分析!J9,"")</f>
        <v>162100</v>
      </c>
      <c r="J9" s="326">
        <f>IF(売分析!AB9&lt;&gt;"",売分析!AB9,"")</f>
        <v>1890.4262672811055</v>
      </c>
      <c r="K9" s="326">
        <f>IF(売分析!AC9&lt;&gt;"",売分析!AC9,"")</f>
        <v>1852.6471990464831</v>
      </c>
      <c r="L9" s="326">
        <f>IF(売分析!K9&lt;&gt;"",売分析!K9,"")</f>
        <v>4400</v>
      </c>
      <c r="M9" s="325" t="str">
        <f>IF(売分析!P9&lt;&gt;"",売分析!P9,"")</f>
        <v>減少↓</v>
      </c>
      <c r="N9" s="328">
        <f>IF(売分析!O9&lt;&gt;"",売分析!O9,"")</f>
        <v>0.80073108081406841</v>
      </c>
      <c r="O9" s="330">
        <f>IF(売分析!X9&lt;&gt;"",売分析!X9,"")</f>
        <v>-11.146828318851703</v>
      </c>
      <c r="P9" s="327">
        <f>IF(売分析!L9&lt;&gt;"",売分析!L9,"")</f>
        <v>-56.340909090909086</v>
      </c>
      <c r="Q9" s="326">
        <f>IF(売分析!S9&lt;&gt;"",売分析!S9,"")</f>
        <v>1998</v>
      </c>
      <c r="R9" s="326">
        <f>IF(売分析!R9&lt;&gt;"",売分析!R9,"")</f>
        <v>1767</v>
      </c>
      <c r="S9" s="325" t="str">
        <f>IF(売分析!AA9&lt;&gt;"",売分析!AA9,"")</f>
        <v>下落▼</v>
      </c>
      <c r="T9" s="331">
        <f>IF(売分析!Z9&lt;&gt;"",売分析!Z9,"")</f>
        <v>-1.4366341713699333</v>
      </c>
      <c r="U9" s="325" t="str">
        <f>IF(売分析!V9&lt;&gt;"",売分析!V9,"")</f>
        <v>年初来安値圏●</v>
      </c>
      <c r="V9" s="329">
        <f>IF(売分析!W9&lt;&gt;"",売分析!W9,"")</f>
        <v>50.057537399309552</v>
      </c>
      <c r="W9" s="325" t="str">
        <f>IF(売分析!AD9&lt;&gt;"",売分析!AD9,"")</f>
        <v>パーフェクト▲</v>
      </c>
      <c r="X9" s="325" t="str">
        <f>IF(売分析!AE9&lt;&gt;"",売分析!AE9,"")</f>
        <v>なし</v>
      </c>
      <c r="Y9" s="387">
        <f>IF(売分析!T9&lt;&gt;"",売分析!T9,"")</f>
        <v>12</v>
      </c>
      <c r="Z9" s="325" t="str">
        <f>IF(売分析!Y9&lt;&gt;"",売分析!Y9,"")</f>
        <v>相場上昇・見送り | パーフェクト▲ MACD- RSI:50.1 前日比:-1.4% [年初来安値圏] [12点]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23790</v>
      </c>
      <c r="F10" s="333">
        <f>IF(売分析!F10&lt;&gt;"",売分析!F10,"")</f>
        <v>24350</v>
      </c>
      <c r="G10" s="333">
        <f>IF(売分析!H10&lt;&gt;"",売分析!H10,"")</f>
        <v>24780</v>
      </c>
      <c r="H10" s="333">
        <f>IF(売分析!I10&lt;&gt;"",売分析!I10,"")</f>
        <v>22680</v>
      </c>
      <c r="I10" s="212">
        <f>IF(売分析!J10&lt;&gt;"",売分析!J10,"")</f>
        <v>592100</v>
      </c>
      <c r="J10" s="333">
        <f>IF(売分析!AB10&lt;&gt;"",売分析!AB10,"")</f>
        <v>23215.771889400919</v>
      </c>
      <c r="K10" s="333">
        <f>IF(売分析!AC10&lt;&gt;"",売分析!AC10,"")</f>
        <v>23149.63051251489</v>
      </c>
      <c r="L10" s="333">
        <f>IF(売分析!K10&lt;&gt;"",売分析!K10,"")</f>
        <v>45300</v>
      </c>
      <c r="M10" s="212" t="str">
        <f>IF(売分析!P10&lt;&gt;"",売分析!P10,"")</f>
        <v>普通→</v>
      </c>
      <c r="N10" s="335">
        <f>IF(売分析!O10&lt;&gt;"",売分析!O10,"")</f>
        <v>1.1157382980327128</v>
      </c>
      <c r="O10" s="337">
        <f>IF(売分析!X10&lt;&gt;"",売分析!X10,"")</f>
        <v>-537.04412929520549</v>
      </c>
      <c r="P10" s="334">
        <f>IF(売分析!L10&lt;&gt;"",売分析!L10,"")</f>
        <v>-47.483443708609272</v>
      </c>
      <c r="Q10" s="333">
        <f>IF(売分析!S10&lt;&gt;"",売分析!S10,"")</f>
        <v>24742</v>
      </c>
      <c r="R10" s="333">
        <f>IF(売分析!R10&lt;&gt;"",売分析!R10,"")</f>
        <v>21887</v>
      </c>
      <c r="S10" s="212" t="str">
        <f>IF(売分析!AA10&lt;&gt;"",売分析!AA10,"")</f>
        <v>下落▼</v>
      </c>
      <c r="T10" s="338">
        <f>IF(売分析!Z10&lt;&gt;"",売分析!Z10,"")</f>
        <v>-4.07258064516129</v>
      </c>
      <c r="U10" s="212" t="str">
        <f>IF(売分析!V10&lt;&gt;"",売分析!V10,"")</f>
        <v>年初来安値圏●</v>
      </c>
      <c r="V10" s="336">
        <f>IF(売分析!W10&lt;&gt;"",売分析!W10,"")</f>
        <v>44.196185286103542</v>
      </c>
      <c r="W10" s="212" t="str">
        <f>IF(売分析!AD10&lt;&gt;"",売分析!AD10,"")</f>
        <v>パーフェクト▲</v>
      </c>
      <c r="X10" s="212" t="str">
        <f>IF(売分析!AE10&lt;&gt;"",売分析!AE10,"")</f>
        <v>なし</v>
      </c>
      <c r="Y10" s="388">
        <f>IF(売分析!T10&lt;&gt;"",売分析!T10,"")</f>
        <v>11</v>
      </c>
      <c r="Z10" s="212" t="str">
        <f>IF(売分析!Y10&lt;&gt;"",売分析!Y10,"")</f>
        <v>相場上昇・見送り | パーフェクト▲ MACD- RSI:44.2 前日比:-4.1% [年初来安値圏] [11点]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31970</v>
      </c>
      <c r="F11" s="326">
        <f>IF(売分析!F11&lt;&gt;"",売分析!F11,"")</f>
        <v>34800</v>
      </c>
      <c r="G11" s="326">
        <f>IF(売分析!H11&lt;&gt;"",売分析!H11,"")</f>
        <v>35200</v>
      </c>
      <c r="H11" s="326">
        <f>IF(売分析!I11&lt;&gt;"",売分析!I11,"")</f>
        <v>31720</v>
      </c>
      <c r="I11" s="325">
        <f>IF(売分析!J11&lt;&gt;"",売分析!J11,"")</f>
        <v>1367900</v>
      </c>
      <c r="J11" s="326">
        <f>IF(売分析!AB11&lt;&gt;"",売分析!AB11,"")</f>
        <v>32629.470046082948</v>
      </c>
      <c r="K11" s="326">
        <f>IF(売分析!AC11&lt;&gt;"",売分析!AC11,"")</f>
        <v>32157.544696066721</v>
      </c>
      <c r="L11" s="326">
        <f>IF(売分析!K11&lt;&gt;"",売分析!K11,"")</f>
        <v>57700</v>
      </c>
      <c r="M11" s="325" t="str">
        <f>IF(売分析!P11&lt;&gt;"",売分析!P11,"")</f>
        <v>減少↓</v>
      </c>
      <c r="N11" s="328">
        <f>IF(売分析!O11&lt;&gt;"",売分析!O11,"")</f>
        <v>0.97157508949372129</v>
      </c>
      <c r="O11" s="330">
        <f>IF(売分析!X11&lt;&gt;"",売分析!X11,"")</f>
        <v>-481.88293815849465</v>
      </c>
      <c r="P11" s="327">
        <f>IF(売分析!L11&lt;&gt;"",売分析!L11,"")</f>
        <v>-44.592720970537265</v>
      </c>
      <c r="Q11" s="326">
        <f>IF(売分析!S11&lt;&gt;"",売分析!S11,"")</f>
        <v>33249</v>
      </c>
      <c r="R11" s="326">
        <f>IF(売分析!R11&lt;&gt;"",売分析!R11,"")</f>
        <v>29412</v>
      </c>
      <c r="S11" s="325" t="str">
        <f>IF(売分析!AA11&lt;&gt;"",売分析!AA11,"")</f>
        <v>下落▼</v>
      </c>
      <c r="T11" s="331">
        <f>IF(売分析!Z11&lt;&gt;"",売分析!Z11,"")</f>
        <v>-9.6382136800452241</v>
      </c>
      <c r="U11" s="325" t="str">
        <f>IF(売分析!V11&lt;&gt;"",売分析!V11,"")</f>
        <v>年初来安値圏●</v>
      </c>
      <c r="V11" s="329">
        <f>IF(売分析!W11&lt;&gt;"",売分析!W11,"")</f>
        <v>50.74101519081141</v>
      </c>
      <c r="W11" s="325" t="str">
        <f>IF(売分析!AD11&lt;&gt;"",売分析!AD11,"")</f>
        <v>もみ合い→</v>
      </c>
      <c r="X11" s="325" t="str">
        <f>IF(売分析!AE11&lt;&gt;"",売分析!AE11,"")</f>
        <v>25日戻り売り★</v>
      </c>
      <c r="Y11" s="387">
        <f>IF(売分析!T11&lt;&gt;"",売分析!T11,"")</f>
        <v>17</v>
      </c>
      <c r="Z11" s="325" t="str">
        <f>IF(売分析!Y11&lt;&gt;"",売分析!Y11,"")</f>
        <v>○逆張り売り | もみ合い→ 25日戻り売り★ MACD- RSI:50.7 前日比:-9.6% [年初来安値圏] [大陰線▼] [17点]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6528</v>
      </c>
      <c r="F12" s="333">
        <f>IF(売分析!F12&lt;&gt;"",売分析!F12,"")</f>
        <v>6504</v>
      </c>
      <c r="G12" s="333">
        <f>IF(売分析!H12&lt;&gt;"",売分析!H12,"")</f>
        <v>6679</v>
      </c>
      <c r="H12" s="333">
        <f>IF(売分析!I12&lt;&gt;"",売分析!I12,"")</f>
        <v>6463</v>
      </c>
      <c r="I12" s="212">
        <f>IF(売分析!J12&lt;&gt;"",売分析!J12,"")</f>
        <v>1524700</v>
      </c>
      <c r="J12" s="333">
        <f>IF(売分析!AB12&lt;&gt;"",売分析!AB12,"")</f>
        <v>6513.8721198156672</v>
      </c>
      <c r="K12" s="333">
        <f>IF(売分析!AC12&lt;&gt;"",売分析!AC12,"")</f>
        <v>6817.9082240762782</v>
      </c>
      <c r="L12" s="333">
        <f>IF(売分析!K12&lt;&gt;"",売分析!K12,"")</f>
        <v>9500</v>
      </c>
      <c r="M12" s="212" t="str">
        <f>IF(売分析!P12&lt;&gt;"",売分析!P12,"")</f>
        <v>減少↓</v>
      </c>
      <c r="N12" s="335">
        <f>IF(売分析!O12&lt;&gt;"",売分析!O12,"")</f>
        <v>0.72148508479709272</v>
      </c>
      <c r="O12" s="337">
        <f>IF(売分析!X12&lt;&gt;"",売分析!X12,"")</f>
        <v>-237.52031730741874</v>
      </c>
      <c r="P12" s="334">
        <f>IF(売分析!L12&lt;&gt;"",売分析!L12,"")</f>
        <v>-31.284210526315793</v>
      </c>
      <c r="Q12" s="333">
        <f>IF(売分析!S12&lt;&gt;"",売分析!S12,"")</f>
        <v>6789</v>
      </c>
      <c r="R12" s="333">
        <f>IF(売分析!R12&lt;&gt;"",売分析!R12,"")</f>
        <v>6006</v>
      </c>
      <c r="S12" s="212" t="str">
        <f>IF(売分析!AA12&lt;&gt;"",売分析!AA12,"")</f>
        <v>下落▼</v>
      </c>
      <c r="T12" s="338">
        <f>IF(売分析!Z12&lt;&gt;"",売分析!Z12,"")</f>
        <v>-1.7459361830222759</v>
      </c>
      <c r="U12" s="212" t="str">
        <f>IF(売分析!V12&lt;&gt;"",売分析!V12,"")</f>
        <v>安値圏</v>
      </c>
      <c r="V12" s="336">
        <f>IF(売分析!W12&lt;&gt;"",売分析!W12,"")</f>
        <v>46.397343663530712</v>
      </c>
      <c r="W12" s="212" t="str">
        <f>IF(売分析!AD12&lt;&gt;"",売分析!AD12,"")</f>
        <v>もみ合い→</v>
      </c>
      <c r="X12" s="212" t="str">
        <f>IF(売分析!AE12&lt;&gt;"",売分析!AE12,"")</f>
        <v>なし</v>
      </c>
      <c r="Y12" s="388">
        <f>IF(売分析!T12&lt;&gt;"",売分析!T12,"")</f>
        <v>11</v>
      </c>
      <c r="Z12" s="212" t="str">
        <f>IF(売分析!Y12&lt;&gt;"",売分析!Y12,"")</f>
        <v>相場上昇・見送り | もみ合い→ MACD- RSI:46.4 前日比:-1.7%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3735</v>
      </c>
      <c r="F13" s="326">
        <f>IF(売分析!F13&lt;&gt;"",売分析!F13,"")</f>
        <v>3736</v>
      </c>
      <c r="G13" s="326">
        <f>IF(売分析!H13&lt;&gt;"",売分析!H13,"")</f>
        <v>3807</v>
      </c>
      <c r="H13" s="326">
        <f>IF(売分析!I13&lt;&gt;"",売分析!I13,"")</f>
        <v>3711</v>
      </c>
      <c r="I13" s="325">
        <f>IF(売分析!J13&lt;&gt;"",売分析!J13,"")</f>
        <v>323900</v>
      </c>
      <c r="J13" s="326">
        <f>IF(売分析!AB13&lt;&gt;"",売分析!AB13,"")</f>
        <v>3681.2580645161288</v>
      </c>
      <c r="K13" s="326">
        <f>IF(売分析!AC13&lt;&gt;"",売分析!AC13,"")</f>
        <v>3560.8986889153739</v>
      </c>
      <c r="L13" s="326">
        <f>IF(売分析!K13&lt;&gt;"",売分析!K13,"")</f>
        <v>3758</v>
      </c>
      <c r="M13" s="325" t="str">
        <f>IF(売分析!P13&lt;&gt;"",売分析!P13,"")</f>
        <v>普通→</v>
      </c>
      <c r="N13" s="328">
        <f>IF(売分析!O13&lt;&gt;"",売分析!O13,"")</f>
        <v>1.0419481438589719</v>
      </c>
      <c r="O13" s="330">
        <f>IF(売分析!X13&lt;&gt;"",売分析!X13,"")</f>
        <v>34.705676666441832</v>
      </c>
      <c r="P13" s="327">
        <f>IF(売分析!L13&lt;&gt;"",売分析!L13,"")</f>
        <v>-0.61202767429483762</v>
      </c>
      <c r="Q13" s="326">
        <f>IF(売分析!S13&lt;&gt;"",売分析!S13,"")</f>
        <v>3884</v>
      </c>
      <c r="R13" s="326">
        <f>IF(売分析!R13&lt;&gt;"",売分析!R13,"")</f>
        <v>3436</v>
      </c>
      <c r="S13" s="325" t="str">
        <f>IF(売分析!AA13&lt;&gt;"",売分析!AA13,"")</f>
        <v>下落▼</v>
      </c>
      <c r="T13" s="331">
        <f>IF(売分析!Z13&lt;&gt;"",売分析!Z13,"")</f>
        <v>-0.34685165421558162</v>
      </c>
      <c r="U13" s="325" t="str">
        <f>IF(売分析!V13&lt;&gt;"",売分析!V13,"")</f>
        <v>通常</v>
      </c>
      <c r="V13" s="329">
        <f>IF(売分析!W13&lt;&gt;"",売分析!W13,"")</f>
        <v>71.120689655172413</v>
      </c>
      <c r="W13" s="325" t="str">
        <f>IF(売分析!AD13&lt;&gt;"",売分析!AD13,"")</f>
        <v>パーフェクト▲</v>
      </c>
      <c r="X13" s="325" t="str">
        <f>IF(売分析!AE13&lt;&gt;"",売分析!AE13,"")</f>
        <v>なし</v>
      </c>
      <c r="Y13" s="387">
        <f>IF(売分析!T13&lt;&gt;"",売分析!T13,"")</f>
        <v>2</v>
      </c>
      <c r="Z13" s="325" t="str">
        <f>IF(売分析!Y13&lt;&gt;"",売分析!Y13,"")</f>
        <v>◎反落確認 | パーフェクト▲ MACD+ RSI:71.1 [過熱] 前日比:-0.3% [2点]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6167</v>
      </c>
      <c r="F14" s="333">
        <f>IF(売分析!F14&lt;&gt;"",売分析!F14,"")</f>
        <v>6093</v>
      </c>
      <c r="G14" s="333">
        <f>IF(売分析!H14&lt;&gt;"",売分析!H14,"")</f>
        <v>6234</v>
      </c>
      <c r="H14" s="333">
        <f>IF(売分析!I14&lt;&gt;"",売分析!I14,"")</f>
        <v>6090</v>
      </c>
      <c r="I14" s="212">
        <f>IF(売分析!J14&lt;&gt;"",売分析!J14,"")</f>
        <v>6777500</v>
      </c>
      <c r="J14" s="333">
        <f>IF(売分析!AB14&lt;&gt;"",売分析!AB14,"")</f>
        <v>6070.6543778801843</v>
      </c>
      <c r="K14" s="333">
        <f>IF(売分析!AC14&lt;&gt;"",売分析!AC14,"")</f>
        <v>6424.5780691299169</v>
      </c>
      <c r="L14" s="333">
        <f>IF(売分析!K14&lt;&gt;"",売分析!K14,"")</f>
        <v>7930</v>
      </c>
      <c r="M14" s="212" t="str">
        <f>IF(売分析!P14&lt;&gt;"",売分析!P14,"")</f>
        <v>減少↓</v>
      </c>
      <c r="N14" s="335">
        <f>IF(売分析!O14&lt;&gt;"",売分析!O14,"")</f>
        <v>0.67193907091472937</v>
      </c>
      <c r="O14" s="337">
        <f>IF(売分析!X14&lt;&gt;"",売分析!X14,"")</f>
        <v>-195.24519879477066</v>
      </c>
      <c r="P14" s="334">
        <f>IF(売分析!L14&lt;&gt;"",売分析!L14,"")</f>
        <v>-22.232030264817151</v>
      </c>
      <c r="Q14" s="333">
        <f>IF(売分析!S14&lt;&gt;"",売分析!S14,"")</f>
        <v>6414</v>
      </c>
      <c r="R14" s="333">
        <f>IF(売分析!R14&lt;&gt;"",売分析!R14,"")</f>
        <v>5674</v>
      </c>
      <c r="S14" s="212" t="str">
        <f>IF(売分析!AA14&lt;&gt;"",売分析!AA14,"")</f>
        <v>上昇▲</v>
      </c>
      <c r="T14" s="338">
        <f>IF(売分析!Z14&lt;&gt;"",売分析!Z14,"")</f>
        <v>6.4903456109037805E-2</v>
      </c>
      <c r="U14" s="212" t="str">
        <f>IF(売分析!V14&lt;&gt;"",売分析!V14,"")</f>
        <v>通常</v>
      </c>
      <c r="V14" s="336">
        <f>IF(売分析!W14&lt;&gt;"",売分析!W14,"")</f>
        <v>20.280264694433626</v>
      </c>
      <c r="W14" s="212" t="str">
        <f>IF(売分析!AD14&lt;&gt;"",売分析!AD14,"")</f>
        <v>もみ合い→</v>
      </c>
      <c r="X14" s="212" t="str">
        <f>IF(売分析!AE14&lt;&gt;"",売分析!AE14,"")</f>
        <v>なし</v>
      </c>
      <c r="Y14" s="388">
        <f>IF(売分析!T14&lt;&gt;"",売分析!T14,"")</f>
        <v>7</v>
      </c>
      <c r="Z14" s="212" t="str">
        <f>IF(売分析!Y14&lt;&gt;"",売分析!Y14,"")</f>
        <v>相場上昇・見送り | もみ合い→ MACD- RSI:20.3 [売られ過ぎ] 前日比:+0.1% [7点]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114</v>
      </c>
      <c r="F15" s="326">
        <f>IF(売分析!F15&lt;&gt;"",売分析!F15,"")</f>
        <v>114</v>
      </c>
      <c r="G15" s="326">
        <f>IF(売分析!H15&lt;&gt;"",売分析!H15,"")</f>
        <v>115</v>
      </c>
      <c r="H15" s="326">
        <f>IF(売分析!I15&lt;&gt;"",売分析!I15,"")</f>
        <v>112</v>
      </c>
      <c r="I15" s="325">
        <f>IF(売分析!J15&lt;&gt;"",売分析!J15,"")</f>
        <v>2428600</v>
      </c>
      <c r="J15" s="326">
        <f>IF(売分析!AB15&lt;&gt;"",売分析!AB15,"")</f>
        <v>114.39861751152073</v>
      </c>
      <c r="K15" s="326">
        <f>IF(売分析!AC15&lt;&gt;"",売分析!AC15,"")</f>
        <v>108.86412395709173</v>
      </c>
      <c r="L15" s="326">
        <f>IF(売分析!K15&lt;&gt;"",売分析!K15,"")</f>
        <v>155</v>
      </c>
      <c r="M15" s="325" t="str">
        <f>IF(売分析!P15&lt;&gt;"",売分析!P15,"")</f>
        <v>増加↑</v>
      </c>
      <c r="N15" s="328">
        <f>IF(売分析!O15&lt;&gt;"",売分析!O15,"")</f>
        <v>1.607897141192516</v>
      </c>
      <c r="O15" s="330">
        <f>IF(売分析!X15&lt;&gt;"",売分析!X15,"")</f>
        <v>-0.31618100692962514</v>
      </c>
      <c r="P15" s="327">
        <f>IF(売分析!L15&lt;&gt;"",売分析!L15,"")</f>
        <v>-26.451612903225808</v>
      </c>
      <c r="Q15" s="326">
        <f>IF(売分析!S15&lt;&gt;"",売分析!S15,"")</f>
        <v>119</v>
      </c>
      <c r="R15" s="326">
        <f>IF(売分析!R15&lt;&gt;"",売分析!R15,"")</f>
        <v>105</v>
      </c>
      <c r="S15" s="325" t="str">
        <f>IF(売分析!AA15&lt;&gt;"",売分析!AA15,"")</f>
        <v>横ばい→</v>
      </c>
      <c r="T15" s="331">
        <f>IF(売分析!Z15&lt;&gt;"",売分析!Z15,"")</f>
        <v>0</v>
      </c>
      <c r="U15" s="325" t="str">
        <f>IF(売分析!V15&lt;&gt;"",売分析!V15,"")</f>
        <v>安値圏</v>
      </c>
      <c r="V15" s="329">
        <f>IF(売分析!W15&lt;&gt;"",売分析!W15,"")</f>
        <v>49.1869918699187</v>
      </c>
      <c r="W15" s="325" t="str">
        <f>IF(売分析!AD15&lt;&gt;"",売分析!AD15,"")</f>
        <v>上昇トレンド▲</v>
      </c>
      <c r="X15" s="325" t="str">
        <f>IF(売分析!AE15&lt;&gt;"",売分析!AE15,"")</f>
        <v>5日戻り売り○</v>
      </c>
      <c r="Y15" s="387">
        <f>IF(売分析!T15&lt;&gt;"",売分析!T15,"")</f>
        <v>5</v>
      </c>
      <c r="Z15" s="325" t="str">
        <f>IF(売分析!Y15&lt;&gt;"",売分析!Y15,"")</f>
        <v>相場上昇・見送り | 上昇トレンド▲ 5日戻り売り○ MACD- RSI:49.2 前日比:0.0% [安値圏] [5点]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6430</v>
      </c>
      <c r="F16" s="333">
        <f>IF(売分析!F16&lt;&gt;"",売分析!F16,"")</f>
        <v>6500</v>
      </c>
      <c r="G16" s="333">
        <f>IF(売分析!H16&lt;&gt;"",売分析!H16,"")</f>
        <v>6556</v>
      </c>
      <c r="H16" s="333">
        <f>IF(売分析!I16&lt;&gt;"",売分析!I16,"")</f>
        <v>6316</v>
      </c>
      <c r="I16" s="212">
        <f>IF(売分析!J16&lt;&gt;"",売分析!J16,"")</f>
        <v>6885700</v>
      </c>
      <c r="J16" s="333">
        <f>IF(売分析!AB16&lt;&gt;"",売分析!AB16,"")</f>
        <v>6413.8041474654374</v>
      </c>
      <c r="K16" s="333">
        <f>IF(売分析!AC16&lt;&gt;"",売分析!AC16,"")</f>
        <v>6659.584028605479</v>
      </c>
      <c r="L16" s="333">
        <f>IF(売分析!K16&lt;&gt;"",売分析!K16,"")</f>
        <v>8880</v>
      </c>
      <c r="M16" s="212" t="str">
        <f>IF(売分析!P16&lt;&gt;"",売分析!P16,"")</f>
        <v>減少↓</v>
      </c>
      <c r="N16" s="335">
        <f>IF(売分析!O16&lt;&gt;"",売分析!O16,"")</f>
        <v>0.59456458292318159</v>
      </c>
      <c r="O16" s="337">
        <f>IF(売分析!X16&lt;&gt;"",売分析!X16,"")</f>
        <v>-75.311697228532466</v>
      </c>
      <c r="P16" s="334">
        <f>IF(売分析!L16&lt;&gt;"",売分析!L16,"")</f>
        <v>-27.59009009009009</v>
      </c>
      <c r="Q16" s="333">
        <f>IF(売分析!S16&lt;&gt;"",売分析!S16,"")</f>
        <v>6687</v>
      </c>
      <c r="R16" s="333">
        <f>IF(売分析!R16&lt;&gt;"",売分析!R16,"")</f>
        <v>5916</v>
      </c>
      <c r="S16" s="212" t="str">
        <f>IF(売分析!AA16&lt;&gt;"",売分析!AA16,"")</f>
        <v>下落▼</v>
      </c>
      <c r="T16" s="338">
        <f>IF(売分析!Z16&lt;&gt;"",売分析!Z16,"")</f>
        <v>-0.46439628482972134</v>
      </c>
      <c r="U16" s="212" t="str">
        <f>IF(売分析!V16&lt;&gt;"",売分析!V16,"")</f>
        <v>安値圏</v>
      </c>
      <c r="V16" s="336">
        <f>IF(売分析!W16&lt;&gt;"",売分析!W16,"")</f>
        <v>42.570498915401302</v>
      </c>
      <c r="W16" s="212" t="str">
        <f>IF(売分析!AD16&lt;&gt;"",売分析!AD16,"")</f>
        <v>もみ合い→</v>
      </c>
      <c r="X16" s="212" t="str">
        <f>IF(売分析!AE16&lt;&gt;"",売分析!AE16,"")</f>
        <v>なし</v>
      </c>
      <c r="Y16" s="388">
        <f>IF(売分析!T16&lt;&gt;"",売分析!T16,"")</f>
        <v>8</v>
      </c>
      <c r="Z16" s="212" t="str">
        <f>IF(売分析!Y16&lt;&gt;"",売分析!Y16,"")</f>
        <v>相場上昇・見送り | もみ合い→ MACD- RSI:42.6 前日比:-0.5% [安値圏]前日[長い下ヒゲ(反発)] [8点]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2338</v>
      </c>
      <c r="F17" s="326">
        <f>IF(売分析!F17&lt;&gt;"",売分析!F17,"")</f>
        <v>2303</v>
      </c>
      <c r="G17" s="326">
        <f>IF(売分析!H17&lt;&gt;"",売分析!H17,"")</f>
        <v>2348.5</v>
      </c>
      <c r="H17" s="326">
        <f>IF(売分析!I17&lt;&gt;"",売分析!I17,"")</f>
        <v>2296.5</v>
      </c>
      <c r="I17" s="325">
        <f>IF(売分析!J17&lt;&gt;"",売分析!J17,"")</f>
        <v>1513200</v>
      </c>
      <c r="J17" s="326">
        <f>IF(売分析!AB17&lt;&gt;"",売分析!AB17,"")</f>
        <v>2326.6918202764978</v>
      </c>
      <c r="K17" s="326">
        <f>IF(売分析!AC17&lt;&gt;"",売分析!AC17,"")</f>
        <v>2287.8432657926101</v>
      </c>
      <c r="L17" s="326">
        <f>IF(売分析!K17&lt;&gt;"",売分析!K17,"")</f>
        <v>2674.5</v>
      </c>
      <c r="M17" s="325" t="str">
        <f>IF(売分析!P17&lt;&gt;"",売分析!P17,"")</f>
        <v>減少↓</v>
      </c>
      <c r="N17" s="328">
        <f>IF(売分析!O17&lt;&gt;"",売分析!O17,"")</f>
        <v>0.73836965326098625</v>
      </c>
      <c r="O17" s="330">
        <f>IF(売分析!X17&lt;&gt;"",売分析!X17,"")</f>
        <v>-19.220601697983966</v>
      </c>
      <c r="P17" s="327">
        <f>IF(売分析!L17&lt;&gt;"",売分析!L17,"")</f>
        <v>-12.581790988969901</v>
      </c>
      <c r="Q17" s="326">
        <f>IF(売分析!S17&lt;&gt;"",売分析!S17,"")</f>
        <v>2432</v>
      </c>
      <c r="R17" s="326">
        <f>IF(売分析!R17&lt;&gt;"",売分析!R17,"")</f>
        <v>2151</v>
      </c>
      <c r="S17" s="325" t="str">
        <f>IF(売分析!AA17&lt;&gt;"",売分析!AA17,"")</f>
        <v>上昇▲</v>
      </c>
      <c r="T17" s="331">
        <f>IF(売分析!Z17&lt;&gt;"",売分析!Z17,"")</f>
        <v>1.6079965232507605</v>
      </c>
      <c r="U17" s="325" t="str">
        <f>IF(売分析!V17&lt;&gt;"",売分析!V17,"")</f>
        <v>通常</v>
      </c>
      <c r="V17" s="329">
        <f>IF(売分析!W17&lt;&gt;"",売分析!W17,"")</f>
        <v>49.159542791278454</v>
      </c>
      <c r="W17" s="325" t="str">
        <f>IF(売分析!AD17&lt;&gt;"",売分析!AD17,"")</f>
        <v>パーフェクト▲</v>
      </c>
      <c r="X17" s="325" t="str">
        <f>IF(売分析!AE17&lt;&gt;"",売分析!AE17,"")</f>
        <v>なし</v>
      </c>
      <c r="Y17" s="387">
        <f>IF(売分析!T17&lt;&gt;"",売分析!T17,"")</f>
        <v>1</v>
      </c>
      <c r="Z17" s="325" t="str">
        <f>IF(売分析!Y17&lt;&gt;"",売分析!Y17,"")</f>
        <v>相場上昇・見送り | パーフェクト▲ MACD- RSI:49.2 前日比:+1.6%前日[長い下ヒゲ(反発)] [1点]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17990</v>
      </c>
      <c r="F18" s="333">
        <f>IF(売分析!F18&lt;&gt;"",売分析!F18,"")</f>
        <v>18680</v>
      </c>
      <c r="G18" s="333">
        <f>IF(売分析!H18&lt;&gt;"",売分析!H18,"")</f>
        <v>18680</v>
      </c>
      <c r="H18" s="333">
        <f>IF(売分析!I18&lt;&gt;"",売分析!I18,"")</f>
        <v>17550</v>
      </c>
      <c r="I18" s="212">
        <f>IF(売分析!J18&lt;&gt;"",売分析!J18,"")</f>
        <v>580500</v>
      </c>
      <c r="J18" s="333">
        <f>IF(売分析!AB18&lt;&gt;"",売分析!AB18,"")</f>
        <v>18048.369815668197</v>
      </c>
      <c r="K18" s="333">
        <f>IF(売分析!AC18&lt;&gt;"",売分析!AC18,"")</f>
        <v>17650.42908224076</v>
      </c>
      <c r="L18" s="333">
        <f>IF(売分析!K18&lt;&gt;"",売分析!K18,"")</f>
        <v>21310</v>
      </c>
      <c r="M18" s="212" t="str">
        <f>IF(売分析!P18&lt;&gt;"",売分析!P18,"")</f>
        <v>減少↓</v>
      </c>
      <c r="N18" s="335">
        <f>IF(売分析!O18&lt;&gt;"",売分析!O18,"")</f>
        <v>0.84990190623993445</v>
      </c>
      <c r="O18" s="337">
        <f>IF(売分析!X18&lt;&gt;"",売分析!X18,"")</f>
        <v>-142.37792500367505</v>
      </c>
      <c r="P18" s="334">
        <f>IF(売分析!L18&lt;&gt;"",売分析!L18,"")</f>
        <v>-15.579540122008448</v>
      </c>
      <c r="Q18" s="333">
        <f>IF(売分析!S18&lt;&gt;"",売分析!S18,"")</f>
        <v>18710</v>
      </c>
      <c r="R18" s="333">
        <f>IF(売分析!R18&lt;&gt;"",売分析!R18,"")</f>
        <v>16551</v>
      </c>
      <c r="S18" s="212" t="str">
        <f>IF(売分析!AA18&lt;&gt;"",売分析!AA18,"")</f>
        <v>下落▼</v>
      </c>
      <c r="T18" s="338">
        <f>IF(売分析!Z18&lt;&gt;"",売分析!Z18,"")</f>
        <v>-4.0789122900559853</v>
      </c>
      <c r="U18" s="212" t="str">
        <f>IF(売分析!V18&lt;&gt;"",売分析!V18,"")</f>
        <v>通常</v>
      </c>
      <c r="V18" s="336">
        <f>IF(売分析!W18&lt;&gt;"",売分析!W18,"")</f>
        <v>48.090642047838863</v>
      </c>
      <c r="W18" s="212" t="str">
        <f>IF(売分析!AD18&lt;&gt;"",売分析!AD18,"")</f>
        <v>上昇トレンド▲</v>
      </c>
      <c r="X18" s="212" t="str">
        <f>IF(売分析!AE18&lt;&gt;"",売分析!AE18,"")</f>
        <v>5日戻り売り○</v>
      </c>
      <c r="Y18" s="388">
        <f>IF(売分析!T18&lt;&gt;"",売分析!T18,"")</f>
        <v>8</v>
      </c>
      <c r="Z18" s="212" t="str">
        <f>IF(売分析!Y18&lt;&gt;"",売分析!Y18,"")</f>
        <v>相場上昇・見送り | 上昇トレンド▲ 5日戻り売り○ MACD- RSI:48.1 前日比:-4.1% [8点]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1323</v>
      </c>
      <c r="F19" s="326">
        <f>IF(売分析!F19&lt;&gt;"",売分析!F19,"")</f>
        <v>1329</v>
      </c>
      <c r="G19" s="326">
        <f>IF(売分析!H19&lt;&gt;"",売分析!H19,"")</f>
        <v>1348</v>
      </c>
      <c r="H19" s="326">
        <f>IF(売分析!I19&lt;&gt;"",売分析!I19,"")</f>
        <v>1323</v>
      </c>
      <c r="I19" s="325">
        <f>IF(売分析!J19&lt;&gt;"",売分析!J19,"")</f>
        <v>48600</v>
      </c>
      <c r="J19" s="326">
        <f>IF(売分析!AB19&lt;&gt;"",売分析!AB19,"")</f>
        <v>1315.7442396313361</v>
      </c>
      <c r="K19" s="326">
        <f>IF(売分析!AC19&lt;&gt;"",売分析!AC19,"")</f>
        <v>1272.3110846245527</v>
      </c>
      <c r="L19" s="326">
        <f>IF(売分析!K19&lt;&gt;"",売分析!K19,"")</f>
        <v>1340</v>
      </c>
      <c r="M19" s="325" t="str">
        <f>IF(売分析!P19&lt;&gt;"",売分析!P19,"")</f>
        <v>減少↓</v>
      </c>
      <c r="N19" s="328">
        <f>IF(売分析!O19&lt;&gt;"",売分析!O19,"")</f>
        <v>0.37680260505504731</v>
      </c>
      <c r="O19" s="330">
        <f>IF(売分析!X19&lt;&gt;"",売分析!X19,"")</f>
        <v>6.1241029458008143</v>
      </c>
      <c r="P19" s="327">
        <f>IF(売分析!L19&lt;&gt;"",売分析!L19,"")</f>
        <v>-1.2686567164179103</v>
      </c>
      <c r="Q19" s="326">
        <f>IF(売分析!S19&lt;&gt;"",売分析!S19,"")</f>
        <v>1376</v>
      </c>
      <c r="R19" s="326">
        <f>IF(売分析!R19&lt;&gt;"",売分析!R19,"")</f>
        <v>1217</v>
      </c>
      <c r="S19" s="325" t="str">
        <f>IF(売分析!AA19&lt;&gt;"",売分析!AA19,"")</f>
        <v>下落▼</v>
      </c>
      <c r="T19" s="331">
        <f>IF(売分析!Z19&lt;&gt;"",売分析!Z19,"")</f>
        <v>-0.45146726862302478</v>
      </c>
      <c r="U19" s="325" t="str">
        <f>IF(売分析!V19&lt;&gt;"",売分析!V19,"")</f>
        <v>通常</v>
      </c>
      <c r="V19" s="329">
        <f>IF(売分析!W19&lt;&gt;"",売分析!W19,"")</f>
        <v>51.936218678815493</v>
      </c>
      <c r="W19" s="325" t="str">
        <f>IF(売分析!AD19&lt;&gt;"",売分析!AD19,"")</f>
        <v>パーフェクト▲</v>
      </c>
      <c r="X19" s="325" t="str">
        <f>IF(売分析!AE19&lt;&gt;"",売分析!AE19,"")</f>
        <v>なし</v>
      </c>
      <c r="Y19" s="387">
        <f>IF(売分析!T19&lt;&gt;"",売分析!T19,"")</f>
        <v>2</v>
      </c>
      <c r="Z19" s="325" t="str">
        <f>IF(売分析!Y19&lt;&gt;"",売分析!Y19,"")</f>
        <v>相場上昇・見送り | パーフェクト▲ MACD+ RSI:51.9 前日比:-0.5% [上ヒゲ陰線▼] [2点]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5255</v>
      </c>
      <c r="F20" s="333">
        <f>IF(売分析!F20&lt;&gt;"",売分析!F20,"")</f>
        <v>5284</v>
      </c>
      <c r="G20" s="333">
        <f>IF(売分析!H20&lt;&gt;"",売分析!H20,"")</f>
        <v>5366</v>
      </c>
      <c r="H20" s="333">
        <f>IF(売分析!I20&lt;&gt;"",売分析!I20,"")</f>
        <v>5161</v>
      </c>
      <c r="I20" s="212">
        <f>IF(売分析!J20&lt;&gt;"",売分析!J20,"")</f>
        <v>4722700</v>
      </c>
      <c r="J20" s="333">
        <f>IF(売分析!AB20&lt;&gt;"",売分析!AB20,"")</f>
        <v>5200.6797235023032</v>
      </c>
      <c r="K20" s="333">
        <f>IF(売分析!AC20&lt;&gt;"",売分析!AC20,"")</f>
        <v>5354.1668653158504</v>
      </c>
      <c r="L20" s="333">
        <f>IF(売分析!K20&lt;&gt;"",売分析!K20,"")</f>
        <v>7915</v>
      </c>
      <c r="M20" s="212" t="str">
        <f>IF(売分析!P20&lt;&gt;"",売分析!P20,"")</f>
        <v>減少↓</v>
      </c>
      <c r="N20" s="335">
        <f>IF(売分析!O20&lt;&gt;"",売分析!O20,"")</f>
        <v>0.76050409342411218</v>
      </c>
      <c r="O20" s="337">
        <f>IF(売分析!X20&lt;&gt;"",売分析!X20,"")</f>
        <v>-153.02533046222743</v>
      </c>
      <c r="P20" s="334">
        <f>IF(売分析!L20&lt;&gt;"",売分析!L20,"")</f>
        <v>-33.607075173720787</v>
      </c>
      <c r="Q20" s="333">
        <f>IF(売分析!S20&lt;&gt;"",売分析!S20,"")</f>
        <v>5465</v>
      </c>
      <c r="R20" s="333">
        <f>IF(売分析!R20&lt;&gt;"",売分析!R20,"")</f>
        <v>4835</v>
      </c>
      <c r="S20" s="212" t="str">
        <f>IF(売分析!AA20&lt;&gt;"",売分析!AA20,"")</f>
        <v>下落▼</v>
      </c>
      <c r="T20" s="338">
        <f>IF(売分析!Z20&lt;&gt;"",売分析!Z20,"")</f>
        <v>-2.3597175771088814</v>
      </c>
      <c r="U20" s="212" t="str">
        <f>IF(売分析!V20&lt;&gt;"",売分析!V20,"")</f>
        <v>安値圏</v>
      </c>
      <c r="V20" s="336">
        <f>IF(売分析!W20&lt;&gt;"",売分析!W20,"")</f>
        <v>47.841726618705032</v>
      </c>
      <c r="W20" s="212" t="str">
        <f>IF(売分析!AD20&lt;&gt;"",売分析!AD20,"")</f>
        <v>もみ合い→</v>
      </c>
      <c r="X20" s="212" t="str">
        <f>IF(売分析!AE20&lt;&gt;"",売分析!AE20,"")</f>
        <v>25日戻り売り★</v>
      </c>
      <c r="Y20" s="388">
        <f>IF(売分析!T20&lt;&gt;"",売分析!T20,"")</f>
        <v>13</v>
      </c>
      <c r="Z20" s="212" t="str">
        <f>IF(売分析!Y20&lt;&gt;"",売分析!Y20,"")</f>
        <v>○逆張り売り | もみ合い→ 25日戻り売り★ MACD- RSI:47.8 前日比:-2.4% [安値圏] [13点]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1365</v>
      </c>
      <c r="F21" s="326">
        <f>IF(売分析!F21&lt;&gt;"",売分析!F21,"")</f>
        <v>1281</v>
      </c>
      <c r="G21" s="326">
        <f>IF(売分析!H21&lt;&gt;"",売分析!H21,"")</f>
        <v>1373</v>
      </c>
      <c r="H21" s="326">
        <f>IF(売分析!I21&lt;&gt;"",売分析!I21,"")</f>
        <v>1251</v>
      </c>
      <c r="I21" s="325">
        <f>IF(売分析!J21&lt;&gt;"",売分析!J21,"")</f>
        <v>1601200</v>
      </c>
      <c r="J21" s="326">
        <f>IF(売分析!AB21&lt;&gt;"",売分析!AB21,"")</f>
        <v>1343.0944700460827</v>
      </c>
      <c r="K21" s="326">
        <f>IF(売分析!AC21&lt;&gt;"",売分析!AC21,"")</f>
        <v>1405.4874851013108</v>
      </c>
      <c r="L21" s="326">
        <f>IF(売分析!K21&lt;&gt;"",売分析!K21,"")</f>
        <v>1612</v>
      </c>
      <c r="M21" s="325" t="str">
        <f>IF(売分析!P21&lt;&gt;"",売分析!P21,"")</f>
        <v>普通→</v>
      </c>
      <c r="N21" s="328">
        <f>IF(売分析!O21&lt;&gt;"",売分析!O21,"")</f>
        <v>1.25313047833709</v>
      </c>
      <c r="O21" s="330">
        <f>IF(売分析!X21&lt;&gt;"",売分析!X21,"")</f>
        <v>-0.55992700177898769</v>
      </c>
      <c r="P21" s="327">
        <f>IF(売分析!L21&lt;&gt;"",売分析!L21,"")</f>
        <v>-15.32258064516129</v>
      </c>
      <c r="Q21" s="326">
        <f>IF(売分析!S21&lt;&gt;"",売分析!S21,"")</f>
        <v>1420</v>
      </c>
      <c r="R21" s="326">
        <f>IF(売分析!R21&lt;&gt;"",売分析!R21,"")</f>
        <v>1256</v>
      </c>
      <c r="S21" s="325" t="str">
        <f>IF(売分析!AA21&lt;&gt;"",売分析!AA21,"")</f>
        <v>上昇▲</v>
      </c>
      <c r="T21" s="331">
        <f>IF(売分析!Z21&lt;&gt;"",売分析!Z21,"")</f>
        <v>4.7582501918649278</v>
      </c>
      <c r="U21" s="325" t="str">
        <f>IF(売分析!V21&lt;&gt;"",売分析!V21,"")</f>
        <v>通常</v>
      </c>
      <c r="V21" s="329">
        <f>IF(売分析!W21&lt;&gt;"",売分析!W21,"")</f>
        <v>39.583333333333336</v>
      </c>
      <c r="W21" s="325" t="str">
        <f>IF(売分析!AD21&lt;&gt;"",売分析!AD21,"")</f>
        <v>もみ合い→</v>
      </c>
      <c r="X21" s="325" t="str">
        <f>IF(売分析!AE21&lt;&gt;"",売分析!AE21,"")</f>
        <v>なし</v>
      </c>
      <c r="Y21" s="387">
        <f>IF(売分析!T21&lt;&gt;"",売分析!T21,"")</f>
        <v>2</v>
      </c>
      <c r="Z21" s="325" t="str">
        <f>IF(売分析!Y21&lt;&gt;"",売分析!Y21,"")</f>
        <v>相場上昇・見送り | もみ合い→ MACD- RSI:39.6 前日比:+4.8% [2点]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2242</v>
      </c>
      <c r="F22" s="333">
        <f>IF(売分析!F22&lt;&gt;"",売分析!F22,"")</f>
        <v>2350</v>
      </c>
      <c r="G22" s="333">
        <f>IF(売分析!H22&lt;&gt;"",売分析!H22,"")</f>
        <v>2432</v>
      </c>
      <c r="H22" s="333">
        <f>IF(売分析!I22&lt;&gt;"",売分析!I22,"")</f>
        <v>2230</v>
      </c>
      <c r="I22" s="212">
        <f>IF(売分析!J22&lt;&gt;"",売分析!J22,"")</f>
        <v>4532400</v>
      </c>
      <c r="J22" s="333">
        <f>IF(売分析!AB22&lt;&gt;"",売分析!AB22,"")</f>
        <v>2282.7580645161288</v>
      </c>
      <c r="K22" s="333">
        <f>IF(売分析!AC22&lt;&gt;"",売分析!AC22,"")</f>
        <v>2288.6626936829548</v>
      </c>
      <c r="L22" s="333">
        <f>IF(売分析!K22&lt;&gt;"",売分析!K22,"")</f>
        <v>4720</v>
      </c>
      <c r="M22" s="212" t="str">
        <f>IF(売分析!P22&lt;&gt;"",売分析!P22,"")</f>
        <v>普通→</v>
      </c>
      <c r="N22" s="335">
        <f>IF(売分析!O22&lt;&gt;"",売分析!O22,"")</f>
        <v>1.0687454903014955</v>
      </c>
      <c r="O22" s="337">
        <f>IF(売分析!X22&lt;&gt;"",売分析!X22,"")</f>
        <v>-38.002021979070378</v>
      </c>
      <c r="P22" s="334">
        <f>IF(売分析!L22&lt;&gt;"",売分析!L22,"")</f>
        <v>-52.5</v>
      </c>
      <c r="Q22" s="333">
        <f>IF(売分析!S22&lt;&gt;"",売分析!S22,"")</f>
        <v>2332</v>
      </c>
      <c r="R22" s="333">
        <f>IF(売分析!R22&lt;&gt;"",売分析!R22,"")</f>
        <v>2063</v>
      </c>
      <c r="S22" s="212" t="str">
        <f>IF(売分析!AA22&lt;&gt;"",売分析!AA22,"")</f>
        <v>下落▼</v>
      </c>
      <c r="T22" s="338">
        <f>IF(売分析!Z22&lt;&gt;"",売分析!Z22,"")</f>
        <v>-10.32</v>
      </c>
      <c r="U22" s="212" t="str">
        <f>IF(売分析!V22&lt;&gt;"",売分析!V22,"")</f>
        <v>年初来安値圏●</v>
      </c>
      <c r="V22" s="336">
        <f>IF(売分析!W22&lt;&gt;"",売分析!W22,"")</f>
        <v>53.591160220994475</v>
      </c>
      <c r="W22" s="212" t="str">
        <f>IF(売分析!AD22&lt;&gt;"",売分析!AD22,"")</f>
        <v>下降トレンド▼</v>
      </c>
      <c r="X22" s="212" t="str">
        <f>IF(売分析!AE22&lt;&gt;"",売分析!AE22,"")</f>
        <v>なし</v>
      </c>
      <c r="Y22" s="388">
        <f>IF(売分析!T22&lt;&gt;"",売分析!T22,"")</f>
        <v>15</v>
      </c>
      <c r="Z22" s="212" t="str">
        <f>IF(売分析!Y22&lt;&gt;"",売分析!Y22,"")</f>
        <v>相場上昇・見送り | 下降トレンド▼ MACD- RSI:53.6 前日比:-10.3% [年初来安値圏]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5196</v>
      </c>
      <c r="F23" s="326">
        <f>IF(売分析!F23&lt;&gt;"",売分析!F23,"")</f>
        <v>5350</v>
      </c>
      <c r="G23" s="326">
        <f>IF(売分析!H23&lt;&gt;"",売分析!H23,"")</f>
        <v>5368</v>
      </c>
      <c r="H23" s="326">
        <f>IF(売分析!I23&lt;&gt;"",売分析!I23,"")</f>
        <v>5154</v>
      </c>
      <c r="I23" s="325">
        <f>IF(売分析!J23&lt;&gt;"",売分析!J23,"")</f>
        <v>5499400</v>
      </c>
      <c r="J23" s="326">
        <f>IF(売分析!AB23&lt;&gt;"",売分析!AB23,"")</f>
        <v>5137.8248847926261</v>
      </c>
      <c r="K23" s="326">
        <f>IF(売分析!AC23&lt;&gt;"",売分析!AC23,"")</f>
        <v>5211.8104886769934</v>
      </c>
      <c r="L23" s="326">
        <f>IF(売分析!K23&lt;&gt;"",売分析!K23,"")</f>
        <v>6340</v>
      </c>
      <c r="M23" s="325" t="str">
        <f>IF(売分析!P23&lt;&gt;"",売分析!P23,"")</f>
        <v>普通→</v>
      </c>
      <c r="N23" s="328">
        <f>IF(売分析!O23&lt;&gt;"",売分析!O23,"")</f>
        <v>1.0875988339668463</v>
      </c>
      <c r="O23" s="330">
        <f>IF(売分析!X23&lt;&gt;"",売分析!X23,"")</f>
        <v>-87.298743427571935</v>
      </c>
      <c r="P23" s="327">
        <f>IF(売分析!L23&lt;&gt;"",売分析!L23,"")</f>
        <v>-18.044164037854891</v>
      </c>
      <c r="Q23" s="326">
        <f>IF(売分析!S23&lt;&gt;"",売分析!S23,"")</f>
        <v>5404</v>
      </c>
      <c r="R23" s="326">
        <f>IF(売分析!R23&lt;&gt;"",売分析!R23,"")</f>
        <v>4780</v>
      </c>
      <c r="S23" s="325" t="str">
        <f>IF(売分析!AA23&lt;&gt;"",売分析!AA23,"")</f>
        <v>下落▼</v>
      </c>
      <c r="T23" s="331">
        <f>IF(売分析!Z23&lt;&gt;"",売分析!Z23,"")</f>
        <v>-2.568910556909807</v>
      </c>
      <c r="U23" s="325" t="str">
        <f>IF(売分析!V23&lt;&gt;"",売分析!V23,"")</f>
        <v>通常</v>
      </c>
      <c r="V23" s="329">
        <f>IF(売分析!W23&lt;&gt;"",売分析!W23,"")</f>
        <v>41.00197758734344</v>
      </c>
      <c r="W23" s="325" t="str">
        <f>IF(売分析!AD23&lt;&gt;"",売分析!AD23,"")</f>
        <v>もみ合い→</v>
      </c>
      <c r="X23" s="325" t="str">
        <f>IF(売分析!AE23&lt;&gt;"",売分析!AE23,"")</f>
        <v>25日戻り売り★</v>
      </c>
      <c r="Y23" s="387">
        <f>IF(売分析!T23&lt;&gt;"",売分析!T23,"")</f>
        <v>12</v>
      </c>
      <c r="Z23" s="325" t="str">
        <f>IF(売分析!Y23&lt;&gt;"",売分析!Y23,"")</f>
        <v>○逆張り売り | もみ合い→ 25日戻り売り★ MACD- RSI:41.0 前日比:-2.6% [大陰線▼]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3736</v>
      </c>
      <c r="F24" s="333">
        <f>IF(売分析!F24&lt;&gt;"",売分析!F24,"")</f>
        <v>3852</v>
      </c>
      <c r="G24" s="333">
        <f>IF(売分析!H24&lt;&gt;"",売分析!H24,"")</f>
        <v>3910</v>
      </c>
      <c r="H24" s="333">
        <f>IF(売分析!I24&lt;&gt;"",売分析!I24,"")</f>
        <v>3688</v>
      </c>
      <c r="I24" s="212">
        <f>IF(売分析!J24&lt;&gt;"",売分析!J24,"")</f>
        <v>6490100</v>
      </c>
      <c r="J24" s="333">
        <f>IF(売分析!AB24&lt;&gt;"",売分析!AB24,"")</f>
        <v>3847.7223502304146</v>
      </c>
      <c r="K24" s="333">
        <f>IF(売分析!AC24&lt;&gt;"",売分析!AC24,"")</f>
        <v>3923.965435041715</v>
      </c>
      <c r="L24" s="333">
        <f>IF(売分析!K24&lt;&gt;"",売分析!K24,"")</f>
        <v>5307</v>
      </c>
      <c r="M24" s="212" t="str">
        <f>IF(売分析!P24&lt;&gt;"",売分析!P24,"")</f>
        <v>増加↑</v>
      </c>
      <c r="N24" s="335">
        <f>IF(売分析!O24&lt;&gt;"",売分析!O24,"")</f>
        <v>1.5334760460082981</v>
      </c>
      <c r="O24" s="337">
        <f>IF(売分析!X24&lt;&gt;"",売分析!X24,"")</f>
        <v>-66.223233654009164</v>
      </c>
      <c r="P24" s="334">
        <f>IF(売分析!L24&lt;&gt;"",売分析!L24,"")</f>
        <v>-29.602411908799699</v>
      </c>
      <c r="Q24" s="333">
        <f>IF(売分析!S24&lt;&gt;"",売分析!S24,"")</f>
        <v>3885</v>
      </c>
      <c r="R24" s="333">
        <f>IF(売分析!R24&lt;&gt;"",売分析!R24,"")</f>
        <v>3437</v>
      </c>
      <c r="S24" s="212" t="str">
        <f>IF(売分析!AA24&lt;&gt;"",売分析!AA24,"")</f>
        <v>下落▼</v>
      </c>
      <c r="T24" s="338">
        <f>IF(売分析!Z24&lt;&gt;"",売分析!Z24,"")</f>
        <v>-8.7890625</v>
      </c>
      <c r="U24" s="212" t="str">
        <f>IF(売分析!V24&lt;&gt;"",売分析!V24,"")</f>
        <v>安値圏</v>
      </c>
      <c r="V24" s="336">
        <f>IF(売分析!W24&lt;&gt;"",売分析!W24,"")</f>
        <v>47.217010631644776</v>
      </c>
      <c r="W24" s="212" t="str">
        <f>IF(売分析!AD24&lt;&gt;"",売分析!AD24,"")</f>
        <v>下降トレンド▼</v>
      </c>
      <c r="X24" s="212" t="str">
        <f>IF(売分析!AE24&lt;&gt;"",売分析!AE24,"")</f>
        <v>なし</v>
      </c>
      <c r="Y24" s="388">
        <f>IF(売分析!T24&lt;&gt;"",売分析!T24,"")</f>
        <v>15</v>
      </c>
      <c r="Z24" s="212" t="str">
        <f>IF(売分析!Y24&lt;&gt;"",売分析!Y24,"")</f>
        <v>相場上昇・見送り | 下降トレンド▼ MACD- RSI:47.2 前日比:-8.8% [安値圏] [15点]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8117</v>
      </c>
      <c r="F25" s="326">
        <f>IF(売分析!F25&lt;&gt;"",売分析!F25,"")</f>
        <v>8280</v>
      </c>
      <c r="G25" s="326">
        <f>IF(売分析!H25&lt;&gt;"",売分析!H25,"")</f>
        <v>8473</v>
      </c>
      <c r="H25" s="326">
        <f>IF(売分析!I25&lt;&gt;"",売分析!I25,"")</f>
        <v>8005</v>
      </c>
      <c r="I25" s="325">
        <f>IF(売分析!J25&lt;&gt;"",売分析!J25,"")</f>
        <v>1592700</v>
      </c>
      <c r="J25" s="326">
        <f>IF(売分析!AB25&lt;&gt;"",売分析!AB25,"")</f>
        <v>8079.0668202764964</v>
      </c>
      <c r="K25" s="326">
        <f>IF(売分析!AC25&lt;&gt;"",売分析!AC25,"")</f>
        <v>7636.9630512514859</v>
      </c>
      <c r="L25" s="326">
        <f>IF(売分析!K25&lt;&gt;"",売分析!K25,"")</f>
        <v>8943</v>
      </c>
      <c r="M25" s="325" t="str">
        <f>IF(売分析!P25&lt;&gt;"",売分析!P25,"")</f>
        <v>減少↓</v>
      </c>
      <c r="N25" s="328">
        <f>IF(売分析!O25&lt;&gt;"",売分析!O25,"")</f>
        <v>0.79747443895893211</v>
      </c>
      <c r="O25" s="330">
        <f>IF(売分析!X25&lt;&gt;"",売分析!X25,"")</f>
        <v>-19.614679647665071</v>
      </c>
      <c r="P25" s="327">
        <f>IF(売分析!L25&lt;&gt;"",売分析!L25,"")</f>
        <v>-9.236274180923628</v>
      </c>
      <c r="Q25" s="326">
        <f>IF(売分析!S25&lt;&gt;"",売分析!S25,"")</f>
        <v>8442</v>
      </c>
      <c r="R25" s="326">
        <f>IF(売分析!R25&lt;&gt;"",売分析!R25,"")</f>
        <v>7468</v>
      </c>
      <c r="S25" s="325" t="str">
        <f>IF(売分析!AA25&lt;&gt;"",売分析!AA25,"")</f>
        <v>下落▼</v>
      </c>
      <c r="T25" s="331">
        <f>IF(売分析!Z25&lt;&gt;"",売分析!Z25,"")</f>
        <v>-4.3370654095462582</v>
      </c>
      <c r="U25" s="325" t="str">
        <f>IF(売分析!V25&lt;&gt;"",売分析!V25,"")</f>
        <v>通常</v>
      </c>
      <c r="V25" s="329">
        <f>IF(売分析!W25&lt;&gt;"",売分析!W25,"")</f>
        <v>55.263753678967625</v>
      </c>
      <c r="W25" s="325" t="str">
        <f>IF(売分析!AD25&lt;&gt;"",売分析!AD25,"")</f>
        <v>パーフェクト▲</v>
      </c>
      <c r="X25" s="325" t="str">
        <f>IF(売分析!AE25&lt;&gt;"",売分析!AE25,"")</f>
        <v>なし</v>
      </c>
      <c r="Y25" s="387">
        <f>IF(売分析!T25&lt;&gt;"",売分析!T25,"")</f>
        <v>7</v>
      </c>
      <c r="Z25" s="325" t="str">
        <f>IF(売分析!Y25&lt;&gt;"",売分析!Y25,"")</f>
        <v>相場上昇・見送り | パーフェクト▲ MACD- RSI:55.3 前日比:-4.3% [7点]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2554.5</v>
      </c>
      <c r="F26" s="333">
        <f>IF(売分析!F26&lt;&gt;"",売分析!F26,"")</f>
        <v>2568.5</v>
      </c>
      <c r="G26" s="333">
        <f>IF(売分析!H26&lt;&gt;"",売分析!H26,"")</f>
        <v>2635</v>
      </c>
      <c r="H26" s="333">
        <f>IF(売分析!I26&lt;&gt;"",売分析!I26,"")</f>
        <v>2535</v>
      </c>
      <c r="I26" s="212">
        <f>IF(売分析!J26&lt;&gt;"",売分析!J26,"")</f>
        <v>2501400</v>
      </c>
      <c r="J26" s="333">
        <f>IF(売分析!AB26&lt;&gt;"",売分析!AB26,"")</f>
        <v>2539.1612903225805</v>
      </c>
      <c r="K26" s="333">
        <f>IF(売分析!AC26&lt;&gt;"",売分析!AC26,"")</f>
        <v>2559.0947556615006</v>
      </c>
      <c r="L26" s="333">
        <f>IF(売分析!K26&lt;&gt;"",売分析!K26,"")</f>
        <v>2699.5</v>
      </c>
      <c r="M26" s="212" t="str">
        <f>IF(売分析!P26&lt;&gt;"",売分析!P26,"")</f>
        <v>普通→</v>
      </c>
      <c r="N26" s="335">
        <f>IF(売分析!O26&lt;&gt;"",売分析!O26,"")</f>
        <v>1.3061049729526515</v>
      </c>
      <c r="O26" s="337">
        <f>IF(売分析!X26&lt;&gt;"",売分析!X26,"")</f>
        <v>-0.5833230509592795</v>
      </c>
      <c r="P26" s="334">
        <f>IF(売分析!L26&lt;&gt;"",売分析!L26,"")</f>
        <v>-5.3713650676051117</v>
      </c>
      <c r="Q26" s="333">
        <f>IF(売分析!S26&lt;&gt;"",売分析!S26,"")</f>
        <v>2657</v>
      </c>
      <c r="R26" s="333">
        <f>IF(売分析!R26&lt;&gt;"",売分析!R26,"")</f>
        <v>2350</v>
      </c>
      <c r="S26" s="212" t="str">
        <f>IF(売分析!AA26&lt;&gt;"",売分析!AA26,"")</f>
        <v>下落▼</v>
      </c>
      <c r="T26" s="338">
        <f>IF(売分析!Z26&lt;&gt;"",売分析!Z26,"")</f>
        <v>-0.98837209302325579</v>
      </c>
      <c r="U26" s="212" t="str">
        <f>IF(売分析!V26&lt;&gt;"",売分析!V26,"")</f>
        <v>通常</v>
      </c>
      <c r="V26" s="336">
        <f>IF(売分析!W26&lt;&gt;"",売分析!W26,"")</f>
        <v>46.158940397350996</v>
      </c>
      <c r="W26" s="212" t="str">
        <f>IF(売分析!AD26&lt;&gt;"",売分析!AD26,"")</f>
        <v>もみ合い→</v>
      </c>
      <c r="X26" s="212" t="str">
        <f>IF(売分析!AE26&lt;&gt;"",売分析!AE26,"")</f>
        <v>25日戻り売り★</v>
      </c>
      <c r="Y26" s="388">
        <f>IF(売分析!T26&lt;&gt;"",売分析!T26,"")</f>
        <v>4</v>
      </c>
      <c r="Z26" s="212" t="str">
        <f>IF(売分析!Y26&lt;&gt;"",売分析!Y26,"")</f>
        <v>○逆張り売り | もみ合い→ 25日戻り売り★ MACD- RSI:46.2 前日比:-1.0% [4点]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3350</v>
      </c>
      <c r="F27" s="326">
        <f>IF(売分析!F27&lt;&gt;"",売分析!F27,"")</f>
        <v>3220</v>
      </c>
      <c r="G27" s="326">
        <f>IF(売分析!H27&lt;&gt;"",売分析!H27,"")</f>
        <v>3375</v>
      </c>
      <c r="H27" s="326">
        <f>IF(売分析!I27&lt;&gt;"",売分析!I27,"")</f>
        <v>3145</v>
      </c>
      <c r="I27" s="325">
        <f>IF(売分析!J27&lt;&gt;"",売分析!J27,"")</f>
        <v>447400</v>
      </c>
      <c r="J27" s="326">
        <f>IF(売分析!AB27&lt;&gt;"",売分析!AB27,"")</f>
        <v>3235.8145161290317</v>
      </c>
      <c r="K27" s="326">
        <f>IF(売分析!AC27&lt;&gt;"",売分析!AC27,"")</f>
        <v>3701.2717520858164</v>
      </c>
      <c r="L27" s="326">
        <f>IF(売分析!K27&lt;&gt;"",売分析!K27,"")</f>
        <v>9480</v>
      </c>
      <c r="M27" s="325" t="str">
        <f>IF(売分析!P27&lt;&gt;"",売分析!P27,"")</f>
        <v>減少↓</v>
      </c>
      <c r="N27" s="328">
        <f>IF(売分析!O27&lt;&gt;"",売分析!O27,"")</f>
        <v>0.61481379689432458</v>
      </c>
      <c r="O27" s="330">
        <f>IF(売分析!X27&lt;&gt;"",売分析!X27,"")</f>
        <v>-360.3045844793196</v>
      </c>
      <c r="P27" s="327">
        <f>IF(売分析!L27&lt;&gt;"",売分析!L27,"")</f>
        <v>-64.662447257383974</v>
      </c>
      <c r="Q27" s="326">
        <f>IF(売分析!S27&lt;&gt;"",売分析!S27,"")</f>
        <v>3484</v>
      </c>
      <c r="R27" s="326">
        <f>IF(売分析!R27&lt;&gt;"",売分析!R27,"")</f>
        <v>3082</v>
      </c>
      <c r="S27" s="325" t="str">
        <f>IF(売分析!AA27&lt;&gt;"",売分析!AA27,"")</f>
        <v>下落▼</v>
      </c>
      <c r="T27" s="331">
        <f>IF(売分析!Z27&lt;&gt;"",売分析!Z27,"")</f>
        <v>-0.8875739644970414</v>
      </c>
      <c r="U27" s="325" t="str">
        <f>IF(売分析!V27&lt;&gt;"",売分析!V27,"")</f>
        <v>年初来安値圏●</v>
      </c>
      <c r="V27" s="329">
        <f>IF(売分析!W27&lt;&gt;"",売分析!W27,"")</f>
        <v>41.506646971935005</v>
      </c>
      <c r="W27" s="325" t="str">
        <f>IF(売分析!AD27&lt;&gt;"",売分析!AD27,"")</f>
        <v>もみ合い→</v>
      </c>
      <c r="X27" s="325" t="str">
        <f>IF(売分析!AE27&lt;&gt;"",売分析!AE27,"")</f>
        <v>なし</v>
      </c>
      <c r="Y27" s="387">
        <f>IF(売分析!T27&lt;&gt;"",売分析!T27,"")</f>
        <v>12</v>
      </c>
      <c r="Z27" s="325" t="str">
        <f>IF(売分析!Y27&lt;&gt;"",売分析!Y27,"")</f>
        <v>相場上昇・見送り | もみ合い→ MACD- RSI:41.5 前日比:-0.9% [年初来安値圏] [12点]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1737</v>
      </c>
      <c r="F28" s="333">
        <f>IF(売分析!F28&lt;&gt;"",売分析!F28,"")</f>
        <v>1800</v>
      </c>
      <c r="G28" s="333">
        <f>IF(売分析!H28&lt;&gt;"",売分析!H28,"")</f>
        <v>1809</v>
      </c>
      <c r="H28" s="333">
        <f>IF(売分析!I28&lt;&gt;"",売分析!I28,"")</f>
        <v>1730</v>
      </c>
      <c r="I28" s="212">
        <f>IF(売分析!J28&lt;&gt;"",売分析!J28,"")</f>
        <v>433700</v>
      </c>
      <c r="J28" s="333">
        <f>IF(売分析!AB28&lt;&gt;"",売分析!AB28,"")</f>
        <v>2220.573732718894</v>
      </c>
      <c r="K28" s="333">
        <f>IF(売分析!AC28&lt;&gt;"",売分析!AC28,"")</f>
        <v>3497.0727056019068</v>
      </c>
      <c r="L28" s="333">
        <f>IF(売分析!K28&lt;&gt;"",売分析!K28,"")</f>
        <v>4130</v>
      </c>
      <c r="M28" s="212" t="str">
        <f>IF(売分析!P28&lt;&gt;"",売分析!P28,"")</f>
        <v>減少↓</v>
      </c>
      <c r="N28" s="335">
        <f>IF(売分析!O28&lt;&gt;"",売分析!O28,"")</f>
        <v>0.64710095192623318</v>
      </c>
      <c r="O28" s="337">
        <f>IF(売分析!X28&lt;&gt;"",売分析!X28,"")</f>
        <v>-452.55497753135342</v>
      </c>
      <c r="P28" s="334">
        <f>IF(売分析!L28&lt;&gt;"",売分析!L28,"")</f>
        <v>-57.941888619854723</v>
      </c>
      <c r="Q28" s="333">
        <f>IF(売分析!S28&lt;&gt;"",売分析!S28,"")</f>
        <v>1806</v>
      </c>
      <c r="R28" s="333">
        <f>IF(売分析!R28&lt;&gt;"",売分析!R28,"")</f>
        <v>1598</v>
      </c>
      <c r="S28" s="212" t="str">
        <f>IF(売分析!AA28&lt;&gt;"",売分析!AA28,"")</f>
        <v>下落▼</v>
      </c>
      <c r="T28" s="338">
        <f>IF(売分析!Z28&lt;&gt;"",売分析!Z28,"")</f>
        <v>-5.081967213114754</v>
      </c>
      <c r="U28" s="212" t="str">
        <f>IF(売分析!V28&lt;&gt;"",売分析!V28,"")</f>
        <v>年初来安値圏●</v>
      </c>
      <c r="V28" s="336">
        <f>IF(売分析!W28&lt;&gt;"",売分析!W28,"")</f>
        <v>29.811815150071453</v>
      </c>
      <c r="W28" s="212" t="str">
        <f>IF(売分析!AD28&lt;&gt;"",売分析!AD28,"")</f>
        <v>下降トレンド▼</v>
      </c>
      <c r="X28" s="212" t="str">
        <f>IF(売分析!AE28&lt;&gt;"",売分析!AE28,"")</f>
        <v>なし</v>
      </c>
      <c r="Y28" s="388">
        <f>IF(売分析!T28&lt;&gt;"",売分析!T28,"")</f>
        <v>16</v>
      </c>
      <c r="Z28" s="212" t="str">
        <f>IF(売分析!Y28&lt;&gt;"",売分析!Y28,"")</f>
        <v>相場上昇・見送り | 下降トレンド▼ MACD- RSI:29.8 [売られ過ぎ] 前日比:-5.1% [年初来安値圏] [大陰線▼] [16点]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5930</v>
      </c>
      <c r="F29" s="326">
        <f>IF(売分析!F29&lt;&gt;"",売分析!F29,"")</f>
        <v>5950</v>
      </c>
      <c r="G29" s="326">
        <f>IF(売分析!H29&lt;&gt;"",売分析!H29,"")</f>
        <v>6030</v>
      </c>
      <c r="H29" s="326">
        <f>IF(売分析!I29&lt;&gt;"",売分析!I29,"")</f>
        <v>5870</v>
      </c>
      <c r="I29" s="325">
        <f>IF(売分析!J29&lt;&gt;"",売分析!J29,"")</f>
        <v>175900</v>
      </c>
      <c r="J29" s="326">
        <f>IF(売分析!AB29&lt;&gt;"",売分析!AB29,"")</f>
        <v>5839.7350230414741</v>
      </c>
      <c r="K29" s="326">
        <f>IF(売分析!AC29&lt;&gt;"",売分析!AC29,"")</f>
        <v>5485.3039332538719</v>
      </c>
      <c r="L29" s="326">
        <f>IF(売分析!K29&lt;&gt;"",売分析!K29,"")</f>
        <v>7880</v>
      </c>
      <c r="M29" s="325" t="str">
        <f>IF(売分析!P29&lt;&gt;"",売分析!P29,"")</f>
        <v>減少↓</v>
      </c>
      <c r="N29" s="328">
        <f>IF(売分析!O29&lt;&gt;"",売分析!O29,"")</f>
        <v>0.76120823957071149</v>
      </c>
      <c r="O29" s="330">
        <f>IF(売分析!X29&lt;&gt;"",売分析!X29,"")</f>
        <v>-59.005727613943236</v>
      </c>
      <c r="P29" s="327">
        <f>IF(売分析!L29&lt;&gt;"",売分析!L29,"")</f>
        <v>-24.746192893401016</v>
      </c>
      <c r="Q29" s="326">
        <f>IF(売分析!S29&lt;&gt;"",売分析!S29,"")</f>
        <v>6167</v>
      </c>
      <c r="R29" s="326">
        <f>IF(売分析!R29&lt;&gt;"",売分析!R29,"")</f>
        <v>5456</v>
      </c>
      <c r="S29" s="325" t="str">
        <f>IF(売分析!AA29&lt;&gt;"",売分析!AA29,"")</f>
        <v>下落▼</v>
      </c>
      <c r="T29" s="331">
        <f>IF(売分析!Z29&lt;&gt;"",売分析!Z29,"")</f>
        <v>-2.6272577996715927</v>
      </c>
      <c r="U29" s="325" t="str">
        <f>IF(売分析!V29&lt;&gt;"",売分析!V29,"")</f>
        <v>安値圏</v>
      </c>
      <c r="V29" s="329">
        <f>IF(売分析!W29&lt;&gt;"",売分析!W29,"")</f>
        <v>50.578034682080919</v>
      </c>
      <c r="W29" s="325" t="str">
        <f>IF(売分析!AD29&lt;&gt;"",売分析!AD29,"")</f>
        <v>パーフェクト▲</v>
      </c>
      <c r="X29" s="325" t="str">
        <f>IF(売分析!AE29&lt;&gt;"",売分析!AE29,"")</f>
        <v>なし</v>
      </c>
      <c r="Y29" s="387">
        <f>IF(売分析!T29&lt;&gt;"",売分析!T29,"")</f>
        <v>10</v>
      </c>
      <c r="Z29" s="325" t="str">
        <f>IF(売分析!Y29&lt;&gt;"",売分析!Y29,"")</f>
        <v>相場上昇・見送り | パーフェクト▲ MACD- RSI:50.6 前日比:-2.6% [安値圏] [10点]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7421</v>
      </c>
      <c r="F30" s="333">
        <f>IF(売分析!F30&lt;&gt;"",売分析!F30,"")</f>
        <v>7686</v>
      </c>
      <c r="G30" s="333">
        <f>IF(売分析!H30&lt;&gt;"",売分析!H30,"")</f>
        <v>7762</v>
      </c>
      <c r="H30" s="333">
        <f>IF(売分析!I30&lt;&gt;"",売分析!I30,"")</f>
        <v>7050</v>
      </c>
      <c r="I30" s="212">
        <f>IF(売分析!J30&lt;&gt;"",売分析!J30,"")</f>
        <v>36253800</v>
      </c>
      <c r="J30" s="333">
        <f>IF(売分析!AB30&lt;&gt;"",売分析!AB30,"")</f>
        <v>7445.5276497695841</v>
      </c>
      <c r="K30" s="333">
        <f>IF(売分析!AC30&lt;&gt;"",売分析!AC30,"")</f>
        <v>7925.7187127532725</v>
      </c>
      <c r="L30" s="333">
        <f>IF(売分析!K30&lt;&gt;"",売分析!K30,"")</f>
        <v>12895</v>
      </c>
      <c r="M30" s="212" t="str">
        <f>IF(売分析!P30&lt;&gt;"",売分析!P30,"")</f>
        <v>普通→</v>
      </c>
      <c r="N30" s="335">
        <f>IF(売分析!O30&lt;&gt;"",売分析!O30,"")</f>
        <v>1.2343273876198875</v>
      </c>
      <c r="O30" s="337">
        <f>IF(売分析!X30&lt;&gt;"",売分析!X30,"")</f>
        <v>-280.88409641814724</v>
      </c>
      <c r="P30" s="334">
        <f>IF(売分析!L30&lt;&gt;"",売分析!L30,"")</f>
        <v>-42.450562233423803</v>
      </c>
      <c r="Q30" s="333">
        <f>IF(売分析!S30&lt;&gt;"",売分析!S30,"")</f>
        <v>7718</v>
      </c>
      <c r="R30" s="333">
        <f>IF(売分析!R30&lt;&gt;"",売分析!R30,"")</f>
        <v>6827</v>
      </c>
      <c r="S30" s="212" t="str">
        <f>IF(売分析!AA30&lt;&gt;"",売分析!AA30,"")</f>
        <v>下落▼</v>
      </c>
      <c r="T30" s="338">
        <f>IF(売分析!Z30&lt;&gt;"",売分析!Z30,"")</f>
        <v>-5.2113935368501725</v>
      </c>
      <c r="U30" s="212" t="str">
        <f>IF(売分析!V30&lt;&gt;"",売分析!V30,"")</f>
        <v>年初来安値圏●</v>
      </c>
      <c r="V30" s="336">
        <f>IF(売分析!W30&lt;&gt;"",売分析!W30,"")</f>
        <v>40.726689041295778</v>
      </c>
      <c r="W30" s="212" t="str">
        <f>IF(売分析!AD30&lt;&gt;"",売分析!AD30,"")</f>
        <v>下降トレンド▼</v>
      </c>
      <c r="X30" s="212" t="str">
        <f>IF(売分析!AE30&lt;&gt;"",売分析!AE30,"")</f>
        <v>5日戻り売り○</v>
      </c>
      <c r="Y30" s="388">
        <f>IF(売分析!T30&lt;&gt;"",売分析!T30,"")</f>
        <v>13</v>
      </c>
      <c r="Z30" s="212" t="str">
        <f>IF(売分析!Y30&lt;&gt;"",売分析!Y30,"")</f>
        <v>★逆張り売り | 下降トレンド▼ 5日戻り売り○ MACD- RSI:40.7 前日比:-5.2% [年初来安値圏] [長い下ヒゲ(反発警戒)]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3525</v>
      </c>
      <c r="F31" s="326">
        <f>IF(売分析!F31&lt;&gt;"",売分析!F31,"")</f>
        <v>3572</v>
      </c>
      <c r="G31" s="326">
        <f>IF(売分析!H31&lt;&gt;"",売分析!H31,"")</f>
        <v>3663</v>
      </c>
      <c r="H31" s="326">
        <f>IF(売分析!I31&lt;&gt;"",売分析!I31,"")</f>
        <v>3481</v>
      </c>
      <c r="I31" s="325">
        <f>IF(売分析!J31&lt;&gt;"",売分析!J31,"")</f>
        <v>2090900</v>
      </c>
      <c r="J31" s="326">
        <f>IF(売分析!AB31&lt;&gt;"",売分析!AB31,"")</f>
        <v>3619.0069124423967</v>
      </c>
      <c r="K31" s="326">
        <f>IF(売分析!AC31&lt;&gt;"",売分析!AC31,"")</f>
        <v>3614.0369487485091</v>
      </c>
      <c r="L31" s="326">
        <f>IF(売分析!K31&lt;&gt;"",売分析!K31,"")</f>
        <v>4855</v>
      </c>
      <c r="M31" s="325" t="str">
        <f>IF(売分析!P31&lt;&gt;"",売分析!P31,"")</f>
        <v>減少↓</v>
      </c>
      <c r="N31" s="328">
        <f>IF(売分析!O31&lt;&gt;"",売分析!O31,"")</f>
        <v>0.76869627875855684</v>
      </c>
      <c r="O31" s="330">
        <f>IF(売分析!X31&lt;&gt;"",売分析!X31,"")</f>
        <v>-80.63907076528676</v>
      </c>
      <c r="P31" s="327">
        <f>IF(売分析!L31&lt;&gt;"",売分析!L31,"")</f>
        <v>-27.394438722966015</v>
      </c>
      <c r="Q31" s="326">
        <f>IF(売分析!S31&lt;&gt;"",売分析!S31,"")</f>
        <v>3666</v>
      </c>
      <c r="R31" s="326">
        <f>IF(売分析!R31&lt;&gt;"",売分析!R31,"")</f>
        <v>3243</v>
      </c>
      <c r="S31" s="325" t="str">
        <f>IF(売分析!AA31&lt;&gt;"",売分析!AA31,"")</f>
        <v>下落▼</v>
      </c>
      <c r="T31" s="331">
        <f>IF(売分析!Z31&lt;&gt;"",売分析!Z31,"")</f>
        <v>-8.0354813462040173</v>
      </c>
      <c r="U31" s="325" t="str">
        <f>IF(売分析!V31&lt;&gt;"",売分析!V31,"")</f>
        <v>安値圏</v>
      </c>
      <c r="V31" s="329">
        <f>IF(売分析!W31&lt;&gt;"",売分析!W31,"")</f>
        <v>48.660945093578739</v>
      </c>
      <c r="W31" s="325" t="str">
        <f>IF(売分析!AD31&lt;&gt;"",売分析!AD31,"")</f>
        <v>もみ合い→</v>
      </c>
      <c r="X31" s="325" t="str">
        <f>IF(売分析!AE31&lt;&gt;"",売分析!AE31,"")</f>
        <v>なし</v>
      </c>
      <c r="Y31" s="387">
        <f>IF(売分析!T31&lt;&gt;"",売分析!T31,"")</f>
        <v>10</v>
      </c>
      <c r="Z31" s="325" t="str">
        <f>IF(売分析!Y31&lt;&gt;"",売分析!Y31,"")</f>
        <v>相場上昇・見送り | もみ合い→ MACD- RSI:48.7 前日比:-8.0% [安値圏] [10点]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5642</v>
      </c>
      <c r="F32" s="333">
        <f>IF(売分析!F32&lt;&gt;"",売分析!F32,"")</f>
        <v>5815</v>
      </c>
      <c r="G32" s="333">
        <f>IF(売分析!H32&lt;&gt;"",売分析!H32,"")</f>
        <v>5848</v>
      </c>
      <c r="H32" s="333">
        <f>IF(売分析!I32&lt;&gt;"",売分析!I32,"")</f>
        <v>5618</v>
      </c>
      <c r="I32" s="212">
        <f>IF(売分析!J32&lt;&gt;"",売分析!J32,"")</f>
        <v>1490600</v>
      </c>
      <c r="J32" s="333">
        <f>IF(売分析!AB32&lt;&gt;"",売分析!AB32,"")</f>
        <v>5573.869815668203</v>
      </c>
      <c r="K32" s="333">
        <f>IF(売分析!AC32&lt;&gt;"",売分析!AC32,"")</f>
        <v>5843.8712753277687</v>
      </c>
      <c r="L32" s="333">
        <f>IF(売分析!K32&lt;&gt;"",売分析!K32,"")</f>
        <v>7460</v>
      </c>
      <c r="M32" s="212" t="str">
        <f>IF(売分析!P32&lt;&gt;"",売分析!P32,"")</f>
        <v>減少↓</v>
      </c>
      <c r="N32" s="335">
        <f>IF(売分析!O32&lt;&gt;"",売分析!O32,"")</f>
        <v>0.59826452715990919</v>
      </c>
      <c r="O32" s="337">
        <f>IF(売分析!X32&lt;&gt;"",売分析!X32,"")</f>
        <v>-106.16881933139211</v>
      </c>
      <c r="P32" s="334">
        <f>IF(売分析!L32&lt;&gt;"",売分析!L32,"")</f>
        <v>-24.369973190348524</v>
      </c>
      <c r="Q32" s="333">
        <f>IF(売分析!S32&lt;&gt;"",売分析!S32,"")</f>
        <v>5868</v>
      </c>
      <c r="R32" s="333">
        <f>IF(売分析!R32&lt;&gt;"",売分析!R32,"")</f>
        <v>5191</v>
      </c>
      <c r="S32" s="212" t="str">
        <f>IF(売分析!AA32&lt;&gt;"",売分析!AA32,"")</f>
        <v>下落▼</v>
      </c>
      <c r="T32" s="338">
        <f>IF(売分析!Z32&lt;&gt;"",売分析!Z32,"")</f>
        <v>-0.73891625615763545</v>
      </c>
      <c r="U32" s="212" t="str">
        <f>IF(売分析!V32&lt;&gt;"",売分析!V32,"")</f>
        <v>通常</v>
      </c>
      <c r="V32" s="336">
        <f>IF(売分析!W32&lt;&gt;"",売分析!W32,"")</f>
        <v>32.782515991471215</v>
      </c>
      <c r="W32" s="212" t="str">
        <f>IF(売分析!AD32&lt;&gt;"",売分析!AD32,"")</f>
        <v>もみ合い→</v>
      </c>
      <c r="X32" s="212" t="str">
        <f>IF(売分析!AE32&lt;&gt;"",売分析!AE32,"")</f>
        <v>なし</v>
      </c>
      <c r="Y32" s="388">
        <f>IF(売分析!T32&lt;&gt;"",売分析!T32,"")</f>
        <v>10</v>
      </c>
      <c r="Z32" s="212" t="str">
        <f>IF(売分析!Y32&lt;&gt;"",売分析!Y32,"")</f>
        <v>相場上昇・見送り | もみ合い→ MACD- RSI:32.8 前日比:-0.7% [大陰線▼] [10点]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8880</v>
      </c>
      <c r="F33" s="326">
        <f>IF(売分析!F33&lt;&gt;"",売分析!F33,"")</f>
        <v>8900</v>
      </c>
      <c r="G33" s="326">
        <f>IF(売分析!H33&lt;&gt;"",売分析!H33,"")</f>
        <v>9180</v>
      </c>
      <c r="H33" s="326">
        <f>IF(売分析!I33&lt;&gt;"",売分析!I33,"")</f>
        <v>8720</v>
      </c>
      <c r="I33" s="325">
        <f>IF(売分析!J33&lt;&gt;"",売分析!J33,"")</f>
        <v>1357700</v>
      </c>
      <c r="J33" s="326">
        <f>IF(売分析!AB33&lt;&gt;"",売分析!AB33,"")</f>
        <v>8858.6520737327191</v>
      </c>
      <c r="K33" s="326">
        <f>IF(売分析!AC33&lt;&gt;"",売分析!AC33,"")</f>
        <v>8326.6150178784228</v>
      </c>
      <c r="L33" s="326">
        <f>IF(売分析!K33&lt;&gt;"",売分析!K33,"")</f>
        <v>11700</v>
      </c>
      <c r="M33" s="325" t="str">
        <f>IF(売分析!P33&lt;&gt;"",売分析!P33,"")</f>
        <v>減少↓</v>
      </c>
      <c r="N33" s="328">
        <f>IF(売分析!O33&lt;&gt;"",売分析!O33,"")</f>
        <v>0.81967905915309291</v>
      </c>
      <c r="O33" s="330">
        <f>IF(売分析!X33&lt;&gt;"",売分析!X33,"")</f>
        <v>58.745994849527051</v>
      </c>
      <c r="P33" s="327">
        <f>IF(売分析!L33&lt;&gt;"",売分析!L33,"")</f>
        <v>-24.102564102564102</v>
      </c>
      <c r="Q33" s="326">
        <f>IF(売分析!S33&lt;&gt;"",売分析!S33,"")</f>
        <v>9235</v>
      </c>
      <c r="R33" s="326">
        <f>IF(売分析!R33&lt;&gt;"",売分析!R33,"")</f>
        <v>8170</v>
      </c>
      <c r="S33" s="325" t="str">
        <f>IF(売分析!AA33&lt;&gt;"",売分析!AA33,"")</f>
        <v>下落▼</v>
      </c>
      <c r="T33" s="331">
        <f>IF(売分析!Z33&lt;&gt;"",売分析!Z33,"")</f>
        <v>-5.2294557097118464</v>
      </c>
      <c r="U33" s="325" t="str">
        <f>IF(売分析!V33&lt;&gt;"",売分析!V33,"")</f>
        <v>安値圏</v>
      </c>
      <c r="V33" s="329">
        <f>IF(売分析!W33&lt;&gt;"",売分析!W33,"")</f>
        <v>57.510148849797027</v>
      </c>
      <c r="W33" s="325" t="str">
        <f>IF(売分析!AD33&lt;&gt;"",売分析!AD33,"")</f>
        <v>パーフェクト▲</v>
      </c>
      <c r="X33" s="325" t="str">
        <f>IF(売分析!AE33&lt;&gt;"",売分析!AE33,"")</f>
        <v>なし</v>
      </c>
      <c r="Y33" s="387">
        <f>IF(売分析!T33&lt;&gt;"",売分析!T33,"")</f>
        <v>8</v>
      </c>
      <c r="Z33" s="325" t="str">
        <f>IF(売分析!Y33&lt;&gt;"",売分析!Y33,"")</f>
        <v>相場上昇・見送り | パーフェクト▲ MACD+ RSI:57.5 前日比:-5.2% [安値圏] [8点]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24320</v>
      </c>
      <c r="F34" s="333">
        <f>IF(売分析!F34&lt;&gt;"",売分析!F34,"")</f>
        <v>25000</v>
      </c>
      <c r="G34" s="333">
        <f>IF(売分析!H34&lt;&gt;"",売分析!H34,"")</f>
        <v>25610</v>
      </c>
      <c r="H34" s="333">
        <f>IF(売分析!I34&lt;&gt;"",売分析!I34,"")</f>
        <v>24000</v>
      </c>
      <c r="I34" s="212">
        <f>IF(売分析!J34&lt;&gt;"",売分析!J34,"")</f>
        <v>106500</v>
      </c>
      <c r="J34" s="333">
        <f>IF(売分析!AB34&lt;&gt;"",売分析!AB34,"")</f>
        <v>24244.135944700462</v>
      </c>
      <c r="K34" s="333">
        <f>IF(売分析!AC34&lt;&gt;"",売分析!AC34,"")</f>
        <v>23495.816448152556</v>
      </c>
      <c r="L34" s="333">
        <f>IF(売分析!K34&lt;&gt;"",売分析!K34,"")</f>
        <v>28430</v>
      </c>
      <c r="M34" s="212" t="str">
        <f>IF(売分析!P34&lt;&gt;"",売分析!P34,"")</f>
        <v>普通→</v>
      </c>
      <c r="N34" s="335">
        <f>IF(売分析!O34&lt;&gt;"",売分析!O34,"")</f>
        <v>1.0386190754827385</v>
      </c>
      <c r="O34" s="337">
        <f>IF(売分析!X34&lt;&gt;"",売分析!X34,"")</f>
        <v>-157.15557696057658</v>
      </c>
      <c r="P34" s="334">
        <f>IF(売分析!L34&lt;&gt;"",売分析!L34,"")</f>
        <v>-14.456559971860711</v>
      </c>
      <c r="Q34" s="333">
        <f>IF(売分析!S34&lt;&gt;"",売分析!S34,"")</f>
        <v>25293</v>
      </c>
      <c r="R34" s="333">
        <f>IF(売分析!R34&lt;&gt;"",売分析!R34,"")</f>
        <v>22374</v>
      </c>
      <c r="S34" s="212" t="str">
        <f>IF(売分析!AA34&lt;&gt;"",売分析!AA34,"")</f>
        <v>下落▼</v>
      </c>
      <c r="T34" s="338">
        <f>IF(売分析!Z34&lt;&gt;"",売分析!Z34,"")</f>
        <v>-4.6274509803921564</v>
      </c>
      <c r="U34" s="212" t="str">
        <f>IF(売分析!V34&lt;&gt;"",売分析!V34,"")</f>
        <v>通常</v>
      </c>
      <c r="V34" s="336">
        <f>IF(売分析!W34&lt;&gt;"",売分析!W34,"")</f>
        <v>50.985027580772261</v>
      </c>
      <c r="W34" s="212" t="str">
        <f>IF(売分析!AD34&lt;&gt;"",売分析!AD34,"")</f>
        <v>パーフェクト▲</v>
      </c>
      <c r="X34" s="212" t="str">
        <f>IF(売分析!AE34&lt;&gt;"",売分析!AE34,"")</f>
        <v>なし</v>
      </c>
      <c r="Y34" s="388">
        <f>IF(売分析!T34&lt;&gt;"",売分析!T34,"")</f>
        <v>7</v>
      </c>
      <c r="Z34" s="212" t="str">
        <f>IF(売分析!Y34&lt;&gt;"",売分析!Y34,"")</f>
        <v>相場上昇・見送り | パーフェクト▲ MACD- RSI:51.0 前日比:-4.6% [7点]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55330</v>
      </c>
      <c r="F35" s="326">
        <f>IF(売分析!F35&lt;&gt;"",売分析!F35,"")</f>
        <v>56550</v>
      </c>
      <c r="G35" s="326">
        <f>IF(売分析!H35&lt;&gt;"",売分析!H35,"")</f>
        <v>56800</v>
      </c>
      <c r="H35" s="326">
        <f>IF(売分析!I35&lt;&gt;"",売分析!I35,"")</f>
        <v>54800</v>
      </c>
      <c r="I35" s="325">
        <f>IF(売分析!J35&lt;&gt;"",売分析!J35,"")</f>
        <v>3602900</v>
      </c>
      <c r="J35" s="326">
        <f>IF(売分析!AB35&lt;&gt;"",売分析!AB35,"")</f>
        <v>56361.290322580637</v>
      </c>
      <c r="K35" s="326">
        <f>IF(売分析!AC35&lt;&gt;"",売分析!AC35,"")</f>
        <v>60916.48390941594</v>
      </c>
      <c r="L35" s="326">
        <f>IF(売分析!K35&lt;&gt;"",売分析!K35,"")</f>
        <v>81260</v>
      </c>
      <c r="M35" s="325" t="str">
        <f>IF(売分析!P35&lt;&gt;"",売分析!P35,"")</f>
        <v>減少↓</v>
      </c>
      <c r="N35" s="328">
        <f>IF(売分析!O35&lt;&gt;"",売分析!O35,"")</f>
        <v>0.61265474085158478</v>
      </c>
      <c r="O35" s="330">
        <f>IF(売分析!X35&lt;&gt;"",売分析!X35,"")</f>
        <v>-2232.7768976950174</v>
      </c>
      <c r="P35" s="327">
        <f>IF(売分析!L35&lt;&gt;"",売分析!L35,"")</f>
        <v>-31.909918779227169</v>
      </c>
      <c r="Q35" s="326">
        <f>IF(売分析!S35&lt;&gt;"",売分析!S35,"")</f>
        <v>57543</v>
      </c>
      <c r="R35" s="326">
        <f>IF(売分析!R35&lt;&gt;"",売分析!R35,"")</f>
        <v>50904</v>
      </c>
      <c r="S35" s="325" t="str">
        <f>IF(売分析!AA35&lt;&gt;"",売分析!AA35,"")</f>
        <v>下落▼</v>
      </c>
      <c r="T35" s="331">
        <f>IF(売分析!Z35&lt;&gt;"",売分析!Z35,"")</f>
        <v>-5.499573014517507</v>
      </c>
      <c r="U35" s="325" t="str">
        <f>IF(売分析!V35&lt;&gt;"",売分析!V35,"")</f>
        <v>安値圏</v>
      </c>
      <c r="V35" s="329">
        <f>IF(売分析!W35&lt;&gt;"",売分析!W35,"")</f>
        <v>28.814474750202535</v>
      </c>
      <c r="W35" s="325" t="str">
        <f>IF(売分析!AD35&lt;&gt;"",売分析!AD35,"")</f>
        <v>下降トレンド▼</v>
      </c>
      <c r="X35" s="325" t="str">
        <f>IF(売分析!AE35&lt;&gt;"",売分析!AE35,"")</f>
        <v>なし</v>
      </c>
      <c r="Y35" s="387">
        <f>IF(売分析!T35&lt;&gt;"",売分析!T35,"")</f>
        <v>13</v>
      </c>
      <c r="Z35" s="325" t="str">
        <f>IF(売分析!Y35&lt;&gt;"",売分析!Y35,"")</f>
        <v>相場上昇・見送り | 下降トレンド▼ MACD- RSI:28.8 [売られ過ぎ] 前日比:-5.5% [安値圏]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4055.85</v>
      </c>
      <c r="E36" s="333">
        <f>IF(売分析!E36&lt;&gt;"",売分析!E36,"")</f>
        <v>4055.85</v>
      </c>
      <c r="F36" s="333">
        <f>IF(売分析!F36&lt;&gt;"",売分析!F36,"")</f>
        <v>4041.15</v>
      </c>
      <c r="G36" s="333">
        <f>IF(売分析!H36&lt;&gt;"",売分析!H36,"")</f>
        <v>4065.66</v>
      </c>
      <c r="H36" s="333">
        <f>IF(売分析!I36&lt;&gt;"",売分析!I36,"")</f>
        <v>4026.39</v>
      </c>
      <c r="I36" s="212">
        <f>IF(売分析!J36&lt;&gt;"",売分析!J36,"")</f>
        <v>299730</v>
      </c>
      <c r="J36" s="333" t="str">
        <f>IF(売分析!AB36&lt;&gt;"",売分析!AB36,"")</f>
        <v/>
      </c>
      <c r="K36" s="333" t="str">
        <f>IF(売分析!AC36&lt;&gt;"",売分析!AC36,"")</f>
        <v/>
      </c>
      <c r="L36" s="333">
        <f>IF(売分析!K36&lt;&gt;"",売分析!K36,"")</f>
        <v>4137.62</v>
      </c>
      <c r="M36" s="212" t="str">
        <f>IF(売分析!P36&lt;&gt;"",売分析!P36,"")</f>
        <v>減少↓</v>
      </c>
      <c r="N36" s="335">
        <f>IF(売分析!O36&lt;&gt;"",売分析!O36,"")</f>
        <v>0.95773173542025736</v>
      </c>
      <c r="O36" s="337">
        <f>IF(売分析!X36&lt;&gt;"",売分析!X36,"")</f>
        <v>-2.0023106683265723</v>
      </c>
      <c r="P36" s="334">
        <f>IF(売分析!L36&lt;&gt;"",売分析!L36,"")</f>
        <v>-1.9762568819756281</v>
      </c>
      <c r="Q36" s="333">
        <f>IF(売分析!S36&lt;&gt;"",売分析!S36,"")</f>
        <v>4218</v>
      </c>
      <c r="R36" s="333">
        <f>IF(売分析!R36&lt;&gt;"",売分析!R36,"")</f>
        <v>3731</v>
      </c>
      <c r="S36" s="212" t="str">
        <f>IF(売分析!AA36&lt;&gt;"",売分析!AA36,"")</f>
        <v>上昇▲</v>
      </c>
      <c r="T36" s="338">
        <f>IF(売分析!Z36&lt;&gt;"",売分析!Z36,"")</f>
        <v>0.23923858859118216</v>
      </c>
      <c r="U36" s="212" t="str">
        <f>IF(売分析!V36&lt;&gt;"",売分析!V36,"")</f>
        <v>通常</v>
      </c>
      <c r="V36" s="336">
        <f>IF(売分析!W36&lt;&gt;"",売分析!W36,"")</f>
        <v>61.612336735813841</v>
      </c>
      <c r="W36" s="212" t="str">
        <f>IF(売分析!AD36&lt;&gt;"",売分析!AD36,"")</f>
        <v/>
      </c>
      <c r="X36" s="212" t="str">
        <f>IF(売分析!AE36&lt;&gt;"",売分析!AE36,"")</f>
        <v/>
      </c>
      <c r="Y36" s="388">
        <f>IF(売分析!T36&lt;&gt;"",売分析!T36,"")</f>
        <v>3</v>
      </c>
      <c r="Z36" s="212" t="str">
        <f>IF(売分析!Y36&lt;&gt;"",売分析!Y36,"")</f>
        <v>相場上昇・見送り |   MACD- RSI:61.6 前日比:+0.2% [3点]</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5772</v>
      </c>
      <c r="F37" s="326">
        <f>IF(売分析!F37&lt;&gt;"",売分析!F37,"")</f>
        <v>5856</v>
      </c>
      <c r="G37" s="326">
        <f>IF(売分析!H37&lt;&gt;"",売分析!H37,"")</f>
        <v>5947</v>
      </c>
      <c r="H37" s="326">
        <f>IF(売分析!I37&lt;&gt;"",売分析!I37,"")</f>
        <v>5675</v>
      </c>
      <c r="I37" s="325">
        <f>IF(売分析!J37&lt;&gt;"",売分析!J37,"")</f>
        <v>1655000</v>
      </c>
      <c r="J37" s="326">
        <f>IF(売分析!AB37&lt;&gt;"",売分析!AB37,"")</f>
        <v>5742.1751152073721</v>
      </c>
      <c r="K37" s="326">
        <f>IF(売分析!AC37&lt;&gt;"",売分析!AC37,"")</f>
        <v>6007.0023837902245</v>
      </c>
      <c r="L37" s="326">
        <f>IF(売分析!K37&lt;&gt;"",売分析!K37,"")</f>
        <v>7894</v>
      </c>
      <c r="M37" s="325" t="str">
        <f>IF(売分析!P37&lt;&gt;"",売分析!P37,"")</f>
        <v>減少↓</v>
      </c>
      <c r="N37" s="328">
        <f>IF(売分析!O37&lt;&gt;"",売分析!O37,"")</f>
        <v>0.74301209471047225</v>
      </c>
      <c r="O37" s="330">
        <f>IF(売分析!X37&lt;&gt;"",売分析!X37,"")</f>
        <v>-164.28028689813164</v>
      </c>
      <c r="P37" s="327">
        <f>IF(売分析!L37&lt;&gt;"",売分析!L37,"")</f>
        <v>-26.881175576387129</v>
      </c>
      <c r="Q37" s="326">
        <f>IF(売分析!S37&lt;&gt;"",売分析!S37,"")</f>
        <v>6003</v>
      </c>
      <c r="R37" s="326">
        <f>IF(売分析!R37&lt;&gt;"",売分析!R37,"")</f>
        <v>5310</v>
      </c>
      <c r="S37" s="325" t="str">
        <f>IF(売分析!AA37&lt;&gt;"",売分析!AA37,"")</f>
        <v>下落▼</v>
      </c>
      <c r="T37" s="331">
        <f>IF(売分析!Z37&lt;&gt;"",売分析!Z37,"")</f>
        <v>-2.6315789473684208</v>
      </c>
      <c r="U37" s="325" t="str">
        <f>IF(売分析!V37&lt;&gt;"",売分析!V37,"")</f>
        <v>安値圏</v>
      </c>
      <c r="V37" s="329">
        <f>IF(売分析!W37&lt;&gt;"",売分析!W37,"")</f>
        <v>35.567905522750948</v>
      </c>
      <c r="W37" s="325" t="str">
        <f>IF(売分析!AD37&lt;&gt;"",売分析!AD37,"")</f>
        <v>もみ合い→</v>
      </c>
      <c r="X37" s="325" t="str">
        <f>IF(売分析!AE37&lt;&gt;"",売分析!AE37,"")</f>
        <v>なし</v>
      </c>
      <c r="Y37" s="387">
        <f>IF(売分析!T37&lt;&gt;"",売分析!T37,"")</f>
        <v>10</v>
      </c>
      <c r="Z37" s="325" t="str">
        <f>IF(売分析!Y37&lt;&gt;"",売分析!Y37,"")</f>
        <v>相場上昇・見送り | もみ合い→ MACD- RSI:35.6 前日比:-2.6% [安値圏] [10点]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480.6</v>
      </c>
      <c r="F38" s="333">
        <f>IF(売分析!F38&lt;&gt;"",売分析!F38,"")</f>
        <v>471.6</v>
      </c>
      <c r="G38" s="333">
        <f>IF(売分析!H38&lt;&gt;"",売分析!H38,"")</f>
        <v>481.2</v>
      </c>
      <c r="H38" s="333">
        <f>IF(売分析!I38&lt;&gt;"",売分析!I38,"")</f>
        <v>471.5</v>
      </c>
      <c r="I38" s="212">
        <f>IF(売分析!J38&lt;&gt;"",売分析!J38,"")</f>
        <v>1116200</v>
      </c>
      <c r="J38" s="333">
        <f>IF(売分析!AB38&lt;&gt;"",売分析!AB38,"")</f>
        <v>476.30875576036857</v>
      </c>
      <c r="K38" s="333">
        <f>IF(売分析!AC38&lt;&gt;"",売分析!AC38,"")</f>
        <v>482.22133492252669</v>
      </c>
      <c r="L38" s="333">
        <f>IF(売分析!K38&lt;&gt;"",売分析!K38,"")</f>
        <v>539.9</v>
      </c>
      <c r="M38" s="212" t="str">
        <f>IF(売分析!P38&lt;&gt;"",売分析!P38,"")</f>
        <v>減少↓</v>
      </c>
      <c r="N38" s="335">
        <f>IF(売分析!O38&lt;&gt;"",売分析!O38,"")</f>
        <v>0.74149361606015918</v>
      </c>
      <c r="O38" s="337">
        <f>IF(売分析!X38&lt;&gt;"",売分析!X38,"")</f>
        <v>-0.40851141741546826</v>
      </c>
      <c r="P38" s="334">
        <f>IF(売分析!L38&lt;&gt;"",売分析!L38,"")</f>
        <v>-10.983515465826997</v>
      </c>
      <c r="Q38" s="333">
        <f>IF(売分析!S38&lt;&gt;"",売分析!S38,"")</f>
        <v>500</v>
      </c>
      <c r="R38" s="333">
        <f>IF(売分析!R38&lt;&gt;"",売分析!R38,"")</f>
        <v>442</v>
      </c>
      <c r="S38" s="212" t="str">
        <f>IF(売分析!AA38&lt;&gt;"",売分析!AA38,"")</f>
        <v>上昇▲</v>
      </c>
      <c r="T38" s="338">
        <f>IF(売分析!Z38&lt;&gt;"",売分析!Z38,"")</f>
        <v>1.2855637513171809</v>
      </c>
      <c r="U38" s="212" t="str">
        <f>IF(売分析!V38&lt;&gt;"",売分析!V38,"")</f>
        <v>通常</v>
      </c>
      <c r="V38" s="336">
        <f>IF(売分析!W38&lt;&gt;"",売分析!W38,"")</f>
        <v>39.520958083832326</v>
      </c>
      <c r="W38" s="212" t="str">
        <f>IF(売分析!AD38&lt;&gt;"",売分析!AD38,"")</f>
        <v>もみ合い→</v>
      </c>
      <c r="X38" s="212" t="str">
        <f>IF(売分析!AE38&lt;&gt;"",売分析!AE38,"")</f>
        <v>25日戻り売り★</v>
      </c>
      <c r="Y38" s="388">
        <f>IF(売分析!T38&lt;&gt;"",売分析!T38,"")</f>
        <v>3</v>
      </c>
      <c r="Z38" s="212" t="str">
        <f>IF(売分析!Y38&lt;&gt;"",売分析!Y38,"")</f>
        <v>○逆張り売り | もみ合い→ 25日戻り売り★ MACD- RSI:39.5 前日比:+1.3% [3点]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5870</v>
      </c>
      <c r="F39" s="326">
        <f>IF(売分析!F39&lt;&gt;"",売分析!F39,"")</f>
        <v>5925</v>
      </c>
      <c r="G39" s="326">
        <f>IF(売分析!H39&lt;&gt;"",売分析!H39,"")</f>
        <v>6061</v>
      </c>
      <c r="H39" s="326">
        <f>IF(売分析!I39&lt;&gt;"",売分析!I39,"")</f>
        <v>5799</v>
      </c>
      <c r="I39" s="325">
        <f>IF(売分析!J39&lt;&gt;"",売分析!J39,"")</f>
        <v>7307800</v>
      </c>
      <c r="J39" s="326">
        <f>IF(売分析!AB39&lt;&gt;"",売分析!AB39,"")</f>
        <v>5791.7903225806449</v>
      </c>
      <c r="K39" s="326">
        <f>IF(売分析!AC39&lt;&gt;"",売分析!AC39,"")</f>
        <v>5657.5768772348019</v>
      </c>
      <c r="L39" s="326">
        <f>IF(売分析!K39&lt;&gt;"",売分析!K39,"")</f>
        <v>6686</v>
      </c>
      <c r="M39" s="325" t="str">
        <f>IF(売分析!P39&lt;&gt;"",売分析!P39,"")</f>
        <v>減少↓</v>
      </c>
      <c r="N39" s="328">
        <f>IF(売分析!O39&lt;&gt;"",売分析!O39,"")</f>
        <v>0.81090558039924987</v>
      </c>
      <c r="O39" s="330">
        <f>IF(売分析!X39&lt;&gt;"",売分析!X39,"")</f>
        <v>-3.3203483535580745</v>
      </c>
      <c r="P39" s="327">
        <f>IF(売分析!L39&lt;&gt;"",売分析!L39,"")</f>
        <v>-12.204606640741849</v>
      </c>
      <c r="Q39" s="326">
        <f>IF(売分析!S39&lt;&gt;"",売分析!S39,"")</f>
        <v>6105</v>
      </c>
      <c r="R39" s="326">
        <f>IF(売分析!R39&lt;&gt;"",売分析!R39,"")</f>
        <v>5400</v>
      </c>
      <c r="S39" s="325" t="str">
        <f>IF(売分析!AA39&lt;&gt;"",売分析!AA39,"")</f>
        <v>上昇▲</v>
      </c>
      <c r="T39" s="331">
        <f>IF(売分析!Z39&lt;&gt;"",売分析!Z39,"")</f>
        <v>0.37619699042407662</v>
      </c>
      <c r="U39" s="325" t="str">
        <f>IF(売分析!V39&lt;&gt;"",売分析!V39,"")</f>
        <v>通常</v>
      </c>
      <c r="V39" s="329">
        <f>IF(売分析!W39&lt;&gt;"",売分析!W39,"")</f>
        <v>51.494661921708186</v>
      </c>
      <c r="W39" s="325" t="str">
        <f>IF(売分析!AD39&lt;&gt;"",売分析!AD39,"")</f>
        <v>パーフェクト▲</v>
      </c>
      <c r="X39" s="325" t="str">
        <f>IF(売分析!AE39&lt;&gt;"",売分析!AE39,"")</f>
        <v>なし</v>
      </c>
      <c r="Y39" s="387">
        <f>IF(売分析!T39&lt;&gt;"",売分析!T39,"")</f>
        <v>4</v>
      </c>
      <c r="Z39" s="325" t="str">
        <f>IF(売分析!Y39&lt;&gt;"",売分析!Y39,"")</f>
        <v>相場上昇・見送り | パーフェクト▲ MACD- RSI:51.5 前日比:+0.4% [4点]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2306</v>
      </c>
      <c r="F40" s="333">
        <f>IF(売分析!F40&lt;&gt;"",売分析!F40,"")</f>
        <v>2327</v>
      </c>
      <c r="G40" s="333">
        <f>IF(売分析!H40&lt;&gt;"",売分析!H40,"")</f>
        <v>2355</v>
      </c>
      <c r="H40" s="333">
        <f>IF(売分析!I40&lt;&gt;"",売分析!I40,"")</f>
        <v>2295</v>
      </c>
      <c r="I40" s="212">
        <f>IF(売分析!J40&lt;&gt;"",売分析!J40,"")</f>
        <v>975600</v>
      </c>
      <c r="J40" s="333">
        <f>IF(売分析!AB40&lt;&gt;"",売分析!AB40,"")</f>
        <v>2300.2298387096771</v>
      </c>
      <c r="K40" s="333">
        <f>IF(売分析!AC40&lt;&gt;"",売分析!AC40,"")</f>
        <v>2205.8450536352793</v>
      </c>
      <c r="L40" s="333">
        <f>IF(売分析!K40&lt;&gt;"",売分析!K40,"")</f>
        <v>2927.5</v>
      </c>
      <c r="M40" s="212" t="str">
        <f>IF(売分析!P40&lt;&gt;"",売分析!P40,"")</f>
        <v>減少↓</v>
      </c>
      <c r="N40" s="335">
        <f>IF(売分析!O40&lt;&gt;"",売分析!O40,"")</f>
        <v>0.73198181299800424</v>
      </c>
      <c r="O40" s="337">
        <f>IF(売分析!X40&lt;&gt;"",売分析!X40,"")</f>
        <v>-16.096554476016536</v>
      </c>
      <c r="P40" s="334">
        <f>IF(売分析!L40&lt;&gt;"",売分析!L40,"")</f>
        <v>-21.229718189581554</v>
      </c>
      <c r="Q40" s="333">
        <f>IF(売分析!S40&lt;&gt;"",売分析!S40,"")</f>
        <v>2398</v>
      </c>
      <c r="R40" s="333">
        <f>IF(売分析!R40&lt;&gt;"",売分析!R40,"")</f>
        <v>2122</v>
      </c>
      <c r="S40" s="212" t="str">
        <f>IF(売分析!AA40&lt;&gt;"",売分析!AA40,"")</f>
        <v>下落▼</v>
      </c>
      <c r="T40" s="338">
        <f>IF(売分析!Z40&lt;&gt;"",売分析!Z40,"")</f>
        <v>-0.9024495058014611</v>
      </c>
      <c r="U40" s="212" t="str">
        <f>IF(売分析!V40&lt;&gt;"",売分析!V40,"")</f>
        <v>通常</v>
      </c>
      <c r="V40" s="336">
        <f>IF(売分析!W40&lt;&gt;"",売分析!W40,"")</f>
        <v>50.019334880123743</v>
      </c>
      <c r="W40" s="212" t="str">
        <f>IF(売分析!AD40&lt;&gt;"",売分析!AD40,"")</f>
        <v>パーフェクト▲</v>
      </c>
      <c r="X40" s="212" t="str">
        <f>IF(売分析!AE40&lt;&gt;"",売分析!AE40,"")</f>
        <v>なし</v>
      </c>
      <c r="Y40" s="388">
        <f>IF(売分析!T40&lt;&gt;"",売分析!T40,"")</f>
        <v>8</v>
      </c>
      <c r="Z40" s="212" t="str">
        <f>IF(売分析!Y40&lt;&gt;"",売分析!Y40,"")</f>
        <v>相場上昇・見送り | パーフェクト▲ MACD- RSI:50.0 前日比:-0.9% [8点]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4165</v>
      </c>
      <c r="F41" s="326">
        <f>IF(売分析!F41&lt;&gt;"",売分析!F41,"")</f>
        <v>4293</v>
      </c>
      <c r="G41" s="326">
        <f>IF(売分析!H41&lt;&gt;"",売分析!H41,"")</f>
        <v>4348</v>
      </c>
      <c r="H41" s="326">
        <f>IF(売分析!I41&lt;&gt;"",売分析!I41,"")</f>
        <v>4069</v>
      </c>
      <c r="I41" s="325">
        <f>IF(売分析!J41&lt;&gt;"",売分析!J41,"")</f>
        <v>1988400</v>
      </c>
      <c r="J41" s="326">
        <f>IF(売分析!AB41&lt;&gt;"",売分析!AB41,"")</f>
        <v>4236.7695852534562</v>
      </c>
      <c r="K41" s="326">
        <f>IF(売分析!AC41&lt;&gt;"",売分析!AC41,"")</f>
        <v>4252.1382598331329</v>
      </c>
      <c r="L41" s="326">
        <f>IF(売分析!K41&lt;&gt;"",売分析!K41,"")</f>
        <v>5199</v>
      </c>
      <c r="M41" s="325" t="str">
        <f>IF(売分析!P41&lt;&gt;"",売分析!P41,"")</f>
        <v>減少↓</v>
      </c>
      <c r="N41" s="328">
        <f>IF(売分析!O41&lt;&gt;"",売分析!O41,"")</f>
        <v>0.5882248531212837</v>
      </c>
      <c r="O41" s="330">
        <f>IF(売分析!X41&lt;&gt;"",売分析!X41,"")</f>
        <v>-73.840530331674927</v>
      </c>
      <c r="P41" s="327">
        <f>IF(売分析!L41&lt;&gt;"",売分析!L41,"")</f>
        <v>-19.888440084631657</v>
      </c>
      <c r="Q41" s="326">
        <f>IF(売分析!S41&lt;&gt;"",売分析!S41,"")</f>
        <v>4332</v>
      </c>
      <c r="R41" s="326">
        <f>IF(売分析!R41&lt;&gt;"",売分析!R41,"")</f>
        <v>3832</v>
      </c>
      <c r="S41" s="325" t="str">
        <f>IF(売分析!AA41&lt;&gt;"",売分析!AA41,"")</f>
        <v>下落▼</v>
      </c>
      <c r="T41" s="331">
        <f>IF(売分析!Z41&lt;&gt;"",売分析!Z41,"")</f>
        <v>-7.4032903512672306</v>
      </c>
      <c r="U41" s="325" t="str">
        <f>IF(売分析!V41&lt;&gt;"",売分析!V41,"")</f>
        <v>通常</v>
      </c>
      <c r="V41" s="329">
        <f>IF(売分析!W41&lt;&gt;"",売分析!W41,"")</f>
        <v>43.483275663206463</v>
      </c>
      <c r="W41" s="325" t="str">
        <f>IF(売分析!AD41&lt;&gt;"",売分析!AD41,"")</f>
        <v>下降トレンド▼</v>
      </c>
      <c r="X41" s="325" t="str">
        <f>IF(売分析!AE41&lt;&gt;"",売分析!AE41,"")</f>
        <v>なし</v>
      </c>
      <c r="Y41" s="387">
        <f>IF(売分析!T41&lt;&gt;"",売分析!T41,"")</f>
        <v>10</v>
      </c>
      <c r="Z41" s="325" t="str">
        <f>IF(売分析!Y41&lt;&gt;"",売分析!Y41,"")</f>
        <v>相場上昇・見送り | 下降トレンド▼ MACD- RSI:43.5 前日比:-7.4% [10点]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4093</v>
      </c>
      <c r="F42" s="333">
        <f>IF(売分析!F42&lt;&gt;"",売分析!F42,"")</f>
        <v>4150</v>
      </c>
      <c r="G42" s="333">
        <f>IF(売分析!H42&lt;&gt;"",売分析!H42,"")</f>
        <v>4319</v>
      </c>
      <c r="H42" s="333">
        <f>IF(売分析!I42&lt;&gt;"",売分析!I42,"")</f>
        <v>4067</v>
      </c>
      <c r="I42" s="212">
        <f>IF(売分析!J42&lt;&gt;"",売分析!J42,"")</f>
        <v>644000</v>
      </c>
      <c r="J42" s="333">
        <f>IF(売分析!AB42&lt;&gt;"",売分析!AB42,"")</f>
        <v>4090.6578341013824</v>
      </c>
      <c r="K42" s="333">
        <f>IF(売分析!AC42&lt;&gt;"",売分析!AC42,"")</f>
        <v>4050.1418355184742</v>
      </c>
      <c r="L42" s="333">
        <f>IF(売分析!K42&lt;&gt;"",売分析!K42,"")</f>
        <v>5164</v>
      </c>
      <c r="M42" s="212" t="str">
        <f>IF(売分析!P42&lt;&gt;"",売分析!P42,"")</f>
        <v>減少↓</v>
      </c>
      <c r="N42" s="335">
        <f>IF(売分析!O42&lt;&gt;"",売分析!O42,"")</f>
        <v>0.91503267973856206</v>
      </c>
      <c r="O42" s="337">
        <f>IF(売分析!X42&lt;&gt;"",売分析!X42,"")</f>
        <v>-33.291013735924025</v>
      </c>
      <c r="P42" s="334">
        <f>IF(売分析!L42&lt;&gt;"",売分析!L42,"")</f>
        <v>-20.739736638264912</v>
      </c>
      <c r="Q42" s="333">
        <f>IF(売分析!S42&lt;&gt;"",売分析!S42,"")</f>
        <v>4257</v>
      </c>
      <c r="R42" s="333">
        <f>IF(売分析!R42&lt;&gt;"",売分析!R42,"")</f>
        <v>3766</v>
      </c>
      <c r="S42" s="212" t="str">
        <f>IF(売分析!AA42&lt;&gt;"",売分析!AA42,"")</f>
        <v>下落▼</v>
      </c>
      <c r="T42" s="338">
        <f>IF(売分析!Z42&lt;&gt;"",売分析!Z42,"")</f>
        <v>-6.123853211009175</v>
      </c>
      <c r="U42" s="212" t="str">
        <f>IF(売分析!V42&lt;&gt;"",売分析!V42,"")</f>
        <v>通常</v>
      </c>
      <c r="V42" s="336">
        <f>IF(売分析!W42&lt;&gt;"",売分析!W42,"")</f>
        <v>52.77654375832963</v>
      </c>
      <c r="W42" s="212" t="str">
        <f>IF(売分析!AD42&lt;&gt;"",売分析!AD42,"")</f>
        <v>パーフェクト▲</v>
      </c>
      <c r="X42" s="212" t="str">
        <f>IF(売分析!AE42&lt;&gt;"",売分析!AE42,"")</f>
        <v>なし</v>
      </c>
      <c r="Y42" s="388">
        <f>IF(売分析!T42&lt;&gt;"",売分析!T42,"")</f>
        <v>10</v>
      </c>
      <c r="Z42" s="212" t="str">
        <f>IF(売分析!Y42&lt;&gt;"",売分析!Y42,"")</f>
        <v>相場上昇・見送り | パーフェクト▲ MACD- RSI:52.8 前日比:-6.1% [上ヒゲ陰線▼] [10点]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7180</v>
      </c>
      <c r="F43" s="326">
        <f>IF(売分析!F43&lt;&gt;"",売分析!F43,"")</f>
        <v>6990</v>
      </c>
      <c r="G43" s="326">
        <f>IF(売分析!H43&lt;&gt;"",売分析!H43,"")</f>
        <v>7320</v>
      </c>
      <c r="H43" s="326">
        <f>IF(売分析!I43&lt;&gt;"",売分析!I43,"")</f>
        <v>6730</v>
      </c>
      <c r="I43" s="325">
        <f>IF(売分析!J43&lt;&gt;"",売分析!J43,"")</f>
        <v>210000</v>
      </c>
      <c r="J43" s="326">
        <f>IF(売分析!AB43&lt;&gt;"",売分析!AB43,"")</f>
        <v>7072.0391705069123</v>
      </c>
      <c r="K43" s="326">
        <f>IF(売分析!AC43&lt;&gt;"",売分析!AC43,"")</f>
        <v>7072.6936829558972</v>
      </c>
      <c r="L43" s="326">
        <f>IF(売分析!K43&lt;&gt;"",売分析!K43,"")</f>
        <v>11110</v>
      </c>
      <c r="M43" s="325" t="str">
        <f>IF(売分析!P43&lt;&gt;"",売分析!P43,"")</f>
        <v>減少↓</v>
      </c>
      <c r="N43" s="328">
        <f>IF(売分析!O43&lt;&gt;"",売分析!O43,"")</f>
        <v>0.54440815056773995</v>
      </c>
      <c r="O43" s="330">
        <f>IF(売分析!X43&lt;&gt;"",売分析!X43,"")</f>
        <v>-164.17847149526642</v>
      </c>
      <c r="P43" s="327">
        <f>IF(売分析!L43&lt;&gt;"",売分析!L43,"")</f>
        <v>-35.373537353735372</v>
      </c>
      <c r="Q43" s="326">
        <f>IF(売分析!S43&lt;&gt;"",売分析!S43,"")</f>
        <v>7467</v>
      </c>
      <c r="R43" s="326">
        <f>IF(売分析!R43&lt;&gt;"",売分析!R43,"")</f>
        <v>6606</v>
      </c>
      <c r="S43" s="325" t="str">
        <f>IF(売分析!AA43&lt;&gt;"",売分析!AA43,"")</f>
        <v>下落▼</v>
      </c>
      <c r="T43" s="331">
        <f>IF(売分析!Z43&lt;&gt;"",売分析!Z43,"")</f>
        <v>-1.7783857729138166</v>
      </c>
      <c r="U43" s="325" t="str">
        <f>IF(売分析!V43&lt;&gt;"",売分析!V43,"")</f>
        <v>安値圏</v>
      </c>
      <c r="V43" s="329">
        <f>IF(売分析!W43&lt;&gt;"",売分析!W43,"")</f>
        <v>44.277673545966223</v>
      </c>
      <c r="W43" s="325" t="str">
        <f>IF(売分析!AD43&lt;&gt;"",売分析!AD43,"")</f>
        <v>上昇トレンド▲</v>
      </c>
      <c r="X43" s="325" t="str">
        <f>IF(売分析!AE43&lt;&gt;"",売分析!AE43,"")</f>
        <v>なし</v>
      </c>
      <c r="Y43" s="387">
        <f>IF(売分析!T43&lt;&gt;"",売分析!T43,"")</f>
        <v>10</v>
      </c>
      <c r="Z43" s="325" t="str">
        <f>IF(売分析!Y43&lt;&gt;"",売分析!Y43,"")</f>
        <v>相場上昇・見送り | 上昇トレンド▲ MACD- RSI:44.3 前日比:-1.8% [安値圏] [10点]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4395</v>
      </c>
      <c r="F44" s="333">
        <f>IF(売分析!F44&lt;&gt;"",売分析!F44,"")</f>
        <v>4445</v>
      </c>
      <c r="G44" s="333">
        <f>IF(売分析!H44&lt;&gt;"",売分析!H44,"")</f>
        <v>4445</v>
      </c>
      <c r="H44" s="333">
        <f>IF(売分析!I44&lt;&gt;"",売分析!I44,"")</f>
        <v>4395</v>
      </c>
      <c r="I44" s="212">
        <f>IF(売分析!J44&lt;&gt;"",売分析!J44,"")</f>
        <v>500</v>
      </c>
      <c r="J44" s="333">
        <f>IF(売分析!AB44&lt;&gt;"",売分析!AB44,"")</f>
        <v>4413.6923963133631</v>
      </c>
      <c r="K44" s="333">
        <f>IF(売分析!AC44&lt;&gt;"",売分析!AC44,"")</f>
        <v>4247.7890345649566</v>
      </c>
      <c r="L44" s="333">
        <f>IF(売分析!K44&lt;&gt;"",売分析!K44,"")</f>
        <v>5320</v>
      </c>
      <c r="M44" s="212" t="str">
        <f>IF(売分析!P44&lt;&gt;"",売分析!P44,"")</f>
        <v>減少↓</v>
      </c>
      <c r="N44" s="335">
        <f>IF(売分析!O44&lt;&gt;"",売分析!O44,"")</f>
        <v>0.64102564102564108</v>
      </c>
      <c r="O44" s="337">
        <f>IF(売分析!X44&lt;&gt;"",売分析!X44,"")</f>
        <v>-6.8651761868150061</v>
      </c>
      <c r="P44" s="334">
        <f>IF(売分析!L44&lt;&gt;"",売分析!L44,"")</f>
        <v>-17.387218045112782</v>
      </c>
      <c r="Q44" s="333">
        <f>IF(売分析!S44&lt;&gt;"",売分析!S44,"")</f>
        <v>4571</v>
      </c>
      <c r="R44" s="333">
        <f>IF(売分析!R44&lt;&gt;"",売分析!R44,"")</f>
        <v>4043</v>
      </c>
      <c r="S44" s="212" t="str">
        <f>IF(売分析!AA44&lt;&gt;"",売分析!AA44,"")</f>
        <v>下落▼</v>
      </c>
      <c r="T44" s="338">
        <f>IF(売分析!Z44&lt;&gt;"",売分析!Z44,"")</f>
        <v>-1.124859392575928</v>
      </c>
      <c r="U44" s="212" t="str">
        <f>IF(売分析!V44&lt;&gt;"",売分析!V44,"")</f>
        <v>通常</v>
      </c>
      <c r="V44" s="336">
        <f>IF(売分析!W44&lt;&gt;"",売分析!W44,"")</f>
        <v>50.260688216892596</v>
      </c>
      <c r="W44" s="212" t="str">
        <f>IF(売分析!AD44&lt;&gt;"",売分析!AD44,"")</f>
        <v>上昇トレンド▲</v>
      </c>
      <c r="X44" s="212" t="str">
        <f>IF(売分析!AE44&lt;&gt;"",売分析!AE44,"")</f>
        <v>5日戻り売り○</v>
      </c>
      <c r="Y44" s="388">
        <f>IF(売分析!T44&lt;&gt;"",売分析!T44,"")</f>
        <v>9</v>
      </c>
      <c r="Z44" s="212" t="str">
        <f>IF(売分析!Y44&lt;&gt;"",売分析!Y44,"")</f>
        <v>相場上昇・見送り | 上昇トレンド▲ 5日戻り売り○ MACD- RSI:50.3 前日比:-1.1% [大陰線▼] [9点]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3909</v>
      </c>
      <c r="F45" s="326">
        <f>IF(売分析!F45&lt;&gt;"",売分析!F45,"")</f>
        <v>3781</v>
      </c>
      <c r="G45" s="326">
        <f>IF(売分析!H45&lt;&gt;"",売分析!H45,"")</f>
        <v>4085</v>
      </c>
      <c r="H45" s="326">
        <f>IF(売分析!I45&lt;&gt;"",売分析!I45,"")</f>
        <v>3436</v>
      </c>
      <c r="I45" s="325">
        <f>IF(売分析!J45&lt;&gt;"",売分析!J45,"")</f>
        <v>72354600</v>
      </c>
      <c r="J45" s="326">
        <f>IF(売分析!AB45&lt;&gt;"",売分析!AB45,"")</f>
        <v>3714.1163594470049</v>
      </c>
      <c r="K45" s="326">
        <f>IF(売分析!AC45&lt;&gt;"",売分析!AC45,"")</f>
        <v>3448.8641239570907</v>
      </c>
      <c r="L45" s="326">
        <f>IF(売分析!K45&lt;&gt;"",売分析!K45,"")</f>
        <v>4870</v>
      </c>
      <c r="M45" s="325" t="str">
        <f>IF(売分析!P45&lt;&gt;"",売分析!P45,"")</f>
        <v>増加↑</v>
      </c>
      <c r="N45" s="328">
        <f>IF(売分析!O45&lt;&gt;"",売分析!O45,"")</f>
        <v>1.939229717777599</v>
      </c>
      <c r="O45" s="330">
        <f>IF(売分析!X45&lt;&gt;"",売分析!X45,"")</f>
        <v>-23.200998849699317</v>
      </c>
      <c r="P45" s="327">
        <f>IF(売分析!L45&lt;&gt;"",売分析!L45,"")</f>
        <v>-19.733059548254619</v>
      </c>
      <c r="Q45" s="326">
        <f>IF(売分析!S45&lt;&gt;"",売分析!S45,"")</f>
        <v>4065</v>
      </c>
      <c r="R45" s="326">
        <f>IF(売分析!R45&lt;&gt;"",売分析!R45,"")</f>
        <v>3596</v>
      </c>
      <c r="S45" s="325" t="str">
        <f>IF(売分析!AA45&lt;&gt;"",売分析!AA45,"")</f>
        <v>下落▼</v>
      </c>
      <c r="T45" s="331">
        <f>IF(売分析!Z45&lt;&gt;"",売分析!Z45,"")</f>
        <v>-0.25516713447307987</v>
      </c>
      <c r="U45" s="325" t="str">
        <f>IF(売分析!V45&lt;&gt;"",売分析!V45,"")</f>
        <v>安値圏</v>
      </c>
      <c r="V45" s="329">
        <f>IF(売分析!W45&lt;&gt;"",売分析!W45,"")</f>
        <v>52.869467366841711</v>
      </c>
      <c r="W45" s="325" t="str">
        <f>IF(売分析!AD45&lt;&gt;"",売分析!AD45,"")</f>
        <v>パーフェクト▲</v>
      </c>
      <c r="X45" s="325" t="str">
        <f>IF(売分析!AE45&lt;&gt;"",売分析!AE45,"")</f>
        <v>なし</v>
      </c>
      <c r="Y45" s="387">
        <f>IF(売分析!T45&lt;&gt;"",売分析!T45,"")</f>
        <v>13</v>
      </c>
      <c r="Z45" s="325" t="str">
        <f>IF(売分析!Y45&lt;&gt;"",売分析!Y45,"")</f>
        <v>相場上昇・見送り | パーフェクト▲ MACD- RSI:52.9 前日比:-0.3% [安値圏]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9088</v>
      </c>
      <c r="F46" s="333">
        <f>IF(売分析!F46&lt;&gt;"",売分析!F46,"")</f>
        <v>8820</v>
      </c>
      <c r="G46" s="333">
        <f>IF(売分析!H46&lt;&gt;"",売分析!H46,"")</f>
        <v>9210</v>
      </c>
      <c r="H46" s="333">
        <f>IF(売分析!I46&lt;&gt;"",売分析!I46,"")</f>
        <v>8800</v>
      </c>
      <c r="I46" s="212">
        <f>IF(売分析!J46&lt;&gt;"",売分析!J46,"")</f>
        <v>4906500</v>
      </c>
      <c r="J46" s="333">
        <f>IF(売分析!AB46&lt;&gt;"",売分析!AB46,"")</f>
        <v>8580.9020737327173</v>
      </c>
      <c r="K46" s="333">
        <f>IF(売分析!AC46&lt;&gt;"",売分析!AC46,"")</f>
        <v>7815.4922526817591</v>
      </c>
      <c r="L46" s="333">
        <f>IF(売分析!K46&lt;&gt;"",売分析!K46,"")</f>
        <v>13300</v>
      </c>
      <c r="M46" s="212" t="str">
        <f>IF(売分析!P46&lt;&gt;"",売分析!P46,"")</f>
        <v>普通→</v>
      </c>
      <c r="N46" s="335">
        <f>IF(売分析!O46&lt;&gt;"",売分析!O46,"")</f>
        <v>1.3144570179386614</v>
      </c>
      <c r="O46" s="337">
        <f>IF(売分析!X46&lt;&gt;"",売分析!X46,"")</f>
        <v>147.36750066669811</v>
      </c>
      <c r="P46" s="334">
        <f>IF(売分析!L46&lt;&gt;"",売分析!L46,"")</f>
        <v>-31.669172932330824</v>
      </c>
      <c r="Q46" s="333">
        <f>IF(売分析!S46&lt;&gt;"",売分析!S46,"")</f>
        <v>9452</v>
      </c>
      <c r="R46" s="333">
        <f>IF(売分析!R46&lt;&gt;"",売分析!R46,"")</f>
        <v>8361</v>
      </c>
      <c r="S46" s="212" t="str">
        <f>IF(売分析!AA46&lt;&gt;"",売分析!AA46,"")</f>
        <v>上昇▲</v>
      </c>
      <c r="T46" s="338">
        <f>IF(売分析!Z46&lt;&gt;"",売分析!Z46,"")</f>
        <v>6.1310288450309471</v>
      </c>
      <c r="U46" s="212" t="str">
        <f>IF(売分析!V46&lt;&gt;"",売分析!V46,"")</f>
        <v>安値圏</v>
      </c>
      <c r="V46" s="336">
        <f>IF(売分析!W46&lt;&gt;"",売分析!W46,"")</f>
        <v>62.459686089013118</v>
      </c>
      <c r="W46" s="212" t="str">
        <f>IF(売分析!AD46&lt;&gt;"",売分析!AD46,"")</f>
        <v>パーフェクト▲</v>
      </c>
      <c r="X46" s="212" t="str">
        <f>IF(売分析!AE46&lt;&gt;"",売分析!AE46,"")</f>
        <v>なし</v>
      </c>
      <c r="Y46" s="388">
        <f>IF(売分析!T46&lt;&gt;"",売分析!T46,"")</f>
        <v>4</v>
      </c>
      <c r="Z46" s="212" t="str">
        <f>IF(売分析!Y46&lt;&gt;"",売分析!Y46,"")</f>
        <v>相場上昇・見送り | パーフェクト▲ MACD+ RSI:62.5 前日比:+6.1% [安値圏] [4点]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8907</v>
      </c>
      <c r="F47" s="326">
        <f>IF(売分析!F47&lt;&gt;"",売分析!F47,"")</f>
        <v>8664</v>
      </c>
      <c r="G47" s="326">
        <f>IF(売分析!H47&lt;&gt;"",売分析!H47,"")</f>
        <v>8999</v>
      </c>
      <c r="H47" s="326">
        <f>IF(売分析!I47&lt;&gt;"",売分析!I47,"")</f>
        <v>8602</v>
      </c>
      <c r="I47" s="325">
        <f>IF(売分析!J47&lt;&gt;"",売分析!J47,"")</f>
        <v>894700</v>
      </c>
      <c r="J47" s="326">
        <f>IF(売分析!AB47&lt;&gt;"",売分析!AB47,"")</f>
        <v>8560.525345622118</v>
      </c>
      <c r="K47" s="326">
        <f>IF(売分析!AC47&lt;&gt;"",売分析!AC47,"")</f>
        <v>8353.3885578069094</v>
      </c>
      <c r="L47" s="326">
        <f>IF(売分析!K47&lt;&gt;"",売分析!K47,"")</f>
        <v>12380</v>
      </c>
      <c r="M47" s="325" t="str">
        <f>IF(売分析!P47&lt;&gt;"",売分析!P47,"")</f>
        <v>増加↑</v>
      </c>
      <c r="N47" s="328">
        <f>IF(売分析!O47&lt;&gt;"",売分析!O47,"")</f>
        <v>1.5550804741544131</v>
      </c>
      <c r="O47" s="330">
        <f>IF(売分析!X47&lt;&gt;"",売分析!X47,"")</f>
        <v>4.2658962183431868</v>
      </c>
      <c r="P47" s="327">
        <f>IF(売分析!L47&lt;&gt;"",売分析!L47,"")</f>
        <v>-28.053311793214863</v>
      </c>
      <c r="Q47" s="326">
        <f>IF(売分析!S47&lt;&gt;"",売分析!S47,"")</f>
        <v>9263</v>
      </c>
      <c r="R47" s="326">
        <f>IF(売分析!R47&lt;&gt;"",売分析!R47,"")</f>
        <v>8194</v>
      </c>
      <c r="S47" s="325" t="str">
        <f>IF(売分析!AA47&lt;&gt;"",売分析!AA47,"")</f>
        <v>上昇▲</v>
      </c>
      <c r="T47" s="331">
        <f>IF(売分析!Z47&lt;&gt;"",売分析!Z47,"")</f>
        <v>4.0658955485453907</v>
      </c>
      <c r="U47" s="325" t="str">
        <f>IF(売分析!V47&lt;&gt;"",売分析!V47,"")</f>
        <v>安値圏</v>
      </c>
      <c r="V47" s="329">
        <f>IF(売分析!W47&lt;&gt;"",売分析!W47,"")</f>
        <v>52.0393811533052</v>
      </c>
      <c r="W47" s="325" t="str">
        <f>IF(売分析!AD47&lt;&gt;"",売分析!AD47,"")</f>
        <v>パーフェクト▲</v>
      </c>
      <c r="X47" s="325" t="str">
        <f>IF(売分析!AE47&lt;&gt;"",売分析!AE47,"")</f>
        <v>なし</v>
      </c>
      <c r="Y47" s="387">
        <f>IF(売分析!T47&lt;&gt;"",売分析!T47,"")</f>
        <v>4</v>
      </c>
      <c r="Z47" s="325" t="str">
        <f>IF(売分析!Y47&lt;&gt;"",売分析!Y47,"")</f>
        <v>相場上昇・見送り | パーフェクト▲ MACD+ RSI:52.0 前日比:+4.1% [安値圏] [4点]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2936</v>
      </c>
      <c r="F48" s="333">
        <f>IF(売分析!F48&lt;&gt;"",売分析!F48,"")</f>
        <v>2930</v>
      </c>
      <c r="G48" s="333">
        <f>IF(売分析!H48&lt;&gt;"",売分析!H48,"")</f>
        <v>2989</v>
      </c>
      <c r="H48" s="333">
        <f>IF(売分析!I48&lt;&gt;"",売分析!I48,"")</f>
        <v>2916</v>
      </c>
      <c r="I48" s="212">
        <f>IF(売分析!J48&lt;&gt;"",売分析!J48,"")</f>
        <v>281400</v>
      </c>
      <c r="J48" s="333">
        <f>IF(売分析!AB48&lt;&gt;"",売分析!AB48,"")</f>
        <v>2878.4343317972348</v>
      </c>
      <c r="K48" s="333">
        <f>IF(売分析!AC48&lt;&gt;"",売分析!AC48,"")</f>
        <v>2738.7044100119174</v>
      </c>
      <c r="L48" s="333">
        <f>IF(売分析!K48&lt;&gt;"",売分析!K48,"")</f>
        <v>3330</v>
      </c>
      <c r="M48" s="212" t="str">
        <f>IF(売分析!P48&lt;&gt;"",売分析!P48,"")</f>
        <v>減少↓</v>
      </c>
      <c r="N48" s="335">
        <f>IF(売分析!O48&lt;&gt;"",売分析!O48,"")</f>
        <v>0.45241157556270095</v>
      </c>
      <c r="O48" s="337">
        <f>IF(売分析!X48&lt;&gt;"",売分析!X48,"")</f>
        <v>15.562675380814198</v>
      </c>
      <c r="P48" s="334">
        <f>IF(売分析!L48&lt;&gt;"",売分析!L48,"")</f>
        <v>-11.831831831831833</v>
      </c>
      <c r="Q48" s="333">
        <f>IF(売分析!S48&lt;&gt;"",売分析!S48,"")</f>
        <v>3053</v>
      </c>
      <c r="R48" s="333">
        <f>IF(売分析!R48&lt;&gt;"",売分析!R48,"")</f>
        <v>2701</v>
      </c>
      <c r="S48" s="212" t="str">
        <f>IF(売分析!AA48&lt;&gt;"",売分析!AA48,"")</f>
        <v>上昇▲</v>
      </c>
      <c r="T48" s="338">
        <f>IF(売分析!Z48&lt;&gt;"",売分析!Z48,"")</f>
        <v>0.65135413095646211</v>
      </c>
      <c r="U48" s="212" t="str">
        <f>IF(売分析!V48&lt;&gt;"",売分析!V48,"")</f>
        <v>通常</v>
      </c>
      <c r="V48" s="336">
        <f>IF(売分析!W48&lt;&gt;"",売分析!W48,"")</f>
        <v>60.072376357056697</v>
      </c>
      <c r="W48" s="212" t="str">
        <f>IF(売分析!AD48&lt;&gt;"",売分析!AD48,"")</f>
        <v>パーフェクト▲</v>
      </c>
      <c r="X48" s="212" t="str">
        <f>IF(売分析!AE48&lt;&gt;"",売分析!AE48,"")</f>
        <v>なし</v>
      </c>
      <c r="Y48" s="388">
        <f>IF(売分析!T48&lt;&gt;"",売分析!T48,"")</f>
        <v>0</v>
      </c>
      <c r="Z48" s="212" t="str">
        <f>IF(売分析!Y48&lt;&gt;"",売分析!Y48,"")</f>
        <v>相場上昇・見送り | パーフェクト▲ MACD+ RSI:60.1 前日比:+0.7% [0点]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1748.5</v>
      </c>
      <c r="F49" s="326">
        <f>IF(売分析!F49&lt;&gt;"",売分析!F49,"")</f>
        <v>1713</v>
      </c>
      <c r="G49" s="326">
        <f>IF(売分析!H49&lt;&gt;"",売分析!H49,"")</f>
        <v>1768</v>
      </c>
      <c r="H49" s="326">
        <f>IF(売分析!I49&lt;&gt;"",売分析!I49,"")</f>
        <v>1707</v>
      </c>
      <c r="I49" s="325">
        <f>IF(売分析!J49&lt;&gt;"",売分析!J49,"")</f>
        <v>10099400</v>
      </c>
      <c r="J49" s="326">
        <f>IF(売分析!AB49&lt;&gt;"",売分析!AB49,"")</f>
        <v>1710.6693548387095</v>
      </c>
      <c r="K49" s="326">
        <f>IF(売分析!AC49&lt;&gt;"",売分析!AC49,"")</f>
        <v>1629.4433849821207</v>
      </c>
      <c r="L49" s="326">
        <f>IF(売分析!K49&lt;&gt;"",売分析!K49,"")</f>
        <v>1720.5</v>
      </c>
      <c r="M49" s="325" t="str">
        <f>IF(売分析!P49&lt;&gt;"",売分析!P49,"")</f>
        <v>減少↓</v>
      </c>
      <c r="N49" s="328">
        <f>IF(売分析!O49&lt;&gt;"",売分析!O49,"")</f>
        <v>0.60042495966212495</v>
      </c>
      <c r="O49" s="330">
        <f>IF(売分析!X49&lt;&gt;"",売分析!X49,"")</f>
        <v>17.746866529480258</v>
      </c>
      <c r="P49" s="327">
        <f>IF(売分析!L49&lt;&gt;"",売分析!L49,"")</f>
        <v>1.6274338854984016</v>
      </c>
      <c r="Q49" s="326">
        <f>IF(売分析!S49&lt;&gt;"",売分析!S49,"")</f>
        <v>1818</v>
      </c>
      <c r="R49" s="326">
        <f>IF(売分析!R49&lt;&gt;"",売分析!R49,"")</f>
        <v>1609</v>
      </c>
      <c r="S49" s="325" t="str">
        <f>IF(売分析!AA49&lt;&gt;"",売分析!AA49,"")</f>
        <v>上昇▲</v>
      </c>
      <c r="T49" s="331">
        <f>IF(売分析!Z49&lt;&gt;"",売分析!Z49,"")</f>
        <v>1.6274338854984016</v>
      </c>
      <c r="U49" s="325" t="str">
        <f>IF(売分析!V49&lt;&gt;"",売分析!V49,"")</f>
        <v>通常</v>
      </c>
      <c r="V49" s="329">
        <f>IF(売分析!W49&lt;&gt;"",売分析!W49,"")</f>
        <v>66.091245376078916</v>
      </c>
      <c r="W49" s="325" t="str">
        <f>IF(売分析!AD49&lt;&gt;"",売分析!AD49,"")</f>
        <v>パーフェクト▲</v>
      </c>
      <c r="X49" s="325" t="str">
        <f>IF(売分析!AE49&lt;&gt;"",売分析!AE49,"")</f>
        <v>なし</v>
      </c>
      <c r="Y49" s="387">
        <f>IF(売分析!T49&lt;&gt;"",売分析!T49,"")</f>
        <v>0</v>
      </c>
      <c r="Z49" s="325" t="str">
        <f>IF(売分析!Y49&lt;&gt;"",売分析!Y49,"")</f>
        <v>相場上昇・見送り | パーフェクト▲ MACD+ RSI:66.1 前日比:+1.6% [0点]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1459</v>
      </c>
      <c r="F50" s="333">
        <f>IF(売分析!F50&lt;&gt;"",売分析!F50,"")</f>
        <v>1451</v>
      </c>
      <c r="G50" s="333">
        <f>IF(売分析!H50&lt;&gt;"",売分析!H50,"")</f>
        <v>1502</v>
      </c>
      <c r="H50" s="333">
        <f>IF(売分析!I50&lt;&gt;"",売分析!I50,"")</f>
        <v>1416</v>
      </c>
      <c r="I50" s="212">
        <f>IF(売分析!J50&lt;&gt;"",売分析!J50,"")</f>
        <v>424400</v>
      </c>
      <c r="J50" s="333">
        <f>IF(売分析!AB50&lt;&gt;"",売分析!AB50,"")</f>
        <v>1432.9112903225805</v>
      </c>
      <c r="K50" s="333">
        <f>IF(売分析!AC50&lt;&gt;"",売分析!AC50,"")</f>
        <v>1452.5220500595944</v>
      </c>
      <c r="L50" s="333">
        <f>IF(売分析!K50&lt;&gt;"",売分析!K50,"")</f>
        <v>2030</v>
      </c>
      <c r="M50" s="212" t="str">
        <f>IF(売分析!P50&lt;&gt;"",売分析!P50,"")</f>
        <v>増加↑</v>
      </c>
      <c r="N50" s="335">
        <f>IF(売分析!O50&lt;&gt;"",売分析!O50,"")</f>
        <v>1.5532132923437272</v>
      </c>
      <c r="O50" s="337">
        <f>IF(売分析!X50&lt;&gt;"",売分析!X50,"")</f>
        <v>-24.692792520268995</v>
      </c>
      <c r="P50" s="334">
        <f>IF(売分析!L50&lt;&gt;"",売分析!L50,"")</f>
        <v>-28.128078817733993</v>
      </c>
      <c r="Q50" s="333">
        <f>IF(売分析!S50&lt;&gt;"",売分析!S50,"")</f>
        <v>1517</v>
      </c>
      <c r="R50" s="333">
        <f>IF(売分析!R50&lt;&gt;"",売分析!R50,"")</f>
        <v>1342</v>
      </c>
      <c r="S50" s="212" t="str">
        <f>IF(売分析!AA50&lt;&gt;"",売分析!AA50,"")</f>
        <v>下落▼</v>
      </c>
      <c r="T50" s="338">
        <f>IF(売分析!Z50&lt;&gt;"",売分析!Z50,"")</f>
        <v>-1.0847457627118644</v>
      </c>
      <c r="U50" s="212" t="str">
        <f>IF(売分析!V50&lt;&gt;"",売分析!V50,"")</f>
        <v>安値圏</v>
      </c>
      <c r="V50" s="336">
        <f>IF(売分析!W50&lt;&gt;"",売分析!W50,"")</f>
        <v>35.489220563847425</v>
      </c>
      <c r="W50" s="212" t="str">
        <f>IF(売分析!AD50&lt;&gt;"",売分析!AD50,"")</f>
        <v>上昇トレンド▲</v>
      </c>
      <c r="X50" s="212" t="str">
        <f>IF(売分析!AE50&lt;&gt;"",売分析!AE50,"")</f>
        <v>なし</v>
      </c>
      <c r="Y50" s="388">
        <f>IF(売分析!T50&lt;&gt;"",売分析!T50,"")</f>
        <v>10</v>
      </c>
      <c r="Z50" s="212" t="str">
        <f>IF(売分析!Y50&lt;&gt;"",売分析!Y50,"")</f>
        <v>相場上昇・見送り | 上昇トレンド▲ MACD- RSI:35.5 前日比:-1.1% [安値圏] [10点]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2394</v>
      </c>
      <c r="F51" s="326">
        <f>IF(売分析!F51&lt;&gt;"",売分析!F51,"")</f>
        <v>2441</v>
      </c>
      <c r="G51" s="326">
        <f>IF(売分析!H51&lt;&gt;"",売分析!H51,"")</f>
        <v>2488</v>
      </c>
      <c r="H51" s="326">
        <f>IF(売分析!I51&lt;&gt;"",売分析!I51,"")</f>
        <v>2367</v>
      </c>
      <c r="I51" s="325">
        <f>IF(売分析!J51&lt;&gt;"",売分析!J51,"")</f>
        <v>956100</v>
      </c>
      <c r="J51" s="326">
        <f>IF(売分析!AB51&lt;&gt;"",売分析!AB51,"")</f>
        <v>2369.7949308755756</v>
      </c>
      <c r="K51" s="326">
        <f>IF(売分析!AC51&lt;&gt;"",売分析!AC51,"")</f>
        <v>2429.8164481525619</v>
      </c>
      <c r="L51" s="326">
        <f>IF(売分析!K51&lt;&gt;"",売分析!K51,"")</f>
        <v>3275</v>
      </c>
      <c r="M51" s="325" t="str">
        <f>IF(売分析!P51&lt;&gt;"",売分析!P51,"")</f>
        <v>減少↓</v>
      </c>
      <c r="N51" s="328">
        <f>IF(売分析!O51&lt;&gt;"",売分析!O51,"")</f>
        <v>0.9140535372848948</v>
      </c>
      <c r="O51" s="330">
        <f>IF(売分析!X51&lt;&gt;"",売分析!X51,"")</f>
        <v>-43.721766923128598</v>
      </c>
      <c r="P51" s="327">
        <f>IF(売分析!L51&lt;&gt;"",売分析!L51,"")</f>
        <v>-26.900763358778622</v>
      </c>
      <c r="Q51" s="326">
        <f>IF(売分析!S51&lt;&gt;"",売分析!S51,"")</f>
        <v>2490</v>
      </c>
      <c r="R51" s="326">
        <f>IF(売分析!R51&lt;&gt;"",売分析!R51,"")</f>
        <v>2202</v>
      </c>
      <c r="S51" s="325" t="str">
        <f>IF(売分析!AA51&lt;&gt;"",売分析!AA51,"")</f>
        <v>下落▼</v>
      </c>
      <c r="T51" s="331">
        <f>IF(売分析!Z51&lt;&gt;"",売分析!Z51,"")</f>
        <v>-2.5244299674267103</v>
      </c>
      <c r="U51" s="325" t="str">
        <f>IF(売分析!V51&lt;&gt;"",売分析!V51,"")</f>
        <v>安値圏</v>
      </c>
      <c r="V51" s="329">
        <f>IF(売分析!W51&lt;&gt;"",売分析!W51,"")</f>
        <v>41.022964509394576</v>
      </c>
      <c r="W51" s="325" t="str">
        <f>IF(売分析!AD51&lt;&gt;"",売分析!AD51,"")</f>
        <v>もみ合い→</v>
      </c>
      <c r="X51" s="325" t="str">
        <f>IF(売分析!AE51&lt;&gt;"",売分析!AE51,"")</f>
        <v>25日戻り売り★</v>
      </c>
      <c r="Y51" s="387">
        <f>IF(売分析!T51&lt;&gt;"",売分析!T51,"")</f>
        <v>12</v>
      </c>
      <c r="Z51" s="325" t="str">
        <f>IF(売分析!Y51&lt;&gt;"",売分析!Y51,"")</f>
        <v>○逆張り売り | もみ合い→ 25日戻り売り★ MACD- RSI:41.0 前日比:-2.5% [安値圏] [12点]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3460</v>
      </c>
      <c r="F52" s="333">
        <f>IF(売分析!F52&lt;&gt;"",売分析!F52,"")</f>
        <v>3385</v>
      </c>
      <c r="G52" s="333">
        <f>IF(売分析!H52&lt;&gt;"",売分析!H52,"")</f>
        <v>3515</v>
      </c>
      <c r="H52" s="333">
        <f>IF(売分析!I52&lt;&gt;"",売分析!I52,"")</f>
        <v>3380</v>
      </c>
      <c r="I52" s="212">
        <f>IF(売分析!J52&lt;&gt;"",売分析!J52,"")</f>
        <v>1265700</v>
      </c>
      <c r="J52" s="333">
        <f>IF(売分析!AB52&lt;&gt;"",売分析!AB52,"")</f>
        <v>3278.9170506912437</v>
      </c>
      <c r="K52" s="333">
        <f>IF(売分析!AC52&lt;&gt;"",売分析!AC52,"")</f>
        <v>3102.7294398092963</v>
      </c>
      <c r="L52" s="333">
        <f>IF(売分析!K52&lt;&gt;"",売分析!K52,"")</f>
        <v>4720</v>
      </c>
      <c r="M52" s="212" t="str">
        <f>IF(売分析!P52&lt;&gt;"",売分析!P52,"")</f>
        <v>普通→</v>
      </c>
      <c r="N52" s="335">
        <f>IF(売分析!O52&lt;&gt;"",売分析!O52,"")</f>
        <v>1.3824326095504391</v>
      </c>
      <c r="O52" s="337">
        <f>IF(売分析!X52&lt;&gt;"",売分析!X52,"")</f>
        <v>30.406433714511877</v>
      </c>
      <c r="P52" s="334">
        <f>IF(売分析!L52&lt;&gt;"",売分析!L52,"")</f>
        <v>-26.694915254237291</v>
      </c>
      <c r="Q52" s="333">
        <f>IF(売分析!S52&lt;&gt;"",売分析!S52,"")</f>
        <v>3598</v>
      </c>
      <c r="R52" s="333">
        <f>IF(売分析!R52&lt;&gt;"",売分析!R52,"")</f>
        <v>3183</v>
      </c>
      <c r="S52" s="212" t="str">
        <f>IF(売分析!AA52&lt;&gt;"",売分析!AA52,"")</f>
        <v>上昇▲</v>
      </c>
      <c r="T52" s="338">
        <f>IF(売分析!Z52&lt;&gt;"",売分析!Z52,"")</f>
        <v>5.1671732522796354</v>
      </c>
      <c r="U52" s="212" t="str">
        <f>IF(売分析!V52&lt;&gt;"",売分析!V52,"")</f>
        <v>安値圏</v>
      </c>
      <c r="V52" s="336">
        <f>IF(売分析!W52&lt;&gt;"",売分析!W52,"")</f>
        <v>59.941804073714842</v>
      </c>
      <c r="W52" s="212" t="str">
        <f>IF(売分析!AD52&lt;&gt;"",売分析!AD52,"")</f>
        <v>パーフェクト▲</v>
      </c>
      <c r="X52" s="212" t="str">
        <f>IF(売分析!AE52&lt;&gt;"",売分析!AE52,"")</f>
        <v>なし</v>
      </c>
      <c r="Y52" s="388">
        <f>IF(売分析!T52&lt;&gt;"",売分析!T52,"")</f>
        <v>2</v>
      </c>
      <c r="Z52" s="212" t="str">
        <f>IF(売分析!Y52&lt;&gt;"",売分析!Y52,"")</f>
        <v>相場上昇・見送り | パーフェクト▲ MACD+ RSI:59.9 前日比:+5.2% [安値圏] [2点]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5695</v>
      </c>
      <c r="F53" s="326">
        <f>IF(売分析!F53&lt;&gt;"",売分析!F53,"")</f>
        <v>5760</v>
      </c>
      <c r="G53" s="326">
        <f>IF(売分析!H53&lt;&gt;"",売分析!H53,"")</f>
        <v>5881</v>
      </c>
      <c r="H53" s="326">
        <f>IF(売分析!I53&lt;&gt;"",売分析!I53,"")</f>
        <v>5542</v>
      </c>
      <c r="I53" s="325">
        <f>IF(売分析!J53&lt;&gt;"",売分析!J53,"")</f>
        <v>46955700</v>
      </c>
      <c r="J53" s="326">
        <f>IF(売分析!AB53&lt;&gt;"",売分析!AB53,"")</f>
        <v>5615.1175115207361</v>
      </c>
      <c r="K53" s="326">
        <f>IF(売分析!AC53&lt;&gt;"",売分析!AC53,"")</f>
        <v>5556.4886769964223</v>
      </c>
      <c r="L53" s="326">
        <f>IF(売分析!K53&lt;&gt;"",売分析!K53,"")</f>
        <v>9074</v>
      </c>
      <c r="M53" s="325" t="str">
        <f>IF(売分析!P53&lt;&gt;"",売分析!P53,"")</f>
        <v>減少↓</v>
      </c>
      <c r="N53" s="328">
        <f>IF(売分析!O53&lt;&gt;"",売分析!O53,"")</f>
        <v>0.87750966264736918</v>
      </c>
      <c r="O53" s="330">
        <f>IF(売分析!X53&lt;&gt;"",売分析!X53,"")</f>
        <v>-93.237648215444096</v>
      </c>
      <c r="P53" s="327">
        <f>IF(売分析!L53&lt;&gt;"",売分析!L53,"")</f>
        <v>-37.238263169495262</v>
      </c>
      <c r="Q53" s="326">
        <f>IF(売分析!S53&lt;&gt;"",売分析!S53,"")</f>
        <v>5923</v>
      </c>
      <c r="R53" s="326">
        <f>IF(売分析!R53&lt;&gt;"",売分析!R53,"")</f>
        <v>5239</v>
      </c>
      <c r="S53" s="325" t="str">
        <f>IF(売分析!AA53&lt;&gt;"",売分析!AA53,"")</f>
        <v>下落▼</v>
      </c>
      <c r="T53" s="331">
        <f>IF(売分析!Z53&lt;&gt;"",売分析!Z53,"")</f>
        <v>-4.4142329640819069</v>
      </c>
      <c r="U53" s="325" t="str">
        <f>IF(売分析!V53&lt;&gt;"",売分析!V53,"")</f>
        <v>安値圏</v>
      </c>
      <c r="V53" s="329">
        <f>IF(売分析!W53&lt;&gt;"",売分析!W53,"")</f>
        <v>45.521390374331553</v>
      </c>
      <c r="W53" s="325" t="str">
        <f>IF(売分析!AD53&lt;&gt;"",売分析!AD53,"")</f>
        <v>パーフェクト▲</v>
      </c>
      <c r="X53" s="325" t="str">
        <f>IF(売分析!AE53&lt;&gt;"",売分析!AE53,"")</f>
        <v>なし</v>
      </c>
      <c r="Y53" s="387">
        <f>IF(売分析!T53&lt;&gt;"",売分析!T53,"")</f>
        <v>10</v>
      </c>
      <c r="Z53" s="325" t="str">
        <f>IF(売分析!Y53&lt;&gt;"",売分析!Y53,"")</f>
        <v>相場上昇・見送り | パーフェクト▲ MACD- RSI:45.5 前日比:-4.4% [安値圏] [10点]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2215</v>
      </c>
      <c r="F54" s="333">
        <f>IF(売分析!F54&lt;&gt;"",売分析!F54,"")</f>
        <v>2200</v>
      </c>
      <c r="G54" s="333">
        <f>IF(売分析!H54&lt;&gt;"",売分析!H54,"")</f>
        <v>2228</v>
      </c>
      <c r="H54" s="333">
        <f>IF(売分析!I54&lt;&gt;"",売分析!I54,"")</f>
        <v>2195</v>
      </c>
      <c r="I54" s="212">
        <f>IF(売分析!J54&lt;&gt;"",売分析!J54,"")</f>
        <v>64500</v>
      </c>
      <c r="J54" s="333">
        <f>IF(売分析!AB54&lt;&gt;"",売分析!AB54,"")</f>
        <v>2214.3617511520733</v>
      </c>
      <c r="K54" s="333">
        <f>IF(売分析!AC54&lt;&gt;"",売分析!AC54,"")</f>
        <v>2290.0345649582832</v>
      </c>
      <c r="L54" s="333">
        <f>IF(売分析!K54&lt;&gt;"",売分析!K54,"")</f>
        <v>2653</v>
      </c>
      <c r="M54" s="212" t="str">
        <f>IF(売分析!P54&lt;&gt;"",売分析!P54,"")</f>
        <v>減少↓</v>
      </c>
      <c r="N54" s="335">
        <f>IF(売分析!O54&lt;&gt;"",売分析!O54,"")</f>
        <v>0.8166624461889086</v>
      </c>
      <c r="O54" s="337">
        <f>IF(売分析!X54&lt;&gt;"",売分析!X54,"")</f>
        <v>-21.687789316148155</v>
      </c>
      <c r="P54" s="334">
        <f>IF(売分析!L54&lt;&gt;"",売分析!L54,"")</f>
        <v>-16.50961176027139</v>
      </c>
      <c r="Q54" s="333">
        <f>IF(売分析!S54&lt;&gt;"",売分析!S54,"")</f>
        <v>2304</v>
      </c>
      <c r="R54" s="333">
        <f>IF(売分析!R54&lt;&gt;"",売分析!R54,"")</f>
        <v>2038</v>
      </c>
      <c r="S54" s="212" t="str">
        <f>IF(売分析!AA54&lt;&gt;"",売分析!AA54,"")</f>
        <v>上昇▲</v>
      </c>
      <c r="T54" s="338">
        <f>IF(売分析!Z54&lt;&gt;"",売分析!Z54,"")</f>
        <v>0.77343039126478619</v>
      </c>
      <c r="U54" s="212" t="str">
        <f>IF(売分析!V54&lt;&gt;"",売分析!V54,"")</f>
        <v>通常</v>
      </c>
      <c r="V54" s="336">
        <f>IF(売分析!W54&lt;&gt;"",売分析!W54,"")</f>
        <v>26.834862385321102</v>
      </c>
      <c r="W54" s="212" t="str">
        <f>IF(売分析!AD54&lt;&gt;"",売分析!AD54,"")</f>
        <v>もみ合い→</v>
      </c>
      <c r="X54" s="212" t="str">
        <f>IF(売分析!AE54&lt;&gt;"",売分析!AE54,"")</f>
        <v>なし</v>
      </c>
      <c r="Y54" s="388">
        <f>IF(売分析!T54&lt;&gt;"",売分析!T54,"")</f>
        <v>5</v>
      </c>
      <c r="Z54" s="212" t="str">
        <f>IF(売分析!Y54&lt;&gt;"",売分析!Y54,"")</f>
        <v>相場上昇・見送り | もみ合い→ MACD- RSI:26.8 [売られ過ぎ] 前日比:+0.8% [5点]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7710</v>
      </c>
      <c r="F55" s="326">
        <f>IF(売分析!F55&lt;&gt;"",売分析!F55,"")</f>
        <v>7500</v>
      </c>
      <c r="G55" s="326">
        <f>IF(売分析!H55&lt;&gt;"",売分析!H55,"")</f>
        <v>7970</v>
      </c>
      <c r="H55" s="326">
        <f>IF(売分析!I55&lt;&gt;"",売分析!I55,"")</f>
        <v>7450</v>
      </c>
      <c r="I55" s="325">
        <f>IF(売分析!J55&lt;&gt;"",売分析!J55,"")</f>
        <v>273500</v>
      </c>
      <c r="J55" s="326">
        <f>IF(売分析!AB55&lt;&gt;"",売分析!AB55,"")</f>
        <v>7608.6520737327182</v>
      </c>
      <c r="K55" s="326">
        <f>IF(売分析!AC55&lt;&gt;"",売分析!AC55,"")</f>
        <v>7597.103694874846</v>
      </c>
      <c r="L55" s="326">
        <f>IF(売分析!K55&lt;&gt;"",売分析!K55,"")</f>
        <v>8380</v>
      </c>
      <c r="M55" s="325" t="str">
        <f>IF(売分析!P55&lt;&gt;"",売分析!P55,"")</f>
        <v>普通→</v>
      </c>
      <c r="N55" s="328">
        <f>IF(売分析!O55&lt;&gt;"",売分析!O55,"")</f>
        <v>1.2265674051484439</v>
      </c>
      <c r="O55" s="330">
        <f>IF(売分析!X55&lt;&gt;"",売分析!X55,"")</f>
        <v>-17.426175872375097</v>
      </c>
      <c r="P55" s="327">
        <f>IF(売分析!L55&lt;&gt;"",売分析!L55,"")</f>
        <v>-7.9952267303102618</v>
      </c>
      <c r="Q55" s="326">
        <f>IF(売分析!S55&lt;&gt;"",売分析!S55,"")</f>
        <v>8018</v>
      </c>
      <c r="R55" s="326">
        <f>IF(売分析!R55&lt;&gt;"",売分析!R55,"")</f>
        <v>7093</v>
      </c>
      <c r="S55" s="325" t="str">
        <f>IF(売分析!AA55&lt;&gt;"",売分析!AA55,"")</f>
        <v>上昇▲</v>
      </c>
      <c r="T55" s="331">
        <f>IF(売分析!Z55&lt;&gt;"",売分析!Z55,"")</f>
        <v>2.6631158455392807</v>
      </c>
      <c r="U55" s="325" t="str">
        <f>IF(売分析!V55&lt;&gt;"",売分析!V55,"")</f>
        <v>通常</v>
      </c>
      <c r="V55" s="329">
        <f>IF(売分析!W55&lt;&gt;"",売分析!W55,"")</f>
        <v>46.619217081850536</v>
      </c>
      <c r="W55" s="325" t="str">
        <f>IF(売分析!AD55&lt;&gt;"",売分析!AD55,"")</f>
        <v>パーフェクト▲</v>
      </c>
      <c r="X55" s="325" t="str">
        <f>IF(売分析!AE55&lt;&gt;"",売分析!AE55,"")</f>
        <v>なし</v>
      </c>
      <c r="Y55" s="387">
        <f>IF(売分析!T55&lt;&gt;"",売分析!T55,"")</f>
        <v>1</v>
      </c>
      <c r="Z55" s="325" t="str">
        <f>IF(売分析!Y55&lt;&gt;"",売分析!Y55,"")</f>
        <v>相場上昇・見送り | パーフェクト▲ MACD- RSI:46.6 前日比:+2.7% [1点]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19010</v>
      </c>
      <c r="F56" s="333">
        <f>IF(売分析!F56&lt;&gt;"",売分析!F56,"")</f>
        <v>19980</v>
      </c>
      <c r="G56" s="333">
        <f>IF(売分析!H56&lt;&gt;"",売分析!H56,"")</f>
        <v>20300</v>
      </c>
      <c r="H56" s="333">
        <f>IF(売分析!I56&lt;&gt;"",売分析!I56,"")</f>
        <v>18415</v>
      </c>
      <c r="I56" s="212">
        <f>IF(売分析!J56&lt;&gt;"",売分析!J56,"")</f>
        <v>12684800</v>
      </c>
      <c r="J56" s="333">
        <f>IF(売分析!AB56&lt;&gt;"",売分析!AB56,"")</f>
        <v>18314.85599078341</v>
      </c>
      <c r="K56" s="333">
        <f>IF(売分析!AC56&lt;&gt;"",売分析!AC56,"")</f>
        <v>17529.618593563762</v>
      </c>
      <c r="L56" s="333">
        <f>IF(売分析!K56&lt;&gt;"",売分析!K56,"")</f>
        <v>27480</v>
      </c>
      <c r="M56" s="212" t="str">
        <f>IF(売分析!P56&lt;&gt;"",売分析!P56,"")</f>
        <v>増加↑</v>
      </c>
      <c r="N56" s="335">
        <f>IF(売分析!O56&lt;&gt;"",売分析!O56,"")</f>
        <v>1.5480973418926505</v>
      </c>
      <c r="O56" s="337">
        <f>IF(売分析!X56&lt;&gt;"",売分析!X56,"")</f>
        <v>-294.27367964368386</v>
      </c>
      <c r="P56" s="334">
        <f>IF(売分析!L56&lt;&gt;"",売分析!L56,"")</f>
        <v>-30.822416302765649</v>
      </c>
      <c r="Q56" s="333">
        <f>IF(売分析!S56&lt;&gt;"",売分析!S56,"")</f>
        <v>19770</v>
      </c>
      <c r="R56" s="333">
        <f>IF(売分析!R56&lt;&gt;"",売分析!R56,"")</f>
        <v>17489</v>
      </c>
      <c r="S56" s="212" t="str">
        <f>IF(売分析!AA56&lt;&gt;"",売分析!AA56,"")</f>
        <v>下落▼</v>
      </c>
      <c r="T56" s="338">
        <f>IF(売分析!Z56&lt;&gt;"",売分析!Z56,"")</f>
        <v>-6.4928676832267582</v>
      </c>
      <c r="U56" s="212" t="str">
        <f>IF(売分析!V56&lt;&gt;"",売分析!V56,"")</f>
        <v>安値圏</v>
      </c>
      <c r="V56" s="336">
        <f>IF(売分析!W56&lt;&gt;"",売分析!W56,"")</f>
        <v>52.463912394225986</v>
      </c>
      <c r="W56" s="212" t="str">
        <f>IF(売分析!AD56&lt;&gt;"",売分析!AD56,"")</f>
        <v>パーフェクト▲</v>
      </c>
      <c r="X56" s="212" t="str">
        <f>IF(売分析!AE56&lt;&gt;"",売分析!AE56,"")</f>
        <v>なし</v>
      </c>
      <c r="Y56" s="388">
        <f>IF(売分析!T56&lt;&gt;"",売分析!T56,"")</f>
        <v>12</v>
      </c>
      <c r="Z56" s="212" t="str">
        <f>IF(売分析!Y56&lt;&gt;"",売分析!Y56,"")</f>
        <v>相場上昇・見送り | パーフェクト▲ MACD- RSI:52.5 前日比:-6.5% [安値圏]前日[長い下ヒゲ(反発)] [12点]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2158.5</v>
      </c>
      <c r="F57" s="326">
        <f>IF(売分析!F57&lt;&gt;"",売分析!F57,"")</f>
        <v>2234</v>
      </c>
      <c r="G57" s="326">
        <f>IF(売分析!H57&lt;&gt;"",売分析!H57,"")</f>
        <v>2283</v>
      </c>
      <c r="H57" s="326">
        <f>IF(売分析!I57&lt;&gt;"",売分析!I57,"")</f>
        <v>2145</v>
      </c>
      <c r="I57" s="325">
        <f>IF(売分析!J57&lt;&gt;"",売分析!J57,"")</f>
        <v>31968400</v>
      </c>
      <c r="J57" s="326">
        <f>IF(売分析!AB57&lt;&gt;"",売分析!AB57,"")</f>
        <v>1434.6238479262672</v>
      </c>
      <c r="K57" s="326">
        <f>IF(売分析!AC57&lt;&gt;"",売分析!AC57,"")</f>
        <v>398.78545887961849</v>
      </c>
      <c r="L57" s="326">
        <f>IF(売分析!K57&lt;&gt;"",売分析!K57,"")</f>
        <v>3019</v>
      </c>
      <c r="M57" s="325" t="str">
        <f>IF(売分析!P57&lt;&gt;"",売分析!P57,"")</f>
        <v>普通→</v>
      </c>
      <c r="N57" s="328">
        <f>IF(売分析!O57&lt;&gt;"",売分析!O57,"")</f>
        <v>1.0162038103987299</v>
      </c>
      <c r="O57" s="330">
        <f>IF(売分析!X57&lt;&gt;"",売分析!X57,"")</f>
        <v>141.16815661581222</v>
      </c>
      <c r="P57" s="327">
        <f>IF(売分析!L57&lt;&gt;"",売分析!L57,"")</f>
        <v>-28.502815501821793</v>
      </c>
      <c r="Q57" s="326">
        <f>IF(売分析!S57&lt;&gt;"",売分析!S57,"")</f>
        <v>2245</v>
      </c>
      <c r="R57" s="326">
        <f>IF(売分析!R57&lt;&gt;"",売分析!R57,"")</f>
        <v>1986</v>
      </c>
      <c r="S57" s="325" t="str">
        <f>IF(売分析!AA57&lt;&gt;"",売分析!AA57,"")</f>
        <v>下落▼</v>
      </c>
      <c r="T57" s="331">
        <f>IF(売分析!Z57&lt;&gt;"",売分析!Z57,"")</f>
        <v>-8.9816571790006314</v>
      </c>
      <c r="U57" s="325" t="str">
        <f>IF(売分析!V57&lt;&gt;"",売分析!V57,"")</f>
        <v>安値圏</v>
      </c>
      <c r="V57" s="329">
        <f>IF(売分析!W57&lt;&gt;"",売分析!W57,"")</f>
        <v>50</v>
      </c>
      <c r="W57" s="325" t="str">
        <f>IF(売分析!AD57&lt;&gt;"",売分析!AD57,"")</f>
        <v>パーフェクト▲</v>
      </c>
      <c r="X57" s="325" t="str">
        <f>IF(売分析!AE57&lt;&gt;"",売分析!AE57,"")</f>
        <v>なし</v>
      </c>
      <c r="Y57" s="387">
        <f>IF(売分析!T57&lt;&gt;"",売分析!T57,"")</f>
        <v>5</v>
      </c>
      <c r="Z57" s="325" t="str">
        <f>IF(売分析!Y57&lt;&gt;"",売分析!Y57,"")</f>
        <v>相場上昇・見送り | パーフェクト▲ MACD+ RSI:50.0 前日比:-9.0% [安値圏] [5点]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4596</v>
      </c>
      <c r="F58" s="333">
        <f>IF(売分析!F58&lt;&gt;"",売分析!F58,"")</f>
        <v>4833</v>
      </c>
      <c r="G58" s="333">
        <f>IF(売分析!H58&lt;&gt;"",売分析!H58,"")</f>
        <v>4917</v>
      </c>
      <c r="H58" s="333">
        <f>IF(売分析!I58&lt;&gt;"",売分析!I58,"")</f>
        <v>4566</v>
      </c>
      <c r="I58" s="212">
        <f>IF(売分析!J58&lt;&gt;"",売分析!J58,"")</f>
        <v>57561600</v>
      </c>
      <c r="J58" s="333">
        <f>IF(売分析!AB58&lt;&gt;"",売分析!AB58,"")</f>
        <v>4656.3133640552987</v>
      </c>
      <c r="K58" s="333">
        <f>IF(売分析!AC58&lt;&gt;"",売分析!AC58,"")</f>
        <v>4568.5113230035731</v>
      </c>
      <c r="L58" s="333">
        <f>IF(売分析!K58&lt;&gt;"",売分析!K58,"")</f>
        <v>7933</v>
      </c>
      <c r="M58" s="212" t="str">
        <f>IF(売分析!P58&lt;&gt;"",売分析!P58,"")</f>
        <v>普通→</v>
      </c>
      <c r="N58" s="335">
        <f>IF(売分析!O58&lt;&gt;"",売分析!O58,"")</f>
        <v>1.05723338016916</v>
      </c>
      <c r="O58" s="337">
        <f>IF(売分析!X58&lt;&gt;"",売分析!X58,"")</f>
        <v>-78.596810208606257</v>
      </c>
      <c r="P58" s="334">
        <f>IF(売分析!L58&lt;&gt;"",売分析!L58,"")</f>
        <v>-42.064792638346148</v>
      </c>
      <c r="Q58" s="333">
        <f>IF(売分析!S58&lt;&gt;"",売分析!S58,"")</f>
        <v>4780</v>
      </c>
      <c r="R58" s="333">
        <f>IF(売分析!R58&lt;&gt;"",売分析!R58,"")</f>
        <v>4228</v>
      </c>
      <c r="S58" s="212" t="str">
        <f>IF(売分析!AA58&lt;&gt;"",売分析!AA58,"")</f>
        <v>下落▼</v>
      </c>
      <c r="T58" s="338">
        <f>IF(売分析!Z58&lt;&gt;"",売分析!Z58,"")</f>
        <v>-9.4027202838557056</v>
      </c>
      <c r="U58" s="212" t="str">
        <f>IF(売分析!V58&lt;&gt;"",売分析!V58,"")</f>
        <v>年初来安値圏●</v>
      </c>
      <c r="V58" s="336">
        <f>IF(売分析!W58&lt;&gt;"",売分析!W58,"")</f>
        <v>48.920863309352519</v>
      </c>
      <c r="W58" s="212" t="str">
        <f>IF(売分析!AD58&lt;&gt;"",売分析!AD58,"")</f>
        <v>上昇トレンド▲</v>
      </c>
      <c r="X58" s="212" t="str">
        <f>IF(売分析!AE58&lt;&gt;"",売分析!AE58,"")</f>
        <v>なし</v>
      </c>
      <c r="Y58" s="388">
        <f>IF(売分析!T58&lt;&gt;"",売分析!T58,"")</f>
        <v>11</v>
      </c>
      <c r="Z58" s="212" t="str">
        <f>IF(売分析!Y58&lt;&gt;"",売分析!Y58,"")</f>
        <v>相場上昇・見送り | 上昇トレンド▲ MACD- RSI:48.9 前日比:-9.4% [年初来安値圏] [11点]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2395</v>
      </c>
      <c r="F59" s="326">
        <f>IF(売分析!F59&lt;&gt;"",売分析!F59,"")</f>
        <v>2355</v>
      </c>
      <c r="G59" s="326">
        <f>IF(売分析!H59&lt;&gt;"",売分析!H59,"")</f>
        <v>2397</v>
      </c>
      <c r="H59" s="326">
        <f>IF(売分析!I59&lt;&gt;"",売分析!I59,"")</f>
        <v>2340</v>
      </c>
      <c r="I59" s="325">
        <f>IF(売分析!J59&lt;&gt;"",売分析!J59,"")</f>
        <v>3921800</v>
      </c>
      <c r="J59" s="326">
        <f>IF(売分析!AB59&lt;&gt;"",売分析!AB59,"")</f>
        <v>2365.9971198156686</v>
      </c>
      <c r="K59" s="326">
        <f>IF(売分析!AC59&lt;&gt;"",売分析!AC59,"")</f>
        <v>2391.2800953516089</v>
      </c>
      <c r="L59" s="326">
        <f>IF(売分析!K59&lt;&gt;"",売分析!K59,"")</f>
        <v>2539.5</v>
      </c>
      <c r="M59" s="325" t="str">
        <f>IF(売分析!P59&lt;&gt;"",売分析!P59,"")</f>
        <v>減少↓</v>
      </c>
      <c r="N59" s="328">
        <f>IF(売分析!O59&lt;&gt;"",売分析!O59,"")</f>
        <v>0.76015366663953077</v>
      </c>
      <c r="O59" s="330">
        <f>IF(売分析!X59&lt;&gt;"",売分析!X59,"")</f>
        <v>6.9606649445349831</v>
      </c>
      <c r="P59" s="327">
        <f>IF(売分析!L59&lt;&gt;"",売分析!L59,"")</f>
        <v>-5.6900964756841903</v>
      </c>
      <c r="Q59" s="326">
        <f>IF(売分析!S59&lt;&gt;"",売分析!S59,"")</f>
        <v>2491</v>
      </c>
      <c r="R59" s="326">
        <f>IF(売分析!R59&lt;&gt;"",売分析!R59,"")</f>
        <v>2203</v>
      </c>
      <c r="S59" s="325" t="str">
        <f>IF(売分析!AA59&lt;&gt;"",売分析!AA59,"")</f>
        <v>上昇▲</v>
      </c>
      <c r="T59" s="331">
        <f>IF(売分析!Z59&lt;&gt;"",売分析!Z59,"")</f>
        <v>1.6122189223589309</v>
      </c>
      <c r="U59" s="325" t="str">
        <f>IF(売分析!V59&lt;&gt;"",売分析!V59,"")</f>
        <v>通常</v>
      </c>
      <c r="V59" s="329">
        <f>IF(売分析!W59&lt;&gt;"",売分析!W59,"")</f>
        <v>45.240339302544768</v>
      </c>
      <c r="W59" s="325" t="str">
        <f>IF(売分析!AD59&lt;&gt;"",売分析!AD59,"")</f>
        <v>上昇トレンド▲</v>
      </c>
      <c r="X59" s="325" t="str">
        <f>IF(売分析!AE59&lt;&gt;"",売分析!AE59,"")</f>
        <v>なし</v>
      </c>
      <c r="Y59" s="387">
        <f>IF(売分析!T59&lt;&gt;"",売分析!T59,"")</f>
        <v>-4</v>
      </c>
      <c r="Z59" s="325" t="str">
        <f>IF(売分析!Y59&lt;&gt;"",売分析!Y59,"")</f>
        <v>相場上昇・見送り | 上昇トレンド▲ MACD+ RSI:45.2 前日比:+1.6%前日[長い下ヒゲ(反発)] [-4点]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2215.5</v>
      </c>
      <c r="F60" s="333">
        <f>IF(売分析!F60&lt;&gt;"",売分析!F60,"")</f>
        <v>2204.5</v>
      </c>
      <c r="G60" s="333">
        <f>IF(売分析!H60&lt;&gt;"",売分析!H60,"")</f>
        <v>2227.5</v>
      </c>
      <c r="H60" s="333">
        <f>IF(売分析!I60&lt;&gt;"",売分析!I60,"")</f>
        <v>2193.5</v>
      </c>
      <c r="I60" s="212">
        <f>IF(売分析!J60&lt;&gt;"",売分析!J60,"")</f>
        <v>552000</v>
      </c>
      <c r="J60" s="333">
        <f>IF(売分析!AB60&lt;&gt;"",売分析!AB60,"")</f>
        <v>2206.7131336405528</v>
      </c>
      <c r="K60" s="333">
        <f>IF(売分析!AC60&lt;&gt;"",売分析!AC60,"")</f>
        <v>2174.5607866507744</v>
      </c>
      <c r="L60" s="333">
        <f>IF(売分析!K60&lt;&gt;"",売分析!K60,"")</f>
        <v>2274</v>
      </c>
      <c r="M60" s="212" t="str">
        <f>IF(売分析!P60&lt;&gt;"",売分析!P60,"")</f>
        <v>普通→</v>
      </c>
      <c r="N60" s="335">
        <f>IF(売分析!O60&lt;&gt;"",売分析!O60,"")</f>
        <v>1.0835001766576375</v>
      </c>
      <c r="O60" s="337">
        <f>IF(売分析!X60&lt;&gt;"",売分析!X60,"")</f>
        <v>17.963000370166355</v>
      </c>
      <c r="P60" s="334">
        <f>IF(売分析!L60&lt;&gt;"",売分析!L60,"")</f>
        <v>-2.5725593667546174</v>
      </c>
      <c r="Q60" s="333">
        <f>IF(売分析!S60&lt;&gt;"",売分析!S60,"")</f>
        <v>2304</v>
      </c>
      <c r="R60" s="333">
        <f>IF(売分析!R60&lt;&gt;"",売分析!R60,"")</f>
        <v>2038</v>
      </c>
      <c r="S60" s="212" t="str">
        <f>IF(売分析!AA60&lt;&gt;"",売分析!AA60,"")</f>
        <v>上昇▲</v>
      </c>
      <c r="T60" s="338">
        <f>IF(売分析!Z60&lt;&gt;"",売分析!Z60,"")</f>
        <v>0.88797814207650272</v>
      </c>
      <c r="U60" s="212" t="str">
        <f>IF(売分析!V60&lt;&gt;"",売分析!V60,"")</f>
        <v>通常</v>
      </c>
      <c r="V60" s="336">
        <f>IF(売分析!W60&lt;&gt;"",売分析!W60,"")</f>
        <v>59.937888198757761</v>
      </c>
      <c r="W60" s="212" t="str">
        <f>IF(売分析!AD60&lt;&gt;"",売分析!AD60,"")</f>
        <v>パーフェクト▲</v>
      </c>
      <c r="X60" s="212" t="str">
        <f>IF(売分析!AE60&lt;&gt;"",売分析!AE60,"")</f>
        <v>なし</v>
      </c>
      <c r="Y60" s="388">
        <f>IF(売分析!T60&lt;&gt;"",売分析!T60,"")</f>
        <v>-1</v>
      </c>
      <c r="Z60" s="212" t="str">
        <f>IF(売分析!Y60&lt;&gt;"",売分析!Y60,"")</f>
        <v>相場上昇・見送り | パーフェクト▲ MACD+ RSI:59.9 前日比:+0.9% [-1点]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4630</v>
      </c>
      <c r="F61" s="326">
        <f>IF(売分析!F61&lt;&gt;"",売分析!F61,"")</f>
        <v>4651</v>
      </c>
      <c r="G61" s="326">
        <f>IF(売分析!H61&lt;&gt;"",売分析!H61,"")</f>
        <v>4728</v>
      </c>
      <c r="H61" s="326">
        <f>IF(売分析!I61&lt;&gt;"",売分析!I61,"")</f>
        <v>4610</v>
      </c>
      <c r="I61" s="325">
        <f>IF(売分析!J61&lt;&gt;"",売分析!J61,"")</f>
        <v>905100</v>
      </c>
      <c r="J61" s="326">
        <f>IF(売分析!AB61&lt;&gt;"",売分析!AB61,"")</f>
        <v>4601.8294930875572</v>
      </c>
      <c r="K61" s="326">
        <f>IF(売分析!AC61&lt;&gt;"",売分析!AC61,"")</f>
        <v>4599.8295589988056</v>
      </c>
      <c r="L61" s="326">
        <f>IF(売分析!K61&lt;&gt;"",売分析!K61,"")</f>
        <v>4890</v>
      </c>
      <c r="M61" s="325" t="str">
        <f>IF(売分析!P61&lt;&gt;"",売分析!P61,"")</f>
        <v>減少↓</v>
      </c>
      <c r="N61" s="328">
        <f>IF(売分析!O61&lt;&gt;"",売分析!O61,"")</f>
        <v>0.79943118585383954</v>
      </c>
      <c r="O61" s="330">
        <f>IF(売分析!X61&lt;&gt;"",売分析!X61,"")</f>
        <v>-7.8835570910550814</v>
      </c>
      <c r="P61" s="327">
        <f>IF(売分析!L61&lt;&gt;"",売分析!L61,"")</f>
        <v>-5.3169734151329244</v>
      </c>
      <c r="Q61" s="326">
        <f>IF(売分析!S61&lt;&gt;"",売分析!S61,"")</f>
        <v>4815</v>
      </c>
      <c r="R61" s="326">
        <f>IF(売分析!R61&lt;&gt;"",売分析!R61,"")</f>
        <v>4260</v>
      </c>
      <c r="S61" s="325" t="str">
        <f>IF(売分析!AA61&lt;&gt;"",売分析!AA61,"")</f>
        <v>下落▼</v>
      </c>
      <c r="T61" s="331">
        <f>IF(売分析!Z61&lt;&gt;"",売分析!Z61,"")</f>
        <v>-1.0049176822749626</v>
      </c>
      <c r="U61" s="325" t="str">
        <f>IF(売分析!V61&lt;&gt;"",売分析!V61,"")</f>
        <v>通常</v>
      </c>
      <c r="V61" s="329">
        <f>IF(売分析!W61&lt;&gt;"",売分析!W61,"")</f>
        <v>46.253021756647861</v>
      </c>
      <c r="W61" s="325" t="str">
        <f>IF(売分析!AD61&lt;&gt;"",売分析!AD61,"")</f>
        <v>パーフェクト▲</v>
      </c>
      <c r="X61" s="325" t="str">
        <f>IF(売分析!AE61&lt;&gt;"",売分析!AE61,"")</f>
        <v>なし</v>
      </c>
      <c r="Y61" s="387">
        <f>IF(売分析!T61&lt;&gt;"",売分析!T61,"")</f>
        <v>2</v>
      </c>
      <c r="Z61" s="325" t="str">
        <f>IF(売分析!Y61&lt;&gt;"",売分析!Y61,"")</f>
        <v>相場上昇・見送り | パーフェクト▲ MACD- RSI:46.3 前日比:-1.0% [2点]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9290</v>
      </c>
      <c r="F62" s="333">
        <f>IF(売分析!F62&lt;&gt;"",売分析!F62,"")</f>
        <v>9450</v>
      </c>
      <c r="G62" s="333">
        <f>IF(売分析!H62&lt;&gt;"",売分析!H62,"")</f>
        <v>9680</v>
      </c>
      <c r="H62" s="333">
        <f>IF(売分析!I62&lt;&gt;"",売分析!I62,"")</f>
        <v>9130</v>
      </c>
      <c r="I62" s="212">
        <f>IF(売分析!J62&lt;&gt;"",売分析!J62,"")</f>
        <v>92600</v>
      </c>
      <c r="J62" s="333">
        <f>IF(売分析!AB62&lt;&gt;"",売分析!AB62,"")</f>
        <v>9299.6428571428569</v>
      </c>
      <c r="K62" s="333">
        <f>IF(売分析!AC62&lt;&gt;"",売分析!AC62,"")</f>
        <v>9379.5470798569695</v>
      </c>
      <c r="L62" s="333">
        <f>IF(売分析!K62&lt;&gt;"",売分析!K62,"")</f>
        <v>16930</v>
      </c>
      <c r="M62" s="212" t="str">
        <f>IF(売分析!P62&lt;&gt;"",売分析!P62,"")</f>
        <v>減少↓</v>
      </c>
      <c r="N62" s="335">
        <f>IF(売分析!O62&lt;&gt;"",売分析!O62,"")</f>
        <v>0.59726522187822495</v>
      </c>
      <c r="O62" s="337">
        <f>IF(売分析!X62&lt;&gt;"",売分析!X62,"")</f>
        <v>-483.93501805053711</v>
      </c>
      <c r="P62" s="334">
        <f>IF(売分析!L62&lt;&gt;"",売分析!L62,"")</f>
        <v>-45.126993502658003</v>
      </c>
      <c r="Q62" s="333">
        <f>IF(売分析!S62&lt;&gt;"",売分析!S62,"")</f>
        <v>9662</v>
      </c>
      <c r="R62" s="333">
        <f>IF(売分析!R62&lt;&gt;"",売分析!R62,"")</f>
        <v>8547</v>
      </c>
      <c r="S62" s="212" t="str">
        <f>IF(売分析!AA62&lt;&gt;"",売分析!AA62,"")</f>
        <v>下落▼</v>
      </c>
      <c r="T62" s="338">
        <f>IF(売分析!Z62&lt;&gt;"",売分析!Z62,"")</f>
        <v>-5.7809330628803242</v>
      </c>
      <c r="U62" s="212" t="str">
        <f>IF(売分析!V62&lt;&gt;"",売分析!V62,"")</f>
        <v>年初来安値圏●</v>
      </c>
      <c r="V62" s="336">
        <f>IF(売分析!W62&lt;&gt;"",売分析!W62,"")</f>
        <v>45.194805194805191</v>
      </c>
      <c r="W62" s="212" t="str">
        <f>IF(売分析!AD62&lt;&gt;"",売分析!AD62,"")</f>
        <v>下降トレンド▼</v>
      </c>
      <c r="X62" s="212" t="str">
        <f>IF(売分析!AE62&lt;&gt;"",売分析!AE62,"")</f>
        <v>25日戻り売り★</v>
      </c>
      <c r="Y62" s="388">
        <f>IF(売分析!T62&lt;&gt;"",売分析!T62,"")</f>
        <v>14</v>
      </c>
      <c r="Z62" s="212" t="str">
        <f>IF(売分析!Y62&lt;&gt;"",売分析!Y62,"")</f>
        <v>★逆張り売り | 下降トレンド▼ 25日戻り売り★ MACD- RSI:45.2 前日比:-5.8% [年初来安値圏]前日[長い下ヒゲ(反発)] [14点]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1215</v>
      </c>
      <c r="F63" s="326">
        <f>IF(売分析!F63&lt;&gt;"",売分析!F63,"")</f>
        <v>1166</v>
      </c>
      <c r="G63" s="326">
        <f>IF(売分析!H63&lt;&gt;"",売分析!H63,"")</f>
        <v>1216</v>
      </c>
      <c r="H63" s="326">
        <f>IF(売分析!I63&lt;&gt;"",売分析!I63,"")</f>
        <v>1166</v>
      </c>
      <c r="I63" s="325">
        <f>IF(売分析!J63&lt;&gt;"",売分析!J63,"")</f>
        <v>575800</v>
      </c>
      <c r="J63" s="326">
        <f>IF(売分析!AB63&lt;&gt;"",売分析!AB63,"")</f>
        <v>1168.8732718894007</v>
      </c>
      <c r="K63" s="326">
        <f>IF(売分析!AC63&lt;&gt;"",売分析!AC63,"")</f>
        <v>1124.6889153754464</v>
      </c>
      <c r="L63" s="326">
        <f>IF(売分析!K63&lt;&gt;"",売分析!K63,"")</f>
        <v>1189</v>
      </c>
      <c r="M63" s="325" t="str">
        <f>IF(売分析!P63&lt;&gt;"",売分析!P63,"")</f>
        <v>減少↓</v>
      </c>
      <c r="N63" s="328">
        <f>IF(売分析!O63&lt;&gt;"",売分析!O63,"")</f>
        <v>0.8997718536112761</v>
      </c>
      <c r="O63" s="330">
        <f>IF(売分析!X63&lt;&gt;"",売分析!X63,"")</f>
        <v>12.290705264707867</v>
      </c>
      <c r="P63" s="327">
        <f>IF(売分析!L63&lt;&gt;"",売分析!L63,"")</f>
        <v>2.1867115222876365</v>
      </c>
      <c r="Q63" s="326">
        <f>IF(売分析!S63&lt;&gt;"",売分析!S63,"")</f>
        <v>1264</v>
      </c>
      <c r="R63" s="326">
        <f>IF(売分析!R63&lt;&gt;"",売分析!R63,"")</f>
        <v>1118</v>
      </c>
      <c r="S63" s="325" t="str">
        <f>IF(売分析!AA63&lt;&gt;"",売分析!AA63,"")</f>
        <v>上昇▲</v>
      </c>
      <c r="T63" s="331">
        <f>IF(売分析!Z63&lt;&gt;"",売分析!Z63,"")</f>
        <v>4.2024013722126927</v>
      </c>
      <c r="U63" s="325" t="str">
        <f>IF(売分析!V63&lt;&gt;"",売分析!V63,"")</f>
        <v>通常</v>
      </c>
      <c r="V63" s="329">
        <f>IF(売分析!W63&lt;&gt;"",売分析!W63,"")</f>
        <v>55.131264916467785</v>
      </c>
      <c r="W63" s="325" t="str">
        <f>IF(売分析!AD63&lt;&gt;"",売分析!AD63,"")</f>
        <v>パーフェクト▲</v>
      </c>
      <c r="X63" s="325" t="str">
        <f>IF(売分析!AE63&lt;&gt;"",売分析!AE63,"")</f>
        <v>なし</v>
      </c>
      <c r="Y63" s="387">
        <f>IF(売分析!T63&lt;&gt;"",売分析!T63,"")</f>
        <v>-1</v>
      </c>
      <c r="Z63" s="325" t="str">
        <f>IF(売分析!Y63&lt;&gt;"",売分析!Y63,"")</f>
        <v>相場上昇・見送り | パーフェクト▲ MACD+ RSI:55.1 前日比:+4.2%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14020</v>
      </c>
      <c r="F64" s="333">
        <f>IF(売分析!F64&lt;&gt;"",売分析!F64,"")</f>
        <v>14620</v>
      </c>
      <c r="G64" s="333">
        <f>IF(売分析!H64&lt;&gt;"",売分析!H64,"")</f>
        <v>15010</v>
      </c>
      <c r="H64" s="333">
        <f>IF(売分析!I64&lt;&gt;"",売分析!I64,"")</f>
        <v>13900</v>
      </c>
      <c r="I64" s="212">
        <f>IF(売分析!J64&lt;&gt;"",売分析!J64,"")</f>
        <v>150800</v>
      </c>
      <c r="J64" s="333">
        <f>IF(売分析!AB64&lt;&gt;"",売分析!AB64,"")</f>
        <v>14107.131336405528</v>
      </c>
      <c r="K64" s="333">
        <f>IF(売分析!AC64&lt;&gt;"",売分析!AC64,"")</f>
        <v>13904.600715137065</v>
      </c>
      <c r="L64" s="333">
        <f>IF(売分析!K64&lt;&gt;"",売分析!K64,"")</f>
        <v>16900</v>
      </c>
      <c r="M64" s="212" t="str">
        <f>IF(売分析!P64&lt;&gt;"",売分析!P64,"")</f>
        <v>減少↓</v>
      </c>
      <c r="N64" s="335">
        <f>IF(売分析!O64&lt;&gt;"",売分析!O64,"")</f>
        <v>0.75528398277071018</v>
      </c>
      <c r="O64" s="337">
        <f>IF(売分析!X64&lt;&gt;"",売分析!X64,"")</f>
        <v>-140.85311197703959</v>
      </c>
      <c r="P64" s="334">
        <f>IF(売分析!L64&lt;&gt;"",売分析!L64,"")</f>
        <v>-17.041420118343193</v>
      </c>
      <c r="Q64" s="333">
        <f>IF(売分析!S64&lt;&gt;"",売分析!S64,"")</f>
        <v>14581</v>
      </c>
      <c r="R64" s="333">
        <f>IF(売分析!R64&lt;&gt;"",売分析!R64,"")</f>
        <v>12898</v>
      </c>
      <c r="S64" s="212" t="str">
        <f>IF(売分析!AA64&lt;&gt;"",売分析!AA64,"")</f>
        <v>下落▼</v>
      </c>
      <c r="T64" s="338">
        <f>IF(売分析!Z64&lt;&gt;"",売分析!Z64,"")</f>
        <v>-5.3981106612685563</v>
      </c>
      <c r="U64" s="212" t="str">
        <f>IF(売分析!V64&lt;&gt;"",売分析!V64,"")</f>
        <v>通常</v>
      </c>
      <c r="V64" s="336">
        <f>IF(売分析!W64&lt;&gt;"",売分析!W64,"")</f>
        <v>49.391069012178626</v>
      </c>
      <c r="W64" s="212" t="str">
        <f>IF(売分析!AD64&lt;&gt;"",売分析!AD64,"")</f>
        <v>上昇トレンド▲</v>
      </c>
      <c r="X64" s="212" t="str">
        <f>IF(売分析!AE64&lt;&gt;"",売分析!AE64,"")</f>
        <v>5日戻り売り○</v>
      </c>
      <c r="Y64" s="388">
        <f>IF(売分析!T64&lt;&gt;"",売分析!T64,"")</f>
        <v>8</v>
      </c>
      <c r="Z64" s="212" t="str">
        <f>IF(売分析!Y64&lt;&gt;"",売分析!Y64,"")</f>
        <v>相場上昇・見送り | 上昇トレンド▲ 5日戻り売り○ MACD- RSI:49.4 前日比:-5.4% [8点]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7460</v>
      </c>
      <c r="F65" s="326">
        <f>IF(売分析!F65&lt;&gt;"",売分析!F65,"")</f>
        <v>7066</v>
      </c>
      <c r="G65" s="326">
        <f>IF(売分析!H65&lt;&gt;"",売分析!H65,"")</f>
        <v>7460</v>
      </c>
      <c r="H65" s="326">
        <f>IF(売分析!I65&lt;&gt;"",売分析!I65,"")</f>
        <v>7055</v>
      </c>
      <c r="I65" s="325">
        <f>IF(売分析!J65&lt;&gt;"",売分析!J65,"")</f>
        <v>3211000</v>
      </c>
      <c r="J65" s="326">
        <f>IF(売分析!AB65&lt;&gt;"",売分析!AB65,"")</f>
        <v>7146.3145161290313</v>
      </c>
      <c r="K65" s="326">
        <f>IF(売分析!AC65&lt;&gt;"",売分析!AC65,"")</f>
        <v>6623.021454112034</v>
      </c>
      <c r="L65" s="326">
        <f>IF(売分析!K65&lt;&gt;"",売分析!K65,"")</f>
        <v>7559</v>
      </c>
      <c r="M65" s="325" t="str">
        <f>IF(売分析!P65&lt;&gt;"",売分析!P65,"")</f>
        <v>減少↓</v>
      </c>
      <c r="N65" s="328">
        <f>IF(売分析!O65&lt;&gt;"",売分析!O65,"")</f>
        <v>0.85962263342756784</v>
      </c>
      <c r="O65" s="330">
        <f>IF(売分析!X65&lt;&gt;"",売分析!X65,"")</f>
        <v>120.46616170260495</v>
      </c>
      <c r="P65" s="327">
        <f>IF(売分析!L65&lt;&gt;"",売分析!L65,"")</f>
        <v>-1.3096970498743219</v>
      </c>
      <c r="Q65" s="326">
        <f>IF(売分析!S65&lt;&gt;"",売分析!S65,"")</f>
        <v>7758</v>
      </c>
      <c r="R65" s="326">
        <f>IF(売分析!R65&lt;&gt;"",売分析!R65,"")</f>
        <v>6863</v>
      </c>
      <c r="S65" s="325" t="str">
        <f>IF(売分析!AA65&lt;&gt;"",売分析!AA65,"")</f>
        <v>上昇▲</v>
      </c>
      <c r="T65" s="331">
        <f>IF(売分析!Z65&lt;&gt;"",売分析!Z65,"")</f>
        <v>2.9959961341985366</v>
      </c>
      <c r="U65" s="325" t="str">
        <f>IF(売分析!V65&lt;&gt;"",売分析!V65,"")</f>
        <v>通常</v>
      </c>
      <c r="V65" s="329">
        <f>IF(売分析!W65&lt;&gt;"",売分析!W65,"")</f>
        <v>74.951076320939336</v>
      </c>
      <c r="W65" s="325" t="str">
        <f>IF(売分析!AD65&lt;&gt;"",売分析!AD65,"")</f>
        <v>パーフェクト▲</v>
      </c>
      <c r="X65" s="325" t="str">
        <f>IF(売分析!AE65&lt;&gt;"",売分析!AE65,"")</f>
        <v>なし</v>
      </c>
      <c r="Y65" s="387">
        <f>IF(売分析!T65&lt;&gt;"",売分析!T65,"")</f>
        <v>1</v>
      </c>
      <c r="Z65" s="325" t="str">
        <f>IF(売分析!Y65&lt;&gt;"",売分析!Y65,"")</f>
        <v>△過熱・様子見 | パーフェクト▲ MACD+ RSI:75.0 [過熱] 前日比:+3.0% [1点]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8499</v>
      </c>
      <c r="F66" s="333">
        <f>IF(売分析!F66&lt;&gt;"",売分析!F66,"")</f>
        <v>8436</v>
      </c>
      <c r="G66" s="333">
        <f>IF(売分析!H66&lt;&gt;"",売分析!H66,"")</f>
        <v>8655</v>
      </c>
      <c r="H66" s="333">
        <f>IF(売分析!I66&lt;&gt;"",売分析!I66,"")</f>
        <v>8417</v>
      </c>
      <c r="I66" s="212">
        <f>IF(売分析!J66&lt;&gt;"",売分析!J66,"")</f>
        <v>9317000</v>
      </c>
      <c r="J66" s="333">
        <f>IF(売分析!AB66&lt;&gt;"",売分析!AB66,"")</f>
        <v>8357.399769585254</v>
      </c>
      <c r="K66" s="333">
        <f>IF(売分析!AC66&lt;&gt;"",売分析!AC66,"")</f>
        <v>8295.6746126340859</v>
      </c>
      <c r="L66" s="333">
        <f>IF(売分析!K66&lt;&gt;"",売分析!K66,"")</f>
        <v>8816</v>
      </c>
      <c r="M66" s="212" t="str">
        <f>IF(売分析!P66&lt;&gt;"",売分析!P66,"")</f>
        <v>減少↓</v>
      </c>
      <c r="N66" s="335">
        <f>IF(売分析!O66&lt;&gt;"",売分析!O66,"")</f>
        <v>0.8944840947536784</v>
      </c>
      <c r="O66" s="337">
        <f>IF(売分析!X66&lt;&gt;"",売分析!X66,"")</f>
        <v>6.9587185906675586</v>
      </c>
      <c r="P66" s="334">
        <f>IF(売分析!L66&lt;&gt;"",売分析!L66,"")</f>
        <v>-3.5957350272232307</v>
      </c>
      <c r="Q66" s="333">
        <f>IF(売分析!S66&lt;&gt;"",売分析!S66,"")</f>
        <v>8839</v>
      </c>
      <c r="R66" s="333">
        <f>IF(売分析!R66&lt;&gt;"",売分析!R66,"")</f>
        <v>7819</v>
      </c>
      <c r="S66" s="212" t="str">
        <f>IF(売分析!AA66&lt;&gt;"",売分析!AA66,"")</f>
        <v>上昇▲</v>
      </c>
      <c r="T66" s="338">
        <f>IF(売分析!Z66&lt;&gt;"",売分析!Z66,"")</f>
        <v>0.34238488783943333</v>
      </c>
      <c r="U66" s="212" t="str">
        <f>IF(売分析!V66&lt;&gt;"",売分析!V66,"")</f>
        <v>通常</v>
      </c>
      <c r="V66" s="336">
        <f>IF(売分析!W66&lt;&gt;"",売分析!W66,"")</f>
        <v>47.649572649572647</v>
      </c>
      <c r="W66" s="212" t="str">
        <f>IF(売分析!AD66&lt;&gt;"",売分析!AD66,"")</f>
        <v>パーフェクト▲</v>
      </c>
      <c r="X66" s="212" t="str">
        <f>IF(売分析!AE66&lt;&gt;"",売分析!AE66,"")</f>
        <v>なし</v>
      </c>
      <c r="Y66" s="388">
        <f>IF(売分析!T66&lt;&gt;"",売分析!T66,"")</f>
        <v>0</v>
      </c>
      <c r="Z66" s="212" t="str">
        <f>IF(売分析!Y66&lt;&gt;"",売分析!Y66,"")</f>
        <v>相場上昇・見送り | パーフェクト▲ MACD+ RSI:47.6 前日比:+0.3% [上ヒゲ陰線▼] [0点]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6513</v>
      </c>
      <c r="F67" s="326">
        <f>IF(売分析!F67&lt;&gt;"",売分析!F67,"")</f>
        <v>6505</v>
      </c>
      <c r="G67" s="326">
        <f>IF(売分析!H67&lt;&gt;"",売分析!H67,"")</f>
        <v>6534</v>
      </c>
      <c r="H67" s="326">
        <f>IF(売分析!I67&lt;&gt;"",売分析!I67,"")</f>
        <v>6472</v>
      </c>
      <c r="I67" s="325">
        <f>IF(売分析!J67&lt;&gt;"",売分析!J67,"")</f>
        <v>2873500</v>
      </c>
      <c r="J67" s="326">
        <f>IF(売分析!AB67&lt;&gt;"",売分析!AB67,"")</f>
        <v>6463.5011520737326</v>
      </c>
      <c r="K67" s="326">
        <f>IF(売分析!AC67&lt;&gt;"",売分析!AC67,"")</f>
        <v>6448.6817640047639</v>
      </c>
      <c r="L67" s="326">
        <f>IF(売分析!K67&lt;&gt;"",売分析!K67,"")</f>
        <v>6680</v>
      </c>
      <c r="M67" s="325" t="str">
        <f>IF(売分析!P67&lt;&gt;"",売分析!P67,"")</f>
        <v>減少↓</v>
      </c>
      <c r="N67" s="328">
        <f>IF(売分析!O67&lt;&gt;"",売分析!O67,"")</f>
        <v>0.86722036783302048</v>
      </c>
      <c r="O67" s="330">
        <f>IF(売分析!X67&lt;&gt;"",売分析!X67,"")</f>
        <v>8.3236659117419549</v>
      </c>
      <c r="P67" s="327">
        <f>IF(売分析!L67&lt;&gt;"",売分析!L67,"")</f>
        <v>-2.5</v>
      </c>
      <c r="Q67" s="326">
        <f>IF(売分析!S67&lt;&gt;"",売分析!S67,"")</f>
        <v>6774</v>
      </c>
      <c r="R67" s="326">
        <f>IF(売分析!R67&lt;&gt;"",売分析!R67,"")</f>
        <v>5992</v>
      </c>
      <c r="S67" s="325" t="str">
        <f>IF(売分析!AA67&lt;&gt;"",売分析!AA67,"")</f>
        <v>下落▼</v>
      </c>
      <c r="T67" s="331">
        <f>IF(売分析!Z67&lt;&gt;"",売分析!Z67,"")</f>
        <v>-0.51932182679089667</v>
      </c>
      <c r="U67" s="325" t="str">
        <f>IF(売分析!V67&lt;&gt;"",売分析!V67,"")</f>
        <v>通常</v>
      </c>
      <c r="V67" s="329">
        <f>IF(売分析!W67&lt;&gt;"",売分析!W67,"")</f>
        <v>48.832487309644677</v>
      </c>
      <c r="W67" s="325" t="str">
        <f>IF(売分析!AD67&lt;&gt;"",売分析!AD67,"")</f>
        <v>パーフェクト▲</v>
      </c>
      <c r="X67" s="325" t="str">
        <f>IF(売分析!AE67&lt;&gt;"",売分析!AE67,"")</f>
        <v>なし</v>
      </c>
      <c r="Y67" s="387">
        <f>IF(売分析!T67&lt;&gt;"",売分析!T67,"")</f>
        <v>-1</v>
      </c>
      <c r="Z67" s="325" t="str">
        <f>IF(売分析!Y67&lt;&gt;"",売分析!Y67,"")</f>
        <v>相場上昇・見送り | パーフェクト▲ MACD+ RSI:48.8 前日比:-0.5% [-1点]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1679</v>
      </c>
      <c r="F68" s="333">
        <f>IF(売分析!F68&lt;&gt;"",売分析!F68,"")</f>
        <v>1646</v>
      </c>
      <c r="G68" s="333">
        <f>IF(売分析!H68&lt;&gt;"",売分析!H68,"")</f>
        <v>1687</v>
      </c>
      <c r="H68" s="333">
        <f>IF(売分析!I68&lt;&gt;"",売分析!I68,"")</f>
        <v>1646</v>
      </c>
      <c r="I68" s="212">
        <f>IF(売分析!J68&lt;&gt;"",売分析!J68,"")</f>
        <v>7699800</v>
      </c>
      <c r="J68" s="333">
        <f>IF(売分析!AB68&lt;&gt;"",売分析!AB68,"")</f>
        <v>1658.3231566820275</v>
      </c>
      <c r="K68" s="333">
        <f>IF(売分析!AC68&lt;&gt;"",売分析!AC68,"")</f>
        <v>1665.0333730631698</v>
      </c>
      <c r="L68" s="333">
        <f>IF(売分析!K68&lt;&gt;"",売分析!K68,"")</f>
        <v>1705</v>
      </c>
      <c r="M68" s="212" t="str">
        <f>IF(売分析!P68&lt;&gt;"",売分析!P68,"")</f>
        <v>減少↓</v>
      </c>
      <c r="N68" s="335">
        <f>IF(売分析!O68&lt;&gt;"",売分析!O68,"")</f>
        <v>0.68725510322482752</v>
      </c>
      <c r="O68" s="337">
        <f>IF(売分析!X68&lt;&gt;"",売分析!X68,"")</f>
        <v>3.7529876929941111</v>
      </c>
      <c r="P68" s="334">
        <f>IF(売分析!L68&lt;&gt;"",売分析!L68,"")</f>
        <v>-1.5249266862170088</v>
      </c>
      <c r="Q68" s="333">
        <f>IF(売分析!S68&lt;&gt;"",売分析!S68,"")</f>
        <v>1746</v>
      </c>
      <c r="R68" s="333">
        <f>IF(売分析!R68&lt;&gt;"",売分析!R68,"")</f>
        <v>1545</v>
      </c>
      <c r="S68" s="212" t="str">
        <f>IF(売分析!AA68&lt;&gt;"",売分析!AA68,"")</f>
        <v>上昇▲</v>
      </c>
      <c r="T68" s="338">
        <f>IF(売分析!Z68&lt;&gt;"",売分析!Z68,"")</f>
        <v>1.0836845273931366</v>
      </c>
      <c r="U68" s="212" t="str">
        <f>IF(売分析!V68&lt;&gt;"",売分析!V68,"")</f>
        <v>通常</v>
      </c>
      <c r="V68" s="336">
        <f>IF(売分析!W68&lt;&gt;"",売分析!W68,"")</f>
        <v>46.13807245386193</v>
      </c>
      <c r="W68" s="212" t="str">
        <f>IF(売分析!AD68&lt;&gt;"",売分析!AD68,"")</f>
        <v>上昇トレンド▲</v>
      </c>
      <c r="X68" s="212" t="str">
        <f>IF(売分析!AE68&lt;&gt;"",売分析!AE68,"")</f>
        <v>なし</v>
      </c>
      <c r="Y68" s="388">
        <f>IF(売分析!T68&lt;&gt;"",売分析!T68,"")</f>
        <v>-2</v>
      </c>
      <c r="Z68" s="212" t="str">
        <f>IF(売分析!Y68&lt;&gt;"",売分析!Y68,"")</f>
        <v>相場上昇・見送り | 上昇トレンド▲ MACD+ RSI:46.1 前日比:+1.1% [-2点]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3635</v>
      </c>
      <c r="F69" s="326">
        <f>IF(売分析!F69&lt;&gt;"",売分析!F69,"")</f>
        <v>3627</v>
      </c>
      <c r="G69" s="326">
        <f>IF(売分析!H69&lt;&gt;"",売分析!H69,"")</f>
        <v>3661</v>
      </c>
      <c r="H69" s="326">
        <f>IF(売分析!I69&lt;&gt;"",売分析!I69,"")</f>
        <v>3614</v>
      </c>
      <c r="I69" s="325">
        <f>IF(売分析!J69&lt;&gt;"",売分析!J69,"")</f>
        <v>617900</v>
      </c>
      <c r="J69" s="326">
        <f>IF(売分析!AB69&lt;&gt;"",売分析!AB69,"")</f>
        <v>3579.1071428571431</v>
      </c>
      <c r="K69" s="326">
        <f>IF(売分析!AC69&lt;&gt;"",売分析!AC69,"")</f>
        <v>3552.7413587604274</v>
      </c>
      <c r="L69" s="326">
        <f>IF(売分析!K69&lt;&gt;"",売分析!K69,"")</f>
        <v>4284</v>
      </c>
      <c r="M69" s="325" t="str">
        <f>IF(売分析!P69&lt;&gt;"",売分析!P69,"")</f>
        <v>減少↓</v>
      </c>
      <c r="N69" s="328">
        <f>IF(売分析!O69&lt;&gt;"",売分析!O69,"")</f>
        <v>0.56928321356182054</v>
      </c>
      <c r="O69" s="330">
        <f>IF(売分析!X69&lt;&gt;"",売分析!X69,"")</f>
        <v>-28.692760678079139</v>
      </c>
      <c r="P69" s="327">
        <f>IF(売分析!L69&lt;&gt;"",売分析!L69,"")</f>
        <v>-15.149393090569561</v>
      </c>
      <c r="Q69" s="326">
        <f>IF(売分析!S69&lt;&gt;"",売分析!S69,"")</f>
        <v>3780</v>
      </c>
      <c r="R69" s="326">
        <f>IF(売分析!R69&lt;&gt;"",売分析!R69,"")</f>
        <v>3344</v>
      </c>
      <c r="S69" s="325" t="str">
        <f>IF(売分析!AA69&lt;&gt;"",売分析!AA69,"")</f>
        <v>上昇▲</v>
      </c>
      <c r="T69" s="331">
        <f>IF(売分析!Z69&lt;&gt;"",売分析!Z69,"")</f>
        <v>0.63676633444075303</v>
      </c>
      <c r="U69" s="325" t="str">
        <f>IF(売分析!V69&lt;&gt;"",売分析!V69,"")</f>
        <v>通常</v>
      </c>
      <c r="V69" s="329">
        <f>IF(売分析!W69&lt;&gt;"",売分析!W69,"")</f>
        <v>49.441600744532337</v>
      </c>
      <c r="W69" s="325" t="str">
        <f>IF(売分析!AD69&lt;&gt;"",売分析!AD69,"")</f>
        <v>パーフェクト▲</v>
      </c>
      <c r="X69" s="325" t="str">
        <f>IF(売分析!AE69&lt;&gt;"",売分析!AE69,"")</f>
        <v>なし</v>
      </c>
      <c r="Y69" s="387">
        <f>IF(売分析!T69&lt;&gt;"",売分析!T69,"")</f>
        <v>4</v>
      </c>
      <c r="Z69" s="325" t="str">
        <f>IF(売分析!Y69&lt;&gt;"",売分析!Y69,"")</f>
        <v>相場上昇・見送り | パーフェクト▲ MACD- RSI:49.4 前日比:+0.6% [4点]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6781</v>
      </c>
      <c r="F70" s="333">
        <f>IF(売分析!F70&lt;&gt;"",売分析!F70,"")</f>
        <v>6700</v>
      </c>
      <c r="G70" s="333">
        <f>IF(売分析!H70&lt;&gt;"",売分析!H70,"")</f>
        <v>6823</v>
      </c>
      <c r="H70" s="333">
        <f>IF(売分析!I70&lt;&gt;"",売分析!I70,"")</f>
        <v>6681</v>
      </c>
      <c r="I70" s="212">
        <f>IF(売分析!J70&lt;&gt;"",売分析!J70,"")</f>
        <v>10686000</v>
      </c>
      <c r="J70" s="333">
        <f>IF(売分析!AB70&lt;&gt;"",売分析!AB70,"")</f>
        <v>6689.6947004608292</v>
      </c>
      <c r="K70" s="333">
        <f>IF(売分析!AC70&lt;&gt;"",売分析!AC70,"")</f>
        <v>6825.6376638855754</v>
      </c>
      <c r="L70" s="333">
        <f>IF(売分析!K70&lt;&gt;"",売分析!K70,"")</f>
        <v>7260</v>
      </c>
      <c r="M70" s="212" t="str">
        <f>IF(売分析!P70&lt;&gt;"",売分析!P70,"")</f>
        <v>減少↓</v>
      </c>
      <c r="N70" s="335">
        <f>IF(売分析!O70&lt;&gt;"",売分析!O70,"")</f>
        <v>0.74868842902943744</v>
      </c>
      <c r="O70" s="337">
        <f>IF(売分析!X70&lt;&gt;"",売分析!X70,"")</f>
        <v>-15.823542523252399</v>
      </c>
      <c r="P70" s="334">
        <f>IF(売分析!L70&lt;&gt;"",売分析!L70,"")</f>
        <v>-6.5977961432506893</v>
      </c>
      <c r="Q70" s="333">
        <f>IF(売分析!S70&lt;&gt;"",売分析!S70,"")</f>
        <v>7052</v>
      </c>
      <c r="R70" s="333">
        <f>IF(売分析!R70&lt;&gt;"",売分析!R70,"")</f>
        <v>6239</v>
      </c>
      <c r="S70" s="212" t="str">
        <f>IF(売分析!AA70&lt;&gt;"",売分析!AA70,"")</f>
        <v>上昇▲</v>
      </c>
      <c r="T70" s="338">
        <f>IF(売分析!Z70&lt;&gt;"",売分析!Z70,"")</f>
        <v>1.7251725172517254</v>
      </c>
      <c r="U70" s="212" t="str">
        <f>IF(売分析!V70&lt;&gt;"",売分析!V70,"")</f>
        <v>通常</v>
      </c>
      <c r="V70" s="336">
        <f>IF(売分析!W70&lt;&gt;"",売分析!W70,"")</f>
        <v>38.907849829351534</v>
      </c>
      <c r="W70" s="212" t="str">
        <f>IF(売分析!AD70&lt;&gt;"",売分析!AD70,"")</f>
        <v>もみ合い→</v>
      </c>
      <c r="X70" s="212" t="str">
        <f>IF(売分析!AE70&lt;&gt;"",売分析!AE70,"")</f>
        <v>25日戻り売り★</v>
      </c>
      <c r="Y70" s="388">
        <f>IF(売分析!T70&lt;&gt;"",売分析!T70,"")</f>
        <v>3</v>
      </c>
      <c r="Z70" s="212" t="str">
        <f>IF(売分析!Y70&lt;&gt;"",売分析!Y70,"")</f>
        <v>○逆張り売り | もみ合い→ 25日戻り売り★ MACD- RSI:38.9 前日比:+1.7%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4250</v>
      </c>
      <c r="F71" s="326">
        <f>IF(売分析!F71&lt;&gt;"",売分析!F71,"")</f>
        <v>4188</v>
      </c>
      <c r="G71" s="326">
        <f>IF(売分析!H71&lt;&gt;"",売分析!H71,"")</f>
        <v>4302</v>
      </c>
      <c r="H71" s="326">
        <f>IF(売分析!I71&lt;&gt;"",売分析!I71,"")</f>
        <v>4170</v>
      </c>
      <c r="I71" s="325">
        <f>IF(売分析!J71&lt;&gt;"",売分析!J71,"")</f>
        <v>383400</v>
      </c>
      <c r="J71" s="326">
        <f>IF(売分析!AB71&lt;&gt;"",売分析!AB71,"")</f>
        <v>4162.4573732718891</v>
      </c>
      <c r="K71" s="326">
        <f>IF(売分析!AC71&lt;&gt;"",売分析!AC71,"")</f>
        <v>4108.8343265792591</v>
      </c>
      <c r="L71" s="326">
        <f>IF(売分析!K71&lt;&gt;"",売分析!K71,"")</f>
        <v>4404</v>
      </c>
      <c r="M71" s="325" t="str">
        <f>IF(売分析!P71&lt;&gt;"",売分析!P71,"")</f>
        <v>普通→</v>
      </c>
      <c r="N71" s="328">
        <f>IF(売分析!O71&lt;&gt;"",売分析!O71,"")</f>
        <v>1.3186132893107718</v>
      </c>
      <c r="O71" s="330">
        <f>IF(売分析!X71&lt;&gt;"",売分析!X71,"")</f>
        <v>11.794247708357034</v>
      </c>
      <c r="P71" s="327">
        <f>IF(売分析!L71&lt;&gt;"",売分析!L71,"")</f>
        <v>-3.4968210717529522</v>
      </c>
      <c r="Q71" s="326">
        <f>IF(売分析!S71&lt;&gt;"",売分析!S71,"")</f>
        <v>4420</v>
      </c>
      <c r="R71" s="326">
        <f>IF(売分析!R71&lt;&gt;"",売分析!R71,"")</f>
        <v>3910</v>
      </c>
      <c r="S71" s="325" t="str">
        <f>IF(売分析!AA71&lt;&gt;"",売分析!AA71,"")</f>
        <v>上昇▲</v>
      </c>
      <c r="T71" s="331">
        <f>IF(売分析!Z71&lt;&gt;"",売分析!Z71,"")</f>
        <v>0.25949516395376265</v>
      </c>
      <c r="U71" s="325" t="str">
        <f>IF(売分析!V71&lt;&gt;"",売分析!V71,"")</f>
        <v>通常</v>
      </c>
      <c r="V71" s="329">
        <f>IF(売分析!W71&lt;&gt;"",売分析!W71,"")</f>
        <v>64.887640449438209</v>
      </c>
      <c r="W71" s="325" t="str">
        <f>IF(売分析!AD71&lt;&gt;"",売分析!AD71,"")</f>
        <v>パーフェクト▲</v>
      </c>
      <c r="X71" s="325" t="str">
        <f>IF(売分析!AE71&lt;&gt;"",売分析!AE71,"")</f>
        <v>なし</v>
      </c>
      <c r="Y71" s="387">
        <f>IF(売分析!T71&lt;&gt;"",売分析!T71,"")</f>
        <v>0</v>
      </c>
      <c r="Z71" s="325" t="str">
        <f>IF(売分析!Y71&lt;&gt;"",売分析!Y71,"")</f>
        <v>相場上昇・見送り | パーフェクト▲ MACD+ RSI:64.9 前日比:+0.3%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3096</v>
      </c>
      <c r="F72" s="333">
        <f>IF(売分析!F72&lt;&gt;"",売分析!F72,"")</f>
        <v>3151</v>
      </c>
      <c r="G72" s="333">
        <f>IF(売分析!H72&lt;&gt;"",売分析!H72,"")</f>
        <v>3263</v>
      </c>
      <c r="H72" s="333">
        <f>IF(売分析!I72&lt;&gt;"",売分析!I72,"")</f>
        <v>3056</v>
      </c>
      <c r="I72" s="212">
        <f>IF(売分析!J72&lt;&gt;"",売分析!J72,"")</f>
        <v>3146400</v>
      </c>
      <c r="J72" s="333">
        <f>IF(売分析!AB72&lt;&gt;"",売分析!AB72,"")</f>
        <v>3248.2142857142853</v>
      </c>
      <c r="K72" s="333">
        <f>IF(売分析!AC72&lt;&gt;"",売分析!AC72,"")</f>
        <v>3508.3861740166853</v>
      </c>
      <c r="L72" s="333">
        <f>IF(売分析!K72&lt;&gt;"",売分析!K72,"")</f>
        <v>5228</v>
      </c>
      <c r="M72" s="212" t="str">
        <f>IF(売分析!P72&lt;&gt;"",売分析!P72,"")</f>
        <v>普通→</v>
      </c>
      <c r="N72" s="335">
        <f>IF(売分析!O72&lt;&gt;"",売分析!O72,"")</f>
        <v>1.0803980413836676</v>
      </c>
      <c r="O72" s="337">
        <f>IF(売分析!X72&lt;&gt;"",売分析!X72,"")</f>
        <v>-97.420338800901391</v>
      </c>
      <c r="P72" s="334">
        <f>IF(売分析!L72&lt;&gt;"",売分析!L72,"")</f>
        <v>-40.780413159908186</v>
      </c>
      <c r="Q72" s="333">
        <f>IF(売分析!S72&lt;&gt;"",売分析!S72,"")</f>
        <v>3220</v>
      </c>
      <c r="R72" s="333">
        <f>IF(売分析!R72&lt;&gt;"",売分析!R72,"")</f>
        <v>2848</v>
      </c>
      <c r="S72" s="212" t="str">
        <f>IF(売分析!AA72&lt;&gt;"",売分析!AA72,"")</f>
        <v>下落▼</v>
      </c>
      <c r="T72" s="338">
        <f>IF(売分析!Z72&lt;&gt;"",売分析!Z72,"")</f>
        <v>-5.9252506836827719</v>
      </c>
      <c r="U72" s="212" t="str">
        <f>IF(売分析!V72&lt;&gt;"",売分析!V72,"")</f>
        <v>年初来安値圏●</v>
      </c>
      <c r="V72" s="336">
        <f>IF(売分析!W72&lt;&gt;"",売分析!W72,"")</f>
        <v>32.526881720430111</v>
      </c>
      <c r="W72" s="212" t="str">
        <f>IF(売分析!AD72&lt;&gt;"",売分析!AD72,"")</f>
        <v>下降トレンド▼</v>
      </c>
      <c r="X72" s="212" t="str">
        <f>IF(売分析!AE72&lt;&gt;"",売分析!AE72,"")</f>
        <v>なし</v>
      </c>
      <c r="Y72" s="388">
        <f>IF(売分析!T72&lt;&gt;"",売分析!T72,"")</f>
        <v>14</v>
      </c>
      <c r="Z72" s="212" t="str">
        <f>IF(売分析!Y72&lt;&gt;"",売分析!Y72,"")</f>
        <v>相場上昇・見送り | 下降トレンド▼ MACD- RSI:32.5 前日比:-5.9% [年初来安値圏] [14点]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2983.5</v>
      </c>
      <c r="F73" s="326">
        <f>IF(売分析!F73&lt;&gt;"",売分析!F73,"")</f>
        <v>2930</v>
      </c>
      <c r="G73" s="326">
        <f>IF(売分析!H73&lt;&gt;"",売分析!H73,"")</f>
        <v>2993.5</v>
      </c>
      <c r="H73" s="326">
        <f>IF(売分析!I73&lt;&gt;"",売分析!I73,"")</f>
        <v>2918</v>
      </c>
      <c r="I73" s="325">
        <f>IF(売分析!J73&lt;&gt;"",売分析!J73,"")</f>
        <v>31969900</v>
      </c>
      <c r="J73" s="326">
        <f>IF(売分析!AB73&lt;&gt;"",売分析!AB73,"")</f>
        <v>2958.8375576036865</v>
      </c>
      <c r="K73" s="326">
        <f>IF(売分析!AC73&lt;&gt;"",売分析!AC73,"")</f>
        <v>2959.6853396901056</v>
      </c>
      <c r="L73" s="326">
        <f>IF(売分析!K73&lt;&gt;"",売分析!K73,"")</f>
        <v>4000</v>
      </c>
      <c r="M73" s="325" t="str">
        <f>IF(売分析!P73&lt;&gt;"",売分析!P73,"")</f>
        <v>減少↓</v>
      </c>
      <c r="N73" s="328">
        <f>IF(売分析!O73&lt;&gt;"",売分析!O73,"")</f>
        <v>0.69202902158435964</v>
      </c>
      <c r="O73" s="330">
        <f>IF(売分析!X73&lt;&gt;"",売分析!X73,"")</f>
        <v>19.566191952683312</v>
      </c>
      <c r="P73" s="327">
        <f>IF(売分析!L73&lt;&gt;"",売分析!L73,"")</f>
        <v>-25.412499999999998</v>
      </c>
      <c r="Q73" s="326">
        <f>IF(売分析!S73&lt;&gt;"",売分析!S73,"")</f>
        <v>3103</v>
      </c>
      <c r="R73" s="326">
        <f>IF(売分析!R73&lt;&gt;"",売分析!R73,"")</f>
        <v>2745</v>
      </c>
      <c r="S73" s="325" t="str">
        <f>IF(売分析!AA73&lt;&gt;"",売分析!AA73,"")</f>
        <v>上昇▲</v>
      </c>
      <c r="T73" s="331">
        <f>IF(売分析!Z73&lt;&gt;"",売分析!Z73,"")</f>
        <v>2.3674729799279466</v>
      </c>
      <c r="U73" s="325" t="str">
        <f>IF(売分析!V73&lt;&gt;"",売分析!V73,"")</f>
        <v>安値圏</v>
      </c>
      <c r="V73" s="329">
        <f>IF(売分析!W73&lt;&gt;"",売分析!W73,"")</f>
        <v>52.516129032258071</v>
      </c>
      <c r="W73" s="325" t="str">
        <f>IF(売分析!AD73&lt;&gt;"",売分析!AD73,"")</f>
        <v>上昇トレンド▲</v>
      </c>
      <c r="X73" s="325" t="str">
        <f>IF(売分析!AE73&lt;&gt;"",売分析!AE73,"")</f>
        <v>なし</v>
      </c>
      <c r="Y73" s="387">
        <f>IF(売分析!T73&lt;&gt;"",売分析!T73,"")</f>
        <v>0</v>
      </c>
      <c r="Z73" s="325" t="str">
        <f>IF(売分析!Y73&lt;&gt;"",売分析!Y73,"")</f>
        <v>相場上昇・見送り | 上昇トレンド▲ MACD+ RSI:52.5 前日比:+2.4% [安値圏]前日[長い下ヒゲ(反発)] [0点]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2226</v>
      </c>
      <c r="F74" s="333">
        <f>IF(売分析!F74&lt;&gt;"",売分析!F74,"")</f>
        <v>2213</v>
      </c>
      <c r="G74" s="333">
        <f>IF(売分析!H74&lt;&gt;"",売分析!H74,"")</f>
        <v>2253</v>
      </c>
      <c r="H74" s="333">
        <f>IF(売分析!I74&lt;&gt;"",売分析!I74,"")</f>
        <v>2197</v>
      </c>
      <c r="I74" s="212">
        <f>IF(売分析!J74&lt;&gt;"",売分析!J74,"")</f>
        <v>27900</v>
      </c>
      <c r="J74" s="333">
        <f>IF(売分析!AB74&lt;&gt;"",売分析!AB74,"")</f>
        <v>2188.4965437788014</v>
      </c>
      <c r="K74" s="333">
        <f>IF(売分析!AC74&lt;&gt;"",売分析!AC74,"")</f>
        <v>2093.5649582836709</v>
      </c>
      <c r="L74" s="333">
        <f>IF(売分析!K74&lt;&gt;"",売分析!K74,"")</f>
        <v>2993</v>
      </c>
      <c r="M74" s="212" t="str">
        <f>IF(売分析!P74&lt;&gt;"",売分析!P74,"")</f>
        <v>減少↓</v>
      </c>
      <c r="N74" s="335">
        <f>IF(売分析!O74&lt;&gt;"",売分析!O74,"")</f>
        <v>0.83433014354066981</v>
      </c>
      <c r="O74" s="337">
        <f>IF(売分析!X74&lt;&gt;"",売分析!X74,"")</f>
        <v>12.107523115440017</v>
      </c>
      <c r="P74" s="334">
        <f>IF(売分析!L74&lt;&gt;"",売分析!L74,"")</f>
        <v>-25.626461744069495</v>
      </c>
      <c r="Q74" s="333">
        <f>IF(売分析!S74&lt;&gt;"",売分析!S74,"")</f>
        <v>2315</v>
      </c>
      <c r="R74" s="333">
        <f>IF(売分析!R74&lt;&gt;"",売分析!R74,"")</f>
        <v>2048</v>
      </c>
      <c r="S74" s="212" t="str">
        <f>IF(売分析!AA74&lt;&gt;"",売分析!AA74,"")</f>
        <v>上昇▲</v>
      </c>
      <c r="T74" s="338">
        <f>IF(売分析!Z74&lt;&gt;"",売分析!Z74,"")</f>
        <v>0.58743786714866697</v>
      </c>
      <c r="U74" s="212" t="str">
        <f>IF(売分析!V74&lt;&gt;"",売分析!V74,"")</f>
        <v>安値圏</v>
      </c>
      <c r="V74" s="336">
        <f>IF(売分析!W74&lt;&gt;"",売分析!W74,"")</f>
        <v>62.396694214876035</v>
      </c>
      <c r="W74" s="212" t="str">
        <f>IF(売分析!AD74&lt;&gt;"",売分析!AD74,"")</f>
        <v>パーフェクト▲</v>
      </c>
      <c r="X74" s="212" t="str">
        <f>IF(売分析!AE74&lt;&gt;"",売分析!AE74,"")</f>
        <v>なし</v>
      </c>
      <c r="Y74" s="388">
        <f>IF(売分析!T74&lt;&gt;"",売分析!T74,"")</f>
        <v>3</v>
      </c>
      <c r="Z74" s="212" t="str">
        <f>IF(売分析!Y74&lt;&gt;"",売分析!Y74,"")</f>
        <v>相場上昇・見送り | パーフェクト▲ MACD+ RSI:62.4 前日比:+0.6% [安値圏] [3点]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4498</v>
      </c>
      <c r="F75" s="326">
        <f>IF(売分析!F75&lt;&gt;"",売分析!F75,"")</f>
        <v>4652</v>
      </c>
      <c r="G75" s="326">
        <f>IF(売分析!H75&lt;&gt;"",売分析!H75,"")</f>
        <v>4736</v>
      </c>
      <c r="H75" s="326">
        <f>IF(売分析!I75&lt;&gt;"",売分析!I75,"")</f>
        <v>4498</v>
      </c>
      <c r="I75" s="325">
        <f>IF(売分析!J75&lt;&gt;"",売分析!J75,"")</f>
        <v>1050400</v>
      </c>
      <c r="J75" s="326">
        <f>IF(売分析!AB75&lt;&gt;"",売分析!AB75,"")</f>
        <v>4461.5794930875572</v>
      </c>
      <c r="K75" s="326">
        <f>IF(売分析!AC75&lt;&gt;"",売分析!AC75,"")</f>
        <v>4394.3170441001184</v>
      </c>
      <c r="L75" s="326">
        <f>IF(売分析!K75&lt;&gt;"",売分析!K75,"")</f>
        <v>5738</v>
      </c>
      <c r="M75" s="325" t="str">
        <f>IF(売分析!P75&lt;&gt;"",売分析!P75,"")</f>
        <v>減少↓</v>
      </c>
      <c r="N75" s="328">
        <f>IF(売分析!O75&lt;&gt;"",売分析!O75,"")</f>
        <v>0.71788843477904296</v>
      </c>
      <c r="O75" s="330">
        <f>IF(売分析!X75&lt;&gt;"",売分析!X75,"")</f>
        <v>-46.752020984002229</v>
      </c>
      <c r="P75" s="327">
        <f>IF(売分析!L75&lt;&gt;"",売分析!L75,"")</f>
        <v>-21.610317183687698</v>
      </c>
      <c r="Q75" s="326">
        <f>IF(売分析!S75&lt;&gt;"",売分析!S75,"")</f>
        <v>4678</v>
      </c>
      <c r="R75" s="326">
        <f>IF(売分析!R75&lt;&gt;"",売分析!R75,"")</f>
        <v>4138</v>
      </c>
      <c r="S75" s="325" t="str">
        <f>IF(売分析!AA75&lt;&gt;"",売分析!AA75,"")</f>
        <v>下落▼</v>
      </c>
      <c r="T75" s="331">
        <f>IF(売分析!Z75&lt;&gt;"",売分析!Z75,"")</f>
        <v>-4.1142613515241955</v>
      </c>
      <c r="U75" s="325" t="str">
        <f>IF(売分析!V75&lt;&gt;"",売分析!V75,"")</f>
        <v>通常</v>
      </c>
      <c r="V75" s="329">
        <f>IF(売分析!W75&lt;&gt;"",売分析!W75,"")</f>
        <v>48.451809856083734</v>
      </c>
      <c r="W75" s="325" t="str">
        <f>IF(売分析!AD75&lt;&gt;"",売分析!AD75,"")</f>
        <v>パーフェクト▲</v>
      </c>
      <c r="X75" s="325" t="str">
        <f>IF(売分析!AE75&lt;&gt;"",売分析!AE75,"")</f>
        <v>なし</v>
      </c>
      <c r="Y75" s="387">
        <f>IF(売分析!T75&lt;&gt;"",売分析!T75,"")</f>
        <v>7</v>
      </c>
      <c r="Z75" s="325" t="str">
        <f>IF(売分析!Y75&lt;&gt;"",売分析!Y75,"")</f>
        <v>相場上昇・見送り | パーフェクト▲ MACD- RSI:48.5 前日比:-4.1% [7点]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2089</v>
      </c>
      <c r="F76" s="333">
        <f>IF(売分析!F76&lt;&gt;"",売分析!F76,"")</f>
        <v>2080</v>
      </c>
      <c r="G76" s="333">
        <f>IF(売分析!H76&lt;&gt;"",売分析!H76,"")</f>
        <v>2089</v>
      </c>
      <c r="H76" s="333">
        <f>IF(売分析!I76&lt;&gt;"",売分析!I76,"")</f>
        <v>2051</v>
      </c>
      <c r="I76" s="212">
        <f>IF(売分析!J76&lt;&gt;"",売分析!J76,"")</f>
        <v>1400</v>
      </c>
      <c r="J76" s="333">
        <f>IF(売分析!AB76&lt;&gt;"",売分析!AB76,"")</f>
        <v>2061.2684331797236</v>
      </c>
      <c r="K76" s="333">
        <f>IF(売分析!AC76&lt;&gt;"",売分析!AC76,"")</f>
        <v>1961.8200238379011</v>
      </c>
      <c r="L76" s="333">
        <f>IF(売分析!K76&lt;&gt;"",売分析!K76,"")</f>
        <v>2539</v>
      </c>
      <c r="M76" s="212" t="str">
        <f>IF(売分析!P76&lt;&gt;"",売分析!P76,"")</f>
        <v>減少↓</v>
      </c>
      <c r="N76" s="335">
        <f>IF(売分析!O76&lt;&gt;"",売分析!O76,"")</f>
        <v>0.94594594594594594</v>
      </c>
      <c r="O76" s="337">
        <f>IF(売分析!X76&lt;&gt;"",売分析!X76,"")</f>
        <v>29.961841115432662</v>
      </c>
      <c r="P76" s="334">
        <f>IF(売分析!L76&lt;&gt;"",売分析!L76,"")</f>
        <v>-17.723513194170934</v>
      </c>
      <c r="Q76" s="333">
        <f>IF(売分析!S76&lt;&gt;"",売分析!S76,"")</f>
        <v>2173</v>
      </c>
      <c r="R76" s="333">
        <f>IF(売分析!R76&lt;&gt;"",売分析!R76,"")</f>
        <v>1922</v>
      </c>
      <c r="S76" s="212" t="str">
        <f>IF(売分析!AA76&lt;&gt;"",売分析!AA76,"")</f>
        <v>上昇▲</v>
      </c>
      <c r="T76" s="338">
        <f>IF(売分析!Z76&lt;&gt;"",売分析!Z76,"")</f>
        <v>1.9024390243902438</v>
      </c>
      <c r="U76" s="212" t="str">
        <f>IF(売分析!V76&lt;&gt;"",売分析!V76,"")</f>
        <v>通常</v>
      </c>
      <c r="V76" s="336">
        <f>IF(売分析!W76&lt;&gt;"",売分析!W76,"")</f>
        <v>88.059701492537314</v>
      </c>
      <c r="W76" s="212" t="str">
        <f>IF(売分析!AD76&lt;&gt;"",売分析!AD76,"")</f>
        <v>パーフェクト▲</v>
      </c>
      <c r="X76" s="212" t="str">
        <f>IF(売分析!AE76&lt;&gt;"",売分析!AE76,"")</f>
        <v>なし</v>
      </c>
      <c r="Y76" s="388">
        <f>IF(売分析!T76&lt;&gt;"",売分析!T76,"")</f>
        <v>0</v>
      </c>
      <c r="Z76" s="212" t="str">
        <f>IF(売分析!Y76&lt;&gt;"",売分析!Y76,"")</f>
        <v>△過熱・様子見 | パーフェクト▲ MACD+ RSI:88.1 [過熱] 前日比:+1.9% [長い下ヒゲ(反発警戒)] [0点]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4196</v>
      </c>
      <c r="F77" s="326">
        <f>IF(売分析!F77&lt;&gt;"",売分析!F77,"")</f>
        <v>4215</v>
      </c>
      <c r="G77" s="326">
        <f>IF(売分析!H77&lt;&gt;"",売分析!H77,"")</f>
        <v>4223</v>
      </c>
      <c r="H77" s="326">
        <f>IF(売分析!I77&lt;&gt;"",売分析!I77,"")</f>
        <v>4137</v>
      </c>
      <c r="I77" s="325">
        <f>IF(売分析!J77&lt;&gt;"",売分析!J77,"")</f>
        <v>373600</v>
      </c>
      <c r="J77" s="326">
        <f>IF(売分析!AB77&lt;&gt;"",売分析!AB77,"")</f>
        <v>4184.0241935483864</v>
      </c>
      <c r="K77" s="326">
        <f>IF(売分析!AC77&lt;&gt;"",売分析!AC77,"")</f>
        <v>4066.9678188319399</v>
      </c>
      <c r="L77" s="326">
        <f>IF(売分析!K77&lt;&gt;"",売分析!K77,"")</f>
        <v>4302</v>
      </c>
      <c r="M77" s="325" t="str">
        <f>IF(売分析!P77&lt;&gt;"",売分析!P77,"")</f>
        <v>減少↓</v>
      </c>
      <c r="N77" s="328">
        <f>IF(売分析!O77&lt;&gt;"",売分析!O77,"")</f>
        <v>0.80461750516884911</v>
      </c>
      <c r="O77" s="330">
        <f>IF(売分析!X77&lt;&gt;"",売分析!X77,"")</f>
        <v>44.153272382075556</v>
      </c>
      <c r="P77" s="327">
        <f>IF(売分析!L77&lt;&gt;"",売分析!L77,"")</f>
        <v>-2.4639702463970248</v>
      </c>
      <c r="Q77" s="326">
        <f>IF(売分析!S77&lt;&gt;"",売分析!S77,"")</f>
        <v>4364</v>
      </c>
      <c r="R77" s="326">
        <f>IF(売分析!R77&lt;&gt;"",売分析!R77,"")</f>
        <v>3860</v>
      </c>
      <c r="S77" s="325" t="str">
        <f>IF(売分析!AA77&lt;&gt;"",売分析!AA77,"")</f>
        <v>上昇▲</v>
      </c>
      <c r="T77" s="331">
        <f>IF(売分析!Z77&lt;&gt;"",売分析!Z77,"")</f>
        <v>0.28680688336520077</v>
      </c>
      <c r="U77" s="325" t="str">
        <f>IF(売分析!V77&lt;&gt;"",売分析!V77,"")</f>
        <v>通常</v>
      </c>
      <c r="V77" s="329">
        <f>IF(売分析!W77&lt;&gt;"",売分析!W77,"")</f>
        <v>59.125</v>
      </c>
      <c r="W77" s="325" t="str">
        <f>IF(売分析!AD77&lt;&gt;"",売分析!AD77,"")</f>
        <v>パーフェクト▲</v>
      </c>
      <c r="X77" s="325" t="str">
        <f>IF(売分析!AE77&lt;&gt;"",売分析!AE77,"")</f>
        <v>なし</v>
      </c>
      <c r="Y77" s="387">
        <f>IF(売分析!T77&lt;&gt;"",売分析!T77,"")</f>
        <v>-3</v>
      </c>
      <c r="Z77" s="325" t="str">
        <f>IF(売分析!Y77&lt;&gt;"",売分析!Y77,"")</f>
        <v>相場上昇・見送り | パーフェクト▲ MACD+ RSI:59.1 前日比:+0.3% [長い下ヒゲ(反発警戒)] [-3点]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2871</v>
      </c>
      <c r="F78" s="333">
        <f>IF(売分析!F78&lt;&gt;"",売分析!F78,"")</f>
        <v>2794.5</v>
      </c>
      <c r="G78" s="333">
        <f>IF(売分析!H78&lt;&gt;"",売分析!H78,"")</f>
        <v>2874.5</v>
      </c>
      <c r="H78" s="333">
        <f>IF(売分析!I78&lt;&gt;"",売分析!I78,"")</f>
        <v>2792.5</v>
      </c>
      <c r="I78" s="212">
        <f>IF(売分析!J78&lt;&gt;"",売分析!J78,"")</f>
        <v>602900</v>
      </c>
      <c r="J78" s="333">
        <f>IF(売分析!AB78&lt;&gt;"",売分析!AB78,"")</f>
        <v>2837.5881336405528</v>
      </c>
      <c r="K78" s="333">
        <f>IF(売分析!AC78&lt;&gt;"",売分析!AC78,"")</f>
        <v>2888.9278903456479</v>
      </c>
      <c r="L78" s="333">
        <f>IF(売分析!K78&lt;&gt;"",売分析!K78,"")</f>
        <v>3953</v>
      </c>
      <c r="M78" s="212" t="str">
        <f>IF(売分析!P78&lt;&gt;"",売分析!P78,"")</f>
        <v>減少↓</v>
      </c>
      <c r="N78" s="335">
        <f>IF(売分析!O78&lt;&gt;"",売分析!O78,"")</f>
        <v>0.8934499110847659</v>
      </c>
      <c r="O78" s="337">
        <f>IF(売分析!X78&lt;&gt;"",売分析!X78,"")</f>
        <v>-2.4934783214375784</v>
      </c>
      <c r="P78" s="334">
        <f>IF(売分析!L78&lt;&gt;"",売分析!L78,"")</f>
        <v>-27.371616493802176</v>
      </c>
      <c r="Q78" s="333">
        <f>IF(売分析!S78&lt;&gt;"",売分析!S78,"")</f>
        <v>2986</v>
      </c>
      <c r="R78" s="333">
        <f>IF(売分析!R78&lt;&gt;"",売分析!R78,"")</f>
        <v>2641</v>
      </c>
      <c r="S78" s="212" t="str">
        <f>IF(売分析!AA78&lt;&gt;"",売分析!AA78,"")</f>
        <v>上昇▲</v>
      </c>
      <c r="T78" s="338">
        <f>IF(売分析!Z78&lt;&gt;"",売分析!Z78,"")</f>
        <v>3.5154137371552192</v>
      </c>
      <c r="U78" s="212" t="str">
        <f>IF(売分析!V78&lt;&gt;"",売分析!V78,"")</f>
        <v>安値圏</v>
      </c>
      <c r="V78" s="336">
        <f>IF(売分析!W78&lt;&gt;"",売分析!W78,"")</f>
        <v>43.15561959654179</v>
      </c>
      <c r="W78" s="212" t="str">
        <f>IF(売分析!AD78&lt;&gt;"",売分析!AD78,"")</f>
        <v>もみ合い→</v>
      </c>
      <c r="X78" s="212" t="str">
        <f>IF(売分析!AE78&lt;&gt;"",売分析!AE78,"")</f>
        <v>25日戻り売り★</v>
      </c>
      <c r="Y78" s="388">
        <f>IF(売分析!T78&lt;&gt;"",売分析!T78,"")</f>
        <v>7</v>
      </c>
      <c r="Z78" s="212" t="str">
        <f>IF(売分析!Y78&lt;&gt;"",売分析!Y78,"")</f>
        <v>○逆張り売り | もみ合い→ 25日戻り売り★ MACD- RSI:43.2 前日比:+3.5% [安値圏] [7点]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5391</v>
      </c>
      <c r="F79" s="326">
        <f>IF(売分析!F79&lt;&gt;"",売分析!F79,"")</f>
        <v>5315</v>
      </c>
      <c r="G79" s="326">
        <f>IF(売分析!H79&lt;&gt;"",売分析!H79,"")</f>
        <v>5394</v>
      </c>
      <c r="H79" s="326">
        <f>IF(売分析!I79&lt;&gt;"",売分析!I79,"")</f>
        <v>5302</v>
      </c>
      <c r="I79" s="325">
        <f>IF(売分析!J79&lt;&gt;"",売分析!J79,"")</f>
        <v>1009000</v>
      </c>
      <c r="J79" s="326">
        <f>IF(売分析!AB79&lt;&gt;"",売分析!AB79,"")</f>
        <v>5380.4055299539168</v>
      </c>
      <c r="K79" s="326">
        <f>IF(売分析!AC79&lt;&gt;"",売分析!AC79,"")</f>
        <v>5440.1323003575653</v>
      </c>
      <c r="L79" s="326">
        <f>IF(売分析!K79&lt;&gt;"",売分析!K79,"")</f>
        <v>6828</v>
      </c>
      <c r="M79" s="325" t="str">
        <f>IF(売分析!P79&lt;&gt;"",売分析!P79,"")</f>
        <v>減少↓</v>
      </c>
      <c r="N79" s="328">
        <f>IF(売分析!O79&lt;&gt;"",売分析!O79,"")</f>
        <v>0.99735094100901467</v>
      </c>
      <c r="O79" s="330">
        <f>IF(売分析!X79&lt;&gt;"",売分析!X79,"")</f>
        <v>4.8191303897910984</v>
      </c>
      <c r="P79" s="327">
        <f>IF(売分析!L79&lt;&gt;"",売分析!L79,"")</f>
        <v>-21.045694200351495</v>
      </c>
      <c r="Q79" s="326">
        <f>IF(売分析!S79&lt;&gt;"",売分析!S79,"")</f>
        <v>5607</v>
      </c>
      <c r="R79" s="326">
        <f>IF(売分析!R79&lt;&gt;"",売分析!R79,"")</f>
        <v>4960</v>
      </c>
      <c r="S79" s="325" t="str">
        <f>IF(売分析!AA79&lt;&gt;"",売分析!AA79,"")</f>
        <v>上昇▲</v>
      </c>
      <c r="T79" s="331">
        <f>IF(売分析!Z79&lt;&gt;"",売分析!Z79,"")</f>
        <v>1.5254237288135595</v>
      </c>
      <c r="U79" s="325" t="str">
        <f>IF(売分析!V79&lt;&gt;"",売分析!V79,"")</f>
        <v>通常</v>
      </c>
      <c r="V79" s="329">
        <f>IF(売分析!W79&lt;&gt;"",売分析!W79,"")</f>
        <v>44.126074498567334</v>
      </c>
      <c r="W79" s="325" t="str">
        <f>IF(売分析!AD79&lt;&gt;"",売分析!AD79,"")</f>
        <v>もみ合い→</v>
      </c>
      <c r="X79" s="325" t="str">
        <f>IF(売分析!AE79&lt;&gt;"",売分析!AE79,"")</f>
        <v>25日戻り売り★</v>
      </c>
      <c r="Y79" s="387">
        <f>IF(売分析!T79&lt;&gt;"",売分析!T79,"")</f>
        <v>3</v>
      </c>
      <c r="Z79" s="325" t="str">
        <f>IF(売分析!Y79&lt;&gt;"",売分析!Y79,"")</f>
        <v>○逆張り売り | もみ合い→ 25日戻り売り★ MACD+ RSI:44.1 前日比:+1.5% [3点]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874</v>
      </c>
      <c r="F80" s="333">
        <f>IF(売分析!F80&lt;&gt;"",売分析!F80,"")</f>
        <v>891</v>
      </c>
      <c r="G80" s="333">
        <f>IF(売分析!H80&lt;&gt;"",売分析!H80,"")</f>
        <v>892</v>
      </c>
      <c r="H80" s="333">
        <f>IF(売分析!I80&lt;&gt;"",売分析!I80,"")</f>
        <v>870</v>
      </c>
      <c r="I80" s="212">
        <f>IF(売分析!J80&lt;&gt;"",売分析!J80,"")</f>
        <v>209600</v>
      </c>
      <c r="J80" s="333">
        <f>IF(売分析!AB80&lt;&gt;"",売分析!AB80,"")</f>
        <v>877.95852534562209</v>
      </c>
      <c r="K80" s="333">
        <f>IF(売分析!AC80&lt;&gt;"",売分析!AC80,"")</f>
        <v>890.45887961859341</v>
      </c>
      <c r="L80" s="333">
        <f>IF(売分析!K80&lt;&gt;"",売分析!K80,"")</f>
        <v>3100</v>
      </c>
      <c r="M80" s="212" t="str">
        <f>IF(売分析!P80&lt;&gt;"",売分析!P80,"")</f>
        <v>減少↓</v>
      </c>
      <c r="N80" s="335">
        <f>IF(売分析!O80&lt;&gt;"",売分析!O80,"")</f>
        <v>0.61004715059083769</v>
      </c>
      <c r="O80" s="337">
        <f>IF(売分析!X80&lt;&gt;"",売分析!X80,"")</f>
        <v>-29.612126302046704</v>
      </c>
      <c r="P80" s="334">
        <f>IF(売分析!L80&lt;&gt;"",売分析!L80,"")</f>
        <v>-71.806451612903217</v>
      </c>
      <c r="Q80" s="333">
        <f>IF(売分析!S80&lt;&gt;"",売分析!S80,"")</f>
        <v>909</v>
      </c>
      <c r="R80" s="333">
        <f>IF(売分析!R80&lt;&gt;"",売分析!R80,"")</f>
        <v>804</v>
      </c>
      <c r="S80" s="212" t="str">
        <f>IF(売分析!AA80&lt;&gt;"",売分析!AA80,"")</f>
        <v>下落▼</v>
      </c>
      <c r="T80" s="338">
        <f>IF(売分析!Z80&lt;&gt;"",売分析!Z80,"")</f>
        <v>-2.5641025641025639</v>
      </c>
      <c r="U80" s="212" t="str">
        <f>IF(売分析!V80&lt;&gt;"",売分析!V80,"")</f>
        <v>年初来安値圏●</v>
      </c>
      <c r="V80" s="336">
        <f>IF(売分析!W80&lt;&gt;"",売分析!W80,"")</f>
        <v>47.182468694096606</v>
      </c>
      <c r="W80" s="212" t="str">
        <f>IF(売分析!AD80&lt;&gt;"",売分析!AD80,"")</f>
        <v>下降トレンド▼</v>
      </c>
      <c r="X80" s="212" t="str">
        <f>IF(売分析!AE80&lt;&gt;"",売分析!AE80,"")</f>
        <v>25日戻り売り★</v>
      </c>
      <c r="Y80" s="388">
        <f>IF(売分析!T80&lt;&gt;"",売分析!T80,"")</f>
        <v>18</v>
      </c>
      <c r="Z80" s="212" t="str">
        <f>IF(売分析!Y80&lt;&gt;"",売分析!Y80,"")</f>
        <v>★逆張り売り | 下降トレンド▼ 25日戻り売り★ MACD- RSI:47.2 前日比:-2.6% [年初来安値圏] [大陰線▼] [18点]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1258</v>
      </c>
      <c r="F81" s="326">
        <f>IF(売分析!F81&lt;&gt;"",売分析!F81,"")</f>
        <v>964</v>
      </c>
      <c r="G81" s="326">
        <f>IF(売分析!H81&lt;&gt;"",売分析!H81,"")</f>
        <v>1298</v>
      </c>
      <c r="H81" s="326">
        <f>IF(売分析!I81&lt;&gt;"",売分析!I81,"")</f>
        <v>909</v>
      </c>
      <c r="I81" s="325">
        <f>IF(売分析!J81&lt;&gt;"",売分析!J81,"")</f>
        <v>29708900</v>
      </c>
      <c r="J81" s="326">
        <f>IF(売分析!AB81&lt;&gt;"",売分析!AB81,"")</f>
        <v>1048.7350230414745</v>
      </c>
      <c r="K81" s="326">
        <f>IF(売分析!AC81&lt;&gt;"",売分析!AC81,"")</f>
        <v>916.49463647198991</v>
      </c>
      <c r="L81" s="326">
        <f>IF(売分析!K81&lt;&gt;"",売分析!K81,"")</f>
        <v>4380</v>
      </c>
      <c r="M81" s="325" t="str">
        <f>IF(売分析!P81&lt;&gt;"",売分析!P81,"")</f>
        <v>急増↑↑</v>
      </c>
      <c r="N81" s="328">
        <f>IF(売分析!O81&lt;&gt;"",売分析!O81,"")</f>
        <v>3.4863217532939976</v>
      </c>
      <c r="O81" s="330">
        <f>IF(売分析!X81&lt;&gt;"",売分析!X81,"")</f>
        <v>4.6854489151768348</v>
      </c>
      <c r="P81" s="327">
        <f>IF(売分析!L81&lt;&gt;"",売分析!L81,"")</f>
        <v>-71.278538812785385</v>
      </c>
      <c r="Q81" s="326">
        <f>IF(売分析!S81&lt;&gt;"",売分析!S81,"")</f>
        <v>1308</v>
      </c>
      <c r="R81" s="326">
        <f>IF(売分析!R81&lt;&gt;"",売分析!R81,"")</f>
        <v>1157</v>
      </c>
      <c r="S81" s="325" t="str">
        <f>IF(売分析!AA81&lt;&gt;"",売分析!AA81,"")</f>
        <v>上昇▲</v>
      </c>
      <c r="T81" s="331">
        <f>IF(売分析!Z81&lt;&gt;"",売分析!Z81,"")</f>
        <v>24.677898909811695</v>
      </c>
      <c r="U81" s="325" t="str">
        <f>IF(売分析!V81&lt;&gt;"",売分析!V81,"")</f>
        <v>年初来安値圏●</v>
      </c>
      <c r="V81" s="329">
        <f>IF(売分析!W81&lt;&gt;"",売分析!W81,"")</f>
        <v>53.09446254071662</v>
      </c>
      <c r="W81" s="325" t="str">
        <f>IF(売分析!AD81&lt;&gt;"",売分析!AD81,"")</f>
        <v>パーフェクト▲</v>
      </c>
      <c r="X81" s="325" t="str">
        <f>IF(売分析!AE81&lt;&gt;"",売分析!AE81,"")</f>
        <v>なし</v>
      </c>
      <c r="Y81" s="387">
        <f>IF(売分析!T81&lt;&gt;"",売分析!T81,"")</f>
        <v>6</v>
      </c>
      <c r="Z81" s="325" t="str">
        <f>IF(売分析!Y81&lt;&gt;"",売分析!Y81,"")</f>
        <v>相場上昇・見送り | パーフェクト▲ MACD+ RSI:53.1 前日比:+24.7% [年初来安値圏] [6点]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1083</v>
      </c>
      <c r="F82" s="333">
        <f>IF(売分析!F82&lt;&gt;"",売分析!F82,"")</f>
        <v>1097</v>
      </c>
      <c r="G82" s="333">
        <f>IF(売分析!H82&lt;&gt;"",売分析!H82,"")</f>
        <v>1097</v>
      </c>
      <c r="H82" s="333">
        <f>IF(売分析!I82&lt;&gt;"",売分析!I82,"")</f>
        <v>1072</v>
      </c>
      <c r="I82" s="212">
        <f>IF(売分析!J82&lt;&gt;"",売分析!J82,"")</f>
        <v>1123900</v>
      </c>
      <c r="J82" s="333">
        <f>IF(売分析!AB82&lt;&gt;"",売分析!AB82,"")</f>
        <v>1083.6993087557603</v>
      </c>
      <c r="K82" s="333">
        <f>IF(売分析!AC82&lt;&gt;"",売分析!AC82,"")</f>
        <v>1085.8712753277707</v>
      </c>
      <c r="L82" s="333">
        <f>IF(売分析!K82&lt;&gt;"",売分析!K82,"")</f>
        <v>1212</v>
      </c>
      <c r="M82" s="212" t="str">
        <f>IF(売分析!P82&lt;&gt;"",売分析!P82,"")</f>
        <v>減少↓</v>
      </c>
      <c r="N82" s="335">
        <f>IF(売分析!O82&lt;&gt;"",売分析!O82,"")</f>
        <v>0.95608751871512176</v>
      </c>
      <c r="O82" s="337">
        <f>IF(売分析!X82&lt;&gt;"",売分析!X82,"")</f>
        <v>8.9366837951113212</v>
      </c>
      <c r="P82" s="334">
        <f>IF(売分析!L82&lt;&gt;"",売分析!L82,"")</f>
        <v>-10.643564356435643</v>
      </c>
      <c r="Q82" s="333">
        <f>IF(売分析!S82&lt;&gt;"",売分析!S82,"")</f>
        <v>1126</v>
      </c>
      <c r="R82" s="333">
        <f>IF(売分析!R82&lt;&gt;"",売分析!R82,"")</f>
        <v>996</v>
      </c>
      <c r="S82" s="212" t="str">
        <f>IF(売分析!AA82&lt;&gt;"",売分析!AA82,"")</f>
        <v>上昇▲</v>
      </c>
      <c r="T82" s="338">
        <f>IF(売分析!Z82&lt;&gt;"",売分析!Z82,"")</f>
        <v>1.3096351730589337</v>
      </c>
      <c r="U82" s="212" t="str">
        <f>IF(売分析!V82&lt;&gt;"",売分析!V82,"")</f>
        <v>通常</v>
      </c>
      <c r="V82" s="336">
        <f>IF(売分析!W82&lt;&gt;"",売分析!W82,"")</f>
        <v>55.270655270655276</v>
      </c>
      <c r="W82" s="212" t="str">
        <f>IF(売分析!AD82&lt;&gt;"",売分析!AD82,"")</f>
        <v>下降トレンド▼</v>
      </c>
      <c r="X82" s="212" t="str">
        <f>IF(売分析!AE82&lt;&gt;"",売分析!AE82,"")</f>
        <v>25日戻り売り★</v>
      </c>
      <c r="Y82" s="388">
        <f>IF(売分析!T82&lt;&gt;"",売分析!T82,"")</f>
        <v>4</v>
      </c>
      <c r="Z82" s="212" t="str">
        <f>IF(売分析!Y82&lt;&gt;"",売分析!Y82,"")</f>
        <v>★逆張り売り | 下降トレンド▼ 25日戻り売り★ MACD+ RSI:55.3 前日比:+1.3% [4点]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1521</v>
      </c>
      <c r="F83" s="326">
        <f>IF(売分析!F83&lt;&gt;"",売分析!F83,"")</f>
        <v>1530</v>
      </c>
      <c r="G83" s="326">
        <f>IF(売分析!H83&lt;&gt;"",売分析!H83,"")</f>
        <v>1550</v>
      </c>
      <c r="H83" s="326">
        <f>IF(売分析!I83&lt;&gt;"",売分析!I83,"")</f>
        <v>1506</v>
      </c>
      <c r="I83" s="325">
        <f>IF(売分析!J83&lt;&gt;"",売分析!J83,"")</f>
        <v>59900</v>
      </c>
      <c r="J83" s="326">
        <f>IF(売分析!AB83&lt;&gt;"",売分析!AB83,"")</f>
        <v>1506.8467741935483</v>
      </c>
      <c r="K83" s="326">
        <f>IF(売分析!AC83&lt;&gt;"",売分析!AC83,"")</f>
        <v>1544.3814064362327</v>
      </c>
      <c r="L83" s="326">
        <f>IF(売分析!K83&lt;&gt;"",売分析!K83,"")</f>
        <v>1821</v>
      </c>
      <c r="M83" s="325" t="str">
        <f>IF(売分析!P83&lt;&gt;"",売分析!P83,"")</f>
        <v>減少↓</v>
      </c>
      <c r="N83" s="328">
        <f>IF(売分析!O83&lt;&gt;"",売分析!O83,"")</f>
        <v>0.60578478964401294</v>
      </c>
      <c r="O83" s="330">
        <f>IF(売分析!X83&lt;&gt;"",売分析!X83,"")</f>
        <v>-16.378114066685157</v>
      </c>
      <c r="P83" s="327">
        <f>IF(売分析!L83&lt;&gt;"",売分析!L83,"")</f>
        <v>-16.474464579901152</v>
      </c>
      <c r="Q83" s="326">
        <f>IF(売分析!S83&lt;&gt;"",売分析!S83,"")</f>
        <v>1582</v>
      </c>
      <c r="R83" s="326">
        <f>IF(売分析!R83&lt;&gt;"",売分析!R83,"")</f>
        <v>1399</v>
      </c>
      <c r="S83" s="325" t="str">
        <f>IF(売分析!AA83&lt;&gt;"",売分析!AA83,"")</f>
        <v>下落▼</v>
      </c>
      <c r="T83" s="331">
        <f>IF(売分析!Z83&lt;&gt;"",売分析!Z83,"")</f>
        <v>-0.58823529411764708</v>
      </c>
      <c r="U83" s="325" t="str">
        <f>IF(売分析!V83&lt;&gt;"",売分析!V83,"")</f>
        <v>通常</v>
      </c>
      <c r="V83" s="329">
        <f>IF(売分析!W83&lt;&gt;"",売分析!W83,"")</f>
        <v>39.340101522842637</v>
      </c>
      <c r="W83" s="325" t="str">
        <f>IF(売分析!AD83&lt;&gt;"",売分析!AD83,"")</f>
        <v>もみ合い→</v>
      </c>
      <c r="X83" s="325" t="str">
        <f>IF(売分析!AE83&lt;&gt;"",売分析!AE83,"")</f>
        <v>25日戻り売り★</v>
      </c>
      <c r="Y83" s="387">
        <f>IF(売分析!T83&lt;&gt;"",売分析!T83,"")</f>
        <v>10</v>
      </c>
      <c r="Z83" s="325" t="str">
        <f>IF(売分析!Y83&lt;&gt;"",売分析!Y83,"")</f>
        <v>○逆張り売り | もみ合い→ 25日戻り売り★ MACD- RSI:39.3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43330</v>
      </c>
      <c r="F84" s="333">
        <f>IF(売分析!F84&lt;&gt;"",売分析!F84,"")</f>
        <v>45280</v>
      </c>
      <c r="G84" s="333">
        <f>IF(売分析!H84&lt;&gt;"",売分析!H84,"")</f>
        <v>45850</v>
      </c>
      <c r="H84" s="333">
        <f>IF(売分析!I84&lt;&gt;"",売分析!I84,"")</f>
        <v>43250</v>
      </c>
      <c r="I84" s="212">
        <f>IF(売分析!J84&lt;&gt;"",売分析!J84,"")</f>
        <v>2765700</v>
      </c>
      <c r="J84" s="333">
        <f>IF(売分析!AB84&lt;&gt;"",売分析!AB84,"")</f>
        <v>43629.953917050691</v>
      </c>
      <c r="K84" s="333">
        <f>IF(売分析!AC84&lt;&gt;"",売分析!AC84,"")</f>
        <v>42275.482717520841</v>
      </c>
      <c r="L84" s="333">
        <f>IF(売分析!K84&lt;&gt;"",売分析!K84,"")</f>
        <v>58580</v>
      </c>
      <c r="M84" s="212" t="str">
        <f>IF(売分析!P84&lt;&gt;"",売分析!P84,"")</f>
        <v>減少↓</v>
      </c>
      <c r="N84" s="335">
        <f>IF(売分析!O84&lt;&gt;"",売分析!O84,"")</f>
        <v>0.64220630851538119</v>
      </c>
      <c r="O84" s="337">
        <f>IF(売分析!X84&lt;&gt;"",売分析!X84,"")</f>
        <v>-482.33218170746113</v>
      </c>
      <c r="P84" s="334">
        <f>IF(売分析!L84&lt;&gt;"",売分析!L84,"")</f>
        <v>-26.032775691362243</v>
      </c>
      <c r="Q84" s="333">
        <f>IF(売分析!S84&lt;&gt;"",売分析!S84,"")</f>
        <v>45063</v>
      </c>
      <c r="R84" s="333">
        <f>IF(売分析!R84&lt;&gt;"",売分析!R84,"")</f>
        <v>39864</v>
      </c>
      <c r="S84" s="212" t="str">
        <f>IF(売分析!AA84&lt;&gt;"",売分析!AA84,"")</f>
        <v>下落▼</v>
      </c>
      <c r="T84" s="338">
        <f>IF(売分析!Z84&lt;&gt;"",売分析!Z84,"")</f>
        <v>-7.1765209940017147</v>
      </c>
      <c r="U84" s="212" t="str">
        <f>IF(売分析!V84&lt;&gt;"",売分析!V84,"")</f>
        <v>安値圏</v>
      </c>
      <c r="V84" s="336">
        <f>IF(売分析!W84&lt;&gt;"",売分析!W84,"")</f>
        <v>45.864248419895574</v>
      </c>
      <c r="W84" s="212" t="str">
        <f>IF(売分析!AD84&lt;&gt;"",売分析!AD84,"")</f>
        <v>上昇トレンド▲</v>
      </c>
      <c r="X84" s="212" t="str">
        <f>IF(売分析!AE84&lt;&gt;"",売分析!AE84,"")</f>
        <v>5日戻り売り○</v>
      </c>
      <c r="Y84" s="388">
        <f>IF(売分析!T84&lt;&gt;"",売分析!T84,"")</f>
        <v>12</v>
      </c>
      <c r="Z84" s="212" t="str">
        <f>IF(売分析!Y84&lt;&gt;"",売分析!Y84,"")</f>
        <v>相場上昇・見送り | 上昇トレンド▲ 5日戻り売り○ MACD- RSI:45.9 前日比:-7.2% [安値圏] [大陰線▼] [12点]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5637</v>
      </c>
      <c r="F85" s="326">
        <f>IF(売分析!F85&lt;&gt;"",売分析!F85,"")</f>
        <v>5422</v>
      </c>
      <c r="G85" s="326">
        <f>IF(売分析!H85&lt;&gt;"",売分析!H85,"")</f>
        <v>5652</v>
      </c>
      <c r="H85" s="326">
        <f>IF(売分析!I85&lt;&gt;"",売分析!I85,"")</f>
        <v>5406</v>
      </c>
      <c r="I85" s="325">
        <f>IF(売分析!J85&lt;&gt;"",売分析!J85,"")</f>
        <v>1146400</v>
      </c>
      <c r="J85" s="326">
        <f>IF(売分析!AB85&lt;&gt;"",売分析!AB85,"")</f>
        <v>5477.192396313364</v>
      </c>
      <c r="K85" s="326">
        <f>IF(売分析!AC85&lt;&gt;"",売分析!AC85,"")</f>
        <v>5400.4672228843847</v>
      </c>
      <c r="L85" s="326">
        <f>IF(売分析!K85&lt;&gt;"",売分析!K85,"")</f>
        <v>7225</v>
      </c>
      <c r="M85" s="325" t="str">
        <f>IF(売分析!P85&lt;&gt;"",売分析!P85,"")</f>
        <v>減少↓</v>
      </c>
      <c r="N85" s="328">
        <f>IF(売分析!O85&lt;&gt;"",売分析!O85,"")</f>
        <v>0.53921845308648941</v>
      </c>
      <c r="O85" s="330">
        <f>IF(売分析!X85&lt;&gt;"",売分析!X85,"")</f>
        <v>38.002447868369018</v>
      </c>
      <c r="P85" s="327">
        <f>IF(売分析!L85&lt;&gt;"",売分析!L85,"")</f>
        <v>-21.979238754325259</v>
      </c>
      <c r="Q85" s="326">
        <f>IF(売分析!S85&lt;&gt;"",売分析!S85,"")</f>
        <v>5862</v>
      </c>
      <c r="R85" s="326">
        <f>IF(売分析!R85&lt;&gt;"",売分析!R85,"")</f>
        <v>5186</v>
      </c>
      <c r="S85" s="325" t="str">
        <f>IF(売分析!AA85&lt;&gt;"",売分析!AA85,"")</f>
        <v>上昇▲</v>
      </c>
      <c r="T85" s="331">
        <f>IF(売分析!Z85&lt;&gt;"",売分析!Z85,"")</f>
        <v>2.8461959496442253</v>
      </c>
      <c r="U85" s="325" t="str">
        <f>IF(売分析!V85&lt;&gt;"",売分析!V85,"")</f>
        <v>安値圏</v>
      </c>
      <c r="V85" s="329">
        <f>IF(売分析!W85&lt;&gt;"",売分析!W85,"")</f>
        <v>56.270270270270274</v>
      </c>
      <c r="W85" s="325" t="str">
        <f>IF(売分析!AD85&lt;&gt;"",売分析!AD85,"")</f>
        <v>パーフェクト▲</v>
      </c>
      <c r="X85" s="325" t="str">
        <f>IF(売分析!AE85&lt;&gt;"",売分析!AE85,"")</f>
        <v>なし</v>
      </c>
      <c r="Y85" s="387">
        <f>IF(売分析!T85&lt;&gt;"",売分析!T85,"")</f>
        <v>2</v>
      </c>
      <c r="Z85" s="325" t="str">
        <f>IF(売分析!Y85&lt;&gt;"",売分析!Y85,"")</f>
        <v>相場上昇・見送り | パーフェクト▲ MACD+ RSI:56.3 前日比:+2.8% [安値圏]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3626</v>
      </c>
      <c r="F86" s="333">
        <f>IF(売分析!F86&lt;&gt;"",売分析!F86,"")</f>
        <v>3650</v>
      </c>
      <c r="G86" s="333">
        <f>IF(売分析!H86&lt;&gt;"",売分析!H86,"")</f>
        <v>3663</v>
      </c>
      <c r="H86" s="333">
        <f>IF(売分析!I86&lt;&gt;"",売分析!I86,"")</f>
        <v>3594</v>
      </c>
      <c r="I86" s="212">
        <f>IF(売分析!J86&lt;&gt;"",売分析!J86,"")</f>
        <v>17528500</v>
      </c>
      <c r="J86" s="333">
        <f>IF(売分析!AB86&lt;&gt;"",売分析!AB86,"")</f>
        <v>2302.8663594470045</v>
      </c>
      <c r="K86" s="333">
        <f>IF(売分析!AC86&lt;&gt;"",売分析!AC86,"")</f>
        <v>634.46603098927278</v>
      </c>
      <c r="L86" s="333">
        <f>IF(売分析!K86&lt;&gt;"",売分析!K86,"")</f>
        <v>4124</v>
      </c>
      <c r="M86" s="212" t="str">
        <f>IF(売分析!P86&lt;&gt;"",売分析!P86,"")</f>
        <v>普通→</v>
      </c>
      <c r="N86" s="335">
        <f>IF(売分析!O86&lt;&gt;"",売分析!O86,"")</f>
        <v>1.0222428282333456</v>
      </c>
      <c r="O86" s="337">
        <f>IF(売分析!X86&lt;&gt;"",売分析!X86,"")</f>
        <v>225.33108116176254</v>
      </c>
      <c r="P86" s="334">
        <f>IF(売分析!L86&lt;&gt;"",売分析!L86,"")</f>
        <v>-12.075654704170708</v>
      </c>
      <c r="Q86" s="333">
        <f>IF(売分析!S86&lt;&gt;"",売分析!S86,"")</f>
        <v>3771</v>
      </c>
      <c r="R86" s="333">
        <f>IF(売分析!R86&lt;&gt;"",売分析!R86,"")</f>
        <v>3336</v>
      </c>
      <c r="S86" s="212" t="str">
        <f>IF(売分析!AA86&lt;&gt;"",売分析!AA86,"")</f>
        <v>上昇▲</v>
      </c>
      <c r="T86" s="338">
        <f>IF(売分析!Z86&lt;&gt;"",売分析!Z86,"")</f>
        <v>1.7110799438990183</v>
      </c>
      <c r="U86" s="212" t="str">
        <f>IF(売分析!V86&lt;&gt;"",売分析!V86,"")</f>
        <v>通常</v>
      </c>
      <c r="V86" s="336">
        <f>IF(売分析!W86&lt;&gt;"",売分析!W86,"")</f>
        <v>50</v>
      </c>
      <c r="W86" s="212" t="str">
        <f>IF(売分析!AD86&lt;&gt;"",売分析!AD86,"")</f>
        <v>パーフェクト▲</v>
      </c>
      <c r="X86" s="212" t="str">
        <f>IF(売分析!AE86&lt;&gt;"",売分析!AE86,"")</f>
        <v>なし</v>
      </c>
      <c r="Y86" s="388">
        <f>IF(売分析!T86&lt;&gt;"",売分析!T86,"")</f>
        <v>1</v>
      </c>
      <c r="Z86" s="212" t="str">
        <f>IF(売分析!Y86&lt;&gt;"",売分析!Y86,"")</f>
        <v>相場上昇・見送り | パーフェクト▲ MACD+ RSI:50.0 前日比:+1.7% [1点]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4457</v>
      </c>
      <c r="F87" s="326">
        <f>IF(売分析!F87&lt;&gt;"",売分析!F87,"")</f>
        <v>4380</v>
      </c>
      <c r="G87" s="326">
        <f>IF(売分析!H87&lt;&gt;"",売分析!H87,"")</f>
        <v>4543</v>
      </c>
      <c r="H87" s="326">
        <f>IF(売分析!I87&lt;&gt;"",売分析!I87,"")</f>
        <v>4345</v>
      </c>
      <c r="I87" s="325">
        <f>IF(売分析!J87&lt;&gt;"",売分析!J87,"")</f>
        <v>1388100</v>
      </c>
      <c r="J87" s="326">
        <f>IF(売分析!AB87&lt;&gt;"",売分析!AB87,"")</f>
        <v>4329.4746543778792</v>
      </c>
      <c r="K87" s="326">
        <f>IF(売分析!AC87&lt;&gt;"",売分析!AC87,"")</f>
        <v>4197.8676996424292</v>
      </c>
      <c r="L87" s="326">
        <f>IF(売分析!K87&lt;&gt;"",売分析!K87,"")</f>
        <v>6126</v>
      </c>
      <c r="M87" s="325" t="str">
        <f>IF(売分析!P87&lt;&gt;"",売分析!P87,"")</f>
        <v>普通→</v>
      </c>
      <c r="N87" s="328">
        <f>IF(売分析!O87&lt;&gt;"",売分析!O87,"")</f>
        <v>1.0483188834848804</v>
      </c>
      <c r="O87" s="330">
        <f>IF(売分析!X87&lt;&gt;"",売分析!X87,"")</f>
        <v>9.9006643076900218</v>
      </c>
      <c r="P87" s="327">
        <f>IF(売分析!L87&lt;&gt;"",売分析!L87,"")</f>
        <v>-27.244531505060397</v>
      </c>
      <c r="Q87" s="326">
        <f>IF(売分析!S87&lt;&gt;"",売分析!S87,"")</f>
        <v>4635</v>
      </c>
      <c r="R87" s="326">
        <f>IF(売分析!R87&lt;&gt;"",売分析!R87,"")</f>
        <v>4100</v>
      </c>
      <c r="S87" s="325" t="str">
        <f>IF(売分析!AA87&lt;&gt;"",売分析!AA87,"")</f>
        <v>上昇▲</v>
      </c>
      <c r="T87" s="331">
        <f>IF(売分析!Z87&lt;&gt;"",売分析!Z87,"")</f>
        <v>1.711547238703788</v>
      </c>
      <c r="U87" s="325" t="str">
        <f>IF(売分析!V87&lt;&gt;"",売分析!V87,"")</f>
        <v>安値圏</v>
      </c>
      <c r="V87" s="329">
        <f>IF(売分析!W87&lt;&gt;"",売分析!W87,"")</f>
        <v>54.38047559449312</v>
      </c>
      <c r="W87" s="325" t="str">
        <f>IF(売分析!AD87&lt;&gt;"",売分析!AD87,"")</f>
        <v>パーフェクト▲</v>
      </c>
      <c r="X87" s="325" t="str">
        <f>IF(売分析!AE87&lt;&gt;"",売分析!AE87,"")</f>
        <v>なし</v>
      </c>
      <c r="Y87" s="387">
        <f>IF(売分析!T87&lt;&gt;"",売分析!T87,"")</f>
        <v>3</v>
      </c>
      <c r="Z87" s="325" t="str">
        <f>IF(売分析!Y87&lt;&gt;"",売分析!Y87,"")</f>
        <v>相場上昇・見送り | パーフェクト▲ MACD+ RSI:54.4 前日比:+1.7% [安値圏] [3点]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3811</v>
      </c>
      <c r="F88" s="333">
        <f>IF(売分析!F88&lt;&gt;"",売分析!F88,"")</f>
        <v>3766</v>
      </c>
      <c r="G88" s="333">
        <f>IF(売分析!H88&lt;&gt;"",売分析!H88,"")</f>
        <v>3821</v>
      </c>
      <c r="H88" s="333">
        <f>IF(売分析!I88&lt;&gt;"",売分析!I88,"")</f>
        <v>3762</v>
      </c>
      <c r="I88" s="212">
        <f>IF(売分析!J88&lt;&gt;"",売分析!J88,"")</f>
        <v>422700</v>
      </c>
      <c r="J88" s="333">
        <f>IF(売分析!AB88&lt;&gt;"",売分析!AB88,"")</f>
        <v>3807.9089861751149</v>
      </c>
      <c r="K88" s="333">
        <f>IF(売分析!AC88&lt;&gt;"",売分析!AC88,"")</f>
        <v>3887.6555423122754</v>
      </c>
      <c r="L88" s="333">
        <f>IF(売分析!K88&lt;&gt;"",売分析!K88,"")</f>
        <v>5034</v>
      </c>
      <c r="M88" s="212" t="str">
        <f>IF(売分析!P88&lt;&gt;"",売分析!P88,"")</f>
        <v>減少↓</v>
      </c>
      <c r="N88" s="335">
        <f>IF(売分析!O88&lt;&gt;"",売分析!O88,"")</f>
        <v>0.76096349103478078</v>
      </c>
      <c r="O88" s="337">
        <f>IF(売分析!X88&lt;&gt;"",売分析!X88,"")</f>
        <v>-1.4450642615183824</v>
      </c>
      <c r="P88" s="334">
        <f>IF(売分析!L88&lt;&gt;"",売分析!L88,"")</f>
        <v>-24.294795391338894</v>
      </c>
      <c r="Q88" s="333">
        <f>IF(売分析!S88&lt;&gt;"",売分析!S88,"")</f>
        <v>3963</v>
      </c>
      <c r="R88" s="333">
        <f>IF(売分析!R88&lt;&gt;"",売分析!R88,"")</f>
        <v>3506</v>
      </c>
      <c r="S88" s="212" t="str">
        <f>IF(売分析!AA88&lt;&gt;"",売分析!AA88,"")</f>
        <v>上昇▲</v>
      </c>
      <c r="T88" s="338">
        <f>IF(売分析!Z88&lt;&gt;"",売分析!Z88,"")</f>
        <v>1.5454303224087398</v>
      </c>
      <c r="U88" s="212" t="str">
        <f>IF(売分析!V88&lt;&gt;"",売分析!V88,"")</f>
        <v>安値圏</v>
      </c>
      <c r="V88" s="336">
        <f>IF(売分析!W88&lt;&gt;"",売分析!W88,"")</f>
        <v>40.436241610738257</v>
      </c>
      <c r="W88" s="212" t="str">
        <f>IF(売分析!AD88&lt;&gt;"",売分析!AD88,"")</f>
        <v>もみ合い→</v>
      </c>
      <c r="X88" s="212" t="str">
        <f>IF(売分析!AE88&lt;&gt;"",売分析!AE88,"")</f>
        <v>25日戻り売り★</v>
      </c>
      <c r="Y88" s="388">
        <f>IF(売分析!T88&lt;&gt;"",売分析!T88,"")</f>
        <v>9</v>
      </c>
      <c r="Z88" s="212" t="str">
        <f>IF(売分析!Y88&lt;&gt;"",売分析!Y88,"")</f>
        <v>○逆張り売り | もみ合い→ 25日戻り売り★ MACD- RSI:40.4 前日比:+1.5% [安値圏] [9点]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4748</v>
      </c>
      <c r="F89" s="326">
        <f>IF(売分析!F89&lt;&gt;"",売分析!F89,"")</f>
        <v>4635</v>
      </c>
      <c r="G89" s="326">
        <f>IF(売分析!H89&lt;&gt;"",売分析!H89,"")</f>
        <v>4748</v>
      </c>
      <c r="H89" s="326">
        <f>IF(売分析!I89&lt;&gt;"",売分析!I89,"")</f>
        <v>4631</v>
      </c>
      <c r="I89" s="325">
        <f>IF(売分析!J89&lt;&gt;"",売分析!J89,"")</f>
        <v>6019000</v>
      </c>
      <c r="J89" s="326">
        <f>IF(売分析!AB89&lt;&gt;"",売分析!AB89,"")</f>
        <v>4725.5057603686628</v>
      </c>
      <c r="K89" s="326">
        <f>IF(売分析!AC89&lt;&gt;"",売分析!AC89,"")</f>
        <v>4701.7771156138242</v>
      </c>
      <c r="L89" s="326">
        <f>IF(売分析!K89&lt;&gt;"",売分析!K89,"")</f>
        <v>6012</v>
      </c>
      <c r="M89" s="325" t="str">
        <f>IF(売分析!P89&lt;&gt;"",売分析!P89,"")</f>
        <v>減少↓</v>
      </c>
      <c r="N89" s="328">
        <f>IF(売分析!O89&lt;&gt;"",売分析!O89,"")</f>
        <v>0.60798839579549613</v>
      </c>
      <c r="O89" s="330">
        <f>IF(売分析!X89&lt;&gt;"",売分析!X89,"")</f>
        <v>41.907824820192218</v>
      </c>
      <c r="P89" s="327">
        <f>IF(売分析!L89&lt;&gt;"",売分析!L89,"")</f>
        <v>-21.024617431803062</v>
      </c>
      <c r="Q89" s="326">
        <f>IF(売分析!S89&lt;&gt;"",売分析!S89,"")</f>
        <v>4938</v>
      </c>
      <c r="R89" s="326">
        <f>IF(売分析!R89&lt;&gt;"",売分析!R89,"")</f>
        <v>4368</v>
      </c>
      <c r="S89" s="325" t="str">
        <f>IF(売分析!AA89&lt;&gt;"",売分析!AA89,"")</f>
        <v>上昇▲</v>
      </c>
      <c r="T89" s="331">
        <f>IF(売分析!Z89&lt;&gt;"",売分析!Z89,"")</f>
        <v>2.305537599655247</v>
      </c>
      <c r="U89" s="325" t="str">
        <f>IF(売分析!V89&lt;&gt;"",売分析!V89,"")</f>
        <v>通常</v>
      </c>
      <c r="V89" s="329">
        <f>IF(売分析!W89&lt;&gt;"",売分析!W89,"")</f>
        <v>52.816901408450704</v>
      </c>
      <c r="W89" s="325" t="str">
        <f>IF(売分析!AD89&lt;&gt;"",売分析!AD89,"")</f>
        <v>パーフェクト▲</v>
      </c>
      <c r="X89" s="325" t="str">
        <f>IF(売分析!AE89&lt;&gt;"",売分析!AE89,"")</f>
        <v>なし</v>
      </c>
      <c r="Y89" s="387">
        <f>IF(売分析!T89&lt;&gt;"",売分析!T89,"")</f>
        <v>0</v>
      </c>
      <c r="Z89" s="325" t="str">
        <f>IF(売分析!Y89&lt;&gt;"",売分析!Y89,"")</f>
        <v>相場上昇・見送り | パーフェクト▲ MACD+ RSI:52.8 前日比:+2.3% [0点]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2538</v>
      </c>
      <c r="F90" s="333">
        <f>IF(売分析!F90&lt;&gt;"",売分析!F90,"")</f>
        <v>2569</v>
      </c>
      <c r="G90" s="333">
        <f>IF(売分析!H90&lt;&gt;"",売分析!H90,"")</f>
        <v>2618</v>
      </c>
      <c r="H90" s="333">
        <f>IF(売分析!I90&lt;&gt;"",売分析!I90,"")</f>
        <v>2437</v>
      </c>
      <c r="I90" s="212">
        <f>IF(売分析!J90&lt;&gt;"",売分析!J90,"")</f>
        <v>489900</v>
      </c>
      <c r="J90" s="333">
        <f>IF(売分析!AB90&lt;&gt;"",売分析!AB90,"")</f>
        <v>2514.8087557603681</v>
      </c>
      <c r="K90" s="333">
        <f>IF(売分析!AC90&lt;&gt;"",売分析!AC90,"")</f>
        <v>2288.9702026221685</v>
      </c>
      <c r="L90" s="333">
        <f>IF(売分析!K90&lt;&gt;"",売分析!K90,"")</f>
        <v>3865</v>
      </c>
      <c r="M90" s="212" t="str">
        <f>IF(売分析!P90&lt;&gt;"",売分析!P90,"")</f>
        <v>増加↑</v>
      </c>
      <c r="N90" s="335">
        <f>IF(売分析!O90&lt;&gt;"",売分析!O90,"")</f>
        <v>1.5056241932509682</v>
      </c>
      <c r="O90" s="337">
        <f>IF(売分析!X90&lt;&gt;"",売分析!X90,"")</f>
        <v>22.686595234020388</v>
      </c>
      <c r="P90" s="334">
        <f>IF(売分析!L90&lt;&gt;"",売分析!L90,"")</f>
        <v>-34.333764553686933</v>
      </c>
      <c r="Q90" s="333">
        <f>IF(売分析!S90&lt;&gt;"",売分析!S90,"")</f>
        <v>2640</v>
      </c>
      <c r="R90" s="333">
        <f>IF(売分析!R90&lt;&gt;"",売分析!R90,"")</f>
        <v>2335</v>
      </c>
      <c r="S90" s="212" t="str">
        <f>IF(売分析!AA90&lt;&gt;"",売分析!AA90,"")</f>
        <v>下落▼</v>
      </c>
      <c r="T90" s="338">
        <f>IF(売分析!Z90&lt;&gt;"",売分析!Z90,"")</f>
        <v>-0.3142183817753339</v>
      </c>
      <c r="U90" s="212" t="str">
        <f>IF(売分析!V90&lt;&gt;"",売分析!V90,"")</f>
        <v>安値圏</v>
      </c>
      <c r="V90" s="336">
        <f>IF(売分析!W90&lt;&gt;"",売分析!W90,"")</f>
        <v>52.438313580726643</v>
      </c>
      <c r="W90" s="212" t="str">
        <f>IF(売分析!AD90&lt;&gt;"",売分析!AD90,"")</f>
        <v>パーフェクト▲</v>
      </c>
      <c r="X90" s="212" t="str">
        <f>IF(売分析!AE90&lt;&gt;"",売分析!AE90,"")</f>
        <v>なし</v>
      </c>
      <c r="Y90" s="388">
        <f>IF(売分析!T90&lt;&gt;"",売分析!T90,"")</f>
        <v>7</v>
      </c>
      <c r="Z90" s="212" t="str">
        <f>IF(売分析!Y90&lt;&gt;"",売分析!Y90,"")</f>
        <v>相場上昇・見送り | パーフェクト▲ MACD+ RSI:52.4 前日比:-0.3% [安値圏] [7点]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4962</v>
      </c>
      <c r="F91" s="326">
        <f>IF(売分析!F91&lt;&gt;"",売分析!F91,"")</f>
        <v>5038</v>
      </c>
      <c r="G91" s="326">
        <f>IF(売分析!H91&lt;&gt;"",売分析!H91,"")</f>
        <v>5065</v>
      </c>
      <c r="H91" s="326">
        <f>IF(売分析!I91&lt;&gt;"",売分析!I91,"")</f>
        <v>4935</v>
      </c>
      <c r="I91" s="325">
        <f>IF(売分析!J91&lt;&gt;"",売分析!J91,"")</f>
        <v>2230100</v>
      </c>
      <c r="J91" s="326">
        <f>IF(売分析!AB91&lt;&gt;"",売分析!AB91,"")</f>
        <v>4991.4758064516118</v>
      </c>
      <c r="K91" s="326">
        <f>IF(売分析!AC91&lt;&gt;"",売分析!AC91,"")</f>
        <v>4789.4755661501767</v>
      </c>
      <c r="L91" s="326">
        <f>IF(売分析!K91&lt;&gt;"",売分析!K91,"")</f>
        <v>5176</v>
      </c>
      <c r="M91" s="325" t="str">
        <f>IF(売分析!P91&lt;&gt;"",売分析!P91,"")</f>
        <v>普通→</v>
      </c>
      <c r="N91" s="328">
        <f>IF(売分析!O91&lt;&gt;"",売分析!O91,"")</f>
        <v>1.470595993300186</v>
      </c>
      <c r="O91" s="330">
        <f>IF(売分析!X91&lt;&gt;"",売分析!X91,"")</f>
        <v>-7.9163625074124866</v>
      </c>
      <c r="P91" s="327">
        <f>IF(売分析!L91&lt;&gt;"",売分析!L91,"")</f>
        <v>-4.1344667697063366</v>
      </c>
      <c r="Q91" s="326">
        <f>IF(売分析!S91&lt;&gt;"",売分析!S91,"")</f>
        <v>5160</v>
      </c>
      <c r="R91" s="326">
        <f>IF(売分析!R91&lt;&gt;"",売分析!R91,"")</f>
        <v>4565</v>
      </c>
      <c r="S91" s="325" t="str">
        <f>IF(売分析!AA91&lt;&gt;"",売分析!AA91,"")</f>
        <v>下落▼</v>
      </c>
      <c r="T91" s="331">
        <f>IF(売分析!Z91&lt;&gt;"",売分析!Z91,"")</f>
        <v>-1.3910969793322734</v>
      </c>
      <c r="U91" s="325" t="str">
        <f>IF(売分析!V91&lt;&gt;"",売分析!V91,"")</f>
        <v>通常</v>
      </c>
      <c r="V91" s="329">
        <f>IF(売分析!W91&lt;&gt;"",売分析!W91,"")</f>
        <v>49.920198616776027</v>
      </c>
      <c r="W91" s="325" t="str">
        <f>IF(売分析!AD91&lt;&gt;"",売分析!AD91,"")</f>
        <v>上昇トレンド▲</v>
      </c>
      <c r="X91" s="325" t="str">
        <f>IF(売分析!AE91&lt;&gt;"",売分析!AE91,"")</f>
        <v>5日戻り売り○</v>
      </c>
      <c r="Y91" s="387">
        <f>IF(売分析!T91&lt;&gt;"",売分析!T91,"")</f>
        <v>1</v>
      </c>
      <c r="Z91" s="325" t="str">
        <f>IF(売分析!Y91&lt;&gt;"",売分析!Y91,"")</f>
        <v>相場上昇・見送り | 上昇トレンド▲ 5日戻り売り○ MACD- RSI:49.9 前日比:-1.4%前日[長い下ヒゲ(反発)]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2342</v>
      </c>
      <c r="F92" s="333">
        <f>IF(売分析!F92&lt;&gt;"",売分析!F92,"")</f>
        <v>2289</v>
      </c>
      <c r="G92" s="333">
        <f>IF(売分析!H92&lt;&gt;"",売分析!H92,"")</f>
        <v>2362</v>
      </c>
      <c r="H92" s="333">
        <f>IF(売分析!I92&lt;&gt;"",売分析!I92,"")</f>
        <v>2280.5</v>
      </c>
      <c r="I92" s="212">
        <f>IF(売分析!J92&lt;&gt;"",売分析!J92,"")</f>
        <v>10474300</v>
      </c>
      <c r="J92" s="333">
        <f>IF(売分析!AB92&lt;&gt;"",売分析!AB92,"")</f>
        <v>2278.9130184331798</v>
      </c>
      <c r="K92" s="333">
        <f>IF(売分析!AC92&lt;&gt;"",売分析!AC92,"")</f>
        <v>2282.5417163289621</v>
      </c>
      <c r="L92" s="333">
        <f>IF(売分析!K92&lt;&gt;"",売分析!K92,"")</f>
        <v>2420.5</v>
      </c>
      <c r="M92" s="212" t="str">
        <f>IF(売分析!P92&lt;&gt;"",売分析!P92,"")</f>
        <v>減少↓</v>
      </c>
      <c r="N92" s="335">
        <f>IF(売分析!O92&lt;&gt;"",売分析!O92,"")</f>
        <v>0.86551730406601346</v>
      </c>
      <c r="O92" s="337">
        <f>IF(売分析!X92&lt;&gt;"",売分析!X92,"")</f>
        <v>-5.9527919630299948</v>
      </c>
      <c r="P92" s="334">
        <f>IF(売分析!L92&lt;&gt;"",売分析!L92,"")</f>
        <v>-3.2431315843833923</v>
      </c>
      <c r="Q92" s="333">
        <f>IF(売分析!S92&lt;&gt;"",売分析!S92,"")</f>
        <v>2436</v>
      </c>
      <c r="R92" s="333">
        <f>IF(売分析!R92&lt;&gt;"",売分析!R92,"")</f>
        <v>2155</v>
      </c>
      <c r="S92" s="212" t="str">
        <f>IF(売分析!AA92&lt;&gt;"",売分析!AA92,"")</f>
        <v>上昇▲</v>
      </c>
      <c r="T92" s="338">
        <f>IF(売分析!Z92&lt;&gt;"",売分析!Z92,"")</f>
        <v>2.5843188786684186</v>
      </c>
      <c r="U92" s="212" t="str">
        <f>IF(売分析!V92&lt;&gt;"",売分析!V92,"")</f>
        <v>通常</v>
      </c>
      <c r="V92" s="336">
        <f>IF(売分析!W92&lt;&gt;"",売分析!W92,"")</f>
        <v>43.60503644797879</v>
      </c>
      <c r="W92" s="212" t="str">
        <f>IF(売分析!AD92&lt;&gt;"",売分析!AD92,"")</f>
        <v>上昇トレンド▲</v>
      </c>
      <c r="X92" s="212" t="str">
        <f>IF(売分析!AE92&lt;&gt;"",売分析!AE92,"")</f>
        <v>なし</v>
      </c>
      <c r="Y92" s="388">
        <f>IF(売分析!T92&lt;&gt;"",売分析!T92,"")</f>
        <v>0</v>
      </c>
      <c r="Z92" s="212" t="str">
        <f>IF(売分析!Y92&lt;&gt;"",売分析!Y92,"")</f>
        <v>相場上昇・見送り | 上昇トレンド▲ MACD- RSI:43.6 前日比:+2.6% [0点]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1782.5</v>
      </c>
      <c r="F93" s="326">
        <f>IF(売分析!F93&lt;&gt;"",売分析!F93,"")</f>
        <v>1750</v>
      </c>
      <c r="G93" s="326">
        <f>IF(売分析!H93&lt;&gt;"",売分析!H93,"")</f>
        <v>1785</v>
      </c>
      <c r="H93" s="326">
        <f>IF(売分析!I93&lt;&gt;"",売分析!I93,"")</f>
        <v>1746</v>
      </c>
      <c r="I93" s="325">
        <f>IF(売分析!J93&lt;&gt;"",売分析!J93,"")</f>
        <v>2367100</v>
      </c>
      <c r="J93" s="326">
        <f>IF(売分析!AB93&lt;&gt;"",売分析!AB93,"")</f>
        <v>1753.8277649769584</v>
      </c>
      <c r="K93" s="326">
        <f>IF(売分析!AC93&lt;&gt;"",売分析!AC93,"")</f>
        <v>1821.7997616209773</v>
      </c>
      <c r="L93" s="326">
        <f>IF(売分析!K93&lt;&gt;"",売分析!K93,"")</f>
        <v>1943</v>
      </c>
      <c r="M93" s="325" t="str">
        <f>IF(売分析!P93&lt;&gt;"",売分析!P93,"")</f>
        <v>減少↓</v>
      </c>
      <c r="N93" s="328">
        <f>IF(売分析!O93&lt;&gt;"",売分析!O93,"")</f>
        <v>0.65186380560022916</v>
      </c>
      <c r="O93" s="330">
        <f>IF(売分析!X93&lt;&gt;"",売分析!X93,"")</f>
        <v>-12.571641942532324</v>
      </c>
      <c r="P93" s="327">
        <f>IF(売分析!L93&lt;&gt;"",売分析!L93,"")</f>
        <v>-8.2604220277920746</v>
      </c>
      <c r="Q93" s="326">
        <f>IF(売分析!S93&lt;&gt;"",売分析!S93,"")</f>
        <v>1854</v>
      </c>
      <c r="R93" s="326">
        <f>IF(売分析!R93&lt;&gt;"",売分析!R93,"")</f>
        <v>1640</v>
      </c>
      <c r="S93" s="325" t="str">
        <f>IF(売分析!AA93&lt;&gt;"",売分析!AA93,"")</f>
        <v>上昇▲</v>
      </c>
      <c r="T93" s="331">
        <f>IF(売分析!Z93&lt;&gt;"",売分析!Z93,"")</f>
        <v>1.5958962667426617</v>
      </c>
      <c r="U93" s="325" t="str">
        <f>IF(売分析!V93&lt;&gt;"",売分析!V93,"")</f>
        <v>通常</v>
      </c>
      <c r="V93" s="329">
        <f>IF(売分析!W93&lt;&gt;"",売分析!W93,"")</f>
        <v>36.004162330905302</v>
      </c>
      <c r="W93" s="325" t="str">
        <f>IF(売分析!AD93&lt;&gt;"",売分析!AD93,"")</f>
        <v>もみ合い→</v>
      </c>
      <c r="X93" s="325" t="str">
        <f>IF(売分析!AE93&lt;&gt;"",売分析!AE93,"")</f>
        <v>なし</v>
      </c>
      <c r="Y93" s="387">
        <f>IF(売分析!T93&lt;&gt;"",売分析!T93,"")</f>
        <v>4</v>
      </c>
      <c r="Z93" s="325" t="str">
        <f>IF(売分析!Y93&lt;&gt;"",売分析!Y93,"")</f>
        <v>相場上昇・見送り | もみ合い→ MACD- RSI:36.0 前日比:+1.6% [4点]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1594.5</v>
      </c>
      <c r="F94" s="333">
        <f>IF(売分析!F94&lt;&gt;"",売分析!F94,"")</f>
        <v>1546</v>
      </c>
      <c r="G94" s="333">
        <f>IF(売分析!H94&lt;&gt;"",売分析!H94,"")</f>
        <v>1599</v>
      </c>
      <c r="H94" s="333">
        <f>IF(売分析!I94&lt;&gt;"",売分析!I94,"")</f>
        <v>1541.5</v>
      </c>
      <c r="I94" s="212">
        <f>IF(売分析!J94&lt;&gt;"",売分析!J94,"")</f>
        <v>891700</v>
      </c>
      <c r="J94" s="333">
        <f>IF(売分析!AB94&lt;&gt;"",売分析!AB94,"")</f>
        <v>1563.3001152073732</v>
      </c>
      <c r="K94" s="333">
        <f>IF(売分析!AC94&lt;&gt;"",売分析!AC94,"")</f>
        <v>1555.7407628128722</v>
      </c>
      <c r="L94" s="333">
        <f>IF(売分析!K94&lt;&gt;"",売分析!K94,"")</f>
        <v>1860</v>
      </c>
      <c r="M94" s="212" t="str">
        <f>IF(売分析!P94&lt;&gt;"",売分析!P94,"")</f>
        <v>普通→</v>
      </c>
      <c r="N94" s="335">
        <f>IF(売分析!O94&lt;&gt;"",売分析!O94,"")</f>
        <v>1.4902399893040978</v>
      </c>
      <c r="O94" s="337">
        <f>IF(売分析!X94&lt;&gt;"",売分析!X94,"")</f>
        <v>4.6187445022476368</v>
      </c>
      <c r="P94" s="334">
        <f>IF(売分析!L94&lt;&gt;"",売分析!L94,"")</f>
        <v>-14.274193548387096</v>
      </c>
      <c r="Q94" s="333">
        <f>IF(売分析!S94&lt;&gt;"",売分析!S94,"")</f>
        <v>1658</v>
      </c>
      <c r="R94" s="333">
        <f>IF(売分析!R94&lt;&gt;"",売分析!R94,"")</f>
        <v>1467</v>
      </c>
      <c r="S94" s="212" t="str">
        <f>IF(売分析!AA94&lt;&gt;"",売分析!AA94,"")</f>
        <v>上昇▲</v>
      </c>
      <c r="T94" s="338">
        <f>IF(売分析!Z94&lt;&gt;"",売分析!Z94,"")</f>
        <v>3.1037827352085356</v>
      </c>
      <c r="U94" s="212" t="str">
        <f>IF(売分析!V94&lt;&gt;"",売分析!V94,"")</f>
        <v>通常</v>
      </c>
      <c r="V94" s="336">
        <f>IF(売分析!W94&lt;&gt;"",売分析!W94,"")</f>
        <v>50.970873786407765</v>
      </c>
      <c r="W94" s="212" t="str">
        <f>IF(売分析!AD94&lt;&gt;"",売分析!AD94,"")</f>
        <v>パーフェクト▲</v>
      </c>
      <c r="X94" s="212" t="str">
        <f>IF(売分析!AE94&lt;&gt;"",売分析!AE94,"")</f>
        <v>なし</v>
      </c>
      <c r="Y94" s="388">
        <f>IF(売分析!T94&lt;&gt;"",売分析!T94,"")</f>
        <v>-3</v>
      </c>
      <c r="Z94" s="212" t="str">
        <f>IF(売分析!Y94&lt;&gt;"",売分析!Y94,"")</f>
        <v>相場上昇・見送り | パーフェクト▲ MACD+ RSI:51.0 前日比:+3.1%前日[長い下ヒゲ(反発)]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2016.5</v>
      </c>
      <c r="F95" s="326">
        <f>IF(売分析!F95&lt;&gt;"",売分析!F95,"")</f>
        <v>1952</v>
      </c>
      <c r="G95" s="326">
        <f>IF(売分析!H95&lt;&gt;"",売分析!H95,"")</f>
        <v>2022</v>
      </c>
      <c r="H95" s="326">
        <f>IF(売分析!I95&lt;&gt;"",売分析!I95,"")</f>
        <v>1942</v>
      </c>
      <c r="I95" s="325">
        <f>IF(売分析!J95&lt;&gt;"",売分析!J95,"")</f>
        <v>2994700</v>
      </c>
      <c r="J95" s="326">
        <f>IF(売分析!AB95&lt;&gt;"",売分析!AB95,"")</f>
        <v>2021.9602534562207</v>
      </c>
      <c r="K95" s="326">
        <f>IF(売分析!AC95&lt;&gt;"",売分析!AC95,"")</f>
        <v>1996.5160905840276</v>
      </c>
      <c r="L95" s="326">
        <f>IF(売分析!K95&lt;&gt;"",売分析!K95,"")</f>
        <v>2379.5</v>
      </c>
      <c r="M95" s="325" t="str">
        <f>IF(売分析!P95&lt;&gt;"",売分析!P95,"")</f>
        <v>減少↓</v>
      </c>
      <c r="N95" s="328">
        <f>IF(売分析!O95&lt;&gt;"",売分析!O95,"")</f>
        <v>0.87881420094727758</v>
      </c>
      <c r="O95" s="330">
        <f>IF(売分析!X95&lt;&gt;"",売分析!X95,"")</f>
        <v>19.49264843436049</v>
      </c>
      <c r="P95" s="327">
        <f>IF(売分析!L95&lt;&gt;"",売分析!L95,"")</f>
        <v>-15.255305736499263</v>
      </c>
      <c r="Q95" s="326">
        <f>IF(売分析!S95&lt;&gt;"",売分析!S95,"")</f>
        <v>2097</v>
      </c>
      <c r="R95" s="326">
        <f>IF(売分析!R95&lt;&gt;"",売分析!R95,"")</f>
        <v>1855</v>
      </c>
      <c r="S95" s="325" t="str">
        <f>IF(売分析!AA95&lt;&gt;"",売分析!AA95,"")</f>
        <v>上昇▲</v>
      </c>
      <c r="T95" s="331">
        <f>IF(売分析!Z95&lt;&gt;"",売分析!Z95,"")</f>
        <v>2.2565922920892496</v>
      </c>
      <c r="U95" s="325" t="str">
        <f>IF(売分析!V95&lt;&gt;"",売分析!V95,"")</f>
        <v>通常</v>
      </c>
      <c r="V95" s="329">
        <f>IF(売分析!W95&lt;&gt;"",売分析!W95,"")</f>
        <v>55.212922173274592</v>
      </c>
      <c r="W95" s="325" t="str">
        <f>IF(売分析!AD95&lt;&gt;"",売分析!AD95,"")</f>
        <v>上昇トレンド▲</v>
      </c>
      <c r="X95" s="325" t="str">
        <f>IF(売分析!AE95&lt;&gt;"",売分析!AE95,"")</f>
        <v>5日戻り売り○</v>
      </c>
      <c r="Y95" s="387">
        <f>IF(売分析!T95&lt;&gt;"",売分析!T95,"")</f>
        <v>1</v>
      </c>
      <c r="Z95" s="325" t="str">
        <f>IF(売分析!Y95&lt;&gt;"",売分析!Y95,"")</f>
        <v>相場上昇・見送り | 上昇トレンド▲ 5日戻り売り○ MACD+ RSI:55.2 前日比:+2.3% [1点]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3596</v>
      </c>
      <c r="F96" s="333">
        <f>IF(売分析!F96&lt;&gt;"",売分析!F96,"")</f>
        <v>3508</v>
      </c>
      <c r="G96" s="333">
        <f>IF(売分析!H96&lt;&gt;"",売分析!H96,"")</f>
        <v>3644</v>
      </c>
      <c r="H96" s="333">
        <f>IF(売分析!I96&lt;&gt;"",売分析!I96,"")</f>
        <v>3496</v>
      </c>
      <c r="I96" s="212">
        <f>IF(売分析!J96&lt;&gt;"",売分析!J96,"")</f>
        <v>721400</v>
      </c>
      <c r="J96" s="333">
        <f>IF(売分析!AB96&lt;&gt;"",売分析!AB96,"")</f>
        <v>3545.5437788018435</v>
      </c>
      <c r="K96" s="333">
        <f>IF(売分析!AC96&lt;&gt;"",売分析!AC96,"")</f>
        <v>3600.5697258641235</v>
      </c>
      <c r="L96" s="333">
        <f>IF(売分析!K96&lt;&gt;"",売分析!K96,"")</f>
        <v>4456</v>
      </c>
      <c r="M96" s="212" t="str">
        <f>IF(売分析!P96&lt;&gt;"",売分析!P96,"")</f>
        <v>増加↑</v>
      </c>
      <c r="N96" s="335">
        <f>IF(売分析!O96&lt;&gt;"",売分析!O96,"")</f>
        <v>1.6901738437748934</v>
      </c>
      <c r="O96" s="337">
        <f>IF(売分析!X96&lt;&gt;"",売分析!X96,"")</f>
        <v>-3.1264911100579411</v>
      </c>
      <c r="P96" s="334">
        <f>IF(売分析!L96&lt;&gt;"",売分析!L96,"")</f>
        <v>-19.299820466786354</v>
      </c>
      <c r="Q96" s="333">
        <f>IF(売分析!S96&lt;&gt;"",売分析!S96,"")</f>
        <v>3740</v>
      </c>
      <c r="R96" s="333">
        <f>IF(売分析!R96&lt;&gt;"",売分析!R96,"")</f>
        <v>3308</v>
      </c>
      <c r="S96" s="212" t="str">
        <f>IF(売分析!AA96&lt;&gt;"",売分析!AA96,"")</f>
        <v>上昇▲</v>
      </c>
      <c r="T96" s="338">
        <f>IF(売分析!Z96&lt;&gt;"",売分析!Z96,"")</f>
        <v>2.7428571428571429</v>
      </c>
      <c r="U96" s="212" t="str">
        <f>IF(売分析!V96&lt;&gt;"",売分析!V96,"")</f>
        <v>通常</v>
      </c>
      <c r="V96" s="336">
        <f>IF(売分析!W96&lt;&gt;"",売分析!W96,"")</f>
        <v>42.812500000000007</v>
      </c>
      <c r="W96" s="212" t="str">
        <f>IF(売分析!AD96&lt;&gt;"",売分析!AD96,"")</f>
        <v>もみ合い→</v>
      </c>
      <c r="X96" s="212" t="str">
        <f>IF(売分析!AE96&lt;&gt;"",売分析!AE96,"")</f>
        <v>25日戻り売り★</v>
      </c>
      <c r="Y96" s="388">
        <f>IF(売分析!T96&lt;&gt;"",売分析!T96,"")</f>
        <v>8</v>
      </c>
      <c r="Z96" s="212" t="str">
        <f>IF(売分析!Y96&lt;&gt;"",売分析!Y96,"")</f>
        <v>○逆張り売り | もみ合い→ 25日戻り売り★ MACD- RSI:42.8 前日比:+2.7% [8点]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2777</v>
      </c>
      <c r="F97" s="326">
        <f>IF(売分析!F97&lt;&gt;"",売分析!F97,"")</f>
        <v>2782</v>
      </c>
      <c r="G97" s="326">
        <f>IF(売分析!H97&lt;&gt;"",売分析!H97,"")</f>
        <v>2827</v>
      </c>
      <c r="H97" s="326">
        <f>IF(売分析!I97&lt;&gt;"",売分析!I97,"")</f>
        <v>2673</v>
      </c>
      <c r="I97" s="325">
        <f>IF(売分析!J97&lt;&gt;"",売分析!J97,"")</f>
        <v>64200</v>
      </c>
      <c r="J97" s="326">
        <f>IF(売分析!AB97&lt;&gt;"",売分析!AB97,"")</f>
        <v>2642.1394009216588</v>
      </c>
      <c r="K97" s="326">
        <f>IF(売分析!AC97&lt;&gt;"",売分析!AC97,"")</f>
        <v>2608.2562574493436</v>
      </c>
      <c r="L97" s="326">
        <f>IF(売分析!K97&lt;&gt;"",売分析!K97,"")</f>
        <v>3935</v>
      </c>
      <c r="M97" s="325" t="str">
        <f>IF(売分析!P97&lt;&gt;"",売分析!P97,"")</f>
        <v>減少↓</v>
      </c>
      <c r="N97" s="328">
        <f>IF(売分析!O97&lt;&gt;"",売分析!O97,"")</f>
        <v>0.79830887838846054</v>
      </c>
      <c r="O97" s="330">
        <f>IF(売分析!X97&lt;&gt;"",売分析!X97,"")</f>
        <v>23.826129701200898</v>
      </c>
      <c r="P97" s="327">
        <f>IF(売分析!L97&lt;&gt;"",売分析!L97,"")</f>
        <v>-29.428208386276999</v>
      </c>
      <c r="Q97" s="326">
        <f>IF(売分析!S97&lt;&gt;"",売分析!S97,"")</f>
        <v>2888</v>
      </c>
      <c r="R97" s="326">
        <f>IF(売分析!R97&lt;&gt;"",売分析!R97,"")</f>
        <v>2555</v>
      </c>
      <c r="S97" s="325" t="str">
        <f>IF(売分析!AA97&lt;&gt;"",売分析!AA97,"")</f>
        <v>上昇▲</v>
      </c>
      <c r="T97" s="331">
        <f>IF(売分析!Z97&lt;&gt;"",売分析!Z97,"")</f>
        <v>1.6471449487554906</v>
      </c>
      <c r="U97" s="325" t="str">
        <f>IF(売分析!V97&lt;&gt;"",売分析!V97,"")</f>
        <v>安値圏</v>
      </c>
      <c r="V97" s="329">
        <f>IF(売分析!W97&lt;&gt;"",売分析!W97,"")</f>
        <v>57.89473684210526</v>
      </c>
      <c r="W97" s="325" t="str">
        <f>IF(売分析!AD97&lt;&gt;"",売分析!AD97,"")</f>
        <v>パーフェクト▲</v>
      </c>
      <c r="X97" s="325" t="str">
        <f>IF(売分析!AE97&lt;&gt;"",売分析!AE97,"")</f>
        <v>なし</v>
      </c>
      <c r="Y97" s="387">
        <f>IF(売分析!T97&lt;&gt;"",売分析!T97,"")</f>
        <v>2</v>
      </c>
      <c r="Z97" s="325" t="str">
        <f>IF(売分析!Y97&lt;&gt;"",売分析!Y97,"")</f>
        <v>相場上昇・見送り | パーフェクト▲ MACD+ RSI:57.9 前日比:+1.6% [安値圏] [2点]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2358</v>
      </c>
      <c r="F98" s="333">
        <f>IF(売分析!F98&lt;&gt;"",売分析!F98,"")</f>
        <v>2340</v>
      </c>
      <c r="G98" s="333">
        <f>IF(売分析!H98&lt;&gt;"",売分析!H98,"")</f>
        <v>2413</v>
      </c>
      <c r="H98" s="333">
        <f>IF(売分析!I98&lt;&gt;"",売分析!I98,"")</f>
        <v>2340</v>
      </c>
      <c r="I98" s="212">
        <f>IF(売分析!J98&lt;&gt;"",売分析!J98,"")</f>
        <v>60500</v>
      </c>
      <c r="J98" s="333">
        <f>IF(売分析!AB98&lt;&gt;"",売分析!AB98,"")</f>
        <v>2341.8536866359445</v>
      </c>
      <c r="K98" s="333">
        <f>IF(売分析!AC98&lt;&gt;"",売分析!AC98,"")</f>
        <v>2326.4827175208575</v>
      </c>
      <c r="L98" s="333">
        <f>IF(売分析!K98&lt;&gt;"",売分析!K98,"")</f>
        <v>3490</v>
      </c>
      <c r="M98" s="212" t="str">
        <f>IF(売分析!P98&lt;&gt;"",売分析!P98,"")</f>
        <v>普通→</v>
      </c>
      <c r="N98" s="335">
        <f>IF(売分析!O98&lt;&gt;"",売分析!O98,"")</f>
        <v>1.2124248496993988</v>
      </c>
      <c r="O98" s="337">
        <f>IF(売分析!X98&lt;&gt;"",売分析!X98,"")</f>
        <v>-8.9113851750730646</v>
      </c>
      <c r="P98" s="334">
        <f>IF(売分析!L98&lt;&gt;"",売分析!L98,"")</f>
        <v>-32.435530085959883</v>
      </c>
      <c r="Q98" s="333">
        <f>IF(売分析!S98&lt;&gt;"",売分析!S98,"")</f>
        <v>2452</v>
      </c>
      <c r="R98" s="333">
        <f>IF(売分析!R98&lt;&gt;"",売分析!R98,"")</f>
        <v>2169</v>
      </c>
      <c r="S98" s="212" t="str">
        <f>IF(売分析!AA98&lt;&gt;"",売分析!AA98,"")</f>
        <v>下落▼</v>
      </c>
      <c r="T98" s="338">
        <f>IF(売分析!Z98&lt;&gt;"",売分析!Z98,"")</f>
        <v>-1.3389121338912133</v>
      </c>
      <c r="U98" s="212" t="str">
        <f>IF(売分析!V98&lt;&gt;"",売分析!V98,"")</f>
        <v>安値圏</v>
      </c>
      <c r="V98" s="336">
        <f>IF(売分析!W98&lt;&gt;"",売分析!W98,"")</f>
        <v>49.913941480206539</v>
      </c>
      <c r="W98" s="212" t="str">
        <f>IF(売分析!AD98&lt;&gt;"",売分析!AD98,"")</f>
        <v>パーフェクト▲</v>
      </c>
      <c r="X98" s="212" t="str">
        <f>IF(売分析!AE98&lt;&gt;"",売分析!AE98,"")</f>
        <v>なし</v>
      </c>
      <c r="Y98" s="388">
        <f>IF(売分析!T98&lt;&gt;"",売分析!T98,"")</f>
        <v>10</v>
      </c>
      <c r="Z98" s="212" t="str">
        <f>IF(売分析!Y98&lt;&gt;"",売分析!Y98,"")</f>
        <v>相場上昇・見送り | パーフェクト▲ MACD- RSI:49.9 前日比:-1.3% [安値圏] [上ヒゲ陰線▼] [10点]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3164</v>
      </c>
      <c r="F99" s="326">
        <f>IF(売分析!F99&lt;&gt;"",売分析!F99,"")</f>
        <v>3165</v>
      </c>
      <c r="G99" s="326">
        <f>IF(売分析!H99&lt;&gt;"",売分析!H99,"")</f>
        <v>3177</v>
      </c>
      <c r="H99" s="326">
        <f>IF(売分析!I99&lt;&gt;"",売分析!I99,"")</f>
        <v>3135</v>
      </c>
      <c r="I99" s="325">
        <f>IF(売分析!J99&lt;&gt;"",売分析!J99,"")</f>
        <v>1596700</v>
      </c>
      <c r="J99" s="326">
        <f>IF(売分析!AB99&lt;&gt;"",売分析!AB99,"")</f>
        <v>3142.1209677419356</v>
      </c>
      <c r="K99" s="326">
        <f>IF(売分析!AC99&lt;&gt;"",売分析!AC99,"")</f>
        <v>3099.0548271752068</v>
      </c>
      <c r="L99" s="326">
        <f>IF(売分析!K99&lt;&gt;"",売分析!K99,"")</f>
        <v>3419</v>
      </c>
      <c r="M99" s="325" t="str">
        <f>IF(売分析!P99&lt;&gt;"",売分析!P99,"")</f>
        <v>減少↓</v>
      </c>
      <c r="N99" s="328">
        <f>IF(売分析!O99&lt;&gt;"",売分析!O99,"")</f>
        <v>0.63437639056639761</v>
      </c>
      <c r="O99" s="330">
        <f>IF(売分析!X99&lt;&gt;"",売分析!X99,"")</f>
        <v>12.932769195866058</v>
      </c>
      <c r="P99" s="327">
        <f>IF(売分析!L99&lt;&gt;"",売分析!L99,"")</f>
        <v>-7.4583211465340753</v>
      </c>
      <c r="Q99" s="326">
        <f>IF(売分析!S99&lt;&gt;"",売分析!S99,"")</f>
        <v>3291</v>
      </c>
      <c r="R99" s="326">
        <f>IF(売分析!R99&lt;&gt;"",売分析!R99,"")</f>
        <v>2911</v>
      </c>
      <c r="S99" s="325" t="str">
        <f>IF(売分析!AA99&lt;&gt;"",売分析!AA99,"")</f>
        <v>上昇▲</v>
      </c>
      <c r="T99" s="331">
        <f>IF(売分析!Z99&lt;&gt;"",売分析!Z99,"")</f>
        <v>0.41256743890828312</v>
      </c>
      <c r="U99" s="325" t="str">
        <f>IF(売分析!V99&lt;&gt;"",売分析!V99,"")</f>
        <v>通常</v>
      </c>
      <c r="V99" s="329">
        <f>IF(売分析!W99&lt;&gt;"",売分析!W99,"")</f>
        <v>61.912479740680709</v>
      </c>
      <c r="W99" s="325" t="str">
        <f>IF(売分析!AD99&lt;&gt;"",売分析!AD99,"")</f>
        <v>パーフェクト▲</v>
      </c>
      <c r="X99" s="325" t="str">
        <f>IF(売分析!AE99&lt;&gt;"",売分析!AE99,"")</f>
        <v>なし</v>
      </c>
      <c r="Y99" s="387">
        <f>IF(売分析!T99&lt;&gt;"",売分析!T99,"")</f>
        <v>0</v>
      </c>
      <c r="Z99" s="325" t="str">
        <f>IF(売分析!Y99&lt;&gt;"",売分析!Y99,"")</f>
        <v>相場上昇・見送り | パーフェクト▲ MACD+ RSI:61.9 前日比:+0.4%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5335</v>
      </c>
      <c r="F100" s="333">
        <f>IF(売分析!F100&lt;&gt;"",売分析!F100,"")</f>
        <v>5251</v>
      </c>
      <c r="G100" s="333">
        <f>IF(売分析!H100&lt;&gt;"",売分析!H100,"")</f>
        <v>5371</v>
      </c>
      <c r="H100" s="333">
        <f>IF(売分析!I100&lt;&gt;"",売分析!I100,"")</f>
        <v>5210</v>
      </c>
      <c r="I100" s="212">
        <f>IF(売分析!J100&lt;&gt;"",売分析!J100,"")</f>
        <v>2820200</v>
      </c>
      <c r="J100" s="333">
        <f>IF(売分析!AB100&lt;&gt;"",売分析!AB100,"")</f>
        <v>5497.9481566820268</v>
      </c>
      <c r="K100" s="333">
        <f>IF(売分析!AC100&lt;&gt;"",売分析!AC100,"")</f>
        <v>5629.7735399284848</v>
      </c>
      <c r="L100" s="333">
        <f>IF(売分析!K100&lt;&gt;"",売分析!K100,"")</f>
        <v>6317</v>
      </c>
      <c r="M100" s="212" t="str">
        <f>IF(売分析!P100&lt;&gt;"",売分析!P100,"")</f>
        <v>普通→</v>
      </c>
      <c r="N100" s="335">
        <f>IF(売分析!O100&lt;&gt;"",売分析!O100,"")</f>
        <v>1.4677991860017279</v>
      </c>
      <c r="O100" s="337">
        <f>IF(売分析!X100&lt;&gt;"",売分析!X100,"")</f>
        <v>0.28642846055026894</v>
      </c>
      <c r="P100" s="334">
        <f>IF(売分析!L100&lt;&gt;"",売分析!L100,"")</f>
        <v>-15.545353807186956</v>
      </c>
      <c r="Q100" s="333">
        <f>IF(売分析!S100&lt;&gt;"",売分析!S100,"")</f>
        <v>5548</v>
      </c>
      <c r="R100" s="333">
        <f>IF(売分析!R100&lt;&gt;"",売分析!R100,"")</f>
        <v>4908</v>
      </c>
      <c r="S100" s="212" t="str">
        <f>IF(売分析!AA100&lt;&gt;"",売分析!AA100,"")</f>
        <v>上昇▲</v>
      </c>
      <c r="T100" s="338">
        <f>IF(売分析!Z100&lt;&gt;"",売分析!Z100,"")</f>
        <v>0.62240663900414939</v>
      </c>
      <c r="U100" s="212" t="str">
        <f>IF(売分析!V100&lt;&gt;"",売分析!V100,"")</f>
        <v>通常</v>
      </c>
      <c r="V100" s="336">
        <f>IF(売分析!W100&lt;&gt;"",売分析!W100,"")</f>
        <v>43.318385650224208</v>
      </c>
      <c r="W100" s="212" t="str">
        <f>IF(売分析!AD100&lt;&gt;"",売分析!AD100,"")</f>
        <v>下降トレンド▼</v>
      </c>
      <c r="X100" s="212" t="str">
        <f>IF(売分析!AE100&lt;&gt;"",売分析!AE100,"")</f>
        <v>なし</v>
      </c>
      <c r="Y100" s="388">
        <f>IF(売分析!T100&lt;&gt;"",売分析!T100,"")</f>
        <v>7</v>
      </c>
      <c r="Z100" s="212" t="str">
        <f>IF(売分析!Y100&lt;&gt;"",売分析!Y100,"")</f>
        <v>相場上昇・見送り | 下降トレンド▼ MACD+ RSI:43.3 前日比:+0.6% [7点]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1628</v>
      </c>
      <c r="F101" s="326">
        <f>IF(売分析!F101&lt;&gt;"",売分析!F101,"")</f>
        <v>1562</v>
      </c>
      <c r="G101" s="326">
        <f>IF(売分析!H101&lt;&gt;"",売分析!H101,"")</f>
        <v>1636.5</v>
      </c>
      <c r="H101" s="326">
        <f>IF(売分析!I101&lt;&gt;"",売分析!I101,"")</f>
        <v>1556.5</v>
      </c>
      <c r="I101" s="325">
        <f>IF(売分析!J101&lt;&gt;"",売分析!J101,"")</f>
        <v>4771400</v>
      </c>
      <c r="J101" s="326">
        <f>IF(売分析!AB101&lt;&gt;"",売分析!AB101,"")</f>
        <v>1551.9688940092162</v>
      </c>
      <c r="K101" s="326">
        <f>IF(売分析!AC101&lt;&gt;"",売分析!AC101,"")</f>
        <v>1517.9755661501783</v>
      </c>
      <c r="L101" s="326">
        <f>IF(売分析!K101&lt;&gt;"",売分析!K101,"")</f>
        <v>1585.5</v>
      </c>
      <c r="M101" s="325" t="str">
        <f>IF(売分析!P101&lt;&gt;"",売分析!P101,"")</f>
        <v>普通→</v>
      </c>
      <c r="N101" s="328">
        <f>IF(売分析!O101&lt;&gt;"",売分析!O101,"")</f>
        <v>1.3438973417229512</v>
      </c>
      <c r="O101" s="330">
        <f>IF(売分析!X101&lt;&gt;"",売分析!X101,"")</f>
        <v>4.2269323234054355</v>
      </c>
      <c r="P101" s="327">
        <f>IF(売分析!L101&lt;&gt;"",売分析!L101,"")</f>
        <v>2.6805424156417534</v>
      </c>
      <c r="Q101" s="326">
        <f>IF(売分析!S101&lt;&gt;"",売分析!S101,"")</f>
        <v>1693</v>
      </c>
      <c r="R101" s="326">
        <f>IF(売分析!R101&lt;&gt;"",売分析!R101,"")</f>
        <v>1498</v>
      </c>
      <c r="S101" s="325" t="str">
        <f>IF(売分析!AA101&lt;&gt;"",売分析!AA101,"")</f>
        <v>上昇▲</v>
      </c>
      <c r="T101" s="331">
        <f>IF(売分析!Z101&lt;&gt;"",売分析!Z101,"")</f>
        <v>6.9645203679369247</v>
      </c>
      <c r="U101" s="325" t="str">
        <f>IF(売分析!V101&lt;&gt;"",売分析!V101,"")</f>
        <v>通常</v>
      </c>
      <c r="V101" s="329">
        <f>IF(売分析!W101&lt;&gt;"",売分析!W101,"")</f>
        <v>48.828606658446368</v>
      </c>
      <c r="W101" s="325" t="str">
        <f>IF(売分析!AD101&lt;&gt;"",売分析!AD101,"")</f>
        <v>パーフェクト▲</v>
      </c>
      <c r="X101" s="325" t="str">
        <f>IF(売分析!AE101&lt;&gt;"",売分析!AE101,"")</f>
        <v>なし</v>
      </c>
      <c r="Y101" s="387">
        <f>IF(売分析!T101&lt;&gt;"",売分析!T101,"")</f>
        <v>-2</v>
      </c>
      <c r="Z101" s="325" t="str">
        <f>IF(売分析!Y101&lt;&gt;"",売分析!Y101,"")</f>
        <v>相場上昇・見送り | パーフェクト▲ MACD+ RSI:48.8 前日比:+7.0%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3232</v>
      </c>
      <c r="F102" s="333">
        <f>IF(売分析!F102&lt;&gt;"",売分析!F102,"")</f>
        <v>3189</v>
      </c>
      <c r="G102" s="333">
        <f>IF(売分析!H102&lt;&gt;"",売分析!H102,"")</f>
        <v>3246</v>
      </c>
      <c r="H102" s="333">
        <f>IF(売分析!I102&lt;&gt;"",売分析!I102,"")</f>
        <v>3185</v>
      </c>
      <c r="I102" s="212">
        <f>IF(売分析!J102&lt;&gt;"",売分析!J102,"")</f>
        <v>5230400</v>
      </c>
      <c r="J102" s="333">
        <f>IF(売分析!AB102&lt;&gt;"",売分析!AB102,"")</f>
        <v>3176.4285714285711</v>
      </c>
      <c r="K102" s="333">
        <f>IF(売分析!AC102&lt;&gt;"",売分析!AC102,"")</f>
        <v>3236.9404052443374</v>
      </c>
      <c r="L102" s="333">
        <f>IF(売分析!K102&lt;&gt;"",売分析!K102,"")</f>
        <v>3465</v>
      </c>
      <c r="M102" s="212" t="str">
        <f>IF(売分析!P102&lt;&gt;"",売分析!P102,"")</f>
        <v>減少↓</v>
      </c>
      <c r="N102" s="335">
        <f>IF(売分析!O102&lt;&gt;"",売分析!O102,"")</f>
        <v>0.71427205812063854</v>
      </c>
      <c r="O102" s="337">
        <f>IF(売分析!X102&lt;&gt;"",売分析!X102,"")</f>
        <v>-12.192099952635544</v>
      </c>
      <c r="P102" s="334">
        <f>IF(売分析!L102&lt;&gt;"",売分析!L102,"")</f>
        <v>-6.7243867243867248</v>
      </c>
      <c r="Q102" s="333">
        <f>IF(売分析!S102&lt;&gt;"",売分析!S102,"")</f>
        <v>3361</v>
      </c>
      <c r="R102" s="333">
        <f>IF(売分析!R102&lt;&gt;"",売分析!R102,"")</f>
        <v>2973</v>
      </c>
      <c r="S102" s="212" t="str">
        <f>IF(売分析!AA102&lt;&gt;"",売分析!AA102,"")</f>
        <v>上昇▲</v>
      </c>
      <c r="T102" s="338">
        <f>IF(売分析!Z102&lt;&gt;"",売分析!Z102,"")</f>
        <v>1</v>
      </c>
      <c r="U102" s="212" t="str">
        <f>IF(売分析!V102&lt;&gt;"",売分析!V102,"")</f>
        <v>通常</v>
      </c>
      <c r="V102" s="336">
        <f>IF(売分析!W102&lt;&gt;"",売分析!W102,"")</f>
        <v>42.299794661190965</v>
      </c>
      <c r="W102" s="212" t="str">
        <f>IF(売分析!AD102&lt;&gt;"",売分析!AD102,"")</f>
        <v>もみ合い→</v>
      </c>
      <c r="X102" s="212" t="str">
        <f>IF(売分析!AE102&lt;&gt;"",売分析!AE102,"")</f>
        <v>25日戻り売り★</v>
      </c>
      <c r="Y102" s="388">
        <f>IF(売分析!T102&lt;&gt;"",売分析!T102,"")</f>
        <v>3</v>
      </c>
      <c r="Z102" s="212" t="str">
        <f>IF(売分析!Y102&lt;&gt;"",売分析!Y102,"")</f>
        <v>○逆張り売り | もみ合い→ 25日戻り売り★ MACD- RSI:42.3 前日比:+1.0% [3点]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2954</v>
      </c>
      <c r="F103" s="326">
        <f>IF(売分析!F103&lt;&gt;"",売分析!F103,"")</f>
        <v>2910.5</v>
      </c>
      <c r="G103" s="326">
        <f>IF(売分析!H103&lt;&gt;"",売分析!H103,"")</f>
        <v>2966.5</v>
      </c>
      <c r="H103" s="326">
        <f>IF(売分析!I103&lt;&gt;"",売分析!I103,"")</f>
        <v>2888.5</v>
      </c>
      <c r="I103" s="325">
        <f>IF(売分析!J103&lt;&gt;"",売分析!J103,"")</f>
        <v>6257700</v>
      </c>
      <c r="J103" s="326">
        <f>IF(売分析!AB103&lt;&gt;"",売分析!AB103,"")</f>
        <v>2959.9170506912442</v>
      </c>
      <c r="K103" s="326">
        <f>IF(売分析!AC103&lt;&gt;"",売分析!AC103,"")</f>
        <v>2724.8867699642424</v>
      </c>
      <c r="L103" s="326">
        <f>IF(売分析!K103&lt;&gt;"",売分析!K103,"")</f>
        <v>3167</v>
      </c>
      <c r="M103" s="325" t="str">
        <f>IF(売分析!P103&lt;&gt;"",売分析!P103,"")</f>
        <v>減少↓</v>
      </c>
      <c r="N103" s="328">
        <f>IF(売分析!O103&lt;&gt;"",売分析!O103,"")</f>
        <v>0.59995513063887063</v>
      </c>
      <c r="O103" s="330">
        <f>IF(売分析!X103&lt;&gt;"",売分析!X103,"")</f>
        <v>37.425399718993503</v>
      </c>
      <c r="P103" s="327">
        <f>IF(売分析!L103&lt;&gt;"",売分析!L103,"")</f>
        <v>-6.7256078307546572</v>
      </c>
      <c r="Q103" s="326">
        <f>IF(売分析!S103&lt;&gt;"",売分析!S103,"")</f>
        <v>3072</v>
      </c>
      <c r="R103" s="326">
        <f>IF(売分析!R103&lt;&gt;"",売分析!R103,"")</f>
        <v>2718</v>
      </c>
      <c r="S103" s="325" t="str">
        <f>IF(売分析!AA103&lt;&gt;"",売分析!AA103,"")</f>
        <v>上昇▲</v>
      </c>
      <c r="T103" s="331">
        <f>IF(売分析!Z103&lt;&gt;"",売分析!Z103,"")</f>
        <v>3.2686593252927811</v>
      </c>
      <c r="U103" s="325" t="str">
        <f>IF(売分析!V103&lt;&gt;"",売分析!V103,"")</f>
        <v>通常</v>
      </c>
      <c r="V103" s="329">
        <f>IF(売分析!W103&lt;&gt;"",売分析!W103,"")</f>
        <v>51.822976381563862</v>
      </c>
      <c r="W103" s="325" t="str">
        <f>IF(売分析!AD103&lt;&gt;"",売分析!AD103,"")</f>
        <v>上昇トレンド▲</v>
      </c>
      <c r="X103" s="325" t="str">
        <f>IF(売分析!AE103&lt;&gt;"",売分析!AE103,"")</f>
        <v>5日戻り売り○</v>
      </c>
      <c r="Y103" s="387">
        <f>IF(売分析!T103&lt;&gt;"",売分析!T103,"")</f>
        <v>0</v>
      </c>
      <c r="Z103" s="325" t="str">
        <f>IF(売分析!Y103&lt;&gt;"",売分析!Y103,"")</f>
        <v>相場上昇・見送り | 上昇トレンド▲ 5日戻り売り○ MACD+ RSI:51.8 前日比:+3.3% [0点]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3428</v>
      </c>
      <c r="F104" s="333">
        <f>IF(売分析!F104&lt;&gt;"",売分析!F104,"")</f>
        <v>3391</v>
      </c>
      <c r="G104" s="333">
        <f>IF(売分析!H104&lt;&gt;"",売分析!H104,"")</f>
        <v>3448</v>
      </c>
      <c r="H104" s="333">
        <f>IF(売分析!I104&lt;&gt;"",売分析!I104,"")</f>
        <v>3380</v>
      </c>
      <c r="I104" s="212">
        <f>IF(売分析!J104&lt;&gt;"",売分析!J104,"")</f>
        <v>3821800</v>
      </c>
      <c r="J104" s="333">
        <f>IF(売分析!AB104&lt;&gt;"",売分析!AB104,"")</f>
        <v>3427.6728110599079</v>
      </c>
      <c r="K104" s="333">
        <f>IF(売分析!AC104&lt;&gt;"",売分析!AC104,"")</f>
        <v>3577.2336114421905</v>
      </c>
      <c r="L104" s="333">
        <f>IF(売分析!K104&lt;&gt;"",売分析!K104,"")</f>
        <v>4211</v>
      </c>
      <c r="M104" s="212" t="str">
        <f>IF(売分析!P104&lt;&gt;"",売分析!P104,"")</f>
        <v>減少↓</v>
      </c>
      <c r="N104" s="335">
        <f>IF(売分析!O104&lt;&gt;"",売分析!O104,"")</f>
        <v>0.84866653343103948</v>
      </c>
      <c r="O104" s="337">
        <f>IF(売分析!X104&lt;&gt;"",売分析!X104,"")</f>
        <v>-2.8047655817763371</v>
      </c>
      <c r="P104" s="334">
        <f>IF(売分析!L104&lt;&gt;"",売分析!L104,"")</f>
        <v>-18.594158157207314</v>
      </c>
      <c r="Q104" s="333">
        <f>IF(売分析!S104&lt;&gt;"",売分析!S104,"")</f>
        <v>3565</v>
      </c>
      <c r="R104" s="333">
        <f>IF(売分析!R104&lt;&gt;"",売分析!R104,"")</f>
        <v>3154</v>
      </c>
      <c r="S104" s="212" t="str">
        <f>IF(売分析!AA104&lt;&gt;"",売分析!AA104,"")</f>
        <v>上昇▲</v>
      </c>
      <c r="T104" s="338">
        <f>IF(売分析!Z104&lt;&gt;"",売分析!Z104,"")</f>
        <v>1.7512615019293558</v>
      </c>
      <c r="U104" s="212" t="str">
        <f>IF(売分析!V104&lt;&gt;"",売分析!V104,"")</f>
        <v>通常</v>
      </c>
      <c r="V104" s="336">
        <f>IF(売分析!W104&lt;&gt;"",売分析!W104,"")</f>
        <v>40.312213039485769</v>
      </c>
      <c r="W104" s="212" t="str">
        <f>IF(売分析!AD104&lt;&gt;"",売分析!AD104,"")</f>
        <v>もみ合い→</v>
      </c>
      <c r="X104" s="212" t="str">
        <f>IF(売分析!AE104&lt;&gt;"",売分析!AE104,"")</f>
        <v>なし</v>
      </c>
      <c r="Y104" s="388">
        <f>IF(売分析!T104&lt;&gt;"",売分析!T104,"")</f>
        <v>2</v>
      </c>
      <c r="Z104" s="212" t="str">
        <f>IF(売分析!Y104&lt;&gt;"",売分析!Y104,"")</f>
        <v>相場上昇・見送り | もみ合い→ MACD- RSI:40.3 前日比:+1.8% [2点]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537</v>
      </c>
      <c r="F105" s="326">
        <f>IF(売分析!F105&lt;&gt;"",売分析!F105,"")</f>
        <v>521</v>
      </c>
      <c r="G105" s="326">
        <f>IF(売分析!H105&lt;&gt;"",売分析!H105,"")</f>
        <v>542.70000000000005</v>
      </c>
      <c r="H105" s="326">
        <f>IF(売分析!I105&lt;&gt;"",売分析!I105,"")</f>
        <v>518.9</v>
      </c>
      <c r="I105" s="325">
        <f>IF(売分析!J105&lt;&gt;"",売分析!J105,"")</f>
        <v>32319200</v>
      </c>
      <c r="J105" s="326">
        <f>IF(売分析!AB105&lt;&gt;"",売分析!AB105,"")</f>
        <v>529.22960829493081</v>
      </c>
      <c r="K105" s="326">
        <f>IF(売分析!AC105&lt;&gt;"",売分析!AC105,"")</f>
        <v>514.74505363527987</v>
      </c>
      <c r="L105" s="326">
        <f>IF(売分析!K105&lt;&gt;"",売分析!K105,"")</f>
        <v>760</v>
      </c>
      <c r="M105" s="325" t="str">
        <f>IF(売分析!P105&lt;&gt;"",売分析!P105,"")</f>
        <v>減少↓</v>
      </c>
      <c r="N105" s="328">
        <f>IF(売分析!O105&lt;&gt;"",売分析!O105,"")</f>
        <v>0.87138079528407397</v>
      </c>
      <c r="O105" s="330">
        <f>IF(売分析!X105&lt;&gt;"",売分析!X105,"")</f>
        <v>6.0435171291084089</v>
      </c>
      <c r="P105" s="327">
        <f>IF(売分析!L105&lt;&gt;"",売分析!L105,"")</f>
        <v>-29.342105263157897</v>
      </c>
      <c r="Q105" s="326">
        <f>IF(売分析!S105&lt;&gt;"",売分析!S105,"")</f>
        <v>558</v>
      </c>
      <c r="R105" s="326">
        <f>IF(売分析!R105&lt;&gt;"",売分析!R105,"")</f>
        <v>494</v>
      </c>
      <c r="S105" s="325" t="str">
        <f>IF(売分析!AA105&lt;&gt;"",売分析!AA105,"")</f>
        <v>上昇▲</v>
      </c>
      <c r="T105" s="331">
        <f>IF(売分析!Z105&lt;&gt;"",売分析!Z105,"")</f>
        <v>2.0912547528517109</v>
      </c>
      <c r="U105" s="325" t="str">
        <f>IF(売分析!V105&lt;&gt;"",売分析!V105,"")</f>
        <v>安値圏</v>
      </c>
      <c r="V105" s="329">
        <f>IF(売分析!W105&lt;&gt;"",売分析!W105,"")</f>
        <v>59.751972942502803</v>
      </c>
      <c r="W105" s="325" t="str">
        <f>IF(売分析!AD105&lt;&gt;"",売分析!AD105,"")</f>
        <v>パーフェクト▲</v>
      </c>
      <c r="X105" s="325" t="str">
        <f>IF(売分析!AE105&lt;&gt;"",売分析!AE105,"")</f>
        <v>なし</v>
      </c>
      <c r="Y105" s="387">
        <f>IF(売分析!T105&lt;&gt;"",売分析!T105,"")</f>
        <v>2</v>
      </c>
      <c r="Z105" s="325" t="str">
        <f>IF(売分析!Y105&lt;&gt;"",売分析!Y105,"")</f>
        <v>相場上昇・見送り | パーフェクト▲ MACD+ RSI:59.8 前日比:+2.1% [安値圏] [2点]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4600</v>
      </c>
      <c r="F106" s="333">
        <f>IF(売分析!F106&lt;&gt;"",売分析!F106,"")</f>
        <v>4690</v>
      </c>
      <c r="G106" s="333">
        <f>IF(売分析!H106&lt;&gt;"",売分析!H106,"")</f>
        <v>4765</v>
      </c>
      <c r="H106" s="333">
        <f>IF(売分析!I106&lt;&gt;"",売分析!I106,"")</f>
        <v>4550</v>
      </c>
      <c r="I106" s="212">
        <f>IF(売分析!J106&lt;&gt;"",売分析!J106,"")</f>
        <v>116100</v>
      </c>
      <c r="J106" s="333">
        <f>IF(売分析!AB106&lt;&gt;"",売分析!AB106,"")</f>
        <v>4560.1267281105993</v>
      </c>
      <c r="K106" s="333">
        <f>IF(売分析!AC106&lt;&gt;"",売分析!AC106,"")</f>
        <v>4221.1442193086987</v>
      </c>
      <c r="L106" s="333">
        <f>IF(売分析!K106&lt;&gt;"",売分析!K106,"")</f>
        <v>5020</v>
      </c>
      <c r="M106" s="212" t="str">
        <f>IF(売分析!P106&lt;&gt;"",売分析!P106,"")</f>
        <v>普通→</v>
      </c>
      <c r="N106" s="335">
        <f>IF(売分析!O106&lt;&gt;"",売分析!O106,"")</f>
        <v>1.1591453674121406</v>
      </c>
      <c r="O106" s="337">
        <f>IF(売分析!X106&lt;&gt;"",売分析!X106,"")</f>
        <v>18.641273846817057</v>
      </c>
      <c r="P106" s="334">
        <f>IF(売分析!L106&lt;&gt;"",売分析!L106,"")</f>
        <v>-8.3665338645418323</v>
      </c>
      <c r="Q106" s="333">
        <f>IF(売分析!S106&lt;&gt;"",売分析!S106,"")</f>
        <v>4784</v>
      </c>
      <c r="R106" s="333">
        <f>IF(売分析!R106&lt;&gt;"",売分析!R106,"")</f>
        <v>4232</v>
      </c>
      <c r="S106" s="212" t="str">
        <f>IF(売分析!AA106&lt;&gt;"",売分析!AA106,"")</f>
        <v>下落▼</v>
      </c>
      <c r="T106" s="338">
        <f>IF(売分析!Z106&lt;&gt;"",売分析!Z106,"")</f>
        <v>-0.4329004329004329</v>
      </c>
      <c r="U106" s="212" t="str">
        <f>IF(売分析!V106&lt;&gt;"",売分析!V106,"")</f>
        <v>通常</v>
      </c>
      <c r="V106" s="336">
        <f>IF(売分析!W106&lt;&gt;"",売分析!W106,"")</f>
        <v>51.465798045602604</v>
      </c>
      <c r="W106" s="212" t="str">
        <f>IF(売分析!AD106&lt;&gt;"",売分析!AD106,"")</f>
        <v>パーフェクト▲</v>
      </c>
      <c r="X106" s="212" t="str">
        <f>IF(売分析!AE106&lt;&gt;"",売分析!AE106,"")</f>
        <v>なし</v>
      </c>
      <c r="Y106" s="388">
        <f>IF(売分析!T106&lt;&gt;"",売分析!T106,"")</f>
        <v>0</v>
      </c>
      <c r="Z106" s="212" t="str">
        <f>IF(売分析!Y106&lt;&gt;"",売分析!Y106,"")</f>
        <v>相場上昇・見送り | パーフェクト▲ MACD+ RSI:51.5 前日比:-0.4% [0点]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1022</v>
      </c>
      <c r="F107" s="326">
        <f>IF(売分析!F107&lt;&gt;"",売分析!F107,"")</f>
        <v>1021</v>
      </c>
      <c r="G107" s="326">
        <f>IF(売分析!H107&lt;&gt;"",売分析!H107,"")</f>
        <v>1028</v>
      </c>
      <c r="H107" s="326">
        <f>IF(売分析!I107&lt;&gt;"",売分析!I107,"")</f>
        <v>1014</v>
      </c>
      <c r="I107" s="325">
        <f>IF(売分析!J107&lt;&gt;"",売分析!J107,"")</f>
        <v>166200</v>
      </c>
      <c r="J107" s="326">
        <f>IF(売分析!AB107&lt;&gt;"",売分析!AB107,"")</f>
        <v>1020.6785714285713</v>
      </c>
      <c r="K107" s="326">
        <f>IF(売分析!AC107&lt;&gt;"",売分析!AC107,"")</f>
        <v>1016.4779499404046</v>
      </c>
      <c r="L107" s="326">
        <f>IF(売分析!K107&lt;&gt;"",売分析!K107,"")</f>
        <v>1343</v>
      </c>
      <c r="M107" s="325" t="str">
        <f>IF(売分析!P107&lt;&gt;"",売分析!P107,"")</f>
        <v>減少↓</v>
      </c>
      <c r="N107" s="328">
        <f>IF(売分析!O107&lt;&gt;"",売分析!O107,"")</f>
        <v>0.76308539944903586</v>
      </c>
      <c r="O107" s="330">
        <f>IF(売分析!X107&lt;&gt;"",売分析!X107,"")</f>
        <v>2.578276063828298</v>
      </c>
      <c r="P107" s="327">
        <f>IF(売分析!L107&lt;&gt;"",売分析!L107,"")</f>
        <v>-23.901712583767683</v>
      </c>
      <c r="Q107" s="326">
        <f>IF(売分析!S107&lt;&gt;"",売分析!S107,"")</f>
        <v>1063</v>
      </c>
      <c r="R107" s="326">
        <f>IF(売分析!R107&lt;&gt;"",売分析!R107,"")</f>
        <v>940</v>
      </c>
      <c r="S107" s="325" t="str">
        <f>IF(売分析!AA107&lt;&gt;"",売分析!AA107,"")</f>
        <v>上昇▲</v>
      </c>
      <c r="T107" s="331">
        <f>IF(売分析!Z107&lt;&gt;"",売分析!Z107,"")</f>
        <v>0.19607843137254902</v>
      </c>
      <c r="U107" s="325" t="str">
        <f>IF(売分析!V107&lt;&gt;"",売分析!V107,"")</f>
        <v>通常</v>
      </c>
      <c r="V107" s="329">
        <f>IF(売分析!W107&lt;&gt;"",売分析!W107,"")</f>
        <v>51.948051948051948</v>
      </c>
      <c r="W107" s="325" t="str">
        <f>IF(売分析!AD107&lt;&gt;"",売分析!AD107,"")</f>
        <v>パーフェクト▲</v>
      </c>
      <c r="X107" s="325" t="str">
        <f>IF(売分析!AE107&lt;&gt;"",売分析!AE107,"")</f>
        <v>なし</v>
      </c>
      <c r="Y107" s="387">
        <f>IF(売分析!T107&lt;&gt;"",売分析!T107,"")</f>
        <v>0</v>
      </c>
      <c r="Z107" s="325" t="str">
        <f>IF(売分析!Y107&lt;&gt;"",売分析!Y107,"")</f>
        <v>相場上昇・見送り | パーフェクト▲ MACD+ RSI:51.9 前日比:+0.2% [0点]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7400</v>
      </c>
      <c r="F108" s="333">
        <f>IF(売分析!F108&lt;&gt;"",売分析!F108,"")</f>
        <v>7080</v>
      </c>
      <c r="G108" s="333">
        <f>IF(売分析!H108&lt;&gt;"",売分析!H108,"")</f>
        <v>7430</v>
      </c>
      <c r="H108" s="333">
        <f>IF(売分析!I108&lt;&gt;"",売分析!I108,"")</f>
        <v>6950</v>
      </c>
      <c r="I108" s="212">
        <f>IF(売分析!J108&lt;&gt;"",売分析!J108,"")</f>
        <v>895500</v>
      </c>
      <c r="J108" s="333">
        <f>IF(売分析!AB108&lt;&gt;"",売分析!AB108,"")</f>
        <v>7133.8364055299535</v>
      </c>
      <c r="K108" s="333">
        <f>IF(売分析!AC108&lt;&gt;"",売分析!AC108,"")</f>
        <v>6440.0715137067918</v>
      </c>
      <c r="L108" s="333">
        <f>IF(売分析!K108&lt;&gt;"",売分析!K108,"")</f>
        <v>9190</v>
      </c>
      <c r="M108" s="212" t="str">
        <f>IF(売分析!P108&lt;&gt;"",売分析!P108,"")</f>
        <v>減少↓</v>
      </c>
      <c r="N108" s="335">
        <f>IF(売分析!O108&lt;&gt;"",売分析!O108,"")</f>
        <v>0.82413031474323584</v>
      </c>
      <c r="O108" s="337">
        <f>IF(売分析!X108&lt;&gt;"",売分析!X108,"")</f>
        <v>-55.548342414991566</v>
      </c>
      <c r="P108" s="334">
        <f>IF(売分析!L108&lt;&gt;"",売分析!L108,"")</f>
        <v>-19.477693144722526</v>
      </c>
      <c r="Q108" s="333">
        <f>IF(売分析!S108&lt;&gt;"",売分析!S108,"")</f>
        <v>7696</v>
      </c>
      <c r="R108" s="333">
        <f>IF(売分析!R108&lt;&gt;"",売分析!R108,"")</f>
        <v>6808</v>
      </c>
      <c r="S108" s="212" t="str">
        <f>IF(売分析!AA108&lt;&gt;"",売分析!AA108,"")</f>
        <v>上昇▲</v>
      </c>
      <c r="T108" s="338">
        <f>IF(売分析!Z108&lt;&gt;"",売分析!Z108,"")</f>
        <v>0.27100271002710025</v>
      </c>
      <c r="U108" s="212" t="str">
        <f>IF(売分析!V108&lt;&gt;"",売分析!V108,"")</f>
        <v>通常</v>
      </c>
      <c r="V108" s="336">
        <f>IF(売分析!W108&lt;&gt;"",売分析!W108,"")</f>
        <v>49.94753410283316</v>
      </c>
      <c r="W108" s="212" t="str">
        <f>IF(売分析!AD108&lt;&gt;"",売分析!AD108,"")</f>
        <v>パーフェクト▲</v>
      </c>
      <c r="X108" s="212" t="str">
        <f>IF(売分析!AE108&lt;&gt;"",売分析!AE108,"")</f>
        <v>なし</v>
      </c>
      <c r="Y108" s="388">
        <f>IF(売分析!T108&lt;&gt;"",売分析!T108,"")</f>
        <v>4</v>
      </c>
      <c r="Z108" s="212" t="str">
        <f>IF(売分析!Y108&lt;&gt;"",売分析!Y108,"")</f>
        <v>相場上昇・見送り | パーフェクト▲ MACD- RSI:49.9 前日比:+0.3% [4点]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2918</v>
      </c>
      <c r="F109" s="326">
        <f>IF(売分析!F109&lt;&gt;"",売分析!F109,"")</f>
        <v>3150</v>
      </c>
      <c r="G109" s="326">
        <f>IF(売分析!H109&lt;&gt;"",売分析!H109,"")</f>
        <v>3150</v>
      </c>
      <c r="H109" s="326">
        <f>IF(売分析!I109&lt;&gt;"",売分析!I109,"")</f>
        <v>2873</v>
      </c>
      <c r="I109" s="325">
        <f>IF(売分析!J109&lt;&gt;"",売分析!J109,"")</f>
        <v>21267600</v>
      </c>
      <c r="J109" s="326">
        <f>IF(売分析!AB109&lt;&gt;"",売分析!AB109,"")</f>
        <v>2028.691244239631</v>
      </c>
      <c r="K109" s="326">
        <f>IF(売分析!AC109&lt;&gt;"",売分析!AC109,"")</f>
        <v>568.64243146603076</v>
      </c>
      <c r="L109" s="326">
        <f>IF(売分析!K109&lt;&gt;"",売分析!K109,"")</f>
        <v>4580</v>
      </c>
      <c r="M109" s="325" t="str">
        <f>IF(売分析!P109&lt;&gt;"",売分析!P109,"")</f>
        <v>普通→</v>
      </c>
      <c r="N109" s="328">
        <f>IF(売分析!O109&lt;&gt;"",売分析!O109,"")</f>
        <v>1.3110626847453866</v>
      </c>
      <c r="O109" s="330">
        <f>IF(売分析!X109&lt;&gt;"",売分析!X109,"")</f>
        <v>200.68570763297123</v>
      </c>
      <c r="P109" s="327">
        <f>IF(売分析!L109&lt;&gt;"",売分析!L109,"")</f>
        <v>-36.288209606986896</v>
      </c>
      <c r="Q109" s="326">
        <f>IF(売分析!S109&lt;&gt;"",売分析!S109,"")</f>
        <v>3035</v>
      </c>
      <c r="R109" s="326">
        <f>IF(売分析!R109&lt;&gt;"",売分析!R109,"")</f>
        <v>2685</v>
      </c>
      <c r="S109" s="325" t="str">
        <f>IF(売分析!AA109&lt;&gt;"",売分析!AA109,"")</f>
        <v>下落▼</v>
      </c>
      <c r="T109" s="331">
        <f>IF(売分析!Z109&lt;&gt;"",売分析!Z109,"")</f>
        <v>-17.918424753867793</v>
      </c>
      <c r="U109" s="325" t="str">
        <f>IF(売分析!V109&lt;&gt;"",売分析!V109,"")</f>
        <v>安値圏</v>
      </c>
      <c r="V109" s="329">
        <f>IF(売分析!W109&lt;&gt;"",売分析!W109,"")</f>
        <v>50</v>
      </c>
      <c r="W109" s="325" t="str">
        <f>IF(売分析!AD109&lt;&gt;"",売分析!AD109,"")</f>
        <v>パーフェクト▲</v>
      </c>
      <c r="X109" s="325" t="str">
        <f>IF(売分析!AE109&lt;&gt;"",売分析!AE109,"")</f>
        <v>なし</v>
      </c>
      <c r="Y109" s="387">
        <f>IF(売分析!T109&lt;&gt;"",売分析!T109,"")</f>
        <v>8</v>
      </c>
      <c r="Z109" s="325" t="str">
        <f>IF(売分析!Y109&lt;&gt;"",売分析!Y109,"")</f>
        <v>相場上昇・見送り | パーフェクト▲ MACD+ RSI:50.0 前日比:-17.9% [安値圏] [大陰線▼] [8点]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2660</v>
      </c>
      <c r="F110" s="333">
        <f>IF(売分析!F110&lt;&gt;"",売分析!F110,"")</f>
        <v>2612</v>
      </c>
      <c r="G110" s="333">
        <f>IF(売分析!H110&lt;&gt;"",売分析!H110,"")</f>
        <v>2666.5</v>
      </c>
      <c r="H110" s="333">
        <f>IF(売分析!I110&lt;&gt;"",売分析!I110,"")</f>
        <v>2604.5</v>
      </c>
      <c r="I110" s="212">
        <f>IF(売分析!J110&lt;&gt;"",売分析!J110,"")</f>
        <v>6881900</v>
      </c>
      <c r="J110" s="333">
        <f>IF(売分析!AB110&lt;&gt;"",売分析!AB110,"")</f>
        <v>2596.2384792626722</v>
      </c>
      <c r="K110" s="333">
        <f>IF(売分析!AC110&lt;&gt;"",売分析!AC110,"")</f>
        <v>2704.346245530392</v>
      </c>
      <c r="L110" s="333">
        <f>IF(売分析!K110&lt;&gt;"",売分析!K110,"")</f>
        <v>3625</v>
      </c>
      <c r="M110" s="212" t="str">
        <f>IF(売分析!P110&lt;&gt;"",売分析!P110,"")</f>
        <v>減少↓</v>
      </c>
      <c r="N110" s="335">
        <f>IF(売分析!O110&lt;&gt;"",売分析!O110,"")</f>
        <v>0.68583210920854099</v>
      </c>
      <c r="O110" s="337">
        <f>IF(売分析!X110&lt;&gt;"",売分析!X110,"")</f>
        <v>-10.568278611202004</v>
      </c>
      <c r="P110" s="334">
        <f>IF(売分析!L110&lt;&gt;"",売分析!L110,"")</f>
        <v>-26.620689655172413</v>
      </c>
      <c r="Q110" s="333">
        <f>IF(売分析!S110&lt;&gt;"",売分析!S110,"")</f>
        <v>2766</v>
      </c>
      <c r="R110" s="333">
        <f>IF(売分析!R110&lt;&gt;"",売分析!R110,"")</f>
        <v>2447</v>
      </c>
      <c r="S110" s="212" t="str">
        <f>IF(売分析!AA110&lt;&gt;"",売分析!AA110,"")</f>
        <v>上昇▲</v>
      </c>
      <c r="T110" s="338">
        <f>IF(売分析!Z110&lt;&gt;"",売分析!Z110,"")</f>
        <v>2.9013539651837523</v>
      </c>
      <c r="U110" s="212" t="str">
        <f>IF(売分析!V110&lt;&gt;"",売分析!V110,"")</f>
        <v>安値圏</v>
      </c>
      <c r="V110" s="336">
        <f>IF(売分析!W110&lt;&gt;"",売分析!W110,"")</f>
        <v>44.369645042839657</v>
      </c>
      <c r="W110" s="212" t="str">
        <f>IF(売分析!AD110&lt;&gt;"",売分析!AD110,"")</f>
        <v>もみ合い→</v>
      </c>
      <c r="X110" s="212" t="str">
        <f>IF(売分析!AE110&lt;&gt;"",売分析!AE110,"")</f>
        <v>25日戻り売り★</v>
      </c>
      <c r="Y110" s="388">
        <f>IF(売分析!T110&lt;&gt;"",売分析!T110,"")</f>
        <v>7</v>
      </c>
      <c r="Z110" s="212" t="str">
        <f>IF(売分析!Y110&lt;&gt;"",売分析!Y110,"")</f>
        <v>○逆張り売り | もみ合い→ 25日戻り売り★ MACD- RSI:44.4 前日比:+2.9% [安値圏] [7点]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1614</v>
      </c>
      <c r="F111" s="326">
        <f>IF(売分析!F111&lt;&gt;"",売分析!F111,"")</f>
        <v>1665</v>
      </c>
      <c r="G111" s="326">
        <f>IF(売分析!H111&lt;&gt;"",売分析!H111,"")</f>
        <v>1755</v>
      </c>
      <c r="H111" s="326">
        <f>IF(売分析!I111&lt;&gt;"",売分析!I111,"")</f>
        <v>1601</v>
      </c>
      <c r="I111" s="325">
        <f>IF(売分析!J111&lt;&gt;"",売分析!J111,"")</f>
        <v>772100</v>
      </c>
      <c r="J111" s="326">
        <f>IF(売分析!AB111&lt;&gt;"",売分析!AB111,"")</f>
        <v>1640.8525345622118</v>
      </c>
      <c r="K111" s="326">
        <f>IF(売分析!AC111&lt;&gt;"",売分析!AC111,"")</f>
        <v>1658.4040524433844</v>
      </c>
      <c r="L111" s="326">
        <f>IF(売分析!K111&lt;&gt;"",売分析!K111,"")</f>
        <v>2580</v>
      </c>
      <c r="M111" s="325" t="str">
        <f>IF(売分析!P111&lt;&gt;"",売分析!P111,"")</f>
        <v>減少↓</v>
      </c>
      <c r="N111" s="328">
        <f>IF(売分析!O111&lt;&gt;"",売分析!O111,"")</f>
        <v>0.56575707837505129</v>
      </c>
      <c r="O111" s="330">
        <f>IF(売分析!X111&lt;&gt;"",売分析!X111,"")</f>
        <v>-21.131679396908794</v>
      </c>
      <c r="P111" s="327">
        <f>IF(売分析!L111&lt;&gt;"",売分析!L111,"")</f>
        <v>-37.441860465116278</v>
      </c>
      <c r="Q111" s="326">
        <f>IF(売分析!S111&lt;&gt;"",売分析!S111,"")</f>
        <v>1679</v>
      </c>
      <c r="R111" s="326">
        <f>IF(売分析!R111&lt;&gt;"",売分析!R111,"")</f>
        <v>1485</v>
      </c>
      <c r="S111" s="325" t="str">
        <f>IF(売分析!AA111&lt;&gt;"",売分析!AA111,"")</f>
        <v>下落▼</v>
      </c>
      <c r="T111" s="331">
        <f>IF(売分析!Z111&lt;&gt;"",売分析!Z111,"")</f>
        <v>-2.8880866425992782</v>
      </c>
      <c r="U111" s="325" t="str">
        <f>IF(売分析!V111&lt;&gt;"",売分析!V111,"")</f>
        <v>安値圏</v>
      </c>
      <c r="V111" s="329">
        <f>IF(売分析!W111&lt;&gt;"",売分析!W111,"")</f>
        <v>44.370546318289783</v>
      </c>
      <c r="W111" s="325" t="str">
        <f>IF(売分析!AD111&lt;&gt;"",売分析!AD111,"")</f>
        <v>下降トレンド▼</v>
      </c>
      <c r="X111" s="325" t="str">
        <f>IF(売分析!AE111&lt;&gt;"",売分析!AE111,"")</f>
        <v>なし</v>
      </c>
      <c r="Y111" s="387">
        <f>IF(売分析!T111&lt;&gt;"",売分析!T111,"")</f>
        <v>9</v>
      </c>
      <c r="Z111" s="325" t="str">
        <f>IF(売分析!Y111&lt;&gt;"",売分析!Y111,"")</f>
        <v>相場上昇・見送り | 下降トレンド▼ MACD- RSI:44.4 前日比:-2.9% [安値圏] [9点]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4600</v>
      </c>
      <c r="F112" s="333">
        <f>IF(売分析!F112&lt;&gt;"",売分析!F112,"")</f>
        <v>4350</v>
      </c>
      <c r="G112" s="333">
        <f>IF(売分析!H112&lt;&gt;"",売分析!H112,"")</f>
        <v>4640</v>
      </c>
      <c r="H112" s="333">
        <f>IF(売分析!I112&lt;&gt;"",売分析!I112,"")</f>
        <v>4250</v>
      </c>
      <c r="I112" s="212">
        <f>IF(売分析!J112&lt;&gt;"",売分析!J112,"")</f>
        <v>57300</v>
      </c>
      <c r="J112" s="333">
        <f>IF(売分析!AB112&lt;&gt;"",売分析!AB112,"")</f>
        <v>4422.8456221198157</v>
      </c>
      <c r="K112" s="333">
        <f>IF(売分析!AC112&lt;&gt;"",売分析!AC112,"")</f>
        <v>4322.2109654350406</v>
      </c>
      <c r="L112" s="333">
        <f>IF(売分析!K112&lt;&gt;"",売分析!K112,"")</f>
        <v>4700</v>
      </c>
      <c r="M112" s="212" t="str">
        <f>IF(売分析!P112&lt;&gt;"",売分析!P112,"")</f>
        <v>減少↓</v>
      </c>
      <c r="N112" s="335">
        <f>IF(売分析!O112&lt;&gt;"",売分析!O112,"")</f>
        <v>0.81857142857142862</v>
      </c>
      <c r="O112" s="337">
        <f>IF(売分析!X112&lt;&gt;"",売分析!X112,"")</f>
        <v>34.685369309701855</v>
      </c>
      <c r="P112" s="334">
        <f>IF(売分析!L112&lt;&gt;"",売分析!L112,"")</f>
        <v>-2.1276595744680851</v>
      </c>
      <c r="Q112" s="333">
        <f>IF(売分析!S112&lt;&gt;"",売分析!S112,"")</f>
        <v>4784</v>
      </c>
      <c r="R112" s="333">
        <f>IF(売分析!R112&lt;&gt;"",売分析!R112,"")</f>
        <v>4232</v>
      </c>
      <c r="S112" s="212" t="str">
        <f>IF(売分析!AA112&lt;&gt;"",売分析!AA112,"")</f>
        <v>上昇▲</v>
      </c>
      <c r="T112" s="338">
        <f>IF(売分析!Z112&lt;&gt;"",売分析!Z112,"")</f>
        <v>5.3837342497136316</v>
      </c>
      <c r="U112" s="212" t="str">
        <f>IF(売分析!V112&lt;&gt;"",売分析!V112,"")</f>
        <v>通常</v>
      </c>
      <c r="V112" s="336">
        <f>IF(売分析!W112&lt;&gt;"",売分析!W112,"")</f>
        <v>50</v>
      </c>
      <c r="W112" s="212" t="str">
        <f>IF(売分析!AD112&lt;&gt;"",売分析!AD112,"")</f>
        <v>パーフェクト▲</v>
      </c>
      <c r="X112" s="212" t="str">
        <f>IF(売分析!AE112&lt;&gt;"",売分析!AE112,"")</f>
        <v>なし</v>
      </c>
      <c r="Y112" s="388">
        <f>IF(売分析!T112&lt;&gt;"",売分析!T112,"")</f>
        <v>-1</v>
      </c>
      <c r="Z112" s="212" t="str">
        <f>IF(売分析!Y112&lt;&gt;"",売分析!Y112,"")</f>
        <v>相場上昇・見送り | パーフェクト▲ MACD+ RSI:50.0 前日比:+5.4%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32930</v>
      </c>
      <c r="F113" s="326">
        <f>IF(売分析!F113&lt;&gt;"",売分析!F113,"")</f>
        <v>32500</v>
      </c>
      <c r="G113" s="326">
        <f>IF(売分析!H113&lt;&gt;"",売分析!H113,"")</f>
        <v>33200</v>
      </c>
      <c r="H113" s="326">
        <f>IF(売分析!I113&lt;&gt;"",売分析!I113,"")</f>
        <v>31910</v>
      </c>
      <c r="I113" s="325">
        <f>IF(売分析!J113&lt;&gt;"",売分析!J113,"")</f>
        <v>7818100</v>
      </c>
      <c r="J113" s="326">
        <f>IF(売分析!AB113&lt;&gt;"",売分析!AB113,"")</f>
        <v>32599.193548387091</v>
      </c>
      <c r="K113" s="326">
        <f>IF(売分析!AC113&lt;&gt;"",売分析!AC113,"")</f>
        <v>30024.207389749692</v>
      </c>
      <c r="L113" s="326">
        <f>IF(売分析!K113&lt;&gt;"",売分析!K113,"")</f>
        <v>35940</v>
      </c>
      <c r="M113" s="325" t="str">
        <f>IF(売分析!P113&lt;&gt;"",売分析!P113,"")</f>
        <v>減少↓</v>
      </c>
      <c r="N113" s="328">
        <f>IF(売分析!O113&lt;&gt;"",売分析!O113,"")</f>
        <v>0.70802655292018724</v>
      </c>
      <c r="O113" s="330">
        <f>IF(売分析!X113&lt;&gt;"",売分析!X113,"")</f>
        <v>272.34657039712329</v>
      </c>
      <c r="P113" s="327">
        <f>IF(売分析!L113&lt;&gt;"",売分析!L113,"")</f>
        <v>-8.3750695603784084</v>
      </c>
      <c r="Q113" s="326">
        <f>IF(売分析!S113&lt;&gt;"",売分析!S113,"")</f>
        <v>34247</v>
      </c>
      <c r="R113" s="326">
        <f>IF(売分析!R113&lt;&gt;"",売分析!R113,"")</f>
        <v>30296</v>
      </c>
      <c r="S113" s="325" t="str">
        <f>IF(売分析!AA113&lt;&gt;"",売分析!AA113,"")</f>
        <v>下落▼</v>
      </c>
      <c r="T113" s="331">
        <f>IF(売分析!Z113&lt;&gt;"",売分析!Z113,"")</f>
        <v>-2.34282325029656</v>
      </c>
      <c r="U113" s="325" t="str">
        <f>IF(売分析!V113&lt;&gt;"",売分析!V113,"")</f>
        <v>通常</v>
      </c>
      <c r="V113" s="329">
        <f>IF(売分析!W113&lt;&gt;"",売分析!W113,"")</f>
        <v>54.508363933088532</v>
      </c>
      <c r="W113" s="325" t="str">
        <f>IF(売分析!AD113&lt;&gt;"",売分析!AD113,"")</f>
        <v>パーフェクト▲</v>
      </c>
      <c r="X113" s="325" t="str">
        <f>IF(売分析!AE113&lt;&gt;"",売分析!AE113,"")</f>
        <v>なし</v>
      </c>
      <c r="Y113" s="387">
        <f>IF(売分析!T113&lt;&gt;"",売分析!T113,"")</f>
        <v>1</v>
      </c>
      <c r="Z113" s="325" t="str">
        <f>IF(売分析!Y113&lt;&gt;"",売分析!Y113,"")</f>
        <v>相場上昇・見送り | パーフェクト▲ MACD+ RSI:54.5 前日比:-2.3% [1点]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1075</v>
      </c>
      <c r="F114" s="333">
        <f>IF(売分析!F114&lt;&gt;"",売分析!F114,"")</f>
        <v>1075</v>
      </c>
      <c r="G114" s="333">
        <f>IF(売分析!H114&lt;&gt;"",売分析!H114,"")</f>
        <v>1084</v>
      </c>
      <c r="H114" s="333">
        <f>IF(売分析!I114&lt;&gt;"",売分析!I114,"")</f>
        <v>1069</v>
      </c>
      <c r="I114" s="212">
        <f>IF(売分析!J114&lt;&gt;"",売分析!J114,"")</f>
        <v>104000</v>
      </c>
      <c r="J114" s="333">
        <f>IF(売分析!AB114&lt;&gt;"",売分析!AB114,"")</f>
        <v>1072.7707373271887</v>
      </c>
      <c r="K114" s="333">
        <f>IF(売分析!AC114&lt;&gt;"",売分析!AC114,"")</f>
        <v>1046.4410011918947</v>
      </c>
      <c r="L114" s="333">
        <f>IF(売分析!K114&lt;&gt;"",売分析!K114,"")</f>
        <v>1267</v>
      </c>
      <c r="M114" s="212" t="str">
        <f>IF(売分析!P114&lt;&gt;"",売分析!P114,"")</f>
        <v>減少↓</v>
      </c>
      <c r="N114" s="335">
        <f>IF(売分析!O114&lt;&gt;"",売分析!O114,"")</f>
        <v>0.45174181217965426</v>
      </c>
      <c r="O114" s="337">
        <f>IF(売分析!X114&lt;&gt;"",売分析!X114,"")</f>
        <v>-8.8209434044867976</v>
      </c>
      <c r="P114" s="334">
        <f>IF(売分析!L114&lt;&gt;"",売分析!L114,"")</f>
        <v>-15.153906866614051</v>
      </c>
      <c r="Q114" s="333">
        <f>IF(売分析!S114&lt;&gt;"",売分析!S114,"")</f>
        <v>1118</v>
      </c>
      <c r="R114" s="333">
        <f>IF(売分析!R114&lt;&gt;"",売分析!R114,"")</f>
        <v>989</v>
      </c>
      <c r="S114" s="212" t="str">
        <f>IF(売分析!AA114&lt;&gt;"",売分析!AA114,"")</f>
        <v>上昇▲</v>
      </c>
      <c r="T114" s="338">
        <f>IF(売分析!Z114&lt;&gt;"",売分析!Z114,"")</f>
        <v>0.27985074626865669</v>
      </c>
      <c r="U114" s="212" t="str">
        <f>IF(売分析!V114&lt;&gt;"",売分析!V114,"")</f>
        <v>通常</v>
      </c>
      <c r="V114" s="336">
        <f>IF(売分析!W114&lt;&gt;"",売分析!W114,"")</f>
        <v>49.073675140025856</v>
      </c>
      <c r="W114" s="212" t="str">
        <f>IF(売分析!AD114&lt;&gt;"",売分析!AD114,"")</f>
        <v>パーフェクト▲</v>
      </c>
      <c r="X114" s="212" t="str">
        <f>IF(売分析!AE114&lt;&gt;"",売分析!AE114,"")</f>
        <v>なし</v>
      </c>
      <c r="Y114" s="388">
        <f>IF(売分析!T114&lt;&gt;"",売分析!T114,"")</f>
        <v>4</v>
      </c>
      <c r="Z114" s="212" t="str">
        <f>IF(売分析!Y114&lt;&gt;"",売分析!Y114,"")</f>
        <v>相場上昇・見送り | パーフェクト▲ MACD- RSI:49.1 前日比:+0.3% [4点]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1018</v>
      </c>
      <c r="F115" s="326">
        <f>IF(売分析!F115&lt;&gt;"",売分析!F115,"")</f>
        <v>1010</v>
      </c>
      <c r="G115" s="326">
        <f>IF(売分析!H115&lt;&gt;"",売分析!H115,"")</f>
        <v>1020</v>
      </c>
      <c r="H115" s="326">
        <f>IF(売分析!I115&lt;&gt;"",売分析!I115,"")</f>
        <v>1008</v>
      </c>
      <c r="I115" s="325">
        <f>IF(売分析!J115&lt;&gt;"",売分析!J115,"")</f>
        <v>46700</v>
      </c>
      <c r="J115" s="326">
        <f>IF(売分析!AB115&lt;&gt;"",売分析!AB115,"")</f>
        <v>1016.4631336405529</v>
      </c>
      <c r="K115" s="326">
        <f>IF(売分析!AC115&lt;&gt;"",売分析!AC115,"")</f>
        <v>1077.4433849821214</v>
      </c>
      <c r="L115" s="326">
        <f>IF(売分析!K115&lt;&gt;"",売分析!K115,"")</f>
        <v>1161</v>
      </c>
      <c r="M115" s="325" t="str">
        <f>IF(売分析!P115&lt;&gt;"",売分析!P115,"")</f>
        <v>減少↓</v>
      </c>
      <c r="N115" s="328">
        <f>IF(売分析!O115&lt;&gt;"",売分析!O115,"")</f>
        <v>0.38461538461538464</v>
      </c>
      <c r="O115" s="330">
        <f>IF(売分析!X115&lt;&gt;"",売分析!X115,"")</f>
        <v>-8.4495341089559588</v>
      </c>
      <c r="P115" s="327">
        <f>IF(売分析!L115&lt;&gt;"",売分析!L115,"")</f>
        <v>-12.316968130921619</v>
      </c>
      <c r="Q115" s="326">
        <f>IF(売分析!S115&lt;&gt;"",売分析!S115,"")</f>
        <v>1059</v>
      </c>
      <c r="R115" s="326">
        <f>IF(売分析!R115&lt;&gt;"",売分析!R115,"")</f>
        <v>937</v>
      </c>
      <c r="S115" s="325" t="str">
        <f>IF(売分析!AA115&lt;&gt;"",売分析!AA115,"")</f>
        <v>上昇▲</v>
      </c>
      <c r="T115" s="331">
        <f>IF(売分析!Z115&lt;&gt;"",売分析!Z115,"")</f>
        <v>0.6923837784371909</v>
      </c>
      <c r="U115" s="325" t="str">
        <f>IF(売分析!V115&lt;&gt;"",売分析!V115,"")</f>
        <v>通常</v>
      </c>
      <c r="V115" s="329">
        <f>IF(売分析!W115&lt;&gt;"",売分析!W115,"")</f>
        <v>26.984126984126974</v>
      </c>
      <c r="W115" s="325" t="str">
        <f>IF(売分析!AD115&lt;&gt;"",売分析!AD115,"")</f>
        <v>もみ合い→</v>
      </c>
      <c r="X115" s="325" t="str">
        <f>IF(売分析!AE115&lt;&gt;"",売分析!AE115,"")</f>
        <v>なし</v>
      </c>
      <c r="Y115" s="387">
        <f>IF(売分析!T115&lt;&gt;"",売分析!T115,"")</f>
        <v>4</v>
      </c>
      <c r="Z115" s="325" t="str">
        <f>IF(売分析!Y115&lt;&gt;"",売分析!Y115,"")</f>
        <v>相場上昇・見送り | もみ合い→ MACD- RSI:27.0 [売られ過ぎ] 前日比:+0.7% [4点]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3055</v>
      </c>
      <c r="F116" s="333">
        <f>IF(売分析!F116&lt;&gt;"",売分析!F116,"")</f>
        <v>2999</v>
      </c>
      <c r="G116" s="333">
        <f>IF(売分析!H116&lt;&gt;"",売分析!H116,"")</f>
        <v>3060</v>
      </c>
      <c r="H116" s="333">
        <f>IF(売分析!I116&lt;&gt;"",売分析!I116,"")</f>
        <v>2999</v>
      </c>
      <c r="I116" s="212">
        <f>IF(売分析!J116&lt;&gt;"",売分析!J116,"")</f>
        <v>101500</v>
      </c>
      <c r="J116" s="333">
        <f>IF(売分析!AB116&lt;&gt;"",売分析!AB116,"")</f>
        <v>3021.6244239631337</v>
      </c>
      <c r="K116" s="333">
        <f>IF(売分析!AC116&lt;&gt;"",売分析!AC116,"")</f>
        <v>3083.5816448152541</v>
      </c>
      <c r="L116" s="333">
        <f>IF(売分析!K116&lt;&gt;"",売分析!K116,"")</f>
        <v>3330</v>
      </c>
      <c r="M116" s="212" t="str">
        <f>IF(売分析!P116&lt;&gt;"",売分析!P116,"")</f>
        <v>減少↓</v>
      </c>
      <c r="N116" s="335">
        <f>IF(売分析!O116&lt;&gt;"",売分析!O116,"")</f>
        <v>0.4209173094467944</v>
      </c>
      <c r="O116" s="337">
        <f>IF(売分析!X116&lt;&gt;"",売分析!X116,"")</f>
        <v>-3.5127906097372943</v>
      </c>
      <c r="P116" s="334">
        <f>IF(売分析!L116&lt;&gt;"",売分析!L116,"")</f>
        <v>-8.2582582582582589</v>
      </c>
      <c r="Q116" s="333">
        <f>IF(売分析!S116&lt;&gt;"",売分析!S116,"")</f>
        <v>3177</v>
      </c>
      <c r="R116" s="333">
        <f>IF(売分析!R116&lt;&gt;"",売分析!R116,"")</f>
        <v>2811</v>
      </c>
      <c r="S116" s="212" t="str">
        <f>IF(売分析!AA116&lt;&gt;"",売分析!AA116,"")</f>
        <v>上昇▲</v>
      </c>
      <c r="T116" s="338">
        <f>IF(売分析!Z116&lt;&gt;"",売分析!Z116,"")</f>
        <v>1.6638935108153077</v>
      </c>
      <c r="U116" s="212" t="str">
        <f>IF(売分析!V116&lt;&gt;"",売分析!V116,"")</f>
        <v>通常</v>
      </c>
      <c r="V116" s="336">
        <f>IF(売分析!W116&lt;&gt;"",売分析!W116,"")</f>
        <v>40.476190476190482</v>
      </c>
      <c r="W116" s="212" t="str">
        <f>IF(売分析!AD116&lt;&gt;"",売分析!AD116,"")</f>
        <v>もみ合い→</v>
      </c>
      <c r="X116" s="212" t="str">
        <f>IF(売分析!AE116&lt;&gt;"",売分析!AE116,"")</f>
        <v>25日戻り売り★</v>
      </c>
      <c r="Y116" s="388">
        <f>IF(売分析!T116&lt;&gt;"",売分析!T116,"")</f>
        <v>6</v>
      </c>
      <c r="Z116" s="212" t="str">
        <f>IF(売分析!Y116&lt;&gt;"",売分析!Y116,"")</f>
        <v>○逆張り売り | もみ合い→ 25日戻り売り★ MACD- RSI:40.5 前日比:+1.7%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2508</v>
      </c>
      <c r="F117" s="326">
        <f>IF(売分析!F117&lt;&gt;"",売分析!F117,"")</f>
        <v>2506</v>
      </c>
      <c r="G117" s="326">
        <f>IF(売分析!H117&lt;&gt;"",売分析!H117,"")</f>
        <v>2585</v>
      </c>
      <c r="H117" s="326">
        <f>IF(売分析!I117&lt;&gt;"",売分析!I117,"")</f>
        <v>2475</v>
      </c>
      <c r="I117" s="325">
        <f>IF(売分析!J117&lt;&gt;"",売分析!J117,"")</f>
        <v>240800</v>
      </c>
      <c r="J117" s="326">
        <f>IF(売分析!AB117&lt;&gt;"",売分析!AB117,"")</f>
        <v>2474.7592165898614</v>
      </c>
      <c r="K117" s="326">
        <f>IF(売分析!AC117&lt;&gt;"",売分析!AC117,"")</f>
        <v>2494.8367103694864</v>
      </c>
      <c r="L117" s="326">
        <f>IF(売分析!K117&lt;&gt;"",売分析!K117,"")</f>
        <v>3245</v>
      </c>
      <c r="M117" s="325" t="str">
        <f>IF(売分析!P117&lt;&gt;"",売分析!P117,"")</f>
        <v>増加↑</v>
      </c>
      <c r="N117" s="328">
        <f>IF(売分析!O117&lt;&gt;"",売分析!O117,"")</f>
        <v>1.6792189679218967</v>
      </c>
      <c r="O117" s="330">
        <f>IF(売分析!X117&lt;&gt;"",売分析!X117,"")</f>
        <v>-17.928798872786047</v>
      </c>
      <c r="P117" s="327">
        <f>IF(売分析!L117&lt;&gt;"",売分析!L117,"")</f>
        <v>-22.711864406779661</v>
      </c>
      <c r="Q117" s="326">
        <f>IF(売分析!S117&lt;&gt;"",売分析!S117,"")</f>
        <v>2608</v>
      </c>
      <c r="R117" s="326">
        <f>IF(売分析!R117&lt;&gt;"",売分析!R117,"")</f>
        <v>2307</v>
      </c>
      <c r="S117" s="325" t="str">
        <f>IF(売分析!AA117&lt;&gt;"",売分析!AA117,"")</f>
        <v>上昇▲</v>
      </c>
      <c r="T117" s="331">
        <f>IF(売分析!Z117&lt;&gt;"",売分析!Z117,"")</f>
        <v>0.15974440894568689</v>
      </c>
      <c r="U117" s="325" t="str">
        <f>IF(売分析!V117&lt;&gt;"",売分析!V117,"")</f>
        <v>通常</v>
      </c>
      <c r="V117" s="329">
        <f>IF(売分析!W117&lt;&gt;"",売分析!W117,"")</f>
        <v>41.92307692307692</v>
      </c>
      <c r="W117" s="325" t="str">
        <f>IF(売分析!AD117&lt;&gt;"",売分析!AD117,"")</f>
        <v>上昇トレンド▲</v>
      </c>
      <c r="X117" s="325" t="str">
        <f>IF(売分析!AE117&lt;&gt;"",売分析!AE117,"")</f>
        <v>なし</v>
      </c>
      <c r="Y117" s="387">
        <f>IF(売分析!T117&lt;&gt;"",売分析!T117,"")</f>
        <v>7</v>
      </c>
      <c r="Z117" s="325" t="str">
        <f>IF(売分析!Y117&lt;&gt;"",売分析!Y117,"")</f>
        <v>相場上昇・見送り | 上昇トレンド▲ MACD- RSI:41.9 前日比:+0.2% [7点]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2869</v>
      </c>
      <c r="F118" s="333">
        <f>IF(売分析!F118&lt;&gt;"",売分析!F118,"")</f>
        <v>2833</v>
      </c>
      <c r="G118" s="333">
        <f>IF(売分析!H118&lt;&gt;"",売分析!H118,"")</f>
        <v>2900</v>
      </c>
      <c r="H118" s="333">
        <f>IF(売分析!I118&lt;&gt;"",売分析!I118,"")</f>
        <v>2833</v>
      </c>
      <c r="I118" s="212">
        <f>IF(売分析!J118&lt;&gt;"",売分析!J118,"")</f>
        <v>109700</v>
      </c>
      <c r="J118" s="333">
        <f>IF(売分析!AB118&lt;&gt;"",売分析!AB118,"")</f>
        <v>2850.9389400921659</v>
      </c>
      <c r="K118" s="333">
        <f>IF(売分析!AC118&lt;&gt;"",売分析!AC118,"")</f>
        <v>2797.3921334922525</v>
      </c>
      <c r="L118" s="333">
        <f>IF(売分析!K118&lt;&gt;"",売分析!K118,"")</f>
        <v>4280</v>
      </c>
      <c r="M118" s="212" t="str">
        <f>IF(売分析!P118&lt;&gt;"",売分析!P118,"")</f>
        <v>減少↓</v>
      </c>
      <c r="N118" s="335">
        <f>IF(売分析!O118&lt;&gt;"",売分析!O118,"")</f>
        <v>0.86637182119728318</v>
      </c>
      <c r="O118" s="337">
        <f>IF(売分析!X118&lt;&gt;"",売分析!X118,"")</f>
        <v>27.708733516692064</v>
      </c>
      <c r="P118" s="334">
        <f>IF(売分析!L118&lt;&gt;"",売分析!L118,"")</f>
        <v>-32.967289719626166</v>
      </c>
      <c r="Q118" s="333">
        <f>IF(売分析!S118&lt;&gt;"",売分析!S118,"")</f>
        <v>2984</v>
      </c>
      <c r="R118" s="333">
        <f>IF(売分析!R118&lt;&gt;"",売分析!R118,"")</f>
        <v>2639</v>
      </c>
      <c r="S118" s="212" t="str">
        <f>IF(売分析!AA118&lt;&gt;"",売分析!AA118,"")</f>
        <v>上昇▲</v>
      </c>
      <c r="T118" s="338">
        <f>IF(売分析!Z118&lt;&gt;"",売分析!Z118,"")</f>
        <v>1.2707377338510413</v>
      </c>
      <c r="U118" s="212" t="str">
        <f>IF(売分析!V118&lt;&gt;"",売分析!V118,"")</f>
        <v>安値圏</v>
      </c>
      <c r="V118" s="336">
        <f>IF(売分析!W118&lt;&gt;"",売分析!W118,"")</f>
        <v>64.403292181069958</v>
      </c>
      <c r="W118" s="212" t="str">
        <f>IF(売分析!AD118&lt;&gt;"",売分析!AD118,"")</f>
        <v>パーフェクト▲</v>
      </c>
      <c r="X118" s="212" t="str">
        <f>IF(売分析!AE118&lt;&gt;"",売分析!AE118,"")</f>
        <v>なし</v>
      </c>
      <c r="Y118" s="388">
        <f>IF(売分析!T118&lt;&gt;"",売分析!T118,"")</f>
        <v>4</v>
      </c>
      <c r="Z118" s="212" t="str">
        <f>IF(売分析!Y118&lt;&gt;"",売分析!Y118,"")</f>
        <v>相場上昇・見送り | パーフェクト▲ MACD+ RSI:64.4 前日比:+1.3% [安値圏] [4点]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1750.5</v>
      </c>
      <c r="F119" s="326">
        <f>IF(売分析!F119&lt;&gt;"",売分析!F119,"")</f>
        <v>1721</v>
      </c>
      <c r="G119" s="326">
        <f>IF(売分析!H119&lt;&gt;"",売分析!H119,"")</f>
        <v>1758</v>
      </c>
      <c r="H119" s="326">
        <f>IF(売分析!I119&lt;&gt;"",売分析!I119,"")</f>
        <v>1709</v>
      </c>
      <c r="I119" s="325">
        <f>IF(売分析!J119&lt;&gt;"",売分析!J119,"")</f>
        <v>1888700</v>
      </c>
      <c r="J119" s="326">
        <f>IF(売分析!AB119&lt;&gt;"",売分析!AB119,"")</f>
        <v>1730.9498847926266</v>
      </c>
      <c r="K119" s="326">
        <f>IF(売分析!AC119&lt;&gt;"",売分析!AC119,"")</f>
        <v>1716.4988081048866</v>
      </c>
      <c r="L119" s="326">
        <f>IF(売分析!K119&lt;&gt;"",売分析!K119,"")</f>
        <v>1797.5</v>
      </c>
      <c r="M119" s="325" t="str">
        <f>IF(売分析!P119&lt;&gt;"",売分析!P119,"")</f>
        <v>減少↓</v>
      </c>
      <c r="N119" s="328">
        <f>IF(売分析!O119&lt;&gt;"",売分析!O119,"")</f>
        <v>0.88716344437555195</v>
      </c>
      <c r="O119" s="330">
        <f>IF(売分析!X119&lt;&gt;"",売分析!X119,"")</f>
        <v>16.304830261225106</v>
      </c>
      <c r="P119" s="327">
        <f>IF(売分析!L119&lt;&gt;"",売分析!L119,"")</f>
        <v>-2.6147426981919333</v>
      </c>
      <c r="Q119" s="326">
        <f>IF(売分析!S119&lt;&gt;"",売分析!S119,"")</f>
        <v>1821</v>
      </c>
      <c r="R119" s="326">
        <f>IF(売分析!R119&lt;&gt;"",売分析!R119,"")</f>
        <v>1610</v>
      </c>
      <c r="S119" s="325" t="str">
        <f>IF(売分析!AA119&lt;&gt;"",売分析!AA119,"")</f>
        <v>上昇▲</v>
      </c>
      <c r="T119" s="331">
        <f>IF(売分析!Z119&lt;&gt;"",売分析!Z119,"")</f>
        <v>1.7141196978500872</v>
      </c>
      <c r="U119" s="325" t="str">
        <f>IF(売分析!V119&lt;&gt;"",売分析!V119,"")</f>
        <v>通常</v>
      </c>
      <c r="V119" s="329">
        <f>IF(売分析!W119&lt;&gt;"",売分析!W119,"")</f>
        <v>55.231930960086295</v>
      </c>
      <c r="W119" s="325" t="str">
        <f>IF(売分析!AD119&lt;&gt;"",売分析!AD119,"")</f>
        <v>パーフェクト▲</v>
      </c>
      <c r="X119" s="325" t="str">
        <f>IF(売分析!AE119&lt;&gt;"",売分析!AE119,"")</f>
        <v>なし</v>
      </c>
      <c r="Y119" s="387">
        <f>IF(売分析!T119&lt;&gt;"",売分析!T119,"")</f>
        <v>-1</v>
      </c>
      <c r="Z119" s="325" t="str">
        <f>IF(売分析!Y119&lt;&gt;"",売分析!Y119,"")</f>
        <v>相場上昇・見送り | パーフェクト▲ MACD+ RSI:55.2 前日比:+1.7% [-1点]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61590</v>
      </c>
      <c r="F120" s="333">
        <f>IF(売分析!F120&lt;&gt;"",売分析!F120,"")</f>
        <v>61800</v>
      </c>
      <c r="G120" s="333">
        <f>IF(売分析!H120&lt;&gt;"",売分析!H120,"")</f>
        <v>63000</v>
      </c>
      <c r="H120" s="333">
        <f>IF(売分析!I120&lt;&gt;"",売分析!I120,"")</f>
        <v>60700</v>
      </c>
      <c r="I120" s="212">
        <f>IF(売分析!J120&lt;&gt;"",売分析!J120,"")</f>
        <v>1569200</v>
      </c>
      <c r="J120" s="333">
        <f>IF(売分析!AB120&lt;&gt;"",売分析!AB120,"")</f>
        <v>61662.016129032258</v>
      </c>
      <c r="K120" s="333">
        <f>IF(売分析!AC120&lt;&gt;"",売分析!AC120,"")</f>
        <v>63292.264600715112</v>
      </c>
      <c r="L120" s="333">
        <f>IF(売分析!K120&lt;&gt;"",売分析!K120,"")</f>
        <v>91680</v>
      </c>
      <c r="M120" s="212" t="str">
        <f>IF(売分析!P120&lt;&gt;"",売分析!P120,"")</f>
        <v>減少↓</v>
      </c>
      <c r="N120" s="335">
        <f>IF(売分析!O120&lt;&gt;"",売分析!O120,"")</f>
        <v>0.67779332745900933</v>
      </c>
      <c r="O120" s="337">
        <f>IF(売分析!X120&lt;&gt;"",売分析!X120,"")</f>
        <v>-1755.6264552875655</v>
      </c>
      <c r="P120" s="334">
        <f>IF(売分析!L120&lt;&gt;"",売分析!L120,"")</f>
        <v>-32.82068062827225</v>
      </c>
      <c r="Q120" s="333">
        <f>IF(売分析!S120&lt;&gt;"",売分析!S120,"")</f>
        <v>64054</v>
      </c>
      <c r="R120" s="333">
        <f>IF(売分析!R120&lt;&gt;"",売分析!R120,"")</f>
        <v>56663</v>
      </c>
      <c r="S120" s="212" t="str">
        <f>IF(売分析!AA120&lt;&gt;"",売分析!AA120,"")</f>
        <v>下落▼</v>
      </c>
      <c r="T120" s="338">
        <f>IF(売分析!Z120&lt;&gt;"",売分析!Z120,"")</f>
        <v>-3.3730781299027299</v>
      </c>
      <c r="U120" s="212" t="str">
        <f>IF(売分析!V120&lt;&gt;"",売分析!V120,"")</f>
        <v>安値圏</v>
      </c>
      <c r="V120" s="336">
        <f>IF(売分析!W120&lt;&gt;"",売分析!W120,"")</f>
        <v>39.658444022770396</v>
      </c>
      <c r="W120" s="212" t="str">
        <f>IF(売分析!AD120&lt;&gt;"",売分析!AD120,"")</f>
        <v>下降トレンド▼</v>
      </c>
      <c r="X120" s="212" t="str">
        <f>IF(売分析!AE120&lt;&gt;"",売分析!AE120,"")</f>
        <v>5日戻り売り○</v>
      </c>
      <c r="Y120" s="388">
        <f>IF(売分析!T120&lt;&gt;"",売分析!T120,"")</f>
        <v>14</v>
      </c>
      <c r="Z120" s="212" t="str">
        <f>IF(売分析!Y120&lt;&gt;"",売分析!Y120,"")</f>
        <v>★逆張り売り | 下降トレンド▼ 5日戻り売り○ MACD- RSI:39.7 前日比:-3.4% [安値圏] [14点]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5135</v>
      </c>
      <c r="F121" s="326">
        <f>IF(売分析!F121&lt;&gt;"",売分析!F121,"")</f>
        <v>5170</v>
      </c>
      <c r="G121" s="326">
        <f>IF(売分析!H121&lt;&gt;"",売分析!H121,"")</f>
        <v>5315</v>
      </c>
      <c r="H121" s="326">
        <f>IF(売分析!I121&lt;&gt;"",売分析!I121,"")</f>
        <v>5129</v>
      </c>
      <c r="I121" s="325">
        <f>IF(売分析!J121&lt;&gt;"",売分析!J121,"")</f>
        <v>2747900</v>
      </c>
      <c r="J121" s="326">
        <f>IF(売分析!AB121&lt;&gt;"",売分析!AB121,"")</f>
        <v>5227.3064516129034</v>
      </c>
      <c r="K121" s="326">
        <f>IF(売分析!AC121&lt;&gt;"",売分析!AC121,"")</f>
        <v>5487.6162097735369</v>
      </c>
      <c r="L121" s="326">
        <f>IF(売分析!K121&lt;&gt;"",売分析!K121,"")</f>
        <v>8040</v>
      </c>
      <c r="M121" s="325" t="str">
        <f>IF(売分析!P121&lt;&gt;"",売分析!P121,"")</f>
        <v>普通→</v>
      </c>
      <c r="N121" s="328">
        <f>IF(売分析!O121&lt;&gt;"",売分析!O121,"")</f>
        <v>1.1746977650860964</v>
      </c>
      <c r="O121" s="330">
        <f>IF(売分析!X121&lt;&gt;"",売分析!X121,"")</f>
        <v>-68.3282372561589</v>
      </c>
      <c r="P121" s="327">
        <f>IF(売分析!L121&lt;&gt;"",売分析!L121,"")</f>
        <v>-36.131840796019901</v>
      </c>
      <c r="Q121" s="326">
        <f>IF(売分析!S121&lt;&gt;"",売分析!S121,"")</f>
        <v>5340</v>
      </c>
      <c r="R121" s="326">
        <f>IF(売分析!R121&lt;&gt;"",売分析!R121,"")</f>
        <v>4724</v>
      </c>
      <c r="S121" s="325" t="str">
        <f>IF(売分析!AA121&lt;&gt;"",売分析!AA121,"")</f>
        <v>下落▼</v>
      </c>
      <c r="T121" s="331">
        <f>IF(売分析!Z121&lt;&gt;"",売分析!Z121,"")</f>
        <v>-2.2277227722772275</v>
      </c>
      <c r="U121" s="325" t="str">
        <f>IF(売分析!V121&lt;&gt;"",売分析!V121,"")</f>
        <v>安値圏</v>
      </c>
      <c r="V121" s="329">
        <f>IF(売分析!W121&lt;&gt;"",売分析!W121,"")</f>
        <v>26.826826826826832</v>
      </c>
      <c r="W121" s="325" t="str">
        <f>IF(売分析!AD121&lt;&gt;"",売分析!AD121,"")</f>
        <v>下降トレンド▼</v>
      </c>
      <c r="X121" s="325" t="str">
        <f>IF(売分析!AE121&lt;&gt;"",売分析!AE121,"")</f>
        <v>なし</v>
      </c>
      <c r="Y121" s="387">
        <f>IF(売分析!T121&lt;&gt;"",売分析!T121,"")</f>
        <v>15</v>
      </c>
      <c r="Z121" s="325" t="str">
        <f>IF(売分析!Y121&lt;&gt;"",売分析!Y121,"")</f>
        <v>相場上昇・見送り | 下降トレンド▼ MACD- RSI:26.8 [売られ過ぎ] 前日比:-2.2% [安値圏] [上ヒゲ陰線▼] [15点]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1718</v>
      </c>
      <c r="F122" s="333">
        <f>IF(売分析!F122&lt;&gt;"",売分析!F122,"")</f>
        <v>1681</v>
      </c>
      <c r="G122" s="333">
        <f>IF(売分析!H122&lt;&gt;"",売分析!H122,"")</f>
        <v>1718</v>
      </c>
      <c r="H122" s="333">
        <f>IF(売分析!I122&lt;&gt;"",売分析!I122,"")</f>
        <v>1622</v>
      </c>
      <c r="I122" s="212">
        <f>IF(売分析!J122&lt;&gt;"",売分析!J122,"")</f>
        <v>2647000</v>
      </c>
      <c r="J122" s="333">
        <f>IF(売分析!AB122&lt;&gt;"",売分析!AB122,"")</f>
        <v>1711.0092165898618</v>
      </c>
      <c r="K122" s="333">
        <f>IF(売分析!AC122&lt;&gt;"",売分析!AC122,"")</f>
        <v>1640.8998808104875</v>
      </c>
      <c r="L122" s="333">
        <f>IF(売分析!K122&lt;&gt;"",売分析!K122,"")</f>
        <v>2819</v>
      </c>
      <c r="M122" s="212" t="str">
        <f>IF(売分析!P122&lt;&gt;"",売分析!P122,"")</f>
        <v>増加↑</v>
      </c>
      <c r="N122" s="335">
        <f>IF(売分析!O122&lt;&gt;"",売分析!O122,"")</f>
        <v>1.6432012316249502</v>
      </c>
      <c r="O122" s="337">
        <f>IF(売分析!X122&lt;&gt;"",売分析!X122,"")</f>
        <v>0.53590604961846111</v>
      </c>
      <c r="P122" s="334">
        <f>IF(売分析!L122&lt;&gt;"",売分析!L122,"")</f>
        <v>-39.056402979780067</v>
      </c>
      <c r="Q122" s="333">
        <f>IF(売分析!S122&lt;&gt;"",売分析!S122,"")</f>
        <v>1787</v>
      </c>
      <c r="R122" s="333">
        <f>IF(売分析!R122&lt;&gt;"",売分析!R122,"")</f>
        <v>1581</v>
      </c>
      <c r="S122" s="212" t="str">
        <f>IF(売分析!AA122&lt;&gt;"",売分析!AA122,"")</f>
        <v>上昇▲</v>
      </c>
      <c r="T122" s="338">
        <f>IF(売分析!Z122&lt;&gt;"",売分析!Z122,"")</f>
        <v>1.5966883500887048</v>
      </c>
      <c r="U122" s="212" t="str">
        <f>IF(売分析!V122&lt;&gt;"",売分析!V122,"")</f>
        <v>年初来安値圏●</v>
      </c>
      <c r="V122" s="336">
        <f>IF(売分析!W122&lt;&gt;"",売分析!W122,"")</f>
        <v>49.815108293713685</v>
      </c>
      <c r="W122" s="212" t="str">
        <f>IF(売分析!AD122&lt;&gt;"",売分析!AD122,"")</f>
        <v>パーフェクト▲</v>
      </c>
      <c r="X122" s="212" t="str">
        <f>IF(売分析!AE122&lt;&gt;"",売分析!AE122,"")</f>
        <v>なし</v>
      </c>
      <c r="Y122" s="388">
        <f>IF(売分析!T122&lt;&gt;"",売分析!T122,"")</f>
        <v>2</v>
      </c>
      <c r="Z122" s="212" t="str">
        <f>IF(売分析!Y122&lt;&gt;"",売分析!Y122,"")</f>
        <v>相場上昇・見送り | パーフェクト▲ MACD+ RSI:49.8 前日比:+1.6% [年初来安値圏] [長い下ヒゲ(反発警戒)] [2点]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873.8</v>
      </c>
      <c r="F123" s="326">
        <f>IF(売分析!F123&lt;&gt;"",売分析!F123,"")</f>
        <v>867.3</v>
      </c>
      <c r="G123" s="326">
        <f>IF(売分析!H123&lt;&gt;"",売分析!H123,"")</f>
        <v>875.8</v>
      </c>
      <c r="H123" s="326">
        <f>IF(売分析!I123&lt;&gt;"",売分析!I123,"")</f>
        <v>857.8</v>
      </c>
      <c r="I123" s="325">
        <f>IF(売分析!J123&lt;&gt;"",売分析!J123,"")</f>
        <v>4520900</v>
      </c>
      <c r="J123" s="326">
        <f>IF(売分析!AB123&lt;&gt;"",売分析!AB123,"")</f>
        <v>868.83790322580637</v>
      </c>
      <c r="K123" s="326">
        <f>IF(売分析!AC123&lt;&gt;"",売分析!AC123,"")</f>
        <v>861.56233611442167</v>
      </c>
      <c r="L123" s="326">
        <f>IF(売分析!K123&lt;&gt;"",売分析!K123,"")</f>
        <v>990.7</v>
      </c>
      <c r="M123" s="325" t="str">
        <f>IF(売分析!P123&lt;&gt;"",売分析!P123,"")</f>
        <v>減少↓</v>
      </c>
      <c r="N123" s="328">
        <f>IF(売分析!O123&lt;&gt;"",売分析!O123,"")</f>
        <v>0.80162633917647519</v>
      </c>
      <c r="O123" s="330">
        <f>IF(売分析!X123&lt;&gt;"",売分析!X123,"")</f>
        <v>7.2237467112989862</v>
      </c>
      <c r="P123" s="327">
        <f>IF(売分析!L123&lt;&gt;"",売分析!L123,"")</f>
        <v>-11.799737559301512</v>
      </c>
      <c r="Q123" s="326">
        <f>IF(売分析!S123&lt;&gt;"",売分析!S123,"")</f>
        <v>909</v>
      </c>
      <c r="R123" s="326">
        <f>IF(売分析!R123&lt;&gt;"",売分析!R123,"")</f>
        <v>804</v>
      </c>
      <c r="S123" s="325" t="str">
        <f>IF(売分析!AA123&lt;&gt;"",売分析!AA123,"")</f>
        <v>上昇▲</v>
      </c>
      <c r="T123" s="331">
        <f>IF(売分析!Z123&lt;&gt;"",売分析!Z123,"")</f>
        <v>2.5225859439164613</v>
      </c>
      <c r="U123" s="325" t="str">
        <f>IF(売分析!V123&lt;&gt;"",売分析!V123,"")</f>
        <v>通常</v>
      </c>
      <c r="V123" s="329">
        <f>IF(売分析!W123&lt;&gt;"",売分析!W123,"")</f>
        <v>59.553158705701044</v>
      </c>
      <c r="W123" s="325" t="str">
        <f>IF(売分析!AD123&lt;&gt;"",売分析!AD123,"")</f>
        <v>パーフェクト▲</v>
      </c>
      <c r="X123" s="325" t="str">
        <f>IF(売分析!AE123&lt;&gt;"",売分析!AE123,"")</f>
        <v>なし</v>
      </c>
      <c r="Y123" s="387">
        <f>IF(売分析!T123&lt;&gt;"",売分析!T123,"")</f>
        <v>-3</v>
      </c>
      <c r="Z123" s="325" t="str">
        <f>IF(売分析!Y123&lt;&gt;"",売分析!Y123,"")</f>
        <v>相場上昇・見送り | パーフェクト▲ MACD+ RSI:59.6 前日比:+2.5% [長い下ヒゲ(反発警戒)] [-3点]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3763</v>
      </c>
      <c r="F124" s="333">
        <f>IF(売分析!F124&lt;&gt;"",売分析!F124,"")</f>
        <v>3738</v>
      </c>
      <c r="G124" s="333">
        <f>IF(売分析!H124&lt;&gt;"",売分析!H124,"")</f>
        <v>3800</v>
      </c>
      <c r="H124" s="333">
        <f>IF(売分析!I124&lt;&gt;"",売分析!I124,"")</f>
        <v>3717</v>
      </c>
      <c r="I124" s="212">
        <f>IF(売分析!J124&lt;&gt;"",売分析!J124,"")</f>
        <v>521500</v>
      </c>
      <c r="J124" s="333">
        <f>IF(売分析!AB124&lt;&gt;"",売分析!AB124,"")</f>
        <v>3758.3352534562214</v>
      </c>
      <c r="K124" s="333">
        <f>IF(売分析!AC124&lt;&gt;"",売分析!AC124,"")</f>
        <v>3830.9129916567326</v>
      </c>
      <c r="L124" s="333">
        <f>IF(売分析!K124&lt;&gt;"",売分析!K124,"")</f>
        <v>4403</v>
      </c>
      <c r="M124" s="212" t="str">
        <f>IF(売分析!P124&lt;&gt;"",売分析!P124,"")</f>
        <v>普通→</v>
      </c>
      <c r="N124" s="335">
        <f>IF(売分析!O124&lt;&gt;"",売分析!O124,"")</f>
        <v>1.1933638443935928</v>
      </c>
      <c r="O124" s="337">
        <f>IF(売分析!X124&lt;&gt;"",売分析!X124,"")</f>
        <v>-2.9870302779422673</v>
      </c>
      <c r="P124" s="334">
        <f>IF(売分析!L124&lt;&gt;"",売分析!L124,"")</f>
        <v>-14.535543947308655</v>
      </c>
      <c r="Q124" s="333">
        <f>IF(売分析!S124&lt;&gt;"",売分析!S124,"")</f>
        <v>3914</v>
      </c>
      <c r="R124" s="333">
        <f>IF(売分析!R124&lt;&gt;"",売分析!R124,"")</f>
        <v>3462</v>
      </c>
      <c r="S124" s="212" t="str">
        <f>IF(売分析!AA124&lt;&gt;"",売分析!AA124,"")</f>
        <v>上昇▲</v>
      </c>
      <c r="T124" s="338">
        <f>IF(売分析!Z124&lt;&gt;"",売分析!Z124,"")</f>
        <v>1.3193322563274097</v>
      </c>
      <c r="U124" s="212" t="str">
        <f>IF(売分析!V124&lt;&gt;"",売分析!V124,"")</f>
        <v>通常</v>
      </c>
      <c r="V124" s="336">
        <f>IF(売分析!W124&lt;&gt;"",売分析!W124,"")</f>
        <v>40.1673640167364</v>
      </c>
      <c r="W124" s="212" t="str">
        <f>IF(売分析!AD124&lt;&gt;"",売分析!AD124,"")</f>
        <v>もみ合い→</v>
      </c>
      <c r="X124" s="212" t="str">
        <f>IF(売分析!AE124&lt;&gt;"",売分析!AE124,"")</f>
        <v>25日戻り売り★</v>
      </c>
      <c r="Y124" s="388">
        <f>IF(売分析!T124&lt;&gt;"",売分析!T124,"")</f>
        <v>4</v>
      </c>
      <c r="Z124" s="212" t="str">
        <f>IF(売分析!Y124&lt;&gt;"",売分析!Y124,"")</f>
        <v>○逆張り売り | もみ合い→ 25日戻り売り★ MACD- RSI:40.2 前日比:+1.3% [4点]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1876</v>
      </c>
      <c r="F125" s="326">
        <f>IF(売分析!F125&lt;&gt;"",売分析!F125,"")</f>
        <v>1856</v>
      </c>
      <c r="G125" s="326">
        <f>IF(売分析!H125&lt;&gt;"",売分析!H125,"")</f>
        <v>1910</v>
      </c>
      <c r="H125" s="326">
        <f>IF(売分析!I125&lt;&gt;"",売分析!I125,"")</f>
        <v>1851.5</v>
      </c>
      <c r="I125" s="325">
        <f>IF(売分析!J125&lt;&gt;"",売分析!J125,"")</f>
        <v>903500</v>
      </c>
      <c r="J125" s="326">
        <f>IF(売分析!AB125&lt;&gt;"",売分析!AB125,"")</f>
        <v>1869.5437788018432</v>
      </c>
      <c r="K125" s="326">
        <f>IF(売分析!AC125&lt;&gt;"",売分析!AC125,"")</f>
        <v>1891.2920143027409</v>
      </c>
      <c r="L125" s="326">
        <f>IF(売分析!K125&lt;&gt;"",売分析!K125,"")</f>
        <v>2254</v>
      </c>
      <c r="M125" s="325" t="str">
        <f>IF(売分析!P125&lt;&gt;"",売分析!P125,"")</f>
        <v>減少↓</v>
      </c>
      <c r="N125" s="328">
        <f>IF(売分析!O125&lt;&gt;"",売分析!O125,"")</f>
        <v>0.89513939802247011</v>
      </c>
      <c r="O125" s="330">
        <f>IF(売分析!X125&lt;&gt;"",売分析!X125,"")</f>
        <v>-43.355476259657053</v>
      </c>
      <c r="P125" s="327">
        <f>IF(売分析!L125&lt;&gt;"",売分析!L125,"")</f>
        <v>-16.770186335403729</v>
      </c>
      <c r="Q125" s="326">
        <f>IF(売分析!S125&lt;&gt;"",売分析!S125,"")</f>
        <v>1951</v>
      </c>
      <c r="R125" s="326">
        <f>IF(売分析!R125&lt;&gt;"",売分析!R125,"")</f>
        <v>1726</v>
      </c>
      <c r="S125" s="325" t="str">
        <f>IF(売分析!AA125&lt;&gt;"",売分析!AA125,"")</f>
        <v>上昇▲</v>
      </c>
      <c r="T125" s="331">
        <f>IF(売分析!Z125&lt;&gt;"",売分析!Z125,"")</f>
        <v>1.1048234977095122</v>
      </c>
      <c r="U125" s="325" t="str">
        <f>IF(売分析!V125&lt;&gt;"",売分析!V125,"")</f>
        <v>通常</v>
      </c>
      <c r="V125" s="329">
        <f>IF(売分析!W125&lt;&gt;"",売分析!W125,"")</f>
        <v>47.153623188405795</v>
      </c>
      <c r="W125" s="325" t="str">
        <f>IF(売分析!AD125&lt;&gt;"",売分析!AD125,"")</f>
        <v>もみ合い→</v>
      </c>
      <c r="X125" s="325" t="str">
        <f>IF(売分析!AE125&lt;&gt;"",売分析!AE125,"")</f>
        <v>25日戻り売り★</v>
      </c>
      <c r="Y125" s="387">
        <f>IF(売分析!T125&lt;&gt;"",売分析!T125,"")</f>
        <v>9</v>
      </c>
      <c r="Z125" s="325" t="str">
        <f>IF(売分析!Y125&lt;&gt;"",売分析!Y125,"")</f>
        <v>○逆張り売り | もみ合い→ 25日戻り売り★ MACD- RSI:47.2 前日比:+1.1% [9点]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5500</v>
      </c>
      <c r="F126" s="333">
        <f>IF(売分析!F126&lt;&gt;"",売分析!F126,"")</f>
        <v>5425</v>
      </c>
      <c r="G126" s="333">
        <f>IF(売分析!H126&lt;&gt;"",売分析!H126,"")</f>
        <v>5595</v>
      </c>
      <c r="H126" s="333">
        <f>IF(売分析!I126&lt;&gt;"",売分析!I126,"")</f>
        <v>5424</v>
      </c>
      <c r="I126" s="212">
        <f>IF(売分析!J126&lt;&gt;"",売分析!J126,"")</f>
        <v>11584500</v>
      </c>
      <c r="J126" s="333">
        <f>IF(売分析!AB126&lt;&gt;"",売分析!AB126,"")</f>
        <v>5438.4435483870966</v>
      </c>
      <c r="K126" s="333">
        <f>IF(売分析!AC126&lt;&gt;"",売分析!AC126,"")</f>
        <v>5077.4052443384953</v>
      </c>
      <c r="L126" s="333">
        <f>IF(売分析!K126&lt;&gt;"",売分析!K126,"")</f>
        <v>6039</v>
      </c>
      <c r="M126" s="212" t="str">
        <f>IF(売分析!P126&lt;&gt;"",売分析!P126,"")</f>
        <v>減少↓</v>
      </c>
      <c r="N126" s="335">
        <f>IF(売分析!O126&lt;&gt;"",売分析!O126,"")</f>
        <v>0.77368644611143167</v>
      </c>
      <c r="O126" s="337">
        <f>IF(売分析!X126&lt;&gt;"",売分析!X126,"")</f>
        <v>89.453132276440556</v>
      </c>
      <c r="P126" s="334">
        <f>IF(売分析!L126&lt;&gt;"",売分析!L126,"")</f>
        <v>-8.9253187613843341</v>
      </c>
      <c r="Q126" s="333">
        <f>IF(売分析!S126&lt;&gt;"",売分析!S126,"")</f>
        <v>5720</v>
      </c>
      <c r="R126" s="333">
        <f>IF(売分析!R126&lt;&gt;"",売分析!R126,"")</f>
        <v>5060</v>
      </c>
      <c r="S126" s="212" t="str">
        <f>IF(売分析!AA126&lt;&gt;"",売分析!AA126,"")</f>
        <v>上昇▲</v>
      </c>
      <c r="T126" s="338">
        <f>IF(売分析!Z126&lt;&gt;"",売分析!Z126,"")</f>
        <v>0.43827611395178961</v>
      </c>
      <c r="U126" s="212" t="str">
        <f>IF(売分析!V126&lt;&gt;"",売分析!V126,"")</f>
        <v>通常</v>
      </c>
      <c r="V126" s="336">
        <f>IF(売分析!W126&lt;&gt;"",売分析!W126,"")</f>
        <v>80.57553956834532</v>
      </c>
      <c r="W126" s="212" t="str">
        <f>IF(売分析!AD126&lt;&gt;"",売分析!AD126,"")</f>
        <v>パーフェクト▲</v>
      </c>
      <c r="X126" s="212" t="str">
        <f>IF(売分析!AE126&lt;&gt;"",売分析!AE126,"")</f>
        <v>なし</v>
      </c>
      <c r="Y126" s="388">
        <f>IF(売分析!T126&lt;&gt;"",売分析!T126,"")</f>
        <v>-1</v>
      </c>
      <c r="Z126" s="212" t="str">
        <f>IF(売分析!Y126&lt;&gt;"",売分析!Y126,"")</f>
        <v>△過熱・様子見 | パーフェクト▲ MACD+ RSI:80.6 [過熱] 前日比:+0.4%前日[長い下ヒゲ(反発)]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1446</v>
      </c>
      <c r="F127" s="326">
        <f>IF(売分析!F127&lt;&gt;"",売分析!F127,"")</f>
        <v>1260</v>
      </c>
      <c r="G127" s="326">
        <f>IF(売分析!H127&lt;&gt;"",売分析!H127,"")</f>
        <v>1530</v>
      </c>
      <c r="H127" s="326">
        <f>IF(売分析!I127&lt;&gt;"",売分析!I127,"")</f>
        <v>1251</v>
      </c>
      <c r="I127" s="325">
        <f>IF(売分析!J127&lt;&gt;"",売分析!J127,"")</f>
        <v>1206100</v>
      </c>
      <c r="J127" s="326">
        <f>IF(売分析!AB127&lt;&gt;"",売分析!AB127,"")</f>
        <v>1319.7465437788019</v>
      </c>
      <c r="K127" s="326">
        <f>IF(売分析!AC127&lt;&gt;"",売分析!AC127,"")</f>
        <v>1223.1597139451724</v>
      </c>
      <c r="L127" s="326">
        <f>IF(売分析!K127&lt;&gt;"",売分析!K127,"")</f>
        <v>1398</v>
      </c>
      <c r="M127" s="325" t="str">
        <f>IF(売分析!P127&lt;&gt;"",売分析!P127,"")</f>
        <v>急増↑↑</v>
      </c>
      <c r="N127" s="328">
        <f>IF(売分析!O127&lt;&gt;"",売分析!O127,"")</f>
        <v>3.1973384232013147</v>
      </c>
      <c r="O127" s="330">
        <f>IF(売分析!X127&lt;&gt;"",売分析!X127,"")</f>
        <v>-5.6683476689518102</v>
      </c>
      <c r="P127" s="327">
        <f>IF(売分析!L127&lt;&gt;"",売分析!L127,"")</f>
        <v>3.4334763948497855</v>
      </c>
      <c r="Q127" s="326">
        <f>IF(売分析!S127&lt;&gt;"",売分析!S127,"")</f>
        <v>1504</v>
      </c>
      <c r="R127" s="326">
        <f>IF(売分析!R127&lt;&gt;"",売分析!R127,"")</f>
        <v>1330</v>
      </c>
      <c r="S127" s="325" t="str">
        <f>IF(売分析!AA127&lt;&gt;"",売分析!AA127,"")</f>
        <v>上昇▲</v>
      </c>
      <c r="T127" s="331">
        <f>IF(売分析!Z127&lt;&gt;"",売分析!Z127,"")</f>
        <v>14.853057982525813</v>
      </c>
      <c r="U127" s="325" t="str">
        <f>IF(売分析!V127&lt;&gt;"",売分析!V127,"")</f>
        <v>通常</v>
      </c>
      <c r="V127" s="329">
        <f>IF(売分析!W127&lt;&gt;"",売分析!W127,"")</f>
        <v>49.006143838091795</v>
      </c>
      <c r="W127" s="325" t="str">
        <f>IF(売分析!AD127&lt;&gt;"",売分析!AD127,"")</f>
        <v>パーフェクト▲</v>
      </c>
      <c r="X127" s="325" t="str">
        <f>IF(売分析!AE127&lt;&gt;"",売分析!AE127,"")</f>
        <v>なし</v>
      </c>
      <c r="Y127" s="387">
        <f>IF(売分析!T127&lt;&gt;"",売分析!T127,"")</f>
        <v>2</v>
      </c>
      <c r="Z127" s="325" t="str">
        <f>IF(売分析!Y127&lt;&gt;"",売分析!Y127,"")</f>
        <v>相場上昇・見送り | パーフェクト▲ MACD- RSI:49.0 前日比:+14.9% [2点]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1738</v>
      </c>
      <c r="F128" s="333">
        <f>IF(売分析!F128&lt;&gt;"",売分析!F128,"")</f>
        <v>1720</v>
      </c>
      <c r="G128" s="333">
        <f>IF(売分析!H128&lt;&gt;"",売分析!H128,"")</f>
        <v>1743</v>
      </c>
      <c r="H128" s="333">
        <f>IF(売分析!I128&lt;&gt;"",売分析!I128,"")</f>
        <v>1713</v>
      </c>
      <c r="I128" s="212">
        <f>IF(売分析!J128&lt;&gt;"",売分析!J128,"")</f>
        <v>175300</v>
      </c>
      <c r="J128" s="333">
        <f>IF(売分析!AB128&lt;&gt;"",売分析!AB128,"")</f>
        <v>1734.989631336405</v>
      </c>
      <c r="K128" s="333">
        <f>IF(売分析!AC128&lt;&gt;"",売分析!AC128,"")</f>
        <v>1792.5792610250294</v>
      </c>
      <c r="L128" s="333">
        <f>IF(売分析!K128&lt;&gt;"",売分析!K128,"")</f>
        <v>1891</v>
      </c>
      <c r="M128" s="212" t="str">
        <f>IF(売分析!P128&lt;&gt;"",売分析!P128,"")</f>
        <v>減少↓</v>
      </c>
      <c r="N128" s="335">
        <f>IF(売分析!O128&lt;&gt;"",売分析!O128,"")</f>
        <v>0.76038865272837686</v>
      </c>
      <c r="O128" s="337">
        <f>IF(売分析!X128&lt;&gt;"",売分析!X128,"")</f>
        <v>-7.5489314955073041</v>
      </c>
      <c r="P128" s="334">
        <f>IF(売分析!L128&lt;&gt;"",売分析!L128,"")</f>
        <v>-8.0909571655208889</v>
      </c>
      <c r="Q128" s="333">
        <f>IF(売分析!S128&lt;&gt;"",売分析!S128,"")</f>
        <v>1808</v>
      </c>
      <c r="R128" s="333">
        <f>IF(売分析!R128&lt;&gt;"",売分析!R128,"")</f>
        <v>1599</v>
      </c>
      <c r="S128" s="212" t="str">
        <f>IF(売分析!AA128&lt;&gt;"",売分析!AA128,"")</f>
        <v>上昇▲</v>
      </c>
      <c r="T128" s="338">
        <f>IF(売分析!Z128&lt;&gt;"",売分析!Z128,"")</f>
        <v>1.4002333722287048</v>
      </c>
      <c r="U128" s="212" t="str">
        <f>IF(売分析!V128&lt;&gt;"",売分析!V128,"")</f>
        <v>通常</v>
      </c>
      <c r="V128" s="336">
        <f>IF(売分析!W128&lt;&gt;"",売分析!W128,"")</f>
        <v>34.294871794871796</v>
      </c>
      <c r="W128" s="212" t="str">
        <f>IF(売分析!AD128&lt;&gt;"",売分析!AD128,"")</f>
        <v>もみ合い→</v>
      </c>
      <c r="X128" s="212" t="str">
        <f>IF(売分析!AE128&lt;&gt;"",売分析!AE128,"")</f>
        <v>なし</v>
      </c>
      <c r="Y128" s="388">
        <f>IF(売分析!T128&lt;&gt;"",売分析!T128,"")</f>
        <v>4</v>
      </c>
      <c r="Z128" s="212" t="str">
        <f>IF(売分析!Y128&lt;&gt;"",売分析!Y128,"")</f>
        <v>相場上昇・見送り | もみ合い→ MACD- RSI:34.3 前日比:+1.4% [4点]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1488</v>
      </c>
      <c r="F129" s="326">
        <f>IF(売分析!F129&lt;&gt;"",売分析!F129,"")</f>
        <v>1488</v>
      </c>
      <c r="G129" s="326">
        <f>IF(売分析!H129&lt;&gt;"",売分析!H129,"")</f>
        <v>1507</v>
      </c>
      <c r="H129" s="326">
        <f>IF(売分析!I129&lt;&gt;"",売分析!I129,"")</f>
        <v>1475.5</v>
      </c>
      <c r="I129" s="325">
        <f>IF(売分析!J129&lt;&gt;"",売分析!J129,"")</f>
        <v>9906200</v>
      </c>
      <c r="J129" s="326">
        <f>IF(売分析!AB129&lt;&gt;"",売分析!AB129,"")</f>
        <v>1489.4821428571427</v>
      </c>
      <c r="K129" s="326">
        <f>IF(売分析!AC129&lt;&gt;"",売分析!AC129,"")</f>
        <v>1538.2675804529197</v>
      </c>
      <c r="L129" s="326">
        <f>IF(売分析!K129&lt;&gt;"",売分析!K129,"")</f>
        <v>2158</v>
      </c>
      <c r="M129" s="325" t="str">
        <f>IF(売分析!P129&lt;&gt;"",売分析!P129,"")</f>
        <v>減少↓</v>
      </c>
      <c r="N129" s="328">
        <f>IF(売分析!O129&lt;&gt;"",売分析!O129,"")</f>
        <v>0.93994386638757998</v>
      </c>
      <c r="O129" s="330">
        <f>IF(売分析!X129&lt;&gt;"",売分析!X129,"")</f>
        <v>-3.1877942914898085</v>
      </c>
      <c r="P129" s="327">
        <f>IF(売分析!L129&lt;&gt;"",売分析!L129,"")</f>
        <v>-31.047265987025025</v>
      </c>
      <c r="Q129" s="326">
        <f>IF(売分析!S129&lt;&gt;"",売分析!S129,"")</f>
        <v>1548</v>
      </c>
      <c r="R129" s="326">
        <f>IF(売分析!R129&lt;&gt;"",売分析!R129,"")</f>
        <v>1369</v>
      </c>
      <c r="S129" s="325" t="str">
        <f>IF(売分析!AA129&lt;&gt;"",売分析!AA129,"")</f>
        <v>上昇▲</v>
      </c>
      <c r="T129" s="331">
        <f>IF(売分析!Z129&lt;&gt;"",売分析!Z129,"")</f>
        <v>0.43874451569355388</v>
      </c>
      <c r="U129" s="325" t="str">
        <f>IF(売分析!V129&lt;&gt;"",売分析!V129,"")</f>
        <v>安値圏</v>
      </c>
      <c r="V129" s="329">
        <f>IF(売分析!W129&lt;&gt;"",売分析!W129,"")</f>
        <v>38.546603475513429</v>
      </c>
      <c r="W129" s="325" t="str">
        <f>IF(売分析!AD129&lt;&gt;"",売分析!AD129,"")</f>
        <v>下降トレンド▼</v>
      </c>
      <c r="X129" s="325" t="str">
        <f>IF(売分析!AE129&lt;&gt;"",売分析!AE129,"")</f>
        <v>5日戻り売り○</v>
      </c>
      <c r="Y129" s="387">
        <f>IF(売分析!T129&lt;&gt;"",売分析!T129,"")</f>
        <v>11</v>
      </c>
      <c r="Z129" s="325" t="str">
        <f>IF(売分析!Y129&lt;&gt;"",売分析!Y129,"")</f>
        <v>★逆張り売り | 下降トレンド▼ 5日戻り売り○ MACD- RSI:38.5 前日比:+0.4% [安値圏] [11点]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19550</v>
      </c>
      <c r="F130" s="333">
        <f>IF(売分析!F130&lt;&gt;"",売分析!F130,"")</f>
        <v>20710</v>
      </c>
      <c r="G130" s="333">
        <f>IF(売分析!H130&lt;&gt;"",売分析!H130,"")</f>
        <v>20810</v>
      </c>
      <c r="H130" s="333">
        <f>IF(売分析!I130&lt;&gt;"",売分析!I130,"")</f>
        <v>19450</v>
      </c>
      <c r="I130" s="212">
        <f>IF(売分析!J130&lt;&gt;"",売分析!J130,"")</f>
        <v>202200</v>
      </c>
      <c r="J130" s="333">
        <f>IF(売分析!AB130&lt;&gt;"",売分析!AB130,"")</f>
        <v>19662.096774193542</v>
      </c>
      <c r="K130" s="333">
        <f>IF(売分析!AC130&lt;&gt;"",売分析!AC130,"")</f>
        <v>18262.729439809289</v>
      </c>
      <c r="L130" s="333">
        <f>IF(売分析!K130&lt;&gt;"",売分析!K130,"")</f>
        <v>34700</v>
      </c>
      <c r="M130" s="212" t="str">
        <f>IF(売分析!P130&lt;&gt;"",売分析!P130,"")</f>
        <v>普通→</v>
      </c>
      <c r="N130" s="335">
        <f>IF(売分析!O130&lt;&gt;"",売分析!O130,"")</f>
        <v>1.1046765734265733</v>
      </c>
      <c r="O130" s="337">
        <f>IF(売分析!X130&lt;&gt;"",売分析!X130,"")</f>
        <v>-418.16338227742381</v>
      </c>
      <c r="P130" s="334">
        <f>IF(売分析!L130&lt;&gt;"",売分析!L130,"")</f>
        <v>-43.659942363112393</v>
      </c>
      <c r="Q130" s="333">
        <f>IF(売分析!S130&lt;&gt;"",売分析!S130,"")</f>
        <v>20332</v>
      </c>
      <c r="R130" s="333">
        <f>IF(売分析!R130&lt;&gt;"",売分析!R130,"")</f>
        <v>17986</v>
      </c>
      <c r="S130" s="212" t="str">
        <f>IF(売分析!AA130&lt;&gt;"",売分析!AA130,"")</f>
        <v>下落▼</v>
      </c>
      <c r="T130" s="338">
        <f>IF(売分析!Z130&lt;&gt;"",売分析!Z130,"")</f>
        <v>-8.8578088578088572</v>
      </c>
      <c r="U130" s="212" t="str">
        <f>IF(売分析!V130&lt;&gt;"",売分析!V130,"")</f>
        <v>年初来安値圏●</v>
      </c>
      <c r="V130" s="336">
        <f>IF(売分析!W130&lt;&gt;"",売分析!W130,"")</f>
        <v>49.602069239952243</v>
      </c>
      <c r="W130" s="212" t="str">
        <f>IF(売分析!AD130&lt;&gt;"",売分析!AD130,"")</f>
        <v>上昇トレンド▲</v>
      </c>
      <c r="X130" s="212" t="str">
        <f>IF(売分析!AE130&lt;&gt;"",売分析!AE130,"")</f>
        <v>5日戻り売り○</v>
      </c>
      <c r="Y130" s="388">
        <f>IF(売分析!T130&lt;&gt;"",売分析!T130,"")</f>
        <v>12</v>
      </c>
      <c r="Z130" s="212" t="str">
        <f>IF(売分析!Y130&lt;&gt;"",売分析!Y130,"")</f>
        <v>相場上昇・見送り | 上昇トレンド▲ 5日戻り売り○ MACD- RSI:49.6 前日比:-8.9% [年初来安値圏] [大陰線▼]前日[長い下ヒゲ(反発)]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313</v>
      </c>
      <c r="F131" s="326">
        <f>IF(売分析!F131&lt;&gt;"",売分析!F131,"")</f>
        <v>312</v>
      </c>
      <c r="G131" s="326">
        <f>IF(売分析!H131&lt;&gt;"",売分析!H131,"")</f>
        <v>315</v>
      </c>
      <c r="H131" s="326">
        <f>IF(売分析!I131&lt;&gt;"",売分析!I131,"")</f>
        <v>309</v>
      </c>
      <c r="I131" s="325">
        <f>IF(売分析!J131&lt;&gt;"",売分析!J131,"")</f>
        <v>80900</v>
      </c>
      <c r="J131" s="326">
        <f>IF(売分析!AB131&lt;&gt;"",売分析!AB131,"")</f>
        <v>313.33870967741933</v>
      </c>
      <c r="K131" s="326">
        <f>IF(売分析!AC131&lt;&gt;"",売分析!AC131,"")</f>
        <v>310.87485101311074</v>
      </c>
      <c r="L131" s="326">
        <f>IF(売分析!K131&lt;&gt;"",売分析!K131,"")</f>
        <v>995</v>
      </c>
      <c r="M131" s="325" t="str">
        <f>IF(売分析!P131&lt;&gt;"",売分析!P131,"")</f>
        <v>減少↓</v>
      </c>
      <c r="N131" s="328">
        <f>IF(売分析!O131&lt;&gt;"",売分析!O131,"")</f>
        <v>0.49870546171865365</v>
      </c>
      <c r="O131" s="330">
        <f>IF(売分析!X131&lt;&gt;"",売分析!X131,"")</f>
        <v>-0.56291618737543558</v>
      </c>
      <c r="P131" s="327">
        <f>IF(売分析!L131&lt;&gt;"",売分析!L131,"")</f>
        <v>-68.542713567839201</v>
      </c>
      <c r="Q131" s="326">
        <f>IF(売分析!S131&lt;&gt;"",売分析!S131,"")</f>
        <v>326</v>
      </c>
      <c r="R131" s="326">
        <f>IF(売分析!R131&lt;&gt;"",売分析!R131,"")</f>
        <v>288</v>
      </c>
      <c r="S131" s="325" t="str">
        <f>IF(売分析!AA131&lt;&gt;"",売分析!AA131,"")</f>
        <v>下落▼</v>
      </c>
      <c r="T131" s="331">
        <f>IF(売分析!Z131&lt;&gt;"",売分析!Z131,"")</f>
        <v>-0.63492063492063489</v>
      </c>
      <c r="U131" s="325" t="str">
        <f>IF(売分析!V131&lt;&gt;"",売分析!V131,"")</f>
        <v>年初来安値圏●</v>
      </c>
      <c r="V131" s="329">
        <f>IF(売分析!W131&lt;&gt;"",売分析!W131,"")</f>
        <v>38.775510204081634</v>
      </c>
      <c r="W131" s="325" t="str">
        <f>IF(売分析!AD131&lt;&gt;"",売分析!AD131,"")</f>
        <v>上昇トレンド▲</v>
      </c>
      <c r="X131" s="325" t="str">
        <f>IF(売分析!AE131&lt;&gt;"",売分析!AE131,"")</f>
        <v>5日戻り売り○</v>
      </c>
      <c r="Y131" s="387">
        <f>IF(売分析!T131&lt;&gt;"",売分析!T131,"")</f>
        <v>8</v>
      </c>
      <c r="Z131" s="325" t="str">
        <f>IF(売分析!Y131&lt;&gt;"",売分析!Y131,"")</f>
        <v>相場上昇・見送り | 上昇トレンド▲ 5日戻り売り○ MACD- RSI:38.8 前日比:-0.6% [年初来安値圏] [8点]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2614</v>
      </c>
      <c r="F132" s="333">
        <f>IF(売分析!F132&lt;&gt;"",売分析!F132,"")</f>
        <v>2638</v>
      </c>
      <c r="G132" s="333">
        <f>IF(売分析!H132&lt;&gt;"",売分析!H132,"")</f>
        <v>2663</v>
      </c>
      <c r="H132" s="333">
        <f>IF(売分析!I132&lt;&gt;"",売分析!I132,"")</f>
        <v>2580</v>
      </c>
      <c r="I132" s="212">
        <f>IF(売分析!J132&lt;&gt;"",売分析!J132,"")</f>
        <v>1440300</v>
      </c>
      <c r="J132" s="333">
        <f>IF(売分析!AB132&lt;&gt;"",売分析!AB132,"")</f>
        <v>2568.5138248847925</v>
      </c>
      <c r="K132" s="333">
        <f>IF(売分析!AC132&lt;&gt;"",売分析!AC132,"")</f>
        <v>2584.56495828367</v>
      </c>
      <c r="L132" s="333">
        <f>IF(売分析!K132&lt;&gt;"",売分析!K132,"")</f>
        <v>2949</v>
      </c>
      <c r="M132" s="212" t="str">
        <f>IF(売分析!P132&lt;&gt;"",売分析!P132,"")</f>
        <v>減少↓</v>
      </c>
      <c r="N132" s="335">
        <f>IF(売分析!O132&lt;&gt;"",売分析!O132,"")</f>
        <v>0.98725066831174169</v>
      </c>
      <c r="O132" s="337">
        <f>IF(売分析!X132&lt;&gt;"",売分析!X132,"")</f>
        <v>-5.352216415444218</v>
      </c>
      <c r="P132" s="334">
        <f>IF(売分析!L132&lt;&gt;"",売分析!L132,"")</f>
        <v>-11.359782977280435</v>
      </c>
      <c r="Q132" s="333">
        <f>IF(売分析!S132&lt;&gt;"",売分析!S132,"")</f>
        <v>2719</v>
      </c>
      <c r="R132" s="333">
        <f>IF(売分析!R132&lt;&gt;"",売分析!R132,"")</f>
        <v>2405</v>
      </c>
      <c r="S132" s="212" t="str">
        <f>IF(売分析!AA132&lt;&gt;"",売分析!AA132,"")</f>
        <v>上昇▲</v>
      </c>
      <c r="T132" s="338">
        <f>IF(売分析!Z132&lt;&gt;"",売分析!Z132,"")</f>
        <v>2.5902668759811616</v>
      </c>
      <c r="U132" s="212" t="str">
        <f>IF(売分析!V132&lt;&gt;"",売分析!V132,"")</f>
        <v>通常</v>
      </c>
      <c r="V132" s="336">
        <f>IF(売分析!W132&lt;&gt;"",売分析!W132,"")</f>
        <v>46.107784431137723</v>
      </c>
      <c r="W132" s="212" t="str">
        <f>IF(売分析!AD132&lt;&gt;"",売分析!AD132,"")</f>
        <v>上昇トレンド▲</v>
      </c>
      <c r="X132" s="212" t="str">
        <f>IF(売分析!AE132&lt;&gt;"",売分析!AE132,"")</f>
        <v>なし</v>
      </c>
      <c r="Y132" s="388">
        <f>IF(売分析!T132&lt;&gt;"",売分析!T132,"")</f>
        <v>5</v>
      </c>
      <c r="Z132" s="212" t="str">
        <f>IF(売分析!Y132&lt;&gt;"",売分析!Y132,"")</f>
        <v>相場上昇・見送り | 上昇トレンド▲ MACD- RSI:46.1 前日比:+2.6% [5点]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7899</v>
      </c>
      <c r="F133" s="326">
        <f>IF(売分析!F133&lt;&gt;"",売分析!F133,"")</f>
        <v>7750</v>
      </c>
      <c r="G133" s="326">
        <f>IF(売分析!H133&lt;&gt;"",売分析!H133,"")</f>
        <v>7899</v>
      </c>
      <c r="H133" s="326">
        <f>IF(売分析!I133&lt;&gt;"",売分析!I133,"")</f>
        <v>7714</v>
      </c>
      <c r="I133" s="325">
        <f>IF(売分析!J133&lt;&gt;"",売分析!J133,"")</f>
        <v>169400</v>
      </c>
      <c r="J133" s="326">
        <f>IF(売分析!AB133&lt;&gt;"",売分析!AB133,"")</f>
        <v>7832.9262672811055</v>
      </c>
      <c r="K133" s="326">
        <f>IF(売分析!AC133&lt;&gt;"",売分析!AC133,"")</f>
        <v>7478.9320619785431</v>
      </c>
      <c r="L133" s="326">
        <f>IF(売分析!K133&lt;&gt;"",売分析!K133,"")</f>
        <v>8611</v>
      </c>
      <c r="M133" s="325" t="str">
        <f>IF(売分析!P133&lt;&gt;"",売分析!P133,"")</f>
        <v>減少↓</v>
      </c>
      <c r="N133" s="328">
        <f>IF(売分析!O133&lt;&gt;"",売分析!O133,"")</f>
        <v>0.70701168614357257</v>
      </c>
      <c r="O133" s="330">
        <f>IF(売分析!X133&lt;&gt;"",売分析!X133,"")</f>
        <v>216.68577927790102</v>
      </c>
      <c r="P133" s="327">
        <f>IF(売分析!L133&lt;&gt;"",売分析!L133,"")</f>
        <v>-8.268493787016606</v>
      </c>
      <c r="Q133" s="326">
        <f>IF(売分析!S133&lt;&gt;"",売分析!S133,"")</f>
        <v>8215</v>
      </c>
      <c r="R133" s="326">
        <f>IF(売分析!R133&lt;&gt;"",売分析!R133,"")</f>
        <v>7267</v>
      </c>
      <c r="S133" s="325" t="str">
        <f>IF(売分析!AA133&lt;&gt;"",売分析!AA133,"")</f>
        <v>上昇▲</v>
      </c>
      <c r="T133" s="331">
        <f>IF(売分析!Z133&lt;&gt;"",売分析!Z133,"")</f>
        <v>1.9752130131680867</v>
      </c>
      <c r="U133" s="325" t="str">
        <f>IF(売分析!V133&lt;&gt;"",売分析!V133,"")</f>
        <v>通常</v>
      </c>
      <c r="V133" s="329">
        <f>IF(売分析!W133&lt;&gt;"",売分析!W133,"")</f>
        <v>72.938612422811474</v>
      </c>
      <c r="W133" s="325" t="str">
        <f>IF(売分析!AD133&lt;&gt;"",売分析!AD133,"")</f>
        <v>パーフェクト▲</v>
      </c>
      <c r="X133" s="325" t="str">
        <f>IF(売分析!AE133&lt;&gt;"",売分析!AE133,"")</f>
        <v>なし</v>
      </c>
      <c r="Y133" s="387">
        <f>IF(売分析!T133&lt;&gt;"",売分析!T133,"")</f>
        <v>3</v>
      </c>
      <c r="Z133" s="325" t="str">
        <f>IF(売分析!Y133&lt;&gt;"",売分析!Y133,"")</f>
        <v>△過熱・様子見 | パーフェクト▲ MACD+ RSI:72.9 [過熱] 前日比:+2.0%前日[上ヒゲ陰線▼] [3点]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3290</v>
      </c>
      <c r="F134" s="333">
        <f>IF(売分析!F134&lt;&gt;"",売分析!F134,"")</f>
        <v>3335</v>
      </c>
      <c r="G134" s="333">
        <f>IF(売分析!H134&lt;&gt;"",売分析!H134,"")</f>
        <v>3370</v>
      </c>
      <c r="H134" s="333">
        <f>IF(売分析!I134&lt;&gt;"",売分析!I134,"")</f>
        <v>3250</v>
      </c>
      <c r="I134" s="212">
        <f>IF(売分析!J134&lt;&gt;"",売分析!J134,"")</f>
        <v>94100</v>
      </c>
      <c r="J134" s="333">
        <f>IF(売分析!AB134&lt;&gt;"",売分析!AB134,"")</f>
        <v>3257.7246543778801</v>
      </c>
      <c r="K134" s="333">
        <f>IF(売分析!AC134&lt;&gt;"",売分析!AC134,"")</f>
        <v>3057.7413587604287</v>
      </c>
      <c r="L134" s="333">
        <f>IF(売分析!K134&lt;&gt;"",売分析!K134,"")</f>
        <v>4220</v>
      </c>
      <c r="M134" s="212" t="str">
        <f>IF(売分析!P134&lt;&gt;"",売分析!P134,"")</f>
        <v>減少↓</v>
      </c>
      <c r="N134" s="335">
        <f>IF(売分析!O134&lt;&gt;"",売分析!O134,"")</f>
        <v>0.58498072858386174</v>
      </c>
      <c r="O134" s="337">
        <f>IF(売分析!X134&lt;&gt;"",売分析!X134,"")</f>
        <v>-13.79018583898096</v>
      </c>
      <c r="P134" s="334">
        <f>IF(売分析!L134&lt;&gt;"",売分析!L134,"")</f>
        <v>-22.037914691943129</v>
      </c>
      <c r="Q134" s="333">
        <f>IF(売分析!S134&lt;&gt;"",売分析!S134,"")</f>
        <v>3422</v>
      </c>
      <c r="R134" s="333">
        <f>IF(売分析!R134&lt;&gt;"",売分析!R134,"")</f>
        <v>3027</v>
      </c>
      <c r="S134" s="212" t="str">
        <f>IF(売分析!AA134&lt;&gt;"",売分析!AA134,"")</f>
        <v>下落▼</v>
      </c>
      <c r="T134" s="338">
        <f>IF(売分析!Z134&lt;&gt;"",売分析!Z134,"")</f>
        <v>-1.3493253373313343</v>
      </c>
      <c r="U134" s="212" t="str">
        <f>IF(売分析!V134&lt;&gt;"",売分析!V134,"")</f>
        <v>通常</v>
      </c>
      <c r="V134" s="336">
        <f>IF(売分析!W134&lt;&gt;"",売分析!W134,"")</f>
        <v>50.736842105263158</v>
      </c>
      <c r="W134" s="212" t="str">
        <f>IF(売分析!AD134&lt;&gt;"",売分析!AD134,"")</f>
        <v>パーフェクト▲</v>
      </c>
      <c r="X134" s="212" t="str">
        <f>IF(売分析!AE134&lt;&gt;"",売分析!AE134,"")</f>
        <v>なし</v>
      </c>
      <c r="Y134" s="388">
        <f>IF(売分析!T134&lt;&gt;"",売分析!T134,"")</f>
        <v>6</v>
      </c>
      <c r="Z134" s="212" t="str">
        <f>IF(売分析!Y134&lt;&gt;"",売分析!Y134,"")</f>
        <v>相場上昇・見送り | パーフェクト▲ MACD- RSI:50.7 前日比:-1.3% [6点]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2030</v>
      </c>
      <c r="F135" s="326">
        <f>IF(売分析!F135&lt;&gt;"",売分析!F135,"")</f>
        <v>2036</v>
      </c>
      <c r="G135" s="326">
        <f>IF(売分析!H135&lt;&gt;"",売分析!H135,"")</f>
        <v>2053</v>
      </c>
      <c r="H135" s="326">
        <f>IF(売分析!I135&lt;&gt;"",売分析!I135,"")</f>
        <v>2030</v>
      </c>
      <c r="I135" s="325">
        <f>IF(売分析!J135&lt;&gt;"",売分析!J135,"")</f>
        <v>22400</v>
      </c>
      <c r="J135" s="326">
        <f>IF(売分析!AB135&lt;&gt;"",売分析!AB135,"")</f>
        <v>2027.8317972350226</v>
      </c>
      <c r="K135" s="326">
        <f>IF(売分析!AC135&lt;&gt;"",売分析!AC135,"")</f>
        <v>1925.3230035756847</v>
      </c>
      <c r="L135" s="326">
        <f>IF(売分析!K135&lt;&gt;"",売分析!K135,"")</f>
        <v>2348</v>
      </c>
      <c r="M135" s="325" t="str">
        <f>IF(売分析!P135&lt;&gt;"",売分析!P135,"")</f>
        <v>減少↓</v>
      </c>
      <c r="N135" s="328">
        <f>IF(売分析!O135&lt;&gt;"",売分析!O135,"")</f>
        <v>0.89671737389911932</v>
      </c>
      <c r="O135" s="330">
        <f>IF(売分析!X135&lt;&gt;"",売分析!X135,"")</f>
        <v>-4.9094686732132686E-2</v>
      </c>
      <c r="P135" s="327">
        <f>IF(売分析!L135&lt;&gt;"",売分析!L135,"")</f>
        <v>-13.543441226575808</v>
      </c>
      <c r="Q135" s="326">
        <f>IF(売分析!S135&lt;&gt;"",売分析!S135,"")</f>
        <v>2111</v>
      </c>
      <c r="R135" s="326">
        <f>IF(売分析!R135&lt;&gt;"",売分析!R135,"")</f>
        <v>1868</v>
      </c>
      <c r="S135" s="325" t="str">
        <f>IF(売分析!AA135&lt;&gt;"",売分析!AA135,"")</f>
        <v>下落▼</v>
      </c>
      <c r="T135" s="331">
        <f>IF(売分析!Z135&lt;&gt;"",売分析!Z135,"")</f>
        <v>-0.14756517461878996</v>
      </c>
      <c r="U135" s="325" t="str">
        <f>IF(売分析!V135&lt;&gt;"",売分析!V135,"")</f>
        <v>通常</v>
      </c>
      <c r="V135" s="329">
        <f>IF(売分析!W135&lt;&gt;"",売分析!W135,"")</f>
        <v>50.271546635182993</v>
      </c>
      <c r="W135" s="325" t="str">
        <f>IF(売分析!AD135&lt;&gt;"",売分析!AD135,"")</f>
        <v>パーフェクト▲</v>
      </c>
      <c r="X135" s="325" t="str">
        <f>IF(売分析!AE135&lt;&gt;"",売分析!AE135,"")</f>
        <v>なし</v>
      </c>
      <c r="Y135" s="387">
        <f>IF(売分析!T135&lt;&gt;"",売分析!T135,"")</f>
        <v>4</v>
      </c>
      <c r="Z135" s="325" t="str">
        <f>IF(売分析!Y135&lt;&gt;"",売分析!Y135,"")</f>
        <v>相場上昇・見送り | パーフェクト▲ MACD- RSI:50.3 前日比:-0.1% [上ヒゲ陰線▼] [4点]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900</v>
      </c>
      <c r="F136" s="333">
        <f>IF(売分析!F136&lt;&gt;"",売分析!F136,"")</f>
        <v>890</v>
      </c>
      <c r="G136" s="333">
        <f>IF(売分析!H136&lt;&gt;"",売分析!H136,"")</f>
        <v>902</v>
      </c>
      <c r="H136" s="333">
        <f>IF(売分析!I136&lt;&gt;"",売分析!I136,"")</f>
        <v>890</v>
      </c>
      <c r="I136" s="212">
        <f>IF(売分析!J136&lt;&gt;"",売分析!J136,"")</f>
        <v>104300</v>
      </c>
      <c r="J136" s="333">
        <f>IF(売分析!AB136&lt;&gt;"",売分析!AB136,"")</f>
        <v>896.25806451612902</v>
      </c>
      <c r="K136" s="333">
        <f>IF(売分析!AC136&lt;&gt;"",売分析!AC136,"")</f>
        <v>905.84982121573262</v>
      </c>
      <c r="L136" s="333">
        <f>IF(売分析!K136&lt;&gt;"",売分析!K136,"")</f>
        <v>1041</v>
      </c>
      <c r="M136" s="212" t="str">
        <f>IF(売分析!P136&lt;&gt;"",売分析!P136,"")</f>
        <v>減少↓</v>
      </c>
      <c r="N136" s="335">
        <f>IF(売分析!O136&lt;&gt;"",売分析!O136,"")</f>
        <v>0.49591099277291745</v>
      </c>
      <c r="O136" s="337">
        <f>IF(売分析!X136&lt;&gt;"",売分析!X136,"")</f>
        <v>-0.56063947078280307</v>
      </c>
      <c r="P136" s="334">
        <f>IF(売分析!L136&lt;&gt;"",売分析!L136,"")</f>
        <v>-13.544668587896252</v>
      </c>
      <c r="Q136" s="333">
        <f>IF(売分析!S136&lt;&gt;"",売分析!S136,"")</f>
        <v>936</v>
      </c>
      <c r="R136" s="333">
        <f>IF(売分析!R136&lt;&gt;"",売分析!R136,"")</f>
        <v>828</v>
      </c>
      <c r="S136" s="212" t="str">
        <f>IF(売分析!AA136&lt;&gt;"",売分析!AA136,"")</f>
        <v>上昇▲</v>
      </c>
      <c r="T136" s="338">
        <f>IF(売分析!Z136&lt;&gt;"",売分析!Z136,"")</f>
        <v>1.2373453318335208</v>
      </c>
      <c r="U136" s="212" t="str">
        <f>IF(売分析!V136&lt;&gt;"",売分析!V136,"")</f>
        <v>通常</v>
      </c>
      <c r="V136" s="336">
        <f>IF(売分析!W136&lt;&gt;"",売分析!W136,"")</f>
        <v>38.333333333333329</v>
      </c>
      <c r="W136" s="212" t="str">
        <f>IF(売分析!AD136&lt;&gt;"",売分析!AD136,"")</f>
        <v>もみ合い→</v>
      </c>
      <c r="X136" s="212" t="str">
        <f>IF(売分析!AE136&lt;&gt;"",売分析!AE136,"")</f>
        <v>25日戻り売り★</v>
      </c>
      <c r="Y136" s="388">
        <f>IF(売分析!T136&lt;&gt;"",売分析!T136,"")</f>
        <v>4</v>
      </c>
      <c r="Z136" s="212" t="str">
        <f>IF(売分析!Y136&lt;&gt;"",売分析!Y136,"")</f>
        <v>○逆張り売り | もみ合い→ 25日戻り売り★ MACD- RSI:38.3 前日比:+1.2% [4点]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1537</v>
      </c>
      <c r="F137" s="326">
        <f>IF(売分析!F137&lt;&gt;"",売分析!F137,"")</f>
        <v>1515</v>
      </c>
      <c r="G137" s="326">
        <f>IF(売分析!H137&lt;&gt;"",売分析!H137,"")</f>
        <v>1562</v>
      </c>
      <c r="H137" s="326">
        <f>IF(売分析!I137&lt;&gt;"",売分析!I137,"")</f>
        <v>1504</v>
      </c>
      <c r="I137" s="325">
        <f>IF(売分析!J137&lt;&gt;"",売分析!J137,"")</f>
        <v>455900</v>
      </c>
      <c r="J137" s="326">
        <f>IF(売分析!AB137&lt;&gt;"",売分析!AB137,"")</f>
        <v>980.71313364055288</v>
      </c>
      <c r="K137" s="326">
        <f>IF(売分析!AC137&lt;&gt;"",売分析!AC137,"")</f>
        <v>270.45053635280084</v>
      </c>
      <c r="L137" s="326">
        <f>IF(売分析!K137&lt;&gt;"",売分析!K137,"")</f>
        <v>1596</v>
      </c>
      <c r="M137" s="325" t="str">
        <f>IF(売分析!P137&lt;&gt;"",売分析!P137,"")</f>
        <v>減少↓</v>
      </c>
      <c r="N137" s="328">
        <f>IF(売分析!O137&lt;&gt;"",売分析!O137,"")</f>
        <v>0.82351878612716767</v>
      </c>
      <c r="O137" s="330">
        <f>IF(売分析!X137&lt;&gt;"",売分析!X137,"")</f>
        <v>96.017704257698938</v>
      </c>
      <c r="P137" s="327">
        <f>IF(売分析!L137&lt;&gt;"",売分析!L137,"")</f>
        <v>-3.6967418546365911</v>
      </c>
      <c r="Q137" s="326">
        <f>IF(売分析!S137&lt;&gt;"",売分析!S137,"")</f>
        <v>1598</v>
      </c>
      <c r="R137" s="326">
        <f>IF(売分析!R137&lt;&gt;"",売分析!R137,"")</f>
        <v>1414</v>
      </c>
      <c r="S137" s="325" t="str">
        <f>IF(売分析!AA137&lt;&gt;"",売分析!AA137,"")</f>
        <v>上昇▲</v>
      </c>
      <c r="T137" s="331">
        <f>IF(売分析!Z137&lt;&gt;"",売分析!Z137,"")</f>
        <v>0.52321778940483976</v>
      </c>
      <c r="U137" s="325" t="str">
        <f>IF(売分析!V137&lt;&gt;"",売分析!V137,"")</f>
        <v>通常</v>
      </c>
      <c r="V137" s="329">
        <f>IF(売分析!W137&lt;&gt;"",売分析!W137,"")</f>
        <v>50</v>
      </c>
      <c r="W137" s="325" t="str">
        <f>IF(売分析!AD137&lt;&gt;"",売分析!AD137,"")</f>
        <v>パーフェクト▲</v>
      </c>
      <c r="X137" s="325" t="str">
        <f>IF(売分析!AE137&lt;&gt;"",売分析!AE137,"")</f>
        <v>なし</v>
      </c>
      <c r="Y137" s="387">
        <f>IF(売分析!T137&lt;&gt;"",売分析!T137,"")</f>
        <v>1</v>
      </c>
      <c r="Z137" s="325" t="str">
        <f>IF(売分析!Y137&lt;&gt;"",売分析!Y137,"")</f>
        <v>相場上昇・見送り | パーフェクト▲ MACD+ RSI:50.0 前日比:+0.5% [1点]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2314</v>
      </c>
      <c r="F138" s="333">
        <f>IF(売分析!F138&lt;&gt;"",売分析!F138,"")</f>
        <v>2260</v>
      </c>
      <c r="G138" s="333">
        <f>IF(売分析!H138&lt;&gt;"",売分析!H138,"")</f>
        <v>2412</v>
      </c>
      <c r="H138" s="333">
        <f>IF(売分析!I138&lt;&gt;"",売分析!I138,"")</f>
        <v>2250</v>
      </c>
      <c r="I138" s="212">
        <f>IF(売分析!J138&lt;&gt;"",売分析!J138,"")</f>
        <v>492700</v>
      </c>
      <c r="J138" s="333">
        <f>IF(売分析!AB138&lt;&gt;"",売分析!AB138,"")</f>
        <v>2229.0460829493086</v>
      </c>
      <c r="K138" s="333">
        <f>IF(売分析!AC138&lt;&gt;"",売分析!AC138,"")</f>
        <v>2115.6722288438609</v>
      </c>
      <c r="L138" s="333">
        <f>IF(売分析!K138&lt;&gt;"",売分析!K138,"")</f>
        <v>3405</v>
      </c>
      <c r="M138" s="212" t="str">
        <f>IF(売分析!P138&lt;&gt;"",売分析!P138,"")</f>
        <v>普通→</v>
      </c>
      <c r="N138" s="335">
        <f>IF(売分析!O138&lt;&gt;"",売分析!O138,"")</f>
        <v>1.177131116207951</v>
      </c>
      <c r="O138" s="337">
        <f>IF(売分析!X138&lt;&gt;"",売分析!X138,"")</f>
        <v>9.3532254148453831</v>
      </c>
      <c r="P138" s="334">
        <f>IF(売分析!L138&lt;&gt;"",売分析!L138,"")</f>
        <v>-32.041116005873718</v>
      </c>
      <c r="Q138" s="333">
        <f>IF(売分析!S138&lt;&gt;"",売分析!S138,"")</f>
        <v>2407</v>
      </c>
      <c r="R138" s="333">
        <f>IF(売分析!R138&lt;&gt;"",売分析!R138,"")</f>
        <v>2129</v>
      </c>
      <c r="S138" s="212" t="str">
        <f>IF(売分析!AA138&lt;&gt;"",売分析!AA138,"")</f>
        <v>上昇▲</v>
      </c>
      <c r="T138" s="338">
        <f>IF(売分析!Z138&lt;&gt;"",売分析!Z138,"")</f>
        <v>1.1363636363636365</v>
      </c>
      <c r="U138" s="212" t="str">
        <f>IF(売分析!V138&lt;&gt;"",売分析!V138,"")</f>
        <v>安値圏</v>
      </c>
      <c r="V138" s="336">
        <f>IF(売分析!W138&lt;&gt;"",売分析!W138,"")</f>
        <v>56.87022900763359</v>
      </c>
      <c r="W138" s="212" t="str">
        <f>IF(売分析!AD138&lt;&gt;"",売分析!AD138,"")</f>
        <v>パーフェクト▲</v>
      </c>
      <c r="X138" s="212" t="str">
        <f>IF(売分析!AE138&lt;&gt;"",売分析!AE138,"")</f>
        <v>なし</v>
      </c>
      <c r="Y138" s="388">
        <f>IF(売分析!T138&lt;&gt;"",売分析!T138,"")</f>
        <v>3</v>
      </c>
      <c r="Z138" s="212" t="str">
        <f>IF(売分析!Y138&lt;&gt;"",売分析!Y138,"")</f>
        <v>相場上昇・見送り | パーフェクト▲ MACD+ RSI:56.9 前日比:+1.1% [安値圏] [3点]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4690</v>
      </c>
      <c r="F139" s="326">
        <f>IF(売分析!F139&lt;&gt;"",売分析!F139,"")</f>
        <v>4626</v>
      </c>
      <c r="G139" s="326">
        <f>IF(売分析!H139&lt;&gt;"",売分析!H139,"")</f>
        <v>4747</v>
      </c>
      <c r="H139" s="326">
        <f>IF(売分析!I139&lt;&gt;"",売分析!I139,"")</f>
        <v>4619</v>
      </c>
      <c r="I139" s="325">
        <f>IF(売分析!J139&lt;&gt;"",売分析!J139,"")</f>
        <v>5467900</v>
      </c>
      <c r="J139" s="326">
        <f>IF(売分析!AB139&lt;&gt;"",売分析!AB139,"")</f>
        <v>4667.9297235023032</v>
      </c>
      <c r="K139" s="326">
        <f>IF(売分析!AC139&lt;&gt;"",売分析!AC139,"")</f>
        <v>4528.2598331346826</v>
      </c>
      <c r="L139" s="326">
        <f>IF(売分析!K139&lt;&gt;"",売分析!K139,"")</f>
        <v>6036</v>
      </c>
      <c r="M139" s="325" t="str">
        <f>IF(売分析!P139&lt;&gt;"",売分析!P139,"")</f>
        <v>減少↓</v>
      </c>
      <c r="N139" s="328">
        <f>IF(売分析!O139&lt;&gt;"",売分析!O139,"")</f>
        <v>0.75985058407286254</v>
      </c>
      <c r="O139" s="330">
        <f>IF(売分析!X139&lt;&gt;"",売分析!X139,"")</f>
        <v>50.995956041859245</v>
      </c>
      <c r="P139" s="327">
        <f>IF(売分析!L139&lt;&gt;"",売分析!L139,"")</f>
        <v>-22.299536116633529</v>
      </c>
      <c r="Q139" s="326">
        <f>IF(売分析!S139&lt;&gt;"",売分析!S139,"")</f>
        <v>4878</v>
      </c>
      <c r="R139" s="326">
        <f>IF(売分析!R139&lt;&gt;"",売分析!R139,"")</f>
        <v>4315</v>
      </c>
      <c r="S139" s="325" t="str">
        <f>IF(売分析!AA139&lt;&gt;"",売分析!AA139,"")</f>
        <v>上昇▲</v>
      </c>
      <c r="T139" s="331">
        <f>IF(売分析!Z139&lt;&gt;"",売分析!Z139,"")</f>
        <v>1.2740228892247896</v>
      </c>
      <c r="U139" s="325" t="str">
        <f>IF(売分析!V139&lt;&gt;"",売分析!V139,"")</f>
        <v>通常</v>
      </c>
      <c r="V139" s="329">
        <f>IF(売分析!W139&lt;&gt;"",売分析!W139,"")</f>
        <v>62.009314703925476</v>
      </c>
      <c r="W139" s="325" t="str">
        <f>IF(売分析!AD139&lt;&gt;"",売分析!AD139,"")</f>
        <v>パーフェクト▲</v>
      </c>
      <c r="X139" s="325" t="str">
        <f>IF(売分析!AE139&lt;&gt;"",売分析!AE139,"")</f>
        <v>なし</v>
      </c>
      <c r="Y139" s="387">
        <f>IF(売分析!T139&lt;&gt;"",売分析!T139,"")</f>
        <v>1</v>
      </c>
      <c r="Z139" s="325" t="str">
        <f>IF(売分析!Y139&lt;&gt;"",売分析!Y139,"")</f>
        <v>相場上昇・見送り | パーフェクト▲ MACD+ RSI:62.0 前日比:+1.3% [1点]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1258.5</v>
      </c>
      <c r="F140" s="333">
        <f>IF(売分析!F140&lt;&gt;"",売分析!F140,"")</f>
        <v>1230</v>
      </c>
      <c r="G140" s="333">
        <f>IF(売分析!H140&lt;&gt;"",売分析!H140,"")</f>
        <v>1265</v>
      </c>
      <c r="H140" s="333">
        <f>IF(売分析!I140&lt;&gt;"",売分析!I140,"")</f>
        <v>1228</v>
      </c>
      <c r="I140" s="212">
        <f>IF(売分析!J140&lt;&gt;"",売分析!J140,"")</f>
        <v>3226200</v>
      </c>
      <c r="J140" s="333">
        <f>IF(売分析!AB140&lt;&gt;"",売分析!AB140,"")</f>
        <v>1257.4510368663593</v>
      </c>
      <c r="K140" s="333">
        <f>IF(売分析!AC140&lt;&gt;"",売分析!AC140,"")</f>
        <v>1277.1954707985692</v>
      </c>
      <c r="L140" s="333">
        <f>IF(売分析!K140&lt;&gt;"",売分析!K140,"")</f>
        <v>1671</v>
      </c>
      <c r="M140" s="212" t="str">
        <f>IF(売分析!P140&lt;&gt;"",売分析!P140,"")</f>
        <v>減少↓</v>
      </c>
      <c r="N140" s="335">
        <f>IF(売分析!O140&lt;&gt;"",売分析!O140,"")</f>
        <v>0.90135949889083222</v>
      </c>
      <c r="O140" s="337">
        <f>IF(売分析!X140&lt;&gt;"",売分析!X140,"")</f>
        <v>3.7276706641882811</v>
      </c>
      <c r="P140" s="334">
        <f>IF(売分析!L140&lt;&gt;"",売分析!L140,"")</f>
        <v>-24.685816876122082</v>
      </c>
      <c r="Q140" s="333">
        <f>IF(売分析!S140&lt;&gt;"",売分析!S140,"")</f>
        <v>1309</v>
      </c>
      <c r="R140" s="333">
        <f>IF(売分析!R140&lt;&gt;"",売分析!R140,"")</f>
        <v>1158</v>
      </c>
      <c r="S140" s="212" t="str">
        <f>IF(売分析!AA140&lt;&gt;"",売分析!AA140,"")</f>
        <v>上昇▲</v>
      </c>
      <c r="T140" s="338">
        <f>IF(売分析!Z140&lt;&gt;"",売分析!Z140,"")</f>
        <v>1.4101531023368252</v>
      </c>
      <c r="U140" s="212" t="str">
        <f>IF(売分析!V140&lt;&gt;"",売分析!V140,"")</f>
        <v>安値圏</v>
      </c>
      <c r="V140" s="336">
        <f>IF(売分析!W140&lt;&gt;"",売分析!W140,"")</f>
        <v>42.495126705653021</v>
      </c>
      <c r="W140" s="212" t="str">
        <f>IF(売分析!AD140&lt;&gt;"",売分析!AD140,"")</f>
        <v>もみ合い→</v>
      </c>
      <c r="X140" s="212" t="str">
        <f>IF(売分析!AE140&lt;&gt;"",売分析!AE140,"")</f>
        <v>25日戻り売り★</v>
      </c>
      <c r="Y140" s="388">
        <f>IF(売分析!T140&lt;&gt;"",売分析!T140,"")</f>
        <v>4</v>
      </c>
      <c r="Z140" s="212" t="str">
        <f>IF(売分析!Y140&lt;&gt;"",売分析!Y140,"")</f>
        <v>○逆張り売り | もみ合い→ 25日戻り売り★ MACD+ RSI:42.5 前日比:+1.4% [安値圏] [4点]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1300</v>
      </c>
      <c r="F141" s="326">
        <f>IF(売分析!F141&lt;&gt;"",売分析!F141,"")</f>
        <v>1272</v>
      </c>
      <c r="G141" s="326">
        <f>IF(売分析!H141&lt;&gt;"",売分析!H141,"")</f>
        <v>1300</v>
      </c>
      <c r="H141" s="326">
        <f>IF(売分析!I141&lt;&gt;"",売分析!I141,"")</f>
        <v>1271</v>
      </c>
      <c r="I141" s="325">
        <f>IF(売分析!J141&lt;&gt;"",売分析!J141,"")</f>
        <v>6473400</v>
      </c>
      <c r="J141" s="326">
        <f>IF(売分析!AB141&lt;&gt;"",売分析!AB141,"")</f>
        <v>1293.9043778801843</v>
      </c>
      <c r="K141" s="326">
        <f>IF(売分析!AC141&lt;&gt;"",売分析!AC141,"")</f>
        <v>1291.2473182359947</v>
      </c>
      <c r="L141" s="326">
        <f>IF(売分析!K141&lt;&gt;"",売分析!K141,"")</f>
        <v>1552.5</v>
      </c>
      <c r="M141" s="325" t="str">
        <f>IF(売分析!P141&lt;&gt;"",売分析!P141,"")</f>
        <v>減少↓</v>
      </c>
      <c r="N141" s="328">
        <f>IF(売分析!O141&lt;&gt;"",売分析!O141,"")</f>
        <v>0.90285526198339727</v>
      </c>
      <c r="O141" s="330">
        <f>IF(売分析!X141&lt;&gt;"",売分析!X141,"")</f>
        <v>6.5022797017986704</v>
      </c>
      <c r="P141" s="327">
        <f>IF(売分析!L141&lt;&gt;"",売分析!L141,"")</f>
        <v>-16.264090177133657</v>
      </c>
      <c r="Q141" s="326">
        <f>IF(売分析!S141&lt;&gt;"",売分析!S141,"")</f>
        <v>1352</v>
      </c>
      <c r="R141" s="326">
        <f>IF(売分析!R141&lt;&gt;"",売分析!R141,"")</f>
        <v>1196</v>
      </c>
      <c r="S141" s="325" t="str">
        <f>IF(売分析!AA141&lt;&gt;"",売分析!AA141,"")</f>
        <v>上昇▲</v>
      </c>
      <c r="T141" s="331">
        <f>IF(売分析!Z141&lt;&gt;"",売分析!Z141,"")</f>
        <v>1.3250194855806703</v>
      </c>
      <c r="U141" s="325" t="str">
        <f>IF(売分析!V141&lt;&gt;"",売分析!V141,"")</f>
        <v>通常</v>
      </c>
      <c r="V141" s="329">
        <f>IF(売分析!W141&lt;&gt;"",売分析!W141,"")</f>
        <v>50</v>
      </c>
      <c r="W141" s="325" t="str">
        <f>IF(売分析!AD141&lt;&gt;"",売分析!AD141,"")</f>
        <v>パーフェクト▲</v>
      </c>
      <c r="X141" s="325" t="str">
        <f>IF(売分析!AE141&lt;&gt;"",売分析!AE141,"")</f>
        <v>なし</v>
      </c>
      <c r="Y141" s="387">
        <f>IF(売分析!T141&lt;&gt;"",売分析!T141,"")</f>
        <v>0</v>
      </c>
      <c r="Z141" s="325" t="str">
        <f>IF(売分析!Y141&lt;&gt;"",売分析!Y141,"")</f>
        <v>相場上昇・見送り | パーフェクト▲ MACD+ RSI:50.0 前日比:+1.3% [0点]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1595.5</v>
      </c>
      <c r="F142" s="333">
        <f>IF(売分析!F142&lt;&gt;"",売分析!F142,"")</f>
        <v>1650</v>
      </c>
      <c r="G142" s="333">
        <f>IF(売分析!H142&lt;&gt;"",売分析!H142,"")</f>
        <v>1665</v>
      </c>
      <c r="H142" s="333">
        <f>IF(売分析!I142&lt;&gt;"",売分析!I142,"")</f>
        <v>1571.5</v>
      </c>
      <c r="I142" s="212">
        <f>IF(売分析!J142&lt;&gt;"",売分析!J142,"")</f>
        <v>1820200</v>
      </c>
      <c r="J142" s="333">
        <f>IF(売分析!AB142&lt;&gt;"",売分析!AB142,"")</f>
        <v>1563.0650921658982</v>
      </c>
      <c r="K142" s="333">
        <f>IF(売分析!AC142&lt;&gt;"",売分析!AC142,"")</f>
        <v>1498.1477949940397</v>
      </c>
      <c r="L142" s="333">
        <f>IF(売分析!K142&lt;&gt;"",売分析!K142,"")</f>
        <v>1614.5</v>
      </c>
      <c r="M142" s="212" t="str">
        <f>IF(売分析!P142&lt;&gt;"",売分析!P142,"")</f>
        <v>普通→</v>
      </c>
      <c r="N142" s="335">
        <f>IF(売分析!O142&lt;&gt;"",売分析!O142,"")</f>
        <v>1.2791286015460295</v>
      </c>
      <c r="O142" s="337">
        <f>IF(売分析!X142&lt;&gt;"",売分析!X142,"")</f>
        <v>18.141353452290105</v>
      </c>
      <c r="P142" s="334">
        <f>IF(売分析!L142&lt;&gt;"",売分析!L142,"")</f>
        <v>-1.1768349334159183</v>
      </c>
      <c r="Q142" s="333">
        <f>IF(売分析!S142&lt;&gt;"",売分析!S142,"")</f>
        <v>1659</v>
      </c>
      <c r="R142" s="333">
        <f>IF(売分析!R142&lt;&gt;"",売分析!R142,"")</f>
        <v>1468</v>
      </c>
      <c r="S142" s="212" t="str">
        <f>IF(売分析!AA142&lt;&gt;"",売分析!AA142,"")</f>
        <v>下落▼</v>
      </c>
      <c r="T142" s="338">
        <f>IF(売分析!Z142&lt;&gt;"",売分析!Z142,"")</f>
        <v>-1.1768349334159183</v>
      </c>
      <c r="U142" s="212" t="str">
        <f>IF(売分析!V142&lt;&gt;"",売分析!V142,"")</f>
        <v>通常</v>
      </c>
      <c r="V142" s="336">
        <f>IF(売分析!W142&lt;&gt;"",売分析!W142,"")</f>
        <v>76.957831325301214</v>
      </c>
      <c r="W142" s="212" t="str">
        <f>IF(売分析!AD142&lt;&gt;"",売分析!AD142,"")</f>
        <v>パーフェクト▲</v>
      </c>
      <c r="X142" s="212" t="str">
        <f>IF(売分析!AE142&lt;&gt;"",売分析!AE142,"")</f>
        <v>なし</v>
      </c>
      <c r="Y142" s="388">
        <f>IF(売分析!T142&lt;&gt;"",売分析!T142,"")</f>
        <v>2</v>
      </c>
      <c r="Z142" s="212" t="str">
        <f>IF(売分析!Y142&lt;&gt;"",売分析!Y142,"")</f>
        <v>◎反落確認 | パーフェクト▲ MACD+ RSI:77.0 [過熱] 前日比:-1.2%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1722.5</v>
      </c>
      <c r="F143" s="326">
        <f>IF(売分析!F143&lt;&gt;"",売分析!F143,"")</f>
        <v>1715.5</v>
      </c>
      <c r="G143" s="326">
        <f>IF(売分析!H143&lt;&gt;"",売分析!H143,"")</f>
        <v>1734.5</v>
      </c>
      <c r="H143" s="326">
        <f>IF(売分析!I143&lt;&gt;"",売分析!I143,"")</f>
        <v>1707.5</v>
      </c>
      <c r="I143" s="325">
        <f>IF(売分析!J143&lt;&gt;"",売分析!J143,"")</f>
        <v>2276800</v>
      </c>
      <c r="J143" s="326">
        <f>IF(売分析!AB143&lt;&gt;"",売分析!AB143,"")</f>
        <v>1719.9752304147464</v>
      </c>
      <c r="K143" s="326">
        <f>IF(売分析!AC143&lt;&gt;"",売分析!AC143,"")</f>
        <v>1769.9606674612628</v>
      </c>
      <c r="L143" s="326">
        <f>IF(売分析!K143&lt;&gt;"",売分析!K143,"")</f>
        <v>2094</v>
      </c>
      <c r="M143" s="325" t="str">
        <f>IF(売分析!P143&lt;&gt;"",売分析!P143,"")</f>
        <v>減少↓</v>
      </c>
      <c r="N143" s="328">
        <f>IF(売分析!O143&lt;&gt;"",売分析!O143,"")</f>
        <v>0.74561662049135768</v>
      </c>
      <c r="O143" s="330">
        <f>IF(売分析!X143&lt;&gt;"",売分析!X143,"")</f>
        <v>-4.0135816891479408</v>
      </c>
      <c r="P143" s="327">
        <f>IF(売分析!L143&lt;&gt;"",売分析!L143,"")</f>
        <v>-17.741165234001912</v>
      </c>
      <c r="Q143" s="326">
        <f>IF(売分析!S143&lt;&gt;"",売分析!S143,"")</f>
        <v>1791</v>
      </c>
      <c r="R143" s="326">
        <f>IF(売分析!R143&lt;&gt;"",売分析!R143,"")</f>
        <v>1585</v>
      </c>
      <c r="S143" s="325" t="str">
        <f>IF(売分析!AA143&lt;&gt;"",売分析!AA143,"")</f>
        <v>上昇▲</v>
      </c>
      <c r="T143" s="331">
        <f>IF(売分析!Z143&lt;&gt;"",売分析!Z143,"")</f>
        <v>0.58394160583941601</v>
      </c>
      <c r="U143" s="325" t="str">
        <f>IF(売分析!V143&lt;&gt;"",売分析!V143,"")</f>
        <v>通常</v>
      </c>
      <c r="V143" s="329">
        <f>IF(売分析!W143&lt;&gt;"",売分析!W143,"")</f>
        <v>41.836734693877553</v>
      </c>
      <c r="W143" s="325" t="str">
        <f>IF(売分析!AD143&lt;&gt;"",売分析!AD143,"")</f>
        <v>もみ合い→</v>
      </c>
      <c r="X143" s="325" t="str">
        <f>IF(売分析!AE143&lt;&gt;"",売分析!AE143,"")</f>
        <v>なし</v>
      </c>
      <c r="Y143" s="387">
        <f>IF(売分析!T143&lt;&gt;"",売分析!T143,"")</f>
        <v>3</v>
      </c>
      <c r="Z143" s="325" t="str">
        <f>IF(売分析!Y143&lt;&gt;"",売分析!Y143,"")</f>
        <v>相場上昇・見送り | もみ合い→ MACD- RSI:41.8 前日比:+0.6% [3点]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728</v>
      </c>
      <c r="F144" s="333">
        <f>IF(売分析!F144&lt;&gt;"",売分析!F144,"")</f>
        <v>737</v>
      </c>
      <c r="G144" s="333">
        <f>IF(売分析!H144&lt;&gt;"",売分析!H144,"")</f>
        <v>737</v>
      </c>
      <c r="H144" s="333">
        <f>IF(売分析!I144&lt;&gt;"",売分析!I144,"")</f>
        <v>724</v>
      </c>
      <c r="I144" s="212">
        <f>IF(売分析!J144&lt;&gt;"",売分析!J144,"")</f>
        <v>223700</v>
      </c>
      <c r="J144" s="333">
        <f>IF(売分析!AB144&lt;&gt;"",売分析!AB144,"")</f>
        <v>731.32949308755747</v>
      </c>
      <c r="K144" s="333">
        <f>IF(売分析!AC144&lt;&gt;"",売分析!AC144,"")</f>
        <v>753.20143027413565</v>
      </c>
      <c r="L144" s="333">
        <f>IF(売分析!K144&lt;&gt;"",売分析!K144,"")</f>
        <v>1638</v>
      </c>
      <c r="M144" s="212" t="str">
        <f>IF(売分析!P144&lt;&gt;"",売分析!P144,"")</f>
        <v>減少↓</v>
      </c>
      <c r="N144" s="335">
        <f>IF(売分析!O144&lt;&gt;"",売分析!O144,"")</f>
        <v>0.83098068350668652</v>
      </c>
      <c r="O144" s="337">
        <f>IF(売分析!X144&lt;&gt;"",売分析!X144,"")</f>
        <v>-9.6398051257965562</v>
      </c>
      <c r="P144" s="334">
        <f>IF(売分析!L144&lt;&gt;"",売分析!L144,"")</f>
        <v>-55.555555555555557</v>
      </c>
      <c r="Q144" s="333">
        <f>IF(売分析!S144&lt;&gt;"",売分析!S144,"")</f>
        <v>757</v>
      </c>
      <c r="R144" s="333">
        <f>IF(売分析!R144&lt;&gt;"",売分析!R144,"")</f>
        <v>670</v>
      </c>
      <c r="S144" s="212" t="str">
        <f>IF(売分析!AA144&lt;&gt;"",売分析!AA144,"")</f>
        <v>下落▼</v>
      </c>
      <c r="T144" s="338">
        <f>IF(売分析!Z144&lt;&gt;"",売分析!Z144,"")</f>
        <v>-1.8867924528301887</v>
      </c>
      <c r="U144" s="212" t="str">
        <f>IF(売分析!V144&lt;&gt;"",売分析!V144,"")</f>
        <v>年初来安値圏●</v>
      </c>
      <c r="V144" s="336">
        <f>IF(売分析!W144&lt;&gt;"",売分析!W144,"")</f>
        <v>35.57692307692308</v>
      </c>
      <c r="W144" s="212" t="str">
        <f>IF(売分析!AD144&lt;&gt;"",売分析!AD144,"")</f>
        <v>下降トレンド▼</v>
      </c>
      <c r="X144" s="212" t="str">
        <f>IF(売分析!AE144&lt;&gt;"",売分析!AE144,"")</f>
        <v>5日戻り売り○</v>
      </c>
      <c r="Y144" s="388">
        <f>IF(売分析!T144&lt;&gt;"",売分析!T144,"")</f>
        <v>15</v>
      </c>
      <c r="Z144" s="212" t="str">
        <f>IF(売分析!Y144&lt;&gt;"",売分析!Y144,"")</f>
        <v>★逆張り売り | 下降トレンド▼ 5日戻り売り○ MACD- RSI:35.6 前日比:-1.9% [年初来安値圏] [15点]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1184.5</v>
      </c>
      <c r="F145" s="326">
        <f>IF(売分析!F145&lt;&gt;"",売分析!F145,"")</f>
        <v>1155.5</v>
      </c>
      <c r="G145" s="326">
        <f>IF(売分析!H145&lt;&gt;"",売分析!H145,"")</f>
        <v>1191.5</v>
      </c>
      <c r="H145" s="326">
        <f>IF(売分析!I145&lt;&gt;"",売分析!I145,"")</f>
        <v>1155.5</v>
      </c>
      <c r="I145" s="325">
        <f>IF(売分析!J145&lt;&gt;"",売分析!J145,"")</f>
        <v>4918000</v>
      </c>
      <c r="J145" s="326">
        <f>IF(売分析!AB145&lt;&gt;"",売分析!AB145,"")</f>
        <v>1160.08064516129</v>
      </c>
      <c r="K145" s="326">
        <f>IF(売分析!AC145&lt;&gt;"",売分析!AC145,"")</f>
        <v>1119.1495828367099</v>
      </c>
      <c r="L145" s="326">
        <f>IF(売分析!K145&lt;&gt;"",売分析!K145,"")</f>
        <v>1232.5</v>
      </c>
      <c r="M145" s="325" t="str">
        <f>IF(売分析!P145&lt;&gt;"",売分析!P145,"")</f>
        <v>減少↓</v>
      </c>
      <c r="N145" s="328">
        <f>IF(売分析!O145&lt;&gt;"",売分析!O145,"")</f>
        <v>0.57582023355961809</v>
      </c>
      <c r="O145" s="330">
        <f>IF(売分析!X145&lt;&gt;"",売分析!X145,"")</f>
        <v>-7.7476874609428705</v>
      </c>
      <c r="P145" s="327">
        <f>IF(売分析!L145&lt;&gt;"",売分析!L145,"")</f>
        <v>-3.8945233265720081</v>
      </c>
      <c r="Q145" s="326">
        <f>IF(売分析!S145&lt;&gt;"",売分析!S145,"")</f>
        <v>1232</v>
      </c>
      <c r="R145" s="326">
        <f>IF(売分析!R145&lt;&gt;"",売分析!R145,"")</f>
        <v>1090</v>
      </c>
      <c r="S145" s="325" t="str">
        <f>IF(売分析!AA145&lt;&gt;"",売分析!AA145,"")</f>
        <v>上昇▲</v>
      </c>
      <c r="T145" s="331">
        <f>IF(売分析!Z145&lt;&gt;"",売分析!Z145,"")</f>
        <v>2.59852750108272</v>
      </c>
      <c r="U145" s="325" t="str">
        <f>IF(売分析!V145&lt;&gt;"",売分析!V145,"")</f>
        <v>通常</v>
      </c>
      <c r="V145" s="329">
        <f>IF(売分析!W145&lt;&gt;"",売分析!W145,"")</f>
        <v>48.789671866594944</v>
      </c>
      <c r="W145" s="325" t="str">
        <f>IF(売分析!AD145&lt;&gt;"",売分析!AD145,"")</f>
        <v>パーフェクト▲</v>
      </c>
      <c r="X145" s="325" t="str">
        <f>IF(売分析!AE145&lt;&gt;"",売分析!AE145,"")</f>
        <v>なし</v>
      </c>
      <c r="Y145" s="387">
        <f>IF(売分析!T145&lt;&gt;"",売分析!T145,"")</f>
        <v>0</v>
      </c>
      <c r="Z145" s="325" t="str">
        <f>IF(売分析!Y145&lt;&gt;"",売分析!Y145,"")</f>
        <v>相場上昇・見送り | パーフェクト▲ MACD- RSI:48.8 前日比:+2.6% [0点]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899</v>
      </c>
      <c r="F146" s="333">
        <f>IF(売分析!F146&lt;&gt;"",売分析!F146,"")</f>
        <v>881</v>
      </c>
      <c r="G146" s="333">
        <f>IF(売分析!H146&lt;&gt;"",売分析!H146,"")</f>
        <v>904</v>
      </c>
      <c r="H146" s="333">
        <f>IF(売分析!I146&lt;&gt;"",売分析!I146,"")</f>
        <v>869</v>
      </c>
      <c r="I146" s="212">
        <f>IF(売分析!J146&lt;&gt;"",売分析!J146,"")</f>
        <v>149700</v>
      </c>
      <c r="J146" s="333">
        <f>IF(売分析!AB146&lt;&gt;"",売分析!AB146,"")</f>
        <v>885.44354838709671</v>
      </c>
      <c r="K146" s="333">
        <f>IF(売分析!AC146&lt;&gt;"",売分析!AC146,"")</f>
        <v>828.97854588796179</v>
      </c>
      <c r="L146" s="333">
        <f>IF(売分析!K146&lt;&gt;"",売分析!K146,"")</f>
        <v>1620</v>
      </c>
      <c r="M146" s="212" t="str">
        <f>IF(売分析!P146&lt;&gt;"",売分析!P146,"")</f>
        <v>減少↓</v>
      </c>
      <c r="N146" s="335">
        <f>IF(売分析!O146&lt;&gt;"",売分析!O146,"")</f>
        <v>0.58389890007020828</v>
      </c>
      <c r="O146" s="337">
        <f>IF(売分析!X146&lt;&gt;"",売分析!X146,"")</f>
        <v>-5.7821436958306549E-2</v>
      </c>
      <c r="P146" s="334">
        <f>IF(売分析!L146&lt;&gt;"",売分析!L146,"")</f>
        <v>-44.506172839506178</v>
      </c>
      <c r="Q146" s="333">
        <f>IF(売分析!S146&lt;&gt;"",売分析!S146,"")</f>
        <v>935</v>
      </c>
      <c r="R146" s="333">
        <f>IF(売分析!R146&lt;&gt;"",売分析!R146,"")</f>
        <v>827</v>
      </c>
      <c r="S146" s="212" t="str">
        <f>IF(売分析!AA146&lt;&gt;"",売分析!AA146,"")</f>
        <v>上昇▲</v>
      </c>
      <c r="T146" s="338">
        <f>IF(売分析!Z146&lt;&gt;"",売分析!Z146,"")</f>
        <v>0.67189249720044786</v>
      </c>
      <c r="U146" s="212" t="str">
        <f>IF(売分析!V146&lt;&gt;"",売分析!V146,"")</f>
        <v>年初来安値圏●</v>
      </c>
      <c r="V146" s="336">
        <f>IF(売分析!W146&lt;&gt;"",売分析!W146,"")</f>
        <v>51.239251390996458</v>
      </c>
      <c r="W146" s="212" t="str">
        <f>IF(売分析!AD146&lt;&gt;"",売分析!AD146,"")</f>
        <v>パーフェクト▲</v>
      </c>
      <c r="X146" s="212" t="str">
        <f>IF(売分析!AE146&lt;&gt;"",売分析!AE146,"")</f>
        <v>なし</v>
      </c>
      <c r="Y146" s="388">
        <f>IF(売分析!T146&lt;&gt;"",売分析!T146,"")</f>
        <v>11</v>
      </c>
      <c r="Z146" s="212" t="str">
        <f>IF(売分析!Y146&lt;&gt;"",売分析!Y146,"")</f>
        <v>相場上昇・見送り | パーフェクト▲ MACD- RSI:51.2 前日比:+0.7% [年初来安値圏] [11点]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5520</v>
      </c>
      <c r="F147" s="326">
        <f>IF(売分析!F147&lt;&gt;"",売分析!F147,"")</f>
        <v>5552</v>
      </c>
      <c r="G147" s="326">
        <f>IF(売分析!H147&lt;&gt;"",売分析!H147,"")</f>
        <v>5613</v>
      </c>
      <c r="H147" s="326">
        <f>IF(売分析!I147&lt;&gt;"",売分析!I147,"")</f>
        <v>5481</v>
      </c>
      <c r="I147" s="325">
        <f>IF(売分析!J147&lt;&gt;"",売分析!J147,"")</f>
        <v>1183400</v>
      </c>
      <c r="J147" s="326">
        <f>IF(売分析!AB147&lt;&gt;"",売分析!AB147,"")</f>
        <v>5480.5368663594472</v>
      </c>
      <c r="K147" s="326">
        <f>IF(売分析!AC147&lt;&gt;"",売分析!AC147,"")</f>
        <v>5504.0643623361102</v>
      </c>
      <c r="L147" s="326">
        <f>IF(売分析!K147&lt;&gt;"",売分析!K147,"")</f>
        <v>9317</v>
      </c>
      <c r="M147" s="325" t="str">
        <f>IF(売分析!P147&lt;&gt;"",売分析!P147,"")</f>
        <v>普通→</v>
      </c>
      <c r="N147" s="328">
        <f>IF(売分析!O147&lt;&gt;"",売分析!O147,"")</f>
        <v>1.1195837275307474</v>
      </c>
      <c r="O147" s="330">
        <f>IF(売分析!X147&lt;&gt;"",売分析!X147,"")</f>
        <v>-10.922985682953367</v>
      </c>
      <c r="P147" s="327">
        <f>IF(売分析!L147&lt;&gt;"",売分析!L147,"")</f>
        <v>-40.753461414618442</v>
      </c>
      <c r="Q147" s="326">
        <f>IF(売分析!S147&lt;&gt;"",売分析!S147,"")</f>
        <v>5741</v>
      </c>
      <c r="R147" s="326">
        <f>IF(売分析!R147&lt;&gt;"",売分析!R147,"")</f>
        <v>5078</v>
      </c>
      <c r="S147" s="325" t="str">
        <f>IF(売分析!AA147&lt;&gt;"",売分析!AA147,"")</f>
        <v>下落▼</v>
      </c>
      <c r="T147" s="331">
        <f>IF(売分析!Z147&lt;&gt;"",売分析!Z147,"")</f>
        <v>-0.57636887608069165</v>
      </c>
      <c r="U147" s="325" t="str">
        <f>IF(売分析!V147&lt;&gt;"",売分析!V147,"")</f>
        <v>年初来安値圏●</v>
      </c>
      <c r="V147" s="329">
        <f>IF(売分析!W147&lt;&gt;"",売分析!W147,"")</f>
        <v>46.917148362235061</v>
      </c>
      <c r="W147" s="325" t="str">
        <f>IF(売分析!AD147&lt;&gt;"",売分析!AD147,"")</f>
        <v>上昇トレンド▲</v>
      </c>
      <c r="X147" s="325" t="str">
        <f>IF(売分析!AE147&lt;&gt;"",売分析!AE147,"")</f>
        <v>なし</v>
      </c>
      <c r="Y147" s="387">
        <f>IF(売分析!T147&lt;&gt;"",売分析!T147,"")</f>
        <v>6</v>
      </c>
      <c r="Z147" s="325" t="str">
        <f>IF(売分析!Y147&lt;&gt;"",売分析!Y147,"")</f>
        <v>相場上昇・見送り | 上昇トレンド▲ MACD- RSI:46.9 前日比:-0.6% [年初来安値圏] [6点]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3100</v>
      </c>
      <c r="F148" s="333">
        <f>IF(売分析!F148&lt;&gt;"",売分析!F148,"")</f>
        <v>3200</v>
      </c>
      <c r="G148" s="333">
        <f>IF(売分析!H148&lt;&gt;"",売分析!H148,"")</f>
        <v>3265</v>
      </c>
      <c r="H148" s="333">
        <f>IF(売分析!I148&lt;&gt;"",売分析!I148,"")</f>
        <v>3100</v>
      </c>
      <c r="I148" s="212">
        <f>IF(売分析!J148&lt;&gt;"",売分析!J148,"")</f>
        <v>345300</v>
      </c>
      <c r="J148" s="333">
        <f>IF(売分析!AB148&lt;&gt;"",売分析!AB148,"")</f>
        <v>3060.5990783410134</v>
      </c>
      <c r="K148" s="333">
        <f>IF(売分析!AC148&lt;&gt;"",売分析!AC148,"")</f>
        <v>3038.7556615017875</v>
      </c>
      <c r="L148" s="333">
        <f>IF(売分析!K148&lt;&gt;"",売分析!K148,"")</f>
        <v>4155</v>
      </c>
      <c r="M148" s="212" t="str">
        <f>IF(売分析!P148&lt;&gt;"",売分析!P148,"")</f>
        <v>普通→</v>
      </c>
      <c r="N148" s="335">
        <f>IF(売分析!O148&lt;&gt;"",売分析!O148,"")</f>
        <v>1.1641942009440325</v>
      </c>
      <c r="O148" s="337">
        <f>IF(売分析!X148&lt;&gt;"",売分析!X148,"")</f>
        <v>-82.891585303236752</v>
      </c>
      <c r="P148" s="334">
        <f>IF(売分析!L148&lt;&gt;"",売分析!L148,"")</f>
        <v>-25.391095066185322</v>
      </c>
      <c r="Q148" s="333">
        <f>IF(売分析!S148&lt;&gt;"",売分析!S148,"")</f>
        <v>3224</v>
      </c>
      <c r="R148" s="333">
        <f>IF(売分析!R148&lt;&gt;"",売分析!R148,"")</f>
        <v>2852</v>
      </c>
      <c r="S148" s="212" t="str">
        <f>IF(売分析!AA148&lt;&gt;"",売分析!AA148,"")</f>
        <v>下落▼</v>
      </c>
      <c r="T148" s="338">
        <f>IF(売分析!Z148&lt;&gt;"",売分析!Z148,"")</f>
        <v>-0.95846645367412142</v>
      </c>
      <c r="U148" s="212" t="str">
        <f>IF(売分析!V148&lt;&gt;"",売分析!V148,"")</f>
        <v>安値圏</v>
      </c>
      <c r="V148" s="336">
        <f>IF(売分析!W148&lt;&gt;"",売分析!W148,"")</f>
        <v>46.765249537892792</v>
      </c>
      <c r="W148" s="212" t="str">
        <f>IF(売分析!AD148&lt;&gt;"",売分析!AD148,"")</f>
        <v>パーフェクト▲</v>
      </c>
      <c r="X148" s="212" t="str">
        <f>IF(売分析!AE148&lt;&gt;"",売分析!AE148,"")</f>
        <v>なし</v>
      </c>
      <c r="Y148" s="388">
        <f>IF(売分析!T148&lt;&gt;"",売分析!T148,"")</f>
        <v>9</v>
      </c>
      <c r="Z148" s="212" t="str">
        <f>IF(売分析!Y148&lt;&gt;"",売分析!Y148,"")</f>
        <v>相場上昇・見送り | パーフェクト▲ MACD- RSI:46.8 前日比:-1.0% [安値圏] [9点]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2448</v>
      </c>
      <c r="F149" s="326">
        <f>IF(売分析!F149&lt;&gt;"",売分析!F149,"")</f>
        <v>2434</v>
      </c>
      <c r="G149" s="326">
        <f>IF(売分析!H149&lt;&gt;"",売分析!H149,"")</f>
        <v>2470</v>
      </c>
      <c r="H149" s="326">
        <f>IF(売分析!I149&lt;&gt;"",売分析!I149,"")</f>
        <v>2417</v>
      </c>
      <c r="I149" s="325">
        <f>IF(売分析!J149&lt;&gt;"",売分析!J149,"")</f>
        <v>118900</v>
      </c>
      <c r="J149" s="326">
        <f>IF(売分析!AB149&lt;&gt;"",売分析!AB149,"")</f>
        <v>2441.1900921658989</v>
      </c>
      <c r="K149" s="326">
        <f>IF(売分析!AC149&lt;&gt;"",売分析!AC149,"")</f>
        <v>2492.3778307508928</v>
      </c>
      <c r="L149" s="326">
        <f>IF(売分析!K149&lt;&gt;"",売分析!K149,"")</f>
        <v>2885</v>
      </c>
      <c r="M149" s="325" t="str">
        <f>IF(売分析!P149&lt;&gt;"",売分析!P149,"")</f>
        <v>普通→</v>
      </c>
      <c r="N149" s="328">
        <f>IF(売分析!O149&lt;&gt;"",売分析!O149,"")</f>
        <v>1.1132958801498127</v>
      </c>
      <c r="O149" s="330">
        <f>IF(売分析!X149&lt;&gt;"",売分析!X149,"")</f>
        <v>-4.7389159326371555</v>
      </c>
      <c r="P149" s="327">
        <f>IF(売分析!L149&lt;&gt;"",売分析!L149,"")</f>
        <v>-15.147313691507799</v>
      </c>
      <c r="Q149" s="326">
        <f>IF(売分析!S149&lt;&gt;"",売分析!S149,"")</f>
        <v>2546</v>
      </c>
      <c r="R149" s="326">
        <f>IF(売分析!R149&lt;&gt;"",売分析!R149,"")</f>
        <v>2252</v>
      </c>
      <c r="S149" s="325" t="str">
        <f>IF(売分析!AA149&lt;&gt;"",売分析!AA149,"")</f>
        <v>上昇▲</v>
      </c>
      <c r="T149" s="331">
        <f>IF(売分析!Z149&lt;&gt;"",売分析!Z149,"")</f>
        <v>0.57518488085456043</v>
      </c>
      <c r="U149" s="325" t="str">
        <f>IF(売分析!V149&lt;&gt;"",売分析!V149,"")</f>
        <v>通常</v>
      </c>
      <c r="V149" s="329">
        <f>IF(売分析!W149&lt;&gt;"",売分析!W149,"")</f>
        <v>38.975501113585743</v>
      </c>
      <c r="W149" s="325" t="str">
        <f>IF(売分析!AD149&lt;&gt;"",売分析!AD149,"")</f>
        <v>もみ合い→</v>
      </c>
      <c r="X149" s="325" t="str">
        <f>IF(売分析!AE149&lt;&gt;"",売分析!AE149,"")</f>
        <v>25日戻り売り★</v>
      </c>
      <c r="Y149" s="387">
        <f>IF(売分析!T149&lt;&gt;"",売分析!T149,"")</f>
        <v>5</v>
      </c>
      <c r="Z149" s="325" t="str">
        <f>IF(売分析!Y149&lt;&gt;"",売分析!Y149,"")</f>
        <v>○逆張り売り | もみ合い→ 25日戻り売り★ MACD- RSI:39.0 前日比:+0.6% [5点]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76</v>
      </c>
      <c r="F150" s="333">
        <f>IF(売分析!F150&lt;&gt;"",売分析!F150,"")</f>
        <v>76</v>
      </c>
      <c r="G150" s="333">
        <f>IF(売分析!H150&lt;&gt;"",売分析!H150,"")</f>
        <v>79</v>
      </c>
      <c r="H150" s="333">
        <f>IF(売分析!I150&lt;&gt;"",売分析!I150,"")</f>
        <v>75</v>
      </c>
      <c r="I150" s="212">
        <f>IF(売分析!J150&lt;&gt;"",売分析!J150,"")</f>
        <v>1367600</v>
      </c>
      <c r="J150" s="333">
        <f>IF(売分析!AB150&lt;&gt;"",売分析!AB150,"")</f>
        <v>76.910138248847915</v>
      </c>
      <c r="K150" s="333">
        <f>IF(売分析!AC150&lt;&gt;"",売分析!AC150,"")</f>
        <v>117.87008343265788</v>
      </c>
      <c r="L150" s="333">
        <f>IF(売分析!K150&lt;&gt;"",売分析!K150,"")</f>
        <v>720</v>
      </c>
      <c r="M150" s="212" t="str">
        <f>IF(売分析!P150&lt;&gt;"",売分析!P150,"")</f>
        <v>減少↓</v>
      </c>
      <c r="N150" s="335">
        <f>IF(売分析!O150&lt;&gt;"",売分析!O150,"")</f>
        <v>0.35981330540982831</v>
      </c>
      <c r="O150" s="337">
        <f>IF(売分析!X150&lt;&gt;"",売分析!X150,"")</f>
        <v>-20.021764136937279</v>
      </c>
      <c r="P150" s="334">
        <f>IF(売分析!L150&lt;&gt;"",売分析!L150,"")</f>
        <v>-89.444444444444443</v>
      </c>
      <c r="Q150" s="333">
        <f>IF(売分析!S150&lt;&gt;"",売分析!S150,"")</f>
        <v>79</v>
      </c>
      <c r="R150" s="333">
        <f>IF(売分析!R150&lt;&gt;"",売分析!R150,"")</f>
        <v>70</v>
      </c>
      <c r="S150" s="212" t="str">
        <f>IF(売分析!AA150&lt;&gt;"",売分析!AA150,"")</f>
        <v>下落▼</v>
      </c>
      <c r="T150" s="338">
        <f>IF(売分析!Z150&lt;&gt;"",売分析!Z150,"")</f>
        <v>-2.5641025641025639</v>
      </c>
      <c r="U150" s="212" t="str">
        <f>IF(売分析!V150&lt;&gt;"",売分析!V150,"")</f>
        <v>年初来安値圏●</v>
      </c>
      <c r="V150" s="336">
        <f>IF(売分析!W150&lt;&gt;"",売分析!W150,"")</f>
        <v>34.5</v>
      </c>
      <c r="W150" s="212" t="str">
        <f>IF(売分析!AD150&lt;&gt;"",売分析!AD150,"")</f>
        <v>下降トレンド▼</v>
      </c>
      <c r="X150" s="212" t="str">
        <f>IF(売分析!AE150&lt;&gt;"",売分析!AE150,"")</f>
        <v>なし</v>
      </c>
      <c r="Y150" s="388">
        <f>IF(売分析!T150&lt;&gt;"",売分析!T150,"")</f>
        <v>14</v>
      </c>
      <c r="Z150" s="212" t="str">
        <f>IF(売分析!Y150&lt;&gt;"",売分析!Y150,"")</f>
        <v>相場上昇・見送り | 下降トレンド▼ MACD- RSI:34.5 前日比:-2.6% [年初来安値圏] [14点]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4738</v>
      </c>
      <c r="F151" s="326">
        <f>IF(売分析!F151&lt;&gt;"",売分析!F151,"")</f>
        <v>4639</v>
      </c>
      <c r="G151" s="326">
        <f>IF(売分析!H151&lt;&gt;"",売分析!H151,"")</f>
        <v>4761</v>
      </c>
      <c r="H151" s="326">
        <f>IF(売分析!I151&lt;&gt;"",売分析!I151,"")</f>
        <v>4629</v>
      </c>
      <c r="I151" s="325">
        <f>IF(売分析!J151&lt;&gt;"",売分析!J151,"")</f>
        <v>3127100</v>
      </c>
      <c r="J151" s="326">
        <f>IF(売分析!AB151&lt;&gt;"",売分析!AB151,"")</f>
        <v>4666.4493087557594</v>
      </c>
      <c r="K151" s="326">
        <f>IF(売分析!AC151&lt;&gt;"",売分析!AC151,"")</f>
        <v>4952.6019070321809</v>
      </c>
      <c r="L151" s="326">
        <f>IF(売分析!K151&lt;&gt;"",売分析!K151,"")</f>
        <v>6300</v>
      </c>
      <c r="M151" s="325" t="str">
        <f>IF(売分析!P151&lt;&gt;"",売分析!P151,"")</f>
        <v>減少↓</v>
      </c>
      <c r="N151" s="328">
        <f>IF(売分析!O151&lt;&gt;"",売分析!O151,"")</f>
        <v>0.69064751379263123</v>
      </c>
      <c r="O151" s="330">
        <f>IF(売分析!X151&lt;&gt;"",売分析!X151,"")</f>
        <v>-26.596352477122309</v>
      </c>
      <c r="P151" s="327">
        <f>IF(売分析!L151&lt;&gt;"",売分析!L151,"")</f>
        <v>-24.793650793650794</v>
      </c>
      <c r="Q151" s="326">
        <f>IF(売分析!S151&lt;&gt;"",売分析!S151,"")</f>
        <v>4928</v>
      </c>
      <c r="R151" s="326">
        <f>IF(売分析!R151&lt;&gt;"",売分析!R151,"")</f>
        <v>4359</v>
      </c>
      <c r="S151" s="325" t="str">
        <f>IF(売分析!AA151&lt;&gt;"",売分析!AA151,"")</f>
        <v>上昇▲</v>
      </c>
      <c r="T151" s="331">
        <f>IF(売分析!Z151&lt;&gt;"",売分析!Z151,"")</f>
        <v>3.6761487964989055</v>
      </c>
      <c r="U151" s="325" t="str">
        <f>IF(売分析!V151&lt;&gt;"",売分析!V151,"")</f>
        <v>安値圏</v>
      </c>
      <c r="V151" s="329">
        <f>IF(売分析!W151&lt;&gt;"",売分析!W151,"")</f>
        <v>41.090555014605648</v>
      </c>
      <c r="W151" s="325" t="str">
        <f>IF(売分析!AD151&lt;&gt;"",売分析!AD151,"")</f>
        <v>もみ合い→</v>
      </c>
      <c r="X151" s="325" t="str">
        <f>IF(売分析!AE151&lt;&gt;"",売分析!AE151,"")</f>
        <v>なし</v>
      </c>
      <c r="Y151" s="387">
        <f>IF(売分析!T151&lt;&gt;"",売分析!T151,"")</f>
        <v>4</v>
      </c>
      <c r="Z151" s="325" t="str">
        <f>IF(売分析!Y151&lt;&gt;"",売分析!Y151,"")</f>
        <v>相場上昇・見送り | もみ合い→ MACD- RSI:41.1 前日比:+3.7% [安値圏] [4点]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6034</v>
      </c>
      <c r="F152" s="333">
        <f>IF(売分析!F152&lt;&gt;"",売分析!F152,"")</f>
        <v>5921</v>
      </c>
      <c r="G152" s="333">
        <f>IF(売分析!H152&lt;&gt;"",売分析!H152,"")</f>
        <v>6095</v>
      </c>
      <c r="H152" s="333">
        <f>IF(売分析!I152&lt;&gt;"",売分析!I152,"")</f>
        <v>5921</v>
      </c>
      <c r="I152" s="212">
        <f>IF(売分析!J152&lt;&gt;"",売分析!J152,"")</f>
        <v>440800</v>
      </c>
      <c r="J152" s="333">
        <f>IF(売分析!AB152&lt;&gt;"",売分析!AB152,"")</f>
        <v>5901.9124423963131</v>
      </c>
      <c r="K152" s="333">
        <f>IF(売分析!AC152&lt;&gt;"",売分析!AC152,"")</f>
        <v>5939.114421930868</v>
      </c>
      <c r="L152" s="333">
        <f>IF(売分析!K152&lt;&gt;"",売分析!K152,"")</f>
        <v>6509</v>
      </c>
      <c r="M152" s="212" t="str">
        <f>IF(売分析!P152&lt;&gt;"",売分析!P152,"")</f>
        <v>減少↓</v>
      </c>
      <c r="N152" s="335">
        <f>IF(売分析!O152&lt;&gt;"",売分析!O152,"")</f>
        <v>0.77249307770495246</v>
      </c>
      <c r="O152" s="337">
        <f>IF(売分析!X152&lt;&gt;"",売分析!X152,"")</f>
        <v>-36.036905098331772</v>
      </c>
      <c r="P152" s="334">
        <f>IF(売分析!L152&lt;&gt;"",売分析!L152,"")</f>
        <v>-7.2975879551390381</v>
      </c>
      <c r="Q152" s="333">
        <f>IF(売分析!S152&lt;&gt;"",売分析!S152,"")</f>
        <v>6275</v>
      </c>
      <c r="R152" s="333">
        <f>IF(売分析!R152&lt;&gt;"",売分析!R152,"")</f>
        <v>5551</v>
      </c>
      <c r="S152" s="212" t="str">
        <f>IF(売分析!AA152&lt;&gt;"",売分析!AA152,"")</f>
        <v>上昇▲</v>
      </c>
      <c r="T152" s="338">
        <f>IF(売分析!Z152&lt;&gt;"",売分析!Z152,"")</f>
        <v>1.6509433962264151</v>
      </c>
      <c r="U152" s="212" t="str">
        <f>IF(売分析!V152&lt;&gt;"",売分析!V152,"")</f>
        <v>通常</v>
      </c>
      <c r="V152" s="336">
        <f>IF(売分析!W152&lt;&gt;"",売分析!W152,"")</f>
        <v>41.074380165289256</v>
      </c>
      <c r="W152" s="212" t="str">
        <f>IF(売分析!AD152&lt;&gt;"",売分析!AD152,"")</f>
        <v>上昇トレンド▲</v>
      </c>
      <c r="X152" s="212" t="str">
        <f>IF(売分析!AE152&lt;&gt;"",売分析!AE152,"")</f>
        <v>なし</v>
      </c>
      <c r="Y152" s="388">
        <f>IF(売分析!T152&lt;&gt;"",売分析!T152,"")</f>
        <v>3</v>
      </c>
      <c r="Z152" s="212" t="str">
        <f>IF(売分析!Y152&lt;&gt;"",売分析!Y152,"")</f>
        <v>相場上昇・見送り | 上昇トレンド▲ MACD- RSI:41.1 前日比:+1.7% [3点]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2284</v>
      </c>
      <c r="F153" s="326">
        <f>IF(売分析!F153&lt;&gt;"",売分析!F153,"")</f>
        <v>2285</v>
      </c>
      <c r="G153" s="326">
        <f>IF(売分析!H153&lt;&gt;"",売分析!H153,"")</f>
        <v>2300</v>
      </c>
      <c r="H153" s="326">
        <f>IF(売分析!I153&lt;&gt;"",売分析!I153,"")</f>
        <v>2283</v>
      </c>
      <c r="I153" s="325">
        <f>IF(売分析!J153&lt;&gt;"",売分析!J153,"")</f>
        <v>6800</v>
      </c>
      <c r="J153" s="326">
        <f>IF(売分析!AB153&lt;&gt;"",売分析!AB153,"")</f>
        <v>2293.1981566820273</v>
      </c>
      <c r="K153" s="326">
        <f>IF(売分析!AC153&lt;&gt;"",売分析!AC153,"")</f>
        <v>2325.5065554231214</v>
      </c>
      <c r="L153" s="326">
        <f>IF(売分析!K153&lt;&gt;"",売分析!K153,"")</f>
        <v>2877</v>
      </c>
      <c r="M153" s="325" t="str">
        <f>IF(売分析!P153&lt;&gt;"",売分析!P153,"")</f>
        <v>減少↓</v>
      </c>
      <c r="N153" s="328">
        <f>IF(売分析!O153&lt;&gt;"",売分析!O153,"")</f>
        <v>0.38592508513053347</v>
      </c>
      <c r="O153" s="330">
        <f>IF(売分析!X153&lt;&gt;"",売分析!X153,"")</f>
        <v>-8.2958318573150791</v>
      </c>
      <c r="P153" s="327">
        <f>IF(売分析!L153&lt;&gt;"",売分析!L153,"")</f>
        <v>-20.611748348974626</v>
      </c>
      <c r="Q153" s="326">
        <f>IF(売分析!S153&lt;&gt;"",売分析!S153,"")</f>
        <v>2375</v>
      </c>
      <c r="R153" s="326">
        <f>IF(売分析!R153&lt;&gt;"",売分析!R153,"")</f>
        <v>2101</v>
      </c>
      <c r="S153" s="325" t="str">
        <f>IF(売分析!AA153&lt;&gt;"",売分析!AA153,"")</f>
        <v>上昇▲</v>
      </c>
      <c r="T153" s="331">
        <f>IF(売分析!Z153&lt;&gt;"",売分析!Z153,"")</f>
        <v>8.7642418930762495E-2</v>
      </c>
      <c r="U153" s="325" t="str">
        <f>IF(売分析!V153&lt;&gt;"",売分析!V153,"")</f>
        <v>通常</v>
      </c>
      <c r="V153" s="329">
        <f>IF(売分析!W153&lt;&gt;"",売分析!W153,"")</f>
        <v>37.454545454545453</v>
      </c>
      <c r="W153" s="325" t="str">
        <f>IF(売分析!AD153&lt;&gt;"",売分析!AD153,"")</f>
        <v>下降トレンド▼</v>
      </c>
      <c r="X153" s="325" t="str">
        <f>IF(売分析!AE153&lt;&gt;"",売分析!AE153,"")</f>
        <v>25日戻り売り★</v>
      </c>
      <c r="Y153" s="387">
        <f>IF(売分析!T153&lt;&gt;"",売分析!T153,"")</f>
        <v>11</v>
      </c>
      <c r="Z153" s="325" t="str">
        <f>IF(売分析!Y153&lt;&gt;"",売分析!Y153,"")</f>
        <v>★逆張り売り | 下降トレンド▼ 25日戻り売り★ MACD- RSI:37.5 前日比:+0.1%前日[大陰線▼] [11点]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3753</v>
      </c>
      <c r="F154" s="333">
        <f>IF(売分析!F154&lt;&gt;"",売分析!F154,"")</f>
        <v>3670</v>
      </c>
      <c r="G154" s="333">
        <f>IF(売分析!H154&lt;&gt;"",売分析!H154,"")</f>
        <v>3776</v>
      </c>
      <c r="H154" s="333">
        <f>IF(売分析!I154&lt;&gt;"",売分析!I154,"")</f>
        <v>3643</v>
      </c>
      <c r="I154" s="212">
        <f>IF(売分析!J154&lt;&gt;"",売分析!J154,"")</f>
        <v>196300</v>
      </c>
      <c r="J154" s="333">
        <f>IF(売分析!AB154&lt;&gt;"",売分析!AB154,"")</f>
        <v>3729.2453917050689</v>
      </c>
      <c r="K154" s="333">
        <f>IF(売分析!AC154&lt;&gt;"",売分析!AC154,"")</f>
        <v>3789.8414779499381</v>
      </c>
      <c r="L154" s="333">
        <f>IF(売分析!K154&lt;&gt;"",売分析!K154,"")</f>
        <v>4655</v>
      </c>
      <c r="M154" s="212" t="str">
        <f>IF(売分析!P154&lt;&gt;"",売分析!P154,"")</f>
        <v>減少↓</v>
      </c>
      <c r="N154" s="335">
        <f>IF(売分析!O154&lt;&gt;"",売分析!O154,"")</f>
        <v>0.60188875942846631</v>
      </c>
      <c r="O154" s="337">
        <f>IF(売分析!X154&lt;&gt;"",売分析!X154,"")</f>
        <v>2.7714785522962302</v>
      </c>
      <c r="P154" s="334">
        <f>IF(売分析!L154&lt;&gt;"",売分析!L154,"")</f>
        <v>-19.377013963480131</v>
      </c>
      <c r="Q154" s="333">
        <f>IF(売分析!S154&lt;&gt;"",売分析!S154,"")</f>
        <v>3903</v>
      </c>
      <c r="R154" s="333">
        <f>IF(売分析!R154&lt;&gt;"",売分析!R154,"")</f>
        <v>3453</v>
      </c>
      <c r="S154" s="212" t="str">
        <f>IF(売分析!AA154&lt;&gt;"",売分析!AA154,"")</f>
        <v>上昇▲</v>
      </c>
      <c r="T154" s="338">
        <f>IF(売分析!Z154&lt;&gt;"",売分析!Z154,"")</f>
        <v>2.4849808847624248</v>
      </c>
      <c r="U154" s="212" t="str">
        <f>IF(売分析!V154&lt;&gt;"",売分析!V154,"")</f>
        <v>通常</v>
      </c>
      <c r="V154" s="336">
        <f>IF(売分析!W154&lt;&gt;"",売分析!W154,"")</f>
        <v>42.624999999999993</v>
      </c>
      <c r="W154" s="212" t="str">
        <f>IF(売分析!AD154&lt;&gt;"",売分析!AD154,"")</f>
        <v>もみ合い→</v>
      </c>
      <c r="X154" s="212" t="str">
        <f>IF(売分析!AE154&lt;&gt;"",売分析!AE154,"")</f>
        <v>25日戻り売り★</v>
      </c>
      <c r="Y154" s="388">
        <f>IF(売分析!T154&lt;&gt;"",売分析!T154,"")</f>
        <v>2</v>
      </c>
      <c r="Z154" s="212" t="str">
        <f>IF(売分析!Y154&lt;&gt;"",売分析!Y154,"")</f>
        <v>○逆張り売り | もみ合い→ 25日戻り売り★ MACD+ RSI:42.6 前日比:+2.5% [2点]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3896</v>
      </c>
      <c r="F155" s="326">
        <f>IF(売分析!F155&lt;&gt;"",売分析!F155,"")</f>
        <v>3907</v>
      </c>
      <c r="G155" s="326">
        <f>IF(売分析!H155&lt;&gt;"",売分析!H155,"")</f>
        <v>3932</v>
      </c>
      <c r="H155" s="326">
        <f>IF(売分析!I155&lt;&gt;"",売分析!I155,"")</f>
        <v>3869</v>
      </c>
      <c r="I155" s="325">
        <f>IF(売分析!J155&lt;&gt;"",売分析!J155,"")</f>
        <v>198300</v>
      </c>
      <c r="J155" s="326">
        <f>IF(売分析!AB155&lt;&gt;"",売分析!AB155,"")</f>
        <v>3891.5564516129034</v>
      </c>
      <c r="K155" s="326">
        <f>IF(売分析!AC155&lt;&gt;"",売分析!AC155,"")</f>
        <v>3685.2908224076268</v>
      </c>
      <c r="L155" s="326">
        <f>IF(売分析!K155&lt;&gt;"",売分析!K155,"")</f>
        <v>4310</v>
      </c>
      <c r="M155" s="325" t="str">
        <f>IF(売分析!P155&lt;&gt;"",売分析!P155,"")</f>
        <v>減少↓</v>
      </c>
      <c r="N155" s="328">
        <f>IF(売分析!O155&lt;&gt;"",売分析!O155,"")</f>
        <v>0.47336006874820968</v>
      </c>
      <c r="O155" s="330">
        <f>IF(売分析!X155&lt;&gt;"",売分析!X155,"")</f>
        <v>5.3773697554925093</v>
      </c>
      <c r="P155" s="327">
        <f>IF(売分析!L155&lt;&gt;"",売分析!L155,"")</f>
        <v>-9.6055684454756367</v>
      </c>
      <c r="Q155" s="326">
        <f>IF(売分析!S155&lt;&gt;"",売分析!S155,"")</f>
        <v>4052</v>
      </c>
      <c r="R155" s="326">
        <f>IF(売分析!R155&lt;&gt;"",売分析!R155,"")</f>
        <v>3584</v>
      </c>
      <c r="S155" s="325" t="str">
        <f>IF(売分析!AA155&lt;&gt;"",売分析!AA155,"")</f>
        <v>上昇▲</v>
      </c>
      <c r="T155" s="331">
        <f>IF(売分析!Z155&lt;&gt;"",売分析!Z155,"")</f>
        <v>0.41237113402061859</v>
      </c>
      <c r="U155" s="325" t="str">
        <f>IF(売分析!V155&lt;&gt;"",売分析!V155,"")</f>
        <v>通常</v>
      </c>
      <c r="V155" s="329">
        <f>IF(売分析!W155&lt;&gt;"",売分析!W155,"")</f>
        <v>50.59960414483642</v>
      </c>
      <c r="W155" s="325" t="str">
        <f>IF(売分析!AD155&lt;&gt;"",売分析!AD155,"")</f>
        <v>パーフェクト▲</v>
      </c>
      <c r="X155" s="325" t="str">
        <f>IF(売分析!AE155&lt;&gt;"",売分析!AE155,"")</f>
        <v>なし</v>
      </c>
      <c r="Y155" s="387">
        <f>IF(売分析!T155&lt;&gt;"",売分析!T155,"")</f>
        <v>-3</v>
      </c>
      <c r="Z155" s="325" t="str">
        <f>IF(売分析!Y155&lt;&gt;"",売分析!Y155,"")</f>
        <v>相場上昇・見送り | パーフェクト▲ MACD+ RSI:50.6 前日比:+0.4%前日[長い下ヒゲ(反発)] [-3点]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1893</v>
      </c>
      <c r="F156" s="333">
        <f>IF(売分析!F156&lt;&gt;"",売分析!F156,"")</f>
        <v>1856</v>
      </c>
      <c r="G156" s="333">
        <f>IF(売分析!H156&lt;&gt;"",売分析!H156,"")</f>
        <v>1902</v>
      </c>
      <c r="H156" s="333">
        <f>IF(売分析!I156&lt;&gt;"",売分析!I156,"")</f>
        <v>1851</v>
      </c>
      <c r="I156" s="212">
        <f>IF(売分析!J156&lt;&gt;"",売分析!J156,"")</f>
        <v>132800</v>
      </c>
      <c r="J156" s="333">
        <f>IF(売分析!AB156&lt;&gt;"",売分析!AB156,"")</f>
        <v>1882.8513824884792</v>
      </c>
      <c r="K156" s="333">
        <f>IF(売分析!AC156&lt;&gt;"",売分析!AC156,"")</f>
        <v>1804.7115613825983</v>
      </c>
      <c r="L156" s="333">
        <f>IF(売分析!K156&lt;&gt;"",売分析!K156,"")</f>
        <v>2696</v>
      </c>
      <c r="M156" s="212" t="str">
        <f>IF(売分析!P156&lt;&gt;"",売分析!P156,"")</f>
        <v>減少↓</v>
      </c>
      <c r="N156" s="335">
        <f>IF(売分析!O156&lt;&gt;"",売分析!O156,"")</f>
        <v>0.79085278704144835</v>
      </c>
      <c r="O156" s="337">
        <f>IF(売分析!X156&lt;&gt;"",売分析!X156,"")</f>
        <v>5.8413184258815818</v>
      </c>
      <c r="P156" s="334">
        <f>IF(売分析!L156&lt;&gt;"",売分析!L156,"")</f>
        <v>-29.784866468842729</v>
      </c>
      <c r="Q156" s="333">
        <f>IF(売分析!S156&lt;&gt;"",売分析!S156,"")</f>
        <v>1969</v>
      </c>
      <c r="R156" s="333">
        <f>IF(売分析!R156&lt;&gt;"",売分析!R156,"")</f>
        <v>1742</v>
      </c>
      <c r="S156" s="212" t="str">
        <f>IF(売分析!AA156&lt;&gt;"",売分析!AA156,"")</f>
        <v>上昇▲</v>
      </c>
      <c r="T156" s="338">
        <f>IF(売分析!Z156&lt;&gt;"",売分析!Z156,"")</f>
        <v>1.5013404825737267</v>
      </c>
      <c r="U156" s="212" t="str">
        <f>IF(売分析!V156&lt;&gt;"",売分析!V156,"")</f>
        <v>安値圏</v>
      </c>
      <c r="V156" s="336">
        <f>IF(売分析!W156&lt;&gt;"",売分析!W156,"")</f>
        <v>50.254298861709856</v>
      </c>
      <c r="W156" s="212" t="str">
        <f>IF(売分析!AD156&lt;&gt;"",売分析!AD156,"")</f>
        <v>パーフェクト▲</v>
      </c>
      <c r="X156" s="212" t="str">
        <f>IF(売分析!AE156&lt;&gt;"",売分析!AE156,"")</f>
        <v>なし</v>
      </c>
      <c r="Y156" s="388">
        <f>IF(売分析!T156&lt;&gt;"",売分析!T156,"")</f>
        <v>2</v>
      </c>
      <c r="Z156" s="212" t="str">
        <f>IF(売分析!Y156&lt;&gt;"",売分析!Y156,"")</f>
        <v>相場上昇・見送り | パーフェクト▲ MACD+ RSI:50.3 前日比:+1.5% [安値圏] [2点]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921.5</v>
      </c>
      <c r="F157" s="326">
        <f>IF(売分析!F157&lt;&gt;"",売分析!F157,"")</f>
        <v>910</v>
      </c>
      <c r="G157" s="326">
        <f>IF(売分析!H157&lt;&gt;"",売分析!H157,"")</f>
        <v>928.2</v>
      </c>
      <c r="H157" s="326">
        <f>IF(売分析!I157&lt;&gt;"",売分析!I157,"")</f>
        <v>909.3</v>
      </c>
      <c r="I157" s="325">
        <f>IF(売分析!J157&lt;&gt;"",売分析!J157,"")</f>
        <v>932100</v>
      </c>
      <c r="J157" s="326">
        <f>IF(売分析!AB157&lt;&gt;"",売分析!AB157,"")</f>
        <v>926.966935483871</v>
      </c>
      <c r="K157" s="326">
        <f>IF(売分析!AC157&lt;&gt;"",売分析!AC157,"")</f>
        <v>935.56567342073845</v>
      </c>
      <c r="L157" s="326">
        <f>IF(売分析!K157&lt;&gt;"",売分析!K157,"")</f>
        <v>1142</v>
      </c>
      <c r="M157" s="325" t="str">
        <f>IF(売分析!P157&lt;&gt;"",売分析!P157,"")</f>
        <v>減少↓</v>
      </c>
      <c r="N157" s="328">
        <f>IF(売分析!O157&lt;&gt;"",売分析!O157,"")</f>
        <v>0.91101901987997735</v>
      </c>
      <c r="O157" s="330">
        <f>IF(売分析!X157&lt;&gt;"",売分析!X157,"")</f>
        <v>5.2491997659601566</v>
      </c>
      <c r="P157" s="327">
        <f>IF(売分析!L157&lt;&gt;"",売分析!L157,"")</f>
        <v>-19.308231173380037</v>
      </c>
      <c r="Q157" s="326">
        <f>IF(売分析!S157&lt;&gt;"",売分析!S157,"")</f>
        <v>958</v>
      </c>
      <c r="R157" s="326">
        <f>IF(売分析!R157&lt;&gt;"",売分析!R157,"")</f>
        <v>848</v>
      </c>
      <c r="S157" s="325" t="str">
        <f>IF(売分析!AA157&lt;&gt;"",売分析!AA157,"")</f>
        <v>上昇▲</v>
      </c>
      <c r="T157" s="331">
        <f>IF(売分析!Z157&lt;&gt;"",売分析!Z157,"")</f>
        <v>0.62240663900415438</v>
      </c>
      <c r="U157" s="325" t="str">
        <f>IF(売分析!V157&lt;&gt;"",売分析!V157,"")</f>
        <v>通常</v>
      </c>
      <c r="V157" s="329">
        <f>IF(売分析!W157&lt;&gt;"",売分析!W157,"")</f>
        <v>51.273584905660371</v>
      </c>
      <c r="W157" s="325" t="str">
        <f>IF(売分析!AD157&lt;&gt;"",売分析!AD157,"")</f>
        <v>下降トレンド▼</v>
      </c>
      <c r="X157" s="325" t="str">
        <f>IF(売分析!AE157&lt;&gt;"",売分析!AE157,"")</f>
        <v>25日戻り売り★</v>
      </c>
      <c r="Y157" s="387">
        <f>IF(売分析!T157&lt;&gt;"",売分析!T157,"")</f>
        <v>5</v>
      </c>
      <c r="Z157" s="325" t="str">
        <f>IF(売分析!Y157&lt;&gt;"",売分析!Y157,"")</f>
        <v>★逆張り売り | 下降トレンド▼ 25日戻り売り★ MACD+ RSI:51.3 前日比:+0.6% [5点]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2365</v>
      </c>
      <c r="F158" s="333">
        <f>IF(売分析!F158&lt;&gt;"",売分析!F158,"")</f>
        <v>2331</v>
      </c>
      <c r="G158" s="333">
        <f>IF(売分析!H158&lt;&gt;"",売分析!H158,"")</f>
        <v>2372</v>
      </c>
      <c r="H158" s="333">
        <f>IF(売分析!I158&lt;&gt;"",売分析!I158,"")</f>
        <v>2331</v>
      </c>
      <c r="I158" s="212">
        <f>IF(売分析!J158&lt;&gt;"",売分析!J158,"")</f>
        <v>7700</v>
      </c>
      <c r="J158" s="333">
        <f>IF(売分析!AB158&lt;&gt;"",売分析!AB158,"")</f>
        <v>2360.5702764976959</v>
      </c>
      <c r="K158" s="333">
        <f>IF(売分析!AC158&lt;&gt;"",売分析!AC158,"")</f>
        <v>2344.6174016686518</v>
      </c>
      <c r="L158" s="333">
        <f>IF(売分析!K158&lt;&gt;"",売分析!K158,"")</f>
        <v>2730</v>
      </c>
      <c r="M158" s="212" t="str">
        <f>IF(売分析!P158&lt;&gt;"",売分析!P158,"")</f>
        <v>減少↓</v>
      </c>
      <c r="N158" s="335">
        <f>IF(売分析!O158&lt;&gt;"",売分析!O158,"")</f>
        <v>0.64381270903010035</v>
      </c>
      <c r="O158" s="337">
        <f>IF(売分析!X158&lt;&gt;"",売分析!X158,"")</f>
        <v>9.5846226103435583</v>
      </c>
      <c r="P158" s="334">
        <f>IF(売分析!L158&lt;&gt;"",売分析!L158,"")</f>
        <v>-13.36996336996337</v>
      </c>
      <c r="Q158" s="333">
        <f>IF(売分析!S158&lt;&gt;"",売分析!S158,"")</f>
        <v>2460</v>
      </c>
      <c r="R158" s="333">
        <f>IF(売分析!R158&lt;&gt;"",売分析!R158,"")</f>
        <v>2176</v>
      </c>
      <c r="S158" s="212" t="str">
        <f>IF(売分析!AA158&lt;&gt;"",売分析!AA158,"")</f>
        <v>上昇▲</v>
      </c>
      <c r="T158" s="338">
        <f>IF(売分析!Z158&lt;&gt;"",売分析!Z158,"")</f>
        <v>1.2414383561643836</v>
      </c>
      <c r="U158" s="212" t="str">
        <f>IF(売分析!V158&lt;&gt;"",売分析!V158,"")</f>
        <v>通常</v>
      </c>
      <c r="V158" s="336">
        <f>IF(売分析!W158&lt;&gt;"",売分析!W158,"")</f>
        <v>53.333333333333329</v>
      </c>
      <c r="W158" s="212" t="str">
        <f>IF(売分析!AD158&lt;&gt;"",売分析!AD158,"")</f>
        <v>パーフェクト▲</v>
      </c>
      <c r="X158" s="212" t="str">
        <f>IF(売分析!AE158&lt;&gt;"",売分析!AE158,"")</f>
        <v>なし</v>
      </c>
      <c r="Y158" s="388">
        <f>IF(売分析!T158&lt;&gt;"",売分析!T158,"")</f>
        <v>2</v>
      </c>
      <c r="Z158" s="212" t="str">
        <f>IF(売分析!Y158&lt;&gt;"",売分析!Y158,"")</f>
        <v>相場上昇・見送り | パーフェクト▲ MACD+ RSI:53.3 前日比:+1.2%前日[大陰線▼] [2点]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3847</v>
      </c>
      <c r="F159" s="326">
        <f>IF(売分析!F159&lt;&gt;"",売分析!F159,"")</f>
        <v>3810</v>
      </c>
      <c r="G159" s="326">
        <f>IF(売分析!H159&lt;&gt;"",売分析!H159,"")</f>
        <v>3880</v>
      </c>
      <c r="H159" s="326">
        <f>IF(売分析!I159&lt;&gt;"",売分析!I159,"")</f>
        <v>3798</v>
      </c>
      <c r="I159" s="325">
        <f>IF(売分析!J159&lt;&gt;"",売分析!J159,"")</f>
        <v>2156300</v>
      </c>
      <c r="J159" s="326">
        <f>IF(売分析!AB159&lt;&gt;"",売分析!AB159,"")</f>
        <v>3855.0426267281105</v>
      </c>
      <c r="K159" s="326">
        <f>IF(売分析!AC159&lt;&gt;"",売分析!AC159,"")</f>
        <v>3868.8748510131086</v>
      </c>
      <c r="L159" s="326">
        <f>IF(売分析!K159&lt;&gt;"",売分析!K159,"")</f>
        <v>4830</v>
      </c>
      <c r="M159" s="325" t="str">
        <f>IF(売分析!P159&lt;&gt;"",売分析!P159,"")</f>
        <v>減少↓</v>
      </c>
      <c r="N159" s="328">
        <f>IF(売分析!O159&lt;&gt;"",売分析!O159,"")</f>
        <v>0.6305892674367598</v>
      </c>
      <c r="O159" s="330">
        <f>IF(売分析!X159&lt;&gt;"",売分析!X159,"")</f>
        <v>38.584168859133115</v>
      </c>
      <c r="P159" s="327">
        <f>IF(売分析!L159&lt;&gt;"",売分析!L159,"")</f>
        <v>-20.351966873706004</v>
      </c>
      <c r="Q159" s="326">
        <f>IF(売分析!S159&lt;&gt;"",売分析!S159,"")</f>
        <v>4001</v>
      </c>
      <c r="R159" s="326">
        <f>IF(売分析!R159&lt;&gt;"",売分析!R159,"")</f>
        <v>3539</v>
      </c>
      <c r="S159" s="325" t="str">
        <f>IF(売分析!AA159&lt;&gt;"",売分析!AA159,"")</f>
        <v>上昇▲</v>
      </c>
      <c r="T159" s="331">
        <f>IF(売分析!Z159&lt;&gt;"",売分析!Z159,"")</f>
        <v>0.44386422976501305</v>
      </c>
      <c r="U159" s="325" t="str">
        <f>IF(売分析!V159&lt;&gt;"",売分析!V159,"")</f>
        <v>通常</v>
      </c>
      <c r="V159" s="329">
        <f>IF(売分析!W159&lt;&gt;"",売分析!W159,"")</f>
        <v>56.378986866791742</v>
      </c>
      <c r="W159" s="325" t="str">
        <f>IF(売分析!AD159&lt;&gt;"",売分析!AD159,"")</f>
        <v>下降トレンド▼</v>
      </c>
      <c r="X159" s="325" t="str">
        <f>IF(売分析!AE159&lt;&gt;"",売分析!AE159,"")</f>
        <v>25日戻り売り★</v>
      </c>
      <c r="Y159" s="387">
        <f>IF(売分析!T159&lt;&gt;"",売分析!T159,"")</f>
        <v>3</v>
      </c>
      <c r="Z159" s="325" t="str">
        <f>IF(売分析!Y159&lt;&gt;"",売分析!Y159,"")</f>
        <v>★逆張り売り | 下降トレンド▼ 25日戻り売り★ MACD+ RSI:56.4 前日比:+0.4%前日[長い下ヒゲ(反発)] [3点]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2359</v>
      </c>
      <c r="F160" s="333">
        <f>IF(売分析!F160&lt;&gt;"",売分析!F160,"")</f>
        <v>2356</v>
      </c>
      <c r="G160" s="333">
        <f>IF(売分析!H160&lt;&gt;"",売分析!H160,"")</f>
        <v>2380</v>
      </c>
      <c r="H160" s="333">
        <f>IF(売分析!I160&lt;&gt;"",売分析!I160,"")</f>
        <v>2325</v>
      </c>
      <c r="I160" s="212">
        <f>IF(売分析!J160&lt;&gt;"",売分析!J160,"")</f>
        <v>71200</v>
      </c>
      <c r="J160" s="333">
        <f>IF(売分析!AB160&lt;&gt;"",売分析!AB160,"")</f>
        <v>2363.0967741935478</v>
      </c>
      <c r="K160" s="333">
        <f>IF(売分析!AC160&lt;&gt;"",売分析!AC160,"")</f>
        <v>2353.6042908224067</v>
      </c>
      <c r="L160" s="333">
        <f>IF(売分析!K160&lt;&gt;"",売分析!K160,"")</f>
        <v>2634</v>
      </c>
      <c r="M160" s="212" t="str">
        <f>IF(売分析!P160&lt;&gt;"",売分析!P160,"")</f>
        <v>減少↓</v>
      </c>
      <c r="N160" s="335">
        <f>IF(売分析!O160&lt;&gt;"",売分析!O160,"")</f>
        <v>0.81914404049700873</v>
      </c>
      <c r="O160" s="337">
        <f>IF(売分析!X160&lt;&gt;"",売分析!X160,"")</f>
        <v>8.2315603867232312</v>
      </c>
      <c r="P160" s="334">
        <f>IF(売分析!L160&lt;&gt;"",売分析!L160,"")</f>
        <v>-10.44039483675019</v>
      </c>
      <c r="Q160" s="333">
        <f>IF(売分析!S160&lt;&gt;"",売分析!S160,"")</f>
        <v>2453</v>
      </c>
      <c r="R160" s="333">
        <f>IF(売分析!R160&lt;&gt;"",売分析!R160,"")</f>
        <v>2170</v>
      </c>
      <c r="S160" s="212" t="str">
        <f>IF(売分析!AA160&lt;&gt;"",売分析!AA160,"")</f>
        <v>上昇▲</v>
      </c>
      <c r="T160" s="338">
        <f>IF(売分析!Z160&lt;&gt;"",売分析!Z160,"")</f>
        <v>1.1144449207029576</v>
      </c>
      <c r="U160" s="212" t="str">
        <f>IF(売分析!V160&lt;&gt;"",売分析!V160,"")</f>
        <v>通常</v>
      </c>
      <c r="V160" s="336">
        <f>IF(売分析!W160&lt;&gt;"",売分析!W160,"")</f>
        <v>50</v>
      </c>
      <c r="W160" s="212" t="str">
        <f>IF(売分析!AD160&lt;&gt;"",売分析!AD160,"")</f>
        <v>上昇トレンド▲</v>
      </c>
      <c r="X160" s="212" t="str">
        <f>IF(売分析!AE160&lt;&gt;"",売分析!AE160,"")</f>
        <v>5日戻り売り○</v>
      </c>
      <c r="Y160" s="388">
        <f>IF(売分析!T160&lt;&gt;"",売分析!T160,"")</f>
        <v>2</v>
      </c>
      <c r="Z160" s="212" t="str">
        <f>IF(売分析!Y160&lt;&gt;"",売分析!Y160,"")</f>
        <v>相場上昇・見送り | 上昇トレンド▲ 5日戻り売り○ MACD+ RSI:50.0 前日比:+1.1%前日[大陰線▼] [2点]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639</v>
      </c>
      <c r="F161" s="326">
        <f>IF(売分析!F161&lt;&gt;"",売分析!F161,"")</f>
        <v>638</v>
      </c>
      <c r="G161" s="326">
        <f>IF(売分析!H161&lt;&gt;"",売分析!H161,"")</f>
        <v>641</v>
      </c>
      <c r="H161" s="326">
        <f>IF(売分析!I161&lt;&gt;"",売分析!I161,"")</f>
        <v>635.5</v>
      </c>
      <c r="I161" s="325">
        <f>IF(売分析!J161&lt;&gt;"",売分析!J161,"")</f>
        <v>1470100</v>
      </c>
      <c r="J161" s="326">
        <f>IF(売分析!AB161&lt;&gt;"",売分析!AB161,"")</f>
        <v>637.38467741935483</v>
      </c>
      <c r="K161" s="326">
        <f>IF(売分析!AC161&lt;&gt;"",売分析!AC161,"")</f>
        <v>661.73945172824767</v>
      </c>
      <c r="L161" s="326">
        <f>IF(売分析!K161&lt;&gt;"",売分析!K161,"")</f>
        <v>763.7</v>
      </c>
      <c r="M161" s="325" t="str">
        <f>IF(売分析!P161&lt;&gt;"",売分析!P161,"")</f>
        <v>減少↓</v>
      </c>
      <c r="N161" s="328">
        <f>IF(売分析!O161&lt;&gt;"",売分析!O161,"")</f>
        <v>0.38321976549588394</v>
      </c>
      <c r="O161" s="330">
        <f>IF(売分析!X161&lt;&gt;"",売分析!X161,"")</f>
        <v>-3.7187164413168148</v>
      </c>
      <c r="P161" s="327">
        <f>IF(売分析!L161&lt;&gt;"",売分析!L161,"")</f>
        <v>-16.328401204661521</v>
      </c>
      <c r="Q161" s="326">
        <f>IF(売分析!S161&lt;&gt;"",売分析!S161,"")</f>
        <v>665</v>
      </c>
      <c r="R161" s="326">
        <f>IF(売分析!R161&lt;&gt;"",売分析!R161,"")</f>
        <v>588</v>
      </c>
      <c r="S161" s="325" t="str">
        <f>IF(売分析!AA161&lt;&gt;"",売分析!AA161,"")</f>
        <v>上昇▲</v>
      </c>
      <c r="T161" s="331">
        <f>IF(売分析!Z161&lt;&gt;"",売分析!Z161,"")</f>
        <v>0.55074744295830058</v>
      </c>
      <c r="U161" s="325" t="str">
        <f>IF(売分析!V161&lt;&gt;"",売分析!V161,"")</f>
        <v>通常</v>
      </c>
      <c r="V161" s="329">
        <f>IF(売分析!W161&lt;&gt;"",売分析!W161,"")</f>
        <v>34.680851063829735</v>
      </c>
      <c r="W161" s="325" t="str">
        <f>IF(売分析!AD161&lt;&gt;"",売分析!AD161,"")</f>
        <v>もみ合い→</v>
      </c>
      <c r="X161" s="325" t="str">
        <f>IF(売分析!AE161&lt;&gt;"",売分析!AE161,"")</f>
        <v>なし</v>
      </c>
      <c r="Y161" s="387">
        <f>IF(売分析!T161&lt;&gt;"",売分析!T161,"")</f>
        <v>3</v>
      </c>
      <c r="Z161" s="325" t="str">
        <f>IF(売分析!Y161&lt;&gt;"",売分析!Y161,"")</f>
        <v>相場上昇・見送り | もみ合い→ MACD- RSI:34.7 前日比:+0.6%前日[長い下ヒゲ(反発)] [3点]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634.9</v>
      </c>
      <c r="F162" s="333">
        <f>IF(売分析!F162&lt;&gt;"",売分析!F162,"")</f>
        <v>619</v>
      </c>
      <c r="G162" s="333">
        <f>IF(売分析!H162&lt;&gt;"",売分析!H162,"")</f>
        <v>634.9</v>
      </c>
      <c r="H162" s="333">
        <f>IF(売分析!I162&lt;&gt;"",売分析!I162,"")</f>
        <v>613.4</v>
      </c>
      <c r="I162" s="212">
        <f>IF(売分析!J162&lt;&gt;"",売分析!J162,"")</f>
        <v>3164500</v>
      </c>
      <c r="J162" s="333">
        <f>IF(売分析!AB162&lt;&gt;"",売分析!AB162,"")</f>
        <v>625.96520737327182</v>
      </c>
      <c r="K162" s="333">
        <f>IF(売分析!AC162&lt;&gt;"",売分析!AC162,"")</f>
        <v>625.54815256257416</v>
      </c>
      <c r="L162" s="333">
        <f>IF(売分析!K162&lt;&gt;"",売分析!K162,"")</f>
        <v>830.5</v>
      </c>
      <c r="M162" s="212" t="str">
        <f>IF(売分析!P162&lt;&gt;"",売分析!P162,"")</f>
        <v>減少↓</v>
      </c>
      <c r="N162" s="335">
        <f>IF(売分析!O162&lt;&gt;"",売分析!O162,"")</f>
        <v>0.95831213508733681</v>
      </c>
      <c r="O162" s="337">
        <f>IF(売分析!X162&lt;&gt;"",売分析!X162,"")</f>
        <v>-2.3530795378105722</v>
      </c>
      <c r="P162" s="334">
        <f>IF(売分析!L162&lt;&gt;"",売分析!L162,"")</f>
        <v>-23.552077062010842</v>
      </c>
      <c r="Q162" s="333">
        <f>IF(売分析!S162&lt;&gt;"",売分析!S162,"")</f>
        <v>660</v>
      </c>
      <c r="R162" s="333">
        <f>IF(売分析!R162&lt;&gt;"",売分析!R162,"")</f>
        <v>584</v>
      </c>
      <c r="S162" s="212" t="str">
        <f>IF(売分析!AA162&lt;&gt;"",売分析!AA162,"")</f>
        <v>上昇▲</v>
      </c>
      <c r="T162" s="338">
        <f>IF(売分析!Z162&lt;&gt;"",売分析!Z162,"")</f>
        <v>2.1396396396396322</v>
      </c>
      <c r="U162" s="212" t="str">
        <f>IF(売分析!V162&lt;&gt;"",売分析!V162,"")</f>
        <v>安値圏</v>
      </c>
      <c r="V162" s="336">
        <f>IF(売分析!W162&lt;&gt;"",売分析!W162,"")</f>
        <v>44.086021505376358</v>
      </c>
      <c r="W162" s="212" t="str">
        <f>IF(売分析!AD162&lt;&gt;"",売分析!AD162,"")</f>
        <v>パーフェクト▲</v>
      </c>
      <c r="X162" s="212" t="str">
        <f>IF(売分析!AE162&lt;&gt;"",売分析!AE162,"")</f>
        <v>なし</v>
      </c>
      <c r="Y162" s="388">
        <f>IF(売分析!T162&lt;&gt;"",売分析!T162,"")</f>
        <v>6</v>
      </c>
      <c r="Z162" s="212" t="str">
        <f>IF(売分析!Y162&lt;&gt;"",売分析!Y162,"")</f>
        <v>相場上昇・見送り | パーフェクト▲ MACD- RSI:44.1 前日比:+2.1% [安値圏] [6点]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1892.5</v>
      </c>
      <c r="F163" s="326">
        <f>IF(売分析!F163&lt;&gt;"",売分析!F163,"")</f>
        <v>1890</v>
      </c>
      <c r="G163" s="326">
        <f>IF(売分析!H163&lt;&gt;"",売分析!H163,"")</f>
        <v>1904.5</v>
      </c>
      <c r="H163" s="326">
        <f>IF(売分析!I163&lt;&gt;"",売分析!I163,"")</f>
        <v>1840</v>
      </c>
      <c r="I163" s="325">
        <f>IF(売分析!J163&lt;&gt;"",売分析!J163,"")</f>
        <v>2459100</v>
      </c>
      <c r="J163" s="326">
        <f>IF(売分析!AB163&lt;&gt;"",売分析!AB163,"")</f>
        <v>1923.6203917050686</v>
      </c>
      <c r="K163" s="326">
        <f>IF(売分析!AC163&lt;&gt;"",売分析!AC163,"")</f>
        <v>2002.9851013110836</v>
      </c>
      <c r="L163" s="326">
        <f>IF(売分析!K163&lt;&gt;"",売分析!K163,"")</f>
        <v>2275</v>
      </c>
      <c r="M163" s="325" t="str">
        <f>IF(売分析!P163&lt;&gt;"",売分析!P163,"")</f>
        <v>普通→</v>
      </c>
      <c r="N163" s="328">
        <f>IF(売分析!O163&lt;&gt;"",売分析!O163,"")</f>
        <v>1.1747704537420101</v>
      </c>
      <c r="O163" s="330">
        <f>IF(売分析!X163&lt;&gt;"",売分析!X163,"")</f>
        <v>2.786810566830809</v>
      </c>
      <c r="P163" s="327">
        <f>IF(売分析!L163&lt;&gt;"",売分析!L163,"")</f>
        <v>-16.813186813186814</v>
      </c>
      <c r="Q163" s="326">
        <f>IF(売分析!S163&lt;&gt;"",売分析!S163,"")</f>
        <v>1968</v>
      </c>
      <c r="R163" s="326">
        <f>IF(売分析!R163&lt;&gt;"",売分析!R163,"")</f>
        <v>1741</v>
      </c>
      <c r="S163" s="325" t="str">
        <f>IF(売分析!AA163&lt;&gt;"",売分析!AA163,"")</f>
        <v>上昇▲</v>
      </c>
      <c r="T163" s="331">
        <f>IF(売分析!Z163&lt;&gt;"",売分析!Z163,"")</f>
        <v>0.66489361702127658</v>
      </c>
      <c r="U163" s="325" t="str">
        <f>IF(売分析!V163&lt;&gt;"",売分析!V163,"")</f>
        <v>通常</v>
      </c>
      <c r="V163" s="329">
        <f>IF(売分析!W163&lt;&gt;"",売分析!W163,"")</f>
        <v>41.289701636188646</v>
      </c>
      <c r="W163" s="325" t="str">
        <f>IF(売分析!AD163&lt;&gt;"",売分析!AD163,"")</f>
        <v>下降トレンド▼</v>
      </c>
      <c r="X163" s="325" t="str">
        <f>IF(売分析!AE163&lt;&gt;"",売分析!AE163,"")</f>
        <v>なし</v>
      </c>
      <c r="Y163" s="387">
        <f>IF(売分析!T163&lt;&gt;"",売分析!T163,"")</f>
        <v>1</v>
      </c>
      <c r="Z163" s="325" t="str">
        <f>IF(売分析!Y163&lt;&gt;"",売分析!Y163,"")</f>
        <v>相場上昇・見送り | 下降トレンド▼ MACD+ RSI:41.3 前日比:+0.7% [長い下ヒゲ(反発警戒)] [1点]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5931</v>
      </c>
      <c r="F164" s="333">
        <f>IF(売分析!F164&lt;&gt;"",売分析!F164,"")</f>
        <v>5750</v>
      </c>
      <c r="G164" s="333">
        <f>IF(売分析!H164&lt;&gt;"",売分析!H164,"")</f>
        <v>5950</v>
      </c>
      <c r="H164" s="333">
        <f>IF(売分析!I164&lt;&gt;"",売分析!I164,"")</f>
        <v>5735</v>
      </c>
      <c r="I164" s="212">
        <f>IF(売分析!J164&lt;&gt;"",売分析!J164,"")</f>
        <v>3270400</v>
      </c>
      <c r="J164" s="333">
        <f>IF(売分析!AB164&lt;&gt;"",売分析!AB164,"")</f>
        <v>5938.2592165898614</v>
      </c>
      <c r="K164" s="333">
        <f>IF(売分析!AC164&lt;&gt;"",売分析!AC164,"")</f>
        <v>5838.280095351608</v>
      </c>
      <c r="L164" s="333">
        <f>IF(売分析!K164&lt;&gt;"",売分析!K164,"")</f>
        <v>6394</v>
      </c>
      <c r="M164" s="212" t="str">
        <f>IF(売分析!P164&lt;&gt;"",売分析!P164,"")</f>
        <v>減少↓</v>
      </c>
      <c r="N164" s="335">
        <f>IF(売分析!O164&lt;&gt;"",売分析!O164,"")</f>
        <v>0.81062457552758516</v>
      </c>
      <c r="O164" s="337">
        <f>IF(売分析!X164&lt;&gt;"",売分析!X164,"")</f>
        <v>79.977748279527987</v>
      </c>
      <c r="P164" s="334">
        <f>IF(売分析!L164&lt;&gt;"",売分析!L164,"")</f>
        <v>-7.2411635908664369</v>
      </c>
      <c r="Q164" s="333">
        <f>IF(売分析!S164&lt;&gt;"",売分析!S164,"")</f>
        <v>6168</v>
      </c>
      <c r="R164" s="333">
        <f>IF(売分析!R164&lt;&gt;"",売分析!R164,"")</f>
        <v>5457</v>
      </c>
      <c r="S164" s="212" t="str">
        <f>IF(売分析!AA164&lt;&gt;"",売分析!AA164,"")</f>
        <v>上昇▲</v>
      </c>
      <c r="T164" s="338">
        <f>IF(売分析!Z164&lt;&gt;"",売分析!Z164,"")</f>
        <v>2.293894446360814</v>
      </c>
      <c r="U164" s="212" t="str">
        <f>IF(売分析!V164&lt;&gt;"",売分析!V164,"")</f>
        <v>通常</v>
      </c>
      <c r="V164" s="336">
        <f>IF(売分析!W164&lt;&gt;"",売分析!W164,"")</f>
        <v>59.181636726546905</v>
      </c>
      <c r="W164" s="212" t="str">
        <f>IF(売分析!AD164&lt;&gt;"",売分析!AD164,"")</f>
        <v>上昇トレンド▲</v>
      </c>
      <c r="X164" s="212" t="str">
        <f>IF(売分析!AE164&lt;&gt;"",売分析!AE164,"")</f>
        <v>5日戻り売り○</v>
      </c>
      <c r="Y164" s="388">
        <f>IF(売分析!T164&lt;&gt;"",売分析!T164,"")</f>
        <v>2</v>
      </c>
      <c r="Z164" s="212" t="str">
        <f>IF(売分析!Y164&lt;&gt;"",売分析!Y164,"")</f>
        <v>相場上昇・見送り | 上昇トレンド▲ 5日戻り売り○ MACD+ RSI:59.2 前日比:+2.3%前日[大陰線▼] [2点]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1752</v>
      </c>
      <c r="F165" s="326">
        <f>IF(売分析!F165&lt;&gt;"",売分析!F165,"")</f>
        <v>1736</v>
      </c>
      <c r="G165" s="326">
        <f>IF(売分析!H165&lt;&gt;"",売分析!H165,"")</f>
        <v>1772</v>
      </c>
      <c r="H165" s="326">
        <f>IF(売分析!I165&lt;&gt;"",売分析!I165,"")</f>
        <v>1732</v>
      </c>
      <c r="I165" s="325">
        <f>IF(売分析!J165&lt;&gt;"",売分析!J165,"")</f>
        <v>406000</v>
      </c>
      <c r="J165" s="326">
        <f>IF(売分析!AB165&lt;&gt;"",売分析!AB165,"")</f>
        <v>1728.8605990783408</v>
      </c>
      <c r="K165" s="326">
        <f>IF(売分析!AC165&lt;&gt;"",売分析!AC165,"")</f>
        <v>1735.6936829558997</v>
      </c>
      <c r="L165" s="326">
        <f>IF(売分析!K165&lt;&gt;"",売分析!K165,"")</f>
        <v>1973</v>
      </c>
      <c r="M165" s="325" t="str">
        <f>IF(売分析!P165&lt;&gt;"",売分析!P165,"")</f>
        <v>普通→</v>
      </c>
      <c r="N165" s="328">
        <f>IF(売分析!O165&lt;&gt;"",売分析!O165,"")</f>
        <v>1.045045045045045</v>
      </c>
      <c r="O165" s="330">
        <f>IF(売分析!X165&lt;&gt;"",売分析!X165,"")</f>
        <v>-0.61025756351455129</v>
      </c>
      <c r="P165" s="327">
        <f>IF(売分析!L165&lt;&gt;"",売分析!L165,"")</f>
        <v>-11.201216421692854</v>
      </c>
      <c r="Q165" s="326">
        <f>IF(売分析!S165&lt;&gt;"",売分析!S165,"")</f>
        <v>1822</v>
      </c>
      <c r="R165" s="326">
        <f>IF(売分析!R165&lt;&gt;"",売分析!R165,"")</f>
        <v>1612</v>
      </c>
      <c r="S165" s="325" t="str">
        <f>IF(売分析!AA165&lt;&gt;"",売分析!AA165,"")</f>
        <v>上昇▲</v>
      </c>
      <c r="T165" s="331">
        <f>IF(売分析!Z165&lt;&gt;"",売分析!Z165,"")</f>
        <v>1.6831108531630876</v>
      </c>
      <c r="U165" s="325" t="str">
        <f>IF(売分析!V165&lt;&gt;"",売分析!V165,"")</f>
        <v>通常</v>
      </c>
      <c r="V165" s="329">
        <f>IF(売分析!W165&lt;&gt;"",売分析!W165,"")</f>
        <v>43.567251461988306</v>
      </c>
      <c r="W165" s="325" t="str">
        <f>IF(売分析!AD165&lt;&gt;"",売分析!AD165,"")</f>
        <v>上昇トレンド▲</v>
      </c>
      <c r="X165" s="325" t="str">
        <f>IF(売分析!AE165&lt;&gt;"",売分析!AE165,"")</f>
        <v>なし</v>
      </c>
      <c r="Y165" s="387">
        <f>IF(売分析!T165&lt;&gt;"",売分析!T165,"")</f>
        <v>1</v>
      </c>
      <c r="Z165" s="325" t="str">
        <f>IF(売分析!Y165&lt;&gt;"",売分析!Y165,"")</f>
        <v>相場上昇・見送り | 上昇トレンド▲ MACD- RSI:43.6 前日比:+1.7% [1点]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3460</v>
      </c>
      <c r="F166" s="333">
        <f>IF(売分析!F166&lt;&gt;"",売分析!F166,"")</f>
        <v>3400</v>
      </c>
      <c r="G166" s="333">
        <f>IF(売分析!H166&lt;&gt;"",売分析!H166,"")</f>
        <v>3460</v>
      </c>
      <c r="H166" s="333">
        <f>IF(売分析!I166&lt;&gt;"",売分析!I166,"")</f>
        <v>3377</v>
      </c>
      <c r="I166" s="212">
        <f>IF(売分析!J166&lt;&gt;"",売分析!J166,"")</f>
        <v>3566500</v>
      </c>
      <c r="J166" s="333">
        <f>IF(売分析!AB166&lt;&gt;"",売分析!AB166,"")</f>
        <v>3468.0034562211977</v>
      </c>
      <c r="K166" s="333">
        <f>IF(売分析!AC166&lt;&gt;"",売分析!AC166,"")</f>
        <v>3516.251489868891</v>
      </c>
      <c r="L166" s="333">
        <f>IF(売分析!K166&lt;&gt;"",売分析!K166,"")</f>
        <v>4955</v>
      </c>
      <c r="M166" s="212" t="str">
        <f>IF(売分析!P166&lt;&gt;"",売分析!P166,"")</f>
        <v>減少↓</v>
      </c>
      <c r="N166" s="335">
        <f>IF(売分析!O166&lt;&gt;"",売分析!O166,"")</f>
        <v>0.9477659139104877</v>
      </c>
      <c r="O166" s="337">
        <f>IF(売分析!X166&lt;&gt;"",売分析!X166,"")</f>
        <v>17.230927523196442</v>
      </c>
      <c r="P166" s="334">
        <f>IF(売分析!L166&lt;&gt;"",売分析!L166,"")</f>
        <v>-30.171543895055496</v>
      </c>
      <c r="Q166" s="333">
        <f>IF(売分析!S166&lt;&gt;"",売分析!S166,"")</f>
        <v>3598</v>
      </c>
      <c r="R166" s="333">
        <f>IF(売分析!R166&lt;&gt;"",売分析!R166,"")</f>
        <v>3183</v>
      </c>
      <c r="S166" s="212" t="str">
        <f>IF(売分析!AA166&lt;&gt;"",売分析!AA166,"")</f>
        <v>上昇▲</v>
      </c>
      <c r="T166" s="338">
        <f>IF(売分析!Z166&lt;&gt;"",売分析!Z166,"")</f>
        <v>1.9446081319976427</v>
      </c>
      <c r="U166" s="212" t="str">
        <f>IF(売分析!V166&lt;&gt;"",売分析!V166,"")</f>
        <v>安値圏</v>
      </c>
      <c r="V166" s="336">
        <f>IF(売分析!W166&lt;&gt;"",売分析!W166,"")</f>
        <v>46.888888888888886</v>
      </c>
      <c r="W166" s="212" t="str">
        <f>IF(売分析!AD166&lt;&gt;"",売分析!AD166,"")</f>
        <v>下降トレンド▼</v>
      </c>
      <c r="X166" s="212" t="str">
        <f>IF(売分析!AE166&lt;&gt;"",売分析!AE166,"")</f>
        <v>25日戻り売り★</v>
      </c>
      <c r="Y166" s="388">
        <f>IF(売分析!T166&lt;&gt;"",売分析!T166,"")</f>
        <v>7</v>
      </c>
      <c r="Z166" s="212" t="str">
        <f>IF(売分析!Y166&lt;&gt;"",売分析!Y166,"")</f>
        <v>★逆張り売り | 下降トレンド▼ 25日戻り売り★ MACD+ RSI:46.9 前日比:+1.9% [安値圏] [7点]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4936</v>
      </c>
      <c r="F167" s="326">
        <f>IF(売分析!F167&lt;&gt;"",売分析!F167,"")</f>
        <v>4800</v>
      </c>
      <c r="G167" s="326">
        <f>IF(売分析!H167&lt;&gt;"",売分析!H167,"")</f>
        <v>4960</v>
      </c>
      <c r="H167" s="326">
        <f>IF(売分析!I167&lt;&gt;"",売分析!I167,"")</f>
        <v>4800</v>
      </c>
      <c r="I167" s="325">
        <f>IF(売分析!J167&lt;&gt;"",売分析!J167,"")</f>
        <v>5635700</v>
      </c>
      <c r="J167" s="326">
        <f>IF(売分析!AB167&lt;&gt;"",売分析!AB167,"")</f>
        <v>4959.7488479262665</v>
      </c>
      <c r="K167" s="326">
        <f>IF(売分析!AC167&lt;&gt;"",売分析!AC167,"")</f>
        <v>5092.1823599523232</v>
      </c>
      <c r="L167" s="326">
        <f>IF(売分析!K167&lt;&gt;"",売分析!K167,"")</f>
        <v>6328</v>
      </c>
      <c r="M167" s="325" t="str">
        <f>IF(売分析!P167&lt;&gt;"",売分析!P167,"")</f>
        <v>減少↓</v>
      </c>
      <c r="N167" s="328">
        <f>IF(売分析!O167&lt;&gt;"",売分析!O167,"")</f>
        <v>0.70353032232292212</v>
      </c>
      <c r="O167" s="330">
        <f>IF(売分析!X167&lt;&gt;"",売分析!X167,"")</f>
        <v>12.541084385785325</v>
      </c>
      <c r="P167" s="327">
        <f>IF(売分析!L167&lt;&gt;"",売分析!L167,"")</f>
        <v>-21.997471554993677</v>
      </c>
      <c r="Q167" s="326">
        <f>IF(売分析!S167&lt;&gt;"",売分析!S167,"")</f>
        <v>5133</v>
      </c>
      <c r="R167" s="326">
        <f>IF(売分析!R167&lt;&gt;"",売分析!R167,"")</f>
        <v>4541</v>
      </c>
      <c r="S167" s="325" t="str">
        <f>IF(売分析!AA167&lt;&gt;"",売分析!AA167,"")</f>
        <v>上昇▲</v>
      </c>
      <c r="T167" s="331">
        <f>IF(売分析!Z167&lt;&gt;"",売分析!Z167,"")</f>
        <v>1.5220074043603455</v>
      </c>
      <c r="U167" s="325" t="str">
        <f>IF(売分析!V167&lt;&gt;"",売分析!V167,"")</f>
        <v>通常</v>
      </c>
      <c r="V167" s="329">
        <f>IF(売分析!W167&lt;&gt;"",売分析!W167,"")</f>
        <v>39.752066115702483</v>
      </c>
      <c r="W167" s="325" t="str">
        <f>IF(売分析!AD167&lt;&gt;"",売分析!AD167,"")</f>
        <v>下降トレンド▼</v>
      </c>
      <c r="X167" s="325" t="str">
        <f>IF(売分析!AE167&lt;&gt;"",売分析!AE167,"")</f>
        <v>5日戻り売り○</v>
      </c>
      <c r="Y167" s="387">
        <f>IF(売分析!T167&lt;&gt;"",売分析!T167,"")</f>
        <v>1</v>
      </c>
      <c r="Z167" s="325" t="str">
        <f>IF(売分析!Y167&lt;&gt;"",売分析!Y167,"")</f>
        <v>★逆張り売り | 下降トレンド▼ 5日戻り売り○ MACD+ RSI:39.8 前日比:+1.5%前日[長い下ヒゲ(反発)] [1点]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4827</v>
      </c>
      <c r="F168" s="333">
        <f>IF(売分析!F168&lt;&gt;"",売分析!F168,"")</f>
        <v>4788</v>
      </c>
      <c r="G168" s="333">
        <f>IF(売分析!H168&lt;&gt;"",売分析!H168,"")</f>
        <v>4849</v>
      </c>
      <c r="H168" s="333">
        <f>IF(売分析!I168&lt;&gt;"",売分析!I168,"")</f>
        <v>4771</v>
      </c>
      <c r="I168" s="212">
        <f>IF(売分析!J168&lt;&gt;"",売分析!J168,"")</f>
        <v>3283600</v>
      </c>
      <c r="J168" s="333">
        <f>IF(売分析!AB168&lt;&gt;"",売分析!AB168,"")</f>
        <v>4806.807603686636</v>
      </c>
      <c r="K168" s="333">
        <f>IF(売分析!AC168&lt;&gt;"",売分析!AC168,"")</f>
        <v>4782.5697258641221</v>
      </c>
      <c r="L168" s="333">
        <f>IF(売分析!K168&lt;&gt;"",売分析!K168,"")</f>
        <v>5073</v>
      </c>
      <c r="M168" s="212" t="str">
        <f>IF(売分析!P168&lt;&gt;"",売分析!P168,"")</f>
        <v>減少↓</v>
      </c>
      <c r="N168" s="335">
        <f>IF(売分析!O168&lt;&gt;"",売分析!O168,"")</f>
        <v>0.79803238209117733</v>
      </c>
      <c r="O168" s="337">
        <f>IF(売分析!X168&lt;&gt;"",売分析!X168,"")</f>
        <v>53.994797782193018</v>
      </c>
      <c r="P168" s="334">
        <f>IF(売分析!L168&lt;&gt;"",売分析!L168,"")</f>
        <v>-4.849201655824956</v>
      </c>
      <c r="Q168" s="333">
        <f>IF(売分析!S168&lt;&gt;"",売分析!S168,"")</f>
        <v>5020</v>
      </c>
      <c r="R168" s="333">
        <f>IF(売分析!R168&lt;&gt;"",売分析!R168,"")</f>
        <v>4441</v>
      </c>
      <c r="S168" s="212" t="str">
        <f>IF(売分析!AA168&lt;&gt;"",売分析!AA168,"")</f>
        <v>上昇▲</v>
      </c>
      <c r="T168" s="338">
        <f>IF(売分析!Z168&lt;&gt;"",売分析!Z168,"")</f>
        <v>1.0043942247332078</v>
      </c>
      <c r="U168" s="212" t="str">
        <f>IF(売分析!V168&lt;&gt;"",売分析!V168,"")</f>
        <v>通常</v>
      </c>
      <c r="V168" s="336">
        <f>IF(売分析!W168&lt;&gt;"",売分析!W168,"")</f>
        <v>60.219341974077771</v>
      </c>
      <c r="W168" s="212" t="str">
        <f>IF(売分析!AD168&lt;&gt;"",売分析!AD168,"")</f>
        <v>パーフェクト▲</v>
      </c>
      <c r="X168" s="212" t="str">
        <f>IF(売分析!AE168&lt;&gt;"",売分析!AE168,"")</f>
        <v>なし</v>
      </c>
      <c r="Y168" s="388">
        <f>IF(売分析!T168&lt;&gt;"",売分析!T168,"")</f>
        <v>-2</v>
      </c>
      <c r="Z168" s="212" t="str">
        <f>IF(売分析!Y168&lt;&gt;"",売分析!Y168,"")</f>
        <v>相場上昇・見送り | パーフェクト▲ MACD+ RSI:60.2 前日比:+1.0%前日[長い下ヒゲ(反発)] [-2点]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1682.5</v>
      </c>
      <c r="F169" s="326">
        <f>IF(売分析!F169&lt;&gt;"",売分析!F169,"")</f>
        <v>1638</v>
      </c>
      <c r="G169" s="326">
        <f>IF(売分析!H169&lt;&gt;"",売分析!H169,"")</f>
        <v>1685.5</v>
      </c>
      <c r="H169" s="326">
        <f>IF(売分析!I169&lt;&gt;"",売分析!I169,"")</f>
        <v>1631</v>
      </c>
      <c r="I169" s="325">
        <f>IF(売分析!J169&lt;&gt;"",売分析!J169,"")</f>
        <v>1208500</v>
      </c>
      <c r="J169" s="326">
        <f>IF(売分析!AB169&lt;&gt;"",売分析!AB169,"")</f>
        <v>1651.0097926267279</v>
      </c>
      <c r="K169" s="326">
        <f>IF(売分析!AC169&lt;&gt;"",売分析!AC169,"")</f>
        <v>1673.0250297973771</v>
      </c>
      <c r="L169" s="326">
        <f>IF(売分析!K169&lt;&gt;"",売分析!K169,"")</f>
        <v>1773</v>
      </c>
      <c r="M169" s="325" t="str">
        <f>IF(売分析!P169&lt;&gt;"",売分析!P169,"")</f>
        <v>減少↓</v>
      </c>
      <c r="N169" s="328">
        <f>IF(売分析!O169&lt;&gt;"",売分析!O169,"")</f>
        <v>0.95816881531167242</v>
      </c>
      <c r="O169" s="330">
        <f>IF(売分析!X169&lt;&gt;"",売分析!X169,"")</f>
        <v>-5.5846902749965466</v>
      </c>
      <c r="P169" s="327">
        <f>IF(売分析!L169&lt;&gt;"",売分析!L169,"")</f>
        <v>-5.1043429216018055</v>
      </c>
      <c r="Q169" s="326">
        <f>IF(売分析!S169&lt;&gt;"",売分析!S169,"")</f>
        <v>1750</v>
      </c>
      <c r="R169" s="326">
        <f>IF(売分析!R169&lt;&gt;"",売分析!R169,"")</f>
        <v>1548</v>
      </c>
      <c r="S169" s="325" t="str">
        <f>IF(売分析!AA169&lt;&gt;"",売分析!AA169,"")</f>
        <v>上昇▲</v>
      </c>
      <c r="T169" s="331">
        <f>IF(売分析!Z169&lt;&gt;"",売分析!Z169,"")</f>
        <v>3.1575720416922128</v>
      </c>
      <c r="U169" s="325" t="str">
        <f>IF(売分析!V169&lt;&gt;"",売分析!V169,"")</f>
        <v>通常</v>
      </c>
      <c r="V169" s="329">
        <f>IF(売分析!W169&lt;&gt;"",売分析!W169,"")</f>
        <v>31.944444444444443</v>
      </c>
      <c r="W169" s="325" t="str">
        <f>IF(売分析!AD169&lt;&gt;"",売分析!AD169,"")</f>
        <v>上昇トレンド▲</v>
      </c>
      <c r="X169" s="325" t="str">
        <f>IF(売分析!AE169&lt;&gt;"",売分析!AE169,"")</f>
        <v>なし</v>
      </c>
      <c r="Y169" s="387">
        <f>IF(売分析!T169&lt;&gt;"",売分析!T169,"")</f>
        <v>1</v>
      </c>
      <c r="Z169" s="325" t="str">
        <f>IF(売分析!Y169&lt;&gt;"",売分析!Y169,"")</f>
        <v>相場上昇・見送り | 上昇トレンド▲ MACD- RSI:31.9 前日比:+3.2% [1点]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4333</v>
      </c>
      <c r="F170" s="333">
        <f>IF(売分析!F170&lt;&gt;"",売分析!F170,"")</f>
        <v>4020</v>
      </c>
      <c r="G170" s="333">
        <f>IF(売分析!H170&lt;&gt;"",売分析!H170,"")</f>
        <v>4380</v>
      </c>
      <c r="H170" s="333">
        <f>IF(売分析!I170&lt;&gt;"",売分析!I170,"")</f>
        <v>4006</v>
      </c>
      <c r="I170" s="212">
        <f>IF(売分析!J170&lt;&gt;"",売分析!J170,"")</f>
        <v>1155500</v>
      </c>
      <c r="J170" s="333">
        <f>IF(売分析!AB170&lt;&gt;"",売分析!AB170,"")</f>
        <v>4151.7211981566816</v>
      </c>
      <c r="K170" s="333">
        <f>IF(売分析!AC170&lt;&gt;"",売分析!AC170,"")</f>
        <v>4099.5387365911783</v>
      </c>
      <c r="L170" s="333">
        <f>IF(売分析!K170&lt;&gt;"",売分析!K170,"")</f>
        <v>4968</v>
      </c>
      <c r="M170" s="212" t="str">
        <f>IF(売分析!P170&lt;&gt;"",売分析!P170,"")</f>
        <v>増加↑</v>
      </c>
      <c r="N170" s="335">
        <f>IF(売分析!O170&lt;&gt;"",売分析!O170,"")</f>
        <v>1.6370101719887797</v>
      </c>
      <c r="O170" s="337">
        <f>IF(売分析!X170&lt;&gt;"",売分析!X170,"")</f>
        <v>25.165812234564328</v>
      </c>
      <c r="P170" s="334">
        <f>IF(売分析!L170&lt;&gt;"",売分析!L170,"")</f>
        <v>-12.78180354267311</v>
      </c>
      <c r="Q170" s="333">
        <f>IF(売分析!S170&lt;&gt;"",売分析!S170,"")</f>
        <v>4506</v>
      </c>
      <c r="R170" s="333">
        <f>IF(売分析!R170&lt;&gt;"",売分析!R170,"")</f>
        <v>3986</v>
      </c>
      <c r="S170" s="212" t="str">
        <f>IF(売分析!AA170&lt;&gt;"",売分析!AA170,"")</f>
        <v>上昇▲</v>
      </c>
      <c r="T170" s="338">
        <f>IF(売分析!Z170&lt;&gt;"",売分析!Z170,"")</f>
        <v>5.9413202933985332</v>
      </c>
      <c r="U170" s="212" t="str">
        <f>IF(売分析!V170&lt;&gt;"",売分析!V170,"")</f>
        <v>通常</v>
      </c>
      <c r="V170" s="336">
        <f>IF(売分析!W170&lt;&gt;"",売分析!W170,"")</f>
        <v>55.723542116630675</v>
      </c>
      <c r="W170" s="212" t="str">
        <f>IF(売分析!AD170&lt;&gt;"",売分析!AD170,"")</f>
        <v>パーフェクト▲</v>
      </c>
      <c r="X170" s="212" t="str">
        <f>IF(売分析!AE170&lt;&gt;"",売分析!AE170,"")</f>
        <v>なし</v>
      </c>
      <c r="Y170" s="388">
        <f>IF(売分析!T170&lt;&gt;"",売分析!T170,"")</f>
        <v>0</v>
      </c>
      <c r="Z170" s="212" t="str">
        <f>IF(売分析!Y170&lt;&gt;"",売分析!Y170,"")</f>
        <v>相場上昇・見送り | パーフェクト▲ MACD+ RSI:55.7 前日比:+5.9% [0点]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1427.5</v>
      </c>
      <c r="F171" s="326">
        <f>IF(売分析!F171&lt;&gt;"",売分析!F171,"")</f>
        <v>1410</v>
      </c>
      <c r="G171" s="326">
        <f>IF(売分析!H171&lt;&gt;"",売分析!H171,"")</f>
        <v>1430</v>
      </c>
      <c r="H171" s="326">
        <f>IF(売分析!I171&lt;&gt;"",売分析!I171,"")</f>
        <v>1404</v>
      </c>
      <c r="I171" s="325">
        <f>IF(売分析!J171&lt;&gt;"",売分析!J171,"")</f>
        <v>3802100</v>
      </c>
      <c r="J171" s="326">
        <f>IF(売分析!AB171&lt;&gt;"",売分析!AB171,"")</f>
        <v>1425.4193548387098</v>
      </c>
      <c r="K171" s="326">
        <f>IF(売分析!AC171&lt;&gt;"",売分析!AC171,"")</f>
        <v>1430.8265792610248</v>
      </c>
      <c r="L171" s="326">
        <f>IF(売分析!K171&lt;&gt;"",売分析!K171,"")</f>
        <v>1541.5</v>
      </c>
      <c r="M171" s="325" t="str">
        <f>IF(売分析!P171&lt;&gt;"",売分析!P171,"")</f>
        <v>減少↓</v>
      </c>
      <c r="N171" s="328">
        <f>IF(売分析!O171&lt;&gt;"",売分析!O171,"")</f>
        <v>0.74640549051018079</v>
      </c>
      <c r="O171" s="330">
        <f>IF(売分析!X171&lt;&gt;"",売分析!X171,"")</f>
        <v>8.4283272103466516</v>
      </c>
      <c r="P171" s="327">
        <f>IF(売分析!L171&lt;&gt;"",売分析!L171,"")</f>
        <v>-7.3953940966590981</v>
      </c>
      <c r="Q171" s="326">
        <f>IF(売分析!S171&lt;&gt;"",売分析!S171,"")</f>
        <v>1485</v>
      </c>
      <c r="R171" s="326">
        <f>IF(売分析!R171&lt;&gt;"",売分析!R171,"")</f>
        <v>1313</v>
      </c>
      <c r="S171" s="325" t="str">
        <f>IF(売分析!AA171&lt;&gt;"",売分析!AA171,"")</f>
        <v>上昇▲</v>
      </c>
      <c r="T171" s="331">
        <f>IF(売分析!Z171&lt;&gt;"",売分析!Z171,"")</f>
        <v>0.7765619484645252</v>
      </c>
      <c r="U171" s="325" t="str">
        <f>IF(売分析!V171&lt;&gt;"",売分析!V171,"")</f>
        <v>通常</v>
      </c>
      <c r="V171" s="329">
        <f>IF(売分析!W171&lt;&gt;"",売分析!W171,"")</f>
        <v>50.445632798573982</v>
      </c>
      <c r="W171" s="325" t="str">
        <f>IF(売分析!AD171&lt;&gt;"",売分析!AD171,"")</f>
        <v>もみ合い→</v>
      </c>
      <c r="X171" s="325" t="str">
        <f>IF(売分析!AE171&lt;&gt;"",売分析!AE171,"")</f>
        <v>25日戻り売り★</v>
      </c>
      <c r="Y171" s="387">
        <f>IF(売分析!T171&lt;&gt;"",売分析!T171,"")</f>
        <v>2</v>
      </c>
      <c r="Z171" s="325" t="str">
        <f>IF(売分析!Y171&lt;&gt;"",売分析!Y171,"")</f>
        <v>○逆張り売り | もみ合い→ 25日戻り売り★ MACD+ RSI:50.4 前日比:+0.8%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1299.5</v>
      </c>
      <c r="F172" s="333">
        <f>IF(売分析!F172&lt;&gt;"",売分析!F172,"")</f>
        <v>1188</v>
      </c>
      <c r="G172" s="333">
        <f>IF(売分析!H172&lt;&gt;"",売分析!H172,"")</f>
        <v>1306</v>
      </c>
      <c r="H172" s="333">
        <f>IF(売分析!I172&lt;&gt;"",売分析!I172,"")</f>
        <v>1155</v>
      </c>
      <c r="I172" s="212">
        <f>IF(売分析!J172&lt;&gt;"",売分析!J172,"")</f>
        <v>18064200</v>
      </c>
      <c r="J172" s="333">
        <f>IF(売分析!AB172&lt;&gt;"",売分析!AB172,"")</f>
        <v>1214.8744239631335</v>
      </c>
      <c r="K172" s="333">
        <f>IF(売分析!AC172&lt;&gt;"",売分析!AC172,"")</f>
        <v>1171.7288438617395</v>
      </c>
      <c r="L172" s="333">
        <f>IF(売分析!K172&lt;&gt;"",売分析!K172,"")</f>
        <v>1353.5</v>
      </c>
      <c r="M172" s="212" t="str">
        <f>IF(売分析!P172&lt;&gt;"",売分析!P172,"")</f>
        <v>急増↑↑</v>
      </c>
      <c r="N172" s="335">
        <f>IF(売分析!O172&lt;&gt;"",売分析!O172,"")</f>
        <v>2.4110482017442001</v>
      </c>
      <c r="O172" s="337">
        <f>IF(売分析!X172&lt;&gt;"",売分析!X172,"")</f>
        <v>5.5799477788086733</v>
      </c>
      <c r="P172" s="334">
        <f>IF(売分析!L172&lt;&gt;"",売分析!L172,"")</f>
        <v>-3.989656446250462</v>
      </c>
      <c r="Q172" s="333">
        <f>IF(売分析!S172&lt;&gt;"",売分析!S172,"")</f>
        <v>1351</v>
      </c>
      <c r="R172" s="333">
        <f>IF(売分析!R172&lt;&gt;"",売分析!R172,"")</f>
        <v>1196</v>
      </c>
      <c r="S172" s="212" t="str">
        <f>IF(売分析!AA172&lt;&gt;"",売分析!AA172,"")</f>
        <v>上昇▲</v>
      </c>
      <c r="T172" s="338">
        <f>IF(売分析!Z172&lt;&gt;"",売分析!Z172,"")</f>
        <v>9.3395035759360532</v>
      </c>
      <c r="U172" s="212" t="str">
        <f>IF(売分析!V172&lt;&gt;"",売分析!V172,"")</f>
        <v>通常</v>
      </c>
      <c r="V172" s="336">
        <f>IF(売分析!W172&lt;&gt;"",売分析!W172,"")</f>
        <v>53.388090349075974</v>
      </c>
      <c r="W172" s="212" t="str">
        <f>IF(売分析!AD172&lt;&gt;"",売分析!AD172,"")</f>
        <v>パーフェクト▲</v>
      </c>
      <c r="X172" s="212" t="str">
        <f>IF(売分析!AE172&lt;&gt;"",売分析!AE172,"")</f>
        <v>なし</v>
      </c>
      <c r="Y172" s="388">
        <f>IF(売分析!T172&lt;&gt;"",売分析!T172,"")</f>
        <v>1</v>
      </c>
      <c r="Z172" s="212" t="str">
        <f>IF(売分析!Y172&lt;&gt;"",売分析!Y172,"")</f>
        <v>相場上昇・見送り | パーフェクト▲ MACD+ RSI:53.4 前日比:+9.3%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683.5</v>
      </c>
      <c r="F173" s="326">
        <f>IF(売分析!F173&lt;&gt;"",売分析!F173,"")</f>
        <v>665</v>
      </c>
      <c r="G173" s="326">
        <f>IF(売分析!H173&lt;&gt;"",売分析!H173,"")</f>
        <v>685.3</v>
      </c>
      <c r="H173" s="326">
        <f>IF(売分析!I173&lt;&gt;"",売分析!I173,"")</f>
        <v>663.5</v>
      </c>
      <c r="I173" s="325">
        <f>IF(売分析!J173&lt;&gt;"",売分析!J173,"")</f>
        <v>53136500</v>
      </c>
      <c r="J173" s="326">
        <f>IF(売分析!AB173&lt;&gt;"",売分析!AB173,"")</f>
        <v>667.42407834101368</v>
      </c>
      <c r="K173" s="326">
        <f>IF(売分析!AC173&lt;&gt;"",売分析!AC173,"")</f>
        <v>601.21406436233576</v>
      </c>
      <c r="L173" s="326">
        <f>IF(売分析!K173&lt;&gt;"",売分析!K173,"")</f>
        <v>699.8</v>
      </c>
      <c r="M173" s="325" t="str">
        <f>IF(売分析!P173&lt;&gt;"",売分析!P173,"")</f>
        <v>減少↓</v>
      </c>
      <c r="N173" s="328">
        <f>IF(売分析!O173&lt;&gt;"",売分析!O173,"")</f>
        <v>0.99883643117086229</v>
      </c>
      <c r="O173" s="330">
        <f>IF(売分析!X173&lt;&gt;"",売分析!X173,"")</f>
        <v>12.149735709822266</v>
      </c>
      <c r="P173" s="327">
        <f>IF(売分析!L173&lt;&gt;"",売分析!L173,"")</f>
        <v>-2.3292369248356608</v>
      </c>
      <c r="Q173" s="326">
        <f>IF(売分析!S173&lt;&gt;"",売分析!S173,"")</f>
        <v>711</v>
      </c>
      <c r="R173" s="326">
        <f>IF(売分析!R173&lt;&gt;"",売分析!R173,"")</f>
        <v>629</v>
      </c>
      <c r="S173" s="325" t="str">
        <f>IF(売分析!AA173&lt;&gt;"",売分析!AA173,"")</f>
        <v>上昇▲</v>
      </c>
      <c r="T173" s="331">
        <f>IF(売分析!Z173&lt;&gt;"",売分析!Z173,"")</f>
        <v>1.7113095238095239</v>
      </c>
      <c r="U173" s="325" t="str">
        <f>IF(売分析!V173&lt;&gt;"",売分析!V173,"")</f>
        <v>通常</v>
      </c>
      <c r="V173" s="329">
        <f>IF(売分析!W173&lt;&gt;"",売分析!W173,"")</f>
        <v>53.573780086326721</v>
      </c>
      <c r="W173" s="325" t="str">
        <f>IF(売分析!AD173&lt;&gt;"",売分析!AD173,"")</f>
        <v>パーフェクト▲</v>
      </c>
      <c r="X173" s="325" t="str">
        <f>IF(売分析!AE173&lt;&gt;"",売分析!AE173,"")</f>
        <v>なし</v>
      </c>
      <c r="Y173" s="387">
        <f>IF(売分析!T173&lt;&gt;"",売分析!T173,"")</f>
        <v>-1</v>
      </c>
      <c r="Z173" s="325" t="str">
        <f>IF(売分析!Y173&lt;&gt;"",売分析!Y173,"")</f>
        <v>相場上昇・見送り | パーフェクト▲ MACD+ RSI:53.6 前日比:+1.7% [-1点]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7817</v>
      </c>
      <c r="F174" s="333">
        <f>IF(売分析!F174&lt;&gt;"",売分析!F174,"")</f>
        <v>7715</v>
      </c>
      <c r="G174" s="333">
        <f>IF(売分析!H174&lt;&gt;"",売分析!H174,"")</f>
        <v>7838</v>
      </c>
      <c r="H174" s="333">
        <f>IF(売分析!I174&lt;&gt;"",売分析!I174,"")</f>
        <v>7700</v>
      </c>
      <c r="I174" s="212">
        <f>IF(売分析!J174&lt;&gt;"",売分析!J174,"")</f>
        <v>3609900</v>
      </c>
      <c r="J174" s="333">
        <f>IF(売分析!AB174&lt;&gt;"",売分析!AB174,"")</f>
        <v>7809.7419354838694</v>
      </c>
      <c r="K174" s="333">
        <f>IF(売分析!AC174&lt;&gt;"",売分析!AC174,"")</f>
        <v>7908.5578069129879</v>
      </c>
      <c r="L174" s="333">
        <f>IF(売分析!K174&lt;&gt;"",売分析!K174,"")</f>
        <v>8468</v>
      </c>
      <c r="M174" s="212" t="str">
        <f>IF(売分析!P174&lt;&gt;"",売分析!P174,"")</f>
        <v>減少↓</v>
      </c>
      <c r="N174" s="335">
        <f>IF(売分析!O174&lt;&gt;"",売分析!O174,"")</f>
        <v>0.85777220170798818</v>
      </c>
      <c r="O174" s="337">
        <f>IF(売分析!X174&lt;&gt;"",売分析!X174,"")</f>
        <v>40.149513013505384</v>
      </c>
      <c r="P174" s="334">
        <f>IF(売分析!L174&lt;&gt;"",売分析!L174,"")</f>
        <v>-7.687765706188002</v>
      </c>
      <c r="Q174" s="333">
        <f>IF(売分析!S174&lt;&gt;"",売分析!S174,"")</f>
        <v>8130</v>
      </c>
      <c r="R174" s="333">
        <f>IF(売分析!R174&lt;&gt;"",売分析!R174,"")</f>
        <v>7192</v>
      </c>
      <c r="S174" s="212" t="str">
        <f>IF(売分析!AA174&lt;&gt;"",売分析!AA174,"")</f>
        <v>上昇▲</v>
      </c>
      <c r="T174" s="338">
        <f>IF(売分析!Z174&lt;&gt;"",売分析!Z174,"")</f>
        <v>0.96874192715060703</v>
      </c>
      <c r="U174" s="212" t="str">
        <f>IF(売分析!V174&lt;&gt;"",売分析!V174,"")</f>
        <v>通常</v>
      </c>
      <c r="V174" s="336">
        <f>IF(売分析!W174&lt;&gt;"",売分析!W174,"")</f>
        <v>49.199573105656356</v>
      </c>
      <c r="W174" s="212" t="str">
        <f>IF(売分析!AD174&lt;&gt;"",売分析!AD174,"")</f>
        <v>もみ合い→</v>
      </c>
      <c r="X174" s="212" t="str">
        <f>IF(売分析!AE174&lt;&gt;"",売分析!AE174,"")</f>
        <v>25日戻り売り★</v>
      </c>
      <c r="Y174" s="388">
        <f>IF(売分析!T174&lt;&gt;"",売分析!T174,"")</f>
        <v>1</v>
      </c>
      <c r="Z174" s="212" t="str">
        <f>IF(売分析!Y174&lt;&gt;"",売分析!Y174,"")</f>
        <v>○逆張り売り | もみ合い→ 25日戻り売り★ MACD+ RSI:49.2 前日比:+1.0% [1点]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5786</v>
      </c>
      <c r="F175" s="326">
        <f>IF(売分析!F175&lt;&gt;"",売分析!F175,"")</f>
        <v>5711</v>
      </c>
      <c r="G175" s="326">
        <f>IF(売分析!H175&lt;&gt;"",売分析!H175,"")</f>
        <v>5932</v>
      </c>
      <c r="H175" s="326">
        <f>IF(売分析!I175&lt;&gt;"",売分析!I175,"")</f>
        <v>5698</v>
      </c>
      <c r="I175" s="325">
        <f>IF(売分析!J175&lt;&gt;"",売分析!J175,"")</f>
        <v>1626100</v>
      </c>
      <c r="J175" s="326">
        <f>IF(売分析!AB175&lt;&gt;"",売分析!AB175,"")</f>
        <v>5800.2292626728104</v>
      </c>
      <c r="K175" s="326">
        <f>IF(売分析!AC175&lt;&gt;"",売分析!AC175,"")</f>
        <v>6122.5065554231187</v>
      </c>
      <c r="L175" s="326">
        <f>IF(売分析!K175&lt;&gt;"",売分析!K175,"")</f>
        <v>8315</v>
      </c>
      <c r="M175" s="325" t="str">
        <f>IF(売分析!P175&lt;&gt;"",売分析!P175,"")</f>
        <v>減少↓</v>
      </c>
      <c r="N175" s="328">
        <f>IF(売分析!O175&lt;&gt;"",売分析!O175,"")</f>
        <v>0.59350181032469052</v>
      </c>
      <c r="O175" s="330">
        <f>IF(売分析!X175&lt;&gt;"",売分析!X175,"")</f>
        <v>-85.2944507023185</v>
      </c>
      <c r="P175" s="327">
        <f>IF(売分析!L175&lt;&gt;"",売分析!L175,"")</f>
        <v>-30.414912808177991</v>
      </c>
      <c r="Q175" s="326">
        <f>IF(売分析!S175&lt;&gt;"",売分析!S175,"")</f>
        <v>6017</v>
      </c>
      <c r="R175" s="326">
        <f>IF(売分析!R175&lt;&gt;"",売分析!R175,"")</f>
        <v>5323</v>
      </c>
      <c r="S175" s="325" t="str">
        <f>IF(売分析!AA175&lt;&gt;"",売分析!AA175,"")</f>
        <v>上昇▲</v>
      </c>
      <c r="T175" s="331">
        <f>IF(売分析!Z175&lt;&gt;"",売分析!Z175,"")</f>
        <v>0.36426712922810062</v>
      </c>
      <c r="U175" s="325" t="str">
        <f>IF(売分析!V175&lt;&gt;"",売分析!V175,"")</f>
        <v>安値圏</v>
      </c>
      <c r="V175" s="329">
        <f>IF(売分析!W175&lt;&gt;"",売分析!W175,"")</f>
        <v>30.058417419012216</v>
      </c>
      <c r="W175" s="325" t="str">
        <f>IF(売分析!AD175&lt;&gt;"",売分析!AD175,"")</f>
        <v>下降トレンド▼</v>
      </c>
      <c r="X175" s="325" t="str">
        <f>IF(売分析!AE175&lt;&gt;"",売分析!AE175,"")</f>
        <v>5日戻り売り○</v>
      </c>
      <c r="Y175" s="387">
        <f>IF(売分析!T175&lt;&gt;"",売分析!T175,"")</f>
        <v>13</v>
      </c>
      <c r="Z175" s="325" t="str">
        <f>IF(売分析!Y175&lt;&gt;"",売分析!Y175,"")</f>
        <v>★逆張り売り | 下降トレンド▼ 5日戻り売り○ MACD- RSI:30.1 前日比:+0.4% [安値圏] [13点]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6997</v>
      </c>
      <c r="F176" s="333">
        <f>IF(売分析!F176&lt;&gt;"",売分析!F176,"")</f>
        <v>6942</v>
      </c>
      <c r="G176" s="333">
        <f>IF(売分析!H176&lt;&gt;"",売分析!H176,"")</f>
        <v>7038</v>
      </c>
      <c r="H176" s="333">
        <f>IF(売分析!I176&lt;&gt;"",売分析!I176,"")</f>
        <v>6916</v>
      </c>
      <c r="I176" s="212">
        <f>IF(売分析!J176&lt;&gt;"",売分析!J176,"")</f>
        <v>2132600</v>
      </c>
      <c r="J176" s="333">
        <f>IF(売分析!AB176&lt;&gt;"",売分析!AB176,"")</f>
        <v>6950.897465437788</v>
      </c>
      <c r="K176" s="333">
        <f>IF(売分析!AC176&lt;&gt;"",売分析!AC176,"")</f>
        <v>6935.3742550655525</v>
      </c>
      <c r="L176" s="333">
        <f>IF(売分析!K176&lt;&gt;"",売分析!K176,"")</f>
        <v>7413</v>
      </c>
      <c r="M176" s="212" t="str">
        <f>IF(売分析!P176&lt;&gt;"",売分析!P176,"")</f>
        <v>減少↓</v>
      </c>
      <c r="N176" s="335">
        <f>IF(売分析!O176&lt;&gt;"",売分析!O176,"")</f>
        <v>0.84368521829949517</v>
      </c>
      <c r="O176" s="337">
        <f>IF(売分析!X176&lt;&gt;"",売分析!X176,"")</f>
        <v>60.382048567301354</v>
      </c>
      <c r="P176" s="334">
        <f>IF(売分析!L176&lt;&gt;"",売分析!L176,"")</f>
        <v>-5.6117631188452721</v>
      </c>
      <c r="Q176" s="333">
        <f>IF(売分析!S176&lt;&gt;"",売分析!S176,"")</f>
        <v>7277</v>
      </c>
      <c r="R176" s="333">
        <f>IF(売分析!R176&lt;&gt;"",売分析!R176,"")</f>
        <v>6437</v>
      </c>
      <c r="S176" s="212" t="str">
        <f>IF(売分析!AA176&lt;&gt;"",売分析!AA176,"")</f>
        <v>上昇▲</v>
      </c>
      <c r="T176" s="338">
        <f>IF(売分析!Z176&lt;&gt;"",売分析!Z176,"")</f>
        <v>0.50272910083309397</v>
      </c>
      <c r="U176" s="212" t="str">
        <f>IF(売分析!V176&lt;&gt;"",売分析!V176,"")</f>
        <v>通常</v>
      </c>
      <c r="V176" s="336">
        <f>IF(売分析!W176&lt;&gt;"",売分析!W176,"")</f>
        <v>60.697827518104013</v>
      </c>
      <c r="W176" s="212" t="str">
        <f>IF(売分析!AD176&lt;&gt;"",売分析!AD176,"")</f>
        <v>パーフェクト▲</v>
      </c>
      <c r="X176" s="212" t="str">
        <f>IF(売分析!AE176&lt;&gt;"",売分析!AE176,"")</f>
        <v>なし</v>
      </c>
      <c r="Y176" s="388">
        <f>IF(売分析!T176&lt;&gt;"",売分析!T176,"")</f>
        <v>0</v>
      </c>
      <c r="Z176" s="212" t="str">
        <f>IF(売分析!Y176&lt;&gt;"",売分析!Y176,"")</f>
        <v>相場上昇・見送り | パーフェクト▲ MACD+ RSI:60.7 前日比:+0.5% [0点]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4051</v>
      </c>
      <c r="F177" s="326">
        <f>IF(売分析!F177&lt;&gt;"",売分析!F177,"")</f>
        <v>4084</v>
      </c>
      <c r="G177" s="326">
        <f>IF(売分析!H177&lt;&gt;"",売分析!H177,"")</f>
        <v>4128</v>
      </c>
      <c r="H177" s="326">
        <f>IF(売分析!I177&lt;&gt;"",売分析!I177,"")</f>
        <v>4003</v>
      </c>
      <c r="I177" s="325">
        <f>IF(売分析!J177&lt;&gt;"",売分析!J177,"")</f>
        <v>618300</v>
      </c>
      <c r="J177" s="326">
        <f>IF(売分析!AB177&lt;&gt;"",売分析!AB177,"")</f>
        <v>4009.2235023041471</v>
      </c>
      <c r="K177" s="326">
        <f>IF(売分析!AC177&lt;&gt;"",売分析!AC177,"")</f>
        <v>4069.9272943980914</v>
      </c>
      <c r="L177" s="326">
        <f>IF(売分析!K177&lt;&gt;"",売分析!K177,"")</f>
        <v>4466</v>
      </c>
      <c r="M177" s="325" t="str">
        <f>IF(売分析!P177&lt;&gt;"",売分析!P177,"")</f>
        <v>減少↓</v>
      </c>
      <c r="N177" s="328">
        <f>IF(売分析!O177&lt;&gt;"",売分析!O177,"")</f>
        <v>0.7973948929584731</v>
      </c>
      <c r="O177" s="330">
        <f>IF(売分析!X177&lt;&gt;"",売分析!X177,"")</f>
        <v>-8.6593263784648116</v>
      </c>
      <c r="P177" s="327">
        <f>IF(売分析!L177&lt;&gt;"",売分析!L177,"")</f>
        <v>-9.2924317062248107</v>
      </c>
      <c r="Q177" s="326">
        <f>IF(売分析!S177&lt;&gt;"",売分析!S177,"")</f>
        <v>4213</v>
      </c>
      <c r="R177" s="326">
        <f>IF(売分析!R177&lt;&gt;"",売分析!R177,"")</f>
        <v>3727</v>
      </c>
      <c r="S177" s="325" t="str">
        <f>IF(売分析!AA177&lt;&gt;"",売分析!AA177,"")</f>
        <v>下落▼</v>
      </c>
      <c r="T177" s="331">
        <f>IF(売分析!Z177&lt;&gt;"",売分析!Z177,"")</f>
        <v>-0.8080313418217433</v>
      </c>
      <c r="U177" s="325" t="str">
        <f>IF(売分析!V177&lt;&gt;"",売分析!V177,"")</f>
        <v>通常</v>
      </c>
      <c r="V177" s="329">
        <f>IF(売分析!W177&lt;&gt;"",売分析!W177,"")</f>
        <v>45.626072041166381</v>
      </c>
      <c r="W177" s="325" t="str">
        <f>IF(売分析!AD177&lt;&gt;"",売分析!AD177,"")</f>
        <v>もみ合い→</v>
      </c>
      <c r="X177" s="325" t="str">
        <f>IF(売分析!AE177&lt;&gt;"",売分析!AE177,"")</f>
        <v>25日戻り売り★</v>
      </c>
      <c r="Y177" s="387">
        <f>IF(売分析!T177&lt;&gt;"",売分析!T177,"")</f>
        <v>5</v>
      </c>
      <c r="Z177" s="325" t="str">
        <f>IF(売分析!Y177&lt;&gt;"",売分析!Y177,"")</f>
        <v>○逆張り売り | もみ合い→ 25日戻り売り★ MACD- RSI:45.6 前日比:-0.8% [5点]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1848</v>
      </c>
      <c r="F178" s="333">
        <f>IF(売分析!F178&lt;&gt;"",売分析!F178,"")</f>
        <v>1836</v>
      </c>
      <c r="G178" s="333">
        <f>IF(売分析!H178&lt;&gt;"",売分析!H178,"")</f>
        <v>1863</v>
      </c>
      <c r="H178" s="333">
        <f>IF(売分析!I178&lt;&gt;"",売分析!I178,"")</f>
        <v>1836</v>
      </c>
      <c r="I178" s="212">
        <f>IF(売分析!J178&lt;&gt;"",売分析!J178,"")</f>
        <v>316300</v>
      </c>
      <c r="J178" s="333">
        <f>IF(売分析!AB178&lt;&gt;"",売分析!AB178,"")</f>
        <v>1836.6514976958524</v>
      </c>
      <c r="K178" s="333">
        <f>IF(売分析!AC178&lt;&gt;"",売分析!AC178,"")</f>
        <v>1790.2920143027404</v>
      </c>
      <c r="L178" s="333">
        <f>IF(売分析!K178&lt;&gt;"",売分析!K178,"")</f>
        <v>1922.5</v>
      </c>
      <c r="M178" s="212" t="str">
        <f>IF(売分析!P178&lt;&gt;"",売分析!P178,"")</f>
        <v>減少↓</v>
      </c>
      <c r="N178" s="335">
        <f>IF(売分析!O178&lt;&gt;"",売分析!O178,"")</f>
        <v>0.87183020948180812</v>
      </c>
      <c r="O178" s="337">
        <f>IF(売分析!X178&lt;&gt;"",売分析!X178,"")</f>
        <v>13.314295352234922</v>
      </c>
      <c r="P178" s="334">
        <f>IF(売分析!L178&lt;&gt;"",売分析!L178,"")</f>
        <v>-3.8751625487646297</v>
      </c>
      <c r="Q178" s="333">
        <f>IF(売分析!S178&lt;&gt;"",売分析!S178,"")</f>
        <v>1922</v>
      </c>
      <c r="R178" s="333">
        <f>IF(売分析!R178&lt;&gt;"",売分析!R178,"")</f>
        <v>1700</v>
      </c>
      <c r="S178" s="212" t="str">
        <f>IF(売分析!AA178&lt;&gt;"",売分析!AA178,"")</f>
        <v>上昇▲</v>
      </c>
      <c r="T178" s="338">
        <f>IF(売分析!Z178&lt;&gt;"",売分析!Z178,"")</f>
        <v>0.38022813688212925</v>
      </c>
      <c r="U178" s="212" t="str">
        <f>IF(売分析!V178&lt;&gt;"",売分析!V178,"")</f>
        <v>通常</v>
      </c>
      <c r="V178" s="336">
        <f>IF(売分析!W178&lt;&gt;"",売分析!W178,"")</f>
        <v>74.365482233502533</v>
      </c>
      <c r="W178" s="212" t="str">
        <f>IF(売分析!AD178&lt;&gt;"",売分析!AD178,"")</f>
        <v>パーフェクト▲</v>
      </c>
      <c r="X178" s="212" t="str">
        <f>IF(売分析!AE178&lt;&gt;"",売分析!AE178,"")</f>
        <v>なし</v>
      </c>
      <c r="Y178" s="388">
        <f>IF(売分析!T178&lt;&gt;"",売分析!T178,"")</f>
        <v>1</v>
      </c>
      <c r="Z178" s="212" t="str">
        <f>IF(売分析!Y178&lt;&gt;"",売分析!Y178,"")</f>
        <v>△過熱・様子見 | パーフェクト▲ MACD+ RSI:74.4 [過熱] 前日比:+0.4% [1点]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1085</v>
      </c>
      <c r="F179" s="326">
        <f>IF(売分析!F179&lt;&gt;"",売分析!F179,"")</f>
        <v>1069</v>
      </c>
      <c r="G179" s="326">
        <f>IF(売分析!H179&lt;&gt;"",売分析!H179,"")</f>
        <v>1087</v>
      </c>
      <c r="H179" s="326">
        <f>IF(売分析!I179&lt;&gt;"",売分析!I179,"")</f>
        <v>1069</v>
      </c>
      <c r="I179" s="325">
        <f>IF(売分析!J179&lt;&gt;"",売分析!J179,"")</f>
        <v>57800</v>
      </c>
      <c r="J179" s="326">
        <f>IF(売分析!AB179&lt;&gt;"",売分析!AB179,"")</f>
        <v>1079.8133640552994</v>
      </c>
      <c r="K179" s="326">
        <f>IF(売分析!AC179&lt;&gt;"",売分析!AC179,"")</f>
        <v>1049.4290822407622</v>
      </c>
      <c r="L179" s="326">
        <f>IF(売分析!K179&lt;&gt;"",売分析!K179,"")</f>
        <v>1168</v>
      </c>
      <c r="M179" s="325" t="str">
        <f>IF(売分析!P179&lt;&gt;"",売分析!P179,"")</f>
        <v>減少↓</v>
      </c>
      <c r="N179" s="328">
        <f>IF(売分析!O179&lt;&gt;"",売分析!O179,"")</f>
        <v>0.7292455210698966</v>
      </c>
      <c r="O179" s="330">
        <f>IF(売分析!X179&lt;&gt;"",売分析!X179,"")</f>
        <v>-5.3776623056130575</v>
      </c>
      <c r="P179" s="327">
        <f>IF(売分析!L179&lt;&gt;"",売分析!L179,"")</f>
        <v>-7.1061643835616444</v>
      </c>
      <c r="Q179" s="326">
        <f>IF(売分析!S179&lt;&gt;"",売分析!S179,"")</f>
        <v>1128</v>
      </c>
      <c r="R179" s="326">
        <f>IF(売分析!R179&lt;&gt;"",売分析!R179,"")</f>
        <v>998</v>
      </c>
      <c r="S179" s="325" t="str">
        <f>IF(売分析!AA179&lt;&gt;"",売分析!AA179,"")</f>
        <v>上昇▲</v>
      </c>
      <c r="T179" s="331">
        <f>IF(売分析!Z179&lt;&gt;"",売分析!Z179,"")</f>
        <v>1.6869728209934396</v>
      </c>
      <c r="U179" s="325" t="str">
        <f>IF(売分析!V179&lt;&gt;"",売分析!V179,"")</f>
        <v>通常</v>
      </c>
      <c r="V179" s="329">
        <f>IF(売分析!W179&lt;&gt;"",売分析!W179,"")</f>
        <v>49.406276505513148</v>
      </c>
      <c r="W179" s="325" t="str">
        <f>IF(売分析!AD179&lt;&gt;"",売分析!AD179,"")</f>
        <v>パーフェクト▲</v>
      </c>
      <c r="X179" s="325" t="str">
        <f>IF(売分析!AE179&lt;&gt;"",売分析!AE179,"")</f>
        <v>なし</v>
      </c>
      <c r="Y179" s="387">
        <f>IF(売分析!T179&lt;&gt;"",売分析!T179,"")</f>
        <v>1</v>
      </c>
      <c r="Z179" s="325" t="str">
        <f>IF(売分析!Y179&lt;&gt;"",売分析!Y179,"")</f>
        <v>相場上昇・見送り | パーフェクト▲ MACD- RSI:49.4 前日比:+1.7% [1点]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5750</v>
      </c>
      <c r="G180" s="333">
        <f>IF(売分析!H180&lt;&gt;"",売分析!H180,"")</f>
        <v>5830</v>
      </c>
      <c r="H180" s="333">
        <f>IF(売分析!I180&lt;&gt;"",売分析!I180,"")</f>
        <v>5720</v>
      </c>
      <c r="I180" s="212">
        <f>IF(売分析!J180&lt;&gt;"",売分析!J180,"")</f>
        <v>121400</v>
      </c>
      <c r="J180" s="333">
        <f>IF(売分析!AB180&lt;&gt;"",売分析!AB180,"")</f>
        <v>5765.8410138248855</v>
      </c>
      <c r="K180" s="333">
        <f>IF(売分析!AC180&lt;&gt;"",売分析!AC180,"")</f>
        <v>5496.6984505363507</v>
      </c>
      <c r="L180" s="333">
        <f>IF(売分析!K180&lt;&gt;"",売分析!K180,"")</f>
        <v>7490</v>
      </c>
      <c r="M180" s="212" t="str">
        <f>IF(売分析!P180&lt;&gt;"",売分析!P180,"")</f>
        <v>普通→</v>
      </c>
      <c r="N180" s="335">
        <f>IF(売分析!O180&lt;&gt;"",売分析!O180,"")</f>
        <v>1.1972386587771202</v>
      </c>
      <c r="O180" s="337">
        <f>IF(売分析!X180&lt;&gt;"",売分析!X180,"")</f>
        <v>-3.8555319834886177</v>
      </c>
      <c r="P180" s="334">
        <f>IF(売分析!L180&lt;&gt;"",売分析!L180,"")</f>
        <v>-22.696929238985312</v>
      </c>
      <c r="Q180" s="333">
        <f>IF(売分析!S180&lt;&gt;"",売分析!S180,"")</f>
        <v>6022</v>
      </c>
      <c r="R180" s="333">
        <f>IF(売分析!R180&lt;&gt;"",売分析!R180,"")</f>
        <v>5327</v>
      </c>
      <c r="S180" s="212" t="str">
        <f>IF(売分析!AA180&lt;&gt;"",売分析!AA180,"")</f>
        <v>上昇▲</v>
      </c>
      <c r="T180" s="338">
        <f>IF(売分析!Z180&lt;&gt;"",売分析!Z180,"")</f>
        <v>0.87108013937282225</v>
      </c>
      <c r="U180" s="212" t="str">
        <f>IF(売分析!V180&lt;&gt;"",売分析!V180,"")</f>
        <v>通常</v>
      </c>
      <c r="V180" s="336">
        <f>IF(売分析!W180&lt;&gt;"",売分析!W180,"")</f>
        <v>50.251677852348998</v>
      </c>
      <c r="W180" s="212" t="str">
        <f>IF(売分析!AD180&lt;&gt;"",売分析!AD180,"")</f>
        <v>パーフェクト▲</v>
      </c>
      <c r="X180" s="212" t="str">
        <f>IF(売分析!AE180&lt;&gt;"",売分析!AE180,"")</f>
        <v>なし</v>
      </c>
      <c r="Y180" s="388">
        <f>IF(売分析!T180&lt;&gt;"",売分析!T180,"")</f>
        <v>3</v>
      </c>
      <c r="Z180" s="212" t="str">
        <f>IF(売分析!Y180&lt;&gt;"",売分析!Y180,"")</f>
        <v>相場上昇・見送り | パーフェクト▲ MACD- RSI:50.3 前日比:+0.9% [3点]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4588</v>
      </c>
      <c r="F181" s="326">
        <f>IF(売分析!F181&lt;&gt;"",売分析!F181,"")</f>
        <v>4533</v>
      </c>
      <c r="G181" s="326">
        <f>IF(売分析!H181&lt;&gt;"",売分析!H181,"")</f>
        <v>4607</v>
      </c>
      <c r="H181" s="326">
        <f>IF(売分析!I181&lt;&gt;"",売分析!I181,"")</f>
        <v>4517</v>
      </c>
      <c r="I181" s="325">
        <f>IF(売分析!J181&lt;&gt;"",売分析!J181,"")</f>
        <v>2432300</v>
      </c>
      <c r="J181" s="326">
        <f>IF(売分析!AB181&lt;&gt;"",売分析!AB181,"")</f>
        <v>4567.702764976958</v>
      </c>
      <c r="K181" s="326">
        <f>IF(売分析!AC181&lt;&gt;"",売分析!AC181,"")</f>
        <v>4623.2693682955887</v>
      </c>
      <c r="L181" s="326">
        <f>IF(売分析!K181&lt;&gt;"",売分析!K181,"")</f>
        <v>5805</v>
      </c>
      <c r="M181" s="325" t="str">
        <f>IF(売分析!P181&lt;&gt;"",売分析!P181,"")</f>
        <v>普通→</v>
      </c>
      <c r="N181" s="328">
        <f>IF(売分析!O181&lt;&gt;"",売分析!O181,"")</f>
        <v>1.0414293910615959</v>
      </c>
      <c r="O181" s="330">
        <f>IF(売分析!X181&lt;&gt;"",売分析!X181,"")</f>
        <v>10.154764984737085</v>
      </c>
      <c r="P181" s="327">
        <f>IF(売分析!L181&lt;&gt;"",売分析!L181,"")</f>
        <v>-20.964685615848406</v>
      </c>
      <c r="Q181" s="326">
        <f>IF(売分析!S181&lt;&gt;"",売分析!S181,"")</f>
        <v>4772</v>
      </c>
      <c r="R181" s="326">
        <f>IF(売分析!R181&lt;&gt;"",売分析!R181,"")</f>
        <v>4221</v>
      </c>
      <c r="S181" s="325" t="str">
        <f>IF(売分析!AA181&lt;&gt;"",売分析!AA181,"")</f>
        <v>上昇▲</v>
      </c>
      <c r="T181" s="331">
        <f>IF(売分析!Z181&lt;&gt;"",売分析!Z181,"")</f>
        <v>1.661865721249723</v>
      </c>
      <c r="U181" s="325" t="str">
        <f>IF(売分析!V181&lt;&gt;"",売分析!V181,"")</f>
        <v>通常</v>
      </c>
      <c r="V181" s="329">
        <f>IF(売分析!W181&lt;&gt;"",売分析!W181,"")</f>
        <v>45.095828635851184</v>
      </c>
      <c r="W181" s="325" t="str">
        <f>IF(売分析!AD181&lt;&gt;"",売分析!AD181,"")</f>
        <v>もみ合い→</v>
      </c>
      <c r="X181" s="325" t="str">
        <f>IF(売分析!AE181&lt;&gt;"",売分析!AE181,"")</f>
        <v>25日戻り売り★</v>
      </c>
      <c r="Y181" s="387">
        <f>IF(売分析!T181&lt;&gt;"",売分析!T181,"")</f>
        <v>2</v>
      </c>
      <c r="Z181" s="325" t="str">
        <f>IF(売分析!Y181&lt;&gt;"",売分析!Y181,"")</f>
        <v>○逆張り売り | もみ合い→ 25日戻り売り★ MACD+ RSI:45.1 前日比:+1.7% [2点]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7030</v>
      </c>
      <c r="F182" s="333">
        <f>IF(売分析!F182&lt;&gt;"",売分析!F182,"")</f>
        <v>6943</v>
      </c>
      <c r="G182" s="333">
        <f>IF(売分析!H182&lt;&gt;"",売分析!H182,"")</f>
        <v>7063</v>
      </c>
      <c r="H182" s="333">
        <f>IF(売分析!I182&lt;&gt;"",売分析!I182,"")</f>
        <v>6893</v>
      </c>
      <c r="I182" s="212">
        <f>IF(売分析!J182&lt;&gt;"",売分析!J182,"")</f>
        <v>4858200</v>
      </c>
      <c r="J182" s="333">
        <f>IF(売分析!AB182&lt;&gt;"",売分析!AB182,"")</f>
        <v>6945.3559907834097</v>
      </c>
      <c r="K182" s="333">
        <f>IF(売分析!AC182&lt;&gt;"",売分析!AC182,"")</f>
        <v>6618.4278903456479</v>
      </c>
      <c r="L182" s="333">
        <f>IF(売分析!K182&lt;&gt;"",売分析!K182,"")</f>
        <v>7218</v>
      </c>
      <c r="M182" s="212" t="str">
        <f>IF(売分析!P182&lt;&gt;"",売分析!P182,"")</f>
        <v>減少↓</v>
      </c>
      <c r="N182" s="335">
        <f>IF(売分析!O182&lt;&gt;"",売分析!O182,"")</f>
        <v>0.75365331513139522</v>
      </c>
      <c r="O182" s="337">
        <f>IF(売分析!X182&lt;&gt;"",売分析!X182,"")</f>
        <v>105.01814805822414</v>
      </c>
      <c r="P182" s="334">
        <f>IF(売分析!L182&lt;&gt;"",売分析!L182,"")</f>
        <v>-2.6045996120809085</v>
      </c>
      <c r="Q182" s="333">
        <f>IF(売分析!S182&lt;&gt;"",売分析!S182,"")</f>
        <v>7311</v>
      </c>
      <c r="R182" s="333">
        <f>IF(売分析!R182&lt;&gt;"",売分析!R182,"")</f>
        <v>6468</v>
      </c>
      <c r="S182" s="212" t="str">
        <f>IF(売分析!AA182&lt;&gt;"",売分析!AA182,"")</f>
        <v>上昇▲</v>
      </c>
      <c r="T182" s="338">
        <f>IF(売分析!Z182&lt;&gt;"",売分析!Z182,"")</f>
        <v>3.0036630036630036</v>
      </c>
      <c r="U182" s="212" t="str">
        <f>IF(売分析!V182&lt;&gt;"",売分析!V182,"")</f>
        <v>通常</v>
      </c>
      <c r="V182" s="336">
        <f>IF(売分析!W182&lt;&gt;"",売分析!W182,"")</f>
        <v>70.347182697780312</v>
      </c>
      <c r="W182" s="212" t="str">
        <f>IF(売分析!AD182&lt;&gt;"",売分析!AD182,"")</f>
        <v>パーフェクト▲</v>
      </c>
      <c r="X182" s="212" t="str">
        <f>IF(売分析!AE182&lt;&gt;"",売分析!AE182,"")</f>
        <v>なし</v>
      </c>
      <c r="Y182" s="388">
        <f>IF(売分析!T182&lt;&gt;"",売分析!T182,"")</f>
        <v>1</v>
      </c>
      <c r="Z182" s="212" t="str">
        <f>IF(売分析!Y182&lt;&gt;"",売分析!Y182,"")</f>
        <v>△過熱・様子見 | パーフェクト▲ MACD+ RSI:70.3 [過熱] 前日比:+3.0% [1点]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1666</v>
      </c>
      <c r="F183" s="326">
        <f>IF(売分析!F183&lt;&gt;"",売分析!F183,"")</f>
        <v>1643</v>
      </c>
      <c r="G183" s="326">
        <f>IF(売分析!H183&lt;&gt;"",売分析!H183,"")</f>
        <v>1666</v>
      </c>
      <c r="H183" s="326">
        <f>IF(売分析!I183&lt;&gt;"",売分析!I183,"")</f>
        <v>1635</v>
      </c>
      <c r="I183" s="325">
        <f>IF(売分析!J183&lt;&gt;"",売分析!J183,"")</f>
        <v>6477200</v>
      </c>
      <c r="J183" s="326">
        <f>IF(売分析!AB183&lt;&gt;"",売分析!AB183,"")</f>
        <v>1645.5086405529953</v>
      </c>
      <c r="K183" s="326">
        <f>IF(売分析!AC183&lt;&gt;"",売分析!AC183,"")</f>
        <v>1767.9272943980923</v>
      </c>
      <c r="L183" s="326">
        <f>IF(売分析!K183&lt;&gt;"",売分析!K183,"")</f>
        <v>1906</v>
      </c>
      <c r="M183" s="325" t="str">
        <f>IF(売分析!P183&lt;&gt;"",売分析!P183,"")</f>
        <v>減少↓</v>
      </c>
      <c r="N183" s="328">
        <f>IF(売分析!O183&lt;&gt;"",売分析!O183,"")</f>
        <v>0.60344522392092192</v>
      </c>
      <c r="O183" s="330">
        <f>IF(売分析!X183&lt;&gt;"",売分析!X183,"")</f>
        <v>-24.600608384844463</v>
      </c>
      <c r="P183" s="327">
        <f>IF(売分析!L183&lt;&gt;"",売分析!L183,"")</f>
        <v>-12.591815320041972</v>
      </c>
      <c r="Q183" s="326">
        <f>IF(売分析!S183&lt;&gt;"",売分析!S183,"")</f>
        <v>1733</v>
      </c>
      <c r="R183" s="326">
        <f>IF(売分析!R183&lt;&gt;"",売分析!R183,"")</f>
        <v>1533</v>
      </c>
      <c r="S183" s="325" t="str">
        <f>IF(売分析!AA183&lt;&gt;"",売分析!AA183,"")</f>
        <v>上昇▲</v>
      </c>
      <c r="T183" s="331">
        <f>IF(売分析!Z183&lt;&gt;"",売分析!Z183,"")</f>
        <v>1.8960244648318043</v>
      </c>
      <c r="U183" s="325" t="str">
        <f>IF(売分析!V183&lt;&gt;"",売分析!V183,"")</f>
        <v>通常</v>
      </c>
      <c r="V183" s="329">
        <f>IF(売分析!W183&lt;&gt;"",売分析!W183,"")</f>
        <v>26.111636707663195</v>
      </c>
      <c r="W183" s="325" t="str">
        <f>IF(売分析!AD183&lt;&gt;"",売分析!AD183,"")</f>
        <v>もみ合い→</v>
      </c>
      <c r="X183" s="325" t="str">
        <f>IF(売分析!AE183&lt;&gt;"",売分析!AE183,"")</f>
        <v>なし</v>
      </c>
      <c r="Y183" s="387">
        <f>IF(売分析!T183&lt;&gt;"",売分析!T183,"")</f>
        <v>6</v>
      </c>
      <c r="Z183" s="325" t="str">
        <f>IF(売分析!Y183&lt;&gt;"",売分析!Y183,"")</f>
        <v>相場上昇・見送り | もみ合い→ MACD- RSI:26.1 [売られ過ぎ] 前日比:+1.9% [6点]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4691</v>
      </c>
      <c r="F184" s="333">
        <f>IF(売分析!F184&lt;&gt;"",売分析!F184,"")</f>
        <v>4501</v>
      </c>
      <c r="G184" s="333">
        <f>IF(売分析!H184&lt;&gt;"",売分析!H184,"")</f>
        <v>4698</v>
      </c>
      <c r="H184" s="333">
        <f>IF(売分析!I184&lt;&gt;"",売分析!I184,"")</f>
        <v>4479</v>
      </c>
      <c r="I184" s="212">
        <f>IF(売分析!J184&lt;&gt;"",売分析!J184,"")</f>
        <v>1421600</v>
      </c>
      <c r="J184" s="333">
        <f>IF(売分析!AB184&lt;&gt;"",売分析!AB184,"")</f>
        <v>4642.0956221198157</v>
      </c>
      <c r="K184" s="333">
        <f>IF(売分析!AC184&lt;&gt;"",売分析!AC184,"")</f>
        <v>4617.61978545888</v>
      </c>
      <c r="L184" s="333">
        <f>IF(売分析!K184&lt;&gt;"",売分析!K184,"")</f>
        <v>5243</v>
      </c>
      <c r="M184" s="212" t="str">
        <f>IF(売分析!P184&lt;&gt;"",売分析!P184,"")</f>
        <v>減少↓</v>
      </c>
      <c r="N184" s="335">
        <f>IF(売分析!O184&lt;&gt;"",売分析!O184,"")</f>
        <v>0.72909294191258678</v>
      </c>
      <c r="O184" s="337">
        <f>IF(売分析!X184&lt;&gt;"",売分析!X184,"")</f>
        <v>60.323277835052068</v>
      </c>
      <c r="P184" s="334">
        <f>IF(売分析!L184&lt;&gt;"",売分析!L184,"")</f>
        <v>-10.52832347892428</v>
      </c>
      <c r="Q184" s="333">
        <f>IF(売分析!S184&lt;&gt;"",売分析!S184,"")</f>
        <v>4879</v>
      </c>
      <c r="R184" s="333">
        <f>IF(売分析!R184&lt;&gt;"",売分析!R184,"")</f>
        <v>4316</v>
      </c>
      <c r="S184" s="212" t="str">
        <f>IF(売分析!AA184&lt;&gt;"",売分析!AA184,"")</f>
        <v>上昇▲</v>
      </c>
      <c r="T184" s="338">
        <f>IF(売分析!Z184&lt;&gt;"",売分析!Z184,"")</f>
        <v>3.7831858407079642</v>
      </c>
      <c r="U184" s="212" t="str">
        <f>IF(売分析!V184&lt;&gt;"",売分析!V184,"")</f>
        <v>通常</v>
      </c>
      <c r="V184" s="336">
        <f>IF(売分析!W184&lt;&gt;"",売分析!W184,"")</f>
        <v>59.141274238227147</v>
      </c>
      <c r="W184" s="212" t="str">
        <f>IF(売分析!AD184&lt;&gt;"",売分析!AD184,"")</f>
        <v>パーフェクト▲</v>
      </c>
      <c r="X184" s="212" t="str">
        <f>IF(売分析!AE184&lt;&gt;"",売分析!AE184,"")</f>
        <v>なし</v>
      </c>
      <c r="Y184" s="388">
        <f>IF(売分析!T184&lt;&gt;"",売分析!T184,"")</f>
        <v>-1</v>
      </c>
      <c r="Z184" s="212" t="str">
        <f>IF(売分析!Y184&lt;&gt;"",売分析!Y184,"")</f>
        <v>相場上昇・見送り | パーフェクト▲ MACD+ RSI:59.1 前日比:+3.8% [-1点]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4413</v>
      </c>
      <c r="F185" s="326">
        <f>IF(売分析!F185&lt;&gt;"",売分析!F185,"")</f>
        <v>4394</v>
      </c>
      <c r="G185" s="326">
        <f>IF(売分析!H185&lt;&gt;"",売分析!H185,"")</f>
        <v>4418</v>
      </c>
      <c r="H185" s="326">
        <f>IF(売分析!I185&lt;&gt;"",売分析!I185,"")</f>
        <v>4375</v>
      </c>
      <c r="I185" s="325">
        <f>IF(売分析!J185&lt;&gt;"",売分析!J185,"")</f>
        <v>130900</v>
      </c>
      <c r="J185" s="326">
        <f>IF(売分析!AB185&lt;&gt;"",売分析!AB185,"")</f>
        <v>4409.9458525345626</v>
      </c>
      <c r="K185" s="326">
        <f>IF(売分析!AC185&lt;&gt;"",売分析!AC185,"")</f>
        <v>4413.1275327771136</v>
      </c>
      <c r="L185" s="326">
        <f>IF(売分析!K185&lt;&gt;"",売分析!K185,"")</f>
        <v>4664</v>
      </c>
      <c r="M185" s="325" t="str">
        <f>IF(売分析!P185&lt;&gt;"",売分析!P185,"")</f>
        <v>減少↓</v>
      </c>
      <c r="N185" s="328">
        <f>IF(売分析!O185&lt;&gt;"",売分析!O185,"")</f>
        <v>0.58421851289833082</v>
      </c>
      <c r="O185" s="330">
        <f>IF(売分析!X185&lt;&gt;"",売分析!X185,"")</f>
        <v>21.235801368417924</v>
      </c>
      <c r="P185" s="327">
        <f>IF(売分析!L185&lt;&gt;"",売分析!L185,"")</f>
        <v>-5.3816466552315614</v>
      </c>
      <c r="Q185" s="326">
        <f>IF(売分析!S185&lt;&gt;"",売分析!S185,"")</f>
        <v>4590</v>
      </c>
      <c r="R185" s="326">
        <f>IF(売分析!R185&lt;&gt;"",売分析!R185,"")</f>
        <v>4060</v>
      </c>
      <c r="S185" s="325" t="str">
        <f>IF(売分析!AA185&lt;&gt;"",売分析!AA185,"")</f>
        <v>上昇▲</v>
      </c>
      <c r="T185" s="331">
        <f>IF(売分析!Z185&lt;&gt;"",売分析!Z185,"")</f>
        <v>1.0996563573883162</v>
      </c>
      <c r="U185" s="325" t="str">
        <f>IF(売分析!V185&lt;&gt;"",売分析!V185,"")</f>
        <v>通常</v>
      </c>
      <c r="V185" s="329">
        <f>IF(売分析!W185&lt;&gt;"",売分析!W185,"")</f>
        <v>50.314465408805034</v>
      </c>
      <c r="W185" s="325" t="str">
        <f>IF(売分析!AD185&lt;&gt;"",売分析!AD185,"")</f>
        <v>もみ合い→</v>
      </c>
      <c r="X185" s="325" t="str">
        <f>IF(売分析!AE185&lt;&gt;"",売分析!AE185,"")</f>
        <v>25日戻り売り★</v>
      </c>
      <c r="Y185" s="387">
        <f>IF(売分析!T185&lt;&gt;"",売分析!T185,"")</f>
        <v>2</v>
      </c>
      <c r="Z185" s="325" t="str">
        <f>IF(売分析!Y185&lt;&gt;"",売分析!Y185,"")</f>
        <v>○逆張り売り | もみ合い→ 25日戻り売り★ MACD+ RSI:50.3 前日比:+1.1% [2点]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2018</v>
      </c>
      <c r="F186" s="333">
        <f>IF(売分析!F186&lt;&gt;"",売分析!F186,"")</f>
        <v>2089</v>
      </c>
      <c r="G186" s="333">
        <f>IF(売分析!H186&lt;&gt;"",売分析!H186,"")</f>
        <v>2116</v>
      </c>
      <c r="H186" s="333">
        <f>IF(売分析!I186&lt;&gt;"",売分析!I186,"")</f>
        <v>2002</v>
      </c>
      <c r="I186" s="212">
        <f>IF(売分析!J186&lt;&gt;"",売分析!J186,"")</f>
        <v>1312000</v>
      </c>
      <c r="J186" s="333">
        <f>IF(売分析!AB186&lt;&gt;"",売分析!AB186,"")</f>
        <v>2017.2615207373271</v>
      </c>
      <c r="K186" s="333">
        <f>IF(売分析!AC186&lt;&gt;"",売分析!AC186,"")</f>
        <v>1884.0786650774724</v>
      </c>
      <c r="L186" s="333">
        <f>IF(売分析!K186&lt;&gt;"",売分析!K186,"")</f>
        <v>8760</v>
      </c>
      <c r="M186" s="212" t="str">
        <f>IF(売分析!P186&lt;&gt;"",売分析!P186,"")</f>
        <v>減少↓</v>
      </c>
      <c r="N186" s="335">
        <f>IF(売分析!O186&lt;&gt;"",売分析!O186,"")</f>
        <v>0.82362394535958217</v>
      </c>
      <c r="O186" s="337">
        <f>IF(売分析!X186&lt;&gt;"",売分析!X186,"")</f>
        <v>0.94891517638666301</v>
      </c>
      <c r="P186" s="334">
        <f>IF(売分析!L186&lt;&gt;"",売分析!L186,"")</f>
        <v>-76.963470319634709</v>
      </c>
      <c r="Q186" s="333">
        <f>IF(売分析!S186&lt;&gt;"",売分析!S186,"")</f>
        <v>2099</v>
      </c>
      <c r="R186" s="333">
        <f>IF(売分析!R186&lt;&gt;"",売分析!R186,"")</f>
        <v>1857</v>
      </c>
      <c r="S186" s="212" t="str">
        <f>IF(売分析!AA186&lt;&gt;"",売分析!AA186,"")</f>
        <v>下落▼</v>
      </c>
      <c r="T186" s="338">
        <f>IF(売分析!Z186&lt;&gt;"",売分析!Z186,"")</f>
        <v>-4.1330166270783852</v>
      </c>
      <c r="U186" s="212" t="str">
        <f>IF(売分析!V186&lt;&gt;"",売分析!V186,"")</f>
        <v>年初来安値圏●</v>
      </c>
      <c r="V186" s="336">
        <f>IF(売分析!W186&lt;&gt;"",売分析!W186,"")</f>
        <v>51.526326572423685</v>
      </c>
      <c r="W186" s="212" t="str">
        <f>IF(売分析!AD186&lt;&gt;"",売分析!AD186,"")</f>
        <v>パーフェクト▲</v>
      </c>
      <c r="X186" s="212" t="str">
        <f>IF(売分析!AE186&lt;&gt;"",売分析!AE186,"")</f>
        <v>なし</v>
      </c>
      <c r="Y186" s="388">
        <f>IF(売分析!T186&lt;&gt;"",売分析!T186,"")</f>
        <v>5</v>
      </c>
      <c r="Z186" s="212" t="str">
        <f>IF(売分析!Y186&lt;&gt;"",売分析!Y186,"")</f>
        <v>相場上昇・見送り | パーフェクト▲ MACD+ RSI:51.5 前日比:-4.1% [年初来安値圏] [5点]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2719</v>
      </c>
      <c r="F187" s="326">
        <f>IF(売分析!F187&lt;&gt;"",売分析!F187,"")</f>
        <v>2615</v>
      </c>
      <c r="G187" s="326">
        <f>IF(売分析!H187&lt;&gt;"",売分析!H187,"")</f>
        <v>2734</v>
      </c>
      <c r="H187" s="326">
        <f>IF(売分析!I187&lt;&gt;"",売分析!I187,"")</f>
        <v>2600</v>
      </c>
      <c r="I187" s="325">
        <f>IF(売分析!J187&lt;&gt;"",売分析!J187,"")</f>
        <v>1129200</v>
      </c>
      <c r="J187" s="326">
        <f>IF(売分析!AB187&lt;&gt;"",売分析!AB187,"")</f>
        <v>2620.2200460829486</v>
      </c>
      <c r="K187" s="326">
        <f>IF(売分析!AC187&lt;&gt;"",売分析!AC187,"")</f>
        <v>2555.429082240762</v>
      </c>
      <c r="L187" s="326">
        <f>IF(売分析!K187&lt;&gt;"",売分析!K187,"")</f>
        <v>3740</v>
      </c>
      <c r="M187" s="325" t="str">
        <f>IF(売分析!P187&lt;&gt;"",売分析!P187,"")</f>
        <v>普通→</v>
      </c>
      <c r="N187" s="328">
        <f>IF(売分析!O187&lt;&gt;"",売分析!O187,"")</f>
        <v>1.3565593464680441</v>
      </c>
      <c r="O187" s="330">
        <f>IF(売分析!X187&lt;&gt;"",売分析!X187,"")</f>
        <v>-8.842413001164914</v>
      </c>
      <c r="P187" s="327">
        <f>IF(売分析!L187&lt;&gt;"",売分析!L187,"")</f>
        <v>-27.299465240641712</v>
      </c>
      <c r="Q187" s="326">
        <f>IF(売分析!S187&lt;&gt;"",売分析!S187,"")</f>
        <v>2828</v>
      </c>
      <c r="R187" s="326">
        <f>IF(売分析!R187&lt;&gt;"",売分析!R187,"")</f>
        <v>2501</v>
      </c>
      <c r="S187" s="325" t="str">
        <f>IF(売分析!AA187&lt;&gt;"",売分析!AA187,"")</f>
        <v>上昇▲</v>
      </c>
      <c r="T187" s="331">
        <f>IF(売分析!Z187&lt;&gt;"",売分析!Z187,"")</f>
        <v>3.2662362324344856</v>
      </c>
      <c r="U187" s="325" t="str">
        <f>IF(売分析!V187&lt;&gt;"",売分析!V187,"")</f>
        <v>安値圏</v>
      </c>
      <c r="V187" s="329">
        <f>IF(売分析!W187&lt;&gt;"",売分析!W187,"")</f>
        <v>51.606217616580309</v>
      </c>
      <c r="W187" s="325" t="str">
        <f>IF(売分析!AD187&lt;&gt;"",売分析!AD187,"")</f>
        <v>パーフェクト▲</v>
      </c>
      <c r="X187" s="325" t="str">
        <f>IF(売分析!AE187&lt;&gt;"",売分析!AE187,"")</f>
        <v>なし</v>
      </c>
      <c r="Y187" s="387">
        <f>IF(売分析!T187&lt;&gt;"",売分析!T187,"")</f>
        <v>7</v>
      </c>
      <c r="Z187" s="325" t="str">
        <f>IF(売分析!Y187&lt;&gt;"",売分析!Y187,"")</f>
        <v>相場上昇・見送り | パーフェクト▲ MACD- RSI:51.6 前日比:+3.3% [安値圏] [7点]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551</v>
      </c>
      <c r="F188" s="333">
        <f>IF(売分析!F188&lt;&gt;"",売分析!F188,"")</f>
        <v>565</v>
      </c>
      <c r="G188" s="333">
        <f>IF(売分析!H188&lt;&gt;"",売分析!H188,"")</f>
        <v>565</v>
      </c>
      <c r="H188" s="333">
        <f>IF(売分析!I188&lt;&gt;"",売分析!I188,"")</f>
        <v>543</v>
      </c>
      <c r="I188" s="212">
        <f>IF(売分析!J188&lt;&gt;"",売分析!J188,"")</f>
        <v>20600</v>
      </c>
      <c r="J188" s="333">
        <f>IF(売分析!AB188&lt;&gt;"",売分析!AB188,"")</f>
        <v>547.53456221198144</v>
      </c>
      <c r="K188" s="333">
        <f>IF(売分析!AC188&lt;&gt;"",売分析!AC188,"")</f>
        <v>536.71632896305118</v>
      </c>
      <c r="L188" s="333">
        <f>IF(売分析!K188&lt;&gt;"",売分析!K188,"")</f>
        <v>1630</v>
      </c>
      <c r="M188" s="212" t="str">
        <f>IF(売分析!P188&lt;&gt;"",売分析!P188,"")</f>
        <v>減少↓</v>
      </c>
      <c r="N188" s="335">
        <f>IF(売分析!O188&lt;&gt;"",売分析!O188,"")</f>
        <v>0.35443909153475567</v>
      </c>
      <c r="O188" s="337">
        <f>IF(売分析!X188&lt;&gt;"",売分析!X188,"")</f>
        <v>-2.6833015574809451</v>
      </c>
      <c r="P188" s="334">
        <f>IF(売分析!L188&lt;&gt;"",売分析!L188,"")</f>
        <v>-66.196319018404907</v>
      </c>
      <c r="Q188" s="333">
        <f>IF(売分析!S188&lt;&gt;"",売分析!S188,"")</f>
        <v>573</v>
      </c>
      <c r="R188" s="333">
        <f>IF(売分析!R188&lt;&gt;"",売分析!R188,"")</f>
        <v>507</v>
      </c>
      <c r="S188" s="212" t="str">
        <f>IF(売分析!AA188&lt;&gt;"",売分析!AA188,"")</f>
        <v>下落▼</v>
      </c>
      <c r="T188" s="338">
        <f>IF(売分析!Z188&lt;&gt;"",売分析!Z188,"")</f>
        <v>-0.72072072072072069</v>
      </c>
      <c r="U188" s="212" t="str">
        <f>IF(売分析!V188&lt;&gt;"",売分析!V188,"")</f>
        <v>年初来安値圏●</v>
      </c>
      <c r="V188" s="336">
        <f>IF(売分析!W188&lt;&gt;"",売分析!W188,"")</f>
        <v>47.596153846153847</v>
      </c>
      <c r="W188" s="212" t="str">
        <f>IF(売分析!AD188&lt;&gt;"",売分析!AD188,"")</f>
        <v>パーフェクト▲</v>
      </c>
      <c r="X188" s="212" t="str">
        <f>IF(売分析!AE188&lt;&gt;"",売分析!AE188,"")</f>
        <v>なし</v>
      </c>
      <c r="Y188" s="388">
        <f>IF(売分析!T188&lt;&gt;"",売分析!T188,"")</f>
        <v>9</v>
      </c>
      <c r="Z188" s="212" t="str">
        <f>IF(売分析!Y188&lt;&gt;"",売分析!Y188,"")</f>
        <v>相場上昇・見送り | パーフェクト▲ MACD- RSI:47.6 前日比:-0.7% [年初来安値圏] [9点]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49</v>
      </c>
      <c r="G189" s="326">
        <f>IF(売分析!H189&lt;&gt;"",売分析!H189,"")</f>
        <v>50</v>
      </c>
      <c r="H189" s="326">
        <f>IF(売分析!I189&lt;&gt;"",売分析!I189,"")</f>
        <v>47</v>
      </c>
      <c r="I189" s="325">
        <f>IF(売分析!J189&lt;&gt;"",売分析!J189,"")</f>
        <v>13294400</v>
      </c>
      <c r="J189" s="326">
        <f>IF(売分析!AB189&lt;&gt;"",売分析!AB189,"")</f>
        <v>47.800691244239623</v>
      </c>
      <c r="K189" s="326">
        <f>IF(売分析!AC189&lt;&gt;"",売分析!AC189,"")</f>
        <v>46.17044100119189</v>
      </c>
      <c r="L189" s="326">
        <f>IF(売分析!K189&lt;&gt;"",売分析!K189,"")</f>
        <v>164</v>
      </c>
      <c r="M189" s="325" t="str">
        <f>IF(売分析!P189&lt;&gt;"",売分析!P189,"")</f>
        <v>普通→</v>
      </c>
      <c r="N189" s="328">
        <f>IF(売分析!O189&lt;&gt;"",売分析!O189,"")</f>
        <v>1.1462329954114123</v>
      </c>
      <c r="O189" s="330">
        <f>IF(売分析!X189&lt;&gt;"",売分析!X189,"")</f>
        <v>-0.68337718268261227</v>
      </c>
      <c r="P189" s="327">
        <f>IF(売分析!L189&lt;&gt;"",売分析!L189,"")</f>
        <v>-70.731707317073173</v>
      </c>
      <c r="Q189" s="326">
        <f>IF(売分析!S189&lt;&gt;"",売分析!S189,"")</f>
        <v>50</v>
      </c>
      <c r="R189" s="326">
        <f>IF(売分析!R189&lt;&gt;"",売分析!R189,"")</f>
        <v>44</v>
      </c>
      <c r="S189" s="325" t="str">
        <f>IF(売分析!AA189&lt;&gt;"",売分析!AA189,"")</f>
        <v>下落▼</v>
      </c>
      <c r="T189" s="331">
        <f>IF(売分析!Z189&lt;&gt;"",売分析!Z189,"")</f>
        <v>-2.0408163265306123</v>
      </c>
      <c r="U189" s="325" t="str">
        <f>IF(売分析!V189&lt;&gt;"",売分析!V189,"")</f>
        <v>年初来安値圏●</v>
      </c>
      <c r="V189" s="329">
        <f>IF(売分析!W189&lt;&gt;"",売分析!W189,"")</f>
        <v>49.565217391304351</v>
      </c>
      <c r="W189" s="325" t="str">
        <f>IF(売分析!AD189&lt;&gt;"",売分析!AD189,"")</f>
        <v>パーフェクト▲</v>
      </c>
      <c r="X189" s="325" t="str">
        <f>IF(売分析!AE189&lt;&gt;"",売分析!AE189,"")</f>
        <v>なし</v>
      </c>
      <c r="Y189" s="387">
        <f>IF(売分析!T189&lt;&gt;"",売分析!T189,"")</f>
        <v>11</v>
      </c>
      <c r="Z189" s="325" t="str">
        <f>IF(売分析!Y189&lt;&gt;"",売分析!Y189,"")</f>
        <v>相場上昇・見送り | パーフェクト▲ MACD- RSI:49.6 前日比:-2.0% [年初来安値圏] [11点]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1123</v>
      </c>
      <c r="F190" s="333">
        <f>IF(売分析!F190&lt;&gt;"",売分析!F190,"")</f>
        <v>1151</v>
      </c>
      <c r="G190" s="333">
        <f>IF(売分析!H190&lt;&gt;"",売分析!H190,"")</f>
        <v>1154</v>
      </c>
      <c r="H190" s="333">
        <f>IF(売分析!I190&lt;&gt;"",売分析!I190,"")</f>
        <v>1123</v>
      </c>
      <c r="I190" s="212">
        <f>IF(売分析!J190&lt;&gt;"",売分析!J190,"")</f>
        <v>9300</v>
      </c>
      <c r="J190" s="333">
        <f>IF(売分析!AB190&lt;&gt;"",売分析!AB190,"")</f>
        <v>729.55645161290317</v>
      </c>
      <c r="K190" s="333">
        <f>IF(売分析!AC190&lt;&gt;"",売分析!AC190,"")</f>
        <v>201.90584028605477</v>
      </c>
      <c r="L190" s="333">
        <f>IF(売分析!K190&lt;&gt;"",売分析!K190,"")</f>
        <v>2660</v>
      </c>
      <c r="M190" s="212" t="str">
        <f>IF(売分析!P190&lt;&gt;"",売分析!P190,"")</f>
        <v>減少↓</v>
      </c>
      <c r="N190" s="335">
        <f>IF(売分析!O190&lt;&gt;"",売分析!O190,"")</f>
        <v>0.80172413793103448</v>
      </c>
      <c r="O190" s="337">
        <f>IF(売分析!X190&lt;&gt;"",売分析!X190,"")</f>
        <v>71.588919315870726</v>
      </c>
      <c r="P190" s="334">
        <f>IF(売分析!L190&lt;&gt;"",売分析!L190,"")</f>
        <v>-57.781954887218049</v>
      </c>
      <c r="Q190" s="333">
        <f>IF(売分析!S190&lt;&gt;"",売分析!S190,"")</f>
        <v>1168</v>
      </c>
      <c r="R190" s="333">
        <f>IF(売分析!R190&lt;&gt;"",売分析!R190,"")</f>
        <v>1033</v>
      </c>
      <c r="S190" s="212" t="str">
        <f>IF(売分析!AA190&lt;&gt;"",売分析!AA190,"")</f>
        <v>下落▼</v>
      </c>
      <c r="T190" s="338">
        <f>IF(売分析!Z190&lt;&gt;"",売分析!Z190,"")</f>
        <v>-3.8527397260273974</v>
      </c>
      <c r="U190" s="212" t="str">
        <f>IF(売分析!V190&lt;&gt;"",売分析!V190,"")</f>
        <v>年初来安値圏●</v>
      </c>
      <c r="V190" s="336">
        <f>IF(売分析!W190&lt;&gt;"",売分析!W190,"")</f>
        <v>50</v>
      </c>
      <c r="W190" s="212" t="str">
        <f>IF(売分析!AD190&lt;&gt;"",売分析!AD190,"")</f>
        <v>パーフェクト▲</v>
      </c>
      <c r="X190" s="212" t="str">
        <f>IF(売分析!AE190&lt;&gt;"",売分析!AE190,"")</f>
        <v>なし</v>
      </c>
      <c r="Y190" s="388">
        <f>IF(売分析!T190&lt;&gt;"",売分析!T190,"")</f>
        <v>9</v>
      </c>
      <c r="Z190" s="212" t="str">
        <f>IF(売分析!Y190&lt;&gt;"",売分析!Y190,"")</f>
        <v>相場上昇・見送り | パーフェクト▲ MACD+ RSI:50.0 前日比:-3.9% [年初来安値圏] [大陰線▼] [9点]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1564.5</v>
      </c>
      <c r="F191" s="326">
        <f>IF(売分析!F191&lt;&gt;"",売分析!F191,"")</f>
        <v>1525</v>
      </c>
      <c r="G191" s="326">
        <f>IF(売分析!H191&lt;&gt;"",売分析!H191,"")</f>
        <v>1577</v>
      </c>
      <c r="H191" s="326">
        <f>IF(売分析!I191&lt;&gt;"",売分析!I191,"")</f>
        <v>1520</v>
      </c>
      <c r="I191" s="325">
        <f>IF(売分析!J191&lt;&gt;"",売分析!J191,"")</f>
        <v>8499700</v>
      </c>
      <c r="J191" s="326">
        <f>IF(売分析!AB191&lt;&gt;"",売分析!AB191,"")</f>
        <v>1508.2563364055297</v>
      </c>
      <c r="K191" s="326">
        <f>IF(売分析!AC191&lt;&gt;"",売分析!AC191,"")</f>
        <v>1460.5691299165667</v>
      </c>
      <c r="L191" s="326">
        <f>IF(売分析!K191&lt;&gt;"",売分析!K191,"")</f>
        <v>2200</v>
      </c>
      <c r="M191" s="325" t="str">
        <f>IF(売分析!P191&lt;&gt;"",売分析!P191,"")</f>
        <v>普通→</v>
      </c>
      <c r="N191" s="328">
        <f>IF(売分析!O191&lt;&gt;"",売分析!O191,"")</f>
        <v>1.1688192034147227</v>
      </c>
      <c r="O191" s="330">
        <f>IF(売分析!X191&lt;&gt;"",売分析!X191,"")</f>
        <v>6.1117730527510048</v>
      </c>
      <c r="P191" s="327">
        <f>IF(売分析!L191&lt;&gt;"",売分析!L191,"")</f>
        <v>-28.886363636363637</v>
      </c>
      <c r="Q191" s="326">
        <f>IF(売分析!S191&lt;&gt;"",売分析!S191,"")</f>
        <v>1627</v>
      </c>
      <c r="R191" s="326">
        <f>IF(売分析!R191&lt;&gt;"",売分析!R191,"")</f>
        <v>1439</v>
      </c>
      <c r="S191" s="325" t="str">
        <f>IF(売分析!AA191&lt;&gt;"",売分析!AA191,"")</f>
        <v>上昇▲</v>
      </c>
      <c r="T191" s="331">
        <f>IF(売分析!Z191&lt;&gt;"",売分析!Z191,"")</f>
        <v>4.2652449183605468</v>
      </c>
      <c r="U191" s="325" t="str">
        <f>IF(売分析!V191&lt;&gt;"",売分析!V191,"")</f>
        <v>安値圏</v>
      </c>
      <c r="V191" s="329">
        <f>IF(売分析!W191&lt;&gt;"",売分析!W191,"")</f>
        <v>53.584905660377352</v>
      </c>
      <c r="W191" s="325" t="str">
        <f>IF(売分析!AD191&lt;&gt;"",売分析!AD191,"")</f>
        <v>パーフェクト▲</v>
      </c>
      <c r="X191" s="325" t="str">
        <f>IF(売分析!AE191&lt;&gt;"",売分析!AE191,"")</f>
        <v>なし</v>
      </c>
      <c r="Y191" s="387">
        <f>IF(売分析!T191&lt;&gt;"",売分析!T191,"")</f>
        <v>2</v>
      </c>
      <c r="Z191" s="325" t="str">
        <f>IF(売分析!Y191&lt;&gt;"",売分析!Y191,"")</f>
        <v>相場上昇・見送り | パーフェクト▲ MACD+ RSI:53.6 前日比:+4.3% [安値圏] [2点]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724</v>
      </c>
      <c r="F192" s="333">
        <f>IF(売分析!F192&lt;&gt;"",売分析!F192,"")</f>
        <v>713</v>
      </c>
      <c r="G192" s="333">
        <f>IF(売分析!H192&lt;&gt;"",売分析!H192,"")</f>
        <v>727</v>
      </c>
      <c r="H192" s="333">
        <f>IF(売分析!I192&lt;&gt;"",売分析!I192,"")</f>
        <v>712</v>
      </c>
      <c r="I192" s="212">
        <f>IF(売分析!J192&lt;&gt;"",売分析!J192,"")</f>
        <v>36200</v>
      </c>
      <c r="J192" s="333">
        <f>IF(売分析!AB192&lt;&gt;"",売分析!AB192,"")</f>
        <v>714.03110599078332</v>
      </c>
      <c r="K192" s="333">
        <f>IF(売分析!AC192&lt;&gt;"",売分析!AC192,"")</f>
        <v>676.41835518474352</v>
      </c>
      <c r="L192" s="333">
        <f>IF(売分析!K192&lt;&gt;"",売分析!K192,"")</f>
        <v>995</v>
      </c>
      <c r="M192" s="212" t="str">
        <f>IF(売分析!P192&lt;&gt;"",売分析!P192,"")</f>
        <v>減少↓</v>
      </c>
      <c r="N192" s="335">
        <f>IF(売分析!O192&lt;&gt;"",売分析!O192,"")</f>
        <v>0.969989281886388</v>
      </c>
      <c r="O192" s="337">
        <f>IF(売分析!X192&lt;&gt;"",売分析!X192,"")</f>
        <v>-2.5680646714880595</v>
      </c>
      <c r="P192" s="334">
        <f>IF(売分析!L192&lt;&gt;"",売分析!L192,"")</f>
        <v>-27.236180904522612</v>
      </c>
      <c r="Q192" s="333">
        <f>IF(売分析!S192&lt;&gt;"",売分析!S192,"")</f>
        <v>753</v>
      </c>
      <c r="R192" s="333">
        <f>IF(売分析!R192&lt;&gt;"",売分析!R192,"")</f>
        <v>666</v>
      </c>
      <c r="S192" s="212" t="str">
        <f>IF(売分析!AA192&lt;&gt;"",売分析!AA192,"")</f>
        <v>上昇▲</v>
      </c>
      <c r="T192" s="338">
        <f>IF(売分析!Z192&lt;&gt;"",売分析!Z192,"")</f>
        <v>1.5427769985974753</v>
      </c>
      <c r="U192" s="212" t="str">
        <f>IF(売分析!V192&lt;&gt;"",売分析!V192,"")</f>
        <v>安値圏</v>
      </c>
      <c r="V192" s="336">
        <f>IF(売分析!W192&lt;&gt;"",売分析!W192,"")</f>
        <v>49.624573378839592</v>
      </c>
      <c r="W192" s="212" t="str">
        <f>IF(売分析!AD192&lt;&gt;"",売分析!AD192,"")</f>
        <v>パーフェクト▲</v>
      </c>
      <c r="X192" s="212" t="str">
        <f>IF(売分析!AE192&lt;&gt;"",売分析!AE192,"")</f>
        <v>なし</v>
      </c>
      <c r="Y192" s="388">
        <f>IF(売分析!T192&lt;&gt;"",売分析!T192,"")</f>
        <v>6</v>
      </c>
      <c r="Z192" s="212" t="str">
        <f>IF(売分析!Y192&lt;&gt;"",売分析!Y192,"")</f>
        <v>相場上昇・見送り | パーフェクト▲ MACD- RSI:49.6 前日比:+1.5% [安値圏] [6点]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1205</v>
      </c>
      <c r="F193" s="326">
        <f>IF(売分析!F193&lt;&gt;"",売分析!F193,"")</f>
        <v>1178.5</v>
      </c>
      <c r="G193" s="326">
        <f>IF(売分析!H193&lt;&gt;"",売分析!H193,"")</f>
        <v>1211.5</v>
      </c>
      <c r="H193" s="326">
        <f>IF(売分析!I193&lt;&gt;"",売分析!I193,"")</f>
        <v>1174.5</v>
      </c>
      <c r="I193" s="325">
        <f>IF(売分析!J193&lt;&gt;"",売分析!J193,"")</f>
        <v>3154500</v>
      </c>
      <c r="J193" s="326">
        <f>IF(売分析!AB193&lt;&gt;"",売分析!AB193,"")</f>
        <v>1192.830069124424</v>
      </c>
      <c r="K193" s="326">
        <f>IF(売分析!AC193&lt;&gt;"",売分析!AC193,"")</f>
        <v>1157.9821215733011</v>
      </c>
      <c r="L193" s="326">
        <f>IF(売分析!K193&lt;&gt;"",売分析!K193,"")</f>
        <v>1323</v>
      </c>
      <c r="M193" s="325" t="str">
        <f>IF(売分析!P193&lt;&gt;"",売分析!P193,"")</f>
        <v>減少↓</v>
      </c>
      <c r="N193" s="328">
        <f>IF(売分析!O193&lt;&gt;"",売分析!O193,"")</f>
        <v>0.93223043778924408</v>
      </c>
      <c r="O193" s="330">
        <f>IF(売分析!X193&lt;&gt;"",売分析!X193,"")</f>
        <v>12.64561035508018</v>
      </c>
      <c r="P193" s="327">
        <f>IF(売分析!L193&lt;&gt;"",売分析!L193,"")</f>
        <v>-8.9191232048374918</v>
      </c>
      <c r="Q193" s="326">
        <f>IF(売分析!S193&lt;&gt;"",売分析!S193,"")</f>
        <v>1253</v>
      </c>
      <c r="R193" s="326">
        <f>IF(売分析!R193&lt;&gt;"",売分析!R193,"")</f>
        <v>1109</v>
      </c>
      <c r="S193" s="325" t="str">
        <f>IF(売分析!AA193&lt;&gt;"",売分析!AA193,"")</f>
        <v>上昇▲</v>
      </c>
      <c r="T193" s="331">
        <f>IF(売分析!Z193&lt;&gt;"",売分析!Z193,"")</f>
        <v>1.8166455428812844</v>
      </c>
      <c r="U193" s="325" t="str">
        <f>IF(売分析!V193&lt;&gt;"",売分析!V193,"")</f>
        <v>通常</v>
      </c>
      <c r="V193" s="329">
        <f>IF(売分析!W193&lt;&gt;"",売分析!W193,"")</f>
        <v>69.178082191780817</v>
      </c>
      <c r="W193" s="325" t="str">
        <f>IF(売分析!AD193&lt;&gt;"",売分析!AD193,"")</f>
        <v>パーフェクト▲</v>
      </c>
      <c r="X193" s="325" t="str">
        <f>IF(売分析!AE193&lt;&gt;"",売分析!AE193,"")</f>
        <v>なし</v>
      </c>
      <c r="Y193" s="387">
        <f>IF(売分析!T193&lt;&gt;"",売分析!T193,"")</f>
        <v>0</v>
      </c>
      <c r="Z193" s="325" t="str">
        <f>IF(売分析!Y193&lt;&gt;"",売分析!Y193,"")</f>
        <v>相場上昇・見送り | パーフェクト▲ MACD+ RSI:69.2 前日比:+1.8% [0点]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1605</v>
      </c>
      <c r="F194" s="333">
        <f>IF(売分析!F194&lt;&gt;"",売分析!F194,"")</f>
        <v>1587</v>
      </c>
      <c r="G194" s="333">
        <f>IF(売分析!H194&lt;&gt;"",売分析!H194,"")</f>
        <v>1605</v>
      </c>
      <c r="H194" s="333">
        <f>IF(売分析!I194&lt;&gt;"",売分析!I194,"")</f>
        <v>1581</v>
      </c>
      <c r="I194" s="212">
        <f>IF(売分析!J194&lt;&gt;"",売分析!J194,"")</f>
        <v>27500</v>
      </c>
      <c r="J194" s="333">
        <f>IF(売分析!AB194&lt;&gt;"",売分析!AB194,"")</f>
        <v>1588.3248847926268</v>
      </c>
      <c r="K194" s="333">
        <f>IF(売分析!AC194&lt;&gt;"",売分析!AC194,"")</f>
        <v>1565.9702026221682</v>
      </c>
      <c r="L194" s="333">
        <f>IF(売分析!K194&lt;&gt;"",売分析!K194,"")</f>
        <v>1787</v>
      </c>
      <c r="M194" s="212" t="str">
        <f>IF(売分析!P194&lt;&gt;"",売分析!P194,"")</f>
        <v>普通→</v>
      </c>
      <c r="N194" s="335">
        <f>IF(売分析!O194&lt;&gt;"",売分析!O194,"")</f>
        <v>1.1682242990654206</v>
      </c>
      <c r="O194" s="337">
        <f>IF(売分析!X194&lt;&gt;"",売分析!X194,"")</f>
        <v>7.0993317120360189</v>
      </c>
      <c r="P194" s="334">
        <f>IF(売分析!L194&lt;&gt;"",売分析!L194,"")</f>
        <v>-10.184667039731393</v>
      </c>
      <c r="Q194" s="333">
        <f>IF(売分析!S194&lt;&gt;"",売分析!S194,"")</f>
        <v>1669</v>
      </c>
      <c r="R194" s="333">
        <f>IF(売分析!R194&lt;&gt;"",売分析!R194,"")</f>
        <v>1477</v>
      </c>
      <c r="S194" s="212" t="str">
        <f>IF(売分析!AA194&lt;&gt;"",売分析!AA194,"")</f>
        <v>上昇▲</v>
      </c>
      <c r="T194" s="338">
        <f>IF(売分析!Z194&lt;&gt;"",売分析!Z194,"")</f>
        <v>1.1342155009451798</v>
      </c>
      <c r="U194" s="212" t="str">
        <f>IF(売分析!V194&lt;&gt;"",売分析!V194,"")</f>
        <v>通常</v>
      </c>
      <c r="V194" s="336">
        <f>IF(売分析!W194&lt;&gt;"",売分析!W194,"")</f>
        <v>59.76331360946746</v>
      </c>
      <c r="W194" s="212" t="str">
        <f>IF(売分析!AD194&lt;&gt;"",売分析!AD194,"")</f>
        <v>パーフェクト▲</v>
      </c>
      <c r="X194" s="212" t="str">
        <f>IF(売分析!AE194&lt;&gt;"",売分析!AE194,"")</f>
        <v>なし</v>
      </c>
      <c r="Y194" s="388">
        <f>IF(売分析!T194&lt;&gt;"",売分析!T194,"")</f>
        <v>-1</v>
      </c>
      <c r="Z194" s="212" t="str">
        <f>IF(売分析!Y194&lt;&gt;"",売分析!Y194,"")</f>
        <v>相場上昇・見送り | パーフェクト▲ MACD+ RSI:59.8 前日比:+1.1%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1624</v>
      </c>
      <c r="F195" s="326">
        <f>IF(売分析!F195&lt;&gt;"",売分析!F195,"")</f>
        <v>1603</v>
      </c>
      <c r="G195" s="326">
        <f>IF(売分析!H195&lt;&gt;"",売分析!H195,"")</f>
        <v>1640.5</v>
      </c>
      <c r="H195" s="326">
        <f>IF(売分析!I195&lt;&gt;"",売分析!I195,"")</f>
        <v>1603</v>
      </c>
      <c r="I195" s="325">
        <f>IF(売分析!J195&lt;&gt;"",売分析!J195,"")</f>
        <v>390500</v>
      </c>
      <c r="J195" s="326">
        <f>IF(売分析!AB195&lt;&gt;"",売分析!AB195,"")</f>
        <v>1614.9291474654374</v>
      </c>
      <c r="K195" s="326">
        <f>IF(売分析!AC195&lt;&gt;"",売分析!AC195,"")</f>
        <v>1659.8027413587595</v>
      </c>
      <c r="L195" s="326">
        <f>IF(売分析!K195&lt;&gt;"",売分析!K195,"")</f>
        <v>2447</v>
      </c>
      <c r="M195" s="325" t="str">
        <f>IF(売分析!P195&lt;&gt;"",売分析!P195,"")</f>
        <v>減少↓</v>
      </c>
      <c r="N195" s="328">
        <f>IF(売分析!O195&lt;&gt;"",売分析!O195,"")</f>
        <v>0.80725182949518337</v>
      </c>
      <c r="O195" s="330">
        <f>IF(売分析!X195&lt;&gt;"",売分析!X195,"")</f>
        <v>-8.7269542149108474</v>
      </c>
      <c r="P195" s="327">
        <f>IF(売分析!L195&lt;&gt;"",売分析!L195,"")</f>
        <v>-33.633020024519823</v>
      </c>
      <c r="Q195" s="326">
        <f>IF(売分析!S195&lt;&gt;"",売分析!S195,"")</f>
        <v>1689</v>
      </c>
      <c r="R195" s="326">
        <f>IF(売分析!R195&lt;&gt;"",売分析!R195,"")</f>
        <v>1494</v>
      </c>
      <c r="S195" s="325" t="str">
        <f>IF(売分析!AA195&lt;&gt;"",売分析!AA195,"")</f>
        <v>上昇▲</v>
      </c>
      <c r="T195" s="331">
        <f>IF(売分析!Z195&lt;&gt;"",売分析!Z195,"")</f>
        <v>1.5634771732332706</v>
      </c>
      <c r="U195" s="325" t="str">
        <f>IF(売分析!V195&lt;&gt;"",売分析!V195,"")</f>
        <v>安値圏</v>
      </c>
      <c r="V195" s="329">
        <f>IF(売分析!W195&lt;&gt;"",売分析!W195,"")</f>
        <v>26.894865525672373</v>
      </c>
      <c r="W195" s="325" t="str">
        <f>IF(売分析!AD195&lt;&gt;"",売分析!AD195,"")</f>
        <v>もみ合い→</v>
      </c>
      <c r="X195" s="325" t="str">
        <f>IF(売分析!AE195&lt;&gt;"",売分析!AE195,"")</f>
        <v>なし</v>
      </c>
      <c r="Y195" s="387">
        <f>IF(売分析!T195&lt;&gt;"",売分析!T195,"")</f>
        <v>10</v>
      </c>
      <c r="Z195" s="325" t="str">
        <f>IF(売分析!Y195&lt;&gt;"",売分析!Y195,"")</f>
        <v>相場上昇・見送り | もみ合い→ MACD- RSI:26.9 [売られ過ぎ] 前日比:+1.6% [安値圏]前日[上ヒゲ陰線▼] [10点]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8050</v>
      </c>
      <c r="F196" s="333">
        <f>IF(売分析!F196&lt;&gt;"",売分析!F196,"")</f>
        <v>8080</v>
      </c>
      <c r="G196" s="333">
        <f>IF(売分析!H196&lt;&gt;"",売分析!H196,"")</f>
        <v>8120</v>
      </c>
      <c r="H196" s="333">
        <f>IF(売分析!I196&lt;&gt;"",売分析!I196,"")</f>
        <v>8010</v>
      </c>
      <c r="I196" s="212">
        <f>IF(売分析!J196&lt;&gt;"",売分析!J196,"")</f>
        <v>613600</v>
      </c>
      <c r="J196" s="333">
        <f>IF(売分析!AB196&lt;&gt;"",売分析!AB196,"")</f>
        <v>8073.3755760368649</v>
      </c>
      <c r="K196" s="333">
        <f>IF(売分析!AC196&lt;&gt;"",売分析!AC196,"")</f>
        <v>7562.3718712753252</v>
      </c>
      <c r="L196" s="333">
        <f>IF(売分析!K196&lt;&gt;"",売分析!K196,"")</f>
        <v>8780</v>
      </c>
      <c r="M196" s="212" t="str">
        <f>IF(売分析!P196&lt;&gt;"",売分析!P196,"")</f>
        <v>減少↓</v>
      </c>
      <c r="N196" s="335">
        <f>IF(売分析!O196&lt;&gt;"",売分析!O196,"")</f>
        <v>0.98942208462332304</v>
      </c>
      <c r="O196" s="337">
        <f>IF(売分析!X196&lt;&gt;"",売分析!X196,"")</f>
        <v>31.017258467038118</v>
      </c>
      <c r="P196" s="334">
        <f>IF(売分析!L196&lt;&gt;"",売分析!L196,"")</f>
        <v>-8.3143507972665152</v>
      </c>
      <c r="Q196" s="333">
        <f>IF(売分析!S196&lt;&gt;"",売分析!S196,"")</f>
        <v>8372</v>
      </c>
      <c r="R196" s="333">
        <f>IF(売分析!R196&lt;&gt;"",売分析!R196,"")</f>
        <v>7406</v>
      </c>
      <c r="S196" s="212" t="str">
        <f>IF(売分析!AA196&lt;&gt;"",売分析!AA196,"")</f>
        <v>上昇▲</v>
      </c>
      <c r="T196" s="338">
        <f>IF(売分析!Z196&lt;&gt;"",売分析!Z196,"")</f>
        <v>0.75093867334167708</v>
      </c>
      <c r="U196" s="212" t="str">
        <f>IF(売分析!V196&lt;&gt;"",売分析!V196,"")</f>
        <v>通常</v>
      </c>
      <c r="V196" s="336">
        <f>IF(売分析!W196&lt;&gt;"",売分析!W196,"")</f>
        <v>51.252290775809414</v>
      </c>
      <c r="W196" s="212" t="str">
        <f>IF(売分析!AD196&lt;&gt;"",売分析!AD196,"")</f>
        <v>上昇トレンド▲</v>
      </c>
      <c r="X196" s="212" t="str">
        <f>IF(売分析!AE196&lt;&gt;"",売分析!AE196,"")</f>
        <v>5日戻り売り○</v>
      </c>
      <c r="Y196" s="388">
        <f>IF(売分析!T196&lt;&gt;"",売分析!T196,"")</f>
        <v>2</v>
      </c>
      <c r="Z196" s="212" t="str">
        <f>IF(売分析!Y196&lt;&gt;"",売分析!Y196,"")</f>
        <v>相場上昇・見送り | 上昇トレンド▲ 5日戻り売り○ MACD+ RSI:51.3 前日比:+0.8%前日[大陰線▼] [2点]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3998</v>
      </c>
      <c r="F197" s="326">
        <f>IF(売分析!F197&lt;&gt;"",売分析!F197,"")</f>
        <v>4050</v>
      </c>
      <c r="G197" s="326">
        <f>IF(売分析!H197&lt;&gt;"",売分析!H197,"")</f>
        <v>4137</v>
      </c>
      <c r="H197" s="326">
        <f>IF(売分析!I197&lt;&gt;"",売分析!I197,"")</f>
        <v>3976</v>
      </c>
      <c r="I197" s="325">
        <f>IF(売分析!J197&lt;&gt;"",売分析!J197,"")</f>
        <v>19815300</v>
      </c>
      <c r="J197" s="326">
        <f>IF(売分析!AB197&lt;&gt;"",売分析!AB197,"")</f>
        <v>3973.8790322580639</v>
      </c>
      <c r="K197" s="326">
        <f>IF(売分析!AC197&lt;&gt;"",売分析!AC197,"")</f>
        <v>3871.7544696066739</v>
      </c>
      <c r="L197" s="326">
        <f>IF(売分析!K197&lt;&gt;"",売分析!K197,"")</f>
        <v>5208</v>
      </c>
      <c r="M197" s="325" t="str">
        <f>IF(売分析!P197&lt;&gt;"",売分析!P197,"")</f>
        <v>減少↓</v>
      </c>
      <c r="N197" s="328">
        <f>IF(売分析!O197&lt;&gt;"",売分析!O197,"")</f>
        <v>0.66469313546586517</v>
      </c>
      <c r="O197" s="330">
        <f>IF(売分析!X197&lt;&gt;"",売分析!X197,"")</f>
        <v>17.666074932633364</v>
      </c>
      <c r="P197" s="327">
        <f>IF(売分析!L197&lt;&gt;"",売分析!L197,"")</f>
        <v>-23.233486943164365</v>
      </c>
      <c r="Q197" s="326">
        <f>IF(売分析!S197&lt;&gt;"",売分析!S197,"")</f>
        <v>4158</v>
      </c>
      <c r="R197" s="326">
        <f>IF(売分析!R197&lt;&gt;"",売分析!R197,"")</f>
        <v>3678</v>
      </c>
      <c r="S197" s="325" t="str">
        <f>IF(売分析!AA197&lt;&gt;"",売分析!AA197,"")</f>
        <v>下落▼</v>
      </c>
      <c r="T197" s="331">
        <f>IF(売分析!Z197&lt;&gt;"",売分析!Z197,"")</f>
        <v>-0.05</v>
      </c>
      <c r="U197" s="325" t="str">
        <f>IF(売分析!V197&lt;&gt;"",売分析!V197,"")</f>
        <v>通常</v>
      </c>
      <c r="V197" s="329">
        <f>IF(売分析!W197&lt;&gt;"",売分析!W197,"")</f>
        <v>58.067542213883677</v>
      </c>
      <c r="W197" s="325" t="str">
        <f>IF(売分析!AD197&lt;&gt;"",売分析!AD197,"")</f>
        <v>パーフェクト▲</v>
      </c>
      <c r="X197" s="325" t="str">
        <f>IF(売分析!AE197&lt;&gt;"",売分析!AE197,"")</f>
        <v>なし</v>
      </c>
      <c r="Y197" s="387">
        <f>IF(売分析!T197&lt;&gt;"",売分析!T197,"")</f>
        <v>-1</v>
      </c>
      <c r="Z197" s="325" t="str">
        <f>IF(売分析!Y197&lt;&gt;"",売分析!Y197,"")</f>
        <v>相場上昇・見送り | パーフェクト▲ MACD+ RSI:58.1 前日比:-0.1%前日[長い下ヒゲ(反発)] [-1点]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1825.5</v>
      </c>
      <c r="F198" s="333">
        <f>IF(売分析!F198&lt;&gt;"",売分析!F198,"")</f>
        <v>1790.5</v>
      </c>
      <c r="G198" s="333">
        <f>IF(売分析!H198&lt;&gt;"",売分析!H198,"")</f>
        <v>1828.5</v>
      </c>
      <c r="H198" s="333">
        <f>IF(売分析!I198&lt;&gt;"",売分析!I198,"")</f>
        <v>1790</v>
      </c>
      <c r="I198" s="212">
        <f>IF(売分析!J198&lt;&gt;"",売分析!J198,"")</f>
        <v>3642300</v>
      </c>
      <c r="J198" s="333">
        <f>IF(売分析!AB198&lt;&gt;"",売分析!AB198,"")</f>
        <v>1808.6146313364052</v>
      </c>
      <c r="K198" s="333">
        <f>IF(売分析!AC198&lt;&gt;"",売分析!AC198,"")</f>
        <v>1808.5524433849816</v>
      </c>
      <c r="L198" s="333">
        <f>IF(売分析!K198&lt;&gt;"",売分析!K198,"")</f>
        <v>1886.5</v>
      </c>
      <c r="M198" s="212" t="str">
        <f>IF(売分析!P198&lt;&gt;"",売分析!P198,"")</f>
        <v>減少↓</v>
      </c>
      <c r="N198" s="335">
        <f>IF(売分析!O198&lt;&gt;"",売分析!O198,"")</f>
        <v>0.62831208081477186</v>
      </c>
      <c r="O198" s="337">
        <f>IF(売分析!X198&lt;&gt;"",売分析!X198,"")</f>
        <v>5.411585183829402</v>
      </c>
      <c r="P198" s="334">
        <f>IF(売分析!L198&lt;&gt;"",売分析!L198,"")</f>
        <v>-3.2335011926848662</v>
      </c>
      <c r="Q198" s="333">
        <f>IF(売分析!S198&lt;&gt;"",売分析!S198,"")</f>
        <v>1899</v>
      </c>
      <c r="R198" s="333">
        <f>IF(売分析!R198&lt;&gt;"",売分析!R198,"")</f>
        <v>1679</v>
      </c>
      <c r="S198" s="212" t="str">
        <f>IF(売分析!AA198&lt;&gt;"",売分析!AA198,"")</f>
        <v>上昇▲</v>
      </c>
      <c r="T198" s="338">
        <f>IF(売分析!Z198&lt;&gt;"",売分析!Z198,"")</f>
        <v>0.80066261733848698</v>
      </c>
      <c r="U198" s="212" t="str">
        <f>IF(売分析!V198&lt;&gt;"",売分析!V198,"")</f>
        <v>通常</v>
      </c>
      <c r="V198" s="336">
        <f>IF(売分析!W198&lt;&gt;"",売分析!W198,"")</f>
        <v>41.666666666666671</v>
      </c>
      <c r="W198" s="212" t="str">
        <f>IF(売分析!AD198&lt;&gt;"",売分析!AD198,"")</f>
        <v>パーフェクト▲</v>
      </c>
      <c r="X198" s="212" t="str">
        <f>IF(売分析!AE198&lt;&gt;"",売分析!AE198,"")</f>
        <v>なし</v>
      </c>
      <c r="Y198" s="388">
        <f>IF(売分析!T198&lt;&gt;"",売分析!T198,"")</f>
        <v>-2</v>
      </c>
      <c r="Z198" s="212" t="str">
        <f>IF(売分析!Y198&lt;&gt;"",売分析!Y198,"")</f>
        <v>相場上昇・見送り | パーフェクト▲ MACD+ RSI:41.7 前日比:+0.8%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1577</v>
      </c>
      <c r="F199" s="326">
        <f>IF(売分析!F199&lt;&gt;"",売分析!F199,"")</f>
        <v>1551.5</v>
      </c>
      <c r="G199" s="326">
        <f>IF(売分析!H199&lt;&gt;"",売分析!H199,"")</f>
        <v>1580</v>
      </c>
      <c r="H199" s="326">
        <f>IF(売分析!I199&lt;&gt;"",売分析!I199,"")</f>
        <v>1551</v>
      </c>
      <c r="I199" s="325">
        <f>IF(売分析!J199&lt;&gt;"",売分析!J199,"")</f>
        <v>8448700</v>
      </c>
      <c r="J199" s="326">
        <f>IF(売分析!AB199&lt;&gt;"",売分析!AB199,"")</f>
        <v>1549.2079493087556</v>
      </c>
      <c r="K199" s="326">
        <f>IF(売分析!AC199&lt;&gt;"",売分析!AC199,"")</f>
        <v>1549.1907032181159</v>
      </c>
      <c r="L199" s="326">
        <f>IF(売分析!K199&lt;&gt;"",売分析!K199,"")</f>
        <v>1636</v>
      </c>
      <c r="M199" s="325" t="str">
        <f>IF(売分析!P199&lt;&gt;"",売分析!P199,"")</f>
        <v>減少↓</v>
      </c>
      <c r="N199" s="328">
        <f>IF(売分析!O199&lt;&gt;"",売分析!O199,"")</f>
        <v>0.6971081649289913</v>
      </c>
      <c r="O199" s="330">
        <f>IF(売分析!X199&lt;&gt;"",売分析!X199,"")</f>
        <v>0.73365102551747441</v>
      </c>
      <c r="P199" s="327">
        <f>IF(売分析!L199&lt;&gt;"",売分析!L199,"")</f>
        <v>-3.6063569682151591</v>
      </c>
      <c r="Q199" s="326">
        <f>IF(売分析!S199&lt;&gt;"",売分析!S199,"")</f>
        <v>1640</v>
      </c>
      <c r="R199" s="326">
        <f>IF(売分析!R199&lt;&gt;"",売分析!R199,"")</f>
        <v>1451</v>
      </c>
      <c r="S199" s="325" t="str">
        <f>IF(売分析!AA199&lt;&gt;"",売分析!AA199,"")</f>
        <v>上昇▲</v>
      </c>
      <c r="T199" s="331">
        <f>IF(売分析!Z199&lt;&gt;"",売分析!Z199,"")</f>
        <v>1.1870388193776067</v>
      </c>
      <c r="U199" s="325" t="str">
        <f>IF(売分析!V199&lt;&gt;"",売分析!V199,"")</f>
        <v>通常</v>
      </c>
      <c r="V199" s="329">
        <f>IF(売分析!W199&lt;&gt;"",売分析!W199,"")</f>
        <v>43.202416918429002</v>
      </c>
      <c r="W199" s="325" t="str">
        <f>IF(売分析!AD199&lt;&gt;"",売分析!AD199,"")</f>
        <v>パーフェクト▲</v>
      </c>
      <c r="X199" s="325" t="str">
        <f>IF(売分析!AE199&lt;&gt;"",売分析!AE199,"")</f>
        <v>なし</v>
      </c>
      <c r="Y199" s="387">
        <f>IF(売分析!T199&lt;&gt;"",売分析!T199,"")</f>
        <v>-2</v>
      </c>
      <c r="Z199" s="325" t="str">
        <f>IF(売分析!Y199&lt;&gt;"",売分析!Y199,"")</f>
        <v>相場上昇・見送り | パーフェクト▲ MACD+ RSI:43.2 前日比:+1.2% [-2点]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1921</v>
      </c>
      <c r="F200" s="333">
        <f>IF(売分析!F200&lt;&gt;"",売分析!F200,"")</f>
        <v>1902</v>
      </c>
      <c r="G200" s="333">
        <f>IF(売分析!H200&lt;&gt;"",売分析!H200,"")</f>
        <v>1928.5</v>
      </c>
      <c r="H200" s="333">
        <f>IF(売分析!I200&lt;&gt;"",売分析!I200,"")</f>
        <v>1891.5</v>
      </c>
      <c r="I200" s="212">
        <f>IF(売分析!J200&lt;&gt;"",売分析!J200,"")</f>
        <v>7537800</v>
      </c>
      <c r="J200" s="333">
        <f>IF(売分析!AB200&lt;&gt;"",売分析!AB200,"")</f>
        <v>1908.3646313364054</v>
      </c>
      <c r="K200" s="333">
        <f>IF(売分析!AC200&lt;&gt;"",売分析!AC200,"")</f>
        <v>1811.9761620977349</v>
      </c>
      <c r="L200" s="333">
        <f>IF(売分析!K200&lt;&gt;"",売分析!K200,"")</f>
        <v>1959</v>
      </c>
      <c r="M200" s="212" t="str">
        <f>IF(売分析!P200&lt;&gt;"",売分析!P200,"")</f>
        <v>減少↓</v>
      </c>
      <c r="N200" s="335">
        <f>IF(売分析!O200&lt;&gt;"",売分析!O200,"")</f>
        <v>0.90636686105933983</v>
      </c>
      <c r="O200" s="337">
        <f>IF(売分析!X200&lt;&gt;"",売分析!X200,"")</f>
        <v>1.7618502700627232</v>
      </c>
      <c r="P200" s="334">
        <f>IF(売分析!L200&lt;&gt;"",売分析!L200,"")</f>
        <v>-1.9397651863195506</v>
      </c>
      <c r="Q200" s="333">
        <f>IF(売分析!S200&lt;&gt;"",売分析!S200,"")</f>
        <v>1998</v>
      </c>
      <c r="R200" s="333">
        <f>IF(売分析!R200&lt;&gt;"",売分析!R200,"")</f>
        <v>1767</v>
      </c>
      <c r="S200" s="212" t="str">
        <f>IF(売分析!AA200&lt;&gt;"",売分析!AA200,"")</f>
        <v>上昇▲</v>
      </c>
      <c r="T200" s="338">
        <f>IF(売分析!Z200&lt;&gt;"",売分析!Z200,"")</f>
        <v>0.39195192056441075</v>
      </c>
      <c r="U200" s="212" t="str">
        <f>IF(売分析!V200&lt;&gt;"",売分析!V200,"")</f>
        <v>通常</v>
      </c>
      <c r="V200" s="336">
        <f>IF(売分析!W200&lt;&gt;"",売分析!W200,"")</f>
        <v>50.345069598783475</v>
      </c>
      <c r="W200" s="212" t="str">
        <f>IF(売分析!AD200&lt;&gt;"",売分析!AD200,"")</f>
        <v>パーフェクト▲</v>
      </c>
      <c r="X200" s="212" t="str">
        <f>IF(売分析!AE200&lt;&gt;"",売分析!AE200,"")</f>
        <v>なし</v>
      </c>
      <c r="Y200" s="388">
        <f>IF(売分析!T200&lt;&gt;"",売分析!T200,"")</f>
        <v>-1</v>
      </c>
      <c r="Z200" s="212" t="str">
        <f>IF(売分析!Y200&lt;&gt;"",売分析!Y200,"")</f>
        <v>相場上昇・見送り | パーフェクト▲ MACD+ RSI:50.3 前日比:+0.4% [-1点]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3574</v>
      </c>
      <c r="F201" s="326">
        <f>IF(売分析!F201&lt;&gt;"",売分析!F201,"")</f>
        <v>3541</v>
      </c>
      <c r="G201" s="326">
        <f>IF(売分析!H201&lt;&gt;"",売分析!H201,"")</f>
        <v>3603</v>
      </c>
      <c r="H201" s="326">
        <f>IF(売分析!I201&lt;&gt;"",売分析!I201,"")</f>
        <v>3538</v>
      </c>
      <c r="I201" s="325">
        <f>IF(売分析!J201&lt;&gt;"",売分析!J201,"")</f>
        <v>35721200</v>
      </c>
      <c r="J201" s="326">
        <f>IF(売分析!AB201&lt;&gt;"",売分析!AB201,"")</f>
        <v>3546.8006912442393</v>
      </c>
      <c r="K201" s="326">
        <f>IF(売分析!AC201&lt;&gt;"",売分析!AC201,"")</f>
        <v>3572.4743742550636</v>
      </c>
      <c r="L201" s="326">
        <f>IF(売分析!K201&lt;&gt;"",売分析!K201,"")</f>
        <v>3813</v>
      </c>
      <c r="M201" s="325" t="str">
        <f>IF(売分析!P201&lt;&gt;"",売分析!P201,"")</f>
        <v>減少↓</v>
      </c>
      <c r="N201" s="328">
        <f>IF(売分析!O201&lt;&gt;"",売分析!O201,"")</f>
        <v>0.7767494432250458</v>
      </c>
      <c r="O201" s="330">
        <f>IF(売分析!X201&lt;&gt;"",売分析!X201,"")</f>
        <v>12.36828677076528</v>
      </c>
      <c r="P201" s="327">
        <f>IF(売分析!L201&lt;&gt;"",売分析!L201,"")</f>
        <v>-6.2680304222397067</v>
      </c>
      <c r="Q201" s="326">
        <f>IF(売分析!S201&lt;&gt;"",売分析!S201,"")</f>
        <v>3717</v>
      </c>
      <c r="R201" s="326">
        <f>IF(売分析!R201&lt;&gt;"",売分析!R201,"")</f>
        <v>3288</v>
      </c>
      <c r="S201" s="325" t="str">
        <f>IF(売分析!AA201&lt;&gt;"",売分析!AA201,"")</f>
        <v>上昇▲</v>
      </c>
      <c r="T201" s="331">
        <f>IF(売分析!Z201&lt;&gt;"",売分析!Z201,"")</f>
        <v>0.93194012990680597</v>
      </c>
      <c r="U201" s="325" t="str">
        <f>IF(売分析!V201&lt;&gt;"",売分析!V201,"")</f>
        <v>通常</v>
      </c>
      <c r="V201" s="329">
        <f>IF(売分析!W201&lt;&gt;"",売分析!W201,"")</f>
        <v>42.514395393474096</v>
      </c>
      <c r="W201" s="325" t="str">
        <f>IF(売分析!AD201&lt;&gt;"",売分析!AD201,"")</f>
        <v>上昇トレンド▲</v>
      </c>
      <c r="X201" s="325" t="str">
        <f>IF(売分析!AE201&lt;&gt;"",売分析!AE201,"")</f>
        <v>なし</v>
      </c>
      <c r="Y201" s="387">
        <f>IF(売分析!T201&lt;&gt;"",売分析!T201,"")</f>
        <v>-2</v>
      </c>
      <c r="Z201" s="325" t="str">
        <f>IF(売分析!Y201&lt;&gt;"",売分析!Y201,"")</f>
        <v>相場上昇・見送り | 上昇トレンド▲ MACD+ RSI:42.5 前日比:+0.9% [-2点]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1813.5</v>
      </c>
      <c r="F202" s="333">
        <f>IF(売分析!F202&lt;&gt;"",売分析!F202,"")</f>
        <v>1768</v>
      </c>
      <c r="G202" s="333">
        <f>IF(売分析!H202&lt;&gt;"",売分析!H202,"")</f>
        <v>1814.5</v>
      </c>
      <c r="H202" s="333">
        <f>IF(売分析!I202&lt;&gt;"",売分析!I202,"")</f>
        <v>1768</v>
      </c>
      <c r="I202" s="212">
        <f>IF(売分析!J202&lt;&gt;"",売分析!J202,"")</f>
        <v>248900</v>
      </c>
      <c r="J202" s="333">
        <f>IF(売分析!AB202&lt;&gt;"",売分析!AB202,"")</f>
        <v>1794.5080645161288</v>
      </c>
      <c r="K202" s="333">
        <f>IF(売分析!AC202&lt;&gt;"",売分析!AC202,"")</f>
        <v>1791.4845053635272</v>
      </c>
      <c r="L202" s="333">
        <f>IF(売分析!K202&lt;&gt;"",売分析!K202,"")</f>
        <v>1862.5</v>
      </c>
      <c r="M202" s="212" t="str">
        <f>IF(売分析!P202&lt;&gt;"",売分析!P202,"")</f>
        <v>普通→</v>
      </c>
      <c r="N202" s="335">
        <f>IF(売分析!O202&lt;&gt;"",売分析!O202,"")</f>
        <v>1.1216764308246958</v>
      </c>
      <c r="O202" s="337">
        <f>IF(売分析!X202&lt;&gt;"",売分析!X202,"")</f>
        <v>4.7116988206453243</v>
      </c>
      <c r="P202" s="334">
        <f>IF(売分析!L202&lt;&gt;"",売分析!L202,"")</f>
        <v>-2.6308724832214763</v>
      </c>
      <c r="Q202" s="333">
        <f>IF(売分析!S202&lt;&gt;"",売分析!S202,"")</f>
        <v>1886</v>
      </c>
      <c r="R202" s="333">
        <f>IF(売分析!R202&lt;&gt;"",売分析!R202,"")</f>
        <v>1668</v>
      </c>
      <c r="S202" s="212" t="str">
        <f>IF(売分析!AA202&lt;&gt;"",売分析!AA202,"")</f>
        <v>上昇▲</v>
      </c>
      <c r="T202" s="338">
        <f>IF(売分析!Z202&lt;&gt;"",売分析!Z202,"")</f>
        <v>2.1402421852999156</v>
      </c>
      <c r="U202" s="212" t="str">
        <f>IF(売分析!V202&lt;&gt;"",売分析!V202,"")</f>
        <v>通常</v>
      </c>
      <c r="V202" s="336">
        <f>IF(売分析!W202&lt;&gt;"",売分析!W202,"")</f>
        <v>47.010309278350512</v>
      </c>
      <c r="W202" s="212" t="str">
        <f>IF(売分析!AD202&lt;&gt;"",売分析!AD202,"")</f>
        <v>パーフェクト▲</v>
      </c>
      <c r="X202" s="212" t="str">
        <f>IF(売分析!AE202&lt;&gt;"",売分析!AE202,"")</f>
        <v>なし</v>
      </c>
      <c r="Y202" s="388">
        <f>IF(売分析!T202&lt;&gt;"",売分析!T202,"")</f>
        <v>-4</v>
      </c>
      <c r="Z202" s="212" t="str">
        <f>IF(売分析!Y202&lt;&gt;"",売分析!Y202,"")</f>
        <v>相場上昇・見送り | パーフェクト▲ MACD+ RSI:47.0 前日比:+2.1%前日[長い下ヒゲ(反発)] [-4点]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5967</v>
      </c>
      <c r="F203" s="326">
        <f>IF(売分析!F203&lt;&gt;"",売分析!F203,"")</f>
        <v>5988</v>
      </c>
      <c r="G203" s="326">
        <f>IF(売分析!H203&lt;&gt;"",売分析!H203,"")</f>
        <v>6024</v>
      </c>
      <c r="H203" s="326">
        <f>IF(売分析!I203&lt;&gt;"",売分析!I203,"")</f>
        <v>5925</v>
      </c>
      <c r="I203" s="325">
        <f>IF(売分析!J203&lt;&gt;"",売分析!J203,"")</f>
        <v>862300</v>
      </c>
      <c r="J203" s="326">
        <f>IF(売分析!AB203&lt;&gt;"",売分析!AB203,"")</f>
        <v>6015.0023041474642</v>
      </c>
      <c r="K203" s="326">
        <f>IF(売分析!AC203&lt;&gt;"",売分析!AC203,"")</f>
        <v>6116.6102502979729</v>
      </c>
      <c r="L203" s="326">
        <f>IF(売分析!K203&lt;&gt;"",売分析!K203,"")</f>
        <v>7967</v>
      </c>
      <c r="M203" s="325" t="str">
        <f>IF(売分析!P203&lt;&gt;"",売分析!P203,"")</f>
        <v>減少↓</v>
      </c>
      <c r="N203" s="328">
        <f>IF(売分析!O203&lt;&gt;"",売分析!O203,"")</f>
        <v>0.84540873350457857</v>
      </c>
      <c r="O203" s="330">
        <f>IF(売分析!X203&lt;&gt;"",売分析!X203,"")</f>
        <v>5.2677390850958545</v>
      </c>
      <c r="P203" s="327">
        <f>IF(売分析!L203&lt;&gt;"",売分析!L203,"")</f>
        <v>-25.1035521526296</v>
      </c>
      <c r="Q203" s="326">
        <f>IF(売分析!S203&lt;&gt;"",売分析!S203,"")</f>
        <v>6206</v>
      </c>
      <c r="R203" s="326">
        <f>IF(売分析!R203&lt;&gt;"",売分析!R203,"")</f>
        <v>5490</v>
      </c>
      <c r="S203" s="325" t="str">
        <f>IF(売分析!AA203&lt;&gt;"",売分析!AA203,"")</f>
        <v>上昇▲</v>
      </c>
      <c r="T203" s="331">
        <f>IF(売分析!Z203&lt;&gt;"",売分析!Z203,"")</f>
        <v>0.50530570995452251</v>
      </c>
      <c r="U203" s="325" t="str">
        <f>IF(売分析!V203&lt;&gt;"",売分析!V203,"")</f>
        <v>安値圏</v>
      </c>
      <c r="V203" s="329">
        <f>IF(売分析!W203&lt;&gt;"",売分析!W203,"")</f>
        <v>39.567233384853175</v>
      </c>
      <c r="W203" s="325" t="str">
        <f>IF(売分析!AD203&lt;&gt;"",売分析!AD203,"")</f>
        <v>下降トレンド▼</v>
      </c>
      <c r="X203" s="325" t="str">
        <f>IF(売分析!AE203&lt;&gt;"",売分析!AE203,"")</f>
        <v>5日戻り売り○</v>
      </c>
      <c r="Y203" s="387">
        <f>IF(売分析!T203&lt;&gt;"",売分析!T203,"")</f>
        <v>8</v>
      </c>
      <c r="Z203" s="325" t="str">
        <f>IF(売分析!Y203&lt;&gt;"",売分析!Y203,"")</f>
        <v>★逆張り売り | 下降トレンド▼ 5日戻り売り○ MACD+ RSI:39.6 前日比:+0.5% [安値圏] [8点]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2594</v>
      </c>
      <c r="F204" s="333">
        <f>IF(売分析!F204&lt;&gt;"",売分析!F204,"")</f>
        <v>2565</v>
      </c>
      <c r="G204" s="333">
        <f>IF(売分析!H204&lt;&gt;"",売分析!H204,"")</f>
        <v>2613</v>
      </c>
      <c r="H204" s="333">
        <f>IF(売分析!I204&lt;&gt;"",売分析!I204,"")</f>
        <v>2556</v>
      </c>
      <c r="I204" s="212">
        <f>IF(売分析!J204&lt;&gt;"",売分析!J204,"")</f>
        <v>1183300</v>
      </c>
      <c r="J204" s="333">
        <f>IF(売分析!AB204&lt;&gt;"",売分析!AB204,"")</f>
        <v>2558.7505760368667</v>
      </c>
      <c r="K204" s="333">
        <f>IF(売分析!AC204&lt;&gt;"",売分析!AC204,"")</f>
        <v>2539.1781883194262</v>
      </c>
      <c r="L204" s="333">
        <f>IF(売分析!K204&lt;&gt;"",売分析!K204,"")</f>
        <v>2661</v>
      </c>
      <c r="M204" s="212" t="str">
        <f>IF(売分析!P204&lt;&gt;"",売分析!P204,"")</f>
        <v>普通→</v>
      </c>
      <c r="N204" s="335">
        <f>IF(売分析!O204&lt;&gt;"",売分析!O204,"")</f>
        <v>1.0559710150100841</v>
      </c>
      <c r="O204" s="337">
        <f>IF(売分析!X204&lt;&gt;"",売分析!X204,"")</f>
        <v>8.2172642384343817</v>
      </c>
      <c r="P204" s="334">
        <f>IF(売分析!L204&lt;&gt;"",売分析!L204,"")</f>
        <v>-2.5178504321683577</v>
      </c>
      <c r="Q204" s="333">
        <f>IF(売分析!S204&lt;&gt;"",売分析!S204,"")</f>
        <v>2698</v>
      </c>
      <c r="R204" s="333">
        <f>IF(売分析!R204&lt;&gt;"",売分析!R204,"")</f>
        <v>2386</v>
      </c>
      <c r="S204" s="212" t="str">
        <f>IF(売分析!AA204&lt;&gt;"",売分析!AA204,"")</f>
        <v>上昇▲</v>
      </c>
      <c r="T204" s="338">
        <f>IF(売分析!Z204&lt;&gt;"",売分析!Z204,"")</f>
        <v>1.0124610591900312</v>
      </c>
      <c r="U204" s="212" t="str">
        <f>IF(売分析!V204&lt;&gt;"",売分析!V204,"")</f>
        <v>通常</v>
      </c>
      <c r="V204" s="336">
        <f>IF(売分析!W204&lt;&gt;"",売分析!W204,"")</f>
        <v>46.553966189856958</v>
      </c>
      <c r="W204" s="212" t="str">
        <f>IF(売分析!AD204&lt;&gt;"",売分析!AD204,"")</f>
        <v>パーフェクト▲</v>
      </c>
      <c r="X204" s="212" t="str">
        <f>IF(売分析!AE204&lt;&gt;"",売分析!AE204,"")</f>
        <v>なし</v>
      </c>
      <c r="Y204" s="388">
        <f>IF(売分析!T204&lt;&gt;"",売分析!T204,"")</f>
        <v>-2</v>
      </c>
      <c r="Z204" s="212" t="str">
        <f>IF(売分析!Y204&lt;&gt;"",売分析!Y204,"")</f>
        <v>相場上昇・見送り | パーフェクト▲ MACD+ RSI:46.6 前日比:+1.0% [-2点]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6764</v>
      </c>
      <c r="F205" s="326">
        <f>IF(売分析!F205&lt;&gt;"",売分析!F205,"")</f>
        <v>6620</v>
      </c>
      <c r="G205" s="326">
        <f>IF(売分析!H205&lt;&gt;"",売分析!H205,"")</f>
        <v>6764</v>
      </c>
      <c r="H205" s="326">
        <f>IF(売分析!I205&lt;&gt;"",売分析!I205,"")</f>
        <v>6578</v>
      </c>
      <c r="I205" s="325">
        <f>IF(売分析!J205&lt;&gt;"",売分析!J205,"")</f>
        <v>3147300</v>
      </c>
      <c r="J205" s="326">
        <f>IF(売分析!AB205&lt;&gt;"",売分析!AB205,"")</f>
        <v>6734.2315668202755</v>
      </c>
      <c r="K205" s="326">
        <f>IF(売分析!AC205&lt;&gt;"",売分析!AC205,"")</f>
        <v>6718.4064362336103</v>
      </c>
      <c r="L205" s="326">
        <f>IF(売分析!K205&lt;&gt;"",売分析!K205,"")</f>
        <v>10700</v>
      </c>
      <c r="M205" s="325" t="str">
        <f>IF(売分析!P205&lt;&gt;"",売分析!P205,"")</f>
        <v>普通→</v>
      </c>
      <c r="N205" s="328">
        <f>IF(売分析!O205&lt;&gt;"",売分析!O205,"")</f>
        <v>1.0250255662018068</v>
      </c>
      <c r="O205" s="330">
        <f>IF(売分析!X205&lt;&gt;"",売分析!X205,"")</f>
        <v>-112.20118492749953</v>
      </c>
      <c r="P205" s="327">
        <f>IF(売分析!L205&lt;&gt;"",売分析!L205,"")</f>
        <v>-36.785046728971963</v>
      </c>
      <c r="Q205" s="326">
        <f>IF(売分析!S205&lt;&gt;"",売分析!S205,"")</f>
        <v>7035</v>
      </c>
      <c r="R205" s="326">
        <f>IF(売分析!R205&lt;&gt;"",売分析!R205,"")</f>
        <v>6223</v>
      </c>
      <c r="S205" s="325" t="str">
        <f>IF(売分析!AA205&lt;&gt;"",売分析!AA205,"")</f>
        <v>上昇▲</v>
      </c>
      <c r="T205" s="331">
        <f>IF(売分析!Z205&lt;&gt;"",売分析!Z205,"")</f>
        <v>1.1363636363636365</v>
      </c>
      <c r="U205" s="325" t="str">
        <f>IF(売分析!V205&lt;&gt;"",売分析!V205,"")</f>
        <v>安値圏</v>
      </c>
      <c r="V205" s="329">
        <f>IF(売分析!W205&lt;&gt;"",売分析!W205,"")</f>
        <v>48.546511627906973</v>
      </c>
      <c r="W205" s="325" t="str">
        <f>IF(売分析!AD205&lt;&gt;"",売分析!AD205,"")</f>
        <v>パーフェクト▲</v>
      </c>
      <c r="X205" s="325" t="str">
        <f>IF(売分析!AE205&lt;&gt;"",売分析!AE205,"")</f>
        <v>なし</v>
      </c>
      <c r="Y205" s="387">
        <f>IF(売分析!T205&lt;&gt;"",売分析!T205,"")</f>
        <v>9</v>
      </c>
      <c r="Z205" s="325" t="str">
        <f>IF(売分析!Y205&lt;&gt;"",売分析!Y205,"")</f>
        <v>相場上昇・見送り | パーフェクト▲ MACD- RSI:48.5 前日比:+1.1% [安値圏] [9点]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5540</v>
      </c>
      <c r="F206" s="333">
        <f>IF(売分析!F206&lt;&gt;"",売分析!F206,"")</f>
        <v>5370</v>
      </c>
      <c r="G206" s="333">
        <f>IF(売分析!H206&lt;&gt;"",売分析!H206,"")</f>
        <v>5574</v>
      </c>
      <c r="H206" s="333">
        <f>IF(売分析!I206&lt;&gt;"",売分析!I206,"")</f>
        <v>5362</v>
      </c>
      <c r="I206" s="212">
        <f>IF(売分析!J206&lt;&gt;"",売分析!J206,"")</f>
        <v>1442700</v>
      </c>
      <c r="J206" s="333">
        <f>IF(売分析!AB206&lt;&gt;"",売分析!AB206,"")</f>
        <v>5396.6854838709678</v>
      </c>
      <c r="K206" s="333">
        <f>IF(売分析!AC206&lt;&gt;"",売分析!AC206,"")</f>
        <v>5315.7115613825963</v>
      </c>
      <c r="L206" s="333">
        <f>IF(売分析!K206&lt;&gt;"",売分析!K206,"")</f>
        <v>7257</v>
      </c>
      <c r="M206" s="212" t="str">
        <f>IF(売分析!P206&lt;&gt;"",売分析!P206,"")</f>
        <v>減少↓</v>
      </c>
      <c r="N206" s="335">
        <f>IF(売分析!O206&lt;&gt;"",売分析!O206,"")</f>
        <v>0.86922205620089654</v>
      </c>
      <c r="O206" s="337">
        <f>IF(売分析!X206&lt;&gt;"",売分析!X206,"")</f>
        <v>32.439171466214248</v>
      </c>
      <c r="P206" s="334">
        <f>IF(売分析!L206&lt;&gt;"",売分析!L206,"")</f>
        <v>-23.659914565247348</v>
      </c>
      <c r="Q206" s="333">
        <f>IF(売分析!S206&lt;&gt;"",売分析!S206,"")</f>
        <v>5762</v>
      </c>
      <c r="R206" s="333">
        <f>IF(売分析!R206&lt;&gt;"",売分析!R206,"")</f>
        <v>5097</v>
      </c>
      <c r="S206" s="212" t="str">
        <f>IF(売分析!AA206&lt;&gt;"",売分析!AA206,"")</f>
        <v>上昇▲</v>
      </c>
      <c r="T206" s="338">
        <f>IF(売分析!Z206&lt;&gt;"",売分析!Z206,"")</f>
        <v>2.8401707815110449</v>
      </c>
      <c r="U206" s="212" t="str">
        <f>IF(売分析!V206&lt;&gt;"",売分析!V206,"")</f>
        <v>安値圏</v>
      </c>
      <c r="V206" s="336">
        <f>IF(売分析!W206&lt;&gt;"",売分析!W206,"")</f>
        <v>56.872427983539097</v>
      </c>
      <c r="W206" s="212" t="str">
        <f>IF(売分析!AD206&lt;&gt;"",売分析!AD206,"")</f>
        <v>パーフェクト▲</v>
      </c>
      <c r="X206" s="212" t="str">
        <f>IF(売分析!AE206&lt;&gt;"",売分析!AE206,"")</f>
        <v>なし</v>
      </c>
      <c r="Y206" s="388">
        <f>IF(売分析!T206&lt;&gt;"",売分析!T206,"")</f>
        <v>2</v>
      </c>
      <c r="Z206" s="212" t="str">
        <f>IF(売分析!Y206&lt;&gt;"",売分析!Y206,"")</f>
        <v>相場上昇・見送り | パーフェクト▲ MACD+ RSI:56.9 前日比:+2.8% [安値圏] [2点]</v>
      </c>
    </row>
  </sheetData>
  <autoFilter ref="A2:Z206" xr:uid="{00000000-0001-0000-0500-000000000000}"/>
  <mergeCells count="1">
    <mergeCell ref="A1:Z1"/>
  </mergeCells>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838</v>
      </c>
    </row>
    <row r="5" spans="1:2">
      <c r="B5" t="s">
        <v>839</v>
      </c>
    </row>
    <row r="7" spans="1:2">
      <c r="B7" t="s">
        <v>840</v>
      </c>
    </row>
    <row r="9" spans="1:2">
      <c r="B9" t="s">
        <v>841</v>
      </c>
    </row>
    <row r="10" spans="1:2">
      <c r="B10" t="s">
        <v>842</v>
      </c>
    </row>
    <row r="11" spans="1:2">
      <c r="B11" t="s">
        <v>843</v>
      </c>
    </row>
    <row r="13" spans="1:2">
      <c r="B13" t="s">
        <v>844</v>
      </c>
    </row>
    <row r="15" spans="1:2">
      <c r="B15" t="s">
        <v>845</v>
      </c>
    </row>
    <row r="17" spans="2:2">
      <c r="B17" t="s">
        <v>846</v>
      </c>
    </row>
    <row r="19" spans="2:2">
      <c r="B19" t="s">
        <v>847</v>
      </c>
    </row>
    <row r="20" spans="2:2">
      <c r="B20" t="s">
        <v>848</v>
      </c>
    </row>
    <row r="24" spans="2:2">
      <c r="B24" t="s">
        <v>849</v>
      </c>
    </row>
    <row r="26" spans="2:2">
      <c r="B26" t="s">
        <v>850</v>
      </c>
    </row>
    <row r="27" spans="2:2">
      <c r="B27" t="s">
        <v>851</v>
      </c>
    </row>
    <row r="29" spans="2:2">
      <c r="B29" t="s">
        <v>852</v>
      </c>
    </row>
    <row r="32" spans="2:2">
      <c r="B32" t="s">
        <v>853</v>
      </c>
    </row>
    <row r="34" spans="2:4">
      <c r="B34" t="s">
        <v>854</v>
      </c>
    </row>
    <row r="37" spans="2:4">
      <c r="B37" t="s">
        <v>855</v>
      </c>
    </row>
    <row r="39" spans="2:4">
      <c r="B39" t="s">
        <v>856</v>
      </c>
    </row>
    <row r="41" spans="2:4">
      <c r="B41" t="s">
        <v>857</v>
      </c>
    </row>
    <row r="43" spans="2:4">
      <c r="B43" t="s">
        <v>858</v>
      </c>
      <c r="C43" t="s">
        <v>859</v>
      </c>
      <c r="D43" t="s">
        <v>860</v>
      </c>
    </row>
    <row r="44" spans="2:4">
      <c r="B44" t="s">
        <v>861</v>
      </c>
      <c r="C44" t="s">
        <v>862</v>
      </c>
      <c r="D44" t="s">
        <v>863</v>
      </c>
    </row>
    <row r="45" spans="2:4">
      <c r="B45" t="s">
        <v>864</v>
      </c>
      <c r="C45" t="s">
        <v>865</v>
      </c>
      <c r="D45" t="s">
        <v>866</v>
      </c>
    </row>
    <row r="46" spans="2:4">
      <c r="B46" t="s">
        <v>864</v>
      </c>
      <c r="C46" t="s">
        <v>867</v>
      </c>
      <c r="D46" t="s">
        <v>868</v>
      </c>
    </row>
    <row r="48" spans="2:4">
      <c r="B48" t="s">
        <v>869</v>
      </c>
    </row>
    <row r="50" spans="2:4">
      <c r="B50" t="s">
        <v>858</v>
      </c>
      <c r="C50" t="s">
        <v>859</v>
      </c>
      <c r="D50" t="s">
        <v>860</v>
      </c>
    </row>
    <row r="51" spans="2:4">
      <c r="B51" t="s">
        <v>864</v>
      </c>
      <c r="C51" t="s">
        <v>867</v>
      </c>
      <c r="D51" t="s">
        <v>870</v>
      </c>
    </row>
    <row r="52" spans="2:4">
      <c r="B52" t="s">
        <v>861</v>
      </c>
      <c r="C52" t="s">
        <v>871</v>
      </c>
      <c r="D52" t="s">
        <v>872</v>
      </c>
    </row>
    <row r="53" spans="2:4">
      <c r="B53" t="s">
        <v>861</v>
      </c>
      <c r="C53" t="s">
        <v>862</v>
      </c>
      <c r="D53" t="s">
        <v>873</v>
      </c>
    </row>
    <row r="56" spans="2:4">
      <c r="B56" t="s">
        <v>874</v>
      </c>
    </row>
    <row r="60" spans="2:4">
      <c r="B60" t="s">
        <v>879</v>
      </c>
    </row>
    <row r="64" spans="2:4" ht="21">
      <c r="B64" s="456" t="s">
        <v>880</v>
      </c>
    </row>
    <row r="66" spans="2:2">
      <c r="B66" s="457" t="s">
        <v>881</v>
      </c>
    </row>
    <row r="68" spans="2:2">
      <c r="B68" t="s">
        <v>882</v>
      </c>
    </row>
    <row r="70" spans="2:2">
      <c r="B70" t="s">
        <v>883</v>
      </c>
    </row>
    <row r="74" spans="2:2" ht="21">
      <c r="B74" s="456" t="s">
        <v>884</v>
      </c>
    </row>
    <row r="76" spans="2:2">
      <c r="B76" t="s">
        <v>885</v>
      </c>
    </row>
    <row r="78" spans="2:2">
      <c r="B78" s="457" t="s">
        <v>886</v>
      </c>
    </row>
    <row r="79" spans="2:2">
      <c r="B79" s="458"/>
    </row>
    <row r="80" spans="2:2">
      <c r="B80" s="458" t="s">
        <v>887</v>
      </c>
    </row>
    <row r="81" spans="2:2">
      <c r="B81" s="458" t="s">
        <v>888</v>
      </c>
    </row>
    <row r="82" spans="2:2">
      <c r="B82" s="458" t="s">
        <v>889</v>
      </c>
    </row>
    <row r="84" spans="2:2">
      <c r="B84" s="457" t="s">
        <v>890</v>
      </c>
    </row>
    <row r="85" spans="2:2">
      <c r="B85" s="458"/>
    </row>
    <row r="86" spans="2:2">
      <c r="B86" s="458" t="s">
        <v>891</v>
      </c>
    </row>
    <row r="87" spans="2:2">
      <c r="B87" s="458" t="s">
        <v>892</v>
      </c>
    </row>
    <row r="89" spans="2:2">
      <c r="B89" s="457" t="s">
        <v>893</v>
      </c>
    </row>
    <row r="90" spans="2:2">
      <c r="B90" s="458"/>
    </row>
    <row r="91" spans="2:2">
      <c r="B91" s="458" t="s">
        <v>894</v>
      </c>
    </row>
    <row r="92" spans="2:2">
      <c r="B92" s="458" t="s">
        <v>895</v>
      </c>
    </row>
    <row r="94" spans="2:2">
      <c r="B94" s="457" t="s">
        <v>896</v>
      </c>
    </row>
    <row r="95" spans="2:2">
      <c r="B95" s="458"/>
    </row>
    <row r="96" spans="2:2">
      <c r="B96" s="458" t="s">
        <v>897</v>
      </c>
    </row>
    <row r="97" spans="2:2">
      <c r="B97" s="458" t="s">
        <v>898</v>
      </c>
    </row>
    <row r="101" spans="2:2" ht="21">
      <c r="B101" s="456" t="s">
        <v>899</v>
      </c>
    </row>
    <row r="103" spans="2:2" ht="16.2">
      <c r="B103" s="459" t="s">
        <v>900</v>
      </c>
    </row>
    <row r="105" spans="2:2">
      <c r="B105" t="s">
        <v>901</v>
      </c>
    </row>
    <row r="106" spans="2:2">
      <c r="B106" s="458"/>
    </row>
    <row r="107" spans="2:2">
      <c r="B107" s="458" t="s">
        <v>902</v>
      </c>
    </row>
    <row r="108" spans="2:2">
      <c r="B108" s="458" t="s">
        <v>903</v>
      </c>
    </row>
    <row r="110" spans="2:2">
      <c r="B110" t="s">
        <v>904</v>
      </c>
    </row>
    <row r="112" spans="2:2" ht="16.2">
      <c r="B112" s="459" t="s">
        <v>905</v>
      </c>
    </row>
    <row r="114" spans="2:2">
      <c r="B114" t="s">
        <v>906</v>
      </c>
    </row>
    <row r="115" spans="2:2">
      <c r="B115" s="458"/>
    </row>
    <row r="116" spans="2:2">
      <c r="B116" s="458" t="s">
        <v>907</v>
      </c>
    </row>
    <row r="118" spans="2:2">
      <c r="B118" t="s">
        <v>908</v>
      </c>
    </row>
    <row r="119" spans="2:2">
      <c r="B119" s="458"/>
    </row>
    <row r="120" spans="2:2">
      <c r="B120" s="458" t="s">
        <v>909</v>
      </c>
    </row>
    <row r="121" spans="2:2">
      <c r="B121" s="458" t="s">
        <v>910</v>
      </c>
    </row>
    <row r="123" spans="2:2">
      <c r="B123" t="s">
        <v>911</v>
      </c>
    </row>
    <row r="125" spans="2:2" ht="16.2">
      <c r="B125" s="459" t="s">
        <v>912</v>
      </c>
    </row>
    <row r="127" spans="2:2">
      <c r="B127" t="s">
        <v>913</v>
      </c>
    </row>
    <row r="128" spans="2:2">
      <c r="B128" s="458"/>
    </row>
    <row r="129" spans="2:2">
      <c r="B129" s="458" t="s">
        <v>914</v>
      </c>
    </row>
    <row r="130" spans="2:2">
      <c r="B130" s="458" t="s">
        <v>915</v>
      </c>
    </row>
    <row r="131" spans="2:2">
      <c r="B131" s="458" t="s">
        <v>916</v>
      </c>
    </row>
    <row r="133" spans="2:2">
      <c r="B133" t="s">
        <v>917</v>
      </c>
    </row>
    <row r="137" spans="2:2" ht="21">
      <c r="B137" s="456" t="s">
        <v>918</v>
      </c>
    </row>
    <row r="139" spans="2:2">
      <c r="B139" t="s">
        <v>919</v>
      </c>
    </row>
    <row r="141" spans="2:2">
      <c r="B141" s="457" t="s">
        <v>920</v>
      </c>
    </row>
    <row r="142" spans="2:2">
      <c r="B142" s="458"/>
    </row>
    <row r="143" spans="2:2">
      <c r="B143" s="458" t="s">
        <v>921</v>
      </c>
    </row>
    <row r="144" spans="2:2">
      <c r="B144" s="458" t="s">
        <v>922</v>
      </c>
    </row>
    <row r="145" spans="2:2">
      <c r="B145" s="458" t="s">
        <v>923</v>
      </c>
    </row>
    <row r="146" spans="2:2">
      <c r="B146" s="458" t="s">
        <v>924</v>
      </c>
    </row>
    <row r="147" spans="2:2">
      <c r="B147" s="458" t="s">
        <v>925</v>
      </c>
    </row>
    <row r="148" spans="2:2">
      <c r="B148" s="458" t="s">
        <v>926</v>
      </c>
    </row>
    <row r="150" spans="2:2">
      <c r="B150" s="457" t="s">
        <v>927</v>
      </c>
    </row>
    <row r="152" spans="2:2">
      <c r="B152" s="460" t="s">
        <v>928</v>
      </c>
    </row>
    <row r="154" spans="2:2">
      <c r="B154" t="s">
        <v>929</v>
      </c>
    </row>
    <row r="156" spans="2:2">
      <c r="B156" s="457" t="s">
        <v>930</v>
      </c>
    </row>
    <row r="158" spans="2:2">
      <c r="B158" s="460" t="s">
        <v>931</v>
      </c>
    </row>
    <row r="159" spans="2:2">
      <c r="B159" s="458"/>
    </row>
    <row r="160" spans="2:2">
      <c r="B160" s="458" t="s">
        <v>932</v>
      </c>
    </row>
    <row r="161" spans="2:2">
      <c r="B161" s="458" t="s">
        <v>933</v>
      </c>
    </row>
    <row r="165" spans="2:2">
      <c r="B165" t="s">
        <v>934</v>
      </c>
    </row>
    <row r="167" spans="2:2">
      <c r="B167" t="s">
        <v>935</v>
      </c>
    </row>
    <row r="171" spans="2:2">
      <c r="B171" t="s">
        <v>936</v>
      </c>
    </row>
    <row r="172" spans="2:2">
      <c r="B172" t="s">
        <v>988</v>
      </c>
    </row>
    <row r="173" spans="2:2">
      <c r="B173" t="s">
        <v>937</v>
      </c>
    </row>
    <row r="174" spans="2:2">
      <c r="B174" t="s">
        <v>938</v>
      </c>
    </row>
    <row r="175" spans="2:2">
      <c r="B175" t="s">
        <v>939</v>
      </c>
    </row>
    <row r="176" spans="2:2">
      <c r="B176" t="s">
        <v>989</v>
      </c>
    </row>
    <row r="177" spans="2:4">
      <c r="B177" t="s">
        <v>990</v>
      </c>
    </row>
    <row r="178" spans="2:4">
      <c r="B178" t="s">
        <v>940</v>
      </c>
    </row>
    <row r="180" spans="2:4">
      <c r="B180" t="s">
        <v>941</v>
      </c>
    </row>
    <row r="181" spans="2:4">
      <c r="B181" t="s">
        <v>991</v>
      </c>
    </row>
    <row r="182" spans="2:4">
      <c r="B182" t="s">
        <v>942</v>
      </c>
    </row>
    <row r="183" spans="2:4">
      <c r="B183" t="s">
        <v>943</v>
      </c>
    </row>
    <row r="184" spans="2:4">
      <c r="B184" t="s">
        <v>992</v>
      </c>
    </row>
    <row r="185" spans="2:4">
      <c r="B185" t="s">
        <v>944</v>
      </c>
    </row>
    <row r="186" spans="2:4">
      <c r="B186" t="s">
        <v>945</v>
      </c>
    </row>
    <row r="187" spans="2:4">
      <c r="B187" t="s">
        <v>946</v>
      </c>
    </row>
    <row r="189" spans="2:4">
      <c r="B189" t="s">
        <v>993</v>
      </c>
    </row>
    <row r="191" spans="2:4">
      <c r="B191" t="s">
        <v>947</v>
      </c>
    </row>
    <row r="192" spans="2:4">
      <c r="B192" t="s">
        <v>598</v>
      </c>
      <c r="C192" t="s">
        <v>948</v>
      </c>
      <c r="D192" t="s">
        <v>949</v>
      </c>
    </row>
    <row r="193" spans="2:4">
      <c r="B193" t="s">
        <v>950</v>
      </c>
      <c r="C193" t="s">
        <v>951</v>
      </c>
      <c r="D193" t="s">
        <v>951</v>
      </c>
    </row>
    <row r="194" spans="2:4">
      <c r="B194" t="s">
        <v>952</v>
      </c>
      <c r="C194" t="s">
        <v>953</v>
      </c>
      <c r="D194" t="s">
        <v>954</v>
      </c>
    </row>
    <row r="195" spans="2:4">
      <c r="B195" t="s">
        <v>955</v>
      </c>
      <c r="C195" t="s">
        <v>951</v>
      </c>
      <c r="D195" t="s">
        <v>951</v>
      </c>
    </row>
    <row r="196" spans="2:4">
      <c r="B196" t="s">
        <v>956</v>
      </c>
      <c r="C196" t="s">
        <v>951</v>
      </c>
      <c r="D196" t="s">
        <v>957</v>
      </c>
    </row>
    <row r="197" spans="2:4">
      <c r="B197" t="s">
        <v>958</v>
      </c>
    </row>
    <row r="198" spans="2:4">
      <c r="B198" t="s">
        <v>959</v>
      </c>
    </row>
    <row r="199" spans="2:4">
      <c r="B199" t="s">
        <v>960</v>
      </c>
    </row>
    <row r="200" spans="2:4">
      <c r="B200" t="s">
        <v>961</v>
      </c>
    </row>
    <row r="201" spans="2:4">
      <c r="B201" t="s">
        <v>962</v>
      </c>
    </row>
    <row r="203" spans="2:4">
      <c r="B203" t="s">
        <v>963</v>
      </c>
    </row>
    <row r="204" spans="2:4">
      <c r="B204" t="s">
        <v>964</v>
      </c>
    </row>
    <row r="205" spans="2:4">
      <c r="B205" t="s">
        <v>965</v>
      </c>
    </row>
    <row r="206" spans="2:4">
      <c r="B206" t="s">
        <v>966</v>
      </c>
    </row>
    <row r="207" spans="2:4">
      <c r="B207" t="s">
        <v>994</v>
      </c>
    </row>
    <row r="208" spans="2:4">
      <c r="B208" t="s">
        <v>967</v>
      </c>
    </row>
    <row r="209" spans="2:2">
      <c r="B209" t="s">
        <v>995</v>
      </c>
    </row>
    <row r="210" spans="2:2">
      <c r="B210" t="s">
        <v>968</v>
      </c>
    </row>
    <row r="211" spans="2:2">
      <c r="B211" t="s">
        <v>969</v>
      </c>
    </row>
    <row r="212" spans="2:2">
      <c r="B212" t="s">
        <v>970</v>
      </c>
    </row>
    <row r="213" spans="2:2">
      <c r="B213" t="s">
        <v>971</v>
      </c>
    </row>
    <row r="215" spans="2:2">
      <c r="B215" t="s">
        <v>972</v>
      </c>
    </row>
    <row r="216" spans="2:2">
      <c r="B216" t="s">
        <v>973</v>
      </c>
    </row>
    <row r="217" spans="2:2">
      <c r="B217" t="s">
        <v>996</v>
      </c>
    </row>
    <row r="218" spans="2:2">
      <c r="B218" t="s">
        <v>974</v>
      </c>
    </row>
    <row r="219" spans="2:2">
      <c r="B219" t="s">
        <v>975</v>
      </c>
    </row>
    <row r="220" spans="2:2">
      <c r="B220" t="s">
        <v>976</v>
      </c>
    </row>
    <row r="221" spans="2:2">
      <c r="B221" t="s">
        <v>977</v>
      </c>
    </row>
    <row r="223" spans="2:2">
      <c r="B223" t="s">
        <v>978</v>
      </c>
    </row>
    <row r="224" spans="2:2">
      <c r="B224" t="s">
        <v>979</v>
      </c>
    </row>
    <row r="225" spans="2:2">
      <c r="B225" t="s">
        <v>997</v>
      </c>
    </row>
    <row r="226" spans="2:2">
      <c r="B226" t="s">
        <v>980</v>
      </c>
    </row>
    <row r="227" spans="2:2">
      <c r="B227" t="s">
        <v>981</v>
      </c>
    </row>
    <row r="228" spans="2:2">
      <c r="B228" t="s">
        <v>982</v>
      </c>
    </row>
    <row r="229" spans="2:2">
      <c r="B229" t="s">
        <v>983</v>
      </c>
    </row>
    <row r="231" spans="2:2">
      <c r="B231" t="s">
        <v>984</v>
      </c>
    </row>
    <row r="232" spans="2:2">
      <c r="B232" t="s">
        <v>985</v>
      </c>
    </row>
    <row r="233" spans="2:2">
      <c r="B233" t="s">
        <v>986</v>
      </c>
    </row>
    <row r="235" spans="2:2">
      <c r="B235" t="s">
        <v>987</v>
      </c>
    </row>
    <row r="238" spans="2:2">
      <c r="B238" s="448">
        <v>46218</v>
      </c>
    </row>
    <row r="239" spans="2:2">
      <c r="B239" t="s">
        <v>1003</v>
      </c>
    </row>
    <row r="241" spans="2:4">
      <c r="B241" t="s">
        <v>1004</v>
      </c>
    </row>
    <row r="242" spans="2:4">
      <c r="B242" t="s">
        <v>1005</v>
      </c>
      <c r="C242" t="s">
        <v>1006</v>
      </c>
      <c r="D242" t="s">
        <v>1007</v>
      </c>
    </row>
    <row r="243" spans="2:4">
      <c r="B243" t="s">
        <v>1008</v>
      </c>
      <c r="C243" t="s">
        <v>1009</v>
      </c>
      <c r="D243" t="s">
        <v>1010</v>
      </c>
    </row>
    <row r="244" spans="2:4">
      <c r="B244" t="s">
        <v>529</v>
      </c>
      <c r="C244" t="s">
        <v>1011</v>
      </c>
      <c r="D244" t="s">
        <v>1012</v>
      </c>
    </row>
    <row r="245" spans="2:4">
      <c r="B245" t="s">
        <v>533</v>
      </c>
      <c r="C245" t="s">
        <v>1011</v>
      </c>
      <c r="D245" t="s">
        <v>1013</v>
      </c>
    </row>
    <row r="246" spans="2:4">
      <c r="B246" t="s">
        <v>531</v>
      </c>
      <c r="C246" t="s">
        <v>1011</v>
      </c>
      <c r="D246" t="s">
        <v>1014</v>
      </c>
    </row>
    <row r="247" spans="2:4">
      <c r="B247" t="s">
        <v>532</v>
      </c>
      <c r="C247" t="s">
        <v>1015</v>
      </c>
      <c r="D247" t="s">
        <v>1016</v>
      </c>
    </row>
    <row r="248" spans="2:4">
      <c r="B248" t="s">
        <v>662</v>
      </c>
      <c r="C248" t="s">
        <v>1011</v>
      </c>
      <c r="D248" t="s">
        <v>1017</v>
      </c>
    </row>
    <row r="249" spans="2:4">
      <c r="B249" t="s">
        <v>534</v>
      </c>
      <c r="C249" t="s">
        <v>1009</v>
      </c>
      <c r="D249" t="s">
        <v>1018</v>
      </c>
    </row>
    <row r="250" spans="2:4">
      <c r="B250" t="s">
        <v>1019</v>
      </c>
      <c r="C250" t="s">
        <v>1011</v>
      </c>
      <c r="D250" t="s">
        <v>1020</v>
      </c>
    </row>
    <row r="252" spans="2:4">
      <c r="B252" t="s">
        <v>1021</v>
      </c>
    </row>
    <row r="253" spans="2:4">
      <c r="B253" t="s">
        <v>1022</v>
      </c>
    </row>
    <row r="254" spans="2:4">
      <c r="B254" t="s">
        <v>1023</v>
      </c>
    </row>
    <row r="255" spans="2:4">
      <c r="B255" t="s">
        <v>1024</v>
      </c>
    </row>
    <row r="256" spans="2:4">
      <c r="B256" t="s">
        <v>1025</v>
      </c>
    </row>
    <row r="257" spans="2:4">
      <c r="B257" t="s">
        <v>1026</v>
      </c>
    </row>
    <row r="258" spans="2:4">
      <c r="B258" t="s">
        <v>1027</v>
      </c>
      <c r="C258" t="s">
        <v>1028</v>
      </c>
      <c r="D258" t="s">
        <v>1029</v>
      </c>
    </row>
    <row r="259" spans="2:4">
      <c r="B259" t="s">
        <v>1030</v>
      </c>
      <c r="C259" t="s">
        <v>1031</v>
      </c>
      <c r="D259" t="s">
        <v>1032</v>
      </c>
    </row>
    <row r="260" spans="2:4">
      <c r="B260" t="s">
        <v>1033</v>
      </c>
      <c r="C260" t="s">
        <v>1034</v>
      </c>
      <c r="D260" t="s">
        <v>1035</v>
      </c>
    </row>
    <row r="261" spans="2:4">
      <c r="B261" t="s">
        <v>1036</v>
      </c>
      <c r="C261" t="s">
        <v>1037</v>
      </c>
      <c r="D261" t="s">
        <v>1038</v>
      </c>
    </row>
    <row r="263" spans="2:4" ht="14.4">
      <c r="B263" s="520"/>
    </row>
    <row r="264" spans="2:4" ht="21">
      <c r="B264" s="521">
        <v>46222</v>
      </c>
    </row>
    <row r="265" spans="2:4">
      <c r="B265" t="s">
        <v>1173</v>
      </c>
    </row>
    <row r="266" spans="2:4">
      <c r="B266" t="s">
        <v>1174</v>
      </c>
      <c r="C266" t="s">
        <v>1175</v>
      </c>
      <c r="D266" t="s">
        <v>1176</v>
      </c>
    </row>
    <row r="267" spans="2:4">
      <c r="B267" t="s">
        <v>1162</v>
      </c>
      <c r="C267">
        <v>3</v>
      </c>
      <c r="D267" t="s">
        <v>1177</v>
      </c>
    </row>
    <row r="268" spans="2:4">
      <c r="B268" t="s">
        <v>1</v>
      </c>
      <c r="C268">
        <v>8002</v>
      </c>
      <c r="D268" t="s">
        <v>1178</v>
      </c>
    </row>
    <row r="269" spans="2:4">
      <c r="B269" t="s">
        <v>610</v>
      </c>
      <c r="C269" t="s">
        <v>24</v>
      </c>
      <c r="D269" t="s">
        <v>1179</v>
      </c>
    </row>
    <row r="270" spans="2:4">
      <c r="B270" t="s">
        <v>525</v>
      </c>
      <c r="C270" s="519">
        <v>4988</v>
      </c>
      <c r="D270" t="s">
        <v>1180</v>
      </c>
    </row>
    <row r="271" spans="2:4">
      <c r="B271" t="s">
        <v>1143</v>
      </c>
      <c r="C271" t="s">
        <v>1181</v>
      </c>
      <c r="D271" t="s">
        <v>1182</v>
      </c>
    </row>
    <row r="272" spans="2:4">
      <c r="B272" t="s">
        <v>1145</v>
      </c>
      <c r="C272" t="s">
        <v>1183</v>
      </c>
      <c r="D272" t="s">
        <v>1184</v>
      </c>
    </row>
    <row r="273" spans="2:4">
      <c r="B273" t="s">
        <v>1163</v>
      </c>
      <c r="C273">
        <v>68.3</v>
      </c>
      <c r="D273" t="s">
        <v>1185</v>
      </c>
    </row>
    <row r="274" spans="2:4">
      <c r="B274" t="s">
        <v>1164</v>
      </c>
      <c r="C274">
        <v>59.4</v>
      </c>
      <c r="D274" t="s">
        <v>1186</v>
      </c>
    </row>
    <row r="275" spans="2:4">
      <c r="B275" t="s">
        <v>1165</v>
      </c>
      <c r="C275" s="741" t="s">
        <v>1315</v>
      </c>
      <c r="D275" t="s">
        <v>1187</v>
      </c>
    </row>
    <row r="276" spans="2:4">
      <c r="B276" t="s">
        <v>1152</v>
      </c>
      <c r="C276" t="s">
        <v>1122</v>
      </c>
      <c r="D276" t="s">
        <v>1188</v>
      </c>
    </row>
    <row r="277" spans="2:4">
      <c r="B277" t="s">
        <v>537</v>
      </c>
      <c r="C277">
        <v>62</v>
      </c>
      <c r="D277" t="s">
        <v>1189</v>
      </c>
    </row>
    <row r="278" spans="2:4">
      <c r="B278" t="s">
        <v>1166</v>
      </c>
      <c r="C278" s="519">
        <v>4987</v>
      </c>
      <c r="D278" t="s">
        <v>1190</v>
      </c>
    </row>
    <row r="279" spans="2:4">
      <c r="B279" t="s">
        <v>1057</v>
      </c>
      <c r="C279" s="519">
        <v>4852</v>
      </c>
      <c r="D279" t="s">
        <v>1191</v>
      </c>
    </row>
    <row r="280" spans="2:4">
      <c r="B280" t="s">
        <v>1157</v>
      </c>
      <c r="C280" t="s">
        <v>1192</v>
      </c>
      <c r="D280" t="s">
        <v>1193</v>
      </c>
    </row>
    <row r="281" spans="2:4">
      <c r="B281" t="s">
        <v>1194</v>
      </c>
    </row>
    <row r="282" spans="2:4">
      <c r="B282" t="s">
        <v>1195</v>
      </c>
      <c r="C282" t="s">
        <v>1196</v>
      </c>
    </row>
    <row r="283" spans="2:4">
      <c r="B283" t="s">
        <v>1116</v>
      </c>
      <c r="C283" t="s">
        <v>1197</v>
      </c>
    </row>
    <row r="284" spans="2:4">
      <c r="B284" t="s">
        <v>1117</v>
      </c>
      <c r="C284" t="s">
        <v>1198</v>
      </c>
    </row>
    <row r="285" spans="2:4">
      <c r="B285" t="s">
        <v>1119</v>
      </c>
      <c r="C285" t="s">
        <v>1199</v>
      </c>
    </row>
    <row r="286" spans="2:4">
      <c r="B286" t="s">
        <v>1120</v>
      </c>
      <c r="C286" t="s">
        <v>1200</v>
      </c>
    </row>
    <row r="287" spans="2:4">
      <c r="B287" t="s">
        <v>1122</v>
      </c>
      <c r="C287" t="s">
        <v>1201</v>
      </c>
    </row>
    <row r="288" spans="2:4">
      <c r="B288" t="s">
        <v>1124</v>
      </c>
      <c r="C288" t="s">
        <v>1202</v>
      </c>
    </row>
    <row r="289" spans="2:3">
      <c r="B289" t="s">
        <v>1126</v>
      </c>
      <c r="C289" t="s">
        <v>1203</v>
      </c>
    </row>
    <row r="290" spans="2:3">
      <c r="B290" t="s">
        <v>1204</v>
      </c>
      <c r="C290" t="s">
        <v>1205</v>
      </c>
    </row>
    <row r="291" spans="2:3">
      <c r="B291" t="s">
        <v>1206</v>
      </c>
    </row>
    <row r="292" spans="2:3">
      <c r="B292" t="s">
        <v>1207</v>
      </c>
    </row>
    <row r="293" spans="2:3">
      <c r="B293" t="s">
        <v>1208</v>
      </c>
    </row>
    <row r="294" spans="2:3">
      <c r="B294" t="s">
        <v>1209</v>
      </c>
    </row>
    <row r="295" spans="2:3">
      <c r="B295" t="s">
        <v>1210</v>
      </c>
    </row>
    <row r="296" spans="2:3">
      <c r="B296" t="s">
        <v>1211</v>
      </c>
    </row>
    <row r="298" spans="2:3">
      <c r="B298" t="s">
        <v>1212</v>
      </c>
    </row>
    <row r="300" spans="2:3">
      <c r="B300" s="448">
        <v>46229</v>
      </c>
    </row>
    <row r="301" spans="2:3" ht="16.2">
      <c r="B301" s="459" t="s">
        <v>1291</v>
      </c>
    </row>
    <row r="302" spans="2:3">
      <c r="B302" s="458"/>
    </row>
    <row r="303" spans="2:3">
      <c r="B303" s="458" t="s">
        <v>1292</v>
      </c>
    </row>
    <row r="304" spans="2:3">
      <c r="B304" s="458"/>
    </row>
    <row r="305" spans="2:2">
      <c r="B305" s="458" t="s">
        <v>1293</v>
      </c>
    </row>
    <row r="306" spans="2:2">
      <c r="B306" s="458"/>
    </row>
    <row r="307" spans="2:2">
      <c r="B307" s="458" t="s">
        <v>1294</v>
      </c>
    </row>
    <row r="308" spans="2:2">
      <c r="B308" s="458"/>
    </row>
    <row r="309" spans="2:2">
      <c r="B309" s="458" t="s">
        <v>1295</v>
      </c>
    </row>
    <row r="311" spans="2:2" ht="21">
      <c r="B311" s="456" t="s">
        <v>1296</v>
      </c>
    </row>
    <row r="313" spans="2:2">
      <c r="B313" t="s">
        <v>1297</v>
      </c>
    </row>
    <row r="315" spans="2:2">
      <c r="B315" t="s">
        <v>1298</v>
      </c>
    </row>
    <row r="317" spans="2:2">
      <c r="B317" t="s">
        <v>1299</v>
      </c>
    </row>
    <row r="319" spans="2:2" ht="16.2">
      <c r="B319" s="459" t="s">
        <v>1300</v>
      </c>
    </row>
    <row r="320" spans="2:2">
      <c r="B320" s="458"/>
    </row>
    <row r="321" spans="2:2">
      <c r="B321" s="557" t="s">
        <v>1302</v>
      </c>
    </row>
    <row r="322" spans="2:2">
      <c r="B322" s="458"/>
    </row>
    <row r="323" spans="2:2">
      <c r="B323" s="557" t="s">
        <v>1303</v>
      </c>
    </row>
    <row r="324" spans="2:2">
      <c r="B324" s="458"/>
    </row>
    <row r="325" spans="2:2">
      <c r="B325" s="557" t="s">
        <v>1304</v>
      </c>
    </row>
    <row r="326" spans="2:2">
      <c r="B326" s="458"/>
    </row>
    <row r="327" spans="2:2">
      <c r="B327" s="557" t="s">
        <v>1305</v>
      </c>
    </row>
    <row r="328" spans="2:2">
      <c r="B328" s="458"/>
    </row>
    <row r="329" spans="2:2">
      <c r="B329" s="557" t="s">
        <v>1306</v>
      </c>
    </row>
    <row r="331" spans="2:2" ht="16.2">
      <c r="B331" s="459" t="s">
        <v>1301</v>
      </c>
    </row>
    <row r="332" spans="2:2" ht="16.2">
      <c r="B332" s="459" t="s">
        <v>1307</v>
      </c>
    </row>
    <row r="333" spans="2:2">
      <c r="B333" s="458"/>
    </row>
    <row r="334" spans="2:2">
      <c r="B334" s="458" t="s">
        <v>1308</v>
      </c>
    </row>
    <row r="335" spans="2:2">
      <c r="B335" s="458"/>
    </row>
    <row r="336" spans="2:2">
      <c r="B336" s="458" t="s">
        <v>1309</v>
      </c>
    </row>
    <row r="337" spans="2:2">
      <c r="B337" s="458"/>
    </row>
    <row r="338" spans="2:2">
      <c r="B338" s="458" t="s">
        <v>1310</v>
      </c>
    </row>
    <row r="340" spans="2:2" ht="16.2">
      <c r="B340" s="459" t="s">
        <v>1311</v>
      </c>
    </row>
    <row r="341" spans="2:2">
      <c r="B341" s="458"/>
    </row>
    <row r="342" spans="2:2">
      <c r="B342" s="458" t="s">
        <v>1312</v>
      </c>
    </row>
    <row r="343" spans="2:2">
      <c r="B343" s="458"/>
    </row>
    <row r="344" spans="2:2">
      <c r="B344" s="458" t="s">
        <v>1313</v>
      </c>
    </row>
    <row r="345" spans="2:2">
      <c r="B345" s="458"/>
    </row>
    <row r="346" spans="2:2">
      <c r="B346" s="458" t="s">
        <v>1314</v>
      </c>
    </row>
    <row r="349" spans="2:2" ht="19.2" customHeight="1">
      <c r="B349" s="591" t="s">
        <v>1345</v>
      </c>
    </row>
    <row r="350" spans="2:2" ht="16.2" customHeight="1">
      <c r="B350" s="592" t="s">
        <v>1346</v>
      </c>
    </row>
  </sheetData>
  <phoneticPr fontId="1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IT505"/>
  <sheetViews>
    <sheetView showGridLines="0" workbookViewId="0">
      <pane xSplit="4" ySplit="4" topLeftCell="E14" activePane="bottomRight" state="frozen"/>
      <selection activeCell="C162" sqref="C162"/>
      <selection pane="topRight" activeCell="C162" sqref="C162"/>
      <selection pane="bottomLeft" activeCell="C162" sqref="C162"/>
      <selection pane="bottomRight" activeCell="O34" sqref="O34"/>
    </sheetView>
  </sheetViews>
  <sheetFormatPr defaultColWidth="9" defaultRowHeight="16.2"/>
  <cols>
    <col min="1" max="1" width="9" style="76" customWidth="1"/>
    <col min="2" max="2" width="18" style="1" customWidth="1"/>
    <col min="3" max="3" width="13" style="541" customWidth="1"/>
    <col min="4" max="4" width="10" style="1" customWidth="1"/>
    <col min="5" max="5" width="10.44140625" style="547"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 min="105" max="254" width="7" style="1" customWidth="1"/>
  </cols>
  <sheetData>
    <row r="1" spans="1:254" ht="30" customHeight="1">
      <c r="A1" s="765" t="s">
        <v>543</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75" t="s">
        <v>1</v>
      </c>
      <c r="B2" s="175" t="s">
        <v>2</v>
      </c>
      <c r="C2" s="539"/>
      <c r="D2" s="175" t="s">
        <v>4</v>
      </c>
      <c r="E2" s="545"/>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254" s="538" customFormat="1" ht="21.6" customHeight="1">
      <c r="A3" s="536" t="s">
        <v>5</v>
      </c>
      <c r="B3" s="536"/>
      <c r="C3" s="540" t="s">
        <v>6</v>
      </c>
      <c r="D3" s="536"/>
      <c r="E3" s="546">
        <v>46240</v>
      </c>
      <c r="F3" s="537">
        <v>46239</v>
      </c>
      <c r="G3" s="537">
        <v>46238</v>
      </c>
      <c r="H3" s="537">
        <v>46237</v>
      </c>
      <c r="I3" s="537">
        <v>46234</v>
      </c>
      <c r="J3" s="537">
        <v>46233</v>
      </c>
      <c r="K3" s="537">
        <v>46232</v>
      </c>
      <c r="L3" s="537">
        <v>46231</v>
      </c>
      <c r="M3" s="537">
        <v>46230</v>
      </c>
      <c r="N3" s="537">
        <v>46227</v>
      </c>
      <c r="O3" s="537">
        <v>46226</v>
      </c>
      <c r="P3" s="537">
        <v>46225</v>
      </c>
      <c r="Q3" s="537">
        <v>46224</v>
      </c>
      <c r="R3" s="537">
        <v>46220</v>
      </c>
      <c r="S3" s="537">
        <v>46218</v>
      </c>
      <c r="T3" s="537">
        <v>46217</v>
      </c>
      <c r="U3" s="537">
        <v>46216</v>
      </c>
      <c r="V3" s="537">
        <v>46213</v>
      </c>
      <c r="W3" s="537">
        <v>46212</v>
      </c>
      <c r="X3" s="537">
        <v>46211</v>
      </c>
      <c r="Y3" s="537">
        <v>46210</v>
      </c>
      <c r="Z3" s="537">
        <v>46209</v>
      </c>
      <c r="AA3" s="537">
        <v>46206</v>
      </c>
      <c r="AB3" s="537">
        <v>46205</v>
      </c>
      <c r="AC3" s="537">
        <v>46204</v>
      </c>
      <c r="AD3" s="537">
        <v>46203</v>
      </c>
      <c r="AE3" s="537">
        <v>46202</v>
      </c>
      <c r="AF3" s="537">
        <v>46199</v>
      </c>
      <c r="AG3" s="537">
        <v>46198</v>
      </c>
      <c r="AH3" s="537">
        <v>46197</v>
      </c>
      <c r="AI3" s="537">
        <v>46196</v>
      </c>
      <c r="AJ3" s="537">
        <v>46195</v>
      </c>
      <c r="AK3" s="537">
        <v>46192</v>
      </c>
      <c r="AL3" s="537">
        <v>46191</v>
      </c>
      <c r="AM3" s="537">
        <v>46190</v>
      </c>
      <c r="AN3" s="537">
        <v>46189</v>
      </c>
      <c r="AO3" s="537">
        <v>46188</v>
      </c>
      <c r="AP3" s="537">
        <v>46185</v>
      </c>
      <c r="AQ3" s="537">
        <v>46184</v>
      </c>
      <c r="AR3" s="537">
        <v>46183</v>
      </c>
      <c r="AS3" s="537">
        <v>46181</v>
      </c>
      <c r="AT3" s="537">
        <v>46178</v>
      </c>
      <c r="AU3" s="537">
        <v>46177</v>
      </c>
      <c r="AV3" s="537">
        <v>46176</v>
      </c>
      <c r="AW3" s="537">
        <v>46175</v>
      </c>
      <c r="AX3" s="537">
        <v>46171</v>
      </c>
      <c r="AY3" s="537">
        <v>46170</v>
      </c>
      <c r="AZ3" s="537">
        <v>46169</v>
      </c>
      <c r="BA3" s="537">
        <v>46167</v>
      </c>
      <c r="BB3" s="537">
        <v>46164</v>
      </c>
      <c r="BC3" s="537">
        <v>46163</v>
      </c>
      <c r="BD3" s="537">
        <v>46162</v>
      </c>
      <c r="BE3" s="537">
        <v>46161</v>
      </c>
      <c r="BF3" s="537">
        <v>46160</v>
      </c>
      <c r="BG3" s="537">
        <v>46157</v>
      </c>
      <c r="BH3" s="537">
        <v>46156</v>
      </c>
      <c r="BI3" s="537">
        <v>46155</v>
      </c>
      <c r="BJ3" s="537">
        <v>46154</v>
      </c>
      <c r="BK3" s="537">
        <v>46153</v>
      </c>
      <c r="BL3" s="537">
        <v>46150</v>
      </c>
      <c r="BM3" s="734">
        <v>46149</v>
      </c>
      <c r="BN3" s="734">
        <v>46143</v>
      </c>
      <c r="BO3" s="734">
        <v>46142</v>
      </c>
      <c r="BP3" s="734">
        <v>46140</v>
      </c>
      <c r="BQ3" s="734">
        <v>46139</v>
      </c>
      <c r="BR3" s="734">
        <v>46136</v>
      </c>
      <c r="BS3" s="734">
        <v>46135</v>
      </c>
      <c r="BT3" s="734">
        <v>46134</v>
      </c>
      <c r="BU3" s="734">
        <v>46133</v>
      </c>
      <c r="BV3" s="734">
        <v>46132</v>
      </c>
      <c r="BW3" s="734">
        <v>46129</v>
      </c>
      <c r="BX3" s="734">
        <v>46128</v>
      </c>
      <c r="BY3" s="734">
        <v>46127</v>
      </c>
      <c r="BZ3" s="734">
        <v>46126</v>
      </c>
      <c r="CA3" s="734"/>
      <c r="CB3" s="734"/>
      <c r="CC3" s="734"/>
      <c r="CD3" s="734"/>
      <c r="CE3" s="734"/>
      <c r="CF3" s="734"/>
      <c r="CG3" s="734"/>
      <c r="CH3" s="734"/>
      <c r="CI3" s="734"/>
      <c r="CJ3" s="734"/>
      <c r="CK3" s="734"/>
      <c r="CL3" s="734"/>
      <c r="CM3" s="734"/>
      <c r="CN3" s="734"/>
      <c r="CO3" s="734"/>
      <c r="CP3" s="734"/>
      <c r="CQ3" s="734"/>
      <c r="CR3" s="734"/>
      <c r="CS3" s="734"/>
      <c r="CT3" s="734"/>
      <c r="CU3" s="734"/>
      <c r="CV3" s="734"/>
      <c r="CW3" s="734"/>
      <c r="CX3" s="734"/>
      <c r="CY3" s="734"/>
      <c r="CZ3" s="734"/>
    </row>
    <row r="4" spans="1:254"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254" ht="15.9" customHeight="1">
      <c r="A5" s="77" t="str">
        <f>IF(銘柄管理!B5="","",銘柄管理!B5)</f>
        <v>TOPX</v>
      </c>
      <c r="B5" s="17">
        <f>IF(銘柄管理!C5="","",銘柄管理!C5)</f>
        <v>4055.85</v>
      </c>
      <c r="C5" s="542">
        <f t="array" ref="C5">_xll.RssIndexMarket("TOPX", "始値")</f>
        <v>4041.15</v>
      </c>
      <c r="D5" s="18">
        <f>IF(OR(C5=0,E5=0),"",C5-E5)</f>
        <v>0</v>
      </c>
      <c r="E5" s="548">
        <v>4041.15</v>
      </c>
      <c r="F5" s="9">
        <v>3985.63</v>
      </c>
      <c r="G5" s="9">
        <v>3960.28</v>
      </c>
      <c r="H5" s="9">
        <v>3965.39</v>
      </c>
      <c r="I5" s="9">
        <v>3954.12</v>
      </c>
      <c r="J5" s="9">
        <v>3950.21</v>
      </c>
      <c r="K5" s="9">
        <v>3976.44</v>
      </c>
      <c r="L5" s="9">
        <v>4040.49</v>
      </c>
      <c r="M5" s="9">
        <v>4039.73</v>
      </c>
      <c r="N5" s="9">
        <v>4015.03</v>
      </c>
      <c r="O5" s="9">
        <v>4035.57</v>
      </c>
      <c r="P5" s="9">
        <v>4019.06</v>
      </c>
      <c r="Q5" s="9">
        <v>3944.79</v>
      </c>
      <c r="R5" s="9">
        <v>4010.01</v>
      </c>
      <c r="S5" s="9">
        <v>4064.96</v>
      </c>
      <c r="T5" s="9">
        <v>4012.78</v>
      </c>
      <c r="U5" s="9">
        <v>4050.36</v>
      </c>
      <c r="V5" s="9">
        <v>4042.65</v>
      </c>
      <c r="W5" s="9">
        <v>3998.07</v>
      </c>
      <c r="X5" s="9">
        <v>4041.75</v>
      </c>
      <c r="Y5" s="9">
        <v>4107.6499999999996</v>
      </c>
      <c r="Z5" s="9">
        <v>4075.11</v>
      </c>
      <c r="AA5" s="9">
        <v>4034.86</v>
      </c>
      <c r="AB5" s="9">
        <v>4025.32</v>
      </c>
      <c r="AC5" s="9">
        <v>4019.65</v>
      </c>
      <c r="AD5" s="9">
        <v>3999.16</v>
      </c>
      <c r="AE5" s="9">
        <v>3976.82</v>
      </c>
      <c r="AF5" s="9">
        <v>4001.48</v>
      </c>
      <c r="AG5" s="9">
        <v>4001.59</v>
      </c>
      <c r="AH5" s="9">
        <v>3987.88</v>
      </c>
      <c r="AI5" s="9">
        <v>4097.01</v>
      </c>
      <c r="AJ5" s="9">
        <v>4030.01</v>
      </c>
      <c r="AK5" s="9">
        <v>4067.98</v>
      </c>
      <c r="AL5" s="9">
        <v>4031.1</v>
      </c>
      <c r="AM5" s="9">
        <v>3997.71</v>
      </c>
      <c r="AN5" s="9">
        <v>3984.4</v>
      </c>
      <c r="AO5" s="9">
        <v>3928.06</v>
      </c>
      <c r="AP5" s="19">
        <v>3872.43</v>
      </c>
      <c r="AQ5" s="19">
        <v>3807.07</v>
      </c>
      <c r="AR5" s="19">
        <v>3891.31</v>
      </c>
      <c r="AS5" s="19">
        <v>3910.54</v>
      </c>
      <c r="AT5" s="19">
        <v>3961.8</v>
      </c>
      <c r="AU5" s="19">
        <v>3968.05</v>
      </c>
      <c r="AV5" s="19">
        <v>3944.96</v>
      </c>
      <c r="AW5" s="19">
        <v>3913.4</v>
      </c>
      <c r="AX5" s="19">
        <v>3917.83</v>
      </c>
      <c r="AY5" s="19">
        <v>3905.04</v>
      </c>
      <c r="AZ5" s="19">
        <v>3951.71</v>
      </c>
      <c r="BA5" s="19">
        <v>3903.54</v>
      </c>
      <c r="BB5" s="19">
        <v>3866.61</v>
      </c>
      <c r="BC5" s="19">
        <v>3825.33</v>
      </c>
      <c r="BD5" s="19">
        <v>3851.76</v>
      </c>
      <c r="BE5" s="19">
        <v>3856.77</v>
      </c>
      <c r="BF5" s="19">
        <v>3859.85</v>
      </c>
      <c r="BG5" s="19">
        <v>3891.81</v>
      </c>
      <c r="BH5" s="19">
        <v>3913.9</v>
      </c>
      <c r="BI5" s="19"/>
      <c r="BJ5" s="19"/>
      <c r="BK5" s="19"/>
      <c r="BL5" s="19"/>
    </row>
    <row r="6" spans="1:254" ht="15.9" customHeight="1">
      <c r="A6" s="78" t="s">
        <v>7</v>
      </c>
      <c r="B6" s="17" t="s">
        <v>8</v>
      </c>
      <c r="C6" s="543">
        <f>_xll.RssMarket("5706","始値")</f>
        <v>34800</v>
      </c>
      <c r="D6" s="23">
        <f t="shared" ref="D6:D37" si="0">C6-E6</f>
        <v>0</v>
      </c>
      <c r="E6" s="548">
        <v>34800</v>
      </c>
      <c r="F6" s="20">
        <v>33900</v>
      </c>
      <c r="G6" s="20">
        <v>30500</v>
      </c>
      <c r="H6" s="20">
        <v>30470</v>
      </c>
      <c r="I6" s="20">
        <v>30800</v>
      </c>
      <c r="J6" s="20">
        <v>25670</v>
      </c>
      <c r="K6" s="20">
        <v>28010</v>
      </c>
      <c r="L6" s="20">
        <v>29975</v>
      </c>
      <c r="M6" s="20">
        <v>31910</v>
      </c>
      <c r="N6" s="20">
        <v>33330</v>
      </c>
      <c r="O6" s="20">
        <v>34800</v>
      </c>
      <c r="P6" s="20">
        <v>34280</v>
      </c>
      <c r="Q6" s="20">
        <v>30480</v>
      </c>
      <c r="R6" s="20">
        <v>30590</v>
      </c>
      <c r="S6" s="20">
        <v>35490</v>
      </c>
      <c r="T6" s="20">
        <v>35000</v>
      </c>
      <c r="U6" s="20">
        <v>35880</v>
      </c>
      <c r="V6" s="20">
        <v>36490</v>
      </c>
      <c r="W6" s="20">
        <v>34430</v>
      </c>
      <c r="X6" s="20">
        <v>34920</v>
      </c>
      <c r="Y6" s="20">
        <v>37150</v>
      </c>
      <c r="Z6" s="20">
        <v>38910</v>
      </c>
      <c r="AA6" s="20">
        <v>37670</v>
      </c>
      <c r="AB6" s="20">
        <v>41500</v>
      </c>
      <c r="AC6" s="20">
        <v>43650</v>
      </c>
      <c r="AD6" s="20">
        <v>42640</v>
      </c>
      <c r="AE6" s="20">
        <v>42390</v>
      </c>
      <c r="AF6" s="20">
        <v>44990</v>
      </c>
      <c r="AG6" s="20">
        <v>47550</v>
      </c>
      <c r="AH6" s="20">
        <v>46290</v>
      </c>
      <c r="AI6" s="20">
        <v>54190</v>
      </c>
      <c r="AJ6" s="20">
        <v>50220</v>
      </c>
      <c r="AK6" s="20">
        <v>49850</v>
      </c>
      <c r="AL6" s="20">
        <v>47180</v>
      </c>
      <c r="AM6" s="20">
        <v>47100</v>
      </c>
      <c r="AN6" s="20">
        <v>45000</v>
      </c>
      <c r="AO6" s="20">
        <v>45590</v>
      </c>
      <c r="AP6" s="21">
        <v>41000</v>
      </c>
      <c r="AQ6" s="21">
        <v>35660</v>
      </c>
      <c r="AR6" s="21">
        <v>38700</v>
      </c>
      <c r="AS6" s="21">
        <v>40290</v>
      </c>
      <c r="AT6" s="21">
        <v>44010</v>
      </c>
      <c r="AU6" s="21">
        <v>46530</v>
      </c>
      <c r="AV6" s="21">
        <v>49920</v>
      </c>
      <c r="AW6" s="21">
        <v>53270</v>
      </c>
      <c r="AX6" s="21">
        <v>50150</v>
      </c>
      <c r="AY6" s="21">
        <v>50150</v>
      </c>
      <c r="AZ6" s="21">
        <v>55650</v>
      </c>
      <c r="BA6" s="21">
        <v>50790</v>
      </c>
      <c r="BB6" s="21">
        <v>47460</v>
      </c>
      <c r="BC6" s="21">
        <v>45760</v>
      </c>
      <c r="BD6" s="21">
        <v>43710</v>
      </c>
      <c r="BE6" s="21">
        <v>47490</v>
      </c>
      <c r="BF6" s="21">
        <v>46100</v>
      </c>
      <c r="BG6" s="21">
        <v>50490</v>
      </c>
      <c r="BH6" s="21">
        <v>49900</v>
      </c>
      <c r="BI6" s="21">
        <v>49840</v>
      </c>
      <c r="BJ6" s="21">
        <v>51500</v>
      </c>
      <c r="BK6" s="21">
        <v>52000</v>
      </c>
      <c r="BL6" s="21">
        <v>48000</v>
      </c>
      <c r="BM6" s="1">
        <v>45960</v>
      </c>
      <c r="BN6" s="1">
        <v>42340</v>
      </c>
      <c r="BO6" s="1">
        <v>41030</v>
      </c>
      <c r="BP6" s="1">
        <v>39890</v>
      </c>
      <c r="BQ6" s="1">
        <v>38700</v>
      </c>
      <c r="BR6" s="1">
        <v>38000</v>
      </c>
      <c r="BS6" s="1">
        <v>39000</v>
      </c>
      <c r="BT6" s="1">
        <v>37200</v>
      </c>
      <c r="BU6" s="1">
        <v>35840</v>
      </c>
      <c r="BV6" s="1">
        <v>36210</v>
      </c>
      <c r="BW6" s="1">
        <v>37490</v>
      </c>
      <c r="BX6" s="1">
        <v>36000</v>
      </c>
      <c r="BY6" s="1">
        <v>39660</v>
      </c>
      <c r="BZ6" s="1">
        <v>38450</v>
      </c>
    </row>
    <row r="7" spans="1:254" ht="15.9" customHeight="1">
      <c r="A7" s="78" t="s">
        <v>9</v>
      </c>
      <c r="B7" s="17" t="s">
        <v>10</v>
      </c>
      <c r="C7" s="543">
        <f>_xll.RssMarket("5423","始値")</f>
        <v>1736</v>
      </c>
      <c r="D7" s="23">
        <f t="shared" si="0"/>
        <v>0</v>
      </c>
      <c r="E7" s="548">
        <v>1736</v>
      </c>
      <c r="F7" s="20">
        <v>1697</v>
      </c>
      <c r="G7" s="20">
        <v>1685</v>
      </c>
      <c r="H7" s="20">
        <v>1760</v>
      </c>
      <c r="I7" s="20">
        <v>1750</v>
      </c>
      <c r="J7" s="20">
        <v>1769</v>
      </c>
      <c r="K7" s="20">
        <v>1789</v>
      </c>
      <c r="L7" s="20">
        <v>1745</v>
      </c>
      <c r="M7" s="20">
        <v>1710</v>
      </c>
      <c r="N7" s="20">
        <v>1712</v>
      </c>
      <c r="O7" s="20">
        <v>1715</v>
      </c>
      <c r="P7" s="20">
        <v>1725</v>
      </c>
      <c r="Q7" s="20">
        <v>1749</v>
      </c>
      <c r="R7" s="20">
        <v>1737</v>
      </c>
      <c r="S7" s="20">
        <v>1761</v>
      </c>
      <c r="T7" s="20">
        <v>1704</v>
      </c>
      <c r="U7" s="20">
        <v>1727</v>
      </c>
      <c r="V7" s="20">
        <v>1725</v>
      </c>
      <c r="W7" s="20">
        <v>1745</v>
      </c>
      <c r="X7" s="20">
        <v>1759</v>
      </c>
      <c r="Y7" s="20">
        <v>1756</v>
      </c>
      <c r="Z7" s="20">
        <v>1757</v>
      </c>
      <c r="AA7" s="20">
        <v>1724</v>
      </c>
      <c r="AB7" s="20">
        <v>1701</v>
      </c>
      <c r="AC7" s="20">
        <v>1685</v>
      </c>
      <c r="AD7" s="20">
        <v>1691</v>
      </c>
      <c r="AE7" s="20">
        <v>1689</v>
      </c>
      <c r="AF7" s="20">
        <v>1680</v>
      </c>
      <c r="AG7" s="20">
        <v>1712</v>
      </c>
      <c r="AH7" s="20">
        <v>1724</v>
      </c>
      <c r="AI7" s="20">
        <v>1792</v>
      </c>
      <c r="AJ7" s="20">
        <v>1763</v>
      </c>
      <c r="AK7" s="20">
        <v>1759</v>
      </c>
      <c r="AL7" s="20">
        <v>1761</v>
      </c>
      <c r="AM7" s="20">
        <v>1755</v>
      </c>
      <c r="AN7" s="20">
        <v>1741</v>
      </c>
      <c r="AO7" s="20">
        <v>1716</v>
      </c>
      <c r="AP7" s="21">
        <v>1723</v>
      </c>
      <c r="AQ7" s="21">
        <v>1663</v>
      </c>
      <c r="AR7" s="21">
        <v>1671</v>
      </c>
      <c r="AS7" s="21">
        <v>1701</v>
      </c>
      <c r="AT7" s="21">
        <v>1695</v>
      </c>
      <c r="AU7" s="21">
        <v>1705</v>
      </c>
      <c r="AV7" s="21">
        <v>1695</v>
      </c>
      <c r="AW7" s="21">
        <v>1685</v>
      </c>
      <c r="AX7" s="21">
        <v>1712</v>
      </c>
      <c r="AY7" s="21">
        <v>1694</v>
      </c>
      <c r="AZ7" s="21">
        <v>1720</v>
      </c>
      <c r="BA7" s="21">
        <v>1720</v>
      </c>
      <c r="BB7" s="21">
        <v>1747</v>
      </c>
      <c r="BC7" s="21">
        <v>1728</v>
      </c>
      <c r="BD7" s="21">
        <v>1758</v>
      </c>
      <c r="BE7" s="21">
        <v>1795</v>
      </c>
      <c r="BF7" s="21">
        <v>1821</v>
      </c>
      <c r="BG7" s="21">
        <v>1862</v>
      </c>
      <c r="BH7" s="21">
        <v>1723</v>
      </c>
      <c r="BI7" s="21">
        <v>1680</v>
      </c>
      <c r="BJ7" s="21">
        <v>1694</v>
      </c>
      <c r="BK7" s="21">
        <v>1658</v>
      </c>
      <c r="BL7" s="21">
        <v>1703</v>
      </c>
      <c r="BM7" s="1">
        <v>1665</v>
      </c>
      <c r="BN7" s="1">
        <v>1695</v>
      </c>
      <c r="BO7" s="1">
        <v>1679</v>
      </c>
      <c r="BP7" s="1">
        <v>1679</v>
      </c>
      <c r="BQ7" s="1">
        <v>1730</v>
      </c>
      <c r="BR7" s="1">
        <v>1716</v>
      </c>
      <c r="BS7" s="1">
        <v>1786</v>
      </c>
      <c r="BT7" s="1">
        <v>1837</v>
      </c>
      <c r="BU7" s="1">
        <v>1804</v>
      </c>
      <c r="BV7" s="1">
        <v>1795</v>
      </c>
      <c r="BW7" s="1">
        <v>1764</v>
      </c>
      <c r="BX7" s="1">
        <v>1764</v>
      </c>
      <c r="BY7" s="1">
        <v>1728</v>
      </c>
      <c r="BZ7" s="1">
        <v>1720</v>
      </c>
    </row>
    <row r="8" spans="1:254" ht="15.9" customHeight="1">
      <c r="A8" s="78" t="s">
        <v>11</v>
      </c>
      <c r="B8" s="17" t="s">
        <v>12</v>
      </c>
      <c r="C8" s="543">
        <f>_xll.RssMarket("5713","始値")</f>
        <v>8820</v>
      </c>
      <c r="D8" s="23">
        <f t="shared" si="0"/>
        <v>0</v>
      </c>
      <c r="E8" s="549">
        <v>8820</v>
      </c>
      <c r="F8" s="22">
        <v>8358</v>
      </c>
      <c r="G8" s="22">
        <v>7811</v>
      </c>
      <c r="H8" s="22">
        <v>7885</v>
      </c>
      <c r="I8" s="22">
        <v>7854</v>
      </c>
      <c r="J8" s="22">
        <v>7224</v>
      </c>
      <c r="K8" s="22">
        <v>7309</v>
      </c>
      <c r="L8" s="22">
        <v>7500</v>
      </c>
      <c r="M8" s="22">
        <v>7610</v>
      </c>
      <c r="N8" s="22">
        <v>7697</v>
      </c>
      <c r="O8" s="22">
        <v>7800</v>
      </c>
      <c r="P8" s="22">
        <v>7509</v>
      </c>
      <c r="Q8" s="22">
        <v>6982</v>
      </c>
      <c r="R8" s="22">
        <v>6984</v>
      </c>
      <c r="S8" s="22">
        <v>7433</v>
      </c>
      <c r="T8" s="22">
        <v>7142</v>
      </c>
      <c r="U8" s="22">
        <v>7242</v>
      </c>
      <c r="V8" s="22">
        <v>7340</v>
      </c>
      <c r="W8" s="22">
        <v>7234</v>
      </c>
      <c r="X8" s="22">
        <v>7300</v>
      </c>
      <c r="Y8" s="22">
        <v>7849</v>
      </c>
      <c r="Z8" s="22">
        <v>8000</v>
      </c>
      <c r="AA8" s="22">
        <v>7658</v>
      </c>
      <c r="AB8" s="22">
        <v>7486</v>
      </c>
      <c r="AC8" s="22">
        <v>7470</v>
      </c>
      <c r="AD8" s="22">
        <v>7575</v>
      </c>
      <c r="AE8" s="22">
        <v>7615</v>
      </c>
      <c r="AF8" s="22">
        <v>7697</v>
      </c>
      <c r="AG8" s="22">
        <v>7875</v>
      </c>
      <c r="AH8" s="22">
        <v>8199</v>
      </c>
      <c r="AI8" s="22">
        <v>8922</v>
      </c>
      <c r="AJ8" s="22">
        <v>8504</v>
      </c>
      <c r="AK8" s="22">
        <v>8990</v>
      </c>
      <c r="AL8" s="22">
        <v>9090</v>
      </c>
      <c r="AM8" s="22">
        <v>8899</v>
      </c>
      <c r="AN8" s="22">
        <v>9340</v>
      </c>
      <c r="AO8" s="22">
        <v>8938</v>
      </c>
      <c r="AP8" s="21">
        <v>8230</v>
      </c>
      <c r="AQ8" s="21">
        <v>7625</v>
      </c>
      <c r="AR8" s="21">
        <v>7597</v>
      </c>
      <c r="AS8" s="21">
        <v>8100</v>
      </c>
      <c r="AT8" s="21">
        <v>8690</v>
      </c>
      <c r="AU8" s="21">
        <v>8837</v>
      </c>
      <c r="AV8" s="21">
        <v>9010</v>
      </c>
      <c r="AW8" s="21">
        <v>8843</v>
      </c>
      <c r="AX8" s="21">
        <v>9145</v>
      </c>
      <c r="AY8" s="21">
        <v>9398</v>
      </c>
      <c r="AZ8" s="21">
        <v>10155</v>
      </c>
      <c r="BA8" s="21">
        <v>9789</v>
      </c>
      <c r="BB8" s="21">
        <v>9393</v>
      </c>
      <c r="BC8" s="21">
        <v>9280</v>
      </c>
      <c r="BD8" s="21">
        <v>9130</v>
      </c>
      <c r="BE8" s="21">
        <v>9520</v>
      </c>
      <c r="BF8" s="21">
        <v>9917</v>
      </c>
      <c r="BG8" s="21">
        <v>10560</v>
      </c>
      <c r="BH8" s="21">
        <v>10860</v>
      </c>
      <c r="BI8" s="21">
        <v>10660</v>
      </c>
      <c r="BJ8" s="21">
        <v>10590</v>
      </c>
      <c r="BK8" s="21">
        <v>10750</v>
      </c>
      <c r="BL8" s="21">
        <v>10290</v>
      </c>
      <c r="BM8" s="1">
        <v>10135</v>
      </c>
      <c r="BN8" s="1">
        <v>9489</v>
      </c>
      <c r="BO8" s="1">
        <v>9431</v>
      </c>
      <c r="BP8" s="1">
        <v>9699</v>
      </c>
      <c r="BQ8" s="1">
        <v>9563</v>
      </c>
      <c r="BR8" s="1">
        <v>9699</v>
      </c>
      <c r="BS8" s="1">
        <v>10300</v>
      </c>
      <c r="BT8" s="1">
        <v>9996</v>
      </c>
      <c r="BU8" s="1">
        <v>10170</v>
      </c>
      <c r="BV8" s="1">
        <v>10170</v>
      </c>
      <c r="BW8" s="1">
        <v>10780</v>
      </c>
      <c r="BX8" s="1">
        <v>10735</v>
      </c>
      <c r="BY8" s="1">
        <v>10700</v>
      </c>
      <c r="BZ8" s="1">
        <v>10150</v>
      </c>
    </row>
    <row r="9" spans="1:254" ht="15.9" customHeight="1">
      <c r="A9" s="78" t="s">
        <v>13</v>
      </c>
      <c r="B9" s="17" t="s">
        <v>14</v>
      </c>
      <c r="C9" s="543">
        <f>_xll.RssMarket("5711","始値")</f>
        <v>4380</v>
      </c>
      <c r="D9" s="23">
        <f t="shared" si="0"/>
        <v>0</v>
      </c>
      <c r="E9" s="550">
        <v>4380</v>
      </c>
      <c r="F9" s="21">
        <v>4236</v>
      </c>
      <c r="G9" s="21">
        <v>4105</v>
      </c>
      <c r="H9" s="21">
        <v>4053</v>
      </c>
      <c r="I9" s="21">
        <v>4096</v>
      </c>
      <c r="J9" s="21">
        <v>3906</v>
      </c>
      <c r="K9" s="21">
        <v>4035</v>
      </c>
      <c r="L9" s="21">
        <v>4154</v>
      </c>
      <c r="M9" s="21">
        <v>4236</v>
      </c>
      <c r="N9" s="21">
        <v>4224</v>
      </c>
      <c r="O9" s="21">
        <v>4296</v>
      </c>
      <c r="P9" s="21">
        <v>4239</v>
      </c>
      <c r="Q9" s="21">
        <v>4040</v>
      </c>
      <c r="R9" s="21">
        <v>4088</v>
      </c>
      <c r="S9" s="21">
        <v>4300</v>
      </c>
      <c r="T9" s="21">
        <v>4033</v>
      </c>
      <c r="U9" s="21">
        <v>4137</v>
      </c>
      <c r="V9" s="21">
        <v>4005</v>
      </c>
      <c r="W9" s="21">
        <v>4044</v>
      </c>
      <c r="X9" s="21">
        <v>4300</v>
      </c>
      <c r="Y9" s="21">
        <v>4583</v>
      </c>
      <c r="Z9" s="21">
        <v>4564</v>
      </c>
      <c r="AA9" s="21">
        <v>4495</v>
      </c>
      <c r="AB9" s="21">
        <v>4435</v>
      </c>
      <c r="AC9" s="21">
        <v>4385</v>
      </c>
      <c r="AD9" s="21">
        <v>4366</v>
      </c>
      <c r="AE9" s="21">
        <v>4318</v>
      </c>
      <c r="AF9" s="21">
        <v>4447</v>
      </c>
      <c r="AG9" s="21">
        <v>4616</v>
      </c>
      <c r="AH9" s="21">
        <v>4606</v>
      </c>
      <c r="AI9" s="21">
        <v>4950</v>
      </c>
      <c r="AJ9" s="21">
        <v>4836</v>
      </c>
      <c r="AK9" s="21">
        <v>4903</v>
      </c>
      <c r="AL9" s="21">
        <v>4839</v>
      </c>
      <c r="AM9" s="21">
        <v>4870</v>
      </c>
      <c r="AN9" s="21">
        <v>5050</v>
      </c>
      <c r="AO9" s="21">
        <v>4902</v>
      </c>
      <c r="AP9" s="21">
        <v>4583</v>
      </c>
      <c r="AQ9" s="21">
        <v>4400</v>
      </c>
      <c r="AR9" s="21">
        <v>4466</v>
      </c>
      <c r="AS9" s="21">
        <v>4750</v>
      </c>
      <c r="AT9" s="21">
        <v>4931</v>
      </c>
      <c r="AU9" s="21">
        <v>5065</v>
      </c>
      <c r="AV9" s="21">
        <v>5150</v>
      </c>
      <c r="AW9" s="21">
        <v>5027</v>
      </c>
      <c r="AX9" s="21">
        <v>5228</v>
      </c>
      <c r="AY9" s="21">
        <v>5171</v>
      </c>
      <c r="AZ9" s="21">
        <v>5448</v>
      </c>
      <c r="BA9" s="21">
        <v>5157</v>
      </c>
      <c r="BB9" s="21">
        <v>5050</v>
      </c>
      <c r="BC9" s="21">
        <v>4829</v>
      </c>
      <c r="BD9" s="21">
        <v>4848</v>
      </c>
      <c r="BE9" s="21">
        <v>5000</v>
      </c>
      <c r="BF9" s="21">
        <v>5250</v>
      </c>
      <c r="BG9" s="21">
        <v>5363</v>
      </c>
      <c r="BH9" s="21">
        <v>5646</v>
      </c>
      <c r="BI9" s="21">
        <v>5850</v>
      </c>
      <c r="BJ9" s="21">
        <v>5657</v>
      </c>
      <c r="BK9" s="21">
        <v>5628</v>
      </c>
      <c r="BL9" s="21">
        <v>5325</v>
      </c>
      <c r="BM9" s="1">
        <v>5320</v>
      </c>
      <c r="BN9" s="1">
        <v>5143</v>
      </c>
      <c r="BO9" s="1">
        <v>5082</v>
      </c>
      <c r="BP9" s="1">
        <v>5183</v>
      </c>
      <c r="BQ9" s="1">
        <v>5210</v>
      </c>
      <c r="BR9" s="1">
        <v>5284</v>
      </c>
      <c r="BS9" s="1">
        <v>5393</v>
      </c>
      <c r="BT9" s="1">
        <v>5450</v>
      </c>
      <c r="BU9" s="1">
        <v>5550</v>
      </c>
      <c r="BV9" s="1">
        <v>5588</v>
      </c>
      <c r="BW9" s="1">
        <v>5701</v>
      </c>
      <c r="BX9" s="1">
        <v>5728</v>
      </c>
      <c r="BY9" s="1">
        <v>5788</v>
      </c>
      <c r="BZ9" s="1">
        <v>5590</v>
      </c>
    </row>
    <row r="10" spans="1:254" ht="15.9" customHeight="1">
      <c r="A10" s="78" t="s">
        <v>15</v>
      </c>
      <c r="B10" s="17" t="s">
        <v>16</v>
      </c>
      <c r="C10" s="543">
        <f>_xll.RssMarket("5714","始値")</f>
        <v>8664</v>
      </c>
      <c r="D10" s="23">
        <f t="shared" si="0"/>
        <v>0</v>
      </c>
      <c r="E10" s="550">
        <v>8664</v>
      </c>
      <c r="F10" s="21">
        <v>8347</v>
      </c>
      <c r="G10" s="21">
        <v>8095</v>
      </c>
      <c r="H10" s="21">
        <v>8026</v>
      </c>
      <c r="I10" s="21">
        <v>8034</v>
      </c>
      <c r="J10" s="21">
        <v>7907</v>
      </c>
      <c r="K10" s="21">
        <v>8092</v>
      </c>
      <c r="L10" s="21">
        <v>8227</v>
      </c>
      <c r="M10" s="21">
        <v>8399</v>
      </c>
      <c r="N10" s="21">
        <v>8356</v>
      </c>
      <c r="O10" s="21">
        <v>8486</v>
      </c>
      <c r="P10" s="21">
        <v>8449</v>
      </c>
      <c r="Q10" s="21">
        <v>8061</v>
      </c>
      <c r="R10" s="21">
        <v>8165</v>
      </c>
      <c r="S10" s="21">
        <v>8472</v>
      </c>
      <c r="T10" s="21">
        <v>8268</v>
      </c>
      <c r="U10" s="21">
        <v>8450</v>
      </c>
      <c r="V10" s="21">
        <v>8425</v>
      </c>
      <c r="W10" s="21">
        <v>8313</v>
      </c>
      <c r="X10" s="21">
        <v>8473</v>
      </c>
      <c r="Y10" s="21">
        <v>8824</v>
      </c>
      <c r="Z10" s="21">
        <v>8900</v>
      </c>
      <c r="AA10" s="21">
        <v>8828</v>
      </c>
      <c r="AB10" s="21">
        <v>8649</v>
      </c>
      <c r="AC10" s="21">
        <v>8603</v>
      </c>
      <c r="AD10" s="21">
        <v>8825</v>
      </c>
      <c r="AE10" s="21">
        <v>8824</v>
      </c>
      <c r="AF10" s="21">
        <v>8700</v>
      </c>
      <c r="AG10" s="21">
        <v>8971</v>
      </c>
      <c r="AH10" s="21">
        <v>9059</v>
      </c>
      <c r="AI10" s="21">
        <v>9730</v>
      </c>
      <c r="AJ10" s="21">
        <v>9480</v>
      </c>
      <c r="AK10" s="21">
        <v>9566</v>
      </c>
      <c r="AL10" s="21">
        <v>9799</v>
      </c>
      <c r="AM10" s="21">
        <v>9770</v>
      </c>
      <c r="AN10" s="21">
        <v>9904</v>
      </c>
      <c r="AO10" s="21">
        <v>9677</v>
      </c>
      <c r="AP10" s="21">
        <v>9225</v>
      </c>
      <c r="AQ10" s="21">
        <v>8847</v>
      </c>
      <c r="AR10" s="21">
        <v>8954</v>
      </c>
      <c r="AS10" s="21">
        <v>9650</v>
      </c>
      <c r="AT10" s="21">
        <v>10105</v>
      </c>
      <c r="AU10" s="21">
        <v>10090</v>
      </c>
      <c r="AV10" s="21">
        <v>10490</v>
      </c>
      <c r="AW10" s="21">
        <v>10275</v>
      </c>
      <c r="AX10" s="21">
        <v>10635</v>
      </c>
      <c r="AY10" s="21">
        <v>10600</v>
      </c>
      <c r="AZ10" s="21">
        <v>11000</v>
      </c>
      <c r="BA10" s="21">
        <v>10775</v>
      </c>
      <c r="BB10" s="21">
        <v>10400</v>
      </c>
      <c r="BC10" s="21">
        <v>10305</v>
      </c>
      <c r="BD10" s="21">
        <v>10220</v>
      </c>
      <c r="BE10" s="21">
        <v>11110</v>
      </c>
      <c r="BF10" s="21">
        <v>11515</v>
      </c>
      <c r="BG10" s="21">
        <v>11885</v>
      </c>
      <c r="BH10" s="21">
        <v>10550</v>
      </c>
      <c r="BI10" s="21">
        <v>10205</v>
      </c>
      <c r="BJ10" s="21">
        <v>10465</v>
      </c>
      <c r="BK10" s="21">
        <v>10365</v>
      </c>
      <c r="BL10" s="21">
        <v>9965</v>
      </c>
      <c r="BM10" s="1">
        <v>9620</v>
      </c>
      <c r="BN10" s="1">
        <v>9538</v>
      </c>
      <c r="BO10" s="1">
        <v>9504</v>
      </c>
      <c r="BP10" s="1">
        <v>9546</v>
      </c>
      <c r="BQ10" s="1">
        <v>9525</v>
      </c>
      <c r="BR10" s="1">
        <v>9651</v>
      </c>
      <c r="BS10" s="1">
        <v>9849</v>
      </c>
      <c r="BT10" s="1">
        <v>9822</v>
      </c>
      <c r="BU10" s="1">
        <v>9914</v>
      </c>
      <c r="BV10" s="1">
        <v>10005</v>
      </c>
      <c r="BW10" s="1">
        <v>10190</v>
      </c>
      <c r="BX10" s="1">
        <v>10115</v>
      </c>
      <c r="BY10" s="1">
        <v>10285</v>
      </c>
      <c r="BZ10" s="1">
        <v>9827</v>
      </c>
    </row>
    <row r="11" spans="1:254" ht="15.9" customHeight="1">
      <c r="A11" s="78" t="s">
        <v>17</v>
      </c>
      <c r="B11" s="17" t="s">
        <v>18</v>
      </c>
      <c r="C11" s="543">
        <f>_xll.RssMarket("6701","始値")</f>
        <v>4626</v>
      </c>
      <c r="D11" s="23">
        <f t="shared" si="0"/>
        <v>0</v>
      </c>
      <c r="E11" s="550">
        <v>4626</v>
      </c>
      <c r="F11" s="21">
        <v>4677</v>
      </c>
      <c r="G11" s="21">
        <v>4800</v>
      </c>
      <c r="H11" s="21">
        <v>4750</v>
      </c>
      <c r="I11" s="21">
        <v>4692</v>
      </c>
      <c r="J11" s="21">
        <v>4963</v>
      </c>
      <c r="K11" s="21">
        <v>4420</v>
      </c>
      <c r="L11" s="21">
        <v>4445</v>
      </c>
      <c r="M11" s="21">
        <v>4312</v>
      </c>
      <c r="N11" s="21">
        <v>4230</v>
      </c>
      <c r="O11" s="21">
        <v>4271</v>
      </c>
      <c r="P11" s="21">
        <v>4280</v>
      </c>
      <c r="Q11" s="21">
        <v>4424</v>
      </c>
      <c r="R11" s="21">
        <v>4371</v>
      </c>
      <c r="S11" s="21">
        <v>4267</v>
      </c>
      <c r="T11" s="21">
        <v>4365</v>
      </c>
      <c r="U11" s="21">
        <v>4300</v>
      </c>
      <c r="V11" s="21">
        <v>4334</v>
      </c>
      <c r="W11" s="21">
        <v>4269</v>
      </c>
      <c r="X11" s="21">
        <v>4397</v>
      </c>
      <c r="Y11" s="21">
        <v>4302</v>
      </c>
      <c r="Z11" s="21">
        <v>4238</v>
      </c>
      <c r="AA11" s="21">
        <v>4293</v>
      </c>
      <c r="AB11" s="21">
        <v>4217</v>
      </c>
      <c r="AC11" s="21">
        <v>3950</v>
      </c>
      <c r="AD11" s="21">
        <v>4045</v>
      </c>
      <c r="AE11" s="21">
        <v>3919</v>
      </c>
      <c r="AF11" s="21">
        <v>3700</v>
      </c>
      <c r="AG11" s="21">
        <v>3804</v>
      </c>
      <c r="AH11" s="21">
        <v>3753</v>
      </c>
      <c r="AI11" s="21">
        <v>3706</v>
      </c>
      <c r="AJ11" s="21">
        <v>3750</v>
      </c>
      <c r="AK11" s="21">
        <v>3775</v>
      </c>
      <c r="AL11" s="21">
        <v>3874</v>
      </c>
      <c r="AM11" s="21">
        <v>3877</v>
      </c>
      <c r="AN11" s="21">
        <v>3803</v>
      </c>
      <c r="AO11" s="21">
        <v>3912</v>
      </c>
      <c r="AP11" s="21">
        <v>3994</v>
      </c>
      <c r="AQ11" s="21">
        <v>3979</v>
      </c>
      <c r="AR11" s="21">
        <v>4079</v>
      </c>
      <c r="AS11" s="21">
        <v>4152</v>
      </c>
      <c r="AT11" s="21">
        <v>4265</v>
      </c>
      <c r="AU11" s="21">
        <v>4203</v>
      </c>
      <c r="AV11" s="21">
        <v>4306</v>
      </c>
      <c r="AW11" s="21">
        <v>4469</v>
      </c>
      <c r="AX11" s="21">
        <v>4145</v>
      </c>
      <c r="AY11" s="21">
        <v>4148</v>
      </c>
      <c r="AZ11" s="21">
        <v>4002</v>
      </c>
      <c r="BA11" s="21">
        <v>4100</v>
      </c>
      <c r="BB11" s="21">
        <v>4121</v>
      </c>
      <c r="BC11" s="21">
        <v>4151</v>
      </c>
      <c r="BD11" s="21">
        <v>4308</v>
      </c>
      <c r="BE11" s="21">
        <v>4280</v>
      </c>
      <c r="BF11" s="21">
        <v>4110</v>
      </c>
      <c r="BG11" s="21">
        <v>4109</v>
      </c>
      <c r="BH11" s="21">
        <v>4103</v>
      </c>
      <c r="BI11" s="21">
        <v>4330</v>
      </c>
      <c r="BJ11" s="21">
        <v>4106</v>
      </c>
      <c r="BK11" s="21">
        <v>4137</v>
      </c>
      <c r="BL11" s="21">
        <v>4131</v>
      </c>
      <c r="BM11" s="1">
        <v>4010</v>
      </c>
      <c r="BN11" s="1">
        <v>4069</v>
      </c>
      <c r="BO11" s="1">
        <v>4196</v>
      </c>
      <c r="BP11" s="1">
        <v>4600</v>
      </c>
      <c r="BQ11" s="1">
        <v>4680</v>
      </c>
      <c r="BR11" s="1">
        <v>4476</v>
      </c>
      <c r="BS11" s="1">
        <v>4416</v>
      </c>
      <c r="BT11" s="1">
        <v>4467</v>
      </c>
      <c r="BU11" s="1">
        <v>4390</v>
      </c>
      <c r="BV11" s="1">
        <v>4331</v>
      </c>
      <c r="BW11" s="1">
        <v>4375</v>
      </c>
      <c r="BX11" s="1">
        <v>4410</v>
      </c>
      <c r="BY11" s="1">
        <v>4185</v>
      </c>
      <c r="BZ11" s="1">
        <v>4048</v>
      </c>
    </row>
    <row r="12" spans="1:254" ht="15.9" customHeight="1">
      <c r="A12" s="78" t="s">
        <v>19</v>
      </c>
      <c r="B12" s="17" t="s">
        <v>20</v>
      </c>
      <c r="C12" s="543">
        <f>_xll.RssMarket("1605","始値")</f>
        <v>3400</v>
      </c>
      <c r="D12" s="23">
        <f t="shared" si="0"/>
        <v>0</v>
      </c>
      <c r="E12" s="550">
        <v>3400</v>
      </c>
      <c r="F12" s="21">
        <v>3451</v>
      </c>
      <c r="G12" s="21">
        <v>3507</v>
      </c>
      <c r="H12" s="21">
        <v>3600</v>
      </c>
      <c r="I12" s="21">
        <v>3590</v>
      </c>
      <c r="J12" s="21">
        <v>3652</v>
      </c>
      <c r="K12" s="21">
        <v>3555</v>
      </c>
      <c r="L12" s="21">
        <v>3593</v>
      </c>
      <c r="M12" s="21">
        <v>3688</v>
      </c>
      <c r="N12" s="21">
        <v>3760</v>
      </c>
      <c r="O12" s="21">
        <v>3620</v>
      </c>
      <c r="P12" s="21">
        <v>3598</v>
      </c>
      <c r="Q12" s="21">
        <v>3525</v>
      </c>
      <c r="R12" s="21">
        <v>3440</v>
      </c>
      <c r="S12" s="21">
        <v>3491</v>
      </c>
      <c r="T12" s="21">
        <v>3455</v>
      </c>
      <c r="U12" s="21">
        <v>3384</v>
      </c>
      <c r="V12" s="21">
        <v>3400</v>
      </c>
      <c r="W12" s="21">
        <v>3457</v>
      </c>
      <c r="X12" s="21">
        <v>3350</v>
      </c>
      <c r="Y12" s="21">
        <v>3327</v>
      </c>
      <c r="Z12" s="21">
        <v>3242</v>
      </c>
      <c r="AA12" s="21">
        <v>3235</v>
      </c>
      <c r="AB12" s="21">
        <v>3206</v>
      </c>
      <c r="AC12" s="21">
        <v>3293</v>
      </c>
      <c r="AD12" s="21">
        <v>3284</v>
      </c>
      <c r="AE12" s="21">
        <v>3317</v>
      </c>
      <c r="AF12" s="21">
        <v>3333</v>
      </c>
      <c r="AG12" s="21">
        <v>3410</v>
      </c>
      <c r="AH12" s="21">
        <v>3455</v>
      </c>
      <c r="AI12" s="21">
        <v>3454</v>
      </c>
      <c r="AJ12" s="21">
        <v>3500</v>
      </c>
      <c r="AK12" s="21">
        <v>3407</v>
      </c>
      <c r="AL12" s="21">
        <v>3442</v>
      </c>
      <c r="AM12" s="21">
        <v>3328</v>
      </c>
      <c r="AN12" s="21">
        <v>3467</v>
      </c>
      <c r="AO12" s="21">
        <v>3559</v>
      </c>
      <c r="AP12" s="21">
        <v>3554</v>
      </c>
      <c r="AQ12" s="21">
        <v>3587</v>
      </c>
      <c r="AR12" s="21">
        <v>3537</v>
      </c>
      <c r="AS12" s="21">
        <v>3657</v>
      </c>
      <c r="AT12" s="21">
        <v>3650</v>
      </c>
      <c r="AU12" s="21">
        <v>3646</v>
      </c>
      <c r="AV12" s="21">
        <v>3684</v>
      </c>
      <c r="AW12" s="21">
        <v>3470</v>
      </c>
      <c r="AX12" s="21">
        <v>3605</v>
      </c>
      <c r="AY12" s="21">
        <v>3600</v>
      </c>
      <c r="AZ12" s="21">
        <v>3650</v>
      </c>
      <c r="BA12" s="21">
        <v>3757</v>
      </c>
      <c r="BB12" s="21">
        <v>3821</v>
      </c>
      <c r="BC12" s="21">
        <v>3868</v>
      </c>
      <c r="BD12" s="21">
        <v>3970</v>
      </c>
      <c r="BE12" s="21">
        <v>3972</v>
      </c>
      <c r="BF12" s="21">
        <v>3967</v>
      </c>
      <c r="BG12" s="21">
        <v>3864</v>
      </c>
      <c r="BH12" s="21">
        <v>4000</v>
      </c>
      <c r="BI12" s="21">
        <v>3973</v>
      </c>
      <c r="BJ12" s="21">
        <v>3915</v>
      </c>
      <c r="BK12" s="21">
        <v>3788</v>
      </c>
      <c r="BL12" s="21">
        <v>3803</v>
      </c>
      <c r="BM12" s="1">
        <v>3856</v>
      </c>
      <c r="BN12" s="1">
        <v>4131</v>
      </c>
      <c r="BO12" s="1">
        <v>4173</v>
      </c>
      <c r="BP12" s="1">
        <v>3994</v>
      </c>
      <c r="BQ12" s="1">
        <v>3984</v>
      </c>
      <c r="BR12" s="1">
        <v>4000</v>
      </c>
      <c r="BS12" s="1">
        <v>3856</v>
      </c>
      <c r="BT12" s="1">
        <v>3900</v>
      </c>
      <c r="BU12" s="1">
        <v>3881</v>
      </c>
      <c r="BV12" s="1">
        <v>3915</v>
      </c>
      <c r="BW12" s="1">
        <v>3997</v>
      </c>
      <c r="BX12" s="1">
        <v>4035</v>
      </c>
      <c r="BY12" s="1">
        <v>4125</v>
      </c>
      <c r="BZ12" s="1">
        <v>4209</v>
      </c>
    </row>
    <row r="13" spans="1:254" ht="15.9" customHeight="1">
      <c r="A13" s="78" t="s">
        <v>21</v>
      </c>
      <c r="B13" s="17" t="s">
        <v>22</v>
      </c>
      <c r="C13" s="543">
        <f>_xll.RssMarket("5703","始値")</f>
        <v>2930</v>
      </c>
      <c r="D13" s="23">
        <f t="shared" si="0"/>
        <v>0</v>
      </c>
      <c r="E13" s="550">
        <v>2930</v>
      </c>
      <c r="F13" s="21">
        <v>2841</v>
      </c>
      <c r="G13" s="21">
        <v>2880</v>
      </c>
      <c r="H13" s="21">
        <v>2665</v>
      </c>
      <c r="I13" s="21">
        <v>2650</v>
      </c>
      <c r="J13" s="21">
        <v>2579</v>
      </c>
      <c r="K13" s="21">
        <v>2628</v>
      </c>
      <c r="L13" s="21">
        <v>2656</v>
      </c>
      <c r="M13" s="21">
        <v>2685</v>
      </c>
      <c r="N13" s="21">
        <v>2680</v>
      </c>
      <c r="O13" s="21">
        <v>2729</v>
      </c>
      <c r="P13" s="21">
        <v>2729</v>
      </c>
      <c r="Q13" s="21">
        <v>2707</v>
      </c>
      <c r="R13" s="21">
        <v>2690</v>
      </c>
      <c r="S13" s="21">
        <v>2798</v>
      </c>
      <c r="T13" s="21">
        <v>2675</v>
      </c>
      <c r="U13" s="21">
        <v>2711</v>
      </c>
      <c r="V13" s="21">
        <v>2662</v>
      </c>
      <c r="W13" s="21">
        <v>2636</v>
      </c>
      <c r="X13" s="21">
        <v>2680</v>
      </c>
      <c r="Y13" s="21">
        <v>2752</v>
      </c>
      <c r="Z13" s="21">
        <v>2779</v>
      </c>
      <c r="AA13" s="21">
        <v>2726</v>
      </c>
      <c r="AB13" s="21">
        <v>2735</v>
      </c>
      <c r="AC13" s="21">
        <v>2745</v>
      </c>
      <c r="AD13" s="21">
        <v>2825</v>
      </c>
      <c r="AE13" s="21">
        <v>2843</v>
      </c>
      <c r="AF13" s="21">
        <v>2835</v>
      </c>
      <c r="AG13" s="21">
        <v>2870</v>
      </c>
      <c r="AH13" s="21">
        <v>2923</v>
      </c>
      <c r="AI13" s="21">
        <v>3015</v>
      </c>
      <c r="AJ13" s="21">
        <v>2997</v>
      </c>
      <c r="AK13" s="21">
        <v>2971</v>
      </c>
      <c r="AL13" s="21">
        <v>2960</v>
      </c>
      <c r="AM13" s="21">
        <v>3035</v>
      </c>
      <c r="AN13" s="21">
        <v>3060</v>
      </c>
      <c r="AO13" s="21">
        <v>3110</v>
      </c>
      <c r="AP13" s="21">
        <v>3080</v>
      </c>
      <c r="AQ13" s="21">
        <v>2927</v>
      </c>
      <c r="AR13" s="21">
        <v>3090</v>
      </c>
      <c r="AS13" s="21">
        <v>3160</v>
      </c>
      <c r="AT13" s="21">
        <v>3195</v>
      </c>
      <c r="AU13" s="21">
        <v>3230</v>
      </c>
      <c r="AV13" s="21">
        <v>3235</v>
      </c>
      <c r="AW13" s="21">
        <v>3105</v>
      </c>
      <c r="AX13" s="21">
        <v>3230</v>
      </c>
      <c r="AY13" s="21">
        <v>3155</v>
      </c>
      <c r="AZ13" s="21">
        <v>3290</v>
      </c>
      <c r="BA13" s="21">
        <v>3190</v>
      </c>
      <c r="BB13" s="21">
        <v>3100</v>
      </c>
      <c r="BC13" s="21">
        <v>3120</v>
      </c>
      <c r="BD13" s="21">
        <v>3045</v>
      </c>
      <c r="BE13" s="21">
        <v>3140</v>
      </c>
      <c r="BF13" s="21">
        <v>3065</v>
      </c>
      <c r="BG13" s="21">
        <v>3050</v>
      </c>
      <c r="BH13" s="21">
        <v>2969</v>
      </c>
      <c r="BI13" s="21">
        <v>2939</v>
      </c>
      <c r="BJ13" s="21">
        <v>2928</v>
      </c>
      <c r="BK13" s="21">
        <v>2956</v>
      </c>
      <c r="BL13" s="21">
        <v>2854</v>
      </c>
      <c r="BM13" s="1">
        <v>2899</v>
      </c>
      <c r="BN13" s="1">
        <v>2703</v>
      </c>
      <c r="BO13" s="1">
        <v>2834</v>
      </c>
      <c r="BP13" s="1">
        <v>2876</v>
      </c>
      <c r="BQ13" s="1">
        <v>2876</v>
      </c>
      <c r="BR13" s="1">
        <v>2847</v>
      </c>
      <c r="BS13" s="1">
        <v>2915</v>
      </c>
      <c r="BT13" s="1">
        <v>2939</v>
      </c>
      <c r="BU13" s="1">
        <v>3025</v>
      </c>
      <c r="BV13" s="1">
        <v>2999</v>
      </c>
      <c r="BW13" s="1">
        <v>3020</v>
      </c>
      <c r="BX13" s="1">
        <v>3030</v>
      </c>
      <c r="BY13" s="1">
        <v>3070</v>
      </c>
      <c r="BZ13" s="1">
        <v>3030</v>
      </c>
    </row>
    <row r="14" spans="1:254" ht="15.9" customHeight="1">
      <c r="A14" s="78" t="s">
        <v>23</v>
      </c>
      <c r="B14" s="17" t="s">
        <v>24</v>
      </c>
      <c r="C14" s="543">
        <f>_xll.RssMarket("8002","始値")</f>
        <v>4800</v>
      </c>
      <c r="D14" s="23">
        <f t="shared" si="0"/>
        <v>0</v>
      </c>
      <c r="E14" s="550">
        <v>4800</v>
      </c>
      <c r="F14" s="21">
        <v>4901</v>
      </c>
      <c r="G14" s="21">
        <v>5032</v>
      </c>
      <c r="H14" s="21">
        <v>5111</v>
      </c>
      <c r="I14" s="21">
        <v>5223</v>
      </c>
      <c r="J14" s="21">
        <v>5126</v>
      </c>
      <c r="K14" s="21">
        <v>5284</v>
      </c>
      <c r="L14" s="21">
        <v>5393</v>
      </c>
      <c r="M14" s="21">
        <v>5435</v>
      </c>
      <c r="N14" s="21">
        <v>5362</v>
      </c>
      <c r="O14" s="21">
        <v>5280</v>
      </c>
      <c r="P14" s="21">
        <v>5214</v>
      </c>
      <c r="Q14" s="21">
        <v>5022</v>
      </c>
      <c r="R14" s="21">
        <v>5080</v>
      </c>
      <c r="S14" s="21">
        <v>5000</v>
      </c>
      <c r="T14" s="21">
        <v>4890</v>
      </c>
      <c r="U14" s="21">
        <v>4949</v>
      </c>
      <c r="V14" s="21">
        <v>4904</v>
      </c>
      <c r="W14" s="21">
        <v>4900</v>
      </c>
      <c r="X14" s="21">
        <v>5033</v>
      </c>
      <c r="Y14" s="21">
        <v>5096</v>
      </c>
      <c r="Z14" s="21">
        <v>4997</v>
      </c>
      <c r="AA14" s="21">
        <v>4866</v>
      </c>
      <c r="AB14" s="21">
        <v>4789</v>
      </c>
      <c r="AC14" s="21">
        <v>4695</v>
      </c>
      <c r="AD14" s="21">
        <v>4710</v>
      </c>
      <c r="AE14" s="21">
        <v>4792</v>
      </c>
      <c r="AF14" s="21">
        <v>4630</v>
      </c>
      <c r="AG14" s="21">
        <v>4757</v>
      </c>
      <c r="AH14" s="21">
        <v>4790</v>
      </c>
      <c r="AI14" s="21">
        <v>4947</v>
      </c>
      <c r="AJ14" s="21">
        <v>4868</v>
      </c>
      <c r="AK14" s="21">
        <v>4850</v>
      </c>
      <c r="AL14" s="21">
        <v>4949</v>
      </c>
      <c r="AM14" s="21">
        <v>4981</v>
      </c>
      <c r="AN14" s="21">
        <v>5023</v>
      </c>
      <c r="AO14" s="21">
        <v>5009</v>
      </c>
      <c r="AP14" s="21">
        <v>4869</v>
      </c>
      <c r="AQ14" s="21">
        <v>4780</v>
      </c>
      <c r="AR14" s="21">
        <v>4850</v>
      </c>
      <c r="AS14" s="21">
        <v>4960</v>
      </c>
      <c r="AT14" s="21">
        <v>5018</v>
      </c>
      <c r="AU14" s="21">
        <v>4997</v>
      </c>
      <c r="AV14" s="21">
        <v>4899</v>
      </c>
      <c r="AW14" s="21">
        <v>4848</v>
      </c>
      <c r="AX14" s="21">
        <v>5180</v>
      </c>
      <c r="AY14" s="21">
        <v>5170</v>
      </c>
      <c r="AZ14" s="21">
        <v>5348</v>
      </c>
      <c r="BA14" s="21">
        <v>5271</v>
      </c>
      <c r="BB14" s="21">
        <v>5331</v>
      </c>
      <c r="BC14" s="21">
        <v>5467</v>
      </c>
      <c r="BD14" s="21">
        <v>5451</v>
      </c>
      <c r="BE14" s="21">
        <v>5706</v>
      </c>
      <c r="BF14" s="21">
        <v>5806</v>
      </c>
      <c r="BG14" s="21">
        <v>5922</v>
      </c>
      <c r="BH14" s="21">
        <v>5884</v>
      </c>
      <c r="BI14" s="21">
        <v>5555</v>
      </c>
      <c r="BJ14" s="21">
        <v>5433</v>
      </c>
      <c r="BK14" s="21">
        <v>5356</v>
      </c>
      <c r="BL14" s="21">
        <v>5493</v>
      </c>
      <c r="BM14" s="1">
        <v>5655</v>
      </c>
      <c r="BN14" s="1">
        <v>6146</v>
      </c>
      <c r="BO14" s="1">
        <v>6080</v>
      </c>
      <c r="BP14" s="1">
        <v>6010</v>
      </c>
      <c r="BQ14" s="1">
        <v>5903</v>
      </c>
      <c r="BR14" s="1">
        <v>6003</v>
      </c>
      <c r="BS14" s="1">
        <v>5867</v>
      </c>
      <c r="BT14" s="1">
        <v>5956</v>
      </c>
      <c r="BU14" s="1">
        <v>5874</v>
      </c>
      <c r="BV14" s="1">
        <v>5950</v>
      </c>
      <c r="BW14" s="1">
        <v>6040</v>
      </c>
      <c r="BX14" s="1">
        <v>5903</v>
      </c>
      <c r="BY14" s="1">
        <v>6000</v>
      </c>
      <c r="BZ14" s="1">
        <v>6000</v>
      </c>
    </row>
    <row r="15" spans="1:254" ht="15.9" customHeight="1">
      <c r="A15" s="78" t="s">
        <v>25</v>
      </c>
      <c r="B15" s="17" t="s">
        <v>26</v>
      </c>
      <c r="C15" s="543">
        <f>_xll.RssMarket("5021","始値")</f>
        <v>3766</v>
      </c>
      <c r="D15" s="23">
        <f t="shared" si="0"/>
        <v>0</v>
      </c>
      <c r="E15" s="550">
        <v>3766</v>
      </c>
      <c r="F15" s="21">
        <v>3790</v>
      </c>
      <c r="G15" s="21">
        <v>3871</v>
      </c>
      <c r="H15" s="21">
        <v>3964</v>
      </c>
      <c r="I15" s="21">
        <v>3982</v>
      </c>
      <c r="J15" s="21">
        <v>4007</v>
      </c>
      <c r="K15" s="21">
        <v>3950</v>
      </c>
      <c r="L15" s="21">
        <v>3995</v>
      </c>
      <c r="M15" s="21">
        <v>3954</v>
      </c>
      <c r="N15" s="21">
        <v>3999</v>
      </c>
      <c r="O15" s="21">
        <v>3906</v>
      </c>
      <c r="P15" s="21">
        <v>3902</v>
      </c>
      <c r="Q15" s="21">
        <v>3880</v>
      </c>
      <c r="R15" s="21">
        <v>3804</v>
      </c>
      <c r="S15" s="21">
        <v>3877</v>
      </c>
      <c r="T15" s="21">
        <v>3875</v>
      </c>
      <c r="U15" s="21">
        <v>3892</v>
      </c>
      <c r="V15" s="21">
        <v>3876</v>
      </c>
      <c r="W15" s="21">
        <v>3895</v>
      </c>
      <c r="X15" s="21">
        <v>3880</v>
      </c>
      <c r="Y15" s="21">
        <v>3997</v>
      </c>
      <c r="Z15" s="21">
        <v>3920</v>
      </c>
      <c r="AA15" s="21">
        <v>3856</v>
      </c>
      <c r="AB15" s="21">
        <v>3850</v>
      </c>
      <c r="AC15" s="21">
        <v>3828</v>
      </c>
      <c r="AD15" s="21">
        <v>3842</v>
      </c>
      <c r="AE15" s="21">
        <v>3736</v>
      </c>
      <c r="AF15" s="21">
        <v>3715</v>
      </c>
      <c r="AG15" s="21">
        <v>3800</v>
      </c>
      <c r="AH15" s="21">
        <v>3683</v>
      </c>
      <c r="AI15" s="21">
        <v>3738</v>
      </c>
      <c r="AJ15" s="21">
        <v>3775</v>
      </c>
      <c r="AK15" s="21">
        <v>3750</v>
      </c>
      <c r="AL15" s="21">
        <v>3680</v>
      </c>
      <c r="AM15" s="21">
        <v>3690</v>
      </c>
      <c r="AN15" s="21">
        <v>3690</v>
      </c>
      <c r="AO15" s="21">
        <v>3630</v>
      </c>
      <c r="AP15" s="21">
        <v>3530</v>
      </c>
      <c r="AQ15" s="21">
        <v>3511</v>
      </c>
      <c r="AR15" s="21">
        <v>3500</v>
      </c>
      <c r="AS15" s="21">
        <v>3545</v>
      </c>
      <c r="AT15" s="21">
        <v>3655</v>
      </c>
      <c r="AU15" s="21">
        <v>3778</v>
      </c>
      <c r="AV15" s="21">
        <v>3720</v>
      </c>
      <c r="AW15" s="21">
        <v>3666</v>
      </c>
      <c r="AX15" s="21">
        <v>3700</v>
      </c>
      <c r="AY15" s="21">
        <v>3676</v>
      </c>
      <c r="AZ15" s="21">
        <v>3640</v>
      </c>
      <c r="BA15" s="21">
        <v>3728</v>
      </c>
      <c r="BB15" s="21">
        <v>3698</v>
      </c>
      <c r="BC15" s="21">
        <v>3740</v>
      </c>
      <c r="BD15" s="21">
        <v>3774</v>
      </c>
      <c r="BE15" s="21">
        <v>3799</v>
      </c>
      <c r="BF15" s="21">
        <v>3842</v>
      </c>
      <c r="BG15" s="21">
        <v>3872</v>
      </c>
      <c r="BH15" s="21">
        <v>3763</v>
      </c>
      <c r="BI15" s="21">
        <v>3899</v>
      </c>
      <c r="BJ15" s="21">
        <v>3958</v>
      </c>
      <c r="BK15" s="21">
        <v>3936</v>
      </c>
      <c r="BL15" s="21">
        <v>3909</v>
      </c>
      <c r="BM15" s="1">
        <v>3865</v>
      </c>
      <c r="BN15" s="1">
        <v>3980</v>
      </c>
      <c r="BO15" s="1">
        <v>3987</v>
      </c>
      <c r="BP15" s="1">
        <v>3949</v>
      </c>
      <c r="BQ15" s="1">
        <v>3936</v>
      </c>
      <c r="BR15" s="1">
        <v>4023</v>
      </c>
      <c r="BS15" s="1">
        <v>3932</v>
      </c>
      <c r="BT15" s="1">
        <v>4229</v>
      </c>
      <c r="BU15" s="1">
        <v>4288</v>
      </c>
      <c r="BV15" s="1">
        <v>4316</v>
      </c>
      <c r="BW15" s="1">
        <v>4398</v>
      </c>
      <c r="BX15" s="1">
        <v>4393</v>
      </c>
      <c r="BY15" s="1">
        <v>4360</v>
      </c>
      <c r="BZ15" s="1">
        <v>4352</v>
      </c>
    </row>
    <row r="16" spans="1:254" ht="15.9" customHeight="1">
      <c r="A16" s="78" t="s">
        <v>27</v>
      </c>
      <c r="B16" s="17" t="s">
        <v>28</v>
      </c>
      <c r="C16" s="543">
        <f>_xll.RssMarket("8058","始値")</f>
        <v>4635</v>
      </c>
      <c r="D16" s="23">
        <f t="shared" si="0"/>
        <v>0</v>
      </c>
      <c r="E16" s="550">
        <v>4635</v>
      </c>
      <c r="F16" s="21">
        <v>4694</v>
      </c>
      <c r="G16" s="21">
        <v>4616</v>
      </c>
      <c r="H16" s="21">
        <v>4791</v>
      </c>
      <c r="I16" s="21">
        <v>4781</v>
      </c>
      <c r="J16" s="21">
        <v>4772</v>
      </c>
      <c r="K16" s="21">
        <v>4800</v>
      </c>
      <c r="L16" s="21">
        <v>4815</v>
      </c>
      <c r="M16" s="21">
        <v>4901</v>
      </c>
      <c r="N16" s="21">
        <v>4925</v>
      </c>
      <c r="O16" s="21">
        <v>4863</v>
      </c>
      <c r="P16" s="21">
        <v>4795</v>
      </c>
      <c r="Q16" s="21">
        <v>4543</v>
      </c>
      <c r="R16" s="21">
        <v>4524</v>
      </c>
      <c r="S16" s="21">
        <v>4548</v>
      </c>
      <c r="T16" s="21">
        <v>4480</v>
      </c>
      <c r="U16" s="21">
        <v>4479</v>
      </c>
      <c r="V16" s="21">
        <v>4441</v>
      </c>
      <c r="W16" s="21">
        <v>4459</v>
      </c>
      <c r="X16" s="21">
        <v>4538</v>
      </c>
      <c r="Y16" s="21">
        <v>4585</v>
      </c>
      <c r="Z16" s="21">
        <v>4493</v>
      </c>
      <c r="AA16" s="21">
        <v>4492</v>
      </c>
      <c r="AB16" s="21">
        <v>4454</v>
      </c>
      <c r="AC16" s="21">
        <v>4370</v>
      </c>
      <c r="AD16" s="21">
        <v>4388</v>
      </c>
      <c r="AE16" s="21">
        <v>4440</v>
      </c>
      <c r="AF16" s="21">
        <v>4424</v>
      </c>
      <c r="AG16" s="21">
        <v>4584</v>
      </c>
      <c r="AH16" s="21">
        <v>4585</v>
      </c>
      <c r="AI16" s="21">
        <v>4636</v>
      </c>
      <c r="AJ16" s="21">
        <v>4540</v>
      </c>
      <c r="AK16" s="21">
        <v>4510</v>
      </c>
      <c r="AL16" s="21">
        <v>4651</v>
      </c>
      <c r="AM16" s="21">
        <v>4628</v>
      </c>
      <c r="AN16" s="21">
        <v>4731</v>
      </c>
      <c r="AO16" s="21">
        <v>4765</v>
      </c>
      <c r="AP16" s="21">
        <v>4627</v>
      </c>
      <c r="AQ16" s="21">
        <v>4583</v>
      </c>
      <c r="AR16" s="21">
        <v>4750</v>
      </c>
      <c r="AS16" s="21">
        <v>4824</v>
      </c>
      <c r="AT16" s="21">
        <v>4919</v>
      </c>
      <c r="AU16" s="21">
        <v>4984</v>
      </c>
      <c r="AV16" s="21">
        <v>4974</v>
      </c>
      <c r="AW16" s="21">
        <v>4865</v>
      </c>
      <c r="AX16" s="21">
        <v>5000</v>
      </c>
      <c r="AY16" s="21">
        <v>5067</v>
      </c>
      <c r="AZ16" s="21">
        <v>5182</v>
      </c>
      <c r="BA16" s="21">
        <v>5400</v>
      </c>
      <c r="BB16" s="21">
        <v>5411</v>
      </c>
      <c r="BC16" s="21">
        <v>5501</v>
      </c>
      <c r="BD16" s="21">
        <v>5527</v>
      </c>
      <c r="BE16" s="21">
        <v>5508</v>
      </c>
      <c r="BF16" s="21">
        <v>5799</v>
      </c>
      <c r="BG16" s="21">
        <v>5879</v>
      </c>
      <c r="BH16" s="21">
        <v>5935</v>
      </c>
      <c r="BI16" s="21">
        <v>5684</v>
      </c>
      <c r="BJ16" s="21">
        <v>5320</v>
      </c>
      <c r="BK16" s="21">
        <v>5293</v>
      </c>
      <c r="BL16" s="21">
        <v>5348</v>
      </c>
      <c r="BM16" s="1">
        <v>5119</v>
      </c>
      <c r="BN16" s="1">
        <v>4991</v>
      </c>
      <c r="BO16" s="1">
        <v>4916</v>
      </c>
      <c r="BP16" s="1">
        <v>4850</v>
      </c>
      <c r="BQ16" s="1">
        <v>4802</v>
      </c>
      <c r="BR16" s="1">
        <v>4893</v>
      </c>
      <c r="BS16" s="1">
        <v>4760</v>
      </c>
      <c r="BT16" s="1">
        <v>4820</v>
      </c>
      <c r="BU16" s="1">
        <v>4902</v>
      </c>
      <c r="BV16" s="1">
        <v>5002</v>
      </c>
      <c r="BW16" s="1">
        <v>5079</v>
      </c>
      <c r="BX16" s="1">
        <v>5015</v>
      </c>
      <c r="BY16" s="1">
        <v>5238</v>
      </c>
      <c r="BZ16" s="1">
        <v>5330</v>
      </c>
    </row>
    <row r="17" spans="1:254" ht="15.9" customHeight="1">
      <c r="A17" s="78" t="s">
        <v>29</v>
      </c>
      <c r="B17" s="17" t="s">
        <v>30</v>
      </c>
      <c r="C17" s="543">
        <f>_xll.RssMarket("5333","始値")</f>
        <v>5856</v>
      </c>
      <c r="D17" s="23">
        <f t="shared" si="0"/>
        <v>0</v>
      </c>
      <c r="E17" s="550">
        <v>5856</v>
      </c>
      <c r="F17" s="21">
        <v>5796</v>
      </c>
      <c r="G17" s="21">
        <v>5541</v>
      </c>
      <c r="H17" s="21">
        <v>5578</v>
      </c>
      <c r="I17" s="21">
        <v>6045</v>
      </c>
      <c r="J17" s="21">
        <v>5150</v>
      </c>
      <c r="K17" s="21">
        <v>5532</v>
      </c>
      <c r="L17" s="21">
        <v>5963</v>
      </c>
      <c r="M17" s="21">
        <v>6150</v>
      </c>
      <c r="N17" s="21">
        <v>6130</v>
      </c>
      <c r="O17" s="21">
        <v>6350</v>
      </c>
      <c r="P17" s="21">
        <v>6209</v>
      </c>
      <c r="Q17" s="21">
        <v>6078</v>
      </c>
      <c r="R17" s="21">
        <v>6313</v>
      </c>
      <c r="S17" s="21">
        <v>6767</v>
      </c>
      <c r="T17" s="21">
        <v>6627</v>
      </c>
      <c r="U17" s="21">
        <v>7042</v>
      </c>
      <c r="V17" s="21">
        <v>7201</v>
      </c>
      <c r="W17" s="21">
        <v>7042</v>
      </c>
      <c r="X17" s="21">
        <v>6775</v>
      </c>
      <c r="Y17" s="21">
        <v>7448</v>
      </c>
      <c r="Z17" s="21">
        <v>7500</v>
      </c>
      <c r="AA17" s="21">
        <v>7242</v>
      </c>
      <c r="AB17" s="21">
        <v>7448</v>
      </c>
      <c r="AC17" s="21">
        <v>7660</v>
      </c>
      <c r="AD17" s="21">
        <v>7550</v>
      </c>
      <c r="AE17" s="21">
        <v>7520</v>
      </c>
      <c r="AF17" s="21">
        <v>7806</v>
      </c>
      <c r="AG17" s="21">
        <v>7628</v>
      </c>
      <c r="AH17" s="21">
        <v>7331</v>
      </c>
      <c r="AI17" s="21">
        <v>7770</v>
      </c>
      <c r="AJ17" s="21">
        <v>7467</v>
      </c>
      <c r="AK17" s="21">
        <v>7507</v>
      </c>
      <c r="AL17" s="21">
        <v>7026</v>
      </c>
      <c r="AM17" s="21">
        <v>6735</v>
      </c>
      <c r="AN17" s="21">
        <v>6669</v>
      </c>
      <c r="AO17" s="21">
        <v>6517</v>
      </c>
      <c r="AP17" s="21">
        <v>6215</v>
      </c>
      <c r="AQ17" s="21">
        <v>5563</v>
      </c>
      <c r="AR17" s="21">
        <v>6028</v>
      </c>
      <c r="AS17" s="21">
        <v>6075</v>
      </c>
      <c r="AT17" s="21">
        <v>6556</v>
      </c>
      <c r="AU17" s="21">
        <v>6383</v>
      </c>
      <c r="AV17" s="21">
        <v>6270</v>
      </c>
      <c r="AW17" s="21">
        <v>6322</v>
      </c>
      <c r="AX17" s="21">
        <v>6137</v>
      </c>
      <c r="AY17" s="21">
        <v>6032</v>
      </c>
      <c r="AZ17" s="21">
        <v>6444</v>
      </c>
      <c r="BA17" s="21">
        <v>5959</v>
      </c>
      <c r="BB17" s="21">
        <v>5765</v>
      </c>
      <c r="BC17" s="21">
        <v>5568</v>
      </c>
      <c r="BD17" s="21">
        <v>5421</v>
      </c>
      <c r="BE17" s="21">
        <v>5651</v>
      </c>
      <c r="BF17" s="21">
        <v>5739</v>
      </c>
      <c r="BG17" s="21">
        <v>5800</v>
      </c>
      <c r="BH17" s="21">
        <v>5750</v>
      </c>
      <c r="BI17" s="21">
        <v>5537</v>
      </c>
      <c r="BJ17" s="21">
        <v>5600</v>
      </c>
      <c r="BK17" s="21">
        <v>5550</v>
      </c>
      <c r="BL17" s="21">
        <v>5300</v>
      </c>
      <c r="BM17" s="1">
        <v>5377</v>
      </c>
      <c r="BN17" s="1">
        <v>4953</v>
      </c>
      <c r="BO17" s="1">
        <v>4621</v>
      </c>
      <c r="BP17" s="1">
        <v>4670</v>
      </c>
      <c r="BQ17" s="1">
        <v>4429</v>
      </c>
      <c r="BR17" s="1">
        <v>4445</v>
      </c>
      <c r="BS17" s="1">
        <v>4450</v>
      </c>
      <c r="BT17" s="1">
        <v>4520</v>
      </c>
      <c r="BU17" s="1">
        <v>4538</v>
      </c>
      <c r="BV17" s="1">
        <v>4543</v>
      </c>
      <c r="BW17" s="1">
        <v>4528</v>
      </c>
      <c r="BX17" s="1">
        <v>4430</v>
      </c>
      <c r="BY17" s="1">
        <v>4477</v>
      </c>
      <c r="BZ17" s="1">
        <v>4450</v>
      </c>
    </row>
    <row r="18" spans="1:254" ht="15.9" customHeight="1">
      <c r="A18" s="78" t="s">
        <v>31</v>
      </c>
      <c r="B18" s="17" t="s">
        <v>32</v>
      </c>
      <c r="C18" s="543">
        <f>_xll.RssMarket("1662","始値")</f>
        <v>1681</v>
      </c>
      <c r="D18" s="23">
        <f t="shared" si="0"/>
        <v>0</v>
      </c>
      <c r="E18" s="550">
        <v>1681</v>
      </c>
      <c r="F18" s="21">
        <v>1701</v>
      </c>
      <c r="G18" s="21">
        <v>1722</v>
      </c>
      <c r="H18" s="21">
        <v>1745</v>
      </c>
      <c r="I18" s="21">
        <v>1773</v>
      </c>
      <c r="J18" s="21">
        <v>1773</v>
      </c>
      <c r="K18" s="21">
        <v>1728</v>
      </c>
      <c r="L18" s="21">
        <v>1740</v>
      </c>
      <c r="M18" s="21">
        <v>1740</v>
      </c>
      <c r="N18" s="21"/>
      <c r="O18" s="21">
        <v>1735</v>
      </c>
      <c r="P18" s="21">
        <v>1725</v>
      </c>
      <c r="Q18" s="21">
        <v>1724</v>
      </c>
      <c r="R18" s="21">
        <v>1680</v>
      </c>
      <c r="S18" s="21">
        <v>1728</v>
      </c>
      <c r="T18" s="21">
        <v>1728</v>
      </c>
      <c r="U18" s="21">
        <v>1681</v>
      </c>
      <c r="V18" s="21">
        <v>1668</v>
      </c>
      <c r="W18" s="21">
        <v>1705</v>
      </c>
      <c r="X18" s="21">
        <v>1680</v>
      </c>
      <c r="Y18" s="21">
        <v>1687</v>
      </c>
      <c r="Z18" s="21">
        <v>1612</v>
      </c>
      <c r="AA18" s="21">
        <v>1610</v>
      </c>
      <c r="AB18" s="21">
        <v>1600</v>
      </c>
      <c r="AC18" s="21">
        <v>1600</v>
      </c>
      <c r="AD18" s="21">
        <v>1613</v>
      </c>
      <c r="AE18" s="21">
        <v>1604</v>
      </c>
      <c r="AF18" s="21">
        <v>1590</v>
      </c>
      <c r="AG18" s="21">
        <v>1620</v>
      </c>
      <c r="AH18" s="21">
        <v>1612</v>
      </c>
      <c r="AI18" s="21">
        <v>1636</v>
      </c>
      <c r="AJ18" s="21">
        <v>1635</v>
      </c>
      <c r="AK18" s="21">
        <v>1630</v>
      </c>
      <c r="AL18" s="21">
        <v>1651</v>
      </c>
      <c r="AM18" s="21">
        <v>1636</v>
      </c>
      <c r="AN18" s="21">
        <v>1650</v>
      </c>
      <c r="AO18" s="21">
        <v>1658</v>
      </c>
      <c r="AP18" s="21">
        <v>1640</v>
      </c>
      <c r="AQ18" s="21">
        <v>1679</v>
      </c>
      <c r="AR18" s="21">
        <v>1729</v>
      </c>
      <c r="AS18" s="21">
        <v>1708</v>
      </c>
      <c r="AT18" s="21">
        <v>1755</v>
      </c>
      <c r="AU18" s="21">
        <v>1730</v>
      </c>
      <c r="AV18" s="21">
        <v>1780</v>
      </c>
      <c r="AW18" s="21">
        <v>1760</v>
      </c>
      <c r="AX18" s="21">
        <v>1837</v>
      </c>
      <c r="AY18" s="21">
        <v>1875</v>
      </c>
      <c r="AZ18" s="21">
        <v>1842</v>
      </c>
      <c r="BA18" s="21">
        <v>1886</v>
      </c>
      <c r="BB18" s="21">
        <v>1896</v>
      </c>
      <c r="BC18" s="21">
        <v>1910</v>
      </c>
      <c r="BD18" s="21">
        <v>1995</v>
      </c>
      <c r="BE18" s="21">
        <v>1970</v>
      </c>
      <c r="BF18" s="21">
        <v>1965</v>
      </c>
      <c r="BG18" s="21">
        <v>2001</v>
      </c>
      <c r="BH18" s="21">
        <v>2001</v>
      </c>
      <c r="BI18" s="21">
        <v>2158</v>
      </c>
      <c r="BJ18" s="21">
        <v>2180</v>
      </c>
      <c r="BK18" s="21">
        <v>2130</v>
      </c>
      <c r="BL18" s="21">
        <v>2135</v>
      </c>
      <c r="BM18" s="1">
        <v>2058</v>
      </c>
      <c r="BN18" s="1">
        <v>2247</v>
      </c>
      <c r="BO18" s="1">
        <v>2314</v>
      </c>
      <c r="BP18" s="1">
        <v>2192</v>
      </c>
      <c r="BQ18" s="1">
        <v>2230</v>
      </c>
      <c r="BR18" s="1">
        <v>2265</v>
      </c>
      <c r="BS18" s="1">
        <v>2182</v>
      </c>
      <c r="BT18" s="1">
        <v>2197</v>
      </c>
      <c r="BU18" s="1">
        <v>2146</v>
      </c>
      <c r="BV18" s="1">
        <v>2248</v>
      </c>
      <c r="BW18" s="1">
        <v>2421</v>
      </c>
      <c r="BX18" s="1">
        <v>2386</v>
      </c>
      <c r="BY18" s="1">
        <v>2441</v>
      </c>
      <c r="BZ18" s="1">
        <v>2435</v>
      </c>
    </row>
    <row r="19" spans="1:254" ht="15.9" customHeight="1">
      <c r="A19" s="78" t="s">
        <v>33</v>
      </c>
      <c r="B19" s="17" t="s">
        <v>34</v>
      </c>
      <c r="C19" s="543">
        <f>_xll.RssMarket("8411","始値")</f>
        <v>8436</v>
      </c>
      <c r="D19" s="23">
        <f t="shared" si="0"/>
        <v>0</v>
      </c>
      <c r="E19" s="550">
        <v>8436</v>
      </c>
      <c r="F19" s="21">
        <v>8188</v>
      </c>
      <c r="G19" s="21">
        <v>7996</v>
      </c>
      <c r="H19" s="21">
        <v>8138</v>
      </c>
      <c r="I19" s="21">
        <v>8264</v>
      </c>
      <c r="J19" s="21">
        <v>7800</v>
      </c>
      <c r="K19" s="21">
        <v>8099</v>
      </c>
      <c r="L19" s="21">
        <v>8481</v>
      </c>
      <c r="M19" s="21">
        <v>8618</v>
      </c>
      <c r="N19" s="21">
        <v>8663</v>
      </c>
      <c r="O19" s="21">
        <v>8560</v>
      </c>
      <c r="P19" s="21">
        <v>8400</v>
      </c>
      <c r="Q19" s="21">
        <v>8038</v>
      </c>
      <c r="R19" s="21">
        <v>8342</v>
      </c>
      <c r="S19" s="21">
        <v>8580</v>
      </c>
      <c r="T19" s="21">
        <v>8374</v>
      </c>
      <c r="U19" s="21">
        <v>8370</v>
      </c>
      <c r="V19" s="21">
        <v>8364</v>
      </c>
      <c r="W19" s="21">
        <v>8150</v>
      </c>
      <c r="X19" s="21">
        <v>8214</v>
      </c>
      <c r="Y19" s="21">
        <v>8333</v>
      </c>
      <c r="Z19" s="21">
        <v>8082</v>
      </c>
      <c r="AA19" s="21">
        <v>8028</v>
      </c>
      <c r="AB19" s="21">
        <v>7966</v>
      </c>
      <c r="AC19" s="21">
        <v>7750</v>
      </c>
      <c r="AD19" s="21">
        <v>7692</v>
      </c>
      <c r="AE19" s="21">
        <v>7839</v>
      </c>
      <c r="AF19" s="21">
        <v>7720</v>
      </c>
      <c r="AG19" s="21">
        <v>7814</v>
      </c>
      <c r="AH19" s="21">
        <v>7929</v>
      </c>
      <c r="AI19" s="21">
        <v>8091</v>
      </c>
      <c r="AJ19" s="21">
        <v>7823</v>
      </c>
      <c r="AK19" s="21">
        <v>8252</v>
      </c>
      <c r="AL19" s="21">
        <v>8100</v>
      </c>
      <c r="AM19" s="21">
        <v>7907</v>
      </c>
      <c r="AN19" s="21">
        <v>7820</v>
      </c>
      <c r="AO19" s="21">
        <v>7750</v>
      </c>
      <c r="AP19" s="21">
        <v>7605</v>
      </c>
      <c r="AQ19" s="21">
        <v>7411</v>
      </c>
      <c r="AR19" s="21">
        <v>7760</v>
      </c>
      <c r="AS19" s="21">
        <v>7620</v>
      </c>
      <c r="AT19" s="21">
        <v>7822</v>
      </c>
      <c r="AU19" s="21">
        <v>7621</v>
      </c>
      <c r="AV19" s="21">
        <v>7500</v>
      </c>
      <c r="AW19" s="21">
        <v>7253</v>
      </c>
      <c r="AX19" s="21">
        <v>7065</v>
      </c>
      <c r="AY19" s="21">
        <v>7130</v>
      </c>
      <c r="AZ19" s="21">
        <v>7283</v>
      </c>
      <c r="BA19" s="21">
        <v>7308</v>
      </c>
      <c r="BB19" s="21">
        <v>7378</v>
      </c>
      <c r="BC19" s="21">
        <v>7150</v>
      </c>
      <c r="BD19" s="21">
        <v>7090</v>
      </c>
      <c r="BE19" s="21">
        <v>6690</v>
      </c>
      <c r="BF19" s="21">
        <v>6512</v>
      </c>
      <c r="BG19" s="21">
        <v>7021</v>
      </c>
      <c r="BH19" s="21">
        <v>7100</v>
      </c>
      <c r="BI19" s="21">
        <v>6954</v>
      </c>
      <c r="BJ19" s="21">
        <v>6941</v>
      </c>
      <c r="BK19" s="21">
        <v>6871</v>
      </c>
      <c r="BL19" s="21">
        <v>6790</v>
      </c>
      <c r="BM19" s="1">
        <v>6904</v>
      </c>
      <c r="BN19" s="1">
        <v>6677</v>
      </c>
      <c r="BO19" s="1">
        <v>6918</v>
      </c>
      <c r="BP19" s="1">
        <v>6659</v>
      </c>
      <c r="BQ19" s="1">
        <v>6430</v>
      </c>
      <c r="BR19" s="1">
        <v>6556</v>
      </c>
      <c r="BS19" s="1">
        <v>6593</v>
      </c>
      <c r="BT19" s="1">
        <v>6601</v>
      </c>
      <c r="BU19" s="1">
        <v>6752</v>
      </c>
      <c r="BV19" s="1">
        <v>6868</v>
      </c>
      <c r="BW19" s="1">
        <v>6853</v>
      </c>
      <c r="BX19" s="1">
        <v>6980</v>
      </c>
      <c r="BY19" s="1">
        <v>6990</v>
      </c>
      <c r="BZ19" s="1">
        <v>6835</v>
      </c>
    </row>
    <row r="20" spans="1:254" ht="15.9" customHeight="1">
      <c r="A20" s="78" t="s">
        <v>35</v>
      </c>
      <c r="B20" s="17" t="s">
        <v>36</v>
      </c>
      <c r="C20" s="543">
        <f>_xll.RssMarket("5541","始値")</f>
        <v>2569</v>
      </c>
      <c r="D20" s="23">
        <f t="shared" si="0"/>
        <v>0</v>
      </c>
      <c r="E20" s="550">
        <v>2569</v>
      </c>
      <c r="F20" s="21">
        <v>2495</v>
      </c>
      <c r="G20" s="21">
        <v>2435</v>
      </c>
      <c r="H20" s="21">
        <v>2481</v>
      </c>
      <c r="I20" s="21">
        <v>2410</v>
      </c>
      <c r="J20" s="21">
        <v>2356</v>
      </c>
      <c r="K20" s="21">
        <v>2385</v>
      </c>
      <c r="L20" s="21">
        <v>2377</v>
      </c>
      <c r="M20" s="21">
        <v>2356</v>
      </c>
      <c r="N20" s="21"/>
      <c r="O20" s="21">
        <v>2307</v>
      </c>
      <c r="P20" s="21">
        <v>2320</v>
      </c>
      <c r="Q20" s="21">
        <v>2274</v>
      </c>
      <c r="R20" s="21">
        <v>2283</v>
      </c>
      <c r="S20" s="21">
        <v>2300</v>
      </c>
      <c r="T20" s="21">
        <v>2240</v>
      </c>
      <c r="U20" s="21">
        <v>2277</v>
      </c>
      <c r="V20" s="21">
        <v>2250</v>
      </c>
      <c r="W20" s="21">
        <v>2225</v>
      </c>
      <c r="X20" s="21">
        <v>2245</v>
      </c>
      <c r="Y20" s="21">
        <v>2350</v>
      </c>
      <c r="Z20" s="21">
        <v>2331</v>
      </c>
      <c r="AA20" s="21">
        <v>2258</v>
      </c>
      <c r="AB20" s="21">
        <v>2236</v>
      </c>
      <c r="AC20" s="21">
        <v>2183</v>
      </c>
      <c r="AD20" s="21">
        <v>2197</v>
      </c>
      <c r="AE20" s="21">
        <v>2190</v>
      </c>
      <c r="AF20" s="21">
        <v>2171</v>
      </c>
      <c r="AG20" s="21">
        <v>2200</v>
      </c>
      <c r="AH20" s="21">
        <v>2204</v>
      </c>
      <c r="AI20" s="21">
        <v>2321</v>
      </c>
      <c r="AJ20" s="21">
        <v>2251</v>
      </c>
      <c r="AK20" s="21">
        <v>2275</v>
      </c>
      <c r="AL20" s="21">
        <v>2300</v>
      </c>
      <c r="AM20" s="21">
        <v>2260</v>
      </c>
      <c r="AN20" s="21">
        <v>2325</v>
      </c>
      <c r="AO20" s="21">
        <v>2250</v>
      </c>
      <c r="AP20" s="21">
        <v>2150</v>
      </c>
      <c r="AQ20" s="21">
        <v>2097</v>
      </c>
      <c r="AR20" s="21">
        <v>2147</v>
      </c>
      <c r="AS20" s="21">
        <v>2189</v>
      </c>
      <c r="AT20" s="21">
        <v>2254</v>
      </c>
      <c r="AU20" s="21">
        <v>2302</v>
      </c>
      <c r="AV20" s="21">
        <v>2250</v>
      </c>
      <c r="AW20" s="21">
        <v>2210</v>
      </c>
      <c r="AX20" s="21">
        <v>2298</v>
      </c>
      <c r="AY20" s="21">
        <v>2264</v>
      </c>
      <c r="AZ20" s="21">
        <v>2320</v>
      </c>
      <c r="BA20" s="21">
        <v>2227</v>
      </c>
      <c r="BB20" s="21">
        <v>2176</v>
      </c>
      <c r="BC20" s="21">
        <v>2142</v>
      </c>
      <c r="BD20" s="21">
        <v>2199</v>
      </c>
      <c r="BE20" s="21">
        <v>2254</v>
      </c>
      <c r="BF20" s="21">
        <v>2392</v>
      </c>
      <c r="BG20" s="21">
        <v>2400</v>
      </c>
      <c r="BH20" s="21">
        <v>2422</v>
      </c>
      <c r="BI20" s="21">
        <v>2443</v>
      </c>
      <c r="BJ20" s="21">
        <v>2665</v>
      </c>
      <c r="BK20" s="21">
        <v>2675</v>
      </c>
      <c r="BL20" s="21">
        <v>2612</v>
      </c>
      <c r="BM20" s="1">
        <v>2650</v>
      </c>
      <c r="BN20" s="1">
        <v>2540</v>
      </c>
      <c r="BO20" s="1">
        <v>2549</v>
      </c>
      <c r="BP20" s="1">
        <v>2434</v>
      </c>
      <c r="BQ20" s="1">
        <v>2409</v>
      </c>
      <c r="BR20" s="1">
        <v>2482</v>
      </c>
      <c r="BS20" s="1">
        <v>2501</v>
      </c>
      <c r="BT20" s="1">
        <v>2519</v>
      </c>
      <c r="BU20" s="1">
        <v>2564</v>
      </c>
      <c r="BV20" s="1">
        <v>2590</v>
      </c>
      <c r="BW20" s="1">
        <v>2650</v>
      </c>
      <c r="BX20" s="1">
        <v>2687</v>
      </c>
      <c r="BY20" s="1">
        <v>2699</v>
      </c>
      <c r="BZ20" s="1">
        <v>2646</v>
      </c>
    </row>
    <row r="21" spans="1:254" ht="15.9" customHeight="1">
      <c r="A21" s="78" t="s">
        <v>37</v>
      </c>
      <c r="B21" s="17" t="s">
        <v>38</v>
      </c>
      <c r="C21" s="543">
        <f>_xll.RssMarket("5332","始値")</f>
        <v>6504</v>
      </c>
      <c r="D21" s="23">
        <f t="shared" si="0"/>
        <v>0</v>
      </c>
      <c r="E21" s="550">
        <v>6504</v>
      </c>
      <c r="F21" s="21">
        <v>6352</v>
      </c>
      <c r="G21" s="21">
        <v>6300</v>
      </c>
      <c r="H21" s="21">
        <v>6300</v>
      </c>
      <c r="I21" s="21">
        <v>7084</v>
      </c>
      <c r="J21" s="21">
        <v>6607</v>
      </c>
      <c r="K21" s="21">
        <v>6868</v>
      </c>
      <c r="L21" s="21">
        <v>7233</v>
      </c>
      <c r="M21" s="21">
        <v>7430</v>
      </c>
      <c r="N21" s="21"/>
      <c r="O21" s="21">
        <v>7590</v>
      </c>
      <c r="P21" s="21">
        <v>7620</v>
      </c>
      <c r="Q21" s="21">
        <v>7451</v>
      </c>
      <c r="R21" s="21">
        <v>7686</v>
      </c>
      <c r="S21" s="21">
        <v>8080</v>
      </c>
      <c r="T21" s="21">
        <v>7827</v>
      </c>
      <c r="U21" s="21">
        <v>8123</v>
      </c>
      <c r="V21" s="21">
        <v>8205</v>
      </c>
      <c r="W21" s="21">
        <v>8050</v>
      </c>
      <c r="X21" s="21">
        <v>8200</v>
      </c>
      <c r="Y21" s="21">
        <v>8604</v>
      </c>
      <c r="Z21" s="21">
        <v>8650</v>
      </c>
      <c r="AA21" s="21">
        <v>8380</v>
      </c>
      <c r="AB21" s="21">
        <v>8410</v>
      </c>
      <c r="AC21" s="21">
        <v>8746</v>
      </c>
      <c r="AD21" s="21">
        <v>8640</v>
      </c>
      <c r="AE21" s="21">
        <v>8520</v>
      </c>
      <c r="AF21" s="21">
        <v>8718</v>
      </c>
      <c r="AG21" s="21">
        <v>8997</v>
      </c>
      <c r="AH21" s="21">
        <v>8793</v>
      </c>
      <c r="AI21" s="21">
        <v>9458</v>
      </c>
      <c r="AJ21" s="21">
        <v>8700</v>
      </c>
      <c r="AK21" s="21">
        <v>8550</v>
      </c>
      <c r="AL21" s="21">
        <v>8268</v>
      </c>
      <c r="AM21" s="21">
        <v>8102</v>
      </c>
      <c r="AN21" s="21">
        <v>8280</v>
      </c>
      <c r="AO21" s="21">
        <v>7981</v>
      </c>
      <c r="AP21" s="21">
        <v>7730</v>
      </c>
      <c r="AQ21" s="21">
        <v>7210</v>
      </c>
      <c r="AR21" s="21">
        <v>7400</v>
      </c>
      <c r="AS21" s="21">
        <v>7570</v>
      </c>
      <c r="AT21" s="21">
        <v>8050</v>
      </c>
      <c r="AU21" s="21">
        <v>8076</v>
      </c>
      <c r="AV21" s="21">
        <v>7457</v>
      </c>
      <c r="AW21" s="21">
        <v>7427</v>
      </c>
      <c r="AX21" s="21">
        <v>7443</v>
      </c>
      <c r="AY21" s="21">
        <v>7264</v>
      </c>
      <c r="AZ21" s="21">
        <v>7200</v>
      </c>
      <c r="BA21" s="21">
        <v>6899</v>
      </c>
      <c r="BB21" s="21">
        <v>6654</v>
      </c>
      <c r="BC21" s="21">
        <v>6539</v>
      </c>
      <c r="BD21" s="21">
        <v>6589</v>
      </c>
      <c r="BE21" s="21">
        <v>6892</v>
      </c>
      <c r="BF21" s="21">
        <v>7171</v>
      </c>
      <c r="BG21" s="21">
        <v>7233</v>
      </c>
      <c r="BH21" s="21">
        <v>7000</v>
      </c>
      <c r="BI21" s="21">
        <v>6888</v>
      </c>
      <c r="BJ21" s="21">
        <v>7200</v>
      </c>
      <c r="BK21" s="21">
        <v>7240</v>
      </c>
      <c r="BL21" s="21">
        <v>6752</v>
      </c>
      <c r="BM21" s="1">
        <v>6713</v>
      </c>
      <c r="BN21" s="1">
        <v>6025</v>
      </c>
      <c r="BO21" s="1">
        <v>5470</v>
      </c>
      <c r="BP21" s="1">
        <v>5400</v>
      </c>
      <c r="BQ21" s="1">
        <v>5373</v>
      </c>
      <c r="BR21" s="1">
        <v>5294</v>
      </c>
      <c r="BS21" s="1">
        <v>5185</v>
      </c>
      <c r="BT21" s="1">
        <v>5327</v>
      </c>
      <c r="BU21" s="1">
        <v>5522</v>
      </c>
      <c r="BV21" s="1">
        <v>5622</v>
      </c>
      <c r="BW21" s="1">
        <v>5580</v>
      </c>
      <c r="BX21" s="1">
        <v>5448</v>
      </c>
      <c r="BY21" s="1">
        <v>5516</v>
      </c>
      <c r="BZ21" s="1">
        <v>5481</v>
      </c>
    </row>
    <row r="22" spans="1:254" ht="15.9" customHeight="1">
      <c r="A22" s="78" t="s">
        <v>39</v>
      </c>
      <c r="B22" s="17" t="s">
        <v>40</v>
      </c>
      <c r="C22" s="543">
        <f>_xll.RssMarket("8725","始値")</f>
        <v>4788</v>
      </c>
      <c r="D22" s="23">
        <f t="shared" si="0"/>
        <v>0</v>
      </c>
      <c r="E22" s="550">
        <v>4788</v>
      </c>
      <c r="F22" s="21">
        <v>4809</v>
      </c>
      <c r="G22" s="21">
        <v>4788</v>
      </c>
      <c r="H22" s="21">
        <v>4854</v>
      </c>
      <c r="I22" s="21">
        <v>4935</v>
      </c>
      <c r="J22" s="21">
        <v>4950</v>
      </c>
      <c r="K22" s="21">
        <v>5041</v>
      </c>
      <c r="L22" s="21">
        <v>5022</v>
      </c>
      <c r="M22" s="21">
        <v>4927</v>
      </c>
      <c r="N22" s="21">
        <v>4814</v>
      </c>
      <c r="O22" s="21">
        <v>4799</v>
      </c>
      <c r="P22" s="21">
        <v>4733</v>
      </c>
      <c r="Q22" s="21">
        <v>4610</v>
      </c>
      <c r="R22" s="21">
        <v>4570</v>
      </c>
      <c r="S22" s="21">
        <v>4550</v>
      </c>
      <c r="T22" s="21">
        <v>4454</v>
      </c>
      <c r="U22" s="21">
        <v>4424</v>
      </c>
      <c r="V22" s="21">
        <v>4505</v>
      </c>
      <c r="W22" s="21">
        <v>4450</v>
      </c>
      <c r="X22" s="21">
        <v>4503</v>
      </c>
      <c r="Y22" s="21">
        <v>4554</v>
      </c>
      <c r="Z22" s="21">
        <v>4465</v>
      </c>
      <c r="AA22" s="21">
        <v>4420</v>
      </c>
      <c r="AB22" s="21">
        <v>4285</v>
      </c>
      <c r="AC22" s="21">
        <v>4230</v>
      </c>
      <c r="AD22" s="21">
        <v>4250</v>
      </c>
      <c r="AE22" s="21">
        <v>4258</v>
      </c>
      <c r="AF22" s="21">
        <v>4246</v>
      </c>
      <c r="AG22" s="21">
        <v>4310</v>
      </c>
      <c r="AH22" s="21">
        <v>4583</v>
      </c>
      <c r="AI22" s="21">
        <v>4653</v>
      </c>
      <c r="AJ22" s="21">
        <v>4521</v>
      </c>
      <c r="AK22" s="21">
        <v>4521</v>
      </c>
      <c r="AL22" s="21">
        <v>4577</v>
      </c>
      <c r="AM22" s="21">
        <v>4656</v>
      </c>
      <c r="AN22" s="21">
        <v>4603</v>
      </c>
      <c r="AO22" s="21">
        <v>4616</v>
      </c>
      <c r="AP22" s="21">
        <v>4622</v>
      </c>
      <c r="AQ22" s="21">
        <v>4578</v>
      </c>
      <c r="AR22" s="21">
        <v>4657</v>
      </c>
      <c r="AS22" s="21">
        <v>4370</v>
      </c>
      <c r="AT22" s="21">
        <v>4350</v>
      </c>
      <c r="AU22" s="21">
        <v>4273</v>
      </c>
      <c r="AV22" s="21">
        <v>4311</v>
      </c>
      <c r="AW22" s="21">
        <v>4228</v>
      </c>
      <c r="AX22" s="21">
        <v>4212</v>
      </c>
      <c r="AY22" s="21">
        <v>4222</v>
      </c>
      <c r="AZ22" s="21">
        <v>4210</v>
      </c>
      <c r="BA22" s="21">
        <v>4245</v>
      </c>
      <c r="BB22" s="21">
        <v>4299</v>
      </c>
      <c r="BC22" s="21">
        <v>4350</v>
      </c>
      <c r="BD22" s="21">
        <v>4507</v>
      </c>
      <c r="BE22" s="21">
        <v>4439</v>
      </c>
      <c r="BF22" s="21">
        <v>4449</v>
      </c>
      <c r="BG22" s="21">
        <v>4410</v>
      </c>
      <c r="BH22" s="21">
        <v>4375</v>
      </c>
      <c r="BI22" s="21">
        <v>4300</v>
      </c>
      <c r="BJ22" s="21">
        <v>4159</v>
      </c>
      <c r="BK22" s="21">
        <v>3970</v>
      </c>
      <c r="BL22" s="21">
        <v>4009</v>
      </c>
      <c r="BM22" s="1">
        <v>4039</v>
      </c>
      <c r="BN22" s="1">
        <v>3985</v>
      </c>
      <c r="BO22" s="1">
        <v>4019</v>
      </c>
      <c r="BP22" s="1">
        <v>3970</v>
      </c>
      <c r="BQ22" s="1">
        <v>3910</v>
      </c>
      <c r="BR22" s="1">
        <v>3997</v>
      </c>
      <c r="BS22" s="1">
        <v>3950</v>
      </c>
      <c r="BT22" s="1">
        <v>4029</v>
      </c>
      <c r="BU22" s="1">
        <v>4057</v>
      </c>
      <c r="BV22" s="1">
        <v>4088</v>
      </c>
      <c r="BW22" s="1">
        <v>4130</v>
      </c>
      <c r="BX22" s="1">
        <v>4090</v>
      </c>
      <c r="BY22" s="1">
        <v>4074</v>
      </c>
      <c r="BZ22" s="1">
        <v>4112</v>
      </c>
    </row>
    <row r="23" spans="1:254" ht="15.9" customHeight="1">
      <c r="A23" s="78" t="s">
        <v>41</v>
      </c>
      <c r="B23" s="17" t="s">
        <v>42</v>
      </c>
      <c r="C23" s="543">
        <f>_xll.RssMarket("8795","始値")</f>
        <v>5038</v>
      </c>
      <c r="D23" s="23">
        <f t="shared" si="0"/>
        <v>0</v>
      </c>
      <c r="E23" s="550">
        <v>5038</v>
      </c>
      <c r="F23" s="21">
        <v>5020</v>
      </c>
      <c r="G23" s="21">
        <v>4979</v>
      </c>
      <c r="H23" s="21">
        <v>5020</v>
      </c>
      <c r="I23" s="21">
        <v>5083</v>
      </c>
      <c r="J23" s="21">
        <v>4980</v>
      </c>
      <c r="K23" s="21">
        <v>4971</v>
      </c>
      <c r="L23" s="21">
        <v>5083</v>
      </c>
      <c r="M23" s="21">
        <v>5141</v>
      </c>
      <c r="N23" s="21"/>
      <c r="O23" s="21">
        <v>5039</v>
      </c>
      <c r="P23" s="21">
        <v>4967</v>
      </c>
      <c r="Q23" s="21">
        <v>4861</v>
      </c>
      <c r="R23" s="21">
        <v>4918</v>
      </c>
      <c r="S23" s="21">
        <v>5007</v>
      </c>
      <c r="T23" s="21">
        <v>4970</v>
      </c>
      <c r="U23" s="21">
        <v>4885</v>
      </c>
      <c r="V23" s="21">
        <v>5017</v>
      </c>
      <c r="W23" s="21">
        <v>4898</v>
      </c>
      <c r="X23" s="21">
        <v>4953</v>
      </c>
      <c r="Y23" s="21">
        <v>5083</v>
      </c>
      <c r="Z23" s="21">
        <v>4929</v>
      </c>
      <c r="AA23" s="21">
        <v>4974</v>
      </c>
      <c r="AB23" s="21">
        <v>4858</v>
      </c>
      <c r="AC23" s="21">
        <v>4820</v>
      </c>
      <c r="AD23" s="21">
        <v>4732</v>
      </c>
      <c r="AE23" s="21">
        <v>4704</v>
      </c>
      <c r="AF23" s="21">
        <v>4685</v>
      </c>
      <c r="AG23" s="21">
        <v>4741</v>
      </c>
      <c r="AH23" s="21">
        <v>4861</v>
      </c>
      <c r="AI23" s="21">
        <v>5000</v>
      </c>
      <c r="AJ23" s="21">
        <v>4849</v>
      </c>
      <c r="AK23" s="21">
        <v>4910</v>
      </c>
      <c r="AL23" s="21">
        <v>4816</v>
      </c>
      <c r="AM23" s="21">
        <v>4945</v>
      </c>
      <c r="AN23" s="21">
        <v>4782</v>
      </c>
      <c r="AO23" s="21">
        <v>4846</v>
      </c>
      <c r="AP23" s="21">
        <v>4703</v>
      </c>
      <c r="AQ23" s="21">
        <v>4731</v>
      </c>
      <c r="AR23" s="21">
        <v>4705</v>
      </c>
      <c r="AS23" s="21">
        <v>4435</v>
      </c>
      <c r="AT23" s="21">
        <v>4380</v>
      </c>
      <c r="AU23" s="21">
        <v>4217</v>
      </c>
      <c r="AV23" s="21">
        <v>4211</v>
      </c>
      <c r="AW23" s="21">
        <v>4170</v>
      </c>
      <c r="AX23" s="21">
        <v>4025</v>
      </c>
      <c r="AY23" s="21">
        <v>4111</v>
      </c>
      <c r="AZ23" s="21">
        <v>4125</v>
      </c>
      <c r="BA23" s="21">
        <v>4137</v>
      </c>
      <c r="BB23" s="21">
        <v>4113</v>
      </c>
      <c r="BC23" s="21">
        <v>4100</v>
      </c>
      <c r="BD23" s="21">
        <v>4208</v>
      </c>
      <c r="BE23" s="21">
        <v>4116</v>
      </c>
      <c r="BF23" s="21">
        <v>3940</v>
      </c>
      <c r="BG23" s="21">
        <v>4004</v>
      </c>
      <c r="BH23" s="21">
        <v>3982</v>
      </c>
      <c r="BI23" s="21">
        <v>3943</v>
      </c>
      <c r="BJ23" s="21">
        <v>4024</v>
      </c>
      <c r="BK23" s="21">
        <v>3878</v>
      </c>
      <c r="BL23" s="21">
        <v>3930</v>
      </c>
      <c r="BM23" s="1">
        <v>3850</v>
      </c>
      <c r="BN23" s="1">
        <v>3738</v>
      </c>
      <c r="BO23" s="1">
        <v>3759</v>
      </c>
      <c r="BP23" s="1">
        <v>3709</v>
      </c>
      <c r="BQ23" s="1">
        <v>3650</v>
      </c>
      <c r="BR23" s="1">
        <v>3727</v>
      </c>
      <c r="BS23" s="1">
        <v>3706</v>
      </c>
      <c r="BT23" s="1">
        <v>3805</v>
      </c>
      <c r="BU23" s="1">
        <v>3922</v>
      </c>
      <c r="BV23" s="1">
        <v>4034</v>
      </c>
      <c r="BW23" s="1">
        <v>4078</v>
      </c>
      <c r="BX23" s="1">
        <v>4070</v>
      </c>
      <c r="BY23" s="1">
        <v>4113</v>
      </c>
      <c r="BZ23" s="1">
        <v>4075</v>
      </c>
    </row>
    <row r="24" spans="1:254" ht="15.9" customHeight="1">
      <c r="A24" s="78" t="s">
        <v>43</v>
      </c>
      <c r="B24" s="17" t="s">
        <v>44</v>
      </c>
      <c r="C24" s="543">
        <f>_xll.RssMarket("5019","始値")</f>
        <v>1230</v>
      </c>
      <c r="D24" s="23">
        <f t="shared" si="0"/>
        <v>0</v>
      </c>
      <c r="E24" s="550">
        <v>1230</v>
      </c>
      <c r="F24" s="21">
        <v>1244.5</v>
      </c>
      <c r="G24" s="21">
        <v>1265</v>
      </c>
      <c r="H24" s="21">
        <v>1300</v>
      </c>
      <c r="I24" s="21">
        <v>1303.5</v>
      </c>
      <c r="J24" s="21">
        <v>1326</v>
      </c>
      <c r="K24" s="21">
        <v>1313</v>
      </c>
      <c r="L24" s="21">
        <v>1322</v>
      </c>
      <c r="M24" s="21">
        <v>1326</v>
      </c>
      <c r="N24" s="21">
        <v>1338.5</v>
      </c>
      <c r="O24" s="21">
        <v>1316</v>
      </c>
      <c r="P24" s="21">
        <v>1285</v>
      </c>
      <c r="Q24" s="21">
        <v>1276</v>
      </c>
      <c r="R24" s="21">
        <v>1255</v>
      </c>
      <c r="S24" s="21">
        <v>1278.5</v>
      </c>
      <c r="T24" s="21">
        <v>1256.5</v>
      </c>
      <c r="U24" s="21">
        <v>1250.5</v>
      </c>
      <c r="V24" s="21">
        <v>1254.5</v>
      </c>
      <c r="W24" s="21">
        <v>1248</v>
      </c>
      <c r="X24" s="21">
        <v>1252</v>
      </c>
      <c r="Y24" s="21">
        <v>1250</v>
      </c>
      <c r="Z24" s="21">
        <v>1220</v>
      </c>
      <c r="AA24" s="21">
        <v>1215.5</v>
      </c>
      <c r="AB24" s="21">
        <v>1194.5</v>
      </c>
      <c r="AC24" s="21">
        <v>1198.5</v>
      </c>
      <c r="AD24" s="21">
        <v>1224.5</v>
      </c>
      <c r="AE24" s="21">
        <v>1218.5</v>
      </c>
      <c r="AF24" s="21">
        <v>1224</v>
      </c>
      <c r="AG24" s="21">
        <v>1278.5</v>
      </c>
      <c r="AH24" s="21">
        <v>1249</v>
      </c>
      <c r="AI24" s="21">
        <v>1268</v>
      </c>
      <c r="AJ24" s="21">
        <v>1256</v>
      </c>
      <c r="AK24" s="21">
        <v>1237</v>
      </c>
      <c r="AL24" s="21">
        <v>1294</v>
      </c>
      <c r="AM24" s="21">
        <v>1284.5</v>
      </c>
      <c r="AN24" s="21">
        <v>1308.5</v>
      </c>
      <c r="AO24" s="21">
        <v>1329</v>
      </c>
      <c r="AP24" s="21">
        <v>1359</v>
      </c>
      <c r="AQ24" s="21">
        <v>1346</v>
      </c>
      <c r="AR24" s="21">
        <v>1327.5</v>
      </c>
      <c r="AS24" s="21">
        <v>1364.5</v>
      </c>
      <c r="AT24" s="21">
        <v>1407</v>
      </c>
      <c r="AU24" s="21">
        <v>1407.5</v>
      </c>
      <c r="AV24" s="21">
        <v>1382</v>
      </c>
      <c r="AW24" s="21">
        <v>1330</v>
      </c>
      <c r="AX24" s="21">
        <v>1298</v>
      </c>
      <c r="AY24" s="21">
        <v>1300.5</v>
      </c>
      <c r="AZ24" s="21">
        <v>1306</v>
      </c>
      <c r="BA24" s="21">
        <v>1332</v>
      </c>
      <c r="BB24" s="21">
        <v>1330.5</v>
      </c>
      <c r="BC24" s="21">
        <v>1356.5</v>
      </c>
      <c r="BD24" s="21">
        <v>1376.5</v>
      </c>
      <c r="BE24" s="21">
        <v>1388</v>
      </c>
      <c r="BF24" s="21">
        <v>1434</v>
      </c>
      <c r="BG24" s="21">
        <v>1417.5</v>
      </c>
      <c r="BH24" s="21">
        <v>1387.5</v>
      </c>
      <c r="BI24" s="21">
        <v>1320</v>
      </c>
      <c r="BJ24" s="21">
        <v>1372</v>
      </c>
      <c r="BK24" s="21">
        <v>1328.5</v>
      </c>
      <c r="BL24" s="21">
        <v>1370</v>
      </c>
      <c r="BM24" s="1">
        <v>1349</v>
      </c>
      <c r="BN24" s="1">
        <v>1348.5</v>
      </c>
      <c r="BO24" s="1">
        <v>1374</v>
      </c>
      <c r="BP24" s="1">
        <v>1332.5</v>
      </c>
      <c r="BQ24" s="1">
        <v>1322</v>
      </c>
      <c r="BR24" s="1">
        <v>1348</v>
      </c>
      <c r="BS24" s="1">
        <v>1325</v>
      </c>
      <c r="BT24" s="1">
        <v>1415</v>
      </c>
      <c r="BU24" s="1">
        <v>1447</v>
      </c>
      <c r="BV24" s="1">
        <v>1487</v>
      </c>
      <c r="BW24" s="1">
        <v>1511</v>
      </c>
      <c r="BX24" s="1">
        <v>1509</v>
      </c>
      <c r="BY24" s="1">
        <v>1524</v>
      </c>
      <c r="BZ24" s="1">
        <v>1525</v>
      </c>
    </row>
    <row r="25" spans="1:254" ht="15.9" customHeight="1">
      <c r="A25" s="78" t="s">
        <v>45</v>
      </c>
      <c r="B25" s="17" t="s">
        <v>46</v>
      </c>
      <c r="C25" s="543">
        <f>_xll.RssMarket("8053","始値")</f>
        <v>1713</v>
      </c>
      <c r="D25" s="23">
        <f t="shared" si="0"/>
        <v>0</v>
      </c>
      <c r="E25" s="550">
        <v>1713</v>
      </c>
      <c r="F25" s="21">
        <v>1660</v>
      </c>
      <c r="G25" s="21">
        <v>1642</v>
      </c>
      <c r="H25" s="21">
        <v>1640</v>
      </c>
      <c r="I25" s="21">
        <v>1625</v>
      </c>
      <c r="J25" s="21">
        <v>1594.5</v>
      </c>
      <c r="K25" s="21">
        <v>1604.5</v>
      </c>
      <c r="L25" s="21">
        <v>1602</v>
      </c>
      <c r="M25" s="21">
        <v>1615</v>
      </c>
      <c r="N25" s="21">
        <v>1613.5</v>
      </c>
      <c r="O25" s="21">
        <v>1618</v>
      </c>
      <c r="P25" s="21">
        <v>1594</v>
      </c>
      <c r="Q25" s="21">
        <v>1533.5</v>
      </c>
      <c r="R25" s="21">
        <v>1565</v>
      </c>
      <c r="S25" s="21">
        <v>1588.5</v>
      </c>
      <c r="T25" s="21">
        <v>1566</v>
      </c>
      <c r="U25" s="21">
        <v>1567</v>
      </c>
      <c r="V25" s="21">
        <v>1565.5</v>
      </c>
      <c r="W25" s="21">
        <v>1563</v>
      </c>
      <c r="X25" s="21">
        <v>1608.5</v>
      </c>
      <c r="Y25" s="21">
        <v>1601</v>
      </c>
      <c r="Z25" s="21">
        <v>1585.5</v>
      </c>
      <c r="AA25" s="21">
        <v>1595</v>
      </c>
      <c r="AB25" s="21">
        <v>1591</v>
      </c>
      <c r="AC25" s="21">
        <v>1572</v>
      </c>
      <c r="AD25" s="21">
        <v>1559.5</v>
      </c>
      <c r="AE25" s="21">
        <v>1555</v>
      </c>
      <c r="AF25" s="21">
        <v>1532.75</v>
      </c>
      <c r="AG25" s="21">
        <v>1592.5</v>
      </c>
      <c r="AH25" s="21">
        <v>1593</v>
      </c>
      <c r="AI25" s="21">
        <v>1628.5</v>
      </c>
      <c r="AJ25" s="21">
        <v>1600</v>
      </c>
      <c r="AK25" s="21">
        <v>1625.5</v>
      </c>
      <c r="AL25" s="21">
        <v>1626.5</v>
      </c>
      <c r="AM25" s="21">
        <v>1650.25</v>
      </c>
      <c r="AN25" s="21">
        <v>1632.5</v>
      </c>
      <c r="AO25" s="21">
        <v>1600</v>
      </c>
      <c r="AP25" s="21">
        <v>1571.5</v>
      </c>
      <c r="AQ25" s="21">
        <v>1559.5</v>
      </c>
      <c r="AR25" s="21">
        <v>1636.25</v>
      </c>
      <c r="AS25" s="21">
        <v>1685.5</v>
      </c>
      <c r="AT25" s="21">
        <v>1694</v>
      </c>
      <c r="AU25" s="21">
        <v>1695.5</v>
      </c>
      <c r="AV25" s="21">
        <v>1730</v>
      </c>
      <c r="AW25" s="21">
        <v>1705.25</v>
      </c>
      <c r="AX25" s="21">
        <v>1776</v>
      </c>
      <c r="AY25" s="21">
        <v>1761.25</v>
      </c>
      <c r="AZ25" s="21">
        <v>1832.5</v>
      </c>
      <c r="BA25" s="21">
        <v>1782.75</v>
      </c>
      <c r="BB25" s="21">
        <v>1767.75</v>
      </c>
      <c r="BC25" s="21">
        <v>1785.5</v>
      </c>
      <c r="BD25" s="21">
        <v>1804.25</v>
      </c>
      <c r="BE25" s="21">
        <v>1823.75</v>
      </c>
      <c r="BF25" s="21">
        <v>1877.5</v>
      </c>
      <c r="BG25" s="21">
        <v>1898.75</v>
      </c>
      <c r="BH25" s="21">
        <v>1917.75</v>
      </c>
      <c r="BI25" s="21">
        <v>1875</v>
      </c>
      <c r="BJ25" s="21">
        <v>1817.5</v>
      </c>
      <c r="BK25" s="21">
        <v>1795</v>
      </c>
      <c r="BL25" s="21">
        <v>1847.25</v>
      </c>
      <c r="BM25" s="1">
        <v>1710</v>
      </c>
      <c r="BN25" s="1">
        <v>1457.5</v>
      </c>
      <c r="BO25" s="1">
        <v>1425.5</v>
      </c>
      <c r="BP25" s="1">
        <v>1446</v>
      </c>
      <c r="BQ25" s="1">
        <v>1425.25</v>
      </c>
      <c r="BR25" s="1">
        <v>1463.5</v>
      </c>
      <c r="BS25" s="1">
        <v>1445</v>
      </c>
      <c r="BT25" s="1">
        <v>1480.25</v>
      </c>
      <c r="BU25" s="1">
        <v>1496.5</v>
      </c>
      <c r="BV25" s="1">
        <v>1519.75</v>
      </c>
      <c r="BW25" s="1">
        <v>1520.5</v>
      </c>
      <c r="BX25" s="1">
        <v>1532.25</v>
      </c>
      <c r="BY25" s="1">
        <v>1531.25</v>
      </c>
      <c r="BZ25" s="1">
        <v>1530</v>
      </c>
    </row>
    <row r="26" spans="1:254" ht="15.9" customHeight="1">
      <c r="A26" s="78" t="s">
        <v>47</v>
      </c>
      <c r="B26" s="17" t="s">
        <v>48</v>
      </c>
      <c r="C26" s="543">
        <f>_xll.RssMarket("8591","始値")</f>
        <v>6505</v>
      </c>
      <c r="D26" s="23">
        <f t="shared" si="0"/>
        <v>0</v>
      </c>
      <c r="E26" s="550">
        <v>6505</v>
      </c>
      <c r="F26" s="21">
        <v>6384</v>
      </c>
      <c r="G26" s="21">
        <v>6333</v>
      </c>
      <c r="H26" s="21">
        <v>6350</v>
      </c>
      <c r="I26" s="21">
        <v>6300</v>
      </c>
      <c r="J26" s="21">
        <v>6381</v>
      </c>
      <c r="K26" s="21">
        <v>6398</v>
      </c>
      <c r="L26" s="21">
        <v>6674</v>
      </c>
      <c r="M26" s="21">
        <v>6590</v>
      </c>
      <c r="N26" s="21">
        <v>6529</v>
      </c>
      <c r="O26" s="21">
        <v>6590</v>
      </c>
      <c r="P26" s="21">
        <v>6529</v>
      </c>
      <c r="Q26" s="21">
        <v>6241</v>
      </c>
      <c r="R26" s="21">
        <v>6423</v>
      </c>
      <c r="S26" s="21">
        <v>6555</v>
      </c>
      <c r="T26" s="21">
        <v>6387</v>
      </c>
      <c r="U26" s="21">
        <v>6509</v>
      </c>
      <c r="V26" s="21">
        <v>6500</v>
      </c>
      <c r="W26" s="21">
        <v>6346</v>
      </c>
      <c r="X26" s="21">
        <v>6365</v>
      </c>
      <c r="Y26" s="21">
        <v>6460</v>
      </c>
      <c r="Z26" s="21">
        <v>6358</v>
      </c>
      <c r="AA26" s="21">
        <v>6300</v>
      </c>
      <c r="AB26" s="21">
        <v>6229</v>
      </c>
      <c r="AC26" s="21">
        <v>6211</v>
      </c>
      <c r="AD26" s="21">
        <v>6163</v>
      </c>
      <c r="AE26" s="21">
        <v>6194</v>
      </c>
      <c r="AF26" s="21">
        <v>6202</v>
      </c>
      <c r="AG26" s="21">
        <v>6307</v>
      </c>
      <c r="AH26" s="21">
        <v>6306</v>
      </c>
      <c r="AI26" s="21">
        <v>6485</v>
      </c>
      <c r="AJ26" s="21">
        <v>6341</v>
      </c>
      <c r="AK26" s="21">
        <v>6420</v>
      </c>
      <c r="AL26" s="21">
        <v>6412</v>
      </c>
      <c r="AM26" s="21">
        <v>6403</v>
      </c>
      <c r="AN26" s="21">
        <v>6204</v>
      </c>
      <c r="AO26" s="21">
        <v>6236</v>
      </c>
      <c r="AP26" s="21">
        <v>6150</v>
      </c>
      <c r="AQ26" s="21">
        <v>5971</v>
      </c>
      <c r="AR26" s="21">
        <v>6300</v>
      </c>
      <c r="AS26" s="21">
        <v>6032</v>
      </c>
      <c r="AT26" s="21">
        <v>6282</v>
      </c>
      <c r="AU26" s="21">
        <v>6290</v>
      </c>
      <c r="AV26" s="21">
        <v>6242</v>
      </c>
      <c r="AW26" s="21">
        <v>6110</v>
      </c>
      <c r="AX26" s="21">
        <v>6088</v>
      </c>
      <c r="AY26" s="21">
        <v>6140</v>
      </c>
      <c r="AZ26" s="21">
        <v>6335</v>
      </c>
      <c r="BA26" s="21">
        <v>6220</v>
      </c>
      <c r="BB26" s="21">
        <v>6227</v>
      </c>
      <c r="BC26" s="21">
        <v>6220</v>
      </c>
      <c r="BD26" s="21">
        <v>6010</v>
      </c>
      <c r="BE26" s="21">
        <v>5818</v>
      </c>
      <c r="BF26" s="21">
        <v>5831</v>
      </c>
      <c r="BG26" s="21">
        <v>5750</v>
      </c>
      <c r="BH26" s="21">
        <v>5951</v>
      </c>
      <c r="BI26" s="21">
        <v>5886</v>
      </c>
      <c r="BJ26" s="21">
        <v>5927</v>
      </c>
      <c r="BK26" s="21">
        <v>5350</v>
      </c>
      <c r="BL26" s="21">
        <v>5275</v>
      </c>
      <c r="BM26" s="1">
        <v>5252</v>
      </c>
      <c r="BN26" s="1">
        <v>5205</v>
      </c>
      <c r="BO26" s="1">
        <v>5190</v>
      </c>
      <c r="BP26" s="1">
        <v>5358</v>
      </c>
      <c r="BQ26" s="1">
        <v>4810</v>
      </c>
      <c r="BR26" s="1">
        <v>4878</v>
      </c>
      <c r="BS26" s="1">
        <v>4881</v>
      </c>
      <c r="BT26" s="1">
        <v>4969</v>
      </c>
      <c r="BU26" s="1">
        <v>5048</v>
      </c>
      <c r="BV26" s="1">
        <v>5022</v>
      </c>
      <c r="BW26" s="1">
        <v>5040</v>
      </c>
      <c r="BX26" s="1">
        <v>5090</v>
      </c>
      <c r="BY26" s="1">
        <v>5046</v>
      </c>
      <c r="BZ26" s="1">
        <v>4919</v>
      </c>
    </row>
    <row r="27" spans="1:254" ht="15.9" customHeight="1">
      <c r="A27" s="78" t="s">
        <v>49</v>
      </c>
      <c r="B27" s="17" t="s">
        <v>50</v>
      </c>
      <c r="C27" s="543">
        <f>_xll.RssMarket("3401","始値")</f>
        <v>1638</v>
      </c>
      <c r="D27" s="23">
        <f t="shared" si="0"/>
        <v>0</v>
      </c>
      <c r="E27" s="550">
        <v>1638</v>
      </c>
      <c r="F27" s="21">
        <v>1628.5</v>
      </c>
      <c r="G27" s="21">
        <v>1601.5</v>
      </c>
      <c r="H27" s="21">
        <v>1618</v>
      </c>
      <c r="I27" s="21">
        <v>1658.5</v>
      </c>
      <c r="J27" s="21">
        <v>1676</v>
      </c>
      <c r="K27" s="21">
        <v>1701</v>
      </c>
      <c r="L27" s="21">
        <v>1725</v>
      </c>
      <c r="M27" s="21">
        <v>1710</v>
      </c>
      <c r="N27" s="21">
        <v>1698</v>
      </c>
      <c r="O27" s="21">
        <v>1715</v>
      </c>
      <c r="P27" s="21">
        <v>1709.5</v>
      </c>
      <c r="Q27" s="21">
        <v>1718</v>
      </c>
      <c r="R27" s="21">
        <v>1741</v>
      </c>
      <c r="S27" s="21">
        <v>1693</v>
      </c>
      <c r="T27" s="21">
        <v>1663.5</v>
      </c>
      <c r="U27" s="21">
        <v>1680</v>
      </c>
      <c r="V27" s="21">
        <v>1685</v>
      </c>
      <c r="W27" s="21">
        <v>1730</v>
      </c>
      <c r="X27" s="21">
        <v>1735</v>
      </c>
      <c r="Y27" s="21">
        <v>1748</v>
      </c>
      <c r="Z27" s="21">
        <v>1720.5</v>
      </c>
      <c r="AA27" s="21">
        <v>1668</v>
      </c>
      <c r="AB27" s="21">
        <v>1643</v>
      </c>
      <c r="AC27" s="21">
        <v>1630</v>
      </c>
      <c r="AD27" s="21">
        <v>1640.5</v>
      </c>
      <c r="AE27" s="21">
        <v>1650</v>
      </c>
      <c r="AF27" s="21">
        <v>1630</v>
      </c>
      <c r="AG27" s="21">
        <v>1623.5</v>
      </c>
      <c r="AH27" s="21">
        <v>1591</v>
      </c>
      <c r="AI27" s="21">
        <v>1619</v>
      </c>
      <c r="AJ27" s="21">
        <v>1597.5</v>
      </c>
      <c r="AK27" s="21">
        <v>1643.5</v>
      </c>
      <c r="AL27" s="21">
        <v>1622</v>
      </c>
      <c r="AM27" s="21">
        <v>1648.5</v>
      </c>
      <c r="AN27" s="21">
        <v>1635</v>
      </c>
      <c r="AO27" s="21">
        <v>1681.5</v>
      </c>
      <c r="AP27" s="21">
        <v>1647.5</v>
      </c>
      <c r="AQ27" s="21">
        <v>1614</v>
      </c>
      <c r="AR27" s="21">
        <v>1630</v>
      </c>
      <c r="AS27" s="21">
        <v>1583</v>
      </c>
      <c r="AT27" s="21">
        <v>1624.5</v>
      </c>
      <c r="AU27" s="21">
        <v>1635</v>
      </c>
      <c r="AV27" s="21">
        <v>1630</v>
      </c>
      <c r="AW27" s="21">
        <v>1598</v>
      </c>
      <c r="AX27" s="21">
        <v>1612</v>
      </c>
      <c r="AY27" s="21">
        <v>1613</v>
      </c>
      <c r="AZ27" s="21">
        <v>1635</v>
      </c>
      <c r="BA27" s="21">
        <v>1608</v>
      </c>
      <c r="BB27" s="21">
        <v>1605</v>
      </c>
      <c r="BC27" s="21">
        <v>1629</v>
      </c>
      <c r="BD27" s="21">
        <v>1632</v>
      </c>
      <c r="BE27" s="21">
        <v>1635</v>
      </c>
      <c r="BF27" s="21">
        <v>1677.5</v>
      </c>
      <c r="BG27" s="21">
        <v>1705.5</v>
      </c>
      <c r="BH27" s="21">
        <v>1747</v>
      </c>
      <c r="BI27" s="21">
        <v>1671.5</v>
      </c>
      <c r="BJ27" s="21">
        <v>1620</v>
      </c>
      <c r="BK27" s="21">
        <v>1587.5</v>
      </c>
      <c r="BL27" s="21">
        <v>1608</v>
      </c>
      <c r="BM27" s="1">
        <v>1592</v>
      </c>
      <c r="BN27" s="1">
        <v>1566.5</v>
      </c>
      <c r="BO27" s="1">
        <v>1555</v>
      </c>
      <c r="BP27" s="1">
        <v>1560</v>
      </c>
      <c r="BQ27" s="1">
        <v>1537</v>
      </c>
      <c r="BR27" s="1">
        <v>1544</v>
      </c>
      <c r="BS27" s="1">
        <v>1567.5</v>
      </c>
      <c r="BT27" s="1">
        <v>1615.5</v>
      </c>
      <c r="BU27" s="1">
        <v>1643.5</v>
      </c>
      <c r="BV27" s="1">
        <v>1646.5</v>
      </c>
      <c r="BW27" s="1">
        <v>1649</v>
      </c>
      <c r="BX27" s="1">
        <v>1631.5</v>
      </c>
      <c r="BY27" s="1">
        <v>1653.5</v>
      </c>
      <c r="BZ27" s="1">
        <v>1708</v>
      </c>
    </row>
    <row r="28" spans="1:254" ht="15.9" customHeight="1">
      <c r="A28" s="78" t="s">
        <v>51</v>
      </c>
      <c r="B28" s="17" t="s">
        <v>52</v>
      </c>
      <c r="C28" s="543">
        <f>_xll.RssMarket("3436","始値")</f>
        <v>3650</v>
      </c>
      <c r="D28" s="23">
        <f t="shared" si="0"/>
        <v>0</v>
      </c>
      <c r="E28" s="550">
        <v>3650</v>
      </c>
      <c r="F28" s="21">
        <v>3777</v>
      </c>
      <c r="G28" s="21">
        <v>6333</v>
      </c>
      <c r="H28" s="21">
        <v>6350</v>
      </c>
      <c r="I28" s="21">
        <v>6300</v>
      </c>
      <c r="J28" s="21">
        <v>6381</v>
      </c>
      <c r="K28" s="21">
        <v>6398</v>
      </c>
      <c r="L28" s="21">
        <v>6674</v>
      </c>
      <c r="M28" s="21">
        <v>6590</v>
      </c>
      <c r="N28" s="21">
        <v>3674</v>
      </c>
      <c r="O28" s="21">
        <v>6590</v>
      </c>
      <c r="P28" s="21">
        <v>6529</v>
      </c>
      <c r="Q28" s="21">
        <v>6241</v>
      </c>
      <c r="R28" s="21">
        <v>6423</v>
      </c>
      <c r="S28" s="21">
        <v>6555</v>
      </c>
      <c r="T28" s="21">
        <v>6387</v>
      </c>
      <c r="U28" s="21">
        <v>6509</v>
      </c>
      <c r="V28" s="21">
        <v>6500</v>
      </c>
      <c r="W28" s="21">
        <v>6346</v>
      </c>
      <c r="X28" s="21">
        <v>6365</v>
      </c>
      <c r="Y28" s="21">
        <v>6460</v>
      </c>
      <c r="Z28" s="21">
        <v>6358</v>
      </c>
      <c r="AA28" s="21">
        <v>6300</v>
      </c>
      <c r="AB28" s="21">
        <v>6229</v>
      </c>
      <c r="AC28" s="21">
        <v>6211</v>
      </c>
      <c r="AD28" s="21">
        <v>6163</v>
      </c>
      <c r="AE28" s="21">
        <v>6194</v>
      </c>
      <c r="AF28" s="21">
        <v>6202</v>
      </c>
      <c r="AG28" s="21">
        <v>6307</v>
      </c>
      <c r="AH28" s="21">
        <v>6306</v>
      </c>
      <c r="AI28" s="21">
        <v>6485</v>
      </c>
      <c r="AJ28" s="21">
        <v>6341</v>
      </c>
      <c r="AK28" s="21">
        <v>6420</v>
      </c>
      <c r="AL28" s="21">
        <v>6412</v>
      </c>
      <c r="AM28" s="21">
        <v>6403</v>
      </c>
      <c r="AN28" s="21">
        <v>6204</v>
      </c>
      <c r="AO28" s="21">
        <v>6236</v>
      </c>
      <c r="AP28" s="21">
        <v>6150</v>
      </c>
      <c r="AQ28" s="21">
        <v>5971</v>
      </c>
      <c r="AR28" s="21">
        <v>6300</v>
      </c>
      <c r="AS28" s="21">
        <v>6032</v>
      </c>
      <c r="AT28" s="21">
        <v>6282</v>
      </c>
      <c r="AU28" s="21">
        <v>6290</v>
      </c>
      <c r="AV28" s="21">
        <v>6242</v>
      </c>
      <c r="AW28" s="21">
        <v>6110</v>
      </c>
      <c r="AX28" s="21">
        <v>6088</v>
      </c>
      <c r="AY28" s="21">
        <v>6140</v>
      </c>
      <c r="AZ28" s="21">
        <v>6335</v>
      </c>
      <c r="BA28" s="21">
        <v>6220</v>
      </c>
      <c r="BB28" s="21">
        <v>6227</v>
      </c>
      <c r="BC28" s="21">
        <v>6220</v>
      </c>
      <c r="BD28" s="21">
        <v>6010</v>
      </c>
      <c r="BE28" s="21">
        <v>5818</v>
      </c>
      <c r="BF28" s="21">
        <v>5831</v>
      </c>
      <c r="BG28" s="21">
        <v>5750</v>
      </c>
      <c r="BH28" s="21">
        <v>5951</v>
      </c>
      <c r="BI28" s="21">
        <v>5886</v>
      </c>
      <c r="BJ28" s="21">
        <v>5927</v>
      </c>
      <c r="BK28" s="21">
        <v>5350</v>
      </c>
      <c r="BL28" s="21">
        <v>5275</v>
      </c>
      <c r="BM28" s="1">
        <v>5252</v>
      </c>
      <c r="BN28" s="1">
        <v>5205</v>
      </c>
      <c r="BO28" s="1">
        <v>5190</v>
      </c>
      <c r="BP28" s="1">
        <v>5358</v>
      </c>
      <c r="BQ28" s="1">
        <v>4810</v>
      </c>
      <c r="BR28" s="1">
        <v>4878</v>
      </c>
      <c r="BS28" s="1">
        <v>4881</v>
      </c>
      <c r="BT28" s="1">
        <v>4969</v>
      </c>
      <c r="BU28" s="1">
        <v>5048</v>
      </c>
      <c r="BV28" s="1">
        <v>5022</v>
      </c>
      <c r="BW28" s="1">
        <v>5040</v>
      </c>
      <c r="BX28" s="1">
        <v>5090</v>
      </c>
      <c r="BY28" s="1">
        <v>5046</v>
      </c>
      <c r="BZ28" s="1">
        <v>4919</v>
      </c>
    </row>
    <row r="29" spans="1:254" ht="15.9" customHeight="1">
      <c r="A29" s="78" t="s">
        <v>53</v>
      </c>
      <c r="B29" s="17" t="s">
        <v>54</v>
      </c>
      <c r="C29" s="543">
        <f>_xll.RssMarket("5020","始値")</f>
        <v>1272</v>
      </c>
      <c r="D29" s="23">
        <f t="shared" si="0"/>
        <v>0</v>
      </c>
      <c r="E29" s="550">
        <v>1272</v>
      </c>
      <c r="F29" s="21">
        <v>1279</v>
      </c>
      <c r="G29" s="21">
        <v>1294</v>
      </c>
      <c r="H29" s="21">
        <v>1311</v>
      </c>
      <c r="I29" s="21">
        <v>1307.5</v>
      </c>
      <c r="J29" s="21">
        <v>1310</v>
      </c>
      <c r="K29" s="21">
        <v>1296.5</v>
      </c>
      <c r="L29" s="21">
        <v>1325.5</v>
      </c>
      <c r="M29" s="21">
        <v>1314</v>
      </c>
      <c r="N29" s="21">
        <v>1330</v>
      </c>
      <c r="O29" s="21">
        <v>1316.5</v>
      </c>
      <c r="P29" s="21">
        <v>1293.5</v>
      </c>
      <c r="Q29" s="21">
        <v>1291</v>
      </c>
      <c r="R29" s="21">
        <v>1264</v>
      </c>
      <c r="S29" s="21">
        <v>1294.5</v>
      </c>
      <c r="T29" s="21">
        <v>1258</v>
      </c>
      <c r="U29" s="21">
        <v>1260</v>
      </c>
      <c r="V29" s="21">
        <v>1256</v>
      </c>
      <c r="W29" s="21">
        <v>1258</v>
      </c>
      <c r="X29" s="21">
        <v>1248</v>
      </c>
      <c r="Y29" s="21">
        <v>1277</v>
      </c>
      <c r="Z29" s="21">
        <v>1231.5</v>
      </c>
      <c r="AA29" s="21">
        <v>1230</v>
      </c>
      <c r="AB29" s="21">
        <v>1203</v>
      </c>
      <c r="AC29" s="21">
        <v>1206</v>
      </c>
      <c r="AD29" s="21">
        <v>1208</v>
      </c>
      <c r="AE29" s="21">
        <v>1211</v>
      </c>
      <c r="AF29" s="21">
        <v>1192.5</v>
      </c>
      <c r="AG29" s="21">
        <v>1253</v>
      </c>
      <c r="AH29" s="21">
        <v>1223</v>
      </c>
      <c r="AI29" s="21">
        <v>1260</v>
      </c>
      <c r="AJ29" s="21">
        <v>1253</v>
      </c>
      <c r="AK29" s="21">
        <v>1204</v>
      </c>
      <c r="AL29" s="21">
        <v>1246.5</v>
      </c>
      <c r="AM29" s="21">
        <v>1240</v>
      </c>
      <c r="AN29" s="21">
        <v>1225</v>
      </c>
      <c r="AO29" s="21">
        <v>1244</v>
      </c>
      <c r="AP29" s="21">
        <v>1229.5</v>
      </c>
      <c r="AQ29" s="21">
        <v>1208.5</v>
      </c>
      <c r="AR29" s="21">
        <v>1214.5</v>
      </c>
      <c r="AS29" s="21">
        <v>1254.5</v>
      </c>
      <c r="AT29" s="21">
        <v>1299</v>
      </c>
      <c r="AU29" s="21">
        <v>1314.5</v>
      </c>
      <c r="AV29" s="21">
        <v>1315</v>
      </c>
      <c r="AW29" s="21">
        <v>1252</v>
      </c>
      <c r="AX29" s="21">
        <v>1288.5</v>
      </c>
      <c r="AY29" s="21">
        <v>1281</v>
      </c>
      <c r="AZ29" s="21">
        <v>1292</v>
      </c>
      <c r="BA29" s="21">
        <v>1296.5</v>
      </c>
      <c r="BB29" s="21">
        <v>1303</v>
      </c>
      <c r="BC29" s="21">
        <v>1313</v>
      </c>
      <c r="BD29" s="21">
        <v>1361</v>
      </c>
      <c r="BE29" s="21">
        <v>1370</v>
      </c>
      <c r="BF29" s="21">
        <v>1381</v>
      </c>
      <c r="BG29" s="21">
        <v>1369</v>
      </c>
      <c r="BH29" s="21">
        <v>1341</v>
      </c>
      <c r="BI29" s="21">
        <v>1343</v>
      </c>
      <c r="BJ29" s="21">
        <v>1357</v>
      </c>
      <c r="BK29" s="21">
        <v>1281</v>
      </c>
      <c r="BL29" s="21">
        <v>1293.5</v>
      </c>
      <c r="BM29" s="1">
        <v>1333</v>
      </c>
      <c r="BN29" s="1">
        <v>1306.5</v>
      </c>
      <c r="BO29" s="1">
        <v>1320</v>
      </c>
      <c r="BP29" s="1">
        <v>1302</v>
      </c>
      <c r="BQ29" s="1">
        <v>1286</v>
      </c>
      <c r="BR29" s="1">
        <v>1317</v>
      </c>
      <c r="BS29" s="1">
        <v>1310</v>
      </c>
      <c r="BT29" s="1">
        <v>1320</v>
      </c>
      <c r="BU29" s="1">
        <v>1344</v>
      </c>
      <c r="BV29" s="1">
        <v>1372</v>
      </c>
      <c r="BW29" s="1">
        <v>1410.5</v>
      </c>
      <c r="BX29" s="1">
        <v>1414</v>
      </c>
      <c r="BY29" s="1">
        <v>1429.5</v>
      </c>
      <c r="BZ29" s="1">
        <v>1419.5</v>
      </c>
    </row>
    <row r="30" spans="1:254" ht="15.9" customHeight="1">
      <c r="A30" s="78" t="s">
        <v>55</v>
      </c>
      <c r="B30" s="17" t="s">
        <v>56</v>
      </c>
      <c r="C30" s="543">
        <f>_xll.RssMarket("6254","始値")</f>
        <v>4535</v>
      </c>
      <c r="D30" s="23">
        <f t="shared" si="0"/>
        <v>0</v>
      </c>
      <c r="E30" s="550">
        <v>4535</v>
      </c>
      <c r="F30" s="21">
        <v>4280</v>
      </c>
      <c r="G30" s="21">
        <v>3955</v>
      </c>
      <c r="H30" s="21">
        <v>3975</v>
      </c>
      <c r="I30" s="21">
        <v>3900</v>
      </c>
      <c r="J30" s="21">
        <v>3420</v>
      </c>
      <c r="K30" s="21">
        <v>3685</v>
      </c>
      <c r="L30" s="21">
        <v>4075</v>
      </c>
      <c r="M30" s="21">
        <v>4245</v>
      </c>
      <c r="N30" s="21">
        <v>4275</v>
      </c>
      <c r="O30" s="21">
        <v>4240</v>
      </c>
      <c r="P30" s="21">
        <v>4250</v>
      </c>
      <c r="Q30" s="21">
        <v>3885</v>
      </c>
      <c r="R30" s="21">
        <v>4110</v>
      </c>
      <c r="S30" s="21">
        <v>4400</v>
      </c>
      <c r="T30" s="21">
        <v>4255</v>
      </c>
      <c r="U30" s="21">
        <v>4565</v>
      </c>
      <c r="V30" s="21">
        <v>4515</v>
      </c>
      <c r="W30" s="21">
        <v>4290</v>
      </c>
      <c r="X30" s="21">
        <v>4320</v>
      </c>
      <c r="Y30" s="21">
        <v>4560</v>
      </c>
      <c r="Z30" s="21">
        <v>4980</v>
      </c>
      <c r="AA30" s="21">
        <v>4680</v>
      </c>
      <c r="AB30" s="21">
        <v>4920</v>
      </c>
      <c r="AC30" s="21">
        <v>5060</v>
      </c>
      <c r="AD30" s="21">
        <v>5010</v>
      </c>
      <c r="AE30" s="21">
        <v>4715</v>
      </c>
      <c r="AF30" s="21">
        <v>4810</v>
      </c>
      <c r="AG30" s="21">
        <v>4950</v>
      </c>
      <c r="AH30" s="21">
        <v>5000</v>
      </c>
      <c r="AI30" s="21">
        <v>5450</v>
      </c>
      <c r="AJ30" s="21">
        <v>4840</v>
      </c>
      <c r="AK30" s="21">
        <v>5200</v>
      </c>
      <c r="AL30" s="21">
        <v>4970</v>
      </c>
      <c r="AM30" s="21">
        <v>4500</v>
      </c>
      <c r="AN30" s="21">
        <v>4615</v>
      </c>
      <c r="AO30" s="21">
        <v>4590</v>
      </c>
      <c r="AP30" s="21">
        <v>4090</v>
      </c>
      <c r="AQ30" s="21">
        <v>3800</v>
      </c>
      <c r="AR30" s="21">
        <v>4065</v>
      </c>
      <c r="AS30" s="21">
        <v>3980</v>
      </c>
      <c r="AT30" s="21">
        <v>4385</v>
      </c>
      <c r="AU30" s="21">
        <v>4315</v>
      </c>
      <c r="AV30" s="21">
        <v>4400</v>
      </c>
      <c r="AW30" s="21">
        <v>4545</v>
      </c>
      <c r="AX30" s="21">
        <v>4850</v>
      </c>
      <c r="AY30" s="21">
        <v>4585</v>
      </c>
      <c r="AZ30" s="21">
        <v>5150</v>
      </c>
      <c r="BA30" s="21">
        <v>5200</v>
      </c>
      <c r="BB30" s="21">
        <v>4725</v>
      </c>
      <c r="BC30" s="21">
        <v>4600</v>
      </c>
      <c r="BD30" s="21">
        <v>4605</v>
      </c>
      <c r="BE30" s="21">
        <v>4845</v>
      </c>
      <c r="BF30" s="21">
        <v>5110</v>
      </c>
      <c r="BG30" s="21">
        <v>4845</v>
      </c>
      <c r="BH30" s="21">
        <v>4400</v>
      </c>
      <c r="BI30" s="21">
        <v>4420</v>
      </c>
      <c r="BJ30" s="21">
        <v>4650</v>
      </c>
      <c r="BK30" s="21">
        <v>4550</v>
      </c>
      <c r="BL30" s="21">
        <v>4010</v>
      </c>
      <c r="BM30" s="1">
        <v>3900</v>
      </c>
      <c r="BN30" s="1">
        <v>3665</v>
      </c>
      <c r="BO30" s="1">
        <v>3715</v>
      </c>
      <c r="BP30" s="1">
        <v>3705</v>
      </c>
      <c r="BQ30" s="1">
        <v>3660</v>
      </c>
      <c r="BR30" s="1">
        <v>3720</v>
      </c>
      <c r="BS30" s="1">
        <v>3750</v>
      </c>
      <c r="BT30" s="1">
        <v>3820</v>
      </c>
      <c r="BU30" s="1">
        <v>3810</v>
      </c>
      <c r="BV30" s="1">
        <v>3785</v>
      </c>
      <c r="BW30" s="1">
        <v>3735</v>
      </c>
      <c r="BX30" s="1">
        <v>3660</v>
      </c>
      <c r="BY30" s="1">
        <v>3670</v>
      </c>
      <c r="BZ30" s="1">
        <v>3630</v>
      </c>
    </row>
    <row r="31" spans="1:254" ht="15.9" customHeight="1">
      <c r="A31" s="78" t="s">
        <v>57</v>
      </c>
      <c r="B31" s="17" t="s">
        <v>58</v>
      </c>
      <c r="C31" s="543">
        <f>_xll.RssMarket("8309","始値")</f>
        <v>1646</v>
      </c>
      <c r="D31" s="23">
        <f t="shared" si="0"/>
        <v>0</v>
      </c>
      <c r="E31" s="550">
        <v>1646</v>
      </c>
      <c r="F31" s="21">
        <v>1642</v>
      </c>
      <c r="G31" s="21">
        <v>1666.5</v>
      </c>
      <c r="H31" s="21">
        <v>1625</v>
      </c>
      <c r="I31" s="21">
        <v>1650</v>
      </c>
      <c r="J31" s="21">
        <v>1694</v>
      </c>
      <c r="K31" s="21">
        <v>1682.25</v>
      </c>
      <c r="L31" s="21">
        <v>1739.5</v>
      </c>
      <c r="M31" s="21">
        <v>1694.75</v>
      </c>
      <c r="N31" s="21">
        <v>1686.25</v>
      </c>
      <c r="O31" s="21">
        <v>1686</v>
      </c>
      <c r="P31" s="21">
        <v>1683.25</v>
      </c>
      <c r="Q31" s="21">
        <v>1631.25</v>
      </c>
      <c r="R31" s="21">
        <v>1670</v>
      </c>
      <c r="S31" s="21">
        <v>1690.75</v>
      </c>
      <c r="T31" s="21">
        <v>1662.75</v>
      </c>
      <c r="U31" s="21">
        <v>1645</v>
      </c>
      <c r="V31" s="21">
        <v>1660.25</v>
      </c>
      <c r="W31" s="21">
        <v>1634.75</v>
      </c>
      <c r="X31" s="21">
        <v>1636</v>
      </c>
      <c r="Y31" s="21">
        <v>1645.25</v>
      </c>
      <c r="Z31" s="21">
        <v>1595</v>
      </c>
      <c r="AA31" s="21">
        <v>1581.75</v>
      </c>
      <c r="AB31" s="21">
        <v>1555</v>
      </c>
      <c r="AC31" s="21">
        <v>1517.75</v>
      </c>
      <c r="AD31" s="21">
        <v>1514</v>
      </c>
      <c r="AE31" s="21">
        <v>1504.75</v>
      </c>
      <c r="AF31" s="21">
        <v>1493.75</v>
      </c>
      <c r="AG31" s="21">
        <v>1497.25</v>
      </c>
      <c r="AH31" s="21">
        <v>1521.5</v>
      </c>
      <c r="AI31" s="21">
        <v>1541.25</v>
      </c>
      <c r="AJ31" s="21">
        <v>1498</v>
      </c>
      <c r="AK31" s="21">
        <v>1533.25</v>
      </c>
      <c r="AL31" s="21">
        <v>1521.75</v>
      </c>
      <c r="AM31" s="21">
        <v>1509.75</v>
      </c>
      <c r="AN31" s="21">
        <v>1492.75</v>
      </c>
      <c r="AO31" s="21">
        <v>1515.25</v>
      </c>
      <c r="AP31" s="21">
        <v>1496</v>
      </c>
      <c r="AQ31" s="21">
        <v>1474.25</v>
      </c>
      <c r="AR31" s="21">
        <v>1486.75</v>
      </c>
      <c r="AS31" s="21">
        <v>1433.75</v>
      </c>
      <c r="AT31" s="21">
        <v>1473.25</v>
      </c>
      <c r="AU31" s="21">
        <v>1429.75</v>
      </c>
      <c r="AV31" s="21">
        <v>1394.75</v>
      </c>
      <c r="AW31" s="21">
        <v>1353.5</v>
      </c>
      <c r="AX31" s="21">
        <v>1390.5</v>
      </c>
      <c r="AY31" s="21">
        <v>1396.25</v>
      </c>
      <c r="AZ31" s="21">
        <v>1405</v>
      </c>
      <c r="BA31" s="21">
        <v>1401.75</v>
      </c>
      <c r="BB31" s="21">
        <v>1422.75</v>
      </c>
      <c r="BC31" s="21">
        <v>1435</v>
      </c>
      <c r="BD31" s="21">
        <v>1450</v>
      </c>
      <c r="BE31" s="21">
        <v>1391</v>
      </c>
      <c r="BF31" s="21">
        <v>1403.5</v>
      </c>
      <c r="BG31" s="21">
        <v>1401.25</v>
      </c>
      <c r="BH31" s="21">
        <v>1412.5</v>
      </c>
      <c r="BI31" s="21">
        <v>1390.25</v>
      </c>
      <c r="BJ31" s="21">
        <v>1385</v>
      </c>
      <c r="BK31" s="21">
        <v>1352.5</v>
      </c>
      <c r="BL31" s="21">
        <v>1370</v>
      </c>
      <c r="BM31" s="1">
        <v>1350.25</v>
      </c>
      <c r="BN31" s="1">
        <v>1319.5</v>
      </c>
      <c r="BO31" s="1">
        <v>1310</v>
      </c>
      <c r="BP31" s="1">
        <v>1291</v>
      </c>
      <c r="BQ31" s="1">
        <v>1259</v>
      </c>
      <c r="BR31" s="1">
        <v>1286.75</v>
      </c>
      <c r="BS31" s="1">
        <v>1279.25</v>
      </c>
      <c r="BT31" s="1">
        <v>1295</v>
      </c>
      <c r="BU31" s="1">
        <v>1321.25</v>
      </c>
      <c r="BV31" s="1">
        <v>1354</v>
      </c>
      <c r="BW31" s="1">
        <v>1366.25</v>
      </c>
      <c r="BX31" s="1">
        <v>1375</v>
      </c>
      <c r="BY31" s="1">
        <v>1360</v>
      </c>
      <c r="BZ31" s="1">
        <v>1351.75</v>
      </c>
    </row>
    <row r="32" spans="1:254" ht="15.9" customHeight="1">
      <c r="A32" s="78" t="s">
        <v>59</v>
      </c>
      <c r="B32" s="17" t="s">
        <v>60</v>
      </c>
      <c r="C32" s="543">
        <f>_xll.RssMarket("3863","始値")</f>
        <v>1281</v>
      </c>
      <c r="D32" s="23">
        <f t="shared" si="0"/>
        <v>0</v>
      </c>
      <c r="E32" s="550">
        <v>1281</v>
      </c>
      <c r="F32" s="21">
        <v>1325</v>
      </c>
      <c r="G32" s="21">
        <v>1345</v>
      </c>
      <c r="H32" s="21">
        <v>1346</v>
      </c>
      <c r="I32" s="21">
        <v>1446</v>
      </c>
      <c r="J32" s="21">
        <v>1470</v>
      </c>
      <c r="K32" s="21">
        <v>1490</v>
      </c>
      <c r="L32" s="21">
        <v>1513</v>
      </c>
      <c r="M32" s="21">
        <v>1520</v>
      </c>
      <c r="N32" s="21">
        <v>1575</v>
      </c>
      <c r="O32" s="21">
        <v>1513</v>
      </c>
      <c r="P32" s="21">
        <v>1518</v>
      </c>
      <c r="Q32" s="21">
        <v>1470</v>
      </c>
      <c r="R32" s="21">
        <v>1454</v>
      </c>
      <c r="S32" s="21">
        <v>1378</v>
      </c>
      <c r="T32" s="21">
        <v>1356</v>
      </c>
      <c r="U32" s="21">
        <v>1324</v>
      </c>
      <c r="V32" s="21">
        <v>1314</v>
      </c>
      <c r="W32" s="21">
        <v>1344</v>
      </c>
      <c r="X32" s="21">
        <v>1340</v>
      </c>
      <c r="Y32" s="21">
        <v>1335</v>
      </c>
      <c r="Z32" s="21">
        <v>1314</v>
      </c>
      <c r="AA32" s="21">
        <v>1336</v>
      </c>
      <c r="AB32" s="21">
        <v>1309</v>
      </c>
      <c r="AC32" s="21">
        <v>1299</v>
      </c>
      <c r="AD32" s="21">
        <v>1267</v>
      </c>
      <c r="AE32" s="21">
        <v>1270</v>
      </c>
      <c r="AF32" s="21">
        <v>1256</v>
      </c>
      <c r="AG32" s="21">
        <v>1210</v>
      </c>
      <c r="AH32" s="21">
        <v>1192</v>
      </c>
      <c r="AI32" s="21">
        <v>1190</v>
      </c>
      <c r="AJ32" s="21">
        <v>1193</v>
      </c>
      <c r="AK32" s="21">
        <v>1175</v>
      </c>
      <c r="AL32" s="21">
        <v>1225</v>
      </c>
      <c r="AM32" s="21">
        <v>1245</v>
      </c>
      <c r="AN32" s="21">
        <v>1246</v>
      </c>
      <c r="AO32" s="21">
        <v>1230</v>
      </c>
      <c r="AP32" s="21">
        <v>1214</v>
      </c>
      <c r="AQ32" s="21">
        <v>1200</v>
      </c>
      <c r="AR32" s="21">
        <v>1230</v>
      </c>
      <c r="AS32" s="21">
        <v>1214</v>
      </c>
      <c r="AT32" s="21">
        <v>1176</v>
      </c>
      <c r="AU32" s="21">
        <v>1198</v>
      </c>
      <c r="AV32" s="21">
        <v>1200</v>
      </c>
      <c r="AW32" s="21">
        <v>1219</v>
      </c>
      <c r="AX32" s="21">
        <v>1360</v>
      </c>
      <c r="AY32" s="21">
        <v>1351</v>
      </c>
      <c r="AZ32" s="21">
        <v>1325</v>
      </c>
      <c r="BA32" s="21">
        <v>1379</v>
      </c>
      <c r="BB32" s="21">
        <v>1375</v>
      </c>
      <c r="BC32" s="21">
        <v>1407</v>
      </c>
      <c r="BD32" s="21">
        <v>1420</v>
      </c>
      <c r="BE32" s="21">
        <v>1498</v>
      </c>
      <c r="BF32" s="21">
        <v>1442</v>
      </c>
      <c r="BG32" s="21">
        <v>1497</v>
      </c>
      <c r="BH32" s="21">
        <v>1466</v>
      </c>
      <c r="BI32" s="21">
        <v>1567</v>
      </c>
      <c r="BJ32" s="21">
        <v>1448</v>
      </c>
      <c r="BK32" s="21">
        <v>1460</v>
      </c>
      <c r="BL32" s="21">
        <v>1424</v>
      </c>
      <c r="BM32" s="1">
        <v>1374</v>
      </c>
      <c r="BN32" s="1">
        <v>1302</v>
      </c>
      <c r="BO32" s="1">
        <v>1255</v>
      </c>
      <c r="BP32" s="1">
        <v>1301</v>
      </c>
      <c r="BQ32" s="1">
        <v>1432</v>
      </c>
      <c r="BR32" s="1">
        <v>1419</v>
      </c>
      <c r="BS32" s="1">
        <v>1455</v>
      </c>
      <c r="BT32" s="1">
        <v>1495</v>
      </c>
      <c r="BU32" s="1">
        <v>1468</v>
      </c>
      <c r="BV32" s="1">
        <v>1440</v>
      </c>
      <c r="BW32" s="1">
        <v>1416</v>
      </c>
      <c r="BX32" s="1">
        <v>1374</v>
      </c>
      <c r="BY32" s="1">
        <v>1332</v>
      </c>
      <c r="BZ32" s="1">
        <v>1317</v>
      </c>
    </row>
    <row r="33" spans="1:254" ht="15.9" customHeight="1">
      <c r="A33" s="78" t="s">
        <v>61</v>
      </c>
      <c r="B33" s="17" t="s">
        <v>62</v>
      </c>
      <c r="C33" s="543">
        <f>_xll.RssMarket("8601","始値")</f>
        <v>1790.5</v>
      </c>
      <c r="D33" s="23">
        <f t="shared" si="0"/>
        <v>0</v>
      </c>
      <c r="E33" s="550">
        <v>1790.5</v>
      </c>
      <c r="F33" s="21">
        <v>1787</v>
      </c>
      <c r="G33" s="21">
        <v>1800</v>
      </c>
      <c r="H33" s="21">
        <v>1796</v>
      </c>
      <c r="I33" s="21">
        <v>1793</v>
      </c>
      <c r="J33" s="21">
        <v>1803.5</v>
      </c>
      <c r="K33" s="21">
        <v>1849</v>
      </c>
      <c r="L33" s="21">
        <v>1846.5</v>
      </c>
      <c r="M33" s="21">
        <v>1865</v>
      </c>
      <c r="N33" s="21">
        <v>1851</v>
      </c>
      <c r="O33" s="21">
        <v>1852.5</v>
      </c>
      <c r="P33" s="21">
        <v>1841</v>
      </c>
      <c r="Q33" s="21">
        <v>1818</v>
      </c>
      <c r="R33" s="21">
        <v>1850</v>
      </c>
      <c r="S33" s="21">
        <v>1838</v>
      </c>
      <c r="T33" s="21">
        <v>1780</v>
      </c>
      <c r="U33" s="21">
        <v>1780</v>
      </c>
      <c r="V33" s="21">
        <v>1771.5</v>
      </c>
      <c r="W33" s="21">
        <v>1737.5</v>
      </c>
      <c r="X33" s="21">
        <v>1772.5</v>
      </c>
      <c r="Y33" s="21">
        <v>1733.5</v>
      </c>
      <c r="Z33" s="21">
        <v>1691</v>
      </c>
      <c r="AA33" s="21">
        <v>1673</v>
      </c>
      <c r="AB33" s="21">
        <v>1631.5</v>
      </c>
      <c r="AC33" s="21">
        <v>1614.5</v>
      </c>
      <c r="AD33" s="21">
        <v>1595</v>
      </c>
      <c r="AE33" s="21">
        <v>1606.5</v>
      </c>
      <c r="AF33" s="21">
        <v>1596</v>
      </c>
      <c r="AG33" s="21">
        <v>1604</v>
      </c>
      <c r="AH33" s="21">
        <v>1599</v>
      </c>
      <c r="AI33" s="21">
        <v>1626</v>
      </c>
      <c r="AJ33" s="21">
        <v>1586</v>
      </c>
      <c r="AK33" s="21">
        <v>1616</v>
      </c>
      <c r="AL33" s="21">
        <v>1620</v>
      </c>
      <c r="AM33" s="21">
        <v>1614</v>
      </c>
      <c r="AN33" s="21">
        <v>1587.5</v>
      </c>
      <c r="AO33" s="21">
        <v>1603.5</v>
      </c>
      <c r="AP33" s="21">
        <v>1565</v>
      </c>
      <c r="AQ33" s="21">
        <v>1546</v>
      </c>
      <c r="AR33" s="21">
        <v>1588</v>
      </c>
      <c r="AS33" s="21">
        <v>1540</v>
      </c>
      <c r="AT33" s="21">
        <v>1545</v>
      </c>
      <c r="AU33" s="21">
        <v>1560</v>
      </c>
      <c r="AV33" s="21">
        <v>1496</v>
      </c>
      <c r="AW33" s="21">
        <v>1496</v>
      </c>
      <c r="AX33" s="21">
        <v>1485</v>
      </c>
      <c r="AY33" s="21">
        <v>1456</v>
      </c>
      <c r="AZ33" s="21">
        <v>1462</v>
      </c>
      <c r="BA33" s="21">
        <v>1488.5</v>
      </c>
      <c r="BB33" s="21">
        <v>1511</v>
      </c>
      <c r="BC33" s="21">
        <v>1499.5</v>
      </c>
      <c r="BD33" s="21">
        <v>1504</v>
      </c>
      <c r="BE33" s="21">
        <v>1484.5</v>
      </c>
      <c r="BF33" s="21">
        <v>1478.5</v>
      </c>
      <c r="BG33" s="21">
        <v>1474</v>
      </c>
      <c r="BH33" s="21">
        <v>1500</v>
      </c>
      <c r="BI33" s="21">
        <v>1468.5</v>
      </c>
      <c r="BJ33" s="21">
        <v>1468</v>
      </c>
      <c r="BK33" s="21">
        <v>1441.5</v>
      </c>
      <c r="BL33" s="21">
        <v>1479.5</v>
      </c>
      <c r="BM33" s="1">
        <v>1491</v>
      </c>
      <c r="BN33" s="1">
        <v>1455</v>
      </c>
      <c r="BO33" s="1">
        <v>1450</v>
      </c>
      <c r="BP33" s="1">
        <v>1416.5</v>
      </c>
      <c r="BQ33" s="1">
        <v>1485</v>
      </c>
      <c r="BR33" s="1">
        <v>1512</v>
      </c>
      <c r="BS33" s="1">
        <v>1509</v>
      </c>
      <c r="BT33" s="1">
        <v>1524</v>
      </c>
      <c r="BU33" s="1">
        <v>1532</v>
      </c>
      <c r="BV33" s="1">
        <v>1536</v>
      </c>
      <c r="BW33" s="1">
        <v>1548</v>
      </c>
      <c r="BX33" s="1">
        <v>1589</v>
      </c>
      <c r="BY33" s="1">
        <v>1573</v>
      </c>
      <c r="BZ33" s="1">
        <v>1565</v>
      </c>
    </row>
    <row r="34" spans="1:254" ht="15.9" customHeight="1">
      <c r="A34" s="78" t="s">
        <v>63</v>
      </c>
      <c r="B34" s="17" t="s">
        <v>64</v>
      </c>
      <c r="C34" s="543">
        <f>_xll.RssMarket("5233","始値")</f>
        <v>4020</v>
      </c>
      <c r="D34" s="23">
        <f t="shared" si="0"/>
        <v>0</v>
      </c>
      <c r="E34" s="550">
        <v>4020</v>
      </c>
      <c r="F34" s="21">
        <v>4058</v>
      </c>
      <c r="G34" s="21">
        <v>3998</v>
      </c>
      <c r="H34" s="21">
        <v>4036</v>
      </c>
      <c r="I34" s="21">
        <v>4162</v>
      </c>
      <c r="J34" s="21">
        <v>4189</v>
      </c>
      <c r="K34" s="21">
        <v>4299</v>
      </c>
      <c r="L34" s="21">
        <v>4189</v>
      </c>
      <c r="M34" s="21">
        <v>4170</v>
      </c>
      <c r="N34" s="21">
        <v>4133</v>
      </c>
      <c r="O34" s="21">
        <v>4150</v>
      </c>
      <c r="P34" s="21">
        <v>4162</v>
      </c>
      <c r="Q34" s="21">
        <v>3960</v>
      </c>
      <c r="R34" s="21">
        <v>3957</v>
      </c>
      <c r="S34" s="21">
        <v>3998</v>
      </c>
      <c r="T34" s="21">
        <v>3919</v>
      </c>
      <c r="U34" s="21">
        <v>3974</v>
      </c>
      <c r="V34" s="21">
        <v>3949</v>
      </c>
      <c r="W34" s="21">
        <v>3970</v>
      </c>
      <c r="X34" s="21">
        <v>4051</v>
      </c>
      <c r="Y34" s="21">
        <v>4160</v>
      </c>
      <c r="Z34" s="21">
        <v>4092</v>
      </c>
      <c r="AA34" s="21">
        <v>4005</v>
      </c>
      <c r="AB34" s="21">
        <v>3936</v>
      </c>
      <c r="AC34" s="21">
        <v>3981</v>
      </c>
      <c r="AD34" s="21">
        <v>4025</v>
      </c>
      <c r="AE34" s="21">
        <v>4077</v>
      </c>
      <c r="AF34" s="21">
        <v>4092</v>
      </c>
      <c r="AG34" s="21">
        <v>4143</v>
      </c>
      <c r="AH34" s="21">
        <v>4092</v>
      </c>
      <c r="AI34" s="21">
        <v>4206</v>
      </c>
      <c r="AJ34" s="21">
        <v>4251</v>
      </c>
      <c r="AK34" s="21">
        <v>4400</v>
      </c>
      <c r="AL34" s="21">
        <v>4403</v>
      </c>
      <c r="AM34" s="21">
        <v>4367</v>
      </c>
      <c r="AN34" s="21">
        <v>4383</v>
      </c>
      <c r="AO34" s="21">
        <v>4303</v>
      </c>
      <c r="AP34" s="21">
        <v>4145</v>
      </c>
      <c r="AQ34" s="21">
        <v>4016</v>
      </c>
      <c r="AR34" s="21">
        <v>4169</v>
      </c>
      <c r="AS34" s="21">
        <v>4264</v>
      </c>
      <c r="AT34" s="21">
        <v>4403</v>
      </c>
      <c r="AU34" s="21">
        <v>4448</v>
      </c>
      <c r="AV34" s="21">
        <v>4403</v>
      </c>
      <c r="AW34" s="21">
        <v>4402</v>
      </c>
      <c r="AX34" s="21">
        <v>4475</v>
      </c>
      <c r="AY34" s="21">
        <v>4260</v>
      </c>
      <c r="AZ34" s="21">
        <v>4177</v>
      </c>
      <c r="BA34" s="21">
        <v>4130</v>
      </c>
      <c r="BB34" s="21">
        <v>4117</v>
      </c>
      <c r="BC34" s="21">
        <v>4040</v>
      </c>
      <c r="BD34" s="21">
        <v>3947</v>
      </c>
      <c r="BE34" s="21">
        <v>3929</v>
      </c>
      <c r="BF34" s="21">
        <v>3959</v>
      </c>
      <c r="BG34" s="21">
        <v>4064</v>
      </c>
      <c r="BH34" s="21">
        <v>4220</v>
      </c>
      <c r="BI34" s="21">
        <v>4201</v>
      </c>
      <c r="BJ34" s="21">
        <v>3704</v>
      </c>
      <c r="BK34" s="21">
        <v>3554</v>
      </c>
      <c r="BL34" s="21">
        <v>3653</v>
      </c>
      <c r="BM34" s="1">
        <v>3624</v>
      </c>
      <c r="BN34" s="1">
        <v>3558</v>
      </c>
      <c r="BO34" s="1">
        <v>3533</v>
      </c>
      <c r="BP34" s="1">
        <v>3658</v>
      </c>
      <c r="BQ34" s="1">
        <v>3562</v>
      </c>
      <c r="BR34" s="1">
        <v>3539</v>
      </c>
      <c r="BS34" s="1">
        <v>3584</v>
      </c>
      <c r="BT34" s="1">
        <v>3672</v>
      </c>
      <c r="BU34" s="1">
        <v>3705</v>
      </c>
      <c r="BV34" s="1">
        <v>3715</v>
      </c>
      <c r="BW34" s="1">
        <v>3707</v>
      </c>
      <c r="BX34" s="1">
        <v>3673</v>
      </c>
      <c r="BY34" s="1">
        <v>3688</v>
      </c>
      <c r="BZ34" s="1">
        <v>3760</v>
      </c>
    </row>
    <row r="35" spans="1:254" ht="15.9" customHeight="1">
      <c r="A35" s="78" t="s">
        <v>65</v>
      </c>
      <c r="B35" s="17" t="s">
        <v>66</v>
      </c>
      <c r="C35" s="543">
        <f>_xll.RssMarket("8308","始値")</f>
        <v>2289</v>
      </c>
      <c r="D35" s="23">
        <f t="shared" si="0"/>
        <v>0</v>
      </c>
      <c r="E35" s="550">
        <v>2289</v>
      </c>
      <c r="F35" s="21">
        <v>2208</v>
      </c>
      <c r="G35" s="21">
        <v>2230</v>
      </c>
      <c r="H35" s="21">
        <v>2180</v>
      </c>
      <c r="I35" s="21">
        <v>2218</v>
      </c>
      <c r="J35" s="21">
        <v>2167.5</v>
      </c>
      <c r="K35" s="21">
        <v>2226</v>
      </c>
      <c r="L35" s="21">
        <v>2350</v>
      </c>
      <c r="M35" s="21">
        <v>2364</v>
      </c>
      <c r="N35" s="21">
        <v>2330</v>
      </c>
      <c r="O35" s="21">
        <v>2306</v>
      </c>
      <c r="P35" s="21">
        <v>2296</v>
      </c>
      <c r="Q35" s="21">
        <v>2261</v>
      </c>
      <c r="R35" s="21">
        <v>2350</v>
      </c>
      <c r="S35" s="21">
        <v>2384</v>
      </c>
      <c r="T35" s="21">
        <v>2362.5</v>
      </c>
      <c r="U35" s="21">
        <v>2340</v>
      </c>
      <c r="V35" s="21">
        <v>2376.5</v>
      </c>
      <c r="W35" s="21">
        <v>2341</v>
      </c>
      <c r="X35" s="21">
        <v>2341</v>
      </c>
      <c r="Y35" s="21">
        <v>2383</v>
      </c>
      <c r="Z35" s="21">
        <v>2252</v>
      </c>
      <c r="AA35" s="21">
        <v>2225</v>
      </c>
      <c r="AB35" s="21">
        <v>2154</v>
      </c>
      <c r="AC35" s="21">
        <v>2085</v>
      </c>
      <c r="AD35" s="21">
        <v>2123</v>
      </c>
      <c r="AE35" s="21">
        <v>2114</v>
      </c>
      <c r="AF35" s="21">
        <v>2116</v>
      </c>
      <c r="AG35" s="21">
        <v>2155</v>
      </c>
      <c r="AH35" s="21">
        <v>2170.5</v>
      </c>
      <c r="AI35" s="21">
        <v>2260</v>
      </c>
      <c r="AJ35" s="21">
        <v>2150</v>
      </c>
      <c r="AK35" s="21">
        <v>2255</v>
      </c>
      <c r="AL35" s="21">
        <v>2230</v>
      </c>
      <c r="AM35" s="21">
        <v>2222.5</v>
      </c>
      <c r="AN35" s="21">
        <v>2170.5</v>
      </c>
      <c r="AO35" s="21">
        <v>2210.5</v>
      </c>
      <c r="AP35" s="21">
        <v>2168</v>
      </c>
      <c r="AQ35" s="21">
        <v>2111</v>
      </c>
      <c r="AR35" s="21">
        <v>2150</v>
      </c>
      <c r="AS35" s="21">
        <v>2080.5</v>
      </c>
      <c r="AT35" s="21">
        <v>2123.5</v>
      </c>
      <c r="AU35" s="21">
        <v>2085.5</v>
      </c>
      <c r="AV35" s="21">
        <v>2035</v>
      </c>
      <c r="AW35" s="21">
        <v>1998.5</v>
      </c>
      <c r="AX35" s="21">
        <v>2045</v>
      </c>
      <c r="AY35" s="21">
        <v>2031.5</v>
      </c>
      <c r="AZ35" s="21">
        <v>2061</v>
      </c>
      <c r="BA35" s="21">
        <v>2121.5</v>
      </c>
      <c r="BB35" s="21">
        <v>2131.5</v>
      </c>
      <c r="BC35" s="21">
        <v>2072</v>
      </c>
      <c r="BD35" s="21">
        <v>2128</v>
      </c>
      <c r="BE35" s="21">
        <v>2039.5</v>
      </c>
      <c r="BF35" s="21">
        <v>2051.5</v>
      </c>
      <c r="BG35" s="21">
        <v>2065</v>
      </c>
      <c r="BH35" s="21">
        <v>2041.5</v>
      </c>
      <c r="BI35" s="21">
        <v>2043</v>
      </c>
      <c r="BJ35" s="21">
        <v>2026.5</v>
      </c>
      <c r="BK35" s="21">
        <v>1952.5</v>
      </c>
      <c r="BL35" s="21">
        <v>1962</v>
      </c>
      <c r="BM35" s="1">
        <v>2000</v>
      </c>
      <c r="BN35" s="1">
        <v>1916</v>
      </c>
      <c r="BO35" s="1">
        <v>1900</v>
      </c>
      <c r="BP35" s="1">
        <v>1868</v>
      </c>
      <c r="BQ35" s="1">
        <v>1808</v>
      </c>
      <c r="BR35" s="1">
        <v>1834.5</v>
      </c>
      <c r="BS35" s="1">
        <v>1830</v>
      </c>
      <c r="BT35" s="1">
        <v>1891</v>
      </c>
      <c r="BU35" s="1">
        <v>1950</v>
      </c>
      <c r="BV35" s="1">
        <v>2006</v>
      </c>
      <c r="BW35" s="1">
        <v>1949.5</v>
      </c>
      <c r="BX35" s="1">
        <v>1959.5</v>
      </c>
      <c r="BY35" s="1">
        <v>1943</v>
      </c>
      <c r="BZ35" s="1">
        <v>1906</v>
      </c>
    </row>
    <row r="36" spans="1:254" ht="15.9" customHeight="1">
      <c r="A36" s="78" t="s">
        <v>67</v>
      </c>
      <c r="B36" s="17" t="s">
        <v>68</v>
      </c>
      <c r="C36" s="543">
        <f>_xll.RssMarket("5938","始値")</f>
        <v>1750</v>
      </c>
      <c r="D36" s="23">
        <f t="shared" si="0"/>
        <v>0</v>
      </c>
      <c r="E36" s="550">
        <v>1750</v>
      </c>
      <c r="F36" s="21">
        <v>1720</v>
      </c>
      <c r="G36" s="21">
        <v>1717</v>
      </c>
      <c r="H36" s="21">
        <v>1714.5</v>
      </c>
      <c r="I36" s="21">
        <v>1850.5</v>
      </c>
      <c r="J36" s="21">
        <v>1925</v>
      </c>
      <c r="K36" s="21">
        <v>1910</v>
      </c>
      <c r="L36" s="21">
        <v>1900</v>
      </c>
      <c r="M36" s="21">
        <v>1848</v>
      </c>
      <c r="N36" s="21">
        <v>1820</v>
      </c>
      <c r="O36" s="21">
        <v>1848</v>
      </c>
      <c r="P36" s="21">
        <v>1860</v>
      </c>
      <c r="Q36" s="21">
        <v>1858</v>
      </c>
      <c r="R36" s="21">
        <v>1897</v>
      </c>
      <c r="S36" s="21">
        <v>1886.5</v>
      </c>
      <c r="T36" s="21">
        <v>1843.5</v>
      </c>
      <c r="U36" s="21">
        <v>1855</v>
      </c>
      <c r="V36" s="21">
        <v>1855</v>
      </c>
      <c r="W36" s="21">
        <v>1883</v>
      </c>
      <c r="X36" s="21">
        <v>1894.5</v>
      </c>
      <c r="Y36" s="21">
        <v>1890</v>
      </c>
      <c r="Z36" s="21">
        <v>1866.5</v>
      </c>
      <c r="AA36" s="21">
        <v>1835</v>
      </c>
      <c r="AB36" s="21">
        <v>1800</v>
      </c>
      <c r="AC36" s="21">
        <v>1813</v>
      </c>
      <c r="AD36" s="21">
        <v>1801</v>
      </c>
      <c r="AE36" s="21">
        <v>1774</v>
      </c>
      <c r="AF36" s="21">
        <v>1763.5</v>
      </c>
      <c r="AG36" s="21">
        <v>1750</v>
      </c>
      <c r="AH36" s="21">
        <v>1712</v>
      </c>
      <c r="AI36" s="21">
        <v>1740.5</v>
      </c>
      <c r="AJ36" s="21">
        <v>1732</v>
      </c>
      <c r="AK36" s="21">
        <v>1725</v>
      </c>
      <c r="AL36" s="21">
        <v>1714</v>
      </c>
      <c r="AM36" s="21">
        <v>1728</v>
      </c>
      <c r="AN36" s="21">
        <v>1734</v>
      </c>
      <c r="AO36" s="21">
        <v>1730</v>
      </c>
      <c r="AP36" s="21">
        <v>1738</v>
      </c>
      <c r="AQ36" s="21">
        <v>1720</v>
      </c>
      <c r="AR36" s="21">
        <v>1721.5</v>
      </c>
      <c r="AS36" s="21">
        <v>1705</v>
      </c>
      <c r="AT36" s="21">
        <v>1708</v>
      </c>
      <c r="AU36" s="21">
        <v>1707</v>
      </c>
      <c r="AV36" s="21">
        <v>1688</v>
      </c>
      <c r="AW36" s="21">
        <v>1686</v>
      </c>
      <c r="AX36" s="21">
        <v>1696</v>
      </c>
      <c r="AY36" s="21">
        <v>1682</v>
      </c>
      <c r="AZ36" s="21">
        <v>1654</v>
      </c>
      <c r="BA36" s="21">
        <v>1645</v>
      </c>
      <c r="BB36" s="21">
        <v>1645</v>
      </c>
      <c r="BC36" s="21">
        <v>1639.5</v>
      </c>
      <c r="BD36" s="21">
        <v>1645</v>
      </c>
      <c r="BE36" s="21">
        <v>1649</v>
      </c>
      <c r="BF36" s="21">
        <v>1675</v>
      </c>
      <c r="BG36" s="21">
        <v>1660</v>
      </c>
      <c r="BH36" s="21">
        <v>1670</v>
      </c>
      <c r="BI36" s="21">
        <v>1678</v>
      </c>
      <c r="BJ36" s="21">
        <v>1670.5</v>
      </c>
      <c r="BK36" s="21">
        <v>1702</v>
      </c>
      <c r="BL36" s="21">
        <v>1696</v>
      </c>
      <c r="BM36" s="1">
        <v>1664</v>
      </c>
      <c r="BN36" s="1">
        <v>1621</v>
      </c>
      <c r="BO36" s="1">
        <v>1603.5</v>
      </c>
      <c r="BP36" s="1">
        <v>1610</v>
      </c>
      <c r="BQ36" s="1">
        <v>1606</v>
      </c>
      <c r="BR36" s="1">
        <v>1620.5</v>
      </c>
      <c r="BS36" s="1">
        <v>1615</v>
      </c>
      <c r="BT36" s="1">
        <v>1636</v>
      </c>
      <c r="BU36" s="1">
        <v>1654.5</v>
      </c>
      <c r="BV36" s="1">
        <v>1635.5</v>
      </c>
      <c r="BW36" s="1">
        <v>1624.5</v>
      </c>
      <c r="BX36" s="1">
        <v>1620</v>
      </c>
      <c r="BY36" s="1">
        <v>1611</v>
      </c>
      <c r="BZ36" s="1">
        <v>1614.5</v>
      </c>
    </row>
    <row r="37" spans="1:254" ht="15.9" customHeight="1">
      <c r="A37" s="78" t="s">
        <v>69</v>
      </c>
      <c r="B37" s="17" t="s">
        <v>70</v>
      </c>
      <c r="C37" s="543">
        <f>_xll.RssMarket("8570","始値")</f>
        <v>1546</v>
      </c>
      <c r="D37" s="23">
        <f t="shared" si="0"/>
        <v>0</v>
      </c>
      <c r="E37" s="550">
        <v>1546</v>
      </c>
      <c r="F37" s="21">
        <v>1541.5</v>
      </c>
      <c r="G37" s="21">
        <v>1550</v>
      </c>
      <c r="H37" s="21">
        <v>1571</v>
      </c>
      <c r="I37" s="21">
        <v>1563</v>
      </c>
      <c r="J37" s="21">
        <v>1579</v>
      </c>
      <c r="K37" s="21">
        <v>1567.5</v>
      </c>
      <c r="L37" s="21">
        <v>1589</v>
      </c>
      <c r="M37" s="21">
        <v>1575</v>
      </c>
      <c r="N37" s="21">
        <v>1552</v>
      </c>
      <c r="O37" s="21">
        <v>1566</v>
      </c>
      <c r="P37" s="21">
        <v>1559.5</v>
      </c>
      <c r="Q37" s="21">
        <v>1542</v>
      </c>
      <c r="R37" s="21">
        <v>1530</v>
      </c>
      <c r="S37" s="21">
        <v>1572.5</v>
      </c>
      <c r="T37" s="21">
        <v>1529</v>
      </c>
      <c r="U37" s="21">
        <v>1558</v>
      </c>
      <c r="V37" s="21">
        <v>1527</v>
      </c>
      <c r="W37" s="21">
        <v>1517</v>
      </c>
      <c r="X37" s="21">
        <v>1521.5</v>
      </c>
      <c r="Y37" s="21">
        <v>1533</v>
      </c>
      <c r="Z37" s="21">
        <v>1506</v>
      </c>
      <c r="AA37" s="21">
        <v>1498</v>
      </c>
      <c r="AB37" s="21">
        <v>1495</v>
      </c>
      <c r="AC37" s="21">
        <v>1466.5</v>
      </c>
      <c r="AD37" s="21">
        <v>1470</v>
      </c>
      <c r="AE37" s="21">
        <v>1475</v>
      </c>
      <c r="AF37" s="21">
        <v>1465.5</v>
      </c>
      <c r="AG37" s="21">
        <v>1461</v>
      </c>
      <c r="AH37" s="21">
        <v>1447</v>
      </c>
      <c r="AI37" s="21">
        <v>1460</v>
      </c>
      <c r="AJ37" s="21">
        <v>1452.5</v>
      </c>
      <c r="AK37" s="21">
        <v>1471</v>
      </c>
      <c r="AL37" s="21">
        <v>1499</v>
      </c>
      <c r="AM37" s="21">
        <v>1514</v>
      </c>
      <c r="AN37" s="21">
        <v>1498</v>
      </c>
      <c r="AO37" s="21">
        <v>1520</v>
      </c>
      <c r="AP37" s="21">
        <v>1506</v>
      </c>
      <c r="AQ37" s="21">
        <v>1506.5</v>
      </c>
      <c r="AR37" s="21">
        <v>1487</v>
      </c>
      <c r="AS37" s="21">
        <v>1458</v>
      </c>
      <c r="AT37" s="21">
        <v>1451.5</v>
      </c>
      <c r="AU37" s="21">
        <v>1452</v>
      </c>
      <c r="AV37" s="21">
        <v>1463</v>
      </c>
      <c r="AW37" s="21">
        <v>1438</v>
      </c>
      <c r="AX37" s="21">
        <v>1520</v>
      </c>
      <c r="AY37" s="21">
        <v>1536</v>
      </c>
      <c r="AZ37" s="21">
        <v>1530.5</v>
      </c>
      <c r="BA37" s="21">
        <v>1550</v>
      </c>
      <c r="BB37" s="21">
        <v>1592.5</v>
      </c>
      <c r="BC37" s="21">
        <v>1593</v>
      </c>
      <c r="BD37" s="21">
        <v>1590</v>
      </c>
      <c r="BE37" s="21">
        <v>1584</v>
      </c>
      <c r="BF37" s="21">
        <v>1570</v>
      </c>
      <c r="BG37" s="21">
        <v>1568</v>
      </c>
      <c r="BH37" s="21">
        <v>1560</v>
      </c>
      <c r="BI37" s="21">
        <v>1560</v>
      </c>
      <c r="BJ37" s="21">
        <v>1548.5</v>
      </c>
      <c r="BK37" s="21">
        <v>1515</v>
      </c>
      <c r="BL37" s="21">
        <v>1531</v>
      </c>
      <c r="BM37" s="1">
        <v>1560</v>
      </c>
      <c r="BN37" s="1">
        <v>1560</v>
      </c>
      <c r="BO37" s="1">
        <v>1548</v>
      </c>
      <c r="BP37" s="1">
        <v>1540</v>
      </c>
      <c r="BQ37" s="1">
        <v>1535.5</v>
      </c>
      <c r="BR37" s="1">
        <v>1561</v>
      </c>
      <c r="BS37" s="1">
        <v>1549.5</v>
      </c>
      <c r="BT37" s="1">
        <v>1544</v>
      </c>
      <c r="BU37" s="1">
        <v>1569</v>
      </c>
      <c r="BV37" s="1">
        <v>1573</v>
      </c>
      <c r="BW37" s="1">
        <v>1606</v>
      </c>
      <c r="BX37" s="1">
        <v>1633</v>
      </c>
      <c r="BY37" s="1">
        <v>1617</v>
      </c>
      <c r="BZ37" s="1">
        <v>1612</v>
      </c>
    </row>
    <row r="38" spans="1:254" ht="15.9" customHeight="1">
      <c r="A38" s="78" t="s">
        <v>71</v>
      </c>
      <c r="B38" s="17" t="s">
        <v>72</v>
      </c>
      <c r="C38" s="543">
        <f>_xll.RssMarket("5406","始値")</f>
        <v>1952</v>
      </c>
      <c r="D38" s="23">
        <f t="shared" ref="D38:D69" si="1">C38-E38</f>
        <v>0</v>
      </c>
      <c r="E38" s="550">
        <v>1952</v>
      </c>
      <c r="F38" s="21">
        <v>2080</v>
      </c>
      <c r="G38" s="21">
        <v>2066</v>
      </c>
      <c r="H38" s="21">
        <v>2059</v>
      </c>
      <c r="I38" s="21">
        <v>2061</v>
      </c>
      <c r="J38" s="21">
        <v>2060</v>
      </c>
      <c r="K38" s="21">
        <v>2035</v>
      </c>
      <c r="L38" s="21">
        <v>2024.5</v>
      </c>
      <c r="M38" s="21">
        <v>2013.5</v>
      </c>
      <c r="N38" s="21">
        <v>1982</v>
      </c>
      <c r="O38" s="21">
        <v>1980</v>
      </c>
      <c r="P38" s="21">
        <v>1975</v>
      </c>
      <c r="Q38" s="21">
        <v>1949</v>
      </c>
      <c r="R38" s="21">
        <v>1940</v>
      </c>
      <c r="S38" s="21">
        <v>1925.5</v>
      </c>
      <c r="T38" s="21">
        <v>1890.5</v>
      </c>
      <c r="U38" s="21">
        <v>1880</v>
      </c>
      <c r="V38" s="21">
        <v>1880</v>
      </c>
      <c r="W38" s="21">
        <v>1878.5</v>
      </c>
      <c r="X38" s="21">
        <v>1900</v>
      </c>
      <c r="Y38" s="21">
        <v>1929</v>
      </c>
      <c r="Z38" s="21">
        <v>1915</v>
      </c>
      <c r="AA38" s="21">
        <v>1881</v>
      </c>
      <c r="AB38" s="21">
        <v>1851</v>
      </c>
      <c r="AC38" s="21">
        <v>1870.5</v>
      </c>
      <c r="AD38" s="21">
        <v>1870</v>
      </c>
      <c r="AE38" s="21">
        <v>1876.5</v>
      </c>
      <c r="AF38" s="21">
        <v>1876</v>
      </c>
      <c r="AG38" s="21">
        <v>1910.5</v>
      </c>
      <c r="AH38" s="21">
        <v>1887.5</v>
      </c>
      <c r="AI38" s="21">
        <v>1968.5</v>
      </c>
      <c r="AJ38" s="21">
        <v>1951</v>
      </c>
      <c r="AK38" s="21">
        <v>2002</v>
      </c>
      <c r="AL38" s="21">
        <v>1961</v>
      </c>
      <c r="AM38" s="21">
        <v>1989.5</v>
      </c>
      <c r="AN38" s="21">
        <v>2000</v>
      </c>
      <c r="AO38" s="21">
        <v>1970</v>
      </c>
      <c r="AP38" s="21">
        <v>1930</v>
      </c>
      <c r="AQ38" s="21">
        <v>1900</v>
      </c>
      <c r="AR38" s="21">
        <v>1922</v>
      </c>
      <c r="AS38" s="21">
        <v>1909.5</v>
      </c>
      <c r="AT38" s="21">
        <v>1950</v>
      </c>
      <c r="AU38" s="21">
        <v>1951.5</v>
      </c>
      <c r="AV38" s="21">
        <v>1960.5</v>
      </c>
      <c r="AW38" s="21">
        <v>1941.5</v>
      </c>
      <c r="AX38" s="21">
        <v>1960</v>
      </c>
      <c r="AY38" s="21">
        <v>1985</v>
      </c>
      <c r="AZ38" s="21">
        <v>1986</v>
      </c>
      <c r="BA38" s="21">
        <v>1969</v>
      </c>
      <c r="BB38" s="21">
        <v>1948</v>
      </c>
      <c r="BC38" s="21">
        <v>1907</v>
      </c>
      <c r="BD38" s="21">
        <v>1917.5</v>
      </c>
      <c r="BE38" s="21">
        <v>1904</v>
      </c>
      <c r="BF38" s="21">
        <v>1951</v>
      </c>
      <c r="BG38" s="21">
        <v>1960</v>
      </c>
      <c r="BH38" s="21">
        <v>1967</v>
      </c>
      <c r="BI38" s="21">
        <v>1996.5</v>
      </c>
      <c r="BJ38" s="21">
        <v>2002.5</v>
      </c>
      <c r="BK38" s="21">
        <v>1935</v>
      </c>
      <c r="BL38" s="21">
        <v>1967</v>
      </c>
      <c r="BM38" s="1">
        <v>1975</v>
      </c>
      <c r="BN38" s="1">
        <v>1910</v>
      </c>
      <c r="BO38" s="1">
        <v>1878</v>
      </c>
      <c r="BP38" s="1">
        <v>1876</v>
      </c>
      <c r="BQ38" s="1">
        <v>1850</v>
      </c>
      <c r="BR38" s="1">
        <v>1848</v>
      </c>
      <c r="BS38" s="1">
        <v>1866</v>
      </c>
      <c r="BT38" s="1">
        <v>1900</v>
      </c>
      <c r="BU38" s="1">
        <v>1937</v>
      </c>
      <c r="BV38" s="1">
        <v>1944</v>
      </c>
      <c r="BW38" s="1">
        <v>1938</v>
      </c>
      <c r="BX38" s="1">
        <v>1945</v>
      </c>
      <c r="BY38" s="1">
        <v>1939</v>
      </c>
      <c r="BZ38" s="1">
        <v>1969</v>
      </c>
    </row>
    <row r="39" spans="1:254" ht="15.9" customHeight="1">
      <c r="A39" s="78" t="s">
        <v>73</v>
      </c>
      <c r="B39" s="17" t="s">
        <v>74</v>
      </c>
      <c r="C39" s="543">
        <f>_xll.RssMarket("8593","始値")</f>
        <v>1410</v>
      </c>
      <c r="D39" s="23">
        <f t="shared" si="1"/>
        <v>0</v>
      </c>
      <c r="E39" s="550">
        <v>1410</v>
      </c>
      <c r="F39" s="21">
        <v>1414.5</v>
      </c>
      <c r="G39" s="21">
        <v>1435</v>
      </c>
      <c r="H39" s="21">
        <v>1451</v>
      </c>
      <c r="I39" s="21">
        <v>1464</v>
      </c>
      <c r="J39" s="21">
        <v>1507</v>
      </c>
      <c r="K39" s="21">
        <v>1490</v>
      </c>
      <c r="L39" s="21">
        <v>1470</v>
      </c>
      <c r="M39" s="21">
        <v>1444</v>
      </c>
      <c r="N39" s="21">
        <v>1428</v>
      </c>
      <c r="O39" s="21">
        <v>1435</v>
      </c>
      <c r="P39" s="21">
        <v>1440</v>
      </c>
      <c r="Q39" s="21">
        <v>1407.5</v>
      </c>
      <c r="R39" s="21">
        <v>1412.5</v>
      </c>
      <c r="S39" s="21">
        <v>1415</v>
      </c>
      <c r="T39" s="21">
        <v>1394</v>
      </c>
      <c r="U39" s="21">
        <v>1374.5</v>
      </c>
      <c r="V39" s="21">
        <v>1374.5</v>
      </c>
      <c r="W39" s="21">
        <v>1370</v>
      </c>
      <c r="X39" s="21">
        <v>1382.5</v>
      </c>
      <c r="Y39" s="21">
        <v>1383</v>
      </c>
      <c r="Z39" s="21">
        <v>1355</v>
      </c>
      <c r="AA39" s="21">
        <v>1350</v>
      </c>
      <c r="AB39" s="21">
        <v>1320</v>
      </c>
      <c r="AC39" s="21">
        <v>1316.5</v>
      </c>
      <c r="AD39" s="21">
        <v>1325</v>
      </c>
      <c r="AE39" s="21">
        <v>1321</v>
      </c>
      <c r="AF39" s="21">
        <v>1308.5</v>
      </c>
      <c r="AG39" s="21">
        <v>1305</v>
      </c>
      <c r="AH39" s="21">
        <v>1292.5</v>
      </c>
      <c r="AI39" s="21">
        <v>1301.5</v>
      </c>
      <c r="AJ39" s="21">
        <v>1301</v>
      </c>
      <c r="AK39" s="21">
        <v>1305</v>
      </c>
      <c r="AL39" s="21">
        <v>1324</v>
      </c>
      <c r="AM39" s="21">
        <v>1330</v>
      </c>
      <c r="AN39" s="21">
        <v>1332.5</v>
      </c>
      <c r="AO39" s="21">
        <v>1330</v>
      </c>
      <c r="AP39" s="21">
        <v>1318</v>
      </c>
      <c r="AQ39" s="21">
        <v>1325.5</v>
      </c>
      <c r="AR39" s="21">
        <v>1321</v>
      </c>
      <c r="AS39" s="21">
        <v>1272.5</v>
      </c>
      <c r="AT39" s="21">
        <v>1274</v>
      </c>
      <c r="AU39" s="21">
        <v>1267</v>
      </c>
      <c r="AV39" s="21">
        <v>1266</v>
      </c>
      <c r="AW39" s="21">
        <v>1250.5</v>
      </c>
      <c r="AX39" s="21">
        <v>1309</v>
      </c>
      <c r="AY39" s="21">
        <v>1312.5</v>
      </c>
      <c r="AZ39" s="21">
        <v>1339</v>
      </c>
      <c r="BA39" s="21">
        <v>1319</v>
      </c>
      <c r="BB39" s="21">
        <v>1330</v>
      </c>
      <c r="BC39" s="21">
        <v>1350</v>
      </c>
      <c r="BD39" s="21">
        <v>1354.5</v>
      </c>
      <c r="BE39" s="21">
        <v>1349</v>
      </c>
      <c r="BF39" s="21">
        <v>1379</v>
      </c>
      <c r="BG39" s="21">
        <v>1432</v>
      </c>
      <c r="BH39" s="21">
        <v>1435</v>
      </c>
      <c r="BI39" s="21">
        <v>1440</v>
      </c>
      <c r="BJ39" s="21">
        <v>1430</v>
      </c>
      <c r="BK39" s="21">
        <v>1403</v>
      </c>
      <c r="BL39" s="21">
        <v>1405</v>
      </c>
      <c r="BM39" s="1">
        <v>1413.5</v>
      </c>
      <c r="BN39" s="1">
        <v>1407</v>
      </c>
      <c r="BO39" s="1">
        <v>1434</v>
      </c>
      <c r="BP39" s="1">
        <v>1435</v>
      </c>
      <c r="BQ39" s="1">
        <v>1405</v>
      </c>
      <c r="BR39" s="1">
        <v>1415.5</v>
      </c>
      <c r="BS39" s="1">
        <v>1405</v>
      </c>
      <c r="BT39" s="1">
        <v>1435.5</v>
      </c>
      <c r="BU39" s="1">
        <v>1460</v>
      </c>
      <c r="BV39" s="1">
        <v>1461.5</v>
      </c>
      <c r="BW39" s="1">
        <v>1473.5</v>
      </c>
      <c r="BX39" s="1">
        <v>1474</v>
      </c>
      <c r="BY39" s="1">
        <v>1468</v>
      </c>
      <c r="BZ39" s="1">
        <v>1477</v>
      </c>
    </row>
    <row r="40" spans="1:254" ht="15.9" customHeight="1">
      <c r="A40" s="78" t="s">
        <v>75</v>
      </c>
      <c r="B40" s="17" t="s">
        <v>76</v>
      </c>
      <c r="C40" s="543">
        <f>_xll.RssMarket("8604","始値")</f>
        <v>1551.5</v>
      </c>
      <c r="D40" s="23">
        <f t="shared" si="1"/>
        <v>0</v>
      </c>
      <c r="E40" s="550">
        <v>1551.5</v>
      </c>
      <c r="F40" s="21">
        <v>1548</v>
      </c>
      <c r="G40" s="21">
        <v>1508</v>
      </c>
      <c r="H40" s="21">
        <v>1510</v>
      </c>
      <c r="I40" s="21">
        <v>1490</v>
      </c>
      <c r="J40" s="21">
        <v>1473</v>
      </c>
      <c r="K40" s="21">
        <v>1567</v>
      </c>
      <c r="L40" s="21">
        <v>1594.5</v>
      </c>
      <c r="M40" s="21">
        <v>1617</v>
      </c>
      <c r="N40" s="21">
        <v>1595</v>
      </c>
      <c r="O40" s="21">
        <v>1597</v>
      </c>
      <c r="P40" s="21">
        <v>1596</v>
      </c>
      <c r="Q40" s="21">
        <v>1530</v>
      </c>
      <c r="R40" s="21">
        <v>1580</v>
      </c>
      <c r="S40" s="21">
        <v>1582</v>
      </c>
      <c r="T40" s="21">
        <v>1546.5</v>
      </c>
      <c r="U40" s="21">
        <v>1551</v>
      </c>
      <c r="V40" s="21">
        <v>1535.5</v>
      </c>
      <c r="W40" s="21">
        <v>1503</v>
      </c>
      <c r="X40" s="21">
        <v>1522.5</v>
      </c>
      <c r="Y40" s="21">
        <v>1509</v>
      </c>
      <c r="Z40" s="21">
        <v>1472</v>
      </c>
      <c r="AA40" s="21">
        <v>1467.5</v>
      </c>
      <c r="AB40" s="21">
        <v>1457</v>
      </c>
      <c r="AC40" s="21">
        <v>1428</v>
      </c>
      <c r="AD40" s="21">
        <v>1419</v>
      </c>
      <c r="AE40" s="21">
        <v>1430</v>
      </c>
      <c r="AF40" s="21">
        <v>1434</v>
      </c>
      <c r="AG40" s="21">
        <v>1418</v>
      </c>
      <c r="AH40" s="21">
        <v>1410</v>
      </c>
      <c r="AI40" s="21">
        <v>1430</v>
      </c>
      <c r="AJ40" s="21">
        <v>1408</v>
      </c>
      <c r="AK40" s="21">
        <v>1431</v>
      </c>
      <c r="AL40" s="21">
        <v>1430</v>
      </c>
      <c r="AM40" s="21">
        <v>1430</v>
      </c>
      <c r="AN40" s="21">
        <v>1374.5</v>
      </c>
      <c r="AO40" s="21">
        <v>1408</v>
      </c>
      <c r="AP40" s="21">
        <v>1375</v>
      </c>
      <c r="AQ40" s="21">
        <v>1357</v>
      </c>
      <c r="AR40" s="21">
        <v>1414</v>
      </c>
      <c r="AS40" s="21">
        <v>1331</v>
      </c>
      <c r="AT40" s="21">
        <v>1375.5</v>
      </c>
      <c r="AU40" s="21">
        <v>1355.5</v>
      </c>
      <c r="AV40" s="21">
        <v>1324</v>
      </c>
      <c r="AW40" s="21">
        <v>1296.5</v>
      </c>
      <c r="AX40" s="21">
        <v>1265</v>
      </c>
      <c r="AY40" s="21">
        <v>1250</v>
      </c>
      <c r="AZ40" s="21">
        <v>1251.5</v>
      </c>
      <c r="BA40" s="21">
        <v>1293.5</v>
      </c>
      <c r="BB40" s="21">
        <v>1309.5</v>
      </c>
      <c r="BC40" s="21">
        <v>1270</v>
      </c>
      <c r="BD40" s="21">
        <v>1276</v>
      </c>
      <c r="BE40" s="21">
        <v>1267</v>
      </c>
      <c r="BF40" s="21">
        <v>1265</v>
      </c>
      <c r="BG40" s="21">
        <v>1270.5</v>
      </c>
      <c r="BH40" s="21">
        <v>1287</v>
      </c>
      <c r="BI40" s="21">
        <v>1245</v>
      </c>
      <c r="BJ40" s="21">
        <v>1233</v>
      </c>
      <c r="BK40" s="21">
        <v>1220</v>
      </c>
      <c r="BL40" s="21">
        <v>1243.5</v>
      </c>
      <c r="BM40" s="1">
        <v>1230</v>
      </c>
      <c r="BN40" s="1">
        <v>1244.5</v>
      </c>
      <c r="BO40" s="1">
        <v>1249</v>
      </c>
      <c r="BP40" s="1">
        <v>1255</v>
      </c>
      <c r="BQ40" s="1">
        <v>1246</v>
      </c>
      <c r="BR40" s="1">
        <v>1330</v>
      </c>
      <c r="BS40" s="1">
        <v>1332.5</v>
      </c>
      <c r="BT40" s="1">
        <v>1348</v>
      </c>
      <c r="BU40" s="1">
        <v>1345</v>
      </c>
      <c r="BV40" s="1">
        <v>1340.5</v>
      </c>
      <c r="BW40" s="1">
        <v>1357.5</v>
      </c>
      <c r="BX40" s="1">
        <v>1431</v>
      </c>
      <c r="BY40" s="1">
        <v>1356.5</v>
      </c>
      <c r="BZ40" s="1">
        <v>1330.5</v>
      </c>
    </row>
    <row r="41" spans="1:254" ht="15.9" customHeight="1">
      <c r="A41" s="78" t="s">
        <v>77</v>
      </c>
      <c r="B41" s="17" t="s">
        <v>78</v>
      </c>
      <c r="C41" s="543">
        <f>_xll.RssMarket("3861","始値")</f>
        <v>867.3</v>
      </c>
      <c r="D41" s="23">
        <f t="shared" si="1"/>
        <v>0</v>
      </c>
      <c r="E41" s="550">
        <v>867.3</v>
      </c>
      <c r="F41" s="21">
        <v>864.3</v>
      </c>
      <c r="G41" s="21">
        <v>880.5</v>
      </c>
      <c r="H41" s="21">
        <v>877.9</v>
      </c>
      <c r="I41" s="21">
        <v>878</v>
      </c>
      <c r="J41" s="21">
        <v>890.2</v>
      </c>
      <c r="K41" s="21">
        <v>885.3</v>
      </c>
      <c r="L41" s="21">
        <v>882</v>
      </c>
      <c r="M41" s="21">
        <v>873</v>
      </c>
      <c r="N41" s="21">
        <v>860</v>
      </c>
      <c r="O41" s="21">
        <v>863.7</v>
      </c>
      <c r="P41" s="21">
        <v>850</v>
      </c>
      <c r="Q41" s="21">
        <v>845</v>
      </c>
      <c r="R41" s="21">
        <v>842.3</v>
      </c>
      <c r="S41" s="21">
        <v>830</v>
      </c>
      <c r="T41" s="21">
        <v>820.7</v>
      </c>
      <c r="U41" s="21">
        <v>823.5</v>
      </c>
      <c r="V41" s="21">
        <v>822</v>
      </c>
      <c r="W41" s="21">
        <v>822.2</v>
      </c>
      <c r="X41" s="21">
        <v>828.3</v>
      </c>
      <c r="Y41" s="21">
        <v>830.2</v>
      </c>
      <c r="Z41" s="21">
        <v>822.5</v>
      </c>
      <c r="AA41" s="21">
        <v>820.7</v>
      </c>
      <c r="AB41" s="21">
        <v>809.6</v>
      </c>
      <c r="AC41" s="21">
        <v>794</v>
      </c>
      <c r="AD41" s="21">
        <v>805</v>
      </c>
      <c r="AE41" s="21">
        <v>791.7</v>
      </c>
      <c r="AF41" s="21">
        <v>785</v>
      </c>
      <c r="AG41" s="21">
        <v>790.2</v>
      </c>
      <c r="AH41" s="21">
        <v>775.6</v>
      </c>
      <c r="AI41" s="21">
        <v>799.6</v>
      </c>
      <c r="AJ41" s="21">
        <v>800</v>
      </c>
      <c r="AK41" s="21">
        <v>792.1</v>
      </c>
      <c r="AL41" s="21">
        <v>802</v>
      </c>
      <c r="AM41" s="21">
        <v>800.6</v>
      </c>
      <c r="AN41" s="21">
        <v>797.3</v>
      </c>
      <c r="AO41" s="21">
        <v>805</v>
      </c>
      <c r="AP41" s="21">
        <v>793.4</v>
      </c>
      <c r="AQ41" s="21">
        <v>782.7</v>
      </c>
      <c r="AR41" s="21">
        <v>778</v>
      </c>
      <c r="AS41" s="21">
        <v>772.8</v>
      </c>
      <c r="AT41" s="21">
        <v>770.5</v>
      </c>
      <c r="AU41" s="21">
        <v>779.5</v>
      </c>
      <c r="AV41" s="21">
        <v>767.9</v>
      </c>
      <c r="AW41" s="21">
        <v>761.8</v>
      </c>
      <c r="AX41" s="21">
        <v>789.2</v>
      </c>
      <c r="AY41" s="21">
        <v>788.7</v>
      </c>
      <c r="AZ41" s="21">
        <v>769.3</v>
      </c>
      <c r="BA41" s="21">
        <v>782</v>
      </c>
      <c r="BB41" s="21">
        <v>795</v>
      </c>
      <c r="BC41" s="21">
        <v>820</v>
      </c>
      <c r="BD41" s="21">
        <v>820</v>
      </c>
      <c r="BE41" s="21">
        <v>825</v>
      </c>
      <c r="BF41" s="21">
        <v>851.2</v>
      </c>
      <c r="BG41" s="21">
        <v>838.8</v>
      </c>
      <c r="BH41" s="21">
        <v>838.8</v>
      </c>
      <c r="BI41" s="21">
        <v>831.8</v>
      </c>
      <c r="BJ41" s="21">
        <v>822</v>
      </c>
      <c r="BK41" s="21">
        <v>826.1</v>
      </c>
      <c r="BL41" s="21">
        <v>838</v>
      </c>
      <c r="BM41" s="1">
        <v>822.5</v>
      </c>
      <c r="BN41" s="1">
        <v>822.8</v>
      </c>
      <c r="BO41" s="1">
        <v>815.6</v>
      </c>
      <c r="BP41" s="1">
        <v>815.2</v>
      </c>
      <c r="BQ41" s="1">
        <v>822.2</v>
      </c>
      <c r="BR41" s="1">
        <v>825</v>
      </c>
      <c r="BS41" s="1">
        <v>826.5</v>
      </c>
      <c r="BT41" s="1">
        <v>837.3</v>
      </c>
      <c r="BU41" s="1">
        <v>839.8</v>
      </c>
      <c r="BV41" s="1">
        <v>848</v>
      </c>
      <c r="BW41" s="1">
        <v>850.6</v>
      </c>
      <c r="BX41" s="1">
        <v>849</v>
      </c>
      <c r="BY41" s="1">
        <v>845.7</v>
      </c>
      <c r="BZ41" s="1">
        <v>852.8</v>
      </c>
    </row>
    <row r="42" spans="1:254" ht="15.9" customHeight="1">
      <c r="A42" s="78" t="s">
        <v>79</v>
      </c>
      <c r="B42" s="17" t="s">
        <v>80</v>
      </c>
      <c r="C42" s="543">
        <f>_xll.RssMarket("5947","始値")</f>
        <v>3508</v>
      </c>
      <c r="D42" s="23">
        <f t="shared" si="1"/>
        <v>0</v>
      </c>
      <c r="E42" s="550">
        <v>3508</v>
      </c>
      <c r="F42" s="21">
        <v>3481</v>
      </c>
      <c r="G42" s="21">
        <v>3530</v>
      </c>
      <c r="H42" s="21">
        <v>3566</v>
      </c>
      <c r="I42" s="21">
        <v>3607</v>
      </c>
      <c r="J42" s="21">
        <v>3781</v>
      </c>
      <c r="K42" s="21">
        <v>3715</v>
      </c>
      <c r="L42" s="21">
        <v>3660</v>
      </c>
      <c r="M42" s="21">
        <v>3615</v>
      </c>
      <c r="N42" s="21">
        <v>3542</v>
      </c>
      <c r="O42" s="21">
        <v>3559</v>
      </c>
      <c r="P42" s="21">
        <v>3602</v>
      </c>
      <c r="Q42" s="21">
        <v>3639</v>
      </c>
      <c r="R42" s="21">
        <v>3647</v>
      </c>
      <c r="S42" s="21">
        <v>3615</v>
      </c>
      <c r="T42" s="21">
        <v>3600</v>
      </c>
      <c r="U42" s="21">
        <v>3600</v>
      </c>
      <c r="V42" s="21">
        <v>3592</v>
      </c>
      <c r="W42" s="21">
        <v>3612</v>
      </c>
      <c r="X42" s="21">
        <v>3659</v>
      </c>
      <c r="Y42" s="21">
        <v>3644</v>
      </c>
      <c r="Z42" s="21">
        <v>3623</v>
      </c>
      <c r="AA42" s="21">
        <v>3603</v>
      </c>
      <c r="AB42" s="21">
        <v>3597</v>
      </c>
      <c r="AC42" s="21">
        <v>3581</v>
      </c>
      <c r="AD42" s="21">
        <v>3600</v>
      </c>
      <c r="AE42" s="21">
        <v>3611</v>
      </c>
      <c r="AF42" s="21">
        <v>3581</v>
      </c>
      <c r="AG42" s="21">
        <v>3574</v>
      </c>
      <c r="AH42" s="21">
        <v>3464</v>
      </c>
      <c r="AI42" s="21">
        <v>3474</v>
      </c>
      <c r="AJ42" s="21">
        <v>3427</v>
      </c>
      <c r="AK42" s="21">
        <v>3477</v>
      </c>
      <c r="AL42" s="21">
        <v>3463</v>
      </c>
      <c r="AM42" s="21">
        <v>3428</v>
      </c>
      <c r="AN42" s="21">
        <v>3435</v>
      </c>
      <c r="AO42" s="21">
        <v>3526</v>
      </c>
      <c r="AP42" s="21">
        <v>3529</v>
      </c>
      <c r="AQ42" s="21">
        <v>3537</v>
      </c>
      <c r="AR42" s="21">
        <v>3587</v>
      </c>
      <c r="AS42" s="21">
        <v>3472</v>
      </c>
      <c r="AT42" s="21">
        <v>3455</v>
      </c>
      <c r="AU42" s="21">
        <v>3387</v>
      </c>
      <c r="AV42" s="21">
        <v>3342</v>
      </c>
      <c r="AW42" s="21">
        <v>3301</v>
      </c>
      <c r="AX42" s="21">
        <v>3423</v>
      </c>
      <c r="AY42" s="21">
        <v>3435</v>
      </c>
      <c r="AZ42" s="21">
        <v>3413</v>
      </c>
      <c r="BA42" s="21">
        <v>3495</v>
      </c>
      <c r="BB42" s="21">
        <v>3544</v>
      </c>
      <c r="BC42" s="21">
        <v>3592</v>
      </c>
      <c r="BD42" s="21">
        <v>3548</v>
      </c>
      <c r="BE42" s="21">
        <v>3517</v>
      </c>
      <c r="BF42" s="21">
        <v>3460</v>
      </c>
      <c r="BG42" s="21">
        <v>3410</v>
      </c>
      <c r="BH42" s="21">
        <v>3380</v>
      </c>
      <c r="BI42" s="21">
        <v>3434</v>
      </c>
      <c r="BJ42" s="21">
        <v>3526</v>
      </c>
      <c r="BK42" s="21">
        <v>3590</v>
      </c>
      <c r="BL42" s="21">
        <v>3690</v>
      </c>
      <c r="BM42" s="1">
        <v>3680</v>
      </c>
      <c r="BN42" s="1">
        <v>3567</v>
      </c>
      <c r="BO42" s="1">
        <v>3556</v>
      </c>
      <c r="BP42" s="1">
        <v>3549</v>
      </c>
      <c r="BQ42" s="1">
        <v>3502</v>
      </c>
      <c r="BR42" s="1">
        <v>3524</v>
      </c>
      <c r="BS42" s="1">
        <v>3508</v>
      </c>
      <c r="BT42" s="1">
        <v>3482</v>
      </c>
      <c r="BU42" s="1">
        <v>3516</v>
      </c>
      <c r="BV42" s="1">
        <v>3572</v>
      </c>
      <c r="BW42" s="1">
        <v>3529</v>
      </c>
      <c r="BX42" s="1">
        <v>3602</v>
      </c>
      <c r="BY42" s="1">
        <v>3572</v>
      </c>
      <c r="BZ42" s="1">
        <v>3667</v>
      </c>
    </row>
    <row r="43" spans="1:254" ht="15.9" customHeight="1">
      <c r="A43" s="78" t="s">
        <v>81</v>
      </c>
      <c r="B43" s="17" t="s">
        <v>82</v>
      </c>
      <c r="C43" s="543">
        <f>_xll.RssMarket("8750","始値")</f>
        <v>1902</v>
      </c>
      <c r="D43" s="23">
        <f t="shared" si="1"/>
        <v>0</v>
      </c>
      <c r="E43" s="550">
        <v>1902</v>
      </c>
      <c r="F43" s="21">
        <v>1891.5</v>
      </c>
      <c r="G43" s="21">
        <v>1875</v>
      </c>
      <c r="H43" s="21">
        <v>1898</v>
      </c>
      <c r="I43" s="21">
        <v>1919</v>
      </c>
      <c r="J43" s="21">
        <v>1878</v>
      </c>
      <c r="K43" s="21">
        <v>1903.5</v>
      </c>
      <c r="L43" s="21">
        <v>1934.5</v>
      </c>
      <c r="M43" s="21">
        <v>1940</v>
      </c>
      <c r="N43" s="21"/>
      <c r="O43" s="21">
        <v>1883.5</v>
      </c>
      <c r="P43" s="21">
        <v>1875.5</v>
      </c>
      <c r="Q43" s="21">
        <v>1810.5</v>
      </c>
      <c r="R43" s="21">
        <v>1836</v>
      </c>
      <c r="S43" s="21">
        <v>1911</v>
      </c>
      <c r="T43" s="21">
        <v>1830</v>
      </c>
      <c r="U43" s="21">
        <v>1840.5</v>
      </c>
      <c r="V43" s="21">
        <v>1883.5</v>
      </c>
      <c r="W43" s="21">
        <v>1843.5</v>
      </c>
      <c r="X43" s="21">
        <v>1858.5</v>
      </c>
      <c r="Y43" s="21">
        <v>1885</v>
      </c>
      <c r="Z43" s="21">
        <v>1849</v>
      </c>
      <c r="AA43" s="21">
        <v>1863.5</v>
      </c>
      <c r="AB43" s="21">
        <v>1819.5</v>
      </c>
      <c r="AC43" s="21">
        <v>1781</v>
      </c>
      <c r="AD43" s="21">
        <v>1759</v>
      </c>
      <c r="AE43" s="21">
        <v>1732.5</v>
      </c>
      <c r="AF43" s="21">
        <v>1713</v>
      </c>
      <c r="AG43" s="21">
        <v>1744.5</v>
      </c>
      <c r="AH43" s="21">
        <v>1794</v>
      </c>
      <c r="AI43" s="21">
        <v>1845</v>
      </c>
      <c r="AJ43" s="21">
        <v>1800</v>
      </c>
      <c r="AK43" s="21">
        <v>1812.5</v>
      </c>
      <c r="AL43" s="21">
        <v>1800</v>
      </c>
      <c r="AM43" s="21">
        <v>1820</v>
      </c>
      <c r="AN43" s="21">
        <v>1770</v>
      </c>
      <c r="AO43" s="21">
        <v>1768</v>
      </c>
      <c r="AP43" s="21">
        <v>1756.5</v>
      </c>
      <c r="AQ43" s="21">
        <v>1727.5</v>
      </c>
      <c r="AR43" s="21">
        <v>1757</v>
      </c>
      <c r="AS43" s="21">
        <v>1628</v>
      </c>
      <c r="AT43" s="21">
        <v>1687.5</v>
      </c>
      <c r="AU43" s="21">
        <v>1610</v>
      </c>
      <c r="AV43" s="21">
        <v>1628.5</v>
      </c>
      <c r="AW43" s="21">
        <v>1616.5</v>
      </c>
      <c r="AX43" s="21">
        <v>1615</v>
      </c>
      <c r="AY43" s="21">
        <v>1650</v>
      </c>
      <c r="AZ43" s="21">
        <v>1659.5</v>
      </c>
      <c r="BA43" s="21">
        <v>1645.5</v>
      </c>
      <c r="BB43" s="21">
        <v>1669</v>
      </c>
      <c r="BC43" s="21">
        <v>1656</v>
      </c>
      <c r="BD43" s="21">
        <v>1669</v>
      </c>
      <c r="BE43" s="21">
        <v>1655</v>
      </c>
      <c r="BF43" s="21">
        <v>1658</v>
      </c>
      <c r="BG43" s="21">
        <v>1500</v>
      </c>
      <c r="BH43" s="21">
        <v>1492</v>
      </c>
      <c r="BI43" s="21">
        <v>1479</v>
      </c>
      <c r="BJ43" s="21">
        <v>1488</v>
      </c>
      <c r="BK43" s="21">
        <v>1421.5</v>
      </c>
      <c r="BL43" s="21">
        <v>1457</v>
      </c>
      <c r="BM43" s="1">
        <v>1438</v>
      </c>
      <c r="BN43" s="1">
        <v>1419.5</v>
      </c>
      <c r="BO43" s="1">
        <v>1440.5</v>
      </c>
      <c r="BP43" s="1">
        <v>1409</v>
      </c>
      <c r="BQ43" s="1">
        <v>1386</v>
      </c>
      <c r="BR43" s="1">
        <v>1423</v>
      </c>
      <c r="BS43" s="1">
        <v>1414</v>
      </c>
      <c r="BT43" s="1">
        <v>1437</v>
      </c>
      <c r="BU43" s="1">
        <v>1465</v>
      </c>
      <c r="BV43" s="1">
        <v>1478.5</v>
      </c>
      <c r="BW43" s="1">
        <v>1492.5</v>
      </c>
      <c r="BX43" s="1">
        <v>1499</v>
      </c>
      <c r="BY43" s="1">
        <v>1494.5</v>
      </c>
      <c r="BZ43" s="1">
        <v>1499</v>
      </c>
    </row>
    <row r="44" spans="1:254" ht="15.9" customHeight="1">
      <c r="A44" s="78" t="s">
        <v>83</v>
      </c>
      <c r="B44" s="17" t="s">
        <v>84</v>
      </c>
      <c r="C44" s="543">
        <f>_xll.RssMarket("3402","始値")</f>
        <v>1188</v>
      </c>
      <c r="D44" s="23">
        <f t="shared" si="1"/>
        <v>0</v>
      </c>
      <c r="E44" s="550">
        <v>1188</v>
      </c>
      <c r="F44" s="21">
        <v>1151</v>
      </c>
      <c r="G44" s="21">
        <v>1141.5</v>
      </c>
      <c r="H44" s="21">
        <v>1140</v>
      </c>
      <c r="I44" s="21">
        <v>1157.5</v>
      </c>
      <c r="J44" s="21">
        <v>1151</v>
      </c>
      <c r="K44" s="21">
        <v>1171</v>
      </c>
      <c r="L44" s="21">
        <v>1167.5</v>
      </c>
      <c r="M44" s="21">
        <v>1163.5</v>
      </c>
      <c r="N44" s="21">
        <v>1164.5</v>
      </c>
      <c r="O44" s="21">
        <v>1171.5</v>
      </c>
      <c r="P44" s="21">
        <v>1170</v>
      </c>
      <c r="Q44" s="21">
        <v>1161</v>
      </c>
      <c r="R44" s="21">
        <v>1160</v>
      </c>
      <c r="S44" s="21">
        <v>1181</v>
      </c>
      <c r="T44" s="21">
        <v>1140.5</v>
      </c>
      <c r="U44" s="21">
        <v>1155</v>
      </c>
      <c r="V44" s="21">
        <v>1153.5</v>
      </c>
      <c r="W44" s="21">
        <v>1145</v>
      </c>
      <c r="X44" s="21">
        <v>1150.5</v>
      </c>
      <c r="Y44" s="21">
        <v>1150</v>
      </c>
      <c r="Z44" s="21">
        <v>1180</v>
      </c>
      <c r="AA44" s="21">
        <v>1142</v>
      </c>
      <c r="AB44" s="21">
        <v>1129</v>
      </c>
      <c r="AC44" s="21">
        <v>1132</v>
      </c>
      <c r="AD44" s="21">
        <v>1142</v>
      </c>
      <c r="AE44" s="21">
        <v>1141</v>
      </c>
      <c r="AF44" s="21">
        <v>1152</v>
      </c>
      <c r="AG44" s="21">
        <v>1168</v>
      </c>
      <c r="AH44" s="21">
        <v>1135</v>
      </c>
      <c r="AI44" s="21">
        <v>1168.5</v>
      </c>
      <c r="AJ44" s="21">
        <v>1146.5</v>
      </c>
      <c r="AK44" s="21">
        <v>1170</v>
      </c>
      <c r="AL44" s="21">
        <v>1183</v>
      </c>
      <c r="AM44" s="21">
        <v>1170.5</v>
      </c>
      <c r="AN44" s="21">
        <v>1198</v>
      </c>
      <c r="AO44" s="21">
        <v>1195</v>
      </c>
      <c r="AP44" s="21">
        <v>1142</v>
      </c>
      <c r="AQ44" s="21">
        <v>1103</v>
      </c>
      <c r="AR44" s="21">
        <v>1106</v>
      </c>
      <c r="AS44" s="21">
        <v>1103</v>
      </c>
      <c r="AT44" s="21">
        <v>1100</v>
      </c>
      <c r="AU44" s="21">
        <v>1140.5</v>
      </c>
      <c r="AV44" s="21">
        <v>1177.5</v>
      </c>
      <c r="AW44" s="21">
        <v>1125.5</v>
      </c>
      <c r="AX44" s="21">
        <v>1141</v>
      </c>
      <c r="AY44" s="21">
        <v>1150</v>
      </c>
      <c r="AZ44" s="21">
        <v>1152</v>
      </c>
      <c r="BA44" s="21">
        <v>1103.5</v>
      </c>
      <c r="BB44" s="21">
        <v>1093</v>
      </c>
      <c r="BC44" s="21">
        <v>1093.5</v>
      </c>
      <c r="BD44" s="21">
        <v>1071</v>
      </c>
      <c r="BE44" s="21">
        <v>1095</v>
      </c>
      <c r="BF44" s="21">
        <v>1125</v>
      </c>
      <c r="BG44" s="21">
        <v>1165</v>
      </c>
      <c r="BH44" s="21">
        <v>1169</v>
      </c>
      <c r="BI44" s="21">
        <v>1145</v>
      </c>
      <c r="BJ44" s="21">
        <v>1135</v>
      </c>
      <c r="BK44" s="21">
        <v>1122</v>
      </c>
      <c r="BL44" s="21">
        <v>1138</v>
      </c>
      <c r="BM44" s="1">
        <v>1131</v>
      </c>
      <c r="BN44" s="1">
        <v>1118.5</v>
      </c>
      <c r="BO44" s="1">
        <v>1122</v>
      </c>
      <c r="BP44" s="1">
        <v>1130</v>
      </c>
      <c r="BQ44" s="1">
        <v>1101</v>
      </c>
      <c r="BR44" s="1">
        <v>1120</v>
      </c>
      <c r="BS44" s="1">
        <v>1113.5</v>
      </c>
      <c r="BT44" s="1">
        <v>1137</v>
      </c>
      <c r="BU44" s="1">
        <v>1150</v>
      </c>
      <c r="BV44" s="1">
        <v>1157</v>
      </c>
      <c r="BW44" s="1">
        <v>1161.5</v>
      </c>
      <c r="BX44" s="1">
        <v>1143.5</v>
      </c>
      <c r="BY44" s="1">
        <v>1152.5</v>
      </c>
      <c r="BZ44" s="1">
        <v>1154.5</v>
      </c>
    </row>
    <row r="45" spans="1:254" ht="15.9" customHeight="1">
      <c r="A45" s="78" t="s">
        <v>85</v>
      </c>
      <c r="B45" s="17" t="s">
        <v>86</v>
      </c>
      <c r="C45" s="543">
        <f>_xll.RssMarket("8306","始値")</f>
        <v>3541</v>
      </c>
      <c r="D45" s="23">
        <f t="shared" si="1"/>
        <v>0</v>
      </c>
      <c r="E45" s="550">
        <v>3541</v>
      </c>
      <c r="F45" s="21">
        <v>3480</v>
      </c>
      <c r="G45" s="21">
        <v>3465</v>
      </c>
      <c r="H45" s="21">
        <v>3530</v>
      </c>
      <c r="I45" s="21">
        <v>3595</v>
      </c>
      <c r="J45" s="21">
        <v>3560</v>
      </c>
      <c r="K45" s="21">
        <v>3645</v>
      </c>
      <c r="L45" s="21">
        <v>3760</v>
      </c>
      <c r="M45" s="21">
        <v>3770</v>
      </c>
      <c r="N45" s="21">
        <v>3680</v>
      </c>
      <c r="O45" s="21">
        <v>3626</v>
      </c>
      <c r="P45" s="21">
        <v>3599</v>
      </c>
      <c r="Q45" s="21">
        <v>3519</v>
      </c>
      <c r="R45" s="21">
        <v>3614</v>
      </c>
      <c r="S45" s="21">
        <v>3656</v>
      </c>
      <c r="T45" s="21">
        <v>3511</v>
      </c>
      <c r="U45" s="21">
        <v>3487</v>
      </c>
      <c r="V45" s="21">
        <v>3468</v>
      </c>
      <c r="W45" s="21">
        <v>3399</v>
      </c>
      <c r="X45" s="21">
        <v>3455</v>
      </c>
      <c r="Y45" s="21">
        <v>3430</v>
      </c>
      <c r="Z45" s="21">
        <v>3314</v>
      </c>
      <c r="AA45" s="21">
        <v>3325</v>
      </c>
      <c r="AB45" s="21">
        <v>3282</v>
      </c>
      <c r="AC45" s="21">
        <v>3215</v>
      </c>
      <c r="AD45" s="21">
        <v>3238</v>
      </c>
      <c r="AE45" s="21">
        <v>3245</v>
      </c>
      <c r="AF45" s="21">
        <v>3240</v>
      </c>
      <c r="AG45" s="21">
        <v>3275</v>
      </c>
      <c r="AH45" s="21">
        <v>3291</v>
      </c>
      <c r="AI45" s="21">
        <v>3336</v>
      </c>
      <c r="AJ45" s="21">
        <v>3242</v>
      </c>
      <c r="AK45" s="21">
        <v>3370</v>
      </c>
      <c r="AL45" s="21">
        <v>3324</v>
      </c>
      <c r="AM45" s="21">
        <v>3266</v>
      </c>
      <c r="AN45" s="21">
        <v>3225</v>
      </c>
      <c r="AO45" s="21">
        <v>3231</v>
      </c>
      <c r="AP45" s="21">
        <v>3141</v>
      </c>
      <c r="AQ45" s="21">
        <v>3113</v>
      </c>
      <c r="AR45" s="21">
        <v>3230</v>
      </c>
      <c r="AS45" s="21">
        <v>3200</v>
      </c>
      <c r="AT45" s="21">
        <v>3210</v>
      </c>
      <c r="AU45" s="21">
        <v>3137</v>
      </c>
      <c r="AV45" s="21">
        <v>3062</v>
      </c>
      <c r="AW45" s="21">
        <v>3013</v>
      </c>
      <c r="AX45" s="21">
        <v>2995</v>
      </c>
      <c r="AY45" s="21">
        <v>3010</v>
      </c>
      <c r="AZ45" s="21">
        <v>3061</v>
      </c>
      <c r="BA45" s="21">
        <v>3090</v>
      </c>
      <c r="BB45" s="21">
        <v>3098</v>
      </c>
      <c r="BC45" s="21">
        <v>3090</v>
      </c>
      <c r="BD45" s="21">
        <v>3162</v>
      </c>
      <c r="BE45" s="21">
        <v>3030</v>
      </c>
      <c r="BF45" s="21">
        <v>2979</v>
      </c>
      <c r="BG45" s="21">
        <v>2910.5</v>
      </c>
      <c r="BH45" s="21">
        <v>2920.5</v>
      </c>
      <c r="BI45" s="21">
        <v>2875.5</v>
      </c>
      <c r="BJ45" s="21">
        <v>2885.5</v>
      </c>
      <c r="BK45" s="21">
        <v>2810</v>
      </c>
      <c r="BL45" s="21">
        <v>2816.5</v>
      </c>
      <c r="BM45" s="1">
        <v>2850</v>
      </c>
      <c r="BN45" s="1">
        <v>2800</v>
      </c>
      <c r="BO45" s="1">
        <v>2868</v>
      </c>
      <c r="BP45" s="1">
        <v>2821</v>
      </c>
      <c r="BQ45" s="1">
        <v>2745</v>
      </c>
      <c r="BR45" s="1">
        <v>2782.5</v>
      </c>
      <c r="BS45" s="1">
        <v>2794</v>
      </c>
      <c r="BT45" s="1">
        <v>2820</v>
      </c>
      <c r="BU45" s="1">
        <v>2879.5</v>
      </c>
      <c r="BV45" s="1">
        <v>2885</v>
      </c>
      <c r="BW45" s="1">
        <v>2920</v>
      </c>
      <c r="BX45" s="1">
        <v>2935</v>
      </c>
      <c r="BY45" s="1">
        <v>2866</v>
      </c>
      <c r="BZ45" s="1">
        <v>2889.5</v>
      </c>
    </row>
    <row r="46" spans="1:254" ht="15.9" customHeight="1">
      <c r="A46" s="78" t="s">
        <v>87</v>
      </c>
      <c r="B46" s="17" t="s">
        <v>88</v>
      </c>
      <c r="C46" s="543">
        <f>_xll.RssMarket("5401","始値")</f>
        <v>665</v>
      </c>
      <c r="D46" s="23">
        <f t="shared" si="1"/>
        <v>0</v>
      </c>
      <c r="E46" s="550">
        <v>665</v>
      </c>
      <c r="F46" s="21">
        <v>658</v>
      </c>
      <c r="G46" s="21">
        <v>647.6</v>
      </c>
      <c r="H46" s="21">
        <v>645</v>
      </c>
      <c r="I46" s="21">
        <v>645</v>
      </c>
      <c r="J46" s="21">
        <v>657.1</v>
      </c>
      <c r="K46" s="21">
        <v>650</v>
      </c>
      <c r="L46" s="21">
        <v>646</v>
      </c>
      <c r="M46" s="21">
        <v>624</v>
      </c>
      <c r="N46" s="21"/>
      <c r="O46" s="21">
        <v>603.79999999999995</v>
      </c>
      <c r="P46" s="21">
        <v>593.9</v>
      </c>
      <c r="Q46" s="21">
        <v>587.4</v>
      </c>
      <c r="R46" s="21">
        <v>580.20000000000005</v>
      </c>
      <c r="S46" s="21">
        <v>572.9</v>
      </c>
      <c r="T46" s="21">
        <v>559.70000000000005</v>
      </c>
      <c r="U46" s="21">
        <v>560</v>
      </c>
      <c r="V46" s="21">
        <v>555.5</v>
      </c>
      <c r="W46" s="21">
        <v>555</v>
      </c>
      <c r="X46" s="21">
        <v>559.6</v>
      </c>
      <c r="Y46" s="21">
        <v>562.79999999999995</v>
      </c>
      <c r="Z46" s="21">
        <v>554</v>
      </c>
      <c r="AA46" s="21">
        <v>551.79999999999995</v>
      </c>
      <c r="AB46" s="21">
        <v>531</v>
      </c>
      <c r="AC46" s="21">
        <v>540</v>
      </c>
      <c r="AD46" s="21">
        <v>545.70000000000005</v>
      </c>
      <c r="AE46" s="21">
        <v>545</v>
      </c>
      <c r="AF46" s="21">
        <v>545</v>
      </c>
      <c r="AG46" s="21">
        <v>549.70000000000005</v>
      </c>
      <c r="AH46" s="21">
        <v>550</v>
      </c>
      <c r="AI46" s="21">
        <v>561.6</v>
      </c>
      <c r="AJ46" s="21">
        <v>566.20000000000005</v>
      </c>
      <c r="AK46" s="21">
        <v>567.1</v>
      </c>
      <c r="AL46" s="21">
        <v>561.6</v>
      </c>
      <c r="AM46" s="21">
        <v>566</v>
      </c>
      <c r="AN46" s="21">
        <v>571.9</v>
      </c>
      <c r="AO46" s="21">
        <v>560</v>
      </c>
      <c r="AP46" s="21">
        <v>543.29999999999995</v>
      </c>
      <c r="AQ46" s="21">
        <v>537.4</v>
      </c>
      <c r="AR46" s="21">
        <v>543.4</v>
      </c>
      <c r="AS46" s="21">
        <v>540.4</v>
      </c>
      <c r="AT46" s="21">
        <v>547.5</v>
      </c>
      <c r="AU46" s="21">
        <v>544.70000000000005</v>
      </c>
      <c r="AV46" s="21">
        <v>539.5</v>
      </c>
      <c r="AW46" s="21">
        <v>540</v>
      </c>
      <c r="AX46" s="21">
        <v>567.4</v>
      </c>
      <c r="AY46" s="21">
        <v>567</v>
      </c>
      <c r="AZ46" s="21">
        <v>557.9</v>
      </c>
      <c r="BA46" s="21">
        <v>555.79999999999995</v>
      </c>
      <c r="BB46" s="21">
        <v>549</v>
      </c>
      <c r="BC46" s="21">
        <v>545.79999999999995</v>
      </c>
      <c r="BD46" s="21">
        <v>550</v>
      </c>
      <c r="BE46" s="21">
        <v>553</v>
      </c>
      <c r="BF46" s="21">
        <v>560</v>
      </c>
      <c r="BG46" s="21">
        <v>552.5</v>
      </c>
      <c r="BH46" s="21">
        <v>569.20000000000005</v>
      </c>
      <c r="BI46" s="21">
        <v>560</v>
      </c>
      <c r="BJ46" s="21">
        <v>560</v>
      </c>
      <c r="BK46" s="21">
        <v>568</v>
      </c>
      <c r="BL46" s="21">
        <v>579.70000000000005</v>
      </c>
      <c r="BM46" s="1">
        <v>577.79999999999995</v>
      </c>
      <c r="BN46" s="1">
        <v>569</v>
      </c>
      <c r="BO46" s="1">
        <v>573.5</v>
      </c>
      <c r="BP46" s="1">
        <v>575.20000000000005</v>
      </c>
      <c r="BQ46" s="1">
        <v>575</v>
      </c>
      <c r="BR46" s="1">
        <v>578.6</v>
      </c>
      <c r="BS46" s="1">
        <v>589</v>
      </c>
      <c r="BT46" s="1">
        <v>593.20000000000005</v>
      </c>
      <c r="BU46" s="1">
        <v>597.5</v>
      </c>
      <c r="BV46" s="1">
        <v>597.5</v>
      </c>
      <c r="BW46" s="1">
        <v>595.29999999999995</v>
      </c>
      <c r="BX46" s="1">
        <v>597.79999999999995</v>
      </c>
      <c r="BY46" s="1">
        <v>595.9</v>
      </c>
      <c r="BZ46" s="1">
        <v>599</v>
      </c>
    </row>
    <row r="47" spans="1:254" ht="15.9" customHeight="1">
      <c r="A47" s="78" t="s">
        <v>89</v>
      </c>
      <c r="B47" s="17" t="s">
        <v>90</v>
      </c>
      <c r="C47" s="543">
        <f>_xll.RssMarket("8572","始値")</f>
        <v>471.6</v>
      </c>
      <c r="D47" s="23">
        <f t="shared" si="1"/>
        <v>0</v>
      </c>
      <c r="E47" s="550">
        <v>471.6</v>
      </c>
      <c r="F47" s="21">
        <v>476</v>
      </c>
      <c r="G47" s="21">
        <v>475.8</v>
      </c>
      <c r="H47" s="21">
        <v>481.9</v>
      </c>
      <c r="I47" s="21">
        <v>485</v>
      </c>
      <c r="J47" s="21">
        <v>486</v>
      </c>
      <c r="K47" s="21">
        <v>493.8</v>
      </c>
      <c r="L47" s="21">
        <v>495.5</v>
      </c>
      <c r="M47" s="21">
        <v>488.8</v>
      </c>
      <c r="N47" s="21">
        <v>485</v>
      </c>
      <c r="O47" s="21">
        <v>492</v>
      </c>
      <c r="P47" s="21">
        <v>488.1</v>
      </c>
      <c r="Q47" s="21">
        <v>485.1</v>
      </c>
      <c r="R47" s="21">
        <v>488</v>
      </c>
      <c r="S47" s="21">
        <v>488.9</v>
      </c>
      <c r="T47" s="21">
        <v>480.9</v>
      </c>
      <c r="U47" s="21">
        <v>483.5</v>
      </c>
      <c r="V47" s="21">
        <v>483.8</v>
      </c>
      <c r="W47" s="21">
        <v>482</v>
      </c>
      <c r="X47" s="21">
        <v>485</v>
      </c>
      <c r="Y47" s="21">
        <v>485.9</v>
      </c>
      <c r="Z47" s="21">
        <v>473.8</v>
      </c>
      <c r="AA47" s="21">
        <v>468</v>
      </c>
      <c r="AB47" s="21">
        <v>458</v>
      </c>
      <c r="AC47" s="21">
        <v>453</v>
      </c>
      <c r="AD47" s="21">
        <v>454.6</v>
      </c>
      <c r="AE47" s="21">
        <v>453.7</v>
      </c>
      <c r="AF47" s="21">
        <v>445.5</v>
      </c>
      <c r="AG47" s="21">
        <v>451.4</v>
      </c>
      <c r="AH47" s="21">
        <v>448</v>
      </c>
      <c r="AI47" s="21">
        <v>450.1</v>
      </c>
      <c r="AJ47" s="21">
        <v>447</v>
      </c>
      <c r="AK47" s="21">
        <v>446</v>
      </c>
      <c r="AL47" s="21">
        <v>450.6</v>
      </c>
      <c r="AM47" s="21">
        <v>453.3</v>
      </c>
      <c r="AN47" s="21">
        <v>451.1</v>
      </c>
      <c r="AO47" s="21">
        <v>456</v>
      </c>
      <c r="AP47" s="21">
        <v>449.5</v>
      </c>
      <c r="AQ47" s="21">
        <v>450</v>
      </c>
      <c r="AR47" s="21">
        <v>451.9</v>
      </c>
      <c r="AS47" s="21">
        <v>442.1</v>
      </c>
      <c r="AT47" s="21">
        <v>445</v>
      </c>
      <c r="AU47" s="21">
        <v>445.1</v>
      </c>
      <c r="AV47" s="21">
        <v>447.2</v>
      </c>
      <c r="AW47" s="21">
        <v>453.3</v>
      </c>
      <c r="AX47" s="21">
        <v>466.4</v>
      </c>
      <c r="AY47" s="21">
        <v>468.3</v>
      </c>
      <c r="AZ47" s="21">
        <v>466.5</v>
      </c>
      <c r="BA47" s="21">
        <v>462.4</v>
      </c>
      <c r="BB47" s="21">
        <v>469</v>
      </c>
      <c r="BC47" s="21">
        <v>466.7</v>
      </c>
      <c r="BD47" s="21">
        <v>464</v>
      </c>
      <c r="BE47" s="21">
        <v>462.9</v>
      </c>
      <c r="BF47" s="21">
        <v>468</v>
      </c>
      <c r="BG47" s="21">
        <v>457.1</v>
      </c>
      <c r="BH47" s="21">
        <v>459.9</v>
      </c>
      <c r="BI47" s="21">
        <v>467.1</v>
      </c>
      <c r="BJ47" s="21">
        <v>491</v>
      </c>
      <c r="BK47" s="21">
        <v>492.5</v>
      </c>
      <c r="BL47" s="21">
        <v>491.6</v>
      </c>
      <c r="BM47" s="1">
        <v>499</v>
      </c>
      <c r="BN47" s="1">
        <v>497.7</v>
      </c>
      <c r="BO47" s="1">
        <v>501</v>
      </c>
      <c r="BP47" s="1">
        <v>498.5</v>
      </c>
      <c r="BQ47" s="1">
        <v>499.6</v>
      </c>
      <c r="BR47" s="1">
        <v>497.9</v>
      </c>
      <c r="BS47" s="1">
        <v>511</v>
      </c>
      <c r="BT47" s="1">
        <v>514.9</v>
      </c>
      <c r="BU47" s="1">
        <v>501.5</v>
      </c>
      <c r="BV47" s="1">
        <v>489</v>
      </c>
      <c r="BW47" s="1">
        <v>484.7</v>
      </c>
      <c r="BX47" s="1">
        <v>481.8</v>
      </c>
      <c r="BY47" s="1">
        <v>482</v>
      </c>
      <c r="BZ47" s="1">
        <v>478</v>
      </c>
    </row>
    <row r="48" spans="1:254" ht="15.9" customHeight="1">
      <c r="A48" s="78" t="s">
        <v>91</v>
      </c>
      <c r="B48" s="17" t="s">
        <v>92</v>
      </c>
      <c r="C48" s="543">
        <f>_xll.RssMarket("3941","始値")</f>
        <v>1650</v>
      </c>
      <c r="D48" s="23">
        <f t="shared" si="1"/>
        <v>0</v>
      </c>
      <c r="E48" s="550">
        <v>1650</v>
      </c>
      <c r="F48" s="21">
        <v>1507</v>
      </c>
      <c r="G48" s="21">
        <v>1498.5</v>
      </c>
      <c r="H48" s="21">
        <v>1504</v>
      </c>
      <c r="I48" s="21">
        <v>1501</v>
      </c>
      <c r="J48" s="21">
        <v>1519.5</v>
      </c>
      <c r="K48" s="21">
        <v>1479.5</v>
      </c>
      <c r="L48" s="21">
        <v>1529.5</v>
      </c>
      <c r="M48" s="21">
        <v>1479.5</v>
      </c>
      <c r="N48" s="21">
        <v>1453</v>
      </c>
      <c r="O48" s="21">
        <v>1465</v>
      </c>
      <c r="P48" s="21">
        <v>1463.5</v>
      </c>
      <c r="Q48" s="21">
        <v>1436.5</v>
      </c>
      <c r="R48" s="21">
        <v>1451.5</v>
      </c>
      <c r="S48" s="21">
        <v>1430</v>
      </c>
      <c r="T48" s="21">
        <v>1407.5</v>
      </c>
      <c r="U48" s="21">
        <v>1429</v>
      </c>
      <c r="V48" s="21">
        <v>1409</v>
      </c>
      <c r="W48" s="21">
        <v>1444</v>
      </c>
      <c r="X48" s="21">
        <v>1411.5</v>
      </c>
      <c r="Y48" s="21">
        <v>1428.5</v>
      </c>
      <c r="Z48" s="21">
        <v>1417</v>
      </c>
      <c r="AA48" s="21">
        <v>1406.5</v>
      </c>
      <c r="AB48" s="21">
        <v>1421</v>
      </c>
      <c r="AC48" s="21">
        <v>1421.5</v>
      </c>
      <c r="AD48" s="21">
        <v>1411.5</v>
      </c>
      <c r="AE48" s="21">
        <v>1444</v>
      </c>
      <c r="AF48" s="21">
        <v>1420</v>
      </c>
      <c r="AG48" s="21">
        <v>1412.5</v>
      </c>
      <c r="AH48" s="21">
        <v>1410</v>
      </c>
      <c r="AI48" s="21">
        <v>1402.5</v>
      </c>
      <c r="AJ48" s="21">
        <v>1430</v>
      </c>
      <c r="AK48" s="21">
        <v>1424</v>
      </c>
      <c r="AL48" s="21">
        <v>1420</v>
      </c>
      <c r="AM48" s="21">
        <v>1416.5</v>
      </c>
      <c r="AN48" s="21">
        <v>1420.5</v>
      </c>
      <c r="AO48" s="21">
        <v>1393</v>
      </c>
      <c r="AP48" s="21">
        <v>1382</v>
      </c>
      <c r="AQ48" s="21">
        <v>1369</v>
      </c>
      <c r="AR48" s="21">
        <v>1404</v>
      </c>
      <c r="AS48" s="21">
        <v>1359</v>
      </c>
      <c r="AT48" s="21">
        <v>1388.5</v>
      </c>
      <c r="AU48" s="21">
        <v>1392.5</v>
      </c>
      <c r="AV48" s="21">
        <v>1400</v>
      </c>
      <c r="AW48" s="21">
        <v>1385</v>
      </c>
      <c r="AX48" s="21">
        <v>1422.5</v>
      </c>
      <c r="AY48" s="21">
        <v>1422.5</v>
      </c>
      <c r="AZ48" s="21">
        <v>1418</v>
      </c>
      <c r="BA48" s="21">
        <v>1399.5</v>
      </c>
      <c r="BB48" s="21">
        <v>1412.5</v>
      </c>
      <c r="BC48" s="21">
        <v>1403.5</v>
      </c>
      <c r="BD48" s="21">
        <v>1398</v>
      </c>
      <c r="BE48" s="21">
        <v>1408.5</v>
      </c>
      <c r="BF48" s="21">
        <v>1399.5</v>
      </c>
      <c r="BG48" s="21">
        <v>1392</v>
      </c>
      <c r="BH48" s="21">
        <v>1260</v>
      </c>
      <c r="BI48" s="21">
        <v>1229.5</v>
      </c>
      <c r="BJ48" s="21">
        <v>1230</v>
      </c>
      <c r="BK48" s="21">
        <v>1239</v>
      </c>
      <c r="BL48" s="21">
        <v>1233.5</v>
      </c>
      <c r="BM48" s="1">
        <v>1222.5</v>
      </c>
      <c r="BN48" s="1">
        <v>1231</v>
      </c>
      <c r="BO48" s="1">
        <v>1231</v>
      </c>
      <c r="BP48" s="1">
        <v>1265</v>
      </c>
      <c r="BQ48" s="1">
        <v>1351</v>
      </c>
      <c r="BR48" s="1">
        <v>1286</v>
      </c>
      <c r="BS48" s="1">
        <v>1290.5</v>
      </c>
      <c r="BT48" s="1">
        <v>1311.5</v>
      </c>
      <c r="BU48" s="1">
        <v>1286.5</v>
      </c>
      <c r="BV48" s="1">
        <v>1260</v>
      </c>
      <c r="BW48" s="1">
        <v>1274</v>
      </c>
      <c r="BX48" s="1">
        <v>1257</v>
      </c>
      <c r="BY48" s="1">
        <v>1265</v>
      </c>
      <c r="BZ48" s="1">
        <v>1264.5</v>
      </c>
    </row>
    <row r="49" spans="1:254" ht="15.9" customHeight="1">
      <c r="A49" s="78" t="s">
        <v>93</v>
      </c>
      <c r="B49" s="17" t="s">
        <v>94</v>
      </c>
      <c r="C49" s="543">
        <f>_xll.RssMarket("5929","始値")</f>
        <v>3627</v>
      </c>
      <c r="D49" s="23">
        <f t="shared" si="1"/>
        <v>0</v>
      </c>
      <c r="E49" s="550">
        <v>3627</v>
      </c>
      <c r="F49" s="21">
        <v>3516</v>
      </c>
      <c r="G49" s="21">
        <v>3530</v>
      </c>
      <c r="H49" s="21">
        <v>3480</v>
      </c>
      <c r="I49" s="21">
        <v>3875</v>
      </c>
      <c r="J49" s="21">
        <v>3942</v>
      </c>
      <c r="K49" s="21">
        <v>3987</v>
      </c>
      <c r="L49" s="21">
        <v>3878</v>
      </c>
      <c r="M49" s="21">
        <v>3829</v>
      </c>
      <c r="N49" s="21"/>
      <c r="O49" s="21">
        <v>3764</v>
      </c>
      <c r="P49" s="21">
        <v>3753</v>
      </c>
      <c r="Q49" s="21">
        <v>3809</v>
      </c>
      <c r="R49" s="21">
        <v>3712</v>
      </c>
      <c r="S49" s="21">
        <v>3689</v>
      </c>
      <c r="T49" s="21">
        <v>3693</v>
      </c>
      <c r="U49" s="21">
        <v>3696</v>
      </c>
      <c r="V49" s="21">
        <v>3697</v>
      </c>
      <c r="W49" s="21">
        <v>3707</v>
      </c>
      <c r="X49" s="21">
        <v>3838</v>
      </c>
      <c r="Y49" s="21">
        <v>3867</v>
      </c>
      <c r="Z49" s="21">
        <v>3846</v>
      </c>
      <c r="AA49" s="21">
        <v>3820</v>
      </c>
      <c r="AB49" s="21">
        <v>3745</v>
      </c>
      <c r="AC49" s="21">
        <v>3781</v>
      </c>
      <c r="AD49" s="21">
        <v>3853</v>
      </c>
      <c r="AE49" s="21">
        <v>3799</v>
      </c>
      <c r="AF49" s="21">
        <v>3749</v>
      </c>
      <c r="AG49" s="21">
        <v>3766</v>
      </c>
      <c r="AH49" s="21">
        <v>3661</v>
      </c>
      <c r="AI49" s="21">
        <v>3675</v>
      </c>
      <c r="AJ49" s="21">
        <v>3672</v>
      </c>
      <c r="AK49" s="21">
        <v>3703</v>
      </c>
      <c r="AL49" s="21">
        <v>3733</v>
      </c>
      <c r="AM49" s="21">
        <v>3750</v>
      </c>
      <c r="AN49" s="21">
        <v>3747</v>
      </c>
      <c r="AO49" s="21">
        <v>3673</v>
      </c>
      <c r="AP49" s="21">
        <v>3642</v>
      </c>
      <c r="AQ49" s="21">
        <v>3644</v>
      </c>
      <c r="AR49" s="21">
        <v>3615</v>
      </c>
      <c r="AS49" s="21">
        <v>3709</v>
      </c>
      <c r="AT49" s="21">
        <v>3549</v>
      </c>
      <c r="AU49" s="21">
        <v>3437</v>
      </c>
      <c r="AV49" s="21">
        <v>3384</v>
      </c>
      <c r="AW49" s="21">
        <v>3529</v>
      </c>
      <c r="AX49" s="21">
        <v>3525</v>
      </c>
      <c r="AY49" s="21">
        <v>3408</v>
      </c>
      <c r="AZ49" s="21">
        <v>3378</v>
      </c>
      <c r="BA49" s="21">
        <v>3306</v>
      </c>
      <c r="BB49" s="21">
        <v>3339</v>
      </c>
      <c r="BC49" s="21">
        <v>3297</v>
      </c>
      <c r="BD49" s="21">
        <v>3389</v>
      </c>
      <c r="BE49" s="21">
        <v>3315</v>
      </c>
      <c r="BF49" s="21">
        <v>3562</v>
      </c>
      <c r="BG49" s="21">
        <v>3664</v>
      </c>
      <c r="BH49" s="21">
        <v>3496</v>
      </c>
      <c r="BI49" s="21">
        <v>3538</v>
      </c>
      <c r="BJ49" s="21">
        <v>3612</v>
      </c>
      <c r="BK49" s="21">
        <v>3618</v>
      </c>
      <c r="BL49" s="21">
        <v>3625</v>
      </c>
      <c r="BM49" s="1">
        <v>3580</v>
      </c>
      <c r="BN49" s="1">
        <v>3609</v>
      </c>
      <c r="BO49" s="1">
        <v>3555</v>
      </c>
      <c r="BP49" s="1">
        <v>3637</v>
      </c>
      <c r="BQ49" s="1">
        <v>3580</v>
      </c>
      <c r="BR49" s="1">
        <v>3645</v>
      </c>
      <c r="BS49" s="1">
        <v>3611</v>
      </c>
      <c r="BT49" s="1">
        <v>3664</v>
      </c>
      <c r="BU49" s="1">
        <v>3626</v>
      </c>
      <c r="BV49" s="1">
        <v>3659</v>
      </c>
      <c r="BW49" s="1">
        <v>3636</v>
      </c>
      <c r="BX49" s="1">
        <v>3724</v>
      </c>
      <c r="BY49" s="1">
        <v>3763</v>
      </c>
      <c r="BZ49" s="1">
        <v>3751</v>
      </c>
    </row>
    <row r="50" spans="1:254" ht="15.9" customHeight="1">
      <c r="A50" s="78" t="s">
        <v>95</v>
      </c>
      <c r="B50" s="17" t="s">
        <v>96</v>
      </c>
      <c r="C50" s="543">
        <f>_xll.RssMarket("8316","始値")</f>
        <v>6700</v>
      </c>
      <c r="D50" s="23">
        <f t="shared" si="1"/>
        <v>0</v>
      </c>
      <c r="E50" s="550">
        <v>6700</v>
      </c>
      <c r="F50" s="21">
        <v>6560</v>
      </c>
      <c r="G50" s="21">
        <v>6565</v>
      </c>
      <c r="H50" s="21">
        <v>6700</v>
      </c>
      <c r="I50" s="21">
        <v>6790</v>
      </c>
      <c r="J50" s="21">
        <v>6730</v>
      </c>
      <c r="K50" s="21">
        <v>6857</v>
      </c>
      <c r="L50" s="21">
        <v>7100</v>
      </c>
      <c r="M50" s="21">
        <v>7200</v>
      </c>
      <c r="N50" s="21">
        <v>7065</v>
      </c>
      <c r="O50" s="21">
        <v>7000</v>
      </c>
      <c r="P50" s="21">
        <v>7020</v>
      </c>
      <c r="Q50" s="21">
        <v>6770</v>
      </c>
      <c r="R50" s="21">
        <v>7030</v>
      </c>
      <c r="S50" s="21">
        <v>7100</v>
      </c>
      <c r="T50" s="21">
        <v>6902</v>
      </c>
      <c r="U50" s="21">
        <v>6890</v>
      </c>
      <c r="V50" s="21">
        <v>6900</v>
      </c>
      <c r="W50" s="21">
        <v>6737</v>
      </c>
      <c r="X50" s="21">
        <v>6883</v>
      </c>
      <c r="Y50" s="21">
        <v>6880</v>
      </c>
      <c r="Z50" s="21">
        <v>6668</v>
      </c>
      <c r="AA50" s="21">
        <v>6649</v>
      </c>
      <c r="AB50" s="21">
        <v>6500</v>
      </c>
      <c r="AC50" s="21">
        <v>6346</v>
      </c>
      <c r="AD50" s="21">
        <v>6373</v>
      </c>
      <c r="AE50" s="21">
        <v>6415</v>
      </c>
      <c r="AF50" s="21">
        <v>6340</v>
      </c>
      <c r="AG50" s="21">
        <v>6430</v>
      </c>
      <c r="AH50" s="21">
        <v>6516</v>
      </c>
      <c r="AI50" s="21">
        <v>6581</v>
      </c>
      <c r="AJ50" s="21">
        <v>6471</v>
      </c>
      <c r="AK50" s="21">
        <v>6702</v>
      </c>
      <c r="AL50" s="21">
        <v>6600</v>
      </c>
      <c r="AM50" s="21">
        <v>6544</v>
      </c>
      <c r="AN50" s="21">
        <v>6455</v>
      </c>
      <c r="AO50" s="21">
        <v>6506</v>
      </c>
      <c r="AP50" s="21">
        <v>6350</v>
      </c>
      <c r="AQ50" s="21">
        <v>6127</v>
      </c>
      <c r="AR50" s="21">
        <v>6258</v>
      </c>
      <c r="AS50" s="21">
        <v>6136</v>
      </c>
      <c r="AT50" s="21">
        <v>6284</v>
      </c>
      <c r="AU50" s="21">
        <v>6116</v>
      </c>
      <c r="AV50" s="21">
        <v>6040</v>
      </c>
      <c r="AW50" s="21">
        <v>5880</v>
      </c>
      <c r="AX50" s="21">
        <v>5850</v>
      </c>
      <c r="AY50" s="21">
        <v>5914</v>
      </c>
      <c r="AZ50" s="21">
        <v>6017</v>
      </c>
      <c r="BA50" s="21">
        <v>6010</v>
      </c>
      <c r="BB50" s="21">
        <v>6045</v>
      </c>
      <c r="BC50" s="21">
        <v>6050</v>
      </c>
      <c r="BD50" s="21">
        <v>6088</v>
      </c>
      <c r="BE50" s="21">
        <v>5895</v>
      </c>
      <c r="BF50" s="21">
        <v>5758</v>
      </c>
      <c r="BG50" s="21">
        <v>5748</v>
      </c>
      <c r="BH50" s="21">
        <v>5735</v>
      </c>
      <c r="BI50" s="21">
        <v>5835</v>
      </c>
      <c r="BJ50" s="21">
        <v>5750</v>
      </c>
      <c r="BK50" s="21">
        <v>5600</v>
      </c>
      <c r="BL50" s="21">
        <v>5589</v>
      </c>
      <c r="BM50" s="1">
        <v>5650</v>
      </c>
      <c r="BN50" s="1">
        <v>5512</v>
      </c>
      <c r="BO50" s="1">
        <v>5609</v>
      </c>
      <c r="BP50" s="1">
        <v>5470</v>
      </c>
      <c r="BQ50" s="1">
        <v>5313</v>
      </c>
      <c r="BR50" s="1">
        <v>5383</v>
      </c>
      <c r="BS50" s="1">
        <v>5404</v>
      </c>
      <c r="BT50" s="1">
        <v>5468</v>
      </c>
      <c r="BU50" s="1">
        <v>5590</v>
      </c>
      <c r="BV50" s="1">
        <v>5623</v>
      </c>
      <c r="BW50" s="1">
        <v>5660</v>
      </c>
      <c r="BX50" s="1">
        <v>5690</v>
      </c>
      <c r="BY50" s="1">
        <v>5615</v>
      </c>
      <c r="BZ50" s="1">
        <v>5625</v>
      </c>
    </row>
    <row r="51" spans="1:254" ht="15.9" customHeight="1">
      <c r="A51" s="78" t="s">
        <v>97</v>
      </c>
      <c r="B51" s="17" t="s">
        <v>98</v>
      </c>
      <c r="C51" s="543">
        <f>_xll.RssMarket("5449","始値")</f>
        <v>2782</v>
      </c>
      <c r="D51" s="23">
        <f t="shared" si="1"/>
        <v>0</v>
      </c>
      <c r="E51" s="550">
        <v>2782</v>
      </c>
      <c r="F51" s="21">
        <v>2498</v>
      </c>
      <c r="G51" s="21">
        <v>2350</v>
      </c>
      <c r="H51" s="21">
        <v>2481</v>
      </c>
      <c r="I51" s="21">
        <v>2614</v>
      </c>
      <c r="J51" s="21">
        <v>2874</v>
      </c>
      <c r="K51" s="21">
        <v>2762</v>
      </c>
      <c r="L51" s="21">
        <v>2710</v>
      </c>
      <c r="M51" s="21">
        <v>2671</v>
      </c>
      <c r="N51" s="21">
        <v>2620</v>
      </c>
      <c r="O51" s="21">
        <v>2618</v>
      </c>
      <c r="P51" s="21">
        <v>2600</v>
      </c>
      <c r="Q51" s="21">
        <v>2575</v>
      </c>
      <c r="R51" s="21">
        <v>2550</v>
      </c>
      <c r="S51" s="21">
        <v>2486</v>
      </c>
      <c r="T51" s="21">
        <v>2494</v>
      </c>
      <c r="U51" s="21">
        <v>2527</v>
      </c>
      <c r="V51" s="21">
        <v>2500</v>
      </c>
      <c r="W51" s="21">
        <v>2538</v>
      </c>
      <c r="X51" s="21">
        <v>2476</v>
      </c>
      <c r="Y51" s="21">
        <v>2390</v>
      </c>
      <c r="Z51" s="21">
        <v>2409</v>
      </c>
      <c r="AA51" s="21">
        <v>2366</v>
      </c>
      <c r="AB51" s="21">
        <v>2285</v>
      </c>
      <c r="AC51" s="21">
        <v>2278</v>
      </c>
      <c r="AD51" s="21">
        <v>2423</v>
      </c>
      <c r="AE51" s="21">
        <v>2391</v>
      </c>
      <c r="AF51" s="21">
        <v>2284</v>
      </c>
      <c r="AG51" s="21">
        <v>2301</v>
      </c>
      <c r="AH51" s="21">
        <v>2365</v>
      </c>
      <c r="AI51" s="21">
        <v>2379</v>
      </c>
      <c r="AJ51" s="21">
        <v>2308</v>
      </c>
      <c r="AK51" s="21">
        <v>2314</v>
      </c>
      <c r="AL51" s="21">
        <v>2254</v>
      </c>
      <c r="AM51" s="21">
        <v>2380</v>
      </c>
      <c r="AN51" s="21">
        <v>2399</v>
      </c>
      <c r="AO51" s="21">
        <v>2369</v>
      </c>
      <c r="AP51" s="21">
        <v>2330</v>
      </c>
      <c r="AQ51" s="21">
        <v>2300</v>
      </c>
      <c r="AR51" s="21">
        <v>2325</v>
      </c>
      <c r="AS51" s="21">
        <v>2260</v>
      </c>
      <c r="AT51" s="21">
        <v>2336</v>
      </c>
      <c r="AU51" s="21">
        <v>2355</v>
      </c>
      <c r="AV51" s="21">
        <v>2321</v>
      </c>
      <c r="AW51" s="21">
        <v>2334</v>
      </c>
      <c r="AX51" s="21">
        <v>2585</v>
      </c>
      <c r="AY51" s="21">
        <v>2643</v>
      </c>
      <c r="AZ51" s="21">
        <v>2579</v>
      </c>
      <c r="BA51" s="21">
        <v>2381</v>
      </c>
      <c r="BB51" s="21">
        <v>2352</v>
      </c>
      <c r="BC51" s="21">
        <v>2322</v>
      </c>
      <c r="BD51" s="21">
        <v>2245</v>
      </c>
      <c r="BE51" s="21">
        <v>2250</v>
      </c>
      <c r="BF51" s="21">
        <v>2325</v>
      </c>
      <c r="BG51" s="21">
        <v>2393</v>
      </c>
      <c r="BH51" s="21">
        <v>2321</v>
      </c>
      <c r="BI51" s="21">
        <v>2379</v>
      </c>
      <c r="BJ51" s="21">
        <v>2597</v>
      </c>
      <c r="BK51" s="21">
        <v>2521</v>
      </c>
      <c r="BL51" s="21">
        <v>2607</v>
      </c>
      <c r="BM51" s="1">
        <v>2518</v>
      </c>
      <c r="BN51" s="1">
        <v>2464</v>
      </c>
      <c r="BO51" s="1">
        <v>2469</v>
      </c>
      <c r="BP51" s="1">
        <v>2368</v>
      </c>
      <c r="BQ51" s="1">
        <v>2345</v>
      </c>
      <c r="BR51" s="1">
        <v>2300</v>
      </c>
      <c r="BS51" s="1">
        <v>2355</v>
      </c>
      <c r="BT51" s="1">
        <v>2410</v>
      </c>
      <c r="BU51" s="1">
        <v>2453</v>
      </c>
      <c r="BV51" s="1">
        <v>2435</v>
      </c>
      <c r="BW51" s="1">
        <v>2411</v>
      </c>
      <c r="BX51" s="1">
        <v>2440</v>
      </c>
      <c r="BY51" s="1">
        <v>2474</v>
      </c>
      <c r="BZ51" s="1">
        <v>2390</v>
      </c>
    </row>
    <row r="52" spans="1:254" ht="15.9" customHeight="1">
      <c r="A52" s="78" t="s">
        <v>99</v>
      </c>
      <c r="B52" s="17" t="s">
        <v>100</v>
      </c>
      <c r="C52" s="543">
        <f>_xll.RssMarket("8766","始値")</f>
        <v>7715</v>
      </c>
      <c r="D52" s="23">
        <f t="shared" si="1"/>
        <v>0</v>
      </c>
      <c r="E52" s="550">
        <v>7715</v>
      </c>
      <c r="F52" s="21">
        <v>7717</v>
      </c>
      <c r="G52" s="21">
        <v>7809</v>
      </c>
      <c r="H52" s="21">
        <v>8000</v>
      </c>
      <c r="I52" s="21">
        <v>8109</v>
      </c>
      <c r="J52" s="21">
        <v>8158</v>
      </c>
      <c r="K52" s="21">
        <v>8260</v>
      </c>
      <c r="L52" s="21">
        <v>8243</v>
      </c>
      <c r="M52" s="21">
        <v>8076</v>
      </c>
      <c r="N52" s="21">
        <v>7958</v>
      </c>
      <c r="O52" s="21">
        <v>7932</v>
      </c>
      <c r="P52" s="21">
        <v>7874</v>
      </c>
      <c r="Q52" s="21">
        <v>7693</v>
      </c>
      <c r="R52" s="21">
        <v>7614</v>
      </c>
      <c r="S52" s="21">
        <v>7816</v>
      </c>
      <c r="T52" s="21">
        <v>7689</v>
      </c>
      <c r="U52" s="21">
        <v>7459</v>
      </c>
      <c r="V52" s="21">
        <v>7849</v>
      </c>
      <c r="W52" s="21">
        <v>7682</v>
      </c>
      <c r="X52" s="21">
        <v>7725</v>
      </c>
      <c r="Y52" s="21">
        <v>7820</v>
      </c>
      <c r="Z52" s="21">
        <v>7584</v>
      </c>
      <c r="AA52" s="21">
        <v>7675</v>
      </c>
      <c r="AB52" s="21">
        <v>7235</v>
      </c>
      <c r="AC52" s="21">
        <v>7202</v>
      </c>
      <c r="AD52" s="21">
        <v>7310</v>
      </c>
      <c r="AE52" s="21">
        <v>7100</v>
      </c>
      <c r="AF52" s="21">
        <v>6885</v>
      </c>
      <c r="AG52" s="21">
        <v>6912</v>
      </c>
      <c r="AH52" s="21">
        <v>7271</v>
      </c>
      <c r="AI52" s="21">
        <v>7356</v>
      </c>
      <c r="AJ52" s="21">
        <v>7140</v>
      </c>
      <c r="AK52" s="21">
        <v>7234</v>
      </c>
      <c r="AL52" s="21">
        <v>7320</v>
      </c>
      <c r="AM52" s="21">
        <v>7408</v>
      </c>
      <c r="AN52" s="21">
        <v>7217</v>
      </c>
      <c r="AO52" s="21">
        <v>7256</v>
      </c>
      <c r="AP52" s="21">
        <v>7348</v>
      </c>
      <c r="AQ52" s="21">
        <v>7450</v>
      </c>
      <c r="AR52" s="21">
        <v>7493</v>
      </c>
      <c r="AS52" s="21">
        <v>6955</v>
      </c>
      <c r="AT52" s="21">
        <v>6996</v>
      </c>
      <c r="AU52" s="21">
        <v>6961</v>
      </c>
      <c r="AV52" s="21">
        <v>7114</v>
      </c>
      <c r="AW52" s="21">
        <v>7059</v>
      </c>
      <c r="AX52" s="21">
        <v>7116</v>
      </c>
      <c r="AY52" s="21">
        <v>7217</v>
      </c>
      <c r="AZ52" s="21">
        <v>7367</v>
      </c>
      <c r="BA52" s="21">
        <v>7465</v>
      </c>
      <c r="BB52" s="21">
        <v>7568</v>
      </c>
      <c r="BC52" s="21">
        <v>7800</v>
      </c>
      <c r="BD52" s="21">
        <v>8010</v>
      </c>
      <c r="BE52" s="21">
        <v>7800</v>
      </c>
      <c r="BF52" s="21">
        <v>7706</v>
      </c>
      <c r="BG52" s="21">
        <v>7593</v>
      </c>
      <c r="BH52" s="21">
        <v>7369</v>
      </c>
      <c r="BI52" s="21">
        <v>7151</v>
      </c>
      <c r="BJ52" s="21">
        <v>7200</v>
      </c>
      <c r="BK52" s="21">
        <v>6980</v>
      </c>
      <c r="BL52" s="21">
        <v>7163</v>
      </c>
      <c r="BM52" s="1">
        <v>7219</v>
      </c>
      <c r="BN52" s="1">
        <v>7123</v>
      </c>
      <c r="BO52" s="1">
        <v>7300</v>
      </c>
      <c r="BP52" s="1">
        <v>7282</v>
      </c>
      <c r="BQ52" s="1">
        <v>7180</v>
      </c>
      <c r="BR52" s="1">
        <v>7139</v>
      </c>
      <c r="BS52" s="1">
        <v>6988</v>
      </c>
      <c r="BT52" s="1">
        <v>7244</v>
      </c>
      <c r="BU52" s="1">
        <v>7264</v>
      </c>
      <c r="BV52" s="1">
        <v>7033</v>
      </c>
      <c r="BW52" s="1">
        <v>6988</v>
      </c>
      <c r="BX52" s="1">
        <v>6901</v>
      </c>
      <c r="BY52" s="1">
        <v>6950</v>
      </c>
      <c r="BZ52" s="1">
        <v>7055</v>
      </c>
    </row>
    <row r="53" spans="1:254" ht="15.9" customHeight="1">
      <c r="A53" s="78" t="s">
        <v>101</v>
      </c>
      <c r="B53" s="17" t="s">
        <v>102</v>
      </c>
      <c r="C53" s="543">
        <f>_xll.RssMarket("5201","始値")</f>
        <v>5711</v>
      </c>
      <c r="D53" s="23">
        <f t="shared" si="1"/>
        <v>0</v>
      </c>
      <c r="E53" s="550">
        <v>5711</v>
      </c>
      <c r="F53" s="21">
        <v>5634</v>
      </c>
      <c r="G53" s="21">
        <v>6063</v>
      </c>
      <c r="H53" s="21">
        <v>6100</v>
      </c>
      <c r="I53" s="21">
        <v>6104</v>
      </c>
      <c r="J53" s="21">
        <v>6000</v>
      </c>
      <c r="K53" s="21">
        <v>6175</v>
      </c>
      <c r="L53" s="21">
        <v>6169</v>
      </c>
      <c r="M53" s="21">
        <v>6237</v>
      </c>
      <c r="N53" s="21">
        <v>6251</v>
      </c>
      <c r="O53" s="21">
        <v>6388</v>
      </c>
      <c r="P53" s="21">
        <v>6350</v>
      </c>
      <c r="Q53" s="21">
        <v>6165</v>
      </c>
      <c r="R53" s="21">
        <v>6388</v>
      </c>
      <c r="S53" s="21">
        <v>6434</v>
      </c>
      <c r="T53" s="21">
        <v>6310</v>
      </c>
      <c r="U53" s="21">
        <v>6476</v>
      </c>
      <c r="V53" s="21">
        <v>6529</v>
      </c>
      <c r="W53" s="21">
        <v>6490</v>
      </c>
      <c r="X53" s="21">
        <v>6478</v>
      </c>
      <c r="Y53" s="21">
        <v>6737</v>
      </c>
      <c r="Z53" s="21">
        <v>6888</v>
      </c>
      <c r="AA53" s="21">
        <v>6770</v>
      </c>
      <c r="AB53" s="21">
        <v>6838</v>
      </c>
      <c r="AC53" s="21">
        <v>7029</v>
      </c>
      <c r="AD53" s="21">
        <v>7050</v>
      </c>
      <c r="AE53" s="21">
        <v>7104</v>
      </c>
      <c r="AF53" s="21">
        <v>7247</v>
      </c>
      <c r="AG53" s="21">
        <v>7328</v>
      </c>
      <c r="AH53" s="21">
        <v>7242</v>
      </c>
      <c r="AI53" s="21">
        <v>7630</v>
      </c>
      <c r="AJ53" s="21">
        <v>7549</v>
      </c>
      <c r="AK53" s="21">
        <v>7670</v>
      </c>
      <c r="AL53" s="21">
        <v>7422</v>
      </c>
      <c r="AM53" s="21">
        <v>7224</v>
      </c>
      <c r="AN53" s="21">
        <v>7500</v>
      </c>
      <c r="AO53" s="21">
        <v>7210</v>
      </c>
      <c r="AP53" s="21">
        <v>7102</v>
      </c>
      <c r="AQ53" s="21">
        <v>6641</v>
      </c>
      <c r="AR53" s="21">
        <v>7121</v>
      </c>
      <c r="AS53" s="21">
        <v>7285</v>
      </c>
      <c r="AT53" s="21">
        <v>8000</v>
      </c>
      <c r="AU53" s="21">
        <v>8087</v>
      </c>
      <c r="AV53" s="21">
        <v>7720</v>
      </c>
      <c r="AW53" s="21">
        <v>7098</v>
      </c>
      <c r="AX53" s="21">
        <v>6893</v>
      </c>
      <c r="AY53" s="21">
        <v>6968</v>
      </c>
      <c r="AZ53" s="21">
        <v>7218</v>
      </c>
      <c r="BA53" s="21">
        <v>6504</v>
      </c>
      <c r="BB53" s="21">
        <v>6227</v>
      </c>
      <c r="BC53" s="21">
        <v>6149</v>
      </c>
      <c r="BD53" s="21">
        <v>6215</v>
      </c>
      <c r="BE53" s="21">
        <v>6279</v>
      </c>
      <c r="BF53" s="21">
        <v>6000</v>
      </c>
      <c r="BG53" s="21">
        <v>6000</v>
      </c>
      <c r="BH53" s="21">
        <v>6061</v>
      </c>
      <c r="BI53" s="21">
        <v>5964</v>
      </c>
      <c r="BJ53" s="21">
        <v>5661</v>
      </c>
      <c r="BK53" s="21">
        <v>5600</v>
      </c>
      <c r="BL53" s="21">
        <v>5652</v>
      </c>
      <c r="BM53" s="1">
        <v>5628</v>
      </c>
      <c r="BN53" s="1">
        <v>5561</v>
      </c>
      <c r="BO53" s="1">
        <v>5654</v>
      </c>
      <c r="BP53" s="1">
        <v>5747</v>
      </c>
      <c r="BQ53" s="1">
        <v>5629</v>
      </c>
      <c r="BR53" s="1">
        <v>5697</v>
      </c>
      <c r="BS53" s="1">
        <v>5632</v>
      </c>
      <c r="BT53" s="1">
        <v>5769</v>
      </c>
      <c r="BU53" s="1">
        <v>5768</v>
      </c>
      <c r="BV53" s="1">
        <v>5796</v>
      </c>
      <c r="BW53" s="1">
        <v>5703</v>
      </c>
      <c r="BX53" s="1">
        <v>5676</v>
      </c>
      <c r="BY53" s="1">
        <v>5645</v>
      </c>
      <c r="BZ53" s="1">
        <v>5782</v>
      </c>
    </row>
    <row r="54" spans="1:254" ht="15.9" customHeight="1">
      <c r="A54" s="78" t="s">
        <v>103</v>
      </c>
      <c r="B54" s="17" t="s">
        <v>104</v>
      </c>
      <c r="C54" s="543">
        <f>_xll.RssMarket("8630","始値")</f>
        <v>6942</v>
      </c>
      <c r="D54" s="23">
        <f t="shared" si="1"/>
        <v>0</v>
      </c>
      <c r="E54" s="550">
        <v>6942</v>
      </c>
      <c r="F54" s="21">
        <v>6863</v>
      </c>
      <c r="G54" s="21">
        <v>6821</v>
      </c>
      <c r="H54" s="21">
        <v>6963</v>
      </c>
      <c r="I54" s="21">
        <v>7130</v>
      </c>
      <c r="J54" s="21">
        <v>7265</v>
      </c>
      <c r="K54" s="21">
        <v>7296</v>
      </c>
      <c r="L54" s="21">
        <v>7246</v>
      </c>
      <c r="M54" s="21">
        <v>7098</v>
      </c>
      <c r="N54" s="21">
        <v>6970</v>
      </c>
      <c r="O54" s="21">
        <v>6869</v>
      </c>
      <c r="P54" s="21">
        <v>6846</v>
      </c>
      <c r="Q54" s="21">
        <v>6730</v>
      </c>
      <c r="R54" s="21">
        <v>6624</v>
      </c>
      <c r="S54" s="21">
        <v>6640</v>
      </c>
      <c r="T54" s="21">
        <v>6498</v>
      </c>
      <c r="U54" s="21">
        <v>6513</v>
      </c>
      <c r="V54" s="21">
        <v>6645</v>
      </c>
      <c r="W54" s="21">
        <v>6648</v>
      </c>
      <c r="X54" s="21">
        <v>6709</v>
      </c>
      <c r="Y54" s="21">
        <v>6776</v>
      </c>
      <c r="Z54" s="21">
        <v>6631</v>
      </c>
      <c r="AA54" s="21">
        <v>6685</v>
      </c>
      <c r="AB54" s="21">
        <v>6335</v>
      </c>
      <c r="AC54" s="21">
        <v>6313</v>
      </c>
      <c r="AD54" s="21">
        <v>6243</v>
      </c>
      <c r="AE54" s="21">
        <v>6117</v>
      </c>
      <c r="AF54" s="21">
        <v>6139</v>
      </c>
      <c r="AG54" s="21">
        <v>6180</v>
      </c>
      <c r="AH54" s="21">
        <v>6334</v>
      </c>
      <c r="AI54" s="21">
        <v>6492</v>
      </c>
      <c r="AJ54" s="21">
        <v>6242</v>
      </c>
      <c r="AK54" s="21">
        <v>6329</v>
      </c>
      <c r="AL54" s="21">
        <v>6270</v>
      </c>
      <c r="AM54" s="21">
        <v>6330</v>
      </c>
      <c r="AN54" s="21">
        <v>6268</v>
      </c>
      <c r="AO54" s="21">
        <v>6172</v>
      </c>
      <c r="AP54" s="21">
        <v>6074</v>
      </c>
      <c r="AQ54" s="21">
        <v>6183</v>
      </c>
      <c r="AR54" s="21">
        <v>6300</v>
      </c>
      <c r="AS54" s="21">
        <v>5925</v>
      </c>
      <c r="AT54" s="21">
        <v>5874</v>
      </c>
      <c r="AU54" s="21">
        <v>5829</v>
      </c>
      <c r="AV54" s="21">
        <v>5870</v>
      </c>
      <c r="AW54" s="21">
        <v>5959</v>
      </c>
      <c r="AX54" s="21">
        <v>5810</v>
      </c>
      <c r="AY54" s="21">
        <v>5930</v>
      </c>
      <c r="AZ54" s="21">
        <v>5893</v>
      </c>
      <c r="BA54" s="21">
        <v>5600</v>
      </c>
      <c r="BB54" s="21">
        <v>5569</v>
      </c>
      <c r="BC54" s="21">
        <v>5838</v>
      </c>
      <c r="BD54" s="21">
        <v>6400</v>
      </c>
      <c r="BE54" s="21">
        <v>6298</v>
      </c>
      <c r="BF54" s="21">
        <v>6146</v>
      </c>
      <c r="BG54" s="21">
        <v>6073</v>
      </c>
      <c r="BH54" s="21">
        <v>6041</v>
      </c>
      <c r="BI54" s="21">
        <v>5982</v>
      </c>
      <c r="BJ54" s="21">
        <v>5854</v>
      </c>
      <c r="BK54" s="21">
        <v>5706</v>
      </c>
      <c r="BL54" s="21">
        <v>5882</v>
      </c>
      <c r="BM54" s="1">
        <v>5905</v>
      </c>
      <c r="BN54" s="1">
        <v>5710</v>
      </c>
      <c r="BO54" s="1">
        <v>5791</v>
      </c>
      <c r="BP54" s="1">
        <v>5772</v>
      </c>
      <c r="BQ54" s="1">
        <v>5737</v>
      </c>
      <c r="BR54" s="1">
        <v>5890</v>
      </c>
      <c r="BS54" s="1">
        <v>5792</v>
      </c>
      <c r="BT54" s="1">
        <v>5909</v>
      </c>
      <c r="BU54" s="1">
        <v>5936</v>
      </c>
      <c r="BV54" s="1">
        <v>5937</v>
      </c>
      <c r="BW54" s="1">
        <v>5981</v>
      </c>
      <c r="BX54" s="1">
        <v>5969</v>
      </c>
      <c r="BY54" s="1">
        <v>5988</v>
      </c>
      <c r="BZ54" s="1">
        <v>6015</v>
      </c>
    </row>
    <row r="55" spans="1:254" ht="15.9" customHeight="1">
      <c r="A55" s="78" t="s">
        <v>105</v>
      </c>
      <c r="B55" s="17" t="s">
        <v>106</v>
      </c>
      <c r="C55" s="543">
        <f>_xll.RssMarket("5901","始値")</f>
        <v>4188</v>
      </c>
      <c r="D55" s="23">
        <f t="shared" si="1"/>
        <v>0</v>
      </c>
      <c r="E55" s="550">
        <v>4188</v>
      </c>
      <c r="F55" s="21">
        <v>4000</v>
      </c>
      <c r="G55" s="21">
        <v>3998</v>
      </c>
      <c r="H55" s="21">
        <v>4072</v>
      </c>
      <c r="I55" s="21">
        <v>4076</v>
      </c>
      <c r="J55" s="21">
        <v>4150</v>
      </c>
      <c r="K55" s="21">
        <v>4180</v>
      </c>
      <c r="L55" s="21">
        <v>4120</v>
      </c>
      <c r="M55" s="21">
        <v>4107</v>
      </c>
      <c r="N55" s="21">
        <v>4033</v>
      </c>
      <c r="O55" s="21">
        <v>4102</v>
      </c>
      <c r="P55" s="21">
        <v>4097</v>
      </c>
      <c r="Q55" s="21">
        <v>4070</v>
      </c>
      <c r="R55" s="21">
        <v>4069</v>
      </c>
      <c r="S55" s="21">
        <v>4052</v>
      </c>
      <c r="T55" s="21">
        <v>4014</v>
      </c>
      <c r="U55" s="21">
        <v>4080</v>
      </c>
      <c r="V55" s="21">
        <v>4041</v>
      </c>
      <c r="W55" s="21">
        <v>4100</v>
      </c>
      <c r="X55" s="21">
        <v>4127</v>
      </c>
      <c r="Y55" s="21">
        <v>4160</v>
      </c>
      <c r="Z55" s="21">
        <v>4132</v>
      </c>
      <c r="AA55" s="21">
        <v>4144</v>
      </c>
      <c r="AB55" s="21">
        <v>4122</v>
      </c>
      <c r="AC55" s="21">
        <v>4067</v>
      </c>
      <c r="AD55" s="21">
        <v>4122</v>
      </c>
      <c r="AE55" s="21">
        <v>4134</v>
      </c>
      <c r="AF55" s="21">
        <v>4114</v>
      </c>
      <c r="AG55" s="21">
        <v>4136</v>
      </c>
      <c r="AH55" s="21">
        <v>4100</v>
      </c>
      <c r="AI55" s="21">
        <v>4163</v>
      </c>
      <c r="AJ55" s="21">
        <v>4090</v>
      </c>
      <c r="AK55" s="21">
        <v>4000</v>
      </c>
      <c r="AL55" s="21">
        <v>4076</v>
      </c>
      <c r="AM55" s="21">
        <v>4004</v>
      </c>
      <c r="AN55" s="21">
        <v>3979</v>
      </c>
      <c r="AO55" s="21">
        <v>3990</v>
      </c>
      <c r="AP55" s="21">
        <v>3883</v>
      </c>
      <c r="AQ55" s="21">
        <v>3815</v>
      </c>
      <c r="AR55" s="21">
        <v>3820</v>
      </c>
      <c r="AS55" s="21">
        <v>3912</v>
      </c>
      <c r="AT55" s="21">
        <v>3777</v>
      </c>
      <c r="AU55" s="21">
        <v>3850</v>
      </c>
      <c r="AV55" s="21">
        <v>3778</v>
      </c>
      <c r="AW55" s="21">
        <v>3867</v>
      </c>
      <c r="AX55" s="21">
        <v>3910</v>
      </c>
      <c r="AY55" s="21">
        <v>3938</v>
      </c>
      <c r="AZ55" s="21">
        <v>3931</v>
      </c>
      <c r="BA55" s="21">
        <v>4001</v>
      </c>
      <c r="BB55" s="21">
        <v>4369</v>
      </c>
      <c r="BC55" s="21">
        <v>4128</v>
      </c>
      <c r="BD55" s="21">
        <v>4073</v>
      </c>
      <c r="BE55" s="21">
        <v>3889</v>
      </c>
      <c r="BF55" s="21">
        <v>3776</v>
      </c>
      <c r="BG55" s="21">
        <v>3542</v>
      </c>
      <c r="BH55" s="21">
        <v>3448</v>
      </c>
      <c r="BI55" s="21">
        <v>3371</v>
      </c>
      <c r="BJ55" s="21">
        <v>3418</v>
      </c>
      <c r="BK55" s="21">
        <v>3531</v>
      </c>
      <c r="BL55" s="21">
        <v>3563</v>
      </c>
      <c r="BM55" s="1">
        <v>3438</v>
      </c>
      <c r="BN55" s="1">
        <v>3335</v>
      </c>
      <c r="BO55" s="1">
        <v>3137</v>
      </c>
      <c r="BP55" s="1">
        <v>3186</v>
      </c>
      <c r="BQ55" s="1">
        <v>3196</v>
      </c>
      <c r="BR55" s="1">
        <v>3230</v>
      </c>
      <c r="BS55" s="1">
        <v>3244</v>
      </c>
      <c r="BT55" s="1">
        <v>3373</v>
      </c>
      <c r="BU55" s="1">
        <v>3372</v>
      </c>
      <c r="BV55" s="1">
        <v>3386</v>
      </c>
      <c r="BW55" s="1">
        <v>3380</v>
      </c>
      <c r="BX55" s="1">
        <v>3426</v>
      </c>
      <c r="BY55" s="1">
        <v>3370</v>
      </c>
      <c r="BZ55" s="1">
        <v>3431</v>
      </c>
    </row>
    <row r="56" spans="1:254" ht="15.9" customHeight="1">
      <c r="A56" s="78" t="s">
        <v>107</v>
      </c>
      <c r="B56" s="17" t="s">
        <v>108</v>
      </c>
      <c r="C56" s="543">
        <f>_xll.RssMarket("9412","始値")</f>
        <v>2350</v>
      </c>
      <c r="D56" s="23">
        <f t="shared" si="1"/>
        <v>0</v>
      </c>
      <c r="E56" s="550">
        <v>2350</v>
      </c>
      <c r="F56" s="21">
        <v>2260</v>
      </c>
      <c r="G56" s="21">
        <v>2202</v>
      </c>
      <c r="H56" s="21">
        <v>2088</v>
      </c>
      <c r="I56" s="21">
        <v>2098</v>
      </c>
      <c r="J56" s="21">
        <v>2031</v>
      </c>
      <c r="K56" s="21">
        <v>2151</v>
      </c>
      <c r="L56" s="21">
        <v>2198</v>
      </c>
      <c r="M56" s="21">
        <v>2205</v>
      </c>
      <c r="N56" s="21">
        <v>2242</v>
      </c>
      <c r="O56" s="21">
        <v>2275</v>
      </c>
      <c r="P56" s="21">
        <v>2335</v>
      </c>
      <c r="Q56" s="21">
        <v>2297</v>
      </c>
      <c r="R56" s="21">
        <v>2298</v>
      </c>
      <c r="S56" s="21">
        <v>2468</v>
      </c>
      <c r="T56" s="21">
        <v>2490</v>
      </c>
      <c r="U56" s="21">
        <v>2527</v>
      </c>
      <c r="V56" s="21">
        <v>2562</v>
      </c>
      <c r="W56" s="21">
        <v>2582</v>
      </c>
      <c r="X56" s="21">
        <v>2699</v>
      </c>
      <c r="Y56" s="21">
        <v>2592</v>
      </c>
      <c r="Z56" s="21">
        <v>2740</v>
      </c>
      <c r="AA56" s="21">
        <v>2655</v>
      </c>
      <c r="AB56" s="21">
        <v>2600</v>
      </c>
      <c r="AC56" s="21">
        <v>2682</v>
      </c>
      <c r="AD56" s="21">
        <v>2643</v>
      </c>
      <c r="AE56" s="21">
        <v>2535</v>
      </c>
      <c r="AF56" s="21">
        <v>2488</v>
      </c>
      <c r="AG56" s="21">
        <v>2710</v>
      </c>
      <c r="AH56" s="21">
        <v>2864</v>
      </c>
      <c r="AI56" s="21">
        <v>3235</v>
      </c>
      <c r="AJ56" s="21">
        <v>3130</v>
      </c>
      <c r="AK56" s="21">
        <v>3215</v>
      </c>
      <c r="AL56" s="21">
        <v>3350</v>
      </c>
      <c r="AM56" s="21">
        <v>3300</v>
      </c>
      <c r="AN56" s="21">
        <v>3315</v>
      </c>
      <c r="AO56" s="21">
        <v>3415</v>
      </c>
      <c r="AP56" s="21">
        <v>3450</v>
      </c>
      <c r="AQ56" s="21">
        <v>3100</v>
      </c>
      <c r="AR56" s="21">
        <v>3200</v>
      </c>
      <c r="AS56" s="21">
        <v>3350</v>
      </c>
      <c r="AT56" s="21">
        <v>3555</v>
      </c>
      <c r="AU56" s="21">
        <v>3350</v>
      </c>
      <c r="AV56" s="21">
        <v>3710</v>
      </c>
      <c r="AW56" s="21">
        <v>3890</v>
      </c>
      <c r="AX56" s="21">
        <v>4600</v>
      </c>
      <c r="AY56" s="21">
        <v>4285</v>
      </c>
      <c r="AZ56" s="21">
        <v>4625</v>
      </c>
      <c r="BA56" s="21">
        <v>4400</v>
      </c>
      <c r="BB56" s="21">
        <v>4100</v>
      </c>
      <c r="BC56" s="21">
        <v>4235</v>
      </c>
      <c r="BD56" s="21">
        <v>3975</v>
      </c>
      <c r="BE56" s="21">
        <v>4100</v>
      </c>
      <c r="BF56" s="21">
        <v>4230</v>
      </c>
      <c r="BG56" s="21">
        <v>4305</v>
      </c>
      <c r="BH56" s="21">
        <v>4205</v>
      </c>
      <c r="BI56" s="21">
        <v>3895</v>
      </c>
      <c r="BJ56" s="21">
        <v>3805</v>
      </c>
      <c r="BK56" s="21">
        <v>3800</v>
      </c>
      <c r="BL56" s="21">
        <v>3530</v>
      </c>
      <c r="BM56" s="1">
        <v>3605</v>
      </c>
      <c r="BN56" s="1">
        <v>3500</v>
      </c>
      <c r="BO56" s="1">
        <v>3420</v>
      </c>
      <c r="BP56" s="1">
        <v>3160</v>
      </c>
      <c r="BQ56" s="1">
        <v>3215</v>
      </c>
      <c r="BR56" s="1">
        <v>3170</v>
      </c>
      <c r="BS56" s="1">
        <v>3125</v>
      </c>
      <c r="BT56" s="1">
        <v>3335</v>
      </c>
      <c r="BU56" s="1">
        <v>3350</v>
      </c>
      <c r="BV56" s="1">
        <v>3300</v>
      </c>
      <c r="BW56" s="1">
        <v>3250</v>
      </c>
      <c r="BX56" s="1">
        <v>3190</v>
      </c>
      <c r="BY56" s="1">
        <v>3205</v>
      </c>
      <c r="BZ56" s="1">
        <v>3055</v>
      </c>
    </row>
    <row r="57" spans="1:254" ht="15.9" customHeight="1">
      <c r="A57" s="78" t="s">
        <v>109</v>
      </c>
      <c r="B57" s="17" t="s">
        <v>110</v>
      </c>
      <c r="C57" s="543">
        <f>_xll.RssMarket("6203","始値")</f>
        <v>1451</v>
      </c>
      <c r="D57" s="23">
        <f t="shared" si="1"/>
        <v>0</v>
      </c>
      <c r="E57" s="550">
        <v>1451</v>
      </c>
      <c r="F57" s="21">
        <v>1405</v>
      </c>
      <c r="G57" s="21">
        <v>1371</v>
      </c>
      <c r="H57" s="21">
        <v>1398</v>
      </c>
      <c r="I57" s="21">
        <v>1360</v>
      </c>
      <c r="J57" s="21">
        <v>1309</v>
      </c>
      <c r="K57" s="21">
        <v>1370</v>
      </c>
      <c r="L57" s="21">
        <v>1425</v>
      </c>
      <c r="M57" s="21">
        <v>1458</v>
      </c>
      <c r="N57" s="21">
        <v>1431</v>
      </c>
      <c r="O57" s="21">
        <v>1430</v>
      </c>
      <c r="P57" s="21">
        <v>1477</v>
      </c>
      <c r="Q57" s="21">
        <v>1431</v>
      </c>
      <c r="R57" s="21">
        <v>1449</v>
      </c>
      <c r="S57" s="21">
        <v>1595</v>
      </c>
      <c r="T57" s="21">
        <v>1573</v>
      </c>
      <c r="U57" s="21">
        <v>1636</v>
      </c>
      <c r="V57" s="21">
        <v>1601</v>
      </c>
      <c r="W57" s="21">
        <v>1607</v>
      </c>
      <c r="X57" s="21">
        <v>1650</v>
      </c>
      <c r="Y57" s="21">
        <v>1838</v>
      </c>
      <c r="Z57" s="21">
        <v>1670</v>
      </c>
      <c r="AA57" s="21">
        <v>1584</v>
      </c>
      <c r="AB57" s="21">
        <v>1500</v>
      </c>
      <c r="AC57" s="21">
        <v>1524</v>
      </c>
      <c r="AD57" s="21">
        <v>1550</v>
      </c>
      <c r="AE57" s="21">
        <v>1610</v>
      </c>
      <c r="AF57" s="21">
        <v>1620</v>
      </c>
      <c r="AG57" s="21">
        <v>1600</v>
      </c>
      <c r="AH57" s="21">
        <v>1615</v>
      </c>
      <c r="AI57" s="21">
        <v>1711</v>
      </c>
      <c r="AJ57" s="21">
        <v>1615</v>
      </c>
      <c r="AK57" s="21">
        <v>1700</v>
      </c>
      <c r="AL57" s="21">
        <v>1641</v>
      </c>
      <c r="AM57" s="21">
        <v>1573</v>
      </c>
      <c r="AN57" s="21">
        <v>1586</v>
      </c>
      <c r="AO57" s="21">
        <v>1612</v>
      </c>
      <c r="AP57" s="21">
        <v>1645</v>
      </c>
      <c r="AQ57" s="21">
        <v>1642</v>
      </c>
      <c r="AR57" s="21">
        <v>1793</v>
      </c>
      <c r="AS57" s="21">
        <v>1700</v>
      </c>
      <c r="AT57" s="21">
        <v>1710</v>
      </c>
      <c r="AU57" s="21">
        <v>1728</v>
      </c>
      <c r="AV57" s="21">
        <v>1887</v>
      </c>
      <c r="AW57" s="21">
        <v>1916</v>
      </c>
      <c r="AX57" s="21">
        <v>1950</v>
      </c>
      <c r="AY57" s="21">
        <v>1490</v>
      </c>
      <c r="AZ57" s="21">
        <v>1386</v>
      </c>
      <c r="BA57" s="21">
        <v>1367</v>
      </c>
      <c r="BB57" s="21">
        <v>1327</v>
      </c>
      <c r="BC57" s="21">
        <v>1306</v>
      </c>
      <c r="BD57" s="21">
        <v>1299</v>
      </c>
      <c r="BE57" s="21">
        <v>1331</v>
      </c>
      <c r="BF57" s="21">
        <v>1392</v>
      </c>
      <c r="BG57" s="21">
        <v>1378</v>
      </c>
      <c r="BH57" s="21">
        <v>1431</v>
      </c>
      <c r="BI57" s="21">
        <v>1428</v>
      </c>
      <c r="BJ57" s="21">
        <v>1539</v>
      </c>
      <c r="BK57" s="21">
        <v>1510</v>
      </c>
      <c r="BL57" s="21">
        <v>1503</v>
      </c>
      <c r="BM57" s="1">
        <v>1559</v>
      </c>
      <c r="BN57" s="1">
        <v>1524</v>
      </c>
      <c r="BO57" s="1">
        <v>1560</v>
      </c>
      <c r="BP57" s="1">
        <v>1500</v>
      </c>
      <c r="BQ57" s="1">
        <v>1483</v>
      </c>
      <c r="BR57" s="1">
        <v>1505</v>
      </c>
      <c r="BS57" s="1">
        <v>1575</v>
      </c>
      <c r="BT57" s="1">
        <v>1444</v>
      </c>
      <c r="BU57" s="1">
        <v>1382</v>
      </c>
      <c r="BV57" s="1">
        <v>1374</v>
      </c>
      <c r="BW57" s="1">
        <v>1376</v>
      </c>
      <c r="BX57" s="1">
        <v>1380</v>
      </c>
      <c r="BY57" s="1">
        <v>1451</v>
      </c>
      <c r="BZ57" s="1">
        <v>1482</v>
      </c>
    </row>
    <row r="58" spans="1:254" ht="15.9" customHeight="1">
      <c r="A58" s="78" t="s">
        <v>111</v>
      </c>
      <c r="B58" s="17" t="s">
        <v>112</v>
      </c>
      <c r="C58" s="543">
        <f>_xll.RssMarket("4676","始値")</f>
        <v>4084</v>
      </c>
      <c r="D58" s="23">
        <f t="shared" si="1"/>
        <v>0</v>
      </c>
      <c r="E58" s="550">
        <v>4084</v>
      </c>
      <c r="F58" s="21">
        <v>4004</v>
      </c>
      <c r="G58" s="21">
        <v>3934</v>
      </c>
      <c r="H58" s="21">
        <v>3959</v>
      </c>
      <c r="I58" s="21">
        <v>4132</v>
      </c>
      <c r="J58" s="21">
        <v>4199</v>
      </c>
      <c r="K58" s="21">
        <v>4210</v>
      </c>
      <c r="L58" s="21">
        <v>4176</v>
      </c>
      <c r="M58" s="21">
        <v>4072</v>
      </c>
      <c r="N58" s="21">
        <v>3978</v>
      </c>
      <c r="O58" s="21">
        <v>4044</v>
      </c>
      <c r="P58" s="21">
        <v>4085</v>
      </c>
      <c r="Q58" s="21">
        <v>4078</v>
      </c>
      <c r="R58" s="21">
        <v>4135</v>
      </c>
      <c r="S58" s="21">
        <v>4200</v>
      </c>
      <c r="T58" s="21">
        <v>4197</v>
      </c>
      <c r="U58" s="21">
        <v>4114</v>
      </c>
      <c r="V58" s="21">
        <v>4090</v>
      </c>
      <c r="W58" s="21">
        <v>4100</v>
      </c>
      <c r="X58" s="21">
        <v>4105</v>
      </c>
      <c r="Y58" s="21">
        <v>4100</v>
      </c>
      <c r="Z58" s="21">
        <v>3998</v>
      </c>
      <c r="AA58" s="21">
        <v>4018</v>
      </c>
      <c r="AB58" s="21">
        <v>4003</v>
      </c>
      <c r="AC58" s="21">
        <v>3870</v>
      </c>
      <c r="AD58" s="21">
        <v>3859</v>
      </c>
      <c r="AE58" s="21">
        <v>3879</v>
      </c>
      <c r="AF58" s="21">
        <v>3976</v>
      </c>
      <c r="AG58" s="21">
        <v>3843</v>
      </c>
      <c r="AH58" s="21">
        <v>3934</v>
      </c>
      <c r="AI58" s="21">
        <v>4105</v>
      </c>
      <c r="AJ58" s="21">
        <v>3996</v>
      </c>
      <c r="AK58" s="21">
        <v>4014</v>
      </c>
      <c r="AL58" s="21">
        <v>4020</v>
      </c>
      <c r="AM58" s="21">
        <v>4050</v>
      </c>
      <c r="AN58" s="21">
        <v>4056</v>
      </c>
      <c r="AO58" s="21">
        <v>4054</v>
      </c>
      <c r="AP58" s="21">
        <v>4072</v>
      </c>
      <c r="AQ58" s="21">
        <v>4100</v>
      </c>
      <c r="AR58" s="21">
        <v>4150</v>
      </c>
      <c r="AS58" s="21">
        <v>4106</v>
      </c>
      <c r="AT58" s="21">
        <v>4033</v>
      </c>
      <c r="AU58" s="21">
        <v>3801</v>
      </c>
      <c r="AV58" s="21">
        <v>3801</v>
      </c>
      <c r="AW58" s="21">
        <v>3844</v>
      </c>
      <c r="AX58" s="21">
        <v>3725</v>
      </c>
      <c r="AY58" s="21">
        <v>3777</v>
      </c>
      <c r="AZ58" s="21">
        <v>3678</v>
      </c>
      <c r="BA58" s="21">
        <v>3771</v>
      </c>
      <c r="BB58" s="21">
        <v>3805</v>
      </c>
      <c r="BC58" s="21">
        <v>3828</v>
      </c>
      <c r="BD58" s="21">
        <v>3774</v>
      </c>
      <c r="BE58" s="21">
        <v>3745</v>
      </c>
      <c r="BF58" s="21">
        <v>3805</v>
      </c>
      <c r="BG58" s="21">
        <v>3789</v>
      </c>
      <c r="BH58" s="21">
        <v>3852</v>
      </c>
      <c r="BI58" s="21">
        <v>3791</v>
      </c>
      <c r="BJ58" s="21">
        <v>3983</v>
      </c>
      <c r="BK58" s="21">
        <v>3901</v>
      </c>
      <c r="BL58" s="21">
        <v>3963</v>
      </c>
      <c r="BM58" s="1">
        <v>3851</v>
      </c>
      <c r="BN58" s="1">
        <v>3828</v>
      </c>
      <c r="BO58" s="1">
        <v>3830</v>
      </c>
      <c r="BP58" s="1">
        <v>3895</v>
      </c>
      <c r="BQ58" s="1">
        <v>3966</v>
      </c>
      <c r="BR58" s="1">
        <v>3951</v>
      </c>
      <c r="BS58" s="1">
        <v>4012</v>
      </c>
      <c r="BT58" s="1">
        <v>3900</v>
      </c>
      <c r="BU58" s="1">
        <v>4065</v>
      </c>
      <c r="BV58" s="1">
        <v>3835</v>
      </c>
      <c r="BW58" s="1">
        <v>3949</v>
      </c>
      <c r="BX58" s="1">
        <v>4214</v>
      </c>
      <c r="BY58" s="1">
        <v>4250</v>
      </c>
      <c r="BZ58" s="1">
        <v>4225</v>
      </c>
    </row>
    <row r="59" spans="1:254" ht="15.9" customHeight="1">
      <c r="A59" s="78" t="s">
        <v>113</v>
      </c>
      <c r="B59" s="17" t="s">
        <v>114</v>
      </c>
      <c r="C59" s="543">
        <f>_xll.RssMarket("1961","始値")</f>
        <v>2441</v>
      </c>
      <c r="D59" s="23">
        <f t="shared" si="1"/>
        <v>0</v>
      </c>
      <c r="E59" s="550">
        <v>2441</v>
      </c>
      <c r="F59" s="21">
        <v>2291</v>
      </c>
      <c r="G59" s="21">
        <v>2240</v>
      </c>
      <c r="H59" s="21">
        <v>2269</v>
      </c>
      <c r="I59" s="21">
        <v>2300</v>
      </c>
      <c r="J59" s="21">
        <v>2170</v>
      </c>
      <c r="K59" s="21">
        <v>2338</v>
      </c>
      <c r="L59" s="21">
        <v>2377</v>
      </c>
      <c r="M59" s="21">
        <v>2449</v>
      </c>
      <c r="N59" s="21">
        <v>2399</v>
      </c>
      <c r="O59" s="21">
        <v>2476</v>
      </c>
      <c r="P59" s="21">
        <v>2502</v>
      </c>
      <c r="Q59" s="21">
        <v>2470</v>
      </c>
      <c r="R59" s="21">
        <v>2545</v>
      </c>
      <c r="S59" s="21">
        <v>2600</v>
      </c>
      <c r="T59" s="21">
        <v>2509</v>
      </c>
      <c r="U59" s="21">
        <v>2669</v>
      </c>
      <c r="V59" s="21">
        <v>2690</v>
      </c>
      <c r="W59" s="21">
        <v>2618</v>
      </c>
      <c r="X59" s="21">
        <v>2702</v>
      </c>
      <c r="Y59" s="21">
        <v>2901</v>
      </c>
      <c r="Z59" s="21">
        <v>2796</v>
      </c>
      <c r="AA59" s="21">
        <v>2713</v>
      </c>
      <c r="AB59" s="21">
        <v>2846</v>
      </c>
      <c r="AC59" s="21">
        <v>2981</v>
      </c>
      <c r="AD59" s="21">
        <v>3035</v>
      </c>
      <c r="AE59" s="21">
        <v>3120</v>
      </c>
      <c r="AF59" s="21">
        <v>3125</v>
      </c>
      <c r="AG59" s="21">
        <v>3180</v>
      </c>
      <c r="AH59" s="21">
        <v>3040</v>
      </c>
      <c r="AI59" s="21">
        <v>3250</v>
      </c>
      <c r="AJ59" s="21">
        <v>3065</v>
      </c>
      <c r="AK59" s="21">
        <v>3075</v>
      </c>
      <c r="AL59" s="21">
        <v>2720</v>
      </c>
      <c r="AM59" s="21">
        <v>2650</v>
      </c>
      <c r="AN59" s="21">
        <v>2606</v>
      </c>
      <c r="AO59" s="21">
        <v>2607</v>
      </c>
      <c r="AP59" s="21">
        <v>2503</v>
      </c>
      <c r="AQ59" s="21">
        <v>2433</v>
      </c>
      <c r="AR59" s="21">
        <v>2456</v>
      </c>
      <c r="AS59" s="21">
        <v>2317</v>
      </c>
      <c r="AT59" s="21">
        <v>2300</v>
      </c>
      <c r="AU59" s="21">
        <v>2180</v>
      </c>
      <c r="AV59" s="21">
        <v>2160</v>
      </c>
      <c r="AW59" s="21">
        <v>2161</v>
      </c>
      <c r="AX59" s="21">
        <v>2253</v>
      </c>
      <c r="AY59" s="21">
        <v>2228</v>
      </c>
      <c r="AZ59" s="21">
        <v>2311</v>
      </c>
      <c r="BA59" s="21">
        <v>2210</v>
      </c>
      <c r="BB59" s="21">
        <v>2200</v>
      </c>
      <c r="BC59" s="21">
        <v>2217</v>
      </c>
      <c r="BD59" s="21">
        <v>2365</v>
      </c>
      <c r="BE59" s="21">
        <v>2414</v>
      </c>
      <c r="BF59" s="21">
        <v>2539</v>
      </c>
      <c r="BG59" s="21">
        <v>2689</v>
      </c>
      <c r="BH59" s="21">
        <v>2604</v>
      </c>
      <c r="BI59" s="21">
        <v>2646</v>
      </c>
      <c r="BJ59" s="21">
        <v>2658</v>
      </c>
      <c r="BK59" s="21">
        <v>2580</v>
      </c>
      <c r="BL59" s="21">
        <v>2513</v>
      </c>
      <c r="BM59" s="1">
        <v>2498</v>
      </c>
      <c r="BN59" s="1">
        <v>2393</v>
      </c>
      <c r="BO59" s="1">
        <v>2375</v>
      </c>
      <c r="BP59" s="1">
        <v>2272</v>
      </c>
      <c r="BQ59" s="1">
        <v>2330</v>
      </c>
      <c r="BR59" s="1">
        <v>2270</v>
      </c>
      <c r="BS59" s="1">
        <v>2280</v>
      </c>
      <c r="BT59" s="1">
        <v>2360</v>
      </c>
      <c r="BU59" s="1">
        <v>2366.6666</v>
      </c>
      <c r="BV59" s="1">
        <v>2420</v>
      </c>
      <c r="BW59" s="1">
        <v>2426.6666</v>
      </c>
      <c r="BX59" s="1">
        <v>2450</v>
      </c>
      <c r="BY59" s="1">
        <v>2666.6666</v>
      </c>
      <c r="BZ59" s="1">
        <v>2756.6666</v>
      </c>
    </row>
    <row r="60" spans="1:254" ht="15.9" customHeight="1">
      <c r="A60" s="78" t="s">
        <v>115</v>
      </c>
      <c r="B60" s="17" t="s">
        <v>116</v>
      </c>
      <c r="C60" s="543">
        <f>_xll.RssMarket("3107","始値")</f>
        <v>3736</v>
      </c>
      <c r="D60" s="23">
        <f t="shared" si="1"/>
        <v>0</v>
      </c>
      <c r="E60" s="550">
        <v>3736</v>
      </c>
      <c r="F60" s="21">
        <v>3618</v>
      </c>
      <c r="G60" s="21">
        <v>3555</v>
      </c>
      <c r="H60" s="21">
        <v>3561</v>
      </c>
      <c r="I60" s="21">
        <v>3585</v>
      </c>
      <c r="J60" s="21">
        <v>3663</v>
      </c>
      <c r="K60" s="21">
        <v>3656</v>
      </c>
      <c r="L60" s="21">
        <v>3599</v>
      </c>
      <c r="M60" s="21">
        <v>3537</v>
      </c>
      <c r="N60" s="21">
        <v>3453</v>
      </c>
      <c r="O60" s="21">
        <v>3480</v>
      </c>
      <c r="P60" s="21">
        <v>3470</v>
      </c>
      <c r="Q60" s="21">
        <v>3450</v>
      </c>
      <c r="R60" s="21">
        <v>3430</v>
      </c>
      <c r="S60" s="21">
        <v>3422</v>
      </c>
      <c r="T60" s="21">
        <v>3369</v>
      </c>
      <c r="U60" s="21">
        <v>3446</v>
      </c>
      <c r="V60" s="21">
        <v>3402</v>
      </c>
      <c r="W60" s="21">
        <v>3424</v>
      </c>
      <c r="X60" s="21">
        <v>3446</v>
      </c>
      <c r="Y60" s="21">
        <v>3500</v>
      </c>
      <c r="Z60" s="21">
        <v>3505</v>
      </c>
      <c r="AA60" s="21">
        <v>3469</v>
      </c>
      <c r="AB60" s="21">
        <v>3486</v>
      </c>
      <c r="AC60" s="21">
        <v>3449</v>
      </c>
      <c r="AD60" s="21">
        <v>3500</v>
      </c>
      <c r="AE60" s="21">
        <v>3420</v>
      </c>
      <c r="AF60" s="21">
        <v>3409</v>
      </c>
      <c r="AG60" s="21">
        <v>3380</v>
      </c>
      <c r="AH60" s="21">
        <v>3332</v>
      </c>
      <c r="AI60" s="21">
        <v>3354</v>
      </c>
      <c r="AJ60" s="21">
        <v>3332</v>
      </c>
      <c r="AK60" s="21">
        <v>3334</v>
      </c>
      <c r="AL60" s="21">
        <v>3330</v>
      </c>
      <c r="AM60" s="21">
        <v>3419</v>
      </c>
      <c r="AN60" s="21">
        <v>3449</v>
      </c>
      <c r="AO60" s="21">
        <v>3438</v>
      </c>
      <c r="AP60" s="21">
        <v>3471</v>
      </c>
      <c r="AQ60" s="21">
        <v>3449</v>
      </c>
      <c r="AR60" s="21">
        <v>3442</v>
      </c>
      <c r="AS60" s="21">
        <v>3500</v>
      </c>
      <c r="AT60" s="21">
        <v>3510</v>
      </c>
      <c r="AU60" s="21">
        <v>3562</v>
      </c>
      <c r="AV60" s="21">
        <v>3536</v>
      </c>
      <c r="AW60" s="21">
        <v>3500</v>
      </c>
      <c r="AX60" s="21">
        <v>3400</v>
      </c>
      <c r="AY60" s="21">
        <v>3346</v>
      </c>
      <c r="AZ60" s="21">
        <v>3367</v>
      </c>
      <c r="BA60" s="21">
        <v>3500</v>
      </c>
      <c r="BB60" s="21">
        <v>3535</v>
      </c>
      <c r="BC60" s="21">
        <v>3543</v>
      </c>
      <c r="BD60" s="21">
        <v>3580</v>
      </c>
      <c r="BE60" s="21">
        <v>3514</v>
      </c>
      <c r="BF60" s="21">
        <v>3461</v>
      </c>
      <c r="BG60" s="21">
        <v>3437</v>
      </c>
      <c r="BH60" s="21">
        <v>3485</v>
      </c>
      <c r="BI60" s="21">
        <v>3417</v>
      </c>
      <c r="BJ60" s="21">
        <v>3424</v>
      </c>
      <c r="BK60" s="21">
        <v>3419</v>
      </c>
      <c r="BL60" s="21">
        <v>3345</v>
      </c>
      <c r="BM60" s="1">
        <v>3217</v>
      </c>
      <c r="BN60" s="1">
        <v>3200</v>
      </c>
      <c r="BO60" s="1">
        <v>3190</v>
      </c>
      <c r="BP60" s="1">
        <v>3212</v>
      </c>
      <c r="BQ60" s="1">
        <v>3127</v>
      </c>
      <c r="BR60" s="1">
        <v>3097</v>
      </c>
      <c r="BS60" s="1">
        <v>3084</v>
      </c>
      <c r="BT60" s="1">
        <v>3100</v>
      </c>
      <c r="BU60" s="1">
        <v>3113</v>
      </c>
      <c r="BV60" s="1">
        <v>3155</v>
      </c>
      <c r="BW60" s="1">
        <v>3165</v>
      </c>
      <c r="BX60" s="1">
        <v>3183</v>
      </c>
      <c r="BY60" s="1">
        <v>3150</v>
      </c>
      <c r="BZ60" s="1">
        <v>3145</v>
      </c>
    </row>
    <row r="61" spans="1:254" ht="15.9" customHeight="1">
      <c r="A61" s="78" t="s">
        <v>117</v>
      </c>
      <c r="B61" s="17" t="s">
        <v>118</v>
      </c>
      <c r="C61" s="543">
        <f>_xll.RssMarket("4045","始値")</f>
        <v>1836</v>
      </c>
      <c r="D61" s="23">
        <f t="shared" si="1"/>
        <v>0</v>
      </c>
      <c r="E61" s="550">
        <v>1836</v>
      </c>
      <c r="F61" s="21">
        <v>1829</v>
      </c>
      <c r="G61" s="21">
        <v>1824.5</v>
      </c>
      <c r="H61" s="21">
        <v>1814</v>
      </c>
      <c r="I61" s="21">
        <v>1800</v>
      </c>
      <c r="J61" s="21">
        <v>1785.5</v>
      </c>
      <c r="K61" s="21">
        <v>1791.5</v>
      </c>
      <c r="L61" s="21">
        <v>1806.5</v>
      </c>
      <c r="M61" s="21">
        <v>1777.5</v>
      </c>
      <c r="N61" s="21">
        <v>1750</v>
      </c>
      <c r="O61" s="21">
        <v>1770</v>
      </c>
      <c r="P61" s="21">
        <v>1760.5</v>
      </c>
      <c r="Q61" s="21">
        <v>1736</v>
      </c>
      <c r="R61" s="21">
        <v>1733</v>
      </c>
      <c r="S61" s="21">
        <v>1753</v>
      </c>
      <c r="T61" s="21">
        <v>1717</v>
      </c>
      <c r="U61" s="21">
        <v>1739.5</v>
      </c>
      <c r="V61" s="21">
        <v>1750</v>
      </c>
      <c r="W61" s="21">
        <v>1737</v>
      </c>
      <c r="X61" s="21">
        <v>1750</v>
      </c>
      <c r="Y61" s="21">
        <v>1792</v>
      </c>
      <c r="Z61" s="21">
        <v>1783</v>
      </c>
      <c r="AA61" s="21">
        <v>1749</v>
      </c>
      <c r="AB61" s="21">
        <v>1745</v>
      </c>
      <c r="AC61" s="21">
        <v>1760</v>
      </c>
      <c r="AD61" s="21">
        <v>1758</v>
      </c>
      <c r="AE61" s="21">
        <v>1744.5</v>
      </c>
      <c r="AF61" s="21">
        <v>1776</v>
      </c>
      <c r="AG61" s="21">
        <v>1783</v>
      </c>
      <c r="AH61" s="21">
        <v>1735</v>
      </c>
      <c r="AI61" s="21">
        <v>1762</v>
      </c>
      <c r="AJ61" s="21">
        <v>1761</v>
      </c>
      <c r="AK61" s="21">
        <v>1775</v>
      </c>
      <c r="AL61" s="21">
        <v>1765</v>
      </c>
      <c r="AM61" s="21">
        <v>1758.5</v>
      </c>
      <c r="AN61" s="21">
        <v>1762</v>
      </c>
      <c r="AO61" s="21">
        <v>1755.5</v>
      </c>
      <c r="AP61" s="21">
        <v>1725</v>
      </c>
      <c r="AQ61" s="21">
        <v>1699</v>
      </c>
      <c r="AR61" s="21">
        <v>1705</v>
      </c>
      <c r="AS61" s="21">
        <v>1700</v>
      </c>
      <c r="AT61" s="21">
        <v>1742</v>
      </c>
      <c r="AU61" s="21">
        <v>1744</v>
      </c>
      <c r="AV61" s="21">
        <v>1750</v>
      </c>
      <c r="AW61" s="21">
        <v>1731</v>
      </c>
      <c r="AX61" s="21">
        <v>1751</v>
      </c>
      <c r="AY61" s="21">
        <v>1734.5</v>
      </c>
      <c r="AZ61" s="21">
        <v>1737.5</v>
      </c>
      <c r="BA61" s="21">
        <v>1725.5</v>
      </c>
      <c r="BB61" s="21">
        <v>1710.5</v>
      </c>
      <c r="BC61" s="21">
        <v>1703.5</v>
      </c>
      <c r="BD61" s="21">
        <v>1710</v>
      </c>
      <c r="BE61" s="21">
        <v>1758.5</v>
      </c>
      <c r="BF61" s="21">
        <v>1747</v>
      </c>
      <c r="BG61" s="21">
        <v>1759.5</v>
      </c>
      <c r="BH61" s="21">
        <v>1750</v>
      </c>
      <c r="BI61" s="21">
        <v>1724</v>
      </c>
      <c r="BJ61" s="21">
        <v>1736.5</v>
      </c>
      <c r="BK61" s="21">
        <v>1715</v>
      </c>
      <c r="BL61" s="21">
        <v>1734.5</v>
      </c>
      <c r="BM61" s="1">
        <v>1737</v>
      </c>
      <c r="BN61" s="1">
        <v>1698</v>
      </c>
      <c r="BO61" s="1">
        <v>1693.5</v>
      </c>
      <c r="BP61" s="1">
        <v>1729.5</v>
      </c>
      <c r="BQ61" s="1">
        <v>1730</v>
      </c>
      <c r="BR61" s="1">
        <v>1798.5</v>
      </c>
      <c r="BS61" s="1">
        <v>1800</v>
      </c>
      <c r="BT61" s="1">
        <v>1798.5</v>
      </c>
      <c r="BU61" s="1">
        <v>1795</v>
      </c>
      <c r="BV61" s="1">
        <v>1804</v>
      </c>
      <c r="BW61" s="1">
        <v>1803</v>
      </c>
      <c r="BX61" s="1">
        <v>1785</v>
      </c>
      <c r="BY61" s="1">
        <v>1784.5</v>
      </c>
      <c r="BZ61" s="1">
        <v>1784</v>
      </c>
    </row>
    <row r="62" spans="1:254" ht="15.9" customHeight="1">
      <c r="A62" s="78" t="s">
        <v>119</v>
      </c>
      <c r="B62" s="17" t="s">
        <v>120</v>
      </c>
      <c r="C62" s="543">
        <f>_xll.RssMarket("5857","始値")</f>
        <v>3385</v>
      </c>
      <c r="D62" s="23">
        <f t="shared" si="1"/>
        <v>0</v>
      </c>
      <c r="E62" s="550">
        <v>3385</v>
      </c>
      <c r="F62" s="21">
        <v>3160</v>
      </c>
      <c r="G62" s="21">
        <v>3060</v>
      </c>
      <c r="H62" s="21">
        <v>3040</v>
      </c>
      <c r="I62" s="21">
        <v>3050</v>
      </c>
      <c r="J62" s="21">
        <v>2992</v>
      </c>
      <c r="K62" s="21">
        <v>3085</v>
      </c>
      <c r="L62" s="21">
        <v>3125</v>
      </c>
      <c r="M62" s="21">
        <v>3150</v>
      </c>
      <c r="N62" s="21">
        <v>3095</v>
      </c>
      <c r="O62" s="21">
        <v>3110</v>
      </c>
      <c r="P62" s="21">
        <v>3080</v>
      </c>
      <c r="Q62" s="21">
        <v>2971</v>
      </c>
      <c r="R62" s="21">
        <v>3000</v>
      </c>
      <c r="S62" s="21">
        <v>3085</v>
      </c>
      <c r="T62" s="21">
        <v>2970</v>
      </c>
      <c r="U62" s="21">
        <v>2978</v>
      </c>
      <c r="V62" s="21">
        <v>2982</v>
      </c>
      <c r="W62" s="21">
        <v>2950</v>
      </c>
      <c r="X62" s="21">
        <v>2980</v>
      </c>
      <c r="Y62" s="21">
        <v>3060</v>
      </c>
      <c r="Z62" s="21">
        <v>3070</v>
      </c>
      <c r="AA62" s="21">
        <v>2984</v>
      </c>
      <c r="AB62" s="21">
        <v>2950</v>
      </c>
      <c r="AC62" s="21">
        <v>2930</v>
      </c>
      <c r="AD62" s="21">
        <v>2933</v>
      </c>
      <c r="AE62" s="21">
        <v>2947</v>
      </c>
      <c r="AF62" s="21">
        <v>2860</v>
      </c>
      <c r="AG62" s="21">
        <v>3115</v>
      </c>
      <c r="AH62" s="21">
        <v>3140</v>
      </c>
      <c r="AI62" s="21">
        <v>3240</v>
      </c>
      <c r="AJ62" s="21">
        <v>3205</v>
      </c>
      <c r="AK62" s="21">
        <v>3160</v>
      </c>
      <c r="AL62" s="21">
        <v>3240</v>
      </c>
      <c r="AM62" s="21">
        <v>3205</v>
      </c>
      <c r="AN62" s="21">
        <v>3220</v>
      </c>
      <c r="AO62" s="21">
        <v>3150</v>
      </c>
      <c r="AP62" s="21">
        <v>2972</v>
      </c>
      <c r="AQ62" s="21">
        <v>2940</v>
      </c>
      <c r="AR62" s="21">
        <v>3015</v>
      </c>
      <c r="AS62" s="21">
        <v>3055</v>
      </c>
      <c r="AT62" s="21">
        <v>3160</v>
      </c>
      <c r="AU62" s="21">
        <v>3210</v>
      </c>
      <c r="AV62" s="21">
        <v>3255</v>
      </c>
      <c r="AW62" s="21">
        <v>3190</v>
      </c>
      <c r="AX62" s="21">
        <v>3270</v>
      </c>
      <c r="AY62" s="21">
        <v>3300</v>
      </c>
      <c r="AZ62" s="21">
        <v>3450</v>
      </c>
      <c r="BA62" s="21">
        <v>3600</v>
      </c>
      <c r="BB62" s="21">
        <v>3480</v>
      </c>
      <c r="BC62" s="21">
        <v>3485</v>
      </c>
      <c r="BD62" s="21">
        <v>3575</v>
      </c>
      <c r="BE62" s="21">
        <v>3760</v>
      </c>
      <c r="BF62" s="21">
        <v>3855</v>
      </c>
      <c r="BG62" s="21">
        <v>4045</v>
      </c>
      <c r="BH62" s="21">
        <v>4060</v>
      </c>
      <c r="BI62" s="21">
        <v>3880</v>
      </c>
      <c r="BJ62" s="21">
        <v>3910</v>
      </c>
      <c r="BK62" s="21">
        <v>4115</v>
      </c>
      <c r="BL62" s="21">
        <v>3980</v>
      </c>
      <c r="BM62" s="1">
        <v>3855</v>
      </c>
      <c r="BN62" s="1">
        <v>3575</v>
      </c>
      <c r="BO62" s="1">
        <v>3580</v>
      </c>
      <c r="BP62" s="1">
        <v>3675</v>
      </c>
      <c r="BQ62" s="1">
        <v>3615</v>
      </c>
      <c r="BR62" s="1">
        <v>3670</v>
      </c>
      <c r="BS62" s="1">
        <v>3780</v>
      </c>
      <c r="BT62" s="1">
        <v>3925</v>
      </c>
      <c r="BU62" s="1">
        <v>3930</v>
      </c>
      <c r="BV62" s="1">
        <v>3835</v>
      </c>
      <c r="BW62" s="1">
        <v>3845</v>
      </c>
      <c r="BX62" s="1">
        <v>3775</v>
      </c>
      <c r="BY62" s="1">
        <v>3850</v>
      </c>
      <c r="BZ62" s="1">
        <v>3750</v>
      </c>
    </row>
    <row r="63" spans="1:254" ht="15.9" customHeight="1">
      <c r="A63" s="78" t="s">
        <v>121</v>
      </c>
      <c r="B63" s="17" t="s">
        <v>122</v>
      </c>
      <c r="C63" s="543">
        <f>_xll.RssMarket("8281","始値")</f>
        <v>1069</v>
      </c>
      <c r="D63" s="23">
        <f t="shared" si="1"/>
        <v>0</v>
      </c>
      <c r="E63" s="550">
        <v>1069</v>
      </c>
      <c r="F63" s="21">
        <v>1074</v>
      </c>
      <c r="G63" s="21">
        <v>1089</v>
      </c>
      <c r="H63" s="21">
        <v>1096</v>
      </c>
      <c r="I63" s="21">
        <v>1119</v>
      </c>
      <c r="J63" s="21">
        <v>1126</v>
      </c>
      <c r="K63" s="21">
        <v>1116</v>
      </c>
      <c r="L63" s="21">
        <v>1113</v>
      </c>
      <c r="M63" s="21">
        <v>1103</v>
      </c>
      <c r="N63" s="21"/>
      <c r="O63" s="21">
        <v>1109</v>
      </c>
      <c r="P63" s="21">
        <v>1103</v>
      </c>
      <c r="Q63" s="21">
        <v>1120</v>
      </c>
      <c r="R63" s="21">
        <v>1104</v>
      </c>
      <c r="S63" s="21">
        <v>1100</v>
      </c>
      <c r="T63" s="21">
        <v>1085</v>
      </c>
      <c r="U63" s="21">
        <v>1100</v>
      </c>
      <c r="V63" s="21">
        <v>1096</v>
      </c>
      <c r="W63" s="21">
        <v>1103</v>
      </c>
      <c r="X63" s="21">
        <v>1122</v>
      </c>
      <c r="Y63" s="21">
        <v>1111</v>
      </c>
      <c r="Z63" s="21">
        <v>1080</v>
      </c>
      <c r="AA63" s="21">
        <v>1068</v>
      </c>
      <c r="AB63" s="21">
        <v>1064</v>
      </c>
      <c r="AC63" s="21">
        <v>1050</v>
      </c>
      <c r="AD63" s="21">
        <v>1059</v>
      </c>
      <c r="AE63" s="21">
        <v>1073</v>
      </c>
      <c r="AF63" s="21">
        <v>1060</v>
      </c>
      <c r="AG63" s="21">
        <v>1035</v>
      </c>
      <c r="AH63" s="21">
        <v>1044</v>
      </c>
      <c r="AI63" s="21">
        <v>1024</v>
      </c>
      <c r="AJ63" s="21">
        <v>1040</v>
      </c>
      <c r="AK63" s="21">
        <v>1040</v>
      </c>
      <c r="AL63" s="21">
        <v>1046</v>
      </c>
      <c r="AM63" s="21">
        <v>1056</v>
      </c>
      <c r="AN63" s="21">
        <v>1063</v>
      </c>
      <c r="AO63" s="21">
        <v>1070</v>
      </c>
      <c r="AP63" s="21">
        <v>1055</v>
      </c>
      <c r="AQ63" s="21">
        <v>1068</v>
      </c>
      <c r="AR63" s="21">
        <v>1036</v>
      </c>
      <c r="AS63" s="21">
        <v>1021</v>
      </c>
      <c r="AT63" s="21">
        <v>1018</v>
      </c>
      <c r="AU63" s="21">
        <v>1015</v>
      </c>
      <c r="AV63" s="21">
        <v>1032</v>
      </c>
      <c r="AW63" s="21">
        <v>1029</v>
      </c>
      <c r="AX63" s="21">
        <v>1059</v>
      </c>
      <c r="AY63" s="21">
        <v>1048</v>
      </c>
      <c r="AZ63" s="21">
        <v>1040</v>
      </c>
      <c r="BA63" s="21">
        <v>1055</v>
      </c>
      <c r="BB63" s="21">
        <v>1053</v>
      </c>
      <c r="BC63" s="21">
        <v>1044</v>
      </c>
      <c r="BD63" s="21">
        <v>1043</v>
      </c>
      <c r="BE63" s="21">
        <v>1025</v>
      </c>
      <c r="BF63" s="21">
        <v>1000</v>
      </c>
      <c r="BG63" s="21">
        <v>966</v>
      </c>
      <c r="BH63" s="21">
        <v>966</v>
      </c>
      <c r="BI63" s="21">
        <v>961</v>
      </c>
      <c r="BJ63" s="21">
        <v>961</v>
      </c>
      <c r="BK63" s="21">
        <v>970</v>
      </c>
      <c r="BL63" s="21">
        <v>971</v>
      </c>
      <c r="BM63" s="1">
        <v>988</v>
      </c>
      <c r="BN63" s="1">
        <v>996</v>
      </c>
      <c r="BO63" s="1">
        <v>995</v>
      </c>
      <c r="BP63" s="1">
        <v>991</v>
      </c>
      <c r="BQ63" s="1">
        <v>991</v>
      </c>
      <c r="BR63" s="1">
        <v>999</v>
      </c>
      <c r="BS63" s="1">
        <v>1005</v>
      </c>
      <c r="BT63" s="1">
        <v>1022</v>
      </c>
      <c r="BU63" s="1">
        <v>1034</v>
      </c>
      <c r="BV63" s="1">
        <v>1025</v>
      </c>
      <c r="BW63" s="1">
        <v>1015</v>
      </c>
      <c r="BX63" s="1">
        <v>1026</v>
      </c>
      <c r="BY63" s="1">
        <v>1015</v>
      </c>
      <c r="BZ63" s="1">
        <v>1009</v>
      </c>
    </row>
    <row r="64" spans="1:254" ht="15.9" customHeight="1">
      <c r="A64" s="78" t="s">
        <v>123</v>
      </c>
      <c r="B64" s="17" t="s">
        <v>124</v>
      </c>
      <c r="C64" s="543">
        <f>_xll.RssMarket("4540","始値")</f>
        <v>3738</v>
      </c>
      <c r="D64" s="23">
        <f t="shared" si="1"/>
        <v>0</v>
      </c>
      <c r="E64" s="550">
        <v>3738</v>
      </c>
      <c r="F64" s="21">
        <v>3754</v>
      </c>
      <c r="G64" s="21">
        <v>3790</v>
      </c>
      <c r="H64" s="21">
        <v>3800</v>
      </c>
      <c r="I64" s="21">
        <v>3900</v>
      </c>
      <c r="J64" s="21">
        <v>4044</v>
      </c>
      <c r="K64" s="21">
        <v>3971</v>
      </c>
      <c r="L64" s="21">
        <v>3950</v>
      </c>
      <c r="M64" s="21">
        <v>3815</v>
      </c>
      <c r="N64" s="21">
        <v>3785</v>
      </c>
      <c r="O64" s="21">
        <v>3840</v>
      </c>
      <c r="P64" s="21">
        <v>3872</v>
      </c>
      <c r="Q64" s="21">
        <v>3875</v>
      </c>
      <c r="R64" s="21">
        <v>3861</v>
      </c>
      <c r="S64" s="21">
        <v>3879</v>
      </c>
      <c r="T64" s="21">
        <v>3847</v>
      </c>
      <c r="U64" s="21">
        <v>3839</v>
      </c>
      <c r="V64" s="21">
        <v>3780</v>
      </c>
      <c r="W64" s="21">
        <v>3786</v>
      </c>
      <c r="X64" s="21">
        <v>3795</v>
      </c>
      <c r="Y64" s="21">
        <v>3794</v>
      </c>
      <c r="Z64" s="21">
        <v>3772</v>
      </c>
      <c r="AA64" s="21">
        <v>3791</v>
      </c>
      <c r="AB64" s="21">
        <v>3746</v>
      </c>
      <c r="AC64" s="21">
        <v>3719</v>
      </c>
      <c r="AD64" s="21">
        <v>3725</v>
      </c>
      <c r="AE64" s="21">
        <v>3700</v>
      </c>
      <c r="AF64" s="21">
        <v>3727</v>
      </c>
      <c r="AG64" s="21">
        <v>3810</v>
      </c>
      <c r="AH64" s="21">
        <v>3723</v>
      </c>
      <c r="AI64" s="21">
        <v>3726</v>
      </c>
      <c r="AJ64" s="21">
        <v>3747</v>
      </c>
      <c r="AK64" s="21">
        <v>3722</v>
      </c>
      <c r="AL64" s="21">
        <v>3743</v>
      </c>
      <c r="AM64" s="21">
        <v>3776</v>
      </c>
      <c r="AN64" s="21">
        <v>3720</v>
      </c>
      <c r="AO64" s="21">
        <v>3730</v>
      </c>
      <c r="AP64" s="21">
        <v>3744</v>
      </c>
      <c r="AQ64" s="21">
        <v>3770</v>
      </c>
      <c r="AR64" s="21">
        <v>3718</v>
      </c>
      <c r="AS64" s="21">
        <v>3688</v>
      </c>
      <c r="AT64" s="21">
        <v>3755</v>
      </c>
      <c r="AU64" s="21">
        <v>3750</v>
      </c>
      <c r="AV64" s="21">
        <v>3698</v>
      </c>
      <c r="AW64" s="21">
        <v>3715</v>
      </c>
      <c r="AX64" s="21">
        <v>3798</v>
      </c>
      <c r="AY64" s="21">
        <v>3860</v>
      </c>
      <c r="AZ64" s="21">
        <v>3735</v>
      </c>
      <c r="BA64" s="21">
        <v>3780</v>
      </c>
      <c r="BB64" s="21">
        <v>3888</v>
      </c>
      <c r="BC64" s="21">
        <v>3967</v>
      </c>
      <c r="BD64" s="21">
        <v>3950</v>
      </c>
      <c r="BE64" s="21">
        <v>3825</v>
      </c>
      <c r="BF64" s="21">
        <v>3799</v>
      </c>
      <c r="BG64" s="21">
        <v>3776</v>
      </c>
      <c r="BH64" s="21">
        <v>3702</v>
      </c>
      <c r="BI64" s="21">
        <v>3559</v>
      </c>
      <c r="BJ64" s="21">
        <v>3555</v>
      </c>
      <c r="BK64" s="21">
        <v>3568</v>
      </c>
      <c r="BL64" s="21">
        <v>3631</v>
      </c>
      <c r="BM64" s="1">
        <v>3621</v>
      </c>
      <c r="BN64" s="1">
        <v>3651</v>
      </c>
      <c r="BO64" s="1">
        <v>3670</v>
      </c>
      <c r="BP64" s="1">
        <v>3722</v>
      </c>
      <c r="BQ64" s="1">
        <v>3685</v>
      </c>
      <c r="BR64" s="1">
        <v>3688</v>
      </c>
      <c r="BS64" s="1">
        <v>3680</v>
      </c>
      <c r="BT64" s="1">
        <v>3712</v>
      </c>
      <c r="BU64" s="1">
        <v>3746</v>
      </c>
      <c r="BV64" s="1">
        <v>3791</v>
      </c>
      <c r="BW64" s="1">
        <v>3753</v>
      </c>
      <c r="BX64" s="1">
        <v>3800</v>
      </c>
      <c r="BY64" s="1">
        <v>3750</v>
      </c>
      <c r="BZ64" s="1">
        <v>3765</v>
      </c>
    </row>
    <row r="65" spans="1:254" ht="15.9" customHeight="1">
      <c r="A65" s="78" t="s">
        <v>125</v>
      </c>
      <c r="B65" s="17" t="s">
        <v>126</v>
      </c>
      <c r="C65" s="543">
        <f>_xll.RssMarket("9984","始値")</f>
        <v>5760</v>
      </c>
      <c r="D65" s="23">
        <f t="shared" si="1"/>
        <v>0</v>
      </c>
      <c r="E65" s="550">
        <v>5760</v>
      </c>
      <c r="F65" s="21">
        <v>5628</v>
      </c>
      <c r="G65" s="21">
        <v>5418</v>
      </c>
      <c r="H65" s="21">
        <v>5255</v>
      </c>
      <c r="I65" s="21">
        <v>5303</v>
      </c>
      <c r="J65" s="21">
        <v>4526</v>
      </c>
      <c r="K65" s="21">
        <v>5083</v>
      </c>
      <c r="L65" s="21">
        <v>5202</v>
      </c>
      <c r="M65" s="21">
        <v>5584</v>
      </c>
      <c r="N65" s="21">
        <v>5800</v>
      </c>
      <c r="O65" s="21">
        <v>5846</v>
      </c>
      <c r="P65" s="21">
        <v>5929</v>
      </c>
      <c r="Q65" s="21">
        <v>5524</v>
      </c>
      <c r="R65" s="21">
        <v>5663</v>
      </c>
      <c r="S65" s="21">
        <v>6450</v>
      </c>
      <c r="T65" s="21">
        <v>6181</v>
      </c>
      <c r="U65" s="21">
        <v>6370</v>
      </c>
      <c r="V65" s="21">
        <v>6021</v>
      </c>
      <c r="W65" s="21">
        <v>5796</v>
      </c>
      <c r="X65" s="21">
        <v>5571</v>
      </c>
      <c r="Y65" s="21">
        <v>5962</v>
      </c>
      <c r="Z65" s="21">
        <v>6130</v>
      </c>
      <c r="AA65" s="21">
        <v>6000</v>
      </c>
      <c r="AB65" s="21">
        <v>5757</v>
      </c>
      <c r="AC65" s="21">
        <v>6089</v>
      </c>
      <c r="AD65" s="21">
        <v>5968</v>
      </c>
      <c r="AE65" s="21">
        <v>6320</v>
      </c>
      <c r="AF65" s="21">
        <v>6412</v>
      </c>
      <c r="AG65" s="21">
        <v>6797</v>
      </c>
      <c r="AH65" s="21">
        <v>6521</v>
      </c>
      <c r="AI65" s="21">
        <v>6944</v>
      </c>
      <c r="AJ65" s="21">
        <v>7300</v>
      </c>
      <c r="AK65" s="21">
        <v>7339</v>
      </c>
      <c r="AL65" s="21">
        <v>7128</v>
      </c>
      <c r="AM65" s="21">
        <v>6920</v>
      </c>
      <c r="AN65" s="21">
        <v>7150</v>
      </c>
      <c r="AO65" s="21">
        <v>7108</v>
      </c>
      <c r="AP65" s="21">
        <v>6650</v>
      </c>
      <c r="AQ65" s="21">
        <v>6066</v>
      </c>
      <c r="AR65" s="21">
        <v>6714</v>
      </c>
      <c r="AS65" s="21">
        <v>6676</v>
      </c>
      <c r="AT65" s="21">
        <v>7140</v>
      </c>
      <c r="AU65" s="21">
        <v>8001</v>
      </c>
      <c r="AV65" s="21">
        <v>8800</v>
      </c>
      <c r="AW65" s="21">
        <v>9000</v>
      </c>
      <c r="AX65" s="21">
        <v>7548</v>
      </c>
      <c r="AY65" s="21">
        <v>7100</v>
      </c>
      <c r="AZ65" s="21">
        <v>8020</v>
      </c>
      <c r="BA65" s="21">
        <v>6750</v>
      </c>
      <c r="BB65" s="21">
        <v>6700</v>
      </c>
      <c r="BC65" s="21">
        <v>5810</v>
      </c>
      <c r="BD65" s="21">
        <v>5313</v>
      </c>
      <c r="BE65" s="21">
        <v>5660</v>
      </c>
      <c r="BF65" s="21">
        <v>5445</v>
      </c>
      <c r="BG65" s="21">
        <v>5801</v>
      </c>
      <c r="BH65" s="21">
        <v>6100</v>
      </c>
      <c r="BI65" s="21">
        <v>5943</v>
      </c>
      <c r="BJ65" s="21">
        <v>5935</v>
      </c>
      <c r="BK65" s="21">
        <v>6219</v>
      </c>
      <c r="BL65" s="21">
        <v>6124</v>
      </c>
      <c r="BM65" s="1">
        <v>6100</v>
      </c>
      <c r="BN65" s="1">
        <v>5278</v>
      </c>
      <c r="BO65" s="1">
        <v>4968</v>
      </c>
      <c r="BP65" s="1">
        <v>5660</v>
      </c>
      <c r="BQ65" s="1">
        <v>6016</v>
      </c>
      <c r="BR65" s="1">
        <v>6000</v>
      </c>
      <c r="BS65" s="1">
        <v>6097</v>
      </c>
      <c r="BT65" s="1">
        <v>5130</v>
      </c>
      <c r="BU65" s="1">
        <v>4945</v>
      </c>
      <c r="BV65" s="1">
        <v>4575</v>
      </c>
      <c r="BW65" s="1">
        <v>4640</v>
      </c>
      <c r="BX65" s="1">
        <v>4542</v>
      </c>
      <c r="BY65" s="1">
        <v>4405</v>
      </c>
      <c r="BZ65" s="1">
        <v>3904</v>
      </c>
    </row>
    <row r="66" spans="1:254" ht="15.9" customHeight="1">
      <c r="A66" s="78" t="s">
        <v>127</v>
      </c>
      <c r="B66" s="17" t="s">
        <v>128</v>
      </c>
      <c r="C66" s="543">
        <f>_xll.RssMarket("4063","始値")</f>
        <v>6093</v>
      </c>
      <c r="D66" s="23">
        <f t="shared" si="1"/>
        <v>0</v>
      </c>
      <c r="E66" s="550">
        <v>6093</v>
      </c>
      <c r="F66" s="21">
        <v>6004</v>
      </c>
      <c r="G66" s="21">
        <v>5859</v>
      </c>
      <c r="H66" s="21">
        <v>5900</v>
      </c>
      <c r="I66" s="21">
        <v>5917</v>
      </c>
      <c r="J66" s="21">
        <v>5712</v>
      </c>
      <c r="K66" s="21">
        <v>5835</v>
      </c>
      <c r="L66" s="21">
        <v>6000</v>
      </c>
      <c r="M66" s="21">
        <v>6473</v>
      </c>
      <c r="N66" s="21">
        <v>6833</v>
      </c>
      <c r="O66" s="21">
        <v>7180</v>
      </c>
      <c r="P66" s="21">
        <v>7233</v>
      </c>
      <c r="Q66" s="21">
        <v>7205</v>
      </c>
      <c r="R66" s="21">
        <v>7210</v>
      </c>
      <c r="S66" s="21">
        <v>7582</v>
      </c>
      <c r="T66" s="21">
        <v>7295</v>
      </c>
      <c r="U66" s="21">
        <v>7390</v>
      </c>
      <c r="V66" s="21">
        <v>7255</v>
      </c>
      <c r="W66" s="21">
        <v>6900</v>
      </c>
      <c r="X66" s="21">
        <v>7111</v>
      </c>
      <c r="Y66" s="21">
        <v>7377</v>
      </c>
      <c r="Z66" s="21">
        <v>7058</v>
      </c>
      <c r="AA66" s="21">
        <v>6874</v>
      </c>
      <c r="AB66" s="21">
        <v>7180</v>
      </c>
      <c r="AC66" s="21">
        <v>7081</v>
      </c>
      <c r="AD66" s="21">
        <v>7058</v>
      </c>
      <c r="AE66" s="21">
        <v>6893</v>
      </c>
      <c r="AF66" s="21">
        <v>7000</v>
      </c>
      <c r="AG66" s="21">
        <v>7234</v>
      </c>
      <c r="AH66" s="21">
        <v>7001</v>
      </c>
      <c r="AI66" s="21">
        <v>7277</v>
      </c>
      <c r="AJ66" s="21">
        <v>7160</v>
      </c>
      <c r="AK66" s="21">
        <v>7500</v>
      </c>
      <c r="AL66" s="21">
        <v>7665</v>
      </c>
      <c r="AM66" s="21">
        <v>7447</v>
      </c>
      <c r="AN66" s="21">
        <v>7510</v>
      </c>
      <c r="AO66" s="21">
        <v>7484</v>
      </c>
      <c r="AP66" s="21">
        <v>7056</v>
      </c>
      <c r="AQ66" s="21">
        <v>6500</v>
      </c>
      <c r="AR66" s="21">
        <v>6790</v>
      </c>
      <c r="AS66" s="21">
        <v>6980</v>
      </c>
      <c r="AT66" s="21">
        <v>7491</v>
      </c>
      <c r="AU66" s="21">
        <v>7542</v>
      </c>
      <c r="AV66" s="21">
        <v>7623</v>
      </c>
      <c r="AW66" s="21">
        <v>7600</v>
      </c>
      <c r="AX66" s="21">
        <v>7494</v>
      </c>
      <c r="AY66" s="21">
        <v>7385</v>
      </c>
      <c r="AZ66" s="21">
        <v>7250</v>
      </c>
      <c r="BA66" s="21">
        <v>7034</v>
      </c>
      <c r="BB66" s="21">
        <v>6900</v>
      </c>
      <c r="BC66" s="21">
        <v>6988</v>
      </c>
      <c r="BD66" s="21">
        <v>6942</v>
      </c>
      <c r="BE66" s="21">
        <v>7045</v>
      </c>
      <c r="BF66" s="21">
        <v>7074</v>
      </c>
      <c r="BG66" s="21">
        <v>7385</v>
      </c>
      <c r="BH66" s="21">
        <v>7382</v>
      </c>
      <c r="BI66" s="21">
        <v>7418</v>
      </c>
      <c r="BJ66" s="21">
        <v>7584</v>
      </c>
      <c r="BK66" s="21">
        <v>7557</v>
      </c>
      <c r="BL66" s="21">
        <v>7651</v>
      </c>
      <c r="BM66" s="1">
        <v>7601</v>
      </c>
      <c r="BN66" s="1">
        <v>7115</v>
      </c>
      <c r="BO66" s="1">
        <v>7251</v>
      </c>
      <c r="BP66" s="1">
        <v>7049</v>
      </c>
      <c r="BQ66" s="1">
        <v>6850</v>
      </c>
      <c r="BR66" s="1">
        <v>6804</v>
      </c>
      <c r="BS66" s="1">
        <v>6650</v>
      </c>
      <c r="BT66" s="1">
        <v>6710</v>
      </c>
      <c r="BU66" s="1">
        <v>6783</v>
      </c>
      <c r="BV66" s="1">
        <v>6847</v>
      </c>
      <c r="BW66" s="1">
        <v>6830</v>
      </c>
      <c r="BX66" s="1">
        <v>6750</v>
      </c>
      <c r="BY66" s="1">
        <v>6750</v>
      </c>
      <c r="BZ66" s="1">
        <v>6696</v>
      </c>
    </row>
    <row r="67" spans="1:254" ht="15.9" customHeight="1">
      <c r="A67" s="78" t="s">
        <v>129</v>
      </c>
      <c r="B67" s="17" t="s">
        <v>130</v>
      </c>
      <c r="C67" s="543">
        <f>_xll.RssMarket("4536","始値")</f>
        <v>1856</v>
      </c>
      <c r="D67" s="23">
        <f t="shared" si="1"/>
        <v>0</v>
      </c>
      <c r="E67" s="550">
        <v>1856</v>
      </c>
      <c r="F67" s="21">
        <v>1860</v>
      </c>
      <c r="G67" s="21">
        <v>1840</v>
      </c>
      <c r="H67" s="21">
        <v>1884</v>
      </c>
      <c r="I67" s="21">
        <v>1900</v>
      </c>
      <c r="J67" s="21">
        <v>1997</v>
      </c>
      <c r="K67" s="21">
        <v>1980</v>
      </c>
      <c r="L67" s="21">
        <v>1968</v>
      </c>
      <c r="M67" s="21">
        <v>1968</v>
      </c>
      <c r="N67" s="21"/>
      <c r="O67" s="21">
        <v>1978</v>
      </c>
      <c r="P67" s="21">
        <v>2025</v>
      </c>
      <c r="Q67" s="21">
        <v>2072.5</v>
      </c>
      <c r="R67" s="21">
        <v>2043</v>
      </c>
      <c r="S67" s="21">
        <v>2131</v>
      </c>
      <c r="T67" s="21">
        <v>2161</v>
      </c>
      <c r="U67" s="21">
        <v>2159</v>
      </c>
      <c r="V67" s="21">
        <v>2150</v>
      </c>
      <c r="W67" s="21">
        <v>2197</v>
      </c>
      <c r="X67" s="21">
        <v>2222.5</v>
      </c>
      <c r="Y67" s="21">
        <v>2227</v>
      </c>
      <c r="Z67" s="21">
        <v>2243.5</v>
      </c>
      <c r="AA67" s="21">
        <v>2222.5</v>
      </c>
      <c r="AB67" s="21">
        <v>2165</v>
      </c>
      <c r="AC67" s="21">
        <v>2102.5</v>
      </c>
      <c r="AD67" s="21">
        <v>2166.5</v>
      </c>
      <c r="AE67" s="21">
        <v>2160</v>
      </c>
      <c r="AF67" s="21">
        <v>2133</v>
      </c>
      <c r="AG67" s="21">
        <v>2066</v>
      </c>
      <c r="AH67" s="21">
        <v>1954</v>
      </c>
      <c r="AI67" s="21">
        <v>1905.5</v>
      </c>
      <c r="AJ67" s="21">
        <v>1857.5</v>
      </c>
      <c r="AK67" s="21">
        <v>1851</v>
      </c>
      <c r="AL67" s="21">
        <v>1893</v>
      </c>
      <c r="AM67" s="21">
        <v>1935.5</v>
      </c>
      <c r="AN67" s="21">
        <v>1899.5</v>
      </c>
      <c r="AO67" s="21">
        <v>1949</v>
      </c>
      <c r="AP67" s="21">
        <v>1937.5</v>
      </c>
      <c r="AQ67" s="21">
        <v>1920</v>
      </c>
      <c r="AR67" s="21">
        <v>1962.5</v>
      </c>
      <c r="AS67" s="21">
        <v>2007</v>
      </c>
      <c r="AT67" s="21">
        <v>1925</v>
      </c>
      <c r="AU67" s="21">
        <v>1856</v>
      </c>
      <c r="AV67" s="21">
        <v>1870</v>
      </c>
      <c r="AW67" s="21">
        <v>1851</v>
      </c>
      <c r="AX67" s="21">
        <v>1928.5</v>
      </c>
      <c r="AY67" s="21">
        <v>1897</v>
      </c>
      <c r="AZ67" s="21">
        <v>1921</v>
      </c>
      <c r="BA67" s="21">
        <v>1949.5</v>
      </c>
      <c r="BB67" s="21">
        <v>1880</v>
      </c>
      <c r="BC67" s="21">
        <v>1929.5</v>
      </c>
      <c r="BD67" s="21">
        <v>1925</v>
      </c>
      <c r="BE67" s="21">
        <v>1850.5</v>
      </c>
      <c r="BF67" s="21">
        <v>1854</v>
      </c>
      <c r="BG67" s="21">
        <v>1876</v>
      </c>
      <c r="BH67" s="21">
        <v>1818</v>
      </c>
      <c r="BI67" s="21">
        <v>1679.5</v>
      </c>
      <c r="BJ67" s="21">
        <v>1612</v>
      </c>
      <c r="BK67" s="21">
        <v>1602.5</v>
      </c>
      <c r="BL67" s="21">
        <v>1625</v>
      </c>
      <c r="BM67" s="1">
        <v>1627</v>
      </c>
      <c r="BN67" s="1">
        <v>1627</v>
      </c>
      <c r="BO67" s="1">
        <v>1634</v>
      </c>
      <c r="BP67" s="1">
        <v>1651</v>
      </c>
      <c r="BQ67" s="1">
        <v>1659</v>
      </c>
      <c r="BR67" s="1">
        <v>1674.5</v>
      </c>
      <c r="BS67" s="1">
        <v>1666.5</v>
      </c>
      <c r="BT67" s="1">
        <v>1717.5</v>
      </c>
      <c r="BU67" s="1">
        <v>1731.5</v>
      </c>
      <c r="BV67" s="1">
        <v>1797</v>
      </c>
      <c r="BW67" s="1">
        <v>1786.5</v>
      </c>
      <c r="BX67" s="1">
        <v>1807.5</v>
      </c>
      <c r="BY67" s="1">
        <v>1794.5</v>
      </c>
      <c r="BZ67" s="1">
        <v>1799</v>
      </c>
    </row>
    <row r="68" spans="1:254" ht="15.9" customHeight="1">
      <c r="A68" s="78" t="s">
        <v>131</v>
      </c>
      <c r="B68" s="17" t="s">
        <v>132</v>
      </c>
      <c r="C68" s="543">
        <f>_xll.RssMarket("6503","始値")</f>
        <v>5925</v>
      </c>
      <c r="D68" s="23">
        <f t="shared" si="1"/>
        <v>0</v>
      </c>
      <c r="E68" s="550">
        <v>5925</v>
      </c>
      <c r="F68" s="21">
        <v>5748</v>
      </c>
      <c r="G68" s="21">
        <v>5636</v>
      </c>
      <c r="H68" s="21">
        <v>5712</v>
      </c>
      <c r="I68" s="21">
        <v>5550</v>
      </c>
      <c r="J68" s="21">
        <v>5072</v>
      </c>
      <c r="K68" s="21">
        <v>5238</v>
      </c>
      <c r="L68" s="21">
        <v>5480</v>
      </c>
      <c r="M68" s="21">
        <v>5632</v>
      </c>
      <c r="N68" s="21">
        <v>5679</v>
      </c>
      <c r="O68" s="21">
        <v>5700</v>
      </c>
      <c r="P68" s="21">
        <v>5669</v>
      </c>
      <c r="Q68" s="21">
        <v>5413</v>
      </c>
      <c r="R68" s="21">
        <v>5566</v>
      </c>
      <c r="S68" s="21">
        <v>5747</v>
      </c>
      <c r="T68" s="21">
        <v>5676</v>
      </c>
      <c r="U68" s="21">
        <v>5836</v>
      </c>
      <c r="V68" s="21">
        <v>5867</v>
      </c>
      <c r="W68" s="21">
        <v>5730</v>
      </c>
      <c r="X68" s="21">
        <v>5847</v>
      </c>
      <c r="Y68" s="21">
        <v>6074</v>
      </c>
      <c r="Z68" s="21">
        <v>5970</v>
      </c>
      <c r="AA68" s="21">
        <v>5868</v>
      </c>
      <c r="AB68" s="21">
        <v>5934</v>
      </c>
      <c r="AC68" s="21">
        <v>5966</v>
      </c>
      <c r="AD68" s="21">
        <v>5980</v>
      </c>
      <c r="AE68" s="21">
        <v>5925</v>
      </c>
      <c r="AF68" s="21">
        <v>5927</v>
      </c>
      <c r="AG68" s="21">
        <v>6082</v>
      </c>
      <c r="AH68" s="21">
        <v>6004</v>
      </c>
      <c r="AI68" s="21">
        <v>6283</v>
      </c>
      <c r="AJ68" s="21">
        <v>6121</v>
      </c>
      <c r="AK68" s="21">
        <v>6148</v>
      </c>
      <c r="AL68" s="21">
        <v>6163</v>
      </c>
      <c r="AM68" s="21">
        <v>5853</v>
      </c>
      <c r="AN68" s="21">
        <v>5958</v>
      </c>
      <c r="AO68" s="21">
        <v>5700</v>
      </c>
      <c r="AP68" s="21">
        <v>5621</v>
      </c>
      <c r="AQ68" s="21">
        <v>5372</v>
      </c>
      <c r="AR68" s="21">
        <v>5750</v>
      </c>
      <c r="AS68" s="21">
        <v>5514</v>
      </c>
      <c r="AT68" s="21">
        <v>5899</v>
      </c>
      <c r="AU68" s="21">
        <v>6051</v>
      </c>
      <c r="AV68" s="21">
        <v>6101</v>
      </c>
      <c r="AW68" s="21">
        <v>6060</v>
      </c>
      <c r="AX68" s="21">
        <v>6500</v>
      </c>
      <c r="AY68" s="21">
        <v>6321</v>
      </c>
      <c r="AZ68" s="21">
        <v>6650</v>
      </c>
      <c r="BA68" s="21">
        <v>6414</v>
      </c>
      <c r="BB68" s="21">
        <v>6080</v>
      </c>
      <c r="BC68" s="21">
        <v>6008</v>
      </c>
      <c r="BD68" s="21">
        <v>5823</v>
      </c>
      <c r="BE68" s="21">
        <v>6312</v>
      </c>
      <c r="BF68" s="21">
        <v>6380</v>
      </c>
      <c r="BG68" s="21">
        <v>6500</v>
      </c>
      <c r="BH68" s="21">
        <v>6463</v>
      </c>
      <c r="BI68" s="21">
        <v>6333</v>
      </c>
      <c r="BJ68" s="21">
        <v>6623</v>
      </c>
      <c r="BK68" s="21">
        <v>6467</v>
      </c>
      <c r="BL68" s="21">
        <v>6448</v>
      </c>
      <c r="BM68" s="1">
        <v>6377</v>
      </c>
      <c r="BN68" s="1">
        <v>6269</v>
      </c>
      <c r="BO68" s="1">
        <v>6398</v>
      </c>
      <c r="BP68" s="1">
        <v>6048</v>
      </c>
      <c r="BQ68" s="1">
        <v>6039</v>
      </c>
      <c r="BR68" s="1">
        <v>5959</v>
      </c>
      <c r="BS68" s="1">
        <v>5869</v>
      </c>
      <c r="BT68" s="1">
        <v>5901</v>
      </c>
      <c r="BU68" s="1">
        <v>6100</v>
      </c>
      <c r="BV68" s="1">
        <v>5883</v>
      </c>
      <c r="BW68" s="1">
        <v>5904</v>
      </c>
      <c r="BX68" s="1">
        <v>5878</v>
      </c>
      <c r="BY68" s="1">
        <v>5990</v>
      </c>
      <c r="BZ68" s="1">
        <v>5914</v>
      </c>
    </row>
    <row r="69" spans="1:254" ht="15.9" customHeight="1">
      <c r="A69" s="78" t="s">
        <v>133</v>
      </c>
      <c r="B69" s="17" t="s">
        <v>134</v>
      </c>
      <c r="C69" s="543">
        <f>_xll.RssMarket("4980","始値")</f>
        <v>3151</v>
      </c>
      <c r="D69" s="23">
        <f t="shared" si="1"/>
        <v>0</v>
      </c>
      <c r="E69" s="550">
        <v>3151</v>
      </c>
      <c r="F69" s="21">
        <v>3271</v>
      </c>
      <c r="G69" s="21">
        <v>3440</v>
      </c>
      <c r="H69" s="21">
        <v>3319</v>
      </c>
      <c r="I69" s="21">
        <v>3377</v>
      </c>
      <c r="J69" s="21">
        <v>3123</v>
      </c>
      <c r="K69" s="21">
        <v>3351</v>
      </c>
      <c r="L69" s="21">
        <v>3480</v>
      </c>
      <c r="M69" s="21">
        <v>3587</v>
      </c>
      <c r="N69" s="21">
        <v>3634</v>
      </c>
      <c r="O69" s="21">
        <v>3751</v>
      </c>
      <c r="P69" s="21">
        <v>3716</v>
      </c>
      <c r="Q69" s="21">
        <v>3512</v>
      </c>
      <c r="R69" s="21">
        <v>3700</v>
      </c>
      <c r="S69" s="21">
        <v>3950</v>
      </c>
      <c r="T69" s="21">
        <v>3914</v>
      </c>
      <c r="U69" s="21">
        <v>4085</v>
      </c>
      <c r="V69" s="21">
        <v>4162</v>
      </c>
      <c r="W69" s="21">
        <v>4085</v>
      </c>
      <c r="X69" s="21">
        <v>3896</v>
      </c>
      <c r="Y69" s="21">
        <v>4150</v>
      </c>
      <c r="Z69" s="21">
        <v>4323</v>
      </c>
      <c r="AA69" s="21">
        <v>4000</v>
      </c>
      <c r="AB69" s="21">
        <v>4136</v>
      </c>
      <c r="AC69" s="21">
        <v>4353</v>
      </c>
      <c r="AD69" s="21">
        <v>4310</v>
      </c>
      <c r="AE69" s="21">
        <v>4434</v>
      </c>
      <c r="AF69" s="21">
        <v>4845</v>
      </c>
      <c r="AG69" s="21">
        <v>5115</v>
      </c>
      <c r="AH69" s="21">
        <v>4880</v>
      </c>
      <c r="AI69" s="21">
        <v>4930</v>
      </c>
      <c r="AJ69" s="21">
        <v>4905</v>
      </c>
      <c r="AK69" s="21">
        <v>4838</v>
      </c>
      <c r="AL69" s="21">
        <v>4610</v>
      </c>
      <c r="AM69" s="21">
        <v>4428</v>
      </c>
      <c r="AN69" s="21">
        <v>4310</v>
      </c>
      <c r="AO69" s="21">
        <v>4200</v>
      </c>
      <c r="AP69" s="21">
        <v>3974</v>
      </c>
      <c r="AQ69" s="21">
        <v>3568</v>
      </c>
      <c r="AR69" s="21">
        <v>3850</v>
      </c>
      <c r="AS69" s="21">
        <v>3949</v>
      </c>
      <c r="AT69" s="21">
        <v>4245</v>
      </c>
      <c r="AU69" s="21">
        <v>4495</v>
      </c>
      <c r="AV69" s="21">
        <v>4758</v>
      </c>
      <c r="AW69" s="21">
        <v>4472</v>
      </c>
      <c r="AX69" s="21">
        <v>4116</v>
      </c>
      <c r="AY69" s="21">
        <v>4000</v>
      </c>
      <c r="AZ69" s="21">
        <v>4288</v>
      </c>
      <c r="BA69" s="21">
        <v>4233</v>
      </c>
      <c r="BB69" s="21">
        <v>4282</v>
      </c>
      <c r="BC69" s="21">
        <v>3948</v>
      </c>
      <c r="BD69" s="21">
        <v>3750</v>
      </c>
      <c r="BE69" s="21">
        <v>4195</v>
      </c>
      <c r="BF69" s="21">
        <v>4100</v>
      </c>
      <c r="BG69" s="21">
        <v>3849</v>
      </c>
      <c r="BH69" s="21">
        <v>3149</v>
      </c>
      <c r="BI69" s="21">
        <v>2649.5</v>
      </c>
      <c r="BJ69" s="21">
        <v>2739</v>
      </c>
      <c r="BK69" s="21">
        <v>2800</v>
      </c>
      <c r="BL69" s="21">
        <v>2639</v>
      </c>
      <c r="BM69" s="1">
        <v>2573.5</v>
      </c>
      <c r="BN69" s="1">
        <v>2441</v>
      </c>
      <c r="BO69" s="1">
        <v>2448.5</v>
      </c>
      <c r="BP69" s="1">
        <v>2510</v>
      </c>
      <c r="BQ69" s="1">
        <v>2487</v>
      </c>
      <c r="BR69" s="1">
        <v>2421.5</v>
      </c>
      <c r="BS69" s="1">
        <v>2469</v>
      </c>
      <c r="BT69" s="1">
        <v>2468</v>
      </c>
      <c r="BU69" s="1">
        <v>2457.5</v>
      </c>
      <c r="BV69" s="1">
        <v>2466</v>
      </c>
      <c r="BW69" s="1">
        <v>2400</v>
      </c>
      <c r="BX69" s="1">
        <v>2385</v>
      </c>
      <c r="BY69" s="1">
        <v>2437</v>
      </c>
      <c r="BZ69" s="1">
        <v>2400</v>
      </c>
    </row>
    <row r="70" spans="1:254" ht="15.9" customHeight="1">
      <c r="A70" s="78" t="s">
        <v>135</v>
      </c>
      <c r="B70" s="17" t="s">
        <v>136</v>
      </c>
      <c r="C70" s="543">
        <f>_xll.RssMarket("9424","始値")</f>
        <v>114</v>
      </c>
      <c r="D70" s="23">
        <f t="shared" ref="D70:D101" si="2">C70-E70</f>
        <v>0</v>
      </c>
      <c r="E70" s="550">
        <v>114</v>
      </c>
      <c r="F70" s="21">
        <v>114</v>
      </c>
      <c r="G70" s="21">
        <v>116</v>
      </c>
      <c r="H70" s="21">
        <v>114</v>
      </c>
      <c r="I70" s="21">
        <v>113</v>
      </c>
      <c r="J70" s="21">
        <v>114</v>
      </c>
      <c r="K70" s="21">
        <v>112</v>
      </c>
      <c r="L70" s="21">
        <v>114</v>
      </c>
      <c r="M70" s="21">
        <v>110</v>
      </c>
      <c r="N70" s="21"/>
      <c r="O70" s="21">
        <v>112</v>
      </c>
      <c r="P70" s="21">
        <v>114</v>
      </c>
      <c r="Q70" s="21">
        <v>114</v>
      </c>
      <c r="R70" s="21">
        <v>117</v>
      </c>
      <c r="S70" s="21">
        <v>115</v>
      </c>
      <c r="T70" s="21">
        <v>115</v>
      </c>
      <c r="U70" s="21">
        <v>113</v>
      </c>
      <c r="V70" s="21">
        <v>110</v>
      </c>
      <c r="W70" s="21">
        <v>111</v>
      </c>
      <c r="X70" s="21">
        <v>112</v>
      </c>
      <c r="Y70" s="21">
        <v>111</v>
      </c>
      <c r="Z70" s="21">
        <v>109</v>
      </c>
      <c r="AA70" s="21">
        <v>108</v>
      </c>
      <c r="AB70" s="21">
        <v>105</v>
      </c>
      <c r="AC70" s="21">
        <v>107</v>
      </c>
      <c r="AD70" s="21">
        <v>108</v>
      </c>
      <c r="AE70" s="21">
        <v>108</v>
      </c>
      <c r="AF70" s="21">
        <v>106</v>
      </c>
      <c r="AG70" s="21">
        <v>108</v>
      </c>
      <c r="AH70" s="21">
        <v>108</v>
      </c>
      <c r="AI70" s="21">
        <v>112</v>
      </c>
      <c r="AJ70" s="21">
        <v>113</v>
      </c>
      <c r="AK70" s="21">
        <v>115</v>
      </c>
      <c r="AL70" s="21">
        <v>115</v>
      </c>
      <c r="AM70" s="21">
        <v>113</v>
      </c>
      <c r="AN70" s="21">
        <v>115</v>
      </c>
      <c r="AO70" s="21">
        <v>114</v>
      </c>
      <c r="AP70" s="21">
        <v>115</v>
      </c>
      <c r="AQ70" s="21">
        <v>114</v>
      </c>
      <c r="AR70" s="21">
        <v>113</v>
      </c>
      <c r="AS70" s="21">
        <v>113</v>
      </c>
      <c r="AT70" s="21">
        <v>114</v>
      </c>
      <c r="AU70" s="21">
        <v>114</v>
      </c>
      <c r="AV70" s="21">
        <v>114</v>
      </c>
      <c r="AW70" s="21">
        <v>113</v>
      </c>
      <c r="AX70" s="21">
        <v>116</v>
      </c>
      <c r="AY70" s="21">
        <v>115</v>
      </c>
      <c r="AZ70" s="21">
        <v>116</v>
      </c>
      <c r="BA70" s="21">
        <v>124</v>
      </c>
      <c r="BB70" s="21">
        <v>122</v>
      </c>
      <c r="BC70" s="21">
        <v>124</v>
      </c>
      <c r="BD70" s="21">
        <v>125</v>
      </c>
      <c r="BE70" s="21">
        <v>124</v>
      </c>
      <c r="BF70" s="21">
        <v>126</v>
      </c>
      <c r="BG70" s="21">
        <v>125</v>
      </c>
      <c r="BH70" s="21">
        <v>126</v>
      </c>
      <c r="BI70" s="21">
        <v>127</v>
      </c>
      <c r="BJ70" s="21">
        <v>129</v>
      </c>
      <c r="BK70" s="21">
        <v>129</v>
      </c>
      <c r="BL70" s="21">
        <v>130</v>
      </c>
      <c r="BM70" s="1">
        <v>127</v>
      </c>
      <c r="BN70" s="1">
        <v>125</v>
      </c>
      <c r="BO70" s="1">
        <v>124</v>
      </c>
      <c r="BP70" s="1">
        <v>124</v>
      </c>
      <c r="BQ70" s="1">
        <v>125</v>
      </c>
      <c r="BR70" s="1">
        <v>125</v>
      </c>
      <c r="BS70" s="1">
        <v>128</v>
      </c>
      <c r="BT70" s="1">
        <v>129</v>
      </c>
      <c r="BU70" s="1">
        <v>131</v>
      </c>
      <c r="BV70" s="1">
        <v>131</v>
      </c>
      <c r="BW70" s="1">
        <v>132</v>
      </c>
      <c r="BX70" s="1">
        <v>131</v>
      </c>
      <c r="BY70" s="1">
        <v>126</v>
      </c>
      <c r="BZ70" s="1">
        <v>125</v>
      </c>
    </row>
    <row r="71" spans="1:254" ht="15.9" customHeight="1">
      <c r="A71" s="78" t="s">
        <v>137</v>
      </c>
      <c r="B71" s="17" t="s">
        <v>138</v>
      </c>
      <c r="C71" s="543">
        <f>_xll.RssMarket("3854","始値")</f>
        <v>2200</v>
      </c>
      <c r="D71" s="23">
        <f t="shared" si="2"/>
        <v>0</v>
      </c>
      <c r="E71" s="550">
        <v>2200</v>
      </c>
      <c r="F71" s="21">
        <v>2225</v>
      </c>
      <c r="G71" s="21">
        <v>2246</v>
      </c>
      <c r="H71" s="21">
        <v>2274</v>
      </c>
      <c r="I71" s="21">
        <v>2294</v>
      </c>
      <c r="J71" s="21">
        <v>2345</v>
      </c>
      <c r="K71" s="21">
        <v>2327</v>
      </c>
      <c r="L71" s="21">
        <v>2313</v>
      </c>
      <c r="M71" s="21">
        <v>2255</v>
      </c>
      <c r="N71" s="21">
        <v>2235</v>
      </c>
      <c r="O71" s="21">
        <v>2286</v>
      </c>
      <c r="P71" s="21">
        <v>2310</v>
      </c>
      <c r="Q71" s="21">
        <v>2351</v>
      </c>
      <c r="R71" s="21">
        <v>2404</v>
      </c>
      <c r="S71" s="21">
        <v>2377</v>
      </c>
      <c r="T71" s="21">
        <v>2429</v>
      </c>
      <c r="U71" s="21">
        <v>2430</v>
      </c>
      <c r="V71" s="21">
        <v>2455</v>
      </c>
      <c r="W71" s="21">
        <v>2460</v>
      </c>
      <c r="X71" s="21">
        <v>2465</v>
      </c>
      <c r="Y71" s="21">
        <v>2348</v>
      </c>
      <c r="Z71" s="21">
        <v>2320</v>
      </c>
      <c r="AA71" s="21">
        <v>2256</v>
      </c>
      <c r="AB71" s="21">
        <v>2208</v>
      </c>
      <c r="AC71" s="21">
        <v>2200</v>
      </c>
      <c r="AD71" s="21">
        <v>2228</v>
      </c>
      <c r="AE71" s="21">
        <v>2154</v>
      </c>
      <c r="AF71" s="21">
        <v>2121</v>
      </c>
      <c r="AG71" s="21">
        <v>2198</v>
      </c>
      <c r="AH71" s="21">
        <v>2200</v>
      </c>
      <c r="AI71" s="21">
        <v>2172</v>
      </c>
      <c r="AJ71" s="21">
        <v>2175</v>
      </c>
      <c r="AK71" s="21">
        <v>2195</v>
      </c>
      <c r="AL71" s="21">
        <v>2172</v>
      </c>
      <c r="AM71" s="21">
        <v>2170</v>
      </c>
      <c r="AN71" s="21">
        <v>2200</v>
      </c>
      <c r="AO71" s="21">
        <v>2225</v>
      </c>
      <c r="AP71" s="21">
        <v>2302</v>
      </c>
      <c r="AQ71" s="21">
        <v>2387</v>
      </c>
      <c r="AR71" s="21">
        <v>2398</v>
      </c>
      <c r="AS71" s="21">
        <v>2425</v>
      </c>
      <c r="AT71" s="21">
        <v>2521</v>
      </c>
      <c r="AU71" s="21">
        <v>2588</v>
      </c>
      <c r="AV71" s="21">
        <v>2606</v>
      </c>
      <c r="AW71" s="21">
        <v>2600</v>
      </c>
      <c r="AX71" s="21">
        <v>2589</v>
      </c>
      <c r="AY71" s="21">
        <v>2521</v>
      </c>
      <c r="AZ71" s="21">
        <v>2496</v>
      </c>
      <c r="BA71" s="21">
        <v>2606</v>
      </c>
      <c r="BB71" s="21">
        <v>2479</v>
      </c>
      <c r="BC71" s="21">
        <v>2471</v>
      </c>
      <c r="BD71" s="21">
        <v>2447</v>
      </c>
      <c r="BE71" s="21">
        <v>2438</v>
      </c>
      <c r="BF71" s="21">
        <v>2394</v>
      </c>
      <c r="BG71" s="21">
        <v>2353</v>
      </c>
      <c r="BH71" s="21">
        <v>2376</v>
      </c>
      <c r="BI71" s="21">
        <v>2369</v>
      </c>
      <c r="BJ71" s="21">
        <v>2381</v>
      </c>
      <c r="BK71" s="21">
        <v>2420</v>
      </c>
      <c r="BL71" s="21">
        <v>2373</v>
      </c>
      <c r="BM71" s="1">
        <v>2360</v>
      </c>
      <c r="BN71" s="1">
        <v>2365</v>
      </c>
      <c r="BO71" s="1">
        <v>2396</v>
      </c>
      <c r="BP71" s="1">
        <v>2397</v>
      </c>
      <c r="BQ71" s="1">
        <v>2390</v>
      </c>
      <c r="BR71" s="1">
        <v>2412</v>
      </c>
      <c r="BS71" s="1">
        <v>2463</v>
      </c>
      <c r="BT71" s="1">
        <v>2465</v>
      </c>
      <c r="BU71" s="1">
        <v>2480</v>
      </c>
      <c r="BV71" s="1">
        <v>2460</v>
      </c>
      <c r="BW71" s="1">
        <v>2405</v>
      </c>
      <c r="BX71" s="1">
        <v>2450</v>
      </c>
      <c r="BY71" s="1">
        <v>2410</v>
      </c>
      <c r="BZ71" s="1">
        <v>2395</v>
      </c>
    </row>
    <row r="72" spans="1:254" ht="15.9" customHeight="1">
      <c r="A72" s="78" t="s">
        <v>139</v>
      </c>
      <c r="B72" s="17" t="s">
        <v>140</v>
      </c>
      <c r="C72" s="543">
        <f>_xll.RssMarket("6027","始値")</f>
        <v>2340</v>
      </c>
      <c r="D72" s="23">
        <f t="shared" si="2"/>
        <v>0</v>
      </c>
      <c r="E72" s="550">
        <v>2340</v>
      </c>
      <c r="F72" s="21">
        <v>2318</v>
      </c>
      <c r="G72" s="21">
        <v>2271</v>
      </c>
      <c r="H72" s="21">
        <v>2362</v>
      </c>
      <c r="I72" s="21">
        <v>2291</v>
      </c>
      <c r="J72" s="21">
        <v>2267</v>
      </c>
      <c r="K72" s="21">
        <v>2295</v>
      </c>
      <c r="L72" s="21">
        <v>2349</v>
      </c>
      <c r="M72" s="21">
        <v>2217</v>
      </c>
      <c r="N72" s="21">
        <v>2220</v>
      </c>
      <c r="O72" s="21">
        <v>2285</v>
      </c>
      <c r="P72" s="21">
        <v>2313</v>
      </c>
      <c r="Q72" s="21">
        <v>2393</v>
      </c>
      <c r="R72" s="21">
        <v>2360</v>
      </c>
      <c r="S72" s="21">
        <v>2366</v>
      </c>
      <c r="T72" s="21">
        <v>2361</v>
      </c>
      <c r="U72" s="21">
        <v>2424</v>
      </c>
      <c r="V72" s="21">
        <v>2390</v>
      </c>
      <c r="W72" s="21">
        <v>2380</v>
      </c>
      <c r="X72" s="21">
        <v>2430</v>
      </c>
      <c r="Y72" s="21">
        <v>2409</v>
      </c>
      <c r="Z72" s="21">
        <v>2394</v>
      </c>
      <c r="AA72" s="21">
        <v>2482</v>
      </c>
      <c r="AB72" s="21">
        <v>2400</v>
      </c>
      <c r="AC72" s="21">
        <v>2314</v>
      </c>
      <c r="AD72" s="21">
        <v>2230</v>
      </c>
      <c r="AE72" s="21">
        <v>2059</v>
      </c>
      <c r="AF72" s="21">
        <v>2002</v>
      </c>
      <c r="AG72" s="21">
        <v>2094</v>
      </c>
      <c r="AH72" s="21">
        <v>2090</v>
      </c>
      <c r="AI72" s="21">
        <v>2220</v>
      </c>
      <c r="AJ72" s="21">
        <v>2200</v>
      </c>
      <c r="AK72" s="21">
        <v>2130</v>
      </c>
      <c r="AL72" s="21">
        <v>2125</v>
      </c>
      <c r="AM72" s="21">
        <v>2110</v>
      </c>
      <c r="AN72" s="21">
        <v>2083</v>
      </c>
      <c r="AO72" s="21">
        <v>2139</v>
      </c>
      <c r="AP72" s="21">
        <v>2192</v>
      </c>
      <c r="AQ72" s="21">
        <v>2145</v>
      </c>
      <c r="AR72" s="21">
        <v>2190</v>
      </c>
      <c r="AS72" s="21">
        <v>2224</v>
      </c>
      <c r="AT72" s="21">
        <v>2276</v>
      </c>
      <c r="AU72" s="21">
        <v>2250</v>
      </c>
      <c r="AV72" s="21">
        <v>2285</v>
      </c>
      <c r="AW72" s="21">
        <v>2352</v>
      </c>
      <c r="AX72" s="21">
        <v>2436</v>
      </c>
      <c r="AY72" s="21">
        <v>2460</v>
      </c>
      <c r="AZ72" s="21">
        <v>2497</v>
      </c>
      <c r="BA72" s="21">
        <v>2550</v>
      </c>
      <c r="BB72" s="21">
        <v>2555</v>
      </c>
      <c r="BC72" s="21">
        <v>2580</v>
      </c>
      <c r="BD72" s="21">
        <v>2766</v>
      </c>
      <c r="BE72" s="21">
        <v>2769</v>
      </c>
      <c r="BF72" s="21">
        <v>2715</v>
      </c>
      <c r="BG72" s="21">
        <v>2745</v>
      </c>
      <c r="BH72" s="21">
        <v>2700</v>
      </c>
      <c r="BI72" s="21">
        <v>2643</v>
      </c>
      <c r="BJ72" s="21">
        <v>2726</v>
      </c>
      <c r="BK72" s="21">
        <v>2762</v>
      </c>
      <c r="BL72" s="21">
        <v>2676</v>
      </c>
      <c r="BM72" s="1">
        <v>2550</v>
      </c>
      <c r="BN72" s="1">
        <v>2494</v>
      </c>
      <c r="BO72" s="1">
        <v>2500</v>
      </c>
      <c r="BP72" s="1">
        <v>2420</v>
      </c>
      <c r="BQ72" s="1">
        <v>2493</v>
      </c>
      <c r="BR72" s="1">
        <v>2541</v>
      </c>
      <c r="BS72" s="1">
        <v>2611</v>
      </c>
      <c r="BT72" s="1">
        <v>2595</v>
      </c>
      <c r="BU72" s="1">
        <v>2609</v>
      </c>
      <c r="BV72" s="1">
        <v>2570</v>
      </c>
      <c r="BW72" s="1">
        <v>2610</v>
      </c>
      <c r="BX72" s="1">
        <v>2745</v>
      </c>
      <c r="BY72" s="1">
        <v>2609</v>
      </c>
      <c r="BZ72" s="1">
        <v>2599</v>
      </c>
    </row>
    <row r="73" spans="1:254" ht="15.9" customHeight="1">
      <c r="A73" s="78" t="s">
        <v>141</v>
      </c>
      <c r="B73" s="17" t="s">
        <v>142</v>
      </c>
      <c r="C73" s="543">
        <f>_xll.RssMarket("7806","始値")</f>
        <v>7500</v>
      </c>
      <c r="D73" s="23">
        <f t="shared" si="2"/>
        <v>0</v>
      </c>
      <c r="E73" s="550">
        <v>7500</v>
      </c>
      <c r="F73" s="21">
        <v>7850</v>
      </c>
      <c r="G73" s="21">
        <v>7850</v>
      </c>
      <c r="H73" s="21">
        <v>7610</v>
      </c>
      <c r="I73" s="21">
        <v>7290</v>
      </c>
      <c r="J73" s="21">
        <v>7300</v>
      </c>
      <c r="K73" s="21">
        <v>7630</v>
      </c>
      <c r="L73" s="21">
        <v>7590</v>
      </c>
      <c r="M73" s="21">
        <v>7680</v>
      </c>
      <c r="N73" s="21">
        <v>7690</v>
      </c>
      <c r="O73" s="21">
        <v>7670</v>
      </c>
      <c r="P73" s="21">
        <v>7990</v>
      </c>
      <c r="Q73" s="21">
        <v>7590</v>
      </c>
      <c r="R73" s="21">
        <v>7980</v>
      </c>
      <c r="S73" s="21">
        <v>7400</v>
      </c>
      <c r="T73" s="21">
        <v>7230</v>
      </c>
      <c r="U73" s="21">
        <v>7480</v>
      </c>
      <c r="V73" s="21">
        <v>7550</v>
      </c>
      <c r="W73" s="21">
        <v>8000</v>
      </c>
      <c r="X73" s="21">
        <v>8000</v>
      </c>
      <c r="Y73" s="21">
        <v>8100</v>
      </c>
      <c r="Z73" s="21">
        <v>8140</v>
      </c>
      <c r="AA73" s="21">
        <v>8230</v>
      </c>
      <c r="AB73" s="21">
        <v>7530</v>
      </c>
      <c r="AC73" s="21">
        <v>7410</v>
      </c>
      <c r="AD73" s="21">
        <v>7540</v>
      </c>
      <c r="AE73" s="21">
        <v>7300</v>
      </c>
      <c r="AF73" s="21">
        <v>7420</v>
      </c>
      <c r="AG73" s="21">
        <v>7540</v>
      </c>
      <c r="AH73" s="21">
        <v>7480</v>
      </c>
      <c r="AI73" s="21">
        <v>7700</v>
      </c>
      <c r="AJ73" s="21">
        <v>7650</v>
      </c>
      <c r="AK73" s="21">
        <v>7680</v>
      </c>
      <c r="AL73" s="21">
        <v>7400</v>
      </c>
      <c r="AM73" s="21">
        <v>7260</v>
      </c>
      <c r="AN73" s="21">
        <v>7110</v>
      </c>
      <c r="AO73" s="21">
        <v>7020</v>
      </c>
      <c r="AP73" s="21">
        <v>7250</v>
      </c>
      <c r="AQ73" s="21">
        <v>6870</v>
      </c>
      <c r="AR73" s="21">
        <v>7070</v>
      </c>
      <c r="AS73" s="21">
        <v>6760</v>
      </c>
      <c r="AT73" s="21">
        <v>6850</v>
      </c>
      <c r="AU73" s="21">
        <v>7080</v>
      </c>
      <c r="AV73" s="21">
        <v>7110</v>
      </c>
      <c r="AW73" s="21">
        <v>7500</v>
      </c>
      <c r="AX73" s="21">
        <v>7430</v>
      </c>
      <c r="AY73" s="21">
        <v>7000</v>
      </c>
      <c r="AZ73" s="21">
        <v>7050</v>
      </c>
      <c r="BA73" s="21">
        <v>6320</v>
      </c>
      <c r="BB73" s="21">
        <v>6390</v>
      </c>
      <c r="BC73" s="21">
        <v>6560</v>
      </c>
      <c r="BD73" s="21">
        <v>6630</v>
      </c>
      <c r="BE73" s="21">
        <v>6390</v>
      </c>
      <c r="BF73" s="21">
        <v>6710</v>
      </c>
      <c r="BG73" s="21">
        <v>7050</v>
      </c>
      <c r="BH73" s="21">
        <v>6780</v>
      </c>
      <c r="BI73" s="21">
        <v>6600</v>
      </c>
      <c r="BJ73" s="21">
        <v>6490</v>
      </c>
      <c r="BK73" s="21">
        <v>6390</v>
      </c>
      <c r="BL73" s="21">
        <v>6250</v>
      </c>
      <c r="BM73" s="1">
        <v>6250</v>
      </c>
      <c r="BN73" s="1">
        <v>5810</v>
      </c>
      <c r="BO73" s="1">
        <v>5890</v>
      </c>
      <c r="BP73" s="1">
        <v>5940</v>
      </c>
      <c r="BQ73" s="1">
        <v>6210</v>
      </c>
      <c r="BR73" s="1">
        <v>6380</v>
      </c>
      <c r="BS73" s="1">
        <v>6550</v>
      </c>
      <c r="BT73" s="1">
        <v>6550</v>
      </c>
      <c r="BU73" s="1">
        <v>6630</v>
      </c>
      <c r="BV73" s="1">
        <v>6670</v>
      </c>
      <c r="BW73" s="1">
        <v>6490</v>
      </c>
      <c r="BX73" s="1">
        <v>6450</v>
      </c>
      <c r="BY73" s="1">
        <v>6400</v>
      </c>
      <c r="BZ73" s="1">
        <v>6190</v>
      </c>
    </row>
    <row r="74" spans="1:254" ht="15.9" customHeight="1">
      <c r="A74" s="78" t="s">
        <v>143</v>
      </c>
      <c r="B74" s="17" t="s">
        <v>144</v>
      </c>
      <c r="C74" s="543">
        <f>_xll.RssMarket("9202","始値")</f>
        <v>3165</v>
      </c>
      <c r="D74" s="23">
        <f t="shared" si="2"/>
        <v>0</v>
      </c>
      <c r="E74" s="550">
        <v>3165</v>
      </c>
      <c r="F74" s="21">
        <v>3115</v>
      </c>
      <c r="G74" s="21">
        <v>3104</v>
      </c>
      <c r="H74" s="21">
        <v>3148</v>
      </c>
      <c r="I74" s="21">
        <v>3155</v>
      </c>
      <c r="J74" s="21">
        <v>3142</v>
      </c>
      <c r="K74" s="21">
        <v>3125</v>
      </c>
      <c r="L74" s="21">
        <v>3100</v>
      </c>
      <c r="M74" s="21">
        <v>2996</v>
      </c>
      <c r="N74" s="21">
        <v>2913</v>
      </c>
      <c r="O74" s="21">
        <v>3007</v>
      </c>
      <c r="P74" s="21">
        <v>3030</v>
      </c>
      <c r="Q74" s="21">
        <v>3045</v>
      </c>
      <c r="R74" s="21">
        <v>2997</v>
      </c>
      <c r="S74" s="21">
        <v>3029</v>
      </c>
      <c r="T74" s="21">
        <v>3013</v>
      </c>
      <c r="U74" s="21">
        <v>3014</v>
      </c>
      <c r="V74" s="21">
        <v>3048</v>
      </c>
      <c r="W74" s="21">
        <v>3059</v>
      </c>
      <c r="X74" s="21">
        <v>3094</v>
      </c>
      <c r="Y74" s="21">
        <v>3185</v>
      </c>
      <c r="Z74" s="21">
        <v>3122</v>
      </c>
      <c r="AA74" s="21">
        <v>3143</v>
      </c>
      <c r="AB74" s="21">
        <v>3035</v>
      </c>
      <c r="AC74" s="21">
        <v>2945</v>
      </c>
      <c r="AD74" s="21">
        <v>2994.5</v>
      </c>
      <c r="AE74" s="21">
        <v>3006</v>
      </c>
      <c r="AF74" s="21">
        <v>3007</v>
      </c>
      <c r="AG74" s="21">
        <v>3012</v>
      </c>
      <c r="AH74" s="21">
        <v>2910</v>
      </c>
      <c r="AI74" s="21">
        <v>2934</v>
      </c>
      <c r="AJ74" s="21">
        <v>2941</v>
      </c>
      <c r="AK74" s="21">
        <v>2980</v>
      </c>
      <c r="AL74" s="21">
        <v>3022</v>
      </c>
      <c r="AM74" s="21">
        <v>3050</v>
      </c>
      <c r="AN74" s="21">
        <v>3019</v>
      </c>
      <c r="AO74" s="21">
        <v>2931.5</v>
      </c>
      <c r="AP74" s="21">
        <v>2826.5</v>
      </c>
      <c r="AQ74" s="21">
        <v>2782</v>
      </c>
      <c r="AR74" s="21">
        <v>2799</v>
      </c>
      <c r="AS74" s="21">
        <v>2839</v>
      </c>
      <c r="AT74" s="21">
        <v>2824.5</v>
      </c>
      <c r="AU74" s="21">
        <v>2796.5</v>
      </c>
      <c r="AV74" s="21">
        <v>2801</v>
      </c>
      <c r="AW74" s="21">
        <v>2881.5</v>
      </c>
      <c r="AX74" s="21">
        <v>2930</v>
      </c>
      <c r="AY74" s="21">
        <v>2919.5</v>
      </c>
      <c r="AZ74" s="21">
        <v>2880.5</v>
      </c>
      <c r="BA74" s="21">
        <v>2831</v>
      </c>
      <c r="BB74" s="21">
        <v>2785</v>
      </c>
      <c r="BC74" s="21">
        <v>2783.5</v>
      </c>
      <c r="BD74" s="21">
        <v>2746</v>
      </c>
      <c r="BE74" s="21">
        <v>2732.5</v>
      </c>
      <c r="BF74" s="21">
        <v>2770</v>
      </c>
      <c r="BG74" s="21">
        <v>2768</v>
      </c>
      <c r="BH74" s="21">
        <v>2785</v>
      </c>
      <c r="BI74" s="21">
        <v>2791</v>
      </c>
      <c r="BJ74" s="21">
        <v>2793.5</v>
      </c>
      <c r="BK74" s="21">
        <v>2810</v>
      </c>
      <c r="BL74" s="21">
        <v>2860.5</v>
      </c>
      <c r="BM74" s="1">
        <v>2759.5</v>
      </c>
      <c r="BN74" s="1">
        <v>2639.5</v>
      </c>
      <c r="BO74" s="1">
        <v>2629</v>
      </c>
      <c r="BP74" s="1">
        <v>2646.5</v>
      </c>
      <c r="BQ74" s="1">
        <v>2680</v>
      </c>
      <c r="BR74" s="1">
        <v>2725</v>
      </c>
      <c r="BS74" s="1">
        <v>2800</v>
      </c>
      <c r="BT74" s="1">
        <v>2821</v>
      </c>
      <c r="BU74" s="1">
        <v>2880</v>
      </c>
      <c r="BV74" s="1">
        <v>2850</v>
      </c>
      <c r="BW74" s="1">
        <v>2829.5</v>
      </c>
      <c r="BX74" s="1">
        <v>2870</v>
      </c>
      <c r="BY74" s="1">
        <v>2856</v>
      </c>
      <c r="BZ74" s="1">
        <v>2880</v>
      </c>
    </row>
    <row r="75" spans="1:254" ht="15.9" customHeight="1">
      <c r="A75" s="78" t="s">
        <v>145</v>
      </c>
      <c r="B75" s="17" t="s">
        <v>146</v>
      </c>
      <c r="C75" s="543">
        <f>_xll.RssMarket("7846","始値")</f>
        <v>1768</v>
      </c>
      <c r="D75" s="23">
        <f t="shared" si="2"/>
        <v>0</v>
      </c>
      <c r="E75" s="550">
        <v>1768</v>
      </c>
      <c r="F75" s="21">
        <v>1789.5</v>
      </c>
      <c r="G75" s="21">
        <v>1789.5</v>
      </c>
      <c r="H75" s="21">
        <v>1820</v>
      </c>
      <c r="I75" s="21">
        <v>1817</v>
      </c>
      <c r="J75" s="21">
        <v>1850</v>
      </c>
      <c r="K75" s="21">
        <v>1838</v>
      </c>
      <c r="L75" s="21">
        <v>1817</v>
      </c>
      <c r="M75" s="21">
        <v>1792.5</v>
      </c>
      <c r="N75" s="21">
        <v>1743</v>
      </c>
      <c r="O75" s="21">
        <v>1751.5</v>
      </c>
      <c r="P75" s="21">
        <v>1781</v>
      </c>
      <c r="Q75" s="21">
        <v>1795</v>
      </c>
      <c r="R75" s="21">
        <v>1812.5</v>
      </c>
      <c r="S75" s="21">
        <v>1771.5</v>
      </c>
      <c r="T75" s="21">
        <v>1774</v>
      </c>
      <c r="U75" s="21">
        <v>1776.5</v>
      </c>
      <c r="V75" s="21">
        <v>1775.5</v>
      </c>
      <c r="W75" s="21">
        <v>1779</v>
      </c>
      <c r="X75" s="21">
        <v>1749.5</v>
      </c>
      <c r="Y75" s="21">
        <v>1741</v>
      </c>
      <c r="Z75" s="21">
        <v>1740.5</v>
      </c>
      <c r="AA75" s="21">
        <v>1745</v>
      </c>
      <c r="AB75" s="21">
        <v>1706.5</v>
      </c>
      <c r="AC75" s="21">
        <v>1692</v>
      </c>
      <c r="AD75" s="21">
        <v>1682.5</v>
      </c>
      <c r="AE75" s="21">
        <v>1700</v>
      </c>
      <c r="AF75" s="21">
        <v>1705</v>
      </c>
      <c r="AG75" s="21">
        <v>1683.3333</v>
      </c>
      <c r="AH75" s="21">
        <v>1653.3333</v>
      </c>
      <c r="AI75" s="21">
        <v>1661</v>
      </c>
      <c r="AJ75" s="21">
        <v>1645.3333</v>
      </c>
      <c r="AK75" s="21">
        <v>1648.6666</v>
      </c>
      <c r="AL75" s="21">
        <v>1655</v>
      </c>
      <c r="AM75" s="21">
        <v>1660.3333</v>
      </c>
      <c r="AN75" s="21">
        <v>1643.3333</v>
      </c>
      <c r="AO75" s="21">
        <v>1651.6666</v>
      </c>
      <c r="AP75" s="21">
        <v>1636</v>
      </c>
      <c r="AQ75" s="21">
        <v>1623</v>
      </c>
      <c r="AR75" s="21">
        <v>1627.6666</v>
      </c>
      <c r="AS75" s="21">
        <v>1626</v>
      </c>
      <c r="AT75" s="21">
        <v>1615</v>
      </c>
      <c r="AU75" s="21">
        <v>1612</v>
      </c>
      <c r="AV75" s="21">
        <v>1618</v>
      </c>
      <c r="AW75" s="21">
        <v>1613.6666</v>
      </c>
      <c r="AX75" s="21">
        <v>1627.3333</v>
      </c>
      <c r="AY75" s="21">
        <v>1646.3333</v>
      </c>
      <c r="AZ75" s="21">
        <v>1636.3333</v>
      </c>
      <c r="BA75" s="21">
        <v>1649.3333</v>
      </c>
      <c r="BB75" s="21">
        <v>1633.6666</v>
      </c>
      <c r="BC75" s="21">
        <v>1646.3333</v>
      </c>
      <c r="BD75" s="21">
        <v>1596.3333</v>
      </c>
      <c r="BE75" s="21">
        <v>1563.3333</v>
      </c>
      <c r="BF75" s="21">
        <v>1539</v>
      </c>
      <c r="BG75" s="21">
        <v>1527</v>
      </c>
      <c r="BH75" s="21">
        <v>1528.6666</v>
      </c>
      <c r="BI75" s="21">
        <v>1521.6666</v>
      </c>
      <c r="BJ75" s="21">
        <v>1556</v>
      </c>
      <c r="BK75" s="21">
        <v>1583.3333</v>
      </c>
      <c r="BL75" s="21">
        <v>1607.6666</v>
      </c>
      <c r="BM75" s="1">
        <v>1606</v>
      </c>
      <c r="BN75" s="1">
        <v>1580.6666</v>
      </c>
      <c r="BO75" s="1">
        <v>1600</v>
      </c>
      <c r="BP75" s="1">
        <v>1597.3333</v>
      </c>
      <c r="BQ75" s="1">
        <v>1591</v>
      </c>
      <c r="BR75" s="1">
        <v>1614.3333</v>
      </c>
      <c r="BS75" s="1">
        <v>1597</v>
      </c>
      <c r="BT75" s="1">
        <v>1610</v>
      </c>
      <c r="BU75" s="1">
        <v>1603.6666</v>
      </c>
      <c r="BV75" s="1">
        <v>1623.3333</v>
      </c>
      <c r="BW75" s="1">
        <v>1615</v>
      </c>
      <c r="BX75" s="1">
        <v>1623</v>
      </c>
      <c r="BY75" s="1">
        <v>1611.3333</v>
      </c>
      <c r="BZ75" s="1">
        <v>1620</v>
      </c>
    </row>
    <row r="76" spans="1:254" ht="15.9" customHeight="1">
      <c r="A76" s="78" t="s">
        <v>147</v>
      </c>
      <c r="B76" s="17" t="s">
        <v>148</v>
      </c>
      <c r="C76" s="543">
        <f>_xll.RssMarket("2802","始値")</f>
        <v>5350</v>
      </c>
      <c r="D76" s="23">
        <f t="shared" si="2"/>
        <v>0</v>
      </c>
      <c r="E76" s="550">
        <v>5350</v>
      </c>
      <c r="F76" s="21">
        <v>5198</v>
      </c>
      <c r="G76" s="21">
        <v>4893</v>
      </c>
      <c r="H76" s="21">
        <v>4920</v>
      </c>
      <c r="I76" s="21">
        <v>5025</v>
      </c>
      <c r="J76" s="21">
        <v>4747</v>
      </c>
      <c r="K76" s="21">
        <v>4874</v>
      </c>
      <c r="L76" s="21">
        <v>4969</v>
      </c>
      <c r="M76" s="21">
        <v>5139</v>
      </c>
      <c r="N76" s="21">
        <v>5051</v>
      </c>
      <c r="O76" s="21">
        <v>5258</v>
      </c>
      <c r="P76" s="21">
        <v>5430</v>
      </c>
      <c r="Q76" s="21">
        <v>5262</v>
      </c>
      <c r="R76" s="21">
        <v>5215</v>
      </c>
      <c r="S76" s="21">
        <v>5698</v>
      </c>
      <c r="T76" s="21">
        <v>5597</v>
      </c>
      <c r="U76" s="21">
        <v>5735</v>
      </c>
      <c r="V76" s="21">
        <v>5773</v>
      </c>
      <c r="W76" s="21">
        <v>5777</v>
      </c>
      <c r="X76" s="21">
        <v>5741</v>
      </c>
      <c r="Y76" s="21">
        <v>6048</v>
      </c>
      <c r="Z76" s="21">
        <v>6200</v>
      </c>
      <c r="AA76" s="21">
        <v>6110</v>
      </c>
      <c r="AB76" s="21">
        <v>6075</v>
      </c>
      <c r="AC76" s="21">
        <v>6048</v>
      </c>
      <c r="AD76" s="21">
        <v>5860</v>
      </c>
      <c r="AE76" s="21">
        <v>5706</v>
      </c>
      <c r="AF76" s="21">
        <v>5771</v>
      </c>
      <c r="AG76" s="21">
        <v>5672</v>
      </c>
      <c r="AH76" s="21">
        <v>5529</v>
      </c>
      <c r="AI76" s="21">
        <v>6000</v>
      </c>
      <c r="AJ76" s="21">
        <v>5747</v>
      </c>
      <c r="AK76" s="21">
        <v>5840</v>
      </c>
      <c r="AL76" s="21">
        <v>5385</v>
      </c>
      <c r="AM76" s="21">
        <v>5187</v>
      </c>
      <c r="AN76" s="21">
        <v>4996</v>
      </c>
      <c r="AO76" s="21">
        <v>5500</v>
      </c>
      <c r="AP76" s="21">
        <v>5200</v>
      </c>
      <c r="AQ76" s="21">
        <v>4848</v>
      </c>
      <c r="AR76" s="21">
        <v>4772</v>
      </c>
      <c r="AS76" s="21">
        <v>4802</v>
      </c>
      <c r="AT76" s="21">
        <v>5050</v>
      </c>
      <c r="AU76" s="21">
        <v>5130</v>
      </c>
      <c r="AV76" s="21">
        <v>5269</v>
      </c>
      <c r="AW76" s="21">
        <v>5302</v>
      </c>
      <c r="AX76" s="21">
        <v>5140</v>
      </c>
      <c r="AY76" s="21">
        <v>5189</v>
      </c>
      <c r="AZ76" s="21">
        <v>5345</v>
      </c>
      <c r="BA76" s="21">
        <v>5270</v>
      </c>
      <c r="BB76" s="21">
        <v>5243</v>
      </c>
      <c r="BC76" s="21">
        <v>5099</v>
      </c>
      <c r="BD76" s="21">
        <v>5278</v>
      </c>
      <c r="BE76" s="21">
        <v>5200</v>
      </c>
      <c r="BF76" s="21">
        <v>5280</v>
      </c>
      <c r="BG76" s="21">
        <v>5542</v>
      </c>
      <c r="BH76" s="21">
        <v>5587</v>
      </c>
      <c r="BI76" s="21">
        <v>5371</v>
      </c>
      <c r="BJ76" s="21">
        <v>5502</v>
      </c>
      <c r="BK76" s="21">
        <v>5179</v>
      </c>
      <c r="BL76" s="21">
        <v>4818</v>
      </c>
      <c r="BM76" s="1">
        <v>4952</v>
      </c>
      <c r="BN76" s="1">
        <v>4904</v>
      </c>
      <c r="BO76" s="1">
        <v>4913</v>
      </c>
      <c r="BP76" s="1">
        <v>4794</v>
      </c>
      <c r="BQ76" s="1">
        <v>4755</v>
      </c>
      <c r="BR76" s="1">
        <v>4727</v>
      </c>
      <c r="BS76" s="1">
        <v>4607</v>
      </c>
      <c r="BT76" s="1">
        <v>4652</v>
      </c>
      <c r="BU76" s="1">
        <v>4607</v>
      </c>
      <c r="BV76" s="1">
        <v>4599</v>
      </c>
      <c r="BW76" s="1">
        <v>4651</v>
      </c>
      <c r="BX76" s="1">
        <v>4637</v>
      </c>
      <c r="BY76" s="1">
        <v>4651</v>
      </c>
      <c r="BZ76" s="1">
        <v>4600</v>
      </c>
    </row>
    <row r="77" spans="1:254" ht="15.9" customHeight="1">
      <c r="A77" s="78" t="s">
        <v>149</v>
      </c>
      <c r="B77" s="17" t="s">
        <v>150</v>
      </c>
      <c r="C77" s="543">
        <f>_xll.RssMarket("7203","始値")</f>
        <v>2930</v>
      </c>
      <c r="D77" s="23">
        <f t="shared" si="2"/>
        <v>0</v>
      </c>
      <c r="E77" s="550">
        <v>2930</v>
      </c>
      <c r="F77" s="21">
        <v>2903</v>
      </c>
      <c r="G77" s="21">
        <v>2948</v>
      </c>
      <c r="H77" s="21">
        <v>2999</v>
      </c>
      <c r="I77" s="21">
        <v>3032</v>
      </c>
      <c r="J77" s="21">
        <v>3181</v>
      </c>
      <c r="K77" s="21">
        <v>3085</v>
      </c>
      <c r="L77" s="21">
        <v>2972.5</v>
      </c>
      <c r="M77" s="21">
        <v>2921</v>
      </c>
      <c r="N77" s="21">
        <v>2920</v>
      </c>
      <c r="O77" s="21">
        <v>2938</v>
      </c>
      <c r="P77" s="21">
        <v>2921.5</v>
      </c>
      <c r="Q77" s="21">
        <v>2900</v>
      </c>
      <c r="R77" s="21">
        <v>2865.5</v>
      </c>
      <c r="S77" s="21">
        <v>2857</v>
      </c>
      <c r="T77" s="21">
        <v>2832</v>
      </c>
      <c r="U77" s="21">
        <v>2844</v>
      </c>
      <c r="V77" s="21">
        <v>2863.5</v>
      </c>
      <c r="W77" s="21">
        <v>2854</v>
      </c>
      <c r="X77" s="21">
        <v>2926</v>
      </c>
      <c r="Y77" s="21">
        <v>2950</v>
      </c>
      <c r="Z77" s="21">
        <v>2855</v>
      </c>
      <c r="AA77" s="21">
        <v>2839</v>
      </c>
      <c r="AB77" s="21">
        <v>2759</v>
      </c>
      <c r="AC77" s="21">
        <v>2765</v>
      </c>
      <c r="AD77" s="21">
        <v>2775</v>
      </c>
      <c r="AE77" s="21">
        <v>2805</v>
      </c>
      <c r="AF77" s="21">
        <v>2714</v>
      </c>
      <c r="AG77" s="21">
        <v>2700</v>
      </c>
      <c r="AH77" s="21">
        <v>2731</v>
      </c>
      <c r="AI77" s="21">
        <v>2745</v>
      </c>
      <c r="AJ77" s="21">
        <v>2770</v>
      </c>
      <c r="AK77" s="21">
        <v>2785</v>
      </c>
      <c r="AL77" s="21">
        <v>2800</v>
      </c>
      <c r="AM77" s="21">
        <v>2862.5</v>
      </c>
      <c r="AN77" s="21">
        <v>2867</v>
      </c>
      <c r="AO77" s="21">
        <v>2836.5</v>
      </c>
      <c r="AP77" s="21">
        <v>2792</v>
      </c>
      <c r="AQ77" s="21">
        <v>2768</v>
      </c>
      <c r="AR77" s="21">
        <v>2837</v>
      </c>
      <c r="AS77" s="21">
        <v>2817</v>
      </c>
      <c r="AT77" s="21">
        <v>2872</v>
      </c>
      <c r="AU77" s="21">
        <v>2875</v>
      </c>
      <c r="AV77" s="21">
        <v>2840</v>
      </c>
      <c r="AW77" s="21">
        <v>2849.5</v>
      </c>
      <c r="AX77" s="21">
        <v>3022</v>
      </c>
      <c r="AY77" s="21">
        <v>3039</v>
      </c>
      <c r="AZ77" s="21">
        <v>3016</v>
      </c>
      <c r="BA77" s="21">
        <v>3051</v>
      </c>
      <c r="BB77" s="21">
        <v>3020</v>
      </c>
      <c r="BC77" s="21">
        <v>2964.5</v>
      </c>
      <c r="BD77" s="21">
        <v>3003</v>
      </c>
      <c r="BE77" s="21">
        <v>2955</v>
      </c>
      <c r="BF77" s="21">
        <v>2990</v>
      </c>
      <c r="BG77" s="21">
        <v>3017</v>
      </c>
      <c r="BH77" s="21">
        <v>2944</v>
      </c>
      <c r="BI77" s="21">
        <v>2884.5</v>
      </c>
      <c r="BJ77" s="21">
        <v>2831</v>
      </c>
      <c r="BK77" s="21">
        <v>2800</v>
      </c>
      <c r="BL77" s="21">
        <v>3020</v>
      </c>
      <c r="BM77" s="1">
        <v>3017</v>
      </c>
      <c r="BN77" s="1">
        <v>3000</v>
      </c>
      <c r="BO77" s="1">
        <v>3062</v>
      </c>
      <c r="BP77" s="1">
        <v>3131</v>
      </c>
      <c r="BQ77" s="1">
        <v>3065</v>
      </c>
      <c r="BR77" s="1">
        <v>3122</v>
      </c>
      <c r="BS77" s="1">
        <v>3191</v>
      </c>
      <c r="BT77" s="1">
        <v>3220</v>
      </c>
      <c r="BU77" s="1">
        <v>3345</v>
      </c>
      <c r="BV77" s="1">
        <v>3413</v>
      </c>
      <c r="BW77" s="1">
        <v>3400</v>
      </c>
      <c r="BX77" s="1">
        <v>3416</v>
      </c>
      <c r="BY77" s="1">
        <v>3355</v>
      </c>
      <c r="BZ77" s="1">
        <v>3355</v>
      </c>
    </row>
    <row r="78" spans="1:254" ht="15.9" customHeight="1">
      <c r="A78" s="78" t="s">
        <v>151</v>
      </c>
      <c r="B78" s="17" t="s">
        <v>152</v>
      </c>
      <c r="C78" s="543">
        <f>_xll.RssMarket("6954","始値")</f>
        <v>6500</v>
      </c>
      <c r="D78" s="23">
        <f t="shared" si="2"/>
        <v>0</v>
      </c>
      <c r="E78" s="550">
        <v>6500</v>
      </c>
      <c r="F78" s="21">
        <v>6487</v>
      </c>
      <c r="G78" s="21">
        <v>6115</v>
      </c>
      <c r="H78" s="21">
        <v>6385</v>
      </c>
      <c r="I78" s="21">
        <v>7080</v>
      </c>
      <c r="J78" s="21">
        <v>6383</v>
      </c>
      <c r="K78" s="21">
        <v>6473</v>
      </c>
      <c r="L78" s="21">
        <v>6585</v>
      </c>
      <c r="M78" s="21">
        <v>6724</v>
      </c>
      <c r="N78" s="21">
        <v>6838</v>
      </c>
      <c r="O78" s="21">
        <v>6897</v>
      </c>
      <c r="P78" s="21">
        <v>6897</v>
      </c>
      <c r="Q78" s="21">
        <v>6621</v>
      </c>
      <c r="R78" s="21">
        <v>6690</v>
      </c>
      <c r="S78" s="21">
        <v>6939</v>
      </c>
      <c r="T78" s="21">
        <v>6857</v>
      </c>
      <c r="U78" s="21">
        <v>7050</v>
      </c>
      <c r="V78" s="21">
        <v>7051</v>
      </c>
      <c r="W78" s="21">
        <v>6789</v>
      </c>
      <c r="X78" s="21">
        <v>6922</v>
      </c>
      <c r="Y78" s="21">
        <v>7335</v>
      </c>
      <c r="Z78" s="21">
        <v>7436</v>
      </c>
      <c r="AA78" s="21">
        <v>7209</v>
      </c>
      <c r="AB78" s="21">
        <v>7227</v>
      </c>
      <c r="AC78" s="21">
        <v>7505</v>
      </c>
      <c r="AD78" s="21">
        <v>7200</v>
      </c>
      <c r="AE78" s="21">
        <v>7083</v>
      </c>
      <c r="AF78" s="21">
        <v>7253</v>
      </c>
      <c r="AG78" s="21">
        <v>7512</v>
      </c>
      <c r="AH78" s="21">
        <v>7450</v>
      </c>
      <c r="AI78" s="21">
        <v>7935</v>
      </c>
      <c r="AJ78" s="21">
        <v>7720</v>
      </c>
      <c r="AK78" s="21">
        <v>7599</v>
      </c>
      <c r="AL78" s="21">
        <v>7615</v>
      </c>
      <c r="AM78" s="21">
        <v>7270</v>
      </c>
      <c r="AN78" s="21">
        <v>7487</v>
      </c>
      <c r="AO78" s="21">
        <v>7200</v>
      </c>
      <c r="AP78" s="21">
        <v>7035</v>
      </c>
      <c r="AQ78" s="21">
        <v>6385</v>
      </c>
      <c r="AR78" s="21">
        <v>6877</v>
      </c>
      <c r="AS78" s="21">
        <v>7000</v>
      </c>
      <c r="AT78" s="21">
        <v>7608</v>
      </c>
      <c r="AU78" s="21">
        <v>7872</v>
      </c>
      <c r="AV78" s="21">
        <v>7708</v>
      </c>
      <c r="AW78" s="21">
        <v>8000</v>
      </c>
      <c r="AX78" s="21">
        <v>8100</v>
      </c>
      <c r="AY78" s="21">
        <v>8096</v>
      </c>
      <c r="AZ78" s="21">
        <v>8695</v>
      </c>
      <c r="BA78" s="21">
        <v>8348</v>
      </c>
      <c r="BB78" s="21">
        <v>8145</v>
      </c>
      <c r="BC78" s="21">
        <v>7547</v>
      </c>
      <c r="BD78" s="21">
        <v>7524</v>
      </c>
      <c r="BE78" s="21">
        <v>7980</v>
      </c>
      <c r="BF78" s="21">
        <v>8439</v>
      </c>
      <c r="BG78" s="21">
        <v>8255</v>
      </c>
      <c r="BH78" s="21">
        <v>8540</v>
      </c>
      <c r="BI78" s="21">
        <v>7570</v>
      </c>
      <c r="BJ78" s="21">
        <v>7632</v>
      </c>
      <c r="BK78" s="21">
        <v>7555</v>
      </c>
      <c r="BL78" s="21">
        <v>7114</v>
      </c>
      <c r="BM78" s="1">
        <v>7198</v>
      </c>
      <c r="BN78" s="1">
        <v>6775</v>
      </c>
      <c r="BO78" s="1">
        <v>6761</v>
      </c>
      <c r="BP78" s="1">
        <v>7256</v>
      </c>
      <c r="BQ78" s="1">
        <v>6750</v>
      </c>
      <c r="BR78" s="1">
        <v>6323</v>
      </c>
      <c r="BS78" s="1">
        <v>6433</v>
      </c>
      <c r="BT78" s="1">
        <v>6450</v>
      </c>
      <c r="BU78" s="1">
        <v>6500</v>
      </c>
      <c r="BV78" s="1">
        <v>6250</v>
      </c>
      <c r="BW78" s="1">
        <v>6272</v>
      </c>
      <c r="BX78" s="1">
        <v>6143</v>
      </c>
      <c r="BY78" s="1">
        <v>6280</v>
      </c>
      <c r="BZ78" s="1">
        <v>6282</v>
      </c>
    </row>
    <row r="79" spans="1:254" ht="15.9" customHeight="1">
      <c r="A79" s="78" t="s">
        <v>153</v>
      </c>
      <c r="B79" s="17" t="s">
        <v>154</v>
      </c>
      <c r="C79" s="543">
        <f>_xll.RssMarket("6479","始値")</f>
        <v>3852</v>
      </c>
      <c r="D79" s="23">
        <f t="shared" si="2"/>
        <v>0</v>
      </c>
      <c r="E79" s="550">
        <v>3852</v>
      </c>
      <c r="F79" s="21">
        <v>3927</v>
      </c>
      <c r="G79" s="21">
        <v>3811</v>
      </c>
      <c r="H79" s="21">
        <v>3715</v>
      </c>
      <c r="I79" s="21">
        <v>3792</v>
      </c>
      <c r="J79" s="21">
        <v>3480</v>
      </c>
      <c r="K79" s="21">
        <v>3662</v>
      </c>
      <c r="L79" s="21">
        <v>3800</v>
      </c>
      <c r="M79" s="21">
        <v>3879</v>
      </c>
      <c r="N79" s="21">
        <v>3946</v>
      </c>
      <c r="O79" s="21">
        <v>3998</v>
      </c>
      <c r="P79" s="21">
        <v>4000</v>
      </c>
      <c r="Q79" s="21">
        <v>3855</v>
      </c>
      <c r="R79" s="21">
        <v>3970</v>
      </c>
      <c r="S79" s="21">
        <v>4177</v>
      </c>
      <c r="T79" s="21">
        <v>4125</v>
      </c>
      <c r="U79" s="21">
        <v>4350</v>
      </c>
      <c r="V79" s="21">
        <v>4440</v>
      </c>
      <c r="W79" s="21">
        <v>4422</v>
      </c>
      <c r="X79" s="21">
        <v>4274</v>
      </c>
      <c r="Y79" s="21">
        <v>4473</v>
      </c>
      <c r="Z79" s="21">
        <v>4918</v>
      </c>
      <c r="AA79" s="21">
        <v>4695</v>
      </c>
      <c r="AB79" s="21">
        <v>4800</v>
      </c>
      <c r="AC79" s="21">
        <v>4826</v>
      </c>
      <c r="AD79" s="21">
        <v>4841</v>
      </c>
      <c r="AE79" s="21">
        <v>4820</v>
      </c>
      <c r="AF79" s="21">
        <v>5241</v>
      </c>
      <c r="AG79" s="21">
        <v>5096</v>
      </c>
      <c r="AH79" s="21">
        <v>4885</v>
      </c>
      <c r="AI79" s="21">
        <v>5154</v>
      </c>
      <c r="AJ79" s="21">
        <v>4757</v>
      </c>
      <c r="AK79" s="21">
        <v>4680</v>
      </c>
      <c r="AL79" s="21">
        <v>4648</v>
      </c>
      <c r="AM79" s="21">
        <v>4618</v>
      </c>
      <c r="AN79" s="21">
        <v>4570</v>
      </c>
      <c r="AO79" s="21">
        <v>4443</v>
      </c>
      <c r="AP79" s="21">
        <v>4408</v>
      </c>
      <c r="AQ79" s="21">
        <v>4162</v>
      </c>
      <c r="AR79" s="21">
        <v>4511</v>
      </c>
      <c r="AS79" s="21">
        <v>4714</v>
      </c>
      <c r="AT79" s="21">
        <v>4828</v>
      </c>
      <c r="AU79" s="21">
        <v>4849</v>
      </c>
      <c r="AV79" s="21">
        <v>4809</v>
      </c>
      <c r="AW79" s="21">
        <v>4651</v>
      </c>
      <c r="AX79" s="21">
        <v>4433</v>
      </c>
      <c r="AY79" s="21">
        <v>4166</v>
      </c>
      <c r="AZ79" s="21">
        <v>4247</v>
      </c>
      <c r="BA79" s="21">
        <v>4060</v>
      </c>
      <c r="BB79" s="21">
        <v>3940</v>
      </c>
      <c r="BC79" s="21">
        <v>3799</v>
      </c>
      <c r="BD79" s="21">
        <v>3869</v>
      </c>
      <c r="BE79" s="21">
        <v>3800</v>
      </c>
      <c r="BF79" s="21">
        <v>3955</v>
      </c>
      <c r="BG79" s="21">
        <v>4005</v>
      </c>
      <c r="BH79" s="21">
        <v>3950</v>
      </c>
      <c r="BI79" s="21">
        <v>3636</v>
      </c>
      <c r="BJ79" s="21">
        <v>3527</v>
      </c>
      <c r="BK79" s="21">
        <v>3436</v>
      </c>
      <c r="BL79" s="21">
        <v>3300</v>
      </c>
      <c r="BM79" s="1">
        <v>3178</v>
      </c>
      <c r="BN79" s="1">
        <v>3138</v>
      </c>
      <c r="BO79" s="1">
        <v>3079</v>
      </c>
      <c r="BP79" s="1">
        <v>3123</v>
      </c>
      <c r="BQ79" s="1">
        <v>3120</v>
      </c>
      <c r="BR79" s="1">
        <v>3060</v>
      </c>
      <c r="BS79" s="1">
        <v>3110</v>
      </c>
      <c r="BT79" s="1">
        <v>3106</v>
      </c>
      <c r="BU79" s="1">
        <v>3112</v>
      </c>
      <c r="BV79" s="1">
        <v>3034</v>
      </c>
      <c r="BW79" s="1">
        <v>3000</v>
      </c>
      <c r="BX79" s="1">
        <v>2908</v>
      </c>
      <c r="BY79" s="1">
        <v>2878.5</v>
      </c>
      <c r="BZ79" s="1">
        <v>2910</v>
      </c>
    </row>
    <row r="80" spans="1:254" ht="15.9" customHeight="1">
      <c r="A80" s="78" t="s">
        <v>155</v>
      </c>
      <c r="B80" s="17" t="s">
        <v>156</v>
      </c>
      <c r="C80" s="543">
        <f>_xll.RssMarket("1833","始値")</f>
        <v>5750</v>
      </c>
      <c r="D80" s="23">
        <f t="shared" si="2"/>
        <v>0</v>
      </c>
      <c r="E80" s="550">
        <v>5750</v>
      </c>
      <c r="F80" s="21">
        <v>5750</v>
      </c>
      <c r="G80" s="21">
        <v>5710</v>
      </c>
      <c r="H80" s="21">
        <v>5880</v>
      </c>
      <c r="I80" s="21">
        <v>5800</v>
      </c>
      <c r="J80" s="21">
        <v>5770</v>
      </c>
      <c r="K80" s="21">
        <v>5900</v>
      </c>
      <c r="L80" s="21">
        <v>5850</v>
      </c>
      <c r="M80" s="21">
        <v>5800</v>
      </c>
      <c r="N80" s="21"/>
      <c r="O80" s="21">
        <v>5680</v>
      </c>
      <c r="P80" s="21">
        <v>5670</v>
      </c>
      <c r="Q80" s="21">
        <v>5600</v>
      </c>
      <c r="R80" s="21">
        <v>5630</v>
      </c>
      <c r="S80" s="21">
        <v>5670</v>
      </c>
      <c r="T80" s="21">
        <v>5600</v>
      </c>
      <c r="U80" s="21">
        <v>5640</v>
      </c>
      <c r="V80" s="21">
        <v>5720</v>
      </c>
      <c r="W80" s="21">
        <v>5680</v>
      </c>
      <c r="X80" s="21">
        <v>5750</v>
      </c>
      <c r="Y80" s="21">
        <v>5800</v>
      </c>
      <c r="Z80" s="21">
        <v>5740</v>
      </c>
      <c r="AA80" s="21">
        <v>5720</v>
      </c>
      <c r="AB80" s="21">
        <v>5680</v>
      </c>
      <c r="AC80" s="21">
        <v>5660</v>
      </c>
      <c r="AD80" s="21">
        <v>5720</v>
      </c>
      <c r="AE80" s="21">
        <v>5700</v>
      </c>
      <c r="AF80" s="21">
        <v>5580</v>
      </c>
      <c r="AG80" s="21">
        <v>5700</v>
      </c>
      <c r="AH80" s="21">
        <v>5650</v>
      </c>
      <c r="AI80" s="21">
        <v>5700</v>
      </c>
      <c r="AJ80" s="21">
        <v>5640</v>
      </c>
      <c r="AK80" s="21">
        <v>5800</v>
      </c>
      <c r="AL80" s="21">
        <v>5740</v>
      </c>
      <c r="AM80" s="21">
        <v>5760</v>
      </c>
      <c r="AN80" s="21">
        <v>5790</v>
      </c>
      <c r="AO80" s="21">
        <v>5730</v>
      </c>
      <c r="AP80" s="21">
        <v>5610</v>
      </c>
      <c r="AQ80" s="21">
        <v>5540</v>
      </c>
      <c r="AR80" s="21">
        <v>5540</v>
      </c>
      <c r="AS80" s="21">
        <v>5520</v>
      </c>
      <c r="AT80" s="21">
        <v>5540</v>
      </c>
      <c r="AU80" s="21">
        <v>5550</v>
      </c>
      <c r="AV80" s="21">
        <v>5540</v>
      </c>
      <c r="AW80" s="21">
        <v>5550</v>
      </c>
      <c r="AX80" s="21">
        <v>5600</v>
      </c>
      <c r="AY80" s="21">
        <v>5520</v>
      </c>
      <c r="AZ80" s="21">
        <v>5630</v>
      </c>
      <c r="BA80" s="21">
        <v>5520</v>
      </c>
      <c r="BB80" s="21">
        <v>5610</v>
      </c>
      <c r="BC80" s="21">
        <v>5700</v>
      </c>
      <c r="BD80" s="21">
        <v>5730</v>
      </c>
      <c r="BE80" s="21">
        <v>5680</v>
      </c>
      <c r="BF80" s="21">
        <v>5790</v>
      </c>
      <c r="BG80" s="21">
        <v>5980</v>
      </c>
      <c r="BH80" s="21">
        <v>6160</v>
      </c>
      <c r="BI80" s="21">
        <v>6320</v>
      </c>
      <c r="BJ80" s="21">
        <v>6210</v>
      </c>
      <c r="BK80" s="21">
        <v>6050</v>
      </c>
      <c r="BL80" s="21">
        <v>6130</v>
      </c>
      <c r="BM80" s="1">
        <v>6250</v>
      </c>
      <c r="BN80" s="1">
        <v>6150</v>
      </c>
      <c r="BO80" s="1">
        <v>6080</v>
      </c>
      <c r="BP80" s="1">
        <v>6000</v>
      </c>
      <c r="BQ80" s="1">
        <v>5950</v>
      </c>
      <c r="BR80" s="1">
        <v>6150</v>
      </c>
      <c r="BS80" s="1">
        <v>5980</v>
      </c>
      <c r="BT80" s="1">
        <v>6080</v>
      </c>
      <c r="BU80" s="1">
        <v>6120</v>
      </c>
      <c r="BV80" s="1">
        <v>6150</v>
      </c>
      <c r="BW80" s="1">
        <v>6200</v>
      </c>
      <c r="BX80" s="1">
        <v>6230</v>
      </c>
      <c r="BY80" s="1">
        <v>6280</v>
      </c>
      <c r="BZ80" s="1">
        <v>6250</v>
      </c>
    </row>
    <row r="81" spans="1:254" ht="15.9" customHeight="1">
      <c r="A81" s="78" t="s">
        <v>157</v>
      </c>
      <c r="B81" s="17" t="s">
        <v>158</v>
      </c>
      <c r="C81" s="543">
        <f>_xll.RssMarket("6841","始値")</f>
        <v>5251</v>
      </c>
      <c r="D81" s="23">
        <f t="shared" si="2"/>
        <v>0</v>
      </c>
      <c r="E81" s="550">
        <v>5251</v>
      </c>
      <c r="F81" s="21">
        <v>5460</v>
      </c>
      <c r="G81" s="21">
        <v>5668</v>
      </c>
      <c r="H81" s="21">
        <v>5729</v>
      </c>
      <c r="I81" s="21">
        <v>5757</v>
      </c>
      <c r="J81" s="21">
        <v>5487</v>
      </c>
      <c r="K81" s="21">
        <v>5668</v>
      </c>
      <c r="L81" s="21">
        <v>5900</v>
      </c>
      <c r="M81" s="21">
        <v>5973</v>
      </c>
      <c r="N81" s="21">
        <v>5700</v>
      </c>
      <c r="O81" s="21">
        <v>5761</v>
      </c>
      <c r="P81" s="21">
        <v>5719</v>
      </c>
      <c r="Q81" s="21">
        <v>5648</v>
      </c>
      <c r="R81" s="21">
        <v>5331</v>
      </c>
      <c r="S81" s="21">
        <v>5528</v>
      </c>
      <c r="T81" s="21">
        <v>5497</v>
      </c>
      <c r="U81" s="21">
        <v>5586</v>
      </c>
      <c r="V81" s="21">
        <v>5475</v>
      </c>
      <c r="W81" s="21">
        <v>5404</v>
      </c>
      <c r="X81" s="21">
        <v>5590</v>
      </c>
      <c r="Y81" s="21">
        <v>5816</v>
      </c>
      <c r="Z81" s="21">
        <v>5900</v>
      </c>
      <c r="AA81" s="21">
        <v>5530</v>
      </c>
      <c r="AB81" s="21">
        <v>5514</v>
      </c>
      <c r="AC81" s="21">
        <v>5700</v>
      </c>
      <c r="AD81" s="21">
        <v>5694</v>
      </c>
      <c r="AE81" s="21">
        <v>5574</v>
      </c>
      <c r="AF81" s="21">
        <v>5500</v>
      </c>
      <c r="AG81" s="21">
        <v>5620</v>
      </c>
      <c r="AH81" s="21">
        <v>5620</v>
      </c>
      <c r="AI81" s="21">
        <v>5835</v>
      </c>
      <c r="AJ81" s="21">
        <v>5432</v>
      </c>
      <c r="AK81" s="21">
        <v>5425</v>
      </c>
      <c r="AL81" s="21">
        <v>5398</v>
      </c>
      <c r="AM81" s="21">
        <v>5151</v>
      </c>
      <c r="AN81" s="21">
        <v>5214</v>
      </c>
      <c r="AO81" s="21">
        <v>5110</v>
      </c>
      <c r="AP81" s="21">
        <v>5046</v>
      </c>
      <c r="AQ81" s="21">
        <v>4707</v>
      </c>
      <c r="AR81" s="21">
        <v>4893</v>
      </c>
      <c r="AS81" s="21">
        <v>5057</v>
      </c>
      <c r="AT81" s="21">
        <v>5339</v>
      </c>
      <c r="AU81" s="21">
        <v>5380</v>
      </c>
      <c r="AV81" s="21">
        <v>5220</v>
      </c>
      <c r="AW81" s="21">
        <v>5097</v>
      </c>
      <c r="AX81" s="21">
        <v>4877</v>
      </c>
      <c r="AY81" s="21">
        <v>4920</v>
      </c>
      <c r="AZ81" s="21">
        <v>4928</v>
      </c>
      <c r="BA81" s="21">
        <v>4913</v>
      </c>
      <c r="BB81" s="21">
        <v>4841</v>
      </c>
      <c r="BC81" s="21">
        <v>4750</v>
      </c>
      <c r="BD81" s="21">
        <v>4704</v>
      </c>
      <c r="BE81" s="21">
        <v>4905</v>
      </c>
      <c r="BF81" s="21">
        <v>4970</v>
      </c>
      <c r="BG81" s="21">
        <v>5141</v>
      </c>
      <c r="BH81" s="21">
        <v>5318</v>
      </c>
      <c r="BI81" s="21">
        <v>5180</v>
      </c>
      <c r="BJ81" s="21">
        <v>5312</v>
      </c>
      <c r="BK81" s="21">
        <v>5250</v>
      </c>
      <c r="BL81" s="21">
        <v>5434</v>
      </c>
      <c r="BM81" s="1">
        <v>5554</v>
      </c>
      <c r="BN81" s="1">
        <v>5432</v>
      </c>
      <c r="BO81" s="1">
        <v>5419</v>
      </c>
      <c r="BP81" s="1">
        <v>5390</v>
      </c>
      <c r="BQ81" s="1">
        <v>5294</v>
      </c>
      <c r="BR81" s="1">
        <v>5269</v>
      </c>
      <c r="BS81" s="1">
        <v>5412</v>
      </c>
      <c r="BT81" s="1">
        <v>5578</v>
      </c>
      <c r="BU81" s="1">
        <v>5516</v>
      </c>
      <c r="BV81" s="1">
        <v>5474</v>
      </c>
      <c r="BW81" s="1">
        <v>5463</v>
      </c>
      <c r="BX81" s="1">
        <v>5416</v>
      </c>
      <c r="BY81" s="1">
        <v>5612</v>
      </c>
      <c r="BZ81" s="1">
        <v>5702</v>
      </c>
    </row>
    <row r="82" spans="1:254" ht="15.9" customHeight="1">
      <c r="A82" s="78" t="s">
        <v>159</v>
      </c>
      <c r="B82" s="17" t="s">
        <v>160</v>
      </c>
      <c r="C82" s="543">
        <f>_xll.RssMarket("7167","始値")</f>
        <v>1562</v>
      </c>
      <c r="D82" s="23">
        <f t="shared" si="2"/>
        <v>0</v>
      </c>
      <c r="E82" s="550">
        <v>1562</v>
      </c>
      <c r="F82" s="21">
        <v>1490</v>
      </c>
      <c r="G82" s="21">
        <v>1483.5</v>
      </c>
      <c r="H82" s="21">
        <v>1489.5</v>
      </c>
      <c r="I82" s="21">
        <v>1514.5</v>
      </c>
      <c r="J82" s="21">
        <v>1468.5</v>
      </c>
      <c r="K82" s="21">
        <v>1502.5</v>
      </c>
      <c r="L82" s="21">
        <v>1534</v>
      </c>
      <c r="M82" s="21">
        <v>1550</v>
      </c>
      <c r="N82" s="21">
        <v>1490.5</v>
      </c>
      <c r="O82" s="21">
        <v>1487.5</v>
      </c>
      <c r="P82" s="21">
        <v>1480</v>
      </c>
      <c r="Q82" s="21">
        <v>1444.5</v>
      </c>
      <c r="R82" s="21">
        <v>1500</v>
      </c>
      <c r="S82" s="21">
        <v>1515</v>
      </c>
      <c r="T82" s="21">
        <v>1501</v>
      </c>
      <c r="U82" s="21">
        <v>1537</v>
      </c>
      <c r="V82" s="21">
        <v>1575</v>
      </c>
      <c r="W82" s="21">
        <v>1540</v>
      </c>
      <c r="X82" s="21">
        <v>1531</v>
      </c>
      <c r="Y82" s="21">
        <v>1568.5</v>
      </c>
      <c r="Z82" s="21">
        <v>1513.5</v>
      </c>
      <c r="AA82" s="21">
        <v>1498</v>
      </c>
      <c r="AB82" s="21">
        <v>1469</v>
      </c>
      <c r="AC82" s="21">
        <v>1425</v>
      </c>
      <c r="AD82" s="21">
        <v>1420</v>
      </c>
      <c r="AE82" s="21">
        <v>1417.5</v>
      </c>
      <c r="AF82" s="21">
        <v>1390</v>
      </c>
      <c r="AG82" s="21">
        <v>1411</v>
      </c>
      <c r="AH82" s="21">
        <v>1410.5</v>
      </c>
      <c r="AI82" s="21">
        <v>1443.5</v>
      </c>
      <c r="AJ82" s="21">
        <v>1392.5</v>
      </c>
      <c r="AK82" s="21">
        <v>1439</v>
      </c>
      <c r="AL82" s="21">
        <v>1418.5</v>
      </c>
      <c r="AM82" s="21">
        <v>1429</v>
      </c>
      <c r="AN82" s="21">
        <v>1410</v>
      </c>
      <c r="AO82" s="21">
        <v>1432</v>
      </c>
      <c r="AP82" s="21">
        <v>1399.5</v>
      </c>
      <c r="AQ82" s="21">
        <v>1362</v>
      </c>
      <c r="AR82" s="21">
        <v>1400</v>
      </c>
      <c r="AS82" s="21">
        <v>1327.5</v>
      </c>
      <c r="AT82" s="21">
        <v>1361</v>
      </c>
      <c r="AU82" s="21">
        <v>1293.5</v>
      </c>
      <c r="AV82" s="21">
        <v>1325</v>
      </c>
      <c r="AW82" s="21">
        <v>1277.5</v>
      </c>
      <c r="AX82" s="21">
        <v>1350</v>
      </c>
      <c r="AY82" s="21">
        <v>1371.5</v>
      </c>
      <c r="AZ82" s="21">
        <v>1377.5</v>
      </c>
      <c r="BA82" s="21">
        <v>1396</v>
      </c>
      <c r="BB82" s="21">
        <v>1422</v>
      </c>
      <c r="BC82" s="21">
        <v>1407</v>
      </c>
      <c r="BD82" s="21">
        <v>1395.5</v>
      </c>
      <c r="BE82" s="21">
        <v>1387</v>
      </c>
      <c r="BF82" s="21">
        <v>1378.5</v>
      </c>
      <c r="BG82" s="21">
        <v>1385</v>
      </c>
      <c r="BH82" s="21">
        <v>1364.5</v>
      </c>
      <c r="BI82" s="21">
        <v>1363</v>
      </c>
      <c r="BJ82" s="21">
        <v>1350</v>
      </c>
      <c r="BK82" s="21">
        <v>1303</v>
      </c>
      <c r="BL82" s="21">
        <v>1316</v>
      </c>
      <c r="BM82" s="1">
        <v>1345</v>
      </c>
      <c r="BN82" s="1">
        <v>1295.5</v>
      </c>
      <c r="BO82" s="1">
        <v>1296</v>
      </c>
      <c r="BP82" s="1">
        <v>1249.5</v>
      </c>
      <c r="BQ82" s="1">
        <v>1206</v>
      </c>
      <c r="BR82" s="1">
        <v>1235.5</v>
      </c>
      <c r="BS82" s="1">
        <v>1232</v>
      </c>
      <c r="BT82" s="1">
        <v>1281.5</v>
      </c>
      <c r="BU82" s="1">
        <v>1317.5</v>
      </c>
      <c r="BV82" s="1">
        <v>1353</v>
      </c>
      <c r="BW82" s="1">
        <v>1354</v>
      </c>
      <c r="BX82" s="1">
        <v>1363.5</v>
      </c>
      <c r="BY82" s="1">
        <v>1360</v>
      </c>
      <c r="BZ82" s="1">
        <v>1349</v>
      </c>
    </row>
    <row r="83" spans="1:254" ht="15.9" customHeight="1">
      <c r="A83" s="78" t="s">
        <v>161</v>
      </c>
      <c r="B83" s="17" t="s">
        <v>162</v>
      </c>
      <c r="C83" s="543">
        <f>_xll.RssMarket("1925","始値")</f>
        <v>4533</v>
      </c>
      <c r="D83" s="23">
        <f t="shared" si="2"/>
        <v>0</v>
      </c>
      <c r="E83" s="550">
        <v>4533</v>
      </c>
      <c r="F83" s="21">
        <v>4560</v>
      </c>
      <c r="G83" s="21">
        <v>4584</v>
      </c>
      <c r="H83" s="21">
        <v>4664</v>
      </c>
      <c r="I83" s="21">
        <v>4694</v>
      </c>
      <c r="J83" s="21">
        <v>4876</v>
      </c>
      <c r="K83" s="21">
        <v>4820</v>
      </c>
      <c r="L83" s="21">
        <v>4740</v>
      </c>
      <c r="M83" s="21">
        <v>4693</v>
      </c>
      <c r="N83" s="21">
        <v>4546</v>
      </c>
      <c r="O83" s="21">
        <v>4548</v>
      </c>
      <c r="P83" s="21">
        <v>4580</v>
      </c>
      <c r="Q83" s="21">
        <v>4599</v>
      </c>
      <c r="R83" s="21">
        <v>4637</v>
      </c>
      <c r="S83" s="21">
        <v>4610</v>
      </c>
      <c r="T83" s="21">
        <v>4555</v>
      </c>
      <c r="U83" s="21">
        <v>4523</v>
      </c>
      <c r="V83" s="21">
        <v>4568</v>
      </c>
      <c r="W83" s="21">
        <v>4490</v>
      </c>
      <c r="X83" s="21">
        <v>4594</v>
      </c>
      <c r="Y83" s="21">
        <v>4555</v>
      </c>
      <c r="Z83" s="21">
        <v>4505</v>
      </c>
      <c r="AA83" s="21">
        <v>4530</v>
      </c>
      <c r="AB83" s="21">
        <v>4425</v>
      </c>
      <c r="AC83" s="21">
        <v>4400</v>
      </c>
      <c r="AD83" s="21">
        <v>4488</v>
      </c>
      <c r="AE83" s="21">
        <v>4428</v>
      </c>
      <c r="AF83" s="21">
        <v>4363</v>
      </c>
      <c r="AG83" s="21">
        <v>4386</v>
      </c>
      <c r="AH83" s="21">
        <v>4318</v>
      </c>
      <c r="AI83" s="21">
        <v>4308</v>
      </c>
      <c r="AJ83" s="21">
        <v>4257</v>
      </c>
      <c r="AK83" s="21">
        <v>4320</v>
      </c>
      <c r="AL83" s="21">
        <v>4366</v>
      </c>
      <c r="AM83" s="21">
        <v>4400</v>
      </c>
      <c r="AN83" s="21">
        <v>4336</v>
      </c>
      <c r="AO83" s="21">
        <v>4351</v>
      </c>
      <c r="AP83" s="21">
        <v>4324</v>
      </c>
      <c r="AQ83" s="21">
        <v>4349</v>
      </c>
      <c r="AR83" s="21">
        <v>4317</v>
      </c>
      <c r="AS83" s="21">
        <v>4188</v>
      </c>
      <c r="AT83" s="21">
        <v>4241</v>
      </c>
      <c r="AU83" s="21">
        <v>4218</v>
      </c>
      <c r="AV83" s="21">
        <v>4179</v>
      </c>
      <c r="AW83" s="21">
        <v>4168</v>
      </c>
      <c r="AX83" s="21">
        <v>4402</v>
      </c>
      <c r="AY83" s="21">
        <v>4396</v>
      </c>
      <c r="AZ83" s="21">
        <v>4400</v>
      </c>
      <c r="BA83" s="21">
        <v>4445</v>
      </c>
      <c r="BB83" s="21">
        <v>4463</v>
      </c>
      <c r="BC83" s="21">
        <v>4504</v>
      </c>
      <c r="BD83" s="21">
        <v>4544</v>
      </c>
      <c r="BE83" s="21">
        <v>4510</v>
      </c>
      <c r="BF83" s="21">
        <v>4543</v>
      </c>
      <c r="BG83" s="21">
        <v>4532</v>
      </c>
      <c r="BH83" s="21">
        <v>4649</v>
      </c>
      <c r="BI83" s="21">
        <v>4770</v>
      </c>
      <c r="BJ83" s="21">
        <v>4760</v>
      </c>
      <c r="BK83" s="21">
        <v>4746</v>
      </c>
      <c r="BL83" s="21">
        <v>4834</v>
      </c>
      <c r="BM83" s="1">
        <v>4750</v>
      </c>
      <c r="BN83" s="1">
        <v>4766</v>
      </c>
      <c r="BO83" s="1">
        <v>4813</v>
      </c>
      <c r="BP83" s="1">
        <v>4821</v>
      </c>
      <c r="BQ83" s="1">
        <v>4765</v>
      </c>
      <c r="BR83" s="1">
        <v>4810</v>
      </c>
      <c r="BS83" s="1">
        <v>4849</v>
      </c>
      <c r="BT83" s="1">
        <v>4890</v>
      </c>
      <c r="BU83" s="1">
        <v>4912</v>
      </c>
      <c r="BV83" s="1">
        <v>4901</v>
      </c>
      <c r="BW83" s="1">
        <v>4900</v>
      </c>
      <c r="BX83" s="1">
        <v>4925</v>
      </c>
      <c r="BY83" s="1">
        <v>4880</v>
      </c>
      <c r="BZ83" s="1">
        <v>4919</v>
      </c>
    </row>
    <row r="84" spans="1:254" ht="15.9" customHeight="1">
      <c r="A84" s="78" t="s">
        <v>163</v>
      </c>
      <c r="B84" s="17" t="s">
        <v>164</v>
      </c>
      <c r="C84" s="543">
        <f>_xll.RssMarket("5411","始値")</f>
        <v>1857.5</v>
      </c>
      <c r="D84" s="23">
        <f t="shared" si="2"/>
        <v>0</v>
      </c>
      <c r="E84" s="550">
        <v>1857.5</v>
      </c>
      <c r="F84" s="21">
        <v>1777</v>
      </c>
      <c r="G84" s="21">
        <v>1789</v>
      </c>
      <c r="H84" s="21">
        <v>1799</v>
      </c>
      <c r="I84" s="21">
        <v>1825</v>
      </c>
      <c r="J84" s="21">
        <v>1850</v>
      </c>
      <c r="K84" s="21">
        <v>1800</v>
      </c>
      <c r="L84" s="21">
        <v>1765</v>
      </c>
      <c r="M84" s="21">
        <v>1750</v>
      </c>
      <c r="N84" s="21">
        <v>1706</v>
      </c>
      <c r="O84" s="21">
        <v>1700</v>
      </c>
      <c r="P84" s="21">
        <v>1736.5</v>
      </c>
      <c r="Q84" s="21">
        <v>1716</v>
      </c>
      <c r="R84" s="21">
        <v>1689</v>
      </c>
      <c r="S84" s="21">
        <v>1678</v>
      </c>
      <c r="T84" s="21">
        <v>1635</v>
      </c>
      <c r="U84" s="21">
        <v>1640.5</v>
      </c>
      <c r="V84" s="21">
        <v>1623</v>
      </c>
      <c r="W84" s="21">
        <v>1638</v>
      </c>
      <c r="X84" s="21">
        <v>1650.5</v>
      </c>
      <c r="Y84" s="21">
        <v>1662.5</v>
      </c>
      <c r="Z84" s="21">
        <v>1619</v>
      </c>
      <c r="AA84" s="21">
        <v>1595.5</v>
      </c>
      <c r="AB84" s="21">
        <v>1559</v>
      </c>
      <c r="AC84" s="21">
        <v>1567</v>
      </c>
      <c r="AD84" s="21">
        <v>1570</v>
      </c>
      <c r="AE84" s="21">
        <v>1552</v>
      </c>
      <c r="AF84" s="21">
        <v>1556</v>
      </c>
      <c r="AG84" s="21">
        <v>1573</v>
      </c>
      <c r="AH84" s="21">
        <v>1565.5</v>
      </c>
      <c r="AI84" s="21">
        <v>1600.5</v>
      </c>
      <c r="AJ84" s="21">
        <v>1610</v>
      </c>
      <c r="AK84" s="21">
        <v>1635</v>
      </c>
      <c r="AL84" s="21">
        <v>1631.5</v>
      </c>
      <c r="AM84" s="21">
        <v>1652</v>
      </c>
      <c r="AN84" s="21">
        <v>1656.5</v>
      </c>
      <c r="AO84" s="21">
        <v>1633</v>
      </c>
      <c r="AP84" s="21">
        <v>1600</v>
      </c>
      <c r="AQ84" s="21">
        <v>1577</v>
      </c>
      <c r="AR84" s="21">
        <v>1570</v>
      </c>
      <c r="AS84" s="21">
        <v>1603.5</v>
      </c>
      <c r="AT84" s="21">
        <v>1611</v>
      </c>
      <c r="AU84" s="21">
        <v>1594.5</v>
      </c>
      <c r="AV84" s="21">
        <v>1608</v>
      </c>
      <c r="AW84" s="21">
        <v>1613</v>
      </c>
      <c r="AX84" s="21">
        <v>1694</v>
      </c>
      <c r="AY84" s="21">
        <v>1685</v>
      </c>
      <c r="AZ84" s="21">
        <v>1650.5</v>
      </c>
      <c r="BA84" s="21">
        <v>1651</v>
      </c>
      <c r="BB84" s="21">
        <v>1651</v>
      </c>
      <c r="BC84" s="21">
        <v>1657</v>
      </c>
      <c r="BD84" s="21">
        <v>1668.5</v>
      </c>
      <c r="BE84" s="21">
        <v>1663</v>
      </c>
      <c r="BF84" s="21">
        <v>1670</v>
      </c>
      <c r="BG84" s="21">
        <v>1683</v>
      </c>
      <c r="BH84" s="21">
        <v>1724</v>
      </c>
      <c r="BI84" s="21">
        <v>1700</v>
      </c>
      <c r="BJ84" s="21">
        <v>1675.5</v>
      </c>
      <c r="BK84" s="21">
        <v>1747</v>
      </c>
      <c r="BL84" s="21">
        <v>1723.5</v>
      </c>
      <c r="BM84" s="1">
        <v>1740.5</v>
      </c>
      <c r="BN84" s="1">
        <v>1714</v>
      </c>
      <c r="BO84" s="1">
        <v>1690</v>
      </c>
      <c r="BP84" s="1">
        <v>1681</v>
      </c>
      <c r="BQ84" s="1">
        <v>1690</v>
      </c>
      <c r="BR84" s="1">
        <v>1703.5</v>
      </c>
      <c r="BS84" s="1">
        <v>1724</v>
      </c>
      <c r="BT84" s="1">
        <v>1745</v>
      </c>
      <c r="BU84" s="1">
        <v>1765</v>
      </c>
      <c r="BV84" s="1">
        <v>1803.5</v>
      </c>
      <c r="BW84" s="1">
        <v>1820</v>
      </c>
      <c r="BX84" s="1">
        <v>1821</v>
      </c>
      <c r="BY84" s="1">
        <v>1825</v>
      </c>
      <c r="BZ84" s="1">
        <v>1859.5</v>
      </c>
    </row>
    <row r="85" spans="1:254" ht="15.9" customHeight="1">
      <c r="A85" s="78" t="s">
        <v>165</v>
      </c>
      <c r="B85" s="17" t="s">
        <v>166</v>
      </c>
      <c r="C85" s="543">
        <f>_xll.RssMarket("7182","始値")</f>
        <v>3189</v>
      </c>
      <c r="D85" s="23">
        <f t="shared" si="2"/>
        <v>0</v>
      </c>
      <c r="E85" s="550">
        <v>3189</v>
      </c>
      <c r="F85" s="21">
        <v>3127</v>
      </c>
      <c r="G85" s="21">
        <v>3088</v>
      </c>
      <c r="H85" s="21">
        <v>3072</v>
      </c>
      <c r="I85" s="21">
        <v>3154</v>
      </c>
      <c r="J85" s="21">
        <v>3122</v>
      </c>
      <c r="K85" s="21">
        <v>3200</v>
      </c>
      <c r="L85" s="21">
        <v>3361</v>
      </c>
      <c r="M85" s="21">
        <v>3400</v>
      </c>
      <c r="N85" s="21">
        <v>3392</v>
      </c>
      <c r="O85" s="21">
        <v>3392</v>
      </c>
      <c r="P85" s="21">
        <v>3404</v>
      </c>
      <c r="Q85" s="21">
        <v>3184</v>
      </c>
      <c r="R85" s="21">
        <v>3230</v>
      </c>
      <c r="S85" s="21">
        <v>3335</v>
      </c>
      <c r="T85" s="21">
        <v>3254</v>
      </c>
      <c r="U85" s="21">
        <v>3290</v>
      </c>
      <c r="V85" s="21">
        <v>3306</v>
      </c>
      <c r="W85" s="21">
        <v>3287</v>
      </c>
      <c r="X85" s="21">
        <v>3307</v>
      </c>
      <c r="Y85" s="21">
        <v>3340</v>
      </c>
      <c r="Z85" s="21">
        <v>3220</v>
      </c>
      <c r="AA85" s="21">
        <v>3200</v>
      </c>
      <c r="AB85" s="21">
        <v>3116</v>
      </c>
      <c r="AC85" s="21">
        <v>3090</v>
      </c>
      <c r="AD85" s="21">
        <v>3114</v>
      </c>
      <c r="AE85" s="21">
        <v>3069</v>
      </c>
      <c r="AF85" s="21">
        <v>3060</v>
      </c>
      <c r="AG85" s="21">
        <v>3084</v>
      </c>
      <c r="AH85" s="21">
        <v>3239</v>
      </c>
      <c r="AI85" s="21">
        <v>3291</v>
      </c>
      <c r="AJ85" s="21">
        <v>3194</v>
      </c>
      <c r="AK85" s="21">
        <v>3263</v>
      </c>
      <c r="AL85" s="21">
        <v>3234</v>
      </c>
      <c r="AM85" s="21">
        <v>3188</v>
      </c>
      <c r="AN85" s="21">
        <v>3165</v>
      </c>
      <c r="AO85" s="21">
        <v>3250</v>
      </c>
      <c r="AP85" s="21">
        <v>3164</v>
      </c>
      <c r="AQ85" s="21">
        <v>3085</v>
      </c>
      <c r="AR85" s="21">
        <v>3188</v>
      </c>
      <c r="AS85" s="21">
        <v>3106</v>
      </c>
      <c r="AT85" s="21">
        <v>3238</v>
      </c>
      <c r="AU85" s="21">
        <v>3180</v>
      </c>
      <c r="AV85" s="21">
        <v>3136</v>
      </c>
      <c r="AW85" s="21">
        <v>2985</v>
      </c>
      <c r="AX85" s="21">
        <v>3000</v>
      </c>
      <c r="AY85" s="21">
        <v>2951</v>
      </c>
      <c r="AZ85" s="21">
        <v>3020</v>
      </c>
      <c r="BA85" s="21">
        <v>3087</v>
      </c>
      <c r="BB85" s="21">
        <v>3200</v>
      </c>
      <c r="BC85" s="21">
        <v>3150</v>
      </c>
      <c r="BD85" s="21">
        <v>3165</v>
      </c>
      <c r="BE85" s="21">
        <v>2995</v>
      </c>
      <c r="BF85" s="21">
        <v>2860</v>
      </c>
      <c r="BG85" s="21">
        <v>2823.5</v>
      </c>
      <c r="BH85" s="21">
        <v>2849.5</v>
      </c>
      <c r="BI85" s="21">
        <v>2821.5</v>
      </c>
      <c r="BJ85" s="21">
        <v>2846.5</v>
      </c>
      <c r="BK85" s="21">
        <v>2739.5</v>
      </c>
      <c r="BL85" s="21">
        <v>2767</v>
      </c>
      <c r="BM85" s="1">
        <v>2760</v>
      </c>
      <c r="BN85" s="1">
        <v>2700</v>
      </c>
      <c r="BO85" s="1">
        <v>2697.5</v>
      </c>
      <c r="BP85" s="1">
        <v>2562.5</v>
      </c>
      <c r="BQ85" s="1">
        <v>2475</v>
      </c>
      <c r="BR85" s="1">
        <v>2529.5</v>
      </c>
      <c r="BS85" s="1">
        <v>2530</v>
      </c>
      <c r="BT85" s="1">
        <v>2600</v>
      </c>
      <c r="BU85" s="1">
        <v>2709</v>
      </c>
      <c r="BV85" s="1">
        <v>2752.5</v>
      </c>
      <c r="BW85" s="1">
        <v>2795</v>
      </c>
      <c r="BX85" s="1">
        <v>2788</v>
      </c>
      <c r="BY85" s="1">
        <v>2774.5</v>
      </c>
      <c r="BZ85" s="1">
        <v>2745</v>
      </c>
    </row>
    <row r="86" spans="1:254" ht="15.9" customHeight="1">
      <c r="A86" s="78" t="s">
        <v>167</v>
      </c>
      <c r="B86" s="17" t="s">
        <v>168</v>
      </c>
      <c r="C86" s="543">
        <f>_xll.RssMarket("1963","始値")</f>
        <v>2327</v>
      </c>
      <c r="D86" s="23">
        <f t="shared" si="2"/>
        <v>0</v>
      </c>
      <c r="E86" s="550">
        <v>2327</v>
      </c>
      <c r="F86" s="21">
        <v>2310</v>
      </c>
      <c r="G86" s="21">
        <v>2245</v>
      </c>
      <c r="H86" s="21">
        <v>2240.5</v>
      </c>
      <c r="I86" s="21">
        <v>2268</v>
      </c>
      <c r="J86" s="21">
        <v>2200</v>
      </c>
      <c r="K86" s="21">
        <v>2329</v>
      </c>
      <c r="L86" s="21">
        <v>2321</v>
      </c>
      <c r="M86" s="21">
        <v>2287.5</v>
      </c>
      <c r="N86" s="21"/>
      <c r="O86" s="21">
        <v>2295</v>
      </c>
      <c r="P86" s="21">
        <v>2299</v>
      </c>
      <c r="Q86" s="21">
        <v>2227</v>
      </c>
      <c r="R86" s="21">
        <v>2220</v>
      </c>
      <c r="S86" s="21">
        <v>2310</v>
      </c>
      <c r="T86" s="21">
        <v>2305</v>
      </c>
      <c r="U86" s="21">
        <v>2368</v>
      </c>
      <c r="V86" s="21">
        <v>2356</v>
      </c>
      <c r="W86" s="21">
        <v>2343</v>
      </c>
      <c r="X86" s="21">
        <v>2450</v>
      </c>
      <c r="Y86" s="21">
        <v>2558</v>
      </c>
      <c r="Z86" s="21">
        <v>2540</v>
      </c>
      <c r="AA86" s="21">
        <v>2520</v>
      </c>
      <c r="AB86" s="21">
        <v>2486.5</v>
      </c>
      <c r="AC86" s="21">
        <v>2508.5</v>
      </c>
      <c r="AD86" s="21">
        <v>2589.5</v>
      </c>
      <c r="AE86" s="21">
        <v>2563</v>
      </c>
      <c r="AF86" s="21">
        <v>2530.5</v>
      </c>
      <c r="AG86" s="21">
        <v>2603</v>
      </c>
      <c r="AH86" s="21">
        <v>2574</v>
      </c>
      <c r="AI86" s="21">
        <v>2651</v>
      </c>
      <c r="AJ86" s="21">
        <v>2608</v>
      </c>
      <c r="AK86" s="21">
        <v>2780</v>
      </c>
      <c r="AL86" s="21">
        <v>2783.5</v>
      </c>
      <c r="AM86" s="21">
        <v>2680</v>
      </c>
      <c r="AN86" s="21">
        <v>2698</v>
      </c>
      <c r="AO86" s="21">
        <v>2700</v>
      </c>
      <c r="AP86" s="21">
        <v>2555.5</v>
      </c>
      <c r="AQ86" s="21">
        <v>2470</v>
      </c>
      <c r="AR86" s="21">
        <v>2539.5</v>
      </c>
      <c r="AS86" s="21">
        <v>2595.5</v>
      </c>
      <c r="AT86" s="21">
        <v>2605.5</v>
      </c>
      <c r="AU86" s="21">
        <v>2641.5</v>
      </c>
      <c r="AV86" s="21">
        <v>2627</v>
      </c>
      <c r="AW86" s="21">
        <v>2635.5</v>
      </c>
      <c r="AX86" s="21">
        <v>2669.5</v>
      </c>
      <c r="AY86" s="21">
        <v>2853</v>
      </c>
      <c r="AZ86" s="21">
        <v>2843.5</v>
      </c>
      <c r="BA86" s="21">
        <v>2781.5</v>
      </c>
      <c r="BB86" s="21">
        <v>2683</v>
      </c>
      <c r="BC86" s="21">
        <v>2685</v>
      </c>
      <c r="BD86" s="21">
        <v>2646</v>
      </c>
      <c r="BE86" s="21">
        <v>2600</v>
      </c>
      <c r="BF86" s="21">
        <v>2699</v>
      </c>
      <c r="BG86" s="21">
        <v>2680</v>
      </c>
      <c r="BH86" s="21">
        <v>2451.5</v>
      </c>
      <c r="BI86" s="21">
        <v>2409.5</v>
      </c>
      <c r="BJ86" s="21">
        <v>2418</v>
      </c>
      <c r="BK86" s="21">
        <v>2521</v>
      </c>
      <c r="BL86" s="21">
        <v>2508.5</v>
      </c>
      <c r="BM86" s="1">
        <v>2409.5</v>
      </c>
      <c r="BN86" s="1">
        <v>2398</v>
      </c>
      <c r="BO86" s="1">
        <v>2412</v>
      </c>
      <c r="BP86" s="1">
        <v>2389</v>
      </c>
      <c r="BQ86" s="1">
        <v>2325</v>
      </c>
      <c r="BR86" s="1">
        <v>2396.5</v>
      </c>
      <c r="BS86" s="1">
        <v>2300.5</v>
      </c>
      <c r="BT86" s="1">
        <v>2355.5</v>
      </c>
      <c r="BU86" s="1">
        <v>2430</v>
      </c>
      <c r="BV86" s="1">
        <v>2527</v>
      </c>
      <c r="BW86" s="1">
        <v>2544.5</v>
      </c>
      <c r="BX86" s="1">
        <v>2538</v>
      </c>
      <c r="BY86" s="1">
        <v>2680</v>
      </c>
      <c r="BZ86" s="1">
        <v>2709</v>
      </c>
    </row>
    <row r="87" spans="1:254" ht="15.9" customHeight="1">
      <c r="A87" s="78" t="s">
        <v>169</v>
      </c>
      <c r="B87" s="17" t="s">
        <v>170</v>
      </c>
      <c r="C87" s="543">
        <f>_xll.RssMarket("2914","始値")</f>
        <v>6943</v>
      </c>
      <c r="D87" s="23">
        <f t="shared" si="2"/>
        <v>0</v>
      </c>
      <c r="E87" s="550">
        <v>6943</v>
      </c>
      <c r="F87" s="21">
        <v>6758</v>
      </c>
      <c r="G87" s="21">
        <v>6900</v>
      </c>
      <c r="H87" s="21">
        <v>7002</v>
      </c>
      <c r="I87" s="21">
        <v>7000</v>
      </c>
      <c r="J87" s="21">
        <v>6800</v>
      </c>
      <c r="K87" s="21">
        <v>6677</v>
      </c>
      <c r="L87" s="21">
        <v>6573</v>
      </c>
      <c r="M87" s="21">
        <v>6479</v>
      </c>
      <c r="N87" s="21">
        <v>6390</v>
      </c>
      <c r="O87" s="21">
        <v>6489</v>
      </c>
      <c r="P87" s="21">
        <v>6360</v>
      </c>
      <c r="Q87" s="21">
        <v>6320</v>
      </c>
      <c r="R87" s="21">
        <v>6249</v>
      </c>
      <c r="S87" s="21">
        <v>6140</v>
      </c>
      <c r="T87" s="21">
        <v>6175</v>
      </c>
      <c r="U87" s="21">
        <v>6120</v>
      </c>
      <c r="V87" s="21">
        <v>6206</v>
      </c>
      <c r="W87" s="21">
        <v>6190</v>
      </c>
      <c r="X87" s="21">
        <v>6203</v>
      </c>
      <c r="Y87" s="21">
        <v>6146</v>
      </c>
      <c r="Z87" s="21">
        <v>6093</v>
      </c>
      <c r="AA87" s="21">
        <v>6100</v>
      </c>
      <c r="AB87" s="21">
        <v>6012</v>
      </c>
      <c r="AC87" s="21">
        <v>6012</v>
      </c>
      <c r="AD87" s="21">
        <v>5998</v>
      </c>
      <c r="AE87" s="21">
        <v>5985</v>
      </c>
      <c r="AF87" s="21">
        <v>5950</v>
      </c>
      <c r="AG87" s="21">
        <v>5950</v>
      </c>
      <c r="AH87" s="21">
        <v>5967</v>
      </c>
      <c r="AI87" s="21">
        <v>5974</v>
      </c>
      <c r="AJ87" s="21">
        <v>6028</v>
      </c>
      <c r="AK87" s="21">
        <v>6066</v>
      </c>
      <c r="AL87" s="21">
        <v>6064</v>
      </c>
      <c r="AM87" s="21">
        <v>6133</v>
      </c>
      <c r="AN87" s="21">
        <v>6074</v>
      </c>
      <c r="AO87" s="21">
        <v>6200</v>
      </c>
      <c r="AP87" s="21">
        <v>6350</v>
      </c>
      <c r="AQ87" s="21">
        <v>6230</v>
      </c>
      <c r="AR87" s="21">
        <v>6128</v>
      </c>
      <c r="AS87" s="21">
        <v>6032</v>
      </c>
      <c r="AT87" s="21">
        <v>6025</v>
      </c>
      <c r="AU87" s="21">
        <v>6103</v>
      </c>
      <c r="AV87" s="21">
        <v>6100</v>
      </c>
      <c r="AW87" s="21">
        <v>6048</v>
      </c>
      <c r="AX87" s="21">
        <v>6100</v>
      </c>
      <c r="AY87" s="21">
        <v>6144</v>
      </c>
      <c r="AZ87" s="21">
        <v>6080</v>
      </c>
      <c r="BA87" s="21">
        <v>6100</v>
      </c>
      <c r="BB87" s="21">
        <v>6218</v>
      </c>
      <c r="BC87" s="21">
        <v>6320</v>
      </c>
      <c r="BD87" s="21">
        <v>6420</v>
      </c>
      <c r="BE87" s="21">
        <v>6343</v>
      </c>
      <c r="BF87" s="21">
        <v>6330</v>
      </c>
      <c r="BG87" s="21">
        <v>6250</v>
      </c>
      <c r="BH87" s="21">
        <v>6204</v>
      </c>
      <c r="BI87" s="21">
        <v>6090</v>
      </c>
      <c r="BJ87" s="21">
        <v>6120</v>
      </c>
      <c r="BK87" s="21">
        <v>6000</v>
      </c>
      <c r="BL87" s="21">
        <v>5852</v>
      </c>
      <c r="BM87" s="1">
        <v>5896</v>
      </c>
      <c r="BN87" s="1">
        <v>5818</v>
      </c>
      <c r="BO87" s="1">
        <v>5780</v>
      </c>
      <c r="BP87" s="1">
        <v>5750</v>
      </c>
      <c r="BQ87" s="1">
        <v>5760</v>
      </c>
      <c r="BR87" s="1">
        <v>5885</v>
      </c>
      <c r="BS87" s="1">
        <v>5728</v>
      </c>
      <c r="BT87" s="1">
        <v>5707</v>
      </c>
      <c r="BU87" s="1">
        <v>5800</v>
      </c>
      <c r="BV87" s="1">
        <v>5830</v>
      </c>
      <c r="BW87" s="1">
        <v>5847</v>
      </c>
      <c r="BX87" s="1">
        <v>5870</v>
      </c>
      <c r="BY87" s="1">
        <v>5912</v>
      </c>
      <c r="BZ87" s="1">
        <v>5950</v>
      </c>
    </row>
    <row r="88" spans="1:254" ht="15.9" customHeight="1">
      <c r="A88" s="78" t="s">
        <v>171</v>
      </c>
      <c r="B88" s="17" t="s">
        <v>172</v>
      </c>
      <c r="C88" s="543">
        <f>_xll.RssMarket("3003","始値")</f>
        <v>1715.5</v>
      </c>
      <c r="D88" s="23">
        <f t="shared" si="2"/>
        <v>0</v>
      </c>
      <c r="E88" s="550">
        <v>1715.5</v>
      </c>
      <c r="F88" s="21">
        <v>1719</v>
      </c>
      <c r="G88" s="21">
        <v>1719.5</v>
      </c>
      <c r="H88" s="21">
        <v>1756.5</v>
      </c>
      <c r="I88" s="21">
        <v>1789.5</v>
      </c>
      <c r="J88" s="21">
        <v>1904.5</v>
      </c>
      <c r="K88" s="21">
        <v>1849</v>
      </c>
      <c r="L88" s="21">
        <v>1810</v>
      </c>
      <c r="M88" s="21">
        <v>1787.5</v>
      </c>
      <c r="N88" s="21">
        <v>1765</v>
      </c>
      <c r="O88" s="21">
        <v>1790</v>
      </c>
      <c r="P88" s="21">
        <v>1800</v>
      </c>
      <c r="Q88" s="21">
        <v>1826</v>
      </c>
      <c r="R88" s="21">
        <v>1808</v>
      </c>
      <c r="S88" s="21">
        <v>1795</v>
      </c>
      <c r="T88" s="21">
        <v>1754</v>
      </c>
      <c r="U88" s="21">
        <v>1774.5</v>
      </c>
      <c r="V88" s="21">
        <v>1746</v>
      </c>
      <c r="W88" s="21">
        <v>1762</v>
      </c>
      <c r="X88" s="21">
        <v>1781.5</v>
      </c>
      <c r="Y88" s="21">
        <v>1768</v>
      </c>
      <c r="Z88" s="21">
        <v>1749.5</v>
      </c>
      <c r="AA88" s="21">
        <v>1744</v>
      </c>
      <c r="AB88" s="21">
        <v>1704.5</v>
      </c>
      <c r="AC88" s="21">
        <v>1692</v>
      </c>
      <c r="AD88" s="21">
        <v>1715</v>
      </c>
      <c r="AE88" s="21">
        <v>1699</v>
      </c>
      <c r="AF88" s="21">
        <v>1700.5</v>
      </c>
      <c r="AG88" s="21">
        <v>1714.5</v>
      </c>
      <c r="AH88" s="21">
        <v>1695</v>
      </c>
      <c r="AI88" s="21">
        <v>1675</v>
      </c>
      <c r="AJ88" s="21">
        <v>1689</v>
      </c>
      <c r="AK88" s="21">
        <v>1693</v>
      </c>
      <c r="AL88" s="21">
        <v>1707</v>
      </c>
      <c r="AM88" s="21">
        <v>1733</v>
      </c>
      <c r="AN88" s="21">
        <v>1725</v>
      </c>
      <c r="AO88" s="21">
        <v>1748</v>
      </c>
      <c r="AP88" s="21">
        <v>1725.5</v>
      </c>
      <c r="AQ88" s="21">
        <v>1740</v>
      </c>
      <c r="AR88" s="21">
        <v>1716</v>
      </c>
      <c r="AS88" s="21">
        <v>1656</v>
      </c>
      <c r="AT88" s="21">
        <v>1650</v>
      </c>
      <c r="AU88" s="21">
        <v>1645</v>
      </c>
      <c r="AV88" s="21">
        <v>1661.5</v>
      </c>
      <c r="AW88" s="21">
        <v>1640</v>
      </c>
      <c r="AX88" s="21">
        <v>1677.5</v>
      </c>
      <c r="AY88" s="21">
        <v>1660</v>
      </c>
      <c r="AZ88" s="21">
        <v>1675</v>
      </c>
      <c r="BA88" s="21">
        <v>1669.5</v>
      </c>
      <c r="BB88" s="21">
        <v>1660</v>
      </c>
      <c r="BC88" s="21">
        <v>1740</v>
      </c>
      <c r="BD88" s="21">
        <v>1741.5</v>
      </c>
      <c r="BE88" s="21">
        <v>1730</v>
      </c>
      <c r="BF88" s="21">
        <v>1763</v>
      </c>
      <c r="BG88" s="21">
        <v>1743</v>
      </c>
      <c r="BH88" s="21">
        <v>1789.5</v>
      </c>
      <c r="BI88" s="21">
        <v>1797</v>
      </c>
      <c r="BJ88" s="21">
        <v>1792</v>
      </c>
      <c r="BK88" s="21">
        <v>1801</v>
      </c>
      <c r="BL88" s="21">
        <v>1811.5</v>
      </c>
      <c r="BM88" s="1">
        <v>1789</v>
      </c>
      <c r="BN88" s="1">
        <v>1765.5</v>
      </c>
      <c r="BO88" s="1">
        <v>1782</v>
      </c>
      <c r="BP88" s="1">
        <v>1783.5</v>
      </c>
      <c r="BQ88" s="1">
        <v>1830</v>
      </c>
      <c r="BR88" s="1">
        <v>1819</v>
      </c>
      <c r="BS88" s="1">
        <v>1820</v>
      </c>
      <c r="BT88" s="1">
        <v>1850</v>
      </c>
      <c r="BU88" s="1">
        <v>1893</v>
      </c>
      <c r="BV88" s="1">
        <v>1900</v>
      </c>
      <c r="BW88" s="1">
        <v>1898</v>
      </c>
      <c r="BX88" s="1">
        <v>1900</v>
      </c>
      <c r="BY88" s="1">
        <v>1906.5</v>
      </c>
      <c r="BZ88" s="1">
        <v>1890</v>
      </c>
    </row>
    <row r="89" spans="1:254" ht="15.9" customHeight="1">
      <c r="A89" s="78" t="s">
        <v>173</v>
      </c>
      <c r="B89" s="17" t="s">
        <v>174</v>
      </c>
      <c r="C89" s="543">
        <f>_xll.RssMarket("5892","始値")</f>
        <v>2213</v>
      </c>
      <c r="D89" s="23">
        <f t="shared" si="2"/>
        <v>0</v>
      </c>
      <c r="E89" s="550">
        <v>2213</v>
      </c>
      <c r="F89" s="21">
        <v>2124</v>
      </c>
      <c r="G89" s="21">
        <v>2112</v>
      </c>
      <c r="H89" s="21">
        <v>2128</v>
      </c>
      <c r="I89" s="21">
        <v>2070</v>
      </c>
      <c r="J89" s="21">
        <v>2041</v>
      </c>
      <c r="K89" s="21">
        <v>2020</v>
      </c>
      <c r="L89" s="21">
        <v>2055</v>
      </c>
      <c r="M89" s="21">
        <v>1974</v>
      </c>
      <c r="N89" s="21">
        <v>1980</v>
      </c>
      <c r="O89" s="21">
        <v>2000</v>
      </c>
      <c r="P89" s="21">
        <v>2030</v>
      </c>
      <c r="Q89" s="21">
        <v>2060</v>
      </c>
      <c r="R89" s="21">
        <v>2060</v>
      </c>
      <c r="S89" s="21">
        <v>2100</v>
      </c>
      <c r="T89" s="21">
        <v>2030</v>
      </c>
      <c r="U89" s="21">
        <v>2075</v>
      </c>
      <c r="V89" s="21">
        <v>2062</v>
      </c>
      <c r="W89" s="21">
        <v>2067</v>
      </c>
      <c r="X89" s="21">
        <v>2100</v>
      </c>
      <c r="Y89" s="21">
        <v>2097</v>
      </c>
      <c r="Z89" s="21">
        <v>2144</v>
      </c>
      <c r="AA89" s="21">
        <v>2097</v>
      </c>
      <c r="AB89" s="21">
        <v>2055</v>
      </c>
      <c r="AC89" s="21">
        <v>2066</v>
      </c>
      <c r="AD89" s="21">
        <v>2052</v>
      </c>
      <c r="AE89" s="21">
        <v>2010</v>
      </c>
      <c r="AF89" s="21">
        <v>2000</v>
      </c>
      <c r="AG89" s="21">
        <v>2000</v>
      </c>
      <c r="AH89" s="21">
        <v>2010</v>
      </c>
      <c r="AI89" s="21">
        <v>2065</v>
      </c>
      <c r="AJ89" s="21">
        <v>2031</v>
      </c>
      <c r="AK89" s="21">
        <v>2122</v>
      </c>
      <c r="AL89" s="21">
        <v>2142</v>
      </c>
      <c r="AM89" s="21">
        <v>2046</v>
      </c>
      <c r="AN89" s="21">
        <v>1977</v>
      </c>
      <c r="AO89" s="21">
        <v>2003</v>
      </c>
      <c r="AP89" s="21">
        <v>2121</v>
      </c>
      <c r="AQ89" s="21">
        <v>2160</v>
      </c>
      <c r="AR89" s="21">
        <v>2166</v>
      </c>
      <c r="AS89" s="21">
        <v>2320</v>
      </c>
      <c r="AT89" s="21">
        <v>2231</v>
      </c>
      <c r="AU89" s="21">
        <v>2106</v>
      </c>
      <c r="AV89" s="21">
        <v>2108</v>
      </c>
      <c r="AW89" s="21">
        <v>2152</v>
      </c>
      <c r="AX89" s="21">
        <v>2268</v>
      </c>
      <c r="AY89" s="21">
        <v>2340</v>
      </c>
      <c r="AZ89" s="21">
        <v>2506</v>
      </c>
      <c r="BA89" s="21">
        <v>2476</v>
      </c>
      <c r="BB89" s="21">
        <v>2467</v>
      </c>
      <c r="BC89" s="21">
        <v>2530</v>
      </c>
      <c r="BD89" s="21">
        <v>2649</v>
      </c>
      <c r="BE89" s="21">
        <v>2590</v>
      </c>
      <c r="BF89" s="21">
        <v>2599</v>
      </c>
      <c r="BG89" s="21">
        <v>2384</v>
      </c>
      <c r="BH89" s="21">
        <v>2060</v>
      </c>
      <c r="BI89" s="21">
        <v>1936</v>
      </c>
      <c r="BJ89" s="21">
        <v>1948</v>
      </c>
      <c r="BK89" s="21">
        <v>1970</v>
      </c>
      <c r="BL89" s="21">
        <v>1973</v>
      </c>
      <c r="BM89" s="1">
        <v>1982</v>
      </c>
      <c r="BN89" s="1">
        <v>1950</v>
      </c>
      <c r="BO89" s="1">
        <v>1989</v>
      </c>
      <c r="BP89" s="1">
        <v>2036</v>
      </c>
      <c r="BQ89" s="1">
        <v>2056</v>
      </c>
      <c r="BR89" s="1">
        <v>2100</v>
      </c>
      <c r="BS89" s="1">
        <v>2187</v>
      </c>
      <c r="BT89" s="1">
        <v>2175</v>
      </c>
      <c r="BU89" s="1">
        <v>2225</v>
      </c>
      <c r="BV89" s="1">
        <v>2200</v>
      </c>
      <c r="BW89" s="1">
        <v>2188</v>
      </c>
      <c r="BX89" s="1">
        <v>2235</v>
      </c>
      <c r="BY89" s="1">
        <v>2348</v>
      </c>
      <c r="BZ89" s="1">
        <v>2382</v>
      </c>
    </row>
    <row r="90" spans="1:254" ht="15.9" customHeight="1">
      <c r="A90" s="78" t="s">
        <v>175</v>
      </c>
      <c r="B90" s="17" t="s">
        <v>176</v>
      </c>
      <c r="C90" s="543">
        <f>_xll.RssMarket("6323","始値")</f>
        <v>4293</v>
      </c>
      <c r="D90" s="23">
        <f t="shared" si="2"/>
        <v>0</v>
      </c>
      <c r="E90" s="550">
        <v>4293</v>
      </c>
      <c r="F90" s="21">
        <v>4400</v>
      </c>
      <c r="G90" s="21">
        <v>4045</v>
      </c>
      <c r="H90" s="21">
        <v>3881</v>
      </c>
      <c r="I90" s="21">
        <v>3826</v>
      </c>
      <c r="J90" s="21">
        <v>3435</v>
      </c>
      <c r="K90" s="21">
        <v>3758</v>
      </c>
      <c r="L90" s="21">
        <v>4092</v>
      </c>
      <c r="M90" s="21">
        <v>4449</v>
      </c>
      <c r="N90" s="21">
        <v>4591</v>
      </c>
      <c r="O90" s="21">
        <v>4706</v>
      </c>
      <c r="P90" s="21">
        <v>4600</v>
      </c>
      <c r="Q90" s="21">
        <v>4430</v>
      </c>
      <c r="R90" s="21">
        <v>4340</v>
      </c>
      <c r="S90" s="21">
        <v>4515</v>
      </c>
      <c r="T90" s="21">
        <v>4547</v>
      </c>
      <c r="U90" s="21">
        <v>4585</v>
      </c>
      <c r="V90" s="21">
        <v>4936</v>
      </c>
      <c r="W90" s="21">
        <v>4624</v>
      </c>
      <c r="X90" s="21">
        <v>4270</v>
      </c>
      <c r="Y90" s="21">
        <v>4622</v>
      </c>
      <c r="Z90" s="21">
        <v>4943</v>
      </c>
      <c r="AA90" s="21">
        <v>4398</v>
      </c>
      <c r="AB90" s="21">
        <v>4826</v>
      </c>
      <c r="AC90" s="21">
        <v>4967</v>
      </c>
      <c r="AD90" s="21">
        <v>4650</v>
      </c>
      <c r="AE90" s="21">
        <v>4577</v>
      </c>
      <c r="AF90" s="21">
        <v>4741</v>
      </c>
      <c r="AG90" s="21">
        <v>4663</v>
      </c>
      <c r="AH90" s="21">
        <v>4650</v>
      </c>
      <c r="AI90" s="21">
        <v>5010</v>
      </c>
      <c r="AJ90" s="21">
        <v>4900</v>
      </c>
      <c r="AK90" s="21">
        <v>5030</v>
      </c>
      <c r="AL90" s="21">
        <v>4540</v>
      </c>
      <c r="AM90" s="21">
        <v>4309</v>
      </c>
      <c r="AN90" s="21">
        <v>4482</v>
      </c>
      <c r="AO90" s="21">
        <v>4340</v>
      </c>
      <c r="AP90" s="21">
        <v>4066</v>
      </c>
      <c r="AQ90" s="21">
        <v>3727</v>
      </c>
      <c r="AR90" s="21">
        <v>3812</v>
      </c>
      <c r="AS90" s="21">
        <v>3809</v>
      </c>
      <c r="AT90" s="21">
        <v>4114</v>
      </c>
      <c r="AU90" s="21">
        <v>4216</v>
      </c>
      <c r="AV90" s="21">
        <v>4039</v>
      </c>
      <c r="AW90" s="21">
        <v>3780</v>
      </c>
      <c r="AX90" s="21">
        <v>4050</v>
      </c>
      <c r="AY90" s="21">
        <v>3840</v>
      </c>
      <c r="AZ90" s="21">
        <v>4033</v>
      </c>
      <c r="BA90" s="21">
        <v>4020</v>
      </c>
      <c r="BB90" s="21">
        <v>3822</v>
      </c>
      <c r="BC90" s="21">
        <v>3634</v>
      </c>
      <c r="BD90" s="21">
        <v>3606</v>
      </c>
      <c r="BE90" s="21">
        <v>3668</v>
      </c>
      <c r="BF90" s="21">
        <v>3800</v>
      </c>
      <c r="BG90" s="21">
        <v>4031</v>
      </c>
      <c r="BH90" s="21">
        <v>4080</v>
      </c>
      <c r="BI90" s="21">
        <v>3926</v>
      </c>
      <c r="BJ90" s="21">
        <v>4180</v>
      </c>
      <c r="BK90" s="21">
        <v>3968</v>
      </c>
      <c r="BL90" s="21">
        <v>3860</v>
      </c>
      <c r="BM90" s="1">
        <v>3945</v>
      </c>
      <c r="BN90" s="1">
        <v>3790</v>
      </c>
      <c r="BO90" s="1">
        <v>3790</v>
      </c>
      <c r="BP90" s="1">
        <v>3884</v>
      </c>
      <c r="BQ90" s="1">
        <v>3949</v>
      </c>
      <c r="BR90" s="1">
        <v>3592</v>
      </c>
      <c r="BS90" s="1">
        <v>3700</v>
      </c>
      <c r="BT90" s="1">
        <v>3645</v>
      </c>
      <c r="BU90" s="1">
        <v>3637</v>
      </c>
      <c r="BV90" s="1">
        <v>3720</v>
      </c>
      <c r="BW90" s="1">
        <v>3768</v>
      </c>
      <c r="BX90" s="1">
        <v>3878</v>
      </c>
      <c r="BY90" s="1">
        <v>4005</v>
      </c>
      <c r="BZ90" s="1">
        <v>4088</v>
      </c>
    </row>
    <row r="91" spans="1:254" ht="15.9" customHeight="1">
      <c r="A91" s="78" t="s">
        <v>177</v>
      </c>
      <c r="B91" s="17" t="s">
        <v>178</v>
      </c>
      <c r="C91" s="543">
        <f>_xll.RssMarket("6501","始値")</f>
        <v>5425</v>
      </c>
      <c r="D91" s="23">
        <f t="shared" si="2"/>
        <v>0</v>
      </c>
      <c r="E91" s="550">
        <v>5425</v>
      </c>
      <c r="F91" s="21">
        <v>5425</v>
      </c>
      <c r="G91" s="21">
        <v>5390</v>
      </c>
      <c r="H91" s="21">
        <v>5181</v>
      </c>
      <c r="I91" s="21">
        <v>5299</v>
      </c>
      <c r="J91" s="21">
        <v>5200</v>
      </c>
      <c r="K91" s="21">
        <v>4911</v>
      </c>
      <c r="L91" s="21">
        <v>4923</v>
      </c>
      <c r="M91" s="21">
        <v>4920</v>
      </c>
      <c r="N91" s="21">
        <v>4840</v>
      </c>
      <c r="O91" s="21">
        <v>4827</v>
      </c>
      <c r="P91" s="21">
        <v>4789</v>
      </c>
      <c r="Q91" s="21">
        <v>4696</v>
      </c>
      <c r="R91" s="21">
        <v>4688</v>
      </c>
      <c r="S91" s="21">
        <v>4795</v>
      </c>
      <c r="T91" s="21">
        <v>4724</v>
      </c>
      <c r="U91" s="21">
        <v>4700</v>
      </c>
      <c r="V91" s="21">
        <v>4725</v>
      </c>
      <c r="W91" s="21">
        <v>4750</v>
      </c>
      <c r="X91" s="21">
        <v>4872</v>
      </c>
      <c r="Y91" s="21">
        <v>4822</v>
      </c>
      <c r="Z91" s="21">
        <v>4699</v>
      </c>
      <c r="AA91" s="21">
        <v>4711</v>
      </c>
      <c r="AB91" s="21">
        <v>4595</v>
      </c>
      <c r="AC91" s="21">
        <v>4550</v>
      </c>
      <c r="AD91" s="21">
        <v>4494</v>
      </c>
      <c r="AE91" s="21">
        <v>4530</v>
      </c>
      <c r="AF91" s="21">
        <v>4484</v>
      </c>
      <c r="AG91" s="21">
        <v>4714</v>
      </c>
      <c r="AH91" s="21">
        <v>4719</v>
      </c>
      <c r="AI91" s="21">
        <v>4930</v>
      </c>
      <c r="AJ91" s="21">
        <v>4702</v>
      </c>
      <c r="AK91" s="21">
        <v>4805</v>
      </c>
      <c r="AL91" s="21">
        <v>4680</v>
      </c>
      <c r="AM91" s="21">
        <v>4692</v>
      </c>
      <c r="AN91" s="21">
        <v>4741</v>
      </c>
      <c r="AO91" s="21">
        <v>4704</v>
      </c>
      <c r="AP91" s="21">
        <v>4682</v>
      </c>
      <c r="AQ91" s="21">
        <v>4641</v>
      </c>
      <c r="AR91" s="21">
        <v>4906</v>
      </c>
      <c r="AS91" s="21">
        <v>5095</v>
      </c>
      <c r="AT91" s="21">
        <v>5146</v>
      </c>
      <c r="AU91" s="21">
        <v>5180</v>
      </c>
      <c r="AV91" s="21">
        <v>5139</v>
      </c>
      <c r="AW91" s="21">
        <v>5126</v>
      </c>
      <c r="AX91" s="21">
        <v>5374</v>
      </c>
      <c r="AY91" s="21">
        <v>4963</v>
      </c>
      <c r="AZ91" s="21">
        <v>5100</v>
      </c>
      <c r="BA91" s="21">
        <v>5050</v>
      </c>
      <c r="BB91" s="21">
        <v>5105</v>
      </c>
      <c r="BC91" s="21">
        <v>4907</v>
      </c>
      <c r="BD91" s="21">
        <v>4883</v>
      </c>
      <c r="BE91" s="21">
        <v>4900</v>
      </c>
      <c r="BF91" s="21">
        <v>4755</v>
      </c>
      <c r="BG91" s="21">
        <v>4690</v>
      </c>
      <c r="BH91" s="21">
        <v>4700</v>
      </c>
      <c r="BI91" s="21">
        <v>4775</v>
      </c>
      <c r="BJ91" s="21">
        <v>4892</v>
      </c>
      <c r="BK91" s="21">
        <v>4920</v>
      </c>
      <c r="BL91" s="21">
        <v>4844</v>
      </c>
      <c r="BM91" s="1">
        <v>4900</v>
      </c>
      <c r="BN91" s="1">
        <v>4800</v>
      </c>
      <c r="BO91" s="1">
        <v>4947</v>
      </c>
      <c r="BP91" s="1">
        <v>5200</v>
      </c>
      <c r="BQ91" s="1">
        <v>5333</v>
      </c>
      <c r="BR91" s="1">
        <v>5230</v>
      </c>
      <c r="BS91" s="1">
        <v>5185</v>
      </c>
      <c r="BT91" s="1">
        <v>5129</v>
      </c>
      <c r="BU91" s="1">
        <v>5110</v>
      </c>
      <c r="BV91" s="1">
        <v>5193</v>
      </c>
      <c r="BW91" s="1">
        <v>5167</v>
      </c>
      <c r="BX91" s="1">
        <v>5210</v>
      </c>
      <c r="BY91" s="1">
        <v>5060</v>
      </c>
      <c r="BZ91" s="1">
        <v>4930</v>
      </c>
    </row>
    <row r="92" spans="1:254" ht="15.9" customHeight="1">
      <c r="A92" s="78" t="s">
        <v>179</v>
      </c>
      <c r="B92" s="17" t="s">
        <v>180</v>
      </c>
      <c r="C92" s="543">
        <f>_xll.RssMarket("6134","始値")</f>
        <v>8280</v>
      </c>
      <c r="D92" s="23">
        <f t="shared" si="2"/>
        <v>0</v>
      </c>
      <c r="E92" s="550">
        <v>8280</v>
      </c>
      <c r="F92" s="21">
        <v>8131</v>
      </c>
      <c r="G92" s="21">
        <v>8490</v>
      </c>
      <c r="H92" s="70">
        <v>7184</v>
      </c>
      <c r="I92" s="21">
        <v>7247</v>
      </c>
      <c r="J92" s="21">
        <v>6437</v>
      </c>
      <c r="K92" s="21">
        <v>6890</v>
      </c>
      <c r="L92" s="21">
        <v>7255</v>
      </c>
      <c r="M92" s="21">
        <v>7476</v>
      </c>
      <c r="N92" s="21">
        <v>7461</v>
      </c>
      <c r="O92" s="21">
        <v>7560</v>
      </c>
      <c r="P92" s="21">
        <v>7662</v>
      </c>
      <c r="Q92" s="21">
        <v>7363</v>
      </c>
      <c r="R92" s="21">
        <v>7400</v>
      </c>
      <c r="S92" s="21">
        <v>7809</v>
      </c>
      <c r="T92" s="21">
        <v>7650</v>
      </c>
      <c r="U92" s="21">
        <v>8190</v>
      </c>
      <c r="V92" s="21">
        <v>8070</v>
      </c>
      <c r="W92" s="21">
        <v>7740</v>
      </c>
      <c r="X92" s="21">
        <v>7623</v>
      </c>
      <c r="Y92" s="21">
        <v>8500</v>
      </c>
      <c r="Z92" s="21">
        <v>8885</v>
      </c>
      <c r="AA92" s="21">
        <v>8150</v>
      </c>
      <c r="AB92" s="21">
        <v>8482</v>
      </c>
      <c r="AC92" s="21">
        <v>8681</v>
      </c>
      <c r="AD92" s="21">
        <v>8119</v>
      </c>
      <c r="AE92" s="21">
        <v>7960</v>
      </c>
      <c r="AF92" s="21">
        <v>8410</v>
      </c>
      <c r="AG92" s="21">
        <v>8441</v>
      </c>
      <c r="AH92" s="21">
        <v>8141</v>
      </c>
      <c r="AI92" s="21">
        <v>8468</v>
      </c>
      <c r="AJ92" s="21">
        <v>8510</v>
      </c>
      <c r="AK92" s="21">
        <v>8737</v>
      </c>
      <c r="AL92" s="21">
        <v>8560</v>
      </c>
      <c r="AM92" s="21">
        <v>8217</v>
      </c>
      <c r="AN92" s="21">
        <v>8300</v>
      </c>
      <c r="AO92" s="21">
        <v>7942</v>
      </c>
      <c r="AP92" s="21">
        <v>7564</v>
      </c>
      <c r="AQ92" s="21">
        <v>6905</v>
      </c>
      <c r="AR92" s="21">
        <v>7255</v>
      </c>
      <c r="AS92" s="21">
        <v>6886</v>
      </c>
      <c r="AT92" s="21">
        <v>7644</v>
      </c>
      <c r="AU92" s="21">
        <v>7690</v>
      </c>
      <c r="AV92" s="21">
        <v>8065</v>
      </c>
      <c r="AW92" s="21">
        <v>8046</v>
      </c>
      <c r="AX92" s="21">
        <v>8007</v>
      </c>
      <c r="AY92" s="21">
        <v>7813</v>
      </c>
      <c r="AZ92" s="21">
        <v>8386</v>
      </c>
      <c r="BA92" s="21">
        <v>8068</v>
      </c>
      <c r="BB92" s="21">
        <v>7735</v>
      </c>
      <c r="BC92" s="21">
        <v>7820</v>
      </c>
      <c r="BD92" s="21">
        <v>7441</v>
      </c>
      <c r="BE92" s="21">
        <v>7808</v>
      </c>
      <c r="BF92" s="21">
        <v>8143</v>
      </c>
      <c r="BG92" s="21">
        <v>8701</v>
      </c>
      <c r="BH92" s="21">
        <v>7088</v>
      </c>
      <c r="BI92" s="21">
        <v>6800</v>
      </c>
      <c r="BJ92" s="21">
        <v>6776</v>
      </c>
      <c r="BK92" s="21">
        <v>6715</v>
      </c>
      <c r="BL92" s="21">
        <v>6232</v>
      </c>
      <c r="BM92" s="1">
        <v>6200</v>
      </c>
      <c r="BN92" s="1">
        <v>6068</v>
      </c>
      <c r="BO92" s="1">
        <v>5881</v>
      </c>
      <c r="BP92" s="1">
        <v>5986</v>
      </c>
      <c r="BQ92" s="1">
        <v>5960</v>
      </c>
      <c r="BR92" s="1">
        <v>5772</v>
      </c>
      <c r="BS92" s="1">
        <v>5902</v>
      </c>
      <c r="BT92" s="1">
        <v>5961</v>
      </c>
      <c r="BU92" s="1">
        <v>5880</v>
      </c>
      <c r="BV92" s="1">
        <v>5744</v>
      </c>
      <c r="BW92" s="1">
        <v>5802</v>
      </c>
      <c r="BX92" s="1">
        <v>5798</v>
      </c>
      <c r="BY92" s="1">
        <v>5819</v>
      </c>
      <c r="BZ92" s="1">
        <v>5667</v>
      </c>
    </row>
    <row r="93" spans="1:254" ht="15.9" customHeight="1">
      <c r="A93" s="78" t="s">
        <v>181</v>
      </c>
      <c r="B93" s="17" t="s">
        <v>182</v>
      </c>
      <c r="C93" s="543">
        <f>_xll.RssMarket("7746","始値")</f>
        <v>737</v>
      </c>
      <c r="D93" s="23">
        <f t="shared" si="2"/>
        <v>0</v>
      </c>
      <c r="E93" s="550">
        <v>737</v>
      </c>
      <c r="F93" s="21">
        <v>733</v>
      </c>
      <c r="G93" s="21">
        <v>721</v>
      </c>
      <c r="H93" s="70">
        <v>715</v>
      </c>
      <c r="I93" s="21">
        <v>714</v>
      </c>
      <c r="J93" s="21">
        <v>720</v>
      </c>
      <c r="K93" s="21">
        <v>732</v>
      </c>
      <c r="L93" s="21">
        <v>761</v>
      </c>
      <c r="M93" s="21">
        <v>781</v>
      </c>
      <c r="N93" s="21">
        <v>760</v>
      </c>
      <c r="O93" s="21">
        <v>759</v>
      </c>
      <c r="P93" s="21">
        <v>778</v>
      </c>
      <c r="Q93" s="21">
        <v>740</v>
      </c>
      <c r="R93" s="21">
        <v>772</v>
      </c>
      <c r="S93" s="21">
        <v>792</v>
      </c>
      <c r="T93" s="21">
        <v>790</v>
      </c>
      <c r="U93" s="21">
        <v>780</v>
      </c>
      <c r="V93" s="21">
        <v>774</v>
      </c>
      <c r="W93" s="21">
        <v>786</v>
      </c>
      <c r="X93" s="21">
        <v>808</v>
      </c>
      <c r="Y93" s="21">
        <v>849</v>
      </c>
      <c r="Z93" s="21">
        <v>854</v>
      </c>
      <c r="AA93" s="21">
        <v>854</v>
      </c>
      <c r="AB93" s="21">
        <v>891</v>
      </c>
      <c r="AC93" s="21">
        <v>912</v>
      </c>
      <c r="AD93" s="21">
        <v>930</v>
      </c>
      <c r="AE93" s="21">
        <v>856</v>
      </c>
      <c r="AF93" s="21">
        <v>779</v>
      </c>
      <c r="AG93" s="21">
        <v>764</v>
      </c>
      <c r="AH93" s="21">
        <v>753</v>
      </c>
      <c r="AI93" s="21">
        <v>798</v>
      </c>
      <c r="AJ93" s="21">
        <v>796</v>
      </c>
      <c r="AK93" s="21">
        <v>815</v>
      </c>
      <c r="AL93" s="21">
        <v>826</v>
      </c>
      <c r="AM93" s="21">
        <v>852</v>
      </c>
      <c r="AN93" s="21">
        <v>738</v>
      </c>
      <c r="AO93" s="21">
        <v>737</v>
      </c>
      <c r="AP93" s="21">
        <v>725</v>
      </c>
      <c r="AQ93" s="21">
        <v>673</v>
      </c>
      <c r="AR93" s="21">
        <v>725</v>
      </c>
      <c r="AS93" s="21">
        <v>754</v>
      </c>
      <c r="AT93" s="21">
        <v>751</v>
      </c>
      <c r="AU93" s="21">
        <v>782</v>
      </c>
      <c r="AV93" s="21">
        <v>763</v>
      </c>
      <c r="AW93" s="21">
        <v>795</v>
      </c>
      <c r="AX93" s="21">
        <v>843</v>
      </c>
      <c r="AY93" s="21">
        <v>844</v>
      </c>
      <c r="AZ93" s="21">
        <v>862</v>
      </c>
      <c r="BA93" s="21">
        <v>920</v>
      </c>
      <c r="BB93" s="21">
        <v>884</v>
      </c>
      <c r="BC93" s="21">
        <v>1034</v>
      </c>
      <c r="BD93" s="21">
        <v>1000</v>
      </c>
      <c r="BE93" s="21">
        <v>1000</v>
      </c>
      <c r="BF93" s="21">
        <v>859</v>
      </c>
      <c r="BG93" s="21">
        <v>758</v>
      </c>
      <c r="BH93" s="21">
        <v>808</v>
      </c>
      <c r="BI93" s="21">
        <v>761</v>
      </c>
      <c r="BJ93" s="21">
        <v>816</v>
      </c>
      <c r="BK93" s="21">
        <v>877</v>
      </c>
      <c r="BL93" s="21">
        <v>840</v>
      </c>
      <c r="BM93" s="1">
        <v>845</v>
      </c>
      <c r="BN93" s="1">
        <v>840</v>
      </c>
      <c r="BO93" s="1">
        <v>921</v>
      </c>
      <c r="BP93" s="1">
        <v>938</v>
      </c>
      <c r="BQ93" s="1">
        <v>951</v>
      </c>
      <c r="BR93" s="1">
        <v>972</v>
      </c>
      <c r="BS93" s="1">
        <v>1018</v>
      </c>
      <c r="BT93" s="1">
        <v>996</v>
      </c>
      <c r="BU93" s="1">
        <v>1038</v>
      </c>
      <c r="BV93" s="1">
        <v>955</v>
      </c>
      <c r="BW93" s="1">
        <v>961</v>
      </c>
      <c r="BX93" s="1">
        <v>1000</v>
      </c>
      <c r="BY93" s="1">
        <v>983</v>
      </c>
      <c r="BZ93" s="1">
        <v>990</v>
      </c>
    </row>
    <row r="94" spans="1:254" ht="15.9" customHeight="1">
      <c r="A94" s="78" t="s">
        <v>183</v>
      </c>
      <c r="B94" s="17" t="s">
        <v>184</v>
      </c>
      <c r="C94" s="543">
        <f>_xll.RssMarket("3407","始値")</f>
        <v>1643</v>
      </c>
      <c r="D94" s="23">
        <f t="shared" si="2"/>
        <v>0</v>
      </c>
      <c r="E94" s="550">
        <v>1643</v>
      </c>
      <c r="F94" s="21">
        <v>1610</v>
      </c>
      <c r="G94" s="21">
        <v>1625</v>
      </c>
      <c r="H94" s="70">
        <v>1686</v>
      </c>
      <c r="I94" s="21">
        <v>1810</v>
      </c>
      <c r="J94" s="21">
        <v>1801</v>
      </c>
      <c r="K94" s="21">
        <v>1820</v>
      </c>
      <c r="L94" s="21">
        <v>1835</v>
      </c>
      <c r="M94" s="21">
        <v>1852.5</v>
      </c>
      <c r="N94" s="21">
        <v>1839.5</v>
      </c>
      <c r="O94" s="21">
        <v>1846</v>
      </c>
      <c r="P94" s="21">
        <v>1872</v>
      </c>
      <c r="Q94" s="21">
        <v>1846</v>
      </c>
      <c r="R94" s="21">
        <v>1855.5</v>
      </c>
      <c r="S94" s="21">
        <v>1900</v>
      </c>
      <c r="T94" s="21">
        <v>1834</v>
      </c>
      <c r="U94" s="21">
        <v>1859</v>
      </c>
      <c r="V94" s="21">
        <v>1859</v>
      </c>
      <c r="W94" s="21">
        <v>1840</v>
      </c>
      <c r="X94" s="21">
        <v>1853.5</v>
      </c>
      <c r="Y94" s="21">
        <v>1899</v>
      </c>
      <c r="Z94" s="21">
        <v>1855</v>
      </c>
      <c r="AA94" s="21">
        <v>1798</v>
      </c>
      <c r="AB94" s="21">
        <v>1781.5</v>
      </c>
      <c r="AC94" s="21">
        <v>1795</v>
      </c>
      <c r="AD94" s="21">
        <v>1796</v>
      </c>
      <c r="AE94" s="21">
        <v>1807</v>
      </c>
      <c r="AF94" s="21">
        <v>1804.5</v>
      </c>
      <c r="AG94" s="21">
        <v>1826</v>
      </c>
      <c r="AH94" s="21">
        <v>1768</v>
      </c>
      <c r="AI94" s="21">
        <v>1821</v>
      </c>
      <c r="AJ94" s="21">
        <v>1834.5</v>
      </c>
      <c r="AK94" s="21">
        <v>1794</v>
      </c>
      <c r="AL94" s="21">
        <v>1800</v>
      </c>
      <c r="AM94" s="21">
        <v>1765</v>
      </c>
      <c r="AN94" s="21">
        <v>1744</v>
      </c>
      <c r="AO94" s="21">
        <v>1818</v>
      </c>
      <c r="AP94" s="21">
        <v>1800</v>
      </c>
      <c r="AQ94" s="21">
        <v>1721</v>
      </c>
      <c r="AR94" s="21">
        <v>1735</v>
      </c>
      <c r="AS94" s="21">
        <v>1781</v>
      </c>
      <c r="AT94" s="21">
        <v>1777</v>
      </c>
      <c r="AU94" s="21">
        <v>1750</v>
      </c>
      <c r="AV94" s="21">
        <v>1757.5</v>
      </c>
      <c r="AW94" s="21">
        <v>1770.5</v>
      </c>
      <c r="AX94" s="21">
        <v>1767.5</v>
      </c>
      <c r="AY94" s="21">
        <v>1718</v>
      </c>
      <c r="AZ94" s="21">
        <v>1750</v>
      </c>
      <c r="BA94" s="21">
        <v>1766</v>
      </c>
      <c r="BB94" s="21">
        <v>1710</v>
      </c>
      <c r="BC94" s="21">
        <v>1694.5</v>
      </c>
      <c r="BD94" s="21">
        <v>1696</v>
      </c>
      <c r="BE94" s="21">
        <v>1700</v>
      </c>
      <c r="BF94" s="21">
        <v>1706</v>
      </c>
      <c r="BG94" s="21">
        <v>1732</v>
      </c>
      <c r="BH94" s="21">
        <v>1750</v>
      </c>
      <c r="BI94" s="21">
        <v>1655</v>
      </c>
      <c r="BJ94" s="21">
        <v>1548</v>
      </c>
      <c r="BK94" s="21">
        <v>1522</v>
      </c>
      <c r="BL94" s="21">
        <v>1539</v>
      </c>
      <c r="BM94" s="1">
        <v>1564.5</v>
      </c>
      <c r="BN94" s="1">
        <v>1516</v>
      </c>
      <c r="BO94" s="1">
        <v>1533.5</v>
      </c>
      <c r="BP94" s="1">
        <v>1535</v>
      </c>
      <c r="BQ94" s="1">
        <v>1520</v>
      </c>
      <c r="BR94" s="1">
        <v>1535</v>
      </c>
      <c r="BS94" s="1">
        <v>1513.5</v>
      </c>
      <c r="BT94" s="1">
        <v>1551</v>
      </c>
      <c r="BU94" s="1">
        <v>1564</v>
      </c>
      <c r="BV94" s="1">
        <v>1598</v>
      </c>
      <c r="BW94" s="1">
        <v>1611.5</v>
      </c>
      <c r="BX94" s="1">
        <v>1561</v>
      </c>
      <c r="BY94" s="1">
        <v>1607.5</v>
      </c>
      <c r="BZ94" s="1">
        <v>1629</v>
      </c>
    </row>
    <row r="95" spans="1:254" ht="15.9" customHeight="1">
      <c r="A95" s="78" t="s">
        <v>185</v>
      </c>
      <c r="B95" s="17" t="s">
        <v>186</v>
      </c>
      <c r="C95" s="543">
        <f>_xll.RssMarket("4008","始値")</f>
        <v>1260</v>
      </c>
      <c r="D95" s="23">
        <f t="shared" si="2"/>
        <v>0</v>
      </c>
      <c r="E95" s="550">
        <v>1260</v>
      </c>
      <c r="F95" s="21">
        <v>1248</v>
      </c>
      <c r="G95" s="21">
        <v>1218</v>
      </c>
      <c r="H95" s="70">
        <v>1224</v>
      </c>
      <c r="I95" s="21">
        <v>1246</v>
      </c>
      <c r="J95" s="21">
        <v>1216</v>
      </c>
      <c r="K95" s="21">
        <v>1247</v>
      </c>
      <c r="L95" s="21">
        <v>1278</v>
      </c>
      <c r="M95" s="21">
        <v>1294</v>
      </c>
      <c r="N95" s="21"/>
      <c r="O95" s="21">
        <v>1297</v>
      </c>
      <c r="P95" s="21">
        <v>1300</v>
      </c>
      <c r="Q95" s="21">
        <v>1275</v>
      </c>
      <c r="R95" s="21">
        <v>1265</v>
      </c>
      <c r="S95" s="21">
        <v>1293</v>
      </c>
      <c r="T95" s="21">
        <v>1265</v>
      </c>
      <c r="U95" s="21">
        <v>1281</v>
      </c>
      <c r="V95" s="21">
        <v>1295</v>
      </c>
      <c r="W95" s="21">
        <v>1300</v>
      </c>
      <c r="X95" s="21">
        <v>1313</v>
      </c>
      <c r="Y95" s="21">
        <v>1350</v>
      </c>
      <c r="Z95" s="21">
        <v>1384</v>
      </c>
      <c r="AA95" s="21">
        <v>1307</v>
      </c>
      <c r="AB95" s="21">
        <v>1295</v>
      </c>
      <c r="AC95" s="21">
        <v>1275</v>
      </c>
      <c r="AD95" s="21">
        <v>1296</v>
      </c>
      <c r="AE95" s="21">
        <v>1287</v>
      </c>
      <c r="AF95" s="21">
        <v>1293</v>
      </c>
      <c r="AG95" s="21">
        <v>1297</v>
      </c>
      <c r="AH95" s="21">
        <v>1280</v>
      </c>
      <c r="AI95" s="21">
        <v>1326</v>
      </c>
      <c r="AJ95" s="21">
        <v>1327</v>
      </c>
      <c r="AK95" s="21">
        <v>1335</v>
      </c>
      <c r="AL95" s="21">
        <v>1318</v>
      </c>
      <c r="AM95" s="21">
        <v>1322</v>
      </c>
      <c r="AN95" s="21">
        <v>1321</v>
      </c>
      <c r="AO95" s="21">
        <v>1305</v>
      </c>
      <c r="AP95" s="21">
        <v>1284</v>
      </c>
      <c r="AQ95" s="21">
        <v>1250</v>
      </c>
      <c r="AR95" s="21">
        <v>1279</v>
      </c>
      <c r="AS95" s="21">
        <v>1249</v>
      </c>
      <c r="AT95" s="21">
        <v>1282</v>
      </c>
      <c r="AU95" s="21">
        <v>1300</v>
      </c>
      <c r="AV95" s="21">
        <v>1310</v>
      </c>
      <c r="AW95" s="21">
        <v>1261</v>
      </c>
      <c r="AX95" s="21">
        <v>1333</v>
      </c>
      <c r="AY95" s="21">
        <v>1319</v>
      </c>
      <c r="AZ95" s="21">
        <v>1284</v>
      </c>
      <c r="BA95" s="21">
        <v>1277</v>
      </c>
      <c r="BB95" s="21">
        <v>1240</v>
      </c>
      <c r="BC95" s="21">
        <v>1231</v>
      </c>
      <c r="BD95" s="21">
        <v>1223</v>
      </c>
      <c r="BE95" s="21">
        <v>1250</v>
      </c>
      <c r="BF95" s="21">
        <v>1268</v>
      </c>
      <c r="BG95" s="21">
        <v>1238</v>
      </c>
      <c r="BH95" s="21">
        <v>1247</v>
      </c>
      <c r="BI95" s="21">
        <v>1218</v>
      </c>
      <c r="BJ95" s="21">
        <v>1195</v>
      </c>
      <c r="BK95" s="21">
        <v>1217</v>
      </c>
      <c r="BL95" s="21">
        <v>1210</v>
      </c>
      <c r="BM95" s="1">
        <v>1208</v>
      </c>
      <c r="BN95" s="1">
        <v>1190</v>
      </c>
      <c r="BO95" s="1">
        <v>1185</v>
      </c>
      <c r="BP95" s="1">
        <v>1194</v>
      </c>
      <c r="BQ95" s="1">
        <v>1191</v>
      </c>
      <c r="BR95" s="1">
        <v>1208</v>
      </c>
      <c r="BS95" s="1">
        <v>1195</v>
      </c>
      <c r="BT95" s="1">
        <v>1236</v>
      </c>
      <c r="BU95" s="1">
        <v>1267</v>
      </c>
      <c r="BV95" s="1">
        <v>1275</v>
      </c>
      <c r="BW95" s="1">
        <v>1279</v>
      </c>
      <c r="BX95" s="1">
        <v>1280</v>
      </c>
      <c r="BY95" s="1">
        <v>1280</v>
      </c>
      <c r="BZ95" s="1">
        <v>1257</v>
      </c>
    </row>
    <row r="96" spans="1:254" ht="15.9" customHeight="1">
      <c r="A96" s="78" t="s">
        <v>187</v>
      </c>
      <c r="B96" s="17" t="s">
        <v>188</v>
      </c>
      <c r="C96" s="543">
        <f>_xll.RssMarket("4062","始値")</f>
        <v>19980</v>
      </c>
      <c r="D96" s="23">
        <f t="shared" si="2"/>
        <v>0</v>
      </c>
      <c r="E96" s="550">
        <v>19980</v>
      </c>
      <c r="F96" s="21">
        <v>19930</v>
      </c>
      <c r="G96" s="21">
        <v>16000</v>
      </c>
      <c r="H96" s="70">
        <v>15850</v>
      </c>
      <c r="I96" s="21">
        <v>16650</v>
      </c>
      <c r="J96" s="21">
        <v>13475</v>
      </c>
      <c r="K96" s="21">
        <v>15155</v>
      </c>
      <c r="L96" s="21">
        <v>15400</v>
      </c>
      <c r="M96" s="21">
        <v>17320</v>
      </c>
      <c r="N96" s="21">
        <v>18000</v>
      </c>
      <c r="O96" s="21">
        <v>18650</v>
      </c>
      <c r="P96" s="21">
        <v>19815</v>
      </c>
      <c r="Q96" s="21">
        <v>16470</v>
      </c>
      <c r="R96" s="21">
        <v>16605</v>
      </c>
      <c r="S96" s="21">
        <v>18070</v>
      </c>
      <c r="T96" s="21">
        <v>18290</v>
      </c>
      <c r="U96" s="21">
        <v>19885</v>
      </c>
      <c r="V96" s="21">
        <v>20205</v>
      </c>
      <c r="W96" s="21">
        <v>19900</v>
      </c>
      <c r="X96" s="21">
        <v>19095</v>
      </c>
      <c r="Y96" s="21">
        <v>21180</v>
      </c>
      <c r="Z96" s="21">
        <v>23350</v>
      </c>
      <c r="AA96" s="21">
        <v>21920</v>
      </c>
      <c r="AB96" s="21">
        <v>24055</v>
      </c>
      <c r="AC96" s="21">
        <v>26000</v>
      </c>
      <c r="AD96" s="21">
        <v>24200</v>
      </c>
      <c r="AE96" s="21">
        <v>24000</v>
      </c>
      <c r="AF96" s="21">
        <v>25370</v>
      </c>
      <c r="AG96" s="21">
        <v>25805</v>
      </c>
      <c r="AH96" s="21">
        <v>24100</v>
      </c>
      <c r="AI96" s="21">
        <v>26500</v>
      </c>
      <c r="AJ96" s="21">
        <v>24335</v>
      </c>
      <c r="AK96" s="21">
        <v>27005</v>
      </c>
      <c r="AL96" s="21">
        <v>24480</v>
      </c>
      <c r="AM96" s="21">
        <v>21945</v>
      </c>
      <c r="AN96" s="21">
        <v>22600</v>
      </c>
      <c r="AO96" s="21">
        <v>20805</v>
      </c>
      <c r="AP96" s="21">
        <v>19770</v>
      </c>
      <c r="AQ96" s="21">
        <v>16520</v>
      </c>
      <c r="AR96" s="21">
        <v>17795</v>
      </c>
      <c r="AS96" s="21">
        <v>16800</v>
      </c>
      <c r="AT96" s="21">
        <v>18510</v>
      </c>
      <c r="AU96" s="21">
        <v>21440</v>
      </c>
      <c r="AV96" s="21">
        <v>21450</v>
      </c>
      <c r="AW96" s="21">
        <v>21795</v>
      </c>
      <c r="AX96" s="21">
        <v>20000</v>
      </c>
      <c r="AY96" s="21">
        <v>19925</v>
      </c>
      <c r="AZ96" s="21">
        <v>21255</v>
      </c>
      <c r="BA96" s="21">
        <v>19650</v>
      </c>
      <c r="BB96" s="21">
        <v>18005</v>
      </c>
      <c r="BC96" s="21">
        <v>17200</v>
      </c>
      <c r="BD96" s="21">
        <v>15030</v>
      </c>
      <c r="BE96" s="21">
        <v>15300</v>
      </c>
      <c r="BF96" s="21">
        <v>15550</v>
      </c>
      <c r="BG96" s="21">
        <v>17280</v>
      </c>
      <c r="BH96" s="21">
        <v>16890</v>
      </c>
      <c r="BI96" s="21">
        <v>15880</v>
      </c>
      <c r="BJ96" s="21">
        <v>15700</v>
      </c>
      <c r="BK96" s="21">
        <v>16000</v>
      </c>
      <c r="BL96" s="21">
        <v>15575</v>
      </c>
      <c r="BM96" s="1">
        <v>15160</v>
      </c>
      <c r="BN96" s="1">
        <v>13245</v>
      </c>
      <c r="BO96" s="1">
        <v>13205</v>
      </c>
      <c r="BP96" s="1">
        <v>12700</v>
      </c>
      <c r="BQ96" s="1">
        <v>12840</v>
      </c>
      <c r="BR96" s="1">
        <v>12335</v>
      </c>
      <c r="BS96" s="1">
        <v>11310</v>
      </c>
      <c r="BT96" s="1">
        <v>10500</v>
      </c>
      <c r="BU96" s="1">
        <v>9800</v>
      </c>
      <c r="BV96" s="1">
        <v>9147</v>
      </c>
      <c r="BW96" s="1">
        <v>9468</v>
      </c>
      <c r="BX96" s="1">
        <v>9490</v>
      </c>
      <c r="BY96" s="1">
        <v>10080</v>
      </c>
      <c r="BZ96" s="1">
        <v>9707</v>
      </c>
    </row>
    <row r="97" spans="1:254" ht="15.9" customHeight="1">
      <c r="A97" s="78" t="s">
        <v>189</v>
      </c>
      <c r="B97" s="17" t="s">
        <v>190</v>
      </c>
      <c r="C97" s="543">
        <f>_xll.RssMarket("4182","始値")</f>
        <v>4652</v>
      </c>
      <c r="D97" s="23">
        <f t="shared" si="2"/>
        <v>0</v>
      </c>
      <c r="E97" s="550">
        <v>4652</v>
      </c>
      <c r="F97" s="21">
        <v>4590</v>
      </c>
      <c r="G97" s="21">
        <v>4201</v>
      </c>
      <c r="H97" s="70">
        <v>4131</v>
      </c>
      <c r="I97" s="21">
        <v>4426</v>
      </c>
      <c r="J97" s="21">
        <v>3751</v>
      </c>
      <c r="K97" s="21">
        <v>3988</v>
      </c>
      <c r="L97" s="21">
        <v>4200</v>
      </c>
      <c r="M97" s="21">
        <v>4422</v>
      </c>
      <c r="N97" s="21">
        <v>4501</v>
      </c>
      <c r="O97" s="21">
        <v>4564</v>
      </c>
      <c r="P97" s="21">
        <v>4640</v>
      </c>
      <c r="Q97" s="21">
        <v>4374</v>
      </c>
      <c r="R97" s="21">
        <v>4460</v>
      </c>
      <c r="S97" s="21">
        <v>4703</v>
      </c>
      <c r="T97" s="21">
        <v>4500</v>
      </c>
      <c r="U97" s="21">
        <v>4745</v>
      </c>
      <c r="V97" s="21">
        <v>4787</v>
      </c>
      <c r="W97" s="21">
        <v>4636</v>
      </c>
      <c r="X97" s="21">
        <v>4564</v>
      </c>
      <c r="Y97" s="21">
        <v>4840</v>
      </c>
      <c r="Z97" s="21">
        <v>4983</v>
      </c>
      <c r="AA97" s="21">
        <v>4675</v>
      </c>
      <c r="AB97" s="21">
        <v>4990</v>
      </c>
      <c r="AC97" s="21">
        <v>5200</v>
      </c>
      <c r="AD97" s="21">
        <v>5140</v>
      </c>
      <c r="AE97" s="21">
        <v>5095</v>
      </c>
      <c r="AF97" s="21">
        <v>5286</v>
      </c>
      <c r="AG97" s="21">
        <v>5365</v>
      </c>
      <c r="AH97" s="21">
        <v>5244</v>
      </c>
      <c r="AI97" s="21">
        <v>5699</v>
      </c>
      <c r="AJ97" s="21">
        <v>5420</v>
      </c>
      <c r="AK97" s="21">
        <v>5450</v>
      </c>
      <c r="AL97" s="21">
        <v>5300</v>
      </c>
      <c r="AM97" s="21">
        <v>5000</v>
      </c>
      <c r="AN97" s="21">
        <v>5020</v>
      </c>
      <c r="AO97" s="21">
        <v>4973</v>
      </c>
      <c r="AP97" s="21">
        <v>4750</v>
      </c>
      <c r="AQ97" s="21">
        <v>4216</v>
      </c>
      <c r="AR97" s="21">
        <v>4580</v>
      </c>
      <c r="AS97" s="21">
        <v>4700</v>
      </c>
      <c r="AT97" s="21">
        <v>4999</v>
      </c>
      <c r="AU97" s="21">
        <v>5282</v>
      </c>
      <c r="AV97" s="21">
        <v>5450</v>
      </c>
      <c r="AW97" s="21">
        <v>5371</v>
      </c>
      <c r="AX97" s="21">
        <v>5520</v>
      </c>
      <c r="AY97" s="21">
        <v>5337</v>
      </c>
      <c r="AZ97" s="21">
        <v>5500</v>
      </c>
      <c r="BA97" s="21">
        <v>5250</v>
      </c>
      <c r="BB97" s="21">
        <v>4966</v>
      </c>
      <c r="BC97" s="21">
        <v>4823</v>
      </c>
      <c r="BD97" s="21">
        <v>4535</v>
      </c>
      <c r="BE97" s="21">
        <v>4630</v>
      </c>
      <c r="BF97" s="21">
        <v>4571</v>
      </c>
      <c r="BG97" s="21">
        <v>4902</v>
      </c>
      <c r="BH97" s="21">
        <v>4800</v>
      </c>
      <c r="BI97" s="21">
        <v>4740</v>
      </c>
      <c r="BJ97" s="21">
        <v>4877</v>
      </c>
      <c r="BK97" s="21">
        <v>4650</v>
      </c>
      <c r="BL97" s="21">
        <v>4600</v>
      </c>
      <c r="BM97" s="1">
        <v>4480</v>
      </c>
      <c r="BN97" s="1">
        <v>4335</v>
      </c>
      <c r="BO97" s="1">
        <v>4352</v>
      </c>
      <c r="BP97" s="1">
        <v>4387</v>
      </c>
      <c r="BQ97" s="1">
        <v>4364</v>
      </c>
      <c r="BR97" s="1">
        <v>4377</v>
      </c>
      <c r="BS97" s="1">
        <v>4329</v>
      </c>
      <c r="BT97" s="1">
        <v>4323</v>
      </c>
      <c r="BU97" s="1">
        <v>4303</v>
      </c>
      <c r="BV97" s="1">
        <v>4243</v>
      </c>
      <c r="BW97" s="1">
        <v>4242</v>
      </c>
      <c r="BX97" s="1">
        <v>4184</v>
      </c>
      <c r="BY97" s="1">
        <v>4287</v>
      </c>
      <c r="BZ97" s="1">
        <v>4235</v>
      </c>
    </row>
    <row r="98" spans="1:254" ht="15.9" customHeight="1">
      <c r="A98" s="78" t="s">
        <v>191</v>
      </c>
      <c r="B98" s="17" t="s">
        <v>192</v>
      </c>
      <c r="C98" s="543">
        <f>_xll.RssMarket("4188","始値")</f>
        <v>1155.5</v>
      </c>
      <c r="D98" s="23">
        <f t="shared" si="2"/>
        <v>0</v>
      </c>
      <c r="E98" s="550">
        <v>1155.5</v>
      </c>
      <c r="F98" s="21">
        <v>1130</v>
      </c>
      <c r="G98" s="21">
        <v>1131.5</v>
      </c>
      <c r="H98" s="70">
        <v>1167</v>
      </c>
      <c r="I98" s="21">
        <v>1150</v>
      </c>
      <c r="J98" s="21">
        <v>1143.5</v>
      </c>
      <c r="K98" s="21">
        <v>1178</v>
      </c>
      <c r="L98" s="21">
        <v>1200</v>
      </c>
      <c r="M98" s="21">
        <v>1204.5</v>
      </c>
      <c r="N98" s="21"/>
      <c r="O98" s="21">
        <v>1208</v>
      </c>
      <c r="P98" s="21">
        <v>1197</v>
      </c>
      <c r="Q98" s="21">
        <v>1181.5</v>
      </c>
      <c r="R98" s="21">
        <v>1189.5</v>
      </c>
      <c r="S98" s="21">
        <v>1209.5</v>
      </c>
      <c r="T98" s="21">
        <v>1170</v>
      </c>
      <c r="U98" s="21">
        <v>1175</v>
      </c>
      <c r="V98" s="21">
        <v>1182</v>
      </c>
      <c r="W98" s="21">
        <v>1165</v>
      </c>
      <c r="X98" s="21">
        <v>1173</v>
      </c>
      <c r="Y98" s="21">
        <v>1199.5</v>
      </c>
      <c r="Z98" s="21">
        <v>1180</v>
      </c>
      <c r="AA98" s="21">
        <v>1142</v>
      </c>
      <c r="AB98" s="21">
        <v>1113.5</v>
      </c>
      <c r="AC98" s="21">
        <v>1132</v>
      </c>
      <c r="AD98" s="21">
        <v>1134</v>
      </c>
      <c r="AE98" s="21">
        <v>1111</v>
      </c>
      <c r="AF98" s="21">
        <v>1099</v>
      </c>
      <c r="AG98" s="21">
        <v>1113.5</v>
      </c>
      <c r="AH98" s="21">
        <v>1071.5</v>
      </c>
      <c r="AI98" s="21">
        <v>1099</v>
      </c>
      <c r="AJ98" s="21">
        <v>1094</v>
      </c>
      <c r="AK98" s="21">
        <v>1112.5</v>
      </c>
      <c r="AL98" s="21">
        <v>1158</v>
      </c>
      <c r="AM98" s="21">
        <v>1098</v>
      </c>
      <c r="AN98" s="21">
        <v>1112.5</v>
      </c>
      <c r="AO98" s="21">
        <v>1130</v>
      </c>
      <c r="AP98" s="21">
        <v>1068</v>
      </c>
      <c r="AQ98" s="21">
        <v>1000</v>
      </c>
      <c r="AR98" s="21">
        <v>1025</v>
      </c>
      <c r="AS98" s="21">
        <v>1036.5</v>
      </c>
      <c r="AT98" s="21">
        <v>1058</v>
      </c>
      <c r="AU98" s="21">
        <v>1110</v>
      </c>
      <c r="AV98" s="21">
        <v>1100</v>
      </c>
      <c r="AW98" s="21">
        <v>1078</v>
      </c>
      <c r="AX98" s="21">
        <v>1135</v>
      </c>
      <c r="AY98" s="21">
        <v>1106</v>
      </c>
      <c r="AZ98" s="21">
        <v>1130</v>
      </c>
      <c r="BA98" s="21">
        <v>1048.5</v>
      </c>
      <c r="BB98" s="21">
        <v>1008</v>
      </c>
      <c r="BC98" s="21">
        <v>1024</v>
      </c>
      <c r="BD98" s="21">
        <v>1017</v>
      </c>
      <c r="BE98" s="21">
        <v>1026</v>
      </c>
      <c r="BF98" s="21">
        <v>1016</v>
      </c>
      <c r="BG98" s="21">
        <v>994</v>
      </c>
      <c r="BH98" s="21">
        <v>1007</v>
      </c>
      <c r="BI98" s="21">
        <v>930.1</v>
      </c>
      <c r="BJ98" s="21">
        <v>928</v>
      </c>
      <c r="BK98" s="21">
        <v>916.7</v>
      </c>
      <c r="BL98" s="21">
        <v>923.9</v>
      </c>
      <c r="BM98" s="1">
        <v>928</v>
      </c>
      <c r="BN98" s="1">
        <v>912.1</v>
      </c>
      <c r="BO98" s="1">
        <v>912.4</v>
      </c>
      <c r="BP98" s="1">
        <v>920.4</v>
      </c>
      <c r="BQ98" s="1">
        <v>911.1</v>
      </c>
      <c r="BR98" s="1">
        <v>926.8</v>
      </c>
      <c r="BS98" s="1">
        <v>930</v>
      </c>
      <c r="BT98" s="1">
        <v>960.2</v>
      </c>
      <c r="BU98" s="1">
        <v>965</v>
      </c>
      <c r="BV98" s="1">
        <v>988.9</v>
      </c>
      <c r="BW98" s="1">
        <v>988</v>
      </c>
      <c r="BX98" s="1">
        <v>993.4</v>
      </c>
      <c r="BY98" s="1">
        <v>992.2</v>
      </c>
      <c r="BZ98" s="1">
        <v>988</v>
      </c>
    </row>
    <row r="99" spans="1:254" ht="15.9" customHeight="1">
      <c r="A99" s="78" t="s">
        <v>193</v>
      </c>
      <c r="B99" s="17" t="s">
        <v>194</v>
      </c>
      <c r="C99" s="543">
        <f>_xll.RssMarket("4523","始値")</f>
        <v>4501</v>
      </c>
      <c r="D99" s="23">
        <f t="shared" si="2"/>
        <v>0</v>
      </c>
      <c r="E99" s="550">
        <v>4501</v>
      </c>
      <c r="F99" s="21">
        <v>4590</v>
      </c>
      <c r="G99" s="21">
        <v>4600</v>
      </c>
      <c r="H99" s="70">
        <v>4807</v>
      </c>
      <c r="I99" s="21">
        <v>4900</v>
      </c>
      <c r="J99" s="21">
        <v>5057</v>
      </c>
      <c r="K99" s="21">
        <v>4861</v>
      </c>
      <c r="L99" s="21">
        <v>4766</v>
      </c>
      <c r="M99" s="21">
        <v>4649</v>
      </c>
      <c r="N99" s="21">
        <v>4597</v>
      </c>
      <c r="O99" s="21">
        <v>4550</v>
      </c>
      <c r="P99" s="21">
        <v>4450</v>
      </c>
      <c r="Q99" s="21">
        <v>4455</v>
      </c>
      <c r="R99" s="21">
        <v>4400</v>
      </c>
      <c r="S99" s="21">
        <v>4270</v>
      </c>
      <c r="T99" s="21">
        <v>4313</v>
      </c>
      <c r="U99" s="21">
        <v>4300</v>
      </c>
      <c r="V99" s="21">
        <v>4267</v>
      </c>
      <c r="W99" s="21">
        <v>4292</v>
      </c>
      <c r="X99" s="21">
        <v>4340</v>
      </c>
      <c r="Y99" s="21">
        <v>4330</v>
      </c>
      <c r="Z99" s="21">
        <v>4305</v>
      </c>
      <c r="AA99" s="21">
        <v>4301</v>
      </c>
      <c r="AB99" s="21">
        <v>4175</v>
      </c>
      <c r="AC99" s="21">
        <v>4065</v>
      </c>
      <c r="AD99" s="21">
        <v>4167</v>
      </c>
      <c r="AE99" s="21">
        <v>4010</v>
      </c>
      <c r="AF99" s="21">
        <v>3952</v>
      </c>
      <c r="AG99" s="21">
        <v>3920</v>
      </c>
      <c r="AH99" s="21">
        <v>3905</v>
      </c>
      <c r="AI99" s="21">
        <v>3903</v>
      </c>
      <c r="AJ99" s="21">
        <v>3861</v>
      </c>
      <c r="AK99" s="21">
        <v>3900</v>
      </c>
      <c r="AL99" s="21">
        <v>3888</v>
      </c>
      <c r="AM99" s="21">
        <v>3857</v>
      </c>
      <c r="AN99" s="21">
        <v>3796</v>
      </c>
      <c r="AO99" s="21">
        <v>3794</v>
      </c>
      <c r="AP99" s="21">
        <v>3754</v>
      </c>
      <c r="AQ99" s="21">
        <v>3709</v>
      </c>
      <c r="AR99" s="21">
        <v>3736</v>
      </c>
      <c r="AS99" s="21">
        <v>3800</v>
      </c>
      <c r="AT99" s="21">
        <v>3850</v>
      </c>
      <c r="AU99" s="21">
        <v>3829</v>
      </c>
      <c r="AV99" s="21">
        <v>3800</v>
      </c>
      <c r="AW99" s="21">
        <v>3793</v>
      </c>
      <c r="AX99" s="21">
        <v>3901</v>
      </c>
      <c r="AY99" s="21">
        <v>4032</v>
      </c>
      <c r="AZ99" s="21">
        <v>3980</v>
      </c>
      <c r="BA99" s="21">
        <v>4158</v>
      </c>
      <c r="BB99" s="21">
        <v>4220</v>
      </c>
      <c r="BC99" s="21">
        <v>4298</v>
      </c>
      <c r="BD99" s="21">
        <v>4466</v>
      </c>
      <c r="BE99" s="21">
        <v>4429</v>
      </c>
      <c r="BF99" s="21">
        <v>4513</v>
      </c>
      <c r="BG99" s="21">
        <v>4710</v>
      </c>
      <c r="BH99" s="21">
        <v>4726</v>
      </c>
      <c r="BI99" s="21">
        <v>4719</v>
      </c>
      <c r="BJ99" s="21">
        <v>4690</v>
      </c>
      <c r="BK99" s="21">
        <v>4607</v>
      </c>
      <c r="BL99" s="21">
        <v>4761</v>
      </c>
      <c r="BM99" s="1">
        <v>4671</v>
      </c>
      <c r="BN99" s="1">
        <v>4653</v>
      </c>
      <c r="BO99" s="1">
        <v>4625</v>
      </c>
      <c r="BP99" s="1">
        <v>4634</v>
      </c>
      <c r="BQ99" s="1">
        <v>4630</v>
      </c>
      <c r="BR99" s="1">
        <v>4733</v>
      </c>
      <c r="BS99" s="1">
        <v>4821</v>
      </c>
      <c r="BT99" s="1">
        <v>4874</v>
      </c>
      <c r="BU99" s="1">
        <v>4893</v>
      </c>
      <c r="BV99" s="1">
        <v>4920</v>
      </c>
      <c r="BW99" s="1">
        <v>5030</v>
      </c>
      <c r="BX99" s="1">
        <v>5060</v>
      </c>
      <c r="BY99" s="1">
        <v>4909</v>
      </c>
      <c r="BZ99" s="1">
        <v>4934</v>
      </c>
    </row>
    <row r="100" spans="1:254" ht="15.9" customHeight="1">
      <c r="A100" s="78" t="s">
        <v>195</v>
      </c>
      <c r="B100" s="17" t="s">
        <v>196</v>
      </c>
      <c r="C100" s="543">
        <f>_xll.RssMarket("4528","始値")</f>
        <v>2303</v>
      </c>
      <c r="D100" s="23">
        <f t="shared" si="2"/>
        <v>0</v>
      </c>
      <c r="E100" s="550">
        <v>2303</v>
      </c>
      <c r="F100" s="21">
        <v>2320</v>
      </c>
      <c r="G100" s="21">
        <v>2318</v>
      </c>
      <c r="H100" s="70">
        <v>2307</v>
      </c>
      <c r="I100" s="21">
        <v>2381</v>
      </c>
      <c r="J100" s="21">
        <v>2479.5</v>
      </c>
      <c r="K100" s="21">
        <v>2450</v>
      </c>
      <c r="L100" s="21">
        <v>2450</v>
      </c>
      <c r="M100" s="21">
        <v>2410</v>
      </c>
      <c r="N100" s="21"/>
      <c r="O100" s="21">
        <v>2396</v>
      </c>
      <c r="P100" s="21">
        <v>2389</v>
      </c>
      <c r="Q100" s="21">
        <v>2432</v>
      </c>
      <c r="R100" s="21">
        <v>2375.5</v>
      </c>
      <c r="S100" s="21">
        <v>2382.5</v>
      </c>
      <c r="T100" s="21">
        <v>2412</v>
      </c>
      <c r="U100" s="21">
        <v>2449</v>
      </c>
      <c r="V100" s="21">
        <v>2449.5</v>
      </c>
      <c r="W100" s="21">
        <v>2499</v>
      </c>
      <c r="X100" s="21">
        <v>2465</v>
      </c>
      <c r="Y100" s="21">
        <v>2440</v>
      </c>
      <c r="Z100" s="21">
        <v>2435</v>
      </c>
      <c r="AA100" s="21">
        <v>2460</v>
      </c>
      <c r="AB100" s="21">
        <v>2400</v>
      </c>
      <c r="AC100" s="21">
        <v>2379</v>
      </c>
      <c r="AD100" s="21">
        <v>2397.5</v>
      </c>
      <c r="AE100" s="21">
        <v>2387</v>
      </c>
      <c r="AF100" s="21">
        <v>2360</v>
      </c>
      <c r="AG100" s="21">
        <v>2384.5</v>
      </c>
      <c r="AH100" s="21">
        <v>2326</v>
      </c>
      <c r="AI100" s="21">
        <v>2340</v>
      </c>
      <c r="AJ100" s="21">
        <v>2335</v>
      </c>
      <c r="AK100" s="21">
        <v>2210</v>
      </c>
      <c r="AL100" s="21">
        <v>2268.5</v>
      </c>
      <c r="AM100" s="21">
        <v>2259</v>
      </c>
      <c r="AN100" s="21">
        <v>2266.5</v>
      </c>
      <c r="AO100" s="21">
        <v>2296.5</v>
      </c>
      <c r="AP100" s="21">
        <v>2236</v>
      </c>
      <c r="AQ100" s="21">
        <v>2186.5</v>
      </c>
      <c r="AR100" s="21">
        <v>2195.5</v>
      </c>
      <c r="AS100" s="21">
        <v>2243</v>
      </c>
      <c r="AT100" s="21">
        <v>2207</v>
      </c>
      <c r="AU100" s="21">
        <v>2172</v>
      </c>
      <c r="AV100" s="21">
        <v>2200</v>
      </c>
      <c r="AW100" s="21">
        <v>2280</v>
      </c>
      <c r="AX100" s="21">
        <v>2406</v>
      </c>
      <c r="AY100" s="21">
        <v>2368</v>
      </c>
      <c r="AZ100" s="21">
        <v>2344</v>
      </c>
      <c r="BA100" s="21">
        <v>2508</v>
      </c>
      <c r="BB100" s="21">
        <v>2484</v>
      </c>
      <c r="BC100" s="21">
        <v>2458</v>
      </c>
      <c r="BD100" s="21">
        <v>2466.5</v>
      </c>
      <c r="BE100" s="21">
        <v>2400.5</v>
      </c>
      <c r="BF100" s="21">
        <v>2507</v>
      </c>
      <c r="BG100" s="21">
        <v>2563</v>
      </c>
      <c r="BH100" s="21">
        <v>2535</v>
      </c>
      <c r="BI100" s="21">
        <v>2500</v>
      </c>
      <c r="BJ100" s="21">
        <v>2466.5</v>
      </c>
      <c r="BK100" s="21">
        <v>2480</v>
      </c>
      <c r="BL100" s="21">
        <v>2359</v>
      </c>
      <c r="BM100" s="1">
        <v>2319</v>
      </c>
      <c r="BN100" s="1">
        <v>2287</v>
      </c>
      <c r="BO100" s="1">
        <v>2298</v>
      </c>
      <c r="BP100" s="1">
        <v>2316</v>
      </c>
      <c r="BQ100" s="1">
        <v>2321</v>
      </c>
      <c r="BR100" s="1">
        <v>2321.5</v>
      </c>
      <c r="BS100" s="1">
        <v>2300</v>
      </c>
      <c r="BT100" s="1">
        <v>2342</v>
      </c>
      <c r="BU100" s="1">
        <v>2411</v>
      </c>
      <c r="BV100" s="1">
        <v>2412.5</v>
      </c>
      <c r="BW100" s="1">
        <v>2465.5</v>
      </c>
      <c r="BX100" s="1">
        <v>2452</v>
      </c>
      <c r="BY100" s="1">
        <v>2485</v>
      </c>
      <c r="BZ100" s="1">
        <v>2504.5</v>
      </c>
    </row>
    <row r="101" spans="1:254" ht="15.9" customHeight="1">
      <c r="A101" s="78" t="s">
        <v>197</v>
      </c>
      <c r="B101" s="17" t="s">
        <v>198</v>
      </c>
      <c r="C101" s="543">
        <f>_xll.RssMarket("4661","始値")</f>
        <v>2910.5</v>
      </c>
      <c r="D101" s="23">
        <f t="shared" si="2"/>
        <v>0</v>
      </c>
      <c r="E101" s="550">
        <v>2910.5</v>
      </c>
      <c r="F101" s="21">
        <v>2915</v>
      </c>
      <c r="G101" s="21">
        <v>3058</v>
      </c>
      <c r="H101" s="70">
        <v>3058</v>
      </c>
      <c r="I101" s="21">
        <v>3024</v>
      </c>
      <c r="J101" s="21">
        <v>3033</v>
      </c>
      <c r="K101" s="21">
        <v>2932</v>
      </c>
      <c r="L101" s="21">
        <v>2855</v>
      </c>
      <c r="M101" s="21">
        <v>2708</v>
      </c>
      <c r="N101" s="21"/>
      <c r="O101" s="21">
        <v>2623.5</v>
      </c>
      <c r="P101" s="21">
        <v>2674.5</v>
      </c>
      <c r="Q101" s="21">
        <v>2740</v>
      </c>
      <c r="R101" s="21">
        <v>2730</v>
      </c>
      <c r="S101" s="21">
        <v>2710</v>
      </c>
      <c r="T101" s="21">
        <v>2684</v>
      </c>
      <c r="U101" s="21">
        <v>2624</v>
      </c>
      <c r="V101" s="21">
        <v>2626</v>
      </c>
      <c r="W101" s="21">
        <v>2554</v>
      </c>
      <c r="X101" s="21">
        <v>2600</v>
      </c>
      <c r="Y101" s="21">
        <v>2559</v>
      </c>
      <c r="Z101" s="21">
        <v>2564.5</v>
      </c>
      <c r="AA101" s="21">
        <v>2554.5</v>
      </c>
      <c r="AB101" s="21">
        <v>2462</v>
      </c>
      <c r="AC101" s="21">
        <v>2465</v>
      </c>
      <c r="AD101" s="21">
        <v>2518</v>
      </c>
      <c r="AE101" s="21">
        <v>2410</v>
      </c>
      <c r="AF101" s="21">
        <v>2395</v>
      </c>
      <c r="AG101" s="21">
        <v>2374</v>
      </c>
      <c r="AH101" s="21">
        <v>2380</v>
      </c>
      <c r="AI101" s="21">
        <v>2310.5</v>
      </c>
      <c r="AJ101" s="21">
        <v>2328</v>
      </c>
      <c r="AK101" s="21">
        <v>2292.5</v>
      </c>
      <c r="AL101" s="21">
        <v>2275.5</v>
      </c>
      <c r="AM101" s="21">
        <v>2290</v>
      </c>
      <c r="AN101" s="21">
        <v>2272</v>
      </c>
      <c r="AO101" s="21">
        <v>2236.5</v>
      </c>
      <c r="AP101" s="21">
        <v>2278.5</v>
      </c>
      <c r="AQ101" s="21">
        <v>2292.5</v>
      </c>
      <c r="AR101" s="21">
        <v>2244</v>
      </c>
      <c r="AS101" s="21">
        <v>2222</v>
      </c>
      <c r="AT101" s="21">
        <v>2205</v>
      </c>
      <c r="AU101" s="21">
        <v>2215</v>
      </c>
      <c r="AV101" s="21">
        <v>2154</v>
      </c>
      <c r="AW101" s="21">
        <v>2221</v>
      </c>
      <c r="AX101" s="21">
        <v>2260</v>
      </c>
      <c r="AY101" s="21">
        <v>2220</v>
      </c>
      <c r="AZ101" s="21">
        <v>2125</v>
      </c>
      <c r="BA101" s="21">
        <v>2140</v>
      </c>
      <c r="BB101" s="21">
        <v>2135</v>
      </c>
      <c r="BC101" s="21">
        <v>2200</v>
      </c>
      <c r="BD101" s="21">
        <v>2244</v>
      </c>
      <c r="BE101" s="21">
        <v>2165</v>
      </c>
      <c r="BF101" s="21">
        <v>2186</v>
      </c>
      <c r="BG101" s="21">
        <v>2141</v>
      </c>
      <c r="BH101" s="21">
        <v>2160</v>
      </c>
      <c r="BI101" s="21">
        <v>2195</v>
      </c>
      <c r="BJ101" s="21">
        <v>2180</v>
      </c>
      <c r="BK101" s="21">
        <v>2220</v>
      </c>
      <c r="BL101" s="21">
        <v>2245</v>
      </c>
      <c r="BM101" s="1">
        <v>2223</v>
      </c>
      <c r="BN101" s="1">
        <v>2230</v>
      </c>
      <c r="BO101" s="1">
        <v>2250</v>
      </c>
      <c r="BP101" s="1">
        <v>2415</v>
      </c>
      <c r="BQ101" s="1">
        <v>2397</v>
      </c>
      <c r="BR101" s="1">
        <v>2448</v>
      </c>
      <c r="BS101" s="1">
        <v>2553.5</v>
      </c>
      <c r="BT101" s="1">
        <v>2607.5</v>
      </c>
      <c r="BU101" s="1">
        <v>2644</v>
      </c>
      <c r="BV101" s="1">
        <v>2649</v>
      </c>
      <c r="BW101" s="1">
        <v>2618</v>
      </c>
      <c r="BX101" s="1">
        <v>2666</v>
      </c>
      <c r="BY101" s="1">
        <v>2556.5</v>
      </c>
      <c r="BZ101" s="1">
        <v>2601</v>
      </c>
    </row>
    <row r="102" spans="1:254" ht="15.9" customHeight="1">
      <c r="A102" s="78" t="s">
        <v>199</v>
      </c>
      <c r="B102" s="17" t="s">
        <v>200</v>
      </c>
      <c r="C102" s="543">
        <f>_xll.RssMarket("5802","始値")</f>
        <v>2234</v>
      </c>
      <c r="D102" s="23">
        <f t="shared" ref="D102:D133" si="3">C102-E102</f>
        <v>0</v>
      </c>
      <c r="E102" s="550">
        <v>2234</v>
      </c>
      <c r="F102" s="21">
        <v>2352</v>
      </c>
      <c r="G102" s="21"/>
      <c r="H102" s="70"/>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78" t="s">
        <v>201</v>
      </c>
      <c r="B103" s="17" t="s">
        <v>202</v>
      </c>
      <c r="C103" s="543">
        <f>_xll.RssMarket("5803","始値")</f>
        <v>4833</v>
      </c>
      <c r="D103" s="23">
        <f t="shared" si="3"/>
        <v>0</v>
      </c>
      <c r="E103" s="550">
        <v>4833</v>
      </c>
      <c r="F103" s="21">
        <v>4830</v>
      </c>
      <c r="G103" s="21">
        <v>4324</v>
      </c>
      <c r="H103" s="70">
        <v>4079</v>
      </c>
      <c r="I103" s="21">
        <v>4210</v>
      </c>
      <c r="J103" s="21">
        <v>3750</v>
      </c>
      <c r="K103" s="21">
        <v>4003</v>
      </c>
      <c r="L103" s="21">
        <v>4199</v>
      </c>
      <c r="M103" s="21">
        <v>4532</v>
      </c>
      <c r="N103" s="21">
        <v>4659</v>
      </c>
      <c r="O103" s="21">
        <v>4888</v>
      </c>
      <c r="P103" s="21">
        <v>4954</v>
      </c>
      <c r="Q103" s="21">
        <v>4542</v>
      </c>
      <c r="R103" s="21">
        <v>4561</v>
      </c>
      <c r="S103" s="21">
        <v>4948</v>
      </c>
      <c r="T103" s="21">
        <v>4800</v>
      </c>
      <c r="U103" s="21">
        <v>5134</v>
      </c>
      <c r="V103" s="21">
        <v>5125</v>
      </c>
      <c r="W103" s="21">
        <v>4961</v>
      </c>
      <c r="X103" s="21">
        <v>4910</v>
      </c>
      <c r="Y103" s="21">
        <v>5254</v>
      </c>
      <c r="Z103" s="21">
        <v>5299</v>
      </c>
      <c r="AA103" s="21">
        <v>5100</v>
      </c>
      <c r="AB103" s="21">
        <v>5500</v>
      </c>
      <c r="AC103" s="21">
        <v>6350</v>
      </c>
      <c r="AD103" s="21">
        <v>6085</v>
      </c>
      <c r="AE103" s="21">
        <v>6127</v>
      </c>
      <c r="AF103" s="21">
        <v>6360</v>
      </c>
      <c r="AG103" s="21">
        <v>6613</v>
      </c>
      <c r="AH103" s="21">
        <v>6400</v>
      </c>
      <c r="AI103" s="21">
        <v>7023</v>
      </c>
      <c r="AJ103" s="21">
        <v>6161</v>
      </c>
      <c r="AK103" s="21">
        <v>5161</v>
      </c>
      <c r="AL103" s="21">
        <v>4791</v>
      </c>
      <c r="AM103" s="21">
        <v>4600</v>
      </c>
      <c r="AN103" s="21">
        <v>4400</v>
      </c>
      <c r="AO103" s="21">
        <v>4450</v>
      </c>
      <c r="AP103" s="21">
        <v>4352</v>
      </c>
      <c r="AQ103" s="21">
        <v>4006</v>
      </c>
      <c r="AR103" s="21">
        <v>4320</v>
      </c>
      <c r="AS103" s="21">
        <v>4386</v>
      </c>
      <c r="AT103" s="21">
        <v>4654</v>
      </c>
      <c r="AU103" s="21">
        <v>4831</v>
      </c>
      <c r="AV103" s="21">
        <v>4854</v>
      </c>
      <c r="AW103" s="21">
        <v>4607</v>
      </c>
      <c r="AX103" s="21">
        <v>5044</v>
      </c>
      <c r="AY103" s="21">
        <v>4998</v>
      </c>
      <c r="AZ103" s="21">
        <v>5500</v>
      </c>
      <c r="BA103" s="21">
        <v>5360</v>
      </c>
      <c r="BB103" s="21">
        <v>4650</v>
      </c>
      <c r="BC103" s="21">
        <v>4550</v>
      </c>
      <c r="BD103" s="21">
        <v>4275</v>
      </c>
      <c r="BE103" s="21">
        <v>5600</v>
      </c>
      <c r="BF103" s="21">
        <v>5842</v>
      </c>
      <c r="BG103" s="21">
        <v>6418</v>
      </c>
      <c r="BH103" s="21">
        <v>7662</v>
      </c>
      <c r="BI103" s="21">
        <v>7324</v>
      </c>
      <c r="BJ103" s="21">
        <v>7250</v>
      </c>
      <c r="BK103" s="21">
        <v>6780</v>
      </c>
      <c r="BL103" s="21">
        <v>6428</v>
      </c>
      <c r="BM103" s="1">
        <v>6300</v>
      </c>
      <c r="BN103" s="1">
        <v>5983</v>
      </c>
      <c r="BO103" s="1">
        <v>5981</v>
      </c>
      <c r="BP103" s="1">
        <v>6231</v>
      </c>
      <c r="BQ103" s="1">
        <v>6037</v>
      </c>
      <c r="BR103" s="1">
        <v>5987</v>
      </c>
      <c r="BS103" s="1">
        <v>6119</v>
      </c>
      <c r="BT103" s="1">
        <v>5833</v>
      </c>
      <c r="BU103" s="1">
        <v>5577</v>
      </c>
      <c r="BV103" s="1">
        <v>5692</v>
      </c>
      <c r="BW103" s="1">
        <v>5903</v>
      </c>
      <c r="BX103" s="1">
        <v>5600</v>
      </c>
      <c r="BY103" s="1">
        <v>5960</v>
      </c>
      <c r="BZ103" s="1">
        <v>5947</v>
      </c>
    </row>
    <row r="104" spans="1:254" ht="15.9" customHeight="1">
      <c r="A104" s="78" t="s">
        <v>203</v>
      </c>
      <c r="B104" s="17" t="s">
        <v>204</v>
      </c>
      <c r="C104" s="543">
        <f>_xll.RssMarket("6178","始値")</f>
        <v>2355</v>
      </c>
      <c r="D104" s="23">
        <f t="shared" si="3"/>
        <v>0</v>
      </c>
      <c r="E104" s="550">
        <v>2355</v>
      </c>
      <c r="F104" s="21">
        <v>2340</v>
      </c>
      <c r="G104" s="21">
        <v>2328</v>
      </c>
      <c r="H104" s="70">
        <v>2353.5</v>
      </c>
      <c r="I104" s="21">
        <v>2410</v>
      </c>
      <c r="J104" s="21">
        <v>2436.5</v>
      </c>
      <c r="K104" s="21">
        <v>2496.5</v>
      </c>
      <c r="L104" s="21">
        <v>2498.5</v>
      </c>
      <c r="M104" s="21">
        <v>2499.5</v>
      </c>
      <c r="N104" s="21">
        <v>2430.5</v>
      </c>
      <c r="O104" s="21">
        <v>2440</v>
      </c>
      <c r="P104" s="21">
        <v>2418.5</v>
      </c>
      <c r="Q104" s="21">
        <v>2359</v>
      </c>
      <c r="R104" s="21">
        <v>2379</v>
      </c>
      <c r="S104" s="21">
        <v>2389</v>
      </c>
      <c r="T104" s="21">
        <v>2340</v>
      </c>
      <c r="U104" s="21">
        <v>2340</v>
      </c>
      <c r="V104" s="21">
        <v>2371</v>
      </c>
      <c r="W104" s="21">
        <v>2360</v>
      </c>
      <c r="X104" s="21">
        <v>2360</v>
      </c>
      <c r="Y104" s="21">
        <v>2344.5</v>
      </c>
      <c r="Z104" s="21">
        <v>2288.5</v>
      </c>
      <c r="AA104" s="21">
        <v>2287.5</v>
      </c>
      <c r="AB104" s="21">
        <v>2200.5</v>
      </c>
      <c r="AC104" s="21">
        <v>2184.5</v>
      </c>
      <c r="AD104" s="21">
        <v>2173</v>
      </c>
      <c r="AE104" s="21">
        <v>2173</v>
      </c>
      <c r="AF104" s="21">
        <v>2176</v>
      </c>
      <c r="AG104" s="21">
        <v>2231</v>
      </c>
      <c r="AH104" s="21">
        <v>2225.5</v>
      </c>
      <c r="AI104" s="21">
        <v>2238</v>
      </c>
      <c r="AJ104" s="21">
        <v>2210.5</v>
      </c>
      <c r="AK104" s="21">
        <v>2212.5</v>
      </c>
      <c r="AL104" s="21">
        <v>2212</v>
      </c>
      <c r="AM104" s="21">
        <v>2272</v>
      </c>
      <c r="AN104" s="21">
        <v>2250</v>
      </c>
      <c r="AO104" s="21">
        <v>2325</v>
      </c>
      <c r="AP104" s="21">
        <v>2280.5</v>
      </c>
      <c r="AQ104" s="21">
        <v>2230.5</v>
      </c>
      <c r="AR104" s="21">
        <v>2204</v>
      </c>
      <c r="AS104" s="21">
        <v>2108.5</v>
      </c>
      <c r="AT104" s="21">
        <v>2155</v>
      </c>
      <c r="AU104" s="21">
        <v>2108.5</v>
      </c>
      <c r="AV104" s="21">
        <v>2090</v>
      </c>
      <c r="AW104" s="21">
        <v>2005</v>
      </c>
      <c r="AX104" s="21">
        <v>2052</v>
      </c>
      <c r="AY104" s="21">
        <v>2024.5</v>
      </c>
      <c r="AZ104" s="21">
        <v>2070</v>
      </c>
      <c r="BA104" s="21">
        <v>2093</v>
      </c>
      <c r="BB104" s="21">
        <v>2115.5</v>
      </c>
      <c r="BC104" s="21">
        <v>2110</v>
      </c>
      <c r="BD104" s="21">
        <v>2126.5</v>
      </c>
      <c r="BE104" s="21">
        <v>2065</v>
      </c>
      <c r="BF104" s="21">
        <v>1997</v>
      </c>
      <c r="BG104" s="21">
        <v>1951</v>
      </c>
      <c r="BH104" s="21">
        <v>1951.5</v>
      </c>
      <c r="BI104" s="21">
        <v>1900</v>
      </c>
      <c r="BJ104" s="21">
        <v>1876.5</v>
      </c>
      <c r="BK104" s="21">
        <v>1863</v>
      </c>
      <c r="BL104" s="21">
        <v>1857</v>
      </c>
      <c r="BM104" s="1">
        <v>1845.5</v>
      </c>
      <c r="BN104" s="1">
        <v>1812.5</v>
      </c>
      <c r="BO104" s="1">
        <v>1810</v>
      </c>
      <c r="BP104" s="1">
        <v>1775</v>
      </c>
      <c r="BQ104" s="1">
        <v>1762</v>
      </c>
      <c r="BR104" s="1">
        <v>1784.5</v>
      </c>
      <c r="BS104" s="1">
        <v>1789</v>
      </c>
      <c r="BT104" s="1">
        <v>1820.5</v>
      </c>
      <c r="BU104" s="1">
        <v>1856.5</v>
      </c>
      <c r="BV104" s="1">
        <v>1880.5</v>
      </c>
      <c r="BW104" s="1">
        <v>1887.5</v>
      </c>
      <c r="BX104" s="1">
        <v>1900</v>
      </c>
      <c r="BY104" s="1">
        <v>1858.5</v>
      </c>
      <c r="BZ104" s="1">
        <v>1881.5</v>
      </c>
    </row>
    <row r="105" spans="1:254" ht="15.9" customHeight="1">
      <c r="A105" s="78" t="s">
        <v>205</v>
      </c>
      <c r="B105" s="17" t="s">
        <v>206</v>
      </c>
      <c r="C105" s="543">
        <f>_xll.RssMarket("6925","始値")</f>
        <v>4150</v>
      </c>
      <c r="D105" s="23">
        <f t="shared" si="3"/>
        <v>0</v>
      </c>
      <c r="E105" s="550">
        <v>4150</v>
      </c>
      <c r="F105" s="21">
        <v>4363</v>
      </c>
      <c r="G105" s="21">
        <v>3905</v>
      </c>
      <c r="H105" s="73">
        <v>3725</v>
      </c>
      <c r="I105" s="21">
        <v>3847</v>
      </c>
      <c r="J105" s="21">
        <v>3538</v>
      </c>
      <c r="K105" s="21">
        <v>3753</v>
      </c>
      <c r="L105" s="21">
        <v>4002</v>
      </c>
      <c r="M105" s="21">
        <v>4164</v>
      </c>
      <c r="N105" s="21">
        <v>4174</v>
      </c>
      <c r="O105" s="21">
        <v>4228</v>
      </c>
      <c r="P105" s="21">
        <v>4160</v>
      </c>
      <c r="Q105" s="21">
        <v>3908</v>
      </c>
      <c r="R105" s="21">
        <v>3931</v>
      </c>
      <c r="S105" s="21">
        <v>4156</v>
      </c>
      <c r="T105" s="21">
        <v>4089</v>
      </c>
      <c r="U105" s="21">
        <v>4302</v>
      </c>
      <c r="V105" s="21">
        <v>4478</v>
      </c>
      <c r="W105" s="21">
        <v>4221</v>
      </c>
      <c r="X105" s="21">
        <v>4230</v>
      </c>
      <c r="Y105" s="21">
        <v>4470</v>
      </c>
      <c r="Z105" s="21">
        <v>4682</v>
      </c>
      <c r="AA105" s="21">
        <v>4484</v>
      </c>
      <c r="AB105" s="21">
        <v>4688</v>
      </c>
      <c r="AC105" s="21">
        <v>5048</v>
      </c>
      <c r="AD105" s="21">
        <v>4333</v>
      </c>
      <c r="AE105" s="21">
        <v>4396</v>
      </c>
      <c r="AF105" s="21">
        <v>4497</v>
      </c>
      <c r="AG105" s="21">
        <v>4539</v>
      </c>
      <c r="AH105" s="21">
        <v>4470</v>
      </c>
      <c r="AI105" s="21">
        <v>4810</v>
      </c>
      <c r="AJ105" s="21">
        <v>4693</v>
      </c>
      <c r="AK105" s="21">
        <v>4749</v>
      </c>
      <c r="AL105" s="21">
        <v>4630</v>
      </c>
      <c r="AM105" s="21">
        <v>4478</v>
      </c>
      <c r="AN105" s="21">
        <v>4274</v>
      </c>
      <c r="AO105" s="21">
        <v>4200</v>
      </c>
      <c r="AP105" s="21">
        <v>4025</v>
      </c>
      <c r="AQ105" s="21">
        <v>3794</v>
      </c>
      <c r="AR105" s="21">
        <v>4027</v>
      </c>
      <c r="AS105" s="21">
        <v>3980</v>
      </c>
      <c r="AT105" s="21">
        <v>4269</v>
      </c>
      <c r="AU105" s="21">
        <v>4077</v>
      </c>
      <c r="AV105" s="21">
        <v>4067</v>
      </c>
      <c r="AW105" s="21">
        <v>4059</v>
      </c>
      <c r="AX105" s="21">
        <v>4229</v>
      </c>
      <c r="AY105" s="21">
        <v>4192</v>
      </c>
      <c r="AZ105" s="21">
        <v>4226</v>
      </c>
      <c r="BA105" s="21">
        <v>4100</v>
      </c>
      <c r="BB105" s="21">
        <v>4050</v>
      </c>
      <c r="BC105" s="21">
        <v>3833</v>
      </c>
      <c r="BD105" s="21">
        <v>3858</v>
      </c>
      <c r="BE105" s="21">
        <v>4138</v>
      </c>
      <c r="BF105" s="21">
        <v>4250</v>
      </c>
      <c r="BG105" s="21">
        <v>4239</v>
      </c>
      <c r="BH105" s="21">
        <v>3419</v>
      </c>
      <c r="BI105" s="21">
        <v>3439</v>
      </c>
      <c r="BJ105" s="21">
        <v>3468</v>
      </c>
      <c r="BK105" s="21">
        <v>3405</v>
      </c>
      <c r="BL105" s="21">
        <v>3343</v>
      </c>
      <c r="BM105" s="1">
        <v>3235</v>
      </c>
      <c r="BN105" s="1">
        <v>3126</v>
      </c>
      <c r="BO105" s="1">
        <v>3090</v>
      </c>
      <c r="BP105" s="1">
        <v>3135</v>
      </c>
      <c r="BQ105" s="1">
        <v>3200</v>
      </c>
      <c r="BR105" s="1">
        <v>3224</v>
      </c>
      <c r="BS105" s="1">
        <v>3150</v>
      </c>
      <c r="BT105" s="1">
        <v>3180</v>
      </c>
      <c r="BU105" s="1">
        <v>3207</v>
      </c>
      <c r="BV105" s="1">
        <v>3156</v>
      </c>
      <c r="BW105" s="1">
        <v>3320</v>
      </c>
      <c r="BX105" s="1">
        <v>3299</v>
      </c>
      <c r="BY105" s="1">
        <v>3282</v>
      </c>
      <c r="BZ105" s="1">
        <v>3251</v>
      </c>
    </row>
    <row r="106" spans="1:254" ht="15.9" customHeight="1">
      <c r="A106" s="78" t="s">
        <v>207</v>
      </c>
      <c r="B106" s="17" t="s">
        <v>208</v>
      </c>
      <c r="C106" s="543">
        <f>_xll.RssMarket("7021","始値")</f>
        <v>2080</v>
      </c>
      <c r="D106" s="23">
        <f t="shared" si="3"/>
        <v>0</v>
      </c>
      <c r="E106" s="550">
        <v>2080</v>
      </c>
      <c r="F106" s="21">
        <v>2101</v>
      </c>
      <c r="G106" s="21">
        <v>2030</v>
      </c>
      <c r="H106" s="73">
        <v>1991</v>
      </c>
      <c r="I106" s="21">
        <v>1967</v>
      </c>
      <c r="J106" s="21">
        <v>1984</v>
      </c>
      <c r="K106" s="21">
        <v>1977</v>
      </c>
      <c r="L106" s="21">
        <v>1955</v>
      </c>
      <c r="M106" s="21">
        <v>1936</v>
      </c>
      <c r="N106" s="21">
        <v>1938</v>
      </c>
      <c r="O106" s="21">
        <v>1890</v>
      </c>
      <c r="P106" s="21">
        <v>1878</v>
      </c>
      <c r="Q106" s="21">
        <v>1868</v>
      </c>
      <c r="R106" s="21">
        <v>1876</v>
      </c>
      <c r="S106" s="21">
        <v>1859</v>
      </c>
      <c r="T106" s="21">
        <v>1849</v>
      </c>
      <c r="U106" s="21">
        <v>1859</v>
      </c>
      <c r="V106" s="21">
        <v>1825</v>
      </c>
      <c r="W106" s="21">
        <v>1825</v>
      </c>
      <c r="X106" s="21">
        <v>1813</v>
      </c>
      <c r="Y106" s="21">
        <v>1821</v>
      </c>
      <c r="Z106" s="21">
        <v>1808</v>
      </c>
      <c r="AA106" s="21">
        <v>1790</v>
      </c>
      <c r="AB106" s="21">
        <v>1799</v>
      </c>
      <c r="AC106" s="21">
        <v>1785</v>
      </c>
      <c r="AD106" s="21">
        <v>1785</v>
      </c>
      <c r="AE106" s="21">
        <v>1775</v>
      </c>
      <c r="AF106" s="21">
        <v>1791</v>
      </c>
      <c r="AG106" s="21">
        <v>1771</v>
      </c>
      <c r="AH106" s="21">
        <v>1770</v>
      </c>
      <c r="AI106" s="21">
        <v>1761</v>
      </c>
      <c r="AJ106" s="21">
        <v>1787</v>
      </c>
      <c r="AK106" s="21">
        <v>1753</v>
      </c>
      <c r="AL106" s="21">
        <v>1793</v>
      </c>
      <c r="AM106" s="21">
        <v>1809</v>
      </c>
      <c r="AN106" s="21">
        <v>1780</v>
      </c>
      <c r="AO106" s="21">
        <v>1826</v>
      </c>
      <c r="AP106" s="21">
        <v>1804</v>
      </c>
      <c r="AQ106" s="21">
        <v>1812</v>
      </c>
      <c r="AR106" s="21">
        <v>1800</v>
      </c>
      <c r="AS106" s="21">
        <v>1770</v>
      </c>
      <c r="AT106" s="21">
        <v>1759</v>
      </c>
      <c r="AU106" s="21">
        <v>1749</v>
      </c>
      <c r="AV106" s="21">
        <v>1800</v>
      </c>
      <c r="AW106" s="21">
        <v>1803</v>
      </c>
      <c r="AX106" s="21">
        <v>1854</v>
      </c>
      <c r="AY106" s="21">
        <v>1854</v>
      </c>
      <c r="AZ106" s="21">
        <v>1854</v>
      </c>
      <c r="BA106" s="21">
        <v>1819</v>
      </c>
      <c r="BB106" s="21">
        <v>1823</v>
      </c>
      <c r="BC106" s="21">
        <v>1868</v>
      </c>
      <c r="BD106" s="21">
        <v>1881</v>
      </c>
      <c r="BE106" s="21">
        <v>1915</v>
      </c>
      <c r="BF106" s="21">
        <v>1980</v>
      </c>
      <c r="BG106" s="21">
        <v>2088</v>
      </c>
      <c r="BH106" s="21">
        <v>2189</v>
      </c>
      <c r="BI106" s="21">
        <v>2118</v>
      </c>
      <c r="BJ106" s="21">
        <v>2151</v>
      </c>
      <c r="BK106" s="21">
        <v>2141</v>
      </c>
      <c r="BL106" s="21">
        <v>2170</v>
      </c>
      <c r="BM106" s="1">
        <v>2150</v>
      </c>
      <c r="BN106" s="1">
        <v>2175</v>
      </c>
      <c r="BO106" s="1">
        <v>2225</v>
      </c>
      <c r="BP106" s="1">
        <v>2176</v>
      </c>
      <c r="BQ106" s="1">
        <v>2259</v>
      </c>
      <c r="BR106" s="1">
        <v>2258</v>
      </c>
      <c r="BS106" s="1">
        <v>2295</v>
      </c>
      <c r="BT106" s="1">
        <v>2289</v>
      </c>
      <c r="BU106" s="1">
        <v>2364</v>
      </c>
      <c r="BV106" s="1">
        <v>2341</v>
      </c>
      <c r="BW106" s="1">
        <v>2337</v>
      </c>
      <c r="BX106" s="1">
        <v>2360</v>
      </c>
      <c r="BY106" s="1">
        <v>2343</v>
      </c>
      <c r="BZ106" s="1">
        <v>2339</v>
      </c>
    </row>
    <row r="107" spans="1:254" ht="15.9" customHeight="1">
      <c r="A107" s="78" t="s">
        <v>209</v>
      </c>
      <c r="B107" s="17" t="s">
        <v>210</v>
      </c>
      <c r="C107" s="543">
        <f>_xll.RssMarket("7729","始値")</f>
        <v>18680</v>
      </c>
      <c r="D107" s="23">
        <f t="shared" si="3"/>
        <v>0</v>
      </c>
      <c r="E107" s="550">
        <v>18680</v>
      </c>
      <c r="F107" s="21">
        <v>18100</v>
      </c>
      <c r="G107" s="21">
        <v>17120</v>
      </c>
      <c r="H107" s="73">
        <v>16855</v>
      </c>
      <c r="I107" s="21">
        <v>17045</v>
      </c>
      <c r="J107" s="21">
        <v>15000</v>
      </c>
      <c r="K107" s="21">
        <v>15905</v>
      </c>
      <c r="L107" s="21">
        <v>17465</v>
      </c>
      <c r="M107" s="21">
        <v>17770</v>
      </c>
      <c r="N107" s="21">
        <v>18045</v>
      </c>
      <c r="O107" s="21">
        <v>18655</v>
      </c>
      <c r="P107" s="21">
        <v>18585</v>
      </c>
      <c r="Q107" s="21">
        <v>17295</v>
      </c>
      <c r="R107" s="21">
        <v>17910</v>
      </c>
      <c r="S107" s="21">
        <v>18470</v>
      </c>
      <c r="T107" s="21">
        <v>18415</v>
      </c>
      <c r="U107" s="21">
        <v>18910</v>
      </c>
      <c r="V107" s="21">
        <v>18400</v>
      </c>
      <c r="W107" s="21">
        <v>17815</v>
      </c>
      <c r="X107" s="21">
        <v>17200</v>
      </c>
      <c r="Y107" s="21">
        <v>18510</v>
      </c>
      <c r="Z107" s="21">
        <v>19405</v>
      </c>
      <c r="AA107" s="21">
        <v>18235</v>
      </c>
      <c r="AB107" s="21">
        <v>20015</v>
      </c>
      <c r="AC107" s="21">
        <v>21000</v>
      </c>
      <c r="AD107" s="21">
        <v>19675</v>
      </c>
      <c r="AE107" s="21">
        <v>19320</v>
      </c>
      <c r="AF107" s="21">
        <v>19560</v>
      </c>
      <c r="AG107" s="21">
        <v>19850</v>
      </c>
      <c r="AH107" s="21">
        <v>18865</v>
      </c>
      <c r="AI107" s="21">
        <v>20495</v>
      </c>
      <c r="AJ107" s="21">
        <v>20075</v>
      </c>
      <c r="AK107" s="21">
        <v>20645</v>
      </c>
      <c r="AL107" s="21">
        <v>19850</v>
      </c>
      <c r="AM107" s="21">
        <v>18490</v>
      </c>
      <c r="AN107" s="21">
        <v>19775</v>
      </c>
      <c r="AO107" s="21">
        <v>19455</v>
      </c>
      <c r="AP107" s="21">
        <v>18430</v>
      </c>
      <c r="AQ107" s="21">
        <v>16355</v>
      </c>
      <c r="AR107" s="21">
        <v>17270</v>
      </c>
      <c r="AS107" s="21">
        <v>15910</v>
      </c>
      <c r="AT107" s="21">
        <v>17925</v>
      </c>
      <c r="AU107" s="21">
        <v>17360</v>
      </c>
      <c r="AV107" s="21">
        <v>17250</v>
      </c>
      <c r="AW107" s="21">
        <v>16975</v>
      </c>
      <c r="AX107" s="21">
        <v>17970</v>
      </c>
      <c r="AY107" s="21">
        <v>17420</v>
      </c>
      <c r="AZ107" s="21">
        <v>17795</v>
      </c>
      <c r="BA107" s="21">
        <v>17770</v>
      </c>
      <c r="BB107" s="21">
        <v>16650</v>
      </c>
      <c r="BC107" s="21">
        <v>16390</v>
      </c>
      <c r="BD107" s="21">
        <v>15700</v>
      </c>
      <c r="BE107" s="21">
        <v>16200</v>
      </c>
      <c r="BF107" s="21">
        <v>16515</v>
      </c>
      <c r="BG107" s="21">
        <v>18155</v>
      </c>
      <c r="BH107" s="21">
        <v>19285</v>
      </c>
      <c r="BI107" s="21">
        <v>18585</v>
      </c>
      <c r="BJ107" s="21">
        <v>19365</v>
      </c>
      <c r="BK107" s="21">
        <v>19400</v>
      </c>
      <c r="BL107" s="21">
        <v>18000</v>
      </c>
      <c r="BM107" s="1">
        <v>18375</v>
      </c>
      <c r="BN107" s="1">
        <v>17240</v>
      </c>
      <c r="BO107" s="1">
        <v>17355</v>
      </c>
      <c r="BP107" s="1">
        <v>17325</v>
      </c>
      <c r="BQ107" s="1">
        <v>17640</v>
      </c>
      <c r="BR107" s="1">
        <v>16950</v>
      </c>
      <c r="BS107" s="1">
        <v>17220</v>
      </c>
      <c r="BT107" s="1">
        <v>16715</v>
      </c>
      <c r="BU107" s="1">
        <v>16440</v>
      </c>
      <c r="BV107" s="1">
        <v>16665</v>
      </c>
      <c r="BW107" s="1">
        <v>16810</v>
      </c>
      <c r="BX107" s="1">
        <v>16595</v>
      </c>
      <c r="BY107" s="1">
        <v>16435</v>
      </c>
      <c r="BZ107" s="1">
        <v>16100</v>
      </c>
    </row>
    <row r="108" spans="1:254" ht="15.9" customHeight="1">
      <c r="A108" s="78" t="s">
        <v>211</v>
      </c>
      <c r="B108" s="17" t="s">
        <v>212</v>
      </c>
      <c r="C108" s="543">
        <f>_xll.RssMarket("8424","始値")</f>
        <v>4394</v>
      </c>
      <c r="D108" s="23">
        <f t="shared" si="3"/>
        <v>0</v>
      </c>
      <c r="E108" s="550">
        <v>4394</v>
      </c>
      <c r="F108" s="21">
        <v>4389</v>
      </c>
      <c r="G108" s="21">
        <v>4462</v>
      </c>
      <c r="H108" s="73">
        <v>4500</v>
      </c>
      <c r="I108" s="21">
        <v>4447</v>
      </c>
      <c r="J108" s="21">
        <v>4563</v>
      </c>
      <c r="K108" s="21">
        <v>4523</v>
      </c>
      <c r="L108" s="21">
        <v>4549</v>
      </c>
      <c r="M108" s="21">
        <v>4475</v>
      </c>
      <c r="N108" s="21">
        <v>4400</v>
      </c>
      <c r="O108" s="21">
        <v>4412</v>
      </c>
      <c r="P108" s="21">
        <v>4430</v>
      </c>
      <c r="Q108" s="21">
        <v>4376</v>
      </c>
      <c r="R108" s="21">
        <v>4352</v>
      </c>
      <c r="S108" s="21">
        <v>4368</v>
      </c>
      <c r="T108" s="21">
        <v>4307</v>
      </c>
      <c r="U108" s="21">
        <v>4310</v>
      </c>
      <c r="V108" s="21">
        <v>4278</v>
      </c>
      <c r="W108" s="21">
        <v>4260</v>
      </c>
      <c r="X108" s="21">
        <v>4273</v>
      </c>
      <c r="Y108" s="21">
        <v>4280</v>
      </c>
      <c r="Z108" s="21">
        <v>4200</v>
      </c>
      <c r="AA108" s="21">
        <v>4222</v>
      </c>
      <c r="AB108" s="21">
        <v>4230</v>
      </c>
      <c r="AC108" s="21">
        <v>4230</v>
      </c>
      <c r="AD108" s="21">
        <v>4230</v>
      </c>
      <c r="AE108" s="21">
        <v>4240</v>
      </c>
      <c r="AF108" s="21">
        <v>4246</v>
      </c>
      <c r="AG108" s="21">
        <v>4250</v>
      </c>
      <c r="AH108" s="21">
        <v>4176</v>
      </c>
      <c r="AI108" s="21">
        <v>4210</v>
      </c>
      <c r="AJ108" s="21">
        <v>4226</v>
      </c>
      <c r="AK108" s="21">
        <v>4213</v>
      </c>
      <c r="AL108" s="21">
        <v>4250</v>
      </c>
      <c r="AM108" s="21">
        <v>4302</v>
      </c>
      <c r="AN108" s="21">
        <v>4300</v>
      </c>
      <c r="AO108" s="21">
        <v>4306</v>
      </c>
      <c r="AP108" s="21">
        <v>4264</v>
      </c>
      <c r="AQ108" s="21">
        <v>4309</v>
      </c>
      <c r="AR108" s="21">
        <v>4272</v>
      </c>
      <c r="AS108" s="21">
        <v>4118</v>
      </c>
      <c r="AT108" s="21">
        <v>4100</v>
      </c>
      <c r="AU108" s="21">
        <v>4077</v>
      </c>
      <c r="AV108" s="21">
        <v>4054</v>
      </c>
      <c r="AW108" s="21">
        <v>4075</v>
      </c>
      <c r="AX108" s="21">
        <v>4170</v>
      </c>
      <c r="AY108" s="21">
        <v>4185</v>
      </c>
      <c r="AZ108" s="21">
        <v>4190</v>
      </c>
      <c r="BA108" s="21">
        <v>4280</v>
      </c>
      <c r="BB108" s="21">
        <v>4371</v>
      </c>
      <c r="BC108" s="21">
        <v>4403</v>
      </c>
      <c r="BD108" s="21">
        <v>4387</v>
      </c>
      <c r="BE108" s="21">
        <v>4342</v>
      </c>
      <c r="BF108" s="21">
        <v>4378</v>
      </c>
      <c r="BG108" s="21">
        <v>4396</v>
      </c>
      <c r="BH108" s="21">
        <v>4350</v>
      </c>
      <c r="BI108" s="21">
        <v>4363</v>
      </c>
      <c r="BJ108" s="21">
        <v>4300</v>
      </c>
      <c r="BK108" s="21">
        <v>4290</v>
      </c>
      <c r="BL108" s="21">
        <v>4322</v>
      </c>
      <c r="BM108" s="1">
        <v>4313</v>
      </c>
      <c r="BN108" s="1">
        <v>4312</v>
      </c>
      <c r="BO108" s="1">
        <v>4337</v>
      </c>
      <c r="BP108" s="1">
        <v>4267</v>
      </c>
      <c r="BQ108" s="1">
        <v>4243</v>
      </c>
      <c r="BR108" s="1">
        <v>4260</v>
      </c>
      <c r="BS108" s="1">
        <v>4230</v>
      </c>
      <c r="BT108" s="1">
        <v>4273</v>
      </c>
      <c r="BU108" s="1">
        <v>4315</v>
      </c>
      <c r="BV108" s="1">
        <v>4353</v>
      </c>
      <c r="BW108" s="1">
        <v>4330</v>
      </c>
      <c r="BX108" s="1">
        <v>4355</v>
      </c>
      <c r="BY108" s="1">
        <v>4328</v>
      </c>
      <c r="BZ108" s="1">
        <v>4338</v>
      </c>
    </row>
    <row r="109" spans="1:254" ht="15.9" customHeight="1">
      <c r="A109" s="78" t="s">
        <v>213</v>
      </c>
      <c r="B109" s="17" t="s">
        <v>214</v>
      </c>
      <c r="C109" s="543">
        <f>_xll.RssMarket("9020","始値")</f>
        <v>3391</v>
      </c>
      <c r="D109" s="23">
        <f t="shared" si="3"/>
        <v>0</v>
      </c>
      <c r="E109" s="550">
        <v>3391</v>
      </c>
      <c r="F109" s="21">
        <v>3412</v>
      </c>
      <c r="G109" s="21">
        <v>3461</v>
      </c>
      <c r="H109" s="73">
        <v>3536</v>
      </c>
      <c r="I109" s="21">
        <v>3680</v>
      </c>
      <c r="J109" s="21">
        <v>3910</v>
      </c>
      <c r="K109" s="21">
        <v>3812</v>
      </c>
      <c r="L109" s="21">
        <v>3784</v>
      </c>
      <c r="M109" s="21">
        <v>3640</v>
      </c>
      <c r="N109" s="21">
        <v>3572</v>
      </c>
      <c r="O109" s="21">
        <v>3577</v>
      </c>
      <c r="P109" s="21">
        <v>3590</v>
      </c>
      <c r="Q109" s="21">
        <v>3660</v>
      </c>
      <c r="R109" s="21">
        <v>3638</v>
      </c>
      <c r="S109" s="21">
        <v>3602</v>
      </c>
      <c r="T109" s="21">
        <v>3570</v>
      </c>
      <c r="U109" s="21">
        <v>3502</v>
      </c>
      <c r="V109" s="21">
        <v>3528</v>
      </c>
      <c r="W109" s="21">
        <v>3479</v>
      </c>
      <c r="X109" s="21">
        <v>3550</v>
      </c>
      <c r="Y109" s="21">
        <v>3501</v>
      </c>
      <c r="Z109" s="21">
        <v>3472</v>
      </c>
      <c r="AA109" s="21">
        <v>3536</v>
      </c>
      <c r="AB109" s="21">
        <v>3360</v>
      </c>
      <c r="AC109" s="21">
        <v>3380</v>
      </c>
      <c r="AD109" s="21">
        <v>3434</v>
      </c>
      <c r="AE109" s="21">
        <v>3414</v>
      </c>
      <c r="AF109" s="21">
        <v>3381</v>
      </c>
      <c r="AG109" s="21">
        <v>3371</v>
      </c>
      <c r="AH109" s="21">
        <v>3395</v>
      </c>
      <c r="AI109" s="21">
        <v>3322</v>
      </c>
      <c r="AJ109" s="21">
        <v>3347</v>
      </c>
      <c r="AK109" s="21">
        <v>3368</v>
      </c>
      <c r="AL109" s="21">
        <v>3363</v>
      </c>
      <c r="AM109" s="21">
        <v>3445</v>
      </c>
      <c r="AN109" s="21">
        <v>3385</v>
      </c>
      <c r="AO109" s="21">
        <v>3410</v>
      </c>
      <c r="AP109" s="21">
        <v>3450</v>
      </c>
      <c r="AQ109" s="21">
        <v>3500</v>
      </c>
      <c r="AR109" s="21">
        <v>3413</v>
      </c>
      <c r="AS109" s="21">
        <v>3400</v>
      </c>
      <c r="AT109" s="21">
        <v>3292</v>
      </c>
      <c r="AU109" s="21">
        <v>3317</v>
      </c>
      <c r="AV109" s="21">
        <v>3295</v>
      </c>
      <c r="AW109" s="21">
        <v>3335</v>
      </c>
      <c r="AX109" s="21">
        <v>3438</v>
      </c>
      <c r="AY109" s="21">
        <v>3516</v>
      </c>
      <c r="AZ109" s="21">
        <v>3532</v>
      </c>
      <c r="BA109" s="21">
        <v>3591</v>
      </c>
      <c r="BB109" s="21">
        <v>3645</v>
      </c>
      <c r="BC109" s="21">
        <v>3800</v>
      </c>
      <c r="BD109" s="21">
        <v>3840</v>
      </c>
      <c r="BE109" s="21">
        <v>3746</v>
      </c>
      <c r="BF109" s="21">
        <v>3792</v>
      </c>
      <c r="BG109" s="21">
        <v>3675</v>
      </c>
      <c r="BH109" s="21">
        <v>3716</v>
      </c>
      <c r="BI109" s="21">
        <v>3752</v>
      </c>
      <c r="BJ109" s="21">
        <v>3641</v>
      </c>
      <c r="BK109" s="21">
        <v>3626</v>
      </c>
      <c r="BL109" s="21">
        <v>3648</v>
      </c>
      <c r="BM109" s="1">
        <v>3573</v>
      </c>
      <c r="BN109" s="1">
        <v>3668</v>
      </c>
      <c r="BO109" s="1">
        <v>3381</v>
      </c>
      <c r="BP109" s="1">
        <v>3460</v>
      </c>
      <c r="BQ109" s="1">
        <v>3402</v>
      </c>
      <c r="BR109" s="1">
        <v>3474</v>
      </c>
      <c r="BS109" s="1">
        <v>3500</v>
      </c>
      <c r="BT109" s="1">
        <v>3528</v>
      </c>
      <c r="BU109" s="1">
        <v>3517</v>
      </c>
      <c r="BV109" s="1">
        <v>3500</v>
      </c>
      <c r="BW109" s="1">
        <v>3520</v>
      </c>
      <c r="BX109" s="1">
        <v>3559</v>
      </c>
      <c r="BY109" s="1">
        <v>3533</v>
      </c>
      <c r="BZ109" s="1">
        <v>3580</v>
      </c>
    </row>
    <row r="110" spans="1:254" ht="15.9" customHeight="1">
      <c r="A110" s="78" t="s">
        <v>215</v>
      </c>
      <c r="B110" s="17" t="s">
        <v>216</v>
      </c>
      <c r="C110" s="543">
        <f>_xll.RssMarket("9069","始値")</f>
        <v>2204.5</v>
      </c>
      <c r="D110" s="23">
        <f t="shared" si="3"/>
        <v>0</v>
      </c>
      <c r="E110" s="550">
        <v>2204.5</v>
      </c>
      <c r="F110" s="21">
        <v>2202.5</v>
      </c>
      <c r="G110" s="21">
        <v>2197</v>
      </c>
      <c r="H110" s="73">
        <v>2205</v>
      </c>
      <c r="I110" s="21">
        <v>2216</v>
      </c>
      <c r="J110" s="21">
        <v>2244</v>
      </c>
      <c r="K110" s="21">
        <v>2208</v>
      </c>
      <c r="L110" s="21">
        <v>2211</v>
      </c>
      <c r="M110" s="21">
        <v>2198</v>
      </c>
      <c r="N110" s="21">
        <v>2160</v>
      </c>
      <c r="O110" s="21">
        <v>2167</v>
      </c>
      <c r="P110" s="21">
        <v>2210</v>
      </c>
      <c r="Q110" s="21">
        <v>2211.5</v>
      </c>
      <c r="R110" s="21">
        <v>2146</v>
      </c>
      <c r="S110" s="21">
        <v>2141.5</v>
      </c>
      <c r="T110" s="21">
        <v>2128</v>
      </c>
      <c r="U110" s="21">
        <v>2073</v>
      </c>
      <c r="V110" s="21">
        <v>2050</v>
      </c>
      <c r="W110" s="21">
        <v>2018</v>
      </c>
      <c r="X110" s="21">
        <v>2021</v>
      </c>
      <c r="Y110" s="21">
        <v>1999</v>
      </c>
      <c r="Z110" s="21">
        <v>1979</v>
      </c>
      <c r="AA110" s="21">
        <v>1952.5</v>
      </c>
      <c r="AB110" s="21">
        <v>1918</v>
      </c>
      <c r="AC110" s="21">
        <v>1940</v>
      </c>
      <c r="AD110" s="21">
        <v>1935</v>
      </c>
      <c r="AE110" s="21">
        <v>1930</v>
      </c>
      <c r="AF110" s="21">
        <v>1912</v>
      </c>
      <c r="AG110" s="21">
        <v>1917.5</v>
      </c>
      <c r="AH110" s="21">
        <v>1895.5</v>
      </c>
      <c r="AI110" s="21">
        <v>1900</v>
      </c>
      <c r="AJ110" s="21">
        <v>1880</v>
      </c>
      <c r="AK110" s="21">
        <v>1893.5</v>
      </c>
      <c r="AL110" s="21">
        <v>1899</v>
      </c>
      <c r="AM110" s="21">
        <v>1940</v>
      </c>
      <c r="AN110" s="21">
        <v>1952</v>
      </c>
      <c r="AO110" s="21">
        <v>1948.5</v>
      </c>
      <c r="AP110" s="21">
        <v>1935</v>
      </c>
      <c r="AQ110" s="21">
        <v>1950</v>
      </c>
      <c r="AR110" s="21">
        <v>1948</v>
      </c>
      <c r="AS110" s="21">
        <v>1908</v>
      </c>
      <c r="AT110" s="21">
        <v>1909</v>
      </c>
      <c r="AU110" s="21">
        <v>1900</v>
      </c>
      <c r="AV110" s="21">
        <v>1886</v>
      </c>
      <c r="AW110" s="21">
        <v>1873</v>
      </c>
      <c r="AX110" s="21">
        <v>1908</v>
      </c>
      <c r="AY110" s="21">
        <v>1932</v>
      </c>
      <c r="AZ110" s="21">
        <v>1932</v>
      </c>
      <c r="BA110" s="21">
        <v>1964</v>
      </c>
      <c r="BB110" s="21">
        <v>2022</v>
      </c>
      <c r="BC110" s="21">
        <v>2029</v>
      </c>
      <c r="BD110" s="21">
        <v>1988.5</v>
      </c>
      <c r="BE110" s="21">
        <v>2020</v>
      </c>
      <c r="BF110" s="21">
        <v>2022.5</v>
      </c>
      <c r="BG110" s="21">
        <v>2006</v>
      </c>
      <c r="BH110" s="21">
        <v>1949</v>
      </c>
      <c r="BI110" s="21">
        <v>1834</v>
      </c>
      <c r="BJ110" s="21">
        <v>1858</v>
      </c>
      <c r="BK110" s="21">
        <v>1848</v>
      </c>
      <c r="BL110" s="21">
        <v>1854.5</v>
      </c>
      <c r="BM110" s="1">
        <v>1821</v>
      </c>
      <c r="BN110" s="1">
        <v>1839.5</v>
      </c>
      <c r="BO110" s="1">
        <v>1834</v>
      </c>
      <c r="BP110" s="1">
        <v>1838</v>
      </c>
      <c r="BQ110" s="1">
        <v>1832.5</v>
      </c>
      <c r="BR110" s="1">
        <v>1879.5</v>
      </c>
      <c r="BS110" s="1">
        <v>1871</v>
      </c>
      <c r="BT110" s="1">
        <v>1901</v>
      </c>
      <c r="BU110" s="1">
        <v>1910</v>
      </c>
      <c r="BV110" s="1">
        <v>1896.5</v>
      </c>
      <c r="BW110" s="1">
        <v>1908.5</v>
      </c>
      <c r="BX110" s="1">
        <v>1888.5</v>
      </c>
      <c r="BY110" s="1">
        <v>1900</v>
      </c>
      <c r="BZ110" s="1">
        <v>1870.5</v>
      </c>
    </row>
    <row r="111" spans="1:254" ht="15.9" customHeight="1">
      <c r="A111" s="78" t="s">
        <v>217</v>
      </c>
      <c r="B111" s="17" t="s">
        <v>218</v>
      </c>
      <c r="C111" s="543">
        <f>_xll.RssMarket("9227","始値")</f>
        <v>881</v>
      </c>
      <c r="D111" s="23">
        <f t="shared" si="3"/>
        <v>0</v>
      </c>
      <c r="E111" s="550">
        <v>881</v>
      </c>
      <c r="F111" s="21">
        <v>866</v>
      </c>
      <c r="G111" s="21">
        <v>850</v>
      </c>
      <c r="H111" s="73">
        <v>835</v>
      </c>
      <c r="I111" s="21">
        <v>866</v>
      </c>
      <c r="J111" s="21">
        <v>900</v>
      </c>
      <c r="K111" s="21">
        <v>846</v>
      </c>
      <c r="L111" s="21">
        <v>814</v>
      </c>
      <c r="M111" s="21">
        <v>798</v>
      </c>
      <c r="N111" s="21"/>
      <c r="O111" s="21">
        <v>814</v>
      </c>
      <c r="P111" s="21">
        <v>812</v>
      </c>
      <c r="Q111" s="21">
        <v>784</v>
      </c>
      <c r="R111" s="21">
        <v>805</v>
      </c>
      <c r="S111" s="21">
        <v>830</v>
      </c>
      <c r="T111" s="21">
        <v>834</v>
      </c>
      <c r="U111" s="21">
        <v>888</v>
      </c>
      <c r="V111" s="21">
        <v>873</v>
      </c>
      <c r="W111" s="21">
        <v>902</v>
      </c>
      <c r="X111" s="21">
        <v>943</v>
      </c>
      <c r="Y111" s="21">
        <v>948</v>
      </c>
      <c r="Z111" s="21">
        <v>939</v>
      </c>
      <c r="AA111" s="21">
        <v>932</v>
      </c>
      <c r="AB111" s="21">
        <v>955</v>
      </c>
      <c r="AC111" s="21">
        <v>952</v>
      </c>
      <c r="AD111" s="21">
        <v>888</v>
      </c>
      <c r="AE111" s="21">
        <v>891</v>
      </c>
      <c r="AF111" s="21">
        <v>886</v>
      </c>
      <c r="AG111" s="21">
        <v>897</v>
      </c>
      <c r="AH111" s="21">
        <v>885</v>
      </c>
      <c r="AI111" s="21">
        <v>957</v>
      </c>
      <c r="AJ111" s="21">
        <v>890</v>
      </c>
      <c r="AK111" s="21">
        <v>915</v>
      </c>
      <c r="AL111" s="21">
        <v>891</v>
      </c>
      <c r="AM111" s="21">
        <v>877</v>
      </c>
      <c r="AN111" s="21">
        <v>904</v>
      </c>
      <c r="AO111" s="21">
        <v>917</v>
      </c>
      <c r="AP111" s="21">
        <v>879</v>
      </c>
      <c r="AQ111" s="21">
        <v>854</v>
      </c>
      <c r="AR111" s="21">
        <v>920</v>
      </c>
      <c r="AS111" s="21">
        <v>902</v>
      </c>
      <c r="AT111" s="21">
        <v>885</v>
      </c>
      <c r="AU111" s="21">
        <v>894</v>
      </c>
      <c r="AV111" s="21">
        <v>924</v>
      </c>
      <c r="AW111" s="21">
        <v>939</v>
      </c>
      <c r="AX111" s="21">
        <v>1103</v>
      </c>
      <c r="AY111" s="21">
        <v>1149</v>
      </c>
      <c r="AZ111" s="21">
        <v>1179</v>
      </c>
      <c r="BA111" s="21">
        <v>1093</v>
      </c>
      <c r="BB111" s="21">
        <v>943</v>
      </c>
      <c r="BC111" s="21">
        <v>776</v>
      </c>
      <c r="BD111" s="21">
        <v>800</v>
      </c>
      <c r="BE111" s="21">
        <v>828</v>
      </c>
      <c r="BF111" s="21">
        <v>833</v>
      </c>
      <c r="BG111" s="21">
        <v>836</v>
      </c>
      <c r="BH111" s="21">
        <v>845</v>
      </c>
      <c r="BI111" s="21">
        <v>842</v>
      </c>
      <c r="BJ111" s="21">
        <v>982</v>
      </c>
      <c r="BK111" s="21">
        <v>1012</v>
      </c>
      <c r="BL111" s="21">
        <v>1003</v>
      </c>
      <c r="BM111" s="1">
        <v>1042</v>
      </c>
      <c r="BN111" s="1">
        <v>1025</v>
      </c>
      <c r="BO111" s="1">
        <v>1042</v>
      </c>
      <c r="BP111" s="1">
        <v>1094</v>
      </c>
      <c r="BQ111" s="1">
        <v>1070</v>
      </c>
      <c r="BR111" s="1">
        <v>1100</v>
      </c>
      <c r="BS111" s="1">
        <v>1163</v>
      </c>
      <c r="BT111" s="1">
        <v>1138</v>
      </c>
      <c r="BU111" s="1">
        <v>1300</v>
      </c>
      <c r="BV111" s="1">
        <v>1108</v>
      </c>
      <c r="BW111" s="1">
        <v>1033</v>
      </c>
      <c r="BX111" s="1">
        <v>1040</v>
      </c>
      <c r="BY111" s="1">
        <v>1022</v>
      </c>
      <c r="BZ111" s="1">
        <v>1023</v>
      </c>
    </row>
    <row r="112" spans="1:254" ht="15.9" customHeight="1">
      <c r="A112" s="78" t="s">
        <v>219</v>
      </c>
      <c r="B112" s="17" t="s">
        <v>220</v>
      </c>
      <c r="C112" s="543">
        <f>_xll.RssMarket("9348","始値")</f>
        <v>420</v>
      </c>
      <c r="D112" s="23">
        <f t="shared" si="3"/>
        <v>0</v>
      </c>
      <c r="E112" s="550">
        <v>420</v>
      </c>
      <c r="F112" s="21">
        <v>416</v>
      </c>
      <c r="G112" s="21">
        <v>406</v>
      </c>
      <c r="H112" s="73">
        <v>405</v>
      </c>
      <c r="I112" s="21">
        <v>407</v>
      </c>
      <c r="J112" s="21">
        <v>406</v>
      </c>
      <c r="K112" s="21">
        <v>407</v>
      </c>
      <c r="L112" s="21">
        <v>410</v>
      </c>
      <c r="M112" s="21">
        <v>415</v>
      </c>
      <c r="N112" s="21"/>
      <c r="O112" s="21">
        <v>412</v>
      </c>
      <c r="P112" s="21">
        <v>415</v>
      </c>
      <c r="Q112" s="21">
        <v>414</v>
      </c>
      <c r="R112" s="21">
        <v>416</v>
      </c>
      <c r="S112" s="21">
        <v>440</v>
      </c>
      <c r="T112" s="21">
        <v>440</v>
      </c>
      <c r="U112" s="21">
        <v>447</v>
      </c>
      <c r="V112" s="21">
        <v>498</v>
      </c>
      <c r="W112" s="21">
        <v>508</v>
      </c>
      <c r="X112" s="21">
        <v>437</v>
      </c>
      <c r="Y112" s="21">
        <v>450</v>
      </c>
      <c r="Z112" s="21">
        <v>454</v>
      </c>
      <c r="AA112" s="21">
        <v>440</v>
      </c>
      <c r="AB112" s="21">
        <v>443</v>
      </c>
      <c r="AC112" s="21">
        <v>445</v>
      </c>
      <c r="AD112" s="21">
        <v>445</v>
      </c>
      <c r="AE112" s="21">
        <v>435</v>
      </c>
      <c r="AF112" s="21">
        <v>438</v>
      </c>
      <c r="AG112" s="21">
        <v>444</v>
      </c>
      <c r="AH112" s="21">
        <v>439</v>
      </c>
      <c r="AI112" s="21">
        <v>455</v>
      </c>
      <c r="AJ112" s="21">
        <v>465</v>
      </c>
      <c r="AK112" s="21">
        <v>468</v>
      </c>
      <c r="AL112" s="21">
        <v>479</v>
      </c>
      <c r="AM112" s="21">
        <v>471</v>
      </c>
      <c r="AN112" s="21">
        <v>510</v>
      </c>
      <c r="AO112" s="21">
        <v>550</v>
      </c>
      <c r="AP112" s="21">
        <v>602</v>
      </c>
      <c r="AQ112" s="21">
        <v>572</v>
      </c>
      <c r="AR112" s="21">
        <v>583</v>
      </c>
      <c r="AS112" s="21">
        <v>588</v>
      </c>
      <c r="AT112" s="21">
        <v>607</v>
      </c>
      <c r="AU112" s="21">
        <v>584</v>
      </c>
      <c r="AV112" s="21">
        <v>603</v>
      </c>
      <c r="AW112" s="21">
        <v>578</v>
      </c>
      <c r="AX112" s="21">
        <v>709</v>
      </c>
      <c r="AY112" s="21">
        <v>610</v>
      </c>
      <c r="AZ112" s="21">
        <v>637</v>
      </c>
      <c r="BA112" s="21">
        <v>598</v>
      </c>
      <c r="BB112" s="21">
        <v>510</v>
      </c>
      <c r="BC112" s="21">
        <v>506</v>
      </c>
      <c r="BD112" s="21">
        <v>536</v>
      </c>
      <c r="BE112" s="21">
        <v>507</v>
      </c>
      <c r="BF112" s="21">
        <v>505</v>
      </c>
      <c r="BG112" s="21">
        <v>500</v>
      </c>
      <c r="BH112" s="21">
        <v>500</v>
      </c>
      <c r="BI112" s="21">
        <v>492</v>
      </c>
      <c r="BJ112" s="21">
        <v>510</v>
      </c>
      <c r="BK112" s="21">
        <v>510</v>
      </c>
      <c r="BL112" s="21">
        <v>485</v>
      </c>
      <c r="BM112" s="1">
        <v>473</v>
      </c>
      <c r="BN112" s="1">
        <v>468</v>
      </c>
      <c r="BO112" s="1">
        <v>475</v>
      </c>
      <c r="BP112" s="1">
        <v>463</v>
      </c>
      <c r="BQ112" s="1">
        <v>480</v>
      </c>
      <c r="BR112" s="1">
        <v>482</v>
      </c>
      <c r="BS112" s="1">
        <v>491</v>
      </c>
      <c r="BT112" s="1">
        <v>489</v>
      </c>
      <c r="BU112" s="1">
        <v>496</v>
      </c>
      <c r="BV112" s="1">
        <v>496</v>
      </c>
      <c r="BW112" s="1">
        <v>505</v>
      </c>
      <c r="BX112" s="1">
        <v>514</v>
      </c>
      <c r="BY112" s="1">
        <v>513</v>
      </c>
      <c r="BZ112" s="1">
        <v>503</v>
      </c>
    </row>
    <row r="113" spans="1:254" ht="15.9" customHeight="1">
      <c r="A113" s="78" t="s">
        <v>221</v>
      </c>
      <c r="B113" s="17" t="s">
        <v>222</v>
      </c>
      <c r="C113" s="543">
        <f>_xll.RssMarket("9449","始値")</f>
        <v>4215</v>
      </c>
      <c r="D113" s="23">
        <f t="shared" si="3"/>
        <v>0</v>
      </c>
      <c r="E113" s="550">
        <v>4215</v>
      </c>
      <c r="F113" s="21">
        <v>4218</v>
      </c>
      <c r="G113" s="21">
        <v>4200</v>
      </c>
      <c r="H113" s="73">
        <v>4184</v>
      </c>
      <c r="I113" s="21">
        <v>4142</v>
      </c>
      <c r="J113" s="21">
        <v>4260</v>
      </c>
      <c r="K113" s="21">
        <v>4154</v>
      </c>
      <c r="L113" s="21">
        <v>4135</v>
      </c>
      <c r="M113" s="21">
        <v>4000</v>
      </c>
      <c r="N113" s="21">
        <v>3916</v>
      </c>
      <c r="O113" s="21">
        <v>3911</v>
      </c>
      <c r="P113" s="21">
        <v>3990</v>
      </c>
      <c r="Q113" s="21">
        <v>4057</v>
      </c>
      <c r="R113" s="21">
        <v>4035</v>
      </c>
      <c r="S113" s="21">
        <v>4000</v>
      </c>
      <c r="T113" s="21">
        <v>3912</v>
      </c>
      <c r="U113" s="21">
        <v>3897</v>
      </c>
      <c r="V113" s="21">
        <v>3807</v>
      </c>
      <c r="W113" s="21">
        <v>3768</v>
      </c>
      <c r="X113" s="21">
        <v>3810</v>
      </c>
      <c r="Y113" s="21">
        <v>3667</v>
      </c>
      <c r="Z113" s="21">
        <v>3591</v>
      </c>
      <c r="AA113" s="21">
        <v>3604</v>
      </c>
      <c r="AB113" s="21">
        <v>3461</v>
      </c>
      <c r="AC113" s="21">
        <v>3354</v>
      </c>
      <c r="AD113" s="21">
        <v>3411</v>
      </c>
      <c r="AE113" s="21">
        <v>3336</v>
      </c>
      <c r="AF113" s="21">
        <v>3217</v>
      </c>
      <c r="AG113" s="21">
        <v>3223</v>
      </c>
      <c r="AH113" s="21">
        <v>3244</v>
      </c>
      <c r="AI113" s="21">
        <v>3519</v>
      </c>
      <c r="AJ113" s="21">
        <v>3416</v>
      </c>
      <c r="AK113" s="21">
        <v>3112</v>
      </c>
      <c r="AL113" s="21">
        <v>3072</v>
      </c>
      <c r="AM113" s="21">
        <v>3100</v>
      </c>
      <c r="AN113" s="21">
        <v>3101</v>
      </c>
      <c r="AO113" s="21">
        <v>3120</v>
      </c>
      <c r="AP113" s="21">
        <v>3090</v>
      </c>
      <c r="AQ113" s="21">
        <v>3161</v>
      </c>
      <c r="AR113" s="21">
        <v>3198</v>
      </c>
      <c r="AS113" s="21">
        <v>3160</v>
      </c>
      <c r="AT113" s="21">
        <v>3249</v>
      </c>
      <c r="AU113" s="21">
        <v>3237</v>
      </c>
      <c r="AV113" s="21">
        <v>3243</v>
      </c>
      <c r="AW113" s="21">
        <v>3358</v>
      </c>
      <c r="AX113" s="21">
        <v>3330</v>
      </c>
      <c r="AY113" s="21">
        <v>3300</v>
      </c>
      <c r="AZ113" s="21">
        <v>3400</v>
      </c>
      <c r="BA113" s="21">
        <v>3425</v>
      </c>
      <c r="BB113" s="21">
        <v>3307</v>
      </c>
      <c r="BC113" s="21">
        <v>3300</v>
      </c>
      <c r="BD113" s="21">
        <v>3350</v>
      </c>
      <c r="BE113" s="21">
        <v>3330</v>
      </c>
      <c r="BF113" s="21">
        <v>3345</v>
      </c>
      <c r="BG113" s="21">
        <v>3129</v>
      </c>
      <c r="BH113" s="21">
        <v>3172</v>
      </c>
      <c r="BI113" s="21">
        <v>3144</v>
      </c>
      <c r="BJ113" s="21">
        <v>3220</v>
      </c>
      <c r="BK113" s="21">
        <v>3195</v>
      </c>
      <c r="BL113" s="21">
        <v>3080</v>
      </c>
      <c r="BM113" s="1">
        <v>3096</v>
      </c>
      <c r="BN113" s="1">
        <v>3065</v>
      </c>
      <c r="BO113" s="1">
        <v>3066</v>
      </c>
      <c r="BP113" s="1">
        <v>3117</v>
      </c>
      <c r="BQ113" s="1">
        <v>3129</v>
      </c>
      <c r="BR113" s="1">
        <v>3116</v>
      </c>
      <c r="BS113" s="1">
        <v>3230</v>
      </c>
      <c r="BT113" s="1">
        <v>3323</v>
      </c>
      <c r="BU113" s="1">
        <v>3270</v>
      </c>
      <c r="BV113" s="1">
        <v>3287</v>
      </c>
      <c r="BW113" s="1">
        <v>3232</v>
      </c>
      <c r="BX113" s="1">
        <v>3187</v>
      </c>
      <c r="BY113" s="1">
        <v>3049</v>
      </c>
      <c r="BZ113" s="1">
        <v>3043</v>
      </c>
    </row>
    <row r="114" spans="1:254" ht="15.9" customHeight="1">
      <c r="A114" s="78" t="s">
        <v>223</v>
      </c>
      <c r="B114" s="17" t="s">
        <v>224</v>
      </c>
      <c r="C114" s="543">
        <f>_xll.RssMarket("9501","始値")</f>
        <v>521</v>
      </c>
      <c r="D114" s="23">
        <f t="shared" si="3"/>
        <v>0</v>
      </c>
      <c r="E114" s="550">
        <v>521</v>
      </c>
      <c r="F114" s="21">
        <v>527.79999999999995</v>
      </c>
      <c r="G114" s="21">
        <v>527.4</v>
      </c>
      <c r="H114" s="73">
        <v>517.20000000000005</v>
      </c>
      <c r="I114" s="21">
        <v>538.4</v>
      </c>
      <c r="J114" s="21">
        <v>517.29999999999995</v>
      </c>
      <c r="K114" s="21">
        <v>521.9</v>
      </c>
      <c r="L114" s="21">
        <v>533.9</v>
      </c>
      <c r="M114" s="21">
        <v>530.1</v>
      </c>
      <c r="N114" s="21">
        <v>515.20000000000005</v>
      </c>
      <c r="O114" s="21">
        <v>506.2</v>
      </c>
      <c r="P114" s="21">
        <v>503.4</v>
      </c>
      <c r="Q114" s="21">
        <v>511</v>
      </c>
      <c r="R114" s="21">
        <v>497</v>
      </c>
      <c r="S114" s="21">
        <v>505.2</v>
      </c>
      <c r="T114" s="21">
        <v>490</v>
      </c>
      <c r="U114" s="21">
        <v>479.1</v>
      </c>
      <c r="V114" s="21">
        <v>478</v>
      </c>
      <c r="W114" s="21">
        <v>477.8</v>
      </c>
      <c r="X114" s="21">
        <v>462</v>
      </c>
      <c r="Y114" s="21">
        <v>468.1</v>
      </c>
      <c r="Z114" s="21">
        <v>471.4</v>
      </c>
      <c r="AA114" s="21">
        <v>460.7</v>
      </c>
      <c r="AB114" s="21">
        <v>455.1</v>
      </c>
      <c r="AC114" s="21">
        <v>458</v>
      </c>
      <c r="AD114" s="21">
        <v>466</v>
      </c>
      <c r="AE114" s="21">
        <v>463</v>
      </c>
      <c r="AF114" s="21">
        <v>476.9</v>
      </c>
      <c r="AG114" s="21">
        <v>475.7</v>
      </c>
      <c r="AH114" s="21">
        <v>465</v>
      </c>
      <c r="AI114" s="21">
        <v>470.2</v>
      </c>
      <c r="AJ114" s="21">
        <v>524</v>
      </c>
      <c r="AK114" s="21">
        <v>510.3</v>
      </c>
      <c r="AL114" s="21">
        <v>507.8</v>
      </c>
      <c r="AM114" s="21">
        <v>523.20000000000005</v>
      </c>
      <c r="AN114" s="21">
        <v>530</v>
      </c>
      <c r="AO114" s="21">
        <v>529.29999999999995</v>
      </c>
      <c r="AP114" s="21">
        <v>501.9</v>
      </c>
      <c r="AQ114" s="21">
        <v>507.8</v>
      </c>
      <c r="AR114" s="21">
        <v>519.9</v>
      </c>
      <c r="AS114" s="21">
        <v>518.4</v>
      </c>
      <c r="AT114" s="21">
        <v>544.5</v>
      </c>
      <c r="AU114" s="21">
        <v>570.1</v>
      </c>
      <c r="AV114" s="21">
        <v>567.79999999999995</v>
      </c>
      <c r="AW114" s="21">
        <v>550.1</v>
      </c>
      <c r="AX114" s="21">
        <v>558.9</v>
      </c>
      <c r="AY114" s="21">
        <v>568</v>
      </c>
      <c r="AZ114" s="21">
        <v>578.4</v>
      </c>
      <c r="BA114" s="21">
        <v>558.5</v>
      </c>
      <c r="BB114" s="21">
        <v>565</v>
      </c>
      <c r="BC114" s="21">
        <v>557.6</v>
      </c>
      <c r="BD114" s="21">
        <v>572.9</v>
      </c>
      <c r="BE114" s="21">
        <v>574.29999999999995</v>
      </c>
      <c r="BF114" s="21">
        <v>593</v>
      </c>
      <c r="BG114" s="21">
        <v>606.1</v>
      </c>
      <c r="BH114" s="21">
        <v>611</v>
      </c>
      <c r="BI114" s="21">
        <v>638</v>
      </c>
      <c r="BJ114" s="21">
        <v>653.20000000000005</v>
      </c>
      <c r="BK114" s="21">
        <v>633.1</v>
      </c>
      <c r="BL114" s="21">
        <v>627</v>
      </c>
      <c r="BM114" s="1">
        <v>615</v>
      </c>
      <c r="BN114" s="1">
        <v>595</v>
      </c>
      <c r="BO114" s="1">
        <v>597</v>
      </c>
      <c r="BP114" s="1">
        <v>584.5</v>
      </c>
      <c r="BQ114" s="1">
        <v>581</v>
      </c>
      <c r="BR114" s="1">
        <v>585</v>
      </c>
      <c r="BS114" s="1">
        <v>623</v>
      </c>
      <c r="BT114" s="1">
        <v>600</v>
      </c>
      <c r="BU114" s="1">
        <v>612</v>
      </c>
      <c r="BV114" s="1">
        <v>619.70000000000005</v>
      </c>
      <c r="BW114" s="1">
        <v>638.70000000000005</v>
      </c>
      <c r="BX114" s="1">
        <v>630.4</v>
      </c>
      <c r="BY114" s="1">
        <v>652.29999999999995</v>
      </c>
      <c r="BZ114" s="1">
        <v>652.9</v>
      </c>
    </row>
    <row r="115" spans="1:254" ht="15.9" customHeight="1">
      <c r="A115" s="78" t="s">
        <v>225</v>
      </c>
      <c r="B115" s="17" t="s">
        <v>226</v>
      </c>
      <c r="C115" s="543">
        <f>_xll.RssMarket("9531","始値")</f>
        <v>5988</v>
      </c>
      <c r="D115" s="23">
        <f t="shared" si="3"/>
        <v>0</v>
      </c>
      <c r="E115" s="550">
        <v>5988</v>
      </c>
      <c r="F115" s="21">
        <v>6059</v>
      </c>
      <c r="G115" s="21">
        <v>6181</v>
      </c>
      <c r="H115" s="73">
        <v>6150</v>
      </c>
      <c r="I115" s="21">
        <v>6063</v>
      </c>
      <c r="J115" s="21">
        <v>6297</v>
      </c>
      <c r="K115" s="21">
        <v>6289</v>
      </c>
      <c r="L115" s="21">
        <v>6243</v>
      </c>
      <c r="M115" s="21">
        <v>6275</v>
      </c>
      <c r="N115" s="21">
        <v>6130</v>
      </c>
      <c r="O115" s="21">
        <v>6151</v>
      </c>
      <c r="P115" s="21">
        <v>6127</v>
      </c>
      <c r="Q115" s="21">
        <v>6145</v>
      </c>
      <c r="R115" s="21">
        <v>6105</v>
      </c>
      <c r="S115" s="21">
        <v>6063</v>
      </c>
      <c r="T115" s="21">
        <v>6005</v>
      </c>
      <c r="U115" s="21">
        <v>6003</v>
      </c>
      <c r="V115" s="21">
        <v>6043</v>
      </c>
      <c r="W115" s="21">
        <v>6130</v>
      </c>
      <c r="X115" s="21">
        <v>6150</v>
      </c>
      <c r="Y115" s="21">
        <v>6151</v>
      </c>
      <c r="Z115" s="21">
        <v>6039</v>
      </c>
      <c r="AA115" s="21">
        <v>6106</v>
      </c>
      <c r="AB115" s="21">
        <v>6041</v>
      </c>
      <c r="AC115" s="21">
        <v>6080</v>
      </c>
      <c r="AD115" s="21">
        <v>6197</v>
      </c>
      <c r="AE115" s="21">
        <v>6157</v>
      </c>
      <c r="AF115" s="21">
        <v>6089</v>
      </c>
      <c r="AG115" s="21">
        <v>6147</v>
      </c>
      <c r="AH115" s="21">
        <v>6137</v>
      </c>
      <c r="AI115" s="21">
        <v>6193</v>
      </c>
      <c r="AJ115" s="21">
        <v>6180</v>
      </c>
      <c r="AK115" s="21">
        <v>6145</v>
      </c>
      <c r="AL115" s="21">
        <v>6157</v>
      </c>
      <c r="AM115" s="21">
        <v>6300</v>
      </c>
      <c r="AN115" s="21">
        <v>6261</v>
      </c>
      <c r="AO115" s="21">
        <v>6303</v>
      </c>
      <c r="AP115" s="21">
        <v>6452</v>
      </c>
      <c r="AQ115" s="21">
        <v>6340</v>
      </c>
      <c r="AR115" s="21">
        <v>6428</v>
      </c>
      <c r="AS115" s="21">
        <v>6116</v>
      </c>
      <c r="AT115" s="21">
        <v>6219</v>
      </c>
      <c r="AU115" s="21">
        <v>6292</v>
      </c>
      <c r="AV115" s="21">
        <v>6320</v>
      </c>
      <c r="AW115" s="21">
        <v>6098</v>
      </c>
      <c r="AX115" s="21">
        <v>6214</v>
      </c>
      <c r="AY115" s="21">
        <v>6428</v>
      </c>
      <c r="AZ115" s="21">
        <v>6500</v>
      </c>
      <c r="BA115" s="21">
        <v>6529</v>
      </c>
      <c r="BB115" s="21">
        <v>6698</v>
      </c>
      <c r="BC115" s="21">
        <v>6695</v>
      </c>
      <c r="BD115" s="21">
        <v>6799</v>
      </c>
      <c r="BE115" s="21">
        <v>6690</v>
      </c>
      <c r="BF115" s="21">
        <v>6783</v>
      </c>
      <c r="BG115" s="21">
        <v>6624</v>
      </c>
      <c r="BH115" s="21">
        <v>6581</v>
      </c>
      <c r="BI115" s="21">
        <v>6670</v>
      </c>
      <c r="BJ115" s="21">
        <v>6725</v>
      </c>
      <c r="BK115" s="21">
        <v>6600</v>
      </c>
      <c r="BL115" s="21">
        <v>6786</v>
      </c>
      <c r="BM115" s="1">
        <v>6630</v>
      </c>
      <c r="BN115" s="1">
        <v>6747</v>
      </c>
      <c r="BO115" s="1">
        <v>6637</v>
      </c>
      <c r="BP115" s="1">
        <v>6600</v>
      </c>
      <c r="BQ115" s="1">
        <v>6410</v>
      </c>
      <c r="BR115" s="1">
        <v>6500</v>
      </c>
      <c r="BS115" s="1">
        <v>6441</v>
      </c>
      <c r="BT115" s="1">
        <v>6550</v>
      </c>
      <c r="BU115" s="1">
        <v>6635</v>
      </c>
      <c r="BV115" s="1">
        <v>6884</v>
      </c>
      <c r="BW115" s="1">
        <v>7087</v>
      </c>
      <c r="BX115" s="1">
        <v>7000</v>
      </c>
      <c r="BY115" s="1">
        <v>7049</v>
      </c>
      <c r="BZ115" s="1">
        <v>7055</v>
      </c>
    </row>
    <row r="116" spans="1:254" ht="15.9" customHeight="1">
      <c r="A116" s="78" t="s">
        <v>227</v>
      </c>
      <c r="B116" s="17" t="s">
        <v>228</v>
      </c>
      <c r="C116" s="543">
        <f>_xll.RssMarket("9882","始値")</f>
        <v>1720</v>
      </c>
      <c r="D116" s="23">
        <f t="shared" si="3"/>
        <v>0</v>
      </c>
      <c r="E116" s="550">
        <v>1720</v>
      </c>
      <c r="F116" s="21">
        <v>1725</v>
      </c>
      <c r="G116" s="21">
        <v>1745</v>
      </c>
      <c r="H116" s="73">
        <v>1728</v>
      </c>
      <c r="I116" s="21">
        <v>1830</v>
      </c>
      <c r="J116" s="21">
        <v>1871</v>
      </c>
      <c r="K116" s="21">
        <v>1860</v>
      </c>
      <c r="L116" s="21">
        <v>1840</v>
      </c>
      <c r="M116" s="21">
        <v>1800</v>
      </c>
      <c r="N116" s="21">
        <v>1775</v>
      </c>
      <c r="O116" s="21">
        <v>1797</v>
      </c>
      <c r="P116" s="21">
        <v>1806</v>
      </c>
      <c r="Q116" s="21">
        <v>1831</v>
      </c>
      <c r="R116" s="21">
        <v>1831</v>
      </c>
      <c r="S116" s="21">
        <v>1820</v>
      </c>
      <c r="T116" s="21">
        <v>1832</v>
      </c>
      <c r="U116" s="21">
        <v>1830</v>
      </c>
      <c r="V116" s="21">
        <v>1835</v>
      </c>
      <c r="W116" s="21">
        <v>1848</v>
      </c>
      <c r="X116" s="21">
        <v>1820</v>
      </c>
      <c r="Y116" s="21">
        <v>1820</v>
      </c>
      <c r="Z116" s="21">
        <v>1782</v>
      </c>
      <c r="AA116" s="21">
        <v>1777</v>
      </c>
      <c r="AB116" s="21">
        <v>1758</v>
      </c>
      <c r="AC116" s="21">
        <v>1756</v>
      </c>
      <c r="AD116" s="21">
        <v>1772</v>
      </c>
      <c r="AE116" s="21">
        <v>1775</v>
      </c>
      <c r="AF116" s="21">
        <v>1756</v>
      </c>
      <c r="AG116" s="21">
        <v>1759</v>
      </c>
      <c r="AH116" s="21">
        <v>1745</v>
      </c>
      <c r="AI116" s="21">
        <v>1752</v>
      </c>
      <c r="AJ116" s="21">
        <v>1770</v>
      </c>
      <c r="AK116" s="21">
        <v>1745</v>
      </c>
      <c r="AL116" s="21">
        <v>1741</v>
      </c>
      <c r="AM116" s="21">
        <v>1743</v>
      </c>
      <c r="AN116" s="21">
        <v>1728</v>
      </c>
      <c r="AO116" s="21">
        <v>1745</v>
      </c>
      <c r="AP116" s="21">
        <v>1725</v>
      </c>
      <c r="AQ116" s="21">
        <v>1719</v>
      </c>
      <c r="AR116" s="21">
        <v>1700</v>
      </c>
      <c r="AS116" s="21">
        <v>1663</v>
      </c>
      <c r="AT116" s="21">
        <v>1666</v>
      </c>
      <c r="AU116" s="21">
        <v>1680</v>
      </c>
      <c r="AV116" s="21">
        <v>1630</v>
      </c>
      <c r="AW116" s="21">
        <v>1612</v>
      </c>
      <c r="AX116" s="21">
        <v>1627</v>
      </c>
      <c r="AY116" s="21">
        <v>1628</v>
      </c>
      <c r="AZ116" s="21">
        <v>1625</v>
      </c>
      <c r="BA116" s="21">
        <v>1624</v>
      </c>
      <c r="BB116" s="21">
        <v>1629</v>
      </c>
      <c r="BC116" s="21">
        <v>1622</v>
      </c>
      <c r="BD116" s="21">
        <v>1637</v>
      </c>
      <c r="BE116" s="21">
        <v>1625</v>
      </c>
      <c r="BF116" s="21">
        <v>1640</v>
      </c>
      <c r="BG116" s="21">
        <v>1598</v>
      </c>
      <c r="BH116" s="21">
        <v>1620</v>
      </c>
      <c r="BI116" s="21">
        <v>1630</v>
      </c>
      <c r="BJ116" s="21">
        <v>1649</v>
      </c>
      <c r="BK116" s="21">
        <v>1647</v>
      </c>
      <c r="BL116" s="21">
        <v>1510</v>
      </c>
      <c r="BM116" s="1">
        <v>1511</v>
      </c>
      <c r="BN116" s="1">
        <v>1511</v>
      </c>
      <c r="BO116" s="1">
        <v>1504</v>
      </c>
      <c r="BP116" s="1">
        <v>1511</v>
      </c>
      <c r="BQ116" s="1">
        <v>1510</v>
      </c>
      <c r="BR116" s="1">
        <v>1515</v>
      </c>
      <c r="BS116" s="1">
        <v>1530</v>
      </c>
      <c r="BT116" s="1">
        <v>1565</v>
      </c>
      <c r="BU116" s="1">
        <v>1573</v>
      </c>
      <c r="BV116" s="1">
        <v>1575</v>
      </c>
      <c r="BW116" s="1">
        <v>1554</v>
      </c>
      <c r="BX116" s="1">
        <v>1557</v>
      </c>
      <c r="BY116" s="1">
        <v>1573</v>
      </c>
      <c r="BZ116" s="1">
        <v>1573</v>
      </c>
    </row>
    <row r="117" spans="1:254" ht="15.9" customHeight="1">
      <c r="A117" s="78" t="s">
        <v>229</v>
      </c>
      <c r="B117" s="17" t="s">
        <v>230</v>
      </c>
      <c r="C117" s="543">
        <f>_xll.RssMarket("5838","始値")</f>
        <v>5552</v>
      </c>
      <c r="D117" s="23">
        <f t="shared" si="3"/>
        <v>0</v>
      </c>
      <c r="E117" s="550">
        <v>5552</v>
      </c>
      <c r="F117" s="21">
        <v>5355</v>
      </c>
      <c r="G117" s="21">
        <v>5320</v>
      </c>
      <c r="H117" s="73">
        <v>5400</v>
      </c>
      <c r="I117" s="21">
        <v>5611</v>
      </c>
      <c r="J117" s="21">
        <v>5284</v>
      </c>
      <c r="K117" s="21">
        <v>5562</v>
      </c>
      <c r="L117" s="21">
        <v>5600</v>
      </c>
      <c r="M117" s="21">
        <v>5573</v>
      </c>
      <c r="N117" s="21">
        <v>5614</v>
      </c>
      <c r="O117" s="21">
        <v>5650</v>
      </c>
      <c r="P117" s="21">
        <v>5297</v>
      </c>
      <c r="Q117" s="21">
        <v>5421</v>
      </c>
      <c r="R117" s="21">
        <v>5400</v>
      </c>
      <c r="S117" s="21">
        <v>5870</v>
      </c>
      <c r="T117" s="21">
        <v>5868</v>
      </c>
      <c r="U117" s="21">
        <v>5701</v>
      </c>
      <c r="V117" s="21">
        <v>5799</v>
      </c>
      <c r="W117" s="21">
        <v>5769</v>
      </c>
      <c r="X117" s="21">
        <v>5727</v>
      </c>
      <c r="Y117" s="21">
        <v>5585</v>
      </c>
      <c r="Z117" s="21">
        <v>5401</v>
      </c>
      <c r="AA117" s="21">
        <v>5400</v>
      </c>
      <c r="AB117" s="21">
        <v>5132</v>
      </c>
      <c r="AC117" s="21">
        <v>5170</v>
      </c>
      <c r="AD117" s="21">
        <v>5124</v>
      </c>
      <c r="AE117" s="21">
        <v>5051</v>
      </c>
      <c r="AF117" s="21">
        <v>4980</v>
      </c>
      <c r="AG117" s="21">
        <v>4990</v>
      </c>
      <c r="AH117" s="21">
        <v>5100</v>
      </c>
      <c r="AI117" s="21">
        <v>5137</v>
      </c>
      <c r="AJ117" s="21">
        <v>5109</v>
      </c>
      <c r="AK117" s="21">
        <v>5199</v>
      </c>
      <c r="AL117" s="21">
        <v>5247</v>
      </c>
      <c r="AM117" s="21">
        <v>5250</v>
      </c>
      <c r="AN117" s="21">
        <v>5179</v>
      </c>
      <c r="AO117" s="21">
        <v>5300</v>
      </c>
      <c r="AP117" s="21">
        <v>5104</v>
      </c>
      <c r="AQ117" s="21">
        <v>4951</v>
      </c>
      <c r="AR117" s="21">
        <v>5113</v>
      </c>
      <c r="AS117" s="21">
        <v>4971</v>
      </c>
      <c r="AT117" s="21">
        <v>5078</v>
      </c>
      <c r="AU117" s="21">
        <v>4801</v>
      </c>
      <c r="AV117" s="21">
        <v>4501</v>
      </c>
      <c r="AW117" s="21">
        <v>4508</v>
      </c>
      <c r="AX117" s="21">
        <v>4840</v>
      </c>
      <c r="AY117" s="21">
        <v>4845</v>
      </c>
      <c r="AZ117" s="21">
        <v>4926</v>
      </c>
      <c r="BA117" s="21">
        <v>4848</v>
      </c>
      <c r="BB117" s="21">
        <v>5280</v>
      </c>
      <c r="BC117" s="21">
        <v>5636</v>
      </c>
      <c r="BD117" s="21">
        <v>6730</v>
      </c>
      <c r="BE117" s="21">
        <v>6691</v>
      </c>
      <c r="BF117" s="21">
        <v>6300</v>
      </c>
      <c r="BG117" s="21">
        <v>6034</v>
      </c>
      <c r="BH117" s="21">
        <v>6097</v>
      </c>
      <c r="BI117" s="21">
        <v>6000</v>
      </c>
      <c r="BJ117" s="21">
        <v>6268</v>
      </c>
      <c r="BK117" s="21">
        <v>6323</v>
      </c>
      <c r="BL117" s="21">
        <v>6175</v>
      </c>
      <c r="BM117" s="1">
        <v>6331</v>
      </c>
      <c r="BN117" s="1">
        <v>6220</v>
      </c>
      <c r="BO117" s="1">
        <v>6299</v>
      </c>
      <c r="BP117" s="1">
        <v>6180</v>
      </c>
      <c r="BQ117" s="1">
        <v>6070</v>
      </c>
      <c r="BR117" s="1">
        <v>6206</v>
      </c>
      <c r="BS117" s="1">
        <v>6102</v>
      </c>
      <c r="BT117" s="1">
        <v>6302</v>
      </c>
      <c r="BU117" s="1">
        <v>6451</v>
      </c>
      <c r="BV117" s="1">
        <v>6513</v>
      </c>
      <c r="BW117" s="1">
        <v>6670</v>
      </c>
      <c r="BX117" s="1">
        <v>6760</v>
      </c>
      <c r="BY117" s="1">
        <v>6800</v>
      </c>
      <c r="BZ117" s="1">
        <v>6875</v>
      </c>
    </row>
    <row r="118" spans="1:254" ht="15.9" customHeight="1">
      <c r="A118" s="78" t="s">
        <v>231</v>
      </c>
      <c r="B118" s="17" t="s">
        <v>232</v>
      </c>
      <c r="C118" s="543">
        <f>_xll.RssMarket("5844","始値")</f>
        <v>4651</v>
      </c>
      <c r="D118" s="23">
        <f t="shared" si="3"/>
        <v>0</v>
      </c>
      <c r="E118" s="550">
        <v>4651</v>
      </c>
      <c r="F118" s="21">
        <v>4540</v>
      </c>
      <c r="G118" s="21">
        <v>4490</v>
      </c>
      <c r="H118" s="73">
        <v>4403</v>
      </c>
      <c r="I118" s="21">
        <v>4525</v>
      </c>
      <c r="J118" s="21">
        <v>4450</v>
      </c>
      <c r="K118" s="21">
        <v>4580</v>
      </c>
      <c r="L118" s="21">
        <v>4630</v>
      </c>
      <c r="M118" s="21">
        <v>4633</v>
      </c>
      <c r="N118" s="21">
        <v>4595</v>
      </c>
      <c r="O118" s="21">
        <v>4573</v>
      </c>
      <c r="P118" s="21">
        <v>4549</v>
      </c>
      <c r="Q118" s="21">
        <v>4454</v>
      </c>
      <c r="R118" s="21">
        <v>4590</v>
      </c>
      <c r="S118" s="21">
        <v>4704</v>
      </c>
      <c r="T118" s="21">
        <v>4697</v>
      </c>
      <c r="U118" s="21">
        <v>4688</v>
      </c>
      <c r="V118" s="21">
        <v>4730</v>
      </c>
      <c r="W118" s="21">
        <v>4798</v>
      </c>
      <c r="X118" s="21">
        <v>4720</v>
      </c>
      <c r="Y118" s="21">
        <v>4875</v>
      </c>
      <c r="Z118" s="21">
        <v>4674</v>
      </c>
      <c r="AA118" s="21">
        <v>4668</v>
      </c>
      <c r="AB118" s="21">
        <v>4643</v>
      </c>
      <c r="AC118" s="21">
        <v>4540</v>
      </c>
      <c r="AD118" s="21">
        <v>4541</v>
      </c>
      <c r="AE118" s="21">
        <v>4500</v>
      </c>
      <c r="AF118" s="21">
        <v>4569</v>
      </c>
      <c r="AG118" s="21">
        <v>4582</v>
      </c>
      <c r="AH118" s="21">
        <v>4639</v>
      </c>
      <c r="AI118" s="21">
        <v>4802</v>
      </c>
      <c r="AJ118" s="21">
        <v>4866</v>
      </c>
      <c r="AK118" s="21">
        <v>4728</v>
      </c>
      <c r="AL118" s="21">
        <v>4620</v>
      </c>
      <c r="AM118" s="21">
        <v>4726</v>
      </c>
      <c r="AN118" s="21">
        <v>4468</v>
      </c>
      <c r="AO118" s="21">
        <v>4529</v>
      </c>
      <c r="AP118" s="21">
        <v>4499</v>
      </c>
      <c r="AQ118" s="21">
        <v>4480</v>
      </c>
      <c r="AR118" s="21">
        <v>4680</v>
      </c>
      <c r="AS118" s="21">
        <v>4575</v>
      </c>
      <c r="AT118" s="21">
        <v>4600</v>
      </c>
      <c r="AU118" s="21">
        <v>4277</v>
      </c>
      <c r="AV118" s="21">
        <v>4384</v>
      </c>
      <c r="AW118" s="21">
        <v>4278</v>
      </c>
      <c r="AX118" s="21">
        <v>4403</v>
      </c>
      <c r="AY118" s="21">
        <v>4504</v>
      </c>
      <c r="AZ118" s="21">
        <v>4502</v>
      </c>
      <c r="BA118" s="21">
        <v>4549</v>
      </c>
      <c r="BB118" s="21">
        <v>4498</v>
      </c>
      <c r="BC118" s="21">
        <v>4450</v>
      </c>
      <c r="BD118" s="21">
        <v>4465</v>
      </c>
      <c r="BE118" s="21">
        <v>4406</v>
      </c>
      <c r="BF118" s="21">
        <v>4420</v>
      </c>
      <c r="BG118" s="21">
        <v>4231</v>
      </c>
      <c r="BH118" s="21">
        <v>4483</v>
      </c>
      <c r="BI118" s="21">
        <v>4410</v>
      </c>
      <c r="BJ118" s="21">
        <v>4447</v>
      </c>
      <c r="BK118" s="21">
        <v>4403</v>
      </c>
      <c r="BL118" s="21">
        <v>4391</v>
      </c>
      <c r="BM118" s="1">
        <v>4443</v>
      </c>
      <c r="BN118" s="1">
        <v>4336</v>
      </c>
      <c r="BO118" s="1">
        <v>4319</v>
      </c>
      <c r="BP118" s="1">
        <v>4261</v>
      </c>
      <c r="BQ118" s="1">
        <v>4176</v>
      </c>
      <c r="BR118" s="1">
        <v>4230</v>
      </c>
      <c r="BS118" s="1">
        <v>4188</v>
      </c>
      <c r="BT118" s="1">
        <v>4350</v>
      </c>
      <c r="BU118" s="1">
        <v>4364</v>
      </c>
      <c r="BV118" s="1">
        <v>4450</v>
      </c>
      <c r="BW118" s="1">
        <v>4395</v>
      </c>
      <c r="BX118" s="1">
        <v>4395</v>
      </c>
      <c r="BY118" s="1">
        <v>4350</v>
      </c>
      <c r="BZ118" s="1">
        <v>4395</v>
      </c>
    </row>
    <row r="119" spans="1:254" ht="15.9" customHeight="1">
      <c r="A119" s="78" t="s">
        <v>233</v>
      </c>
      <c r="B119" s="17" t="s">
        <v>234</v>
      </c>
      <c r="C119" s="543">
        <f>_xll.RssMarket("9404","始値")</f>
        <v>2794.5</v>
      </c>
      <c r="D119" s="23">
        <f t="shared" si="3"/>
        <v>0</v>
      </c>
      <c r="E119" s="550">
        <v>2794.5</v>
      </c>
      <c r="F119" s="21">
        <v>2833.5</v>
      </c>
      <c r="G119" s="21">
        <v>2920</v>
      </c>
      <c r="H119" s="73">
        <v>2816</v>
      </c>
      <c r="I119" s="21">
        <v>2918</v>
      </c>
      <c r="J119" s="21">
        <v>3059</v>
      </c>
      <c r="K119" s="21">
        <v>3000</v>
      </c>
      <c r="L119" s="21">
        <v>2945.5</v>
      </c>
      <c r="M119" s="21">
        <v>2866</v>
      </c>
      <c r="N119" s="21">
        <v>2798</v>
      </c>
      <c r="O119" s="21">
        <v>2807.5</v>
      </c>
      <c r="P119" s="21">
        <v>2859.5</v>
      </c>
      <c r="Q119" s="21">
        <v>2933</v>
      </c>
      <c r="R119" s="21">
        <v>2876</v>
      </c>
      <c r="S119" s="21">
        <v>2891</v>
      </c>
      <c r="T119" s="21">
        <v>2905</v>
      </c>
      <c r="U119" s="21">
        <v>2900.5</v>
      </c>
      <c r="V119" s="21">
        <v>2890.5</v>
      </c>
      <c r="W119" s="21">
        <v>2915.5</v>
      </c>
      <c r="X119" s="21">
        <v>2954</v>
      </c>
      <c r="Y119" s="21">
        <v>2904</v>
      </c>
      <c r="Z119" s="21">
        <v>2860.5</v>
      </c>
      <c r="AA119" s="21">
        <v>2919.5</v>
      </c>
      <c r="AB119" s="21">
        <v>2870</v>
      </c>
      <c r="AC119" s="21">
        <v>2783</v>
      </c>
      <c r="AD119" s="21">
        <v>2766</v>
      </c>
      <c r="AE119" s="21">
        <v>2715</v>
      </c>
      <c r="AF119" s="21">
        <v>2692.5</v>
      </c>
      <c r="AG119" s="21">
        <v>2735.5</v>
      </c>
      <c r="AH119" s="21">
        <v>2740</v>
      </c>
      <c r="AI119" s="21">
        <v>2735.5</v>
      </c>
      <c r="AJ119" s="21">
        <v>2770</v>
      </c>
      <c r="AK119" s="21">
        <v>2847.5</v>
      </c>
      <c r="AL119" s="21">
        <v>2851</v>
      </c>
      <c r="AM119" s="21">
        <v>2897.5</v>
      </c>
      <c r="AN119" s="21">
        <v>2817.5</v>
      </c>
      <c r="AO119" s="21">
        <v>2846</v>
      </c>
      <c r="AP119" s="21">
        <v>2858</v>
      </c>
      <c r="AQ119" s="21">
        <v>2898.5</v>
      </c>
      <c r="AR119" s="21">
        <v>2893</v>
      </c>
      <c r="AS119" s="21">
        <v>2828.5</v>
      </c>
      <c r="AT119" s="21">
        <v>2840</v>
      </c>
      <c r="AU119" s="21">
        <v>2777</v>
      </c>
      <c r="AV119" s="21">
        <v>2768</v>
      </c>
      <c r="AW119" s="21">
        <v>2820</v>
      </c>
      <c r="AX119" s="21">
        <v>2850</v>
      </c>
      <c r="AY119" s="21">
        <v>2874.5</v>
      </c>
      <c r="AZ119" s="21">
        <v>2847</v>
      </c>
      <c r="BA119" s="21">
        <v>2904.5</v>
      </c>
      <c r="BB119" s="21">
        <v>2933.5</v>
      </c>
      <c r="BC119" s="21">
        <v>2920</v>
      </c>
      <c r="BD119" s="21">
        <v>2931.5</v>
      </c>
      <c r="BE119" s="21">
        <v>2902.5</v>
      </c>
      <c r="BF119" s="21">
        <v>2922</v>
      </c>
      <c r="BG119" s="21">
        <v>2790</v>
      </c>
      <c r="BH119" s="21">
        <v>2900</v>
      </c>
      <c r="BI119" s="21">
        <v>2947.5</v>
      </c>
      <c r="BJ119" s="21">
        <v>2935</v>
      </c>
      <c r="BK119" s="21">
        <v>2966</v>
      </c>
      <c r="BL119" s="21">
        <v>3015</v>
      </c>
      <c r="BM119" s="1">
        <v>2986</v>
      </c>
      <c r="BN119" s="1">
        <v>2950</v>
      </c>
      <c r="BO119" s="1">
        <v>2985.5</v>
      </c>
      <c r="BP119" s="1">
        <v>3041</v>
      </c>
      <c r="BQ119" s="1">
        <v>2981</v>
      </c>
      <c r="BR119" s="1">
        <v>2960</v>
      </c>
      <c r="BS119" s="1">
        <v>3050</v>
      </c>
      <c r="BT119" s="1">
        <v>3145</v>
      </c>
      <c r="BU119" s="1">
        <v>3177</v>
      </c>
      <c r="BV119" s="1">
        <v>3200</v>
      </c>
      <c r="BW119" s="1">
        <v>3171</v>
      </c>
      <c r="BX119" s="1">
        <v>3195</v>
      </c>
      <c r="BY119" s="1">
        <v>3169</v>
      </c>
      <c r="BZ119" s="1">
        <v>3173</v>
      </c>
    </row>
    <row r="120" spans="1:254" ht="15.9" customHeight="1">
      <c r="A120" s="78" t="s">
        <v>235</v>
      </c>
      <c r="B120" s="17" t="s">
        <v>236</v>
      </c>
      <c r="C120" s="543">
        <f>_xll.RssMarket("6744","始値")</f>
        <v>4690</v>
      </c>
      <c r="D120" s="23">
        <f t="shared" si="3"/>
        <v>0</v>
      </c>
      <c r="E120" s="550">
        <v>4690</v>
      </c>
      <c r="F120" s="21">
        <v>4550</v>
      </c>
      <c r="G120" s="21">
        <v>4495</v>
      </c>
      <c r="H120" s="73">
        <v>4415</v>
      </c>
      <c r="I120" s="21">
        <v>4430</v>
      </c>
      <c r="J120" s="21">
        <v>4350</v>
      </c>
      <c r="K120" s="21">
        <v>4450</v>
      </c>
      <c r="L120" s="21">
        <v>4405</v>
      </c>
      <c r="M120" s="21">
        <v>4380</v>
      </c>
      <c r="N120" s="21"/>
      <c r="O120" s="21">
        <v>4265</v>
      </c>
      <c r="P120" s="21">
        <v>4310</v>
      </c>
      <c r="Q120" s="21">
        <v>4235</v>
      </c>
      <c r="R120" s="21">
        <v>4240</v>
      </c>
      <c r="S120" s="21">
        <v>4320</v>
      </c>
      <c r="T120" s="21">
        <v>4290</v>
      </c>
      <c r="U120" s="21">
        <v>4330</v>
      </c>
      <c r="V120" s="21">
        <v>4360</v>
      </c>
      <c r="W120" s="21">
        <v>4290</v>
      </c>
      <c r="X120" s="21">
        <v>4410</v>
      </c>
      <c r="Y120" s="21">
        <v>4415</v>
      </c>
      <c r="Z120" s="21">
        <v>4380</v>
      </c>
      <c r="AA120" s="21">
        <v>4245</v>
      </c>
      <c r="AB120" s="21">
        <v>4140</v>
      </c>
      <c r="AC120" s="21">
        <v>4115</v>
      </c>
      <c r="AD120" s="21">
        <v>4210</v>
      </c>
      <c r="AE120" s="21">
        <v>4140</v>
      </c>
      <c r="AF120" s="21">
        <v>4115</v>
      </c>
      <c r="AG120" s="21">
        <v>4200</v>
      </c>
      <c r="AH120" s="21">
        <v>4165</v>
      </c>
      <c r="AI120" s="21">
        <v>4205</v>
      </c>
      <c r="AJ120" s="21">
        <v>4230</v>
      </c>
      <c r="AK120" s="21">
        <v>4220</v>
      </c>
      <c r="AL120" s="21">
        <v>4200</v>
      </c>
      <c r="AM120" s="21">
        <v>4200</v>
      </c>
      <c r="AN120" s="21">
        <v>4225</v>
      </c>
      <c r="AO120" s="21">
        <v>4300</v>
      </c>
      <c r="AP120" s="21">
        <v>4240</v>
      </c>
      <c r="AQ120" s="21">
        <v>4280</v>
      </c>
      <c r="AR120" s="21">
        <v>4340</v>
      </c>
      <c r="AS120" s="21">
        <v>4360</v>
      </c>
      <c r="AT120" s="21">
        <v>4500</v>
      </c>
      <c r="AU120" s="21">
        <v>4500</v>
      </c>
      <c r="AV120" s="21">
        <v>4705</v>
      </c>
      <c r="AW120" s="21">
        <v>4630</v>
      </c>
      <c r="AX120" s="21">
        <v>4810</v>
      </c>
      <c r="AY120" s="21">
        <v>4710</v>
      </c>
      <c r="AZ120" s="21">
        <v>4940</v>
      </c>
      <c r="BA120" s="21">
        <v>4785</v>
      </c>
      <c r="BB120" s="21">
        <v>4650</v>
      </c>
      <c r="BC120" s="21">
        <v>4595</v>
      </c>
      <c r="BD120" s="21">
        <v>4615</v>
      </c>
      <c r="BE120" s="21">
        <v>4800</v>
      </c>
      <c r="BF120" s="21">
        <v>4660</v>
      </c>
      <c r="BG120" s="21">
        <v>4660</v>
      </c>
      <c r="BH120" s="21">
        <v>4350</v>
      </c>
      <c r="BI120" s="21">
        <v>4385</v>
      </c>
      <c r="BJ120" s="21">
        <v>4310</v>
      </c>
      <c r="BK120" s="21">
        <v>4460</v>
      </c>
      <c r="BL120" s="21">
        <v>4315</v>
      </c>
      <c r="BM120" s="1">
        <v>4345</v>
      </c>
      <c r="BN120" s="1">
        <v>4125</v>
      </c>
      <c r="BO120" s="1">
        <v>4035</v>
      </c>
      <c r="BP120" s="1">
        <v>3975</v>
      </c>
      <c r="BQ120" s="1">
        <v>3905</v>
      </c>
      <c r="BR120" s="1">
        <v>3965</v>
      </c>
      <c r="BS120" s="1">
        <v>4000</v>
      </c>
      <c r="BT120" s="1">
        <v>4040</v>
      </c>
      <c r="BU120" s="1">
        <v>4100</v>
      </c>
      <c r="BV120" s="1">
        <v>4135</v>
      </c>
      <c r="BW120" s="1">
        <v>4205</v>
      </c>
      <c r="BX120" s="1">
        <v>4270</v>
      </c>
      <c r="BY120" s="1">
        <v>4435</v>
      </c>
      <c r="BZ120" s="1">
        <v>4410</v>
      </c>
    </row>
    <row r="121" spans="1:254" ht="15.9" customHeight="1">
      <c r="A121" s="78" t="s">
        <v>237</v>
      </c>
      <c r="B121" s="17" t="s">
        <v>238</v>
      </c>
      <c r="C121" s="543">
        <f>_xll.RssMarket("7685","始値")</f>
        <v>3200</v>
      </c>
      <c r="D121" s="23">
        <f t="shared" si="3"/>
        <v>0</v>
      </c>
      <c r="E121" s="550">
        <v>3200</v>
      </c>
      <c r="F121" s="21">
        <v>2980</v>
      </c>
      <c r="G121" s="21">
        <v>2975</v>
      </c>
      <c r="H121" s="73">
        <v>3015</v>
      </c>
      <c r="I121" s="21">
        <v>2950</v>
      </c>
      <c r="J121" s="21">
        <v>2992</v>
      </c>
      <c r="K121" s="21">
        <v>3100</v>
      </c>
      <c r="L121" s="21">
        <v>3130</v>
      </c>
      <c r="M121" s="21">
        <v>3105</v>
      </c>
      <c r="N121" s="21"/>
      <c r="O121" s="21">
        <v>3225</v>
      </c>
      <c r="P121" s="21">
        <v>3250</v>
      </c>
      <c r="Q121" s="21">
        <v>3260</v>
      </c>
      <c r="R121" s="21">
        <v>3485</v>
      </c>
      <c r="S121" s="21">
        <v>3535</v>
      </c>
      <c r="T121" s="21">
        <v>3515</v>
      </c>
      <c r="U121" s="21">
        <v>3505</v>
      </c>
      <c r="V121" s="21">
        <v>3560</v>
      </c>
      <c r="W121" s="21">
        <v>3660</v>
      </c>
      <c r="X121" s="21">
        <v>3550</v>
      </c>
      <c r="Y121" s="21">
        <v>3435</v>
      </c>
      <c r="Z121" s="21">
        <v>3495</v>
      </c>
      <c r="AA121" s="21">
        <v>3480</v>
      </c>
      <c r="AB121" s="21">
        <v>3425</v>
      </c>
      <c r="AC121" s="21">
        <v>3365</v>
      </c>
      <c r="AD121" s="21">
        <v>3245</v>
      </c>
      <c r="AE121" s="21">
        <v>3450</v>
      </c>
      <c r="AF121" s="21">
        <v>3410</v>
      </c>
      <c r="AG121" s="21">
        <v>3715</v>
      </c>
      <c r="AH121" s="21">
        <v>3665</v>
      </c>
      <c r="AI121" s="21">
        <v>3675</v>
      </c>
      <c r="AJ121" s="21">
        <v>3460</v>
      </c>
      <c r="AK121" s="21">
        <v>3510</v>
      </c>
      <c r="AL121" s="21">
        <v>3600</v>
      </c>
      <c r="AM121" s="21">
        <v>3505</v>
      </c>
      <c r="AN121" s="21">
        <v>3675</v>
      </c>
      <c r="AO121" s="21">
        <v>3760</v>
      </c>
      <c r="AP121" s="21">
        <v>3820</v>
      </c>
      <c r="AQ121" s="21">
        <v>3750</v>
      </c>
      <c r="AR121" s="21">
        <v>3720</v>
      </c>
      <c r="AS121" s="21">
        <v>3600</v>
      </c>
      <c r="AT121" s="21">
        <v>3725</v>
      </c>
      <c r="AU121" s="21">
        <v>3865</v>
      </c>
      <c r="AV121" s="21">
        <v>3945</v>
      </c>
      <c r="AW121" s="21">
        <v>4065</v>
      </c>
      <c r="AX121" s="21">
        <v>4030</v>
      </c>
      <c r="AY121" s="21">
        <v>3920</v>
      </c>
      <c r="AZ121" s="21">
        <v>3855</v>
      </c>
      <c r="BA121" s="21">
        <v>3825</v>
      </c>
      <c r="BB121" s="21">
        <v>3650</v>
      </c>
      <c r="BC121" s="21">
        <v>3700</v>
      </c>
      <c r="BD121" s="21">
        <v>3795</v>
      </c>
      <c r="BE121" s="21">
        <v>3340</v>
      </c>
      <c r="BF121" s="21">
        <v>3450</v>
      </c>
      <c r="BG121" s="21">
        <v>3375</v>
      </c>
      <c r="BH121" s="21">
        <v>3330</v>
      </c>
      <c r="BI121" s="21">
        <v>3000</v>
      </c>
      <c r="BJ121" s="21">
        <v>3280</v>
      </c>
      <c r="BK121" s="21">
        <v>3330</v>
      </c>
      <c r="BL121" s="21">
        <v>3240</v>
      </c>
      <c r="BM121" s="1">
        <v>3090</v>
      </c>
      <c r="BN121" s="1">
        <v>3280</v>
      </c>
      <c r="BO121" s="1">
        <v>3210</v>
      </c>
      <c r="BP121" s="1">
        <v>3100</v>
      </c>
      <c r="BQ121" s="1">
        <v>3135</v>
      </c>
      <c r="BR121" s="1">
        <v>3245</v>
      </c>
      <c r="BS121" s="1">
        <v>3295</v>
      </c>
      <c r="BT121" s="1">
        <v>3420</v>
      </c>
      <c r="BU121" s="1">
        <v>3390</v>
      </c>
      <c r="BV121" s="1">
        <v>3470</v>
      </c>
      <c r="BW121" s="1">
        <v>3625</v>
      </c>
      <c r="BX121" s="1">
        <v>3650</v>
      </c>
      <c r="BY121" s="1">
        <v>3570</v>
      </c>
      <c r="BZ121" s="1">
        <v>3560</v>
      </c>
    </row>
    <row r="122" spans="1:254" ht="15.9" customHeight="1">
      <c r="A122" s="78" t="s">
        <v>239</v>
      </c>
      <c r="B122" s="17" t="s">
        <v>240</v>
      </c>
      <c r="C122" s="543">
        <f>_xll.RssMarket("8334","始値")</f>
        <v>2565</v>
      </c>
      <c r="D122" s="23">
        <f t="shared" si="3"/>
        <v>0</v>
      </c>
      <c r="E122" s="550">
        <v>2565</v>
      </c>
      <c r="F122" s="21">
        <v>2496.5</v>
      </c>
      <c r="G122" s="21">
        <v>2517.5</v>
      </c>
      <c r="H122" s="73">
        <v>2531</v>
      </c>
      <c r="I122" s="21">
        <v>2513.5</v>
      </c>
      <c r="J122" s="21">
        <v>2461.5</v>
      </c>
      <c r="K122" s="21">
        <v>2570</v>
      </c>
      <c r="L122" s="21">
        <v>2646.5</v>
      </c>
      <c r="M122" s="21">
        <v>2647</v>
      </c>
      <c r="N122" s="21">
        <v>2545</v>
      </c>
      <c r="O122" s="21">
        <v>2570</v>
      </c>
      <c r="P122" s="21">
        <v>2581</v>
      </c>
      <c r="Q122" s="21">
        <v>2460</v>
      </c>
      <c r="R122" s="21">
        <v>2610</v>
      </c>
      <c r="S122" s="21">
        <v>2584</v>
      </c>
      <c r="T122" s="21">
        <v>2548.5</v>
      </c>
      <c r="U122" s="21">
        <v>2520</v>
      </c>
      <c r="V122" s="21">
        <v>2510</v>
      </c>
      <c r="W122" s="21">
        <v>2545</v>
      </c>
      <c r="X122" s="21">
        <v>2450.5</v>
      </c>
      <c r="Y122" s="21">
        <v>2502</v>
      </c>
      <c r="Z122" s="21">
        <v>2420.5</v>
      </c>
      <c r="AA122" s="21">
        <v>2441</v>
      </c>
      <c r="AB122" s="21">
        <v>2400</v>
      </c>
      <c r="AC122" s="21">
        <v>2336.5</v>
      </c>
      <c r="AD122" s="21">
        <v>2333</v>
      </c>
      <c r="AE122" s="21">
        <v>2348</v>
      </c>
      <c r="AF122" s="21">
        <v>2329</v>
      </c>
      <c r="AG122" s="21">
        <v>2322.5</v>
      </c>
      <c r="AH122" s="21">
        <v>2307</v>
      </c>
      <c r="AI122" s="21">
        <v>2332</v>
      </c>
      <c r="AJ122" s="21">
        <v>2294</v>
      </c>
      <c r="AK122" s="21">
        <v>2308.5</v>
      </c>
      <c r="AL122" s="21">
        <v>2340</v>
      </c>
      <c r="AM122" s="21">
        <v>2360</v>
      </c>
      <c r="AN122" s="21">
        <v>2326.5</v>
      </c>
      <c r="AO122" s="21">
        <v>2393.5</v>
      </c>
      <c r="AP122" s="21">
        <v>2352</v>
      </c>
      <c r="AQ122" s="21">
        <v>2317</v>
      </c>
      <c r="AR122" s="21">
        <v>2377</v>
      </c>
      <c r="AS122" s="21">
        <v>2246</v>
      </c>
      <c r="AT122" s="21">
        <v>2300</v>
      </c>
      <c r="AU122" s="21">
        <v>2178</v>
      </c>
      <c r="AV122" s="21">
        <v>2199</v>
      </c>
      <c r="AW122" s="21">
        <v>2147.5</v>
      </c>
      <c r="AX122" s="21">
        <v>2218.5</v>
      </c>
      <c r="AY122" s="21">
        <v>2279.5</v>
      </c>
      <c r="AZ122" s="21">
        <v>2261</v>
      </c>
      <c r="BA122" s="21">
        <v>2296</v>
      </c>
      <c r="BB122" s="21">
        <v>2369.5</v>
      </c>
      <c r="BC122" s="21">
        <v>2340</v>
      </c>
      <c r="BD122" s="21">
        <v>2312</v>
      </c>
      <c r="BE122" s="21">
        <v>2288</v>
      </c>
      <c r="BF122" s="21">
        <v>2259.5</v>
      </c>
      <c r="BG122" s="21">
        <v>2179</v>
      </c>
      <c r="BH122" s="21">
        <v>2182.5</v>
      </c>
      <c r="BI122" s="21">
        <v>2169</v>
      </c>
      <c r="BJ122" s="21">
        <v>2224</v>
      </c>
      <c r="BK122" s="21">
        <v>2194</v>
      </c>
      <c r="BL122" s="21">
        <v>2173</v>
      </c>
      <c r="BM122" s="1">
        <v>2247</v>
      </c>
      <c r="BN122" s="1">
        <v>2132</v>
      </c>
      <c r="BO122" s="1">
        <v>2199</v>
      </c>
      <c r="BP122" s="1">
        <v>2052</v>
      </c>
      <c r="BQ122" s="1">
        <v>2002</v>
      </c>
      <c r="BR122" s="1">
        <v>2050</v>
      </c>
      <c r="BS122" s="1">
        <v>2028</v>
      </c>
      <c r="BT122" s="1">
        <v>2133.5</v>
      </c>
      <c r="BU122" s="1">
        <v>2193</v>
      </c>
      <c r="BV122" s="1">
        <v>2255.5</v>
      </c>
      <c r="BW122" s="1">
        <v>2264.5</v>
      </c>
      <c r="BX122" s="1">
        <v>2295</v>
      </c>
      <c r="BY122" s="1">
        <v>2266</v>
      </c>
      <c r="BZ122" s="1">
        <v>2289</v>
      </c>
    </row>
    <row r="123" spans="1:254" ht="15.9" customHeight="1">
      <c r="A123" s="78" t="s">
        <v>241</v>
      </c>
      <c r="B123" s="17" t="s">
        <v>242</v>
      </c>
      <c r="C123" s="543">
        <f>_xll.RssMarket("8359","始値")</f>
        <v>2568.5</v>
      </c>
      <c r="D123" s="23">
        <f t="shared" si="3"/>
        <v>0</v>
      </c>
      <c r="E123" s="550">
        <v>2568.5</v>
      </c>
      <c r="F123" s="21">
        <v>2497</v>
      </c>
      <c r="G123" s="21">
        <v>2482</v>
      </c>
      <c r="H123" s="73">
        <v>2508</v>
      </c>
      <c r="I123" s="21">
        <v>2568.5</v>
      </c>
      <c r="J123" s="21">
        <v>2482</v>
      </c>
      <c r="K123" s="21">
        <v>2588</v>
      </c>
      <c r="L123" s="21">
        <v>2660</v>
      </c>
      <c r="M123" s="21">
        <v>2673.5</v>
      </c>
      <c r="N123" s="21">
        <v>2610</v>
      </c>
      <c r="O123" s="21">
        <v>2633</v>
      </c>
      <c r="P123" s="21">
        <v>2596</v>
      </c>
      <c r="Q123" s="21">
        <v>2504.5</v>
      </c>
      <c r="R123" s="21">
        <v>2607</v>
      </c>
      <c r="S123" s="21">
        <v>2575</v>
      </c>
      <c r="T123" s="21">
        <v>2561</v>
      </c>
      <c r="U123" s="21">
        <v>2579</v>
      </c>
      <c r="V123" s="21">
        <v>2608</v>
      </c>
      <c r="W123" s="21">
        <v>2564</v>
      </c>
      <c r="X123" s="21">
        <v>2550</v>
      </c>
      <c r="Y123" s="21">
        <v>2600</v>
      </c>
      <c r="Z123" s="21">
        <v>2528.5</v>
      </c>
      <c r="AA123" s="21">
        <v>2499</v>
      </c>
      <c r="AB123" s="21">
        <v>2462.5</v>
      </c>
      <c r="AC123" s="21">
        <v>2391.5</v>
      </c>
      <c r="AD123" s="21">
        <v>2396</v>
      </c>
      <c r="AE123" s="21">
        <v>2399</v>
      </c>
      <c r="AF123" s="21">
        <v>2376</v>
      </c>
      <c r="AG123" s="21">
        <v>2389.5</v>
      </c>
      <c r="AH123" s="21">
        <v>2390</v>
      </c>
      <c r="AI123" s="21">
        <v>2413.5</v>
      </c>
      <c r="AJ123" s="21">
        <v>2331</v>
      </c>
      <c r="AK123" s="21">
        <v>2329</v>
      </c>
      <c r="AL123" s="21">
        <v>2326</v>
      </c>
      <c r="AM123" s="21">
        <v>2372</v>
      </c>
      <c r="AN123" s="21">
        <v>2356.5</v>
      </c>
      <c r="AO123" s="21">
        <v>2460</v>
      </c>
      <c r="AP123" s="21">
        <v>2354.5</v>
      </c>
      <c r="AQ123" s="21">
        <v>2331</v>
      </c>
      <c r="AR123" s="21">
        <v>2452</v>
      </c>
      <c r="AS123" s="21">
        <v>2350</v>
      </c>
      <c r="AT123" s="21">
        <v>2438</v>
      </c>
      <c r="AU123" s="21">
        <v>2283.5</v>
      </c>
      <c r="AV123" s="21">
        <v>2348</v>
      </c>
      <c r="AW123" s="21">
        <v>2300</v>
      </c>
      <c r="AX123" s="21">
        <v>2295</v>
      </c>
      <c r="AY123" s="21">
        <v>2295.5</v>
      </c>
      <c r="AZ123" s="21">
        <v>2300</v>
      </c>
      <c r="BA123" s="21">
        <v>2363</v>
      </c>
      <c r="BB123" s="21">
        <v>2370</v>
      </c>
      <c r="BC123" s="21">
        <v>2341.5</v>
      </c>
      <c r="BD123" s="21">
        <v>2300</v>
      </c>
      <c r="BE123" s="21">
        <v>2230</v>
      </c>
      <c r="BF123" s="21">
        <v>2358</v>
      </c>
      <c r="BG123" s="21">
        <v>2340</v>
      </c>
      <c r="BH123" s="21">
        <v>2355</v>
      </c>
      <c r="BI123" s="21">
        <v>2327.5</v>
      </c>
      <c r="BJ123" s="21">
        <v>2308.5</v>
      </c>
      <c r="BK123" s="21">
        <v>2221</v>
      </c>
      <c r="BL123" s="21">
        <v>2228</v>
      </c>
      <c r="BM123" s="1">
        <v>2167</v>
      </c>
      <c r="BN123" s="1">
        <v>2104</v>
      </c>
      <c r="BO123" s="1">
        <v>2150.5</v>
      </c>
      <c r="BP123" s="1">
        <v>2059</v>
      </c>
      <c r="BQ123" s="1">
        <v>1991</v>
      </c>
      <c r="BR123" s="1">
        <v>2032</v>
      </c>
      <c r="BS123" s="1">
        <v>1997.5</v>
      </c>
      <c r="BT123" s="1">
        <v>2037.5</v>
      </c>
      <c r="BU123" s="1">
        <v>2094.5</v>
      </c>
      <c r="BV123" s="1">
        <v>2125</v>
      </c>
      <c r="BW123" s="1">
        <v>2111</v>
      </c>
      <c r="BX123" s="1">
        <v>2104</v>
      </c>
      <c r="BY123" s="1">
        <v>2084.5</v>
      </c>
      <c r="BZ123" s="1">
        <v>2088</v>
      </c>
    </row>
    <row r="124" spans="1:254" ht="15.9" customHeight="1">
      <c r="A124" s="78" t="s">
        <v>243</v>
      </c>
      <c r="B124" s="17" t="s">
        <v>244</v>
      </c>
      <c r="C124" s="543">
        <f>_xll.RssMarket("8801","始値")</f>
        <v>1488</v>
      </c>
      <c r="D124" s="23">
        <f t="shared" si="3"/>
        <v>0</v>
      </c>
      <c r="E124" s="550">
        <v>1488</v>
      </c>
      <c r="F124" s="21">
        <v>1479.5</v>
      </c>
      <c r="G124" s="21">
        <v>1507</v>
      </c>
      <c r="H124" s="73">
        <v>1530</v>
      </c>
      <c r="I124" s="21">
        <v>1580</v>
      </c>
      <c r="J124" s="21">
        <v>1605.5</v>
      </c>
      <c r="K124" s="21">
        <v>1618</v>
      </c>
      <c r="L124" s="21">
        <v>1590</v>
      </c>
      <c r="M124" s="21">
        <v>1565.5</v>
      </c>
      <c r="N124" s="21">
        <v>1530</v>
      </c>
      <c r="O124" s="21">
        <v>1535</v>
      </c>
      <c r="P124" s="21">
        <v>1540</v>
      </c>
      <c r="Q124" s="21">
        <v>1543.5</v>
      </c>
      <c r="R124" s="21">
        <v>1549</v>
      </c>
      <c r="S124" s="21">
        <v>1553</v>
      </c>
      <c r="T124" s="21">
        <v>1510</v>
      </c>
      <c r="U124" s="21">
        <v>1528</v>
      </c>
      <c r="V124" s="21">
        <v>1518.5</v>
      </c>
      <c r="W124" s="21">
        <v>1504.5</v>
      </c>
      <c r="X124" s="21">
        <v>1578</v>
      </c>
      <c r="Y124" s="21">
        <v>1571</v>
      </c>
      <c r="Z124" s="21">
        <v>1545</v>
      </c>
      <c r="AA124" s="21">
        <v>1560.5</v>
      </c>
      <c r="AB124" s="21">
        <v>1498</v>
      </c>
      <c r="AC124" s="21">
        <v>1491</v>
      </c>
      <c r="AD124" s="21">
        <v>1525</v>
      </c>
      <c r="AE124" s="21">
        <v>1500</v>
      </c>
      <c r="AF124" s="21">
        <v>1451.5</v>
      </c>
      <c r="AG124" s="21">
        <v>1494</v>
      </c>
      <c r="AH124" s="21">
        <v>1448.5</v>
      </c>
      <c r="AI124" s="21">
        <v>1458</v>
      </c>
      <c r="AJ124" s="21">
        <v>1486.5</v>
      </c>
      <c r="AK124" s="21">
        <v>1493.5</v>
      </c>
      <c r="AL124" s="21">
        <v>1516.5</v>
      </c>
      <c r="AM124" s="21">
        <v>1544.5</v>
      </c>
      <c r="AN124" s="21">
        <v>1564.5</v>
      </c>
      <c r="AO124" s="21">
        <v>1586</v>
      </c>
      <c r="AP124" s="21">
        <v>1564</v>
      </c>
      <c r="AQ124" s="21">
        <v>1555</v>
      </c>
      <c r="AR124" s="21">
        <v>1529.5</v>
      </c>
      <c r="AS124" s="21">
        <v>1470</v>
      </c>
      <c r="AT124" s="21">
        <v>1482</v>
      </c>
      <c r="AU124" s="21">
        <v>1478.5</v>
      </c>
      <c r="AV124" s="21">
        <v>1515</v>
      </c>
      <c r="AW124" s="21">
        <v>1477.5</v>
      </c>
      <c r="AX124" s="21">
        <v>1519</v>
      </c>
      <c r="AY124" s="21">
        <v>1532</v>
      </c>
      <c r="AZ124" s="21">
        <v>1537.5</v>
      </c>
      <c r="BA124" s="21">
        <v>1510</v>
      </c>
      <c r="BB124" s="21">
        <v>1501</v>
      </c>
      <c r="BC124" s="21">
        <v>1539.5</v>
      </c>
      <c r="BD124" s="21">
        <v>1520</v>
      </c>
      <c r="BE124" s="21">
        <v>1520</v>
      </c>
      <c r="BF124" s="21">
        <v>1539.5</v>
      </c>
      <c r="BG124" s="21">
        <v>1490.5</v>
      </c>
      <c r="BH124" s="21">
        <v>1600</v>
      </c>
      <c r="BI124" s="21">
        <v>1672</v>
      </c>
      <c r="BJ124" s="21">
        <v>1676.5</v>
      </c>
      <c r="BK124" s="21">
        <v>1656.5</v>
      </c>
      <c r="BL124" s="21">
        <v>1699</v>
      </c>
      <c r="BM124" s="1">
        <v>1709.5</v>
      </c>
      <c r="BN124" s="1">
        <v>1690</v>
      </c>
      <c r="BO124" s="1">
        <v>1694.5</v>
      </c>
      <c r="BP124" s="1">
        <v>1715</v>
      </c>
      <c r="BQ124" s="1">
        <v>1697</v>
      </c>
      <c r="BR124" s="1">
        <v>1709.5</v>
      </c>
      <c r="BS124" s="1">
        <v>1753.5</v>
      </c>
      <c r="BT124" s="1">
        <v>1741</v>
      </c>
      <c r="BU124" s="1">
        <v>1744.5</v>
      </c>
      <c r="BV124" s="1">
        <v>1766</v>
      </c>
      <c r="BW124" s="1">
        <v>1749.5</v>
      </c>
      <c r="BX124" s="1">
        <v>1777</v>
      </c>
      <c r="BY124" s="1">
        <v>1818</v>
      </c>
      <c r="BZ124" s="1">
        <v>1755</v>
      </c>
    </row>
    <row r="125" spans="1:254" ht="15.9" customHeight="1">
      <c r="A125" s="78" t="s">
        <v>245</v>
      </c>
      <c r="B125" s="17" t="s">
        <v>246</v>
      </c>
      <c r="C125" s="543">
        <f>_xll.RssMarket("8934","始値")</f>
        <v>2434</v>
      </c>
      <c r="D125" s="23">
        <f t="shared" si="3"/>
        <v>0</v>
      </c>
      <c r="E125" s="550">
        <v>2434</v>
      </c>
      <c r="F125" s="21">
        <v>2425</v>
      </c>
      <c r="G125" s="21">
        <v>2438</v>
      </c>
      <c r="H125" s="73">
        <v>2500</v>
      </c>
      <c r="I125" s="21">
        <v>2535</v>
      </c>
      <c r="J125" s="21">
        <v>2582</v>
      </c>
      <c r="K125" s="21">
        <v>2568</v>
      </c>
      <c r="L125" s="21">
        <v>2562</v>
      </c>
      <c r="M125" s="21">
        <v>2507</v>
      </c>
      <c r="N125" s="21">
        <v>2500</v>
      </c>
      <c r="O125" s="21">
        <v>2537</v>
      </c>
      <c r="P125" s="21">
        <v>2551</v>
      </c>
      <c r="Q125" s="21">
        <v>2520</v>
      </c>
      <c r="R125" s="21">
        <v>2546</v>
      </c>
      <c r="S125" s="21">
        <v>2545</v>
      </c>
      <c r="T125" s="21">
        <v>2504</v>
      </c>
      <c r="U125" s="21">
        <v>2508</v>
      </c>
      <c r="V125" s="21">
        <v>2508</v>
      </c>
      <c r="W125" s="21">
        <v>2515</v>
      </c>
      <c r="X125" s="21">
        <v>2535</v>
      </c>
      <c r="Y125" s="21">
        <v>2522</v>
      </c>
      <c r="Z125" s="21">
        <v>2482</v>
      </c>
      <c r="AA125" s="21">
        <v>2435</v>
      </c>
      <c r="AB125" s="21">
        <v>2429</v>
      </c>
      <c r="AC125" s="21">
        <v>2412</v>
      </c>
      <c r="AD125" s="21">
        <v>2452</v>
      </c>
      <c r="AE125" s="21">
        <v>2410</v>
      </c>
      <c r="AF125" s="21">
        <v>2373</v>
      </c>
      <c r="AG125" s="21">
        <v>2352</v>
      </c>
      <c r="AH125" s="21">
        <v>2339</v>
      </c>
      <c r="AI125" s="21">
        <v>2336</v>
      </c>
      <c r="AJ125" s="21">
        <v>2350</v>
      </c>
      <c r="AK125" s="21">
        <v>2350</v>
      </c>
      <c r="AL125" s="21">
        <v>2350</v>
      </c>
      <c r="AM125" s="21">
        <v>2388</v>
      </c>
      <c r="AN125" s="21">
        <v>2380</v>
      </c>
      <c r="AO125" s="21">
        <v>2405</v>
      </c>
      <c r="AP125" s="21">
        <v>2350</v>
      </c>
      <c r="AQ125" s="21">
        <v>2381</v>
      </c>
      <c r="AR125" s="21">
        <v>2375</v>
      </c>
      <c r="AS125" s="21">
        <v>2307</v>
      </c>
      <c r="AT125" s="21">
        <v>2297</v>
      </c>
      <c r="AU125" s="21">
        <v>2268</v>
      </c>
      <c r="AV125" s="21">
        <v>2277</v>
      </c>
      <c r="AW125" s="21">
        <v>2230</v>
      </c>
      <c r="AX125" s="21">
        <v>2363</v>
      </c>
      <c r="AY125" s="21">
        <v>2340</v>
      </c>
      <c r="AZ125" s="21">
        <v>2351</v>
      </c>
      <c r="BA125" s="21">
        <v>2348</v>
      </c>
      <c r="BB125" s="21">
        <v>2385</v>
      </c>
      <c r="BC125" s="21">
        <v>2390</v>
      </c>
      <c r="BD125" s="21">
        <v>2422</v>
      </c>
      <c r="BE125" s="21">
        <v>2412</v>
      </c>
      <c r="BF125" s="21">
        <v>2470</v>
      </c>
      <c r="BG125" s="21">
        <v>2445</v>
      </c>
      <c r="BH125" s="21">
        <v>2443</v>
      </c>
      <c r="BI125" s="21">
        <v>2445</v>
      </c>
      <c r="BJ125" s="21">
        <v>2535</v>
      </c>
      <c r="BK125" s="21">
        <v>2580</v>
      </c>
      <c r="BL125" s="21">
        <v>2624</v>
      </c>
      <c r="BM125" s="1">
        <v>2650</v>
      </c>
      <c r="BN125" s="1">
        <v>2685</v>
      </c>
      <c r="BO125" s="1">
        <v>2701</v>
      </c>
      <c r="BP125" s="1">
        <v>2679</v>
      </c>
      <c r="BQ125" s="1">
        <v>2631</v>
      </c>
      <c r="BR125" s="1">
        <v>2683</v>
      </c>
      <c r="BS125" s="1">
        <v>2702</v>
      </c>
      <c r="BT125" s="1">
        <v>2744</v>
      </c>
      <c r="BU125" s="1">
        <v>2769</v>
      </c>
      <c r="BV125" s="1">
        <v>2799</v>
      </c>
      <c r="BW125" s="1">
        <v>2791</v>
      </c>
      <c r="BX125" s="1">
        <v>2825</v>
      </c>
      <c r="BY125" s="1">
        <v>2840</v>
      </c>
      <c r="BZ125" s="1">
        <v>2841</v>
      </c>
    </row>
    <row r="126" spans="1:254" ht="15.9" customHeight="1">
      <c r="A126" s="78" t="s">
        <v>247</v>
      </c>
      <c r="B126" s="17" t="s">
        <v>248</v>
      </c>
      <c r="C126" s="543">
        <f>_xll.RssMarket("9416","始値")</f>
        <v>1021</v>
      </c>
      <c r="D126" s="23">
        <f t="shared" si="3"/>
        <v>0</v>
      </c>
      <c r="E126" s="550">
        <v>1021</v>
      </c>
      <c r="F126" s="21">
        <v>1010</v>
      </c>
      <c r="G126" s="21">
        <v>1025</v>
      </c>
      <c r="H126" s="73">
        <v>1032</v>
      </c>
      <c r="I126" s="21">
        <v>1035</v>
      </c>
      <c r="J126" s="21">
        <v>1041</v>
      </c>
      <c r="K126" s="21">
        <v>1032</v>
      </c>
      <c r="L126" s="21">
        <v>1023</v>
      </c>
      <c r="M126" s="21">
        <v>996</v>
      </c>
      <c r="N126" s="21">
        <v>985</v>
      </c>
      <c r="O126" s="21">
        <v>997</v>
      </c>
      <c r="P126" s="21">
        <v>1002</v>
      </c>
      <c r="Q126" s="21">
        <v>1005</v>
      </c>
      <c r="R126" s="21">
        <v>1008</v>
      </c>
      <c r="S126" s="21">
        <v>1018</v>
      </c>
      <c r="T126" s="21">
        <v>1022</v>
      </c>
      <c r="U126" s="21">
        <v>1016</v>
      </c>
      <c r="V126" s="21">
        <v>1010</v>
      </c>
      <c r="W126" s="21">
        <v>1001</v>
      </c>
      <c r="X126" s="21">
        <v>1010</v>
      </c>
      <c r="Y126" s="21">
        <v>1010</v>
      </c>
      <c r="Z126" s="21">
        <v>1001</v>
      </c>
      <c r="AA126" s="21">
        <v>986</v>
      </c>
      <c r="AB126" s="21">
        <v>970</v>
      </c>
      <c r="AC126" s="21">
        <v>967</v>
      </c>
      <c r="AD126" s="21">
        <v>979</v>
      </c>
      <c r="AE126" s="21">
        <v>974</v>
      </c>
      <c r="AF126" s="21">
        <v>966</v>
      </c>
      <c r="AG126" s="21">
        <v>990</v>
      </c>
      <c r="AH126" s="21">
        <v>985</v>
      </c>
      <c r="AI126" s="21">
        <v>1023</v>
      </c>
      <c r="AJ126" s="21">
        <v>1020</v>
      </c>
      <c r="AK126" s="21">
        <v>1029</v>
      </c>
      <c r="AL126" s="21">
        <v>1020</v>
      </c>
      <c r="AM126" s="21">
        <v>1020</v>
      </c>
      <c r="AN126" s="21">
        <v>1017</v>
      </c>
      <c r="AO126" s="21">
        <v>1022</v>
      </c>
      <c r="AP126" s="21">
        <v>1009</v>
      </c>
      <c r="AQ126" s="21">
        <v>1012</v>
      </c>
      <c r="AR126" s="21">
        <v>1011</v>
      </c>
      <c r="AS126" s="21">
        <v>1021</v>
      </c>
      <c r="AT126" s="21">
        <v>1011</v>
      </c>
      <c r="AU126" s="21">
        <v>1009</v>
      </c>
      <c r="AV126" s="21">
        <v>1021</v>
      </c>
      <c r="AW126" s="21">
        <v>1021</v>
      </c>
      <c r="AX126" s="21">
        <v>1058</v>
      </c>
      <c r="AY126" s="21">
        <v>1058</v>
      </c>
      <c r="AZ126" s="21">
        <v>1061</v>
      </c>
      <c r="BA126" s="21">
        <v>1063</v>
      </c>
      <c r="BB126" s="21">
        <v>1020</v>
      </c>
      <c r="BC126" s="21">
        <v>1030</v>
      </c>
      <c r="BD126" s="21">
        <v>1031</v>
      </c>
      <c r="BE126" s="21">
        <v>1008</v>
      </c>
      <c r="BF126" s="21">
        <v>1044</v>
      </c>
      <c r="BG126" s="21">
        <v>1020</v>
      </c>
      <c r="BH126" s="21">
        <v>1140</v>
      </c>
      <c r="BI126" s="21">
        <v>1105</v>
      </c>
      <c r="BJ126" s="21">
        <v>1111</v>
      </c>
      <c r="BK126" s="21">
        <v>1111</v>
      </c>
      <c r="BL126" s="21">
        <v>1108</v>
      </c>
      <c r="BM126" s="1">
        <v>1102</v>
      </c>
      <c r="BN126" s="1">
        <v>1091</v>
      </c>
      <c r="BO126" s="1">
        <v>1099</v>
      </c>
      <c r="BP126" s="1">
        <v>1097</v>
      </c>
      <c r="BQ126" s="1">
        <v>1087</v>
      </c>
      <c r="BR126" s="1">
        <v>1106</v>
      </c>
      <c r="BS126" s="1">
        <v>1109</v>
      </c>
      <c r="BT126" s="1">
        <v>1140</v>
      </c>
      <c r="BU126" s="1">
        <v>1170</v>
      </c>
      <c r="BV126" s="1">
        <v>1186</v>
      </c>
      <c r="BW126" s="1">
        <v>1192</v>
      </c>
      <c r="BX126" s="1">
        <v>1208</v>
      </c>
      <c r="BY126" s="1">
        <v>1202</v>
      </c>
      <c r="BZ126" s="1">
        <v>1202</v>
      </c>
    </row>
    <row r="127" spans="1:254" ht="15.9" customHeight="1">
      <c r="A127" s="78" t="s">
        <v>249</v>
      </c>
      <c r="B127" s="17" t="s">
        <v>250</v>
      </c>
      <c r="C127" s="543">
        <f>_xll.RssMarket("9532","始値")</f>
        <v>5315</v>
      </c>
      <c r="D127" s="23">
        <f t="shared" si="3"/>
        <v>0</v>
      </c>
      <c r="E127" s="550">
        <v>5315</v>
      </c>
      <c r="F127" s="21">
        <v>5375</v>
      </c>
      <c r="G127" s="21">
        <v>5400</v>
      </c>
      <c r="H127" s="73">
        <v>5462</v>
      </c>
      <c r="I127" s="21">
        <v>5550</v>
      </c>
      <c r="J127" s="21">
        <v>5528</v>
      </c>
      <c r="K127" s="21">
        <v>5551</v>
      </c>
      <c r="L127" s="21">
        <v>5531</v>
      </c>
      <c r="M127" s="21">
        <v>5530</v>
      </c>
      <c r="N127" s="21">
        <v>5421</v>
      </c>
      <c r="O127" s="21">
        <v>5409</v>
      </c>
      <c r="P127" s="21">
        <v>5356</v>
      </c>
      <c r="Q127" s="21">
        <v>5400</v>
      </c>
      <c r="R127" s="21">
        <v>5376</v>
      </c>
      <c r="S127" s="21">
        <v>5420</v>
      </c>
      <c r="T127" s="21">
        <v>5330</v>
      </c>
      <c r="U127" s="21">
        <v>5400</v>
      </c>
      <c r="V127" s="21">
        <v>5405</v>
      </c>
      <c r="W127" s="21">
        <v>5494</v>
      </c>
      <c r="X127" s="21">
        <v>5539</v>
      </c>
      <c r="Y127" s="21">
        <v>5443</v>
      </c>
      <c r="Z127" s="21">
        <v>5396</v>
      </c>
      <c r="AA127" s="21">
        <v>5394</v>
      </c>
      <c r="AB127" s="21">
        <v>5369</v>
      </c>
      <c r="AC127" s="21">
        <v>5456</v>
      </c>
      <c r="AD127" s="21">
        <v>5463</v>
      </c>
      <c r="AE127" s="21">
        <v>5410</v>
      </c>
      <c r="AF127" s="21">
        <v>5370</v>
      </c>
      <c r="AG127" s="21">
        <v>5447</v>
      </c>
      <c r="AH127" s="21">
        <v>5417</v>
      </c>
      <c r="AI127" s="21">
        <v>5464</v>
      </c>
      <c r="AJ127" s="21">
        <v>5429</v>
      </c>
      <c r="AK127" s="21">
        <v>5388</v>
      </c>
      <c r="AL127" s="21">
        <v>5490</v>
      </c>
      <c r="AM127" s="21">
        <v>5527</v>
      </c>
      <c r="AN127" s="21">
        <v>5520</v>
      </c>
      <c r="AO127" s="21">
        <v>5606</v>
      </c>
      <c r="AP127" s="21">
        <v>5698</v>
      </c>
      <c r="AQ127" s="21">
        <v>5540</v>
      </c>
      <c r="AR127" s="21">
        <v>5550</v>
      </c>
      <c r="AS127" s="21">
        <v>5454</v>
      </c>
      <c r="AT127" s="21">
        <v>5457</v>
      </c>
      <c r="AU127" s="21">
        <v>5607</v>
      </c>
      <c r="AV127" s="21">
        <v>5499</v>
      </c>
      <c r="AW127" s="21">
        <v>5260</v>
      </c>
      <c r="AX127" s="21">
        <v>5350</v>
      </c>
      <c r="AY127" s="21">
        <v>5442</v>
      </c>
      <c r="AZ127" s="21">
        <v>5553</v>
      </c>
      <c r="BA127" s="21">
        <v>5644</v>
      </c>
      <c r="BB127" s="21">
        <v>5768</v>
      </c>
      <c r="BC127" s="21">
        <v>5779</v>
      </c>
      <c r="BD127" s="21">
        <v>5862</v>
      </c>
      <c r="BE127" s="21">
        <v>5726</v>
      </c>
      <c r="BF127" s="21">
        <v>5700</v>
      </c>
      <c r="BG127" s="21">
        <v>5717</v>
      </c>
      <c r="BH127" s="21">
        <v>5731</v>
      </c>
      <c r="BI127" s="21">
        <v>5679</v>
      </c>
      <c r="BJ127" s="21">
        <v>5629</v>
      </c>
      <c r="BK127" s="21">
        <v>5567</v>
      </c>
      <c r="BL127" s="21">
        <v>5684</v>
      </c>
      <c r="BM127" s="1">
        <v>5736</v>
      </c>
      <c r="BN127" s="1">
        <v>5720</v>
      </c>
      <c r="BO127" s="1">
        <v>5874</v>
      </c>
      <c r="BP127" s="1">
        <v>5827</v>
      </c>
      <c r="BQ127" s="1">
        <v>5779</v>
      </c>
      <c r="BR127" s="1">
        <v>5956</v>
      </c>
      <c r="BS127" s="1">
        <v>5793</v>
      </c>
      <c r="BT127" s="1">
        <v>5880</v>
      </c>
      <c r="BU127" s="1">
        <v>5983</v>
      </c>
      <c r="BV127" s="1">
        <v>6129</v>
      </c>
      <c r="BW127" s="1">
        <v>6238</v>
      </c>
      <c r="BX127" s="1">
        <v>6174</v>
      </c>
      <c r="BY127" s="1">
        <v>6249</v>
      </c>
      <c r="BZ127" s="1">
        <v>6290</v>
      </c>
    </row>
    <row r="128" spans="1:254" ht="15.9" customHeight="1">
      <c r="A128" s="78" t="s">
        <v>251</v>
      </c>
      <c r="B128" s="17" t="s">
        <v>252</v>
      </c>
      <c r="C128" s="543">
        <f>_xll.RssMarket("6330","始値")</f>
        <v>2089</v>
      </c>
      <c r="D128" s="23">
        <f t="shared" si="3"/>
        <v>0</v>
      </c>
      <c r="E128" s="550">
        <v>2089</v>
      </c>
      <c r="F128" s="21">
        <v>2025</v>
      </c>
      <c r="G128" s="21">
        <v>1897</v>
      </c>
      <c r="H128" s="21">
        <v>1982</v>
      </c>
      <c r="I128" s="21">
        <v>1939</v>
      </c>
      <c r="J128" s="21">
        <v>1891</v>
      </c>
      <c r="K128" s="21">
        <v>2010</v>
      </c>
      <c r="L128" s="21">
        <v>2085</v>
      </c>
      <c r="M128" s="21">
        <v>1988</v>
      </c>
      <c r="N128" s="21"/>
      <c r="O128" s="21">
        <v>1892</v>
      </c>
      <c r="P128" s="21">
        <v>1870</v>
      </c>
      <c r="Q128" s="21">
        <v>1760</v>
      </c>
      <c r="R128" s="21">
        <v>1845</v>
      </c>
      <c r="S128" s="21">
        <v>1945</v>
      </c>
      <c r="T128" s="21">
        <v>1915</v>
      </c>
      <c r="U128" s="21">
        <v>1936</v>
      </c>
      <c r="V128" s="21">
        <v>1988</v>
      </c>
      <c r="W128" s="21">
        <v>1965</v>
      </c>
      <c r="X128" s="21">
        <v>2000</v>
      </c>
      <c r="Y128" s="21">
        <v>2180</v>
      </c>
      <c r="Z128" s="21">
        <v>2080</v>
      </c>
      <c r="AA128" s="21">
        <v>2053</v>
      </c>
      <c r="AB128" s="21">
        <v>1972</v>
      </c>
      <c r="AC128" s="21">
        <v>1996</v>
      </c>
      <c r="AD128" s="21">
        <v>2277</v>
      </c>
      <c r="AE128" s="21">
        <v>2084</v>
      </c>
      <c r="AF128" s="21">
        <v>1957</v>
      </c>
      <c r="AG128" s="21">
        <v>1951</v>
      </c>
      <c r="AH128" s="21">
        <v>1893</v>
      </c>
      <c r="AI128" s="21">
        <v>2000</v>
      </c>
      <c r="AJ128" s="21">
        <v>2060</v>
      </c>
      <c r="AK128" s="21">
        <v>2083</v>
      </c>
      <c r="AL128" s="21">
        <v>2200</v>
      </c>
      <c r="AM128" s="21">
        <v>2091</v>
      </c>
      <c r="AN128" s="21">
        <v>2049</v>
      </c>
      <c r="AO128" s="21">
        <v>1995</v>
      </c>
      <c r="AP128" s="21">
        <v>1870</v>
      </c>
      <c r="AQ128" s="21">
        <v>1832</v>
      </c>
      <c r="AR128" s="21">
        <v>1975</v>
      </c>
      <c r="AS128" s="21">
        <v>1965</v>
      </c>
      <c r="AT128" s="21">
        <v>1942</v>
      </c>
      <c r="AU128" s="21">
        <v>1984</v>
      </c>
      <c r="AV128" s="21">
        <v>1890</v>
      </c>
      <c r="AW128" s="21">
        <v>1897</v>
      </c>
      <c r="AX128" s="21">
        <v>2153</v>
      </c>
      <c r="AY128" s="21">
        <v>2092</v>
      </c>
      <c r="AZ128" s="21">
        <v>2169</v>
      </c>
      <c r="BA128" s="21">
        <v>2184</v>
      </c>
      <c r="BB128" s="21">
        <v>2010</v>
      </c>
      <c r="BC128" s="21">
        <v>2069</v>
      </c>
      <c r="BD128" s="21">
        <v>2082</v>
      </c>
      <c r="BE128" s="21">
        <v>2100</v>
      </c>
      <c r="BF128" s="21">
        <v>2128</v>
      </c>
      <c r="BG128" s="21">
        <v>2148</v>
      </c>
      <c r="BH128" s="21">
        <v>2160</v>
      </c>
      <c r="BI128" s="21">
        <v>2188</v>
      </c>
      <c r="BJ128" s="21">
        <v>2226</v>
      </c>
      <c r="BK128" s="21">
        <v>2313</v>
      </c>
      <c r="BL128" s="21">
        <v>2295</v>
      </c>
      <c r="BM128" s="1">
        <v>2335</v>
      </c>
      <c r="BN128" s="1">
        <v>2286</v>
      </c>
      <c r="BO128" s="1">
        <v>2340</v>
      </c>
      <c r="BP128" s="1">
        <v>2331</v>
      </c>
      <c r="BQ128" s="1">
        <v>2282</v>
      </c>
      <c r="BR128" s="1">
        <v>2449</v>
      </c>
      <c r="BS128" s="1">
        <v>2478</v>
      </c>
      <c r="BT128" s="1">
        <v>2510</v>
      </c>
      <c r="BU128" s="1">
        <v>2662</v>
      </c>
      <c r="BV128" s="1">
        <v>2640</v>
      </c>
      <c r="BW128" s="1">
        <v>2500</v>
      </c>
      <c r="BX128" s="1">
        <v>2350</v>
      </c>
      <c r="BY128" s="1">
        <v>2357</v>
      </c>
      <c r="BZ128" s="1">
        <v>2331</v>
      </c>
    </row>
    <row r="129" spans="1:254" ht="15.9" customHeight="1">
      <c r="A129" s="78" t="s">
        <v>253</v>
      </c>
      <c r="B129" s="17" t="s">
        <v>254</v>
      </c>
      <c r="C129" s="543">
        <f>_xll.RssMarket("4082","始値")</f>
        <v>1909</v>
      </c>
      <c r="D129" s="23">
        <f t="shared" si="3"/>
        <v>0</v>
      </c>
      <c r="E129" s="550">
        <v>1909</v>
      </c>
      <c r="F129" s="21">
        <v>1888</v>
      </c>
      <c r="G129" s="21">
        <v>1795</v>
      </c>
      <c r="H129" s="21">
        <v>1715</v>
      </c>
      <c r="I129" s="21">
        <v>1748</v>
      </c>
      <c r="J129" s="21">
        <v>1700</v>
      </c>
      <c r="K129" s="21">
        <v>1795</v>
      </c>
      <c r="L129" s="21">
        <v>1855</v>
      </c>
      <c r="M129" s="21">
        <v>1869</v>
      </c>
      <c r="N129" s="21">
        <v>1816</v>
      </c>
      <c r="O129" s="21">
        <v>1835</v>
      </c>
      <c r="P129" s="21">
        <v>1840</v>
      </c>
      <c r="Q129" s="21">
        <v>1770</v>
      </c>
      <c r="R129" s="21">
        <v>1847</v>
      </c>
      <c r="S129" s="21">
        <v>1947</v>
      </c>
      <c r="T129" s="21">
        <v>1936</v>
      </c>
      <c r="U129" s="21">
        <v>1940</v>
      </c>
      <c r="V129" s="21">
        <v>1980</v>
      </c>
      <c r="W129" s="21">
        <v>2008</v>
      </c>
      <c r="X129" s="21">
        <v>2001</v>
      </c>
      <c r="Y129" s="21">
        <v>2071</v>
      </c>
      <c r="Z129" s="21">
        <v>2055</v>
      </c>
      <c r="AA129" s="21">
        <v>2031</v>
      </c>
      <c r="AB129" s="21">
        <v>2065</v>
      </c>
      <c r="AC129" s="21">
        <v>2047</v>
      </c>
      <c r="AD129" s="21">
        <v>2091</v>
      </c>
      <c r="AE129" s="21">
        <v>2100</v>
      </c>
      <c r="AF129" s="21">
        <v>2100</v>
      </c>
      <c r="AG129" s="21">
        <v>2090</v>
      </c>
      <c r="AH129" s="21">
        <v>2002</v>
      </c>
      <c r="AI129" s="21">
        <v>2137</v>
      </c>
      <c r="AJ129" s="21">
        <v>2067</v>
      </c>
      <c r="AK129" s="21">
        <v>2010</v>
      </c>
      <c r="AL129" s="21">
        <v>2085</v>
      </c>
      <c r="AM129" s="21">
        <v>1990</v>
      </c>
      <c r="AN129" s="21">
        <v>1948</v>
      </c>
      <c r="AO129" s="21">
        <v>1940</v>
      </c>
      <c r="AP129" s="21">
        <v>1900</v>
      </c>
      <c r="AQ129" s="21">
        <v>1800</v>
      </c>
      <c r="AR129" s="21">
        <v>1963</v>
      </c>
      <c r="AS129" s="21">
        <v>2010</v>
      </c>
      <c r="AT129" s="21">
        <v>2079</v>
      </c>
      <c r="AU129" s="21">
        <v>2172</v>
      </c>
      <c r="AV129" s="21">
        <v>2166</v>
      </c>
      <c r="AW129" s="21">
        <v>2225</v>
      </c>
      <c r="AX129" s="21">
        <v>2295</v>
      </c>
      <c r="AY129" s="21">
        <v>2170</v>
      </c>
      <c r="AZ129" s="21">
        <v>2186</v>
      </c>
      <c r="BA129" s="21">
        <v>2093</v>
      </c>
      <c r="BB129" s="21">
        <v>1980</v>
      </c>
      <c r="BC129" s="21">
        <v>1960</v>
      </c>
      <c r="BD129" s="21">
        <v>2099</v>
      </c>
      <c r="BE129" s="21">
        <v>2195</v>
      </c>
      <c r="BF129" s="21">
        <v>2183</v>
      </c>
      <c r="BG129" s="21">
        <v>2181</v>
      </c>
      <c r="BH129" s="21">
        <v>2651</v>
      </c>
      <c r="BI129" s="21">
        <v>2640</v>
      </c>
      <c r="BJ129" s="21">
        <v>2708</v>
      </c>
      <c r="BK129" s="21">
        <v>2487</v>
      </c>
      <c r="BL129" s="21">
        <v>2388</v>
      </c>
      <c r="BM129" s="1">
        <v>2346</v>
      </c>
      <c r="BN129" s="1">
        <v>2246</v>
      </c>
      <c r="BO129" s="1">
        <v>2307</v>
      </c>
      <c r="BP129" s="1">
        <v>2260</v>
      </c>
      <c r="BQ129" s="1">
        <v>2268</v>
      </c>
      <c r="BR129" s="1">
        <v>2470</v>
      </c>
      <c r="BS129" s="1">
        <v>2303</v>
      </c>
      <c r="BT129" s="1">
        <v>2380</v>
      </c>
      <c r="BU129" s="1">
        <v>2561</v>
      </c>
      <c r="BV129" s="1">
        <v>2329</v>
      </c>
      <c r="BW129" s="1">
        <v>2231</v>
      </c>
      <c r="BX129" s="1">
        <v>2152</v>
      </c>
      <c r="BY129" s="1">
        <v>2100</v>
      </c>
      <c r="BZ129" s="1">
        <v>2050</v>
      </c>
    </row>
    <row r="130" spans="1:254" ht="15.9" customHeight="1">
      <c r="A130" s="78" t="s">
        <v>255</v>
      </c>
      <c r="B130" s="17" t="s">
        <v>256</v>
      </c>
      <c r="C130" s="543">
        <f>_xll.RssMarket("4519","始値")</f>
        <v>6620</v>
      </c>
      <c r="D130" s="23">
        <f t="shared" si="3"/>
        <v>0</v>
      </c>
      <c r="E130" s="550">
        <v>6620</v>
      </c>
      <c r="F130" s="21">
        <v>6601</v>
      </c>
      <c r="G130" s="21">
        <v>6630</v>
      </c>
      <c r="H130" s="21">
        <v>6811</v>
      </c>
      <c r="I130" s="21">
        <v>6950</v>
      </c>
      <c r="J130" s="21">
        <v>6950</v>
      </c>
      <c r="K130" s="21">
        <v>7098</v>
      </c>
      <c r="L130" s="21">
        <v>6958</v>
      </c>
      <c r="M130" s="21">
        <v>7055</v>
      </c>
      <c r="N130" s="21"/>
      <c r="O130" s="21">
        <v>7312</v>
      </c>
      <c r="P130" s="21">
        <v>7355</v>
      </c>
      <c r="Q130" s="21">
        <v>7280</v>
      </c>
      <c r="R130" s="21">
        <v>7243</v>
      </c>
      <c r="S130" s="21">
        <v>7200</v>
      </c>
      <c r="T130" s="21">
        <v>7250</v>
      </c>
      <c r="U130" s="21">
        <v>7345</v>
      </c>
      <c r="V130" s="21">
        <v>7353</v>
      </c>
      <c r="W130" s="21">
        <v>7345</v>
      </c>
      <c r="X130" s="21">
        <v>7733</v>
      </c>
      <c r="Y130" s="21">
        <v>7652</v>
      </c>
      <c r="Z130" s="21">
        <v>7651</v>
      </c>
      <c r="AA130" s="21">
        <v>7780</v>
      </c>
      <c r="AB130" s="21">
        <v>7370</v>
      </c>
      <c r="AC130" s="21">
        <v>7400</v>
      </c>
      <c r="AD130" s="21">
        <v>7585</v>
      </c>
      <c r="AE130" s="21">
        <v>7453</v>
      </c>
      <c r="AF130" s="21">
        <v>7474</v>
      </c>
      <c r="AG130" s="21">
        <v>7564</v>
      </c>
      <c r="AH130" s="21">
        <v>7530</v>
      </c>
      <c r="AI130" s="21">
        <v>7542</v>
      </c>
      <c r="AJ130" s="21">
        <v>7488</v>
      </c>
      <c r="AK130" s="21">
        <v>7514</v>
      </c>
      <c r="AL130" s="21">
        <v>7674</v>
      </c>
      <c r="AM130" s="21">
        <v>7532</v>
      </c>
      <c r="AN130" s="21">
        <v>7562</v>
      </c>
      <c r="AO130" s="21">
        <v>7388</v>
      </c>
      <c r="AP130" s="21">
        <v>7447</v>
      </c>
      <c r="AQ130" s="21">
        <v>7270</v>
      </c>
      <c r="AR130" s="21">
        <v>7341</v>
      </c>
      <c r="AS130" s="21">
        <v>7500</v>
      </c>
      <c r="AT130" s="21">
        <v>7649</v>
      </c>
      <c r="AU130" s="21">
        <v>7400</v>
      </c>
      <c r="AV130" s="21">
        <v>7500</v>
      </c>
      <c r="AW130" s="21">
        <v>7601</v>
      </c>
      <c r="AX130" s="21">
        <v>7699</v>
      </c>
      <c r="AY130" s="21">
        <v>7880</v>
      </c>
      <c r="AZ130" s="21">
        <v>7646</v>
      </c>
      <c r="BA130" s="21">
        <v>8013</v>
      </c>
      <c r="BB130" s="21">
        <v>7804</v>
      </c>
      <c r="BC130" s="21">
        <v>8049</v>
      </c>
      <c r="BD130" s="21">
        <v>7873</v>
      </c>
      <c r="BE130" s="21">
        <v>7979</v>
      </c>
      <c r="BF130" s="21">
        <v>7892</v>
      </c>
      <c r="BG130" s="21">
        <v>7946</v>
      </c>
      <c r="BH130" s="21">
        <v>7850</v>
      </c>
      <c r="BI130" s="21">
        <v>7753</v>
      </c>
      <c r="BJ130" s="21">
        <v>7850</v>
      </c>
      <c r="BK130" s="21">
        <v>7821</v>
      </c>
      <c r="BL130" s="21">
        <v>8245</v>
      </c>
      <c r="BM130" s="1">
        <v>7765</v>
      </c>
      <c r="BN130" s="1">
        <v>8529</v>
      </c>
      <c r="BO130" s="1">
        <v>8000</v>
      </c>
      <c r="BP130" s="1">
        <v>7580</v>
      </c>
      <c r="BQ130" s="1">
        <v>7961</v>
      </c>
      <c r="BR130" s="1">
        <v>8994</v>
      </c>
      <c r="BS130" s="1">
        <v>8760</v>
      </c>
      <c r="BT130" s="1">
        <v>8747</v>
      </c>
      <c r="BU130" s="1">
        <v>8744</v>
      </c>
      <c r="BV130" s="1">
        <v>8599</v>
      </c>
      <c r="BW130" s="1">
        <v>8435</v>
      </c>
      <c r="BX130" s="1">
        <v>8624</v>
      </c>
      <c r="BY130" s="1">
        <v>8512</v>
      </c>
      <c r="BZ130" s="1">
        <v>8639</v>
      </c>
    </row>
    <row r="131" spans="1:254" ht="15.9" customHeight="1">
      <c r="A131" s="78" t="s">
        <v>257</v>
      </c>
      <c r="B131" s="17" t="s">
        <v>258</v>
      </c>
      <c r="C131" s="543">
        <f>_xll.RssMarket("2160","始値")</f>
        <v>2615</v>
      </c>
      <c r="D131" s="23">
        <f t="shared" si="3"/>
        <v>0</v>
      </c>
      <c r="E131" s="550">
        <v>2615</v>
      </c>
      <c r="F131" s="21">
        <v>2532</v>
      </c>
      <c r="G131" s="21">
        <v>2500</v>
      </c>
      <c r="H131" s="21">
        <v>2472</v>
      </c>
      <c r="I131" s="21">
        <v>2439</v>
      </c>
      <c r="J131" s="21">
        <v>2263</v>
      </c>
      <c r="K131" s="21">
        <v>2477</v>
      </c>
      <c r="L131" s="21">
        <v>2575</v>
      </c>
      <c r="M131" s="21">
        <v>2610</v>
      </c>
      <c r="N131" s="21">
        <v>2601</v>
      </c>
      <c r="O131" s="21">
        <v>2496</v>
      </c>
      <c r="P131" s="21">
        <v>2529</v>
      </c>
      <c r="Q131" s="21">
        <v>2462</v>
      </c>
      <c r="R131" s="21">
        <v>2500</v>
      </c>
      <c r="S131" s="21">
        <v>2590</v>
      </c>
      <c r="T131" s="21">
        <v>2607</v>
      </c>
      <c r="U131" s="21">
        <v>2600</v>
      </c>
      <c r="V131" s="21">
        <v>2590</v>
      </c>
      <c r="W131" s="21">
        <v>2611</v>
      </c>
      <c r="X131" s="21">
        <v>2801</v>
      </c>
      <c r="Y131" s="21">
        <v>2870</v>
      </c>
      <c r="Z131" s="21">
        <v>2875</v>
      </c>
      <c r="AA131" s="21">
        <v>2933</v>
      </c>
      <c r="AB131" s="21">
        <v>2828</v>
      </c>
      <c r="AC131" s="21">
        <v>2825</v>
      </c>
      <c r="AD131" s="21">
        <v>2752</v>
      </c>
      <c r="AE131" s="21">
        <v>2602</v>
      </c>
      <c r="AF131" s="21">
        <v>2536</v>
      </c>
      <c r="AG131" s="21">
        <v>2558</v>
      </c>
      <c r="AH131" s="21">
        <v>2534</v>
      </c>
      <c r="AI131" s="21">
        <v>2472</v>
      </c>
      <c r="AJ131" s="21">
        <v>2501</v>
      </c>
      <c r="AK131" s="21">
        <v>2630</v>
      </c>
      <c r="AL131" s="21">
        <v>2565</v>
      </c>
      <c r="AM131" s="21">
        <v>2500</v>
      </c>
      <c r="AN131" s="21">
        <v>2544</v>
      </c>
      <c r="AO131" s="21">
        <v>2529</v>
      </c>
      <c r="AP131" s="21">
        <v>2735</v>
      </c>
      <c r="AQ131" s="21">
        <v>2650</v>
      </c>
      <c r="AR131" s="21">
        <v>2784</v>
      </c>
      <c r="AS131" s="21">
        <v>2920</v>
      </c>
      <c r="AT131" s="21">
        <v>2800</v>
      </c>
      <c r="AU131" s="21">
        <v>2600</v>
      </c>
      <c r="AV131" s="21">
        <v>2547</v>
      </c>
      <c r="AW131" s="21">
        <v>2564</v>
      </c>
      <c r="AX131" s="21">
        <v>2665</v>
      </c>
      <c r="AY131" s="21">
        <v>2675</v>
      </c>
      <c r="AZ131" s="21">
        <v>2700</v>
      </c>
      <c r="BA131" s="21">
        <v>2843</v>
      </c>
      <c r="BB131" s="21">
        <v>2851</v>
      </c>
      <c r="BC131" s="21">
        <v>2800</v>
      </c>
      <c r="BD131" s="21">
        <v>2800</v>
      </c>
      <c r="BE131" s="21">
        <v>2724</v>
      </c>
      <c r="BF131" s="21">
        <v>2970</v>
      </c>
      <c r="BG131" s="21">
        <v>3035</v>
      </c>
      <c r="BH131" s="21">
        <v>3100</v>
      </c>
      <c r="BI131" s="21">
        <v>3245</v>
      </c>
      <c r="BJ131" s="21">
        <v>2973</v>
      </c>
      <c r="BK131" s="21">
        <v>2998</v>
      </c>
      <c r="BL131" s="21">
        <v>2985</v>
      </c>
      <c r="BM131" s="1">
        <v>3100</v>
      </c>
      <c r="BN131" s="1">
        <v>2970</v>
      </c>
      <c r="BO131" s="1">
        <v>3050</v>
      </c>
      <c r="BP131" s="1">
        <v>3125</v>
      </c>
      <c r="BQ131" s="1">
        <v>3130</v>
      </c>
      <c r="BR131" s="1">
        <v>3115</v>
      </c>
      <c r="BS131" s="1">
        <v>3270</v>
      </c>
      <c r="BT131" s="1">
        <v>3375</v>
      </c>
      <c r="BU131" s="1">
        <v>3415</v>
      </c>
      <c r="BV131" s="1">
        <v>3355</v>
      </c>
      <c r="BW131" s="1">
        <v>3350</v>
      </c>
      <c r="BX131" s="1">
        <v>3395</v>
      </c>
      <c r="BY131" s="1">
        <v>3220</v>
      </c>
      <c r="BZ131" s="1">
        <v>3235</v>
      </c>
    </row>
    <row r="132" spans="1:254" ht="15.9" customHeight="1">
      <c r="A132" s="78" t="s">
        <v>259</v>
      </c>
      <c r="B132" s="17" t="s">
        <v>260</v>
      </c>
      <c r="C132" s="543">
        <f>_xll.RssMarket("6227","始値")</f>
        <v>7080</v>
      </c>
      <c r="D132" s="23">
        <f t="shared" si="3"/>
        <v>0</v>
      </c>
      <c r="E132" s="550">
        <v>7080</v>
      </c>
      <c r="F132" s="21">
        <v>7180</v>
      </c>
      <c r="G132" s="21">
        <v>6450</v>
      </c>
      <c r="H132" s="21">
        <v>6310</v>
      </c>
      <c r="I132" s="21">
        <v>6390</v>
      </c>
      <c r="J132" s="21">
        <v>5550</v>
      </c>
      <c r="K132" s="21">
        <v>6020</v>
      </c>
      <c r="L132" s="21">
        <v>6410</v>
      </c>
      <c r="M132" s="21">
        <v>7100</v>
      </c>
      <c r="N132" s="21"/>
      <c r="O132" s="21">
        <v>6830</v>
      </c>
      <c r="P132" s="21">
        <v>7260</v>
      </c>
      <c r="Q132" s="21">
        <v>7060</v>
      </c>
      <c r="R132" s="21">
        <v>6880</v>
      </c>
      <c r="S132" s="21">
        <v>8080</v>
      </c>
      <c r="T132" s="21">
        <v>7390</v>
      </c>
      <c r="U132" s="21">
        <v>7000</v>
      </c>
      <c r="V132" s="21">
        <v>6790</v>
      </c>
      <c r="W132" s="21">
        <v>5880</v>
      </c>
      <c r="X132" s="21">
        <v>5760</v>
      </c>
      <c r="Y132" s="21">
        <v>6290</v>
      </c>
      <c r="Z132" s="21">
        <v>7040</v>
      </c>
      <c r="AA132" s="21">
        <v>6830</v>
      </c>
      <c r="AB132" s="21">
        <v>6930</v>
      </c>
      <c r="AC132" s="21">
        <v>7080</v>
      </c>
      <c r="AD132" s="21">
        <v>6900</v>
      </c>
      <c r="AE132" s="21">
        <v>6590</v>
      </c>
      <c r="AF132" s="21">
        <v>7090</v>
      </c>
      <c r="AG132" s="21">
        <v>7530</v>
      </c>
      <c r="AH132" s="21">
        <v>7370</v>
      </c>
      <c r="AI132" s="21">
        <v>7770</v>
      </c>
      <c r="AJ132" s="21">
        <v>7150</v>
      </c>
      <c r="AK132" s="21">
        <v>7600</v>
      </c>
      <c r="AL132" s="21">
        <v>8280</v>
      </c>
      <c r="AM132" s="21">
        <v>7930</v>
      </c>
      <c r="AN132" s="21">
        <v>8390</v>
      </c>
      <c r="AO132" s="21">
        <v>8600</v>
      </c>
      <c r="AP132" s="21">
        <v>7100</v>
      </c>
      <c r="AQ132" s="21">
        <v>6650</v>
      </c>
      <c r="AR132" s="21">
        <v>7440</v>
      </c>
      <c r="AS132" s="21">
        <v>6590</v>
      </c>
      <c r="AT132" s="21">
        <v>6410</v>
      </c>
      <c r="AU132" s="21">
        <v>5970</v>
      </c>
      <c r="AV132" s="21">
        <v>6190</v>
      </c>
      <c r="AW132" s="21">
        <v>5780</v>
      </c>
      <c r="AX132" s="21">
        <v>5660</v>
      </c>
      <c r="AY132" s="21">
        <v>5380</v>
      </c>
      <c r="AZ132" s="21">
        <v>6230</v>
      </c>
      <c r="BA132" s="21">
        <v>6110</v>
      </c>
      <c r="BB132" s="21">
        <v>6060</v>
      </c>
      <c r="BC132" s="21">
        <v>6900</v>
      </c>
      <c r="BD132" s="21">
        <v>6710</v>
      </c>
      <c r="BE132" s="21">
        <v>7220</v>
      </c>
      <c r="BF132" s="21">
        <v>6910</v>
      </c>
      <c r="BG132" s="21">
        <v>6790</v>
      </c>
      <c r="BH132" s="21">
        <v>6590</v>
      </c>
      <c r="BI132" s="21">
        <v>6670</v>
      </c>
      <c r="BJ132" s="21">
        <v>6520</v>
      </c>
      <c r="BK132" s="21">
        <v>6900</v>
      </c>
      <c r="BL132" s="21">
        <v>6690</v>
      </c>
      <c r="BM132" s="1">
        <v>6510</v>
      </c>
      <c r="BN132" s="1">
        <v>6280</v>
      </c>
      <c r="BO132" s="1">
        <v>6060</v>
      </c>
      <c r="BP132" s="1">
        <v>6450</v>
      </c>
      <c r="BQ132" s="1">
        <v>6680</v>
      </c>
      <c r="BR132" s="1">
        <v>6480</v>
      </c>
      <c r="BS132" s="1">
        <v>7060</v>
      </c>
      <c r="BT132" s="1">
        <v>7150</v>
      </c>
      <c r="BU132" s="1">
        <v>7450</v>
      </c>
      <c r="BV132" s="1">
        <v>8120</v>
      </c>
      <c r="BW132" s="1">
        <v>8000</v>
      </c>
      <c r="BX132" s="1">
        <v>8420</v>
      </c>
      <c r="BY132" s="1">
        <v>8000</v>
      </c>
      <c r="BZ132" s="1">
        <v>7150</v>
      </c>
    </row>
    <row r="133" spans="1:254" ht="15.9" customHeight="1">
      <c r="A133" s="78" t="s">
        <v>261</v>
      </c>
      <c r="B133" s="17" t="s">
        <v>262</v>
      </c>
      <c r="C133" s="543">
        <f>_xll.RssMarket("6327","始値")</f>
        <v>3220</v>
      </c>
      <c r="D133" s="23">
        <f t="shared" si="3"/>
        <v>0</v>
      </c>
      <c r="E133" s="550">
        <v>3220</v>
      </c>
      <c r="F133" s="21">
        <v>3415</v>
      </c>
      <c r="G133" s="21">
        <v>2900</v>
      </c>
      <c r="H133" s="21">
        <v>2800</v>
      </c>
      <c r="I133" s="21">
        <v>3295</v>
      </c>
      <c r="J133" s="21">
        <v>2750</v>
      </c>
      <c r="K133" s="21">
        <v>2991</v>
      </c>
      <c r="L133" s="21">
        <v>3450</v>
      </c>
      <c r="M133" s="21">
        <v>3830</v>
      </c>
      <c r="N133" s="21"/>
      <c r="O133" s="21">
        <v>4105</v>
      </c>
      <c r="P133" s="21">
        <v>4280</v>
      </c>
      <c r="Q133" s="21">
        <v>3980</v>
      </c>
      <c r="R133" s="21">
        <v>4080</v>
      </c>
      <c r="S133" s="21">
        <v>5500</v>
      </c>
      <c r="T133" s="21">
        <v>5190</v>
      </c>
      <c r="U133" s="21">
        <v>5930</v>
      </c>
      <c r="V133" s="21">
        <v>5490</v>
      </c>
      <c r="W133" s="21">
        <v>5500</v>
      </c>
      <c r="X133" s="21">
        <v>5460</v>
      </c>
      <c r="Y133" s="21">
        <v>6710</v>
      </c>
      <c r="Z133" s="21">
        <v>8070</v>
      </c>
      <c r="AA133" s="21">
        <v>7200</v>
      </c>
      <c r="AB133" s="21">
        <v>7840</v>
      </c>
      <c r="AC133" s="21">
        <v>8920</v>
      </c>
      <c r="AD133" s="21">
        <v>6900</v>
      </c>
      <c r="AE133" s="21">
        <v>6250</v>
      </c>
      <c r="AF133" s="21">
        <v>6580</v>
      </c>
      <c r="AG133" s="21">
        <v>6080</v>
      </c>
      <c r="AH133" s="21">
        <v>5550</v>
      </c>
      <c r="AI133" s="21">
        <v>5700</v>
      </c>
      <c r="AJ133" s="21">
        <v>5890</v>
      </c>
      <c r="AK133" s="21">
        <v>6900</v>
      </c>
      <c r="AL133" s="21">
        <v>5310</v>
      </c>
      <c r="AM133" s="21">
        <v>4720</v>
      </c>
      <c r="AN133" s="21">
        <v>3975</v>
      </c>
      <c r="AO133" s="21">
        <v>3230</v>
      </c>
      <c r="AP133" s="21">
        <v>3330</v>
      </c>
      <c r="AQ133" s="21">
        <v>2939</v>
      </c>
      <c r="AR133" s="21">
        <v>3375</v>
      </c>
      <c r="AS133" s="21">
        <v>3350</v>
      </c>
      <c r="AT133" s="21">
        <v>3655</v>
      </c>
      <c r="AU133" s="21">
        <v>4070</v>
      </c>
      <c r="AV133" s="21">
        <v>4915</v>
      </c>
      <c r="AW133" s="21">
        <v>4660</v>
      </c>
      <c r="AX133" s="21">
        <v>4995</v>
      </c>
      <c r="AY133" s="21">
        <v>3850</v>
      </c>
      <c r="AZ133" s="21">
        <v>3555</v>
      </c>
      <c r="BA133" s="21">
        <v>2964</v>
      </c>
      <c r="BB133" s="21">
        <v>2455</v>
      </c>
      <c r="BC133" s="21">
        <v>2355</v>
      </c>
      <c r="BD133" s="21">
        <v>2340</v>
      </c>
      <c r="BE133" s="21">
        <v>2602</v>
      </c>
      <c r="BF133" s="21">
        <v>2655</v>
      </c>
      <c r="BG133" s="21">
        <v>2673</v>
      </c>
      <c r="BH133" s="21">
        <v>2610</v>
      </c>
      <c r="BI133" s="21">
        <v>2790</v>
      </c>
      <c r="BJ133" s="21">
        <v>3460</v>
      </c>
      <c r="BK133" s="21">
        <v>3260</v>
      </c>
      <c r="BL133" s="21">
        <v>3250</v>
      </c>
      <c r="BM133" s="1">
        <v>2947</v>
      </c>
      <c r="BN133" s="1">
        <v>2771</v>
      </c>
      <c r="BO133" s="1">
        <v>2588</v>
      </c>
      <c r="BP133" s="1">
        <v>2198</v>
      </c>
      <c r="BQ133" s="1">
        <v>2118</v>
      </c>
      <c r="BR133" s="1">
        <v>2075</v>
      </c>
      <c r="BS133" s="1">
        <v>2160</v>
      </c>
      <c r="BT133" s="1">
        <v>2150</v>
      </c>
      <c r="BU133" s="1">
        <v>2000</v>
      </c>
      <c r="BV133" s="1">
        <v>2046</v>
      </c>
      <c r="BW133" s="1">
        <v>2070</v>
      </c>
      <c r="BX133" s="1">
        <v>2045</v>
      </c>
      <c r="BY133" s="1">
        <v>2120</v>
      </c>
      <c r="BZ133" s="1">
        <v>2000</v>
      </c>
    </row>
    <row r="134" spans="1:254" ht="15.9" customHeight="1">
      <c r="A134" s="78" t="s">
        <v>263</v>
      </c>
      <c r="B134" s="17" t="s">
        <v>264</v>
      </c>
      <c r="C134" s="543">
        <f>_xll.RssMarket("3110","始値")</f>
        <v>3150</v>
      </c>
      <c r="D134" s="23">
        <f t="shared" ref="D134:D141" si="4">C134-E134</f>
        <v>0</v>
      </c>
      <c r="E134" s="550">
        <v>3150</v>
      </c>
      <c r="F134" s="21">
        <v>3350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78" t="s">
        <v>265</v>
      </c>
      <c r="B135" s="17" t="s">
        <v>266</v>
      </c>
      <c r="C135" s="543">
        <f>_xll.RssMarket("6232","始値")</f>
        <v>1800</v>
      </c>
      <c r="D135" s="23">
        <f t="shared" si="4"/>
        <v>0</v>
      </c>
      <c r="E135" s="550">
        <v>1800</v>
      </c>
      <c r="F135" s="21">
        <v>1750</v>
      </c>
      <c r="G135" s="21">
        <v>2900</v>
      </c>
      <c r="H135" s="21">
        <v>2800</v>
      </c>
      <c r="I135" s="21">
        <v>3295</v>
      </c>
      <c r="J135" s="21">
        <v>2750</v>
      </c>
      <c r="K135" s="21">
        <v>2991</v>
      </c>
      <c r="L135" s="21">
        <v>3450</v>
      </c>
      <c r="M135" s="21">
        <v>3830</v>
      </c>
      <c r="N135" s="21">
        <v>1787</v>
      </c>
      <c r="O135" s="21">
        <v>4105</v>
      </c>
      <c r="P135" s="21">
        <v>4280</v>
      </c>
      <c r="Q135" s="21">
        <v>3980</v>
      </c>
      <c r="R135" s="21">
        <v>4080</v>
      </c>
      <c r="S135" s="21">
        <v>5500</v>
      </c>
      <c r="T135" s="21">
        <v>5190</v>
      </c>
      <c r="U135" s="21">
        <v>5930</v>
      </c>
      <c r="V135" s="21">
        <v>5490</v>
      </c>
      <c r="W135" s="21">
        <v>5500</v>
      </c>
      <c r="X135" s="21">
        <v>5460</v>
      </c>
      <c r="Y135" s="21">
        <v>6710</v>
      </c>
      <c r="Z135" s="21">
        <v>8070</v>
      </c>
      <c r="AA135" s="21">
        <v>7200</v>
      </c>
      <c r="AB135" s="21">
        <v>7840</v>
      </c>
      <c r="AC135" s="21">
        <v>8920</v>
      </c>
      <c r="AD135" s="21">
        <v>6900</v>
      </c>
      <c r="AE135" s="21">
        <v>6250</v>
      </c>
      <c r="AF135" s="21">
        <v>6580</v>
      </c>
      <c r="AG135" s="21">
        <v>6080</v>
      </c>
      <c r="AH135" s="21">
        <v>5550</v>
      </c>
      <c r="AI135" s="21">
        <v>5700</v>
      </c>
      <c r="AJ135" s="21">
        <v>5890</v>
      </c>
      <c r="AK135" s="21">
        <v>6900</v>
      </c>
      <c r="AL135" s="21">
        <v>5310</v>
      </c>
      <c r="AM135" s="21">
        <v>4720</v>
      </c>
      <c r="AN135" s="21">
        <v>3975</v>
      </c>
      <c r="AO135" s="21">
        <v>3230</v>
      </c>
      <c r="AP135" s="21">
        <v>3330</v>
      </c>
      <c r="AQ135" s="21">
        <v>2939</v>
      </c>
      <c r="AR135" s="21">
        <v>3375</v>
      </c>
      <c r="AS135" s="21">
        <v>3350</v>
      </c>
      <c r="AT135" s="21">
        <v>3655</v>
      </c>
      <c r="AU135" s="21">
        <v>4070</v>
      </c>
      <c r="AV135" s="21">
        <v>4915</v>
      </c>
      <c r="AW135" s="21">
        <v>4660</v>
      </c>
      <c r="AX135" s="21">
        <v>4995</v>
      </c>
      <c r="AY135" s="21">
        <v>3850</v>
      </c>
      <c r="AZ135" s="21">
        <v>3555</v>
      </c>
      <c r="BA135" s="21">
        <v>2964</v>
      </c>
      <c r="BB135" s="21">
        <v>2455</v>
      </c>
      <c r="BC135" s="21">
        <v>2355</v>
      </c>
      <c r="BD135" s="21">
        <v>2340</v>
      </c>
      <c r="BE135" s="21">
        <v>2602</v>
      </c>
      <c r="BF135" s="21">
        <v>2655</v>
      </c>
      <c r="BG135" s="21">
        <v>2673</v>
      </c>
      <c r="BH135" s="21">
        <v>2610</v>
      </c>
      <c r="BI135" s="21">
        <v>2790</v>
      </c>
      <c r="BJ135" s="21">
        <v>3460</v>
      </c>
      <c r="BK135" s="21">
        <v>3260</v>
      </c>
      <c r="BL135" s="21">
        <v>3250</v>
      </c>
      <c r="BM135" s="1">
        <v>2947</v>
      </c>
      <c r="BN135" s="1">
        <v>2771</v>
      </c>
      <c r="BO135" s="1">
        <v>2588</v>
      </c>
      <c r="BP135" s="1">
        <v>2198</v>
      </c>
      <c r="BQ135" s="1">
        <v>2118</v>
      </c>
      <c r="BR135" s="1">
        <v>2075</v>
      </c>
      <c r="BS135" s="1">
        <v>2160</v>
      </c>
      <c r="BT135" s="1">
        <v>2150</v>
      </c>
      <c r="BU135" s="1">
        <v>2000</v>
      </c>
      <c r="BV135" s="1">
        <v>2046</v>
      </c>
      <c r="BW135" s="1">
        <v>2070</v>
      </c>
      <c r="BX135" s="1">
        <v>2045</v>
      </c>
      <c r="BY135" s="1">
        <v>2120</v>
      </c>
      <c r="BZ135" s="1">
        <v>2000</v>
      </c>
    </row>
    <row r="136" spans="1:254" ht="15.9" customHeight="1">
      <c r="A136" s="78" t="s">
        <v>267</v>
      </c>
      <c r="B136" s="17" t="s">
        <v>268</v>
      </c>
      <c r="C136" s="543">
        <f>_xll.RssMarket("7794","始値")</f>
        <v>891</v>
      </c>
      <c r="D136" s="23">
        <f t="shared" si="4"/>
        <v>0</v>
      </c>
      <c r="E136" s="550">
        <v>891</v>
      </c>
      <c r="F136" s="21">
        <v>886</v>
      </c>
      <c r="G136" s="21">
        <v>871</v>
      </c>
      <c r="H136" s="21">
        <v>855</v>
      </c>
      <c r="I136" s="21">
        <v>835</v>
      </c>
      <c r="J136" s="21">
        <v>844</v>
      </c>
      <c r="K136" s="21">
        <v>880</v>
      </c>
      <c r="L136" s="21">
        <v>920</v>
      </c>
      <c r="M136" s="21">
        <v>934</v>
      </c>
      <c r="N136" s="21"/>
      <c r="O136" s="21">
        <v>939</v>
      </c>
      <c r="P136" s="21">
        <v>940</v>
      </c>
      <c r="Q136" s="21">
        <v>925</v>
      </c>
      <c r="R136" s="21">
        <v>930</v>
      </c>
      <c r="S136" s="21">
        <v>1030</v>
      </c>
      <c r="T136" s="21">
        <v>1047</v>
      </c>
      <c r="U136" s="21">
        <v>1068</v>
      </c>
      <c r="V136" s="21">
        <v>1077</v>
      </c>
      <c r="W136" s="21">
        <v>1103</v>
      </c>
      <c r="X136" s="21">
        <v>1100</v>
      </c>
      <c r="Y136" s="21">
        <v>1174</v>
      </c>
      <c r="Z136" s="21">
        <v>1244</v>
      </c>
      <c r="AA136" s="21">
        <v>1222</v>
      </c>
      <c r="AB136" s="21">
        <v>1221</v>
      </c>
      <c r="AC136" s="21">
        <v>1240</v>
      </c>
      <c r="AD136" s="21">
        <v>1165</v>
      </c>
      <c r="AE136" s="21">
        <v>1100</v>
      </c>
      <c r="AF136" s="21">
        <v>1049</v>
      </c>
      <c r="AG136" s="21">
        <v>1080</v>
      </c>
      <c r="AH136" s="21">
        <v>1099</v>
      </c>
      <c r="AI136" s="21">
        <v>1208</v>
      </c>
      <c r="AJ136" s="21">
        <v>1119</v>
      </c>
      <c r="AK136" s="21">
        <v>1121</v>
      </c>
      <c r="AL136" s="21">
        <v>1091</v>
      </c>
      <c r="AM136" s="21">
        <v>1074</v>
      </c>
      <c r="AN136" s="21">
        <v>1095</v>
      </c>
      <c r="AO136" s="21">
        <v>1121</v>
      </c>
      <c r="AP136" s="21">
        <v>1100</v>
      </c>
      <c r="AQ136" s="21">
        <v>1081</v>
      </c>
      <c r="AR136" s="21">
        <v>1110</v>
      </c>
      <c r="AS136" s="21">
        <v>1080</v>
      </c>
      <c r="AT136" s="21">
        <v>1005</v>
      </c>
      <c r="AU136" s="21">
        <v>1070</v>
      </c>
      <c r="AV136" s="21">
        <v>1102</v>
      </c>
      <c r="AW136" s="21">
        <v>1160</v>
      </c>
      <c r="AX136" s="21">
        <v>1225</v>
      </c>
      <c r="AY136" s="21">
        <v>1326</v>
      </c>
      <c r="AZ136" s="21">
        <v>1125</v>
      </c>
      <c r="BA136" s="21">
        <v>1148</v>
      </c>
      <c r="BB136" s="21">
        <v>1081</v>
      </c>
      <c r="BC136" s="21">
        <v>1103</v>
      </c>
      <c r="BD136" s="21">
        <v>1122</v>
      </c>
      <c r="BE136" s="21">
        <v>1124</v>
      </c>
      <c r="BF136" s="21">
        <v>1160</v>
      </c>
      <c r="BG136" s="21">
        <v>1120</v>
      </c>
      <c r="BH136" s="21">
        <v>1213</v>
      </c>
      <c r="BI136" s="21">
        <v>1310</v>
      </c>
      <c r="BJ136" s="21">
        <v>1398</v>
      </c>
      <c r="BK136" s="21">
        <v>1421</v>
      </c>
      <c r="BL136" s="21">
        <v>1305</v>
      </c>
      <c r="BM136" s="1">
        <v>1320</v>
      </c>
      <c r="BN136" s="1">
        <v>1333</v>
      </c>
      <c r="BO136" s="1">
        <v>1315</v>
      </c>
      <c r="BP136" s="1">
        <v>1342</v>
      </c>
      <c r="BQ136" s="1">
        <v>1414</v>
      </c>
      <c r="BR136" s="1">
        <v>1450</v>
      </c>
      <c r="BS136" s="1">
        <v>1484</v>
      </c>
      <c r="BT136" s="1">
        <v>1540</v>
      </c>
      <c r="BU136" s="1">
        <v>1620</v>
      </c>
      <c r="BV136" s="1">
        <v>1580</v>
      </c>
      <c r="BW136" s="1">
        <v>1238</v>
      </c>
      <c r="BX136" s="1">
        <v>1189</v>
      </c>
      <c r="BY136" s="1">
        <v>1198</v>
      </c>
      <c r="BZ136" s="1">
        <v>1218</v>
      </c>
    </row>
    <row r="137" spans="1:254" ht="15.9" customHeight="1">
      <c r="A137" s="78" t="s">
        <v>269</v>
      </c>
      <c r="B137" s="17" t="s">
        <v>270</v>
      </c>
      <c r="C137" s="543">
        <f>_xll.RssMarket("6085","始値")</f>
        <v>76</v>
      </c>
      <c r="D137" s="23">
        <f t="shared" si="4"/>
        <v>0</v>
      </c>
      <c r="E137" s="550">
        <v>76</v>
      </c>
      <c r="F137" s="21">
        <v>78</v>
      </c>
      <c r="G137" s="21">
        <v>69</v>
      </c>
      <c r="H137" s="21">
        <v>86</v>
      </c>
      <c r="I137" s="21">
        <v>95</v>
      </c>
      <c r="J137" s="21">
        <v>85</v>
      </c>
      <c r="K137" s="21">
        <v>97</v>
      </c>
      <c r="L137" s="21">
        <v>109</v>
      </c>
      <c r="M137" s="21">
        <v>120</v>
      </c>
      <c r="N137" s="21"/>
      <c r="O137" s="21">
        <v>128</v>
      </c>
      <c r="P137" s="21">
        <v>174</v>
      </c>
      <c r="Q137" s="21">
        <v>171</v>
      </c>
      <c r="R137" s="21">
        <v>167</v>
      </c>
      <c r="S137" s="21">
        <v>212</v>
      </c>
      <c r="T137" s="21">
        <v>209</v>
      </c>
      <c r="U137" s="21">
        <v>230</v>
      </c>
      <c r="V137" s="21">
        <v>218</v>
      </c>
      <c r="W137" s="21">
        <v>231</v>
      </c>
      <c r="X137" s="21">
        <v>266</v>
      </c>
      <c r="Y137" s="21">
        <v>251</v>
      </c>
      <c r="Z137" s="21">
        <v>235</v>
      </c>
      <c r="AA137" s="21">
        <v>238</v>
      </c>
      <c r="AB137" s="21">
        <v>251</v>
      </c>
      <c r="AC137" s="21">
        <v>268</v>
      </c>
      <c r="AD137" s="21">
        <v>280</v>
      </c>
      <c r="AE137" s="21">
        <v>309</v>
      </c>
      <c r="AF137" s="21">
        <v>303</v>
      </c>
      <c r="AG137" s="21">
        <v>303</v>
      </c>
      <c r="AH137" s="21">
        <v>311</v>
      </c>
      <c r="AI137" s="21">
        <v>361</v>
      </c>
      <c r="AJ137" s="21">
        <v>330</v>
      </c>
      <c r="AK137" s="21">
        <v>331</v>
      </c>
      <c r="AL137" s="21">
        <v>330</v>
      </c>
      <c r="AM137" s="21">
        <v>321</v>
      </c>
      <c r="AN137" s="21">
        <v>310</v>
      </c>
      <c r="AO137" s="21">
        <v>360</v>
      </c>
      <c r="AP137" s="21">
        <v>400</v>
      </c>
      <c r="AQ137" s="21">
        <v>405</v>
      </c>
      <c r="AR137" s="21">
        <v>394</v>
      </c>
      <c r="AS137" s="21">
        <v>314</v>
      </c>
      <c r="AT137" s="21">
        <v>266</v>
      </c>
      <c r="AU137" s="21">
        <v>250</v>
      </c>
      <c r="AV137" s="21">
        <v>274</v>
      </c>
      <c r="AW137" s="21">
        <v>369</v>
      </c>
      <c r="AX137" s="21">
        <v>335</v>
      </c>
      <c r="AY137" s="21">
        <v>423</v>
      </c>
      <c r="AZ137" s="21">
        <v>514</v>
      </c>
      <c r="BA137" s="21">
        <v>520</v>
      </c>
      <c r="BB137" s="21">
        <v>460</v>
      </c>
      <c r="BC137" s="21">
        <v>440</v>
      </c>
      <c r="BD137" s="21">
        <v>463</v>
      </c>
      <c r="BE137" s="21">
        <v>579</v>
      </c>
      <c r="BF137" s="21">
        <v>520</v>
      </c>
      <c r="BG137" s="21">
        <v>527</v>
      </c>
      <c r="BH137" s="21">
        <v>498</v>
      </c>
      <c r="BI137" s="21">
        <v>540</v>
      </c>
      <c r="BJ137" s="21">
        <v>580</v>
      </c>
      <c r="BK137" s="21">
        <v>600</v>
      </c>
      <c r="BL137" s="21">
        <v>645</v>
      </c>
      <c r="BM137" s="1">
        <v>540</v>
      </c>
      <c r="BN137" s="1">
        <v>645</v>
      </c>
      <c r="BO137" s="1">
        <v>680</v>
      </c>
      <c r="BP137" s="1">
        <v>564</v>
      </c>
      <c r="BQ137" s="1">
        <v>589</v>
      </c>
      <c r="BR137" s="1">
        <v>465</v>
      </c>
      <c r="BS137" s="1">
        <v>451</v>
      </c>
      <c r="BT137" s="1">
        <v>396</v>
      </c>
      <c r="BU137" s="1">
        <v>399</v>
      </c>
      <c r="BV137" s="1">
        <v>364</v>
      </c>
      <c r="BW137" s="1">
        <v>349.5</v>
      </c>
      <c r="BX137" s="1">
        <v>297.89999999999998</v>
      </c>
      <c r="BY137" s="1">
        <v>299.89999999999998</v>
      </c>
      <c r="BZ137" s="1">
        <v>315</v>
      </c>
    </row>
    <row r="138" spans="1:254" ht="15.9" customHeight="1">
      <c r="A138" s="78" t="s">
        <v>271</v>
      </c>
      <c r="B138" s="17" t="s">
        <v>272</v>
      </c>
      <c r="C138" s="543">
        <f>_xll.RssMarket("3103","始値")</f>
        <v>964</v>
      </c>
      <c r="D138" s="23">
        <f t="shared" si="4"/>
        <v>0</v>
      </c>
      <c r="E138" s="550">
        <v>964</v>
      </c>
      <c r="F138" s="21">
        <v>914</v>
      </c>
      <c r="G138" s="21">
        <v>862</v>
      </c>
      <c r="H138" s="21">
        <v>815</v>
      </c>
      <c r="I138" s="21">
        <v>830</v>
      </c>
      <c r="J138" s="21">
        <v>760</v>
      </c>
      <c r="K138" s="21">
        <v>826</v>
      </c>
      <c r="L138" s="21">
        <v>849</v>
      </c>
      <c r="M138" s="21">
        <v>846</v>
      </c>
      <c r="N138" s="21">
        <v>845</v>
      </c>
      <c r="O138" s="21">
        <v>896</v>
      </c>
      <c r="P138" s="21">
        <v>914</v>
      </c>
      <c r="Q138" s="21">
        <v>851</v>
      </c>
      <c r="R138" s="21">
        <v>930</v>
      </c>
      <c r="S138" s="21">
        <v>910</v>
      </c>
      <c r="T138" s="21">
        <v>877</v>
      </c>
      <c r="U138" s="21">
        <v>932</v>
      </c>
      <c r="V138" s="21">
        <v>943</v>
      </c>
      <c r="W138" s="21">
        <v>933</v>
      </c>
      <c r="X138" s="21">
        <v>960</v>
      </c>
      <c r="Y138" s="21">
        <v>1000</v>
      </c>
      <c r="Z138" s="21">
        <v>1037</v>
      </c>
      <c r="AA138" s="21">
        <v>988</v>
      </c>
      <c r="AB138" s="21">
        <v>980</v>
      </c>
      <c r="AC138" s="21">
        <v>1036</v>
      </c>
      <c r="AD138" s="21">
        <v>1029</v>
      </c>
      <c r="AE138" s="21">
        <v>1058</v>
      </c>
      <c r="AF138" s="21">
        <v>1056</v>
      </c>
      <c r="AG138" s="21">
        <v>1070</v>
      </c>
      <c r="AH138" s="21">
        <v>1112</v>
      </c>
      <c r="AI138" s="21">
        <v>1220</v>
      </c>
      <c r="AJ138" s="21">
        <v>1152</v>
      </c>
      <c r="AK138" s="21">
        <v>1145</v>
      </c>
      <c r="AL138" s="21">
        <v>1282</v>
      </c>
      <c r="AM138" s="21">
        <v>1125</v>
      </c>
      <c r="AN138" s="21">
        <v>1115</v>
      </c>
      <c r="AO138" s="21">
        <v>1165</v>
      </c>
      <c r="AP138" s="21">
        <v>1154</v>
      </c>
      <c r="AQ138" s="21">
        <v>1182</v>
      </c>
      <c r="AR138" s="21">
        <v>1241</v>
      </c>
      <c r="AS138" s="21">
        <v>1150</v>
      </c>
      <c r="AT138" s="21">
        <v>1189</v>
      </c>
      <c r="AU138" s="21">
        <v>1256</v>
      </c>
      <c r="AV138" s="21">
        <v>1220</v>
      </c>
      <c r="AW138" s="21">
        <v>1310</v>
      </c>
      <c r="AX138" s="21">
        <v>1391</v>
      </c>
      <c r="AY138" s="21">
        <v>1420</v>
      </c>
      <c r="AZ138" s="21">
        <v>1578</v>
      </c>
      <c r="BA138" s="21">
        <v>1850</v>
      </c>
      <c r="BB138" s="21">
        <v>1268</v>
      </c>
      <c r="BC138" s="21">
        <v>1330</v>
      </c>
      <c r="BD138" s="21">
        <v>1418</v>
      </c>
      <c r="BE138" s="21">
        <v>1370</v>
      </c>
      <c r="BF138" s="21">
        <v>1325</v>
      </c>
      <c r="BG138" s="21">
        <v>1415</v>
      </c>
      <c r="BH138" s="21">
        <v>2304</v>
      </c>
      <c r="BI138" s="21">
        <v>2200</v>
      </c>
      <c r="BJ138" s="21">
        <v>2326</v>
      </c>
      <c r="BK138" s="21">
        <v>2570</v>
      </c>
      <c r="BL138" s="21">
        <v>2410</v>
      </c>
      <c r="BM138" s="1">
        <v>2500</v>
      </c>
      <c r="BN138" s="1">
        <v>2534</v>
      </c>
      <c r="BO138" s="1">
        <v>2234</v>
      </c>
      <c r="BP138" s="1">
        <v>2564</v>
      </c>
      <c r="BQ138" s="1">
        <v>2629</v>
      </c>
      <c r="BR138" s="1">
        <v>2901</v>
      </c>
      <c r="BS138" s="1">
        <v>2968</v>
      </c>
      <c r="BT138" s="1">
        <v>2725</v>
      </c>
      <c r="BU138" s="1">
        <v>4025</v>
      </c>
      <c r="BV138" s="1">
        <v>3155</v>
      </c>
      <c r="BW138" s="1">
        <v>2731</v>
      </c>
      <c r="BX138" s="1">
        <v>2111</v>
      </c>
      <c r="BY138" s="1">
        <v>2115</v>
      </c>
      <c r="BZ138" s="1">
        <v>1963</v>
      </c>
    </row>
    <row r="139" spans="1:254" ht="15.9" customHeight="1">
      <c r="A139" s="78" t="s">
        <v>273</v>
      </c>
      <c r="B139" s="17" t="s">
        <v>274</v>
      </c>
      <c r="C139" s="543">
        <f>_xll.RssMarket("4422","始値")</f>
        <v>565</v>
      </c>
      <c r="D139" s="23">
        <f t="shared" si="4"/>
        <v>0</v>
      </c>
      <c r="E139" s="550">
        <v>565</v>
      </c>
      <c r="F139" s="21">
        <v>552</v>
      </c>
      <c r="G139" s="21">
        <v>521</v>
      </c>
      <c r="H139" s="21">
        <v>513</v>
      </c>
      <c r="I139" s="21">
        <v>492</v>
      </c>
      <c r="J139" s="21">
        <v>480</v>
      </c>
      <c r="K139" s="21">
        <v>514</v>
      </c>
      <c r="L139" s="21">
        <v>529</v>
      </c>
      <c r="M139" s="21">
        <v>540</v>
      </c>
      <c r="N139" s="21">
        <v>528</v>
      </c>
      <c r="O139" s="21">
        <v>530</v>
      </c>
      <c r="P139" s="21">
        <v>542</v>
      </c>
      <c r="Q139" s="21">
        <v>517</v>
      </c>
      <c r="R139" s="21">
        <v>551</v>
      </c>
      <c r="S139" s="21">
        <v>553</v>
      </c>
      <c r="T139" s="21">
        <v>543</v>
      </c>
      <c r="U139" s="21">
        <v>577</v>
      </c>
      <c r="V139" s="21">
        <v>564</v>
      </c>
      <c r="W139" s="21">
        <v>569</v>
      </c>
      <c r="X139" s="21">
        <v>563</v>
      </c>
      <c r="Y139" s="21">
        <v>592</v>
      </c>
      <c r="Z139" s="21">
        <v>585</v>
      </c>
      <c r="AA139" s="21">
        <v>557</v>
      </c>
      <c r="AB139" s="21">
        <v>554</v>
      </c>
      <c r="AC139" s="21">
        <v>574</v>
      </c>
      <c r="AD139" s="21">
        <v>569</v>
      </c>
      <c r="AE139" s="21">
        <v>568</v>
      </c>
      <c r="AF139" s="21">
        <v>570</v>
      </c>
      <c r="AG139" s="21">
        <v>574</v>
      </c>
      <c r="AH139" s="21">
        <v>582</v>
      </c>
      <c r="AI139" s="21">
        <v>611</v>
      </c>
      <c r="AJ139" s="21">
        <v>592</v>
      </c>
      <c r="AK139" s="21">
        <v>629</v>
      </c>
      <c r="AL139" s="21">
        <v>630</v>
      </c>
      <c r="AM139" s="21">
        <v>665</v>
      </c>
      <c r="AN139" s="21">
        <v>627</v>
      </c>
      <c r="AO139" s="21">
        <v>634</v>
      </c>
      <c r="AP139" s="21">
        <v>703</v>
      </c>
      <c r="AQ139" s="21">
        <v>762</v>
      </c>
      <c r="AR139" s="21">
        <v>770</v>
      </c>
      <c r="AS139" s="21">
        <v>690</v>
      </c>
      <c r="AT139" s="21">
        <v>665</v>
      </c>
      <c r="AU139" s="21">
        <v>665</v>
      </c>
      <c r="AV139" s="21">
        <v>679</v>
      </c>
      <c r="AW139" s="21">
        <v>695</v>
      </c>
      <c r="AX139" s="21">
        <v>728</v>
      </c>
      <c r="AY139" s="21">
        <v>734</v>
      </c>
      <c r="AZ139" s="21">
        <v>778</v>
      </c>
      <c r="BA139" s="21">
        <v>830</v>
      </c>
      <c r="BB139" s="21">
        <v>771</v>
      </c>
      <c r="BC139" s="21">
        <v>780</v>
      </c>
      <c r="BD139" s="21">
        <v>806</v>
      </c>
      <c r="BE139" s="21">
        <v>840</v>
      </c>
      <c r="BF139" s="21">
        <v>861</v>
      </c>
      <c r="BG139" s="21">
        <v>871</v>
      </c>
      <c r="BH139" s="21">
        <v>952</v>
      </c>
      <c r="BI139" s="21">
        <v>1040</v>
      </c>
      <c r="BJ139" s="21">
        <v>990</v>
      </c>
      <c r="BK139" s="21">
        <v>1023</v>
      </c>
      <c r="BL139" s="21">
        <v>1016</v>
      </c>
      <c r="BM139" s="1">
        <v>1044</v>
      </c>
      <c r="BN139" s="1">
        <v>1026</v>
      </c>
      <c r="BO139" s="1">
        <v>1156</v>
      </c>
      <c r="BP139" s="1">
        <v>1199</v>
      </c>
      <c r="BQ139" s="1">
        <v>1258</v>
      </c>
      <c r="BR139" s="1">
        <v>1512</v>
      </c>
      <c r="BS139" s="1">
        <v>1157</v>
      </c>
      <c r="BT139" s="1">
        <v>1268</v>
      </c>
      <c r="BU139" s="1">
        <v>1400</v>
      </c>
      <c r="BV139" s="1">
        <v>1517</v>
      </c>
      <c r="BW139" s="1">
        <v>1217</v>
      </c>
      <c r="BX139" s="1">
        <v>962</v>
      </c>
      <c r="BY139" s="1">
        <v>1020</v>
      </c>
      <c r="BZ139" s="1">
        <v>1170</v>
      </c>
    </row>
    <row r="140" spans="1:254" ht="15.9" customHeight="1">
      <c r="A140" s="78" t="s">
        <v>275</v>
      </c>
      <c r="B140" s="17" t="s">
        <v>276</v>
      </c>
      <c r="C140" s="543">
        <f>_xll.RssMarket("6740","始値")</f>
        <v>49</v>
      </c>
      <c r="D140" s="23">
        <f t="shared" si="4"/>
        <v>0</v>
      </c>
      <c r="E140" s="550">
        <v>49</v>
      </c>
      <c r="F140" s="21">
        <v>46</v>
      </c>
      <c r="G140" s="21">
        <v>47</v>
      </c>
      <c r="H140" s="21">
        <v>47</v>
      </c>
      <c r="I140" s="21">
        <v>47</v>
      </c>
      <c r="J140" s="21">
        <v>44</v>
      </c>
      <c r="K140" s="21">
        <v>46</v>
      </c>
      <c r="L140" s="21">
        <v>48</v>
      </c>
      <c r="M140" s="21">
        <v>47</v>
      </c>
      <c r="N140" s="21"/>
      <c r="O140" s="21">
        <v>47</v>
      </c>
      <c r="P140" s="21">
        <v>50</v>
      </c>
      <c r="Q140" s="21">
        <v>46</v>
      </c>
      <c r="R140" s="21">
        <v>48</v>
      </c>
      <c r="S140" s="21">
        <v>51</v>
      </c>
      <c r="T140" s="21">
        <v>52</v>
      </c>
      <c r="U140" s="21">
        <v>53</v>
      </c>
      <c r="V140" s="21">
        <v>51</v>
      </c>
      <c r="W140" s="21">
        <v>53</v>
      </c>
      <c r="X140" s="21">
        <v>53</v>
      </c>
      <c r="Y140" s="21">
        <v>56</v>
      </c>
      <c r="Z140" s="21">
        <v>54</v>
      </c>
      <c r="AA140" s="21">
        <v>52</v>
      </c>
      <c r="AB140" s="21">
        <v>54</v>
      </c>
      <c r="AC140" s="21">
        <v>56</v>
      </c>
      <c r="AD140" s="21">
        <v>59</v>
      </c>
      <c r="AE140" s="21">
        <v>60</v>
      </c>
      <c r="AF140" s="21">
        <v>56</v>
      </c>
      <c r="AG140" s="21">
        <v>75</v>
      </c>
      <c r="AH140" s="21">
        <v>51</v>
      </c>
      <c r="AI140" s="21">
        <v>53</v>
      </c>
      <c r="AJ140" s="21">
        <v>56</v>
      </c>
      <c r="AK140" s="21">
        <v>50</v>
      </c>
      <c r="AL140" s="21">
        <v>51</v>
      </c>
      <c r="AM140" s="21">
        <v>45</v>
      </c>
      <c r="AN140" s="21">
        <v>47</v>
      </c>
      <c r="AO140" s="21">
        <v>52</v>
      </c>
      <c r="AP140" s="21">
        <v>54</v>
      </c>
      <c r="AQ140" s="21">
        <v>53</v>
      </c>
      <c r="AR140" s="21">
        <v>58</v>
      </c>
      <c r="AS140" s="21">
        <v>54</v>
      </c>
      <c r="AT140" s="21">
        <v>53</v>
      </c>
      <c r="AU140" s="21">
        <v>52</v>
      </c>
      <c r="AV140" s="21">
        <v>52</v>
      </c>
      <c r="AW140" s="21">
        <v>55</v>
      </c>
      <c r="AX140" s="21">
        <v>56</v>
      </c>
      <c r="AY140" s="21">
        <v>51</v>
      </c>
      <c r="AZ140" s="21">
        <v>58</v>
      </c>
      <c r="BA140" s="21">
        <v>68</v>
      </c>
      <c r="BB140" s="21">
        <v>62</v>
      </c>
      <c r="BC140" s="21">
        <v>61</v>
      </c>
      <c r="BD140" s="21">
        <v>67</v>
      </c>
      <c r="BE140" s="21">
        <v>69</v>
      </c>
      <c r="BF140" s="21">
        <v>68</v>
      </c>
      <c r="BG140" s="21">
        <v>80</v>
      </c>
      <c r="BH140" s="21">
        <v>72</v>
      </c>
      <c r="BI140" s="21">
        <v>73</v>
      </c>
      <c r="BJ140" s="21">
        <v>79</v>
      </c>
      <c r="BK140" s="21">
        <v>81</v>
      </c>
      <c r="BL140" s="21">
        <v>85</v>
      </c>
      <c r="BM140" s="1">
        <v>90</v>
      </c>
      <c r="BN140" s="1">
        <v>100</v>
      </c>
      <c r="BO140" s="1">
        <v>112</v>
      </c>
      <c r="BP140" s="1">
        <v>93</v>
      </c>
      <c r="BQ140" s="1">
        <v>100</v>
      </c>
      <c r="BR140" s="1">
        <v>95</v>
      </c>
      <c r="BS140" s="1">
        <v>101</v>
      </c>
      <c r="BT140" s="1">
        <v>107</v>
      </c>
      <c r="BU140" s="1">
        <v>123</v>
      </c>
      <c r="BV140" s="1">
        <v>114</v>
      </c>
      <c r="BW140" s="1">
        <v>107</v>
      </c>
      <c r="BX140" s="1">
        <v>96</v>
      </c>
      <c r="BY140" s="1">
        <v>94</v>
      </c>
      <c r="BZ140" s="1">
        <v>83</v>
      </c>
    </row>
    <row r="141" spans="1:254" ht="15.9" customHeight="1">
      <c r="A141" s="78" t="s">
        <v>277</v>
      </c>
      <c r="B141" s="17" t="s">
        <v>278</v>
      </c>
      <c r="C141" s="543">
        <f>_xll.RssMarket("6613","始値")</f>
        <v>1720</v>
      </c>
      <c r="D141" s="23">
        <f t="shared" si="4"/>
        <v>0</v>
      </c>
      <c r="E141" s="550">
        <v>1720</v>
      </c>
      <c r="F141" s="21">
        <v>1820</v>
      </c>
      <c r="G141" s="21">
        <v>1501</v>
      </c>
      <c r="H141" s="21">
        <v>1477</v>
      </c>
      <c r="I141" s="21">
        <v>1601</v>
      </c>
      <c r="J141" s="21">
        <v>1270</v>
      </c>
      <c r="K141" s="21">
        <v>1361</v>
      </c>
      <c r="L141" s="21">
        <v>1479</v>
      </c>
      <c r="M141" s="21">
        <v>1640</v>
      </c>
      <c r="N141" s="21">
        <v>1713</v>
      </c>
      <c r="O141" s="21">
        <v>1672</v>
      </c>
      <c r="P141" s="21">
        <v>1756</v>
      </c>
      <c r="Q141" s="21">
        <v>1726</v>
      </c>
      <c r="R141" s="21">
        <v>1620</v>
      </c>
      <c r="S141" s="21">
        <v>2402</v>
      </c>
      <c r="T141" s="21">
        <v>2395</v>
      </c>
      <c r="U141" s="21">
        <v>2505</v>
      </c>
      <c r="V141" s="21">
        <v>2588</v>
      </c>
      <c r="W141" s="21">
        <v>2625</v>
      </c>
      <c r="X141" s="21">
        <v>2501</v>
      </c>
      <c r="Y141" s="21">
        <v>2664</v>
      </c>
      <c r="Z141" s="21">
        <v>2675</v>
      </c>
      <c r="AA141" s="21">
        <v>2548</v>
      </c>
      <c r="AB141" s="21">
        <v>2602</v>
      </c>
      <c r="AC141" s="21">
        <v>2849</v>
      </c>
      <c r="AD141" s="21">
        <v>2815</v>
      </c>
      <c r="AE141" s="21">
        <v>2835</v>
      </c>
      <c r="AF141" s="21">
        <v>3085</v>
      </c>
      <c r="AG141" s="21">
        <v>2952</v>
      </c>
      <c r="AH141" s="21">
        <v>2861</v>
      </c>
      <c r="AI141" s="21">
        <v>3215</v>
      </c>
      <c r="AJ141" s="21">
        <v>2920</v>
      </c>
      <c r="AK141" s="21">
        <v>2547</v>
      </c>
      <c r="AL141" s="21">
        <v>2450</v>
      </c>
      <c r="AM141" s="21">
        <v>2520</v>
      </c>
      <c r="AN141" s="21">
        <v>2798</v>
      </c>
      <c r="AO141" s="21">
        <v>2761</v>
      </c>
      <c r="AP141" s="21">
        <v>2490</v>
      </c>
      <c r="AQ141" s="21">
        <v>2252</v>
      </c>
      <c r="AR141" s="21">
        <v>2528</v>
      </c>
      <c r="AS141" s="21">
        <v>2370</v>
      </c>
      <c r="AT141" s="21">
        <v>2400</v>
      </c>
      <c r="AU141" s="21">
        <v>2500</v>
      </c>
      <c r="AV141" s="21">
        <v>2820</v>
      </c>
      <c r="AW141" s="21">
        <v>2923</v>
      </c>
      <c r="AX141" s="21">
        <v>2769</v>
      </c>
      <c r="AY141" s="21">
        <v>2420</v>
      </c>
      <c r="AZ141" s="21">
        <v>3160</v>
      </c>
      <c r="BA141" s="21">
        <v>3500</v>
      </c>
      <c r="BB141" s="21">
        <v>2580</v>
      </c>
      <c r="BC141" s="21">
        <v>2830</v>
      </c>
      <c r="BD141" s="21">
        <v>2426</v>
      </c>
      <c r="BE141" s="21">
        <v>2100</v>
      </c>
      <c r="BF141" s="21">
        <v>1896</v>
      </c>
      <c r="BG141" s="21">
        <v>1779</v>
      </c>
      <c r="BH141" s="21">
        <v>1613</v>
      </c>
      <c r="BI141" s="21">
        <v>1613</v>
      </c>
      <c r="BJ141" s="21">
        <v>1749</v>
      </c>
      <c r="BK141" s="21">
        <v>1966</v>
      </c>
      <c r="BL141" s="21">
        <v>1500</v>
      </c>
      <c r="BM141" s="1">
        <v>1520</v>
      </c>
      <c r="BN141" s="1">
        <v>1465</v>
      </c>
      <c r="BO141" s="1">
        <v>1449</v>
      </c>
      <c r="BP141" s="1">
        <v>1505</v>
      </c>
      <c r="BQ141" s="1">
        <v>1444</v>
      </c>
      <c r="BR141" s="1">
        <v>1521</v>
      </c>
      <c r="BS141" s="1">
        <v>1531</v>
      </c>
      <c r="BT141" s="1">
        <v>1570</v>
      </c>
      <c r="BU141" s="1">
        <v>1675</v>
      </c>
      <c r="BV141" s="1">
        <v>1290</v>
      </c>
      <c r="BW141" s="1">
        <v>1355</v>
      </c>
      <c r="BX141" s="1">
        <v>1329</v>
      </c>
      <c r="BY141" s="1">
        <v>1485</v>
      </c>
      <c r="BZ141" s="1">
        <v>1299</v>
      </c>
    </row>
    <row r="142" spans="1:254" ht="15.9" customHeight="1">
      <c r="A142" s="78" t="s">
        <v>279</v>
      </c>
      <c r="B142" s="17" t="str">
        <f>銘柄管理!C142</f>
        <v>第一三共</v>
      </c>
      <c r="C142" s="543">
        <f>_xll.RssMarket("4568","始値")</f>
        <v>2612</v>
      </c>
      <c r="D142" s="23"/>
      <c r="E142" s="550">
        <v>2612</v>
      </c>
      <c r="F142" s="21">
        <v>2509</v>
      </c>
      <c r="G142" s="21">
        <v>2550</v>
      </c>
      <c r="H142" s="71">
        <v>2574</v>
      </c>
      <c r="I142" s="21">
        <v>2754</v>
      </c>
      <c r="J142" s="21">
        <v>2886</v>
      </c>
      <c r="K142" s="21">
        <v>2876.5</v>
      </c>
      <c r="L142" s="21">
        <v>2870</v>
      </c>
      <c r="M142" s="21">
        <v>2778.5</v>
      </c>
      <c r="N142" s="21">
        <v>2757</v>
      </c>
      <c r="O142" s="21">
        <v>2778</v>
      </c>
      <c r="P142" s="21">
        <v>2780</v>
      </c>
      <c r="Q142" s="21">
        <v>2810</v>
      </c>
      <c r="R142" s="21">
        <v>2755</v>
      </c>
      <c r="S142" s="21">
        <v>2668.5</v>
      </c>
      <c r="T142" s="21">
        <v>2716</v>
      </c>
      <c r="U142" s="21">
        <v>2707.5</v>
      </c>
      <c r="V142" s="21">
        <v>2750</v>
      </c>
      <c r="W142" s="21">
        <v>2700.5</v>
      </c>
      <c r="X142" s="21">
        <v>2760</v>
      </c>
      <c r="Y142" s="21">
        <v>2747.5</v>
      </c>
      <c r="Z142" s="21">
        <v>2699.5</v>
      </c>
      <c r="AA142" s="21">
        <v>2691</v>
      </c>
      <c r="AB142" s="21">
        <v>2596.5</v>
      </c>
      <c r="AC142" s="21">
        <v>2565</v>
      </c>
      <c r="AD142" s="21">
        <v>2616.5</v>
      </c>
      <c r="AE142" s="21">
        <v>2594.5</v>
      </c>
      <c r="AF142" s="21">
        <v>2576</v>
      </c>
      <c r="AG142" s="21">
        <v>2549</v>
      </c>
      <c r="AH142" s="21">
        <v>2550</v>
      </c>
      <c r="AI142" s="21">
        <v>2515</v>
      </c>
      <c r="AJ142" s="21">
        <v>2525</v>
      </c>
      <c r="AK142" s="21">
        <v>2610</v>
      </c>
      <c r="AL142" s="21">
        <v>2653</v>
      </c>
      <c r="AM142" s="21">
        <v>2550</v>
      </c>
      <c r="AN142" s="21">
        <v>2546</v>
      </c>
      <c r="AO142" s="21">
        <v>2541</v>
      </c>
      <c r="AP142" s="21">
        <v>2507.5</v>
      </c>
      <c r="AQ142" s="21">
        <v>2474.5</v>
      </c>
      <c r="AR142" s="21">
        <v>2490</v>
      </c>
      <c r="AS142" s="21">
        <v>2529.5</v>
      </c>
      <c r="AT142" s="21">
        <v>2390</v>
      </c>
      <c r="AU142" s="21">
        <v>2421</v>
      </c>
      <c r="AV142" s="21">
        <v>2518.5</v>
      </c>
      <c r="AW142" s="21">
        <v>2580.5</v>
      </c>
      <c r="AX142" s="21">
        <v>2720</v>
      </c>
      <c r="AY142" s="21">
        <v>2682</v>
      </c>
      <c r="AZ142" s="21">
        <v>2777.5</v>
      </c>
      <c r="BA142" s="21">
        <v>2688</v>
      </c>
      <c r="BB142" s="21">
        <v>2660.5</v>
      </c>
      <c r="BC142" s="21">
        <v>2634</v>
      </c>
      <c r="BD142" s="21">
        <v>2614.5</v>
      </c>
      <c r="BE142" s="21">
        <v>2628</v>
      </c>
      <c r="BF142" s="21">
        <v>2586</v>
      </c>
      <c r="BG142" s="21">
        <v>2549</v>
      </c>
      <c r="BH142" s="21">
        <v>2656</v>
      </c>
      <c r="BI142" s="21">
        <v>2735.5</v>
      </c>
      <c r="BJ142" s="21">
        <v>2728</v>
      </c>
      <c r="BK142" s="21">
        <v>2600</v>
      </c>
      <c r="BL142" s="21">
        <v>2650</v>
      </c>
      <c r="BM142" s="1">
        <v>2537</v>
      </c>
      <c r="BN142" s="1">
        <v>2597</v>
      </c>
      <c r="BO142" s="1">
        <v>2689</v>
      </c>
      <c r="BP142" s="1">
        <v>2606</v>
      </c>
      <c r="BQ142" s="1">
        <v>2499.5</v>
      </c>
      <c r="BR142" s="1">
        <v>2600</v>
      </c>
      <c r="BS142" s="1">
        <v>2809</v>
      </c>
      <c r="BT142" s="1">
        <v>2883</v>
      </c>
      <c r="BU142" s="1">
        <v>2965</v>
      </c>
      <c r="BV142" s="1">
        <v>2967</v>
      </c>
      <c r="BW142" s="1">
        <v>2900</v>
      </c>
      <c r="BX142" s="1">
        <v>2897.5</v>
      </c>
      <c r="BY142" s="1">
        <v>2739.5</v>
      </c>
      <c r="BZ142" s="1">
        <v>2755</v>
      </c>
    </row>
    <row r="143" spans="1:254" ht="15.9" customHeight="1">
      <c r="A143" s="78" t="s">
        <v>280</v>
      </c>
      <c r="B143" s="17" t="s">
        <v>281</v>
      </c>
      <c r="C143" s="543">
        <f>_xll.RssMarket("6522","始値")</f>
        <v>1665</v>
      </c>
      <c r="D143" s="23">
        <f t="shared" ref="D143:D188" si="5">C143-E143</f>
        <v>0</v>
      </c>
      <c r="E143" s="550">
        <v>1665</v>
      </c>
      <c r="F143" s="21">
        <v>1746</v>
      </c>
      <c r="G143" s="21">
        <v>1500</v>
      </c>
      <c r="H143" s="21">
        <v>1553</v>
      </c>
      <c r="I143" s="21">
        <v>1500</v>
      </c>
      <c r="J143" s="21">
        <v>1608</v>
      </c>
      <c r="K143" s="21">
        <v>1429</v>
      </c>
      <c r="L143" s="21">
        <v>1552</v>
      </c>
      <c r="M143" s="21">
        <v>1627</v>
      </c>
      <c r="N143" s="21">
        <v>1518</v>
      </c>
      <c r="O143" s="21">
        <v>1426</v>
      </c>
      <c r="P143" s="21">
        <v>1316</v>
      </c>
      <c r="Q143" s="21">
        <v>1334</v>
      </c>
      <c r="R143" s="21">
        <v>1409</v>
      </c>
      <c r="S143" s="21">
        <v>1770</v>
      </c>
      <c r="T143" s="21">
        <v>2020</v>
      </c>
      <c r="U143" s="21">
        <v>2081</v>
      </c>
      <c r="V143" s="21">
        <v>1903</v>
      </c>
      <c r="W143" s="21">
        <v>2200</v>
      </c>
      <c r="X143" s="21">
        <v>2240</v>
      </c>
      <c r="Y143" s="21">
        <v>2096</v>
      </c>
      <c r="Z143" s="21">
        <v>1941</v>
      </c>
      <c r="AA143" s="21">
        <v>2100</v>
      </c>
      <c r="AB143" s="21">
        <v>1600</v>
      </c>
      <c r="AC143" s="21">
        <v>1412</v>
      </c>
      <c r="AD143" s="21">
        <v>1020</v>
      </c>
      <c r="AE143" s="21">
        <v>990</v>
      </c>
      <c r="AF143" s="21">
        <v>1017</v>
      </c>
      <c r="AG143" s="21">
        <v>1150</v>
      </c>
      <c r="AH143" s="21">
        <v>1046</v>
      </c>
      <c r="AI143" s="21">
        <v>1213</v>
      </c>
      <c r="AJ143" s="21">
        <v>954</v>
      </c>
      <c r="AK143" s="21">
        <v>851</v>
      </c>
      <c r="AL143" s="21">
        <v>727</v>
      </c>
      <c r="AM143" s="21">
        <v>720</v>
      </c>
      <c r="AN143" s="21">
        <v>720</v>
      </c>
      <c r="AO143" s="21">
        <v>719</v>
      </c>
      <c r="AP143" s="21">
        <v>736</v>
      </c>
      <c r="AQ143" s="21">
        <v>745</v>
      </c>
      <c r="AR143" s="21">
        <v>771</v>
      </c>
      <c r="AS143" s="21">
        <v>742</v>
      </c>
      <c r="AT143" s="21">
        <v>778</v>
      </c>
      <c r="AU143" s="21">
        <v>782</v>
      </c>
      <c r="AV143" s="21">
        <v>799</v>
      </c>
      <c r="AW143" s="21">
        <v>900</v>
      </c>
      <c r="AX143" s="21">
        <v>792</v>
      </c>
      <c r="AY143" s="21">
        <v>840</v>
      </c>
      <c r="AZ143" s="21">
        <v>910</v>
      </c>
      <c r="BA143" s="21">
        <v>990</v>
      </c>
      <c r="BB143" s="21">
        <v>920</v>
      </c>
      <c r="BC143" s="21">
        <v>952</v>
      </c>
      <c r="BD143" s="21">
        <v>996</v>
      </c>
      <c r="BE143" s="21">
        <v>996</v>
      </c>
      <c r="BF143" s="21">
        <v>1000</v>
      </c>
      <c r="BG143" s="21">
        <v>1038</v>
      </c>
      <c r="BH143" s="21">
        <v>1028</v>
      </c>
      <c r="BI143" s="21">
        <v>1037</v>
      </c>
      <c r="BJ143" s="21">
        <v>1157</v>
      </c>
      <c r="BK143" s="21">
        <v>1233</v>
      </c>
      <c r="BL143" s="21">
        <v>1205</v>
      </c>
      <c r="BM143" s="1">
        <v>1194</v>
      </c>
      <c r="BN143" s="1">
        <v>1140</v>
      </c>
      <c r="BO143" s="1">
        <v>1150</v>
      </c>
      <c r="BP143" s="1">
        <v>1192</v>
      </c>
      <c r="BQ143" s="1">
        <v>1221</v>
      </c>
      <c r="BR143" s="1">
        <v>1265</v>
      </c>
      <c r="BS143" s="1">
        <v>1340</v>
      </c>
      <c r="BT143" s="1">
        <v>1516</v>
      </c>
      <c r="BU143" s="1">
        <v>1026</v>
      </c>
      <c r="BV143" s="1">
        <v>1068</v>
      </c>
      <c r="BW143" s="1">
        <v>1097</v>
      </c>
      <c r="BX143" s="1">
        <v>964</v>
      </c>
      <c r="BY143" s="1">
        <v>1050</v>
      </c>
      <c r="BZ143" s="1">
        <v>1019</v>
      </c>
    </row>
    <row r="144" spans="1:254" ht="15.9" customHeight="1">
      <c r="A144" s="78" t="s">
        <v>282</v>
      </c>
      <c r="B144" s="17" t="s">
        <v>283</v>
      </c>
      <c r="C144" s="543">
        <f>_xll.RssMarket("6777","始値")</f>
        <v>20710</v>
      </c>
      <c r="D144" s="23">
        <f t="shared" si="5"/>
        <v>0</v>
      </c>
      <c r="E144" s="550">
        <v>20710</v>
      </c>
      <c r="F144" s="21">
        <v>21000</v>
      </c>
      <c r="G144" s="21">
        <v>18350</v>
      </c>
      <c r="H144" s="21">
        <v>16880</v>
      </c>
      <c r="I144" s="21">
        <v>18090</v>
      </c>
      <c r="J144" s="21">
        <v>15530</v>
      </c>
      <c r="K144" s="21">
        <v>16500</v>
      </c>
      <c r="L144" s="21">
        <v>17910</v>
      </c>
      <c r="M144" s="21">
        <v>18850</v>
      </c>
      <c r="N144" s="21"/>
      <c r="O144" s="21">
        <v>19890</v>
      </c>
      <c r="P144" s="21">
        <v>20420</v>
      </c>
      <c r="Q144" s="21">
        <v>18730</v>
      </c>
      <c r="R144" s="21">
        <v>19620</v>
      </c>
      <c r="S144" s="21">
        <v>21220</v>
      </c>
      <c r="T144" s="21">
        <v>20500</v>
      </c>
      <c r="U144" s="21">
        <v>20720</v>
      </c>
      <c r="V144" s="21">
        <v>21630</v>
      </c>
      <c r="W144" s="21">
        <v>20330</v>
      </c>
      <c r="X144" s="21">
        <v>19870</v>
      </c>
      <c r="Y144" s="21">
        <v>22810</v>
      </c>
      <c r="Z144" s="21">
        <v>23850</v>
      </c>
      <c r="AA144" s="21">
        <v>22200</v>
      </c>
      <c r="AB144" s="21">
        <v>25170</v>
      </c>
      <c r="AC144" s="21">
        <v>27700</v>
      </c>
      <c r="AD144" s="21">
        <v>26860</v>
      </c>
      <c r="AE144" s="21">
        <v>26500</v>
      </c>
      <c r="AF144" s="21">
        <v>27930</v>
      </c>
      <c r="AG144" s="21">
        <v>28930</v>
      </c>
      <c r="AH144" s="21">
        <v>28360</v>
      </c>
      <c r="AI144" s="21">
        <v>30850</v>
      </c>
      <c r="AJ144" s="21">
        <v>29410</v>
      </c>
      <c r="AK144" s="21">
        <v>28900</v>
      </c>
      <c r="AL144" s="21">
        <v>27490</v>
      </c>
      <c r="AM144" s="21">
        <v>26230</v>
      </c>
      <c r="AN144" s="21">
        <v>26050</v>
      </c>
      <c r="AO144" s="21">
        <v>25220</v>
      </c>
      <c r="AP144" s="21">
        <v>23800</v>
      </c>
      <c r="AQ144" s="21">
        <v>22640</v>
      </c>
      <c r="AR144" s="21">
        <v>25350</v>
      </c>
      <c r="AS144" s="21">
        <v>22670</v>
      </c>
      <c r="AT144" s="21">
        <v>25470</v>
      </c>
      <c r="AU144" s="21">
        <v>25800</v>
      </c>
      <c r="AV144" s="21">
        <v>28450</v>
      </c>
      <c r="AW144" s="21">
        <v>25560</v>
      </c>
      <c r="AX144" s="21">
        <v>24780</v>
      </c>
      <c r="AY144" s="21">
        <v>24910</v>
      </c>
      <c r="AZ144" s="21">
        <v>26650</v>
      </c>
      <c r="BA144" s="21">
        <v>29980</v>
      </c>
      <c r="BB144" s="21">
        <v>27020</v>
      </c>
      <c r="BC144" s="21">
        <v>27990</v>
      </c>
      <c r="BD144" s="21">
        <v>27290</v>
      </c>
      <c r="BE144" s="21">
        <v>31600</v>
      </c>
      <c r="BF144" s="21">
        <v>32350</v>
      </c>
      <c r="BG144" s="21">
        <v>30800</v>
      </c>
      <c r="BH144" s="21">
        <v>33500</v>
      </c>
      <c r="BI144" s="21">
        <v>29810</v>
      </c>
      <c r="BJ144" s="21">
        <v>29230</v>
      </c>
      <c r="BK144" s="21">
        <v>28800</v>
      </c>
      <c r="BL144" s="21">
        <v>27600</v>
      </c>
      <c r="BM144" s="1">
        <v>29550</v>
      </c>
      <c r="BN144" s="1">
        <v>27940</v>
      </c>
      <c r="BO144" s="1">
        <v>28360</v>
      </c>
      <c r="BP144" s="1">
        <v>28620</v>
      </c>
      <c r="BQ144" s="1">
        <v>29000</v>
      </c>
      <c r="BR144" s="1">
        <v>30250</v>
      </c>
      <c r="BS144" s="1">
        <v>29950</v>
      </c>
      <c r="BT144" s="1">
        <v>29550</v>
      </c>
      <c r="BU144" s="1">
        <v>30300</v>
      </c>
      <c r="BV144" s="1">
        <v>26790</v>
      </c>
      <c r="BW144" s="1">
        <v>24470</v>
      </c>
      <c r="BX144" s="1">
        <v>24850</v>
      </c>
      <c r="BY144" s="1">
        <v>25260</v>
      </c>
      <c r="BZ144" s="1">
        <v>25010</v>
      </c>
    </row>
    <row r="145" spans="1:254" ht="15.9" customHeight="1">
      <c r="A145" s="78" t="s">
        <v>284</v>
      </c>
      <c r="B145" s="17" t="s">
        <v>285</v>
      </c>
      <c r="C145" s="543">
        <f>_xll.RssMarket("6787","始値")</f>
        <v>24350</v>
      </c>
      <c r="D145" s="23">
        <f t="shared" si="5"/>
        <v>0</v>
      </c>
      <c r="E145" s="550">
        <v>24350</v>
      </c>
      <c r="F145" s="21">
        <v>23340</v>
      </c>
      <c r="G145" s="21">
        <v>22000</v>
      </c>
      <c r="H145" s="21">
        <v>20460</v>
      </c>
      <c r="I145" s="21">
        <v>22690</v>
      </c>
      <c r="J145" s="21">
        <v>18460</v>
      </c>
      <c r="K145" s="21">
        <v>21010</v>
      </c>
      <c r="L145" s="21">
        <v>21570</v>
      </c>
      <c r="M145" s="21">
        <v>23000</v>
      </c>
      <c r="N145" s="21">
        <v>23530</v>
      </c>
      <c r="O145" s="21">
        <v>24850</v>
      </c>
      <c r="P145" s="21">
        <v>24500</v>
      </c>
      <c r="Q145" s="21">
        <v>23000</v>
      </c>
      <c r="R145" s="21">
        <v>23810</v>
      </c>
      <c r="S145" s="21">
        <v>26200</v>
      </c>
      <c r="T145" s="21">
        <v>25730</v>
      </c>
      <c r="U145" s="21">
        <v>26650</v>
      </c>
      <c r="V145" s="21">
        <v>26720</v>
      </c>
      <c r="W145" s="21">
        <v>26470</v>
      </c>
      <c r="X145" s="21">
        <v>25140</v>
      </c>
      <c r="Y145" s="21">
        <v>27130</v>
      </c>
      <c r="Z145" s="21">
        <v>29040</v>
      </c>
      <c r="AA145" s="21">
        <v>27420</v>
      </c>
      <c r="AB145" s="21">
        <v>28170</v>
      </c>
      <c r="AC145" s="21">
        <v>31450</v>
      </c>
      <c r="AD145" s="21">
        <v>32000</v>
      </c>
      <c r="AE145" s="21">
        <v>30950</v>
      </c>
      <c r="AF145" s="21">
        <v>31550</v>
      </c>
      <c r="AG145" s="21">
        <v>34000</v>
      </c>
      <c r="AH145" s="21">
        <v>32450</v>
      </c>
      <c r="AI145" s="21">
        <v>37000</v>
      </c>
      <c r="AJ145" s="21">
        <v>39750</v>
      </c>
      <c r="AK145" s="21">
        <v>38400</v>
      </c>
      <c r="AL145" s="21">
        <v>35300</v>
      </c>
      <c r="AM145" s="21">
        <v>33850</v>
      </c>
      <c r="AN145" s="21">
        <v>30600</v>
      </c>
      <c r="AO145" s="21">
        <v>32400</v>
      </c>
      <c r="AP145" s="21">
        <v>31300</v>
      </c>
      <c r="AQ145" s="21">
        <v>30000</v>
      </c>
      <c r="AR145" s="21">
        <v>32200</v>
      </c>
      <c r="AS145" s="21">
        <v>32800</v>
      </c>
      <c r="AT145" s="21">
        <v>36150</v>
      </c>
      <c r="AU145" s="21">
        <v>36400</v>
      </c>
      <c r="AV145" s="21">
        <v>39850</v>
      </c>
      <c r="AW145" s="21">
        <v>39500</v>
      </c>
      <c r="AX145" s="21">
        <v>38300</v>
      </c>
      <c r="AY145" s="21">
        <v>37900</v>
      </c>
      <c r="AZ145" s="21">
        <v>40450</v>
      </c>
      <c r="BA145" s="21">
        <v>44150</v>
      </c>
      <c r="BB145" s="21">
        <v>40750</v>
      </c>
      <c r="BC145" s="21">
        <v>37250</v>
      </c>
      <c r="BD145" s="21">
        <v>35600</v>
      </c>
      <c r="BE145" s="21">
        <v>40000</v>
      </c>
      <c r="BF145" s="21">
        <v>36900</v>
      </c>
      <c r="BG145" s="21">
        <v>40000</v>
      </c>
      <c r="BH145" s="21">
        <v>38650</v>
      </c>
      <c r="BI145" s="21">
        <v>29490</v>
      </c>
      <c r="BJ145" s="21">
        <v>32200</v>
      </c>
      <c r="BK145" s="21">
        <v>33650</v>
      </c>
      <c r="BL145" s="21">
        <v>30700</v>
      </c>
      <c r="BM145" s="1">
        <v>31500</v>
      </c>
      <c r="BN145" s="1">
        <v>30500</v>
      </c>
      <c r="BO145" s="1">
        <v>31300</v>
      </c>
      <c r="BP145" s="1">
        <v>30900</v>
      </c>
      <c r="BQ145" s="1">
        <v>30400</v>
      </c>
      <c r="BR145" s="1">
        <v>28780</v>
      </c>
      <c r="BS145" s="1">
        <v>29390</v>
      </c>
      <c r="BT145" s="1">
        <v>28070</v>
      </c>
      <c r="BU145" s="1">
        <v>27340</v>
      </c>
      <c r="BV145" s="1">
        <v>28150</v>
      </c>
      <c r="BW145" s="1">
        <v>29440</v>
      </c>
      <c r="BX145" s="1">
        <v>28370</v>
      </c>
      <c r="BY145" s="1">
        <v>29870</v>
      </c>
      <c r="BZ145" s="1">
        <v>27650</v>
      </c>
    </row>
    <row r="146" spans="1:254" ht="15.9" customHeight="1">
      <c r="A146" s="78" t="s">
        <v>286</v>
      </c>
      <c r="B146" s="17" t="s">
        <v>287</v>
      </c>
      <c r="C146" s="543">
        <f>_xll.RssMarket("4888","始値")</f>
        <v>312</v>
      </c>
      <c r="D146" s="23">
        <f t="shared" si="5"/>
        <v>0</v>
      </c>
      <c r="E146" s="550">
        <v>312</v>
      </c>
      <c r="F146" s="21">
        <v>316</v>
      </c>
      <c r="G146" s="21">
        <v>311</v>
      </c>
      <c r="H146" s="21">
        <v>304</v>
      </c>
      <c r="I146" s="21">
        <v>299</v>
      </c>
      <c r="J146" s="21">
        <v>298</v>
      </c>
      <c r="K146" s="21">
        <v>318</v>
      </c>
      <c r="L146" s="21">
        <v>319</v>
      </c>
      <c r="M146" s="21">
        <v>308</v>
      </c>
      <c r="N146" s="21">
        <v>305</v>
      </c>
      <c r="O146" s="21">
        <v>306</v>
      </c>
      <c r="P146" s="21">
        <v>308</v>
      </c>
      <c r="Q146" s="21">
        <v>303</v>
      </c>
      <c r="R146" s="21">
        <v>312</v>
      </c>
      <c r="S146" s="21">
        <v>321</v>
      </c>
      <c r="T146" s="21">
        <v>322</v>
      </c>
      <c r="U146" s="21">
        <v>326</v>
      </c>
      <c r="V146" s="21">
        <v>303</v>
      </c>
      <c r="W146" s="21">
        <v>305</v>
      </c>
      <c r="X146" s="21">
        <v>305</v>
      </c>
      <c r="Y146" s="21">
        <v>314</v>
      </c>
      <c r="Z146" s="21">
        <v>314</v>
      </c>
      <c r="AA146" s="21">
        <v>304</v>
      </c>
      <c r="AB146" s="21">
        <v>307</v>
      </c>
      <c r="AC146" s="21">
        <v>311</v>
      </c>
      <c r="AD146" s="21">
        <v>324</v>
      </c>
      <c r="AE146" s="21">
        <v>305</v>
      </c>
      <c r="AF146" s="21">
        <v>310</v>
      </c>
      <c r="AG146" s="21">
        <v>321</v>
      </c>
      <c r="AH146" s="21">
        <v>324</v>
      </c>
      <c r="AI146" s="21">
        <v>335</v>
      </c>
      <c r="AJ146" s="21">
        <v>350</v>
      </c>
      <c r="AK146" s="21">
        <v>390</v>
      </c>
      <c r="AL146" s="21">
        <v>348</v>
      </c>
      <c r="AM146" s="21">
        <v>333</v>
      </c>
      <c r="AN146" s="21">
        <v>335</v>
      </c>
      <c r="AO146" s="21">
        <v>333</v>
      </c>
      <c r="AP146" s="21">
        <v>321</v>
      </c>
      <c r="AQ146" s="21">
        <v>299</v>
      </c>
      <c r="AR146" s="21">
        <v>320</v>
      </c>
      <c r="AS146" s="21">
        <v>288</v>
      </c>
      <c r="AT146" s="21">
        <v>341</v>
      </c>
      <c r="AU146" s="21">
        <v>350</v>
      </c>
      <c r="AV146" s="21">
        <v>332</v>
      </c>
      <c r="AW146" s="21">
        <v>332</v>
      </c>
      <c r="AX146" s="21">
        <v>381</v>
      </c>
      <c r="AY146" s="21">
        <v>388</v>
      </c>
      <c r="AZ146" s="21">
        <v>415</v>
      </c>
      <c r="BA146" s="21">
        <v>445</v>
      </c>
      <c r="BB146" s="21">
        <v>444</v>
      </c>
      <c r="BC146" s="21">
        <v>419</v>
      </c>
      <c r="BD146" s="21">
        <v>426</v>
      </c>
      <c r="BE146" s="21">
        <v>441</v>
      </c>
      <c r="BF146" s="21">
        <v>431</v>
      </c>
      <c r="BG146" s="21">
        <v>419</v>
      </c>
      <c r="BH146" s="21">
        <v>439</v>
      </c>
      <c r="BI146" s="21">
        <v>470</v>
      </c>
      <c r="BJ146" s="21">
        <v>495</v>
      </c>
      <c r="BK146" s="21">
        <v>531</v>
      </c>
      <c r="BL146" s="21">
        <v>522</v>
      </c>
      <c r="BM146" s="1">
        <v>538</v>
      </c>
      <c r="BN146" s="1">
        <v>524</v>
      </c>
      <c r="BO146" s="1">
        <v>516</v>
      </c>
      <c r="BP146" s="1">
        <v>535</v>
      </c>
      <c r="BQ146" s="1">
        <v>553</v>
      </c>
      <c r="BR146" s="1">
        <v>558</v>
      </c>
      <c r="BS146" s="1">
        <v>571</v>
      </c>
      <c r="BT146" s="1">
        <v>616</v>
      </c>
      <c r="BU146" s="1">
        <v>716</v>
      </c>
      <c r="BV146" s="1">
        <v>713</v>
      </c>
      <c r="BW146" s="1">
        <v>740</v>
      </c>
      <c r="BX146" s="1">
        <v>670</v>
      </c>
      <c r="BY146" s="1">
        <v>697</v>
      </c>
      <c r="BZ146" s="1">
        <v>720</v>
      </c>
    </row>
    <row r="147" spans="1:254" ht="15.9" customHeight="1">
      <c r="A147" s="78" t="s">
        <v>288</v>
      </c>
      <c r="B147" s="17" t="s">
        <v>289</v>
      </c>
      <c r="C147" s="543">
        <f>_xll.RssMarket("6387","始値")</f>
        <v>9450</v>
      </c>
      <c r="D147" s="23">
        <f t="shared" si="5"/>
        <v>0</v>
      </c>
      <c r="E147" s="550">
        <v>9450</v>
      </c>
      <c r="F147" s="21">
        <v>9950</v>
      </c>
      <c r="G147" s="21">
        <v>8630</v>
      </c>
      <c r="H147" s="21">
        <v>8150</v>
      </c>
      <c r="I147" s="21">
        <v>8470</v>
      </c>
      <c r="J147" s="21">
        <v>7410</v>
      </c>
      <c r="K147" s="21">
        <v>8430</v>
      </c>
      <c r="L147" s="21">
        <v>9090</v>
      </c>
      <c r="M147" s="21">
        <v>9870</v>
      </c>
      <c r="N147" s="21"/>
      <c r="O147" s="21">
        <v>10610</v>
      </c>
      <c r="P147" s="21">
        <v>10680</v>
      </c>
      <c r="Q147" s="21">
        <v>9970</v>
      </c>
      <c r="R147" s="21">
        <v>10560</v>
      </c>
      <c r="S147" s="21">
        <v>12380</v>
      </c>
      <c r="T147" s="21">
        <v>12620</v>
      </c>
      <c r="U147" s="21">
        <v>12930</v>
      </c>
      <c r="V147" s="21">
        <v>12410</v>
      </c>
      <c r="W147" s="21">
        <v>11770</v>
      </c>
      <c r="X147" s="21">
        <v>11300</v>
      </c>
      <c r="Y147" s="21">
        <v>12450</v>
      </c>
      <c r="Z147" s="21">
        <v>13400</v>
      </c>
      <c r="AA147" s="21">
        <v>12800</v>
      </c>
      <c r="AB147" s="21">
        <v>13460</v>
      </c>
      <c r="AC147" s="21">
        <v>14460</v>
      </c>
      <c r="AD147" s="21">
        <v>14170</v>
      </c>
      <c r="AE147" s="21">
        <v>13550</v>
      </c>
      <c r="AF147" s="21">
        <v>13900</v>
      </c>
      <c r="AG147" s="21">
        <v>15240</v>
      </c>
      <c r="AH147" s="21">
        <v>14290</v>
      </c>
      <c r="AI147" s="21">
        <v>15740</v>
      </c>
      <c r="AJ147" s="21">
        <v>14610</v>
      </c>
      <c r="AK147" s="21">
        <v>15640</v>
      </c>
      <c r="AL147" s="21">
        <v>16000</v>
      </c>
      <c r="AM147" s="21">
        <v>15420</v>
      </c>
      <c r="AN147" s="21">
        <v>15600</v>
      </c>
      <c r="AO147" s="21">
        <v>14790</v>
      </c>
      <c r="AP147" s="21">
        <v>12390</v>
      </c>
      <c r="AQ147" s="21">
        <v>11160</v>
      </c>
      <c r="AR147" s="21">
        <v>12060</v>
      </c>
      <c r="AS147" s="21">
        <v>11690</v>
      </c>
      <c r="AT147" s="21">
        <v>12280</v>
      </c>
      <c r="AU147" s="21">
        <v>12200</v>
      </c>
      <c r="AV147" s="21">
        <v>12650</v>
      </c>
      <c r="AW147" s="21">
        <v>11050</v>
      </c>
      <c r="AX147" s="21">
        <v>10590</v>
      </c>
      <c r="AY147" s="21">
        <v>10190</v>
      </c>
      <c r="AZ147" s="21">
        <v>11500</v>
      </c>
      <c r="BA147" s="21">
        <v>12240</v>
      </c>
      <c r="BB147" s="21">
        <v>11060</v>
      </c>
      <c r="BC147" s="21">
        <v>11200</v>
      </c>
      <c r="BD147" s="21">
        <v>10810</v>
      </c>
      <c r="BE147" s="21">
        <v>12120</v>
      </c>
      <c r="BF147" s="21">
        <v>12630</v>
      </c>
      <c r="BG147" s="21">
        <v>13450</v>
      </c>
      <c r="BH147" s="21">
        <v>13470</v>
      </c>
      <c r="BI147" s="21">
        <v>12340</v>
      </c>
      <c r="BJ147" s="21">
        <v>13170</v>
      </c>
      <c r="BK147" s="21">
        <v>14000</v>
      </c>
      <c r="BL147" s="21">
        <v>13770</v>
      </c>
      <c r="BM147" s="1">
        <v>12670</v>
      </c>
      <c r="BN147" s="1">
        <v>11570</v>
      </c>
      <c r="BO147" s="1">
        <v>11150</v>
      </c>
      <c r="BP147" s="1">
        <v>11000</v>
      </c>
      <c r="BQ147" s="1">
        <v>10930</v>
      </c>
      <c r="BR147" s="1">
        <v>11040</v>
      </c>
      <c r="BS147" s="1">
        <v>10490</v>
      </c>
      <c r="BT147" s="1">
        <v>9370</v>
      </c>
      <c r="BU147" s="1">
        <v>9600</v>
      </c>
      <c r="BV147" s="1">
        <v>9560</v>
      </c>
      <c r="BW147" s="1">
        <v>9880</v>
      </c>
      <c r="BX147" s="1">
        <v>9880</v>
      </c>
      <c r="BY147" s="1">
        <v>10360</v>
      </c>
      <c r="BZ147" s="1">
        <v>10290</v>
      </c>
    </row>
    <row r="148" spans="1:254" ht="15.9" customHeight="1">
      <c r="A148" s="78" t="s">
        <v>290</v>
      </c>
      <c r="B148" s="17" t="s">
        <v>291</v>
      </c>
      <c r="C148" s="543">
        <f>_xll.RssMarket("6838","始値")</f>
        <v>1491</v>
      </c>
      <c r="D148" s="23">
        <f t="shared" si="5"/>
        <v>0</v>
      </c>
      <c r="E148" s="550">
        <v>1491</v>
      </c>
      <c r="F148" s="21">
        <v>1468</v>
      </c>
      <c r="G148" s="21">
        <v>1370</v>
      </c>
      <c r="H148" s="21">
        <v>1260</v>
      </c>
      <c r="I148" s="21">
        <v>1300</v>
      </c>
      <c r="J148" s="21">
        <v>1197</v>
      </c>
      <c r="K148" s="21">
        <v>1279</v>
      </c>
      <c r="L148" s="21">
        <v>1341</v>
      </c>
      <c r="M148" s="21">
        <v>1385</v>
      </c>
      <c r="N148" s="21">
        <v>1381</v>
      </c>
      <c r="O148" s="21">
        <v>1402</v>
      </c>
      <c r="P148" s="21">
        <v>1385</v>
      </c>
      <c r="Q148" s="21">
        <v>1374</v>
      </c>
      <c r="R148" s="21">
        <v>1431</v>
      </c>
      <c r="S148" s="21">
        <v>1451</v>
      </c>
      <c r="T148" s="21">
        <v>1440</v>
      </c>
      <c r="U148" s="21">
        <v>1518</v>
      </c>
      <c r="V148" s="21">
        <v>1545</v>
      </c>
      <c r="W148" s="21">
        <v>1579</v>
      </c>
      <c r="X148" s="21">
        <v>1598</v>
      </c>
      <c r="Y148" s="21">
        <v>1725</v>
      </c>
      <c r="Z148" s="21">
        <v>1787</v>
      </c>
      <c r="AA148" s="21">
        <v>1726</v>
      </c>
      <c r="AB148" s="21">
        <v>1714</v>
      </c>
      <c r="AC148" s="21">
        <v>1780</v>
      </c>
      <c r="AD148" s="21">
        <v>1850</v>
      </c>
      <c r="AE148" s="21">
        <v>1941</v>
      </c>
      <c r="AF148" s="21">
        <v>2033</v>
      </c>
      <c r="AG148" s="21">
        <v>1972</v>
      </c>
      <c r="AH148" s="21">
        <v>1980</v>
      </c>
      <c r="AI148" s="21">
        <v>2037</v>
      </c>
      <c r="AJ148" s="21">
        <v>2057</v>
      </c>
      <c r="AK148" s="21">
        <v>2165</v>
      </c>
      <c r="AL148" s="21">
        <v>2131</v>
      </c>
      <c r="AM148" s="21">
        <v>2230</v>
      </c>
      <c r="AN148" s="21">
        <v>2280</v>
      </c>
      <c r="AO148" s="21">
        <v>1850</v>
      </c>
      <c r="AP148" s="21">
        <v>1821</v>
      </c>
      <c r="AQ148" s="21">
        <v>1716</v>
      </c>
      <c r="AR148" s="21">
        <v>1933</v>
      </c>
      <c r="AS148" s="21">
        <v>2239</v>
      </c>
      <c r="AT148" s="21">
        <v>2346</v>
      </c>
      <c r="AU148" s="21">
        <v>2307</v>
      </c>
      <c r="AV148" s="21">
        <v>2300</v>
      </c>
      <c r="AW148" s="21">
        <v>2287</v>
      </c>
      <c r="AX148" s="21">
        <v>2260</v>
      </c>
      <c r="AY148" s="21">
        <v>2175</v>
      </c>
      <c r="AZ148" s="21">
        <v>2298</v>
      </c>
      <c r="BA148" s="21">
        <v>2125</v>
      </c>
      <c r="BB148" s="21">
        <v>1957</v>
      </c>
      <c r="BC148" s="21">
        <v>1960</v>
      </c>
      <c r="BD148" s="21">
        <v>2010</v>
      </c>
      <c r="BE148" s="21">
        <v>2183</v>
      </c>
      <c r="BF148" s="21">
        <v>2050</v>
      </c>
      <c r="BG148" s="21">
        <v>1934</v>
      </c>
      <c r="BH148" s="21">
        <v>1953</v>
      </c>
      <c r="BI148" s="21">
        <v>1970</v>
      </c>
      <c r="BJ148" s="21">
        <v>2127</v>
      </c>
      <c r="BK148" s="21">
        <v>1970</v>
      </c>
      <c r="BL148" s="21">
        <v>1750</v>
      </c>
      <c r="BM148" s="1">
        <v>1702</v>
      </c>
      <c r="BN148" s="1">
        <v>1684</v>
      </c>
      <c r="BO148" s="1">
        <v>1602</v>
      </c>
      <c r="BP148" s="1">
        <v>1647</v>
      </c>
      <c r="BQ148" s="1">
        <v>1697</v>
      </c>
      <c r="BR148" s="1">
        <v>1799</v>
      </c>
      <c r="BS148" s="1">
        <v>1866</v>
      </c>
      <c r="BT148" s="1">
        <v>1790</v>
      </c>
      <c r="BU148" s="1">
        <v>1710</v>
      </c>
      <c r="BV148" s="1">
        <v>1615</v>
      </c>
      <c r="BW148" s="1">
        <v>1408</v>
      </c>
      <c r="BX148" s="1">
        <v>1271</v>
      </c>
      <c r="BY148" s="1">
        <v>1310</v>
      </c>
      <c r="BZ148" s="1">
        <v>1317</v>
      </c>
    </row>
    <row r="149" spans="1:254" ht="15.9" customHeight="1">
      <c r="A149" s="78" t="s">
        <v>292</v>
      </c>
      <c r="B149" s="17" t="s">
        <v>293</v>
      </c>
      <c r="C149" s="543">
        <f>_xll.RssMarket("7375","始値")</f>
        <v>1151</v>
      </c>
      <c r="D149" s="23">
        <f t="shared" si="5"/>
        <v>0</v>
      </c>
      <c r="E149" s="550">
        <v>1151</v>
      </c>
      <c r="F149" s="21">
        <v>1138</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78" t="s">
        <v>294</v>
      </c>
      <c r="B150" s="17" t="s">
        <v>295</v>
      </c>
      <c r="C150" s="543">
        <f>_xll.RssMarket("4307","始値")</f>
        <v>4639</v>
      </c>
      <c r="D150" s="23">
        <f t="shared" si="5"/>
        <v>0</v>
      </c>
      <c r="E150" s="550">
        <v>4639</v>
      </c>
      <c r="F150" s="21">
        <v>4589</v>
      </c>
      <c r="G150" s="21">
        <v>4680</v>
      </c>
      <c r="H150" s="21">
        <v>4743</v>
      </c>
      <c r="I150" s="21">
        <v>4862</v>
      </c>
      <c r="J150" s="21">
        <v>5550</v>
      </c>
      <c r="K150" s="21">
        <v>5478</v>
      </c>
      <c r="L150" s="21">
        <v>5238</v>
      </c>
      <c r="M150" s="21">
        <v>4998</v>
      </c>
      <c r="N150" s="21">
        <v>4893</v>
      </c>
      <c r="O150" s="21">
        <v>4875</v>
      </c>
      <c r="P150" s="21">
        <v>4905</v>
      </c>
      <c r="Q150" s="21">
        <v>5076</v>
      </c>
      <c r="R150" s="21">
        <v>5140</v>
      </c>
      <c r="S150" s="21">
        <v>4981</v>
      </c>
      <c r="T150" s="21">
        <v>5135</v>
      </c>
      <c r="U150" s="21">
        <v>4996</v>
      </c>
      <c r="V150" s="21">
        <v>5070</v>
      </c>
      <c r="W150" s="21">
        <v>4925</v>
      </c>
      <c r="X150" s="21">
        <v>5200</v>
      </c>
      <c r="Y150" s="21">
        <v>5050</v>
      </c>
      <c r="Z150" s="21">
        <v>4871</v>
      </c>
      <c r="AA150" s="21">
        <v>5046</v>
      </c>
      <c r="AB150" s="21">
        <v>4898</v>
      </c>
      <c r="AC150" s="21">
        <v>4560</v>
      </c>
      <c r="AD150" s="21">
        <v>4607</v>
      </c>
      <c r="AE150" s="21">
        <v>4473</v>
      </c>
      <c r="AF150" s="21">
        <v>4270</v>
      </c>
      <c r="AG150" s="21">
        <v>4307</v>
      </c>
      <c r="AH150" s="21">
        <v>4370</v>
      </c>
      <c r="AI150" s="21">
        <v>4190</v>
      </c>
      <c r="AJ150" s="21">
        <v>4311</v>
      </c>
      <c r="AK150" s="21">
        <v>4521</v>
      </c>
      <c r="AL150" s="21">
        <v>4593</v>
      </c>
      <c r="AM150" s="21">
        <v>4550</v>
      </c>
      <c r="AN150" s="21">
        <v>4500</v>
      </c>
      <c r="AO150" s="21">
        <v>4619</v>
      </c>
      <c r="AP150" s="21">
        <v>4595</v>
      </c>
      <c r="AQ150" s="21">
        <v>4625</v>
      </c>
      <c r="AR150" s="21">
        <v>4622</v>
      </c>
      <c r="AS150" s="21">
        <v>4812</v>
      </c>
      <c r="AT150" s="21">
        <v>4799</v>
      </c>
      <c r="AU150" s="21">
        <v>4696</v>
      </c>
      <c r="AV150" s="21">
        <v>4947</v>
      </c>
      <c r="AW150" s="21">
        <v>5324</v>
      </c>
      <c r="AX150" s="21">
        <v>5000</v>
      </c>
      <c r="AY150" s="21">
        <v>4745</v>
      </c>
      <c r="AZ150" s="21">
        <v>4570</v>
      </c>
      <c r="BA150" s="21">
        <v>4685</v>
      </c>
      <c r="BB150" s="21">
        <v>4640</v>
      </c>
      <c r="BC150" s="21">
        <v>4735</v>
      </c>
      <c r="BD150" s="21">
        <v>4838</v>
      </c>
      <c r="BE150" s="21">
        <v>4684</v>
      </c>
      <c r="BF150" s="21">
        <v>4432</v>
      </c>
      <c r="BG150" s="21">
        <v>4215</v>
      </c>
      <c r="BH150" s="21">
        <v>4270</v>
      </c>
      <c r="BI150" s="21">
        <v>4230</v>
      </c>
      <c r="BJ150" s="21">
        <v>4215</v>
      </c>
      <c r="BK150" s="21">
        <v>4281</v>
      </c>
      <c r="BL150" s="21">
        <v>4347</v>
      </c>
      <c r="BM150" s="1">
        <v>4113</v>
      </c>
      <c r="BN150" s="1">
        <v>4142</v>
      </c>
      <c r="BO150" s="1">
        <v>4215</v>
      </c>
      <c r="BP150" s="1">
        <v>4479</v>
      </c>
      <c r="BQ150" s="1">
        <v>4583</v>
      </c>
      <c r="BR150" s="1">
        <v>5000</v>
      </c>
      <c r="BS150" s="1">
        <v>5123</v>
      </c>
      <c r="BT150" s="1">
        <v>5098</v>
      </c>
      <c r="BU150" s="1">
        <v>5008</v>
      </c>
      <c r="BV150" s="1">
        <v>4997</v>
      </c>
      <c r="BW150" s="1">
        <v>4989</v>
      </c>
      <c r="BX150" s="1">
        <v>4994</v>
      </c>
      <c r="BY150" s="1">
        <v>4765</v>
      </c>
      <c r="BZ150" s="1">
        <v>4632</v>
      </c>
    </row>
    <row r="151" spans="1:254" ht="15.9" customHeight="1">
      <c r="A151" s="78" t="s">
        <v>296</v>
      </c>
      <c r="B151" s="17" t="s">
        <v>297</v>
      </c>
      <c r="C151" s="543">
        <f>_xll.RssMarket("6516","始値")</f>
        <v>5950</v>
      </c>
      <c r="D151" s="23">
        <f t="shared" si="5"/>
        <v>0</v>
      </c>
      <c r="E151" s="550">
        <v>5950</v>
      </c>
      <c r="F151" s="21">
        <v>5990</v>
      </c>
      <c r="G151" s="21">
        <v>5570</v>
      </c>
      <c r="H151" s="21">
        <v>5420</v>
      </c>
      <c r="I151" s="21">
        <v>5670</v>
      </c>
      <c r="J151" s="21">
        <v>5290</v>
      </c>
      <c r="K151" s="21">
        <v>5390</v>
      </c>
      <c r="L151" s="21">
        <v>5650</v>
      </c>
      <c r="M151" s="21">
        <v>5710</v>
      </c>
      <c r="N151" s="21"/>
      <c r="O151" s="21">
        <v>5740</v>
      </c>
      <c r="P151" s="21">
        <v>5750</v>
      </c>
      <c r="Q151" s="21">
        <v>5540</v>
      </c>
      <c r="R151" s="21">
        <v>5580</v>
      </c>
      <c r="S151" s="21">
        <v>5870</v>
      </c>
      <c r="T151" s="21">
        <v>5850</v>
      </c>
      <c r="U151" s="21">
        <v>6090</v>
      </c>
      <c r="V151" s="21">
        <v>6100</v>
      </c>
      <c r="W151" s="21">
        <v>6000</v>
      </c>
      <c r="X151" s="21">
        <v>6010</v>
      </c>
      <c r="Y151" s="21">
        <v>6420</v>
      </c>
      <c r="Z151" s="21">
        <v>6570</v>
      </c>
      <c r="AA151" s="21">
        <v>6430</v>
      </c>
      <c r="AB151" s="21">
        <v>6380</v>
      </c>
      <c r="AC151" s="21">
        <v>6640</v>
      </c>
      <c r="AD151" s="21">
        <v>6610</v>
      </c>
      <c r="AE151" s="21">
        <v>6930</v>
      </c>
      <c r="AF151" s="21">
        <v>6980</v>
      </c>
      <c r="AG151" s="21">
        <v>7160</v>
      </c>
      <c r="AH151" s="21">
        <v>7090</v>
      </c>
      <c r="AI151" s="21">
        <v>7030</v>
      </c>
      <c r="AJ151" s="21">
        <v>6870</v>
      </c>
      <c r="AK151" s="21">
        <v>6860</v>
      </c>
      <c r="AL151" s="21">
        <v>6810</v>
      </c>
      <c r="AM151" s="21">
        <v>6450</v>
      </c>
      <c r="AN151" s="21">
        <v>6600</v>
      </c>
      <c r="AO151" s="21">
        <v>6580</v>
      </c>
      <c r="AP151" s="21">
        <v>6350</v>
      </c>
      <c r="AQ151" s="21">
        <v>6080</v>
      </c>
      <c r="AR151" s="21">
        <v>6460</v>
      </c>
      <c r="AS151" s="21">
        <v>6340</v>
      </c>
      <c r="AT151" s="21">
        <v>6620</v>
      </c>
      <c r="AU151" s="21">
        <v>6600</v>
      </c>
      <c r="AV151" s="21">
        <v>6640</v>
      </c>
      <c r="AW151" s="21">
        <v>6400</v>
      </c>
      <c r="AX151" s="21">
        <v>6830</v>
      </c>
      <c r="AY151" s="21">
        <v>6710</v>
      </c>
      <c r="AZ151" s="21">
        <v>7040</v>
      </c>
      <c r="BA151" s="21">
        <v>7150</v>
      </c>
      <c r="BB151" s="21">
        <v>7150</v>
      </c>
      <c r="BC151" s="21">
        <v>7100</v>
      </c>
      <c r="BD151" s="21">
        <v>6900</v>
      </c>
      <c r="BE151" s="21">
        <v>7300</v>
      </c>
      <c r="BF151" s="21">
        <v>7410</v>
      </c>
      <c r="BG151" s="21">
        <v>7570</v>
      </c>
      <c r="BH151" s="21">
        <v>7700</v>
      </c>
      <c r="BI151" s="21">
        <v>7410</v>
      </c>
      <c r="BJ151" s="21">
        <v>7770</v>
      </c>
      <c r="BK151" s="21">
        <v>7590</v>
      </c>
      <c r="BL151" s="21">
        <v>7190</v>
      </c>
      <c r="BM151" s="1">
        <v>7050</v>
      </c>
      <c r="BN151" s="1">
        <v>6820</v>
      </c>
      <c r="BO151" s="1">
        <v>7020</v>
      </c>
      <c r="BP151" s="1">
        <v>7230</v>
      </c>
      <c r="BQ151" s="1">
        <v>5690</v>
      </c>
      <c r="BR151" s="1">
        <v>5190</v>
      </c>
      <c r="BS151" s="1">
        <v>5270</v>
      </c>
      <c r="BT151" s="1">
        <v>5220</v>
      </c>
      <c r="BU151" s="1">
        <v>5240</v>
      </c>
      <c r="BV151" s="1">
        <v>5190</v>
      </c>
      <c r="BW151" s="1">
        <v>5200</v>
      </c>
      <c r="BX151" s="1">
        <v>5240</v>
      </c>
      <c r="BY151" s="1">
        <v>5400</v>
      </c>
      <c r="BZ151" s="1">
        <v>5080</v>
      </c>
    </row>
    <row r="152" spans="1:254" ht="15.9" customHeight="1">
      <c r="A152" s="78" t="s">
        <v>298</v>
      </c>
      <c r="B152" s="17" t="s">
        <v>299</v>
      </c>
      <c r="C152" s="543">
        <f>_xll.RssMarket("7381","始値")</f>
        <v>1166</v>
      </c>
      <c r="D152" s="23">
        <f t="shared" si="5"/>
        <v>0</v>
      </c>
      <c r="E152" s="550">
        <v>1166</v>
      </c>
      <c r="F152" s="21">
        <v>1138</v>
      </c>
      <c r="G152" s="21">
        <v>1127</v>
      </c>
      <c r="H152" s="21">
        <v>1089</v>
      </c>
      <c r="I152" s="21">
        <v>1079</v>
      </c>
      <c r="J152" s="21">
        <v>1088</v>
      </c>
      <c r="K152" s="21">
        <v>1139</v>
      </c>
      <c r="L152" s="21">
        <v>1173</v>
      </c>
      <c r="M152" s="21">
        <v>1171</v>
      </c>
      <c r="N152" s="21">
        <v>1141</v>
      </c>
      <c r="O152" s="21">
        <v>1163</v>
      </c>
      <c r="P152" s="21">
        <v>1149</v>
      </c>
      <c r="Q152" s="21">
        <v>1083</v>
      </c>
      <c r="R152" s="21">
        <v>1146</v>
      </c>
      <c r="S152" s="21">
        <v>1089</v>
      </c>
      <c r="T152" s="21">
        <v>1057</v>
      </c>
      <c r="U152" s="21">
        <v>1038</v>
      </c>
      <c r="V152" s="21">
        <v>1059</v>
      </c>
      <c r="W152" s="21">
        <v>1077</v>
      </c>
      <c r="X152" s="21">
        <v>1065</v>
      </c>
      <c r="Y152" s="21">
        <v>1070</v>
      </c>
      <c r="Z152" s="21">
        <v>1050</v>
      </c>
      <c r="AA152" s="21">
        <v>1032</v>
      </c>
      <c r="AB152" s="21">
        <v>1050</v>
      </c>
      <c r="AC152" s="21">
        <v>1029</v>
      </c>
      <c r="AD152" s="21">
        <v>1015</v>
      </c>
      <c r="AE152" s="21">
        <v>985</v>
      </c>
      <c r="AF152" s="21">
        <v>983</v>
      </c>
      <c r="AG152" s="21">
        <v>950</v>
      </c>
      <c r="AH152" s="21">
        <v>963</v>
      </c>
      <c r="AI152" s="21">
        <v>975</v>
      </c>
      <c r="AJ152" s="21">
        <v>955</v>
      </c>
      <c r="AK152" s="21">
        <v>983</v>
      </c>
      <c r="AL152" s="21">
        <v>985</v>
      </c>
      <c r="AM152" s="21">
        <v>1004</v>
      </c>
      <c r="AN152" s="21">
        <v>997</v>
      </c>
      <c r="AO152" s="21">
        <v>1014</v>
      </c>
      <c r="AP152" s="21">
        <v>987</v>
      </c>
      <c r="AQ152" s="21">
        <v>990</v>
      </c>
      <c r="AR152" s="21">
        <v>996</v>
      </c>
      <c r="AS152" s="21">
        <v>1004</v>
      </c>
      <c r="AT152" s="21">
        <v>1043</v>
      </c>
      <c r="AU152" s="21">
        <v>1010</v>
      </c>
      <c r="AV152" s="21">
        <v>1029</v>
      </c>
      <c r="AW152" s="21">
        <v>998</v>
      </c>
      <c r="AX152" s="21">
        <v>1050</v>
      </c>
      <c r="AY152" s="21">
        <v>1047</v>
      </c>
      <c r="AZ152" s="21">
        <v>1051</v>
      </c>
      <c r="BA152" s="21">
        <v>1050</v>
      </c>
      <c r="BB152" s="21">
        <v>1089</v>
      </c>
      <c r="BC152" s="21">
        <v>1051</v>
      </c>
      <c r="BD152" s="21">
        <v>1028</v>
      </c>
      <c r="BE152" s="21">
        <v>1045</v>
      </c>
      <c r="BF152" s="21">
        <v>1043</v>
      </c>
      <c r="BG152" s="21">
        <v>1045</v>
      </c>
      <c r="BH152" s="21">
        <v>1027</v>
      </c>
      <c r="BI152" s="21">
        <v>1011</v>
      </c>
      <c r="BJ152" s="21">
        <v>1013</v>
      </c>
      <c r="BK152" s="21">
        <v>1000</v>
      </c>
      <c r="BL152" s="21">
        <v>995</v>
      </c>
      <c r="BM152" s="1">
        <v>982</v>
      </c>
      <c r="BN152" s="1">
        <v>941</v>
      </c>
      <c r="BO152" s="1">
        <v>939</v>
      </c>
      <c r="BP152" s="1">
        <v>916</v>
      </c>
      <c r="BQ152" s="1">
        <v>920</v>
      </c>
      <c r="BR152" s="1">
        <v>920</v>
      </c>
      <c r="BS152" s="1">
        <v>920</v>
      </c>
      <c r="BT152" s="1">
        <v>970</v>
      </c>
      <c r="BU152" s="1">
        <v>1001</v>
      </c>
      <c r="BV152" s="1">
        <v>1020</v>
      </c>
      <c r="BW152" s="1">
        <v>1030</v>
      </c>
      <c r="BX152" s="1">
        <v>1045</v>
      </c>
      <c r="BY152" s="1">
        <v>1031</v>
      </c>
      <c r="BZ152" s="1">
        <v>1027</v>
      </c>
    </row>
    <row r="153" spans="1:254" ht="15.9" customHeight="1">
      <c r="A153" s="78" t="s">
        <v>300</v>
      </c>
      <c r="B153" s="17" t="s">
        <v>301</v>
      </c>
      <c r="C153" s="543">
        <f>_xll.RssMarket("4417","始値")</f>
        <v>4350</v>
      </c>
      <c r="D153" s="23">
        <f t="shared" si="5"/>
        <v>0</v>
      </c>
      <c r="E153" s="550">
        <v>4350</v>
      </c>
      <c r="F153" s="21">
        <v>4155</v>
      </c>
      <c r="G153" s="21">
        <v>4130</v>
      </c>
      <c r="H153" s="21">
        <v>4230</v>
      </c>
      <c r="I153" s="21">
        <v>4450</v>
      </c>
      <c r="J153" s="21">
        <v>4545</v>
      </c>
      <c r="K153" s="21">
        <v>4520</v>
      </c>
      <c r="L153" s="21">
        <v>4510</v>
      </c>
      <c r="M153" s="21">
        <v>4300</v>
      </c>
      <c r="N153" s="21">
        <v>4200</v>
      </c>
      <c r="O153" s="21">
        <v>4185</v>
      </c>
      <c r="P153" s="21">
        <v>4495</v>
      </c>
      <c r="Q153" s="21">
        <v>4430</v>
      </c>
      <c r="R153" s="21">
        <v>4490</v>
      </c>
      <c r="S153" s="21">
        <v>4275</v>
      </c>
      <c r="T153" s="21">
        <v>4010</v>
      </c>
      <c r="U153" s="21">
        <v>3980</v>
      </c>
      <c r="V153" s="21">
        <v>3900</v>
      </c>
      <c r="W153" s="21">
        <v>3895</v>
      </c>
      <c r="X153" s="21">
        <v>3920</v>
      </c>
      <c r="Y153" s="21">
        <v>4500</v>
      </c>
      <c r="Z153" s="21">
        <v>4200</v>
      </c>
      <c r="AA153" s="21">
        <v>4520</v>
      </c>
      <c r="AB153" s="21">
        <v>3890</v>
      </c>
      <c r="AC153" s="21">
        <v>3905</v>
      </c>
      <c r="AD153" s="21">
        <v>3850</v>
      </c>
      <c r="AE153" s="21">
        <v>3500</v>
      </c>
      <c r="AF153" s="21">
        <v>3305</v>
      </c>
      <c r="AG153" s="21">
        <v>3260</v>
      </c>
      <c r="AH153" s="21">
        <v>3145</v>
      </c>
      <c r="AI153" s="21">
        <v>3290</v>
      </c>
      <c r="AJ153" s="21">
        <v>3285</v>
      </c>
      <c r="AK153" s="21">
        <v>3280</v>
      </c>
      <c r="AL153" s="21">
        <v>3240</v>
      </c>
      <c r="AM153" s="21">
        <v>3070</v>
      </c>
      <c r="AN153" s="21">
        <v>3110</v>
      </c>
      <c r="AO153" s="21">
        <v>3070</v>
      </c>
      <c r="AP153" s="21">
        <v>3100</v>
      </c>
      <c r="AQ153" s="21">
        <v>3090</v>
      </c>
      <c r="AR153" s="21">
        <v>3200</v>
      </c>
      <c r="AS153" s="21">
        <v>3030</v>
      </c>
      <c r="AT153" s="21">
        <v>3160</v>
      </c>
      <c r="AU153" s="21">
        <v>3050</v>
      </c>
      <c r="AV153" s="21">
        <v>3300</v>
      </c>
      <c r="AW153" s="21">
        <v>3375</v>
      </c>
      <c r="AX153" s="21">
        <v>3310</v>
      </c>
      <c r="AY153" s="21">
        <v>3245</v>
      </c>
      <c r="AZ153" s="21">
        <v>3300</v>
      </c>
      <c r="BA153" s="21">
        <v>3350</v>
      </c>
      <c r="BB153" s="21">
        <v>3115</v>
      </c>
      <c r="BC153" s="21">
        <v>3000</v>
      </c>
      <c r="BD153" s="21">
        <v>2940</v>
      </c>
      <c r="BE153" s="21">
        <v>2839</v>
      </c>
      <c r="BF153" s="21">
        <v>2808</v>
      </c>
      <c r="BG153" s="21">
        <v>2721</v>
      </c>
      <c r="BH153" s="21">
        <v>2945</v>
      </c>
      <c r="BI153" s="21">
        <v>2942</v>
      </c>
      <c r="BJ153" s="21">
        <v>2925</v>
      </c>
      <c r="BK153" s="21">
        <v>2910</v>
      </c>
      <c r="BL153" s="21">
        <v>2779</v>
      </c>
      <c r="BM153" s="1">
        <v>2732</v>
      </c>
      <c r="BN153" s="1">
        <v>2780</v>
      </c>
      <c r="BO153" s="1">
        <v>2480</v>
      </c>
      <c r="BP153" s="1">
        <v>2511</v>
      </c>
      <c r="BQ153" s="1">
        <v>2529</v>
      </c>
      <c r="BR153" s="1">
        <v>2450</v>
      </c>
      <c r="BS153" s="1">
        <v>2501</v>
      </c>
      <c r="BT153" s="1">
        <v>2449</v>
      </c>
      <c r="BU153" s="1">
        <v>2470</v>
      </c>
      <c r="BV153" s="1">
        <v>2502</v>
      </c>
      <c r="BW153" s="1">
        <v>2490</v>
      </c>
      <c r="BX153" s="1">
        <v>2456</v>
      </c>
      <c r="BY153" s="1">
        <v>2285</v>
      </c>
      <c r="BZ153" s="1">
        <v>2321</v>
      </c>
    </row>
    <row r="154" spans="1:254" ht="15.9" customHeight="1">
      <c r="A154" s="78" t="s">
        <v>302</v>
      </c>
      <c r="B154" s="17" t="s">
        <v>303</v>
      </c>
      <c r="C154" s="543">
        <f>_xll.RssMarket("6981","始値")</f>
        <v>7686</v>
      </c>
      <c r="D154" s="23">
        <f t="shared" si="5"/>
        <v>0</v>
      </c>
      <c r="E154" s="550">
        <v>7686</v>
      </c>
      <c r="F154" s="21">
        <v>7351</v>
      </c>
      <c r="G154" s="21">
        <v>7285</v>
      </c>
      <c r="H154" s="21">
        <v>7566</v>
      </c>
      <c r="I154" s="21">
        <v>7416</v>
      </c>
      <c r="J154" s="21">
        <v>6230</v>
      </c>
      <c r="K154" s="21">
        <v>7154</v>
      </c>
      <c r="L154" s="21">
        <v>7292</v>
      </c>
      <c r="M154" s="21">
        <v>8221</v>
      </c>
      <c r="N154" s="21">
        <v>8577</v>
      </c>
      <c r="O154" s="21">
        <v>8617</v>
      </c>
      <c r="P154" s="21">
        <v>8550</v>
      </c>
      <c r="Q154" s="21">
        <v>7578</v>
      </c>
      <c r="R154" s="21">
        <v>7812</v>
      </c>
      <c r="S154" s="21">
        <v>9184</v>
      </c>
      <c r="T154" s="21">
        <v>9001</v>
      </c>
      <c r="U154" s="21">
        <v>9726</v>
      </c>
      <c r="V154" s="21">
        <v>9677</v>
      </c>
      <c r="W154" s="21">
        <v>9327</v>
      </c>
      <c r="X154" s="21">
        <v>8912</v>
      </c>
      <c r="Y154" s="21">
        <v>10185</v>
      </c>
      <c r="Z154" s="21">
        <v>11085</v>
      </c>
      <c r="AA154" s="21">
        <v>10335</v>
      </c>
      <c r="AB154" s="21">
        <v>10925</v>
      </c>
      <c r="AC154" s="21">
        <v>11670</v>
      </c>
      <c r="AD154" s="21">
        <v>10640</v>
      </c>
      <c r="AE154" s="21">
        <v>10835</v>
      </c>
      <c r="AF154" s="21">
        <v>11300</v>
      </c>
      <c r="AG154" s="21">
        <v>11475</v>
      </c>
      <c r="AH154" s="21">
        <v>10990</v>
      </c>
      <c r="AI154" s="21">
        <v>11950</v>
      </c>
      <c r="AJ154" s="21">
        <v>12570</v>
      </c>
      <c r="AK154" s="21">
        <v>12345</v>
      </c>
      <c r="AL154" s="21">
        <v>12100</v>
      </c>
      <c r="AM154" s="21">
        <v>10230</v>
      </c>
      <c r="AN154" s="21">
        <v>10560</v>
      </c>
      <c r="AO154" s="21">
        <v>9456</v>
      </c>
      <c r="AP154" s="21">
        <v>9567</v>
      </c>
      <c r="AQ154" s="21">
        <v>8218</v>
      </c>
      <c r="AR154" s="21">
        <v>9392</v>
      </c>
      <c r="AS154" s="21">
        <v>8795</v>
      </c>
      <c r="AT154" s="21">
        <v>9500</v>
      </c>
      <c r="AU154" s="21">
        <v>10120</v>
      </c>
      <c r="AV154" s="21">
        <v>10300</v>
      </c>
      <c r="AW154" s="21">
        <v>10410</v>
      </c>
      <c r="AX154" s="21">
        <v>9128</v>
      </c>
      <c r="AY154" s="21">
        <v>7700</v>
      </c>
      <c r="AZ154" s="21">
        <v>8227</v>
      </c>
      <c r="BA154" s="21">
        <v>7338</v>
      </c>
      <c r="BB154" s="21">
        <v>6715</v>
      </c>
      <c r="BC154" s="21">
        <v>6352</v>
      </c>
      <c r="BD154" s="21">
        <v>5990</v>
      </c>
      <c r="BE154" s="21">
        <v>6234</v>
      </c>
      <c r="BF154" s="21">
        <v>6051</v>
      </c>
      <c r="BG154" s="21">
        <v>6429</v>
      </c>
      <c r="BH154" s="21">
        <v>6146</v>
      </c>
      <c r="BI154" s="21">
        <v>5947</v>
      </c>
      <c r="BJ154" s="21">
        <v>6078</v>
      </c>
      <c r="BK154" s="21">
        <v>5993</v>
      </c>
      <c r="BL154" s="21">
        <v>5590</v>
      </c>
      <c r="BM154" s="1">
        <v>5400</v>
      </c>
      <c r="BN154" s="1">
        <v>5000</v>
      </c>
      <c r="BO154" s="1">
        <v>4848</v>
      </c>
      <c r="BP154" s="1">
        <v>4933</v>
      </c>
      <c r="BQ154" s="1">
        <v>5001</v>
      </c>
      <c r="BR154" s="1">
        <v>4950</v>
      </c>
      <c r="BS154" s="1">
        <v>4841</v>
      </c>
      <c r="BT154" s="1">
        <v>4827</v>
      </c>
      <c r="BU154" s="1">
        <v>4740</v>
      </c>
      <c r="BV154" s="1">
        <v>4662</v>
      </c>
      <c r="BW154" s="1">
        <v>4722</v>
      </c>
      <c r="BX154" s="1">
        <v>4570</v>
      </c>
      <c r="BY154" s="1">
        <v>4485</v>
      </c>
      <c r="BZ154" s="1">
        <v>4208</v>
      </c>
    </row>
    <row r="155" spans="1:254" ht="15.9" customHeight="1">
      <c r="A155" s="78" t="s">
        <v>304</v>
      </c>
      <c r="B155" s="17" t="s">
        <v>305</v>
      </c>
      <c r="C155" s="543">
        <f>_xll.RssMarket("6754","始値")</f>
        <v>3572</v>
      </c>
      <c r="D155" s="23">
        <f t="shared" si="5"/>
        <v>0</v>
      </c>
      <c r="E155" s="550">
        <v>3572</v>
      </c>
      <c r="F155" s="21">
        <v>3635</v>
      </c>
      <c r="G155" s="21">
        <v>3476</v>
      </c>
      <c r="H155" s="21">
        <v>3531</v>
      </c>
      <c r="I155" s="21">
        <v>3693</v>
      </c>
      <c r="J155" s="21">
        <v>3411</v>
      </c>
      <c r="K155" s="21">
        <v>3643</v>
      </c>
      <c r="L155" s="21">
        <v>3712</v>
      </c>
      <c r="M155" s="21">
        <v>3896</v>
      </c>
      <c r="N155" s="21"/>
      <c r="O155" s="21">
        <v>4004</v>
      </c>
      <c r="P155" s="21">
        <v>3936</v>
      </c>
      <c r="Q155" s="21">
        <v>3708</v>
      </c>
      <c r="R155" s="21">
        <v>3798</v>
      </c>
      <c r="S155" s="21">
        <v>4103</v>
      </c>
      <c r="T155" s="21">
        <v>4028</v>
      </c>
      <c r="U155" s="21">
        <v>4231</v>
      </c>
      <c r="V155" s="21">
        <v>4161</v>
      </c>
      <c r="W155" s="21">
        <v>4081</v>
      </c>
      <c r="X155" s="21">
        <v>3935</v>
      </c>
      <c r="Y155" s="21">
        <v>4225</v>
      </c>
      <c r="Z155" s="21">
        <v>4527</v>
      </c>
      <c r="AA155" s="21">
        <v>4280</v>
      </c>
      <c r="AB155" s="21">
        <v>4600</v>
      </c>
      <c r="AC155" s="21">
        <v>4746</v>
      </c>
      <c r="AD155" s="21">
        <v>4393</v>
      </c>
      <c r="AE155" s="21">
        <v>4343</v>
      </c>
      <c r="AF155" s="21">
        <v>4500</v>
      </c>
      <c r="AG155" s="21">
        <v>4526</v>
      </c>
      <c r="AH155" s="21">
        <v>4410</v>
      </c>
      <c r="AI155" s="21">
        <v>4700</v>
      </c>
      <c r="AJ155" s="21">
        <v>4273</v>
      </c>
      <c r="AK155" s="21">
        <v>4300</v>
      </c>
      <c r="AL155" s="21">
        <v>4079</v>
      </c>
      <c r="AM155" s="21">
        <v>4001</v>
      </c>
      <c r="AN155" s="21">
        <v>3947</v>
      </c>
      <c r="AO155" s="21">
        <v>4022</v>
      </c>
      <c r="AP155" s="21">
        <v>3975</v>
      </c>
      <c r="AQ155" s="21">
        <v>3694</v>
      </c>
      <c r="AR155" s="21">
        <v>4120</v>
      </c>
      <c r="AS155" s="21">
        <v>4199</v>
      </c>
      <c r="AT155" s="21">
        <v>4515</v>
      </c>
      <c r="AU155" s="21">
        <v>4698</v>
      </c>
      <c r="AV155" s="21">
        <v>4654</v>
      </c>
      <c r="AW155" s="21">
        <v>4700</v>
      </c>
      <c r="AX155" s="21">
        <v>4535</v>
      </c>
      <c r="AY155" s="21">
        <v>4544</v>
      </c>
      <c r="AZ155" s="21">
        <v>4680</v>
      </c>
      <c r="BA155" s="21">
        <v>4650</v>
      </c>
      <c r="BB155" s="21">
        <v>4595</v>
      </c>
      <c r="BC155" s="21">
        <v>4428</v>
      </c>
      <c r="BD155" s="21">
        <v>4284</v>
      </c>
      <c r="BE155" s="21">
        <v>4195</v>
      </c>
      <c r="BF155" s="21">
        <v>4236</v>
      </c>
      <c r="BG155" s="21">
        <v>4322</v>
      </c>
      <c r="BH155" s="21">
        <v>4164</v>
      </c>
      <c r="BI155" s="21">
        <v>3985</v>
      </c>
      <c r="BJ155" s="21">
        <v>4151</v>
      </c>
      <c r="BK155" s="21">
        <v>4300</v>
      </c>
      <c r="BL155" s="21">
        <v>4062</v>
      </c>
      <c r="BM155" s="1">
        <v>3946</v>
      </c>
      <c r="BN155" s="1">
        <v>3899</v>
      </c>
      <c r="BO155" s="1">
        <v>3936</v>
      </c>
      <c r="BP155" s="1">
        <v>3875</v>
      </c>
      <c r="BQ155" s="1">
        <v>3694</v>
      </c>
      <c r="BR155" s="1">
        <v>3592</v>
      </c>
      <c r="BS155" s="1">
        <v>3588</v>
      </c>
      <c r="BT155" s="1">
        <v>3616</v>
      </c>
      <c r="BU155" s="1">
        <v>3590</v>
      </c>
      <c r="BV155" s="1">
        <v>3392</v>
      </c>
      <c r="BW155" s="1">
        <v>3444</v>
      </c>
      <c r="BX155" s="1">
        <v>3419</v>
      </c>
      <c r="BY155" s="1">
        <v>3478</v>
      </c>
      <c r="BZ155" s="1">
        <v>3434</v>
      </c>
    </row>
    <row r="156" spans="1:254" ht="15.9" customHeight="1">
      <c r="A156" s="78" t="s">
        <v>306</v>
      </c>
      <c r="B156" s="17" t="s">
        <v>307</v>
      </c>
      <c r="C156" s="543">
        <f>_xll.RssMarket("4088","始値")</f>
        <v>2638</v>
      </c>
      <c r="D156" s="23">
        <f t="shared" si="5"/>
        <v>0</v>
      </c>
      <c r="E156" s="550">
        <v>2638</v>
      </c>
      <c r="F156" s="21">
        <v>2524</v>
      </c>
      <c r="G156" s="21">
        <v>2660</v>
      </c>
      <c r="H156" s="21">
        <v>2567</v>
      </c>
      <c r="I156" s="21">
        <v>2561</v>
      </c>
      <c r="J156" s="21">
        <v>2577</v>
      </c>
      <c r="K156" s="21">
        <v>2579</v>
      </c>
      <c r="L156" s="21">
        <v>2665</v>
      </c>
      <c r="M156" s="21">
        <v>2597</v>
      </c>
      <c r="N156" s="21">
        <v>2562</v>
      </c>
      <c r="O156" s="21">
        <v>2558</v>
      </c>
      <c r="P156" s="21">
        <v>2553</v>
      </c>
      <c r="Q156" s="21">
        <v>2500</v>
      </c>
      <c r="R156" s="21">
        <v>2525</v>
      </c>
      <c r="S156" s="21">
        <v>2577</v>
      </c>
      <c r="T156" s="21">
        <v>2546</v>
      </c>
      <c r="U156" s="21">
        <v>2554</v>
      </c>
      <c r="V156" s="21">
        <v>2623</v>
      </c>
      <c r="W156" s="21">
        <v>2630</v>
      </c>
      <c r="X156" s="21">
        <v>2695</v>
      </c>
      <c r="Y156" s="21">
        <v>2764</v>
      </c>
      <c r="Z156" s="21">
        <v>2824</v>
      </c>
      <c r="AA156" s="21">
        <v>2748</v>
      </c>
      <c r="AB156" s="21">
        <v>2761</v>
      </c>
      <c r="AC156" s="21">
        <v>2799</v>
      </c>
      <c r="AD156" s="21">
        <v>2790</v>
      </c>
      <c r="AE156" s="21">
        <v>2750</v>
      </c>
      <c r="AF156" s="21">
        <v>2851</v>
      </c>
      <c r="AG156" s="21">
        <v>2740</v>
      </c>
      <c r="AH156" s="21">
        <v>2631</v>
      </c>
      <c r="AI156" s="21">
        <v>2600</v>
      </c>
      <c r="AJ156" s="21">
        <v>2451</v>
      </c>
      <c r="AK156" s="21">
        <v>2520</v>
      </c>
      <c r="AL156" s="21">
        <v>2500</v>
      </c>
      <c r="AM156" s="21">
        <v>2500</v>
      </c>
      <c r="AN156" s="21">
        <v>2552</v>
      </c>
      <c r="AO156" s="21">
        <v>2441</v>
      </c>
      <c r="AP156" s="21">
        <v>2435</v>
      </c>
      <c r="AQ156" s="21">
        <v>2460</v>
      </c>
      <c r="AR156" s="21">
        <v>2444</v>
      </c>
      <c r="AS156" s="21">
        <v>2423</v>
      </c>
      <c r="AT156" s="21">
        <v>2440</v>
      </c>
      <c r="AU156" s="21">
        <v>2518</v>
      </c>
      <c r="AV156" s="21">
        <v>2470</v>
      </c>
      <c r="AW156" s="21">
        <v>2488</v>
      </c>
      <c r="AX156" s="21">
        <v>2576</v>
      </c>
      <c r="AY156" s="21">
        <v>2599</v>
      </c>
      <c r="AZ156" s="21">
        <v>2578</v>
      </c>
      <c r="BA156" s="21">
        <v>2616</v>
      </c>
      <c r="BB156" s="21">
        <v>2580</v>
      </c>
      <c r="BC156" s="21">
        <v>2500</v>
      </c>
      <c r="BD156" s="21">
        <v>2500</v>
      </c>
      <c r="BE156" s="21">
        <v>2451</v>
      </c>
      <c r="BF156" s="21">
        <v>2290</v>
      </c>
      <c r="BG156" s="21">
        <v>2167</v>
      </c>
      <c r="BH156" s="21">
        <v>2115</v>
      </c>
      <c r="BI156" s="21">
        <v>2052</v>
      </c>
      <c r="BJ156" s="21">
        <v>2005</v>
      </c>
      <c r="BK156" s="21">
        <v>1964.5</v>
      </c>
      <c r="BL156" s="21">
        <v>1915</v>
      </c>
      <c r="BM156" s="1">
        <v>1890</v>
      </c>
      <c r="BN156" s="1">
        <v>2039</v>
      </c>
      <c r="BO156" s="1">
        <v>2239</v>
      </c>
      <c r="BP156" s="1">
        <v>2254</v>
      </c>
      <c r="BQ156" s="1">
        <v>2232.5</v>
      </c>
      <c r="BR156" s="1">
        <v>2223.5</v>
      </c>
      <c r="BS156" s="1">
        <v>2200</v>
      </c>
      <c r="BT156" s="1">
        <v>2255.5</v>
      </c>
      <c r="BU156" s="1">
        <v>2275</v>
      </c>
      <c r="BV156" s="1">
        <v>2287.5</v>
      </c>
      <c r="BW156" s="1">
        <v>2302</v>
      </c>
      <c r="BX156" s="1">
        <v>2293.5</v>
      </c>
      <c r="BY156" s="1">
        <v>2283</v>
      </c>
      <c r="BZ156" s="1">
        <v>2250</v>
      </c>
    </row>
    <row r="157" spans="1:254" ht="15.9" customHeight="1">
      <c r="A157" s="78" t="s">
        <v>308</v>
      </c>
      <c r="B157" s="17" t="s">
        <v>309</v>
      </c>
      <c r="C157" s="543">
        <f>_xll.RssMarket("4091","始値")</f>
        <v>5921</v>
      </c>
      <c r="D157" s="23">
        <f t="shared" si="5"/>
        <v>0</v>
      </c>
      <c r="E157" s="550">
        <v>5921</v>
      </c>
      <c r="F157" s="21">
        <v>5800</v>
      </c>
      <c r="G157" s="21">
        <v>5717</v>
      </c>
      <c r="H157" s="21">
        <v>5781</v>
      </c>
      <c r="I157" s="21">
        <v>5927</v>
      </c>
      <c r="J157" s="21">
        <v>5800</v>
      </c>
      <c r="K157" s="21">
        <v>5850</v>
      </c>
      <c r="L157" s="21">
        <v>5994</v>
      </c>
      <c r="M157" s="21">
        <v>5906</v>
      </c>
      <c r="N157" s="21">
        <v>5840</v>
      </c>
      <c r="O157" s="21">
        <v>5983</v>
      </c>
      <c r="P157" s="21">
        <v>5987</v>
      </c>
      <c r="Q157" s="21">
        <v>6057</v>
      </c>
      <c r="R157" s="21">
        <v>6115</v>
      </c>
      <c r="S157" s="21">
        <v>6100</v>
      </c>
      <c r="T157" s="21">
        <v>6037</v>
      </c>
      <c r="U157" s="21">
        <v>6074</v>
      </c>
      <c r="V157" s="21">
        <v>6234</v>
      </c>
      <c r="W157" s="21">
        <v>6090</v>
      </c>
      <c r="X157" s="21">
        <v>6169</v>
      </c>
      <c r="Y157" s="21">
        <v>6300</v>
      </c>
      <c r="Z157" s="21">
        <v>6285</v>
      </c>
      <c r="AA157" s="21">
        <v>6286</v>
      </c>
      <c r="AB157" s="21">
        <v>6100</v>
      </c>
      <c r="AC157" s="21">
        <v>6004</v>
      </c>
      <c r="AD157" s="21">
        <v>5999</v>
      </c>
      <c r="AE157" s="21">
        <v>5961</v>
      </c>
      <c r="AF157" s="21">
        <v>5861</v>
      </c>
      <c r="AG157" s="21">
        <v>5648</v>
      </c>
      <c r="AH157" s="21">
        <v>5610</v>
      </c>
      <c r="AI157" s="21">
        <v>5523</v>
      </c>
      <c r="AJ157" s="21">
        <v>5490</v>
      </c>
      <c r="AK157" s="21">
        <v>5552</v>
      </c>
      <c r="AL157" s="21">
        <v>5584</v>
      </c>
      <c r="AM157" s="21">
        <v>5561</v>
      </c>
      <c r="AN157" s="21">
        <v>5574</v>
      </c>
      <c r="AO157" s="21">
        <v>5487</v>
      </c>
      <c r="AP157" s="21">
        <v>5320</v>
      </c>
      <c r="AQ157" s="21">
        <v>5175</v>
      </c>
      <c r="AR157" s="21">
        <v>5331</v>
      </c>
      <c r="AS157" s="21">
        <v>5527</v>
      </c>
      <c r="AT157" s="21">
        <v>5570</v>
      </c>
      <c r="AU157" s="21">
        <v>5662</v>
      </c>
      <c r="AV157" s="21">
        <v>5700</v>
      </c>
      <c r="AW157" s="21">
        <v>5772</v>
      </c>
      <c r="AX157" s="21">
        <v>6350</v>
      </c>
      <c r="AY157" s="21">
        <v>6298</v>
      </c>
      <c r="AZ157" s="21">
        <v>6419</v>
      </c>
      <c r="BA157" s="21">
        <v>6227</v>
      </c>
      <c r="BB157" s="21">
        <v>6144</v>
      </c>
      <c r="BC157" s="21">
        <v>5917</v>
      </c>
      <c r="BD157" s="21">
        <v>5828</v>
      </c>
      <c r="BE157" s="21">
        <v>6021</v>
      </c>
      <c r="BF157" s="21">
        <v>6061</v>
      </c>
      <c r="BG157" s="21">
        <v>6114</v>
      </c>
      <c r="BH157" s="21">
        <v>6000</v>
      </c>
      <c r="BI157" s="21">
        <v>5739</v>
      </c>
      <c r="BJ157" s="21">
        <v>6162</v>
      </c>
      <c r="BK157" s="21">
        <v>5736</v>
      </c>
      <c r="BL157" s="21">
        <v>5722</v>
      </c>
      <c r="BM157" s="1">
        <v>5468</v>
      </c>
      <c r="BN157" s="1">
        <v>5550</v>
      </c>
      <c r="BO157" s="1">
        <v>5652</v>
      </c>
      <c r="BP157" s="1">
        <v>5651</v>
      </c>
      <c r="BQ157" s="1">
        <v>5661</v>
      </c>
      <c r="BR157" s="1">
        <v>5602</v>
      </c>
      <c r="BS157" s="1">
        <v>5634</v>
      </c>
      <c r="BT157" s="1">
        <v>5710</v>
      </c>
      <c r="BU157" s="1">
        <v>5872</v>
      </c>
      <c r="BV157" s="1">
        <v>5815</v>
      </c>
      <c r="BW157" s="1">
        <v>6040</v>
      </c>
      <c r="BX157" s="1">
        <v>5861</v>
      </c>
      <c r="BY157" s="1">
        <v>5857</v>
      </c>
      <c r="BZ157" s="1">
        <v>5971</v>
      </c>
    </row>
    <row r="158" spans="1:254" ht="15.9" customHeight="1">
      <c r="A158" s="78" t="s">
        <v>310</v>
      </c>
      <c r="B158" s="17" t="s">
        <v>311</v>
      </c>
      <c r="C158" s="543">
        <f>_xll.RssMarket("6857","始値")</f>
        <v>32500</v>
      </c>
      <c r="D158" s="23">
        <f t="shared" si="5"/>
        <v>0</v>
      </c>
      <c r="E158" s="550">
        <v>32500</v>
      </c>
      <c r="F158" s="21">
        <v>32500</v>
      </c>
      <c r="G158" s="21">
        <v>31820</v>
      </c>
      <c r="H158" s="21">
        <v>31800</v>
      </c>
      <c r="I158" s="21">
        <v>32540</v>
      </c>
      <c r="J158" s="21">
        <v>28480</v>
      </c>
      <c r="K158" s="21">
        <v>26000</v>
      </c>
      <c r="L158" s="21">
        <v>26480</v>
      </c>
      <c r="M158" s="21">
        <v>29400</v>
      </c>
      <c r="N158" s="21">
        <v>30100</v>
      </c>
      <c r="O158" s="21">
        <v>30630</v>
      </c>
      <c r="P158" s="21">
        <v>30880</v>
      </c>
      <c r="Q158" s="21">
        <v>28005</v>
      </c>
      <c r="R158" s="21">
        <v>28140</v>
      </c>
      <c r="S158" s="21">
        <v>30180</v>
      </c>
      <c r="T158" s="21">
        <v>28320</v>
      </c>
      <c r="U158" s="21">
        <v>29500</v>
      </c>
      <c r="V158" s="21">
        <v>30160</v>
      </c>
      <c r="W158" s="21">
        <v>28900</v>
      </c>
      <c r="X158" s="21">
        <v>28010</v>
      </c>
      <c r="Y158" s="21">
        <v>29200</v>
      </c>
      <c r="Z158" s="21">
        <v>29845</v>
      </c>
      <c r="AA158" s="21">
        <v>28110</v>
      </c>
      <c r="AB158" s="21">
        <v>30400</v>
      </c>
      <c r="AC158" s="21">
        <v>33930</v>
      </c>
      <c r="AD158" s="21">
        <v>32700</v>
      </c>
      <c r="AE158" s="21">
        <v>32920</v>
      </c>
      <c r="AF158" s="21">
        <v>34500</v>
      </c>
      <c r="AG158" s="21">
        <v>33100</v>
      </c>
      <c r="AH158" s="21">
        <v>31100</v>
      </c>
      <c r="AI158" s="21">
        <v>32430</v>
      </c>
      <c r="AJ158" s="21">
        <v>31460</v>
      </c>
      <c r="AK158" s="21">
        <v>31210</v>
      </c>
      <c r="AL158" s="21">
        <v>29855</v>
      </c>
      <c r="AM158" s="21">
        <v>29640</v>
      </c>
      <c r="AN158" s="21">
        <v>29600</v>
      </c>
      <c r="AO158" s="21">
        <v>28800</v>
      </c>
      <c r="AP158" s="21">
        <v>27205</v>
      </c>
      <c r="AQ158" s="21">
        <v>24450</v>
      </c>
      <c r="AR158" s="21">
        <v>25490</v>
      </c>
      <c r="AS158" s="21">
        <v>25100</v>
      </c>
      <c r="AT158" s="21">
        <v>27560</v>
      </c>
      <c r="AU158" s="21">
        <v>27380</v>
      </c>
      <c r="AV158" s="21">
        <v>27320</v>
      </c>
      <c r="AW158" s="21">
        <v>25810</v>
      </c>
      <c r="AX158" s="21">
        <v>26380</v>
      </c>
      <c r="AY158" s="21">
        <v>26760</v>
      </c>
      <c r="AZ158" s="21">
        <v>27200</v>
      </c>
      <c r="BA158" s="21">
        <v>27245</v>
      </c>
      <c r="BB158" s="21">
        <v>26975</v>
      </c>
      <c r="BC158" s="21">
        <v>26625</v>
      </c>
      <c r="BD158" s="21">
        <v>25790</v>
      </c>
      <c r="BE158" s="21">
        <v>26150</v>
      </c>
      <c r="BF158" s="21">
        <v>26485</v>
      </c>
      <c r="BG158" s="21">
        <v>29015</v>
      </c>
      <c r="BH158" s="21">
        <v>28510</v>
      </c>
      <c r="BI158" s="21">
        <v>28080</v>
      </c>
      <c r="BJ158" s="21">
        <v>29280</v>
      </c>
      <c r="BK158" s="21">
        <v>30410</v>
      </c>
      <c r="BL158" s="21">
        <v>29800</v>
      </c>
      <c r="BM158" s="1">
        <v>30100</v>
      </c>
      <c r="BN158" s="1">
        <v>28990</v>
      </c>
      <c r="BO158" s="1">
        <v>28880</v>
      </c>
      <c r="BP158" s="1">
        <v>30120</v>
      </c>
      <c r="BQ158" s="1">
        <v>30500</v>
      </c>
      <c r="BR158" s="1">
        <v>28315</v>
      </c>
      <c r="BS158" s="1">
        <v>28500</v>
      </c>
      <c r="BT158" s="1">
        <v>27255</v>
      </c>
      <c r="BU158" s="1">
        <v>27430</v>
      </c>
      <c r="BV158" s="1">
        <v>27885</v>
      </c>
      <c r="BW158" s="1">
        <v>28900</v>
      </c>
      <c r="BX158" s="1">
        <v>28085</v>
      </c>
      <c r="BY158" s="1">
        <v>28000</v>
      </c>
      <c r="BZ158" s="1">
        <v>25900</v>
      </c>
    </row>
    <row r="159" spans="1:254" ht="15.9" customHeight="1">
      <c r="A159" s="78" t="s">
        <v>312</v>
      </c>
      <c r="B159" s="17" t="s">
        <v>313</v>
      </c>
      <c r="C159" s="543">
        <f>_xll.RssMarket("3891","始値")</f>
        <v>6990</v>
      </c>
      <c r="D159" s="23">
        <f t="shared" si="5"/>
        <v>0</v>
      </c>
      <c r="E159" s="550">
        <v>6990</v>
      </c>
      <c r="F159" s="21">
        <v>7300</v>
      </c>
      <c r="G159" s="21">
        <v>7000</v>
      </c>
      <c r="H159" s="21">
        <v>6800</v>
      </c>
      <c r="I159" s="21">
        <v>6630</v>
      </c>
      <c r="J159" s="21">
        <v>5480</v>
      </c>
      <c r="K159" s="21">
        <v>6150</v>
      </c>
      <c r="L159" s="21">
        <v>6460</v>
      </c>
      <c r="M159" s="21">
        <v>7110</v>
      </c>
      <c r="N159" s="21">
        <v>7230</v>
      </c>
      <c r="O159" s="21">
        <v>7470</v>
      </c>
      <c r="P159" s="21">
        <v>7550</v>
      </c>
      <c r="Q159" s="21">
        <v>7050</v>
      </c>
      <c r="R159" s="21">
        <v>7120</v>
      </c>
      <c r="S159" s="21">
        <v>7670</v>
      </c>
      <c r="T159" s="21">
        <v>7340</v>
      </c>
      <c r="U159" s="21">
        <v>7970</v>
      </c>
      <c r="V159" s="21">
        <v>8120</v>
      </c>
      <c r="W159" s="21">
        <v>8230</v>
      </c>
      <c r="X159" s="21">
        <v>7820</v>
      </c>
      <c r="Y159" s="21">
        <v>8690</v>
      </c>
      <c r="Z159" s="21">
        <v>9430</v>
      </c>
      <c r="AA159" s="21">
        <v>8700</v>
      </c>
      <c r="AB159" s="21">
        <v>9700</v>
      </c>
      <c r="AC159" s="21">
        <v>10190</v>
      </c>
      <c r="AD159" s="21">
        <v>10290</v>
      </c>
      <c r="AE159" s="21">
        <v>9990</v>
      </c>
      <c r="AF159" s="21">
        <v>10130</v>
      </c>
      <c r="AG159" s="21">
        <v>10010</v>
      </c>
      <c r="AH159" s="21">
        <v>9620</v>
      </c>
      <c r="AI159" s="21">
        <v>10370</v>
      </c>
      <c r="AJ159" s="21">
        <v>10750</v>
      </c>
      <c r="AK159" s="21">
        <v>10880</v>
      </c>
      <c r="AL159" s="21">
        <v>10000</v>
      </c>
      <c r="AM159" s="21">
        <v>8830</v>
      </c>
      <c r="AN159" s="21">
        <v>8770</v>
      </c>
      <c r="AO159" s="21">
        <v>8760</v>
      </c>
      <c r="AP159" s="21">
        <v>9320</v>
      </c>
      <c r="AQ159" s="21">
        <v>8190</v>
      </c>
      <c r="AR159" s="21">
        <v>9750</v>
      </c>
      <c r="AS159" s="21">
        <v>8260</v>
      </c>
      <c r="AT159" s="21">
        <v>8220</v>
      </c>
      <c r="AU159" s="21">
        <v>8330</v>
      </c>
      <c r="AV159" s="21">
        <v>8060</v>
      </c>
      <c r="AW159" s="21">
        <v>8180</v>
      </c>
      <c r="AX159" s="21">
        <v>7390</v>
      </c>
      <c r="AY159" s="21">
        <v>6870</v>
      </c>
      <c r="AZ159" s="21">
        <v>7590</v>
      </c>
      <c r="BA159" s="21">
        <v>7750</v>
      </c>
      <c r="BB159" s="21">
        <v>7020</v>
      </c>
      <c r="BC159" s="21">
        <v>6930</v>
      </c>
      <c r="BD159" s="21">
        <v>6450</v>
      </c>
      <c r="BE159" s="21">
        <v>6500</v>
      </c>
      <c r="BF159" s="21">
        <v>6200</v>
      </c>
      <c r="BG159" s="21">
        <v>6310</v>
      </c>
      <c r="BH159" s="21">
        <v>6500</v>
      </c>
      <c r="BI159" s="21">
        <v>6300</v>
      </c>
      <c r="BJ159" s="21">
        <v>6480</v>
      </c>
      <c r="BK159" s="21">
        <v>6680</v>
      </c>
      <c r="BL159" s="21">
        <v>6520</v>
      </c>
      <c r="BM159" s="1">
        <v>6270</v>
      </c>
      <c r="BN159" s="1">
        <v>6460</v>
      </c>
      <c r="BO159" s="1">
        <v>6340</v>
      </c>
      <c r="BP159" s="1">
        <v>6250</v>
      </c>
      <c r="BQ159" s="1">
        <v>6000</v>
      </c>
      <c r="BR159" s="1">
        <v>4420</v>
      </c>
      <c r="BS159" s="1">
        <v>4515</v>
      </c>
      <c r="BT159" s="1">
        <v>4585</v>
      </c>
      <c r="BU159" s="1">
        <v>4455</v>
      </c>
      <c r="BV159" s="1">
        <v>4280</v>
      </c>
      <c r="BW159" s="1">
        <v>4490</v>
      </c>
      <c r="BX159" s="1">
        <v>4530</v>
      </c>
      <c r="BY159" s="1">
        <v>4505</v>
      </c>
      <c r="BZ159" s="1">
        <v>4250</v>
      </c>
    </row>
    <row r="160" spans="1:254" ht="15.9" customHeight="1">
      <c r="A160" s="78" t="s">
        <v>314</v>
      </c>
      <c r="B160" s="17" t="s">
        <v>315</v>
      </c>
      <c r="C160" s="543">
        <f>_xll.RssMarket("4373","始値")</f>
        <v>1097</v>
      </c>
      <c r="D160" s="23">
        <f t="shared" si="5"/>
        <v>0</v>
      </c>
      <c r="E160" s="550">
        <v>1097</v>
      </c>
      <c r="F160" s="21">
        <v>1100</v>
      </c>
      <c r="G160" s="21">
        <v>1106</v>
      </c>
      <c r="H160" s="21">
        <v>1134</v>
      </c>
      <c r="I160" s="21">
        <v>1132</v>
      </c>
      <c r="J160" s="21">
        <v>1200</v>
      </c>
      <c r="K160" s="21">
        <v>1156</v>
      </c>
      <c r="L160" s="21">
        <v>1149</v>
      </c>
      <c r="M160" s="21">
        <v>1126</v>
      </c>
      <c r="N160" s="21">
        <v>1033</v>
      </c>
      <c r="O160" s="21">
        <v>1025</v>
      </c>
      <c r="P160" s="21">
        <v>1048</v>
      </c>
      <c r="Q160" s="21">
        <v>1092</v>
      </c>
      <c r="R160" s="21">
        <v>1058</v>
      </c>
      <c r="S160" s="21">
        <v>1034</v>
      </c>
      <c r="T160" s="21">
        <v>1061</v>
      </c>
      <c r="U160" s="21">
        <v>1049</v>
      </c>
      <c r="V160" s="21">
        <v>1052</v>
      </c>
      <c r="W160" s="21">
        <v>1042</v>
      </c>
      <c r="X160" s="21">
        <v>1067</v>
      </c>
      <c r="Y160" s="21">
        <v>1036</v>
      </c>
      <c r="Z160" s="21">
        <v>1015</v>
      </c>
      <c r="AA160" s="21">
        <v>1003</v>
      </c>
      <c r="AB160" s="21">
        <v>970</v>
      </c>
      <c r="AC160" s="21">
        <v>937</v>
      </c>
      <c r="AD160" s="21">
        <v>951</v>
      </c>
      <c r="AE160" s="21">
        <v>926</v>
      </c>
      <c r="AF160" s="21">
        <v>909</v>
      </c>
      <c r="AG160" s="21">
        <v>923</v>
      </c>
      <c r="AH160" s="21">
        <v>921</v>
      </c>
      <c r="AI160" s="21">
        <v>933</v>
      </c>
      <c r="AJ160" s="21">
        <v>930</v>
      </c>
      <c r="AK160" s="21">
        <v>927</v>
      </c>
      <c r="AL160" s="21">
        <v>935</v>
      </c>
      <c r="AM160" s="21">
        <v>966</v>
      </c>
      <c r="AN160" s="21">
        <v>940</v>
      </c>
      <c r="AO160" s="21">
        <v>983</v>
      </c>
      <c r="AP160" s="21">
        <v>991</v>
      </c>
      <c r="AQ160" s="21">
        <v>1036</v>
      </c>
      <c r="AR160" s="21">
        <v>1060</v>
      </c>
      <c r="AS160" s="21">
        <v>1074</v>
      </c>
      <c r="AT160" s="21">
        <v>1084</v>
      </c>
      <c r="AU160" s="21">
        <v>1106</v>
      </c>
      <c r="AV160" s="21">
        <v>1116</v>
      </c>
      <c r="AW160" s="21">
        <v>1158</v>
      </c>
      <c r="AX160" s="21">
        <v>1045</v>
      </c>
      <c r="AY160" s="21">
        <v>1040</v>
      </c>
      <c r="AZ160" s="21">
        <v>999</v>
      </c>
      <c r="BA160" s="21">
        <v>1043</v>
      </c>
      <c r="BB160" s="21">
        <v>1035</v>
      </c>
      <c r="BC160" s="21">
        <v>1005</v>
      </c>
      <c r="BD160" s="21">
        <v>1024</v>
      </c>
      <c r="BE160" s="21">
        <v>1008</v>
      </c>
      <c r="BF160" s="21">
        <v>950</v>
      </c>
      <c r="BG160" s="21">
        <v>945</v>
      </c>
      <c r="BH160" s="21">
        <v>956</v>
      </c>
      <c r="BI160" s="21">
        <v>968</v>
      </c>
      <c r="BJ160" s="21">
        <v>960</v>
      </c>
      <c r="BK160" s="21">
        <v>936</v>
      </c>
      <c r="BL160" s="21">
        <v>925</v>
      </c>
      <c r="BM160" s="1">
        <v>891</v>
      </c>
      <c r="BN160" s="1">
        <v>917</v>
      </c>
      <c r="BO160" s="1">
        <v>881</v>
      </c>
      <c r="BP160" s="1">
        <v>888</v>
      </c>
      <c r="BQ160" s="1">
        <v>921</v>
      </c>
      <c r="BR160" s="1">
        <v>905</v>
      </c>
      <c r="BS160" s="1">
        <v>948</v>
      </c>
      <c r="BT160" s="1">
        <v>945</v>
      </c>
      <c r="BU160" s="1">
        <v>959</v>
      </c>
      <c r="BV160" s="1">
        <v>945</v>
      </c>
      <c r="BW160" s="1">
        <v>899</v>
      </c>
      <c r="BX160" s="1">
        <v>933</v>
      </c>
      <c r="BY160" s="1">
        <v>862</v>
      </c>
      <c r="BZ160" s="1">
        <v>849</v>
      </c>
    </row>
    <row r="161" spans="1:254" ht="15.9" customHeight="1">
      <c r="A161" s="78" t="s">
        <v>316</v>
      </c>
      <c r="B161" s="17" t="s">
        <v>317</v>
      </c>
      <c r="C161" s="543">
        <f>_xll.RssMarket("8892","始値")</f>
        <v>1075</v>
      </c>
      <c r="D161" s="23">
        <f t="shared" si="5"/>
        <v>0</v>
      </c>
      <c r="E161" s="550">
        <v>1075</v>
      </c>
      <c r="F161" s="21">
        <v>1073</v>
      </c>
      <c r="G161" s="21">
        <v>1068</v>
      </c>
      <c r="H161" s="21">
        <v>1072</v>
      </c>
      <c r="I161" s="21">
        <v>1085</v>
      </c>
      <c r="J161" s="21">
        <v>1105</v>
      </c>
      <c r="K161" s="21">
        <v>1065</v>
      </c>
      <c r="L161" s="21">
        <v>1126</v>
      </c>
      <c r="M161" s="21">
        <v>1100</v>
      </c>
      <c r="N161" s="21"/>
      <c r="O161" s="21">
        <v>1120</v>
      </c>
      <c r="P161" s="21">
        <v>1120</v>
      </c>
      <c r="Q161" s="21">
        <v>1106</v>
      </c>
      <c r="R161" s="21">
        <v>1114</v>
      </c>
      <c r="S161" s="21">
        <v>1125</v>
      </c>
      <c r="T161" s="21">
        <v>1125</v>
      </c>
      <c r="U161" s="21">
        <v>1139</v>
      </c>
      <c r="V161" s="21">
        <v>1120</v>
      </c>
      <c r="W161" s="21">
        <v>1104</v>
      </c>
      <c r="X161" s="21">
        <v>1101</v>
      </c>
      <c r="Y161" s="21">
        <v>1109</v>
      </c>
      <c r="Z161" s="21">
        <v>1099</v>
      </c>
      <c r="AA161" s="21">
        <v>1095</v>
      </c>
      <c r="AB161" s="21">
        <v>1080</v>
      </c>
      <c r="AC161" s="21">
        <v>1080</v>
      </c>
      <c r="AD161" s="21">
        <v>1084</v>
      </c>
      <c r="AE161" s="21">
        <v>1071</v>
      </c>
      <c r="AF161" s="21">
        <v>1061</v>
      </c>
      <c r="AG161" s="21">
        <v>1067</v>
      </c>
      <c r="AH161" s="21">
        <v>1056</v>
      </c>
      <c r="AI161" s="21">
        <v>1058</v>
      </c>
      <c r="AJ161" s="21">
        <v>1062</v>
      </c>
      <c r="AK161" s="21">
        <v>1071</v>
      </c>
      <c r="AL161" s="21">
        <v>1076</v>
      </c>
      <c r="AM161" s="21">
        <v>1105</v>
      </c>
      <c r="AN161" s="21">
        <v>1105</v>
      </c>
      <c r="AO161" s="21">
        <v>1115</v>
      </c>
      <c r="AP161" s="21">
        <v>1091</v>
      </c>
      <c r="AQ161" s="21">
        <v>1109</v>
      </c>
      <c r="AR161" s="21">
        <v>1095</v>
      </c>
      <c r="AS161" s="21">
        <v>1085</v>
      </c>
      <c r="AT161" s="21">
        <v>1069</v>
      </c>
      <c r="AU161" s="21">
        <v>1071</v>
      </c>
      <c r="AV161" s="21">
        <v>1067</v>
      </c>
      <c r="AW161" s="21">
        <v>1067</v>
      </c>
      <c r="AX161" s="21">
        <v>1103</v>
      </c>
      <c r="AY161" s="21">
        <v>1103</v>
      </c>
      <c r="AZ161" s="21">
        <v>1109</v>
      </c>
      <c r="BA161" s="21">
        <v>1111</v>
      </c>
      <c r="BB161" s="21">
        <v>1138</v>
      </c>
      <c r="BC161" s="21">
        <v>1133</v>
      </c>
      <c r="BD161" s="21">
        <v>1145</v>
      </c>
      <c r="BE161" s="21">
        <v>1130</v>
      </c>
      <c r="BF161" s="21">
        <v>1118</v>
      </c>
      <c r="BG161" s="21">
        <v>1152</v>
      </c>
      <c r="BH161" s="21">
        <v>1160</v>
      </c>
      <c r="BI161" s="21">
        <v>1171</v>
      </c>
      <c r="BJ161" s="21">
        <v>1174</v>
      </c>
      <c r="BK161" s="21">
        <v>1162</v>
      </c>
      <c r="BL161" s="21">
        <v>1171</v>
      </c>
      <c r="BM161" s="1">
        <v>1152</v>
      </c>
      <c r="BN161" s="1">
        <v>1171</v>
      </c>
      <c r="BO161" s="1">
        <v>1175</v>
      </c>
      <c r="BP161" s="1">
        <v>1200</v>
      </c>
      <c r="BQ161" s="1">
        <v>1170</v>
      </c>
      <c r="BR161" s="1">
        <v>1137</v>
      </c>
      <c r="BS161" s="1">
        <v>1124</v>
      </c>
      <c r="BT161" s="1">
        <v>1136</v>
      </c>
      <c r="BU161" s="1">
        <v>1146</v>
      </c>
      <c r="BV161" s="1">
        <v>1143</v>
      </c>
      <c r="BW161" s="1">
        <v>1138</v>
      </c>
      <c r="BX161" s="1">
        <v>1142</v>
      </c>
      <c r="BY161" s="1">
        <v>1140</v>
      </c>
      <c r="BZ161" s="1">
        <v>1136</v>
      </c>
    </row>
    <row r="162" spans="1:254" ht="15.9" customHeight="1">
      <c r="A162" s="78" t="s">
        <v>318</v>
      </c>
      <c r="B162" s="17" t="s">
        <v>319</v>
      </c>
      <c r="C162" s="543">
        <f>_xll.RssMarket("9687","始値")</f>
        <v>4445</v>
      </c>
      <c r="D162" s="23">
        <f t="shared" si="5"/>
        <v>0</v>
      </c>
      <c r="E162" s="550">
        <v>4445</v>
      </c>
      <c r="F162" s="21">
        <v>4375</v>
      </c>
      <c r="G162" s="21">
        <v>4420</v>
      </c>
      <c r="H162" s="21">
        <v>4460</v>
      </c>
      <c r="I162" s="21">
        <v>4480</v>
      </c>
      <c r="J162" s="21">
        <v>4470</v>
      </c>
      <c r="K162" s="21">
        <v>4620</v>
      </c>
      <c r="L162" s="21">
        <v>4625</v>
      </c>
      <c r="M162" s="21">
        <v>4680</v>
      </c>
      <c r="N162" s="21"/>
      <c r="O162" s="21">
        <v>4450</v>
      </c>
      <c r="P162" s="21">
        <v>4435</v>
      </c>
      <c r="Q162" s="21">
        <v>4420</v>
      </c>
      <c r="R162" s="21">
        <v>4400</v>
      </c>
      <c r="S162" s="21">
        <v>4400</v>
      </c>
      <c r="T162" s="21">
        <v>4400</v>
      </c>
      <c r="U162" s="21">
        <v>4395</v>
      </c>
      <c r="V162" s="21">
        <v>4375</v>
      </c>
      <c r="W162" s="21">
        <v>4380</v>
      </c>
      <c r="X162" s="21">
        <v>4365</v>
      </c>
      <c r="Y162" s="21">
        <v>4315</v>
      </c>
      <c r="Z162" s="21">
        <v>4355</v>
      </c>
      <c r="AA162" s="21">
        <v>4355</v>
      </c>
      <c r="AB162" s="21">
        <v>4370</v>
      </c>
      <c r="AC162" s="21">
        <v>4370</v>
      </c>
      <c r="AD162" s="21">
        <v>4300</v>
      </c>
      <c r="AE162" s="21">
        <v>4380</v>
      </c>
      <c r="AF162" s="21">
        <v>4350</v>
      </c>
      <c r="AG162" s="21">
        <v>4425</v>
      </c>
      <c r="AH162" s="21">
        <v>4360</v>
      </c>
      <c r="AI162" s="21">
        <v>4350</v>
      </c>
      <c r="AJ162" s="21">
        <v>4335</v>
      </c>
      <c r="AK162" s="21">
        <v>4245</v>
      </c>
      <c r="AL162" s="21">
        <v>4350</v>
      </c>
      <c r="AM162" s="21">
        <v>4325</v>
      </c>
      <c r="AN162" s="21">
        <v>4335</v>
      </c>
      <c r="AO162" s="21">
        <v>4300</v>
      </c>
      <c r="AP162" s="21">
        <v>4300</v>
      </c>
      <c r="AQ162" s="21">
        <v>4260</v>
      </c>
      <c r="AR162" s="21">
        <v>4300</v>
      </c>
      <c r="AS162" s="21">
        <v>4310</v>
      </c>
      <c r="AT162" s="21">
        <v>4335</v>
      </c>
      <c r="AU162" s="21">
        <v>4335</v>
      </c>
      <c r="AV162" s="21">
        <v>4325</v>
      </c>
      <c r="AW162" s="21">
        <v>4325</v>
      </c>
      <c r="AX162" s="21">
        <v>4325</v>
      </c>
      <c r="AY162" s="21">
        <v>4350</v>
      </c>
      <c r="AZ162" s="21">
        <v>4355</v>
      </c>
      <c r="BA162" s="21">
        <v>4375</v>
      </c>
      <c r="BB162" s="21">
        <v>4380</v>
      </c>
      <c r="BC162" s="21">
        <v>4360</v>
      </c>
      <c r="BD162" s="21">
        <v>4365</v>
      </c>
      <c r="BE162" s="21">
        <v>4330</v>
      </c>
      <c r="BF162" s="21">
        <v>4345</v>
      </c>
      <c r="BG162" s="21">
        <v>4335</v>
      </c>
      <c r="BH162" s="21">
        <v>4350</v>
      </c>
      <c r="BI162" s="21">
        <v>4350</v>
      </c>
      <c r="BJ162" s="21">
        <v>4365</v>
      </c>
      <c r="BK162" s="21">
        <v>4400</v>
      </c>
      <c r="BL162" s="21">
        <v>4390</v>
      </c>
      <c r="BM162" s="1">
        <v>4400</v>
      </c>
      <c r="BN162" s="1">
        <v>4440</v>
      </c>
      <c r="BO162" s="1">
        <v>4395</v>
      </c>
      <c r="BP162" s="1">
        <v>4385</v>
      </c>
      <c r="BQ162" s="1">
        <v>4385</v>
      </c>
      <c r="BR162" s="1">
        <v>4345</v>
      </c>
      <c r="BS162" s="1">
        <v>4375</v>
      </c>
      <c r="BT162" s="1">
        <v>4370</v>
      </c>
      <c r="BU162" s="1">
        <v>4355</v>
      </c>
      <c r="BV162" s="1">
        <v>4385</v>
      </c>
      <c r="BW162" s="1">
        <v>4445</v>
      </c>
      <c r="BX162" s="1">
        <v>4320</v>
      </c>
      <c r="BY162" s="1">
        <v>4320</v>
      </c>
      <c r="BZ162" s="1">
        <v>4340</v>
      </c>
    </row>
    <row r="163" spans="1:254" ht="15.9" customHeight="1">
      <c r="A163" s="78" t="s">
        <v>320</v>
      </c>
      <c r="B163" s="17" t="s">
        <v>321</v>
      </c>
      <c r="C163" s="543">
        <f>_xll.RssMarket("1930","始値")</f>
        <v>1530</v>
      </c>
      <c r="D163" s="23">
        <f t="shared" si="5"/>
        <v>0</v>
      </c>
      <c r="E163" s="550">
        <v>1530</v>
      </c>
      <c r="F163" s="21">
        <v>1493</v>
      </c>
      <c r="G163" s="21">
        <v>1461</v>
      </c>
      <c r="H163" s="21">
        <v>1477</v>
      </c>
      <c r="I163" s="21">
        <v>1485</v>
      </c>
      <c r="J163" s="21">
        <v>1450</v>
      </c>
      <c r="K163" s="21">
        <v>1500</v>
      </c>
      <c r="L163" s="21">
        <v>1651</v>
      </c>
      <c r="M163" s="21">
        <v>1640</v>
      </c>
      <c r="N163" s="21">
        <v>1593</v>
      </c>
      <c r="O163" s="21">
        <v>1605</v>
      </c>
      <c r="P163" s="21">
        <v>1594</v>
      </c>
      <c r="Q163" s="21">
        <v>1579</v>
      </c>
      <c r="R163" s="21">
        <v>1598</v>
      </c>
      <c r="S163" s="21">
        <v>1614</v>
      </c>
      <c r="T163" s="21">
        <v>1590</v>
      </c>
      <c r="U163" s="21">
        <v>1624</v>
      </c>
      <c r="V163" s="21">
        <v>1664</v>
      </c>
      <c r="W163" s="21">
        <v>1629</v>
      </c>
      <c r="X163" s="21">
        <v>1621</v>
      </c>
      <c r="Y163" s="21">
        <v>1672</v>
      </c>
      <c r="Z163" s="21">
        <v>1660</v>
      </c>
      <c r="AA163" s="21">
        <v>1660</v>
      </c>
      <c r="AB163" s="21">
        <v>1690</v>
      </c>
      <c r="AC163" s="21">
        <v>1663</v>
      </c>
      <c r="AD163" s="21">
        <v>1698</v>
      </c>
      <c r="AE163" s="21">
        <v>1715</v>
      </c>
      <c r="AF163" s="21">
        <v>1709</v>
      </c>
      <c r="AG163" s="21">
        <v>1700</v>
      </c>
      <c r="AH163" s="21">
        <v>1681</v>
      </c>
      <c r="AI163" s="21">
        <v>1735</v>
      </c>
      <c r="AJ163" s="21">
        <v>1702</v>
      </c>
      <c r="AK163" s="21">
        <v>1752</v>
      </c>
      <c r="AL163" s="21">
        <v>1700</v>
      </c>
      <c r="AM163" s="21">
        <v>1664</v>
      </c>
      <c r="AN163" s="21">
        <v>1715</v>
      </c>
      <c r="AO163" s="21">
        <v>1655</v>
      </c>
      <c r="AP163" s="21">
        <v>1612</v>
      </c>
      <c r="AQ163" s="21">
        <v>1586</v>
      </c>
      <c r="AR163" s="21">
        <v>1588</v>
      </c>
      <c r="AS163" s="21">
        <v>1589</v>
      </c>
      <c r="AT163" s="21">
        <v>1567</v>
      </c>
      <c r="AU163" s="21">
        <v>1573</v>
      </c>
      <c r="AV163" s="21">
        <v>1582</v>
      </c>
      <c r="AW163" s="21">
        <v>1619</v>
      </c>
      <c r="AX163" s="21">
        <v>1711</v>
      </c>
      <c r="AY163" s="21">
        <v>1664</v>
      </c>
      <c r="AZ163" s="21">
        <v>1739</v>
      </c>
      <c r="BA163" s="21">
        <v>1645</v>
      </c>
      <c r="BB163" s="21">
        <v>1595</v>
      </c>
      <c r="BC163" s="21">
        <v>1612</v>
      </c>
      <c r="BD163" s="21">
        <v>1636</v>
      </c>
      <c r="BE163" s="21">
        <v>1602</v>
      </c>
      <c r="BF163" s="21">
        <v>1647</v>
      </c>
      <c r="BG163" s="21">
        <v>1684</v>
      </c>
      <c r="BH163" s="21">
        <v>1750</v>
      </c>
      <c r="BI163" s="21">
        <v>1766</v>
      </c>
      <c r="BJ163" s="21">
        <v>1721</v>
      </c>
      <c r="BK163" s="21">
        <v>1700</v>
      </c>
      <c r="BL163" s="21">
        <v>1642</v>
      </c>
      <c r="BM163" s="1">
        <v>1740</v>
      </c>
      <c r="BN163" s="1">
        <v>1690</v>
      </c>
      <c r="BO163" s="1">
        <v>1647</v>
      </c>
      <c r="BP163" s="1">
        <v>1472</v>
      </c>
      <c r="BQ163" s="1">
        <v>1459</v>
      </c>
      <c r="BR163" s="1">
        <v>1447</v>
      </c>
      <c r="BS163" s="1">
        <v>1445</v>
      </c>
      <c r="BT163" s="1">
        <v>1472</v>
      </c>
      <c r="BU163" s="1">
        <v>1475</v>
      </c>
      <c r="BV163" s="1">
        <v>1477</v>
      </c>
      <c r="BW163" s="1">
        <v>1469</v>
      </c>
      <c r="BX163" s="1">
        <v>1453</v>
      </c>
      <c r="BY163" s="1">
        <v>1464</v>
      </c>
      <c r="BZ163" s="1">
        <v>1444</v>
      </c>
    </row>
    <row r="164" spans="1:254" ht="15.9" customHeight="1">
      <c r="A164" s="78" t="s">
        <v>322</v>
      </c>
      <c r="B164" s="17" t="s">
        <v>323</v>
      </c>
      <c r="C164" s="543">
        <f>_xll.RssMarket("8704","始値")</f>
        <v>1329</v>
      </c>
      <c r="D164" s="23">
        <f t="shared" si="5"/>
        <v>0</v>
      </c>
      <c r="E164" s="550">
        <v>1329</v>
      </c>
      <c r="F164" s="21">
        <v>1304</v>
      </c>
      <c r="G164" s="21">
        <v>1305</v>
      </c>
      <c r="H164" s="21">
        <v>1285</v>
      </c>
      <c r="I164" s="21">
        <v>1245</v>
      </c>
      <c r="J164" s="21">
        <v>1198</v>
      </c>
      <c r="K164" s="21">
        <v>1250</v>
      </c>
      <c r="L164" s="21">
        <v>1280</v>
      </c>
      <c r="M164" s="21">
        <v>1287</v>
      </c>
      <c r="N164" s="21">
        <v>1281</v>
      </c>
      <c r="O164" s="21">
        <v>1244</v>
      </c>
      <c r="P164" s="21">
        <v>1241</v>
      </c>
      <c r="Q164" s="21">
        <v>1251</v>
      </c>
      <c r="R164" s="21">
        <v>1276</v>
      </c>
      <c r="S164" s="21">
        <v>1279</v>
      </c>
      <c r="T164" s="21">
        <v>1238</v>
      </c>
      <c r="U164" s="21">
        <v>1254</v>
      </c>
      <c r="V164" s="21">
        <v>1226</v>
      </c>
      <c r="W164" s="21">
        <v>1222</v>
      </c>
      <c r="X164" s="21">
        <v>1250</v>
      </c>
      <c r="Y164" s="21">
        <v>1270</v>
      </c>
      <c r="Z164" s="21">
        <v>1271</v>
      </c>
      <c r="AA164" s="21">
        <v>1224</v>
      </c>
      <c r="AB164" s="21">
        <v>1213</v>
      </c>
      <c r="AC164" s="21">
        <v>1183</v>
      </c>
      <c r="AD164" s="21">
        <v>1145</v>
      </c>
      <c r="AE164" s="21">
        <v>1153</v>
      </c>
      <c r="AF164" s="21">
        <v>1178</v>
      </c>
      <c r="AG164" s="21">
        <v>1180</v>
      </c>
      <c r="AH164" s="21">
        <v>1192</v>
      </c>
      <c r="AI164" s="21">
        <v>1228</v>
      </c>
      <c r="AJ164" s="21">
        <v>1164</v>
      </c>
      <c r="AK164" s="21">
        <v>1165</v>
      </c>
      <c r="AL164" s="21">
        <v>1170</v>
      </c>
      <c r="AM164" s="21">
        <v>1146</v>
      </c>
      <c r="AN164" s="21">
        <v>1166</v>
      </c>
      <c r="AO164" s="21">
        <v>1158</v>
      </c>
      <c r="AP164" s="21">
        <v>1123</v>
      </c>
      <c r="AQ164" s="21">
        <v>1084</v>
      </c>
      <c r="AR164" s="21">
        <v>1140</v>
      </c>
      <c r="AS164" s="21">
        <v>1110</v>
      </c>
      <c r="AT164" s="21">
        <v>1113</v>
      </c>
      <c r="AU164" s="21">
        <v>1162</v>
      </c>
      <c r="AV164" s="21">
        <v>1195</v>
      </c>
      <c r="AW164" s="21">
        <v>1200</v>
      </c>
      <c r="AX164" s="21">
        <v>1153</v>
      </c>
      <c r="AY164" s="21">
        <v>1142</v>
      </c>
      <c r="AZ164" s="21">
        <v>1161</v>
      </c>
      <c r="BA164" s="21">
        <v>1135</v>
      </c>
      <c r="BB164" s="21">
        <v>1134</v>
      </c>
      <c r="BC164" s="21">
        <v>1125</v>
      </c>
      <c r="BD164" s="21">
        <v>1126</v>
      </c>
      <c r="BE164" s="21">
        <v>1152</v>
      </c>
      <c r="BF164" s="21">
        <v>1170</v>
      </c>
      <c r="BG164" s="21">
        <v>1172</v>
      </c>
      <c r="BH164" s="21">
        <v>1210</v>
      </c>
      <c r="BI164" s="21">
        <v>1198</v>
      </c>
      <c r="BJ164" s="21">
        <v>1231</v>
      </c>
      <c r="BK164" s="21">
        <v>1215</v>
      </c>
      <c r="BL164" s="21">
        <v>1180</v>
      </c>
      <c r="BM164" s="1">
        <v>1148</v>
      </c>
      <c r="BN164" s="1">
        <v>1151</v>
      </c>
      <c r="BO164" s="1">
        <v>1078</v>
      </c>
      <c r="BP164" s="1">
        <v>1029</v>
      </c>
      <c r="BQ164" s="1">
        <v>1029</v>
      </c>
      <c r="BR164" s="1">
        <v>1036</v>
      </c>
      <c r="BS164" s="1">
        <v>1042</v>
      </c>
      <c r="BT164" s="1">
        <v>1061</v>
      </c>
      <c r="BU164" s="1">
        <v>1059</v>
      </c>
      <c r="BV164" s="1">
        <v>1050</v>
      </c>
      <c r="BW164" s="1">
        <v>1062</v>
      </c>
      <c r="BX164" s="1">
        <v>1055</v>
      </c>
      <c r="BY164" s="1">
        <v>1049</v>
      </c>
      <c r="BZ164" s="1">
        <v>1040</v>
      </c>
    </row>
    <row r="165" spans="1:254" ht="15.9" customHeight="1">
      <c r="A165" s="78" t="s">
        <v>324</v>
      </c>
      <c r="B165" s="17" t="s">
        <v>325</v>
      </c>
      <c r="C165" s="543">
        <f>_xll.RssMarket("4733","始値")</f>
        <v>7750</v>
      </c>
      <c r="D165" s="23">
        <f t="shared" si="5"/>
        <v>0</v>
      </c>
      <c r="E165" s="550">
        <v>7750</v>
      </c>
      <c r="F165" s="21">
        <v>7781</v>
      </c>
      <c r="G165" s="21">
        <v>7934</v>
      </c>
      <c r="H165" s="21">
        <v>8029</v>
      </c>
      <c r="I165" s="21">
        <v>7889</v>
      </c>
      <c r="J165" s="21">
        <v>8551</v>
      </c>
      <c r="K165" s="21">
        <v>8051</v>
      </c>
      <c r="L165" s="21">
        <v>8020</v>
      </c>
      <c r="M165" s="21">
        <v>7760</v>
      </c>
      <c r="N165" s="21">
        <v>7315</v>
      </c>
      <c r="O165" s="21">
        <v>6760</v>
      </c>
      <c r="P165" s="21">
        <v>6600</v>
      </c>
      <c r="Q165" s="21">
        <v>6697</v>
      </c>
      <c r="R165" s="21">
        <v>6570</v>
      </c>
      <c r="S165" s="21">
        <v>6541</v>
      </c>
      <c r="T165" s="21">
        <v>6666</v>
      </c>
      <c r="U165" s="21">
        <v>6577</v>
      </c>
      <c r="V165" s="21">
        <v>6534</v>
      </c>
      <c r="W165" s="21">
        <v>6418</v>
      </c>
      <c r="X165" s="21">
        <v>6599</v>
      </c>
      <c r="Y165" s="21">
        <v>6542</v>
      </c>
      <c r="Z165" s="21">
        <v>6455</v>
      </c>
      <c r="AA165" s="21">
        <v>6558</v>
      </c>
      <c r="AB165" s="21">
        <v>6258</v>
      </c>
      <c r="AC165" s="21">
        <v>6015</v>
      </c>
      <c r="AD165" s="21">
        <v>6126</v>
      </c>
      <c r="AE165" s="21">
        <v>6000</v>
      </c>
      <c r="AF165" s="21">
        <v>5723</v>
      </c>
      <c r="AG165" s="21">
        <v>5762</v>
      </c>
      <c r="AH165" s="21">
        <v>5737</v>
      </c>
      <c r="AI165" s="21">
        <v>5620</v>
      </c>
      <c r="AJ165" s="21">
        <v>5674</v>
      </c>
      <c r="AK165" s="21">
        <v>5842</v>
      </c>
      <c r="AL165" s="21">
        <v>5890</v>
      </c>
      <c r="AM165" s="21">
        <v>5844</v>
      </c>
      <c r="AN165" s="21">
        <v>5830</v>
      </c>
      <c r="AO165" s="21">
        <v>5890</v>
      </c>
      <c r="AP165" s="21">
        <v>5880</v>
      </c>
      <c r="AQ165" s="21">
        <v>5914</v>
      </c>
      <c r="AR165" s="21">
        <v>5935</v>
      </c>
      <c r="AS165" s="21">
        <v>6068</v>
      </c>
      <c r="AT165" s="21">
        <v>6070</v>
      </c>
      <c r="AU165" s="21">
        <v>6063</v>
      </c>
      <c r="AV165" s="21">
        <v>6224</v>
      </c>
      <c r="AW165" s="21">
        <v>6500</v>
      </c>
      <c r="AX165" s="21">
        <v>6088</v>
      </c>
      <c r="AY165" s="21">
        <v>6113</v>
      </c>
      <c r="AZ165" s="21">
        <v>5970</v>
      </c>
      <c r="BA165" s="21">
        <v>6091</v>
      </c>
      <c r="BB165" s="21">
        <v>6050</v>
      </c>
      <c r="BC165" s="21">
        <v>6100</v>
      </c>
      <c r="BD165" s="21">
        <v>6227</v>
      </c>
      <c r="BE165" s="21">
        <v>6210</v>
      </c>
      <c r="BF165" s="21">
        <v>6113</v>
      </c>
      <c r="BG165" s="21">
        <v>6052</v>
      </c>
      <c r="BH165" s="21">
        <v>6142</v>
      </c>
      <c r="BI165" s="21">
        <v>6131</v>
      </c>
      <c r="BJ165" s="21">
        <v>6070</v>
      </c>
      <c r="BK165" s="21">
        <v>6287</v>
      </c>
      <c r="BL165" s="21">
        <v>6222</v>
      </c>
      <c r="BM165" s="1">
        <v>6075</v>
      </c>
      <c r="BN165" s="1">
        <v>6107</v>
      </c>
      <c r="BO165" s="1">
        <v>6159</v>
      </c>
      <c r="BP165" s="1">
        <v>6156</v>
      </c>
      <c r="BQ165" s="1">
        <v>6296</v>
      </c>
      <c r="BR165" s="1">
        <v>6170</v>
      </c>
      <c r="BS165" s="1">
        <v>6630</v>
      </c>
      <c r="BT165" s="1">
        <v>6781</v>
      </c>
      <c r="BU165" s="1">
        <v>6745</v>
      </c>
      <c r="BV165" s="1">
        <v>6741</v>
      </c>
      <c r="BW165" s="1">
        <v>6683</v>
      </c>
      <c r="BX165" s="1">
        <v>6913</v>
      </c>
      <c r="BY165" s="1">
        <v>6603</v>
      </c>
      <c r="BZ165" s="1">
        <v>6664</v>
      </c>
    </row>
    <row r="166" spans="1:254" ht="15.9" customHeight="1">
      <c r="A166" s="78" t="s">
        <v>326</v>
      </c>
      <c r="B166" s="17" t="s">
        <v>327</v>
      </c>
      <c r="C166" s="543">
        <f>_xll.RssMarket("9733","始値")</f>
        <v>2285</v>
      </c>
      <c r="D166" s="23">
        <f t="shared" si="5"/>
        <v>0</v>
      </c>
      <c r="E166" s="550">
        <v>2285</v>
      </c>
      <c r="F166" s="21">
        <v>2312</v>
      </c>
      <c r="G166" s="21">
        <v>2320</v>
      </c>
      <c r="H166" s="21">
        <v>2338</v>
      </c>
      <c r="I166" s="21">
        <v>2336</v>
      </c>
      <c r="J166" s="21">
        <v>2347</v>
      </c>
      <c r="K166" s="21">
        <v>2307</v>
      </c>
      <c r="L166" s="21">
        <v>2300</v>
      </c>
      <c r="M166" s="21">
        <v>2272</v>
      </c>
      <c r="N166" s="21">
        <v>2220</v>
      </c>
      <c r="O166" s="21">
        <v>2363</v>
      </c>
      <c r="P166" s="21">
        <v>2353</v>
      </c>
      <c r="Q166" s="21">
        <v>2332</v>
      </c>
      <c r="R166" s="21">
        <v>2343</v>
      </c>
      <c r="S166" s="21">
        <v>2349</v>
      </c>
      <c r="T166" s="21">
        <v>2362</v>
      </c>
      <c r="U166" s="21">
        <v>2372</v>
      </c>
      <c r="V166" s="21">
        <v>2374</v>
      </c>
      <c r="W166" s="21">
        <v>2376</v>
      </c>
      <c r="X166" s="21">
        <v>2386</v>
      </c>
      <c r="Y166" s="21">
        <v>2398</v>
      </c>
      <c r="Z166" s="21">
        <v>2354</v>
      </c>
      <c r="AA166" s="21">
        <v>2330</v>
      </c>
      <c r="AB166" s="21">
        <v>2320</v>
      </c>
      <c r="AC166" s="21">
        <v>2300</v>
      </c>
      <c r="AD166" s="21">
        <v>2330</v>
      </c>
      <c r="AE166" s="21">
        <v>2278</v>
      </c>
      <c r="AF166" s="21">
        <v>2221</v>
      </c>
      <c r="AG166" s="21">
        <v>2220</v>
      </c>
      <c r="AH166" s="21">
        <v>2220</v>
      </c>
      <c r="AI166" s="21">
        <v>2220</v>
      </c>
      <c r="AJ166" s="21">
        <v>2212</v>
      </c>
      <c r="AK166" s="21">
        <v>2200</v>
      </c>
      <c r="AL166" s="21">
        <v>2201</v>
      </c>
      <c r="AM166" s="21">
        <v>2234</v>
      </c>
      <c r="AN166" s="21">
        <v>2235</v>
      </c>
      <c r="AO166" s="21">
        <v>2250</v>
      </c>
      <c r="AP166" s="21">
        <v>2230</v>
      </c>
      <c r="AQ166" s="21">
        <v>2246</v>
      </c>
      <c r="AR166" s="21">
        <v>2251</v>
      </c>
      <c r="AS166" s="21">
        <v>2190</v>
      </c>
      <c r="AT166" s="21">
        <v>2187</v>
      </c>
      <c r="AU166" s="21">
        <v>2201</v>
      </c>
      <c r="AV166" s="21">
        <v>2201</v>
      </c>
      <c r="AW166" s="21">
        <v>2232</v>
      </c>
      <c r="AX166" s="21">
        <v>2266</v>
      </c>
      <c r="AY166" s="21">
        <v>2241</v>
      </c>
      <c r="AZ166" s="21">
        <v>2255</v>
      </c>
      <c r="BA166" s="21">
        <v>2301</v>
      </c>
      <c r="BB166" s="21">
        <v>2313</v>
      </c>
      <c r="BC166" s="21">
        <v>2315</v>
      </c>
      <c r="BD166" s="21">
        <v>2320</v>
      </c>
      <c r="BE166" s="21">
        <v>2275</v>
      </c>
      <c r="BF166" s="21">
        <v>2280</v>
      </c>
      <c r="BG166" s="21">
        <v>2270</v>
      </c>
      <c r="BH166" s="21">
        <v>2272</v>
      </c>
      <c r="BI166" s="21">
        <v>2260</v>
      </c>
      <c r="BJ166" s="21">
        <v>2285</v>
      </c>
      <c r="BK166" s="21">
        <v>2280</v>
      </c>
      <c r="BL166" s="21">
        <v>2279</v>
      </c>
      <c r="BM166" s="1">
        <v>2340</v>
      </c>
      <c r="BN166" s="1">
        <v>2300</v>
      </c>
      <c r="BO166" s="1">
        <v>2335</v>
      </c>
      <c r="BP166" s="1">
        <v>2300</v>
      </c>
      <c r="BQ166" s="1">
        <v>2301</v>
      </c>
      <c r="BR166" s="1">
        <v>2345</v>
      </c>
      <c r="BS166" s="1">
        <v>2370</v>
      </c>
      <c r="BT166" s="1">
        <v>2352</v>
      </c>
      <c r="BU166" s="1">
        <v>2401</v>
      </c>
      <c r="BV166" s="1">
        <v>2460</v>
      </c>
      <c r="BW166" s="1">
        <v>2479</v>
      </c>
      <c r="BX166" s="1">
        <v>2448</v>
      </c>
      <c r="BY166" s="1">
        <v>2481</v>
      </c>
      <c r="BZ166" s="1">
        <v>2510</v>
      </c>
    </row>
    <row r="167" spans="1:254" ht="15.9" customHeight="1">
      <c r="A167" s="78" t="s">
        <v>328</v>
      </c>
      <c r="B167" s="17" t="s">
        <v>329</v>
      </c>
      <c r="C167" s="543">
        <f>_xll.RssMarket("9551","始値")</f>
        <v>3335</v>
      </c>
      <c r="D167" s="23">
        <f t="shared" si="5"/>
        <v>0</v>
      </c>
      <c r="E167" s="550">
        <v>3335</v>
      </c>
      <c r="F167" s="21">
        <v>3235</v>
      </c>
      <c r="G167" s="21">
        <v>3140</v>
      </c>
      <c r="H167" s="21">
        <v>3080</v>
      </c>
      <c r="I167" s="21">
        <v>3150</v>
      </c>
      <c r="J167" s="21">
        <v>2940</v>
      </c>
      <c r="K167" s="21">
        <v>3100</v>
      </c>
      <c r="L167" s="21">
        <v>3175</v>
      </c>
      <c r="M167" s="21">
        <v>3200</v>
      </c>
      <c r="N167" s="21"/>
      <c r="O167" s="21">
        <v>3210</v>
      </c>
      <c r="P167" s="21">
        <v>3230</v>
      </c>
      <c r="Q167" s="21">
        <v>3135</v>
      </c>
      <c r="R167" s="21">
        <v>3150</v>
      </c>
      <c r="S167" s="21">
        <v>3200</v>
      </c>
      <c r="T167" s="21">
        <v>3190</v>
      </c>
      <c r="U167" s="21">
        <v>3275</v>
      </c>
      <c r="V167" s="21">
        <v>3295</v>
      </c>
      <c r="W167" s="21">
        <v>3215</v>
      </c>
      <c r="X167" s="21">
        <v>3250</v>
      </c>
      <c r="Y167" s="21">
        <v>3350</v>
      </c>
      <c r="Z167" s="21">
        <v>3340</v>
      </c>
      <c r="AA167" s="21">
        <v>3320</v>
      </c>
      <c r="AB167" s="21">
        <v>3350</v>
      </c>
      <c r="AC167" s="21">
        <v>3350</v>
      </c>
      <c r="AD167" s="21">
        <v>3410</v>
      </c>
      <c r="AE167" s="21">
        <v>3575</v>
      </c>
      <c r="AF167" s="21">
        <v>3570</v>
      </c>
      <c r="AG167" s="21">
        <v>3600</v>
      </c>
      <c r="AH167" s="21">
        <v>3465</v>
      </c>
      <c r="AI167" s="21">
        <v>3565</v>
      </c>
      <c r="AJ167" s="21">
        <v>3475</v>
      </c>
      <c r="AK167" s="21">
        <v>3490</v>
      </c>
      <c r="AL167" s="21">
        <v>3435</v>
      </c>
      <c r="AM167" s="21">
        <v>3365</v>
      </c>
      <c r="AN167" s="21">
        <v>3375</v>
      </c>
      <c r="AO167" s="21">
        <v>3205</v>
      </c>
      <c r="AP167" s="21">
        <v>3145</v>
      </c>
      <c r="AQ167" s="21">
        <v>3110</v>
      </c>
      <c r="AR167" s="21">
        <v>3205</v>
      </c>
      <c r="AS167" s="21">
        <v>3200</v>
      </c>
      <c r="AT167" s="21">
        <v>3290</v>
      </c>
      <c r="AU167" s="21">
        <v>3280</v>
      </c>
      <c r="AV167" s="21">
        <v>3275</v>
      </c>
      <c r="AW167" s="21">
        <v>3320</v>
      </c>
      <c r="AX167" s="21">
        <v>3525</v>
      </c>
      <c r="AY167" s="21">
        <v>3245</v>
      </c>
      <c r="AZ167" s="21">
        <v>3320</v>
      </c>
      <c r="BA167" s="21">
        <v>3305</v>
      </c>
      <c r="BB167" s="21">
        <v>3295</v>
      </c>
      <c r="BC167" s="21">
        <v>3300</v>
      </c>
      <c r="BD167" s="21">
        <v>3265</v>
      </c>
      <c r="BE167" s="21">
        <v>3380</v>
      </c>
      <c r="BF167" s="21">
        <v>3490</v>
      </c>
      <c r="BG167" s="21">
        <v>3465</v>
      </c>
      <c r="BH167" s="21">
        <v>3440</v>
      </c>
      <c r="BI167" s="21">
        <v>3395</v>
      </c>
      <c r="BJ167" s="21">
        <v>3385</v>
      </c>
      <c r="BK167" s="21">
        <v>3440</v>
      </c>
      <c r="BL167" s="21">
        <v>3430</v>
      </c>
      <c r="BM167" s="1">
        <v>3435</v>
      </c>
      <c r="BN167" s="1">
        <v>3410</v>
      </c>
      <c r="BO167" s="1">
        <v>3360</v>
      </c>
      <c r="BP167" s="1">
        <v>3325</v>
      </c>
      <c r="BQ167" s="1">
        <v>3410</v>
      </c>
      <c r="BR167" s="1">
        <v>3665</v>
      </c>
      <c r="BS167" s="1">
        <v>3625</v>
      </c>
      <c r="BT167" s="1">
        <v>3690</v>
      </c>
      <c r="BU167" s="1">
        <v>3685</v>
      </c>
      <c r="BV167" s="1">
        <v>3735</v>
      </c>
      <c r="BW167" s="1">
        <v>3720</v>
      </c>
      <c r="BX167" s="1">
        <v>3665</v>
      </c>
      <c r="BY167" s="1">
        <v>3720</v>
      </c>
      <c r="BZ167" s="1">
        <v>3700</v>
      </c>
    </row>
    <row r="168" spans="1:254" ht="15.9" customHeight="1">
      <c r="A168" s="78" t="s">
        <v>330</v>
      </c>
      <c r="B168" s="17" t="s">
        <v>331</v>
      </c>
      <c r="C168" s="543">
        <f>_xll.RssMarket("2359","始値")</f>
        <v>2036</v>
      </c>
      <c r="D168" s="23">
        <f t="shared" si="5"/>
        <v>0</v>
      </c>
      <c r="E168" s="550">
        <v>2036</v>
      </c>
      <c r="F168" s="21">
        <v>2016</v>
      </c>
      <c r="G168" s="21">
        <v>2038</v>
      </c>
      <c r="H168" s="21">
        <v>2011</v>
      </c>
      <c r="I168" s="21">
        <v>2074</v>
      </c>
      <c r="J168" s="21">
        <v>2049</v>
      </c>
      <c r="K168" s="21">
        <v>2020</v>
      </c>
      <c r="L168" s="21">
        <v>2012</v>
      </c>
      <c r="M168" s="21">
        <v>2007</v>
      </c>
      <c r="N168" s="21"/>
      <c r="O168" s="21">
        <v>2005</v>
      </c>
      <c r="P168" s="21">
        <v>1985</v>
      </c>
      <c r="Q168" s="21">
        <v>1983</v>
      </c>
      <c r="R168" s="21">
        <v>1996</v>
      </c>
      <c r="S168" s="21">
        <v>2019</v>
      </c>
      <c r="T168" s="21">
        <v>2000</v>
      </c>
      <c r="U168" s="21">
        <v>2000</v>
      </c>
      <c r="V168" s="21">
        <v>1972</v>
      </c>
      <c r="W168" s="21">
        <v>1950</v>
      </c>
      <c r="X168" s="21">
        <v>1960</v>
      </c>
      <c r="Y168" s="21">
        <v>1964</v>
      </c>
      <c r="Z168" s="21">
        <v>1951</v>
      </c>
      <c r="AA168" s="21">
        <v>1960</v>
      </c>
      <c r="AB168" s="21">
        <v>1940</v>
      </c>
      <c r="AC168" s="21">
        <v>1952</v>
      </c>
      <c r="AD168" s="21">
        <v>1988</v>
      </c>
      <c r="AE168" s="21">
        <v>2015</v>
      </c>
      <c r="AF168" s="21">
        <v>2002</v>
      </c>
      <c r="AG168" s="21">
        <v>2024</v>
      </c>
      <c r="AH168" s="21">
        <v>2019</v>
      </c>
      <c r="AI168" s="21">
        <v>2016</v>
      </c>
      <c r="AJ168" s="21">
        <v>2038</v>
      </c>
      <c r="AK168" s="21">
        <v>2028</v>
      </c>
      <c r="AL168" s="21">
        <v>2020</v>
      </c>
      <c r="AM168" s="21">
        <v>2010</v>
      </c>
      <c r="AN168" s="21">
        <v>2007</v>
      </c>
      <c r="AO168" s="21">
        <v>2019</v>
      </c>
      <c r="AP168" s="21">
        <v>2006</v>
      </c>
      <c r="AQ168" s="21">
        <v>2027</v>
      </c>
      <c r="AR168" s="21">
        <v>2017</v>
      </c>
      <c r="AS168" s="21">
        <v>2033</v>
      </c>
      <c r="AT168" s="21">
        <v>2061</v>
      </c>
      <c r="AU168" s="21">
        <v>2021</v>
      </c>
      <c r="AV168" s="21">
        <v>2043</v>
      </c>
      <c r="AW168" s="21">
        <v>2034</v>
      </c>
      <c r="AX168" s="21">
        <v>2072</v>
      </c>
      <c r="AY168" s="21">
        <v>2037</v>
      </c>
      <c r="AZ168" s="21">
        <v>2095</v>
      </c>
      <c r="BA168" s="21">
        <v>2149</v>
      </c>
      <c r="BB168" s="21">
        <v>2125</v>
      </c>
      <c r="BC168" s="21">
        <v>2118</v>
      </c>
      <c r="BD168" s="21">
        <v>2086</v>
      </c>
      <c r="BE168" s="21">
        <v>2050</v>
      </c>
      <c r="BF168" s="21">
        <v>2050</v>
      </c>
      <c r="BG168" s="21">
        <v>2064</v>
      </c>
      <c r="BH168" s="21">
        <v>2051</v>
      </c>
      <c r="BI168" s="21">
        <v>2023</v>
      </c>
      <c r="BJ168" s="21">
        <v>2010</v>
      </c>
      <c r="BK168" s="21">
        <v>2027</v>
      </c>
      <c r="BL168" s="21">
        <v>1993</v>
      </c>
      <c r="BM168" s="1">
        <v>2035</v>
      </c>
      <c r="BN168" s="1">
        <v>2050</v>
      </c>
      <c r="BO168" s="1">
        <v>2055</v>
      </c>
      <c r="BP168" s="1">
        <v>2230</v>
      </c>
      <c r="BQ168" s="1">
        <v>2147</v>
      </c>
      <c r="BR168" s="1">
        <v>2167</v>
      </c>
      <c r="BS168" s="1">
        <v>2200</v>
      </c>
      <c r="BT168" s="1">
        <v>2248</v>
      </c>
      <c r="BU168" s="1">
        <v>2249</v>
      </c>
      <c r="BV168" s="1">
        <v>2251</v>
      </c>
      <c r="BW168" s="1">
        <v>2248</v>
      </c>
      <c r="BX168" s="1">
        <v>2243</v>
      </c>
      <c r="BY168" s="1">
        <v>2250</v>
      </c>
      <c r="BZ168" s="1">
        <v>2240</v>
      </c>
    </row>
    <row r="169" spans="1:254" ht="15.9" customHeight="1">
      <c r="A169" s="78" t="s">
        <v>332</v>
      </c>
      <c r="B169" s="17" t="s">
        <v>333</v>
      </c>
      <c r="C169" s="543">
        <f>_xll.RssMarket("8103","始値")</f>
        <v>890</v>
      </c>
      <c r="D169" s="23">
        <f t="shared" si="5"/>
        <v>0</v>
      </c>
      <c r="E169" s="550">
        <v>890</v>
      </c>
      <c r="F169" s="21">
        <v>891</v>
      </c>
      <c r="G169" s="21">
        <v>891</v>
      </c>
      <c r="H169" s="21">
        <v>896</v>
      </c>
      <c r="I169" s="21">
        <v>920</v>
      </c>
      <c r="J169" s="21">
        <v>923</v>
      </c>
      <c r="K169" s="21">
        <v>920</v>
      </c>
      <c r="L169" s="21">
        <v>920</v>
      </c>
      <c r="M169" s="21">
        <v>910</v>
      </c>
      <c r="N169" s="21">
        <v>908</v>
      </c>
      <c r="O169" s="21">
        <v>908</v>
      </c>
      <c r="P169" s="21">
        <v>911</v>
      </c>
      <c r="Q169" s="21">
        <v>895</v>
      </c>
      <c r="R169" s="21">
        <v>904</v>
      </c>
      <c r="S169" s="21">
        <v>908</v>
      </c>
      <c r="T169" s="21">
        <v>900</v>
      </c>
      <c r="U169" s="21">
        <v>918</v>
      </c>
      <c r="V169" s="21">
        <v>917</v>
      </c>
      <c r="W169" s="21">
        <v>907</v>
      </c>
      <c r="X169" s="21">
        <v>911</v>
      </c>
      <c r="Y169" s="21">
        <v>920</v>
      </c>
      <c r="Z169" s="21">
        <v>909</v>
      </c>
      <c r="AA169" s="21">
        <v>890</v>
      </c>
      <c r="AB169" s="21">
        <v>883</v>
      </c>
      <c r="AC169" s="21">
        <v>878</v>
      </c>
      <c r="AD169" s="21">
        <v>883</v>
      </c>
      <c r="AE169" s="21">
        <v>868</v>
      </c>
      <c r="AF169" s="21">
        <v>871</v>
      </c>
      <c r="AG169" s="21">
        <v>868</v>
      </c>
      <c r="AH169" s="21">
        <v>869</v>
      </c>
      <c r="AI169" s="21">
        <v>880</v>
      </c>
      <c r="AJ169" s="21">
        <v>869</v>
      </c>
      <c r="AK169" s="21">
        <v>868</v>
      </c>
      <c r="AL169" s="21">
        <v>875</v>
      </c>
      <c r="AM169" s="21">
        <v>876</v>
      </c>
      <c r="AN169" s="21">
        <v>880</v>
      </c>
      <c r="AO169" s="21">
        <v>872</v>
      </c>
      <c r="AP169" s="21">
        <v>862</v>
      </c>
      <c r="AQ169" s="21">
        <v>867</v>
      </c>
      <c r="AR169" s="21">
        <v>880</v>
      </c>
      <c r="AS169" s="21">
        <v>864</v>
      </c>
      <c r="AT169" s="21">
        <v>885</v>
      </c>
      <c r="AU169" s="21">
        <v>884</v>
      </c>
      <c r="AV169" s="21">
        <v>880</v>
      </c>
      <c r="AW169" s="21">
        <v>880</v>
      </c>
      <c r="AX169" s="21">
        <v>892</v>
      </c>
      <c r="AY169" s="21">
        <v>885</v>
      </c>
      <c r="AZ169" s="21">
        <v>899</v>
      </c>
      <c r="BA169" s="21">
        <v>903</v>
      </c>
      <c r="BB169" s="21">
        <v>894</v>
      </c>
      <c r="BC169" s="21">
        <v>898</v>
      </c>
      <c r="BD169" s="21">
        <v>908</v>
      </c>
      <c r="BE169" s="21">
        <v>912</v>
      </c>
      <c r="BF169" s="21">
        <v>900</v>
      </c>
      <c r="BG169" s="21">
        <v>907</v>
      </c>
      <c r="BH169" s="21">
        <v>900</v>
      </c>
      <c r="BI169" s="21">
        <v>881</v>
      </c>
      <c r="BJ169" s="21">
        <v>888</v>
      </c>
      <c r="BK169" s="21">
        <v>895</v>
      </c>
      <c r="BL169" s="21">
        <v>901</v>
      </c>
      <c r="BM169" s="1">
        <v>860</v>
      </c>
      <c r="BN169" s="1">
        <v>837</v>
      </c>
      <c r="BO169" s="1">
        <v>771</v>
      </c>
      <c r="BP169" s="1">
        <v>767</v>
      </c>
      <c r="BQ169" s="1">
        <v>770</v>
      </c>
      <c r="BR169" s="1">
        <v>767</v>
      </c>
      <c r="BS169" s="1">
        <v>770</v>
      </c>
      <c r="BT169" s="1">
        <v>773</v>
      </c>
      <c r="BU169" s="1">
        <v>782</v>
      </c>
      <c r="BV169" s="1">
        <v>783</v>
      </c>
      <c r="BW169" s="1">
        <v>780</v>
      </c>
      <c r="BX169" s="1">
        <v>773</v>
      </c>
      <c r="BY169" s="1">
        <v>782</v>
      </c>
      <c r="BZ169" s="1">
        <v>790</v>
      </c>
    </row>
    <row r="170" spans="1:254" ht="15.9" customHeight="1">
      <c r="A170" s="78" t="s">
        <v>334</v>
      </c>
      <c r="B170" s="17" t="s">
        <v>335</v>
      </c>
      <c r="C170" s="543">
        <f>_xll.RssMarket("4709","始値")</f>
        <v>1010</v>
      </c>
      <c r="D170" s="23">
        <f t="shared" si="5"/>
        <v>0</v>
      </c>
      <c r="E170" s="550">
        <v>1010</v>
      </c>
      <c r="F170" s="21">
        <v>1010</v>
      </c>
      <c r="G170" s="21">
        <v>1029</v>
      </c>
      <c r="H170" s="21">
        <v>1001</v>
      </c>
      <c r="I170" s="21">
        <v>1159</v>
      </c>
      <c r="J170" s="21">
        <v>1154</v>
      </c>
      <c r="K170" s="21">
        <v>1136</v>
      </c>
      <c r="L170" s="21">
        <v>1134</v>
      </c>
      <c r="M170" s="21">
        <v>1114</v>
      </c>
      <c r="N170" s="21">
        <v>1095</v>
      </c>
      <c r="O170" s="21">
        <v>1104</v>
      </c>
      <c r="P170" s="21">
        <v>1107</v>
      </c>
      <c r="Q170" s="21">
        <v>1125</v>
      </c>
      <c r="R170" s="21">
        <v>1115</v>
      </c>
      <c r="S170" s="21">
        <v>1114</v>
      </c>
      <c r="T170" s="21">
        <v>1111</v>
      </c>
      <c r="U170" s="21">
        <v>1100</v>
      </c>
      <c r="V170" s="21">
        <v>1099</v>
      </c>
      <c r="W170" s="21">
        <v>1093</v>
      </c>
      <c r="X170" s="21">
        <v>1085</v>
      </c>
      <c r="Y170" s="21">
        <v>1078</v>
      </c>
      <c r="Z170" s="21">
        <v>1072</v>
      </c>
      <c r="AA170" s="21">
        <v>1072</v>
      </c>
      <c r="AB170" s="21">
        <v>1057</v>
      </c>
      <c r="AC170" s="21">
        <v>1072</v>
      </c>
      <c r="AD170" s="21">
        <v>1070</v>
      </c>
      <c r="AE170" s="21">
        <v>1064</v>
      </c>
      <c r="AF170" s="21">
        <v>1050</v>
      </c>
      <c r="AG170" s="21">
        <v>1044</v>
      </c>
      <c r="AH170" s="21">
        <v>1055</v>
      </c>
      <c r="AI170" s="21">
        <v>1047</v>
      </c>
      <c r="AJ170" s="21">
        <v>1054</v>
      </c>
      <c r="AK170" s="21">
        <v>1071</v>
      </c>
      <c r="AL170" s="21">
        <v>1090</v>
      </c>
      <c r="AM170" s="21">
        <v>1112</v>
      </c>
      <c r="AN170" s="21">
        <v>1080</v>
      </c>
      <c r="AO170" s="21">
        <v>1062</v>
      </c>
      <c r="AP170" s="21">
        <v>1045</v>
      </c>
      <c r="AQ170" s="21">
        <v>1097</v>
      </c>
      <c r="AR170" s="21">
        <v>1042</v>
      </c>
      <c r="AS170" s="21">
        <v>995</v>
      </c>
      <c r="AT170" s="21">
        <v>998</v>
      </c>
      <c r="AU170" s="21">
        <v>992</v>
      </c>
      <c r="AV170" s="21">
        <v>1024</v>
      </c>
      <c r="AW170" s="21">
        <v>1028</v>
      </c>
      <c r="AX170" s="21">
        <v>1032</v>
      </c>
      <c r="AY170" s="21">
        <v>1008</v>
      </c>
      <c r="AZ170" s="21">
        <v>1015</v>
      </c>
      <c r="BA170" s="21">
        <v>1049</v>
      </c>
      <c r="BB170" s="21">
        <v>1043</v>
      </c>
      <c r="BC170" s="21">
        <v>1046</v>
      </c>
      <c r="BD170" s="21">
        <v>1047</v>
      </c>
      <c r="BE170" s="21">
        <v>1017</v>
      </c>
      <c r="BF170" s="21">
        <v>1036</v>
      </c>
      <c r="BG170" s="21">
        <v>1018</v>
      </c>
      <c r="BH170" s="21">
        <v>1065</v>
      </c>
      <c r="BI170" s="21">
        <v>1075</v>
      </c>
      <c r="BJ170" s="21">
        <v>1074</v>
      </c>
      <c r="BK170" s="21">
        <v>1058</v>
      </c>
      <c r="BL170" s="21">
        <v>1035</v>
      </c>
      <c r="BM170" s="1">
        <v>1040</v>
      </c>
      <c r="BN170" s="1">
        <v>1024</v>
      </c>
      <c r="BO170" s="1">
        <v>896</v>
      </c>
      <c r="BP170" s="1">
        <v>899</v>
      </c>
      <c r="BQ170" s="1">
        <v>890</v>
      </c>
      <c r="BR170" s="1">
        <v>896</v>
      </c>
      <c r="BS170" s="1">
        <v>905</v>
      </c>
      <c r="BT170" s="1">
        <v>918</v>
      </c>
      <c r="BU170" s="1">
        <v>922</v>
      </c>
      <c r="BV170" s="1">
        <v>946</v>
      </c>
      <c r="BW170" s="1">
        <v>932</v>
      </c>
      <c r="BX170" s="1">
        <v>941</v>
      </c>
      <c r="BY170" s="1">
        <v>918</v>
      </c>
      <c r="BZ170" s="1">
        <v>930</v>
      </c>
    </row>
    <row r="171" spans="1:254" ht="15.9" customHeight="1">
      <c r="A171" s="78" t="s">
        <v>336</v>
      </c>
      <c r="B171" s="17" t="s">
        <v>337</v>
      </c>
      <c r="C171" s="543">
        <f>_xll.RssMarket("7981","始値")</f>
        <v>2999</v>
      </c>
      <c r="D171" s="23">
        <f t="shared" si="5"/>
        <v>0</v>
      </c>
      <c r="E171" s="550">
        <v>2999</v>
      </c>
      <c r="F171" s="21">
        <v>2990</v>
      </c>
      <c r="G171" s="21">
        <v>3045</v>
      </c>
      <c r="H171" s="21">
        <v>2970</v>
      </c>
      <c r="I171" s="21">
        <v>3025</v>
      </c>
      <c r="J171" s="21">
        <v>3290</v>
      </c>
      <c r="K171" s="21">
        <v>3310</v>
      </c>
      <c r="L171" s="21">
        <v>3250</v>
      </c>
      <c r="M171" s="21">
        <v>3190</v>
      </c>
      <c r="N171" s="21">
        <v>3095</v>
      </c>
      <c r="O171" s="21">
        <v>3085</v>
      </c>
      <c r="P171" s="21">
        <v>3115</v>
      </c>
      <c r="Q171" s="21">
        <v>3050</v>
      </c>
      <c r="R171" s="21">
        <v>3090</v>
      </c>
      <c r="S171" s="21">
        <v>3105</v>
      </c>
      <c r="T171" s="21">
        <v>3060</v>
      </c>
      <c r="U171" s="21">
        <v>3060</v>
      </c>
      <c r="V171" s="21">
        <v>3095</v>
      </c>
      <c r="W171" s="21">
        <v>3065</v>
      </c>
      <c r="X171" s="21">
        <v>3110</v>
      </c>
      <c r="Y171" s="21">
        <v>3145</v>
      </c>
      <c r="Z171" s="21">
        <v>3110</v>
      </c>
      <c r="AA171" s="21">
        <v>3100</v>
      </c>
      <c r="AB171" s="21">
        <v>3055</v>
      </c>
      <c r="AC171" s="21">
        <v>3110</v>
      </c>
      <c r="AD171" s="21">
        <v>3095</v>
      </c>
      <c r="AE171" s="21">
        <v>3115</v>
      </c>
      <c r="AF171" s="21">
        <v>3135</v>
      </c>
      <c r="AG171" s="21">
        <v>3140</v>
      </c>
      <c r="AH171" s="21">
        <v>3070</v>
      </c>
      <c r="AI171" s="21">
        <v>3060</v>
      </c>
      <c r="AJ171" s="21">
        <v>3005</v>
      </c>
      <c r="AK171" s="21">
        <v>3060</v>
      </c>
      <c r="AL171" s="21">
        <v>3025</v>
      </c>
      <c r="AM171" s="21">
        <v>3010</v>
      </c>
      <c r="AN171" s="21">
        <v>3015</v>
      </c>
      <c r="AO171" s="21">
        <v>3010</v>
      </c>
      <c r="AP171" s="21">
        <v>2999</v>
      </c>
      <c r="AQ171" s="21">
        <v>2951</v>
      </c>
      <c r="AR171" s="21">
        <v>2962</v>
      </c>
      <c r="AS171" s="21">
        <v>2917</v>
      </c>
      <c r="AT171" s="21">
        <v>2944</v>
      </c>
      <c r="AU171" s="21">
        <v>2924</v>
      </c>
      <c r="AV171" s="21">
        <v>2923</v>
      </c>
      <c r="AW171" s="21">
        <v>2932</v>
      </c>
      <c r="AX171" s="21">
        <v>2935</v>
      </c>
      <c r="AY171" s="21">
        <v>2975</v>
      </c>
      <c r="AZ171" s="21">
        <v>2946</v>
      </c>
      <c r="BA171" s="21">
        <v>2973</v>
      </c>
      <c r="BB171" s="21">
        <v>2900</v>
      </c>
      <c r="BC171" s="21">
        <v>2945</v>
      </c>
      <c r="BD171" s="21">
        <v>2945</v>
      </c>
      <c r="BE171" s="21">
        <v>2925</v>
      </c>
      <c r="BF171" s="21">
        <v>2990</v>
      </c>
      <c r="BG171" s="21">
        <v>3005</v>
      </c>
      <c r="BH171" s="21">
        <v>2988</v>
      </c>
      <c r="BI171" s="21">
        <v>3025</v>
      </c>
      <c r="BJ171" s="21">
        <v>3095</v>
      </c>
      <c r="BK171" s="21">
        <v>3050</v>
      </c>
      <c r="BL171" s="21">
        <v>3200</v>
      </c>
      <c r="BM171" s="1">
        <v>3045</v>
      </c>
      <c r="BN171" s="1">
        <v>2992</v>
      </c>
      <c r="BO171" s="1">
        <v>2811</v>
      </c>
      <c r="BP171" s="1">
        <v>2750</v>
      </c>
      <c r="BQ171" s="1">
        <v>2675</v>
      </c>
      <c r="BR171" s="1">
        <v>2668</v>
      </c>
      <c r="BS171" s="1">
        <v>2660</v>
      </c>
      <c r="BT171" s="1">
        <v>2675</v>
      </c>
      <c r="BU171" s="1">
        <v>2714</v>
      </c>
      <c r="BV171" s="1">
        <v>2749</v>
      </c>
      <c r="BW171" s="1">
        <v>2771</v>
      </c>
      <c r="BX171" s="1">
        <v>2755</v>
      </c>
      <c r="BY171" s="1">
        <v>2698</v>
      </c>
      <c r="BZ171" s="1">
        <v>2763</v>
      </c>
    </row>
    <row r="172" spans="1:254" ht="15.9" customHeight="1">
      <c r="A172" s="78" t="s">
        <v>338</v>
      </c>
      <c r="B172" s="17" t="s">
        <v>339</v>
      </c>
      <c r="C172" s="543">
        <f>_xll.RssMarket("8303","始値")</f>
        <v>1525</v>
      </c>
      <c r="D172" s="23">
        <f t="shared" si="5"/>
        <v>0</v>
      </c>
      <c r="E172" s="550">
        <v>1525</v>
      </c>
      <c r="F172" s="21">
        <v>1449.5</v>
      </c>
      <c r="G172" s="21">
        <v>1462.5</v>
      </c>
      <c r="H172" s="21">
        <v>1501</v>
      </c>
      <c r="I172" s="21">
        <v>1421</v>
      </c>
      <c r="J172" s="21">
        <v>1418</v>
      </c>
      <c r="K172" s="21">
        <v>1447.5</v>
      </c>
      <c r="L172" s="21">
        <v>1459</v>
      </c>
      <c r="M172" s="21">
        <v>1433</v>
      </c>
      <c r="N172" s="21">
        <v>1425</v>
      </c>
      <c r="O172" s="21">
        <v>1441.5</v>
      </c>
      <c r="P172" s="21">
        <v>1451</v>
      </c>
      <c r="Q172" s="21">
        <v>1419.5</v>
      </c>
      <c r="R172" s="21">
        <v>1451</v>
      </c>
      <c r="S172" s="21">
        <v>1465</v>
      </c>
      <c r="T172" s="21">
        <v>1455</v>
      </c>
      <c r="U172" s="21">
        <v>1457</v>
      </c>
      <c r="V172" s="21">
        <v>1455</v>
      </c>
      <c r="W172" s="21">
        <v>1460</v>
      </c>
      <c r="X172" s="21">
        <v>1489</v>
      </c>
      <c r="Y172" s="21">
        <v>1490</v>
      </c>
      <c r="Z172" s="21">
        <v>1456.5</v>
      </c>
      <c r="AA172" s="21">
        <v>1431</v>
      </c>
      <c r="AB172" s="21">
        <v>1392</v>
      </c>
      <c r="AC172" s="21">
        <v>1380</v>
      </c>
      <c r="AD172" s="21">
        <v>1416</v>
      </c>
      <c r="AE172" s="21">
        <v>1402</v>
      </c>
      <c r="AF172" s="21">
        <v>1392.5</v>
      </c>
      <c r="AG172" s="21">
        <v>1435</v>
      </c>
      <c r="AH172" s="21">
        <v>1410</v>
      </c>
      <c r="AI172" s="21">
        <v>1423</v>
      </c>
      <c r="AJ172" s="21">
        <v>1440</v>
      </c>
      <c r="AK172" s="21">
        <v>1492.5</v>
      </c>
      <c r="AL172" s="21">
        <v>1453</v>
      </c>
      <c r="AM172" s="21">
        <v>1470</v>
      </c>
      <c r="AN172" s="21">
        <v>1493</v>
      </c>
      <c r="AO172" s="21">
        <v>1476</v>
      </c>
      <c r="AP172" s="21">
        <v>1420</v>
      </c>
      <c r="AQ172" s="21">
        <v>1460</v>
      </c>
      <c r="AR172" s="21">
        <v>1491</v>
      </c>
      <c r="AS172" s="21">
        <v>1366</v>
      </c>
      <c r="AT172" s="21">
        <v>1448</v>
      </c>
      <c r="AU172" s="21">
        <v>1401.5</v>
      </c>
      <c r="AV172" s="21">
        <v>1364</v>
      </c>
      <c r="AW172" s="21">
        <v>1351</v>
      </c>
      <c r="AX172" s="21">
        <v>1369</v>
      </c>
      <c r="AY172" s="21">
        <v>1392</v>
      </c>
      <c r="AZ172" s="21">
        <v>1412.5</v>
      </c>
      <c r="BA172" s="21">
        <v>1480</v>
      </c>
      <c r="BB172" s="21">
        <v>1501</v>
      </c>
      <c r="BC172" s="21">
        <v>1571</v>
      </c>
      <c r="BD172" s="21">
        <v>1595.5</v>
      </c>
      <c r="BE172" s="21">
        <v>1640</v>
      </c>
      <c r="BF172" s="21">
        <v>1647</v>
      </c>
      <c r="BG172" s="21">
        <v>1618</v>
      </c>
      <c r="BH172" s="21">
        <v>1651</v>
      </c>
      <c r="BI172" s="21">
        <v>1650</v>
      </c>
      <c r="BJ172" s="21">
        <v>1640</v>
      </c>
      <c r="BK172" s="21">
        <v>1669</v>
      </c>
      <c r="BL172" s="21">
        <v>1679</v>
      </c>
      <c r="BM172" s="1">
        <v>1718.5</v>
      </c>
      <c r="BN172" s="1">
        <v>1828.5</v>
      </c>
      <c r="BO172" s="1">
        <v>1826</v>
      </c>
      <c r="BP172" s="1">
        <v>1760</v>
      </c>
      <c r="BQ172" s="1">
        <v>1683</v>
      </c>
      <c r="BR172" s="1">
        <v>1690</v>
      </c>
      <c r="BS172" s="1">
        <v>1620</v>
      </c>
      <c r="BT172" s="1">
        <v>1658.5</v>
      </c>
      <c r="BU172" s="1">
        <v>1677</v>
      </c>
      <c r="BV172" s="1">
        <v>1690</v>
      </c>
      <c r="BW172" s="1">
        <v>1717</v>
      </c>
      <c r="BX172" s="1">
        <v>1703</v>
      </c>
      <c r="BY172" s="1">
        <v>1685</v>
      </c>
      <c r="BZ172" s="1">
        <v>1697</v>
      </c>
    </row>
    <row r="173" spans="1:254" ht="15.9" customHeight="1">
      <c r="A173" s="78" t="s">
        <v>340</v>
      </c>
      <c r="B173" s="17" t="s">
        <v>341</v>
      </c>
      <c r="C173" s="543">
        <f>_xll.RssMarket("4382","始値")</f>
        <v>713</v>
      </c>
      <c r="D173" s="23">
        <f t="shared" si="5"/>
        <v>0</v>
      </c>
      <c r="E173" s="550">
        <v>713</v>
      </c>
      <c r="F173" s="21">
        <v>706</v>
      </c>
      <c r="G173" s="21">
        <v>701</v>
      </c>
      <c r="H173" s="21">
        <v>701</v>
      </c>
      <c r="I173" s="21">
        <v>705</v>
      </c>
      <c r="J173" s="21">
        <v>696</v>
      </c>
      <c r="K173" s="21">
        <v>697</v>
      </c>
      <c r="L173" s="21">
        <v>703</v>
      </c>
      <c r="M173" s="21">
        <v>699</v>
      </c>
      <c r="N173" s="21"/>
      <c r="O173" s="21">
        <v>706</v>
      </c>
      <c r="P173" s="21">
        <v>704</v>
      </c>
      <c r="Q173" s="21">
        <v>705</v>
      </c>
      <c r="R173" s="21">
        <v>726</v>
      </c>
      <c r="S173" s="21">
        <v>714</v>
      </c>
      <c r="T173" s="21">
        <v>695</v>
      </c>
      <c r="U173" s="21">
        <v>702</v>
      </c>
      <c r="V173" s="21">
        <v>695</v>
      </c>
      <c r="W173" s="21">
        <v>720</v>
      </c>
      <c r="X173" s="21">
        <v>719</v>
      </c>
      <c r="Y173" s="21">
        <v>724</v>
      </c>
      <c r="Z173" s="21">
        <v>724</v>
      </c>
      <c r="AA173" s="21">
        <v>713</v>
      </c>
      <c r="AB173" s="21">
        <v>718</v>
      </c>
      <c r="AC173" s="21">
        <v>720</v>
      </c>
      <c r="AD173" s="21">
        <v>742</v>
      </c>
      <c r="AE173" s="21">
        <v>720</v>
      </c>
      <c r="AF173" s="21">
        <v>720</v>
      </c>
      <c r="AG173" s="21">
        <v>715</v>
      </c>
      <c r="AH173" s="21">
        <v>712</v>
      </c>
      <c r="AI173" s="21">
        <v>730</v>
      </c>
      <c r="AJ173" s="21">
        <v>730</v>
      </c>
      <c r="AK173" s="21">
        <v>770</v>
      </c>
      <c r="AL173" s="21">
        <v>795</v>
      </c>
      <c r="AM173" s="21">
        <v>792</v>
      </c>
      <c r="AN173" s="21">
        <v>788</v>
      </c>
      <c r="AO173" s="21">
        <v>849</v>
      </c>
      <c r="AP173" s="21">
        <v>782</v>
      </c>
      <c r="AQ173" s="21">
        <v>751</v>
      </c>
      <c r="AR173" s="21">
        <v>810</v>
      </c>
      <c r="AS173" s="21">
        <v>698</v>
      </c>
      <c r="AT173" s="21">
        <v>696</v>
      </c>
      <c r="AU173" s="21">
        <v>698</v>
      </c>
      <c r="AV173" s="21">
        <v>701</v>
      </c>
      <c r="AW173" s="21">
        <v>703</v>
      </c>
      <c r="AX173" s="21">
        <v>720</v>
      </c>
      <c r="AY173" s="21">
        <v>747</v>
      </c>
      <c r="AZ173" s="21">
        <v>751</v>
      </c>
      <c r="BA173" s="21">
        <v>771</v>
      </c>
      <c r="BB173" s="21">
        <v>766</v>
      </c>
      <c r="BC173" s="21">
        <v>765</v>
      </c>
      <c r="BD173" s="21">
        <v>774</v>
      </c>
      <c r="BE173" s="21">
        <v>762</v>
      </c>
      <c r="BF173" s="21">
        <v>762</v>
      </c>
      <c r="BG173" s="21">
        <v>775</v>
      </c>
      <c r="BH173" s="21">
        <v>781</v>
      </c>
      <c r="BI173" s="21">
        <v>786</v>
      </c>
      <c r="BJ173" s="21">
        <v>787</v>
      </c>
      <c r="BK173" s="21">
        <v>804</v>
      </c>
      <c r="BL173" s="21">
        <v>805</v>
      </c>
      <c r="BM173" s="1">
        <v>821</v>
      </c>
      <c r="BN173" s="1">
        <v>812</v>
      </c>
      <c r="BO173" s="1">
        <v>810</v>
      </c>
      <c r="BP173" s="1">
        <v>812</v>
      </c>
      <c r="BQ173" s="1">
        <v>831</v>
      </c>
      <c r="BR173" s="1">
        <v>843</v>
      </c>
      <c r="BS173" s="1">
        <v>851</v>
      </c>
      <c r="BT173" s="1">
        <v>860</v>
      </c>
      <c r="BU173" s="1">
        <v>860</v>
      </c>
      <c r="BV173" s="1">
        <v>881</v>
      </c>
      <c r="BW173" s="1">
        <v>900</v>
      </c>
      <c r="BX173" s="1">
        <v>879</v>
      </c>
      <c r="BY173" s="1">
        <v>872</v>
      </c>
      <c r="BZ173" s="1">
        <v>869</v>
      </c>
    </row>
    <row r="174" spans="1:254" ht="15.9" customHeight="1">
      <c r="A174" s="78" t="s">
        <v>342</v>
      </c>
      <c r="B174" s="17" t="s">
        <v>343</v>
      </c>
      <c r="C174" s="543">
        <f>_xll.RssMarket("2327","始値")</f>
        <v>3670</v>
      </c>
      <c r="D174" s="23">
        <f t="shared" si="5"/>
        <v>0</v>
      </c>
      <c r="E174" s="550">
        <v>3670</v>
      </c>
      <c r="F174" s="21">
        <v>3710</v>
      </c>
      <c r="G174" s="21">
        <v>3726</v>
      </c>
      <c r="H174" s="21">
        <v>3845</v>
      </c>
      <c r="I174" s="21">
        <v>3890</v>
      </c>
      <c r="J174" s="21">
        <v>3994</v>
      </c>
      <c r="K174" s="21">
        <v>3980</v>
      </c>
      <c r="L174" s="21">
        <v>3930</v>
      </c>
      <c r="M174" s="21">
        <v>3845</v>
      </c>
      <c r="N174" s="21">
        <v>3695</v>
      </c>
      <c r="O174" s="21">
        <v>3707</v>
      </c>
      <c r="P174" s="21">
        <v>3786</v>
      </c>
      <c r="Q174" s="21">
        <v>3897</v>
      </c>
      <c r="R174" s="21">
        <v>3834</v>
      </c>
      <c r="S174" s="21">
        <v>3829</v>
      </c>
      <c r="T174" s="21">
        <v>3800</v>
      </c>
      <c r="U174" s="21">
        <v>3788</v>
      </c>
      <c r="V174" s="21">
        <v>3739</v>
      </c>
      <c r="W174" s="21">
        <v>3738</v>
      </c>
      <c r="X174" s="21">
        <v>3785</v>
      </c>
      <c r="Y174" s="21">
        <v>3697</v>
      </c>
      <c r="Z174" s="21">
        <v>3590</v>
      </c>
      <c r="AA174" s="21">
        <v>3603</v>
      </c>
      <c r="AB174" s="21">
        <v>3439</v>
      </c>
      <c r="AC174" s="21">
        <v>3390</v>
      </c>
      <c r="AD174" s="21">
        <v>3392</v>
      </c>
      <c r="AE174" s="21">
        <v>3306</v>
      </c>
      <c r="AF174" s="21">
        <v>3214</v>
      </c>
      <c r="AG174" s="21">
        <v>3261</v>
      </c>
      <c r="AH174" s="21">
        <v>3182</v>
      </c>
      <c r="AI174" s="21">
        <v>3228</v>
      </c>
      <c r="AJ174" s="21">
        <v>3206</v>
      </c>
      <c r="AK174" s="21">
        <v>3243</v>
      </c>
      <c r="AL174" s="21">
        <v>3116</v>
      </c>
      <c r="AM174" s="21">
        <v>3133</v>
      </c>
      <c r="AN174" s="21">
        <v>3220</v>
      </c>
      <c r="AO174" s="21">
        <v>3250</v>
      </c>
      <c r="AP174" s="21">
        <v>3234</v>
      </c>
      <c r="AQ174" s="21">
        <v>3243</v>
      </c>
      <c r="AR174" s="21">
        <v>3285</v>
      </c>
      <c r="AS174" s="21">
        <v>3351</v>
      </c>
      <c r="AT174" s="21">
        <v>3480</v>
      </c>
      <c r="AU174" s="21">
        <v>3362</v>
      </c>
      <c r="AV174" s="21">
        <v>3512</v>
      </c>
      <c r="AW174" s="21">
        <v>3570</v>
      </c>
      <c r="AX174" s="21">
        <v>3499</v>
      </c>
      <c r="AY174" s="21">
        <v>3568</v>
      </c>
      <c r="AZ174" s="21">
        <v>3607</v>
      </c>
      <c r="BA174" s="21">
        <v>3598</v>
      </c>
      <c r="BB174" s="21">
        <v>3516</v>
      </c>
      <c r="BC174" s="21">
        <v>3542</v>
      </c>
      <c r="BD174" s="21">
        <v>3600</v>
      </c>
      <c r="BE174" s="21">
        <v>3548</v>
      </c>
      <c r="BF174" s="21">
        <v>3510</v>
      </c>
      <c r="BG174" s="21">
        <v>3500</v>
      </c>
      <c r="BH174" s="21">
        <v>3515</v>
      </c>
      <c r="BI174" s="21">
        <v>3639</v>
      </c>
      <c r="BJ174" s="21">
        <v>3630</v>
      </c>
      <c r="BK174" s="21">
        <v>3638</v>
      </c>
      <c r="BL174" s="21">
        <v>3643</v>
      </c>
      <c r="BM174" s="1">
        <v>3586</v>
      </c>
      <c r="BN174" s="1">
        <v>3536</v>
      </c>
      <c r="BO174" s="1">
        <v>3641</v>
      </c>
      <c r="BP174" s="1">
        <v>3524</v>
      </c>
      <c r="BQ174" s="1">
        <v>3680</v>
      </c>
      <c r="BR174" s="1">
        <v>3638</v>
      </c>
      <c r="BS174" s="1">
        <v>3833</v>
      </c>
      <c r="BT174" s="1">
        <v>3881</v>
      </c>
      <c r="BU174" s="1">
        <v>3879</v>
      </c>
      <c r="BV174" s="1">
        <v>3897</v>
      </c>
      <c r="BW174" s="1">
        <v>3903</v>
      </c>
      <c r="BX174" s="1">
        <v>3933</v>
      </c>
      <c r="BY174" s="1">
        <v>3820</v>
      </c>
      <c r="BZ174" s="1">
        <v>3790</v>
      </c>
    </row>
    <row r="175" spans="1:254" ht="15.9" customHeight="1">
      <c r="A175" s="78" t="s">
        <v>344</v>
      </c>
      <c r="B175" s="17" t="s">
        <v>345</v>
      </c>
      <c r="C175" s="543">
        <f>_xll.RssMarket("1942","始値")</f>
        <v>5815</v>
      </c>
      <c r="D175" s="23">
        <f t="shared" si="5"/>
        <v>0</v>
      </c>
      <c r="E175" s="550">
        <v>5815</v>
      </c>
      <c r="F175" s="21">
        <v>5584</v>
      </c>
      <c r="G175" s="21">
        <v>5333</v>
      </c>
      <c r="H175" s="21">
        <v>5268</v>
      </c>
      <c r="I175" s="21">
        <v>5688</v>
      </c>
      <c r="J175" s="21">
        <v>5525</v>
      </c>
      <c r="K175" s="21">
        <v>5950</v>
      </c>
      <c r="L175" s="21">
        <v>5990</v>
      </c>
      <c r="M175" s="21">
        <v>6074</v>
      </c>
      <c r="N175" s="21">
        <v>5971</v>
      </c>
      <c r="O175" s="21">
        <v>5980</v>
      </c>
      <c r="P175" s="21">
        <v>5995</v>
      </c>
      <c r="Q175" s="21">
        <v>5900</v>
      </c>
      <c r="R175" s="21">
        <v>6000</v>
      </c>
      <c r="S175" s="21">
        <v>6244</v>
      </c>
      <c r="T175" s="21">
        <v>6135</v>
      </c>
      <c r="U175" s="21">
        <v>6360</v>
      </c>
      <c r="V175" s="21">
        <v>6282</v>
      </c>
      <c r="W175" s="21">
        <v>6400</v>
      </c>
      <c r="X175" s="21">
        <v>6672</v>
      </c>
      <c r="Y175" s="21">
        <v>6773</v>
      </c>
      <c r="Z175" s="21">
        <v>6833</v>
      </c>
      <c r="AA175" s="21">
        <v>6675</v>
      </c>
      <c r="AB175" s="21">
        <v>6676</v>
      </c>
      <c r="AC175" s="21">
        <v>6795</v>
      </c>
      <c r="AD175" s="21">
        <v>6850</v>
      </c>
      <c r="AE175" s="21">
        <v>6740</v>
      </c>
      <c r="AF175" s="21">
        <v>6640</v>
      </c>
      <c r="AG175" s="21">
        <v>6832</v>
      </c>
      <c r="AH175" s="21">
        <v>6735</v>
      </c>
      <c r="AI175" s="21">
        <v>6797</v>
      </c>
      <c r="AJ175" s="21">
        <v>6720</v>
      </c>
      <c r="AK175" s="21">
        <v>6660</v>
      </c>
      <c r="AL175" s="21">
        <v>6499</v>
      </c>
      <c r="AM175" s="21">
        <v>6400</v>
      </c>
      <c r="AN175" s="21">
        <v>6320</v>
      </c>
      <c r="AO175" s="21">
        <v>6163</v>
      </c>
      <c r="AP175" s="21">
        <v>5944</v>
      </c>
      <c r="AQ175" s="21">
        <v>5862</v>
      </c>
      <c r="AR175" s="21">
        <v>6033</v>
      </c>
      <c r="AS175" s="21">
        <v>5814</v>
      </c>
      <c r="AT175" s="21">
        <v>5823</v>
      </c>
      <c r="AU175" s="21">
        <v>5820</v>
      </c>
      <c r="AV175" s="21">
        <v>6000</v>
      </c>
      <c r="AW175" s="21">
        <v>6007</v>
      </c>
      <c r="AX175" s="21">
        <v>6579</v>
      </c>
      <c r="AY175" s="21">
        <v>6492</v>
      </c>
      <c r="AZ175" s="21">
        <v>6682</v>
      </c>
      <c r="BA175" s="21">
        <v>6060</v>
      </c>
      <c r="BB175" s="21">
        <v>6105</v>
      </c>
      <c r="BC175" s="21">
        <v>6250</v>
      </c>
      <c r="BD175" s="21">
        <v>6322</v>
      </c>
      <c r="BE175" s="21">
        <v>6500</v>
      </c>
      <c r="BF175" s="21">
        <v>6800</v>
      </c>
      <c r="BG175" s="21">
        <v>6968</v>
      </c>
      <c r="BH175" s="21">
        <v>7250</v>
      </c>
      <c r="BI175" s="21">
        <v>7280</v>
      </c>
      <c r="BJ175" s="21">
        <v>7270</v>
      </c>
      <c r="BK175" s="21">
        <v>7050</v>
      </c>
      <c r="BL175" s="21">
        <v>6912</v>
      </c>
      <c r="BM175" s="1">
        <v>6834</v>
      </c>
      <c r="BN175" s="1">
        <v>6900</v>
      </c>
      <c r="BO175" s="1">
        <v>6697</v>
      </c>
      <c r="BP175" s="1">
        <v>6412</v>
      </c>
      <c r="BQ175" s="1">
        <v>6004</v>
      </c>
      <c r="BR175" s="1">
        <v>6096</v>
      </c>
      <c r="BS175" s="1">
        <v>6002</v>
      </c>
      <c r="BT175" s="1">
        <v>6122</v>
      </c>
      <c r="BU175" s="1">
        <v>6167</v>
      </c>
      <c r="BV175" s="1">
        <v>6190</v>
      </c>
      <c r="BW175" s="1">
        <v>6154</v>
      </c>
      <c r="BX175" s="1">
        <v>6091</v>
      </c>
      <c r="BY175" s="1">
        <v>6375</v>
      </c>
      <c r="BZ175" s="1">
        <v>6280</v>
      </c>
    </row>
    <row r="176" spans="1:254" ht="15.9" customHeight="1">
      <c r="A176" s="78" t="s">
        <v>346</v>
      </c>
      <c r="B176" s="17" t="s">
        <v>347</v>
      </c>
      <c r="C176" s="543">
        <f>_xll.RssMarket("1938","始値")</f>
        <v>2506</v>
      </c>
      <c r="D176" s="23">
        <f t="shared" si="5"/>
        <v>0</v>
      </c>
      <c r="E176" s="550">
        <v>2506</v>
      </c>
      <c r="F176" s="21">
        <v>2462</v>
      </c>
      <c r="G176" s="21">
        <v>2392</v>
      </c>
      <c r="H176" s="21">
        <v>2404</v>
      </c>
      <c r="I176" s="21">
        <v>2454</v>
      </c>
      <c r="J176" s="21">
        <v>2372</v>
      </c>
      <c r="K176" s="21">
        <v>2466</v>
      </c>
      <c r="L176" s="21">
        <v>2499</v>
      </c>
      <c r="M176" s="21">
        <v>2514</v>
      </c>
      <c r="N176" s="21">
        <v>2517</v>
      </c>
      <c r="O176" s="21">
        <v>2514</v>
      </c>
      <c r="P176" s="21">
        <v>2537</v>
      </c>
      <c r="Q176" s="21">
        <v>2456</v>
      </c>
      <c r="R176" s="21">
        <v>2550</v>
      </c>
      <c r="S176" s="21">
        <v>2577</v>
      </c>
      <c r="T176" s="21">
        <v>2551</v>
      </c>
      <c r="U176" s="21">
        <v>2579</v>
      </c>
      <c r="V176" s="21">
        <v>2571</v>
      </c>
      <c r="W176" s="21">
        <v>2590</v>
      </c>
      <c r="X176" s="21">
        <v>2652</v>
      </c>
      <c r="Y176" s="21">
        <v>2726</v>
      </c>
      <c r="Z176" s="21">
        <v>2697</v>
      </c>
      <c r="AA176" s="21">
        <v>2655</v>
      </c>
      <c r="AB176" s="21">
        <v>2660</v>
      </c>
      <c r="AC176" s="21">
        <v>2679</v>
      </c>
      <c r="AD176" s="21">
        <v>2730</v>
      </c>
      <c r="AE176" s="21">
        <v>2736</v>
      </c>
      <c r="AF176" s="21">
        <v>2724</v>
      </c>
      <c r="AG176" s="21">
        <v>2707</v>
      </c>
      <c r="AH176" s="21">
        <v>2719</v>
      </c>
      <c r="AI176" s="21">
        <v>2800</v>
      </c>
      <c r="AJ176" s="21">
        <v>2790</v>
      </c>
      <c r="AK176" s="21">
        <v>2800</v>
      </c>
      <c r="AL176" s="21">
        <v>2775</v>
      </c>
      <c r="AM176" s="21">
        <v>2804</v>
      </c>
      <c r="AN176" s="21">
        <v>2760</v>
      </c>
      <c r="AO176" s="21">
        <v>2740</v>
      </c>
      <c r="AP176" s="21">
        <v>2714</v>
      </c>
      <c r="AQ176" s="21">
        <v>2698</v>
      </c>
      <c r="AR176" s="21">
        <v>2728</v>
      </c>
      <c r="AS176" s="21">
        <v>2722</v>
      </c>
      <c r="AT176" s="21">
        <v>2777</v>
      </c>
      <c r="AU176" s="21">
        <v>2705</v>
      </c>
      <c r="AV176" s="21">
        <v>2748</v>
      </c>
      <c r="AW176" s="21">
        <v>2688</v>
      </c>
      <c r="AX176" s="21">
        <v>2799</v>
      </c>
      <c r="AY176" s="21">
        <v>2761</v>
      </c>
      <c r="AZ176" s="21">
        <v>2850</v>
      </c>
      <c r="BA176" s="21">
        <v>2687</v>
      </c>
      <c r="BB176" s="21">
        <v>2664</v>
      </c>
      <c r="BC176" s="21">
        <v>2735</v>
      </c>
      <c r="BD176" s="21">
        <v>2759</v>
      </c>
      <c r="BE176" s="21">
        <v>2849</v>
      </c>
      <c r="BF176" s="21">
        <v>2879</v>
      </c>
      <c r="BG176" s="21">
        <v>2988</v>
      </c>
      <c r="BH176" s="21">
        <v>3005</v>
      </c>
      <c r="BI176" s="21">
        <v>3150</v>
      </c>
      <c r="BJ176" s="21">
        <v>2994</v>
      </c>
      <c r="BK176" s="21">
        <v>2924</v>
      </c>
      <c r="BL176" s="21">
        <v>2887</v>
      </c>
      <c r="BM176" s="1">
        <v>2879</v>
      </c>
      <c r="BN176" s="1">
        <v>2733</v>
      </c>
      <c r="BO176" s="1">
        <v>2689</v>
      </c>
      <c r="BP176" s="1">
        <v>2585</v>
      </c>
      <c r="BQ176" s="1">
        <v>2532</v>
      </c>
      <c r="BR176" s="1">
        <v>2575</v>
      </c>
      <c r="BS176" s="1">
        <v>2506</v>
      </c>
      <c r="BT176" s="1">
        <v>2570</v>
      </c>
      <c r="BU176" s="1">
        <v>2571</v>
      </c>
      <c r="BV176" s="1">
        <v>2545</v>
      </c>
      <c r="BW176" s="1">
        <v>2585</v>
      </c>
      <c r="BX176" s="1">
        <v>2591</v>
      </c>
      <c r="BY176" s="1">
        <v>2658</v>
      </c>
      <c r="BZ176" s="1">
        <v>2701</v>
      </c>
    </row>
    <row r="177" spans="1:254" ht="15.9" customHeight="1">
      <c r="A177" s="78" t="s">
        <v>348</v>
      </c>
      <c r="B177" s="17" t="s">
        <v>349</v>
      </c>
      <c r="C177" s="543">
        <f>_xll.RssMarket("7236","始値")</f>
        <v>1515</v>
      </c>
      <c r="D177" s="23">
        <f t="shared" si="5"/>
        <v>0</v>
      </c>
      <c r="E177" s="550">
        <v>1515</v>
      </c>
      <c r="F177" s="21">
        <v>1465</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78" t="s">
        <v>350</v>
      </c>
      <c r="B178" s="17" t="s">
        <v>351</v>
      </c>
      <c r="C178" s="543">
        <f>_xll.RssMarket("6436","始値")</f>
        <v>3907</v>
      </c>
      <c r="D178" s="23">
        <f t="shared" si="5"/>
        <v>0</v>
      </c>
      <c r="E178" s="550">
        <v>3907</v>
      </c>
      <c r="F178" s="21">
        <v>3868</v>
      </c>
      <c r="G178" s="21">
        <v>3920</v>
      </c>
      <c r="H178" s="21">
        <v>3891</v>
      </c>
      <c r="I178" s="21">
        <v>3894</v>
      </c>
      <c r="J178" s="21">
        <v>3922</v>
      </c>
      <c r="K178" s="21">
        <v>3836</v>
      </c>
      <c r="L178" s="21">
        <v>4040</v>
      </c>
      <c r="M178" s="21">
        <v>3887</v>
      </c>
      <c r="N178" s="21"/>
      <c r="O178" s="21">
        <v>3802</v>
      </c>
      <c r="P178" s="21">
        <v>3831</v>
      </c>
      <c r="Q178" s="21">
        <v>3805</v>
      </c>
      <c r="R178" s="21">
        <v>3803</v>
      </c>
      <c r="S178" s="21">
        <v>3773</v>
      </c>
      <c r="T178" s="21">
        <v>3737</v>
      </c>
      <c r="U178" s="21">
        <v>3763</v>
      </c>
      <c r="V178" s="21">
        <v>3746</v>
      </c>
      <c r="W178" s="21">
        <v>3734</v>
      </c>
      <c r="X178" s="21">
        <v>3751</v>
      </c>
      <c r="Y178" s="21">
        <v>3746</v>
      </c>
      <c r="Z178" s="21">
        <v>3704</v>
      </c>
      <c r="AA178" s="21">
        <v>3729</v>
      </c>
      <c r="AB178" s="21">
        <v>3675</v>
      </c>
      <c r="AC178" s="21">
        <v>3659</v>
      </c>
      <c r="AD178" s="21">
        <v>3668</v>
      </c>
      <c r="AE178" s="21">
        <v>3666</v>
      </c>
      <c r="AF178" s="21">
        <v>3608</v>
      </c>
      <c r="AG178" s="21">
        <v>3610</v>
      </c>
      <c r="AH178" s="21">
        <v>3581</v>
      </c>
      <c r="AI178" s="21">
        <v>3600</v>
      </c>
      <c r="AJ178" s="21">
        <v>3577</v>
      </c>
      <c r="AK178" s="21">
        <v>3570</v>
      </c>
      <c r="AL178" s="21">
        <v>3575</v>
      </c>
      <c r="AM178" s="21">
        <v>3595</v>
      </c>
      <c r="AN178" s="21">
        <v>3577</v>
      </c>
      <c r="AO178" s="21">
        <v>3597</v>
      </c>
      <c r="AP178" s="21">
        <v>3601</v>
      </c>
      <c r="AQ178" s="21">
        <v>3646</v>
      </c>
      <c r="AR178" s="21">
        <v>3582</v>
      </c>
      <c r="AS178" s="21">
        <v>3453</v>
      </c>
      <c r="AT178" s="21">
        <v>3534</v>
      </c>
      <c r="AU178" s="21">
        <v>3502</v>
      </c>
      <c r="AV178" s="21">
        <v>3540</v>
      </c>
      <c r="AW178" s="21">
        <v>3534</v>
      </c>
      <c r="AX178" s="21">
        <v>3568</v>
      </c>
      <c r="AY178" s="21">
        <v>3572</v>
      </c>
      <c r="AZ178" s="21">
        <v>3550</v>
      </c>
      <c r="BA178" s="21">
        <v>3659</v>
      </c>
      <c r="BB178" s="21">
        <v>3629</v>
      </c>
      <c r="BC178" s="21">
        <v>3667</v>
      </c>
      <c r="BD178" s="21">
        <v>3690</v>
      </c>
      <c r="BE178" s="21">
        <v>3651</v>
      </c>
      <c r="BF178" s="21">
        <v>3671</v>
      </c>
      <c r="BG178" s="21">
        <v>3683</v>
      </c>
      <c r="BH178" s="21">
        <v>3668</v>
      </c>
      <c r="BI178" s="21">
        <v>3678</v>
      </c>
      <c r="BJ178" s="21">
        <v>3699</v>
      </c>
      <c r="BK178" s="21">
        <v>3691</v>
      </c>
      <c r="BL178" s="21">
        <v>3614</v>
      </c>
      <c r="BM178" s="1">
        <v>3592</v>
      </c>
      <c r="BN178" s="1">
        <v>3582</v>
      </c>
      <c r="BO178" s="1">
        <v>3706</v>
      </c>
      <c r="BP178" s="1">
        <v>3707</v>
      </c>
      <c r="BQ178" s="1">
        <v>3800</v>
      </c>
      <c r="BR178" s="1">
        <v>3830</v>
      </c>
      <c r="BS178" s="1">
        <v>3830</v>
      </c>
      <c r="BT178" s="1">
        <v>3821</v>
      </c>
      <c r="BU178" s="1">
        <v>3870</v>
      </c>
      <c r="BV178" s="1">
        <v>3957</v>
      </c>
      <c r="BW178" s="1">
        <v>3883</v>
      </c>
      <c r="BX178" s="1">
        <v>3872</v>
      </c>
      <c r="BY178" s="1">
        <v>3876</v>
      </c>
      <c r="BZ178" s="1">
        <v>3897</v>
      </c>
    </row>
    <row r="179" spans="1:254" ht="15.9" customHeight="1">
      <c r="A179" s="78" t="s">
        <v>352</v>
      </c>
      <c r="B179" s="17" t="s">
        <v>353</v>
      </c>
      <c r="C179" s="543">
        <f>_xll.RssMarket("5410","始値")</f>
        <v>2833</v>
      </c>
      <c r="D179" s="23">
        <f t="shared" si="5"/>
        <v>0</v>
      </c>
      <c r="E179" s="550">
        <v>2833</v>
      </c>
      <c r="F179" s="21">
        <v>2828</v>
      </c>
      <c r="G179" s="21">
        <v>2852</v>
      </c>
      <c r="H179" s="21">
        <v>2863</v>
      </c>
      <c r="I179" s="21">
        <v>2878</v>
      </c>
      <c r="J179" s="21">
        <v>2899</v>
      </c>
      <c r="K179" s="21">
        <v>2871</v>
      </c>
      <c r="L179" s="21">
        <v>2822</v>
      </c>
      <c r="M179" s="21">
        <v>2799</v>
      </c>
      <c r="N179" s="21">
        <v>2748</v>
      </c>
      <c r="O179" s="21">
        <v>2749</v>
      </c>
      <c r="P179" s="21">
        <v>2723</v>
      </c>
      <c r="Q179" s="21">
        <v>2671</v>
      </c>
      <c r="R179" s="21">
        <v>2688</v>
      </c>
      <c r="S179" s="21">
        <v>2697</v>
      </c>
      <c r="T179" s="21">
        <v>2696</v>
      </c>
      <c r="U179" s="21">
        <v>2696</v>
      </c>
      <c r="V179" s="21">
        <v>2672</v>
      </c>
      <c r="W179" s="21">
        <v>2668</v>
      </c>
      <c r="X179" s="21">
        <v>2705</v>
      </c>
      <c r="Y179" s="21">
        <v>2709</v>
      </c>
      <c r="Z179" s="21">
        <v>2678</v>
      </c>
      <c r="AA179" s="21">
        <v>2629</v>
      </c>
      <c r="AB179" s="21">
        <v>2567</v>
      </c>
      <c r="AC179" s="21">
        <v>2577</v>
      </c>
      <c r="AD179" s="21">
        <v>2625</v>
      </c>
      <c r="AE179" s="21">
        <v>2608</v>
      </c>
      <c r="AF179" s="21">
        <v>2576</v>
      </c>
      <c r="AG179" s="21">
        <v>2571</v>
      </c>
      <c r="AH179" s="21">
        <v>2575</v>
      </c>
      <c r="AI179" s="21">
        <v>2583</v>
      </c>
      <c r="AJ179" s="21">
        <v>2590</v>
      </c>
      <c r="AK179" s="21">
        <v>2615</v>
      </c>
      <c r="AL179" s="21">
        <v>2604</v>
      </c>
      <c r="AM179" s="21">
        <v>2610</v>
      </c>
      <c r="AN179" s="21">
        <v>2611</v>
      </c>
      <c r="AO179" s="21">
        <v>2612</v>
      </c>
      <c r="AP179" s="21">
        <v>2565</v>
      </c>
      <c r="AQ179" s="21">
        <v>2555</v>
      </c>
      <c r="AR179" s="21">
        <v>2531</v>
      </c>
      <c r="AS179" s="21">
        <v>2566</v>
      </c>
      <c r="AT179" s="21">
        <v>2545</v>
      </c>
      <c r="AU179" s="21">
        <v>2554</v>
      </c>
      <c r="AV179" s="21">
        <v>2600</v>
      </c>
      <c r="AW179" s="21">
        <v>2594</v>
      </c>
      <c r="AX179" s="21">
        <v>2715</v>
      </c>
      <c r="AY179" s="21">
        <v>2697</v>
      </c>
      <c r="AZ179" s="21">
        <v>2637</v>
      </c>
      <c r="BA179" s="21">
        <v>2682</v>
      </c>
      <c r="BB179" s="21">
        <v>2714</v>
      </c>
      <c r="BC179" s="21">
        <v>2710</v>
      </c>
      <c r="BD179" s="21">
        <v>2762</v>
      </c>
      <c r="BE179" s="21">
        <v>2771</v>
      </c>
      <c r="BF179" s="21">
        <v>2838</v>
      </c>
      <c r="BG179" s="21">
        <v>2867</v>
      </c>
      <c r="BH179" s="21">
        <v>2821</v>
      </c>
      <c r="BI179" s="21">
        <v>2867</v>
      </c>
      <c r="BJ179" s="21">
        <v>2868</v>
      </c>
      <c r="BK179" s="21">
        <v>2880</v>
      </c>
      <c r="BL179" s="21">
        <v>2855</v>
      </c>
      <c r="BM179" s="1">
        <v>2893</v>
      </c>
      <c r="BN179" s="1">
        <v>2855</v>
      </c>
      <c r="BO179" s="1">
        <v>2917</v>
      </c>
      <c r="BP179" s="1">
        <v>3010</v>
      </c>
      <c r="BQ179" s="1">
        <v>3385</v>
      </c>
      <c r="BR179" s="1">
        <v>3455</v>
      </c>
      <c r="BS179" s="1">
        <v>3495</v>
      </c>
      <c r="BT179" s="1">
        <v>3535</v>
      </c>
      <c r="BU179" s="1">
        <v>3565</v>
      </c>
      <c r="BV179" s="1">
        <v>3560</v>
      </c>
      <c r="BW179" s="1">
        <v>3570</v>
      </c>
      <c r="BX179" s="1">
        <v>3560</v>
      </c>
      <c r="BY179" s="1">
        <v>3590</v>
      </c>
      <c r="BZ179" s="1">
        <v>3575</v>
      </c>
    </row>
    <row r="180" spans="1:254" ht="15.9" customHeight="1">
      <c r="A180" s="78" t="s">
        <v>354</v>
      </c>
      <c r="B180" s="17" t="s">
        <v>355</v>
      </c>
      <c r="C180" s="543">
        <f>_xll.RssMarket("5440","始値")</f>
        <v>1856</v>
      </c>
      <c r="D180" s="23">
        <f t="shared" si="5"/>
        <v>0</v>
      </c>
      <c r="E180" s="550">
        <v>1856</v>
      </c>
      <c r="F180" s="21">
        <v>1866</v>
      </c>
      <c r="G180" s="21">
        <v>1886</v>
      </c>
      <c r="H180" s="21">
        <v>1868</v>
      </c>
      <c r="I180" s="21">
        <v>1998</v>
      </c>
      <c r="J180" s="21">
        <v>1952</v>
      </c>
      <c r="K180" s="21">
        <v>1944</v>
      </c>
      <c r="L180" s="21">
        <v>1940</v>
      </c>
      <c r="M180" s="21">
        <v>1918</v>
      </c>
      <c r="N180" s="21"/>
      <c r="O180" s="21">
        <v>1893</v>
      </c>
      <c r="P180" s="21">
        <v>1880</v>
      </c>
      <c r="Q180" s="21">
        <v>1861</v>
      </c>
      <c r="R180" s="21">
        <v>1837</v>
      </c>
      <c r="S180" s="21">
        <v>1849</v>
      </c>
      <c r="T180" s="21">
        <v>1812</v>
      </c>
      <c r="U180" s="21">
        <v>1810</v>
      </c>
      <c r="V180" s="21">
        <v>1816</v>
      </c>
      <c r="W180" s="21">
        <v>1800</v>
      </c>
      <c r="X180" s="21">
        <v>1808</v>
      </c>
      <c r="Y180" s="21">
        <v>1815</v>
      </c>
      <c r="Z180" s="21">
        <v>1788</v>
      </c>
      <c r="AA180" s="21">
        <v>1769</v>
      </c>
      <c r="AB180" s="21">
        <v>1732</v>
      </c>
      <c r="AC180" s="21">
        <v>1751</v>
      </c>
      <c r="AD180" s="21">
        <v>1753</v>
      </c>
      <c r="AE180" s="21">
        <v>1760</v>
      </c>
      <c r="AF180" s="21">
        <v>1703</v>
      </c>
      <c r="AG180" s="21">
        <v>1725</v>
      </c>
      <c r="AH180" s="21">
        <v>1713</v>
      </c>
      <c r="AI180" s="21">
        <v>1750</v>
      </c>
      <c r="AJ180" s="21">
        <v>1746</v>
      </c>
      <c r="AK180" s="21">
        <v>1745</v>
      </c>
      <c r="AL180" s="21">
        <v>1751</v>
      </c>
      <c r="AM180" s="21">
        <v>1744</v>
      </c>
      <c r="AN180" s="21">
        <v>1752</v>
      </c>
      <c r="AO180" s="21">
        <v>1779</v>
      </c>
      <c r="AP180" s="21">
        <v>1740</v>
      </c>
      <c r="AQ180" s="21">
        <v>1717</v>
      </c>
      <c r="AR180" s="21">
        <v>1722</v>
      </c>
      <c r="AS180" s="21">
        <v>1739</v>
      </c>
      <c r="AT180" s="21">
        <v>1740</v>
      </c>
      <c r="AU180" s="21">
        <v>1744</v>
      </c>
      <c r="AV180" s="21">
        <v>1748</v>
      </c>
      <c r="AW180" s="21">
        <v>1739</v>
      </c>
      <c r="AX180" s="21">
        <v>1835</v>
      </c>
      <c r="AY180" s="21">
        <v>1830</v>
      </c>
      <c r="AZ180" s="21">
        <v>1820</v>
      </c>
      <c r="BA180" s="21">
        <v>1853</v>
      </c>
      <c r="BB180" s="21">
        <v>1855</v>
      </c>
      <c r="BC180" s="21">
        <v>1821</v>
      </c>
      <c r="BD180" s="21">
        <v>1830</v>
      </c>
      <c r="BE180" s="21">
        <v>1840</v>
      </c>
      <c r="BF180" s="21">
        <v>1856</v>
      </c>
      <c r="BG180" s="21">
        <v>1877</v>
      </c>
      <c r="BH180" s="21">
        <v>1824</v>
      </c>
      <c r="BI180" s="21">
        <v>1818</v>
      </c>
      <c r="BJ180" s="21">
        <v>1827</v>
      </c>
      <c r="BK180" s="21">
        <v>1801</v>
      </c>
      <c r="BL180" s="21">
        <v>1820</v>
      </c>
      <c r="BM180" s="1">
        <v>1830</v>
      </c>
      <c r="BN180" s="1">
        <v>1907</v>
      </c>
      <c r="BO180" s="1">
        <v>2154</v>
      </c>
      <c r="BP180" s="1">
        <v>2182</v>
      </c>
      <c r="BQ180" s="1">
        <v>2236</v>
      </c>
      <c r="BR180" s="1">
        <v>2239</v>
      </c>
      <c r="BS180" s="1">
        <v>2262</v>
      </c>
      <c r="BT180" s="1">
        <v>2272</v>
      </c>
      <c r="BU180" s="1">
        <v>2333</v>
      </c>
      <c r="BV180" s="1">
        <v>2290</v>
      </c>
      <c r="BW180" s="1">
        <v>2304</v>
      </c>
      <c r="BX180" s="1">
        <v>2341</v>
      </c>
      <c r="BY180" s="1">
        <v>2357</v>
      </c>
      <c r="BZ180" s="1">
        <v>2350</v>
      </c>
    </row>
    <row r="181" spans="1:254" ht="15.9" customHeight="1">
      <c r="A181" s="78" t="s">
        <v>356</v>
      </c>
      <c r="B181" s="17" t="s">
        <v>357</v>
      </c>
      <c r="C181" s="543">
        <f>_xll.RssMarket("9505","始値")</f>
        <v>910</v>
      </c>
      <c r="D181" s="23">
        <f t="shared" si="5"/>
        <v>0</v>
      </c>
      <c r="E181" s="550">
        <v>910</v>
      </c>
      <c r="F181" s="21">
        <v>924.7</v>
      </c>
      <c r="G181" s="21">
        <v>936</v>
      </c>
      <c r="H181" s="21">
        <v>947.6</v>
      </c>
      <c r="I181" s="21">
        <v>982.7</v>
      </c>
      <c r="J181" s="21">
        <v>1006</v>
      </c>
      <c r="K181" s="21">
        <v>985.2</v>
      </c>
      <c r="L181" s="21">
        <v>966.3</v>
      </c>
      <c r="M181" s="21">
        <v>950.2</v>
      </c>
      <c r="N181" s="21">
        <v>940</v>
      </c>
      <c r="O181" s="21">
        <v>940</v>
      </c>
      <c r="P181" s="21">
        <v>935</v>
      </c>
      <c r="Q181" s="21">
        <v>921</v>
      </c>
      <c r="R181" s="21">
        <v>906.3</v>
      </c>
      <c r="S181" s="21">
        <v>913.2</v>
      </c>
      <c r="T181" s="21">
        <v>891</v>
      </c>
      <c r="U181" s="21">
        <v>908.9</v>
      </c>
      <c r="V181" s="21">
        <v>907</v>
      </c>
      <c r="W181" s="21">
        <v>913</v>
      </c>
      <c r="X181" s="21">
        <v>914.9</v>
      </c>
      <c r="Y181" s="21">
        <v>920</v>
      </c>
      <c r="Z181" s="21">
        <v>899</v>
      </c>
      <c r="AA181" s="21">
        <v>883.1</v>
      </c>
      <c r="AB181" s="21">
        <v>881</v>
      </c>
      <c r="AC181" s="21">
        <v>863.5</v>
      </c>
      <c r="AD181" s="21">
        <v>878</v>
      </c>
      <c r="AE181" s="21">
        <v>879</v>
      </c>
      <c r="AF181" s="21">
        <v>875.2</v>
      </c>
      <c r="AG181" s="21">
        <v>861</v>
      </c>
      <c r="AH181" s="21">
        <v>852.5</v>
      </c>
      <c r="AI181" s="21">
        <v>850</v>
      </c>
      <c r="AJ181" s="21">
        <v>844.5</v>
      </c>
      <c r="AK181" s="21">
        <v>842.2</v>
      </c>
      <c r="AL181" s="21">
        <v>850</v>
      </c>
      <c r="AM181" s="21">
        <v>849</v>
      </c>
      <c r="AN181" s="21">
        <v>872.9</v>
      </c>
      <c r="AO181" s="21">
        <v>876</v>
      </c>
      <c r="AP181" s="21">
        <v>861.8</v>
      </c>
      <c r="AQ181" s="21">
        <v>865</v>
      </c>
      <c r="AR181" s="21">
        <v>845</v>
      </c>
      <c r="AS181" s="21">
        <v>806.7</v>
      </c>
      <c r="AT181" s="21">
        <v>812</v>
      </c>
      <c r="AU181" s="21">
        <v>809.3</v>
      </c>
      <c r="AV181" s="21">
        <v>815</v>
      </c>
      <c r="AW181" s="21">
        <v>796</v>
      </c>
      <c r="AX181" s="21">
        <v>829.1</v>
      </c>
      <c r="AY181" s="21">
        <v>844</v>
      </c>
      <c r="AZ181" s="21">
        <v>855</v>
      </c>
      <c r="BA181" s="21">
        <v>861.8</v>
      </c>
      <c r="BB181" s="21">
        <v>882.5</v>
      </c>
      <c r="BC181" s="21">
        <v>877.5</v>
      </c>
      <c r="BD181" s="21">
        <v>883</v>
      </c>
      <c r="BE181" s="21">
        <v>871.6</v>
      </c>
      <c r="BF181" s="21">
        <v>897</v>
      </c>
      <c r="BG181" s="21">
        <v>913.2</v>
      </c>
      <c r="BH181" s="21">
        <v>910</v>
      </c>
      <c r="BI181" s="21">
        <v>918.3</v>
      </c>
      <c r="BJ181" s="21">
        <v>904.8</v>
      </c>
      <c r="BK181" s="21">
        <v>872.4</v>
      </c>
      <c r="BL181" s="21">
        <v>895.4</v>
      </c>
      <c r="BM181" s="1">
        <v>860.1</v>
      </c>
      <c r="BN181" s="1">
        <v>871.5</v>
      </c>
      <c r="BO181" s="1">
        <v>905.6</v>
      </c>
      <c r="BP181" s="1">
        <v>985</v>
      </c>
      <c r="BQ181" s="1">
        <v>986.1</v>
      </c>
      <c r="BR181" s="1">
        <v>999.1</v>
      </c>
      <c r="BS181" s="1">
        <v>995</v>
      </c>
      <c r="BT181" s="1">
        <v>1003</v>
      </c>
      <c r="BU181" s="1">
        <v>1028.5</v>
      </c>
      <c r="BV181" s="1">
        <v>1058.5</v>
      </c>
      <c r="BW181" s="1">
        <v>1080</v>
      </c>
      <c r="BX181" s="1">
        <v>1081.5</v>
      </c>
      <c r="BY181" s="1">
        <v>1088</v>
      </c>
      <c r="BZ181" s="1">
        <v>1090</v>
      </c>
    </row>
    <row r="182" spans="1:254" ht="15.9" customHeight="1">
      <c r="A182" s="78" t="s">
        <v>358</v>
      </c>
      <c r="B182" s="17" t="s">
        <v>359</v>
      </c>
      <c r="C182" s="543">
        <f>_xll.RssMarket("8091","始値")</f>
        <v>2331</v>
      </c>
      <c r="D182" s="23">
        <f t="shared" si="5"/>
        <v>0</v>
      </c>
      <c r="E182" s="550">
        <v>2331</v>
      </c>
      <c r="F182" s="21">
        <v>2357</v>
      </c>
      <c r="G182" s="21">
        <v>2356</v>
      </c>
      <c r="H182" s="21">
        <v>2368</v>
      </c>
      <c r="I182" s="21">
        <v>2372</v>
      </c>
      <c r="J182" s="21">
        <v>2383</v>
      </c>
      <c r="K182" s="21">
        <v>2341</v>
      </c>
      <c r="L182" s="21">
        <v>2355</v>
      </c>
      <c r="M182" s="21">
        <v>2332</v>
      </c>
      <c r="N182" s="21">
        <v>2325</v>
      </c>
      <c r="O182" s="21">
        <v>2340</v>
      </c>
      <c r="P182" s="21">
        <v>2345</v>
      </c>
      <c r="Q182" s="21">
        <v>2321</v>
      </c>
      <c r="R182" s="21">
        <v>2308</v>
      </c>
      <c r="S182" s="21">
        <v>2284</v>
      </c>
      <c r="T182" s="21">
        <v>2272</v>
      </c>
      <c r="U182" s="21">
        <v>2310</v>
      </c>
      <c r="V182" s="21">
        <v>2274</v>
      </c>
      <c r="W182" s="21">
        <v>2264</v>
      </c>
      <c r="X182" s="21">
        <v>2338</v>
      </c>
      <c r="Y182" s="21">
        <v>2349</v>
      </c>
      <c r="Z182" s="21">
        <v>2307</v>
      </c>
      <c r="AA182" s="21">
        <v>2297</v>
      </c>
      <c r="AB182" s="21">
        <v>2284</v>
      </c>
      <c r="AC182" s="21">
        <v>2283</v>
      </c>
      <c r="AD182" s="21">
        <v>2300</v>
      </c>
      <c r="AE182" s="21">
        <v>2265</v>
      </c>
      <c r="AF182" s="21">
        <v>2275</v>
      </c>
      <c r="AG182" s="21">
        <v>2299</v>
      </c>
      <c r="AH182" s="21">
        <v>2266</v>
      </c>
      <c r="AI182" s="21">
        <v>2261</v>
      </c>
      <c r="AJ182" s="21">
        <v>2290</v>
      </c>
      <c r="AK182" s="21">
        <v>2261</v>
      </c>
      <c r="AL182" s="21">
        <v>2235</v>
      </c>
      <c r="AM182" s="21">
        <v>2219</v>
      </c>
      <c r="AN182" s="21">
        <v>2202</v>
      </c>
      <c r="AO182" s="21">
        <v>2186</v>
      </c>
      <c r="AP182" s="21">
        <v>2176</v>
      </c>
      <c r="AQ182" s="21">
        <v>2211</v>
      </c>
      <c r="AR182" s="21">
        <v>2180</v>
      </c>
      <c r="AS182" s="21">
        <v>2185</v>
      </c>
      <c r="AT182" s="21">
        <v>2188</v>
      </c>
      <c r="AU182" s="21">
        <v>2141</v>
      </c>
      <c r="AV182" s="21">
        <v>2131</v>
      </c>
      <c r="AW182" s="21">
        <v>2134</v>
      </c>
      <c r="AX182" s="21">
        <v>2173</v>
      </c>
      <c r="AY182" s="21">
        <v>2133</v>
      </c>
      <c r="AZ182" s="21">
        <v>2140</v>
      </c>
      <c r="BA182" s="21">
        <v>2146</v>
      </c>
      <c r="BB182" s="21">
        <v>2169</v>
      </c>
      <c r="BC182" s="21">
        <v>2168</v>
      </c>
      <c r="BD182" s="21">
        <v>2190</v>
      </c>
      <c r="BE182" s="21">
        <v>2161</v>
      </c>
      <c r="BF182" s="21">
        <v>2204</v>
      </c>
      <c r="BG182" s="21">
        <v>2280</v>
      </c>
      <c r="BH182" s="21">
        <v>2278</v>
      </c>
      <c r="BI182" s="21">
        <v>2248</v>
      </c>
      <c r="BJ182" s="21">
        <v>2273</v>
      </c>
      <c r="BK182" s="21">
        <v>2256</v>
      </c>
      <c r="BL182" s="21">
        <v>2256</v>
      </c>
      <c r="BM182" s="1">
        <v>2227</v>
      </c>
      <c r="BN182" s="1">
        <v>2253</v>
      </c>
      <c r="BO182" s="1">
        <v>2270</v>
      </c>
      <c r="BP182" s="1">
        <v>2280</v>
      </c>
      <c r="BQ182" s="1">
        <v>2390</v>
      </c>
      <c r="BR182" s="1">
        <v>2445</v>
      </c>
      <c r="BS182" s="1">
        <v>2458</v>
      </c>
      <c r="BT182" s="1">
        <v>2490</v>
      </c>
      <c r="BU182" s="1">
        <v>2507</v>
      </c>
      <c r="BV182" s="1">
        <v>2522</v>
      </c>
      <c r="BW182" s="1">
        <v>2519</v>
      </c>
      <c r="BX182" s="1">
        <v>2525</v>
      </c>
      <c r="BY182" s="1">
        <v>2525</v>
      </c>
      <c r="BZ182" s="1">
        <v>2540</v>
      </c>
    </row>
    <row r="183" spans="1:254" ht="15.9" customHeight="1">
      <c r="A183" s="78" t="s">
        <v>360</v>
      </c>
      <c r="B183" s="17" t="s">
        <v>361</v>
      </c>
      <c r="C183" s="543">
        <f>_xll.RssMarket("6507","始値")</f>
        <v>14620</v>
      </c>
      <c r="D183" s="23">
        <f t="shared" si="5"/>
        <v>0</v>
      </c>
      <c r="E183" s="550">
        <v>14620</v>
      </c>
      <c r="F183" s="21">
        <v>14450</v>
      </c>
      <c r="G183" s="21">
        <v>13530</v>
      </c>
      <c r="H183" s="21">
        <v>13030</v>
      </c>
      <c r="I183" s="21">
        <v>13040</v>
      </c>
      <c r="J183" s="21">
        <v>11780</v>
      </c>
      <c r="K183" s="21">
        <v>12390</v>
      </c>
      <c r="L183" s="21">
        <v>13420</v>
      </c>
      <c r="M183" s="21">
        <v>14300</v>
      </c>
      <c r="N183" s="21">
        <v>14210</v>
      </c>
      <c r="O183" s="21">
        <v>14230</v>
      </c>
      <c r="P183" s="21">
        <v>14160</v>
      </c>
      <c r="Q183" s="21">
        <v>13540</v>
      </c>
      <c r="R183" s="21">
        <v>14000</v>
      </c>
      <c r="S183" s="21">
        <v>14450</v>
      </c>
      <c r="T183" s="21">
        <v>14200</v>
      </c>
      <c r="U183" s="21">
        <v>14930</v>
      </c>
      <c r="V183" s="21">
        <v>15400</v>
      </c>
      <c r="W183" s="21">
        <v>14740</v>
      </c>
      <c r="X183" s="21">
        <v>14800</v>
      </c>
      <c r="Y183" s="21">
        <v>16580</v>
      </c>
      <c r="Z183" s="21">
        <v>15950</v>
      </c>
      <c r="AA183" s="21">
        <v>14920</v>
      </c>
      <c r="AB183" s="21">
        <v>15850</v>
      </c>
      <c r="AC183" s="21">
        <v>16330</v>
      </c>
      <c r="AD183" s="21">
        <v>15650</v>
      </c>
      <c r="AE183" s="21">
        <v>15230</v>
      </c>
      <c r="AF183" s="21">
        <v>15520</v>
      </c>
      <c r="AG183" s="21">
        <v>16500</v>
      </c>
      <c r="AH183" s="21">
        <v>15390</v>
      </c>
      <c r="AI183" s="21">
        <v>16850</v>
      </c>
      <c r="AJ183" s="21">
        <v>16850</v>
      </c>
      <c r="AK183" s="21">
        <v>16480</v>
      </c>
      <c r="AL183" s="21">
        <v>16030</v>
      </c>
      <c r="AM183" s="21">
        <v>14720</v>
      </c>
      <c r="AN183" s="21">
        <v>13760</v>
      </c>
      <c r="AO183" s="21">
        <v>13990</v>
      </c>
      <c r="AP183" s="21">
        <v>13600</v>
      </c>
      <c r="AQ183" s="21">
        <v>12730</v>
      </c>
      <c r="AR183" s="21">
        <v>13770</v>
      </c>
      <c r="AS183" s="21">
        <v>14000</v>
      </c>
      <c r="AT183" s="21">
        <v>15190</v>
      </c>
      <c r="AU183" s="21">
        <v>14090</v>
      </c>
      <c r="AV183" s="21">
        <v>14400</v>
      </c>
      <c r="AW183" s="21">
        <v>13960</v>
      </c>
      <c r="AX183" s="21">
        <v>14100</v>
      </c>
      <c r="AY183" s="21">
        <v>14150</v>
      </c>
      <c r="AZ183" s="21">
        <v>15180</v>
      </c>
      <c r="BA183" s="21">
        <v>14280</v>
      </c>
      <c r="BB183" s="21">
        <v>14000</v>
      </c>
      <c r="BC183" s="21">
        <v>13480</v>
      </c>
      <c r="BD183" s="21">
        <v>13200</v>
      </c>
      <c r="BE183" s="21">
        <v>15370</v>
      </c>
      <c r="BF183" s="21">
        <v>15320</v>
      </c>
      <c r="BG183" s="21">
        <v>16470</v>
      </c>
      <c r="BH183" s="21">
        <v>15240</v>
      </c>
      <c r="BI183" s="21">
        <v>14530</v>
      </c>
      <c r="BJ183" s="21">
        <v>15190</v>
      </c>
      <c r="BK183" s="21">
        <v>15150</v>
      </c>
      <c r="BL183" s="21">
        <v>14660</v>
      </c>
      <c r="BM183" s="1">
        <v>15210</v>
      </c>
      <c r="BN183" s="1">
        <v>14260</v>
      </c>
      <c r="BO183" s="1">
        <v>13660</v>
      </c>
      <c r="BP183" s="1">
        <v>13680</v>
      </c>
      <c r="BQ183" s="1">
        <v>13340</v>
      </c>
      <c r="BR183" s="1">
        <v>13330</v>
      </c>
      <c r="BS183" s="1">
        <v>13570</v>
      </c>
      <c r="BT183" s="1">
        <v>13440</v>
      </c>
      <c r="BU183" s="1">
        <v>13560</v>
      </c>
      <c r="BV183" s="1">
        <v>13490</v>
      </c>
      <c r="BW183" s="1">
        <v>13890</v>
      </c>
      <c r="BX183" s="1">
        <v>13780</v>
      </c>
      <c r="BY183" s="1">
        <v>13550</v>
      </c>
      <c r="BZ183" s="1">
        <v>13680</v>
      </c>
    </row>
    <row r="184" spans="1:254" ht="15.9" customHeight="1">
      <c r="A184" s="78" t="s">
        <v>362</v>
      </c>
      <c r="B184" s="17" t="s">
        <v>363</v>
      </c>
      <c r="C184" s="543">
        <f>_xll.RssMarket("9022","始値")</f>
        <v>3810</v>
      </c>
      <c r="D184" s="23">
        <f t="shared" si="5"/>
        <v>0</v>
      </c>
      <c r="E184" s="550">
        <v>3810</v>
      </c>
      <c r="F184" s="21">
        <v>3840</v>
      </c>
      <c r="G184" s="21">
        <v>3915</v>
      </c>
      <c r="H184" s="21">
        <v>3801</v>
      </c>
      <c r="I184" s="21">
        <v>4034</v>
      </c>
      <c r="J184" s="21">
        <v>4233</v>
      </c>
      <c r="K184" s="21">
        <v>4100</v>
      </c>
      <c r="L184" s="21">
        <v>4035</v>
      </c>
      <c r="M184" s="21">
        <v>3938</v>
      </c>
      <c r="N184" s="21">
        <v>3800</v>
      </c>
      <c r="O184" s="21">
        <v>3795</v>
      </c>
      <c r="P184" s="21">
        <v>3785</v>
      </c>
      <c r="Q184" s="21">
        <v>3820</v>
      </c>
      <c r="R184" s="21">
        <v>3746</v>
      </c>
      <c r="S184" s="21">
        <v>3749</v>
      </c>
      <c r="T184" s="21">
        <v>3684</v>
      </c>
      <c r="U184" s="21">
        <v>3648</v>
      </c>
      <c r="V184" s="21">
        <v>3671</v>
      </c>
      <c r="W184" s="21">
        <v>3594</v>
      </c>
      <c r="X184" s="21">
        <v>3700</v>
      </c>
      <c r="Y184" s="21">
        <v>3560</v>
      </c>
      <c r="Z184" s="21">
        <v>3523</v>
      </c>
      <c r="AA184" s="21">
        <v>3515</v>
      </c>
      <c r="AB184" s="21">
        <v>3405</v>
      </c>
      <c r="AC184" s="21">
        <v>3428</v>
      </c>
      <c r="AD184" s="21">
        <v>3463</v>
      </c>
      <c r="AE184" s="21">
        <v>3442</v>
      </c>
      <c r="AF184" s="21">
        <v>3360</v>
      </c>
      <c r="AG184" s="21">
        <v>3383</v>
      </c>
      <c r="AH184" s="21">
        <v>3347</v>
      </c>
      <c r="AI184" s="21">
        <v>3274</v>
      </c>
      <c r="AJ184" s="21">
        <v>3222</v>
      </c>
      <c r="AK184" s="21">
        <v>3250</v>
      </c>
      <c r="AL184" s="21">
        <v>3293</v>
      </c>
      <c r="AM184" s="21">
        <v>3364</v>
      </c>
      <c r="AN184" s="21">
        <v>3303</v>
      </c>
      <c r="AO184" s="21">
        <v>3383</v>
      </c>
      <c r="AP184" s="21">
        <v>3392</v>
      </c>
      <c r="AQ184" s="21">
        <v>3473</v>
      </c>
      <c r="AR184" s="21">
        <v>3493</v>
      </c>
      <c r="AS184" s="21">
        <v>3345</v>
      </c>
      <c r="AT184" s="21">
        <v>3352</v>
      </c>
      <c r="AU184" s="21">
        <v>3303</v>
      </c>
      <c r="AV184" s="21">
        <v>3323</v>
      </c>
      <c r="AW184" s="21">
        <v>3398</v>
      </c>
      <c r="AX184" s="21">
        <v>3465</v>
      </c>
      <c r="AY184" s="21">
        <v>3524</v>
      </c>
      <c r="AZ184" s="21">
        <v>3540</v>
      </c>
      <c r="BA184" s="21">
        <v>3553</v>
      </c>
      <c r="BB184" s="21">
        <v>3567</v>
      </c>
      <c r="BC184" s="21">
        <v>3591</v>
      </c>
      <c r="BD184" s="21">
        <v>3608</v>
      </c>
      <c r="BE184" s="21">
        <v>3555</v>
      </c>
      <c r="BF184" s="21">
        <v>3615</v>
      </c>
      <c r="BG184" s="21">
        <v>3616</v>
      </c>
      <c r="BH184" s="21">
        <v>3595</v>
      </c>
      <c r="BI184" s="21">
        <v>3615</v>
      </c>
      <c r="BJ184" s="21">
        <v>3588</v>
      </c>
      <c r="BK184" s="21">
        <v>3571</v>
      </c>
      <c r="BL184" s="21">
        <v>3700</v>
      </c>
      <c r="BM184" s="1">
        <v>3555</v>
      </c>
      <c r="BN184" s="1">
        <v>3705</v>
      </c>
      <c r="BO184" s="1">
        <v>3723</v>
      </c>
      <c r="BP184" s="1">
        <v>4109</v>
      </c>
      <c r="BQ184" s="1">
        <v>4055</v>
      </c>
      <c r="BR184" s="1">
        <v>4109</v>
      </c>
      <c r="BS184" s="1">
        <v>4092</v>
      </c>
      <c r="BT184" s="1">
        <v>4176</v>
      </c>
      <c r="BU184" s="1">
        <v>4276</v>
      </c>
      <c r="BV184" s="1">
        <v>4188</v>
      </c>
      <c r="BW184" s="1">
        <v>4280</v>
      </c>
      <c r="BX184" s="1">
        <v>4287</v>
      </c>
      <c r="BY184" s="1">
        <v>4333</v>
      </c>
      <c r="BZ184" s="1">
        <v>4240</v>
      </c>
    </row>
    <row r="185" spans="1:254" ht="15.9" customHeight="1">
      <c r="A185" s="78" t="s">
        <v>364</v>
      </c>
      <c r="B185" s="17" t="s">
        <v>365</v>
      </c>
      <c r="C185" s="543">
        <f>_xll.RssMarket("9536","始値")</f>
        <v>2356</v>
      </c>
      <c r="D185" s="23">
        <f t="shared" si="5"/>
        <v>0</v>
      </c>
      <c r="E185" s="550">
        <v>2356</v>
      </c>
      <c r="F185" s="21">
        <v>2381</v>
      </c>
      <c r="G185" s="21">
        <v>2427</v>
      </c>
      <c r="H185" s="21">
        <v>2434</v>
      </c>
      <c r="I185" s="21">
        <v>2385</v>
      </c>
      <c r="J185" s="21">
        <v>2369</v>
      </c>
      <c r="K185" s="21">
        <v>2354</v>
      </c>
      <c r="L185" s="21">
        <v>2371</v>
      </c>
      <c r="M185" s="21">
        <v>2385</v>
      </c>
      <c r="N185" s="21">
        <v>2353</v>
      </c>
      <c r="O185" s="21">
        <v>2365</v>
      </c>
      <c r="P185" s="21">
        <v>2345</v>
      </c>
      <c r="Q185" s="21">
        <v>2339</v>
      </c>
      <c r="R185" s="21">
        <v>2329</v>
      </c>
      <c r="S185" s="21">
        <v>2328</v>
      </c>
      <c r="T185" s="21">
        <v>2303</v>
      </c>
      <c r="U185" s="21">
        <v>2346</v>
      </c>
      <c r="V185" s="21">
        <v>2327</v>
      </c>
      <c r="W185" s="21">
        <v>2345</v>
      </c>
      <c r="X185" s="21">
        <v>2340</v>
      </c>
      <c r="Y185" s="21">
        <v>2306</v>
      </c>
      <c r="Z185" s="21">
        <v>2275</v>
      </c>
      <c r="AA185" s="21">
        <v>2248</v>
      </c>
      <c r="AB185" s="21">
        <v>2229</v>
      </c>
      <c r="AC185" s="21">
        <v>2248</v>
      </c>
      <c r="AD185" s="21">
        <v>2270</v>
      </c>
      <c r="AE185" s="21">
        <v>2254</v>
      </c>
      <c r="AF185" s="21">
        <v>2224</v>
      </c>
      <c r="AG185" s="21">
        <v>2239</v>
      </c>
      <c r="AH185" s="21">
        <v>2224</v>
      </c>
      <c r="AI185" s="21">
        <v>2213</v>
      </c>
      <c r="AJ185" s="21">
        <v>2230</v>
      </c>
      <c r="AK185" s="21">
        <v>2234</v>
      </c>
      <c r="AL185" s="21">
        <v>2250</v>
      </c>
      <c r="AM185" s="21">
        <v>2242</v>
      </c>
      <c r="AN185" s="21">
        <v>2262</v>
      </c>
      <c r="AO185" s="21">
        <v>2250</v>
      </c>
      <c r="AP185" s="21">
        <v>2236</v>
      </c>
      <c r="AQ185" s="21">
        <v>2244</v>
      </c>
      <c r="AR185" s="21">
        <v>2227</v>
      </c>
      <c r="AS185" s="21">
        <v>2180</v>
      </c>
      <c r="AT185" s="21">
        <v>2190</v>
      </c>
      <c r="AU185" s="21">
        <v>2187</v>
      </c>
      <c r="AV185" s="21">
        <v>2174</v>
      </c>
      <c r="AW185" s="21">
        <v>2181</v>
      </c>
      <c r="AX185" s="21">
        <v>2192</v>
      </c>
      <c r="AY185" s="21">
        <v>2210</v>
      </c>
      <c r="AZ185" s="21">
        <v>2216</v>
      </c>
      <c r="BA185" s="21">
        <v>2222</v>
      </c>
      <c r="BB185" s="21">
        <v>2225</v>
      </c>
      <c r="BC185" s="21">
        <v>2216</v>
      </c>
      <c r="BD185" s="21">
        <v>2228</v>
      </c>
      <c r="BE185" s="21">
        <v>2219</v>
      </c>
      <c r="BF185" s="21">
        <v>2250</v>
      </c>
      <c r="BG185" s="21">
        <v>2264</v>
      </c>
      <c r="BH185" s="21">
        <v>2227</v>
      </c>
      <c r="BI185" s="21">
        <v>2225</v>
      </c>
      <c r="BJ185" s="21">
        <v>2266</v>
      </c>
      <c r="BK185" s="21">
        <v>2223</v>
      </c>
      <c r="BL185" s="21">
        <v>2253</v>
      </c>
      <c r="BM185" s="1">
        <v>2218</v>
      </c>
      <c r="BN185" s="1">
        <v>2246</v>
      </c>
      <c r="BO185" s="1">
        <v>2358</v>
      </c>
      <c r="BP185" s="1">
        <v>2430</v>
      </c>
      <c r="BQ185" s="1">
        <v>2470</v>
      </c>
      <c r="BR185" s="1">
        <v>2457</v>
      </c>
      <c r="BS185" s="1">
        <v>2460</v>
      </c>
      <c r="BT185" s="1">
        <v>2510</v>
      </c>
      <c r="BU185" s="1">
        <v>2535</v>
      </c>
      <c r="BV185" s="1">
        <v>2580</v>
      </c>
      <c r="BW185" s="1">
        <v>2615</v>
      </c>
      <c r="BX185" s="1">
        <v>2600</v>
      </c>
      <c r="BY185" s="1">
        <v>2590</v>
      </c>
      <c r="BZ185" s="1">
        <v>2582</v>
      </c>
    </row>
    <row r="186" spans="1:254" ht="15.9" customHeight="1">
      <c r="A186" s="78" t="s">
        <v>366</v>
      </c>
      <c r="B186" s="17" t="s">
        <v>367</v>
      </c>
      <c r="C186" s="543">
        <f>_xll.RssMarket("9506","始値")</f>
        <v>1178.5</v>
      </c>
      <c r="D186" s="23">
        <f t="shared" si="5"/>
        <v>0</v>
      </c>
      <c r="E186" s="550">
        <v>1178.5</v>
      </c>
      <c r="F186" s="21">
        <v>1192</v>
      </c>
      <c r="G186" s="21">
        <v>1199</v>
      </c>
      <c r="H186" s="21">
        <v>1175.5</v>
      </c>
      <c r="I186" s="21">
        <v>1180.5</v>
      </c>
      <c r="J186" s="21">
        <v>1168</v>
      </c>
      <c r="K186" s="21">
        <v>1162.5</v>
      </c>
      <c r="L186" s="21">
        <v>1164.5</v>
      </c>
      <c r="M186" s="21">
        <v>1158</v>
      </c>
      <c r="N186" s="21">
        <v>1142.5</v>
      </c>
      <c r="O186" s="21">
        <v>1143</v>
      </c>
      <c r="P186" s="21">
        <v>1138</v>
      </c>
      <c r="Q186" s="21">
        <v>1135</v>
      </c>
      <c r="R186" s="21">
        <v>1134.5</v>
      </c>
      <c r="S186" s="21">
        <v>1111.5</v>
      </c>
      <c r="T186" s="21">
        <v>1094</v>
      </c>
      <c r="U186" s="21">
        <v>1095</v>
      </c>
      <c r="V186" s="21">
        <v>1092.5</v>
      </c>
      <c r="W186" s="21">
        <v>1095.5</v>
      </c>
      <c r="X186" s="21">
        <v>1087</v>
      </c>
      <c r="Y186" s="21">
        <v>1095</v>
      </c>
      <c r="Z186" s="21">
        <v>1080.5</v>
      </c>
      <c r="AA186" s="21">
        <v>1061</v>
      </c>
      <c r="AB186" s="21">
        <v>1067</v>
      </c>
      <c r="AC186" s="21">
        <v>1052</v>
      </c>
      <c r="AD186" s="21">
        <v>1052.5</v>
      </c>
      <c r="AE186" s="21">
        <v>1047.5</v>
      </c>
      <c r="AF186" s="21">
        <v>1055</v>
      </c>
      <c r="AG186" s="21">
        <v>1040</v>
      </c>
      <c r="AH186" s="21">
        <v>1030</v>
      </c>
      <c r="AI186" s="21">
        <v>1041</v>
      </c>
      <c r="AJ186" s="21">
        <v>1048.5</v>
      </c>
      <c r="AK186" s="21">
        <v>1053.5</v>
      </c>
      <c r="AL186" s="21">
        <v>1047</v>
      </c>
      <c r="AM186" s="21">
        <v>1043.5</v>
      </c>
      <c r="AN186" s="21">
        <v>1058.5</v>
      </c>
      <c r="AO186" s="21">
        <v>1033</v>
      </c>
      <c r="AP186" s="21">
        <v>1030</v>
      </c>
      <c r="AQ186" s="21">
        <v>1027.5</v>
      </c>
      <c r="AR186" s="21">
        <v>1020</v>
      </c>
      <c r="AS186" s="21">
        <v>992</v>
      </c>
      <c r="AT186" s="21">
        <v>997.9</v>
      </c>
      <c r="AU186" s="21">
        <v>1000.5</v>
      </c>
      <c r="AV186" s="21">
        <v>992.2</v>
      </c>
      <c r="AW186" s="21">
        <v>983.7</v>
      </c>
      <c r="AX186" s="21">
        <v>994.3</v>
      </c>
      <c r="AY186" s="21">
        <v>998.6</v>
      </c>
      <c r="AZ186" s="21">
        <v>1010</v>
      </c>
      <c r="BA186" s="21">
        <v>1015</v>
      </c>
      <c r="BB186" s="21">
        <v>1033.5</v>
      </c>
      <c r="BC186" s="21">
        <v>1014</v>
      </c>
      <c r="BD186" s="21">
        <v>1021</v>
      </c>
      <c r="BE186" s="21">
        <v>1013</v>
      </c>
      <c r="BF186" s="21">
        <v>1040</v>
      </c>
      <c r="BG186" s="21">
        <v>1053</v>
      </c>
      <c r="BH186" s="21">
        <v>1061.5</v>
      </c>
      <c r="BI186" s="21">
        <v>1065.5</v>
      </c>
      <c r="BJ186" s="21">
        <v>1065.5</v>
      </c>
      <c r="BK186" s="21">
        <v>1052.5</v>
      </c>
      <c r="BL186" s="21">
        <v>1094</v>
      </c>
      <c r="BM186" s="1">
        <v>1061</v>
      </c>
      <c r="BN186" s="1">
        <v>1079</v>
      </c>
      <c r="BO186" s="1">
        <v>1139</v>
      </c>
      <c r="BP186" s="1">
        <v>1131</v>
      </c>
      <c r="BQ186" s="1">
        <v>1123</v>
      </c>
      <c r="BR186" s="1">
        <v>1132.5</v>
      </c>
      <c r="BS186" s="1">
        <v>1125</v>
      </c>
      <c r="BT186" s="1">
        <v>1146</v>
      </c>
      <c r="BU186" s="1">
        <v>1162</v>
      </c>
      <c r="BV186" s="1">
        <v>1190</v>
      </c>
      <c r="BW186" s="1">
        <v>1182</v>
      </c>
      <c r="BX186" s="1">
        <v>1173</v>
      </c>
      <c r="BY186" s="1">
        <v>1176</v>
      </c>
      <c r="BZ186" s="1">
        <v>1164</v>
      </c>
    </row>
    <row r="187" spans="1:254" ht="15.9" customHeight="1">
      <c r="A187" s="78" t="s">
        <v>368</v>
      </c>
      <c r="B187" s="17" t="s">
        <v>369</v>
      </c>
      <c r="C187" s="543">
        <f>_xll.RssMarket("2127","始値")</f>
        <v>638</v>
      </c>
      <c r="D187" s="23">
        <f t="shared" si="5"/>
        <v>0</v>
      </c>
      <c r="E187" s="550">
        <v>638</v>
      </c>
      <c r="F187" s="21">
        <v>637</v>
      </c>
      <c r="G187" s="21">
        <v>647</v>
      </c>
      <c r="H187" s="21">
        <v>637.70000000000005</v>
      </c>
      <c r="I187" s="21">
        <v>626.79999999999995</v>
      </c>
      <c r="J187" s="21">
        <v>704</v>
      </c>
      <c r="K187" s="21">
        <v>688.9</v>
      </c>
      <c r="L187" s="21">
        <v>687</v>
      </c>
      <c r="M187" s="21">
        <v>671.2</v>
      </c>
      <c r="N187" s="21">
        <v>657</v>
      </c>
      <c r="O187" s="21">
        <v>661.8</v>
      </c>
      <c r="P187" s="21">
        <v>669.2</v>
      </c>
      <c r="Q187" s="21">
        <v>679</v>
      </c>
      <c r="R187" s="21">
        <v>678</v>
      </c>
      <c r="S187" s="21">
        <v>681.3</v>
      </c>
      <c r="T187" s="21">
        <v>677</v>
      </c>
      <c r="U187" s="21">
        <v>681.6</v>
      </c>
      <c r="V187" s="21">
        <v>674.2</v>
      </c>
      <c r="W187" s="21">
        <v>681.4</v>
      </c>
      <c r="X187" s="21">
        <v>694</v>
      </c>
      <c r="Y187" s="21">
        <v>682.3</v>
      </c>
      <c r="Z187" s="21">
        <v>660</v>
      </c>
      <c r="AA187" s="21">
        <v>655.5</v>
      </c>
      <c r="AB187" s="21">
        <v>646</v>
      </c>
      <c r="AC187" s="21">
        <v>633.29999999999995</v>
      </c>
      <c r="AD187" s="21">
        <v>637.5</v>
      </c>
      <c r="AE187" s="21">
        <v>627</v>
      </c>
      <c r="AF187" s="21">
        <v>621.1</v>
      </c>
      <c r="AG187" s="21">
        <v>632.20000000000005</v>
      </c>
      <c r="AH187" s="21">
        <v>629.4</v>
      </c>
      <c r="AI187" s="21">
        <v>630.1</v>
      </c>
      <c r="AJ187" s="21">
        <v>634.1</v>
      </c>
      <c r="AK187" s="21">
        <v>656</v>
      </c>
      <c r="AL187" s="21">
        <v>654.20000000000005</v>
      </c>
      <c r="AM187" s="21">
        <v>645</v>
      </c>
      <c r="AN187" s="21">
        <v>636.29999999999995</v>
      </c>
      <c r="AO187" s="21">
        <v>636</v>
      </c>
      <c r="AP187" s="21">
        <v>652</v>
      </c>
      <c r="AQ187" s="21">
        <v>639.9</v>
      </c>
      <c r="AR187" s="21">
        <v>642.9</v>
      </c>
      <c r="AS187" s="21">
        <v>631.70000000000005</v>
      </c>
      <c r="AT187" s="21">
        <v>638.1</v>
      </c>
      <c r="AU187" s="21">
        <v>626</v>
      </c>
      <c r="AV187" s="21">
        <v>639.9</v>
      </c>
      <c r="AW187" s="21">
        <v>658</v>
      </c>
      <c r="AX187" s="21">
        <v>655</v>
      </c>
      <c r="AY187" s="21">
        <v>656.6</v>
      </c>
      <c r="AZ187" s="21">
        <v>665.8</v>
      </c>
      <c r="BA187" s="21">
        <v>666</v>
      </c>
      <c r="BB187" s="21">
        <v>657.2</v>
      </c>
      <c r="BC187" s="21">
        <v>652</v>
      </c>
      <c r="BD187" s="21">
        <v>650.20000000000005</v>
      </c>
      <c r="BE187" s="21">
        <v>641</v>
      </c>
      <c r="BF187" s="21">
        <v>640.4</v>
      </c>
      <c r="BG187" s="21">
        <v>637</v>
      </c>
      <c r="BH187" s="21">
        <v>644.5</v>
      </c>
      <c r="BI187" s="21">
        <v>634.5</v>
      </c>
      <c r="BJ187" s="21">
        <v>652</v>
      </c>
      <c r="BK187" s="21">
        <v>653</v>
      </c>
      <c r="BL187" s="21">
        <v>649.9</v>
      </c>
      <c r="BM187" s="1">
        <v>619.9</v>
      </c>
      <c r="BN187" s="1">
        <v>620</v>
      </c>
      <c r="BO187" s="1">
        <v>682.3</v>
      </c>
      <c r="BP187" s="1">
        <v>695</v>
      </c>
      <c r="BQ187" s="1">
        <v>674.9</v>
      </c>
      <c r="BR187" s="1">
        <v>676.1</v>
      </c>
      <c r="BS187" s="1">
        <v>688</v>
      </c>
      <c r="BT187" s="1">
        <v>691.6</v>
      </c>
      <c r="BU187" s="1">
        <v>695</v>
      </c>
      <c r="BV187" s="1">
        <v>690.1</v>
      </c>
      <c r="BW187" s="1">
        <v>689.1</v>
      </c>
      <c r="BX187" s="1">
        <v>683</v>
      </c>
      <c r="BY187" s="1">
        <v>672</v>
      </c>
      <c r="BZ187" s="1">
        <v>667.2</v>
      </c>
    </row>
    <row r="188" spans="1:254" ht="15.9" customHeight="1">
      <c r="A188" s="78" t="s">
        <v>370</v>
      </c>
      <c r="B188" s="17" t="s">
        <v>371</v>
      </c>
      <c r="C188" s="543">
        <f>_xll.RssMarket("6753","始値")</f>
        <v>619</v>
      </c>
      <c r="D188" s="23">
        <f t="shared" si="5"/>
        <v>0</v>
      </c>
      <c r="E188" s="550">
        <v>619</v>
      </c>
      <c r="F188" s="21">
        <v>617</v>
      </c>
      <c r="G188" s="21">
        <v>622.6</v>
      </c>
      <c r="H188" s="21">
        <v>613</v>
      </c>
      <c r="I188" s="21">
        <v>622.9</v>
      </c>
      <c r="J188" s="21">
        <v>638.9</v>
      </c>
      <c r="K188" s="21">
        <v>619.4</v>
      </c>
      <c r="L188" s="21">
        <v>611.6</v>
      </c>
      <c r="M188" s="21">
        <v>596.79999999999995</v>
      </c>
      <c r="N188" s="21">
        <v>601</v>
      </c>
      <c r="O188" s="21">
        <v>621</v>
      </c>
      <c r="P188" s="21">
        <v>624.1</v>
      </c>
      <c r="Q188" s="21">
        <v>637.29999999999995</v>
      </c>
      <c r="R188" s="21">
        <v>640</v>
      </c>
      <c r="S188" s="21">
        <v>653.1</v>
      </c>
      <c r="T188" s="21">
        <v>641</v>
      </c>
      <c r="U188" s="21">
        <v>645.4</v>
      </c>
      <c r="V188" s="21">
        <v>647.1</v>
      </c>
      <c r="W188" s="21">
        <v>641</v>
      </c>
      <c r="X188" s="21">
        <v>655</v>
      </c>
      <c r="Y188" s="21">
        <v>645</v>
      </c>
      <c r="Z188" s="21">
        <v>647</v>
      </c>
      <c r="AA188" s="21">
        <v>652</v>
      </c>
      <c r="AB188" s="21">
        <v>643.79999999999995</v>
      </c>
      <c r="AC188" s="21">
        <v>655</v>
      </c>
      <c r="AD188" s="21">
        <v>643.20000000000005</v>
      </c>
      <c r="AE188" s="21">
        <v>610.79999999999995</v>
      </c>
      <c r="AF188" s="21">
        <v>600.70000000000005</v>
      </c>
      <c r="AG188" s="21">
        <v>659</v>
      </c>
      <c r="AH188" s="21">
        <v>583.9</v>
      </c>
      <c r="AI188" s="21">
        <v>577.4</v>
      </c>
      <c r="AJ188" s="21">
        <v>570.1</v>
      </c>
      <c r="AK188" s="21">
        <v>594</v>
      </c>
      <c r="AL188" s="21">
        <v>590</v>
      </c>
      <c r="AM188" s="21">
        <v>594</v>
      </c>
      <c r="AN188" s="21">
        <v>610</v>
      </c>
      <c r="AO188" s="21">
        <v>611.20000000000005</v>
      </c>
      <c r="AP188" s="21">
        <v>630.5</v>
      </c>
      <c r="AQ188" s="21">
        <v>626.20000000000005</v>
      </c>
      <c r="AR188" s="21">
        <v>649.79999999999995</v>
      </c>
      <c r="AS188" s="21">
        <v>650</v>
      </c>
      <c r="AT188" s="21">
        <v>675</v>
      </c>
      <c r="AU188" s="21">
        <v>663.2</v>
      </c>
      <c r="AV188" s="21">
        <v>651.6</v>
      </c>
      <c r="AW188" s="21">
        <v>624</v>
      </c>
      <c r="AX188" s="21">
        <v>622</v>
      </c>
      <c r="AY188" s="21">
        <v>613</v>
      </c>
      <c r="AZ188" s="21">
        <v>626.6</v>
      </c>
      <c r="BA188" s="21">
        <v>640.9</v>
      </c>
      <c r="BB188" s="21">
        <v>616.29999999999995</v>
      </c>
      <c r="BC188" s="21">
        <v>604.4</v>
      </c>
      <c r="BD188" s="21">
        <v>635.4</v>
      </c>
      <c r="BE188" s="21">
        <v>615.79999999999995</v>
      </c>
      <c r="BF188" s="21">
        <v>609.9</v>
      </c>
      <c r="BG188" s="21">
        <v>574.9</v>
      </c>
      <c r="BH188" s="21">
        <v>581.1</v>
      </c>
      <c r="BI188" s="21">
        <v>550</v>
      </c>
      <c r="BJ188" s="21">
        <v>555</v>
      </c>
      <c r="BK188" s="21">
        <v>554.29999999999995</v>
      </c>
      <c r="BL188" s="21">
        <v>563.79999999999995</v>
      </c>
      <c r="BM188" s="1">
        <v>590.70000000000005</v>
      </c>
      <c r="BN188" s="1">
        <v>558.20000000000005</v>
      </c>
      <c r="BO188" s="1">
        <v>566.1</v>
      </c>
      <c r="BP188" s="1">
        <v>555</v>
      </c>
      <c r="BQ188" s="1">
        <v>551</v>
      </c>
      <c r="BR188" s="1">
        <v>582</v>
      </c>
      <c r="BS188" s="1">
        <v>604.6</v>
      </c>
      <c r="BT188" s="1">
        <v>605.1</v>
      </c>
      <c r="BU188" s="1">
        <v>617</v>
      </c>
      <c r="BV188" s="1">
        <v>617</v>
      </c>
      <c r="BW188" s="1">
        <v>604</v>
      </c>
      <c r="BX188" s="1">
        <v>600</v>
      </c>
      <c r="BY188" s="1">
        <v>596</v>
      </c>
      <c r="BZ188" s="1">
        <v>595.70000000000005</v>
      </c>
    </row>
    <row r="189" spans="1:254" ht="15.9" customHeight="1">
      <c r="A189" s="78" t="s">
        <v>372</v>
      </c>
      <c r="B189" s="17" t="str">
        <f>銘柄管理!C189</f>
        <v>ヤマトホールディングス</v>
      </c>
      <c r="C189" s="543">
        <f>_xll.RssMarket("9064","始値")</f>
        <v>1890</v>
      </c>
      <c r="D189" s="23"/>
      <c r="E189" s="550">
        <v>1890</v>
      </c>
      <c r="F189" s="21">
        <v>1910</v>
      </c>
      <c r="G189" s="21">
        <v>1991</v>
      </c>
      <c r="H189" s="21">
        <v>2055</v>
      </c>
      <c r="I189" s="21">
        <v>2080</v>
      </c>
      <c r="J189" s="21">
        <v>2181.5</v>
      </c>
      <c r="K189" s="21">
        <v>2135</v>
      </c>
      <c r="L189" s="21">
        <v>2072</v>
      </c>
      <c r="M189" s="21">
        <v>2049.5</v>
      </c>
      <c r="N189" s="21">
        <v>2021</v>
      </c>
      <c r="O189" s="21">
        <v>2024</v>
      </c>
      <c r="P189" s="21">
        <v>1991</v>
      </c>
      <c r="Q189" s="21">
        <v>2025</v>
      </c>
      <c r="R189" s="21">
        <v>1990</v>
      </c>
      <c r="S189" s="21">
        <v>1979.5</v>
      </c>
      <c r="T189" s="21">
        <v>1965</v>
      </c>
      <c r="U189" s="21">
        <v>1959.5</v>
      </c>
      <c r="V189" s="21">
        <v>1979.5</v>
      </c>
      <c r="W189" s="21">
        <v>1958.5</v>
      </c>
      <c r="X189" s="21">
        <v>1982</v>
      </c>
      <c r="Y189" s="21">
        <v>1980</v>
      </c>
      <c r="Z189" s="21">
        <v>1945.5</v>
      </c>
      <c r="AA189" s="21">
        <v>1943</v>
      </c>
      <c r="AB189" s="21">
        <v>1854</v>
      </c>
      <c r="AC189" s="21">
        <v>1826.5</v>
      </c>
      <c r="AD189" s="21">
        <v>1855</v>
      </c>
      <c r="AE189" s="21">
        <v>1825</v>
      </c>
      <c r="AF189" s="21">
        <v>1823</v>
      </c>
      <c r="AG189" s="21">
        <v>1775.5</v>
      </c>
      <c r="AH189" s="21">
        <v>1763.5</v>
      </c>
      <c r="AI189" s="21">
        <v>1764.5</v>
      </c>
      <c r="AJ189" s="21">
        <v>1770.5</v>
      </c>
      <c r="AK189" s="21">
        <v>1750</v>
      </c>
      <c r="AL189" s="21">
        <v>1744</v>
      </c>
      <c r="AM189" s="21">
        <v>1770</v>
      </c>
      <c r="AN189" s="21">
        <v>1773.5</v>
      </c>
      <c r="AO189" s="21">
        <v>1784</v>
      </c>
      <c r="AP189" s="21">
        <v>1834.5</v>
      </c>
      <c r="AQ189" s="21">
        <v>1795.5</v>
      </c>
      <c r="AR189" s="21">
        <v>1792.5</v>
      </c>
      <c r="AS189" s="21">
        <v>1785</v>
      </c>
      <c r="AT189" s="21">
        <v>1820</v>
      </c>
      <c r="AU189" s="21">
        <v>1823.5</v>
      </c>
      <c r="AV189" s="21">
        <v>1814</v>
      </c>
      <c r="AW189" s="21">
        <v>1794.5</v>
      </c>
      <c r="AX189" s="21">
        <v>1818.5</v>
      </c>
      <c r="AY189" s="21">
        <v>1779.5</v>
      </c>
      <c r="AZ189" s="21">
        <v>1787</v>
      </c>
      <c r="BA189" s="21">
        <v>1768.5</v>
      </c>
      <c r="BB189" s="21">
        <v>1775</v>
      </c>
      <c r="BC189" s="21">
        <v>1770</v>
      </c>
      <c r="BD189" s="21">
        <v>1763</v>
      </c>
      <c r="BE189" s="21">
        <v>1760.5</v>
      </c>
      <c r="BF189" s="21">
        <v>1739.5</v>
      </c>
      <c r="BG189" s="21">
        <v>1740</v>
      </c>
      <c r="BH189" s="21">
        <v>1747</v>
      </c>
      <c r="BI189" s="21">
        <v>1745</v>
      </c>
      <c r="BJ189" s="21">
        <v>1734.5</v>
      </c>
      <c r="BK189" s="21">
        <v>1775</v>
      </c>
      <c r="BL189" s="21">
        <v>1830</v>
      </c>
      <c r="BM189" s="1">
        <v>1748.5</v>
      </c>
      <c r="BN189" s="1">
        <v>1724.5</v>
      </c>
      <c r="BO189" s="1">
        <v>1780.5</v>
      </c>
      <c r="BP189" s="1">
        <v>1791</v>
      </c>
      <c r="BQ189" s="1">
        <v>1750</v>
      </c>
      <c r="BR189" s="1">
        <v>1764</v>
      </c>
      <c r="BS189" s="1">
        <v>1790</v>
      </c>
      <c r="BT189" s="1">
        <v>1815</v>
      </c>
      <c r="BU189" s="1">
        <v>1843.5</v>
      </c>
      <c r="BV189" s="1">
        <v>1855</v>
      </c>
      <c r="BW189" s="1">
        <v>1860</v>
      </c>
      <c r="BX189" s="1">
        <v>1856.5</v>
      </c>
      <c r="BY189" s="1">
        <v>1866</v>
      </c>
      <c r="BZ189" s="1">
        <v>1850.5</v>
      </c>
    </row>
    <row r="190" spans="1:254" ht="15.9" customHeight="1">
      <c r="A190" s="78" t="s">
        <v>373</v>
      </c>
      <c r="B190" s="17" t="s">
        <v>374</v>
      </c>
      <c r="C190" s="543">
        <f>_xll.RssMarket("7181","始値")</f>
        <v>1721</v>
      </c>
      <c r="D190" s="23">
        <f>C190-E190</f>
        <v>0</v>
      </c>
      <c r="E190" s="550">
        <v>1721</v>
      </c>
      <c r="F190" s="21">
        <v>1698.5</v>
      </c>
      <c r="G190" s="21">
        <v>1713</v>
      </c>
      <c r="H190" s="21">
        <v>1739.5</v>
      </c>
      <c r="I190" s="21">
        <v>1766</v>
      </c>
      <c r="J190" s="21">
        <v>1750</v>
      </c>
      <c r="K190" s="21">
        <v>1742</v>
      </c>
      <c r="L190" s="21">
        <v>1778</v>
      </c>
      <c r="M190" s="21">
        <v>1780.5</v>
      </c>
      <c r="N190" s="21">
        <v>1728.5</v>
      </c>
      <c r="O190" s="21">
        <v>1728</v>
      </c>
      <c r="P190" s="21">
        <v>1676</v>
      </c>
      <c r="Q190" s="21">
        <v>1631</v>
      </c>
      <c r="R190" s="21">
        <v>1645</v>
      </c>
      <c r="S190" s="21">
        <v>1671</v>
      </c>
      <c r="T190" s="21">
        <v>1634</v>
      </c>
      <c r="U190" s="21">
        <v>1620</v>
      </c>
      <c r="V190" s="21">
        <v>1633.5</v>
      </c>
      <c r="W190" s="21">
        <v>1641</v>
      </c>
      <c r="X190" s="21">
        <v>1625</v>
      </c>
      <c r="Y190" s="21">
        <v>1670</v>
      </c>
      <c r="Z190" s="21">
        <v>1611.5</v>
      </c>
      <c r="AA190" s="21">
        <v>1610</v>
      </c>
      <c r="AB190" s="21">
        <v>1553</v>
      </c>
      <c r="AC190" s="21">
        <v>1521.5</v>
      </c>
      <c r="AD190" s="21">
        <v>1511</v>
      </c>
      <c r="AE190" s="21">
        <v>1502.5</v>
      </c>
      <c r="AF190" s="21">
        <v>1484</v>
      </c>
      <c r="AG190" s="21">
        <v>1498.5</v>
      </c>
      <c r="AH190" s="21">
        <v>1558.5</v>
      </c>
      <c r="AI190" s="21">
        <v>1530</v>
      </c>
      <c r="AJ190" s="21">
        <v>1500</v>
      </c>
      <c r="AK190" s="21">
        <v>1529</v>
      </c>
      <c r="AL190" s="21">
        <v>1539</v>
      </c>
      <c r="AM190" s="21">
        <v>1580</v>
      </c>
      <c r="AN190" s="21">
        <v>1548.5</v>
      </c>
      <c r="AO190" s="21">
        <v>1535.5</v>
      </c>
      <c r="AP190" s="21">
        <v>1540</v>
      </c>
      <c r="AQ190" s="21">
        <v>1570</v>
      </c>
      <c r="AR190" s="21">
        <v>1556.5</v>
      </c>
      <c r="AS190" s="21">
        <v>1423.5</v>
      </c>
      <c r="AT190" s="21">
        <v>1434.5</v>
      </c>
      <c r="AU190" s="21">
        <v>1391</v>
      </c>
      <c r="AV190" s="21">
        <v>1437</v>
      </c>
      <c r="AW190" s="21">
        <v>1382.5</v>
      </c>
      <c r="AX190" s="21">
        <v>1400</v>
      </c>
      <c r="AY190" s="21">
        <v>1462</v>
      </c>
      <c r="AZ190" s="21">
        <v>1470.5</v>
      </c>
      <c r="BA190" s="21">
        <v>1505.5</v>
      </c>
      <c r="BB190" s="21">
        <v>1551</v>
      </c>
      <c r="BC190" s="21">
        <v>1530</v>
      </c>
      <c r="BD190" s="21">
        <v>1535</v>
      </c>
      <c r="BE190" s="21">
        <v>1474.5</v>
      </c>
      <c r="BF190" s="21">
        <v>1530</v>
      </c>
      <c r="BG190" s="21">
        <v>1616</v>
      </c>
      <c r="BH190" s="21">
        <v>1611</v>
      </c>
      <c r="BI190" s="21">
        <v>1568</v>
      </c>
      <c r="BJ190" s="21">
        <v>1564</v>
      </c>
      <c r="BK190" s="21">
        <v>1553.5</v>
      </c>
      <c r="BL190" s="21">
        <v>1567</v>
      </c>
      <c r="BM190" s="1">
        <v>1577.5</v>
      </c>
      <c r="BN190" s="1">
        <v>1518.5</v>
      </c>
      <c r="BO190" s="1">
        <v>1524.5</v>
      </c>
      <c r="BP190" s="1">
        <v>1511</v>
      </c>
      <c r="BQ190" s="1">
        <v>1481</v>
      </c>
      <c r="BR190" s="1">
        <v>1506</v>
      </c>
      <c r="BS190" s="1">
        <v>1476</v>
      </c>
      <c r="BT190" s="1">
        <v>1542</v>
      </c>
      <c r="BU190" s="1">
        <v>1577.5</v>
      </c>
      <c r="BV190" s="1">
        <v>1614</v>
      </c>
      <c r="BW190" s="1">
        <v>1644</v>
      </c>
      <c r="BX190" s="1">
        <v>1667</v>
      </c>
      <c r="BY190" s="1">
        <v>1649.5</v>
      </c>
      <c r="BZ190" s="1">
        <v>1613</v>
      </c>
    </row>
    <row r="191" spans="1:254" ht="15.9" customHeight="1">
      <c r="A191" s="78" t="s">
        <v>375</v>
      </c>
      <c r="B191" s="17" t="str">
        <f>銘柄管理!C191</f>
        <v>前澤給装工業</v>
      </c>
      <c r="C191" s="543">
        <f>_xll.RssMarket("6485","始値")</f>
        <v>1587</v>
      </c>
      <c r="D191" s="23"/>
      <c r="E191" s="550">
        <v>1587</v>
      </c>
      <c r="F191" s="21">
        <v>1580</v>
      </c>
      <c r="G191" s="21">
        <v>1560</v>
      </c>
      <c r="H191" s="21">
        <v>1571</v>
      </c>
      <c r="I191" s="21">
        <v>1584</v>
      </c>
      <c r="J191" s="21">
        <v>1595</v>
      </c>
      <c r="K191" s="21">
        <v>1580</v>
      </c>
      <c r="L191" s="21">
        <v>1592</v>
      </c>
      <c r="M191" s="21">
        <v>1554</v>
      </c>
      <c r="N191" s="21">
        <v>1535</v>
      </c>
      <c r="O191" s="21">
        <v>1544</v>
      </c>
      <c r="P191" s="21">
        <v>1532</v>
      </c>
      <c r="Q191" s="21">
        <v>1533</v>
      </c>
      <c r="R191" s="21">
        <v>1550</v>
      </c>
      <c r="S191" s="21">
        <v>1541</v>
      </c>
      <c r="T191" s="21">
        <v>1549</v>
      </c>
      <c r="U191" s="21">
        <v>1575</v>
      </c>
      <c r="V191" s="21">
        <v>1552</v>
      </c>
      <c r="W191" s="21">
        <v>1551</v>
      </c>
      <c r="X191" s="21">
        <v>1540</v>
      </c>
      <c r="Y191" s="21">
        <v>1524</v>
      </c>
      <c r="Z191" s="21">
        <v>1520</v>
      </c>
      <c r="AA191" s="21">
        <v>1538</v>
      </c>
      <c r="AB191" s="21">
        <v>1524</v>
      </c>
      <c r="AC191" s="21">
        <v>1496</v>
      </c>
      <c r="AD191" s="21">
        <v>1503</v>
      </c>
      <c r="AE191" s="21">
        <v>1502</v>
      </c>
      <c r="AF191" s="21">
        <v>1489</v>
      </c>
      <c r="AG191" s="21">
        <v>1477</v>
      </c>
      <c r="AH191" s="21">
        <v>1463</v>
      </c>
      <c r="AI191" s="21">
        <v>1470</v>
      </c>
      <c r="AJ191" s="21">
        <v>1483</v>
      </c>
      <c r="AK191" s="21">
        <v>1474</v>
      </c>
      <c r="AL191" s="21">
        <v>1454</v>
      </c>
      <c r="AM191" s="21">
        <v>1458</v>
      </c>
      <c r="AN191" s="21">
        <v>1440</v>
      </c>
      <c r="AO191" s="21">
        <v>1430</v>
      </c>
      <c r="AP191" s="21">
        <v>1419</v>
      </c>
      <c r="AQ191" s="21">
        <v>1435</v>
      </c>
      <c r="AR191" s="21">
        <v>1435</v>
      </c>
      <c r="AS191" s="21">
        <v>1433</v>
      </c>
      <c r="AT191" s="21">
        <v>1420</v>
      </c>
      <c r="AU191" s="21">
        <v>1393</v>
      </c>
      <c r="AV191" s="21">
        <v>1381</v>
      </c>
      <c r="AW191" s="21">
        <v>1380</v>
      </c>
      <c r="AX191" s="21">
        <v>1425</v>
      </c>
      <c r="AY191" s="21">
        <v>1420</v>
      </c>
      <c r="AZ191" s="21">
        <v>1415</v>
      </c>
      <c r="BA191" s="21">
        <v>1419</v>
      </c>
      <c r="BB191" s="21">
        <v>1420</v>
      </c>
      <c r="BC191" s="21">
        <v>1430</v>
      </c>
      <c r="BD191" s="21">
        <v>1449</v>
      </c>
      <c r="BE191" s="21">
        <v>1456</v>
      </c>
      <c r="BF191" s="21">
        <v>1475</v>
      </c>
      <c r="BG191" s="21">
        <v>1491</v>
      </c>
      <c r="BH191" s="21">
        <v>1490</v>
      </c>
      <c r="BI191" s="21">
        <v>1510</v>
      </c>
      <c r="BJ191" s="21">
        <v>1510</v>
      </c>
      <c r="BK191" s="21">
        <v>1515</v>
      </c>
      <c r="BL191" s="21">
        <v>1512</v>
      </c>
      <c r="BM191" s="1">
        <v>1510</v>
      </c>
      <c r="BN191" s="1">
        <v>1505</v>
      </c>
      <c r="BO191" s="1">
        <v>1515</v>
      </c>
      <c r="BP191" s="1">
        <v>1484</v>
      </c>
      <c r="BQ191" s="1">
        <v>1519</v>
      </c>
      <c r="BR191" s="1">
        <v>1504</v>
      </c>
      <c r="BS191" s="1">
        <v>1522</v>
      </c>
      <c r="BT191" s="1">
        <v>1550</v>
      </c>
      <c r="BU191" s="1">
        <v>1565</v>
      </c>
      <c r="BV191" s="1">
        <v>1562</v>
      </c>
      <c r="BW191" s="1">
        <v>1564</v>
      </c>
      <c r="BX191" s="1">
        <v>1586</v>
      </c>
      <c r="BY191" s="1">
        <v>1591</v>
      </c>
      <c r="BZ191" s="1">
        <v>1600</v>
      </c>
    </row>
    <row r="192" spans="1:254" ht="15.9" customHeight="1">
      <c r="A192" s="78" t="s">
        <v>376</v>
      </c>
      <c r="B192" s="17" t="s">
        <v>377</v>
      </c>
      <c r="C192" s="543">
        <f>_xll.RssMarket("4887","始値")</f>
        <v>1603</v>
      </c>
      <c r="D192" s="23">
        <f t="shared" ref="D192:D208" si="6">C192-E192</f>
        <v>0</v>
      </c>
      <c r="E192" s="550">
        <v>1603</v>
      </c>
      <c r="F192" s="21">
        <v>1605</v>
      </c>
      <c r="G192" s="21">
        <v>1606.5</v>
      </c>
      <c r="H192" s="21">
        <v>1637</v>
      </c>
      <c r="I192" s="21">
        <v>1676</v>
      </c>
      <c r="J192" s="21">
        <v>1710</v>
      </c>
      <c r="K192" s="21">
        <v>1686</v>
      </c>
      <c r="L192" s="21">
        <v>1679</v>
      </c>
      <c r="M192" s="21">
        <v>1664</v>
      </c>
      <c r="N192" s="21">
        <v>1655</v>
      </c>
      <c r="O192" s="21">
        <v>1672</v>
      </c>
      <c r="P192" s="21">
        <v>1685</v>
      </c>
      <c r="Q192" s="21">
        <v>1683</v>
      </c>
      <c r="R192" s="21">
        <v>1675</v>
      </c>
      <c r="S192" s="21">
        <v>1675</v>
      </c>
      <c r="T192" s="21">
        <v>1675</v>
      </c>
      <c r="U192" s="21">
        <v>1685</v>
      </c>
      <c r="V192" s="21">
        <v>1680</v>
      </c>
      <c r="W192" s="21">
        <v>1701.5</v>
      </c>
      <c r="X192" s="21">
        <v>1745</v>
      </c>
      <c r="Y192" s="21">
        <v>1750</v>
      </c>
      <c r="Z192" s="21">
        <v>1718</v>
      </c>
      <c r="AA192" s="21">
        <v>1725</v>
      </c>
      <c r="AB192" s="21">
        <v>1697</v>
      </c>
      <c r="AC192" s="21">
        <v>1685</v>
      </c>
      <c r="AD192" s="21">
        <v>1670</v>
      </c>
      <c r="AE192" s="21">
        <v>1644.5</v>
      </c>
      <c r="AF192" s="21">
        <v>1625</v>
      </c>
      <c r="AG192" s="21">
        <v>1668</v>
      </c>
      <c r="AH192" s="21">
        <v>1646.5</v>
      </c>
      <c r="AI192" s="21">
        <v>1621</v>
      </c>
      <c r="AJ192" s="21">
        <v>1630</v>
      </c>
      <c r="AK192" s="21">
        <v>1633.5</v>
      </c>
      <c r="AL192" s="21">
        <v>1669.5</v>
      </c>
      <c r="AM192" s="21">
        <v>1662.5</v>
      </c>
      <c r="AN192" s="21">
        <v>1664</v>
      </c>
      <c r="AO192" s="21">
        <v>1683</v>
      </c>
      <c r="AP192" s="21">
        <v>1692</v>
      </c>
      <c r="AQ192" s="21">
        <v>1710</v>
      </c>
      <c r="AR192" s="21">
        <v>1718</v>
      </c>
      <c r="AS192" s="21">
        <v>1691</v>
      </c>
      <c r="AT192" s="21">
        <v>1733</v>
      </c>
      <c r="AU192" s="21">
        <v>1725</v>
      </c>
      <c r="AV192" s="21">
        <v>1685</v>
      </c>
      <c r="AW192" s="21">
        <v>1718</v>
      </c>
      <c r="AX192" s="21">
        <v>1731</v>
      </c>
      <c r="AY192" s="21">
        <v>1776</v>
      </c>
      <c r="AZ192" s="21">
        <v>1759</v>
      </c>
      <c r="BA192" s="21">
        <v>1771</v>
      </c>
      <c r="BB192" s="21">
        <v>1750</v>
      </c>
      <c r="BC192" s="21">
        <v>1824</v>
      </c>
      <c r="BD192" s="21">
        <v>1815</v>
      </c>
      <c r="BE192" s="21">
        <v>1741</v>
      </c>
      <c r="BF192" s="21">
        <v>1782.5</v>
      </c>
      <c r="BG192" s="21">
        <v>2070</v>
      </c>
      <c r="BH192" s="21">
        <v>2090</v>
      </c>
      <c r="BI192" s="21">
        <v>2071</v>
      </c>
      <c r="BJ192" s="21">
        <v>2099.5</v>
      </c>
      <c r="BK192" s="21">
        <v>2101.5</v>
      </c>
      <c r="BL192" s="21">
        <v>2131</v>
      </c>
      <c r="BM192" s="1">
        <v>2088</v>
      </c>
      <c r="BN192" s="1">
        <v>2104.5</v>
      </c>
      <c r="BO192" s="1">
        <v>2105.5</v>
      </c>
      <c r="BP192" s="1">
        <v>2073</v>
      </c>
      <c r="BQ192" s="1">
        <v>2100</v>
      </c>
      <c r="BR192" s="1">
        <v>2093.5</v>
      </c>
      <c r="BS192" s="1">
        <v>2094.5</v>
      </c>
      <c r="BT192" s="1">
        <v>2162</v>
      </c>
      <c r="BU192" s="1">
        <v>2175</v>
      </c>
      <c r="BV192" s="1">
        <v>2225</v>
      </c>
      <c r="BW192" s="1">
        <v>2239.5</v>
      </c>
      <c r="BX192" s="1">
        <v>2240</v>
      </c>
      <c r="BY192" s="1">
        <v>2177</v>
      </c>
      <c r="BZ192" s="1">
        <v>2226.5</v>
      </c>
    </row>
    <row r="193" spans="1:254" ht="15.9" customHeight="1">
      <c r="A193" s="78" t="s">
        <v>378</v>
      </c>
      <c r="B193" s="17" t="s">
        <v>379</v>
      </c>
      <c r="C193" s="543">
        <f>_xll.RssMarket("5243","始値")</f>
        <v>2260</v>
      </c>
      <c r="D193" s="23">
        <f t="shared" si="6"/>
        <v>0</v>
      </c>
      <c r="E193" s="550">
        <v>2260</v>
      </c>
      <c r="F193" s="21">
        <v>2182</v>
      </c>
      <c r="G193" s="21">
        <v>1997</v>
      </c>
      <c r="H193" s="21">
        <v>2149</v>
      </c>
      <c r="I193" s="21">
        <v>2030</v>
      </c>
      <c r="J193" s="21">
        <v>2050</v>
      </c>
      <c r="K193" s="21">
        <v>2041</v>
      </c>
      <c r="L193" s="21">
        <v>2139</v>
      </c>
      <c r="M193" s="21">
        <v>2029</v>
      </c>
      <c r="N193" s="21">
        <v>2013</v>
      </c>
      <c r="O193" s="21">
        <v>1900</v>
      </c>
      <c r="P193" s="21">
        <v>2042</v>
      </c>
      <c r="Q193" s="21">
        <v>2020</v>
      </c>
      <c r="R193" s="21">
        <v>2123</v>
      </c>
      <c r="S193" s="21">
        <v>2052</v>
      </c>
      <c r="T193" s="21">
        <v>2091</v>
      </c>
      <c r="U193" s="21">
        <v>2254</v>
      </c>
      <c r="V193" s="21">
        <v>1990</v>
      </c>
      <c r="W193" s="21">
        <v>2189</v>
      </c>
      <c r="X193" s="21">
        <v>2319</v>
      </c>
      <c r="Y193" s="21">
        <v>2260</v>
      </c>
      <c r="Z193" s="21">
        <v>2130</v>
      </c>
      <c r="AA193" s="21">
        <v>2058</v>
      </c>
      <c r="AB193" s="21">
        <v>1931</v>
      </c>
      <c r="AC193" s="21">
        <v>1905</v>
      </c>
      <c r="AD193" s="21">
        <v>1860</v>
      </c>
      <c r="AE193" s="21">
        <v>1764</v>
      </c>
      <c r="AF193" s="21">
        <v>1730</v>
      </c>
      <c r="AG193" s="21">
        <v>1760</v>
      </c>
      <c r="AH193" s="21">
        <v>1781</v>
      </c>
      <c r="AI193" s="21">
        <v>1823</v>
      </c>
      <c r="AJ193" s="21">
        <v>1758</v>
      </c>
      <c r="AK193" s="21">
        <v>1889</v>
      </c>
      <c r="AL193" s="21">
        <v>1824</v>
      </c>
      <c r="AM193" s="21">
        <v>1749</v>
      </c>
      <c r="AN193" s="21">
        <v>1692</v>
      </c>
      <c r="AO193" s="21">
        <v>1678</v>
      </c>
      <c r="AP193" s="21">
        <v>1712</v>
      </c>
      <c r="AQ193" s="21">
        <v>1636</v>
      </c>
      <c r="AR193" s="21">
        <v>1725</v>
      </c>
      <c r="AS193" s="21">
        <v>1795</v>
      </c>
      <c r="AT193" s="21">
        <v>1815</v>
      </c>
      <c r="AU193" s="21">
        <v>1866</v>
      </c>
      <c r="AV193" s="21">
        <v>1900</v>
      </c>
      <c r="AW193" s="21">
        <v>1975</v>
      </c>
      <c r="AX193" s="21">
        <v>2090</v>
      </c>
      <c r="AY193" s="21">
        <v>2092</v>
      </c>
      <c r="AZ193" s="21">
        <v>2200</v>
      </c>
      <c r="BA193" s="21">
        <v>2250</v>
      </c>
      <c r="BB193" s="21">
        <v>2197</v>
      </c>
      <c r="BC193" s="21">
        <v>2150</v>
      </c>
      <c r="BD193" s="21">
        <v>2208</v>
      </c>
      <c r="BE193" s="21">
        <v>2300</v>
      </c>
      <c r="BF193" s="21">
        <v>2220</v>
      </c>
      <c r="BG193" s="21">
        <v>2299</v>
      </c>
      <c r="BH193" s="21">
        <v>2407</v>
      </c>
      <c r="BI193" s="21">
        <v>2273</v>
      </c>
      <c r="BJ193" s="21">
        <v>2135</v>
      </c>
      <c r="BK193" s="21">
        <v>2160</v>
      </c>
      <c r="BL193" s="21">
        <v>2288</v>
      </c>
      <c r="BM193" s="1">
        <v>2359</v>
      </c>
      <c r="BN193" s="1">
        <v>2405</v>
      </c>
      <c r="BO193" s="1">
        <v>2457</v>
      </c>
      <c r="BP193" s="1">
        <v>2330</v>
      </c>
      <c r="BQ193" s="1">
        <v>2385</v>
      </c>
      <c r="BR193" s="1">
        <v>2476</v>
      </c>
      <c r="BS193" s="1">
        <v>2556</v>
      </c>
      <c r="BT193" s="1">
        <v>2536</v>
      </c>
      <c r="BU193" s="1">
        <v>2615</v>
      </c>
      <c r="BV193" s="1">
        <v>2570</v>
      </c>
      <c r="BW193" s="1">
        <v>2706</v>
      </c>
      <c r="BX193" s="1">
        <v>2631</v>
      </c>
      <c r="BY193" s="1">
        <v>3400</v>
      </c>
      <c r="BZ193" s="1">
        <v>2900</v>
      </c>
    </row>
    <row r="194" spans="1:254" ht="15.9" customHeight="1">
      <c r="A194" s="78" t="s">
        <v>380</v>
      </c>
      <c r="B194" s="17" t="s">
        <v>381</v>
      </c>
      <c r="C194" s="543">
        <f>_xll.RssMarket("2702","始値")</f>
        <v>8080</v>
      </c>
      <c r="D194" s="23">
        <f t="shared" si="6"/>
        <v>0</v>
      </c>
      <c r="E194" s="550">
        <v>8080</v>
      </c>
      <c r="F194" s="21">
        <v>8140</v>
      </c>
      <c r="G194" s="21">
        <v>8220</v>
      </c>
      <c r="H194" s="21">
        <v>8150</v>
      </c>
      <c r="I194" s="21">
        <v>8060</v>
      </c>
      <c r="J194" s="21">
        <v>8090</v>
      </c>
      <c r="K194" s="21">
        <v>7940</v>
      </c>
      <c r="L194" s="21">
        <v>7750</v>
      </c>
      <c r="M194" s="21">
        <v>7610</v>
      </c>
      <c r="N194" s="21"/>
      <c r="O194" s="21">
        <v>7500</v>
      </c>
      <c r="P194" s="21">
        <v>7500</v>
      </c>
      <c r="Q194" s="21">
        <v>7680</v>
      </c>
      <c r="R194" s="21">
        <v>7530</v>
      </c>
      <c r="S194" s="21">
        <v>7700</v>
      </c>
      <c r="T194" s="21">
        <v>7780</v>
      </c>
      <c r="U194" s="21">
        <v>7680</v>
      </c>
      <c r="V194" s="21">
        <v>7850</v>
      </c>
      <c r="W194" s="21">
        <v>7730</v>
      </c>
      <c r="X194" s="21">
        <v>7730</v>
      </c>
      <c r="Y194" s="21">
        <v>7640</v>
      </c>
      <c r="Z194" s="21">
        <v>7680</v>
      </c>
      <c r="AA194" s="21">
        <v>7690</v>
      </c>
      <c r="AB194" s="21">
        <v>7450</v>
      </c>
      <c r="AC194" s="21">
        <v>7430</v>
      </c>
      <c r="AD194" s="21">
        <v>7670</v>
      </c>
      <c r="AE194" s="21">
        <v>7470</v>
      </c>
      <c r="AF194" s="21">
        <v>7420</v>
      </c>
      <c r="AG194" s="21">
        <v>7240</v>
      </c>
      <c r="AH194" s="21">
        <v>7140</v>
      </c>
      <c r="AI194" s="21">
        <v>7130</v>
      </c>
      <c r="AJ194" s="21">
        <v>7250</v>
      </c>
      <c r="AK194" s="21">
        <v>7290</v>
      </c>
      <c r="AL194" s="21">
        <v>7410</v>
      </c>
      <c r="AM194" s="21">
        <v>7380</v>
      </c>
      <c r="AN194" s="21">
        <v>7480</v>
      </c>
      <c r="AO194" s="21">
        <v>7500</v>
      </c>
      <c r="AP194" s="21">
        <v>7410</v>
      </c>
      <c r="AQ194" s="21">
        <v>7330</v>
      </c>
      <c r="AR194" s="21">
        <v>7350</v>
      </c>
      <c r="AS194" s="21">
        <v>7360</v>
      </c>
      <c r="AT194" s="21">
        <v>7460</v>
      </c>
      <c r="AU194" s="21">
        <v>7500</v>
      </c>
      <c r="AV194" s="21">
        <v>7520</v>
      </c>
      <c r="AW194" s="21">
        <v>7640</v>
      </c>
      <c r="AX194" s="21">
        <v>7830</v>
      </c>
      <c r="AY194" s="21">
        <v>7820</v>
      </c>
      <c r="AZ194" s="21">
        <v>8050</v>
      </c>
      <c r="BA194" s="21">
        <v>8180</v>
      </c>
      <c r="BB194" s="21">
        <v>8040</v>
      </c>
      <c r="BC194" s="21">
        <v>8180</v>
      </c>
      <c r="BD194" s="21">
        <v>8000</v>
      </c>
      <c r="BE194" s="21">
        <v>7810</v>
      </c>
      <c r="BF194" s="21">
        <v>8190</v>
      </c>
      <c r="BG194" s="21">
        <v>8300</v>
      </c>
      <c r="BH194" s="21">
        <v>8580</v>
      </c>
      <c r="BI194" s="21">
        <v>8420</v>
      </c>
      <c r="BJ194" s="21">
        <v>7750</v>
      </c>
      <c r="BK194" s="21">
        <v>7810</v>
      </c>
      <c r="BL194" s="21">
        <v>7970</v>
      </c>
      <c r="BM194" s="1">
        <v>8120</v>
      </c>
      <c r="BN194" s="1">
        <v>8120</v>
      </c>
      <c r="BO194" s="1">
        <v>8190</v>
      </c>
      <c r="BP194" s="1">
        <v>8240</v>
      </c>
      <c r="BQ194" s="1">
        <v>8080</v>
      </c>
      <c r="BR194" s="1">
        <v>8140</v>
      </c>
      <c r="BS194" s="1">
        <v>8180</v>
      </c>
      <c r="BT194" s="1">
        <v>8250</v>
      </c>
      <c r="BU194" s="1">
        <v>8280</v>
      </c>
      <c r="BV194" s="1">
        <v>8200</v>
      </c>
      <c r="BW194" s="1">
        <v>8200</v>
      </c>
      <c r="BX194" s="1">
        <v>8280</v>
      </c>
      <c r="BY194" s="1">
        <v>8050</v>
      </c>
      <c r="BZ194" s="1">
        <v>8040</v>
      </c>
    </row>
    <row r="195" spans="1:254" ht="15.9" customHeight="1">
      <c r="A195" s="78" t="s">
        <v>382</v>
      </c>
      <c r="B195" s="17" t="s">
        <v>383</v>
      </c>
      <c r="C195" s="543">
        <f>_xll.RssMarket("6890","始値")</f>
        <v>8900</v>
      </c>
      <c r="D195" s="23">
        <f t="shared" si="6"/>
        <v>0</v>
      </c>
      <c r="E195" s="550">
        <v>8900</v>
      </c>
      <c r="F195" s="21">
        <v>8980</v>
      </c>
      <c r="G195" s="21">
        <v>8300</v>
      </c>
      <c r="H195" s="21">
        <v>7900</v>
      </c>
      <c r="I195" s="21">
        <v>8510</v>
      </c>
      <c r="J195" s="21">
        <v>7330</v>
      </c>
      <c r="K195" s="21">
        <v>7670</v>
      </c>
      <c r="L195" s="21">
        <v>8130</v>
      </c>
      <c r="M195" s="21">
        <v>9080</v>
      </c>
      <c r="N195" s="21">
        <v>9090</v>
      </c>
      <c r="O195" s="21">
        <v>8940</v>
      </c>
      <c r="P195" s="21">
        <v>7750</v>
      </c>
      <c r="Q195" s="21">
        <v>7100</v>
      </c>
      <c r="R195" s="21">
        <v>7350</v>
      </c>
      <c r="S195" s="21">
        <v>8160</v>
      </c>
      <c r="T195" s="21">
        <v>8280</v>
      </c>
      <c r="U195" s="21">
        <v>9000</v>
      </c>
      <c r="V195" s="21">
        <v>8740</v>
      </c>
      <c r="W195" s="21">
        <v>8600</v>
      </c>
      <c r="X195" s="21">
        <v>8140</v>
      </c>
      <c r="Y195" s="21">
        <v>8840</v>
      </c>
      <c r="Z195" s="21">
        <v>9240</v>
      </c>
      <c r="AA195" s="21">
        <v>8650</v>
      </c>
      <c r="AB195" s="21">
        <v>9250</v>
      </c>
      <c r="AC195" s="21">
        <v>9800</v>
      </c>
      <c r="AD195" s="21">
        <v>9330</v>
      </c>
      <c r="AE195" s="21">
        <v>9240</v>
      </c>
      <c r="AF195" s="21">
        <v>9790</v>
      </c>
      <c r="AG195" s="21">
        <v>10400</v>
      </c>
      <c r="AH195" s="21">
        <v>10500</v>
      </c>
      <c r="AI195" s="21">
        <v>11610</v>
      </c>
      <c r="AJ195" s="21">
        <v>10590</v>
      </c>
      <c r="AK195" s="21">
        <v>10580</v>
      </c>
      <c r="AL195" s="21">
        <v>9580</v>
      </c>
      <c r="AM195" s="21">
        <v>9020</v>
      </c>
      <c r="AN195" s="21">
        <v>9210</v>
      </c>
      <c r="AO195" s="21">
        <v>9390</v>
      </c>
      <c r="AP195" s="21">
        <v>8780</v>
      </c>
      <c r="AQ195" s="21">
        <v>7580</v>
      </c>
      <c r="AR195" s="21">
        <v>8120</v>
      </c>
      <c r="AS195" s="21">
        <v>8500</v>
      </c>
      <c r="AT195" s="21">
        <v>8900</v>
      </c>
      <c r="AU195" s="21">
        <v>7950</v>
      </c>
      <c r="AV195" s="21">
        <v>8210</v>
      </c>
      <c r="AW195" s="21">
        <v>8000</v>
      </c>
      <c r="AX195" s="21">
        <v>8570</v>
      </c>
      <c r="AY195" s="21">
        <v>8470</v>
      </c>
      <c r="AZ195" s="21">
        <v>9200</v>
      </c>
      <c r="BA195" s="21">
        <v>9200</v>
      </c>
      <c r="BB195" s="21">
        <v>9000</v>
      </c>
      <c r="BC195" s="21">
        <v>9200</v>
      </c>
      <c r="BD195" s="21">
        <v>8780</v>
      </c>
      <c r="BE195" s="21">
        <v>9300</v>
      </c>
      <c r="BF195" s="21">
        <v>9610</v>
      </c>
      <c r="BG195" s="21">
        <v>9780</v>
      </c>
      <c r="BH195" s="21">
        <v>9650</v>
      </c>
      <c r="BI195" s="21">
        <v>9170</v>
      </c>
      <c r="BJ195" s="21">
        <v>9760</v>
      </c>
      <c r="BK195" s="21">
        <v>9810</v>
      </c>
      <c r="BL195" s="21">
        <v>9090</v>
      </c>
      <c r="BM195" s="1">
        <v>8370</v>
      </c>
      <c r="BN195" s="1">
        <v>7650</v>
      </c>
      <c r="BO195" s="1">
        <v>7740</v>
      </c>
      <c r="BP195" s="1">
        <v>7220</v>
      </c>
      <c r="BQ195" s="1">
        <v>7510</v>
      </c>
      <c r="BR195" s="1">
        <v>7200</v>
      </c>
      <c r="BS195" s="1">
        <v>7100</v>
      </c>
      <c r="BT195" s="1">
        <v>6720</v>
      </c>
      <c r="BU195" s="1">
        <v>6800</v>
      </c>
      <c r="BV195" s="1">
        <v>6800</v>
      </c>
      <c r="BW195" s="1">
        <v>6780</v>
      </c>
      <c r="BX195" s="1">
        <v>6780</v>
      </c>
      <c r="BY195" s="1">
        <v>6930</v>
      </c>
      <c r="BZ195" s="1">
        <v>7130</v>
      </c>
    </row>
    <row r="196" spans="1:254" ht="15.9" customHeight="1">
      <c r="A196" s="78" t="s">
        <v>384</v>
      </c>
      <c r="B196" s="17" t="s">
        <v>385</v>
      </c>
      <c r="C196" s="543">
        <f>_xll.RssMarket("4966","始値")</f>
        <v>25000</v>
      </c>
      <c r="D196" s="23">
        <f t="shared" si="6"/>
        <v>0</v>
      </c>
      <c r="E196" s="550">
        <v>25000</v>
      </c>
      <c r="F196" s="21">
        <v>24790</v>
      </c>
      <c r="G196" s="21">
        <v>22500</v>
      </c>
      <c r="H196" s="21">
        <v>22380</v>
      </c>
      <c r="I196" s="21">
        <v>21950</v>
      </c>
      <c r="J196" s="21">
        <v>19770</v>
      </c>
      <c r="K196" s="21">
        <v>21630</v>
      </c>
      <c r="L196" s="21">
        <v>22220</v>
      </c>
      <c r="M196" s="21">
        <v>23430</v>
      </c>
      <c r="N196" s="21">
        <v>24480</v>
      </c>
      <c r="O196" s="21">
        <v>23890</v>
      </c>
      <c r="P196" s="21">
        <v>23530</v>
      </c>
      <c r="Q196" s="21">
        <v>23420</v>
      </c>
      <c r="R196" s="21">
        <v>23800</v>
      </c>
      <c r="S196" s="21">
        <v>24520</v>
      </c>
      <c r="T196" s="21">
        <v>23260</v>
      </c>
      <c r="U196" s="21">
        <v>24400</v>
      </c>
      <c r="V196" s="21">
        <v>25250</v>
      </c>
      <c r="W196" s="21">
        <v>24750</v>
      </c>
      <c r="X196" s="21">
        <v>23150</v>
      </c>
      <c r="Y196" s="21">
        <v>25300</v>
      </c>
      <c r="Z196" s="21">
        <v>27130</v>
      </c>
      <c r="AA196" s="21">
        <v>25000</v>
      </c>
      <c r="AB196" s="21">
        <v>26610</v>
      </c>
      <c r="AC196" s="21">
        <v>27870</v>
      </c>
      <c r="AD196" s="21">
        <v>26850</v>
      </c>
      <c r="AE196" s="21">
        <v>26670</v>
      </c>
      <c r="AF196" s="21">
        <v>27500</v>
      </c>
      <c r="AG196" s="21">
        <v>27690</v>
      </c>
      <c r="AH196" s="21">
        <v>26930</v>
      </c>
      <c r="AI196" s="21">
        <v>28200</v>
      </c>
      <c r="AJ196" s="21">
        <v>27540</v>
      </c>
      <c r="AK196" s="21">
        <v>27140</v>
      </c>
      <c r="AL196" s="21">
        <v>26520</v>
      </c>
      <c r="AM196" s="21">
        <v>26000</v>
      </c>
      <c r="AN196" s="21">
        <v>26190</v>
      </c>
      <c r="AO196" s="21">
        <v>24840</v>
      </c>
      <c r="AP196" s="21">
        <v>24050</v>
      </c>
      <c r="AQ196" s="21">
        <v>22230</v>
      </c>
      <c r="AR196" s="21">
        <v>22450</v>
      </c>
      <c r="AS196" s="21">
        <v>21240</v>
      </c>
      <c r="AT196" s="21">
        <v>23020</v>
      </c>
      <c r="AU196" s="21">
        <v>23500</v>
      </c>
      <c r="AV196" s="21">
        <v>23250</v>
      </c>
      <c r="AW196" s="21">
        <v>23080</v>
      </c>
      <c r="AX196" s="21">
        <v>23560</v>
      </c>
      <c r="AY196" s="21">
        <v>23570</v>
      </c>
      <c r="AZ196" s="21">
        <v>24110</v>
      </c>
      <c r="BA196" s="21">
        <v>24450</v>
      </c>
      <c r="BB196" s="21">
        <v>23440</v>
      </c>
      <c r="BC196" s="21">
        <v>23250</v>
      </c>
      <c r="BD196" s="21">
        <v>22310</v>
      </c>
      <c r="BE196" s="21">
        <v>24240</v>
      </c>
      <c r="BF196" s="21">
        <v>23990</v>
      </c>
      <c r="BG196" s="21">
        <v>26180</v>
      </c>
      <c r="BH196" s="21">
        <v>25010</v>
      </c>
      <c r="BI196" s="21">
        <v>24370</v>
      </c>
      <c r="BJ196" s="21">
        <v>24580</v>
      </c>
      <c r="BK196" s="21">
        <v>24000</v>
      </c>
      <c r="BL196" s="21">
        <v>23300</v>
      </c>
      <c r="BM196" s="1">
        <v>23440</v>
      </c>
      <c r="BN196" s="1">
        <v>23440</v>
      </c>
      <c r="BO196" s="1">
        <v>23500</v>
      </c>
      <c r="BP196" s="1">
        <v>23150</v>
      </c>
      <c r="BQ196" s="1">
        <v>23500</v>
      </c>
      <c r="BR196" s="1">
        <v>23160</v>
      </c>
      <c r="BS196" s="1">
        <v>23700</v>
      </c>
      <c r="BT196" s="1">
        <v>23020</v>
      </c>
      <c r="BU196" s="1">
        <v>23050</v>
      </c>
      <c r="BV196" s="1">
        <v>23000</v>
      </c>
      <c r="BW196" s="1">
        <v>24130</v>
      </c>
      <c r="BX196" s="1">
        <v>24390</v>
      </c>
      <c r="BY196" s="1">
        <v>24500</v>
      </c>
      <c r="BZ196" s="1">
        <v>24200</v>
      </c>
    </row>
    <row r="197" spans="1:254" ht="15.9" customHeight="1">
      <c r="A197" s="78" t="s">
        <v>386</v>
      </c>
      <c r="B197" s="17" t="s">
        <v>387</v>
      </c>
      <c r="C197" s="543">
        <f>_xll.RssMarket("6146","始値")</f>
        <v>61800</v>
      </c>
      <c r="D197" s="23">
        <f t="shared" si="6"/>
        <v>0</v>
      </c>
      <c r="E197" s="550">
        <v>61800</v>
      </c>
      <c r="F197" s="21">
        <v>63890</v>
      </c>
      <c r="G197" s="21">
        <v>60580</v>
      </c>
      <c r="H197" s="21">
        <v>58000</v>
      </c>
      <c r="I197" s="21">
        <v>59870</v>
      </c>
      <c r="J197" s="21">
        <v>50590</v>
      </c>
      <c r="K197" s="21">
        <v>54030</v>
      </c>
      <c r="L197" s="21">
        <v>57000</v>
      </c>
      <c r="M197" s="21">
        <v>61640</v>
      </c>
      <c r="N197" s="21">
        <v>62800</v>
      </c>
      <c r="O197" s="21">
        <v>70250</v>
      </c>
      <c r="P197" s="21">
        <v>68840</v>
      </c>
      <c r="Q197" s="21">
        <v>64790</v>
      </c>
      <c r="R197" s="21">
        <v>65680</v>
      </c>
      <c r="S197" s="21">
        <v>72150</v>
      </c>
      <c r="T197" s="21">
        <v>70030</v>
      </c>
      <c r="U197" s="21">
        <v>71710</v>
      </c>
      <c r="V197" s="21">
        <v>72890</v>
      </c>
      <c r="W197" s="21">
        <v>70140</v>
      </c>
      <c r="X197" s="21">
        <v>68900</v>
      </c>
      <c r="Y197" s="21">
        <v>75600</v>
      </c>
      <c r="Z197" s="21">
        <v>78000</v>
      </c>
      <c r="AA197" s="21">
        <v>74000</v>
      </c>
      <c r="AB197" s="21">
        <v>78800</v>
      </c>
      <c r="AC197" s="21">
        <v>85340</v>
      </c>
      <c r="AD197" s="21">
        <v>81820</v>
      </c>
      <c r="AE197" s="21">
        <v>79590</v>
      </c>
      <c r="AF197" s="21">
        <v>82970</v>
      </c>
      <c r="AG197" s="21">
        <v>83940</v>
      </c>
      <c r="AH197" s="21">
        <v>82120</v>
      </c>
      <c r="AI197" s="21">
        <v>90970</v>
      </c>
      <c r="AJ197" s="21">
        <v>86030</v>
      </c>
      <c r="AK197" s="21">
        <v>87540</v>
      </c>
      <c r="AL197" s="21">
        <v>83500</v>
      </c>
      <c r="AM197" s="21">
        <v>80050</v>
      </c>
      <c r="AN197" s="21">
        <v>84610</v>
      </c>
      <c r="AO197" s="21">
        <v>82650</v>
      </c>
      <c r="AP197" s="21">
        <v>73750</v>
      </c>
      <c r="AQ197" s="21">
        <v>68560</v>
      </c>
      <c r="AR197" s="21">
        <v>70020</v>
      </c>
      <c r="AS197" s="21">
        <v>66580</v>
      </c>
      <c r="AT197" s="21">
        <v>73160</v>
      </c>
      <c r="AU197" s="21">
        <v>68160</v>
      </c>
      <c r="AV197" s="21">
        <v>65910</v>
      </c>
      <c r="AW197" s="21">
        <v>63070</v>
      </c>
      <c r="AX197" s="21">
        <v>65690</v>
      </c>
      <c r="AY197" s="21">
        <v>66630</v>
      </c>
      <c r="AZ197" s="21">
        <v>68740</v>
      </c>
      <c r="BA197" s="21">
        <v>67240</v>
      </c>
      <c r="BB197" s="21">
        <v>66700</v>
      </c>
      <c r="BC197" s="21">
        <v>63600</v>
      </c>
      <c r="BD197" s="21">
        <v>61200</v>
      </c>
      <c r="BE197" s="21">
        <v>63500</v>
      </c>
      <c r="BF197" s="21">
        <v>65400</v>
      </c>
      <c r="BG197" s="21">
        <v>71500</v>
      </c>
      <c r="BH197" s="21">
        <v>73500</v>
      </c>
      <c r="BI197" s="21">
        <v>71370</v>
      </c>
      <c r="BJ197" s="21">
        <v>73650</v>
      </c>
      <c r="BK197" s="21">
        <v>74770</v>
      </c>
      <c r="BL197" s="21">
        <v>75840</v>
      </c>
      <c r="BM197" s="1">
        <v>76060</v>
      </c>
      <c r="BN197" s="1">
        <v>73860</v>
      </c>
      <c r="BO197" s="1">
        <v>74540</v>
      </c>
      <c r="BP197" s="1">
        <v>75100</v>
      </c>
      <c r="BQ197" s="1">
        <v>73000</v>
      </c>
      <c r="BR197" s="1">
        <v>73030</v>
      </c>
      <c r="BS197" s="1">
        <v>76330</v>
      </c>
      <c r="BT197" s="1">
        <v>74500</v>
      </c>
      <c r="BU197" s="1">
        <v>72000</v>
      </c>
      <c r="BV197" s="1">
        <v>73400</v>
      </c>
      <c r="BW197" s="1">
        <v>72550</v>
      </c>
      <c r="BX197" s="1">
        <v>71750</v>
      </c>
      <c r="BY197" s="1">
        <v>72950</v>
      </c>
      <c r="BZ197" s="1">
        <v>70540</v>
      </c>
    </row>
    <row r="198" spans="1:254" ht="15.9" customHeight="1">
      <c r="A198" s="78" t="s">
        <v>388</v>
      </c>
      <c r="B198" s="17" t="s">
        <v>389</v>
      </c>
      <c r="C198" s="543">
        <f>_xll.RssMarket("8035","始値")</f>
        <v>56550</v>
      </c>
      <c r="D198" s="23">
        <f t="shared" si="6"/>
        <v>0</v>
      </c>
      <c r="E198" s="550">
        <v>56550</v>
      </c>
      <c r="F198" s="21">
        <v>59000</v>
      </c>
      <c r="G198" s="21">
        <v>55880</v>
      </c>
      <c r="H198" s="21">
        <v>53900</v>
      </c>
      <c r="I198" s="21">
        <v>59240</v>
      </c>
      <c r="J198" s="21">
        <v>49000</v>
      </c>
      <c r="K198" s="21">
        <v>53920</v>
      </c>
      <c r="L198" s="21">
        <v>56530</v>
      </c>
      <c r="M198" s="21">
        <v>63660</v>
      </c>
      <c r="N198" s="21">
        <v>64950</v>
      </c>
      <c r="O198" s="21">
        <v>66470</v>
      </c>
      <c r="P198" s="21">
        <v>69570</v>
      </c>
      <c r="Q198" s="21">
        <v>64350</v>
      </c>
      <c r="R198" s="21">
        <v>67000</v>
      </c>
      <c r="S198" s="21">
        <v>71900</v>
      </c>
      <c r="T198" s="21">
        <v>69800</v>
      </c>
      <c r="U198" s="21">
        <v>71900</v>
      </c>
      <c r="V198" s="21">
        <v>72900</v>
      </c>
      <c r="W198" s="21">
        <v>69900</v>
      </c>
      <c r="X198" s="21">
        <v>67470</v>
      </c>
      <c r="Y198" s="21">
        <v>71710</v>
      </c>
      <c r="Z198" s="21">
        <v>74090</v>
      </c>
      <c r="AA198" s="21">
        <v>69940</v>
      </c>
      <c r="AB198" s="21">
        <v>74300</v>
      </c>
      <c r="AC198" s="21">
        <v>78650</v>
      </c>
      <c r="AD198" s="21">
        <v>76980</v>
      </c>
      <c r="AE198" s="21">
        <v>73500</v>
      </c>
      <c r="AF198" s="21">
        <v>72560</v>
      </c>
      <c r="AG198" s="21">
        <v>72400</v>
      </c>
      <c r="AH198" s="21">
        <v>71760</v>
      </c>
      <c r="AI198" s="21">
        <v>77500</v>
      </c>
      <c r="AJ198" s="21">
        <v>73990</v>
      </c>
      <c r="AK198" s="21">
        <v>77580</v>
      </c>
      <c r="AL198" s="21">
        <v>73870</v>
      </c>
      <c r="AM198" s="21">
        <v>69970</v>
      </c>
      <c r="AN198" s="21">
        <v>71510</v>
      </c>
      <c r="AO198" s="21">
        <v>74800</v>
      </c>
      <c r="AP198" s="21">
        <v>68400</v>
      </c>
      <c r="AQ198" s="21">
        <v>61000</v>
      </c>
      <c r="AR198" s="21">
        <v>61110</v>
      </c>
      <c r="AS198" s="21">
        <v>55650</v>
      </c>
      <c r="AT198" s="21">
        <v>62000</v>
      </c>
      <c r="AU198" s="21">
        <v>59900</v>
      </c>
      <c r="AV198" s="21">
        <v>56710</v>
      </c>
      <c r="AW198" s="21">
        <v>53060</v>
      </c>
      <c r="AX198" s="21">
        <v>52780</v>
      </c>
      <c r="AY198" s="21">
        <v>52000</v>
      </c>
      <c r="AZ198" s="21">
        <v>52870</v>
      </c>
      <c r="BA198" s="21">
        <v>50530</v>
      </c>
      <c r="BB198" s="21">
        <v>49050</v>
      </c>
      <c r="BC198" s="21">
        <v>47650</v>
      </c>
      <c r="BD198" s="21">
        <v>46700</v>
      </c>
      <c r="BE198" s="21">
        <v>49960</v>
      </c>
      <c r="BF198" s="21">
        <v>50600</v>
      </c>
      <c r="BG198" s="21">
        <v>52150</v>
      </c>
      <c r="BH198" s="21">
        <v>51590</v>
      </c>
      <c r="BI198" s="21">
        <v>51510</v>
      </c>
      <c r="BJ198" s="21">
        <v>53000</v>
      </c>
      <c r="BK198" s="21">
        <v>53500</v>
      </c>
      <c r="BL198" s="21">
        <v>51720</v>
      </c>
      <c r="BM198" s="1">
        <v>51180</v>
      </c>
      <c r="BN198" s="1">
        <v>47000</v>
      </c>
      <c r="BO198" s="1">
        <v>45000</v>
      </c>
      <c r="BP198" s="1">
        <v>46880</v>
      </c>
      <c r="BQ198" s="1">
        <v>46460</v>
      </c>
      <c r="BR198" s="1">
        <v>45450</v>
      </c>
      <c r="BS198" s="1">
        <v>46150</v>
      </c>
      <c r="BT198" s="1">
        <v>45170</v>
      </c>
      <c r="BU198" s="1">
        <v>44740</v>
      </c>
      <c r="BV198" s="1">
        <v>43870</v>
      </c>
      <c r="BW198" s="1">
        <v>45120</v>
      </c>
      <c r="BX198" s="1">
        <v>44200</v>
      </c>
      <c r="BY198" s="1">
        <v>43870</v>
      </c>
      <c r="BZ198" s="1">
        <v>43160</v>
      </c>
    </row>
    <row r="199" spans="1:254" ht="15.9" customHeight="1">
      <c r="A199" s="78" t="s">
        <v>390</v>
      </c>
      <c r="B199" s="17" t="s">
        <v>391</v>
      </c>
      <c r="C199" s="543">
        <f>_xll.RssMarket("6920","始値")</f>
        <v>45280</v>
      </c>
      <c r="D199" s="23">
        <f t="shared" si="6"/>
        <v>0</v>
      </c>
      <c r="E199" s="550">
        <v>45280</v>
      </c>
      <c r="F199" s="21">
        <v>45140</v>
      </c>
      <c r="G199" s="21">
        <v>41520</v>
      </c>
      <c r="H199" s="21">
        <v>37210</v>
      </c>
      <c r="I199" s="21">
        <v>38520</v>
      </c>
      <c r="J199" s="21">
        <v>34350</v>
      </c>
      <c r="K199" s="21">
        <v>37450</v>
      </c>
      <c r="L199" s="21">
        <v>40000</v>
      </c>
      <c r="M199" s="21">
        <v>43870</v>
      </c>
      <c r="N199" s="21">
        <v>44810</v>
      </c>
      <c r="O199" s="21">
        <v>45000</v>
      </c>
      <c r="P199" s="21">
        <v>44770</v>
      </c>
      <c r="Q199" s="21">
        <v>41900</v>
      </c>
      <c r="R199" s="21">
        <v>43000</v>
      </c>
      <c r="S199" s="21">
        <v>47060</v>
      </c>
      <c r="T199" s="21">
        <v>44560</v>
      </c>
      <c r="U199" s="21">
        <v>44130</v>
      </c>
      <c r="V199" s="21">
        <v>44080</v>
      </c>
      <c r="W199" s="21">
        <v>43030</v>
      </c>
      <c r="X199" s="21">
        <v>42650</v>
      </c>
      <c r="Y199" s="21">
        <v>45990</v>
      </c>
      <c r="Z199" s="21">
        <v>47740</v>
      </c>
      <c r="AA199" s="21">
        <v>46000</v>
      </c>
      <c r="AB199" s="21">
        <v>47690</v>
      </c>
      <c r="AC199" s="21">
        <v>52180</v>
      </c>
      <c r="AD199" s="21">
        <v>50600</v>
      </c>
      <c r="AE199" s="21">
        <v>50400</v>
      </c>
      <c r="AF199" s="21">
        <v>51590</v>
      </c>
      <c r="AG199" s="21">
        <v>52610</v>
      </c>
      <c r="AH199" s="21">
        <v>52540</v>
      </c>
      <c r="AI199" s="21">
        <v>57270</v>
      </c>
      <c r="AJ199" s="21">
        <v>54800</v>
      </c>
      <c r="AK199" s="21">
        <v>57500</v>
      </c>
      <c r="AL199" s="21">
        <v>53700</v>
      </c>
      <c r="AM199" s="21">
        <v>45870</v>
      </c>
      <c r="AN199" s="21">
        <v>47600</v>
      </c>
      <c r="AO199" s="21">
        <v>46000</v>
      </c>
      <c r="AP199" s="21">
        <v>42000</v>
      </c>
      <c r="AQ199" s="21">
        <v>38550</v>
      </c>
      <c r="AR199" s="21">
        <v>39970</v>
      </c>
      <c r="AS199" s="21">
        <v>39380</v>
      </c>
      <c r="AT199" s="21">
        <v>42050</v>
      </c>
      <c r="AU199" s="21">
        <v>41500</v>
      </c>
      <c r="AV199" s="21">
        <v>40420</v>
      </c>
      <c r="AW199" s="21">
        <v>38360</v>
      </c>
      <c r="AX199" s="21">
        <v>40810</v>
      </c>
      <c r="AY199" s="21">
        <v>40830</v>
      </c>
      <c r="AZ199" s="21">
        <v>42990</v>
      </c>
      <c r="BA199" s="21">
        <v>40300</v>
      </c>
      <c r="BB199" s="21">
        <v>38590</v>
      </c>
      <c r="BC199" s="21">
        <v>37050</v>
      </c>
      <c r="BD199" s="21">
        <v>36200</v>
      </c>
      <c r="BE199" s="21">
        <v>38090</v>
      </c>
      <c r="BF199" s="21">
        <v>38800</v>
      </c>
      <c r="BG199" s="21">
        <v>41190</v>
      </c>
      <c r="BH199" s="21">
        <v>42910</v>
      </c>
      <c r="BI199" s="21">
        <v>42790</v>
      </c>
      <c r="BJ199" s="21">
        <v>45220</v>
      </c>
      <c r="BK199" s="21">
        <v>45300</v>
      </c>
      <c r="BL199" s="21">
        <v>44220</v>
      </c>
      <c r="BM199" s="1">
        <v>46190</v>
      </c>
      <c r="BN199" s="1">
        <v>43540</v>
      </c>
      <c r="BO199" s="1">
        <v>43370</v>
      </c>
      <c r="BP199" s="1">
        <v>45100</v>
      </c>
      <c r="BQ199" s="1">
        <v>45600</v>
      </c>
      <c r="BR199" s="1">
        <v>44530</v>
      </c>
      <c r="BS199" s="1">
        <v>45490</v>
      </c>
      <c r="BT199" s="1">
        <v>44700</v>
      </c>
      <c r="BU199" s="1">
        <v>42450</v>
      </c>
      <c r="BV199" s="1">
        <v>40640</v>
      </c>
      <c r="BW199" s="1">
        <v>41510</v>
      </c>
      <c r="BX199" s="1">
        <v>41510</v>
      </c>
      <c r="BY199" s="1">
        <v>43500</v>
      </c>
      <c r="BZ199" s="1">
        <v>42000</v>
      </c>
    </row>
    <row r="200" spans="1:254" ht="15.9" customHeight="1">
      <c r="A200" s="78" t="s">
        <v>392</v>
      </c>
      <c r="B200" s="17" t="s">
        <v>393</v>
      </c>
      <c r="C200" s="543">
        <f>_xll.RssMarket("5801","始値")</f>
        <v>3781</v>
      </c>
      <c r="D200" s="23">
        <f t="shared" si="6"/>
        <v>0</v>
      </c>
      <c r="E200" s="550">
        <v>3781</v>
      </c>
      <c r="F200" s="21">
        <v>3846</v>
      </c>
      <c r="G200" s="21">
        <v>3250</v>
      </c>
      <c r="H200" s="21">
        <v>2935</v>
      </c>
      <c r="I200" s="21">
        <v>3168</v>
      </c>
      <c r="J200" s="21">
        <v>2762</v>
      </c>
      <c r="K200" s="21">
        <v>3009</v>
      </c>
      <c r="L200" s="21">
        <v>3100</v>
      </c>
      <c r="M200" s="21">
        <v>3350</v>
      </c>
      <c r="N200" s="21">
        <v>3450</v>
      </c>
      <c r="O200" s="21">
        <v>3621</v>
      </c>
      <c r="P200" s="21">
        <v>3699</v>
      </c>
      <c r="Q200" s="21">
        <v>3332</v>
      </c>
      <c r="R200" s="21">
        <v>3301</v>
      </c>
      <c r="S200" s="21">
        <v>3679</v>
      </c>
      <c r="T200" s="21">
        <v>3500</v>
      </c>
      <c r="U200" s="21">
        <v>3697</v>
      </c>
      <c r="V200" s="21">
        <v>3730</v>
      </c>
      <c r="W200" s="21">
        <v>3611</v>
      </c>
      <c r="X200" s="21">
        <v>3534</v>
      </c>
      <c r="Y200" s="21">
        <v>3860</v>
      </c>
      <c r="Z200" s="21">
        <v>3880</v>
      </c>
      <c r="AA200" s="21">
        <v>3880</v>
      </c>
      <c r="AB200" s="21">
        <v>4225</v>
      </c>
      <c r="AC200" s="21">
        <v>4870</v>
      </c>
      <c r="AD200" s="21">
        <v>4750</v>
      </c>
      <c r="AE200" s="21">
        <v>4532</v>
      </c>
      <c r="AF200" s="21">
        <v>4905</v>
      </c>
      <c r="AG200" s="21">
        <v>5000</v>
      </c>
      <c r="AH200" s="21">
        <v>4900</v>
      </c>
      <c r="AI200" s="21">
        <v>5800</v>
      </c>
      <c r="AJ200" s="21">
        <v>5450</v>
      </c>
      <c r="AK200" s="21">
        <v>5336</v>
      </c>
      <c r="AL200" s="21">
        <v>4812</v>
      </c>
      <c r="AM200" s="21">
        <v>4490</v>
      </c>
      <c r="AN200" s="21">
        <v>4500</v>
      </c>
      <c r="AO200" s="21">
        <v>4480</v>
      </c>
      <c r="AP200" s="21">
        <v>4325</v>
      </c>
      <c r="AQ200" s="21">
        <v>3835</v>
      </c>
      <c r="AR200" s="21">
        <v>4440</v>
      </c>
      <c r="AS200" s="21">
        <v>4485</v>
      </c>
      <c r="AT200" s="21">
        <v>4960</v>
      </c>
      <c r="AU200" s="21">
        <v>5299</v>
      </c>
      <c r="AV200" s="21">
        <v>5500</v>
      </c>
      <c r="AW200" s="21">
        <v>5114</v>
      </c>
      <c r="AX200" s="21">
        <v>5240</v>
      </c>
      <c r="AY200" s="21">
        <v>5411</v>
      </c>
      <c r="AZ200" s="21">
        <v>6103</v>
      </c>
      <c r="BA200" s="21">
        <v>5648</v>
      </c>
      <c r="BB200" s="21">
        <v>5102</v>
      </c>
      <c r="BC200" s="21">
        <v>5201</v>
      </c>
      <c r="BD200" s="21">
        <v>4870</v>
      </c>
      <c r="BE200" s="21">
        <v>5320</v>
      </c>
      <c r="BF200" s="21">
        <v>5548</v>
      </c>
      <c r="BG200" s="21">
        <v>5950</v>
      </c>
      <c r="BH200" s="21">
        <v>5762</v>
      </c>
      <c r="BI200" s="21">
        <v>5118</v>
      </c>
      <c r="BJ200" s="21">
        <v>4570</v>
      </c>
      <c r="BK200" s="21">
        <v>4557</v>
      </c>
      <c r="BL200" s="21">
        <v>4483</v>
      </c>
      <c r="BM200" s="1">
        <v>4469</v>
      </c>
      <c r="BN200" s="1">
        <v>4252</v>
      </c>
      <c r="BO200" s="1">
        <v>4272</v>
      </c>
      <c r="BP200" s="1">
        <v>4150</v>
      </c>
      <c r="BQ200" s="1">
        <v>4275</v>
      </c>
      <c r="BR200" s="1">
        <v>4301</v>
      </c>
      <c r="BS200" s="1">
        <v>4503</v>
      </c>
      <c r="BT200" s="1">
        <v>4436</v>
      </c>
      <c r="BU200" s="1">
        <v>4370</v>
      </c>
      <c r="BV200" s="1">
        <v>4426</v>
      </c>
      <c r="BW200" s="1">
        <v>4591</v>
      </c>
      <c r="BX200" s="1">
        <v>4354</v>
      </c>
      <c r="BY200" s="1">
        <v>4723</v>
      </c>
      <c r="BZ200" s="1">
        <v>4722</v>
      </c>
    </row>
    <row r="201" spans="1:254" ht="15.9" customHeight="1">
      <c r="A201" s="78" t="s">
        <v>394</v>
      </c>
      <c r="B201" s="17" t="s">
        <v>395</v>
      </c>
      <c r="C201" s="543">
        <f>_xll.RssMarket("6506","始値")</f>
        <v>5284</v>
      </c>
      <c r="D201" s="23">
        <f t="shared" si="6"/>
        <v>0</v>
      </c>
      <c r="E201" s="550">
        <v>5284</v>
      </c>
      <c r="F201" s="21">
        <v>5231</v>
      </c>
      <c r="G201" s="21">
        <v>4987</v>
      </c>
      <c r="H201" s="21">
        <v>4798</v>
      </c>
      <c r="I201" s="21">
        <v>4850</v>
      </c>
      <c r="J201" s="21">
        <v>4559</v>
      </c>
      <c r="K201" s="21">
        <v>4826</v>
      </c>
      <c r="L201" s="21">
        <v>5140</v>
      </c>
      <c r="M201" s="21">
        <v>5222</v>
      </c>
      <c r="N201" s="21">
        <v>5263</v>
      </c>
      <c r="O201" s="21">
        <v>5355</v>
      </c>
      <c r="P201" s="21">
        <v>5294</v>
      </c>
      <c r="Q201" s="21">
        <v>5097</v>
      </c>
      <c r="R201" s="21">
        <v>5273</v>
      </c>
      <c r="S201" s="21">
        <v>5500</v>
      </c>
      <c r="T201" s="21">
        <v>5860</v>
      </c>
      <c r="U201" s="21">
        <v>6210</v>
      </c>
      <c r="V201" s="21">
        <v>7074</v>
      </c>
      <c r="W201" s="21">
        <v>6898</v>
      </c>
      <c r="X201" s="21">
        <v>6700</v>
      </c>
      <c r="Y201" s="21">
        <v>7349</v>
      </c>
      <c r="Z201" s="21">
        <v>7520</v>
      </c>
      <c r="AA201" s="21">
        <v>6842</v>
      </c>
      <c r="AB201" s="21">
        <v>7007</v>
      </c>
      <c r="AC201" s="21">
        <v>7234</v>
      </c>
      <c r="AD201" s="21">
        <v>7001</v>
      </c>
      <c r="AE201" s="21">
        <v>6864</v>
      </c>
      <c r="AF201" s="21">
        <v>7201</v>
      </c>
      <c r="AG201" s="21">
        <v>7303</v>
      </c>
      <c r="AH201" s="21">
        <v>7142</v>
      </c>
      <c r="AI201" s="21">
        <v>7654</v>
      </c>
      <c r="AJ201" s="21">
        <v>7335</v>
      </c>
      <c r="AK201" s="21">
        <v>7304</v>
      </c>
      <c r="AL201" s="21">
        <v>7150</v>
      </c>
      <c r="AM201" s="21">
        <v>6745</v>
      </c>
      <c r="AN201" s="21">
        <v>6770</v>
      </c>
      <c r="AO201" s="21">
        <v>6594</v>
      </c>
      <c r="AP201" s="21">
        <v>6321</v>
      </c>
      <c r="AQ201" s="21">
        <v>5688</v>
      </c>
      <c r="AR201" s="21">
        <v>6195</v>
      </c>
      <c r="AS201" s="21">
        <v>6262</v>
      </c>
      <c r="AT201" s="21">
        <v>6742</v>
      </c>
      <c r="AU201" s="21">
        <v>7002</v>
      </c>
      <c r="AV201" s="21">
        <v>6930</v>
      </c>
      <c r="AW201" s="21">
        <v>7018</v>
      </c>
      <c r="AX201" s="21">
        <v>7286</v>
      </c>
      <c r="AY201" s="21">
        <v>6980</v>
      </c>
      <c r="AZ201" s="21">
        <v>7593</v>
      </c>
      <c r="BA201" s="21">
        <v>7700</v>
      </c>
      <c r="BB201" s="21">
        <v>6851</v>
      </c>
      <c r="BC201" s="21">
        <v>6276</v>
      </c>
      <c r="BD201" s="21">
        <v>6238</v>
      </c>
      <c r="BE201" s="21">
        <v>6639</v>
      </c>
      <c r="BF201" s="21">
        <v>7009</v>
      </c>
      <c r="BG201" s="21">
        <v>7133</v>
      </c>
      <c r="BH201" s="21">
        <v>7261</v>
      </c>
      <c r="BI201" s="21">
        <v>6812</v>
      </c>
      <c r="BJ201" s="21">
        <v>6854</v>
      </c>
      <c r="BK201" s="21">
        <v>6390</v>
      </c>
      <c r="BL201" s="21">
        <v>5997</v>
      </c>
      <c r="BM201" s="1">
        <v>5889</v>
      </c>
      <c r="BN201" s="1">
        <v>5527</v>
      </c>
      <c r="BO201" s="1">
        <v>5481</v>
      </c>
      <c r="BP201" s="1">
        <v>5470</v>
      </c>
      <c r="BQ201" s="1">
        <v>5250</v>
      </c>
      <c r="BR201" s="1">
        <v>5247</v>
      </c>
      <c r="BS201" s="1">
        <v>5347</v>
      </c>
      <c r="BT201" s="1">
        <v>5401</v>
      </c>
      <c r="BU201" s="1">
        <v>5469</v>
      </c>
      <c r="BV201" s="1">
        <v>5367</v>
      </c>
      <c r="BW201" s="1">
        <v>5211</v>
      </c>
      <c r="BX201" s="1">
        <v>5230</v>
      </c>
      <c r="BY201" s="1">
        <v>5340</v>
      </c>
      <c r="BZ201" s="1">
        <v>5270</v>
      </c>
    </row>
    <row r="202" spans="1:254" ht="15.9" customHeight="1">
      <c r="A202" s="78" t="s">
        <v>396</v>
      </c>
      <c r="B202" s="17" t="s">
        <v>397</v>
      </c>
      <c r="C202" s="543">
        <f>_xll.RssMarket("2768","始値")</f>
        <v>5370</v>
      </c>
      <c r="D202" s="23">
        <f t="shared" si="6"/>
        <v>0</v>
      </c>
      <c r="E202" s="550">
        <v>5370</v>
      </c>
      <c r="F202" s="21">
        <v>5255</v>
      </c>
      <c r="G202" s="21">
        <v>5199</v>
      </c>
      <c r="H202" s="21">
        <v>5181</v>
      </c>
      <c r="I202" s="21">
        <v>5365</v>
      </c>
      <c r="J202" s="21">
        <v>5340</v>
      </c>
      <c r="K202" s="21">
        <v>5400</v>
      </c>
      <c r="L202" s="21">
        <v>5409</v>
      </c>
      <c r="M202" s="21">
        <v>5452</v>
      </c>
      <c r="N202" s="21">
        <v>5449</v>
      </c>
      <c r="O202" s="21">
        <v>5390</v>
      </c>
      <c r="P202" s="21">
        <v>5318</v>
      </c>
      <c r="Q202" s="21">
        <v>5165</v>
      </c>
      <c r="R202" s="21">
        <v>5194</v>
      </c>
      <c r="S202" s="21">
        <v>5154</v>
      </c>
      <c r="T202" s="21">
        <v>5102</v>
      </c>
      <c r="U202" s="21">
        <v>5194</v>
      </c>
      <c r="V202" s="21">
        <v>5118</v>
      </c>
      <c r="W202" s="21">
        <v>5160</v>
      </c>
      <c r="X202" s="21">
        <v>5236</v>
      </c>
      <c r="Y202" s="21">
        <v>5373</v>
      </c>
      <c r="Z202" s="21">
        <v>5262</v>
      </c>
      <c r="AA202" s="21">
        <v>5280</v>
      </c>
      <c r="AB202" s="21">
        <v>5220</v>
      </c>
      <c r="AC202" s="21">
        <v>5198</v>
      </c>
      <c r="AD202" s="21">
        <v>5225</v>
      </c>
      <c r="AE202" s="21">
        <v>5340</v>
      </c>
      <c r="AF202" s="21">
        <v>5299</v>
      </c>
      <c r="AG202" s="21">
        <v>5287</v>
      </c>
      <c r="AH202" s="21">
        <v>5200</v>
      </c>
      <c r="AI202" s="21">
        <v>5350</v>
      </c>
      <c r="AJ202" s="21">
        <v>5256</v>
      </c>
      <c r="AK202" s="21">
        <v>5345</v>
      </c>
      <c r="AL202" s="21">
        <v>5325</v>
      </c>
      <c r="AM202" s="21">
        <v>5366</v>
      </c>
      <c r="AN202" s="21">
        <v>5380</v>
      </c>
      <c r="AO202" s="21">
        <v>5240</v>
      </c>
      <c r="AP202" s="21">
        <v>5052</v>
      </c>
      <c r="AQ202" s="21">
        <v>5021</v>
      </c>
      <c r="AR202" s="21">
        <v>5131</v>
      </c>
      <c r="AS202" s="21">
        <v>5091</v>
      </c>
      <c r="AT202" s="21">
        <v>5180</v>
      </c>
      <c r="AU202" s="21">
        <v>5151</v>
      </c>
      <c r="AV202" s="21">
        <v>5130</v>
      </c>
      <c r="AW202" s="21">
        <v>5052</v>
      </c>
      <c r="AX202" s="21">
        <v>5422</v>
      </c>
      <c r="AY202" s="21">
        <v>5450</v>
      </c>
      <c r="AZ202" s="21">
        <v>5601</v>
      </c>
      <c r="BA202" s="21">
        <v>5543</v>
      </c>
      <c r="BB202" s="21">
        <v>5540</v>
      </c>
      <c r="BC202" s="21">
        <v>5597</v>
      </c>
      <c r="BD202" s="21">
        <v>5680</v>
      </c>
      <c r="BE202" s="21">
        <v>5740</v>
      </c>
      <c r="BF202" s="21">
        <v>5900</v>
      </c>
      <c r="BG202" s="21">
        <v>5867</v>
      </c>
      <c r="BH202" s="21">
        <v>5910</v>
      </c>
      <c r="BI202" s="21">
        <v>5850</v>
      </c>
      <c r="BJ202" s="21">
        <v>5754</v>
      </c>
      <c r="BK202" s="21">
        <v>5636</v>
      </c>
      <c r="BL202" s="21">
        <v>5809</v>
      </c>
      <c r="BM202" s="1">
        <v>6200</v>
      </c>
      <c r="BN202" s="1">
        <v>5920</v>
      </c>
      <c r="BO202" s="1">
        <v>5900</v>
      </c>
      <c r="BP202" s="1">
        <v>5885</v>
      </c>
      <c r="BQ202" s="1">
        <v>5830</v>
      </c>
      <c r="BR202" s="1">
        <v>5912</v>
      </c>
      <c r="BS202" s="1">
        <v>5840</v>
      </c>
      <c r="BT202" s="1">
        <v>5998</v>
      </c>
      <c r="BU202" s="1">
        <v>6080</v>
      </c>
      <c r="BV202" s="1">
        <v>6135</v>
      </c>
      <c r="BW202" s="1">
        <v>6221</v>
      </c>
      <c r="BX202" s="1">
        <v>6190</v>
      </c>
      <c r="BY202" s="1">
        <v>6260</v>
      </c>
      <c r="BZ202" s="1">
        <v>6400</v>
      </c>
    </row>
    <row r="203" spans="1:254" ht="15.9" customHeight="1">
      <c r="A203" s="78" t="s">
        <v>398</v>
      </c>
      <c r="B203" s="17" t="s">
        <v>399</v>
      </c>
      <c r="C203" s="543">
        <f>_xll.RssMarket("6305","始値")</f>
        <v>5422</v>
      </c>
      <c r="D203" s="23">
        <f t="shared" si="6"/>
        <v>0</v>
      </c>
      <c r="E203" s="550">
        <v>5422</v>
      </c>
      <c r="F203" s="21">
        <v>5318</v>
      </c>
      <c r="G203" s="21">
        <v>5252</v>
      </c>
      <c r="H203" s="21">
        <v>5449</v>
      </c>
      <c r="I203" s="21">
        <v>5361</v>
      </c>
      <c r="J203" s="21">
        <v>5624</v>
      </c>
      <c r="K203" s="21">
        <v>5450</v>
      </c>
      <c r="L203" s="21">
        <v>5652</v>
      </c>
      <c r="M203" s="21">
        <v>5415</v>
      </c>
      <c r="N203" s="21">
        <v>5356</v>
      </c>
      <c r="O203" s="21">
        <v>5281</v>
      </c>
      <c r="P203" s="21">
        <v>5324</v>
      </c>
      <c r="Q203" s="21">
        <v>5102</v>
      </c>
      <c r="R203" s="21">
        <v>5250</v>
      </c>
      <c r="S203" s="21">
        <v>5307</v>
      </c>
      <c r="T203" s="21">
        <v>5238</v>
      </c>
      <c r="U203" s="21">
        <v>5329</v>
      </c>
      <c r="V203" s="21">
        <v>5267</v>
      </c>
      <c r="W203" s="21">
        <v>5251</v>
      </c>
      <c r="X203" s="21">
        <v>5368</v>
      </c>
      <c r="Y203" s="21">
        <v>5469</v>
      </c>
      <c r="Z203" s="21">
        <v>5407</v>
      </c>
      <c r="AA203" s="21">
        <v>5268</v>
      </c>
      <c r="AB203" s="21">
        <v>5164</v>
      </c>
      <c r="AC203" s="21">
        <v>5296</v>
      </c>
      <c r="AD203" s="21">
        <v>5333</v>
      </c>
      <c r="AE203" s="21">
        <v>5314</v>
      </c>
      <c r="AF203" s="21">
        <v>5282</v>
      </c>
      <c r="AG203" s="21">
        <v>5387</v>
      </c>
      <c r="AH203" s="21">
        <v>5301</v>
      </c>
      <c r="AI203" s="21">
        <v>5491</v>
      </c>
      <c r="AJ203" s="21">
        <v>5308</v>
      </c>
      <c r="AK203" s="21">
        <v>5461</v>
      </c>
      <c r="AL203" s="21">
        <v>5423</v>
      </c>
      <c r="AM203" s="21">
        <v>5350</v>
      </c>
      <c r="AN203" s="21">
        <v>5574</v>
      </c>
      <c r="AO203" s="21">
        <v>5430</v>
      </c>
      <c r="AP203" s="21">
        <v>5317</v>
      </c>
      <c r="AQ203" s="21">
        <v>5108</v>
      </c>
      <c r="AR203" s="21">
        <v>5250</v>
      </c>
      <c r="AS203" s="21">
        <v>5315</v>
      </c>
      <c r="AT203" s="21">
        <v>5431</v>
      </c>
      <c r="AU203" s="21">
        <v>5343</v>
      </c>
      <c r="AV203" s="21">
        <v>5165</v>
      </c>
      <c r="AW203" s="21">
        <v>4975</v>
      </c>
      <c r="AX203" s="21">
        <v>5151</v>
      </c>
      <c r="AY203" s="21">
        <v>5236</v>
      </c>
      <c r="AZ203" s="21">
        <v>5199</v>
      </c>
      <c r="BA203" s="21">
        <v>5052</v>
      </c>
      <c r="BB203" s="21">
        <v>4986</v>
      </c>
      <c r="BC203" s="21">
        <v>4982</v>
      </c>
      <c r="BD203" s="21">
        <v>5003</v>
      </c>
      <c r="BE203" s="21">
        <v>5170</v>
      </c>
      <c r="BF203" s="21">
        <v>5247</v>
      </c>
      <c r="BG203" s="21">
        <v>5300</v>
      </c>
      <c r="BH203" s="21">
        <v>5359</v>
      </c>
      <c r="BI203" s="21">
        <v>5143</v>
      </c>
      <c r="BJ203" s="21">
        <v>5674</v>
      </c>
      <c r="BK203" s="21">
        <v>5676</v>
      </c>
      <c r="BL203" s="21">
        <v>5538</v>
      </c>
      <c r="BM203" s="1">
        <v>5720</v>
      </c>
      <c r="BN203" s="1">
        <v>5450</v>
      </c>
      <c r="BO203" s="1">
        <v>5619</v>
      </c>
      <c r="BP203" s="1">
        <v>5532</v>
      </c>
      <c r="BQ203" s="1">
        <v>5243</v>
      </c>
      <c r="BR203" s="1">
        <v>5567</v>
      </c>
      <c r="BS203" s="1">
        <v>5465</v>
      </c>
      <c r="BT203" s="1">
        <v>5485</v>
      </c>
      <c r="BU203" s="1">
        <v>5484</v>
      </c>
      <c r="BV203" s="1">
        <v>5460</v>
      </c>
      <c r="BW203" s="1">
        <v>5500</v>
      </c>
      <c r="BX203" s="1">
        <v>5627</v>
      </c>
      <c r="BY203" s="1">
        <v>5643</v>
      </c>
      <c r="BZ203" s="1">
        <v>5719</v>
      </c>
    </row>
    <row r="204" spans="1:254" ht="15.9" customHeight="1">
      <c r="A204" s="78" t="s">
        <v>400</v>
      </c>
      <c r="B204" s="17" t="s">
        <v>401</v>
      </c>
      <c r="C204" s="543">
        <f>_xll.RssMarket("8015","始値")</f>
        <v>7066</v>
      </c>
      <c r="D204" s="23">
        <f t="shared" si="6"/>
        <v>0</v>
      </c>
      <c r="E204" s="550">
        <v>7066</v>
      </c>
      <c r="F204" s="21">
        <v>6990</v>
      </c>
      <c r="G204" s="21">
        <v>6666</v>
      </c>
      <c r="H204" s="21">
        <v>6622</v>
      </c>
      <c r="I204" s="21">
        <v>6690</v>
      </c>
      <c r="J204" s="21">
        <v>6550</v>
      </c>
      <c r="K204" s="21">
        <v>6495</v>
      </c>
      <c r="L204" s="21">
        <v>6458</v>
      </c>
      <c r="M204" s="21">
        <v>6525</v>
      </c>
      <c r="N204" s="21">
        <v>6530</v>
      </c>
      <c r="O204" s="21">
        <v>6482</v>
      </c>
      <c r="P204" s="21">
        <v>6488</v>
      </c>
      <c r="Q204" s="21">
        <v>6165</v>
      </c>
      <c r="R204" s="21">
        <v>6109</v>
      </c>
      <c r="S204" s="21">
        <v>6102</v>
      </c>
      <c r="T204" s="21">
        <v>6026</v>
      </c>
      <c r="U204" s="21">
        <v>6129</v>
      </c>
      <c r="V204" s="21">
        <v>6244</v>
      </c>
      <c r="W204" s="21">
        <v>6129</v>
      </c>
      <c r="X204" s="21">
        <v>6249</v>
      </c>
      <c r="Y204" s="21">
        <v>6374</v>
      </c>
      <c r="Z204" s="21">
        <v>6212</v>
      </c>
      <c r="AA204" s="21">
        <v>6426</v>
      </c>
      <c r="AB204" s="21">
        <v>6020</v>
      </c>
      <c r="AC204" s="21">
        <v>6001</v>
      </c>
      <c r="AD204" s="21">
        <v>6020</v>
      </c>
      <c r="AE204" s="21">
        <v>6012</v>
      </c>
      <c r="AF204" s="21">
        <v>6020</v>
      </c>
      <c r="AG204" s="21">
        <v>6172</v>
      </c>
      <c r="AH204" s="21">
        <v>6187</v>
      </c>
      <c r="AI204" s="21">
        <v>6271</v>
      </c>
      <c r="AJ204" s="21">
        <v>6110</v>
      </c>
      <c r="AK204" s="21">
        <v>6053</v>
      </c>
      <c r="AL204" s="21">
        <v>6378</v>
      </c>
      <c r="AM204" s="21">
        <v>6426</v>
      </c>
      <c r="AN204" s="21">
        <v>6490</v>
      </c>
      <c r="AO204" s="21">
        <v>6438</v>
      </c>
      <c r="AP204" s="21">
        <v>6169</v>
      </c>
      <c r="AQ204" s="21">
        <v>5910</v>
      </c>
      <c r="AR204" s="21">
        <v>6081</v>
      </c>
      <c r="AS204" s="21">
        <v>6439</v>
      </c>
      <c r="AT204" s="21">
        <v>6430</v>
      </c>
      <c r="AU204" s="21">
        <v>6486</v>
      </c>
      <c r="AV204" s="21">
        <v>6445</v>
      </c>
      <c r="AW204" s="21">
        <v>6409</v>
      </c>
      <c r="AX204" s="21">
        <v>6692</v>
      </c>
      <c r="AY204" s="21">
        <v>6798</v>
      </c>
      <c r="AZ204" s="21">
        <v>7019</v>
      </c>
      <c r="BA204" s="21">
        <v>6965</v>
      </c>
      <c r="BB204" s="21">
        <v>6887</v>
      </c>
      <c r="BC204" s="21">
        <v>6842</v>
      </c>
      <c r="BD204" s="21">
        <v>6991</v>
      </c>
      <c r="BE204" s="21">
        <v>7040</v>
      </c>
      <c r="BF204" s="21">
        <v>7237</v>
      </c>
      <c r="BG204" s="21">
        <v>7374</v>
      </c>
      <c r="BH204" s="21">
        <v>7357</v>
      </c>
      <c r="BI204" s="21">
        <v>7130</v>
      </c>
      <c r="BJ204" s="21">
        <v>7091</v>
      </c>
      <c r="BK204" s="21">
        <v>6732</v>
      </c>
      <c r="BL204" s="21">
        <v>6809</v>
      </c>
      <c r="BM204" s="1">
        <v>7049</v>
      </c>
      <c r="BN204" s="1">
        <v>6359</v>
      </c>
      <c r="BO204" s="1">
        <v>5979</v>
      </c>
      <c r="BP204" s="1">
        <v>6360</v>
      </c>
      <c r="BQ204" s="1">
        <v>6053</v>
      </c>
      <c r="BR204" s="1">
        <v>6225</v>
      </c>
      <c r="BS204" s="1">
        <v>6160</v>
      </c>
      <c r="BT204" s="1">
        <v>6258</v>
      </c>
      <c r="BU204" s="1">
        <v>6292</v>
      </c>
      <c r="BV204" s="1">
        <v>6339</v>
      </c>
      <c r="BW204" s="1">
        <v>6352</v>
      </c>
      <c r="BX204" s="1">
        <v>6288</v>
      </c>
      <c r="BY204" s="1">
        <v>6446</v>
      </c>
      <c r="BZ204" s="1">
        <v>6486</v>
      </c>
    </row>
    <row r="205" spans="1:254" ht="18.75" customHeight="1">
      <c r="A205" s="78" t="s">
        <v>402</v>
      </c>
      <c r="B205" s="17" t="s">
        <v>403</v>
      </c>
      <c r="C205" s="543">
        <f>_xll.RssMarket("6758","始値")</f>
        <v>3650</v>
      </c>
      <c r="D205" s="23">
        <f t="shared" si="6"/>
        <v>0</v>
      </c>
      <c r="E205" s="551">
        <v>3650</v>
      </c>
      <c r="F205" s="2">
        <v>3522</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8.75" customHeight="1">
      <c r="A206" s="78" t="s">
        <v>404</v>
      </c>
      <c r="B206" s="17" t="s">
        <v>405</v>
      </c>
      <c r="C206" s="543">
        <f>_xll.RssMarket("9101","始値")</f>
        <v>5750</v>
      </c>
      <c r="D206" s="23">
        <f t="shared" si="6"/>
        <v>0</v>
      </c>
      <c r="E206" s="551">
        <v>5750</v>
      </c>
      <c r="F206" s="2">
        <v>5994</v>
      </c>
      <c r="G206" s="2">
        <v>5995</v>
      </c>
      <c r="H206" s="2">
        <v>6021</v>
      </c>
      <c r="I206" s="2">
        <v>6030</v>
      </c>
      <c r="J206" s="2">
        <v>6140</v>
      </c>
      <c r="K206" s="2">
        <v>6050</v>
      </c>
      <c r="L206" s="2">
        <v>5976</v>
      </c>
      <c r="M206" s="2">
        <v>6063</v>
      </c>
      <c r="N206" s="2">
        <v>5788</v>
      </c>
      <c r="O206" s="2">
        <v>5827</v>
      </c>
      <c r="P206" s="2">
        <v>5746</v>
      </c>
      <c r="Q206" s="2">
        <v>5701</v>
      </c>
      <c r="R206" s="2">
        <v>5610</v>
      </c>
      <c r="S206" s="2">
        <v>5520</v>
      </c>
      <c r="T206" s="2">
        <v>5386</v>
      </c>
      <c r="U206" s="2">
        <v>5338</v>
      </c>
      <c r="V206" s="2">
        <v>5405</v>
      </c>
      <c r="W206" s="2">
        <v>5399</v>
      </c>
      <c r="X206" s="2">
        <v>5325</v>
      </c>
      <c r="Y206" s="2">
        <v>5070</v>
      </c>
      <c r="Z206" s="2">
        <v>5232</v>
      </c>
      <c r="AA206" s="2">
        <v>5230</v>
      </c>
      <c r="AB206" s="2">
        <v>5115</v>
      </c>
      <c r="AC206" s="2">
        <v>5201</v>
      </c>
      <c r="AD206" s="2">
        <v>5245</v>
      </c>
      <c r="AE206" s="2">
        <v>5259</v>
      </c>
      <c r="AF206" s="2">
        <v>5233</v>
      </c>
      <c r="AG206" s="2">
        <v>5369</v>
      </c>
      <c r="AH206" s="2">
        <v>5314</v>
      </c>
      <c r="AI206" s="2">
        <v>5231</v>
      </c>
      <c r="AJ206" s="2">
        <v>5134</v>
      </c>
      <c r="AK206" s="2">
        <v>5230</v>
      </c>
      <c r="AL206" s="2">
        <v>5290</v>
      </c>
      <c r="AM206" s="2">
        <v>5409</v>
      </c>
      <c r="AN206" s="2">
        <v>5484</v>
      </c>
      <c r="AO206" s="2">
        <v>5594</v>
      </c>
      <c r="AP206" s="2">
        <v>5669</v>
      </c>
      <c r="AQ206" s="2">
        <v>5582</v>
      </c>
      <c r="AR206" s="2">
        <v>5713</v>
      </c>
      <c r="AS206" s="2">
        <v>5568</v>
      </c>
      <c r="AT206" s="2">
        <v>5606</v>
      </c>
      <c r="AU206" s="2">
        <v>5391</v>
      </c>
      <c r="AV206" s="2">
        <v>5316</v>
      </c>
      <c r="AW206" s="2">
        <v>5220</v>
      </c>
      <c r="AX206" s="2">
        <v>5302</v>
      </c>
      <c r="AY206" s="2">
        <v>5270</v>
      </c>
      <c r="AZ206" s="2">
        <v>5231</v>
      </c>
      <c r="BA206" s="2">
        <v>5406</v>
      </c>
      <c r="BB206" s="2">
        <v>5441</v>
      </c>
      <c r="BC206" s="2">
        <v>5620</v>
      </c>
      <c r="BD206" s="2">
        <v>5605</v>
      </c>
      <c r="BE206" s="2">
        <v>5505</v>
      </c>
      <c r="BF206" s="2">
        <v>5505</v>
      </c>
      <c r="BG206" s="2">
        <v>5398</v>
      </c>
      <c r="BH206" s="2">
        <v>5350</v>
      </c>
      <c r="BI206" s="2">
        <v>5286</v>
      </c>
      <c r="BJ206" s="2">
        <v>5400</v>
      </c>
      <c r="BK206" s="2">
        <v>5554</v>
      </c>
      <c r="BL206" s="2">
        <v>5700</v>
      </c>
      <c r="BM206" s="1">
        <v>5529</v>
      </c>
      <c r="BN206" s="1">
        <v>5570</v>
      </c>
      <c r="BO206" s="1">
        <v>5602</v>
      </c>
      <c r="BP206" s="1">
        <v>5611</v>
      </c>
      <c r="BQ206" s="1">
        <v>5804</v>
      </c>
      <c r="BR206" s="1">
        <v>5835</v>
      </c>
      <c r="BS206" s="1">
        <v>5770</v>
      </c>
      <c r="BT206" s="1">
        <v>5884</v>
      </c>
      <c r="BU206" s="1">
        <v>5898</v>
      </c>
      <c r="BV206" s="1">
        <v>6051</v>
      </c>
      <c r="BW206" s="1">
        <v>6130</v>
      </c>
      <c r="BX206" s="1">
        <v>6043</v>
      </c>
      <c r="BY206" s="1">
        <v>6130</v>
      </c>
      <c r="BZ206" s="1">
        <v>6079</v>
      </c>
    </row>
    <row r="207" spans="1:254" ht="17.25" customHeight="1">
      <c r="A207" s="79" t="s">
        <v>406</v>
      </c>
      <c r="B207" s="1" t="s">
        <v>407</v>
      </c>
      <c r="C207" s="544">
        <f>_xll.RssMarket("7011","始値")</f>
        <v>4050</v>
      </c>
      <c r="D207" s="16">
        <f t="shared" si="6"/>
        <v>0</v>
      </c>
      <c r="E207" s="551">
        <v>4050</v>
      </c>
      <c r="F207" s="2">
        <v>4040</v>
      </c>
      <c r="G207" s="2">
        <v>3780</v>
      </c>
      <c r="H207" s="2">
        <v>3747</v>
      </c>
      <c r="I207" s="2">
        <v>3855</v>
      </c>
      <c r="J207" s="2">
        <v>3710</v>
      </c>
      <c r="K207" s="2">
        <v>3751</v>
      </c>
      <c r="L207" s="2">
        <v>3811</v>
      </c>
      <c r="M207" s="2">
        <v>3962</v>
      </c>
      <c r="N207" s="2">
        <v>3976</v>
      </c>
      <c r="O207" s="2">
        <v>3854</v>
      </c>
      <c r="P207" s="2">
        <v>3809</v>
      </c>
      <c r="Q207" s="2">
        <v>3730</v>
      </c>
      <c r="R207" s="2">
        <v>3750</v>
      </c>
      <c r="S207" s="2">
        <v>3855</v>
      </c>
      <c r="T207" s="2">
        <v>3797</v>
      </c>
      <c r="U207" s="2">
        <v>3810</v>
      </c>
      <c r="V207" s="2">
        <v>3810</v>
      </c>
      <c r="W207" s="2">
        <v>3807</v>
      </c>
      <c r="X207" s="2">
        <v>3939</v>
      </c>
      <c r="Y207" s="2">
        <v>4051</v>
      </c>
      <c r="Z207" s="2">
        <v>3848</v>
      </c>
      <c r="AA207" s="2">
        <v>3858</v>
      </c>
      <c r="AB207" s="2">
        <v>3783</v>
      </c>
      <c r="AC207" s="2">
        <v>3760</v>
      </c>
      <c r="AD207" s="2">
        <v>3716</v>
      </c>
      <c r="AE207" s="2">
        <v>3679</v>
      </c>
      <c r="AF207" s="2">
        <v>3629</v>
      </c>
      <c r="AG207" s="2">
        <v>3755</v>
      </c>
      <c r="AH207" s="2">
        <v>3725</v>
      </c>
      <c r="AI207" s="2">
        <v>3909</v>
      </c>
      <c r="AJ207" s="2">
        <v>3867</v>
      </c>
      <c r="AK207" s="2">
        <v>4029</v>
      </c>
      <c r="AL207" s="2">
        <v>4053</v>
      </c>
      <c r="AM207" s="2">
        <v>3810</v>
      </c>
      <c r="AN207" s="2">
        <v>3700</v>
      </c>
      <c r="AO207" s="2">
        <v>3647</v>
      </c>
      <c r="AP207" s="2">
        <v>3545</v>
      </c>
      <c r="AQ207" s="2">
        <v>3450</v>
      </c>
      <c r="AR207" s="2">
        <v>3669</v>
      </c>
      <c r="AS207" s="2">
        <v>3713</v>
      </c>
      <c r="AT207" s="2">
        <v>3713</v>
      </c>
      <c r="AU207" s="2">
        <v>3560</v>
      </c>
      <c r="AV207" s="2">
        <v>3556</v>
      </c>
      <c r="AW207" s="2">
        <v>3496</v>
      </c>
      <c r="AX207" s="2">
        <v>3768</v>
      </c>
      <c r="AY207" s="2">
        <v>3950</v>
      </c>
      <c r="AZ207" s="2">
        <v>4025</v>
      </c>
      <c r="BA207" s="2">
        <v>3931</v>
      </c>
      <c r="BB207" s="2">
        <v>3998</v>
      </c>
      <c r="BC207" s="2">
        <v>3985</v>
      </c>
      <c r="BD207" s="2">
        <v>4083</v>
      </c>
      <c r="BE207" s="2">
        <v>4205</v>
      </c>
      <c r="BF207" s="2">
        <v>4084</v>
      </c>
      <c r="BG207" s="2">
        <v>4120</v>
      </c>
      <c r="BH207" s="2">
        <v>4405</v>
      </c>
      <c r="BI207" s="2">
        <v>4370</v>
      </c>
      <c r="BJ207" s="2">
        <v>4350</v>
      </c>
      <c r="BK207" s="2">
        <v>4500</v>
      </c>
      <c r="BL207" s="2">
        <v>4488</v>
      </c>
      <c r="BM207" s="1">
        <v>4552</v>
      </c>
      <c r="BN207" s="1">
        <v>4562</v>
      </c>
      <c r="BO207" s="1">
        <v>4600</v>
      </c>
      <c r="BP207" s="1">
        <v>4680</v>
      </c>
      <c r="BQ207" s="1">
        <v>4724</v>
      </c>
      <c r="BR207" s="1">
        <v>4749</v>
      </c>
      <c r="BS207" s="1">
        <v>4589</v>
      </c>
      <c r="BT207" s="1">
        <v>4400</v>
      </c>
      <c r="BU207" s="1">
        <v>4499</v>
      </c>
      <c r="BV207" s="1">
        <v>4511</v>
      </c>
      <c r="BW207" s="1">
        <v>4509</v>
      </c>
      <c r="BX207" s="1">
        <v>4558</v>
      </c>
      <c r="BY207" s="1">
        <v>4723</v>
      </c>
      <c r="BZ207" s="1">
        <v>4815</v>
      </c>
    </row>
    <row r="208" spans="1:254" ht="17.25" customHeight="1">
      <c r="A208" s="79" t="s">
        <v>408</v>
      </c>
      <c r="B208" s="1" t="s">
        <v>409</v>
      </c>
      <c r="C208" s="544">
        <f>_xll.RssMarket("1812","始値")</f>
        <v>5170</v>
      </c>
      <c r="D208" s="16">
        <f t="shared" si="6"/>
        <v>0</v>
      </c>
      <c r="E208" s="551">
        <v>5170</v>
      </c>
      <c r="F208" s="2">
        <v>5356</v>
      </c>
      <c r="G208" s="2">
        <v>5255</v>
      </c>
      <c r="H208" s="2">
        <v>5333</v>
      </c>
      <c r="I208" s="2">
        <v>5455</v>
      </c>
      <c r="J208" s="2">
        <v>5333</v>
      </c>
      <c r="K208" s="2">
        <v>5561</v>
      </c>
      <c r="L208" s="2">
        <v>5565</v>
      </c>
      <c r="M208" s="2">
        <v>5670</v>
      </c>
      <c r="N208" s="2">
        <v>5592</v>
      </c>
      <c r="O208" s="2">
        <v>5632</v>
      </c>
      <c r="P208" s="2">
        <v>5600</v>
      </c>
      <c r="Q208" s="2">
        <v>5532</v>
      </c>
      <c r="R208" s="2">
        <v>5594</v>
      </c>
      <c r="S208" s="2">
        <v>5618</v>
      </c>
      <c r="T208" s="2">
        <v>5637</v>
      </c>
      <c r="U208" s="2">
        <v>5775</v>
      </c>
      <c r="V208" s="2">
        <v>5850</v>
      </c>
      <c r="W208" s="2">
        <v>5769</v>
      </c>
      <c r="X208" s="2">
        <v>6010</v>
      </c>
      <c r="Y208" s="2">
        <v>6262</v>
      </c>
      <c r="Z208" s="2">
        <v>6191</v>
      </c>
      <c r="AA208" s="2">
        <v>6192</v>
      </c>
      <c r="AB208" s="2">
        <v>5862</v>
      </c>
      <c r="AC208" s="2">
        <v>5972</v>
      </c>
      <c r="AD208" s="2">
        <v>5892</v>
      </c>
      <c r="AE208" s="2">
        <v>5769</v>
      </c>
      <c r="AF208" s="2">
        <v>5730</v>
      </c>
      <c r="AG208" s="2">
        <v>5801</v>
      </c>
      <c r="AH208" s="2">
        <v>5730</v>
      </c>
      <c r="AI208" s="2">
        <v>6070</v>
      </c>
      <c r="AJ208" s="2">
        <v>5925</v>
      </c>
      <c r="AK208" s="2">
        <v>5904</v>
      </c>
      <c r="AL208" s="2">
        <v>5910</v>
      </c>
      <c r="AM208" s="2">
        <v>5968</v>
      </c>
      <c r="AN208" s="2">
        <v>6128</v>
      </c>
      <c r="AO208" s="2">
        <v>5778</v>
      </c>
      <c r="AP208" s="2">
        <v>5575</v>
      </c>
      <c r="AQ208" s="2">
        <v>5476</v>
      </c>
      <c r="AR208" s="2">
        <v>5550</v>
      </c>
      <c r="AS208" s="2">
        <v>5520</v>
      </c>
      <c r="AT208" s="2">
        <v>5440</v>
      </c>
      <c r="AU208" s="2">
        <v>5489</v>
      </c>
      <c r="AV208" s="2">
        <v>5500</v>
      </c>
      <c r="AW208" s="2">
        <v>5541</v>
      </c>
      <c r="AX208" s="2">
        <v>5771</v>
      </c>
      <c r="AY208" s="2">
        <v>5802</v>
      </c>
      <c r="AZ208" s="2">
        <v>6013</v>
      </c>
      <c r="BA208" s="2">
        <v>5569</v>
      </c>
      <c r="BB208" s="2">
        <v>5589</v>
      </c>
      <c r="BC208" s="2">
        <v>5639</v>
      </c>
      <c r="BD208" s="2">
        <v>5748</v>
      </c>
      <c r="BE208" s="2">
        <v>5686</v>
      </c>
      <c r="BF208" s="2">
        <v>5818</v>
      </c>
      <c r="BG208" s="2">
        <v>6183</v>
      </c>
      <c r="BH208" s="2">
        <v>6536</v>
      </c>
      <c r="BI208" s="2">
        <v>6748</v>
      </c>
      <c r="BJ208" s="2">
        <v>6257</v>
      </c>
      <c r="BK208" s="2">
        <v>6019</v>
      </c>
      <c r="BL208" s="2">
        <v>6177</v>
      </c>
      <c r="BM208" s="1">
        <v>6177</v>
      </c>
      <c r="BN208" s="1">
        <v>6193</v>
      </c>
      <c r="BO208" s="1">
        <v>6420</v>
      </c>
      <c r="BP208" s="1">
        <v>6054</v>
      </c>
      <c r="BQ208" s="1">
        <v>5850</v>
      </c>
      <c r="BR208" s="1">
        <v>5980</v>
      </c>
      <c r="BS208" s="1">
        <v>5884</v>
      </c>
      <c r="BT208" s="1">
        <v>5973</v>
      </c>
      <c r="BU208" s="1">
        <v>6072</v>
      </c>
      <c r="BV208" s="1">
        <v>6032</v>
      </c>
      <c r="BW208" s="1">
        <v>6120</v>
      </c>
      <c r="BX208" s="1">
        <v>6094</v>
      </c>
      <c r="BY208" s="1">
        <v>6310</v>
      </c>
      <c r="BZ208" s="1">
        <v>6230</v>
      </c>
    </row>
    <row r="209" spans="1:254" ht="17.25" customHeight="1">
      <c r="A209" s="79" t="s">
        <v>410</v>
      </c>
      <c r="B209" s="1" t="str">
        <f>銘柄管理!C209</f>
        <v>キーエンス</v>
      </c>
      <c r="C209" s="544">
        <f>_xll.RssMarket("6861","始値")</f>
        <v>87070</v>
      </c>
      <c r="D209" s="16"/>
      <c r="E209" s="551">
        <v>87070</v>
      </c>
      <c r="F209" s="2">
        <v>83670</v>
      </c>
      <c r="G209" s="2">
        <v>82110</v>
      </c>
      <c r="H209" s="2">
        <v>80000</v>
      </c>
      <c r="I209" s="2">
        <v>80050</v>
      </c>
      <c r="J209" s="2">
        <v>78390</v>
      </c>
      <c r="K209" s="2">
        <v>80800</v>
      </c>
      <c r="L209" s="2">
        <v>72370</v>
      </c>
      <c r="M209" s="2">
        <v>71830</v>
      </c>
      <c r="N209" s="2">
        <v>71430</v>
      </c>
      <c r="O209" s="2">
        <v>72000</v>
      </c>
      <c r="P209" s="2">
        <v>72370</v>
      </c>
      <c r="Q209" s="2">
        <v>70830</v>
      </c>
      <c r="R209" s="2">
        <v>71850</v>
      </c>
      <c r="S209" s="2">
        <v>76700</v>
      </c>
      <c r="T209" s="2">
        <v>76500</v>
      </c>
      <c r="U209" s="2">
        <v>77240</v>
      </c>
      <c r="V209" s="2">
        <v>77000</v>
      </c>
      <c r="W209" s="2">
        <v>75100</v>
      </c>
      <c r="X209" s="2">
        <v>76680</v>
      </c>
      <c r="Y209" s="2">
        <v>80470</v>
      </c>
      <c r="Z209" s="2">
        <v>81030</v>
      </c>
      <c r="AA209" s="2">
        <v>79000</v>
      </c>
      <c r="AB209" s="2">
        <v>79920</v>
      </c>
      <c r="AC209" s="2">
        <v>81540</v>
      </c>
      <c r="AD209" s="2">
        <v>80200</v>
      </c>
      <c r="AE209" s="2">
        <v>77160</v>
      </c>
      <c r="AF209" s="2">
        <v>76570</v>
      </c>
      <c r="AG209" s="2">
        <v>77560</v>
      </c>
      <c r="AH209" s="2">
        <v>75500</v>
      </c>
      <c r="AI209" s="2">
        <v>78130</v>
      </c>
      <c r="AJ209" s="2">
        <v>77110</v>
      </c>
      <c r="AK209" s="2">
        <v>77450</v>
      </c>
      <c r="AL209" s="2">
        <v>76870</v>
      </c>
      <c r="AM209" s="2">
        <v>73710</v>
      </c>
      <c r="AN209" s="2">
        <v>75420</v>
      </c>
      <c r="AO209" s="2">
        <v>74980</v>
      </c>
      <c r="AP209" s="2">
        <v>72040</v>
      </c>
      <c r="AQ209" s="2">
        <v>69670</v>
      </c>
      <c r="AR209" s="2">
        <v>73600</v>
      </c>
      <c r="AS209" s="2">
        <v>74010</v>
      </c>
      <c r="AT209" s="2">
        <v>78540</v>
      </c>
      <c r="AU209" s="2">
        <v>80840</v>
      </c>
      <c r="AV209" s="2">
        <v>79060</v>
      </c>
      <c r="AW209" s="2">
        <v>79020</v>
      </c>
      <c r="AX209" s="2">
        <v>79900</v>
      </c>
      <c r="AY209" s="2">
        <v>76600</v>
      </c>
      <c r="AZ209" s="2">
        <v>75620</v>
      </c>
      <c r="BA209" s="2">
        <v>78070</v>
      </c>
      <c r="BB209" s="2">
        <v>78460</v>
      </c>
      <c r="BC209" s="2">
        <v>76170</v>
      </c>
      <c r="BD209" s="2">
        <v>75000</v>
      </c>
      <c r="BE209" s="2">
        <v>75710</v>
      </c>
      <c r="BF209" s="2">
        <v>76430</v>
      </c>
      <c r="BG209" s="2">
        <v>78340</v>
      </c>
      <c r="BH209" s="2">
        <v>79200</v>
      </c>
      <c r="BI209" s="2">
        <v>78980</v>
      </c>
      <c r="BJ209" s="2">
        <v>83000</v>
      </c>
      <c r="BK209" s="2">
        <v>83460</v>
      </c>
      <c r="BL209" s="2">
        <v>81330</v>
      </c>
      <c r="BM209" s="1">
        <v>80280</v>
      </c>
      <c r="BN209" s="1">
        <v>72470</v>
      </c>
      <c r="BO209" s="1">
        <v>73920</v>
      </c>
      <c r="BP209" s="1">
        <v>73180</v>
      </c>
      <c r="BQ209" s="1">
        <v>73180</v>
      </c>
      <c r="BR209" s="1">
        <v>64150</v>
      </c>
      <c r="BS209" s="1">
        <v>64330</v>
      </c>
      <c r="BT209" s="1">
        <v>63170</v>
      </c>
      <c r="BU209" s="1">
        <v>63320</v>
      </c>
      <c r="BV209" s="1">
        <v>63060</v>
      </c>
      <c r="BW209" s="1">
        <v>63050</v>
      </c>
      <c r="BX209" s="1">
        <v>62710</v>
      </c>
      <c r="BY209" s="1">
        <v>62900</v>
      </c>
      <c r="BZ209" s="1">
        <v>63650</v>
      </c>
    </row>
    <row r="210" spans="1:254" ht="17.25" customHeight="1">
      <c r="A210" s="79" t="s">
        <v>411</v>
      </c>
      <c r="B210" s="1" t="s">
        <v>412</v>
      </c>
      <c r="C210" s="544">
        <f>_xll.RssMarket("6324","始値")</f>
        <v>7400</v>
      </c>
      <c r="D210" s="16">
        <f t="shared" ref="D210:D221" si="7">C210-E210</f>
        <v>0</v>
      </c>
      <c r="E210" s="551">
        <v>7400</v>
      </c>
      <c r="F210" s="2">
        <v>7000</v>
      </c>
      <c r="G210" s="2">
        <v>6500</v>
      </c>
      <c r="H210" s="2">
        <v>5960</v>
      </c>
      <c r="I210" s="2">
        <v>6100</v>
      </c>
      <c r="J210" s="2">
        <v>5350</v>
      </c>
      <c r="K210" s="2">
        <v>5790</v>
      </c>
      <c r="L210" s="2">
        <v>6240</v>
      </c>
      <c r="M210" s="2">
        <v>6660</v>
      </c>
      <c r="N210" s="2">
        <v>6770</v>
      </c>
      <c r="O210" s="2">
        <v>6900</v>
      </c>
      <c r="P210" s="2">
        <v>6750</v>
      </c>
      <c r="Q210" s="2">
        <v>6480</v>
      </c>
      <c r="R210" s="2">
        <v>6900</v>
      </c>
      <c r="S210" s="2">
        <v>7660</v>
      </c>
      <c r="T210" s="2">
        <v>7220</v>
      </c>
      <c r="U210" s="2">
        <v>7950</v>
      </c>
      <c r="V210" s="2">
        <v>7700</v>
      </c>
      <c r="W210" s="2">
        <v>7650</v>
      </c>
      <c r="X210" s="2">
        <v>7820</v>
      </c>
      <c r="Y210" s="2">
        <v>8590</v>
      </c>
      <c r="Z210" s="2">
        <v>8800</v>
      </c>
      <c r="AA210" s="2">
        <v>7840</v>
      </c>
      <c r="AB210" s="2">
        <v>7800</v>
      </c>
      <c r="AC210" s="2">
        <v>7800</v>
      </c>
      <c r="AD210" s="2">
        <v>7520</v>
      </c>
      <c r="AE210" s="2">
        <v>7070</v>
      </c>
      <c r="AF210" s="2">
        <v>7690</v>
      </c>
      <c r="AG210" s="2">
        <v>8050</v>
      </c>
      <c r="AH210" s="2">
        <v>7750</v>
      </c>
      <c r="AI210" s="2">
        <v>8640</v>
      </c>
      <c r="AJ210" s="2">
        <v>8220</v>
      </c>
      <c r="AK210" s="2">
        <v>7920</v>
      </c>
      <c r="AL210" s="2">
        <v>7950</v>
      </c>
      <c r="AM210" s="2">
        <v>7280</v>
      </c>
      <c r="AN210" s="2">
        <v>6970</v>
      </c>
      <c r="AO210" s="2">
        <v>6920</v>
      </c>
      <c r="AP210" s="2">
        <v>6580</v>
      </c>
      <c r="AQ210" s="2">
        <v>5960</v>
      </c>
      <c r="AR210" s="2">
        <v>6710</v>
      </c>
      <c r="AS210" s="2">
        <v>6540</v>
      </c>
      <c r="AT210" s="2">
        <v>6790</v>
      </c>
      <c r="AU210" s="2">
        <v>7300</v>
      </c>
      <c r="AV210" s="2">
        <v>7400</v>
      </c>
      <c r="AW210" s="2">
        <v>7560</v>
      </c>
      <c r="AX210" s="2">
        <v>7880</v>
      </c>
      <c r="AY210" s="2">
        <v>7420</v>
      </c>
      <c r="AZ210" s="2">
        <v>8300</v>
      </c>
      <c r="BA210" s="2">
        <v>7500</v>
      </c>
      <c r="BB210" s="2">
        <v>6700</v>
      </c>
      <c r="BC210" s="2">
        <v>6180</v>
      </c>
      <c r="BD210" s="2">
        <v>5950</v>
      </c>
      <c r="BE210" s="2">
        <v>6700</v>
      </c>
      <c r="BF210" s="2">
        <v>6980</v>
      </c>
      <c r="BG210" s="2">
        <v>6930</v>
      </c>
      <c r="BH210" s="2">
        <v>6970</v>
      </c>
      <c r="BI210" s="2">
        <v>6440</v>
      </c>
      <c r="BJ210" s="2">
        <v>6540</v>
      </c>
      <c r="BK210" s="2">
        <v>6430</v>
      </c>
      <c r="BL210" s="2">
        <v>5610</v>
      </c>
      <c r="BM210" s="1">
        <v>5480</v>
      </c>
      <c r="BN210" s="1">
        <v>5120</v>
      </c>
      <c r="BO210" s="1">
        <v>4745</v>
      </c>
      <c r="BP210" s="1">
        <v>4880</v>
      </c>
      <c r="BQ210" s="1">
        <v>4475</v>
      </c>
      <c r="BR210" s="1">
        <v>4285</v>
      </c>
      <c r="BS210" s="1">
        <v>4385</v>
      </c>
      <c r="BT210" s="1">
        <v>4355</v>
      </c>
      <c r="BU210" s="1">
        <v>4685</v>
      </c>
      <c r="BV210" s="1">
        <v>4500</v>
      </c>
      <c r="BW210" s="1">
        <v>4585</v>
      </c>
      <c r="BX210" s="1">
        <v>4540</v>
      </c>
      <c r="BY210" s="1">
        <v>4220</v>
      </c>
      <c r="BZ210" s="1">
        <v>4250</v>
      </c>
    </row>
    <row r="211" spans="1:254" ht="17.25" customHeight="1">
      <c r="A211" s="79" t="s">
        <v>413</v>
      </c>
      <c r="B211" s="1" t="s">
        <v>414</v>
      </c>
      <c r="C211" s="544">
        <f>_xll.RssMarket("6273","始値")</f>
        <v>74890</v>
      </c>
      <c r="D211" s="16">
        <f t="shared" si="7"/>
        <v>0</v>
      </c>
      <c r="E211" s="551">
        <v>74890</v>
      </c>
      <c r="F211" s="2">
        <v>75160</v>
      </c>
      <c r="G211" s="2">
        <v>71740</v>
      </c>
      <c r="H211" s="2">
        <v>69420</v>
      </c>
      <c r="I211" s="2">
        <v>69520</v>
      </c>
      <c r="J211" s="2">
        <v>63930</v>
      </c>
      <c r="K211" s="2">
        <v>66800</v>
      </c>
      <c r="L211" s="2">
        <v>68800</v>
      </c>
      <c r="M211" s="2">
        <v>71010</v>
      </c>
      <c r="N211" s="2">
        <v>71600</v>
      </c>
      <c r="O211" s="2">
        <v>71980</v>
      </c>
      <c r="P211" s="2">
        <v>72140</v>
      </c>
      <c r="Q211" s="2">
        <v>69220</v>
      </c>
      <c r="R211" s="2">
        <v>71930</v>
      </c>
      <c r="S211" s="2">
        <v>74010</v>
      </c>
      <c r="T211" s="2">
        <v>71600</v>
      </c>
      <c r="U211" s="2">
        <v>75580</v>
      </c>
      <c r="V211" s="2">
        <v>73520</v>
      </c>
      <c r="W211" s="2">
        <v>71390</v>
      </c>
      <c r="X211" s="2">
        <v>71270</v>
      </c>
      <c r="Y211" s="2">
        <v>75770</v>
      </c>
      <c r="Z211" s="2">
        <v>76500</v>
      </c>
      <c r="AA211" s="2">
        <v>72680</v>
      </c>
      <c r="AB211" s="2">
        <v>72960</v>
      </c>
      <c r="AC211" s="2">
        <v>72830</v>
      </c>
      <c r="AD211" s="2">
        <v>71460</v>
      </c>
      <c r="AE211" s="2">
        <v>71780</v>
      </c>
      <c r="AF211" s="2">
        <v>72070</v>
      </c>
      <c r="AG211" s="2">
        <v>71220</v>
      </c>
      <c r="AH211" s="2">
        <v>71230</v>
      </c>
      <c r="AI211" s="2">
        <v>74260</v>
      </c>
      <c r="AJ211" s="2">
        <v>72110</v>
      </c>
      <c r="AK211" s="2">
        <v>74100</v>
      </c>
      <c r="AL211" s="2">
        <v>72850</v>
      </c>
      <c r="AM211" s="2">
        <v>70450</v>
      </c>
      <c r="AN211" s="2">
        <v>69410</v>
      </c>
      <c r="AO211" s="2">
        <v>68170</v>
      </c>
      <c r="AP211" s="2">
        <v>65920</v>
      </c>
      <c r="AQ211" s="2">
        <v>59000</v>
      </c>
      <c r="AR211" s="2">
        <v>60490</v>
      </c>
      <c r="AS211" s="2">
        <v>62040</v>
      </c>
      <c r="AT211" s="2">
        <v>64660</v>
      </c>
      <c r="AU211" s="2">
        <v>65560</v>
      </c>
      <c r="AV211" s="2">
        <v>63890</v>
      </c>
      <c r="AW211" s="2">
        <v>65830</v>
      </c>
      <c r="AX211" s="2">
        <v>68880</v>
      </c>
      <c r="AY211" s="2">
        <v>66650</v>
      </c>
      <c r="AZ211" s="2">
        <v>66650</v>
      </c>
      <c r="BA211" s="2">
        <v>66430</v>
      </c>
      <c r="BB211" s="2">
        <v>65620</v>
      </c>
      <c r="BC211" s="2">
        <v>66140</v>
      </c>
      <c r="BD211" s="2">
        <v>65120</v>
      </c>
      <c r="BE211" s="2">
        <v>67070</v>
      </c>
      <c r="BF211" s="2">
        <v>67000</v>
      </c>
      <c r="BG211" s="2">
        <v>72760</v>
      </c>
      <c r="BH211" s="2">
        <v>84730</v>
      </c>
      <c r="BI211" s="2">
        <v>82580</v>
      </c>
      <c r="BJ211" s="2">
        <v>84340</v>
      </c>
      <c r="BK211" s="2">
        <v>84360</v>
      </c>
      <c r="BL211" s="2">
        <v>79580</v>
      </c>
      <c r="BM211" s="1">
        <v>78230</v>
      </c>
      <c r="BN211" s="1">
        <v>77580</v>
      </c>
      <c r="BO211" s="1">
        <v>76950</v>
      </c>
      <c r="BP211" s="1">
        <v>76980</v>
      </c>
      <c r="BQ211" s="1">
        <v>72440</v>
      </c>
      <c r="BR211" s="1">
        <v>70890</v>
      </c>
      <c r="BS211" s="1">
        <v>71620</v>
      </c>
      <c r="BT211" s="1">
        <v>71000</v>
      </c>
      <c r="BU211" s="1">
        <v>71580</v>
      </c>
      <c r="BV211" s="1">
        <v>70850</v>
      </c>
      <c r="BW211" s="1">
        <v>71940</v>
      </c>
      <c r="BX211" s="1">
        <v>71820</v>
      </c>
      <c r="BY211" s="1">
        <v>72520</v>
      </c>
      <c r="BZ211" s="1">
        <v>73150</v>
      </c>
    </row>
    <row r="212" spans="1:254" ht="17.25" customHeight="1">
      <c r="A212" s="79" t="s">
        <v>415</v>
      </c>
      <c r="B212" s="1" t="s">
        <v>416</v>
      </c>
      <c r="C212" s="544">
        <f>_xll.RssMarket("4502","始値")</f>
        <v>5402</v>
      </c>
      <c r="D212" s="16">
        <f t="shared" si="7"/>
        <v>0</v>
      </c>
      <c r="E212" s="551">
        <v>5402</v>
      </c>
      <c r="F212" s="2">
        <v>5234</v>
      </c>
      <c r="G212" s="2">
        <v>5320</v>
      </c>
      <c r="H212" s="2">
        <v>5400</v>
      </c>
      <c r="I212" s="2">
        <v>5549</v>
      </c>
      <c r="J212" s="2">
        <v>5763</v>
      </c>
      <c r="K212" s="2">
        <v>5800</v>
      </c>
      <c r="L212" s="2">
        <v>5742</v>
      </c>
      <c r="M212" s="2">
        <v>5656</v>
      </c>
      <c r="N212" s="2">
        <v>5579</v>
      </c>
      <c r="O212" s="2">
        <v>5552</v>
      </c>
      <c r="P212" s="2">
        <v>5550</v>
      </c>
      <c r="Q212" s="2">
        <v>5480</v>
      </c>
      <c r="R212" s="2">
        <v>5445</v>
      </c>
      <c r="S212" s="2">
        <v>5287</v>
      </c>
      <c r="T212" s="2">
        <v>5380</v>
      </c>
      <c r="U212" s="2">
        <v>5340</v>
      </c>
      <c r="V212" s="2">
        <v>5385</v>
      </c>
      <c r="W212" s="2">
        <v>5400</v>
      </c>
      <c r="X212" s="2">
        <v>5503</v>
      </c>
      <c r="Y212" s="2">
        <v>5480</v>
      </c>
      <c r="Z212" s="2">
        <v>5426</v>
      </c>
      <c r="AA212" s="2">
        <v>5420</v>
      </c>
      <c r="AB212" s="2">
        <v>5215</v>
      </c>
      <c r="AC212" s="2">
        <v>5126</v>
      </c>
      <c r="AD212" s="2">
        <v>5176</v>
      </c>
      <c r="AE212" s="2">
        <v>5100</v>
      </c>
      <c r="AF212" s="2">
        <v>5070</v>
      </c>
      <c r="AG212" s="2">
        <v>5100</v>
      </c>
      <c r="AH212" s="2">
        <v>5000</v>
      </c>
      <c r="AI212" s="2">
        <v>4960</v>
      </c>
      <c r="AJ212" s="2">
        <v>4910</v>
      </c>
      <c r="AK212" s="2">
        <v>4911</v>
      </c>
      <c r="AL212" s="2">
        <v>4968</v>
      </c>
      <c r="AM212" s="2">
        <v>5018</v>
      </c>
      <c r="AN212" s="2">
        <v>5040</v>
      </c>
      <c r="AO212" s="2">
        <v>5078</v>
      </c>
      <c r="AP212" s="2">
        <v>5048</v>
      </c>
      <c r="AQ212" s="2">
        <v>5018</v>
      </c>
      <c r="AR212" s="2">
        <v>5040</v>
      </c>
      <c r="AS212" s="2">
        <v>4896</v>
      </c>
      <c r="AT212" s="2">
        <v>4933</v>
      </c>
      <c r="AU212" s="2">
        <v>4800</v>
      </c>
      <c r="AV212" s="2">
        <v>4800</v>
      </c>
      <c r="AW212" s="2">
        <v>4837</v>
      </c>
      <c r="AX212" s="2">
        <v>5079</v>
      </c>
      <c r="AY212" s="2">
        <v>5128</v>
      </c>
      <c r="AZ212" s="2">
        <v>5090</v>
      </c>
      <c r="BA212" s="2">
        <v>5141</v>
      </c>
      <c r="BB212" s="2">
        <v>5190</v>
      </c>
      <c r="BC212" s="2">
        <v>5300</v>
      </c>
      <c r="BD212" s="2">
        <v>5323</v>
      </c>
      <c r="BE212" s="2">
        <v>5325</v>
      </c>
      <c r="BF212" s="2">
        <v>5291</v>
      </c>
      <c r="BG212" s="2">
        <v>5256</v>
      </c>
      <c r="BH212" s="2">
        <v>5124</v>
      </c>
      <c r="BI212" s="2">
        <v>5193</v>
      </c>
      <c r="BJ212" s="2">
        <v>5167</v>
      </c>
      <c r="BK212" s="2">
        <v>5207</v>
      </c>
      <c r="BL212" s="2">
        <v>5339</v>
      </c>
      <c r="BM212" s="1">
        <v>5206</v>
      </c>
      <c r="BN212" s="1">
        <v>5260</v>
      </c>
      <c r="BO212" s="1">
        <v>5214</v>
      </c>
      <c r="BP212" s="1">
        <v>5292</v>
      </c>
      <c r="BQ212" s="1">
        <v>5235</v>
      </c>
      <c r="BR212" s="1">
        <v>5352</v>
      </c>
      <c r="BS212" s="1">
        <v>5318</v>
      </c>
      <c r="BT212" s="1">
        <v>5485</v>
      </c>
      <c r="BU212" s="1">
        <v>5520</v>
      </c>
      <c r="BV212" s="1">
        <v>5622</v>
      </c>
      <c r="BW212" s="1">
        <v>5602</v>
      </c>
      <c r="BX212" s="1">
        <v>5676</v>
      </c>
      <c r="BY212" s="1">
        <v>5612</v>
      </c>
      <c r="BZ212" s="1">
        <v>5669</v>
      </c>
    </row>
    <row r="213" spans="1:254" ht="17.25" customHeight="1">
      <c r="A213" s="79" t="s">
        <v>417</v>
      </c>
      <c r="B213" s="1" t="s">
        <v>418</v>
      </c>
      <c r="C213" s="544">
        <f>_xll.RssMarket("4004","始値")</f>
        <v>15955</v>
      </c>
      <c r="D213" s="16">
        <f t="shared" si="7"/>
        <v>0</v>
      </c>
      <c r="E213" s="551">
        <v>15955</v>
      </c>
      <c r="F213" s="2">
        <v>15415</v>
      </c>
      <c r="G213" s="2">
        <v>14060</v>
      </c>
      <c r="H213" s="2">
        <v>13675</v>
      </c>
      <c r="I213" s="2">
        <v>14525</v>
      </c>
      <c r="J213" s="2">
        <v>12165</v>
      </c>
      <c r="K213" s="2">
        <v>12510</v>
      </c>
      <c r="L213" s="2">
        <v>13155</v>
      </c>
      <c r="M213" s="2">
        <v>14380</v>
      </c>
      <c r="N213" s="2">
        <v>14995</v>
      </c>
      <c r="O213" s="2">
        <v>15845</v>
      </c>
      <c r="P213" s="2">
        <v>15340</v>
      </c>
      <c r="Q213" s="2">
        <v>14250</v>
      </c>
      <c r="R213" s="2">
        <v>14310</v>
      </c>
      <c r="S213" s="2">
        <v>15620</v>
      </c>
      <c r="T213" s="2">
        <v>15100</v>
      </c>
      <c r="U213" s="2">
        <v>16550</v>
      </c>
      <c r="V213" s="2">
        <v>16270</v>
      </c>
      <c r="W213" s="2">
        <v>15850</v>
      </c>
      <c r="X213" s="2">
        <v>14875</v>
      </c>
      <c r="Y213" s="2">
        <v>16500</v>
      </c>
      <c r="Z213" s="2">
        <v>17520</v>
      </c>
      <c r="AA213" s="2">
        <v>16700</v>
      </c>
      <c r="AB213" s="2">
        <v>18075</v>
      </c>
      <c r="AC213" s="2">
        <v>18400</v>
      </c>
      <c r="AD213" s="2">
        <v>17865</v>
      </c>
      <c r="AE213" s="2">
        <v>17315</v>
      </c>
      <c r="AF213" s="2">
        <v>17465</v>
      </c>
      <c r="AG213" s="2">
        <v>18550</v>
      </c>
      <c r="AH213" s="2">
        <v>18025</v>
      </c>
      <c r="AI213" s="2">
        <v>19500</v>
      </c>
      <c r="AJ213" s="2">
        <v>18375</v>
      </c>
      <c r="AK213" s="2">
        <v>19705</v>
      </c>
      <c r="AL213" s="2">
        <v>18695</v>
      </c>
      <c r="AM213" s="2">
        <v>17735</v>
      </c>
      <c r="AN213" s="2">
        <v>18500</v>
      </c>
      <c r="AO213" s="2">
        <v>18100</v>
      </c>
      <c r="AP213" s="2">
        <v>17120</v>
      </c>
      <c r="AQ213" s="2">
        <v>14635</v>
      </c>
      <c r="AR213" s="2">
        <v>16350</v>
      </c>
      <c r="AS213" s="2">
        <v>15585</v>
      </c>
      <c r="AT213" s="2">
        <v>17295</v>
      </c>
      <c r="AU213" s="2">
        <v>18595</v>
      </c>
      <c r="AV213" s="2">
        <v>19400</v>
      </c>
      <c r="AW213" s="2">
        <v>18560</v>
      </c>
      <c r="AX213" s="2">
        <v>18980</v>
      </c>
      <c r="AY213" s="2">
        <v>18875</v>
      </c>
      <c r="AZ213" s="2">
        <v>19870</v>
      </c>
      <c r="BA213" s="2">
        <v>18890</v>
      </c>
      <c r="BB213" s="2">
        <v>17370</v>
      </c>
      <c r="BC213" s="2">
        <v>16660</v>
      </c>
      <c r="BD213" s="2">
        <v>16290</v>
      </c>
      <c r="BE213" s="2">
        <v>16540</v>
      </c>
      <c r="BF213" s="2">
        <v>17200</v>
      </c>
      <c r="BG213" s="2">
        <v>18980</v>
      </c>
      <c r="BH213" s="2">
        <v>20005</v>
      </c>
      <c r="BI213" s="2">
        <v>17110</v>
      </c>
      <c r="BJ213" s="2">
        <v>17510</v>
      </c>
      <c r="BK213" s="2">
        <v>16480</v>
      </c>
      <c r="BL213" s="2">
        <v>15190</v>
      </c>
      <c r="BM213" s="1">
        <v>15035</v>
      </c>
      <c r="BN213" s="1">
        <v>14290</v>
      </c>
      <c r="BO213" s="1">
        <v>13870</v>
      </c>
      <c r="BP213" s="1">
        <v>13700</v>
      </c>
      <c r="BQ213" s="1">
        <v>13850</v>
      </c>
      <c r="BR213" s="1">
        <v>13930</v>
      </c>
      <c r="BS213" s="1">
        <v>14520</v>
      </c>
      <c r="BT213" s="1">
        <v>13860</v>
      </c>
      <c r="BU213" s="1">
        <v>12730</v>
      </c>
      <c r="BV213" s="1">
        <v>12600</v>
      </c>
      <c r="BW213" s="1">
        <v>13000</v>
      </c>
      <c r="BX213" s="1">
        <v>13000</v>
      </c>
      <c r="BY213" s="1">
        <v>13580</v>
      </c>
      <c r="BZ213" s="1">
        <v>13660</v>
      </c>
    </row>
    <row r="214" spans="1:254" ht="17.25" customHeight="1">
      <c r="A214" s="79" t="s">
        <v>419</v>
      </c>
      <c r="B214" s="1" t="s">
        <v>420</v>
      </c>
      <c r="C214" s="544">
        <f>_xll.RssMarket("9519","始値")</f>
        <v>934</v>
      </c>
      <c r="D214" s="16">
        <f t="shared" si="7"/>
        <v>0</v>
      </c>
      <c r="E214" s="551">
        <v>934</v>
      </c>
      <c r="F214" s="2">
        <v>934</v>
      </c>
      <c r="G214" s="2">
        <v>909</v>
      </c>
      <c r="H214" s="2">
        <v>920</v>
      </c>
      <c r="I214" s="2">
        <v>943</v>
      </c>
      <c r="J214" s="2">
        <v>935</v>
      </c>
      <c r="K214" s="2">
        <v>991</v>
      </c>
      <c r="L214" s="2">
        <v>1030</v>
      </c>
      <c r="M214" s="2">
        <v>1012</v>
      </c>
      <c r="N214" s="2">
        <v>981</v>
      </c>
      <c r="O214" s="2">
        <v>995</v>
      </c>
      <c r="P214" s="2">
        <v>1000</v>
      </c>
      <c r="Q214" s="2">
        <v>981</v>
      </c>
      <c r="R214" s="2">
        <v>1021</v>
      </c>
      <c r="S214" s="2">
        <v>974</v>
      </c>
      <c r="T214" s="2">
        <v>951</v>
      </c>
      <c r="U214" s="2">
        <v>943</v>
      </c>
      <c r="V214" s="2">
        <v>939</v>
      </c>
      <c r="W214" s="2">
        <v>934</v>
      </c>
      <c r="X214" s="2">
        <v>963</v>
      </c>
      <c r="Y214" s="2">
        <v>966</v>
      </c>
      <c r="Z214" s="2">
        <v>997</v>
      </c>
      <c r="AA214" s="2">
        <v>988</v>
      </c>
      <c r="AB214" s="2">
        <v>981</v>
      </c>
      <c r="AC214" s="2">
        <v>985</v>
      </c>
      <c r="AD214" s="2">
        <v>984</v>
      </c>
      <c r="AE214" s="2">
        <v>950</v>
      </c>
      <c r="AF214" s="2">
        <v>884</v>
      </c>
      <c r="AG214" s="2">
        <v>922</v>
      </c>
      <c r="AH214" s="2">
        <v>890</v>
      </c>
      <c r="AI214" s="2">
        <v>893</v>
      </c>
      <c r="AJ214" s="2">
        <v>836</v>
      </c>
      <c r="AK214" s="2">
        <v>830</v>
      </c>
      <c r="AL214" s="2">
        <v>875</v>
      </c>
      <c r="AM214" s="2">
        <v>875</v>
      </c>
      <c r="AN214" s="2">
        <v>881</v>
      </c>
      <c r="AO214" s="2">
        <v>902</v>
      </c>
      <c r="AP214" s="2">
        <v>895</v>
      </c>
      <c r="AQ214" s="2">
        <v>896</v>
      </c>
      <c r="AR214" s="2">
        <v>927</v>
      </c>
      <c r="AS214" s="2">
        <v>1001</v>
      </c>
      <c r="AT214" s="2">
        <v>954</v>
      </c>
      <c r="AU214" s="2">
        <v>1003</v>
      </c>
      <c r="AV214" s="2">
        <v>1087</v>
      </c>
      <c r="AW214" s="2">
        <v>1173</v>
      </c>
      <c r="AX214" s="2">
        <v>1323</v>
      </c>
      <c r="AY214" s="2">
        <v>1288</v>
      </c>
      <c r="AZ214" s="2">
        <v>1270</v>
      </c>
      <c r="BA214" s="2">
        <v>1370</v>
      </c>
      <c r="BB214" s="2">
        <v>1335</v>
      </c>
      <c r="BC214" s="2">
        <v>1292</v>
      </c>
      <c r="BD214" s="2">
        <v>1361</v>
      </c>
      <c r="BE214" s="2">
        <v>1310</v>
      </c>
      <c r="BF214" s="2">
        <v>1360</v>
      </c>
      <c r="BG214" s="2">
        <v>1320</v>
      </c>
      <c r="BH214" s="2">
        <v>1268</v>
      </c>
      <c r="BI214" s="2">
        <v>1215</v>
      </c>
      <c r="BJ214" s="2">
        <v>1221</v>
      </c>
      <c r="BK214" s="2">
        <v>1160</v>
      </c>
      <c r="BL214" s="2">
        <v>1138</v>
      </c>
      <c r="BM214" s="1">
        <v>1111</v>
      </c>
      <c r="BN214" s="1">
        <v>1130</v>
      </c>
      <c r="BO214" s="1">
        <v>1111</v>
      </c>
      <c r="BP214" s="1">
        <v>1088</v>
      </c>
      <c r="BQ214" s="1">
        <v>1042</v>
      </c>
      <c r="BR214" s="1">
        <v>991</v>
      </c>
      <c r="BS214" s="1">
        <v>964</v>
      </c>
      <c r="BT214" s="1">
        <v>971</v>
      </c>
      <c r="BU214" s="1">
        <v>1036</v>
      </c>
      <c r="BV214" s="1">
        <v>1041</v>
      </c>
      <c r="BW214" s="1">
        <v>1068</v>
      </c>
      <c r="BX214" s="1">
        <v>1060</v>
      </c>
      <c r="BY214" s="1">
        <v>1020</v>
      </c>
      <c r="BZ214" s="1">
        <v>996</v>
      </c>
    </row>
    <row r="215" spans="1:254" ht="17.25" customHeight="1">
      <c r="A215" s="79" t="s">
        <v>421</v>
      </c>
      <c r="B215" s="1" t="s">
        <v>422</v>
      </c>
      <c r="C215" s="544">
        <f>_xll.RssMarket("6752","始値")</f>
        <v>4446</v>
      </c>
      <c r="D215" s="16">
        <f t="shared" si="7"/>
        <v>0</v>
      </c>
      <c r="E215" s="551">
        <v>4446</v>
      </c>
      <c r="F215" s="2">
        <v>4416</v>
      </c>
      <c r="G215" s="2">
        <v>4300</v>
      </c>
      <c r="H215" s="2">
        <v>4400</v>
      </c>
      <c r="I215" s="2">
        <v>4284</v>
      </c>
      <c r="J215" s="2">
        <v>3380</v>
      </c>
      <c r="K215" s="2">
        <v>3573</v>
      </c>
      <c r="L215" s="2">
        <v>3769</v>
      </c>
      <c r="M215" s="2">
        <v>3836</v>
      </c>
      <c r="N215" s="2">
        <v>3910</v>
      </c>
      <c r="O215" s="2">
        <v>4076</v>
      </c>
      <c r="P215" s="2">
        <v>4213</v>
      </c>
      <c r="Q215" s="2">
        <v>3959</v>
      </c>
      <c r="R215" s="2">
        <v>3993</v>
      </c>
      <c r="S215" s="2">
        <v>4239</v>
      </c>
      <c r="T215" s="2">
        <v>4300</v>
      </c>
      <c r="U215" s="2">
        <v>4658</v>
      </c>
      <c r="V215" s="2">
        <v>4516</v>
      </c>
      <c r="W215" s="2">
        <v>4387</v>
      </c>
      <c r="X215" s="2">
        <v>4260</v>
      </c>
      <c r="Y215" s="2">
        <v>4560</v>
      </c>
      <c r="Z215" s="2">
        <v>4592</v>
      </c>
      <c r="AA215" s="2">
        <v>4400</v>
      </c>
      <c r="AB215" s="2">
        <v>4490</v>
      </c>
      <c r="AC215" s="2">
        <v>4642</v>
      </c>
      <c r="AD215" s="2">
        <v>4401</v>
      </c>
      <c r="AE215" s="2">
        <v>4487</v>
      </c>
      <c r="AF215" s="2">
        <v>4570</v>
      </c>
      <c r="AG215" s="2">
        <v>4469</v>
      </c>
      <c r="AH215" s="2">
        <v>4220</v>
      </c>
      <c r="AI215" s="2">
        <v>4380</v>
      </c>
      <c r="AJ215" s="2">
        <v>4415</v>
      </c>
      <c r="AK215" s="2">
        <v>4445</v>
      </c>
      <c r="AL215" s="2">
        <v>4237</v>
      </c>
      <c r="AM215" s="2">
        <v>4184</v>
      </c>
      <c r="AN215" s="2">
        <v>4100</v>
      </c>
      <c r="AO215" s="2">
        <v>3930</v>
      </c>
      <c r="AP215" s="2">
        <v>3837</v>
      </c>
      <c r="AQ215" s="2">
        <v>3613</v>
      </c>
      <c r="AR215" s="2">
        <v>3780</v>
      </c>
      <c r="AS215" s="2">
        <v>3450</v>
      </c>
      <c r="AT215" s="2">
        <v>3744</v>
      </c>
      <c r="AU215" s="2">
        <v>3642</v>
      </c>
      <c r="AV215" s="2">
        <v>3690</v>
      </c>
      <c r="AW215" s="2">
        <v>3567</v>
      </c>
      <c r="AX215" s="2">
        <v>3591</v>
      </c>
      <c r="AY215" s="2">
        <v>3499</v>
      </c>
      <c r="AZ215" s="2">
        <v>3619</v>
      </c>
      <c r="BA215" s="2">
        <v>3540</v>
      </c>
      <c r="BB215" s="2">
        <v>3472</v>
      </c>
      <c r="BC215" s="2">
        <v>3230</v>
      </c>
      <c r="BD215" s="2">
        <v>3283</v>
      </c>
      <c r="BE215" s="2">
        <v>3350</v>
      </c>
      <c r="BF215" s="2">
        <v>3231</v>
      </c>
      <c r="BG215" s="2">
        <v>3400</v>
      </c>
      <c r="BH215" s="2">
        <v>3322</v>
      </c>
      <c r="BI215" s="2">
        <v>3165</v>
      </c>
      <c r="BJ215" s="2">
        <v>3341</v>
      </c>
      <c r="BK215" s="2">
        <v>3231</v>
      </c>
      <c r="BL215" s="2">
        <v>3224</v>
      </c>
      <c r="BM215" s="1">
        <v>3423</v>
      </c>
      <c r="BN215" s="1">
        <v>3273</v>
      </c>
      <c r="BO215" s="1">
        <v>3091</v>
      </c>
      <c r="BP215" s="1">
        <v>3103</v>
      </c>
      <c r="BQ215" s="1">
        <v>2950</v>
      </c>
      <c r="BR215" s="1">
        <v>2900</v>
      </c>
      <c r="BS215" s="1">
        <v>2914.5</v>
      </c>
      <c r="BT215" s="1">
        <v>2977</v>
      </c>
      <c r="BU215" s="1">
        <v>3000</v>
      </c>
      <c r="BV215" s="1">
        <v>2893.5</v>
      </c>
      <c r="BW215" s="1">
        <v>2953</v>
      </c>
      <c r="BX215" s="1">
        <v>2939</v>
      </c>
      <c r="BY215" s="1">
        <v>2936.5</v>
      </c>
      <c r="BZ215" s="1">
        <v>2911</v>
      </c>
    </row>
    <row r="216" spans="1:254" ht="17.25" customHeight="1">
      <c r="A216" s="79" t="s">
        <v>423</v>
      </c>
      <c r="B216" s="1" t="s">
        <v>424</v>
      </c>
      <c r="C216" s="544">
        <f>_xll.RssMarket("6622","始値")</f>
        <v>14830</v>
      </c>
      <c r="D216" s="16">
        <f t="shared" si="7"/>
        <v>0</v>
      </c>
      <c r="E216" s="551">
        <v>14830</v>
      </c>
      <c r="F216" s="2">
        <v>14480</v>
      </c>
      <c r="G216" s="2">
        <v>14240</v>
      </c>
      <c r="H216" s="2">
        <v>13740</v>
      </c>
      <c r="I216" s="2">
        <v>13500</v>
      </c>
      <c r="J216" s="2">
        <v>11620</v>
      </c>
      <c r="K216" s="2">
        <v>13070</v>
      </c>
      <c r="L216" s="2">
        <v>13880</v>
      </c>
      <c r="M216" s="2">
        <v>14680</v>
      </c>
      <c r="N216" s="2">
        <v>14750</v>
      </c>
      <c r="O216" s="2">
        <v>15070</v>
      </c>
      <c r="P216" s="2">
        <v>14990</v>
      </c>
      <c r="Q216" s="2">
        <v>14300</v>
      </c>
      <c r="R216" s="2">
        <v>14450</v>
      </c>
      <c r="S216" s="2">
        <v>15300</v>
      </c>
      <c r="T216" s="2">
        <v>14980</v>
      </c>
      <c r="U216" s="2">
        <v>15570</v>
      </c>
      <c r="V216" s="2">
        <v>15540</v>
      </c>
      <c r="W216" s="2">
        <v>15200</v>
      </c>
      <c r="X216" s="2">
        <v>15010</v>
      </c>
      <c r="Y216" s="2">
        <v>17010</v>
      </c>
      <c r="Z216" s="2">
        <v>17340</v>
      </c>
      <c r="AA216" s="2">
        <v>15960</v>
      </c>
      <c r="AB216" s="2">
        <v>17650</v>
      </c>
      <c r="AC216" s="2">
        <v>18550</v>
      </c>
      <c r="AD216" s="2">
        <v>18110</v>
      </c>
      <c r="AE216" s="2">
        <v>18190</v>
      </c>
      <c r="AF216" s="2">
        <v>18530</v>
      </c>
      <c r="AG216" s="2">
        <v>18950</v>
      </c>
      <c r="AH216" s="2">
        <v>18450</v>
      </c>
      <c r="AI216" s="2">
        <v>19500</v>
      </c>
      <c r="AJ216" s="2">
        <v>17870</v>
      </c>
      <c r="AK216" s="2">
        <v>18900</v>
      </c>
      <c r="AL216" s="2">
        <v>17360</v>
      </c>
      <c r="AM216" s="2">
        <v>16170</v>
      </c>
      <c r="AN216" s="2">
        <v>16290</v>
      </c>
      <c r="AO216" s="2">
        <v>16000</v>
      </c>
      <c r="AP216" s="2">
        <v>15200</v>
      </c>
      <c r="AQ216" s="2">
        <v>14050</v>
      </c>
      <c r="AR216" s="2">
        <v>15100</v>
      </c>
      <c r="AS216" s="2">
        <v>14600</v>
      </c>
      <c r="AT216" s="2">
        <v>15520</v>
      </c>
      <c r="AU216" s="2">
        <v>15320</v>
      </c>
      <c r="AV216" s="2">
        <v>15480</v>
      </c>
      <c r="AW216" s="2">
        <v>15610</v>
      </c>
      <c r="AX216" s="2">
        <v>16530</v>
      </c>
      <c r="AY216" s="2">
        <v>16420</v>
      </c>
      <c r="AZ216" s="2">
        <v>17360</v>
      </c>
      <c r="BA216" s="2">
        <v>16910</v>
      </c>
      <c r="BB216" s="2">
        <v>16400</v>
      </c>
      <c r="BC216" s="2">
        <v>15610</v>
      </c>
      <c r="BD216" s="2">
        <v>15400</v>
      </c>
      <c r="BE216" s="2">
        <v>16620</v>
      </c>
      <c r="BF216" s="2">
        <v>17300</v>
      </c>
      <c r="BG216" s="2">
        <v>17600</v>
      </c>
      <c r="BH216" s="2">
        <v>18150</v>
      </c>
      <c r="BI216" s="2">
        <v>17500</v>
      </c>
      <c r="BJ216" s="2">
        <v>19790</v>
      </c>
      <c r="BK216" s="2">
        <v>17880</v>
      </c>
      <c r="BL216" s="2">
        <v>16700</v>
      </c>
      <c r="BM216" s="1">
        <v>16830</v>
      </c>
      <c r="BN216" s="1">
        <v>15460</v>
      </c>
      <c r="BO216" s="1">
        <v>15190</v>
      </c>
      <c r="BP216" s="1">
        <v>14700</v>
      </c>
      <c r="BQ216" s="1">
        <v>14080</v>
      </c>
      <c r="BR216" s="1">
        <v>13790</v>
      </c>
      <c r="BS216" s="1">
        <v>13940</v>
      </c>
      <c r="BT216" s="1">
        <v>14080</v>
      </c>
      <c r="BU216" s="1">
        <v>14050</v>
      </c>
      <c r="BV216" s="1">
        <v>13820</v>
      </c>
      <c r="BW216" s="1">
        <v>14320</v>
      </c>
      <c r="BX216" s="1">
        <v>14340</v>
      </c>
      <c r="BY216" s="1">
        <v>14740</v>
      </c>
      <c r="BZ216" s="1">
        <v>14550</v>
      </c>
    </row>
    <row r="217" spans="1:254" ht="17.25" customHeight="1">
      <c r="A217" s="79" t="s">
        <v>425</v>
      </c>
      <c r="B217" s="1" t="s">
        <v>426</v>
      </c>
      <c r="C217" s="544">
        <f>_xll.RssMarket("1407","始値")</f>
        <v>2661</v>
      </c>
      <c r="D217" s="16">
        <f t="shared" si="7"/>
        <v>0</v>
      </c>
      <c r="E217" s="551">
        <v>2661</v>
      </c>
      <c r="F217" s="2">
        <v>2733</v>
      </c>
      <c r="G217" s="2">
        <v>2634</v>
      </c>
      <c r="H217" s="2">
        <v>2502</v>
      </c>
      <c r="I217" s="2">
        <v>2575</v>
      </c>
      <c r="J217" s="2">
        <v>2626</v>
      </c>
      <c r="K217" s="2">
        <v>2634</v>
      </c>
      <c r="L217" s="2">
        <v>2751</v>
      </c>
      <c r="M217" s="2">
        <v>2894</v>
      </c>
      <c r="N217" s="2">
        <v>2700</v>
      </c>
      <c r="O217" s="2">
        <v>2676</v>
      </c>
      <c r="P217" s="2">
        <v>2733</v>
      </c>
      <c r="Q217" s="2">
        <v>2901</v>
      </c>
      <c r="R217" s="2">
        <v>2683</v>
      </c>
      <c r="S217" s="2">
        <v>2352</v>
      </c>
      <c r="T217" s="2">
        <v>2258</v>
      </c>
      <c r="U217" s="2">
        <v>2182</v>
      </c>
      <c r="V217" s="2">
        <v>2294</v>
      </c>
      <c r="W217" s="2">
        <v>2280</v>
      </c>
      <c r="X217" s="2">
        <v>2256</v>
      </c>
      <c r="Y217" s="2">
        <v>2330</v>
      </c>
      <c r="Z217" s="2">
        <v>2413</v>
      </c>
      <c r="AA217" s="2">
        <v>2321</v>
      </c>
      <c r="AB217" s="2">
        <v>2356</v>
      </c>
      <c r="AC217" s="2">
        <v>2390</v>
      </c>
      <c r="AD217" s="2">
        <v>2428</v>
      </c>
      <c r="AE217" s="2">
        <v>2395</v>
      </c>
      <c r="AF217" s="2">
        <v>2293</v>
      </c>
      <c r="AG217" s="2">
        <v>2299</v>
      </c>
      <c r="AH217" s="2">
        <v>2375</v>
      </c>
      <c r="AI217" s="2">
        <v>2300</v>
      </c>
      <c r="AJ217" s="2">
        <v>2212</v>
      </c>
      <c r="AK217" s="2">
        <v>2280</v>
      </c>
      <c r="AL217" s="2">
        <v>2334</v>
      </c>
      <c r="AM217" s="2">
        <v>2220</v>
      </c>
      <c r="AN217" s="2">
        <v>2234</v>
      </c>
      <c r="AO217" s="2">
        <v>2332</v>
      </c>
      <c r="AP217" s="2">
        <v>2305</v>
      </c>
      <c r="AQ217" s="2">
        <v>2238</v>
      </c>
      <c r="AR217" s="2">
        <v>2335</v>
      </c>
      <c r="AS217" s="2">
        <v>2355</v>
      </c>
      <c r="AT217" s="2">
        <v>2386</v>
      </c>
      <c r="AU217" s="2">
        <v>2564</v>
      </c>
      <c r="AV217" s="2">
        <v>2524</v>
      </c>
      <c r="AW217" s="2">
        <v>2600</v>
      </c>
      <c r="AX217" s="2">
        <v>2863</v>
      </c>
      <c r="AY217" s="2">
        <v>3045</v>
      </c>
      <c r="AZ217" s="2">
        <v>3165</v>
      </c>
      <c r="BA217" s="2">
        <v>2900</v>
      </c>
      <c r="BB217" s="2">
        <v>2918</v>
      </c>
      <c r="BC217" s="2">
        <v>3100</v>
      </c>
      <c r="BD217" s="2">
        <v>3040</v>
      </c>
      <c r="BE217" s="2">
        <v>3015</v>
      </c>
      <c r="BF217" s="2">
        <v>3030</v>
      </c>
      <c r="BG217" s="2">
        <v>3140</v>
      </c>
      <c r="BH217" s="2">
        <v>3040</v>
      </c>
      <c r="BI217" s="2">
        <v>2850</v>
      </c>
      <c r="BJ217" s="2">
        <v>3180</v>
      </c>
      <c r="BK217" s="2">
        <v>3110</v>
      </c>
      <c r="BL217" s="2">
        <v>2862</v>
      </c>
      <c r="BM217" s="1">
        <v>2880</v>
      </c>
      <c r="BN217" s="1">
        <v>2927</v>
      </c>
      <c r="BO217" s="1">
        <v>2731</v>
      </c>
      <c r="BP217" s="1">
        <v>2683</v>
      </c>
      <c r="BQ217" s="1">
        <v>2541</v>
      </c>
      <c r="BR217" s="1">
        <v>2383</v>
      </c>
      <c r="BS217" s="1">
        <v>2320</v>
      </c>
      <c r="BT217" s="1">
        <v>2288</v>
      </c>
      <c r="BU217" s="1">
        <v>2305</v>
      </c>
      <c r="BV217" s="1">
        <v>2205</v>
      </c>
      <c r="BW217" s="1">
        <v>2320</v>
      </c>
      <c r="BX217" s="1">
        <v>2096</v>
      </c>
      <c r="BY217" s="1">
        <v>1944</v>
      </c>
      <c r="BZ217" s="1">
        <v>1815</v>
      </c>
    </row>
    <row r="218" spans="1:254" ht="17.25" customHeight="1">
      <c r="A218" s="79" t="s">
        <v>427</v>
      </c>
      <c r="B218" s="1" t="s">
        <v>428</v>
      </c>
      <c r="C218" s="544">
        <f>_xll.RssMarket("285A","始値")</f>
        <v>50010</v>
      </c>
      <c r="D218" s="16">
        <f t="shared" si="7"/>
        <v>0</v>
      </c>
      <c r="E218" s="551">
        <v>50010</v>
      </c>
      <c r="F218" s="2">
        <v>56000</v>
      </c>
      <c r="G218" s="2">
        <v>50990</v>
      </c>
      <c r="H218" s="72">
        <v>47500</v>
      </c>
      <c r="I218" s="2">
        <v>46500</v>
      </c>
      <c r="J218" s="2">
        <v>39000</v>
      </c>
      <c r="K218" s="2">
        <v>44660</v>
      </c>
      <c r="L218" s="2">
        <v>44650</v>
      </c>
      <c r="M218" s="2">
        <v>56800</v>
      </c>
      <c r="N218" s="2">
        <v>60880</v>
      </c>
      <c r="O218" s="2">
        <v>67000</v>
      </c>
      <c r="P218" s="2">
        <v>66500</v>
      </c>
      <c r="Q218" s="2">
        <v>53110</v>
      </c>
      <c r="R218" s="2">
        <v>55900</v>
      </c>
      <c r="S218" s="2">
        <v>72740</v>
      </c>
      <c r="T218" s="2">
        <v>65300</v>
      </c>
      <c r="U218" s="2">
        <v>75500</v>
      </c>
      <c r="V218" s="2">
        <v>82080</v>
      </c>
      <c r="W218" s="2">
        <v>77220</v>
      </c>
      <c r="X218" s="2">
        <v>69400</v>
      </c>
      <c r="Y218" s="2">
        <v>78000</v>
      </c>
      <c r="Z218" s="2">
        <v>84800</v>
      </c>
      <c r="AA218" s="2">
        <v>68000</v>
      </c>
      <c r="AB218" s="2">
        <v>79130</v>
      </c>
      <c r="AC218" s="2">
        <v>91180</v>
      </c>
      <c r="AD218" s="2">
        <v>88450</v>
      </c>
      <c r="AE218" s="2">
        <v>92730</v>
      </c>
      <c r="AF218" s="2">
        <v>100000</v>
      </c>
      <c r="AG218" s="2">
        <v>106000</v>
      </c>
      <c r="AH218" s="2">
        <v>95290</v>
      </c>
      <c r="AI218" s="2">
        <v>110750</v>
      </c>
      <c r="AJ218" s="2">
        <v>105600</v>
      </c>
      <c r="AK218" s="2">
        <v>100300</v>
      </c>
      <c r="AL218" s="2">
        <v>97500</v>
      </c>
      <c r="AM218" s="2">
        <v>93500</v>
      </c>
      <c r="AN218" s="2">
        <v>93910</v>
      </c>
      <c r="AO218" s="2">
        <v>85700</v>
      </c>
      <c r="AP218" s="2">
        <v>80500</v>
      </c>
      <c r="AQ218" s="2">
        <v>67750</v>
      </c>
      <c r="AR218" s="2">
        <v>74950</v>
      </c>
      <c r="AS218" s="2">
        <v>69140</v>
      </c>
      <c r="AT218" s="2">
        <v>74010</v>
      </c>
      <c r="AU218" s="2">
        <v>77000</v>
      </c>
      <c r="AV218" s="2">
        <v>79660</v>
      </c>
      <c r="AW218" s="2">
        <v>74000</v>
      </c>
      <c r="AX218" s="2">
        <v>62500</v>
      </c>
      <c r="AY218" s="2">
        <v>59000</v>
      </c>
      <c r="AZ218" s="2">
        <v>65890</v>
      </c>
      <c r="BA218" s="2">
        <v>58380</v>
      </c>
      <c r="BB218" s="2">
        <v>57500</v>
      </c>
      <c r="BC218" s="2">
        <v>53290</v>
      </c>
      <c r="BD218" s="2">
        <v>51000</v>
      </c>
      <c r="BE218" s="2">
        <v>52010</v>
      </c>
      <c r="BF218" s="2">
        <v>51450</v>
      </c>
      <c r="BG218" s="2">
        <v>48460</v>
      </c>
      <c r="BH218" s="2">
        <v>50070</v>
      </c>
      <c r="BI218" s="2">
        <v>44800</v>
      </c>
      <c r="BJ218" s="2">
        <v>46900</v>
      </c>
      <c r="BK218" s="2">
        <v>49200</v>
      </c>
      <c r="BL218" s="2">
        <v>43350</v>
      </c>
      <c r="BM218" s="1">
        <v>43410</v>
      </c>
      <c r="BN218" s="1">
        <v>36500</v>
      </c>
      <c r="BO218" s="1">
        <v>37460</v>
      </c>
      <c r="BP218" s="1">
        <v>36400</v>
      </c>
      <c r="BQ218" s="1">
        <v>35410</v>
      </c>
      <c r="BR218" s="1">
        <v>35250</v>
      </c>
      <c r="BS218" s="1">
        <v>36500</v>
      </c>
      <c r="BT218" s="1">
        <v>33000</v>
      </c>
      <c r="BU218" s="1">
        <v>30780</v>
      </c>
      <c r="BV218" s="1">
        <v>31180</v>
      </c>
      <c r="BW218" s="1">
        <v>33440</v>
      </c>
      <c r="BX218" s="1">
        <v>33000</v>
      </c>
      <c r="BY218" s="1">
        <v>35000</v>
      </c>
      <c r="BZ218" s="1">
        <v>36170</v>
      </c>
    </row>
    <row r="219" spans="1:254" ht="17.25" customHeight="1">
      <c r="A219" s="79" t="s">
        <v>429</v>
      </c>
      <c r="B219" s="1" t="s">
        <v>430</v>
      </c>
      <c r="C219" s="544">
        <f>_xll.RssMarket("141A","始値")</f>
        <v>3295</v>
      </c>
      <c r="D219" s="16">
        <f t="shared" si="7"/>
        <v>0</v>
      </c>
      <c r="E219" s="551">
        <v>3295</v>
      </c>
      <c r="F219" s="2">
        <v>3260</v>
      </c>
      <c r="G219" s="2">
        <v>3285</v>
      </c>
      <c r="H219" s="2">
        <v>3180</v>
      </c>
      <c r="I219" s="2">
        <v>3055</v>
      </c>
      <c r="J219" s="2">
        <v>3045</v>
      </c>
      <c r="K219" s="2">
        <v>3070</v>
      </c>
      <c r="L219" s="2">
        <v>3070</v>
      </c>
      <c r="M219" s="2">
        <v>3000</v>
      </c>
      <c r="N219" s="2"/>
      <c r="O219" s="2">
        <v>3010</v>
      </c>
      <c r="P219" s="2">
        <v>3000</v>
      </c>
      <c r="Q219" s="2">
        <v>3000</v>
      </c>
      <c r="R219" s="2">
        <v>3055</v>
      </c>
      <c r="S219" s="2">
        <v>3045</v>
      </c>
      <c r="T219" s="2">
        <v>3050</v>
      </c>
      <c r="U219" s="2">
        <v>3040</v>
      </c>
      <c r="V219" s="2">
        <v>3095</v>
      </c>
      <c r="W219" s="2">
        <v>3000</v>
      </c>
      <c r="X219" s="2">
        <v>3110</v>
      </c>
      <c r="Y219" s="2">
        <v>3105</v>
      </c>
      <c r="Z219" s="2">
        <v>3060</v>
      </c>
      <c r="AA219" s="2">
        <v>3090</v>
      </c>
      <c r="AB219" s="2">
        <v>2939</v>
      </c>
      <c r="AC219" s="2">
        <v>2992</v>
      </c>
      <c r="AD219" s="2">
        <v>3170</v>
      </c>
      <c r="AE219" s="2">
        <v>3040</v>
      </c>
      <c r="AF219" s="2">
        <v>3025</v>
      </c>
      <c r="AG219" s="2">
        <v>3030</v>
      </c>
      <c r="AH219" s="2">
        <v>2793</v>
      </c>
      <c r="AI219" s="2">
        <v>2747</v>
      </c>
      <c r="AJ219" s="2">
        <v>2731</v>
      </c>
      <c r="AK219" s="2">
        <v>2757</v>
      </c>
      <c r="AL219" s="2">
        <v>2802</v>
      </c>
      <c r="AM219" s="2">
        <v>2791</v>
      </c>
      <c r="AN219" s="2">
        <v>2833</v>
      </c>
      <c r="AO219" s="2">
        <v>2837</v>
      </c>
      <c r="AP219" s="2">
        <v>2889</v>
      </c>
      <c r="AQ219" s="2">
        <v>2876</v>
      </c>
      <c r="AR219" s="2">
        <v>2830</v>
      </c>
      <c r="AS219" s="2">
        <v>2750</v>
      </c>
      <c r="AT219" s="2">
        <v>2669</v>
      </c>
      <c r="AU219" s="2">
        <v>2702</v>
      </c>
      <c r="AV219" s="2">
        <v>2538</v>
      </c>
      <c r="AW219" s="2">
        <v>2620</v>
      </c>
      <c r="AX219" s="2">
        <v>2929</v>
      </c>
      <c r="AY219" s="2">
        <v>2846</v>
      </c>
      <c r="AZ219" s="2">
        <v>2718</v>
      </c>
      <c r="BA219" s="2">
        <v>3000</v>
      </c>
      <c r="BB219" s="2">
        <v>3055</v>
      </c>
      <c r="BC219" s="2">
        <v>3110</v>
      </c>
      <c r="BD219" s="2">
        <v>3180</v>
      </c>
      <c r="BE219" s="2">
        <v>2948</v>
      </c>
      <c r="BF219" s="2">
        <v>3505</v>
      </c>
      <c r="BG219" s="2">
        <v>3710</v>
      </c>
      <c r="BH219" s="2">
        <v>4440</v>
      </c>
      <c r="BI219" s="2">
        <v>4305</v>
      </c>
      <c r="BJ219" s="2">
        <v>4300</v>
      </c>
      <c r="BK219" s="2">
        <v>4120</v>
      </c>
      <c r="BL219" s="2">
        <v>4215</v>
      </c>
      <c r="BM219" s="1">
        <v>3900</v>
      </c>
      <c r="BN219" s="1">
        <v>3960</v>
      </c>
      <c r="BO219" s="1">
        <v>4000</v>
      </c>
      <c r="BP219" s="1">
        <v>3870</v>
      </c>
      <c r="BQ219" s="1">
        <v>3970</v>
      </c>
      <c r="BR219" s="1">
        <v>4215</v>
      </c>
      <c r="BS219" s="1">
        <v>4400</v>
      </c>
      <c r="BT219" s="1">
        <v>4760</v>
      </c>
      <c r="BU219" s="1">
        <v>4695</v>
      </c>
      <c r="BV219" s="1">
        <v>4455</v>
      </c>
      <c r="BW219" s="1">
        <v>4475</v>
      </c>
      <c r="BX219" s="1">
        <v>4420</v>
      </c>
      <c r="BY219" s="1">
        <v>4320</v>
      </c>
      <c r="BZ219" s="1">
        <v>4190</v>
      </c>
    </row>
    <row r="220" spans="1:254" ht="17.25" customHeight="1">
      <c r="A220" s="79" t="s">
        <v>431</v>
      </c>
      <c r="B220" s="1" t="s">
        <v>432</v>
      </c>
      <c r="C220" s="544">
        <f>_xll.RssMarket("464A","始値")</f>
        <v>1619</v>
      </c>
      <c r="D220" s="16">
        <f t="shared" si="7"/>
        <v>0</v>
      </c>
      <c r="E220" s="551">
        <v>1619</v>
      </c>
      <c r="F220" s="2">
        <v>1601</v>
      </c>
      <c r="G220" s="2">
        <v>1560</v>
      </c>
      <c r="H220" s="2">
        <v>1500</v>
      </c>
      <c r="I220" s="2">
        <v>1468</v>
      </c>
      <c r="J220" s="2">
        <v>1380</v>
      </c>
      <c r="K220" s="2">
        <v>1487</v>
      </c>
      <c r="L220" s="2">
        <v>1541</v>
      </c>
      <c r="M220" s="2">
        <v>1478</v>
      </c>
      <c r="N220" s="2">
        <v>1590</v>
      </c>
      <c r="O220" s="2">
        <v>1605</v>
      </c>
      <c r="P220" s="2">
        <v>1685</v>
      </c>
      <c r="Q220" s="2">
        <v>1612</v>
      </c>
      <c r="R220" s="2">
        <v>1664</v>
      </c>
      <c r="S220" s="2">
        <v>1845</v>
      </c>
      <c r="T220" s="2">
        <v>1800</v>
      </c>
      <c r="U220" s="2">
        <v>1840</v>
      </c>
      <c r="V220" s="2">
        <v>1843</v>
      </c>
      <c r="W220" s="2">
        <v>1801</v>
      </c>
      <c r="X220" s="2">
        <v>1890</v>
      </c>
      <c r="Y220" s="2">
        <v>2020</v>
      </c>
      <c r="Z220" s="2">
        <v>2098</v>
      </c>
      <c r="AA220" s="2">
        <v>1984</v>
      </c>
      <c r="AB220" s="2">
        <v>2070</v>
      </c>
      <c r="AC220" s="2">
        <v>1938</v>
      </c>
      <c r="AD220" s="2">
        <v>1954</v>
      </c>
      <c r="AE220" s="2">
        <v>1906</v>
      </c>
      <c r="AF220" s="2">
        <v>1975</v>
      </c>
      <c r="AG220" s="2">
        <v>1950</v>
      </c>
      <c r="AH220" s="2">
        <v>2050</v>
      </c>
      <c r="AI220" s="2">
        <v>2232</v>
      </c>
      <c r="AJ220" s="2">
        <v>2180</v>
      </c>
      <c r="AK220" s="2">
        <v>2227</v>
      </c>
      <c r="AL220" s="2">
        <v>2252</v>
      </c>
      <c r="AM220" s="2">
        <v>2380</v>
      </c>
      <c r="AN220" s="2">
        <v>2424</v>
      </c>
      <c r="AO220" s="2">
        <v>2746</v>
      </c>
      <c r="AP220" s="2">
        <v>2807</v>
      </c>
      <c r="AQ220" s="2">
        <v>2483</v>
      </c>
      <c r="AR220" s="2">
        <v>2611</v>
      </c>
      <c r="AS220" s="2">
        <v>2772</v>
      </c>
      <c r="AT220" s="2">
        <v>2995</v>
      </c>
      <c r="AU220" s="2">
        <v>2748</v>
      </c>
      <c r="AV220" s="2">
        <v>3150</v>
      </c>
      <c r="AW220" s="2">
        <v>3145</v>
      </c>
      <c r="AX220" s="2">
        <v>4335</v>
      </c>
      <c r="AY220" s="2">
        <v>4135</v>
      </c>
      <c r="AZ220" s="2">
        <v>4410</v>
      </c>
      <c r="BA220" s="2">
        <v>3935</v>
      </c>
      <c r="BB220" s="2">
        <v>3435</v>
      </c>
      <c r="BC220" s="2">
        <v>3380</v>
      </c>
      <c r="BD220" s="2">
        <v>3495</v>
      </c>
      <c r="BE220" s="2">
        <v>3370</v>
      </c>
      <c r="BF220" s="2">
        <v>3350</v>
      </c>
      <c r="BG220" s="2">
        <v>3320</v>
      </c>
      <c r="BH220" s="2">
        <v>3235</v>
      </c>
      <c r="BI220" s="2">
        <v>2907</v>
      </c>
      <c r="BJ220" s="2">
        <v>3040</v>
      </c>
      <c r="BK220" s="2">
        <v>2950</v>
      </c>
      <c r="BL220" s="2">
        <v>2647</v>
      </c>
      <c r="BM220" s="1">
        <v>2650</v>
      </c>
      <c r="BN220" s="1">
        <v>2520</v>
      </c>
      <c r="BO220" s="1">
        <v>2500</v>
      </c>
      <c r="BP220" s="1">
        <v>2440</v>
      </c>
      <c r="BQ220" s="1">
        <v>2595</v>
      </c>
      <c r="BR220" s="1">
        <v>2570</v>
      </c>
      <c r="BS220" s="1">
        <v>2686</v>
      </c>
      <c r="BT220" s="1">
        <v>2783</v>
      </c>
      <c r="BU220" s="1">
        <v>2690</v>
      </c>
      <c r="BV220" s="1">
        <v>2675</v>
      </c>
      <c r="BW220" s="1">
        <v>2677</v>
      </c>
      <c r="BX220" s="1">
        <v>2564</v>
      </c>
      <c r="BY220" s="1">
        <v>2645</v>
      </c>
      <c r="BZ220" s="1">
        <v>2768</v>
      </c>
    </row>
    <row r="221" spans="1:254" ht="17.25" customHeight="1">
      <c r="A221" s="79" t="s">
        <v>433</v>
      </c>
      <c r="B221" s="1" t="s">
        <v>434</v>
      </c>
      <c r="C221" s="544">
        <f>_xll.RssMarket("485A","始値")</f>
        <v>1870</v>
      </c>
      <c r="D221" s="16">
        <f t="shared" si="7"/>
        <v>0</v>
      </c>
      <c r="E221" s="551">
        <v>1870</v>
      </c>
      <c r="F221" s="2">
        <v>1887</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ht="17.25" customHeight="1">
      <c r="A222" s="79" t="s">
        <v>435</v>
      </c>
      <c r="B222" s="1" t="str">
        <f>銘柄管理!C222</f>
        <v>ＮＦ日経レバ</v>
      </c>
      <c r="C222" s="544">
        <f>_xll.RssMarket("1570","始値")</f>
        <v>68230</v>
      </c>
      <c r="D222" s="16"/>
      <c r="E222" s="551">
        <v>68230</v>
      </c>
      <c r="F222" s="2">
        <v>68680</v>
      </c>
      <c r="G222" s="2">
        <v>65610</v>
      </c>
      <c r="H222" s="2">
        <v>64430</v>
      </c>
      <c r="I222" s="2">
        <v>66700</v>
      </c>
      <c r="J222" s="2">
        <v>60280</v>
      </c>
      <c r="K222" s="2">
        <v>62720</v>
      </c>
      <c r="L222" s="2">
        <v>63680</v>
      </c>
      <c r="M222" s="2">
        <v>67770</v>
      </c>
      <c r="N222" s="2">
        <v>68790</v>
      </c>
      <c r="O222" s="2">
        <v>71310</v>
      </c>
      <c r="P222" s="2">
        <v>72540</v>
      </c>
      <c r="Q222" s="2">
        <v>67090</v>
      </c>
      <c r="R222" s="2">
        <v>69190</v>
      </c>
      <c r="S222" s="2">
        <v>74990</v>
      </c>
      <c r="T222" s="2">
        <v>71840</v>
      </c>
      <c r="U222" s="2">
        <v>75420</v>
      </c>
      <c r="V222" s="2">
        <v>76580</v>
      </c>
      <c r="W222" s="2">
        <v>73700</v>
      </c>
      <c r="X222" s="2">
        <v>72600</v>
      </c>
      <c r="Y222" s="2">
        <v>78000</v>
      </c>
      <c r="Z222" s="2">
        <v>79090</v>
      </c>
      <c r="AA222" s="2">
        <v>75410</v>
      </c>
      <c r="AB222" s="2">
        <v>76800</v>
      </c>
      <c r="AC222" s="2">
        <v>82300</v>
      </c>
      <c r="AD222" s="2">
        <v>79850</v>
      </c>
      <c r="AE222" s="2">
        <v>78440</v>
      </c>
      <c r="AF222" s="2">
        <v>81770</v>
      </c>
      <c r="AG222" s="2">
        <v>81670</v>
      </c>
      <c r="AH222" s="2">
        <v>78500</v>
      </c>
      <c r="AI222" s="2">
        <v>85820</v>
      </c>
      <c r="AJ222" s="2">
        <v>82380</v>
      </c>
      <c r="AK222" s="2">
        <v>83700</v>
      </c>
      <c r="AL222" s="2">
        <v>80760</v>
      </c>
      <c r="AM222" s="2">
        <v>76910</v>
      </c>
      <c r="AN222" s="2">
        <v>78320</v>
      </c>
      <c r="AO222" s="2">
        <v>76320</v>
      </c>
      <c r="AP222" s="2">
        <v>71830</v>
      </c>
      <c r="AQ222" s="2">
        <v>63960</v>
      </c>
      <c r="AR222" s="2">
        <v>68160</v>
      </c>
      <c r="AS222" s="2">
        <v>66640</v>
      </c>
      <c r="AT222" s="2">
        <v>73450</v>
      </c>
      <c r="AU222" s="2">
        <v>75220</v>
      </c>
      <c r="AV222" s="2">
        <v>75310</v>
      </c>
      <c r="AW222" s="2">
        <v>73900</v>
      </c>
      <c r="AX222" s="2">
        <v>70670</v>
      </c>
      <c r="AY222" s="2">
        <v>68560</v>
      </c>
      <c r="AZ222" s="2">
        <v>72450</v>
      </c>
      <c r="BA222" s="2">
        <v>66880</v>
      </c>
      <c r="BB222" s="2">
        <v>63980</v>
      </c>
      <c r="BC222" s="2">
        <v>61820</v>
      </c>
      <c r="BD222" s="2">
        <v>60220</v>
      </c>
      <c r="BE222" s="2">
        <v>61890</v>
      </c>
      <c r="BF222" s="2">
        <v>62680</v>
      </c>
      <c r="BG222" s="2">
        <v>65350</v>
      </c>
      <c r="BH222" s="2">
        <v>66780</v>
      </c>
      <c r="BI222" s="2">
        <v>63950</v>
      </c>
      <c r="BJ222" s="2">
        <v>65150</v>
      </c>
      <c r="BK222" s="2">
        <v>66270</v>
      </c>
      <c r="BL222" s="2">
        <v>64560</v>
      </c>
      <c r="BM222" s="1">
        <v>63400</v>
      </c>
      <c r="BN222" s="1">
        <v>58940</v>
      </c>
      <c r="BO222" s="1">
        <v>57960</v>
      </c>
      <c r="BP222" s="1">
        <v>60380</v>
      </c>
      <c r="BQ222" s="1">
        <v>59790</v>
      </c>
      <c r="BR222" s="1">
        <v>58500</v>
      </c>
      <c r="BS222" s="1">
        <v>59540</v>
      </c>
      <c r="BT222" s="1">
        <v>57860</v>
      </c>
      <c r="BU222" s="1">
        <v>57830</v>
      </c>
      <c r="BV222" s="1">
        <v>57570</v>
      </c>
      <c r="BW222" s="1">
        <v>58390</v>
      </c>
      <c r="BX222" s="1">
        <v>56940</v>
      </c>
      <c r="BY222" s="1">
        <v>57000</v>
      </c>
      <c r="BZ222" s="1">
        <v>54760</v>
      </c>
    </row>
    <row r="223" spans="1:254">
      <c r="A223" s="74" t="s">
        <v>436</v>
      </c>
      <c r="B223" s="1" t="str">
        <f>銘柄管理!C223</f>
        <v>牧野フライス</v>
      </c>
      <c r="C223" s="544">
        <f>_xll.RssMarket("6135","始値")</f>
        <v>15280</v>
      </c>
      <c r="D223" s="16"/>
      <c r="E223" s="551">
        <v>15280</v>
      </c>
      <c r="F223" s="1">
        <v>14950</v>
      </c>
      <c r="G223" s="1">
        <v>14530</v>
      </c>
      <c r="H223" s="1">
        <v>14060</v>
      </c>
      <c r="I223" s="1">
        <v>14350</v>
      </c>
      <c r="J223" s="1">
        <v>14000</v>
      </c>
      <c r="K223" s="1">
        <v>14200</v>
      </c>
      <c r="L223" s="1">
        <v>14610</v>
      </c>
      <c r="M223" s="1">
        <v>14640</v>
      </c>
      <c r="N223" s="1">
        <v>14930</v>
      </c>
      <c r="O223" s="1">
        <v>14450</v>
      </c>
      <c r="P223" s="1">
        <v>14590</v>
      </c>
      <c r="Q223" s="1">
        <v>14490</v>
      </c>
      <c r="R223" s="1">
        <v>14360</v>
      </c>
      <c r="S223" s="1">
        <v>14850</v>
      </c>
      <c r="T223" s="1">
        <v>14790</v>
      </c>
      <c r="U223" s="1">
        <v>15020</v>
      </c>
      <c r="V223" s="1">
        <v>14930</v>
      </c>
      <c r="W223" s="1">
        <v>14520</v>
      </c>
      <c r="X223" s="1">
        <v>14820</v>
      </c>
      <c r="Y223" s="1">
        <v>15000</v>
      </c>
      <c r="Z223" s="1">
        <v>15390</v>
      </c>
      <c r="AA223" s="1">
        <v>15010</v>
      </c>
      <c r="AB223" s="1">
        <v>15270</v>
      </c>
      <c r="AC223" s="1">
        <v>15250</v>
      </c>
      <c r="AD223" s="1">
        <v>15150</v>
      </c>
      <c r="AE223" s="1">
        <v>15200</v>
      </c>
      <c r="AF223" s="1">
        <v>15540</v>
      </c>
      <c r="AG223" s="1">
        <v>15540</v>
      </c>
      <c r="AH223" s="1">
        <v>13920</v>
      </c>
      <c r="AI223" s="1">
        <v>14650</v>
      </c>
      <c r="AJ223" s="1">
        <v>14680</v>
      </c>
      <c r="AK223" s="1">
        <v>14500</v>
      </c>
      <c r="AL223" s="1">
        <v>14350</v>
      </c>
      <c r="AM223" s="1">
        <v>14480</v>
      </c>
      <c r="AN223" s="1">
        <v>14100</v>
      </c>
      <c r="AO223" s="1">
        <v>14240</v>
      </c>
      <c r="AP223" s="1">
        <v>14050</v>
      </c>
      <c r="AQ223" s="1">
        <v>14000</v>
      </c>
      <c r="AR223" s="1">
        <v>14920</v>
      </c>
      <c r="AS223" s="1">
        <v>13960</v>
      </c>
      <c r="AT223" s="1">
        <v>14140</v>
      </c>
      <c r="AU223" s="1">
        <v>14100</v>
      </c>
      <c r="AV223" s="1">
        <v>13800</v>
      </c>
      <c r="AW223" s="1">
        <v>14010</v>
      </c>
      <c r="AX223" s="1">
        <v>13210</v>
      </c>
      <c r="AY223" s="1">
        <v>13220</v>
      </c>
      <c r="AZ223" s="1">
        <v>13050</v>
      </c>
      <c r="BA223" s="1">
        <v>13290</v>
      </c>
      <c r="BB223" s="1">
        <v>13210</v>
      </c>
      <c r="BC223" s="1">
        <v>13250</v>
      </c>
      <c r="BD223" s="1">
        <v>13670</v>
      </c>
      <c r="BE223" s="1">
        <v>13690</v>
      </c>
      <c r="BF223" s="1">
        <v>13900</v>
      </c>
      <c r="BG223" s="1">
        <v>14100</v>
      </c>
      <c r="BH223" s="1">
        <v>13610</v>
      </c>
      <c r="BI223" s="1">
        <v>13740</v>
      </c>
      <c r="BJ223" s="1">
        <v>13770</v>
      </c>
      <c r="BK223" s="1">
        <v>13390</v>
      </c>
      <c r="BL223" s="1">
        <v>13770</v>
      </c>
      <c r="BM223" s="1">
        <v>13260</v>
      </c>
      <c r="BN223" s="1">
        <v>11950</v>
      </c>
      <c r="BO223" s="1">
        <v>11730</v>
      </c>
      <c r="BP223" s="1">
        <v>11750</v>
      </c>
      <c r="BQ223" s="1">
        <v>11840</v>
      </c>
      <c r="BR223" s="1">
        <v>11760</v>
      </c>
      <c r="BS223" s="1">
        <v>10720</v>
      </c>
      <c r="BT223" s="1">
        <v>11620</v>
      </c>
      <c r="BU223" s="1">
        <v>11620</v>
      </c>
      <c r="BV223" s="1">
        <v>11620</v>
      </c>
      <c r="BW223" s="1">
        <v>11610</v>
      </c>
      <c r="BX223" s="1">
        <v>11610</v>
      </c>
      <c r="BY223" s="1">
        <v>11610</v>
      </c>
      <c r="BZ223" s="1">
        <v>11590</v>
      </c>
    </row>
    <row r="224" spans="1:254">
      <c r="A224" s="74" t="s">
        <v>437</v>
      </c>
      <c r="B224" s="1" t="str">
        <f>銘柄管理!C224</f>
        <v>ジャパンマテリアル</v>
      </c>
      <c r="C224" s="544">
        <f>_xll.RssMarket("6055","始値")</f>
        <v>2359</v>
      </c>
      <c r="D224" s="16"/>
      <c r="E224" s="551">
        <v>2359</v>
      </c>
      <c r="F224" s="1">
        <v>2370</v>
      </c>
      <c r="G224" s="1">
        <v>2288</v>
      </c>
      <c r="H224" s="1">
        <v>2178</v>
      </c>
      <c r="I224" s="1">
        <v>2283</v>
      </c>
      <c r="J224" s="1">
        <v>2004</v>
      </c>
      <c r="K224" s="1">
        <v>2060</v>
      </c>
      <c r="L224" s="1">
        <v>2200</v>
      </c>
      <c r="M224" s="1">
        <v>2266</v>
      </c>
      <c r="N224" s="1">
        <v>2276</v>
      </c>
      <c r="O224" s="1">
        <v>2330</v>
      </c>
      <c r="P224" s="1">
        <v>2400</v>
      </c>
      <c r="Q224" s="1">
        <v>2300</v>
      </c>
      <c r="R224" s="1">
        <v>2341</v>
      </c>
      <c r="S224" s="1">
        <v>2531</v>
      </c>
      <c r="T224" s="1">
        <v>2573</v>
      </c>
      <c r="U224" s="1">
        <v>2630</v>
      </c>
      <c r="V224" s="1">
        <v>2649</v>
      </c>
      <c r="W224" s="1">
        <v>2600</v>
      </c>
      <c r="X224" s="1">
        <v>2490</v>
      </c>
      <c r="Y224" s="1">
        <v>2492</v>
      </c>
      <c r="Z224" s="1">
        <v>2511</v>
      </c>
      <c r="AA224" s="1">
        <v>2340</v>
      </c>
      <c r="AB224" s="1">
        <v>2573</v>
      </c>
      <c r="AC224" s="1">
        <v>2659</v>
      </c>
      <c r="AD224" s="1">
        <v>2655</v>
      </c>
      <c r="AE224" s="1">
        <v>2636</v>
      </c>
      <c r="AF224" s="1">
        <v>2618</v>
      </c>
      <c r="AG224" s="1">
        <v>2700</v>
      </c>
      <c r="AH224" s="1">
        <v>2552</v>
      </c>
      <c r="AI224" s="1">
        <v>2632</v>
      </c>
      <c r="AJ224" s="1">
        <v>2453</v>
      </c>
      <c r="AK224" s="1">
        <v>2491</v>
      </c>
      <c r="AL224" s="1">
        <v>2388</v>
      </c>
      <c r="AM224" s="1">
        <v>2331</v>
      </c>
      <c r="AN224" s="1">
        <v>2465</v>
      </c>
      <c r="AO224" s="1">
        <v>2456</v>
      </c>
      <c r="AP224" s="1">
        <v>2283</v>
      </c>
      <c r="AQ224" s="1">
        <v>2087</v>
      </c>
      <c r="AR224" s="1">
        <v>2165</v>
      </c>
      <c r="AS224" s="1">
        <v>2090</v>
      </c>
      <c r="AT224" s="1">
        <v>2180</v>
      </c>
      <c r="AU224" s="1">
        <v>2118</v>
      </c>
      <c r="AV224" s="1">
        <v>2118</v>
      </c>
      <c r="AW224" s="1">
        <v>2122</v>
      </c>
      <c r="AX224" s="1">
        <v>2090</v>
      </c>
      <c r="AY224" s="1">
        <v>2033</v>
      </c>
      <c r="AZ224" s="1">
        <v>2161</v>
      </c>
      <c r="BA224" s="1">
        <v>2033</v>
      </c>
      <c r="BB224" s="1">
        <v>2060</v>
      </c>
      <c r="BC224" s="1">
        <v>2013</v>
      </c>
      <c r="BD224" s="1">
        <v>1932</v>
      </c>
      <c r="BE224" s="1">
        <v>2100</v>
      </c>
      <c r="BF224" s="1">
        <v>2230</v>
      </c>
      <c r="BG224" s="1">
        <v>2017</v>
      </c>
      <c r="BH224" s="1">
        <v>2187</v>
      </c>
      <c r="BI224" s="1">
        <v>2080</v>
      </c>
      <c r="BJ224" s="1">
        <v>2101</v>
      </c>
      <c r="BK224" s="1">
        <v>2015</v>
      </c>
      <c r="BL224" s="1">
        <v>1928</v>
      </c>
      <c r="BM224" s="1">
        <v>1929</v>
      </c>
      <c r="BN224" s="1">
        <v>1796</v>
      </c>
      <c r="BO224" s="1">
        <v>1771</v>
      </c>
      <c r="BP224" s="1">
        <v>1850</v>
      </c>
      <c r="BQ224" s="1">
        <v>1854</v>
      </c>
      <c r="BR224" s="1">
        <v>1788</v>
      </c>
      <c r="BS224" s="1">
        <v>1864</v>
      </c>
      <c r="BT224" s="1">
        <v>1844</v>
      </c>
      <c r="BU224" s="1">
        <v>1865</v>
      </c>
      <c r="BV224" s="1">
        <v>1886</v>
      </c>
      <c r="BW224" s="1">
        <v>1900</v>
      </c>
      <c r="BX224" s="1">
        <v>1918</v>
      </c>
      <c r="BY224" s="1">
        <v>1930</v>
      </c>
      <c r="BZ224" s="1">
        <v>1847</v>
      </c>
    </row>
    <row r="225" spans="1:254">
      <c r="A225" s="74" t="s">
        <v>438</v>
      </c>
      <c r="B225" s="1" t="str">
        <f>銘柄管理!C225</f>
        <v>ミナトホールディングス</v>
      </c>
      <c r="C225" s="541">
        <f>_xll.RssMarket("6862","始値")</f>
        <v>2260</v>
      </c>
      <c r="E225" s="551">
        <v>2260</v>
      </c>
      <c r="F225" s="1">
        <v>2300</v>
      </c>
      <c r="G225" s="1">
        <v>2139</v>
      </c>
      <c r="H225" s="1">
        <v>1981</v>
      </c>
      <c r="I225" s="1">
        <v>2050</v>
      </c>
      <c r="J225" s="1">
        <v>1623</v>
      </c>
      <c r="K225" s="1">
        <v>1717</v>
      </c>
      <c r="L225" s="1">
        <v>1781</v>
      </c>
      <c r="M225" s="1">
        <v>1871</v>
      </c>
      <c r="N225" s="1">
        <v>1890</v>
      </c>
      <c r="O225" s="1">
        <v>1905</v>
      </c>
      <c r="P225" s="1">
        <v>1919</v>
      </c>
      <c r="Q225" s="1">
        <v>1805</v>
      </c>
      <c r="R225" s="1">
        <v>1925</v>
      </c>
      <c r="S225" s="1">
        <v>2026</v>
      </c>
      <c r="T225" s="1">
        <v>1962</v>
      </c>
      <c r="U225" s="1">
        <v>2031</v>
      </c>
      <c r="V225" s="1">
        <v>2019</v>
      </c>
      <c r="W225" s="1">
        <v>1971</v>
      </c>
      <c r="X225" s="1">
        <v>1974</v>
      </c>
      <c r="Y225" s="1">
        <v>2078</v>
      </c>
      <c r="Z225" s="1">
        <v>2164</v>
      </c>
      <c r="AA225" s="1">
        <v>2056</v>
      </c>
      <c r="AB225" s="1">
        <v>2098</v>
      </c>
      <c r="AC225" s="1">
        <v>2159</v>
      </c>
      <c r="AD225" s="1">
        <v>2159</v>
      </c>
      <c r="AE225" s="1">
        <v>2220</v>
      </c>
      <c r="AF225" s="1">
        <v>2270</v>
      </c>
      <c r="AG225" s="1">
        <v>2396</v>
      </c>
      <c r="AH225" s="1">
        <v>2197</v>
      </c>
      <c r="AI225" s="1">
        <v>2370</v>
      </c>
      <c r="AJ225" s="1">
        <v>2590</v>
      </c>
      <c r="AK225" s="1">
        <v>2315</v>
      </c>
      <c r="AL225" s="1">
        <v>2223</v>
      </c>
      <c r="AM225" s="1">
        <v>2100</v>
      </c>
      <c r="AN225" s="1">
        <v>2079</v>
      </c>
      <c r="AO225" s="1">
        <v>2000</v>
      </c>
      <c r="AP225" s="1">
        <v>2015</v>
      </c>
      <c r="AQ225" s="1">
        <v>1924</v>
      </c>
      <c r="AR225" s="1">
        <v>2054</v>
      </c>
      <c r="AS225" s="1">
        <v>2105</v>
      </c>
      <c r="AT225" s="1">
        <v>2130</v>
      </c>
      <c r="AU225" s="1">
        <v>2182</v>
      </c>
      <c r="AV225" s="1">
        <v>2240</v>
      </c>
      <c r="AW225" s="1">
        <v>2165</v>
      </c>
      <c r="AX225" s="1">
        <v>2240</v>
      </c>
      <c r="AY225" s="1">
        <v>2298</v>
      </c>
      <c r="AZ225" s="1">
        <v>2499</v>
      </c>
      <c r="BA225" s="1">
        <v>2617</v>
      </c>
      <c r="BB225" s="1">
        <v>2576</v>
      </c>
      <c r="BC225" s="1">
        <v>2505</v>
      </c>
      <c r="BD225" s="1">
        <v>2494</v>
      </c>
      <c r="BE225" s="1">
        <v>2731</v>
      </c>
      <c r="BF225" s="1">
        <v>2867</v>
      </c>
      <c r="BG225" s="1">
        <v>2942</v>
      </c>
      <c r="BH225" s="1">
        <v>2880</v>
      </c>
      <c r="BI225" s="1">
        <v>2930</v>
      </c>
      <c r="BJ225" s="1">
        <v>3555</v>
      </c>
      <c r="BK225" s="1">
        <v>4165</v>
      </c>
      <c r="BL225" s="1">
        <v>3695</v>
      </c>
      <c r="BM225" s="1">
        <v>3715</v>
      </c>
      <c r="BN225" s="1">
        <v>2798</v>
      </c>
      <c r="BO225" s="1">
        <v>2622</v>
      </c>
      <c r="BP225" s="1">
        <v>2651</v>
      </c>
      <c r="BQ225" s="1">
        <v>2532</v>
      </c>
      <c r="BR225" s="1">
        <v>2403</v>
      </c>
      <c r="BS225" s="1">
        <v>2530</v>
      </c>
      <c r="BT225" s="1">
        <v>2555</v>
      </c>
      <c r="BU225" s="1">
        <v>2559</v>
      </c>
      <c r="BV225" s="1">
        <v>2422</v>
      </c>
      <c r="BW225" s="1">
        <v>2473</v>
      </c>
      <c r="BX225" s="1">
        <v>2416</v>
      </c>
      <c r="BY225" s="1">
        <v>2601</v>
      </c>
      <c r="BZ225" s="1">
        <v>2446</v>
      </c>
    </row>
    <row r="226" spans="1:254">
      <c r="A226" s="74" t="s">
        <v>439</v>
      </c>
      <c r="B226" s="1" t="str">
        <f>銘柄管理!C226</f>
        <v>ヤクルト</v>
      </c>
      <c r="C226" s="541">
        <f>_xll.RssMarket("2267","始値")</f>
        <v>2760</v>
      </c>
      <c r="E226" s="551">
        <v>2760</v>
      </c>
      <c r="F226" s="1">
        <v>2769.5</v>
      </c>
      <c r="G226" s="1">
        <v>2809</v>
      </c>
      <c r="H226" s="1">
        <v>2721</v>
      </c>
      <c r="I226" s="1">
        <v>2803</v>
      </c>
      <c r="J226" s="1">
        <v>2911.5</v>
      </c>
      <c r="K226" s="1">
        <v>2835</v>
      </c>
      <c r="L226" s="1">
        <v>2823.5</v>
      </c>
      <c r="M226" s="1">
        <v>2746</v>
      </c>
      <c r="N226" s="1">
        <v>2713.5</v>
      </c>
      <c r="O226" s="1">
        <v>2784.5</v>
      </c>
      <c r="P226" s="1">
        <v>2773.5</v>
      </c>
      <c r="Q226" s="1">
        <v>2884.5</v>
      </c>
      <c r="R226" s="1">
        <v>2804.5</v>
      </c>
      <c r="S226" s="1">
        <v>2848</v>
      </c>
      <c r="T226" s="1">
        <v>2843.5</v>
      </c>
      <c r="U226" s="1">
        <v>2850</v>
      </c>
      <c r="V226" s="1">
        <v>2820</v>
      </c>
      <c r="W226" s="1">
        <v>2909</v>
      </c>
      <c r="X226" s="1">
        <v>2903.5</v>
      </c>
      <c r="Y226" s="1">
        <v>2884.5</v>
      </c>
      <c r="Z226" s="1">
        <v>2854</v>
      </c>
      <c r="AA226" s="1">
        <v>2811.5</v>
      </c>
      <c r="AB226" s="1">
        <v>2749</v>
      </c>
      <c r="AC226" s="1">
        <v>2706.5</v>
      </c>
      <c r="AD226" s="1">
        <v>2745</v>
      </c>
      <c r="AE226" s="1">
        <v>2757</v>
      </c>
      <c r="AF226" s="1">
        <v>2749</v>
      </c>
      <c r="AG226" s="1">
        <v>2727.5</v>
      </c>
      <c r="AH226" s="1">
        <v>2701.5</v>
      </c>
      <c r="AI226" s="1">
        <v>2699</v>
      </c>
      <c r="AJ226" s="1">
        <v>2689.5</v>
      </c>
      <c r="AK226" s="1">
        <v>2685</v>
      </c>
      <c r="AL226" s="1">
        <v>2616.5</v>
      </c>
      <c r="AM226" s="1">
        <v>2647</v>
      </c>
      <c r="AN226" s="1">
        <v>2644.5</v>
      </c>
      <c r="AO226" s="1">
        <v>2679.5</v>
      </c>
      <c r="AP226" s="1">
        <v>2650</v>
      </c>
      <c r="AQ226" s="1">
        <v>2715</v>
      </c>
      <c r="AR226" s="1">
        <v>2705</v>
      </c>
      <c r="AS226" s="1">
        <v>2641</v>
      </c>
      <c r="AT226" s="1">
        <v>2684.5</v>
      </c>
      <c r="AU226" s="1">
        <v>2687.5</v>
      </c>
      <c r="AV226" s="1">
        <v>2699</v>
      </c>
      <c r="AW226" s="1">
        <v>2657.5</v>
      </c>
      <c r="AX226" s="1">
        <v>2693</v>
      </c>
      <c r="AY226" s="1">
        <v>2734</v>
      </c>
      <c r="AZ226" s="1">
        <v>2660.5</v>
      </c>
      <c r="BA226" s="1">
        <v>2806.5</v>
      </c>
      <c r="BB226" s="1">
        <v>2746</v>
      </c>
      <c r="BC226" s="1">
        <v>2768</v>
      </c>
      <c r="BD226" s="1">
        <v>2831.5</v>
      </c>
      <c r="BE226" s="1">
        <v>2749</v>
      </c>
      <c r="BF226" s="1">
        <v>2762</v>
      </c>
      <c r="BG226" s="1">
        <v>2753</v>
      </c>
      <c r="BH226" s="1">
        <v>2800.5</v>
      </c>
      <c r="BI226" s="1">
        <v>2670</v>
      </c>
      <c r="BJ226" s="1">
        <v>2900</v>
      </c>
      <c r="BK226" s="1">
        <v>2916.5</v>
      </c>
      <c r="BL226" s="1">
        <v>2978</v>
      </c>
      <c r="BM226" s="1">
        <v>3056</v>
      </c>
      <c r="BN226" s="1">
        <v>2820</v>
      </c>
      <c r="BO226" s="1">
        <v>2722.5</v>
      </c>
      <c r="BP226" s="1">
        <v>2742</v>
      </c>
      <c r="BQ226" s="1">
        <v>2749</v>
      </c>
      <c r="BR226" s="1">
        <v>2653</v>
      </c>
      <c r="BS226" s="1">
        <v>2596</v>
      </c>
      <c r="BT226" s="1">
        <v>2605</v>
      </c>
      <c r="BU226" s="1">
        <v>2625</v>
      </c>
      <c r="BV226" s="1">
        <v>2672</v>
      </c>
      <c r="BW226" s="1">
        <v>2650</v>
      </c>
      <c r="BX226" s="1">
        <v>2700</v>
      </c>
      <c r="BY226" s="1">
        <v>2628.5</v>
      </c>
      <c r="BZ226" s="1">
        <v>2629</v>
      </c>
    </row>
    <row r="227" spans="1:254">
      <c r="A227" s="74" t="s">
        <v>440</v>
      </c>
      <c r="B227" s="1" t="str">
        <f>銘柄管理!C227</f>
        <v>ＮＦエネ資源Ｔ１７</v>
      </c>
      <c r="C227" s="541">
        <f>_xll.RssMarket("1618","始値")</f>
        <v>31970</v>
      </c>
      <c r="E227" s="551">
        <v>31970</v>
      </c>
      <c r="F227" s="1">
        <v>32450</v>
      </c>
      <c r="G227" s="1">
        <v>33100</v>
      </c>
      <c r="H227" s="1">
        <v>33000</v>
      </c>
      <c r="I227" s="1">
        <v>33470</v>
      </c>
      <c r="J227" s="1">
        <v>34040</v>
      </c>
      <c r="K227" s="1">
        <v>32870</v>
      </c>
      <c r="L227" s="1">
        <v>33460</v>
      </c>
      <c r="M227" s="1">
        <v>33730</v>
      </c>
      <c r="N227" s="1">
        <v>34680</v>
      </c>
      <c r="O227" s="1">
        <v>33710</v>
      </c>
      <c r="P227" s="1">
        <v>33400</v>
      </c>
      <c r="Q227" s="1">
        <v>32370</v>
      </c>
      <c r="R227" s="1">
        <v>32000</v>
      </c>
      <c r="S227" s="1">
        <v>32710</v>
      </c>
      <c r="T227" s="1">
        <v>32130</v>
      </c>
      <c r="U227" s="1">
        <v>32780</v>
      </c>
      <c r="V227" s="1">
        <v>32700</v>
      </c>
      <c r="W227" s="1">
        <v>33060</v>
      </c>
      <c r="X227" s="1">
        <v>32340</v>
      </c>
      <c r="Y227" s="1">
        <v>32560</v>
      </c>
      <c r="Z227" s="1">
        <v>31760</v>
      </c>
      <c r="AA227" s="1">
        <v>31690</v>
      </c>
      <c r="AB227" s="1">
        <v>31060</v>
      </c>
      <c r="AC227" s="1">
        <v>31300</v>
      </c>
      <c r="AD227" s="1">
        <v>31350</v>
      </c>
      <c r="AE227" s="1">
        <v>30630</v>
      </c>
      <c r="AF227" s="1">
        <v>31090</v>
      </c>
      <c r="AG227" s="1">
        <v>32460</v>
      </c>
      <c r="AH227" s="1">
        <v>32120</v>
      </c>
      <c r="AI227" s="1">
        <v>32700</v>
      </c>
      <c r="AJ227" s="1">
        <v>32800</v>
      </c>
      <c r="AK227" s="1">
        <v>32000</v>
      </c>
      <c r="AL227" s="1">
        <v>32330</v>
      </c>
      <c r="AM227" s="1">
        <v>32080</v>
      </c>
      <c r="AN227" s="1">
        <v>32450</v>
      </c>
      <c r="AO227" s="1">
        <v>33120</v>
      </c>
      <c r="AP227" s="1">
        <v>32980</v>
      </c>
      <c r="AQ227" s="1">
        <v>32720</v>
      </c>
      <c r="AR227" s="1">
        <v>32660</v>
      </c>
      <c r="AS227" s="1">
        <v>33310</v>
      </c>
      <c r="AT227" s="1">
        <v>34200</v>
      </c>
      <c r="AU227" s="1">
        <v>34510</v>
      </c>
      <c r="AV227" s="1">
        <v>34250</v>
      </c>
      <c r="AW227" s="1">
        <v>33040</v>
      </c>
      <c r="AX227" s="1">
        <v>33600</v>
      </c>
      <c r="AY227" s="1">
        <v>33490</v>
      </c>
      <c r="AZ227" s="1">
        <v>33670</v>
      </c>
      <c r="BA227" s="1">
        <v>34600</v>
      </c>
      <c r="BB227" s="1">
        <v>34730</v>
      </c>
      <c r="BC227" s="1">
        <v>35740</v>
      </c>
      <c r="BD227" s="1">
        <v>36280</v>
      </c>
      <c r="BE227" s="1">
        <v>36430</v>
      </c>
      <c r="BF227" s="1">
        <v>36910</v>
      </c>
      <c r="BG227" s="1">
        <v>35810</v>
      </c>
      <c r="BH227" s="1">
        <v>35900</v>
      </c>
      <c r="BI227" s="1">
        <v>36470</v>
      </c>
      <c r="BJ227" s="1">
        <v>36030</v>
      </c>
      <c r="BK227" s="1">
        <v>34580</v>
      </c>
      <c r="BL227" s="1">
        <v>35140</v>
      </c>
      <c r="BM227" s="1">
        <v>36060</v>
      </c>
      <c r="BN227" s="1">
        <v>36090</v>
      </c>
      <c r="BO227" s="1">
        <v>36900</v>
      </c>
      <c r="BP227" s="1">
        <v>35220</v>
      </c>
      <c r="BQ227" s="1">
        <v>35740</v>
      </c>
      <c r="BR227" s="1">
        <v>35940</v>
      </c>
      <c r="BS227" s="1">
        <v>35000</v>
      </c>
      <c r="BT227" s="1">
        <v>35790</v>
      </c>
      <c r="BU227" s="1">
        <v>36360</v>
      </c>
      <c r="BV227" s="1">
        <v>36790</v>
      </c>
      <c r="BW227" s="1">
        <v>37830</v>
      </c>
      <c r="BX227" s="1">
        <v>38270</v>
      </c>
      <c r="BY227" s="1">
        <v>38300</v>
      </c>
      <c r="BZ227" s="1">
        <v>39000</v>
      </c>
    </row>
    <row r="228" spans="1:254">
      <c r="A228" s="74" t="s">
        <v>441</v>
      </c>
      <c r="C228" s="541">
        <f>_xll.RssMarket("3696","始値")</f>
        <v>2065</v>
      </c>
      <c r="E228" s="551">
        <v>2065</v>
      </c>
      <c r="F228" s="1">
        <v>2070</v>
      </c>
    </row>
    <row r="229" spans="1:254">
      <c r="A229" s="74" t="s">
        <v>442</v>
      </c>
      <c r="B229" s="1" t="str">
        <f>銘柄管理!C229</f>
        <v>児玉化学</v>
      </c>
      <c r="C229" s="541">
        <f>_xll.RssMarket("4222","始値")</f>
        <v>605</v>
      </c>
      <c r="E229" s="551">
        <v>605</v>
      </c>
      <c r="F229" s="1">
        <v>584</v>
      </c>
      <c r="G229" s="1">
        <v>573</v>
      </c>
      <c r="H229" s="1">
        <v>563</v>
      </c>
      <c r="I229" s="1">
        <v>565</v>
      </c>
      <c r="J229" s="1">
        <v>549</v>
      </c>
      <c r="K229" s="1">
        <v>570</v>
      </c>
      <c r="L229" s="1">
        <v>588</v>
      </c>
      <c r="M229" s="1">
        <v>591</v>
      </c>
      <c r="O229" s="1">
        <v>612</v>
      </c>
      <c r="P229" s="1">
        <v>617</v>
      </c>
      <c r="Q229" s="1">
        <v>592</v>
      </c>
      <c r="R229" s="1">
        <v>617</v>
      </c>
      <c r="S229" s="1">
        <v>645</v>
      </c>
      <c r="T229" s="1">
        <v>647</v>
      </c>
      <c r="U229" s="1">
        <v>661</v>
      </c>
      <c r="V229" s="1">
        <v>647</v>
      </c>
      <c r="W229" s="1">
        <v>643</v>
      </c>
      <c r="X229" s="1">
        <v>657</v>
      </c>
      <c r="Y229" s="1">
        <v>684</v>
      </c>
      <c r="Z229" s="1">
        <v>688</v>
      </c>
      <c r="AA229" s="1">
        <v>655</v>
      </c>
      <c r="AB229" s="1">
        <v>649</v>
      </c>
      <c r="AC229" s="1">
        <v>638</v>
      </c>
      <c r="AD229" s="1">
        <v>655</v>
      </c>
      <c r="AE229" s="1">
        <v>677</v>
      </c>
      <c r="AF229" s="1">
        <v>664</v>
      </c>
      <c r="AG229" s="1">
        <v>681</v>
      </c>
      <c r="AH229" s="1">
        <v>702</v>
      </c>
      <c r="AI229" s="1">
        <v>723</v>
      </c>
      <c r="AJ229" s="1">
        <v>721</v>
      </c>
      <c r="AK229" s="1">
        <v>705</v>
      </c>
      <c r="AL229" s="1">
        <v>729</v>
      </c>
      <c r="AM229" s="1">
        <v>687</v>
      </c>
      <c r="AN229" s="1">
        <v>697</v>
      </c>
      <c r="AO229" s="1">
        <v>664</v>
      </c>
      <c r="AP229" s="1">
        <v>674</v>
      </c>
      <c r="AQ229" s="1">
        <v>685</v>
      </c>
      <c r="AR229" s="1">
        <v>691</v>
      </c>
      <c r="AS229" s="1">
        <v>681</v>
      </c>
      <c r="AT229" s="1">
        <v>700</v>
      </c>
      <c r="AU229" s="1">
        <v>702</v>
      </c>
      <c r="AV229" s="1">
        <v>694</v>
      </c>
      <c r="AW229" s="1">
        <v>701</v>
      </c>
      <c r="AX229" s="1">
        <v>750</v>
      </c>
      <c r="AY229" s="1">
        <v>750</v>
      </c>
      <c r="AZ229" s="1">
        <v>785</v>
      </c>
      <c r="BA229" s="1">
        <v>815</v>
      </c>
      <c r="BB229" s="1">
        <v>802</v>
      </c>
      <c r="BC229" s="1">
        <v>828</v>
      </c>
      <c r="BD229" s="1">
        <v>850</v>
      </c>
      <c r="BE229" s="1">
        <v>878</v>
      </c>
      <c r="BF229" s="1">
        <v>909</v>
      </c>
      <c r="BG229" s="1">
        <v>954</v>
      </c>
      <c r="BH229" s="1">
        <v>1226</v>
      </c>
      <c r="BI229" s="1">
        <v>1249</v>
      </c>
      <c r="BJ229" s="1">
        <v>1315</v>
      </c>
      <c r="BK229" s="1">
        <v>1186</v>
      </c>
      <c r="BL229" s="1">
        <v>1155</v>
      </c>
      <c r="BM229" s="1">
        <v>1125</v>
      </c>
      <c r="BN229" s="1">
        <v>1115</v>
      </c>
      <c r="BO229" s="1">
        <v>1117</v>
      </c>
      <c r="BP229" s="1">
        <v>1150</v>
      </c>
      <c r="BQ229" s="1">
        <v>1141</v>
      </c>
      <c r="BR229" s="1">
        <v>1134</v>
      </c>
      <c r="BS229" s="1">
        <v>1165</v>
      </c>
      <c r="BT229" s="1">
        <v>1172</v>
      </c>
      <c r="BU229" s="1">
        <v>1200</v>
      </c>
      <c r="BV229" s="1">
        <v>1150</v>
      </c>
      <c r="BW229" s="1">
        <v>1166</v>
      </c>
      <c r="BX229" s="1">
        <v>1160</v>
      </c>
      <c r="BY229" s="1">
        <v>1151</v>
      </c>
      <c r="BZ229" s="1">
        <v>1140</v>
      </c>
    </row>
    <row r="230" spans="1:254">
      <c r="A230" s="74" t="s">
        <v>443</v>
      </c>
      <c r="B230" s="1" t="str">
        <f>銘柄管理!C230</f>
        <v>ＦＯＯＤ＆ＬＩＦＥＣＯＭＰＡＮ</v>
      </c>
      <c r="C230" s="541">
        <f>_xll.RssMarket("3563","始値")</f>
        <v>6001</v>
      </c>
      <c r="E230" s="547">
        <v>6001</v>
      </c>
      <c r="F230" s="1">
        <v>5724</v>
      </c>
    </row>
    <row r="231" spans="1:254">
      <c r="A231" s="74" t="s">
        <v>444</v>
      </c>
      <c r="B231" s="1" t="str">
        <f>銘柄管理!C231</f>
        <v>ＩＨＩ</v>
      </c>
      <c r="C231" s="541">
        <f>_xll.RssMarket("7013","始値")</f>
        <v>2739</v>
      </c>
      <c r="E231" s="547">
        <v>2739</v>
      </c>
      <c r="F231" s="1">
        <v>2949</v>
      </c>
      <c r="G231" s="1">
        <v>2798</v>
      </c>
      <c r="H231" s="1">
        <v>2798</v>
      </c>
      <c r="I231" s="1">
        <v>2818</v>
      </c>
      <c r="J231" s="1">
        <v>2706</v>
      </c>
      <c r="K231" s="1">
        <v>2783</v>
      </c>
      <c r="L231" s="1">
        <v>2799.5</v>
      </c>
      <c r="M231" s="1">
        <v>2889</v>
      </c>
      <c r="O231" s="1">
        <v>2800</v>
      </c>
      <c r="P231" s="1">
        <v>2800</v>
      </c>
      <c r="Q231" s="1">
        <v>2716.5</v>
      </c>
      <c r="R231" s="1">
        <v>2807</v>
      </c>
      <c r="S231" s="1">
        <v>2817.5</v>
      </c>
      <c r="T231" s="1">
        <v>2785.5</v>
      </c>
      <c r="U231" s="1">
        <v>2784</v>
      </c>
      <c r="V231" s="1">
        <v>2780</v>
      </c>
      <c r="W231" s="1">
        <v>2845</v>
      </c>
      <c r="X231" s="1">
        <v>2932</v>
      </c>
      <c r="Y231" s="1">
        <v>3065</v>
      </c>
      <c r="Z231" s="1">
        <v>2898</v>
      </c>
      <c r="AA231" s="1">
        <v>2824</v>
      </c>
      <c r="AB231" s="1">
        <v>2740</v>
      </c>
      <c r="AC231" s="1">
        <v>2690</v>
      </c>
      <c r="AD231" s="1">
        <v>2674</v>
      </c>
      <c r="AE231" s="1">
        <v>2688</v>
      </c>
      <c r="AF231" s="1">
        <v>2700</v>
      </c>
      <c r="AG231" s="1">
        <v>2825</v>
      </c>
      <c r="AH231" s="1">
        <v>2700.5</v>
      </c>
      <c r="AI231" s="1">
        <v>2827</v>
      </c>
      <c r="AJ231" s="1">
        <v>2835.5</v>
      </c>
      <c r="AK231" s="1">
        <v>2916</v>
      </c>
      <c r="AL231" s="1">
        <v>2954</v>
      </c>
      <c r="AM231" s="1">
        <v>2808</v>
      </c>
      <c r="AN231" s="1">
        <v>2855</v>
      </c>
      <c r="AO231" s="1">
        <v>2520</v>
      </c>
      <c r="AP231" s="1">
        <v>2405.5</v>
      </c>
      <c r="AQ231" s="1">
        <v>2302.5</v>
      </c>
      <c r="AR231" s="1">
        <v>2470</v>
      </c>
      <c r="AS231" s="1">
        <v>2486</v>
      </c>
      <c r="AT231" s="1">
        <v>2570</v>
      </c>
      <c r="AU231" s="1">
        <v>2460</v>
      </c>
      <c r="AV231" s="1">
        <v>2558</v>
      </c>
      <c r="AW231" s="1">
        <v>2613.5</v>
      </c>
      <c r="AX231" s="1">
        <v>2750</v>
      </c>
      <c r="AY231" s="1">
        <v>2800</v>
      </c>
      <c r="AZ231" s="1">
        <v>2960</v>
      </c>
      <c r="BA231" s="1">
        <v>2830</v>
      </c>
      <c r="BB231" s="1">
        <v>2775</v>
      </c>
      <c r="BC231" s="1">
        <v>2612.5</v>
      </c>
      <c r="BD231" s="1">
        <v>2545.5</v>
      </c>
      <c r="BE231" s="1">
        <v>2693</v>
      </c>
      <c r="BF231" s="1">
        <v>2727.5</v>
      </c>
      <c r="BG231" s="1">
        <v>2664</v>
      </c>
      <c r="BH231" s="1">
        <v>2750</v>
      </c>
      <c r="BI231" s="1">
        <v>2766</v>
      </c>
      <c r="BJ231" s="1">
        <v>2845</v>
      </c>
      <c r="BK231" s="1">
        <v>2950</v>
      </c>
      <c r="BL231" s="1">
        <v>3098</v>
      </c>
      <c r="BM231" s="1">
        <v>2880</v>
      </c>
      <c r="BN231" s="1">
        <v>2876.5</v>
      </c>
      <c r="BO231" s="1">
        <v>2962</v>
      </c>
      <c r="BP231" s="1">
        <v>2948</v>
      </c>
      <c r="BQ231" s="1">
        <v>2924</v>
      </c>
      <c r="BR231" s="1">
        <v>3071</v>
      </c>
      <c r="BS231" s="1">
        <v>3071</v>
      </c>
      <c r="BT231" s="1">
        <v>2947</v>
      </c>
      <c r="BU231" s="1">
        <v>3131</v>
      </c>
      <c r="BV231" s="1">
        <v>3130</v>
      </c>
      <c r="BW231" s="1">
        <v>3179</v>
      </c>
      <c r="BX231" s="1">
        <v>3185</v>
      </c>
      <c r="BY231" s="1">
        <v>3310</v>
      </c>
      <c r="BZ231" s="1">
        <v>3344</v>
      </c>
    </row>
    <row r="232" spans="1:254">
      <c r="A232" s="74" t="s">
        <v>445</v>
      </c>
      <c r="B232" s="1" t="str">
        <f>銘柄管理!C232</f>
        <v>ＮＥＣキャピタルソリューション</v>
      </c>
      <c r="C232" s="541">
        <f>_xll.RssMarket("8793","始値")</f>
        <v>4025</v>
      </c>
      <c r="E232" s="547">
        <v>4025</v>
      </c>
      <c r="F232" s="1">
        <v>4030</v>
      </c>
      <c r="G232" s="1">
        <v>4110</v>
      </c>
      <c r="H232" s="1">
        <v>4030</v>
      </c>
      <c r="I232" s="1">
        <v>4200</v>
      </c>
      <c r="J232" s="1">
        <v>4205</v>
      </c>
      <c r="K232" s="1">
        <v>4115</v>
      </c>
      <c r="L232" s="1">
        <v>4075</v>
      </c>
      <c r="M232" s="1">
        <v>4065</v>
      </c>
      <c r="N232" s="1">
        <v>4075</v>
      </c>
      <c r="O232" s="1">
        <v>4115</v>
      </c>
      <c r="P232" s="1">
        <v>4090</v>
      </c>
      <c r="Q232" s="1">
        <v>4050</v>
      </c>
      <c r="R232" s="1">
        <v>4100</v>
      </c>
      <c r="S232" s="1">
        <v>4140</v>
      </c>
      <c r="T232" s="1">
        <v>4135</v>
      </c>
      <c r="U232" s="1">
        <v>4145</v>
      </c>
      <c r="V232" s="1">
        <v>4120</v>
      </c>
      <c r="W232" s="1">
        <v>4100</v>
      </c>
      <c r="X232" s="1">
        <v>4115</v>
      </c>
      <c r="Y232" s="1">
        <v>4100</v>
      </c>
      <c r="Z232" s="1">
        <v>4035</v>
      </c>
      <c r="AA232" s="1">
        <v>4020</v>
      </c>
      <c r="AB232" s="1">
        <v>4000</v>
      </c>
      <c r="AC232" s="1">
        <v>4005</v>
      </c>
      <c r="AD232" s="1">
        <v>4010</v>
      </c>
      <c r="AE232" s="1">
        <v>4010</v>
      </c>
      <c r="AF232" s="1">
        <v>4005</v>
      </c>
      <c r="AG232" s="1">
        <v>4015</v>
      </c>
      <c r="AH232" s="1">
        <v>4010</v>
      </c>
      <c r="AI232" s="1">
        <v>4045</v>
      </c>
      <c r="AJ232" s="1">
        <v>4085</v>
      </c>
      <c r="AK232" s="1">
        <v>4100</v>
      </c>
      <c r="AL232" s="1">
        <v>4145</v>
      </c>
      <c r="AM232" s="1">
        <v>4160</v>
      </c>
      <c r="AN232" s="1">
        <v>4130</v>
      </c>
      <c r="AO232" s="1">
        <v>4155</v>
      </c>
      <c r="AP232" s="1">
        <v>4105</v>
      </c>
      <c r="AQ232" s="1">
        <v>4160</v>
      </c>
      <c r="AR232" s="1">
        <v>4140</v>
      </c>
      <c r="AS232" s="1">
        <v>4010</v>
      </c>
      <c r="AT232" s="1">
        <v>3950</v>
      </c>
      <c r="AU232" s="1">
        <v>3920</v>
      </c>
      <c r="AV232" s="1">
        <v>3885</v>
      </c>
      <c r="AW232" s="1">
        <v>3900</v>
      </c>
      <c r="AX232" s="1">
        <v>3960</v>
      </c>
      <c r="AY232" s="1">
        <v>3940</v>
      </c>
      <c r="AZ232" s="1">
        <v>3965</v>
      </c>
      <c r="BA232" s="1">
        <v>3980</v>
      </c>
      <c r="BB232" s="1">
        <v>4025</v>
      </c>
      <c r="BC232" s="1">
        <v>3980</v>
      </c>
      <c r="BD232" s="1">
        <v>3965</v>
      </c>
      <c r="BE232" s="1">
        <v>3935</v>
      </c>
      <c r="BF232" s="1">
        <v>3970</v>
      </c>
      <c r="BG232" s="1">
        <v>4010</v>
      </c>
      <c r="BH232" s="1">
        <v>4010</v>
      </c>
      <c r="BI232" s="1">
        <v>4030</v>
      </c>
      <c r="BJ232" s="1">
        <v>4055</v>
      </c>
      <c r="BK232" s="1">
        <v>4055</v>
      </c>
      <c r="BL232" s="1">
        <v>4030</v>
      </c>
      <c r="BM232" s="1">
        <v>4010</v>
      </c>
      <c r="BN232" s="1">
        <v>4090</v>
      </c>
      <c r="BO232" s="1">
        <v>4195</v>
      </c>
      <c r="BP232" s="1">
        <v>4195</v>
      </c>
      <c r="BQ232" s="1">
        <v>4280</v>
      </c>
      <c r="BR232" s="1">
        <v>4210</v>
      </c>
      <c r="BS232" s="1">
        <v>4215</v>
      </c>
      <c r="BT232" s="1">
        <v>4270</v>
      </c>
      <c r="BU232" s="1">
        <v>4315</v>
      </c>
      <c r="BV232" s="1">
        <v>4260</v>
      </c>
      <c r="BW232" s="1">
        <v>4240</v>
      </c>
      <c r="BX232" s="1">
        <v>4280</v>
      </c>
      <c r="BY232" s="1">
        <v>4245</v>
      </c>
      <c r="BZ232" s="1">
        <v>4170</v>
      </c>
    </row>
    <row r="233" spans="1:254">
      <c r="A233" s="74" t="s">
        <v>446</v>
      </c>
      <c r="B233" s="1" t="str">
        <f>銘柄管理!C233</f>
        <v>ミスミグループ本社</v>
      </c>
      <c r="C233" s="541">
        <f>_xll.RssMarket("9962","始値")</f>
        <v>3825</v>
      </c>
      <c r="E233" s="547">
        <v>3825</v>
      </c>
      <c r="F233" s="1">
        <v>4049</v>
      </c>
      <c r="G233" s="1">
        <v>4051</v>
      </c>
      <c r="H233" s="1">
        <v>4001</v>
      </c>
      <c r="I233" s="1">
        <v>3829</v>
      </c>
      <c r="J233" s="1">
        <v>3457</v>
      </c>
      <c r="K233" s="1">
        <v>3461</v>
      </c>
      <c r="L233" s="1">
        <v>3557</v>
      </c>
      <c r="M233" s="1">
        <v>3620</v>
      </c>
      <c r="N233" s="1">
        <v>3694</v>
      </c>
      <c r="O233" s="1">
        <v>3699</v>
      </c>
      <c r="P233" s="1">
        <v>3768</v>
      </c>
      <c r="Q233" s="1">
        <v>3772</v>
      </c>
      <c r="R233" s="1">
        <v>3702</v>
      </c>
      <c r="S233" s="1">
        <v>3853</v>
      </c>
      <c r="T233" s="1">
        <v>3782</v>
      </c>
      <c r="U233" s="1">
        <v>3999</v>
      </c>
      <c r="V233" s="1">
        <v>4075</v>
      </c>
      <c r="W233" s="1">
        <v>3907</v>
      </c>
      <c r="X233" s="1">
        <v>3789</v>
      </c>
      <c r="Y233" s="1">
        <v>4128</v>
      </c>
      <c r="Z233" s="1">
        <v>4193</v>
      </c>
      <c r="AA233" s="1">
        <v>4023</v>
      </c>
      <c r="AB233" s="1">
        <v>3911</v>
      </c>
      <c r="AC233" s="1">
        <v>3981</v>
      </c>
      <c r="AD233" s="1">
        <v>3938</v>
      </c>
      <c r="AE233" s="1">
        <v>3858</v>
      </c>
      <c r="AF233" s="1">
        <v>3977</v>
      </c>
      <c r="AG233" s="1">
        <v>3843</v>
      </c>
      <c r="AH233" s="1">
        <v>3639</v>
      </c>
      <c r="AI233" s="1">
        <v>3838</v>
      </c>
      <c r="AJ233" s="1">
        <v>3857</v>
      </c>
      <c r="AK233" s="1">
        <v>3954</v>
      </c>
      <c r="AL233" s="1">
        <v>3892</v>
      </c>
      <c r="AM233" s="1">
        <v>3883</v>
      </c>
      <c r="AN233" s="1">
        <v>3812</v>
      </c>
      <c r="AO233" s="1">
        <v>3835</v>
      </c>
      <c r="AP233" s="1">
        <v>3720</v>
      </c>
      <c r="AQ233" s="1">
        <v>3568</v>
      </c>
      <c r="AR233" s="1">
        <v>3559</v>
      </c>
      <c r="AS233" s="1">
        <v>3574</v>
      </c>
      <c r="AT233" s="1">
        <v>3762</v>
      </c>
      <c r="AU233" s="1">
        <v>3761</v>
      </c>
      <c r="AV233" s="1">
        <v>3760</v>
      </c>
      <c r="AW233" s="1">
        <v>3617</v>
      </c>
      <c r="AX233" s="1">
        <v>3705</v>
      </c>
      <c r="AY233" s="1">
        <v>3526</v>
      </c>
      <c r="AZ233" s="1">
        <v>3597</v>
      </c>
      <c r="BA233" s="1">
        <v>3446</v>
      </c>
      <c r="BB233" s="1">
        <v>3454</v>
      </c>
      <c r="BC233" s="1">
        <v>3199</v>
      </c>
      <c r="BD233" s="1">
        <v>3087</v>
      </c>
      <c r="BE233" s="1">
        <v>3166</v>
      </c>
      <c r="BF233" s="1">
        <v>3184</v>
      </c>
      <c r="BG233" s="1">
        <v>3326</v>
      </c>
      <c r="BH233" s="1">
        <v>3359</v>
      </c>
      <c r="BI233" s="1">
        <v>3319</v>
      </c>
      <c r="BJ233" s="1">
        <v>3470</v>
      </c>
      <c r="BK233" s="1">
        <v>3466</v>
      </c>
      <c r="BL233" s="1">
        <v>3406</v>
      </c>
      <c r="BM233" s="1">
        <v>3498</v>
      </c>
      <c r="BN233" s="1">
        <v>3309</v>
      </c>
      <c r="BO233" s="1">
        <v>3393</v>
      </c>
      <c r="BP233" s="1">
        <v>3395</v>
      </c>
      <c r="BQ233" s="1">
        <v>3065</v>
      </c>
      <c r="BR233" s="1">
        <v>3025</v>
      </c>
      <c r="BS233" s="1">
        <v>3060</v>
      </c>
      <c r="BT233" s="1">
        <v>3100</v>
      </c>
      <c r="BU233" s="1">
        <v>3150</v>
      </c>
      <c r="BV233" s="1">
        <v>3086</v>
      </c>
      <c r="BW233" s="1">
        <v>3015</v>
      </c>
      <c r="BX233" s="1">
        <v>3034</v>
      </c>
      <c r="BY233" s="1">
        <v>2992</v>
      </c>
      <c r="BZ233" s="1">
        <v>3032</v>
      </c>
    </row>
    <row r="234" spans="1:254">
      <c r="A234" s="74" t="s">
        <v>447</v>
      </c>
      <c r="B234" s="1" t="str">
        <f>銘柄管理!C234</f>
        <v>ＴＤＫ</v>
      </c>
      <c r="C234" s="541">
        <f>_xll.RssMarket("6762","始値")</f>
        <v>3047</v>
      </c>
      <c r="E234" s="547">
        <v>3047</v>
      </c>
      <c r="F234" s="1">
        <v>3157</v>
      </c>
      <c r="G234" s="1">
        <v>3157</v>
      </c>
      <c r="H234" s="1">
        <v>3278</v>
      </c>
      <c r="I234" s="1">
        <v>3099</v>
      </c>
      <c r="J234" s="1">
        <v>2758</v>
      </c>
      <c r="K234" s="1">
        <v>2958.5</v>
      </c>
      <c r="L234" s="1">
        <v>2961</v>
      </c>
      <c r="M234" s="1">
        <v>3033</v>
      </c>
      <c r="N234" s="1">
        <v>3065</v>
      </c>
      <c r="O234" s="1">
        <v>3189</v>
      </c>
      <c r="P234" s="1">
        <v>3150</v>
      </c>
      <c r="Q234" s="1">
        <v>3018</v>
      </c>
      <c r="R234" s="1">
        <v>3000</v>
      </c>
      <c r="S234" s="1">
        <v>3270</v>
      </c>
      <c r="T234" s="1">
        <v>3190</v>
      </c>
      <c r="U234" s="1">
        <v>3387</v>
      </c>
      <c r="V234" s="1">
        <v>3452</v>
      </c>
      <c r="W234" s="1">
        <v>3360</v>
      </c>
      <c r="X234" s="1">
        <v>3251</v>
      </c>
      <c r="Y234" s="1">
        <v>3501</v>
      </c>
      <c r="Z234" s="1">
        <v>3700</v>
      </c>
      <c r="AA234" s="1">
        <v>3642</v>
      </c>
      <c r="AB234" s="1">
        <v>3666</v>
      </c>
      <c r="AC234" s="1">
        <v>3666</v>
      </c>
      <c r="AD234" s="1">
        <v>3663</v>
      </c>
      <c r="AE234" s="1">
        <v>3550</v>
      </c>
      <c r="AF234" s="1">
        <v>3768</v>
      </c>
      <c r="AG234" s="1">
        <v>3900</v>
      </c>
      <c r="AH234" s="1">
        <v>3873</v>
      </c>
      <c r="AI234" s="1">
        <v>4133</v>
      </c>
      <c r="AJ234" s="1">
        <v>3979</v>
      </c>
      <c r="AK234" s="1">
        <v>3995</v>
      </c>
      <c r="AL234" s="1">
        <v>3850</v>
      </c>
      <c r="AM234" s="1">
        <v>3732</v>
      </c>
      <c r="AN234" s="1">
        <v>3848</v>
      </c>
      <c r="AO234" s="1">
        <v>3644</v>
      </c>
      <c r="AP234" s="1">
        <v>3756</v>
      </c>
      <c r="AQ234" s="1">
        <v>3450</v>
      </c>
      <c r="AR234" s="1">
        <v>3700</v>
      </c>
      <c r="AS234" s="1">
        <v>3700</v>
      </c>
      <c r="AT234" s="1">
        <v>3899</v>
      </c>
      <c r="AU234" s="1">
        <v>3950</v>
      </c>
      <c r="AV234" s="1">
        <v>3919</v>
      </c>
      <c r="AW234" s="1">
        <v>4083</v>
      </c>
      <c r="AX234" s="1">
        <v>3999</v>
      </c>
      <c r="AY234" s="1">
        <v>3590</v>
      </c>
      <c r="AZ234" s="1">
        <v>3750</v>
      </c>
      <c r="BA234" s="1">
        <v>3580</v>
      </c>
      <c r="BB234" s="1">
        <v>3137</v>
      </c>
      <c r="BC234" s="1">
        <v>2993</v>
      </c>
      <c r="BD234" s="1">
        <v>2885.5</v>
      </c>
      <c r="BE234" s="1">
        <v>3025</v>
      </c>
      <c r="BF234" s="1">
        <v>2988.5</v>
      </c>
      <c r="BG234" s="1">
        <v>3110</v>
      </c>
      <c r="BH234" s="1">
        <v>2979</v>
      </c>
      <c r="BI234" s="1">
        <v>2911</v>
      </c>
      <c r="BJ234" s="1">
        <v>2936</v>
      </c>
      <c r="BK234" s="1">
        <v>2990</v>
      </c>
      <c r="BL234" s="1">
        <v>2930</v>
      </c>
      <c r="BM234" s="1">
        <v>2920</v>
      </c>
      <c r="BN234" s="1">
        <v>2886</v>
      </c>
      <c r="BO234" s="1">
        <v>2927</v>
      </c>
      <c r="BP234" s="1">
        <v>2740</v>
      </c>
      <c r="BQ234" s="1">
        <v>2767.5</v>
      </c>
      <c r="BR234" s="1">
        <v>2700.5</v>
      </c>
      <c r="BS234" s="1">
        <v>2750</v>
      </c>
      <c r="BT234" s="1">
        <v>2548.5</v>
      </c>
      <c r="BU234" s="1">
        <v>2536</v>
      </c>
      <c r="BV234" s="1">
        <v>2600</v>
      </c>
      <c r="BW234" s="1">
        <v>2527.5</v>
      </c>
      <c r="BX234" s="1">
        <v>2280</v>
      </c>
      <c r="BY234" s="1">
        <v>2300.5</v>
      </c>
      <c r="BZ234" s="1">
        <v>2310</v>
      </c>
    </row>
    <row r="235" spans="1:254">
      <c r="A235" s="74" t="s">
        <v>448</v>
      </c>
      <c r="B235" s="1" t="str">
        <f>銘柄管理!C235</f>
        <v>ＦＩＧ</v>
      </c>
      <c r="C235" s="541">
        <f>_xll.RssMarket("4392","始値")</f>
        <v>935</v>
      </c>
      <c r="E235" s="547">
        <v>935</v>
      </c>
      <c r="F235" s="1">
        <v>914</v>
      </c>
      <c r="G235" s="1">
        <v>849</v>
      </c>
      <c r="H235" s="1">
        <v>866</v>
      </c>
      <c r="I235" s="1">
        <v>900</v>
      </c>
      <c r="J235" s="1">
        <v>849</v>
      </c>
      <c r="K235" s="1">
        <v>896</v>
      </c>
      <c r="L235" s="1">
        <v>929</v>
      </c>
      <c r="M235" s="1">
        <v>1018</v>
      </c>
      <c r="N235" s="1">
        <v>1038</v>
      </c>
      <c r="O235" s="1">
        <v>1055</v>
      </c>
      <c r="P235" s="1">
        <v>1085</v>
      </c>
      <c r="Q235" s="1">
        <v>1058</v>
      </c>
      <c r="R235" s="1">
        <v>1080</v>
      </c>
      <c r="S235" s="1">
        <v>1052</v>
      </c>
      <c r="T235" s="1">
        <v>1032</v>
      </c>
      <c r="U235" s="1">
        <v>1095</v>
      </c>
      <c r="V235" s="1">
        <v>1063</v>
      </c>
      <c r="W235" s="1">
        <v>1109</v>
      </c>
      <c r="X235" s="1">
        <v>1069</v>
      </c>
      <c r="Y235" s="1">
        <v>1133</v>
      </c>
      <c r="Z235" s="1">
        <v>1214</v>
      </c>
      <c r="AA235" s="1">
        <v>1101</v>
      </c>
      <c r="AB235" s="1">
        <v>1087</v>
      </c>
      <c r="AC235" s="1">
        <v>1125</v>
      </c>
      <c r="AD235" s="1">
        <v>1099</v>
      </c>
      <c r="AE235" s="1">
        <v>1145</v>
      </c>
      <c r="AF235" s="1">
        <v>1130</v>
      </c>
      <c r="AG235" s="1">
        <v>1225</v>
      </c>
      <c r="AH235" s="1">
        <v>1149</v>
      </c>
      <c r="AI235" s="1">
        <v>1191</v>
      </c>
      <c r="AJ235" s="1">
        <v>1173</v>
      </c>
      <c r="AK235" s="1">
        <v>1290</v>
      </c>
      <c r="AL235" s="1">
        <v>1252</v>
      </c>
      <c r="AM235" s="1">
        <v>1230</v>
      </c>
      <c r="AN235" s="1">
        <v>1299</v>
      </c>
      <c r="AO235" s="1">
        <v>1376</v>
      </c>
      <c r="AP235" s="1">
        <v>1532</v>
      </c>
      <c r="AQ235" s="1">
        <v>1588</v>
      </c>
      <c r="AR235" s="1">
        <v>1482</v>
      </c>
      <c r="AS235" s="1">
        <v>1252</v>
      </c>
      <c r="AT235" s="1">
        <v>1301</v>
      </c>
      <c r="AU235" s="1">
        <v>1555</v>
      </c>
      <c r="AV235" s="1">
        <v>1632</v>
      </c>
      <c r="AW235" s="1">
        <v>1845</v>
      </c>
      <c r="AX235" s="1">
        <v>2189</v>
      </c>
      <c r="AY235" s="1">
        <v>2064</v>
      </c>
      <c r="AZ235" s="1">
        <v>2800</v>
      </c>
      <c r="BA235" s="1">
        <v>1985</v>
      </c>
      <c r="BB235" s="1">
        <v>1969</v>
      </c>
      <c r="BC235" s="1">
        <v>1821</v>
      </c>
      <c r="BD235" s="1">
        <v>1300</v>
      </c>
      <c r="BE235" s="1">
        <v>1360</v>
      </c>
      <c r="BF235" s="1">
        <v>1060</v>
      </c>
      <c r="BG235" s="1">
        <v>910</v>
      </c>
      <c r="BH235" s="1">
        <v>769</v>
      </c>
      <c r="BI235" s="1">
        <v>780</v>
      </c>
      <c r="BJ235" s="1">
        <v>859</v>
      </c>
      <c r="BK235" s="1">
        <v>509</v>
      </c>
      <c r="BL235" s="1">
        <v>429</v>
      </c>
      <c r="BM235" s="1">
        <v>350</v>
      </c>
      <c r="BN235" s="1">
        <v>345</v>
      </c>
      <c r="BO235" s="1">
        <v>350</v>
      </c>
      <c r="BP235" s="1">
        <v>359</v>
      </c>
      <c r="BQ235" s="1">
        <v>356</v>
      </c>
      <c r="BR235" s="1">
        <v>348</v>
      </c>
      <c r="BS235" s="1">
        <v>352</v>
      </c>
      <c r="BT235" s="1">
        <v>347</v>
      </c>
      <c r="BU235" s="1">
        <v>349</v>
      </c>
      <c r="BV235" s="1">
        <v>328</v>
      </c>
      <c r="BW235" s="1">
        <v>327</v>
      </c>
      <c r="BX235" s="1">
        <v>326</v>
      </c>
      <c r="BY235" s="1">
        <v>324</v>
      </c>
      <c r="BZ235" s="1">
        <v>323</v>
      </c>
    </row>
    <row r="236" spans="1:254">
      <c r="A236" s="74" t="s">
        <v>449</v>
      </c>
      <c r="B236" s="1" t="str">
        <f>銘柄管理!C236</f>
        <v>スクロール</v>
      </c>
      <c r="C236" s="541">
        <f>_xll.RssMarket("8005","始値")</f>
        <v>1817</v>
      </c>
      <c r="E236" s="547">
        <v>1817</v>
      </c>
      <c r="F236" s="1">
        <v>1809</v>
      </c>
      <c r="G236" s="1">
        <v>1813</v>
      </c>
      <c r="H236" s="1">
        <v>1843</v>
      </c>
      <c r="I236" s="1">
        <v>1715</v>
      </c>
      <c r="J236" s="1">
        <v>1725</v>
      </c>
      <c r="K236" s="1">
        <v>1723</v>
      </c>
      <c r="L236" s="1">
        <v>1722</v>
      </c>
      <c r="M236" s="1">
        <v>1705</v>
      </c>
      <c r="N236" s="1">
        <v>1707</v>
      </c>
      <c r="O236" s="1">
        <v>1715</v>
      </c>
      <c r="P236" s="1">
        <v>1744</v>
      </c>
      <c r="Q236" s="1">
        <v>1710</v>
      </c>
      <c r="R236" s="1">
        <v>1730</v>
      </c>
      <c r="S236" s="1">
        <v>1728</v>
      </c>
      <c r="T236" s="1">
        <v>1732</v>
      </c>
      <c r="U236" s="1">
        <v>1715</v>
      </c>
      <c r="V236" s="1">
        <v>1706</v>
      </c>
      <c r="W236" s="1">
        <v>1718</v>
      </c>
      <c r="X236" s="1">
        <v>1721</v>
      </c>
      <c r="Y236" s="1">
        <v>1701</v>
      </c>
      <c r="Z236" s="1">
        <v>1659</v>
      </c>
      <c r="AA236" s="1">
        <v>1645</v>
      </c>
      <c r="AB236" s="1">
        <v>1628</v>
      </c>
      <c r="AC236" s="1">
        <v>1626</v>
      </c>
      <c r="AD236" s="1">
        <v>1637</v>
      </c>
      <c r="AE236" s="1">
        <v>1643</v>
      </c>
      <c r="AF236" s="1">
        <v>1648</v>
      </c>
      <c r="AG236" s="1">
        <v>1641</v>
      </c>
      <c r="AH236" s="1">
        <v>1645</v>
      </c>
      <c r="AI236" s="1">
        <v>1638</v>
      </c>
      <c r="AJ236" s="1">
        <v>1626</v>
      </c>
      <c r="AK236" s="1">
        <v>1650</v>
      </c>
      <c r="AL236" s="1">
        <v>1631</v>
      </c>
      <c r="AM236" s="1">
        <v>1640</v>
      </c>
      <c r="AN236" s="1">
        <v>1624</v>
      </c>
      <c r="AO236" s="1">
        <v>1620</v>
      </c>
      <c r="AP236" s="1">
        <v>1625</v>
      </c>
      <c r="AQ236" s="1">
        <v>1628</v>
      </c>
      <c r="AR236" s="1">
        <v>1612</v>
      </c>
      <c r="AS236" s="1">
        <v>1621</v>
      </c>
      <c r="AT236" s="1">
        <v>1628</v>
      </c>
      <c r="AU236" s="1">
        <v>1634</v>
      </c>
      <c r="AV236" s="1">
        <v>1638</v>
      </c>
      <c r="AW236" s="1">
        <v>1672</v>
      </c>
      <c r="AX236" s="1">
        <v>1630</v>
      </c>
      <c r="AY236" s="1">
        <v>1635</v>
      </c>
      <c r="AZ236" s="1">
        <v>1640</v>
      </c>
      <c r="BA236" s="1">
        <v>1638</v>
      </c>
      <c r="BB236" s="1">
        <v>1651</v>
      </c>
      <c r="BC236" s="1">
        <v>1669</v>
      </c>
      <c r="BD236" s="1">
        <v>1660</v>
      </c>
      <c r="BE236" s="1">
        <v>1655</v>
      </c>
      <c r="BF236" s="1">
        <v>1612</v>
      </c>
      <c r="BG236" s="1">
        <v>1649</v>
      </c>
      <c r="BH236" s="1">
        <v>1633</v>
      </c>
      <c r="BI236" s="1">
        <v>1656</v>
      </c>
      <c r="BJ236" s="1">
        <v>1705</v>
      </c>
      <c r="BK236" s="1">
        <v>1757</v>
      </c>
      <c r="BL236" s="1">
        <v>1597</v>
      </c>
      <c r="BM236" s="1">
        <v>1324</v>
      </c>
      <c r="BN236" s="1">
        <v>1320</v>
      </c>
      <c r="BO236" s="1">
        <v>1323</v>
      </c>
      <c r="BP236" s="1">
        <v>1310</v>
      </c>
      <c r="BQ236" s="1">
        <v>1320</v>
      </c>
      <c r="BR236" s="1">
        <v>1320</v>
      </c>
      <c r="BS236" s="1">
        <v>1320</v>
      </c>
      <c r="BT236" s="1">
        <v>1345</v>
      </c>
      <c r="BU236" s="1">
        <v>1359</v>
      </c>
      <c r="BV236" s="1">
        <v>1352</v>
      </c>
      <c r="BW236" s="1">
        <v>1355</v>
      </c>
      <c r="BX236" s="1">
        <v>1348</v>
      </c>
      <c r="BY236" s="1">
        <v>1331</v>
      </c>
      <c r="BZ236" s="1">
        <v>1315</v>
      </c>
    </row>
    <row r="237" spans="1:254">
      <c r="A237" s="74" t="s">
        <v>450</v>
      </c>
      <c r="B237" s="1" t="str">
        <f>銘柄管理!C237</f>
        <v>デジタルアーツ</v>
      </c>
      <c r="C237" s="541">
        <f>_xll.RssMarket("2326","始値")</f>
        <v>4390</v>
      </c>
      <c r="E237" s="547">
        <v>4390</v>
      </c>
      <c r="F237" s="1">
        <v>4370</v>
      </c>
      <c r="G237" s="1">
        <v>4345</v>
      </c>
      <c r="H237" s="1">
        <v>4100</v>
      </c>
      <c r="I237" s="1">
        <v>4035</v>
      </c>
      <c r="J237" s="1">
        <v>4195</v>
      </c>
      <c r="K237" s="1">
        <v>4095</v>
      </c>
      <c r="L237" s="1">
        <v>4080</v>
      </c>
      <c r="M237" s="1">
        <v>3980</v>
      </c>
      <c r="N237" s="1">
        <v>3990</v>
      </c>
      <c r="O237" s="1">
        <v>4000</v>
      </c>
      <c r="P237" s="1">
        <v>4040</v>
      </c>
      <c r="Q237" s="1">
        <v>4095</v>
      </c>
      <c r="R237" s="1">
        <v>3980</v>
      </c>
      <c r="S237" s="1">
        <v>3985</v>
      </c>
      <c r="T237" s="1">
        <v>3990</v>
      </c>
      <c r="U237" s="1">
        <v>3945</v>
      </c>
      <c r="V237" s="1">
        <v>3900</v>
      </c>
      <c r="W237" s="1">
        <v>3860</v>
      </c>
      <c r="X237" s="1">
        <v>3950</v>
      </c>
      <c r="Y237" s="1">
        <v>3885</v>
      </c>
      <c r="Z237" s="1">
        <v>3875</v>
      </c>
      <c r="AA237" s="1">
        <v>3880</v>
      </c>
      <c r="AB237" s="1">
        <v>3725</v>
      </c>
      <c r="AC237" s="1">
        <v>3700</v>
      </c>
      <c r="AD237" s="1">
        <v>3740</v>
      </c>
      <c r="AE237" s="1">
        <v>3680</v>
      </c>
      <c r="AF237" s="1">
        <v>3595</v>
      </c>
      <c r="AG237" s="1">
        <v>3580</v>
      </c>
      <c r="AH237" s="1">
        <v>3515</v>
      </c>
      <c r="AI237" s="1">
        <v>3600</v>
      </c>
      <c r="AJ237" s="1">
        <v>3545</v>
      </c>
      <c r="AK237" s="1">
        <v>3600</v>
      </c>
      <c r="AL237" s="1">
        <v>3595</v>
      </c>
      <c r="AM237" s="1">
        <v>3615</v>
      </c>
      <c r="AN237" s="1">
        <v>3540</v>
      </c>
      <c r="AO237" s="1">
        <v>3570</v>
      </c>
      <c r="AP237" s="1">
        <v>3610</v>
      </c>
      <c r="AQ237" s="1">
        <v>3625</v>
      </c>
      <c r="AR237" s="1">
        <v>3690</v>
      </c>
      <c r="AS237" s="1">
        <v>3760</v>
      </c>
      <c r="AT237" s="1">
        <v>3740</v>
      </c>
      <c r="AU237" s="1">
        <v>3625</v>
      </c>
      <c r="AV237" s="1">
        <v>3735</v>
      </c>
      <c r="AW237" s="1">
        <v>3800</v>
      </c>
      <c r="AX237" s="1">
        <v>4040</v>
      </c>
      <c r="AY237" s="1">
        <v>4050</v>
      </c>
      <c r="AZ237" s="1">
        <v>4110</v>
      </c>
      <c r="BA237" s="1">
        <v>4180</v>
      </c>
      <c r="BB237" s="1">
        <v>4100</v>
      </c>
      <c r="BC237" s="1">
        <v>4125</v>
      </c>
      <c r="BD237" s="1">
        <v>4280</v>
      </c>
      <c r="BE237" s="1">
        <v>4290</v>
      </c>
      <c r="BF237" s="1">
        <v>4205</v>
      </c>
      <c r="BG237" s="1">
        <v>4055</v>
      </c>
      <c r="BH237" s="1">
        <v>4005</v>
      </c>
      <c r="BI237" s="1">
        <v>3955</v>
      </c>
      <c r="BJ237" s="1">
        <v>4100</v>
      </c>
      <c r="BK237" s="1">
        <v>4310</v>
      </c>
      <c r="BL237" s="1">
        <v>4940</v>
      </c>
      <c r="BM237" s="1">
        <v>5790</v>
      </c>
      <c r="BN237" s="1">
        <v>5510</v>
      </c>
      <c r="BO237" s="1">
        <v>5480</v>
      </c>
      <c r="BP237" s="1">
        <v>5460</v>
      </c>
      <c r="BQ237" s="1">
        <v>5500</v>
      </c>
      <c r="BR237" s="1">
        <v>5590</v>
      </c>
      <c r="BS237" s="1">
        <v>6010</v>
      </c>
      <c r="BT237" s="1">
        <v>5980</v>
      </c>
      <c r="BU237" s="1">
        <v>5900</v>
      </c>
      <c r="BV237" s="1">
        <v>5840</v>
      </c>
      <c r="BW237" s="1">
        <v>5780</v>
      </c>
      <c r="BX237" s="1">
        <v>5740</v>
      </c>
      <c r="BY237" s="1">
        <v>5580</v>
      </c>
      <c r="BZ237" s="1">
        <v>5550</v>
      </c>
    </row>
    <row r="238" spans="1:254">
      <c r="A238" s="74" t="s">
        <v>451</v>
      </c>
      <c r="B238" s="1" t="str">
        <f>銘柄管理!C238</f>
        <v>ＴＯＡ</v>
      </c>
      <c r="C238" s="541">
        <f>_xll.RssMarket("6809","始値")</f>
        <v>1636</v>
      </c>
      <c r="E238" s="547">
        <v>1636</v>
      </c>
      <c r="F238" s="1">
        <v>1650</v>
      </c>
      <c r="G238" s="1">
        <v>1610</v>
      </c>
      <c r="H238" s="1">
        <v>1621</v>
      </c>
      <c r="I238" s="1">
        <v>1633</v>
      </c>
      <c r="J238" s="1">
        <v>1632</v>
      </c>
      <c r="K238" s="1">
        <v>1638</v>
      </c>
      <c r="L238" s="1">
        <v>1639</v>
      </c>
      <c r="M238" s="1">
        <v>1629</v>
      </c>
      <c r="O238" s="1">
        <v>1624</v>
      </c>
      <c r="P238" s="1">
        <v>1622</v>
      </c>
      <c r="Q238" s="1">
        <v>1586</v>
      </c>
      <c r="R238" s="1">
        <v>1590</v>
      </c>
      <c r="S238" s="1">
        <v>1615</v>
      </c>
      <c r="T238" s="1">
        <v>1612</v>
      </c>
      <c r="U238" s="1">
        <v>1610</v>
      </c>
      <c r="V238" s="1">
        <v>1628</v>
      </c>
      <c r="W238" s="1">
        <v>1625</v>
      </c>
      <c r="X238" s="1">
        <v>1640</v>
      </c>
      <c r="Y238" s="1">
        <v>1633</v>
      </c>
      <c r="Z238" s="1">
        <v>1605</v>
      </c>
      <c r="AA238" s="1">
        <v>1580</v>
      </c>
      <c r="AB238" s="1">
        <v>1554</v>
      </c>
      <c r="AC238" s="1">
        <v>1556</v>
      </c>
      <c r="AD238" s="1">
        <v>1576</v>
      </c>
      <c r="AE238" s="1">
        <v>1586</v>
      </c>
      <c r="AF238" s="1">
        <v>1574</v>
      </c>
      <c r="AG238" s="1">
        <v>1575</v>
      </c>
      <c r="AH238" s="1">
        <v>1558</v>
      </c>
      <c r="AI238" s="1">
        <v>1557</v>
      </c>
      <c r="AJ238" s="1">
        <v>1555</v>
      </c>
      <c r="AK238" s="1">
        <v>1570</v>
      </c>
      <c r="AL238" s="1">
        <v>1569</v>
      </c>
      <c r="AM238" s="1">
        <v>1565</v>
      </c>
      <c r="AN238" s="1">
        <v>1560</v>
      </c>
      <c r="AO238" s="1">
        <v>1577</v>
      </c>
      <c r="AP238" s="1">
        <v>1560</v>
      </c>
      <c r="AQ238" s="1">
        <v>1562</v>
      </c>
      <c r="AR238" s="1">
        <v>1572</v>
      </c>
      <c r="AS238" s="1">
        <v>1543</v>
      </c>
      <c r="AT238" s="1">
        <v>1550</v>
      </c>
      <c r="AU238" s="1">
        <v>1536</v>
      </c>
      <c r="AV238" s="1">
        <v>1554</v>
      </c>
      <c r="AW238" s="1">
        <v>1540</v>
      </c>
      <c r="AX238" s="1">
        <v>1542</v>
      </c>
      <c r="AY238" s="1">
        <v>1526</v>
      </c>
      <c r="AZ238" s="1">
        <v>1560</v>
      </c>
      <c r="BA238" s="1">
        <v>1582</v>
      </c>
      <c r="BB238" s="1">
        <v>1547</v>
      </c>
      <c r="BC238" s="1">
        <v>1533</v>
      </c>
      <c r="BD238" s="1">
        <v>1601</v>
      </c>
      <c r="BE238" s="1">
        <v>1580</v>
      </c>
      <c r="BF238" s="1">
        <v>1598</v>
      </c>
      <c r="BG238" s="1">
        <v>1586</v>
      </c>
      <c r="BH238" s="1">
        <v>1569</v>
      </c>
      <c r="BI238" s="1">
        <v>1562</v>
      </c>
      <c r="BJ238" s="1">
        <v>1570</v>
      </c>
      <c r="BK238" s="1">
        <v>1580</v>
      </c>
      <c r="BL238" s="1">
        <v>1604</v>
      </c>
      <c r="BM238" s="1">
        <v>1775</v>
      </c>
      <c r="BN238" s="1">
        <v>1730</v>
      </c>
      <c r="BO238" s="1">
        <v>1726</v>
      </c>
      <c r="BP238" s="1">
        <v>1700</v>
      </c>
      <c r="BQ238" s="1">
        <v>1720</v>
      </c>
      <c r="BR238" s="1">
        <v>1757</v>
      </c>
      <c r="BS238" s="1">
        <v>1750</v>
      </c>
      <c r="BT238" s="1">
        <v>1786</v>
      </c>
      <c r="BU238" s="1">
        <v>1773</v>
      </c>
      <c r="BV238" s="1">
        <v>1800</v>
      </c>
      <c r="BW238" s="1">
        <v>1784</v>
      </c>
      <c r="BX238" s="1">
        <v>1780</v>
      </c>
      <c r="BY238" s="1">
        <v>1792</v>
      </c>
      <c r="BZ238" s="1">
        <v>1800</v>
      </c>
    </row>
    <row r="239" spans="1:254">
      <c r="A239" s="74" t="s">
        <v>452</v>
      </c>
      <c r="B239" s="1" t="str">
        <f>銘柄管理!C239</f>
        <v>ユーザーローカル</v>
      </c>
      <c r="C239" s="541">
        <f>_xll.RssMarket("3984","始値")</f>
        <v>1852</v>
      </c>
      <c r="E239" s="547">
        <v>1852</v>
      </c>
      <c r="F239" s="1">
        <v>1811</v>
      </c>
      <c r="G239" s="1">
        <v>1806</v>
      </c>
      <c r="H239" s="1">
        <v>1806</v>
      </c>
      <c r="I239" s="1">
        <v>1774</v>
      </c>
      <c r="J239" s="1">
        <v>1802</v>
      </c>
      <c r="K239" s="1">
        <v>1809</v>
      </c>
      <c r="L239" s="1">
        <v>1807</v>
      </c>
      <c r="M239" s="1">
        <v>1727</v>
      </c>
      <c r="O239" s="1">
        <v>1775</v>
      </c>
      <c r="P239" s="1">
        <v>1810</v>
      </c>
      <c r="Q239" s="1">
        <v>1797</v>
      </c>
      <c r="R239" s="1">
        <v>1804</v>
      </c>
      <c r="S239" s="1">
        <v>1790</v>
      </c>
      <c r="T239" s="1">
        <v>1794</v>
      </c>
      <c r="U239" s="1">
        <v>1790</v>
      </c>
      <c r="V239" s="1">
        <v>1768</v>
      </c>
      <c r="W239" s="1">
        <v>1740</v>
      </c>
      <c r="X239" s="1">
        <v>1775</v>
      </c>
      <c r="Y239" s="1">
        <v>1783</v>
      </c>
      <c r="Z239" s="1">
        <v>1785</v>
      </c>
      <c r="AA239" s="1">
        <v>1744</v>
      </c>
      <c r="AB239" s="1">
        <v>1707</v>
      </c>
      <c r="AC239" s="1">
        <v>1625</v>
      </c>
      <c r="AD239" s="1">
        <v>1609</v>
      </c>
      <c r="AE239" s="1">
        <v>1608</v>
      </c>
      <c r="AF239" s="1">
        <v>1638</v>
      </c>
      <c r="AG239" s="1">
        <v>1700</v>
      </c>
      <c r="AH239" s="1">
        <v>1703</v>
      </c>
      <c r="AI239" s="1">
        <v>1750</v>
      </c>
      <c r="AJ239" s="1">
        <v>1736</v>
      </c>
      <c r="AK239" s="1">
        <v>1810</v>
      </c>
      <c r="AL239" s="1">
        <v>1815</v>
      </c>
      <c r="AM239" s="1">
        <v>1775</v>
      </c>
      <c r="AN239" s="1">
        <v>1785</v>
      </c>
      <c r="AO239" s="1">
        <v>1793</v>
      </c>
      <c r="AP239" s="1">
        <v>1840</v>
      </c>
      <c r="AQ239" s="1">
        <v>1781</v>
      </c>
      <c r="AR239" s="1">
        <v>1815</v>
      </c>
      <c r="AS239" s="1">
        <v>1850</v>
      </c>
      <c r="AT239" s="1">
        <v>1836</v>
      </c>
      <c r="AU239" s="1">
        <v>1808</v>
      </c>
      <c r="AV239" s="1">
        <v>1793</v>
      </c>
      <c r="AW239" s="1">
        <v>1826</v>
      </c>
      <c r="AX239" s="1">
        <v>1705</v>
      </c>
      <c r="AY239" s="1">
        <v>1706</v>
      </c>
      <c r="AZ239" s="1">
        <v>1710</v>
      </c>
      <c r="BA239" s="1">
        <v>1797</v>
      </c>
      <c r="BB239" s="1">
        <v>1760</v>
      </c>
      <c r="BC239" s="1">
        <v>1773</v>
      </c>
      <c r="BD239" s="1">
        <v>1767</v>
      </c>
      <c r="BE239" s="1">
        <v>1723</v>
      </c>
      <c r="BF239" s="1">
        <v>1717</v>
      </c>
      <c r="BG239" s="1">
        <v>1710</v>
      </c>
      <c r="BH239" s="1">
        <v>1745</v>
      </c>
      <c r="BI239" s="1">
        <v>1726</v>
      </c>
      <c r="BJ239" s="1">
        <v>1796</v>
      </c>
      <c r="BK239" s="1">
        <v>1814</v>
      </c>
      <c r="BL239" s="1">
        <v>1736</v>
      </c>
      <c r="BM239" s="1">
        <v>1600</v>
      </c>
      <c r="BN239" s="1">
        <v>1540</v>
      </c>
      <c r="BO239" s="1">
        <v>1559</v>
      </c>
      <c r="BP239" s="1">
        <v>1550</v>
      </c>
      <c r="BQ239" s="1">
        <v>1571</v>
      </c>
      <c r="BR239" s="1">
        <v>1555</v>
      </c>
      <c r="BS239" s="1">
        <v>1595</v>
      </c>
      <c r="BT239" s="1">
        <v>1593</v>
      </c>
      <c r="BU239" s="1">
        <v>1585</v>
      </c>
      <c r="BV239" s="1">
        <v>1574</v>
      </c>
      <c r="BW239" s="1">
        <v>1577</v>
      </c>
      <c r="BX239" s="1">
        <v>1578</v>
      </c>
      <c r="BY239" s="1">
        <v>1498</v>
      </c>
      <c r="BZ239" s="1">
        <v>1452</v>
      </c>
    </row>
    <row r="240" spans="1:254">
      <c r="A240" s="74" t="s">
        <v>453</v>
      </c>
      <c r="B240" s="1" t="str">
        <f>銘柄管理!C240</f>
        <v>ダイトロン</v>
      </c>
      <c r="C240" s="541">
        <f>_xll.RssMarket("7609","始値")</f>
        <v>4255</v>
      </c>
      <c r="E240" s="547">
        <v>4255</v>
      </c>
      <c r="F240" s="1">
        <v>4150</v>
      </c>
      <c r="G240" s="1">
        <v>3820</v>
      </c>
      <c r="H240" s="1">
        <v>3390</v>
      </c>
      <c r="I240" s="1">
        <v>3305</v>
      </c>
      <c r="J240" s="1">
        <v>3100</v>
      </c>
      <c r="K240" s="1">
        <v>3270</v>
      </c>
      <c r="L240" s="1">
        <v>3350</v>
      </c>
      <c r="M240" s="1">
        <v>3500</v>
      </c>
      <c r="O240" s="1">
        <v>3550</v>
      </c>
      <c r="P240" s="1">
        <v>3455</v>
      </c>
      <c r="Q240" s="1">
        <v>3350</v>
      </c>
      <c r="R240" s="1">
        <v>3345</v>
      </c>
      <c r="S240" s="1">
        <v>3395</v>
      </c>
      <c r="T240" s="1">
        <v>3355</v>
      </c>
      <c r="U240" s="1">
        <v>3550</v>
      </c>
      <c r="V240" s="1">
        <v>3520</v>
      </c>
      <c r="W240" s="1">
        <v>3460</v>
      </c>
      <c r="X240" s="1">
        <v>3415</v>
      </c>
      <c r="Y240" s="1">
        <v>3610</v>
      </c>
      <c r="Z240" s="1">
        <v>3705</v>
      </c>
      <c r="AA240" s="1">
        <v>3515</v>
      </c>
      <c r="AB240" s="1">
        <v>3715</v>
      </c>
      <c r="AC240" s="1">
        <v>3740</v>
      </c>
      <c r="AD240" s="1">
        <v>3700</v>
      </c>
      <c r="AE240" s="1">
        <v>3705</v>
      </c>
      <c r="AF240" s="1">
        <v>3750</v>
      </c>
      <c r="AG240" s="1">
        <v>3765</v>
      </c>
      <c r="AH240" s="1">
        <v>3715</v>
      </c>
      <c r="AI240" s="1">
        <v>3915</v>
      </c>
      <c r="AJ240" s="1">
        <v>3925</v>
      </c>
      <c r="AK240" s="1">
        <v>3860</v>
      </c>
      <c r="AL240" s="1">
        <v>3775</v>
      </c>
      <c r="AM240" s="1">
        <v>3525</v>
      </c>
      <c r="AN240" s="1">
        <v>3630</v>
      </c>
      <c r="AO240" s="1">
        <v>3605</v>
      </c>
      <c r="AP240" s="1">
        <v>3490</v>
      </c>
      <c r="AQ240" s="1">
        <v>3350</v>
      </c>
      <c r="AR240" s="1">
        <v>3525</v>
      </c>
      <c r="AS240" s="1">
        <v>3565</v>
      </c>
      <c r="AT240" s="1">
        <v>3735</v>
      </c>
      <c r="AU240" s="1">
        <v>3635</v>
      </c>
      <c r="AV240" s="1">
        <v>3640</v>
      </c>
      <c r="AW240" s="1">
        <v>3495</v>
      </c>
      <c r="AX240" s="1">
        <v>3610</v>
      </c>
      <c r="AY240" s="1">
        <v>3480</v>
      </c>
      <c r="AZ240" s="1">
        <v>3665</v>
      </c>
      <c r="BA240" s="1">
        <v>3620</v>
      </c>
      <c r="BB240" s="1">
        <v>3600</v>
      </c>
      <c r="BC240" s="1">
        <v>3540</v>
      </c>
      <c r="BD240" s="1">
        <v>3535</v>
      </c>
      <c r="BE240" s="1">
        <v>3875</v>
      </c>
      <c r="BF240" s="1">
        <v>3840</v>
      </c>
      <c r="BG240" s="1">
        <v>4000</v>
      </c>
      <c r="BH240" s="1">
        <v>3920</v>
      </c>
      <c r="BI240" s="1">
        <v>3850</v>
      </c>
      <c r="BJ240" s="1">
        <v>3935</v>
      </c>
      <c r="BK240" s="1">
        <v>3905</v>
      </c>
      <c r="BL240" s="1">
        <v>3850</v>
      </c>
      <c r="BM240" s="1">
        <v>3290</v>
      </c>
      <c r="BN240" s="1">
        <v>2944</v>
      </c>
      <c r="BO240" s="1">
        <v>2870</v>
      </c>
      <c r="BP240" s="1">
        <v>2895</v>
      </c>
      <c r="BQ240" s="1">
        <v>2891</v>
      </c>
      <c r="BR240" s="1">
        <v>2906</v>
      </c>
      <c r="BS240" s="1">
        <v>2827</v>
      </c>
      <c r="BT240" s="1">
        <v>2881</v>
      </c>
      <c r="BU240" s="1">
        <v>2877</v>
      </c>
      <c r="BV240" s="1">
        <v>2861</v>
      </c>
      <c r="BW240" s="1">
        <v>2957</v>
      </c>
      <c r="BX240" s="1">
        <v>2885</v>
      </c>
      <c r="BY240" s="1">
        <v>2969</v>
      </c>
      <c r="BZ240" s="1">
        <v>2832</v>
      </c>
    </row>
    <row r="241" spans="1:254">
      <c r="A241" s="74" t="s">
        <v>454</v>
      </c>
      <c r="B241" s="1" t="str">
        <f>銘柄管理!C241</f>
        <v>イトーキ</v>
      </c>
      <c r="C241" s="541">
        <f>_xll.RssMarket("7972","始値")</f>
        <v>2886</v>
      </c>
      <c r="E241" s="547">
        <v>2886</v>
      </c>
      <c r="F241" s="1">
        <v>2897</v>
      </c>
      <c r="G241" s="1">
        <v>2905</v>
      </c>
      <c r="H241" s="1">
        <v>2924</v>
      </c>
      <c r="I241" s="1">
        <v>2916</v>
      </c>
      <c r="J241" s="1">
        <v>2881</v>
      </c>
      <c r="K241" s="1">
        <v>2940</v>
      </c>
      <c r="L241" s="1">
        <v>2954</v>
      </c>
      <c r="M241" s="1">
        <v>2912</v>
      </c>
      <c r="N241" s="1">
        <v>2820</v>
      </c>
      <c r="O241" s="1">
        <v>2823</v>
      </c>
      <c r="P241" s="1">
        <v>2858</v>
      </c>
      <c r="Q241" s="1">
        <v>2670</v>
      </c>
      <c r="R241" s="1">
        <v>2810</v>
      </c>
      <c r="S241" s="1">
        <v>2870</v>
      </c>
      <c r="T241" s="1">
        <v>2778</v>
      </c>
      <c r="U241" s="1">
        <v>2820</v>
      </c>
      <c r="V241" s="1">
        <v>2860</v>
      </c>
      <c r="W241" s="1">
        <v>2830</v>
      </c>
      <c r="X241" s="1">
        <v>2875</v>
      </c>
      <c r="Y241" s="1">
        <v>2840</v>
      </c>
      <c r="Z241" s="1">
        <v>2772</v>
      </c>
      <c r="AA241" s="1">
        <v>2690</v>
      </c>
      <c r="AB241" s="1">
        <v>2642</v>
      </c>
      <c r="AC241" s="1">
        <v>2643</v>
      </c>
      <c r="AD241" s="1">
        <v>2675</v>
      </c>
      <c r="AE241" s="1">
        <v>2640</v>
      </c>
      <c r="AF241" s="1">
        <v>2621</v>
      </c>
      <c r="AG241" s="1">
        <v>2588</v>
      </c>
      <c r="AH241" s="1">
        <v>2525</v>
      </c>
      <c r="AI241" s="1">
        <v>2584</v>
      </c>
      <c r="AJ241" s="1">
        <v>2499</v>
      </c>
      <c r="AK241" s="1">
        <v>2486</v>
      </c>
      <c r="AL241" s="1">
        <v>2438</v>
      </c>
      <c r="AM241" s="1">
        <v>2455</v>
      </c>
      <c r="AN241" s="1">
        <v>2446</v>
      </c>
      <c r="AO241" s="1">
        <v>2480</v>
      </c>
      <c r="AP241" s="1">
        <v>2416</v>
      </c>
      <c r="AQ241" s="1">
        <v>2396</v>
      </c>
      <c r="AR241" s="1">
        <v>2403</v>
      </c>
      <c r="AS241" s="1">
        <v>2381</v>
      </c>
      <c r="AT241" s="1">
        <v>2411</v>
      </c>
      <c r="AU241" s="1">
        <v>2396</v>
      </c>
      <c r="AV241" s="1">
        <v>2405</v>
      </c>
      <c r="AW241" s="1">
        <v>2480</v>
      </c>
      <c r="AX241" s="1">
        <v>2619</v>
      </c>
      <c r="AY241" s="1">
        <v>2699</v>
      </c>
      <c r="AZ241" s="1">
        <v>2700</v>
      </c>
      <c r="BA241" s="1">
        <v>2624</v>
      </c>
      <c r="BB241" s="1">
        <v>2611</v>
      </c>
      <c r="BC241" s="1">
        <v>2699</v>
      </c>
      <c r="BD241" s="1">
        <v>2718</v>
      </c>
      <c r="BE241" s="1">
        <v>2737</v>
      </c>
      <c r="BF241" s="1">
        <v>2722</v>
      </c>
      <c r="BG241" s="1">
        <v>2789</v>
      </c>
      <c r="BH241" s="1">
        <v>2805</v>
      </c>
      <c r="BI241" s="1">
        <v>2799</v>
      </c>
      <c r="BJ241" s="1">
        <v>2799</v>
      </c>
      <c r="BK241" s="1">
        <v>2894</v>
      </c>
      <c r="BL241" s="1">
        <v>2920</v>
      </c>
      <c r="BM241" s="1">
        <v>3225</v>
      </c>
      <c r="BN241" s="1">
        <v>3145</v>
      </c>
      <c r="BO241" s="1">
        <v>3220</v>
      </c>
      <c r="BP241" s="1">
        <v>3215</v>
      </c>
      <c r="BQ241" s="1">
        <v>3175</v>
      </c>
      <c r="BR241" s="1">
        <v>3195</v>
      </c>
      <c r="BS241" s="1">
        <v>3210</v>
      </c>
      <c r="BT241" s="1">
        <v>3295</v>
      </c>
      <c r="BU241" s="1">
        <v>3325</v>
      </c>
      <c r="BV241" s="1">
        <v>3315</v>
      </c>
      <c r="BW241" s="1">
        <v>3335</v>
      </c>
      <c r="BX241" s="1">
        <v>3365</v>
      </c>
      <c r="BY241" s="1">
        <v>3590</v>
      </c>
      <c r="BZ241" s="1">
        <v>3600</v>
      </c>
    </row>
    <row r="242" spans="1:254">
      <c r="A242" s="74" t="s">
        <v>455</v>
      </c>
      <c r="B242" s="1" t="str">
        <f>銘柄管理!C242</f>
        <v>オキサイド</v>
      </c>
      <c r="C242" s="541">
        <f>_xll.RssMarket("6521","始値")</f>
        <v>3195</v>
      </c>
      <c r="E242" s="547">
        <v>3195</v>
      </c>
      <c r="F242" s="1">
        <v>3150</v>
      </c>
      <c r="G242" s="1">
        <v>2932</v>
      </c>
      <c r="H242" s="1">
        <v>2803</v>
      </c>
      <c r="I242" s="1">
        <v>2957</v>
      </c>
      <c r="J242" s="1">
        <v>2697</v>
      </c>
      <c r="K242" s="1">
        <v>2930</v>
      </c>
      <c r="L242" s="1">
        <v>3110</v>
      </c>
      <c r="M242" s="1">
        <v>3240</v>
      </c>
      <c r="N242" s="1">
        <v>3360</v>
      </c>
      <c r="O242" s="1">
        <v>3385</v>
      </c>
      <c r="P242" s="1">
        <v>3490</v>
      </c>
      <c r="Q242" s="1">
        <v>3400</v>
      </c>
      <c r="R242" s="1">
        <v>3550</v>
      </c>
      <c r="S242" s="1">
        <v>3850</v>
      </c>
      <c r="T242" s="1">
        <v>4175</v>
      </c>
      <c r="U242" s="1">
        <v>4300</v>
      </c>
      <c r="V242" s="1">
        <v>4330</v>
      </c>
      <c r="W242" s="1">
        <v>4140</v>
      </c>
      <c r="X242" s="1">
        <v>4080</v>
      </c>
      <c r="Y242" s="1">
        <v>4420</v>
      </c>
      <c r="Z242" s="1">
        <v>4540</v>
      </c>
      <c r="AA242" s="1">
        <v>4415</v>
      </c>
      <c r="AB242" s="1">
        <v>4530</v>
      </c>
      <c r="AC242" s="1">
        <v>4835</v>
      </c>
      <c r="AD242" s="1">
        <v>4700</v>
      </c>
      <c r="AE242" s="1">
        <v>4790</v>
      </c>
      <c r="AF242" s="1">
        <v>4870</v>
      </c>
      <c r="AG242" s="1">
        <v>5230</v>
      </c>
      <c r="AH242" s="1">
        <v>4840</v>
      </c>
      <c r="AI242" s="1">
        <v>5240</v>
      </c>
      <c r="AJ242" s="1">
        <v>5000</v>
      </c>
      <c r="AK242" s="1">
        <v>4845</v>
      </c>
      <c r="AL242" s="1">
        <v>4790</v>
      </c>
      <c r="AM242" s="1">
        <v>4555</v>
      </c>
      <c r="AN242" s="1">
        <v>4505</v>
      </c>
      <c r="AO242" s="1">
        <v>4600</v>
      </c>
      <c r="AP242" s="1">
        <v>4570</v>
      </c>
      <c r="AQ242" s="1">
        <v>4360</v>
      </c>
      <c r="AR242" s="1">
        <v>4695</v>
      </c>
      <c r="AS242" s="1">
        <v>4720</v>
      </c>
      <c r="AT242" s="1">
        <v>4870</v>
      </c>
      <c r="AU242" s="1">
        <v>5000</v>
      </c>
      <c r="AV242" s="1">
        <v>5260</v>
      </c>
      <c r="AW242" s="1">
        <v>5230</v>
      </c>
      <c r="AX242" s="1">
        <v>5940</v>
      </c>
      <c r="AY242" s="1">
        <v>5620</v>
      </c>
      <c r="AZ242" s="1">
        <v>5900</v>
      </c>
      <c r="BA242" s="1">
        <v>6450</v>
      </c>
      <c r="BB242" s="1">
        <v>5790</v>
      </c>
      <c r="BC242" s="1">
        <v>5940</v>
      </c>
      <c r="BD242" s="1">
        <v>5850</v>
      </c>
      <c r="BE242" s="1">
        <v>6710</v>
      </c>
      <c r="BF242" s="1">
        <v>6330</v>
      </c>
      <c r="BG242" s="1">
        <v>6500</v>
      </c>
      <c r="BH242" s="1">
        <v>6320</v>
      </c>
      <c r="BI242" s="1">
        <v>6050</v>
      </c>
      <c r="BJ242" s="1">
        <v>6540</v>
      </c>
      <c r="BK242" s="1">
        <v>6710</v>
      </c>
      <c r="BL242" s="1">
        <v>5150</v>
      </c>
      <c r="BM242" s="1">
        <v>4800</v>
      </c>
      <c r="BN242" s="1">
        <v>4580</v>
      </c>
      <c r="BO242" s="1">
        <v>4750</v>
      </c>
      <c r="BP242" s="1">
        <v>4600</v>
      </c>
      <c r="BQ242" s="1">
        <v>4710</v>
      </c>
      <c r="BR242" s="1">
        <v>4670</v>
      </c>
      <c r="BS242" s="1">
        <v>4895</v>
      </c>
      <c r="BT242" s="1">
        <v>5140</v>
      </c>
      <c r="BU242" s="1">
        <v>4595</v>
      </c>
      <c r="BV242" s="1">
        <v>4120</v>
      </c>
      <c r="BW242" s="1">
        <v>4485</v>
      </c>
      <c r="BX242" s="1">
        <v>4350</v>
      </c>
      <c r="BY242" s="1">
        <v>4990</v>
      </c>
      <c r="BZ242" s="1">
        <v>5150</v>
      </c>
    </row>
    <row r="243" spans="1:254">
      <c r="A243" s="74" t="s">
        <v>456</v>
      </c>
      <c r="B243" s="1" t="str">
        <f>銘柄管理!C243</f>
        <v>クオルテック</v>
      </c>
      <c r="C243" s="541">
        <f>_xll.RssMarket("9165","始値")</f>
        <v>1772</v>
      </c>
      <c r="E243" s="547">
        <v>1772</v>
      </c>
      <c r="F243" s="1">
        <v>1750</v>
      </c>
      <c r="G243" s="1">
        <v>1696</v>
      </c>
      <c r="H243" s="1">
        <v>1715</v>
      </c>
      <c r="I243" s="1">
        <v>1741</v>
      </c>
      <c r="J243" s="1">
        <v>1690</v>
      </c>
      <c r="K243" s="1">
        <v>1688</v>
      </c>
      <c r="L243" s="1">
        <v>1715</v>
      </c>
      <c r="M243" s="1">
        <v>1695</v>
      </c>
      <c r="N243" s="1">
        <v>1710</v>
      </c>
      <c r="O243" s="1">
        <v>1711</v>
      </c>
      <c r="P243" s="1">
        <v>1715</v>
      </c>
      <c r="Q243" s="1">
        <v>1695</v>
      </c>
      <c r="R243" s="1">
        <v>1700</v>
      </c>
      <c r="S243" s="1">
        <v>1745</v>
      </c>
      <c r="T243" s="1">
        <v>1747</v>
      </c>
      <c r="U243" s="1">
        <v>1753</v>
      </c>
      <c r="V243" s="1">
        <v>1775</v>
      </c>
      <c r="W243" s="1">
        <v>1745</v>
      </c>
      <c r="X243" s="1">
        <v>1729</v>
      </c>
      <c r="Y243" s="1">
        <v>1753</v>
      </c>
      <c r="Z243" s="1">
        <v>1777</v>
      </c>
      <c r="AA243" s="1">
        <v>1734</v>
      </c>
      <c r="AB243" s="1">
        <v>1761</v>
      </c>
      <c r="AC243" s="1">
        <v>1735</v>
      </c>
      <c r="AD243" s="1">
        <v>1706</v>
      </c>
      <c r="AE243" s="1">
        <v>1730</v>
      </c>
      <c r="AF243" s="1">
        <v>1750</v>
      </c>
      <c r="AG243" s="1">
        <v>1742</v>
      </c>
      <c r="AH243" s="1">
        <v>1761</v>
      </c>
      <c r="AI243" s="1">
        <v>1819</v>
      </c>
      <c r="AJ243" s="1">
        <v>1724</v>
      </c>
      <c r="AK243" s="1">
        <v>1746</v>
      </c>
      <c r="AL243" s="1">
        <v>1692</v>
      </c>
      <c r="AM243" s="1">
        <v>1686</v>
      </c>
      <c r="AN243" s="1">
        <v>1711</v>
      </c>
      <c r="AO243" s="1">
        <v>1718</v>
      </c>
      <c r="AP243" s="1">
        <v>1701</v>
      </c>
      <c r="AQ243" s="1">
        <v>1667</v>
      </c>
      <c r="AR243" s="1">
        <v>1714</v>
      </c>
      <c r="AS243" s="1">
        <v>1761</v>
      </c>
      <c r="AT243" s="1">
        <v>1801</v>
      </c>
      <c r="AU243" s="1">
        <v>1808</v>
      </c>
      <c r="AV243" s="1">
        <v>1781</v>
      </c>
      <c r="AW243" s="1">
        <v>1815</v>
      </c>
      <c r="AX243" s="1">
        <v>1872</v>
      </c>
      <c r="AY243" s="1">
        <v>1928</v>
      </c>
      <c r="AZ243" s="1">
        <v>2067</v>
      </c>
      <c r="BA243" s="1">
        <v>2350</v>
      </c>
      <c r="BB243" s="1">
        <v>1790</v>
      </c>
      <c r="BC243" s="1">
        <v>1825</v>
      </c>
      <c r="BD243" s="1">
        <v>1850</v>
      </c>
      <c r="BE243" s="1">
        <v>1850</v>
      </c>
      <c r="BF243" s="1">
        <v>1712</v>
      </c>
      <c r="BG243" s="1">
        <v>1736</v>
      </c>
      <c r="BH243" s="1">
        <v>1784</v>
      </c>
      <c r="BI243" s="1">
        <v>1725</v>
      </c>
      <c r="BJ243" s="1">
        <v>1850</v>
      </c>
      <c r="BK243" s="1">
        <v>1840</v>
      </c>
      <c r="BL243" s="1">
        <v>1680</v>
      </c>
      <c r="BM243" s="1">
        <v>1476</v>
      </c>
      <c r="BN243" s="1">
        <v>1471</v>
      </c>
      <c r="BO243" s="1">
        <v>1479</v>
      </c>
      <c r="BP243" s="1">
        <v>1460</v>
      </c>
      <c r="BQ243" s="1">
        <v>1480</v>
      </c>
      <c r="BR243" s="1">
        <v>1468</v>
      </c>
      <c r="BS243" s="1">
        <v>1467</v>
      </c>
      <c r="BT243" s="1">
        <v>1470</v>
      </c>
      <c r="BU243" s="1">
        <v>1450</v>
      </c>
      <c r="BV243" s="1">
        <v>1447</v>
      </c>
      <c r="BW243" s="1">
        <v>1464</v>
      </c>
      <c r="BX243" s="1">
        <v>1458</v>
      </c>
      <c r="BY243" s="1">
        <v>1456</v>
      </c>
      <c r="BZ243" s="1">
        <v>1445</v>
      </c>
    </row>
    <row r="244" spans="1:254">
      <c r="A244" s="74" t="s">
        <v>457</v>
      </c>
      <c r="B244" s="1" t="str">
        <f>銘柄管理!C244</f>
        <v>デンソー</v>
      </c>
      <c r="C244" s="541">
        <f>_xll.RssMarket("6902","始値")</f>
        <v>1902</v>
      </c>
      <c r="E244" s="547">
        <v>1902</v>
      </c>
      <c r="F244" s="1">
        <v>1897.5</v>
      </c>
      <c r="G244" s="1">
        <v>1921</v>
      </c>
      <c r="H244" s="1">
        <v>1968</v>
      </c>
      <c r="I244" s="1">
        <v>2100.5</v>
      </c>
      <c r="J244" s="1">
        <v>2205</v>
      </c>
      <c r="K244" s="1">
        <v>2120</v>
      </c>
      <c r="L244" s="1">
        <v>2060</v>
      </c>
      <c r="M244" s="1">
        <v>2000</v>
      </c>
      <c r="N244" s="1">
        <v>1972</v>
      </c>
      <c r="O244" s="1">
        <v>1985.5</v>
      </c>
      <c r="P244" s="1">
        <v>1992.5</v>
      </c>
      <c r="Q244" s="1">
        <v>1980.5</v>
      </c>
      <c r="R244" s="1">
        <v>1971</v>
      </c>
      <c r="S244" s="1">
        <v>1957</v>
      </c>
      <c r="T244" s="1">
        <v>1941</v>
      </c>
      <c r="U244" s="1">
        <v>1937</v>
      </c>
      <c r="V244" s="1">
        <v>1958.5</v>
      </c>
      <c r="W244" s="1">
        <v>1925</v>
      </c>
      <c r="X244" s="1">
        <v>1970</v>
      </c>
      <c r="Y244" s="1">
        <v>2016</v>
      </c>
      <c r="Z244" s="1">
        <v>1980</v>
      </c>
      <c r="AA244" s="1">
        <v>1969</v>
      </c>
      <c r="AB244" s="1">
        <v>1898</v>
      </c>
      <c r="AC244" s="1">
        <v>1878</v>
      </c>
      <c r="AD244" s="1">
        <v>1896</v>
      </c>
      <c r="AE244" s="1">
        <v>1892</v>
      </c>
      <c r="AF244" s="1">
        <v>1879.5</v>
      </c>
      <c r="AG244" s="1">
        <v>1890</v>
      </c>
      <c r="AH244" s="1">
        <v>1885</v>
      </c>
      <c r="AI244" s="1">
        <v>1888</v>
      </c>
      <c r="AJ244" s="1">
        <v>1888</v>
      </c>
      <c r="AK244" s="1">
        <v>1930</v>
      </c>
      <c r="AL244" s="1">
        <v>1917</v>
      </c>
      <c r="AM244" s="1">
        <v>1920</v>
      </c>
      <c r="AN244" s="1">
        <v>1886.5</v>
      </c>
      <c r="AO244" s="1">
        <v>1886</v>
      </c>
      <c r="AP244" s="1">
        <v>1851</v>
      </c>
      <c r="AQ244" s="1">
        <v>1824</v>
      </c>
      <c r="AR244" s="1">
        <v>1920</v>
      </c>
      <c r="AS244" s="1">
        <v>1880</v>
      </c>
      <c r="AT244" s="1">
        <v>1907</v>
      </c>
      <c r="AU244" s="1">
        <v>1904.5</v>
      </c>
      <c r="AV244" s="1">
        <v>1874.5</v>
      </c>
      <c r="AW244" s="1">
        <v>1853</v>
      </c>
      <c r="AX244" s="1">
        <v>1870</v>
      </c>
      <c r="AY244" s="1">
        <v>1889</v>
      </c>
      <c r="AZ244" s="1">
        <v>1860</v>
      </c>
      <c r="BA244" s="1">
        <v>1850</v>
      </c>
      <c r="BB244" s="1">
        <v>1850</v>
      </c>
      <c r="BC244" s="1">
        <v>1860</v>
      </c>
      <c r="BD244" s="1">
        <v>1865</v>
      </c>
      <c r="BE244" s="1">
        <v>1866</v>
      </c>
      <c r="BF244" s="1">
        <v>1900</v>
      </c>
      <c r="BG244" s="1">
        <v>1885.5</v>
      </c>
      <c r="BH244" s="1">
        <v>1850</v>
      </c>
      <c r="BI244" s="1">
        <v>1872</v>
      </c>
      <c r="BJ244" s="1">
        <v>1871</v>
      </c>
      <c r="BK244" s="1">
        <v>1888</v>
      </c>
      <c r="BL244" s="1">
        <v>1945</v>
      </c>
      <c r="BM244" s="1">
        <v>1895</v>
      </c>
      <c r="BN244" s="1">
        <v>1850</v>
      </c>
      <c r="BO244" s="1">
        <v>1843</v>
      </c>
      <c r="BP244" s="1">
        <v>1914</v>
      </c>
      <c r="BQ244" s="1">
        <v>1895.5</v>
      </c>
      <c r="BR244" s="1">
        <v>1890</v>
      </c>
      <c r="BS244" s="1">
        <v>1916.5</v>
      </c>
      <c r="BT244" s="1">
        <v>1933</v>
      </c>
      <c r="BU244" s="1">
        <v>1970</v>
      </c>
      <c r="BV244" s="1">
        <v>1953</v>
      </c>
      <c r="BW244" s="1">
        <v>1931</v>
      </c>
      <c r="BX244" s="1">
        <v>1924</v>
      </c>
      <c r="BY244" s="1">
        <v>1938</v>
      </c>
      <c r="BZ244" s="1">
        <v>1930</v>
      </c>
    </row>
    <row r="245" spans="1:254">
      <c r="A245" s="74" t="s">
        <v>458</v>
      </c>
      <c r="B245" s="1" t="str">
        <f>銘柄管理!C245</f>
        <v>グローバルウェイ</v>
      </c>
      <c r="C245" s="541">
        <f>_xll.RssMarket("3936","始値")</f>
        <v>158</v>
      </c>
      <c r="E245" s="547">
        <v>158</v>
      </c>
      <c r="F245" s="1">
        <v>160</v>
      </c>
    </row>
    <row r="246" spans="1:254">
      <c r="A246" s="74" t="s">
        <v>459</v>
      </c>
      <c r="B246" s="1" t="str">
        <f>銘柄管理!C246</f>
        <v>エノモト</v>
      </c>
      <c r="C246" s="541">
        <f>_xll.RssMarket("6928","始値")</f>
        <v>2645</v>
      </c>
      <c r="E246" s="547">
        <v>2645</v>
      </c>
      <c r="F246" s="1">
        <v>2575</v>
      </c>
      <c r="G246" s="1">
        <v>2435</v>
      </c>
      <c r="H246" s="1">
        <v>2334</v>
      </c>
      <c r="I246" s="1">
        <v>2377</v>
      </c>
      <c r="J246" s="1">
        <v>2179</v>
      </c>
      <c r="K246" s="1">
        <v>2365</v>
      </c>
      <c r="L246" s="1">
        <v>2514</v>
      </c>
      <c r="M246" s="1">
        <v>2571</v>
      </c>
      <c r="N246" s="1">
        <v>2598</v>
      </c>
      <c r="O246" s="1">
        <v>2640</v>
      </c>
      <c r="P246" s="1">
        <v>2625</v>
      </c>
      <c r="Q246" s="1">
        <v>2618</v>
      </c>
      <c r="R246" s="1">
        <v>2735</v>
      </c>
      <c r="S246" s="1">
        <v>2870</v>
      </c>
      <c r="T246" s="1">
        <v>2870</v>
      </c>
      <c r="U246" s="1">
        <v>2891</v>
      </c>
      <c r="V246" s="1">
        <v>2838</v>
      </c>
      <c r="W246" s="1">
        <v>2760</v>
      </c>
      <c r="X246" s="1">
        <v>2780</v>
      </c>
      <c r="Y246" s="1">
        <v>2900</v>
      </c>
      <c r="Z246" s="1">
        <v>2911</v>
      </c>
      <c r="AA246" s="1">
        <v>2895</v>
      </c>
      <c r="AB246" s="1">
        <v>3000</v>
      </c>
      <c r="AC246" s="1">
        <v>3090</v>
      </c>
      <c r="AD246" s="1">
        <v>3135</v>
      </c>
      <c r="AE246" s="1">
        <v>3165</v>
      </c>
      <c r="AF246" s="1">
        <v>3325</v>
      </c>
      <c r="AG246" s="1">
        <v>3445</v>
      </c>
      <c r="AH246" s="1">
        <v>3355</v>
      </c>
      <c r="AI246" s="1">
        <v>3520</v>
      </c>
      <c r="AJ246" s="1">
        <v>3535</v>
      </c>
      <c r="AK246" s="1">
        <v>3550</v>
      </c>
      <c r="AL246" s="1">
        <v>3365</v>
      </c>
      <c r="AM246" s="1">
        <v>3275</v>
      </c>
      <c r="AN246" s="1">
        <v>3385</v>
      </c>
      <c r="AO246" s="1">
        <v>3230</v>
      </c>
      <c r="AP246" s="1">
        <v>3385</v>
      </c>
      <c r="AQ246" s="1">
        <v>3355</v>
      </c>
      <c r="AR246" s="1">
        <v>3500</v>
      </c>
      <c r="AS246" s="1">
        <v>3495</v>
      </c>
      <c r="AT246" s="1">
        <v>3675</v>
      </c>
      <c r="AU246" s="1">
        <v>3700</v>
      </c>
      <c r="AV246" s="1">
        <v>3715</v>
      </c>
      <c r="AW246" s="1">
        <v>3880</v>
      </c>
      <c r="AX246" s="1">
        <v>3795</v>
      </c>
      <c r="AY246" s="1">
        <v>3510</v>
      </c>
      <c r="AZ246" s="1">
        <v>3745</v>
      </c>
      <c r="BA246" s="1">
        <v>3650</v>
      </c>
      <c r="BB246" s="1">
        <v>3500</v>
      </c>
      <c r="BC246" s="1">
        <v>3570</v>
      </c>
      <c r="BD246" s="1">
        <v>3475</v>
      </c>
      <c r="BE246" s="1">
        <v>3560</v>
      </c>
      <c r="BF246" s="1">
        <v>3470</v>
      </c>
      <c r="BG246" s="1">
        <v>3505</v>
      </c>
      <c r="BH246" s="1">
        <v>3530</v>
      </c>
      <c r="BI246" s="1">
        <v>3415</v>
      </c>
      <c r="BJ246" s="1">
        <v>3480</v>
      </c>
      <c r="BK246" s="1">
        <v>3760</v>
      </c>
      <c r="BL246" s="1">
        <v>3530</v>
      </c>
      <c r="BM246" s="1">
        <v>3580</v>
      </c>
      <c r="BN246" s="1">
        <v>3295</v>
      </c>
      <c r="BO246" s="1">
        <v>3150</v>
      </c>
      <c r="BP246" s="1">
        <v>3165</v>
      </c>
      <c r="BQ246" s="1">
        <v>3165</v>
      </c>
      <c r="BR246" s="1">
        <v>3165</v>
      </c>
      <c r="BS246" s="1">
        <v>3185</v>
      </c>
      <c r="BT246" s="1">
        <v>3185</v>
      </c>
      <c r="BU246" s="1">
        <v>3230</v>
      </c>
      <c r="BV246" s="1">
        <v>3270</v>
      </c>
      <c r="BW246" s="1">
        <v>3335</v>
      </c>
      <c r="BX246" s="1">
        <v>3290</v>
      </c>
      <c r="BY246" s="1">
        <v>3255</v>
      </c>
      <c r="BZ246" s="1">
        <v>3220</v>
      </c>
    </row>
    <row r="247" spans="1:254">
      <c r="A247" s="74" t="s">
        <v>460</v>
      </c>
      <c r="B247" s="1" t="str">
        <f>銘柄管理!C247</f>
        <v>三菱製鋼</v>
      </c>
      <c r="C247" s="541">
        <f>_xll.RssMarket("5632","始値")</f>
        <v>2268</v>
      </c>
      <c r="E247" s="547">
        <v>2268</v>
      </c>
      <c r="F247" s="1">
        <v>2206</v>
      </c>
      <c r="G247" s="1">
        <v>2148</v>
      </c>
      <c r="H247" s="1">
        <v>2157</v>
      </c>
      <c r="I247" s="1">
        <v>2157</v>
      </c>
      <c r="J247" s="1">
        <v>2105</v>
      </c>
      <c r="K247" s="1">
        <v>2135</v>
      </c>
      <c r="L247" s="1">
        <v>2198</v>
      </c>
      <c r="M247" s="1">
        <v>2197</v>
      </c>
      <c r="O247" s="1">
        <v>2165</v>
      </c>
      <c r="P247" s="1">
        <v>2157</v>
      </c>
      <c r="Q247" s="1">
        <v>2102</v>
      </c>
      <c r="R247" s="1">
        <v>2145</v>
      </c>
      <c r="S247" s="1">
        <v>2170</v>
      </c>
      <c r="T247" s="1">
        <v>2109</v>
      </c>
      <c r="U247" s="1">
        <v>2137</v>
      </c>
      <c r="V247" s="1">
        <v>2114</v>
      </c>
      <c r="W247" s="1">
        <v>2122</v>
      </c>
      <c r="X247" s="1">
        <v>2158</v>
      </c>
      <c r="Y247" s="1">
        <v>2208</v>
      </c>
      <c r="Z247" s="1">
        <v>2211</v>
      </c>
      <c r="AA247" s="1">
        <v>2169</v>
      </c>
      <c r="AB247" s="1">
        <v>2117</v>
      </c>
      <c r="AC247" s="1">
        <v>2152</v>
      </c>
      <c r="AD247" s="1">
        <v>2180</v>
      </c>
      <c r="AE247" s="1">
        <v>2200</v>
      </c>
      <c r="AF247" s="1">
        <v>2228</v>
      </c>
      <c r="AG247" s="1">
        <v>2250</v>
      </c>
      <c r="AH247" s="1">
        <v>2258</v>
      </c>
      <c r="AI247" s="1">
        <v>2430</v>
      </c>
      <c r="AJ247" s="1">
        <v>2333</v>
      </c>
      <c r="AK247" s="1">
        <v>2301</v>
      </c>
      <c r="AL247" s="1">
        <v>2169</v>
      </c>
      <c r="AM247" s="1">
        <v>2162</v>
      </c>
      <c r="AN247" s="1">
        <v>2200</v>
      </c>
      <c r="AO247" s="1">
        <v>2175</v>
      </c>
      <c r="AP247" s="1">
        <v>2133</v>
      </c>
      <c r="AQ247" s="1">
        <v>2100</v>
      </c>
      <c r="AR247" s="1">
        <v>2089</v>
      </c>
      <c r="AS247" s="1">
        <v>2100</v>
      </c>
      <c r="AT247" s="1">
        <v>2120</v>
      </c>
      <c r="AU247" s="1">
        <v>2060</v>
      </c>
      <c r="AV247" s="1">
        <v>2099</v>
      </c>
      <c r="AW247" s="1">
        <v>2088</v>
      </c>
      <c r="AX247" s="1">
        <v>2128</v>
      </c>
      <c r="AY247" s="1">
        <v>2122</v>
      </c>
      <c r="AZ247" s="1">
        <v>2115</v>
      </c>
      <c r="BA247" s="1">
        <v>2155</v>
      </c>
      <c r="BB247" s="1">
        <v>2110</v>
      </c>
      <c r="BC247" s="1">
        <v>2048</v>
      </c>
      <c r="BD247" s="1">
        <v>2061</v>
      </c>
      <c r="BE247" s="1">
        <v>2080</v>
      </c>
      <c r="BF247" s="1">
        <v>2145</v>
      </c>
      <c r="BG247" s="1">
        <v>2074</v>
      </c>
      <c r="BH247" s="1">
        <v>2020</v>
      </c>
      <c r="BI247" s="1">
        <v>1865</v>
      </c>
      <c r="BJ247" s="1">
        <v>1902</v>
      </c>
      <c r="BK247" s="1">
        <v>1840</v>
      </c>
      <c r="BL247" s="1">
        <v>1853</v>
      </c>
      <c r="BM247" s="1">
        <v>1838</v>
      </c>
      <c r="BN247" s="1">
        <v>1791</v>
      </c>
      <c r="BO247" s="1">
        <v>1805</v>
      </c>
      <c r="BP247" s="1">
        <v>1780</v>
      </c>
      <c r="BQ247" s="1">
        <v>1793</v>
      </c>
      <c r="BR247" s="1">
        <v>1804</v>
      </c>
      <c r="BS247" s="1">
        <v>1804</v>
      </c>
      <c r="BT247" s="1">
        <v>1833</v>
      </c>
      <c r="BU247" s="1">
        <v>1843</v>
      </c>
      <c r="BV247" s="1">
        <v>1841</v>
      </c>
      <c r="BW247" s="1">
        <v>1826</v>
      </c>
      <c r="BX247" s="1">
        <v>1828</v>
      </c>
      <c r="BY247" s="1">
        <v>1833</v>
      </c>
      <c r="BZ247" s="1">
        <v>1802</v>
      </c>
    </row>
    <row r="248" spans="1:254">
      <c r="A248" s="74" t="s">
        <v>461</v>
      </c>
      <c r="B248" s="1" t="str">
        <f>銘柄管理!C248</f>
        <v>リクルートホールディングス</v>
      </c>
      <c r="C248" s="541">
        <f>_xll.RssMarket("6098","始値")</f>
        <v>12555</v>
      </c>
      <c r="E248" s="547">
        <v>12555</v>
      </c>
      <c r="F248" s="1">
        <v>12640</v>
      </c>
      <c r="G248" s="1">
        <v>12535</v>
      </c>
      <c r="H248" s="1">
        <v>12490</v>
      </c>
      <c r="I248" s="1">
        <v>12575</v>
      </c>
      <c r="J248" s="1">
        <v>13140</v>
      </c>
      <c r="K248" s="1">
        <v>12850</v>
      </c>
      <c r="L248" s="1">
        <v>12510</v>
      </c>
      <c r="M248" s="1">
        <v>12335</v>
      </c>
      <c r="N248" s="1">
        <v>12055</v>
      </c>
      <c r="O248" s="1">
        <v>12275</v>
      </c>
      <c r="P248" s="1">
        <v>12500</v>
      </c>
      <c r="Q248" s="1">
        <v>12520</v>
      </c>
      <c r="R248" s="1">
        <v>12715</v>
      </c>
      <c r="S248" s="1">
        <v>12360</v>
      </c>
      <c r="T248" s="1">
        <v>12600</v>
      </c>
      <c r="U248" s="1">
        <v>12005</v>
      </c>
      <c r="V248" s="1">
        <v>12605</v>
      </c>
      <c r="W248" s="1">
        <v>12325</v>
      </c>
      <c r="X248" s="1">
        <v>12320</v>
      </c>
      <c r="Y248" s="1">
        <v>12000</v>
      </c>
      <c r="Z248" s="1">
        <v>11765</v>
      </c>
      <c r="AA248" s="1">
        <v>11885</v>
      </c>
      <c r="AB248" s="1">
        <v>11985</v>
      </c>
      <c r="AC248" s="1">
        <v>11630</v>
      </c>
      <c r="AD248" s="1">
        <v>11335</v>
      </c>
      <c r="AE248" s="1">
        <v>11310</v>
      </c>
      <c r="AF248" s="1">
        <v>11220</v>
      </c>
      <c r="AG248" s="1">
        <v>11335</v>
      </c>
      <c r="AH248" s="1">
        <v>11045</v>
      </c>
      <c r="AI248" s="1">
        <v>11300</v>
      </c>
      <c r="AJ248" s="1">
        <v>10820</v>
      </c>
      <c r="AK248" s="1">
        <v>11030</v>
      </c>
      <c r="AL248" s="1">
        <v>11300</v>
      </c>
      <c r="AM248" s="1">
        <v>10640</v>
      </c>
      <c r="AN248" s="1">
        <v>10560</v>
      </c>
      <c r="AO248" s="1">
        <v>10800</v>
      </c>
      <c r="AP248" s="1">
        <v>11140</v>
      </c>
      <c r="AQ248" s="1">
        <v>11080</v>
      </c>
      <c r="AR248" s="1">
        <v>11400</v>
      </c>
      <c r="AS248" s="1">
        <v>10775</v>
      </c>
      <c r="AT248" s="1">
        <v>10915</v>
      </c>
      <c r="AU248" s="1">
        <v>10620</v>
      </c>
      <c r="AV248" s="1">
        <v>10930</v>
      </c>
      <c r="AW248" s="1">
        <v>11105</v>
      </c>
      <c r="AX248" s="1">
        <v>10375</v>
      </c>
      <c r="AY248" s="1">
        <v>9951</v>
      </c>
      <c r="AZ248" s="1">
        <v>10075</v>
      </c>
      <c r="BA248" s="1">
        <v>9693</v>
      </c>
      <c r="BB248" s="1">
        <v>9414</v>
      </c>
      <c r="BC248" s="1">
        <v>9648</v>
      </c>
      <c r="BD248" s="1">
        <v>9990</v>
      </c>
      <c r="BE248" s="1">
        <v>9322</v>
      </c>
      <c r="BF248" s="1">
        <v>9025</v>
      </c>
      <c r="BG248" s="1">
        <v>7805</v>
      </c>
      <c r="BH248" s="1">
        <v>7680</v>
      </c>
      <c r="BI248" s="1">
        <v>7688</v>
      </c>
      <c r="BJ248" s="1">
        <v>7616</v>
      </c>
      <c r="BK248" s="1">
        <v>7822</v>
      </c>
      <c r="BL248" s="1">
        <v>7848</v>
      </c>
      <c r="BM248" s="1">
        <v>7570</v>
      </c>
      <c r="BN248" s="1">
        <v>7204</v>
      </c>
      <c r="BO248" s="1">
        <v>7164</v>
      </c>
      <c r="BP248" s="1">
        <v>7452</v>
      </c>
      <c r="BQ248" s="1">
        <v>7340</v>
      </c>
      <c r="BR248" s="1">
        <v>7380</v>
      </c>
      <c r="BS248" s="1">
        <v>7567</v>
      </c>
      <c r="BT248" s="1">
        <v>7853</v>
      </c>
      <c r="BU248" s="1">
        <v>7620</v>
      </c>
      <c r="BV248" s="1">
        <v>7524</v>
      </c>
      <c r="BW248" s="1">
        <v>7300</v>
      </c>
      <c r="BX248" s="1">
        <v>7327</v>
      </c>
      <c r="BY248" s="1">
        <v>6966</v>
      </c>
      <c r="BZ248" s="1">
        <v>7096</v>
      </c>
    </row>
    <row r="249" spans="1:254">
      <c r="A249" s="74" t="s">
        <v>462</v>
      </c>
      <c r="B249" s="1" t="str">
        <f>銘柄管理!C249</f>
        <v>荏原製作所</v>
      </c>
      <c r="C249" s="541">
        <f>_xll.RssMarket("6361","始値")</f>
        <v>5845</v>
      </c>
      <c r="E249" s="547">
        <v>5845</v>
      </c>
      <c r="F249" s="1">
        <v>5987</v>
      </c>
      <c r="G249" s="1">
        <v>5586</v>
      </c>
      <c r="H249" s="1">
        <v>5273</v>
      </c>
      <c r="I249" s="1">
        <v>5653</v>
      </c>
      <c r="J249" s="1">
        <v>4856</v>
      </c>
      <c r="K249" s="1">
        <v>5137</v>
      </c>
      <c r="L249" s="1">
        <v>5344</v>
      </c>
      <c r="M249" s="1">
        <v>5752</v>
      </c>
      <c r="N249" s="1">
        <v>5769</v>
      </c>
      <c r="O249" s="1">
        <v>5769</v>
      </c>
      <c r="P249" s="1">
        <v>5800</v>
      </c>
      <c r="Q249" s="1">
        <v>5385</v>
      </c>
      <c r="R249" s="1">
        <v>5650</v>
      </c>
      <c r="S249" s="1">
        <v>6181</v>
      </c>
      <c r="T249" s="1">
        <v>5772</v>
      </c>
      <c r="U249" s="1">
        <v>6080</v>
      </c>
      <c r="V249" s="1">
        <v>5995</v>
      </c>
      <c r="W249" s="1">
        <v>5871</v>
      </c>
      <c r="X249" s="1">
        <v>5741</v>
      </c>
      <c r="Y249" s="1">
        <v>6130</v>
      </c>
      <c r="Z249" s="1">
        <v>6163</v>
      </c>
      <c r="AA249" s="1">
        <v>5800</v>
      </c>
      <c r="AB249" s="1">
        <v>6100</v>
      </c>
      <c r="AC249" s="1">
        <v>6266</v>
      </c>
      <c r="AD249" s="1">
        <v>6264</v>
      </c>
      <c r="AE249" s="1">
        <v>6155</v>
      </c>
      <c r="AF249" s="1">
        <v>6410</v>
      </c>
      <c r="AG249" s="1">
        <v>6379</v>
      </c>
      <c r="AH249" s="1">
        <v>6302</v>
      </c>
      <c r="AI249" s="1">
        <v>6711</v>
      </c>
      <c r="AJ249" s="1">
        <v>6565</v>
      </c>
      <c r="AK249" s="1">
        <v>6825</v>
      </c>
      <c r="AL249" s="1">
        <v>6578</v>
      </c>
      <c r="AM249" s="1">
        <v>6093</v>
      </c>
      <c r="AN249" s="1">
        <v>6284</v>
      </c>
      <c r="AO249" s="1">
        <v>5765</v>
      </c>
      <c r="AP249" s="1">
        <v>5476</v>
      </c>
      <c r="AQ249" s="1">
        <v>5065</v>
      </c>
      <c r="AR249" s="1">
        <v>5283</v>
      </c>
      <c r="AS249" s="1">
        <v>4982</v>
      </c>
      <c r="AT249" s="1">
        <v>5471</v>
      </c>
      <c r="AU249" s="1">
        <v>5555</v>
      </c>
      <c r="AV249" s="1">
        <v>5279</v>
      </c>
      <c r="AW249" s="1">
        <v>5698</v>
      </c>
      <c r="AX249" s="1">
        <v>5599</v>
      </c>
      <c r="AY249" s="1">
        <v>5572</v>
      </c>
      <c r="AZ249" s="1">
        <v>5742</v>
      </c>
      <c r="BA249" s="1">
        <v>5697</v>
      </c>
      <c r="BB249" s="1">
        <v>5393</v>
      </c>
      <c r="BC249" s="1">
        <v>5100</v>
      </c>
      <c r="BD249" s="1">
        <v>4980</v>
      </c>
      <c r="BE249" s="1">
        <v>5398</v>
      </c>
      <c r="BF249" s="1">
        <v>5533</v>
      </c>
      <c r="BG249" s="1">
        <v>5819</v>
      </c>
      <c r="BH249" s="1">
        <v>5797</v>
      </c>
      <c r="BI249" s="1">
        <v>5666</v>
      </c>
      <c r="BJ249" s="1">
        <v>5945</v>
      </c>
      <c r="BK249" s="1">
        <v>5800</v>
      </c>
      <c r="BL249" s="1">
        <v>5749</v>
      </c>
      <c r="BM249" s="1">
        <v>5742</v>
      </c>
      <c r="BN249" s="1">
        <v>5343</v>
      </c>
      <c r="BO249" s="1">
        <v>5523</v>
      </c>
      <c r="BP249" s="1">
        <v>5515</v>
      </c>
      <c r="BQ249" s="1">
        <v>5370</v>
      </c>
      <c r="BR249" s="1">
        <v>5461</v>
      </c>
      <c r="BS249" s="1">
        <v>5390</v>
      </c>
      <c r="BT249" s="1">
        <v>5187</v>
      </c>
      <c r="BU249" s="1">
        <v>5193</v>
      </c>
      <c r="BV249" s="1">
        <v>5070</v>
      </c>
      <c r="BW249" s="1">
        <v>5090</v>
      </c>
      <c r="BX249" s="1">
        <v>4993</v>
      </c>
      <c r="BY249" s="1">
        <v>5267</v>
      </c>
      <c r="BZ249" s="1">
        <v>5254</v>
      </c>
    </row>
    <row r="250" spans="1:254">
      <c r="A250" s="74" t="s">
        <v>463</v>
      </c>
      <c r="B250" s="1" t="str">
        <f>銘柄管理!C250</f>
        <v>情報戦略テクノロジー</v>
      </c>
      <c r="C250" s="541">
        <f>_xll.RssMarket("155A","始値")</f>
        <v>854</v>
      </c>
      <c r="E250" s="547">
        <v>854</v>
      </c>
      <c r="F250" s="1">
        <v>840</v>
      </c>
      <c r="G250" s="1">
        <v>825</v>
      </c>
      <c r="H250" s="1">
        <v>824</v>
      </c>
      <c r="I250" s="1">
        <v>834</v>
      </c>
      <c r="J250" s="1">
        <v>815</v>
      </c>
      <c r="K250" s="1">
        <v>831</v>
      </c>
      <c r="L250" s="1">
        <v>846</v>
      </c>
      <c r="M250" s="1">
        <v>845</v>
      </c>
      <c r="O250" s="1">
        <v>858</v>
      </c>
      <c r="P250" s="1">
        <v>874</v>
      </c>
      <c r="Q250" s="1">
        <v>844</v>
      </c>
      <c r="R250" s="1">
        <v>879</v>
      </c>
      <c r="S250" s="1">
        <v>910</v>
      </c>
      <c r="T250" s="1">
        <v>907</v>
      </c>
      <c r="U250" s="1">
        <v>892</v>
      </c>
      <c r="V250" s="1">
        <v>882</v>
      </c>
      <c r="W250" s="1">
        <v>890</v>
      </c>
      <c r="X250" s="1">
        <v>900</v>
      </c>
      <c r="Y250" s="1">
        <v>920</v>
      </c>
      <c r="Z250" s="1">
        <v>897</v>
      </c>
      <c r="AA250" s="1">
        <v>858</v>
      </c>
      <c r="AB250" s="1">
        <v>866</v>
      </c>
      <c r="AC250" s="1">
        <v>871</v>
      </c>
      <c r="AD250" s="1">
        <v>868</v>
      </c>
      <c r="AE250" s="1">
        <v>840</v>
      </c>
      <c r="AF250" s="1">
        <v>873</v>
      </c>
      <c r="AG250" s="1">
        <v>844</v>
      </c>
      <c r="AH250" s="1">
        <v>852</v>
      </c>
      <c r="AI250" s="1">
        <v>915</v>
      </c>
      <c r="AJ250" s="1">
        <v>897</v>
      </c>
      <c r="AK250" s="1">
        <v>888</v>
      </c>
      <c r="AL250" s="1">
        <v>875</v>
      </c>
      <c r="AM250" s="1">
        <v>830</v>
      </c>
      <c r="AN250" s="1">
        <v>847</v>
      </c>
      <c r="AO250" s="1">
        <v>850</v>
      </c>
      <c r="AP250" s="1">
        <v>860</v>
      </c>
      <c r="AQ250" s="1">
        <v>880</v>
      </c>
      <c r="AR250" s="1">
        <v>880</v>
      </c>
      <c r="AS250" s="1">
        <v>838</v>
      </c>
      <c r="AT250" s="1">
        <v>840</v>
      </c>
      <c r="AU250" s="1">
        <v>834</v>
      </c>
      <c r="AV250" s="1">
        <v>835</v>
      </c>
      <c r="AW250" s="1">
        <v>822</v>
      </c>
      <c r="AX250" s="1">
        <v>868</v>
      </c>
      <c r="AY250" s="1">
        <v>878</v>
      </c>
      <c r="AZ250" s="1">
        <v>855</v>
      </c>
      <c r="BA250" s="1">
        <v>867</v>
      </c>
      <c r="BB250" s="1">
        <v>835</v>
      </c>
      <c r="BC250" s="1">
        <v>839</v>
      </c>
      <c r="BD250" s="1">
        <v>877</v>
      </c>
      <c r="BE250" s="1">
        <v>893</v>
      </c>
      <c r="BF250" s="1">
        <v>904</v>
      </c>
      <c r="BG250" s="1">
        <v>874</v>
      </c>
      <c r="BH250" s="1">
        <v>777</v>
      </c>
      <c r="BI250" s="1">
        <v>788</v>
      </c>
      <c r="BJ250" s="1">
        <v>799</v>
      </c>
      <c r="BK250" s="1">
        <v>810</v>
      </c>
      <c r="BL250" s="1">
        <v>817</v>
      </c>
      <c r="BM250" s="1">
        <v>803</v>
      </c>
      <c r="BN250" s="1">
        <v>801</v>
      </c>
      <c r="BO250" s="1">
        <v>813</v>
      </c>
      <c r="BP250" s="1">
        <v>820</v>
      </c>
      <c r="BQ250" s="1">
        <v>813</v>
      </c>
      <c r="BR250" s="1">
        <v>828</v>
      </c>
      <c r="BS250" s="1">
        <v>860</v>
      </c>
      <c r="BT250" s="1">
        <v>850</v>
      </c>
      <c r="BU250" s="1">
        <v>842</v>
      </c>
      <c r="BV250" s="1">
        <v>833</v>
      </c>
      <c r="BW250" s="1">
        <v>830</v>
      </c>
      <c r="BX250" s="1">
        <v>829</v>
      </c>
      <c r="BY250" s="1">
        <v>813</v>
      </c>
      <c r="BZ250" s="1">
        <v>817</v>
      </c>
    </row>
    <row r="251" spans="1:254">
      <c r="A251" s="74" t="s">
        <v>464</v>
      </c>
      <c r="B251" s="1" t="str">
        <f>銘柄管理!C251</f>
        <v>ＴＥＲＲＡＤＲＯＮＥ</v>
      </c>
      <c r="C251" s="541">
        <f>_xll.RssMarket("278A","始値")</f>
        <v>12670</v>
      </c>
      <c r="E251" s="547">
        <v>12670</v>
      </c>
      <c r="F251" s="1">
        <v>13800</v>
      </c>
      <c r="G251" s="1">
        <v>12240</v>
      </c>
      <c r="H251" s="1">
        <v>10240</v>
      </c>
      <c r="I251" s="1">
        <v>10550</v>
      </c>
      <c r="J251" s="1">
        <v>10010</v>
      </c>
      <c r="K251" s="1">
        <v>10080</v>
      </c>
      <c r="L251" s="1">
        <v>12650</v>
      </c>
      <c r="M251" s="1">
        <v>12250</v>
      </c>
      <c r="N251" s="1">
        <v>12680</v>
      </c>
      <c r="O251" s="1">
        <v>14750</v>
      </c>
      <c r="P251" s="1">
        <v>16150</v>
      </c>
      <c r="Q251" s="1">
        <v>14500</v>
      </c>
      <c r="R251" s="1">
        <v>12420</v>
      </c>
      <c r="S251" s="1">
        <v>10750</v>
      </c>
      <c r="T251" s="1">
        <v>11000</v>
      </c>
      <c r="U251" s="1">
        <v>11760</v>
      </c>
      <c r="V251" s="1">
        <v>9500</v>
      </c>
      <c r="W251" s="1">
        <v>9200</v>
      </c>
      <c r="X251" s="1">
        <v>9090</v>
      </c>
      <c r="Y251" s="1">
        <v>9600</v>
      </c>
      <c r="Z251" s="1">
        <v>8860</v>
      </c>
      <c r="AA251" s="1">
        <v>8160</v>
      </c>
      <c r="AB251" s="1">
        <v>7910</v>
      </c>
      <c r="AC251" s="1">
        <v>7770</v>
      </c>
      <c r="AD251" s="1">
        <v>7750</v>
      </c>
      <c r="AE251" s="1">
        <v>7800</v>
      </c>
      <c r="AF251" s="1">
        <v>7890</v>
      </c>
      <c r="AG251" s="1">
        <v>8170</v>
      </c>
      <c r="AH251" s="1">
        <v>8000</v>
      </c>
      <c r="AI251" s="1">
        <v>8820</v>
      </c>
      <c r="AJ251" s="1">
        <v>7880</v>
      </c>
      <c r="AK251" s="1">
        <v>8450</v>
      </c>
      <c r="AL251" s="1">
        <v>7980</v>
      </c>
      <c r="AM251" s="1">
        <v>9550</v>
      </c>
      <c r="AN251" s="1">
        <v>8750</v>
      </c>
      <c r="AO251" s="1">
        <v>7800</v>
      </c>
      <c r="AP251" s="1">
        <v>8720</v>
      </c>
      <c r="AQ251" s="1">
        <v>8540</v>
      </c>
      <c r="AR251" s="1">
        <v>8900</v>
      </c>
      <c r="AS251" s="1">
        <v>8340</v>
      </c>
      <c r="AT251" s="1">
        <v>7900</v>
      </c>
      <c r="AU251" s="1">
        <v>8440</v>
      </c>
      <c r="AV251" s="1">
        <v>8410</v>
      </c>
      <c r="AW251" s="1">
        <v>8850</v>
      </c>
      <c r="AX251" s="1">
        <v>10580</v>
      </c>
      <c r="AY251" s="1">
        <v>8900</v>
      </c>
      <c r="AZ251" s="1">
        <v>9700</v>
      </c>
      <c r="BA251" s="1">
        <v>11300</v>
      </c>
      <c r="BB251" s="1">
        <v>10700</v>
      </c>
      <c r="BC251" s="1">
        <v>11510</v>
      </c>
      <c r="BD251" s="1">
        <v>12000</v>
      </c>
      <c r="BE251" s="1">
        <v>13250</v>
      </c>
      <c r="BF251" s="1">
        <v>12700</v>
      </c>
      <c r="BG251" s="1">
        <v>11000</v>
      </c>
      <c r="BH251" s="1">
        <v>12240</v>
      </c>
      <c r="BI251" s="1">
        <v>10000</v>
      </c>
      <c r="BJ251" s="1">
        <v>19600</v>
      </c>
      <c r="BK251" s="1">
        <v>15230</v>
      </c>
      <c r="BL251" s="1">
        <v>12020</v>
      </c>
      <c r="BM251" s="1">
        <v>12570</v>
      </c>
      <c r="BN251" s="1">
        <v>10000</v>
      </c>
      <c r="BO251" s="1">
        <v>8220</v>
      </c>
      <c r="BP251" s="1">
        <v>7380</v>
      </c>
      <c r="BQ251" s="1">
        <v>7990</v>
      </c>
      <c r="BR251" s="1">
        <v>8410</v>
      </c>
      <c r="BS251" s="1">
        <v>7820</v>
      </c>
      <c r="BT251" s="1">
        <v>7000</v>
      </c>
      <c r="BU251" s="1">
        <v>6650</v>
      </c>
      <c r="BV251" s="1">
        <v>6570</v>
      </c>
      <c r="BW251" s="1">
        <v>6500</v>
      </c>
      <c r="BX251" s="1">
        <v>6500</v>
      </c>
      <c r="BY251" s="1">
        <v>5790</v>
      </c>
      <c r="BZ251" s="1">
        <v>6000</v>
      </c>
    </row>
    <row r="252" spans="1:254">
      <c r="A252" s="74" t="s">
        <v>465</v>
      </c>
      <c r="B252" s="1" t="str">
        <f>銘柄管理!C252</f>
        <v>ＭＩＣ</v>
      </c>
      <c r="C252" s="541">
        <f>_xll.RssMarket("300A","始値")</f>
        <v>3000</v>
      </c>
      <c r="E252" s="547">
        <v>3000</v>
      </c>
      <c r="F252" s="1">
        <v>2950</v>
      </c>
      <c r="G252" s="1">
        <v>2960</v>
      </c>
      <c r="H252" s="1">
        <v>3000</v>
      </c>
      <c r="I252" s="1">
        <v>3035</v>
      </c>
      <c r="J252" s="1">
        <v>2980</v>
      </c>
      <c r="K252" s="1">
        <v>2988</v>
      </c>
      <c r="L252" s="1">
        <v>2903</v>
      </c>
      <c r="M252" s="1">
        <v>2860</v>
      </c>
      <c r="O252" s="1">
        <v>2958</v>
      </c>
      <c r="P252" s="1">
        <v>2941</v>
      </c>
      <c r="Q252" s="1">
        <v>2885</v>
      </c>
      <c r="R252" s="1">
        <v>2870</v>
      </c>
      <c r="S252" s="1">
        <v>2840</v>
      </c>
      <c r="T252" s="1">
        <v>2871</v>
      </c>
      <c r="U252" s="1">
        <v>2884</v>
      </c>
      <c r="V252" s="1">
        <v>2873</v>
      </c>
      <c r="W252" s="1">
        <v>2875</v>
      </c>
      <c r="X252" s="1">
        <v>2910</v>
      </c>
      <c r="Y252" s="1">
        <v>2876</v>
      </c>
      <c r="Z252" s="1">
        <v>2917</v>
      </c>
      <c r="AA252" s="1">
        <v>2939</v>
      </c>
      <c r="AB252" s="1">
        <v>2923</v>
      </c>
      <c r="AC252" s="1">
        <v>2887</v>
      </c>
      <c r="AD252" s="1">
        <v>2944</v>
      </c>
      <c r="AE252" s="1">
        <v>2850</v>
      </c>
      <c r="AF252" s="1">
        <v>2790</v>
      </c>
      <c r="AG252" s="1">
        <v>2800</v>
      </c>
      <c r="AH252" s="1">
        <v>2777</v>
      </c>
      <c r="AI252" s="1">
        <v>2800</v>
      </c>
      <c r="AJ252" s="1">
        <v>2790</v>
      </c>
      <c r="AK252" s="1">
        <v>2800</v>
      </c>
      <c r="AL252" s="1">
        <v>2845</v>
      </c>
      <c r="AM252" s="1">
        <v>2810</v>
      </c>
      <c r="AN252" s="1">
        <v>2835</v>
      </c>
      <c r="AO252" s="1">
        <v>2867</v>
      </c>
      <c r="AP252" s="1">
        <v>2800</v>
      </c>
      <c r="AQ252" s="1">
        <v>2797</v>
      </c>
      <c r="AR252" s="1">
        <v>2800</v>
      </c>
      <c r="AS252" s="1">
        <v>2774</v>
      </c>
      <c r="AT252" s="1">
        <v>2755</v>
      </c>
      <c r="AU252" s="1">
        <v>2799</v>
      </c>
      <c r="AV252" s="1">
        <v>2801</v>
      </c>
      <c r="AW252" s="1">
        <v>2847</v>
      </c>
      <c r="AX252" s="1">
        <v>2899</v>
      </c>
      <c r="AY252" s="1">
        <v>2841</v>
      </c>
      <c r="AZ252" s="1">
        <v>2871</v>
      </c>
      <c r="BA252" s="1">
        <v>2918</v>
      </c>
      <c r="BB252" s="1">
        <v>2864</v>
      </c>
      <c r="BC252" s="1">
        <v>2938</v>
      </c>
      <c r="BD252" s="1">
        <v>2920</v>
      </c>
      <c r="BE252" s="1">
        <v>2848</v>
      </c>
      <c r="BF252" s="1">
        <v>2930</v>
      </c>
      <c r="BG252" s="1">
        <v>2904</v>
      </c>
      <c r="BH252" s="1">
        <v>2790</v>
      </c>
      <c r="BI252" s="1">
        <v>2760</v>
      </c>
      <c r="BJ252" s="1">
        <v>2789</v>
      </c>
      <c r="BK252" s="1">
        <v>2782</v>
      </c>
      <c r="BL252" s="1">
        <v>2750</v>
      </c>
      <c r="BM252" s="1">
        <v>2795</v>
      </c>
      <c r="BN252" s="1">
        <v>2769</v>
      </c>
      <c r="BO252" s="1">
        <v>2885</v>
      </c>
      <c r="BP252" s="1">
        <v>2783</v>
      </c>
      <c r="BQ252" s="1">
        <v>2851</v>
      </c>
      <c r="BR252" s="1">
        <v>2934</v>
      </c>
      <c r="BS252" s="1">
        <v>3070</v>
      </c>
      <c r="BT252" s="1">
        <v>3095</v>
      </c>
      <c r="BU252" s="1">
        <v>3050</v>
      </c>
      <c r="BV252" s="1">
        <v>3000</v>
      </c>
      <c r="BW252" s="1">
        <v>3005</v>
      </c>
      <c r="BX252" s="1">
        <v>2964</v>
      </c>
      <c r="BY252" s="1">
        <v>2942</v>
      </c>
      <c r="BZ252" s="1">
        <v>2898</v>
      </c>
    </row>
    <row r="253" spans="1:254">
      <c r="A253" s="74" t="s">
        <v>466</v>
      </c>
      <c r="B253" s="1" t="str">
        <f>銘柄管理!C253</f>
        <v>サイボウズ</v>
      </c>
      <c r="C253" s="541">
        <f>_xll.RssMarket("4776","始値")</f>
        <v>2724</v>
      </c>
      <c r="E253" s="547">
        <v>2724</v>
      </c>
      <c r="F253" s="1">
        <v>2690</v>
      </c>
      <c r="G253" s="1">
        <v>2745</v>
      </c>
      <c r="H253" s="1">
        <v>2710</v>
      </c>
      <c r="I253" s="1">
        <v>2695</v>
      </c>
      <c r="J253" s="1">
        <v>2897</v>
      </c>
      <c r="K253" s="1">
        <v>2700</v>
      </c>
      <c r="L253" s="1">
        <v>2655</v>
      </c>
      <c r="M253" s="1">
        <v>2530</v>
      </c>
      <c r="N253" s="1">
        <v>2461</v>
      </c>
      <c r="O253" s="1">
        <v>2496</v>
      </c>
      <c r="P253" s="1">
        <v>2560</v>
      </c>
      <c r="Q253" s="1">
        <v>2613</v>
      </c>
      <c r="R253" s="1">
        <v>2610</v>
      </c>
      <c r="S253" s="1">
        <v>2561</v>
      </c>
      <c r="T253" s="1">
        <v>2600</v>
      </c>
      <c r="U253" s="1">
        <v>2602</v>
      </c>
      <c r="V253" s="1">
        <v>2623</v>
      </c>
      <c r="W253" s="1">
        <v>2590</v>
      </c>
      <c r="X253" s="1">
        <v>2631</v>
      </c>
      <c r="Y253" s="1">
        <v>2599</v>
      </c>
      <c r="Z253" s="1">
        <v>2498</v>
      </c>
      <c r="AA253" s="1">
        <v>2531</v>
      </c>
      <c r="AB253" s="1">
        <v>2386</v>
      </c>
      <c r="AC253" s="1">
        <v>2238</v>
      </c>
      <c r="AD253" s="1">
        <v>2331</v>
      </c>
      <c r="AE253" s="1">
        <v>2275</v>
      </c>
      <c r="AF253" s="1">
        <v>2141</v>
      </c>
      <c r="AG253" s="1">
        <v>2229</v>
      </c>
      <c r="AH253" s="1">
        <v>2244</v>
      </c>
      <c r="AI253" s="1">
        <v>2277</v>
      </c>
      <c r="AJ253" s="1">
        <v>2304</v>
      </c>
      <c r="AK253" s="1">
        <v>2376</v>
      </c>
      <c r="AL253" s="1">
        <v>2301</v>
      </c>
      <c r="AM253" s="1">
        <v>2321</v>
      </c>
      <c r="AN253" s="1">
        <v>2344</v>
      </c>
      <c r="AO253" s="1">
        <v>2315</v>
      </c>
      <c r="AP253" s="1">
        <v>2297</v>
      </c>
      <c r="AQ253" s="1">
        <v>2389</v>
      </c>
      <c r="AR253" s="1">
        <v>2355</v>
      </c>
      <c r="AS253" s="1">
        <v>2430</v>
      </c>
      <c r="AT253" s="1">
        <v>2436</v>
      </c>
      <c r="AU253" s="1">
        <v>2420</v>
      </c>
      <c r="AV253" s="1">
        <v>2557</v>
      </c>
      <c r="AW253" s="1">
        <v>2650</v>
      </c>
      <c r="AX253" s="1">
        <v>2552</v>
      </c>
      <c r="AY253" s="1">
        <v>2575</v>
      </c>
      <c r="AZ253" s="1">
        <v>2570</v>
      </c>
      <c r="BA253" s="1">
        <v>2550</v>
      </c>
      <c r="BB253" s="1">
        <v>2489</v>
      </c>
      <c r="BC253" s="1">
        <v>2501</v>
      </c>
      <c r="BD253" s="1">
        <v>2490</v>
      </c>
      <c r="BE253" s="1">
        <v>2383</v>
      </c>
      <c r="BF253" s="1">
        <v>2407</v>
      </c>
      <c r="BG253" s="1">
        <v>2274</v>
      </c>
      <c r="BH253" s="1">
        <v>2159</v>
      </c>
      <c r="BI253" s="1">
        <v>2157</v>
      </c>
      <c r="BJ253" s="1">
        <v>2160</v>
      </c>
      <c r="BK253" s="1">
        <v>2189</v>
      </c>
      <c r="BL253" s="1">
        <v>2171</v>
      </c>
      <c r="BM253" s="1">
        <v>2053</v>
      </c>
      <c r="BN253" s="1">
        <v>2082</v>
      </c>
      <c r="BO253" s="1">
        <v>2090</v>
      </c>
      <c r="BP253" s="1">
        <v>2101</v>
      </c>
      <c r="BQ253" s="1">
        <v>2119</v>
      </c>
      <c r="BR253" s="1">
        <v>2100</v>
      </c>
      <c r="BS253" s="1">
        <v>2139</v>
      </c>
      <c r="BT253" s="1">
        <v>2165</v>
      </c>
      <c r="BU253" s="1">
        <v>2204</v>
      </c>
      <c r="BV253" s="1">
        <v>2264</v>
      </c>
      <c r="BW253" s="1">
        <v>2226</v>
      </c>
      <c r="BX253" s="1">
        <v>2240</v>
      </c>
      <c r="BY253" s="1">
        <v>2064</v>
      </c>
      <c r="BZ253" s="1">
        <v>2039</v>
      </c>
    </row>
    <row r="254" spans="1:254">
      <c r="A254" s="74" t="s">
        <v>467</v>
      </c>
      <c r="B254" s="1" t="str">
        <f>銘柄管理!C254</f>
        <v>トレンドマイクロ</v>
      </c>
      <c r="C254" s="541">
        <f>_xll.RssMarket("4704","始値")</f>
        <v>6538</v>
      </c>
      <c r="E254" s="547">
        <v>6538</v>
      </c>
      <c r="F254" s="1">
        <v>6450</v>
      </c>
      <c r="G254" s="1">
        <v>6438</v>
      </c>
      <c r="H254" s="1">
        <v>6441</v>
      </c>
      <c r="I254" s="1">
        <v>6475</v>
      </c>
      <c r="J254" s="1">
        <v>6813</v>
      </c>
      <c r="K254" s="1">
        <v>6674</v>
      </c>
      <c r="L254" s="1">
        <v>6544</v>
      </c>
      <c r="M254" s="1">
        <v>6358</v>
      </c>
      <c r="N254" s="1">
        <v>6132</v>
      </c>
      <c r="O254" s="1">
        <v>6180</v>
      </c>
      <c r="P254" s="1">
        <v>6223</v>
      </c>
      <c r="Q254" s="1">
        <v>6495</v>
      </c>
      <c r="R254" s="1">
        <v>6429</v>
      </c>
      <c r="S254" s="1">
        <v>6325</v>
      </c>
      <c r="T254" s="1">
        <v>6299</v>
      </c>
      <c r="U254" s="1">
        <v>6182</v>
      </c>
      <c r="V254" s="1">
        <v>6291</v>
      </c>
      <c r="W254" s="1">
        <v>6185</v>
      </c>
      <c r="X254" s="1">
        <v>6320</v>
      </c>
      <c r="Y254" s="1">
        <v>6369</v>
      </c>
      <c r="Z254" s="1">
        <v>6294</v>
      </c>
      <c r="AA254" s="1">
        <v>6533</v>
      </c>
      <c r="AB254" s="1">
        <v>6249</v>
      </c>
      <c r="AC254" s="1">
        <v>5965</v>
      </c>
      <c r="AD254" s="1">
        <v>5988</v>
      </c>
      <c r="AE254" s="1">
        <v>5757</v>
      </c>
      <c r="AF254" s="1">
        <v>5605</v>
      </c>
      <c r="AG254" s="1">
        <v>5643</v>
      </c>
      <c r="AH254" s="1">
        <v>5540</v>
      </c>
      <c r="AI254" s="1">
        <v>5620</v>
      </c>
      <c r="AJ254" s="1">
        <v>5623</v>
      </c>
      <c r="AK254" s="1">
        <v>5854</v>
      </c>
      <c r="AL254" s="1">
        <v>5746</v>
      </c>
      <c r="AM254" s="1">
        <v>5771</v>
      </c>
      <c r="AN254" s="1">
        <v>5850</v>
      </c>
      <c r="AO254" s="1">
        <v>5931</v>
      </c>
      <c r="AP254" s="1">
        <v>6136</v>
      </c>
      <c r="AQ254" s="1">
        <v>6183</v>
      </c>
      <c r="AR254" s="1">
        <v>6186</v>
      </c>
      <c r="AS254" s="1">
        <v>6478</v>
      </c>
      <c r="AT254" s="1">
        <v>6725</v>
      </c>
      <c r="AU254" s="1">
        <v>6145</v>
      </c>
      <c r="AV254" s="1">
        <v>6251</v>
      </c>
      <c r="AW254" s="1">
        <v>6453</v>
      </c>
      <c r="AX254" s="1">
        <v>5980</v>
      </c>
      <c r="AY254" s="1">
        <v>6037</v>
      </c>
      <c r="AZ254" s="1">
        <v>6066</v>
      </c>
      <c r="BA254" s="1">
        <v>6203</v>
      </c>
      <c r="BB254" s="1">
        <v>6015</v>
      </c>
      <c r="BC254" s="1">
        <v>5911</v>
      </c>
      <c r="BD254" s="1">
        <v>6060</v>
      </c>
      <c r="BE254" s="1">
        <v>6081</v>
      </c>
      <c r="BF254" s="1">
        <v>5730</v>
      </c>
      <c r="BG254" s="1">
        <v>5400</v>
      </c>
      <c r="BH254" s="1">
        <v>5511</v>
      </c>
      <c r="BI254" s="1">
        <v>5725</v>
      </c>
      <c r="BJ254" s="1">
        <v>5592</v>
      </c>
      <c r="BK254" s="1">
        <v>5715</v>
      </c>
      <c r="BL254" s="1">
        <v>5729</v>
      </c>
      <c r="BM254" s="1">
        <v>5339</v>
      </c>
      <c r="BN254" s="1">
        <v>5376</v>
      </c>
      <c r="BO254" s="1">
        <v>5552</v>
      </c>
      <c r="BP254" s="1">
        <v>5514</v>
      </c>
      <c r="BQ254" s="1">
        <v>5632</v>
      </c>
      <c r="BR254" s="1">
        <v>5601</v>
      </c>
      <c r="BS254" s="1">
        <v>5859</v>
      </c>
      <c r="BT254" s="1">
        <v>6050</v>
      </c>
      <c r="BU254" s="1">
        <v>5907</v>
      </c>
      <c r="BV254" s="1">
        <v>5998</v>
      </c>
      <c r="BW254" s="1">
        <v>6012</v>
      </c>
      <c r="BX254" s="1">
        <v>5859</v>
      </c>
      <c r="BY254" s="1">
        <v>5433</v>
      </c>
      <c r="BZ254" s="1">
        <v>5317</v>
      </c>
    </row>
    <row r="255" spans="1:254">
      <c r="A255" s="74" t="s">
        <v>468</v>
      </c>
      <c r="B255" s="1" t="str">
        <f>銘柄管理!C255</f>
        <v>栗田工業</v>
      </c>
      <c r="C255" s="541">
        <f>_xll.RssMarket("6370","始値")</f>
        <v>9012</v>
      </c>
      <c r="E255" s="547">
        <v>9012</v>
      </c>
      <c r="F255" s="1">
        <v>9100</v>
      </c>
      <c r="G255" s="1">
        <v>8703</v>
      </c>
      <c r="H255" s="1">
        <v>8629</v>
      </c>
      <c r="I255" s="1">
        <v>8780</v>
      </c>
      <c r="J255" s="1">
        <v>8060</v>
      </c>
      <c r="K255" s="1">
        <v>8354</v>
      </c>
      <c r="L255" s="1">
        <v>8739</v>
      </c>
      <c r="M255" s="1">
        <v>8938</v>
      </c>
      <c r="N255" s="1">
        <v>8940</v>
      </c>
      <c r="O255" s="1">
        <v>8911</v>
      </c>
      <c r="P255" s="1">
        <v>8956</v>
      </c>
      <c r="Q255" s="1">
        <v>8710</v>
      </c>
      <c r="R255" s="1">
        <v>8781</v>
      </c>
      <c r="S255" s="1">
        <v>9121</v>
      </c>
      <c r="T255" s="1">
        <v>8982</v>
      </c>
      <c r="U255" s="1">
        <v>9170</v>
      </c>
      <c r="V255" s="1">
        <v>9040</v>
      </c>
      <c r="W255" s="1">
        <v>8805</v>
      </c>
      <c r="X255" s="1">
        <v>8705</v>
      </c>
      <c r="Y255" s="1">
        <v>9443</v>
      </c>
      <c r="Z255" s="1">
        <v>9591</v>
      </c>
      <c r="AA255" s="1">
        <v>8950</v>
      </c>
      <c r="AB255" s="1">
        <v>9305</v>
      </c>
      <c r="AC255" s="1">
        <v>9369</v>
      </c>
      <c r="AD255" s="1">
        <v>9221</v>
      </c>
      <c r="AE255" s="1">
        <v>9110</v>
      </c>
      <c r="AF255" s="1">
        <v>9292</v>
      </c>
      <c r="AG255" s="1">
        <v>9614</v>
      </c>
      <c r="AH255" s="1">
        <v>9231</v>
      </c>
      <c r="AI255" s="1">
        <v>9613</v>
      </c>
      <c r="AJ255" s="1">
        <v>9567</v>
      </c>
      <c r="AK255" s="1">
        <v>9779</v>
      </c>
      <c r="AL255" s="1">
        <v>9340</v>
      </c>
      <c r="AM255" s="1">
        <v>9335</v>
      </c>
      <c r="AN255" s="1">
        <v>8761</v>
      </c>
      <c r="AO255" s="1">
        <v>8639</v>
      </c>
      <c r="AP255" s="1">
        <v>8300</v>
      </c>
      <c r="AQ255" s="1">
        <v>7901</v>
      </c>
      <c r="AR255" s="1">
        <v>8286</v>
      </c>
      <c r="AS255" s="1">
        <v>8212</v>
      </c>
      <c r="AT255" s="1">
        <v>8808</v>
      </c>
      <c r="AU255" s="1">
        <v>8803</v>
      </c>
      <c r="AV255" s="1">
        <v>8714</v>
      </c>
      <c r="AW255" s="1">
        <v>8549</v>
      </c>
      <c r="AX255" s="1">
        <v>8691</v>
      </c>
      <c r="AY255" s="1">
        <v>8728</v>
      </c>
      <c r="AZ255" s="1">
        <v>9077</v>
      </c>
      <c r="BA255" s="1">
        <v>8834</v>
      </c>
      <c r="BB255" s="1">
        <v>8713</v>
      </c>
      <c r="BC255" s="1">
        <v>8538</v>
      </c>
      <c r="BD255" s="1">
        <v>8616</v>
      </c>
      <c r="BE255" s="1">
        <v>8773</v>
      </c>
      <c r="BF255" s="1">
        <v>8918</v>
      </c>
      <c r="BG255" s="1">
        <v>9500</v>
      </c>
      <c r="BH255" s="1">
        <v>9010</v>
      </c>
      <c r="BI255" s="1">
        <v>9000</v>
      </c>
      <c r="BJ255" s="1">
        <v>9184</v>
      </c>
      <c r="BK255" s="1">
        <v>8900</v>
      </c>
      <c r="BL255" s="1">
        <v>8362</v>
      </c>
      <c r="BM255" s="1">
        <v>8296</v>
      </c>
      <c r="BN255" s="1">
        <v>8290</v>
      </c>
      <c r="BO255" s="1">
        <v>8401</v>
      </c>
      <c r="BP255" s="1">
        <v>8297</v>
      </c>
      <c r="BQ255" s="1">
        <v>7905</v>
      </c>
      <c r="BR255" s="1">
        <v>7916</v>
      </c>
      <c r="BS255" s="1">
        <v>7847</v>
      </c>
      <c r="BT255" s="1">
        <v>7990</v>
      </c>
      <c r="BU255" s="1">
        <v>8188</v>
      </c>
      <c r="BV255" s="1">
        <v>8095</v>
      </c>
      <c r="BW255" s="1">
        <v>8010</v>
      </c>
      <c r="BX255" s="1">
        <v>7950</v>
      </c>
      <c r="BY255" s="1">
        <v>7998</v>
      </c>
      <c r="BZ255" s="1">
        <v>8201</v>
      </c>
    </row>
    <row r="256" spans="1:254">
      <c r="A256" s="74" t="s">
        <v>469</v>
      </c>
      <c r="B256" s="1" t="str">
        <f>銘柄管理!C256</f>
        <v>名村造船所</v>
      </c>
      <c r="C256" s="541">
        <f>_xll.RssMarket("7014","始値")</f>
        <v>4195</v>
      </c>
      <c r="E256" s="547">
        <v>4195</v>
      </c>
      <c r="F256" s="1">
        <v>4195</v>
      </c>
      <c r="G256" s="1">
        <v>4090</v>
      </c>
      <c r="H256" s="1">
        <v>4200</v>
      </c>
      <c r="I256" s="1">
        <v>4390</v>
      </c>
      <c r="J256" s="1">
        <v>4135</v>
      </c>
      <c r="K256" s="1">
        <v>4435</v>
      </c>
      <c r="L256" s="1">
        <v>4530</v>
      </c>
      <c r="M256" s="1">
        <v>4345</v>
      </c>
      <c r="N256" s="1">
        <v>4235</v>
      </c>
      <c r="O256" s="1">
        <v>4160</v>
      </c>
      <c r="P256" s="1">
        <v>3960</v>
      </c>
      <c r="Q256" s="1">
        <v>3800</v>
      </c>
      <c r="R256" s="1">
        <v>3755</v>
      </c>
      <c r="S256" s="1">
        <v>3950</v>
      </c>
      <c r="T256" s="1">
        <v>3750</v>
      </c>
      <c r="U256" s="1">
        <v>3770</v>
      </c>
      <c r="V256" s="1">
        <v>3760</v>
      </c>
      <c r="W256" s="1">
        <v>3880</v>
      </c>
      <c r="X256" s="1">
        <v>4090</v>
      </c>
      <c r="Y256" s="1">
        <v>4250</v>
      </c>
      <c r="Z256" s="1">
        <v>3675</v>
      </c>
      <c r="AA256" s="1">
        <v>3640</v>
      </c>
      <c r="AB256" s="1">
        <v>3510</v>
      </c>
      <c r="AC256" s="1">
        <v>3510</v>
      </c>
      <c r="AD256" s="1">
        <v>3620</v>
      </c>
      <c r="AE256" s="1">
        <v>3655</v>
      </c>
      <c r="AF256" s="1">
        <v>3620</v>
      </c>
      <c r="AG256" s="1">
        <v>3730</v>
      </c>
      <c r="AH256" s="1">
        <v>3670</v>
      </c>
      <c r="AI256" s="1">
        <v>3875</v>
      </c>
      <c r="AJ256" s="1">
        <v>3800</v>
      </c>
      <c r="AK256" s="1">
        <v>3840</v>
      </c>
      <c r="AL256" s="1">
        <v>3845</v>
      </c>
      <c r="AM256" s="1">
        <v>3755</v>
      </c>
      <c r="AN256" s="1">
        <v>3765</v>
      </c>
      <c r="AO256" s="1">
        <v>3685</v>
      </c>
      <c r="AP256" s="1">
        <v>3480</v>
      </c>
      <c r="AQ256" s="1">
        <v>3345</v>
      </c>
      <c r="AR256" s="1">
        <v>3440</v>
      </c>
      <c r="AS256" s="1">
        <v>3550</v>
      </c>
      <c r="AT256" s="1">
        <v>3655</v>
      </c>
      <c r="AU256" s="1">
        <v>3485</v>
      </c>
      <c r="AV256" s="1">
        <v>3475</v>
      </c>
      <c r="AW256" s="1">
        <v>3455</v>
      </c>
      <c r="AX256" s="1">
        <v>3790</v>
      </c>
      <c r="AY256" s="1">
        <v>4085</v>
      </c>
      <c r="AZ256" s="1">
        <v>4240</v>
      </c>
      <c r="BA256" s="1">
        <v>3945</v>
      </c>
      <c r="BB256" s="1">
        <v>3800</v>
      </c>
      <c r="BC256" s="1">
        <v>3730</v>
      </c>
      <c r="BD256" s="1">
        <v>3895</v>
      </c>
      <c r="BE256" s="1">
        <v>4080</v>
      </c>
      <c r="BF256" s="1">
        <v>4375</v>
      </c>
      <c r="BG256" s="1">
        <v>4095</v>
      </c>
      <c r="BH256" s="1">
        <v>4005</v>
      </c>
      <c r="BI256" s="1">
        <v>4040</v>
      </c>
      <c r="BJ256" s="1">
        <v>4070</v>
      </c>
      <c r="BK256" s="1">
        <v>3975</v>
      </c>
      <c r="BL256" s="1">
        <v>4050</v>
      </c>
      <c r="BM256" s="1">
        <v>4090</v>
      </c>
      <c r="BN256" s="1">
        <v>4000</v>
      </c>
      <c r="BO256" s="1">
        <v>4025</v>
      </c>
      <c r="BP256" s="1">
        <v>4095</v>
      </c>
      <c r="BQ256" s="1">
        <v>4040</v>
      </c>
      <c r="BR256" s="1">
        <v>4100</v>
      </c>
      <c r="BS256" s="1">
        <v>4320</v>
      </c>
      <c r="BT256" s="1">
        <v>4050</v>
      </c>
      <c r="BU256" s="1">
        <v>4080</v>
      </c>
      <c r="BV256" s="1">
        <v>4060</v>
      </c>
      <c r="BW256" s="1">
        <v>4080</v>
      </c>
      <c r="BX256" s="1">
        <v>4025</v>
      </c>
      <c r="BY256" s="1">
        <v>4180</v>
      </c>
      <c r="BZ256" s="1">
        <v>4190</v>
      </c>
    </row>
    <row r="257" spans="1:254">
      <c r="A257" s="74" t="s">
        <v>470</v>
      </c>
      <c r="B257" s="1" t="str">
        <f>銘柄管理!C257</f>
        <v>イノテック</v>
      </c>
      <c r="C257" s="541">
        <f>_xll.RssMarket("9880","始値")</f>
        <v>3685</v>
      </c>
      <c r="E257" s="547">
        <v>3685</v>
      </c>
      <c r="F257" s="1">
        <v>3715</v>
      </c>
      <c r="G257" s="1">
        <v>3470</v>
      </c>
      <c r="H257" s="1">
        <v>3310</v>
      </c>
      <c r="I257" s="1">
        <v>3385</v>
      </c>
      <c r="J257" s="1">
        <v>3020</v>
      </c>
      <c r="K257" s="1">
        <v>3135</v>
      </c>
      <c r="L257" s="1">
        <v>3250</v>
      </c>
      <c r="M257" s="1">
        <v>3315</v>
      </c>
      <c r="N257" s="1">
        <v>3350</v>
      </c>
      <c r="O257" s="1">
        <v>3425</v>
      </c>
      <c r="P257" s="1">
        <v>3390</v>
      </c>
      <c r="Q257" s="1">
        <v>3295</v>
      </c>
      <c r="R257" s="1">
        <v>3330</v>
      </c>
      <c r="S257" s="1">
        <v>3520</v>
      </c>
      <c r="T257" s="1">
        <v>3445</v>
      </c>
      <c r="U257" s="1">
        <v>3580</v>
      </c>
      <c r="V257" s="1">
        <v>3610</v>
      </c>
      <c r="W257" s="1">
        <v>3585</v>
      </c>
      <c r="X257" s="1">
        <v>3425</v>
      </c>
      <c r="Y257" s="1">
        <v>3760</v>
      </c>
      <c r="Z257" s="1">
        <v>3825</v>
      </c>
      <c r="AA257" s="1">
        <v>3595</v>
      </c>
      <c r="AB257" s="1">
        <v>3840</v>
      </c>
      <c r="AC257" s="1">
        <v>4070</v>
      </c>
      <c r="AD257" s="1">
        <v>4000</v>
      </c>
      <c r="AE257" s="1">
        <v>4060</v>
      </c>
      <c r="AF257" s="1">
        <v>4220</v>
      </c>
      <c r="AG257" s="1">
        <v>4460</v>
      </c>
      <c r="AH257" s="1">
        <v>4240</v>
      </c>
      <c r="AI257" s="1">
        <v>4555</v>
      </c>
      <c r="AJ257" s="1">
        <v>4355</v>
      </c>
      <c r="AK257" s="1">
        <v>4250</v>
      </c>
      <c r="AL257" s="1">
        <v>4185</v>
      </c>
      <c r="AM257" s="1">
        <v>3900</v>
      </c>
      <c r="AN257" s="1">
        <v>4130</v>
      </c>
      <c r="AO257" s="1">
        <v>4200</v>
      </c>
      <c r="AP257" s="1">
        <v>4105</v>
      </c>
      <c r="AQ257" s="1">
        <v>3910</v>
      </c>
      <c r="AR257" s="1">
        <v>4140</v>
      </c>
      <c r="AS257" s="1">
        <v>4200</v>
      </c>
      <c r="AT257" s="1">
        <v>4390</v>
      </c>
      <c r="AU257" s="1">
        <v>4300</v>
      </c>
      <c r="AV257" s="1">
        <v>4300</v>
      </c>
      <c r="AW257" s="1">
        <v>4320</v>
      </c>
      <c r="AX257" s="1">
        <v>4360</v>
      </c>
      <c r="AY257" s="1">
        <v>4220</v>
      </c>
      <c r="AZ257" s="1">
        <v>4650</v>
      </c>
      <c r="BA257" s="1">
        <v>4380</v>
      </c>
      <c r="BB257" s="1">
        <v>4400</v>
      </c>
      <c r="BC257" s="1">
        <v>4380</v>
      </c>
      <c r="BD257" s="1">
        <v>4225</v>
      </c>
      <c r="BE257" s="1">
        <v>4750</v>
      </c>
      <c r="BF257" s="1">
        <v>4505</v>
      </c>
      <c r="BG257" s="1">
        <v>3975</v>
      </c>
      <c r="BH257" s="1">
        <v>3360</v>
      </c>
      <c r="BI257" s="1">
        <v>3270</v>
      </c>
      <c r="BJ257" s="1">
        <v>3380</v>
      </c>
      <c r="BK257" s="1">
        <v>3325</v>
      </c>
      <c r="BL257" s="1">
        <v>3185</v>
      </c>
      <c r="BM257" s="1">
        <v>2950</v>
      </c>
      <c r="BN257" s="1">
        <v>2834</v>
      </c>
      <c r="BO257" s="1">
        <v>2790</v>
      </c>
      <c r="BP257" s="1">
        <v>2760</v>
      </c>
      <c r="BQ257" s="1">
        <v>2805</v>
      </c>
      <c r="BR257" s="1">
        <v>2674</v>
      </c>
      <c r="BS257" s="1">
        <v>2710</v>
      </c>
      <c r="BT257" s="1">
        <v>2728</v>
      </c>
      <c r="BU257" s="1">
        <v>2763</v>
      </c>
      <c r="BV257" s="1">
        <v>2823</v>
      </c>
      <c r="BW257" s="1">
        <v>2896</v>
      </c>
      <c r="BX257" s="1">
        <v>2900</v>
      </c>
      <c r="BY257" s="1">
        <v>2889</v>
      </c>
      <c r="BZ257" s="1">
        <v>2640</v>
      </c>
    </row>
    <row r="258" spans="1:254">
      <c r="A258" s="74" t="s">
        <v>471</v>
      </c>
      <c r="B258" s="1" t="str">
        <f>銘柄管理!C258</f>
        <v>カバー</v>
      </c>
      <c r="C258" s="541">
        <f>_xll.RssMarket("5253","始値")</f>
        <v>1525</v>
      </c>
      <c r="E258" s="547">
        <v>1525</v>
      </c>
      <c r="F258" s="1">
        <v>1478</v>
      </c>
      <c r="G258" s="1">
        <v>1453</v>
      </c>
      <c r="H258" s="1">
        <v>1445</v>
      </c>
      <c r="I258" s="1">
        <v>1506</v>
      </c>
      <c r="J258" s="1">
        <v>1525</v>
      </c>
      <c r="K258" s="1">
        <v>1586</v>
      </c>
      <c r="L258" s="1">
        <v>1649</v>
      </c>
      <c r="M258" s="1">
        <v>1475</v>
      </c>
      <c r="O258" s="1">
        <v>1681</v>
      </c>
      <c r="P258" s="1">
        <v>1612</v>
      </c>
      <c r="Q258" s="1">
        <v>1700</v>
      </c>
      <c r="R258" s="1">
        <v>1668</v>
      </c>
      <c r="S258" s="1">
        <v>1672</v>
      </c>
      <c r="T258" s="1">
        <v>1660</v>
      </c>
      <c r="U258" s="1">
        <v>1601</v>
      </c>
      <c r="V258" s="1">
        <v>1625</v>
      </c>
      <c r="W258" s="1">
        <v>1586</v>
      </c>
      <c r="X258" s="1">
        <v>1609</v>
      </c>
      <c r="Y258" s="1">
        <v>1608</v>
      </c>
      <c r="Z258" s="1">
        <v>1552</v>
      </c>
      <c r="AA258" s="1">
        <v>1488</v>
      </c>
      <c r="AB258" s="1">
        <v>1401</v>
      </c>
      <c r="AC258" s="1">
        <v>1347</v>
      </c>
      <c r="AD258" s="1">
        <v>1350</v>
      </c>
      <c r="AE258" s="1">
        <v>1217</v>
      </c>
      <c r="AF258" s="1">
        <v>1152</v>
      </c>
      <c r="AG258" s="1">
        <v>1189</v>
      </c>
      <c r="AH258" s="1">
        <v>1201</v>
      </c>
      <c r="AI258" s="1">
        <v>1279</v>
      </c>
      <c r="AJ258" s="1">
        <v>1301</v>
      </c>
      <c r="AK258" s="1">
        <v>1380</v>
      </c>
      <c r="AL258" s="1">
        <v>1460</v>
      </c>
      <c r="AM258" s="1">
        <v>1415</v>
      </c>
      <c r="AN258" s="1">
        <v>1418</v>
      </c>
      <c r="AO258" s="1">
        <v>1458</v>
      </c>
      <c r="AP258" s="1">
        <v>1522</v>
      </c>
      <c r="AQ258" s="1">
        <v>1444</v>
      </c>
      <c r="AR258" s="1">
        <v>1620</v>
      </c>
      <c r="AS258" s="1">
        <v>1616</v>
      </c>
      <c r="AT258" s="1">
        <v>1624</v>
      </c>
      <c r="AU258" s="1">
        <v>1636</v>
      </c>
      <c r="AV258" s="1">
        <v>1631</v>
      </c>
      <c r="AW258" s="1">
        <v>1620</v>
      </c>
      <c r="AX258" s="1">
        <v>1600</v>
      </c>
      <c r="AY258" s="1">
        <v>1551</v>
      </c>
      <c r="AZ258" s="1">
        <v>1583</v>
      </c>
      <c r="BA258" s="1">
        <v>1760</v>
      </c>
      <c r="BB258" s="1">
        <v>1758</v>
      </c>
      <c r="BC258" s="1">
        <v>1666</v>
      </c>
      <c r="BD258" s="1">
        <v>1671</v>
      </c>
      <c r="BE258" s="1">
        <v>1600</v>
      </c>
      <c r="BF258" s="1">
        <v>1526</v>
      </c>
      <c r="BG258" s="1">
        <v>1324</v>
      </c>
      <c r="BH258" s="1">
        <v>1435</v>
      </c>
      <c r="BI258" s="1">
        <v>1412</v>
      </c>
      <c r="BJ258" s="1">
        <v>1393</v>
      </c>
      <c r="BK258" s="1">
        <v>1420</v>
      </c>
      <c r="BL258" s="1">
        <v>1445</v>
      </c>
      <c r="BM258" s="1">
        <v>1393</v>
      </c>
      <c r="BN258" s="1">
        <v>1365</v>
      </c>
      <c r="BO258" s="1">
        <v>1365</v>
      </c>
      <c r="BP258" s="1">
        <v>1370</v>
      </c>
      <c r="BQ258" s="1">
        <v>1370</v>
      </c>
      <c r="BR258" s="1">
        <v>1400</v>
      </c>
      <c r="BS258" s="1">
        <v>1420</v>
      </c>
      <c r="BT258" s="1">
        <v>1441</v>
      </c>
      <c r="BU258" s="1">
        <v>1455</v>
      </c>
      <c r="BV258" s="1">
        <v>1474</v>
      </c>
      <c r="BW258" s="1">
        <v>1451</v>
      </c>
      <c r="BX258" s="1">
        <v>1482</v>
      </c>
      <c r="BY258" s="1">
        <v>1480</v>
      </c>
      <c r="BZ258" s="1">
        <v>1438</v>
      </c>
    </row>
    <row r="259" spans="1:254">
      <c r="A259" s="74" t="s">
        <v>472</v>
      </c>
      <c r="B259" s="1" t="str">
        <f>銘柄管理!C259</f>
        <v>商船三井</v>
      </c>
      <c r="C259" s="541">
        <f>_xll.RssMarket("9104","始値")</f>
        <v>5920</v>
      </c>
      <c r="E259" s="547">
        <v>5920</v>
      </c>
      <c r="F259" s="1">
        <v>5995</v>
      </c>
      <c r="G259" s="1">
        <v>5901</v>
      </c>
      <c r="H259" s="1">
        <v>5813</v>
      </c>
      <c r="I259" s="1">
        <v>5833</v>
      </c>
      <c r="J259" s="1">
        <v>5914</v>
      </c>
      <c r="K259" s="1">
        <v>5930</v>
      </c>
      <c r="L259" s="1">
        <v>5849</v>
      </c>
      <c r="M259" s="1">
        <v>5917</v>
      </c>
      <c r="N259" s="1">
        <v>5795</v>
      </c>
      <c r="O259" s="1">
        <v>5801</v>
      </c>
      <c r="P259" s="1">
        <v>5699</v>
      </c>
      <c r="Q259" s="1">
        <v>5629</v>
      </c>
      <c r="R259" s="1">
        <v>5550</v>
      </c>
      <c r="S259" s="1">
        <v>5539</v>
      </c>
      <c r="T259" s="1">
        <v>5402</v>
      </c>
      <c r="U259" s="1">
        <v>5380</v>
      </c>
      <c r="V259" s="1">
        <v>5460</v>
      </c>
      <c r="W259" s="1">
        <v>5425</v>
      </c>
      <c r="X259" s="1">
        <v>5391</v>
      </c>
      <c r="Y259" s="1">
        <v>5285</v>
      </c>
      <c r="Z259" s="1">
        <v>5210</v>
      </c>
      <c r="AA259" s="1">
        <v>5200</v>
      </c>
      <c r="AB259" s="1">
        <v>5050</v>
      </c>
      <c r="AC259" s="1">
        <v>5210</v>
      </c>
      <c r="AD259" s="1">
        <v>5263</v>
      </c>
      <c r="AE259" s="1">
        <v>5230</v>
      </c>
      <c r="AF259" s="1">
        <v>5275</v>
      </c>
      <c r="AG259" s="1">
        <v>5342</v>
      </c>
      <c r="AH259" s="1">
        <v>5388</v>
      </c>
      <c r="AI259" s="1">
        <v>5293</v>
      </c>
      <c r="AJ259" s="1">
        <v>5251</v>
      </c>
      <c r="AK259" s="1">
        <v>5343</v>
      </c>
      <c r="AL259" s="1">
        <v>5420</v>
      </c>
      <c r="AM259" s="1">
        <v>5459</v>
      </c>
      <c r="AN259" s="1">
        <v>5686</v>
      </c>
      <c r="AO259" s="1">
        <v>5742</v>
      </c>
      <c r="AP259" s="1">
        <v>5757</v>
      </c>
      <c r="AQ259" s="1">
        <v>5636</v>
      </c>
      <c r="AR259" s="1">
        <v>5878</v>
      </c>
      <c r="AS259" s="1">
        <v>5784</v>
      </c>
      <c r="AT259" s="1">
        <v>5685</v>
      </c>
      <c r="AU259" s="1">
        <v>5433</v>
      </c>
      <c r="AV259" s="1">
        <v>5484</v>
      </c>
      <c r="AW259" s="1">
        <v>5421</v>
      </c>
      <c r="AX259" s="1">
        <v>5400</v>
      </c>
      <c r="AY259" s="1">
        <v>5420</v>
      </c>
      <c r="AZ259" s="1">
        <v>5570</v>
      </c>
      <c r="BA259" s="1">
        <v>5681</v>
      </c>
      <c r="BB259" s="1">
        <v>5648</v>
      </c>
      <c r="BC259" s="1">
        <v>5827</v>
      </c>
      <c r="BD259" s="1">
        <v>5794</v>
      </c>
      <c r="BE259" s="1">
        <v>5839</v>
      </c>
      <c r="BF259" s="1">
        <v>5861</v>
      </c>
      <c r="BG259" s="1">
        <v>5850</v>
      </c>
      <c r="BH259" s="1">
        <v>5886</v>
      </c>
      <c r="BI259" s="1">
        <v>5804</v>
      </c>
      <c r="BJ259" s="1">
        <v>5783</v>
      </c>
      <c r="BK259" s="1">
        <v>5676</v>
      </c>
      <c r="BL259" s="1">
        <v>5796</v>
      </c>
      <c r="BM259" s="1">
        <v>5817</v>
      </c>
      <c r="BN259" s="1">
        <v>5890</v>
      </c>
      <c r="BO259" s="1">
        <v>6000</v>
      </c>
      <c r="BP259" s="1">
        <v>5812</v>
      </c>
      <c r="BQ259" s="1">
        <v>5950</v>
      </c>
      <c r="BR259" s="1">
        <v>6088</v>
      </c>
      <c r="BS259" s="1">
        <v>6051</v>
      </c>
      <c r="BT259" s="1">
        <v>6100</v>
      </c>
      <c r="BU259" s="1">
        <v>6100</v>
      </c>
      <c r="BV259" s="1">
        <v>6252</v>
      </c>
      <c r="BW259" s="1">
        <v>6394</v>
      </c>
      <c r="BX259" s="1">
        <v>6300</v>
      </c>
      <c r="BY259" s="1">
        <v>6434</v>
      </c>
      <c r="BZ259" s="1">
        <v>6300</v>
      </c>
    </row>
    <row r="260" spans="1:254">
      <c r="A260" s="74" t="s">
        <v>473</v>
      </c>
      <c r="B260" s="1" t="str">
        <f>銘柄管理!C260</f>
        <v>千代田化工建</v>
      </c>
      <c r="C260" s="541">
        <f>_xll.RssMarket("6366","始値")</f>
        <v>690</v>
      </c>
      <c r="E260" s="547">
        <v>690</v>
      </c>
      <c r="F260" s="1">
        <v>681</v>
      </c>
      <c r="G260" s="1">
        <v>644</v>
      </c>
      <c r="H260" s="1">
        <v>652</v>
      </c>
      <c r="I260" s="1">
        <v>649</v>
      </c>
      <c r="J260" s="1">
        <v>630</v>
      </c>
      <c r="K260" s="1">
        <v>703</v>
      </c>
      <c r="L260" s="1">
        <v>733</v>
      </c>
      <c r="M260" s="1">
        <v>715</v>
      </c>
      <c r="N260" s="1">
        <v>690</v>
      </c>
      <c r="O260" s="1">
        <v>699</v>
      </c>
      <c r="P260" s="1">
        <v>687</v>
      </c>
      <c r="Q260" s="1">
        <v>650</v>
      </c>
      <c r="R260" s="1">
        <v>661</v>
      </c>
      <c r="S260" s="1">
        <v>680</v>
      </c>
      <c r="T260" s="1">
        <v>653</v>
      </c>
      <c r="U260" s="1">
        <v>680</v>
      </c>
      <c r="V260" s="1">
        <v>685</v>
      </c>
      <c r="W260" s="1">
        <v>695</v>
      </c>
      <c r="X260" s="1">
        <v>720</v>
      </c>
      <c r="Y260" s="1">
        <v>732</v>
      </c>
      <c r="Z260" s="1">
        <v>716</v>
      </c>
      <c r="AA260" s="1">
        <v>688</v>
      </c>
      <c r="AB260" s="1">
        <v>654</v>
      </c>
      <c r="AC260" s="1">
        <v>671</v>
      </c>
      <c r="AD260" s="1">
        <v>687</v>
      </c>
      <c r="AE260" s="1">
        <v>676</v>
      </c>
      <c r="AF260" s="1">
        <v>680</v>
      </c>
      <c r="AG260" s="1">
        <v>731</v>
      </c>
      <c r="AH260" s="1">
        <v>699</v>
      </c>
      <c r="AI260" s="1">
        <v>730</v>
      </c>
      <c r="AJ260" s="1">
        <v>745</v>
      </c>
      <c r="AK260" s="1">
        <v>783</v>
      </c>
      <c r="AL260" s="1">
        <v>800</v>
      </c>
      <c r="AM260" s="1">
        <v>776</v>
      </c>
      <c r="AN260" s="1">
        <v>759</v>
      </c>
      <c r="AO260" s="1">
        <v>837</v>
      </c>
      <c r="AP260" s="1">
        <v>704</v>
      </c>
      <c r="AQ260" s="1">
        <v>650</v>
      </c>
      <c r="AR260" s="1">
        <v>698</v>
      </c>
      <c r="AS260" s="1">
        <v>703</v>
      </c>
      <c r="AT260" s="1">
        <v>723</v>
      </c>
      <c r="AU260" s="1">
        <v>700</v>
      </c>
      <c r="AV260" s="1">
        <v>719</v>
      </c>
      <c r="AW260" s="1">
        <v>701</v>
      </c>
      <c r="AX260" s="1">
        <v>748</v>
      </c>
      <c r="AY260" s="1">
        <v>775</v>
      </c>
      <c r="AZ260" s="1">
        <v>832</v>
      </c>
      <c r="BA260" s="1">
        <v>807</v>
      </c>
      <c r="BB260" s="1">
        <v>700</v>
      </c>
      <c r="BC260" s="1">
        <v>740</v>
      </c>
      <c r="BD260" s="1">
        <v>757</v>
      </c>
      <c r="BE260" s="1">
        <v>771</v>
      </c>
      <c r="BF260" s="1">
        <v>807</v>
      </c>
      <c r="BG260" s="1">
        <v>821</v>
      </c>
      <c r="BH260" s="1">
        <v>810</v>
      </c>
      <c r="BI260" s="1">
        <v>810</v>
      </c>
      <c r="BJ260" s="1">
        <v>828</v>
      </c>
      <c r="BK260" s="1">
        <v>986</v>
      </c>
      <c r="BL260" s="1">
        <v>992</v>
      </c>
      <c r="BM260" s="1">
        <v>1049</v>
      </c>
      <c r="BN260" s="1">
        <v>1010</v>
      </c>
      <c r="BO260" s="1">
        <v>1045</v>
      </c>
      <c r="BP260" s="1">
        <v>1027</v>
      </c>
      <c r="BQ260" s="1">
        <v>1000</v>
      </c>
      <c r="BR260" s="1">
        <v>1065</v>
      </c>
      <c r="BS260" s="1">
        <v>1050</v>
      </c>
      <c r="BT260" s="1">
        <v>1070</v>
      </c>
      <c r="BU260" s="1">
        <v>1101</v>
      </c>
      <c r="BV260" s="1">
        <v>1166</v>
      </c>
      <c r="BW260" s="1">
        <v>1170</v>
      </c>
      <c r="BX260" s="1">
        <v>1120</v>
      </c>
      <c r="BY260" s="1">
        <v>1163</v>
      </c>
      <c r="BZ260" s="1">
        <v>1162</v>
      </c>
    </row>
    <row r="261" spans="1:254">
      <c r="A261" s="74" t="s">
        <v>474</v>
      </c>
      <c r="B261" s="1" t="str">
        <f>銘柄管理!C261</f>
        <v>旭ダイヤモンド</v>
      </c>
      <c r="C261" s="541">
        <f>_xll.RssMarket("6140","始値")</f>
        <v>1195</v>
      </c>
      <c r="E261" s="547">
        <v>1195</v>
      </c>
      <c r="F261" s="1">
        <v>1149</v>
      </c>
      <c r="G261" s="1">
        <v>1102</v>
      </c>
      <c r="H261" s="1">
        <v>1095</v>
      </c>
      <c r="I261" s="1">
        <v>1088</v>
      </c>
      <c r="J261" s="1">
        <v>1040</v>
      </c>
      <c r="K261" s="1">
        <v>1080</v>
      </c>
      <c r="L261" s="1">
        <v>1133</v>
      </c>
      <c r="M261" s="1">
        <v>1134</v>
      </c>
      <c r="O261" s="1">
        <v>1145</v>
      </c>
      <c r="P261" s="1">
        <v>1161</v>
      </c>
      <c r="Q261" s="1">
        <v>1172</v>
      </c>
      <c r="R261" s="1">
        <v>1173</v>
      </c>
      <c r="S261" s="1">
        <v>1194</v>
      </c>
      <c r="T261" s="1">
        <v>1153</v>
      </c>
      <c r="U261" s="1">
        <v>1186</v>
      </c>
      <c r="V261" s="1">
        <v>1180</v>
      </c>
      <c r="W261" s="1">
        <v>1185</v>
      </c>
      <c r="X261" s="1">
        <v>1170</v>
      </c>
      <c r="Y261" s="1">
        <v>1240</v>
      </c>
      <c r="Z261" s="1">
        <v>1263</v>
      </c>
      <c r="AA261" s="1">
        <v>1210</v>
      </c>
      <c r="AB261" s="1">
        <v>1212</v>
      </c>
      <c r="AC261" s="1">
        <v>1228</v>
      </c>
      <c r="AD261" s="1">
        <v>1233</v>
      </c>
      <c r="AE261" s="1">
        <v>1230</v>
      </c>
      <c r="AF261" s="1">
        <v>1219</v>
      </c>
      <c r="AG261" s="1">
        <v>1224</v>
      </c>
      <c r="AH261" s="1">
        <v>1213</v>
      </c>
      <c r="AI261" s="1">
        <v>1345</v>
      </c>
      <c r="AJ261" s="1">
        <v>1314</v>
      </c>
      <c r="AK261" s="1">
        <v>1328</v>
      </c>
      <c r="AL261" s="1">
        <v>1320</v>
      </c>
      <c r="AM261" s="1">
        <v>1284</v>
      </c>
      <c r="AN261" s="1">
        <v>1313</v>
      </c>
      <c r="AO261" s="1">
        <v>1284</v>
      </c>
      <c r="AP261" s="1">
        <v>1238</v>
      </c>
      <c r="AQ261" s="1">
        <v>1196</v>
      </c>
      <c r="AR261" s="1">
        <v>1259</v>
      </c>
      <c r="AS261" s="1">
        <v>1286</v>
      </c>
      <c r="AT261" s="1">
        <v>1300</v>
      </c>
      <c r="AU261" s="1">
        <v>1301</v>
      </c>
      <c r="AV261" s="1">
        <v>1319</v>
      </c>
      <c r="AW261" s="1">
        <v>1350</v>
      </c>
      <c r="AX261" s="1">
        <v>1357</v>
      </c>
      <c r="AY261" s="1">
        <v>1335</v>
      </c>
      <c r="AZ261" s="1">
        <v>1399</v>
      </c>
      <c r="BA261" s="1">
        <v>1370</v>
      </c>
      <c r="BB261" s="1">
        <v>1271</v>
      </c>
      <c r="BC261" s="1">
        <v>1320</v>
      </c>
      <c r="BD261" s="1">
        <v>1272</v>
      </c>
      <c r="BE261" s="1">
        <v>1315</v>
      </c>
      <c r="BF261" s="1">
        <v>1280</v>
      </c>
      <c r="BG261" s="1">
        <v>1375</v>
      </c>
      <c r="BH261" s="1">
        <v>1402</v>
      </c>
      <c r="BI261" s="1">
        <v>1355</v>
      </c>
      <c r="BJ261" s="1">
        <v>1333</v>
      </c>
      <c r="BK261" s="1">
        <v>1341</v>
      </c>
      <c r="BL261" s="1">
        <v>1310</v>
      </c>
      <c r="BM261" s="1">
        <v>1314</v>
      </c>
      <c r="BN261" s="1">
        <v>1285</v>
      </c>
      <c r="BO261" s="1">
        <v>1289</v>
      </c>
      <c r="BP261" s="1">
        <v>1287</v>
      </c>
      <c r="BQ261" s="1">
        <v>1310</v>
      </c>
      <c r="BR261" s="1">
        <v>1300</v>
      </c>
      <c r="BS261" s="1">
        <v>1302</v>
      </c>
      <c r="BT261" s="1">
        <v>1301</v>
      </c>
      <c r="BU261" s="1">
        <v>1321</v>
      </c>
      <c r="BV261" s="1">
        <v>1392</v>
      </c>
      <c r="BW261" s="1">
        <v>1293</v>
      </c>
      <c r="BX261" s="1">
        <v>1163</v>
      </c>
      <c r="BY261" s="1">
        <v>1176</v>
      </c>
      <c r="BZ261" s="1">
        <v>1173</v>
      </c>
    </row>
    <row r="262" spans="1:254">
      <c r="A262" s="74" t="s">
        <v>475</v>
      </c>
      <c r="B262" s="1" t="str">
        <f>銘柄管理!C262</f>
        <v>住石ホールディングス</v>
      </c>
      <c r="C262" s="541">
        <f>_xll.RssMarket("1514","始値")</f>
        <v>588</v>
      </c>
      <c r="E262" s="547">
        <v>588</v>
      </c>
      <c r="F262" s="1">
        <v>595</v>
      </c>
      <c r="G262" s="1">
        <v>574</v>
      </c>
      <c r="H262" s="1">
        <v>604</v>
      </c>
      <c r="I262" s="1">
        <v>567</v>
      </c>
      <c r="J262" s="1">
        <v>575</v>
      </c>
      <c r="K262" s="1">
        <v>580</v>
      </c>
      <c r="L262" s="1">
        <v>592</v>
      </c>
      <c r="M262" s="1">
        <v>598</v>
      </c>
      <c r="N262" s="1">
        <v>600</v>
      </c>
      <c r="O262" s="1">
        <v>594</v>
      </c>
      <c r="P262" s="1">
        <v>590</v>
      </c>
      <c r="Q262" s="1">
        <v>561</v>
      </c>
      <c r="R262" s="1">
        <v>579</v>
      </c>
      <c r="S262" s="1">
        <v>584</v>
      </c>
      <c r="T262" s="1">
        <v>575</v>
      </c>
      <c r="U262" s="1">
        <v>585</v>
      </c>
      <c r="V262" s="1">
        <v>560</v>
      </c>
      <c r="W262" s="1">
        <v>561</v>
      </c>
      <c r="X262" s="1">
        <v>550</v>
      </c>
      <c r="Y262" s="1">
        <v>585</v>
      </c>
      <c r="Z262" s="1">
        <v>556</v>
      </c>
      <c r="AA262" s="1">
        <v>549</v>
      </c>
      <c r="AB262" s="1">
        <v>525</v>
      </c>
      <c r="AC262" s="1">
        <v>526</v>
      </c>
      <c r="AD262" s="1">
        <v>525</v>
      </c>
      <c r="AE262" s="1">
        <v>530</v>
      </c>
      <c r="AF262" s="1">
        <v>524</v>
      </c>
      <c r="AG262" s="1">
        <v>528</v>
      </c>
      <c r="AH262" s="1">
        <v>532</v>
      </c>
      <c r="AI262" s="1">
        <v>550</v>
      </c>
      <c r="AJ262" s="1">
        <v>531</v>
      </c>
      <c r="AK262" s="1">
        <v>530</v>
      </c>
      <c r="AL262" s="1">
        <v>550</v>
      </c>
      <c r="AM262" s="1">
        <v>544</v>
      </c>
      <c r="AN262" s="1">
        <v>554</v>
      </c>
      <c r="AO262" s="1">
        <v>551</v>
      </c>
      <c r="AP262" s="1">
        <v>553</v>
      </c>
      <c r="AQ262" s="1">
        <v>550</v>
      </c>
      <c r="AR262" s="1">
        <v>561</v>
      </c>
      <c r="AS262" s="1">
        <v>566</v>
      </c>
      <c r="AT262" s="1">
        <v>564</v>
      </c>
      <c r="AU262" s="1">
        <v>557</v>
      </c>
      <c r="AV262" s="1">
        <v>564</v>
      </c>
      <c r="AW262" s="1">
        <v>563</v>
      </c>
      <c r="AX262" s="1">
        <v>588</v>
      </c>
      <c r="AY262" s="1">
        <v>605</v>
      </c>
      <c r="AZ262" s="1">
        <v>620</v>
      </c>
      <c r="BA262" s="1">
        <v>603</v>
      </c>
      <c r="BB262" s="1">
        <v>599</v>
      </c>
      <c r="BC262" s="1">
        <v>598</v>
      </c>
      <c r="BD262" s="1">
        <v>615</v>
      </c>
      <c r="BE262" s="1">
        <v>631</v>
      </c>
      <c r="BF262" s="1">
        <v>647</v>
      </c>
      <c r="BG262" s="1">
        <v>700</v>
      </c>
      <c r="BH262" s="1">
        <v>720</v>
      </c>
      <c r="BI262" s="1">
        <v>730</v>
      </c>
      <c r="BJ262" s="1">
        <v>738</v>
      </c>
      <c r="BK262" s="1">
        <v>744</v>
      </c>
      <c r="BL262" s="1">
        <v>760</v>
      </c>
      <c r="BM262" s="1">
        <v>745</v>
      </c>
      <c r="BN262" s="1">
        <v>760</v>
      </c>
      <c r="BO262" s="1">
        <v>795</v>
      </c>
      <c r="BP262" s="1">
        <v>771</v>
      </c>
      <c r="BQ262" s="1">
        <v>784</v>
      </c>
      <c r="BR262" s="1">
        <v>810</v>
      </c>
      <c r="BS262" s="1">
        <v>835</v>
      </c>
      <c r="BT262" s="1">
        <v>860</v>
      </c>
      <c r="BU262" s="1">
        <v>869</v>
      </c>
      <c r="BV262" s="1">
        <v>850</v>
      </c>
      <c r="BW262" s="1">
        <v>873</v>
      </c>
      <c r="BX262" s="1">
        <v>890</v>
      </c>
      <c r="BY262" s="1">
        <v>842</v>
      </c>
      <c r="BZ262" s="1">
        <v>850</v>
      </c>
    </row>
    <row r="263" spans="1:254">
      <c r="A263" s="74" t="s">
        <v>476</v>
      </c>
      <c r="B263" s="1" t="str">
        <f>銘柄管理!C263</f>
        <v>日本製鋼所</v>
      </c>
      <c r="C263" s="541">
        <f>_xll.RssMarket("5631","始値")</f>
        <v>7718</v>
      </c>
      <c r="E263" s="547">
        <v>7718</v>
      </c>
      <c r="F263" s="1">
        <v>7672</v>
      </c>
      <c r="G263" s="1">
        <v>7380</v>
      </c>
      <c r="H263" s="1">
        <v>7418</v>
      </c>
      <c r="I263" s="1">
        <v>7495</v>
      </c>
      <c r="J263" s="1">
        <v>7056</v>
      </c>
      <c r="K263" s="1">
        <v>7477</v>
      </c>
      <c r="L263" s="1">
        <v>7685</v>
      </c>
      <c r="M263" s="1">
        <v>7835</v>
      </c>
      <c r="N263" s="1">
        <v>7761</v>
      </c>
      <c r="O263" s="1">
        <v>7507</v>
      </c>
      <c r="P263" s="1">
        <v>7567</v>
      </c>
      <c r="Q263" s="1">
        <v>7470</v>
      </c>
      <c r="R263" s="1">
        <v>7759</v>
      </c>
      <c r="S263" s="1">
        <v>7750</v>
      </c>
      <c r="T263" s="1">
        <v>7723</v>
      </c>
      <c r="U263" s="1">
        <v>7800</v>
      </c>
      <c r="V263" s="1">
        <v>7937</v>
      </c>
      <c r="W263" s="1">
        <v>8100</v>
      </c>
      <c r="X263" s="1">
        <v>8369</v>
      </c>
      <c r="Y263" s="1">
        <v>8640</v>
      </c>
      <c r="Z263" s="1">
        <v>8039</v>
      </c>
      <c r="AA263" s="1">
        <v>7971</v>
      </c>
      <c r="AB263" s="1">
        <v>7818</v>
      </c>
      <c r="AC263" s="1">
        <v>7827</v>
      </c>
      <c r="AD263" s="1">
        <v>7670</v>
      </c>
      <c r="AE263" s="1">
        <v>7776</v>
      </c>
      <c r="AF263" s="1">
        <v>7860</v>
      </c>
      <c r="AG263" s="1">
        <v>7953</v>
      </c>
      <c r="AH263" s="1">
        <v>7838</v>
      </c>
      <c r="AI263" s="1">
        <v>8280</v>
      </c>
      <c r="AJ263" s="1">
        <v>7952</v>
      </c>
      <c r="AK263" s="1">
        <v>8258</v>
      </c>
      <c r="AL263" s="1">
        <v>8519</v>
      </c>
      <c r="AM263" s="1">
        <v>7850</v>
      </c>
      <c r="AN263" s="1">
        <v>7828</v>
      </c>
      <c r="AO263" s="1">
        <v>7749</v>
      </c>
      <c r="AP263" s="1">
        <v>7414</v>
      </c>
      <c r="AQ263" s="1">
        <v>6779</v>
      </c>
      <c r="AR263" s="1">
        <v>7317</v>
      </c>
      <c r="AS263" s="1">
        <v>7660</v>
      </c>
      <c r="AT263" s="1">
        <v>7486</v>
      </c>
      <c r="AU263" s="1">
        <v>7255</v>
      </c>
      <c r="AV263" s="1">
        <v>7349</v>
      </c>
      <c r="AW263" s="1">
        <v>7418</v>
      </c>
      <c r="AX263" s="1">
        <v>7703</v>
      </c>
      <c r="AY263" s="1">
        <v>8000</v>
      </c>
      <c r="AZ263" s="1">
        <v>8393</v>
      </c>
      <c r="BA263" s="1">
        <v>7992</v>
      </c>
      <c r="BB263" s="1">
        <v>7767</v>
      </c>
      <c r="BC263" s="1">
        <v>8085</v>
      </c>
      <c r="BD263" s="1">
        <v>8086</v>
      </c>
      <c r="BE263" s="1">
        <v>7881</v>
      </c>
      <c r="BF263" s="1">
        <v>7873</v>
      </c>
      <c r="BG263" s="1">
        <v>8100</v>
      </c>
      <c r="BH263" s="1">
        <v>8601</v>
      </c>
      <c r="BI263" s="1">
        <v>8825</v>
      </c>
      <c r="BJ263" s="1">
        <v>9067</v>
      </c>
      <c r="BK263" s="1">
        <v>9359</v>
      </c>
      <c r="BL263" s="1">
        <v>9149</v>
      </c>
      <c r="BM263" s="1">
        <v>9280</v>
      </c>
      <c r="BN263" s="1">
        <v>9450</v>
      </c>
      <c r="BO263" s="1">
        <v>9681</v>
      </c>
      <c r="BP263" s="1">
        <v>9603</v>
      </c>
      <c r="BQ263" s="1">
        <v>9780</v>
      </c>
      <c r="BR263" s="1">
        <v>9846</v>
      </c>
      <c r="BS263" s="1">
        <v>9640</v>
      </c>
      <c r="BT263" s="1">
        <v>9322</v>
      </c>
      <c r="BU263" s="1">
        <v>9197</v>
      </c>
      <c r="BV263" s="1">
        <v>9080</v>
      </c>
      <c r="BW263" s="1">
        <v>9210</v>
      </c>
      <c r="BX263" s="1">
        <v>9100</v>
      </c>
      <c r="BY263" s="1">
        <v>9849</v>
      </c>
      <c r="BZ263" s="1">
        <v>9880</v>
      </c>
    </row>
    <row r="264" spans="1:254">
      <c r="A264" s="74" t="s">
        <v>477</v>
      </c>
      <c r="B264" s="1" t="str">
        <f>銘柄管理!C264</f>
        <v>ジーエス・ユアサコーポ</v>
      </c>
      <c r="C264" s="541">
        <f>_xll.RssMarket("6674","始値")</f>
        <v>5610</v>
      </c>
      <c r="E264" s="547">
        <v>5610</v>
      </c>
      <c r="F264" s="1">
        <v>5860</v>
      </c>
      <c r="G264" s="1">
        <v>5477</v>
      </c>
      <c r="H264" s="1">
        <v>5392</v>
      </c>
      <c r="I264" s="1">
        <v>5664</v>
      </c>
      <c r="J264" s="1">
        <v>5095</v>
      </c>
      <c r="K264" s="1">
        <v>5401</v>
      </c>
      <c r="L264" s="1">
        <v>5640</v>
      </c>
      <c r="M264" s="1">
        <v>5836</v>
      </c>
      <c r="N264" s="1">
        <v>5957</v>
      </c>
      <c r="O264" s="1">
        <v>6014</v>
      </c>
      <c r="P264" s="1">
        <v>6024</v>
      </c>
      <c r="Q264" s="1">
        <v>5800</v>
      </c>
      <c r="R264" s="1">
        <v>5800</v>
      </c>
      <c r="S264" s="1">
        <v>5995</v>
      </c>
      <c r="T264" s="1">
        <v>5980</v>
      </c>
      <c r="U264" s="1">
        <v>6258</v>
      </c>
      <c r="V264" s="1">
        <v>6286</v>
      </c>
      <c r="W264" s="1">
        <v>6227</v>
      </c>
      <c r="X264" s="1">
        <v>6300</v>
      </c>
      <c r="Y264" s="1">
        <v>6636</v>
      </c>
      <c r="Z264" s="1">
        <v>6770</v>
      </c>
      <c r="AA264" s="1">
        <v>6520</v>
      </c>
      <c r="AB264" s="1">
        <v>6640</v>
      </c>
      <c r="AC264" s="1">
        <v>6562</v>
      </c>
      <c r="AD264" s="1">
        <v>6700</v>
      </c>
      <c r="AE264" s="1">
        <v>6736</v>
      </c>
      <c r="AF264" s="1">
        <v>7122</v>
      </c>
      <c r="AG264" s="1">
        <v>7447</v>
      </c>
      <c r="AH264" s="1">
        <v>7088</v>
      </c>
      <c r="AI264" s="1">
        <v>7550</v>
      </c>
      <c r="AJ264" s="1">
        <v>7696</v>
      </c>
      <c r="AK264" s="1">
        <v>6786</v>
      </c>
      <c r="AL264" s="1">
        <v>6660</v>
      </c>
      <c r="AM264" s="1">
        <v>6668</v>
      </c>
      <c r="AN264" s="1">
        <v>6319</v>
      </c>
      <c r="AO264" s="1">
        <v>6380</v>
      </c>
      <c r="AP264" s="1">
        <v>6397</v>
      </c>
      <c r="AQ264" s="1">
        <v>6112</v>
      </c>
      <c r="AR264" s="1">
        <v>6769</v>
      </c>
      <c r="AS264" s="1">
        <v>6933</v>
      </c>
      <c r="AT264" s="1">
        <v>7113</v>
      </c>
      <c r="AU264" s="1">
        <v>7500</v>
      </c>
      <c r="AV264" s="1">
        <v>7202</v>
      </c>
      <c r="AW264" s="1">
        <v>7000</v>
      </c>
      <c r="AX264" s="1">
        <v>6700</v>
      </c>
      <c r="AY264" s="1">
        <v>6284</v>
      </c>
      <c r="AZ264" s="1">
        <v>6348</v>
      </c>
      <c r="BA264" s="1">
        <v>6300</v>
      </c>
      <c r="BB264" s="1">
        <v>6030</v>
      </c>
      <c r="BC264" s="1">
        <v>6160</v>
      </c>
      <c r="BD264" s="1">
        <v>6236</v>
      </c>
      <c r="BE264" s="1">
        <v>6319</v>
      </c>
      <c r="BF264" s="1">
        <v>6365</v>
      </c>
      <c r="BG264" s="1">
        <v>6368</v>
      </c>
      <c r="BH264" s="1">
        <v>6439</v>
      </c>
      <c r="BI264" s="1">
        <v>6604</v>
      </c>
      <c r="BJ264" s="1">
        <v>6665</v>
      </c>
      <c r="BK264" s="1">
        <v>6750</v>
      </c>
      <c r="BL264" s="1">
        <v>6465</v>
      </c>
      <c r="BM264" s="1">
        <v>6533</v>
      </c>
      <c r="BN264" s="1">
        <v>6224</v>
      </c>
      <c r="BO264" s="1">
        <v>6081</v>
      </c>
      <c r="BP264" s="1">
        <v>6190</v>
      </c>
      <c r="BQ264" s="1">
        <v>6280</v>
      </c>
      <c r="BR264" s="1">
        <v>6300</v>
      </c>
      <c r="BS264" s="1">
        <v>6352</v>
      </c>
      <c r="BT264" s="1">
        <v>6521</v>
      </c>
      <c r="BU264" s="1">
        <v>6803</v>
      </c>
      <c r="BV264" s="1">
        <v>6787</v>
      </c>
      <c r="BW264" s="1">
        <v>6757</v>
      </c>
      <c r="BX264" s="1">
        <v>6620</v>
      </c>
      <c r="BY264" s="1">
        <v>6797</v>
      </c>
      <c r="BZ264" s="1">
        <v>6464</v>
      </c>
    </row>
    <row r="265" spans="1:254">
      <c r="A265" s="74" t="s">
        <v>478</v>
      </c>
      <c r="B265" s="1" t="str">
        <f>銘柄管理!C265</f>
        <v>ＦＤＫ</v>
      </c>
      <c r="C265" s="541">
        <f>_xll.RssMarket("6955","始値")</f>
        <v>401</v>
      </c>
      <c r="E265" s="547">
        <v>401</v>
      </c>
      <c r="F265" s="1">
        <v>391</v>
      </c>
      <c r="G265" s="1">
        <v>386</v>
      </c>
      <c r="H265" s="1">
        <v>384</v>
      </c>
      <c r="I265" s="1">
        <v>392</v>
      </c>
      <c r="J265" s="1">
        <v>379</v>
      </c>
      <c r="K265" s="1">
        <v>392</v>
      </c>
      <c r="L265" s="1">
        <v>410</v>
      </c>
      <c r="M265" s="1">
        <v>405</v>
      </c>
      <c r="O265" s="1">
        <v>413</v>
      </c>
      <c r="P265" s="1">
        <v>411</v>
      </c>
      <c r="Q265" s="1">
        <v>406</v>
      </c>
      <c r="R265" s="1">
        <v>409</v>
      </c>
      <c r="S265" s="1">
        <v>432</v>
      </c>
      <c r="T265" s="1">
        <v>438</v>
      </c>
      <c r="U265" s="1">
        <v>441</v>
      </c>
      <c r="V265" s="1">
        <v>441</v>
      </c>
      <c r="W265" s="1">
        <v>432</v>
      </c>
      <c r="X265" s="1">
        <v>444</v>
      </c>
      <c r="Y265" s="1">
        <v>452</v>
      </c>
      <c r="Z265" s="1">
        <v>489</v>
      </c>
      <c r="AA265" s="1">
        <v>498</v>
      </c>
      <c r="AB265" s="1">
        <v>481</v>
      </c>
      <c r="AC265" s="1">
        <v>488</v>
      </c>
      <c r="AD265" s="1">
        <v>507</v>
      </c>
      <c r="AE265" s="1">
        <v>503</v>
      </c>
      <c r="AF265" s="1">
        <v>519</v>
      </c>
      <c r="AG265" s="1">
        <v>527</v>
      </c>
      <c r="AH265" s="1">
        <v>502</v>
      </c>
      <c r="AI265" s="1">
        <v>539</v>
      </c>
      <c r="AJ265" s="1">
        <v>521</v>
      </c>
      <c r="AK265" s="1">
        <v>510</v>
      </c>
      <c r="AL265" s="1">
        <v>510</v>
      </c>
      <c r="AM265" s="1">
        <v>502</v>
      </c>
      <c r="AN265" s="1">
        <v>478</v>
      </c>
      <c r="AO265" s="1">
        <v>517</v>
      </c>
      <c r="AP265" s="1">
        <v>515</v>
      </c>
      <c r="AQ265" s="1">
        <v>506</v>
      </c>
      <c r="AR265" s="1">
        <v>551</v>
      </c>
      <c r="AS265" s="1">
        <v>604</v>
      </c>
      <c r="AT265" s="1">
        <v>495</v>
      </c>
      <c r="AU265" s="1">
        <v>489</v>
      </c>
      <c r="AV265" s="1">
        <v>469</v>
      </c>
      <c r="AW265" s="1">
        <v>431</v>
      </c>
      <c r="AX265" s="1">
        <v>451</v>
      </c>
      <c r="AY265" s="1">
        <v>432</v>
      </c>
      <c r="AZ265" s="1">
        <v>411</v>
      </c>
      <c r="BA265" s="1">
        <v>413</v>
      </c>
      <c r="BB265" s="1">
        <v>407</v>
      </c>
      <c r="BC265" s="1">
        <v>414</v>
      </c>
      <c r="BD265" s="1">
        <v>416</v>
      </c>
      <c r="BE265" s="1">
        <v>416</v>
      </c>
      <c r="BF265" s="1">
        <v>418</v>
      </c>
      <c r="BG265" s="1">
        <v>432</v>
      </c>
      <c r="BH265" s="1">
        <v>426</v>
      </c>
      <c r="BI265" s="1">
        <v>435</v>
      </c>
      <c r="BJ265" s="1">
        <v>432</v>
      </c>
      <c r="BK265" s="1">
        <v>443</v>
      </c>
      <c r="BL265" s="1">
        <v>455</v>
      </c>
      <c r="BM265" s="1">
        <v>452</v>
      </c>
      <c r="BN265" s="1">
        <v>432</v>
      </c>
      <c r="BO265" s="1">
        <v>447</v>
      </c>
      <c r="BP265" s="1">
        <v>454</v>
      </c>
      <c r="BQ265" s="1">
        <v>450</v>
      </c>
      <c r="BR265" s="1">
        <v>451</v>
      </c>
      <c r="BS265" s="1">
        <v>448</v>
      </c>
      <c r="BT265" s="1">
        <v>450</v>
      </c>
      <c r="BU265" s="1">
        <v>457</v>
      </c>
      <c r="BV265" s="1">
        <v>453</v>
      </c>
      <c r="BW265" s="1">
        <v>458</v>
      </c>
      <c r="BX265" s="1">
        <v>452</v>
      </c>
      <c r="BY265" s="1">
        <v>456</v>
      </c>
      <c r="BZ265" s="1">
        <v>457</v>
      </c>
    </row>
    <row r="266" spans="1:254">
      <c r="A266" s="74" t="s">
        <v>479</v>
      </c>
      <c r="B266" s="1" t="str">
        <f>銘柄管理!C266</f>
        <v>インフォメティス</v>
      </c>
      <c r="C266" s="541">
        <f>_xll.RssMarket("281A","始値")</f>
        <v>470</v>
      </c>
      <c r="E266" s="547">
        <v>470</v>
      </c>
      <c r="F266" s="1">
        <v>470</v>
      </c>
      <c r="G266" s="1">
        <v>450</v>
      </c>
      <c r="H266" s="1">
        <v>426</v>
      </c>
      <c r="I266" s="1">
        <v>424</v>
      </c>
      <c r="J266" s="1">
        <v>414</v>
      </c>
      <c r="K266" s="1">
        <v>428</v>
      </c>
      <c r="L266" s="1">
        <v>443</v>
      </c>
      <c r="M266" s="1">
        <v>450</v>
      </c>
      <c r="N266" s="1">
        <v>527</v>
      </c>
      <c r="O266" s="1">
        <v>460</v>
      </c>
      <c r="P266" s="1">
        <v>470</v>
      </c>
      <c r="Q266" s="1">
        <v>463</v>
      </c>
      <c r="R266" s="1">
        <v>463</v>
      </c>
      <c r="S266" s="1">
        <v>502</v>
      </c>
      <c r="T266" s="1">
        <v>520</v>
      </c>
      <c r="U266" s="1">
        <v>524</v>
      </c>
      <c r="V266" s="1">
        <v>486</v>
      </c>
      <c r="W266" s="1">
        <v>486</v>
      </c>
      <c r="X266" s="1">
        <v>519</v>
      </c>
      <c r="Y266" s="1">
        <v>625</v>
      </c>
      <c r="Z266" s="1">
        <v>631</v>
      </c>
      <c r="AA266" s="1">
        <v>619</v>
      </c>
      <c r="AB266" s="1">
        <v>624</v>
      </c>
      <c r="AC266" s="1">
        <v>666</v>
      </c>
      <c r="AD266" s="1">
        <v>713</v>
      </c>
      <c r="AE266" s="1">
        <v>680</v>
      </c>
      <c r="AF266" s="1">
        <v>723</v>
      </c>
      <c r="AG266" s="1">
        <v>752</v>
      </c>
      <c r="AH266" s="1">
        <v>685</v>
      </c>
      <c r="AI266" s="1">
        <v>606</v>
      </c>
      <c r="AJ266" s="1">
        <v>570</v>
      </c>
      <c r="AK266" s="1">
        <v>620</v>
      </c>
      <c r="AL266" s="1">
        <v>645</v>
      </c>
      <c r="AM266" s="1">
        <v>605</v>
      </c>
      <c r="AN266" s="1">
        <v>644</v>
      </c>
      <c r="AO266" s="1">
        <v>634</v>
      </c>
      <c r="AP266" s="1">
        <v>547</v>
      </c>
      <c r="AQ266" s="1">
        <v>533</v>
      </c>
      <c r="AR266" s="1">
        <v>555</v>
      </c>
      <c r="AS266" s="1">
        <v>586</v>
      </c>
      <c r="AT266" s="1">
        <v>642</v>
      </c>
      <c r="AU266" s="1">
        <v>705</v>
      </c>
      <c r="AV266" s="1">
        <v>699</v>
      </c>
      <c r="AW266" s="1">
        <v>697</v>
      </c>
      <c r="AX266" s="1">
        <v>834</v>
      </c>
      <c r="AY266" s="1">
        <v>835</v>
      </c>
      <c r="AZ266" s="1">
        <v>890</v>
      </c>
      <c r="BA266" s="1">
        <v>848</v>
      </c>
      <c r="BB266" s="1">
        <v>765</v>
      </c>
      <c r="BC266" s="1">
        <v>783</v>
      </c>
      <c r="BD266" s="1">
        <v>833</v>
      </c>
      <c r="BE266" s="1">
        <v>823</v>
      </c>
      <c r="BF266" s="1">
        <v>735</v>
      </c>
      <c r="BG266" s="1">
        <v>791</v>
      </c>
      <c r="BH266" s="1">
        <v>748</v>
      </c>
      <c r="BI266" s="1">
        <v>754</v>
      </c>
      <c r="BJ266" s="1">
        <v>795</v>
      </c>
      <c r="BK266" s="1">
        <v>824</v>
      </c>
      <c r="BL266" s="1">
        <v>766</v>
      </c>
      <c r="BM266" s="1">
        <v>760</v>
      </c>
      <c r="BN266" s="1">
        <v>717</v>
      </c>
      <c r="BO266" s="1">
        <v>720</v>
      </c>
      <c r="BP266" s="1">
        <v>769</v>
      </c>
      <c r="BQ266" s="1">
        <v>808</v>
      </c>
      <c r="BR266" s="1">
        <v>800</v>
      </c>
      <c r="BS266" s="1">
        <v>792</v>
      </c>
      <c r="BT266" s="1">
        <v>880</v>
      </c>
      <c r="BU266" s="1">
        <v>958</v>
      </c>
      <c r="BV266" s="1">
        <v>803</v>
      </c>
      <c r="BW266" s="1">
        <v>742</v>
      </c>
      <c r="BX266" s="1">
        <v>765</v>
      </c>
      <c r="BY266" s="1">
        <v>675</v>
      </c>
      <c r="BZ266" s="1">
        <v>674</v>
      </c>
    </row>
    <row r="267" spans="1:254">
      <c r="A267" s="74" t="s">
        <v>480</v>
      </c>
      <c r="B267" s="1" t="str">
        <f>銘柄管理!C267</f>
        <v>日本ギア工業</v>
      </c>
      <c r="C267" s="541">
        <f>_xll.RssMarket("6356","始値")</f>
        <v>1363</v>
      </c>
      <c r="E267" s="547">
        <v>1363</v>
      </c>
      <c r="F267" s="1">
        <v>1350</v>
      </c>
      <c r="G267" s="1">
        <v>1295</v>
      </c>
      <c r="H267" s="1">
        <v>1242</v>
      </c>
      <c r="I267" s="1">
        <v>1304</v>
      </c>
      <c r="J267" s="1">
        <v>1222</v>
      </c>
      <c r="K267" s="1">
        <v>1304</v>
      </c>
      <c r="L267" s="1">
        <v>1380</v>
      </c>
      <c r="M267" s="1">
        <v>1367</v>
      </c>
      <c r="N267" s="1">
        <v>1400</v>
      </c>
      <c r="O267" s="1">
        <v>1402</v>
      </c>
      <c r="P267" s="1">
        <v>1395</v>
      </c>
      <c r="Q267" s="1">
        <v>1411</v>
      </c>
      <c r="R267" s="1">
        <v>1505</v>
      </c>
      <c r="S267" s="1">
        <v>1575</v>
      </c>
      <c r="T267" s="1">
        <v>1490</v>
      </c>
      <c r="U267" s="1">
        <v>1480</v>
      </c>
      <c r="V267" s="1">
        <v>1503</v>
      </c>
      <c r="W267" s="1">
        <v>1528</v>
      </c>
      <c r="X267" s="1">
        <v>1541</v>
      </c>
      <c r="Y267" s="1">
        <v>1700</v>
      </c>
      <c r="Z267" s="1">
        <v>1750</v>
      </c>
      <c r="AA267" s="1">
        <v>1558</v>
      </c>
      <c r="AB267" s="1">
        <v>1480</v>
      </c>
      <c r="AC267" s="1">
        <v>1490</v>
      </c>
      <c r="AD267" s="1">
        <v>1498</v>
      </c>
      <c r="AE267" s="1">
        <v>1510</v>
      </c>
      <c r="AF267" s="1">
        <v>1500</v>
      </c>
      <c r="AG267" s="1">
        <v>1530</v>
      </c>
      <c r="AH267" s="1">
        <v>1478</v>
      </c>
      <c r="AI267" s="1">
        <v>1590</v>
      </c>
      <c r="AJ267" s="1">
        <v>1500</v>
      </c>
      <c r="AK267" s="1">
        <v>1542</v>
      </c>
      <c r="AL267" s="1">
        <v>1556</v>
      </c>
      <c r="AM267" s="1">
        <v>1420</v>
      </c>
      <c r="AN267" s="1">
        <v>1445</v>
      </c>
      <c r="AO267" s="1">
        <v>1437</v>
      </c>
      <c r="AP267" s="1">
        <v>1468</v>
      </c>
      <c r="AQ267" s="1">
        <v>1365</v>
      </c>
      <c r="AR267" s="1">
        <v>1526</v>
      </c>
      <c r="AS267" s="1">
        <v>1506</v>
      </c>
      <c r="AT267" s="1">
        <v>1531</v>
      </c>
      <c r="AU267" s="1">
        <v>1488</v>
      </c>
      <c r="AV267" s="1">
        <v>1477</v>
      </c>
      <c r="AW267" s="1">
        <v>1481</v>
      </c>
      <c r="AX267" s="1">
        <v>1707</v>
      </c>
      <c r="AY267" s="1">
        <v>1661</v>
      </c>
      <c r="AZ267" s="1">
        <v>1766</v>
      </c>
      <c r="BA267" s="1">
        <v>1525</v>
      </c>
      <c r="BB267" s="1">
        <v>1361</v>
      </c>
      <c r="BC267" s="1">
        <v>1361</v>
      </c>
      <c r="BD267" s="1">
        <v>1401</v>
      </c>
      <c r="BE267" s="1">
        <v>1462</v>
      </c>
      <c r="BF267" s="1">
        <v>1398</v>
      </c>
      <c r="BG267" s="1">
        <v>1438</v>
      </c>
      <c r="BH267" s="1">
        <v>1406</v>
      </c>
      <c r="BI267" s="1">
        <v>1475</v>
      </c>
      <c r="BJ267" s="1">
        <v>1580</v>
      </c>
      <c r="BK267" s="1">
        <v>1482</v>
      </c>
      <c r="BL267" s="1">
        <v>1495</v>
      </c>
      <c r="BM267" s="1">
        <v>1507</v>
      </c>
      <c r="BN267" s="1">
        <v>1574</v>
      </c>
      <c r="BO267" s="1">
        <v>1679</v>
      </c>
      <c r="BP267" s="1">
        <v>1628</v>
      </c>
      <c r="BQ267" s="1">
        <v>1649</v>
      </c>
      <c r="BR267" s="1">
        <v>1486</v>
      </c>
      <c r="BS267" s="1">
        <v>1450</v>
      </c>
      <c r="BT267" s="1">
        <v>1265</v>
      </c>
      <c r="BU267" s="1">
        <v>1320</v>
      </c>
      <c r="BV267" s="1">
        <v>1318</v>
      </c>
      <c r="BW267" s="1">
        <v>1328</v>
      </c>
      <c r="BX267" s="1">
        <v>1328</v>
      </c>
      <c r="BY267" s="1">
        <v>1293</v>
      </c>
      <c r="BZ267" s="1">
        <v>1318</v>
      </c>
    </row>
    <row r="268" spans="1:254">
      <c r="A268" s="74" t="s">
        <v>481</v>
      </c>
      <c r="B268" s="1" t="str">
        <f>銘柄管理!C268</f>
        <v>助川電気工業</v>
      </c>
      <c r="C268" s="541">
        <f>_xll.RssMarket("7711","始値")</f>
        <v>4620</v>
      </c>
      <c r="E268" s="547">
        <v>4620</v>
      </c>
      <c r="F268" s="1">
        <v>4500</v>
      </c>
      <c r="G268" s="1">
        <v>4280</v>
      </c>
      <c r="H268" s="1">
        <v>4260</v>
      </c>
      <c r="I268" s="1">
        <v>4070</v>
      </c>
      <c r="J268" s="1">
        <v>4090</v>
      </c>
      <c r="K268" s="1">
        <v>4210</v>
      </c>
      <c r="L268" s="1">
        <v>4450</v>
      </c>
      <c r="M268" s="1">
        <v>4480</v>
      </c>
      <c r="O268" s="1">
        <v>4660</v>
      </c>
      <c r="P268" s="1">
        <v>4650</v>
      </c>
      <c r="Q268" s="1">
        <v>4470</v>
      </c>
      <c r="R268" s="1">
        <v>4860</v>
      </c>
      <c r="S268" s="1">
        <v>5100</v>
      </c>
      <c r="T268" s="1">
        <v>4885</v>
      </c>
      <c r="U268" s="1">
        <v>4755</v>
      </c>
      <c r="V268" s="1">
        <v>4675</v>
      </c>
      <c r="W268" s="1">
        <v>4850</v>
      </c>
      <c r="X268" s="1">
        <v>4895</v>
      </c>
      <c r="Y268" s="1">
        <v>5180</v>
      </c>
      <c r="Z268" s="1">
        <v>5130</v>
      </c>
      <c r="AA268" s="1">
        <v>4815</v>
      </c>
      <c r="AB268" s="1">
        <v>4840</v>
      </c>
      <c r="AC268" s="1">
        <v>4860</v>
      </c>
      <c r="AD268" s="1">
        <v>4975</v>
      </c>
      <c r="AE268" s="1">
        <v>4925</v>
      </c>
      <c r="AF268" s="1">
        <v>5000</v>
      </c>
      <c r="AG268" s="1">
        <v>5180</v>
      </c>
      <c r="AH268" s="1">
        <v>5030</v>
      </c>
      <c r="AI268" s="1">
        <v>5460</v>
      </c>
      <c r="AJ268" s="1">
        <v>5600</v>
      </c>
      <c r="AK268" s="1">
        <v>5470</v>
      </c>
      <c r="AL268" s="1">
        <v>5660</v>
      </c>
      <c r="AM268" s="1">
        <v>5200</v>
      </c>
      <c r="AN268" s="1">
        <v>4835</v>
      </c>
      <c r="AO268" s="1">
        <v>4855</v>
      </c>
      <c r="AP268" s="1">
        <v>4800</v>
      </c>
      <c r="AQ268" s="1">
        <v>4515</v>
      </c>
      <c r="AR268" s="1">
        <v>4840</v>
      </c>
      <c r="AS268" s="1">
        <v>5190</v>
      </c>
      <c r="AT268" s="1">
        <v>5360</v>
      </c>
      <c r="AU268" s="1">
        <v>5050</v>
      </c>
      <c r="AV268" s="1">
        <v>5240</v>
      </c>
      <c r="AW268" s="1">
        <v>5260</v>
      </c>
      <c r="AX268" s="1">
        <v>5450</v>
      </c>
      <c r="AY268" s="1">
        <v>5490</v>
      </c>
      <c r="AZ268" s="1">
        <v>5980</v>
      </c>
      <c r="BA268" s="1">
        <v>5350</v>
      </c>
      <c r="BB268" s="1">
        <v>5080</v>
      </c>
      <c r="BC268" s="1">
        <v>5120</v>
      </c>
      <c r="BD268" s="1">
        <v>5130</v>
      </c>
      <c r="BE268" s="1">
        <v>5380</v>
      </c>
      <c r="BF268" s="1">
        <v>5410</v>
      </c>
      <c r="BG268" s="1">
        <v>5360</v>
      </c>
      <c r="BH268" s="1">
        <v>5650</v>
      </c>
      <c r="BI268" s="1">
        <v>5620</v>
      </c>
      <c r="BJ268" s="1">
        <v>5800</v>
      </c>
      <c r="BK268" s="1">
        <v>6000</v>
      </c>
      <c r="BL268" s="1">
        <v>6040</v>
      </c>
      <c r="BM268" s="1">
        <v>6110</v>
      </c>
      <c r="BN268" s="1">
        <v>5960</v>
      </c>
      <c r="BO268" s="1">
        <v>6100</v>
      </c>
      <c r="BP268" s="1">
        <v>6180</v>
      </c>
      <c r="BQ268" s="1">
        <v>6360</v>
      </c>
      <c r="BR268" s="1">
        <v>6620</v>
      </c>
      <c r="BS268" s="1">
        <v>6480</v>
      </c>
      <c r="BT268" s="1">
        <v>6380</v>
      </c>
      <c r="BU268" s="1">
        <v>6320</v>
      </c>
      <c r="BV268" s="1">
        <v>6280</v>
      </c>
      <c r="BW268" s="1">
        <v>6290</v>
      </c>
      <c r="BX268" s="1">
        <v>6160</v>
      </c>
      <c r="BY268" s="1">
        <v>6300</v>
      </c>
      <c r="BZ268" s="1">
        <v>6340</v>
      </c>
    </row>
    <row r="269" spans="1:254">
      <c r="A269" s="74" t="s">
        <v>482</v>
      </c>
      <c r="B269" s="1" t="str">
        <f>銘柄管理!C269</f>
        <v>日機装</v>
      </c>
      <c r="C269" s="541">
        <f>_xll.RssMarket("6376","始値")</f>
        <v>4035</v>
      </c>
      <c r="E269" s="547">
        <v>4035</v>
      </c>
      <c r="F269" s="1">
        <v>3965</v>
      </c>
      <c r="G269" s="1">
        <v>3780</v>
      </c>
      <c r="H269" s="1">
        <v>3685</v>
      </c>
      <c r="I269" s="1">
        <v>3665</v>
      </c>
      <c r="J269" s="1">
        <v>3565</v>
      </c>
      <c r="K269" s="1">
        <v>3700</v>
      </c>
      <c r="L269" s="1">
        <v>3995</v>
      </c>
      <c r="M269" s="1">
        <v>4050</v>
      </c>
      <c r="N269" s="1">
        <v>3975</v>
      </c>
      <c r="O269" s="1">
        <v>4000</v>
      </c>
      <c r="P269" s="1">
        <v>4135</v>
      </c>
      <c r="Q269" s="1">
        <v>3930</v>
      </c>
      <c r="R269" s="1">
        <v>3800</v>
      </c>
      <c r="S269" s="1">
        <v>3825</v>
      </c>
      <c r="T269" s="1">
        <v>3605</v>
      </c>
      <c r="U269" s="1">
        <v>3710</v>
      </c>
      <c r="V269" s="1">
        <v>3780</v>
      </c>
      <c r="W269" s="1">
        <v>3795</v>
      </c>
      <c r="X269" s="1">
        <v>3840</v>
      </c>
      <c r="Y269" s="1">
        <v>4070</v>
      </c>
      <c r="Z269" s="1">
        <v>4100</v>
      </c>
      <c r="AA269" s="1">
        <v>3840</v>
      </c>
      <c r="AB269" s="1">
        <v>3850</v>
      </c>
      <c r="AC269" s="1">
        <v>4105</v>
      </c>
      <c r="AD269" s="1">
        <v>4225</v>
      </c>
      <c r="AE269" s="1">
        <v>4205</v>
      </c>
      <c r="AF269" s="1">
        <v>4150</v>
      </c>
      <c r="AG269" s="1">
        <v>4180</v>
      </c>
      <c r="AH269" s="1">
        <v>3955</v>
      </c>
      <c r="AI269" s="1">
        <v>4100</v>
      </c>
      <c r="AJ269" s="1">
        <v>3935</v>
      </c>
      <c r="AK269" s="1">
        <v>3960</v>
      </c>
      <c r="AL269" s="1">
        <v>3865</v>
      </c>
      <c r="AM269" s="1">
        <v>3715</v>
      </c>
      <c r="AN269" s="1">
        <v>3700</v>
      </c>
      <c r="AO269" s="1">
        <v>3705</v>
      </c>
      <c r="AP269" s="1">
        <v>3640</v>
      </c>
      <c r="AQ269" s="1">
        <v>3500</v>
      </c>
      <c r="AR269" s="1">
        <v>3420</v>
      </c>
      <c r="AS269" s="1">
        <v>3190</v>
      </c>
      <c r="AT269" s="1">
        <v>3200</v>
      </c>
      <c r="AU269" s="1">
        <v>3100</v>
      </c>
      <c r="AV269" s="1">
        <v>3090</v>
      </c>
      <c r="AW269" s="1">
        <v>3260</v>
      </c>
      <c r="AX269" s="1">
        <v>3285</v>
      </c>
      <c r="AY269" s="1">
        <v>3235</v>
      </c>
      <c r="AZ269" s="1">
        <v>3500</v>
      </c>
      <c r="BA269" s="1">
        <v>3275</v>
      </c>
      <c r="BB269" s="1">
        <v>3070</v>
      </c>
      <c r="BC269" s="1">
        <v>3115</v>
      </c>
      <c r="BD269" s="1">
        <v>2925</v>
      </c>
      <c r="BE269" s="1">
        <v>3100</v>
      </c>
      <c r="BF269" s="1">
        <v>2940</v>
      </c>
      <c r="BG269" s="1">
        <v>2716</v>
      </c>
      <c r="BH269" s="1">
        <v>2662</v>
      </c>
      <c r="BI269" s="1">
        <v>2617</v>
      </c>
      <c r="BJ269" s="1">
        <v>2691</v>
      </c>
      <c r="BK269" s="1">
        <v>2670</v>
      </c>
      <c r="BL269" s="1">
        <v>2617</v>
      </c>
      <c r="BM269" s="1">
        <v>2684</v>
      </c>
      <c r="BN269" s="1">
        <v>2660</v>
      </c>
      <c r="BO269" s="1">
        <v>2608</v>
      </c>
      <c r="BP269" s="1">
        <v>2572</v>
      </c>
      <c r="BQ269" s="1">
        <v>2645</v>
      </c>
      <c r="BR269" s="1">
        <v>2595</v>
      </c>
      <c r="BS269" s="1">
        <v>2548</v>
      </c>
      <c r="BT269" s="1">
        <v>2551</v>
      </c>
      <c r="BU269" s="1">
        <v>2657</v>
      </c>
      <c r="BV269" s="1">
        <v>2648</v>
      </c>
      <c r="BW269" s="1">
        <v>2720</v>
      </c>
      <c r="BX269" s="1">
        <v>2774</v>
      </c>
      <c r="BY269" s="1">
        <v>2866</v>
      </c>
      <c r="BZ269" s="1">
        <v>2875</v>
      </c>
    </row>
    <row r="270" spans="1:254">
      <c r="A270" s="74" t="s">
        <v>483</v>
      </c>
      <c r="B270" s="1" t="str">
        <f>銘柄管理!C270</f>
        <v>明海グループ</v>
      </c>
      <c r="C270" s="541">
        <f>_xll.RssMarket("9115","始値")</f>
        <v>882</v>
      </c>
      <c r="E270" s="547">
        <v>882</v>
      </c>
      <c r="F270" s="1">
        <v>861</v>
      </c>
      <c r="G270" s="1">
        <v>825</v>
      </c>
      <c r="H270" s="1">
        <v>815</v>
      </c>
      <c r="I270" s="1">
        <v>790</v>
      </c>
      <c r="J270" s="1">
        <v>781</v>
      </c>
      <c r="K270" s="1">
        <v>852</v>
      </c>
      <c r="L270" s="1">
        <v>896</v>
      </c>
      <c r="M270" s="1">
        <v>900</v>
      </c>
      <c r="N270" s="1">
        <v>856</v>
      </c>
      <c r="O270" s="1">
        <v>898</v>
      </c>
      <c r="P270" s="1">
        <v>840</v>
      </c>
      <c r="Q270" s="1">
        <v>821</v>
      </c>
      <c r="R270" s="1">
        <v>823</v>
      </c>
      <c r="S270" s="1">
        <v>834</v>
      </c>
      <c r="T270" s="1">
        <v>823</v>
      </c>
      <c r="U270" s="1">
        <v>816</v>
      </c>
      <c r="V270" s="1">
        <v>844</v>
      </c>
      <c r="W270" s="1">
        <v>816</v>
      </c>
      <c r="X270" s="1">
        <v>823</v>
      </c>
      <c r="Y270" s="1">
        <v>845</v>
      </c>
      <c r="Z270" s="1">
        <v>840</v>
      </c>
      <c r="AA270" s="1">
        <v>830</v>
      </c>
      <c r="AB270" s="1">
        <v>822</v>
      </c>
      <c r="AC270" s="1">
        <v>803</v>
      </c>
      <c r="AD270" s="1">
        <v>812</v>
      </c>
      <c r="AE270" s="1">
        <v>800</v>
      </c>
      <c r="AF270" s="1">
        <v>790</v>
      </c>
      <c r="AG270" s="1">
        <v>791</v>
      </c>
      <c r="AH270" s="1">
        <v>800</v>
      </c>
      <c r="AI270" s="1">
        <v>769</v>
      </c>
      <c r="AJ270" s="1">
        <v>768</v>
      </c>
      <c r="AK270" s="1">
        <v>781</v>
      </c>
      <c r="AL270" s="1">
        <v>803</v>
      </c>
      <c r="AM270" s="1">
        <v>826</v>
      </c>
      <c r="AN270" s="1">
        <v>824</v>
      </c>
      <c r="AO270" s="1">
        <v>850</v>
      </c>
      <c r="AP270" s="1">
        <v>904</v>
      </c>
      <c r="AQ270" s="1">
        <v>919</v>
      </c>
      <c r="AR270" s="1">
        <v>940</v>
      </c>
      <c r="AS270" s="1">
        <v>985</v>
      </c>
      <c r="AT270" s="1">
        <v>999</v>
      </c>
      <c r="AU270" s="1">
        <v>999</v>
      </c>
      <c r="AV270" s="1">
        <v>1066</v>
      </c>
      <c r="AW270" s="1">
        <v>1039</v>
      </c>
      <c r="AX270" s="1">
        <v>1143</v>
      </c>
      <c r="AY270" s="1">
        <v>1143</v>
      </c>
      <c r="AZ270" s="1">
        <v>1161</v>
      </c>
      <c r="BA270" s="1">
        <v>1146</v>
      </c>
      <c r="BB270" s="1">
        <v>1111</v>
      </c>
      <c r="BC270" s="1">
        <v>1096</v>
      </c>
      <c r="BD270" s="1">
        <v>1146</v>
      </c>
      <c r="BE270" s="1">
        <v>1201</v>
      </c>
      <c r="BF270" s="1">
        <v>1202</v>
      </c>
      <c r="BG270" s="1">
        <v>1191</v>
      </c>
      <c r="BH270" s="1">
        <v>1178</v>
      </c>
      <c r="BI270" s="1">
        <v>1216</v>
      </c>
      <c r="BJ270" s="1">
        <v>1272</v>
      </c>
      <c r="BK270" s="1">
        <v>1242</v>
      </c>
      <c r="BL270" s="1">
        <v>1303</v>
      </c>
      <c r="BM270" s="1">
        <v>1309</v>
      </c>
      <c r="BN270" s="1">
        <v>1250</v>
      </c>
      <c r="BO270" s="1">
        <v>1240</v>
      </c>
      <c r="BP270" s="1">
        <v>1182</v>
      </c>
      <c r="BQ270" s="1">
        <v>1175</v>
      </c>
      <c r="BR270" s="1">
        <v>1188</v>
      </c>
      <c r="BS270" s="1">
        <v>1206</v>
      </c>
      <c r="BT270" s="1">
        <v>1253</v>
      </c>
      <c r="BU270" s="1">
        <v>1282</v>
      </c>
      <c r="BV270" s="1">
        <v>1236</v>
      </c>
      <c r="BW270" s="1">
        <v>1294</v>
      </c>
      <c r="BX270" s="1">
        <v>1289</v>
      </c>
      <c r="BY270" s="1">
        <v>1282</v>
      </c>
      <c r="BZ270" s="1">
        <v>1340</v>
      </c>
    </row>
    <row r="271" spans="1:254">
      <c r="A271" s="74" t="s">
        <v>484</v>
      </c>
      <c r="B271" s="1" t="str">
        <f>銘柄管理!C271</f>
        <v>三菱製紙</v>
      </c>
      <c r="C271" s="541">
        <f>_xll.RssMarket("3864","始値")</f>
        <v>1176</v>
      </c>
      <c r="E271" s="547">
        <v>1176</v>
      </c>
      <c r="F271" s="1">
        <v>1150</v>
      </c>
      <c r="G271" s="1">
        <v>1115</v>
      </c>
      <c r="H271" s="1">
        <v>1150</v>
      </c>
      <c r="I271" s="1">
        <v>1125</v>
      </c>
      <c r="J271" s="1">
        <v>1112</v>
      </c>
      <c r="K271" s="1">
        <v>1115</v>
      </c>
      <c r="L271" s="1">
        <v>1140</v>
      </c>
      <c r="M271" s="1">
        <v>1150</v>
      </c>
      <c r="N271" s="1">
        <v>1197</v>
      </c>
      <c r="O271" s="1">
        <v>1160</v>
      </c>
      <c r="P271" s="1">
        <v>1145</v>
      </c>
      <c r="Q271" s="1">
        <v>1099</v>
      </c>
      <c r="R271" s="1">
        <v>1095</v>
      </c>
      <c r="S271" s="1">
        <v>1095</v>
      </c>
      <c r="T271" s="1">
        <v>1059</v>
      </c>
      <c r="U271" s="1">
        <v>1010</v>
      </c>
      <c r="V271" s="1">
        <v>1009</v>
      </c>
      <c r="W271" s="1">
        <v>1007</v>
      </c>
      <c r="X271" s="1">
        <v>998</v>
      </c>
      <c r="Y271" s="1">
        <v>1015</v>
      </c>
      <c r="Z271" s="1">
        <v>1021</v>
      </c>
      <c r="AA271" s="1">
        <v>1005</v>
      </c>
      <c r="AB271" s="1">
        <v>1005</v>
      </c>
      <c r="AC271" s="1">
        <v>1019</v>
      </c>
      <c r="AD271" s="1">
        <v>1015</v>
      </c>
      <c r="AE271" s="1">
        <v>1040</v>
      </c>
      <c r="AF271" s="1">
        <v>1039</v>
      </c>
      <c r="AG271" s="1">
        <v>1033</v>
      </c>
      <c r="AH271" s="1">
        <v>1024</v>
      </c>
      <c r="AI271" s="1">
        <v>1035</v>
      </c>
      <c r="AJ271" s="1">
        <v>1031</v>
      </c>
      <c r="AK271" s="1">
        <v>1045</v>
      </c>
      <c r="AL271" s="1">
        <v>1077</v>
      </c>
      <c r="AM271" s="1">
        <v>1076</v>
      </c>
      <c r="AN271" s="1">
        <v>1091</v>
      </c>
      <c r="AO271" s="1">
        <v>1074</v>
      </c>
      <c r="AP271" s="1">
        <v>1062</v>
      </c>
      <c r="AQ271" s="1">
        <v>1067</v>
      </c>
      <c r="AR271" s="1">
        <v>1063</v>
      </c>
      <c r="AS271" s="1">
        <v>1047</v>
      </c>
      <c r="AT271" s="1">
        <v>1053</v>
      </c>
      <c r="AU271" s="1">
        <v>1060</v>
      </c>
      <c r="AV271" s="1">
        <v>1048</v>
      </c>
      <c r="AW271" s="1">
        <v>1054</v>
      </c>
      <c r="AX271" s="1">
        <v>1137</v>
      </c>
      <c r="AY271" s="1">
        <v>1102</v>
      </c>
      <c r="AZ271" s="1">
        <v>1097</v>
      </c>
      <c r="BA271" s="1">
        <v>1099</v>
      </c>
      <c r="BB271" s="1">
        <v>1090</v>
      </c>
      <c r="BC271" s="1">
        <v>1060</v>
      </c>
      <c r="BD271" s="1">
        <v>1020</v>
      </c>
      <c r="BE271" s="1">
        <v>1046</v>
      </c>
      <c r="BF271" s="1">
        <v>993</v>
      </c>
      <c r="BG271" s="1">
        <v>958</v>
      </c>
      <c r="BH271" s="1">
        <v>902</v>
      </c>
      <c r="BI271" s="1">
        <v>931</v>
      </c>
      <c r="BJ271" s="1">
        <v>937</v>
      </c>
      <c r="BK271" s="1">
        <v>936</v>
      </c>
      <c r="BL271" s="1">
        <v>937</v>
      </c>
      <c r="BM271" s="1">
        <v>940</v>
      </c>
      <c r="BN271" s="1">
        <v>929</v>
      </c>
      <c r="BO271" s="1">
        <v>940</v>
      </c>
      <c r="BP271" s="1">
        <v>945</v>
      </c>
      <c r="BQ271" s="1">
        <v>960</v>
      </c>
      <c r="BR271" s="1">
        <v>951</v>
      </c>
      <c r="BS271" s="1">
        <v>961</v>
      </c>
      <c r="BT271" s="1">
        <v>985</v>
      </c>
      <c r="BU271" s="1">
        <v>973</v>
      </c>
      <c r="BV271" s="1">
        <v>990</v>
      </c>
      <c r="BW271" s="1">
        <v>974</v>
      </c>
      <c r="BX271" s="1">
        <v>956</v>
      </c>
      <c r="BY271" s="1">
        <v>925</v>
      </c>
      <c r="BZ271" s="1">
        <v>923</v>
      </c>
    </row>
    <row r="272" spans="1:254">
      <c r="A272" s="74" t="s">
        <v>485</v>
      </c>
      <c r="B272" s="1" t="str">
        <f>銘柄管理!C272</f>
        <v>日本ケミコン</v>
      </c>
      <c r="C272" s="541">
        <f>_xll.RssMarket("6997","始値")</f>
        <v>3365</v>
      </c>
      <c r="E272" s="547">
        <v>3365</v>
      </c>
      <c r="F272" s="1">
        <v>3385</v>
      </c>
      <c r="G272" s="1">
        <v>3190</v>
      </c>
      <c r="H272" s="1">
        <v>2988</v>
      </c>
      <c r="I272" s="1">
        <v>2928</v>
      </c>
      <c r="J272" s="1">
        <v>2571</v>
      </c>
      <c r="K272" s="1">
        <v>2860</v>
      </c>
      <c r="L272" s="1">
        <v>3010</v>
      </c>
      <c r="M272" s="1">
        <v>3310</v>
      </c>
      <c r="N272" s="1">
        <v>3255</v>
      </c>
      <c r="O272" s="1">
        <v>3350</v>
      </c>
      <c r="P272" s="1">
        <v>3370</v>
      </c>
      <c r="Q272" s="1">
        <v>3220</v>
      </c>
      <c r="R272" s="1">
        <v>3350</v>
      </c>
      <c r="S272" s="1">
        <v>3640</v>
      </c>
      <c r="T272" s="1">
        <v>3600</v>
      </c>
      <c r="U272" s="1">
        <v>4025</v>
      </c>
      <c r="V272" s="1">
        <v>3960</v>
      </c>
      <c r="W272" s="1">
        <v>3950</v>
      </c>
      <c r="X272" s="1">
        <v>4180</v>
      </c>
      <c r="Y272" s="1">
        <v>4905</v>
      </c>
      <c r="Z272" s="1">
        <v>5500</v>
      </c>
      <c r="AA272" s="1">
        <v>4980</v>
      </c>
      <c r="AB272" s="1">
        <v>5600</v>
      </c>
      <c r="AC272" s="1">
        <v>5560</v>
      </c>
      <c r="AD272" s="1">
        <v>5600</v>
      </c>
      <c r="AE272" s="1">
        <v>5590</v>
      </c>
      <c r="AF272" s="1">
        <v>5780</v>
      </c>
      <c r="AG272" s="1">
        <v>5680</v>
      </c>
      <c r="AH272" s="1">
        <v>5340</v>
      </c>
      <c r="AI272" s="1">
        <v>5990</v>
      </c>
      <c r="AJ272" s="1">
        <v>6000</v>
      </c>
      <c r="AK272" s="1">
        <v>5630</v>
      </c>
      <c r="AL272" s="1">
        <v>5160</v>
      </c>
      <c r="AM272" s="1">
        <v>4480</v>
      </c>
      <c r="AN272" s="1">
        <v>4720</v>
      </c>
      <c r="AO272" s="1">
        <v>4360</v>
      </c>
      <c r="AP272" s="1">
        <v>4250</v>
      </c>
      <c r="AQ272" s="1">
        <v>3995</v>
      </c>
      <c r="AR272" s="1">
        <v>4355</v>
      </c>
      <c r="AS272" s="1">
        <v>4490</v>
      </c>
      <c r="AT272" s="1">
        <v>4525</v>
      </c>
      <c r="AU272" s="1">
        <v>4570</v>
      </c>
      <c r="AV272" s="1">
        <v>4790</v>
      </c>
      <c r="AW272" s="1">
        <v>5650</v>
      </c>
      <c r="AX272" s="1">
        <v>4800</v>
      </c>
      <c r="AY272" s="1">
        <v>3725</v>
      </c>
      <c r="AZ272" s="1">
        <v>4180</v>
      </c>
      <c r="BA272" s="1">
        <v>3600</v>
      </c>
      <c r="BB272" s="1">
        <v>2973</v>
      </c>
      <c r="BC272" s="1">
        <v>3045</v>
      </c>
      <c r="BD272" s="1">
        <v>3030</v>
      </c>
      <c r="BE272" s="1">
        <v>2894</v>
      </c>
      <c r="BF272" s="1">
        <v>2995</v>
      </c>
      <c r="BG272" s="1">
        <v>3485</v>
      </c>
      <c r="BH272" s="1">
        <v>3250</v>
      </c>
      <c r="BI272" s="1">
        <v>3140</v>
      </c>
      <c r="BJ272" s="1">
        <v>3235</v>
      </c>
      <c r="BK272" s="1">
        <v>3230</v>
      </c>
      <c r="BL272" s="1">
        <v>2919</v>
      </c>
      <c r="BM272" s="1">
        <v>2751</v>
      </c>
      <c r="BN272" s="1">
        <v>2610</v>
      </c>
      <c r="BO272" s="1">
        <v>2412</v>
      </c>
      <c r="BP272" s="1">
        <v>2299</v>
      </c>
      <c r="BQ272" s="1">
        <v>2304</v>
      </c>
      <c r="BR272" s="1">
        <v>2256</v>
      </c>
      <c r="BS272" s="1">
        <v>2451</v>
      </c>
      <c r="BT272" s="1">
        <v>2346</v>
      </c>
      <c r="BU272" s="1">
        <v>2400</v>
      </c>
      <c r="BV272" s="1">
        <v>2215</v>
      </c>
      <c r="BW272" s="1">
        <v>2218</v>
      </c>
      <c r="BX272" s="1">
        <v>2082</v>
      </c>
      <c r="BY272" s="1">
        <v>1974</v>
      </c>
      <c r="BZ272" s="1">
        <v>1780</v>
      </c>
    </row>
    <row r="273" spans="1:254">
      <c r="A273" s="74" t="s">
        <v>486</v>
      </c>
      <c r="B273" s="1" t="str">
        <f>銘柄管理!C273</f>
        <v>ＨＵグループＨＤ</v>
      </c>
      <c r="C273" s="541">
        <f>_xll.RssMarket("4544","始値")</f>
        <v>3339</v>
      </c>
      <c r="E273" s="547">
        <v>3339</v>
      </c>
      <c r="F273" s="1">
        <v>3346</v>
      </c>
      <c r="G273" s="1">
        <v>3340</v>
      </c>
      <c r="H273" s="1">
        <v>3398</v>
      </c>
      <c r="I273" s="1">
        <v>3435</v>
      </c>
      <c r="J273" s="1">
        <v>3575</v>
      </c>
      <c r="K273" s="1">
        <v>3499</v>
      </c>
      <c r="L273" s="1">
        <v>3485</v>
      </c>
      <c r="M273" s="1">
        <v>3377</v>
      </c>
      <c r="N273" s="1">
        <v>3280</v>
      </c>
      <c r="O273" s="1">
        <v>3322</v>
      </c>
      <c r="P273" s="1">
        <v>3364</v>
      </c>
      <c r="Q273" s="1">
        <v>3367</v>
      </c>
      <c r="R273" s="1">
        <v>3366</v>
      </c>
      <c r="S273" s="1">
        <v>3352</v>
      </c>
      <c r="T273" s="1">
        <v>3382</v>
      </c>
      <c r="U273" s="1">
        <v>3390</v>
      </c>
      <c r="V273" s="1">
        <v>3345</v>
      </c>
      <c r="W273" s="1">
        <v>3476</v>
      </c>
      <c r="X273" s="1">
        <v>3498</v>
      </c>
      <c r="Y273" s="1">
        <v>3430</v>
      </c>
      <c r="Z273" s="1">
        <v>3400</v>
      </c>
      <c r="AA273" s="1">
        <v>3419</v>
      </c>
      <c r="AB273" s="1">
        <v>3328</v>
      </c>
      <c r="AC273" s="1">
        <v>3295</v>
      </c>
      <c r="AD273" s="1">
        <v>3288</v>
      </c>
      <c r="AE273" s="1">
        <v>3255</v>
      </c>
      <c r="AF273" s="1">
        <v>3245</v>
      </c>
      <c r="AG273" s="1">
        <v>3145</v>
      </c>
      <c r="AH273" s="1">
        <v>3147</v>
      </c>
      <c r="AI273" s="1">
        <v>3159</v>
      </c>
      <c r="AJ273" s="1">
        <v>3093</v>
      </c>
      <c r="AK273" s="1">
        <v>3165</v>
      </c>
      <c r="AL273" s="1">
        <v>3126</v>
      </c>
      <c r="AM273" s="1">
        <v>3251</v>
      </c>
      <c r="AN273" s="1">
        <v>3238</v>
      </c>
      <c r="AO273" s="1">
        <v>3379</v>
      </c>
      <c r="AP273" s="1">
        <v>3436</v>
      </c>
      <c r="AQ273" s="1">
        <v>3465</v>
      </c>
      <c r="AR273" s="1">
        <v>3442</v>
      </c>
      <c r="AS273" s="1">
        <v>3293</v>
      </c>
      <c r="AT273" s="1">
        <v>3333</v>
      </c>
      <c r="AU273" s="1">
        <v>3283</v>
      </c>
      <c r="AV273" s="1">
        <v>3121</v>
      </c>
      <c r="AW273" s="1">
        <v>3156</v>
      </c>
      <c r="AX273" s="1">
        <v>3146</v>
      </c>
      <c r="AY273" s="1">
        <v>3156</v>
      </c>
      <c r="AZ273" s="1">
        <v>3144</v>
      </c>
      <c r="BA273" s="1">
        <v>3171</v>
      </c>
      <c r="BB273" s="1">
        <v>3168</v>
      </c>
      <c r="BC273" s="1">
        <v>3225</v>
      </c>
      <c r="BD273" s="1">
        <v>3249</v>
      </c>
      <c r="BE273" s="1">
        <v>3198</v>
      </c>
      <c r="BF273" s="1">
        <v>3204</v>
      </c>
      <c r="BG273" s="1">
        <v>3139</v>
      </c>
      <c r="BH273" s="1">
        <v>3136</v>
      </c>
      <c r="BI273" s="1">
        <v>3100</v>
      </c>
      <c r="BJ273" s="1">
        <v>3141</v>
      </c>
      <c r="BK273" s="1">
        <v>3074</v>
      </c>
      <c r="BL273" s="1">
        <v>3178</v>
      </c>
      <c r="BM273" s="1">
        <v>3112</v>
      </c>
      <c r="BN273" s="1">
        <v>3081</v>
      </c>
      <c r="BO273" s="1">
        <v>3100</v>
      </c>
      <c r="BP273" s="1">
        <v>3281</v>
      </c>
      <c r="BQ273" s="1">
        <v>3205</v>
      </c>
      <c r="BR273" s="1">
        <v>3160</v>
      </c>
      <c r="BS273" s="1">
        <v>3140</v>
      </c>
      <c r="BT273" s="1">
        <v>3125</v>
      </c>
      <c r="BU273" s="1">
        <v>3161</v>
      </c>
      <c r="BV273" s="1">
        <v>3146</v>
      </c>
      <c r="BW273" s="1">
        <v>3182</v>
      </c>
      <c r="BX273" s="1">
        <v>3188</v>
      </c>
      <c r="BY273" s="1">
        <v>3165</v>
      </c>
      <c r="BZ273" s="1">
        <v>3143</v>
      </c>
    </row>
    <row r="274" spans="1:254">
      <c r="A274" s="74" t="s">
        <v>487</v>
      </c>
      <c r="B274" s="1" t="str">
        <f>銘柄管理!C274</f>
        <v>東亜ディーケーケー</v>
      </c>
      <c r="C274" s="541">
        <f>_xll.RssMarket("6848","始値")</f>
        <v>856</v>
      </c>
      <c r="E274" s="547">
        <v>856</v>
      </c>
      <c r="F274" s="1">
        <v>862</v>
      </c>
      <c r="G274" s="1">
        <v>859</v>
      </c>
      <c r="H274" s="1">
        <v>853</v>
      </c>
      <c r="I274" s="1">
        <v>855</v>
      </c>
      <c r="J274" s="1">
        <v>852</v>
      </c>
      <c r="K274" s="1">
        <v>850</v>
      </c>
      <c r="L274" s="1">
        <v>853</v>
      </c>
      <c r="M274" s="1">
        <v>857</v>
      </c>
      <c r="O274" s="1">
        <v>853</v>
      </c>
      <c r="P274" s="1">
        <v>856</v>
      </c>
      <c r="Q274" s="1">
        <v>854</v>
      </c>
      <c r="R274" s="1">
        <v>856</v>
      </c>
      <c r="S274" s="1">
        <v>855</v>
      </c>
      <c r="T274" s="1">
        <v>854</v>
      </c>
      <c r="U274" s="1">
        <v>854</v>
      </c>
      <c r="V274" s="1">
        <v>854</v>
      </c>
      <c r="W274" s="1">
        <v>856</v>
      </c>
      <c r="X274" s="1">
        <v>862</v>
      </c>
      <c r="Y274" s="1">
        <v>869</v>
      </c>
      <c r="Z274" s="1">
        <v>862</v>
      </c>
      <c r="AA274" s="1">
        <v>858</v>
      </c>
      <c r="AB274" s="1">
        <v>854</v>
      </c>
      <c r="AC274" s="1">
        <v>874</v>
      </c>
      <c r="AD274" s="1">
        <v>860</v>
      </c>
      <c r="AE274" s="1">
        <v>868</v>
      </c>
      <c r="AF274" s="1">
        <v>856</v>
      </c>
      <c r="AG274" s="1">
        <v>860</v>
      </c>
      <c r="AH274" s="1">
        <v>860</v>
      </c>
      <c r="AI274" s="1">
        <v>886</v>
      </c>
      <c r="AJ274" s="1">
        <v>867</v>
      </c>
      <c r="AK274" s="1">
        <v>858</v>
      </c>
      <c r="AL274" s="1">
        <v>862</v>
      </c>
      <c r="AM274" s="1">
        <v>856</v>
      </c>
      <c r="AN274" s="1">
        <v>859</v>
      </c>
      <c r="AO274" s="1">
        <v>853</v>
      </c>
      <c r="AP274" s="1">
        <v>877</v>
      </c>
      <c r="AQ274" s="1">
        <v>848</v>
      </c>
      <c r="AR274" s="1">
        <v>850</v>
      </c>
      <c r="AS274" s="1">
        <v>852</v>
      </c>
      <c r="AT274" s="1">
        <v>851</v>
      </c>
      <c r="AU274" s="1">
        <v>861</v>
      </c>
      <c r="AV274" s="1">
        <v>869</v>
      </c>
      <c r="AW274" s="1">
        <v>856</v>
      </c>
      <c r="AX274" s="1">
        <v>862</v>
      </c>
      <c r="AY274" s="1">
        <v>865</v>
      </c>
      <c r="AZ274" s="1">
        <v>859</v>
      </c>
      <c r="BA274" s="1">
        <v>865</v>
      </c>
      <c r="BB274" s="1">
        <v>865</v>
      </c>
      <c r="BC274" s="1">
        <v>850</v>
      </c>
      <c r="BD274" s="1">
        <v>875</v>
      </c>
      <c r="BE274" s="1">
        <v>877</v>
      </c>
      <c r="BF274" s="1">
        <v>870</v>
      </c>
      <c r="BG274" s="1">
        <v>871</v>
      </c>
      <c r="BH274" s="1">
        <v>877</v>
      </c>
      <c r="BI274" s="1">
        <v>869</v>
      </c>
      <c r="BJ274" s="1">
        <v>880</v>
      </c>
      <c r="BK274" s="1">
        <v>883</v>
      </c>
      <c r="BL274" s="1">
        <v>874</v>
      </c>
      <c r="BM274" s="1">
        <v>869</v>
      </c>
      <c r="BN274" s="1">
        <v>865</v>
      </c>
      <c r="BO274" s="1">
        <v>876</v>
      </c>
      <c r="BP274" s="1">
        <v>870</v>
      </c>
      <c r="BQ274" s="1">
        <v>880</v>
      </c>
      <c r="BR274" s="1">
        <v>874</v>
      </c>
      <c r="BS274" s="1">
        <v>883</v>
      </c>
      <c r="BT274" s="1">
        <v>884</v>
      </c>
      <c r="BU274" s="1">
        <v>880</v>
      </c>
      <c r="BV274" s="1">
        <v>884</v>
      </c>
      <c r="BW274" s="1">
        <v>872</v>
      </c>
      <c r="BX274" s="1">
        <v>871</v>
      </c>
      <c r="BY274" s="1">
        <v>875</v>
      </c>
      <c r="BZ274" s="1">
        <v>875</v>
      </c>
    </row>
    <row r="275" spans="1:254">
      <c r="A275" s="74" t="s">
        <v>488</v>
      </c>
      <c r="B275" s="1" t="str">
        <f>銘柄管理!C275</f>
        <v>大紀アルミニウム</v>
      </c>
      <c r="C275" s="541">
        <f>_xll.RssMarket("5702","始値")</f>
        <v>1780</v>
      </c>
      <c r="E275" s="547">
        <v>1780</v>
      </c>
      <c r="F275" s="1">
        <v>1550</v>
      </c>
      <c r="G275" s="1">
        <v>1530</v>
      </c>
      <c r="H275" s="1">
        <v>1472</v>
      </c>
      <c r="I275" s="1">
        <v>1476</v>
      </c>
      <c r="J275" s="1">
        <v>1441</v>
      </c>
      <c r="K275" s="1">
        <v>1461</v>
      </c>
      <c r="L275" s="1">
        <v>1486</v>
      </c>
      <c r="M275" s="1">
        <v>1507</v>
      </c>
      <c r="N275" s="1">
        <v>1500</v>
      </c>
      <c r="O275" s="1">
        <v>1498</v>
      </c>
      <c r="P275" s="1">
        <v>1498</v>
      </c>
      <c r="Q275" s="1">
        <v>1456</v>
      </c>
      <c r="R275" s="1">
        <v>1491</v>
      </c>
      <c r="S275" s="1">
        <v>1517</v>
      </c>
      <c r="T275" s="1">
        <v>1465</v>
      </c>
      <c r="U275" s="1">
        <v>1485</v>
      </c>
      <c r="V275" s="1">
        <v>1477</v>
      </c>
      <c r="W275" s="1">
        <v>1454</v>
      </c>
      <c r="X275" s="1">
        <v>1470</v>
      </c>
      <c r="Y275" s="1">
        <v>1520</v>
      </c>
      <c r="Z275" s="1">
        <v>1526</v>
      </c>
      <c r="AA275" s="1">
        <v>1489</v>
      </c>
      <c r="AB275" s="1">
        <v>1500</v>
      </c>
      <c r="AC275" s="1">
        <v>1483</v>
      </c>
      <c r="AD275" s="1">
        <v>1490</v>
      </c>
      <c r="AE275" s="1">
        <v>1525</v>
      </c>
      <c r="AF275" s="1">
        <v>1534</v>
      </c>
      <c r="AG275" s="1">
        <v>1590</v>
      </c>
      <c r="AH275" s="1">
        <v>1610</v>
      </c>
      <c r="AI275" s="1">
        <v>1645</v>
      </c>
      <c r="AJ275" s="1">
        <v>1666</v>
      </c>
      <c r="AK275" s="1">
        <v>1678</v>
      </c>
      <c r="AL275" s="1">
        <v>1719</v>
      </c>
      <c r="AM275" s="1">
        <v>1745</v>
      </c>
      <c r="AN275" s="1">
        <v>1798</v>
      </c>
      <c r="AO275" s="1">
        <v>1877</v>
      </c>
      <c r="AP275" s="1">
        <v>1850</v>
      </c>
      <c r="AQ275" s="1">
        <v>1800</v>
      </c>
      <c r="AR275" s="1">
        <v>1800</v>
      </c>
      <c r="AS275" s="1">
        <v>1823</v>
      </c>
      <c r="AT275" s="1">
        <v>1885</v>
      </c>
      <c r="AU275" s="1">
        <v>1957</v>
      </c>
      <c r="AV275" s="1">
        <v>2020</v>
      </c>
      <c r="AW275" s="1">
        <v>1903</v>
      </c>
      <c r="AX275" s="1">
        <v>1993</v>
      </c>
      <c r="AY275" s="1">
        <v>1971</v>
      </c>
      <c r="AZ275" s="1">
        <v>2070</v>
      </c>
      <c r="BA275" s="1">
        <v>1931</v>
      </c>
      <c r="BB275" s="1">
        <v>1895</v>
      </c>
      <c r="BC275" s="1">
        <v>1823</v>
      </c>
      <c r="BD275" s="1">
        <v>1800</v>
      </c>
      <c r="BE275" s="1">
        <v>1802</v>
      </c>
      <c r="BF275" s="1">
        <v>1820</v>
      </c>
      <c r="BG275" s="1">
        <v>1853</v>
      </c>
      <c r="BH275" s="1">
        <v>1590</v>
      </c>
      <c r="BI275" s="1">
        <v>1569</v>
      </c>
      <c r="BJ275" s="1">
        <v>1612</v>
      </c>
      <c r="BK275" s="1">
        <v>1613</v>
      </c>
      <c r="BL275" s="1">
        <v>1550</v>
      </c>
      <c r="BM275" s="1">
        <v>1531</v>
      </c>
      <c r="BN275" s="1">
        <v>1485</v>
      </c>
      <c r="BO275" s="1">
        <v>1461</v>
      </c>
      <c r="BP275" s="1">
        <v>1470</v>
      </c>
      <c r="BQ275" s="1">
        <v>1440</v>
      </c>
      <c r="BR275" s="1">
        <v>1454</v>
      </c>
      <c r="BS275" s="1">
        <v>1475</v>
      </c>
      <c r="BT275" s="1">
        <v>1491</v>
      </c>
      <c r="BU275" s="1">
        <v>1530</v>
      </c>
      <c r="BV275" s="1">
        <v>1518</v>
      </c>
      <c r="BW275" s="1">
        <v>1555</v>
      </c>
      <c r="BX275" s="1">
        <v>1575</v>
      </c>
      <c r="BY275" s="1">
        <v>1595</v>
      </c>
      <c r="BZ275" s="1">
        <v>1590</v>
      </c>
    </row>
    <row r="276" spans="1:254">
      <c r="A276" s="74" t="s">
        <v>489</v>
      </c>
      <c r="B276" s="1" t="str">
        <f>銘柄管理!C276</f>
        <v>河合楽器</v>
      </c>
      <c r="C276" s="541">
        <f>_xll.RssMarket("7952","始値")</f>
        <v>3515</v>
      </c>
      <c r="E276" s="547">
        <v>3515</v>
      </c>
      <c r="F276" s="1">
        <v>3565</v>
      </c>
      <c r="G276" s="1">
        <v>3550</v>
      </c>
      <c r="H276" s="1">
        <v>3420</v>
      </c>
      <c r="I276" s="1">
        <v>3370</v>
      </c>
      <c r="J276" s="1">
        <v>3365</v>
      </c>
      <c r="K276" s="1">
        <v>3240</v>
      </c>
      <c r="L276" s="1">
        <v>3270</v>
      </c>
      <c r="M276" s="1">
        <v>3275</v>
      </c>
      <c r="N276" s="1">
        <v>3300</v>
      </c>
      <c r="O276" s="1">
        <v>3280</v>
      </c>
      <c r="P276" s="1">
        <v>3270</v>
      </c>
      <c r="Q276" s="1">
        <v>3270</v>
      </c>
      <c r="R276" s="1">
        <v>3300</v>
      </c>
      <c r="S276" s="1">
        <v>3190</v>
      </c>
      <c r="T276" s="1">
        <v>3195</v>
      </c>
      <c r="U276" s="1">
        <v>3205</v>
      </c>
      <c r="V276" s="1">
        <v>3260</v>
      </c>
      <c r="W276" s="1">
        <v>3190</v>
      </c>
      <c r="X276" s="1">
        <v>3245</v>
      </c>
      <c r="Y276" s="1">
        <v>3275</v>
      </c>
      <c r="Z276" s="1">
        <v>3285</v>
      </c>
      <c r="AA276" s="1">
        <v>3195</v>
      </c>
      <c r="AB276" s="1">
        <v>3235</v>
      </c>
      <c r="AC276" s="1">
        <v>3240</v>
      </c>
      <c r="AD276" s="1">
        <v>3210</v>
      </c>
      <c r="AE276" s="1">
        <v>3380</v>
      </c>
      <c r="AF276" s="1">
        <v>3340</v>
      </c>
      <c r="AG276" s="1">
        <v>3320</v>
      </c>
      <c r="AH276" s="1">
        <v>3250</v>
      </c>
      <c r="AI276" s="1">
        <v>3300</v>
      </c>
      <c r="AJ276" s="1">
        <v>3350</v>
      </c>
      <c r="AK276" s="1">
        <v>3295</v>
      </c>
      <c r="AL276" s="1">
        <v>3250</v>
      </c>
      <c r="AM276" s="1">
        <v>3250</v>
      </c>
      <c r="AN276" s="1">
        <v>3195</v>
      </c>
      <c r="AO276" s="1">
        <v>3070</v>
      </c>
      <c r="AP276" s="1">
        <v>3020</v>
      </c>
      <c r="AQ276" s="1">
        <v>3065</v>
      </c>
      <c r="AR276" s="1">
        <v>3155</v>
      </c>
      <c r="AS276" s="1">
        <v>3130</v>
      </c>
      <c r="AT276" s="1">
        <v>3185</v>
      </c>
      <c r="AU276" s="1">
        <v>3200</v>
      </c>
      <c r="AV276" s="1">
        <v>3145</v>
      </c>
      <c r="AW276" s="1">
        <v>3250</v>
      </c>
      <c r="AX276" s="1">
        <v>3250</v>
      </c>
      <c r="AY276" s="1">
        <v>3035</v>
      </c>
      <c r="AZ276" s="1">
        <v>3020</v>
      </c>
      <c r="BA276" s="1">
        <v>2991</v>
      </c>
      <c r="BB276" s="1">
        <v>2993</v>
      </c>
      <c r="BC276" s="1">
        <v>2937</v>
      </c>
      <c r="BD276" s="1">
        <v>3100</v>
      </c>
      <c r="BE276" s="1">
        <v>3135</v>
      </c>
      <c r="BF276" s="1">
        <v>3125</v>
      </c>
      <c r="BG276" s="1">
        <v>3075</v>
      </c>
      <c r="BH276" s="1">
        <v>2981</v>
      </c>
      <c r="BI276" s="1">
        <v>2940</v>
      </c>
      <c r="BJ276" s="1">
        <v>2810</v>
      </c>
      <c r="BK276" s="1">
        <v>2719</v>
      </c>
      <c r="BL276" s="1">
        <v>2783</v>
      </c>
      <c r="BM276" s="1">
        <v>2810</v>
      </c>
      <c r="BN276" s="1">
        <v>2758</v>
      </c>
      <c r="BO276" s="1">
        <v>2800</v>
      </c>
      <c r="BP276" s="1">
        <v>2876</v>
      </c>
      <c r="BQ276" s="1">
        <v>2834</v>
      </c>
      <c r="BR276" s="1">
        <v>2899</v>
      </c>
      <c r="BS276" s="1">
        <v>3005</v>
      </c>
      <c r="BT276" s="1">
        <v>3065</v>
      </c>
      <c r="BU276" s="1">
        <v>3075</v>
      </c>
      <c r="BV276" s="1">
        <v>3050</v>
      </c>
      <c r="BW276" s="1">
        <v>3130</v>
      </c>
      <c r="BX276" s="1">
        <v>3070</v>
      </c>
      <c r="BY276" s="1">
        <v>3020</v>
      </c>
      <c r="BZ276" s="1">
        <v>3005</v>
      </c>
    </row>
    <row r="277" spans="1:254">
      <c r="A277" s="74" t="s">
        <v>490</v>
      </c>
      <c r="B277" s="1" t="str">
        <f>銘柄管理!C277</f>
        <v>グンゼ</v>
      </c>
      <c r="C277" s="541">
        <f>_xll.RssMarket("3002","始値")</f>
        <v>4150</v>
      </c>
      <c r="E277" s="547">
        <v>4150</v>
      </c>
      <c r="F277" s="1">
        <v>4020</v>
      </c>
      <c r="G277" s="1">
        <v>3980</v>
      </c>
      <c r="H277" s="1">
        <v>4040</v>
      </c>
      <c r="I277" s="1">
        <v>4060</v>
      </c>
      <c r="J277" s="1">
        <v>4040</v>
      </c>
      <c r="K277" s="1">
        <v>4075</v>
      </c>
      <c r="L277" s="1">
        <v>4075</v>
      </c>
      <c r="M277" s="1">
        <v>4000</v>
      </c>
      <c r="O277" s="1">
        <v>3975</v>
      </c>
      <c r="P277" s="1">
        <v>4000</v>
      </c>
      <c r="Q277" s="1">
        <v>3990</v>
      </c>
      <c r="R277" s="1">
        <v>3985</v>
      </c>
      <c r="S277" s="1">
        <v>4000</v>
      </c>
      <c r="T277" s="1">
        <v>3970</v>
      </c>
      <c r="U277" s="1">
        <v>3980</v>
      </c>
      <c r="V277" s="1">
        <v>4030</v>
      </c>
      <c r="W277" s="1">
        <v>4015</v>
      </c>
      <c r="X277" s="1">
        <v>4030</v>
      </c>
      <c r="Y277" s="1">
        <v>4050</v>
      </c>
      <c r="Z277" s="1">
        <v>4020</v>
      </c>
      <c r="AA277" s="1">
        <v>3945</v>
      </c>
      <c r="AB277" s="1">
        <v>3860</v>
      </c>
      <c r="AC277" s="1">
        <v>3865</v>
      </c>
      <c r="AD277" s="1">
        <v>3890</v>
      </c>
      <c r="AE277" s="1">
        <v>3860</v>
      </c>
      <c r="AF277" s="1">
        <v>3875</v>
      </c>
      <c r="AG277" s="1">
        <v>3850</v>
      </c>
      <c r="AH277" s="1">
        <v>3830</v>
      </c>
      <c r="AI277" s="1">
        <v>3835</v>
      </c>
      <c r="AJ277" s="1">
        <v>3835</v>
      </c>
      <c r="AK277" s="1">
        <v>3850</v>
      </c>
      <c r="AL277" s="1">
        <v>3840</v>
      </c>
      <c r="AM277" s="1">
        <v>3810</v>
      </c>
      <c r="AN277" s="1">
        <v>3815</v>
      </c>
      <c r="AO277" s="1">
        <v>3845</v>
      </c>
      <c r="AP277" s="1">
        <v>3800</v>
      </c>
      <c r="AQ277" s="1">
        <v>3735</v>
      </c>
      <c r="AR277" s="1">
        <v>3725</v>
      </c>
      <c r="AS277" s="1">
        <v>3680</v>
      </c>
      <c r="AT277" s="1">
        <v>3700</v>
      </c>
      <c r="AU277" s="1">
        <v>3690</v>
      </c>
      <c r="AV277" s="1">
        <v>3685</v>
      </c>
      <c r="AW277" s="1">
        <v>3690</v>
      </c>
      <c r="AX277" s="1">
        <v>3715</v>
      </c>
      <c r="AY277" s="1">
        <v>3700</v>
      </c>
      <c r="AZ277" s="1">
        <v>3670</v>
      </c>
      <c r="BA277" s="1">
        <v>3655</v>
      </c>
      <c r="BB277" s="1">
        <v>3695</v>
      </c>
      <c r="BC277" s="1">
        <v>3670</v>
      </c>
      <c r="BD277" s="1">
        <v>3715</v>
      </c>
      <c r="BE277" s="1">
        <v>3725</v>
      </c>
      <c r="BF277" s="1">
        <v>3740</v>
      </c>
      <c r="BG277" s="1">
        <v>3680</v>
      </c>
      <c r="BH277" s="1">
        <v>3580</v>
      </c>
      <c r="BI277" s="1">
        <v>3590</v>
      </c>
      <c r="BJ277" s="1">
        <v>3625</v>
      </c>
      <c r="BK277" s="1">
        <v>3625</v>
      </c>
      <c r="BL277" s="1">
        <v>3630</v>
      </c>
      <c r="BM277" s="1">
        <v>3620</v>
      </c>
      <c r="BN277" s="1">
        <v>3600</v>
      </c>
      <c r="BO277" s="1">
        <v>3665</v>
      </c>
      <c r="BP277" s="1">
        <v>3680</v>
      </c>
      <c r="BQ277" s="1">
        <v>3655</v>
      </c>
      <c r="BR277" s="1">
        <v>3730</v>
      </c>
      <c r="BS277" s="1">
        <v>3730</v>
      </c>
      <c r="BT277" s="1">
        <v>3825</v>
      </c>
      <c r="BU277" s="1">
        <v>3950</v>
      </c>
      <c r="BV277" s="1">
        <v>3925</v>
      </c>
      <c r="BW277" s="1">
        <v>3920</v>
      </c>
      <c r="BX277" s="1">
        <v>3880</v>
      </c>
      <c r="BY277" s="1">
        <v>3890</v>
      </c>
      <c r="BZ277" s="1">
        <v>3900</v>
      </c>
    </row>
    <row r="278" spans="1:254">
      <c r="A278" s="74" t="s">
        <v>491</v>
      </c>
      <c r="B278" s="1" t="str">
        <f>銘柄管理!C278</f>
        <v>ゴールドクレスト</v>
      </c>
      <c r="C278" s="541">
        <f>_xll.RssMarket("8871","始値")</f>
        <v>3240</v>
      </c>
      <c r="E278" s="547">
        <v>3240</v>
      </c>
      <c r="F278" s="1">
        <v>3220</v>
      </c>
      <c r="G278" s="1">
        <v>3255</v>
      </c>
      <c r="H278" s="1">
        <v>3315</v>
      </c>
      <c r="I278" s="1">
        <v>3310</v>
      </c>
      <c r="J278" s="1">
        <v>3355</v>
      </c>
      <c r="K278" s="1">
        <v>3370</v>
      </c>
      <c r="L278" s="1">
        <v>3350</v>
      </c>
      <c r="M278" s="1">
        <v>3330</v>
      </c>
      <c r="O278" s="1">
        <v>3365</v>
      </c>
      <c r="P278" s="1">
        <v>3380</v>
      </c>
      <c r="Q278" s="1">
        <v>3350</v>
      </c>
      <c r="R278" s="1">
        <v>3390</v>
      </c>
      <c r="S278" s="1">
        <v>3375</v>
      </c>
      <c r="T278" s="1">
        <v>3375</v>
      </c>
      <c r="U278" s="1">
        <v>3355</v>
      </c>
      <c r="V278" s="1">
        <v>3370</v>
      </c>
      <c r="W278" s="1">
        <v>3365</v>
      </c>
      <c r="X278" s="1">
        <v>3415</v>
      </c>
      <c r="Y278" s="1">
        <v>3330</v>
      </c>
      <c r="Z278" s="1">
        <v>3300</v>
      </c>
      <c r="AA278" s="1">
        <v>3285</v>
      </c>
      <c r="AB278" s="1">
        <v>3295</v>
      </c>
      <c r="AC278" s="1">
        <v>3240</v>
      </c>
      <c r="AD278" s="1">
        <v>3340</v>
      </c>
      <c r="AE278" s="1">
        <v>3290</v>
      </c>
      <c r="AF278" s="1">
        <v>3220</v>
      </c>
      <c r="AG278" s="1">
        <v>3225</v>
      </c>
      <c r="AH278" s="1">
        <v>3230</v>
      </c>
      <c r="AI278" s="1">
        <v>3230</v>
      </c>
      <c r="AJ278" s="1">
        <v>3290</v>
      </c>
      <c r="AK278" s="1">
        <v>3235</v>
      </c>
      <c r="AL278" s="1">
        <v>3260</v>
      </c>
      <c r="AM278" s="1">
        <v>3305</v>
      </c>
      <c r="AN278" s="1">
        <v>3310</v>
      </c>
      <c r="AO278" s="1">
        <v>3420</v>
      </c>
      <c r="AP278" s="1">
        <v>3305</v>
      </c>
      <c r="AQ278" s="1">
        <v>3330</v>
      </c>
      <c r="AR278" s="1">
        <v>3275</v>
      </c>
      <c r="AS278" s="1">
        <v>3250</v>
      </c>
      <c r="AT278" s="1">
        <v>3240</v>
      </c>
      <c r="AU278" s="1">
        <v>3300</v>
      </c>
      <c r="AV278" s="1">
        <v>3400</v>
      </c>
      <c r="AW278" s="1">
        <v>3470</v>
      </c>
      <c r="AX278" s="1">
        <v>3585</v>
      </c>
      <c r="AY278" s="1">
        <v>3540</v>
      </c>
      <c r="AZ278" s="1">
        <v>3600</v>
      </c>
      <c r="BA278" s="1">
        <v>3505</v>
      </c>
      <c r="BB278" s="1">
        <v>3585</v>
      </c>
      <c r="BC278" s="1">
        <v>3600</v>
      </c>
      <c r="BD278" s="1">
        <v>3660</v>
      </c>
      <c r="BE278" s="1">
        <v>3675</v>
      </c>
      <c r="BF278" s="1">
        <v>3705</v>
      </c>
      <c r="BG278" s="1">
        <v>3850</v>
      </c>
      <c r="BH278" s="1">
        <v>3285</v>
      </c>
      <c r="BI278" s="1">
        <v>3345</v>
      </c>
      <c r="BJ278" s="1">
        <v>3320</v>
      </c>
      <c r="BK278" s="1">
        <v>3305</v>
      </c>
      <c r="BL278" s="1">
        <v>3335</v>
      </c>
      <c r="BM278" s="1">
        <v>3325</v>
      </c>
      <c r="BN278" s="1">
        <v>3325</v>
      </c>
      <c r="BO278" s="1">
        <v>3320</v>
      </c>
      <c r="BP278" s="1">
        <v>3335</v>
      </c>
      <c r="BQ278" s="1">
        <v>3290</v>
      </c>
      <c r="BR278" s="1">
        <v>3320</v>
      </c>
      <c r="BS278" s="1">
        <v>3290</v>
      </c>
      <c r="BT278" s="1">
        <v>3395</v>
      </c>
      <c r="BU278" s="1">
        <v>3440</v>
      </c>
      <c r="BV278" s="1">
        <v>3420</v>
      </c>
      <c r="BW278" s="1">
        <v>3465</v>
      </c>
      <c r="BX278" s="1">
        <v>3480</v>
      </c>
      <c r="BY278" s="1">
        <v>3440</v>
      </c>
      <c r="BZ278" s="1">
        <v>3500</v>
      </c>
    </row>
    <row r="279" spans="1:254">
      <c r="A279" s="74" t="s">
        <v>492</v>
      </c>
      <c r="B279" s="1" t="str">
        <f>銘柄管理!C279</f>
        <v>アバールデータ</v>
      </c>
      <c r="C279" s="541">
        <f>_xll.RssMarket("6918","始値")</f>
        <v>3295</v>
      </c>
      <c r="E279" s="547">
        <v>3295</v>
      </c>
      <c r="F279" s="1">
        <v>3230</v>
      </c>
      <c r="G279" s="1">
        <v>3115</v>
      </c>
      <c r="H279" s="1">
        <v>3050</v>
      </c>
      <c r="I279" s="1">
        <v>3020</v>
      </c>
      <c r="J279" s="1">
        <v>2898</v>
      </c>
      <c r="K279" s="1">
        <v>3100</v>
      </c>
      <c r="L279" s="1">
        <v>3125</v>
      </c>
      <c r="M279" s="1">
        <v>3225</v>
      </c>
      <c r="O279" s="1">
        <v>3295</v>
      </c>
      <c r="P279" s="1">
        <v>3220</v>
      </c>
      <c r="Q279" s="1">
        <v>3050</v>
      </c>
      <c r="R279" s="1">
        <v>3200</v>
      </c>
      <c r="S279" s="1">
        <v>3300</v>
      </c>
      <c r="T279" s="1">
        <v>3210</v>
      </c>
      <c r="U279" s="1">
        <v>3260</v>
      </c>
      <c r="V279" s="1">
        <v>3200</v>
      </c>
      <c r="W279" s="1">
        <v>3180</v>
      </c>
      <c r="X279" s="1">
        <v>3205</v>
      </c>
      <c r="Y279" s="1">
        <v>3350</v>
      </c>
      <c r="Z279" s="1">
        <v>3405</v>
      </c>
      <c r="AA279" s="1">
        <v>3335</v>
      </c>
      <c r="AB279" s="1">
        <v>3360</v>
      </c>
      <c r="AC279" s="1">
        <v>3350</v>
      </c>
      <c r="AD279" s="1">
        <v>3265</v>
      </c>
      <c r="AE279" s="1">
        <v>3300</v>
      </c>
      <c r="AF279" s="1">
        <v>3390</v>
      </c>
      <c r="AG279" s="1">
        <v>3400</v>
      </c>
      <c r="AH279" s="1">
        <v>3340</v>
      </c>
      <c r="AI279" s="1">
        <v>3515</v>
      </c>
      <c r="AJ279" s="1">
        <v>3415</v>
      </c>
      <c r="AK279" s="1">
        <v>3495</v>
      </c>
      <c r="AL279" s="1">
        <v>3400</v>
      </c>
      <c r="AM279" s="1">
        <v>3265</v>
      </c>
      <c r="AN279" s="1">
        <v>3240</v>
      </c>
      <c r="AO279" s="1">
        <v>3185</v>
      </c>
      <c r="AP279" s="1">
        <v>3095</v>
      </c>
      <c r="AQ279" s="1">
        <v>2890</v>
      </c>
      <c r="AR279" s="1">
        <v>3000</v>
      </c>
      <c r="AS279" s="1">
        <v>3075</v>
      </c>
      <c r="AT279" s="1">
        <v>3285</v>
      </c>
      <c r="AU279" s="1">
        <v>3260</v>
      </c>
      <c r="AV279" s="1">
        <v>3430</v>
      </c>
      <c r="AW279" s="1">
        <v>3530</v>
      </c>
      <c r="AX279" s="1">
        <v>3500</v>
      </c>
      <c r="AY279" s="1">
        <v>3405</v>
      </c>
      <c r="AZ279" s="1">
        <v>3400</v>
      </c>
      <c r="BA279" s="1">
        <v>3405</v>
      </c>
      <c r="BB279" s="1">
        <v>3460</v>
      </c>
      <c r="BC279" s="1">
        <v>3360</v>
      </c>
      <c r="BD279" s="1">
        <v>3525</v>
      </c>
      <c r="BE279" s="1">
        <v>3750</v>
      </c>
      <c r="BF279" s="1">
        <v>3590</v>
      </c>
      <c r="BG279" s="1">
        <v>3465</v>
      </c>
      <c r="BH279" s="1">
        <v>3635</v>
      </c>
      <c r="BI279" s="1">
        <v>3600</v>
      </c>
      <c r="BJ279" s="1">
        <v>3700</v>
      </c>
      <c r="BK279" s="1">
        <v>3375</v>
      </c>
      <c r="BL279" s="1">
        <v>3245</v>
      </c>
      <c r="BM279" s="1">
        <v>3175</v>
      </c>
      <c r="BN279" s="1">
        <v>2912</v>
      </c>
      <c r="BO279" s="1">
        <v>2891</v>
      </c>
      <c r="BP279" s="1">
        <v>2950</v>
      </c>
      <c r="BQ279" s="1">
        <v>3025</v>
      </c>
      <c r="BR279" s="1">
        <v>2986</v>
      </c>
      <c r="BS279" s="1">
        <v>3030</v>
      </c>
      <c r="BT279" s="1">
        <v>3055</v>
      </c>
      <c r="BU279" s="1">
        <v>2907</v>
      </c>
      <c r="BV279" s="1">
        <v>2851</v>
      </c>
      <c r="BW279" s="1">
        <v>2873</v>
      </c>
      <c r="BX279" s="1">
        <v>2819</v>
      </c>
      <c r="BY279" s="1">
        <v>2896</v>
      </c>
      <c r="BZ279" s="1">
        <v>2820</v>
      </c>
    </row>
    <row r="280" spans="1:254">
      <c r="A280" s="74" t="s">
        <v>493</v>
      </c>
      <c r="B280" s="1" t="str">
        <f>銘柄管理!C280</f>
        <v>ヨシタケ</v>
      </c>
      <c r="C280" s="541">
        <f>_xll.RssMarket("6488","始値")</f>
        <v>990</v>
      </c>
      <c r="E280" s="547">
        <v>990</v>
      </c>
      <c r="F280" s="1">
        <v>996</v>
      </c>
      <c r="G280" s="1">
        <v>989</v>
      </c>
      <c r="H280" s="1">
        <v>985</v>
      </c>
      <c r="I280" s="1">
        <v>989</v>
      </c>
      <c r="J280" s="1">
        <v>982</v>
      </c>
      <c r="K280" s="1">
        <v>985</v>
      </c>
      <c r="L280" s="1">
        <v>985</v>
      </c>
      <c r="M280" s="1">
        <v>980</v>
      </c>
      <c r="N280" s="1">
        <v>986</v>
      </c>
      <c r="O280" s="1">
        <v>986</v>
      </c>
      <c r="P280" s="1">
        <v>982</v>
      </c>
      <c r="Q280" s="1">
        <v>974</v>
      </c>
      <c r="R280" s="1">
        <v>976</v>
      </c>
      <c r="S280" s="1">
        <v>971</v>
      </c>
      <c r="T280" s="1">
        <v>980</v>
      </c>
      <c r="U280" s="1">
        <v>970</v>
      </c>
      <c r="V280" s="1">
        <v>970</v>
      </c>
      <c r="W280" s="1">
        <v>962</v>
      </c>
      <c r="X280" s="1">
        <v>960</v>
      </c>
      <c r="Y280" s="1">
        <v>970</v>
      </c>
      <c r="Z280" s="1">
        <v>962</v>
      </c>
      <c r="AA280" s="1">
        <v>955</v>
      </c>
      <c r="AB280" s="1">
        <v>948</v>
      </c>
      <c r="AC280" s="1">
        <v>940</v>
      </c>
      <c r="AD280" s="1">
        <v>935</v>
      </c>
      <c r="AE280" s="1">
        <v>936</v>
      </c>
      <c r="AF280" s="1">
        <v>927</v>
      </c>
      <c r="AG280" s="1">
        <v>937</v>
      </c>
      <c r="AH280" s="1">
        <v>942</v>
      </c>
      <c r="AI280" s="1">
        <v>948</v>
      </c>
      <c r="AJ280" s="1">
        <v>939</v>
      </c>
      <c r="AK280" s="1">
        <v>930</v>
      </c>
      <c r="AL280" s="1">
        <v>924</v>
      </c>
      <c r="AM280" s="1">
        <v>920</v>
      </c>
      <c r="AN280" s="1">
        <v>919</v>
      </c>
      <c r="AO280" s="1">
        <v>915</v>
      </c>
      <c r="AP280" s="1">
        <v>920</v>
      </c>
      <c r="AQ280" s="1">
        <v>920</v>
      </c>
      <c r="AR280" s="1">
        <v>931</v>
      </c>
      <c r="AS280" s="1">
        <v>928</v>
      </c>
      <c r="AT280" s="1">
        <v>939</v>
      </c>
      <c r="AU280" s="1">
        <v>930</v>
      </c>
      <c r="AV280" s="1">
        <v>932</v>
      </c>
      <c r="AW280" s="1">
        <v>927</v>
      </c>
      <c r="AX280" s="1">
        <v>930</v>
      </c>
      <c r="AY280" s="1">
        <v>937</v>
      </c>
      <c r="AZ280" s="1">
        <v>943</v>
      </c>
      <c r="BA280" s="1">
        <v>960</v>
      </c>
      <c r="BB280" s="1">
        <v>972</v>
      </c>
      <c r="BC280" s="1">
        <v>970</v>
      </c>
      <c r="BD280" s="1">
        <v>967</v>
      </c>
      <c r="BE280" s="1">
        <v>966</v>
      </c>
      <c r="BF280" s="1">
        <v>988</v>
      </c>
      <c r="BG280" s="1">
        <v>995</v>
      </c>
      <c r="BH280" s="1">
        <v>939</v>
      </c>
      <c r="BI280" s="1">
        <v>931</v>
      </c>
      <c r="BJ280" s="1">
        <v>940</v>
      </c>
      <c r="BK280" s="1">
        <v>935</v>
      </c>
      <c r="BL280" s="1">
        <v>935</v>
      </c>
      <c r="BM280" s="1">
        <v>932</v>
      </c>
      <c r="BN280" s="1">
        <v>943</v>
      </c>
      <c r="BO280" s="1">
        <v>944</v>
      </c>
      <c r="BP280" s="1">
        <v>935</v>
      </c>
      <c r="BQ280" s="1">
        <v>933</v>
      </c>
      <c r="BR280" s="1">
        <v>940</v>
      </c>
      <c r="BS280" s="1">
        <v>931</v>
      </c>
      <c r="BT280" s="1">
        <v>933</v>
      </c>
      <c r="BU280" s="1">
        <v>953</v>
      </c>
      <c r="BV280" s="1">
        <v>959</v>
      </c>
      <c r="BW280" s="1">
        <v>954</v>
      </c>
      <c r="BX280" s="1">
        <v>930</v>
      </c>
      <c r="BY280" s="1">
        <v>937</v>
      </c>
      <c r="BZ280" s="1">
        <v>944</v>
      </c>
    </row>
    <row r="281" spans="1:254">
      <c r="A281" s="74" t="s">
        <v>494</v>
      </c>
      <c r="B281" s="1" t="str">
        <f>銘柄管理!C281</f>
        <v>高島</v>
      </c>
      <c r="C281" s="541">
        <f>_xll.RssMarket("8007","始値")</f>
        <v>795</v>
      </c>
      <c r="E281" s="547">
        <v>795</v>
      </c>
      <c r="F281" s="1">
        <v>794</v>
      </c>
      <c r="G281" s="1">
        <v>797</v>
      </c>
      <c r="H281" s="1">
        <v>812</v>
      </c>
      <c r="I281" s="1">
        <v>818</v>
      </c>
      <c r="J281" s="1">
        <v>810</v>
      </c>
      <c r="K281" s="1">
        <v>805</v>
      </c>
      <c r="L281" s="1">
        <v>810</v>
      </c>
      <c r="M281" s="1">
        <v>800</v>
      </c>
      <c r="N281" s="1">
        <v>798</v>
      </c>
      <c r="O281" s="1">
        <v>792</v>
      </c>
      <c r="P281" s="1">
        <v>795</v>
      </c>
      <c r="Q281" s="1">
        <v>780</v>
      </c>
      <c r="R281" s="1">
        <v>784</v>
      </c>
      <c r="S281" s="1">
        <v>782</v>
      </c>
      <c r="T281" s="1">
        <v>776</v>
      </c>
      <c r="U281" s="1">
        <v>788</v>
      </c>
      <c r="V281" s="1">
        <v>776</v>
      </c>
      <c r="W281" s="1">
        <v>773</v>
      </c>
      <c r="X281" s="1">
        <v>772</v>
      </c>
      <c r="Y281" s="1">
        <v>775</v>
      </c>
      <c r="Z281" s="1">
        <v>769</v>
      </c>
      <c r="AA281" s="1">
        <v>756</v>
      </c>
      <c r="AB281" s="1">
        <v>754</v>
      </c>
      <c r="AC281" s="1">
        <v>765</v>
      </c>
      <c r="AD281" s="1">
        <v>768</v>
      </c>
      <c r="AE281" s="1">
        <v>753</v>
      </c>
      <c r="AF281" s="1">
        <v>745</v>
      </c>
      <c r="AG281" s="1">
        <v>747</v>
      </c>
      <c r="AH281" s="1">
        <v>743</v>
      </c>
      <c r="AI281" s="1">
        <v>745</v>
      </c>
      <c r="AJ281" s="1">
        <v>743</v>
      </c>
      <c r="AK281" s="1">
        <v>745</v>
      </c>
      <c r="AL281" s="1">
        <v>749</v>
      </c>
      <c r="AM281" s="1">
        <v>754</v>
      </c>
      <c r="AN281" s="1">
        <v>765</v>
      </c>
      <c r="AO281" s="1">
        <v>748</v>
      </c>
      <c r="AP281" s="1">
        <v>741</v>
      </c>
      <c r="AQ281" s="1">
        <v>740</v>
      </c>
      <c r="AR281" s="1">
        <v>741</v>
      </c>
      <c r="AS281" s="1">
        <v>727</v>
      </c>
      <c r="AT281" s="1">
        <v>733</v>
      </c>
      <c r="AU281" s="1">
        <v>731</v>
      </c>
      <c r="AV281" s="1">
        <v>726</v>
      </c>
      <c r="AW281" s="1">
        <v>727</v>
      </c>
      <c r="AX281" s="1">
        <v>763</v>
      </c>
      <c r="AY281" s="1">
        <v>753</v>
      </c>
      <c r="AZ281" s="1">
        <v>754</v>
      </c>
      <c r="BA281" s="1">
        <v>738</v>
      </c>
      <c r="BB281" s="1">
        <v>745</v>
      </c>
      <c r="BC281" s="1">
        <v>738</v>
      </c>
      <c r="BD281" s="1">
        <v>744</v>
      </c>
      <c r="BE281" s="1">
        <v>755</v>
      </c>
      <c r="BF281" s="1">
        <v>770</v>
      </c>
      <c r="BG281" s="1">
        <v>770</v>
      </c>
      <c r="BH281" s="1">
        <v>696</v>
      </c>
      <c r="BI281" s="1">
        <v>767</v>
      </c>
      <c r="BJ281" s="1">
        <v>774</v>
      </c>
      <c r="BK281" s="1">
        <v>780</v>
      </c>
      <c r="BL281" s="1">
        <v>789</v>
      </c>
      <c r="BM281" s="1">
        <v>794</v>
      </c>
      <c r="BN281" s="1">
        <v>788</v>
      </c>
      <c r="BO281" s="1">
        <v>799</v>
      </c>
      <c r="BP281" s="1">
        <v>775</v>
      </c>
      <c r="BQ281" s="1">
        <v>770</v>
      </c>
      <c r="BR281" s="1">
        <v>775</v>
      </c>
      <c r="BS281" s="1">
        <v>774</v>
      </c>
      <c r="BT281" s="1">
        <v>786</v>
      </c>
      <c r="BU281" s="1">
        <v>794</v>
      </c>
      <c r="BV281" s="1">
        <v>804</v>
      </c>
      <c r="BW281" s="1">
        <v>809</v>
      </c>
      <c r="BX281" s="1">
        <v>814</v>
      </c>
      <c r="BY281" s="1">
        <v>819</v>
      </c>
      <c r="BZ281" s="1">
        <v>813</v>
      </c>
    </row>
    <row r="282" spans="1:254">
      <c r="A282" s="74" t="s">
        <v>495</v>
      </c>
      <c r="B282" s="1" t="str">
        <f>銘柄管理!C282</f>
        <v>ニチバン</v>
      </c>
      <c r="C282" s="541">
        <f>_xll.RssMarket("4218","始値")</f>
        <v>1950</v>
      </c>
      <c r="E282" s="547">
        <v>1950</v>
      </c>
      <c r="F282" s="1">
        <v>1943</v>
      </c>
      <c r="G282" s="1">
        <v>1921</v>
      </c>
      <c r="H282" s="1">
        <v>1940</v>
      </c>
      <c r="I282" s="1">
        <v>1966</v>
      </c>
      <c r="J282" s="1">
        <v>1965</v>
      </c>
      <c r="K282" s="1">
        <v>1942</v>
      </c>
      <c r="L282" s="1">
        <v>1941</v>
      </c>
      <c r="M282" s="1">
        <v>1919</v>
      </c>
      <c r="N282" s="1">
        <v>1898</v>
      </c>
      <c r="O282" s="1">
        <v>1920</v>
      </c>
      <c r="P282" s="1">
        <v>1928</v>
      </c>
      <c r="Q282" s="1">
        <v>1950</v>
      </c>
      <c r="R282" s="1">
        <v>1929</v>
      </c>
      <c r="S282" s="1">
        <v>1907</v>
      </c>
      <c r="T282" s="1">
        <v>1914</v>
      </c>
      <c r="U282" s="1">
        <v>1915</v>
      </c>
      <c r="V282" s="1">
        <v>1906</v>
      </c>
      <c r="W282" s="1">
        <v>1921</v>
      </c>
      <c r="X282" s="1">
        <v>1905</v>
      </c>
      <c r="Y282" s="1">
        <v>1886</v>
      </c>
      <c r="Z282" s="1">
        <v>1895</v>
      </c>
      <c r="AA282" s="1">
        <v>1881</v>
      </c>
      <c r="AB282" s="1">
        <v>1890</v>
      </c>
      <c r="AC282" s="1">
        <v>1897</v>
      </c>
      <c r="AD282" s="1">
        <v>1881</v>
      </c>
      <c r="AE282" s="1">
        <v>1864</v>
      </c>
      <c r="AF282" s="1">
        <v>1861</v>
      </c>
      <c r="AG282" s="1">
        <v>1860</v>
      </c>
      <c r="AH282" s="1">
        <v>1836</v>
      </c>
      <c r="AI282" s="1">
        <v>1817</v>
      </c>
      <c r="AJ282" s="1">
        <v>1830</v>
      </c>
      <c r="AK282" s="1">
        <v>1850</v>
      </c>
      <c r="AL282" s="1">
        <v>1850</v>
      </c>
      <c r="AM282" s="1">
        <v>1835</v>
      </c>
      <c r="AN282" s="1">
        <v>1841</v>
      </c>
      <c r="AO282" s="1">
        <v>1843</v>
      </c>
      <c r="AP282" s="1">
        <v>1829</v>
      </c>
      <c r="AQ282" s="1">
        <v>1826</v>
      </c>
      <c r="AR282" s="1">
        <v>1803</v>
      </c>
      <c r="AS282" s="1">
        <v>1801</v>
      </c>
      <c r="AT282" s="1">
        <v>1795</v>
      </c>
      <c r="AU282" s="1">
        <v>1810</v>
      </c>
      <c r="AV282" s="1">
        <v>1792</v>
      </c>
      <c r="AW282" s="1">
        <v>1818</v>
      </c>
      <c r="AX282" s="1">
        <v>1849</v>
      </c>
      <c r="AY282" s="1">
        <v>1857</v>
      </c>
      <c r="AZ282" s="1">
        <v>1857</v>
      </c>
      <c r="BA282" s="1">
        <v>1875</v>
      </c>
      <c r="BB282" s="1">
        <v>1874</v>
      </c>
      <c r="BC282" s="1">
        <v>1863</v>
      </c>
      <c r="BD282" s="1">
        <v>1880</v>
      </c>
      <c r="BE282" s="1">
        <v>1878</v>
      </c>
      <c r="BF282" s="1">
        <v>1894</v>
      </c>
      <c r="BG282" s="1">
        <v>1910</v>
      </c>
      <c r="BH282" s="1">
        <v>1846</v>
      </c>
      <c r="BI282" s="1">
        <v>1823</v>
      </c>
      <c r="BJ282" s="1">
        <v>1821</v>
      </c>
      <c r="BK282" s="1">
        <v>1825</v>
      </c>
      <c r="BL282" s="1">
        <v>1841</v>
      </c>
      <c r="BM282" s="1">
        <v>1845</v>
      </c>
      <c r="BN282" s="1">
        <v>1823</v>
      </c>
      <c r="BO282" s="1">
        <v>1825</v>
      </c>
      <c r="BP282" s="1">
        <v>1818</v>
      </c>
      <c r="BQ282" s="1">
        <v>1822</v>
      </c>
      <c r="BR282" s="1">
        <v>1842</v>
      </c>
      <c r="BS282" s="1">
        <v>1855</v>
      </c>
      <c r="BT282" s="1">
        <v>1874</v>
      </c>
      <c r="BU282" s="1">
        <v>1886</v>
      </c>
      <c r="BV282" s="1">
        <v>1898</v>
      </c>
      <c r="BW282" s="1">
        <v>1890</v>
      </c>
      <c r="BX282" s="1">
        <v>1889</v>
      </c>
      <c r="BY282" s="1">
        <v>1882</v>
      </c>
      <c r="BZ282" s="1">
        <v>1892</v>
      </c>
    </row>
    <row r="283" spans="1:254">
      <c r="A283" s="74" t="s">
        <v>496</v>
      </c>
      <c r="B283" s="1" t="str">
        <f>銘柄管理!C283</f>
        <v>ＳＣＲＥＥＮホールディングス</v>
      </c>
      <c r="C283" s="541">
        <f>_xll.RssMarket("7735","始値")</f>
        <v>13380</v>
      </c>
      <c r="E283" s="547">
        <v>13380</v>
      </c>
      <c r="F283" s="1">
        <v>13600</v>
      </c>
      <c r="G283" s="1">
        <v>12520</v>
      </c>
      <c r="H283" s="1">
        <v>12300</v>
      </c>
      <c r="I283" s="1">
        <v>13780</v>
      </c>
      <c r="J283" s="1">
        <v>11755</v>
      </c>
      <c r="K283" s="1">
        <v>12975</v>
      </c>
      <c r="L283" s="1">
        <v>14305</v>
      </c>
      <c r="M283" s="1">
        <v>16215</v>
      </c>
      <c r="N283" s="1">
        <v>16535</v>
      </c>
      <c r="O283" s="1">
        <v>16820</v>
      </c>
      <c r="P283" s="1">
        <v>17585</v>
      </c>
      <c r="Q283" s="1">
        <v>16800</v>
      </c>
      <c r="R283" s="1">
        <v>17270</v>
      </c>
      <c r="S283" s="1">
        <v>18525</v>
      </c>
      <c r="T283" s="1">
        <v>17650</v>
      </c>
      <c r="U283" s="1">
        <v>18200</v>
      </c>
      <c r="V283" s="1">
        <v>18250</v>
      </c>
      <c r="W283" s="1">
        <v>17690</v>
      </c>
      <c r="X283" s="1">
        <v>16290</v>
      </c>
      <c r="Y283" s="1">
        <v>17500</v>
      </c>
      <c r="Z283" s="1">
        <v>18915</v>
      </c>
      <c r="AA283" s="1">
        <v>17500</v>
      </c>
      <c r="AB283" s="1">
        <v>17890</v>
      </c>
      <c r="AC283" s="1">
        <v>18410</v>
      </c>
      <c r="AD283" s="1">
        <v>17300</v>
      </c>
      <c r="AE283" s="1">
        <v>16620</v>
      </c>
      <c r="AF283" s="1">
        <v>17280</v>
      </c>
      <c r="AG283" s="1">
        <v>17190</v>
      </c>
      <c r="AH283" s="1">
        <v>16470</v>
      </c>
      <c r="AI283" s="1">
        <v>17140</v>
      </c>
      <c r="AJ283" s="1">
        <v>16490</v>
      </c>
      <c r="AK283" s="1">
        <v>16830</v>
      </c>
      <c r="AL283" s="1">
        <v>15595</v>
      </c>
      <c r="AM283" s="1">
        <v>14600</v>
      </c>
      <c r="AN283" s="1">
        <v>14870</v>
      </c>
      <c r="AO283" s="1">
        <v>14760</v>
      </c>
      <c r="AP283" s="1">
        <v>13805</v>
      </c>
      <c r="AQ283" s="1">
        <v>12500</v>
      </c>
      <c r="AR283" s="1">
        <v>12690</v>
      </c>
      <c r="AS283" s="1">
        <v>11370</v>
      </c>
      <c r="AT283" s="1">
        <v>13035</v>
      </c>
      <c r="AU283" s="1">
        <v>13250</v>
      </c>
      <c r="AV283" s="1">
        <v>12815</v>
      </c>
      <c r="AW283" s="1">
        <v>11140</v>
      </c>
      <c r="AX283" s="1">
        <v>11230</v>
      </c>
      <c r="AY283" s="1">
        <v>11000</v>
      </c>
      <c r="AZ283" s="1">
        <v>11000</v>
      </c>
      <c r="BA283" s="1">
        <v>11145</v>
      </c>
      <c r="BB283" s="1">
        <v>10820</v>
      </c>
      <c r="BC283" s="1">
        <v>10900</v>
      </c>
      <c r="BD283" s="1">
        <v>10540</v>
      </c>
      <c r="BE283" s="1">
        <v>10900</v>
      </c>
      <c r="BF283" s="1">
        <v>11335</v>
      </c>
      <c r="BG283" s="1">
        <v>12400</v>
      </c>
      <c r="BH283" s="1">
        <v>12350</v>
      </c>
      <c r="BI283" s="1">
        <v>11090</v>
      </c>
      <c r="BJ283" s="1">
        <v>11325</v>
      </c>
      <c r="BK283" s="1">
        <v>11535</v>
      </c>
      <c r="BL283" s="1">
        <v>11080</v>
      </c>
      <c r="BM283" s="1">
        <v>11000</v>
      </c>
      <c r="BN283" s="1">
        <v>10470</v>
      </c>
      <c r="BO283" s="1">
        <v>10350</v>
      </c>
      <c r="BP283" s="1">
        <v>10590</v>
      </c>
      <c r="BQ283" s="1">
        <v>10910</v>
      </c>
      <c r="BR283" s="1">
        <v>10390</v>
      </c>
      <c r="BS283" s="1">
        <v>10715</v>
      </c>
      <c r="BT283" s="1">
        <v>10605</v>
      </c>
      <c r="BU283" s="1">
        <v>10750</v>
      </c>
      <c r="BV283" s="1">
        <v>10570</v>
      </c>
      <c r="BW283" s="1">
        <v>11085</v>
      </c>
      <c r="BX283" s="1">
        <v>10900</v>
      </c>
      <c r="BY283" s="1">
        <v>11365</v>
      </c>
      <c r="BZ283" s="1">
        <v>11060</v>
      </c>
    </row>
    <row r="284" spans="1:254">
      <c r="A284" s="74" t="s">
        <v>497</v>
      </c>
      <c r="B284" s="1" t="str">
        <f>銘柄管理!C284</f>
        <v>データセクション</v>
      </c>
      <c r="C284" s="541">
        <f>_xll.RssMarket("3905","始値")</f>
        <v>2210</v>
      </c>
      <c r="E284" s="547">
        <v>2210</v>
      </c>
      <c r="F284" s="1">
        <v>2205</v>
      </c>
      <c r="G284" s="1">
        <v>2250</v>
      </c>
      <c r="H284" s="1">
        <v>2084</v>
      </c>
      <c r="I284" s="1">
        <v>2086</v>
      </c>
      <c r="J284" s="1">
        <v>1945</v>
      </c>
      <c r="K284" s="1">
        <v>2095</v>
      </c>
      <c r="L284" s="1">
        <v>2273</v>
      </c>
      <c r="M284" s="1">
        <v>2319</v>
      </c>
      <c r="N284" s="1">
        <v>2385</v>
      </c>
      <c r="O284" s="1">
        <v>2400</v>
      </c>
      <c r="P284" s="1">
        <v>2582</v>
      </c>
      <c r="Q284" s="1">
        <v>2529</v>
      </c>
      <c r="R284" s="1">
        <v>2592</v>
      </c>
      <c r="S284" s="1">
        <v>2841</v>
      </c>
      <c r="T284" s="1">
        <v>2790</v>
      </c>
      <c r="U284" s="1">
        <v>2879</v>
      </c>
      <c r="V284" s="1">
        <v>2941</v>
      </c>
      <c r="W284" s="1">
        <v>2813</v>
      </c>
      <c r="X284" s="1">
        <v>2727</v>
      </c>
      <c r="Y284" s="1">
        <v>3000</v>
      </c>
      <c r="Z284" s="1">
        <v>3230</v>
      </c>
      <c r="AA284" s="1">
        <v>3035</v>
      </c>
      <c r="AB284" s="1">
        <v>3200</v>
      </c>
      <c r="AC284" s="1">
        <v>3505</v>
      </c>
      <c r="AD284" s="1">
        <v>3735</v>
      </c>
      <c r="AE284" s="1">
        <v>4250</v>
      </c>
      <c r="AF284" s="1">
        <v>4680</v>
      </c>
      <c r="AG284" s="1">
        <v>4780</v>
      </c>
      <c r="AH284" s="1">
        <v>4590</v>
      </c>
      <c r="AI284" s="1">
        <v>5000</v>
      </c>
      <c r="AJ284" s="1">
        <v>5260</v>
      </c>
      <c r="AK284" s="1">
        <v>5170</v>
      </c>
      <c r="AL284" s="1">
        <v>4845</v>
      </c>
      <c r="AM284" s="1">
        <v>5000</v>
      </c>
      <c r="AN284" s="1">
        <v>4775</v>
      </c>
      <c r="AO284" s="1">
        <v>4790</v>
      </c>
      <c r="AP284" s="1">
        <v>4505</v>
      </c>
      <c r="AQ284" s="1">
        <v>4310</v>
      </c>
      <c r="AR284" s="1">
        <v>4460</v>
      </c>
      <c r="AS284" s="1">
        <v>4480</v>
      </c>
      <c r="AT284" s="1">
        <v>5700</v>
      </c>
      <c r="AU284" s="1">
        <v>5060</v>
      </c>
      <c r="AV284" s="1">
        <v>5060</v>
      </c>
      <c r="AW284" s="1">
        <v>4805</v>
      </c>
      <c r="AX284" s="1">
        <v>5400</v>
      </c>
      <c r="AY284" s="1">
        <v>4335</v>
      </c>
      <c r="AZ284" s="1">
        <v>4760</v>
      </c>
      <c r="BA284" s="1">
        <v>4800</v>
      </c>
      <c r="BB284" s="1">
        <v>4240</v>
      </c>
      <c r="BC284" s="1">
        <v>3500</v>
      </c>
      <c r="BD284" s="1">
        <v>3135</v>
      </c>
      <c r="BE284" s="1">
        <v>3345</v>
      </c>
      <c r="BF284" s="1">
        <v>2843</v>
      </c>
      <c r="BG284" s="1">
        <v>2213</v>
      </c>
      <c r="BH284" s="1">
        <v>2302</v>
      </c>
      <c r="BI284" s="1">
        <v>2193</v>
      </c>
      <c r="BJ284" s="1">
        <v>2336</v>
      </c>
      <c r="BK284" s="1">
        <v>2060</v>
      </c>
      <c r="BL284" s="1">
        <v>1673</v>
      </c>
      <c r="BM284" s="1">
        <v>1524</v>
      </c>
      <c r="BN284" s="1">
        <v>1488</v>
      </c>
      <c r="BO284" s="1">
        <v>1500</v>
      </c>
      <c r="BP284" s="1">
        <v>1461</v>
      </c>
      <c r="BQ284" s="1">
        <v>1467</v>
      </c>
      <c r="BR284" s="1">
        <v>1492</v>
      </c>
      <c r="BS284" s="1">
        <v>1535</v>
      </c>
      <c r="BT284" s="1">
        <v>1551</v>
      </c>
      <c r="BU284" s="1">
        <v>1600</v>
      </c>
      <c r="BV284" s="1">
        <v>1562</v>
      </c>
      <c r="BW284" s="1">
        <v>1584</v>
      </c>
      <c r="BX284" s="1">
        <v>1520</v>
      </c>
      <c r="BY284" s="1">
        <v>1473</v>
      </c>
      <c r="BZ284" s="1">
        <v>1380</v>
      </c>
    </row>
    <row r="285" spans="1:254">
      <c r="A285" s="74" t="s">
        <v>498</v>
      </c>
      <c r="B285" s="1" t="str">
        <f>銘柄管理!C285</f>
        <v>トリドールホールディングス</v>
      </c>
      <c r="C285" s="541">
        <f>_xll.RssMarket("3397","始値")</f>
        <v>4199</v>
      </c>
      <c r="E285" s="547">
        <v>4199</v>
      </c>
      <c r="F285" s="1">
        <v>4155</v>
      </c>
      <c r="G285" s="1">
        <v>4322</v>
      </c>
      <c r="H285" s="1">
        <v>4346</v>
      </c>
      <c r="I285" s="1">
        <v>4351</v>
      </c>
      <c r="J285" s="1">
        <v>4620</v>
      </c>
      <c r="K285" s="1">
        <v>4353</v>
      </c>
      <c r="L285" s="1">
        <v>4230</v>
      </c>
      <c r="M285" s="1">
        <v>4103</v>
      </c>
      <c r="N285" s="1">
        <v>4020</v>
      </c>
      <c r="O285" s="1">
        <v>4032</v>
      </c>
      <c r="P285" s="1">
        <v>4150</v>
      </c>
      <c r="Q285" s="1">
        <v>4186</v>
      </c>
      <c r="R285" s="1">
        <v>4186</v>
      </c>
      <c r="S285" s="1">
        <v>4109</v>
      </c>
      <c r="T285" s="1">
        <v>4053</v>
      </c>
      <c r="U285" s="1">
        <v>4000</v>
      </c>
      <c r="V285" s="1">
        <v>4006</v>
      </c>
      <c r="W285" s="1">
        <v>4096</v>
      </c>
      <c r="X285" s="1">
        <v>4000</v>
      </c>
      <c r="Y285" s="1">
        <v>3920</v>
      </c>
      <c r="Z285" s="1">
        <v>3846</v>
      </c>
      <c r="AA285" s="1">
        <v>3941</v>
      </c>
      <c r="AB285" s="1">
        <v>3864</v>
      </c>
      <c r="AC285" s="1">
        <v>3840</v>
      </c>
      <c r="AD285" s="1">
        <v>3890</v>
      </c>
      <c r="AE285" s="1">
        <v>3798</v>
      </c>
      <c r="AF285" s="1">
        <v>3781</v>
      </c>
      <c r="AG285" s="1">
        <v>3666</v>
      </c>
      <c r="AH285" s="1">
        <v>3600</v>
      </c>
      <c r="AI285" s="1">
        <v>3550</v>
      </c>
      <c r="AJ285" s="1">
        <v>3570</v>
      </c>
      <c r="AK285" s="1">
        <v>3574</v>
      </c>
      <c r="AL285" s="1">
        <v>3625</v>
      </c>
      <c r="AM285" s="1">
        <v>3728</v>
      </c>
      <c r="AN285" s="1">
        <v>3730</v>
      </c>
      <c r="AO285" s="1">
        <v>3819</v>
      </c>
      <c r="AP285" s="1">
        <v>3885</v>
      </c>
      <c r="AQ285" s="1">
        <v>3906</v>
      </c>
      <c r="AR285" s="1">
        <v>3771</v>
      </c>
      <c r="AS285" s="1">
        <v>3700</v>
      </c>
      <c r="AT285" s="1">
        <v>3707</v>
      </c>
      <c r="AU285" s="1">
        <v>3819</v>
      </c>
      <c r="AV285" s="1">
        <v>3802</v>
      </c>
      <c r="AW285" s="1">
        <v>3798</v>
      </c>
      <c r="AX285" s="1">
        <v>3795</v>
      </c>
      <c r="AY285" s="1">
        <v>3756</v>
      </c>
      <c r="AZ285" s="1">
        <v>3661</v>
      </c>
      <c r="BA285" s="1">
        <v>3860</v>
      </c>
      <c r="BB285" s="1">
        <v>3800</v>
      </c>
      <c r="BC285" s="1">
        <v>3889</v>
      </c>
      <c r="BD285" s="1">
        <v>3862</v>
      </c>
      <c r="BE285" s="1">
        <v>3799</v>
      </c>
      <c r="BF285" s="1">
        <v>3799</v>
      </c>
      <c r="BG285" s="1">
        <v>3939</v>
      </c>
      <c r="BH285" s="1">
        <v>3980</v>
      </c>
      <c r="BI285" s="1">
        <v>3963</v>
      </c>
      <c r="BJ285" s="1">
        <v>3950</v>
      </c>
      <c r="BK285" s="1">
        <v>3961</v>
      </c>
      <c r="BL285" s="1">
        <v>4025</v>
      </c>
      <c r="BM285" s="1">
        <v>3997</v>
      </c>
      <c r="BN285" s="1">
        <v>4039</v>
      </c>
      <c r="BO285" s="1">
        <v>4061</v>
      </c>
      <c r="BP285" s="1">
        <v>4055</v>
      </c>
      <c r="BQ285" s="1">
        <v>4072</v>
      </c>
      <c r="BR285" s="1">
        <v>4100</v>
      </c>
      <c r="BS285" s="1">
        <v>4121</v>
      </c>
      <c r="BT285" s="1">
        <v>4159</v>
      </c>
      <c r="BU285" s="1">
        <v>4212</v>
      </c>
      <c r="BV285" s="1">
        <v>4182</v>
      </c>
      <c r="BW285" s="1">
        <v>4197</v>
      </c>
      <c r="BX285" s="1">
        <v>4291</v>
      </c>
      <c r="BY285" s="1">
        <v>4250</v>
      </c>
      <c r="BZ285" s="1">
        <v>4251</v>
      </c>
    </row>
    <row r="286" spans="1:254">
      <c r="A286" s="74" t="s">
        <v>499</v>
      </c>
      <c r="B286" s="1" t="str">
        <f>銘柄管理!C286</f>
        <v>ＳＵＢＡＲＵ</v>
      </c>
      <c r="C286" s="541">
        <f>_xll.RssMarket("7270","始値")</f>
        <v>2466</v>
      </c>
      <c r="E286" s="547">
        <v>2466</v>
      </c>
      <c r="F286" s="1">
        <v>2600</v>
      </c>
      <c r="G286" s="1">
        <v>2622</v>
      </c>
      <c r="H286" s="1">
        <v>2666</v>
      </c>
      <c r="I286" s="1">
        <v>2717</v>
      </c>
      <c r="J286" s="1">
        <v>2850</v>
      </c>
      <c r="K286" s="1">
        <v>2730</v>
      </c>
      <c r="L286" s="1">
        <v>2663.5</v>
      </c>
      <c r="M286" s="1">
        <v>2600</v>
      </c>
      <c r="N286" s="1">
        <v>2586</v>
      </c>
      <c r="O286" s="1">
        <v>2591</v>
      </c>
      <c r="P286" s="1">
        <v>2595.5</v>
      </c>
      <c r="Q286" s="1">
        <v>2525</v>
      </c>
      <c r="R286" s="1">
        <v>2530</v>
      </c>
      <c r="S286" s="1">
        <v>2492.5</v>
      </c>
      <c r="T286" s="1">
        <v>2506.5</v>
      </c>
      <c r="U286" s="1">
        <v>2520</v>
      </c>
      <c r="V286" s="1">
        <v>2489</v>
      </c>
      <c r="W286" s="1">
        <v>2490.5</v>
      </c>
      <c r="X286" s="1">
        <v>2557</v>
      </c>
      <c r="Y286" s="1">
        <v>2596</v>
      </c>
      <c r="Z286" s="1">
        <v>2535</v>
      </c>
      <c r="AA286" s="1">
        <v>2551.5</v>
      </c>
      <c r="AB286" s="1">
        <v>2442.5</v>
      </c>
      <c r="AC286" s="1">
        <v>2404.5</v>
      </c>
      <c r="AD286" s="1">
        <v>2421.5</v>
      </c>
      <c r="AE286" s="1">
        <v>2430</v>
      </c>
      <c r="AF286" s="1">
        <v>2401</v>
      </c>
      <c r="AG286" s="1">
        <v>2370</v>
      </c>
      <c r="AH286" s="1">
        <v>2415</v>
      </c>
      <c r="AI286" s="1">
        <v>2428</v>
      </c>
      <c r="AJ286" s="1">
        <v>2444.5</v>
      </c>
      <c r="AK286" s="1">
        <v>2497.5</v>
      </c>
      <c r="AL286" s="1">
        <v>2582.5</v>
      </c>
      <c r="AM286" s="1">
        <v>2570</v>
      </c>
      <c r="AN286" s="1">
        <v>2520</v>
      </c>
      <c r="AO286" s="1">
        <v>2512.5</v>
      </c>
      <c r="AP286" s="1">
        <v>2518.5</v>
      </c>
      <c r="AQ286" s="1">
        <v>2485.5</v>
      </c>
      <c r="AR286" s="1">
        <v>2573</v>
      </c>
      <c r="AS286" s="1">
        <v>2462</v>
      </c>
      <c r="AT286" s="1">
        <v>2487</v>
      </c>
      <c r="AU286" s="1">
        <v>2453</v>
      </c>
      <c r="AV286" s="1">
        <v>2440</v>
      </c>
      <c r="AW286" s="1">
        <v>2366</v>
      </c>
      <c r="AX286" s="1">
        <v>2450</v>
      </c>
      <c r="AY286" s="1">
        <v>2475.5</v>
      </c>
      <c r="AZ286" s="1">
        <v>2446</v>
      </c>
      <c r="BA286" s="1">
        <v>2482.5</v>
      </c>
      <c r="BB286" s="1">
        <v>2480</v>
      </c>
      <c r="BC286" s="1">
        <v>2453</v>
      </c>
      <c r="BD286" s="1">
        <v>2460</v>
      </c>
      <c r="BE286" s="1">
        <v>2360</v>
      </c>
      <c r="BF286" s="1">
        <v>2417.5</v>
      </c>
      <c r="BG286" s="1">
        <v>2446</v>
      </c>
      <c r="BH286" s="1">
        <v>2346.5</v>
      </c>
      <c r="BI286" s="1">
        <v>2290.5</v>
      </c>
      <c r="BJ286" s="1">
        <v>2279.5</v>
      </c>
      <c r="BK286" s="1">
        <v>2330</v>
      </c>
      <c r="BL286" s="1">
        <v>2373.5</v>
      </c>
      <c r="BM286" s="1">
        <v>2371.5</v>
      </c>
      <c r="BN286" s="1">
        <v>2335</v>
      </c>
      <c r="BO286" s="1">
        <v>2371</v>
      </c>
      <c r="BP286" s="1">
        <v>2490</v>
      </c>
      <c r="BQ286" s="1">
        <v>2440</v>
      </c>
      <c r="BR286" s="1">
        <v>2494</v>
      </c>
      <c r="BS286" s="1">
        <v>2498</v>
      </c>
      <c r="BT286" s="1">
        <v>2530.5</v>
      </c>
      <c r="BU286" s="1">
        <v>2549</v>
      </c>
      <c r="BV286" s="1">
        <v>2576</v>
      </c>
      <c r="BW286" s="1">
        <v>2534.5</v>
      </c>
      <c r="BX286" s="1">
        <v>2556</v>
      </c>
      <c r="BY286" s="1">
        <v>2530</v>
      </c>
      <c r="BZ286" s="1">
        <v>2538</v>
      </c>
    </row>
    <row r="287" spans="1:254">
      <c r="A287" s="74" t="s">
        <v>500</v>
      </c>
      <c r="B287" s="1" t="str">
        <f>銘柄管理!C287</f>
        <v>サン電子</v>
      </c>
      <c r="C287" s="541">
        <f>_xll.RssMarket("6736","始値")</f>
        <v>10280</v>
      </c>
      <c r="E287" s="547">
        <v>10280</v>
      </c>
      <c r="F287" s="1">
        <v>10360</v>
      </c>
      <c r="G287" s="1">
        <v>9800</v>
      </c>
      <c r="H287" s="1">
        <v>9760</v>
      </c>
      <c r="I287" s="1">
        <v>9580</v>
      </c>
      <c r="J287" s="1">
        <v>9110</v>
      </c>
      <c r="K287" s="1">
        <v>9470</v>
      </c>
      <c r="L287" s="1">
        <v>9710</v>
      </c>
      <c r="M287" s="1">
        <v>9140</v>
      </c>
      <c r="N287" s="1">
        <v>9000</v>
      </c>
      <c r="O287" s="1">
        <v>8830</v>
      </c>
      <c r="P287" s="1">
        <v>9280</v>
      </c>
      <c r="Q287" s="1">
        <v>9000</v>
      </c>
      <c r="R287" s="1">
        <v>9090</v>
      </c>
      <c r="S287" s="1">
        <v>9200</v>
      </c>
      <c r="T287" s="1">
        <v>9550</v>
      </c>
      <c r="U287" s="1">
        <v>9960</v>
      </c>
      <c r="V287" s="1">
        <v>10850</v>
      </c>
      <c r="W287" s="1">
        <v>10610</v>
      </c>
      <c r="X287" s="1">
        <v>11040</v>
      </c>
      <c r="Y287" s="1">
        <v>10950</v>
      </c>
      <c r="Z287" s="1">
        <v>9390</v>
      </c>
      <c r="AA287" s="1">
        <v>9540</v>
      </c>
      <c r="AB287" s="1">
        <v>8800</v>
      </c>
      <c r="AC287" s="1">
        <v>8580</v>
      </c>
      <c r="AD287" s="1">
        <v>8820</v>
      </c>
      <c r="AE287" s="1">
        <v>9030</v>
      </c>
      <c r="AF287" s="1">
        <v>9000</v>
      </c>
      <c r="AG287" s="1">
        <v>8600</v>
      </c>
      <c r="AH287" s="1">
        <v>8820</v>
      </c>
      <c r="AI287" s="1">
        <v>9150</v>
      </c>
      <c r="AJ287" s="1">
        <v>9100</v>
      </c>
      <c r="AK287" s="1">
        <v>9200</v>
      </c>
      <c r="AL287" s="1">
        <v>9250</v>
      </c>
      <c r="AM287" s="1">
        <v>9250</v>
      </c>
      <c r="AN287" s="1">
        <v>9250</v>
      </c>
      <c r="AO287" s="1">
        <v>9170</v>
      </c>
      <c r="AP287" s="1">
        <v>8840</v>
      </c>
      <c r="AQ287" s="1">
        <v>8880</v>
      </c>
      <c r="AR287" s="1">
        <v>8970</v>
      </c>
      <c r="AS287" s="1">
        <v>8600</v>
      </c>
      <c r="AT287" s="1">
        <v>8670</v>
      </c>
      <c r="AU287" s="1">
        <v>9090</v>
      </c>
      <c r="AV287" s="1">
        <v>9250</v>
      </c>
      <c r="AW287" s="1">
        <v>9500</v>
      </c>
      <c r="AX287" s="1">
        <v>9230</v>
      </c>
      <c r="AY287" s="1">
        <v>9100</v>
      </c>
      <c r="AZ287" s="1">
        <v>9320</v>
      </c>
      <c r="BA287" s="1">
        <v>9330</v>
      </c>
      <c r="BB287" s="1">
        <v>9420</v>
      </c>
      <c r="BC287" s="1">
        <v>8850</v>
      </c>
      <c r="BD287" s="1">
        <v>8940</v>
      </c>
      <c r="BE287" s="1">
        <v>9680</v>
      </c>
      <c r="BF287" s="1">
        <v>9160</v>
      </c>
      <c r="BG287" s="1">
        <v>8760</v>
      </c>
      <c r="BH287" s="1">
        <v>8500</v>
      </c>
      <c r="BI287" s="1">
        <v>8480</v>
      </c>
      <c r="BJ287" s="1">
        <v>8920</v>
      </c>
      <c r="BK287" s="1">
        <v>8890</v>
      </c>
      <c r="BL287" s="1">
        <v>8700</v>
      </c>
      <c r="BM287" s="1">
        <v>8610</v>
      </c>
      <c r="BN287" s="1">
        <v>8520</v>
      </c>
      <c r="BO287" s="1">
        <v>8300</v>
      </c>
      <c r="BP287" s="1">
        <v>8190</v>
      </c>
      <c r="BQ287" s="1">
        <v>8130</v>
      </c>
      <c r="BR287" s="1">
        <v>7980</v>
      </c>
      <c r="BS287" s="1">
        <v>8240</v>
      </c>
      <c r="BT287" s="1">
        <v>7950</v>
      </c>
      <c r="BU287" s="1">
        <v>8040</v>
      </c>
      <c r="BV287" s="1">
        <v>8010</v>
      </c>
      <c r="BW287" s="1">
        <v>8160</v>
      </c>
      <c r="BX287" s="1">
        <v>7990</v>
      </c>
      <c r="BY287" s="1">
        <v>7320</v>
      </c>
      <c r="BZ287" s="1">
        <v>7760</v>
      </c>
    </row>
    <row r="288" spans="1:254">
      <c r="A288" s="74" t="s">
        <v>501</v>
      </c>
      <c r="B288" s="1" t="str">
        <f>銘柄管理!C288</f>
        <v>紀文食品</v>
      </c>
      <c r="C288" s="541">
        <f>_xll.RssMarket("2933","始値")</f>
        <v>1090</v>
      </c>
      <c r="E288" s="547">
        <v>1090</v>
      </c>
      <c r="F288" s="1">
        <v>1094</v>
      </c>
      <c r="G288" s="1">
        <v>1100</v>
      </c>
      <c r="H288" s="1">
        <v>1100</v>
      </c>
      <c r="I288" s="1">
        <v>1103</v>
      </c>
      <c r="J288" s="1">
        <v>1118</v>
      </c>
      <c r="K288" s="1">
        <v>1097</v>
      </c>
      <c r="L288" s="1">
        <v>1092</v>
      </c>
      <c r="M288" s="1">
        <v>1078</v>
      </c>
      <c r="O288" s="1">
        <v>1084</v>
      </c>
      <c r="P288" s="1">
        <v>1085</v>
      </c>
      <c r="Q288" s="1">
        <v>1086</v>
      </c>
      <c r="R288" s="1">
        <v>1081</v>
      </c>
      <c r="S288" s="1">
        <v>1081</v>
      </c>
      <c r="T288" s="1">
        <v>1083</v>
      </c>
      <c r="U288" s="1">
        <v>1081</v>
      </c>
      <c r="V288" s="1">
        <v>1075</v>
      </c>
      <c r="W288" s="1">
        <v>1080</v>
      </c>
      <c r="X288" s="1">
        <v>1082</v>
      </c>
      <c r="Y288" s="1">
        <v>1066</v>
      </c>
      <c r="Z288" s="1">
        <v>1065</v>
      </c>
      <c r="AA288" s="1">
        <v>1064</v>
      </c>
      <c r="AB288" s="1">
        <v>1067</v>
      </c>
      <c r="AC288" s="1">
        <v>1069</v>
      </c>
      <c r="AD288" s="1">
        <v>1065</v>
      </c>
      <c r="AE288" s="1">
        <v>1064</v>
      </c>
      <c r="AF288" s="1">
        <v>1065</v>
      </c>
      <c r="AG288" s="1">
        <v>1050</v>
      </c>
      <c r="AH288" s="1">
        <v>1060</v>
      </c>
      <c r="AI288" s="1">
        <v>1060</v>
      </c>
      <c r="AJ288" s="1">
        <v>1065</v>
      </c>
      <c r="AK288" s="1">
        <v>1056</v>
      </c>
      <c r="AL288" s="1">
        <v>1049</v>
      </c>
      <c r="AM288" s="1">
        <v>1050</v>
      </c>
      <c r="AN288" s="1">
        <v>1044</v>
      </c>
      <c r="AO288" s="1">
        <v>1045</v>
      </c>
      <c r="AP288" s="1">
        <v>1045</v>
      </c>
      <c r="AQ288" s="1">
        <v>1048</v>
      </c>
      <c r="AR288" s="1">
        <v>1044</v>
      </c>
      <c r="AS288" s="1">
        <v>1038</v>
      </c>
      <c r="AT288" s="1">
        <v>1028</v>
      </c>
      <c r="AU288" s="1">
        <v>1023</v>
      </c>
      <c r="AV288" s="1">
        <v>1017</v>
      </c>
      <c r="AW288" s="1">
        <v>1027</v>
      </c>
      <c r="AX288" s="1">
        <v>1043</v>
      </c>
      <c r="AY288" s="1">
        <v>1036</v>
      </c>
      <c r="AZ288" s="1">
        <v>1035</v>
      </c>
      <c r="BA288" s="1">
        <v>1037</v>
      </c>
      <c r="BB288" s="1">
        <v>1046</v>
      </c>
      <c r="BC288" s="1">
        <v>1048</v>
      </c>
      <c r="BD288" s="1">
        <v>1044</v>
      </c>
      <c r="BE288" s="1">
        <v>1043</v>
      </c>
      <c r="BF288" s="1">
        <v>1048</v>
      </c>
      <c r="BG288" s="1">
        <v>1030</v>
      </c>
      <c r="BH288" s="1">
        <v>1030</v>
      </c>
      <c r="BI288" s="1">
        <v>1033</v>
      </c>
      <c r="BJ288" s="1">
        <v>1025</v>
      </c>
      <c r="BK288" s="1">
        <v>1025</v>
      </c>
      <c r="BL288" s="1">
        <v>1032</v>
      </c>
      <c r="BM288" s="1">
        <v>1034</v>
      </c>
      <c r="BN288" s="1">
        <v>1041</v>
      </c>
      <c r="BO288" s="1">
        <v>1025</v>
      </c>
      <c r="BP288" s="1">
        <v>1025</v>
      </c>
      <c r="BQ288" s="1">
        <v>1030</v>
      </c>
      <c r="BR288" s="1">
        <v>1044</v>
      </c>
      <c r="BS288" s="1">
        <v>1040</v>
      </c>
      <c r="BT288" s="1">
        <v>1051</v>
      </c>
      <c r="BU288" s="1">
        <v>1065</v>
      </c>
      <c r="BV288" s="1">
        <v>1065</v>
      </c>
      <c r="BW288" s="1">
        <v>1061</v>
      </c>
      <c r="BX288" s="1">
        <v>1058</v>
      </c>
      <c r="BY288" s="1">
        <v>1051</v>
      </c>
      <c r="BZ288" s="1">
        <v>1057</v>
      </c>
    </row>
    <row r="289" spans="1:254">
      <c r="A289" s="74" t="s">
        <v>502</v>
      </c>
      <c r="B289" s="1" t="str">
        <f>銘柄管理!C289</f>
        <v>関東電化</v>
      </c>
      <c r="C289" s="541">
        <f>_xll.RssMarket("4047","始値")</f>
        <v>3010</v>
      </c>
      <c r="E289" s="547">
        <v>3010</v>
      </c>
      <c r="F289" s="1">
        <v>2932</v>
      </c>
      <c r="G289" s="1">
        <v>2790</v>
      </c>
      <c r="H289" s="1">
        <v>2656</v>
      </c>
      <c r="I289" s="1">
        <v>2676</v>
      </c>
      <c r="J289" s="1">
        <v>2451</v>
      </c>
      <c r="K289" s="1">
        <v>2568</v>
      </c>
      <c r="L289" s="1">
        <v>2643</v>
      </c>
      <c r="M289" s="1">
        <v>2824</v>
      </c>
      <c r="N289" s="1">
        <v>2889</v>
      </c>
      <c r="O289" s="1">
        <v>2923</v>
      </c>
      <c r="P289" s="1">
        <v>2884</v>
      </c>
      <c r="Q289" s="1">
        <v>2723</v>
      </c>
      <c r="R289" s="1">
        <v>2802</v>
      </c>
      <c r="S289" s="1">
        <v>3070</v>
      </c>
      <c r="T289" s="1">
        <v>2900</v>
      </c>
      <c r="U289" s="1">
        <v>3070</v>
      </c>
      <c r="V289" s="1">
        <v>3180</v>
      </c>
      <c r="W289" s="1">
        <v>3105</v>
      </c>
      <c r="X289" s="1">
        <v>3105</v>
      </c>
      <c r="Y289" s="1">
        <v>3340</v>
      </c>
      <c r="Z289" s="1">
        <v>3490</v>
      </c>
      <c r="AA289" s="1">
        <v>3275</v>
      </c>
      <c r="AB289" s="1">
        <v>3430</v>
      </c>
      <c r="AC289" s="1">
        <v>3620</v>
      </c>
      <c r="AD289" s="1">
        <v>3635</v>
      </c>
      <c r="AE289" s="1">
        <v>3705</v>
      </c>
      <c r="AF289" s="1">
        <v>3915</v>
      </c>
      <c r="AG289" s="1">
        <v>4035</v>
      </c>
      <c r="AH289" s="1">
        <v>3735</v>
      </c>
      <c r="AI289" s="1">
        <v>3895</v>
      </c>
      <c r="AJ289" s="1">
        <v>4000</v>
      </c>
      <c r="AK289" s="1">
        <v>4000</v>
      </c>
      <c r="AL289" s="1">
        <v>3900</v>
      </c>
      <c r="AM289" s="1">
        <v>3750</v>
      </c>
      <c r="AN289" s="1">
        <v>3745</v>
      </c>
      <c r="AO289" s="1">
        <v>4030</v>
      </c>
      <c r="AP289" s="1">
        <v>4090</v>
      </c>
      <c r="AQ289" s="1">
        <v>3665</v>
      </c>
      <c r="AR289" s="1">
        <v>4050</v>
      </c>
      <c r="AS289" s="1">
        <v>3675</v>
      </c>
      <c r="AT289" s="1">
        <v>4195</v>
      </c>
      <c r="AU289" s="1">
        <v>3705</v>
      </c>
      <c r="AV289" s="1">
        <v>3740</v>
      </c>
      <c r="AW289" s="1">
        <v>3440</v>
      </c>
      <c r="AX289" s="1">
        <v>3605</v>
      </c>
      <c r="AY289" s="1">
        <v>3260</v>
      </c>
      <c r="AZ289" s="1">
        <v>3540</v>
      </c>
      <c r="BA289" s="1">
        <v>3135</v>
      </c>
      <c r="BB289" s="1">
        <v>2894</v>
      </c>
      <c r="BC289" s="1">
        <v>2750</v>
      </c>
      <c r="BD289" s="1">
        <v>2677</v>
      </c>
      <c r="BE289" s="1">
        <v>2750</v>
      </c>
      <c r="BF289" s="1">
        <v>2550</v>
      </c>
      <c r="BG289" s="1">
        <v>2125</v>
      </c>
      <c r="BH289" s="1">
        <v>2133</v>
      </c>
      <c r="BI289" s="1">
        <v>1975</v>
      </c>
      <c r="BJ289" s="1">
        <v>1964</v>
      </c>
      <c r="BK289" s="1">
        <v>1899</v>
      </c>
      <c r="BL289" s="1">
        <v>1800</v>
      </c>
      <c r="BM289" s="1">
        <v>1802</v>
      </c>
      <c r="BN289" s="1">
        <v>1683</v>
      </c>
      <c r="BO289" s="1">
        <v>1660</v>
      </c>
      <c r="BP289" s="1">
        <v>1680</v>
      </c>
      <c r="BQ289" s="1">
        <v>1660</v>
      </c>
      <c r="BR289" s="1">
        <v>1632</v>
      </c>
      <c r="BS289" s="1">
        <v>1650</v>
      </c>
      <c r="BT289" s="1">
        <v>1671</v>
      </c>
      <c r="BU289" s="1">
        <v>1646</v>
      </c>
      <c r="BV289" s="1">
        <v>1625</v>
      </c>
      <c r="BW289" s="1">
        <v>1646</v>
      </c>
      <c r="BX289" s="1">
        <v>1654</v>
      </c>
      <c r="BY289" s="1">
        <v>1740</v>
      </c>
      <c r="BZ289" s="1">
        <v>1666</v>
      </c>
    </row>
    <row r="290" spans="1:254">
      <c r="A290" s="74" t="s">
        <v>503</v>
      </c>
      <c r="B290" s="1" t="str">
        <f>銘柄管理!C290</f>
        <v>ＹＵＳＨＩＮ</v>
      </c>
      <c r="C290" s="541">
        <f>_xll.RssMarket("6482","始値")</f>
        <v>684</v>
      </c>
      <c r="E290" s="547">
        <v>684</v>
      </c>
      <c r="F290" s="1">
        <v>682</v>
      </c>
      <c r="G290" s="1">
        <v>662</v>
      </c>
      <c r="H290" s="1">
        <v>668</v>
      </c>
      <c r="I290" s="1">
        <v>684</v>
      </c>
      <c r="J290" s="1">
        <v>660</v>
      </c>
      <c r="K290" s="1">
        <v>669</v>
      </c>
      <c r="L290" s="1">
        <v>686</v>
      </c>
      <c r="M290" s="1">
        <v>694</v>
      </c>
      <c r="N290" s="1">
        <v>691</v>
      </c>
      <c r="O290" s="1">
        <v>690</v>
      </c>
      <c r="P290" s="1">
        <v>695</v>
      </c>
      <c r="Q290" s="1">
        <v>676</v>
      </c>
      <c r="R290" s="1">
        <v>671</v>
      </c>
      <c r="S290" s="1">
        <v>665</v>
      </c>
      <c r="T290" s="1">
        <v>671</v>
      </c>
      <c r="U290" s="1">
        <v>683</v>
      </c>
      <c r="V290" s="1">
        <v>683</v>
      </c>
      <c r="W290" s="1">
        <v>687</v>
      </c>
      <c r="X290" s="1">
        <v>702</v>
      </c>
      <c r="Y290" s="1">
        <v>700</v>
      </c>
      <c r="Z290" s="1">
        <v>696</v>
      </c>
      <c r="AA290" s="1">
        <v>690</v>
      </c>
      <c r="AB290" s="1">
        <v>694</v>
      </c>
      <c r="AC290" s="1">
        <v>689</v>
      </c>
      <c r="AD290" s="1">
        <v>702</v>
      </c>
      <c r="AE290" s="1">
        <v>705</v>
      </c>
      <c r="AF290" s="1">
        <v>720</v>
      </c>
      <c r="AG290" s="1">
        <v>715</v>
      </c>
      <c r="AH290" s="1">
        <v>726</v>
      </c>
      <c r="AI290" s="1">
        <v>746</v>
      </c>
      <c r="AJ290" s="1">
        <v>737</v>
      </c>
      <c r="AK290" s="1">
        <v>752</v>
      </c>
      <c r="AL290" s="1">
        <v>771</v>
      </c>
      <c r="AM290" s="1">
        <v>714</v>
      </c>
      <c r="AN290" s="1">
        <v>697</v>
      </c>
      <c r="AO290" s="1">
        <v>687</v>
      </c>
      <c r="AP290" s="1">
        <v>677</v>
      </c>
      <c r="AQ290" s="1">
        <v>667</v>
      </c>
      <c r="AR290" s="1">
        <v>680</v>
      </c>
      <c r="AS290" s="1">
        <v>667</v>
      </c>
      <c r="AT290" s="1">
        <v>671</v>
      </c>
      <c r="AU290" s="1">
        <v>653</v>
      </c>
      <c r="AV290" s="1">
        <v>638</v>
      </c>
      <c r="AW290" s="1">
        <v>658</v>
      </c>
      <c r="AX290" s="1">
        <v>672</v>
      </c>
      <c r="AY290" s="1">
        <v>664</v>
      </c>
      <c r="AZ290" s="1">
        <v>666</v>
      </c>
      <c r="BA290" s="1">
        <v>722</v>
      </c>
      <c r="BB290" s="1">
        <v>703</v>
      </c>
      <c r="BC290" s="1">
        <v>714</v>
      </c>
      <c r="BD290" s="1">
        <v>708</v>
      </c>
      <c r="BE290" s="1">
        <v>720</v>
      </c>
      <c r="BF290" s="1">
        <v>730</v>
      </c>
      <c r="BG290" s="1">
        <v>755</v>
      </c>
      <c r="BH290" s="1">
        <v>725</v>
      </c>
      <c r="BI290" s="1">
        <v>724</v>
      </c>
      <c r="BJ290" s="1">
        <v>713</v>
      </c>
      <c r="BK290" s="1">
        <v>693</v>
      </c>
      <c r="BL290" s="1">
        <v>680</v>
      </c>
      <c r="BM290" s="1">
        <v>685</v>
      </c>
      <c r="BN290" s="1">
        <v>664</v>
      </c>
      <c r="BO290" s="1">
        <v>659</v>
      </c>
      <c r="BP290" s="1">
        <v>662</v>
      </c>
      <c r="BQ290" s="1">
        <v>656</v>
      </c>
      <c r="BR290" s="1">
        <v>667</v>
      </c>
      <c r="BS290" s="1">
        <v>670</v>
      </c>
      <c r="BT290" s="1">
        <v>675</v>
      </c>
      <c r="BU290" s="1">
        <v>678</v>
      </c>
      <c r="BV290" s="1">
        <v>673</v>
      </c>
      <c r="BW290" s="1">
        <v>678</v>
      </c>
      <c r="BX290" s="1">
        <v>685</v>
      </c>
      <c r="BY290" s="1">
        <v>689</v>
      </c>
      <c r="BZ290" s="1">
        <v>678</v>
      </c>
    </row>
    <row r="291" spans="1:254">
      <c r="A291" s="74" t="s">
        <v>504</v>
      </c>
      <c r="B291" s="1" t="str">
        <f>銘柄管理!C291</f>
        <v>電気興業</v>
      </c>
      <c r="C291" s="541">
        <f>_xll.RssMarket("6706","始値")</f>
        <v>3150</v>
      </c>
      <c r="E291" s="547">
        <v>3150</v>
      </c>
      <c r="F291" s="1">
        <v>3095</v>
      </c>
      <c r="G291" s="1">
        <v>3065</v>
      </c>
      <c r="H291" s="1">
        <v>3050</v>
      </c>
      <c r="I291" s="1">
        <v>3100</v>
      </c>
      <c r="J291" s="1">
        <v>2963</v>
      </c>
      <c r="K291" s="1">
        <v>2982</v>
      </c>
      <c r="L291" s="1">
        <v>3010</v>
      </c>
      <c r="M291" s="1">
        <v>2976</v>
      </c>
      <c r="O291" s="1">
        <v>3005</v>
      </c>
      <c r="P291" s="1">
        <v>2950</v>
      </c>
      <c r="Q291" s="1">
        <v>2925</v>
      </c>
      <c r="R291" s="1">
        <v>2950</v>
      </c>
      <c r="S291" s="1">
        <v>3000</v>
      </c>
      <c r="T291" s="1">
        <v>2988</v>
      </c>
      <c r="U291" s="1">
        <v>3055</v>
      </c>
      <c r="V291" s="1">
        <v>3080</v>
      </c>
      <c r="W291" s="1">
        <v>2980</v>
      </c>
      <c r="X291" s="1">
        <v>2999</v>
      </c>
      <c r="Y291" s="1">
        <v>3000</v>
      </c>
      <c r="Z291" s="1">
        <v>3045</v>
      </c>
      <c r="AA291" s="1">
        <v>3045</v>
      </c>
      <c r="AB291" s="1">
        <v>3070</v>
      </c>
      <c r="AC291" s="1">
        <v>3020</v>
      </c>
      <c r="AD291" s="1">
        <v>3160</v>
      </c>
      <c r="AE291" s="1">
        <v>3085</v>
      </c>
      <c r="AF291" s="1">
        <v>3100</v>
      </c>
      <c r="AG291" s="1">
        <v>3155</v>
      </c>
      <c r="AH291" s="1">
        <v>3105</v>
      </c>
      <c r="AI291" s="1">
        <v>3180</v>
      </c>
      <c r="AJ291" s="1">
        <v>3205</v>
      </c>
      <c r="AK291" s="1">
        <v>3210</v>
      </c>
      <c r="AL291" s="1">
        <v>3180</v>
      </c>
      <c r="AM291" s="1">
        <v>3160</v>
      </c>
      <c r="AN291" s="1">
        <v>3275</v>
      </c>
      <c r="AO291" s="1">
        <v>3250</v>
      </c>
      <c r="AP291" s="1">
        <v>3200</v>
      </c>
      <c r="AQ291" s="1">
        <v>3290</v>
      </c>
      <c r="AR291" s="1">
        <v>3350</v>
      </c>
      <c r="AS291" s="1">
        <v>3360</v>
      </c>
      <c r="AT291" s="1">
        <v>3455</v>
      </c>
      <c r="AU291" s="1">
        <v>3470</v>
      </c>
      <c r="AV291" s="1">
        <v>3485</v>
      </c>
      <c r="AW291" s="1">
        <v>3515</v>
      </c>
      <c r="AX291" s="1">
        <v>3525</v>
      </c>
      <c r="AY291" s="1">
        <v>3435</v>
      </c>
      <c r="AZ291" s="1">
        <v>3495</v>
      </c>
      <c r="BA291" s="1">
        <v>3455</v>
      </c>
      <c r="BB291" s="1">
        <v>3430</v>
      </c>
      <c r="BC291" s="1">
        <v>3440</v>
      </c>
      <c r="BD291" s="1">
        <v>3430</v>
      </c>
      <c r="BE291" s="1">
        <v>3490</v>
      </c>
      <c r="BF291" s="1">
        <v>3390</v>
      </c>
      <c r="BG291" s="1">
        <v>3500</v>
      </c>
      <c r="BH291" s="1">
        <v>3485</v>
      </c>
      <c r="BI291" s="1">
        <v>3500</v>
      </c>
      <c r="BJ291" s="1">
        <v>3495</v>
      </c>
      <c r="BK291" s="1">
        <v>3455</v>
      </c>
      <c r="BL291" s="1">
        <v>3390</v>
      </c>
      <c r="BM291" s="1">
        <v>3380</v>
      </c>
      <c r="BN291" s="1">
        <v>3305</v>
      </c>
      <c r="BO291" s="1">
        <v>3280</v>
      </c>
      <c r="BP291" s="1">
        <v>3295</v>
      </c>
      <c r="BQ291" s="1">
        <v>3325</v>
      </c>
      <c r="BR291" s="1">
        <v>3325</v>
      </c>
      <c r="BS291" s="1">
        <v>3275</v>
      </c>
      <c r="BT291" s="1">
        <v>3275</v>
      </c>
      <c r="BU291" s="1">
        <v>3300</v>
      </c>
      <c r="BV291" s="1">
        <v>3275</v>
      </c>
      <c r="BW291" s="1">
        <v>3285</v>
      </c>
      <c r="BX291" s="1">
        <v>3305</v>
      </c>
      <c r="BY291" s="1">
        <v>3250</v>
      </c>
      <c r="BZ291" s="1">
        <v>3200</v>
      </c>
    </row>
    <row r="292" spans="1:254">
      <c r="A292" s="74" t="s">
        <v>505</v>
      </c>
      <c r="B292" s="1" t="str">
        <f>銘柄管理!C292</f>
        <v>新光商事</v>
      </c>
      <c r="C292" s="541">
        <f>_xll.RssMarket("8141","始値")</f>
        <v>1567</v>
      </c>
      <c r="E292" s="547">
        <v>1567</v>
      </c>
      <c r="F292" s="1">
        <v>1566</v>
      </c>
      <c r="G292" s="1">
        <v>1567</v>
      </c>
      <c r="H292" s="1">
        <v>1556</v>
      </c>
      <c r="I292" s="1">
        <v>1549</v>
      </c>
      <c r="J292" s="1">
        <v>1569</v>
      </c>
      <c r="K292" s="1">
        <v>1580</v>
      </c>
      <c r="L292" s="1">
        <v>1579</v>
      </c>
      <c r="M292" s="1">
        <v>1585</v>
      </c>
      <c r="O292" s="1">
        <v>1589</v>
      </c>
      <c r="P292" s="1">
        <v>1579</v>
      </c>
      <c r="Q292" s="1">
        <v>1598</v>
      </c>
      <c r="R292" s="1">
        <v>1601</v>
      </c>
      <c r="S292" s="1">
        <v>1597</v>
      </c>
      <c r="T292" s="1">
        <v>1590</v>
      </c>
      <c r="U292" s="1">
        <v>1589</v>
      </c>
      <c r="V292" s="1">
        <v>1584</v>
      </c>
      <c r="W292" s="1">
        <v>1590</v>
      </c>
      <c r="X292" s="1">
        <v>1588</v>
      </c>
      <c r="Y292" s="1">
        <v>1589</v>
      </c>
      <c r="Z292" s="1">
        <v>1587</v>
      </c>
      <c r="AA292" s="1">
        <v>1588</v>
      </c>
      <c r="AB292" s="1">
        <v>1588</v>
      </c>
      <c r="AC292" s="1">
        <v>1588</v>
      </c>
      <c r="AD292" s="1">
        <v>1586</v>
      </c>
      <c r="AE292" s="1">
        <v>1580</v>
      </c>
      <c r="AF292" s="1">
        <v>1570</v>
      </c>
      <c r="AG292" s="1">
        <v>1566</v>
      </c>
      <c r="AH292" s="1">
        <v>1577</v>
      </c>
      <c r="AI292" s="1">
        <v>1586</v>
      </c>
      <c r="AJ292" s="1">
        <v>1581</v>
      </c>
      <c r="AK292" s="1">
        <v>1583</v>
      </c>
      <c r="AL292" s="1">
        <v>1582</v>
      </c>
      <c r="AM292" s="1">
        <v>1581</v>
      </c>
      <c r="AN292" s="1">
        <v>1579</v>
      </c>
      <c r="AO292" s="1">
        <v>1580</v>
      </c>
      <c r="AP292" s="1">
        <v>1583</v>
      </c>
      <c r="AQ292" s="1">
        <v>1578</v>
      </c>
      <c r="AR292" s="1">
        <v>1581</v>
      </c>
      <c r="AS292" s="1">
        <v>1581</v>
      </c>
      <c r="AT292" s="1">
        <v>1585</v>
      </c>
      <c r="AU292" s="1">
        <v>1580</v>
      </c>
      <c r="AV292" s="1">
        <v>1578</v>
      </c>
      <c r="AW292" s="1">
        <v>1576</v>
      </c>
      <c r="AX292" s="1">
        <v>1577</v>
      </c>
      <c r="AY292" s="1">
        <v>1583</v>
      </c>
      <c r="AZ292" s="1">
        <v>1600</v>
      </c>
      <c r="BA292" s="1">
        <v>1600</v>
      </c>
      <c r="BB292" s="1">
        <v>1610</v>
      </c>
      <c r="BC292" s="1">
        <v>1603</v>
      </c>
      <c r="BD292" s="1">
        <v>1604</v>
      </c>
      <c r="BE292" s="1">
        <v>1604</v>
      </c>
      <c r="BF292" s="1">
        <v>1611</v>
      </c>
      <c r="BG292" s="1">
        <v>1537</v>
      </c>
      <c r="BH292" s="1">
        <v>1576</v>
      </c>
      <c r="BI292" s="1">
        <v>1618</v>
      </c>
      <c r="BJ292" s="1">
        <v>1660</v>
      </c>
      <c r="BK292" s="1">
        <v>1732</v>
      </c>
      <c r="BL292" s="1">
        <v>1710</v>
      </c>
      <c r="BM292" s="1">
        <v>1686</v>
      </c>
      <c r="BN292" s="1">
        <v>1615</v>
      </c>
      <c r="BO292" s="1">
        <v>1605</v>
      </c>
      <c r="BP292" s="1">
        <v>1558</v>
      </c>
      <c r="BQ292" s="1">
        <v>1538</v>
      </c>
      <c r="BR292" s="1">
        <v>1529</v>
      </c>
      <c r="BS292" s="1">
        <v>1599</v>
      </c>
      <c r="BT292" s="1">
        <v>1556</v>
      </c>
      <c r="BU292" s="1">
        <v>1554</v>
      </c>
      <c r="BV292" s="1">
        <v>1500</v>
      </c>
      <c r="BW292" s="1">
        <v>1465</v>
      </c>
      <c r="BX292" s="1">
        <v>1443</v>
      </c>
      <c r="BY292" s="1">
        <v>1368</v>
      </c>
      <c r="BZ292" s="1">
        <v>1470</v>
      </c>
    </row>
    <row r="293" spans="1:254">
      <c r="A293" s="74" t="s">
        <v>506</v>
      </c>
      <c r="B293" s="1" t="str">
        <f>銘柄管理!C293</f>
        <v>山形銀行</v>
      </c>
      <c r="C293" s="541">
        <f>_xll.RssMarket("8344","始値")</f>
        <v>4030</v>
      </c>
      <c r="E293" s="547">
        <v>4030</v>
      </c>
      <c r="F293" s="1">
        <v>3935</v>
      </c>
      <c r="G293" s="1">
        <v>3640</v>
      </c>
      <c r="H293" s="1">
        <v>3740</v>
      </c>
      <c r="I293" s="1">
        <v>3770</v>
      </c>
      <c r="J293" s="1">
        <v>3775</v>
      </c>
      <c r="K293" s="1">
        <v>4015</v>
      </c>
      <c r="L293" s="1">
        <v>4150</v>
      </c>
      <c r="M293" s="1">
        <v>4055</v>
      </c>
      <c r="N293" s="1">
        <v>3820</v>
      </c>
      <c r="O293" s="1">
        <v>3875</v>
      </c>
      <c r="P293" s="1">
        <v>3800</v>
      </c>
      <c r="Q293" s="1">
        <v>3685</v>
      </c>
      <c r="R293" s="1">
        <v>3870</v>
      </c>
      <c r="S293" s="1">
        <v>3790</v>
      </c>
      <c r="T293" s="1">
        <v>3700</v>
      </c>
      <c r="U293" s="1">
        <v>3730</v>
      </c>
      <c r="V293" s="1">
        <v>3825</v>
      </c>
      <c r="W293" s="1">
        <v>3850</v>
      </c>
      <c r="X293" s="1">
        <v>3875</v>
      </c>
      <c r="Y293" s="1">
        <v>4070</v>
      </c>
      <c r="Z293" s="1">
        <v>3965</v>
      </c>
      <c r="AA293" s="1">
        <v>3840</v>
      </c>
      <c r="AB293" s="1">
        <v>3670</v>
      </c>
      <c r="AC293" s="1">
        <v>3525</v>
      </c>
      <c r="AD293" s="1">
        <v>3495</v>
      </c>
      <c r="AE293" s="1">
        <v>3385</v>
      </c>
      <c r="AF293" s="1">
        <v>3315</v>
      </c>
      <c r="AG293" s="1">
        <v>3320</v>
      </c>
      <c r="AH293" s="1">
        <v>3315</v>
      </c>
      <c r="AI293" s="1">
        <v>3425</v>
      </c>
      <c r="AJ293" s="1">
        <v>3350</v>
      </c>
      <c r="AK293" s="1">
        <v>3470</v>
      </c>
      <c r="AL293" s="1">
        <v>3535</v>
      </c>
      <c r="AM293" s="1">
        <v>3580</v>
      </c>
      <c r="AN293" s="1">
        <v>3545</v>
      </c>
      <c r="AO293" s="1">
        <v>3550</v>
      </c>
      <c r="AP293" s="1">
        <v>3405</v>
      </c>
      <c r="AQ293" s="1">
        <v>3350</v>
      </c>
      <c r="AR293" s="1">
        <v>3200</v>
      </c>
      <c r="AS293" s="1">
        <v>2982</v>
      </c>
      <c r="AT293" s="1">
        <v>3075</v>
      </c>
      <c r="AU293" s="1">
        <v>2963</v>
      </c>
      <c r="AV293" s="1">
        <v>3055</v>
      </c>
      <c r="AW293" s="1">
        <v>3020</v>
      </c>
      <c r="AX293" s="1">
        <v>3125</v>
      </c>
      <c r="AY293" s="1">
        <v>3080</v>
      </c>
      <c r="AZ293" s="1">
        <v>3070</v>
      </c>
      <c r="BA293" s="1">
        <v>3025</v>
      </c>
      <c r="BB293" s="1">
        <v>3080</v>
      </c>
      <c r="BC293" s="1">
        <v>3050</v>
      </c>
      <c r="BD293" s="1">
        <v>2955</v>
      </c>
      <c r="BE293" s="1">
        <v>2904</v>
      </c>
      <c r="BF293" s="1">
        <v>2755</v>
      </c>
      <c r="BG293" s="1">
        <v>2650</v>
      </c>
      <c r="BH293" s="1">
        <v>2615</v>
      </c>
      <c r="BI293" s="1">
        <v>2543</v>
      </c>
      <c r="BJ293" s="1">
        <v>2576</v>
      </c>
      <c r="BK293" s="1">
        <v>2514</v>
      </c>
      <c r="BL293" s="1">
        <v>2558</v>
      </c>
      <c r="BM293" s="1">
        <v>2603</v>
      </c>
      <c r="BN293" s="1">
        <v>2537</v>
      </c>
      <c r="BO293" s="1">
        <v>2485</v>
      </c>
      <c r="BP293" s="1">
        <v>2417</v>
      </c>
      <c r="BQ293" s="1">
        <v>2391</v>
      </c>
      <c r="BR293" s="1">
        <v>2476</v>
      </c>
      <c r="BS293" s="1">
        <v>2513</v>
      </c>
      <c r="BT293" s="1">
        <v>2611</v>
      </c>
      <c r="BU293" s="1">
        <v>2733</v>
      </c>
      <c r="BV293" s="1">
        <v>2794</v>
      </c>
      <c r="BW293" s="1">
        <v>2789</v>
      </c>
      <c r="BX293" s="1">
        <v>2752</v>
      </c>
      <c r="BY293" s="1">
        <v>2720</v>
      </c>
      <c r="BZ293" s="1">
        <v>2702</v>
      </c>
    </row>
    <row r="294" spans="1:254">
      <c r="A294" s="74" t="s">
        <v>507</v>
      </c>
      <c r="B294" s="1" t="str">
        <f>銘柄管理!C294</f>
        <v>小野建</v>
      </c>
      <c r="C294" s="541">
        <f>_xll.RssMarket("7414","始値")</f>
        <v>1405</v>
      </c>
      <c r="E294" s="547">
        <v>1405</v>
      </c>
      <c r="F294" s="1">
        <v>1414</v>
      </c>
      <c r="G294" s="1">
        <v>1423</v>
      </c>
      <c r="H294" s="1">
        <v>1433</v>
      </c>
      <c r="I294" s="1">
        <v>1463</v>
      </c>
      <c r="J294" s="1">
        <v>1460</v>
      </c>
      <c r="K294" s="1">
        <v>1450</v>
      </c>
      <c r="L294" s="1">
        <v>1446</v>
      </c>
      <c r="M294" s="1">
        <v>1447</v>
      </c>
      <c r="O294" s="1">
        <v>1430</v>
      </c>
      <c r="P294" s="1">
        <v>1417</v>
      </c>
      <c r="Q294" s="1">
        <v>1405</v>
      </c>
      <c r="R294" s="1">
        <v>1418</v>
      </c>
      <c r="S294" s="1">
        <v>1390</v>
      </c>
      <c r="T294" s="1">
        <v>1390</v>
      </c>
      <c r="U294" s="1">
        <v>1390</v>
      </c>
      <c r="V294" s="1">
        <v>1382</v>
      </c>
      <c r="W294" s="1">
        <v>1380</v>
      </c>
      <c r="X294" s="1">
        <v>1373</v>
      </c>
      <c r="Y294" s="1">
        <v>1372</v>
      </c>
      <c r="Z294" s="1">
        <v>1361</v>
      </c>
      <c r="AA294" s="1">
        <v>1342</v>
      </c>
      <c r="AB294" s="1">
        <v>1329</v>
      </c>
      <c r="AC294" s="1">
        <v>1337</v>
      </c>
      <c r="AD294" s="1">
        <v>1341</v>
      </c>
      <c r="AE294" s="1">
        <v>1330</v>
      </c>
      <c r="AF294" s="1">
        <v>1329</v>
      </c>
      <c r="AG294" s="1">
        <v>1324</v>
      </c>
      <c r="AH294" s="1">
        <v>1324</v>
      </c>
      <c r="AI294" s="1">
        <v>1331</v>
      </c>
      <c r="AJ294" s="1">
        <v>1319</v>
      </c>
      <c r="AK294" s="1">
        <v>1331</v>
      </c>
      <c r="AL294" s="1">
        <v>1330</v>
      </c>
      <c r="AM294" s="1">
        <v>1330</v>
      </c>
      <c r="AN294" s="1">
        <v>1320</v>
      </c>
      <c r="AO294" s="1">
        <v>1325</v>
      </c>
      <c r="AP294" s="1">
        <v>1314</v>
      </c>
      <c r="AQ294" s="1">
        <v>1311</v>
      </c>
      <c r="AR294" s="1">
        <v>1303</v>
      </c>
      <c r="AS294" s="1">
        <v>1325</v>
      </c>
      <c r="AT294" s="1">
        <v>1319</v>
      </c>
      <c r="AU294" s="1">
        <v>1310</v>
      </c>
      <c r="AV294" s="1">
        <v>1299</v>
      </c>
      <c r="AW294" s="1">
        <v>1312</v>
      </c>
      <c r="AX294" s="1">
        <v>1345</v>
      </c>
      <c r="AY294" s="1">
        <v>1340</v>
      </c>
      <c r="AZ294" s="1">
        <v>1333</v>
      </c>
      <c r="BA294" s="1">
        <v>1325</v>
      </c>
      <c r="BB294" s="1">
        <v>1330</v>
      </c>
      <c r="BC294" s="1">
        <v>1330</v>
      </c>
      <c r="BD294" s="1">
        <v>1349</v>
      </c>
      <c r="BE294" s="1">
        <v>1348</v>
      </c>
      <c r="BF294" s="1">
        <v>1377</v>
      </c>
      <c r="BG294" s="1">
        <v>1444</v>
      </c>
      <c r="BH294" s="1">
        <v>1446</v>
      </c>
      <c r="BI294" s="1">
        <v>1440</v>
      </c>
      <c r="BJ294" s="1">
        <v>1435</v>
      </c>
      <c r="BK294" s="1">
        <v>1423</v>
      </c>
      <c r="BL294" s="1">
        <v>1442</v>
      </c>
      <c r="BM294" s="1">
        <v>1415</v>
      </c>
      <c r="BN294" s="1">
        <v>1394</v>
      </c>
      <c r="BO294" s="1">
        <v>1394</v>
      </c>
      <c r="BP294" s="1">
        <v>1380</v>
      </c>
      <c r="BQ294" s="1">
        <v>1387</v>
      </c>
      <c r="BR294" s="1">
        <v>1374</v>
      </c>
      <c r="BS294" s="1">
        <v>1385</v>
      </c>
      <c r="BT294" s="1">
        <v>1395</v>
      </c>
      <c r="BU294" s="1">
        <v>1410</v>
      </c>
      <c r="BV294" s="1">
        <v>1403</v>
      </c>
      <c r="BW294" s="1">
        <v>1400</v>
      </c>
      <c r="BX294" s="1">
        <v>1414</v>
      </c>
      <c r="BY294" s="1">
        <v>1415</v>
      </c>
      <c r="BZ294" s="1">
        <v>1418</v>
      </c>
    </row>
    <row r="295" spans="1:254">
      <c r="A295" s="74" t="s">
        <v>508</v>
      </c>
      <c r="B295" s="1" t="str">
        <f>銘柄管理!C295</f>
        <v>ＣＫＤ</v>
      </c>
      <c r="C295" s="541">
        <f>_xll.RssMarket("6407","始値")</f>
        <v>6720</v>
      </c>
      <c r="E295" s="547">
        <v>6720</v>
      </c>
      <c r="F295" s="1">
        <v>6530</v>
      </c>
      <c r="G295" s="1">
        <v>5940</v>
      </c>
      <c r="H295" s="1">
        <v>5700</v>
      </c>
      <c r="I295" s="1">
        <v>6000</v>
      </c>
      <c r="J295" s="1">
        <v>5030</v>
      </c>
      <c r="K295" s="1">
        <v>5560</v>
      </c>
      <c r="L295" s="1">
        <v>6140</v>
      </c>
      <c r="M295" s="1">
        <v>6310</v>
      </c>
      <c r="O295" s="1">
        <v>6750</v>
      </c>
      <c r="P295" s="1">
        <v>6770</v>
      </c>
      <c r="Q295" s="1">
        <v>6380</v>
      </c>
      <c r="R295" s="1">
        <v>6410</v>
      </c>
      <c r="S295" s="1">
        <v>6830</v>
      </c>
      <c r="T295" s="1">
        <v>6750</v>
      </c>
      <c r="U295" s="1">
        <v>7140</v>
      </c>
      <c r="V295" s="1">
        <v>6960</v>
      </c>
      <c r="W295" s="1">
        <v>6880</v>
      </c>
      <c r="X295" s="1">
        <v>6680</v>
      </c>
      <c r="Y295" s="1">
        <v>7330</v>
      </c>
      <c r="Z295" s="1">
        <v>7600</v>
      </c>
      <c r="AA295" s="1">
        <v>6860</v>
      </c>
      <c r="AB295" s="1">
        <v>7400</v>
      </c>
      <c r="AC295" s="1">
        <v>7720</v>
      </c>
      <c r="AD295" s="1">
        <v>7590</v>
      </c>
      <c r="AE295" s="1">
        <v>7420</v>
      </c>
      <c r="AF295" s="1">
        <v>7690</v>
      </c>
      <c r="AG295" s="1">
        <v>8050</v>
      </c>
      <c r="AH295" s="1">
        <v>7460</v>
      </c>
      <c r="AI295" s="1">
        <v>8230</v>
      </c>
      <c r="AJ295" s="1">
        <v>7870</v>
      </c>
      <c r="AK295" s="1">
        <v>8010</v>
      </c>
      <c r="AL295" s="1">
        <v>7730</v>
      </c>
      <c r="AM295" s="1">
        <v>7400</v>
      </c>
      <c r="AN295" s="1">
        <v>7470</v>
      </c>
      <c r="AO295" s="1">
        <v>7190</v>
      </c>
      <c r="AP295" s="1">
        <v>6540</v>
      </c>
      <c r="AQ295" s="1">
        <v>5890</v>
      </c>
      <c r="AR295" s="1">
        <v>6080</v>
      </c>
      <c r="AS295" s="1">
        <v>5680</v>
      </c>
      <c r="AT295" s="1">
        <v>6300</v>
      </c>
      <c r="AU295" s="1">
        <v>6460</v>
      </c>
      <c r="AV295" s="1">
        <v>6410</v>
      </c>
      <c r="AW295" s="1">
        <v>6320</v>
      </c>
      <c r="AX295" s="1">
        <v>6730</v>
      </c>
      <c r="AY295" s="1">
        <v>6460</v>
      </c>
      <c r="AZ295" s="1">
        <v>6990</v>
      </c>
      <c r="BA295" s="1">
        <v>6740</v>
      </c>
      <c r="BB295" s="1">
        <v>6960</v>
      </c>
      <c r="BC295" s="1">
        <v>6020</v>
      </c>
      <c r="BD295" s="1">
        <v>6000</v>
      </c>
      <c r="BE295" s="1">
        <v>6030</v>
      </c>
      <c r="BF295" s="1">
        <v>6120</v>
      </c>
      <c r="BG295" s="1">
        <v>7300</v>
      </c>
      <c r="BH295" s="1">
        <v>6970</v>
      </c>
      <c r="BI295" s="1">
        <v>6770</v>
      </c>
      <c r="BJ295" s="1">
        <v>6880</v>
      </c>
      <c r="BK295" s="1">
        <v>6770</v>
      </c>
      <c r="BL295" s="1">
        <v>6270</v>
      </c>
      <c r="BM295" s="1">
        <v>6830</v>
      </c>
      <c r="BN295" s="1">
        <v>6040</v>
      </c>
      <c r="BO295" s="1">
        <v>5870</v>
      </c>
      <c r="BP295" s="1">
        <v>5790</v>
      </c>
      <c r="BQ295" s="1">
        <v>5500</v>
      </c>
      <c r="BR295" s="1">
        <v>5450</v>
      </c>
      <c r="BS295" s="1">
        <v>5750</v>
      </c>
      <c r="BT295" s="1">
        <v>5710</v>
      </c>
      <c r="BU295" s="1">
        <v>5660</v>
      </c>
      <c r="BV295" s="1">
        <v>5610</v>
      </c>
      <c r="BW295" s="1">
        <v>5670</v>
      </c>
      <c r="BX295" s="1">
        <v>5550</v>
      </c>
      <c r="BY295" s="1">
        <v>5830</v>
      </c>
      <c r="BZ295" s="1">
        <v>5750</v>
      </c>
    </row>
    <row r="296" spans="1:254">
      <c r="A296" s="74" t="s">
        <v>509</v>
      </c>
      <c r="B296" s="1" t="str">
        <f>銘柄管理!C296</f>
        <v>ベルトラ</v>
      </c>
      <c r="C296" s="541">
        <f>_xll.RssMarket("7048","始値")</f>
        <v>161</v>
      </c>
      <c r="E296" s="547">
        <v>161</v>
      </c>
      <c r="F296" s="1">
        <v>156</v>
      </c>
      <c r="G296" s="1">
        <v>158</v>
      </c>
      <c r="H296" s="1">
        <v>158</v>
      </c>
      <c r="I296" s="1">
        <v>158</v>
      </c>
      <c r="J296" s="1">
        <v>155</v>
      </c>
      <c r="K296" s="1">
        <v>156</v>
      </c>
      <c r="L296" s="1">
        <v>159</v>
      </c>
      <c r="M296" s="1">
        <v>157</v>
      </c>
      <c r="O296" s="1">
        <v>160</v>
      </c>
      <c r="P296" s="1">
        <v>166</v>
      </c>
      <c r="Q296" s="1">
        <v>180</v>
      </c>
      <c r="R296" s="1">
        <v>180</v>
      </c>
      <c r="S296" s="1">
        <v>179</v>
      </c>
      <c r="T296" s="1">
        <v>171</v>
      </c>
      <c r="U296" s="1">
        <v>174</v>
      </c>
      <c r="V296" s="1">
        <v>165</v>
      </c>
      <c r="W296" s="1">
        <v>163</v>
      </c>
      <c r="X296" s="1">
        <v>161</v>
      </c>
      <c r="Y296" s="1">
        <v>168</v>
      </c>
      <c r="Z296" s="1">
        <v>172</v>
      </c>
      <c r="AA296" s="1">
        <v>170</v>
      </c>
      <c r="AB296" s="1">
        <v>163</v>
      </c>
      <c r="AC296" s="1">
        <v>164</v>
      </c>
      <c r="AD296" s="1">
        <v>168</v>
      </c>
      <c r="AE296" s="1">
        <v>163</v>
      </c>
      <c r="AF296" s="1">
        <v>165</v>
      </c>
      <c r="AG296" s="1">
        <v>173</v>
      </c>
      <c r="AH296" s="1">
        <v>193</v>
      </c>
      <c r="AI296" s="1">
        <v>176</v>
      </c>
      <c r="AJ296" s="1">
        <v>154</v>
      </c>
      <c r="AK296" s="1">
        <v>160</v>
      </c>
      <c r="AL296" s="1">
        <v>131</v>
      </c>
      <c r="AM296" s="1">
        <v>124</v>
      </c>
      <c r="AN296" s="1">
        <v>127</v>
      </c>
      <c r="AO296" s="1">
        <v>121</v>
      </c>
      <c r="AP296" s="1">
        <v>116</v>
      </c>
      <c r="AQ296" s="1">
        <v>120</v>
      </c>
      <c r="AR296" s="1">
        <v>122</v>
      </c>
      <c r="AS296" s="1">
        <v>128</v>
      </c>
      <c r="AT296" s="1">
        <v>133</v>
      </c>
      <c r="AU296" s="1">
        <v>127</v>
      </c>
      <c r="AV296" s="1">
        <v>130</v>
      </c>
      <c r="AW296" s="1">
        <v>129</v>
      </c>
      <c r="AX296" s="1">
        <v>130</v>
      </c>
      <c r="AY296" s="1">
        <v>133</v>
      </c>
      <c r="AZ296" s="1">
        <v>136</v>
      </c>
      <c r="BA296" s="1">
        <v>143</v>
      </c>
      <c r="BB296" s="1">
        <v>142</v>
      </c>
      <c r="BC296" s="1">
        <v>144</v>
      </c>
      <c r="BD296" s="1">
        <v>147</v>
      </c>
      <c r="BE296" s="1">
        <v>145</v>
      </c>
      <c r="BF296" s="1">
        <v>145</v>
      </c>
      <c r="BG296" s="1">
        <v>154</v>
      </c>
      <c r="BH296" s="1">
        <v>161</v>
      </c>
      <c r="BI296" s="1">
        <v>164</v>
      </c>
      <c r="BJ296" s="1">
        <v>162</v>
      </c>
      <c r="BK296" s="1">
        <v>165</v>
      </c>
      <c r="BL296" s="1">
        <v>162</v>
      </c>
      <c r="BM296" s="1">
        <v>163</v>
      </c>
      <c r="BN296" s="1">
        <v>160</v>
      </c>
      <c r="BO296" s="1">
        <v>162</v>
      </c>
      <c r="BP296" s="1">
        <v>165</v>
      </c>
      <c r="BQ296" s="1">
        <v>163</v>
      </c>
      <c r="BR296" s="1">
        <v>166</v>
      </c>
      <c r="BS296" s="1">
        <v>171</v>
      </c>
      <c r="BT296" s="1">
        <v>178</v>
      </c>
      <c r="BU296" s="1">
        <v>186</v>
      </c>
      <c r="BV296" s="1">
        <v>190</v>
      </c>
      <c r="BW296" s="1">
        <v>189</v>
      </c>
      <c r="BX296" s="1">
        <v>178</v>
      </c>
      <c r="BY296" s="1">
        <v>176</v>
      </c>
      <c r="BZ296" s="1">
        <v>175</v>
      </c>
    </row>
    <row r="297" spans="1:254">
      <c r="A297" s="74" t="s">
        <v>510</v>
      </c>
      <c r="B297" s="1" t="str">
        <f>銘柄管理!C297</f>
        <v>長谷工コーポレーシヨン</v>
      </c>
      <c r="C297" s="541">
        <f>_xll.RssMarket("1808","始値")</f>
        <v>2664.5</v>
      </c>
      <c r="E297" s="547">
        <v>2664.5</v>
      </c>
      <c r="F297" s="1">
        <v>2658</v>
      </c>
      <c r="G297" s="1">
        <v>2732.5</v>
      </c>
      <c r="H297" s="1">
        <v>2778</v>
      </c>
      <c r="I297" s="1">
        <v>2794.5</v>
      </c>
      <c r="J297" s="1">
        <v>2864</v>
      </c>
      <c r="K297" s="1">
        <v>2893</v>
      </c>
      <c r="L297" s="1">
        <v>2847.5</v>
      </c>
      <c r="M297" s="1">
        <v>2806.5</v>
      </c>
      <c r="N297" s="1">
        <v>2756</v>
      </c>
      <c r="O297" s="1">
        <v>2790</v>
      </c>
      <c r="P297" s="1">
        <v>2810.5</v>
      </c>
      <c r="Q297" s="1">
        <v>2815</v>
      </c>
      <c r="R297" s="1">
        <v>2840</v>
      </c>
      <c r="S297" s="1">
        <v>2818.5</v>
      </c>
      <c r="T297" s="1">
        <v>2786</v>
      </c>
      <c r="U297" s="1">
        <v>2822</v>
      </c>
      <c r="V297" s="1">
        <v>2811</v>
      </c>
      <c r="W297" s="1">
        <v>2800.5</v>
      </c>
      <c r="X297" s="1">
        <v>2880</v>
      </c>
      <c r="Y297" s="1">
        <v>2884.5</v>
      </c>
      <c r="Z297" s="1">
        <v>2834</v>
      </c>
      <c r="AA297" s="1">
        <v>2845</v>
      </c>
      <c r="AB297" s="1">
        <v>2793</v>
      </c>
      <c r="AC297" s="1">
        <v>2812.5</v>
      </c>
      <c r="AD297" s="1">
        <v>2841.5</v>
      </c>
      <c r="AE297" s="1">
        <v>2870</v>
      </c>
      <c r="AF297" s="1">
        <v>2785</v>
      </c>
      <c r="AG297" s="1">
        <v>2781.5</v>
      </c>
      <c r="AH297" s="1">
        <v>2759</v>
      </c>
      <c r="AI297" s="1">
        <v>2768</v>
      </c>
      <c r="AJ297" s="1">
        <v>2736</v>
      </c>
      <c r="AK297" s="1">
        <v>2638</v>
      </c>
      <c r="AL297" s="1">
        <v>2707</v>
      </c>
      <c r="AM297" s="1">
        <v>2730</v>
      </c>
      <c r="AN297" s="1">
        <v>2708.5</v>
      </c>
      <c r="AO297" s="1">
        <v>2700</v>
      </c>
      <c r="AP297" s="1">
        <v>2766.5</v>
      </c>
      <c r="AQ297" s="1">
        <v>2745</v>
      </c>
      <c r="AR297" s="1">
        <v>2707.5</v>
      </c>
      <c r="AS297" s="1">
        <v>2645.5</v>
      </c>
      <c r="AT297" s="1">
        <v>2643</v>
      </c>
      <c r="AU297" s="1">
        <v>2599.5</v>
      </c>
      <c r="AV297" s="1">
        <v>2620</v>
      </c>
      <c r="AW297" s="1">
        <v>2624</v>
      </c>
      <c r="AX297" s="1">
        <v>2700</v>
      </c>
      <c r="AY297" s="1">
        <v>2717</v>
      </c>
      <c r="AZ297" s="1">
        <v>2693</v>
      </c>
      <c r="BA297" s="1">
        <v>2679</v>
      </c>
      <c r="BB297" s="1">
        <v>2730</v>
      </c>
      <c r="BC297" s="1">
        <v>2715</v>
      </c>
      <c r="BD297" s="1">
        <v>2790</v>
      </c>
      <c r="BE297" s="1">
        <v>2840</v>
      </c>
      <c r="BF297" s="1">
        <v>2881</v>
      </c>
      <c r="BG297" s="1">
        <v>2695</v>
      </c>
      <c r="BH297" s="1">
        <v>2790</v>
      </c>
      <c r="BI297" s="1">
        <v>2808.5</v>
      </c>
      <c r="BJ297" s="1">
        <v>2771</v>
      </c>
      <c r="BK297" s="1">
        <v>2745</v>
      </c>
      <c r="BL297" s="1">
        <v>2757</v>
      </c>
      <c r="BM297" s="1">
        <v>2743.5</v>
      </c>
      <c r="BN297" s="1">
        <v>2700.5</v>
      </c>
      <c r="BO297" s="1">
        <v>2778</v>
      </c>
      <c r="BP297" s="1">
        <v>2750</v>
      </c>
      <c r="BQ297" s="1">
        <v>2670</v>
      </c>
      <c r="BR297" s="1">
        <v>2713.5</v>
      </c>
      <c r="BS297" s="1">
        <v>2724.5</v>
      </c>
      <c r="BT297" s="1">
        <v>2749</v>
      </c>
      <c r="BU297" s="1">
        <v>2815</v>
      </c>
      <c r="BV297" s="1">
        <v>2766.5</v>
      </c>
      <c r="BW297" s="1">
        <v>2761.5</v>
      </c>
      <c r="BX297" s="1">
        <v>2760</v>
      </c>
      <c r="BY297" s="1">
        <v>2736.5</v>
      </c>
      <c r="BZ297" s="1">
        <v>2866.5</v>
      </c>
    </row>
    <row r="298" spans="1:254">
      <c r="A298" s="74" t="s">
        <v>511</v>
      </c>
      <c r="B298" s="1" t="str">
        <f>銘柄管理!C298</f>
        <v>ＵＢＥ</v>
      </c>
      <c r="C298" s="541">
        <f>_xll.RssMarket("4208","始値")</f>
        <v>3219</v>
      </c>
      <c r="E298" s="547">
        <v>3219</v>
      </c>
      <c r="F298" s="1">
        <v>3174</v>
      </c>
      <c r="G298" s="1">
        <v>3141</v>
      </c>
      <c r="H298" s="1">
        <v>3170</v>
      </c>
      <c r="I298" s="1">
        <v>3186</v>
      </c>
      <c r="J298" s="1">
        <v>3159</v>
      </c>
      <c r="K298" s="1">
        <v>3215</v>
      </c>
      <c r="L298" s="1">
        <v>3300</v>
      </c>
      <c r="M298" s="1">
        <v>3300</v>
      </c>
      <c r="O298" s="1">
        <v>3251</v>
      </c>
      <c r="P298" s="1">
        <v>3252</v>
      </c>
      <c r="Q298" s="1">
        <v>3220</v>
      </c>
      <c r="R298" s="1">
        <v>3243</v>
      </c>
      <c r="S298" s="1">
        <v>3227</v>
      </c>
      <c r="T298" s="1">
        <v>3102</v>
      </c>
      <c r="U298" s="1">
        <v>3181</v>
      </c>
      <c r="V298" s="1">
        <v>3187</v>
      </c>
      <c r="W298" s="1">
        <v>3163</v>
      </c>
      <c r="X298" s="1">
        <v>3180</v>
      </c>
      <c r="Y298" s="1">
        <v>3270</v>
      </c>
      <c r="Z298" s="1">
        <v>3270</v>
      </c>
      <c r="AA298" s="1">
        <v>3203</v>
      </c>
      <c r="AB298" s="1">
        <v>3190</v>
      </c>
      <c r="AC298" s="1">
        <v>3189</v>
      </c>
      <c r="AD298" s="1">
        <v>3162</v>
      </c>
      <c r="AE298" s="1">
        <v>3170</v>
      </c>
      <c r="AF298" s="1">
        <v>3163</v>
      </c>
      <c r="AG298" s="1">
        <v>3174</v>
      </c>
      <c r="AH298" s="1">
        <v>3111</v>
      </c>
      <c r="AI298" s="1">
        <v>3220</v>
      </c>
      <c r="AJ298" s="1">
        <v>3195</v>
      </c>
      <c r="AK298" s="1">
        <v>3294</v>
      </c>
      <c r="AL298" s="1">
        <v>3230</v>
      </c>
      <c r="AM298" s="1">
        <v>3197</v>
      </c>
      <c r="AN298" s="1">
        <v>3240</v>
      </c>
      <c r="AO298" s="1">
        <v>3125</v>
      </c>
      <c r="AP298" s="1">
        <v>3036</v>
      </c>
      <c r="AQ298" s="1">
        <v>2993</v>
      </c>
      <c r="AR298" s="1">
        <v>2973.5</v>
      </c>
      <c r="AS298" s="1">
        <v>2905</v>
      </c>
      <c r="AT298" s="1">
        <v>2939</v>
      </c>
      <c r="AU298" s="1">
        <v>2992</v>
      </c>
      <c r="AV298" s="1">
        <v>2964.5</v>
      </c>
      <c r="AW298" s="1">
        <v>2900.5</v>
      </c>
      <c r="AX298" s="1">
        <v>2950</v>
      </c>
      <c r="AY298" s="1">
        <v>2980</v>
      </c>
      <c r="AZ298" s="1">
        <v>3030</v>
      </c>
      <c r="BA298" s="1">
        <v>3000</v>
      </c>
      <c r="BB298" s="1">
        <v>3045</v>
      </c>
      <c r="BC298" s="1">
        <v>2940.5</v>
      </c>
      <c r="BD298" s="1">
        <v>2688</v>
      </c>
      <c r="BE298" s="1">
        <v>2424.5</v>
      </c>
      <c r="BF298" s="1">
        <v>2416.5</v>
      </c>
      <c r="BG298" s="1">
        <v>2450</v>
      </c>
      <c r="BH298" s="1">
        <v>2478</v>
      </c>
      <c r="BI298" s="1">
        <v>2338</v>
      </c>
      <c r="BJ298" s="1">
        <v>2357</v>
      </c>
      <c r="BK298" s="1">
        <v>2386.5</v>
      </c>
      <c r="BL298" s="1">
        <v>2395</v>
      </c>
      <c r="BM298" s="1">
        <v>2403</v>
      </c>
      <c r="BN298" s="1">
        <v>2360</v>
      </c>
      <c r="BO298" s="1">
        <v>2344</v>
      </c>
      <c r="BP298" s="1">
        <v>2368</v>
      </c>
      <c r="BQ298" s="1">
        <v>2351</v>
      </c>
      <c r="BR298" s="1">
        <v>2367</v>
      </c>
      <c r="BS298" s="1">
        <v>2363</v>
      </c>
      <c r="BT298" s="1">
        <v>2409</v>
      </c>
      <c r="BU298" s="1">
        <v>2425</v>
      </c>
      <c r="BV298" s="1">
        <v>2444.5</v>
      </c>
      <c r="BW298" s="1">
        <v>2438</v>
      </c>
      <c r="BX298" s="1">
        <v>2425.5</v>
      </c>
      <c r="BY298" s="1">
        <v>2411</v>
      </c>
      <c r="BZ298" s="1">
        <v>2424.5</v>
      </c>
    </row>
    <row r="299" spans="1:254">
      <c r="A299" s="74" t="s">
        <v>512</v>
      </c>
      <c r="B299" s="1" t="str">
        <f>銘柄管理!C299</f>
        <v>アストロスケールホールディンク</v>
      </c>
      <c r="C299" s="541">
        <f>_xll.RssMarket("186A","始値")</f>
        <v>1152</v>
      </c>
      <c r="E299" s="547">
        <v>1152</v>
      </c>
      <c r="F299" s="1">
        <v>1145</v>
      </c>
      <c r="G299" s="1">
        <v>1070</v>
      </c>
      <c r="H299" s="1">
        <v>1012</v>
      </c>
      <c r="I299" s="1">
        <v>985</v>
      </c>
      <c r="J299" s="1">
        <v>950</v>
      </c>
      <c r="K299" s="1">
        <v>1011</v>
      </c>
      <c r="L299" s="1">
        <v>1015</v>
      </c>
      <c r="M299" s="1">
        <v>1022</v>
      </c>
      <c r="N299" s="1">
        <v>1041</v>
      </c>
      <c r="O299" s="1">
        <v>1020</v>
      </c>
      <c r="P299" s="1">
        <v>1027</v>
      </c>
      <c r="Q299" s="1">
        <v>981</v>
      </c>
      <c r="R299" s="1">
        <v>1000</v>
      </c>
      <c r="S299" s="1">
        <v>1055</v>
      </c>
      <c r="T299" s="1">
        <v>1078</v>
      </c>
      <c r="U299" s="1">
        <v>1105</v>
      </c>
      <c r="V299" s="1">
        <v>1108</v>
      </c>
      <c r="W299" s="1">
        <v>1076</v>
      </c>
      <c r="X299" s="1">
        <v>1112</v>
      </c>
      <c r="Y299" s="1">
        <v>1210</v>
      </c>
      <c r="Z299" s="1">
        <v>1236</v>
      </c>
      <c r="AA299" s="1">
        <v>1145</v>
      </c>
      <c r="AB299" s="1">
        <v>1135</v>
      </c>
      <c r="AC299" s="1">
        <v>1176</v>
      </c>
      <c r="AD299" s="1">
        <v>1179</v>
      </c>
      <c r="AE299" s="1">
        <v>1113</v>
      </c>
      <c r="AF299" s="1">
        <v>1150</v>
      </c>
      <c r="AG299" s="1">
        <v>1173</v>
      </c>
      <c r="AH299" s="1">
        <v>1180</v>
      </c>
      <c r="AI299" s="1">
        <v>1290</v>
      </c>
      <c r="AJ299" s="1">
        <v>1205</v>
      </c>
      <c r="AK299" s="1">
        <v>1285</v>
      </c>
      <c r="AL299" s="1">
        <v>1356</v>
      </c>
      <c r="AM299" s="1">
        <v>1450</v>
      </c>
      <c r="AN299" s="1">
        <v>1465</v>
      </c>
      <c r="AO299" s="1">
        <v>1676</v>
      </c>
      <c r="AP299" s="1">
        <v>1956</v>
      </c>
      <c r="AQ299" s="1">
        <v>1710</v>
      </c>
      <c r="AR299" s="1">
        <v>1806</v>
      </c>
      <c r="AS299" s="1">
        <v>1922</v>
      </c>
      <c r="AT299" s="1">
        <v>2085</v>
      </c>
      <c r="AU299" s="1">
        <v>1955</v>
      </c>
      <c r="AV299" s="1">
        <v>2195</v>
      </c>
      <c r="AW299" s="1">
        <v>2101</v>
      </c>
      <c r="AX299" s="1">
        <v>2868</v>
      </c>
      <c r="AY299" s="1">
        <v>2644</v>
      </c>
      <c r="AZ299" s="1">
        <v>3000</v>
      </c>
      <c r="BA299" s="1">
        <v>2639</v>
      </c>
      <c r="BB299" s="1">
        <v>1992</v>
      </c>
      <c r="BC299" s="1">
        <v>2050</v>
      </c>
      <c r="BD299" s="1">
        <v>2065</v>
      </c>
      <c r="BE299" s="1">
        <v>1932</v>
      </c>
      <c r="BF299" s="1">
        <v>2100</v>
      </c>
      <c r="BG299" s="1">
        <v>1900</v>
      </c>
      <c r="BH299" s="1">
        <v>1864</v>
      </c>
      <c r="BI299" s="1">
        <v>1737</v>
      </c>
      <c r="BJ299" s="1">
        <v>1796</v>
      </c>
      <c r="BK299" s="1">
        <v>1730</v>
      </c>
      <c r="BL299" s="1">
        <v>1413</v>
      </c>
      <c r="BM299" s="1">
        <v>1373</v>
      </c>
      <c r="BN299" s="1">
        <v>1263</v>
      </c>
      <c r="BO299" s="1">
        <v>1282</v>
      </c>
      <c r="BP299" s="1">
        <v>1221</v>
      </c>
      <c r="BQ299" s="1">
        <v>1317</v>
      </c>
      <c r="BR299" s="1">
        <v>1400</v>
      </c>
      <c r="BS299" s="1">
        <v>1454</v>
      </c>
      <c r="BT299" s="1">
        <v>1458</v>
      </c>
      <c r="BU299" s="1">
        <v>1489</v>
      </c>
      <c r="BV299" s="1">
        <v>1366</v>
      </c>
      <c r="BW299" s="1">
        <v>1410</v>
      </c>
      <c r="BX299" s="1">
        <v>1365</v>
      </c>
      <c r="BY299" s="1">
        <v>1403</v>
      </c>
      <c r="BZ299" s="1">
        <v>1363</v>
      </c>
    </row>
    <row r="300" spans="1:254">
      <c r="A300" s="74" t="s">
        <v>513</v>
      </c>
      <c r="B300" s="1" t="str">
        <f>銘柄管理!C300</f>
        <v>浜松ホトニクス</v>
      </c>
      <c r="C300" s="541">
        <f>_xll.RssMarket("6965","始値")</f>
        <v>2539.5</v>
      </c>
      <c r="E300" s="547">
        <v>2539.5</v>
      </c>
      <c r="F300" s="1">
        <v>2457.5</v>
      </c>
      <c r="G300" s="1">
        <v>2343</v>
      </c>
      <c r="H300" s="1">
        <v>2323</v>
      </c>
      <c r="I300" s="1">
        <v>2300</v>
      </c>
      <c r="J300" s="1">
        <v>2155.5</v>
      </c>
      <c r="K300" s="1">
        <v>2200.5</v>
      </c>
      <c r="L300" s="1">
        <v>2303</v>
      </c>
      <c r="M300" s="1">
        <v>2357.5</v>
      </c>
      <c r="O300" s="1">
        <v>2452</v>
      </c>
      <c r="P300" s="1">
        <v>2385.5</v>
      </c>
      <c r="Q300" s="1">
        <v>2342</v>
      </c>
      <c r="R300" s="1">
        <v>2345</v>
      </c>
      <c r="S300" s="1">
        <v>2450</v>
      </c>
      <c r="T300" s="1">
        <v>2416.5</v>
      </c>
      <c r="U300" s="1">
        <v>2509</v>
      </c>
      <c r="V300" s="1">
        <v>2499</v>
      </c>
      <c r="W300" s="1">
        <v>2474</v>
      </c>
      <c r="X300" s="1">
        <v>2400</v>
      </c>
      <c r="Y300" s="1">
        <v>2551</v>
      </c>
      <c r="Z300" s="1">
        <v>2675.5</v>
      </c>
      <c r="AA300" s="1">
        <v>2566</v>
      </c>
      <c r="AB300" s="1">
        <v>2685</v>
      </c>
      <c r="AC300" s="1">
        <v>2726.5</v>
      </c>
      <c r="AD300" s="1">
        <v>2685.5</v>
      </c>
      <c r="AE300" s="1">
        <v>2615</v>
      </c>
      <c r="AF300" s="1">
        <v>2685</v>
      </c>
      <c r="AG300" s="1">
        <v>2765</v>
      </c>
      <c r="AH300" s="1">
        <v>2645</v>
      </c>
      <c r="AI300" s="1">
        <v>2837.5</v>
      </c>
      <c r="AJ300" s="1">
        <v>2843.5</v>
      </c>
      <c r="AK300" s="1">
        <v>2840</v>
      </c>
      <c r="AL300" s="1">
        <v>2776</v>
      </c>
      <c r="AM300" s="1">
        <v>2634.5</v>
      </c>
      <c r="AN300" s="1">
        <v>2653</v>
      </c>
      <c r="AO300" s="1">
        <v>2565.5</v>
      </c>
      <c r="AP300" s="1">
        <v>2487.5</v>
      </c>
      <c r="AQ300" s="1">
        <v>2288</v>
      </c>
      <c r="AR300" s="1">
        <v>2502</v>
      </c>
      <c r="AS300" s="1">
        <v>2614</v>
      </c>
      <c r="AT300" s="1">
        <v>2891.5</v>
      </c>
      <c r="AU300" s="1">
        <v>2827.5</v>
      </c>
      <c r="AV300" s="1">
        <v>2879</v>
      </c>
      <c r="AW300" s="1">
        <v>2854.5</v>
      </c>
      <c r="AX300" s="1">
        <v>2873</v>
      </c>
      <c r="AY300" s="1">
        <v>2686.5</v>
      </c>
      <c r="AZ300" s="1">
        <v>2937</v>
      </c>
      <c r="BA300" s="1">
        <v>2995</v>
      </c>
      <c r="BB300" s="1">
        <v>2731.5</v>
      </c>
      <c r="BC300" s="1">
        <v>2703</v>
      </c>
      <c r="BD300" s="1">
        <v>2637.5</v>
      </c>
      <c r="BE300" s="1">
        <v>2785</v>
      </c>
      <c r="BF300" s="1">
        <v>2756.5</v>
      </c>
      <c r="BG300" s="1">
        <v>2600</v>
      </c>
      <c r="BH300" s="1">
        <v>2173</v>
      </c>
      <c r="BI300" s="1">
        <v>2110</v>
      </c>
      <c r="BJ300" s="1">
        <v>2192</v>
      </c>
      <c r="BK300" s="1">
        <v>2243</v>
      </c>
      <c r="BL300" s="1">
        <v>2119</v>
      </c>
      <c r="BM300" s="1">
        <v>2041</v>
      </c>
      <c r="BN300" s="1">
        <v>2019</v>
      </c>
      <c r="BO300" s="1">
        <v>2002.5</v>
      </c>
      <c r="BP300" s="1">
        <v>2036</v>
      </c>
      <c r="BQ300" s="1">
        <v>1949</v>
      </c>
      <c r="BR300" s="1">
        <v>1941</v>
      </c>
      <c r="BS300" s="1">
        <v>1946</v>
      </c>
      <c r="BT300" s="1">
        <v>1947</v>
      </c>
      <c r="BU300" s="1">
        <v>1955</v>
      </c>
      <c r="BV300" s="1">
        <v>1934.5</v>
      </c>
      <c r="BW300" s="1">
        <v>1990</v>
      </c>
      <c r="BX300" s="1">
        <v>1910</v>
      </c>
      <c r="BY300" s="1">
        <v>1953.5</v>
      </c>
      <c r="BZ300" s="1">
        <v>1970</v>
      </c>
    </row>
    <row r="301" spans="1:254">
      <c r="A301" s="74" t="s">
        <v>514</v>
      </c>
      <c r="B301" s="1" t="str">
        <f>銘柄管理!C301</f>
        <v>三菱化工機</v>
      </c>
      <c r="C301" s="541">
        <f>_xll.RssMarket("6331","始値")</f>
        <v>3240</v>
      </c>
      <c r="E301" s="547">
        <v>3240</v>
      </c>
      <c r="F301" s="1">
        <v>3180</v>
      </c>
      <c r="G301" s="1">
        <v>3050</v>
      </c>
      <c r="H301" s="1">
        <v>3100</v>
      </c>
      <c r="I301" s="1">
        <v>3250</v>
      </c>
      <c r="J301" s="1">
        <v>3040</v>
      </c>
      <c r="K301" s="1">
        <v>3210</v>
      </c>
      <c r="L301" s="1">
        <v>3390</v>
      </c>
      <c r="M301" s="1">
        <v>3370</v>
      </c>
      <c r="N301" s="1">
        <v>3390</v>
      </c>
      <c r="O301" s="1">
        <v>3350</v>
      </c>
      <c r="P301" s="1">
        <v>3310</v>
      </c>
      <c r="Q301" s="1">
        <v>3230</v>
      </c>
      <c r="R301" s="1">
        <v>3275</v>
      </c>
      <c r="S301" s="1">
        <v>3475</v>
      </c>
      <c r="T301" s="1">
        <v>3415</v>
      </c>
      <c r="U301" s="1">
        <v>3585</v>
      </c>
      <c r="V301" s="1">
        <v>3555</v>
      </c>
      <c r="W301" s="1">
        <v>3605</v>
      </c>
      <c r="X301" s="1">
        <v>3850</v>
      </c>
      <c r="Y301" s="1">
        <v>3935</v>
      </c>
      <c r="Z301" s="1">
        <v>3840</v>
      </c>
      <c r="AA301" s="1">
        <v>3675</v>
      </c>
      <c r="AB301" s="1">
        <v>3700</v>
      </c>
      <c r="AC301" s="1">
        <v>3695</v>
      </c>
      <c r="AD301" s="1">
        <v>3795</v>
      </c>
      <c r="AE301" s="1">
        <v>3855</v>
      </c>
      <c r="AF301" s="1">
        <v>3875</v>
      </c>
      <c r="AG301" s="1">
        <v>3890</v>
      </c>
      <c r="AH301" s="1">
        <v>3880</v>
      </c>
      <c r="AI301" s="1">
        <v>4160</v>
      </c>
      <c r="AJ301" s="1">
        <v>4000</v>
      </c>
      <c r="AK301" s="1">
        <v>4080</v>
      </c>
      <c r="AL301" s="1">
        <v>4100</v>
      </c>
      <c r="AM301" s="1">
        <v>3900</v>
      </c>
      <c r="AN301" s="1">
        <v>3840</v>
      </c>
      <c r="AO301" s="1">
        <v>3795</v>
      </c>
      <c r="AP301" s="1">
        <v>3680</v>
      </c>
      <c r="AQ301" s="1">
        <v>3555</v>
      </c>
      <c r="AR301" s="1">
        <v>3500</v>
      </c>
      <c r="AS301" s="1">
        <v>3470</v>
      </c>
      <c r="AT301" s="1">
        <v>3465</v>
      </c>
      <c r="AU301" s="1">
        <v>3655</v>
      </c>
      <c r="AV301" s="1">
        <v>3455</v>
      </c>
      <c r="AW301" s="1">
        <v>3450</v>
      </c>
      <c r="AX301" s="1">
        <v>3690</v>
      </c>
      <c r="AY301" s="1">
        <v>3650</v>
      </c>
      <c r="AZ301" s="1">
        <v>3790</v>
      </c>
      <c r="BA301" s="1">
        <v>3425</v>
      </c>
      <c r="BB301" s="1">
        <v>3550</v>
      </c>
      <c r="BC301" s="1">
        <v>3485</v>
      </c>
      <c r="BD301" s="1">
        <v>3585</v>
      </c>
      <c r="BE301" s="1">
        <v>3840</v>
      </c>
      <c r="BF301" s="1">
        <v>3600</v>
      </c>
      <c r="BG301" s="1">
        <v>3375</v>
      </c>
      <c r="BH301" s="1">
        <v>3380</v>
      </c>
      <c r="BI301" s="1">
        <v>3295</v>
      </c>
      <c r="BJ301" s="1">
        <v>3320</v>
      </c>
      <c r="BK301" s="1">
        <v>3260</v>
      </c>
      <c r="BL301" s="1">
        <v>3265</v>
      </c>
      <c r="BM301" s="1">
        <v>3330</v>
      </c>
      <c r="BN301" s="1">
        <v>3220</v>
      </c>
      <c r="BO301" s="1">
        <v>3190</v>
      </c>
      <c r="BP301" s="1">
        <v>3260</v>
      </c>
      <c r="BQ301" s="1">
        <v>3205</v>
      </c>
      <c r="BR301" s="1">
        <v>3160</v>
      </c>
      <c r="BS301" s="1">
        <v>3050</v>
      </c>
      <c r="BT301" s="1">
        <v>3030</v>
      </c>
      <c r="BU301" s="1">
        <v>3045</v>
      </c>
      <c r="BV301" s="1">
        <v>3055</v>
      </c>
      <c r="BW301" s="1">
        <v>3060</v>
      </c>
      <c r="BX301" s="1">
        <v>3045</v>
      </c>
      <c r="BY301" s="1">
        <v>3150</v>
      </c>
      <c r="BZ301" s="1">
        <v>3130</v>
      </c>
    </row>
    <row r="302" spans="1:254">
      <c r="A302" s="74" t="s">
        <v>515</v>
      </c>
      <c r="B302" s="1" t="str">
        <f>銘柄管理!C302</f>
        <v>ＨＯＹＡ</v>
      </c>
      <c r="C302" s="541">
        <f>_xll.RssMarket("7741","始値")</f>
        <v>25545</v>
      </c>
      <c r="E302" s="547">
        <v>25545</v>
      </c>
      <c r="F302" s="1">
        <v>26925</v>
      </c>
      <c r="G302" s="1">
        <v>25540</v>
      </c>
      <c r="H302" s="1">
        <v>24175</v>
      </c>
      <c r="I302" s="1">
        <v>24285</v>
      </c>
      <c r="J302" s="1">
        <v>23700</v>
      </c>
      <c r="K302" s="1">
        <v>23580</v>
      </c>
      <c r="L302" s="1">
        <v>24370</v>
      </c>
      <c r="M302" s="1">
        <v>24805</v>
      </c>
      <c r="N302" s="1">
        <v>24500</v>
      </c>
      <c r="O302" s="1">
        <v>24840</v>
      </c>
      <c r="P302" s="1">
        <v>25415</v>
      </c>
      <c r="Q302" s="1">
        <v>25440</v>
      </c>
      <c r="R302" s="1">
        <v>24900</v>
      </c>
      <c r="S302" s="1">
        <v>25570</v>
      </c>
      <c r="T302" s="1">
        <v>25830</v>
      </c>
      <c r="U302" s="1">
        <v>25035</v>
      </c>
      <c r="V302" s="1">
        <v>25200</v>
      </c>
      <c r="W302" s="1">
        <v>24290</v>
      </c>
      <c r="X302" s="1">
        <v>25200</v>
      </c>
      <c r="Y302" s="1">
        <v>25525</v>
      </c>
      <c r="Z302" s="1">
        <v>26100</v>
      </c>
      <c r="AA302" s="1">
        <v>25845</v>
      </c>
      <c r="AB302" s="1">
        <v>25775</v>
      </c>
      <c r="AC302" s="1">
        <v>25940</v>
      </c>
      <c r="AD302" s="1">
        <v>26045</v>
      </c>
      <c r="AE302" s="1">
        <v>25570</v>
      </c>
      <c r="AF302" s="1">
        <v>26500</v>
      </c>
      <c r="AG302" s="1">
        <v>26825</v>
      </c>
      <c r="AH302" s="1">
        <v>26200</v>
      </c>
      <c r="AI302" s="1">
        <v>27205</v>
      </c>
      <c r="AJ302" s="1">
        <v>26945</v>
      </c>
      <c r="AK302" s="1">
        <v>28865</v>
      </c>
      <c r="AL302" s="1">
        <v>28000</v>
      </c>
      <c r="AM302" s="1">
        <v>27025</v>
      </c>
      <c r="AN302" s="1">
        <v>26590</v>
      </c>
      <c r="AO302" s="1">
        <v>26945</v>
      </c>
      <c r="AP302" s="1">
        <v>26420</v>
      </c>
      <c r="AQ302" s="1">
        <v>25300</v>
      </c>
      <c r="AR302" s="1">
        <v>25420</v>
      </c>
      <c r="AS302" s="1">
        <v>25400</v>
      </c>
      <c r="AT302" s="1">
        <v>26290</v>
      </c>
      <c r="AU302" s="1">
        <v>27480</v>
      </c>
      <c r="AV302" s="1">
        <v>26500</v>
      </c>
      <c r="AW302" s="1">
        <v>26175</v>
      </c>
      <c r="AX302" s="1">
        <v>27020</v>
      </c>
      <c r="AY302" s="1">
        <v>27080</v>
      </c>
      <c r="AZ302" s="1">
        <v>27220</v>
      </c>
      <c r="BA302" s="1">
        <v>26055</v>
      </c>
      <c r="BB302" s="1">
        <v>26620</v>
      </c>
      <c r="BC302" s="1">
        <v>26900</v>
      </c>
      <c r="BD302" s="1">
        <v>26945</v>
      </c>
      <c r="BE302" s="1">
        <v>27700</v>
      </c>
      <c r="BF302" s="1">
        <v>27900</v>
      </c>
      <c r="BG302" s="1">
        <v>27740</v>
      </c>
      <c r="BH302" s="1">
        <v>27870</v>
      </c>
      <c r="BI302" s="1">
        <v>27370</v>
      </c>
      <c r="BJ302" s="1">
        <v>27270</v>
      </c>
      <c r="BK302" s="1">
        <v>27360</v>
      </c>
      <c r="BL302" s="1">
        <v>27410</v>
      </c>
      <c r="BM302" s="1">
        <v>28275</v>
      </c>
      <c r="BN302" s="1">
        <v>29200</v>
      </c>
      <c r="BO302" s="1">
        <v>29130</v>
      </c>
      <c r="BP302" s="1">
        <v>29320</v>
      </c>
      <c r="BQ302" s="1">
        <v>28900</v>
      </c>
      <c r="BR302" s="1">
        <v>28310</v>
      </c>
      <c r="BS302" s="1">
        <v>28590</v>
      </c>
      <c r="BT302" s="1">
        <v>29090</v>
      </c>
      <c r="BU302" s="1">
        <v>29465</v>
      </c>
      <c r="BV302" s="1">
        <v>29495</v>
      </c>
      <c r="BW302" s="1">
        <v>29495</v>
      </c>
      <c r="BX302" s="1">
        <v>29770</v>
      </c>
      <c r="BY302" s="1">
        <v>29770</v>
      </c>
      <c r="BZ302" s="1">
        <v>29670</v>
      </c>
    </row>
    <row r="303" spans="1:254">
      <c r="A303" s="74" t="s">
        <v>876</v>
      </c>
      <c r="B303" s="1" t="str">
        <f>銘柄管理!C303</f>
        <v>ＮＦ日経２２５</v>
      </c>
      <c r="C303" s="541">
        <f>_xll.RssMarket("1321","始値")</f>
        <v>67810</v>
      </c>
      <c r="E303" s="547">
        <v>67810</v>
      </c>
      <c r="F303" s="1">
        <v>67800</v>
      </c>
      <c r="G303" s="1">
        <v>66360</v>
      </c>
      <c r="H303" s="1">
        <v>65920</v>
      </c>
      <c r="I303" s="1">
        <v>66820</v>
      </c>
      <c r="J303" s="1">
        <v>63520</v>
      </c>
      <c r="K303" s="1">
        <v>64740</v>
      </c>
      <c r="L303" s="1">
        <v>65640</v>
      </c>
      <c r="M303" s="1">
        <v>67500</v>
      </c>
      <c r="N303" s="1">
        <v>67700</v>
      </c>
      <c r="O303" s="1">
        <v>68900</v>
      </c>
      <c r="P303" s="1">
        <v>69650</v>
      </c>
      <c r="Q303" s="1">
        <v>67050</v>
      </c>
      <c r="R303" s="1">
        <v>67960</v>
      </c>
      <c r="S303" s="1">
        <v>70670</v>
      </c>
      <c r="T303" s="1">
        <v>69250</v>
      </c>
      <c r="U303" s="1">
        <v>70810</v>
      </c>
      <c r="V303" s="1">
        <v>71410</v>
      </c>
      <c r="W303" s="1">
        <v>70000</v>
      </c>
      <c r="X303" s="1">
        <v>69950</v>
      </c>
      <c r="Y303" s="1">
        <v>72040</v>
      </c>
      <c r="Z303" s="1">
        <v>73300</v>
      </c>
      <c r="AA303" s="1">
        <v>71560</v>
      </c>
      <c r="AB303" s="1">
        <v>72350</v>
      </c>
      <c r="AC303" s="1">
        <v>74450</v>
      </c>
      <c r="AD303" s="1">
        <v>73850</v>
      </c>
      <c r="AE303" s="1">
        <v>72920</v>
      </c>
      <c r="AF303" s="1">
        <v>74240</v>
      </c>
      <c r="AG303" s="1">
        <v>74160</v>
      </c>
      <c r="AH303" s="1">
        <v>72820</v>
      </c>
      <c r="AI303" s="1">
        <v>76070</v>
      </c>
      <c r="AJ303" s="1">
        <v>74510</v>
      </c>
      <c r="AK303" s="1">
        <v>75500</v>
      </c>
      <c r="AL303" s="1">
        <v>73680</v>
      </c>
      <c r="AM303" s="1">
        <v>71980</v>
      </c>
      <c r="AN303" s="1">
        <v>72630</v>
      </c>
      <c r="AO303" s="1">
        <v>71530</v>
      </c>
      <c r="AP303" s="1">
        <v>69680</v>
      </c>
      <c r="AQ303" s="1">
        <v>65670</v>
      </c>
      <c r="AR303" s="1">
        <v>67500</v>
      </c>
      <c r="AS303" s="1">
        <v>66910</v>
      </c>
      <c r="AT303" s="1">
        <v>70100</v>
      </c>
      <c r="AU303" s="1">
        <v>70740</v>
      </c>
      <c r="AV303" s="1">
        <v>70830</v>
      </c>
      <c r="AW303" s="1">
        <v>70300</v>
      </c>
      <c r="AX303" s="1">
        <v>68700</v>
      </c>
      <c r="AY303" s="1">
        <v>67620</v>
      </c>
      <c r="AZ303" s="1">
        <v>69440</v>
      </c>
      <c r="BA303" s="1">
        <v>66970</v>
      </c>
      <c r="BB303" s="1">
        <v>65230</v>
      </c>
      <c r="BC303" s="1">
        <v>64110</v>
      </c>
      <c r="BD303" s="1">
        <v>63250</v>
      </c>
      <c r="BE303" s="1">
        <v>64170</v>
      </c>
      <c r="BF303" s="1">
        <v>64540</v>
      </c>
      <c r="BG303" s="1">
        <v>65850</v>
      </c>
      <c r="BH303" s="1">
        <v>66560</v>
      </c>
      <c r="BI303" s="1">
        <v>65160</v>
      </c>
      <c r="BJ303" s="1">
        <v>65800</v>
      </c>
      <c r="BK303" s="1">
        <v>66400</v>
      </c>
      <c r="BL303" s="1">
        <v>65330</v>
      </c>
      <c r="BM303" s="1">
        <v>64730</v>
      </c>
      <c r="BN303" s="1">
        <v>62450</v>
      </c>
      <c r="BO303" s="1">
        <v>61940</v>
      </c>
      <c r="BP303" s="1">
        <v>63150</v>
      </c>
      <c r="BQ303" s="1">
        <v>62880</v>
      </c>
      <c r="BR303" s="1">
        <v>62160</v>
      </c>
      <c r="BS303" s="1">
        <v>62670</v>
      </c>
      <c r="BT303" s="1">
        <v>61790</v>
      </c>
      <c r="BU303" s="1">
        <v>61770</v>
      </c>
      <c r="BV303" s="1">
        <v>61610</v>
      </c>
      <c r="BW303" s="1">
        <v>62020</v>
      </c>
      <c r="BX303" s="1">
        <v>61250</v>
      </c>
      <c r="BY303" s="1">
        <v>61360</v>
      </c>
      <c r="BZ303" s="1">
        <v>60070</v>
      </c>
    </row>
    <row r="304" spans="1:254">
      <c r="A304" s="74" t="s">
        <v>878</v>
      </c>
      <c r="B304" s="1" t="str">
        <f>銘柄管理!C304</f>
        <v>きんでん</v>
      </c>
      <c r="C304" s="541">
        <f>_xll.RssMarket("1944","始値")</f>
        <v>7350</v>
      </c>
      <c r="E304" s="547">
        <v>7350</v>
      </c>
      <c r="F304" s="1">
        <v>7350</v>
      </c>
      <c r="G304" s="1">
        <v>6979</v>
      </c>
      <c r="H304" s="1">
        <v>7079</v>
      </c>
      <c r="I304" s="1">
        <v>7450</v>
      </c>
      <c r="J304" s="1">
        <v>7003</v>
      </c>
      <c r="K304" s="1">
        <v>7510</v>
      </c>
      <c r="L304" s="1">
        <v>7750</v>
      </c>
      <c r="M304" s="1">
        <v>7774</v>
      </c>
      <c r="N304" s="1">
        <v>7310</v>
      </c>
      <c r="O304" s="1">
        <v>7367</v>
      </c>
      <c r="P304" s="1">
        <v>7260</v>
      </c>
      <c r="Q304" s="1">
        <v>7083</v>
      </c>
      <c r="R304" s="1">
        <v>7244</v>
      </c>
      <c r="S304" s="1">
        <v>7445</v>
      </c>
      <c r="T304" s="1">
        <v>7425</v>
      </c>
      <c r="U304" s="1">
        <v>7620</v>
      </c>
      <c r="V304" s="1">
        <v>7737</v>
      </c>
      <c r="W304" s="1">
        <v>7750</v>
      </c>
      <c r="X304" s="1">
        <v>8026</v>
      </c>
      <c r="Y304" s="1">
        <v>8015</v>
      </c>
      <c r="Z304" s="1">
        <v>8010</v>
      </c>
      <c r="AA304" s="1">
        <v>7931</v>
      </c>
      <c r="AB304" s="1">
        <v>7755</v>
      </c>
      <c r="AC304" s="1">
        <v>8011</v>
      </c>
      <c r="AD304" s="1">
        <v>8077</v>
      </c>
      <c r="AE304" s="1">
        <v>8090</v>
      </c>
      <c r="AF304" s="1">
        <v>8224</v>
      </c>
      <c r="AG304" s="1">
        <v>8500</v>
      </c>
      <c r="AH304" s="1">
        <v>8141</v>
      </c>
      <c r="AI304" s="1">
        <v>8499</v>
      </c>
      <c r="AJ304" s="1">
        <v>8179</v>
      </c>
      <c r="AK304" s="1">
        <v>8114</v>
      </c>
      <c r="AL304" s="1">
        <v>7870</v>
      </c>
      <c r="AM304" s="1">
        <v>7670</v>
      </c>
      <c r="AN304" s="1">
        <v>7370</v>
      </c>
      <c r="AO304" s="1">
        <v>7080</v>
      </c>
      <c r="AP304" s="1">
        <v>6934</v>
      </c>
      <c r="AQ304" s="1">
        <v>6778</v>
      </c>
      <c r="AR304" s="1">
        <v>7098</v>
      </c>
      <c r="AS304" s="1">
        <v>6521</v>
      </c>
      <c r="AT304" s="1">
        <v>6500</v>
      </c>
      <c r="AU304" s="1">
        <v>6503</v>
      </c>
      <c r="AV304" s="1">
        <v>6770</v>
      </c>
      <c r="AW304" s="1">
        <v>6723</v>
      </c>
      <c r="AX304" s="1">
        <v>7230</v>
      </c>
      <c r="AY304" s="1">
        <v>7052</v>
      </c>
      <c r="AZ304" s="1">
        <v>7300</v>
      </c>
      <c r="BA304" s="1">
        <v>6871</v>
      </c>
      <c r="BB304" s="1">
        <v>6919</v>
      </c>
      <c r="BC304" s="1">
        <v>6928</v>
      </c>
      <c r="BD304" s="1">
        <v>7009</v>
      </c>
      <c r="BE304" s="1">
        <v>6900</v>
      </c>
      <c r="BF304" s="1">
        <v>7423</v>
      </c>
      <c r="BG304" s="1">
        <v>7774</v>
      </c>
      <c r="BH304" s="1">
        <v>7988</v>
      </c>
      <c r="BI304" s="1">
        <v>8028</v>
      </c>
      <c r="BJ304" s="1">
        <v>8300</v>
      </c>
      <c r="BK304" s="1">
        <v>8250</v>
      </c>
      <c r="BL304" s="1">
        <v>8306</v>
      </c>
      <c r="BM304" s="1">
        <v>8263</v>
      </c>
      <c r="BN304" s="1">
        <v>8290</v>
      </c>
      <c r="BO304" s="1">
        <v>7949</v>
      </c>
      <c r="BP304" s="1">
        <v>7932</v>
      </c>
      <c r="BQ304" s="1">
        <v>7063</v>
      </c>
      <c r="BR304" s="1">
        <v>7141</v>
      </c>
      <c r="BS304" s="1">
        <v>7019</v>
      </c>
      <c r="BT304" s="1">
        <v>7016</v>
      </c>
      <c r="BU304" s="1">
        <v>7099</v>
      </c>
      <c r="BV304" s="1">
        <v>7151</v>
      </c>
      <c r="BW304" s="1">
        <v>7040</v>
      </c>
      <c r="BX304" s="1">
        <v>6980</v>
      </c>
      <c r="BY304" s="1">
        <v>7340</v>
      </c>
      <c r="BZ304" s="1">
        <v>7428</v>
      </c>
    </row>
    <row r="305" spans="1:254">
      <c r="A305" s="74" t="s">
        <v>1039</v>
      </c>
      <c r="B305" s="1" t="str">
        <f>銘柄管理!C305</f>
        <v>パンパシフィックＨＤ</v>
      </c>
      <c r="C305" s="541">
        <f>_xll.RssMarket("7532","始値")</f>
        <v>903.6</v>
      </c>
      <c r="E305" s="547">
        <v>903.6</v>
      </c>
      <c r="F305" s="1">
        <v>881.5</v>
      </c>
      <c r="G305" s="1">
        <v>897</v>
      </c>
      <c r="H305" s="1">
        <v>897.3</v>
      </c>
      <c r="I305" s="1">
        <v>902.6</v>
      </c>
      <c r="J305" s="1">
        <v>969.8</v>
      </c>
      <c r="K305" s="1">
        <v>925.8</v>
      </c>
      <c r="L305" s="1">
        <v>909</v>
      </c>
      <c r="M305" s="1">
        <v>864.1</v>
      </c>
      <c r="N305" s="1">
        <v>850</v>
      </c>
      <c r="O305" s="1">
        <v>856</v>
      </c>
      <c r="P305" s="1">
        <v>857.7</v>
      </c>
      <c r="Q305" s="1">
        <v>877.6</v>
      </c>
      <c r="R305" s="1">
        <v>884</v>
      </c>
      <c r="S305" s="1">
        <v>872</v>
      </c>
      <c r="T305" s="1">
        <v>881.8</v>
      </c>
      <c r="U305" s="1">
        <v>852.5</v>
      </c>
      <c r="V305" s="1">
        <v>867.6</v>
      </c>
      <c r="W305" s="1">
        <v>874.6</v>
      </c>
      <c r="X305" s="1">
        <v>881.7</v>
      </c>
      <c r="Y305" s="1">
        <v>852</v>
      </c>
      <c r="Z305" s="1">
        <v>821</v>
      </c>
      <c r="AA305" s="1">
        <v>835</v>
      </c>
      <c r="AB305" s="1">
        <v>814</v>
      </c>
      <c r="AC305" s="1">
        <v>811</v>
      </c>
      <c r="AD305" s="1">
        <v>851</v>
      </c>
      <c r="AE305" s="1">
        <v>822.5</v>
      </c>
      <c r="AF305" s="1">
        <v>822.8</v>
      </c>
      <c r="AG305" s="1">
        <v>822.7</v>
      </c>
      <c r="AH305" s="1">
        <v>815.9</v>
      </c>
      <c r="AI305" s="1">
        <v>811.9</v>
      </c>
      <c r="AJ305" s="1">
        <v>815.1</v>
      </c>
      <c r="AK305" s="1">
        <v>826.7</v>
      </c>
      <c r="AL305" s="1">
        <v>840</v>
      </c>
      <c r="AM305" s="1">
        <v>836</v>
      </c>
      <c r="AN305" s="1">
        <v>827.8</v>
      </c>
      <c r="AO305" s="1">
        <v>852.4</v>
      </c>
      <c r="AP305" s="1">
        <v>860.6</v>
      </c>
      <c r="AQ305" s="1">
        <v>883</v>
      </c>
      <c r="AR305" s="1">
        <v>846</v>
      </c>
      <c r="AS305" s="1">
        <v>846.9</v>
      </c>
      <c r="AT305" s="1">
        <v>825</v>
      </c>
      <c r="AU305" s="1">
        <v>825</v>
      </c>
      <c r="AV305" s="1">
        <v>814</v>
      </c>
      <c r="AW305" s="1">
        <v>808.5</v>
      </c>
      <c r="AX305" s="1">
        <v>861.9</v>
      </c>
      <c r="AY305" s="1">
        <v>839.8</v>
      </c>
      <c r="AZ305" s="1">
        <v>819.4</v>
      </c>
      <c r="BA305" s="1">
        <v>862.9</v>
      </c>
      <c r="BB305" s="1">
        <v>855.6</v>
      </c>
      <c r="BC305" s="1">
        <v>872.4</v>
      </c>
      <c r="BD305" s="1">
        <v>895</v>
      </c>
      <c r="BE305" s="1">
        <v>886.3</v>
      </c>
      <c r="BF305" s="1">
        <v>871.6</v>
      </c>
      <c r="BG305" s="1">
        <v>843</v>
      </c>
      <c r="BH305" s="1">
        <v>868.6</v>
      </c>
      <c r="BI305" s="1">
        <v>885</v>
      </c>
      <c r="BJ305" s="1">
        <v>896.7</v>
      </c>
      <c r="BK305" s="1">
        <v>887.3</v>
      </c>
      <c r="BL305" s="1">
        <v>888</v>
      </c>
      <c r="BM305" s="1">
        <v>890</v>
      </c>
      <c r="BN305" s="1">
        <v>880</v>
      </c>
      <c r="BO305" s="1">
        <v>889.1</v>
      </c>
      <c r="BP305" s="1">
        <v>902.1</v>
      </c>
      <c r="BQ305" s="1">
        <v>914</v>
      </c>
      <c r="BR305" s="1">
        <v>919.5</v>
      </c>
      <c r="BS305" s="1">
        <v>944.3</v>
      </c>
      <c r="BT305" s="1">
        <v>949</v>
      </c>
      <c r="BU305" s="1">
        <v>959.4</v>
      </c>
      <c r="BV305" s="1">
        <v>950</v>
      </c>
      <c r="BW305" s="1">
        <v>953.9</v>
      </c>
      <c r="BX305" s="1">
        <v>957</v>
      </c>
      <c r="BY305" s="1">
        <v>969.5</v>
      </c>
      <c r="BZ305" s="1">
        <v>949.6</v>
      </c>
    </row>
    <row r="306" spans="1:254">
      <c r="A306" s="75"/>
    </row>
    <row r="307" spans="1:254">
      <c r="A307" s="75"/>
    </row>
    <row r="308" spans="1:254">
      <c r="A308" s="75"/>
    </row>
    <row r="309" spans="1:254">
      <c r="A309" s="75"/>
    </row>
    <row r="310" spans="1:254">
      <c r="A310" s="75"/>
    </row>
    <row r="311" spans="1:254">
      <c r="A311" s="75"/>
    </row>
    <row r="312" spans="1:254">
      <c r="A312" s="75"/>
    </row>
    <row r="313" spans="1:254">
      <c r="A313" s="75"/>
    </row>
    <row r="314" spans="1:254">
      <c r="A314" s="75"/>
    </row>
    <row r="315" spans="1:254">
      <c r="A315" s="75"/>
    </row>
    <row r="316" spans="1:254">
      <c r="A316" s="75"/>
    </row>
    <row r="317" spans="1:254">
      <c r="A317" s="75"/>
    </row>
    <row r="318" spans="1:254">
      <c r="A318" s="75"/>
    </row>
    <row r="319" spans="1:254">
      <c r="A319" s="75"/>
    </row>
    <row r="320" spans="1:254">
      <c r="A320" s="75"/>
    </row>
    <row r="321" spans="1:254">
      <c r="A321" s="75"/>
    </row>
    <row r="322" spans="1:254">
      <c r="A322" s="75"/>
    </row>
    <row r="323" spans="1:254">
      <c r="A323" s="75"/>
    </row>
    <row r="324" spans="1:254">
      <c r="A324" s="75"/>
    </row>
    <row r="325" spans="1:254">
      <c r="A325" s="75"/>
    </row>
    <row r="326" spans="1:254">
      <c r="A326" s="75"/>
    </row>
    <row r="327" spans="1:254">
      <c r="A327" s="75"/>
    </row>
    <row r="328" spans="1:254">
      <c r="A328" s="75"/>
    </row>
    <row r="329" spans="1:254">
      <c r="A329" s="75"/>
    </row>
    <row r="330" spans="1:254">
      <c r="A330" s="75"/>
    </row>
    <row r="331" spans="1:254">
      <c r="A331" s="75"/>
    </row>
    <row r="332" spans="1:254">
      <c r="A332" s="75"/>
    </row>
    <row r="333" spans="1:254">
      <c r="A333" s="75"/>
    </row>
    <row r="334" spans="1:254">
      <c r="A334" s="75"/>
    </row>
    <row r="335" spans="1:254">
      <c r="A335" s="75"/>
    </row>
    <row r="336" spans="1:254">
      <c r="A336" s="75"/>
    </row>
    <row r="337" spans="1:254">
      <c r="A337" s="75"/>
    </row>
    <row r="338" spans="1:254">
      <c r="A338" s="75"/>
    </row>
    <row r="339" spans="1:254">
      <c r="A339" s="75"/>
    </row>
    <row r="340" spans="1:254">
      <c r="A340" s="75"/>
    </row>
    <row r="341" spans="1:254">
      <c r="A341" s="75"/>
    </row>
    <row r="342" spans="1:254">
      <c r="A342" s="75"/>
    </row>
    <row r="343" spans="1:254">
      <c r="A343" s="75"/>
    </row>
    <row r="344" spans="1:254">
      <c r="A344" s="75"/>
    </row>
    <row r="345" spans="1:254">
      <c r="A345" s="75"/>
    </row>
    <row r="346" spans="1:254">
      <c r="A346" s="75"/>
    </row>
    <row r="347" spans="1:254">
      <c r="A347" s="75"/>
    </row>
    <row r="348" spans="1:254">
      <c r="A348" s="75"/>
    </row>
    <row r="349" spans="1:254">
      <c r="A349" s="75"/>
    </row>
    <row r="350" spans="1:254">
      <c r="A350" s="75"/>
    </row>
    <row r="351" spans="1:254">
      <c r="A351" s="75"/>
    </row>
    <row r="352" spans="1:254">
      <c r="A352" s="75"/>
    </row>
    <row r="353" spans="1:254">
      <c r="A353" s="75"/>
    </row>
    <row r="354" spans="1:254">
      <c r="A354" s="75"/>
    </row>
    <row r="355" spans="1:254">
      <c r="A355" s="75"/>
    </row>
    <row r="356" spans="1:254">
      <c r="A356" s="75"/>
    </row>
    <row r="357" spans="1:254">
      <c r="A357" s="75"/>
    </row>
    <row r="358" spans="1:254">
      <c r="A358" s="75"/>
    </row>
    <row r="359" spans="1:254">
      <c r="A359" s="75"/>
    </row>
    <row r="360" spans="1:254">
      <c r="A360" s="75"/>
    </row>
    <row r="361" spans="1:254">
      <c r="A361" s="75"/>
    </row>
    <row r="362" spans="1:254">
      <c r="A362" s="75"/>
    </row>
    <row r="363" spans="1:254">
      <c r="A363" s="75"/>
    </row>
    <row r="364" spans="1:254">
      <c r="A364" s="75"/>
    </row>
    <row r="365" spans="1:254">
      <c r="A365" s="75"/>
    </row>
    <row r="366" spans="1:254">
      <c r="A366" s="75"/>
    </row>
    <row r="367" spans="1:254">
      <c r="A367" s="75"/>
    </row>
    <row r="368" spans="1:254">
      <c r="A368" s="75"/>
    </row>
    <row r="369" spans="1:254">
      <c r="A369" s="75"/>
    </row>
    <row r="370" spans="1:254">
      <c r="A370" s="75"/>
    </row>
    <row r="371" spans="1:254">
      <c r="A371" s="75"/>
    </row>
    <row r="372" spans="1:254">
      <c r="A372" s="75"/>
    </row>
    <row r="373" spans="1:254">
      <c r="A373" s="75"/>
    </row>
    <row r="374" spans="1:254">
      <c r="A374" s="75"/>
    </row>
    <row r="375" spans="1:254">
      <c r="A375" s="75"/>
    </row>
    <row r="376" spans="1:254">
      <c r="A376" s="75"/>
    </row>
    <row r="377" spans="1:254">
      <c r="A377" s="75"/>
    </row>
    <row r="378" spans="1:254">
      <c r="A378" s="75"/>
    </row>
    <row r="379" spans="1:254">
      <c r="A379" s="75"/>
    </row>
    <row r="380" spans="1:254">
      <c r="A380" s="75"/>
    </row>
    <row r="381" spans="1:254">
      <c r="A381" s="75"/>
    </row>
    <row r="382" spans="1:254">
      <c r="A382" s="75"/>
    </row>
    <row r="383" spans="1:254">
      <c r="A383" s="75"/>
    </row>
    <row r="384" spans="1:254">
      <c r="A384" s="75"/>
    </row>
    <row r="385" spans="1:254">
      <c r="A385" s="75"/>
    </row>
    <row r="386" spans="1:254">
      <c r="A386" s="75"/>
    </row>
    <row r="387" spans="1:254">
      <c r="A387" s="75"/>
    </row>
    <row r="388" spans="1:254">
      <c r="A388" s="75"/>
    </row>
    <row r="389" spans="1:254">
      <c r="A389" s="75"/>
    </row>
    <row r="390" spans="1:254">
      <c r="A390" s="75"/>
    </row>
    <row r="391" spans="1:254">
      <c r="A391" s="75"/>
    </row>
    <row r="392" spans="1:254">
      <c r="A392" s="75"/>
    </row>
    <row r="393" spans="1:254">
      <c r="A393" s="75"/>
    </row>
    <row r="394" spans="1:254">
      <c r="A394" s="75"/>
    </row>
    <row r="395" spans="1:254">
      <c r="A395" s="75"/>
    </row>
    <row r="396" spans="1:254">
      <c r="A396" s="75"/>
    </row>
    <row r="397" spans="1:254">
      <c r="A397" s="75"/>
    </row>
    <row r="398" spans="1:254">
      <c r="A398" s="75"/>
    </row>
    <row r="399" spans="1:254">
      <c r="A399" s="75"/>
    </row>
    <row r="400" spans="1:254">
      <c r="A400" s="75"/>
    </row>
    <row r="401" spans="1:254">
      <c r="A401" s="75"/>
    </row>
    <row r="402" spans="1:254">
      <c r="A402" s="75"/>
    </row>
    <row r="403" spans="1:254">
      <c r="A403" s="75"/>
    </row>
    <row r="404" spans="1:254">
      <c r="A404" s="75"/>
    </row>
    <row r="405" spans="1:254">
      <c r="A405" s="75"/>
    </row>
    <row r="406" spans="1:254">
      <c r="A406" s="75"/>
    </row>
    <row r="407" spans="1:254">
      <c r="A407" s="75"/>
    </row>
    <row r="408" spans="1:254">
      <c r="A408" s="75"/>
    </row>
    <row r="409" spans="1:254">
      <c r="A409" s="75"/>
    </row>
    <row r="410" spans="1:254">
      <c r="A410" s="75"/>
    </row>
    <row r="411" spans="1:254">
      <c r="A411" s="75"/>
    </row>
    <row r="412" spans="1:254">
      <c r="A412" s="75"/>
    </row>
    <row r="413" spans="1:254">
      <c r="A413" s="75"/>
    </row>
    <row r="414" spans="1:254">
      <c r="A414" s="75"/>
    </row>
    <row r="415" spans="1:254">
      <c r="A415" s="75"/>
    </row>
    <row r="416" spans="1:254">
      <c r="A416" s="75"/>
    </row>
    <row r="417" spans="1:254">
      <c r="A417" s="75"/>
    </row>
    <row r="418" spans="1:254">
      <c r="A418" s="75"/>
    </row>
    <row r="419" spans="1:254">
      <c r="A419" s="75"/>
    </row>
    <row r="420" spans="1:254">
      <c r="A420" s="75"/>
    </row>
    <row r="421" spans="1:254">
      <c r="A421" s="75"/>
    </row>
    <row r="422" spans="1:254">
      <c r="A422" s="75"/>
    </row>
    <row r="423" spans="1:254">
      <c r="A423" s="75"/>
    </row>
    <row r="424" spans="1:254">
      <c r="A424" s="75"/>
    </row>
    <row r="425" spans="1:254">
      <c r="A425" s="75"/>
    </row>
    <row r="426" spans="1:254">
      <c r="A426" s="75"/>
    </row>
    <row r="427" spans="1:254">
      <c r="A427" s="75"/>
    </row>
    <row r="428" spans="1:254">
      <c r="A428" s="75"/>
    </row>
    <row r="429" spans="1:254">
      <c r="A429" s="75"/>
    </row>
    <row r="430" spans="1:254">
      <c r="A430" s="75"/>
    </row>
    <row r="431" spans="1:254">
      <c r="A431" s="75"/>
    </row>
    <row r="432" spans="1:254">
      <c r="A432" s="75"/>
    </row>
    <row r="433" spans="1:254">
      <c r="A433" s="75"/>
    </row>
    <row r="434" spans="1:254">
      <c r="A434" s="75"/>
    </row>
    <row r="435" spans="1:254">
      <c r="A435" s="75"/>
    </row>
    <row r="436" spans="1:254">
      <c r="A436" s="75"/>
    </row>
    <row r="437" spans="1:254">
      <c r="A437" s="75"/>
    </row>
    <row r="438" spans="1:254">
      <c r="A438" s="75"/>
    </row>
    <row r="439" spans="1:254">
      <c r="A439" s="75"/>
    </row>
    <row r="440" spans="1:254">
      <c r="A440" s="75"/>
    </row>
    <row r="441" spans="1:254">
      <c r="A441" s="75"/>
    </row>
    <row r="442" spans="1:254">
      <c r="A442" s="75"/>
    </row>
    <row r="443" spans="1:254">
      <c r="A443" s="75"/>
    </row>
    <row r="444" spans="1:254">
      <c r="A444" s="75"/>
    </row>
    <row r="445" spans="1:254">
      <c r="A445" s="75"/>
    </row>
    <row r="446" spans="1:254">
      <c r="A446" s="75"/>
    </row>
    <row r="447" spans="1:254">
      <c r="A447" s="75"/>
    </row>
    <row r="448" spans="1:254">
      <c r="A448" s="75"/>
    </row>
    <row r="449" spans="1:254">
      <c r="A449" s="75"/>
    </row>
    <row r="450" spans="1:254">
      <c r="A450" s="75"/>
    </row>
    <row r="451" spans="1:254">
      <c r="A451" s="75"/>
    </row>
    <row r="452" spans="1:254">
      <c r="A452" s="75"/>
    </row>
    <row r="453" spans="1:254">
      <c r="A453" s="75"/>
    </row>
    <row r="454" spans="1:254">
      <c r="A454" s="75"/>
    </row>
    <row r="455" spans="1:254">
      <c r="A455" s="75"/>
    </row>
    <row r="456" spans="1:254">
      <c r="A456" s="75"/>
    </row>
    <row r="457" spans="1:254">
      <c r="A457" s="75"/>
    </row>
    <row r="458" spans="1:254">
      <c r="A458" s="75"/>
    </row>
    <row r="459" spans="1:254">
      <c r="A459" s="75"/>
    </row>
    <row r="460" spans="1:254">
      <c r="A460" s="75"/>
    </row>
    <row r="461" spans="1:254">
      <c r="A461" s="75"/>
    </row>
    <row r="462" spans="1:254">
      <c r="A462" s="75"/>
    </row>
    <row r="463" spans="1:254">
      <c r="A463" s="75"/>
    </row>
    <row r="464" spans="1:254">
      <c r="A464" s="75"/>
    </row>
    <row r="465" spans="1:254">
      <c r="A465" s="75"/>
    </row>
    <row r="466" spans="1:254">
      <c r="A466" s="75"/>
    </row>
    <row r="467" spans="1:254">
      <c r="A467" s="75"/>
    </row>
    <row r="468" spans="1:254">
      <c r="A468" s="75"/>
    </row>
    <row r="469" spans="1:254">
      <c r="A469" s="75"/>
    </row>
    <row r="470" spans="1:254">
      <c r="A470" s="75"/>
    </row>
    <row r="471" spans="1:254">
      <c r="A471" s="75"/>
    </row>
    <row r="472" spans="1:254">
      <c r="A472" s="75"/>
    </row>
    <row r="473" spans="1:254">
      <c r="A473" s="75"/>
    </row>
    <row r="474" spans="1:254">
      <c r="A474" s="75"/>
    </row>
    <row r="475" spans="1:254">
      <c r="A475" s="75"/>
    </row>
    <row r="476" spans="1:254">
      <c r="A476" s="75"/>
    </row>
    <row r="477" spans="1:254">
      <c r="A477" s="75"/>
    </row>
    <row r="478" spans="1:254">
      <c r="A478" s="75"/>
    </row>
    <row r="479" spans="1:254">
      <c r="A479" s="75"/>
    </row>
    <row r="480" spans="1:254">
      <c r="A480" s="75"/>
    </row>
    <row r="481" spans="1:254">
      <c r="A481" s="75"/>
    </row>
    <row r="482" spans="1:254">
      <c r="A482" s="75"/>
    </row>
    <row r="483" spans="1:254">
      <c r="A483" s="75"/>
    </row>
    <row r="484" spans="1:254">
      <c r="A484" s="75"/>
    </row>
    <row r="485" spans="1:254">
      <c r="A485" s="75"/>
    </row>
    <row r="486" spans="1:254">
      <c r="A486" s="75"/>
    </row>
    <row r="487" spans="1:254">
      <c r="A487" s="75"/>
    </row>
    <row r="488" spans="1:254">
      <c r="A488" s="75"/>
    </row>
    <row r="489" spans="1:254">
      <c r="A489" s="75"/>
    </row>
    <row r="490" spans="1:254">
      <c r="A490" s="75"/>
    </row>
    <row r="491" spans="1:254">
      <c r="A491" s="75"/>
    </row>
    <row r="492" spans="1:254">
      <c r="A492" s="75"/>
    </row>
    <row r="493" spans="1:254">
      <c r="A493" s="75"/>
    </row>
    <row r="494" spans="1:254">
      <c r="A494" s="75"/>
    </row>
    <row r="495" spans="1:254">
      <c r="A495" s="75"/>
    </row>
    <row r="496" spans="1:254">
      <c r="A496" s="75"/>
    </row>
    <row r="497" spans="1:254">
      <c r="A497" s="75"/>
    </row>
    <row r="498" spans="1:254">
      <c r="A498" s="75"/>
    </row>
    <row r="499" spans="1:254">
      <c r="A499" s="75"/>
    </row>
    <row r="500" spans="1:254">
      <c r="A500" s="75"/>
    </row>
    <row r="501" spans="1:254">
      <c r="A501" s="75"/>
    </row>
    <row r="502" spans="1:254">
      <c r="A502" s="75"/>
    </row>
    <row r="503" spans="1:254">
      <c r="A503" s="75"/>
    </row>
    <row r="504" spans="1:254">
      <c r="A504" s="75"/>
    </row>
    <row r="505" spans="1:254">
      <c r="A505" s="75"/>
    </row>
  </sheetData>
  <sheetProtection algorithmName="SHA-512" hashValue="nluvZ3P1rM6uAQIHG6TPgM6p7OB5/W5fDdlRQW/VEEYm0wLvwJzRsR40uRAisYSs4Y/tT7Qs/iXfiOEi0rUJkQ==" saltValue="eEpIUXcgBcyYDCxqIpYHEQ=="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IT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 min="105" max="254" width="7" style="1" customWidth="1"/>
  </cols>
  <sheetData>
    <row r="1" spans="1:254" ht="30" customHeight="1">
      <c r="A1" s="766" t="s">
        <v>580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25">
        <f>IF(銘柄管理!C5="","",銘柄管理!C5)</f>
        <v>4055.85</v>
      </c>
      <c r="C5" s="26">
        <f t="array" ref="C5">_xll.RssIndexMarket("TOPX", "高値")</f>
        <v>4065.66</v>
      </c>
      <c r="D5" s="27">
        <f>IF(OR(C5=0,E5=0),"",C5-E5)</f>
        <v>0</v>
      </c>
      <c r="E5" s="28">
        <v>4065.66</v>
      </c>
      <c r="F5" s="28">
        <v>4047.77</v>
      </c>
      <c r="G5" s="28">
        <v>3969.23</v>
      </c>
      <c r="H5" s="28">
        <v>3965.39</v>
      </c>
      <c r="I5" s="28">
        <v>4052.27</v>
      </c>
      <c r="J5" s="28">
        <v>3982.7</v>
      </c>
      <c r="K5" s="28">
        <v>3990.49</v>
      </c>
      <c r="L5" s="28">
        <v>4042.49</v>
      </c>
      <c r="M5" s="28">
        <v>4066.26</v>
      </c>
      <c r="N5" s="28">
        <v>4019.57</v>
      </c>
      <c r="O5" s="28">
        <v>4066.98</v>
      </c>
      <c r="P5" s="28">
        <v>4070.43</v>
      </c>
      <c r="Q5" s="28">
        <v>4014.95</v>
      </c>
      <c r="R5" s="28">
        <v>4017.29</v>
      </c>
      <c r="S5" s="28">
        <v>4088.12</v>
      </c>
      <c r="T5" s="28">
        <v>4047.12</v>
      </c>
      <c r="U5" s="28">
        <v>4073.79</v>
      </c>
      <c r="V5" s="28">
        <v>4061</v>
      </c>
      <c r="W5" s="28">
        <v>4035.46</v>
      </c>
      <c r="X5" s="28">
        <v>4065.09</v>
      </c>
      <c r="Y5" s="28">
        <v>4137.62</v>
      </c>
      <c r="Z5" s="28">
        <v>4109.6099999999997</v>
      </c>
      <c r="AA5" s="28">
        <v>4064.6</v>
      </c>
      <c r="AB5" s="28">
        <v>4052.98</v>
      </c>
      <c r="AC5" s="28">
        <v>4050.33</v>
      </c>
      <c r="AD5" s="28">
        <v>4020.32</v>
      </c>
      <c r="AE5" s="28">
        <v>3995.57</v>
      </c>
      <c r="AF5" s="28">
        <v>4016.25</v>
      </c>
      <c r="AG5" s="28">
        <v>4032.66</v>
      </c>
      <c r="AH5" s="28">
        <v>4007.63</v>
      </c>
      <c r="AI5" s="28">
        <v>4097.01</v>
      </c>
      <c r="AJ5" s="28">
        <v>4103.76</v>
      </c>
      <c r="AK5" s="28">
        <v>4086.96</v>
      </c>
      <c r="AL5" s="28">
        <v>4088.25</v>
      </c>
      <c r="AM5" s="28">
        <v>4035.32</v>
      </c>
      <c r="AN5" s="28">
        <v>4008.81</v>
      </c>
      <c r="AO5" s="28">
        <v>4032.39</v>
      </c>
      <c r="AP5" s="28">
        <v>3924.34</v>
      </c>
      <c r="AQ5" s="29">
        <v>3836.12</v>
      </c>
      <c r="AR5" s="29">
        <v>3894.24</v>
      </c>
      <c r="AS5" s="29">
        <v>3923.62</v>
      </c>
      <c r="AT5" s="29">
        <v>3966.32</v>
      </c>
      <c r="AU5" s="29">
        <v>3970.82</v>
      </c>
      <c r="AV5" s="29">
        <v>4015.72</v>
      </c>
      <c r="AW5" s="29">
        <v>3924.26</v>
      </c>
      <c r="AX5" s="29">
        <v>3984.58</v>
      </c>
      <c r="AY5" s="29">
        <v>3915.5</v>
      </c>
      <c r="AZ5" s="29">
        <v>3971.77</v>
      </c>
      <c r="BA5" s="29">
        <v>3953.89</v>
      </c>
      <c r="BB5" s="29">
        <v>3905.13</v>
      </c>
      <c r="BC5" s="29">
        <v>3878.24</v>
      </c>
      <c r="BD5" s="29">
        <v>3852.29</v>
      </c>
      <c r="BE5" s="29">
        <v>3877.84</v>
      </c>
      <c r="BF5" s="29">
        <v>3870.65</v>
      </c>
      <c r="BG5" s="29">
        <v>3927.98</v>
      </c>
      <c r="BH5" s="29">
        <v>3919.72</v>
      </c>
      <c r="BI5" s="29"/>
      <c r="BJ5" s="29"/>
      <c r="BK5" s="29"/>
      <c r="BL5" s="30"/>
    </row>
    <row r="6" spans="1:254" ht="15.9" customHeight="1">
      <c r="A6" s="65" t="s">
        <v>7</v>
      </c>
      <c r="B6" s="25" t="s">
        <v>8</v>
      </c>
      <c r="C6" s="39">
        <f>_xll.RssMarket("5706","高値")</f>
        <v>35200</v>
      </c>
      <c r="D6" s="38">
        <f t="shared" ref="D6:D37" si="0">C6-E6</f>
        <v>0</v>
      </c>
      <c r="E6" s="32">
        <v>35200</v>
      </c>
      <c r="F6" s="32">
        <v>35440</v>
      </c>
      <c r="G6" s="32">
        <v>32030</v>
      </c>
      <c r="H6" s="32">
        <v>31270</v>
      </c>
      <c r="I6" s="32">
        <v>31970</v>
      </c>
      <c r="J6" s="32">
        <v>28080</v>
      </c>
      <c r="K6" s="32">
        <v>28435</v>
      </c>
      <c r="L6" s="32">
        <v>29995</v>
      </c>
      <c r="M6" s="32">
        <v>32230</v>
      </c>
      <c r="N6" s="32">
        <v>33660</v>
      </c>
      <c r="O6" s="32">
        <v>35210</v>
      </c>
      <c r="P6" s="32">
        <v>35290</v>
      </c>
      <c r="Q6" s="32">
        <v>31400</v>
      </c>
      <c r="R6" s="32">
        <v>30760</v>
      </c>
      <c r="S6" s="32">
        <v>35830</v>
      </c>
      <c r="T6" s="32">
        <v>35090</v>
      </c>
      <c r="U6" s="32">
        <v>37100</v>
      </c>
      <c r="V6" s="32">
        <v>37640</v>
      </c>
      <c r="W6" s="32">
        <v>36120</v>
      </c>
      <c r="X6" s="32">
        <v>36080</v>
      </c>
      <c r="Y6" s="32">
        <v>37640</v>
      </c>
      <c r="Z6" s="32">
        <v>39060</v>
      </c>
      <c r="AA6" s="32">
        <v>38860</v>
      </c>
      <c r="AB6" s="32">
        <v>41540</v>
      </c>
      <c r="AC6" s="32">
        <v>44590</v>
      </c>
      <c r="AD6" s="32">
        <v>43020</v>
      </c>
      <c r="AE6" s="32">
        <v>42500</v>
      </c>
      <c r="AF6" s="32">
        <v>45570</v>
      </c>
      <c r="AG6" s="32">
        <v>47690</v>
      </c>
      <c r="AH6" s="32">
        <v>48370</v>
      </c>
      <c r="AI6" s="32">
        <v>54440</v>
      </c>
      <c r="AJ6" s="32">
        <v>53570</v>
      </c>
      <c r="AK6" s="32">
        <v>50670</v>
      </c>
      <c r="AL6" s="32">
        <v>49700</v>
      </c>
      <c r="AM6" s="32">
        <v>48750</v>
      </c>
      <c r="AN6" s="32">
        <v>48750</v>
      </c>
      <c r="AO6" s="32">
        <v>46950</v>
      </c>
      <c r="AP6" s="33">
        <v>44240</v>
      </c>
      <c r="AQ6" s="34">
        <v>37840</v>
      </c>
      <c r="AR6" s="29">
        <v>39110</v>
      </c>
      <c r="AS6" s="29">
        <v>41930</v>
      </c>
      <c r="AT6" s="29">
        <v>45130</v>
      </c>
      <c r="AU6" s="29">
        <v>47390</v>
      </c>
      <c r="AV6" s="29">
        <v>50870</v>
      </c>
      <c r="AW6" s="29">
        <v>53290</v>
      </c>
      <c r="AX6" s="29">
        <v>51920</v>
      </c>
      <c r="AY6" s="29">
        <v>51140</v>
      </c>
      <c r="AZ6" s="29">
        <v>57700</v>
      </c>
      <c r="BA6" s="29">
        <v>53990</v>
      </c>
      <c r="BB6" s="29">
        <v>50610</v>
      </c>
      <c r="BC6" s="29">
        <v>48130</v>
      </c>
      <c r="BD6" s="29">
        <v>45110</v>
      </c>
      <c r="BE6" s="29">
        <v>48200</v>
      </c>
      <c r="BF6" s="29">
        <v>49590</v>
      </c>
      <c r="BG6" s="29">
        <v>51200</v>
      </c>
      <c r="BH6" s="29">
        <v>53340</v>
      </c>
      <c r="BI6" s="29">
        <v>55860</v>
      </c>
      <c r="BJ6" s="29">
        <v>52970</v>
      </c>
      <c r="BK6" s="29">
        <v>53200</v>
      </c>
      <c r="BL6" s="30">
        <v>50000</v>
      </c>
      <c r="BM6" s="1">
        <v>48060</v>
      </c>
      <c r="BN6" s="1">
        <v>42950</v>
      </c>
      <c r="BO6" s="1">
        <v>42880</v>
      </c>
      <c r="BP6" s="1">
        <v>41670</v>
      </c>
      <c r="BQ6" s="1">
        <v>40050</v>
      </c>
      <c r="BR6" s="1">
        <v>39290</v>
      </c>
      <c r="BS6" s="1">
        <v>39060</v>
      </c>
      <c r="BT6" s="1">
        <v>38570</v>
      </c>
      <c r="BU6" s="1">
        <v>37550</v>
      </c>
      <c r="BV6" s="1">
        <v>36650</v>
      </c>
      <c r="BW6" s="1">
        <v>37600</v>
      </c>
      <c r="BX6" s="1">
        <v>38050</v>
      </c>
      <c r="BY6" s="1">
        <v>39830</v>
      </c>
      <c r="BZ6" s="1">
        <v>38730</v>
      </c>
    </row>
    <row r="7" spans="1:254" ht="15.9" customHeight="1">
      <c r="A7" s="65" t="s">
        <v>9</v>
      </c>
      <c r="B7" s="25" t="s">
        <v>10</v>
      </c>
      <c r="C7" s="39">
        <f>_xll.RssMarket("5423","高値")</f>
        <v>1772</v>
      </c>
      <c r="D7" s="38">
        <f t="shared" si="0"/>
        <v>0</v>
      </c>
      <c r="E7" s="32">
        <v>1772</v>
      </c>
      <c r="F7" s="32">
        <v>1723</v>
      </c>
      <c r="G7" s="32">
        <v>1713</v>
      </c>
      <c r="H7" s="32">
        <v>1763</v>
      </c>
      <c r="I7" s="32">
        <v>1784</v>
      </c>
      <c r="J7" s="32">
        <v>1773</v>
      </c>
      <c r="K7" s="32">
        <v>1805</v>
      </c>
      <c r="L7" s="32">
        <v>1793</v>
      </c>
      <c r="M7" s="32">
        <v>1744</v>
      </c>
      <c r="N7" s="32">
        <v>1714</v>
      </c>
      <c r="O7" s="32">
        <v>1726</v>
      </c>
      <c r="P7" s="32">
        <v>1735</v>
      </c>
      <c r="Q7" s="32">
        <v>1753</v>
      </c>
      <c r="R7" s="32">
        <v>1789</v>
      </c>
      <c r="S7" s="32">
        <v>1781</v>
      </c>
      <c r="T7" s="32">
        <v>1789</v>
      </c>
      <c r="U7" s="32">
        <v>1750</v>
      </c>
      <c r="V7" s="32">
        <v>1730</v>
      </c>
      <c r="W7" s="32">
        <v>1750</v>
      </c>
      <c r="X7" s="32">
        <v>1770</v>
      </c>
      <c r="Y7" s="32">
        <v>1768</v>
      </c>
      <c r="Z7" s="32">
        <v>1778</v>
      </c>
      <c r="AA7" s="32">
        <v>1750</v>
      </c>
      <c r="AB7" s="32">
        <v>1723</v>
      </c>
      <c r="AC7" s="32">
        <v>1714</v>
      </c>
      <c r="AD7" s="32">
        <v>1697</v>
      </c>
      <c r="AE7" s="32">
        <v>1692</v>
      </c>
      <c r="AF7" s="32">
        <v>1691</v>
      </c>
      <c r="AG7" s="32">
        <v>1719</v>
      </c>
      <c r="AH7" s="32">
        <v>1737</v>
      </c>
      <c r="AI7" s="32">
        <v>1798</v>
      </c>
      <c r="AJ7" s="32">
        <v>1807</v>
      </c>
      <c r="AK7" s="32">
        <v>1770</v>
      </c>
      <c r="AL7" s="32">
        <v>1793</v>
      </c>
      <c r="AM7" s="32">
        <v>1788</v>
      </c>
      <c r="AN7" s="32">
        <v>1750</v>
      </c>
      <c r="AO7" s="32">
        <v>1760</v>
      </c>
      <c r="AP7" s="33">
        <v>1750</v>
      </c>
      <c r="AQ7" s="34">
        <v>1690</v>
      </c>
      <c r="AR7" s="29">
        <v>1684</v>
      </c>
      <c r="AS7" s="29">
        <v>1735</v>
      </c>
      <c r="AT7" s="29">
        <v>1703</v>
      </c>
      <c r="AU7" s="29">
        <v>1727</v>
      </c>
      <c r="AV7" s="29">
        <v>1719</v>
      </c>
      <c r="AW7" s="29">
        <v>1704</v>
      </c>
      <c r="AX7" s="29">
        <v>1758</v>
      </c>
      <c r="AY7" s="29">
        <v>1714</v>
      </c>
      <c r="AZ7" s="29">
        <v>1727</v>
      </c>
      <c r="BA7" s="29">
        <v>1732</v>
      </c>
      <c r="BB7" s="29">
        <v>1755</v>
      </c>
      <c r="BC7" s="29">
        <v>1775</v>
      </c>
      <c r="BD7" s="29">
        <v>1758</v>
      </c>
      <c r="BE7" s="29">
        <v>1814</v>
      </c>
      <c r="BF7" s="29">
        <v>1821</v>
      </c>
      <c r="BG7" s="29">
        <v>1887</v>
      </c>
      <c r="BH7" s="29">
        <v>1850</v>
      </c>
      <c r="BI7" s="29">
        <v>1724</v>
      </c>
      <c r="BJ7" s="29">
        <v>1700</v>
      </c>
      <c r="BK7" s="29">
        <v>1678</v>
      </c>
      <c r="BL7" s="30">
        <v>1710</v>
      </c>
      <c r="BM7" s="1">
        <v>1707</v>
      </c>
      <c r="BN7" s="1">
        <v>1697</v>
      </c>
      <c r="BO7" s="1">
        <v>1713</v>
      </c>
      <c r="BP7" s="1">
        <v>1706</v>
      </c>
      <c r="BQ7" s="1">
        <v>1750</v>
      </c>
      <c r="BR7" s="1">
        <v>1802</v>
      </c>
      <c r="BS7" s="1">
        <v>1804</v>
      </c>
      <c r="BT7" s="1">
        <v>1840</v>
      </c>
      <c r="BU7" s="1">
        <v>1862</v>
      </c>
      <c r="BV7" s="1">
        <v>1813</v>
      </c>
      <c r="BW7" s="1">
        <v>1799</v>
      </c>
      <c r="BX7" s="1">
        <v>1793</v>
      </c>
      <c r="BY7" s="1">
        <v>1740</v>
      </c>
      <c r="BZ7" s="1">
        <v>1755</v>
      </c>
    </row>
    <row r="8" spans="1:254" ht="15.9" customHeight="1">
      <c r="A8" s="65" t="s">
        <v>11</v>
      </c>
      <c r="B8" s="25" t="s">
        <v>12</v>
      </c>
      <c r="C8" s="39">
        <f>_xll.RssMarket("5713","高値")</f>
        <v>9210</v>
      </c>
      <c r="D8" s="38">
        <f t="shared" si="0"/>
        <v>0</v>
      </c>
      <c r="E8" s="35">
        <v>9210</v>
      </c>
      <c r="F8" s="35">
        <v>8592</v>
      </c>
      <c r="G8" s="35">
        <v>8115</v>
      </c>
      <c r="H8" s="35">
        <v>8022</v>
      </c>
      <c r="I8" s="35">
        <v>8292</v>
      </c>
      <c r="J8" s="35">
        <v>7502</v>
      </c>
      <c r="K8" s="35">
        <v>7453</v>
      </c>
      <c r="L8" s="35">
        <v>7502</v>
      </c>
      <c r="M8" s="35">
        <v>7787</v>
      </c>
      <c r="N8" s="35">
        <v>7722</v>
      </c>
      <c r="O8" s="35">
        <v>7952</v>
      </c>
      <c r="P8" s="35">
        <v>7686</v>
      </c>
      <c r="Q8" s="35">
        <v>7317</v>
      </c>
      <c r="R8" s="35">
        <v>7100</v>
      </c>
      <c r="S8" s="35">
        <v>7509</v>
      </c>
      <c r="T8" s="35">
        <v>7450</v>
      </c>
      <c r="U8" s="35">
        <v>7382</v>
      </c>
      <c r="V8" s="35">
        <v>7366</v>
      </c>
      <c r="W8" s="35">
        <v>7354</v>
      </c>
      <c r="X8" s="35">
        <v>7579</v>
      </c>
      <c r="Y8" s="35">
        <v>7849</v>
      </c>
      <c r="Z8" s="35">
        <v>8090</v>
      </c>
      <c r="AA8" s="35">
        <v>7969</v>
      </c>
      <c r="AB8" s="35">
        <v>7739</v>
      </c>
      <c r="AC8" s="35">
        <v>7551</v>
      </c>
      <c r="AD8" s="35">
        <v>7610</v>
      </c>
      <c r="AE8" s="35">
        <v>7617</v>
      </c>
      <c r="AF8" s="35">
        <v>7763</v>
      </c>
      <c r="AG8" s="35">
        <v>7900</v>
      </c>
      <c r="AH8" s="35">
        <v>8282</v>
      </c>
      <c r="AI8" s="35">
        <v>8939</v>
      </c>
      <c r="AJ8" s="35">
        <v>8934</v>
      </c>
      <c r="AK8" s="35">
        <v>8990</v>
      </c>
      <c r="AL8" s="35">
        <v>9406</v>
      </c>
      <c r="AM8" s="35">
        <v>9255</v>
      </c>
      <c r="AN8" s="35">
        <v>9340</v>
      </c>
      <c r="AO8" s="35">
        <v>9244</v>
      </c>
      <c r="AP8" s="33">
        <v>8674</v>
      </c>
      <c r="AQ8" s="34">
        <v>7796</v>
      </c>
      <c r="AR8" s="29">
        <v>8026</v>
      </c>
      <c r="AS8" s="29">
        <v>8211</v>
      </c>
      <c r="AT8" s="29">
        <v>8792</v>
      </c>
      <c r="AU8" s="29">
        <v>8929</v>
      </c>
      <c r="AV8" s="29">
        <v>9382</v>
      </c>
      <c r="AW8" s="29">
        <v>8880</v>
      </c>
      <c r="AX8" s="29">
        <v>9222</v>
      </c>
      <c r="AY8" s="29">
        <v>9450</v>
      </c>
      <c r="AZ8" s="29">
        <v>10360</v>
      </c>
      <c r="BA8" s="29">
        <v>9940</v>
      </c>
      <c r="BB8" s="29">
        <v>9636</v>
      </c>
      <c r="BC8" s="29">
        <v>9387</v>
      </c>
      <c r="BD8" s="29">
        <v>9201</v>
      </c>
      <c r="BE8" s="29">
        <v>9558</v>
      </c>
      <c r="BF8" s="29">
        <v>10010</v>
      </c>
      <c r="BG8" s="29">
        <v>11180</v>
      </c>
      <c r="BH8" s="29">
        <v>11140</v>
      </c>
      <c r="BI8" s="29">
        <v>11145</v>
      </c>
      <c r="BJ8" s="29">
        <v>10995</v>
      </c>
      <c r="BK8" s="29">
        <v>10765</v>
      </c>
      <c r="BL8" s="30">
        <v>10615</v>
      </c>
      <c r="BM8" s="1">
        <v>10140</v>
      </c>
      <c r="BN8" s="1">
        <v>9629</v>
      </c>
      <c r="BO8" s="1">
        <v>9474</v>
      </c>
      <c r="BP8" s="1">
        <v>9989</v>
      </c>
      <c r="BQ8" s="1">
        <v>9777</v>
      </c>
      <c r="BR8" s="1">
        <v>9864</v>
      </c>
      <c r="BS8" s="1">
        <v>10315</v>
      </c>
      <c r="BT8" s="1">
        <v>10050</v>
      </c>
      <c r="BU8" s="1">
        <v>10290</v>
      </c>
      <c r="BV8" s="1">
        <v>10215</v>
      </c>
      <c r="BW8" s="1">
        <v>10780</v>
      </c>
      <c r="BX8" s="1">
        <v>11050</v>
      </c>
      <c r="BY8" s="1">
        <v>11150</v>
      </c>
      <c r="BZ8" s="1">
        <v>10415</v>
      </c>
    </row>
    <row r="9" spans="1:254" ht="15.9" customHeight="1">
      <c r="A9" s="65" t="s">
        <v>13</v>
      </c>
      <c r="B9" s="25" t="s">
        <v>14</v>
      </c>
      <c r="C9" s="39">
        <f>_xll.RssMarket("5711","高値")</f>
        <v>4543</v>
      </c>
      <c r="D9" s="38">
        <f t="shared" si="0"/>
        <v>0</v>
      </c>
      <c r="E9" s="29">
        <v>4543</v>
      </c>
      <c r="F9" s="29">
        <v>4407</v>
      </c>
      <c r="G9" s="29">
        <v>4204</v>
      </c>
      <c r="H9" s="36">
        <v>4193</v>
      </c>
      <c r="I9" s="33">
        <v>4248</v>
      </c>
      <c r="J9" s="33">
        <v>4026</v>
      </c>
      <c r="K9" s="33">
        <v>4065</v>
      </c>
      <c r="L9" s="33">
        <v>4154</v>
      </c>
      <c r="M9" s="33">
        <v>4242</v>
      </c>
      <c r="N9" s="33">
        <v>4249</v>
      </c>
      <c r="O9" s="33">
        <v>4333</v>
      </c>
      <c r="P9" s="33">
        <v>4330</v>
      </c>
      <c r="Q9" s="33">
        <v>4124</v>
      </c>
      <c r="R9" s="33">
        <v>4110</v>
      </c>
      <c r="S9" s="33">
        <v>4313</v>
      </c>
      <c r="T9" s="33">
        <v>4160</v>
      </c>
      <c r="U9" s="33">
        <v>4140</v>
      </c>
      <c r="V9" s="33">
        <v>4092</v>
      </c>
      <c r="W9" s="33">
        <v>4075</v>
      </c>
      <c r="X9" s="33">
        <v>4356</v>
      </c>
      <c r="Y9" s="33">
        <v>4600</v>
      </c>
      <c r="Z9" s="33">
        <v>4654</v>
      </c>
      <c r="AA9" s="33">
        <v>4566</v>
      </c>
      <c r="AB9" s="33">
        <v>4499</v>
      </c>
      <c r="AC9" s="33">
        <v>4399</v>
      </c>
      <c r="AD9" s="33">
        <v>4400</v>
      </c>
      <c r="AE9" s="33">
        <v>4331</v>
      </c>
      <c r="AF9" s="33">
        <v>4453</v>
      </c>
      <c r="AG9" s="33">
        <v>4638</v>
      </c>
      <c r="AH9" s="33">
        <v>4693</v>
      </c>
      <c r="AI9" s="33">
        <v>4950</v>
      </c>
      <c r="AJ9" s="33">
        <v>4990</v>
      </c>
      <c r="AK9" s="33">
        <v>4908</v>
      </c>
      <c r="AL9" s="33">
        <v>4968</v>
      </c>
      <c r="AM9" s="33">
        <v>4965</v>
      </c>
      <c r="AN9" s="33">
        <v>5050</v>
      </c>
      <c r="AO9" s="33">
        <v>5007</v>
      </c>
      <c r="AP9" s="33">
        <v>4648</v>
      </c>
      <c r="AQ9" s="34">
        <v>4443</v>
      </c>
      <c r="AR9" s="29">
        <v>4592</v>
      </c>
      <c r="AS9" s="29">
        <v>4750</v>
      </c>
      <c r="AT9" s="29">
        <v>4957</v>
      </c>
      <c r="AU9" s="29">
        <v>5074</v>
      </c>
      <c r="AV9" s="29">
        <v>5298</v>
      </c>
      <c r="AW9" s="29">
        <v>5066</v>
      </c>
      <c r="AX9" s="29">
        <v>5263</v>
      </c>
      <c r="AY9" s="29">
        <v>5224</v>
      </c>
      <c r="AZ9" s="29">
        <v>5565</v>
      </c>
      <c r="BA9" s="29">
        <v>5280</v>
      </c>
      <c r="BB9" s="29">
        <v>5142</v>
      </c>
      <c r="BC9" s="29">
        <v>4946</v>
      </c>
      <c r="BD9" s="29">
        <v>4879</v>
      </c>
      <c r="BE9" s="29">
        <v>5050</v>
      </c>
      <c r="BF9" s="29">
        <v>5264</v>
      </c>
      <c r="BG9" s="29">
        <v>5516</v>
      </c>
      <c r="BH9" s="29">
        <v>5646</v>
      </c>
      <c r="BI9" s="29">
        <v>6113</v>
      </c>
      <c r="BJ9" s="29">
        <v>5838</v>
      </c>
      <c r="BK9" s="29">
        <v>5698</v>
      </c>
      <c r="BL9" s="30">
        <v>5562</v>
      </c>
      <c r="BM9" s="1">
        <v>5353</v>
      </c>
      <c r="BN9" s="1">
        <v>5153</v>
      </c>
      <c r="BO9" s="1">
        <v>5092</v>
      </c>
      <c r="BP9" s="1">
        <v>5227</v>
      </c>
      <c r="BQ9" s="1">
        <v>5236</v>
      </c>
      <c r="BR9" s="1">
        <v>5328</v>
      </c>
      <c r="BS9" s="1">
        <v>5435</v>
      </c>
      <c r="BT9" s="1">
        <v>5460</v>
      </c>
      <c r="BU9" s="1">
        <v>5581</v>
      </c>
      <c r="BV9" s="1">
        <v>5595</v>
      </c>
      <c r="BW9" s="1">
        <v>5739</v>
      </c>
      <c r="BX9" s="1">
        <v>5784</v>
      </c>
      <c r="BY9" s="1">
        <v>5795</v>
      </c>
      <c r="BZ9" s="1">
        <v>5742</v>
      </c>
    </row>
    <row r="10" spans="1:254" ht="15.9" customHeight="1">
      <c r="A10" s="65" t="s">
        <v>15</v>
      </c>
      <c r="B10" s="25" t="s">
        <v>16</v>
      </c>
      <c r="C10" s="39">
        <f>_xll.RssMarket("5714","高値")</f>
        <v>8999</v>
      </c>
      <c r="D10" s="38">
        <f t="shared" si="0"/>
        <v>0</v>
      </c>
      <c r="E10" s="29">
        <v>8999</v>
      </c>
      <c r="F10" s="29">
        <v>8628</v>
      </c>
      <c r="G10" s="29">
        <v>8305</v>
      </c>
      <c r="H10" s="29">
        <v>8207</v>
      </c>
      <c r="I10" s="29">
        <v>8343</v>
      </c>
      <c r="J10" s="29">
        <v>8116</v>
      </c>
      <c r="K10" s="29">
        <v>8123</v>
      </c>
      <c r="L10" s="29">
        <v>8243</v>
      </c>
      <c r="M10" s="29">
        <v>8432</v>
      </c>
      <c r="N10" s="29">
        <v>8391</v>
      </c>
      <c r="O10" s="29">
        <v>8601</v>
      </c>
      <c r="P10" s="29">
        <v>8657</v>
      </c>
      <c r="Q10" s="29">
        <v>8327</v>
      </c>
      <c r="R10" s="29">
        <v>8245</v>
      </c>
      <c r="S10" s="29">
        <v>8530</v>
      </c>
      <c r="T10" s="29">
        <v>8419</v>
      </c>
      <c r="U10" s="29">
        <v>8506</v>
      </c>
      <c r="V10" s="29">
        <v>8490</v>
      </c>
      <c r="W10" s="29">
        <v>8429</v>
      </c>
      <c r="X10" s="29">
        <v>8598</v>
      </c>
      <c r="Y10" s="29">
        <v>8891</v>
      </c>
      <c r="Z10" s="29">
        <v>9020</v>
      </c>
      <c r="AA10" s="29">
        <v>8971</v>
      </c>
      <c r="AB10" s="29">
        <v>8918</v>
      </c>
      <c r="AC10" s="29">
        <v>8749</v>
      </c>
      <c r="AD10" s="29">
        <v>8850</v>
      </c>
      <c r="AE10" s="29">
        <v>8870</v>
      </c>
      <c r="AF10" s="29">
        <v>8806</v>
      </c>
      <c r="AG10" s="29">
        <v>9001</v>
      </c>
      <c r="AH10" s="29">
        <v>9250</v>
      </c>
      <c r="AI10" s="29">
        <v>9744</v>
      </c>
      <c r="AJ10" s="29">
        <v>9763</v>
      </c>
      <c r="AK10" s="29">
        <v>9607</v>
      </c>
      <c r="AL10" s="29">
        <v>9864</v>
      </c>
      <c r="AM10" s="29">
        <v>9927</v>
      </c>
      <c r="AN10" s="29">
        <v>9915</v>
      </c>
      <c r="AO10" s="29">
        <v>9919</v>
      </c>
      <c r="AP10" s="29">
        <v>9464</v>
      </c>
      <c r="AQ10" s="29">
        <v>8955</v>
      </c>
      <c r="AR10" s="29">
        <v>9159</v>
      </c>
      <c r="AS10" s="29">
        <v>9718</v>
      </c>
      <c r="AT10" s="29">
        <v>10105</v>
      </c>
      <c r="AU10" s="29">
        <v>10180</v>
      </c>
      <c r="AV10" s="29">
        <v>10570</v>
      </c>
      <c r="AW10" s="29">
        <v>10275</v>
      </c>
      <c r="AX10" s="29">
        <v>10700</v>
      </c>
      <c r="AY10" s="29">
        <v>10805</v>
      </c>
      <c r="AZ10" s="29">
        <v>11170</v>
      </c>
      <c r="BA10" s="29">
        <v>11090</v>
      </c>
      <c r="BB10" s="29">
        <v>10485</v>
      </c>
      <c r="BC10" s="29">
        <v>10355</v>
      </c>
      <c r="BD10" s="29">
        <v>10235</v>
      </c>
      <c r="BE10" s="29">
        <v>11125</v>
      </c>
      <c r="BF10" s="29">
        <v>11550</v>
      </c>
      <c r="BG10" s="29">
        <v>12380</v>
      </c>
      <c r="BH10" s="29">
        <v>10555</v>
      </c>
      <c r="BI10" s="29">
        <v>10685</v>
      </c>
      <c r="BJ10" s="29">
        <v>10640</v>
      </c>
      <c r="BK10" s="29">
        <v>10565</v>
      </c>
      <c r="BL10" s="30">
        <v>10180</v>
      </c>
      <c r="BM10" s="1">
        <v>9878</v>
      </c>
      <c r="BN10" s="1">
        <v>9574</v>
      </c>
      <c r="BO10" s="1">
        <v>9566</v>
      </c>
      <c r="BP10" s="1">
        <v>9740</v>
      </c>
      <c r="BQ10" s="1">
        <v>9653</v>
      </c>
      <c r="BR10" s="1">
        <v>9742</v>
      </c>
      <c r="BS10" s="1">
        <v>9903</v>
      </c>
      <c r="BT10" s="1">
        <v>9827</v>
      </c>
      <c r="BU10" s="1">
        <v>9998</v>
      </c>
      <c r="BV10" s="1">
        <v>10040</v>
      </c>
      <c r="BW10" s="1">
        <v>10215</v>
      </c>
      <c r="BX10" s="1">
        <v>10385</v>
      </c>
      <c r="BY10" s="1">
        <v>10295</v>
      </c>
      <c r="BZ10" s="1">
        <v>10060</v>
      </c>
    </row>
    <row r="11" spans="1:254" ht="15.9" customHeight="1">
      <c r="A11" s="65" t="s">
        <v>17</v>
      </c>
      <c r="B11" s="25" t="s">
        <v>18</v>
      </c>
      <c r="C11" s="39">
        <f>_xll.RssMarket("6701","高値")</f>
        <v>4747</v>
      </c>
      <c r="D11" s="38">
        <f t="shared" si="0"/>
        <v>0</v>
      </c>
      <c r="E11" s="29">
        <v>4747</v>
      </c>
      <c r="F11" s="29">
        <v>4753</v>
      </c>
      <c r="G11" s="29">
        <v>4818</v>
      </c>
      <c r="H11" s="29">
        <v>4832</v>
      </c>
      <c r="I11" s="29">
        <v>4858</v>
      </c>
      <c r="J11" s="29">
        <v>5104</v>
      </c>
      <c r="K11" s="29">
        <v>4613</v>
      </c>
      <c r="L11" s="29">
        <v>4508</v>
      </c>
      <c r="M11" s="29">
        <v>4445</v>
      </c>
      <c r="N11" s="29">
        <v>4279</v>
      </c>
      <c r="O11" s="29">
        <v>4295</v>
      </c>
      <c r="P11" s="29">
        <v>4369</v>
      </c>
      <c r="Q11" s="29">
        <v>4497</v>
      </c>
      <c r="R11" s="29">
        <v>4472</v>
      </c>
      <c r="S11" s="29">
        <v>4312</v>
      </c>
      <c r="T11" s="29">
        <v>4525</v>
      </c>
      <c r="U11" s="29">
        <v>4355</v>
      </c>
      <c r="V11" s="29">
        <v>4368</v>
      </c>
      <c r="W11" s="29">
        <v>4422</v>
      </c>
      <c r="X11" s="29">
        <v>4444</v>
      </c>
      <c r="Y11" s="29">
        <v>4409</v>
      </c>
      <c r="Z11" s="29">
        <v>4355</v>
      </c>
      <c r="AA11" s="29">
        <v>4307</v>
      </c>
      <c r="AB11" s="29">
        <v>4298</v>
      </c>
      <c r="AC11" s="29">
        <v>4037</v>
      </c>
      <c r="AD11" s="29">
        <v>4074</v>
      </c>
      <c r="AE11" s="29">
        <v>4050</v>
      </c>
      <c r="AF11" s="29">
        <v>3818</v>
      </c>
      <c r="AG11" s="29">
        <v>3822</v>
      </c>
      <c r="AH11" s="29">
        <v>3885</v>
      </c>
      <c r="AI11" s="29">
        <v>3726</v>
      </c>
      <c r="AJ11" s="29">
        <v>3778</v>
      </c>
      <c r="AK11" s="29">
        <v>3789</v>
      </c>
      <c r="AL11" s="29">
        <v>4020</v>
      </c>
      <c r="AM11" s="29">
        <v>3891</v>
      </c>
      <c r="AN11" s="29">
        <v>3860</v>
      </c>
      <c r="AO11" s="29">
        <v>3930</v>
      </c>
      <c r="AP11" s="29">
        <v>4027</v>
      </c>
      <c r="AQ11" s="29">
        <v>4107</v>
      </c>
      <c r="AR11" s="29">
        <v>4080</v>
      </c>
      <c r="AS11" s="29">
        <v>4236</v>
      </c>
      <c r="AT11" s="29">
        <v>4315</v>
      </c>
      <c r="AU11" s="29">
        <v>4292</v>
      </c>
      <c r="AV11" s="29">
        <v>4314</v>
      </c>
      <c r="AW11" s="29">
        <v>4470</v>
      </c>
      <c r="AX11" s="29">
        <v>4277</v>
      </c>
      <c r="AY11" s="29">
        <v>4201</v>
      </c>
      <c r="AZ11" s="29">
        <v>4154</v>
      </c>
      <c r="BA11" s="29">
        <v>4143</v>
      </c>
      <c r="BB11" s="29">
        <v>4155</v>
      </c>
      <c r="BC11" s="29">
        <v>4245</v>
      </c>
      <c r="BD11" s="29">
        <v>4312</v>
      </c>
      <c r="BE11" s="29">
        <v>4372</v>
      </c>
      <c r="BF11" s="29">
        <v>4184</v>
      </c>
      <c r="BG11" s="29">
        <v>4142</v>
      </c>
      <c r="BH11" s="29">
        <v>4115</v>
      </c>
      <c r="BI11" s="29">
        <v>4359</v>
      </c>
      <c r="BJ11" s="29">
        <v>4172</v>
      </c>
      <c r="BK11" s="29">
        <v>4172</v>
      </c>
      <c r="BL11" s="30">
        <v>4246</v>
      </c>
      <c r="BM11" s="1">
        <v>4110</v>
      </c>
      <c r="BN11" s="1">
        <v>4092</v>
      </c>
      <c r="BO11" s="1">
        <v>4202</v>
      </c>
      <c r="BP11" s="1">
        <v>4602</v>
      </c>
      <c r="BQ11" s="1">
        <v>4707</v>
      </c>
      <c r="BR11" s="1">
        <v>4613</v>
      </c>
      <c r="BS11" s="1">
        <v>4448</v>
      </c>
      <c r="BT11" s="1">
        <v>4530</v>
      </c>
      <c r="BU11" s="1">
        <v>4493</v>
      </c>
      <c r="BV11" s="1">
        <v>4358</v>
      </c>
      <c r="BW11" s="1">
        <v>4430</v>
      </c>
      <c r="BX11" s="1">
        <v>4447</v>
      </c>
      <c r="BY11" s="1">
        <v>4323</v>
      </c>
      <c r="BZ11" s="1">
        <v>4173</v>
      </c>
    </row>
    <row r="12" spans="1:254" ht="15.9" customHeight="1">
      <c r="A12" s="65" t="s">
        <v>19</v>
      </c>
      <c r="B12" s="25" t="s">
        <v>20</v>
      </c>
      <c r="C12" s="39">
        <f>_xll.RssMarket("1605","高値")</f>
        <v>3460</v>
      </c>
      <c r="D12" s="38">
        <f t="shared" si="0"/>
        <v>0</v>
      </c>
      <c r="E12" s="29">
        <v>3460</v>
      </c>
      <c r="F12" s="29">
        <v>3472</v>
      </c>
      <c r="G12" s="29">
        <v>3528</v>
      </c>
      <c r="H12" s="29">
        <v>3601</v>
      </c>
      <c r="I12" s="29">
        <v>3641</v>
      </c>
      <c r="J12" s="29">
        <v>3678</v>
      </c>
      <c r="K12" s="29">
        <v>3651</v>
      </c>
      <c r="L12" s="29">
        <v>3607</v>
      </c>
      <c r="M12" s="29">
        <v>3726</v>
      </c>
      <c r="N12" s="29">
        <v>3761</v>
      </c>
      <c r="O12" s="29">
        <v>3697</v>
      </c>
      <c r="P12" s="29">
        <v>3634</v>
      </c>
      <c r="Q12" s="29">
        <v>3580</v>
      </c>
      <c r="R12" s="29">
        <v>3457</v>
      </c>
      <c r="S12" s="29">
        <v>3528</v>
      </c>
      <c r="T12" s="29">
        <v>3550</v>
      </c>
      <c r="U12" s="29">
        <v>3419</v>
      </c>
      <c r="V12" s="29">
        <v>3407</v>
      </c>
      <c r="W12" s="29">
        <v>3470</v>
      </c>
      <c r="X12" s="29">
        <v>3412</v>
      </c>
      <c r="Y12" s="29">
        <v>3330</v>
      </c>
      <c r="Z12" s="29">
        <v>3316</v>
      </c>
      <c r="AA12" s="29">
        <v>3261</v>
      </c>
      <c r="AB12" s="29">
        <v>3238</v>
      </c>
      <c r="AC12" s="29">
        <v>3297</v>
      </c>
      <c r="AD12" s="29">
        <v>3294</v>
      </c>
      <c r="AE12" s="29">
        <v>3324</v>
      </c>
      <c r="AF12" s="29">
        <v>3351</v>
      </c>
      <c r="AG12" s="29">
        <v>3412</v>
      </c>
      <c r="AH12" s="29">
        <v>3458</v>
      </c>
      <c r="AI12" s="29">
        <v>3475</v>
      </c>
      <c r="AJ12" s="29">
        <v>3502</v>
      </c>
      <c r="AK12" s="29">
        <v>3500</v>
      </c>
      <c r="AL12" s="29">
        <v>3505</v>
      </c>
      <c r="AM12" s="29">
        <v>3428</v>
      </c>
      <c r="AN12" s="29">
        <v>3475</v>
      </c>
      <c r="AO12" s="29">
        <v>3636</v>
      </c>
      <c r="AP12" s="29">
        <v>3588</v>
      </c>
      <c r="AQ12" s="29">
        <v>3649</v>
      </c>
      <c r="AR12" s="29">
        <v>3553</v>
      </c>
      <c r="AS12" s="29">
        <v>3690</v>
      </c>
      <c r="AT12" s="29">
        <v>3726</v>
      </c>
      <c r="AU12" s="29">
        <v>3660</v>
      </c>
      <c r="AV12" s="29">
        <v>3732</v>
      </c>
      <c r="AW12" s="29">
        <v>3597</v>
      </c>
      <c r="AX12" s="29">
        <v>3643</v>
      </c>
      <c r="AY12" s="29">
        <v>3722</v>
      </c>
      <c r="AZ12" s="29">
        <v>3727</v>
      </c>
      <c r="BA12" s="29">
        <v>3791</v>
      </c>
      <c r="BB12" s="29">
        <v>3849</v>
      </c>
      <c r="BC12" s="29">
        <v>3934</v>
      </c>
      <c r="BD12" s="29">
        <v>4026</v>
      </c>
      <c r="BE12" s="29">
        <v>4049</v>
      </c>
      <c r="BF12" s="29">
        <v>4002</v>
      </c>
      <c r="BG12" s="29">
        <v>3921</v>
      </c>
      <c r="BH12" s="29">
        <v>4007</v>
      </c>
      <c r="BI12" s="29">
        <v>4007</v>
      </c>
      <c r="BJ12" s="29">
        <v>3988</v>
      </c>
      <c r="BK12" s="29">
        <v>3910</v>
      </c>
      <c r="BL12" s="30">
        <v>3820</v>
      </c>
      <c r="BM12" s="1">
        <v>3912</v>
      </c>
      <c r="BN12" s="1">
        <v>4165</v>
      </c>
      <c r="BO12" s="1">
        <v>4180</v>
      </c>
      <c r="BP12" s="1">
        <v>4123</v>
      </c>
      <c r="BQ12" s="1">
        <v>3984</v>
      </c>
      <c r="BR12" s="1">
        <v>4098</v>
      </c>
      <c r="BS12" s="1">
        <v>3988</v>
      </c>
      <c r="BT12" s="1">
        <v>3912</v>
      </c>
      <c r="BU12" s="1">
        <v>3885</v>
      </c>
      <c r="BV12" s="1">
        <v>3959</v>
      </c>
      <c r="BW12" s="1">
        <v>4029</v>
      </c>
      <c r="BX12" s="1">
        <v>4063</v>
      </c>
      <c r="BY12" s="1">
        <v>4133</v>
      </c>
      <c r="BZ12" s="1">
        <v>4232</v>
      </c>
    </row>
    <row r="13" spans="1:254" ht="15.9" customHeight="1">
      <c r="A13" s="65" t="s">
        <v>21</v>
      </c>
      <c r="B13" s="25" t="s">
        <v>22</v>
      </c>
      <c r="C13" s="39">
        <f>_xll.RssMarket("5703","高値")</f>
        <v>2989</v>
      </c>
      <c r="D13" s="38">
        <f t="shared" si="0"/>
        <v>0</v>
      </c>
      <c r="E13" s="29">
        <v>2989</v>
      </c>
      <c r="F13" s="29">
        <v>2917</v>
      </c>
      <c r="G13" s="29">
        <v>2885</v>
      </c>
      <c r="H13" s="29">
        <v>2970</v>
      </c>
      <c r="I13" s="29">
        <v>2748</v>
      </c>
      <c r="J13" s="29">
        <v>2634</v>
      </c>
      <c r="K13" s="29">
        <v>2638</v>
      </c>
      <c r="L13" s="29">
        <v>2685</v>
      </c>
      <c r="M13" s="29">
        <v>2694</v>
      </c>
      <c r="N13" s="29">
        <v>2680</v>
      </c>
      <c r="O13" s="29">
        <v>2729</v>
      </c>
      <c r="P13" s="29">
        <v>2750</v>
      </c>
      <c r="Q13" s="29">
        <v>2711</v>
      </c>
      <c r="R13" s="29">
        <v>2706</v>
      </c>
      <c r="S13" s="29">
        <v>2798</v>
      </c>
      <c r="T13" s="29">
        <v>2770</v>
      </c>
      <c r="U13" s="29">
        <v>2746</v>
      </c>
      <c r="V13" s="29">
        <v>2735</v>
      </c>
      <c r="W13" s="29">
        <v>2667</v>
      </c>
      <c r="X13" s="29">
        <v>2686</v>
      </c>
      <c r="Y13" s="29">
        <v>2775</v>
      </c>
      <c r="Z13" s="29">
        <v>2800</v>
      </c>
      <c r="AA13" s="29">
        <v>2774</v>
      </c>
      <c r="AB13" s="29">
        <v>2754</v>
      </c>
      <c r="AC13" s="29">
        <v>2764</v>
      </c>
      <c r="AD13" s="29">
        <v>2825</v>
      </c>
      <c r="AE13" s="29">
        <v>2850</v>
      </c>
      <c r="AF13" s="29">
        <v>2885</v>
      </c>
      <c r="AG13" s="29">
        <v>2888</v>
      </c>
      <c r="AH13" s="29">
        <v>2970</v>
      </c>
      <c r="AI13" s="29">
        <v>3035</v>
      </c>
      <c r="AJ13" s="29">
        <v>3035</v>
      </c>
      <c r="AK13" s="29">
        <v>3000</v>
      </c>
      <c r="AL13" s="29">
        <v>3005</v>
      </c>
      <c r="AM13" s="29">
        <v>3065</v>
      </c>
      <c r="AN13" s="29">
        <v>3085</v>
      </c>
      <c r="AO13" s="29">
        <v>3130</v>
      </c>
      <c r="AP13" s="29">
        <v>3105</v>
      </c>
      <c r="AQ13" s="29">
        <v>3005</v>
      </c>
      <c r="AR13" s="29">
        <v>3140</v>
      </c>
      <c r="AS13" s="29">
        <v>3205</v>
      </c>
      <c r="AT13" s="29">
        <v>3255</v>
      </c>
      <c r="AU13" s="29">
        <v>3275</v>
      </c>
      <c r="AV13" s="29">
        <v>3290</v>
      </c>
      <c r="AW13" s="29">
        <v>3190</v>
      </c>
      <c r="AX13" s="29">
        <v>3270</v>
      </c>
      <c r="AY13" s="29">
        <v>3195</v>
      </c>
      <c r="AZ13" s="29">
        <v>3325</v>
      </c>
      <c r="BA13" s="29">
        <v>3330</v>
      </c>
      <c r="BB13" s="29">
        <v>3140</v>
      </c>
      <c r="BC13" s="29">
        <v>3125</v>
      </c>
      <c r="BD13" s="29">
        <v>3070</v>
      </c>
      <c r="BE13" s="29">
        <v>3140</v>
      </c>
      <c r="BF13" s="29">
        <v>3200</v>
      </c>
      <c r="BG13" s="29">
        <v>3260</v>
      </c>
      <c r="BH13" s="29">
        <v>3080</v>
      </c>
      <c r="BI13" s="29">
        <v>2965</v>
      </c>
      <c r="BJ13" s="29">
        <v>2971</v>
      </c>
      <c r="BK13" s="29">
        <v>2966</v>
      </c>
      <c r="BL13" s="30">
        <v>2928</v>
      </c>
      <c r="BM13" s="1">
        <v>2939</v>
      </c>
      <c r="BN13" s="1">
        <v>2834</v>
      </c>
      <c r="BO13" s="1">
        <v>2854</v>
      </c>
      <c r="BP13" s="1">
        <v>2880</v>
      </c>
      <c r="BQ13" s="1">
        <v>2909</v>
      </c>
      <c r="BR13" s="1">
        <v>2879</v>
      </c>
      <c r="BS13" s="1">
        <v>2918</v>
      </c>
      <c r="BT13" s="1">
        <v>2939</v>
      </c>
      <c r="BU13" s="1">
        <v>3025</v>
      </c>
      <c r="BV13" s="1">
        <v>3005</v>
      </c>
      <c r="BW13" s="1">
        <v>3035</v>
      </c>
      <c r="BX13" s="1">
        <v>3050</v>
      </c>
      <c r="BY13" s="1">
        <v>3090</v>
      </c>
      <c r="BZ13" s="1">
        <v>3095</v>
      </c>
    </row>
    <row r="14" spans="1:254" ht="15.9" customHeight="1">
      <c r="A14" s="65" t="s">
        <v>23</v>
      </c>
      <c r="B14" s="25" t="s">
        <v>24</v>
      </c>
      <c r="C14" s="39">
        <f>_xll.RssMarket("8002","高値")</f>
        <v>4960</v>
      </c>
      <c r="D14" s="38">
        <f t="shared" si="0"/>
        <v>0</v>
      </c>
      <c r="E14" s="29">
        <v>4960</v>
      </c>
      <c r="F14" s="29">
        <v>4922</v>
      </c>
      <c r="G14" s="29">
        <v>5079</v>
      </c>
      <c r="H14" s="29">
        <v>5351</v>
      </c>
      <c r="I14" s="29">
        <v>5251</v>
      </c>
      <c r="J14" s="29">
        <v>5241</v>
      </c>
      <c r="K14" s="29">
        <v>5309</v>
      </c>
      <c r="L14" s="29">
        <v>5425</v>
      </c>
      <c r="M14" s="29">
        <v>5479</v>
      </c>
      <c r="N14" s="29">
        <v>5422</v>
      </c>
      <c r="O14" s="29">
        <v>5412</v>
      </c>
      <c r="P14" s="29">
        <v>5338</v>
      </c>
      <c r="Q14" s="29">
        <v>5194</v>
      </c>
      <c r="R14" s="29">
        <v>5176</v>
      </c>
      <c r="S14" s="29">
        <v>5132</v>
      </c>
      <c r="T14" s="29">
        <v>4942</v>
      </c>
      <c r="U14" s="29">
        <v>4960</v>
      </c>
      <c r="V14" s="29">
        <v>4920</v>
      </c>
      <c r="W14" s="29">
        <v>4935</v>
      </c>
      <c r="X14" s="29">
        <v>5086</v>
      </c>
      <c r="Y14" s="29">
        <v>5162</v>
      </c>
      <c r="Z14" s="29">
        <v>5084</v>
      </c>
      <c r="AA14" s="29">
        <v>4984</v>
      </c>
      <c r="AB14" s="29">
        <v>4877</v>
      </c>
      <c r="AC14" s="29">
        <v>4701</v>
      </c>
      <c r="AD14" s="29">
        <v>4730</v>
      </c>
      <c r="AE14" s="29">
        <v>4803</v>
      </c>
      <c r="AF14" s="29">
        <v>4768</v>
      </c>
      <c r="AG14" s="29">
        <v>4757</v>
      </c>
      <c r="AH14" s="29">
        <v>4795</v>
      </c>
      <c r="AI14" s="29">
        <v>4947</v>
      </c>
      <c r="AJ14" s="29">
        <v>4930</v>
      </c>
      <c r="AK14" s="29">
        <v>4907</v>
      </c>
      <c r="AL14" s="29">
        <v>4993</v>
      </c>
      <c r="AM14" s="29">
        <v>5019</v>
      </c>
      <c r="AN14" s="29">
        <v>5058</v>
      </c>
      <c r="AO14" s="29">
        <v>5174</v>
      </c>
      <c r="AP14" s="29">
        <v>4951</v>
      </c>
      <c r="AQ14" s="29">
        <v>4825</v>
      </c>
      <c r="AR14" s="29">
        <v>4880</v>
      </c>
      <c r="AS14" s="29">
        <v>4996</v>
      </c>
      <c r="AT14" s="29">
        <v>5089</v>
      </c>
      <c r="AU14" s="29">
        <v>5065</v>
      </c>
      <c r="AV14" s="29">
        <v>5039</v>
      </c>
      <c r="AW14" s="29">
        <v>4940</v>
      </c>
      <c r="AX14" s="29">
        <v>5259</v>
      </c>
      <c r="AY14" s="29">
        <v>5264</v>
      </c>
      <c r="AZ14" s="29">
        <v>5411</v>
      </c>
      <c r="BA14" s="29">
        <v>5367</v>
      </c>
      <c r="BB14" s="29">
        <v>5356</v>
      </c>
      <c r="BC14" s="29">
        <v>5477</v>
      </c>
      <c r="BD14" s="29">
        <v>5486</v>
      </c>
      <c r="BE14" s="29">
        <v>5725</v>
      </c>
      <c r="BF14" s="29">
        <v>5849</v>
      </c>
      <c r="BG14" s="29">
        <v>6078</v>
      </c>
      <c r="BH14" s="29">
        <v>5928</v>
      </c>
      <c r="BI14" s="29">
        <v>5818</v>
      </c>
      <c r="BJ14" s="29">
        <v>5608</v>
      </c>
      <c r="BK14" s="29">
        <v>5509</v>
      </c>
      <c r="BL14" s="30">
        <v>5535</v>
      </c>
      <c r="BM14" s="1">
        <v>5749</v>
      </c>
      <c r="BN14" s="1">
        <v>6160</v>
      </c>
      <c r="BO14" s="1">
        <v>6099</v>
      </c>
      <c r="BP14" s="1">
        <v>6106</v>
      </c>
      <c r="BQ14" s="1">
        <v>5966</v>
      </c>
      <c r="BR14" s="1">
        <v>6075</v>
      </c>
      <c r="BS14" s="1">
        <v>5986</v>
      </c>
      <c r="BT14" s="1">
        <v>5961</v>
      </c>
      <c r="BU14" s="1">
        <v>6020</v>
      </c>
      <c r="BV14" s="1">
        <v>5973</v>
      </c>
      <c r="BW14" s="1">
        <v>6040</v>
      </c>
      <c r="BX14" s="1">
        <v>6049</v>
      </c>
      <c r="BY14" s="1">
        <v>6018</v>
      </c>
      <c r="BZ14" s="1">
        <v>6033</v>
      </c>
    </row>
    <row r="15" spans="1:254" ht="15.9" customHeight="1">
      <c r="A15" s="65" t="s">
        <v>25</v>
      </c>
      <c r="B15" s="25" t="s">
        <v>26</v>
      </c>
      <c r="C15" s="39">
        <f>_xll.RssMarket("5021","高値")</f>
        <v>3821</v>
      </c>
      <c r="D15" s="38">
        <f t="shared" si="0"/>
        <v>0</v>
      </c>
      <c r="E15" s="29">
        <v>3821</v>
      </c>
      <c r="F15" s="29">
        <v>3828</v>
      </c>
      <c r="G15" s="29">
        <v>3871</v>
      </c>
      <c r="H15" s="29">
        <v>3966</v>
      </c>
      <c r="I15" s="29">
        <v>4000</v>
      </c>
      <c r="J15" s="29">
        <v>4019</v>
      </c>
      <c r="K15" s="29">
        <v>4003</v>
      </c>
      <c r="L15" s="29">
        <v>3999</v>
      </c>
      <c r="M15" s="29">
        <v>3997</v>
      </c>
      <c r="N15" s="29">
        <v>3999</v>
      </c>
      <c r="O15" s="29">
        <v>3977</v>
      </c>
      <c r="P15" s="29">
        <v>3974</v>
      </c>
      <c r="Q15" s="29">
        <v>3975</v>
      </c>
      <c r="R15" s="29">
        <v>3840</v>
      </c>
      <c r="S15" s="29">
        <v>3902</v>
      </c>
      <c r="T15" s="29">
        <v>3916</v>
      </c>
      <c r="U15" s="29">
        <v>3903</v>
      </c>
      <c r="V15" s="29">
        <v>3895</v>
      </c>
      <c r="W15" s="29">
        <v>3933</v>
      </c>
      <c r="X15" s="29">
        <v>3915</v>
      </c>
      <c r="Y15" s="29">
        <v>3999</v>
      </c>
      <c r="Z15" s="29">
        <v>3977</v>
      </c>
      <c r="AA15" s="29">
        <v>3921</v>
      </c>
      <c r="AB15" s="29">
        <v>3892</v>
      </c>
      <c r="AC15" s="29">
        <v>3830</v>
      </c>
      <c r="AD15" s="29">
        <v>3842</v>
      </c>
      <c r="AE15" s="29">
        <v>3775</v>
      </c>
      <c r="AF15" s="29">
        <v>3757</v>
      </c>
      <c r="AG15" s="29">
        <v>3800</v>
      </c>
      <c r="AH15" s="29">
        <v>3725</v>
      </c>
      <c r="AI15" s="29">
        <v>3747</v>
      </c>
      <c r="AJ15" s="29">
        <v>3791</v>
      </c>
      <c r="AK15" s="29">
        <v>3775</v>
      </c>
      <c r="AL15" s="29">
        <v>3768</v>
      </c>
      <c r="AM15" s="29">
        <v>3693</v>
      </c>
      <c r="AN15" s="29">
        <v>3699</v>
      </c>
      <c r="AO15" s="29">
        <v>3707</v>
      </c>
      <c r="AP15" s="29">
        <v>3584</v>
      </c>
      <c r="AQ15" s="29">
        <v>3540</v>
      </c>
      <c r="AR15" s="29">
        <v>3500</v>
      </c>
      <c r="AS15" s="29">
        <v>3592</v>
      </c>
      <c r="AT15" s="29">
        <v>3688</v>
      </c>
      <c r="AU15" s="29">
        <v>3790</v>
      </c>
      <c r="AV15" s="29">
        <v>3835</v>
      </c>
      <c r="AW15" s="29">
        <v>3746</v>
      </c>
      <c r="AX15" s="29">
        <v>3789</v>
      </c>
      <c r="AY15" s="29">
        <v>3729</v>
      </c>
      <c r="AZ15" s="29">
        <v>3686</v>
      </c>
      <c r="BA15" s="29">
        <v>3772</v>
      </c>
      <c r="BB15" s="29">
        <v>3717</v>
      </c>
      <c r="BC15" s="29">
        <v>3766</v>
      </c>
      <c r="BD15" s="29">
        <v>3788</v>
      </c>
      <c r="BE15" s="29">
        <v>3799</v>
      </c>
      <c r="BF15" s="29">
        <v>3870</v>
      </c>
      <c r="BG15" s="29">
        <v>3885</v>
      </c>
      <c r="BH15" s="29">
        <v>3893</v>
      </c>
      <c r="BI15" s="29">
        <v>3916</v>
      </c>
      <c r="BJ15" s="29">
        <v>4001</v>
      </c>
      <c r="BK15" s="29">
        <v>4016</v>
      </c>
      <c r="BL15" s="30">
        <v>3975</v>
      </c>
      <c r="BM15" s="1">
        <v>3951</v>
      </c>
      <c r="BN15" s="1">
        <v>3996</v>
      </c>
      <c r="BO15" s="1">
        <v>4011</v>
      </c>
      <c r="BP15" s="1">
        <v>3985</v>
      </c>
      <c r="BQ15" s="1">
        <v>3946</v>
      </c>
      <c r="BR15" s="1">
        <v>4038</v>
      </c>
      <c r="BS15" s="1">
        <v>4021</v>
      </c>
      <c r="BT15" s="1">
        <v>4236</v>
      </c>
      <c r="BU15" s="1">
        <v>4288</v>
      </c>
      <c r="BV15" s="1">
        <v>4316</v>
      </c>
      <c r="BW15" s="1">
        <v>4400</v>
      </c>
      <c r="BX15" s="1">
        <v>4406</v>
      </c>
      <c r="BY15" s="1">
        <v>4393</v>
      </c>
      <c r="BZ15" s="1">
        <v>4393</v>
      </c>
    </row>
    <row r="16" spans="1:254" ht="15.9" customHeight="1">
      <c r="A16" s="65" t="s">
        <v>27</v>
      </c>
      <c r="B16" s="25" t="s">
        <v>28</v>
      </c>
      <c r="C16" s="39">
        <f>_xll.RssMarket("8058","高値")</f>
        <v>4748</v>
      </c>
      <c r="D16" s="38">
        <f t="shared" si="0"/>
        <v>0</v>
      </c>
      <c r="E16" s="29">
        <v>4748</v>
      </c>
      <c r="F16" s="29">
        <v>4744</v>
      </c>
      <c r="G16" s="29">
        <v>4801</v>
      </c>
      <c r="H16" s="29">
        <v>4850</v>
      </c>
      <c r="I16" s="29">
        <v>4851</v>
      </c>
      <c r="J16" s="29">
        <v>4833</v>
      </c>
      <c r="K16" s="29">
        <v>4833</v>
      </c>
      <c r="L16" s="29">
        <v>4824</v>
      </c>
      <c r="M16" s="29">
        <v>4966</v>
      </c>
      <c r="N16" s="29">
        <v>4943</v>
      </c>
      <c r="O16" s="29">
        <v>4943</v>
      </c>
      <c r="P16" s="29">
        <v>4947</v>
      </c>
      <c r="Q16" s="29">
        <v>4673</v>
      </c>
      <c r="R16" s="29">
        <v>4555</v>
      </c>
      <c r="S16" s="29">
        <v>4606</v>
      </c>
      <c r="T16" s="29">
        <v>4522</v>
      </c>
      <c r="U16" s="29">
        <v>4518</v>
      </c>
      <c r="V16" s="29">
        <v>4444</v>
      </c>
      <c r="W16" s="29">
        <v>4459</v>
      </c>
      <c r="X16" s="29">
        <v>4574</v>
      </c>
      <c r="Y16" s="29">
        <v>4662</v>
      </c>
      <c r="Z16" s="29">
        <v>4545</v>
      </c>
      <c r="AA16" s="29">
        <v>4574</v>
      </c>
      <c r="AB16" s="29">
        <v>4463</v>
      </c>
      <c r="AC16" s="29">
        <v>4372</v>
      </c>
      <c r="AD16" s="29">
        <v>4427</v>
      </c>
      <c r="AE16" s="29">
        <v>4512</v>
      </c>
      <c r="AF16" s="29">
        <v>4464</v>
      </c>
      <c r="AG16" s="29">
        <v>4585</v>
      </c>
      <c r="AH16" s="29">
        <v>4608</v>
      </c>
      <c r="AI16" s="29">
        <v>4657</v>
      </c>
      <c r="AJ16" s="29">
        <v>4614</v>
      </c>
      <c r="AK16" s="29">
        <v>4541</v>
      </c>
      <c r="AL16" s="29">
        <v>4669</v>
      </c>
      <c r="AM16" s="29">
        <v>4672</v>
      </c>
      <c r="AN16" s="29">
        <v>4739</v>
      </c>
      <c r="AO16" s="29">
        <v>4872</v>
      </c>
      <c r="AP16" s="29">
        <v>4712</v>
      </c>
      <c r="AQ16" s="29">
        <v>4608</v>
      </c>
      <c r="AR16" s="29">
        <v>4755</v>
      </c>
      <c r="AS16" s="29">
        <v>4849</v>
      </c>
      <c r="AT16" s="29">
        <v>4967</v>
      </c>
      <c r="AU16" s="29">
        <v>4999</v>
      </c>
      <c r="AV16" s="29">
        <v>5004</v>
      </c>
      <c r="AW16" s="29">
        <v>5019</v>
      </c>
      <c r="AX16" s="29">
        <v>5088</v>
      </c>
      <c r="AY16" s="29">
        <v>5144</v>
      </c>
      <c r="AZ16" s="29">
        <v>5217</v>
      </c>
      <c r="BA16" s="29">
        <v>5419</v>
      </c>
      <c r="BB16" s="29">
        <v>5450</v>
      </c>
      <c r="BC16" s="29">
        <v>5510</v>
      </c>
      <c r="BD16" s="29">
        <v>5582</v>
      </c>
      <c r="BE16" s="29">
        <v>5604</v>
      </c>
      <c r="BF16" s="29">
        <v>5800</v>
      </c>
      <c r="BG16" s="29">
        <v>6012</v>
      </c>
      <c r="BH16" s="29">
        <v>5939</v>
      </c>
      <c r="BI16" s="29">
        <v>5935</v>
      </c>
      <c r="BJ16" s="29">
        <v>5508</v>
      </c>
      <c r="BK16" s="29">
        <v>5317</v>
      </c>
      <c r="BL16" s="30">
        <v>5350</v>
      </c>
      <c r="BM16" s="1">
        <v>5411</v>
      </c>
      <c r="BN16" s="1">
        <v>5445</v>
      </c>
      <c r="BO16" s="1">
        <v>4990</v>
      </c>
      <c r="BP16" s="1">
        <v>4928</v>
      </c>
      <c r="BQ16" s="1">
        <v>4849</v>
      </c>
      <c r="BR16" s="1">
        <v>4980</v>
      </c>
      <c r="BS16" s="1">
        <v>4828</v>
      </c>
      <c r="BT16" s="1">
        <v>4840</v>
      </c>
      <c r="BU16" s="1">
        <v>4914</v>
      </c>
      <c r="BV16" s="1">
        <v>5016</v>
      </c>
      <c r="BW16" s="1">
        <v>5080</v>
      </c>
      <c r="BX16" s="1">
        <v>5099</v>
      </c>
      <c r="BY16" s="1">
        <v>5239</v>
      </c>
      <c r="BZ16" s="1">
        <v>5330</v>
      </c>
    </row>
    <row r="17" spans="1:254" ht="15.9" customHeight="1">
      <c r="A17" s="65" t="s">
        <v>29</v>
      </c>
      <c r="B17" s="25" t="s">
        <v>30</v>
      </c>
      <c r="C17" s="39">
        <f>_xll.RssMarket("5333","高値")</f>
        <v>5947</v>
      </c>
      <c r="D17" s="38">
        <f t="shared" si="0"/>
        <v>0</v>
      </c>
      <c r="E17" s="29">
        <v>5947</v>
      </c>
      <c r="F17" s="29">
        <v>5963</v>
      </c>
      <c r="G17" s="29">
        <v>5659</v>
      </c>
      <c r="H17" s="29">
        <v>5646</v>
      </c>
      <c r="I17" s="29">
        <v>6050</v>
      </c>
      <c r="J17" s="29">
        <v>5444</v>
      </c>
      <c r="K17" s="29">
        <v>5573</v>
      </c>
      <c r="L17" s="29">
        <v>5963</v>
      </c>
      <c r="M17" s="29">
        <v>6180</v>
      </c>
      <c r="N17" s="29">
        <v>6165</v>
      </c>
      <c r="O17" s="29">
        <v>6411</v>
      </c>
      <c r="P17" s="29">
        <v>6375</v>
      </c>
      <c r="Q17" s="29">
        <v>6113</v>
      </c>
      <c r="R17" s="29">
        <v>6362</v>
      </c>
      <c r="S17" s="29">
        <v>6787</v>
      </c>
      <c r="T17" s="29">
        <v>6649</v>
      </c>
      <c r="U17" s="29">
        <v>7124</v>
      </c>
      <c r="V17" s="29">
        <v>7259</v>
      </c>
      <c r="W17" s="29">
        <v>7182</v>
      </c>
      <c r="X17" s="29">
        <v>7186</v>
      </c>
      <c r="Y17" s="29">
        <v>7480</v>
      </c>
      <c r="Z17" s="29">
        <v>7534</v>
      </c>
      <c r="AA17" s="29">
        <v>7492</v>
      </c>
      <c r="AB17" s="29">
        <v>7580</v>
      </c>
      <c r="AC17" s="29">
        <v>7860</v>
      </c>
      <c r="AD17" s="29">
        <v>7680</v>
      </c>
      <c r="AE17" s="29">
        <v>7559</v>
      </c>
      <c r="AF17" s="29">
        <v>7864</v>
      </c>
      <c r="AG17" s="29">
        <v>7894</v>
      </c>
      <c r="AH17" s="29">
        <v>7548</v>
      </c>
      <c r="AI17" s="29">
        <v>7815</v>
      </c>
      <c r="AJ17" s="29">
        <v>7700</v>
      </c>
      <c r="AK17" s="29">
        <v>7594</v>
      </c>
      <c r="AL17" s="29">
        <v>7308</v>
      </c>
      <c r="AM17" s="29">
        <v>6974</v>
      </c>
      <c r="AN17" s="29">
        <v>6807</v>
      </c>
      <c r="AO17" s="29">
        <v>6640</v>
      </c>
      <c r="AP17" s="29">
        <v>6347</v>
      </c>
      <c r="AQ17" s="29">
        <v>5962</v>
      </c>
      <c r="AR17" s="29">
        <v>6198</v>
      </c>
      <c r="AS17" s="29">
        <v>6185</v>
      </c>
      <c r="AT17" s="29">
        <v>6615</v>
      </c>
      <c r="AU17" s="29">
        <v>6431</v>
      </c>
      <c r="AV17" s="29">
        <v>6538</v>
      </c>
      <c r="AW17" s="29">
        <v>6350</v>
      </c>
      <c r="AX17" s="29">
        <v>6395</v>
      </c>
      <c r="AY17" s="29">
        <v>6143</v>
      </c>
      <c r="AZ17" s="29">
        <v>6483</v>
      </c>
      <c r="BA17" s="29">
        <v>6260</v>
      </c>
      <c r="BB17" s="29">
        <v>5912</v>
      </c>
      <c r="BC17" s="29">
        <v>5742</v>
      </c>
      <c r="BD17" s="29">
        <v>5485</v>
      </c>
      <c r="BE17" s="29">
        <v>5678</v>
      </c>
      <c r="BF17" s="29">
        <v>5755</v>
      </c>
      <c r="BG17" s="29">
        <v>5892</v>
      </c>
      <c r="BH17" s="29">
        <v>5838</v>
      </c>
      <c r="BI17" s="29">
        <v>5749</v>
      </c>
      <c r="BJ17" s="29">
        <v>5707</v>
      </c>
      <c r="BK17" s="29">
        <v>5604</v>
      </c>
      <c r="BL17" s="30">
        <v>5415</v>
      </c>
      <c r="BM17" s="1">
        <v>5420</v>
      </c>
      <c r="BN17" s="1">
        <v>5142</v>
      </c>
      <c r="BO17" s="1">
        <v>5035</v>
      </c>
      <c r="BP17" s="1">
        <v>4680</v>
      </c>
      <c r="BQ17" s="1">
        <v>4670</v>
      </c>
      <c r="BR17" s="1">
        <v>4470</v>
      </c>
      <c r="BS17" s="1">
        <v>4459</v>
      </c>
      <c r="BT17" s="1">
        <v>4528</v>
      </c>
      <c r="BU17" s="1">
        <v>4595</v>
      </c>
      <c r="BV17" s="1">
        <v>4569</v>
      </c>
      <c r="BW17" s="1">
        <v>4537</v>
      </c>
      <c r="BX17" s="1">
        <v>4586</v>
      </c>
      <c r="BY17" s="1">
        <v>4553</v>
      </c>
      <c r="BZ17" s="1">
        <v>4465</v>
      </c>
    </row>
    <row r="18" spans="1:254" ht="15.9" customHeight="1">
      <c r="A18" s="65" t="s">
        <v>31</v>
      </c>
      <c r="B18" s="25" t="s">
        <v>32</v>
      </c>
      <c r="C18" s="39">
        <f>_xll.RssMarket("1662","高値")</f>
        <v>1718</v>
      </c>
      <c r="D18" s="38">
        <f t="shared" si="0"/>
        <v>0</v>
      </c>
      <c r="E18" s="29">
        <v>1718</v>
      </c>
      <c r="F18" s="29">
        <v>1711</v>
      </c>
      <c r="G18" s="29">
        <v>1724</v>
      </c>
      <c r="H18" s="29">
        <v>1748</v>
      </c>
      <c r="I18" s="29">
        <v>1793</v>
      </c>
      <c r="J18" s="29">
        <v>1784</v>
      </c>
      <c r="K18" s="29">
        <v>1778</v>
      </c>
      <c r="L18" s="29">
        <v>1746</v>
      </c>
      <c r="M18" s="29">
        <v>1754</v>
      </c>
      <c r="N18" s="29"/>
      <c r="O18" s="29">
        <v>1770</v>
      </c>
      <c r="P18" s="29">
        <v>1743</v>
      </c>
      <c r="Q18" s="29">
        <v>1728</v>
      </c>
      <c r="R18" s="29">
        <v>1697</v>
      </c>
      <c r="S18" s="29">
        <v>1739</v>
      </c>
      <c r="T18" s="29">
        <v>1753</v>
      </c>
      <c r="U18" s="29">
        <v>1700</v>
      </c>
      <c r="V18" s="29">
        <v>1684</v>
      </c>
      <c r="W18" s="29">
        <v>1723</v>
      </c>
      <c r="X18" s="29">
        <v>1704</v>
      </c>
      <c r="Y18" s="29">
        <v>1692</v>
      </c>
      <c r="Z18" s="29">
        <v>1669</v>
      </c>
      <c r="AA18" s="29">
        <v>1622</v>
      </c>
      <c r="AB18" s="29">
        <v>1613</v>
      </c>
      <c r="AC18" s="29">
        <v>1601</v>
      </c>
      <c r="AD18" s="29">
        <v>1619</v>
      </c>
      <c r="AE18" s="29">
        <v>1617</v>
      </c>
      <c r="AF18" s="29">
        <v>1612</v>
      </c>
      <c r="AG18" s="29">
        <v>1623</v>
      </c>
      <c r="AH18" s="29">
        <v>1636</v>
      </c>
      <c r="AI18" s="29">
        <v>1639</v>
      </c>
      <c r="AJ18" s="29">
        <v>1644</v>
      </c>
      <c r="AK18" s="29">
        <v>1637</v>
      </c>
      <c r="AL18" s="29">
        <v>1681</v>
      </c>
      <c r="AM18" s="29">
        <v>1660</v>
      </c>
      <c r="AN18" s="29">
        <v>1663</v>
      </c>
      <c r="AO18" s="29">
        <v>1697</v>
      </c>
      <c r="AP18" s="29">
        <v>1662</v>
      </c>
      <c r="AQ18" s="29">
        <v>1718</v>
      </c>
      <c r="AR18" s="29">
        <v>1733</v>
      </c>
      <c r="AS18" s="29">
        <v>1749</v>
      </c>
      <c r="AT18" s="29">
        <v>1769</v>
      </c>
      <c r="AU18" s="29">
        <v>1749</v>
      </c>
      <c r="AV18" s="29">
        <v>1798</v>
      </c>
      <c r="AW18" s="29">
        <v>1808</v>
      </c>
      <c r="AX18" s="29">
        <v>1837</v>
      </c>
      <c r="AY18" s="29">
        <v>1887</v>
      </c>
      <c r="AZ18" s="29">
        <v>1894</v>
      </c>
      <c r="BA18" s="29">
        <v>1895</v>
      </c>
      <c r="BB18" s="29">
        <v>1921</v>
      </c>
      <c r="BC18" s="29">
        <v>1927</v>
      </c>
      <c r="BD18" s="29">
        <v>2046</v>
      </c>
      <c r="BE18" s="29">
        <v>1998</v>
      </c>
      <c r="BF18" s="29">
        <v>1989</v>
      </c>
      <c r="BG18" s="29">
        <v>2001</v>
      </c>
      <c r="BH18" s="29">
        <v>2012</v>
      </c>
      <c r="BI18" s="29">
        <v>2248</v>
      </c>
      <c r="BJ18" s="29">
        <v>2211</v>
      </c>
      <c r="BK18" s="29">
        <v>2196</v>
      </c>
      <c r="BL18" s="30">
        <v>2165</v>
      </c>
      <c r="BM18" s="1">
        <v>2127</v>
      </c>
      <c r="BN18" s="1">
        <v>2254</v>
      </c>
      <c r="BO18" s="1">
        <v>2339</v>
      </c>
      <c r="BP18" s="1">
        <v>2295</v>
      </c>
      <c r="BQ18" s="1">
        <v>2230</v>
      </c>
      <c r="BR18" s="1">
        <v>2303</v>
      </c>
      <c r="BS18" s="1">
        <v>2323</v>
      </c>
      <c r="BT18" s="1">
        <v>2217</v>
      </c>
      <c r="BU18" s="1">
        <v>2176</v>
      </c>
      <c r="BV18" s="1">
        <v>2265</v>
      </c>
      <c r="BW18" s="1">
        <v>2426</v>
      </c>
      <c r="BX18" s="1">
        <v>2419</v>
      </c>
      <c r="BY18" s="1">
        <v>2458</v>
      </c>
      <c r="BZ18" s="1">
        <v>2512</v>
      </c>
    </row>
    <row r="19" spans="1:254" ht="15.9" customHeight="1">
      <c r="A19" s="65" t="s">
        <v>33</v>
      </c>
      <c r="B19" s="25" t="s">
        <v>34</v>
      </c>
      <c r="C19" s="39">
        <f>_xll.RssMarket("8411","高値")</f>
        <v>8655</v>
      </c>
      <c r="D19" s="38">
        <f t="shared" si="0"/>
        <v>0</v>
      </c>
      <c r="E19" s="29">
        <v>8655</v>
      </c>
      <c r="F19" s="29">
        <v>8479</v>
      </c>
      <c r="G19" s="29">
        <v>8168</v>
      </c>
      <c r="H19" s="29">
        <v>8205</v>
      </c>
      <c r="I19" s="29">
        <v>8310</v>
      </c>
      <c r="J19" s="29">
        <v>7962</v>
      </c>
      <c r="K19" s="29">
        <v>8149</v>
      </c>
      <c r="L19" s="29">
        <v>8499</v>
      </c>
      <c r="M19" s="29">
        <v>8690</v>
      </c>
      <c r="N19" s="29">
        <v>8796</v>
      </c>
      <c r="O19" s="29">
        <v>8816</v>
      </c>
      <c r="P19" s="29">
        <v>8648</v>
      </c>
      <c r="Q19" s="29">
        <v>8302</v>
      </c>
      <c r="R19" s="29">
        <v>8370</v>
      </c>
      <c r="S19" s="29">
        <v>8693</v>
      </c>
      <c r="T19" s="29">
        <v>8497</v>
      </c>
      <c r="U19" s="29">
        <v>8541</v>
      </c>
      <c r="V19" s="29">
        <v>8440</v>
      </c>
      <c r="W19" s="29">
        <v>8265</v>
      </c>
      <c r="X19" s="29">
        <v>8369</v>
      </c>
      <c r="Y19" s="29">
        <v>8551</v>
      </c>
      <c r="Z19" s="29">
        <v>8208</v>
      </c>
      <c r="AA19" s="29">
        <v>8083</v>
      </c>
      <c r="AB19" s="29">
        <v>8086</v>
      </c>
      <c r="AC19" s="29">
        <v>7918</v>
      </c>
      <c r="AD19" s="29">
        <v>7783</v>
      </c>
      <c r="AE19" s="29">
        <v>7854</v>
      </c>
      <c r="AF19" s="29">
        <v>7833</v>
      </c>
      <c r="AG19" s="29">
        <v>7831</v>
      </c>
      <c r="AH19" s="29">
        <v>7930</v>
      </c>
      <c r="AI19" s="29">
        <v>8092</v>
      </c>
      <c r="AJ19" s="29">
        <v>8067</v>
      </c>
      <c r="AK19" s="29">
        <v>8259</v>
      </c>
      <c r="AL19" s="29">
        <v>8304</v>
      </c>
      <c r="AM19" s="29">
        <v>8120</v>
      </c>
      <c r="AN19" s="29">
        <v>7845</v>
      </c>
      <c r="AO19" s="29">
        <v>7958</v>
      </c>
      <c r="AP19" s="29">
        <v>7706</v>
      </c>
      <c r="AQ19" s="29">
        <v>7479</v>
      </c>
      <c r="AR19" s="29">
        <v>7855</v>
      </c>
      <c r="AS19" s="29">
        <v>7686</v>
      </c>
      <c r="AT19" s="29">
        <v>7966</v>
      </c>
      <c r="AU19" s="29">
        <v>7796</v>
      </c>
      <c r="AV19" s="29">
        <v>7687</v>
      </c>
      <c r="AW19" s="29">
        <v>7346</v>
      </c>
      <c r="AX19" s="29">
        <v>7286</v>
      </c>
      <c r="AY19" s="29">
        <v>7140</v>
      </c>
      <c r="AZ19" s="29">
        <v>7313</v>
      </c>
      <c r="BA19" s="29">
        <v>7396</v>
      </c>
      <c r="BB19" s="29">
        <v>7528</v>
      </c>
      <c r="BC19" s="29">
        <v>7413</v>
      </c>
      <c r="BD19" s="29">
        <v>7130</v>
      </c>
      <c r="BE19" s="29">
        <v>6908</v>
      </c>
      <c r="BF19" s="29">
        <v>6583</v>
      </c>
      <c r="BG19" s="29">
        <v>7132</v>
      </c>
      <c r="BH19" s="29">
        <v>7124</v>
      </c>
      <c r="BI19" s="29">
        <v>7074</v>
      </c>
      <c r="BJ19" s="29">
        <v>7006</v>
      </c>
      <c r="BK19" s="29">
        <v>6968</v>
      </c>
      <c r="BL19" s="30">
        <v>6807</v>
      </c>
      <c r="BM19" s="1">
        <v>6980</v>
      </c>
      <c r="BN19" s="1">
        <v>6731</v>
      </c>
      <c r="BO19" s="1">
        <v>6919</v>
      </c>
      <c r="BP19" s="1">
        <v>6966</v>
      </c>
      <c r="BQ19" s="1">
        <v>6663</v>
      </c>
      <c r="BR19" s="1">
        <v>6556</v>
      </c>
      <c r="BS19" s="1">
        <v>6601</v>
      </c>
      <c r="BT19" s="1">
        <v>6664</v>
      </c>
      <c r="BU19" s="1">
        <v>6775</v>
      </c>
      <c r="BV19" s="1">
        <v>6888</v>
      </c>
      <c r="BW19" s="1">
        <v>6863</v>
      </c>
      <c r="BX19" s="1">
        <v>7029</v>
      </c>
      <c r="BY19" s="1">
        <v>7059</v>
      </c>
      <c r="BZ19" s="1">
        <v>6858</v>
      </c>
    </row>
    <row r="20" spans="1:254" ht="15.9" customHeight="1">
      <c r="A20" s="65" t="s">
        <v>35</v>
      </c>
      <c r="B20" s="25" t="s">
        <v>36</v>
      </c>
      <c r="C20" s="39">
        <f>_xll.RssMarket("5541","高値")</f>
        <v>2618</v>
      </c>
      <c r="D20" s="38">
        <f t="shared" si="0"/>
        <v>0</v>
      </c>
      <c r="E20" s="29">
        <v>2618</v>
      </c>
      <c r="F20" s="29">
        <v>2579</v>
      </c>
      <c r="G20" s="29">
        <v>2510</v>
      </c>
      <c r="H20" s="29">
        <v>2498</v>
      </c>
      <c r="I20" s="29">
        <v>2498</v>
      </c>
      <c r="J20" s="29">
        <v>2413</v>
      </c>
      <c r="K20" s="29">
        <v>2405</v>
      </c>
      <c r="L20" s="29">
        <v>2390</v>
      </c>
      <c r="M20" s="29">
        <v>2416</v>
      </c>
      <c r="N20" s="29"/>
      <c r="O20" s="29">
        <v>2337</v>
      </c>
      <c r="P20" s="29">
        <v>2349</v>
      </c>
      <c r="Q20" s="29">
        <v>2310</v>
      </c>
      <c r="R20" s="29">
        <v>2293</v>
      </c>
      <c r="S20" s="29">
        <v>2320</v>
      </c>
      <c r="T20" s="29">
        <v>2285</v>
      </c>
      <c r="U20" s="29">
        <v>2293</v>
      </c>
      <c r="V20" s="29">
        <v>2270</v>
      </c>
      <c r="W20" s="29">
        <v>2238</v>
      </c>
      <c r="X20" s="29">
        <v>2267</v>
      </c>
      <c r="Y20" s="29">
        <v>2357</v>
      </c>
      <c r="Z20" s="29">
        <v>2376</v>
      </c>
      <c r="AA20" s="29">
        <v>2323</v>
      </c>
      <c r="AB20" s="29">
        <v>2328</v>
      </c>
      <c r="AC20" s="29">
        <v>2273</v>
      </c>
      <c r="AD20" s="29">
        <v>2200</v>
      </c>
      <c r="AE20" s="29">
        <v>2198</v>
      </c>
      <c r="AF20" s="29">
        <v>2199</v>
      </c>
      <c r="AG20" s="29">
        <v>2212</v>
      </c>
      <c r="AH20" s="29">
        <v>2259</v>
      </c>
      <c r="AI20" s="29">
        <v>2330</v>
      </c>
      <c r="AJ20" s="29">
        <v>2320</v>
      </c>
      <c r="AK20" s="29">
        <v>2286</v>
      </c>
      <c r="AL20" s="29">
        <v>2316</v>
      </c>
      <c r="AM20" s="29">
        <v>2316</v>
      </c>
      <c r="AN20" s="29">
        <v>2330</v>
      </c>
      <c r="AO20" s="29">
        <v>2339</v>
      </c>
      <c r="AP20" s="29">
        <v>2193</v>
      </c>
      <c r="AQ20" s="29">
        <v>2110</v>
      </c>
      <c r="AR20" s="29">
        <v>2159</v>
      </c>
      <c r="AS20" s="29">
        <v>2232</v>
      </c>
      <c r="AT20" s="29">
        <v>2304</v>
      </c>
      <c r="AU20" s="29">
        <v>2310</v>
      </c>
      <c r="AV20" s="29">
        <v>2348</v>
      </c>
      <c r="AW20" s="29">
        <v>2256</v>
      </c>
      <c r="AX20" s="29">
        <v>2362</v>
      </c>
      <c r="AY20" s="29">
        <v>2278</v>
      </c>
      <c r="AZ20" s="29">
        <v>2388</v>
      </c>
      <c r="BA20" s="29">
        <v>2247</v>
      </c>
      <c r="BB20" s="29">
        <v>2180</v>
      </c>
      <c r="BC20" s="29">
        <v>2181</v>
      </c>
      <c r="BD20" s="29">
        <v>2203</v>
      </c>
      <c r="BE20" s="29">
        <v>2254</v>
      </c>
      <c r="BF20" s="29">
        <v>2403</v>
      </c>
      <c r="BG20" s="29">
        <v>2475</v>
      </c>
      <c r="BH20" s="29">
        <v>2477</v>
      </c>
      <c r="BI20" s="29">
        <v>2548</v>
      </c>
      <c r="BJ20" s="29">
        <v>2678</v>
      </c>
      <c r="BK20" s="29">
        <v>2678</v>
      </c>
      <c r="BL20" s="30">
        <v>2653</v>
      </c>
      <c r="BM20" s="1">
        <v>2669</v>
      </c>
      <c r="BN20" s="1">
        <v>2632</v>
      </c>
      <c r="BO20" s="1">
        <v>2559</v>
      </c>
      <c r="BP20" s="1">
        <v>2680</v>
      </c>
      <c r="BQ20" s="1">
        <v>2444</v>
      </c>
      <c r="BR20" s="1">
        <v>2488</v>
      </c>
      <c r="BS20" s="1">
        <v>2535</v>
      </c>
      <c r="BT20" s="1">
        <v>2519</v>
      </c>
      <c r="BU20" s="1">
        <v>2574</v>
      </c>
      <c r="BV20" s="1">
        <v>2597</v>
      </c>
      <c r="BW20" s="1">
        <v>2650</v>
      </c>
      <c r="BX20" s="1">
        <v>2734</v>
      </c>
      <c r="BY20" s="1">
        <v>2738</v>
      </c>
      <c r="BZ20" s="1">
        <v>2695</v>
      </c>
    </row>
    <row r="21" spans="1:254" ht="15.9" customHeight="1">
      <c r="A21" s="65" t="s">
        <v>37</v>
      </c>
      <c r="B21" s="25" t="s">
        <v>38</v>
      </c>
      <c r="C21" s="39">
        <f>_xll.RssMarket("5332","高値")</f>
        <v>6679</v>
      </c>
      <c r="D21" s="38">
        <f t="shared" si="0"/>
        <v>0</v>
      </c>
      <c r="E21" s="29">
        <v>6679</v>
      </c>
      <c r="F21" s="29">
        <v>6662</v>
      </c>
      <c r="G21" s="29">
        <v>6315</v>
      </c>
      <c r="H21" s="29">
        <v>6439</v>
      </c>
      <c r="I21" s="29">
        <v>7210</v>
      </c>
      <c r="J21" s="29">
        <v>6871</v>
      </c>
      <c r="K21" s="29">
        <v>6954</v>
      </c>
      <c r="L21" s="29">
        <v>7268</v>
      </c>
      <c r="M21" s="29">
        <v>7520</v>
      </c>
      <c r="N21" s="29"/>
      <c r="O21" s="29">
        <v>7782</v>
      </c>
      <c r="P21" s="29">
        <v>7809</v>
      </c>
      <c r="Q21" s="29">
        <v>7597</v>
      </c>
      <c r="R21" s="29">
        <v>7715</v>
      </c>
      <c r="S21" s="29">
        <v>8088</v>
      </c>
      <c r="T21" s="29">
        <v>8032</v>
      </c>
      <c r="U21" s="29">
        <v>8139</v>
      </c>
      <c r="V21" s="29">
        <v>8213</v>
      </c>
      <c r="W21" s="29">
        <v>8192</v>
      </c>
      <c r="X21" s="29">
        <v>8293</v>
      </c>
      <c r="Y21" s="29">
        <v>8670</v>
      </c>
      <c r="Z21" s="29">
        <v>8740</v>
      </c>
      <c r="AA21" s="29">
        <v>8586</v>
      </c>
      <c r="AB21" s="29">
        <v>8606</v>
      </c>
      <c r="AC21" s="29">
        <v>8779</v>
      </c>
      <c r="AD21" s="29">
        <v>8739</v>
      </c>
      <c r="AE21" s="29">
        <v>8537</v>
      </c>
      <c r="AF21" s="29">
        <v>8812</v>
      </c>
      <c r="AG21" s="29">
        <v>8997</v>
      </c>
      <c r="AH21" s="29">
        <v>8827</v>
      </c>
      <c r="AI21" s="29">
        <v>9500</v>
      </c>
      <c r="AJ21" s="29">
        <v>9360</v>
      </c>
      <c r="AK21" s="29">
        <v>8620</v>
      </c>
      <c r="AL21" s="29">
        <v>8326</v>
      </c>
      <c r="AM21" s="29">
        <v>8297</v>
      </c>
      <c r="AN21" s="29">
        <v>8362</v>
      </c>
      <c r="AO21" s="29">
        <v>8241</v>
      </c>
      <c r="AP21" s="29">
        <v>7799</v>
      </c>
      <c r="AQ21" s="29">
        <v>7511</v>
      </c>
      <c r="AR21" s="29">
        <v>7609</v>
      </c>
      <c r="AS21" s="29">
        <v>7709</v>
      </c>
      <c r="AT21" s="29">
        <v>8185</v>
      </c>
      <c r="AU21" s="29">
        <v>8332</v>
      </c>
      <c r="AV21" s="29">
        <v>8049</v>
      </c>
      <c r="AW21" s="29">
        <v>7442</v>
      </c>
      <c r="AX21" s="29">
        <v>7799</v>
      </c>
      <c r="AY21" s="29">
        <v>7410</v>
      </c>
      <c r="AZ21" s="29">
        <v>7486</v>
      </c>
      <c r="BA21" s="29">
        <v>7086</v>
      </c>
      <c r="BB21" s="29">
        <v>6873</v>
      </c>
      <c r="BC21" s="29">
        <v>6698</v>
      </c>
      <c r="BD21" s="29">
        <v>6625</v>
      </c>
      <c r="BE21" s="29">
        <v>6928</v>
      </c>
      <c r="BF21" s="29">
        <v>7171</v>
      </c>
      <c r="BG21" s="29">
        <v>7380</v>
      </c>
      <c r="BH21" s="29">
        <v>7289</v>
      </c>
      <c r="BI21" s="29">
        <v>6970</v>
      </c>
      <c r="BJ21" s="29">
        <v>7270</v>
      </c>
      <c r="BK21" s="29">
        <v>7290</v>
      </c>
      <c r="BL21" s="30">
        <v>7104</v>
      </c>
      <c r="BM21" s="1">
        <v>7011</v>
      </c>
      <c r="BN21" s="1">
        <v>6425</v>
      </c>
      <c r="BO21" s="1">
        <v>5497</v>
      </c>
      <c r="BP21" s="1">
        <v>5440</v>
      </c>
      <c r="BQ21" s="1">
        <v>5459</v>
      </c>
      <c r="BR21" s="1">
        <v>5375</v>
      </c>
      <c r="BS21" s="1">
        <v>5260</v>
      </c>
      <c r="BT21" s="1">
        <v>5360</v>
      </c>
      <c r="BU21" s="1">
        <v>5524</v>
      </c>
      <c r="BV21" s="1">
        <v>5630</v>
      </c>
      <c r="BW21" s="1">
        <v>5596</v>
      </c>
      <c r="BX21" s="1">
        <v>5765</v>
      </c>
      <c r="BY21" s="1">
        <v>5611</v>
      </c>
      <c r="BZ21" s="1">
        <v>5565</v>
      </c>
    </row>
    <row r="22" spans="1:254" ht="15.9" customHeight="1">
      <c r="A22" s="65" t="s">
        <v>39</v>
      </c>
      <c r="B22" s="25" t="s">
        <v>40</v>
      </c>
      <c r="C22" s="39">
        <f>_xll.RssMarket("8725","高値")</f>
        <v>4849</v>
      </c>
      <c r="D22" s="38">
        <f t="shared" si="0"/>
        <v>0</v>
      </c>
      <c r="E22" s="29">
        <v>4849</v>
      </c>
      <c r="F22" s="29">
        <v>4822</v>
      </c>
      <c r="G22" s="29">
        <v>4830</v>
      </c>
      <c r="H22" s="29">
        <v>4863</v>
      </c>
      <c r="I22" s="29">
        <v>4997</v>
      </c>
      <c r="J22" s="29">
        <v>5009</v>
      </c>
      <c r="K22" s="29">
        <v>5067</v>
      </c>
      <c r="L22" s="29">
        <v>5073</v>
      </c>
      <c r="M22" s="29">
        <v>5029</v>
      </c>
      <c r="N22" s="29">
        <v>4898</v>
      </c>
      <c r="O22" s="29">
        <v>4875</v>
      </c>
      <c r="P22" s="29">
        <v>4839</v>
      </c>
      <c r="Q22" s="29">
        <v>4740</v>
      </c>
      <c r="R22" s="29">
        <v>4580</v>
      </c>
      <c r="S22" s="29">
        <v>4594</v>
      </c>
      <c r="T22" s="29">
        <v>4513</v>
      </c>
      <c r="U22" s="29">
        <v>4442</v>
      </c>
      <c r="V22" s="29">
        <v>4505</v>
      </c>
      <c r="W22" s="29">
        <v>4505</v>
      </c>
      <c r="X22" s="29">
        <v>4549</v>
      </c>
      <c r="Y22" s="29">
        <v>4594</v>
      </c>
      <c r="Z22" s="29">
        <v>4554</v>
      </c>
      <c r="AA22" s="29">
        <v>4461</v>
      </c>
      <c r="AB22" s="29">
        <v>4416</v>
      </c>
      <c r="AC22" s="29">
        <v>4285</v>
      </c>
      <c r="AD22" s="29">
        <v>4287</v>
      </c>
      <c r="AE22" s="29">
        <v>4301</v>
      </c>
      <c r="AF22" s="29">
        <v>4292</v>
      </c>
      <c r="AG22" s="29">
        <v>4316</v>
      </c>
      <c r="AH22" s="29">
        <v>4614</v>
      </c>
      <c r="AI22" s="29">
        <v>4661</v>
      </c>
      <c r="AJ22" s="29">
        <v>4662</v>
      </c>
      <c r="AK22" s="29">
        <v>4594</v>
      </c>
      <c r="AL22" s="29">
        <v>4620</v>
      </c>
      <c r="AM22" s="29">
        <v>4689</v>
      </c>
      <c r="AN22" s="29">
        <v>4626</v>
      </c>
      <c r="AO22" s="29">
        <v>4742</v>
      </c>
      <c r="AP22" s="29">
        <v>4676</v>
      </c>
      <c r="AQ22" s="29">
        <v>4590</v>
      </c>
      <c r="AR22" s="29">
        <v>4706</v>
      </c>
      <c r="AS22" s="29">
        <v>4402</v>
      </c>
      <c r="AT22" s="29">
        <v>4394</v>
      </c>
      <c r="AU22" s="29">
        <v>4284</v>
      </c>
      <c r="AV22" s="29">
        <v>4365</v>
      </c>
      <c r="AW22" s="29">
        <v>4298</v>
      </c>
      <c r="AX22" s="29">
        <v>4333</v>
      </c>
      <c r="AY22" s="29">
        <v>4288</v>
      </c>
      <c r="AZ22" s="29">
        <v>4295</v>
      </c>
      <c r="BA22" s="29">
        <v>4245</v>
      </c>
      <c r="BB22" s="29">
        <v>4341</v>
      </c>
      <c r="BC22" s="29">
        <v>4475</v>
      </c>
      <c r="BD22" s="29">
        <v>4522</v>
      </c>
      <c r="BE22" s="29">
        <v>4536</v>
      </c>
      <c r="BF22" s="29">
        <v>4491</v>
      </c>
      <c r="BG22" s="29">
        <v>4437</v>
      </c>
      <c r="BH22" s="29">
        <v>4427</v>
      </c>
      <c r="BI22" s="29">
        <v>4415</v>
      </c>
      <c r="BJ22" s="29">
        <v>4285</v>
      </c>
      <c r="BK22" s="29">
        <v>4032</v>
      </c>
      <c r="BL22" s="30">
        <v>4013</v>
      </c>
      <c r="BM22" s="1">
        <v>4044</v>
      </c>
      <c r="BN22" s="1">
        <v>4004</v>
      </c>
      <c r="BO22" s="1">
        <v>4034</v>
      </c>
      <c r="BP22" s="1">
        <v>4028</v>
      </c>
      <c r="BQ22" s="1">
        <v>3939</v>
      </c>
      <c r="BR22" s="1">
        <v>4001</v>
      </c>
      <c r="BS22" s="1">
        <v>3979</v>
      </c>
      <c r="BT22" s="1">
        <v>4036</v>
      </c>
      <c r="BU22" s="1">
        <v>4057</v>
      </c>
      <c r="BV22" s="1">
        <v>4102</v>
      </c>
      <c r="BW22" s="1">
        <v>4134</v>
      </c>
      <c r="BX22" s="1">
        <v>4134</v>
      </c>
      <c r="BY22" s="1">
        <v>4090</v>
      </c>
      <c r="BZ22" s="1">
        <v>4112</v>
      </c>
    </row>
    <row r="23" spans="1:254" ht="15.9" customHeight="1">
      <c r="A23" s="65" t="s">
        <v>41</v>
      </c>
      <c r="B23" s="25" t="s">
        <v>42</v>
      </c>
      <c r="C23" s="39">
        <f>_xll.RssMarket("8795","高値")</f>
        <v>5065</v>
      </c>
      <c r="D23" s="38">
        <f t="shared" si="0"/>
        <v>0</v>
      </c>
      <c r="E23" s="29">
        <v>5065</v>
      </c>
      <c r="F23" s="29">
        <v>5040</v>
      </c>
      <c r="G23" s="29">
        <v>5032</v>
      </c>
      <c r="H23" s="29">
        <v>5047</v>
      </c>
      <c r="I23" s="29">
        <v>5172</v>
      </c>
      <c r="J23" s="29">
        <v>5060</v>
      </c>
      <c r="K23" s="29">
        <v>5080</v>
      </c>
      <c r="L23" s="29">
        <v>5125</v>
      </c>
      <c r="M23" s="29">
        <v>5176</v>
      </c>
      <c r="N23" s="29"/>
      <c r="O23" s="29">
        <v>5095</v>
      </c>
      <c r="P23" s="29">
        <v>5084</v>
      </c>
      <c r="Q23" s="29">
        <v>4996</v>
      </c>
      <c r="R23" s="29">
        <v>4950</v>
      </c>
      <c r="S23" s="29">
        <v>5065</v>
      </c>
      <c r="T23" s="29">
        <v>4976</v>
      </c>
      <c r="U23" s="29">
        <v>4961</v>
      </c>
      <c r="V23" s="29">
        <v>5018</v>
      </c>
      <c r="W23" s="29">
        <v>4960</v>
      </c>
      <c r="X23" s="29">
        <v>4988</v>
      </c>
      <c r="Y23" s="29">
        <v>5098</v>
      </c>
      <c r="Z23" s="29">
        <v>5053</v>
      </c>
      <c r="AA23" s="29">
        <v>4979</v>
      </c>
      <c r="AB23" s="29">
        <v>4909</v>
      </c>
      <c r="AC23" s="29">
        <v>4926</v>
      </c>
      <c r="AD23" s="29">
        <v>4850</v>
      </c>
      <c r="AE23" s="29">
        <v>4748</v>
      </c>
      <c r="AF23" s="29">
        <v>4740</v>
      </c>
      <c r="AG23" s="29">
        <v>4741</v>
      </c>
      <c r="AH23" s="29">
        <v>4900</v>
      </c>
      <c r="AI23" s="29">
        <v>5053</v>
      </c>
      <c r="AJ23" s="29">
        <v>4984</v>
      </c>
      <c r="AK23" s="29">
        <v>4975</v>
      </c>
      <c r="AL23" s="29">
        <v>4930</v>
      </c>
      <c r="AM23" s="29">
        <v>5017</v>
      </c>
      <c r="AN23" s="29">
        <v>4914</v>
      </c>
      <c r="AO23" s="29">
        <v>4900</v>
      </c>
      <c r="AP23" s="29">
        <v>4755</v>
      </c>
      <c r="AQ23" s="29">
        <v>4786</v>
      </c>
      <c r="AR23" s="29">
        <v>4981</v>
      </c>
      <c r="AS23" s="29">
        <v>4482</v>
      </c>
      <c r="AT23" s="29">
        <v>4475</v>
      </c>
      <c r="AU23" s="29">
        <v>4231</v>
      </c>
      <c r="AV23" s="29">
        <v>4258</v>
      </c>
      <c r="AW23" s="29">
        <v>4253</v>
      </c>
      <c r="AX23" s="29">
        <v>4224</v>
      </c>
      <c r="AY23" s="29">
        <v>4135</v>
      </c>
      <c r="AZ23" s="29">
        <v>4159</v>
      </c>
      <c r="BA23" s="29">
        <v>4148</v>
      </c>
      <c r="BB23" s="29">
        <v>4154</v>
      </c>
      <c r="BC23" s="29">
        <v>4168</v>
      </c>
      <c r="BD23" s="29">
        <v>4230</v>
      </c>
      <c r="BE23" s="29">
        <v>4204</v>
      </c>
      <c r="BF23" s="29">
        <v>4046</v>
      </c>
      <c r="BG23" s="29">
        <v>4058</v>
      </c>
      <c r="BH23" s="29">
        <v>4002</v>
      </c>
      <c r="BI23" s="29">
        <v>4040</v>
      </c>
      <c r="BJ23" s="29">
        <v>4035</v>
      </c>
      <c r="BK23" s="29">
        <v>3986</v>
      </c>
      <c r="BL23" s="30">
        <v>3939</v>
      </c>
      <c r="BM23" s="1">
        <v>3945</v>
      </c>
      <c r="BN23" s="1">
        <v>3789</v>
      </c>
      <c r="BO23" s="1">
        <v>3792</v>
      </c>
      <c r="BP23" s="1">
        <v>3794</v>
      </c>
      <c r="BQ23" s="1">
        <v>3676</v>
      </c>
      <c r="BR23" s="1">
        <v>3741</v>
      </c>
      <c r="BS23" s="1">
        <v>3728</v>
      </c>
      <c r="BT23" s="1">
        <v>3809</v>
      </c>
      <c r="BU23" s="1">
        <v>3925</v>
      </c>
      <c r="BV23" s="1">
        <v>4040</v>
      </c>
      <c r="BW23" s="1">
        <v>4082</v>
      </c>
      <c r="BX23" s="1">
        <v>4083</v>
      </c>
      <c r="BY23" s="1">
        <v>4135</v>
      </c>
      <c r="BZ23" s="1">
        <v>4095</v>
      </c>
    </row>
    <row r="24" spans="1:254" ht="15.9" customHeight="1">
      <c r="A24" s="65" t="s">
        <v>43</v>
      </c>
      <c r="B24" s="25" t="s">
        <v>44</v>
      </c>
      <c r="C24" s="39">
        <f>_xll.RssMarket("5019","高値")</f>
        <v>1265</v>
      </c>
      <c r="D24" s="38">
        <f t="shared" si="0"/>
        <v>0</v>
      </c>
      <c r="E24" s="29">
        <v>1265</v>
      </c>
      <c r="F24" s="29">
        <v>1255</v>
      </c>
      <c r="G24" s="29">
        <v>1271</v>
      </c>
      <c r="H24" s="29">
        <v>1305</v>
      </c>
      <c r="I24" s="29">
        <v>1316.5</v>
      </c>
      <c r="J24" s="29">
        <v>1327</v>
      </c>
      <c r="K24" s="29">
        <v>1328.5</v>
      </c>
      <c r="L24" s="29">
        <v>1323</v>
      </c>
      <c r="M24" s="29">
        <v>1335.5</v>
      </c>
      <c r="N24" s="29">
        <v>1352</v>
      </c>
      <c r="O24" s="29">
        <v>1327.5</v>
      </c>
      <c r="P24" s="29">
        <v>1319.5</v>
      </c>
      <c r="Q24" s="29">
        <v>1303</v>
      </c>
      <c r="R24" s="29">
        <v>1264.5</v>
      </c>
      <c r="S24" s="29">
        <v>1290</v>
      </c>
      <c r="T24" s="29">
        <v>1273.5</v>
      </c>
      <c r="U24" s="29">
        <v>1257.5</v>
      </c>
      <c r="V24" s="29">
        <v>1255</v>
      </c>
      <c r="W24" s="29">
        <v>1255.5</v>
      </c>
      <c r="X24" s="29">
        <v>1255.5</v>
      </c>
      <c r="Y24" s="29">
        <v>1252.5</v>
      </c>
      <c r="Z24" s="29">
        <v>1246.5</v>
      </c>
      <c r="AA24" s="29">
        <v>1222</v>
      </c>
      <c r="AB24" s="29">
        <v>1209</v>
      </c>
      <c r="AC24" s="29">
        <v>1202.5</v>
      </c>
      <c r="AD24" s="29">
        <v>1226</v>
      </c>
      <c r="AE24" s="29">
        <v>1227</v>
      </c>
      <c r="AF24" s="29">
        <v>1229.5</v>
      </c>
      <c r="AG24" s="29">
        <v>1281</v>
      </c>
      <c r="AH24" s="29">
        <v>1252</v>
      </c>
      <c r="AI24" s="29">
        <v>1271.5</v>
      </c>
      <c r="AJ24" s="29">
        <v>1264.5</v>
      </c>
      <c r="AK24" s="29">
        <v>1259.5</v>
      </c>
      <c r="AL24" s="29">
        <v>1295</v>
      </c>
      <c r="AM24" s="29">
        <v>1293</v>
      </c>
      <c r="AN24" s="29">
        <v>1320</v>
      </c>
      <c r="AO24" s="29">
        <v>1362.5</v>
      </c>
      <c r="AP24" s="29">
        <v>1365</v>
      </c>
      <c r="AQ24" s="29">
        <v>1369.5</v>
      </c>
      <c r="AR24" s="29">
        <v>1342.5</v>
      </c>
      <c r="AS24" s="29">
        <v>1377.5</v>
      </c>
      <c r="AT24" s="29">
        <v>1413</v>
      </c>
      <c r="AU24" s="29">
        <v>1409</v>
      </c>
      <c r="AV24" s="29">
        <v>1415</v>
      </c>
      <c r="AW24" s="29">
        <v>1368</v>
      </c>
      <c r="AX24" s="29">
        <v>1398.5</v>
      </c>
      <c r="AY24" s="29">
        <v>1322</v>
      </c>
      <c r="AZ24" s="29">
        <v>1329.5</v>
      </c>
      <c r="BA24" s="29">
        <v>1341.5</v>
      </c>
      <c r="BB24" s="29">
        <v>1338.5</v>
      </c>
      <c r="BC24" s="29">
        <v>1371.5</v>
      </c>
      <c r="BD24" s="29">
        <v>1393.5</v>
      </c>
      <c r="BE24" s="29">
        <v>1394.5</v>
      </c>
      <c r="BF24" s="29">
        <v>1446</v>
      </c>
      <c r="BG24" s="29">
        <v>1447.5</v>
      </c>
      <c r="BH24" s="29">
        <v>1425.5</v>
      </c>
      <c r="BI24" s="29">
        <v>1406</v>
      </c>
      <c r="BJ24" s="29">
        <v>1409.5</v>
      </c>
      <c r="BK24" s="29">
        <v>1365.5</v>
      </c>
      <c r="BL24" s="30">
        <v>1374.5</v>
      </c>
      <c r="BM24" s="1">
        <v>1385</v>
      </c>
      <c r="BN24" s="1">
        <v>1370</v>
      </c>
      <c r="BO24" s="1">
        <v>1380</v>
      </c>
      <c r="BP24" s="1">
        <v>1350.5</v>
      </c>
      <c r="BQ24" s="1">
        <v>1334.5</v>
      </c>
      <c r="BR24" s="1">
        <v>1360</v>
      </c>
      <c r="BS24" s="1">
        <v>1352.5</v>
      </c>
      <c r="BT24" s="1">
        <v>1421.5</v>
      </c>
      <c r="BU24" s="1">
        <v>1450</v>
      </c>
      <c r="BV24" s="1">
        <v>1492.5</v>
      </c>
      <c r="BW24" s="1">
        <v>1516.5</v>
      </c>
      <c r="BX24" s="1">
        <v>1524.5</v>
      </c>
      <c r="BY24" s="1">
        <v>1539</v>
      </c>
      <c r="BZ24" s="1">
        <v>1545.5</v>
      </c>
    </row>
    <row r="25" spans="1:254" ht="15.9" customHeight="1">
      <c r="A25" s="65" t="s">
        <v>45</v>
      </c>
      <c r="B25" s="25" t="s">
        <v>46</v>
      </c>
      <c r="C25" s="39">
        <f>_xll.RssMarket("8053","高値")</f>
        <v>1768</v>
      </c>
      <c r="D25" s="38">
        <f t="shared" si="0"/>
        <v>0</v>
      </c>
      <c r="E25" s="29">
        <v>1768</v>
      </c>
      <c r="F25" s="29">
        <v>1720.5</v>
      </c>
      <c r="G25" s="29">
        <v>1683</v>
      </c>
      <c r="H25" s="29">
        <v>1669</v>
      </c>
      <c r="I25" s="29">
        <v>1697.5</v>
      </c>
      <c r="J25" s="29">
        <v>1607</v>
      </c>
      <c r="K25" s="29">
        <v>1611</v>
      </c>
      <c r="L25" s="29">
        <v>1607</v>
      </c>
      <c r="M25" s="29">
        <v>1626.5</v>
      </c>
      <c r="N25" s="29">
        <v>1623</v>
      </c>
      <c r="O25" s="29">
        <v>1634.5</v>
      </c>
      <c r="P25" s="29">
        <v>1623</v>
      </c>
      <c r="Q25" s="29">
        <v>1575.5</v>
      </c>
      <c r="R25" s="29">
        <v>1573.5</v>
      </c>
      <c r="S25" s="29">
        <v>1596.5</v>
      </c>
      <c r="T25" s="29">
        <v>1576.5</v>
      </c>
      <c r="U25" s="29">
        <v>1583</v>
      </c>
      <c r="V25" s="29">
        <v>1569</v>
      </c>
      <c r="W25" s="29">
        <v>1572</v>
      </c>
      <c r="X25" s="29">
        <v>1610.5</v>
      </c>
      <c r="Y25" s="29">
        <v>1650.5</v>
      </c>
      <c r="Z25" s="29">
        <v>1614</v>
      </c>
      <c r="AA25" s="29">
        <v>1619.5</v>
      </c>
      <c r="AB25" s="29">
        <v>1626.5</v>
      </c>
      <c r="AC25" s="29">
        <v>1578</v>
      </c>
      <c r="AD25" s="29">
        <v>1578</v>
      </c>
      <c r="AE25" s="29">
        <v>1577.5</v>
      </c>
      <c r="AF25" s="29">
        <v>1555.5</v>
      </c>
      <c r="AG25" s="29">
        <v>1592.5</v>
      </c>
      <c r="AH25" s="29">
        <v>1594.5</v>
      </c>
      <c r="AI25" s="29">
        <v>1634.25</v>
      </c>
      <c r="AJ25" s="29">
        <v>1623</v>
      </c>
      <c r="AK25" s="29">
        <v>1642</v>
      </c>
      <c r="AL25" s="29">
        <v>1654</v>
      </c>
      <c r="AM25" s="29">
        <v>1661.25</v>
      </c>
      <c r="AN25" s="29">
        <v>1641.25</v>
      </c>
      <c r="AO25" s="29">
        <v>1660</v>
      </c>
      <c r="AP25" s="29">
        <v>1581.25</v>
      </c>
      <c r="AQ25" s="29">
        <v>1566</v>
      </c>
      <c r="AR25" s="29">
        <v>1641.5</v>
      </c>
      <c r="AS25" s="29">
        <v>1695</v>
      </c>
      <c r="AT25" s="29">
        <v>1721.5</v>
      </c>
      <c r="AU25" s="29">
        <v>1711.75</v>
      </c>
      <c r="AV25" s="29">
        <v>1740.5</v>
      </c>
      <c r="AW25" s="29">
        <v>1724.5</v>
      </c>
      <c r="AX25" s="29">
        <v>1812.75</v>
      </c>
      <c r="AY25" s="29">
        <v>1785.5</v>
      </c>
      <c r="AZ25" s="29">
        <v>1837.5</v>
      </c>
      <c r="BA25" s="29">
        <v>1840.25</v>
      </c>
      <c r="BB25" s="29">
        <v>1792</v>
      </c>
      <c r="BC25" s="29">
        <v>1796.75</v>
      </c>
      <c r="BD25" s="29">
        <v>1813.75</v>
      </c>
      <c r="BE25" s="29">
        <v>1837.25</v>
      </c>
      <c r="BF25" s="29">
        <v>1888.5</v>
      </c>
      <c r="BG25" s="29">
        <v>1931.5</v>
      </c>
      <c r="BH25" s="29">
        <v>1917.75</v>
      </c>
      <c r="BI25" s="29">
        <v>1943.75</v>
      </c>
      <c r="BJ25" s="29">
        <v>1877.25</v>
      </c>
      <c r="BK25" s="29">
        <v>1836.75</v>
      </c>
      <c r="BL25" s="30">
        <v>1861.75</v>
      </c>
      <c r="BM25" s="1">
        <v>1889</v>
      </c>
      <c r="BN25" s="1">
        <v>1710</v>
      </c>
      <c r="BO25" s="1">
        <v>1460</v>
      </c>
      <c r="BP25" s="1">
        <v>1455.5</v>
      </c>
      <c r="BQ25" s="1">
        <v>1434.75</v>
      </c>
      <c r="BR25" s="1">
        <v>1471.75</v>
      </c>
      <c r="BS25" s="1">
        <v>1459</v>
      </c>
      <c r="BT25" s="1">
        <v>1482.25</v>
      </c>
      <c r="BU25" s="1">
        <v>1508</v>
      </c>
      <c r="BV25" s="1">
        <v>1520.75</v>
      </c>
      <c r="BW25" s="1">
        <v>1522</v>
      </c>
      <c r="BX25" s="1">
        <v>1537.25</v>
      </c>
      <c r="BY25" s="1">
        <v>1532.5</v>
      </c>
      <c r="BZ25" s="1">
        <v>1540.5</v>
      </c>
    </row>
    <row r="26" spans="1:254" ht="15.9" customHeight="1">
      <c r="A26" s="65" t="s">
        <v>47</v>
      </c>
      <c r="B26" s="25" t="s">
        <v>48</v>
      </c>
      <c r="C26" s="39">
        <f>_xll.RssMarket("8591","高値")</f>
        <v>6534</v>
      </c>
      <c r="D26" s="38">
        <f t="shared" si="0"/>
        <v>0</v>
      </c>
      <c r="E26" s="29">
        <v>6534</v>
      </c>
      <c r="F26" s="29">
        <v>6547</v>
      </c>
      <c r="G26" s="29">
        <v>6366</v>
      </c>
      <c r="H26" s="29">
        <v>6389</v>
      </c>
      <c r="I26" s="29">
        <v>6503</v>
      </c>
      <c r="J26" s="29">
        <v>6382</v>
      </c>
      <c r="K26" s="29">
        <v>6496</v>
      </c>
      <c r="L26" s="29">
        <v>6680</v>
      </c>
      <c r="M26" s="29">
        <v>6673</v>
      </c>
      <c r="N26" s="29">
        <v>6591</v>
      </c>
      <c r="O26" s="29">
        <v>6653</v>
      </c>
      <c r="P26" s="29">
        <v>6639</v>
      </c>
      <c r="Q26" s="29">
        <v>6502</v>
      </c>
      <c r="R26" s="29">
        <v>6463</v>
      </c>
      <c r="S26" s="29">
        <v>6593</v>
      </c>
      <c r="T26" s="29">
        <v>6472</v>
      </c>
      <c r="U26" s="29">
        <v>6580</v>
      </c>
      <c r="V26" s="29">
        <v>6508</v>
      </c>
      <c r="W26" s="29">
        <v>6452</v>
      </c>
      <c r="X26" s="29">
        <v>6444</v>
      </c>
      <c r="Y26" s="29">
        <v>6526</v>
      </c>
      <c r="Z26" s="29">
        <v>6405</v>
      </c>
      <c r="AA26" s="29">
        <v>6345</v>
      </c>
      <c r="AB26" s="29">
        <v>6321</v>
      </c>
      <c r="AC26" s="29">
        <v>6278</v>
      </c>
      <c r="AD26" s="29">
        <v>6224</v>
      </c>
      <c r="AE26" s="29">
        <v>6210</v>
      </c>
      <c r="AF26" s="29">
        <v>6246</v>
      </c>
      <c r="AG26" s="29">
        <v>6310</v>
      </c>
      <c r="AH26" s="29">
        <v>6344</v>
      </c>
      <c r="AI26" s="29">
        <v>6545</v>
      </c>
      <c r="AJ26" s="29">
        <v>6502</v>
      </c>
      <c r="AK26" s="29">
        <v>6448</v>
      </c>
      <c r="AL26" s="29">
        <v>6566</v>
      </c>
      <c r="AM26" s="29">
        <v>6417</v>
      </c>
      <c r="AN26" s="29">
        <v>6305</v>
      </c>
      <c r="AO26" s="29">
        <v>6239</v>
      </c>
      <c r="AP26" s="29">
        <v>6150</v>
      </c>
      <c r="AQ26" s="29">
        <v>6080</v>
      </c>
      <c r="AR26" s="29">
        <v>6335</v>
      </c>
      <c r="AS26" s="29">
        <v>6180</v>
      </c>
      <c r="AT26" s="29">
        <v>6305</v>
      </c>
      <c r="AU26" s="29">
        <v>6367</v>
      </c>
      <c r="AV26" s="29">
        <v>6368</v>
      </c>
      <c r="AW26" s="29">
        <v>6220</v>
      </c>
      <c r="AX26" s="29">
        <v>6309</v>
      </c>
      <c r="AY26" s="29">
        <v>6153</v>
      </c>
      <c r="AZ26" s="29">
        <v>6378</v>
      </c>
      <c r="BA26" s="29">
        <v>6308</v>
      </c>
      <c r="BB26" s="29">
        <v>6282</v>
      </c>
      <c r="BC26" s="29">
        <v>6348</v>
      </c>
      <c r="BD26" s="29">
        <v>6109</v>
      </c>
      <c r="BE26" s="29">
        <v>5950</v>
      </c>
      <c r="BF26" s="29">
        <v>5939</v>
      </c>
      <c r="BG26" s="29">
        <v>5817</v>
      </c>
      <c r="BH26" s="29">
        <v>5970</v>
      </c>
      <c r="BI26" s="29">
        <v>6060</v>
      </c>
      <c r="BJ26" s="29">
        <v>6049</v>
      </c>
      <c r="BK26" s="29">
        <v>5520</v>
      </c>
      <c r="BL26" s="30">
        <v>5330</v>
      </c>
      <c r="BM26" s="1">
        <v>5314</v>
      </c>
      <c r="BN26" s="1">
        <v>5231</v>
      </c>
      <c r="BO26" s="1">
        <v>5275</v>
      </c>
      <c r="BP26" s="1">
        <v>5462</v>
      </c>
      <c r="BQ26" s="1">
        <v>4883</v>
      </c>
      <c r="BR26" s="1">
        <v>4885</v>
      </c>
      <c r="BS26" s="1">
        <v>4894</v>
      </c>
      <c r="BT26" s="1">
        <v>4980</v>
      </c>
      <c r="BU26" s="1">
        <v>5051</v>
      </c>
      <c r="BV26" s="1">
        <v>5084</v>
      </c>
      <c r="BW26" s="1">
        <v>5047</v>
      </c>
      <c r="BX26" s="1">
        <v>5093</v>
      </c>
      <c r="BY26" s="1">
        <v>5092</v>
      </c>
      <c r="BZ26" s="1">
        <v>5014</v>
      </c>
    </row>
    <row r="27" spans="1:254" ht="15.9" customHeight="1">
      <c r="A27" s="65" t="s">
        <v>49</v>
      </c>
      <c r="B27" s="25" t="s">
        <v>50</v>
      </c>
      <c r="C27" s="39">
        <f>_xll.RssMarket("3401","高値")</f>
        <v>1685.5</v>
      </c>
      <c r="D27" s="38">
        <f t="shared" si="0"/>
        <v>0</v>
      </c>
      <c r="E27" s="29">
        <v>1685.5</v>
      </c>
      <c r="F27" s="29">
        <v>1659</v>
      </c>
      <c r="G27" s="29">
        <v>1680.5</v>
      </c>
      <c r="H27" s="29">
        <v>1618</v>
      </c>
      <c r="I27" s="29">
        <v>1662</v>
      </c>
      <c r="J27" s="29">
        <v>1682</v>
      </c>
      <c r="K27" s="29">
        <v>1705</v>
      </c>
      <c r="L27" s="29">
        <v>1735</v>
      </c>
      <c r="M27" s="29">
        <v>1739.5</v>
      </c>
      <c r="N27" s="29">
        <v>1707.5</v>
      </c>
      <c r="O27" s="29">
        <v>1723</v>
      </c>
      <c r="P27" s="29">
        <v>1723</v>
      </c>
      <c r="Q27" s="29">
        <v>1724</v>
      </c>
      <c r="R27" s="29">
        <v>1768</v>
      </c>
      <c r="S27" s="29">
        <v>1722</v>
      </c>
      <c r="T27" s="29">
        <v>1699.5</v>
      </c>
      <c r="U27" s="29">
        <v>1680</v>
      </c>
      <c r="V27" s="29">
        <v>1687.5</v>
      </c>
      <c r="W27" s="29">
        <v>1732.5</v>
      </c>
      <c r="X27" s="29">
        <v>1744.5</v>
      </c>
      <c r="Y27" s="29">
        <v>1750</v>
      </c>
      <c r="Z27" s="29">
        <v>1772</v>
      </c>
      <c r="AA27" s="29">
        <v>1734</v>
      </c>
      <c r="AB27" s="29">
        <v>1659.5</v>
      </c>
      <c r="AC27" s="29">
        <v>1636.5</v>
      </c>
      <c r="AD27" s="29">
        <v>1648.5</v>
      </c>
      <c r="AE27" s="29">
        <v>1652.5</v>
      </c>
      <c r="AF27" s="29">
        <v>1662</v>
      </c>
      <c r="AG27" s="29">
        <v>1633</v>
      </c>
      <c r="AH27" s="29">
        <v>1599</v>
      </c>
      <c r="AI27" s="29">
        <v>1620.5</v>
      </c>
      <c r="AJ27" s="29">
        <v>1618</v>
      </c>
      <c r="AK27" s="29">
        <v>1644.5</v>
      </c>
      <c r="AL27" s="29">
        <v>1660</v>
      </c>
      <c r="AM27" s="29">
        <v>1675</v>
      </c>
      <c r="AN27" s="29">
        <v>1645.5</v>
      </c>
      <c r="AO27" s="29">
        <v>1683.5</v>
      </c>
      <c r="AP27" s="29">
        <v>1656.5</v>
      </c>
      <c r="AQ27" s="29">
        <v>1614.5</v>
      </c>
      <c r="AR27" s="29">
        <v>1634</v>
      </c>
      <c r="AS27" s="29">
        <v>1618</v>
      </c>
      <c r="AT27" s="29">
        <v>1636.5</v>
      </c>
      <c r="AU27" s="29">
        <v>1640.5</v>
      </c>
      <c r="AV27" s="29">
        <v>1649</v>
      </c>
      <c r="AW27" s="29">
        <v>1625</v>
      </c>
      <c r="AX27" s="29">
        <v>1656.5</v>
      </c>
      <c r="AY27" s="29">
        <v>1616.5</v>
      </c>
      <c r="AZ27" s="29">
        <v>1658</v>
      </c>
      <c r="BA27" s="29">
        <v>1667</v>
      </c>
      <c r="BB27" s="29">
        <v>1605</v>
      </c>
      <c r="BC27" s="29">
        <v>1635</v>
      </c>
      <c r="BD27" s="29">
        <v>1641</v>
      </c>
      <c r="BE27" s="29">
        <v>1669</v>
      </c>
      <c r="BF27" s="29">
        <v>1677.5</v>
      </c>
      <c r="BG27" s="29">
        <v>1706</v>
      </c>
      <c r="BH27" s="29">
        <v>1773</v>
      </c>
      <c r="BI27" s="29">
        <v>1742</v>
      </c>
      <c r="BJ27" s="29">
        <v>1713</v>
      </c>
      <c r="BK27" s="29">
        <v>1706</v>
      </c>
      <c r="BL27" s="30">
        <v>1608</v>
      </c>
      <c r="BM27" s="1">
        <v>1612.5</v>
      </c>
      <c r="BN27" s="1">
        <v>1574</v>
      </c>
      <c r="BO27" s="1">
        <v>1575.5</v>
      </c>
      <c r="BP27" s="1">
        <v>1571.5</v>
      </c>
      <c r="BQ27" s="1">
        <v>1574</v>
      </c>
      <c r="BR27" s="1">
        <v>1557.5</v>
      </c>
      <c r="BS27" s="1">
        <v>1568.5</v>
      </c>
      <c r="BT27" s="1">
        <v>1623</v>
      </c>
      <c r="BU27" s="1">
        <v>1644</v>
      </c>
      <c r="BV27" s="1">
        <v>1646.5</v>
      </c>
      <c r="BW27" s="1">
        <v>1668</v>
      </c>
      <c r="BX27" s="1">
        <v>1655</v>
      </c>
      <c r="BY27" s="1">
        <v>1679</v>
      </c>
      <c r="BZ27" s="1">
        <v>1719.5</v>
      </c>
    </row>
    <row r="28" spans="1:254" ht="15.9" customHeight="1">
      <c r="A28" s="65" t="s">
        <v>51</v>
      </c>
      <c r="B28" s="25" t="s">
        <v>52</v>
      </c>
      <c r="C28" s="39">
        <f>_xll.RssMarket("3436","高値")</f>
        <v>3720</v>
      </c>
      <c r="D28" s="38">
        <f t="shared" si="0"/>
        <v>0</v>
      </c>
      <c r="E28" s="29">
        <v>3720</v>
      </c>
      <c r="F28" s="29">
        <v>3869</v>
      </c>
      <c r="G28" s="29">
        <v>6366</v>
      </c>
      <c r="H28" s="29">
        <v>6389</v>
      </c>
      <c r="I28" s="29">
        <v>6503</v>
      </c>
      <c r="J28" s="29">
        <v>6382</v>
      </c>
      <c r="K28" s="29">
        <v>6496</v>
      </c>
      <c r="L28" s="29">
        <v>6680</v>
      </c>
      <c r="M28" s="29">
        <v>6673</v>
      </c>
      <c r="N28" s="29">
        <v>3795</v>
      </c>
      <c r="O28" s="29">
        <v>6653</v>
      </c>
      <c r="P28" s="29">
        <v>6639</v>
      </c>
      <c r="Q28" s="29">
        <v>6502</v>
      </c>
      <c r="R28" s="29">
        <v>6463</v>
      </c>
      <c r="S28" s="29">
        <v>6593</v>
      </c>
      <c r="T28" s="29">
        <v>6472</v>
      </c>
      <c r="U28" s="29">
        <v>6580</v>
      </c>
      <c r="V28" s="29">
        <v>6508</v>
      </c>
      <c r="W28" s="29">
        <v>6452</v>
      </c>
      <c r="X28" s="29">
        <v>6444</v>
      </c>
      <c r="Y28" s="29">
        <v>6526</v>
      </c>
      <c r="Z28" s="29">
        <v>6405</v>
      </c>
      <c r="AA28" s="29">
        <v>6345</v>
      </c>
      <c r="AB28" s="29">
        <v>6321</v>
      </c>
      <c r="AC28" s="29">
        <v>6278</v>
      </c>
      <c r="AD28" s="29">
        <v>6224</v>
      </c>
      <c r="AE28" s="29">
        <v>6210</v>
      </c>
      <c r="AF28" s="29">
        <v>6246</v>
      </c>
      <c r="AG28" s="29">
        <v>6310</v>
      </c>
      <c r="AH28" s="29">
        <v>6344</v>
      </c>
      <c r="AI28" s="29">
        <v>6545</v>
      </c>
      <c r="AJ28" s="29">
        <v>6502</v>
      </c>
      <c r="AK28" s="29">
        <v>6448</v>
      </c>
      <c r="AL28" s="29">
        <v>6566</v>
      </c>
      <c r="AM28" s="29">
        <v>6417</v>
      </c>
      <c r="AN28" s="29">
        <v>6305</v>
      </c>
      <c r="AO28" s="29">
        <v>6239</v>
      </c>
      <c r="AP28" s="29">
        <v>6150</v>
      </c>
      <c r="AQ28" s="29">
        <v>6080</v>
      </c>
      <c r="AR28" s="29">
        <v>6335</v>
      </c>
      <c r="AS28" s="29">
        <v>6180</v>
      </c>
      <c r="AT28" s="29">
        <v>6305</v>
      </c>
      <c r="AU28" s="29">
        <v>6367</v>
      </c>
      <c r="AV28" s="29">
        <v>6368</v>
      </c>
      <c r="AW28" s="29">
        <v>6220</v>
      </c>
      <c r="AX28" s="29">
        <v>6309</v>
      </c>
      <c r="AY28" s="29">
        <v>6153</v>
      </c>
      <c r="AZ28" s="29">
        <v>6378</v>
      </c>
      <c r="BA28" s="29">
        <v>6308</v>
      </c>
      <c r="BB28" s="29">
        <v>6282</v>
      </c>
      <c r="BC28" s="29">
        <v>6348</v>
      </c>
      <c r="BD28" s="29">
        <v>6109</v>
      </c>
      <c r="BE28" s="29">
        <v>5950</v>
      </c>
      <c r="BF28" s="29">
        <v>5939</v>
      </c>
      <c r="BG28" s="29">
        <v>5817</v>
      </c>
      <c r="BH28" s="29">
        <v>5970</v>
      </c>
      <c r="BI28" s="29">
        <v>6060</v>
      </c>
      <c r="BJ28" s="29">
        <v>6049</v>
      </c>
      <c r="BK28" s="29">
        <v>5520</v>
      </c>
      <c r="BL28" s="30">
        <v>5330</v>
      </c>
      <c r="BM28" s="1">
        <v>5314</v>
      </c>
      <c r="BN28" s="1">
        <v>5231</v>
      </c>
      <c r="BO28" s="1">
        <v>5275</v>
      </c>
      <c r="BP28" s="1">
        <v>5462</v>
      </c>
      <c r="BQ28" s="1">
        <v>4883</v>
      </c>
      <c r="BR28" s="1">
        <v>4885</v>
      </c>
      <c r="BS28" s="1">
        <v>4894</v>
      </c>
      <c r="BT28" s="1">
        <v>4980</v>
      </c>
      <c r="BU28" s="1">
        <v>5051</v>
      </c>
      <c r="BV28" s="1">
        <v>5084</v>
      </c>
      <c r="BW28" s="1">
        <v>5047</v>
      </c>
      <c r="BX28" s="1">
        <v>5093</v>
      </c>
      <c r="BY28" s="1">
        <v>5092</v>
      </c>
      <c r="BZ28" s="1">
        <v>5014</v>
      </c>
    </row>
    <row r="29" spans="1:254" ht="15.9" customHeight="1">
      <c r="A29" s="65" t="s">
        <v>53</v>
      </c>
      <c r="B29" s="25" t="s">
        <v>54</v>
      </c>
      <c r="C29" s="39">
        <f>_xll.RssMarket("5020","高値")</f>
        <v>1300</v>
      </c>
      <c r="D29" s="38">
        <f t="shared" si="0"/>
        <v>0</v>
      </c>
      <c r="E29" s="29">
        <v>1300</v>
      </c>
      <c r="F29" s="29">
        <v>1301</v>
      </c>
      <c r="G29" s="29">
        <v>1303.5</v>
      </c>
      <c r="H29" s="29">
        <v>1314</v>
      </c>
      <c r="I29" s="29">
        <v>1340</v>
      </c>
      <c r="J29" s="29">
        <v>1323</v>
      </c>
      <c r="K29" s="29">
        <v>1313</v>
      </c>
      <c r="L29" s="29">
        <v>1326</v>
      </c>
      <c r="M29" s="29">
        <v>1330.5</v>
      </c>
      <c r="N29" s="29">
        <v>1342</v>
      </c>
      <c r="O29" s="29">
        <v>1337</v>
      </c>
      <c r="P29" s="29">
        <v>1326</v>
      </c>
      <c r="Q29" s="29">
        <v>1307</v>
      </c>
      <c r="R29" s="29">
        <v>1269</v>
      </c>
      <c r="S29" s="29">
        <v>1298.5</v>
      </c>
      <c r="T29" s="29">
        <v>1269</v>
      </c>
      <c r="U29" s="29">
        <v>1269.5</v>
      </c>
      <c r="V29" s="29">
        <v>1258.5</v>
      </c>
      <c r="W29" s="29">
        <v>1268</v>
      </c>
      <c r="X29" s="29">
        <v>1257</v>
      </c>
      <c r="Y29" s="29">
        <v>1279.5</v>
      </c>
      <c r="Z29" s="29">
        <v>1265</v>
      </c>
      <c r="AA29" s="29">
        <v>1237</v>
      </c>
      <c r="AB29" s="29">
        <v>1228</v>
      </c>
      <c r="AC29" s="29">
        <v>1212.5</v>
      </c>
      <c r="AD29" s="29">
        <v>1208</v>
      </c>
      <c r="AE29" s="29">
        <v>1212</v>
      </c>
      <c r="AF29" s="29">
        <v>1214.5</v>
      </c>
      <c r="AG29" s="29">
        <v>1253</v>
      </c>
      <c r="AH29" s="29">
        <v>1237.5</v>
      </c>
      <c r="AI29" s="29">
        <v>1266.5</v>
      </c>
      <c r="AJ29" s="29">
        <v>1265</v>
      </c>
      <c r="AK29" s="29">
        <v>1264</v>
      </c>
      <c r="AL29" s="29">
        <v>1251.5</v>
      </c>
      <c r="AM29" s="29">
        <v>1259</v>
      </c>
      <c r="AN29" s="29">
        <v>1247</v>
      </c>
      <c r="AO29" s="29">
        <v>1278</v>
      </c>
      <c r="AP29" s="29">
        <v>1241</v>
      </c>
      <c r="AQ29" s="29">
        <v>1232.5</v>
      </c>
      <c r="AR29" s="29">
        <v>1221.5</v>
      </c>
      <c r="AS29" s="29">
        <v>1260</v>
      </c>
      <c r="AT29" s="29">
        <v>1305</v>
      </c>
      <c r="AU29" s="29">
        <v>1319</v>
      </c>
      <c r="AV29" s="29">
        <v>1341.5</v>
      </c>
      <c r="AW29" s="29">
        <v>1292.5</v>
      </c>
      <c r="AX29" s="29">
        <v>1305.5</v>
      </c>
      <c r="AY29" s="29">
        <v>1300.5</v>
      </c>
      <c r="AZ29" s="29">
        <v>1310.5</v>
      </c>
      <c r="BA29" s="29">
        <v>1322</v>
      </c>
      <c r="BB29" s="29">
        <v>1306.5</v>
      </c>
      <c r="BC29" s="29">
        <v>1321</v>
      </c>
      <c r="BD29" s="29">
        <v>1361</v>
      </c>
      <c r="BE29" s="29">
        <v>1370</v>
      </c>
      <c r="BF29" s="29">
        <v>1397.5</v>
      </c>
      <c r="BG29" s="29">
        <v>1390</v>
      </c>
      <c r="BH29" s="29">
        <v>1380</v>
      </c>
      <c r="BI29" s="29">
        <v>1374</v>
      </c>
      <c r="BJ29" s="29">
        <v>1384</v>
      </c>
      <c r="BK29" s="29">
        <v>1317</v>
      </c>
      <c r="BL29" s="30">
        <v>1295</v>
      </c>
      <c r="BM29" s="1">
        <v>1342</v>
      </c>
      <c r="BN29" s="1">
        <v>1325.5</v>
      </c>
      <c r="BO29" s="1">
        <v>1329.5</v>
      </c>
      <c r="BP29" s="1">
        <v>1307.5</v>
      </c>
      <c r="BQ29" s="1">
        <v>1294</v>
      </c>
      <c r="BR29" s="1">
        <v>1318</v>
      </c>
      <c r="BS29" s="1">
        <v>1314.5</v>
      </c>
      <c r="BT29" s="1">
        <v>1330</v>
      </c>
      <c r="BU29" s="1">
        <v>1359</v>
      </c>
      <c r="BV29" s="1">
        <v>1376</v>
      </c>
      <c r="BW29" s="1">
        <v>1413</v>
      </c>
      <c r="BX29" s="1">
        <v>1423.5</v>
      </c>
      <c r="BY29" s="1">
        <v>1441.5</v>
      </c>
      <c r="BZ29" s="1">
        <v>1435.5</v>
      </c>
    </row>
    <row r="30" spans="1:254" ht="15.9" customHeight="1">
      <c r="A30" s="65" t="s">
        <v>55</v>
      </c>
      <c r="B30" s="25" t="s">
        <v>56</v>
      </c>
      <c r="C30" s="39">
        <f>_xll.RssMarket("6254","高値")</f>
        <v>4610</v>
      </c>
      <c r="D30" s="38">
        <f t="shared" si="0"/>
        <v>0</v>
      </c>
      <c r="E30" s="29">
        <v>4610</v>
      </c>
      <c r="F30" s="29">
        <v>4630</v>
      </c>
      <c r="G30" s="29">
        <v>4255</v>
      </c>
      <c r="H30" s="29">
        <v>4015</v>
      </c>
      <c r="I30" s="29">
        <v>4115</v>
      </c>
      <c r="J30" s="29">
        <v>3660</v>
      </c>
      <c r="K30" s="29">
        <v>3740</v>
      </c>
      <c r="L30" s="29">
        <v>4150</v>
      </c>
      <c r="M30" s="29">
        <v>4245</v>
      </c>
      <c r="N30" s="29">
        <v>4315</v>
      </c>
      <c r="O30" s="29">
        <v>4345</v>
      </c>
      <c r="P30" s="29">
        <v>4330</v>
      </c>
      <c r="Q30" s="29">
        <v>4135</v>
      </c>
      <c r="R30" s="29">
        <v>4155</v>
      </c>
      <c r="S30" s="29">
        <v>4415</v>
      </c>
      <c r="T30" s="29">
        <v>4375</v>
      </c>
      <c r="U30" s="29">
        <v>4680</v>
      </c>
      <c r="V30" s="29">
        <v>4730</v>
      </c>
      <c r="W30" s="29">
        <v>4400</v>
      </c>
      <c r="X30" s="29">
        <v>4430</v>
      </c>
      <c r="Y30" s="29">
        <v>4630</v>
      </c>
      <c r="Z30" s="29">
        <v>4980</v>
      </c>
      <c r="AA30" s="29">
        <v>4940</v>
      </c>
      <c r="AB30" s="29">
        <v>4970</v>
      </c>
      <c r="AC30" s="29">
        <v>5340</v>
      </c>
      <c r="AD30" s="29">
        <v>5150</v>
      </c>
      <c r="AE30" s="29">
        <v>5070</v>
      </c>
      <c r="AF30" s="29">
        <v>4830</v>
      </c>
      <c r="AG30" s="29">
        <v>5010</v>
      </c>
      <c r="AH30" s="29">
        <v>5040</v>
      </c>
      <c r="AI30" s="29">
        <v>5450</v>
      </c>
      <c r="AJ30" s="29">
        <v>5500</v>
      </c>
      <c r="AK30" s="29">
        <v>5260</v>
      </c>
      <c r="AL30" s="29">
        <v>5180</v>
      </c>
      <c r="AM30" s="29">
        <v>4990</v>
      </c>
      <c r="AN30" s="29">
        <v>4655</v>
      </c>
      <c r="AO30" s="29">
        <v>4845</v>
      </c>
      <c r="AP30" s="29">
        <v>4395</v>
      </c>
      <c r="AQ30" s="29">
        <v>3970</v>
      </c>
      <c r="AR30" s="29">
        <v>4225</v>
      </c>
      <c r="AS30" s="29">
        <v>4115</v>
      </c>
      <c r="AT30" s="29">
        <v>4385</v>
      </c>
      <c r="AU30" s="29">
        <v>4515</v>
      </c>
      <c r="AV30" s="29">
        <v>4555</v>
      </c>
      <c r="AW30" s="29">
        <v>4545</v>
      </c>
      <c r="AX30" s="29">
        <v>4850</v>
      </c>
      <c r="AY30" s="29">
        <v>4865</v>
      </c>
      <c r="AZ30" s="29">
        <v>5250</v>
      </c>
      <c r="BA30" s="29">
        <v>5290</v>
      </c>
      <c r="BB30" s="29">
        <v>5140</v>
      </c>
      <c r="BC30" s="29">
        <v>4725</v>
      </c>
      <c r="BD30" s="29">
        <v>4665</v>
      </c>
      <c r="BE30" s="29">
        <v>4910</v>
      </c>
      <c r="BF30" s="29">
        <v>5110</v>
      </c>
      <c r="BG30" s="29">
        <v>5060</v>
      </c>
      <c r="BH30" s="29">
        <v>4470</v>
      </c>
      <c r="BI30" s="29">
        <v>4440</v>
      </c>
      <c r="BJ30" s="29">
        <v>4695</v>
      </c>
      <c r="BK30" s="29">
        <v>4675</v>
      </c>
      <c r="BL30" s="30">
        <v>4520</v>
      </c>
      <c r="BM30" s="1">
        <v>4115</v>
      </c>
      <c r="BN30" s="1">
        <v>3715</v>
      </c>
      <c r="BO30" s="1">
        <v>3760</v>
      </c>
      <c r="BP30" s="1">
        <v>3765</v>
      </c>
      <c r="BQ30" s="1">
        <v>3790</v>
      </c>
      <c r="BR30" s="1">
        <v>3770</v>
      </c>
      <c r="BS30" s="1">
        <v>3775</v>
      </c>
      <c r="BT30" s="1">
        <v>3845</v>
      </c>
      <c r="BU30" s="1">
        <v>3915</v>
      </c>
      <c r="BV30" s="1">
        <v>3895</v>
      </c>
      <c r="BW30" s="1">
        <v>3760</v>
      </c>
      <c r="BX30" s="1">
        <v>3770</v>
      </c>
      <c r="BY30" s="1">
        <v>3695</v>
      </c>
      <c r="BZ30" s="1">
        <v>3735</v>
      </c>
    </row>
    <row r="31" spans="1:254" ht="15.9" customHeight="1">
      <c r="A31" s="65" t="s">
        <v>57</v>
      </c>
      <c r="B31" s="25" t="s">
        <v>58</v>
      </c>
      <c r="C31" s="39">
        <f>_xll.RssMarket("8309","高値")</f>
        <v>1687</v>
      </c>
      <c r="D31" s="38">
        <f t="shared" si="0"/>
        <v>0</v>
      </c>
      <c r="E31" s="29">
        <v>1687</v>
      </c>
      <c r="F31" s="29">
        <v>1666.5</v>
      </c>
      <c r="G31" s="29">
        <v>1666.5</v>
      </c>
      <c r="H31" s="29">
        <v>1646.5</v>
      </c>
      <c r="I31" s="29">
        <v>1693</v>
      </c>
      <c r="J31" s="29">
        <v>1705</v>
      </c>
      <c r="K31" s="29">
        <v>1711.5</v>
      </c>
      <c r="L31" s="29">
        <v>1748.75</v>
      </c>
      <c r="M31" s="29">
        <v>1730.5</v>
      </c>
      <c r="N31" s="29">
        <v>1714.75</v>
      </c>
      <c r="O31" s="29">
        <v>1720.5</v>
      </c>
      <c r="P31" s="29">
        <v>1720</v>
      </c>
      <c r="Q31" s="29">
        <v>1683.5</v>
      </c>
      <c r="R31" s="29">
        <v>1675.5</v>
      </c>
      <c r="S31" s="29">
        <v>1691.75</v>
      </c>
      <c r="T31" s="29">
        <v>1669.25</v>
      </c>
      <c r="U31" s="29">
        <v>1668.5</v>
      </c>
      <c r="V31" s="29">
        <v>1660.25</v>
      </c>
      <c r="W31" s="29">
        <v>1651.5</v>
      </c>
      <c r="X31" s="29">
        <v>1666</v>
      </c>
      <c r="Y31" s="29">
        <v>1660.75</v>
      </c>
      <c r="Z31" s="29">
        <v>1635</v>
      </c>
      <c r="AA31" s="29">
        <v>1594.25</v>
      </c>
      <c r="AB31" s="29">
        <v>1572.75</v>
      </c>
      <c r="AC31" s="29">
        <v>1542.5</v>
      </c>
      <c r="AD31" s="29">
        <v>1538.5</v>
      </c>
      <c r="AE31" s="29">
        <v>1517.5</v>
      </c>
      <c r="AF31" s="29">
        <v>1510.5</v>
      </c>
      <c r="AG31" s="29">
        <v>1508.5</v>
      </c>
      <c r="AH31" s="29">
        <v>1527</v>
      </c>
      <c r="AI31" s="29">
        <v>1545.5</v>
      </c>
      <c r="AJ31" s="29">
        <v>1554.5</v>
      </c>
      <c r="AK31" s="29">
        <v>1545</v>
      </c>
      <c r="AL31" s="29">
        <v>1544.25</v>
      </c>
      <c r="AM31" s="29">
        <v>1520.25</v>
      </c>
      <c r="AN31" s="29">
        <v>1499.75</v>
      </c>
      <c r="AO31" s="29">
        <v>1542.25</v>
      </c>
      <c r="AP31" s="29">
        <v>1504</v>
      </c>
      <c r="AQ31" s="29">
        <v>1484.25</v>
      </c>
      <c r="AR31" s="29">
        <v>1524</v>
      </c>
      <c r="AS31" s="29">
        <v>1461.75</v>
      </c>
      <c r="AT31" s="29">
        <v>1486.75</v>
      </c>
      <c r="AU31" s="29">
        <v>1451.5</v>
      </c>
      <c r="AV31" s="29">
        <v>1430.5</v>
      </c>
      <c r="AW31" s="29">
        <v>1389</v>
      </c>
      <c r="AX31" s="29">
        <v>1412.5</v>
      </c>
      <c r="AY31" s="29">
        <v>1399.75</v>
      </c>
      <c r="AZ31" s="29">
        <v>1422.5</v>
      </c>
      <c r="BA31" s="29">
        <v>1415.25</v>
      </c>
      <c r="BB31" s="29">
        <v>1427.75</v>
      </c>
      <c r="BC31" s="29">
        <v>1445.25</v>
      </c>
      <c r="BD31" s="29">
        <v>1451.75</v>
      </c>
      <c r="BE31" s="29">
        <v>1428.75</v>
      </c>
      <c r="BF31" s="29">
        <v>1409.5</v>
      </c>
      <c r="BG31" s="29">
        <v>1413.75</v>
      </c>
      <c r="BH31" s="29">
        <v>1420.5</v>
      </c>
      <c r="BI31" s="29">
        <v>1415.25</v>
      </c>
      <c r="BJ31" s="29">
        <v>1405.75</v>
      </c>
      <c r="BK31" s="29">
        <v>1377.5</v>
      </c>
      <c r="BL31" s="30">
        <v>1371</v>
      </c>
      <c r="BM31" s="1">
        <v>1401.75</v>
      </c>
      <c r="BN31" s="1">
        <v>1339.25</v>
      </c>
      <c r="BO31" s="1">
        <v>1313</v>
      </c>
      <c r="BP31" s="1">
        <v>1332.25</v>
      </c>
      <c r="BQ31" s="1">
        <v>1287.25</v>
      </c>
      <c r="BR31" s="1">
        <v>1286.75</v>
      </c>
      <c r="BS31" s="1">
        <v>1293</v>
      </c>
      <c r="BT31" s="1">
        <v>1299.75</v>
      </c>
      <c r="BU31" s="1">
        <v>1325</v>
      </c>
      <c r="BV31" s="1">
        <v>1354.75</v>
      </c>
      <c r="BW31" s="1">
        <v>1367</v>
      </c>
      <c r="BX31" s="1">
        <v>1376.75</v>
      </c>
      <c r="BY31" s="1">
        <v>1368.75</v>
      </c>
      <c r="BZ31" s="1">
        <v>1355.5</v>
      </c>
    </row>
    <row r="32" spans="1:254" ht="15.9" customHeight="1">
      <c r="A32" s="65" t="s">
        <v>59</v>
      </c>
      <c r="B32" s="25" t="s">
        <v>60</v>
      </c>
      <c r="C32" s="39">
        <f>_xll.RssMarket("3863","高値")</f>
        <v>1373</v>
      </c>
      <c r="D32" s="38">
        <f t="shared" si="0"/>
        <v>0</v>
      </c>
      <c r="E32" s="29">
        <v>1373</v>
      </c>
      <c r="F32" s="29">
        <v>1373</v>
      </c>
      <c r="G32" s="29">
        <v>1347</v>
      </c>
      <c r="H32" s="29">
        <v>1356</v>
      </c>
      <c r="I32" s="29">
        <v>1464</v>
      </c>
      <c r="J32" s="29">
        <v>1483</v>
      </c>
      <c r="K32" s="29">
        <v>1505</v>
      </c>
      <c r="L32" s="29">
        <v>1540</v>
      </c>
      <c r="M32" s="29">
        <v>1522</v>
      </c>
      <c r="N32" s="29">
        <v>1585</v>
      </c>
      <c r="O32" s="29">
        <v>1599</v>
      </c>
      <c r="P32" s="29">
        <v>1525</v>
      </c>
      <c r="Q32" s="29">
        <v>1519</v>
      </c>
      <c r="R32" s="29">
        <v>1479</v>
      </c>
      <c r="S32" s="29">
        <v>1404</v>
      </c>
      <c r="T32" s="29">
        <v>1363</v>
      </c>
      <c r="U32" s="29">
        <v>1365</v>
      </c>
      <c r="V32" s="29">
        <v>1336</v>
      </c>
      <c r="W32" s="29">
        <v>1357</v>
      </c>
      <c r="X32" s="29">
        <v>1353</v>
      </c>
      <c r="Y32" s="29">
        <v>1345</v>
      </c>
      <c r="Z32" s="29">
        <v>1346</v>
      </c>
      <c r="AA32" s="29">
        <v>1339</v>
      </c>
      <c r="AB32" s="29">
        <v>1343</v>
      </c>
      <c r="AC32" s="29">
        <v>1301</v>
      </c>
      <c r="AD32" s="29">
        <v>1321</v>
      </c>
      <c r="AE32" s="29">
        <v>1271</v>
      </c>
      <c r="AF32" s="29">
        <v>1274</v>
      </c>
      <c r="AG32" s="29">
        <v>1255</v>
      </c>
      <c r="AH32" s="29">
        <v>1211</v>
      </c>
      <c r="AI32" s="29">
        <v>1211</v>
      </c>
      <c r="AJ32" s="29">
        <v>1209</v>
      </c>
      <c r="AK32" s="29">
        <v>1220</v>
      </c>
      <c r="AL32" s="29">
        <v>1238</v>
      </c>
      <c r="AM32" s="29">
        <v>1259</v>
      </c>
      <c r="AN32" s="29">
        <v>1253</v>
      </c>
      <c r="AO32" s="29">
        <v>1249</v>
      </c>
      <c r="AP32" s="29">
        <v>1227</v>
      </c>
      <c r="AQ32" s="29">
        <v>1219</v>
      </c>
      <c r="AR32" s="29">
        <v>1239</v>
      </c>
      <c r="AS32" s="29">
        <v>1270</v>
      </c>
      <c r="AT32" s="29">
        <v>1262</v>
      </c>
      <c r="AU32" s="29">
        <v>1213</v>
      </c>
      <c r="AV32" s="29">
        <v>1236</v>
      </c>
      <c r="AW32" s="29">
        <v>1235</v>
      </c>
      <c r="AX32" s="29">
        <v>1361</v>
      </c>
      <c r="AY32" s="29">
        <v>1379</v>
      </c>
      <c r="AZ32" s="29">
        <v>1406</v>
      </c>
      <c r="BA32" s="29">
        <v>1389</v>
      </c>
      <c r="BB32" s="29">
        <v>1384</v>
      </c>
      <c r="BC32" s="29">
        <v>1426</v>
      </c>
      <c r="BD32" s="29">
        <v>1420</v>
      </c>
      <c r="BE32" s="29">
        <v>1512</v>
      </c>
      <c r="BF32" s="29">
        <v>1490</v>
      </c>
      <c r="BG32" s="29">
        <v>1550</v>
      </c>
      <c r="BH32" s="29">
        <v>1487</v>
      </c>
      <c r="BI32" s="29">
        <v>1612</v>
      </c>
      <c r="BJ32" s="29">
        <v>1513</v>
      </c>
      <c r="BK32" s="29">
        <v>1484</v>
      </c>
      <c r="BL32" s="30">
        <v>1460</v>
      </c>
      <c r="BM32" s="1">
        <v>1432</v>
      </c>
      <c r="BN32" s="1">
        <v>1374</v>
      </c>
      <c r="BO32" s="1">
        <v>1334</v>
      </c>
      <c r="BP32" s="1">
        <v>1305</v>
      </c>
      <c r="BQ32" s="1">
        <v>1437</v>
      </c>
      <c r="BR32" s="1">
        <v>1446</v>
      </c>
      <c r="BS32" s="1">
        <v>1455</v>
      </c>
      <c r="BT32" s="1">
        <v>1526</v>
      </c>
      <c r="BU32" s="1">
        <v>1500</v>
      </c>
      <c r="BV32" s="1">
        <v>1472</v>
      </c>
      <c r="BW32" s="1">
        <v>1443</v>
      </c>
      <c r="BX32" s="1">
        <v>1407</v>
      </c>
      <c r="BY32" s="1">
        <v>1370</v>
      </c>
      <c r="BZ32" s="1">
        <v>1339</v>
      </c>
    </row>
    <row r="33" spans="1:254" ht="15.9" customHeight="1">
      <c r="A33" s="65" t="s">
        <v>61</v>
      </c>
      <c r="B33" s="25" t="s">
        <v>62</v>
      </c>
      <c r="C33" s="39">
        <f>_xll.RssMarket("8601","高値")</f>
        <v>1828.5</v>
      </c>
      <c r="D33" s="38">
        <f t="shared" si="0"/>
        <v>0</v>
      </c>
      <c r="E33" s="29">
        <v>1828.5</v>
      </c>
      <c r="F33" s="29">
        <v>1830</v>
      </c>
      <c r="G33" s="29">
        <v>1811.5</v>
      </c>
      <c r="H33" s="29">
        <v>1814.5</v>
      </c>
      <c r="I33" s="29">
        <v>1824.5</v>
      </c>
      <c r="J33" s="29">
        <v>1813.5</v>
      </c>
      <c r="K33" s="29">
        <v>1850</v>
      </c>
      <c r="L33" s="29">
        <v>1860.5</v>
      </c>
      <c r="M33" s="29">
        <v>1885</v>
      </c>
      <c r="N33" s="29">
        <v>1866.5</v>
      </c>
      <c r="O33" s="29">
        <v>1876.5</v>
      </c>
      <c r="P33" s="29">
        <v>1866.5</v>
      </c>
      <c r="Q33" s="29">
        <v>1847</v>
      </c>
      <c r="R33" s="29">
        <v>1858.5</v>
      </c>
      <c r="S33" s="29">
        <v>1879</v>
      </c>
      <c r="T33" s="29">
        <v>1806.5</v>
      </c>
      <c r="U33" s="29">
        <v>1809.5</v>
      </c>
      <c r="V33" s="29">
        <v>1781</v>
      </c>
      <c r="W33" s="29">
        <v>1740</v>
      </c>
      <c r="X33" s="29">
        <v>1789.5</v>
      </c>
      <c r="Y33" s="29">
        <v>1762.5</v>
      </c>
      <c r="Z33" s="29">
        <v>1713.5</v>
      </c>
      <c r="AA33" s="29">
        <v>1684</v>
      </c>
      <c r="AB33" s="29">
        <v>1652.5</v>
      </c>
      <c r="AC33" s="29">
        <v>1641</v>
      </c>
      <c r="AD33" s="29">
        <v>1618.5</v>
      </c>
      <c r="AE33" s="29">
        <v>1611.5</v>
      </c>
      <c r="AF33" s="29">
        <v>1620</v>
      </c>
      <c r="AG33" s="29">
        <v>1604</v>
      </c>
      <c r="AH33" s="29">
        <v>1612.5</v>
      </c>
      <c r="AI33" s="29">
        <v>1630</v>
      </c>
      <c r="AJ33" s="29">
        <v>1631.5</v>
      </c>
      <c r="AK33" s="29">
        <v>1626.5</v>
      </c>
      <c r="AL33" s="29">
        <v>1630</v>
      </c>
      <c r="AM33" s="29">
        <v>1625.5</v>
      </c>
      <c r="AN33" s="29">
        <v>1607</v>
      </c>
      <c r="AO33" s="29">
        <v>1626</v>
      </c>
      <c r="AP33" s="29">
        <v>1575</v>
      </c>
      <c r="AQ33" s="29">
        <v>1548.5</v>
      </c>
      <c r="AR33" s="29">
        <v>1606</v>
      </c>
      <c r="AS33" s="29">
        <v>1554</v>
      </c>
      <c r="AT33" s="29">
        <v>1566.5</v>
      </c>
      <c r="AU33" s="29">
        <v>1560</v>
      </c>
      <c r="AV33" s="29">
        <v>1542.5</v>
      </c>
      <c r="AW33" s="29">
        <v>1503.5</v>
      </c>
      <c r="AX33" s="29">
        <v>1501.5</v>
      </c>
      <c r="AY33" s="29">
        <v>1475</v>
      </c>
      <c r="AZ33" s="29">
        <v>1481.5</v>
      </c>
      <c r="BA33" s="29">
        <v>1498.5</v>
      </c>
      <c r="BB33" s="29">
        <v>1511.5</v>
      </c>
      <c r="BC33" s="29">
        <v>1522.5</v>
      </c>
      <c r="BD33" s="29">
        <v>1507</v>
      </c>
      <c r="BE33" s="29">
        <v>1509.5</v>
      </c>
      <c r="BF33" s="29">
        <v>1486.5</v>
      </c>
      <c r="BG33" s="29">
        <v>1502</v>
      </c>
      <c r="BH33" s="29">
        <v>1505</v>
      </c>
      <c r="BI33" s="29">
        <v>1498</v>
      </c>
      <c r="BJ33" s="29">
        <v>1469.5</v>
      </c>
      <c r="BK33" s="29">
        <v>1469.5</v>
      </c>
      <c r="BL33" s="30">
        <v>1489</v>
      </c>
      <c r="BM33" s="1">
        <v>1518.5</v>
      </c>
      <c r="BN33" s="1">
        <v>1463</v>
      </c>
      <c r="BO33" s="1">
        <v>1467.5</v>
      </c>
      <c r="BP33" s="1">
        <v>1473.5</v>
      </c>
      <c r="BQ33" s="1">
        <v>1526.5</v>
      </c>
      <c r="BR33" s="1">
        <v>1512.5</v>
      </c>
      <c r="BS33" s="1">
        <v>1514.5</v>
      </c>
      <c r="BT33" s="1">
        <v>1525</v>
      </c>
      <c r="BU33" s="1">
        <v>1536</v>
      </c>
      <c r="BV33" s="1">
        <v>1537</v>
      </c>
      <c r="BW33" s="1">
        <v>1553.5</v>
      </c>
      <c r="BX33" s="1">
        <v>1599</v>
      </c>
      <c r="BY33" s="1">
        <v>1583.5</v>
      </c>
      <c r="BZ33" s="1">
        <v>1572</v>
      </c>
    </row>
    <row r="34" spans="1:254" ht="15.9" customHeight="1">
      <c r="A34" s="65" t="s">
        <v>63</v>
      </c>
      <c r="B34" s="25" t="s">
        <v>64</v>
      </c>
      <c r="C34" s="39">
        <f>_xll.RssMarket("5233","高値")</f>
        <v>4380</v>
      </c>
      <c r="D34" s="38">
        <f t="shared" si="0"/>
        <v>0</v>
      </c>
      <c r="E34" s="29">
        <v>4380</v>
      </c>
      <c r="F34" s="29">
        <v>4126</v>
      </c>
      <c r="G34" s="29">
        <v>4055</v>
      </c>
      <c r="H34" s="29">
        <v>4056</v>
      </c>
      <c r="I34" s="29">
        <v>4174</v>
      </c>
      <c r="J34" s="29">
        <v>4243</v>
      </c>
      <c r="K34" s="29">
        <v>4315</v>
      </c>
      <c r="L34" s="29">
        <v>4216</v>
      </c>
      <c r="M34" s="29">
        <v>4227</v>
      </c>
      <c r="N34" s="29">
        <v>4178</v>
      </c>
      <c r="O34" s="29">
        <v>4211</v>
      </c>
      <c r="P34" s="29">
        <v>4295</v>
      </c>
      <c r="Q34" s="29">
        <v>4121</v>
      </c>
      <c r="R34" s="29">
        <v>3984</v>
      </c>
      <c r="S34" s="29">
        <v>3999</v>
      </c>
      <c r="T34" s="29">
        <v>3992</v>
      </c>
      <c r="U34" s="29">
        <v>3975</v>
      </c>
      <c r="V34" s="29">
        <v>3969</v>
      </c>
      <c r="W34" s="29">
        <v>4032</v>
      </c>
      <c r="X34" s="29">
        <v>4078</v>
      </c>
      <c r="Y34" s="29">
        <v>4199</v>
      </c>
      <c r="Z34" s="29">
        <v>4186</v>
      </c>
      <c r="AA34" s="29">
        <v>4127</v>
      </c>
      <c r="AB34" s="29">
        <v>4003</v>
      </c>
      <c r="AC34" s="29">
        <v>3995</v>
      </c>
      <c r="AD34" s="29">
        <v>4045</v>
      </c>
      <c r="AE34" s="29">
        <v>4094</v>
      </c>
      <c r="AF34" s="29">
        <v>4130</v>
      </c>
      <c r="AG34" s="29">
        <v>4153</v>
      </c>
      <c r="AH34" s="29">
        <v>4130</v>
      </c>
      <c r="AI34" s="29">
        <v>4206</v>
      </c>
      <c r="AJ34" s="29">
        <v>4285</v>
      </c>
      <c r="AK34" s="29">
        <v>4418</v>
      </c>
      <c r="AL34" s="29">
        <v>4442</v>
      </c>
      <c r="AM34" s="29">
        <v>4447</v>
      </c>
      <c r="AN34" s="29">
        <v>4457</v>
      </c>
      <c r="AO34" s="29">
        <v>4455</v>
      </c>
      <c r="AP34" s="29">
        <v>4205</v>
      </c>
      <c r="AQ34" s="29">
        <v>4108</v>
      </c>
      <c r="AR34" s="29">
        <v>4187</v>
      </c>
      <c r="AS34" s="29">
        <v>4304</v>
      </c>
      <c r="AT34" s="29">
        <v>4424</v>
      </c>
      <c r="AU34" s="29">
        <v>4448</v>
      </c>
      <c r="AV34" s="29">
        <v>4488</v>
      </c>
      <c r="AW34" s="29">
        <v>4418</v>
      </c>
      <c r="AX34" s="29">
        <v>4657</v>
      </c>
      <c r="AY34" s="29">
        <v>4374</v>
      </c>
      <c r="AZ34" s="29">
        <v>4274</v>
      </c>
      <c r="BA34" s="29">
        <v>4156</v>
      </c>
      <c r="BB34" s="29">
        <v>4180</v>
      </c>
      <c r="BC34" s="29">
        <v>4106</v>
      </c>
      <c r="BD34" s="29">
        <v>3988</v>
      </c>
      <c r="BE34" s="29">
        <v>3942</v>
      </c>
      <c r="BF34" s="29">
        <v>3959</v>
      </c>
      <c r="BG34" s="29">
        <v>4167</v>
      </c>
      <c r="BH34" s="29">
        <v>4276</v>
      </c>
      <c r="BI34" s="29">
        <v>4217</v>
      </c>
      <c r="BJ34" s="29">
        <v>3899</v>
      </c>
      <c r="BK34" s="29">
        <v>3651</v>
      </c>
      <c r="BL34" s="30">
        <v>3730</v>
      </c>
      <c r="BM34" s="1">
        <v>3706</v>
      </c>
      <c r="BN34" s="1">
        <v>3596</v>
      </c>
      <c r="BO34" s="1">
        <v>3608</v>
      </c>
      <c r="BP34" s="1">
        <v>3666</v>
      </c>
      <c r="BQ34" s="1">
        <v>3645</v>
      </c>
      <c r="BR34" s="1">
        <v>3586</v>
      </c>
      <c r="BS34" s="1">
        <v>3589</v>
      </c>
      <c r="BT34" s="1">
        <v>3684</v>
      </c>
      <c r="BU34" s="1">
        <v>3718</v>
      </c>
      <c r="BV34" s="1">
        <v>3737</v>
      </c>
      <c r="BW34" s="1">
        <v>3710</v>
      </c>
      <c r="BX34" s="1">
        <v>3730</v>
      </c>
      <c r="BY34" s="1">
        <v>3729</v>
      </c>
      <c r="BZ34" s="1">
        <v>3774</v>
      </c>
    </row>
    <row r="35" spans="1:254" ht="15.9" customHeight="1">
      <c r="A35" s="65" t="s">
        <v>65</v>
      </c>
      <c r="B35" s="25" t="s">
        <v>66</v>
      </c>
      <c r="C35" s="39">
        <f>_xll.RssMarket("8308","高値")</f>
        <v>2362</v>
      </c>
      <c r="D35" s="38">
        <f t="shared" si="0"/>
        <v>0</v>
      </c>
      <c r="E35" s="29">
        <v>2362</v>
      </c>
      <c r="F35" s="29">
        <v>2283</v>
      </c>
      <c r="G35" s="29">
        <v>2246</v>
      </c>
      <c r="H35" s="29">
        <v>2276.5</v>
      </c>
      <c r="I35" s="29">
        <v>2218</v>
      </c>
      <c r="J35" s="29">
        <v>2207.5</v>
      </c>
      <c r="K35" s="29">
        <v>2253</v>
      </c>
      <c r="L35" s="29">
        <v>2351</v>
      </c>
      <c r="M35" s="29">
        <v>2420</v>
      </c>
      <c r="N35" s="29">
        <v>2389</v>
      </c>
      <c r="O35" s="29">
        <v>2375.5</v>
      </c>
      <c r="P35" s="29">
        <v>2354.5</v>
      </c>
      <c r="Q35" s="29">
        <v>2286</v>
      </c>
      <c r="R35" s="29">
        <v>2361</v>
      </c>
      <c r="S35" s="29">
        <v>2420.5</v>
      </c>
      <c r="T35" s="29">
        <v>2377.5</v>
      </c>
      <c r="U35" s="29">
        <v>2399.5</v>
      </c>
      <c r="V35" s="29">
        <v>2391.5</v>
      </c>
      <c r="W35" s="29">
        <v>2372.5</v>
      </c>
      <c r="X35" s="29">
        <v>2367.5</v>
      </c>
      <c r="Y35" s="29">
        <v>2416.5</v>
      </c>
      <c r="Z35" s="29">
        <v>2283</v>
      </c>
      <c r="AA35" s="29">
        <v>2249</v>
      </c>
      <c r="AB35" s="29">
        <v>2222.5</v>
      </c>
      <c r="AC35" s="29">
        <v>2129.5</v>
      </c>
      <c r="AD35" s="29">
        <v>2143</v>
      </c>
      <c r="AE35" s="29">
        <v>2127</v>
      </c>
      <c r="AF35" s="29">
        <v>2146</v>
      </c>
      <c r="AG35" s="29">
        <v>2156.5</v>
      </c>
      <c r="AH35" s="29">
        <v>2179.5</v>
      </c>
      <c r="AI35" s="29">
        <v>2261</v>
      </c>
      <c r="AJ35" s="29">
        <v>2238.5</v>
      </c>
      <c r="AK35" s="29">
        <v>2270</v>
      </c>
      <c r="AL35" s="29">
        <v>2263.5</v>
      </c>
      <c r="AM35" s="29">
        <v>2232.5</v>
      </c>
      <c r="AN35" s="29">
        <v>2171</v>
      </c>
      <c r="AO35" s="29">
        <v>2277.5</v>
      </c>
      <c r="AP35" s="29">
        <v>2197</v>
      </c>
      <c r="AQ35" s="29">
        <v>2144.5</v>
      </c>
      <c r="AR35" s="29">
        <v>2198.5</v>
      </c>
      <c r="AS35" s="29">
        <v>2099</v>
      </c>
      <c r="AT35" s="29">
        <v>2178</v>
      </c>
      <c r="AU35" s="29">
        <v>2143</v>
      </c>
      <c r="AV35" s="29">
        <v>2090.5</v>
      </c>
      <c r="AW35" s="29">
        <v>2033.5</v>
      </c>
      <c r="AX35" s="29">
        <v>2092</v>
      </c>
      <c r="AY35" s="29">
        <v>2050</v>
      </c>
      <c r="AZ35" s="29">
        <v>2065.5</v>
      </c>
      <c r="BA35" s="29">
        <v>2147.5</v>
      </c>
      <c r="BB35" s="29">
        <v>2154</v>
      </c>
      <c r="BC35" s="29">
        <v>2158.5</v>
      </c>
      <c r="BD35" s="29">
        <v>2131</v>
      </c>
      <c r="BE35" s="29">
        <v>2086</v>
      </c>
      <c r="BF35" s="29">
        <v>2074</v>
      </c>
      <c r="BG35" s="29">
        <v>2105</v>
      </c>
      <c r="BH35" s="29">
        <v>2061</v>
      </c>
      <c r="BI35" s="29">
        <v>2077.5</v>
      </c>
      <c r="BJ35" s="29">
        <v>2054</v>
      </c>
      <c r="BK35" s="29">
        <v>2008</v>
      </c>
      <c r="BL35" s="30">
        <v>1984.5</v>
      </c>
      <c r="BM35" s="1">
        <v>2037</v>
      </c>
      <c r="BN35" s="1">
        <v>1958</v>
      </c>
      <c r="BO35" s="1">
        <v>1947.5</v>
      </c>
      <c r="BP35" s="1">
        <v>2006</v>
      </c>
      <c r="BQ35" s="1">
        <v>1857</v>
      </c>
      <c r="BR35" s="1">
        <v>1854</v>
      </c>
      <c r="BS35" s="1">
        <v>1838</v>
      </c>
      <c r="BT35" s="1">
        <v>1907</v>
      </c>
      <c r="BU35" s="1">
        <v>1963</v>
      </c>
      <c r="BV35" s="1">
        <v>2009.5</v>
      </c>
      <c r="BW35" s="1">
        <v>1966</v>
      </c>
      <c r="BX35" s="1">
        <v>1966</v>
      </c>
      <c r="BY35" s="1">
        <v>1947</v>
      </c>
      <c r="BZ35" s="1">
        <v>1911.5</v>
      </c>
    </row>
    <row r="36" spans="1:254" ht="15.9" customHeight="1">
      <c r="A36" s="65" t="s">
        <v>67</v>
      </c>
      <c r="B36" s="25" t="s">
        <v>68</v>
      </c>
      <c r="C36" s="39">
        <f>_xll.RssMarket("5938","高値")</f>
        <v>1785</v>
      </c>
      <c r="D36" s="38">
        <f t="shared" si="0"/>
        <v>0</v>
      </c>
      <c r="E36" s="29">
        <v>1785</v>
      </c>
      <c r="F36" s="29">
        <v>1754.5</v>
      </c>
      <c r="G36" s="29">
        <v>1733</v>
      </c>
      <c r="H36" s="29">
        <v>1735.5</v>
      </c>
      <c r="I36" s="29">
        <v>1858</v>
      </c>
      <c r="J36" s="29">
        <v>1928.5</v>
      </c>
      <c r="K36" s="29">
        <v>1933</v>
      </c>
      <c r="L36" s="29">
        <v>1906</v>
      </c>
      <c r="M36" s="29">
        <v>1900</v>
      </c>
      <c r="N36" s="29">
        <v>1826</v>
      </c>
      <c r="O36" s="29">
        <v>1862.5</v>
      </c>
      <c r="P36" s="29">
        <v>1860</v>
      </c>
      <c r="Q36" s="29">
        <v>1886</v>
      </c>
      <c r="R36" s="29">
        <v>1903</v>
      </c>
      <c r="S36" s="29">
        <v>1894</v>
      </c>
      <c r="T36" s="29">
        <v>1889</v>
      </c>
      <c r="U36" s="29">
        <v>1857</v>
      </c>
      <c r="V36" s="29">
        <v>1866</v>
      </c>
      <c r="W36" s="29">
        <v>1888</v>
      </c>
      <c r="X36" s="29">
        <v>1908.5</v>
      </c>
      <c r="Y36" s="29">
        <v>1897</v>
      </c>
      <c r="Z36" s="29">
        <v>1880</v>
      </c>
      <c r="AA36" s="29">
        <v>1872.5</v>
      </c>
      <c r="AB36" s="29">
        <v>1832</v>
      </c>
      <c r="AC36" s="29">
        <v>1813</v>
      </c>
      <c r="AD36" s="29">
        <v>1815.5</v>
      </c>
      <c r="AE36" s="29">
        <v>1797.5</v>
      </c>
      <c r="AF36" s="29">
        <v>1774</v>
      </c>
      <c r="AG36" s="29">
        <v>1773.5</v>
      </c>
      <c r="AH36" s="29">
        <v>1718.5</v>
      </c>
      <c r="AI36" s="29">
        <v>1746.5</v>
      </c>
      <c r="AJ36" s="29">
        <v>1746.5</v>
      </c>
      <c r="AK36" s="29">
        <v>1746.5</v>
      </c>
      <c r="AL36" s="29">
        <v>1721.5</v>
      </c>
      <c r="AM36" s="29">
        <v>1743.5</v>
      </c>
      <c r="AN36" s="29">
        <v>1739.5</v>
      </c>
      <c r="AO36" s="29">
        <v>1746.5</v>
      </c>
      <c r="AP36" s="29">
        <v>1745</v>
      </c>
      <c r="AQ36" s="29">
        <v>1732.5</v>
      </c>
      <c r="AR36" s="29">
        <v>1740</v>
      </c>
      <c r="AS36" s="29">
        <v>1724</v>
      </c>
      <c r="AT36" s="29">
        <v>1717</v>
      </c>
      <c r="AU36" s="29">
        <v>1715</v>
      </c>
      <c r="AV36" s="29">
        <v>1706.5</v>
      </c>
      <c r="AW36" s="29">
        <v>1688</v>
      </c>
      <c r="AX36" s="29">
        <v>1708</v>
      </c>
      <c r="AY36" s="29">
        <v>1696</v>
      </c>
      <c r="AZ36" s="29">
        <v>1681.5</v>
      </c>
      <c r="BA36" s="29">
        <v>1663.5</v>
      </c>
      <c r="BB36" s="29">
        <v>1649</v>
      </c>
      <c r="BC36" s="29">
        <v>1651</v>
      </c>
      <c r="BD36" s="29">
        <v>1650</v>
      </c>
      <c r="BE36" s="29">
        <v>1661.5</v>
      </c>
      <c r="BF36" s="29">
        <v>1682</v>
      </c>
      <c r="BG36" s="29">
        <v>1673.5</v>
      </c>
      <c r="BH36" s="29">
        <v>1670</v>
      </c>
      <c r="BI36" s="29">
        <v>1688</v>
      </c>
      <c r="BJ36" s="29">
        <v>1694</v>
      </c>
      <c r="BK36" s="29">
        <v>1703</v>
      </c>
      <c r="BL36" s="30">
        <v>1701.5</v>
      </c>
      <c r="BM36" s="1">
        <v>1689.5</v>
      </c>
      <c r="BN36" s="1">
        <v>1670</v>
      </c>
      <c r="BO36" s="1">
        <v>1627.5</v>
      </c>
      <c r="BP36" s="1">
        <v>1628</v>
      </c>
      <c r="BQ36" s="1">
        <v>1610.5</v>
      </c>
      <c r="BR36" s="1">
        <v>1626</v>
      </c>
      <c r="BS36" s="1">
        <v>1623.5</v>
      </c>
      <c r="BT36" s="1">
        <v>1636</v>
      </c>
      <c r="BU36" s="1">
        <v>1654.5</v>
      </c>
      <c r="BV36" s="1">
        <v>1644.5</v>
      </c>
      <c r="BW36" s="1">
        <v>1627.5</v>
      </c>
      <c r="BX36" s="1">
        <v>1645.5</v>
      </c>
      <c r="BY36" s="1">
        <v>1623.5</v>
      </c>
      <c r="BZ36" s="1">
        <v>1619.5</v>
      </c>
    </row>
    <row r="37" spans="1:254" ht="15.9" customHeight="1">
      <c r="A37" s="65" t="s">
        <v>69</v>
      </c>
      <c r="B37" s="25" t="s">
        <v>70</v>
      </c>
      <c r="C37" s="39">
        <f>_xll.RssMarket("8570","高値")</f>
        <v>1599</v>
      </c>
      <c r="D37" s="38">
        <f t="shared" si="0"/>
        <v>0</v>
      </c>
      <c r="E37" s="29">
        <v>1599</v>
      </c>
      <c r="F37" s="29">
        <v>1549</v>
      </c>
      <c r="G37" s="29">
        <v>1553</v>
      </c>
      <c r="H37" s="29">
        <v>1576.5</v>
      </c>
      <c r="I37" s="29">
        <v>1588</v>
      </c>
      <c r="J37" s="29">
        <v>1581.5</v>
      </c>
      <c r="K37" s="29">
        <v>1589.5</v>
      </c>
      <c r="L37" s="29">
        <v>1590</v>
      </c>
      <c r="M37" s="29">
        <v>1580</v>
      </c>
      <c r="N37" s="29">
        <v>1566.5</v>
      </c>
      <c r="O37" s="29">
        <v>1576.5</v>
      </c>
      <c r="P37" s="29">
        <v>1588.5</v>
      </c>
      <c r="Q37" s="29">
        <v>1584.5</v>
      </c>
      <c r="R37" s="29">
        <v>1539</v>
      </c>
      <c r="S37" s="29">
        <v>1580.5</v>
      </c>
      <c r="T37" s="29">
        <v>1559.5</v>
      </c>
      <c r="U37" s="29">
        <v>1566.5</v>
      </c>
      <c r="V37" s="29">
        <v>1560</v>
      </c>
      <c r="W37" s="29">
        <v>1539</v>
      </c>
      <c r="X37" s="29">
        <v>1540</v>
      </c>
      <c r="Y37" s="29">
        <v>1537</v>
      </c>
      <c r="Z37" s="29">
        <v>1524.5</v>
      </c>
      <c r="AA37" s="29">
        <v>1514.5</v>
      </c>
      <c r="AB37" s="29">
        <v>1505</v>
      </c>
      <c r="AC37" s="29">
        <v>1472.5</v>
      </c>
      <c r="AD37" s="29">
        <v>1478</v>
      </c>
      <c r="AE37" s="29">
        <v>1480.5</v>
      </c>
      <c r="AF37" s="29">
        <v>1471.5</v>
      </c>
      <c r="AG37" s="29">
        <v>1465.5</v>
      </c>
      <c r="AH37" s="29">
        <v>1461</v>
      </c>
      <c r="AI37" s="29">
        <v>1468</v>
      </c>
      <c r="AJ37" s="29">
        <v>1469</v>
      </c>
      <c r="AK37" s="29">
        <v>1495</v>
      </c>
      <c r="AL37" s="29">
        <v>1507</v>
      </c>
      <c r="AM37" s="29">
        <v>1519</v>
      </c>
      <c r="AN37" s="29">
        <v>1511</v>
      </c>
      <c r="AO37" s="29">
        <v>1531.5</v>
      </c>
      <c r="AP37" s="29">
        <v>1518.5</v>
      </c>
      <c r="AQ37" s="29">
        <v>1510</v>
      </c>
      <c r="AR37" s="29">
        <v>1514.5</v>
      </c>
      <c r="AS37" s="29">
        <v>1478</v>
      </c>
      <c r="AT37" s="29">
        <v>1474.5</v>
      </c>
      <c r="AU37" s="29">
        <v>1467.5</v>
      </c>
      <c r="AV37" s="29">
        <v>1467.5</v>
      </c>
      <c r="AW37" s="29">
        <v>1460</v>
      </c>
      <c r="AX37" s="29">
        <v>1539.5</v>
      </c>
      <c r="AY37" s="29">
        <v>1545</v>
      </c>
      <c r="AZ37" s="29">
        <v>1551.5</v>
      </c>
      <c r="BA37" s="29">
        <v>1562.5</v>
      </c>
      <c r="BB37" s="29">
        <v>1594.5</v>
      </c>
      <c r="BC37" s="29">
        <v>1619</v>
      </c>
      <c r="BD37" s="29">
        <v>1590</v>
      </c>
      <c r="BE37" s="29">
        <v>1595</v>
      </c>
      <c r="BF37" s="29">
        <v>1595.5</v>
      </c>
      <c r="BG37" s="29">
        <v>1569</v>
      </c>
      <c r="BH37" s="29">
        <v>1566.5</v>
      </c>
      <c r="BI37" s="29">
        <v>1567.5</v>
      </c>
      <c r="BJ37" s="29">
        <v>1565</v>
      </c>
      <c r="BK37" s="29">
        <v>1535.5</v>
      </c>
      <c r="BL37" s="30">
        <v>1540</v>
      </c>
      <c r="BM37" s="1">
        <v>1575</v>
      </c>
      <c r="BN37" s="1">
        <v>1561.5</v>
      </c>
      <c r="BO37" s="1">
        <v>1561.5</v>
      </c>
      <c r="BP37" s="1">
        <v>1561.5</v>
      </c>
      <c r="BQ37" s="1">
        <v>1549.5</v>
      </c>
      <c r="BR37" s="1">
        <v>1565</v>
      </c>
      <c r="BS37" s="1">
        <v>1562.5</v>
      </c>
      <c r="BT37" s="1">
        <v>1560.5</v>
      </c>
      <c r="BU37" s="1">
        <v>1571</v>
      </c>
      <c r="BV37" s="1">
        <v>1573</v>
      </c>
      <c r="BW37" s="1">
        <v>1609.5</v>
      </c>
      <c r="BX37" s="1">
        <v>1650</v>
      </c>
      <c r="BY37" s="1">
        <v>1631</v>
      </c>
      <c r="BZ37" s="1">
        <v>1625</v>
      </c>
    </row>
    <row r="38" spans="1:254" ht="15.9" customHeight="1">
      <c r="A38" s="65" t="s">
        <v>71</v>
      </c>
      <c r="B38" s="25" t="s">
        <v>72</v>
      </c>
      <c r="C38" s="39">
        <f>_xll.RssMarket("5406","高値")</f>
        <v>2022</v>
      </c>
      <c r="D38" s="38">
        <f t="shared" ref="D38:D69" si="1">C38-E38</f>
        <v>0</v>
      </c>
      <c r="E38" s="29">
        <v>2022</v>
      </c>
      <c r="F38" s="29">
        <v>2093.5</v>
      </c>
      <c r="G38" s="29">
        <v>2081</v>
      </c>
      <c r="H38" s="29">
        <v>2073.5</v>
      </c>
      <c r="I38" s="29">
        <v>2098.5</v>
      </c>
      <c r="J38" s="29">
        <v>2079.5</v>
      </c>
      <c r="K38" s="29">
        <v>2072</v>
      </c>
      <c r="L38" s="29">
        <v>2036</v>
      </c>
      <c r="M38" s="29">
        <v>2044.5</v>
      </c>
      <c r="N38" s="29">
        <v>1992.5</v>
      </c>
      <c r="O38" s="29">
        <v>1998</v>
      </c>
      <c r="P38" s="29">
        <v>2001</v>
      </c>
      <c r="Q38" s="29">
        <v>1974.5</v>
      </c>
      <c r="R38" s="29">
        <v>1954.5</v>
      </c>
      <c r="S38" s="29">
        <v>1938.5</v>
      </c>
      <c r="T38" s="29">
        <v>1929.5</v>
      </c>
      <c r="U38" s="29">
        <v>1886.5</v>
      </c>
      <c r="V38" s="29">
        <v>1883.5</v>
      </c>
      <c r="W38" s="29">
        <v>1888.5</v>
      </c>
      <c r="X38" s="29">
        <v>1904</v>
      </c>
      <c r="Y38" s="29">
        <v>1946</v>
      </c>
      <c r="Z38" s="29">
        <v>1947</v>
      </c>
      <c r="AA38" s="29">
        <v>1914.5</v>
      </c>
      <c r="AB38" s="29">
        <v>1882.5</v>
      </c>
      <c r="AC38" s="29">
        <v>1874</v>
      </c>
      <c r="AD38" s="29">
        <v>1883</v>
      </c>
      <c r="AE38" s="29">
        <v>1882.5</v>
      </c>
      <c r="AF38" s="29">
        <v>1882.5</v>
      </c>
      <c r="AG38" s="29">
        <v>1911</v>
      </c>
      <c r="AH38" s="29">
        <v>1910.5</v>
      </c>
      <c r="AI38" s="29">
        <v>1968.5</v>
      </c>
      <c r="AJ38" s="29">
        <v>1970.5</v>
      </c>
      <c r="AK38" s="29">
        <v>2002.5</v>
      </c>
      <c r="AL38" s="29">
        <v>2004.5</v>
      </c>
      <c r="AM38" s="29">
        <v>1995</v>
      </c>
      <c r="AN38" s="29">
        <v>2003</v>
      </c>
      <c r="AO38" s="29">
        <v>2001</v>
      </c>
      <c r="AP38" s="29">
        <v>1966.5</v>
      </c>
      <c r="AQ38" s="29">
        <v>1901</v>
      </c>
      <c r="AR38" s="29">
        <v>1923</v>
      </c>
      <c r="AS38" s="29">
        <v>1932</v>
      </c>
      <c r="AT38" s="29">
        <v>1963</v>
      </c>
      <c r="AU38" s="29">
        <v>1971.5</v>
      </c>
      <c r="AV38" s="29">
        <v>1987</v>
      </c>
      <c r="AW38" s="29">
        <v>1959.5</v>
      </c>
      <c r="AX38" s="29">
        <v>2002.5</v>
      </c>
      <c r="AY38" s="29">
        <v>1987.5</v>
      </c>
      <c r="AZ38" s="29">
        <v>2018.5</v>
      </c>
      <c r="BA38" s="29">
        <v>1969</v>
      </c>
      <c r="BB38" s="29">
        <v>1966.5</v>
      </c>
      <c r="BC38" s="29">
        <v>1936</v>
      </c>
      <c r="BD38" s="29">
        <v>1917.5</v>
      </c>
      <c r="BE38" s="29">
        <v>1929</v>
      </c>
      <c r="BF38" s="29">
        <v>1955.5</v>
      </c>
      <c r="BG38" s="29">
        <v>1979</v>
      </c>
      <c r="BH38" s="29">
        <v>1985.5</v>
      </c>
      <c r="BI38" s="29">
        <v>1996.5</v>
      </c>
      <c r="BJ38" s="29">
        <v>2024</v>
      </c>
      <c r="BK38" s="29">
        <v>2052</v>
      </c>
      <c r="BL38" s="30">
        <v>1967</v>
      </c>
      <c r="BM38" s="1">
        <v>2008</v>
      </c>
      <c r="BN38" s="1">
        <v>1950</v>
      </c>
      <c r="BO38" s="1">
        <v>1934</v>
      </c>
      <c r="BP38" s="1">
        <v>1898.5</v>
      </c>
      <c r="BQ38" s="1">
        <v>1874.5</v>
      </c>
      <c r="BR38" s="1">
        <v>1858</v>
      </c>
      <c r="BS38" s="1">
        <v>1870</v>
      </c>
      <c r="BT38" s="1">
        <v>1901.5</v>
      </c>
      <c r="BU38" s="1">
        <v>1939</v>
      </c>
      <c r="BV38" s="1">
        <v>1946.5</v>
      </c>
      <c r="BW38" s="1">
        <v>1943</v>
      </c>
      <c r="BX38" s="1">
        <v>1954.5</v>
      </c>
      <c r="BY38" s="1">
        <v>1955</v>
      </c>
      <c r="BZ38" s="1">
        <v>1969</v>
      </c>
    </row>
    <row r="39" spans="1:254" ht="15.9" customHeight="1">
      <c r="A39" s="65" t="s">
        <v>73</v>
      </c>
      <c r="B39" s="25" t="s">
        <v>74</v>
      </c>
      <c r="C39" s="39">
        <f>_xll.RssMarket("8593","高値")</f>
        <v>1430</v>
      </c>
      <c r="D39" s="38">
        <f t="shared" si="1"/>
        <v>0</v>
      </c>
      <c r="E39" s="29">
        <v>1430</v>
      </c>
      <c r="F39" s="29">
        <v>1422</v>
      </c>
      <c r="G39" s="29">
        <v>1436</v>
      </c>
      <c r="H39" s="29">
        <v>1453</v>
      </c>
      <c r="I39" s="29">
        <v>1486.5</v>
      </c>
      <c r="J39" s="29">
        <v>1511.5</v>
      </c>
      <c r="K39" s="29">
        <v>1518</v>
      </c>
      <c r="L39" s="29">
        <v>1470.5</v>
      </c>
      <c r="M39" s="29">
        <v>1470</v>
      </c>
      <c r="N39" s="29">
        <v>1441</v>
      </c>
      <c r="O39" s="29">
        <v>1440.5</v>
      </c>
      <c r="P39" s="29">
        <v>1442</v>
      </c>
      <c r="Q39" s="29">
        <v>1444</v>
      </c>
      <c r="R39" s="29">
        <v>1416</v>
      </c>
      <c r="S39" s="29">
        <v>1418.5</v>
      </c>
      <c r="T39" s="29">
        <v>1401</v>
      </c>
      <c r="U39" s="29">
        <v>1381.5</v>
      </c>
      <c r="V39" s="29">
        <v>1379</v>
      </c>
      <c r="W39" s="29">
        <v>1378</v>
      </c>
      <c r="X39" s="29">
        <v>1392.5</v>
      </c>
      <c r="Y39" s="29">
        <v>1388.5</v>
      </c>
      <c r="Z39" s="29">
        <v>1372.5</v>
      </c>
      <c r="AA39" s="29">
        <v>1362</v>
      </c>
      <c r="AB39" s="29">
        <v>1332.5</v>
      </c>
      <c r="AC39" s="29">
        <v>1318</v>
      </c>
      <c r="AD39" s="29">
        <v>1330.5</v>
      </c>
      <c r="AE39" s="29">
        <v>1324.5</v>
      </c>
      <c r="AF39" s="29">
        <v>1311</v>
      </c>
      <c r="AG39" s="29">
        <v>1306</v>
      </c>
      <c r="AH39" s="29">
        <v>1301.5</v>
      </c>
      <c r="AI39" s="29">
        <v>1305.5</v>
      </c>
      <c r="AJ39" s="29">
        <v>1312</v>
      </c>
      <c r="AK39" s="29">
        <v>1317</v>
      </c>
      <c r="AL39" s="29">
        <v>1324</v>
      </c>
      <c r="AM39" s="29">
        <v>1338</v>
      </c>
      <c r="AN39" s="29">
        <v>1332.5</v>
      </c>
      <c r="AO39" s="29">
        <v>1347.5</v>
      </c>
      <c r="AP39" s="29">
        <v>1324</v>
      </c>
      <c r="AQ39" s="29">
        <v>1326.5</v>
      </c>
      <c r="AR39" s="29">
        <v>1335</v>
      </c>
      <c r="AS39" s="29">
        <v>1298.5</v>
      </c>
      <c r="AT39" s="29">
        <v>1289.5</v>
      </c>
      <c r="AU39" s="29">
        <v>1271.5</v>
      </c>
      <c r="AV39" s="29">
        <v>1271</v>
      </c>
      <c r="AW39" s="29">
        <v>1270</v>
      </c>
      <c r="AX39" s="29">
        <v>1328</v>
      </c>
      <c r="AY39" s="29">
        <v>1314.5</v>
      </c>
      <c r="AZ39" s="29">
        <v>1341</v>
      </c>
      <c r="BA39" s="29">
        <v>1328.5</v>
      </c>
      <c r="BB39" s="29">
        <v>1331</v>
      </c>
      <c r="BC39" s="29">
        <v>1363.5</v>
      </c>
      <c r="BD39" s="29">
        <v>1354.5</v>
      </c>
      <c r="BE39" s="29">
        <v>1357.5</v>
      </c>
      <c r="BF39" s="29">
        <v>1383.5</v>
      </c>
      <c r="BG39" s="29">
        <v>1436.5</v>
      </c>
      <c r="BH39" s="29">
        <v>1435</v>
      </c>
      <c r="BI39" s="29">
        <v>1446.5</v>
      </c>
      <c r="BJ39" s="29">
        <v>1445</v>
      </c>
      <c r="BK39" s="29">
        <v>1414.5</v>
      </c>
      <c r="BL39" s="30">
        <v>1412</v>
      </c>
      <c r="BM39" s="1">
        <v>1420</v>
      </c>
      <c r="BN39" s="1">
        <v>1411</v>
      </c>
      <c r="BO39" s="1">
        <v>1435</v>
      </c>
      <c r="BP39" s="1">
        <v>1443</v>
      </c>
      <c r="BQ39" s="1">
        <v>1421</v>
      </c>
      <c r="BR39" s="1">
        <v>1419</v>
      </c>
      <c r="BS39" s="1">
        <v>1414.5</v>
      </c>
      <c r="BT39" s="1">
        <v>1438</v>
      </c>
      <c r="BU39" s="1">
        <v>1461</v>
      </c>
      <c r="BV39" s="1">
        <v>1474.5</v>
      </c>
      <c r="BW39" s="1">
        <v>1473.5</v>
      </c>
      <c r="BX39" s="1">
        <v>1478</v>
      </c>
      <c r="BY39" s="1">
        <v>1473.5</v>
      </c>
      <c r="BZ39" s="1">
        <v>1477</v>
      </c>
    </row>
    <row r="40" spans="1:254" ht="15.9" customHeight="1">
      <c r="A40" s="65" t="s">
        <v>75</v>
      </c>
      <c r="B40" s="25" t="s">
        <v>76</v>
      </c>
      <c r="C40" s="39">
        <f>_xll.RssMarket("8604","高値")</f>
        <v>1580</v>
      </c>
      <c r="D40" s="38">
        <f t="shared" si="1"/>
        <v>0</v>
      </c>
      <c r="E40" s="29">
        <v>1580</v>
      </c>
      <c r="F40" s="29">
        <v>1566</v>
      </c>
      <c r="G40" s="29">
        <v>1523.5</v>
      </c>
      <c r="H40" s="29">
        <v>1510.5</v>
      </c>
      <c r="I40" s="29">
        <v>1537.5</v>
      </c>
      <c r="J40" s="29">
        <v>1486</v>
      </c>
      <c r="K40" s="29">
        <v>1579</v>
      </c>
      <c r="L40" s="29">
        <v>1596</v>
      </c>
      <c r="M40" s="29">
        <v>1623</v>
      </c>
      <c r="N40" s="29">
        <v>1618</v>
      </c>
      <c r="O40" s="29">
        <v>1624.5</v>
      </c>
      <c r="P40" s="29">
        <v>1624.5</v>
      </c>
      <c r="Q40" s="29">
        <v>1586.5</v>
      </c>
      <c r="R40" s="29">
        <v>1587</v>
      </c>
      <c r="S40" s="29">
        <v>1631.5</v>
      </c>
      <c r="T40" s="29">
        <v>1563</v>
      </c>
      <c r="U40" s="29">
        <v>1577</v>
      </c>
      <c r="V40" s="29">
        <v>1554</v>
      </c>
      <c r="W40" s="29">
        <v>1528</v>
      </c>
      <c r="X40" s="29">
        <v>1554</v>
      </c>
      <c r="Y40" s="29">
        <v>1546.5</v>
      </c>
      <c r="Z40" s="29">
        <v>1491</v>
      </c>
      <c r="AA40" s="29">
        <v>1474.5</v>
      </c>
      <c r="AB40" s="29">
        <v>1458</v>
      </c>
      <c r="AC40" s="29">
        <v>1465.5</v>
      </c>
      <c r="AD40" s="29">
        <v>1428.5</v>
      </c>
      <c r="AE40" s="29">
        <v>1432</v>
      </c>
      <c r="AF40" s="29">
        <v>1464.5</v>
      </c>
      <c r="AG40" s="29">
        <v>1422.5</v>
      </c>
      <c r="AH40" s="29">
        <v>1429.5</v>
      </c>
      <c r="AI40" s="29">
        <v>1439</v>
      </c>
      <c r="AJ40" s="29">
        <v>1436.5</v>
      </c>
      <c r="AK40" s="29">
        <v>1443</v>
      </c>
      <c r="AL40" s="29">
        <v>1439.5</v>
      </c>
      <c r="AM40" s="29">
        <v>1478</v>
      </c>
      <c r="AN40" s="29">
        <v>1416.5</v>
      </c>
      <c r="AO40" s="29">
        <v>1425</v>
      </c>
      <c r="AP40" s="29">
        <v>1376</v>
      </c>
      <c r="AQ40" s="29">
        <v>1365</v>
      </c>
      <c r="AR40" s="29">
        <v>1419</v>
      </c>
      <c r="AS40" s="29">
        <v>1359.5</v>
      </c>
      <c r="AT40" s="29">
        <v>1386.5</v>
      </c>
      <c r="AU40" s="29">
        <v>1359.5</v>
      </c>
      <c r="AV40" s="29">
        <v>1354.5</v>
      </c>
      <c r="AW40" s="29">
        <v>1324</v>
      </c>
      <c r="AX40" s="29">
        <v>1307.5</v>
      </c>
      <c r="AY40" s="29">
        <v>1256</v>
      </c>
      <c r="AZ40" s="29">
        <v>1263.5</v>
      </c>
      <c r="BA40" s="29">
        <v>1295</v>
      </c>
      <c r="BB40" s="29">
        <v>1312</v>
      </c>
      <c r="BC40" s="29">
        <v>1298.5</v>
      </c>
      <c r="BD40" s="29">
        <v>1278</v>
      </c>
      <c r="BE40" s="29">
        <v>1282</v>
      </c>
      <c r="BF40" s="29">
        <v>1273</v>
      </c>
      <c r="BG40" s="29">
        <v>1287.5</v>
      </c>
      <c r="BH40" s="29">
        <v>1287.5</v>
      </c>
      <c r="BI40" s="29">
        <v>1275</v>
      </c>
      <c r="BJ40" s="29">
        <v>1239</v>
      </c>
      <c r="BK40" s="29">
        <v>1233</v>
      </c>
      <c r="BL40" s="30">
        <v>1246</v>
      </c>
      <c r="BM40" s="1">
        <v>1265.5</v>
      </c>
      <c r="BN40" s="1">
        <v>1251</v>
      </c>
      <c r="BO40" s="1">
        <v>1260</v>
      </c>
      <c r="BP40" s="1">
        <v>1275</v>
      </c>
      <c r="BQ40" s="1">
        <v>1251.5</v>
      </c>
      <c r="BR40" s="1">
        <v>1330.5</v>
      </c>
      <c r="BS40" s="1">
        <v>1347.5</v>
      </c>
      <c r="BT40" s="1">
        <v>1348.5</v>
      </c>
      <c r="BU40" s="1">
        <v>1352</v>
      </c>
      <c r="BV40" s="1">
        <v>1349</v>
      </c>
      <c r="BW40" s="1">
        <v>1365</v>
      </c>
      <c r="BX40" s="1">
        <v>1436.5</v>
      </c>
      <c r="BY40" s="1">
        <v>1372.5</v>
      </c>
      <c r="BZ40" s="1">
        <v>1332.5</v>
      </c>
    </row>
    <row r="41" spans="1:254" ht="15.9" customHeight="1">
      <c r="A41" s="65" t="s">
        <v>77</v>
      </c>
      <c r="B41" s="25" t="s">
        <v>78</v>
      </c>
      <c r="C41" s="39">
        <f>_xll.RssMarket("3861","高値")</f>
        <v>875.8</v>
      </c>
      <c r="D41" s="38">
        <f t="shared" si="1"/>
        <v>0</v>
      </c>
      <c r="E41" s="29">
        <v>875.8</v>
      </c>
      <c r="F41" s="29">
        <v>878.1</v>
      </c>
      <c r="G41" s="29">
        <v>881.4</v>
      </c>
      <c r="H41" s="29">
        <v>877.9</v>
      </c>
      <c r="I41" s="29">
        <v>890.5</v>
      </c>
      <c r="J41" s="29">
        <v>897.5</v>
      </c>
      <c r="K41" s="29">
        <v>898.2</v>
      </c>
      <c r="L41" s="29">
        <v>886.2</v>
      </c>
      <c r="M41" s="29">
        <v>882.4</v>
      </c>
      <c r="N41" s="29">
        <v>865.2</v>
      </c>
      <c r="O41" s="29">
        <v>874.1</v>
      </c>
      <c r="P41" s="29">
        <v>859.6</v>
      </c>
      <c r="Q41" s="29">
        <v>857</v>
      </c>
      <c r="R41" s="29">
        <v>850.9</v>
      </c>
      <c r="S41" s="29">
        <v>831.5</v>
      </c>
      <c r="T41" s="29">
        <v>828</v>
      </c>
      <c r="U41" s="29">
        <v>826</v>
      </c>
      <c r="V41" s="29">
        <v>824.9</v>
      </c>
      <c r="W41" s="29">
        <v>828</v>
      </c>
      <c r="X41" s="29">
        <v>834.3</v>
      </c>
      <c r="Y41" s="29">
        <v>831.8</v>
      </c>
      <c r="Z41" s="29">
        <v>832.8</v>
      </c>
      <c r="AA41" s="29">
        <v>835</v>
      </c>
      <c r="AB41" s="29">
        <v>816</v>
      </c>
      <c r="AC41" s="29">
        <v>799.2</v>
      </c>
      <c r="AD41" s="29">
        <v>808</v>
      </c>
      <c r="AE41" s="29">
        <v>805.3</v>
      </c>
      <c r="AF41" s="29">
        <v>790.3</v>
      </c>
      <c r="AG41" s="29">
        <v>790.9</v>
      </c>
      <c r="AH41" s="29">
        <v>783</v>
      </c>
      <c r="AI41" s="29">
        <v>800</v>
      </c>
      <c r="AJ41" s="29">
        <v>804</v>
      </c>
      <c r="AK41" s="29">
        <v>805</v>
      </c>
      <c r="AL41" s="29">
        <v>803.9</v>
      </c>
      <c r="AM41" s="29">
        <v>805.9</v>
      </c>
      <c r="AN41" s="29">
        <v>800</v>
      </c>
      <c r="AO41" s="29">
        <v>812.3</v>
      </c>
      <c r="AP41" s="29">
        <v>794.4</v>
      </c>
      <c r="AQ41" s="29">
        <v>787.7</v>
      </c>
      <c r="AR41" s="29">
        <v>792</v>
      </c>
      <c r="AS41" s="29">
        <v>785.8</v>
      </c>
      <c r="AT41" s="29">
        <v>787.9</v>
      </c>
      <c r="AU41" s="29">
        <v>784</v>
      </c>
      <c r="AV41" s="29">
        <v>783.9</v>
      </c>
      <c r="AW41" s="29">
        <v>771</v>
      </c>
      <c r="AX41" s="29">
        <v>789.9</v>
      </c>
      <c r="AY41" s="29">
        <v>797.7</v>
      </c>
      <c r="AZ41" s="29">
        <v>786.3</v>
      </c>
      <c r="BA41" s="29">
        <v>783.6</v>
      </c>
      <c r="BB41" s="29">
        <v>796</v>
      </c>
      <c r="BC41" s="29">
        <v>821</v>
      </c>
      <c r="BD41" s="29">
        <v>820</v>
      </c>
      <c r="BE41" s="29">
        <v>829.6</v>
      </c>
      <c r="BF41" s="29">
        <v>853.7</v>
      </c>
      <c r="BG41" s="29">
        <v>858</v>
      </c>
      <c r="BH41" s="29">
        <v>849.5</v>
      </c>
      <c r="BI41" s="29">
        <v>844.6</v>
      </c>
      <c r="BJ41" s="29">
        <v>835</v>
      </c>
      <c r="BK41" s="29">
        <v>831.8</v>
      </c>
      <c r="BL41" s="30">
        <v>844</v>
      </c>
      <c r="BM41" s="1">
        <v>839.2</v>
      </c>
      <c r="BN41" s="1">
        <v>829.3</v>
      </c>
      <c r="BO41" s="1">
        <v>825.9</v>
      </c>
      <c r="BP41" s="1">
        <v>825.8</v>
      </c>
      <c r="BQ41" s="1">
        <v>826.5</v>
      </c>
      <c r="BR41" s="1">
        <v>826.8</v>
      </c>
      <c r="BS41" s="1">
        <v>826.8</v>
      </c>
      <c r="BT41" s="1">
        <v>843.3</v>
      </c>
      <c r="BU41" s="1">
        <v>845</v>
      </c>
      <c r="BV41" s="1">
        <v>852.1</v>
      </c>
      <c r="BW41" s="1">
        <v>852.7</v>
      </c>
      <c r="BX41" s="1">
        <v>855.5</v>
      </c>
      <c r="BY41" s="1">
        <v>854.3</v>
      </c>
      <c r="BZ41" s="1">
        <v>857.4</v>
      </c>
    </row>
    <row r="42" spans="1:254" ht="15.9" customHeight="1">
      <c r="A42" s="65" t="s">
        <v>79</v>
      </c>
      <c r="B42" s="25" t="s">
        <v>80</v>
      </c>
      <c r="C42" s="39">
        <f>_xll.RssMarket("5947","高値")</f>
        <v>3644</v>
      </c>
      <c r="D42" s="38">
        <f t="shared" si="1"/>
        <v>0</v>
      </c>
      <c r="E42" s="29">
        <v>3644</v>
      </c>
      <c r="F42" s="29">
        <v>3500</v>
      </c>
      <c r="G42" s="29">
        <v>3558</v>
      </c>
      <c r="H42" s="29">
        <v>3599</v>
      </c>
      <c r="I42" s="29">
        <v>3672</v>
      </c>
      <c r="J42" s="29">
        <v>3797</v>
      </c>
      <c r="K42" s="29">
        <v>3794</v>
      </c>
      <c r="L42" s="29">
        <v>3703</v>
      </c>
      <c r="M42" s="29">
        <v>3657</v>
      </c>
      <c r="N42" s="29">
        <v>3576</v>
      </c>
      <c r="O42" s="29">
        <v>3578</v>
      </c>
      <c r="P42" s="29">
        <v>3608</v>
      </c>
      <c r="Q42" s="29">
        <v>3669</v>
      </c>
      <c r="R42" s="29">
        <v>3662</v>
      </c>
      <c r="S42" s="29">
        <v>3638</v>
      </c>
      <c r="T42" s="29">
        <v>3640</v>
      </c>
      <c r="U42" s="29">
        <v>3600</v>
      </c>
      <c r="V42" s="29">
        <v>3596</v>
      </c>
      <c r="W42" s="29">
        <v>3624</v>
      </c>
      <c r="X42" s="29">
        <v>3673</v>
      </c>
      <c r="Y42" s="29">
        <v>3694</v>
      </c>
      <c r="Z42" s="29">
        <v>3632</v>
      </c>
      <c r="AA42" s="29">
        <v>3629</v>
      </c>
      <c r="AB42" s="29">
        <v>3606</v>
      </c>
      <c r="AC42" s="29">
        <v>3584</v>
      </c>
      <c r="AD42" s="29">
        <v>3616</v>
      </c>
      <c r="AE42" s="29">
        <v>3624</v>
      </c>
      <c r="AF42" s="29">
        <v>3588</v>
      </c>
      <c r="AG42" s="29">
        <v>3592</v>
      </c>
      <c r="AH42" s="29">
        <v>3520</v>
      </c>
      <c r="AI42" s="29">
        <v>3515</v>
      </c>
      <c r="AJ42" s="29">
        <v>3500</v>
      </c>
      <c r="AK42" s="29">
        <v>3500</v>
      </c>
      <c r="AL42" s="29">
        <v>3468</v>
      </c>
      <c r="AM42" s="29">
        <v>3465</v>
      </c>
      <c r="AN42" s="29">
        <v>3441</v>
      </c>
      <c r="AO42" s="29">
        <v>3527</v>
      </c>
      <c r="AP42" s="29">
        <v>3560</v>
      </c>
      <c r="AQ42" s="29">
        <v>3542</v>
      </c>
      <c r="AR42" s="29">
        <v>3598</v>
      </c>
      <c r="AS42" s="29">
        <v>3523</v>
      </c>
      <c r="AT42" s="29">
        <v>3512</v>
      </c>
      <c r="AU42" s="29">
        <v>3432</v>
      </c>
      <c r="AV42" s="29">
        <v>3392</v>
      </c>
      <c r="AW42" s="29">
        <v>3344</v>
      </c>
      <c r="AX42" s="29">
        <v>3433</v>
      </c>
      <c r="AY42" s="29">
        <v>3462</v>
      </c>
      <c r="AZ42" s="29">
        <v>3470</v>
      </c>
      <c r="BA42" s="29">
        <v>3502</v>
      </c>
      <c r="BB42" s="29">
        <v>3558</v>
      </c>
      <c r="BC42" s="29">
        <v>3609</v>
      </c>
      <c r="BD42" s="29">
        <v>3569</v>
      </c>
      <c r="BE42" s="29">
        <v>3596</v>
      </c>
      <c r="BF42" s="29">
        <v>3492</v>
      </c>
      <c r="BG42" s="29">
        <v>3462</v>
      </c>
      <c r="BH42" s="29">
        <v>3404</v>
      </c>
      <c r="BI42" s="29">
        <v>3461</v>
      </c>
      <c r="BJ42" s="29">
        <v>3761</v>
      </c>
      <c r="BK42" s="29">
        <v>3603</v>
      </c>
      <c r="BL42" s="30">
        <v>3700</v>
      </c>
      <c r="BM42" s="1">
        <v>3750</v>
      </c>
      <c r="BN42" s="1">
        <v>3615</v>
      </c>
      <c r="BO42" s="1">
        <v>3562</v>
      </c>
      <c r="BP42" s="1">
        <v>3606</v>
      </c>
      <c r="BQ42" s="1">
        <v>3549</v>
      </c>
      <c r="BR42" s="1">
        <v>3526</v>
      </c>
      <c r="BS42" s="1">
        <v>3518</v>
      </c>
      <c r="BT42" s="1">
        <v>3527</v>
      </c>
      <c r="BU42" s="1">
        <v>3534</v>
      </c>
      <c r="BV42" s="1">
        <v>3572</v>
      </c>
      <c r="BW42" s="1">
        <v>3555</v>
      </c>
      <c r="BX42" s="1">
        <v>3606</v>
      </c>
      <c r="BY42" s="1">
        <v>3605</v>
      </c>
      <c r="BZ42" s="1">
        <v>3680</v>
      </c>
    </row>
    <row r="43" spans="1:254" ht="15.9" customHeight="1">
      <c r="A43" s="65" t="s">
        <v>81</v>
      </c>
      <c r="B43" s="25" t="s">
        <v>82</v>
      </c>
      <c r="C43" s="39">
        <f>_xll.RssMarket("8750","高値")</f>
        <v>1928.5</v>
      </c>
      <c r="D43" s="38">
        <f t="shared" si="1"/>
        <v>0</v>
      </c>
      <c r="E43" s="29">
        <v>1928.5</v>
      </c>
      <c r="F43" s="29">
        <v>1914.5</v>
      </c>
      <c r="G43" s="29">
        <v>1896</v>
      </c>
      <c r="H43" s="29">
        <v>1900</v>
      </c>
      <c r="I43" s="29">
        <v>1938</v>
      </c>
      <c r="J43" s="29">
        <v>1919</v>
      </c>
      <c r="K43" s="29">
        <v>1940</v>
      </c>
      <c r="L43" s="29">
        <v>1939</v>
      </c>
      <c r="M43" s="29">
        <v>1959</v>
      </c>
      <c r="N43" s="29"/>
      <c r="O43" s="29">
        <v>1905.5</v>
      </c>
      <c r="P43" s="29">
        <v>1900</v>
      </c>
      <c r="Q43" s="29">
        <v>1877.5</v>
      </c>
      <c r="R43" s="29">
        <v>1848</v>
      </c>
      <c r="S43" s="29">
        <v>1917</v>
      </c>
      <c r="T43" s="29">
        <v>1856</v>
      </c>
      <c r="U43" s="29">
        <v>1860.5</v>
      </c>
      <c r="V43" s="29">
        <v>1901.5</v>
      </c>
      <c r="W43" s="29">
        <v>1877</v>
      </c>
      <c r="X43" s="29">
        <v>1878</v>
      </c>
      <c r="Y43" s="29">
        <v>1903</v>
      </c>
      <c r="Z43" s="29">
        <v>1882</v>
      </c>
      <c r="AA43" s="29">
        <v>1864.5</v>
      </c>
      <c r="AB43" s="29">
        <v>1840.5</v>
      </c>
      <c r="AC43" s="29">
        <v>1813</v>
      </c>
      <c r="AD43" s="29">
        <v>1792.5</v>
      </c>
      <c r="AE43" s="29">
        <v>1761</v>
      </c>
      <c r="AF43" s="29">
        <v>1737.5</v>
      </c>
      <c r="AG43" s="29">
        <v>1750</v>
      </c>
      <c r="AH43" s="29">
        <v>1812</v>
      </c>
      <c r="AI43" s="29">
        <v>1860</v>
      </c>
      <c r="AJ43" s="29">
        <v>1841.5</v>
      </c>
      <c r="AK43" s="29">
        <v>1843</v>
      </c>
      <c r="AL43" s="29">
        <v>1823</v>
      </c>
      <c r="AM43" s="29">
        <v>1834</v>
      </c>
      <c r="AN43" s="29">
        <v>1789.5</v>
      </c>
      <c r="AO43" s="29">
        <v>1816</v>
      </c>
      <c r="AP43" s="29">
        <v>1777</v>
      </c>
      <c r="AQ43" s="29">
        <v>1747.5</v>
      </c>
      <c r="AR43" s="29">
        <v>1787</v>
      </c>
      <c r="AS43" s="29">
        <v>1667.5</v>
      </c>
      <c r="AT43" s="29">
        <v>1714.5</v>
      </c>
      <c r="AU43" s="29">
        <v>1654</v>
      </c>
      <c r="AV43" s="29">
        <v>1655</v>
      </c>
      <c r="AW43" s="29">
        <v>1626.5</v>
      </c>
      <c r="AX43" s="29">
        <v>1648.5</v>
      </c>
      <c r="AY43" s="29">
        <v>1653</v>
      </c>
      <c r="AZ43" s="29">
        <v>1675</v>
      </c>
      <c r="BA43" s="29">
        <v>1691.5</v>
      </c>
      <c r="BB43" s="29">
        <v>1675.5</v>
      </c>
      <c r="BC43" s="29">
        <v>1695.5</v>
      </c>
      <c r="BD43" s="29">
        <v>1678</v>
      </c>
      <c r="BE43" s="29">
        <v>1676</v>
      </c>
      <c r="BF43" s="29">
        <v>1670</v>
      </c>
      <c r="BG43" s="29">
        <v>1618</v>
      </c>
      <c r="BH43" s="29">
        <v>1501.5</v>
      </c>
      <c r="BI43" s="29">
        <v>1510.5</v>
      </c>
      <c r="BJ43" s="29">
        <v>1501.5</v>
      </c>
      <c r="BK43" s="29">
        <v>1466.5</v>
      </c>
      <c r="BL43" s="30">
        <v>1459.5</v>
      </c>
      <c r="BM43" s="1">
        <v>1472</v>
      </c>
      <c r="BN43" s="1">
        <v>1426</v>
      </c>
      <c r="BO43" s="1">
        <v>1441</v>
      </c>
      <c r="BP43" s="1">
        <v>1444</v>
      </c>
      <c r="BQ43" s="1">
        <v>1406.5</v>
      </c>
      <c r="BR43" s="1">
        <v>1424</v>
      </c>
      <c r="BS43" s="1">
        <v>1424.5</v>
      </c>
      <c r="BT43" s="1">
        <v>1440.5</v>
      </c>
      <c r="BU43" s="1">
        <v>1467</v>
      </c>
      <c r="BV43" s="1">
        <v>1484</v>
      </c>
      <c r="BW43" s="1">
        <v>1495.5</v>
      </c>
      <c r="BX43" s="1">
        <v>1516</v>
      </c>
      <c r="BY43" s="1">
        <v>1500</v>
      </c>
      <c r="BZ43" s="1">
        <v>1503</v>
      </c>
    </row>
    <row r="44" spans="1:254" ht="15.9" customHeight="1">
      <c r="A44" s="65" t="s">
        <v>83</v>
      </c>
      <c r="B44" s="25" t="s">
        <v>84</v>
      </c>
      <c r="C44" s="39">
        <f>_xll.RssMarket("3402","高値")</f>
        <v>1306</v>
      </c>
      <c r="D44" s="38">
        <f t="shared" si="1"/>
        <v>0</v>
      </c>
      <c r="E44" s="29">
        <v>1306</v>
      </c>
      <c r="F44" s="29">
        <v>1188.5</v>
      </c>
      <c r="G44" s="29">
        <v>1153.5</v>
      </c>
      <c r="H44" s="29">
        <v>1141</v>
      </c>
      <c r="I44" s="29">
        <v>1165</v>
      </c>
      <c r="J44" s="29">
        <v>1166</v>
      </c>
      <c r="K44" s="29">
        <v>1171.5</v>
      </c>
      <c r="L44" s="29">
        <v>1177</v>
      </c>
      <c r="M44" s="29">
        <v>1182</v>
      </c>
      <c r="N44" s="29">
        <v>1170</v>
      </c>
      <c r="O44" s="29">
        <v>1179.5</v>
      </c>
      <c r="P44" s="29">
        <v>1183.5</v>
      </c>
      <c r="Q44" s="29">
        <v>1167.5</v>
      </c>
      <c r="R44" s="29">
        <v>1166</v>
      </c>
      <c r="S44" s="29">
        <v>1182</v>
      </c>
      <c r="T44" s="29">
        <v>1161.5</v>
      </c>
      <c r="U44" s="29">
        <v>1159.5</v>
      </c>
      <c r="V44" s="29">
        <v>1158</v>
      </c>
      <c r="W44" s="29">
        <v>1158.5</v>
      </c>
      <c r="X44" s="29">
        <v>1178.5</v>
      </c>
      <c r="Y44" s="29">
        <v>1170.5</v>
      </c>
      <c r="Z44" s="29">
        <v>1182.5</v>
      </c>
      <c r="AA44" s="29">
        <v>1175</v>
      </c>
      <c r="AB44" s="29">
        <v>1144</v>
      </c>
      <c r="AC44" s="29">
        <v>1137.5</v>
      </c>
      <c r="AD44" s="29">
        <v>1142</v>
      </c>
      <c r="AE44" s="29">
        <v>1148.5</v>
      </c>
      <c r="AF44" s="29">
        <v>1155</v>
      </c>
      <c r="AG44" s="29">
        <v>1168.5</v>
      </c>
      <c r="AH44" s="29">
        <v>1154</v>
      </c>
      <c r="AI44" s="29">
        <v>1168.5</v>
      </c>
      <c r="AJ44" s="29">
        <v>1172.5</v>
      </c>
      <c r="AK44" s="29">
        <v>1190</v>
      </c>
      <c r="AL44" s="29">
        <v>1208.5</v>
      </c>
      <c r="AM44" s="29">
        <v>1190.5</v>
      </c>
      <c r="AN44" s="29">
        <v>1198</v>
      </c>
      <c r="AO44" s="29">
        <v>1207</v>
      </c>
      <c r="AP44" s="29">
        <v>1152.5</v>
      </c>
      <c r="AQ44" s="29">
        <v>1122.5</v>
      </c>
      <c r="AR44" s="29">
        <v>1113</v>
      </c>
      <c r="AS44" s="29">
        <v>1119</v>
      </c>
      <c r="AT44" s="29">
        <v>1124.5</v>
      </c>
      <c r="AU44" s="29">
        <v>1147</v>
      </c>
      <c r="AV44" s="29">
        <v>1182.5</v>
      </c>
      <c r="AW44" s="29">
        <v>1135</v>
      </c>
      <c r="AX44" s="29">
        <v>1198.5</v>
      </c>
      <c r="AY44" s="29">
        <v>1159.5</v>
      </c>
      <c r="AZ44" s="29">
        <v>1174.5</v>
      </c>
      <c r="BA44" s="29">
        <v>1156.5</v>
      </c>
      <c r="BB44" s="29">
        <v>1096</v>
      </c>
      <c r="BC44" s="29">
        <v>1103.5</v>
      </c>
      <c r="BD44" s="29">
        <v>1081.5</v>
      </c>
      <c r="BE44" s="29">
        <v>1102.5</v>
      </c>
      <c r="BF44" s="29">
        <v>1139.5</v>
      </c>
      <c r="BG44" s="29">
        <v>1173</v>
      </c>
      <c r="BH44" s="29">
        <v>1202</v>
      </c>
      <c r="BI44" s="29">
        <v>1224.5</v>
      </c>
      <c r="BJ44" s="29">
        <v>1147.5</v>
      </c>
      <c r="BK44" s="29">
        <v>1142.5</v>
      </c>
      <c r="BL44" s="30">
        <v>1142</v>
      </c>
      <c r="BM44" s="1">
        <v>1146</v>
      </c>
      <c r="BN44" s="1">
        <v>1123</v>
      </c>
      <c r="BO44" s="1">
        <v>1125</v>
      </c>
      <c r="BP44" s="1">
        <v>1140.5</v>
      </c>
      <c r="BQ44" s="1">
        <v>1122</v>
      </c>
      <c r="BR44" s="1">
        <v>1126</v>
      </c>
      <c r="BS44" s="1">
        <v>1121</v>
      </c>
      <c r="BT44" s="1">
        <v>1138.5</v>
      </c>
      <c r="BU44" s="1">
        <v>1159.5</v>
      </c>
      <c r="BV44" s="1">
        <v>1160.5</v>
      </c>
      <c r="BW44" s="1">
        <v>1169.5</v>
      </c>
      <c r="BX44" s="1">
        <v>1175.5</v>
      </c>
      <c r="BY44" s="1">
        <v>1163</v>
      </c>
      <c r="BZ44" s="1">
        <v>1162.5</v>
      </c>
    </row>
    <row r="45" spans="1:254" ht="15.9" customHeight="1">
      <c r="A45" s="65" t="s">
        <v>85</v>
      </c>
      <c r="B45" s="25" t="s">
        <v>86</v>
      </c>
      <c r="C45" s="39">
        <f>_xll.RssMarket("8306","高値")</f>
        <v>3603</v>
      </c>
      <c r="D45" s="38">
        <f t="shared" si="1"/>
        <v>0</v>
      </c>
      <c r="E45" s="29">
        <v>3603</v>
      </c>
      <c r="F45" s="29">
        <v>3558</v>
      </c>
      <c r="G45" s="29">
        <v>3528</v>
      </c>
      <c r="H45" s="29">
        <v>3573</v>
      </c>
      <c r="I45" s="29">
        <v>3615</v>
      </c>
      <c r="J45" s="29">
        <v>3581</v>
      </c>
      <c r="K45" s="29">
        <v>3674</v>
      </c>
      <c r="L45" s="29">
        <v>3770</v>
      </c>
      <c r="M45" s="29">
        <v>3813</v>
      </c>
      <c r="N45" s="29">
        <v>3774</v>
      </c>
      <c r="O45" s="29">
        <v>3778</v>
      </c>
      <c r="P45" s="29">
        <v>3685</v>
      </c>
      <c r="Q45" s="29">
        <v>3580</v>
      </c>
      <c r="R45" s="29">
        <v>3618</v>
      </c>
      <c r="S45" s="29">
        <v>3733</v>
      </c>
      <c r="T45" s="29">
        <v>3600</v>
      </c>
      <c r="U45" s="29">
        <v>3564</v>
      </c>
      <c r="V45" s="29">
        <v>3478</v>
      </c>
      <c r="W45" s="29">
        <v>3424</v>
      </c>
      <c r="X45" s="29">
        <v>3474</v>
      </c>
      <c r="Y45" s="29">
        <v>3518</v>
      </c>
      <c r="Z45" s="29">
        <v>3370</v>
      </c>
      <c r="AA45" s="29">
        <v>3337</v>
      </c>
      <c r="AB45" s="29">
        <v>3338</v>
      </c>
      <c r="AC45" s="29">
        <v>3267</v>
      </c>
      <c r="AD45" s="29">
        <v>3257</v>
      </c>
      <c r="AE45" s="29">
        <v>3267</v>
      </c>
      <c r="AF45" s="29">
        <v>3285</v>
      </c>
      <c r="AG45" s="29">
        <v>3276</v>
      </c>
      <c r="AH45" s="29">
        <v>3292</v>
      </c>
      <c r="AI45" s="29">
        <v>3343</v>
      </c>
      <c r="AJ45" s="29">
        <v>3335</v>
      </c>
      <c r="AK45" s="29">
        <v>3371</v>
      </c>
      <c r="AL45" s="29">
        <v>3394</v>
      </c>
      <c r="AM45" s="29">
        <v>3312</v>
      </c>
      <c r="AN45" s="29">
        <v>3236</v>
      </c>
      <c r="AO45" s="29">
        <v>3327</v>
      </c>
      <c r="AP45" s="29">
        <v>3205</v>
      </c>
      <c r="AQ45" s="29">
        <v>3148</v>
      </c>
      <c r="AR45" s="29">
        <v>3305</v>
      </c>
      <c r="AS45" s="29">
        <v>3217</v>
      </c>
      <c r="AT45" s="29">
        <v>3273</v>
      </c>
      <c r="AU45" s="29">
        <v>3208</v>
      </c>
      <c r="AV45" s="29">
        <v>3149</v>
      </c>
      <c r="AW45" s="29">
        <v>3047</v>
      </c>
      <c r="AX45" s="29">
        <v>3034</v>
      </c>
      <c r="AY45" s="29">
        <v>3011</v>
      </c>
      <c r="AZ45" s="29">
        <v>3066</v>
      </c>
      <c r="BA45" s="29">
        <v>3095</v>
      </c>
      <c r="BB45" s="29">
        <v>3140</v>
      </c>
      <c r="BC45" s="29">
        <v>3148</v>
      </c>
      <c r="BD45" s="29">
        <v>3170</v>
      </c>
      <c r="BE45" s="29">
        <v>3110</v>
      </c>
      <c r="BF45" s="29">
        <v>3063</v>
      </c>
      <c r="BG45" s="29">
        <v>2951.5</v>
      </c>
      <c r="BH45" s="29">
        <v>2923.5</v>
      </c>
      <c r="BI45" s="29">
        <v>2939</v>
      </c>
      <c r="BJ45" s="29">
        <v>2899</v>
      </c>
      <c r="BK45" s="29">
        <v>2856.5</v>
      </c>
      <c r="BL45" s="30">
        <v>2827.5</v>
      </c>
      <c r="BM45" s="1">
        <v>2891.5</v>
      </c>
      <c r="BN45" s="1">
        <v>2813</v>
      </c>
      <c r="BO45" s="1">
        <v>2868</v>
      </c>
      <c r="BP45" s="1">
        <v>2886</v>
      </c>
      <c r="BQ45" s="1">
        <v>2796.5</v>
      </c>
      <c r="BR45" s="1">
        <v>2783</v>
      </c>
      <c r="BS45" s="1">
        <v>2807.5</v>
      </c>
      <c r="BT45" s="1">
        <v>2824</v>
      </c>
      <c r="BU45" s="1">
        <v>2880.5</v>
      </c>
      <c r="BV45" s="1">
        <v>2894.5</v>
      </c>
      <c r="BW45" s="1">
        <v>2926</v>
      </c>
      <c r="BX45" s="1">
        <v>2966.5</v>
      </c>
      <c r="BY45" s="1">
        <v>2919</v>
      </c>
      <c r="BZ45" s="1">
        <v>2889.5</v>
      </c>
    </row>
    <row r="46" spans="1:254" ht="15.9" customHeight="1">
      <c r="A46" s="65" t="s">
        <v>87</v>
      </c>
      <c r="B46" s="25" t="s">
        <v>88</v>
      </c>
      <c r="C46" s="39">
        <f>_xll.RssMarket("5401","高値")</f>
        <v>685.3</v>
      </c>
      <c r="D46" s="38">
        <f t="shared" si="1"/>
        <v>0</v>
      </c>
      <c r="E46" s="29">
        <v>685.3</v>
      </c>
      <c r="F46" s="29">
        <v>675.7</v>
      </c>
      <c r="G46" s="29">
        <v>656.6</v>
      </c>
      <c r="H46" s="29">
        <v>647</v>
      </c>
      <c r="I46" s="29">
        <v>661.4</v>
      </c>
      <c r="J46" s="29">
        <v>666.4</v>
      </c>
      <c r="K46" s="29">
        <v>672.8</v>
      </c>
      <c r="L46" s="29">
        <v>656.9</v>
      </c>
      <c r="M46" s="29">
        <v>636.9</v>
      </c>
      <c r="N46" s="29"/>
      <c r="O46" s="29">
        <v>610.79999999999995</v>
      </c>
      <c r="P46" s="29">
        <v>603.4</v>
      </c>
      <c r="Q46" s="29">
        <v>598.6</v>
      </c>
      <c r="R46" s="29">
        <v>587.9</v>
      </c>
      <c r="S46" s="29">
        <v>576.6</v>
      </c>
      <c r="T46" s="29">
        <v>569</v>
      </c>
      <c r="U46" s="29">
        <v>561</v>
      </c>
      <c r="V46" s="29">
        <v>556.9</v>
      </c>
      <c r="W46" s="29">
        <v>557.6</v>
      </c>
      <c r="X46" s="29">
        <v>560.4</v>
      </c>
      <c r="Y46" s="29">
        <v>562.9</v>
      </c>
      <c r="Z46" s="29">
        <v>564.70000000000005</v>
      </c>
      <c r="AA46" s="29">
        <v>553.6</v>
      </c>
      <c r="AB46" s="29">
        <v>542.6</v>
      </c>
      <c r="AC46" s="29">
        <v>541.70000000000005</v>
      </c>
      <c r="AD46" s="29">
        <v>545.70000000000005</v>
      </c>
      <c r="AE46" s="29">
        <v>548.6</v>
      </c>
      <c r="AF46" s="29">
        <v>546</v>
      </c>
      <c r="AG46" s="29">
        <v>551.79999999999995</v>
      </c>
      <c r="AH46" s="29">
        <v>552.5</v>
      </c>
      <c r="AI46" s="29">
        <v>561.6</v>
      </c>
      <c r="AJ46" s="29">
        <v>573.70000000000005</v>
      </c>
      <c r="AK46" s="29">
        <v>567.20000000000005</v>
      </c>
      <c r="AL46" s="29">
        <v>567.29999999999995</v>
      </c>
      <c r="AM46" s="29">
        <v>566.29999999999995</v>
      </c>
      <c r="AN46" s="29">
        <v>574.20000000000005</v>
      </c>
      <c r="AO46" s="29">
        <v>575.5</v>
      </c>
      <c r="AP46" s="29">
        <v>554.4</v>
      </c>
      <c r="AQ46" s="29">
        <v>538</v>
      </c>
      <c r="AR46" s="29">
        <v>543.4</v>
      </c>
      <c r="AS46" s="29">
        <v>544.79999999999995</v>
      </c>
      <c r="AT46" s="29">
        <v>551.4</v>
      </c>
      <c r="AU46" s="29">
        <v>545</v>
      </c>
      <c r="AV46" s="29">
        <v>550.5</v>
      </c>
      <c r="AW46" s="29">
        <v>544.79999999999995</v>
      </c>
      <c r="AX46" s="29">
        <v>575.79999999999995</v>
      </c>
      <c r="AY46" s="29">
        <v>567.29999999999995</v>
      </c>
      <c r="AZ46" s="29">
        <v>567.79999999999995</v>
      </c>
      <c r="BA46" s="29">
        <v>560.6</v>
      </c>
      <c r="BB46" s="29">
        <v>556.20000000000005</v>
      </c>
      <c r="BC46" s="29">
        <v>548.79999999999995</v>
      </c>
      <c r="BD46" s="29">
        <v>550</v>
      </c>
      <c r="BE46" s="29">
        <v>553.29999999999995</v>
      </c>
      <c r="BF46" s="29">
        <v>560.20000000000005</v>
      </c>
      <c r="BG46" s="29">
        <v>562.79999999999995</v>
      </c>
      <c r="BH46" s="29">
        <v>570.79999999999995</v>
      </c>
      <c r="BI46" s="29">
        <v>560.9</v>
      </c>
      <c r="BJ46" s="29">
        <v>560.9</v>
      </c>
      <c r="BK46" s="29">
        <v>569.70000000000005</v>
      </c>
      <c r="BL46" s="30">
        <v>580</v>
      </c>
      <c r="BM46" s="1">
        <v>583.29999999999995</v>
      </c>
      <c r="BN46" s="1">
        <v>572.70000000000005</v>
      </c>
      <c r="BO46" s="1">
        <v>576.5</v>
      </c>
      <c r="BP46" s="1">
        <v>579.1</v>
      </c>
      <c r="BQ46" s="1">
        <v>580</v>
      </c>
      <c r="BR46" s="1">
        <v>581.29999999999995</v>
      </c>
      <c r="BS46" s="1">
        <v>590.20000000000005</v>
      </c>
      <c r="BT46" s="1">
        <v>593.29999999999995</v>
      </c>
      <c r="BU46" s="1">
        <v>598.4</v>
      </c>
      <c r="BV46" s="1">
        <v>599.79999999999995</v>
      </c>
      <c r="BW46" s="1">
        <v>596.9</v>
      </c>
      <c r="BX46" s="1">
        <v>600.20000000000005</v>
      </c>
      <c r="BY46" s="1">
        <v>600.9</v>
      </c>
      <c r="BZ46" s="1">
        <v>601.9</v>
      </c>
    </row>
    <row r="47" spans="1:254" ht="15.9" customHeight="1">
      <c r="A47" s="65" t="s">
        <v>89</v>
      </c>
      <c r="B47" s="25" t="s">
        <v>90</v>
      </c>
      <c r="C47" s="39">
        <f>_xll.RssMarket("8572","高値")</f>
        <v>481.2</v>
      </c>
      <c r="D47" s="38">
        <f t="shared" si="1"/>
        <v>0</v>
      </c>
      <c r="E47" s="29">
        <v>481.2</v>
      </c>
      <c r="F47" s="29">
        <v>480</v>
      </c>
      <c r="G47" s="29">
        <v>478</v>
      </c>
      <c r="H47" s="29">
        <v>481.9</v>
      </c>
      <c r="I47" s="29">
        <v>486.6</v>
      </c>
      <c r="J47" s="29">
        <v>496</v>
      </c>
      <c r="K47" s="29">
        <v>496.9</v>
      </c>
      <c r="L47" s="29">
        <v>496.7</v>
      </c>
      <c r="M47" s="29">
        <v>493.6</v>
      </c>
      <c r="N47" s="29">
        <v>490.4</v>
      </c>
      <c r="O47" s="29">
        <v>493</v>
      </c>
      <c r="P47" s="29">
        <v>494.4</v>
      </c>
      <c r="Q47" s="29">
        <v>493.5</v>
      </c>
      <c r="R47" s="29">
        <v>489.4</v>
      </c>
      <c r="S47" s="29">
        <v>489.5</v>
      </c>
      <c r="T47" s="29">
        <v>487.2</v>
      </c>
      <c r="U47" s="29">
        <v>486.5</v>
      </c>
      <c r="V47" s="29">
        <v>489.6</v>
      </c>
      <c r="W47" s="29">
        <v>485</v>
      </c>
      <c r="X47" s="29">
        <v>488.9</v>
      </c>
      <c r="Y47" s="29">
        <v>488.5</v>
      </c>
      <c r="Z47" s="29">
        <v>485</v>
      </c>
      <c r="AA47" s="29">
        <v>473.7</v>
      </c>
      <c r="AB47" s="29">
        <v>465.5</v>
      </c>
      <c r="AC47" s="29">
        <v>455.7</v>
      </c>
      <c r="AD47" s="29">
        <v>458.5</v>
      </c>
      <c r="AE47" s="29">
        <v>457.1</v>
      </c>
      <c r="AF47" s="29">
        <v>450</v>
      </c>
      <c r="AG47" s="29">
        <v>451.4</v>
      </c>
      <c r="AH47" s="29">
        <v>451.5</v>
      </c>
      <c r="AI47" s="29">
        <v>450.1</v>
      </c>
      <c r="AJ47" s="29">
        <v>450.4</v>
      </c>
      <c r="AK47" s="29">
        <v>448.8</v>
      </c>
      <c r="AL47" s="29">
        <v>452.4</v>
      </c>
      <c r="AM47" s="29">
        <v>453.7</v>
      </c>
      <c r="AN47" s="29">
        <v>453.9</v>
      </c>
      <c r="AO47" s="29">
        <v>462.1</v>
      </c>
      <c r="AP47" s="29">
        <v>452.6</v>
      </c>
      <c r="AQ47" s="29">
        <v>451</v>
      </c>
      <c r="AR47" s="29">
        <v>453.5</v>
      </c>
      <c r="AS47" s="29">
        <v>446.2</v>
      </c>
      <c r="AT47" s="29">
        <v>453.6</v>
      </c>
      <c r="AU47" s="29">
        <v>447.8</v>
      </c>
      <c r="AV47" s="29">
        <v>452.5</v>
      </c>
      <c r="AW47" s="29">
        <v>453.3</v>
      </c>
      <c r="AX47" s="29">
        <v>474.4</v>
      </c>
      <c r="AY47" s="29">
        <v>468.7</v>
      </c>
      <c r="AZ47" s="29">
        <v>470.6</v>
      </c>
      <c r="BA47" s="29">
        <v>467</v>
      </c>
      <c r="BB47" s="29">
        <v>470.9</v>
      </c>
      <c r="BC47" s="29">
        <v>473.6</v>
      </c>
      <c r="BD47" s="29">
        <v>467.3</v>
      </c>
      <c r="BE47" s="29">
        <v>466.8</v>
      </c>
      <c r="BF47" s="29">
        <v>469.1</v>
      </c>
      <c r="BG47" s="29">
        <v>464.6</v>
      </c>
      <c r="BH47" s="29">
        <v>461.3</v>
      </c>
      <c r="BI47" s="29">
        <v>470.1</v>
      </c>
      <c r="BJ47" s="29">
        <v>494.3</v>
      </c>
      <c r="BK47" s="29">
        <v>495.2</v>
      </c>
      <c r="BL47" s="30">
        <v>496</v>
      </c>
      <c r="BM47" s="1">
        <v>499</v>
      </c>
      <c r="BN47" s="1">
        <v>497.9</v>
      </c>
      <c r="BO47" s="1">
        <v>501.8</v>
      </c>
      <c r="BP47" s="1">
        <v>504.5</v>
      </c>
      <c r="BQ47" s="1">
        <v>504.1</v>
      </c>
      <c r="BR47" s="1">
        <v>504</v>
      </c>
      <c r="BS47" s="1">
        <v>513.79999999999995</v>
      </c>
      <c r="BT47" s="1">
        <v>521.9</v>
      </c>
      <c r="BU47" s="1">
        <v>519.79999999999995</v>
      </c>
      <c r="BV47" s="1">
        <v>489.3</v>
      </c>
      <c r="BW47" s="1">
        <v>485</v>
      </c>
      <c r="BX47" s="1">
        <v>484.6</v>
      </c>
      <c r="BY47" s="1">
        <v>482</v>
      </c>
      <c r="BZ47" s="1">
        <v>478.7</v>
      </c>
    </row>
    <row r="48" spans="1:254" ht="15.9" customHeight="1">
      <c r="A48" s="65" t="s">
        <v>91</v>
      </c>
      <c r="B48" s="25" t="s">
        <v>92</v>
      </c>
      <c r="C48" s="39">
        <f>_xll.RssMarket("3941","高値")</f>
        <v>1665</v>
      </c>
      <c r="D48" s="38">
        <f t="shared" si="1"/>
        <v>0</v>
      </c>
      <c r="E48" s="29">
        <v>1665</v>
      </c>
      <c r="F48" s="29">
        <v>1614.5</v>
      </c>
      <c r="G48" s="29">
        <v>1503.5</v>
      </c>
      <c r="H48" s="29">
        <v>1504</v>
      </c>
      <c r="I48" s="29">
        <v>1521.5</v>
      </c>
      <c r="J48" s="29">
        <v>1531</v>
      </c>
      <c r="K48" s="29">
        <v>1536.5</v>
      </c>
      <c r="L48" s="29">
        <v>1538</v>
      </c>
      <c r="M48" s="29">
        <v>1528</v>
      </c>
      <c r="N48" s="29">
        <v>1470</v>
      </c>
      <c r="O48" s="29">
        <v>1480.5</v>
      </c>
      <c r="P48" s="29">
        <v>1466</v>
      </c>
      <c r="Q48" s="29">
        <v>1463.5</v>
      </c>
      <c r="R48" s="29">
        <v>1456.5</v>
      </c>
      <c r="S48" s="29">
        <v>1447</v>
      </c>
      <c r="T48" s="29">
        <v>1423.5</v>
      </c>
      <c r="U48" s="29">
        <v>1434</v>
      </c>
      <c r="V48" s="29">
        <v>1418.5</v>
      </c>
      <c r="W48" s="29">
        <v>1444</v>
      </c>
      <c r="X48" s="29">
        <v>1448</v>
      </c>
      <c r="Y48" s="29">
        <v>1430.5</v>
      </c>
      <c r="Z48" s="29">
        <v>1431</v>
      </c>
      <c r="AA48" s="29">
        <v>1424.5</v>
      </c>
      <c r="AB48" s="29">
        <v>1427</v>
      </c>
      <c r="AC48" s="29">
        <v>1422.5</v>
      </c>
      <c r="AD48" s="29">
        <v>1424.5</v>
      </c>
      <c r="AE48" s="29">
        <v>1463.5</v>
      </c>
      <c r="AF48" s="29">
        <v>1435.5</v>
      </c>
      <c r="AG48" s="29">
        <v>1418</v>
      </c>
      <c r="AH48" s="29">
        <v>1416</v>
      </c>
      <c r="AI48" s="29">
        <v>1413.5</v>
      </c>
      <c r="AJ48" s="29">
        <v>1430</v>
      </c>
      <c r="AK48" s="29">
        <v>1444</v>
      </c>
      <c r="AL48" s="29">
        <v>1428.5</v>
      </c>
      <c r="AM48" s="29">
        <v>1429</v>
      </c>
      <c r="AN48" s="29">
        <v>1421</v>
      </c>
      <c r="AO48" s="29">
        <v>1420.5</v>
      </c>
      <c r="AP48" s="29">
        <v>1392.5</v>
      </c>
      <c r="AQ48" s="29">
        <v>1375</v>
      </c>
      <c r="AR48" s="29">
        <v>1416</v>
      </c>
      <c r="AS48" s="29">
        <v>1377.5</v>
      </c>
      <c r="AT48" s="29">
        <v>1406.5</v>
      </c>
      <c r="AU48" s="29">
        <v>1393</v>
      </c>
      <c r="AV48" s="29">
        <v>1412.5</v>
      </c>
      <c r="AW48" s="29">
        <v>1400</v>
      </c>
      <c r="AX48" s="29">
        <v>1463.5</v>
      </c>
      <c r="AY48" s="29">
        <v>1432</v>
      </c>
      <c r="AZ48" s="29">
        <v>1428.5</v>
      </c>
      <c r="BA48" s="29">
        <v>1403.5</v>
      </c>
      <c r="BB48" s="29">
        <v>1412.5</v>
      </c>
      <c r="BC48" s="29">
        <v>1416.5</v>
      </c>
      <c r="BD48" s="29">
        <v>1409</v>
      </c>
      <c r="BE48" s="29">
        <v>1430</v>
      </c>
      <c r="BF48" s="29">
        <v>1411</v>
      </c>
      <c r="BG48" s="29">
        <v>1430.5</v>
      </c>
      <c r="BH48" s="29">
        <v>1402</v>
      </c>
      <c r="BI48" s="29">
        <v>1263.5</v>
      </c>
      <c r="BJ48" s="29">
        <v>1246.5</v>
      </c>
      <c r="BK48" s="29">
        <v>1261.5</v>
      </c>
      <c r="BL48" s="30">
        <v>1245</v>
      </c>
      <c r="BM48" s="1">
        <v>1247</v>
      </c>
      <c r="BN48" s="1">
        <v>1240</v>
      </c>
      <c r="BO48" s="1">
        <v>1249</v>
      </c>
      <c r="BP48" s="1">
        <v>1273</v>
      </c>
      <c r="BQ48" s="1">
        <v>1351</v>
      </c>
      <c r="BR48" s="1">
        <v>1287</v>
      </c>
      <c r="BS48" s="1">
        <v>1290.5</v>
      </c>
      <c r="BT48" s="1">
        <v>1317</v>
      </c>
      <c r="BU48" s="1">
        <v>1315.5</v>
      </c>
      <c r="BV48" s="1">
        <v>1269</v>
      </c>
      <c r="BW48" s="1">
        <v>1276</v>
      </c>
      <c r="BX48" s="1">
        <v>1283.5</v>
      </c>
      <c r="BY48" s="1">
        <v>1274.5</v>
      </c>
      <c r="BZ48" s="1">
        <v>1271.5</v>
      </c>
    </row>
    <row r="49" spans="1:254" ht="15.9" customHeight="1">
      <c r="A49" s="65" t="s">
        <v>93</v>
      </c>
      <c r="B49" s="25" t="s">
        <v>94</v>
      </c>
      <c r="C49" s="39">
        <f>_xll.RssMarket("5929","高値")</f>
        <v>3661</v>
      </c>
      <c r="D49" s="38">
        <f t="shared" si="1"/>
        <v>0</v>
      </c>
      <c r="E49" s="29">
        <v>3661</v>
      </c>
      <c r="F49" s="29">
        <v>3629</v>
      </c>
      <c r="G49" s="29">
        <v>3580</v>
      </c>
      <c r="H49" s="29">
        <v>3575</v>
      </c>
      <c r="I49" s="29">
        <v>3910</v>
      </c>
      <c r="J49" s="29">
        <v>3962</v>
      </c>
      <c r="K49" s="29">
        <v>4020</v>
      </c>
      <c r="L49" s="29">
        <v>3975</v>
      </c>
      <c r="M49" s="29">
        <v>3899</v>
      </c>
      <c r="N49" s="29"/>
      <c r="O49" s="29">
        <v>3791</v>
      </c>
      <c r="P49" s="29">
        <v>3788</v>
      </c>
      <c r="Q49" s="29">
        <v>3826</v>
      </c>
      <c r="R49" s="29">
        <v>3771</v>
      </c>
      <c r="S49" s="29">
        <v>3735</v>
      </c>
      <c r="T49" s="29">
        <v>3704</v>
      </c>
      <c r="U49" s="29">
        <v>3706</v>
      </c>
      <c r="V49" s="29">
        <v>3723</v>
      </c>
      <c r="W49" s="29">
        <v>3750</v>
      </c>
      <c r="X49" s="29">
        <v>3846</v>
      </c>
      <c r="Y49" s="29">
        <v>3921</v>
      </c>
      <c r="Z49" s="29">
        <v>3880</v>
      </c>
      <c r="AA49" s="29">
        <v>3864</v>
      </c>
      <c r="AB49" s="29">
        <v>3802</v>
      </c>
      <c r="AC49" s="29">
        <v>3799</v>
      </c>
      <c r="AD49" s="29">
        <v>3864</v>
      </c>
      <c r="AE49" s="29">
        <v>3864</v>
      </c>
      <c r="AF49" s="29">
        <v>3784</v>
      </c>
      <c r="AG49" s="29">
        <v>3780</v>
      </c>
      <c r="AH49" s="29">
        <v>3673</v>
      </c>
      <c r="AI49" s="29">
        <v>3688</v>
      </c>
      <c r="AJ49" s="29">
        <v>3721</v>
      </c>
      <c r="AK49" s="29">
        <v>3740</v>
      </c>
      <c r="AL49" s="29">
        <v>3804</v>
      </c>
      <c r="AM49" s="29">
        <v>3779</v>
      </c>
      <c r="AN49" s="29">
        <v>3747</v>
      </c>
      <c r="AO49" s="29">
        <v>3768</v>
      </c>
      <c r="AP49" s="29">
        <v>3655</v>
      </c>
      <c r="AQ49" s="29">
        <v>3646</v>
      </c>
      <c r="AR49" s="29">
        <v>3672</v>
      </c>
      <c r="AS49" s="29">
        <v>3709</v>
      </c>
      <c r="AT49" s="29">
        <v>3592</v>
      </c>
      <c r="AU49" s="29">
        <v>3513</v>
      </c>
      <c r="AV49" s="29">
        <v>3425</v>
      </c>
      <c r="AW49" s="29">
        <v>3553</v>
      </c>
      <c r="AX49" s="29">
        <v>3685</v>
      </c>
      <c r="AY49" s="29">
        <v>3549</v>
      </c>
      <c r="AZ49" s="29">
        <v>3405</v>
      </c>
      <c r="BA49" s="29">
        <v>3336</v>
      </c>
      <c r="BB49" s="29">
        <v>3339</v>
      </c>
      <c r="BC49" s="29">
        <v>3393</v>
      </c>
      <c r="BD49" s="29">
        <v>3397</v>
      </c>
      <c r="BE49" s="29">
        <v>3389</v>
      </c>
      <c r="BF49" s="29">
        <v>3575</v>
      </c>
      <c r="BG49" s="29">
        <v>3664</v>
      </c>
      <c r="BH49" s="29">
        <v>3728</v>
      </c>
      <c r="BI49" s="29">
        <v>3552</v>
      </c>
      <c r="BJ49" s="29">
        <v>3612</v>
      </c>
      <c r="BK49" s="29">
        <v>3627</v>
      </c>
      <c r="BL49" s="30">
        <v>3661</v>
      </c>
      <c r="BM49" s="1">
        <v>3648</v>
      </c>
      <c r="BN49" s="1">
        <v>3617</v>
      </c>
      <c r="BO49" s="1">
        <v>3587</v>
      </c>
      <c r="BP49" s="1">
        <v>3676</v>
      </c>
      <c r="BQ49" s="1">
        <v>3616</v>
      </c>
      <c r="BR49" s="1">
        <v>3651</v>
      </c>
      <c r="BS49" s="1">
        <v>3651</v>
      </c>
      <c r="BT49" s="1">
        <v>3676</v>
      </c>
      <c r="BU49" s="1">
        <v>3707</v>
      </c>
      <c r="BV49" s="1">
        <v>3664</v>
      </c>
      <c r="BW49" s="1">
        <v>3666</v>
      </c>
      <c r="BX49" s="1">
        <v>3735</v>
      </c>
      <c r="BY49" s="1">
        <v>3774</v>
      </c>
      <c r="BZ49" s="1">
        <v>3755</v>
      </c>
    </row>
    <row r="50" spans="1:254" ht="15.9" customHeight="1">
      <c r="A50" s="65" t="s">
        <v>95</v>
      </c>
      <c r="B50" s="25" t="s">
        <v>96</v>
      </c>
      <c r="C50" s="39">
        <f>_xll.RssMarket("8316","高値")</f>
        <v>6823</v>
      </c>
      <c r="D50" s="38">
        <f t="shared" si="1"/>
        <v>0</v>
      </c>
      <c r="E50" s="29">
        <v>6823</v>
      </c>
      <c r="F50" s="29">
        <v>6670</v>
      </c>
      <c r="G50" s="29">
        <v>6632</v>
      </c>
      <c r="H50" s="29">
        <v>6713</v>
      </c>
      <c r="I50" s="29">
        <v>6911</v>
      </c>
      <c r="J50" s="29">
        <v>6787</v>
      </c>
      <c r="K50" s="29">
        <v>6932</v>
      </c>
      <c r="L50" s="29">
        <v>7141</v>
      </c>
      <c r="M50" s="29">
        <v>7260</v>
      </c>
      <c r="N50" s="29">
        <v>7181</v>
      </c>
      <c r="O50" s="29">
        <v>7212</v>
      </c>
      <c r="P50" s="29">
        <v>7147</v>
      </c>
      <c r="Q50" s="29">
        <v>6971</v>
      </c>
      <c r="R50" s="29">
        <v>7030</v>
      </c>
      <c r="S50" s="29">
        <v>7137</v>
      </c>
      <c r="T50" s="29">
        <v>7000</v>
      </c>
      <c r="U50" s="29">
        <v>7029</v>
      </c>
      <c r="V50" s="29">
        <v>6918</v>
      </c>
      <c r="W50" s="29">
        <v>6816</v>
      </c>
      <c r="X50" s="29">
        <v>6913</v>
      </c>
      <c r="Y50" s="29">
        <v>6970</v>
      </c>
      <c r="Z50" s="29">
        <v>6815</v>
      </c>
      <c r="AA50" s="29">
        <v>6685</v>
      </c>
      <c r="AB50" s="29">
        <v>6636</v>
      </c>
      <c r="AC50" s="29">
        <v>6474</v>
      </c>
      <c r="AD50" s="29">
        <v>6436</v>
      </c>
      <c r="AE50" s="29">
        <v>6449</v>
      </c>
      <c r="AF50" s="29">
        <v>6415</v>
      </c>
      <c r="AG50" s="29">
        <v>6431</v>
      </c>
      <c r="AH50" s="29">
        <v>6517</v>
      </c>
      <c r="AI50" s="29">
        <v>6637</v>
      </c>
      <c r="AJ50" s="29">
        <v>6653</v>
      </c>
      <c r="AK50" s="29">
        <v>6711</v>
      </c>
      <c r="AL50" s="29">
        <v>6733</v>
      </c>
      <c r="AM50" s="29">
        <v>6578</v>
      </c>
      <c r="AN50" s="29">
        <v>6481</v>
      </c>
      <c r="AO50" s="29">
        <v>6725</v>
      </c>
      <c r="AP50" s="29">
        <v>6439</v>
      </c>
      <c r="AQ50" s="29">
        <v>6233</v>
      </c>
      <c r="AR50" s="29">
        <v>6385</v>
      </c>
      <c r="AS50" s="29">
        <v>6185</v>
      </c>
      <c r="AT50" s="29">
        <v>6408</v>
      </c>
      <c r="AU50" s="29">
        <v>6218</v>
      </c>
      <c r="AV50" s="29">
        <v>6156</v>
      </c>
      <c r="AW50" s="29">
        <v>5951</v>
      </c>
      <c r="AX50" s="29">
        <v>5944</v>
      </c>
      <c r="AY50" s="29">
        <v>5939</v>
      </c>
      <c r="AZ50" s="29">
        <v>6030</v>
      </c>
      <c r="BA50" s="29">
        <v>6086</v>
      </c>
      <c r="BB50" s="29">
        <v>6083</v>
      </c>
      <c r="BC50" s="29">
        <v>6183</v>
      </c>
      <c r="BD50" s="29">
        <v>6109</v>
      </c>
      <c r="BE50" s="29">
        <v>5974</v>
      </c>
      <c r="BF50" s="29">
        <v>5817</v>
      </c>
      <c r="BG50" s="29">
        <v>5814</v>
      </c>
      <c r="BH50" s="29">
        <v>5804</v>
      </c>
      <c r="BI50" s="29">
        <v>5889</v>
      </c>
      <c r="BJ50" s="29">
        <v>5795</v>
      </c>
      <c r="BK50" s="29">
        <v>5669</v>
      </c>
      <c r="BL50" s="30">
        <v>5605</v>
      </c>
      <c r="BM50" s="1">
        <v>5730</v>
      </c>
      <c r="BN50" s="1">
        <v>5562</v>
      </c>
      <c r="BO50" s="1">
        <v>5609</v>
      </c>
      <c r="BP50" s="1">
        <v>5667</v>
      </c>
      <c r="BQ50" s="1">
        <v>5421</v>
      </c>
      <c r="BR50" s="1">
        <v>5389</v>
      </c>
      <c r="BS50" s="1">
        <v>5428</v>
      </c>
      <c r="BT50" s="1">
        <v>5483</v>
      </c>
      <c r="BU50" s="1">
        <v>5590</v>
      </c>
      <c r="BV50" s="1">
        <v>5640</v>
      </c>
      <c r="BW50" s="1">
        <v>5662</v>
      </c>
      <c r="BX50" s="1">
        <v>5738</v>
      </c>
      <c r="BY50" s="1">
        <v>5699</v>
      </c>
      <c r="BZ50" s="1">
        <v>5630</v>
      </c>
    </row>
    <row r="51" spans="1:254" ht="15.9" customHeight="1">
      <c r="A51" s="65" t="s">
        <v>97</v>
      </c>
      <c r="B51" s="25" t="s">
        <v>98</v>
      </c>
      <c r="C51" s="39">
        <f>_xll.RssMarket("5449","高値")</f>
        <v>2827</v>
      </c>
      <c r="D51" s="38">
        <f t="shared" si="1"/>
        <v>0</v>
      </c>
      <c r="E51" s="29">
        <v>2827</v>
      </c>
      <c r="F51" s="29">
        <v>2770</v>
      </c>
      <c r="G51" s="29">
        <v>2487</v>
      </c>
      <c r="H51" s="29">
        <v>2498</v>
      </c>
      <c r="I51" s="29">
        <v>2620</v>
      </c>
      <c r="J51" s="29">
        <v>2925</v>
      </c>
      <c r="K51" s="29">
        <v>2895</v>
      </c>
      <c r="L51" s="29">
        <v>2785</v>
      </c>
      <c r="M51" s="29">
        <v>2735</v>
      </c>
      <c r="N51" s="29">
        <v>2670</v>
      </c>
      <c r="O51" s="29">
        <v>2621</v>
      </c>
      <c r="P51" s="29">
        <v>2600</v>
      </c>
      <c r="Q51" s="29">
        <v>2620</v>
      </c>
      <c r="R51" s="29">
        <v>2589</v>
      </c>
      <c r="S51" s="29">
        <v>2549</v>
      </c>
      <c r="T51" s="29">
        <v>2560</v>
      </c>
      <c r="U51" s="29">
        <v>2575</v>
      </c>
      <c r="V51" s="29">
        <v>2549</v>
      </c>
      <c r="W51" s="29">
        <v>2544</v>
      </c>
      <c r="X51" s="29">
        <v>2570</v>
      </c>
      <c r="Y51" s="29">
        <v>2510</v>
      </c>
      <c r="Z51" s="29">
        <v>2422</v>
      </c>
      <c r="AA51" s="29">
        <v>2422</v>
      </c>
      <c r="AB51" s="29">
        <v>2363</v>
      </c>
      <c r="AC51" s="29">
        <v>2294</v>
      </c>
      <c r="AD51" s="29">
        <v>2424</v>
      </c>
      <c r="AE51" s="29">
        <v>2412</v>
      </c>
      <c r="AF51" s="29">
        <v>2326</v>
      </c>
      <c r="AG51" s="29">
        <v>2330</v>
      </c>
      <c r="AH51" s="29">
        <v>2369</v>
      </c>
      <c r="AI51" s="29">
        <v>2380</v>
      </c>
      <c r="AJ51" s="29">
        <v>2374</v>
      </c>
      <c r="AK51" s="29">
        <v>2358</v>
      </c>
      <c r="AL51" s="29">
        <v>2342</v>
      </c>
      <c r="AM51" s="29">
        <v>2401</v>
      </c>
      <c r="AN51" s="29">
        <v>2421</v>
      </c>
      <c r="AO51" s="29">
        <v>2441</v>
      </c>
      <c r="AP51" s="29">
        <v>2377</v>
      </c>
      <c r="AQ51" s="29">
        <v>2322</v>
      </c>
      <c r="AR51" s="29">
        <v>2365</v>
      </c>
      <c r="AS51" s="29">
        <v>2317</v>
      </c>
      <c r="AT51" s="29">
        <v>2416</v>
      </c>
      <c r="AU51" s="29">
        <v>2376</v>
      </c>
      <c r="AV51" s="29">
        <v>2458</v>
      </c>
      <c r="AW51" s="29">
        <v>2399</v>
      </c>
      <c r="AX51" s="29">
        <v>2669</v>
      </c>
      <c r="AY51" s="29">
        <v>2680</v>
      </c>
      <c r="AZ51" s="29">
        <v>2680</v>
      </c>
      <c r="BA51" s="29">
        <v>2508</v>
      </c>
      <c r="BB51" s="29">
        <v>2407</v>
      </c>
      <c r="BC51" s="29">
        <v>2388</v>
      </c>
      <c r="BD51" s="29">
        <v>2287</v>
      </c>
      <c r="BE51" s="29">
        <v>2293</v>
      </c>
      <c r="BF51" s="29">
        <v>2372</v>
      </c>
      <c r="BG51" s="29">
        <v>2393</v>
      </c>
      <c r="BH51" s="29">
        <v>2430</v>
      </c>
      <c r="BI51" s="29">
        <v>2454</v>
      </c>
      <c r="BJ51" s="29">
        <v>2606</v>
      </c>
      <c r="BK51" s="29">
        <v>2586</v>
      </c>
      <c r="BL51" s="30">
        <v>2610</v>
      </c>
      <c r="BM51" s="1">
        <v>2622</v>
      </c>
      <c r="BN51" s="1">
        <v>2539</v>
      </c>
      <c r="BO51" s="1">
        <v>2485</v>
      </c>
      <c r="BP51" s="1">
        <v>2477</v>
      </c>
      <c r="BQ51" s="1">
        <v>2376</v>
      </c>
      <c r="BR51" s="1">
        <v>2329</v>
      </c>
      <c r="BS51" s="1">
        <v>2370</v>
      </c>
      <c r="BT51" s="1">
        <v>2410</v>
      </c>
      <c r="BU51" s="1">
        <v>2453</v>
      </c>
      <c r="BV51" s="1">
        <v>2458</v>
      </c>
      <c r="BW51" s="1">
        <v>2437</v>
      </c>
      <c r="BX51" s="1">
        <v>2461</v>
      </c>
      <c r="BY51" s="1">
        <v>2484</v>
      </c>
      <c r="BZ51" s="1">
        <v>2465</v>
      </c>
    </row>
    <row r="52" spans="1:254" ht="15.9" customHeight="1">
      <c r="A52" s="65" t="s">
        <v>99</v>
      </c>
      <c r="B52" s="25" t="s">
        <v>100</v>
      </c>
      <c r="C52" s="39">
        <f>_xll.RssMarket("8766","高値")</f>
        <v>7838</v>
      </c>
      <c r="D52" s="38">
        <f t="shared" si="1"/>
        <v>0</v>
      </c>
      <c r="E52" s="29">
        <v>7838</v>
      </c>
      <c r="F52" s="29">
        <v>7819</v>
      </c>
      <c r="G52" s="29">
        <v>7844</v>
      </c>
      <c r="H52" s="29">
        <v>8020</v>
      </c>
      <c r="I52" s="29">
        <v>8235</v>
      </c>
      <c r="J52" s="29">
        <v>8261</v>
      </c>
      <c r="K52" s="29">
        <v>8468</v>
      </c>
      <c r="L52" s="29">
        <v>8278</v>
      </c>
      <c r="M52" s="29">
        <v>8290</v>
      </c>
      <c r="N52" s="29">
        <v>8155</v>
      </c>
      <c r="O52" s="29">
        <v>8045</v>
      </c>
      <c r="P52" s="29">
        <v>7971</v>
      </c>
      <c r="Q52" s="29">
        <v>7877</v>
      </c>
      <c r="R52" s="29">
        <v>7660</v>
      </c>
      <c r="S52" s="29">
        <v>7873</v>
      </c>
      <c r="T52" s="29">
        <v>7761</v>
      </c>
      <c r="U52" s="29">
        <v>7614</v>
      </c>
      <c r="V52" s="29">
        <v>7887</v>
      </c>
      <c r="W52" s="29">
        <v>7870</v>
      </c>
      <c r="X52" s="29">
        <v>7803</v>
      </c>
      <c r="Y52" s="29">
        <v>7935</v>
      </c>
      <c r="Z52" s="29">
        <v>7810</v>
      </c>
      <c r="AA52" s="29">
        <v>7687</v>
      </c>
      <c r="AB52" s="29">
        <v>7574</v>
      </c>
      <c r="AC52" s="29">
        <v>7329</v>
      </c>
      <c r="AD52" s="29">
        <v>7311</v>
      </c>
      <c r="AE52" s="29">
        <v>7315</v>
      </c>
      <c r="AF52" s="29">
        <v>6948</v>
      </c>
      <c r="AG52" s="29">
        <v>6947</v>
      </c>
      <c r="AH52" s="29">
        <v>7283</v>
      </c>
      <c r="AI52" s="29">
        <v>7448</v>
      </c>
      <c r="AJ52" s="29">
        <v>7316</v>
      </c>
      <c r="AK52" s="29">
        <v>7308</v>
      </c>
      <c r="AL52" s="29">
        <v>7368</v>
      </c>
      <c r="AM52" s="29">
        <v>7421</v>
      </c>
      <c r="AN52" s="29">
        <v>7293</v>
      </c>
      <c r="AO52" s="29">
        <v>7469</v>
      </c>
      <c r="AP52" s="29">
        <v>7454</v>
      </c>
      <c r="AQ52" s="29">
        <v>7487</v>
      </c>
      <c r="AR52" s="29">
        <v>7557</v>
      </c>
      <c r="AS52" s="29">
        <v>7232</v>
      </c>
      <c r="AT52" s="29">
        <v>7068</v>
      </c>
      <c r="AU52" s="29">
        <v>7000</v>
      </c>
      <c r="AV52" s="29">
        <v>7167</v>
      </c>
      <c r="AW52" s="29">
        <v>7130</v>
      </c>
      <c r="AX52" s="29">
        <v>7216</v>
      </c>
      <c r="AY52" s="29">
        <v>7324</v>
      </c>
      <c r="AZ52" s="29">
        <v>7443</v>
      </c>
      <c r="BA52" s="29">
        <v>7469</v>
      </c>
      <c r="BB52" s="29">
        <v>7610</v>
      </c>
      <c r="BC52" s="29">
        <v>7987</v>
      </c>
      <c r="BD52" s="29">
        <v>8038</v>
      </c>
      <c r="BE52" s="29">
        <v>7962</v>
      </c>
      <c r="BF52" s="29">
        <v>7769</v>
      </c>
      <c r="BG52" s="29">
        <v>7687</v>
      </c>
      <c r="BH52" s="29">
        <v>7416</v>
      </c>
      <c r="BI52" s="29">
        <v>7402</v>
      </c>
      <c r="BJ52" s="29">
        <v>7282</v>
      </c>
      <c r="BK52" s="29">
        <v>7198</v>
      </c>
      <c r="BL52" s="30">
        <v>7195</v>
      </c>
      <c r="BM52" s="1">
        <v>7337</v>
      </c>
      <c r="BN52" s="1">
        <v>7148</v>
      </c>
      <c r="BO52" s="1">
        <v>7300</v>
      </c>
      <c r="BP52" s="1">
        <v>7344</v>
      </c>
      <c r="BQ52" s="1">
        <v>7220</v>
      </c>
      <c r="BR52" s="1">
        <v>7227</v>
      </c>
      <c r="BS52" s="1">
        <v>7100</v>
      </c>
      <c r="BT52" s="1">
        <v>7267</v>
      </c>
      <c r="BU52" s="1">
        <v>7310</v>
      </c>
      <c r="BV52" s="1">
        <v>7221</v>
      </c>
      <c r="BW52" s="1">
        <v>7003</v>
      </c>
      <c r="BX52" s="1">
        <v>6984</v>
      </c>
      <c r="BY52" s="1">
        <v>6963</v>
      </c>
      <c r="BZ52" s="1">
        <v>7068</v>
      </c>
    </row>
    <row r="53" spans="1:254" ht="15.9" customHeight="1">
      <c r="A53" s="65" t="s">
        <v>101</v>
      </c>
      <c r="B53" s="25" t="s">
        <v>102</v>
      </c>
      <c r="C53" s="39">
        <f>_xll.RssMarket("5201","高値")</f>
        <v>5932</v>
      </c>
      <c r="D53" s="38">
        <f t="shared" si="1"/>
        <v>0</v>
      </c>
      <c r="E53" s="29">
        <v>5932</v>
      </c>
      <c r="F53" s="29">
        <v>5821</v>
      </c>
      <c r="G53" s="29">
        <v>6175</v>
      </c>
      <c r="H53" s="29">
        <v>6106</v>
      </c>
      <c r="I53" s="29">
        <v>6147</v>
      </c>
      <c r="J53" s="29">
        <v>6090</v>
      </c>
      <c r="K53" s="29">
        <v>6194</v>
      </c>
      <c r="L53" s="29">
        <v>6190</v>
      </c>
      <c r="M53" s="29">
        <v>6274</v>
      </c>
      <c r="N53" s="29">
        <v>6279</v>
      </c>
      <c r="O53" s="29">
        <v>6452</v>
      </c>
      <c r="P53" s="29">
        <v>6459</v>
      </c>
      <c r="Q53" s="29">
        <v>6257</v>
      </c>
      <c r="R53" s="29">
        <v>6407</v>
      </c>
      <c r="S53" s="29">
        <v>6518</v>
      </c>
      <c r="T53" s="29">
        <v>6468</v>
      </c>
      <c r="U53" s="29">
        <v>6499</v>
      </c>
      <c r="V53" s="29">
        <v>6561</v>
      </c>
      <c r="W53" s="29">
        <v>6540</v>
      </c>
      <c r="X53" s="29">
        <v>6550</v>
      </c>
      <c r="Y53" s="29">
        <v>6754</v>
      </c>
      <c r="Z53" s="29">
        <v>6897</v>
      </c>
      <c r="AA53" s="29">
        <v>6885</v>
      </c>
      <c r="AB53" s="29">
        <v>6920</v>
      </c>
      <c r="AC53" s="29">
        <v>7095</v>
      </c>
      <c r="AD53" s="29">
        <v>7050</v>
      </c>
      <c r="AE53" s="29">
        <v>7110</v>
      </c>
      <c r="AF53" s="29">
        <v>7305</v>
      </c>
      <c r="AG53" s="29">
        <v>7346</v>
      </c>
      <c r="AH53" s="29">
        <v>7292</v>
      </c>
      <c r="AI53" s="29">
        <v>7650</v>
      </c>
      <c r="AJ53" s="29">
        <v>7682</v>
      </c>
      <c r="AK53" s="29">
        <v>7800</v>
      </c>
      <c r="AL53" s="29">
        <v>7687</v>
      </c>
      <c r="AM53" s="29">
        <v>7421</v>
      </c>
      <c r="AN53" s="29">
        <v>7500</v>
      </c>
      <c r="AO53" s="29">
        <v>7407</v>
      </c>
      <c r="AP53" s="29">
        <v>7148</v>
      </c>
      <c r="AQ53" s="29">
        <v>7004</v>
      </c>
      <c r="AR53" s="29">
        <v>7157</v>
      </c>
      <c r="AS53" s="29">
        <v>7471</v>
      </c>
      <c r="AT53" s="29">
        <v>8069</v>
      </c>
      <c r="AU53" s="29">
        <v>8218</v>
      </c>
      <c r="AV53" s="29">
        <v>8315</v>
      </c>
      <c r="AW53" s="29">
        <v>7686</v>
      </c>
      <c r="AX53" s="29">
        <v>6980</v>
      </c>
      <c r="AY53" s="29">
        <v>6980</v>
      </c>
      <c r="AZ53" s="29">
        <v>7259</v>
      </c>
      <c r="BA53" s="29">
        <v>6784</v>
      </c>
      <c r="BB53" s="29">
        <v>6545</v>
      </c>
      <c r="BC53" s="29">
        <v>6254</v>
      </c>
      <c r="BD53" s="29">
        <v>6265</v>
      </c>
      <c r="BE53" s="29">
        <v>6395</v>
      </c>
      <c r="BF53" s="29">
        <v>6031</v>
      </c>
      <c r="BG53" s="29">
        <v>6132</v>
      </c>
      <c r="BH53" s="29">
        <v>6155</v>
      </c>
      <c r="BI53" s="29">
        <v>6098</v>
      </c>
      <c r="BJ53" s="29">
        <v>6270</v>
      </c>
      <c r="BK53" s="29">
        <v>5636</v>
      </c>
      <c r="BL53" s="30">
        <v>5668</v>
      </c>
      <c r="BM53" s="1">
        <v>5733</v>
      </c>
      <c r="BN53" s="1">
        <v>5607</v>
      </c>
      <c r="BO53" s="1">
        <v>5667</v>
      </c>
      <c r="BP53" s="1">
        <v>5754</v>
      </c>
      <c r="BQ53" s="1">
        <v>5700</v>
      </c>
      <c r="BR53" s="1">
        <v>5730</v>
      </c>
      <c r="BS53" s="1">
        <v>5664</v>
      </c>
      <c r="BT53" s="1">
        <v>5779</v>
      </c>
      <c r="BU53" s="1">
        <v>5818</v>
      </c>
      <c r="BV53" s="1">
        <v>5796</v>
      </c>
      <c r="BW53" s="1">
        <v>5740</v>
      </c>
      <c r="BX53" s="1">
        <v>5774</v>
      </c>
      <c r="BY53" s="1">
        <v>5695</v>
      </c>
      <c r="BZ53" s="1">
        <v>5782</v>
      </c>
    </row>
    <row r="54" spans="1:254" ht="15.9" customHeight="1">
      <c r="A54" s="65" t="s">
        <v>103</v>
      </c>
      <c r="B54" s="25" t="s">
        <v>104</v>
      </c>
      <c r="C54" s="39">
        <f>_xll.RssMarket("8630","高値")</f>
        <v>7038</v>
      </c>
      <c r="D54" s="38">
        <f t="shared" si="1"/>
        <v>0</v>
      </c>
      <c r="E54" s="29">
        <v>7038</v>
      </c>
      <c r="F54" s="29">
        <v>6963</v>
      </c>
      <c r="G54" s="29">
        <v>6895</v>
      </c>
      <c r="H54" s="29">
        <v>7052</v>
      </c>
      <c r="I54" s="29">
        <v>7218</v>
      </c>
      <c r="J54" s="29">
        <v>7350</v>
      </c>
      <c r="K54" s="29">
        <v>7413</v>
      </c>
      <c r="L54" s="29">
        <v>7291</v>
      </c>
      <c r="M54" s="29">
        <v>7268</v>
      </c>
      <c r="N54" s="29">
        <v>7085</v>
      </c>
      <c r="O54" s="29">
        <v>6987</v>
      </c>
      <c r="P54" s="29">
        <v>6910</v>
      </c>
      <c r="Q54" s="29">
        <v>6958</v>
      </c>
      <c r="R54" s="29">
        <v>6724</v>
      </c>
      <c r="S54" s="29">
        <v>6698</v>
      </c>
      <c r="T54" s="29">
        <v>6622</v>
      </c>
      <c r="U54" s="29">
        <v>6541</v>
      </c>
      <c r="V54" s="29">
        <v>6667</v>
      </c>
      <c r="W54" s="29">
        <v>6689</v>
      </c>
      <c r="X54" s="29">
        <v>6762</v>
      </c>
      <c r="Y54" s="29">
        <v>6820</v>
      </c>
      <c r="Z54" s="29">
        <v>6770</v>
      </c>
      <c r="AA54" s="29">
        <v>6697</v>
      </c>
      <c r="AB54" s="29">
        <v>6497</v>
      </c>
      <c r="AC54" s="29">
        <v>6389</v>
      </c>
      <c r="AD54" s="29">
        <v>6268</v>
      </c>
      <c r="AE54" s="29">
        <v>6261</v>
      </c>
      <c r="AF54" s="29">
        <v>6192</v>
      </c>
      <c r="AG54" s="29">
        <v>6181</v>
      </c>
      <c r="AH54" s="29">
        <v>6386</v>
      </c>
      <c r="AI54" s="29">
        <v>6539</v>
      </c>
      <c r="AJ54" s="29">
        <v>6465</v>
      </c>
      <c r="AK54" s="29">
        <v>6410</v>
      </c>
      <c r="AL54" s="29">
        <v>6442</v>
      </c>
      <c r="AM54" s="29">
        <v>6406</v>
      </c>
      <c r="AN54" s="29">
        <v>6274</v>
      </c>
      <c r="AO54" s="29">
        <v>6361</v>
      </c>
      <c r="AP54" s="29">
        <v>6191</v>
      </c>
      <c r="AQ54" s="29">
        <v>6249</v>
      </c>
      <c r="AR54" s="29">
        <v>6332</v>
      </c>
      <c r="AS54" s="29">
        <v>6031</v>
      </c>
      <c r="AT54" s="29">
        <v>5956</v>
      </c>
      <c r="AU54" s="29">
        <v>5849</v>
      </c>
      <c r="AV54" s="29">
        <v>5957</v>
      </c>
      <c r="AW54" s="29">
        <v>5986</v>
      </c>
      <c r="AX54" s="29">
        <v>5958</v>
      </c>
      <c r="AY54" s="29">
        <v>5943</v>
      </c>
      <c r="AZ54" s="29">
        <v>5935</v>
      </c>
      <c r="BA54" s="29">
        <v>5625</v>
      </c>
      <c r="BB54" s="29">
        <v>5764</v>
      </c>
      <c r="BC54" s="29">
        <v>5896</v>
      </c>
      <c r="BD54" s="29">
        <v>6435</v>
      </c>
      <c r="BE54" s="29">
        <v>6435</v>
      </c>
      <c r="BF54" s="29">
        <v>6161</v>
      </c>
      <c r="BG54" s="29">
        <v>6125</v>
      </c>
      <c r="BH54" s="29">
        <v>6050</v>
      </c>
      <c r="BI54" s="29">
        <v>6129</v>
      </c>
      <c r="BJ54" s="29">
        <v>5946</v>
      </c>
      <c r="BK54" s="29">
        <v>5834</v>
      </c>
      <c r="BL54" s="30">
        <v>5900</v>
      </c>
      <c r="BM54" s="1">
        <v>5926</v>
      </c>
      <c r="BN54" s="1">
        <v>5744</v>
      </c>
      <c r="BO54" s="1">
        <v>5798</v>
      </c>
      <c r="BP54" s="1">
        <v>5815</v>
      </c>
      <c r="BQ54" s="1">
        <v>5766</v>
      </c>
      <c r="BR54" s="1">
        <v>5892</v>
      </c>
      <c r="BS54" s="1">
        <v>5858</v>
      </c>
      <c r="BT54" s="1">
        <v>5948</v>
      </c>
      <c r="BU54" s="1">
        <v>5955</v>
      </c>
      <c r="BV54" s="1">
        <v>5947</v>
      </c>
      <c r="BW54" s="1">
        <v>5988</v>
      </c>
      <c r="BX54" s="1">
        <v>5995</v>
      </c>
      <c r="BY54" s="1">
        <v>5990</v>
      </c>
      <c r="BZ54" s="1">
        <v>6022</v>
      </c>
    </row>
    <row r="55" spans="1:254" ht="15.9" customHeight="1">
      <c r="A55" s="65" t="s">
        <v>105</v>
      </c>
      <c r="B55" s="25" t="s">
        <v>106</v>
      </c>
      <c r="C55" s="39">
        <f>_xll.RssMarket("5901","高値")</f>
        <v>4302</v>
      </c>
      <c r="D55" s="38">
        <f t="shared" si="1"/>
        <v>0</v>
      </c>
      <c r="E55" s="29">
        <v>4302</v>
      </c>
      <c r="F55" s="29">
        <v>4305</v>
      </c>
      <c r="G55" s="29">
        <v>4018</v>
      </c>
      <c r="H55" s="29">
        <v>4089</v>
      </c>
      <c r="I55" s="29">
        <v>4118</v>
      </c>
      <c r="J55" s="29">
        <v>4173</v>
      </c>
      <c r="K55" s="29">
        <v>4186</v>
      </c>
      <c r="L55" s="29">
        <v>4183</v>
      </c>
      <c r="M55" s="29">
        <v>4146</v>
      </c>
      <c r="N55" s="29">
        <v>4140</v>
      </c>
      <c r="O55" s="29">
        <v>4112</v>
      </c>
      <c r="P55" s="29">
        <v>4135</v>
      </c>
      <c r="Q55" s="29">
        <v>4131</v>
      </c>
      <c r="R55" s="29">
        <v>4108</v>
      </c>
      <c r="S55" s="29">
        <v>4070</v>
      </c>
      <c r="T55" s="29">
        <v>4031</v>
      </c>
      <c r="U55" s="29">
        <v>4099</v>
      </c>
      <c r="V55" s="29">
        <v>4069</v>
      </c>
      <c r="W55" s="29">
        <v>4118</v>
      </c>
      <c r="X55" s="29">
        <v>4143</v>
      </c>
      <c r="Y55" s="29">
        <v>4175</v>
      </c>
      <c r="Z55" s="29">
        <v>4166</v>
      </c>
      <c r="AA55" s="29">
        <v>4160</v>
      </c>
      <c r="AB55" s="29">
        <v>4150</v>
      </c>
      <c r="AC55" s="29">
        <v>4093</v>
      </c>
      <c r="AD55" s="29">
        <v>4157</v>
      </c>
      <c r="AE55" s="29">
        <v>4160</v>
      </c>
      <c r="AF55" s="29">
        <v>4167</v>
      </c>
      <c r="AG55" s="29">
        <v>4151</v>
      </c>
      <c r="AH55" s="29">
        <v>4104</v>
      </c>
      <c r="AI55" s="29">
        <v>4163</v>
      </c>
      <c r="AJ55" s="29">
        <v>4175</v>
      </c>
      <c r="AK55" s="29">
        <v>4160</v>
      </c>
      <c r="AL55" s="29">
        <v>4135</v>
      </c>
      <c r="AM55" s="29">
        <v>4088</v>
      </c>
      <c r="AN55" s="29">
        <v>4035</v>
      </c>
      <c r="AO55" s="29">
        <v>4047</v>
      </c>
      <c r="AP55" s="29">
        <v>3938</v>
      </c>
      <c r="AQ55" s="29">
        <v>3859</v>
      </c>
      <c r="AR55" s="29">
        <v>3891</v>
      </c>
      <c r="AS55" s="29">
        <v>3912</v>
      </c>
      <c r="AT55" s="29">
        <v>3827</v>
      </c>
      <c r="AU55" s="29">
        <v>3875</v>
      </c>
      <c r="AV55" s="29">
        <v>3912</v>
      </c>
      <c r="AW55" s="29">
        <v>3920</v>
      </c>
      <c r="AX55" s="29">
        <v>4010</v>
      </c>
      <c r="AY55" s="29">
        <v>3948</v>
      </c>
      <c r="AZ55" s="29">
        <v>3973</v>
      </c>
      <c r="BA55" s="29">
        <v>4043</v>
      </c>
      <c r="BB55" s="29">
        <v>4369</v>
      </c>
      <c r="BC55" s="29">
        <v>4404</v>
      </c>
      <c r="BD55" s="29">
        <v>4097</v>
      </c>
      <c r="BE55" s="29">
        <v>4022</v>
      </c>
      <c r="BF55" s="29">
        <v>3930</v>
      </c>
      <c r="BG55" s="29">
        <v>3730</v>
      </c>
      <c r="BH55" s="29">
        <v>3472</v>
      </c>
      <c r="BI55" s="29">
        <v>3508</v>
      </c>
      <c r="BJ55" s="29">
        <v>3428</v>
      </c>
      <c r="BK55" s="29">
        <v>3532</v>
      </c>
      <c r="BL55" s="30">
        <v>3651</v>
      </c>
      <c r="BM55" s="1">
        <v>3607</v>
      </c>
      <c r="BN55" s="1">
        <v>3520</v>
      </c>
      <c r="BO55" s="1">
        <v>3258</v>
      </c>
      <c r="BP55" s="1">
        <v>3210</v>
      </c>
      <c r="BQ55" s="1">
        <v>3220</v>
      </c>
      <c r="BR55" s="1">
        <v>3242</v>
      </c>
      <c r="BS55" s="1">
        <v>3264</v>
      </c>
      <c r="BT55" s="1">
        <v>3382</v>
      </c>
      <c r="BU55" s="1">
        <v>3420</v>
      </c>
      <c r="BV55" s="1">
        <v>3406</v>
      </c>
      <c r="BW55" s="1">
        <v>3385</v>
      </c>
      <c r="BX55" s="1">
        <v>3450</v>
      </c>
      <c r="BY55" s="1">
        <v>3429</v>
      </c>
      <c r="BZ55" s="1">
        <v>3438</v>
      </c>
    </row>
    <row r="56" spans="1:254" ht="15.9" customHeight="1">
      <c r="A56" s="65" t="s">
        <v>107</v>
      </c>
      <c r="B56" s="25" t="s">
        <v>108</v>
      </c>
      <c r="C56" s="39">
        <f>_xll.RssMarket("9412","高値")</f>
        <v>2432</v>
      </c>
      <c r="D56" s="38">
        <f t="shared" si="1"/>
        <v>0</v>
      </c>
      <c r="E56" s="29">
        <v>2432</v>
      </c>
      <c r="F56" s="29">
        <v>2500</v>
      </c>
      <c r="G56" s="29">
        <v>2245</v>
      </c>
      <c r="H56" s="29">
        <v>2169</v>
      </c>
      <c r="I56" s="29">
        <v>2147</v>
      </c>
      <c r="J56" s="29">
        <v>2083</v>
      </c>
      <c r="K56" s="29">
        <v>2162</v>
      </c>
      <c r="L56" s="29">
        <v>2208</v>
      </c>
      <c r="M56" s="29">
        <v>2228</v>
      </c>
      <c r="N56" s="29">
        <v>2242</v>
      </c>
      <c r="O56" s="29">
        <v>2289</v>
      </c>
      <c r="P56" s="29">
        <v>2375</v>
      </c>
      <c r="Q56" s="29">
        <v>2300</v>
      </c>
      <c r="R56" s="29">
        <v>2327</v>
      </c>
      <c r="S56" s="29">
        <v>2485</v>
      </c>
      <c r="T56" s="29">
        <v>2500</v>
      </c>
      <c r="U56" s="29">
        <v>2572</v>
      </c>
      <c r="V56" s="29">
        <v>2582</v>
      </c>
      <c r="W56" s="29">
        <v>2595</v>
      </c>
      <c r="X56" s="29">
        <v>2720</v>
      </c>
      <c r="Y56" s="29">
        <v>2714</v>
      </c>
      <c r="Z56" s="29">
        <v>2792</v>
      </c>
      <c r="AA56" s="29">
        <v>2783</v>
      </c>
      <c r="AB56" s="29">
        <v>2702</v>
      </c>
      <c r="AC56" s="29">
        <v>2686</v>
      </c>
      <c r="AD56" s="29">
        <v>2736</v>
      </c>
      <c r="AE56" s="29">
        <v>2593</v>
      </c>
      <c r="AF56" s="29">
        <v>2528</v>
      </c>
      <c r="AG56" s="29">
        <v>2738</v>
      </c>
      <c r="AH56" s="29">
        <v>2870</v>
      </c>
      <c r="AI56" s="29">
        <v>3235</v>
      </c>
      <c r="AJ56" s="29">
        <v>3245</v>
      </c>
      <c r="AK56" s="29">
        <v>3265</v>
      </c>
      <c r="AL56" s="29">
        <v>3495</v>
      </c>
      <c r="AM56" s="29">
        <v>3420</v>
      </c>
      <c r="AN56" s="29">
        <v>3345</v>
      </c>
      <c r="AO56" s="29">
        <v>3425</v>
      </c>
      <c r="AP56" s="29">
        <v>3505</v>
      </c>
      <c r="AQ56" s="29">
        <v>3245</v>
      </c>
      <c r="AR56" s="29">
        <v>3230</v>
      </c>
      <c r="AS56" s="29">
        <v>3585</v>
      </c>
      <c r="AT56" s="29">
        <v>3670</v>
      </c>
      <c r="AU56" s="29">
        <v>3470</v>
      </c>
      <c r="AV56" s="29">
        <v>3785</v>
      </c>
      <c r="AW56" s="29">
        <v>3910</v>
      </c>
      <c r="AX56" s="29">
        <v>4600</v>
      </c>
      <c r="AY56" s="29">
        <v>4540</v>
      </c>
      <c r="AZ56" s="29">
        <v>4720</v>
      </c>
      <c r="BA56" s="29">
        <v>4530</v>
      </c>
      <c r="BB56" s="29">
        <v>4325</v>
      </c>
      <c r="BC56" s="29">
        <v>4430</v>
      </c>
      <c r="BD56" s="29">
        <v>4240</v>
      </c>
      <c r="BE56" s="29">
        <v>4185</v>
      </c>
      <c r="BF56" s="29">
        <v>4310</v>
      </c>
      <c r="BG56" s="29">
        <v>4345</v>
      </c>
      <c r="BH56" s="29">
        <v>4335</v>
      </c>
      <c r="BI56" s="29">
        <v>4220</v>
      </c>
      <c r="BJ56" s="29">
        <v>4030</v>
      </c>
      <c r="BK56" s="29">
        <v>3840</v>
      </c>
      <c r="BL56" s="30">
        <v>3715</v>
      </c>
      <c r="BM56" s="1">
        <v>3620</v>
      </c>
      <c r="BN56" s="1">
        <v>3650</v>
      </c>
      <c r="BO56" s="1">
        <v>3530</v>
      </c>
      <c r="BP56" s="1">
        <v>3380</v>
      </c>
      <c r="BQ56" s="1">
        <v>3220</v>
      </c>
      <c r="BR56" s="1">
        <v>3305</v>
      </c>
      <c r="BS56" s="1">
        <v>3200</v>
      </c>
      <c r="BT56" s="1">
        <v>3335</v>
      </c>
      <c r="BU56" s="1">
        <v>3420</v>
      </c>
      <c r="BV56" s="1">
        <v>3385</v>
      </c>
      <c r="BW56" s="1">
        <v>3385</v>
      </c>
      <c r="BX56" s="1">
        <v>3265</v>
      </c>
      <c r="BY56" s="1">
        <v>3255</v>
      </c>
      <c r="BZ56" s="1">
        <v>3175</v>
      </c>
    </row>
    <row r="57" spans="1:254" ht="15.9" customHeight="1">
      <c r="A57" s="65" t="s">
        <v>109</v>
      </c>
      <c r="B57" s="25" t="s">
        <v>110</v>
      </c>
      <c r="C57" s="39">
        <f>_xll.RssMarket("6203","高値")</f>
        <v>1502</v>
      </c>
      <c r="D57" s="38">
        <f t="shared" si="1"/>
        <v>0</v>
      </c>
      <c r="E57" s="29">
        <v>1502</v>
      </c>
      <c r="F57" s="29">
        <v>1475</v>
      </c>
      <c r="G57" s="29">
        <v>1405</v>
      </c>
      <c r="H57" s="29">
        <v>1400</v>
      </c>
      <c r="I57" s="29">
        <v>1415</v>
      </c>
      <c r="J57" s="29">
        <v>1362</v>
      </c>
      <c r="K57" s="29">
        <v>1375</v>
      </c>
      <c r="L57" s="29">
        <v>1452</v>
      </c>
      <c r="M57" s="29">
        <v>1470</v>
      </c>
      <c r="N57" s="29">
        <v>1453</v>
      </c>
      <c r="O57" s="29">
        <v>1463</v>
      </c>
      <c r="P57" s="29">
        <v>1477</v>
      </c>
      <c r="Q57" s="29">
        <v>1471</v>
      </c>
      <c r="R57" s="29">
        <v>1454</v>
      </c>
      <c r="S57" s="29">
        <v>1686</v>
      </c>
      <c r="T57" s="29">
        <v>1607</v>
      </c>
      <c r="U57" s="29">
        <v>1649</v>
      </c>
      <c r="V57" s="29">
        <v>1674</v>
      </c>
      <c r="W57" s="29">
        <v>1612</v>
      </c>
      <c r="X57" s="29">
        <v>1667</v>
      </c>
      <c r="Y57" s="29">
        <v>1870</v>
      </c>
      <c r="Z57" s="29">
        <v>1763</v>
      </c>
      <c r="AA57" s="29">
        <v>1637</v>
      </c>
      <c r="AB57" s="29">
        <v>1606</v>
      </c>
      <c r="AC57" s="29">
        <v>1534</v>
      </c>
      <c r="AD57" s="29">
        <v>1558</v>
      </c>
      <c r="AE57" s="29">
        <v>1660</v>
      </c>
      <c r="AF57" s="29">
        <v>1673</v>
      </c>
      <c r="AG57" s="29">
        <v>1618</v>
      </c>
      <c r="AH57" s="29">
        <v>1640</v>
      </c>
      <c r="AI57" s="29">
        <v>1729</v>
      </c>
      <c r="AJ57" s="29">
        <v>1721</v>
      </c>
      <c r="AK57" s="29">
        <v>1707</v>
      </c>
      <c r="AL57" s="29">
        <v>1753</v>
      </c>
      <c r="AM57" s="29">
        <v>1679</v>
      </c>
      <c r="AN57" s="29">
        <v>1592</v>
      </c>
      <c r="AO57" s="29">
        <v>1620</v>
      </c>
      <c r="AP57" s="29">
        <v>1648</v>
      </c>
      <c r="AQ57" s="29">
        <v>1651</v>
      </c>
      <c r="AR57" s="29">
        <v>1810</v>
      </c>
      <c r="AS57" s="29">
        <v>1838</v>
      </c>
      <c r="AT57" s="29">
        <v>1839</v>
      </c>
      <c r="AU57" s="29">
        <v>1874</v>
      </c>
      <c r="AV57" s="29">
        <v>1949</v>
      </c>
      <c r="AW57" s="29">
        <v>1993</v>
      </c>
      <c r="AX57" s="29">
        <v>2012</v>
      </c>
      <c r="AY57" s="29">
        <v>1670</v>
      </c>
      <c r="AZ57" s="29">
        <v>1410</v>
      </c>
      <c r="BA57" s="29">
        <v>1384</v>
      </c>
      <c r="BB57" s="29">
        <v>1364</v>
      </c>
      <c r="BC57" s="29">
        <v>1343</v>
      </c>
      <c r="BD57" s="29">
        <v>1312</v>
      </c>
      <c r="BE57" s="29">
        <v>1361</v>
      </c>
      <c r="BF57" s="29">
        <v>1392</v>
      </c>
      <c r="BG57" s="29">
        <v>1446</v>
      </c>
      <c r="BH57" s="29">
        <v>1431</v>
      </c>
      <c r="BI57" s="29">
        <v>1463</v>
      </c>
      <c r="BJ57" s="29">
        <v>1546</v>
      </c>
      <c r="BK57" s="29">
        <v>1557</v>
      </c>
      <c r="BL57" s="30">
        <v>1510</v>
      </c>
      <c r="BM57" s="1">
        <v>1577</v>
      </c>
      <c r="BN57" s="1">
        <v>1540</v>
      </c>
      <c r="BO57" s="1">
        <v>1565</v>
      </c>
      <c r="BP57" s="1">
        <v>1588</v>
      </c>
      <c r="BQ57" s="1">
        <v>1545</v>
      </c>
      <c r="BR57" s="1">
        <v>1522</v>
      </c>
      <c r="BS57" s="1">
        <v>1606</v>
      </c>
      <c r="BT57" s="1">
        <v>1545</v>
      </c>
      <c r="BU57" s="1">
        <v>1434</v>
      </c>
      <c r="BV57" s="1">
        <v>1390</v>
      </c>
      <c r="BW57" s="1">
        <v>1376</v>
      </c>
      <c r="BX57" s="1">
        <v>1388</v>
      </c>
      <c r="BY57" s="1">
        <v>1468</v>
      </c>
      <c r="BZ57" s="1">
        <v>1489</v>
      </c>
    </row>
    <row r="58" spans="1:254" ht="15.9" customHeight="1">
      <c r="A58" s="65" t="s">
        <v>111</v>
      </c>
      <c r="B58" s="25" t="s">
        <v>112</v>
      </c>
      <c r="C58" s="39">
        <f>_xll.RssMarket("4676","高値")</f>
        <v>4128</v>
      </c>
      <c r="D58" s="38">
        <f t="shared" si="1"/>
        <v>0</v>
      </c>
      <c r="E58" s="29">
        <v>4128</v>
      </c>
      <c r="F58" s="29">
        <v>4103</v>
      </c>
      <c r="G58" s="29">
        <v>3938</v>
      </c>
      <c r="H58" s="29">
        <v>3972</v>
      </c>
      <c r="I58" s="29">
        <v>4150</v>
      </c>
      <c r="J58" s="29">
        <v>4239</v>
      </c>
      <c r="K58" s="29">
        <v>4259</v>
      </c>
      <c r="L58" s="29">
        <v>4225</v>
      </c>
      <c r="M58" s="29">
        <v>4166</v>
      </c>
      <c r="N58" s="29">
        <v>4055</v>
      </c>
      <c r="O58" s="29">
        <v>4059</v>
      </c>
      <c r="P58" s="29">
        <v>4107</v>
      </c>
      <c r="Q58" s="29">
        <v>4132</v>
      </c>
      <c r="R58" s="29">
        <v>4148</v>
      </c>
      <c r="S58" s="29">
        <v>4256</v>
      </c>
      <c r="T58" s="29">
        <v>4289</v>
      </c>
      <c r="U58" s="29">
        <v>4174</v>
      </c>
      <c r="V58" s="29">
        <v>4166</v>
      </c>
      <c r="W58" s="29">
        <v>4100</v>
      </c>
      <c r="X58" s="29">
        <v>4147</v>
      </c>
      <c r="Y58" s="29">
        <v>4170</v>
      </c>
      <c r="Z58" s="29">
        <v>4083</v>
      </c>
      <c r="AA58" s="29">
        <v>4070</v>
      </c>
      <c r="AB58" s="29">
        <v>4076</v>
      </c>
      <c r="AC58" s="29">
        <v>4000</v>
      </c>
      <c r="AD58" s="29">
        <v>3919</v>
      </c>
      <c r="AE58" s="29">
        <v>3885</v>
      </c>
      <c r="AF58" s="29">
        <v>3984</v>
      </c>
      <c r="AG58" s="29">
        <v>4201</v>
      </c>
      <c r="AH58" s="29">
        <v>3944</v>
      </c>
      <c r="AI58" s="29">
        <v>4111</v>
      </c>
      <c r="AJ58" s="29">
        <v>4103</v>
      </c>
      <c r="AK58" s="29">
        <v>4064</v>
      </c>
      <c r="AL58" s="29">
        <v>4074</v>
      </c>
      <c r="AM58" s="29">
        <v>4063</v>
      </c>
      <c r="AN58" s="29">
        <v>4080</v>
      </c>
      <c r="AO58" s="29">
        <v>4152</v>
      </c>
      <c r="AP58" s="29">
        <v>4097</v>
      </c>
      <c r="AQ58" s="29">
        <v>4118</v>
      </c>
      <c r="AR58" s="29">
        <v>4164</v>
      </c>
      <c r="AS58" s="29">
        <v>4185</v>
      </c>
      <c r="AT58" s="29">
        <v>4272</v>
      </c>
      <c r="AU58" s="29">
        <v>3874</v>
      </c>
      <c r="AV58" s="29">
        <v>3867</v>
      </c>
      <c r="AW58" s="29">
        <v>3923</v>
      </c>
      <c r="AX58" s="29">
        <v>3784</v>
      </c>
      <c r="AY58" s="29">
        <v>3782</v>
      </c>
      <c r="AZ58" s="29">
        <v>3754</v>
      </c>
      <c r="BA58" s="29">
        <v>3781</v>
      </c>
      <c r="BB58" s="29">
        <v>3845</v>
      </c>
      <c r="BC58" s="29">
        <v>3860</v>
      </c>
      <c r="BD58" s="29">
        <v>3842</v>
      </c>
      <c r="BE58" s="29">
        <v>3811</v>
      </c>
      <c r="BF58" s="29">
        <v>3832</v>
      </c>
      <c r="BG58" s="29">
        <v>3822</v>
      </c>
      <c r="BH58" s="29">
        <v>3872</v>
      </c>
      <c r="BI58" s="29">
        <v>3915</v>
      </c>
      <c r="BJ58" s="29">
        <v>3995</v>
      </c>
      <c r="BK58" s="29">
        <v>3977</v>
      </c>
      <c r="BL58" s="30">
        <v>3994</v>
      </c>
      <c r="BM58" s="1">
        <v>3984</v>
      </c>
      <c r="BN58" s="1">
        <v>3929</v>
      </c>
      <c r="BO58" s="1">
        <v>3867</v>
      </c>
      <c r="BP58" s="1">
        <v>3956</v>
      </c>
      <c r="BQ58" s="1">
        <v>4004</v>
      </c>
      <c r="BR58" s="1">
        <v>4064</v>
      </c>
      <c r="BS58" s="1">
        <v>4034</v>
      </c>
      <c r="BT58" s="1">
        <v>4014</v>
      </c>
      <c r="BU58" s="1">
        <v>4065</v>
      </c>
      <c r="BV58" s="1">
        <v>4132</v>
      </c>
      <c r="BW58" s="1">
        <v>3951</v>
      </c>
      <c r="BX58" s="1">
        <v>4214</v>
      </c>
      <c r="BY58" s="1">
        <v>4266</v>
      </c>
      <c r="BZ58" s="1">
        <v>4239</v>
      </c>
    </row>
    <row r="59" spans="1:254" ht="15.9" customHeight="1">
      <c r="A59" s="65" t="s">
        <v>113</v>
      </c>
      <c r="B59" s="25" t="s">
        <v>114</v>
      </c>
      <c r="C59" s="39">
        <f>_xll.RssMarket("1961","高値")</f>
        <v>2488</v>
      </c>
      <c r="D59" s="38">
        <f t="shared" si="1"/>
        <v>0</v>
      </c>
      <c r="E59" s="29">
        <v>2488</v>
      </c>
      <c r="F59" s="29">
        <v>2472</v>
      </c>
      <c r="G59" s="29">
        <v>2333</v>
      </c>
      <c r="H59" s="29">
        <v>2272</v>
      </c>
      <c r="I59" s="29">
        <v>2406</v>
      </c>
      <c r="J59" s="29">
        <v>2276</v>
      </c>
      <c r="K59" s="29">
        <v>2344</v>
      </c>
      <c r="L59" s="29">
        <v>2423</v>
      </c>
      <c r="M59" s="29">
        <v>2480</v>
      </c>
      <c r="N59" s="29">
        <v>2469</v>
      </c>
      <c r="O59" s="29">
        <v>2490</v>
      </c>
      <c r="P59" s="29">
        <v>2557</v>
      </c>
      <c r="Q59" s="29">
        <v>2488</v>
      </c>
      <c r="R59" s="29">
        <v>2576</v>
      </c>
      <c r="S59" s="29">
        <v>2651</v>
      </c>
      <c r="T59" s="29">
        <v>2562</v>
      </c>
      <c r="U59" s="29">
        <v>2699</v>
      </c>
      <c r="V59" s="29">
        <v>2711</v>
      </c>
      <c r="W59" s="29">
        <v>2691</v>
      </c>
      <c r="X59" s="29">
        <v>2769</v>
      </c>
      <c r="Y59" s="29">
        <v>2913</v>
      </c>
      <c r="Z59" s="29">
        <v>2912</v>
      </c>
      <c r="AA59" s="29">
        <v>2804</v>
      </c>
      <c r="AB59" s="29">
        <v>2895</v>
      </c>
      <c r="AC59" s="29">
        <v>2991</v>
      </c>
      <c r="AD59" s="29">
        <v>3080</v>
      </c>
      <c r="AE59" s="29">
        <v>3160</v>
      </c>
      <c r="AF59" s="29">
        <v>3175</v>
      </c>
      <c r="AG59" s="29">
        <v>3180</v>
      </c>
      <c r="AH59" s="29">
        <v>3100</v>
      </c>
      <c r="AI59" s="29">
        <v>3275</v>
      </c>
      <c r="AJ59" s="29">
        <v>3135</v>
      </c>
      <c r="AK59" s="29">
        <v>3230</v>
      </c>
      <c r="AL59" s="29">
        <v>2987</v>
      </c>
      <c r="AM59" s="29">
        <v>2700</v>
      </c>
      <c r="AN59" s="29">
        <v>2626</v>
      </c>
      <c r="AO59" s="29">
        <v>2673</v>
      </c>
      <c r="AP59" s="29">
        <v>2520</v>
      </c>
      <c r="AQ59" s="29">
        <v>2473</v>
      </c>
      <c r="AR59" s="29">
        <v>2575</v>
      </c>
      <c r="AS59" s="29">
        <v>2325</v>
      </c>
      <c r="AT59" s="29">
        <v>2349</v>
      </c>
      <c r="AU59" s="29">
        <v>2302</v>
      </c>
      <c r="AV59" s="29">
        <v>2180</v>
      </c>
      <c r="AW59" s="29">
        <v>2205</v>
      </c>
      <c r="AX59" s="29">
        <v>2367</v>
      </c>
      <c r="AY59" s="29">
        <v>2287</v>
      </c>
      <c r="AZ59" s="29">
        <v>2386</v>
      </c>
      <c r="BA59" s="29">
        <v>2259</v>
      </c>
      <c r="BB59" s="29">
        <v>2215</v>
      </c>
      <c r="BC59" s="29">
        <v>2274</v>
      </c>
      <c r="BD59" s="29">
        <v>2378</v>
      </c>
      <c r="BE59" s="29">
        <v>2438</v>
      </c>
      <c r="BF59" s="29">
        <v>2539</v>
      </c>
      <c r="BG59" s="29">
        <v>2719</v>
      </c>
      <c r="BH59" s="29">
        <v>2687</v>
      </c>
      <c r="BI59" s="29">
        <v>2670</v>
      </c>
      <c r="BJ59" s="29">
        <v>2730</v>
      </c>
      <c r="BK59" s="29">
        <v>2625</v>
      </c>
      <c r="BL59" s="30">
        <v>2557</v>
      </c>
      <c r="BM59" s="1">
        <v>2610</v>
      </c>
      <c r="BN59" s="1">
        <v>2458</v>
      </c>
      <c r="BO59" s="1">
        <v>2439</v>
      </c>
      <c r="BP59" s="1">
        <v>2428</v>
      </c>
      <c r="BQ59" s="1">
        <v>2376.6666</v>
      </c>
      <c r="BR59" s="1">
        <v>2333.3332999999998</v>
      </c>
      <c r="BS59" s="1">
        <v>2283.3332999999998</v>
      </c>
      <c r="BT59" s="1">
        <v>2370</v>
      </c>
      <c r="BU59" s="1">
        <v>2403.3332999999998</v>
      </c>
      <c r="BV59" s="1">
        <v>2433.3332999999998</v>
      </c>
      <c r="BW59" s="1">
        <v>2433.3332999999998</v>
      </c>
      <c r="BX59" s="1">
        <v>2473.3332999999998</v>
      </c>
      <c r="BY59" s="1">
        <v>2673.3332999999998</v>
      </c>
      <c r="BZ59" s="1">
        <v>2776.6666</v>
      </c>
    </row>
    <row r="60" spans="1:254" ht="15.9" customHeight="1">
      <c r="A60" s="65" t="s">
        <v>115</v>
      </c>
      <c r="B60" s="25" t="s">
        <v>116</v>
      </c>
      <c r="C60" s="39">
        <f>_xll.RssMarket("3107","高値")</f>
        <v>3807</v>
      </c>
      <c r="D60" s="38">
        <f t="shared" si="1"/>
        <v>0</v>
      </c>
      <c r="E60" s="29">
        <v>3807</v>
      </c>
      <c r="F60" s="29">
        <v>3758</v>
      </c>
      <c r="G60" s="29">
        <v>3618</v>
      </c>
      <c r="H60" s="29">
        <v>3561</v>
      </c>
      <c r="I60" s="29">
        <v>3625</v>
      </c>
      <c r="J60" s="29">
        <v>3673</v>
      </c>
      <c r="K60" s="29">
        <v>3670</v>
      </c>
      <c r="L60" s="29">
        <v>3622</v>
      </c>
      <c r="M60" s="29">
        <v>3599</v>
      </c>
      <c r="N60" s="29">
        <v>3512</v>
      </c>
      <c r="O60" s="29">
        <v>3496</v>
      </c>
      <c r="P60" s="29">
        <v>3502</v>
      </c>
      <c r="Q60" s="29">
        <v>3488</v>
      </c>
      <c r="R60" s="29">
        <v>3456</v>
      </c>
      <c r="S60" s="29">
        <v>3464</v>
      </c>
      <c r="T60" s="29">
        <v>3440</v>
      </c>
      <c r="U60" s="29">
        <v>3447</v>
      </c>
      <c r="V60" s="29">
        <v>3432</v>
      </c>
      <c r="W60" s="29">
        <v>3456</v>
      </c>
      <c r="X60" s="29">
        <v>3494</v>
      </c>
      <c r="Y60" s="29">
        <v>3531</v>
      </c>
      <c r="Z60" s="29">
        <v>3565</v>
      </c>
      <c r="AA60" s="29">
        <v>3547</v>
      </c>
      <c r="AB60" s="29">
        <v>3504</v>
      </c>
      <c r="AC60" s="29">
        <v>3478</v>
      </c>
      <c r="AD60" s="29">
        <v>3523</v>
      </c>
      <c r="AE60" s="29">
        <v>3528</v>
      </c>
      <c r="AF60" s="29">
        <v>3477</v>
      </c>
      <c r="AG60" s="29">
        <v>3425</v>
      </c>
      <c r="AH60" s="29">
        <v>3371</v>
      </c>
      <c r="AI60" s="29">
        <v>3370</v>
      </c>
      <c r="AJ60" s="29">
        <v>3373</v>
      </c>
      <c r="AK60" s="29">
        <v>3363</v>
      </c>
      <c r="AL60" s="29">
        <v>3374</v>
      </c>
      <c r="AM60" s="29">
        <v>3441</v>
      </c>
      <c r="AN60" s="29">
        <v>3488</v>
      </c>
      <c r="AO60" s="29">
        <v>3483</v>
      </c>
      <c r="AP60" s="29">
        <v>3500</v>
      </c>
      <c r="AQ60" s="29">
        <v>3495</v>
      </c>
      <c r="AR60" s="29">
        <v>3480</v>
      </c>
      <c r="AS60" s="29">
        <v>3550</v>
      </c>
      <c r="AT60" s="29">
        <v>3520</v>
      </c>
      <c r="AU60" s="29">
        <v>3588</v>
      </c>
      <c r="AV60" s="29">
        <v>3605</v>
      </c>
      <c r="AW60" s="29">
        <v>3622</v>
      </c>
      <c r="AX60" s="29">
        <v>3490</v>
      </c>
      <c r="AY60" s="29">
        <v>3402</v>
      </c>
      <c r="AZ60" s="29">
        <v>3393</v>
      </c>
      <c r="BA60" s="29">
        <v>3511</v>
      </c>
      <c r="BB60" s="29">
        <v>3540</v>
      </c>
      <c r="BC60" s="29">
        <v>3568</v>
      </c>
      <c r="BD60" s="29">
        <v>3594</v>
      </c>
      <c r="BE60" s="29">
        <v>3591</v>
      </c>
      <c r="BF60" s="29">
        <v>3574</v>
      </c>
      <c r="BG60" s="29">
        <v>3482</v>
      </c>
      <c r="BH60" s="29">
        <v>3485</v>
      </c>
      <c r="BI60" s="29">
        <v>3430</v>
      </c>
      <c r="BJ60" s="29">
        <v>3455</v>
      </c>
      <c r="BK60" s="29">
        <v>3473</v>
      </c>
      <c r="BL60" s="30">
        <v>3427</v>
      </c>
      <c r="BM60" s="1">
        <v>3335</v>
      </c>
      <c r="BN60" s="1">
        <v>3206</v>
      </c>
      <c r="BO60" s="1">
        <v>3225</v>
      </c>
      <c r="BP60" s="1">
        <v>3246</v>
      </c>
      <c r="BQ60" s="1">
        <v>3178</v>
      </c>
      <c r="BR60" s="1">
        <v>3144</v>
      </c>
      <c r="BS60" s="1">
        <v>3119</v>
      </c>
      <c r="BT60" s="1">
        <v>3122</v>
      </c>
      <c r="BU60" s="1">
        <v>3124</v>
      </c>
      <c r="BV60" s="1">
        <v>3180</v>
      </c>
      <c r="BW60" s="1">
        <v>3188</v>
      </c>
      <c r="BX60" s="1">
        <v>3219</v>
      </c>
      <c r="BY60" s="1">
        <v>3196</v>
      </c>
      <c r="BZ60" s="1">
        <v>3187</v>
      </c>
    </row>
    <row r="61" spans="1:254" ht="15.9" customHeight="1">
      <c r="A61" s="65" t="s">
        <v>117</v>
      </c>
      <c r="B61" s="25" t="s">
        <v>118</v>
      </c>
      <c r="C61" s="39">
        <f>_xll.RssMarket("4045","高値")</f>
        <v>1863</v>
      </c>
      <c r="D61" s="38">
        <f t="shared" si="1"/>
        <v>0</v>
      </c>
      <c r="E61" s="29">
        <v>1863</v>
      </c>
      <c r="F61" s="29">
        <v>1845</v>
      </c>
      <c r="G61" s="29">
        <v>1832.5</v>
      </c>
      <c r="H61" s="29">
        <v>1844</v>
      </c>
      <c r="I61" s="29">
        <v>1848</v>
      </c>
      <c r="J61" s="29">
        <v>1799</v>
      </c>
      <c r="K61" s="29">
        <v>1797.5</v>
      </c>
      <c r="L61" s="29">
        <v>1810</v>
      </c>
      <c r="M61" s="29">
        <v>1804.5</v>
      </c>
      <c r="N61" s="29">
        <v>1772</v>
      </c>
      <c r="O61" s="29">
        <v>1781.5</v>
      </c>
      <c r="P61" s="29">
        <v>1787</v>
      </c>
      <c r="Q61" s="29">
        <v>1749</v>
      </c>
      <c r="R61" s="29">
        <v>1742.5</v>
      </c>
      <c r="S61" s="29">
        <v>1760</v>
      </c>
      <c r="T61" s="29">
        <v>1734.5</v>
      </c>
      <c r="U61" s="29">
        <v>1748</v>
      </c>
      <c r="V61" s="29">
        <v>1757.5</v>
      </c>
      <c r="W61" s="29">
        <v>1750</v>
      </c>
      <c r="X61" s="29">
        <v>1761.5</v>
      </c>
      <c r="Y61" s="29">
        <v>1794.5</v>
      </c>
      <c r="Z61" s="29">
        <v>1792</v>
      </c>
      <c r="AA61" s="29">
        <v>1833.5</v>
      </c>
      <c r="AB61" s="29">
        <v>1762.5</v>
      </c>
      <c r="AC61" s="29">
        <v>1767</v>
      </c>
      <c r="AD61" s="29">
        <v>1758</v>
      </c>
      <c r="AE61" s="29">
        <v>1754.5</v>
      </c>
      <c r="AF61" s="29">
        <v>1789.5</v>
      </c>
      <c r="AG61" s="29">
        <v>1797</v>
      </c>
      <c r="AH61" s="29">
        <v>1763.5</v>
      </c>
      <c r="AI61" s="29">
        <v>1764.5</v>
      </c>
      <c r="AJ61" s="29">
        <v>1778</v>
      </c>
      <c r="AK61" s="29">
        <v>1785.5</v>
      </c>
      <c r="AL61" s="29">
        <v>1787.5</v>
      </c>
      <c r="AM61" s="29">
        <v>1768.5</v>
      </c>
      <c r="AN61" s="29">
        <v>1770</v>
      </c>
      <c r="AO61" s="29">
        <v>1780</v>
      </c>
      <c r="AP61" s="29">
        <v>1741.5</v>
      </c>
      <c r="AQ61" s="29">
        <v>1709</v>
      </c>
      <c r="AR61" s="29">
        <v>1713.5</v>
      </c>
      <c r="AS61" s="29">
        <v>1726</v>
      </c>
      <c r="AT61" s="29">
        <v>1758</v>
      </c>
      <c r="AU61" s="29">
        <v>1752.5</v>
      </c>
      <c r="AV61" s="29">
        <v>1768</v>
      </c>
      <c r="AW61" s="29">
        <v>1742.5</v>
      </c>
      <c r="AX61" s="29">
        <v>1782.5</v>
      </c>
      <c r="AY61" s="29">
        <v>1748</v>
      </c>
      <c r="AZ61" s="29">
        <v>1749</v>
      </c>
      <c r="BA61" s="29">
        <v>1745</v>
      </c>
      <c r="BB61" s="29">
        <v>1719</v>
      </c>
      <c r="BC61" s="29">
        <v>1724</v>
      </c>
      <c r="BD61" s="29">
        <v>1711</v>
      </c>
      <c r="BE61" s="29">
        <v>1765</v>
      </c>
      <c r="BF61" s="29">
        <v>1753.5</v>
      </c>
      <c r="BG61" s="29">
        <v>1765</v>
      </c>
      <c r="BH61" s="29">
        <v>1769</v>
      </c>
      <c r="BI61" s="29">
        <v>1747.5</v>
      </c>
      <c r="BJ61" s="29">
        <v>1745</v>
      </c>
      <c r="BK61" s="29">
        <v>1731.5</v>
      </c>
      <c r="BL61" s="30">
        <v>1735.5</v>
      </c>
      <c r="BM61" s="1">
        <v>1767</v>
      </c>
      <c r="BN61" s="1">
        <v>1727</v>
      </c>
      <c r="BO61" s="1">
        <v>1702.5</v>
      </c>
      <c r="BP61" s="1">
        <v>1747</v>
      </c>
      <c r="BQ61" s="1">
        <v>1744</v>
      </c>
      <c r="BR61" s="1">
        <v>1799</v>
      </c>
      <c r="BS61" s="1">
        <v>1804</v>
      </c>
      <c r="BT61" s="1">
        <v>1802</v>
      </c>
      <c r="BU61" s="1">
        <v>1801.5</v>
      </c>
      <c r="BV61" s="1">
        <v>1812</v>
      </c>
      <c r="BW61" s="1">
        <v>1809.5</v>
      </c>
      <c r="BX61" s="1">
        <v>1808</v>
      </c>
      <c r="BY61" s="1">
        <v>1804</v>
      </c>
      <c r="BZ61" s="1">
        <v>1789</v>
      </c>
    </row>
    <row r="62" spans="1:254" ht="15.9" customHeight="1">
      <c r="A62" s="65" t="s">
        <v>119</v>
      </c>
      <c r="B62" s="25" t="s">
        <v>120</v>
      </c>
      <c r="C62" s="39">
        <f>_xll.RssMarket("5857","高値")</f>
        <v>3515</v>
      </c>
      <c r="D62" s="38">
        <f t="shared" si="1"/>
        <v>0</v>
      </c>
      <c r="E62" s="29">
        <v>3515</v>
      </c>
      <c r="F62" s="29">
        <v>3305</v>
      </c>
      <c r="G62" s="29">
        <v>3125</v>
      </c>
      <c r="H62" s="29">
        <v>3080</v>
      </c>
      <c r="I62" s="29">
        <v>3145</v>
      </c>
      <c r="J62" s="29">
        <v>3030</v>
      </c>
      <c r="K62" s="29">
        <v>3090</v>
      </c>
      <c r="L62" s="29">
        <v>3130</v>
      </c>
      <c r="M62" s="29">
        <v>3150</v>
      </c>
      <c r="N62" s="29">
        <v>3100</v>
      </c>
      <c r="O62" s="29">
        <v>3160</v>
      </c>
      <c r="P62" s="29">
        <v>3110</v>
      </c>
      <c r="Q62" s="29">
        <v>3040</v>
      </c>
      <c r="R62" s="29">
        <v>3025</v>
      </c>
      <c r="S62" s="29">
        <v>3130</v>
      </c>
      <c r="T62" s="29">
        <v>3045</v>
      </c>
      <c r="U62" s="29">
        <v>3015</v>
      </c>
      <c r="V62" s="29">
        <v>2998</v>
      </c>
      <c r="W62" s="29">
        <v>2964</v>
      </c>
      <c r="X62" s="29">
        <v>3025</v>
      </c>
      <c r="Y62" s="29">
        <v>3090</v>
      </c>
      <c r="Z62" s="29">
        <v>3130</v>
      </c>
      <c r="AA62" s="29">
        <v>3045</v>
      </c>
      <c r="AB62" s="29">
        <v>2994</v>
      </c>
      <c r="AC62" s="29">
        <v>2979</v>
      </c>
      <c r="AD62" s="29">
        <v>2966</v>
      </c>
      <c r="AE62" s="29">
        <v>2954</v>
      </c>
      <c r="AF62" s="29">
        <v>2920</v>
      </c>
      <c r="AG62" s="29">
        <v>3120</v>
      </c>
      <c r="AH62" s="29">
        <v>3205</v>
      </c>
      <c r="AI62" s="29">
        <v>3240</v>
      </c>
      <c r="AJ62" s="29">
        <v>3245</v>
      </c>
      <c r="AK62" s="29">
        <v>3220</v>
      </c>
      <c r="AL62" s="29">
        <v>3265</v>
      </c>
      <c r="AM62" s="29">
        <v>3320</v>
      </c>
      <c r="AN62" s="29">
        <v>3245</v>
      </c>
      <c r="AO62" s="29">
        <v>3240</v>
      </c>
      <c r="AP62" s="29">
        <v>3065</v>
      </c>
      <c r="AQ62" s="29">
        <v>2941</v>
      </c>
      <c r="AR62" s="29">
        <v>3065</v>
      </c>
      <c r="AS62" s="29">
        <v>3115</v>
      </c>
      <c r="AT62" s="29">
        <v>3210</v>
      </c>
      <c r="AU62" s="29">
        <v>3215</v>
      </c>
      <c r="AV62" s="29">
        <v>3305</v>
      </c>
      <c r="AW62" s="29">
        <v>3285</v>
      </c>
      <c r="AX62" s="29">
        <v>3400</v>
      </c>
      <c r="AY62" s="29">
        <v>3325</v>
      </c>
      <c r="AZ62" s="29">
        <v>3490</v>
      </c>
      <c r="BA62" s="29">
        <v>3630</v>
      </c>
      <c r="BB62" s="29">
        <v>3560</v>
      </c>
      <c r="BC62" s="29">
        <v>3510</v>
      </c>
      <c r="BD62" s="29">
        <v>3575</v>
      </c>
      <c r="BE62" s="29">
        <v>3780</v>
      </c>
      <c r="BF62" s="29">
        <v>3870</v>
      </c>
      <c r="BG62" s="29">
        <v>4110</v>
      </c>
      <c r="BH62" s="29">
        <v>4070</v>
      </c>
      <c r="BI62" s="29">
        <v>4060</v>
      </c>
      <c r="BJ62" s="29">
        <v>3970</v>
      </c>
      <c r="BK62" s="29">
        <v>4130</v>
      </c>
      <c r="BL62" s="30">
        <v>4105</v>
      </c>
      <c r="BM62" s="1">
        <v>4030</v>
      </c>
      <c r="BN62" s="1">
        <v>3575</v>
      </c>
      <c r="BO62" s="1">
        <v>3600</v>
      </c>
      <c r="BP62" s="1">
        <v>3685</v>
      </c>
      <c r="BQ62" s="1">
        <v>3675</v>
      </c>
      <c r="BR62" s="1">
        <v>3710</v>
      </c>
      <c r="BS62" s="1">
        <v>3790</v>
      </c>
      <c r="BT62" s="1">
        <v>3935</v>
      </c>
      <c r="BU62" s="1">
        <v>4045</v>
      </c>
      <c r="BV62" s="1">
        <v>3835</v>
      </c>
      <c r="BW62" s="1">
        <v>3865</v>
      </c>
      <c r="BX62" s="1">
        <v>3875</v>
      </c>
      <c r="BY62" s="1">
        <v>3870</v>
      </c>
      <c r="BZ62" s="1">
        <v>3780</v>
      </c>
    </row>
    <row r="63" spans="1:254" ht="15.9" customHeight="1">
      <c r="A63" s="65" t="s">
        <v>121</v>
      </c>
      <c r="B63" s="25" t="s">
        <v>122</v>
      </c>
      <c r="C63" s="39">
        <f>_xll.RssMarket("8281","高値")</f>
        <v>1087</v>
      </c>
      <c r="D63" s="38">
        <f t="shared" si="1"/>
        <v>0</v>
      </c>
      <c r="E63" s="29">
        <v>1087</v>
      </c>
      <c r="F63" s="29">
        <v>1079</v>
      </c>
      <c r="G63" s="29">
        <v>1089</v>
      </c>
      <c r="H63" s="29">
        <v>1100</v>
      </c>
      <c r="I63" s="29">
        <v>1122</v>
      </c>
      <c r="J63" s="29">
        <v>1137</v>
      </c>
      <c r="K63" s="29">
        <v>1147</v>
      </c>
      <c r="L63" s="29">
        <v>1117</v>
      </c>
      <c r="M63" s="29">
        <v>1117</v>
      </c>
      <c r="N63" s="29"/>
      <c r="O63" s="29">
        <v>1109</v>
      </c>
      <c r="P63" s="29">
        <v>1110</v>
      </c>
      <c r="Q63" s="29">
        <v>1132</v>
      </c>
      <c r="R63" s="29">
        <v>1121</v>
      </c>
      <c r="S63" s="29">
        <v>1101</v>
      </c>
      <c r="T63" s="29">
        <v>1111</v>
      </c>
      <c r="U63" s="29">
        <v>1106</v>
      </c>
      <c r="V63" s="29">
        <v>1098</v>
      </c>
      <c r="W63" s="29">
        <v>1105</v>
      </c>
      <c r="X63" s="29">
        <v>1122</v>
      </c>
      <c r="Y63" s="29">
        <v>1124</v>
      </c>
      <c r="Z63" s="29">
        <v>1112</v>
      </c>
      <c r="AA63" s="29">
        <v>1082</v>
      </c>
      <c r="AB63" s="29">
        <v>1076</v>
      </c>
      <c r="AC63" s="29">
        <v>1056</v>
      </c>
      <c r="AD63" s="29">
        <v>1072</v>
      </c>
      <c r="AE63" s="29">
        <v>1078</v>
      </c>
      <c r="AF63" s="29">
        <v>1075</v>
      </c>
      <c r="AG63" s="29">
        <v>1055</v>
      </c>
      <c r="AH63" s="29">
        <v>1044</v>
      </c>
      <c r="AI63" s="29">
        <v>1040</v>
      </c>
      <c r="AJ63" s="29">
        <v>1047</v>
      </c>
      <c r="AK63" s="29">
        <v>1048</v>
      </c>
      <c r="AL63" s="29">
        <v>1059</v>
      </c>
      <c r="AM63" s="29">
        <v>1065</v>
      </c>
      <c r="AN63" s="29">
        <v>1069</v>
      </c>
      <c r="AO63" s="29">
        <v>1080</v>
      </c>
      <c r="AP63" s="29">
        <v>1072</v>
      </c>
      <c r="AQ63" s="29">
        <v>1073</v>
      </c>
      <c r="AR63" s="29">
        <v>1067</v>
      </c>
      <c r="AS63" s="29">
        <v>1038</v>
      </c>
      <c r="AT63" s="29">
        <v>1028</v>
      </c>
      <c r="AU63" s="29">
        <v>1019</v>
      </c>
      <c r="AV63" s="29">
        <v>1042</v>
      </c>
      <c r="AW63" s="29">
        <v>1039</v>
      </c>
      <c r="AX63" s="29">
        <v>1072</v>
      </c>
      <c r="AY63" s="29">
        <v>1057</v>
      </c>
      <c r="AZ63" s="29">
        <v>1049</v>
      </c>
      <c r="BA63" s="29">
        <v>1055</v>
      </c>
      <c r="BB63" s="29">
        <v>1059</v>
      </c>
      <c r="BC63" s="29">
        <v>1064</v>
      </c>
      <c r="BD63" s="29">
        <v>1059</v>
      </c>
      <c r="BE63" s="29">
        <v>1050</v>
      </c>
      <c r="BF63" s="29">
        <v>1028</v>
      </c>
      <c r="BG63" s="29">
        <v>1039</v>
      </c>
      <c r="BH63" s="29">
        <v>966</v>
      </c>
      <c r="BI63" s="29">
        <v>973</v>
      </c>
      <c r="BJ63" s="29">
        <v>966</v>
      </c>
      <c r="BK63" s="29">
        <v>973</v>
      </c>
      <c r="BL63" s="30">
        <v>973</v>
      </c>
      <c r="BM63" s="1">
        <v>993</v>
      </c>
      <c r="BN63" s="1">
        <v>996</v>
      </c>
      <c r="BO63" s="1">
        <v>999</v>
      </c>
      <c r="BP63" s="1">
        <v>999</v>
      </c>
      <c r="BQ63" s="1">
        <v>998</v>
      </c>
      <c r="BR63" s="1">
        <v>1002</v>
      </c>
      <c r="BS63" s="1">
        <v>1005</v>
      </c>
      <c r="BT63" s="1">
        <v>1026</v>
      </c>
      <c r="BU63" s="1">
        <v>1037</v>
      </c>
      <c r="BV63" s="1">
        <v>1032</v>
      </c>
      <c r="BW63" s="1">
        <v>1024</v>
      </c>
      <c r="BX63" s="1">
        <v>1028</v>
      </c>
      <c r="BY63" s="1">
        <v>1023</v>
      </c>
      <c r="BZ63" s="1">
        <v>1018</v>
      </c>
    </row>
    <row r="64" spans="1:254" ht="15.9" customHeight="1">
      <c r="A64" s="65" t="s">
        <v>123</v>
      </c>
      <c r="B64" s="25" t="s">
        <v>124</v>
      </c>
      <c r="C64" s="39">
        <f>_xll.RssMarket("4540","高値")</f>
        <v>3800</v>
      </c>
      <c r="D64" s="38">
        <f t="shared" si="1"/>
        <v>0</v>
      </c>
      <c r="E64" s="29">
        <v>3800</v>
      </c>
      <c r="F64" s="29">
        <v>3770</v>
      </c>
      <c r="G64" s="29">
        <v>3791</v>
      </c>
      <c r="H64" s="29">
        <v>3809</v>
      </c>
      <c r="I64" s="29">
        <v>3917</v>
      </c>
      <c r="J64" s="29">
        <v>4045</v>
      </c>
      <c r="K64" s="29">
        <v>4079</v>
      </c>
      <c r="L64" s="29">
        <v>3976</v>
      </c>
      <c r="M64" s="29">
        <v>3942</v>
      </c>
      <c r="N64" s="29">
        <v>3828</v>
      </c>
      <c r="O64" s="29">
        <v>3840</v>
      </c>
      <c r="P64" s="29">
        <v>3886</v>
      </c>
      <c r="Q64" s="29">
        <v>3929</v>
      </c>
      <c r="R64" s="29">
        <v>3898</v>
      </c>
      <c r="S64" s="29">
        <v>3883</v>
      </c>
      <c r="T64" s="29">
        <v>3919</v>
      </c>
      <c r="U64" s="29">
        <v>3850</v>
      </c>
      <c r="V64" s="29">
        <v>3829</v>
      </c>
      <c r="W64" s="29">
        <v>3819</v>
      </c>
      <c r="X64" s="29">
        <v>3828</v>
      </c>
      <c r="Y64" s="29">
        <v>3833</v>
      </c>
      <c r="Z64" s="29">
        <v>3800</v>
      </c>
      <c r="AA64" s="29">
        <v>3795</v>
      </c>
      <c r="AB64" s="29">
        <v>3762</v>
      </c>
      <c r="AC64" s="29">
        <v>3748</v>
      </c>
      <c r="AD64" s="29">
        <v>3751</v>
      </c>
      <c r="AE64" s="29">
        <v>3744</v>
      </c>
      <c r="AF64" s="29">
        <v>3740</v>
      </c>
      <c r="AG64" s="29">
        <v>3810</v>
      </c>
      <c r="AH64" s="29">
        <v>3845</v>
      </c>
      <c r="AI64" s="29">
        <v>3755</v>
      </c>
      <c r="AJ64" s="29">
        <v>3759</v>
      </c>
      <c r="AK64" s="29">
        <v>3754</v>
      </c>
      <c r="AL64" s="29">
        <v>3776</v>
      </c>
      <c r="AM64" s="29">
        <v>3784</v>
      </c>
      <c r="AN64" s="29">
        <v>3764</v>
      </c>
      <c r="AO64" s="29">
        <v>3757</v>
      </c>
      <c r="AP64" s="29">
        <v>3763</v>
      </c>
      <c r="AQ64" s="29">
        <v>3777</v>
      </c>
      <c r="AR64" s="29">
        <v>3758</v>
      </c>
      <c r="AS64" s="29">
        <v>3752</v>
      </c>
      <c r="AT64" s="29">
        <v>3771</v>
      </c>
      <c r="AU64" s="29">
        <v>3760</v>
      </c>
      <c r="AV64" s="29">
        <v>3739</v>
      </c>
      <c r="AW64" s="29">
        <v>3743</v>
      </c>
      <c r="AX64" s="29">
        <v>3857</v>
      </c>
      <c r="AY64" s="29">
        <v>3860</v>
      </c>
      <c r="AZ64" s="29">
        <v>3861</v>
      </c>
      <c r="BA64" s="29">
        <v>3795</v>
      </c>
      <c r="BB64" s="29">
        <v>3888</v>
      </c>
      <c r="BC64" s="29">
        <v>3982</v>
      </c>
      <c r="BD64" s="29">
        <v>4015</v>
      </c>
      <c r="BE64" s="29">
        <v>3934</v>
      </c>
      <c r="BF64" s="29">
        <v>3837</v>
      </c>
      <c r="BG64" s="29">
        <v>3819</v>
      </c>
      <c r="BH64" s="29">
        <v>3789</v>
      </c>
      <c r="BI64" s="29">
        <v>3719</v>
      </c>
      <c r="BJ64" s="29">
        <v>3565</v>
      </c>
      <c r="BK64" s="29">
        <v>3588</v>
      </c>
      <c r="BL64" s="30">
        <v>3641</v>
      </c>
      <c r="BM64" s="1">
        <v>3644</v>
      </c>
      <c r="BN64" s="1">
        <v>3653</v>
      </c>
      <c r="BO64" s="1">
        <v>3681</v>
      </c>
      <c r="BP64" s="1">
        <v>3728</v>
      </c>
      <c r="BQ64" s="1">
        <v>3717</v>
      </c>
      <c r="BR64" s="1">
        <v>3703</v>
      </c>
      <c r="BS64" s="1">
        <v>3700</v>
      </c>
      <c r="BT64" s="1">
        <v>3722</v>
      </c>
      <c r="BU64" s="1">
        <v>3750</v>
      </c>
      <c r="BV64" s="1">
        <v>3791</v>
      </c>
      <c r="BW64" s="1">
        <v>3780</v>
      </c>
      <c r="BX64" s="1">
        <v>3807</v>
      </c>
      <c r="BY64" s="1">
        <v>3782</v>
      </c>
      <c r="BZ64" s="1">
        <v>3790</v>
      </c>
    </row>
    <row r="65" spans="1:254" ht="15.9" customHeight="1">
      <c r="A65" s="65" t="s">
        <v>125</v>
      </c>
      <c r="B65" s="25" t="s">
        <v>126</v>
      </c>
      <c r="C65" s="39">
        <f>_xll.RssMarket("9984","高値")</f>
        <v>5881</v>
      </c>
      <c r="D65" s="38">
        <f t="shared" si="1"/>
        <v>0</v>
      </c>
      <c r="E65" s="29">
        <v>5881</v>
      </c>
      <c r="F65" s="29">
        <v>5958</v>
      </c>
      <c r="G65" s="29">
        <v>5530</v>
      </c>
      <c r="H65" s="29">
        <v>5430</v>
      </c>
      <c r="I65" s="29">
        <v>5322</v>
      </c>
      <c r="J65" s="29">
        <v>4755</v>
      </c>
      <c r="K65" s="29">
        <v>5130</v>
      </c>
      <c r="L65" s="29">
        <v>5270</v>
      </c>
      <c r="M65" s="29">
        <v>5671</v>
      </c>
      <c r="N65" s="29">
        <v>5800</v>
      </c>
      <c r="O65" s="29">
        <v>5928</v>
      </c>
      <c r="P65" s="29">
        <v>6032</v>
      </c>
      <c r="Q65" s="29">
        <v>5789</v>
      </c>
      <c r="R65" s="29">
        <v>5676</v>
      </c>
      <c r="S65" s="29">
        <v>6660</v>
      </c>
      <c r="T65" s="29">
        <v>6574</v>
      </c>
      <c r="U65" s="29">
        <v>6542</v>
      </c>
      <c r="V65" s="29">
        <v>6556</v>
      </c>
      <c r="W65" s="29">
        <v>5958</v>
      </c>
      <c r="X65" s="29">
        <v>5916</v>
      </c>
      <c r="Y65" s="29">
        <v>6113</v>
      </c>
      <c r="Z65" s="29">
        <v>6147</v>
      </c>
      <c r="AA65" s="29">
        <v>6169</v>
      </c>
      <c r="AB65" s="29">
        <v>6266</v>
      </c>
      <c r="AC65" s="29">
        <v>6239</v>
      </c>
      <c r="AD65" s="29">
        <v>6047</v>
      </c>
      <c r="AE65" s="29">
        <v>6322</v>
      </c>
      <c r="AF65" s="29">
        <v>6489</v>
      </c>
      <c r="AG65" s="29">
        <v>7188</v>
      </c>
      <c r="AH65" s="29">
        <v>6723</v>
      </c>
      <c r="AI65" s="29">
        <v>6977</v>
      </c>
      <c r="AJ65" s="29">
        <v>7394</v>
      </c>
      <c r="AK65" s="29">
        <v>7562</v>
      </c>
      <c r="AL65" s="29">
        <v>7294</v>
      </c>
      <c r="AM65" s="29">
        <v>6948</v>
      </c>
      <c r="AN65" s="29">
        <v>7188</v>
      </c>
      <c r="AO65" s="29">
        <v>7327</v>
      </c>
      <c r="AP65" s="29">
        <v>6797</v>
      </c>
      <c r="AQ65" s="29">
        <v>6529</v>
      </c>
      <c r="AR65" s="29">
        <v>6730</v>
      </c>
      <c r="AS65" s="29">
        <v>7022</v>
      </c>
      <c r="AT65" s="29">
        <v>7583</v>
      </c>
      <c r="AU65" s="29">
        <v>8099</v>
      </c>
      <c r="AV65" s="29">
        <v>8800</v>
      </c>
      <c r="AW65" s="29">
        <v>9074</v>
      </c>
      <c r="AX65" s="29">
        <v>7710</v>
      </c>
      <c r="AY65" s="29">
        <v>7220</v>
      </c>
      <c r="AZ65" s="29">
        <v>8038</v>
      </c>
      <c r="BA65" s="29">
        <v>7276</v>
      </c>
      <c r="BB65" s="29">
        <v>6881</v>
      </c>
      <c r="BC65" s="29">
        <v>6039</v>
      </c>
      <c r="BD65" s="29">
        <v>5349</v>
      </c>
      <c r="BE65" s="29">
        <v>5777</v>
      </c>
      <c r="BF65" s="29">
        <v>5720</v>
      </c>
      <c r="BG65" s="29">
        <v>6020</v>
      </c>
      <c r="BH65" s="29">
        <v>6204</v>
      </c>
      <c r="BI65" s="29">
        <v>6084</v>
      </c>
      <c r="BJ65" s="29">
        <v>6008</v>
      </c>
      <c r="BK65" s="29">
        <v>6292</v>
      </c>
      <c r="BL65" s="30">
        <v>6242</v>
      </c>
      <c r="BM65" s="1">
        <v>6424</v>
      </c>
      <c r="BN65" s="1">
        <v>5466</v>
      </c>
      <c r="BO65" s="1">
        <v>5399</v>
      </c>
      <c r="BP65" s="1">
        <v>5751</v>
      </c>
      <c r="BQ65" s="1">
        <v>6121</v>
      </c>
      <c r="BR65" s="1">
        <v>6000</v>
      </c>
      <c r="BS65" s="1">
        <v>6160</v>
      </c>
      <c r="BT65" s="1">
        <v>5727</v>
      </c>
      <c r="BU65" s="1">
        <v>5187</v>
      </c>
      <c r="BV65" s="1">
        <v>4818</v>
      </c>
      <c r="BW65" s="1">
        <v>4689</v>
      </c>
      <c r="BX65" s="1">
        <v>4772</v>
      </c>
      <c r="BY65" s="1">
        <v>4525</v>
      </c>
      <c r="BZ65" s="1">
        <v>4263</v>
      </c>
    </row>
    <row r="66" spans="1:254" ht="15.9" customHeight="1">
      <c r="A66" s="65" t="s">
        <v>127</v>
      </c>
      <c r="B66" s="25" t="s">
        <v>128</v>
      </c>
      <c r="C66" s="37">
        <f>_xll.RssMarket("4063","高値")</f>
        <v>6234</v>
      </c>
      <c r="D66" s="38">
        <f t="shared" si="1"/>
        <v>0</v>
      </c>
      <c r="E66" s="29">
        <v>6234</v>
      </c>
      <c r="F66" s="29">
        <v>6213</v>
      </c>
      <c r="G66" s="29">
        <v>5992</v>
      </c>
      <c r="H66" s="29">
        <v>5900</v>
      </c>
      <c r="I66" s="29">
        <v>6042</v>
      </c>
      <c r="J66" s="29">
        <v>5879</v>
      </c>
      <c r="K66" s="29">
        <v>5945</v>
      </c>
      <c r="L66" s="29">
        <v>6176</v>
      </c>
      <c r="M66" s="29">
        <v>6520</v>
      </c>
      <c r="N66" s="29">
        <v>6840</v>
      </c>
      <c r="O66" s="29">
        <v>7219</v>
      </c>
      <c r="P66" s="29">
        <v>7367</v>
      </c>
      <c r="Q66" s="29">
        <v>7230</v>
      </c>
      <c r="R66" s="29">
        <v>7247</v>
      </c>
      <c r="S66" s="29">
        <v>7690</v>
      </c>
      <c r="T66" s="29">
        <v>7502</v>
      </c>
      <c r="U66" s="29">
        <v>7655</v>
      </c>
      <c r="V66" s="29">
        <v>7403</v>
      </c>
      <c r="W66" s="29">
        <v>7010</v>
      </c>
      <c r="X66" s="29">
        <v>7128</v>
      </c>
      <c r="Y66" s="29">
        <v>7460</v>
      </c>
      <c r="Z66" s="29">
        <v>7420</v>
      </c>
      <c r="AA66" s="29">
        <v>6993</v>
      </c>
      <c r="AB66" s="29">
        <v>7195</v>
      </c>
      <c r="AC66" s="29">
        <v>7285</v>
      </c>
      <c r="AD66" s="29">
        <v>7058</v>
      </c>
      <c r="AE66" s="29">
        <v>6942</v>
      </c>
      <c r="AF66" s="29">
        <v>7055</v>
      </c>
      <c r="AG66" s="29">
        <v>7268</v>
      </c>
      <c r="AH66" s="29">
        <v>7153</v>
      </c>
      <c r="AI66" s="29">
        <v>7419</v>
      </c>
      <c r="AJ66" s="29">
        <v>7377</v>
      </c>
      <c r="AK66" s="29">
        <v>7528</v>
      </c>
      <c r="AL66" s="29">
        <v>7736</v>
      </c>
      <c r="AM66" s="29">
        <v>7595</v>
      </c>
      <c r="AN66" s="29">
        <v>7589</v>
      </c>
      <c r="AO66" s="29">
        <v>7567</v>
      </c>
      <c r="AP66" s="29">
        <v>7218</v>
      </c>
      <c r="AQ66" s="29">
        <v>6858</v>
      </c>
      <c r="AR66" s="29">
        <v>6830</v>
      </c>
      <c r="AS66" s="29">
        <v>7056</v>
      </c>
      <c r="AT66" s="29">
        <v>7539</v>
      </c>
      <c r="AU66" s="29">
        <v>7730</v>
      </c>
      <c r="AV66" s="29">
        <v>7818</v>
      </c>
      <c r="AW66" s="29">
        <v>7600</v>
      </c>
      <c r="AX66" s="29">
        <v>7904</v>
      </c>
      <c r="AY66" s="29">
        <v>7480</v>
      </c>
      <c r="AZ66" s="29">
        <v>7572</v>
      </c>
      <c r="BA66" s="29">
        <v>7194</v>
      </c>
      <c r="BB66" s="29">
        <v>7065</v>
      </c>
      <c r="BC66" s="29">
        <v>7014</v>
      </c>
      <c r="BD66" s="29">
        <v>6975</v>
      </c>
      <c r="BE66" s="29">
        <v>7071</v>
      </c>
      <c r="BF66" s="29">
        <v>7157</v>
      </c>
      <c r="BG66" s="29">
        <v>7464</v>
      </c>
      <c r="BH66" s="29">
        <v>7593</v>
      </c>
      <c r="BI66" s="29">
        <v>7466</v>
      </c>
      <c r="BJ66" s="29">
        <v>7604</v>
      </c>
      <c r="BK66" s="29">
        <v>7668</v>
      </c>
      <c r="BL66" s="30">
        <v>7653</v>
      </c>
      <c r="BM66" s="1">
        <v>7883</v>
      </c>
      <c r="BN66" s="1">
        <v>7285</v>
      </c>
      <c r="BO66" s="1">
        <v>7351</v>
      </c>
      <c r="BP66" s="1">
        <v>7082</v>
      </c>
      <c r="BQ66" s="1">
        <v>7018</v>
      </c>
      <c r="BR66" s="1">
        <v>6847</v>
      </c>
      <c r="BS66" s="1">
        <v>6784</v>
      </c>
      <c r="BT66" s="1">
        <v>6742</v>
      </c>
      <c r="BU66" s="1">
        <v>6912</v>
      </c>
      <c r="BV66" s="1">
        <v>6886</v>
      </c>
      <c r="BW66" s="1">
        <v>6996</v>
      </c>
      <c r="BX66" s="1">
        <v>6944</v>
      </c>
      <c r="BY66" s="1">
        <v>6863</v>
      </c>
      <c r="BZ66" s="1">
        <v>6696</v>
      </c>
    </row>
    <row r="67" spans="1:254" ht="15.9" customHeight="1">
      <c r="A67" s="65" t="s">
        <v>129</v>
      </c>
      <c r="B67" s="25" t="s">
        <v>130</v>
      </c>
      <c r="C67" s="39">
        <f>_xll.RssMarket("4536","高値")</f>
        <v>1910</v>
      </c>
      <c r="D67" s="38">
        <f t="shared" si="1"/>
        <v>0</v>
      </c>
      <c r="E67" s="29">
        <v>1910</v>
      </c>
      <c r="F67" s="29">
        <v>1875</v>
      </c>
      <c r="G67" s="29">
        <v>1883</v>
      </c>
      <c r="H67" s="29">
        <v>1889</v>
      </c>
      <c r="I67" s="29">
        <v>1903</v>
      </c>
      <c r="J67" s="29">
        <v>2020</v>
      </c>
      <c r="K67" s="29">
        <v>2039.5</v>
      </c>
      <c r="L67" s="29">
        <v>1979.5</v>
      </c>
      <c r="M67" s="29">
        <v>1984</v>
      </c>
      <c r="N67" s="29"/>
      <c r="O67" s="29">
        <v>1984.5</v>
      </c>
      <c r="P67" s="29">
        <v>2028.5</v>
      </c>
      <c r="Q67" s="29">
        <v>2080.5</v>
      </c>
      <c r="R67" s="29">
        <v>2083</v>
      </c>
      <c r="S67" s="29">
        <v>2132</v>
      </c>
      <c r="T67" s="29">
        <v>2165</v>
      </c>
      <c r="U67" s="29">
        <v>2170.5</v>
      </c>
      <c r="V67" s="29">
        <v>2167</v>
      </c>
      <c r="W67" s="29">
        <v>2205</v>
      </c>
      <c r="X67" s="29">
        <v>2240</v>
      </c>
      <c r="Y67" s="29">
        <v>2251</v>
      </c>
      <c r="Z67" s="29">
        <v>2253.5</v>
      </c>
      <c r="AA67" s="29">
        <v>2254</v>
      </c>
      <c r="AB67" s="29">
        <v>2191.5</v>
      </c>
      <c r="AC67" s="29">
        <v>2144.5</v>
      </c>
      <c r="AD67" s="29">
        <v>2189</v>
      </c>
      <c r="AE67" s="29">
        <v>2192</v>
      </c>
      <c r="AF67" s="29">
        <v>2151</v>
      </c>
      <c r="AG67" s="29">
        <v>2128</v>
      </c>
      <c r="AH67" s="29">
        <v>2079</v>
      </c>
      <c r="AI67" s="29">
        <v>2017</v>
      </c>
      <c r="AJ67" s="29">
        <v>1951.5</v>
      </c>
      <c r="AK67" s="29">
        <v>1876</v>
      </c>
      <c r="AL67" s="29">
        <v>1904</v>
      </c>
      <c r="AM67" s="29">
        <v>1935.5</v>
      </c>
      <c r="AN67" s="29">
        <v>1940</v>
      </c>
      <c r="AO67" s="29">
        <v>1950</v>
      </c>
      <c r="AP67" s="29">
        <v>1937.5</v>
      </c>
      <c r="AQ67" s="29">
        <v>1954</v>
      </c>
      <c r="AR67" s="29">
        <v>1983</v>
      </c>
      <c r="AS67" s="29">
        <v>2043</v>
      </c>
      <c r="AT67" s="29">
        <v>1952</v>
      </c>
      <c r="AU67" s="29">
        <v>1881</v>
      </c>
      <c r="AV67" s="29">
        <v>1872</v>
      </c>
      <c r="AW67" s="29">
        <v>1886.5</v>
      </c>
      <c r="AX67" s="29">
        <v>1939</v>
      </c>
      <c r="AY67" s="29">
        <v>1918.5</v>
      </c>
      <c r="AZ67" s="29">
        <v>1941</v>
      </c>
      <c r="BA67" s="29">
        <v>1969.5</v>
      </c>
      <c r="BB67" s="29">
        <v>1927.5</v>
      </c>
      <c r="BC67" s="29">
        <v>1934.5</v>
      </c>
      <c r="BD67" s="29">
        <v>1959.5</v>
      </c>
      <c r="BE67" s="29">
        <v>1898.5</v>
      </c>
      <c r="BF67" s="29">
        <v>1869.5</v>
      </c>
      <c r="BG67" s="29">
        <v>1879.5</v>
      </c>
      <c r="BH67" s="29">
        <v>1909</v>
      </c>
      <c r="BI67" s="29">
        <v>1815</v>
      </c>
      <c r="BJ67" s="29">
        <v>1622</v>
      </c>
      <c r="BK67" s="29">
        <v>1629.5</v>
      </c>
      <c r="BL67" s="30">
        <v>1628</v>
      </c>
      <c r="BM67" s="1">
        <v>1646.5</v>
      </c>
      <c r="BN67" s="1">
        <v>1649</v>
      </c>
      <c r="BO67" s="1">
        <v>1637</v>
      </c>
      <c r="BP67" s="1">
        <v>1652</v>
      </c>
      <c r="BQ67" s="1">
        <v>1673.5</v>
      </c>
      <c r="BR67" s="1">
        <v>1695.5</v>
      </c>
      <c r="BS67" s="1">
        <v>1675.5</v>
      </c>
      <c r="BT67" s="1">
        <v>1723.5</v>
      </c>
      <c r="BU67" s="1">
        <v>1740</v>
      </c>
      <c r="BV67" s="1">
        <v>1798</v>
      </c>
      <c r="BW67" s="1">
        <v>1802.5</v>
      </c>
      <c r="BX67" s="1">
        <v>1816.5</v>
      </c>
      <c r="BY67" s="1">
        <v>1809.5</v>
      </c>
      <c r="BZ67" s="1">
        <v>1818.5</v>
      </c>
    </row>
    <row r="68" spans="1:254" ht="15.9" customHeight="1">
      <c r="A68" s="65" t="s">
        <v>131</v>
      </c>
      <c r="B68" s="25" t="s">
        <v>132</v>
      </c>
      <c r="C68" s="39">
        <f>_xll.RssMarket("6503","高値")</f>
        <v>6061</v>
      </c>
      <c r="D68" s="38">
        <f t="shared" si="1"/>
        <v>0</v>
      </c>
      <c r="E68" s="29">
        <v>6061</v>
      </c>
      <c r="F68" s="29">
        <v>5866</v>
      </c>
      <c r="G68" s="29">
        <v>5699</v>
      </c>
      <c r="H68" s="29">
        <v>5773</v>
      </c>
      <c r="I68" s="29">
        <v>5912</v>
      </c>
      <c r="J68" s="29">
        <v>5358</v>
      </c>
      <c r="K68" s="29">
        <v>5297</v>
      </c>
      <c r="L68" s="29">
        <v>5500</v>
      </c>
      <c r="M68" s="29">
        <v>5681</v>
      </c>
      <c r="N68" s="29">
        <v>5686</v>
      </c>
      <c r="O68" s="29">
        <v>5764</v>
      </c>
      <c r="P68" s="29">
        <v>5795</v>
      </c>
      <c r="Q68" s="29">
        <v>5591</v>
      </c>
      <c r="R68" s="29">
        <v>5577</v>
      </c>
      <c r="S68" s="29">
        <v>5769</v>
      </c>
      <c r="T68" s="29">
        <v>5686</v>
      </c>
      <c r="U68" s="29">
        <v>5872</v>
      </c>
      <c r="V68" s="29">
        <v>5910</v>
      </c>
      <c r="W68" s="29">
        <v>5826</v>
      </c>
      <c r="X68" s="29">
        <v>5904</v>
      </c>
      <c r="Y68" s="29">
        <v>6171</v>
      </c>
      <c r="Z68" s="29">
        <v>6078</v>
      </c>
      <c r="AA68" s="29">
        <v>5968</v>
      </c>
      <c r="AB68" s="29">
        <v>6020</v>
      </c>
      <c r="AC68" s="29">
        <v>6040</v>
      </c>
      <c r="AD68" s="29">
        <v>5980</v>
      </c>
      <c r="AE68" s="29">
        <v>5935</v>
      </c>
      <c r="AF68" s="29">
        <v>5942</v>
      </c>
      <c r="AG68" s="29">
        <v>6110</v>
      </c>
      <c r="AH68" s="29">
        <v>6052</v>
      </c>
      <c r="AI68" s="29">
        <v>6345</v>
      </c>
      <c r="AJ68" s="29">
        <v>6253</v>
      </c>
      <c r="AK68" s="29">
        <v>6166</v>
      </c>
      <c r="AL68" s="29">
        <v>6230</v>
      </c>
      <c r="AM68" s="29">
        <v>5925</v>
      </c>
      <c r="AN68" s="29">
        <v>6009</v>
      </c>
      <c r="AO68" s="29">
        <v>5903</v>
      </c>
      <c r="AP68" s="29">
        <v>5661</v>
      </c>
      <c r="AQ68" s="29">
        <v>5446</v>
      </c>
      <c r="AR68" s="29">
        <v>5767</v>
      </c>
      <c r="AS68" s="29">
        <v>5707</v>
      </c>
      <c r="AT68" s="29">
        <v>6043</v>
      </c>
      <c r="AU68" s="29">
        <v>6084</v>
      </c>
      <c r="AV68" s="29">
        <v>6177</v>
      </c>
      <c r="AW68" s="29">
        <v>6133</v>
      </c>
      <c r="AX68" s="29">
        <v>6641</v>
      </c>
      <c r="AY68" s="29">
        <v>6565</v>
      </c>
      <c r="AZ68" s="29">
        <v>6686</v>
      </c>
      <c r="BA68" s="29">
        <v>6614</v>
      </c>
      <c r="BB68" s="29">
        <v>6359</v>
      </c>
      <c r="BC68" s="29">
        <v>6124</v>
      </c>
      <c r="BD68" s="29">
        <v>5895</v>
      </c>
      <c r="BE68" s="29">
        <v>6330</v>
      </c>
      <c r="BF68" s="29">
        <v>6394</v>
      </c>
      <c r="BG68" s="29">
        <v>6662</v>
      </c>
      <c r="BH68" s="29">
        <v>6512</v>
      </c>
      <c r="BI68" s="29">
        <v>6495</v>
      </c>
      <c r="BJ68" s="29">
        <v>6667</v>
      </c>
      <c r="BK68" s="29">
        <v>6615</v>
      </c>
      <c r="BL68" s="30">
        <v>6591</v>
      </c>
      <c r="BM68" s="1">
        <v>6636</v>
      </c>
      <c r="BN68" s="1">
        <v>6330</v>
      </c>
      <c r="BO68" s="1">
        <v>6490</v>
      </c>
      <c r="BP68" s="1">
        <v>6231</v>
      </c>
      <c r="BQ68" s="1">
        <v>6129</v>
      </c>
      <c r="BR68" s="1">
        <v>6010</v>
      </c>
      <c r="BS68" s="1">
        <v>5905</v>
      </c>
      <c r="BT68" s="1">
        <v>5938</v>
      </c>
      <c r="BU68" s="1">
        <v>6160</v>
      </c>
      <c r="BV68" s="1">
        <v>6107</v>
      </c>
      <c r="BW68" s="1">
        <v>5944</v>
      </c>
      <c r="BX68" s="1">
        <v>5981</v>
      </c>
      <c r="BY68" s="1">
        <v>5998</v>
      </c>
      <c r="BZ68" s="1">
        <v>5921</v>
      </c>
    </row>
    <row r="69" spans="1:254" ht="15.9" customHeight="1">
      <c r="A69" s="65" t="s">
        <v>133</v>
      </c>
      <c r="B69" s="25" t="s">
        <v>134</v>
      </c>
      <c r="C69" s="39">
        <f>_xll.RssMarket("4980","高値")</f>
        <v>3263</v>
      </c>
      <c r="D69" s="38">
        <f t="shared" si="1"/>
        <v>0</v>
      </c>
      <c r="E69" s="29">
        <v>3263</v>
      </c>
      <c r="F69" s="29">
        <v>3349</v>
      </c>
      <c r="G69" s="29">
        <v>3492</v>
      </c>
      <c r="H69" s="29">
        <v>3383</v>
      </c>
      <c r="I69" s="29">
        <v>3429</v>
      </c>
      <c r="J69" s="29">
        <v>3296</v>
      </c>
      <c r="K69" s="29">
        <v>3388</v>
      </c>
      <c r="L69" s="29">
        <v>3516</v>
      </c>
      <c r="M69" s="29">
        <v>3658</v>
      </c>
      <c r="N69" s="29">
        <v>3655</v>
      </c>
      <c r="O69" s="29">
        <v>3770</v>
      </c>
      <c r="P69" s="29">
        <v>3814</v>
      </c>
      <c r="Q69" s="29">
        <v>3649</v>
      </c>
      <c r="R69" s="29">
        <v>3705</v>
      </c>
      <c r="S69" s="29">
        <v>3982</v>
      </c>
      <c r="T69" s="29">
        <v>3940</v>
      </c>
      <c r="U69" s="29">
        <v>4165</v>
      </c>
      <c r="V69" s="29">
        <v>4250</v>
      </c>
      <c r="W69" s="29">
        <v>4140</v>
      </c>
      <c r="X69" s="29">
        <v>4128</v>
      </c>
      <c r="Y69" s="29">
        <v>4276</v>
      </c>
      <c r="Z69" s="29">
        <v>4402</v>
      </c>
      <c r="AA69" s="29">
        <v>4327</v>
      </c>
      <c r="AB69" s="29">
        <v>4186</v>
      </c>
      <c r="AC69" s="29">
        <v>4369</v>
      </c>
      <c r="AD69" s="29">
        <v>4334</v>
      </c>
      <c r="AE69" s="29">
        <v>4450</v>
      </c>
      <c r="AF69" s="29">
        <v>4866</v>
      </c>
      <c r="AG69" s="29">
        <v>5115</v>
      </c>
      <c r="AH69" s="29">
        <v>5228</v>
      </c>
      <c r="AI69" s="29">
        <v>5015</v>
      </c>
      <c r="AJ69" s="29">
        <v>5099</v>
      </c>
      <c r="AK69" s="29">
        <v>4894</v>
      </c>
      <c r="AL69" s="29">
        <v>4787</v>
      </c>
      <c r="AM69" s="29">
        <v>4694</v>
      </c>
      <c r="AN69" s="29">
        <v>4609</v>
      </c>
      <c r="AO69" s="29">
        <v>4316</v>
      </c>
      <c r="AP69" s="29">
        <v>4122</v>
      </c>
      <c r="AQ69" s="29">
        <v>3813</v>
      </c>
      <c r="AR69" s="29">
        <v>3968</v>
      </c>
      <c r="AS69" s="29">
        <v>4070</v>
      </c>
      <c r="AT69" s="29">
        <v>4432</v>
      </c>
      <c r="AU69" s="29">
        <v>4525</v>
      </c>
      <c r="AV69" s="29">
        <v>4859</v>
      </c>
      <c r="AW69" s="29">
        <v>4560</v>
      </c>
      <c r="AX69" s="29">
        <v>4133</v>
      </c>
      <c r="AY69" s="29">
        <v>4214</v>
      </c>
      <c r="AZ69" s="29">
        <v>4290</v>
      </c>
      <c r="BA69" s="29">
        <v>4473</v>
      </c>
      <c r="BB69" s="29">
        <v>4313</v>
      </c>
      <c r="BC69" s="29">
        <v>4236</v>
      </c>
      <c r="BD69" s="29">
        <v>4062</v>
      </c>
      <c r="BE69" s="29">
        <v>4217</v>
      </c>
      <c r="BF69" s="29">
        <v>4486</v>
      </c>
      <c r="BG69" s="29">
        <v>3849</v>
      </c>
      <c r="BH69" s="29">
        <v>3149</v>
      </c>
      <c r="BI69" s="29">
        <v>2682.5</v>
      </c>
      <c r="BJ69" s="29">
        <v>2755</v>
      </c>
      <c r="BK69" s="29">
        <v>2800</v>
      </c>
      <c r="BL69" s="30">
        <v>2739</v>
      </c>
      <c r="BM69" s="1">
        <v>2657</v>
      </c>
      <c r="BN69" s="1">
        <v>2508.5</v>
      </c>
      <c r="BO69" s="1">
        <v>2478.5</v>
      </c>
      <c r="BP69" s="1">
        <v>2516.5</v>
      </c>
      <c r="BQ69" s="1">
        <v>2540.5</v>
      </c>
      <c r="BR69" s="1">
        <v>2458</v>
      </c>
      <c r="BS69" s="1">
        <v>2487.5</v>
      </c>
      <c r="BT69" s="1">
        <v>2481</v>
      </c>
      <c r="BU69" s="1">
        <v>2484</v>
      </c>
      <c r="BV69" s="1">
        <v>2484</v>
      </c>
      <c r="BW69" s="1">
        <v>2473</v>
      </c>
      <c r="BX69" s="1">
        <v>2427.5</v>
      </c>
      <c r="BY69" s="1">
        <v>2442</v>
      </c>
      <c r="BZ69" s="1">
        <v>2408</v>
      </c>
    </row>
    <row r="70" spans="1:254" ht="15.9" customHeight="1">
      <c r="A70" s="65" t="s">
        <v>135</v>
      </c>
      <c r="B70" s="25" t="s">
        <v>136</v>
      </c>
      <c r="C70" s="39">
        <f>_xll.RssMarket("9424","高値")</f>
        <v>115</v>
      </c>
      <c r="D70" s="38">
        <f t="shared" ref="D70:D101" si="2">C70-E70</f>
        <v>0</v>
      </c>
      <c r="E70" s="29">
        <v>115</v>
      </c>
      <c r="F70" s="29">
        <v>116</v>
      </c>
      <c r="G70" s="29">
        <v>116</v>
      </c>
      <c r="H70" s="29">
        <v>116</v>
      </c>
      <c r="I70" s="29">
        <v>116</v>
      </c>
      <c r="J70" s="29">
        <v>115</v>
      </c>
      <c r="K70" s="29">
        <v>116</v>
      </c>
      <c r="L70" s="29">
        <v>115</v>
      </c>
      <c r="M70" s="29">
        <v>114</v>
      </c>
      <c r="N70" s="29"/>
      <c r="O70" s="29">
        <v>113</v>
      </c>
      <c r="P70" s="29">
        <v>114</v>
      </c>
      <c r="Q70" s="29">
        <v>116</v>
      </c>
      <c r="R70" s="29">
        <v>117</v>
      </c>
      <c r="S70" s="29">
        <v>118</v>
      </c>
      <c r="T70" s="29">
        <v>118</v>
      </c>
      <c r="U70" s="29">
        <v>116</v>
      </c>
      <c r="V70" s="29">
        <v>115</v>
      </c>
      <c r="W70" s="29">
        <v>112</v>
      </c>
      <c r="X70" s="29">
        <v>112</v>
      </c>
      <c r="Y70" s="29">
        <v>112</v>
      </c>
      <c r="Z70" s="29">
        <v>113</v>
      </c>
      <c r="AA70" s="29">
        <v>110</v>
      </c>
      <c r="AB70" s="29">
        <v>109</v>
      </c>
      <c r="AC70" s="29">
        <v>107</v>
      </c>
      <c r="AD70" s="29">
        <v>108</v>
      </c>
      <c r="AE70" s="29">
        <v>109</v>
      </c>
      <c r="AF70" s="29">
        <v>108</v>
      </c>
      <c r="AG70" s="29">
        <v>109</v>
      </c>
      <c r="AH70" s="29">
        <v>109</v>
      </c>
      <c r="AI70" s="29">
        <v>112</v>
      </c>
      <c r="AJ70" s="29">
        <v>115</v>
      </c>
      <c r="AK70" s="29">
        <v>116</v>
      </c>
      <c r="AL70" s="29">
        <v>117</v>
      </c>
      <c r="AM70" s="29">
        <v>117</v>
      </c>
      <c r="AN70" s="29">
        <v>115</v>
      </c>
      <c r="AO70" s="29">
        <v>115</v>
      </c>
      <c r="AP70" s="29">
        <v>115</v>
      </c>
      <c r="AQ70" s="29">
        <v>114</v>
      </c>
      <c r="AR70" s="29">
        <v>115</v>
      </c>
      <c r="AS70" s="29">
        <v>115</v>
      </c>
      <c r="AT70" s="29">
        <v>119</v>
      </c>
      <c r="AU70" s="29">
        <v>116</v>
      </c>
      <c r="AV70" s="29">
        <v>117</v>
      </c>
      <c r="AW70" s="29">
        <v>114</v>
      </c>
      <c r="AX70" s="29">
        <v>117</v>
      </c>
      <c r="AY70" s="29">
        <v>117</v>
      </c>
      <c r="AZ70" s="29">
        <v>117</v>
      </c>
      <c r="BA70" s="29">
        <v>125</v>
      </c>
      <c r="BB70" s="29">
        <v>124</v>
      </c>
      <c r="BC70" s="29">
        <v>125</v>
      </c>
      <c r="BD70" s="29">
        <v>125</v>
      </c>
      <c r="BE70" s="29">
        <v>126</v>
      </c>
      <c r="BF70" s="29">
        <v>127</v>
      </c>
      <c r="BG70" s="29">
        <v>127</v>
      </c>
      <c r="BH70" s="29">
        <v>126</v>
      </c>
      <c r="BI70" s="29">
        <v>128</v>
      </c>
      <c r="BJ70" s="29">
        <v>129</v>
      </c>
      <c r="BK70" s="29">
        <v>129</v>
      </c>
      <c r="BL70" s="30">
        <v>131</v>
      </c>
      <c r="BM70" s="1">
        <v>127</v>
      </c>
      <c r="BN70" s="1">
        <v>127</v>
      </c>
      <c r="BO70" s="1">
        <v>126</v>
      </c>
      <c r="BP70" s="1">
        <v>125</v>
      </c>
      <c r="BQ70" s="1">
        <v>126</v>
      </c>
      <c r="BR70" s="1">
        <v>127</v>
      </c>
      <c r="BS70" s="1">
        <v>128</v>
      </c>
      <c r="BT70" s="1">
        <v>131</v>
      </c>
      <c r="BU70" s="1">
        <v>132</v>
      </c>
      <c r="BV70" s="1">
        <v>131</v>
      </c>
      <c r="BW70" s="1">
        <v>133</v>
      </c>
      <c r="BX70" s="1">
        <v>132</v>
      </c>
      <c r="BY70" s="1">
        <v>131</v>
      </c>
      <c r="BZ70" s="1">
        <v>126</v>
      </c>
    </row>
    <row r="71" spans="1:254" ht="15.9" customHeight="1">
      <c r="A71" s="65" t="s">
        <v>137</v>
      </c>
      <c r="B71" s="25" t="s">
        <v>138</v>
      </c>
      <c r="C71" s="39">
        <f>_xll.RssMarket("3854","高値")</f>
        <v>2228</v>
      </c>
      <c r="D71" s="38">
        <f t="shared" si="2"/>
        <v>0</v>
      </c>
      <c r="E71" s="29">
        <v>2228</v>
      </c>
      <c r="F71" s="29">
        <v>2243</v>
      </c>
      <c r="G71" s="29">
        <v>2246</v>
      </c>
      <c r="H71" s="29">
        <v>2274</v>
      </c>
      <c r="I71" s="29">
        <v>2316</v>
      </c>
      <c r="J71" s="29">
        <v>2358</v>
      </c>
      <c r="K71" s="29">
        <v>2410</v>
      </c>
      <c r="L71" s="29">
        <v>2327</v>
      </c>
      <c r="M71" s="29">
        <v>2297</v>
      </c>
      <c r="N71" s="29">
        <v>2245</v>
      </c>
      <c r="O71" s="29">
        <v>2286</v>
      </c>
      <c r="P71" s="29">
        <v>2314</v>
      </c>
      <c r="Q71" s="29">
        <v>2371</v>
      </c>
      <c r="R71" s="29">
        <v>2404</v>
      </c>
      <c r="S71" s="29">
        <v>2414</v>
      </c>
      <c r="T71" s="29">
        <v>2437</v>
      </c>
      <c r="U71" s="29">
        <v>2448</v>
      </c>
      <c r="V71" s="29">
        <v>2461</v>
      </c>
      <c r="W71" s="29">
        <v>2490</v>
      </c>
      <c r="X71" s="29">
        <v>2521</v>
      </c>
      <c r="Y71" s="29">
        <v>2470</v>
      </c>
      <c r="Z71" s="29">
        <v>2346</v>
      </c>
      <c r="AA71" s="29">
        <v>2328</v>
      </c>
      <c r="AB71" s="29">
        <v>2275</v>
      </c>
      <c r="AC71" s="29">
        <v>2225</v>
      </c>
      <c r="AD71" s="29">
        <v>2229</v>
      </c>
      <c r="AE71" s="29">
        <v>2202</v>
      </c>
      <c r="AF71" s="29">
        <v>2170</v>
      </c>
      <c r="AG71" s="29">
        <v>2200</v>
      </c>
      <c r="AH71" s="29">
        <v>2205</v>
      </c>
      <c r="AI71" s="29">
        <v>2186</v>
      </c>
      <c r="AJ71" s="29">
        <v>2204</v>
      </c>
      <c r="AK71" s="29">
        <v>2205</v>
      </c>
      <c r="AL71" s="29">
        <v>2210</v>
      </c>
      <c r="AM71" s="29">
        <v>2206</v>
      </c>
      <c r="AN71" s="29">
        <v>2221</v>
      </c>
      <c r="AO71" s="29">
        <v>2261</v>
      </c>
      <c r="AP71" s="29">
        <v>2320</v>
      </c>
      <c r="AQ71" s="29">
        <v>2414</v>
      </c>
      <c r="AR71" s="29">
        <v>2465</v>
      </c>
      <c r="AS71" s="29">
        <v>2524</v>
      </c>
      <c r="AT71" s="29">
        <v>2550</v>
      </c>
      <c r="AU71" s="29">
        <v>2588</v>
      </c>
      <c r="AV71" s="29">
        <v>2653</v>
      </c>
      <c r="AW71" s="29">
        <v>2640</v>
      </c>
      <c r="AX71" s="29">
        <v>2635</v>
      </c>
      <c r="AY71" s="29">
        <v>2580</v>
      </c>
      <c r="AZ71" s="29">
        <v>2525</v>
      </c>
      <c r="BA71" s="29">
        <v>2615</v>
      </c>
      <c r="BB71" s="29">
        <v>2575</v>
      </c>
      <c r="BC71" s="29">
        <v>2484</v>
      </c>
      <c r="BD71" s="29">
        <v>2467</v>
      </c>
      <c r="BE71" s="29">
        <v>2475</v>
      </c>
      <c r="BF71" s="29">
        <v>2423</v>
      </c>
      <c r="BG71" s="29">
        <v>2359</v>
      </c>
      <c r="BH71" s="29">
        <v>2380</v>
      </c>
      <c r="BI71" s="29">
        <v>2396</v>
      </c>
      <c r="BJ71" s="29">
        <v>2400</v>
      </c>
      <c r="BK71" s="29">
        <v>2434</v>
      </c>
      <c r="BL71" s="30">
        <v>2430</v>
      </c>
      <c r="BM71" s="1">
        <v>2384</v>
      </c>
      <c r="BN71" s="1">
        <v>2365</v>
      </c>
      <c r="BO71" s="1">
        <v>2397</v>
      </c>
      <c r="BP71" s="1">
        <v>2422</v>
      </c>
      <c r="BQ71" s="1">
        <v>2422</v>
      </c>
      <c r="BR71" s="1">
        <v>2427</v>
      </c>
      <c r="BS71" s="1">
        <v>2471</v>
      </c>
      <c r="BT71" s="1">
        <v>2476</v>
      </c>
      <c r="BU71" s="1">
        <v>2481</v>
      </c>
      <c r="BV71" s="1">
        <v>2460</v>
      </c>
      <c r="BW71" s="1">
        <v>2447</v>
      </c>
      <c r="BX71" s="1">
        <v>2471</v>
      </c>
      <c r="BY71" s="1">
        <v>2428</v>
      </c>
      <c r="BZ71" s="1">
        <v>2421</v>
      </c>
    </row>
    <row r="72" spans="1:254" ht="15.9" customHeight="1">
      <c r="A72" s="65" t="s">
        <v>139</v>
      </c>
      <c r="B72" s="25" t="s">
        <v>140</v>
      </c>
      <c r="C72" s="39">
        <f>_xll.RssMarket("6027","高値")</f>
        <v>2413</v>
      </c>
      <c r="D72" s="38">
        <f t="shared" si="2"/>
        <v>0</v>
      </c>
      <c r="E72" s="29">
        <v>2413</v>
      </c>
      <c r="F72" s="29">
        <v>2391</v>
      </c>
      <c r="G72" s="29">
        <v>2320</v>
      </c>
      <c r="H72" s="29">
        <v>2362</v>
      </c>
      <c r="I72" s="29">
        <v>2357</v>
      </c>
      <c r="J72" s="29">
        <v>2358</v>
      </c>
      <c r="K72" s="29">
        <v>2300</v>
      </c>
      <c r="L72" s="29">
        <v>2353</v>
      </c>
      <c r="M72" s="29">
        <v>2328</v>
      </c>
      <c r="N72" s="29">
        <v>2220</v>
      </c>
      <c r="O72" s="29">
        <v>2286</v>
      </c>
      <c r="P72" s="29">
        <v>2345</v>
      </c>
      <c r="Q72" s="29">
        <v>2406</v>
      </c>
      <c r="R72" s="29">
        <v>2404</v>
      </c>
      <c r="S72" s="29">
        <v>2423</v>
      </c>
      <c r="T72" s="29">
        <v>2420</v>
      </c>
      <c r="U72" s="29">
        <v>2424</v>
      </c>
      <c r="V72" s="29">
        <v>2435</v>
      </c>
      <c r="W72" s="29">
        <v>2408</v>
      </c>
      <c r="X72" s="29">
        <v>2450</v>
      </c>
      <c r="Y72" s="29">
        <v>2457</v>
      </c>
      <c r="Z72" s="29">
        <v>2425</v>
      </c>
      <c r="AA72" s="29">
        <v>2482</v>
      </c>
      <c r="AB72" s="29">
        <v>2498</v>
      </c>
      <c r="AC72" s="29">
        <v>2410</v>
      </c>
      <c r="AD72" s="29">
        <v>2267</v>
      </c>
      <c r="AE72" s="29">
        <v>2265</v>
      </c>
      <c r="AF72" s="29">
        <v>2053</v>
      </c>
      <c r="AG72" s="29">
        <v>2098</v>
      </c>
      <c r="AH72" s="29">
        <v>2104</v>
      </c>
      <c r="AI72" s="29">
        <v>2220</v>
      </c>
      <c r="AJ72" s="29">
        <v>2232</v>
      </c>
      <c r="AK72" s="29">
        <v>2236</v>
      </c>
      <c r="AL72" s="29">
        <v>2149</v>
      </c>
      <c r="AM72" s="29">
        <v>2174</v>
      </c>
      <c r="AN72" s="29">
        <v>2130</v>
      </c>
      <c r="AO72" s="29">
        <v>2157</v>
      </c>
      <c r="AP72" s="29">
        <v>2192</v>
      </c>
      <c r="AQ72" s="29">
        <v>2154</v>
      </c>
      <c r="AR72" s="29">
        <v>2192</v>
      </c>
      <c r="AS72" s="29">
        <v>2258</v>
      </c>
      <c r="AT72" s="29">
        <v>2307</v>
      </c>
      <c r="AU72" s="29">
        <v>2262</v>
      </c>
      <c r="AV72" s="29">
        <v>2295</v>
      </c>
      <c r="AW72" s="29">
        <v>2384</v>
      </c>
      <c r="AX72" s="29">
        <v>2460</v>
      </c>
      <c r="AY72" s="29">
        <v>2461</v>
      </c>
      <c r="AZ72" s="29">
        <v>2501</v>
      </c>
      <c r="BA72" s="29">
        <v>2578</v>
      </c>
      <c r="BB72" s="29">
        <v>2590</v>
      </c>
      <c r="BC72" s="29">
        <v>2615</v>
      </c>
      <c r="BD72" s="29">
        <v>2766</v>
      </c>
      <c r="BE72" s="29">
        <v>2836</v>
      </c>
      <c r="BF72" s="29">
        <v>2798</v>
      </c>
      <c r="BG72" s="29">
        <v>2745</v>
      </c>
      <c r="BH72" s="29">
        <v>2777</v>
      </c>
      <c r="BI72" s="29">
        <v>2750</v>
      </c>
      <c r="BJ72" s="29">
        <v>2726</v>
      </c>
      <c r="BK72" s="29">
        <v>2788</v>
      </c>
      <c r="BL72" s="30">
        <v>2758</v>
      </c>
      <c r="BM72" s="1">
        <v>2677</v>
      </c>
      <c r="BN72" s="1">
        <v>2528</v>
      </c>
      <c r="BO72" s="1">
        <v>2500</v>
      </c>
      <c r="BP72" s="1">
        <v>2499</v>
      </c>
      <c r="BQ72" s="1">
        <v>2494</v>
      </c>
      <c r="BR72" s="1">
        <v>2552</v>
      </c>
      <c r="BS72" s="1">
        <v>2617</v>
      </c>
      <c r="BT72" s="1">
        <v>2630</v>
      </c>
      <c r="BU72" s="1">
        <v>2609</v>
      </c>
      <c r="BV72" s="1">
        <v>2586</v>
      </c>
      <c r="BW72" s="1">
        <v>2653</v>
      </c>
      <c r="BX72" s="1">
        <v>2750</v>
      </c>
      <c r="BY72" s="1">
        <v>2734</v>
      </c>
      <c r="BZ72" s="1">
        <v>2625</v>
      </c>
    </row>
    <row r="73" spans="1:254" ht="15.9" customHeight="1">
      <c r="A73" s="65" t="s">
        <v>141</v>
      </c>
      <c r="B73" s="25" t="s">
        <v>142</v>
      </c>
      <c r="C73" s="39">
        <f>_xll.RssMarket("7806","高値")</f>
        <v>7970</v>
      </c>
      <c r="D73" s="38">
        <f t="shared" si="2"/>
        <v>0</v>
      </c>
      <c r="E73" s="29">
        <v>7970</v>
      </c>
      <c r="F73" s="29">
        <v>7940</v>
      </c>
      <c r="G73" s="29">
        <v>7850</v>
      </c>
      <c r="H73" s="29">
        <v>7840</v>
      </c>
      <c r="I73" s="29">
        <v>7710</v>
      </c>
      <c r="J73" s="29">
        <v>7380</v>
      </c>
      <c r="K73" s="29">
        <v>7660</v>
      </c>
      <c r="L73" s="29">
        <v>7690</v>
      </c>
      <c r="M73" s="29">
        <v>7720</v>
      </c>
      <c r="N73" s="29">
        <v>7800</v>
      </c>
      <c r="O73" s="29">
        <v>7880</v>
      </c>
      <c r="P73" s="29">
        <v>7990</v>
      </c>
      <c r="Q73" s="29">
        <v>8030</v>
      </c>
      <c r="R73" s="29">
        <v>7980</v>
      </c>
      <c r="S73" s="29">
        <v>7730</v>
      </c>
      <c r="T73" s="29">
        <v>7440</v>
      </c>
      <c r="U73" s="29">
        <v>7720</v>
      </c>
      <c r="V73" s="29">
        <v>7680</v>
      </c>
      <c r="W73" s="29">
        <v>8080</v>
      </c>
      <c r="X73" s="29">
        <v>8110</v>
      </c>
      <c r="Y73" s="29">
        <v>8270</v>
      </c>
      <c r="Z73" s="29">
        <v>8200</v>
      </c>
      <c r="AA73" s="29">
        <v>8380</v>
      </c>
      <c r="AB73" s="29">
        <v>8000</v>
      </c>
      <c r="AC73" s="29">
        <v>7580</v>
      </c>
      <c r="AD73" s="29">
        <v>7550</v>
      </c>
      <c r="AE73" s="29">
        <v>7480</v>
      </c>
      <c r="AF73" s="29">
        <v>7490</v>
      </c>
      <c r="AG73" s="29">
        <v>7610</v>
      </c>
      <c r="AH73" s="29">
        <v>7480</v>
      </c>
      <c r="AI73" s="29">
        <v>7700</v>
      </c>
      <c r="AJ73" s="29">
        <v>7740</v>
      </c>
      <c r="AK73" s="29">
        <v>7780</v>
      </c>
      <c r="AL73" s="29">
        <v>7790</v>
      </c>
      <c r="AM73" s="29">
        <v>7410</v>
      </c>
      <c r="AN73" s="29">
        <v>7260</v>
      </c>
      <c r="AO73" s="29">
        <v>7110</v>
      </c>
      <c r="AP73" s="29">
        <v>7350</v>
      </c>
      <c r="AQ73" s="29">
        <v>7200</v>
      </c>
      <c r="AR73" s="29">
        <v>7140</v>
      </c>
      <c r="AS73" s="29">
        <v>6860</v>
      </c>
      <c r="AT73" s="29">
        <v>7020</v>
      </c>
      <c r="AU73" s="29">
        <v>7170</v>
      </c>
      <c r="AV73" s="29">
        <v>7260</v>
      </c>
      <c r="AW73" s="29">
        <v>7500</v>
      </c>
      <c r="AX73" s="29">
        <v>7600</v>
      </c>
      <c r="AY73" s="29">
        <v>7490</v>
      </c>
      <c r="AZ73" s="29">
        <v>7310</v>
      </c>
      <c r="BA73" s="29">
        <v>6390</v>
      </c>
      <c r="BB73" s="29">
        <v>6420</v>
      </c>
      <c r="BC73" s="29">
        <v>6560</v>
      </c>
      <c r="BD73" s="29">
        <v>6790</v>
      </c>
      <c r="BE73" s="29">
        <v>6650</v>
      </c>
      <c r="BF73" s="29">
        <v>6720</v>
      </c>
      <c r="BG73" s="29">
        <v>7200</v>
      </c>
      <c r="BH73" s="29">
        <v>7310</v>
      </c>
      <c r="BI73" s="29">
        <v>6930</v>
      </c>
      <c r="BJ73" s="29">
        <v>6820</v>
      </c>
      <c r="BK73" s="29">
        <v>6530</v>
      </c>
      <c r="BL73" s="30">
        <v>6400</v>
      </c>
      <c r="BM73" s="1">
        <v>6360</v>
      </c>
      <c r="BN73" s="1">
        <v>6120</v>
      </c>
      <c r="BO73" s="1">
        <v>5890</v>
      </c>
      <c r="BP73" s="1">
        <v>5990</v>
      </c>
      <c r="BQ73" s="1">
        <v>6210</v>
      </c>
      <c r="BR73" s="1">
        <v>6380</v>
      </c>
      <c r="BS73" s="1">
        <v>6600</v>
      </c>
      <c r="BT73" s="1">
        <v>6600</v>
      </c>
      <c r="BU73" s="1">
        <v>6700</v>
      </c>
      <c r="BV73" s="1">
        <v>6700</v>
      </c>
      <c r="BW73" s="1">
        <v>6620</v>
      </c>
      <c r="BX73" s="1">
        <v>6490</v>
      </c>
      <c r="BY73" s="1">
        <v>6580</v>
      </c>
      <c r="BZ73" s="1">
        <v>6350</v>
      </c>
    </row>
    <row r="74" spans="1:254" ht="15.9" customHeight="1">
      <c r="A74" s="65" t="s">
        <v>143</v>
      </c>
      <c r="B74" s="25" t="s">
        <v>144</v>
      </c>
      <c r="C74" s="39">
        <f>_xll.RssMarket("9202","高値")</f>
        <v>3177</v>
      </c>
      <c r="D74" s="38">
        <f t="shared" si="2"/>
        <v>0</v>
      </c>
      <c r="E74" s="29">
        <v>3177</v>
      </c>
      <c r="F74" s="29">
        <v>3157</v>
      </c>
      <c r="G74" s="29">
        <v>3116</v>
      </c>
      <c r="H74" s="29">
        <v>3150</v>
      </c>
      <c r="I74" s="29">
        <v>3165</v>
      </c>
      <c r="J74" s="29">
        <v>3225</v>
      </c>
      <c r="K74" s="29">
        <v>3221</v>
      </c>
      <c r="L74" s="29">
        <v>3143</v>
      </c>
      <c r="M74" s="29">
        <v>3092</v>
      </c>
      <c r="N74" s="29">
        <v>2951</v>
      </c>
      <c r="O74" s="29">
        <v>3010</v>
      </c>
      <c r="P74" s="29">
        <v>3038</v>
      </c>
      <c r="Q74" s="29">
        <v>3066</v>
      </c>
      <c r="R74" s="29">
        <v>3033</v>
      </c>
      <c r="S74" s="29">
        <v>3057</v>
      </c>
      <c r="T74" s="29">
        <v>3043</v>
      </c>
      <c r="U74" s="29">
        <v>3027</v>
      </c>
      <c r="V74" s="29">
        <v>3054</v>
      </c>
      <c r="W74" s="29">
        <v>3089</v>
      </c>
      <c r="X74" s="29">
        <v>3131</v>
      </c>
      <c r="Y74" s="29">
        <v>3200</v>
      </c>
      <c r="Z74" s="29">
        <v>3180</v>
      </c>
      <c r="AA74" s="29">
        <v>3156</v>
      </c>
      <c r="AB74" s="29">
        <v>3104</v>
      </c>
      <c r="AC74" s="29">
        <v>2986</v>
      </c>
      <c r="AD74" s="29">
        <v>3006</v>
      </c>
      <c r="AE74" s="29">
        <v>3029</v>
      </c>
      <c r="AF74" s="29">
        <v>3019</v>
      </c>
      <c r="AG74" s="29">
        <v>3023</v>
      </c>
      <c r="AH74" s="29">
        <v>2988</v>
      </c>
      <c r="AI74" s="29">
        <v>2956</v>
      </c>
      <c r="AJ74" s="29">
        <v>2963</v>
      </c>
      <c r="AK74" s="29">
        <v>2987</v>
      </c>
      <c r="AL74" s="29">
        <v>3033</v>
      </c>
      <c r="AM74" s="29">
        <v>3076</v>
      </c>
      <c r="AN74" s="29">
        <v>3043</v>
      </c>
      <c r="AO74" s="29">
        <v>3013</v>
      </c>
      <c r="AP74" s="29">
        <v>2842</v>
      </c>
      <c r="AQ74" s="29">
        <v>2810</v>
      </c>
      <c r="AR74" s="29">
        <v>2823</v>
      </c>
      <c r="AS74" s="29">
        <v>2868.5</v>
      </c>
      <c r="AT74" s="29">
        <v>2858</v>
      </c>
      <c r="AU74" s="29">
        <v>2837</v>
      </c>
      <c r="AV74" s="29">
        <v>2850</v>
      </c>
      <c r="AW74" s="29">
        <v>2891</v>
      </c>
      <c r="AX74" s="29">
        <v>3022</v>
      </c>
      <c r="AY74" s="29">
        <v>2921</v>
      </c>
      <c r="AZ74" s="29">
        <v>2892</v>
      </c>
      <c r="BA74" s="29">
        <v>2883</v>
      </c>
      <c r="BB74" s="29">
        <v>2804.5</v>
      </c>
      <c r="BC74" s="29">
        <v>2796</v>
      </c>
      <c r="BD74" s="29">
        <v>2759</v>
      </c>
      <c r="BE74" s="29">
        <v>2762.5</v>
      </c>
      <c r="BF74" s="29">
        <v>2779</v>
      </c>
      <c r="BG74" s="29">
        <v>2772</v>
      </c>
      <c r="BH74" s="29">
        <v>2793.5</v>
      </c>
      <c r="BI74" s="29">
        <v>2821</v>
      </c>
      <c r="BJ74" s="29">
        <v>2817.5</v>
      </c>
      <c r="BK74" s="29">
        <v>2851.5</v>
      </c>
      <c r="BL74" s="30">
        <v>2876</v>
      </c>
      <c r="BM74" s="1">
        <v>2853</v>
      </c>
      <c r="BN74" s="1">
        <v>2720</v>
      </c>
      <c r="BO74" s="1">
        <v>2651</v>
      </c>
      <c r="BP74" s="1">
        <v>2646.5</v>
      </c>
      <c r="BQ74" s="1">
        <v>2700.5</v>
      </c>
      <c r="BR74" s="1">
        <v>2729.5</v>
      </c>
      <c r="BS74" s="1">
        <v>2805</v>
      </c>
      <c r="BT74" s="1">
        <v>2847.5</v>
      </c>
      <c r="BU74" s="1">
        <v>2881</v>
      </c>
      <c r="BV74" s="1">
        <v>2884.5</v>
      </c>
      <c r="BW74" s="1">
        <v>2861</v>
      </c>
      <c r="BX74" s="1">
        <v>2899.5</v>
      </c>
      <c r="BY74" s="1">
        <v>2898</v>
      </c>
      <c r="BZ74" s="1">
        <v>2882.5</v>
      </c>
    </row>
    <row r="75" spans="1:254" ht="15.9" customHeight="1">
      <c r="A75" s="65" t="s">
        <v>145</v>
      </c>
      <c r="B75" s="25" t="s">
        <v>146</v>
      </c>
      <c r="C75" s="39">
        <f>_xll.RssMarket("7846","高値")</f>
        <v>1814.5</v>
      </c>
      <c r="D75" s="38">
        <f t="shared" si="2"/>
        <v>0</v>
      </c>
      <c r="E75" s="29">
        <v>1814.5</v>
      </c>
      <c r="F75" s="29">
        <v>1789.5</v>
      </c>
      <c r="G75" s="29">
        <v>1789.5</v>
      </c>
      <c r="H75" s="29">
        <v>1821</v>
      </c>
      <c r="I75" s="29">
        <v>1822.5</v>
      </c>
      <c r="J75" s="29">
        <v>1857.5</v>
      </c>
      <c r="K75" s="29">
        <v>1862.5</v>
      </c>
      <c r="L75" s="29">
        <v>1828</v>
      </c>
      <c r="M75" s="29">
        <v>1811.5</v>
      </c>
      <c r="N75" s="29">
        <v>1783</v>
      </c>
      <c r="O75" s="29">
        <v>1767.5</v>
      </c>
      <c r="P75" s="29">
        <v>1786</v>
      </c>
      <c r="Q75" s="29">
        <v>1809</v>
      </c>
      <c r="R75" s="29">
        <v>1825</v>
      </c>
      <c r="S75" s="29">
        <v>1790</v>
      </c>
      <c r="T75" s="29">
        <v>1789</v>
      </c>
      <c r="U75" s="29">
        <v>1786.5</v>
      </c>
      <c r="V75" s="29">
        <v>1782.5</v>
      </c>
      <c r="W75" s="29">
        <v>1788.5</v>
      </c>
      <c r="X75" s="29">
        <v>1776.5</v>
      </c>
      <c r="Y75" s="29">
        <v>1754</v>
      </c>
      <c r="Z75" s="29">
        <v>1747</v>
      </c>
      <c r="AA75" s="29">
        <v>1759</v>
      </c>
      <c r="AB75" s="29">
        <v>1722.5</v>
      </c>
      <c r="AC75" s="29">
        <v>1709</v>
      </c>
      <c r="AD75" s="29">
        <v>1700.5</v>
      </c>
      <c r="AE75" s="29">
        <v>1707</v>
      </c>
      <c r="AF75" s="29">
        <v>1721</v>
      </c>
      <c r="AG75" s="29">
        <v>1718.3333</v>
      </c>
      <c r="AH75" s="29">
        <v>1675.6666</v>
      </c>
      <c r="AI75" s="29">
        <v>1663.3333</v>
      </c>
      <c r="AJ75" s="29">
        <v>1664</v>
      </c>
      <c r="AK75" s="29">
        <v>1653.6666</v>
      </c>
      <c r="AL75" s="29">
        <v>1668.6666</v>
      </c>
      <c r="AM75" s="29">
        <v>1669.6666</v>
      </c>
      <c r="AN75" s="29">
        <v>1657.6666</v>
      </c>
      <c r="AO75" s="29">
        <v>1657.6666</v>
      </c>
      <c r="AP75" s="29">
        <v>1648.6666</v>
      </c>
      <c r="AQ75" s="29">
        <v>1638</v>
      </c>
      <c r="AR75" s="29">
        <v>1654.3333</v>
      </c>
      <c r="AS75" s="29">
        <v>1651.6666</v>
      </c>
      <c r="AT75" s="29">
        <v>1635.6666</v>
      </c>
      <c r="AU75" s="29">
        <v>1622.6666</v>
      </c>
      <c r="AV75" s="29">
        <v>1646.6666</v>
      </c>
      <c r="AW75" s="29">
        <v>1628</v>
      </c>
      <c r="AX75" s="29">
        <v>1664.6666</v>
      </c>
      <c r="AY75" s="29">
        <v>1649</v>
      </c>
      <c r="AZ75" s="29">
        <v>1646</v>
      </c>
      <c r="BA75" s="29">
        <v>1649.3333</v>
      </c>
      <c r="BB75" s="29">
        <v>1656</v>
      </c>
      <c r="BC75" s="29">
        <v>1660.3333</v>
      </c>
      <c r="BD75" s="29">
        <v>1626.3333</v>
      </c>
      <c r="BE75" s="29">
        <v>1601</v>
      </c>
      <c r="BF75" s="29">
        <v>1557.6666</v>
      </c>
      <c r="BG75" s="29">
        <v>1554.6666</v>
      </c>
      <c r="BH75" s="29">
        <v>1528.6666</v>
      </c>
      <c r="BI75" s="29">
        <v>1523</v>
      </c>
      <c r="BJ75" s="29">
        <v>1558</v>
      </c>
      <c r="BK75" s="29">
        <v>1607.6666</v>
      </c>
      <c r="BL75" s="30">
        <v>1610.6666</v>
      </c>
      <c r="BM75" s="1">
        <v>1630.3333</v>
      </c>
      <c r="BN75" s="1">
        <v>1606</v>
      </c>
      <c r="BO75" s="1">
        <v>1605.3333</v>
      </c>
      <c r="BP75" s="1">
        <v>1614.3333</v>
      </c>
      <c r="BQ75" s="1">
        <v>1609</v>
      </c>
      <c r="BR75" s="1">
        <v>1615.6666</v>
      </c>
      <c r="BS75" s="1">
        <v>1604</v>
      </c>
      <c r="BT75" s="1">
        <v>1612</v>
      </c>
      <c r="BU75" s="1">
        <v>1610</v>
      </c>
      <c r="BV75" s="1">
        <v>1623.3333</v>
      </c>
      <c r="BW75" s="1">
        <v>1621.6666</v>
      </c>
      <c r="BX75" s="1">
        <v>1631</v>
      </c>
      <c r="BY75" s="1">
        <v>1623</v>
      </c>
      <c r="BZ75" s="1">
        <v>1630</v>
      </c>
    </row>
    <row r="76" spans="1:254" ht="15.9" customHeight="1">
      <c r="A76" s="65" t="s">
        <v>147</v>
      </c>
      <c r="B76" s="25" t="s">
        <v>148</v>
      </c>
      <c r="C76" s="39">
        <f>_xll.RssMarket("2802","高値")</f>
        <v>5368</v>
      </c>
      <c r="D76" s="38">
        <f t="shared" si="2"/>
        <v>0</v>
      </c>
      <c r="E76" s="29">
        <v>5368</v>
      </c>
      <c r="F76" s="29">
        <v>5350</v>
      </c>
      <c r="G76" s="29">
        <v>4965</v>
      </c>
      <c r="H76" s="29">
        <v>4930</v>
      </c>
      <c r="I76" s="29">
        <v>5105</v>
      </c>
      <c r="J76" s="29">
        <v>4900</v>
      </c>
      <c r="K76" s="29">
        <v>4984</v>
      </c>
      <c r="L76" s="29">
        <v>5013</v>
      </c>
      <c r="M76" s="29">
        <v>5171</v>
      </c>
      <c r="N76" s="29">
        <v>5096</v>
      </c>
      <c r="O76" s="29">
        <v>5319</v>
      </c>
      <c r="P76" s="29">
        <v>5430</v>
      </c>
      <c r="Q76" s="29">
        <v>5295</v>
      </c>
      <c r="R76" s="29">
        <v>5289</v>
      </c>
      <c r="S76" s="29">
        <v>5700</v>
      </c>
      <c r="T76" s="29">
        <v>5672</v>
      </c>
      <c r="U76" s="29">
        <v>5763</v>
      </c>
      <c r="V76" s="29">
        <v>5783</v>
      </c>
      <c r="W76" s="29">
        <v>5905</v>
      </c>
      <c r="X76" s="29">
        <v>5919</v>
      </c>
      <c r="Y76" s="29">
        <v>6145</v>
      </c>
      <c r="Z76" s="29">
        <v>6340</v>
      </c>
      <c r="AA76" s="29">
        <v>6189</v>
      </c>
      <c r="AB76" s="29">
        <v>6209</v>
      </c>
      <c r="AC76" s="29">
        <v>6311</v>
      </c>
      <c r="AD76" s="29">
        <v>5942</v>
      </c>
      <c r="AE76" s="29">
        <v>5839</v>
      </c>
      <c r="AF76" s="29">
        <v>5890</v>
      </c>
      <c r="AG76" s="29">
        <v>5859</v>
      </c>
      <c r="AH76" s="29">
        <v>5617</v>
      </c>
      <c r="AI76" s="29">
        <v>6035</v>
      </c>
      <c r="AJ76" s="29">
        <v>6166</v>
      </c>
      <c r="AK76" s="29">
        <v>5933</v>
      </c>
      <c r="AL76" s="29">
        <v>5843</v>
      </c>
      <c r="AM76" s="29">
        <v>5350</v>
      </c>
      <c r="AN76" s="29">
        <v>5175</v>
      </c>
      <c r="AO76" s="29">
        <v>5501</v>
      </c>
      <c r="AP76" s="29">
        <v>5257</v>
      </c>
      <c r="AQ76" s="29">
        <v>5203</v>
      </c>
      <c r="AR76" s="29">
        <v>4865</v>
      </c>
      <c r="AS76" s="29">
        <v>4907</v>
      </c>
      <c r="AT76" s="29">
        <v>5070</v>
      </c>
      <c r="AU76" s="29">
        <v>5194</v>
      </c>
      <c r="AV76" s="29">
        <v>5298</v>
      </c>
      <c r="AW76" s="29">
        <v>5351</v>
      </c>
      <c r="AX76" s="29">
        <v>5204</v>
      </c>
      <c r="AY76" s="29">
        <v>5275</v>
      </c>
      <c r="AZ76" s="29">
        <v>5425</v>
      </c>
      <c r="BA76" s="29">
        <v>5505</v>
      </c>
      <c r="BB76" s="29">
        <v>5332</v>
      </c>
      <c r="BC76" s="29">
        <v>5328</v>
      </c>
      <c r="BD76" s="29">
        <v>5296</v>
      </c>
      <c r="BE76" s="29">
        <v>5330</v>
      </c>
      <c r="BF76" s="29">
        <v>5311</v>
      </c>
      <c r="BG76" s="29">
        <v>5580</v>
      </c>
      <c r="BH76" s="29">
        <v>5716</v>
      </c>
      <c r="BI76" s="29">
        <v>5590</v>
      </c>
      <c r="BJ76" s="29">
        <v>5739</v>
      </c>
      <c r="BK76" s="29">
        <v>5652</v>
      </c>
      <c r="BL76" s="30">
        <v>5030</v>
      </c>
      <c r="BM76" s="1">
        <v>5070</v>
      </c>
      <c r="BN76" s="1">
        <v>4936</v>
      </c>
      <c r="BO76" s="1">
        <v>5090</v>
      </c>
      <c r="BP76" s="1">
        <v>4813</v>
      </c>
      <c r="BQ76" s="1">
        <v>4823</v>
      </c>
      <c r="BR76" s="1">
        <v>4877</v>
      </c>
      <c r="BS76" s="1">
        <v>4672</v>
      </c>
      <c r="BT76" s="1">
        <v>4715</v>
      </c>
      <c r="BU76" s="1">
        <v>4730</v>
      </c>
      <c r="BV76" s="1">
        <v>4640</v>
      </c>
      <c r="BW76" s="1">
        <v>4682</v>
      </c>
      <c r="BX76" s="1">
        <v>4712</v>
      </c>
      <c r="BY76" s="1">
        <v>4683</v>
      </c>
      <c r="BZ76" s="1">
        <v>4692</v>
      </c>
    </row>
    <row r="77" spans="1:254" ht="15.9" customHeight="1">
      <c r="A77" s="65" t="s">
        <v>149</v>
      </c>
      <c r="B77" s="25" t="s">
        <v>150</v>
      </c>
      <c r="C77" s="39">
        <f>_xll.RssMarket("7203","高値")</f>
        <v>2993.5</v>
      </c>
      <c r="D77" s="38">
        <f t="shared" si="2"/>
        <v>0</v>
      </c>
      <c r="E77" s="29">
        <v>2993.5</v>
      </c>
      <c r="F77" s="29">
        <v>2924.5</v>
      </c>
      <c r="G77" s="29">
        <v>3028</v>
      </c>
      <c r="H77" s="29">
        <v>2999</v>
      </c>
      <c r="I77" s="29">
        <v>3119</v>
      </c>
      <c r="J77" s="29">
        <v>3192</v>
      </c>
      <c r="K77" s="29">
        <v>3233</v>
      </c>
      <c r="L77" s="29">
        <v>3015</v>
      </c>
      <c r="M77" s="29">
        <v>2973</v>
      </c>
      <c r="N77" s="29">
        <v>2923</v>
      </c>
      <c r="O77" s="29">
        <v>2950</v>
      </c>
      <c r="P77" s="29">
        <v>2951</v>
      </c>
      <c r="Q77" s="29">
        <v>2972</v>
      </c>
      <c r="R77" s="29">
        <v>2913.5</v>
      </c>
      <c r="S77" s="29">
        <v>2875.5</v>
      </c>
      <c r="T77" s="29">
        <v>2853</v>
      </c>
      <c r="U77" s="29">
        <v>2847</v>
      </c>
      <c r="V77" s="29">
        <v>2864.5</v>
      </c>
      <c r="W77" s="29">
        <v>2865</v>
      </c>
      <c r="X77" s="29">
        <v>2942</v>
      </c>
      <c r="Y77" s="29">
        <v>2980</v>
      </c>
      <c r="Z77" s="29">
        <v>2923</v>
      </c>
      <c r="AA77" s="29">
        <v>2856.5</v>
      </c>
      <c r="AB77" s="29">
        <v>2839</v>
      </c>
      <c r="AC77" s="29">
        <v>2771.5</v>
      </c>
      <c r="AD77" s="29">
        <v>2782.5</v>
      </c>
      <c r="AE77" s="29">
        <v>2805</v>
      </c>
      <c r="AF77" s="29">
        <v>2768</v>
      </c>
      <c r="AG77" s="29">
        <v>2713.5</v>
      </c>
      <c r="AH77" s="29">
        <v>2731</v>
      </c>
      <c r="AI77" s="29">
        <v>2748</v>
      </c>
      <c r="AJ77" s="29">
        <v>2802</v>
      </c>
      <c r="AK77" s="29">
        <v>2793</v>
      </c>
      <c r="AL77" s="29">
        <v>2807</v>
      </c>
      <c r="AM77" s="29">
        <v>2863.5</v>
      </c>
      <c r="AN77" s="29">
        <v>2894</v>
      </c>
      <c r="AO77" s="29">
        <v>2934.5</v>
      </c>
      <c r="AP77" s="29">
        <v>2798.5</v>
      </c>
      <c r="AQ77" s="29">
        <v>2782.5</v>
      </c>
      <c r="AR77" s="29">
        <v>2840.5</v>
      </c>
      <c r="AS77" s="29">
        <v>2862</v>
      </c>
      <c r="AT77" s="29">
        <v>2885.5</v>
      </c>
      <c r="AU77" s="29">
        <v>2879.5</v>
      </c>
      <c r="AV77" s="29">
        <v>2920</v>
      </c>
      <c r="AW77" s="29">
        <v>2863.5</v>
      </c>
      <c r="AX77" s="29">
        <v>3082</v>
      </c>
      <c r="AY77" s="29">
        <v>3072</v>
      </c>
      <c r="AZ77" s="29">
        <v>3039</v>
      </c>
      <c r="BA77" s="29">
        <v>3108</v>
      </c>
      <c r="BB77" s="29">
        <v>3022</v>
      </c>
      <c r="BC77" s="29">
        <v>3027</v>
      </c>
      <c r="BD77" s="29">
        <v>3027</v>
      </c>
      <c r="BE77" s="29">
        <v>2979</v>
      </c>
      <c r="BF77" s="29">
        <v>3013</v>
      </c>
      <c r="BG77" s="29">
        <v>3086</v>
      </c>
      <c r="BH77" s="29">
        <v>3010</v>
      </c>
      <c r="BI77" s="29">
        <v>2945</v>
      </c>
      <c r="BJ77" s="29">
        <v>2886.5</v>
      </c>
      <c r="BK77" s="29">
        <v>2888</v>
      </c>
      <c r="BL77" s="30">
        <v>3088</v>
      </c>
      <c r="BM77" s="1">
        <v>3047</v>
      </c>
      <c r="BN77" s="1">
        <v>3022</v>
      </c>
      <c r="BO77" s="1">
        <v>3071</v>
      </c>
      <c r="BP77" s="1">
        <v>3135</v>
      </c>
      <c r="BQ77" s="1">
        <v>3101</v>
      </c>
      <c r="BR77" s="1">
        <v>3133</v>
      </c>
      <c r="BS77" s="1">
        <v>3205</v>
      </c>
      <c r="BT77" s="1">
        <v>3235</v>
      </c>
      <c r="BU77" s="1">
        <v>3356</v>
      </c>
      <c r="BV77" s="1">
        <v>3413</v>
      </c>
      <c r="BW77" s="1">
        <v>3400</v>
      </c>
      <c r="BX77" s="1">
        <v>3468</v>
      </c>
      <c r="BY77" s="1">
        <v>3386</v>
      </c>
      <c r="BZ77" s="1">
        <v>3355</v>
      </c>
    </row>
    <row r="78" spans="1:254" ht="15.9" customHeight="1">
      <c r="A78" s="65" t="s">
        <v>151</v>
      </c>
      <c r="B78" s="25" t="s">
        <v>152</v>
      </c>
      <c r="C78" s="39">
        <f>_xll.RssMarket("6954","高値")</f>
        <v>6556</v>
      </c>
      <c r="D78" s="38">
        <f t="shared" si="2"/>
        <v>0</v>
      </c>
      <c r="E78" s="29">
        <v>6556</v>
      </c>
      <c r="F78" s="29">
        <v>6495</v>
      </c>
      <c r="G78" s="29">
        <v>6187</v>
      </c>
      <c r="H78" s="29">
        <v>6386</v>
      </c>
      <c r="I78" s="29">
        <v>7240</v>
      </c>
      <c r="J78" s="29">
        <v>6752</v>
      </c>
      <c r="K78" s="29">
        <v>6617</v>
      </c>
      <c r="L78" s="29">
        <v>6609</v>
      </c>
      <c r="M78" s="29">
        <v>6835</v>
      </c>
      <c r="N78" s="29">
        <v>6860</v>
      </c>
      <c r="O78" s="29">
        <v>6982</v>
      </c>
      <c r="P78" s="29">
        <v>7057</v>
      </c>
      <c r="Q78" s="29">
        <v>6808</v>
      </c>
      <c r="R78" s="29">
        <v>6706</v>
      </c>
      <c r="S78" s="29">
        <v>7030</v>
      </c>
      <c r="T78" s="29">
        <v>6898</v>
      </c>
      <c r="U78" s="29">
        <v>7205</v>
      </c>
      <c r="V78" s="29">
        <v>7239</v>
      </c>
      <c r="W78" s="29">
        <v>6919</v>
      </c>
      <c r="X78" s="29">
        <v>6985</v>
      </c>
      <c r="Y78" s="29">
        <v>7372</v>
      </c>
      <c r="Z78" s="29">
        <v>7569</v>
      </c>
      <c r="AA78" s="29">
        <v>7468</v>
      </c>
      <c r="AB78" s="29">
        <v>7339</v>
      </c>
      <c r="AC78" s="29">
        <v>7515</v>
      </c>
      <c r="AD78" s="29">
        <v>7430</v>
      </c>
      <c r="AE78" s="29">
        <v>7085</v>
      </c>
      <c r="AF78" s="29">
        <v>7350</v>
      </c>
      <c r="AG78" s="29">
        <v>7513</v>
      </c>
      <c r="AH78" s="29">
        <v>7561</v>
      </c>
      <c r="AI78" s="29">
        <v>7938</v>
      </c>
      <c r="AJ78" s="29">
        <v>8164</v>
      </c>
      <c r="AK78" s="29">
        <v>7702</v>
      </c>
      <c r="AL78" s="29">
        <v>7704</v>
      </c>
      <c r="AM78" s="29">
        <v>7515</v>
      </c>
      <c r="AN78" s="29">
        <v>7490</v>
      </c>
      <c r="AO78" s="29">
        <v>7353</v>
      </c>
      <c r="AP78" s="29">
        <v>7122</v>
      </c>
      <c r="AQ78" s="29">
        <v>6778</v>
      </c>
      <c r="AR78" s="29">
        <v>6997</v>
      </c>
      <c r="AS78" s="29">
        <v>7248</v>
      </c>
      <c r="AT78" s="29">
        <v>7690</v>
      </c>
      <c r="AU78" s="29">
        <v>7922</v>
      </c>
      <c r="AV78" s="29">
        <v>8080</v>
      </c>
      <c r="AW78" s="29">
        <v>8010</v>
      </c>
      <c r="AX78" s="29">
        <v>8149</v>
      </c>
      <c r="AY78" s="29">
        <v>8100</v>
      </c>
      <c r="AZ78" s="29">
        <v>8703</v>
      </c>
      <c r="BA78" s="29">
        <v>8562</v>
      </c>
      <c r="BB78" s="29">
        <v>8278</v>
      </c>
      <c r="BC78" s="29">
        <v>7741</v>
      </c>
      <c r="BD78" s="29">
        <v>7650</v>
      </c>
      <c r="BE78" s="29">
        <v>8015</v>
      </c>
      <c r="BF78" s="29">
        <v>8439</v>
      </c>
      <c r="BG78" s="29">
        <v>8720</v>
      </c>
      <c r="BH78" s="29">
        <v>8880</v>
      </c>
      <c r="BI78" s="29">
        <v>7680</v>
      </c>
      <c r="BJ78" s="29">
        <v>7852</v>
      </c>
      <c r="BK78" s="29">
        <v>7639</v>
      </c>
      <c r="BL78" s="30">
        <v>7654</v>
      </c>
      <c r="BM78" s="1">
        <v>7300</v>
      </c>
      <c r="BN78" s="1">
        <v>6918</v>
      </c>
      <c r="BO78" s="1">
        <v>6957</v>
      </c>
      <c r="BP78" s="1">
        <v>7270</v>
      </c>
      <c r="BQ78" s="1">
        <v>7256</v>
      </c>
      <c r="BR78" s="1">
        <v>6367</v>
      </c>
      <c r="BS78" s="1">
        <v>6467</v>
      </c>
      <c r="BT78" s="1">
        <v>6552</v>
      </c>
      <c r="BU78" s="1">
        <v>6575</v>
      </c>
      <c r="BV78" s="1">
        <v>6564</v>
      </c>
      <c r="BW78" s="1">
        <v>6331</v>
      </c>
      <c r="BX78" s="1">
        <v>6364</v>
      </c>
      <c r="BY78" s="1">
        <v>6280</v>
      </c>
      <c r="BZ78" s="1">
        <v>6301</v>
      </c>
    </row>
    <row r="79" spans="1:254" ht="15.9" customHeight="1">
      <c r="A79" s="65" t="s">
        <v>153</v>
      </c>
      <c r="B79" s="25" t="s">
        <v>154</v>
      </c>
      <c r="C79" s="39">
        <f>_xll.RssMarket("6479","高値")</f>
        <v>3910</v>
      </c>
      <c r="D79" s="38">
        <f t="shared" si="2"/>
        <v>0</v>
      </c>
      <c r="E79" s="29">
        <v>3910</v>
      </c>
      <c r="F79" s="29">
        <v>4126</v>
      </c>
      <c r="G79" s="29">
        <v>3853</v>
      </c>
      <c r="H79" s="29">
        <v>3776</v>
      </c>
      <c r="I79" s="29">
        <v>3800</v>
      </c>
      <c r="J79" s="29">
        <v>3591</v>
      </c>
      <c r="K79" s="29">
        <v>3700</v>
      </c>
      <c r="L79" s="29">
        <v>3805</v>
      </c>
      <c r="M79" s="29">
        <v>3917</v>
      </c>
      <c r="N79" s="29">
        <v>3975</v>
      </c>
      <c r="O79" s="29">
        <v>4055</v>
      </c>
      <c r="P79" s="29">
        <v>4085</v>
      </c>
      <c r="Q79" s="29">
        <v>3902</v>
      </c>
      <c r="R79" s="29">
        <v>3999</v>
      </c>
      <c r="S79" s="29">
        <v>4216</v>
      </c>
      <c r="T79" s="29">
        <v>4174</v>
      </c>
      <c r="U79" s="29">
        <v>4385</v>
      </c>
      <c r="V79" s="29">
        <v>4448</v>
      </c>
      <c r="W79" s="29">
        <v>4449</v>
      </c>
      <c r="X79" s="29">
        <v>4473</v>
      </c>
      <c r="Y79" s="29">
        <v>4560</v>
      </c>
      <c r="Z79" s="29">
        <v>4918</v>
      </c>
      <c r="AA79" s="29">
        <v>4848</v>
      </c>
      <c r="AB79" s="29">
        <v>4868</v>
      </c>
      <c r="AC79" s="29">
        <v>5013</v>
      </c>
      <c r="AD79" s="29">
        <v>4864</v>
      </c>
      <c r="AE79" s="29">
        <v>4851</v>
      </c>
      <c r="AF79" s="29">
        <v>5259</v>
      </c>
      <c r="AG79" s="29">
        <v>5307</v>
      </c>
      <c r="AH79" s="29">
        <v>5085</v>
      </c>
      <c r="AI79" s="29">
        <v>5262</v>
      </c>
      <c r="AJ79" s="29">
        <v>5132</v>
      </c>
      <c r="AK79" s="29">
        <v>4726</v>
      </c>
      <c r="AL79" s="29">
        <v>4745</v>
      </c>
      <c r="AM79" s="29">
        <v>4720</v>
      </c>
      <c r="AN79" s="29">
        <v>4723</v>
      </c>
      <c r="AO79" s="29">
        <v>4532</v>
      </c>
      <c r="AP79" s="29">
        <v>4477</v>
      </c>
      <c r="AQ79" s="29">
        <v>4338</v>
      </c>
      <c r="AR79" s="29">
        <v>4640</v>
      </c>
      <c r="AS79" s="29">
        <v>4733</v>
      </c>
      <c r="AT79" s="29">
        <v>5088</v>
      </c>
      <c r="AU79" s="29">
        <v>5005</v>
      </c>
      <c r="AV79" s="29">
        <v>4967</v>
      </c>
      <c r="AW79" s="29">
        <v>4740</v>
      </c>
      <c r="AX79" s="29">
        <v>4617</v>
      </c>
      <c r="AY79" s="29">
        <v>4328</v>
      </c>
      <c r="AZ79" s="29">
        <v>4393</v>
      </c>
      <c r="BA79" s="29">
        <v>4246</v>
      </c>
      <c r="BB79" s="29">
        <v>4057</v>
      </c>
      <c r="BC79" s="29">
        <v>3944</v>
      </c>
      <c r="BD79" s="29">
        <v>3898</v>
      </c>
      <c r="BE79" s="29">
        <v>3882</v>
      </c>
      <c r="BF79" s="29">
        <v>3990</v>
      </c>
      <c r="BG79" s="29">
        <v>4087</v>
      </c>
      <c r="BH79" s="29">
        <v>4088</v>
      </c>
      <c r="BI79" s="29">
        <v>3915</v>
      </c>
      <c r="BJ79" s="29">
        <v>3604</v>
      </c>
      <c r="BK79" s="29">
        <v>3458</v>
      </c>
      <c r="BL79" s="30">
        <v>3384</v>
      </c>
      <c r="BM79" s="1">
        <v>3319</v>
      </c>
      <c r="BN79" s="1">
        <v>3152</v>
      </c>
      <c r="BO79" s="1">
        <v>3150</v>
      </c>
      <c r="BP79" s="1">
        <v>3124</v>
      </c>
      <c r="BQ79" s="1">
        <v>3150</v>
      </c>
      <c r="BR79" s="1">
        <v>3100</v>
      </c>
      <c r="BS79" s="1">
        <v>3130</v>
      </c>
      <c r="BT79" s="1">
        <v>3149</v>
      </c>
      <c r="BU79" s="1">
        <v>3135</v>
      </c>
      <c r="BV79" s="1">
        <v>3120</v>
      </c>
      <c r="BW79" s="1">
        <v>3009</v>
      </c>
      <c r="BX79" s="1">
        <v>3033</v>
      </c>
      <c r="BY79" s="1">
        <v>2898.5</v>
      </c>
      <c r="BZ79" s="1">
        <v>2918.5</v>
      </c>
    </row>
    <row r="80" spans="1:254" ht="15.9" customHeight="1">
      <c r="A80" s="65" t="s">
        <v>155</v>
      </c>
      <c r="B80" s="25" t="s">
        <v>156</v>
      </c>
      <c r="C80" s="39">
        <f>_xll.RssMarket("1833","高値")</f>
        <v>5830</v>
      </c>
      <c r="D80" s="38">
        <f t="shared" si="2"/>
        <v>0</v>
      </c>
      <c r="E80" s="29">
        <v>5830</v>
      </c>
      <c r="F80" s="29">
        <v>5770</v>
      </c>
      <c r="G80" s="29">
        <v>5790</v>
      </c>
      <c r="H80" s="29">
        <v>5880</v>
      </c>
      <c r="I80" s="29">
        <v>5870</v>
      </c>
      <c r="J80" s="29">
        <v>5830</v>
      </c>
      <c r="K80" s="29">
        <v>5900</v>
      </c>
      <c r="L80" s="29">
        <v>5890</v>
      </c>
      <c r="M80" s="29">
        <v>5880</v>
      </c>
      <c r="N80" s="29"/>
      <c r="O80" s="29">
        <v>5750</v>
      </c>
      <c r="P80" s="29">
        <v>5720</v>
      </c>
      <c r="Q80" s="29">
        <v>5710</v>
      </c>
      <c r="R80" s="29">
        <v>5690</v>
      </c>
      <c r="S80" s="29">
        <v>5710</v>
      </c>
      <c r="T80" s="29">
        <v>5650</v>
      </c>
      <c r="U80" s="29">
        <v>5680</v>
      </c>
      <c r="V80" s="29">
        <v>5730</v>
      </c>
      <c r="W80" s="29">
        <v>5770</v>
      </c>
      <c r="X80" s="29">
        <v>5760</v>
      </c>
      <c r="Y80" s="29">
        <v>5880</v>
      </c>
      <c r="Z80" s="29">
        <v>5800</v>
      </c>
      <c r="AA80" s="29">
        <v>5730</v>
      </c>
      <c r="AB80" s="29">
        <v>5740</v>
      </c>
      <c r="AC80" s="29">
        <v>5680</v>
      </c>
      <c r="AD80" s="29">
        <v>5720</v>
      </c>
      <c r="AE80" s="29">
        <v>5760</v>
      </c>
      <c r="AF80" s="29">
        <v>5660</v>
      </c>
      <c r="AG80" s="29">
        <v>5700</v>
      </c>
      <c r="AH80" s="29">
        <v>5680</v>
      </c>
      <c r="AI80" s="29">
        <v>5730</v>
      </c>
      <c r="AJ80" s="29">
        <v>5720</v>
      </c>
      <c r="AK80" s="29">
        <v>5850</v>
      </c>
      <c r="AL80" s="29">
        <v>5850</v>
      </c>
      <c r="AM80" s="29">
        <v>5790</v>
      </c>
      <c r="AN80" s="29">
        <v>5790</v>
      </c>
      <c r="AO80" s="29">
        <v>5870</v>
      </c>
      <c r="AP80" s="29">
        <v>5700</v>
      </c>
      <c r="AQ80" s="29">
        <v>5590</v>
      </c>
      <c r="AR80" s="29">
        <v>5580</v>
      </c>
      <c r="AS80" s="29">
        <v>5560</v>
      </c>
      <c r="AT80" s="29">
        <v>5630</v>
      </c>
      <c r="AU80" s="29">
        <v>5560</v>
      </c>
      <c r="AV80" s="29">
        <v>5600</v>
      </c>
      <c r="AW80" s="29">
        <v>5570</v>
      </c>
      <c r="AX80" s="29">
        <v>5630</v>
      </c>
      <c r="AY80" s="29">
        <v>5660</v>
      </c>
      <c r="AZ80" s="29">
        <v>5660</v>
      </c>
      <c r="BA80" s="29">
        <v>5620</v>
      </c>
      <c r="BB80" s="29">
        <v>5610</v>
      </c>
      <c r="BC80" s="29">
        <v>5700</v>
      </c>
      <c r="BD80" s="29">
        <v>5730</v>
      </c>
      <c r="BE80" s="29">
        <v>5820</v>
      </c>
      <c r="BF80" s="29">
        <v>5790</v>
      </c>
      <c r="BG80" s="29">
        <v>6070</v>
      </c>
      <c r="BH80" s="29">
        <v>6160</v>
      </c>
      <c r="BI80" s="29">
        <v>6340</v>
      </c>
      <c r="BJ80" s="29">
        <v>6400</v>
      </c>
      <c r="BK80" s="29">
        <v>6280</v>
      </c>
      <c r="BL80" s="30">
        <v>6180</v>
      </c>
      <c r="BM80" s="1">
        <v>6290</v>
      </c>
      <c r="BN80" s="1">
        <v>6180</v>
      </c>
      <c r="BO80" s="1">
        <v>6160</v>
      </c>
      <c r="BP80" s="1">
        <v>6140</v>
      </c>
      <c r="BQ80" s="1">
        <v>6010</v>
      </c>
      <c r="BR80" s="1">
        <v>6150</v>
      </c>
      <c r="BS80" s="1">
        <v>6090</v>
      </c>
      <c r="BT80" s="1">
        <v>6090</v>
      </c>
      <c r="BU80" s="1">
        <v>6150</v>
      </c>
      <c r="BV80" s="1">
        <v>6170</v>
      </c>
      <c r="BW80" s="1">
        <v>6210</v>
      </c>
      <c r="BX80" s="1">
        <v>6270</v>
      </c>
      <c r="BY80" s="1">
        <v>6340</v>
      </c>
      <c r="BZ80" s="1">
        <v>6290</v>
      </c>
    </row>
    <row r="81" spans="1:254" ht="15.9" customHeight="1">
      <c r="A81" s="65" t="s">
        <v>157</v>
      </c>
      <c r="B81" s="25" t="s">
        <v>158</v>
      </c>
      <c r="C81" s="39">
        <f>_xll.RssMarket("6841","高値")</f>
        <v>5371</v>
      </c>
      <c r="D81" s="38">
        <f t="shared" si="2"/>
        <v>0</v>
      </c>
      <c r="E81" s="29">
        <v>5371</v>
      </c>
      <c r="F81" s="29">
        <v>5581</v>
      </c>
      <c r="G81" s="29">
        <v>5980</v>
      </c>
      <c r="H81" s="29">
        <v>5804</v>
      </c>
      <c r="I81" s="29">
        <v>5870</v>
      </c>
      <c r="J81" s="29">
        <v>5761</v>
      </c>
      <c r="K81" s="29">
        <v>5703</v>
      </c>
      <c r="L81" s="29">
        <v>5910</v>
      </c>
      <c r="M81" s="29">
        <v>6022</v>
      </c>
      <c r="N81" s="29">
        <v>5814</v>
      </c>
      <c r="O81" s="29">
        <v>5830</v>
      </c>
      <c r="P81" s="29">
        <v>5825</v>
      </c>
      <c r="Q81" s="29">
        <v>5772</v>
      </c>
      <c r="R81" s="29">
        <v>5532</v>
      </c>
      <c r="S81" s="29">
        <v>5647</v>
      </c>
      <c r="T81" s="29">
        <v>5518</v>
      </c>
      <c r="U81" s="29">
        <v>5659</v>
      </c>
      <c r="V81" s="29">
        <v>5622</v>
      </c>
      <c r="W81" s="29">
        <v>5526</v>
      </c>
      <c r="X81" s="29">
        <v>5658</v>
      </c>
      <c r="Y81" s="29">
        <v>5914</v>
      </c>
      <c r="Z81" s="29">
        <v>5934</v>
      </c>
      <c r="AA81" s="29">
        <v>5812</v>
      </c>
      <c r="AB81" s="29">
        <v>5722</v>
      </c>
      <c r="AC81" s="29">
        <v>5787</v>
      </c>
      <c r="AD81" s="29">
        <v>5694</v>
      </c>
      <c r="AE81" s="29">
        <v>5594</v>
      </c>
      <c r="AF81" s="29">
        <v>5670</v>
      </c>
      <c r="AG81" s="29">
        <v>5627</v>
      </c>
      <c r="AH81" s="29">
        <v>5621</v>
      </c>
      <c r="AI81" s="29">
        <v>5876</v>
      </c>
      <c r="AJ81" s="29">
        <v>5740</v>
      </c>
      <c r="AK81" s="29">
        <v>5481</v>
      </c>
      <c r="AL81" s="29">
        <v>5503</v>
      </c>
      <c r="AM81" s="29">
        <v>5413</v>
      </c>
      <c r="AN81" s="29">
        <v>5271</v>
      </c>
      <c r="AO81" s="29">
        <v>5195</v>
      </c>
      <c r="AP81" s="29">
        <v>5191</v>
      </c>
      <c r="AQ81" s="29">
        <v>4809</v>
      </c>
      <c r="AR81" s="29">
        <v>4930</v>
      </c>
      <c r="AS81" s="29">
        <v>5129</v>
      </c>
      <c r="AT81" s="29">
        <v>5347</v>
      </c>
      <c r="AU81" s="29">
        <v>5388</v>
      </c>
      <c r="AV81" s="29">
        <v>5412</v>
      </c>
      <c r="AW81" s="29">
        <v>5174</v>
      </c>
      <c r="AX81" s="29">
        <v>5052</v>
      </c>
      <c r="AY81" s="29">
        <v>4939</v>
      </c>
      <c r="AZ81" s="29">
        <v>4980</v>
      </c>
      <c r="BA81" s="29">
        <v>5045</v>
      </c>
      <c r="BB81" s="29">
        <v>4907</v>
      </c>
      <c r="BC81" s="29">
        <v>4841</v>
      </c>
      <c r="BD81" s="29">
        <v>4746</v>
      </c>
      <c r="BE81" s="29">
        <v>4936</v>
      </c>
      <c r="BF81" s="29">
        <v>5000</v>
      </c>
      <c r="BG81" s="29">
        <v>5174</v>
      </c>
      <c r="BH81" s="29">
        <v>5403</v>
      </c>
      <c r="BI81" s="29">
        <v>5283</v>
      </c>
      <c r="BJ81" s="29">
        <v>5339</v>
      </c>
      <c r="BK81" s="29">
        <v>5371</v>
      </c>
      <c r="BL81" s="30">
        <v>5446</v>
      </c>
      <c r="BM81" s="1">
        <v>5796</v>
      </c>
      <c r="BN81" s="1">
        <v>5500</v>
      </c>
      <c r="BO81" s="1">
        <v>5508</v>
      </c>
      <c r="BP81" s="1">
        <v>5493</v>
      </c>
      <c r="BQ81" s="1">
        <v>5507</v>
      </c>
      <c r="BR81" s="1">
        <v>5332</v>
      </c>
      <c r="BS81" s="1">
        <v>5432</v>
      </c>
      <c r="BT81" s="1">
        <v>5578</v>
      </c>
      <c r="BU81" s="1">
        <v>5669</v>
      </c>
      <c r="BV81" s="1">
        <v>5518</v>
      </c>
      <c r="BW81" s="1">
        <v>5518</v>
      </c>
      <c r="BX81" s="1">
        <v>5469</v>
      </c>
      <c r="BY81" s="1">
        <v>5622</v>
      </c>
      <c r="BZ81" s="1">
        <v>5726</v>
      </c>
    </row>
    <row r="82" spans="1:254" ht="15.9" customHeight="1">
      <c r="A82" s="65" t="s">
        <v>159</v>
      </c>
      <c r="B82" s="25" t="s">
        <v>160</v>
      </c>
      <c r="C82" s="39">
        <f>_xll.RssMarket("7167","高値")</f>
        <v>1636.5</v>
      </c>
      <c r="D82" s="38">
        <f t="shared" si="2"/>
        <v>0</v>
      </c>
      <c r="E82" s="29">
        <v>1636.5</v>
      </c>
      <c r="F82" s="29">
        <v>1522</v>
      </c>
      <c r="G82" s="29">
        <v>1496.5</v>
      </c>
      <c r="H82" s="29">
        <v>1508</v>
      </c>
      <c r="I82" s="29">
        <v>1514.5</v>
      </c>
      <c r="J82" s="29">
        <v>1482</v>
      </c>
      <c r="K82" s="29">
        <v>1518.5</v>
      </c>
      <c r="L82" s="29">
        <v>1544.5</v>
      </c>
      <c r="M82" s="29">
        <v>1558.5</v>
      </c>
      <c r="N82" s="29">
        <v>1547.5</v>
      </c>
      <c r="O82" s="29">
        <v>1524</v>
      </c>
      <c r="P82" s="29">
        <v>1511.5</v>
      </c>
      <c r="Q82" s="29">
        <v>1474.5</v>
      </c>
      <c r="R82" s="29">
        <v>1515</v>
      </c>
      <c r="S82" s="29">
        <v>1538.5</v>
      </c>
      <c r="T82" s="29">
        <v>1528.5</v>
      </c>
      <c r="U82" s="29">
        <v>1565.5</v>
      </c>
      <c r="V82" s="29">
        <v>1585.5</v>
      </c>
      <c r="W82" s="29">
        <v>1566</v>
      </c>
      <c r="X82" s="29">
        <v>1575.5</v>
      </c>
      <c r="Y82" s="29">
        <v>1572</v>
      </c>
      <c r="Z82" s="29">
        <v>1529.5</v>
      </c>
      <c r="AA82" s="29">
        <v>1512.5</v>
      </c>
      <c r="AB82" s="29">
        <v>1484</v>
      </c>
      <c r="AC82" s="29">
        <v>1438.5</v>
      </c>
      <c r="AD82" s="29">
        <v>1439</v>
      </c>
      <c r="AE82" s="29">
        <v>1426.5</v>
      </c>
      <c r="AF82" s="29">
        <v>1410</v>
      </c>
      <c r="AG82" s="29">
        <v>1411</v>
      </c>
      <c r="AH82" s="29">
        <v>1424</v>
      </c>
      <c r="AI82" s="29">
        <v>1443.5</v>
      </c>
      <c r="AJ82" s="29">
        <v>1435.5</v>
      </c>
      <c r="AK82" s="29">
        <v>1444.5</v>
      </c>
      <c r="AL82" s="29">
        <v>1439.5</v>
      </c>
      <c r="AM82" s="29">
        <v>1446.5</v>
      </c>
      <c r="AN82" s="29">
        <v>1417</v>
      </c>
      <c r="AO82" s="29">
        <v>1456.5</v>
      </c>
      <c r="AP82" s="29">
        <v>1423</v>
      </c>
      <c r="AQ82" s="29">
        <v>1380</v>
      </c>
      <c r="AR82" s="29">
        <v>1423.5</v>
      </c>
      <c r="AS82" s="29">
        <v>1357</v>
      </c>
      <c r="AT82" s="29">
        <v>1376</v>
      </c>
      <c r="AU82" s="29">
        <v>1359</v>
      </c>
      <c r="AV82" s="29">
        <v>1343.5</v>
      </c>
      <c r="AW82" s="29">
        <v>1325.5</v>
      </c>
      <c r="AX82" s="29">
        <v>1369.5</v>
      </c>
      <c r="AY82" s="29">
        <v>1374</v>
      </c>
      <c r="AZ82" s="29">
        <v>1386.5</v>
      </c>
      <c r="BA82" s="29">
        <v>1406.5</v>
      </c>
      <c r="BB82" s="29">
        <v>1429</v>
      </c>
      <c r="BC82" s="29">
        <v>1433.5</v>
      </c>
      <c r="BD82" s="29">
        <v>1406</v>
      </c>
      <c r="BE82" s="29">
        <v>1393.5</v>
      </c>
      <c r="BF82" s="29">
        <v>1390</v>
      </c>
      <c r="BG82" s="29">
        <v>1403</v>
      </c>
      <c r="BH82" s="29">
        <v>1386</v>
      </c>
      <c r="BI82" s="29">
        <v>1399.5</v>
      </c>
      <c r="BJ82" s="29">
        <v>1369</v>
      </c>
      <c r="BK82" s="29">
        <v>1341.5</v>
      </c>
      <c r="BL82" s="30">
        <v>1326.5</v>
      </c>
      <c r="BM82" s="1">
        <v>1361</v>
      </c>
      <c r="BN82" s="1">
        <v>1309</v>
      </c>
      <c r="BO82" s="1">
        <v>1300</v>
      </c>
      <c r="BP82" s="1">
        <v>1319.5</v>
      </c>
      <c r="BQ82" s="1">
        <v>1238.5</v>
      </c>
      <c r="BR82" s="1">
        <v>1235.5</v>
      </c>
      <c r="BS82" s="1">
        <v>1241.5</v>
      </c>
      <c r="BT82" s="1">
        <v>1284.5</v>
      </c>
      <c r="BU82" s="1">
        <v>1321</v>
      </c>
      <c r="BV82" s="1">
        <v>1357</v>
      </c>
      <c r="BW82" s="1">
        <v>1363.5</v>
      </c>
      <c r="BX82" s="1">
        <v>1370.5</v>
      </c>
      <c r="BY82" s="1">
        <v>1376.5</v>
      </c>
      <c r="BZ82" s="1">
        <v>1353</v>
      </c>
    </row>
    <row r="83" spans="1:254" ht="15.9" customHeight="1">
      <c r="A83" s="65" t="s">
        <v>161</v>
      </c>
      <c r="B83" s="25" t="s">
        <v>162</v>
      </c>
      <c r="C83" s="39">
        <f>_xll.RssMarket("1925","高値")</f>
        <v>4607</v>
      </c>
      <c r="D83" s="38">
        <f t="shared" si="2"/>
        <v>0</v>
      </c>
      <c r="E83" s="29">
        <v>4607</v>
      </c>
      <c r="F83" s="29">
        <v>4573</v>
      </c>
      <c r="G83" s="29">
        <v>4592</v>
      </c>
      <c r="H83" s="29">
        <v>4671</v>
      </c>
      <c r="I83" s="29">
        <v>4768</v>
      </c>
      <c r="J83" s="29">
        <v>4901</v>
      </c>
      <c r="K83" s="29">
        <v>4929</v>
      </c>
      <c r="L83" s="29">
        <v>4786</v>
      </c>
      <c r="M83" s="29">
        <v>4740</v>
      </c>
      <c r="N83" s="29">
        <v>4595</v>
      </c>
      <c r="O83" s="29">
        <v>4585</v>
      </c>
      <c r="P83" s="29">
        <v>4607</v>
      </c>
      <c r="Q83" s="29">
        <v>4668</v>
      </c>
      <c r="R83" s="29">
        <v>4684</v>
      </c>
      <c r="S83" s="29">
        <v>4628</v>
      </c>
      <c r="T83" s="29">
        <v>4615</v>
      </c>
      <c r="U83" s="29">
        <v>4553</v>
      </c>
      <c r="V83" s="29">
        <v>4575</v>
      </c>
      <c r="W83" s="29">
        <v>4549</v>
      </c>
      <c r="X83" s="29">
        <v>4600</v>
      </c>
      <c r="Y83" s="29">
        <v>4600</v>
      </c>
      <c r="Z83" s="29">
        <v>4585</v>
      </c>
      <c r="AA83" s="29">
        <v>4557</v>
      </c>
      <c r="AB83" s="29">
        <v>4463</v>
      </c>
      <c r="AC83" s="29">
        <v>4419</v>
      </c>
      <c r="AD83" s="29">
        <v>4493</v>
      </c>
      <c r="AE83" s="29">
        <v>4500</v>
      </c>
      <c r="AF83" s="29">
        <v>4425</v>
      </c>
      <c r="AG83" s="29">
        <v>4404</v>
      </c>
      <c r="AH83" s="29">
        <v>4342</v>
      </c>
      <c r="AI83" s="29">
        <v>4330</v>
      </c>
      <c r="AJ83" s="29">
        <v>4309</v>
      </c>
      <c r="AK83" s="29">
        <v>4378</v>
      </c>
      <c r="AL83" s="29">
        <v>4380</v>
      </c>
      <c r="AM83" s="29">
        <v>4435</v>
      </c>
      <c r="AN83" s="29">
        <v>4373</v>
      </c>
      <c r="AO83" s="29">
        <v>4422</v>
      </c>
      <c r="AP83" s="29">
        <v>4345</v>
      </c>
      <c r="AQ83" s="29">
        <v>4374</v>
      </c>
      <c r="AR83" s="29">
        <v>4381</v>
      </c>
      <c r="AS83" s="29">
        <v>4262</v>
      </c>
      <c r="AT83" s="29">
        <v>4270</v>
      </c>
      <c r="AU83" s="29">
        <v>4276</v>
      </c>
      <c r="AV83" s="29">
        <v>4287</v>
      </c>
      <c r="AW83" s="29">
        <v>4194</v>
      </c>
      <c r="AX83" s="29">
        <v>4421</v>
      </c>
      <c r="AY83" s="29">
        <v>4429</v>
      </c>
      <c r="AZ83" s="29">
        <v>4434</v>
      </c>
      <c r="BA83" s="29">
        <v>4489</v>
      </c>
      <c r="BB83" s="29">
        <v>4472</v>
      </c>
      <c r="BC83" s="29">
        <v>4548</v>
      </c>
      <c r="BD83" s="29">
        <v>4582</v>
      </c>
      <c r="BE83" s="29">
        <v>4576</v>
      </c>
      <c r="BF83" s="29">
        <v>4551</v>
      </c>
      <c r="BG83" s="29">
        <v>4570</v>
      </c>
      <c r="BH83" s="29">
        <v>4693</v>
      </c>
      <c r="BI83" s="29">
        <v>4831</v>
      </c>
      <c r="BJ83" s="29">
        <v>4809</v>
      </c>
      <c r="BK83" s="29">
        <v>4800</v>
      </c>
      <c r="BL83" s="30">
        <v>4835</v>
      </c>
      <c r="BM83" s="1">
        <v>4825</v>
      </c>
      <c r="BN83" s="1">
        <v>4795</v>
      </c>
      <c r="BO83" s="1">
        <v>4828</v>
      </c>
      <c r="BP83" s="1">
        <v>4884</v>
      </c>
      <c r="BQ83" s="1">
        <v>4799</v>
      </c>
      <c r="BR83" s="1">
        <v>4823</v>
      </c>
      <c r="BS83" s="1">
        <v>4851</v>
      </c>
      <c r="BT83" s="1">
        <v>4899</v>
      </c>
      <c r="BU83" s="1">
        <v>4929</v>
      </c>
      <c r="BV83" s="1">
        <v>4914</v>
      </c>
      <c r="BW83" s="1">
        <v>4916</v>
      </c>
      <c r="BX83" s="1">
        <v>4949</v>
      </c>
      <c r="BY83" s="1">
        <v>4939</v>
      </c>
      <c r="BZ83" s="1">
        <v>4938</v>
      </c>
    </row>
    <row r="84" spans="1:254" ht="15.9" customHeight="1">
      <c r="A84" s="65" t="s">
        <v>163</v>
      </c>
      <c r="B84" s="25" t="s">
        <v>164</v>
      </c>
      <c r="C84" s="39">
        <f>_xll.RssMarket("5411","高値")</f>
        <v>1885.5</v>
      </c>
      <c r="D84" s="38">
        <f t="shared" si="2"/>
        <v>0</v>
      </c>
      <c r="E84" s="29">
        <v>1885.5</v>
      </c>
      <c r="F84" s="29">
        <v>1840.5</v>
      </c>
      <c r="G84" s="29">
        <v>1812</v>
      </c>
      <c r="H84" s="29">
        <v>1802</v>
      </c>
      <c r="I84" s="29">
        <v>1850</v>
      </c>
      <c r="J84" s="29">
        <v>1865</v>
      </c>
      <c r="K84" s="29">
        <v>1867.5</v>
      </c>
      <c r="L84" s="29">
        <v>1795</v>
      </c>
      <c r="M84" s="29">
        <v>1804.5</v>
      </c>
      <c r="N84" s="29">
        <v>1729</v>
      </c>
      <c r="O84" s="29">
        <v>1738</v>
      </c>
      <c r="P84" s="29">
        <v>1747.5</v>
      </c>
      <c r="Q84" s="29">
        <v>1743.5</v>
      </c>
      <c r="R84" s="29">
        <v>1706.5</v>
      </c>
      <c r="S84" s="29">
        <v>1688.5</v>
      </c>
      <c r="T84" s="29">
        <v>1666</v>
      </c>
      <c r="U84" s="29">
        <v>1644</v>
      </c>
      <c r="V84" s="29">
        <v>1627</v>
      </c>
      <c r="W84" s="29">
        <v>1644</v>
      </c>
      <c r="X84" s="29">
        <v>1658</v>
      </c>
      <c r="Y84" s="29">
        <v>1673</v>
      </c>
      <c r="Z84" s="29">
        <v>1662</v>
      </c>
      <c r="AA84" s="29">
        <v>1612.5</v>
      </c>
      <c r="AB84" s="29">
        <v>1584</v>
      </c>
      <c r="AC84" s="29">
        <v>1567.5</v>
      </c>
      <c r="AD84" s="29">
        <v>1572</v>
      </c>
      <c r="AE84" s="29">
        <v>1563.5</v>
      </c>
      <c r="AF84" s="29">
        <v>1558.5</v>
      </c>
      <c r="AG84" s="29">
        <v>1573</v>
      </c>
      <c r="AH84" s="29">
        <v>1581</v>
      </c>
      <c r="AI84" s="29">
        <v>1604</v>
      </c>
      <c r="AJ84" s="29">
        <v>1617</v>
      </c>
      <c r="AK84" s="29">
        <v>1642</v>
      </c>
      <c r="AL84" s="29">
        <v>1658.5</v>
      </c>
      <c r="AM84" s="29">
        <v>1653</v>
      </c>
      <c r="AN84" s="29">
        <v>1659</v>
      </c>
      <c r="AO84" s="29">
        <v>1653.5</v>
      </c>
      <c r="AP84" s="29">
        <v>1622.5</v>
      </c>
      <c r="AQ84" s="29">
        <v>1577.5</v>
      </c>
      <c r="AR84" s="29">
        <v>1587</v>
      </c>
      <c r="AS84" s="29">
        <v>1623</v>
      </c>
      <c r="AT84" s="29">
        <v>1620</v>
      </c>
      <c r="AU84" s="29">
        <v>1610</v>
      </c>
      <c r="AV84" s="29">
        <v>1612</v>
      </c>
      <c r="AW84" s="29">
        <v>1618</v>
      </c>
      <c r="AX84" s="29">
        <v>1723.5</v>
      </c>
      <c r="AY84" s="29">
        <v>1687</v>
      </c>
      <c r="AZ84" s="29">
        <v>1686</v>
      </c>
      <c r="BA84" s="29">
        <v>1654</v>
      </c>
      <c r="BB84" s="29">
        <v>1661.5</v>
      </c>
      <c r="BC84" s="29">
        <v>1664.5</v>
      </c>
      <c r="BD84" s="29">
        <v>1672.5</v>
      </c>
      <c r="BE84" s="29">
        <v>1684</v>
      </c>
      <c r="BF84" s="29">
        <v>1674.5</v>
      </c>
      <c r="BG84" s="29">
        <v>1707.5</v>
      </c>
      <c r="BH84" s="29">
        <v>1724.5</v>
      </c>
      <c r="BI84" s="29">
        <v>1731</v>
      </c>
      <c r="BJ84" s="29">
        <v>1705.5</v>
      </c>
      <c r="BK84" s="29">
        <v>1747</v>
      </c>
      <c r="BL84" s="30">
        <v>1814.5</v>
      </c>
      <c r="BM84" s="1">
        <v>1747</v>
      </c>
      <c r="BN84" s="1">
        <v>1723.5</v>
      </c>
      <c r="BO84" s="1">
        <v>1718.5</v>
      </c>
      <c r="BP84" s="1">
        <v>1700.5</v>
      </c>
      <c r="BQ84" s="1">
        <v>1691.5</v>
      </c>
      <c r="BR84" s="1">
        <v>1707</v>
      </c>
      <c r="BS84" s="1">
        <v>1731</v>
      </c>
      <c r="BT84" s="1">
        <v>1746</v>
      </c>
      <c r="BU84" s="1">
        <v>1767</v>
      </c>
      <c r="BV84" s="1">
        <v>1807.5</v>
      </c>
      <c r="BW84" s="1">
        <v>1824</v>
      </c>
      <c r="BX84" s="1">
        <v>1830</v>
      </c>
      <c r="BY84" s="1">
        <v>1838.5</v>
      </c>
      <c r="BZ84" s="1">
        <v>1859.5</v>
      </c>
    </row>
    <row r="85" spans="1:254" ht="15.9" customHeight="1">
      <c r="A85" s="65" t="s">
        <v>165</v>
      </c>
      <c r="B85" s="25" t="s">
        <v>166</v>
      </c>
      <c r="C85" s="39">
        <f>_xll.RssMarket("7182","高値")</f>
        <v>3246</v>
      </c>
      <c r="D85" s="38">
        <f t="shared" si="2"/>
        <v>0</v>
      </c>
      <c r="E85" s="29">
        <v>3246</v>
      </c>
      <c r="F85" s="29">
        <v>3200</v>
      </c>
      <c r="G85" s="29">
        <v>3134</v>
      </c>
      <c r="H85" s="29">
        <v>3123</v>
      </c>
      <c r="I85" s="29">
        <v>3157</v>
      </c>
      <c r="J85" s="29">
        <v>3165</v>
      </c>
      <c r="K85" s="29">
        <v>3241</v>
      </c>
      <c r="L85" s="29">
        <v>3371</v>
      </c>
      <c r="M85" s="29">
        <v>3430</v>
      </c>
      <c r="N85" s="29">
        <v>3465</v>
      </c>
      <c r="O85" s="29">
        <v>3461</v>
      </c>
      <c r="P85" s="29">
        <v>3460</v>
      </c>
      <c r="Q85" s="29">
        <v>3348</v>
      </c>
      <c r="R85" s="29">
        <v>3261</v>
      </c>
      <c r="S85" s="29">
        <v>3352</v>
      </c>
      <c r="T85" s="29">
        <v>3324</v>
      </c>
      <c r="U85" s="29">
        <v>3363</v>
      </c>
      <c r="V85" s="29">
        <v>3348</v>
      </c>
      <c r="W85" s="29">
        <v>3317</v>
      </c>
      <c r="X85" s="29">
        <v>3363</v>
      </c>
      <c r="Y85" s="29">
        <v>3402</v>
      </c>
      <c r="Z85" s="29">
        <v>3263</v>
      </c>
      <c r="AA85" s="29">
        <v>3230</v>
      </c>
      <c r="AB85" s="29">
        <v>3169</v>
      </c>
      <c r="AC85" s="29">
        <v>3123</v>
      </c>
      <c r="AD85" s="29">
        <v>3127</v>
      </c>
      <c r="AE85" s="29">
        <v>3089</v>
      </c>
      <c r="AF85" s="29">
        <v>3092</v>
      </c>
      <c r="AG85" s="29">
        <v>3100</v>
      </c>
      <c r="AH85" s="29">
        <v>3242</v>
      </c>
      <c r="AI85" s="29">
        <v>3293</v>
      </c>
      <c r="AJ85" s="29">
        <v>3286</v>
      </c>
      <c r="AK85" s="29">
        <v>3287</v>
      </c>
      <c r="AL85" s="29">
        <v>3296</v>
      </c>
      <c r="AM85" s="29">
        <v>3235</v>
      </c>
      <c r="AN85" s="29">
        <v>3183</v>
      </c>
      <c r="AO85" s="29">
        <v>3308</v>
      </c>
      <c r="AP85" s="29">
        <v>3255</v>
      </c>
      <c r="AQ85" s="29">
        <v>3113</v>
      </c>
      <c r="AR85" s="29">
        <v>3248</v>
      </c>
      <c r="AS85" s="29">
        <v>3145</v>
      </c>
      <c r="AT85" s="29">
        <v>3277</v>
      </c>
      <c r="AU85" s="29">
        <v>3234</v>
      </c>
      <c r="AV85" s="29">
        <v>3175</v>
      </c>
      <c r="AW85" s="29">
        <v>3066</v>
      </c>
      <c r="AX85" s="29">
        <v>3072</v>
      </c>
      <c r="AY85" s="29">
        <v>2977</v>
      </c>
      <c r="AZ85" s="29">
        <v>3033</v>
      </c>
      <c r="BA85" s="29">
        <v>3137</v>
      </c>
      <c r="BB85" s="29">
        <v>3200</v>
      </c>
      <c r="BC85" s="29">
        <v>3208</v>
      </c>
      <c r="BD85" s="29">
        <v>3165</v>
      </c>
      <c r="BE85" s="29">
        <v>3060</v>
      </c>
      <c r="BF85" s="29">
        <v>2990</v>
      </c>
      <c r="BG85" s="29">
        <v>2861.5</v>
      </c>
      <c r="BH85" s="29">
        <v>2864</v>
      </c>
      <c r="BI85" s="29">
        <v>2876.5</v>
      </c>
      <c r="BJ85" s="29">
        <v>2876</v>
      </c>
      <c r="BK85" s="29">
        <v>2797</v>
      </c>
      <c r="BL85" s="30">
        <v>2770</v>
      </c>
      <c r="BM85" s="1">
        <v>2823.5</v>
      </c>
      <c r="BN85" s="1">
        <v>2704.5</v>
      </c>
      <c r="BO85" s="1">
        <v>2699</v>
      </c>
      <c r="BP85" s="1">
        <v>2696.5</v>
      </c>
      <c r="BQ85" s="1">
        <v>2549.5</v>
      </c>
      <c r="BR85" s="1">
        <v>2535</v>
      </c>
      <c r="BS85" s="1">
        <v>2558.5</v>
      </c>
      <c r="BT85" s="1">
        <v>2611</v>
      </c>
      <c r="BU85" s="1">
        <v>2710</v>
      </c>
      <c r="BV85" s="1">
        <v>2759</v>
      </c>
      <c r="BW85" s="1">
        <v>2798.5</v>
      </c>
      <c r="BX85" s="1">
        <v>2811</v>
      </c>
      <c r="BY85" s="1">
        <v>2787.5</v>
      </c>
      <c r="BZ85" s="1">
        <v>2751</v>
      </c>
    </row>
    <row r="86" spans="1:254" ht="15.9" customHeight="1">
      <c r="A86" s="65" t="s">
        <v>167</v>
      </c>
      <c r="B86" s="25" t="s">
        <v>168</v>
      </c>
      <c r="C86" s="39">
        <f>_xll.RssMarket("1963","高値")</f>
        <v>2355</v>
      </c>
      <c r="D86" s="38">
        <f t="shared" si="2"/>
        <v>0</v>
      </c>
      <c r="E86" s="29">
        <v>2355</v>
      </c>
      <c r="F86" s="29">
        <v>2355.5</v>
      </c>
      <c r="G86" s="29">
        <v>2311.5</v>
      </c>
      <c r="H86" s="29">
        <v>2274</v>
      </c>
      <c r="I86" s="29">
        <v>2314.5</v>
      </c>
      <c r="J86" s="29">
        <v>2275.5</v>
      </c>
      <c r="K86" s="29">
        <v>2329</v>
      </c>
      <c r="L86" s="29">
        <v>2337</v>
      </c>
      <c r="M86" s="29">
        <v>2375</v>
      </c>
      <c r="N86" s="29"/>
      <c r="O86" s="29">
        <v>2341</v>
      </c>
      <c r="P86" s="29">
        <v>2331.5</v>
      </c>
      <c r="Q86" s="29">
        <v>2277.5</v>
      </c>
      <c r="R86" s="29">
        <v>2255</v>
      </c>
      <c r="S86" s="29">
        <v>2337.5</v>
      </c>
      <c r="T86" s="29">
        <v>2311.5</v>
      </c>
      <c r="U86" s="29">
        <v>2432</v>
      </c>
      <c r="V86" s="29">
        <v>2359</v>
      </c>
      <c r="W86" s="29">
        <v>2379</v>
      </c>
      <c r="X86" s="29">
        <v>2478.5</v>
      </c>
      <c r="Y86" s="29">
        <v>2583</v>
      </c>
      <c r="Z86" s="29">
        <v>2566.5</v>
      </c>
      <c r="AA86" s="29">
        <v>2525</v>
      </c>
      <c r="AB86" s="29">
        <v>2521</v>
      </c>
      <c r="AC86" s="29">
        <v>2537</v>
      </c>
      <c r="AD86" s="29">
        <v>2591</v>
      </c>
      <c r="AE86" s="29">
        <v>2607</v>
      </c>
      <c r="AF86" s="29">
        <v>2554</v>
      </c>
      <c r="AG86" s="29">
        <v>2603</v>
      </c>
      <c r="AH86" s="29">
        <v>2605</v>
      </c>
      <c r="AI86" s="29">
        <v>2673.5</v>
      </c>
      <c r="AJ86" s="29">
        <v>2650.5</v>
      </c>
      <c r="AK86" s="29">
        <v>2813.5</v>
      </c>
      <c r="AL86" s="29">
        <v>2834</v>
      </c>
      <c r="AM86" s="29">
        <v>2806.5</v>
      </c>
      <c r="AN86" s="29">
        <v>2704.5</v>
      </c>
      <c r="AO86" s="29">
        <v>2825</v>
      </c>
      <c r="AP86" s="29">
        <v>2584</v>
      </c>
      <c r="AQ86" s="29">
        <v>2494</v>
      </c>
      <c r="AR86" s="29">
        <v>2576</v>
      </c>
      <c r="AS86" s="29">
        <v>2601.5</v>
      </c>
      <c r="AT86" s="29">
        <v>2664</v>
      </c>
      <c r="AU86" s="29">
        <v>2647</v>
      </c>
      <c r="AV86" s="29">
        <v>2683</v>
      </c>
      <c r="AW86" s="29">
        <v>2654.5</v>
      </c>
      <c r="AX86" s="29">
        <v>2753</v>
      </c>
      <c r="AY86" s="29">
        <v>2858</v>
      </c>
      <c r="AZ86" s="29">
        <v>2873.5</v>
      </c>
      <c r="BA86" s="29">
        <v>2927.5</v>
      </c>
      <c r="BB86" s="29">
        <v>2832.5</v>
      </c>
      <c r="BC86" s="29">
        <v>2745</v>
      </c>
      <c r="BD86" s="29">
        <v>2711.5</v>
      </c>
      <c r="BE86" s="29">
        <v>2655.5</v>
      </c>
      <c r="BF86" s="29">
        <v>2699</v>
      </c>
      <c r="BG86" s="29">
        <v>2809</v>
      </c>
      <c r="BH86" s="29">
        <v>2452</v>
      </c>
      <c r="BI86" s="29">
        <v>2472.5</v>
      </c>
      <c r="BJ86" s="29">
        <v>2489.5</v>
      </c>
      <c r="BK86" s="29">
        <v>2555</v>
      </c>
      <c r="BL86" s="30">
        <v>2518</v>
      </c>
      <c r="BM86" s="1">
        <v>2484.5</v>
      </c>
      <c r="BN86" s="1">
        <v>2413</v>
      </c>
      <c r="BO86" s="1">
        <v>2448</v>
      </c>
      <c r="BP86" s="1">
        <v>2468</v>
      </c>
      <c r="BQ86" s="1">
        <v>2405</v>
      </c>
      <c r="BR86" s="1">
        <v>2410</v>
      </c>
      <c r="BS86" s="1">
        <v>2368</v>
      </c>
      <c r="BT86" s="1">
        <v>2372.5</v>
      </c>
      <c r="BU86" s="1">
        <v>2439</v>
      </c>
      <c r="BV86" s="1">
        <v>2531.5</v>
      </c>
      <c r="BW86" s="1">
        <v>2557</v>
      </c>
      <c r="BX86" s="1">
        <v>2575.5</v>
      </c>
      <c r="BY86" s="1">
        <v>2692</v>
      </c>
      <c r="BZ86" s="1">
        <v>2724</v>
      </c>
    </row>
    <row r="87" spans="1:254" ht="15.9" customHeight="1">
      <c r="A87" s="65" t="s">
        <v>169</v>
      </c>
      <c r="B87" s="25" t="s">
        <v>170</v>
      </c>
      <c r="C87" s="39">
        <f>_xll.RssMarket("2914","高値")</f>
        <v>7063</v>
      </c>
      <c r="D87" s="38">
        <f t="shared" si="2"/>
        <v>0</v>
      </c>
      <c r="E87" s="29">
        <v>7063</v>
      </c>
      <c r="F87" s="29">
        <v>6853</v>
      </c>
      <c r="G87" s="29">
        <v>6949</v>
      </c>
      <c r="H87" s="29">
        <v>7068</v>
      </c>
      <c r="I87" s="29">
        <v>7218</v>
      </c>
      <c r="J87" s="29">
        <v>6820</v>
      </c>
      <c r="K87" s="29">
        <v>6832</v>
      </c>
      <c r="L87" s="29">
        <v>6652</v>
      </c>
      <c r="M87" s="29">
        <v>6575</v>
      </c>
      <c r="N87" s="29">
        <v>6481</v>
      </c>
      <c r="O87" s="29">
        <v>6525</v>
      </c>
      <c r="P87" s="29">
        <v>6458</v>
      </c>
      <c r="Q87" s="29">
        <v>6459</v>
      </c>
      <c r="R87" s="29">
        <v>6376</v>
      </c>
      <c r="S87" s="29">
        <v>6150</v>
      </c>
      <c r="T87" s="29">
        <v>6214</v>
      </c>
      <c r="U87" s="29">
        <v>6152</v>
      </c>
      <c r="V87" s="29">
        <v>6215</v>
      </c>
      <c r="W87" s="29">
        <v>6222</v>
      </c>
      <c r="X87" s="29">
        <v>6278</v>
      </c>
      <c r="Y87" s="29">
        <v>6219</v>
      </c>
      <c r="Z87" s="29">
        <v>6189</v>
      </c>
      <c r="AA87" s="29">
        <v>6207</v>
      </c>
      <c r="AB87" s="29">
        <v>6097</v>
      </c>
      <c r="AC87" s="29">
        <v>6036</v>
      </c>
      <c r="AD87" s="29">
        <v>6042</v>
      </c>
      <c r="AE87" s="29">
        <v>6047</v>
      </c>
      <c r="AF87" s="29">
        <v>6089</v>
      </c>
      <c r="AG87" s="29">
        <v>6007</v>
      </c>
      <c r="AH87" s="29">
        <v>6011</v>
      </c>
      <c r="AI87" s="29">
        <v>5976</v>
      </c>
      <c r="AJ87" s="29">
        <v>6038</v>
      </c>
      <c r="AK87" s="29">
        <v>6088</v>
      </c>
      <c r="AL87" s="29">
        <v>6094</v>
      </c>
      <c r="AM87" s="29">
        <v>6160</v>
      </c>
      <c r="AN87" s="29">
        <v>6099</v>
      </c>
      <c r="AO87" s="29">
        <v>6215</v>
      </c>
      <c r="AP87" s="29">
        <v>6363</v>
      </c>
      <c r="AQ87" s="29">
        <v>6338</v>
      </c>
      <c r="AR87" s="29">
        <v>6164</v>
      </c>
      <c r="AS87" s="29">
        <v>6135</v>
      </c>
      <c r="AT87" s="29">
        <v>6067</v>
      </c>
      <c r="AU87" s="29">
        <v>6109</v>
      </c>
      <c r="AV87" s="29">
        <v>6154</v>
      </c>
      <c r="AW87" s="29">
        <v>6161</v>
      </c>
      <c r="AX87" s="29">
        <v>6200</v>
      </c>
      <c r="AY87" s="29">
        <v>6201</v>
      </c>
      <c r="AZ87" s="29">
        <v>6121</v>
      </c>
      <c r="BA87" s="29">
        <v>6134</v>
      </c>
      <c r="BB87" s="29">
        <v>6231</v>
      </c>
      <c r="BC87" s="29">
        <v>6359</v>
      </c>
      <c r="BD87" s="29">
        <v>6455</v>
      </c>
      <c r="BE87" s="29">
        <v>6474</v>
      </c>
      <c r="BF87" s="29">
        <v>6396</v>
      </c>
      <c r="BG87" s="29">
        <v>6315</v>
      </c>
      <c r="BH87" s="29">
        <v>6278</v>
      </c>
      <c r="BI87" s="29">
        <v>6214</v>
      </c>
      <c r="BJ87" s="29">
        <v>6136</v>
      </c>
      <c r="BK87" s="29">
        <v>6164</v>
      </c>
      <c r="BL87" s="30">
        <v>5863</v>
      </c>
      <c r="BM87" s="1">
        <v>5964</v>
      </c>
      <c r="BN87" s="1">
        <v>5905</v>
      </c>
      <c r="BO87" s="1">
        <v>5865</v>
      </c>
      <c r="BP87" s="1">
        <v>5788</v>
      </c>
      <c r="BQ87" s="1">
        <v>5821</v>
      </c>
      <c r="BR87" s="1">
        <v>5907</v>
      </c>
      <c r="BS87" s="1">
        <v>5866</v>
      </c>
      <c r="BT87" s="1">
        <v>5719</v>
      </c>
      <c r="BU87" s="1">
        <v>5808</v>
      </c>
      <c r="BV87" s="1">
        <v>5835</v>
      </c>
      <c r="BW87" s="1">
        <v>5853</v>
      </c>
      <c r="BX87" s="1">
        <v>5880</v>
      </c>
      <c r="BY87" s="1">
        <v>5918</v>
      </c>
      <c r="BZ87" s="1">
        <v>5961</v>
      </c>
    </row>
    <row r="88" spans="1:254" ht="15.9" customHeight="1">
      <c r="A88" s="65" t="s">
        <v>171</v>
      </c>
      <c r="B88" s="25" t="s">
        <v>172</v>
      </c>
      <c r="C88" s="39">
        <f>_xll.RssMarket("3003","高値")</f>
        <v>1734.5</v>
      </c>
      <c r="D88" s="38">
        <f t="shared" si="2"/>
        <v>0</v>
      </c>
      <c r="E88" s="29">
        <v>1734.5</v>
      </c>
      <c r="F88" s="29">
        <v>1728</v>
      </c>
      <c r="G88" s="29">
        <v>1725</v>
      </c>
      <c r="H88" s="29">
        <v>1760.5</v>
      </c>
      <c r="I88" s="29">
        <v>1811</v>
      </c>
      <c r="J88" s="29">
        <v>1913</v>
      </c>
      <c r="K88" s="29">
        <v>1915</v>
      </c>
      <c r="L88" s="29">
        <v>1857</v>
      </c>
      <c r="M88" s="29">
        <v>1835</v>
      </c>
      <c r="N88" s="29">
        <v>1780</v>
      </c>
      <c r="O88" s="29">
        <v>1799</v>
      </c>
      <c r="P88" s="29">
        <v>1813</v>
      </c>
      <c r="Q88" s="29">
        <v>1839.5</v>
      </c>
      <c r="R88" s="29">
        <v>1821.5</v>
      </c>
      <c r="S88" s="29">
        <v>1798.5</v>
      </c>
      <c r="T88" s="29">
        <v>1788</v>
      </c>
      <c r="U88" s="29">
        <v>1774.5</v>
      </c>
      <c r="V88" s="29">
        <v>1758</v>
      </c>
      <c r="W88" s="29">
        <v>1771</v>
      </c>
      <c r="X88" s="29">
        <v>1809</v>
      </c>
      <c r="Y88" s="29">
        <v>1777</v>
      </c>
      <c r="Z88" s="29">
        <v>1763</v>
      </c>
      <c r="AA88" s="29">
        <v>1750.5</v>
      </c>
      <c r="AB88" s="29">
        <v>1713.5</v>
      </c>
      <c r="AC88" s="29">
        <v>1699.5</v>
      </c>
      <c r="AD88" s="29">
        <v>1720</v>
      </c>
      <c r="AE88" s="29">
        <v>1716</v>
      </c>
      <c r="AF88" s="29">
        <v>1715</v>
      </c>
      <c r="AG88" s="29">
        <v>1714.5</v>
      </c>
      <c r="AH88" s="29">
        <v>1699</v>
      </c>
      <c r="AI88" s="29">
        <v>1699</v>
      </c>
      <c r="AJ88" s="29">
        <v>1693</v>
      </c>
      <c r="AK88" s="29">
        <v>1717</v>
      </c>
      <c r="AL88" s="29">
        <v>1717</v>
      </c>
      <c r="AM88" s="29">
        <v>1733</v>
      </c>
      <c r="AN88" s="29">
        <v>1734.5</v>
      </c>
      <c r="AO88" s="29">
        <v>1758</v>
      </c>
      <c r="AP88" s="29">
        <v>1739.5</v>
      </c>
      <c r="AQ88" s="29">
        <v>1744</v>
      </c>
      <c r="AR88" s="29">
        <v>1736.5</v>
      </c>
      <c r="AS88" s="29">
        <v>1677</v>
      </c>
      <c r="AT88" s="29">
        <v>1670.5</v>
      </c>
      <c r="AU88" s="29">
        <v>1651.5</v>
      </c>
      <c r="AV88" s="29">
        <v>1662</v>
      </c>
      <c r="AW88" s="29">
        <v>1652.5</v>
      </c>
      <c r="AX88" s="29">
        <v>1709</v>
      </c>
      <c r="AY88" s="29">
        <v>1670</v>
      </c>
      <c r="AZ88" s="29">
        <v>1687.5</v>
      </c>
      <c r="BA88" s="29">
        <v>1679</v>
      </c>
      <c r="BB88" s="29">
        <v>1667.5</v>
      </c>
      <c r="BC88" s="29">
        <v>1744.5</v>
      </c>
      <c r="BD88" s="29">
        <v>1748</v>
      </c>
      <c r="BE88" s="29">
        <v>1750</v>
      </c>
      <c r="BF88" s="29">
        <v>1767</v>
      </c>
      <c r="BG88" s="29">
        <v>1777.5</v>
      </c>
      <c r="BH88" s="29">
        <v>1789.5</v>
      </c>
      <c r="BI88" s="29">
        <v>1813.5</v>
      </c>
      <c r="BJ88" s="29">
        <v>1808.5</v>
      </c>
      <c r="BK88" s="29">
        <v>1805</v>
      </c>
      <c r="BL88" s="30">
        <v>1815</v>
      </c>
      <c r="BM88" s="1">
        <v>1829.5</v>
      </c>
      <c r="BN88" s="1">
        <v>1804</v>
      </c>
      <c r="BO88" s="1">
        <v>1784</v>
      </c>
      <c r="BP88" s="1">
        <v>1827</v>
      </c>
      <c r="BQ88" s="1">
        <v>1856</v>
      </c>
      <c r="BR88" s="1">
        <v>1835.5</v>
      </c>
      <c r="BS88" s="1">
        <v>1831</v>
      </c>
      <c r="BT88" s="1">
        <v>1860</v>
      </c>
      <c r="BU88" s="1">
        <v>1899.5</v>
      </c>
      <c r="BV88" s="1">
        <v>1904.5</v>
      </c>
      <c r="BW88" s="1">
        <v>1904</v>
      </c>
      <c r="BX88" s="1">
        <v>1902.5</v>
      </c>
      <c r="BY88" s="1">
        <v>1918</v>
      </c>
      <c r="BZ88" s="1">
        <v>1904.5</v>
      </c>
    </row>
    <row r="89" spans="1:254" ht="15.9" customHeight="1">
      <c r="A89" s="65" t="s">
        <v>173</v>
      </c>
      <c r="B89" s="25" t="s">
        <v>174</v>
      </c>
      <c r="C89" s="39">
        <f>_xll.RssMarket("5892","高値")</f>
        <v>2253</v>
      </c>
      <c r="D89" s="38">
        <f t="shared" si="2"/>
        <v>0</v>
      </c>
      <c r="E89" s="29">
        <v>2253</v>
      </c>
      <c r="F89" s="29">
        <v>2213</v>
      </c>
      <c r="G89" s="29">
        <v>2170</v>
      </c>
      <c r="H89" s="29">
        <v>2147</v>
      </c>
      <c r="I89" s="29">
        <v>2139</v>
      </c>
      <c r="J89" s="29">
        <v>2098</v>
      </c>
      <c r="K89" s="29">
        <v>2059</v>
      </c>
      <c r="L89" s="29">
        <v>2055</v>
      </c>
      <c r="M89" s="29">
        <v>2054</v>
      </c>
      <c r="N89" s="29">
        <v>1980</v>
      </c>
      <c r="O89" s="29">
        <v>2020</v>
      </c>
      <c r="P89" s="29">
        <v>2035</v>
      </c>
      <c r="Q89" s="29">
        <v>2060</v>
      </c>
      <c r="R89" s="29">
        <v>2077</v>
      </c>
      <c r="S89" s="29">
        <v>2118</v>
      </c>
      <c r="T89" s="29">
        <v>2084</v>
      </c>
      <c r="U89" s="29">
        <v>2100</v>
      </c>
      <c r="V89" s="29">
        <v>2091</v>
      </c>
      <c r="W89" s="29">
        <v>2091</v>
      </c>
      <c r="X89" s="29">
        <v>2100</v>
      </c>
      <c r="Y89" s="29">
        <v>2128</v>
      </c>
      <c r="Z89" s="29">
        <v>2193</v>
      </c>
      <c r="AA89" s="29">
        <v>2140</v>
      </c>
      <c r="AB89" s="29">
        <v>2092</v>
      </c>
      <c r="AC89" s="29">
        <v>2073</v>
      </c>
      <c r="AD89" s="29">
        <v>2084</v>
      </c>
      <c r="AE89" s="29">
        <v>2114</v>
      </c>
      <c r="AF89" s="29">
        <v>2000</v>
      </c>
      <c r="AG89" s="29">
        <v>2046</v>
      </c>
      <c r="AH89" s="29">
        <v>2023</v>
      </c>
      <c r="AI89" s="29">
        <v>2065</v>
      </c>
      <c r="AJ89" s="29">
        <v>2115</v>
      </c>
      <c r="AK89" s="29">
        <v>2122</v>
      </c>
      <c r="AL89" s="29">
        <v>2144</v>
      </c>
      <c r="AM89" s="29">
        <v>2214</v>
      </c>
      <c r="AN89" s="29">
        <v>2040</v>
      </c>
      <c r="AO89" s="29">
        <v>2020</v>
      </c>
      <c r="AP89" s="29">
        <v>2121</v>
      </c>
      <c r="AQ89" s="29">
        <v>2160</v>
      </c>
      <c r="AR89" s="29">
        <v>2260</v>
      </c>
      <c r="AS89" s="29">
        <v>2328</v>
      </c>
      <c r="AT89" s="29">
        <v>2420</v>
      </c>
      <c r="AU89" s="29">
        <v>2227</v>
      </c>
      <c r="AV89" s="29">
        <v>2156</v>
      </c>
      <c r="AW89" s="29">
        <v>2181</v>
      </c>
      <c r="AX89" s="29">
        <v>2350</v>
      </c>
      <c r="AY89" s="29">
        <v>2378</v>
      </c>
      <c r="AZ89" s="29">
        <v>2541</v>
      </c>
      <c r="BA89" s="29">
        <v>2476</v>
      </c>
      <c r="BB89" s="29">
        <v>2469</v>
      </c>
      <c r="BC89" s="29">
        <v>2549</v>
      </c>
      <c r="BD89" s="29">
        <v>2677</v>
      </c>
      <c r="BE89" s="29">
        <v>2733</v>
      </c>
      <c r="BF89" s="29">
        <v>2640</v>
      </c>
      <c r="BG89" s="29">
        <v>2384</v>
      </c>
      <c r="BH89" s="29">
        <v>2093</v>
      </c>
      <c r="BI89" s="29">
        <v>2115</v>
      </c>
      <c r="BJ89" s="29">
        <v>1948</v>
      </c>
      <c r="BK89" s="29">
        <v>1970</v>
      </c>
      <c r="BL89" s="30">
        <v>2042</v>
      </c>
      <c r="BM89" s="1">
        <v>2001</v>
      </c>
      <c r="BN89" s="1">
        <v>2028</v>
      </c>
      <c r="BO89" s="1">
        <v>1989</v>
      </c>
      <c r="BP89" s="1">
        <v>2042</v>
      </c>
      <c r="BQ89" s="1">
        <v>2090</v>
      </c>
      <c r="BR89" s="1">
        <v>2100</v>
      </c>
      <c r="BS89" s="1">
        <v>2187</v>
      </c>
      <c r="BT89" s="1">
        <v>2221</v>
      </c>
      <c r="BU89" s="1">
        <v>2277</v>
      </c>
      <c r="BV89" s="1">
        <v>2254</v>
      </c>
      <c r="BW89" s="1">
        <v>2230</v>
      </c>
      <c r="BX89" s="1">
        <v>2291</v>
      </c>
      <c r="BY89" s="1">
        <v>2348</v>
      </c>
      <c r="BZ89" s="1">
        <v>2392</v>
      </c>
    </row>
    <row r="90" spans="1:254" ht="15.9" customHeight="1">
      <c r="A90" s="65" t="s">
        <v>175</v>
      </c>
      <c r="B90" s="25" t="s">
        <v>176</v>
      </c>
      <c r="C90" s="39">
        <f>_xll.RssMarket("6323","高値")</f>
        <v>4348</v>
      </c>
      <c r="D90" s="38">
        <f t="shared" si="2"/>
        <v>0</v>
      </c>
      <c r="E90" s="29">
        <v>4348</v>
      </c>
      <c r="F90" s="29">
        <v>4524</v>
      </c>
      <c r="G90" s="29">
        <v>4338</v>
      </c>
      <c r="H90" s="29">
        <v>4107</v>
      </c>
      <c r="I90" s="29">
        <v>4032</v>
      </c>
      <c r="J90" s="29">
        <v>3563</v>
      </c>
      <c r="K90" s="29">
        <v>3778</v>
      </c>
      <c r="L90" s="29">
        <v>4134</v>
      </c>
      <c r="M90" s="29">
        <v>4528</v>
      </c>
      <c r="N90" s="29">
        <v>4680</v>
      </c>
      <c r="O90" s="29">
        <v>4828</v>
      </c>
      <c r="P90" s="29">
        <v>4865</v>
      </c>
      <c r="Q90" s="29">
        <v>4455</v>
      </c>
      <c r="R90" s="29">
        <v>4428</v>
      </c>
      <c r="S90" s="29">
        <v>5149</v>
      </c>
      <c r="T90" s="29">
        <v>4623</v>
      </c>
      <c r="U90" s="29">
        <v>5023</v>
      </c>
      <c r="V90" s="29">
        <v>5121</v>
      </c>
      <c r="W90" s="29">
        <v>4659</v>
      </c>
      <c r="X90" s="29">
        <v>4480</v>
      </c>
      <c r="Y90" s="29">
        <v>4668</v>
      </c>
      <c r="Z90" s="29">
        <v>4953</v>
      </c>
      <c r="AA90" s="29">
        <v>4945</v>
      </c>
      <c r="AB90" s="29">
        <v>4882</v>
      </c>
      <c r="AC90" s="29">
        <v>5199</v>
      </c>
      <c r="AD90" s="29">
        <v>4912</v>
      </c>
      <c r="AE90" s="29">
        <v>4580</v>
      </c>
      <c r="AF90" s="29">
        <v>4839</v>
      </c>
      <c r="AG90" s="29">
        <v>4877</v>
      </c>
      <c r="AH90" s="29">
        <v>4699</v>
      </c>
      <c r="AI90" s="29">
        <v>5030</v>
      </c>
      <c r="AJ90" s="29">
        <v>5148</v>
      </c>
      <c r="AK90" s="29">
        <v>5048</v>
      </c>
      <c r="AL90" s="29">
        <v>4883</v>
      </c>
      <c r="AM90" s="29">
        <v>4580</v>
      </c>
      <c r="AN90" s="29">
        <v>4555</v>
      </c>
      <c r="AO90" s="29">
        <v>4519</v>
      </c>
      <c r="AP90" s="29">
        <v>4219</v>
      </c>
      <c r="AQ90" s="29">
        <v>3872</v>
      </c>
      <c r="AR90" s="29">
        <v>4019</v>
      </c>
      <c r="AS90" s="29">
        <v>4084</v>
      </c>
      <c r="AT90" s="29">
        <v>4289</v>
      </c>
      <c r="AU90" s="29">
        <v>4590</v>
      </c>
      <c r="AV90" s="29">
        <v>4314</v>
      </c>
      <c r="AW90" s="29">
        <v>3835</v>
      </c>
      <c r="AX90" s="29">
        <v>4097</v>
      </c>
      <c r="AY90" s="29">
        <v>3989</v>
      </c>
      <c r="AZ90" s="29">
        <v>4068</v>
      </c>
      <c r="BA90" s="29">
        <v>4114</v>
      </c>
      <c r="BB90" s="29">
        <v>3922</v>
      </c>
      <c r="BC90" s="29">
        <v>3807</v>
      </c>
      <c r="BD90" s="29">
        <v>3625</v>
      </c>
      <c r="BE90" s="29">
        <v>3713</v>
      </c>
      <c r="BF90" s="29">
        <v>3816</v>
      </c>
      <c r="BG90" s="29">
        <v>4157</v>
      </c>
      <c r="BH90" s="29">
        <v>4127</v>
      </c>
      <c r="BI90" s="29">
        <v>3986</v>
      </c>
      <c r="BJ90" s="29">
        <v>4210</v>
      </c>
      <c r="BK90" s="29">
        <v>4098</v>
      </c>
      <c r="BL90" s="30">
        <v>4024</v>
      </c>
      <c r="BM90" s="1">
        <v>3987</v>
      </c>
      <c r="BN90" s="1">
        <v>3816</v>
      </c>
      <c r="BO90" s="1">
        <v>3810</v>
      </c>
      <c r="BP90" s="1">
        <v>3944</v>
      </c>
      <c r="BQ90" s="1">
        <v>4000</v>
      </c>
      <c r="BR90" s="1">
        <v>3690</v>
      </c>
      <c r="BS90" s="1">
        <v>3736</v>
      </c>
      <c r="BT90" s="1">
        <v>3699</v>
      </c>
      <c r="BU90" s="1">
        <v>3784</v>
      </c>
      <c r="BV90" s="1">
        <v>3769</v>
      </c>
      <c r="BW90" s="1">
        <v>3782</v>
      </c>
      <c r="BX90" s="1">
        <v>3878</v>
      </c>
      <c r="BY90" s="1">
        <v>4028</v>
      </c>
      <c r="BZ90" s="1">
        <v>4090</v>
      </c>
    </row>
    <row r="91" spans="1:254" ht="15.9" customHeight="1">
      <c r="A91" s="65" t="s">
        <v>177</v>
      </c>
      <c r="B91" s="25" t="s">
        <v>178</v>
      </c>
      <c r="C91" s="39">
        <f>_xll.RssMarket("6501","高値")</f>
        <v>5595</v>
      </c>
      <c r="D91" s="38">
        <f t="shared" si="2"/>
        <v>0</v>
      </c>
      <c r="E91" s="29">
        <v>5595</v>
      </c>
      <c r="F91" s="29">
        <v>5498</v>
      </c>
      <c r="G91" s="29">
        <v>5527</v>
      </c>
      <c r="H91" s="29">
        <v>5336</v>
      </c>
      <c r="I91" s="29">
        <v>5362</v>
      </c>
      <c r="J91" s="29">
        <v>5267</v>
      </c>
      <c r="K91" s="29">
        <v>4993</v>
      </c>
      <c r="L91" s="29">
        <v>4946</v>
      </c>
      <c r="M91" s="29">
        <v>5034</v>
      </c>
      <c r="N91" s="29">
        <v>4873</v>
      </c>
      <c r="O91" s="29">
        <v>4889</v>
      </c>
      <c r="P91" s="29">
        <v>4872</v>
      </c>
      <c r="Q91" s="29">
        <v>4832</v>
      </c>
      <c r="R91" s="29">
        <v>4779</v>
      </c>
      <c r="S91" s="29">
        <v>4812</v>
      </c>
      <c r="T91" s="29">
        <v>4817</v>
      </c>
      <c r="U91" s="29">
        <v>4775</v>
      </c>
      <c r="V91" s="29">
        <v>4768</v>
      </c>
      <c r="W91" s="29">
        <v>4810</v>
      </c>
      <c r="X91" s="29">
        <v>4890</v>
      </c>
      <c r="Y91" s="29">
        <v>5004</v>
      </c>
      <c r="Z91" s="29">
        <v>4805</v>
      </c>
      <c r="AA91" s="29">
        <v>4713</v>
      </c>
      <c r="AB91" s="29">
        <v>4719</v>
      </c>
      <c r="AC91" s="29">
        <v>4555</v>
      </c>
      <c r="AD91" s="29">
        <v>4499</v>
      </c>
      <c r="AE91" s="29">
        <v>4541</v>
      </c>
      <c r="AF91" s="29">
        <v>4547</v>
      </c>
      <c r="AG91" s="29">
        <v>4717</v>
      </c>
      <c r="AH91" s="29">
        <v>4747</v>
      </c>
      <c r="AI91" s="29">
        <v>4948</v>
      </c>
      <c r="AJ91" s="29">
        <v>4914</v>
      </c>
      <c r="AK91" s="29">
        <v>4854</v>
      </c>
      <c r="AL91" s="29">
        <v>4805</v>
      </c>
      <c r="AM91" s="29">
        <v>4736</v>
      </c>
      <c r="AN91" s="29">
        <v>4798</v>
      </c>
      <c r="AO91" s="29">
        <v>4828</v>
      </c>
      <c r="AP91" s="29">
        <v>4740</v>
      </c>
      <c r="AQ91" s="29">
        <v>4679</v>
      </c>
      <c r="AR91" s="29">
        <v>4924</v>
      </c>
      <c r="AS91" s="29">
        <v>5148</v>
      </c>
      <c r="AT91" s="29">
        <v>5369</v>
      </c>
      <c r="AU91" s="29">
        <v>5215</v>
      </c>
      <c r="AV91" s="29">
        <v>5375</v>
      </c>
      <c r="AW91" s="29">
        <v>5140</v>
      </c>
      <c r="AX91" s="29">
        <v>5375</v>
      </c>
      <c r="AY91" s="29">
        <v>5194</v>
      </c>
      <c r="AZ91" s="29">
        <v>5108</v>
      </c>
      <c r="BA91" s="29">
        <v>5102</v>
      </c>
      <c r="BB91" s="29">
        <v>5153</v>
      </c>
      <c r="BC91" s="29">
        <v>5123</v>
      </c>
      <c r="BD91" s="29">
        <v>4934</v>
      </c>
      <c r="BE91" s="29">
        <v>5019</v>
      </c>
      <c r="BF91" s="29">
        <v>4818</v>
      </c>
      <c r="BG91" s="29">
        <v>4845</v>
      </c>
      <c r="BH91" s="29">
        <v>4736</v>
      </c>
      <c r="BI91" s="29">
        <v>4844</v>
      </c>
      <c r="BJ91" s="29">
        <v>4959</v>
      </c>
      <c r="BK91" s="29">
        <v>5012</v>
      </c>
      <c r="BL91" s="30">
        <v>4973</v>
      </c>
      <c r="BM91" s="1">
        <v>4981</v>
      </c>
      <c r="BN91" s="1">
        <v>4861</v>
      </c>
      <c r="BO91" s="1">
        <v>5018</v>
      </c>
      <c r="BP91" s="1">
        <v>5202</v>
      </c>
      <c r="BQ91" s="1">
        <v>5422</v>
      </c>
      <c r="BR91" s="1">
        <v>5235</v>
      </c>
      <c r="BS91" s="1">
        <v>5298</v>
      </c>
      <c r="BT91" s="1">
        <v>5138</v>
      </c>
      <c r="BU91" s="1">
        <v>5189</v>
      </c>
      <c r="BV91" s="1">
        <v>5257</v>
      </c>
      <c r="BW91" s="1">
        <v>5210</v>
      </c>
      <c r="BX91" s="1">
        <v>5274</v>
      </c>
      <c r="BY91" s="1">
        <v>5233</v>
      </c>
      <c r="BZ91" s="1">
        <v>4957</v>
      </c>
    </row>
    <row r="92" spans="1:254" ht="15.9" customHeight="1">
      <c r="A92" s="65" t="s">
        <v>179</v>
      </c>
      <c r="B92" s="25" t="s">
        <v>180</v>
      </c>
      <c r="C92" s="39">
        <f>_xll.RssMarket("6134","高値")</f>
        <v>8473</v>
      </c>
      <c r="D92" s="38">
        <f t="shared" si="2"/>
        <v>0</v>
      </c>
      <c r="E92" s="29">
        <v>8473</v>
      </c>
      <c r="F92" s="29">
        <v>8515</v>
      </c>
      <c r="G92" s="29">
        <v>8673</v>
      </c>
      <c r="H92" s="29">
        <v>7650</v>
      </c>
      <c r="I92" s="29">
        <v>7449</v>
      </c>
      <c r="J92" s="29">
        <v>6753</v>
      </c>
      <c r="K92" s="29">
        <v>6966</v>
      </c>
      <c r="L92" s="29">
        <v>7267</v>
      </c>
      <c r="M92" s="29">
        <v>7545</v>
      </c>
      <c r="N92" s="29">
        <v>7564</v>
      </c>
      <c r="O92" s="29">
        <v>7744</v>
      </c>
      <c r="P92" s="29">
        <v>7730</v>
      </c>
      <c r="Q92" s="29">
        <v>7510</v>
      </c>
      <c r="R92" s="29">
        <v>7421</v>
      </c>
      <c r="S92" s="29">
        <v>8040</v>
      </c>
      <c r="T92" s="29">
        <v>7713</v>
      </c>
      <c r="U92" s="29">
        <v>8272</v>
      </c>
      <c r="V92" s="29">
        <v>8474</v>
      </c>
      <c r="W92" s="29">
        <v>7863</v>
      </c>
      <c r="X92" s="29">
        <v>7903</v>
      </c>
      <c r="Y92" s="29">
        <v>8550</v>
      </c>
      <c r="Z92" s="29">
        <v>8924</v>
      </c>
      <c r="AA92" s="29">
        <v>8748</v>
      </c>
      <c r="AB92" s="29">
        <v>8677</v>
      </c>
      <c r="AC92" s="29">
        <v>8943</v>
      </c>
      <c r="AD92" s="29">
        <v>8550</v>
      </c>
      <c r="AE92" s="29">
        <v>8012</v>
      </c>
      <c r="AF92" s="29">
        <v>8410</v>
      </c>
      <c r="AG92" s="29">
        <v>8585</v>
      </c>
      <c r="AH92" s="29">
        <v>8394</v>
      </c>
      <c r="AI92" s="29">
        <v>8629</v>
      </c>
      <c r="AJ92" s="29">
        <v>8740</v>
      </c>
      <c r="AK92" s="29">
        <v>8737</v>
      </c>
      <c r="AL92" s="29">
        <v>8700</v>
      </c>
      <c r="AM92" s="29">
        <v>8377</v>
      </c>
      <c r="AN92" s="29">
        <v>8382</v>
      </c>
      <c r="AO92" s="29">
        <v>8324</v>
      </c>
      <c r="AP92" s="29">
        <v>7848</v>
      </c>
      <c r="AQ92" s="29">
        <v>7494</v>
      </c>
      <c r="AR92" s="29">
        <v>7600</v>
      </c>
      <c r="AS92" s="29">
        <v>7291</v>
      </c>
      <c r="AT92" s="29">
        <v>7835</v>
      </c>
      <c r="AU92" s="29">
        <v>7860</v>
      </c>
      <c r="AV92" s="29">
        <v>8205</v>
      </c>
      <c r="AW92" s="29">
        <v>8063</v>
      </c>
      <c r="AX92" s="29">
        <v>8256</v>
      </c>
      <c r="AY92" s="29">
        <v>8008</v>
      </c>
      <c r="AZ92" s="29">
        <v>8449</v>
      </c>
      <c r="BA92" s="29">
        <v>8530</v>
      </c>
      <c r="BB92" s="29">
        <v>8073</v>
      </c>
      <c r="BC92" s="29">
        <v>7899</v>
      </c>
      <c r="BD92" s="29">
        <v>7653</v>
      </c>
      <c r="BE92" s="29">
        <v>7923</v>
      </c>
      <c r="BF92" s="29">
        <v>8146</v>
      </c>
      <c r="BG92" s="29">
        <v>8701</v>
      </c>
      <c r="BH92" s="29">
        <v>7538</v>
      </c>
      <c r="BI92" s="29">
        <v>7030</v>
      </c>
      <c r="BJ92" s="29">
        <v>6987</v>
      </c>
      <c r="BK92" s="29">
        <v>6799</v>
      </c>
      <c r="BL92" s="30">
        <v>6635</v>
      </c>
      <c r="BM92" s="1">
        <v>6346</v>
      </c>
      <c r="BN92" s="1">
        <v>6134</v>
      </c>
      <c r="BO92" s="1">
        <v>6084</v>
      </c>
      <c r="BP92" s="1">
        <v>6063</v>
      </c>
      <c r="BQ92" s="1">
        <v>6083</v>
      </c>
      <c r="BR92" s="1">
        <v>5912</v>
      </c>
      <c r="BS92" s="1">
        <v>5931</v>
      </c>
      <c r="BT92" s="1">
        <v>5988</v>
      </c>
      <c r="BU92" s="1">
        <v>5980</v>
      </c>
      <c r="BV92" s="1">
        <v>5809</v>
      </c>
      <c r="BW92" s="1">
        <v>5806</v>
      </c>
      <c r="BX92" s="1">
        <v>5867</v>
      </c>
      <c r="BY92" s="1">
        <v>5933</v>
      </c>
      <c r="BZ92" s="1">
        <v>5810</v>
      </c>
    </row>
    <row r="93" spans="1:254" ht="15.9" customHeight="1">
      <c r="A93" s="65" t="s">
        <v>181</v>
      </c>
      <c r="B93" s="25" t="s">
        <v>182</v>
      </c>
      <c r="C93" s="39">
        <f>_xll.RssMarket("7746","高値")</f>
        <v>737</v>
      </c>
      <c r="D93" s="38">
        <f t="shared" si="2"/>
        <v>0</v>
      </c>
      <c r="E93" s="29">
        <v>737</v>
      </c>
      <c r="F93" s="29">
        <v>755</v>
      </c>
      <c r="G93" s="29">
        <v>741</v>
      </c>
      <c r="H93" s="29">
        <v>728</v>
      </c>
      <c r="I93" s="29">
        <v>725</v>
      </c>
      <c r="J93" s="29">
        <v>721</v>
      </c>
      <c r="K93" s="29">
        <v>734</v>
      </c>
      <c r="L93" s="29">
        <v>763</v>
      </c>
      <c r="M93" s="29">
        <v>781</v>
      </c>
      <c r="N93" s="29">
        <v>797</v>
      </c>
      <c r="O93" s="29">
        <v>768</v>
      </c>
      <c r="P93" s="29">
        <v>782</v>
      </c>
      <c r="Q93" s="29">
        <v>832</v>
      </c>
      <c r="R93" s="29">
        <v>810</v>
      </c>
      <c r="S93" s="29">
        <v>808</v>
      </c>
      <c r="T93" s="29">
        <v>798</v>
      </c>
      <c r="U93" s="29">
        <v>793</v>
      </c>
      <c r="V93" s="29">
        <v>794</v>
      </c>
      <c r="W93" s="29">
        <v>792</v>
      </c>
      <c r="X93" s="29">
        <v>809</v>
      </c>
      <c r="Y93" s="29">
        <v>852</v>
      </c>
      <c r="Z93" s="29">
        <v>870</v>
      </c>
      <c r="AA93" s="29">
        <v>872</v>
      </c>
      <c r="AB93" s="29">
        <v>902</v>
      </c>
      <c r="AC93" s="29">
        <v>916</v>
      </c>
      <c r="AD93" s="29">
        <v>970</v>
      </c>
      <c r="AE93" s="29">
        <v>997</v>
      </c>
      <c r="AF93" s="29">
        <v>908</v>
      </c>
      <c r="AG93" s="29">
        <v>776</v>
      </c>
      <c r="AH93" s="29">
        <v>774</v>
      </c>
      <c r="AI93" s="29">
        <v>798</v>
      </c>
      <c r="AJ93" s="29">
        <v>822</v>
      </c>
      <c r="AK93" s="29">
        <v>822</v>
      </c>
      <c r="AL93" s="29">
        <v>844</v>
      </c>
      <c r="AM93" s="29">
        <v>857</v>
      </c>
      <c r="AN93" s="29">
        <v>897</v>
      </c>
      <c r="AO93" s="29">
        <v>856</v>
      </c>
      <c r="AP93" s="29">
        <v>745</v>
      </c>
      <c r="AQ93" s="29">
        <v>782</v>
      </c>
      <c r="AR93" s="29">
        <v>729</v>
      </c>
      <c r="AS93" s="29">
        <v>769</v>
      </c>
      <c r="AT93" s="29">
        <v>793</v>
      </c>
      <c r="AU93" s="29">
        <v>786</v>
      </c>
      <c r="AV93" s="29">
        <v>815</v>
      </c>
      <c r="AW93" s="29">
        <v>803</v>
      </c>
      <c r="AX93" s="29">
        <v>900</v>
      </c>
      <c r="AY93" s="29">
        <v>866</v>
      </c>
      <c r="AZ93" s="29">
        <v>909</v>
      </c>
      <c r="BA93" s="29">
        <v>939</v>
      </c>
      <c r="BB93" s="29">
        <v>918</v>
      </c>
      <c r="BC93" s="29">
        <v>1034</v>
      </c>
      <c r="BD93" s="29">
        <v>1090</v>
      </c>
      <c r="BE93" s="29">
        <v>1054</v>
      </c>
      <c r="BF93" s="29">
        <v>904</v>
      </c>
      <c r="BG93" s="29">
        <v>779</v>
      </c>
      <c r="BH93" s="29">
        <v>825</v>
      </c>
      <c r="BI93" s="29">
        <v>825</v>
      </c>
      <c r="BJ93" s="29">
        <v>817</v>
      </c>
      <c r="BK93" s="29">
        <v>884</v>
      </c>
      <c r="BL93" s="30">
        <v>885</v>
      </c>
      <c r="BM93" s="1">
        <v>873</v>
      </c>
      <c r="BN93" s="1">
        <v>849</v>
      </c>
      <c r="BO93" s="1">
        <v>930</v>
      </c>
      <c r="BP93" s="1">
        <v>940</v>
      </c>
      <c r="BQ93" s="1">
        <v>955</v>
      </c>
      <c r="BR93" s="1">
        <v>983</v>
      </c>
      <c r="BS93" s="1">
        <v>1024</v>
      </c>
      <c r="BT93" s="1">
        <v>1008</v>
      </c>
      <c r="BU93" s="1">
        <v>1048</v>
      </c>
      <c r="BV93" s="1">
        <v>1082</v>
      </c>
      <c r="BW93" s="1">
        <v>962</v>
      </c>
      <c r="BX93" s="1">
        <v>1000</v>
      </c>
      <c r="BY93" s="1">
        <v>1003</v>
      </c>
      <c r="BZ93" s="1">
        <v>1003</v>
      </c>
    </row>
    <row r="94" spans="1:254" ht="15.9" customHeight="1">
      <c r="A94" s="65" t="s">
        <v>183</v>
      </c>
      <c r="B94" s="25" t="s">
        <v>184</v>
      </c>
      <c r="C94" s="39">
        <f>_xll.RssMarket("3407","高値")</f>
        <v>1666</v>
      </c>
      <c r="D94" s="38">
        <f t="shared" si="2"/>
        <v>0</v>
      </c>
      <c r="E94" s="29">
        <v>1666</v>
      </c>
      <c r="F94" s="29">
        <v>1639.5</v>
      </c>
      <c r="G94" s="29">
        <v>1641</v>
      </c>
      <c r="H94" s="29">
        <v>1713.5</v>
      </c>
      <c r="I94" s="29">
        <v>1895</v>
      </c>
      <c r="J94" s="29">
        <v>1818.5</v>
      </c>
      <c r="K94" s="29">
        <v>1830.5</v>
      </c>
      <c r="L94" s="29">
        <v>1855.5</v>
      </c>
      <c r="M94" s="29">
        <v>1878.5</v>
      </c>
      <c r="N94" s="29">
        <v>1862.5</v>
      </c>
      <c r="O94" s="29">
        <v>1877.5</v>
      </c>
      <c r="P94" s="29">
        <v>1886.5</v>
      </c>
      <c r="Q94" s="29">
        <v>1863.5</v>
      </c>
      <c r="R94" s="29">
        <v>1866.5</v>
      </c>
      <c r="S94" s="29">
        <v>1905</v>
      </c>
      <c r="T94" s="29">
        <v>1876</v>
      </c>
      <c r="U94" s="29">
        <v>1868.5</v>
      </c>
      <c r="V94" s="29">
        <v>1871.5</v>
      </c>
      <c r="W94" s="29">
        <v>1884</v>
      </c>
      <c r="X94" s="29">
        <v>1893</v>
      </c>
      <c r="Y94" s="29">
        <v>1900</v>
      </c>
      <c r="Z94" s="29">
        <v>1906</v>
      </c>
      <c r="AA94" s="29">
        <v>1849</v>
      </c>
      <c r="AB94" s="29">
        <v>1803.5</v>
      </c>
      <c r="AC94" s="29">
        <v>1801</v>
      </c>
      <c r="AD94" s="29">
        <v>1807.5</v>
      </c>
      <c r="AE94" s="29">
        <v>1815</v>
      </c>
      <c r="AF94" s="29">
        <v>1824</v>
      </c>
      <c r="AG94" s="29">
        <v>1826</v>
      </c>
      <c r="AH94" s="29">
        <v>1807</v>
      </c>
      <c r="AI94" s="29">
        <v>1822.5</v>
      </c>
      <c r="AJ94" s="29">
        <v>1837</v>
      </c>
      <c r="AK94" s="29">
        <v>1813</v>
      </c>
      <c r="AL94" s="29">
        <v>1811.5</v>
      </c>
      <c r="AM94" s="29">
        <v>1790</v>
      </c>
      <c r="AN94" s="29">
        <v>1768</v>
      </c>
      <c r="AO94" s="29">
        <v>1834.5</v>
      </c>
      <c r="AP94" s="29">
        <v>1812</v>
      </c>
      <c r="AQ94" s="29">
        <v>1770</v>
      </c>
      <c r="AR94" s="29">
        <v>1770</v>
      </c>
      <c r="AS94" s="29">
        <v>1785</v>
      </c>
      <c r="AT94" s="29">
        <v>1803.5</v>
      </c>
      <c r="AU94" s="29">
        <v>1787.5</v>
      </c>
      <c r="AV94" s="29">
        <v>1783.5</v>
      </c>
      <c r="AW94" s="29">
        <v>1773.5</v>
      </c>
      <c r="AX94" s="29">
        <v>1802.5</v>
      </c>
      <c r="AY94" s="29">
        <v>1760</v>
      </c>
      <c r="AZ94" s="29">
        <v>1777.5</v>
      </c>
      <c r="BA94" s="29">
        <v>1792</v>
      </c>
      <c r="BB94" s="29">
        <v>1727</v>
      </c>
      <c r="BC94" s="29">
        <v>1740</v>
      </c>
      <c r="BD94" s="29">
        <v>1699</v>
      </c>
      <c r="BE94" s="29">
        <v>1703.5</v>
      </c>
      <c r="BF94" s="29">
        <v>1714</v>
      </c>
      <c r="BG94" s="29">
        <v>1742</v>
      </c>
      <c r="BH94" s="29">
        <v>1758.5</v>
      </c>
      <c r="BI94" s="29">
        <v>1759.5</v>
      </c>
      <c r="BJ94" s="29">
        <v>1664</v>
      </c>
      <c r="BK94" s="29">
        <v>1546.5</v>
      </c>
      <c r="BL94" s="30">
        <v>1543</v>
      </c>
      <c r="BM94" s="1">
        <v>1581</v>
      </c>
      <c r="BN94" s="1">
        <v>1527.5</v>
      </c>
      <c r="BO94" s="1">
        <v>1538</v>
      </c>
      <c r="BP94" s="1">
        <v>1549</v>
      </c>
      <c r="BQ94" s="1">
        <v>1535.5</v>
      </c>
      <c r="BR94" s="1">
        <v>1545</v>
      </c>
      <c r="BS94" s="1">
        <v>1533</v>
      </c>
      <c r="BT94" s="1">
        <v>1551.5</v>
      </c>
      <c r="BU94" s="1">
        <v>1578</v>
      </c>
      <c r="BV94" s="1">
        <v>1605.5</v>
      </c>
      <c r="BW94" s="1">
        <v>1618</v>
      </c>
      <c r="BX94" s="1">
        <v>1620</v>
      </c>
      <c r="BY94" s="1">
        <v>1630.5</v>
      </c>
      <c r="BZ94" s="1">
        <v>1635</v>
      </c>
    </row>
    <row r="95" spans="1:254" ht="15.9" customHeight="1">
      <c r="A95" s="65" t="s">
        <v>185</v>
      </c>
      <c r="B95" s="25" t="s">
        <v>186</v>
      </c>
      <c r="C95" s="39">
        <f>_xll.RssMarket("4008","高値")</f>
        <v>1530</v>
      </c>
      <c r="D95" s="38">
        <f t="shared" si="2"/>
        <v>0</v>
      </c>
      <c r="E95" s="40">
        <v>1530</v>
      </c>
      <c r="F95" s="40">
        <v>1266</v>
      </c>
      <c r="G95" s="40">
        <v>1249</v>
      </c>
      <c r="H95" s="40">
        <v>1244</v>
      </c>
      <c r="I95" s="29">
        <v>1246</v>
      </c>
      <c r="J95" s="29">
        <v>1237</v>
      </c>
      <c r="K95" s="29">
        <v>1247</v>
      </c>
      <c r="L95" s="29">
        <v>1297</v>
      </c>
      <c r="M95" s="29">
        <v>1302</v>
      </c>
      <c r="N95" s="29"/>
      <c r="O95" s="29">
        <v>1307</v>
      </c>
      <c r="P95" s="29">
        <v>1318</v>
      </c>
      <c r="Q95" s="29">
        <v>1286</v>
      </c>
      <c r="R95" s="29">
        <v>1274</v>
      </c>
      <c r="S95" s="29">
        <v>1318</v>
      </c>
      <c r="T95" s="29">
        <v>1287</v>
      </c>
      <c r="U95" s="29">
        <v>1288</v>
      </c>
      <c r="V95" s="29">
        <v>1295</v>
      </c>
      <c r="W95" s="29">
        <v>1307</v>
      </c>
      <c r="X95" s="29">
        <v>1319</v>
      </c>
      <c r="Y95" s="29">
        <v>1353</v>
      </c>
      <c r="Z95" s="29">
        <v>1398</v>
      </c>
      <c r="AA95" s="29">
        <v>1384</v>
      </c>
      <c r="AB95" s="29">
        <v>1318</v>
      </c>
      <c r="AC95" s="29">
        <v>1299</v>
      </c>
      <c r="AD95" s="29">
        <v>1296</v>
      </c>
      <c r="AE95" s="29">
        <v>1302</v>
      </c>
      <c r="AF95" s="29">
        <v>1305</v>
      </c>
      <c r="AG95" s="29">
        <v>1302</v>
      </c>
      <c r="AH95" s="29">
        <v>1289</v>
      </c>
      <c r="AI95" s="29">
        <v>1326</v>
      </c>
      <c r="AJ95" s="29">
        <v>1342</v>
      </c>
      <c r="AK95" s="29">
        <v>1342</v>
      </c>
      <c r="AL95" s="29">
        <v>1337</v>
      </c>
      <c r="AM95" s="29">
        <v>1335</v>
      </c>
      <c r="AN95" s="29">
        <v>1329</v>
      </c>
      <c r="AO95" s="29">
        <v>1334</v>
      </c>
      <c r="AP95" s="29">
        <v>1307</v>
      </c>
      <c r="AQ95" s="29">
        <v>1256</v>
      </c>
      <c r="AR95" s="29">
        <v>1279</v>
      </c>
      <c r="AS95" s="29">
        <v>1267</v>
      </c>
      <c r="AT95" s="29">
        <v>1289</v>
      </c>
      <c r="AU95" s="29">
        <v>1301</v>
      </c>
      <c r="AV95" s="29">
        <v>1317</v>
      </c>
      <c r="AW95" s="29">
        <v>1292</v>
      </c>
      <c r="AX95" s="29">
        <v>1346</v>
      </c>
      <c r="AY95" s="29">
        <v>1326</v>
      </c>
      <c r="AZ95" s="29">
        <v>1319</v>
      </c>
      <c r="BA95" s="29">
        <v>1307</v>
      </c>
      <c r="BB95" s="29">
        <v>1286</v>
      </c>
      <c r="BC95" s="29">
        <v>1256</v>
      </c>
      <c r="BD95" s="29">
        <v>1223</v>
      </c>
      <c r="BE95" s="29">
        <v>1255</v>
      </c>
      <c r="BF95" s="29">
        <v>1283</v>
      </c>
      <c r="BG95" s="29">
        <v>1260</v>
      </c>
      <c r="BH95" s="29">
        <v>1266</v>
      </c>
      <c r="BI95" s="29">
        <v>1260</v>
      </c>
      <c r="BJ95" s="29">
        <v>1250</v>
      </c>
      <c r="BK95" s="29">
        <v>1222</v>
      </c>
      <c r="BL95" s="30">
        <v>1215</v>
      </c>
      <c r="BM95" s="1">
        <v>1227</v>
      </c>
      <c r="BN95" s="1">
        <v>1201</v>
      </c>
      <c r="BO95" s="1">
        <v>1203</v>
      </c>
      <c r="BP95" s="1">
        <v>1207</v>
      </c>
      <c r="BQ95" s="1">
        <v>1198</v>
      </c>
      <c r="BR95" s="1">
        <v>1212</v>
      </c>
      <c r="BS95" s="1">
        <v>1200</v>
      </c>
      <c r="BT95" s="1">
        <v>1245</v>
      </c>
      <c r="BU95" s="1">
        <v>1277</v>
      </c>
      <c r="BV95" s="1">
        <v>1282</v>
      </c>
      <c r="BW95" s="1">
        <v>1279</v>
      </c>
      <c r="BX95" s="1">
        <v>1290</v>
      </c>
      <c r="BY95" s="1">
        <v>1299</v>
      </c>
      <c r="BZ95" s="1">
        <v>1276</v>
      </c>
    </row>
    <row r="96" spans="1:254" ht="15.9" customHeight="1">
      <c r="A96" s="65" t="s">
        <v>187</v>
      </c>
      <c r="B96" s="25" t="s">
        <v>188</v>
      </c>
      <c r="C96" s="39">
        <f>_xll.RssMarket("4062","高値")</f>
        <v>20300</v>
      </c>
      <c r="D96" s="38">
        <f t="shared" si="2"/>
        <v>0</v>
      </c>
      <c r="E96" s="34">
        <v>20300</v>
      </c>
      <c r="F96" s="34">
        <v>20330</v>
      </c>
      <c r="G96" s="29">
        <v>16570</v>
      </c>
      <c r="H96" s="29">
        <v>16295</v>
      </c>
      <c r="I96" s="29">
        <v>16650</v>
      </c>
      <c r="J96" s="29">
        <v>14700</v>
      </c>
      <c r="K96" s="29">
        <v>15340</v>
      </c>
      <c r="L96" s="29">
        <v>15590</v>
      </c>
      <c r="M96" s="29">
        <v>17495</v>
      </c>
      <c r="N96" s="29">
        <v>18770</v>
      </c>
      <c r="O96" s="29">
        <v>18650</v>
      </c>
      <c r="P96" s="29">
        <v>19820</v>
      </c>
      <c r="Q96" s="29">
        <v>17415</v>
      </c>
      <c r="R96" s="29">
        <v>16790</v>
      </c>
      <c r="S96" s="29">
        <v>19455</v>
      </c>
      <c r="T96" s="29">
        <v>18685</v>
      </c>
      <c r="U96" s="29">
        <v>20465</v>
      </c>
      <c r="V96" s="29">
        <v>20670</v>
      </c>
      <c r="W96" s="29">
        <v>20515</v>
      </c>
      <c r="X96" s="29">
        <v>20485</v>
      </c>
      <c r="Y96" s="29">
        <v>21620</v>
      </c>
      <c r="Z96" s="29">
        <v>23595</v>
      </c>
      <c r="AA96" s="29">
        <v>23545</v>
      </c>
      <c r="AB96" s="29">
        <v>24385</v>
      </c>
      <c r="AC96" s="29">
        <v>27480</v>
      </c>
      <c r="AD96" s="29">
        <v>24555</v>
      </c>
      <c r="AE96" s="29">
        <v>24070</v>
      </c>
      <c r="AF96" s="29">
        <v>26805</v>
      </c>
      <c r="AG96" s="29">
        <v>26600</v>
      </c>
      <c r="AH96" s="29">
        <v>26010</v>
      </c>
      <c r="AI96" s="29">
        <v>26950</v>
      </c>
      <c r="AJ96" s="29">
        <v>27285</v>
      </c>
      <c r="AK96" s="29">
        <v>27020</v>
      </c>
      <c r="AL96" s="29">
        <v>26390</v>
      </c>
      <c r="AM96" s="29">
        <v>24080</v>
      </c>
      <c r="AN96" s="29">
        <v>23640</v>
      </c>
      <c r="AO96" s="29">
        <v>22800</v>
      </c>
      <c r="AP96" s="29">
        <v>20050</v>
      </c>
      <c r="AQ96" s="29">
        <v>18410</v>
      </c>
      <c r="AR96" s="29">
        <v>18375</v>
      </c>
      <c r="AS96" s="29">
        <v>17550</v>
      </c>
      <c r="AT96" s="29">
        <v>19165</v>
      </c>
      <c r="AU96" s="29">
        <v>21865</v>
      </c>
      <c r="AV96" s="29">
        <v>22430</v>
      </c>
      <c r="AW96" s="29">
        <v>22670</v>
      </c>
      <c r="AX96" s="29">
        <v>23000</v>
      </c>
      <c r="AY96" s="29">
        <v>20845</v>
      </c>
      <c r="AZ96" s="29">
        <v>21610</v>
      </c>
      <c r="BA96" s="29">
        <v>21275</v>
      </c>
      <c r="BB96" s="29">
        <v>19340</v>
      </c>
      <c r="BC96" s="29">
        <v>18225</v>
      </c>
      <c r="BD96" s="29">
        <v>15665</v>
      </c>
      <c r="BE96" s="29">
        <v>16130</v>
      </c>
      <c r="BF96" s="29">
        <v>15710</v>
      </c>
      <c r="BG96" s="29">
        <v>17435</v>
      </c>
      <c r="BH96" s="29">
        <v>18000</v>
      </c>
      <c r="BI96" s="29">
        <v>17270</v>
      </c>
      <c r="BJ96" s="29">
        <v>18365</v>
      </c>
      <c r="BK96" s="29">
        <v>16080</v>
      </c>
      <c r="BL96" s="30">
        <v>15605</v>
      </c>
      <c r="BM96" s="1">
        <v>16375</v>
      </c>
      <c r="BN96" s="1">
        <v>13640</v>
      </c>
      <c r="BO96" s="1">
        <v>13870</v>
      </c>
      <c r="BP96" s="1">
        <v>12980</v>
      </c>
      <c r="BQ96" s="1">
        <v>13130</v>
      </c>
      <c r="BR96" s="1">
        <v>12830</v>
      </c>
      <c r="BS96" s="1">
        <v>11515</v>
      </c>
      <c r="BT96" s="1">
        <v>11200</v>
      </c>
      <c r="BU96" s="1">
        <v>10560</v>
      </c>
      <c r="BV96" s="1">
        <v>9624</v>
      </c>
      <c r="BW96" s="1">
        <v>9468</v>
      </c>
      <c r="BX96" s="1">
        <v>9648</v>
      </c>
      <c r="BY96" s="1">
        <v>10110</v>
      </c>
      <c r="BZ96" s="1">
        <v>9997</v>
      </c>
    </row>
    <row r="97" spans="1:254" ht="15.9" customHeight="1">
      <c r="A97" s="65" t="s">
        <v>189</v>
      </c>
      <c r="B97" s="25" t="s">
        <v>190</v>
      </c>
      <c r="C97" s="39">
        <f>_xll.RssMarket("4182","高値")</f>
        <v>4736</v>
      </c>
      <c r="D97" s="38">
        <f t="shared" si="2"/>
        <v>0</v>
      </c>
      <c r="E97" s="34">
        <v>4736</v>
      </c>
      <c r="F97" s="34">
        <v>4720</v>
      </c>
      <c r="G97" s="29">
        <v>4366</v>
      </c>
      <c r="H97" s="29">
        <v>4291</v>
      </c>
      <c r="I97" s="29">
        <v>4426</v>
      </c>
      <c r="J97" s="29">
        <v>3970</v>
      </c>
      <c r="K97" s="29">
        <v>4047</v>
      </c>
      <c r="L97" s="29">
        <v>4205</v>
      </c>
      <c r="M97" s="29">
        <v>4435</v>
      </c>
      <c r="N97" s="29">
        <v>4528</v>
      </c>
      <c r="O97" s="29">
        <v>4615</v>
      </c>
      <c r="P97" s="29">
        <v>4687</v>
      </c>
      <c r="Q97" s="29">
        <v>4462</v>
      </c>
      <c r="R97" s="29">
        <v>4480</v>
      </c>
      <c r="S97" s="29">
        <v>4783</v>
      </c>
      <c r="T97" s="29">
        <v>4650</v>
      </c>
      <c r="U97" s="29">
        <v>4787</v>
      </c>
      <c r="V97" s="29">
        <v>4795</v>
      </c>
      <c r="W97" s="29">
        <v>4710</v>
      </c>
      <c r="X97" s="29">
        <v>4738</v>
      </c>
      <c r="Y97" s="29">
        <v>4887</v>
      </c>
      <c r="Z97" s="29">
        <v>4985</v>
      </c>
      <c r="AA97" s="29">
        <v>4973</v>
      </c>
      <c r="AB97" s="29">
        <v>5029</v>
      </c>
      <c r="AC97" s="29">
        <v>5215</v>
      </c>
      <c r="AD97" s="29">
        <v>5160</v>
      </c>
      <c r="AE97" s="29">
        <v>5171</v>
      </c>
      <c r="AF97" s="29">
        <v>5335</v>
      </c>
      <c r="AG97" s="29">
        <v>5375</v>
      </c>
      <c r="AH97" s="29">
        <v>5360</v>
      </c>
      <c r="AI97" s="29">
        <v>5699</v>
      </c>
      <c r="AJ97" s="29">
        <v>5738</v>
      </c>
      <c r="AK97" s="29">
        <v>5585</v>
      </c>
      <c r="AL97" s="29">
        <v>5398</v>
      </c>
      <c r="AM97" s="29">
        <v>5174</v>
      </c>
      <c r="AN97" s="29">
        <v>5166</v>
      </c>
      <c r="AO97" s="29">
        <v>5186</v>
      </c>
      <c r="AP97" s="29">
        <v>5076</v>
      </c>
      <c r="AQ97" s="29">
        <v>4488</v>
      </c>
      <c r="AR97" s="29">
        <v>4621</v>
      </c>
      <c r="AS97" s="29">
        <v>4857</v>
      </c>
      <c r="AT97" s="29">
        <v>5211</v>
      </c>
      <c r="AU97" s="29">
        <v>5364</v>
      </c>
      <c r="AV97" s="29">
        <v>5492</v>
      </c>
      <c r="AW97" s="29">
        <v>5414</v>
      </c>
      <c r="AX97" s="29">
        <v>5626</v>
      </c>
      <c r="AY97" s="29">
        <v>5453</v>
      </c>
      <c r="AZ97" s="29">
        <v>5521</v>
      </c>
      <c r="BA97" s="29">
        <v>5392</v>
      </c>
      <c r="BB97" s="29">
        <v>5147</v>
      </c>
      <c r="BC97" s="29">
        <v>5081</v>
      </c>
      <c r="BD97" s="29">
        <v>4660</v>
      </c>
      <c r="BE97" s="29">
        <v>4668</v>
      </c>
      <c r="BF97" s="29">
        <v>4656</v>
      </c>
      <c r="BG97" s="29">
        <v>4943</v>
      </c>
      <c r="BH97" s="29">
        <v>5237</v>
      </c>
      <c r="BI97" s="29">
        <v>4933</v>
      </c>
      <c r="BJ97" s="29">
        <v>4945</v>
      </c>
      <c r="BK97" s="29">
        <v>4739</v>
      </c>
      <c r="BL97" s="30">
        <v>4643</v>
      </c>
      <c r="BM97" s="1">
        <v>4732</v>
      </c>
      <c r="BN97" s="1">
        <v>4433</v>
      </c>
      <c r="BO97" s="1">
        <v>4427</v>
      </c>
      <c r="BP97" s="1">
        <v>4410</v>
      </c>
      <c r="BQ97" s="1">
        <v>4410</v>
      </c>
      <c r="BR97" s="1">
        <v>4445</v>
      </c>
      <c r="BS97" s="1">
        <v>4363</v>
      </c>
      <c r="BT97" s="1">
        <v>4367</v>
      </c>
      <c r="BU97" s="1">
        <v>4389</v>
      </c>
      <c r="BV97" s="1">
        <v>4354</v>
      </c>
      <c r="BW97" s="1">
        <v>4249</v>
      </c>
      <c r="BX97" s="1">
        <v>4260</v>
      </c>
      <c r="BY97" s="1">
        <v>4335</v>
      </c>
      <c r="BZ97" s="1">
        <v>4268</v>
      </c>
    </row>
    <row r="98" spans="1:254" ht="15.9" customHeight="1">
      <c r="A98" s="65" t="s">
        <v>191</v>
      </c>
      <c r="B98" s="25" t="s">
        <v>192</v>
      </c>
      <c r="C98" s="39">
        <f>_xll.RssMarket("4188","高値")</f>
        <v>1191.5</v>
      </c>
      <c r="D98" s="38">
        <f t="shared" si="2"/>
        <v>0</v>
      </c>
      <c r="E98" s="34">
        <v>1191.5</v>
      </c>
      <c r="F98" s="34">
        <v>1164</v>
      </c>
      <c r="G98" s="29">
        <v>1145</v>
      </c>
      <c r="H98" s="29">
        <v>1170.5</v>
      </c>
      <c r="I98" s="29">
        <v>1211</v>
      </c>
      <c r="J98" s="29">
        <v>1156.5</v>
      </c>
      <c r="K98" s="29">
        <v>1179</v>
      </c>
      <c r="L98" s="29">
        <v>1205.5</v>
      </c>
      <c r="M98" s="29">
        <v>1232.5</v>
      </c>
      <c r="N98" s="29"/>
      <c r="O98" s="29">
        <v>1222</v>
      </c>
      <c r="P98" s="29">
        <v>1220</v>
      </c>
      <c r="Q98" s="29">
        <v>1200</v>
      </c>
      <c r="R98" s="29">
        <v>1196.5</v>
      </c>
      <c r="S98" s="29">
        <v>1228.5</v>
      </c>
      <c r="T98" s="29">
        <v>1205</v>
      </c>
      <c r="U98" s="29">
        <v>1182.5</v>
      </c>
      <c r="V98" s="29">
        <v>1194.5</v>
      </c>
      <c r="W98" s="29">
        <v>1176.5</v>
      </c>
      <c r="X98" s="29">
        <v>1195</v>
      </c>
      <c r="Y98" s="29">
        <v>1204.5</v>
      </c>
      <c r="Z98" s="29">
        <v>1207.5</v>
      </c>
      <c r="AA98" s="29">
        <v>1175.5</v>
      </c>
      <c r="AB98" s="29">
        <v>1140</v>
      </c>
      <c r="AC98" s="29">
        <v>1144</v>
      </c>
      <c r="AD98" s="29">
        <v>1144</v>
      </c>
      <c r="AE98" s="29">
        <v>1139.5</v>
      </c>
      <c r="AF98" s="29">
        <v>1110</v>
      </c>
      <c r="AG98" s="29">
        <v>1113.5</v>
      </c>
      <c r="AH98" s="29">
        <v>1090.5</v>
      </c>
      <c r="AI98" s="29">
        <v>1104.5</v>
      </c>
      <c r="AJ98" s="29">
        <v>1111</v>
      </c>
      <c r="AK98" s="29">
        <v>1132.5</v>
      </c>
      <c r="AL98" s="29">
        <v>1163</v>
      </c>
      <c r="AM98" s="29">
        <v>1140</v>
      </c>
      <c r="AN98" s="29">
        <v>1119</v>
      </c>
      <c r="AO98" s="29">
        <v>1147</v>
      </c>
      <c r="AP98" s="29">
        <v>1099</v>
      </c>
      <c r="AQ98" s="29">
        <v>1038</v>
      </c>
      <c r="AR98" s="29">
        <v>1032.5</v>
      </c>
      <c r="AS98" s="29">
        <v>1055.5</v>
      </c>
      <c r="AT98" s="29">
        <v>1069.5</v>
      </c>
      <c r="AU98" s="29">
        <v>1112.5</v>
      </c>
      <c r="AV98" s="29">
        <v>1112</v>
      </c>
      <c r="AW98" s="29">
        <v>1091.5</v>
      </c>
      <c r="AX98" s="29">
        <v>1163</v>
      </c>
      <c r="AY98" s="29">
        <v>1125</v>
      </c>
      <c r="AZ98" s="29">
        <v>1145</v>
      </c>
      <c r="BA98" s="29">
        <v>1124</v>
      </c>
      <c r="BB98" s="29">
        <v>1032.5</v>
      </c>
      <c r="BC98" s="29">
        <v>1027</v>
      </c>
      <c r="BD98" s="29">
        <v>1020</v>
      </c>
      <c r="BE98" s="29">
        <v>1033</v>
      </c>
      <c r="BF98" s="29">
        <v>1019</v>
      </c>
      <c r="BG98" s="29">
        <v>1025</v>
      </c>
      <c r="BH98" s="29">
        <v>1057</v>
      </c>
      <c r="BI98" s="29">
        <v>1074.5</v>
      </c>
      <c r="BJ98" s="29">
        <v>942.6</v>
      </c>
      <c r="BK98" s="29">
        <v>930.2</v>
      </c>
      <c r="BL98" s="30">
        <v>929.6</v>
      </c>
      <c r="BM98" s="1">
        <v>947.5</v>
      </c>
      <c r="BN98" s="1">
        <v>915</v>
      </c>
      <c r="BO98" s="1">
        <v>917.9</v>
      </c>
      <c r="BP98" s="1">
        <v>925.2</v>
      </c>
      <c r="BQ98" s="1">
        <v>922</v>
      </c>
      <c r="BR98" s="1">
        <v>927.4</v>
      </c>
      <c r="BS98" s="1">
        <v>933</v>
      </c>
      <c r="BT98" s="1">
        <v>962.2</v>
      </c>
      <c r="BU98" s="1">
        <v>977.4</v>
      </c>
      <c r="BV98" s="1">
        <v>995.5</v>
      </c>
      <c r="BW98" s="1">
        <v>995.5</v>
      </c>
      <c r="BX98" s="1">
        <v>1006.5</v>
      </c>
      <c r="BY98" s="1">
        <v>1006.5</v>
      </c>
      <c r="BZ98" s="1">
        <v>988.6</v>
      </c>
    </row>
    <row r="99" spans="1:254" ht="15.9" customHeight="1">
      <c r="A99" s="65" t="s">
        <v>193</v>
      </c>
      <c r="B99" s="25" t="s">
        <v>194</v>
      </c>
      <c r="C99" s="39">
        <f>_xll.RssMarket("4523","高値")</f>
        <v>4698</v>
      </c>
      <c r="D99" s="38">
        <f t="shared" si="2"/>
        <v>0</v>
      </c>
      <c r="E99" s="34">
        <v>4698</v>
      </c>
      <c r="F99" s="34">
        <v>4607</v>
      </c>
      <c r="G99" s="29">
        <v>4701</v>
      </c>
      <c r="H99" s="29">
        <v>4816</v>
      </c>
      <c r="I99" s="29">
        <v>4947</v>
      </c>
      <c r="J99" s="29">
        <v>5132</v>
      </c>
      <c r="K99" s="29">
        <v>5110</v>
      </c>
      <c r="L99" s="29">
        <v>4816</v>
      </c>
      <c r="M99" s="29">
        <v>4786</v>
      </c>
      <c r="N99" s="29">
        <v>4678</v>
      </c>
      <c r="O99" s="29">
        <v>4585</v>
      </c>
      <c r="P99" s="29">
        <v>4607</v>
      </c>
      <c r="Q99" s="29">
        <v>4529</v>
      </c>
      <c r="R99" s="29">
        <v>4457</v>
      </c>
      <c r="S99" s="29">
        <v>4331</v>
      </c>
      <c r="T99" s="29">
        <v>4433</v>
      </c>
      <c r="U99" s="29">
        <v>4316</v>
      </c>
      <c r="V99" s="29">
        <v>4328</v>
      </c>
      <c r="W99" s="29">
        <v>4343</v>
      </c>
      <c r="X99" s="29">
        <v>4366</v>
      </c>
      <c r="Y99" s="29">
        <v>4337</v>
      </c>
      <c r="Z99" s="29">
        <v>4352</v>
      </c>
      <c r="AA99" s="29">
        <v>4342</v>
      </c>
      <c r="AB99" s="29">
        <v>4188</v>
      </c>
      <c r="AC99" s="29">
        <v>4129</v>
      </c>
      <c r="AD99" s="29">
        <v>4170</v>
      </c>
      <c r="AE99" s="29">
        <v>4145</v>
      </c>
      <c r="AF99" s="29">
        <v>4009</v>
      </c>
      <c r="AG99" s="29">
        <v>3952</v>
      </c>
      <c r="AH99" s="29">
        <v>3918</v>
      </c>
      <c r="AI99" s="29">
        <v>3947</v>
      </c>
      <c r="AJ99" s="29">
        <v>3908</v>
      </c>
      <c r="AK99" s="29">
        <v>3944</v>
      </c>
      <c r="AL99" s="29">
        <v>3976</v>
      </c>
      <c r="AM99" s="29">
        <v>3886</v>
      </c>
      <c r="AN99" s="29">
        <v>3799</v>
      </c>
      <c r="AO99" s="29">
        <v>3840</v>
      </c>
      <c r="AP99" s="29">
        <v>3790</v>
      </c>
      <c r="AQ99" s="29">
        <v>3739</v>
      </c>
      <c r="AR99" s="29">
        <v>3749</v>
      </c>
      <c r="AS99" s="29">
        <v>3866</v>
      </c>
      <c r="AT99" s="29">
        <v>3856</v>
      </c>
      <c r="AU99" s="29">
        <v>3853</v>
      </c>
      <c r="AV99" s="29">
        <v>3818</v>
      </c>
      <c r="AW99" s="29">
        <v>3853</v>
      </c>
      <c r="AX99" s="29">
        <v>3994</v>
      </c>
      <c r="AY99" s="29">
        <v>4057</v>
      </c>
      <c r="AZ99" s="29">
        <v>4068</v>
      </c>
      <c r="BA99" s="29">
        <v>4178</v>
      </c>
      <c r="BB99" s="29">
        <v>4249</v>
      </c>
      <c r="BC99" s="29">
        <v>4298</v>
      </c>
      <c r="BD99" s="29">
        <v>4470</v>
      </c>
      <c r="BE99" s="29">
        <v>4512</v>
      </c>
      <c r="BF99" s="29">
        <v>4529</v>
      </c>
      <c r="BG99" s="29">
        <v>4739</v>
      </c>
      <c r="BH99" s="29">
        <v>4748</v>
      </c>
      <c r="BI99" s="29">
        <v>4736</v>
      </c>
      <c r="BJ99" s="29">
        <v>4737</v>
      </c>
      <c r="BK99" s="29">
        <v>4669</v>
      </c>
      <c r="BL99" s="30">
        <v>4761</v>
      </c>
      <c r="BM99" s="1">
        <v>4765</v>
      </c>
      <c r="BN99" s="1">
        <v>4694</v>
      </c>
      <c r="BO99" s="1">
        <v>4705</v>
      </c>
      <c r="BP99" s="1">
        <v>4635</v>
      </c>
      <c r="BQ99" s="1">
        <v>4653</v>
      </c>
      <c r="BR99" s="1">
        <v>4778</v>
      </c>
      <c r="BS99" s="1">
        <v>4821</v>
      </c>
      <c r="BT99" s="1">
        <v>4960</v>
      </c>
      <c r="BU99" s="1">
        <v>4901</v>
      </c>
      <c r="BV99" s="1">
        <v>4924</v>
      </c>
      <c r="BW99" s="1">
        <v>5033</v>
      </c>
      <c r="BX99" s="1">
        <v>5077</v>
      </c>
      <c r="BY99" s="1">
        <v>5030</v>
      </c>
      <c r="BZ99" s="1">
        <v>4955</v>
      </c>
    </row>
    <row r="100" spans="1:254" ht="15.9" customHeight="1">
      <c r="A100" s="65" t="s">
        <v>195</v>
      </c>
      <c r="B100" s="25" t="s">
        <v>196</v>
      </c>
      <c r="C100" s="39">
        <f>_xll.RssMarket("4528","高値")</f>
        <v>2348.5</v>
      </c>
      <c r="D100" s="38">
        <f t="shared" si="2"/>
        <v>0</v>
      </c>
      <c r="E100" s="34">
        <v>2348.5</v>
      </c>
      <c r="F100" s="34">
        <v>2320</v>
      </c>
      <c r="G100" s="29">
        <v>2321</v>
      </c>
      <c r="H100" s="29">
        <v>2367.5</v>
      </c>
      <c r="I100" s="29">
        <v>2408.5</v>
      </c>
      <c r="J100" s="29">
        <v>2482</v>
      </c>
      <c r="K100" s="29">
        <v>2514.5</v>
      </c>
      <c r="L100" s="29">
        <v>2457</v>
      </c>
      <c r="M100" s="29">
        <v>2448.5</v>
      </c>
      <c r="N100" s="29"/>
      <c r="O100" s="29">
        <v>2410.5</v>
      </c>
      <c r="P100" s="29">
        <v>2431</v>
      </c>
      <c r="Q100" s="29">
        <v>2448.5</v>
      </c>
      <c r="R100" s="29">
        <v>2440</v>
      </c>
      <c r="S100" s="29">
        <v>2418</v>
      </c>
      <c r="T100" s="29">
        <v>2451</v>
      </c>
      <c r="U100" s="29">
        <v>2449.5</v>
      </c>
      <c r="V100" s="29">
        <v>2471.5</v>
      </c>
      <c r="W100" s="29">
        <v>2507</v>
      </c>
      <c r="X100" s="29">
        <v>2500</v>
      </c>
      <c r="Y100" s="29">
        <v>2466.5</v>
      </c>
      <c r="Z100" s="29">
        <v>2454.5</v>
      </c>
      <c r="AA100" s="29">
        <v>2469.5</v>
      </c>
      <c r="AB100" s="29">
        <v>2422</v>
      </c>
      <c r="AC100" s="29">
        <v>2390</v>
      </c>
      <c r="AD100" s="29">
        <v>2431</v>
      </c>
      <c r="AE100" s="29">
        <v>2417</v>
      </c>
      <c r="AF100" s="29">
        <v>2377.5</v>
      </c>
      <c r="AG100" s="29">
        <v>2384.5</v>
      </c>
      <c r="AH100" s="29">
        <v>2364.5</v>
      </c>
      <c r="AI100" s="29">
        <v>2352</v>
      </c>
      <c r="AJ100" s="29">
        <v>2390</v>
      </c>
      <c r="AK100" s="29">
        <v>2249</v>
      </c>
      <c r="AL100" s="29">
        <v>2290</v>
      </c>
      <c r="AM100" s="29">
        <v>2277</v>
      </c>
      <c r="AN100" s="29">
        <v>2289.5</v>
      </c>
      <c r="AO100" s="29">
        <v>2310.5</v>
      </c>
      <c r="AP100" s="29">
        <v>2246</v>
      </c>
      <c r="AQ100" s="29">
        <v>2246</v>
      </c>
      <c r="AR100" s="29">
        <v>2232</v>
      </c>
      <c r="AS100" s="29">
        <v>2273.5</v>
      </c>
      <c r="AT100" s="29">
        <v>2234</v>
      </c>
      <c r="AU100" s="29">
        <v>2228.5</v>
      </c>
      <c r="AV100" s="29">
        <v>2204</v>
      </c>
      <c r="AW100" s="29">
        <v>2297</v>
      </c>
      <c r="AX100" s="29">
        <v>2419.5</v>
      </c>
      <c r="AY100" s="29">
        <v>2407.5</v>
      </c>
      <c r="AZ100" s="29">
        <v>2378</v>
      </c>
      <c r="BA100" s="29">
        <v>2511</v>
      </c>
      <c r="BB100" s="29">
        <v>2539</v>
      </c>
      <c r="BC100" s="29">
        <v>2489</v>
      </c>
      <c r="BD100" s="29">
        <v>2485.5</v>
      </c>
      <c r="BE100" s="29">
        <v>2439.5</v>
      </c>
      <c r="BF100" s="29">
        <v>2517</v>
      </c>
      <c r="BG100" s="29">
        <v>2565</v>
      </c>
      <c r="BH100" s="29">
        <v>2573.5</v>
      </c>
      <c r="BI100" s="29">
        <v>2556.5</v>
      </c>
      <c r="BJ100" s="29">
        <v>2509.5</v>
      </c>
      <c r="BK100" s="29">
        <v>2523.5</v>
      </c>
      <c r="BL100" s="30">
        <v>2480.5</v>
      </c>
      <c r="BM100" s="1">
        <v>2362</v>
      </c>
      <c r="BN100" s="1">
        <v>2328</v>
      </c>
      <c r="BO100" s="1">
        <v>2315</v>
      </c>
      <c r="BP100" s="1">
        <v>2316</v>
      </c>
      <c r="BQ100" s="1">
        <v>2326.5</v>
      </c>
      <c r="BR100" s="1">
        <v>2350</v>
      </c>
      <c r="BS100" s="1">
        <v>2319.5</v>
      </c>
      <c r="BT100" s="1">
        <v>2345</v>
      </c>
      <c r="BU100" s="1">
        <v>2413.5</v>
      </c>
      <c r="BV100" s="1">
        <v>2429.5</v>
      </c>
      <c r="BW100" s="1">
        <v>2468.5</v>
      </c>
      <c r="BX100" s="1">
        <v>2496</v>
      </c>
      <c r="BY100" s="1">
        <v>2495</v>
      </c>
      <c r="BZ100" s="1">
        <v>2516</v>
      </c>
    </row>
    <row r="101" spans="1:254" ht="15.9" customHeight="1">
      <c r="A101" s="65" t="s">
        <v>197</v>
      </c>
      <c r="B101" s="25" t="s">
        <v>198</v>
      </c>
      <c r="C101" s="39">
        <f>_xll.RssMarket("4661","高値")</f>
        <v>2966.5</v>
      </c>
      <c r="D101" s="38">
        <f t="shared" si="2"/>
        <v>0</v>
      </c>
      <c r="E101" s="34">
        <v>2966.5</v>
      </c>
      <c r="F101" s="34">
        <v>2943</v>
      </c>
      <c r="G101" s="29">
        <v>3070</v>
      </c>
      <c r="H101" s="29">
        <v>3133</v>
      </c>
      <c r="I101" s="29">
        <v>3167</v>
      </c>
      <c r="J101" s="29">
        <v>3065</v>
      </c>
      <c r="K101" s="29">
        <v>3051</v>
      </c>
      <c r="L101" s="29">
        <v>2915</v>
      </c>
      <c r="M101" s="29">
        <v>2831.5</v>
      </c>
      <c r="N101" s="29"/>
      <c r="O101" s="29">
        <v>2645.5</v>
      </c>
      <c r="P101" s="29">
        <v>2685</v>
      </c>
      <c r="Q101" s="29">
        <v>2822</v>
      </c>
      <c r="R101" s="29">
        <v>2768</v>
      </c>
      <c r="S101" s="29">
        <v>2726</v>
      </c>
      <c r="T101" s="29">
        <v>2814</v>
      </c>
      <c r="U101" s="29">
        <v>2650</v>
      </c>
      <c r="V101" s="29">
        <v>2627.5</v>
      </c>
      <c r="W101" s="29">
        <v>2626.5</v>
      </c>
      <c r="X101" s="29">
        <v>2628</v>
      </c>
      <c r="Y101" s="29">
        <v>2589</v>
      </c>
      <c r="Z101" s="29">
        <v>2565</v>
      </c>
      <c r="AA101" s="29">
        <v>2582.5</v>
      </c>
      <c r="AB101" s="29">
        <v>2518</v>
      </c>
      <c r="AC101" s="29">
        <v>2482.5</v>
      </c>
      <c r="AD101" s="29">
        <v>2519</v>
      </c>
      <c r="AE101" s="29">
        <v>2504</v>
      </c>
      <c r="AF101" s="29">
        <v>2416.5</v>
      </c>
      <c r="AG101" s="29">
        <v>2408</v>
      </c>
      <c r="AH101" s="29">
        <v>2399.5</v>
      </c>
      <c r="AI101" s="29">
        <v>2377</v>
      </c>
      <c r="AJ101" s="29">
        <v>2351.5</v>
      </c>
      <c r="AK101" s="29">
        <v>2336.5</v>
      </c>
      <c r="AL101" s="29">
        <v>2300</v>
      </c>
      <c r="AM101" s="29">
        <v>2303.5</v>
      </c>
      <c r="AN101" s="29">
        <v>2293.5</v>
      </c>
      <c r="AO101" s="29">
        <v>2263.5</v>
      </c>
      <c r="AP101" s="29">
        <v>2300</v>
      </c>
      <c r="AQ101" s="29">
        <v>2332</v>
      </c>
      <c r="AR101" s="29">
        <v>2292.5</v>
      </c>
      <c r="AS101" s="29">
        <v>2257.5</v>
      </c>
      <c r="AT101" s="29">
        <v>2227.5</v>
      </c>
      <c r="AU101" s="29">
        <v>2215.5</v>
      </c>
      <c r="AV101" s="29">
        <v>2231.5</v>
      </c>
      <c r="AW101" s="29">
        <v>2238</v>
      </c>
      <c r="AX101" s="29">
        <v>2327</v>
      </c>
      <c r="AY101" s="29">
        <v>2259</v>
      </c>
      <c r="AZ101" s="29">
        <v>2200</v>
      </c>
      <c r="BA101" s="29">
        <v>2141</v>
      </c>
      <c r="BB101" s="29">
        <v>2149</v>
      </c>
      <c r="BC101" s="29">
        <v>2202.5</v>
      </c>
      <c r="BD101" s="29">
        <v>2245.5</v>
      </c>
      <c r="BE101" s="29">
        <v>2232.5</v>
      </c>
      <c r="BF101" s="29">
        <v>2188</v>
      </c>
      <c r="BG101" s="29">
        <v>2166</v>
      </c>
      <c r="BH101" s="29">
        <v>2171</v>
      </c>
      <c r="BI101" s="29">
        <v>2223</v>
      </c>
      <c r="BJ101" s="29">
        <v>2211</v>
      </c>
      <c r="BK101" s="29">
        <v>2234.5</v>
      </c>
      <c r="BL101" s="30">
        <v>2274</v>
      </c>
      <c r="BM101" s="1">
        <v>2247.5</v>
      </c>
      <c r="BN101" s="1">
        <v>2232</v>
      </c>
      <c r="BO101" s="1">
        <v>2266.5</v>
      </c>
      <c r="BP101" s="1">
        <v>2434.5</v>
      </c>
      <c r="BQ101" s="1">
        <v>2424</v>
      </c>
      <c r="BR101" s="1">
        <v>2470</v>
      </c>
      <c r="BS101" s="1">
        <v>2576</v>
      </c>
      <c r="BT101" s="1">
        <v>2626.5</v>
      </c>
      <c r="BU101" s="1">
        <v>2654</v>
      </c>
      <c r="BV101" s="1">
        <v>2665</v>
      </c>
      <c r="BW101" s="1">
        <v>2658</v>
      </c>
      <c r="BX101" s="1">
        <v>2696</v>
      </c>
      <c r="BY101" s="1">
        <v>2647.5</v>
      </c>
      <c r="BZ101" s="1">
        <v>2615</v>
      </c>
    </row>
    <row r="102" spans="1:254" ht="15.9" customHeight="1">
      <c r="A102" s="65" t="s">
        <v>199</v>
      </c>
      <c r="B102" s="25" t="s">
        <v>200</v>
      </c>
      <c r="C102" s="39">
        <f>_xll.RssMarket("5802","高値")</f>
        <v>2283</v>
      </c>
      <c r="D102" s="38">
        <f t="shared" ref="D102:D133" si="3">C102-E102</f>
        <v>0</v>
      </c>
      <c r="E102" s="34">
        <v>2283</v>
      </c>
      <c r="F102" s="34">
        <v>2395</v>
      </c>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30"/>
    </row>
    <row r="103" spans="1:254" ht="15.9" customHeight="1">
      <c r="A103" s="65" t="s">
        <v>201</v>
      </c>
      <c r="B103" s="25" t="s">
        <v>202</v>
      </c>
      <c r="C103" s="39">
        <f>_xll.RssMarket("5803","高値")</f>
        <v>4917</v>
      </c>
      <c r="D103" s="38">
        <f t="shared" si="3"/>
        <v>0</v>
      </c>
      <c r="E103" s="34">
        <v>4917</v>
      </c>
      <c r="F103" s="34">
        <v>5110</v>
      </c>
      <c r="G103" s="29">
        <v>4657</v>
      </c>
      <c r="H103" s="29">
        <v>4325</v>
      </c>
      <c r="I103" s="29">
        <v>4339</v>
      </c>
      <c r="J103" s="29">
        <v>3927</v>
      </c>
      <c r="K103" s="29">
        <v>4129</v>
      </c>
      <c r="L103" s="29">
        <v>4216</v>
      </c>
      <c r="M103" s="29">
        <v>4565</v>
      </c>
      <c r="N103" s="29">
        <v>4740</v>
      </c>
      <c r="O103" s="29">
        <v>4935</v>
      </c>
      <c r="P103" s="29">
        <v>5026</v>
      </c>
      <c r="Q103" s="29">
        <v>4707</v>
      </c>
      <c r="R103" s="29">
        <v>4611</v>
      </c>
      <c r="S103" s="29">
        <v>5149</v>
      </c>
      <c r="T103" s="29">
        <v>4820</v>
      </c>
      <c r="U103" s="29">
        <v>5380</v>
      </c>
      <c r="V103" s="29">
        <v>5437</v>
      </c>
      <c r="W103" s="29">
        <v>5209</v>
      </c>
      <c r="X103" s="29">
        <v>5106</v>
      </c>
      <c r="Y103" s="29">
        <v>5370</v>
      </c>
      <c r="Z103" s="29">
        <v>5452</v>
      </c>
      <c r="AA103" s="29">
        <v>5379</v>
      </c>
      <c r="AB103" s="29">
        <v>5555</v>
      </c>
      <c r="AC103" s="29">
        <v>6431</v>
      </c>
      <c r="AD103" s="29">
        <v>6320</v>
      </c>
      <c r="AE103" s="29">
        <v>6166</v>
      </c>
      <c r="AF103" s="29">
        <v>6579</v>
      </c>
      <c r="AG103" s="29">
        <v>6649</v>
      </c>
      <c r="AH103" s="29">
        <v>6568</v>
      </c>
      <c r="AI103" s="29">
        <v>7068</v>
      </c>
      <c r="AJ103" s="29">
        <v>6161</v>
      </c>
      <c r="AK103" s="29">
        <v>5161</v>
      </c>
      <c r="AL103" s="29">
        <v>4910</v>
      </c>
      <c r="AM103" s="29">
        <v>4763</v>
      </c>
      <c r="AN103" s="29">
        <v>4829</v>
      </c>
      <c r="AO103" s="29">
        <v>4492</v>
      </c>
      <c r="AP103" s="29">
        <v>4357</v>
      </c>
      <c r="AQ103" s="29">
        <v>4162</v>
      </c>
      <c r="AR103" s="29">
        <v>4412</v>
      </c>
      <c r="AS103" s="29">
        <v>4525</v>
      </c>
      <c r="AT103" s="29">
        <v>4825</v>
      </c>
      <c r="AU103" s="29">
        <v>4866</v>
      </c>
      <c r="AV103" s="29">
        <v>5163</v>
      </c>
      <c r="AW103" s="29">
        <v>4666</v>
      </c>
      <c r="AX103" s="29">
        <v>5047</v>
      </c>
      <c r="AY103" s="29">
        <v>5196</v>
      </c>
      <c r="AZ103" s="29">
        <v>5555</v>
      </c>
      <c r="BA103" s="29">
        <v>5550</v>
      </c>
      <c r="BB103" s="29">
        <v>5031</v>
      </c>
      <c r="BC103" s="29">
        <v>4662</v>
      </c>
      <c r="BD103" s="29">
        <v>4516</v>
      </c>
      <c r="BE103" s="29">
        <v>5639</v>
      </c>
      <c r="BF103" s="29">
        <v>5969</v>
      </c>
      <c r="BG103" s="29">
        <v>6999</v>
      </c>
      <c r="BH103" s="29">
        <v>7933</v>
      </c>
      <c r="BI103" s="29">
        <v>7915</v>
      </c>
      <c r="BJ103" s="29">
        <v>7770</v>
      </c>
      <c r="BK103" s="29">
        <v>6980</v>
      </c>
      <c r="BL103" s="30">
        <v>6582</v>
      </c>
      <c r="BM103" s="1">
        <v>6500</v>
      </c>
      <c r="BN103" s="1">
        <v>6027</v>
      </c>
      <c r="BO103" s="1">
        <v>6083</v>
      </c>
      <c r="BP103" s="1">
        <v>6321</v>
      </c>
      <c r="BQ103" s="1">
        <v>6397</v>
      </c>
      <c r="BR103" s="1">
        <v>6100</v>
      </c>
      <c r="BS103" s="1">
        <v>6218</v>
      </c>
      <c r="BT103" s="1">
        <v>5989</v>
      </c>
      <c r="BU103" s="1">
        <v>5889</v>
      </c>
      <c r="BV103" s="1">
        <v>5898</v>
      </c>
      <c r="BW103" s="1">
        <v>5987</v>
      </c>
      <c r="BX103" s="1">
        <v>5959</v>
      </c>
      <c r="BY103" s="1">
        <v>6037</v>
      </c>
      <c r="BZ103" s="1">
        <v>5985</v>
      </c>
    </row>
    <row r="104" spans="1:254" ht="15.9" customHeight="1">
      <c r="A104" s="65" t="s">
        <v>203</v>
      </c>
      <c r="B104" s="25" t="s">
        <v>204</v>
      </c>
      <c r="C104" s="39">
        <f>_xll.RssMarket("6178","高値")</f>
        <v>2397</v>
      </c>
      <c r="D104" s="38">
        <f t="shared" si="3"/>
        <v>0</v>
      </c>
      <c r="E104" s="34">
        <v>2397</v>
      </c>
      <c r="F104" s="34">
        <v>2357</v>
      </c>
      <c r="G104" s="29">
        <v>2359.5</v>
      </c>
      <c r="H104" s="29">
        <v>2382</v>
      </c>
      <c r="I104" s="29">
        <v>2420</v>
      </c>
      <c r="J104" s="29">
        <v>2466</v>
      </c>
      <c r="K104" s="29">
        <v>2499</v>
      </c>
      <c r="L104" s="29">
        <v>2510</v>
      </c>
      <c r="M104" s="29">
        <v>2539.5</v>
      </c>
      <c r="N104" s="29">
        <v>2496</v>
      </c>
      <c r="O104" s="29">
        <v>2466.5</v>
      </c>
      <c r="P104" s="29">
        <v>2460</v>
      </c>
      <c r="Q104" s="29">
        <v>2418.5</v>
      </c>
      <c r="R104" s="29">
        <v>2397</v>
      </c>
      <c r="S104" s="29">
        <v>2417</v>
      </c>
      <c r="T104" s="29">
        <v>2362</v>
      </c>
      <c r="U104" s="29">
        <v>2353.5</v>
      </c>
      <c r="V104" s="29">
        <v>2383</v>
      </c>
      <c r="W104" s="29">
        <v>2382</v>
      </c>
      <c r="X104" s="29">
        <v>2395</v>
      </c>
      <c r="Y104" s="29">
        <v>2372.5</v>
      </c>
      <c r="Z104" s="29">
        <v>2326</v>
      </c>
      <c r="AA104" s="29">
        <v>2290</v>
      </c>
      <c r="AB104" s="29">
        <v>2245</v>
      </c>
      <c r="AC104" s="29">
        <v>2197</v>
      </c>
      <c r="AD104" s="29">
        <v>2182.5</v>
      </c>
      <c r="AE104" s="29">
        <v>2183.5</v>
      </c>
      <c r="AF104" s="29">
        <v>2199.5</v>
      </c>
      <c r="AG104" s="29">
        <v>2231</v>
      </c>
      <c r="AH104" s="29">
        <v>2252.5</v>
      </c>
      <c r="AI104" s="29">
        <v>2244.5</v>
      </c>
      <c r="AJ104" s="29">
        <v>2241</v>
      </c>
      <c r="AK104" s="29">
        <v>2263</v>
      </c>
      <c r="AL104" s="29">
        <v>2249</v>
      </c>
      <c r="AM104" s="29">
        <v>2279.5</v>
      </c>
      <c r="AN104" s="29">
        <v>2264.5</v>
      </c>
      <c r="AO104" s="29">
        <v>2344.5</v>
      </c>
      <c r="AP104" s="29">
        <v>2361</v>
      </c>
      <c r="AQ104" s="29">
        <v>2252</v>
      </c>
      <c r="AR104" s="29">
        <v>2246.5</v>
      </c>
      <c r="AS104" s="29">
        <v>2147.5</v>
      </c>
      <c r="AT104" s="29">
        <v>2177</v>
      </c>
      <c r="AU104" s="29">
        <v>2145.5</v>
      </c>
      <c r="AV104" s="29">
        <v>2125</v>
      </c>
      <c r="AW104" s="29">
        <v>2074</v>
      </c>
      <c r="AX104" s="29">
        <v>2075</v>
      </c>
      <c r="AY104" s="29">
        <v>2037.5</v>
      </c>
      <c r="AZ104" s="29">
        <v>2093</v>
      </c>
      <c r="BA104" s="29">
        <v>2128</v>
      </c>
      <c r="BB104" s="29">
        <v>2138.5</v>
      </c>
      <c r="BC104" s="29">
        <v>2154.5</v>
      </c>
      <c r="BD104" s="29">
        <v>2139.5</v>
      </c>
      <c r="BE104" s="29">
        <v>2115.5</v>
      </c>
      <c r="BF104" s="29">
        <v>2068</v>
      </c>
      <c r="BG104" s="29">
        <v>1981.5</v>
      </c>
      <c r="BH104" s="29">
        <v>1956.5</v>
      </c>
      <c r="BI104" s="29">
        <v>1944.5</v>
      </c>
      <c r="BJ104" s="29">
        <v>1911</v>
      </c>
      <c r="BK104" s="29">
        <v>1871.5</v>
      </c>
      <c r="BL104" s="30">
        <v>1859.5</v>
      </c>
      <c r="BM104" s="1">
        <v>1871.5</v>
      </c>
      <c r="BN104" s="1">
        <v>1819</v>
      </c>
      <c r="BO104" s="1">
        <v>1829</v>
      </c>
      <c r="BP104" s="1">
        <v>1826.5</v>
      </c>
      <c r="BQ104" s="1">
        <v>1773</v>
      </c>
      <c r="BR104" s="1">
        <v>1789</v>
      </c>
      <c r="BS104" s="1">
        <v>1789</v>
      </c>
      <c r="BT104" s="1">
        <v>1821.5</v>
      </c>
      <c r="BU104" s="1">
        <v>1861</v>
      </c>
      <c r="BV104" s="1">
        <v>1885</v>
      </c>
      <c r="BW104" s="1">
        <v>1889.5</v>
      </c>
      <c r="BX104" s="1">
        <v>1903</v>
      </c>
      <c r="BY104" s="1">
        <v>1878</v>
      </c>
      <c r="BZ104" s="1">
        <v>1882</v>
      </c>
    </row>
    <row r="105" spans="1:254" ht="15.9" customHeight="1">
      <c r="A105" s="65" t="s">
        <v>205</v>
      </c>
      <c r="B105" s="25" t="s">
        <v>206</v>
      </c>
      <c r="C105" s="39">
        <f>_xll.RssMarket("6925","高値")</f>
        <v>4319</v>
      </c>
      <c r="D105" s="38">
        <f t="shared" si="3"/>
        <v>0</v>
      </c>
      <c r="E105" s="34">
        <v>4319</v>
      </c>
      <c r="F105" s="34">
        <v>4416</v>
      </c>
      <c r="G105" s="29">
        <v>4046</v>
      </c>
      <c r="H105" s="29">
        <v>3821</v>
      </c>
      <c r="I105" s="29">
        <v>3890</v>
      </c>
      <c r="J105" s="29">
        <v>3676</v>
      </c>
      <c r="K105" s="29">
        <v>3812</v>
      </c>
      <c r="L105" s="29">
        <v>4014</v>
      </c>
      <c r="M105" s="29">
        <v>4189</v>
      </c>
      <c r="N105" s="29">
        <v>4199</v>
      </c>
      <c r="O105" s="29">
        <v>4326</v>
      </c>
      <c r="P105" s="29">
        <v>4215</v>
      </c>
      <c r="Q105" s="29">
        <v>4058</v>
      </c>
      <c r="R105" s="29">
        <v>3941</v>
      </c>
      <c r="S105" s="29">
        <v>4264</v>
      </c>
      <c r="T105" s="29">
        <v>4108</v>
      </c>
      <c r="U105" s="29">
        <v>4364</v>
      </c>
      <c r="V105" s="29">
        <v>4507</v>
      </c>
      <c r="W105" s="29">
        <v>4341</v>
      </c>
      <c r="X105" s="29">
        <v>4353</v>
      </c>
      <c r="Y105" s="29">
        <v>4520</v>
      </c>
      <c r="Z105" s="29">
        <v>4689</v>
      </c>
      <c r="AA105" s="29">
        <v>4712</v>
      </c>
      <c r="AB105" s="29">
        <v>4820</v>
      </c>
      <c r="AC105" s="29">
        <v>5164</v>
      </c>
      <c r="AD105" s="29">
        <v>4535</v>
      </c>
      <c r="AE105" s="29">
        <v>4405</v>
      </c>
      <c r="AF105" s="29">
        <v>4501</v>
      </c>
      <c r="AG105" s="29">
        <v>4547</v>
      </c>
      <c r="AH105" s="29">
        <v>4522</v>
      </c>
      <c r="AI105" s="29">
        <v>4840</v>
      </c>
      <c r="AJ105" s="29">
        <v>4890</v>
      </c>
      <c r="AK105" s="29">
        <v>4830</v>
      </c>
      <c r="AL105" s="29">
        <v>4733</v>
      </c>
      <c r="AM105" s="29">
        <v>4620</v>
      </c>
      <c r="AN105" s="29">
        <v>4340</v>
      </c>
      <c r="AO105" s="29">
        <v>4284</v>
      </c>
      <c r="AP105" s="29">
        <v>4196</v>
      </c>
      <c r="AQ105" s="29">
        <v>3956</v>
      </c>
      <c r="AR105" s="29">
        <v>4085</v>
      </c>
      <c r="AS105" s="29">
        <v>4082</v>
      </c>
      <c r="AT105" s="29">
        <v>4328</v>
      </c>
      <c r="AU105" s="29">
        <v>4310</v>
      </c>
      <c r="AV105" s="29">
        <v>4198</v>
      </c>
      <c r="AW105" s="29">
        <v>4088</v>
      </c>
      <c r="AX105" s="29">
        <v>4264</v>
      </c>
      <c r="AY105" s="29">
        <v>4220</v>
      </c>
      <c r="AZ105" s="29">
        <v>4275</v>
      </c>
      <c r="BA105" s="29">
        <v>4270</v>
      </c>
      <c r="BB105" s="29">
        <v>4104</v>
      </c>
      <c r="BC105" s="29">
        <v>4072</v>
      </c>
      <c r="BD105" s="29">
        <v>3938</v>
      </c>
      <c r="BE105" s="29">
        <v>4204</v>
      </c>
      <c r="BF105" s="29">
        <v>4416</v>
      </c>
      <c r="BG105" s="29">
        <v>4239</v>
      </c>
      <c r="BH105" s="29">
        <v>3591</v>
      </c>
      <c r="BI105" s="29">
        <v>3524</v>
      </c>
      <c r="BJ105" s="29">
        <v>3530</v>
      </c>
      <c r="BK105" s="29">
        <v>3437</v>
      </c>
      <c r="BL105" s="30">
        <v>3390</v>
      </c>
      <c r="BM105" s="1">
        <v>3419</v>
      </c>
      <c r="BN105" s="1">
        <v>3205</v>
      </c>
      <c r="BO105" s="1">
        <v>3183</v>
      </c>
      <c r="BP105" s="1">
        <v>3135</v>
      </c>
      <c r="BQ105" s="1">
        <v>3224</v>
      </c>
      <c r="BR105" s="1">
        <v>3246</v>
      </c>
      <c r="BS105" s="1">
        <v>3162</v>
      </c>
      <c r="BT105" s="1">
        <v>3185</v>
      </c>
      <c r="BU105" s="1">
        <v>3234</v>
      </c>
      <c r="BV105" s="1">
        <v>3222</v>
      </c>
      <c r="BW105" s="1">
        <v>3321</v>
      </c>
      <c r="BX105" s="1">
        <v>3337</v>
      </c>
      <c r="BY105" s="1">
        <v>3325</v>
      </c>
      <c r="BZ105" s="1">
        <v>3301</v>
      </c>
    </row>
    <row r="106" spans="1:254" ht="15.9" customHeight="1">
      <c r="A106" s="65" t="s">
        <v>207</v>
      </c>
      <c r="B106" s="25" t="s">
        <v>208</v>
      </c>
      <c r="C106" s="39">
        <f>_xll.RssMarket("7021","高値")</f>
        <v>2089</v>
      </c>
      <c r="D106" s="38">
        <f t="shared" si="3"/>
        <v>0</v>
      </c>
      <c r="E106" s="34">
        <v>2089</v>
      </c>
      <c r="F106" s="34">
        <v>2149</v>
      </c>
      <c r="G106" s="29">
        <v>2060</v>
      </c>
      <c r="H106" s="29">
        <v>2030</v>
      </c>
      <c r="I106" s="29">
        <v>2020</v>
      </c>
      <c r="J106" s="29">
        <v>2000</v>
      </c>
      <c r="K106" s="29">
        <v>1995</v>
      </c>
      <c r="L106" s="29">
        <v>2011</v>
      </c>
      <c r="M106" s="29">
        <v>2000</v>
      </c>
      <c r="N106" s="29">
        <v>1972</v>
      </c>
      <c r="O106" s="29">
        <v>1940</v>
      </c>
      <c r="P106" s="29">
        <v>1910</v>
      </c>
      <c r="Q106" s="29">
        <v>1878</v>
      </c>
      <c r="R106" s="29">
        <v>1876</v>
      </c>
      <c r="S106" s="29">
        <v>1877</v>
      </c>
      <c r="T106" s="29">
        <v>1849</v>
      </c>
      <c r="U106" s="29">
        <v>1869</v>
      </c>
      <c r="V106" s="29">
        <v>1857</v>
      </c>
      <c r="W106" s="29">
        <v>1839</v>
      </c>
      <c r="X106" s="29">
        <v>1849</v>
      </c>
      <c r="Y106" s="29">
        <v>1839</v>
      </c>
      <c r="Z106" s="29">
        <v>1829</v>
      </c>
      <c r="AA106" s="29">
        <v>1808</v>
      </c>
      <c r="AB106" s="29">
        <v>1814</v>
      </c>
      <c r="AC106" s="29">
        <v>1799</v>
      </c>
      <c r="AD106" s="29">
        <v>1815</v>
      </c>
      <c r="AE106" s="29">
        <v>1817</v>
      </c>
      <c r="AF106" s="29">
        <v>1808</v>
      </c>
      <c r="AG106" s="29">
        <v>1805</v>
      </c>
      <c r="AH106" s="29">
        <v>1774</v>
      </c>
      <c r="AI106" s="29">
        <v>1810</v>
      </c>
      <c r="AJ106" s="29">
        <v>1794</v>
      </c>
      <c r="AK106" s="29">
        <v>1788</v>
      </c>
      <c r="AL106" s="29">
        <v>1793</v>
      </c>
      <c r="AM106" s="29">
        <v>1810</v>
      </c>
      <c r="AN106" s="29">
        <v>1809</v>
      </c>
      <c r="AO106" s="29">
        <v>1826</v>
      </c>
      <c r="AP106" s="29">
        <v>1805</v>
      </c>
      <c r="AQ106" s="29">
        <v>1812</v>
      </c>
      <c r="AR106" s="29">
        <v>1809</v>
      </c>
      <c r="AS106" s="29">
        <v>1770</v>
      </c>
      <c r="AT106" s="29">
        <v>1811</v>
      </c>
      <c r="AU106" s="29">
        <v>1770</v>
      </c>
      <c r="AV106" s="29">
        <v>1827</v>
      </c>
      <c r="AW106" s="29">
        <v>1803</v>
      </c>
      <c r="AX106" s="29">
        <v>1854</v>
      </c>
      <c r="AY106" s="29">
        <v>1854</v>
      </c>
      <c r="AZ106" s="29">
        <v>1894</v>
      </c>
      <c r="BA106" s="29">
        <v>1828</v>
      </c>
      <c r="BB106" s="29">
        <v>1823</v>
      </c>
      <c r="BC106" s="29">
        <v>1868</v>
      </c>
      <c r="BD106" s="29">
        <v>1881</v>
      </c>
      <c r="BE106" s="29">
        <v>1915</v>
      </c>
      <c r="BF106" s="29">
        <v>1980</v>
      </c>
      <c r="BG106" s="29">
        <v>2089</v>
      </c>
      <c r="BH106" s="29">
        <v>2193</v>
      </c>
      <c r="BI106" s="29">
        <v>2190</v>
      </c>
      <c r="BJ106" s="29">
        <v>2188</v>
      </c>
      <c r="BK106" s="29">
        <v>2161</v>
      </c>
      <c r="BL106" s="30">
        <v>2170</v>
      </c>
      <c r="BM106" s="1">
        <v>2166</v>
      </c>
      <c r="BN106" s="1">
        <v>2175</v>
      </c>
      <c r="BO106" s="1">
        <v>2225</v>
      </c>
      <c r="BP106" s="1">
        <v>2230</v>
      </c>
      <c r="BQ106" s="1">
        <v>2259</v>
      </c>
      <c r="BR106" s="1">
        <v>2294</v>
      </c>
      <c r="BS106" s="1">
        <v>2299</v>
      </c>
      <c r="BT106" s="1">
        <v>2310</v>
      </c>
      <c r="BU106" s="1">
        <v>2364</v>
      </c>
      <c r="BV106" s="1">
        <v>2344</v>
      </c>
      <c r="BW106" s="1">
        <v>2374</v>
      </c>
      <c r="BX106" s="1">
        <v>2368</v>
      </c>
      <c r="BY106" s="1">
        <v>2365</v>
      </c>
      <c r="BZ106" s="1">
        <v>2350</v>
      </c>
    </row>
    <row r="107" spans="1:254" ht="15.9" customHeight="1">
      <c r="A107" s="65" t="s">
        <v>209</v>
      </c>
      <c r="B107" s="25" t="s">
        <v>210</v>
      </c>
      <c r="C107" s="39">
        <f>_xll.RssMarket("7729","高値")</f>
        <v>18680</v>
      </c>
      <c r="D107" s="38">
        <f t="shared" si="3"/>
        <v>0</v>
      </c>
      <c r="E107" s="34">
        <v>18680</v>
      </c>
      <c r="F107" s="34">
        <v>18985</v>
      </c>
      <c r="G107" s="29">
        <v>18060</v>
      </c>
      <c r="H107" s="29">
        <v>17270</v>
      </c>
      <c r="I107" s="29">
        <v>17480</v>
      </c>
      <c r="J107" s="29">
        <v>15690</v>
      </c>
      <c r="K107" s="29">
        <v>16210</v>
      </c>
      <c r="L107" s="29">
        <v>17645</v>
      </c>
      <c r="M107" s="29">
        <v>17865</v>
      </c>
      <c r="N107" s="29">
        <v>18135</v>
      </c>
      <c r="O107" s="29">
        <v>19005</v>
      </c>
      <c r="P107" s="29">
        <v>19195</v>
      </c>
      <c r="Q107" s="29">
        <v>18250</v>
      </c>
      <c r="R107" s="29">
        <v>17965</v>
      </c>
      <c r="S107" s="29">
        <v>19210</v>
      </c>
      <c r="T107" s="29">
        <v>18505</v>
      </c>
      <c r="U107" s="29">
        <v>19420</v>
      </c>
      <c r="V107" s="29">
        <v>19295</v>
      </c>
      <c r="W107" s="29">
        <v>18235</v>
      </c>
      <c r="X107" s="29">
        <v>18095</v>
      </c>
      <c r="Y107" s="29">
        <v>18735</v>
      </c>
      <c r="Z107" s="29">
        <v>19550</v>
      </c>
      <c r="AA107" s="29">
        <v>19540</v>
      </c>
      <c r="AB107" s="29">
        <v>20185</v>
      </c>
      <c r="AC107" s="29">
        <v>21310</v>
      </c>
      <c r="AD107" s="29">
        <v>20345</v>
      </c>
      <c r="AE107" s="29">
        <v>19370</v>
      </c>
      <c r="AF107" s="29">
        <v>19940</v>
      </c>
      <c r="AG107" s="29">
        <v>20170</v>
      </c>
      <c r="AH107" s="29">
        <v>19530</v>
      </c>
      <c r="AI107" s="29">
        <v>20495</v>
      </c>
      <c r="AJ107" s="29">
        <v>20415</v>
      </c>
      <c r="AK107" s="29">
        <v>20845</v>
      </c>
      <c r="AL107" s="29">
        <v>20485</v>
      </c>
      <c r="AM107" s="29">
        <v>19530</v>
      </c>
      <c r="AN107" s="29">
        <v>19880</v>
      </c>
      <c r="AO107" s="29">
        <v>19840</v>
      </c>
      <c r="AP107" s="29">
        <v>19220</v>
      </c>
      <c r="AQ107" s="29">
        <v>17865</v>
      </c>
      <c r="AR107" s="29">
        <v>18280</v>
      </c>
      <c r="AS107" s="29">
        <v>16810</v>
      </c>
      <c r="AT107" s="29">
        <v>18085</v>
      </c>
      <c r="AU107" s="29">
        <v>18765</v>
      </c>
      <c r="AV107" s="29">
        <v>17955</v>
      </c>
      <c r="AW107" s="29">
        <v>16990</v>
      </c>
      <c r="AX107" s="29">
        <v>17970</v>
      </c>
      <c r="AY107" s="29">
        <v>17740</v>
      </c>
      <c r="AZ107" s="29">
        <v>18310</v>
      </c>
      <c r="BA107" s="29">
        <v>18455</v>
      </c>
      <c r="BB107" s="29">
        <v>17080</v>
      </c>
      <c r="BC107" s="29">
        <v>16665</v>
      </c>
      <c r="BD107" s="29">
        <v>15905</v>
      </c>
      <c r="BE107" s="29">
        <v>16445</v>
      </c>
      <c r="BF107" s="29">
        <v>16590</v>
      </c>
      <c r="BG107" s="29">
        <v>18230</v>
      </c>
      <c r="BH107" s="29">
        <v>19320</v>
      </c>
      <c r="BI107" s="29">
        <v>19070</v>
      </c>
      <c r="BJ107" s="29">
        <v>19365</v>
      </c>
      <c r="BK107" s="29">
        <v>19400</v>
      </c>
      <c r="BL107" s="30">
        <v>18765</v>
      </c>
      <c r="BM107" s="1">
        <v>18675</v>
      </c>
      <c r="BN107" s="1">
        <v>17430</v>
      </c>
      <c r="BO107" s="1">
        <v>17635</v>
      </c>
      <c r="BP107" s="1">
        <v>17675</v>
      </c>
      <c r="BQ107" s="1">
        <v>17800</v>
      </c>
      <c r="BR107" s="1">
        <v>17610</v>
      </c>
      <c r="BS107" s="1">
        <v>17295</v>
      </c>
      <c r="BT107" s="1">
        <v>16820</v>
      </c>
      <c r="BU107" s="1">
        <v>16720</v>
      </c>
      <c r="BV107" s="1">
        <v>16665</v>
      </c>
      <c r="BW107" s="1">
        <v>16900</v>
      </c>
      <c r="BX107" s="1">
        <v>16995</v>
      </c>
      <c r="BY107" s="1">
        <v>16765</v>
      </c>
      <c r="BZ107" s="1">
        <v>16315</v>
      </c>
    </row>
    <row r="108" spans="1:254" ht="15.9" customHeight="1">
      <c r="A108" s="65" t="s">
        <v>211</v>
      </c>
      <c r="B108" s="25" t="s">
        <v>212</v>
      </c>
      <c r="C108" s="39">
        <f>_xll.RssMarket("8424","高値")</f>
        <v>4418</v>
      </c>
      <c r="D108" s="38">
        <f t="shared" si="3"/>
        <v>0</v>
      </c>
      <c r="E108" s="34">
        <v>4418</v>
      </c>
      <c r="F108" s="34">
        <v>4409</v>
      </c>
      <c r="G108" s="29">
        <v>4462</v>
      </c>
      <c r="H108" s="29">
        <v>4509</v>
      </c>
      <c r="I108" s="29">
        <v>4586</v>
      </c>
      <c r="J108" s="29">
        <v>4585</v>
      </c>
      <c r="K108" s="29">
        <v>4620</v>
      </c>
      <c r="L108" s="29">
        <v>4549</v>
      </c>
      <c r="M108" s="29">
        <v>4520</v>
      </c>
      <c r="N108" s="29">
        <v>4433</v>
      </c>
      <c r="O108" s="29">
        <v>4440</v>
      </c>
      <c r="P108" s="29">
        <v>4441</v>
      </c>
      <c r="Q108" s="29">
        <v>4449</v>
      </c>
      <c r="R108" s="29">
        <v>4392</v>
      </c>
      <c r="S108" s="29">
        <v>4390</v>
      </c>
      <c r="T108" s="29">
        <v>4361</v>
      </c>
      <c r="U108" s="29">
        <v>4318</v>
      </c>
      <c r="V108" s="29">
        <v>4291</v>
      </c>
      <c r="W108" s="29">
        <v>4306</v>
      </c>
      <c r="X108" s="29">
        <v>4309</v>
      </c>
      <c r="Y108" s="29">
        <v>4309</v>
      </c>
      <c r="Z108" s="29">
        <v>4245</v>
      </c>
      <c r="AA108" s="29">
        <v>4239</v>
      </c>
      <c r="AB108" s="29">
        <v>4236</v>
      </c>
      <c r="AC108" s="29">
        <v>4230</v>
      </c>
      <c r="AD108" s="29">
        <v>4250</v>
      </c>
      <c r="AE108" s="29">
        <v>4274</v>
      </c>
      <c r="AF108" s="29">
        <v>4260</v>
      </c>
      <c r="AG108" s="29">
        <v>4250</v>
      </c>
      <c r="AH108" s="29">
        <v>4216</v>
      </c>
      <c r="AI108" s="29">
        <v>4222</v>
      </c>
      <c r="AJ108" s="29">
        <v>4249</v>
      </c>
      <c r="AK108" s="29">
        <v>4289</v>
      </c>
      <c r="AL108" s="29">
        <v>4265</v>
      </c>
      <c r="AM108" s="29">
        <v>4333</v>
      </c>
      <c r="AN108" s="29">
        <v>4300</v>
      </c>
      <c r="AO108" s="29">
        <v>4347</v>
      </c>
      <c r="AP108" s="29">
        <v>4299</v>
      </c>
      <c r="AQ108" s="29">
        <v>4318</v>
      </c>
      <c r="AR108" s="29">
        <v>4338</v>
      </c>
      <c r="AS108" s="29">
        <v>4192</v>
      </c>
      <c r="AT108" s="29">
        <v>4170</v>
      </c>
      <c r="AU108" s="29">
        <v>4097</v>
      </c>
      <c r="AV108" s="29">
        <v>4107</v>
      </c>
      <c r="AW108" s="29">
        <v>4081</v>
      </c>
      <c r="AX108" s="29">
        <v>4254</v>
      </c>
      <c r="AY108" s="29">
        <v>4196</v>
      </c>
      <c r="AZ108" s="29">
        <v>4200</v>
      </c>
      <c r="BA108" s="29">
        <v>4289</v>
      </c>
      <c r="BB108" s="29">
        <v>4384</v>
      </c>
      <c r="BC108" s="29">
        <v>4414</v>
      </c>
      <c r="BD108" s="29">
        <v>4398</v>
      </c>
      <c r="BE108" s="29">
        <v>4406</v>
      </c>
      <c r="BF108" s="29">
        <v>4388</v>
      </c>
      <c r="BG108" s="29">
        <v>4396</v>
      </c>
      <c r="BH108" s="29">
        <v>4394</v>
      </c>
      <c r="BI108" s="29">
        <v>4397</v>
      </c>
      <c r="BJ108" s="29">
        <v>4460</v>
      </c>
      <c r="BK108" s="29">
        <v>4317</v>
      </c>
      <c r="BL108" s="30">
        <v>4343</v>
      </c>
      <c r="BM108" s="1">
        <v>4344</v>
      </c>
      <c r="BN108" s="1">
        <v>4315</v>
      </c>
      <c r="BO108" s="1">
        <v>4337</v>
      </c>
      <c r="BP108" s="1">
        <v>4350</v>
      </c>
      <c r="BQ108" s="1">
        <v>4294</v>
      </c>
      <c r="BR108" s="1">
        <v>4286</v>
      </c>
      <c r="BS108" s="1">
        <v>4268</v>
      </c>
      <c r="BT108" s="1">
        <v>4282</v>
      </c>
      <c r="BU108" s="1">
        <v>4316</v>
      </c>
      <c r="BV108" s="1">
        <v>4367</v>
      </c>
      <c r="BW108" s="1">
        <v>4350</v>
      </c>
      <c r="BX108" s="1">
        <v>4383</v>
      </c>
      <c r="BY108" s="1">
        <v>4357</v>
      </c>
      <c r="BZ108" s="1">
        <v>4360</v>
      </c>
    </row>
    <row r="109" spans="1:254" ht="15.9" customHeight="1">
      <c r="A109" s="65" t="s">
        <v>213</v>
      </c>
      <c r="B109" s="25" t="s">
        <v>214</v>
      </c>
      <c r="C109" s="39">
        <f>_xll.RssMarket("9020","高値")</f>
        <v>3448</v>
      </c>
      <c r="D109" s="38">
        <f t="shared" si="3"/>
        <v>0</v>
      </c>
      <c r="E109" s="34">
        <v>3448</v>
      </c>
      <c r="F109" s="34">
        <v>3447</v>
      </c>
      <c r="G109" s="29">
        <v>3464</v>
      </c>
      <c r="H109" s="29">
        <v>3604</v>
      </c>
      <c r="I109" s="29">
        <v>3748</v>
      </c>
      <c r="J109" s="29">
        <v>3945</v>
      </c>
      <c r="K109" s="29">
        <v>3966</v>
      </c>
      <c r="L109" s="29">
        <v>3847</v>
      </c>
      <c r="M109" s="29">
        <v>3770</v>
      </c>
      <c r="N109" s="29">
        <v>3632</v>
      </c>
      <c r="O109" s="29">
        <v>3597</v>
      </c>
      <c r="P109" s="29">
        <v>3649</v>
      </c>
      <c r="Q109" s="29">
        <v>3708</v>
      </c>
      <c r="R109" s="29">
        <v>3677</v>
      </c>
      <c r="S109" s="29">
        <v>3605</v>
      </c>
      <c r="T109" s="29">
        <v>3614</v>
      </c>
      <c r="U109" s="29">
        <v>3539</v>
      </c>
      <c r="V109" s="29">
        <v>3528</v>
      </c>
      <c r="W109" s="29">
        <v>3531</v>
      </c>
      <c r="X109" s="29">
        <v>3588</v>
      </c>
      <c r="Y109" s="29">
        <v>3566</v>
      </c>
      <c r="Z109" s="29">
        <v>3519</v>
      </c>
      <c r="AA109" s="29">
        <v>3544</v>
      </c>
      <c r="AB109" s="29">
        <v>3443</v>
      </c>
      <c r="AC109" s="29">
        <v>3394</v>
      </c>
      <c r="AD109" s="29">
        <v>3472</v>
      </c>
      <c r="AE109" s="29">
        <v>3476</v>
      </c>
      <c r="AF109" s="29">
        <v>3388</v>
      </c>
      <c r="AG109" s="29">
        <v>3393</v>
      </c>
      <c r="AH109" s="29">
        <v>3407</v>
      </c>
      <c r="AI109" s="29">
        <v>3373</v>
      </c>
      <c r="AJ109" s="29">
        <v>3382</v>
      </c>
      <c r="AK109" s="29">
        <v>3415</v>
      </c>
      <c r="AL109" s="29">
        <v>3400</v>
      </c>
      <c r="AM109" s="29">
        <v>3455</v>
      </c>
      <c r="AN109" s="29">
        <v>3400</v>
      </c>
      <c r="AO109" s="29">
        <v>3443</v>
      </c>
      <c r="AP109" s="29">
        <v>3467</v>
      </c>
      <c r="AQ109" s="29">
        <v>3513</v>
      </c>
      <c r="AR109" s="29">
        <v>3463</v>
      </c>
      <c r="AS109" s="29">
        <v>3418</v>
      </c>
      <c r="AT109" s="29">
        <v>3399</v>
      </c>
      <c r="AU109" s="29">
        <v>3318</v>
      </c>
      <c r="AV109" s="29">
        <v>3333</v>
      </c>
      <c r="AW109" s="29">
        <v>3365</v>
      </c>
      <c r="AX109" s="29">
        <v>3500</v>
      </c>
      <c r="AY109" s="29">
        <v>3531</v>
      </c>
      <c r="AZ109" s="29">
        <v>3535</v>
      </c>
      <c r="BA109" s="29">
        <v>3597</v>
      </c>
      <c r="BB109" s="29">
        <v>3670</v>
      </c>
      <c r="BC109" s="29">
        <v>3844</v>
      </c>
      <c r="BD109" s="29">
        <v>3844</v>
      </c>
      <c r="BE109" s="29">
        <v>3819</v>
      </c>
      <c r="BF109" s="29">
        <v>3796</v>
      </c>
      <c r="BG109" s="29">
        <v>3773</v>
      </c>
      <c r="BH109" s="29">
        <v>3724</v>
      </c>
      <c r="BI109" s="29">
        <v>3802</v>
      </c>
      <c r="BJ109" s="29">
        <v>3698</v>
      </c>
      <c r="BK109" s="29">
        <v>3690</v>
      </c>
      <c r="BL109" s="30">
        <v>3666</v>
      </c>
      <c r="BM109" s="1">
        <v>3709</v>
      </c>
      <c r="BN109" s="1">
        <v>3785</v>
      </c>
      <c r="BO109" s="1">
        <v>3451</v>
      </c>
      <c r="BP109" s="1">
        <v>3464</v>
      </c>
      <c r="BQ109" s="1">
        <v>3461</v>
      </c>
      <c r="BR109" s="1">
        <v>3485</v>
      </c>
      <c r="BS109" s="1">
        <v>3512</v>
      </c>
      <c r="BT109" s="1">
        <v>3545</v>
      </c>
      <c r="BU109" s="1">
        <v>3544</v>
      </c>
      <c r="BV109" s="1">
        <v>3535</v>
      </c>
      <c r="BW109" s="1">
        <v>3530</v>
      </c>
      <c r="BX109" s="1">
        <v>3590</v>
      </c>
      <c r="BY109" s="1">
        <v>3584</v>
      </c>
      <c r="BZ109" s="1">
        <v>3584</v>
      </c>
    </row>
    <row r="110" spans="1:254" ht="15.9" customHeight="1">
      <c r="A110" s="65" t="s">
        <v>215</v>
      </c>
      <c r="B110" s="25" t="s">
        <v>216</v>
      </c>
      <c r="C110" s="39">
        <f>_xll.RssMarket("9069","高値")</f>
        <v>2227.5</v>
      </c>
      <c r="D110" s="38">
        <f t="shared" si="3"/>
        <v>0</v>
      </c>
      <c r="E110" s="34">
        <v>2227.5</v>
      </c>
      <c r="F110" s="34">
        <v>2218.5</v>
      </c>
      <c r="G110" s="29">
        <v>2218</v>
      </c>
      <c r="H110" s="29">
        <v>2233</v>
      </c>
      <c r="I110" s="29">
        <v>2245.5</v>
      </c>
      <c r="J110" s="29">
        <v>2264</v>
      </c>
      <c r="K110" s="29">
        <v>2274</v>
      </c>
      <c r="L110" s="29">
        <v>2225.5</v>
      </c>
      <c r="M110" s="29">
        <v>2209</v>
      </c>
      <c r="N110" s="29">
        <v>2199</v>
      </c>
      <c r="O110" s="29">
        <v>2186.5</v>
      </c>
      <c r="P110" s="29">
        <v>2223</v>
      </c>
      <c r="Q110" s="29">
        <v>2252.5</v>
      </c>
      <c r="R110" s="29">
        <v>2195</v>
      </c>
      <c r="S110" s="29">
        <v>2145</v>
      </c>
      <c r="T110" s="29">
        <v>2144</v>
      </c>
      <c r="U110" s="29">
        <v>2114</v>
      </c>
      <c r="V110" s="29">
        <v>2062.5</v>
      </c>
      <c r="W110" s="29">
        <v>2057.5</v>
      </c>
      <c r="X110" s="29">
        <v>2032.5</v>
      </c>
      <c r="Y110" s="29">
        <v>2026.5</v>
      </c>
      <c r="Z110" s="29">
        <v>2005</v>
      </c>
      <c r="AA110" s="29">
        <v>1988</v>
      </c>
      <c r="AB110" s="29">
        <v>1937.5</v>
      </c>
      <c r="AC110" s="29">
        <v>1953</v>
      </c>
      <c r="AD110" s="29">
        <v>1966.5</v>
      </c>
      <c r="AE110" s="29">
        <v>1953.5</v>
      </c>
      <c r="AF110" s="29">
        <v>1924.5</v>
      </c>
      <c r="AG110" s="29">
        <v>1917.5</v>
      </c>
      <c r="AH110" s="29">
        <v>1905.5</v>
      </c>
      <c r="AI110" s="29">
        <v>1906.5</v>
      </c>
      <c r="AJ110" s="29">
        <v>1911</v>
      </c>
      <c r="AK110" s="29">
        <v>1902</v>
      </c>
      <c r="AL110" s="29">
        <v>1917</v>
      </c>
      <c r="AM110" s="29">
        <v>1952.5</v>
      </c>
      <c r="AN110" s="29">
        <v>1956.5</v>
      </c>
      <c r="AO110" s="29">
        <v>1993</v>
      </c>
      <c r="AP110" s="29">
        <v>1956</v>
      </c>
      <c r="AQ110" s="29">
        <v>1961</v>
      </c>
      <c r="AR110" s="29">
        <v>1965.5</v>
      </c>
      <c r="AS110" s="29">
        <v>1959.5</v>
      </c>
      <c r="AT110" s="29">
        <v>1930</v>
      </c>
      <c r="AU110" s="29">
        <v>1912.5</v>
      </c>
      <c r="AV110" s="29">
        <v>1925</v>
      </c>
      <c r="AW110" s="29">
        <v>1902.5</v>
      </c>
      <c r="AX110" s="29">
        <v>1942.5</v>
      </c>
      <c r="AY110" s="29">
        <v>1939</v>
      </c>
      <c r="AZ110" s="29">
        <v>1932</v>
      </c>
      <c r="BA110" s="29">
        <v>1964</v>
      </c>
      <c r="BB110" s="29">
        <v>2034</v>
      </c>
      <c r="BC110" s="29">
        <v>2053</v>
      </c>
      <c r="BD110" s="29">
        <v>2027</v>
      </c>
      <c r="BE110" s="29">
        <v>2044.5</v>
      </c>
      <c r="BF110" s="29">
        <v>2022.5</v>
      </c>
      <c r="BG110" s="29">
        <v>2056</v>
      </c>
      <c r="BH110" s="29">
        <v>2029</v>
      </c>
      <c r="BI110" s="29">
        <v>1864</v>
      </c>
      <c r="BJ110" s="29">
        <v>1867</v>
      </c>
      <c r="BK110" s="29">
        <v>1868.5</v>
      </c>
      <c r="BL110" s="30">
        <v>1874</v>
      </c>
      <c r="BM110" s="1">
        <v>1884</v>
      </c>
      <c r="BN110" s="1">
        <v>1855.5</v>
      </c>
      <c r="BO110" s="1">
        <v>1861</v>
      </c>
      <c r="BP110" s="1">
        <v>1868</v>
      </c>
      <c r="BQ110" s="1">
        <v>1840</v>
      </c>
      <c r="BR110" s="1">
        <v>1887</v>
      </c>
      <c r="BS110" s="1">
        <v>1909</v>
      </c>
      <c r="BT110" s="1">
        <v>1915</v>
      </c>
      <c r="BU110" s="1">
        <v>1920</v>
      </c>
      <c r="BV110" s="1">
        <v>1908</v>
      </c>
      <c r="BW110" s="1">
        <v>1922.5</v>
      </c>
      <c r="BX110" s="1">
        <v>1924</v>
      </c>
      <c r="BY110" s="1">
        <v>1927</v>
      </c>
      <c r="BZ110" s="1">
        <v>1884.5</v>
      </c>
    </row>
    <row r="111" spans="1:254" ht="15.9" customHeight="1">
      <c r="A111" s="65" t="s">
        <v>217</v>
      </c>
      <c r="B111" s="25" t="s">
        <v>218</v>
      </c>
      <c r="C111" s="39">
        <f>_xll.RssMarket("9227","高値")</f>
        <v>904</v>
      </c>
      <c r="D111" s="38">
        <f t="shared" si="3"/>
        <v>0</v>
      </c>
      <c r="E111" s="34">
        <v>904</v>
      </c>
      <c r="F111" s="34">
        <v>898</v>
      </c>
      <c r="G111" s="29">
        <v>888</v>
      </c>
      <c r="H111" s="29">
        <v>856</v>
      </c>
      <c r="I111" s="29">
        <v>888</v>
      </c>
      <c r="J111" s="29">
        <v>1041</v>
      </c>
      <c r="K111" s="29">
        <v>967</v>
      </c>
      <c r="L111" s="29">
        <v>819</v>
      </c>
      <c r="M111" s="29">
        <v>823</v>
      </c>
      <c r="N111" s="29"/>
      <c r="O111" s="29">
        <v>821</v>
      </c>
      <c r="P111" s="29">
        <v>831</v>
      </c>
      <c r="Q111" s="29">
        <v>813</v>
      </c>
      <c r="R111" s="29">
        <v>811</v>
      </c>
      <c r="S111" s="29">
        <v>846</v>
      </c>
      <c r="T111" s="29">
        <v>846</v>
      </c>
      <c r="U111" s="29">
        <v>888</v>
      </c>
      <c r="V111" s="29">
        <v>882</v>
      </c>
      <c r="W111" s="29">
        <v>902</v>
      </c>
      <c r="X111" s="29">
        <v>949</v>
      </c>
      <c r="Y111" s="29">
        <v>989</v>
      </c>
      <c r="Z111" s="29">
        <v>955</v>
      </c>
      <c r="AA111" s="29">
        <v>942</v>
      </c>
      <c r="AB111" s="29">
        <v>957</v>
      </c>
      <c r="AC111" s="29">
        <v>963</v>
      </c>
      <c r="AD111" s="29">
        <v>913</v>
      </c>
      <c r="AE111" s="29">
        <v>898</v>
      </c>
      <c r="AF111" s="29">
        <v>902</v>
      </c>
      <c r="AG111" s="29">
        <v>900</v>
      </c>
      <c r="AH111" s="29">
        <v>902</v>
      </c>
      <c r="AI111" s="29">
        <v>957</v>
      </c>
      <c r="AJ111" s="29">
        <v>957</v>
      </c>
      <c r="AK111" s="29">
        <v>917</v>
      </c>
      <c r="AL111" s="29">
        <v>903</v>
      </c>
      <c r="AM111" s="29">
        <v>896</v>
      </c>
      <c r="AN111" s="29">
        <v>906</v>
      </c>
      <c r="AO111" s="29">
        <v>936</v>
      </c>
      <c r="AP111" s="29">
        <v>890</v>
      </c>
      <c r="AQ111" s="29">
        <v>878</v>
      </c>
      <c r="AR111" s="29">
        <v>920</v>
      </c>
      <c r="AS111" s="29">
        <v>928</v>
      </c>
      <c r="AT111" s="29">
        <v>944</v>
      </c>
      <c r="AU111" s="29">
        <v>912</v>
      </c>
      <c r="AV111" s="29">
        <v>940</v>
      </c>
      <c r="AW111" s="29">
        <v>960</v>
      </c>
      <c r="AX111" s="29">
        <v>1103</v>
      </c>
      <c r="AY111" s="29">
        <v>1268</v>
      </c>
      <c r="AZ111" s="29">
        <v>1415</v>
      </c>
      <c r="BA111" s="29">
        <v>1093</v>
      </c>
      <c r="BB111" s="29">
        <v>943</v>
      </c>
      <c r="BC111" s="29">
        <v>806</v>
      </c>
      <c r="BD111" s="29">
        <v>801</v>
      </c>
      <c r="BE111" s="29">
        <v>857</v>
      </c>
      <c r="BF111" s="29">
        <v>840</v>
      </c>
      <c r="BG111" s="29">
        <v>855</v>
      </c>
      <c r="BH111" s="29">
        <v>854</v>
      </c>
      <c r="BI111" s="29">
        <v>876</v>
      </c>
      <c r="BJ111" s="29">
        <v>1007</v>
      </c>
      <c r="BK111" s="29">
        <v>1015</v>
      </c>
      <c r="BL111" s="30">
        <v>1019</v>
      </c>
      <c r="BM111" s="1">
        <v>1047</v>
      </c>
      <c r="BN111" s="1">
        <v>1044</v>
      </c>
      <c r="BO111" s="1">
        <v>1084</v>
      </c>
      <c r="BP111" s="1">
        <v>1125</v>
      </c>
      <c r="BQ111" s="1">
        <v>1072</v>
      </c>
      <c r="BR111" s="1">
        <v>1121</v>
      </c>
      <c r="BS111" s="1">
        <v>1165</v>
      </c>
      <c r="BT111" s="1">
        <v>1180</v>
      </c>
      <c r="BU111" s="1">
        <v>1315</v>
      </c>
      <c r="BV111" s="1">
        <v>1244</v>
      </c>
      <c r="BW111" s="1">
        <v>1064</v>
      </c>
      <c r="BX111" s="1">
        <v>1078</v>
      </c>
      <c r="BY111" s="1">
        <v>1048</v>
      </c>
      <c r="BZ111" s="1">
        <v>1034</v>
      </c>
    </row>
    <row r="112" spans="1:254" ht="15.9" customHeight="1">
      <c r="A112" s="65" t="s">
        <v>219</v>
      </c>
      <c r="B112" s="25" t="s">
        <v>220</v>
      </c>
      <c r="C112" s="39">
        <f>_xll.RssMarket("9348","高値")</f>
        <v>420</v>
      </c>
      <c r="D112" s="38">
        <f t="shared" si="3"/>
        <v>0</v>
      </c>
      <c r="E112" s="34">
        <v>420</v>
      </c>
      <c r="F112" s="34">
        <v>424</v>
      </c>
      <c r="G112" s="29">
        <v>413</v>
      </c>
      <c r="H112" s="29">
        <v>406</v>
      </c>
      <c r="I112" s="29">
        <v>411</v>
      </c>
      <c r="J112" s="29">
        <v>415</v>
      </c>
      <c r="K112" s="29">
        <v>408</v>
      </c>
      <c r="L112" s="29">
        <v>413</v>
      </c>
      <c r="M112" s="29">
        <v>420</v>
      </c>
      <c r="N112" s="29"/>
      <c r="O112" s="29">
        <v>419</v>
      </c>
      <c r="P112" s="29">
        <v>423</v>
      </c>
      <c r="Q112" s="29">
        <v>415</v>
      </c>
      <c r="R112" s="29">
        <v>417</v>
      </c>
      <c r="S112" s="29">
        <v>450</v>
      </c>
      <c r="T112" s="29">
        <v>443</v>
      </c>
      <c r="U112" s="29">
        <v>464</v>
      </c>
      <c r="V112" s="29">
        <v>500</v>
      </c>
      <c r="W112" s="29">
        <v>508</v>
      </c>
      <c r="X112" s="29">
        <v>437</v>
      </c>
      <c r="Y112" s="29">
        <v>456</v>
      </c>
      <c r="Z112" s="29">
        <v>458</v>
      </c>
      <c r="AA112" s="29">
        <v>453</v>
      </c>
      <c r="AB112" s="29">
        <v>448</v>
      </c>
      <c r="AC112" s="29">
        <v>446</v>
      </c>
      <c r="AD112" s="29">
        <v>458</v>
      </c>
      <c r="AE112" s="29">
        <v>442</v>
      </c>
      <c r="AF112" s="29">
        <v>442</v>
      </c>
      <c r="AG112" s="29">
        <v>446</v>
      </c>
      <c r="AH112" s="29">
        <v>451</v>
      </c>
      <c r="AI112" s="29">
        <v>456</v>
      </c>
      <c r="AJ112" s="29">
        <v>465</v>
      </c>
      <c r="AK112" s="29">
        <v>469</v>
      </c>
      <c r="AL112" s="29">
        <v>482</v>
      </c>
      <c r="AM112" s="29">
        <v>494</v>
      </c>
      <c r="AN112" s="29">
        <v>512</v>
      </c>
      <c r="AO112" s="29">
        <v>550</v>
      </c>
      <c r="AP112" s="29">
        <v>603</v>
      </c>
      <c r="AQ112" s="29">
        <v>581</v>
      </c>
      <c r="AR112" s="29">
        <v>589</v>
      </c>
      <c r="AS112" s="29">
        <v>611</v>
      </c>
      <c r="AT112" s="29">
        <v>633</v>
      </c>
      <c r="AU112" s="29">
        <v>584</v>
      </c>
      <c r="AV112" s="29">
        <v>605</v>
      </c>
      <c r="AW112" s="29">
        <v>589</v>
      </c>
      <c r="AX112" s="29">
        <v>710</v>
      </c>
      <c r="AY112" s="29">
        <v>700</v>
      </c>
      <c r="AZ112" s="29">
        <v>690</v>
      </c>
      <c r="BA112" s="29">
        <v>627</v>
      </c>
      <c r="BB112" s="29">
        <v>584</v>
      </c>
      <c r="BC112" s="29">
        <v>521</v>
      </c>
      <c r="BD112" s="29">
        <v>536</v>
      </c>
      <c r="BE112" s="29">
        <v>541</v>
      </c>
      <c r="BF112" s="29">
        <v>506</v>
      </c>
      <c r="BG112" s="29">
        <v>522</v>
      </c>
      <c r="BH112" s="29">
        <v>518</v>
      </c>
      <c r="BI112" s="29">
        <v>498</v>
      </c>
      <c r="BJ112" s="29">
        <v>511</v>
      </c>
      <c r="BK112" s="29">
        <v>520</v>
      </c>
      <c r="BL112" s="30">
        <v>504</v>
      </c>
      <c r="BM112" s="1">
        <v>489</v>
      </c>
      <c r="BN112" s="1">
        <v>475</v>
      </c>
      <c r="BO112" s="1">
        <v>477</v>
      </c>
      <c r="BP112" s="1">
        <v>481</v>
      </c>
      <c r="BQ112" s="1">
        <v>482</v>
      </c>
      <c r="BR112" s="1">
        <v>490</v>
      </c>
      <c r="BS112" s="1">
        <v>496</v>
      </c>
      <c r="BT112" s="1">
        <v>498</v>
      </c>
      <c r="BU112" s="1">
        <v>499</v>
      </c>
      <c r="BV112" s="1">
        <v>511</v>
      </c>
      <c r="BW112" s="1">
        <v>505</v>
      </c>
      <c r="BX112" s="1">
        <v>518</v>
      </c>
      <c r="BY112" s="1">
        <v>522</v>
      </c>
      <c r="BZ112" s="1">
        <v>514</v>
      </c>
    </row>
    <row r="113" spans="1:254" ht="15.9" customHeight="1">
      <c r="A113" s="65" t="s">
        <v>221</v>
      </c>
      <c r="B113" s="25" t="s">
        <v>222</v>
      </c>
      <c r="C113" s="39">
        <f>_xll.RssMarket("9449","高値")</f>
        <v>4223</v>
      </c>
      <c r="D113" s="38">
        <f t="shared" si="3"/>
        <v>0</v>
      </c>
      <c r="E113" s="34">
        <v>4223</v>
      </c>
      <c r="F113" s="34">
        <v>4274</v>
      </c>
      <c r="G113" s="29">
        <v>4213</v>
      </c>
      <c r="H113" s="29">
        <v>4204</v>
      </c>
      <c r="I113" s="29">
        <v>4254</v>
      </c>
      <c r="J113" s="29">
        <v>4302</v>
      </c>
      <c r="K113" s="29">
        <v>4285</v>
      </c>
      <c r="L113" s="29">
        <v>4168</v>
      </c>
      <c r="M113" s="29">
        <v>4120</v>
      </c>
      <c r="N113" s="29">
        <v>3926</v>
      </c>
      <c r="O113" s="29">
        <v>4001</v>
      </c>
      <c r="P113" s="29">
        <v>4012</v>
      </c>
      <c r="Q113" s="29">
        <v>4127</v>
      </c>
      <c r="R113" s="29">
        <v>4112</v>
      </c>
      <c r="S113" s="29">
        <v>4058</v>
      </c>
      <c r="T113" s="29">
        <v>4050</v>
      </c>
      <c r="U113" s="29">
        <v>3935</v>
      </c>
      <c r="V113" s="29">
        <v>4000</v>
      </c>
      <c r="W113" s="29">
        <v>3843</v>
      </c>
      <c r="X113" s="29">
        <v>3863</v>
      </c>
      <c r="Y113" s="29">
        <v>3720</v>
      </c>
      <c r="Z113" s="29">
        <v>3652</v>
      </c>
      <c r="AA113" s="29">
        <v>3640</v>
      </c>
      <c r="AB113" s="29">
        <v>3623</v>
      </c>
      <c r="AC113" s="29">
        <v>3415</v>
      </c>
      <c r="AD113" s="29">
        <v>3424</v>
      </c>
      <c r="AE113" s="29">
        <v>3503</v>
      </c>
      <c r="AF113" s="29">
        <v>3298</v>
      </c>
      <c r="AG113" s="29">
        <v>3263</v>
      </c>
      <c r="AH113" s="29">
        <v>3285</v>
      </c>
      <c r="AI113" s="29">
        <v>3535</v>
      </c>
      <c r="AJ113" s="29">
        <v>3576</v>
      </c>
      <c r="AK113" s="29">
        <v>3112</v>
      </c>
      <c r="AL113" s="29">
        <v>3149</v>
      </c>
      <c r="AM113" s="29">
        <v>3128</v>
      </c>
      <c r="AN113" s="29">
        <v>3101</v>
      </c>
      <c r="AO113" s="29">
        <v>3137</v>
      </c>
      <c r="AP113" s="29">
        <v>3145</v>
      </c>
      <c r="AQ113" s="29">
        <v>3180</v>
      </c>
      <c r="AR113" s="29">
        <v>3208</v>
      </c>
      <c r="AS113" s="29">
        <v>3196</v>
      </c>
      <c r="AT113" s="29">
        <v>3274</v>
      </c>
      <c r="AU113" s="29">
        <v>3332</v>
      </c>
      <c r="AV113" s="29">
        <v>3315</v>
      </c>
      <c r="AW113" s="29">
        <v>3370</v>
      </c>
      <c r="AX113" s="29">
        <v>3416</v>
      </c>
      <c r="AY113" s="29">
        <v>3311</v>
      </c>
      <c r="AZ113" s="29">
        <v>3401</v>
      </c>
      <c r="BA113" s="29">
        <v>3445</v>
      </c>
      <c r="BB113" s="29">
        <v>3431</v>
      </c>
      <c r="BC113" s="29">
        <v>3355</v>
      </c>
      <c r="BD113" s="29">
        <v>3378</v>
      </c>
      <c r="BE113" s="29">
        <v>3367</v>
      </c>
      <c r="BF113" s="29">
        <v>3345</v>
      </c>
      <c r="BG113" s="29">
        <v>3154</v>
      </c>
      <c r="BH113" s="29">
        <v>3172</v>
      </c>
      <c r="BI113" s="29">
        <v>3205</v>
      </c>
      <c r="BJ113" s="29">
        <v>3220</v>
      </c>
      <c r="BK113" s="29">
        <v>3216</v>
      </c>
      <c r="BL113" s="30">
        <v>3189</v>
      </c>
      <c r="BM113" s="1">
        <v>3124</v>
      </c>
      <c r="BN113" s="1">
        <v>3068</v>
      </c>
      <c r="BO113" s="1">
        <v>3086</v>
      </c>
      <c r="BP113" s="1">
        <v>3143</v>
      </c>
      <c r="BQ113" s="1">
        <v>3157</v>
      </c>
      <c r="BR113" s="1">
        <v>3166</v>
      </c>
      <c r="BS113" s="1">
        <v>3246</v>
      </c>
      <c r="BT113" s="1">
        <v>3343</v>
      </c>
      <c r="BU113" s="1">
        <v>3334</v>
      </c>
      <c r="BV113" s="1">
        <v>3287</v>
      </c>
      <c r="BW113" s="1">
        <v>3306</v>
      </c>
      <c r="BX113" s="1">
        <v>3302</v>
      </c>
      <c r="BY113" s="1">
        <v>3099</v>
      </c>
      <c r="BZ113" s="1">
        <v>3065</v>
      </c>
    </row>
    <row r="114" spans="1:254" ht="15.9" customHeight="1">
      <c r="A114" s="65" t="s">
        <v>223</v>
      </c>
      <c r="B114" s="25" t="s">
        <v>224</v>
      </c>
      <c r="C114" s="39">
        <f>_xll.RssMarket("9501","高値")</f>
        <v>542.70000000000005</v>
      </c>
      <c r="D114" s="38">
        <f t="shared" si="3"/>
        <v>0</v>
      </c>
      <c r="E114" s="34">
        <v>542.70000000000005</v>
      </c>
      <c r="F114" s="34">
        <v>534.29999999999995</v>
      </c>
      <c r="G114" s="29">
        <v>538.4</v>
      </c>
      <c r="H114" s="29">
        <v>529.70000000000005</v>
      </c>
      <c r="I114" s="29">
        <v>549.4</v>
      </c>
      <c r="J114" s="29">
        <v>530.70000000000005</v>
      </c>
      <c r="K114" s="29">
        <v>535.6</v>
      </c>
      <c r="L114" s="29">
        <v>535.79999999999995</v>
      </c>
      <c r="M114" s="29">
        <v>538.5</v>
      </c>
      <c r="N114" s="29">
        <v>521.20000000000005</v>
      </c>
      <c r="O114" s="29">
        <v>524.6</v>
      </c>
      <c r="P114" s="29">
        <v>509.9</v>
      </c>
      <c r="Q114" s="29">
        <v>518.20000000000005</v>
      </c>
      <c r="R114" s="29">
        <v>507</v>
      </c>
      <c r="S114" s="29">
        <v>516.79999999999995</v>
      </c>
      <c r="T114" s="29">
        <v>509.7</v>
      </c>
      <c r="U114" s="29">
        <v>494.8</v>
      </c>
      <c r="V114" s="29">
        <v>497</v>
      </c>
      <c r="W114" s="29">
        <v>482.4</v>
      </c>
      <c r="X114" s="29">
        <v>484.4</v>
      </c>
      <c r="Y114" s="29">
        <v>470.2</v>
      </c>
      <c r="Z114" s="29">
        <v>475.5</v>
      </c>
      <c r="AA114" s="29">
        <v>472.7</v>
      </c>
      <c r="AB114" s="29">
        <v>464.1</v>
      </c>
      <c r="AC114" s="29">
        <v>459</v>
      </c>
      <c r="AD114" s="29">
        <v>469.4</v>
      </c>
      <c r="AE114" s="29">
        <v>469.4</v>
      </c>
      <c r="AF114" s="29">
        <v>477.2</v>
      </c>
      <c r="AG114" s="29">
        <v>489</v>
      </c>
      <c r="AH114" s="29">
        <v>477.7</v>
      </c>
      <c r="AI114" s="29">
        <v>480.9</v>
      </c>
      <c r="AJ114" s="29">
        <v>524</v>
      </c>
      <c r="AK114" s="29">
        <v>526</v>
      </c>
      <c r="AL114" s="29">
        <v>516.79999999999995</v>
      </c>
      <c r="AM114" s="29">
        <v>523.5</v>
      </c>
      <c r="AN114" s="29">
        <v>530</v>
      </c>
      <c r="AO114" s="29">
        <v>536.6</v>
      </c>
      <c r="AP114" s="29">
        <v>511.6</v>
      </c>
      <c r="AQ114" s="29">
        <v>509.3</v>
      </c>
      <c r="AR114" s="29">
        <v>524.20000000000005</v>
      </c>
      <c r="AS114" s="29">
        <v>536.29999999999995</v>
      </c>
      <c r="AT114" s="29">
        <v>555.6</v>
      </c>
      <c r="AU114" s="29">
        <v>571.5</v>
      </c>
      <c r="AV114" s="29">
        <v>580.70000000000005</v>
      </c>
      <c r="AW114" s="29">
        <v>565.70000000000005</v>
      </c>
      <c r="AX114" s="29">
        <v>573.4</v>
      </c>
      <c r="AY114" s="29">
        <v>570.5</v>
      </c>
      <c r="AZ114" s="29">
        <v>592.9</v>
      </c>
      <c r="BA114" s="29">
        <v>573.9</v>
      </c>
      <c r="BB114" s="29">
        <v>567.20000000000005</v>
      </c>
      <c r="BC114" s="29">
        <v>561.79999999999995</v>
      </c>
      <c r="BD114" s="29">
        <v>578</v>
      </c>
      <c r="BE114" s="29">
        <v>592.9</v>
      </c>
      <c r="BF114" s="29">
        <v>598.29999999999995</v>
      </c>
      <c r="BG114" s="29">
        <v>615.79999999999995</v>
      </c>
      <c r="BH114" s="29">
        <v>631.9</v>
      </c>
      <c r="BI114" s="29">
        <v>642.4</v>
      </c>
      <c r="BJ114" s="29">
        <v>663</v>
      </c>
      <c r="BK114" s="29">
        <v>654.9</v>
      </c>
      <c r="BL114" s="30">
        <v>632.79999999999995</v>
      </c>
      <c r="BM114" s="1">
        <v>627.79999999999995</v>
      </c>
      <c r="BN114" s="1">
        <v>615.9</v>
      </c>
      <c r="BO114" s="1">
        <v>603.9</v>
      </c>
      <c r="BP114" s="1">
        <v>613.70000000000005</v>
      </c>
      <c r="BQ114" s="1">
        <v>589.70000000000005</v>
      </c>
      <c r="BR114" s="1">
        <v>593.4</v>
      </c>
      <c r="BS114" s="1">
        <v>623</v>
      </c>
      <c r="BT114" s="1">
        <v>629.9</v>
      </c>
      <c r="BU114" s="1">
        <v>618.29999999999995</v>
      </c>
      <c r="BV114" s="1">
        <v>622</v>
      </c>
      <c r="BW114" s="1">
        <v>644.29999999999995</v>
      </c>
      <c r="BX114" s="1">
        <v>639.9</v>
      </c>
      <c r="BY114" s="1">
        <v>660.9</v>
      </c>
      <c r="BZ114" s="1">
        <v>657.4</v>
      </c>
    </row>
    <row r="115" spans="1:254" ht="15.9" customHeight="1">
      <c r="A115" s="65" t="s">
        <v>225</v>
      </c>
      <c r="B115" s="25" t="s">
        <v>226</v>
      </c>
      <c r="C115" s="39">
        <f>_xll.RssMarket("9531","高値")</f>
        <v>6024</v>
      </c>
      <c r="D115" s="38">
        <f t="shared" si="3"/>
        <v>0</v>
      </c>
      <c r="E115" s="34">
        <v>6024</v>
      </c>
      <c r="F115" s="34">
        <v>6079</v>
      </c>
      <c r="G115" s="29">
        <v>6191</v>
      </c>
      <c r="H115" s="29">
        <v>6224</v>
      </c>
      <c r="I115" s="29">
        <v>6288</v>
      </c>
      <c r="J115" s="29">
        <v>6386</v>
      </c>
      <c r="K115" s="29">
        <v>6312</v>
      </c>
      <c r="L115" s="29">
        <v>6268</v>
      </c>
      <c r="M115" s="29">
        <v>6284</v>
      </c>
      <c r="N115" s="29">
        <v>6258</v>
      </c>
      <c r="O115" s="29">
        <v>6168</v>
      </c>
      <c r="P115" s="29">
        <v>6155</v>
      </c>
      <c r="Q115" s="29">
        <v>6206</v>
      </c>
      <c r="R115" s="29">
        <v>6144</v>
      </c>
      <c r="S115" s="29">
        <v>6150</v>
      </c>
      <c r="T115" s="29">
        <v>6059</v>
      </c>
      <c r="U115" s="29">
        <v>6030</v>
      </c>
      <c r="V115" s="29">
        <v>6070</v>
      </c>
      <c r="W115" s="29">
        <v>6158</v>
      </c>
      <c r="X115" s="29">
        <v>6174</v>
      </c>
      <c r="Y115" s="29">
        <v>6173</v>
      </c>
      <c r="Z115" s="29">
        <v>6192</v>
      </c>
      <c r="AA115" s="29">
        <v>6124</v>
      </c>
      <c r="AB115" s="29">
        <v>6098</v>
      </c>
      <c r="AC115" s="29">
        <v>6083</v>
      </c>
      <c r="AD115" s="29">
        <v>6227</v>
      </c>
      <c r="AE115" s="29">
        <v>6201</v>
      </c>
      <c r="AF115" s="29">
        <v>6112</v>
      </c>
      <c r="AG115" s="29">
        <v>6147</v>
      </c>
      <c r="AH115" s="29">
        <v>6196</v>
      </c>
      <c r="AI115" s="29">
        <v>6205</v>
      </c>
      <c r="AJ115" s="29">
        <v>6251</v>
      </c>
      <c r="AK115" s="29">
        <v>6208</v>
      </c>
      <c r="AL115" s="29">
        <v>6226</v>
      </c>
      <c r="AM115" s="29">
        <v>6300</v>
      </c>
      <c r="AN115" s="29">
        <v>6269</v>
      </c>
      <c r="AO115" s="29">
        <v>6382</v>
      </c>
      <c r="AP115" s="29">
        <v>6471</v>
      </c>
      <c r="AQ115" s="29">
        <v>6395</v>
      </c>
      <c r="AR115" s="29">
        <v>6462</v>
      </c>
      <c r="AS115" s="29">
        <v>6319</v>
      </c>
      <c r="AT115" s="29">
        <v>6295</v>
      </c>
      <c r="AU115" s="29">
        <v>6365</v>
      </c>
      <c r="AV115" s="29">
        <v>6353</v>
      </c>
      <c r="AW115" s="29">
        <v>6255</v>
      </c>
      <c r="AX115" s="29">
        <v>6432</v>
      </c>
      <c r="AY115" s="29">
        <v>6481</v>
      </c>
      <c r="AZ115" s="29">
        <v>6536</v>
      </c>
      <c r="BA115" s="29">
        <v>6600</v>
      </c>
      <c r="BB115" s="29">
        <v>6698</v>
      </c>
      <c r="BC115" s="29">
        <v>6724</v>
      </c>
      <c r="BD115" s="29">
        <v>6825</v>
      </c>
      <c r="BE115" s="29">
        <v>6765</v>
      </c>
      <c r="BF115" s="29">
        <v>6832</v>
      </c>
      <c r="BG115" s="29">
        <v>6779</v>
      </c>
      <c r="BH115" s="29">
        <v>6640</v>
      </c>
      <c r="BI115" s="29">
        <v>6702</v>
      </c>
      <c r="BJ115" s="29">
        <v>6795</v>
      </c>
      <c r="BK115" s="29">
        <v>6747</v>
      </c>
      <c r="BL115" s="30">
        <v>6786</v>
      </c>
      <c r="BM115" s="1">
        <v>6842</v>
      </c>
      <c r="BN115" s="1">
        <v>6753</v>
      </c>
      <c r="BO115" s="1">
        <v>6774</v>
      </c>
      <c r="BP115" s="1">
        <v>6979</v>
      </c>
      <c r="BQ115" s="1">
        <v>6533</v>
      </c>
      <c r="BR115" s="1">
        <v>6552</v>
      </c>
      <c r="BS115" s="1">
        <v>6489</v>
      </c>
      <c r="BT115" s="1">
        <v>6596</v>
      </c>
      <c r="BU115" s="1">
        <v>6667</v>
      </c>
      <c r="BV115" s="1">
        <v>6924</v>
      </c>
      <c r="BW115" s="1">
        <v>7128</v>
      </c>
      <c r="BX115" s="1">
        <v>7146</v>
      </c>
      <c r="BY115" s="1">
        <v>7072</v>
      </c>
      <c r="BZ115" s="1">
        <v>7085</v>
      </c>
    </row>
    <row r="116" spans="1:254" ht="15.9" customHeight="1">
      <c r="A116" s="65" t="s">
        <v>227</v>
      </c>
      <c r="B116" s="25" t="s">
        <v>228</v>
      </c>
      <c r="C116" s="39">
        <f>_xll.RssMarket("9882","高値")</f>
        <v>1743</v>
      </c>
      <c r="D116" s="38">
        <f t="shared" si="3"/>
        <v>0</v>
      </c>
      <c r="E116" s="34">
        <v>1743</v>
      </c>
      <c r="F116" s="34">
        <v>1728</v>
      </c>
      <c r="G116" s="29">
        <v>1751</v>
      </c>
      <c r="H116" s="29">
        <v>1773</v>
      </c>
      <c r="I116" s="29">
        <v>1854</v>
      </c>
      <c r="J116" s="29">
        <v>1887</v>
      </c>
      <c r="K116" s="29">
        <v>1891</v>
      </c>
      <c r="L116" s="29">
        <v>1857</v>
      </c>
      <c r="M116" s="29">
        <v>1831</v>
      </c>
      <c r="N116" s="29">
        <v>1787</v>
      </c>
      <c r="O116" s="29">
        <v>1798</v>
      </c>
      <c r="P116" s="29">
        <v>1811</v>
      </c>
      <c r="Q116" s="29">
        <v>1857</v>
      </c>
      <c r="R116" s="29">
        <v>1849</v>
      </c>
      <c r="S116" s="29">
        <v>1827</v>
      </c>
      <c r="T116" s="29">
        <v>1838</v>
      </c>
      <c r="U116" s="29">
        <v>1848</v>
      </c>
      <c r="V116" s="29">
        <v>1846</v>
      </c>
      <c r="W116" s="29">
        <v>1851</v>
      </c>
      <c r="X116" s="29">
        <v>1857</v>
      </c>
      <c r="Y116" s="29">
        <v>1840</v>
      </c>
      <c r="Z116" s="29">
        <v>1817</v>
      </c>
      <c r="AA116" s="29">
        <v>1794</v>
      </c>
      <c r="AB116" s="29">
        <v>1778</v>
      </c>
      <c r="AC116" s="29">
        <v>1764</v>
      </c>
      <c r="AD116" s="29">
        <v>1774</v>
      </c>
      <c r="AE116" s="29">
        <v>1787</v>
      </c>
      <c r="AF116" s="29">
        <v>1776</v>
      </c>
      <c r="AG116" s="29">
        <v>1783</v>
      </c>
      <c r="AH116" s="29">
        <v>1757</v>
      </c>
      <c r="AI116" s="29">
        <v>1764</v>
      </c>
      <c r="AJ116" s="29">
        <v>1770</v>
      </c>
      <c r="AK116" s="29">
        <v>1773</v>
      </c>
      <c r="AL116" s="29">
        <v>1778</v>
      </c>
      <c r="AM116" s="29">
        <v>1757</v>
      </c>
      <c r="AN116" s="29">
        <v>1744</v>
      </c>
      <c r="AO116" s="29">
        <v>1748</v>
      </c>
      <c r="AP116" s="29">
        <v>1748</v>
      </c>
      <c r="AQ116" s="29">
        <v>1728</v>
      </c>
      <c r="AR116" s="29">
        <v>1733</v>
      </c>
      <c r="AS116" s="29">
        <v>1692</v>
      </c>
      <c r="AT116" s="29">
        <v>1675</v>
      </c>
      <c r="AU116" s="29">
        <v>1687</v>
      </c>
      <c r="AV116" s="29">
        <v>1688</v>
      </c>
      <c r="AW116" s="29">
        <v>1640</v>
      </c>
      <c r="AX116" s="29">
        <v>1663</v>
      </c>
      <c r="AY116" s="29">
        <v>1637</v>
      </c>
      <c r="AZ116" s="29">
        <v>1633</v>
      </c>
      <c r="BA116" s="29">
        <v>1627</v>
      </c>
      <c r="BB116" s="29">
        <v>1632</v>
      </c>
      <c r="BC116" s="29">
        <v>1650</v>
      </c>
      <c r="BD116" s="29">
        <v>1646</v>
      </c>
      <c r="BE116" s="29">
        <v>1652</v>
      </c>
      <c r="BF116" s="29">
        <v>1649</v>
      </c>
      <c r="BG116" s="29">
        <v>1637</v>
      </c>
      <c r="BH116" s="29">
        <v>1629</v>
      </c>
      <c r="BI116" s="29">
        <v>1638</v>
      </c>
      <c r="BJ116" s="29">
        <v>1670</v>
      </c>
      <c r="BK116" s="29">
        <v>1679</v>
      </c>
      <c r="BL116" s="30">
        <v>1510</v>
      </c>
      <c r="BM116" s="1">
        <v>1519</v>
      </c>
      <c r="BN116" s="1">
        <v>1513</v>
      </c>
      <c r="BO116" s="1">
        <v>1521</v>
      </c>
      <c r="BP116" s="1">
        <v>1515</v>
      </c>
      <c r="BQ116" s="1">
        <v>1521</v>
      </c>
      <c r="BR116" s="1">
        <v>1525</v>
      </c>
      <c r="BS116" s="1">
        <v>1534</v>
      </c>
      <c r="BT116" s="1">
        <v>1577</v>
      </c>
      <c r="BU116" s="1">
        <v>1579</v>
      </c>
      <c r="BV116" s="1">
        <v>1575</v>
      </c>
      <c r="BW116" s="1">
        <v>1564</v>
      </c>
      <c r="BX116" s="1">
        <v>1570</v>
      </c>
      <c r="BY116" s="1">
        <v>1585</v>
      </c>
      <c r="BZ116" s="1">
        <v>1580</v>
      </c>
    </row>
    <row r="117" spans="1:254" ht="15.9" customHeight="1">
      <c r="A117" s="65" t="s">
        <v>229</v>
      </c>
      <c r="B117" s="25" t="s">
        <v>230</v>
      </c>
      <c r="C117" s="39">
        <f>_xll.RssMarket("5838","高値")</f>
        <v>5613</v>
      </c>
      <c r="D117" s="38">
        <f t="shared" si="3"/>
        <v>0</v>
      </c>
      <c r="E117" s="34">
        <v>5613</v>
      </c>
      <c r="F117" s="34">
        <v>5602</v>
      </c>
      <c r="G117" s="29">
        <v>5427</v>
      </c>
      <c r="H117" s="29">
        <v>5444</v>
      </c>
      <c r="I117" s="29">
        <v>5611</v>
      </c>
      <c r="J117" s="29">
        <v>5336</v>
      </c>
      <c r="K117" s="29">
        <v>5624</v>
      </c>
      <c r="L117" s="29">
        <v>5649</v>
      </c>
      <c r="M117" s="29">
        <v>5673</v>
      </c>
      <c r="N117" s="29">
        <v>5663</v>
      </c>
      <c r="O117" s="29">
        <v>5729</v>
      </c>
      <c r="P117" s="29">
        <v>5528</v>
      </c>
      <c r="Q117" s="29">
        <v>5449</v>
      </c>
      <c r="R117" s="29">
        <v>5486</v>
      </c>
      <c r="S117" s="29">
        <v>5947</v>
      </c>
      <c r="T117" s="29">
        <v>5888</v>
      </c>
      <c r="U117" s="29">
        <v>5913</v>
      </c>
      <c r="V117" s="29">
        <v>5857</v>
      </c>
      <c r="W117" s="29">
        <v>5870</v>
      </c>
      <c r="X117" s="29">
        <v>5941</v>
      </c>
      <c r="Y117" s="29">
        <v>5858</v>
      </c>
      <c r="Z117" s="29">
        <v>5456</v>
      </c>
      <c r="AA117" s="29">
        <v>5409</v>
      </c>
      <c r="AB117" s="29">
        <v>5392</v>
      </c>
      <c r="AC117" s="29">
        <v>5171</v>
      </c>
      <c r="AD117" s="29">
        <v>5313</v>
      </c>
      <c r="AE117" s="29">
        <v>5111</v>
      </c>
      <c r="AF117" s="29">
        <v>5077</v>
      </c>
      <c r="AG117" s="29">
        <v>5035</v>
      </c>
      <c r="AH117" s="29">
        <v>5104</v>
      </c>
      <c r="AI117" s="29">
        <v>5224</v>
      </c>
      <c r="AJ117" s="29">
        <v>5148</v>
      </c>
      <c r="AK117" s="29">
        <v>5286</v>
      </c>
      <c r="AL117" s="29">
        <v>5356</v>
      </c>
      <c r="AM117" s="29">
        <v>5311</v>
      </c>
      <c r="AN117" s="29">
        <v>5335</v>
      </c>
      <c r="AO117" s="29">
        <v>5416</v>
      </c>
      <c r="AP117" s="29">
        <v>5279</v>
      </c>
      <c r="AQ117" s="29">
        <v>5218</v>
      </c>
      <c r="AR117" s="29">
        <v>5154</v>
      </c>
      <c r="AS117" s="29">
        <v>4980</v>
      </c>
      <c r="AT117" s="29">
        <v>5174</v>
      </c>
      <c r="AU117" s="29">
        <v>5060</v>
      </c>
      <c r="AV117" s="29">
        <v>4965</v>
      </c>
      <c r="AW117" s="29">
        <v>4575</v>
      </c>
      <c r="AX117" s="29">
        <v>4938</v>
      </c>
      <c r="AY117" s="29">
        <v>4907</v>
      </c>
      <c r="AZ117" s="29">
        <v>4965</v>
      </c>
      <c r="BA117" s="29">
        <v>5110</v>
      </c>
      <c r="BB117" s="29">
        <v>5350</v>
      </c>
      <c r="BC117" s="29">
        <v>5642</v>
      </c>
      <c r="BD117" s="29">
        <v>6896</v>
      </c>
      <c r="BE117" s="29">
        <v>7026</v>
      </c>
      <c r="BF117" s="29">
        <v>6665</v>
      </c>
      <c r="BG117" s="29">
        <v>6078</v>
      </c>
      <c r="BH117" s="29">
        <v>6204</v>
      </c>
      <c r="BI117" s="29">
        <v>6219</v>
      </c>
      <c r="BJ117" s="29">
        <v>6422</v>
      </c>
      <c r="BK117" s="29">
        <v>6341</v>
      </c>
      <c r="BL117" s="30">
        <v>6327</v>
      </c>
      <c r="BM117" s="1">
        <v>6380</v>
      </c>
      <c r="BN117" s="1">
        <v>6345</v>
      </c>
      <c r="BO117" s="1">
        <v>6386</v>
      </c>
      <c r="BP117" s="1">
        <v>6439</v>
      </c>
      <c r="BQ117" s="1">
        <v>6194</v>
      </c>
      <c r="BR117" s="1">
        <v>6231</v>
      </c>
      <c r="BS117" s="1">
        <v>6290</v>
      </c>
      <c r="BT117" s="1">
        <v>6308</v>
      </c>
      <c r="BU117" s="1">
        <v>6490</v>
      </c>
      <c r="BV117" s="1">
        <v>6582</v>
      </c>
      <c r="BW117" s="1">
        <v>6746</v>
      </c>
      <c r="BX117" s="1">
        <v>6799</v>
      </c>
      <c r="BY117" s="1">
        <v>6838</v>
      </c>
      <c r="BZ117" s="1">
        <v>6880</v>
      </c>
    </row>
    <row r="118" spans="1:254" ht="15.9" customHeight="1">
      <c r="A118" s="65" t="s">
        <v>231</v>
      </c>
      <c r="B118" s="25" t="s">
        <v>232</v>
      </c>
      <c r="C118" s="39">
        <f>_xll.RssMarket("5844","高値")</f>
        <v>4728</v>
      </c>
      <c r="D118" s="38">
        <f t="shared" si="3"/>
        <v>0</v>
      </c>
      <c r="E118" s="34">
        <v>4728</v>
      </c>
      <c r="F118" s="34">
        <v>4677</v>
      </c>
      <c r="G118" s="29">
        <v>4584</v>
      </c>
      <c r="H118" s="29">
        <v>4574</v>
      </c>
      <c r="I118" s="29">
        <v>4534</v>
      </c>
      <c r="J118" s="29">
        <v>4517</v>
      </c>
      <c r="K118" s="29">
        <v>4600</v>
      </c>
      <c r="L118" s="29">
        <v>4682</v>
      </c>
      <c r="M118" s="29">
        <v>4687</v>
      </c>
      <c r="N118" s="29">
        <v>4660</v>
      </c>
      <c r="O118" s="29">
        <v>4673</v>
      </c>
      <c r="P118" s="29">
        <v>4654</v>
      </c>
      <c r="Q118" s="29">
        <v>4523</v>
      </c>
      <c r="R118" s="29">
        <v>4630</v>
      </c>
      <c r="S118" s="29">
        <v>4780</v>
      </c>
      <c r="T118" s="29">
        <v>4704</v>
      </c>
      <c r="U118" s="29">
        <v>4729</v>
      </c>
      <c r="V118" s="29">
        <v>4783</v>
      </c>
      <c r="W118" s="29">
        <v>4798</v>
      </c>
      <c r="X118" s="29">
        <v>4817</v>
      </c>
      <c r="Y118" s="29">
        <v>4890</v>
      </c>
      <c r="Z118" s="29">
        <v>4805</v>
      </c>
      <c r="AA118" s="29">
        <v>4729</v>
      </c>
      <c r="AB118" s="29">
        <v>4665</v>
      </c>
      <c r="AC118" s="29">
        <v>4603</v>
      </c>
      <c r="AD118" s="29">
        <v>4548</v>
      </c>
      <c r="AE118" s="29">
        <v>4526</v>
      </c>
      <c r="AF118" s="29">
        <v>4581</v>
      </c>
      <c r="AG118" s="29">
        <v>4590</v>
      </c>
      <c r="AH118" s="29">
        <v>4660</v>
      </c>
      <c r="AI118" s="29">
        <v>4812</v>
      </c>
      <c r="AJ118" s="29">
        <v>4882</v>
      </c>
      <c r="AK118" s="29">
        <v>4808</v>
      </c>
      <c r="AL118" s="29">
        <v>4668</v>
      </c>
      <c r="AM118" s="29">
        <v>4733</v>
      </c>
      <c r="AN118" s="29">
        <v>4669</v>
      </c>
      <c r="AO118" s="29">
        <v>4583</v>
      </c>
      <c r="AP118" s="29">
        <v>4529</v>
      </c>
      <c r="AQ118" s="29">
        <v>4498</v>
      </c>
      <c r="AR118" s="29">
        <v>4755</v>
      </c>
      <c r="AS118" s="29">
        <v>4612</v>
      </c>
      <c r="AT118" s="29">
        <v>4694</v>
      </c>
      <c r="AU118" s="29">
        <v>4527</v>
      </c>
      <c r="AV118" s="29">
        <v>4396</v>
      </c>
      <c r="AW118" s="29">
        <v>4384</v>
      </c>
      <c r="AX118" s="29">
        <v>4484</v>
      </c>
      <c r="AY118" s="29">
        <v>4540</v>
      </c>
      <c r="AZ118" s="29">
        <v>4530</v>
      </c>
      <c r="BA118" s="29">
        <v>4605</v>
      </c>
      <c r="BB118" s="29">
        <v>4519</v>
      </c>
      <c r="BC118" s="29">
        <v>4547</v>
      </c>
      <c r="BD118" s="29">
        <v>4494</v>
      </c>
      <c r="BE118" s="29">
        <v>4453</v>
      </c>
      <c r="BF118" s="29">
        <v>4428</v>
      </c>
      <c r="BG118" s="29">
        <v>4534</v>
      </c>
      <c r="BH118" s="29">
        <v>4483</v>
      </c>
      <c r="BI118" s="29">
        <v>4491</v>
      </c>
      <c r="BJ118" s="29">
        <v>4467</v>
      </c>
      <c r="BK118" s="29">
        <v>4441</v>
      </c>
      <c r="BL118" s="30">
        <v>4420</v>
      </c>
      <c r="BM118" s="1">
        <v>4521</v>
      </c>
      <c r="BN118" s="1">
        <v>4402</v>
      </c>
      <c r="BO118" s="1">
        <v>4344</v>
      </c>
      <c r="BP118" s="1">
        <v>4362</v>
      </c>
      <c r="BQ118" s="1">
        <v>4231</v>
      </c>
      <c r="BR118" s="1">
        <v>4327</v>
      </c>
      <c r="BS118" s="1">
        <v>4280</v>
      </c>
      <c r="BT118" s="1">
        <v>4367</v>
      </c>
      <c r="BU118" s="1">
        <v>4384</v>
      </c>
      <c r="BV118" s="1">
        <v>4459</v>
      </c>
      <c r="BW118" s="1">
        <v>4435</v>
      </c>
      <c r="BX118" s="1">
        <v>4467</v>
      </c>
      <c r="BY118" s="1">
        <v>4421</v>
      </c>
      <c r="BZ118" s="1">
        <v>4418</v>
      </c>
    </row>
    <row r="119" spans="1:254" ht="15.9" customHeight="1">
      <c r="A119" s="65" t="s">
        <v>233</v>
      </c>
      <c r="B119" s="25" t="s">
        <v>234</v>
      </c>
      <c r="C119" s="39">
        <f>_xll.RssMarket("9404","高値")</f>
        <v>2874.5</v>
      </c>
      <c r="D119" s="38">
        <f t="shared" si="3"/>
        <v>0</v>
      </c>
      <c r="E119" s="34">
        <v>2874.5</v>
      </c>
      <c r="F119" s="34">
        <v>2844</v>
      </c>
      <c r="G119" s="29">
        <v>2922.5</v>
      </c>
      <c r="H119" s="29">
        <v>2935</v>
      </c>
      <c r="I119" s="29">
        <v>2942</v>
      </c>
      <c r="J119" s="29">
        <v>3105</v>
      </c>
      <c r="K119" s="29">
        <v>3093</v>
      </c>
      <c r="L119" s="29">
        <v>2984.5</v>
      </c>
      <c r="M119" s="29">
        <v>2943</v>
      </c>
      <c r="N119" s="29">
        <v>2857</v>
      </c>
      <c r="O119" s="29">
        <v>2831.5</v>
      </c>
      <c r="P119" s="29">
        <v>2878.5</v>
      </c>
      <c r="Q119" s="29">
        <v>2953.5</v>
      </c>
      <c r="R119" s="29">
        <v>2967</v>
      </c>
      <c r="S119" s="29">
        <v>2900</v>
      </c>
      <c r="T119" s="29">
        <v>2925.5</v>
      </c>
      <c r="U119" s="29">
        <v>2917</v>
      </c>
      <c r="V119" s="29">
        <v>2931.5</v>
      </c>
      <c r="W119" s="29">
        <v>2926</v>
      </c>
      <c r="X119" s="29">
        <v>2989.5</v>
      </c>
      <c r="Y119" s="29">
        <v>2946</v>
      </c>
      <c r="Z119" s="29">
        <v>2902.5</v>
      </c>
      <c r="AA119" s="29">
        <v>2940</v>
      </c>
      <c r="AB119" s="29">
        <v>2922.5</v>
      </c>
      <c r="AC119" s="29">
        <v>2830</v>
      </c>
      <c r="AD119" s="29">
        <v>2820</v>
      </c>
      <c r="AE119" s="29">
        <v>2755</v>
      </c>
      <c r="AF119" s="29">
        <v>2725</v>
      </c>
      <c r="AG119" s="29">
        <v>2745</v>
      </c>
      <c r="AH119" s="29">
        <v>2750</v>
      </c>
      <c r="AI119" s="29">
        <v>2762</v>
      </c>
      <c r="AJ119" s="29">
        <v>2787</v>
      </c>
      <c r="AK119" s="29">
        <v>2847.5</v>
      </c>
      <c r="AL119" s="29">
        <v>2875.5</v>
      </c>
      <c r="AM119" s="29">
        <v>2900</v>
      </c>
      <c r="AN119" s="29">
        <v>2884</v>
      </c>
      <c r="AO119" s="29">
        <v>2856.5</v>
      </c>
      <c r="AP119" s="29">
        <v>2871.5</v>
      </c>
      <c r="AQ119" s="29">
        <v>2914.5</v>
      </c>
      <c r="AR119" s="29">
        <v>2904.5</v>
      </c>
      <c r="AS119" s="29">
        <v>2897</v>
      </c>
      <c r="AT119" s="29">
        <v>2888</v>
      </c>
      <c r="AU119" s="29">
        <v>2800</v>
      </c>
      <c r="AV119" s="29">
        <v>2794</v>
      </c>
      <c r="AW119" s="29">
        <v>2820</v>
      </c>
      <c r="AX119" s="29">
        <v>2888.5</v>
      </c>
      <c r="AY119" s="29">
        <v>2883</v>
      </c>
      <c r="AZ119" s="29">
        <v>2887</v>
      </c>
      <c r="BA119" s="29">
        <v>2919.5</v>
      </c>
      <c r="BB119" s="29">
        <v>2933.5</v>
      </c>
      <c r="BC119" s="29">
        <v>2983.5</v>
      </c>
      <c r="BD119" s="29">
        <v>2982.5</v>
      </c>
      <c r="BE119" s="29">
        <v>2959.5</v>
      </c>
      <c r="BF119" s="29">
        <v>2949.5</v>
      </c>
      <c r="BG119" s="29">
        <v>2941</v>
      </c>
      <c r="BH119" s="29">
        <v>2944</v>
      </c>
      <c r="BI119" s="29">
        <v>2996.5</v>
      </c>
      <c r="BJ119" s="29">
        <v>2957.5</v>
      </c>
      <c r="BK119" s="29">
        <v>2976.5</v>
      </c>
      <c r="BL119" s="30">
        <v>3019</v>
      </c>
      <c r="BM119" s="1">
        <v>3006</v>
      </c>
      <c r="BN119" s="1">
        <v>3005</v>
      </c>
      <c r="BO119" s="1">
        <v>2994.5</v>
      </c>
      <c r="BP119" s="1">
        <v>3045</v>
      </c>
      <c r="BQ119" s="1">
        <v>3059</v>
      </c>
      <c r="BR119" s="1">
        <v>2992.5</v>
      </c>
      <c r="BS119" s="1">
        <v>3058</v>
      </c>
      <c r="BT119" s="1">
        <v>3152</v>
      </c>
      <c r="BU119" s="1">
        <v>3177</v>
      </c>
      <c r="BV119" s="1">
        <v>3220</v>
      </c>
      <c r="BW119" s="1">
        <v>3202</v>
      </c>
      <c r="BX119" s="1">
        <v>3199</v>
      </c>
      <c r="BY119" s="1">
        <v>3196</v>
      </c>
      <c r="BZ119" s="1">
        <v>3174</v>
      </c>
    </row>
    <row r="120" spans="1:254" ht="15.9" customHeight="1">
      <c r="A120" s="65" t="s">
        <v>235</v>
      </c>
      <c r="B120" s="25" t="s">
        <v>236</v>
      </c>
      <c r="C120" s="39">
        <f>_xll.RssMarket("6744","高値")</f>
        <v>4765</v>
      </c>
      <c r="D120" s="38">
        <f t="shared" si="3"/>
        <v>0</v>
      </c>
      <c r="E120" s="34">
        <v>4765</v>
      </c>
      <c r="F120" s="34">
        <v>4620</v>
      </c>
      <c r="G120" s="29">
        <v>4530</v>
      </c>
      <c r="H120" s="29">
        <v>4490</v>
      </c>
      <c r="I120" s="29">
        <v>4490</v>
      </c>
      <c r="J120" s="29">
        <v>4395</v>
      </c>
      <c r="K120" s="29">
        <v>4470</v>
      </c>
      <c r="L120" s="29">
        <v>4430</v>
      </c>
      <c r="M120" s="29">
        <v>4440</v>
      </c>
      <c r="N120" s="29"/>
      <c r="O120" s="29">
        <v>4285</v>
      </c>
      <c r="P120" s="29">
        <v>4345</v>
      </c>
      <c r="Q120" s="29">
        <v>4290</v>
      </c>
      <c r="R120" s="29">
        <v>4265</v>
      </c>
      <c r="S120" s="29">
        <v>4350</v>
      </c>
      <c r="T120" s="29">
        <v>4295</v>
      </c>
      <c r="U120" s="29">
        <v>4355</v>
      </c>
      <c r="V120" s="29">
        <v>4370</v>
      </c>
      <c r="W120" s="29">
        <v>4345</v>
      </c>
      <c r="X120" s="29">
        <v>4410</v>
      </c>
      <c r="Y120" s="29">
        <v>4525</v>
      </c>
      <c r="Z120" s="29">
        <v>4415</v>
      </c>
      <c r="AA120" s="29">
        <v>4435</v>
      </c>
      <c r="AB120" s="29">
        <v>4200</v>
      </c>
      <c r="AC120" s="29">
        <v>4125</v>
      </c>
      <c r="AD120" s="29">
        <v>4210</v>
      </c>
      <c r="AE120" s="29">
        <v>4180</v>
      </c>
      <c r="AF120" s="29">
        <v>4135</v>
      </c>
      <c r="AG120" s="29">
        <v>4215</v>
      </c>
      <c r="AH120" s="29">
        <v>4245</v>
      </c>
      <c r="AI120" s="29">
        <v>4265</v>
      </c>
      <c r="AJ120" s="29">
        <v>4285</v>
      </c>
      <c r="AK120" s="29">
        <v>4295</v>
      </c>
      <c r="AL120" s="29">
        <v>4275</v>
      </c>
      <c r="AM120" s="29">
        <v>4230</v>
      </c>
      <c r="AN120" s="29">
        <v>4225</v>
      </c>
      <c r="AO120" s="29">
        <v>4330</v>
      </c>
      <c r="AP120" s="29">
        <v>4275</v>
      </c>
      <c r="AQ120" s="29">
        <v>4290</v>
      </c>
      <c r="AR120" s="29">
        <v>4385</v>
      </c>
      <c r="AS120" s="29">
        <v>4420</v>
      </c>
      <c r="AT120" s="29">
        <v>4590</v>
      </c>
      <c r="AU120" s="29">
        <v>4590</v>
      </c>
      <c r="AV120" s="29">
        <v>4725</v>
      </c>
      <c r="AW120" s="29">
        <v>4685</v>
      </c>
      <c r="AX120" s="29">
        <v>4940</v>
      </c>
      <c r="AY120" s="29">
        <v>4840</v>
      </c>
      <c r="AZ120" s="29">
        <v>5000</v>
      </c>
      <c r="BA120" s="29">
        <v>4875</v>
      </c>
      <c r="BB120" s="29">
        <v>4670</v>
      </c>
      <c r="BC120" s="29">
        <v>4675</v>
      </c>
      <c r="BD120" s="29">
        <v>4615</v>
      </c>
      <c r="BE120" s="29">
        <v>4800</v>
      </c>
      <c r="BF120" s="29">
        <v>4725</v>
      </c>
      <c r="BG120" s="29">
        <v>4815</v>
      </c>
      <c r="BH120" s="29">
        <v>4600</v>
      </c>
      <c r="BI120" s="29">
        <v>4395</v>
      </c>
      <c r="BJ120" s="29">
        <v>4450</v>
      </c>
      <c r="BK120" s="29">
        <v>4490</v>
      </c>
      <c r="BL120" s="30">
        <v>4360</v>
      </c>
      <c r="BM120" s="1">
        <v>4420</v>
      </c>
      <c r="BN120" s="1">
        <v>4325</v>
      </c>
      <c r="BO120" s="1">
        <v>4130</v>
      </c>
      <c r="BP120" s="1">
        <v>4055</v>
      </c>
      <c r="BQ120" s="1">
        <v>4000</v>
      </c>
      <c r="BR120" s="1">
        <v>3965</v>
      </c>
      <c r="BS120" s="1">
        <v>4000</v>
      </c>
      <c r="BT120" s="1">
        <v>4040</v>
      </c>
      <c r="BU120" s="1">
        <v>4115</v>
      </c>
      <c r="BV120" s="1">
        <v>4140</v>
      </c>
      <c r="BW120" s="1">
        <v>4210</v>
      </c>
      <c r="BX120" s="1">
        <v>4280</v>
      </c>
      <c r="BY120" s="1">
        <v>4440</v>
      </c>
      <c r="BZ120" s="1">
        <v>4440</v>
      </c>
    </row>
    <row r="121" spans="1:254" ht="15.9" customHeight="1">
      <c r="A121" s="65" t="s">
        <v>237</v>
      </c>
      <c r="B121" s="25" t="s">
        <v>238</v>
      </c>
      <c r="C121" s="39">
        <f>_xll.RssMarket("7685","高値")</f>
        <v>3265</v>
      </c>
      <c r="D121" s="38">
        <f t="shared" si="3"/>
        <v>0</v>
      </c>
      <c r="E121" s="34">
        <v>3265</v>
      </c>
      <c r="F121" s="34">
        <v>3145</v>
      </c>
      <c r="G121" s="29">
        <v>3035</v>
      </c>
      <c r="H121" s="29">
        <v>3015</v>
      </c>
      <c r="I121" s="29">
        <v>3060</v>
      </c>
      <c r="J121" s="29">
        <v>3045</v>
      </c>
      <c r="K121" s="29">
        <v>3110</v>
      </c>
      <c r="L121" s="29">
        <v>3155</v>
      </c>
      <c r="M121" s="29">
        <v>3120</v>
      </c>
      <c r="N121" s="29"/>
      <c r="O121" s="29">
        <v>3240</v>
      </c>
      <c r="P121" s="29">
        <v>3295</v>
      </c>
      <c r="Q121" s="29">
        <v>3365</v>
      </c>
      <c r="R121" s="29">
        <v>3555</v>
      </c>
      <c r="S121" s="29">
        <v>3595</v>
      </c>
      <c r="T121" s="29">
        <v>3540</v>
      </c>
      <c r="U121" s="29">
        <v>3620</v>
      </c>
      <c r="V121" s="29">
        <v>3595</v>
      </c>
      <c r="W121" s="29">
        <v>3705</v>
      </c>
      <c r="X121" s="29">
        <v>3690</v>
      </c>
      <c r="Y121" s="29">
        <v>3620</v>
      </c>
      <c r="Z121" s="29">
        <v>3600</v>
      </c>
      <c r="AA121" s="29">
        <v>3695</v>
      </c>
      <c r="AB121" s="29">
        <v>3475</v>
      </c>
      <c r="AC121" s="29">
        <v>3415</v>
      </c>
      <c r="AD121" s="29">
        <v>3345</v>
      </c>
      <c r="AE121" s="29">
        <v>3490</v>
      </c>
      <c r="AF121" s="29">
        <v>3420</v>
      </c>
      <c r="AG121" s="29">
        <v>3715</v>
      </c>
      <c r="AH121" s="29">
        <v>3770</v>
      </c>
      <c r="AI121" s="29">
        <v>3745</v>
      </c>
      <c r="AJ121" s="29">
        <v>3510</v>
      </c>
      <c r="AK121" s="29">
        <v>3595</v>
      </c>
      <c r="AL121" s="29">
        <v>3670</v>
      </c>
      <c r="AM121" s="29">
        <v>3725</v>
      </c>
      <c r="AN121" s="29">
        <v>3740</v>
      </c>
      <c r="AO121" s="29">
        <v>3770</v>
      </c>
      <c r="AP121" s="29">
        <v>3935</v>
      </c>
      <c r="AQ121" s="29">
        <v>3850</v>
      </c>
      <c r="AR121" s="29">
        <v>4035</v>
      </c>
      <c r="AS121" s="29">
        <v>3715</v>
      </c>
      <c r="AT121" s="29">
        <v>3790</v>
      </c>
      <c r="AU121" s="29">
        <v>3870</v>
      </c>
      <c r="AV121" s="29">
        <v>3975</v>
      </c>
      <c r="AW121" s="29">
        <v>4085</v>
      </c>
      <c r="AX121" s="29">
        <v>4155</v>
      </c>
      <c r="AY121" s="29">
        <v>4025</v>
      </c>
      <c r="AZ121" s="29">
        <v>3995</v>
      </c>
      <c r="BA121" s="29">
        <v>3855</v>
      </c>
      <c r="BB121" s="29">
        <v>3840</v>
      </c>
      <c r="BC121" s="29">
        <v>3700</v>
      </c>
      <c r="BD121" s="29">
        <v>3875</v>
      </c>
      <c r="BE121" s="29">
        <v>3770</v>
      </c>
      <c r="BF121" s="29">
        <v>3475</v>
      </c>
      <c r="BG121" s="29">
        <v>3700</v>
      </c>
      <c r="BH121" s="29">
        <v>3500</v>
      </c>
      <c r="BI121" s="29">
        <v>3345</v>
      </c>
      <c r="BJ121" s="29">
        <v>3340</v>
      </c>
      <c r="BK121" s="29">
        <v>3445</v>
      </c>
      <c r="BL121" s="30">
        <v>3290</v>
      </c>
      <c r="BM121" s="1">
        <v>3205</v>
      </c>
      <c r="BN121" s="1">
        <v>3300</v>
      </c>
      <c r="BO121" s="1">
        <v>3385</v>
      </c>
      <c r="BP121" s="1">
        <v>3225</v>
      </c>
      <c r="BQ121" s="1">
        <v>3190</v>
      </c>
      <c r="BR121" s="1">
        <v>3255</v>
      </c>
      <c r="BS121" s="1">
        <v>3345</v>
      </c>
      <c r="BT121" s="1">
        <v>3470</v>
      </c>
      <c r="BU121" s="1">
        <v>3500</v>
      </c>
      <c r="BV121" s="1">
        <v>3510</v>
      </c>
      <c r="BW121" s="1">
        <v>3660</v>
      </c>
      <c r="BX121" s="1">
        <v>3700</v>
      </c>
      <c r="BY121" s="1">
        <v>3680</v>
      </c>
      <c r="BZ121" s="1">
        <v>3580</v>
      </c>
    </row>
    <row r="122" spans="1:254" ht="15.9" customHeight="1">
      <c r="A122" s="65" t="s">
        <v>239</v>
      </c>
      <c r="B122" s="25" t="s">
        <v>240</v>
      </c>
      <c r="C122" s="39">
        <f>_xll.RssMarket("8334","高値")</f>
        <v>2613</v>
      </c>
      <c r="D122" s="38">
        <f t="shared" si="3"/>
        <v>0</v>
      </c>
      <c r="E122" s="34">
        <v>2613</v>
      </c>
      <c r="F122" s="34">
        <v>2570</v>
      </c>
      <c r="G122" s="29">
        <v>2539</v>
      </c>
      <c r="H122" s="29">
        <v>2550</v>
      </c>
      <c r="I122" s="29">
        <v>2545</v>
      </c>
      <c r="J122" s="29">
        <v>2501</v>
      </c>
      <c r="K122" s="29">
        <v>2577</v>
      </c>
      <c r="L122" s="29">
        <v>2652</v>
      </c>
      <c r="M122" s="29">
        <v>2661</v>
      </c>
      <c r="N122" s="29">
        <v>2621</v>
      </c>
      <c r="O122" s="29">
        <v>2613</v>
      </c>
      <c r="P122" s="29">
        <v>2597.5</v>
      </c>
      <c r="Q122" s="29">
        <v>2548</v>
      </c>
      <c r="R122" s="29">
        <v>2629.5</v>
      </c>
      <c r="S122" s="29">
        <v>2625</v>
      </c>
      <c r="T122" s="29">
        <v>2567.5</v>
      </c>
      <c r="U122" s="29">
        <v>2552</v>
      </c>
      <c r="V122" s="29">
        <v>2533.5</v>
      </c>
      <c r="W122" s="29">
        <v>2545</v>
      </c>
      <c r="X122" s="29">
        <v>2520</v>
      </c>
      <c r="Y122" s="29">
        <v>2523</v>
      </c>
      <c r="Z122" s="29">
        <v>2481.5</v>
      </c>
      <c r="AA122" s="29">
        <v>2454</v>
      </c>
      <c r="AB122" s="29">
        <v>2432.5</v>
      </c>
      <c r="AC122" s="29">
        <v>2374.5</v>
      </c>
      <c r="AD122" s="29">
        <v>2369</v>
      </c>
      <c r="AE122" s="29">
        <v>2358.5</v>
      </c>
      <c r="AF122" s="29">
        <v>2346</v>
      </c>
      <c r="AG122" s="29">
        <v>2330</v>
      </c>
      <c r="AH122" s="29">
        <v>2347</v>
      </c>
      <c r="AI122" s="29">
        <v>2351</v>
      </c>
      <c r="AJ122" s="29">
        <v>2357.5</v>
      </c>
      <c r="AK122" s="29">
        <v>2342</v>
      </c>
      <c r="AL122" s="29">
        <v>2346</v>
      </c>
      <c r="AM122" s="29">
        <v>2384</v>
      </c>
      <c r="AN122" s="29">
        <v>2333.5</v>
      </c>
      <c r="AO122" s="29">
        <v>2425</v>
      </c>
      <c r="AP122" s="29">
        <v>2364</v>
      </c>
      <c r="AQ122" s="29">
        <v>2329</v>
      </c>
      <c r="AR122" s="29">
        <v>2403</v>
      </c>
      <c r="AS122" s="29">
        <v>2265.5</v>
      </c>
      <c r="AT122" s="29">
        <v>2300</v>
      </c>
      <c r="AU122" s="29">
        <v>2260</v>
      </c>
      <c r="AV122" s="29">
        <v>2199</v>
      </c>
      <c r="AW122" s="29">
        <v>2177.5</v>
      </c>
      <c r="AX122" s="29">
        <v>2284</v>
      </c>
      <c r="AY122" s="29">
        <v>2279.5</v>
      </c>
      <c r="AZ122" s="29">
        <v>2291</v>
      </c>
      <c r="BA122" s="29">
        <v>2336</v>
      </c>
      <c r="BB122" s="29">
        <v>2375</v>
      </c>
      <c r="BC122" s="29">
        <v>2392</v>
      </c>
      <c r="BD122" s="29">
        <v>2332.5</v>
      </c>
      <c r="BE122" s="29">
        <v>2323</v>
      </c>
      <c r="BF122" s="29">
        <v>2269</v>
      </c>
      <c r="BG122" s="29">
        <v>2234.5</v>
      </c>
      <c r="BH122" s="29">
        <v>2209</v>
      </c>
      <c r="BI122" s="29">
        <v>2221</v>
      </c>
      <c r="BJ122" s="29">
        <v>2232</v>
      </c>
      <c r="BK122" s="29">
        <v>2240</v>
      </c>
      <c r="BL122" s="30">
        <v>2204.5</v>
      </c>
      <c r="BM122" s="1">
        <v>2247</v>
      </c>
      <c r="BN122" s="1">
        <v>2165</v>
      </c>
      <c r="BO122" s="1">
        <v>2200</v>
      </c>
      <c r="BP122" s="1">
        <v>2215.5</v>
      </c>
      <c r="BQ122" s="1">
        <v>2026.5</v>
      </c>
      <c r="BR122" s="1">
        <v>2060.5</v>
      </c>
      <c r="BS122" s="1">
        <v>2054</v>
      </c>
      <c r="BT122" s="1">
        <v>2135</v>
      </c>
      <c r="BU122" s="1">
        <v>2195</v>
      </c>
      <c r="BV122" s="1">
        <v>2265</v>
      </c>
      <c r="BW122" s="1">
        <v>2272</v>
      </c>
      <c r="BX122" s="1">
        <v>2295</v>
      </c>
      <c r="BY122" s="1">
        <v>2292.5</v>
      </c>
      <c r="BZ122" s="1">
        <v>2292.5</v>
      </c>
    </row>
    <row r="123" spans="1:254" ht="15.9" customHeight="1">
      <c r="A123" s="65" t="s">
        <v>241</v>
      </c>
      <c r="B123" s="25" t="s">
        <v>242</v>
      </c>
      <c r="C123" s="39">
        <f>_xll.RssMarket("8359","高値")</f>
        <v>2635</v>
      </c>
      <c r="D123" s="38">
        <f t="shared" si="3"/>
        <v>0</v>
      </c>
      <c r="E123" s="34">
        <v>2635</v>
      </c>
      <c r="F123" s="34">
        <v>2580</v>
      </c>
      <c r="G123" s="29">
        <v>2526.5</v>
      </c>
      <c r="H123" s="29">
        <v>2530.5</v>
      </c>
      <c r="I123" s="29">
        <v>2569</v>
      </c>
      <c r="J123" s="29">
        <v>2523.5</v>
      </c>
      <c r="K123" s="29">
        <v>2607.5</v>
      </c>
      <c r="L123" s="29">
        <v>2674</v>
      </c>
      <c r="M123" s="29">
        <v>2699.5</v>
      </c>
      <c r="N123" s="29">
        <v>2674</v>
      </c>
      <c r="O123" s="29">
        <v>2660.5</v>
      </c>
      <c r="P123" s="29">
        <v>2642</v>
      </c>
      <c r="Q123" s="29">
        <v>2578.5</v>
      </c>
      <c r="R123" s="29">
        <v>2621</v>
      </c>
      <c r="S123" s="29">
        <v>2638.5</v>
      </c>
      <c r="T123" s="29">
        <v>2590</v>
      </c>
      <c r="U123" s="29">
        <v>2613</v>
      </c>
      <c r="V123" s="29">
        <v>2621.5</v>
      </c>
      <c r="W123" s="29">
        <v>2580</v>
      </c>
      <c r="X123" s="29">
        <v>2609</v>
      </c>
      <c r="Y123" s="29">
        <v>2640</v>
      </c>
      <c r="Z123" s="29">
        <v>2553.5</v>
      </c>
      <c r="AA123" s="29">
        <v>2536.5</v>
      </c>
      <c r="AB123" s="29">
        <v>2491</v>
      </c>
      <c r="AC123" s="29">
        <v>2423</v>
      </c>
      <c r="AD123" s="29">
        <v>2424</v>
      </c>
      <c r="AE123" s="29">
        <v>2423.5</v>
      </c>
      <c r="AF123" s="29">
        <v>2400.5</v>
      </c>
      <c r="AG123" s="29">
        <v>2389.5</v>
      </c>
      <c r="AH123" s="29">
        <v>2412.5</v>
      </c>
      <c r="AI123" s="29">
        <v>2427.5</v>
      </c>
      <c r="AJ123" s="29">
        <v>2412.5</v>
      </c>
      <c r="AK123" s="29">
        <v>2354.5</v>
      </c>
      <c r="AL123" s="29">
        <v>2357</v>
      </c>
      <c r="AM123" s="29">
        <v>2397</v>
      </c>
      <c r="AN123" s="29">
        <v>2360.5</v>
      </c>
      <c r="AO123" s="29">
        <v>2465</v>
      </c>
      <c r="AP123" s="29">
        <v>2379.5</v>
      </c>
      <c r="AQ123" s="29">
        <v>2354.5</v>
      </c>
      <c r="AR123" s="29">
        <v>2470.5</v>
      </c>
      <c r="AS123" s="29">
        <v>2358</v>
      </c>
      <c r="AT123" s="29">
        <v>2442.5</v>
      </c>
      <c r="AU123" s="29">
        <v>2376.5</v>
      </c>
      <c r="AV123" s="29">
        <v>2351</v>
      </c>
      <c r="AW123" s="29">
        <v>2319.5</v>
      </c>
      <c r="AX123" s="29">
        <v>2348</v>
      </c>
      <c r="AY123" s="29">
        <v>2299</v>
      </c>
      <c r="AZ123" s="29">
        <v>2316</v>
      </c>
      <c r="BA123" s="29">
        <v>2381</v>
      </c>
      <c r="BB123" s="29">
        <v>2378.5</v>
      </c>
      <c r="BC123" s="29">
        <v>2384.5</v>
      </c>
      <c r="BD123" s="29">
        <v>2323.5</v>
      </c>
      <c r="BE123" s="29">
        <v>2299</v>
      </c>
      <c r="BF123" s="29">
        <v>2374.5</v>
      </c>
      <c r="BG123" s="29">
        <v>2403</v>
      </c>
      <c r="BH123" s="29">
        <v>2357</v>
      </c>
      <c r="BI123" s="29">
        <v>2361.5</v>
      </c>
      <c r="BJ123" s="29">
        <v>2350.5</v>
      </c>
      <c r="BK123" s="29">
        <v>2301.5</v>
      </c>
      <c r="BL123" s="30">
        <v>2245</v>
      </c>
      <c r="BM123" s="1">
        <v>2307.5</v>
      </c>
      <c r="BN123" s="1">
        <v>2123</v>
      </c>
      <c r="BO123" s="1">
        <v>2150.5</v>
      </c>
      <c r="BP123" s="1">
        <v>2168</v>
      </c>
      <c r="BQ123" s="1">
        <v>2025.5</v>
      </c>
      <c r="BR123" s="1">
        <v>2047.5</v>
      </c>
      <c r="BS123" s="1">
        <v>2029</v>
      </c>
      <c r="BT123" s="1">
        <v>2046</v>
      </c>
      <c r="BU123" s="1">
        <v>2094.5</v>
      </c>
      <c r="BV123" s="1">
        <v>2129</v>
      </c>
      <c r="BW123" s="1">
        <v>2117.5</v>
      </c>
      <c r="BX123" s="1">
        <v>2128.5</v>
      </c>
      <c r="BY123" s="1">
        <v>2120</v>
      </c>
      <c r="BZ123" s="1">
        <v>2098</v>
      </c>
    </row>
    <row r="124" spans="1:254" ht="15.9" customHeight="1">
      <c r="A124" s="65" t="s">
        <v>243</v>
      </c>
      <c r="B124" s="25" t="s">
        <v>244</v>
      </c>
      <c r="C124" s="39">
        <f>_xll.RssMarket("8801","高値")</f>
        <v>1507</v>
      </c>
      <c r="D124" s="38">
        <f t="shared" si="3"/>
        <v>0</v>
      </c>
      <c r="E124" s="34">
        <v>1507</v>
      </c>
      <c r="F124" s="34">
        <v>1495.5</v>
      </c>
      <c r="G124" s="29">
        <v>1508</v>
      </c>
      <c r="H124" s="29">
        <v>1541</v>
      </c>
      <c r="I124" s="29">
        <v>1591</v>
      </c>
      <c r="J124" s="29">
        <v>1621.5</v>
      </c>
      <c r="K124" s="29">
        <v>1633</v>
      </c>
      <c r="L124" s="29">
        <v>1600.5</v>
      </c>
      <c r="M124" s="29">
        <v>1588</v>
      </c>
      <c r="N124" s="29">
        <v>1557</v>
      </c>
      <c r="O124" s="29">
        <v>1555</v>
      </c>
      <c r="P124" s="29">
        <v>1565</v>
      </c>
      <c r="Q124" s="29">
        <v>1592.5</v>
      </c>
      <c r="R124" s="29">
        <v>1567</v>
      </c>
      <c r="S124" s="29">
        <v>1558</v>
      </c>
      <c r="T124" s="29">
        <v>1552.5</v>
      </c>
      <c r="U124" s="29">
        <v>1532</v>
      </c>
      <c r="V124" s="29">
        <v>1519</v>
      </c>
      <c r="W124" s="29">
        <v>1527</v>
      </c>
      <c r="X124" s="29">
        <v>1583.5</v>
      </c>
      <c r="Y124" s="29">
        <v>1584.5</v>
      </c>
      <c r="Z124" s="29">
        <v>1566</v>
      </c>
      <c r="AA124" s="29">
        <v>1567</v>
      </c>
      <c r="AB124" s="29">
        <v>1525.5</v>
      </c>
      <c r="AC124" s="29">
        <v>1493.5</v>
      </c>
      <c r="AD124" s="29">
        <v>1528.5</v>
      </c>
      <c r="AE124" s="29">
        <v>1520.5</v>
      </c>
      <c r="AF124" s="29">
        <v>1480</v>
      </c>
      <c r="AG124" s="29">
        <v>1495</v>
      </c>
      <c r="AH124" s="29">
        <v>1471</v>
      </c>
      <c r="AI124" s="29">
        <v>1469.5</v>
      </c>
      <c r="AJ124" s="29">
        <v>1497.5</v>
      </c>
      <c r="AK124" s="29">
        <v>1510.5</v>
      </c>
      <c r="AL124" s="29">
        <v>1528</v>
      </c>
      <c r="AM124" s="29">
        <v>1554.5</v>
      </c>
      <c r="AN124" s="29">
        <v>1572.5</v>
      </c>
      <c r="AO124" s="29">
        <v>1593.5</v>
      </c>
      <c r="AP124" s="29">
        <v>1578.5</v>
      </c>
      <c r="AQ124" s="29">
        <v>1597</v>
      </c>
      <c r="AR124" s="29">
        <v>1551</v>
      </c>
      <c r="AS124" s="29">
        <v>1475.5</v>
      </c>
      <c r="AT124" s="29">
        <v>1506.5</v>
      </c>
      <c r="AU124" s="29">
        <v>1493.5</v>
      </c>
      <c r="AV124" s="29">
        <v>1520</v>
      </c>
      <c r="AW124" s="29">
        <v>1516</v>
      </c>
      <c r="AX124" s="29">
        <v>1543</v>
      </c>
      <c r="AY124" s="29">
        <v>1539</v>
      </c>
      <c r="AZ124" s="29">
        <v>1557.5</v>
      </c>
      <c r="BA124" s="29">
        <v>1547.5</v>
      </c>
      <c r="BB124" s="29">
        <v>1503</v>
      </c>
      <c r="BC124" s="29">
        <v>1557</v>
      </c>
      <c r="BD124" s="29">
        <v>1531.5</v>
      </c>
      <c r="BE124" s="29">
        <v>1545</v>
      </c>
      <c r="BF124" s="29">
        <v>1565.5</v>
      </c>
      <c r="BG124" s="29">
        <v>1557.5</v>
      </c>
      <c r="BH124" s="29">
        <v>1606</v>
      </c>
      <c r="BI124" s="29">
        <v>1697.5</v>
      </c>
      <c r="BJ124" s="29">
        <v>1688</v>
      </c>
      <c r="BK124" s="29">
        <v>1679</v>
      </c>
      <c r="BL124" s="30">
        <v>1700</v>
      </c>
      <c r="BM124" s="1">
        <v>1736.5</v>
      </c>
      <c r="BN124" s="1">
        <v>1705</v>
      </c>
      <c r="BO124" s="1">
        <v>1724</v>
      </c>
      <c r="BP124" s="1">
        <v>1732</v>
      </c>
      <c r="BQ124" s="1">
        <v>1728.5</v>
      </c>
      <c r="BR124" s="1">
        <v>1722.5</v>
      </c>
      <c r="BS124" s="1">
        <v>1767.5</v>
      </c>
      <c r="BT124" s="1">
        <v>1741</v>
      </c>
      <c r="BU124" s="1">
        <v>1770</v>
      </c>
      <c r="BV124" s="1">
        <v>1776.5</v>
      </c>
      <c r="BW124" s="1">
        <v>1757.5</v>
      </c>
      <c r="BX124" s="1">
        <v>1783.5</v>
      </c>
      <c r="BY124" s="1">
        <v>1825.5</v>
      </c>
      <c r="BZ124" s="1">
        <v>1803</v>
      </c>
    </row>
    <row r="125" spans="1:254" ht="15.9" customHeight="1">
      <c r="A125" s="65" t="s">
        <v>245</v>
      </c>
      <c r="B125" s="25" t="s">
        <v>246</v>
      </c>
      <c r="C125" s="39">
        <f>_xll.RssMarket("8934","高値")</f>
        <v>2470</v>
      </c>
      <c r="D125" s="38">
        <f t="shared" si="3"/>
        <v>0</v>
      </c>
      <c r="E125" s="34">
        <v>2470</v>
      </c>
      <c r="F125" s="34">
        <v>2445</v>
      </c>
      <c r="G125" s="29">
        <v>2438</v>
      </c>
      <c r="H125" s="29">
        <v>2500</v>
      </c>
      <c r="I125" s="29">
        <v>2537</v>
      </c>
      <c r="J125" s="29">
        <v>2585</v>
      </c>
      <c r="K125" s="29">
        <v>2589</v>
      </c>
      <c r="L125" s="29">
        <v>2576</v>
      </c>
      <c r="M125" s="29">
        <v>2568</v>
      </c>
      <c r="N125" s="29">
        <v>2500</v>
      </c>
      <c r="O125" s="29">
        <v>2545</v>
      </c>
      <c r="P125" s="29">
        <v>2551</v>
      </c>
      <c r="Q125" s="29">
        <v>2549</v>
      </c>
      <c r="R125" s="29">
        <v>2577</v>
      </c>
      <c r="S125" s="29">
        <v>2549</v>
      </c>
      <c r="T125" s="29">
        <v>2514</v>
      </c>
      <c r="U125" s="29">
        <v>2508</v>
      </c>
      <c r="V125" s="29">
        <v>2514</v>
      </c>
      <c r="W125" s="29">
        <v>2534</v>
      </c>
      <c r="X125" s="29">
        <v>2559</v>
      </c>
      <c r="Y125" s="29">
        <v>2529</v>
      </c>
      <c r="Z125" s="29">
        <v>2512</v>
      </c>
      <c r="AA125" s="29">
        <v>2475</v>
      </c>
      <c r="AB125" s="29">
        <v>2439</v>
      </c>
      <c r="AC125" s="29">
        <v>2426</v>
      </c>
      <c r="AD125" s="29">
        <v>2461</v>
      </c>
      <c r="AE125" s="29">
        <v>2456</v>
      </c>
      <c r="AF125" s="29">
        <v>2394</v>
      </c>
      <c r="AG125" s="29">
        <v>2382</v>
      </c>
      <c r="AH125" s="29">
        <v>2357</v>
      </c>
      <c r="AI125" s="29">
        <v>2351</v>
      </c>
      <c r="AJ125" s="29">
        <v>2363</v>
      </c>
      <c r="AK125" s="29">
        <v>2380</v>
      </c>
      <c r="AL125" s="29">
        <v>2366</v>
      </c>
      <c r="AM125" s="29">
        <v>2395</v>
      </c>
      <c r="AN125" s="29">
        <v>2393</v>
      </c>
      <c r="AO125" s="29">
        <v>2416</v>
      </c>
      <c r="AP125" s="29">
        <v>2384</v>
      </c>
      <c r="AQ125" s="29">
        <v>2392</v>
      </c>
      <c r="AR125" s="29">
        <v>2410</v>
      </c>
      <c r="AS125" s="29">
        <v>2331</v>
      </c>
      <c r="AT125" s="29">
        <v>2341</v>
      </c>
      <c r="AU125" s="29">
        <v>2305</v>
      </c>
      <c r="AV125" s="29">
        <v>2287</v>
      </c>
      <c r="AW125" s="29">
        <v>2266</v>
      </c>
      <c r="AX125" s="29">
        <v>2425</v>
      </c>
      <c r="AY125" s="29">
        <v>2360</v>
      </c>
      <c r="AZ125" s="29">
        <v>2371</v>
      </c>
      <c r="BA125" s="29">
        <v>2380</v>
      </c>
      <c r="BB125" s="29">
        <v>2388</v>
      </c>
      <c r="BC125" s="29">
        <v>2420</v>
      </c>
      <c r="BD125" s="29">
        <v>2422</v>
      </c>
      <c r="BE125" s="29">
        <v>2461</v>
      </c>
      <c r="BF125" s="29">
        <v>2470</v>
      </c>
      <c r="BG125" s="29">
        <v>2473</v>
      </c>
      <c r="BH125" s="29">
        <v>2468</v>
      </c>
      <c r="BI125" s="29">
        <v>2464</v>
      </c>
      <c r="BJ125" s="29">
        <v>2549</v>
      </c>
      <c r="BK125" s="29">
        <v>2601</v>
      </c>
      <c r="BL125" s="30">
        <v>2625</v>
      </c>
      <c r="BM125" s="1">
        <v>2680</v>
      </c>
      <c r="BN125" s="1">
        <v>2695</v>
      </c>
      <c r="BO125" s="1">
        <v>2729</v>
      </c>
      <c r="BP125" s="1">
        <v>2702</v>
      </c>
      <c r="BQ125" s="1">
        <v>2685</v>
      </c>
      <c r="BR125" s="1">
        <v>2697</v>
      </c>
      <c r="BS125" s="1">
        <v>2737</v>
      </c>
      <c r="BT125" s="1">
        <v>2750</v>
      </c>
      <c r="BU125" s="1">
        <v>2773</v>
      </c>
      <c r="BV125" s="1">
        <v>2802</v>
      </c>
      <c r="BW125" s="1">
        <v>2804</v>
      </c>
      <c r="BX125" s="1">
        <v>2838</v>
      </c>
      <c r="BY125" s="1">
        <v>2865</v>
      </c>
      <c r="BZ125" s="1">
        <v>2858</v>
      </c>
    </row>
    <row r="126" spans="1:254" ht="15.9" customHeight="1">
      <c r="A126" s="65" t="s">
        <v>247</v>
      </c>
      <c r="B126" s="25" t="s">
        <v>248</v>
      </c>
      <c r="C126" s="39">
        <f>_xll.RssMarket("9416","高値")</f>
        <v>1028</v>
      </c>
      <c r="D126" s="38">
        <f t="shared" si="3"/>
        <v>0</v>
      </c>
      <c r="E126" s="34">
        <v>1028</v>
      </c>
      <c r="F126" s="34">
        <v>1025</v>
      </c>
      <c r="G126" s="29">
        <v>1029</v>
      </c>
      <c r="H126" s="29">
        <v>1033</v>
      </c>
      <c r="I126" s="29">
        <v>1041</v>
      </c>
      <c r="J126" s="29">
        <v>1047</v>
      </c>
      <c r="K126" s="29">
        <v>1051</v>
      </c>
      <c r="L126" s="29">
        <v>1031</v>
      </c>
      <c r="M126" s="29">
        <v>1021</v>
      </c>
      <c r="N126" s="29">
        <v>993</v>
      </c>
      <c r="O126" s="29">
        <v>1000</v>
      </c>
      <c r="P126" s="29">
        <v>1005</v>
      </c>
      <c r="Q126" s="29">
        <v>1016</v>
      </c>
      <c r="R126" s="29">
        <v>1016</v>
      </c>
      <c r="S126" s="29">
        <v>1024</v>
      </c>
      <c r="T126" s="29">
        <v>1034</v>
      </c>
      <c r="U126" s="29">
        <v>1028</v>
      </c>
      <c r="V126" s="29">
        <v>1024</v>
      </c>
      <c r="W126" s="29">
        <v>1009</v>
      </c>
      <c r="X126" s="29">
        <v>1014</v>
      </c>
      <c r="Y126" s="29">
        <v>1022</v>
      </c>
      <c r="Z126" s="29">
        <v>1017</v>
      </c>
      <c r="AA126" s="29">
        <v>1008</v>
      </c>
      <c r="AB126" s="29">
        <v>990</v>
      </c>
      <c r="AC126" s="29">
        <v>969</v>
      </c>
      <c r="AD126" s="29">
        <v>980</v>
      </c>
      <c r="AE126" s="29">
        <v>983</v>
      </c>
      <c r="AF126" s="29">
        <v>987</v>
      </c>
      <c r="AG126" s="29">
        <v>990</v>
      </c>
      <c r="AH126" s="29">
        <v>999</v>
      </c>
      <c r="AI126" s="29">
        <v>1023</v>
      </c>
      <c r="AJ126" s="29">
        <v>1023</v>
      </c>
      <c r="AK126" s="29">
        <v>1037</v>
      </c>
      <c r="AL126" s="29">
        <v>1037</v>
      </c>
      <c r="AM126" s="29">
        <v>1026</v>
      </c>
      <c r="AN126" s="29">
        <v>1020</v>
      </c>
      <c r="AO126" s="29">
        <v>1030</v>
      </c>
      <c r="AP126" s="29">
        <v>1020</v>
      </c>
      <c r="AQ126" s="29">
        <v>1017</v>
      </c>
      <c r="AR126" s="29">
        <v>1015</v>
      </c>
      <c r="AS126" s="29">
        <v>1034</v>
      </c>
      <c r="AT126" s="29">
        <v>1036</v>
      </c>
      <c r="AU126" s="29">
        <v>1018</v>
      </c>
      <c r="AV126" s="29">
        <v>1023</v>
      </c>
      <c r="AW126" s="29">
        <v>1027</v>
      </c>
      <c r="AX126" s="29">
        <v>1080</v>
      </c>
      <c r="AY126" s="29">
        <v>1063</v>
      </c>
      <c r="AZ126" s="29">
        <v>1064</v>
      </c>
      <c r="BA126" s="29">
        <v>1104</v>
      </c>
      <c r="BB126" s="29">
        <v>1021</v>
      </c>
      <c r="BC126" s="29">
        <v>1033</v>
      </c>
      <c r="BD126" s="29">
        <v>1032</v>
      </c>
      <c r="BE126" s="29">
        <v>1028</v>
      </c>
      <c r="BF126" s="29">
        <v>1045</v>
      </c>
      <c r="BG126" s="29">
        <v>1039</v>
      </c>
      <c r="BH126" s="29">
        <v>1140</v>
      </c>
      <c r="BI126" s="29">
        <v>1105</v>
      </c>
      <c r="BJ126" s="29">
        <v>1115</v>
      </c>
      <c r="BK126" s="29">
        <v>1115</v>
      </c>
      <c r="BL126" s="30">
        <v>1116</v>
      </c>
      <c r="BM126" s="1">
        <v>1114</v>
      </c>
      <c r="BN126" s="1">
        <v>1099</v>
      </c>
      <c r="BO126" s="1">
        <v>1103</v>
      </c>
      <c r="BP126" s="1">
        <v>1106</v>
      </c>
      <c r="BQ126" s="1">
        <v>1099</v>
      </c>
      <c r="BR126" s="1">
        <v>1111</v>
      </c>
      <c r="BS126" s="1">
        <v>1112</v>
      </c>
      <c r="BT126" s="1">
        <v>1146</v>
      </c>
      <c r="BU126" s="1">
        <v>1179</v>
      </c>
      <c r="BV126" s="1">
        <v>1186</v>
      </c>
      <c r="BW126" s="1">
        <v>1202</v>
      </c>
      <c r="BX126" s="1">
        <v>1218</v>
      </c>
      <c r="BY126" s="1">
        <v>1212</v>
      </c>
      <c r="BZ126" s="1">
        <v>1203</v>
      </c>
    </row>
    <row r="127" spans="1:254" ht="15.9" customHeight="1">
      <c r="A127" s="65" t="s">
        <v>249</v>
      </c>
      <c r="B127" s="25" t="s">
        <v>250</v>
      </c>
      <c r="C127" s="39">
        <f>_xll.RssMarket("9532","高値")</f>
        <v>5394</v>
      </c>
      <c r="D127" s="38">
        <f t="shared" si="3"/>
        <v>0</v>
      </c>
      <c r="E127" s="34">
        <v>5394</v>
      </c>
      <c r="F127" s="34">
        <v>5389</v>
      </c>
      <c r="G127" s="29">
        <v>5420</v>
      </c>
      <c r="H127" s="29">
        <v>5498</v>
      </c>
      <c r="I127" s="29">
        <v>5644</v>
      </c>
      <c r="J127" s="29">
        <v>5625</v>
      </c>
      <c r="K127" s="29">
        <v>5655</v>
      </c>
      <c r="L127" s="29">
        <v>5555</v>
      </c>
      <c r="M127" s="29">
        <v>5570</v>
      </c>
      <c r="N127" s="29">
        <v>5523</v>
      </c>
      <c r="O127" s="29">
        <v>5455</v>
      </c>
      <c r="P127" s="29">
        <v>5409</v>
      </c>
      <c r="Q127" s="29">
        <v>5454</v>
      </c>
      <c r="R127" s="29">
        <v>5430</v>
      </c>
      <c r="S127" s="29">
        <v>5422</v>
      </c>
      <c r="T127" s="29">
        <v>5398</v>
      </c>
      <c r="U127" s="29">
        <v>5403</v>
      </c>
      <c r="V127" s="29">
        <v>5411</v>
      </c>
      <c r="W127" s="29">
        <v>5544</v>
      </c>
      <c r="X127" s="29">
        <v>5564</v>
      </c>
      <c r="Y127" s="29">
        <v>5547</v>
      </c>
      <c r="Z127" s="29">
        <v>5515</v>
      </c>
      <c r="AA127" s="29">
        <v>5448</v>
      </c>
      <c r="AB127" s="29">
        <v>5375</v>
      </c>
      <c r="AC127" s="29">
        <v>5456</v>
      </c>
      <c r="AD127" s="29">
        <v>5518</v>
      </c>
      <c r="AE127" s="29">
        <v>5493</v>
      </c>
      <c r="AF127" s="29">
        <v>5407</v>
      </c>
      <c r="AG127" s="29">
        <v>5447</v>
      </c>
      <c r="AH127" s="29">
        <v>5449</v>
      </c>
      <c r="AI127" s="29">
        <v>5470</v>
      </c>
      <c r="AJ127" s="29">
        <v>5451</v>
      </c>
      <c r="AK127" s="29">
        <v>5411</v>
      </c>
      <c r="AL127" s="29">
        <v>5502</v>
      </c>
      <c r="AM127" s="29">
        <v>5543</v>
      </c>
      <c r="AN127" s="29">
        <v>5526</v>
      </c>
      <c r="AO127" s="29">
        <v>5644</v>
      </c>
      <c r="AP127" s="29">
        <v>5776</v>
      </c>
      <c r="AQ127" s="29">
        <v>5675</v>
      </c>
      <c r="AR127" s="29">
        <v>5557</v>
      </c>
      <c r="AS127" s="29">
        <v>5516</v>
      </c>
      <c r="AT127" s="29">
        <v>5564</v>
      </c>
      <c r="AU127" s="29">
        <v>5628</v>
      </c>
      <c r="AV127" s="29">
        <v>5648</v>
      </c>
      <c r="AW127" s="29">
        <v>5403</v>
      </c>
      <c r="AX127" s="29">
        <v>5412</v>
      </c>
      <c r="AY127" s="29">
        <v>5485</v>
      </c>
      <c r="AZ127" s="29">
        <v>5593</v>
      </c>
      <c r="BA127" s="29">
        <v>5694</v>
      </c>
      <c r="BB127" s="29">
        <v>5770</v>
      </c>
      <c r="BC127" s="29">
        <v>5779</v>
      </c>
      <c r="BD127" s="29">
        <v>5879</v>
      </c>
      <c r="BE127" s="29">
        <v>5814</v>
      </c>
      <c r="BF127" s="29">
        <v>5762</v>
      </c>
      <c r="BG127" s="29">
        <v>5770</v>
      </c>
      <c r="BH127" s="29">
        <v>5778</v>
      </c>
      <c r="BI127" s="29">
        <v>5805</v>
      </c>
      <c r="BJ127" s="29">
        <v>5699</v>
      </c>
      <c r="BK127" s="29">
        <v>5809</v>
      </c>
      <c r="BL127" s="30">
        <v>5850</v>
      </c>
      <c r="BM127" s="1">
        <v>5825</v>
      </c>
      <c r="BN127" s="1">
        <v>5769</v>
      </c>
      <c r="BO127" s="1">
        <v>5950</v>
      </c>
      <c r="BP127" s="1">
        <v>5984</v>
      </c>
      <c r="BQ127" s="1">
        <v>5838</v>
      </c>
      <c r="BR127" s="1">
        <v>5967</v>
      </c>
      <c r="BS127" s="1">
        <v>5856</v>
      </c>
      <c r="BT127" s="1">
        <v>5905</v>
      </c>
      <c r="BU127" s="1">
        <v>6005</v>
      </c>
      <c r="BV127" s="1">
        <v>6154</v>
      </c>
      <c r="BW127" s="1">
        <v>6261</v>
      </c>
      <c r="BX127" s="1">
        <v>6261</v>
      </c>
      <c r="BY127" s="1">
        <v>6290</v>
      </c>
      <c r="BZ127" s="1">
        <v>6316</v>
      </c>
    </row>
    <row r="128" spans="1:254" ht="15.9" customHeight="1">
      <c r="A128" s="65" t="s">
        <v>251</v>
      </c>
      <c r="B128" s="25" t="s">
        <v>252</v>
      </c>
      <c r="C128" s="39">
        <f>_xll.RssMarket("6330","高値")</f>
        <v>2116</v>
      </c>
      <c r="D128" s="38">
        <f t="shared" si="3"/>
        <v>0</v>
      </c>
      <c r="E128" s="34">
        <v>2116</v>
      </c>
      <c r="F128" s="34">
        <v>2128</v>
      </c>
      <c r="G128" s="29">
        <v>2014</v>
      </c>
      <c r="H128" s="29">
        <v>1982</v>
      </c>
      <c r="I128" s="29">
        <v>1997</v>
      </c>
      <c r="J128" s="29">
        <v>1936</v>
      </c>
      <c r="K128" s="29">
        <v>2028</v>
      </c>
      <c r="L128" s="29">
        <v>2104</v>
      </c>
      <c r="M128" s="29">
        <v>2138</v>
      </c>
      <c r="N128" s="29"/>
      <c r="O128" s="29">
        <v>1927</v>
      </c>
      <c r="P128" s="29">
        <v>1955</v>
      </c>
      <c r="Q128" s="29">
        <v>1932</v>
      </c>
      <c r="R128" s="29">
        <v>1846</v>
      </c>
      <c r="S128" s="29">
        <v>1976</v>
      </c>
      <c r="T128" s="29">
        <v>1971</v>
      </c>
      <c r="U128" s="29">
        <v>1978</v>
      </c>
      <c r="V128" s="29">
        <v>1992</v>
      </c>
      <c r="W128" s="29">
        <v>1988</v>
      </c>
      <c r="X128" s="29">
        <v>2038</v>
      </c>
      <c r="Y128" s="29">
        <v>2202</v>
      </c>
      <c r="Z128" s="29">
        <v>2204</v>
      </c>
      <c r="AA128" s="29">
        <v>2067</v>
      </c>
      <c r="AB128" s="29">
        <v>2083</v>
      </c>
      <c r="AC128" s="29">
        <v>2020</v>
      </c>
      <c r="AD128" s="29">
        <v>2277</v>
      </c>
      <c r="AE128" s="29">
        <v>2155</v>
      </c>
      <c r="AF128" s="29">
        <v>1978</v>
      </c>
      <c r="AG128" s="29">
        <v>1984</v>
      </c>
      <c r="AH128" s="29">
        <v>1945</v>
      </c>
      <c r="AI128" s="29">
        <v>2016</v>
      </c>
      <c r="AJ128" s="29">
        <v>2071</v>
      </c>
      <c r="AK128" s="29">
        <v>2147</v>
      </c>
      <c r="AL128" s="29">
        <v>2237</v>
      </c>
      <c r="AM128" s="29">
        <v>2266</v>
      </c>
      <c r="AN128" s="29">
        <v>2097</v>
      </c>
      <c r="AO128" s="29">
        <v>2095</v>
      </c>
      <c r="AP128" s="29">
        <v>1937</v>
      </c>
      <c r="AQ128" s="29">
        <v>1853</v>
      </c>
      <c r="AR128" s="29">
        <v>1987</v>
      </c>
      <c r="AS128" s="29">
        <v>2045</v>
      </c>
      <c r="AT128" s="29">
        <v>2093</v>
      </c>
      <c r="AU128" s="29">
        <v>2007</v>
      </c>
      <c r="AV128" s="29">
        <v>2050</v>
      </c>
      <c r="AW128" s="29">
        <v>1944</v>
      </c>
      <c r="AX128" s="29">
        <v>2153</v>
      </c>
      <c r="AY128" s="29">
        <v>2154</v>
      </c>
      <c r="AZ128" s="29">
        <v>2206</v>
      </c>
      <c r="BA128" s="29">
        <v>2285</v>
      </c>
      <c r="BB128" s="29">
        <v>2187</v>
      </c>
      <c r="BC128" s="29">
        <v>2083</v>
      </c>
      <c r="BD128" s="29">
        <v>2085</v>
      </c>
      <c r="BE128" s="29">
        <v>2167</v>
      </c>
      <c r="BF128" s="29">
        <v>2149</v>
      </c>
      <c r="BG128" s="29">
        <v>2203</v>
      </c>
      <c r="BH128" s="29">
        <v>2485</v>
      </c>
      <c r="BI128" s="29">
        <v>2217</v>
      </c>
      <c r="BJ128" s="29">
        <v>2305</v>
      </c>
      <c r="BK128" s="29">
        <v>2352</v>
      </c>
      <c r="BL128" s="30">
        <v>2350</v>
      </c>
      <c r="BM128" s="1">
        <v>2335</v>
      </c>
      <c r="BN128" s="1">
        <v>2339</v>
      </c>
      <c r="BO128" s="1">
        <v>2375</v>
      </c>
      <c r="BP128" s="1">
        <v>2423</v>
      </c>
      <c r="BQ128" s="1">
        <v>2380</v>
      </c>
      <c r="BR128" s="1">
        <v>2461</v>
      </c>
      <c r="BS128" s="1">
        <v>2505</v>
      </c>
      <c r="BT128" s="1">
        <v>2545</v>
      </c>
      <c r="BU128" s="1">
        <v>2697</v>
      </c>
      <c r="BV128" s="1">
        <v>2797</v>
      </c>
      <c r="BW128" s="1">
        <v>2680</v>
      </c>
      <c r="BX128" s="1">
        <v>2493</v>
      </c>
      <c r="BY128" s="1">
        <v>2409</v>
      </c>
      <c r="BZ128" s="1">
        <v>2384</v>
      </c>
    </row>
    <row r="129" spans="1:254" ht="15.9" customHeight="1">
      <c r="A129" s="65" t="s">
        <v>253</v>
      </c>
      <c r="B129" s="25" t="s">
        <v>254</v>
      </c>
      <c r="C129" s="39">
        <f>_xll.RssMarket("4082","高値")</f>
        <v>1939</v>
      </c>
      <c r="D129" s="38">
        <f t="shared" si="3"/>
        <v>0</v>
      </c>
      <c r="E129" s="34">
        <v>1939</v>
      </c>
      <c r="F129" s="34">
        <v>1958</v>
      </c>
      <c r="G129" s="29">
        <v>1858</v>
      </c>
      <c r="H129" s="29">
        <v>1823</v>
      </c>
      <c r="I129" s="29">
        <v>1799</v>
      </c>
      <c r="J129" s="29">
        <v>1739</v>
      </c>
      <c r="K129" s="29">
        <v>1800</v>
      </c>
      <c r="L129" s="29">
        <v>1868</v>
      </c>
      <c r="M129" s="29">
        <v>1880</v>
      </c>
      <c r="N129" s="29">
        <v>1857</v>
      </c>
      <c r="O129" s="29">
        <v>1870</v>
      </c>
      <c r="P129" s="29">
        <v>1892</v>
      </c>
      <c r="Q129" s="29">
        <v>1836</v>
      </c>
      <c r="R129" s="29">
        <v>1863</v>
      </c>
      <c r="S129" s="29">
        <v>1979</v>
      </c>
      <c r="T129" s="29">
        <v>1971</v>
      </c>
      <c r="U129" s="29">
        <v>1983</v>
      </c>
      <c r="V129" s="29">
        <v>1997</v>
      </c>
      <c r="W129" s="29">
        <v>2020</v>
      </c>
      <c r="X129" s="29">
        <v>2065</v>
      </c>
      <c r="Y129" s="29">
        <v>2076</v>
      </c>
      <c r="Z129" s="29">
        <v>2102</v>
      </c>
      <c r="AA129" s="29">
        <v>2055</v>
      </c>
      <c r="AB129" s="29">
        <v>2081</v>
      </c>
      <c r="AC129" s="29">
        <v>2059</v>
      </c>
      <c r="AD129" s="29">
        <v>2102</v>
      </c>
      <c r="AE129" s="29">
        <v>2118</v>
      </c>
      <c r="AF129" s="29">
        <v>2135</v>
      </c>
      <c r="AG129" s="29">
        <v>2235</v>
      </c>
      <c r="AH129" s="29">
        <v>2060</v>
      </c>
      <c r="AI129" s="29">
        <v>2144</v>
      </c>
      <c r="AJ129" s="29">
        <v>2146</v>
      </c>
      <c r="AK129" s="29">
        <v>2128</v>
      </c>
      <c r="AL129" s="29">
        <v>2148</v>
      </c>
      <c r="AM129" s="29">
        <v>2130</v>
      </c>
      <c r="AN129" s="29">
        <v>2026</v>
      </c>
      <c r="AO129" s="29">
        <v>2000</v>
      </c>
      <c r="AP129" s="29">
        <v>1924</v>
      </c>
      <c r="AQ129" s="29">
        <v>1875</v>
      </c>
      <c r="AR129" s="29">
        <v>1963</v>
      </c>
      <c r="AS129" s="29">
        <v>2039</v>
      </c>
      <c r="AT129" s="29">
        <v>2138</v>
      </c>
      <c r="AU129" s="29">
        <v>2172</v>
      </c>
      <c r="AV129" s="29">
        <v>2282</v>
      </c>
      <c r="AW129" s="29">
        <v>2225</v>
      </c>
      <c r="AX129" s="29">
        <v>2463</v>
      </c>
      <c r="AY129" s="29">
        <v>2264</v>
      </c>
      <c r="AZ129" s="29">
        <v>2340</v>
      </c>
      <c r="BA129" s="29">
        <v>2141</v>
      </c>
      <c r="BB129" s="29">
        <v>2048</v>
      </c>
      <c r="BC129" s="29">
        <v>1998</v>
      </c>
      <c r="BD129" s="29">
        <v>2113</v>
      </c>
      <c r="BE129" s="29">
        <v>2215</v>
      </c>
      <c r="BF129" s="29">
        <v>2222</v>
      </c>
      <c r="BG129" s="29">
        <v>2288</v>
      </c>
      <c r="BH129" s="29">
        <v>2658</v>
      </c>
      <c r="BI129" s="29">
        <v>2830</v>
      </c>
      <c r="BJ129" s="29">
        <v>2746</v>
      </c>
      <c r="BK129" s="29">
        <v>2746</v>
      </c>
      <c r="BL129" s="30">
        <v>2541</v>
      </c>
      <c r="BM129" s="1">
        <v>2382</v>
      </c>
      <c r="BN129" s="1">
        <v>2358</v>
      </c>
      <c r="BO129" s="1">
        <v>2367</v>
      </c>
      <c r="BP129" s="1">
        <v>2357</v>
      </c>
      <c r="BQ129" s="1">
        <v>2283</v>
      </c>
      <c r="BR129" s="1">
        <v>2474</v>
      </c>
      <c r="BS129" s="1">
        <v>2331</v>
      </c>
      <c r="BT129" s="1">
        <v>2384</v>
      </c>
      <c r="BU129" s="1">
        <v>2565</v>
      </c>
      <c r="BV129" s="1">
        <v>2625</v>
      </c>
      <c r="BW129" s="1">
        <v>2396</v>
      </c>
      <c r="BX129" s="1">
        <v>2268</v>
      </c>
      <c r="BY129" s="1">
        <v>2140</v>
      </c>
      <c r="BZ129" s="1">
        <v>2110</v>
      </c>
    </row>
    <row r="130" spans="1:254" ht="15.9" customHeight="1">
      <c r="A130" s="65" t="s">
        <v>255</v>
      </c>
      <c r="B130" s="25" t="s">
        <v>256</v>
      </c>
      <c r="C130" s="39">
        <f>_xll.RssMarket("4519","高値")</f>
        <v>6764</v>
      </c>
      <c r="D130" s="38">
        <f t="shared" si="3"/>
        <v>0</v>
      </c>
      <c r="E130" s="34">
        <v>6764</v>
      </c>
      <c r="F130" s="34">
        <v>6693</v>
      </c>
      <c r="G130" s="29">
        <v>6680</v>
      </c>
      <c r="H130" s="29">
        <v>6812</v>
      </c>
      <c r="I130" s="29">
        <v>6993</v>
      </c>
      <c r="J130" s="29">
        <v>7087</v>
      </c>
      <c r="K130" s="29">
        <v>7110</v>
      </c>
      <c r="L130" s="29">
        <v>7149</v>
      </c>
      <c r="M130" s="29">
        <v>7100</v>
      </c>
      <c r="N130" s="29"/>
      <c r="O130" s="29">
        <v>7319</v>
      </c>
      <c r="P130" s="29">
        <v>7393</v>
      </c>
      <c r="Q130" s="29">
        <v>7444</v>
      </c>
      <c r="R130" s="29">
        <v>7344</v>
      </c>
      <c r="S130" s="29">
        <v>7231</v>
      </c>
      <c r="T130" s="29">
        <v>7342</v>
      </c>
      <c r="U130" s="29">
        <v>7350</v>
      </c>
      <c r="V130" s="29">
        <v>7420</v>
      </c>
      <c r="W130" s="29">
        <v>7460</v>
      </c>
      <c r="X130" s="29">
        <v>7762</v>
      </c>
      <c r="Y130" s="29">
        <v>7654</v>
      </c>
      <c r="Z130" s="29">
        <v>7719</v>
      </c>
      <c r="AA130" s="29">
        <v>7939</v>
      </c>
      <c r="AB130" s="29">
        <v>7484</v>
      </c>
      <c r="AC130" s="29">
        <v>7494</v>
      </c>
      <c r="AD130" s="29">
        <v>7630</v>
      </c>
      <c r="AE130" s="29">
        <v>7660</v>
      </c>
      <c r="AF130" s="29">
        <v>7540</v>
      </c>
      <c r="AG130" s="29">
        <v>7596</v>
      </c>
      <c r="AH130" s="29">
        <v>7583</v>
      </c>
      <c r="AI130" s="29">
        <v>7560</v>
      </c>
      <c r="AJ130" s="29">
        <v>7583</v>
      </c>
      <c r="AK130" s="29">
        <v>7550</v>
      </c>
      <c r="AL130" s="29">
        <v>7678</v>
      </c>
      <c r="AM130" s="29">
        <v>7689</v>
      </c>
      <c r="AN130" s="29">
        <v>7719</v>
      </c>
      <c r="AO130" s="29">
        <v>7567</v>
      </c>
      <c r="AP130" s="29">
        <v>7506</v>
      </c>
      <c r="AQ130" s="29">
        <v>7472</v>
      </c>
      <c r="AR130" s="29">
        <v>7560</v>
      </c>
      <c r="AS130" s="29">
        <v>7599</v>
      </c>
      <c r="AT130" s="29">
        <v>7658</v>
      </c>
      <c r="AU130" s="29">
        <v>7595</v>
      </c>
      <c r="AV130" s="29">
        <v>7629</v>
      </c>
      <c r="AW130" s="29">
        <v>7624</v>
      </c>
      <c r="AX130" s="29">
        <v>7944</v>
      </c>
      <c r="AY130" s="29">
        <v>7936</v>
      </c>
      <c r="AZ130" s="29">
        <v>7888</v>
      </c>
      <c r="BA130" s="29">
        <v>8215</v>
      </c>
      <c r="BB130" s="29">
        <v>8090</v>
      </c>
      <c r="BC130" s="29">
        <v>8151</v>
      </c>
      <c r="BD130" s="29">
        <v>8047</v>
      </c>
      <c r="BE130" s="29">
        <v>8022</v>
      </c>
      <c r="BF130" s="29">
        <v>8013</v>
      </c>
      <c r="BG130" s="29">
        <v>8111</v>
      </c>
      <c r="BH130" s="29">
        <v>8096</v>
      </c>
      <c r="BI130" s="29">
        <v>7841</v>
      </c>
      <c r="BJ130" s="29">
        <v>7961</v>
      </c>
      <c r="BK130" s="29">
        <v>7996</v>
      </c>
      <c r="BL130" s="30">
        <v>8248</v>
      </c>
      <c r="BM130" s="1">
        <v>8148</v>
      </c>
      <c r="BN130" s="1">
        <v>8893</v>
      </c>
      <c r="BO130" s="1">
        <v>8236</v>
      </c>
      <c r="BP130" s="1">
        <v>7948</v>
      </c>
      <c r="BQ130" s="1">
        <v>8034</v>
      </c>
      <c r="BR130" s="1">
        <v>9013</v>
      </c>
      <c r="BS130" s="1">
        <v>8984</v>
      </c>
      <c r="BT130" s="1">
        <v>8888</v>
      </c>
      <c r="BU130" s="1">
        <v>8788</v>
      </c>
      <c r="BV130" s="1">
        <v>8920</v>
      </c>
      <c r="BW130" s="1">
        <v>8462</v>
      </c>
      <c r="BX130" s="1">
        <v>8777</v>
      </c>
      <c r="BY130" s="1">
        <v>8693</v>
      </c>
      <c r="BZ130" s="1">
        <v>8656</v>
      </c>
    </row>
    <row r="131" spans="1:254" ht="15.9" customHeight="1">
      <c r="A131" s="65" t="s">
        <v>257</v>
      </c>
      <c r="B131" s="25" t="s">
        <v>258</v>
      </c>
      <c r="C131" s="39">
        <f>_xll.RssMarket("2160","高値")</f>
        <v>2734</v>
      </c>
      <c r="D131" s="38">
        <f t="shared" si="3"/>
        <v>0</v>
      </c>
      <c r="E131" s="34">
        <v>2734</v>
      </c>
      <c r="F131" s="34">
        <v>2665</v>
      </c>
      <c r="G131" s="29">
        <v>2585</v>
      </c>
      <c r="H131" s="29">
        <v>2510</v>
      </c>
      <c r="I131" s="29">
        <v>2509</v>
      </c>
      <c r="J131" s="29">
        <v>2363</v>
      </c>
      <c r="K131" s="29">
        <v>2477</v>
      </c>
      <c r="L131" s="29">
        <v>2578</v>
      </c>
      <c r="M131" s="29">
        <v>2618</v>
      </c>
      <c r="N131" s="29">
        <v>2608</v>
      </c>
      <c r="O131" s="29">
        <v>2643</v>
      </c>
      <c r="P131" s="29">
        <v>2558</v>
      </c>
      <c r="Q131" s="29">
        <v>2559</v>
      </c>
      <c r="R131" s="29">
        <v>2516</v>
      </c>
      <c r="S131" s="29">
        <v>2615</v>
      </c>
      <c r="T131" s="29">
        <v>2620</v>
      </c>
      <c r="U131" s="29">
        <v>2626</v>
      </c>
      <c r="V131" s="29">
        <v>2641</v>
      </c>
      <c r="W131" s="29">
        <v>2658</v>
      </c>
      <c r="X131" s="29">
        <v>2807</v>
      </c>
      <c r="Y131" s="29">
        <v>2910</v>
      </c>
      <c r="Z131" s="29">
        <v>2908</v>
      </c>
      <c r="AA131" s="29">
        <v>2955</v>
      </c>
      <c r="AB131" s="29">
        <v>2922</v>
      </c>
      <c r="AC131" s="29">
        <v>2867</v>
      </c>
      <c r="AD131" s="29">
        <v>2876</v>
      </c>
      <c r="AE131" s="29">
        <v>2800</v>
      </c>
      <c r="AF131" s="29">
        <v>2554</v>
      </c>
      <c r="AG131" s="29">
        <v>2588</v>
      </c>
      <c r="AH131" s="29">
        <v>2554</v>
      </c>
      <c r="AI131" s="29">
        <v>2544</v>
      </c>
      <c r="AJ131" s="29">
        <v>2587</v>
      </c>
      <c r="AK131" s="29">
        <v>2632</v>
      </c>
      <c r="AL131" s="29">
        <v>2643</v>
      </c>
      <c r="AM131" s="29">
        <v>2595</v>
      </c>
      <c r="AN131" s="29">
        <v>2560</v>
      </c>
      <c r="AO131" s="29">
        <v>2554</v>
      </c>
      <c r="AP131" s="29">
        <v>2735</v>
      </c>
      <c r="AQ131" s="29">
        <v>2704</v>
      </c>
      <c r="AR131" s="29">
        <v>2799</v>
      </c>
      <c r="AS131" s="29">
        <v>3090</v>
      </c>
      <c r="AT131" s="29">
        <v>2940</v>
      </c>
      <c r="AU131" s="29">
        <v>2740</v>
      </c>
      <c r="AV131" s="29">
        <v>2643</v>
      </c>
      <c r="AW131" s="29">
        <v>2630</v>
      </c>
      <c r="AX131" s="29">
        <v>2680</v>
      </c>
      <c r="AY131" s="29">
        <v>2679</v>
      </c>
      <c r="AZ131" s="29">
        <v>2739</v>
      </c>
      <c r="BA131" s="29">
        <v>2860</v>
      </c>
      <c r="BB131" s="29">
        <v>2923</v>
      </c>
      <c r="BC131" s="29">
        <v>2866</v>
      </c>
      <c r="BD131" s="29">
        <v>2832</v>
      </c>
      <c r="BE131" s="29">
        <v>2848</v>
      </c>
      <c r="BF131" s="29">
        <v>2999</v>
      </c>
      <c r="BG131" s="29">
        <v>3050</v>
      </c>
      <c r="BH131" s="29">
        <v>3115</v>
      </c>
      <c r="BI131" s="29">
        <v>3345</v>
      </c>
      <c r="BJ131" s="29">
        <v>3050</v>
      </c>
      <c r="BK131" s="29">
        <v>3005</v>
      </c>
      <c r="BL131" s="30">
        <v>3080</v>
      </c>
      <c r="BM131" s="1">
        <v>3130</v>
      </c>
      <c r="BN131" s="1">
        <v>3040</v>
      </c>
      <c r="BO131" s="1">
        <v>3055</v>
      </c>
      <c r="BP131" s="1">
        <v>3170</v>
      </c>
      <c r="BQ131" s="1">
        <v>3160</v>
      </c>
      <c r="BR131" s="1">
        <v>3185</v>
      </c>
      <c r="BS131" s="1">
        <v>3275</v>
      </c>
      <c r="BT131" s="1">
        <v>3395</v>
      </c>
      <c r="BU131" s="1">
        <v>3455</v>
      </c>
      <c r="BV131" s="1">
        <v>3515</v>
      </c>
      <c r="BW131" s="1">
        <v>3405</v>
      </c>
      <c r="BX131" s="1">
        <v>3410</v>
      </c>
      <c r="BY131" s="1">
        <v>3340</v>
      </c>
      <c r="BZ131" s="1">
        <v>3270</v>
      </c>
    </row>
    <row r="132" spans="1:254" ht="15.9" customHeight="1">
      <c r="A132" s="65" t="s">
        <v>259</v>
      </c>
      <c r="B132" s="25" t="s">
        <v>260</v>
      </c>
      <c r="C132" s="39">
        <f>_xll.RssMarket("6227","高値")</f>
        <v>7430</v>
      </c>
      <c r="D132" s="38">
        <f t="shared" si="3"/>
        <v>0</v>
      </c>
      <c r="E132" s="34">
        <v>7430</v>
      </c>
      <c r="F132" s="34">
        <v>7600</v>
      </c>
      <c r="G132" s="29">
        <v>6840</v>
      </c>
      <c r="H132" s="29">
        <v>6740</v>
      </c>
      <c r="I132" s="29">
        <v>6670</v>
      </c>
      <c r="J132" s="29">
        <v>5940</v>
      </c>
      <c r="K132" s="29">
        <v>6140</v>
      </c>
      <c r="L132" s="29">
        <v>6430</v>
      </c>
      <c r="M132" s="29">
        <v>7110</v>
      </c>
      <c r="N132" s="29"/>
      <c r="O132" s="29">
        <v>7630</v>
      </c>
      <c r="P132" s="29">
        <v>7280</v>
      </c>
      <c r="Q132" s="29">
        <v>7060</v>
      </c>
      <c r="R132" s="29">
        <v>7200</v>
      </c>
      <c r="S132" s="29">
        <v>8150</v>
      </c>
      <c r="T132" s="29">
        <v>8200</v>
      </c>
      <c r="U132" s="29">
        <v>7790</v>
      </c>
      <c r="V132" s="29">
        <v>6790</v>
      </c>
      <c r="W132" s="29">
        <v>5900</v>
      </c>
      <c r="X132" s="29">
        <v>5930</v>
      </c>
      <c r="Y132" s="29">
        <v>6830</v>
      </c>
      <c r="Z132" s="29">
        <v>7040</v>
      </c>
      <c r="AA132" s="29">
        <v>6950</v>
      </c>
      <c r="AB132" s="29">
        <v>7200</v>
      </c>
      <c r="AC132" s="29">
        <v>7920</v>
      </c>
      <c r="AD132" s="29">
        <v>7020</v>
      </c>
      <c r="AE132" s="29">
        <v>6760</v>
      </c>
      <c r="AF132" s="29">
        <v>7260</v>
      </c>
      <c r="AG132" s="29">
        <v>7850</v>
      </c>
      <c r="AH132" s="29">
        <v>7620</v>
      </c>
      <c r="AI132" s="29">
        <v>7880</v>
      </c>
      <c r="AJ132" s="29">
        <v>7970</v>
      </c>
      <c r="AK132" s="29">
        <v>7740</v>
      </c>
      <c r="AL132" s="29">
        <v>8390</v>
      </c>
      <c r="AM132" s="29">
        <v>8830</v>
      </c>
      <c r="AN132" s="29">
        <v>8490</v>
      </c>
      <c r="AO132" s="29">
        <v>9190</v>
      </c>
      <c r="AP132" s="29">
        <v>7850</v>
      </c>
      <c r="AQ132" s="29">
        <v>7080</v>
      </c>
      <c r="AR132" s="29">
        <v>7620</v>
      </c>
      <c r="AS132" s="29">
        <v>7440</v>
      </c>
      <c r="AT132" s="29">
        <v>7490</v>
      </c>
      <c r="AU132" s="29">
        <v>6750</v>
      </c>
      <c r="AV132" s="29">
        <v>6410</v>
      </c>
      <c r="AW132" s="29">
        <v>6300</v>
      </c>
      <c r="AX132" s="29">
        <v>5790</v>
      </c>
      <c r="AY132" s="29">
        <v>5650</v>
      </c>
      <c r="AZ132" s="29">
        <v>6280</v>
      </c>
      <c r="BA132" s="29">
        <v>6470</v>
      </c>
      <c r="BB132" s="29">
        <v>6230</v>
      </c>
      <c r="BC132" s="29">
        <v>7160</v>
      </c>
      <c r="BD132" s="29">
        <v>7170</v>
      </c>
      <c r="BE132" s="29">
        <v>7310</v>
      </c>
      <c r="BF132" s="29">
        <v>7250</v>
      </c>
      <c r="BG132" s="29">
        <v>6930</v>
      </c>
      <c r="BH132" s="29">
        <v>7150</v>
      </c>
      <c r="BI132" s="29">
        <v>6780</v>
      </c>
      <c r="BJ132" s="29">
        <v>7220</v>
      </c>
      <c r="BK132" s="29">
        <v>6940</v>
      </c>
      <c r="BL132" s="30">
        <v>6840</v>
      </c>
      <c r="BM132" s="1">
        <v>6920</v>
      </c>
      <c r="BN132" s="1">
        <v>6330</v>
      </c>
      <c r="BO132" s="1">
        <v>6560</v>
      </c>
      <c r="BP132" s="1">
        <v>6530</v>
      </c>
      <c r="BQ132" s="1">
        <v>6690</v>
      </c>
      <c r="BR132" s="1">
        <v>6700</v>
      </c>
      <c r="BS132" s="1">
        <v>7060</v>
      </c>
      <c r="BT132" s="1">
        <v>7190</v>
      </c>
      <c r="BU132" s="1">
        <v>7610</v>
      </c>
      <c r="BV132" s="1">
        <v>8290</v>
      </c>
      <c r="BW132" s="1">
        <v>8220</v>
      </c>
      <c r="BX132" s="1">
        <v>8680</v>
      </c>
      <c r="BY132" s="1">
        <v>8800</v>
      </c>
      <c r="BZ132" s="1">
        <v>7700</v>
      </c>
    </row>
    <row r="133" spans="1:254" ht="15.9" customHeight="1">
      <c r="A133" s="65" t="s">
        <v>261</v>
      </c>
      <c r="B133" s="25" t="s">
        <v>262</v>
      </c>
      <c r="C133" s="39">
        <f>_xll.RssMarket("6327","高値")</f>
        <v>3375</v>
      </c>
      <c r="D133" s="38">
        <f t="shared" si="3"/>
        <v>0</v>
      </c>
      <c r="E133" s="34">
        <v>3375</v>
      </c>
      <c r="F133" s="34">
        <v>3500</v>
      </c>
      <c r="G133" s="29">
        <v>3135</v>
      </c>
      <c r="H133" s="29">
        <v>3000</v>
      </c>
      <c r="I133" s="29">
        <v>3295</v>
      </c>
      <c r="J133" s="29">
        <v>3170</v>
      </c>
      <c r="K133" s="29">
        <v>3035</v>
      </c>
      <c r="L133" s="29">
        <v>3450</v>
      </c>
      <c r="M133" s="29">
        <v>3840</v>
      </c>
      <c r="N133" s="29"/>
      <c r="O133" s="29">
        <v>4200</v>
      </c>
      <c r="P133" s="29">
        <v>4670</v>
      </c>
      <c r="Q133" s="29">
        <v>4115</v>
      </c>
      <c r="R133" s="29">
        <v>4170</v>
      </c>
      <c r="S133" s="29">
        <v>5680</v>
      </c>
      <c r="T133" s="29">
        <v>5320</v>
      </c>
      <c r="U133" s="29">
        <v>6360</v>
      </c>
      <c r="V133" s="29">
        <v>6130</v>
      </c>
      <c r="W133" s="29">
        <v>5510</v>
      </c>
      <c r="X133" s="29">
        <v>5730</v>
      </c>
      <c r="Y133" s="29">
        <v>6850</v>
      </c>
      <c r="Z133" s="29">
        <v>8200</v>
      </c>
      <c r="AA133" s="29">
        <v>8210</v>
      </c>
      <c r="AB133" s="29">
        <v>9480</v>
      </c>
      <c r="AC133" s="29">
        <v>9350</v>
      </c>
      <c r="AD133" s="29">
        <v>7900</v>
      </c>
      <c r="AE133" s="29">
        <v>6970</v>
      </c>
      <c r="AF133" s="29">
        <v>7190</v>
      </c>
      <c r="AG133" s="29">
        <v>6660</v>
      </c>
      <c r="AH133" s="29">
        <v>6620</v>
      </c>
      <c r="AI133" s="29">
        <v>6800</v>
      </c>
      <c r="AJ133" s="29">
        <v>6190</v>
      </c>
      <c r="AK133" s="29">
        <v>7150</v>
      </c>
      <c r="AL133" s="29">
        <v>6150</v>
      </c>
      <c r="AM133" s="29">
        <v>5150</v>
      </c>
      <c r="AN133" s="29">
        <v>4445</v>
      </c>
      <c r="AO133" s="29">
        <v>3745</v>
      </c>
      <c r="AP133" s="29">
        <v>3400</v>
      </c>
      <c r="AQ133" s="29">
        <v>3225</v>
      </c>
      <c r="AR133" s="29">
        <v>3400</v>
      </c>
      <c r="AS133" s="29">
        <v>3720</v>
      </c>
      <c r="AT133" s="29">
        <v>4090</v>
      </c>
      <c r="AU133" s="29">
        <v>4220</v>
      </c>
      <c r="AV133" s="29">
        <v>5580</v>
      </c>
      <c r="AW133" s="29">
        <v>5230</v>
      </c>
      <c r="AX133" s="29">
        <v>6000</v>
      </c>
      <c r="AY133" s="29">
        <v>5000</v>
      </c>
      <c r="AZ133" s="29">
        <v>4300</v>
      </c>
      <c r="BA133" s="29">
        <v>3415</v>
      </c>
      <c r="BB133" s="29">
        <v>2914</v>
      </c>
      <c r="BC133" s="29">
        <v>2484</v>
      </c>
      <c r="BD133" s="29">
        <v>2375</v>
      </c>
      <c r="BE133" s="29">
        <v>2622</v>
      </c>
      <c r="BF133" s="29">
        <v>2657</v>
      </c>
      <c r="BG133" s="29">
        <v>2716</v>
      </c>
      <c r="BH133" s="29">
        <v>2800</v>
      </c>
      <c r="BI133" s="29">
        <v>2889</v>
      </c>
      <c r="BJ133" s="29">
        <v>3460</v>
      </c>
      <c r="BK133" s="29">
        <v>3595</v>
      </c>
      <c r="BL133" s="30">
        <v>3620</v>
      </c>
      <c r="BM133" s="1">
        <v>3400</v>
      </c>
      <c r="BN133" s="1">
        <v>2971</v>
      </c>
      <c r="BO133" s="1">
        <v>3090</v>
      </c>
      <c r="BP133" s="1">
        <v>2685</v>
      </c>
      <c r="BQ133" s="1">
        <v>2185</v>
      </c>
      <c r="BR133" s="1">
        <v>2118</v>
      </c>
      <c r="BS133" s="1">
        <v>2176</v>
      </c>
      <c r="BT133" s="1">
        <v>2240</v>
      </c>
      <c r="BU133" s="1">
        <v>2250</v>
      </c>
      <c r="BV133" s="1">
        <v>2120</v>
      </c>
      <c r="BW133" s="1">
        <v>2141</v>
      </c>
      <c r="BX133" s="1">
        <v>2128</v>
      </c>
      <c r="BY133" s="1">
        <v>2160</v>
      </c>
      <c r="BZ133" s="1">
        <v>2107</v>
      </c>
    </row>
    <row r="134" spans="1:254" ht="15.9" customHeight="1">
      <c r="A134" s="65" t="s">
        <v>263</v>
      </c>
      <c r="B134" s="25" t="s">
        <v>264</v>
      </c>
      <c r="C134" s="39">
        <f>_xll.RssMarket("3110","高値")</f>
        <v>3150</v>
      </c>
      <c r="D134" s="38">
        <f t="shared" ref="D134:D141" si="4">C134-E134</f>
        <v>0</v>
      </c>
      <c r="E134" s="34">
        <v>3150</v>
      </c>
      <c r="F134" s="34">
        <v>3610</v>
      </c>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30"/>
    </row>
    <row r="135" spans="1:254" ht="15.9" customHeight="1">
      <c r="A135" s="65" t="s">
        <v>265</v>
      </c>
      <c r="B135" s="25" t="s">
        <v>266</v>
      </c>
      <c r="C135" s="39">
        <f>_xll.RssMarket("6232","高値")</f>
        <v>1809</v>
      </c>
      <c r="D135" s="38">
        <f t="shared" si="4"/>
        <v>0</v>
      </c>
      <c r="E135" s="34">
        <v>1809</v>
      </c>
      <c r="F135" s="34">
        <v>1840</v>
      </c>
      <c r="G135" s="29">
        <v>3135</v>
      </c>
      <c r="H135" s="29">
        <v>3000</v>
      </c>
      <c r="I135" s="29">
        <v>3295</v>
      </c>
      <c r="J135" s="29">
        <v>3170</v>
      </c>
      <c r="K135" s="29">
        <v>3035</v>
      </c>
      <c r="L135" s="29">
        <v>3450</v>
      </c>
      <c r="M135" s="29">
        <v>3840</v>
      </c>
      <c r="N135" s="29">
        <v>1789</v>
      </c>
      <c r="O135" s="29">
        <v>4200</v>
      </c>
      <c r="P135" s="29">
        <v>4670</v>
      </c>
      <c r="Q135" s="29">
        <v>4115</v>
      </c>
      <c r="R135" s="29">
        <v>4170</v>
      </c>
      <c r="S135" s="29">
        <v>5680</v>
      </c>
      <c r="T135" s="29">
        <v>5320</v>
      </c>
      <c r="U135" s="29">
        <v>6360</v>
      </c>
      <c r="V135" s="29">
        <v>6130</v>
      </c>
      <c r="W135" s="29">
        <v>5510</v>
      </c>
      <c r="X135" s="29">
        <v>5730</v>
      </c>
      <c r="Y135" s="29">
        <v>6850</v>
      </c>
      <c r="Z135" s="29">
        <v>8200</v>
      </c>
      <c r="AA135" s="29">
        <v>8210</v>
      </c>
      <c r="AB135" s="29">
        <v>9480</v>
      </c>
      <c r="AC135" s="29">
        <v>9350</v>
      </c>
      <c r="AD135" s="29">
        <v>7900</v>
      </c>
      <c r="AE135" s="29">
        <v>6970</v>
      </c>
      <c r="AF135" s="29">
        <v>7190</v>
      </c>
      <c r="AG135" s="29">
        <v>6660</v>
      </c>
      <c r="AH135" s="29">
        <v>6620</v>
      </c>
      <c r="AI135" s="29">
        <v>6800</v>
      </c>
      <c r="AJ135" s="29">
        <v>6190</v>
      </c>
      <c r="AK135" s="29">
        <v>7150</v>
      </c>
      <c r="AL135" s="29">
        <v>6150</v>
      </c>
      <c r="AM135" s="29">
        <v>5150</v>
      </c>
      <c r="AN135" s="29">
        <v>4445</v>
      </c>
      <c r="AO135" s="29">
        <v>3745</v>
      </c>
      <c r="AP135" s="29">
        <v>3400</v>
      </c>
      <c r="AQ135" s="29">
        <v>3225</v>
      </c>
      <c r="AR135" s="29">
        <v>3400</v>
      </c>
      <c r="AS135" s="29">
        <v>3720</v>
      </c>
      <c r="AT135" s="29">
        <v>4090</v>
      </c>
      <c r="AU135" s="29">
        <v>4220</v>
      </c>
      <c r="AV135" s="29">
        <v>5580</v>
      </c>
      <c r="AW135" s="29">
        <v>5230</v>
      </c>
      <c r="AX135" s="29">
        <v>6000</v>
      </c>
      <c r="AY135" s="29">
        <v>5000</v>
      </c>
      <c r="AZ135" s="29">
        <v>4300</v>
      </c>
      <c r="BA135" s="29">
        <v>3415</v>
      </c>
      <c r="BB135" s="29">
        <v>2914</v>
      </c>
      <c r="BC135" s="29">
        <v>2484</v>
      </c>
      <c r="BD135" s="29">
        <v>2375</v>
      </c>
      <c r="BE135" s="29">
        <v>2622</v>
      </c>
      <c r="BF135" s="29">
        <v>2657</v>
      </c>
      <c r="BG135" s="29">
        <v>2716</v>
      </c>
      <c r="BH135" s="29">
        <v>2800</v>
      </c>
      <c r="BI135" s="29">
        <v>2889</v>
      </c>
      <c r="BJ135" s="29">
        <v>3460</v>
      </c>
      <c r="BK135" s="29">
        <v>3595</v>
      </c>
      <c r="BL135" s="30">
        <v>3620</v>
      </c>
      <c r="BM135" s="1">
        <v>3400</v>
      </c>
      <c r="BN135" s="1">
        <v>2971</v>
      </c>
      <c r="BO135" s="1">
        <v>3090</v>
      </c>
      <c r="BP135" s="1">
        <v>2685</v>
      </c>
      <c r="BQ135" s="1">
        <v>2185</v>
      </c>
      <c r="BR135" s="1">
        <v>2118</v>
      </c>
      <c r="BS135" s="1">
        <v>2176</v>
      </c>
      <c r="BT135" s="1">
        <v>2240</v>
      </c>
      <c r="BU135" s="1">
        <v>2250</v>
      </c>
      <c r="BV135" s="1">
        <v>2120</v>
      </c>
      <c r="BW135" s="1">
        <v>2141</v>
      </c>
      <c r="BX135" s="1">
        <v>2128</v>
      </c>
      <c r="BY135" s="1">
        <v>2160</v>
      </c>
      <c r="BZ135" s="1">
        <v>2107</v>
      </c>
    </row>
    <row r="136" spans="1:254" ht="15.9" customHeight="1">
      <c r="A136" s="65" t="s">
        <v>267</v>
      </c>
      <c r="B136" s="25" t="s">
        <v>268</v>
      </c>
      <c r="C136" s="39">
        <f>_xll.RssMarket("7794","高値")</f>
        <v>892</v>
      </c>
      <c r="D136" s="38">
        <f t="shared" si="4"/>
        <v>0</v>
      </c>
      <c r="E136" s="34">
        <v>892</v>
      </c>
      <c r="F136" s="34">
        <v>909</v>
      </c>
      <c r="G136" s="29">
        <v>886</v>
      </c>
      <c r="H136" s="29">
        <v>872</v>
      </c>
      <c r="I136" s="29">
        <v>877</v>
      </c>
      <c r="J136" s="29">
        <v>852</v>
      </c>
      <c r="K136" s="29">
        <v>880</v>
      </c>
      <c r="L136" s="29">
        <v>935</v>
      </c>
      <c r="M136" s="29">
        <v>943</v>
      </c>
      <c r="N136" s="29"/>
      <c r="O136" s="29">
        <v>969</v>
      </c>
      <c r="P136" s="29">
        <v>959</v>
      </c>
      <c r="Q136" s="29">
        <v>945</v>
      </c>
      <c r="R136" s="29">
        <v>932</v>
      </c>
      <c r="S136" s="29">
        <v>1036</v>
      </c>
      <c r="T136" s="29">
        <v>1059</v>
      </c>
      <c r="U136" s="29">
        <v>1076</v>
      </c>
      <c r="V136" s="29">
        <v>1084</v>
      </c>
      <c r="W136" s="29">
        <v>1103</v>
      </c>
      <c r="X136" s="29">
        <v>1106</v>
      </c>
      <c r="Y136" s="29">
        <v>1174</v>
      </c>
      <c r="Z136" s="29">
        <v>1251</v>
      </c>
      <c r="AA136" s="29">
        <v>1229</v>
      </c>
      <c r="AB136" s="29">
        <v>1245</v>
      </c>
      <c r="AC136" s="29">
        <v>1251</v>
      </c>
      <c r="AD136" s="29">
        <v>1258</v>
      </c>
      <c r="AE136" s="29">
        <v>1170</v>
      </c>
      <c r="AF136" s="29">
        <v>1049</v>
      </c>
      <c r="AG136" s="29">
        <v>1088</v>
      </c>
      <c r="AH136" s="29">
        <v>1115</v>
      </c>
      <c r="AI136" s="29">
        <v>1208</v>
      </c>
      <c r="AJ136" s="29">
        <v>1209</v>
      </c>
      <c r="AK136" s="29">
        <v>1130</v>
      </c>
      <c r="AL136" s="29">
        <v>1112</v>
      </c>
      <c r="AM136" s="29">
        <v>1098</v>
      </c>
      <c r="AN136" s="29">
        <v>1095</v>
      </c>
      <c r="AO136" s="29">
        <v>1144</v>
      </c>
      <c r="AP136" s="29">
        <v>1114</v>
      </c>
      <c r="AQ136" s="29">
        <v>1090</v>
      </c>
      <c r="AR136" s="29">
        <v>1118</v>
      </c>
      <c r="AS136" s="29">
        <v>1155</v>
      </c>
      <c r="AT136" s="29">
        <v>1113</v>
      </c>
      <c r="AU136" s="29">
        <v>1071</v>
      </c>
      <c r="AV136" s="29">
        <v>1130</v>
      </c>
      <c r="AW136" s="29">
        <v>1160</v>
      </c>
      <c r="AX136" s="29">
        <v>1250</v>
      </c>
      <c r="AY136" s="29">
        <v>1394</v>
      </c>
      <c r="AZ136" s="29">
        <v>1137</v>
      </c>
      <c r="BA136" s="29">
        <v>1184</v>
      </c>
      <c r="BB136" s="29">
        <v>1148</v>
      </c>
      <c r="BC136" s="29">
        <v>1103</v>
      </c>
      <c r="BD136" s="29">
        <v>1122</v>
      </c>
      <c r="BE136" s="29">
        <v>1158</v>
      </c>
      <c r="BF136" s="29">
        <v>1165</v>
      </c>
      <c r="BG136" s="29">
        <v>1170</v>
      </c>
      <c r="BH136" s="29">
        <v>1240</v>
      </c>
      <c r="BI136" s="29">
        <v>1364</v>
      </c>
      <c r="BJ136" s="29">
        <v>1408</v>
      </c>
      <c r="BK136" s="29">
        <v>1475</v>
      </c>
      <c r="BL136" s="30">
        <v>1387</v>
      </c>
      <c r="BM136" s="1">
        <v>1342</v>
      </c>
      <c r="BN136" s="1">
        <v>1350</v>
      </c>
      <c r="BO136" s="1">
        <v>1388</v>
      </c>
      <c r="BP136" s="1">
        <v>1344</v>
      </c>
      <c r="BQ136" s="1">
        <v>1429</v>
      </c>
      <c r="BR136" s="1">
        <v>1520</v>
      </c>
      <c r="BS136" s="1">
        <v>1516</v>
      </c>
      <c r="BT136" s="1">
        <v>1678</v>
      </c>
      <c r="BU136" s="1">
        <v>1621</v>
      </c>
      <c r="BV136" s="1">
        <v>1584</v>
      </c>
      <c r="BW136" s="1">
        <v>1287</v>
      </c>
      <c r="BX136" s="1">
        <v>1245</v>
      </c>
      <c r="BY136" s="1">
        <v>1236</v>
      </c>
      <c r="BZ136" s="1">
        <v>1227</v>
      </c>
    </row>
    <row r="137" spans="1:254" ht="15.9" customHeight="1">
      <c r="A137" s="65" t="s">
        <v>269</v>
      </c>
      <c r="B137" s="25" t="s">
        <v>270</v>
      </c>
      <c r="C137" s="39">
        <f>_xll.RssMarket("6085","高値")</f>
        <v>79</v>
      </c>
      <c r="D137" s="38">
        <f t="shared" si="4"/>
        <v>0</v>
      </c>
      <c r="E137" s="34">
        <v>79</v>
      </c>
      <c r="F137" s="34">
        <v>81</v>
      </c>
      <c r="G137" s="29">
        <v>80</v>
      </c>
      <c r="H137" s="29">
        <v>87</v>
      </c>
      <c r="I137" s="29">
        <v>100</v>
      </c>
      <c r="J137" s="29">
        <v>95</v>
      </c>
      <c r="K137" s="29">
        <v>98</v>
      </c>
      <c r="L137" s="29">
        <v>110</v>
      </c>
      <c r="M137" s="29">
        <v>123</v>
      </c>
      <c r="N137" s="29"/>
      <c r="O137" s="29">
        <v>129</v>
      </c>
      <c r="P137" s="29">
        <v>174</v>
      </c>
      <c r="Q137" s="29">
        <v>186</v>
      </c>
      <c r="R137" s="29">
        <v>168</v>
      </c>
      <c r="S137" s="29">
        <v>215</v>
      </c>
      <c r="T137" s="29">
        <v>211</v>
      </c>
      <c r="U137" s="29">
        <v>230</v>
      </c>
      <c r="V137" s="29">
        <v>231</v>
      </c>
      <c r="W137" s="29">
        <v>235</v>
      </c>
      <c r="X137" s="29">
        <v>266</v>
      </c>
      <c r="Y137" s="29">
        <v>277</v>
      </c>
      <c r="Z137" s="29">
        <v>254</v>
      </c>
      <c r="AA137" s="29">
        <v>238</v>
      </c>
      <c r="AB137" s="29">
        <v>255</v>
      </c>
      <c r="AC137" s="29">
        <v>268</v>
      </c>
      <c r="AD137" s="29">
        <v>285</v>
      </c>
      <c r="AE137" s="29">
        <v>312</v>
      </c>
      <c r="AF137" s="29">
        <v>304</v>
      </c>
      <c r="AG137" s="29">
        <v>304</v>
      </c>
      <c r="AH137" s="29">
        <v>318</v>
      </c>
      <c r="AI137" s="29">
        <v>361</v>
      </c>
      <c r="AJ137" s="29">
        <v>382</v>
      </c>
      <c r="AK137" s="29">
        <v>331</v>
      </c>
      <c r="AL137" s="29">
        <v>350</v>
      </c>
      <c r="AM137" s="29">
        <v>327</v>
      </c>
      <c r="AN137" s="29">
        <v>320</v>
      </c>
      <c r="AO137" s="29">
        <v>361</v>
      </c>
      <c r="AP137" s="29">
        <v>424</v>
      </c>
      <c r="AQ137" s="29">
        <v>413</v>
      </c>
      <c r="AR137" s="29">
        <v>450</v>
      </c>
      <c r="AS137" s="29">
        <v>329</v>
      </c>
      <c r="AT137" s="29">
        <v>323</v>
      </c>
      <c r="AU137" s="29">
        <v>267</v>
      </c>
      <c r="AV137" s="29">
        <v>275</v>
      </c>
      <c r="AW137" s="29">
        <v>380</v>
      </c>
      <c r="AX137" s="29">
        <v>347</v>
      </c>
      <c r="AY137" s="29">
        <v>434</v>
      </c>
      <c r="AZ137" s="29">
        <v>514</v>
      </c>
      <c r="BA137" s="29">
        <v>544</v>
      </c>
      <c r="BB137" s="29">
        <v>488</v>
      </c>
      <c r="BC137" s="29">
        <v>472</v>
      </c>
      <c r="BD137" s="29">
        <v>463</v>
      </c>
      <c r="BE137" s="29">
        <v>584</v>
      </c>
      <c r="BF137" s="29">
        <v>585</v>
      </c>
      <c r="BG137" s="29">
        <v>536</v>
      </c>
      <c r="BH137" s="29">
        <v>562</v>
      </c>
      <c r="BI137" s="29">
        <v>541</v>
      </c>
      <c r="BJ137" s="29">
        <v>586</v>
      </c>
      <c r="BK137" s="29">
        <v>604</v>
      </c>
      <c r="BL137" s="30">
        <v>647</v>
      </c>
      <c r="BM137" s="1">
        <v>615</v>
      </c>
      <c r="BN137" s="1">
        <v>648</v>
      </c>
      <c r="BO137" s="1">
        <v>720</v>
      </c>
      <c r="BP137" s="1">
        <v>640</v>
      </c>
      <c r="BQ137" s="1">
        <v>609</v>
      </c>
      <c r="BR137" s="1">
        <v>521</v>
      </c>
      <c r="BS137" s="1">
        <v>480</v>
      </c>
      <c r="BT137" s="1">
        <v>460</v>
      </c>
      <c r="BU137" s="1">
        <v>399</v>
      </c>
      <c r="BV137" s="1">
        <v>399</v>
      </c>
      <c r="BW137" s="1">
        <v>372</v>
      </c>
      <c r="BX137" s="1">
        <v>336.5</v>
      </c>
      <c r="BY137" s="1">
        <v>300</v>
      </c>
      <c r="BZ137" s="1">
        <v>320</v>
      </c>
    </row>
    <row r="138" spans="1:254" ht="15.9" customHeight="1">
      <c r="A138" s="65" t="s">
        <v>271</v>
      </c>
      <c r="B138" s="25" t="s">
        <v>272</v>
      </c>
      <c r="C138" s="39">
        <f>_xll.RssMarket("3103","高値")</f>
        <v>1298</v>
      </c>
      <c r="D138" s="38">
        <f t="shared" si="4"/>
        <v>0</v>
      </c>
      <c r="E138" s="34">
        <v>1298</v>
      </c>
      <c r="F138" s="34">
        <v>1025</v>
      </c>
      <c r="G138" s="29">
        <v>899</v>
      </c>
      <c r="H138" s="29">
        <v>844</v>
      </c>
      <c r="I138" s="29">
        <v>865</v>
      </c>
      <c r="J138" s="29">
        <v>798</v>
      </c>
      <c r="K138" s="29">
        <v>837</v>
      </c>
      <c r="L138" s="29">
        <v>852</v>
      </c>
      <c r="M138" s="29">
        <v>859</v>
      </c>
      <c r="N138" s="29">
        <v>851</v>
      </c>
      <c r="O138" s="29">
        <v>914</v>
      </c>
      <c r="P138" s="29">
        <v>935</v>
      </c>
      <c r="Q138" s="29">
        <v>896</v>
      </c>
      <c r="R138" s="29">
        <v>935</v>
      </c>
      <c r="S138" s="29">
        <v>982</v>
      </c>
      <c r="T138" s="29">
        <v>917</v>
      </c>
      <c r="U138" s="29">
        <v>960</v>
      </c>
      <c r="V138" s="29">
        <v>963</v>
      </c>
      <c r="W138" s="29">
        <v>950</v>
      </c>
      <c r="X138" s="29">
        <v>989</v>
      </c>
      <c r="Y138" s="29">
        <v>1067</v>
      </c>
      <c r="Z138" s="29">
        <v>1046</v>
      </c>
      <c r="AA138" s="29">
        <v>1034</v>
      </c>
      <c r="AB138" s="29">
        <v>1020</v>
      </c>
      <c r="AC138" s="29">
        <v>1041</v>
      </c>
      <c r="AD138" s="29">
        <v>1055</v>
      </c>
      <c r="AE138" s="29">
        <v>1065</v>
      </c>
      <c r="AF138" s="29">
        <v>1082</v>
      </c>
      <c r="AG138" s="29">
        <v>1088</v>
      </c>
      <c r="AH138" s="29">
        <v>1133</v>
      </c>
      <c r="AI138" s="29">
        <v>1225</v>
      </c>
      <c r="AJ138" s="29">
        <v>1329</v>
      </c>
      <c r="AK138" s="29">
        <v>1156</v>
      </c>
      <c r="AL138" s="29">
        <v>1298</v>
      </c>
      <c r="AM138" s="29">
        <v>1260</v>
      </c>
      <c r="AN138" s="29">
        <v>1183</v>
      </c>
      <c r="AO138" s="29">
        <v>1212</v>
      </c>
      <c r="AP138" s="29">
        <v>1154</v>
      </c>
      <c r="AQ138" s="29">
        <v>1197</v>
      </c>
      <c r="AR138" s="29">
        <v>1269</v>
      </c>
      <c r="AS138" s="29">
        <v>1240</v>
      </c>
      <c r="AT138" s="29">
        <v>1273</v>
      </c>
      <c r="AU138" s="29">
        <v>1258</v>
      </c>
      <c r="AV138" s="29">
        <v>1320</v>
      </c>
      <c r="AW138" s="29">
        <v>1317</v>
      </c>
      <c r="AX138" s="29">
        <v>1411</v>
      </c>
      <c r="AY138" s="29">
        <v>1453</v>
      </c>
      <c r="AZ138" s="29">
        <v>1710</v>
      </c>
      <c r="BA138" s="29">
        <v>1858</v>
      </c>
      <c r="BB138" s="29">
        <v>1574</v>
      </c>
      <c r="BC138" s="29">
        <v>1370</v>
      </c>
      <c r="BD138" s="29">
        <v>1424</v>
      </c>
      <c r="BE138" s="29">
        <v>1520</v>
      </c>
      <c r="BF138" s="29">
        <v>1630</v>
      </c>
      <c r="BG138" s="29">
        <v>1415</v>
      </c>
      <c r="BH138" s="29">
        <v>2448</v>
      </c>
      <c r="BI138" s="29">
        <v>2419</v>
      </c>
      <c r="BJ138" s="29">
        <v>2407</v>
      </c>
      <c r="BK138" s="29">
        <v>2583</v>
      </c>
      <c r="BL138" s="30">
        <v>2667</v>
      </c>
      <c r="BM138" s="1">
        <v>2549</v>
      </c>
      <c r="BN138" s="1">
        <v>2610</v>
      </c>
      <c r="BO138" s="1">
        <v>2588</v>
      </c>
      <c r="BP138" s="1">
        <v>2737</v>
      </c>
      <c r="BQ138" s="1">
        <v>2692</v>
      </c>
      <c r="BR138" s="1">
        <v>2959</v>
      </c>
      <c r="BS138" s="1">
        <v>3335</v>
      </c>
      <c r="BT138" s="1">
        <v>3400</v>
      </c>
      <c r="BU138" s="1">
        <v>4380</v>
      </c>
      <c r="BV138" s="1">
        <v>3785</v>
      </c>
      <c r="BW138" s="1">
        <v>3085</v>
      </c>
      <c r="BX138" s="1">
        <v>2581</v>
      </c>
      <c r="BY138" s="1">
        <v>2535</v>
      </c>
      <c r="BZ138" s="1">
        <v>2163</v>
      </c>
    </row>
    <row r="139" spans="1:254" ht="15.9" customHeight="1">
      <c r="A139" s="65" t="s">
        <v>273</v>
      </c>
      <c r="B139" s="25" t="s">
        <v>274</v>
      </c>
      <c r="C139" s="39">
        <f>_xll.RssMarket("4422","高値")</f>
        <v>565</v>
      </c>
      <c r="D139" s="38">
        <f t="shared" si="4"/>
        <v>0</v>
      </c>
      <c r="E139" s="34">
        <v>565</v>
      </c>
      <c r="F139" s="34">
        <v>572</v>
      </c>
      <c r="G139" s="29">
        <v>567</v>
      </c>
      <c r="H139" s="29">
        <v>535</v>
      </c>
      <c r="I139" s="29">
        <v>526</v>
      </c>
      <c r="J139" s="29">
        <v>493</v>
      </c>
      <c r="K139" s="29">
        <v>520</v>
      </c>
      <c r="L139" s="29">
        <v>539</v>
      </c>
      <c r="M139" s="29">
        <v>542</v>
      </c>
      <c r="N139" s="29">
        <v>535</v>
      </c>
      <c r="O139" s="29">
        <v>543</v>
      </c>
      <c r="P139" s="29">
        <v>548</v>
      </c>
      <c r="Q139" s="29">
        <v>540</v>
      </c>
      <c r="R139" s="29">
        <v>554</v>
      </c>
      <c r="S139" s="29">
        <v>572</v>
      </c>
      <c r="T139" s="29">
        <v>551</v>
      </c>
      <c r="U139" s="29">
        <v>592</v>
      </c>
      <c r="V139" s="29">
        <v>584</v>
      </c>
      <c r="W139" s="29">
        <v>596</v>
      </c>
      <c r="X139" s="29">
        <v>563</v>
      </c>
      <c r="Y139" s="29">
        <v>615</v>
      </c>
      <c r="Z139" s="29">
        <v>607</v>
      </c>
      <c r="AA139" s="29">
        <v>585</v>
      </c>
      <c r="AB139" s="29">
        <v>572</v>
      </c>
      <c r="AC139" s="29">
        <v>575</v>
      </c>
      <c r="AD139" s="29">
        <v>583</v>
      </c>
      <c r="AE139" s="29">
        <v>593</v>
      </c>
      <c r="AF139" s="29">
        <v>583</v>
      </c>
      <c r="AG139" s="29">
        <v>581</v>
      </c>
      <c r="AH139" s="29">
        <v>593</v>
      </c>
      <c r="AI139" s="29">
        <v>613</v>
      </c>
      <c r="AJ139" s="29">
        <v>617</v>
      </c>
      <c r="AK139" s="29">
        <v>636</v>
      </c>
      <c r="AL139" s="29">
        <v>632</v>
      </c>
      <c r="AM139" s="29">
        <v>703</v>
      </c>
      <c r="AN139" s="29">
        <v>651</v>
      </c>
      <c r="AO139" s="29">
        <v>678</v>
      </c>
      <c r="AP139" s="29">
        <v>738</v>
      </c>
      <c r="AQ139" s="29">
        <v>803</v>
      </c>
      <c r="AR139" s="29">
        <v>795</v>
      </c>
      <c r="AS139" s="29">
        <v>915</v>
      </c>
      <c r="AT139" s="29">
        <v>765</v>
      </c>
      <c r="AU139" s="29">
        <v>674</v>
      </c>
      <c r="AV139" s="29">
        <v>687</v>
      </c>
      <c r="AW139" s="29">
        <v>698</v>
      </c>
      <c r="AX139" s="29">
        <v>732</v>
      </c>
      <c r="AY139" s="29">
        <v>764</v>
      </c>
      <c r="AZ139" s="29">
        <v>804</v>
      </c>
      <c r="BA139" s="29">
        <v>885</v>
      </c>
      <c r="BB139" s="29">
        <v>806</v>
      </c>
      <c r="BC139" s="29">
        <v>832</v>
      </c>
      <c r="BD139" s="29">
        <v>807</v>
      </c>
      <c r="BE139" s="29">
        <v>869</v>
      </c>
      <c r="BF139" s="29">
        <v>873</v>
      </c>
      <c r="BG139" s="29">
        <v>903</v>
      </c>
      <c r="BH139" s="29">
        <v>952</v>
      </c>
      <c r="BI139" s="29">
        <v>1064</v>
      </c>
      <c r="BJ139" s="29">
        <v>1082</v>
      </c>
      <c r="BK139" s="29">
        <v>1034</v>
      </c>
      <c r="BL139" s="30">
        <v>1037</v>
      </c>
      <c r="BM139" s="1">
        <v>1062</v>
      </c>
      <c r="BN139" s="1">
        <v>1089</v>
      </c>
      <c r="BO139" s="1">
        <v>1196</v>
      </c>
      <c r="BP139" s="1">
        <v>1233</v>
      </c>
      <c r="BQ139" s="1">
        <v>1397</v>
      </c>
      <c r="BR139" s="1">
        <v>1630</v>
      </c>
      <c r="BS139" s="1">
        <v>1434</v>
      </c>
      <c r="BT139" s="1">
        <v>1277</v>
      </c>
      <c r="BU139" s="1">
        <v>1524</v>
      </c>
      <c r="BV139" s="1">
        <v>1599</v>
      </c>
      <c r="BW139" s="1">
        <v>1397</v>
      </c>
      <c r="BX139" s="1">
        <v>1097</v>
      </c>
      <c r="BY139" s="1">
        <v>1116</v>
      </c>
      <c r="BZ139" s="1">
        <v>1243</v>
      </c>
    </row>
    <row r="140" spans="1:254" ht="15.9" customHeight="1">
      <c r="A140" s="65" t="s">
        <v>275</v>
      </c>
      <c r="B140" s="25" t="s">
        <v>276</v>
      </c>
      <c r="C140" s="39">
        <f>_xll.RssMarket("6740","高値")</f>
        <v>50</v>
      </c>
      <c r="D140" s="38">
        <f t="shared" si="4"/>
        <v>0</v>
      </c>
      <c r="E140" s="34">
        <v>50</v>
      </c>
      <c r="F140" s="34">
        <v>49</v>
      </c>
      <c r="G140" s="29">
        <v>47</v>
      </c>
      <c r="H140" s="29">
        <v>47</v>
      </c>
      <c r="I140" s="29">
        <v>48</v>
      </c>
      <c r="J140" s="29">
        <v>48</v>
      </c>
      <c r="K140" s="29">
        <v>47</v>
      </c>
      <c r="L140" s="29">
        <v>48</v>
      </c>
      <c r="M140" s="29">
        <v>49</v>
      </c>
      <c r="N140" s="29"/>
      <c r="O140" s="29">
        <v>48</v>
      </c>
      <c r="P140" s="29">
        <v>50</v>
      </c>
      <c r="Q140" s="29">
        <v>49</v>
      </c>
      <c r="R140" s="29">
        <v>49</v>
      </c>
      <c r="S140" s="29">
        <v>52</v>
      </c>
      <c r="T140" s="29">
        <v>53</v>
      </c>
      <c r="U140" s="29">
        <v>54</v>
      </c>
      <c r="V140" s="29">
        <v>55</v>
      </c>
      <c r="W140" s="29">
        <v>54</v>
      </c>
      <c r="X140" s="29">
        <v>54</v>
      </c>
      <c r="Y140" s="29">
        <v>56</v>
      </c>
      <c r="Z140" s="29">
        <v>59</v>
      </c>
      <c r="AA140" s="29">
        <v>54</v>
      </c>
      <c r="AB140" s="29">
        <v>55</v>
      </c>
      <c r="AC140" s="29">
        <v>57</v>
      </c>
      <c r="AD140" s="29">
        <v>61</v>
      </c>
      <c r="AE140" s="29">
        <v>61</v>
      </c>
      <c r="AF140" s="29">
        <v>61</v>
      </c>
      <c r="AG140" s="29">
        <v>76</v>
      </c>
      <c r="AH140" s="29">
        <v>60</v>
      </c>
      <c r="AI140" s="29">
        <v>55</v>
      </c>
      <c r="AJ140" s="29">
        <v>62</v>
      </c>
      <c r="AK140" s="29">
        <v>55</v>
      </c>
      <c r="AL140" s="29">
        <v>54</v>
      </c>
      <c r="AM140" s="29">
        <v>53</v>
      </c>
      <c r="AN140" s="29">
        <v>47</v>
      </c>
      <c r="AO140" s="29">
        <v>54</v>
      </c>
      <c r="AP140" s="29">
        <v>55</v>
      </c>
      <c r="AQ140" s="29">
        <v>55</v>
      </c>
      <c r="AR140" s="29">
        <v>59</v>
      </c>
      <c r="AS140" s="29">
        <v>55</v>
      </c>
      <c r="AT140" s="29">
        <v>57</v>
      </c>
      <c r="AU140" s="29">
        <v>55</v>
      </c>
      <c r="AV140" s="29">
        <v>56</v>
      </c>
      <c r="AW140" s="29">
        <v>57</v>
      </c>
      <c r="AX140" s="29">
        <v>60</v>
      </c>
      <c r="AY140" s="29">
        <v>56</v>
      </c>
      <c r="AZ140" s="29">
        <v>59</v>
      </c>
      <c r="BA140" s="29">
        <v>69</v>
      </c>
      <c r="BB140" s="29">
        <v>69</v>
      </c>
      <c r="BC140" s="29">
        <v>65</v>
      </c>
      <c r="BD140" s="29">
        <v>68</v>
      </c>
      <c r="BE140" s="29">
        <v>72</v>
      </c>
      <c r="BF140" s="29">
        <v>74</v>
      </c>
      <c r="BG140" s="29">
        <v>81</v>
      </c>
      <c r="BH140" s="29">
        <v>76</v>
      </c>
      <c r="BI140" s="29">
        <v>78</v>
      </c>
      <c r="BJ140" s="29">
        <v>81</v>
      </c>
      <c r="BK140" s="29">
        <v>82</v>
      </c>
      <c r="BL140" s="30">
        <v>86</v>
      </c>
      <c r="BM140" s="1">
        <v>92</v>
      </c>
      <c r="BN140" s="1">
        <v>102</v>
      </c>
      <c r="BO140" s="1">
        <v>124</v>
      </c>
      <c r="BP140" s="1">
        <v>96</v>
      </c>
      <c r="BQ140" s="1">
        <v>101</v>
      </c>
      <c r="BR140" s="1">
        <v>102</v>
      </c>
      <c r="BS140" s="1">
        <v>102</v>
      </c>
      <c r="BT140" s="1">
        <v>112</v>
      </c>
      <c r="BU140" s="1">
        <v>124</v>
      </c>
      <c r="BV140" s="1">
        <v>123</v>
      </c>
      <c r="BW140" s="1">
        <v>115</v>
      </c>
      <c r="BX140" s="1">
        <v>109</v>
      </c>
      <c r="BY140" s="1">
        <v>99</v>
      </c>
      <c r="BZ140" s="1">
        <v>91</v>
      </c>
    </row>
    <row r="141" spans="1:254" ht="15.9" customHeight="1">
      <c r="A141" s="65" t="s">
        <v>277</v>
      </c>
      <c r="B141" s="25" t="s">
        <v>278</v>
      </c>
      <c r="C141" s="39">
        <f>_xll.RssMarket("6613","高値")</f>
        <v>1798</v>
      </c>
      <c r="D141" s="38">
        <f t="shared" si="4"/>
        <v>0</v>
      </c>
      <c r="E141" s="34">
        <v>1798</v>
      </c>
      <c r="F141" s="34">
        <v>1920</v>
      </c>
      <c r="G141" s="29">
        <v>1628</v>
      </c>
      <c r="H141" s="29">
        <v>1536</v>
      </c>
      <c r="I141" s="29">
        <v>1601</v>
      </c>
      <c r="J141" s="29">
        <v>1373</v>
      </c>
      <c r="K141" s="29">
        <v>1406</v>
      </c>
      <c r="L141" s="29">
        <v>1497</v>
      </c>
      <c r="M141" s="29">
        <v>1653</v>
      </c>
      <c r="N141" s="29">
        <v>1764</v>
      </c>
      <c r="O141" s="29">
        <v>1845</v>
      </c>
      <c r="P141" s="29">
        <v>1801</v>
      </c>
      <c r="Q141" s="29">
        <v>1727</v>
      </c>
      <c r="R141" s="29">
        <v>1766</v>
      </c>
      <c r="S141" s="29">
        <v>2456</v>
      </c>
      <c r="T141" s="29">
        <v>2465</v>
      </c>
      <c r="U141" s="29">
        <v>2700</v>
      </c>
      <c r="V141" s="29">
        <v>2609</v>
      </c>
      <c r="W141" s="29">
        <v>2673</v>
      </c>
      <c r="X141" s="29">
        <v>2665</v>
      </c>
      <c r="Y141" s="29">
        <v>2682</v>
      </c>
      <c r="Z141" s="29">
        <v>2855</v>
      </c>
      <c r="AA141" s="29">
        <v>2650</v>
      </c>
      <c r="AB141" s="29">
        <v>2680</v>
      </c>
      <c r="AC141" s="29">
        <v>2916</v>
      </c>
      <c r="AD141" s="29">
        <v>2838</v>
      </c>
      <c r="AE141" s="29">
        <v>2839</v>
      </c>
      <c r="AF141" s="29">
        <v>3115</v>
      </c>
      <c r="AG141" s="29">
        <v>3255</v>
      </c>
      <c r="AH141" s="29">
        <v>2945</v>
      </c>
      <c r="AI141" s="29">
        <v>3530</v>
      </c>
      <c r="AJ141" s="29">
        <v>3020</v>
      </c>
      <c r="AK141" s="29">
        <v>2648</v>
      </c>
      <c r="AL141" s="29">
        <v>2588</v>
      </c>
      <c r="AM141" s="29">
        <v>2530</v>
      </c>
      <c r="AN141" s="29">
        <v>2838</v>
      </c>
      <c r="AO141" s="29">
        <v>2958</v>
      </c>
      <c r="AP141" s="29">
        <v>2737</v>
      </c>
      <c r="AQ141" s="29">
        <v>2580</v>
      </c>
      <c r="AR141" s="29">
        <v>2594</v>
      </c>
      <c r="AS141" s="29">
        <v>2570</v>
      </c>
      <c r="AT141" s="29">
        <v>2614</v>
      </c>
      <c r="AU141" s="29">
        <v>2650</v>
      </c>
      <c r="AV141" s="29">
        <v>2835</v>
      </c>
      <c r="AW141" s="29">
        <v>2923</v>
      </c>
      <c r="AX141" s="29">
        <v>2790</v>
      </c>
      <c r="AY141" s="29">
        <v>2820</v>
      </c>
      <c r="AZ141" s="29">
        <v>3220</v>
      </c>
      <c r="BA141" s="29">
        <v>3620</v>
      </c>
      <c r="BB141" s="29">
        <v>3100</v>
      </c>
      <c r="BC141" s="29">
        <v>3100</v>
      </c>
      <c r="BD141" s="29">
        <v>2868</v>
      </c>
      <c r="BE141" s="29">
        <v>2627</v>
      </c>
      <c r="BF141" s="29">
        <v>2127</v>
      </c>
      <c r="BG141" s="29">
        <v>1886</v>
      </c>
      <c r="BH141" s="29">
        <v>1667</v>
      </c>
      <c r="BI141" s="29">
        <v>1659</v>
      </c>
      <c r="BJ141" s="29">
        <v>1775</v>
      </c>
      <c r="BK141" s="29">
        <v>2048</v>
      </c>
      <c r="BL141" s="30">
        <v>1895</v>
      </c>
      <c r="BM141" s="1">
        <v>1610</v>
      </c>
      <c r="BN141" s="1">
        <v>1535</v>
      </c>
      <c r="BO141" s="1">
        <v>1503</v>
      </c>
      <c r="BP141" s="1">
        <v>1552</v>
      </c>
      <c r="BQ141" s="1">
        <v>1550</v>
      </c>
      <c r="BR141" s="1">
        <v>1574</v>
      </c>
      <c r="BS141" s="1">
        <v>1687</v>
      </c>
      <c r="BT141" s="1">
        <v>1596</v>
      </c>
      <c r="BU141" s="1">
        <v>1877</v>
      </c>
      <c r="BV141" s="1">
        <v>1585</v>
      </c>
      <c r="BW141" s="1">
        <v>1379</v>
      </c>
      <c r="BX141" s="1">
        <v>1447</v>
      </c>
      <c r="BY141" s="1">
        <v>1489</v>
      </c>
      <c r="BZ141" s="1">
        <v>1485</v>
      </c>
    </row>
    <row r="142" spans="1:254" ht="15.9" customHeight="1">
      <c r="A142" s="65" t="s">
        <v>279</v>
      </c>
      <c r="B142" s="25" t="str">
        <f>銘柄管理!C142</f>
        <v>第一三共</v>
      </c>
      <c r="C142" s="39">
        <f>_xll.RssMarket("4568","高値")</f>
        <v>2666.5</v>
      </c>
      <c r="D142" s="38"/>
      <c r="E142" s="34">
        <v>2666.5</v>
      </c>
      <c r="F142" s="34">
        <v>2586.5</v>
      </c>
      <c r="G142" s="29">
        <v>2581</v>
      </c>
      <c r="H142" s="29">
        <v>2625</v>
      </c>
      <c r="I142" s="29">
        <v>2775.5</v>
      </c>
      <c r="J142" s="29">
        <v>2905</v>
      </c>
      <c r="K142" s="29">
        <v>2905.5</v>
      </c>
      <c r="L142" s="29">
        <v>2912.5</v>
      </c>
      <c r="M142" s="29">
        <v>2840</v>
      </c>
      <c r="N142" s="29">
        <v>2819.5</v>
      </c>
      <c r="O142" s="29">
        <v>2782.5</v>
      </c>
      <c r="P142" s="29">
        <v>2810</v>
      </c>
      <c r="Q142" s="29">
        <v>2874</v>
      </c>
      <c r="R142" s="29">
        <v>2802</v>
      </c>
      <c r="S142" s="29">
        <v>2677</v>
      </c>
      <c r="T142" s="29">
        <v>2727</v>
      </c>
      <c r="U142" s="29">
        <v>2722.5</v>
      </c>
      <c r="V142" s="29">
        <v>2754.5</v>
      </c>
      <c r="W142" s="29">
        <v>2743</v>
      </c>
      <c r="X142" s="29">
        <v>2787.5</v>
      </c>
      <c r="Y142" s="29">
        <v>2770</v>
      </c>
      <c r="Z142" s="29">
        <v>2775</v>
      </c>
      <c r="AA142" s="29">
        <v>2722</v>
      </c>
      <c r="AB142" s="29">
        <v>2645</v>
      </c>
      <c r="AC142" s="29">
        <v>2607</v>
      </c>
      <c r="AD142" s="29">
        <v>2624</v>
      </c>
      <c r="AE142" s="29">
        <v>2662.5</v>
      </c>
      <c r="AF142" s="29">
        <v>2588</v>
      </c>
      <c r="AG142" s="29">
        <v>2567</v>
      </c>
      <c r="AH142" s="29">
        <v>2564</v>
      </c>
      <c r="AI142" s="29">
        <v>2534.5</v>
      </c>
      <c r="AJ142" s="29">
        <v>2577</v>
      </c>
      <c r="AK142" s="29">
        <v>2662</v>
      </c>
      <c r="AL142" s="29">
        <v>2706</v>
      </c>
      <c r="AM142" s="29">
        <v>2632</v>
      </c>
      <c r="AN142" s="29">
        <v>2546.5</v>
      </c>
      <c r="AO142" s="29">
        <v>2573.5</v>
      </c>
      <c r="AP142" s="29">
        <v>2524.5</v>
      </c>
      <c r="AQ142" s="29">
        <v>2519.5</v>
      </c>
      <c r="AR142" s="29">
        <v>2510.5</v>
      </c>
      <c r="AS142" s="29">
        <v>2540</v>
      </c>
      <c r="AT142" s="29">
        <v>2504</v>
      </c>
      <c r="AU142" s="29">
        <v>2453.5</v>
      </c>
      <c r="AV142" s="29">
        <v>2535</v>
      </c>
      <c r="AW142" s="29">
        <v>2635.5</v>
      </c>
      <c r="AX142" s="29">
        <v>2765.5</v>
      </c>
      <c r="AY142" s="29">
        <v>2753</v>
      </c>
      <c r="AZ142" s="29">
        <v>2790</v>
      </c>
      <c r="BA142" s="29">
        <v>2773</v>
      </c>
      <c r="BB142" s="29">
        <v>2680.5</v>
      </c>
      <c r="BC142" s="29">
        <v>2682.5</v>
      </c>
      <c r="BD142" s="29">
        <v>2636</v>
      </c>
      <c r="BE142" s="29">
        <v>2674</v>
      </c>
      <c r="BF142" s="29">
        <v>2646.5</v>
      </c>
      <c r="BG142" s="29">
        <v>2593.5</v>
      </c>
      <c r="BH142" s="29">
        <v>2672</v>
      </c>
      <c r="BI142" s="29">
        <v>2745.5</v>
      </c>
      <c r="BJ142" s="29">
        <v>2758.5</v>
      </c>
      <c r="BK142" s="29">
        <v>2704</v>
      </c>
      <c r="BL142" s="30">
        <v>2674.5</v>
      </c>
      <c r="BM142" s="1">
        <v>2621.5</v>
      </c>
      <c r="BN142" s="1">
        <v>2649.5</v>
      </c>
      <c r="BO142" s="1">
        <v>2692</v>
      </c>
      <c r="BP142" s="1">
        <v>2670</v>
      </c>
      <c r="BQ142" s="1">
        <v>2629.5</v>
      </c>
      <c r="BR142" s="1">
        <v>2682</v>
      </c>
      <c r="BS142" s="1">
        <v>2830</v>
      </c>
      <c r="BT142" s="1">
        <v>2890.5</v>
      </c>
      <c r="BU142" s="1">
        <v>2989.5</v>
      </c>
      <c r="BV142" s="1">
        <v>3016</v>
      </c>
      <c r="BW142" s="1">
        <v>2967.5</v>
      </c>
      <c r="BX142" s="1">
        <v>2949</v>
      </c>
      <c r="BY142" s="1">
        <v>2893</v>
      </c>
      <c r="BZ142" s="1">
        <v>2761</v>
      </c>
    </row>
    <row r="143" spans="1:254" ht="15.9" customHeight="1">
      <c r="A143" s="65" t="s">
        <v>280</v>
      </c>
      <c r="B143" s="25" t="s">
        <v>281</v>
      </c>
      <c r="C143" s="39">
        <f>_xll.RssMarket("6522","高値")</f>
        <v>1755</v>
      </c>
      <c r="D143" s="38">
        <f t="shared" ref="D143:D188" si="5">C143-E143</f>
        <v>0</v>
      </c>
      <c r="E143" s="34">
        <v>1755</v>
      </c>
      <c r="F143" s="34">
        <v>1788</v>
      </c>
      <c r="G143" s="29">
        <v>1793</v>
      </c>
      <c r="H143" s="29">
        <v>1569</v>
      </c>
      <c r="I143" s="29">
        <v>1667</v>
      </c>
      <c r="J143" s="29">
        <v>1618</v>
      </c>
      <c r="K143" s="29">
        <v>1667</v>
      </c>
      <c r="L143" s="29">
        <v>1604</v>
      </c>
      <c r="M143" s="29">
        <v>1773</v>
      </c>
      <c r="N143" s="29">
        <v>1874</v>
      </c>
      <c r="O143" s="29">
        <v>1673</v>
      </c>
      <c r="P143" s="29">
        <v>1508</v>
      </c>
      <c r="Q143" s="29">
        <v>1345</v>
      </c>
      <c r="R143" s="29">
        <v>1409</v>
      </c>
      <c r="S143" s="29">
        <v>1908</v>
      </c>
      <c r="T143" s="29">
        <v>2060</v>
      </c>
      <c r="U143" s="29">
        <v>2379</v>
      </c>
      <c r="V143" s="29">
        <v>2110</v>
      </c>
      <c r="W143" s="29">
        <v>2240</v>
      </c>
      <c r="X143" s="29">
        <v>2580</v>
      </c>
      <c r="Y143" s="29">
        <v>2096</v>
      </c>
      <c r="Z143" s="29">
        <v>1979</v>
      </c>
      <c r="AA143" s="29">
        <v>2267</v>
      </c>
      <c r="AB143" s="29">
        <v>1960</v>
      </c>
      <c r="AC143" s="29">
        <v>1630</v>
      </c>
      <c r="AD143" s="29">
        <v>1330</v>
      </c>
      <c r="AE143" s="29">
        <v>1053</v>
      </c>
      <c r="AF143" s="29">
        <v>1106</v>
      </c>
      <c r="AG143" s="29">
        <v>1159</v>
      </c>
      <c r="AH143" s="29">
        <v>1212</v>
      </c>
      <c r="AI143" s="29">
        <v>1275</v>
      </c>
      <c r="AJ143" s="29">
        <v>1279</v>
      </c>
      <c r="AK143" s="29">
        <v>1031</v>
      </c>
      <c r="AL143" s="29">
        <v>881</v>
      </c>
      <c r="AM143" s="29">
        <v>740</v>
      </c>
      <c r="AN143" s="29">
        <v>727</v>
      </c>
      <c r="AO143" s="29">
        <v>735</v>
      </c>
      <c r="AP143" s="29">
        <v>754</v>
      </c>
      <c r="AQ143" s="29">
        <v>748</v>
      </c>
      <c r="AR143" s="29">
        <v>771</v>
      </c>
      <c r="AS143" s="29">
        <v>755</v>
      </c>
      <c r="AT143" s="29">
        <v>793</v>
      </c>
      <c r="AU143" s="29">
        <v>796</v>
      </c>
      <c r="AV143" s="29">
        <v>849</v>
      </c>
      <c r="AW143" s="29">
        <v>903</v>
      </c>
      <c r="AX143" s="29">
        <v>852</v>
      </c>
      <c r="AY143" s="29">
        <v>844</v>
      </c>
      <c r="AZ143" s="29">
        <v>920</v>
      </c>
      <c r="BA143" s="29">
        <v>991</v>
      </c>
      <c r="BB143" s="29">
        <v>995</v>
      </c>
      <c r="BC143" s="29">
        <v>966</v>
      </c>
      <c r="BD143" s="29">
        <v>1010</v>
      </c>
      <c r="BE143" s="29">
        <v>1037</v>
      </c>
      <c r="BF143" s="29">
        <v>1016</v>
      </c>
      <c r="BG143" s="29">
        <v>1053</v>
      </c>
      <c r="BH143" s="29">
        <v>1074</v>
      </c>
      <c r="BI143" s="29">
        <v>1076</v>
      </c>
      <c r="BJ143" s="29">
        <v>1190</v>
      </c>
      <c r="BK143" s="29">
        <v>1247</v>
      </c>
      <c r="BL143" s="30">
        <v>1266</v>
      </c>
      <c r="BM143" s="1">
        <v>1229</v>
      </c>
      <c r="BN143" s="1">
        <v>1260</v>
      </c>
      <c r="BO143" s="1">
        <v>1210</v>
      </c>
      <c r="BP143" s="1">
        <v>1230</v>
      </c>
      <c r="BQ143" s="1">
        <v>1340</v>
      </c>
      <c r="BR143" s="1">
        <v>1360</v>
      </c>
      <c r="BS143" s="1">
        <v>1371</v>
      </c>
      <c r="BT143" s="1">
        <v>1599</v>
      </c>
      <c r="BU143" s="1">
        <v>1336</v>
      </c>
      <c r="BV143" s="1">
        <v>1138</v>
      </c>
      <c r="BW143" s="1">
        <v>1116</v>
      </c>
      <c r="BX143" s="1">
        <v>1086</v>
      </c>
      <c r="BY143" s="1">
        <v>1195</v>
      </c>
      <c r="BZ143" s="1">
        <v>1070</v>
      </c>
    </row>
    <row r="144" spans="1:254" ht="15.9" customHeight="1">
      <c r="A144" s="65" t="s">
        <v>282</v>
      </c>
      <c r="B144" s="25" t="s">
        <v>283</v>
      </c>
      <c r="C144" s="39">
        <f>_xll.RssMarket("6777","高値")</f>
        <v>20810</v>
      </c>
      <c r="D144" s="38">
        <f t="shared" si="5"/>
        <v>0</v>
      </c>
      <c r="E144" s="34">
        <v>20810</v>
      </c>
      <c r="F144" s="34">
        <v>21540</v>
      </c>
      <c r="G144" s="29">
        <v>19580</v>
      </c>
      <c r="H144" s="29">
        <v>18160</v>
      </c>
      <c r="I144" s="29">
        <v>18090</v>
      </c>
      <c r="J144" s="29">
        <v>16080</v>
      </c>
      <c r="K144" s="29">
        <v>16770</v>
      </c>
      <c r="L144" s="29">
        <v>17940</v>
      </c>
      <c r="M144" s="29">
        <v>19000</v>
      </c>
      <c r="N144" s="29"/>
      <c r="O144" s="29">
        <v>19980</v>
      </c>
      <c r="P144" s="29">
        <v>20420</v>
      </c>
      <c r="Q144" s="29">
        <v>18910</v>
      </c>
      <c r="R144" s="29">
        <v>19950</v>
      </c>
      <c r="S144" s="29">
        <v>22210</v>
      </c>
      <c r="T144" s="29">
        <v>21200</v>
      </c>
      <c r="U144" s="29">
        <v>21730</v>
      </c>
      <c r="V144" s="29">
        <v>21890</v>
      </c>
      <c r="W144" s="29">
        <v>20950</v>
      </c>
      <c r="X144" s="29">
        <v>21230</v>
      </c>
      <c r="Y144" s="29">
        <v>23180</v>
      </c>
      <c r="Z144" s="29">
        <v>24800</v>
      </c>
      <c r="AA144" s="29">
        <v>23470</v>
      </c>
      <c r="AB144" s="29">
        <v>25170</v>
      </c>
      <c r="AC144" s="29">
        <v>27900</v>
      </c>
      <c r="AD144" s="29">
        <v>27400</v>
      </c>
      <c r="AE144" s="29">
        <v>26860</v>
      </c>
      <c r="AF144" s="29">
        <v>29460</v>
      </c>
      <c r="AG144" s="29">
        <v>28930</v>
      </c>
      <c r="AH144" s="29">
        <v>29580</v>
      </c>
      <c r="AI144" s="29">
        <v>30850</v>
      </c>
      <c r="AJ144" s="29">
        <v>30300</v>
      </c>
      <c r="AK144" s="29">
        <v>29830</v>
      </c>
      <c r="AL144" s="29">
        <v>27990</v>
      </c>
      <c r="AM144" s="29">
        <v>27580</v>
      </c>
      <c r="AN144" s="29">
        <v>27700</v>
      </c>
      <c r="AO144" s="29">
        <v>25460</v>
      </c>
      <c r="AP144" s="29">
        <v>24100</v>
      </c>
      <c r="AQ144" s="29">
        <v>23410</v>
      </c>
      <c r="AR144" s="29">
        <v>25350</v>
      </c>
      <c r="AS144" s="29">
        <v>23630</v>
      </c>
      <c r="AT144" s="29">
        <v>25820</v>
      </c>
      <c r="AU144" s="29">
        <v>26320</v>
      </c>
      <c r="AV144" s="29">
        <v>28460</v>
      </c>
      <c r="AW144" s="29">
        <v>26190</v>
      </c>
      <c r="AX144" s="29">
        <v>25930</v>
      </c>
      <c r="AY144" s="29">
        <v>25490</v>
      </c>
      <c r="AZ144" s="29">
        <v>26800</v>
      </c>
      <c r="BA144" s="29">
        <v>31450</v>
      </c>
      <c r="BB144" s="29">
        <v>28060</v>
      </c>
      <c r="BC144" s="29">
        <v>28130</v>
      </c>
      <c r="BD144" s="29">
        <v>28700</v>
      </c>
      <c r="BE144" s="29">
        <v>31600</v>
      </c>
      <c r="BF144" s="29">
        <v>34550</v>
      </c>
      <c r="BG144" s="29">
        <v>32500</v>
      </c>
      <c r="BH144" s="29">
        <v>34700</v>
      </c>
      <c r="BI144" s="29">
        <v>33300</v>
      </c>
      <c r="BJ144" s="29">
        <v>31950</v>
      </c>
      <c r="BK144" s="29">
        <v>29280</v>
      </c>
      <c r="BL144" s="30">
        <v>27830</v>
      </c>
      <c r="BM144" s="1">
        <v>30300</v>
      </c>
      <c r="BN144" s="1">
        <v>28470</v>
      </c>
      <c r="BO144" s="1">
        <v>29410</v>
      </c>
      <c r="BP144" s="1">
        <v>29200</v>
      </c>
      <c r="BQ144" s="1">
        <v>29720</v>
      </c>
      <c r="BR144" s="1">
        <v>30550</v>
      </c>
      <c r="BS144" s="1">
        <v>34300</v>
      </c>
      <c r="BT144" s="1">
        <v>30300</v>
      </c>
      <c r="BU144" s="1">
        <v>30400</v>
      </c>
      <c r="BV144" s="1">
        <v>30150</v>
      </c>
      <c r="BW144" s="1">
        <v>26940</v>
      </c>
      <c r="BX144" s="1">
        <v>25310</v>
      </c>
      <c r="BY144" s="1">
        <v>26750</v>
      </c>
      <c r="BZ144" s="1">
        <v>25390</v>
      </c>
    </row>
    <row r="145" spans="1:254" ht="15.9" customHeight="1">
      <c r="A145" s="65" t="s">
        <v>284</v>
      </c>
      <c r="B145" s="25" t="s">
        <v>285</v>
      </c>
      <c r="C145" s="39">
        <f>_xll.RssMarket("6787","高値")</f>
        <v>24780</v>
      </c>
      <c r="D145" s="38">
        <f t="shared" si="5"/>
        <v>0</v>
      </c>
      <c r="E145" s="34">
        <v>24780</v>
      </c>
      <c r="F145" s="34">
        <v>25060</v>
      </c>
      <c r="G145" s="29">
        <v>22700</v>
      </c>
      <c r="H145" s="29">
        <v>21620</v>
      </c>
      <c r="I145" s="29">
        <v>22690</v>
      </c>
      <c r="J145" s="29">
        <v>19950</v>
      </c>
      <c r="K145" s="29">
        <v>21200</v>
      </c>
      <c r="L145" s="29">
        <v>21740</v>
      </c>
      <c r="M145" s="29">
        <v>23110</v>
      </c>
      <c r="N145" s="29">
        <v>23690</v>
      </c>
      <c r="O145" s="29">
        <v>24970</v>
      </c>
      <c r="P145" s="29">
        <v>25170</v>
      </c>
      <c r="Q145" s="29">
        <v>23670</v>
      </c>
      <c r="R145" s="29">
        <v>23960</v>
      </c>
      <c r="S145" s="29">
        <v>26960</v>
      </c>
      <c r="T145" s="29">
        <v>25970</v>
      </c>
      <c r="U145" s="29">
        <v>27600</v>
      </c>
      <c r="V145" s="29">
        <v>27340</v>
      </c>
      <c r="W145" s="29">
        <v>26870</v>
      </c>
      <c r="X145" s="29">
        <v>26790</v>
      </c>
      <c r="Y145" s="29">
        <v>27520</v>
      </c>
      <c r="Z145" s="29">
        <v>29550</v>
      </c>
      <c r="AA145" s="29">
        <v>30000</v>
      </c>
      <c r="AB145" s="29">
        <v>29150</v>
      </c>
      <c r="AC145" s="29">
        <v>31600</v>
      </c>
      <c r="AD145" s="29">
        <v>32500</v>
      </c>
      <c r="AE145" s="29">
        <v>31900</v>
      </c>
      <c r="AF145" s="29">
        <v>31750</v>
      </c>
      <c r="AG145" s="29">
        <v>34300</v>
      </c>
      <c r="AH145" s="29">
        <v>34900</v>
      </c>
      <c r="AI145" s="29">
        <v>37050</v>
      </c>
      <c r="AJ145" s="29">
        <v>39900</v>
      </c>
      <c r="AK145" s="29">
        <v>40900</v>
      </c>
      <c r="AL145" s="29">
        <v>37550</v>
      </c>
      <c r="AM145" s="29">
        <v>36600</v>
      </c>
      <c r="AN145" s="29">
        <v>37250</v>
      </c>
      <c r="AO145" s="29">
        <v>32950</v>
      </c>
      <c r="AP145" s="29">
        <v>32050</v>
      </c>
      <c r="AQ145" s="29">
        <v>31500</v>
      </c>
      <c r="AR145" s="29">
        <v>32850</v>
      </c>
      <c r="AS145" s="29">
        <v>34600</v>
      </c>
      <c r="AT145" s="29">
        <v>36200</v>
      </c>
      <c r="AU145" s="29">
        <v>37350</v>
      </c>
      <c r="AV145" s="29">
        <v>40550</v>
      </c>
      <c r="AW145" s="29">
        <v>40400</v>
      </c>
      <c r="AX145" s="29">
        <v>40700</v>
      </c>
      <c r="AY145" s="29">
        <v>38850</v>
      </c>
      <c r="AZ145" s="29">
        <v>40550</v>
      </c>
      <c r="BA145" s="29">
        <v>45300</v>
      </c>
      <c r="BB145" s="29">
        <v>44250</v>
      </c>
      <c r="BC145" s="29">
        <v>41900</v>
      </c>
      <c r="BD145" s="29">
        <v>36300</v>
      </c>
      <c r="BE145" s="29">
        <v>40150</v>
      </c>
      <c r="BF145" s="29">
        <v>40700</v>
      </c>
      <c r="BG145" s="29">
        <v>40950</v>
      </c>
      <c r="BH145" s="29">
        <v>38650</v>
      </c>
      <c r="BI145" s="29">
        <v>31650</v>
      </c>
      <c r="BJ145" s="29">
        <v>32950</v>
      </c>
      <c r="BK145" s="29">
        <v>33800</v>
      </c>
      <c r="BL145" s="30">
        <v>33600</v>
      </c>
      <c r="BM145" s="1">
        <v>32000</v>
      </c>
      <c r="BN145" s="1">
        <v>30750</v>
      </c>
      <c r="BO145" s="1">
        <v>32100</v>
      </c>
      <c r="BP145" s="1">
        <v>32400</v>
      </c>
      <c r="BQ145" s="1">
        <v>31400</v>
      </c>
      <c r="BR145" s="1">
        <v>29610</v>
      </c>
      <c r="BS145" s="1">
        <v>30150</v>
      </c>
      <c r="BT145" s="1">
        <v>29590</v>
      </c>
      <c r="BU145" s="1">
        <v>28510</v>
      </c>
      <c r="BV145" s="1">
        <v>28680</v>
      </c>
      <c r="BW145" s="1">
        <v>29620</v>
      </c>
      <c r="BX145" s="1">
        <v>29870</v>
      </c>
      <c r="BY145" s="1">
        <v>29870</v>
      </c>
      <c r="BZ145" s="1">
        <v>30050</v>
      </c>
    </row>
    <row r="146" spans="1:254" ht="15.9" customHeight="1">
      <c r="A146" s="65" t="s">
        <v>286</v>
      </c>
      <c r="B146" s="25" t="s">
        <v>287</v>
      </c>
      <c r="C146" s="39">
        <f>_xll.RssMarket("4888","高値")</f>
        <v>315</v>
      </c>
      <c r="D146" s="38">
        <f t="shared" si="5"/>
        <v>0</v>
      </c>
      <c r="E146" s="34">
        <v>315</v>
      </c>
      <c r="F146" s="34">
        <v>322</v>
      </c>
      <c r="G146" s="29">
        <v>322</v>
      </c>
      <c r="H146" s="29">
        <v>312</v>
      </c>
      <c r="I146" s="29">
        <v>310</v>
      </c>
      <c r="J146" s="29">
        <v>304</v>
      </c>
      <c r="K146" s="29">
        <v>319</v>
      </c>
      <c r="L146" s="29">
        <v>331</v>
      </c>
      <c r="M146" s="29">
        <v>325</v>
      </c>
      <c r="N146" s="29">
        <v>306</v>
      </c>
      <c r="O146" s="29">
        <v>313</v>
      </c>
      <c r="P146" s="29">
        <v>315</v>
      </c>
      <c r="Q146" s="29">
        <v>309</v>
      </c>
      <c r="R146" s="29">
        <v>314</v>
      </c>
      <c r="S146" s="29">
        <v>338</v>
      </c>
      <c r="T146" s="29">
        <v>328</v>
      </c>
      <c r="U146" s="29">
        <v>335</v>
      </c>
      <c r="V146" s="29">
        <v>324</v>
      </c>
      <c r="W146" s="29">
        <v>305</v>
      </c>
      <c r="X146" s="29">
        <v>307</v>
      </c>
      <c r="Y146" s="29">
        <v>316</v>
      </c>
      <c r="Z146" s="29">
        <v>323</v>
      </c>
      <c r="AA146" s="29">
        <v>314</v>
      </c>
      <c r="AB146" s="29">
        <v>317</v>
      </c>
      <c r="AC146" s="29">
        <v>311</v>
      </c>
      <c r="AD146" s="29">
        <v>326</v>
      </c>
      <c r="AE146" s="29">
        <v>315</v>
      </c>
      <c r="AF146" s="29">
        <v>313</v>
      </c>
      <c r="AG146" s="29">
        <v>328</v>
      </c>
      <c r="AH146" s="29">
        <v>327</v>
      </c>
      <c r="AI146" s="29">
        <v>337</v>
      </c>
      <c r="AJ146" s="29">
        <v>351</v>
      </c>
      <c r="AK146" s="29">
        <v>393</v>
      </c>
      <c r="AL146" s="29">
        <v>426</v>
      </c>
      <c r="AM146" s="29">
        <v>361</v>
      </c>
      <c r="AN146" s="29">
        <v>339</v>
      </c>
      <c r="AO146" s="29">
        <v>342</v>
      </c>
      <c r="AP146" s="29">
        <v>336</v>
      </c>
      <c r="AQ146" s="29">
        <v>319</v>
      </c>
      <c r="AR146" s="29">
        <v>320</v>
      </c>
      <c r="AS146" s="29">
        <v>312</v>
      </c>
      <c r="AT146" s="29">
        <v>352</v>
      </c>
      <c r="AU146" s="29">
        <v>353</v>
      </c>
      <c r="AV146" s="29">
        <v>349</v>
      </c>
      <c r="AW146" s="29">
        <v>339</v>
      </c>
      <c r="AX146" s="29">
        <v>384</v>
      </c>
      <c r="AY146" s="29">
        <v>397</v>
      </c>
      <c r="AZ146" s="29">
        <v>422</v>
      </c>
      <c r="BA146" s="29">
        <v>449</v>
      </c>
      <c r="BB146" s="29">
        <v>462</v>
      </c>
      <c r="BC146" s="29">
        <v>452</v>
      </c>
      <c r="BD146" s="29">
        <v>434</v>
      </c>
      <c r="BE146" s="29">
        <v>456</v>
      </c>
      <c r="BF146" s="29">
        <v>469</v>
      </c>
      <c r="BG146" s="29">
        <v>445</v>
      </c>
      <c r="BH146" s="29">
        <v>440</v>
      </c>
      <c r="BI146" s="29">
        <v>505</v>
      </c>
      <c r="BJ146" s="29">
        <v>502</v>
      </c>
      <c r="BK146" s="29">
        <v>541</v>
      </c>
      <c r="BL146" s="30">
        <v>543</v>
      </c>
      <c r="BM146" s="1">
        <v>555</v>
      </c>
      <c r="BN146" s="1">
        <v>541</v>
      </c>
      <c r="BO146" s="1">
        <v>530</v>
      </c>
      <c r="BP146" s="1">
        <v>552</v>
      </c>
      <c r="BQ146" s="1">
        <v>565</v>
      </c>
      <c r="BR146" s="1">
        <v>562</v>
      </c>
      <c r="BS146" s="1">
        <v>573</v>
      </c>
      <c r="BT146" s="1">
        <v>618</v>
      </c>
      <c r="BU146" s="1">
        <v>719</v>
      </c>
      <c r="BV146" s="1">
        <v>749</v>
      </c>
      <c r="BW146" s="1">
        <v>793</v>
      </c>
      <c r="BX146" s="1">
        <v>750</v>
      </c>
      <c r="BY146" s="1">
        <v>703</v>
      </c>
      <c r="BZ146" s="1">
        <v>742</v>
      </c>
    </row>
    <row r="147" spans="1:254" ht="15.9" customHeight="1">
      <c r="A147" s="65" t="s">
        <v>288</v>
      </c>
      <c r="B147" s="25" t="s">
        <v>289</v>
      </c>
      <c r="C147" s="39">
        <f>_xll.RssMarket("6387","高値")</f>
        <v>9680</v>
      </c>
      <c r="D147" s="38">
        <f t="shared" si="5"/>
        <v>0</v>
      </c>
      <c r="E147" s="34">
        <v>9680</v>
      </c>
      <c r="F147" s="34">
        <v>9960</v>
      </c>
      <c r="G147" s="29">
        <v>9350</v>
      </c>
      <c r="H147" s="29">
        <v>8670</v>
      </c>
      <c r="I147" s="29">
        <v>8850</v>
      </c>
      <c r="J147" s="29">
        <v>7880</v>
      </c>
      <c r="K147" s="29">
        <v>8490</v>
      </c>
      <c r="L147" s="29">
        <v>9100</v>
      </c>
      <c r="M147" s="29">
        <v>9960</v>
      </c>
      <c r="N147" s="29"/>
      <c r="O147" s="29">
        <v>10720</v>
      </c>
      <c r="P147" s="29">
        <v>10960</v>
      </c>
      <c r="Q147" s="29">
        <v>10270</v>
      </c>
      <c r="R147" s="29">
        <v>10620</v>
      </c>
      <c r="S147" s="29">
        <v>12450</v>
      </c>
      <c r="T147" s="29">
        <v>12860</v>
      </c>
      <c r="U147" s="29">
        <v>13750</v>
      </c>
      <c r="V147" s="29">
        <v>13950</v>
      </c>
      <c r="W147" s="29">
        <v>12100</v>
      </c>
      <c r="X147" s="29">
        <v>11830</v>
      </c>
      <c r="Y147" s="29">
        <v>12980</v>
      </c>
      <c r="Z147" s="29">
        <v>13500</v>
      </c>
      <c r="AA147" s="29">
        <v>13500</v>
      </c>
      <c r="AB147" s="29">
        <v>13550</v>
      </c>
      <c r="AC147" s="29">
        <v>14560</v>
      </c>
      <c r="AD147" s="29">
        <v>14430</v>
      </c>
      <c r="AE147" s="29">
        <v>14000</v>
      </c>
      <c r="AF147" s="29">
        <v>14350</v>
      </c>
      <c r="AG147" s="29">
        <v>15240</v>
      </c>
      <c r="AH147" s="29">
        <v>15270</v>
      </c>
      <c r="AI147" s="29">
        <v>15780</v>
      </c>
      <c r="AJ147" s="29">
        <v>16190</v>
      </c>
      <c r="AK147" s="29">
        <v>15950</v>
      </c>
      <c r="AL147" s="29">
        <v>16030</v>
      </c>
      <c r="AM147" s="29">
        <v>16300</v>
      </c>
      <c r="AN147" s="29">
        <v>16930</v>
      </c>
      <c r="AO147" s="29">
        <v>15200</v>
      </c>
      <c r="AP147" s="29">
        <v>12480</v>
      </c>
      <c r="AQ147" s="29">
        <v>11580</v>
      </c>
      <c r="AR147" s="29">
        <v>12320</v>
      </c>
      <c r="AS147" s="29">
        <v>12290</v>
      </c>
      <c r="AT147" s="29">
        <v>12700</v>
      </c>
      <c r="AU147" s="29">
        <v>13150</v>
      </c>
      <c r="AV147" s="29">
        <v>13400</v>
      </c>
      <c r="AW147" s="29">
        <v>12090</v>
      </c>
      <c r="AX147" s="29">
        <v>10590</v>
      </c>
      <c r="AY147" s="29">
        <v>10470</v>
      </c>
      <c r="AZ147" s="29">
        <v>11670</v>
      </c>
      <c r="BA147" s="29">
        <v>12320</v>
      </c>
      <c r="BB147" s="29">
        <v>11970</v>
      </c>
      <c r="BC147" s="29">
        <v>11340</v>
      </c>
      <c r="BD147" s="29">
        <v>11150</v>
      </c>
      <c r="BE147" s="29">
        <v>12120</v>
      </c>
      <c r="BF147" s="29">
        <v>12630</v>
      </c>
      <c r="BG147" s="29">
        <v>13450</v>
      </c>
      <c r="BH147" s="29">
        <v>14100</v>
      </c>
      <c r="BI147" s="29">
        <v>13290</v>
      </c>
      <c r="BJ147" s="29">
        <v>13340</v>
      </c>
      <c r="BK147" s="29">
        <v>14000</v>
      </c>
      <c r="BL147" s="30">
        <v>13920</v>
      </c>
      <c r="BM147" s="1">
        <v>14470</v>
      </c>
      <c r="BN147" s="1">
        <v>11790</v>
      </c>
      <c r="BO147" s="1">
        <v>11780</v>
      </c>
      <c r="BP147" s="1">
        <v>11300</v>
      </c>
      <c r="BQ147" s="1">
        <v>11540</v>
      </c>
      <c r="BR147" s="1">
        <v>11380</v>
      </c>
      <c r="BS147" s="1">
        <v>11040</v>
      </c>
      <c r="BT147" s="1">
        <v>10440</v>
      </c>
      <c r="BU147" s="1">
        <v>9880</v>
      </c>
      <c r="BV147" s="1">
        <v>9820</v>
      </c>
      <c r="BW147" s="1">
        <v>9920</v>
      </c>
      <c r="BX147" s="1">
        <v>10400</v>
      </c>
      <c r="BY147" s="1">
        <v>10470</v>
      </c>
      <c r="BZ147" s="1">
        <v>10760</v>
      </c>
    </row>
    <row r="148" spans="1:254" ht="15.9" customHeight="1">
      <c r="A148" s="65" t="s">
        <v>290</v>
      </c>
      <c r="B148" s="25" t="s">
        <v>291</v>
      </c>
      <c r="C148" s="39">
        <f>_xll.RssMarket("6838","高値")</f>
        <v>1511</v>
      </c>
      <c r="D148" s="38">
        <f t="shared" si="5"/>
        <v>0</v>
      </c>
      <c r="E148" s="34">
        <v>1511</v>
      </c>
      <c r="F148" s="34">
        <v>1519</v>
      </c>
      <c r="G148" s="29">
        <v>1478</v>
      </c>
      <c r="H148" s="29">
        <v>1399</v>
      </c>
      <c r="I148" s="29">
        <v>1318</v>
      </c>
      <c r="J148" s="29">
        <v>1266</v>
      </c>
      <c r="K148" s="29">
        <v>1284</v>
      </c>
      <c r="L148" s="29">
        <v>1341</v>
      </c>
      <c r="M148" s="29">
        <v>1395</v>
      </c>
      <c r="N148" s="29">
        <v>1392</v>
      </c>
      <c r="O148" s="29">
        <v>1425</v>
      </c>
      <c r="P148" s="29">
        <v>1442</v>
      </c>
      <c r="Q148" s="29">
        <v>1375</v>
      </c>
      <c r="R148" s="29">
        <v>1431</v>
      </c>
      <c r="S148" s="29">
        <v>1499</v>
      </c>
      <c r="T148" s="29">
        <v>1467</v>
      </c>
      <c r="U148" s="29">
        <v>1551</v>
      </c>
      <c r="V148" s="29">
        <v>1571</v>
      </c>
      <c r="W148" s="29">
        <v>1580</v>
      </c>
      <c r="X148" s="29">
        <v>1617</v>
      </c>
      <c r="Y148" s="29">
        <v>1726</v>
      </c>
      <c r="Z148" s="29">
        <v>1865</v>
      </c>
      <c r="AA148" s="29">
        <v>1749</v>
      </c>
      <c r="AB148" s="29">
        <v>1777</v>
      </c>
      <c r="AC148" s="29">
        <v>1800</v>
      </c>
      <c r="AD148" s="29">
        <v>1854</v>
      </c>
      <c r="AE148" s="29">
        <v>1942</v>
      </c>
      <c r="AF148" s="29">
        <v>2075</v>
      </c>
      <c r="AG148" s="29">
        <v>2166</v>
      </c>
      <c r="AH148" s="29">
        <v>2070</v>
      </c>
      <c r="AI148" s="29">
        <v>2074</v>
      </c>
      <c r="AJ148" s="29">
        <v>2141</v>
      </c>
      <c r="AK148" s="29">
        <v>2262</v>
      </c>
      <c r="AL148" s="29">
        <v>2265</v>
      </c>
      <c r="AM148" s="29">
        <v>2490</v>
      </c>
      <c r="AN148" s="29">
        <v>2280</v>
      </c>
      <c r="AO148" s="29">
        <v>1895</v>
      </c>
      <c r="AP148" s="29">
        <v>1856</v>
      </c>
      <c r="AQ148" s="29">
        <v>1813</v>
      </c>
      <c r="AR148" s="29">
        <v>1933</v>
      </c>
      <c r="AS148" s="29">
        <v>2285</v>
      </c>
      <c r="AT148" s="29">
        <v>2483</v>
      </c>
      <c r="AU148" s="29">
        <v>2463</v>
      </c>
      <c r="AV148" s="29">
        <v>2496</v>
      </c>
      <c r="AW148" s="29">
        <v>2348</v>
      </c>
      <c r="AX148" s="29">
        <v>2286</v>
      </c>
      <c r="AY148" s="29">
        <v>2244</v>
      </c>
      <c r="AZ148" s="29">
        <v>2440</v>
      </c>
      <c r="BA148" s="29">
        <v>2199</v>
      </c>
      <c r="BB148" s="29">
        <v>2134</v>
      </c>
      <c r="BC148" s="29">
        <v>1971</v>
      </c>
      <c r="BD148" s="29">
        <v>2044</v>
      </c>
      <c r="BE148" s="29">
        <v>2183</v>
      </c>
      <c r="BF148" s="29">
        <v>2192</v>
      </c>
      <c r="BG148" s="29">
        <v>2098</v>
      </c>
      <c r="BH148" s="29">
        <v>2044</v>
      </c>
      <c r="BI148" s="29">
        <v>2091</v>
      </c>
      <c r="BJ148" s="29">
        <v>2150</v>
      </c>
      <c r="BK148" s="29">
        <v>2326</v>
      </c>
      <c r="BL148" s="30">
        <v>1958</v>
      </c>
      <c r="BM148" s="1">
        <v>1783</v>
      </c>
      <c r="BN148" s="1">
        <v>1686</v>
      </c>
      <c r="BO148" s="1">
        <v>1736</v>
      </c>
      <c r="BP148" s="1">
        <v>1658</v>
      </c>
      <c r="BQ148" s="1">
        <v>1728</v>
      </c>
      <c r="BR148" s="1">
        <v>1820</v>
      </c>
      <c r="BS148" s="1">
        <v>1927</v>
      </c>
      <c r="BT148" s="1">
        <v>1841</v>
      </c>
      <c r="BU148" s="1">
        <v>1899</v>
      </c>
      <c r="BV148" s="1">
        <v>1787</v>
      </c>
      <c r="BW148" s="1">
        <v>1560</v>
      </c>
      <c r="BX148" s="1">
        <v>1398</v>
      </c>
      <c r="BY148" s="1">
        <v>1348</v>
      </c>
      <c r="BZ148" s="1">
        <v>1334</v>
      </c>
    </row>
    <row r="149" spans="1:254" ht="15.9" customHeight="1">
      <c r="A149" s="65" t="s">
        <v>292</v>
      </c>
      <c r="B149" s="25" t="s">
        <v>293</v>
      </c>
      <c r="C149" s="39">
        <f>_xll.RssMarket("7375","高値")</f>
        <v>1154</v>
      </c>
      <c r="D149" s="38">
        <f t="shared" si="5"/>
        <v>0</v>
      </c>
      <c r="E149" s="34">
        <v>1154</v>
      </c>
      <c r="F149" s="34">
        <v>1170</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30"/>
    </row>
    <row r="150" spans="1:254" ht="15.9" customHeight="1">
      <c r="A150" s="65" t="s">
        <v>294</v>
      </c>
      <c r="B150" s="25" t="s">
        <v>295</v>
      </c>
      <c r="C150" s="39">
        <f>_xll.RssMarket("4307","高値")</f>
        <v>4761</v>
      </c>
      <c r="D150" s="38">
        <f t="shared" si="5"/>
        <v>0</v>
      </c>
      <c r="E150" s="34">
        <v>4761</v>
      </c>
      <c r="F150" s="34">
        <v>4660</v>
      </c>
      <c r="G150" s="29">
        <v>4724</v>
      </c>
      <c r="H150" s="29">
        <v>4750</v>
      </c>
      <c r="I150" s="29">
        <v>4904</v>
      </c>
      <c r="J150" s="29">
        <v>5620</v>
      </c>
      <c r="K150" s="29">
        <v>5575</v>
      </c>
      <c r="L150" s="29">
        <v>5423</v>
      </c>
      <c r="M150" s="29">
        <v>5218</v>
      </c>
      <c r="N150" s="29">
        <v>4955</v>
      </c>
      <c r="O150" s="29">
        <v>4958</v>
      </c>
      <c r="P150" s="29">
        <v>4995</v>
      </c>
      <c r="Q150" s="29">
        <v>5178</v>
      </c>
      <c r="R150" s="29">
        <v>5180</v>
      </c>
      <c r="S150" s="29">
        <v>5010</v>
      </c>
      <c r="T150" s="29">
        <v>5199</v>
      </c>
      <c r="U150" s="29">
        <v>5049</v>
      </c>
      <c r="V150" s="29">
        <v>5070</v>
      </c>
      <c r="W150" s="29">
        <v>5078</v>
      </c>
      <c r="X150" s="29">
        <v>5236</v>
      </c>
      <c r="Y150" s="29">
        <v>5175</v>
      </c>
      <c r="Z150" s="29">
        <v>5117</v>
      </c>
      <c r="AA150" s="29">
        <v>5046</v>
      </c>
      <c r="AB150" s="29">
        <v>5007</v>
      </c>
      <c r="AC150" s="29">
        <v>4612</v>
      </c>
      <c r="AD150" s="29">
        <v>4642</v>
      </c>
      <c r="AE150" s="29">
        <v>4649</v>
      </c>
      <c r="AF150" s="29">
        <v>4344</v>
      </c>
      <c r="AG150" s="29">
        <v>4336</v>
      </c>
      <c r="AH150" s="29">
        <v>4443</v>
      </c>
      <c r="AI150" s="29">
        <v>4338</v>
      </c>
      <c r="AJ150" s="29">
        <v>4332</v>
      </c>
      <c r="AK150" s="29">
        <v>4534</v>
      </c>
      <c r="AL150" s="29">
        <v>4687</v>
      </c>
      <c r="AM150" s="29">
        <v>4649</v>
      </c>
      <c r="AN150" s="29">
        <v>4517</v>
      </c>
      <c r="AO150" s="29">
        <v>4712</v>
      </c>
      <c r="AP150" s="29">
        <v>4610</v>
      </c>
      <c r="AQ150" s="29">
        <v>4694</v>
      </c>
      <c r="AR150" s="29">
        <v>4685</v>
      </c>
      <c r="AS150" s="29">
        <v>4912</v>
      </c>
      <c r="AT150" s="29">
        <v>4930</v>
      </c>
      <c r="AU150" s="29">
        <v>4800</v>
      </c>
      <c r="AV150" s="29">
        <v>4971</v>
      </c>
      <c r="AW150" s="29">
        <v>5329</v>
      </c>
      <c r="AX150" s="29">
        <v>5117</v>
      </c>
      <c r="AY150" s="29">
        <v>4859</v>
      </c>
      <c r="AZ150" s="29">
        <v>4755</v>
      </c>
      <c r="BA150" s="29">
        <v>4695</v>
      </c>
      <c r="BB150" s="29">
        <v>4704</v>
      </c>
      <c r="BC150" s="29">
        <v>4758</v>
      </c>
      <c r="BD150" s="29">
        <v>4849</v>
      </c>
      <c r="BE150" s="29">
        <v>4848</v>
      </c>
      <c r="BF150" s="29">
        <v>4595</v>
      </c>
      <c r="BG150" s="29">
        <v>4362</v>
      </c>
      <c r="BH150" s="29">
        <v>4275</v>
      </c>
      <c r="BI150" s="29">
        <v>4367</v>
      </c>
      <c r="BJ150" s="29">
        <v>4248</v>
      </c>
      <c r="BK150" s="29">
        <v>4402</v>
      </c>
      <c r="BL150" s="30">
        <v>4469</v>
      </c>
      <c r="BM150" s="1">
        <v>4273</v>
      </c>
      <c r="BN150" s="1">
        <v>4216</v>
      </c>
      <c r="BO150" s="1">
        <v>4300</v>
      </c>
      <c r="BP150" s="1">
        <v>4592</v>
      </c>
      <c r="BQ150" s="1">
        <v>4874</v>
      </c>
      <c r="BR150" s="1">
        <v>5224</v>
      </c>
      <c r="BS150" s="1">
        <v>5148</v>
      </c>
      <c r="BT150" s="1">
        <v>5171</v>
      </c>
      <c r="BU150" s="1">
        <v>5078</v>
      </c>
      <c r="BV150" s="1">
        <v>5008</v>
      </c>
      <c r="BW150" s="1">
        <v>5018</v>
      </c>
      <c r="BX150" s="1">
        <v>5014</v>
      </c>
      <c r="BY150" s="1">
        <v>4908</v>
      </c>
      <c r="BZ150" s="1">
        <v>4706</v>
      </c>
    </row>
    <row r="151" spans="1:254" ht="15.9" customHeight="1">
      <c r="A151" s="65" t="s">
        <v>296</v>
      </c>
      <c r="B151" s="25" t="s">
        <v>297</v>
      </c>
      <c r="C151" s="39">
        <f>_xll.RssMarket("6516","高値")</f>
        <v>6030</v>
      </c>
      <c r="D151" s="38">
        <f t="shared" si="5"/>
        <v>0</v>
      </c>
      <c r="E151" s="34">
        <v>6030</v>
      </c>
      <c r="F151" s="34">
        <v>6190</v>
      </c>
      <c r="G151" s="29">
        <v>5680</v>
      </c>
      <c r="H151" s="29">
        <v>5530</v>
      </c>
      <c r="I151" s="29">
        <v>5840</v>
      </c>
      <c r="J151" s="29">
        <v>5870</v>
      </c>
      <c r="K151" s="29">
        <v>5440</v>
      </c>
      <c r="L151" s="29">
        <v>5690</v>
      </c>
      <c r="M151" s="29">
        <v>5760</v>
      </c>
      <c r="N151" s="29"/>
      <c r="O151" s="29">
        <v>5860</v>
      </c>
      <c r="P151" s="29">
        <v>5940</v>
      </c>
      <c r="Q151" s="29">
        <v>5700</v>
      </c>
      <c r="R151" s="29">
        <v>5580</v>
      </c>
      <c r="S151" s="29">
        <v>5960</v>
      </c>
      <c r="T151" s="29">
        <v>5880</v>
      </c>
      <c r="U151" s="29">
        <v>6150</v>
      </c>
      <c r="V151" s="29">
        <v>6170</v>
      </c>
      <c r="W151" s="29">
        <v>6030</v>
      </c>
      <c r="X151" s="29">
        <v>6140</v>
      </c>
      <c r="Y151" s="29">
        <v>6420</v>
      </c>
      <c r="Z151" s="29">
        <v>6600</v>
      </c>
      <c r="AA151" s="29">
        <v>6570</v>
      </c>
      <c r="AB151" s="29">
        <v>6600</v>
      </c>
      <c r="AC151" s="29">
        <v>6750</v>
      </c>
      <c r="AD151" s="29">
        <v>6620</v>
      </c>
      <c r="AE151" s="29">
        <v>6930</v>
      </c>
      <c r="AF151" s="29">
        <v>7060</v>
      </c>
      <c r="AG151" s="29">
        <v>7250</v>
      </c>
      <c r="AH151" s="29">
        <v>7360</v>
      </c>
      <c r="AI151" s="29">
        <v>7390</v>
      </c>
      <c r="AJ151" s="29">
        <v>7100</v>
      </c>
      <c r="AK151" s="29">
        <v>6910</v>
      </c>
      <c r="AL151" s="29">
        <v>6900</v>
      </c>
      <c r="AM151" s="29">
        <v>6810</v>
      </c>
      <c r="AN151" s="29">
        <v>6720</v>
      </c>
      <c r="AO151" s="29">
        <v>6580</v>
      </c>
      <c r="AP151" s="29">
        <v>6450</v>
      </c>
      <c r="AQ151" s="29">
        <v>6300</v>
      </c>
      <c r="AR151" s="29">
        <v>6460</v>
      </c>
      <c r="AS151" s="29">
        <v>6480</v>
      </c>
      <c r="AT151" s="29">
        <v>6770</v>
      </c>
      <c r="AU151" s="29">
        <v>6830</v>
      </c>
      <c r="AV151" s="29">
        <v>6770</v>
      </c>
      <c r="AW151" s="29">
        <v>6690</v>
      </c>
      <c r="AX151" s="29">
        <v>6920</v>
      </c>
      <c r="AY151" s="29">
        <v>6820</v>
      </c>
      <c r="AZ151" s="29">
        <v>7080</v>
      </c>
      <c r="BA151" s="29">
        <v>7260</v>
      </c>
      <c r="BB151" s="29">
        <v>7290</v>
      </c>
      <c r="BC151" s="29">
        <v>7270</v>
      </c>
      <c r="BD151" s="29">
        <v>6990</v>
      </c>
      <c r="BE151" s="29">
        <v>7330</v>
      </c>
      <c r="BF151" s="29">
        <v>7480</v>
      </c>
      <c r="BG151" s="29">
        <v>7870</v>
      </c>
      <c r="BH151" s="29">
        <v>7810</v>
      </c>
      <c r="BI151" s="29">
        <v>7640</v>
      </c>
      <c r="BJ151" s="29">
        <v>7880</v>
      </c>
      <c r="BK151" s="29">
        <v>7800</v>
      </c>
      <c r="BL151" s="30">
        <v>7500</v>
      </c>
      <c r="BM151" s="1">
        <v>7380</v>
      </c>
      <c r="BN151" s="1">
        <v>6880</v>
      </c>
      <c r="BO151" s="1">
        <v>7200</v>
      </c>
      <c r="BP151" s="1">
        <v>7300</v>
      </c>
      <c r="BQ151" s="1">
        <v>6640</v>
      </c>
      <c r="BR151" s="1">
        <v>5750</v>
      </c>
      <c r="BS151" s="1">
        <v>5310</v>
      </c>
      <c r="BT151" s="1">
        <v>5430</v>
      </c>
      <c r="BU151" s="1">
        <v>5280</v>
      </c>
      <c r="BV151" s="1">
        <v>5200</v>
      </c>
      <c r="BW151" s="1">
        <v>5220</v>
      </c>
      <c r="BX151" s="1">
        <v>5300</v>
      </c>
      <c r="BY151" s="1">
        <v>5430</v>
      </c>
      <c r="BZ151" s="1">
        <v>5360</v>
      </c>
    </row>
    <row r="152" spans="1:254" ht="15.9" customHeight="1">
      <c r="A152" s="65" t="s">
        <v>298</v>
      </c>
      <c r="B152" s="25" t="s">
        <v>299</v>
      </c>
      <c r="C152" s="39">
        <f>_xll.RssMarket("7381","高値")</f>
        <v>1216</v>
      </c>
      <c r="D152" s="38">
        <f t="shared" si="5"/>
        <v>0</v>
      </c>
      <c r="E152" s="34">
        <v>1216</v>
      </c>
      <c r="F152" s="34">
        <v>1178</v>
      </c>
      <c r="G152" s="29">
        <v>1137</v>
      </c>
      <c r="H152" s="29">
        <v>1139</v>
      </c>
      <c r="I152" s="29">
        <v>1109</v>
      </c>
      <c r="J152" s="29">
        <v>1110</v>
      </c>
      <c r="K152" s="29">
        <v>1144</v>
      </c>
      <c r="L152" s="29">
        <v>1182</v>
      </c>
      <c r="M152" s="29">
        <v>1189</v>
      </c>
      <c r="N152" s="29">
        <v>1167</v>
      </c>
      <c r="O152" s="29">
        <v>1177</v>
      </c>
      <c r="P152" s="29">
        <v>1182</v>
      </c>
      <c r="Q152" s="29">
        <v>1146</v>
      </c>
      <c r="R152" s="29">
        <v>1151</v>
      </c>
      <c r="S152" s="29">
        <v>1126</v>
      </c>
      <c r="T152" s="29">
        <v>1081</v>
      </c>
      <c r="U152" s="29">
        <v>1060</v>
      </c>
      <c r="V152" s="29">
        <v>1063</v>
      </c>
      <c r="W152" s="29">
        <v>1077</v>
      </c>
      <c r="X152" s="29">
        <v>1088</v>
      </c>
      <c r="Y152" s="29">
        <v>1080</v>
      </c>
      <c r="Z152" s="29">
        <v>1057</v>
      </c>
      <c r="AA152" s="29">
        <v>1048</v>
      </c>
      <c r="AB152" s="29">
        <v>1055</v>
      </c>
      <c r="AC152" s="29">
        <v>1044</v>
      </c>
      <c r="AD152" s="29">
        <v>1041</v>
      </c>
      <c r="AE152" s="29">
        <v>1005</v>
      </c>
      <c r="AF152" s="29">
        <v>996</v>
      </c>
      <c r="AG152" s="29">
        <v>981</v>
      </c>
      <c r="AH152" s="29">
        <v>977</v>
      </c>
      <c r="AI152" s="29">
        <v>985</v>
      </c>
      <c r="AJ152" s="29">
        <v>976</v>
      </c>
      <c r="AK152" s="29">
        <v>987</v>
      </c>
      <c r="AL152" s="29">
        <v>998</v>
      </c>
      <c r="AM152" s="29">
        <v>1019</v>
      </c>
      <c r="AN152" s="29">
        <v>1006</v>
      </c>
      <c r="AO152" s="29">
        <v>1023</v>
      </c>
      <c r="AP152" s="29">
        <v>1004</v>
      </c>
      <c r="AQ152" s="29">
        <v>992</v>
      </c>
      <c r="AR152" s="29">
        <v>1010</v>
      </c>
      <c r="AS152" s="29">
        <v>1029</v>
      </c>
      <c r="AT152" s="29">
        <v>1052</v>
      </c>
      <c r="AU152" s="29">
        <v>1039</v>
      </c>
      <c r="AV152" s="29">
        <v>1035</v>
      </c>
      <c r="AW152" s="29">
        <v>1018</v>
      </c>
      <c r="AX152" s="29">
        <v>1060</v>
      </c>
      <c r="AY152" s="29">
        <v>1052</v>
      </c>
      <c r="AZ152" s="29">
        <v>1067</v>
      </c>
      <c r="BA152" s="29">
        <v>1063</v>
      </c>
      <c r="BB152" s="29">
        <v>1089</v>
      </c>
      <c r="BC152" s="29">
        <v>1094</v>
      </c>
      <c r="BD152" s="29">
        <v>1038</v>
      </c>
      <c r="BE152" s="29">
        <v>1054</v>
      </c>
      <c r="BF152" s="29">
        <v>1052</v>
      </c>
      <c r="BG152" s="29">
        <v>1071</v>
      </c>
      <c r="BH152" s="29">
        <v>1050</v>
      </c>
      <c r="BI152" s="29">
        <v>1034</v>
      </c>
      <c r="BJ152" s="29">
        <v>1023</v>
      </c>
      <c r="BK152" s="29">
        <v>1032</v>
      </c>
      <c r="BL152" s="30">
        <v>1019</v>
      </c>
      <c r="BM152" s="1">
        <v>1038</v>
      </c>
      <c r="BN152" s="1">
        <v>973</v>
      </c>
      <c r="BO152" s="1">
        <v>949</v>
      </c>
      <c r="BP152" s="1">
        <v>984</v>
      </c>
      <c r="BQ152" s="1">
        <v>922</v>
      </c>
      <c r="BR152" s="1">
        <v>927</v>
      </c>
      <c r="BS152" s="1">
        <v>926</v>
      </c>
      <c r="BT152" s="1">
        <v>971</v>
      </c>
      <c r="BU152" s="1">
        <v>1002</v>
      </c>
      <c r="BV152" s="1">
        <v>1022</v>
      </c>
      <c r="BW152" s="1">
        <v>1038</v>
      </c>
      <c r="BX152" s="1">
        <v>1053</v>
      </c>
      <c r="BY152" s="1">
        <v>1049</v>
      </c>
      <c r="BZ152" s="1">
        <v>1029</v>
      </c>
    </row>
    <row r="153" spans="1:254" ht="15.9" customHeight="1">
      <c r="A153" s="65" t="s">
        <v>300</v>
      </c>
      <c r="B153" s="25" t="s">
        <v>301</v>
      </c>
      <c r="C153" s="39">
        <f>_xll.RssMarket("4417","高値")</f>
        <v>4640</v>
      </c>
      <c r="D153" s="38">
        <f t="shared" si="5"/>
        <v>0</v>
      </c>
      <c r="E153" s="34">
        <v>4640</v>
      </c>
      <c r="F153" s="34">
        <v>4465</v>
      </c>
      <c r="G153" s="29">
        <v>4225</v>
      </c>
      <c r="H153" s="29">
        <v>4390</v>
      </c>
      <c r="I153" s="29">
        <v>4700</v>
      </c>
      <c r="J153" s="29">
        <v>4590</v>
      </c>
      <c r="K153" s="29">
        <v>4545</v>
      </c>
      <c r="L153" s="29">
        <v>4540</v>
      </c>
      <c r="M153" s="29">
        <v>4465</v>
      </c>
      <c r="N153" s="29">
        <v>4260</v>
      </c>
      <c r="O153" s="29">
        <v>4350</v>
      </c>
      <c r="P153" s="29">
        <v>4495</v>
      </c>
      <c r="Q153" s="29">
        <v>4485</v>
      </c>
      <c r="R153" s="29">
        <v>4500</v>
      </c>
      <c r="S153" s="29">
        <v>4390</v>
      </c>
      <c r="T153" s="29">
        <v>4390</v>
      </c>
      <c r="U153" s="29">
        <v>4005</v>
      </c>
      <c r="V153" s="29">
        <v>4015</v>
      </c>
      <c r="W153" s="29">
        <v>3965</v>
      </c>
      <c r="X153" s="29">
        <v>3980</v>
      </c>
      <c r="Y153" s="29">
        <v>4500</v>
      </c>
      <c r="Z153" s="29">
        <v>4415</v>
      </c>
      <c r="AA153" s="29">
        <v>4530</v>
      </c>
      <c r="AB153" s="29">
        <v>4180</v>
      </c>
      <c r="AC153" s="29">
        <v>3950</v>
      </c>
      <c r="AD153" s="29">
        <v>4000</v>
      </c>
      <c r="AE153" s="29">
        <v>3850</v>
      </c>
      <c r="AF153" s="29">
        <v>3320</v>
      </c>
      <c r="AG153" s="29">
        <v>3320</v>
      </c>
      <c r="AH153" s="29">
        <v>3235</v>
      </c>
      <c r="AI153" s="29">
        <v>3300</v>
      </c>
      <c r="AJ153" s="29">
        <v>3305</v>
      </c>
      <c r="AK153" s="29">
        <v>3335</v>
      </c>
      <c r="AL153" s="29">
        <v>3350</v>
      </c>
      <c r="AM153" s="29">
        <v>3260</v>
      </c>
      <c r="AN153" s="29">
        <v>3140</v>
      </c>
      <c r="AO153" s="29">
        <v>3135</v>
      </c>
      <c r="AP153" s="29">
        <v>3100</v>
      </c>
      <c r="AQ153" s="29">
        <v>3090</v>
      </c>
      <c r="AR153" s="29">
        <v>3220</v>
      </c>
      <c r="AS153" s="29">
        <v>3170</v>
      </c>
      <c r="AT153" s="29">
        <v>3205</v>
      </c>
      <c r="AU153" s="29">
        <v>3095</v>
      </c>
      <c r="AV153" s="29">
        <v>3420</v>
      </c>
      <c r="AW153" s="29">
        <v>3380</v>
      </c>
      <c r="AX153" s="29">
        <v>3575</v>
      </c>
      <c r="AY153" s="29">
        <v>3285</v>
      </c>
      <c r="AZ153" s="29">
        <v>3385</v>
      </c>
      <c r="BA153" s="29">
        <v>3385</v>
      </c>
      <c r="BB153" s="29">
        <v>3270</v>
      </c>
      <c r="BC153" s="29">
        <v>3140</v>
      </c>
      <c r="BD153" s="29">
        <v>2995</v>
      </c>
      <c r="BE153" s="29">
        <v>2914</v>
      </c>
      <c r="BF153" s="29">
        <v>2809</v>
      </c>
      <c r="BG153" s="29">
        <v>2809</v>
      </c>
      <c r="BH153" s="29">
        <v>2945</v>
      </c>
      <c r="BI153" s="29">
        <v>3040</v>
      </c>
      <c r="BJ153" s="29">
        <v>3095</v>
      </c>
      <c r="BK153" s="29">
        <v>2920</v>
      </c>
      <c r="BL153" s="30">
        <v>2936</v>
      </c>
      <c r="BM153" s="1">
        <v>2870</v>
      </c>
      <c r="BN153" s="1">
        <v>2890</v>
      </c>
      <c r="BO153" s="1">
        <v>2527</v>
      </c>
      <c r="BP153" s="1">
        <v>2511</v>
      </c>
      <c r="BQ153" s="1">
        <v>2529</v>
      </c>
      <c r="BR153" s="1">
        <v>2513</v>
      </c>
      <c r="BS153" s="1">
        <v>2501</v>
      </c>
      <c r="BT153" s="1">
        <v>2528</v>
      </c>
      <c r="BU153" s="1">
        <v>2471</v>
      </c>
      <c r="BV153" s="1">
        <v>2528</v>
      </c>
      <c r="BW153" s="1">
        <v>2525</v>
      </c>
      <c r="BX153" s="1">
        <v>2525</v>
      </c>
      <c r="BY153" s="1">
        <v>2377</v>
      </c>
      <c r="BZ153" s="1">
        <v>2340</v>
      </c>
    </row>
    <row r="154" spans="1:254" ht="15.9" customHeight="1">
      <c r="A154" s="65" t="s">
        <v>302</v>
      </c>
      <c r="B154" s="25" t="s">
        <v>303</v>
      </c>
      <c r="C154" s="39">
        <f>_xll.RssMarket("6981","高値")</f>
        <v>7762</v>
      </c>
      <c r="D154" s="38">
        <f t="shared" si="5"/>
        <v>0</v>
      </c>
      <c r="E154" s="34">
        <v>7762</v>
      </c>
      <c r="F154" s="34">
        <v>7915</v>
      </c>
      <c r="G154" s="29">
        <v>7332</v>
      </c>
      <c r="H154" s="29">
        <v>7567</v>
      </c>
      <c r="I154" s="29">
        <v>7416</v>
      </c>
      <c r="J154" s="29">
        <v>6840</v>
      </c>
      <c r="K154" s="29">
        <v>7182</v>
      </c>
      <c r="L154" s="29">
        <v>7558</v>
      </c>
      <c r="M154" s="29">
        <v>8401</v>
      </c>
      <c r="N154" s="29">
        <v>8689</v>
      </c>
      <c r="O154" s="29">
        <v>8817</v>
      </c>
      <c r="P154" s="29">
        <v>8720</v>
      </c>
      <c r="Q154" s="29">
        <v>8046</v>
      </c>
      <c r="R154" s="29">
        <v>8021</v>
      </c>
      <c r="S154" s="29">
        <v>9188</v>
      </c>
      <c r="T154" s="29">
        <v>9136</v>
      </c>
      <c r="U154" s="29">
        <v>10060</v>
      </c>
      <c r="V154" s="29">
        <v>10085</v>
      </c>
      <c r="W154" s="29">
        <v>9609</v>
      </c>
      <c r="X154" s="29">
        <v>9660</v>
      </c>
      <c r="Y154" s="29">
        <v>10380</v>
      </c>
      <c r="Z154" s="29">
        <v>11090</v>
      </c>
      <c r="AA154" s="29">
        <v>11080</v>
      </c>
      <c r="AB154" s="29">
        <v>11370</v>
      </c>
      <c r="AC154" s="29">
        <v>12280</v>
      </c>
      <c r="AD154" s="29">
        <v>11640</v>
      </c>
      <c r="AE154" s="29">
        <v>11085</v>
      </c>
      <c r="AF154" s="29">
        <v>11550</v>
      </c>
      <c r="AG154" s="29">
        <v>12020</v>
      </c>
      <c r="AH154" s="29">
        <v>11450</v>
      </c>
      <c r="AI154" s="29">
        <v>12145</v>
      </c>
      <c r="AJ154" s="29">
        <v>12895</v>
      </c>
      <c r="AK154" s="29">
        <v>12410</v>
      </c>
      <c r="AL154" s="29">
        <v>12850</v>
      </c>
      <c r="AM154" s="29">
        <v>11095</v>
      </c>
      <c r="AN154" s="29">
        <v>10995</v>
      </c>
      <c r="AO154" s="29">
        <v>10060</v>
      </c>
      <c r="AP154" s="29">
        <v>9665</v>
      </c>
      <c r="AQ154" s="29">
        <v>9018</v>
      </c>
      <c r="AR154" s="29">
        <v>9580</v>
      </c>
      <c r="AS154" s="29">
        <v>9285</v>
      </c>
      <c r="AT154" s="29">
        <v>10035</v>
      </c>
      <c r="AU154" s="29">
        <v>10380</v>
      </c>
      <c r="AV154" s="29">
        <v>10940</v>
      </c>
      <c r="AW154" s="29">
        <v>11040</v>
      </c>
      <c r="AX154" s="29">
        <v>10040</v>
      </c>
      <c r="AY154" s="29">
        <v>8899</v>
      </c>
      <c r="AZ154" s="29">
        <v>8383</v>
      </c>
      <c r="BA154" s="29">
        <v>8413</v>
      </c>
      <c r="BB154" s="29">
        <v>7226</v>
      </c>
      <c r="BC154" s="29">
        <v>6788</v>
      </c>
      <c r="BD154" s="29">
        <v>6200</v>
      </c>
      <c r="BE154" s="29">
        <v>6323</v>
      </c>
      <c r="BF154" s="29">
        <v>6292</v>
      </c>
      <c r="BG154" s="29">
        <v>6541</v>
      </c>
      <c r="BH154" s="29">
        <v>6508</v>
      </c>
      <c r="BI154" s="29">
        <v>6118</v>
      </c>
      <c r="BJ154" s="29">
        <v>6311</v>
      </c>
      <c r="BK154" s="29">
        <v>6018</v>
      </c>
      <c r="BL154" s="30">
        <v>5910</v>
      </c>
      <c r="BM154" s="1">
        <v>5716</v>
      </c>
      <c r="BN154" s="1">
        <v>5253</v>
      </c>
      <c r="BO154" s="1">
        <v>5265</v>
      </c>
      <c r="BP154" s="1">
        <v>4995</v>
      </c>
      <c r="BQ154" s="1">
        <v>5013</v>
      </c>
      <c r="BR154" s="1">
        <v>5016</v>
      </c>
      <c r="BS154" s="1">
        <v>4867</v>
      </c>
      <c r="BT154" s="1">
        <v>4977</v>
      </c>
      <c r="BU154" s="1">
        <v>4852</v>
      </c>
      <c r="BV154" s="1">
        <v>4813</v>
      </c>
      <c r="BW154" s="1">
        <v>4796</v>
      </c>
      <c r="BX154" s="1">
        <v>4878</v>
      </c>
      <c r="BY154" s="1">
        <v>4525</v>
      </c>
      <c r="BZ154" s="1">
        <v>4353</v>
      </c>
    </row>
    <row r="155" spans="1:254" ht="15.9" customHeight="1">
      <c r="A155" s="65" t="s">
        <v>304</v>
      </c>
      <c r="B155" s="25" t="s">
        <v>305</v>
      </c>
      <c r="C155" s="39">
        <f>_xll.RssMarket("6754","高値")</f>
        <v>3663</v>
      </c>
      <c r="D155" s="38">
        <f t="shared" si="5"/>
        <v>0</v>
      </c>
      <c r="E155" s="34">
        <v>3663</v>
      </c>
      <c r="F155" s="34">
        <v>3873</v>
      </c>
      <c r="G155" s="29">
        <v>3654</v>
      </c>
      <c r="H155" s="29">
        <v>3563</v>
      </c>
      <c r="I155" s="29">
        <v>3701</v>
      </c>
      <c r="J155" s="29">
        <v>3625</v>
      </c>
      <c r="K155" s="29">
        <v>3682</v>
      </c>
      <c r="L155" s="29">
        <v>3769</v>
      </c>
      <c r="M155" s="29">
        <v>3926</v>
      </c>
      <c r="N155" s="29"/>
      <c r="O155" s="29">
        <v>4074</v>
      </c>
      <c r="P155" s="29">
        <v>4093</v>
      </c>
      <c r="Q155" s="29">
        <v>3848</v>
      </c>
      <c r="R155" s="29">
        <v>3808</v>
      </c>
      <c r="S155" s="29">
        <v>4139</v>
      </c>
      <c r="T155" s="29">
        <v>4050</v>
      </c>
      <c r="U155" s="29">
        <v>4265</v>
      </c>
      <c r="V155" s="29">
        <v>4327</v>
      </c>
      <c r="W155" s="29">
        <v>4162</v>
      </c>
      <c r="X155" s="29">
        <v>4153</v>
      </c>
      <c r="Y155" s="29">
        <v>4280</v>
      </c>
      <c r="Z155" s="29">
        <v>4558</v>
      </c>
      <c r="AA155" s="29">
        <v>4500</v>
      </c>
      <c r="AB155" s="29">
        <v>4606</v>
      </c>
      <c r="AC155" s="29">
        <v>4764</v>
      </c>
      <c r="AD155" s="29">
        <v>4440</v>
      </c>
      <c r="AE155" s="29">
        <v>4407</v>
      </c>
      <c r="AF155" s="29">
        <v>4561</v>
      </c>
      <c r="AG155" s="29">
        <v>4699</v>
      </c>
      <c r="AH155" s="29">
        <v>4581</v>
      </c>
      <c r="AI155" s="29">
        <v>4773</v>
      </c>
      <c r="AJ155" s="29">
        <v>4396</v>
      </c>
      <c r="AK155" s="29">
        <v>4392</v>
      </c>
      <c r="AL155" s="29">
        <v>4186</v>
      </c>
      <c r="AM155" s="29">
        <v>4123</v>
      </c>
      <c r="AN155" s="29">
        <v>4156</v>
      </c>
      <c r="AO155" s="29">
        <v>4073</v>
      </c>
      <c r="AP155" s="29">
        <v>4030</v>
      </c>
      <c r="AQ155" s="29">
        <v>3879</v>
      </c>
      <c r="AR155" s="29">
        <v>4151</v>
      </c>
      <c r="AS155" s="29">
        <v>4350</v>
      </c>
      <c r="AT155" s="29">
        <v>4730</v>
      </c>
      <c r="AU155" s="29">
        <v>4732</v>
      </c>
      <c r="AV155" s="29">
        <v>4855</v>
      </c>
      <c r="AW155" s="29">
        <v>4710</v>
      </c>
      <c r="AX155" s="29">
        <v>4658</v>
      </c>
      <c r="AY155" s="29">
        <v>4606</v>
      </c>
      <c r="AZ155" s="29">
        <v>4728</v>
      </c>
      <c r="BA155" s="29">
        <v>4848</v>
      </c>
      <c r="BB155" s="29">
        <v>4630</v>
      </c>
      <c r="BC155" s="29">
        <v>4545</v>
      </c>
      <c r="BD155" s="29">
        <v>4425</v>
      </c>
      <c r="BE155" s="29">
        <v>4233</v>
      </c>
      <c r="BF155" s="29">
        <v>4272</v>
      </c>
      <c r="BG155" s="29">
        <v>4386</v>
      </c>
      <c r="BH155" s="29">
        <v>4313</v>
      </c>
      <c r="BI155" s="29">
        <v>4209</v>
      </c>
      <c r="BJ155" s="29">
        <v>4242</v>
      </c>
      <c r="BK155" s="29">
        <v>4328</v>
      </c>
      <c r="BL155" s="30">
        <v>4263</v>
      </c>
      <c r="BM155" s="1">
        <v>4137</v>
      </c>
      <c r="BN155" s="1">
        <v>3968</v>
      </c>
      <c r="BO155" s="1">
        <v>4229</v>
      </c>
      <c r="BP155" s="1">
        <v>4235</v>
      </c>
      <c r="BQ155" s="1">
        <v>3806</v>
      </c>
      <c r="BR155" s="1">
        <v>3634</v>
      </c>
      <c r="BS155" s="1">
        <v>3649</v>
      </c>
      <c r="BT155" s="1">
        <v>3646</v>
      </c>
      <c r="BU155" s="1">
        <v>3679</v>
      </c>
      <c r="BV155" s="1">
        <v>3514</v>
      </c>
      <c r="BW155" s="1">
        <v>3465</v>
      </c>
      <c r="BX155" s="1">
        <v>3453</v>
      </c>
      <c r="BY155" s="1">
        <v>3530</v>
      </c>
      <c r="BZ155" s="1">
        <v>3454</v>
      </c>
    </row>
    <row r="156" spans="1:254" ht="15.9" customHeight="1">
      <c r="A156" s="65" t="s">
        <v>306</v>
      </c>
      <c r="B156" s="25" t="s">
        <v>307</v>
      </c>
      <c r="C156" s="39">
        <f>_xll.RssMarket("4088","高値")</f>
        <v>2663</v>
      </c>
      <c r="D156" s="38">
        <f t="shared" si="5"/>
        <v>0</v>
      </c>
      <c r="E156" s="34">
        <v>2663</v>
      </c>
      <c r="F156" s="34">
        <v>2577</v>
      </c>
      <c r="G156" s="29">
        <v>2660</v>
      </c>
      <c r="H156" s="29">
        <v>2610</v>
      </c>
      <c r="I156" s="29">
        <v>2575</v>
      </c>
      <c r="J156" s="29">
        <v>2602</v>
      </c>
      <c r="K156" s="29">
        <v>2628</v>
      </c>
      <c r="L156" s="29">
        <v>2697</v>
      </c>
      <c r="M156" s="29">
        <v>2667</v>
      </c>
      <c r="N156" s="29">
        <v>2607</v>
      </c>
      <c r="O156" s="29">
        <v>2606</v>
      </c>
      <c r="P156" s="29">
        <v>2592</v>
      </c>
      <c r="Q156" s="29">
        <v>2554</v>
      </c>
      <c r="R156" s="29">
        <v>2580</v>
      </c>
      <c r="S156" s="29">
        <v>2588</v>
      </c>
      <c r="T156" s="29">
        <v>2588</v>
      </c>
      <c r="U156" s="29">
        <v>2566</v>
      </c>
      <c r="V156" s="29">
        <v>2628</v>
      </c>
      <c r="W156" s="29">
        <v>2676</v>
      </c>
      <c r="X156" s="29">
        <v>2740</v>
      </c>
      <c r="Y156" s="29">
        <v>2803</v>
      </c>
      <c r="Z156" s="29">
        <v>2836</v>
      </c>
      <c r="AA156" s="29">
        <v>2851</v>
      </c>
      <c r="AB156" s="29">
        <v>2796</v>
      </c>
      <c r="AC156" s="29">
        <v>2800</v>
      </c>
      <c r="AD156" s="29">
        <v>2900</v>
      </c>
      <c r="AE156" s="29">
        <v>2781</v>
      </c>
      <c r="AF156" s="29">
        <v>2861</v>
      </c>
      <c r="AG156" s="29">
        <v>2949</v>
      </c>
      <c r="AH156" s="29">
        <v>2763</v>
      </c>
      <c r="AI156" s="29">
        <v>2740</v>
      </c>
      <c r="AJ156" s="29">
        <v>2510</v>
      </c>
      <c r="AK156" s="29">
        <v>2525</v>
      </c>
      <c r="AL156" s="29">
        <v>2520</v>
      </c>
      <c r="AM156" s="29">
        <v>2530</v>
      </c>
      <c r="AN156" s="29">
        <v>2580</v>
      </c>
      <c r="AO156" s="29">
        <v>2568</v>
      </c>
      <c r="AP156" s="29">
        <v>2480</v>
      </c>
      <c r="AQ156" s="29">
        <v>2468</v>
      </c>
      <c r="AR156" s="29">
        <v>2487</v>
      </c>
      <c r="AS156" s="29">
        <v>2470</v>
      </c>
      <c r="AT156" s="29">
        <v>2481</v>
      </c>
      <c r="AU156" s="29">
        <v>2536</v>
      </c>
      <c r="AV156" s="29">
        <v>2508</v>
      </c>
      <c r="AW156" s="29">
        <v>2495</v>
      </c>
      <c r="AX156" s="29">
        <v>2627</v>
      </c>
      <c r="AY156" s="29">
        <v>2630</v>
      </c>
      <c r="AZ156" s="29">
        <v>2674</v>
      </c>
      <c r="BA156" s="29">
        <v>2663</v>
      </c>
      <c r="BB156" s="29">
        <v>2648</v>
      </c>
      <c r="BC156" s="29">
        <v>2589</v>
      </c>
      <c r="BD156" s="29">
        <v>2678</v>
      </c>
      <c r="BE156" s="29">
        <v>2554</v>
      </c>
      <c r="BF156" s="29">
        <v>2331</v>
      </c>
      <c r="BG156" s="29">
        <v>2310</v>
      </c>
      <c r="BH156" s="29">
        <v>2192</v>
      </c>
      <c r="BI156" s="29">
        <v>2103</v>
      </c>
      <c r="BJ156" s="29">
        <v>2078</v>
      </c>
      <c r="BK156" s="29">
        <v>2040</v>
      </c>
      <c r="BL156" s="30">
        <v>1948.5</v>
      </c>
      <c r="BM156" s="1">
        <v>1968.5</v>
      </c>
      <c r="BN156" s="1">
        <v>2045</v>
      </c>
      <c r="BO156" s="1">
        <v>2243.5</v>
      </c>
      <c r="BP156" s="1">
        <v>2261</v>
      </c>
      <c r="BQ156" s="1">
        <v>2244.5</v>
      </c>
      <c r="BR156" s="1">
        <v>2236.5</v>
      </c>
      <c r="BS156" s="1">
        <v>2215.5</v>
      </c>
      <c r="BT156" s="1">
        <v>2259</v>
      </c>
      <c r="BU156" s="1">
        <v>2282</v>
      </c>
      <c r="BV156" s="1">
        <v>2289.5</v>
      </c>
      <c r="BW156" s="1">
        <v>2302</v>
      </c>
      <c r="BX156" s="1">
        <v>2314</v>
      </c>
      <c r="BY156" s="1">
        <v>2338</v>
      </c>
      <c r="BZ156" s="1">
        <v>2271</v>
      </c>
    </row>
    <row r="157" spans="1:254" ht="15.9" customHeight="1">
      <c r="A157" s="65" t="s">
        <v>308</v>
      </c>
      <c r="B157" s="25" t="s">
        <v>309</v>
      </c>
      <c r="C157" s="39">
        <f>_xll.RssMarket("4091","高値")</f>
        <v>6095</v>
      </c>
      <c r="D157" s="38">
        <f t="shared" si="5"/>
        <v>0</v>
      </c>
      <c r="E157" s="34">
        <v>6095</v>
      </c>
      <c r="F157" s="34">
        <v>5955</v>
      </c>
      <c r="G157" s="29">
        <v>5790</v>
      </c>
      <c r="H157" s="29">
        <v>5781</v>
      </c>
      <c r="I157" s="29">
        <v>5941</v>
      </c>
      <c r="J157" s="29">
        <v>5958</v>
      </c>
      <c r="K157" s="29">
        <v>6052</v>
      </c>
      <c r="L157" s="29">
        <v>6009</v>
      </c>
      <c r="M157" s="29">
        <v>6120</v>
      </c>
      <c r="N157" s="29">
        <v>5909</v>
      </c>
      <c r="O157" s="29">
        <v>6018</v>
      </c>
      <c r="P157" s="29">
        <v>6050</v>
      </c>
      <c r="Q157" s="29">
        <v>6086</v>
      </c>
      <c r="R157" s="29">
        <v>6227</v>
      </c>
      <c r="S157" s="29">
        <v>6189</v>
      </c>
      <c r="T157" s="29">
        <v>6108</v>
      </c>
      <c r="U157" s="29">
        <v>6101</v>
      </c>
      <c r="V157" s="29">
        <v>6239</v>
      </c>
      <c r="W157" s="29">
        <v>6158</v>
      </c>
      <c r="X157" s="29">
        <v>6256</v>
      </c>
      <c r="Y157" s="29">
        <v>6300</v>
      </c>
      <c r="Z157" s="29">
        <v>6420</v>
      </c>
      <c r="AA157" s="29">
        <v>6286</v>
      </c>
      <c r="AB157" s="29">
        <v>6345</v>
      </c>
      <c r="AC157" s="29">
        <v>6020</v>
      </c>
      <c r="AD157" s="29">
        <v>6034</v>
      </c>
      <c r="AE157" s="29">
        <v>6030</v>
      </c>
      <c r="AF157" s="29">
        <v>5975</v>
      </c>
      <c r="AG157" s="29">
        <v>5715</v>
      </c>
      <c r="AH157" s="29">
        <v>5632</v>
      </c>
      <c r="AI157" s="29">
        <v>5744</v>
      </c>
      <c r="AJ157" s="29">
        <v>5557</v>
      </c>
      <c r="AK157" s="29">
        <v>5649</v>
      </c>
      <c r="AL157" s="29">
        <v>5652</v>
      </c>
      <c r="AM157" s="29">
        <v>5615</v>
      </c>
      <c r="AN157" s="29">
        <v>5611</v>
      </c>
      <c r="AO157" s="29">
        <v>5757</v>
      </c>
      <c r="AP157" s="29">
        <v>5435</v>
      </c>
      <c r="AQ157" s="29">
        <v>5299</v>
      </c>
      <c r="AR157" s="29">
        <v>5388</v>
      </c>
      <c r="AS157" s="29">
        <v>5607</v>
      </c>
      <c r="AT157" s="29">
        <v>5674</v>
      </c>
      <c r="AU157" s="29">
        <v>5684</v>
      </c>
      <c r="AV157" s="29">
        <v>5771</v>
      </c>
      <c r="AW157" s="29">
        <v>5824</v>
      </c>
      <c r="AX157" s="29">
        <v>6406</v>
      </c>
      <c r="AY157" s="29">
        <v>6377</v>
      </c>
      <c r="AZ157" s="29">
        <v>6509</v>
      </c>
      <c r="BA157" s="29">
        <v>6429</v>
      </c>
      <c r="BB157" s="29">
        <v>6278</v>
      </c>
      <c r="BC157" s="29">
        <v>5959</v>
      </c>
      <c r="BD157" s="29">
        <v>5888</v>
      </c>
      <c r="BE157" s="29">
        <v>6101</v>
      </c>
      <c r="BF157" s="29">
        <v>6108</v>
      </c>
      <c r="BG157" s="29">
        <v>6231</v>
      </c>
      <c r="BH157" s="29">
        <v>6108</v>
      </c>
      <c r="BI157" s="29">
        <v>5925</v>
      </c>
      <c r="BJ157" s="29">
        <v>6162</v>
      </c>
      <c r="BK157" s="29">
        <v>6225</v>
      </c>
      <c r="BL157" s="30">
        <v>5800</v>
      </c>
      <c r="BM157" s="1">
        <v>5782</v>
      </c>
      <c r="BN157" s="1">
        <v>5621</v>
      </c>
      <c r="BO157" s="1">
        <v>5675</v>
      </c>
      <c r="BP157" s="1">
        <v>5691</v>
      </c>
      <c r="BQ157" s="1">
        <v>5711</v>
      </c>
      <c r="BR157" s="1">
        <v>5753</v>
      </c>
      <c r="BS157" s="1">
        <v>5694</v>
      </c>
      <c r="BT157" s="1">
        <v>5740</v>
      </c>
      <c r="BU157" s="1">
        <v>5942</v>
      </c>
      <c r="BV157" s="1">
        <v>5875</v>
      </c>
      <c r="BW157" s="1">
        <v>6076</v>
      </c>
      <c r="BX157" s="1">
        <v>6044</v>
      </c>
      <c r="BY157" s="1">
        <v>5891</v>
      </c>
      <c r="BZ157" s="1">
        <v>6009</v>
      </c>
    </row>
    <row r="158" spans="1:254" ht="15.9" customHeight="1">
      <c r="A158" s="65" t="s">
        <v>310</v>
      </c>
      <c r="B158" s="25" t="s">
        <v>311</v>
      </c>
      <c r="C158" s="39">
        <f>_xll.RssMarket("6857","高値")</f>
        <v>33200</v>
      </c>
      <c r="D158" s="38">
        <f t="shared" si="5"/>
        <v>0</v>
      </c>
      <c r="E158" s="34">
        <v>33200</v>
      </c>
      <c r="F158" s="34">
        <v>33840</v>
      </c>
      <c r="G158" s="29">
        <v>32420</v>
      </c>
      <c r="H158" s="29">
        <v>32780</v>
      </c>
      <c r="I158" s="29">
        <v>32940</v>
      </c>
      <c r="J158" s="29">
        <v>29425</v>
      </c>
      <c r="K158" s="29">
        <v>27520</v>
      </c>
      <c r="L158" s="29">
        <v>26485</v>
      </c>
      <c r="M158" s="29">
        <v>29590</v>
      </c>
      <c r="N158" s="29">
        <v>30270</v>
      </c>
      <c r="O158" s="29">
        <v>31540</v>
      </c>
      <c r="P158" s="29">
        <v>31580</v>
      </c>
      <c r="Q158" s="29">
        <v>29825</v>
      </c>
      <c r="R158" s="29">
        <v>28150</v>
      </c>
      <c r="S158" s="29">
        <v>31550</v>
      </c>
      <c r="T158" s="29">
        <v>29780</v>
      </c>
      <c r="U158" s="29">
        <v>30020</v>
      </c>
      <c r="V158" s="29">
        <v>30580</v>
      </c>
      <c r="W158" s="29">
        <v>29820</v>
      </c>
      <c r="X158" s="29">
        <v>29375</v>
      </c>
      <c r="Y158" s="29">
        <v>30120</v>
      </c>
      <c r="Z158" s="29">
        <v>30230</v>
      </c>
      <c r="AA158" s="29">
        <v>29385</v>
      </c>
      <c r="AB158" s="29">
        <v>30650</v>
      </c>
      <c r="AC158" s="29">
        <v>34200</v>
      </c>
      <c r="AD158" s="29">
        <v>33010</v>
      </c>
      <c r="AE158" s="29">
        <v>32930</v>
      </c>
      <c r="AF158" s="29">
        <v>35350</v>
      </c>
      <c r="AG158" s="29">
        <v>35940</v>
      </c>
      <c r="AH158" s="29">
        <v>31780</v>
      </c>
      <c r="AI158" s="29">
        <v>33260</v>
      </c>
      <c r="AJ158" s="29">
        <v>32600</v>
      </c>
      <c r="AK158" s="29">
        <v>32000</v>
      </c>
      <c r="AL158" s="29">
        <v>30670</v>
      </c>
      <c r="AM158" s="29">
        <v>31170</v>
      </c>
      <c r="AN158" s="29">
        <v>31280</v>
      </c>
      <c r="AO158" s="29">
        <v>29620</v>
      </c>
      <c r="AP158" s="29">
        <v>27800</v>
      </c>
      <c r="AQ158" s="29">
        <v>25475</v>
      </c>
      <c r="AR158" s="29">
        <v>26035</v>
      </c>
      <c r="AS158" s="29">
        <v>25780</v>
      </c>
      <c r="AT158" s="29">
        <v>27590</v>
      </c>
      <c r="AU158" s="29">
        <v>28435</v>
      </c>
      <c r="AV158" s="29">
        <v>27970</v>
      </c>
      <c r="AW158" s="29">
        <v>26350</v>
      </c>
      <c r="AX158" s="29">
        <v>26605</v>
      </c>
      <c r="AY158" s="29">
        <v>27195</v>
      </c>
      <c r="AZ158" s="29">
        <v>27780</v>
      </c>
      <c r="BA158" s="29">
        <v>28515</v>
      </c>
      <c r="BB158" s="29">
        <v>27120</v>
      </c>
      <c r="BC158" s="29">
        <v>27020</v>
      </c>
      <c r="BD158" s="29">
        <v>26145</v>
      </c>
      <c r="BE158" s="29">
        <v>26420</v>
      </c>
      <c r="BF158" s="29">
        <v>26580</v>
      </c>
      <c r="BG158" s="29">
        <v>29020</v>
      </c>
      <c r="BH158" s="29">
        <v>29940</v>
      </c>
      <c r="BI158" s="29">
        <v>28340</v>
      </c>
      <c r="BJ158" s="29">
        <v>29405</v>
      </c>
      <c r="BK158" s="29">
        <v>30580</v>
      </c>
      <c r="BL158" s="30">
        <v>30070</v>
      </c>
      <c r="BM158" s="1">
        <v>30260</v>
      </c>
      <c r="BN158" s="1">
        <v>29160</v>
      </c>
      <c r="BO158" s="1">
        <v>29700</v>
      </c>
      <c r="BP158" s="1">
        <v>30710</v>
      </c>
      <c r="BQ158" s="1">
        <v>32400</v>
      </c>
      <c r="BR158" s="1">
        <v>29460</v>
      </c>
      <c r="BS158" s="1">
        <v>29070</v>
      </c>
      <c r="BT158" s="1">
        <v>28360</v>
      </c>
      <c r="BU158" s="1">
        <v>27895</v>
      </c>
      <c r="BV158" s="1">
        <v>28055</v>
      </c>
      <c r="BW158" s="1">
        <v>29050</v>
      </c>
      <c r="BX158" s="1">
        <v>28800</v>
      </c>
      <c r="BY158" s="1">
        <v>28610</v>
      </c>
      <c r="BZ158" s="1">
        <v>27130</v>
      </c>
    </row>
    <row r="159" spans="1:254" ht="15.9" customHeight="1">
      <c r="A159" s="65" t="s">
        <v>312</v>
      </c>
      <c r="B159" s="25" t="s">
        <v>313</v>
      </c>
      <c r="C159" s="39">
        <f>_xll.RssMarket("3891","高値")</f>
        <v>7320</v>
      </c>
      <c r="D159" s="38">
        <f t="shared" si="5"/>
        <v>0</v>
      </c>
      <c r="E159" s="34">
        <v>7320</v>
      </c>
      <c r="F159" s="34">
        <v>7700</v>
      </c>
      <c r="G159" s="29">
        <v>7200</v>
      </c>
      <c r="H159" s="29">
        <v>7230</v>
      </c>
      <c r="I159" s="29">
        <v>6730</v>
      </c>
      <c r="J159" s="29">
        <v>5980</v>
      </c>
      <c r="K159" s="29">
        <v>6180</v>
      </c>
      <c r="L159" s="29">
        <v>6480</v>
      </c>
      <c r="M159" s="29">
        <v>7110</v>
      </c>
      <c r="N159" s="29">
        <v>7330</v>
      </c>
      <c r="O159" s="29">
        <v>7580</v>
      </c>
      <c r="P159" s="29">
        <v>7780</v>
      </c>
      <c r="Q159" s="29">
        <v>7220</v>
      </c>
      <c r="R159" s="29">
        <v>7160</v>
      </c>
      <c r="S159" s="29">
        <v>7950</v>
      </c>
      <c r="T159" s="29">
        <v>7540</v>
      </c>
      <c r="U159" s="29">
        <v>8180</v>
      </c>
      <c r="V159" s="29">
        <v>8330</v>
      </c>
      <c r="W159" s="29">
        <v>8380</v>
      </c>
      <c r="X159" s="29">
        <v>8230</v>
      </c>
      <c r="Y159" s="29">
        <v>8790</v>
      </c>
      <c r="Z159" s="29">
        <v>9460</v>
      </c>
      <c r="AA159" s="29">
        <v>9310</v>
      </c>
      <c r="AB159" s="29">
        <v>9780</v>
      </c>
      <c r="AC159" s="29">
        <v>10510</v>
      </c>
      <c r="AD159" s="29">
        <v>10300</v>
      </c>
      <c r="AE159" s="29">
        <v>10010</v>
      </c>
      <c r="AF159" s="29">
        <v>10410</v>
      </c>
      <c r="AG159" s="29">
        <v>10560</v>
      </c>
      <c r="AH159" s="29">
        <v>10250</v>
      </c>
      <c r="AI159" s="29">
        <v>10810</v>
      </c>
      <c r="AJ159" s="29">
        <v>10750</v>
      </c>
      <c r="AK159" s="29">
        <v>11100</v>
      </c>
      <c r="AL159" s="29">
        <v>11110</v>
      </c>
      <c r="AM159" s="29">
        <v>10110</v>
      </c>
      <c r="AN159" s="29">
        <v>9140</v>
      </c>
      <c r="AO159" s="29">
        <v>9040</v>
      </c>
      <c r="AP159" s="29">
        <v>9650</v>
      </c>
      <c r="AQ159" s="29">
        <v>9140</v>
      </c>
      <c r="AR159" s="29">
        <v>9750</v>
      </c>
      <c r="AS159" s="29">
        <v>9490</v>
      </c>
      <c r="AT159" s="29">
        <v>9180</v>
      </c>
      <c r="AU159" s="29">
        <v>8640</v>
      </c>
      <c r="AV159" s="29">
        <v>8620</v>
      </c>
      <c r="AW159" s="29">
        <v>8250</v>
      </c>
      <c r="AX159" s="29">
        <v>7650</v>
      </c>
      <c r="AY159" s="29">
        <v>7110</v>
      </c>
      <c r="AZ159" s="29">
        <v>7590</v>
      </c>
      <c r="BA159" s="29">
        <v>7810</v>
      </c>
      <c r="BB159" s="29">
        <v>7510</v>
      </c>
      <c r="BC159" s="29">
        <v>7140</v>
      </c>
      <c r="BD159" s="29">
        <v>6900</v>
      </c>
      <c r="BE159" s="29">
        <v>6680</v>
      </c>
      <c r="BF159" s="29">
        <v>6490</v>
      </c>
      <c r="BG159" s="29">
        <v>6540</v>
      </c>
      <c r="BH159" s="29">
        <v>6540</v>
      </c>
      <c r="BI159" s="29">
        <v>6590</v>
      </c>
      <c r="BJ159" s="29">
        <v>6550</v>
      </c>
      <c r="BK159" s="29">
        <v>6740</v>
      </c>
      <c r="BL159" s="30">
        <v>6660</v>
      </c>
      <c r="BM159" s="1">
        <v>6660</v>
      </c>
      <c r="BN159" s="1">
        <v>6460</v>
      </c>
      <c r="BO159" s="1">
        <v>6600</v>
      </c>
      <c r="BP159" s="1">
        <v>6570</v>
      </c>
      <c r="BQ159" s="1">
        <v>6150</v>
      </c>
      <c r="BR159" s="1">
        <v>5150</v>
      </c>
      <c r="BS159" s="1">
        <v>4555</v>
      </c>
      <c r="BT159" s="1">
        <v>4645</v>
      </c>
      <c r="BU159" s="1">
        <v>4670</v>
      </c>
      <c r="BV159" s="1">
        <v>4465</v>
      </c>
      <c r="BW159" s="1">
        <v>4490</v>
      </c>
      <c r="BX159" s="1">
        <v>4645</v>
      </c>
      <c r="BY159" s="1">
        <v>4560</v>
      </c>
      <c r="BZ159" s="1">
        <v>4340</v>
      </c>
    </row>
    <row r="160" spans="1:254" ht="15.9" customHeight="1">
      <c r="A160" s="65" t="s">
        <v>314</v>
      </c>
      <c r="B160" s="25" t="s">
        <v>315</v>
      </c>
      <c r="C160" s="39">
        <f>_xll.RssMarket("4373","高値")</f>
        <v>1097</v>
      </c>
      <c r="D160" s="38">
        <f t="shared" si="5"/>
        <v>0</v>
      </c>
      <c r="E160" s="34">
        <v>1097</v>
      </c>
      <c r="F160" s="34">
        <v>1105</v>
      </c>
      <c r="G160" s="29">
        <v>1117</v>
      </c>
      <c r="H160" s="29">
        <v>1137</v>
      </c>
      <c r="I160" s="29">
        <v>1166</v>
      </c>
      <c r="J160" s="29">
        <v>1212</v>
      </c>
      <c r="K160" s="29">
        <v>1195</v>
      </c>
      <c r="L160" s="29">
        <v>1173</v>
      </c>
      <c r="M160" s="29">
        <v>1146</v>
      </c>
      <c r="N160" s="29">
        <v>1067</v>
      </c>
      <c r="O160" s="29">
        <v>1043</v>
      </c>
      <c r="P160" s="29">
        <v>1057</v>
      </c>
      <c r="Q160" s="29">
        <v>1102</v>
      </c>
      <c r="R160" s="29">
        <v>1096</v>
      </c>
      <c r="S160" s="29">
        <v>1038</v>
      </c>
      <c r="T160" s="29">
        <v>1068</v>
      </c>
      <c r="U160" s="29">
        <v>1058</v>
      </c>
      <c r="V160" s="29">
        <v>1066</v>
      </c>
      <c r="W160" s="29">
        <v>1062</v>
      </c>
      <c r="X160" s="29">
        <v>1084</v>
      </c>
      <c r="Y160" s="29">
        <v>1080</v>
      </c>
      <c r="Z160" s="29">
        <v>1032</v>
      </c>
      <c r="AA160" s="29">
        <v>1023</v>
      </c>
      <c r="AB160" s="29">
        <v>995</v>
      </c>
      <c r="AC160" s="29">
        <v>958</v>
      </c>
      <c r="AD160" s="29">
        <v>955</v>
      </c>
      <c r="AE160" s="29">
        <v>964</v>
      </c>
      <c r="AF160" s="29">
        <v>915</v>
      </c>
      <c r="AG160" s="29">
        <v>932</v>
      </c>
      <c r="AH160" s="29">
        <v>931</v>
      </c>
      <c r="AI160" s="29">
        <v>933</v>
      </c>
      <c r="AJ160" s="29">
        <v>952</v>
      </c>
      <c r="AK160" s="29">
        <v>942</v>
      </c>
      <c r="AL160" s="29">
        <v>966</v>
      </c>
      <c r="AM160" s="29">
        <v>974</v>
      </c>
      <c r="AN160" s="29">
        <v>962</v>
      </c>
      <c r="AO160" s="29">
        <v>996</v>
      </c>
      <c r="AP160" s="29">
        <v>1004</v>
      </c>
      <c r="AQ160" s="29">
        <v>1039</v>
      </c>
      <c r="AR160" s="29">
        <v>1066</v>
      </c>
      <c r="AS160" s="29">
        <v>1090</v>
      </c>
      <c r="AT160" s="29">
        <v>1113</v>
      </c>
      <c r="AU160" s="29">
        <v>1118</v>
      </c>
      <c r="AV160" s="29">
        <v>1128</v>
      </c>
      <c r="AW160" s="29">
        <v>1158</v>
      </c>
      <c r="AX160" s="29">
        <v>1104</v>
      </c>
      <c r="AY160" s="29">
        <v>1056</v>
      </c>
      <c r="AZ160" s="29">
        <v>1042</v>
      </c>
      <c r="BA160" s="29">
        <v>1044</v>
      </c>
      <c r="BB160" s="29">
        <v>1046</v>
      </c>
      <c r="BC160" s="29">
        <v>1030</v>
      </c>
      <c r="BD160" s="29">
        <v>1027</v>
      </c>
      <c r="BE160" s="29">
        <v>1070</v>
      </c>
      <c r="BF160" s="29">
        <v>965</v>
      </c>
      <c r="BG160" s="29">
        <v>954</v>
      </c>
      <c r="BH160" s="29">
        <v>962</v>
      </c>
      <c r="BI160" s="29">
        <v>979</v>
      </c>
      <c r="BJ160" s="29">
        <v>965</v>
      </c>
      <c r="BK160" s="29">
        <v>952</v>
      </c>
      <c r="BL160" s="30">
        <v>939</v>
      </c>
      <c r="BM160" s="1">
        <v>924</v>
      </c>
      <c r="BN160" s="1">
        <v>938</v>
      </c>
      <c r="BO160" s="1">
        <v>892</v>
      </c>
      <c r="BP160" s="1">
        <v>888</v>
      </c>
      <c r="BQ160" s="1">
        <v>921</v>
      </c>
      <c r="BR160" s="1">
        <v>926</v>
      </c>
      <c r="BS160" s="1">
        <v>953</v>
      </c>
      <c r="BT160" s="1">
        <v>967</v>
      </c>
      <c r="BU160" s="1">
        <v>959</v>
      </c>
      <c r="BV160" s="1">
        <v>952</v>
      </c>
      <c r="BW160" s="1">
        <v>949</v>
      </c>
      <c r="BX160" s="1">
        <v>936</v>
      </c>
      <c r="BY160" s="1">
        <v>922</v>
      </c>
      <c r="BZ160" s="1">
        <v>852</v>
      </c>
    </row>
    <row r="161" spans="1:254" ht="15.9" customHeight="1">
      <c r="A161" s="65" t="s">
        <v>316</v>
      </c>
      <c r="B161" s="25" t="s">
        <v>317</v>
      </c>
      <c r="C161" s="39">
        <f>_xll.RssMarket("8892","高値")</f>
        <v>1084</v>
      </c>
      <c r="D161" s="38">
        <f t="shared" si="5"/>
        <v>0</v>
      </c>
      <c r="E161" s="34">
        <v>1084</v>
      </c>
      <c r="F161" s="34">
        <v>1084</v>
      </c>
      <c r="G161" s="29">
        <v>1079</v>
      </c>
      <c r="H161" s="29">
        <v>1072</v>
      </c>
      <c r="I161" s="29">
        <v>1095</v>
      </c>
      <c r="J161" s="29">
        <v>1115</v>
      </c>
      <c r="K161" s="29">
        <v>1116</v>
      </c>
      <c r="L161" s="29">
        <v>1129</v>
      </c>
      <c r="M161" s="29">
        <v>1117</v>
      </c>
      <c r="N161" s="29"/>
      <c r="O161" s="29">
        <v>1120</v>
      </c>
      <c r="P161" s="29">
        <v>1120</v>
      </c>
      <c r="Q161" s="29">
        <v>1120</v>
      </c>
      <c r="R161" s="29">
        <v>1118</v>
      </c>
      <c r="S161" s="29">
        <v>1130</v>
      </c>
      <c r="T161" s="29">
        <v>1128</v>
      </c>
      <c r="U161" s="29">
        <v>1139</v>
      </c>
      <c r="V161" s="29">
        <v>1129</v>
      </c>
      <c r="W161" s="29">
        <v>1118</v>
      </c>
      <c r="X161" s="29">
        <v>1113</v>
      </c>
      <c r="Y161" s="29">
        <v>1113</v>
      </c>
      <c r="Z161" s="29">
        <v>1106</v>
      </c>
      <c r="AA161" s="29">
        <v>1103</v>
      </c>
      <c r="AB161" s="29">
        <v>1093</v>
      </c>
      <c r="AC161" s="29">
        <v>1082</v>
      </c>
      <c r="AD161" s="29">
        <v>1091</v>
      </c>
      <c r="AE161" s="29">
        <v>1082</v>
      </c>
      <c r="AF161" s="29">
        <v>1070</v>
      </c>
      <c r="AG161" s="29">
        <v>1070</v>
      </c>
      <c r="AH161" s="29">
        <v>1065</v>
      </c>
      <c r="AI161" s="29">
        <v>1067</v>
      </c>
      <c r="AJ161" s="29">
        <v>1069</v>
      </c>
      <c r="AK161" s="29">
        <v>1077</v>
      </c>
      <c r="AL161" s="29">
        <v>1086</v>
      </c>
      <c r="AM161" s="29">
        <v>1105</v>
      </c>
      <c r="AN161" s="29">
        <v>1105</v>
      </c>
      <c r="AO161" s="29">
        <v>1123</v>
      </c>
      <c r="AP161" s="29">
        <v>1110</v>
      </c>
      <c r="AQ161" s="29">
        <v>1109</v>
      </c>
      <c r="AR161" s="29">
        <v>1106</v>
      </c>
      <c r="AS161" s="29">
        <v>1097</v>
      </c>
      <c r="AT161" s="29">
        <v>1096</v>
      </c>
      <c r="AU161" s="29">
        <v>1075</v>
      </c>
      <c r="AV161" s="29">
        <v>1084</v>
      </c>
      <c r="AW161" s="29">
        <v>1083</v>
      </c>
      <c r="AX161" s="29">
        <v>1109</v>
      </c>
      <c r="AY161" s="29">
        <v>1107</v>
      </c>
      <c r="AZ161" s="29">
        <v>1109</v>
      </c>
      <c r="BA161" s="29">
        <v>1122</v>
      </c>
      <c r="BB161" s="29">
        <v>1138</v>
      </c>
      <c r="BC161" s="29">
        <v>1142</v>
      </c>
      <c r="BD161" s="29">
        <v>1145</v>
      </c>
      <c r="BE161" s="29">
        <v>1159</v>
      </c>
      <c r="BF161" s="29">
        <v>1125</v>
      </c>
      <c r="BG161" s="29">
        <v>1154</v>
      </c>
      <c r="BH161" s="29">
        <v>1160</v>
      </c>
      <c r="BI161" s="29">
        <v>1176</v>
      </c>
      <c r="BJ161" s="29">
        <v>1185</v>
      </c>
      <c r="BK161" s="29">
        <v>1168</v>
      </c>
      <c r="BL161" s="30">
        <v>1171</v>
      </c>
      <c r="BM161" s="1">
        <v>1178</v>
      </c>
      <c r="BN161" s="1">
        <v>1176</v>
      </c>
      <c r="BO161" s="1">
        <v>1183</v>
      </c>
      <c r="BP161" s="1">
        <v>1206</v>
      </c>
      <c r="BQ161" s="1">
        <v>1223</v>
      </c>
      <c r="BR161" s="1">
        <v>1142</v>
      </c>
      <c r="BS161" s="1">
        <v>1131</v>
      </c>
      <c r="BT161" s="1">
        <v>1141</v>
      </c>
      <c r="BU161" s="1">
        <v>1163</v>
      </c>
      <c r="BV161" s="1">
        <v>1148</v>
      </c>
      <c r="BW161" s="1">
        <v>1139</v>
      </c>
      <c r="BX161" s="1">
        <v>1152</v>
      </c>
      <c r="BY161" s="1">
        <v>1149</v>
      </c>
      <c r="BZ161" s="1">
        <v>1143</v>
      </c>
    </row>
    <row r="162" spans="1:254" ht="15.9" customHeight="1">
      <c r="A162" s="65" t="s">
        <v>318</v>
      </c>
      <c r="B162" s="25" t="s">
        <v>319</v>
      </c>
      <c r="C162" s="39">
        <f>_xll.RssMarket("9687","高値")</f>
        <v>4445</v>
      </c>
      <c r="D162" s="38">
        <f t="shared" si="5"/>
        <v>0</v>
      </c>
      <c r="E162" s="34">
        <v>4445</v>
      </c>
      <c r="F162" s="34">
        <v>4445</v>
      </c>
      <c r="G162" s="29">
        <v>4420</v>
      </c>
      <c r="H162" s="29">
        <v>4460</v>
      </c>
      <c r="I162" s="29">
        <v>4480</v>
      </c>
      <c r="J162" s="29">
        <v>4490</v>
      </c>
      <c r="K162" s="29">
        <v>4620</v>
      </c>
      <c r="L162" s="29">
        <v>4625</v>
      </c>
      <c r="M162" s="29">
        <v>4680</v>
      </c>
      <c r="N162" s="29"/>
      <c r="O162" s="29">
        <v>4480</v>
      </c>
      <c r="P162" s="29">
        <v>4435</v>
      </c>
      <c r="Q162" s="29">
        <v>4420</v>
      </c>
      <c r="R162" s="29">
        <v>4400</v>
      </c>
      <c r="S162" s="29">
        <v>4410</v>
      </c>
      <c r="T162" s="29">
        <v>4415</v>
      </c>
      <c r="U162" s="29">
        <v>4395</v>
      </c>
      <c r="V162" s="29">
        <v>4375</v>
      </c>
      <c r="W162" s="29">
        <v>4380</v>
      </c>
      <c r="X162" s="29">
        <v>4375</v>
      </c>
      <c r="Y162" s="29">
        <v>4350</v>
      </c>
      <c r="Z162" s="29">
        <v>4360</v>
      </c>
      <c r="AA162" s="29">
        <v>4370</v>
      </c>
      <c r="AB162" s="29">
        <v>4370</v>
      </c>
      <c r="AC162" s="29">
        <v>4370</v>
      </c>
      <c r="AD162" s="29">
        <v>4300</v>
      </c>
      <c r="AE162" s="29">
        <v>4380</v>
      </c>
      <c r="AF162" s="29">
        <v>4350</v>
      </c>
      <c r="AG162" s="29">
        <v>4425</v>
      </c>
      <c r="AH162" s="29">
        <v>4360</v>
      </c>
      <c r="AI162" s="29">
        <v>4355</v>
      </c>
      <c r="AJ162" s="29">
        <v>4350</v>
      </c>
      <c r="AK162" s="29">
        <v>4350</v>
      </c>
      <c r="AL162" s="29">
        <v>4355</v>
      </c>
      <c r="AM162" s="29">
        <v>4350</v>
      </c>
      <c r="AN162" s="29">
        <v>4335</v>
      </c>
      <c r="AO162" s="29">
        <v>4350</v>
      </c>
      <c r="AP162" s="29">
        <v>4345</v>
      </c>
      <c r="AQ162" s="29">
        <v>4340</v>
      </c>
      <c r="AR162" s="29">
        <v>4330</v>
      </c>
      <c r="AS162" s="29">
        <v>4345</v>
      </c>
      <c r="AT162" s="29">
        <v>4335</v>
      </c>
      <c r="AU162" s="29">
        <v>4350</v>
      </c>
      <c r="AV162" s="29">
        <v>4335</v>
      </c>
      <c r="AW162" s="29">
        <v>4350</v>
      </c>
      <c r="AX162" s="29">
        <v>4370</v>
      </c>
      <c r="AY162" s="29">
        <v>4380</v>
      </c>
      <c r="AZ162" s="29">
        <v>4370</v>
      </c>
      <c r="BA162" s="29">
        <v>4380</v>
      </c>
      <c r="BB162" s="29">
        <v>4385</v>
      </c>
      <c r="BC162" s="29">
        <v>4390</v>
      </c>
      <c r="BD162" s="29">
        <v>4390</v>
      </c>
      <c r="BE162" s="29">
        <v>4365</v>
      </c>
      <c r="BF162" s="29">
        <v>4350</v>
      </c>
      <c r="BG162" s="29">
        <v>4350</v>
      </c>
      <c r="BH162" s="29">
        <v>4350</v>
      </c>
      <c r="BI162" s="29">
        <v>4395</v>
      </c>
      <c r="BJ162" s="29">
        <v>4380</v>
      </c>
      <c r="BK162" s="29">
        <v>4400</v>
      </c>
      <c r="BL162" s="30">
        <v>4420</v>
      </c>
      <c r="BM162" s="1">
        <v>4400</v>
      </c>
      <c r="BN162" s="1">
        <v>4440</v>
      </c>
      <c r="BO162" s="1">
        <v>4610</v>
      </c>
      <c r="BP162" s="1">
        <v>4415</v>
      </c>
      <c r="BQ162" s="1">
        <v>4385</v>
      </c>
      <c r="BR162" s="1">
        <v>4350</v>
      </c>
      <c r="BS162" s="1">
        <v>4375</v>
      </c>
      <c r="BT162" s="1">
        <v>4375</v>
      </c>
      <c r="BU162" s="1">
        <v>4385</v>
      </c>
      <c r="BV162" s="1">
        <v>4385</v>
      </c>
      <c r="BW162" s="1">
        <v>4445</v>
      </c>
      <c r="BX162" s="1">
        <v>4385</v>
      </c>
      <c r="BY162" s="1">
        <v>4375</v>
      </c>
      <c r="BZ162" s="1">
        <v>4355</v>
      </c>
    </row>
    <row r="163" spans="1:254" ht="15.9" customHeight="1">
      <c r="A163" s="65" t="s">
        <v>320</v>
      </c>
      <c r="B163" s="25" t="s">
        <v>321</v>
      </c>
      <c r="C163" s="39">
        <f>_xll.RssMarket("1930","高値")</f>
        <v>1550</v>
      </c>
      <c r="D163" s="38">
        <f t="shared" si="5"/>
        <v>0</v>
      </c>
      <c r="E163" s="34">
        <v>1550</v>
      </c>
      <c r="F163" s="34">
        <v>1530</v>
      </c>
      <c r="G163" s="29">
        <v>1487</v>
      </c>
      <c r="H163" s="29">
        <v>1478</v>
      </c>
      <c r="I163" s="29">
        <v>1504</v>
      </c>
      <c r="J163" s="29">
        <v>1488</v>
      </c>
      <c r="K163" s="29">
        <v>1512</v>
      </c>
      <c r="L163" s="29">
        <v>1733</v>
      </c>
      <c r="M163" s="29">
        <v>1644</v>
      </c>
      <c r="N163" s="29">
        <v>1635</v>
      </c>
      <c r="O163" s="29">
        <v>1617</v>
      </c>
      <c r="P163" s="29">
        <v>1604</v>
      </c>
      <c r="Q163" s="29">
        <v>1585</v>
      </c>
      <c r="R163" s="29">
        <v>1608</v>
      </c>
      <c r="S163" s="29">
        <v>1617</v>
      </c>
      <c r="T163" s="29">
        <v>1601</v>
      </c>
      <c r="U163" s="29">
        <v>1639</v>
      </c>
      <c r="V163" s="29">
        <v>1670</v>
      </c>
      <c r="W163" s="29">
        <v>1633</v>
      </c>
      <c r="X163" s="29">
        <v>1633</v>
      </c>
      <c r="Y163" s="29">
        <v>1703</v>
      </c>
      <c r="Z163" s="29">
        <v>1692</v>
      </c>
      <c r="AA163" s="29">
        <v>1677</v>
      </c>
      <c r="AB163" s="29">
        <v>1692</v>
      </c>
      <c r="AC163" s="29">
        <v>1701</v>
      </c>
      <c r="AD163" s="29">
        <v>1700</v>
      </c>
      <c r="AE163" s="29">
        <v>1735</v>
      </c>
      <c r="AF163" s="29">
        <v>1734</v>
      </c>
      <c r="AG163" s="29">
        <v>1724</v>
      </c>
      <c r="AH163" s="29">
        <v>1709</v>
      </c>
      <c r="AI163" s="29">
        <v>1749</v>
      </c>
      <c r="AJ163" s="29">
        <v>1725</v>
      </c>
      <c r="AK163" s="29">
        <v>1769</v>
      </c>
      <c r="AL163" s="29">
        <v>1749</v>
      </c>
      <c r="AM163" s="29">
        <v>1701</v>
      </c>
      <c r="AN163" s="29">
        <v>1715</v>
      </c>
      <c r="AO163" s="29">
        <v>1712</v>
      </c>
      <c r="AP163" s="29">
        <v>1621</v>
      </c>
      <c r="AQ163" s="29">
        <v>1586</v>
      </c>
      <c r="AR163" s="29">
        <v>1610</v>
      </c>
      <c r="AS163" s="29">
        <v>1615</v>
      </c>
      <c r="AT163" s="29">
        <v>1624</v>
      </c>
      <c r="AU163" s="29">
        <v>1578</v>
      </c>
      <c r="AV163" s="29">
        <v>1594</v>
      </c>
      <c r="AW163" s="29">
        <v>1619</v>
      </c>
      <c r="AX163" s="29">
        <v>1721</v>
      </c>
      <c r="AY163" s="29">
        <v>1709</v>
      </c>
      <c r="AZ163" s="29">
        <v>1740</v>
      </c>
      <c r="BA163" s="29">
        <v>1683</v>
      </c>
      <c r="BB163" s="29">
        <v>1608</v>
      </c>
      <c r="BC163" s="29">
        <v>1630</v>
      </c>
      <c r="BD163" s="29">
        <v>1645</v>
      </c>
      <c r="BE163" s="29">
        <v>1658</v>
      </c>
      <c r="BF163" s="29">
        <v>1651</v>
      </c>
      <c r="BG163" s="29">
        <v>1720</v>
      </c>
      <c r="BH163" s="29">
        <v>1750</v>
      </c>
      <c r="BI163" s="29">
        <v>1782</v>
      </c>
      <c r="BJ163" s="29">
        <v>1777</v>
      </c>
      <c r="BK163" s="29">
        <v>1743</v>
      </c>
      <c r="BL163" s="30">
        <v>1684</v>
      </c>
      <c r="BM163" s="1">
        <v>1740</v>
      </c>
      <c r="BN163" s="1">
        <v>1744</v>
      </c>
      <c r="BO163" s="1">
        <v>1717</v>
      </c>
      <c r="BP163" s="1">
        <v>1510</v>
      </c>
      <c r="BQ163" s="1">
        <v>1463</v>
      </c>
      <c r="BR163" s="1">
        <v>1464</v>
      </c>
      <c r="BS163" s="1">
        <v>1447</v>
      </c>
      <c r="BT163" s="1">
        <v>1472</v>
      </c>
      <c r="BU163" s="1">
        <v>1486</v>
      </c>
      <c r="BV163" s="1">
        <v>1477</v>
      </c>
      <c r="BW163" s="1">
        <v>1479</v>
      </c>
      <c r="BX163" s="1">
        <v>1473</v>
      </c>
      <c r="BY163" s="1">
        <v>1478</v>
      </c>
      <c r="BZ163" s="1">
        <v>1456</v>
      </c>
    </row>
    <row r="164" spans="1:254" ht="15.9" customHeight="1">
      <c r="A164" s="65" t="s">
        <v>322</v>
      </c>
      <c r="B164" s="25" t="s">
        <v>323</v>
      </c>
      <c r="C164" s="39">
        <f>_xll.RssMarket("8704","高値")</f>
        <v>1348</v>
      </c>
      <c r="D164" s="38">
        <f t="shared" si="5"/>
        <v>0</v>
      </c>
      <c r="E164" s="34">
        <v>1348</v>
      </c>
      <c r="F164" s="34">
        <v>1340</v>
      </c>
      <c r="G164" s="29">
        <v>1318</v>
      </c>
      <c r="H164" s="29">
        <v>1332</v>
      </c>
      <c r="I164" s="29">
        <v>1260</v>
      </c>
      <c r="J164" s="29">
        <v>1226</v>
      </c>
      <c r="K164" s="29">
        <v>1250</v>
      </c>
      <c r="L164" s="29">
        <v>1280</v>
      </c>
      <c r="M164" s="29">
        <v>1292</v>
      </c>
      <c r="N164" s="29">
        <v>1288</v>
      </c>
      <c r="O164" s="29">
        <v>1302</v>
      </c>
      <c r="P164" s="29">
        <v>1277</v>
      </c>
      <c r="Q164" s="29">
        <v>1270</v>
      </c>
      <c r="R164" s="29">
        <v>1294</v>
      </c>
      <c r="S164" s="29">
        <v>1314</v>
      </c>
      <c r="T164" s="29">
        <v>1281</v>
      </c>
      <c r="U164" s="29">
        <v>1272</v>
      </c>
      <c r="V164" s="29">
        <v>1258</v>
      </c>
      <c r="W164" s="29">
        <v>1228</v>
      </c>
      <c r="X164" s="29">
        <v>1250</v>
      </c>
      <c r="Y164" s="29">
        <v>1298</v>
      </c>
      <c r="Z164" s="29">
        <v>1286</v>
      </c>
      <c r="AA164" s="29">
        <v>1269</v>
      </c>
      <c r="AB164" s="29">
        <v>1249</v>
      </c>
      <c r="AC164" s="29">
        <v>1228</v>
      </c>
      <c r="AD164" s="29">
        <v>1191</v>
      </c>
      <c r="AE164" s="29">
        <v>1172</v>
      </c>
      <c r="AF164" s="29">
        <v>1178</v>
      </c>
      <c r="AG164" s="29">
        <v>1193</v>
      </c>
      <c r="AH164" s="29">
        <v>1208</v>
      </c>
      <c r="AI164" s="29">
        <v>1239</v>
      </c>
      <c r="AJ164" s="29">
        <v>1221</v>
      </c>
      <c r="AK164" s="29">
        <v>1172</v>
      </c>
      <c r="AL164" s="29">
        <v>1198</v>
      </c>
      <c r="AM164" s="29">
        <v>1175</v>
      </c>
      <c r="AN164" s="29">
        <v>1166</v>
      </c>
      <c r="AO164" s="29">
        <v>1191</v>
      </c>
      <c r="AP164" s="29">
        <v>1158</v>
      </c>
      <c r="AQ164" s="29">
        <v>1111</v>
      </c>
      <c r="AR164" s="29">
        <v>1140</v>
      </c>
      <c r="AS164" s="29">
        <v>1137</v>
      </c>
      <c r="AT164" s="29">
        <v>1147</v>
      </c>
      <c r="AU164" s="29">
        <v>1162</v>
      </c>
      <c r="AV164" s="29">
        <v>1210</v>
      </c>
      <c r="AW164" s="29">
        <v>1200</v>
      </c>
      <c r="AX164" s="29">
        <v>1206</v>
      </c>
      <c r="AY164" s="29">
        <v>1151</v>
      </c>
      <c r="AZ164" s="29">
        <v>1166</v>
      </c>
      <c r="BA164" s="29">
        <v>1152</v>
      </c>
      <c r="BB164" s="29">
        <v>1141</v>
      </c>
      <c r="BC164" s="29">
        <v>1147</v>
      </c>
      <c r="BD164" s="29">
        <v>1126</v>
      </c>
      <c r="BE164" s="29">
        <v>1180</v>
      </c>
      <c r="BF164" s="29">
        <v>1174</v>
      </c>
      <c r="BG164" s="29">
        <v>1205</v>
      </c>
      <c r="BH164" s="29">
        <v>1210</v>
      </c>
      <c r="BI164" s="29">
        <v>1222</v>
      </c>
      <c r="BJ164" s="29">
        <v>1236</v>
      </c>
      <c r="BK164" s="29">
        <v>1243</v>
      </c>
      <c r="BL164" s="30">
        <v>1241</v>
      </c>
      <c r="BM164" s="1">
        <v>1200</v>
      </c>
      <c r="BN164" s="1">
        <v>1165</v>
      </c>
      <c r="BO164" s="1">
        <v>1078</v>
      </c>
      <c r="BP164" s="1">
        <v>1081</v>
      </c>
      <c r="BQ164" s="1">
        <v>1035</v>
      </c>
      <c r="BR164" s="1">
        <v>1042</v>
      </c>
      <c r="BS164" s="1">
        <v>1042</v>
      </c>
      <c r="BT164" s="1">
        <v>1063</v>
      </c>
      <c r="BU164" s="1">
        <v>1071</v>
      </c>
      <c r="BV164" s="1">
        <v>1059</v>
      </c>
      <c r="BW164" s="1">
        <v>1062</v>
      </c>
      <c r="BX164" s="1">
        <v>1065</v>
      </c>
      <c r="BY164" s="1">
        <v>1057</v>
      </c>
      <c r="BZ164" s="1">
        <v>1059</v>
      </c>
    </row>
    <row r="165" spans="1:254" ht="15.9" customHeight="1">
      <c r="A165" s="65" t="s">
        <v>324</v>
      </c>
      <c r="B165" s="25" t="s">
        <v>325</v>
      </c>
      <c r="C165" s="39">
        <f>_xll.RssMarket("4733","高値")</f>
        <v>7899</v>
      </c>
      <c r="D165" s="38">
        <f t="shared" si="5"/>
        <v>0</v>
      </c>
      <c r="E165" s="34">
        <v>7899</v>
      </c>
      <c r="F165" s="34">
        <v>7935</v>
      </c>
      <c r="G165" s="29">
        <v>7934</v>
      </c>
      <c r="H165" s="29">
        <v>8061</v>
      </c>
      <c r="I165" s="29">
        <v>8203</v>
      </c>
      <c r="J165" s="29">
        <v>8611</v>
      </c>
      <c r="K165" s="29">
        <v>8586</v>
      </c>
      <c r="L165" s="29">
        <v>8099</v>
      </c>
      <c r="M165" s="29">
        <v>8105</v>
      </c>
      <c r="N165" s="29">
        <v>7732</v>
      </c>
      <c r="O165" s="29">
        <v>7063</v>
      </c>
      <c r="P165" s="29">
        <v>7183</v>
      </c>
      <c r="Q165" s="29">
        <v>6746</v>
      </c>
      <c r="R165" s="29">
        <v>6704</v>
      </c>
      <c r="S165" s="29">
        <v>6554</v>
      </c>
      <c r="T165" s="29">
        <v>6756</v>
      </c>
      <c r="U165" s="29">
        <v>6616</v>
      </c>
      <c r="V165" s="29">
        <v>6593</v>
      </c>
      <c r="W165" s="29">
        <v>6556</v>
      </c>
      <c r="X165" s="29">
        <v>6614</v>
      </c>
      <c r="Y165" s="29">
        <v>6669</v>
      </c>
      <c r="Z165" s="29">
        <v>6542</v>
      </c>
      <c r="AA165" s="29">
        <v>6579</v>
      </c>
      <c r="AB165" s="29">
        <v>6430</v>
      </c>
      <c r="AC165" s="29">
        <v>6089</v>
      </c>
      <c r="AD165" s="29">
        <v>6177</v>
      </c>
      <c r="AE165" s="29">
        <v>6145</v>
      </c>
      <c r="AF165" s="29">
        <v>5836</v>
      </c>
      <c r="AG165" s="29">
        <v>5780</v>
      </c>
      <c r="AH165" s="29">
        <v>5843</v>
      </c>
      <c r="AI165" s="29">
        <v>5698</v>
      </c>
      <c r="AJ165" s="29">
        <v>5760</v>
      </c>
      <c r="AK165" s="29">
        <v>5914</v>
      </c>
      <c r="AL165" s="29">
        <v>5947</v>
      </c>
      <c r="AM165" s="29">
        <v>5939</v>
      </c>
      <c r="AN165" s="29">
        <v>5871</v>
      </c>
      <c r="AO165" s="29">
        <v>5973</v>
      </c>
      <c r="AP165" s="29">
        <v>5949</v>
      </c>
      <c r="AQ165" s="29">
        <v>5976</v>
      </c>
      <c r="AR165" s="29">
        <v>5980</v>
      </c>
      <c r="AS165" s="29">
        <v>6113</v>
      </c>
      <c r="AT165" s="29">
        <v>6086</v>
      </c>
      <c r="AU165" s="29">
        <v>6115</v>
      </c>
      <c r="AV165" s="29">
        <v>6312</v>
      </c>
      <c r="AW165" s="29">
        <v>6509</v>
      </c>
      <c r="AX165" s="29">
        <v>6277</v>
      </c>
      <c r="AY165" s="29">
        <v>6180</v>
      </c>
      <c r="AZ165" s="29">
        <v>6173</v>
      </c>
      <c r="BA165" s="29">
        <v>6091</v>
      </c>
      <c r="BB165" s="29">
        <v>6147</v>
      </c>
      <c r="BC165" s="29">
        <v>6163</v>
      </c>
      <c r="BD165" s="29">
        <v>6241</v>
      </c>
      <c r="BE165" s="29">
        <v>6249</v>
      </c>
      <c r="BF165" s="29">
        <v>6183</v>
      </c>
      <c r="BG165" s="29">
        <v>6057</v>
      </c>
      <c r="BH165" s="29">
        <v>6142</v>
      </c>
      <c r="BI165" s="29">
        <v>6153</v>
      </c>
      <c r="BJ165" s="29">
        <v>6123</v>
      </c>
      <c r="BK165" s="29">
        <v>6332</v>
      </c>
      <c r="BL165" s="30">
        <v>6344</v>
      </c>
      <c r="BM165" s="1">
        <v>6159</v>
      </c>
      <c r="BN165" s="1">
        <v>6191</v>
      </c>
      <c r="BO165" s="1">
        <v>6263</v>
      </c>
      <c r="BP165" s="1">
        <v>6353</v>
      </c>
      <c r="BQ165" s="1">
        <v>6337</v>
      </c>
      <c r="BR165" s="1">
        <v>6395</v>
      </c>
      <c r="BS165" s="1">
        <v>6636</v>
      </c>
      <c r="BT165" s="1">
        <v>6906</v>
      </c>
      <c r="BU165" s="1">
        <v>6775</v>
      </c>
      <c r="BV165" s="1">
        <v>6780</v>
      </c>
      <c r="BW165" s="1">
        <v>6731</v>
      </c>
      <c r="BX165" s="1">
        <v>6913</v>
      </c>
      <c r="BY165" s="1">
        <v>6750</v>
      </c>
      <c r="BZ165" s="1">
        <v>6664</v>
      </c>
    </row>
    <row r="166" spans="1:254" ht="15.9" customHeight="1">
      <c r="A166" s="65" t="s">
        <v>326</v>
      </c>
      <c r="B166" s="25" t="s">
        <v>327</v>
      </c>
      <c r="C166" s="39">
        <f>_xll.RssMarket("9733","高値")</f>
        <v>2300</v>
      </c>
      <c r="D166" s="38">
        <f t="shared" si="5"/>
        <v>0</v>
      </c>
      <c r="E166" s="34">
        <v>2300</v>
      </c>
      <c r="F166" s="34">
        <v>2312</v>
      </c>
      <c r="G166" s="29">
        <v>2321</v>
      </c>
      <c r="H166" s="29">
        <v>2346</v>
      </c>
      <c r="I166" s="29">
        <v>2372</v>
      </c>
      <c r="J166" s="29">
        <v>2348</v>
      </c>
      <c r="K166" s="29">
        <v>2353</v>
      </c>
      <c r="L166" s="29">
        <v>2327</v>
      </c>
      <c r="M166" s="29">
        <v>2304</v>
      </c>
      <c r="N166" s="29">
        <v>2286</v>
      </c>
      <c r="O166" s="29">
        <v>2363</v>
      </c>
      <c r="P166" s="29">
        <v>2400</v>
      </c>
      <c r="Q166" s="29">
        <v>2373</v>
      </c>
      <c r="R166" s="29">
        <v>2365</v>
      </c>
      <c r="S166" s="29">
        <v>2356</v>
      </c>
      <c r="T166" s="29">
        <v>2380</v>
      </c>
      <c r="U166" s="29">
        <v>2394</v>
      </c>
      <c r="V166" s="29">
        <v>2380</v>
      </c>
      <c r="W166" s="29">
        <v>2386</v>
      </c>
      <c r="X166" s="29">
        <v>2403</v>
      </c>
      <c r="Y166" s="29">
        <v>2406</v>
      </c>
      <c r="Z166" s="29">
        <v>2400</v>
      </c>
      <c r="AA166" s="29">
        <v>2364</v>
      </c>
      <c r="AB166" s="29">
        <v>2345</v>
      </c>
      <c r="AC166" s="29">
        <v>2310</v>
      </c>
      <c r="AD166" s="29">
        <v>2342</v>
      </c>
      <c r="AE166" s="29">
        <v>2334</v>
      </c>
      <c r="AF166" s="29">
        <v>2267</v>
      </c>
      <c r="AG166" s="29">
        <v>2244</v>
      </c>
      <c r="AH166" s="29">
        <v>2249</v>
      </c>
      <c r="AI166" s="29">
        <v>2231</v>
      </c>
      <c r="AJ166" s="29">
        <v>2221</v>
      </c>
      <c r="AK166" s="29">
        <v>2219</v>
      </c>
      <c r="AL166" s="29">
        <v>2214</v>
      </c>
      <c r="AM166" s="29">
        <v>2238</v>
      </c>
      <c r="AN166" s="29">
        <v>2235</v>
      </c>
      <c r="AO166" s="29">
        <v>2260</v>
      </c>
      <c r="AP166" s="29">
        <v>2238</v>
      </c>
      <c r="AQ166" s="29">
        <v>2246</v>
      </c>
      <c r="AR166" s="29">
        <v>2251</v>
      </c>
      <c r="AS166" s="29">
        <v>2217</v>
      </c>
      <c r="AT166" s="29">
        <v>2223</v>
      </c>
      <c r="AU166" s="29">
        <v>2211</v>
      </c>
      <c r="AV166" s="29">
        <v>2220</v>
      </c>
      <c r="AW166" s="29">
        <v>2240</v>
      </c>
      <c r="AX166" s="29">
        <v>2303</v>
      </c>
      <c r="AY166" s="29">
        <v>2270</v>
      </c>
      <c r="AZ166" s="29">
        <v>2266</v>
      </c>
      <c r="BA166" s="29">
        <v>2337</v>
      </c>
      <c r="BB166" s="29">
        <v>2313</v>
      </c>
      <c r="BC166" s="29">
        <v>2329</v>
      </c>
      <c r="BD166" s="29">
        <v>2320</v>
      </c>
      <c r="BE166" s="29">
        <v>2316</v>
      </c>
      <c r="BF166" s="29">
        <v>2295</v>
      </c>
      <c r="BG166" s="29">
        <v>2284</v>
      </c>
      <c r="BH166" s="29">
        <v>2295</v>
      </c>
      <c r="BI166" s="29">
        <v>2300</v>
      </c>
      <c r="BJ166" s="29">
        <v>2307</v>
      </c>
      <c r="BK166" s="29">
        <v>2302</v>
      </c>
      <c r="BL166" s="30">
        <v>2290</v>
      </c>
      <c r="BM166" s="1">
        <v>2348</v>
      </c>
      <c r="BN166" s="1">
        <v>2334</v>
      </c>
      <c r="BO166" s="1">
        <v>2340</v>
      </c>
      <c r="BP166" s="1">
        <v>2335</v>
      </c>
      <c r="BQ166" s="1">
        <v>2318</v>
      </c>
      <c r="BR166" s="1">
        <v>2354</v>
      </c>
      <c r="BS166" s="1">
        <v>2381</v>
      </c>
      <c r="BT166" s="1">
        <v>2381</v>
      </c>
      <c r="BU166" s="1">
        <v>2416</v>
      </c>
      <c r="BV166" s="1">
        <v>2469</v>
      </c>
      <c r="BW166" s="1">
        <v>2479</v>
      </c>
      <c r="BX166" s="1">
        <v>2465</v>
      </c>
      <c r="BY166" s="1">
        <v>2491</v>
      </c>
      <c r="BZ166" s="1">
        <v>2512</v>
      </c>
    </row>
    <row r="167" spans="1:254" ht="15.9" customHeight="1">
      <c r="A167" s="65" t="s">
        <v>328</v>
      </c>
      <c r="B167" s="25" t="s">
        <v>329</v>
      </c>
      <c r="C167" s="39">
        <f>_xll.RssMarket("9551","高値")</f>
        <v>3370</v>
      </c>
      <c r="D167" s="38">
        <f t="shared" si="5"/>
        <v>0</v>
      </c>
      <c r="E167" s="34">
        <v>3370</v>
      </c>
      <c r="F167" s="34">
        <v>3350</v>
      </c>
      <c r="G167" s="29">
        <v>3270</v>
      </c>
      <c r="H167" s="29">
        <v>3150</v>
      </c>
      <c r="I167" s="29">
        <v>3155</v>
      </c>
      <c r="J167" s="29">
        <v>3070</v>
      </c>
      <c r="K167" s="29">
        <v>3115</v>
      </c>
      <c r="L167" s="29">
        <v>3180</v>
      </c>
      <c r="M167" s="29">
        <v>3225</v>
      </c>
      <c r="N167" s="29"/>
      <c r="O167" s="29">
        <v>3245</v>
      </c>
      <c r="P167" s="29">
        <v>3250</v>
      </c>
      <c r="Q167" s="29">
        <v>3185</v>
      </c>
      <c r="R167" s="29">
        <v>3160</v>
      </c>
      <c r="S167" s="29">
        <v>3240</v>
      </c>
      <c r="T167" s="29">
        <v>3210</v>
      </c>
      <c r="U167" s="29">
        <v>3290</v>
      </c>
      <c r="V167" s="29">
        <v>3315</v>
      </c>
      <c r="W167" s="29">
        <v>3290</v>
      </c>
      <c r="X167" s="29">
        <v>3260</v>
      </c>
      <c r="Y167" s="29">
        <v>3370</v>
      </c>
      <c r="Z167" s="29">
        <v>3370</v>
      </c>
      <c r="AA167" s="29">
        <v>3340</v>
      </c>
      <c r="AB167" s="29">
        <v>3370</v>
      </c>
      <c r="AC167" s="29">
        <v>3385</v>
      </c>
      <c r="AD167" s="29">
        <v>3420</v>
      </c>
      <c r="AE167" s="29">
        <v>3600</v>
      </c>
      <c r="AF167" s="29">
        <v>3595</v>
      </c>
      <c r="AG167" s="29">
        <v>3615</v>
      </c>
      <c r="AH167" s="29">
        <v>3555</v>
      </c>
      <c r="AI167" s="29">
        <v>3585</v>
      </c>
      <c r="AJ167" s="29">
        <v>3535</v>
      </c>
      <c r="AK167" s="29">
        <v>3540</v>
      </c>
      <c r="AL167" s="29">
        <v>3485</v>
      </c>
      <c r="AM167" s="29">
        <v>3435</v>
      </c>
      <c r="AN167" s="29">
        <v>3380</v>
      </c>
      <c r="AO167" s="29">
        <v>3330</v>
      </c>
      <c r="AP167" s="29">
        <v>3185</v>
      </c>
      <c r="AQ167" s="29">
        <v>3125</v>
      </c>
      <c r="AR167" s="29">
        <v>3235</v>
      </c>
      <c r="AS167" s="29">
        <v>3255</v>
      </c>
      <c r="AT167" s="29">
        <v>3320</v>
      </c>
      <c r="AU167" s="29">
        <v>3300</v>
      </c>
      <c r="AV167" s="29">
        <v>3325</v>
      </c>
      <c r="AW167" s="29">
        <v>3320</v>
      </c>
      <c r="AX167" s="29">
        <v>3675</v>
      </c>
      <c r="AY167" s="29">
        <v>3275</v>
      </c>
      <c r="AZ167" s="29">
        <v>3345</v>
      </c>
      <c r="BA167" s="29">
        <v>3350</v>
      </c>
      <c r="BB167" s="29">
        <v>3310</v>
      </c>
      <c r="BC167" s="29">
        <v>3305</v>
      </c>
      <c r="BD167" s="29">
        <v>3270</v>
      </c>
      <c r="BE167" s="29">
        <v>3410</v>
      </c>
      <c r="BF167" s="29">
        <v>3490</v>
      </c>
      <c r="BG167" s="29">
        <v>3545</v>
      </c>
      <c r="BH167" s="29">
        <v>3455</v>
      </c>
      <c r="BI167" s="29">
        <v>3475</v>
      </c>
      <c r="BJ167" s="29">
        <v>3420</v>
      </c>
      <c r="BK167" s="29">
        <v>3465</v>
      </c>
      <c r="BL167" s="30">
        <v>3470</v>
      </c>
      <c r="BM167" s="1">
        <v>3480</v>
      </c>
      <c r="BN167" s="1">
        <v>3440</v>
      </c>
      <c r="BO167" s="1">
        <v>3435</v>
      </c>
      <c r="BP167" s="1">
        <v>3420</v>
      </c>
      <c r="BQ167" s="1">
        <v>3410</v>
      </c>
      <c r="BR167" s="1">
        <v>3695</v>
      </c>
      <c r="BS167" s="1">
        <v>3645</v>
      </c>
      <c r="BT167" s="1">
        <v>3690</v>
      </c>
      <c r="BU167" s="1">
        <v>3705</v>
      </c>
      <c r="BV167" s="1">
        <v>3735</v>
      </c>
      <c r="BW167" s="1">
        <v>3730</v>
      </c>
      <c r="BX167" s="1">
        <v>3715</v>
      </c>
      <c r="BY167" s="1">
        <v>3755</v>
      </c>
      <c r="BZ167" s="1">
        <v>3730</v>
      </c>
    </row>
    <row r="168" spans="1:254" ht="15.9" customHeight="1">
      <c r="A168" s="65" t="s">
        <v>330</v>
      </c>
      <c r="B168" s="25" t="s">
        <v>331</v>
      </c>
      <c r="C168" s="39">
        <f>_xll.RssMarket("2359","高値")</f>
        <v>2053</v>
      </c>
      <c r="D168" s="38">
        <f t="shared" si="5"/>
        <v>0</v>
      </c>
      <c r="E168" s="34">
        <v>2053</v>
      </c>
      <c r="F168" s="34">
        <v>2064</v>
      </c>
      <c r="G168" s="29">
        <v>2046</v>
      </c>
      <c r="H168" s="29">
        <v>2040</v>
      </c>
      <c r="I168" s="29">
        <v>2074</v>
      </c>
      <c r="J168" s="29">
        <v>2085</v>
      </c>
      <c r="K168" s="29">
        <v>2085</v>
      </c>
      <c r="L168" s="29">
        <v>2022</v>
      </c>
      <c r="M168" s="29">
        <v>2015</v>
      </c>
      <c r="N168" s="29"/>
      <c r="O168" s="29">
        <v>2005</v>
      </c>
      <c r="P168" s="29">
        <v>2005</v>
      </c>
      <c r="Q168" s="29">
        <v>2002</v>
      </c>
      <c r="R168" s="29">
        <v>2007</v>
      </c>
      <c r="S168" s="29">
        <v>2022</v>
      </c>
      <c r="T168" s="29">
        <v>2017</v>
      </c>
      <c r="U168" s="29">
        <v>2022</v>
      </c>
      <c r="V168" s="29">
        <v>1996</v>
      </c>
      <c r="W168" s="29">
        <v>1961</v>
      </c>
      <c r="X168" s="29">
        <v>1966</v>
      </c>
      <c r="Y168" s="29">
        <v>1974</v>
      </c>
      <c r="Z168" s="29">
        <v>1958</v>
      </c>
      <c r="AA168" s="29">
        <v>1968</v>
      </c>
      <c r="AB168" s="29">
        <v>1958</v>
      </c>
      <c r="AC168" s="29">
        <v>1952</v>
      </c>
      <c r="AD168" s="29">
        <v>1988</v>
      </c>
      <c r="AE168" s="29">
        <v>2040</v>
      </c>
      <c r="AF168" s="29">
        <v>2015</v>
      </c>
      <c r="AG168" s="29">
        <v>2024</v>
      </c>
      <c r="AH168" s="29">
        <v>2039</v>
      </c>
      <c r="AI168" s="29">
        <v>2024</v>
      </c>
      <c r="AJ168" s="29">
        <v>2065</v>
      </c>
      <c r="AK168" s="29">
        <v>2048</v>
      </c>
      <c r="AL168" s="29">
        <v>2039</v>
      </c>
      <c r="AM168" s="29">
        <v>2030</v>
      </c>
      <c r="AN168" s="29">
        <v>2011</v>
      </c>
      <c r="AO168" s="29">
        <v>2025</v>
      </c>
      <c r="AP168" s="29">
        <v>2009</v>
      </c>
      <c r="AQ168" s="29">
        <v>2027</v>
      </c>
      <c r="AR168" s="29">
        <v>2039</v>
      </c>
      <c r="AS168" s="29">
        <v>2069</v>
      </c>
      <c r="AT168" s="29">
        <v>2104</v>
      </c>
      <c r="AU168" s="29">
        <v>2098</v>
      </c>
      <c r="AV168" s="29">
        <v>2053</v>
      </c>
      <c r="AW168" s="29">
        <v>2043</v>
      </c>
      <c r="AX168" s="29">
        <v>2085</v>
      </c>
      <c r="AY168" s="29">
        <v>2060</v>
      </c>
      <c r="AZ168" s="29">
        <v>2120</v>
      </c>
      <c r="BA168" s="29">
        <v>2149</v>
      </c>
      <c r="BB168" s="29">
        <v>2125</v>
      </c>
      <c r="BC168" s="29">
        <v>2136</v>
      </c>
      <c r="BD168" s="29">
        <v>2100</v>
      </c>
      <c r="BE168" s="29">
        <v>2099</v>
      </c>
      <c r="BF168" s="29">
        <v>2062</v>
      </c>
      <c r="BG168" s="29">
        <v>2064</v>
      </c>
      <c r="BH168" s="29">
        <v>2069</v>
      </c>
      <c r="BI168" s="29">
        <v>2052</v>
      </c>
      <c r="BJ168" s="29">
        <v>2023</v>
      </c>
      <c r="BK168" s="29">
        <v>2028</v>
      </c>
      <c r="BL168" s="30">
        <v>2037</v>
      </c>
      <c r="BM168" s="1">
        <v>2045</v>
      </c>
      <c r="BN168" s="1">
        <v>2075</v>
      </c>
      <c r="BO168" s="1">
        <v>2079</v>
      </c>
      <c r="BP168" s="1">
        <v>2230</v>
      </c>
      <c r="BQ168" s="1">
        <v>2246</v>
      </c>
      <c r="BR168" s="1">
        <v>2167</v>
      </c>
      <c r="BS168" s="1">
        <v>2200</v>
      </c>
      <c r="BT168" s="1">
        <v>2253</v>
      </c>
      <c r="BU168" s="1">
        <v>2257</v>
      </c>
      <c r="BV168" s="1">
        <v>2260</v>
      </c>
      <c r="BW168" s="1">
        <v>2270</v>
      </c>
      <c r="BX168" s="1">
        <v>2249</v>
      </c>
      <c r="BY168" s="1">
        <v>2267</v>
      </c>
      <c r="BZ168" s="1">
        <v>2260</v>
      </c>
    </row>
    <row r="169" spans="1:254" ht="15.9" customHeight="1">
      <c r="A169" s="65" t="s">
        <v>332</v>
      </c>
      <c r="B169" s="25" t="s">
        <v>333</v>
      </c>
      <c r="C169" s="39">
        <f>_xll.RssMarket("8103","高値")</f>
        <v>902</v>
      </c>
      <c r="D169" s="38">
        <f t="shared" si="5"/>
        <v>0</v>
      </c>
      <c r="E169" s="34">
        <v>902</v>
      </c>
      <c r="F169" s="34">
        <v>900</v>
      </c>
      <c r="G169" s="29">
        <v>904</v>
      </c>
      <c r="H169" s="29">
        <v>906</v>
      </c>
      <c r="I169" s="29">
        <v>932</v>
      </c>
      <c r="J169" s="29">
        <v>931</v>
      </c>
      <c r="K169" s="29">
        <v>929</v>
      </c>
      <c r="L169" s="29">
        <v>924</v>
      </c>
      <c r="M169" s="29">
        <v>922</v>
      </c>
      <c r="N169" s="29">
        <v>912</v>
      </c>
      <c r="O169" s="29">
        <v>918</v>
      </c>
      <c r="P169" s="29">
        <v>913</v>
      </c>
      <c r="Q169" s="29">
        <v>911</v>
      </c>
      <c r="R169" s="29">
        <v>906</v>
      </c>
      <c r="S169" s="29">
        <v>919</v>
      </c>
      <c r="T169" s="29">
        <v>907</v>
      </c>
      <c r="U169" s="29">
        <v>925</v>
      </c>
      <c r="V169" s="29">
        <v>919</v>
      </c>
      <c r="W169" s="29">
        <v>914</v>
      </c>
      <c r="X169" s="29">
        <v>917</v>
      </c>
      <c r="Y169" s="29">
        <v>924</v>
      </c>
      <c r="Z169" s="29">
        <v>924</v>
      </c>
      <c r="AA169" s="29">
        <v>909</v>
      </c>
      <c r="AB169" s="29">
        <v>899</v>
      </c>
      <c r="AC169" s="29">
        <v>887</v>
      </c>
      <c r="AD169" s="29">
        <v>883</v>
      </c>
      <c r="AE169" s="29">
        <v>879</v>
      </c>
      <c r="AF169" s="29">
        <v>873</v>
      </c>
      <c r="AG169" s="29">
        <v>872</v>
      </c>
      <c r="AH169" s="29">
        <v>870</v>
      </c>
      <c r="AI169" s="29">
        <v>880</v>
      </c>
      <c r="AJ169" s="29">
        <v>884</v>
      </c>
      <c r="AK169" s="29">
        <v>874</v>
      </c>
      <c r="AL169" s="29">
        <v>884</v>
      </c>
      <c r="AM169" s="29">
        <v>886</v>
      </c>
      <c r="AN169" s="29">
        <v>880</v>
      </c>
      <c r="AO169" s="29">
        <v>888</v>
      </c>
      <c r="AP169" s="29">
        <v>871</v>
      </c>
      <c r="AQ169" s="29">
        <v>867</v>
      </c>
      <c r="AR169" s="29">
        <v>880</v>
      </c>
      <c r="AS169" s="29">
        <v>888</v>
      </c>
      <c r="AT169" s="29">
        <v>892</v>
      </c>
      <c r="AU169" s="29">
        <v>888</v>
      </c>
      <c r="AV169" s="29">
        <v>893</v>
      </c>
      <c r="AW169" s="29">
        <v>881</v>
      </c>
      <c r="AX169" s="29">
        <v>896</v>
      </c>
      <c r="AY169" s="29">
        <v>893</v>
      </c>
      <c r="AZ169" s="29">
        <v>903</v>
      </c>
      <c r="BA169" s="29">
        <v>917</v>
      </c>
      <c r="BB169" s="29">
        <v>910</v>
      </c>
      <c r="BC169" s="29">
        <v>901</v>
      </c>
      <c r="BD169" s="29">
        <v>908</v>
      </c>
      <c r="BE169" s="29">
        <v>913</v>
      </c>
      <c r="BF169" s="29">
        <v>903</v>
      </c>
      <c r="BG169" s="29">
        <v>914</v>
      </c>
      <c r="BH169" s="29">
        <v>915</v>
      </c>
      <c r="BI169" s="29">
        <v>905</v>
      </c>
      <c r="BJ169" s="29">
        <v>896</v>
      </c>
      <c r="BK169" s="29">
        <v>904</v>
      </c>
      <c r="BL169" s="30">
        <v>904</v>
      </c>
      <c r="BM169" s="1">
        <v>910</v>
      </c>
      <c r="BN169" s="1">
        <v>867</v>
      </c>
      <c r="BO169" s="1">
        <v>846</v>
      </c>
      <c r="BP169" s="1">
        <v>773</v>
      </c>
      <c r="BQ169" s="1">
        <v>770</v>
      </c>
      <c r="BR169" s="1">
        <v>773</v>
      </c>
      <c r="BS169" s="1">
        <v>772</v>
      </c>
      <c r="BT169" s="1">
        <v>780</v>
      </c>
      <c r="BU169" s="1">
        <v>782</v>
      </c>
      <c r="BV169" s="1">
        <v>787</v>
      </c>
      <c r="BW169" s="1">
        <v>787</v>
      </c>
      <c r="BX169" s="1">
        <v>784</v>
      </c>
      <c r="BY169" s="1">
        <v>789</v>
      </c>
      <c r="BZ169" s="1">
        <v>792</v>
      </c>
    </row>
    <row r="170" spans="1:254" ht="15.9" customHeight="1">
      <c r="A170" s="65" t="s">
        <v>334</v>
      </c>
      <c r="B170" s="25" t="s">
        <v>335</v>
      </c>
      <c r="C170" s="39">
        <f>_xll.RssMarket("4709","高値")</f>
        <v>1020</v>
      </c>
      <c r="D170" s="38">
        <f t="shared" si="5"/>
        <v>0</v>
      </c>
      <c r="E170" s="34">
        <v>1020</v>
      </c>
      <c r="F170" s="34">
        <v>1019</v>
      </c>
      <c r="G170" s="29">
        <v>1031</v>
      </c>
      <c r="H170" s="29">
        <v>1040</v>
      </c>
      <c r="I170" s="29">
        <v>1159</v>
      </c>
      <c r="J170" s="29">
        <v>1161</v>
      </c>
      <c r="K170" s="29">
        <v>1160</v>
      </c>
      <c r="L170" s="29">
        <v>1136</v>
      </c>
      <c r="M170" s="29">
        <v>1128</v>
      </c>
      <c r="N170" s="29">
        <v>1109</v>
      </c>
      <c r="O170" s="29">
        <v>1109</v>
      </c>
      <c r="P170" s="29">
        <v>1107</v>
      </c>
      <c r="Q170" s="29">
        <v>1143</v>
      </c>
      <c r="R170" s="29">
        <v>1129</v>
      </c>
      <c r="S170" s="29">
        <v>1130</v>
      </c>
      <c r="T170" s="29">
        <v>1121</v>
      </c>
      <c r="U170" s="29">
        <v>1110</v>
      </c>
      <c r="V170" s="29">
        <v>1113</v>
      </c>
      <c r="W170" s="29">
        <v>1106</v>
      </c>
      <c r="X170" s="29">
        <v>1108</v>
      </c>
      <c r="Y170" s="29">
        <v>1105</v>
      </c>
      <c r="Z170" s="29">
        <v>1078</v>
      </c>
      <c r="AA170" s="29">
        <v>1080</v>
      </c>
      <c r="AB170" s="29">
        <v>1085</v>
      </c>
      <c r="AC170" s="29">
        <v>1073</v>
      </c>
      <c r="AD170" s="29">
        <v>1080</v>
      </c>
      <c r="AE170" s="29">
        <v>1083</v>
      </c>
      <c r="AF170" s="29">
        <v>1063</v>
      </c>
      <c r="AG170" s="29">
        <v>1054</v>
      </c>
      <c r="AH170" s="29">
        <v>1066</v>
      </c>
      <c r="AI170" s="29">
        <v>1052</v>
      </c>
      <c r="AJ170" s="29">
        <v>1071</v>
      </c>
      <c r="AK170" s="29">
        <v>1072</v>
      </c>
      <c r="AL170" s="29">
        <v>1101</v>
      </c>
      <c r="AM170" s="29">
        <v>1134</v>
      </c>
      <c r="AN170" s="29">
        <v>1110</v>
      </c>
      <c r="AO170" s="29">
        <v>1082</v>
      </c>
      <c r="AP170" s="29">
        <v>1063</v>
      </c>
      <c r="AQ170" s="29">
        <v>1098</v>
      </c>
      <c r="AR170" s="29">
        <v>1089</v>
      </c>
      <c r="AS170" s="29">
        <v>1024</v>
      </c>
      <c r="AT170" s="29">
        <v>1012</v>
      </c>
      <c r="AU170" s="29">
        <v>1000</v>
      </c>
      <c r="AV170" s="29">
        <v>1024</v>
      </c>
      <c r="AW170" s="29">
        <v>1032</v>
      </c>
      <c r="AX170" s="29">
        <v>1053</v>
      </c>
      <c r="AY170" s="29">
        <v>1028</v>
      </c>
      <c r="AZ170" s="29">
        <v>1015</v>
      </c>
      <c r="BA170" s="29">
        <v>1049</v>
      </c>
      <c r="BB170" s="29">
        <v>1046</v>
      </c>
      <c r="BC170" s="29">
        <v>1058</v>
      </c>
      <c r="BD170" s="29">
        <v>1055</v>
      </c>
      <c r="BE170" s="29">
        <v>1053</v>
      </c>
      <c r="BF170" s="29">
        <v>1038</v>
      </c>
      <c r="BG170" s="29">
        <v>1035</v>
      </c>
      <c r="BH170" s="29">
        <v>1067</v>
      </c>
      <c r="BI170" s="29">
        <v>1076</v>
      </c>
      <c r="BJ170" s="29">
        <v>1076</v>
      </c>
      <c r="BK170" s="29">
        <v>1074</v>
      </c>
      <c r="BL170" s="30">
        <v>1035</v>
      </c>
      <c r="BM170" s="1">
        <v>1055</v>
      </c>
      <c r="BN170" s="1">
        <v>1069</v>
      </c>
      <c r="BO170" s="1">
        <v>1015</v>
      </c>
      <c r="BP170" s="1">
        <v>902</v>
      </c>
      <c r="BQ170" s="1">
        <v>902</v>
      </c>
      <c r="BR170" s="1">
        <v>896</v>
      </c>
      <c r="BS170" s="1">
        <v>905</v>
      </c>
      <c r="BT170" s="1">
        <v>921</v>
      </c>
      <c r="BU170" s="1">
        <v>930</v>
      </c>
      <c r="BV170" s="1">
        <v>949</v>
      </c>
      <c r="BW170" s="1">
        <v>943</v>
      </c>
      <c r="BX170" s="1">
        <v>946</v>
      </c>
      <c r="BY170" s="1">
        <v>933</v>
      </c>
      <c r="BZ170" s="1">
        <v>930</v>
      </c>
    </row>
    <row r="171" spans="1:254" ht="15.9" customHeight="1">
      <c r="A171" s="65" t="s">
        <v>336</v>
      </c>
      <c r="B171" s="25" t="s">
        <v>337</v>
      </c>
      <c r="C171" s="39">
        <f>_xll.RssMarket("7981","高値")</f>
        <v>3060</v>
      </c>
      <c r="D171" s="38">
        <f t="shared" si="5"/>
        <v>0</v>
      </c>
      <c r="E171" s="34">
        <v>3060</v>
      </c>
      <c r="F171" s="34">
        <v>3010</v>
      </c>
      <c r="G171" s="29">
        <v>3050</v>
      </c>
      <c r="H171" s="29">
        <v>3025</v>
      </c>
      <c r="I171" s="29">
        <v>3055</v>
      </c>
      <c r="J171" s="29">
        <v>3330</v>
      </c>
      <c r="K171" s="29">
        <v>3310</v>
      </c>
      <c r="L171" s="29">
        <v>3300</v>
      </c>
      <c r="M171" s="29">
        <v>3255</v>
      </c>
      <c r="N171" s="29">
        <v>3135</v>
      </c>
      <c r="O171" s="29">
        <v>3100</v>
      </c>
      <c r="P171" s="29">
        <v>3115</v>
      </c>
      <c r="Q171" s="29">
        <v>3110</v>
      </c>
      <c r="R171" s="29">
        <v>3110</v>
      </c>
      <c r="S171" s="29">
        <v>3130</v>
      </c>
      <c r="T171" s="29">
        <v>3100</v>
      </c>
      <c r="U171" s="29">
        <v>3085</v>
      </c>
      <c r="V171" s="29">
        <v>3100</v>
      </c>
      <c r="W171" s="29">
        <v>3100</v>
      </c>
      <c r="X171" s="29">
        <v>3125</v>
      </c>
      <c r="Y171" s="29">
        <v>3175</v>
      </c>
      <c r="Z171" s="29">
        <v>3130</v>
      </c>
      <c r="AA171" s="29">
        <v>3115</v>
      </c>
      <c r="AB171" s="29">
        <v>3095</v>
      </c>
      <c r="AC171" s="29">
        <v>3120</v>
      </c>
      <c r="AD171" s="29">
        <v>3110</v>
      </c>
      <c r="AE171" s="29">
        <v>3140</v>
      </c>
      <c r="AF171" s="29">
        <v>3160</v>
      </c>
      <c r="AG171" s="29">
        <v>3210</v>
      </c>
      <c r="AH171" s="29">
        <v>3095</v>
      </c>
      <c r="AI171" s="29">
        <v>3100</v>
      </c>
      <c r="AJ171" s="29">
        <v>3075</v>
      </c>
      <c r="AK171" s="29">
        <v>3070</v>
      </c>
      <c r="AL171" s="29">
        <v>3055</v>
      </c>
      <c r="AM171" s="29">
        <v>3020</v>
      </c>
      <c r="AN171" s="29">
        <v>3020</v>
      </c>
      <c r="AO171" s="29">
        <v>3060</v>
      </c>
      <c r="AP171" s="29">
        <v>3015</v>
      </c>
      <c r="AQ171" s="29">
        <v>2961</v>
      </c>
      <c r="AR171" s="29">
        <v>3000</v>
      </c>
      <c r="AS171" s="29">
        <v>2960</v>
      </c>
      <c r="AT171" s="29">
        <v>2981</v>
      </c>
      <c r="AU171" s="29">
        <v>2944</v>
      </c>
      <c r="AV171" s="29">
        <v>2975</v>
      </c>
      <c r="AW171" s="29">
        <v>2941</v>
      </c>
      <c r="AX171" s="29">
        <v>3030</v>
      </c>
      <c r="AY171" s="29">
        <v>2981</v>
      </c>
      <c r="AZ171" s="29">
        <v>2989</v>
      </c>
      <c r="BA171" s="29">
        <v>3055</v>
      </c>
      <c r="BB171" s="29">
        <v>2925</v>
      </c>
      <c r="BC171" s="29">
        <v>2953</v>
      </c>
      <c r="BD171" s="29">
        <v>2945</v>
      </c>
      <c r="BE171" s="29">
        <v>2969</v>
      </c>
      <c r="BF171" s="29">
        <v>3000</v>
      </c>
      <c r="BG171" s="29">
        <v>3030</v>
      </c>
      <c r="BH171" s="29">
        <v>3035</v>
      </c>
      <c r="BI171" s="29">
        <v>3045</v>
      </c>
      <c r="BJ171" s="29">
        <v>3130</v>
      </c>
      <c r="BK171" s="29">
        <v>3100</v>
      </c>
      <c r="BL171" s="30">
        <v>3200</v>
      </c>
      <c r="BM171" s="1">
        <v>3265</v>
      </c>
      <c r="BN171" s="1">
        <v>3135</v>
      </c>
      <c r="BO171" s="1">
        <v>3180</v>
      </c>
      <c r="BP171" s="1">
        <v>2829</v>
      </c>
      <c r="BQ171" s="1">
        <v>2747</v>
      </c>
      <c r="BR171" s="1">
        <v>2668</v>
      </c>
      <c r="BS171" s="1">
        <v>2668</v>
      </c>
      <c r="BT171" s="1">
        <v>2682</v>
      </c>
      <c r="BU171" s="1">
        <v>2714</v>
      </c>
      <c r="BV171" s="1">
        <v>2749</v>
      </c>
      <c r="BW171" s="1">
        <v>2783</v>
      </c>
      <c r="BX171" s="1">
        <v>2782</v>
      </c>
      <c r="BY171" s="1">
        <v>2738</v>
      </c>
      <c r="BZ171" s="1">
        <v>2775</v>
      </c>
    </row>
    <row r="172" spans="1:254" ht="15.9" customHeight="1">
      <c r="A172" s="65" t="s">
        <v>338</v>
      </c>
      <c r="B172" s="25" t="s">
        <v>339</v>
      </c>
      <c r="C172" s="39">
        <f>_xll.RssMarket("8303","高値")</f>
        <v>1577</v>
      </c>
      <c r="D172" s="38">
        <f t="shared" si="5"/>
        <v>0</v>
      </c>
      <c r="E172" s="34">
        <v>1577</v>
      </c>
      <c r="F172" s="34">
        <v>1504</v>
      </c>
      <c r="G172" s="29">
        <v>1475</v>
      </c>
      <c r="H172" s="29">
        <v>1503</v>
      </c>
      <c r="I172" s="29">
        <v>1527.5</v>
      </c>
      <c r="J172" s="29">
        <v>1430</v>
      </c>
      <c r="K172" s="29">
        <v>1450.5</v>
      </c>
      <c r="L172" s="29">
        <v>1465</v>
      </c>
      <c r="M172" s="29">
        <v>1460</v>
      </c>
      <c r="N172" s="29">
        <v>1430</v>
      </c>
      <c r="O172" s="29">
        <v>1456.5</v>
      </c>
      <c r="P172" s="29">
        <v>1454</v>
      </c>
      <c r="Q172" s="29">
        <v>1446.5</v>
      </c>
      <c r="R172" s="29">
        <v>1469.5</v>
      </c>
      <c r="S172" s="29">
        <v>1478.5</v>
      </c>
      <c r="T172" s="29">
        <v>1471.5</v>
      </c>
      <c r="U172" s="29">
        <v>1464.5</v>
      </c>
      <c r="V172" s="29">
        <v>1464</v>
      </c>
      <c r="W172" s="29">
        <v>1465</v>
      </c>
      <c r="X172" s="29">
        <v>1506.5</v>
      </c>
      <c r="Y172" s="29">
        <v>1532</v>
      </c>
      <c r="Z172" s="29">
        <v>1482</v>
      </c>
      <c r="AA172" s="29">
        <v>1454.5</v>
      </c>
      <c r="AB172" s="29">
        <v>1427</v>
      </c>
      <c r="AC172" s="29">
        <v>1387.5</v>
      </c>
      <c r="AD172" s="29">
        <v>1416</v>
      </c>
      <c r="AE172" s="29">
        <v>1425</v>
      </c>
      <c r="AF172" s="29">
        <v>1414</v>
      </c>
      <c r="AG172" s="29">
        <v>1441</v>
      </c>
      <c r="AH172" s="29">
        <v>1431.5</v>
      </c>
      <c r="AI172" s="29">
        <v>1434.5</v>
      </c>
      <c r="AJ172" s="29">
        <v>1452.5</v>
      </c>
      <c r="AK172" s="29">
        <v>1495</v>
      </c>
      <c r="AL172" s="29">
        <v>1494</v>
      </c>
      <c r="AM172" s="29">
        <v>1496</v>
      </c>
      <c r="AN172" s="29">
        <v>1509</v>
      </c>
      <c r="AO172" s="29">
        <v>1526</v>
      </c>
      <c r="AP172" s="29">
        <v>1461.5</v>
      </c>
      <c r="AQ172" s="29">
        <v>1463</v>
      </c>
      <c r="AR172" s="29">
        <v>1551</v>
      </c>
      <c r="AS172" s="29">
        <v>1413.5</v>
      </c>
      <c r="AT172" s="29">
        <v>1455.5</v>
      </c>
      <c r="AU172" s="29">
        <v>1442</v>
      </c>
      <c r="AV172" s="29">
        <v>1412</v>
      </c>
      <c r="AW172" s="29">
        <v>1378</v>
      </c>
      <c r="AX172" s="29">
        <v>1412</v>
      </c>
      <c r="AY172" s="29">
        <v>1406</v>
      </c>
      <c r="AZ172" s="29">
        <v>1423</v>
      </c>
      <c r="BA172" s="29">
        <v>1485</v>
      </c>
      <c r="BB172" s="29">
        <v>1538.5</v>
      </c>
      <c r="BC172" s="29">
        <v>1588.5</v>
      </c>
      <c r="BD172" s="29">
        <v>1607.5</v>
      </c>
      <c r="BE172" s="29">
        <v>1651.5</v>
      </c>
      <c r="BF172" s="29">
        <v>1658.5</v>
      </c>
      <c r="BG172" s="29">
        <v>1648.5</v>
      </c>
      <c r="BH172" s="29">
        <v>1652.5</v>
      </c>
      <c r="BI172" s="29">
        <v>1673.5</v>
      </c>
      <c r="BJ172" s="29">
        <v>1671.5</v>
      </c>
      <c r="BK172" s="29">
        <v>1670</v>
      </c>
      <c r="BL172" s="30">
        <v>1701.5</v>
      </c>
      <c r="BM172" s="1">
        <v>1727</v>
      </c>
      <c r="BN172" s="1">
        <v>1867.5</v>
      </c>
      <c r="BO172" s="1">
        <v>1835.5</v>
      </c>
      <c r="BP172" s="1">
        <v>1821.5</v>
      </c>
      <c r="BQ172" s="1">
        <v>1727</v>
      </c>
      <c r="BR172" s="1">
        <v>1732.5</v>
      </c>
      <c r="BS172" s="1">
        <v>1764.5</v>
      </c>
      <c r="BT172" s="1">
        <v>1661.5</v>
      </c>
      <c r="BU172" s="1">
        <v>1679</v>
      </c>
      <c r="BV172" s="1">
        <v>1697</v>
      </c>
      <c r="BW172" s="1">
        <v>1718.5</v>
      </c>
      <c r="BX172" s="1">
        <v>1729</v>
      </c>
      <c r="BY172" s="1">
        <v>1699</v>
      </c>
      <c r="BZ172" s="1">
        <v>1697.5</v>
      </c>
    </row>
    <row r="173" spans="1:254" ht="15.9" customHeight="1">
      <c r="A173" s="65" t="s">
        <v>340</v>
      </c>
      <c r="B173" s="25" t="s">
        <v>341</v>
      </c>
      <c r="C173" s="39">
        <f>_xll.RssMarket("4382","高値")</f>
        <v>727</v>
      </c>
      <c r="D173" s="38">
        <f t="shared" si="5"/>
        <v>0</v>
      </c>
      <c r="E173" s="34">
        <v>727</v>
      </c>
      <c r="F173" s="34">
        <v>716</v>
      </c>
      <c r="G173" s="29">
        <v>712</v>
      </c>
      <c r="H173" s="29">
        <v>708</v>
      </c>
      <c r="I173" s="29">
        <v>711</v>
      </c>
      <c r="J173" s="29">
        <v>703</v>
      </c>
      <c r="K173" s="29">
        <v>704</v>
      </c>
      <c r="L173" s="29">
        <v>705</v>
      </c>
      <c r="M173" s="29">
        <v>711</v>
      </c>
      <c r="N173" s="29"/>
      <c r="O173" s="29">
        <v>708</v>
      </c>
      <c r="P173" s="29">
        <v>712</v>
      </c>
      <c r="Q173" s="29">
        <v>714</v>
      </c>
      <c r="R173" s="29">
        <v>730</v>
      </c>
      <c r="S173" s="29">
        <v>731</v>
      </c>
      <c r="T173" s="29">
        <v>712</v>
      </c>
      <c r="U173" s="29">
        <v>710</v>
      </c>
      <c r="V173" s="29">
        <v>707</v>
      </c>
      <c r="W173" s="29">
        <v>720</v>
      </c>
      <c r="X173" s="29">
        <v>720</v>
      </c>
      <c r="Y173" s="29">
        <v>729</v>
      </c>
      <c r="Z173" s="29">
        <v>724</v>
      </c>
      <c r="AA173" s="29">
        <v>728</v>
      </c>
      <c r="AB173" s="29">
        <v>725</v>
      </c>
      <c r="AC173" s="29">
        <v>732</v>
      </c>
      <c r="AD173" s="29">
        <v>750</v>
      </c>
      <c r="AE173" s="29">
        <v>766</v>
      </c>
      <c r="AF173" s="29">
        <v>730</v>
      </c>
      <c r="AG173" s="29">
        <v>731</v>
      </c>
      <c r="AH173" s="29">
        <v>718</v>
      </c>
      <c r="AI173" s="29">
        <v>733</v>
      </c>
      <c r="AJ173" s="29">
        <v>762</v>
      </c>
      <c r="AK173" s="29">
        <v>770</v>
      </c>
      <c r="AL173" s="29">
        <v>795</v>
      </c>
      <c r="AM173" s="29">
        <v>800</v>
      </c>
      <c r="AN173" s="29">
        <v>805</v>
      </c>
      <c r="AO173" s="29">
        <v>850</v>
      </c>
      <c r="AP173" s="29">
        <v>815</v>
      </c>
      <c r="AQ173" s="29">
        <v>778</v>
      </c>
      <c r="AR173" s="29">
        <v>815</v>
      </c>
      <c r="AS173" s="29">
        <v>715</v>
      </c>
      <c r="AT173" s="29">
        <v>720</v>
      </c>
      <c r="AU173" s="29">
        <v>699</v>
      </c>
      <c r="AV173" s="29">
        <v>704</v>
      </c>
      <c r="AW173" s="29">
        <v>710</v>
      </c>
      <c r="AX173" s="29">
        <v>727</v>
      </c>
      <c r="AY173" s="29">
        <v>747</v>
      </c>
      <c r="AZ173" s="29">
        <v>755</v>
      </c>
      <c r="BA173" s="29">
        <v>771</v>
      </c>
      <c r="BB173" s="29">
        <v>774</v>
      </c>
      <c r="BC173" s="29">
        <v>766</v>
      </c>
      <c r="BD173" s="29">
        <v>774</v>
      </c>
      <c r="BE173" s="29">
        <v>774</v>
      </c>
      <c r="BF173" s="29">
        <v>768</v>
      </c>
      <c r="BG173" s="29">
        <v>784</v>
      </c>
      <c r="BH173" s="29">
        <v>782</v>
      </c>
      <c r="BI173" s="29">
        <v>790</v>
      </c>
      <c r="BJ173" s="29">
        <v>796</v>
      </c>
      <c r="BK173" s="29">
        <v>805</v>
      </c>
      <c r="BL173" s="30">
        <v>812</v>
      </c>
      <c r="BM173" s="1">
        <v>822</v>
      </c>
      <c r="BN173" s="1">
        <v>820</v>
      </c>
      <c r="BO173" s="1">
        <v>811</v>
      </c>
      <c r="BP173" s="1">
        <v>823</v>
      </c>
      <c r="BQ173" s="1">
        <v>872</v>
      </c>
      <c r="BR173" s="1">
        <v>850</v>
      </c>
      <c r="BS173" s="1">
        <v>854</v>
      </c>
      <c r="BT173" s="1">
        <v>860</v>
      </c>
      <c r="BU173" s="1">
        <v>873</v>
      </c>
      <c r="BV173" s="1">
        <v>881</v>
      </c>
      <c r="BW173" s="1">
        <v>916</v>
      </c>
      <c r="BX173" s="1">
        <v>900</v>
      </c>
      <c r="BY173" s="1">
        <v>896</v>
      </c>
      <c r="BZ173" s="1">
        <v>873</v>
      </c>
    </row>
    <row r="174" spans="1:254" ht="15.9" customHeight="1">
      <c r="A174" s="65" t="s">
        <v>342</v>
      </c>
      <c r="B174" s="25" t="s">
        <v>343</v>
      </c>
      <c r="C174" s="39">
        <f>_xll.RssMarket("2327","高値")</f>
        <v>3776</v>
      </c>
      <c r="D174" s="38">
        <f t="shared" si="5"/>
        <v>0</v>
      </c>
      <c r="E174" s="34">
        <v>3776</v>
      </c>
      <c r="F174" s="34">
        <v>3713</v>
      </c>
      <c r="G174" s="29">
        <v>3741</v>
      </c>
      <c r="H174" s="29">
        <v>3862</v>
      </c>
      <c r="I174" s="29">
        <v>3934</v>
      </c>
      <c r="J174" s="29">
        <v>4016</v>
      </c>
      <c r="K174" s="29">
        <v>4056</v>
      </c>
      <c r="L174" s="29">
        <v>3958</v>
      </c>
      <c r="M174" s="29">
        <v>3927</v>
      </c>
      <c r="N174" s="29">
        <v>3806</v>
      </c>
      <c r="O174" s="29">
        <v>3735</v>
      </c>
      <c r="P174" s="29">
        <v>3797</v>
      </c>
      <c r="Q174" s="29">
        <v>3913</v>
      </c>
      <c r="R174" s="29">
        <v>3882</v>
      </c>
      <c r="S174" s="29">
        <v>3844</v>
      </c>
      <c r="T174" s="29">
        <v>3887</v>
      </c>
      <c r="U174" s="29">
        <v>3823</v>
      </c>
      <c r="V174" s="29">
        <v>3797</v>
      </c>
      <c r="W174" s="29">
        <v>3818</v>
      </c>
      <c r="X174" s="29">
        <v>3845</v>
      </c>
      <c r="Y174" s="29">
        <v>3795</v>
      </c>
      <c r="Z174" s="29">
        <v>3671</v>
      </c>
      <c r="AA174" s="29">
        <v>3635</v>
      </c>
      <c r="AB174" s="29">
        <v>3504</v>
      </c>
      <c r="AC174" s="29">
        <v>3419</v>
      </c>
      <c r="AD174" s="29">
        <v>3415</v>
      </c>
      <c r="AE174" s="29">
        <v>3379</v>
      </c>
      <c r="AF174" s="29">
        <v>3254</v>
      </c>
      <c r="AG174" s="29">
        <v>3261</v>
      </c>
      <c r="AH174" s="29">
        <v>3241</v>
      </c>
      <c r="AI174" s="29">
        <v>3230</v>
      </c>
      <c r="AJ174" s="29">
        <v>3300</v>
      </c>
      <c r="AK174" s="29">
        <v>3247</v>
      </c>
      <c r="AL174" s="29">
        <v>3193</v>
      </c>
      <c r="AM174" s="29">
        <v>3167</v>
      </c>
      <c r="AN174" s="29">
        <v>3225</v>
      </c>
      <c r="AO174" s="29">
        <v>3291</v>
      </c>
      <c r="AP174" s="29">
        <v>3267</v>
      </c>
      <c r="AQ174" s="29">
        <v>3279</v>
      </c>
      <c r="AR174" s="29">
        <v>3315</v>
      </c>
      <c r="AS174" s="29">
        <v>3397</v>
      </c>
      <c r="AT174" s="29">
        <v>3484</v>
      </c>
      <c r="AU174" s="29">
        <v>3448</v>
      </c>
      <c r="AV174" s="29">
        <v>3590</v>
      </c>
      <c r="AW174" s="29">
        <v>3620</v>
      </c>
      <c r="AX174" s="29">
        <v>3587</v>
      </c>
      <c r="AY174" s="29">
        <v>3593</v>
      </c>
      <c r="AZ174" s="29">
        <v>3610</v>
      </c>
      <c r="BA174" s="29">
        <v>3658</v>
      </c>
      <c r="BB174" s="29">
        <v>3596</v>
      </c>
      <c r="BC174" s="29">
        <v>3605</v>
      </c>
      <c r="BD174" s="29">
        <v>3600</v>
      </c>
      <c r="BE174" s="29">
        <v>3590</v>
      </c>
      <c r="BF174" s="29">
        <v>3566</v>
      </c>
      <c r="BG174" s="29">
        <v>3531</v>
      </c>
      <c r="BH174" s="29">
        <v>3584</v>
      </c>
      <c r="BI174" s="29">
        <v>3646</v>
      </c>
      <c r="BJ174" s="29">
        <v>3715</v>
      </c>
      <c r="BK174" s="29">
        <v>3663</v>
      </c>
      <c r="BL174" s="30">
        <v>3673</v>
      </c>
      <c r="BM174" s="1">
        <v>3655</v>
      </c>
      <c r="BN174" s="1">
        <v>3642</v>
      </c>
      <c r="BO174" s="1">
        <v>3679</v>
      </c>
      <c r="BP174" s="1">
        <v>3725</v>
      </c>
      <c r="BQ174" s="1">
        <v>3723</v>
      </c>
      <c r="BR174" s="1">
        <v>3711</v>
      </c>
      <c r="BS174" s="1">
        <v>3867</v>
      </c>
      <c r="BT174" s="1">
        <v>3930</v>
      </c>
      <c r="BU174" s="1">
        <v>3894</v>
      </c>
      <c r="BV174" s="1">
        <v>3897</v>
      </c>
      <c r="BW174" s="1">
        <v>3935</v>
      </c>
      <c r="BX174" s="1">
        <v>3957</v>
      </c>
      <c r="BY174" s="1">
        <v>3877</v>
      </c>
      <c r="BZ174" s="1">
        <v>3811</v>
      </c>
    </row>
    <row r="175" spans="1:254" ht="15.9" customHeight="1">
      <c r="A175" s="65" t="s">
        <v>344</v>
      </c>
      <c r="B175" s="25" t="s">
        <v>345</v>
      </c>
      <c r="C175" s="39">
        <f>_xll.RssMarket("1942","高値")</f>
        <v>5848</v>
      </c>
      <c r="D175" s="38">
        <f t="shared" si="5"/>
        <v>0</v>
      </c>
      <c r="E175" s="34">
        <v>5848</v>
      </c>
      <c r="F175" s="34">
        <v>5704</v>
      </c>
      <c r="G175" s="29">
        <v>5538</v>
      </c>
      <c r="H175" s="29">
        <v>5344</v>
      </c>
      <c r="I175" s="29">
        <v>5833</v>
      </c>
      <c r="J175" s="29">
        <v>5688</v>
      </c>
      <c r="K175" s="29">
        <v>5981</v>
      </c>
      <c r="L175" s="29">
        <v>6050</v>
      </c>
      <c r="M175" s="29">
        <v>6100</v>
      </c>
      <c r="N175" s="29">
        <v>6013</v>
      </c>
      <c r="O175" s="29">
        <v>6063</v>
      </c>
      <c r="P175" s="29">
        <v>6093</v>
      </c>
      <c r="Q175" s="29">
        <v>5975</v>
      </c>
      <c r="R175" s="29">
        <v>6068</v>
      </c>
      <c r="S175" s="29">
        <v>6332</v>
      </c>
      <c r="T175" s="29">
        <v>6188</v>
      </c>
      <c r="U175" s="29">
        <v>6389</v>
      </c>
      <c r="V175" s="29">
        <v>6423</v>
      </c>
      <c r="W175" s="29">
        <v>6452</v>
      </c>
      <c r="X175" s="29">
        <v>6840</v>
      </c>
      <c r="Y175" s="29">
        <v>7007</v>
      </c>
      <c r="Z175" s="29">
        <v>6949</v>
      </c>
      <c r="AA175" s="29">
        <v>6772</v>
      </c>
      <c r="AB175" s="29">
        <v>6785</v>
      </c>
      <c r="AC175" s="29">
        <v>6870</v>
      </c>
      <c r="AD175" s="29">
        <v>6871</v>
      </c>
      <c r="AE175" s="29">
        <v>6850</v>
      </c>
      <c r="AF175" s="29">
        <v>6785</v>
      </c>
      <c r="AG175" s="29">
        <v>6840</v>
      </c>
      <c r="AH175" s="29">
        <v>6790</v>
      </c>
      <c r="AI175" s="29">
        <v>6842</v>
      </c>
      <c r="AJ175" s="29">
        <v>6848</v>
      </c>
      <c r="AK175" s="29">
        <v>6829</v>
      </c>
      <c r="AL175" s="29">
        <v>6670</v>
      </c>
      <c r="AM175" s="29">
        <v>6500</v>
      </c>
      <c r="AN175" s="29">
        <v>6320</v>
      </c>
      <c r="AO175" s="29">
        <v>6396</v>
      </c>
      <c r="AP175" s="29">
        <v>5944</v>
      </c>
      <c r="AQ175" s="29">
        <v>5886</v>
      </c>
      <c r="AR175" s="29">
        <v>6087</v>
      </c>
      <c r="AS175" s="29">
        <v>5865</v>
      </c>
      <c r="AT175" s="29">
        <v>5914</v>
      </c>
      <c r="AU175" s="29">
        <v>5909</v>
      </c>
      <c r="AV175" s="29">
        <v>6032</v>
      </c>
      <c r="AW175" s="29">
        <v>6127</v>
      </c>
      <c r="AX175" s="29">
        <v>6648</v>
      </c>
      <c r="AY175" s="29">
        <v>6626</v>
      </c>
      <c r="AZ175" s="29">
        <v>6710</v>
      </c>
      <c r="BA175" s="29">
        <v>6442</v>
      </c>
      <c r="BB175" s="29">
        <v>6129</v>
      </c>
      <c r="BC175" s="29">
        <v>6252</v>
      </c>
      <c r="BD175" s="29">
        <v>6355</v>
      </c>
      <c r="BE175" s="29">
        <v>6587</v>
      </c>
      <c r="BF175" s="29">
        <v>6823</v>
      </c>
      <c r="BG175" s="29">
        <v>7047</v>
      </c>
      <c r="BH175" s="29">
        <v>7250</v>
      </c>
      <c r="BI175" s="29">
        <v>7372</v>
      </c>
      <c r="BJ175" s="29">
        <v>7460</v>
      </c>
      <c r="BK175" s="29">
        <v>7198</v>
      </c>
      <c r="BL175" s="30">
        <v>7054</v>
      </c>
      <c r="BM175" s="1">
        <v>7025</v>
      </c>
      <c r="BN175" s="1">
        <v>7029</v>
      </c>
      <c r="BO175" s="1">
        <v>6838</v>
      </c>
      <c r="BP175" s="1">
        <v>6797</v>
      </c>
      <c r="BQ175" s="1">
        <v>6110</v>
      </c>
      <c r="BR175" s="1">
        <v>6109</v>
      </c>
      <c r="BS175" s="1">
        <v>6092</v>
      </c>
      <c r="BT175" s="1">
        <v>6140</v>
      </c>
      <c r="BU175" s="1">
        <v>6198</v>
      </c>
      <c r="BV175" s="1">
        <v>6217</v>
      </c>
      <c r="BW175" s="1">
        <v>6195</v>
      </c>
      <c r="BX175" s="1">
        <v>6202</v>
      </c>
      <c r="BY175" s="1">
        <v>6427</v>
      </c>
      <c r="BZ175" s="1">
        <v>6379</v>
      </c>
    </row>
    <row r="176" spans="1:254" ht="15.9" customHeight="1">
      <c r="A176" s="65" t="s">
        <v>346</v>
      </c>
      <c r="B176" s="25" t="s">
        <v>347</v>
      </c>
      <c r="C176" s="39">
        <f>_xll.RssMarket("1938","高値")</f>
        <v>2585</v>
      </c>
      <c r="D176" s="38">
        <f t="shared" si="5"/>
        <v>0</v>
      </c>
      <c r="E176" s="34">
        <v>2585</v>
      </c>
      <c r="F176" s="34">
        <v>2506</v>
      </c>
      <c r="G176" s="29">
        <v>2454</v>
      </c>
      <c r="H176" s="29">
        <v>2404</v>
      </c>
      <c r="I176" s="29">
        <v>2462</v>
      </c>
      <c r="J176" s="29">
        <v>2428</v>
      </c>
      <c r="K176" s="29">
        <v>2467</v>
      </c>
      <c r="L176" s="29">
        <v>2511</v>
      </c>
      <c r="M176" s="29">
        <v>2540</v>
      </c>
      <c r="N176" s="29">
        <v>2521</v>
      </c>
      <c r="O176" s="29">
        <v>2540</v>
      </c>
      <c r="P176" s="29">
        <v>2558</v>
      </c>
      <c r="Q176" s="29">
        <v>2532</v>
      </c>
      <c r="R176" s="29">
        <v>2550</v>
      </c>
      <c r="S176" s="29">
        <v>2602</v>
      </c>
      <c r="T176" s="29">
        <v>2589</v>
      </c>
      <c r="U176" s="29">
        <v>2607</v>
      </c>
      <c r="V176" s="29">
        <v>2600</v>
      </c>
      <c r="W176" s="29">
        <v>2590</v>
      </c>
      <c r="X176" s="29">
        <v>2655</v>
      </c>
      <c r="Y176" s="29">
        <v>2784</v>
      </c>
      <c r="Z176" s="29">
        <v>2751</v>
      </c>
      <c r="AA176" s="29">
        <v>2703</v>
      </c>
      <c r="AB176" s="29">
        <v>2703</v>
      </c>
      <c r="AC176" s="29">
        <v>2708</v>
      </c>
      <c r="AD176" s="29">
        <v>2730</v>
      </c>
      <c r="AE176" s="29">
        <v>2779</v>
      </c>
      <c r="AF176" s="29">
        <v>2773</v>
      </c>
      <c r="AG176" s="29">
        <v>2728</v>
      </c>
      <c r="AH176" s="29">
        <v>2761</v>
      </c>
      <c r="AI176" s="29">
        <v>2854</v>
      </c>
      <c r="AJ176" s="29">
        <v>2804</v>
      </c>
      <c r="AK176" s="29">
        <v>2892</v>
      </c>
      <c r="AL176" s="29">
        <v>2865</v>
      </c>
      <c r="AM176" s="29">
        <v>2841</v>
      </c>
      <c r="AN176" s="29">
        <v>2791</v>
      </c>
      <c r="AO176" s="29">
        <v>2821</v>
      </c>
      <c r="AP176" s="29">
        <v>2738</v>
      </c>
      <c r="AQ176" s="29">
        <v>2712</v>
      </c>
      <c r="AR176" s="29">
        <v>2754</v>
      </c>
      <c r="AS176" s="29">
        <v>2745</v>
      </c>
      <c r="AT176" s="29">
        <v>2822</v>
      </c>
      <c r="AU176" s="29">
        <v>2788</v>
      </c>
      <c r="AV176" s="29">
        <v>2772</v>
      </c>
      <c r="AW176" s="29">
        <v>2736</v>
      </c>
      <c r="AX176" s="29">
        <v>2870</v>
      </c>
      <c r="AY176" s="29">
        <v>2840</v>
      </c>
      <c r="AZ176" s="29">
        <v>2850</v>
      </c>
      <c r="BA176" s="29">
        <v>2830</v>
      </c>
      <c r="BB176" s="29">
        <v>2668</v>
      </c>
      <c r="BC176" s="29">
        <v>2756</v>
      </c>
      <c r="BD176" s="29">
        <v>2773</v>
      </c>
      <c r="BE176" s="29">
        <v>2899</v>
      </c>
      <c r="BF176" s="29">
        <v>2883</v>
      </c>
      <c r="BG176" s="29">
        <v>3030</v>
      </c>
      <c r="BH176" s="29">
        <v>3015</v>
      </c>
      <c r="BI176" s="29">
        <v>3220</v>
      </c>
      <c r="BJ176" s="29">
        <v>3125</v>
      </c>
      <c r="BK176" s="29">
        <v>3040</v>
      </c>
      <c r="BL176" s="30">
        <v>2926</v>
      </c>
      <c r="BM176" s="1">
        <v>2924</v>
      </c>
      <c r="BN176" s="1">
        <v>2833</v>
      </c>
      <c r="BO176" s="1">
        <v>2718</v>
      </c>
      <c r="BP176" s="1">
        <v>2749</v>
      </c>
      <c r="BQ176" s="1">
        <v>2558</v>
      </c>
      <c r="BR176" s="1">
        <v>2606</v>
      </c>
      <c r="BS176" s="1">
        <v>2575</v>
      </c>
      <c r="BT176" s="1">
        <v>2570</v>
      </c>
      <c r="BU176" s="1">
        <v>2617</v>
      </c>
      <c r="BV176" s="1">
        <v>2554</v>
      </c>
      <c r="BW176" s="1">
        <v>2585</v>
      </c>
      <c r="BX176" s="1">
        <v>2632</v>
      </c>
      <c r="BY176" s="1">
        <v>2687</v>
      </c>
      <c r="BZ176" s="1">
        <v>2735</v>
      </c>
    </row>
    <row r="177" spans="1:254" ht="15.9" customHeight="1">
      <c r="A177" s="65" t="s">
        <v>348</v>
      </c>
      <c r="B177" s="25" t="s">
        <v>349</v>
      </c>
      <c r="C177" s="39">
        <f>_xll.RssMarket("7236","高値")</f>
        <v>1562</v>
      </c>
      <c r="D177" s="38">
        <f t="shared" si="5"/>
        <v>0</v>
      </c>
      <c r="E177" s="34">
        <v>1562</v>
      </c>
      <c r="F177" s="34">
        <v>1535</v>
      </c>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30"/>
    </row>
    <row r="178" spans="1:254" ht="15.9" customHeight="1">
      <c r="A178" s="65" t="s">
        <v>350</v>
      </c>
      <c r="B178" s="25" t="s">
        <v>351</v>
      </c>
      <c r="C178" s="39">
        <f>_xll.RssMarket("6436","高値")</f>
        <v>3932</v>
      </c>
      <c r="D178" s="38">
        <f t="shared" si="5"/>
        <v>0</v>
      </c>
      <c r="E178" s="34">
        <v>3932</v>
      </c>
      <c r="F178" s="34">
        <v>3884</v>
      </c>
      <c r="G178" s="29">
        <v>3921</v>
      </c>
      <c r="H178" s="29">
        <v>3960</v>
      </c>
      <c r="I178" s="29">
        <v>3899</v>
      </c>
      <c r="J178" s="29">
        <v>3950</v>
      </c>
      <c r="K178" s="29">
        <v>3935</v>
      </c>
      <c r="L178" s="29">
        <v>4077</v>
      </c>
      <c r="M178" s="29">
        <v>4039</v>
      </c>
      <c r="N178" s="29"/>
      <c r="O178" s="29">
        <v>3851</v>
      </c>
      <c r="P178" s="29">
        <v>3845</v>
      </c>
      <c r="Q178" s="29">
        <v>3880</v>
      </c>
      <c r="R178" s="29">
        <v>3838</v>
      </c>
      <c r="S178" s="29">
        <v>3790</v>
      </c>
      <c r="T178" s="29">
        <v>3770</v>
      </c>
      <c r="U178" s="29">
        <v>3781</v>
      </c>
      <c r="V178" s="29">
        <v>3763</v>
      </c>
      <c r="W178" s="29">
        <v>3758</v>
      </c>
      <c r="X178" s="29">
        <v>3772</v>
      </c>
      <c r="Y178" s="29">
        <v>3772</v>
      </c>
      <c r="Z178" s="29">
        <v>3764</v>
      </c>
      <c r="AA178" s="29">
        <v>3729</v>
      </c>
      <c r="AB178" s="29">
        <v>3712</v>
      </c>
      <c r="AC178" s="29">
        <v>3675</v>
      </c>
      <c r="AD178" s="29">
        <v>3681</v>
      </c>
      <c r="AE178" s="29">
        <v>3691</v>
      </c>
      <c r="AF178" s="29">
        <v>3645</v>
      </c>
      <c r="AG178" s="29">
        <v>3630</v>
      </c>
      <c r="AH178" s="29">
        <v>3595</v>
      </c>
      <c r="AI178" s="29">
        <v>3605</v>
      </c>
      <c r="AJ178" s="29">
        <v>3597</v>
      </c>
      <c r="AK178" s="29">
        <v>3581</v>
      </c>
      <c r="AL178" s="29">
        <v>3581</v>
      </c>
      <c r="AM178" s="29">
        <v>3599</v>
      </c>
      <c r="AN178" s="29">
        <v>3578</v>
      </c>
      <c r="AO178" s="29">
        <v>3640</v>
      </c>
      <c r="AP178" s="29">
        <v>3637</v>
      </c>
      <c r="AQ178" s="29">
        <v>3646</v>
      </c>
      <c r="AR178" s="29">
        <v>3642</v>
      </c>
      <c r="AS178" s="29">
        <v>3577</v>
      </c>
      <c r="AT178" s="29">
        <v>3555</v>
      </c>
      <c r="AU178" s="29">
        <v>3526</v>
      </c>
      <c r="AV178" s="29">
        <v>3543</v>
      </c>
      <c r="AW178" s="29">
        <v>3544</v>
      </c>
      <c r="AX178" s="29">
        <v>3618</v>
      </c>
      <c r="AY178" s="29">
        <v>3585</v>
      </c>
      <c r="AZ178" s="29">
        <v>3574</v>
      </c>
      <c r="BA178" s="29">
        <v>3660</v>
      </c>
      <c r="BB178" s="29">
        <v>3635</v>
      </c>
      <c r="BC178" s="29">
        <v>3669</v>
      </c>
      <c r="BD178" s="29">
        <v>3696</v>
      </c>
      <c r="BE178" s="29">
        <v>3717</v>
      </c>
      <c r="BF178" s="29">
        <v>3687</v>
      </c>
      <c r="BG178" s="29">
        <v>3705</v>
      </c>
      <c r="BH178" s="29">
        <v>3689</v>
      </c>
      <c r="BI178" s="29">
        <v>3682</v>
      </c>
      <c r="BJ178" s="29">
        <v>3702</v>
      </c>
      <c r="BK178" s="29">
        <v>3711</v>
      </c>
      <c r="BL178" s="30">
        <v>3687</v>
      </c>
      <c r="BM178" s="1">
        <v>3627</v>
      </c>
      <c r="BN178" s="1">
        <v>3623</v>
      </c>
      <c r="BO178" s="1">
        <v>3717</v>
      </c>
      <c r="BP178" s="1">
        <v>3762</v>
      </c>
      <c r="BQ178" s="1">
        <v>3929</v>
      </c>
      <c r="BR178" s="1">
        <v>3845</v>
      </c>
      <c r="BS178" s="1">
        <v>3850</v>
      </c>
      <c r="BT178" s="1">
        <v>3876</v>
      </c>
      <c r="BU178" s="1">
        <v>3877</v>
      </c>
      <c r="BV178" s="1">
        <v>3969</v>
      </c>
      <c r="BW178" s="1">
        <v>3927</v>
      </c>
      <c r="BX178" s="1">
        <v>3912</v>
      </c>
      <c r="BY178" s="1">
        <v>3894</v>
      </c>
      <c r="BZ178" s="1">
        <v>3910</v>
      </c>
    </row>
    <row r="179" spans="1:254" ht="15.9" customHeight="1">
      <c r="A179" s="65" t="s">
        <v>352</v>
      </c>
      <c r="B179" s="25" t="s">
        <v>353</v>
      </c>
      <c r="C179" s="39">
        <f>_xll.RssMarket("5410","高値")</f>
        <v>2900</v>
      </c>
      <c r="D179" s="38">
        <f t="shared" si="5"/>
        <v>0</v>
      </c>
      <c r="E179" s="34">
        <v>2900</v>
      </c>
      <c r="F179" s="34">
        <v>2862</v>
      </c>
      <c r="G179" s="29">
        <v>2861</v>
      </c>
      <c r="H179" s="29">
        <v>2906</v>
      </c>
      <c r="I179" s="29">
        <v>2894</v>
      </c>
      <c r="J179" s="29">
        <v>2926</v>
      </c>
      <c r="K179" s="29">
        <v>2949</v>
      </c>
      <c r="L179" s="29">
        <v>2847</v>
      </c>
      <c r="M179" s="29">
        <v>2827</v>
      </c>
      <c r="N179" s="29">
        <v>2779</v>
      </c>
      <c r="O179" s="29">
        <v>2780</v>
      </c>
      <c r="P179" s="29">
        <v>2736</v>
      </c>
      <c r="Q179" s="29">
        <v>2726</v>
      </c>
      <c r="R179" s="29">
        <v>2702</v>
      </c>
      <c r="S179" s="29">
        <v>2702</v>
      </c>
      <c r="T179" s="29">
        <v>2713</v>
      </c>
      <c r="U179" s="29">
        <v>2731</v>
      </c>
      <c r="V179" s="29">
        <v>2715</v>
      </c>
      <c r="W179" s="29">
        <v>2682</v>
      </c>
      <c r="X179" s="29">
        <v>2706</v>
      </c>
      <c r="Y179" s="29">
        <v>2730</v>
      </c>
      <c r="Z179" s="29">
        <v>2699</v>
      </c>
      <c r="AA179" s="29">
        <v>2662</v>
      </c>
      <c r="AB179" s="29">
        <v>2607</v>
      </c>
      <c r="AC179" s="29">
        <v>2587</v>
      </c>
      <c r="AD179" s="29">
        <v>2626</v>
      </c>
      <c r="AE179" s="29">
        <v>2622</v>
      </c>
      <c r="AF179" s="29">
        <v>2602</v>
      </c>
      <c r="AG179" s="29">
        <v>2602</v>
      </c>
      <c r="AH179" s="29">
        <v>2620</v>
      </c>
      <c r="AI179" s="29">
        <v>2604</v>
      </c>
      <c r="AJ179" s="29">
        <v>2625</v>
      </c>
      <c r="AK179" s="29">
        <v>2633</v>
      </c>
      <c r="AL179" s="29">
        <v>2624</v>
      </c>
      <c r="AM179" s="29">
        <v>2668</v>
      </c>
      <c r="AN179" s="29">
        <v>2623</v>
      </c>
      <c r="AO179" s="29">
        <v>2656</v>
      </c>
      <c r="AP179" s="29">
        <v>2609</v>
      </c>
      <c r="AQ179" s="29">
        <v>2555</v>
      </c>
      <c r="AR179" s="29">
        <v>2553</v>
      </c>
      <c r="AS179" s="29">
        <v>2588</v>
      </c>
      <c r="AT179" s="29">
        <v>2593</v>
      </c>
      <c r="AU179" s="29">
        <v>2579</v>
      </c>
      <c r="AV179" s="29">
        <v>2617</v>
      </c>
      <c r="AW179" s="29">
        <v>2601</v>
      </c>
      <c r="AX179" s="29">
        <v>2776</v>
      </c>
      <c r="AY179" s="29">
        <v>2733</v>
      </c>
      <c r="AZ179" s="29">
        <v>2722</v>
      </c>
      <c r="BA179" s="29">
        <v>2693</v>
      </c>
      <c r="BB179" s="29">
        <v>2725</v>
      </c>
      <c r="BC179" s="29">
        <v>2729</v>
      </c>
      <c r="BD179" s="29">
        <v>2762</v>
      </c>
      <c r="BE179" s="29">
        <v>2816</v>
      </c>
      <c r="BF179" s="29">
        <v>2838</v>
      </c>
      <c r="BG179" s="29">
        <v>2875</v>
      </c>
      <c r="BH179" s="29">
        <v>2871</v>
      </c>
      <c r="BI179" s="29">
        <v>2880</v>
      </c>
      <c r="BJ179" s="29">
        <v>2875</v>
      </c>
      <c r="BK179" s="29">
        <v>2886</v>
      </c>
      <c r="BL179" s="30">
        <v>2892</v>
      </c>
      <c r="BM179" s="1">
        <v>2919</v>
      </c>
      <c r="BN179" s="1">
        <v>2896</v>
      </c>
      <c r="BO179" s="1">
        <v>2926</v>
      </c>
      <c r="BP179" s="1">
        <v>3035</v>
      </c>
      <c r="BQ179" s="1">
        <v>3635</v>
      </c>
      <c r="BR179" s="1">
        <v>3460</v>
      </c>
      <c r="BS179" s="1">
        <v>3510</v>
      </c>
      <c r="BT179" s="1">
        <v>3545</v>
      </c>
      <c r="BU179" s="1">
        <v>3570</v>
      </c>
      <c r="BV179" s="1">
        <v>3575</v>
      </c>
      <c r="BW179" s="1">
        <v>3575</v>
      </c>
      <c r="BX179" s="1">
        <v>3580</v>
      </c>
      <c r="BY179" s="1">
        <v>3605</v>
      </c>
      <c r="BZ179" s="1">
        <v>3580</v>
      </c>
    </row>
    <row r="180" spans="1:254" ht="15.9" customHeight="1">
      <c r="A180" s="65" t="s">
        <v>354</v>
      </c>
      <c r="B180" s="25" t="s">
        <v>355</v>
      </c>
      <c r="C180" s="39">
        <f>_xll.RssMarket("5440","高値")</f>
        <v>1902</v>
      </c>
      <c r="D180" s="38">
        <f t="shared" si="5"/>
        <v>0</v>
      </c>
      <c r="E180" s="34">
        <v>1902</v>
      </c>
      <c r="F180" s="34">
        <v>1873</v>
      </c>
      <c r="G180" s="29">
        <v>1886</v>
      </c>
      <c r="H180" s="29">
        <v>1897</v>
      </c>
      <c r="I180" s="29">
        <v>2027</v>
      </c>
      <c r="J180" s="29">
        <v>2021</v>
      </c>
      <c r="K180" s="29">
        <v>1992</v>
      </c>
      <c r="L180" s="29">
        <v>1946</v>
      </c>
      <c r="M180" s="29">
        <v>1930</v>
      </c>
      <c r="N180" s="29"/>
      <c r="O180" s="29">
        <v>1903</v>
      </c>
      <c r="P180" s="29">
        <v>1890</v>
      </c>
      <c r="Q180" s="29">
        <v>1892</v>
      </c>
      <c r="R180" s="29">
        <v>1850</v>
      </c>
      <c r="S180" s="29">
        <v>1855</v>
      </c>
      <c r="T180" s="29">
        <v>1832</v>
      </c>
      <c r="U180" s="29">
        <v>1829</v>
      </c>
      <c r="V180" s="29">
        <v>1816</v>
      </c>
      <c r="W180" s="29">
        <v>1804</v>
      </c>
      <c r="X180" s="29">
        <v>1813</v>
      </c>
      <c r="Y180" s="29">
        <v>1831</v>
      </c>
      <c r="Z180" s="29">
        <v>1802</v>
      </c>
      <c r="AA180" s="29">
        <v>1784</v>
      </c>
      <c r="AB180" s="29">
        <v>1761</v>
      </c>
      <c r="AC180" s="29">
        <v>1752</v>
      </c>
      <c r="AD180" s="29">
        <v>1756</v>
      </c>
      <c r="AE180" s="29">
        <v>1766</v>
      </c>
      <c r="AF180" s="29">
        <v>1740</v>
      </c>
      <c r="AG180" s="29">
        <v>1726</v>
      </c>
      <c r="AH180" s="29">
        <v>1728</v>
      </c>
      <c r="AI180" s="29">
        <v>1750</v>
      </c>
      <c r="AJ180" s="29">
        <v>1767</v>
      </c>
      <c r="AK180" s="29">
        <v>1767</v>
      </c>
      <c r="AL180" s="29">
        <v>1756</v>
      </c>
      <c r="AM180" s="29">
        <v>1787</v>
      </c>
      <c r="AN180" s="29">
        <v>1772</v>
      </c>
      <c r="AO180" s="29">
        <v>1788</v>
      </c>
      <c r="AP180" s="29">
        <v>1771</v>
      </c>
      <c r="AQ180" s="29">
        <v>1721</v>
      </c>
      <c r="AR180" s="29">
        <v>1727</v>
      </c>
      <c r="AS180" s="29">
        <v>1743</v>
      </c>
      <c r="AT180" s="29">
        <v>1766</v>
      </c>
      <c r="AU180" s="29">
        <v>1754</v>
      </c>
      <c r="AV180" s="29">
        <v>1757</v>
      </c>
      <c r="AW180" s="29">
        <v>1750</v>
      </c>
      <c r="AX180" s="29">
        <v>1839</v>
      </c>
      <c r="AY180" s="29">
        <v>1837</v>
      </c>
      <c r="AZ180" s="29">
        <v>1836</v>
      </c>
      <c r="BA180" s="29">
        <v>1880</v>
      </c>
      <c r="BB180" s="29">
        <v>1862</v>
      </c>
      <c r="BC180" s="29">
        <v>1865</v>
      </c>
      <c r="BD180" s="29">
        <v>1831</v>
      </c>
      <c r="BE180" s="29">
        <v>1865</v>
      </c>
      <c r="BF180" s="29">
        <v>1875</v>
      </c>
      <c r="BG180" s="29">
        <v>1883</v>
      </c>
      <c r="BH180" s="29">
        <v>1890</v>
      </c>
      <c r="BI180" s="29">
        <v>1841</v>
      </c>
      <c r="BJ180" s="29">
        <v>1847</v>
      </c>
      <c r="BK180" s="29">
        <v>1840</v>
      </c>
      <c r="BL180" s="30">
        <v>1828</v>
      </c>
      <c r="BM180" s="1">
        <v>1847</v>
      </c>
      <c r="BN180" s="1">
        <v>1915</v>
      </c>
      <c r="BO180" s="1">
        <v>2267</v>
      </c>
      <c r="BP180" s="1">
        <v>2185</v>
      </c>
      <c r="BQ180" s="1">
        <v>2240</v>
      </c>
      <c r="BR180" s="1">
        <v>2254</v>
      </c>
      <c r="BS180" s="1">
        <v>2276</v>
      </c>
      <c r="BT180" s="1">
        <v>2280</v>
      </c>
      <c r="BU180" s="1">
        <v>2334</v>
      </c>
      <c r="BV180" s="1">
        <v>2313</v>
      </c>
      <c r="BW180" s="1">
        <v>2313</v>
      </c>
      <c r="BX180" s="1">
        <v>2347</v>
      </c>
      <c r="BY180" s="1">
        <v>2373</v>
      </c>
      <c r="BZ180" s="1">
        <v>2373</v>
      </c>
    </row>
    <row r="181" spans="1:254" ht="15.9" customHeight="1">
      <c r="A181" s="65" t="s">
        <v>356</v>
      </c>
      <c r="B181" s="25" t="s">
        <v>357</v>
      </c>
      <c r="C181" s="39">
        <f>_xll.RssMarket("9505","高値")</f>
        <v>928.2</v>
      </c>
      <c r="D181" s="38">
        <f t="shared" si="5"/>
        <v>0</v>
      </c>
      <c r="E181" s="34">
        <v>928.2</v>
      </c>
      <c r="F181" s="34">
        <v>939.6</v>
      </c>
      <c r="G181" s="29">
        <v>960</v>
      </c>
      <c r="H181" s="29">
        <v>955</v>
      </c>
      <c r="I181" s="29">
        <v>983.7</v>
      </c>
      <c r="J181" s="29">
        <v>1018.5</v>
      </c>
      <c r="K181" s="29">
        <v>993.7</v>
      </c>
      <c r="L181" s="29">
        <v>972.6</v>
      </c>
      <c r="M181" s="29">
        <v>969.3</v>
      </c>
      <c r="N181" s="29">
        <v>947</v>
      </c>
      <c r="O181" s="29">
        <v>951.5</v>
      </c>
      <c r="P181" s="29">
        <v>942.2</v>
      </c>
      <c r="Q181" s="29">
        <v>941</v>
      </c>
      <c r="R181" s="29">
        <v>921.8</v>
      </c>
      <c r="S181" s="29">
        <v>919.8</v>
      </c>
      <c r="T181" s="29">
        <v>904.7</v>
      </c>
      <c r="U181" s="29">
        <v>909.5</v>
      </c>
      <c r="V181" s="29">
        <v>911.5</v>
      </c>
      <c r="W181" s="29">
        <v>920.7</v>
      </c>
      <c r="X181" s="29">
        <v>922</v>
      </c>
      <c r="Y181" s="29">
        <v>921.5</v>
      </c>
      <c r="Z181" s="29">
        <v>922.7</v>
      </c>
      <c r="AA181" s="29">
        <v>899.5</v>
      </c>
      <c r="AB181" s="29">
        <v>892.8</v>
      </c>
      <c r="AC181" s="29">
        <v>876.1</v>
      </c>
      <c r="AD181" s="29">
        <v>880.4</v>
      </c>
      <c r="AE181" s="29">
        <v>879.5</v>
      </c>
      <c r="AF181" s="29">
        <v>876.9</v>
      </c>
      <c r="AG181" s="29">
        <v>870.5</v>
      </c>
      <c r="AH181" s="29">
        <v>861</v>
      </c>
      <c r="AI181" s="29">
        <v>852.5</v>
      </c>
      <c r="AJ181" s="29">
        <v>849.7</v>
      </c>
      <c r="AK181" s="29">
        <v>854.6</v>
      </c>
      <c r="AL181" s="29">
        <v>863.8</v>
      </c>
      <c r="AM181" s="29">
        <v>859.5</v>
      </c>
      <c r="AN181" s="29">
        <v>873.2</v>
      </c>
      <c r="AO181" s="29">
        <v>888</v>
      </c>
      <c r="AP181" s="29">
        <v>866.5</v>
      </c>
      <c r="AQ181" s="29">
        <v>869</v>
      </c>
      <c r="AR181" s="29">
        <v>857.8</v>
      </c>
      <c r="AS181" s="29">
        <v>833.3</v>
      </c>
      <c r="AT181" s="29">
        <v>827.2</v>
      </c>
      <c r="AU181" s="29">
        <v>813</v>
      </c>
      <c r="AV181" s="29">
        <v>827.1</v>
      </c>
      <c r="AW181" s="29">
        <v>811.7</v>
      </c>
      <c r="AX181" s="29">
        <v>843.6</v>
      </c>
      <c r="AY181" s="29">
        <v>861.2</v>
      </c>
      <c r="AZ181" s="29">
        <v>867.7</v>
      </c>
      <c r="BA181" s="29">
        <v>870.4</v>
      </c>
      <c r="BB181" s="29">
        <v>882.5</v>
      </c>
      <c r="BC181" s="29">
        <v>881.5</v>
      </c>
      <c r="BD181" s="29">
        <v>886.7</v>
      </c>
      <c r="BE181" s="29">
        <v>879.7</v>
      </c>
      <c r="BF181" s="29">
        <v>901</v>
      </c>
      <c r="BG181" s="29">
        <v>921.8</v>
      </c>
      <c r="BH181" s="29">
        <v>922</v>
      </c>
      <c r="BI181" s="29">
        <v>927.7</v>
      </c>
      <c r="BJ181" s="29">
        <v>921.2</v>
      </c>
      <c r="BK181" s="29">
        <v>905.1</v>
      </c>
      <c r="BL181" s="30">
        <v>914.7</v>
      </c>
      <c r="BM181" s="1">
        <v>900.5</v>
      </c>
      <c r="BN181" s="1">
        <v>871.7</v>
      </c>
      <c r="BO181" s="1">
        <v>916.6</v>
      </c>
      <c r="BP181" s="1">
        <v>1005</v>
      </c>
      <c r="BQ181" s="1">
        <v>994</v>
      </c>
      <c r="BR181" s="1">
        <v>1006.5</v>
      </c>
      <c r="BS181" s="1">
        <v>998.3</v>
      </c>
      <c r="BT181" s="1">
        <v>1011.5</v>
      </c>
      <c r="BU181" s="1">
        <v>1032</v>
      </c>
      <c r="BV181" s="1">
        <v>1064</v>
      </c>
      <c r="BW181" s="1">
        <v>1080</v>
      </c>
      <c r="BX181" s="1">
        <v>1090</v>
      </c>
      <c r="BY181" s="1">
        <v>1097</v>
      </c>
      <c r="BZ181" s="1">
        <v>1096.5</v>
      </c>
    </row>
    <row r="182" spans="1:254" ht="15.9" customHeight="1">
      <c r="A182" s="65" t="s">
        <v>358</v>
      </c>
      <c r="B182" s="25" t="s">
        <v>359</v>
      </c>
      <c r="C182" s="39">
        <f>_xll.RssMarket("8091","高値")</f>
        <v>2372</v>
      </c>
      <c r="D182" s="38">
        <f t="shared" si="5"/>
        <v>0</v>
      </c>
      <c r="E182" s="34">
        <v>2372</v>
      </c>
      <c r="F182" s="34">
        <v>2358</v>
      </c>
      <c r="G182" s="29">
        <v>2385</v>
      </c>
      <c r="H182" s="29">
        <v>2400</v>
      </c>
      <c r="I182" s="29">
        <v>2406</v>
      </c>
      <c r="J182" s="29">
        <v>2399</v>
      </c>
      <c r="K182" s="29">
        <v>2388</v>
      </c>
      <c r="L182" s="29">
        <v>2358</v>
      </c>
      <c r="M182" s="29">
        <v>2352</v>
      </c>
      <c r="N182" s="29">
        <v>2336</v>
      </c>
      <c r="O182" s="29">
        <v>2344</v>
      </c>
      <c r="P182" s="29">
        <v>2352</v>
      </c>
      <c r="Q182" s="29">
        <v>2351</v>
      </c>
      <c r="R182" s="29">
        <v>2340</v>
      </c>
      <c r="S182" s="29">
        <v>2323</v>
      </c>
      <c r="T182" s="29">
        <v>2289</v>
      </c>
      <c r="U182" s="29">
        <v>2319</v>
      </c>
      <c r="V182" s="29">
        <v>2311</v>
      </c>
      <c r="W182" s="29">
        <v>2288</v>
      </c>
      <c r="X182" s="29">
        <v>2338</v>
      </c>
      <c r="Y182" s="29">
        <v>2349</v>
      </c>
      <c r="Z182" s="29">
        <v>2340</v>
      </c>
      <c r="AA182" s="29">
        <v>2310</v>
      </c>
      <c r="AB182" s="29">
        <v>2296</v>
      </c>
      <c r="AC182" s="29">
        <v>2297</v>
      </c>
      <c r="AD182" s="29">
        <v>2300</v>
      </c>
      <c r="AE182" s="29">
        <v>2301</v>
      </c>
      <c r="AF182" s="29">
        <v>2285</v>
      </c>
      <c r="AG182" s="29">
        <v>2308</v>
      </c>
      <c r="AH182" s="29">
        <v>2287</v>
      </c>
      <c r="AI182" s="29">
        <v>2294</v>
      </c>
      <c r="AJ182" s="29">
        <v>2294</v>
      </c>
      <c r="AK182" s="29">
        <v>2300</v>
      </c>
      <c r="AL182" s="29">
        <v>2261</v>
      </c>
      <c r="AM182" s="29">
        <v>2240</v>
      </c>
      <c r="AN182" s="29">
        <v>2214</v>
      </c>
      <c r="AO182" s="29">
        <v>2228</v>
      </c>
      <c r="AP182" s="29">
        <v>2200</v>
      </c>
      <c r="AQ182" s="29">
        <v>2211</v>
      </c>
      <c r="AR182" s="29">
        <v>2206</v>
      </c>
      <c r="AS182" s="29">
        <v>2210</v>
      </c>
      <c r="AT182" s="29">
        <v>2228</v>
      </c>
      <c r="AU182" s="29">
        <v>2181</v>
      </c>
      <c r="AV182" s="29">
        <v>2147</v>
      </c>
      <c r="AW182" s="29">
        <v>2135</v>
      </c>
      <c r="AX182" s="29">
        <v>2186</v>
      </c>
      <c r="AY182" s="29">
        <v>2175</v>
      </c>
      <c r="AZ182" s="29">
        <v>2149</v>
      </c>
      <c r="BA182" s="29">
        <v>2146</v>
      </c>
      <c r="BB182" s="29">
        <v>2169</v>
      </c>
      <c r="BC182" s="29">
        <v>2177</v>
      </c>
      <c r="BD182" s="29">
        <v>2190</v>
      </c>
      <c r="BE182" s="29">
        <v>2197</v>
      </c>
      <c r="BF182" s="29">
        <v>2206</v>
      </c>
      <c r="BG182" s="29">
        <v>2311</v>
      </c>
      <c r="BH182" s="29">
        <v>2285</v>
      </c>
      <c r="BI182" s="29">
        <v>2281</v>
      </c>
      <c r="BJ182" s="29">
        <v>2278</v>
      </c>
      <c r="BK182" s="29">
        <v>2285</v>
      </c>
      <c r="BL182" s="30">
        <v>2256</v>
      </c>
      <c r="BM182" s="1">
        <v>2262</v>
      </c>
      <c r="BN182" s="1">
        <v>2253</v>
      </c>
      <c r="BO182" s="1">
        <v>2270</v>
      </c>
      <c r="BP182" s="1">
        <v>2307</v>
      </c>
      <c r="BQ182" s="1">
        <v>2397</v>
      </c>
      <c r="BR182" s="1">
        <v>2452</v>
      </c>
      <c r="BS182" s="1">
        <v>2478</v>
      </c>
      <c r="BT182" s="1">
        <v>2495</v>
      </c>
      <c r="BU182" s="1">
        <v>2507</v>
      </c>
      <c r="BV182" s="1">
        <v>2522</v>
      </c>
      <c r="BW182" s="1">
        <v>2530</v>
      </c>
      <c r="BX182" s="1">
        <v>2545</v>
      </c>
      <c r="BY182" s="1">
        <v>2553</v>
      </c>
      <c r="BZ182" s="1">
        <v>2556</v>
      </c>
    </row>
    <row r="183" spans="1:254" ht="15.9" customHeight="1">
      <c r="A183" s="65" t="s">
        <v>360</v>
      </c>
      <c r="B183" s="25" t="s">
        <v>361</v>
      </c>
      <c r="C183" s="39">
        <f>_xll.RssMarket("6507","高値")</f>
        <v>15010</v>
      </c>
      <c r="D183" s="38">
        <f t="shared" si="5"/>
        <v>0</v>
      </c>
      <c r="E183" s="34">
        <v>15010</v>
      </c>
      <c r="F183" s="34">
        <v>15060</v>
      </c>
      <c r="G183" s="29">
        <v>14190</v>
      </c>
      <c r="H183" s="29">
        <v>13550</v>
      </c>
      <c r="I183" s="29">
        <v>13660</v>
      </c>
      <c r="J183" s="29">
        <v>12600</v>
      </c>
      <c r="K183" s="29">
        <v>12790</v>
      </c>
      <c r="L183" s="29">
        <v>13450</v>
      </c>
      <c r="M183" s="29">
        <v>14380</v>
      </c>
      <c r="N183" s="29">
        <v>14320</v>
      </c>
      <c r="O183" s="29">
        <v>14380</v>
      </c>
      <c r="P183" s="29">
        <v>14470</v>
      </c>
      <c r="Q183" s="29">
        <v>14000</v>
      </c>
      <c r="R183" s="29">
        <v>14150</v>
      </c>
      <c r="S183" s="29">
        <v>14990</v>
      </c>
      <c r="T183" s="29">
        <v>14360</v>
      </c>
      <c r="U183" s="29">
        <v>15200</v>
      </c>
      <c r="V183" s="29">
        <v>15610</v>
      </c>
      <c r="W183" s="29">
        <v>15090</v>
      </c>
      <c r="X183" s="29">
        <v>15440</v>
      </c>
      <c r="Y183" s="29">
        <v>16700</v>
      </c>
      <c r="Z183" s="29">
        <v>16660</v>
      </c>
      <c r="AA183" s="29">
        <v>15690</v>
      </c>
      <c r="AB183" s="29">
        <v>16000</v>
      </c>
      <c r="AC183" s="29">
        <v>16630</v>
      </c>
      <c r="AD183" s="29">
        <v>16500</v>
      </c>
      <c r="AE183" s="29">
        <v>15400</v>
      </c>
      <c r="AF183" s="29">
        <v>15810</v>
      </c>
      <c r="AG183" s="29">
        <v>16500</v>
      </c>
      <c r="AH183" s="29">
        <v>16050</v>
      </c>
      <c r="AI183" s="29">
        <v>16900</v>
      </c>
      <c r="AJ183" s="29">
        <v>16890</v>
      </c>
      <c r="AK183" s="29">
        <v>16770</v>
      </c>
      <c r="AL183" s="29">
        <v>16460</v>
      </c>
      <c r="AM183" s="29">
        <v>15880</v>
      </c>
      <c r="AN183" s="29">
        <v>14800</v>
      </c>
      <c r="AO183" s="29">
        <v>14160</v>
      </c>
      <c r="AP183" s="29">
        <v>13900</v>
      </c>
      <c r="AQ183" s="29">
        <v>13310</v>
      </c>
      <c r="AR183" s="29">
        <v>13900</v>
      </c>
      <c r="AS183" s="29">
        <v>14610</v>
      </c>
      <c r="AT183" s="29">
        <v>15480</v>
      </c>
      <c r="AU183" s="29">
        <v>15340</v>
      </c>
      <c r="AV183" s="29">
        <v>14490</v>
      </c>
      <c r="AW183" s="29">
        <v>14420</v>
      </c>
      <c r="AX183" s="29">
        <v>14300</v>
      </c>
      <c r="AY183" s="29">
        <v>14450</v>
      </c>
      <c r="AZ183" s="29">
        <v>15310</v>
      </c>
      <c r="BA183" s="29">
        <v>14610</v>
      </c>
      <c r="BB183" s="29">
        <v>14240</v>
      </c>
      <c r="BC183" s="29">
        <v>13800</v>
      </c>
      <c r="BD183" s="29">
        <v>13290</v>
      </c>
      <c r="BE183" s="29">
        <v>15720</v>
      </c>
      <c r="BF183" s="29">
        <v>15460</v>
      </c>
      <c r="BG183" s="29">
        <v>16900</v>
      </c>
      <c r="BH183" s="29">
        <v>16110</v>
      </c>
      <c r="BI183" s="29">
        <v>14820</v>
      </c>
      <c r="BJ183" s="29">
        <v>15290</v>
      </c>
      <c r="BK183" s="29">
        <v>15200</v>
      </c>
      <c r="BL183" s="30">
        <v>14950</v>
      </c>
      <c r="BM183" s="1">
        <v>15640</v>
      </c>
      <c r="BN183" s="1">
        <v>14640</v>
      </c>
      <c r="BO183" s="1">
        <v>14430</v>
      </c>
      <c r="BP183" s="1">
        <v>14150</v>
      </c>
      <c r="BQ183" s="1">
        <v>13900</v>
      </c>
      <c r="BR183" s="1">
        <v>13470</v>
      </c>
      <c r="BS183" s="1">
        <v>13600</v>
      </c>
      <c r="BT183" s="1">
        <v>13480</v>
      </c>
      <c r="BU183" s="1">
        <v>13720</v>
      </c>
      <c r="BV183" s="1">
        <v>13920</v>
      </c>
      <c r="BW183" s="1">
        <v>13890</v>
      </c>
      <c r="BX183" s="1">
        <v>14060</v>
      </c>
      <c r="BY183" s="1">
        <v>13550</v>
      </c>
      <c r="BZ183" s="1">
        <v>13700</v>
      </c>
    </row>
    <row r="184" spans="1:254" ht="15.9" customHeight="1">
      <c r="A184" s="65" t="s">
        <v>362</v>
      </c>
      <c r="B184" s="25" t="s">
        <v>363</v>
      </c>
      <c r="C184" s="39">
        <f>_xll.RssMarket("9022","高値")</f>
        <v>3880</v>
      </c>
      <c r="D184" s="38">
        <f t="shared" si="5"/>
        <v>0</v>
      </c>
      <c r="E184" s="34">
        <v>3880</v>
      </c>
      <c r="F184" s="34">
        <v>3844</v>
      </c>
      <c r="G184" s="29">
        <v>3923</v>
      </c>
      <c r="H184" s="29">
        <v>3999</v>
      </c>
      <c r="I184" s="29">
        <v>4090</v>
      </c>
      <c r="J184" s="29">
        <v>4268</v>
      </c>
      <c r="K184" s="29">
        <v>4291</v>
      </c>
      <c r="L184" s="29">
        <v>4095</v>
      </c>
      <c r="M184" s="29">
        <v>4050</v>
      </c>
      <c r="N184" s="29">
        <v>3904</v>
      </c>
      <c r="O184" s="29">
        <v>3830</v>
      </c>
      <c r="P184" s="29">
        <v>3806</v>
      </c>
      <c r="Q184" s="29">
        <v>3880</v>
      </c>
      <c r="R184" s="29">
        <v>3803</v>
      </c>
      <c r="S184" s="29">
        <v>3750</v>
      </c>
      <c r="T184" s="29">
        <v>3736</v>
      </c>
      <c r="U184" s="29">
        <v>3671</v>
      </c>
      <c r="V184" s="29">
        <v>3677</v>
      </c>
      <c r="W184" s="29">
        <v>3659</v>
      </c>
      <c r="X184" s="29">
        <v>3720</v>
      </c>
      <c r="Y184" s="29">
        <v>3723</v>
      </c>
      <c r="Z184" s="29">
        <v>3559</v>
      </c>
      <c r="AA184" s="29">
        <v>3570</v>
      </c>
      <c r="AB184" s="29">
        <v>3517</v>
      </c>
      <c r="AC184" s="29">
        <v>3456</v>
      </c>
      <c r="AD184" s="29">
        <v>3507</v>
      </c>
      <c r="AE184" s="29">
        <v>3506</v>
      </c>
      <c r="AF184" s="29">
        <v>3420</v>
      </c>
      <c r="AG184" s="29">
        <v>3383</v>
      </c>
      <c r="AH184" s="29">
        <v>3397</v>
      </c>
      <c r="AI184" s="29">
        <v>3359</v>
      </c>
      <c r="AJ184" s="29">
        <v>3259</v>
      </c>
      <c r="AK184" s="29">
        <v>3269</v>
      </c>
      <c r="AL184" s="29">
        <v>3352</v>
      </c>
      <c r="AM184" s="29">
        <v>3371</v>
      </c>
      <c r="AN184" s="29">
        <v>3351</v>
      </c>
      <c r="AO184" s="29">
        <v>3428</v>
      </c>
      <c r="AP184" s="29">
        <v>3410</v>
      </c>
      <c r="AQ184" s="29">
        <v>3516</v>
      </c>
      <c r="AR184" s="29">
        <v>3509</v>
      </c>
      <c r="AS184" s="29">
        <v>3394</v>
      </c>
      <c r="AT184" s="29">
        <v>3390</v>
      </c>
      <c r="AU184" s="29">
        <v>3323</v>
      </c>
      <c r="AV184" s="29">
        <v>3348</v>
      </c>
      <c r="AW184" s="29">
        <v>3398</v>
      </c>
      <c r="AX184" s="29">
        <v>3532</v>
      </c>
      <c r="AY184" s="29">
        <v>3526</v>
      </c>
      <c r="AZ184" s="29">
        <v>3540</v>
      </c>
      <c r="BA184" s="29">
        <v>3553</v>
      </c>
      <c r="BB184" s="29">
        <v>3573</v>
      </c>
      <c r="BC184" s="29">
        <v>3601</v>
      </c>
      <c r="BD184" s="29">
        <v>3609</v>
      </c>
      <c r="BE184" s="29">
        <v>3634</v>
      </c>
      <c r="BF184" s="29">
        <v>3627</v>
      </c>
      <c r="BG184" s="29">
        <v>3641</v>
      </c>
      <c r="BH184" s="29">
        <v>3659</v>
      </c>
      <c r="BI184" s="29">
        <v>3663</v>
      </c>
      <c r="BJ184" s="29">
        <v>3613</v>
      </c>
      <c r="BK184" s="29">
        <v>3647</v>
      </c>
      <c r="BL184" s="30">
        <v>3715</v>
      </c>
      <c r="BM184" s="1">
        <v>3721</v>
      </c>
      <c r="BN184" s="1">
        <v>3707</v>
      </c>
      <c r="BO184" s="1">
        <v>3833</v>
      </c>
      <c r="BP184" s="1">
        <v>4161</v>
      </c>
      <c r="BQ184" s="1">
        <v>4102</v>
      </c>
      <c r="BR184" s="1">
        <v>4122</v>
      </c>
      <c r="BS184" s="1">
        <v>4101</v>
      </c>
      <c r="BT184" s="1">
        <v>4200</v>
      </c>
      <c r="BU184" s="1">
        <v>4290</v>
      </c>
      <c r="BV184" s="1">
        <v>4275</v>
      </c>
      <c r="BW184" s="1">
        <v>4290</v>
      </c>
      <c r="BX184" s="1">
        <v>4341</v>
      </c>
      <c r="BY184" s="1">
        <v>4430</v>
      </c>
      <c r="BZ184" s="1">
        <v>4261</v>
      </c>
    </row>
    <row r="185" spans="1:254" ht="15.9" customHeight="1">
      <c r="A185" s="65" t="s">
        <v>364</v>
      </c>
      <c r="B185" s="25" t="s">
        <v>365</v>
      </c>
      <c r="C185" s="39">
        <f>_xll.RssMarket("9536","高値")</f>
        <v>2380</v>
      </c>
      <c r="D185" s="38">
        <f t="shared" si="5"/>
        <v>0</v>
      </c>
      <c r="E185" s="34">
        <v>2380</v>
      </c>
      <c r="F185" s="34">
        <v>2397</v>
      </c>
      <c r="G185" s="29">
        <v>2427</v>
      </c>
      <c r="H185" s="29">
        <v>2440</v>
      </c>
      <c r="I185" s="29">
        <v>2399</v>
      </c>
      <c r="J185" s="29">
        <v>2382</v>
      </c>
      <c r="K185" s="29">
        <v>2372</v>
      </c>
      <c r="L185" s="29">
        <v>2371</v>
      </c>
      <c r="M185" s="29">
        <v>2393</v>
      </c>
      <c r="N185" s="29">
        <v>2361</v>
      </c>
      <c r="O185" s="29">
        <v>2365</v>
      </c>
      <c r="P185" s="29">
        <v>2369</v>
      </c>
      <c r="Q185" s="29">
        <v>2368</v>
      </c>
      <c r="R185" s="29">
        <v>2341</v>
      </c>
      <c r="S185" s="29">
        <v>2335</v>
      </c>
      <c r="T185" s="29">
        <v>2329</v>
      </c>
      <c r="U185" s="29">
        <v>2346</v>
      </c>
      <c r="V185" s="29">
        <v>2340</v>
      </c>
      <c r="W185" s="29">
        <v>2359</v>
      </c>
      <c r="X185" s="29">
        <v>2360</v>
      </c>
      <c r="Y185" s="29">
        <v>2336</v>
      </c>
      <c r="Z185" s="29">
        <v>2319</v>
      </c>
      <c r="AA185" s="29">
        <v>2275</v>
      </c>
      <c r="AB185" s="29">
        <v>2244</v>
      </c>
      <c r="AC185" s="29">
        <v>2249</v>
      </c>
      <c r="AD185" s="29">
        <v>2270</v>
      </c>
      <c r="AE185" s="29">
        <v>2278</v>
      </c>
      <c r="AF185" s="29">
        <v>2246</v>
      </c>
      <c r="AG185" s="29">
        <v>2240</v>
      </c>
      <c r="AH185" s="29">
        <v>2232</v>
      </c>
      <c r="AI185" s="29">
        <v>2219</v>
      </c>
      <c r="AJ185" s="29">
        <v>2231</v>
      </c>
      <c r="AK185" s="29">
        <v>2254</v>
      </c>
      <c r="AL185" s="29">
        <v>2253</v>
      </c>
      <c r="AM185" s="29">
        <v>2262</v>
      </c>
      <c r="AN185" s="29">
        <v>2278</v>
      </c>
      <c r="AO185" s="29">
        <v>2275</v>
      </c>
      <c r="AP185" s="29">
        <v>2248</v>
      </c>
      <c r="AQ185" s="29">
        <v>2244</v>
      </c>
      <c r="AR185" s="29">
        <v>2245</v>
      </c>
      <c r="AS185" s="29">
        <v>2210</v>
      </c>
      <c r="AT185" s="29">
        <v>2230</v>
      </c>
      <c r="AU185" s="29">
        <v>2191</v>
      </c>
      <c r="AV185" s="29">
        <v>2193</v>
      </c>
      <c r="AW185" s="29">
        <v>2181</v>
      </c>
      <c r="AX185" s="29">
        <v>2227</v>
      </c>
      <c r="AY185" s="29">
        <v>2210</v>
      </c>
      <c r="AZ185" s="29">
        <v>2225</v>
      </c>
      <c r="BA185" s="29">
        <v>2228</v>
      </c>
      <c r="BB185" s="29">
        <v>2233</v>
      </c>
      <c r="BC185" s="29">
        <v>2225</v>
      </c>
      <c r="BD185" s="29">
        <v>2233</v>
      </c>
      <c r="BE185" s="29">
        <v>2249</v>
      </c>
      <c r="BF185" s="29">
        <v>2250</v>
      </c>
      <c r="BG185" s="29">
        <v>2264</v>
      </c>
      <c r="BH185" s="29">
        <v>2254</v>
      </c>
      <c r="BI185" s="29">
        <v>2240</v>
      </c>
      <c r="BJ185" s="29">
        <v>2266</v>
      </c>
      <c r="BK185" s="29">
        <v>2255</v>
      </c>
      <c r="BL185" s="30">
        <v>2256</v>
      </c>
      <c r="BM185" s="1">
        <v>2278</v>
      </c>
      <c r="BN185" s="1">
        <v>2246</v>
      </c>
      <c r="BO185" s="1">
        <v>2358</v>
      </c>
      <c r="BP185" s="1">
        <v>2457</v>
      </c>
      <c r="BQ185" s="1">
        <v>2470</v>
      </c>
      <c r="BR185" s="1">
        <v>2478</v>
      </c>
      <c r="BS185" s="1">
        <v>2460</v>
      </c>
      <c r="BT185" s="1">
        <v>2519</v>
      </c>
      <c r="BU185" s="1">
        <v>2562</v>
      </c>
      <c r="BV185" s="1">
        <v>2588</v>
      </c>
      <c r="BW185" s="1">
        <v>2629</v>
      </c>
      <c r="BX185" s="1">
        <v>2616</v>
      </c>
      <c r="BY185" s="1">
        <v>2602</v>
      </c>
      <c r="BZ185" s="1">
        <v>2582</v>
      </c>
    </row>
    <row r="186" spans="1:254" ht="15.9" customHeight="1">
      <c r="A186" s="65" t="s">
        <v>366</v>
      </c>
      <c r="B186" s="25" t="s">
        <v>367</v>
      </c>
      <c r="C186" s="39">
        <f>_xll.RssMarket("9506","高値")</f>
        <v>1211.5</v>
      </c>
      <c r="D186" s="38">
        <f t="shared" si="5"/>
        <v>0</v>
      </c>
      <c r="E186" s="34">
        <v>1211.5</v>
      </c>
      <c r="F186" s="34">
        <v>1208</v>
      </c>
      <c r="G186" s="29">
        <v>1212.5</v>
      </c>
      <c r="H186" s="29">
        <v>1194</v>
      </c>
      <c r="I186" s="29">
        <v>1187</v>
      </c>
      <c r="J186" s="29">
        <v>1199</v>
      </c>
      <c r="K186" s="29">
        <v>1210</v>
      </c>
      <c r="L186" s="29">
        <v>1171.5</v>
      </c>
      <c r="M186" s="29">
        <v>1179</v>
      </c>
      <c r="N186" s="29">
        <v>1148.5</v>
      </c>
      <c r="O186" s="29">
        <v>1149.5</v>
      </c>
      <c r="P186" s="29">
        <v>1144.5</v>
      </c>
      <c r="Q186" s="29">
        <v>1159.5</v>
      </c>
      <c r="R186" s="29">
        <v>1143</v>
      </c>
      <c r="S186" s="29">
        <v>1136.5</v>
      </c>
      <c r="T186" s="29">
        <v>1107</v>
      </c>
      <c r="U186" s="29">
        <v>1100.5</v>
      </c>
      <c r="V186" s="29">
        <v>1100</v>
      </c>
      <c r="W186" s="29">
        <v>1109.5</v>
      </c>
      <c r="X186" s="29">
        <v>1097</v>
      </c>
      <c r="Y186" s="29">
        <v>1097.5</v>
      </c>
      <c r="Z186" s="29">
        <v>1097.5</v>
      </c>
      <c r="AA186" s="29">
        <v>1072.5</v>
      </c>
      <c r="AB186" s="29">
        <v>1073.5</v>
      </c>
      <c r="AC186" s="29">
        <v>1064</v>
      </c>
      <c r="AD186" s="29">
        <v>1073</v>
      </c>
      <c r="AE186" s="29">
        <v>1060</v>
      </c>
      <c r="AF186" s="29">
        <v>1057</v>
      </c>
      <c r="AG186" s="29">
        <v>1048</v>
      </c>
      <c r="AH186" s="29">
        <v>1039.5</v>
      </c>
      <c r="AI186" s="29">
        <v>1049.5</v>
      </c>
      <c r="AJ186" s="29">
        <v>1049</v>
      </c>
      <c r="AK186" s="29">
        <v>1055.5</v>
      </c>
      <c r="AL186" s="29">
        <v>1063.5</v>
      </c>
      <c r="AM186" s="29">
        <v>1053</v>
      </c>
      <c r="AN186" s="29">
        <v>1066</v>
      </c>
      <c r="AO186" s="29">
        <v>1067</v>
      </c>
      <c r="AP186" s="29">
        <v>1033.5</v>
      </c>
      <c r="AQ186" s="29">
        <v>1034.5</v>
      </c>
      <c r="AR186" s="29">
        <v>1020</v>
      </c>
      <c r="AS186" s="29">
        <v>1006.5</v>
      </c>
      <c r="AT186" s="29">
        <v>1014</v>
      </c>
      <c r="AU186" s="29">
        <v>1005.5</v>
      </c>
      <c r="AV186" s="29">
        <v>1016</v>
      </c>
      <c r="AW186" s="29">
        <v>990.6</v>
      </c>
      <c r="AX186" s="29">
        <v>1011.5</v>
      </c>
      <c r="AY186" s="29">
        <v>1001.5</v>
      </c>
      <c r="AZ186" s="29">
        <v>1020.5</v>
      </c>
      <c r="BA186" s="29">
        <v>1019.5</v>
      </c>
      <c r="BB186" s="29">
        <v>1033.5</v>
      </c>
      <c r="BC186" s="29">
        <v>1034.5</v>
      </c>
      <c r="BD186" s="29">
        <v>1024</v>
      </c>
      <c r="BE186" s="29">
        <v>1024</v>
      </c>
      <c r="BF186" s="29">
        <v>1053</v>
      </c>
      <c r="BG186" s="29">
        <v>1066</v>
      </c>
      <c r="BH186" s="29">
        <v>1061.5</v>
      </c>
      <c r="BI186" s="29">
        <v>1077</v>
      </c>
      <c r="BJ186" s="29">
        <v>1073.5</v>
      </c>
      <c r="BK186" s="29">
        <v>1068.5</v>
      </c>
      <c r="BL186" s="30">
        <v>1104.5</v>
      </c>
      <c r="BM186" s="1">
        <v>1111.5</v>
      </c>
      <c r="BN186" s="1">
        <v>1095</v>
      </c>
      <c r="BO186" s="1">
        <v>1140.5</v>
      </c>
      <c r="BP186" s="1">
        <v>1157</v>
      </c>
      <c r="BQ186" s="1">
        <v>1131</v>
      </c>
      <c r="BR186" s="1">
        <v>1149</v>
      </c>
      <c r="BS186" s="1">
        <v>1128</v>
      </c>
      <c r="BT186" s="1">
        <v>1153</v>
      </c>
      <c r="BU186" s="1">
        <v>1168</v>
      </c>
      <c r="BV186" s="1">
        <v>1194.5</v>
      </c>
      <c r="BW186" s="1">
        <v>1193</v>
      </c>
      <c r="BX186" s="1">
        <v>1185</v>
      </c>
      <c r="BY186" s="1">
        <v>1191</v>
      </c>
      <c r="BZ186" s="1">
        <v>1175.5</v>
      </c>
    </row>
    <row r="187" spans="1:254" ht="15.9" customHeight="1">
      <c r="A187" s="65" t="s">
        <v>368</v>
      </c>
      <c r="B187" s="25" t="s">
        <v>369</v>
      </c>
      <c r="C187" s="39">
        <f>_xll.RssMarket("2127","高値")</f>
        <v>641</v>
      </c>
      <c r="D187" s="38">
        <f t="shared" si="5"/>
        <v>0</v>
      </c>
      <c r="E187" s="34">
        <v>641</v>
      </c>
      <c r="F187" s="34">
        <v>637</v>
      </c>
      <c r="G187" s="29">
        <v>647</v>
      </c>
      <c r="H187" s="29">
        <v>641</v>
      </c>
      <c r="I187" s="29">
        <v>637.79999999999995</v>
      </c>
      <c r="J187" s="29">
        <v>714.9</v>
      </c>
      <c r="K187" s="29">
        <v>696.5</v>
      </c>
      <c r="L187" s="29">
        <v>689</v>
      </c>
      <c r="M187" s="29">
        <v>681.1</v>
      </c>
      <c r="N187" s="29">
        <v>664</v>
      </c>
      <c r="O187" s="29">
        <v>665.7</v>
      </c>
      <c r="P187" s="29">
        <v>671.5</v>
      </c>
      <c r="Q187" s="29">
        <v>679.9</v>
      </c>
      <c r="R187" s="29">
        <v>683.2</v>
      </c>
      <c r="S187" s="29">
        <v>683.9</v>
      </c>
      <c r="T187" s="29">
        <v>685.1</v>
      </c>
      <c r="U187" s="29">
        <v>682.8</v>
      </c>
      <c r="V187" s="29">
        <v>681.2</v>
      </c>
      <c r="W187" s="29">
        <v>684.4</v>
      </c>
      <c r="X187" s="29">
        <v>699.4</v>
      </c>
      <c r="Y187" s="29">
        <v>691.5</v>
      </c>
      <c r="Z187" s="29">
        <v>679.5</v>
      </c>
      <c r="AA187" s="29">
        <v>657.6</v>
      </c>
      <c r="AB187" s="29">
        <v>654</v>
      </c>
      <c r="AC187" s="29">
        <v>639</v>
      </c>
      <c r="AD187" s="29">
        <v>642</v>
      </c>
      <c r="AE187" s="29">
        <v>634</v>
      </c>
      <c r="AF187" s="29">
        <v>623.29999999999995</v>
      </c>
      <c r="AG187" s="29">
        <v>634.1</v>
      </c>
      <c r="AH187" s="29">
        <v>636</v>
      </c>
      <c r="AI187" s="29">
        <v>636.4</v>
      </c>
      <c r="AJ187" s="29">
        <v>643.70000000000005</v>
      </c>
      <c r="AK187" s="29">
        <v>658.2</v>
      </c>
      <c r="AL187" s="29">
        <v>668.5</v>
      </c>
      <c r="AM187" s="29">
        <v>653.4</v>
      </c>
      <c r="AN187" s="29">
        <v>640.79999999999995</v>
      </c>
      <c r="AO187" s="29">
        <v>647.5</v>
      </c>
      <c r="AP187" s="29">
        <v>653</v>
      </c>
      <c r="AQ187" s="29">
        <v>644.70000000000005</v>
      </c>
      <c r="AR187" s="29">
        <v>642.9</v>
      </c>
      <c r="AS187" s="29">
        <v>641.79999999999995</v>
      </c>
      <c r="AT187" s="29">
        <v>645.79999999999995</v>
      </c>
      <c r="AU187" s="29">
        <v>628.4</v>
      </c>
      <c r="AV187" s="29">
        <v>648.20000000000005</v>
      </c>
      <c r="AW187" s="29">
        <v>659</v>
      </c>
      <c r="AX187" s="29">
        <v>661.8</v>
      </c>
      <c r="AY187" s="29">
        <v>660</v>
      </c>
      <c r="AZ187" s="29">
        <v>672.6</v>
      </c>
      <c r="BA187" s="29">
        <v>666.3</v>
      </c>
      <c r="BB187" s="29">
        <v>664.5</v>
      </c>
      <c r="BC187" s="29">
        <v>662.8</v>
      </c>
      <c r="BD187" s="29">
        <v>653.70000000000005</v>
      </c>
      <c r="BE187" s="29">
        <v>660.2</v>
      </c>
      <c r="BF187" s="29">
        <v>643.6</v>
      </c>
      <c r="BG187" s="29">
        <v>643.9</v>
      </c>
      <c r="BH187" s="29">
        <v>644.5</v>
      </c>
      <c r="BI187" s="29">
        <v>644.79999999999995</v>
      </c>
      <c r="BJ187" s="29">
        <v>654.79999999999995</v>
      </c>
      <c r="BK187" s="29">
        <v>659</v>
      </c>
      <c r="BL187" s="30">
        <v>656.3</v>
      </c>
      <c r="BM187" s="1">
        <v>652.6</v>
      </c>
      <c r="BN187" s="1">
        <v>636.4</v>
      </c>
      <c r="BO187" s="1">
        <v>682.3</v>
      </c>
      <c r="BP187" s="1">
        <v>696.9</v>
      </c>
      <c r="BQ187" s="1">
        <v>679.7</v>
      </c>
      <c r="BR187" s="1">
        <v>688.5</v>
      </c>
      <c r="BS187" s="1">
        <v>688</v>
      </c>
      <c r="BT187" s="1">
        <v>702.5</v>
      </c>
      <c r="BU187" s="1">
        <v>698</v>
      </c>
      <c r="BV187" s="1">
        <v>691.5</v>
      </c>
      <c r="BW187" s="1">
        <v>695</v>
      </c>
      <c r="BX187" s="1">
        <v>690.8</v>
      </c>
      <c r="BY187" s="1">
        <v>677</v>
      </c>
      <c r="BZ187" s="1">
        <v>670.5</v>
      </c>
    </row>
    <row r="188" spans="1:254" ht="15.9" customHeight="1">
      <c r="A188" s="65" t="s">
        <v>370</v>
      </c>
      <c r="B188" s="25" t="s">
        <v>371</v>
      </c>
      <c r="C188" s="39">
        <f>_xll.RssMarket("6753","高値")</f>
        <v>634.9</v>
      </c>
      <c r="D188" s="38">
        <f t="shared" si="5"/>
        <v>0</v>
      </c>
      <c r="E188" s="34">
        <v>634.9</v>
      </c>
      <c r="F188" s="34">
        <v>632.9</v>
      </c>
      <c r="G188" s="29">
        <v>626.29999999999995</v>
      </c>
      <c r="H188" s="29">
        <v>630.5</v>
      </c>
      <c r="I188" s="29">
        <v>624.29999999999995</v>
      </c>
      <c r="J188" s="29">
        <v>646.29999999999995</v>
      </c>
      <c r="K188" s="29">
        <v>644.70000000000005</v>
      </c>
      <c r="L188" s="29">
        <v>617.1</v>
      </c>
      <c r="M188" s="29">
        <v>608.70000000000005</v>
      </c>
      <c r="N188" s="29">
        <v>605.4</v>
      </c>
      <c r="O188" s="29">
        <v>624.70000000000005</v>
      </c>
      <c r="P188" s="29">
        <v>629.70000000000005</v>
      </c>
      <c r="Q188" s="29">
        <v>642</v>
      </c>
      <c r="R188" s="29">
        <v>644.29999999999995</v>
      </c>
      <c r="S188" s="29">
        <v>656.5</v>
      </c>
      <c r="T188" s="29">
        <v>651.79999999999995</v>
      </c>
      <c r="U188" s="29">
        <v>653.9</v>
      </c>
      <c r="V188" s="29">
        <v>654</v>
      </c>
      <c r="W188" s="29">
        <v>652.79999999999995</v>
      </c>
      <c r="X188" s="29">
        <v>659</v>
      </c>
      <c r="Y188" s="29">
        <v>659.7</v>
      </c>
      <c r="Z188" s="29">
        <v>647.1</v>
      </c>
      <c r="AA188" s="29">
        <v>654.79999999999995</v>
      </c>
      <c r="AB188" s="29">
        <v>652</v>
      </c>
      <c r="AC188" s="29">
        <v>655</v>
      </c>
      <c r="AD188" s="29">
        <v>663.5</v>
      </c>
      <c r="AE188" s="29">
        <v>634</v>
      </c>
      <c r="AF188" s="29">
        <v>609</v>
      </c>
      <c r="AG188" s="29">
        <v>659</v>
      </c>
      <c r="AH188" s="29">
        <v>671</v>
      </c>
      <c r="AI188" s="29">
        <v>588.4</v>
      </c>
      <c r="AJ188" s="29">
        <v>591.9</v>
      </c>
      <c r="AK188" s="29">
        <v>596.9</v>
      </c>
      <c r="AL188" s="29">
        <v>600.6</v>
      </c>
      <c r="AM188" s="29">
        <v>601</v>
      </c>
      <c r="AN188" s="29">
        <v>610</v>
      </c>
      <c r="AO188" s="29">
        <v>625.9</v>
      </c>
      <c r="AP188" s="29">
        <v>631.9</v>
      </c>
      <c r="AQ188" s="29">
        <v>628.5</v>
      </c>
      <c r="AR188" s="29">
        <v>652.79999999999995</v>
      </c>
      <c r="AS188" s="29">
        <v>673</v>
      </c>
      <c r="AT188" s="29">
        <v>681.6</v>
      </c>
      <c r="AU188" s="29">
        <v>675</v>
      </c>
      <c r="AV188" s="29">
        <v>673.8</v>
      </c>
      <c r="AW188" s="29">
        <v>652.70000000000005</v>
      </c>
      <c r="AX188" s="29">
        <v>626.1</v>
      </c>
      <c r="AY188" s="29">
        <v>624.79999999999995</v>
      </c>
      <c r="AZ188" s="29">
        <v>631.29999999999995</v>
      </c>
      <c r="BA188" s="29">
        <v>647.9</v>
      </c>
      <c r="BB188" s="29">
        <v>641.6</v>
      </c>
      <c r="BC188" s="29">
        <v>615.29999999999995</v>
      </c>
      <c r="BD188" s="29">
        <v>636</v>
      </c>
      <c r="BE188" s="29">
        <v>642.9</v>
      </c>
      <c r="BF188" s="29">
        <v>624.9</v>
      </c>
      <c r="BG188" s="29">
        <v>610.79999999999995</v>
      </c>
      <c r="BH188" s="29">
        <v>585</v>
      </c>
      <c r="BI188" s="29">
        <v>615.1</v>
      </c>
      <c r="BJ188" s="29">
        <v>592.79999999999995</v>
      </c>
      <c r="BK188" s="29">
        <v>576.5</v>
      </c>
      <c r="BL188" s="30">
        <v>568.1</v>
      </c>
      <c r="BM188" s="1">
        <v>591</v>
      </c>
      <c r="BN188" s="1">
        <v>587.4</v>
      </c>
      <c r="BO188" s="1">
        <v>566.1</v>
      </c>
      <c r="BP188" s="1">
        <v>566.1</v>
      </c>
      <c r="BQ188" s="1">
        <v>551.70000000000005</v>
      </c>
      <c r="BR188" s="1">
        <v>583</v>
      </c>
      <c r="BS188" s="1">
        <v>607.70000000000005</v>
      </c>
      <c r="BT188" s="1">
        <v>612.79999999999995</v>
      </c>
      <c r="BU188" s="1">
        <v>617</v>
      </c>
      <c r="BV188" s="1">
        <v>622.1</v>
      </c>
      <c r="BW188" s="1">
        <v>622.6</v>
      </c>
      <c r="BX188" s="1">
        <v>607.70000000000005</v>
      </c>
      <c r="BY188" s="1">
        <v>603.9</v>
      </c>
      <c r="BZ188" s="1">
        <v>597</v>
      </c>
    </row>
    <row r="189" spans="1:254" ht="15.9" customHeight="1">
      <c r="A189" s="65" t="s">
        <v>372</v>
      </c>
      <c r="B189" s="25" t="str">
        <f>銘柄管理!C189</f>
        <v>ヤマトホールディングス</v>
      </c>
      <c r="C189" s="39">
        <f>_xll.RssMarket("9064","高値")</f>
        <v>1904.5</v>
      </c>
      <c r="D189" s="38"/>
      <c r="E189" s="34">
        <v>1904.5</v>
      </c>
      <c r="F189" s="34">
        <v>1961.5</v>
      </c>
      <c r="G189" s="29">
        <v>2000</v>
      </c>
      <c r="H189" s="29">
        <v>2073.5</v>
      </c>
      <c r="I189" s="29">
        <v>2095</v>
      </c>
      <c r="J189" s="29">
        <v>2194.5</v>
      </c>
      <c r="K189" s="29">
        <v>2193</v>
      </c>
      <c r="L189" s="29">
        <v>2121</v>
      </c>
      <c r="M189" s="29">
        <v>2074</v>
      </c>
      <c r="N189" s="29">
        <v>2054.5</v>
      </c>
      <c r="O189" s="29">
        <v>2041</v>
      </c>
      <c r="P189" s="29">
        <v>2021</v>
      </c>
      <c r="Q189" s="29">
        <v>2043.5</v>
      </c>
      <c r="R189" s="29">
        <v>2022</v>
      </c>
      <c r="S189" s="29">
        <v>1979.5</v>
      </c>
      <c r="T189" s="29">
        <v>1995.5</v>
      </c>
      <c r="U189" s="29">
        <v>1966.5</v>
      </c>
      <c r="V189" s="29">
        <v>1981</v>
      </c>
      <c r="W189" s="29">
        <v>1973</v>
      </c>
      <c r="X189" s="29">
        <v>1983</v>
      </c>
      <c r="Y189" s="29">
        <v>1993</v>
      </c>
      <c r="Z189" s="29">
        <v>2003</v>
      </c>
      <c r="AA189" s="29">
        <v>1958.5</v>
      </c>
      <c r="AB189" s="29">
        <v>1910</v>
      </c>
      <c r="AC189" s="29">
        <v>1843.5</v>
      </c>
      <c r="AD189" s="29">
        <v>1855.5</v>
      </c>
      <c r="AE189" s="29">
        <v>1857.5</v>
      </c>
      <c r="AF189" s="29">
        <v>1833.5</v>
      </c>
      <c r="AG189" s="29">
        <v>1822</v>
      </c>
      <c r="AH189" s="29">
        <v>1777.5</v>
      </c>
      <c r="AI189" s="29">
        <v>1793</v>
      </c>
      <c r="AJ189" s="29">
        <v>1771.5</v>
      </c>
      <c r="AK189" s="29">
        <v>1779</v>
      </c>
      <c r="AL189" s="29">
        <v>1775</v>
      </c>
      <c r="AM189" s="29">
        <v>1780</v>
      </c>
      <c r="AN189" s="29">
        <v>1780.5</v>
      </c>
      <c r="AO189" s="29">
        <v>1808</v>
      </c>
      <c r="AP189" s="29">
        <v>1836</v>
      </c>
      <c r="AQ189" s="29">
        <v>1821.5</v>
      </c>
      <c r="AR189" s="29">
        <v>1808.5</v>
      </c>
      <c r="AS189" s="29">
        <v>1816.5</v>
      </c>
      <c r="AT189" s="29">
        <v>1828.5</v>
      </c>
      <c r="AU189" s="29">
        <v>1830</v>
      </c>
      <c r="AV189" s="29">
        <v>1833.5</v>
      </c>
      <c r="AW189" s="29">
        <v>1816</v>
      </c>
      <c r="AX189" s="29">
        <v>1839</v>
      </c>
      <c r="AY189" s="29">
        <v>1795</v>
      </c>
      <c r="AZ189" s="29">
        <v>1794</v>
      </c>
      <c r="BA189" s="29">
        <v>1787.5</v>
      </c>
      <c r="BB189" s="29">
        <v>1780.5</v>
      </c>
      <c r="BC189" s="29">
        <v>1792</v>
      </c>
      <c r="BD189" s="29">
        <v>1767.5</v>
      </c>
      <c r="BE189" s="29">
        <v>1795.5</v>
      </c>
      <c r="BF189" s="29">
        <v>1749.5</v>
      </c>
      <c r="BG189" s="29">
        <v>1754</v>
      </c>
      <c r="BH189" s="29">
        <v>1786</v>
      </c>
      <c r="BI189" s="29">
        <v>1763</v>
      </c>
      <c r="BJ189" s="29">
        <v>1749</v>
      </c>
      <c r="BK189" s="29">
        <v>1790</v>
      </c>
      <c r="BL189" s="30">
        <v>1833</v>
      </c>
      <c r="BM189" s="1">
        <v>1824</v>
      </c>
      <c r="BN189" s="1">
        <v>1764.5</v>
      </c>
      <c r="BO189" s="1">
        <v>1792</v>
      </c>
      <c r="BP189" s="1">
        <v>1805</v>
      </c>
      <c r="BQ189" s="1">
        <v>1798</v>
      </c>
      <c r="BR189" s="1">
        <v>1782</v>
      </c>
      <c r="BS189" s="1">
        <v>1796</v>
      </c>
      <c r="BT189" s="1">
        <v>1827.5</v>
      </c>
      <c r="BU189" s="1">
        <v>1843.5</v>
      </c>
      <c r="BV189" s="1">
        <v>1855</v>
      </c>
      <c r="BW189" s="1">
        <v>1867</v>
      </c>
      <c r="BX189" s="1">
        <v>1875</v>
      </c>
      <c r="BY189" s="1">
        <v>1883</v>
      </c>
      <c r="BZ189" s="1">
        <v>1866.5</v>
      </c>
    </row>
    <row r="190" spans="1:254" ht="15.9" customHeight="1">
      <c r="A190" s="65" t="s">
        <v>373</v>
      </c>
      <c r="B190" s="25" t="s">
        <v>374</v>
      </c>
      <c r="C190" s="39">
        <f>_xll.RssMarket("7181","高値")</f>
        <v>1758</v>
      </c>
      <c r="D190" s="38">
        <f>C190-E190</f>
        <v>0</v>
      </c>
      <c r="E190" s="34">
        <v>1758</v>
      </c>
      <c r="F190" s="34">
        <v>1730</v>
      </c>
      <c r="G190" s="29">
        <v>1735</v>
      </c>
      <c r="H190" s="29">
        <v>1763</v>
      </c>
      <c r="I190" s="29">
        <v>1786</v>
      </c>
      <c r="J190" s="29">
        <v>1773</v>
      </c>
      <c r="K190" s="29">
        <v>1791.5</v>
      </c>
      <c r="L190" s="29">
        <v>1785.5</v>
      </c>
      <c r="M190" s="29">
        <v>1797.5</v>
      </c>
      <c r="N190" s="29">
        <v>1784</v>
      </c>
      <c r="O190" s="29">
        <v>1758.5</v>
      </c>
      <c r="P190" s="29">
        <v>1728</v>
      </c>
      <c r="Q190" s="29">
        <v>1686</v>
      </c>
      <c r="R190" s="29">
        <v>1655.5</v>
      </c>
      <c r="S190" s="29">
        <v>1674.5</v>
      </c>
      <c r="T190" s="29">
        <v>1664</v>
      </c>
      <c r="U190" s="29">
        <v>1638.5</v>
      </c>
      <c r="V190" s="29">
        <v>1647.5</v>
      </c>
      <c r="W190" s="29">
        <v>1649</v>
      </c>
      <c r="X190" s="29">
        <v>1666.5</v>
      </c>
      <c r="Y190" s="29">
        <v>1685</v>
      </c>
      <c r="Z190" s="29">
        <v>1654.5</v>
      </c>
      <c r="AA190" s="29">
        <v>1626</v>
      </c>
      <c r="AB190" s="29">
        <v>1581.5</v>
      </c>
      <c r="AC190" s="29">
        <v>1542.5</v>
      </c>
      <c r="AD190" s="29">
        <v>1542.5</v>
      </c>
      <c r="AE190" s="29">
        <v>1520</v>
      </c>
      <c r="AF190" s="29">
        <v>1495</v>
      </c>
      <c r="AG190" s="29">
        <v>1504.5</v>
      </c>
      <c r="AH190" s="29">
        <v>1569</v>
      </c>
      <c r="AI190" s="29">
        <v>1539</v>
      </c>
      <c r="AJ190" s="29">
        <v>1528</v>
      </c>
      <c r="AK190" s="29">
        <v>1553.5</v>
      </c>
      <c r="AL190" s="29">
        <v>1551</v>
      </c>
      <c r="AM190" s="29">
        <v>1596</v>
      </c>
      <c r="AN190" s="29">
        <v>1561</v>
      </c>
      <c r="AO190" s="29">
        <v>1588.5</v>
      </c>
      <c r="AP190" s="29">
        <v>1562.5</v>
      </c>
      <c r="AQ190" s="29">
        <v>1587.5</v>
      </c>
      <c r="AR190" s="29">
        <v>1615</v>
      </c>
      <c r="AS190" s="29">
        <v>1455</v>
      </c>
      <c r="AT190" s="29">
        <v>1457.5</v>
      </c>
      <c r="AU190" s="29">
        <v>1414</v>
      </c>
      <c r="AV190" s="29">
        <v>1452.5</v>
      </c>
      <c r="AW190" s="29">
        <v>1409.5</v>
      </c>
      <c r="AX190" s="29">
        <v>1441.5</v>
      </c>
      <c r="AY190" s="29">
        <v>1465</v>
      </c>
      <c r="AZ190" s="29">
        <v>1495.5</v>
      </c>
      <c r="BA190" s="29">
        <v>1518.5</v>
      </c>
      <c r="BB190" s="29">
        <v>1559.5</v>
      </c>
      <c r="BC190" s="29">
        <v>1564</v>
      </c>
      <c r="BD190" s="29">
        <v>1558</v>
      </c>
      <c r="BE190" s="29">
        <v>1525</v>
      </c>
      <c r="BF190" s="29">
        <v>1556</v>
      </c>
      <c r="BG190" s="29">
        <v>1650</v>
      </c>
      <c r="BH190" s="29">
        <v>1618</v>
      </c>
      <c r="BI190" s="29">
        <v>1628.5</v>
      </c>
      <c r="BJ190" s="29">
        <v>1572</v>
      </c>
      <c r="BK190" s="29">
        <v>1553.5</v>
      </c>
      <c r="BL190" s="30">
        <v>1573</v>
      </c>
      <c r="BM190" s="1">
        <v>1585</v>
      </c>
      <c r="BN190" s="1">
        <v>1544</v>
      </c>
      <c r="BO190" s="1">
        <v>1533</v>
      </c>
      <c r="BP190" s="1">
        <v>1526</v>
      </c>
      <c r="BQ190" s="1">
        <v>1493.5</v>
      </c>
      <c r="BR190" s="1">
        <v>1513</v>
      </c>
      <c r="BS190" s="1">
        <v>1513.5</v>
      </c>
      <c r="BT190" s="1">
        <v>1545</v>
      </c>
      <c r="BU190" s="1">
        <v>1579.5</v>
      </c>
      <c r="BV190" s="1">
        <v>1615</v>
      </c>
      <c r="BW190" s="1">
        <v>1669</v>
      </c>
      <c r="BX190" s="1">
        <v>1676.5</v>
      </c>
      <c r="BY190" s="1">
        <v>1669.5</v>
      </c>
      <c r="BZ190" s="1">
        <v>1636.5</v>
      </c>
    </row>
    <row r="191" spans="1:254" ht="15.9" customHeight="1">
      <c r="A191" s="65" t="s">
        <v>375</v>
      </c>
      <c r="B191" s="25" t="str">
        <f>銘柄管理!C191</f>
        <v>前澤給装工業</v>
      </c>
      <c r="C191" s="39">
        <f>_xll.RssMarket("6485","高値")</f>
        <v>1605</v>
      </c>
      <c r="D191" s="38"/>
      <c r="E191" s="34">
        <v>1605</v>
      </c>
      <c r="F191" s="34">
        <v>1592</v>
      </c>
      <c r="G191" s="29">
        <v>1580</v>
      </c>
      <c r="H191" s="29">
        <v>1571</v>
      </c>
      <c r="I191" s="29">
        <v>1598</v>
      </c>
      <c r="J191" s="29">
        <v>1597</v>
      </c>
      <c r="K191" s="29">
        <v>1598</v>
      </c>
      <c r="L191" s="29">
        <v>1592</v>
      </c>
      <c r="M191" s="29">
        <v>1600</v>
      </c>
      <c r="N191" s="29">
        <v>1550</v>
      </c>
      <c r="O191" s="29">
        <v>1548</v>
      </c>
      <c r="P191" s="29">
        <v>1550</v>
      </c>
      <c r="Q191" s="29">
        <v>1548</v>
      </c>
      <c r="R191" s="29">
        <v>1556</v>
      </c>
      <c r="S191" s="29">
        <v>1564</v>
      </c>
      <c r="T191" s="29">
        <v>1550</v>
      </c>
      <c r="U191" s="29">
        <v>1579</v>
      </c>
      <c r="V191" s="29">
        <v>1572</v>
      </c>
      <c r="W191" s="29">
        <v>1561</v>
      </c>
      <c r="X191" s="29">
        <v>1561</v>
      </c>
      <c r="Y191" s="29">
        <v>1541</v>
      </c>
      <c r="Z191" s="29">
        <v>1541</v>
      </c>
      <c r="AA191" s="29">
        <v>1555</v>
      </c>
      <c r="AB191" s="29">
        <v>1544</v>
      </c>
      <c r="AC191" s="29">
        <v>1522</v>
      </c>
      <c r="AD191" s="29">
        <v>1504</v>
      </c>
      <c r="AE191" s="29">
        <v>1515</v>
      </c>
      <c r="AF191" s="29">
        <v>1503</v>
      </c>
      <c r="AG191" s="29">
        <v>1485</v>
      </c>
      <c r="AH191" s="29">
        <v>1475</v>
      </c>
      <c r="AI191" s="29">
        <v>1470</v>
      </c>
      <c r="AJ191" s="29">
        <v>1490</v>
      </c>
      <c r="AK191" s="29">
        <v>1488</v>
      </c>
      <c r="AL191" s="29">
        <v>1479</v>
      </c>
      <c r="AM191" s="29">
        <v>1469</v>
      </c>
      <c r="AN191" s="29">
        <v>1450</v>
      </c>
      <c r="AO191" s="29">
        <v>1449</v>
      </c>
      <c r="AP191" s="29">
        <v>1433</v>
      </c>
      <c r="AQ191" s="29">
        <v>1437</v>
      </c>
      <c r="AR191" s="29">
        <v>1439</v>
      </c>
      <c r="AS191" s="29">
        <v>1434</v>
      </c>
      <c r="AT191" s="29">
        <v>1443</v>
      </c>
      <c r="AU191" s="29">
        <v>1421</v>
      </c>
      <c r="AV191" s="29">
        <v>1402</v>
      </c>
      <c r="AW191" s="29">
        <v>1399</v>
      </c>
      <c r="AX191" s="29">
        <v>1439</v>
      </c>
      <c r="AY191" s="29">
        <v>1429</v>
      </c>
      <c r="AZ191" s="29">
        <v>1425</v>
      </c>
      <c r="BA191" s="29">
        <v>1432</v>
      </c>
      <c r="BB191" s="29">
        <v>1421</v>
      </c>
      <c r="BC191" s="29">
        <v>1435</v>
      </c>
      <c r="BD191" s="29">
        <v>1452</v>
      </c>
      <c r="BE191" s="29">
        <v>1478</v>
      </c>
      <c r="BF191" s="29">
        <v>1482</v>
      </c>
      <c r="BG191" s="29">
        <v>1508</v>
      </c>
      <c r="BH191" s="29">
        <v>1496</v>
      </c>
      <c r="BI191" s="29">
        <v>1518</v>
      </c>
      <c r="BJ191" s="29">
        <v>1530</v>
      </c>
      <c r="BK191" s="29">
        <v>1529</v>
      </c>
      <c r="BL191" s="30">
        <v>1518</v>
      </c>
      <c r="BM191" s="1">
        <v>1521</v>
      </c>
      <c r="BN191" s="1">
        <v>1505</v>
      </c>
      <c r="BO191" s="1">
        <v>1523</v>
      </c>
      <c r="BP191" s="1">
        <v>1555</v>
      </c>
      <c r="BQ191" s="1">
        <v>1519</v>
      </c>
      <c r="BR191" s="1">
        <v>1528</v>
      </c>
      <c r="BS191" s="1">
        <v>1527</v>
      </c>
      <c r="BT191" s="1">
        <v>1554</v>
      </c>
      <c r="BU191" s="1">
        <v>1566</v>
      </c>
      <c r="BV191" s="1">
        <v>1565</v>
      </c>
      <c r="BW191" s="1">
        <v>1569</v>
      </c>
      <c r="BX191" s="1">
        <v>1586</v>
      </c>
      <c r="BY191" s="1">
        <v>1605</v>
      </c>
      <c r="BZ191" s="1">
        <v>1604</v>
      </c>
    </row>
    <row r="192" spans="1:254" ht="15.9" customHeight="1">
      <c r="A192" s="65" t="s">
        <v>376</v>
      </c>
      <c r="B192" s="25" t="s">
        <v>377</v>
      </c>
      <c r="C192" s="39">
        <f>_xll.RssMarket("4887","高値")</f>
        <v>1640.5</v>
      </c>
      <c r="D192" s="38">
        <f t="shared" ref="D192:D208" si="6">C192-E192</f>
        <v>0</v>
      </c>
      <c r="E192" s="34">
        <v>1640.5</v>
      </c>
      <c r="F192" s="34">
        <v>1619</v>
      </c>
      <c r="G192" s="29">
        <v>1616</v>
      </c>
      <c r="H192" s="29">
        <v>1656.5</v>
      </c>
      <c r="I192" s="29">
        <v>1685</v>
      </c>
      <c r="J192" s="29">
        <v>1712.5</v>
      </c>
      <c r="K192" s="29">
        <v>1714</v>
      </c>
      <c r="L192" s="29">
        <v>1693.5</v>
      </c>
      <c r="M192" s="29">
        <v>1684.5</v>
      </c>
      <c r="N192" s="29">
        <v>1670.5</v>
      </c>
      <c r="O192" s="29">
        <v>1679</v>
      </c>
      <c r="P192" s="29">
        <v>1689.5</v>
      </c>
      <c r="Q192" s="29">
        <v>1700.5</v>
      </c>
      <c r="R192" s="29">
        <v>1691.5</v>
      </c>
      <c r="S192" s="29">
        <v>1699.5</v>
      </c>
      <c r="T192" s="29">
        <v>1683.5</v>
      </c>
      <c r="U192" s="29">
        <v>1689.5</v>
      </c>
      <c r="V192" s="29">
        <v>1682.5</v>
      </c>
      <c r="W192" s="29">
        <v>1705.5</v>
      </c>
      <c r="X192" s="29">
        <v>1754.5</v>
      </c>
      <c r="Y192" s="29">
        <v>1757</v>
      </c>
      <c r="Z192" s="29">
        <v>1758.5</v>
      </c>
      <c r="AA192" s="29">
        <v>1730</v>
      </c>
      <c r="AB192" s="29">
        <v>1715</v>
      </c>
      <c r="AC192" s="29">
        <v>1691.5</v>
      </c>
      <c r="AD192" s="29">
        <v>1696.5</v>
      </c>
      <c r="AE192" s="29">
        <v>1674</v>
      </c>
      <c r="AF192" s="29">
        <v>1629.5</v>
      </c>
      <c r="AG192" s="29">
        <v>1670</v>
      </c>
      <c r="AH192" s="29">
        <v>1666.5</v>
      </c>
      <c r="AI192" s="29">
        <v>1656.5</v>
      </c>
      <c r="AJ192" s="29">
        <v>1645.5</v>
      </c>
      <c r="AK192" s="29">
        <v>1643.5</v>
      </c>
      <c r="AL192" s="29">
        <v>1676.5</v>
      </c>
      <c r="AM192" s="29">
        <v>1683</v>
      </c>
      <c r="AN192" s="29">
        <v>1674</v>
      </c>
      <c r="AO192" s="29">
        <v>1710</v>
      </c>
      <c r="AP192" s="29">
        <v>1714.5</v>
      </c>
      <c r="AQ192" s="29">
        <v>1719</v>
      </c>
      <c r="AR192" s="29">
        <v>1734</v>
      </c>
      <c r="AS192" s="29">
        <v>1715</v>
      </c>
      <c r="AT192" s="29">
        <v>1736.5</v>
      </c>
      <c r="AU192" s="29">
        <v>1738.5</v>
      </c>
      <c r="AV192" s="29">
        <v>1731.5</v>
      </c>
      <c r="AW192" s="29">
        <v>1722.5</v>
      </c>
      <c r="AX192" s="29">
        <v>1766</v>
      </c>
      <c r="AY192" s="29">
        <v>1778</v>
      </c>
      <c r="AZ192" s="29">
        <v>1773.5</v>
      </c>
      <c r="BA192" s="29">
        <v>1803</v>
      </c>
      <c r="BB192" s="29">
        <v>1768</v>
      </c>
      <c r="BC192" s="29">
        <v>1824</v>
      </c>
      <c r="BD192" s="29">
        <v>1823</v>
      </c>
      <c r="BE192" s="29">
        <v>1821.5</v>
      </c>
      <c r="BF192" s="29">
        <v>1797</v>
      </c>
      <c r="BG192" s="29">
        <v>2126</v>
      </c>
      <c r="BH192" s="29">
        <v>2099</v>
      </c>
      <c r="BI192" s="29">
        <v>2088</v>
      </c>
      <c r="BJ192" s="29">
        <v>2110.5</v>
      </c>
      <c r="BK192" s="29">
        <v>2134</v>
      </c>
      <c r="BL192" s="30">
        <v>2137</v>
      </c>
      <c r="BM192" s="1">
        <v>2146.5</v>
      </c>
      <c r="BN192" s="1">
        <v>2105.5</v>
      </c>
      <c r="BO192" s="1">
        <v>2110.5</v>
      </c>
      <c r="BP192" s="1">
        <v>2112.5</v>
      </c>
      <c r="BQ192" s="1">
        <v>2100</v>
      </c>
      <c r="BR192" s="1">
        <v>2123.5</v>
      </c>
      <c r="BS192" s="1">
        <v>2111.5</v>
      </c>
      <c r="BT192" s="1">
        <v>2162</v>
      </c>
      <c r="BU192" s="1">
        <v>2179.5</v>
      </c>
      <c r="BV192" s="1">
        <v>2225</v>
      </c>
      <c r="BW192" s="1">
        <v>2249.5</v>
      </c>
      <c r="BX192" s="1">
        <v>2257</v>
      </c>
      <c r="BY192" s="1">
        <v>2222</v>
      </c>
      <c r="BZ192" s="1">
        <v>2251</v>
      </c>
    </row>
    <row r="193" spans="1:254" ht="15.9" customHeight="1">
      <c r="A193" s="65" t="s">
        <v>378</v>
      </c>
      <c r="B193" s="25" t="s">
        <v>379</v>
      </c>
      <c r="C193" s="39">
        <f>_xll.RssMarket("5243","高値")</f>
        <v>2412</v>
      </c>
      <c r="D193" s="38">
        <f t="shared" si="6"/>
        <v>0</v>
      </c>
      <c r="E193" s="34">
        <v>2412</v>
      </c>
      <c r="F193" s="34">
        <v>2310</v>
      </c>
      <c r="G193" s="29">
        <v>2172</v>
      </c>
      <c r="H193" s="29">
        <v>2188</v>
      </c>
      <c r="I193" s="29">
        <v>2213</v>
      </c>
      <c r="J193" s="29">
        <v>2114</v>
      </c>
      <c r="K193" s="29">
        <v>2070</v>
      </c>
      <c r="L193" s="29">
        <v>2199</v>
      </c>
      <c r="M193" s="29">
        <v>2137</v>
      </c>
      <c r="N193" s="29">
        <v>2103</v>
      </c>
      <c r="O193" s="29">
        <v>2040</v>
      </c>
      <c r="P193" s="29">
        <v>2066</v>
      </c>
      <c r="Q193" s="29">
        <v>2084</v>
      </c>
      <c r="R193" s="29">
        <v>2140</v>
      </c>
      <c r="S193" s="29">
        <v>2159</v>
      </c>
      <c r="T193" s="29">
        <v>2120</v>
      </c>
      <c r="U193" s="29">
        <v>2260</v>
      </c>
      <c r="V193" s="29">
        <v>2268</v>
      </c>
      <c r="W193" s="29">
        <v>2206</v>
      </c>
      <c r="X193" s="29">
        <v>2499</v>
      </c>
      <c r="Y193" s="29">
        <v>2311</v>
      </c>
      <c r="Z193" s="29">
        <v>2250</v>
      </c>
      <c r="AA193" s="29">
        <v>2089</v>
      </c>
      <c r="AB193" s="29">
        <v>2110</v>
      </c>
      <c r="AC193" s="29">
        <v>1937</v>
      </c>
      <c r="AD193" s="29">
        <v>1920</v>
      </c>
      <c r="AE193" s="29">
        <v>1841</v>
      </c>
      <c r="AF193" s="29">
        <v>1781</v>
      </c>
      <c r="AG193" s="29">
        <v>1785</v>
      </c>
      <c r="AH193" s="29">
        <v>1801</v>
      </c>
      <c r="AI193" s="29">
        <v>1828</v>
      </c>
      <c r="AJ193" s="29">
        <v>1819</v>
      </c>
      <c r="AK193" s="29">
        <v>1889</v>
      </c>
      <c r="AL193" s="29">
        <v>1895</v>
      </c>
      <c r="AM193" s="29">
        <v>1855</v>
      </c>
      <c r="AN193" s="29">
        <v>1750</v>
      </c>
      <c r="AO193" s="29">
        <v>1702</v>
      </c>
      <c r="AP193" s="29">
        <v>1719</v>
      </c>
      <c r="AQ193" s="29">
        <v>1685</v>
      </c>
      <c r="AR193" s="29">
        <v>1737</v>
      </c>
      <c r="AS193" s="29">
        <v>1831</v>
      </c>
      <c r="AT193" s="29">
        <v>1886</v>
      </c>
      <c r="AU193" s="29">
        <v>1883</v>
      </c>
      <c r="AV193" s="29">
        <v>1995</v>
      </c>
      <c r="AW193" s="29">
        <v>2010</v>
      </c>
      <c r="AX193" s="29">
        <v>2120</v>
      </c>
      <c r="AY193" s="29">
        <v>2147</v>
      </c>
      <c r="AZ193" s="29">
        <v>2220</v>
      </c>
      <c r="BA193" s="29">
        <v>2281</v>
      </c>
      <c r="BB193" s="29">
        <v>2262</v>
      </c>
      <c r="BC193" s="29">
        <v>2227</v>
      </c>
      <c r="BD193" s="29">
        <v>2236</v>
      </c>
      <c r="BE193" s="29">
        <v>2347</v>
      </c>
      <c r="BF193" s="29">
        <v>2274</v>
      </c>
      <c r="BG193" s="29">
        <v>2345</v>
      </c>
      <c r="BH193" s="29">
        <v>2413</v>
      </c>
      <c r="BI193" s="29">
        <v>2410</v>
      </c>
      <c r="BJ193" s="29">
        <v>2284</v>
      </c>
      <c r="BK193" s="29">
        <v>2202</v>
      </c>
      <c r="BL193" s="30">
        <v>2302</v>
      </c>
      <c r="BM193" s="1">
        <v>2359</v>
      </c>
      <c r="BN193" s="1">
        <v>2434</v>
      </c>
      <c r="BO193" s="1">
        <v>2481</v>
      </c>
      <c r="BP193" s="1">
        <v>2505</v>
      </c>
      <c r="BQ193" s="1">
        <v>2390</v>
      </c>
      <c r="BR193" s="1">
        <v>2489</v>
      </c>
      <c r="BS193" s="1">
        <v>2625</v>
      </c>
      <c r="BT193" s="1">
        <v>2727</v>
      </c>
      <c r="BU193" s="1">
        <v>2743</v>
      </c>
      <c r="BV193" s="1">
        <v>2658</v>
      </c>
      <c r="BW193" s="1">
        <v>2730</v>
      </c>
      <c r="BX193" s="1">
        <v>2842</v>
      </c>
      <c r="BY193" s="1">
        <v>3405</v>
      </c>
      <c r="BZ193" s="1">
        <v>3030</v>
      </c>
    </row>
    <row r="194" spans="1:254" ht="15.9" customHeight="1">
      <c r="A194" s="65" t="s">
        <v>380</v>
      </c>
      <c r="B194" s="25" t="s">
        <v>381</v>
      </c>
      <c r="C194" s="39">
        <f>_xll.RssMarket("2702","高値")</f>
        <v>8120</v>
      </c>
      <c r="D194" s="38">
        <f t="shared" si="6"/>
        <v>0</v>
      </c>
      <c r="E194" s="34">
        <v>8120</v>
      </c>
      <c r="F194" s="34">
        <v>8150</v>
      </c>
      <c r="G194" s="29">
        <v>8240</v>
      </c>
      <c r="H194" s="29">
        <v>8240</v>
      </c>
      <c r="I194" s="29">
        <v>8290</v>
      </c>
      <c r="J194" s="29">
        <v>8200</v>
      </c>
      <c r="K194" s="29">
        <v>8210</v>
      </c>
      <c r="L194" s="29">
        <v>7910</v>
      </c>
      <c r="M194" s="29">
        <v>7760</v>
      </c>
      <c r="N194" s="29"/>
      <c r="O194" s="29">
        <v>7570</v>
      </c>
      <c r="P194" s="29">
        <v>7580</v>
      </c>
      <c r="Q194" s="29">
        <v>7780</v>
      </c>
      <c r="R194" s="29">
        <v>7660</v>
      </c>
      <c r="S194" s="29">
        <v>7710</v>
      </c>
      <c r="T194" s="29">
        <v>7860</v>
      </c>
      <c r="U194" s="29">
        <v>7760</v>
      </c>
      <c r="V194" s="29">
        <v>7890</v>
      </c>
      <c r="W194" s="29">
        <v>7920</v>
      </c>
      <c r="X194" s="29">
        <v>7870</v>
      </c>
      <c r="Y194" s="29">
        <v>7780</v>
      </c>
      <c r="Z194" s="29">
        <v>7690</v>
      </c>
      <c r="AA194" s="29">
        <v>7840</v>
      </c>
      <c r="AB194" s="29">
        <v>7570</v>
      </c>
      <c r="AC194" s="29">
        <v>7470</v>
      </c>
      <c r="AD194" s="29">
        <v>7710</v>
      </c>
      <c r="AE194" s="29">
        <v>7590</v>
      </c>
      <c r="AF194" s="29">
        <v>7560</v>
      </c>
      <c r="AG194" s="29">
        <v>7450</v>
      </c>
      <c r="AH194" s="29">
        <v>7300</v>
      </c>
      <c r="AI194" s="29">
        <v>7150</v>
      </c>
      <c r="AJ194" s="29">
        <v>7300</v>
      </c>
      <c r="AK194" s="29">
        <v>7360</v>
      </c>
      <c r="AL194" s="29">
        <v>7430</v>
      </c>
      <c r="AM194" s="29">
        <v>7490</v>
      </c>
      <c r="AN194" s="29">
        <v>7480</v>
      </c>
      <c r="AO194" s="29">
        <v>7590</v>
      </c>
      <c r="AP194" s="29">
        <v>7500</v>
      </c>
      <c r="AQ194" s="29">
        <v>7480</v>
      </c>
      <c r="AR194" s="29">
        <v>7380</v>
      </c>
      <c r="AS194" s="29">
        <v>7490</v>
      </c>
      <c r="AT194" s="29">
        <v>7490</v>
      </c>
      <c r="AU194" s="29">
        <v>7530</v>
      </c>
      <c r="AV194" s="29">
        <v>7590</v>
      </c>
      <c r="AW194" s="29">
        <v>7710</v>
      </c>
      <c r="AX194" s="29">
        <v>7860</v>
      </c>
      <c r="AY194" s="29">
        <v>7900</v>
      </c>
      <c r="AZ194" s="29">
        <v>8160</v>
      </c>
      <c r="BA194" s="29">
        <v>8180</v>
      </c>
      <c r="BB194" s="29">
        <v>8140</v>
      </c>
      <c r="BC194" s="29">
        <v>8230</v>
      </c>
      <c r="BD194" s="29">
        <v>8110</v>
      </c>
      <c r="BE194" s="29">
        <v>8010</v>
      </c>
      <c r="BF194" s="29">
        <v>8190</v>
      </c>
      <c r="BG194" s="29">
        <v>8300</v>
      </c>
      <c r="BH194" s="29">
        <v>8590</v>
      </c>
      <c r="BI194" s="29">
        <v>8780</v>
      </c>
      <c r="BJ194" s="29">
        <v>7830</v>
      </c>
      <c r="BK194" s="29">
        <v>7880</v>
      </c>
      <c r="BL194" s="30">
        <v>8030</v>
      </c>
      <c r="BM194" s="1">
        <v>8160</v>
      </c>
      <c r="BN194" s="1">
        <v>8170</v>
      </c>
      <c r="BO194" s="1">
        <v>8220</v>
      </c>
      <c r="BP194" s="1">
        <v>8270</v>
      </c>
      <c r="BQ194" s="1">
        <v>8250</v>
      </c>
      <c r="BR194" s="1">
        <v>8150</v>
      </c>
      <c r="BS194" s="1">
        <v>8210</v>
      </c>
      <c r="BT194" s="1">
        <v>8260</v>
      </c>
      <c r="BU194" s="1">
        <v>8310</v>
      </c>
      <c r="BV194" s="1">
        <v>8260</v>
      </c>
      <c r="BW194" s="1">
        <v>8280</v>
      </c>
      <c r="BX194" s="1">
        <v>8280</v>
      </c>
      <c r="BY194" s="1">
        <v>8250</v>
      </c>
      <c r="BZ194" s="1">
        <v>8170</v>
      </c>
    </row>
    <row r="195" spans="1:254" ht="15.9" customHeight="1">
      <c r="A195" s="65" t="s">
        <v>382</v>
      </c>
      <c r="B195" s="25" t="s">
        <v>383</v>
      </c>
      <c r="C195" s="39">
        <f>_xll.RssMarket("6890","高値")</f>
        <v>9180</v>
      </c>
      <c r="D195" s="38">
        <f t="shared" si="6"/>
        <v>0</v>
      </c>
      <c r="E195" s="34">
        <v>9180</v>
      </c>
      <c r="F195" s="34">
        <v>9420</v>
      </c>
      <c r="G195" s="29">
        <v>8850</v>
      </c>
      <c r="H195" s="29">
        <v>8390</v>
      </c>
      <c r="I195" s="29">
        <v>8650</v>
      </c>
      <c r="J195" s="29">
        <v>7720</v>
      </c>
      <c r="K195" s="29">
        <v>7950</v>
      </c>
      <c r="L195" s="29">
        <v>8180</v>
      </c>
      <c r="M195" s="29">
        <v>9100</v>
      </c>
      <c r="N195" s="29">
        <v>9280</v>
      </c>
      <c r="O195" s="29">
        <v>8940</v>
      </c>
      <c r="P195" s="29">
        <v>7890</v>
      </c>
      <c r="Q195" s="29">
        <v>7250</v>
      </c>
      <c r="R195" s="29">
        <v>7370</v>
      </c>
      <c r="S195" s="29">
        <v>8260</v>
      </c>
      <c r="T195" s="29">
        <v>8330</v>
      </c>
      <c r="U195" s="29">
        <v>9280</v>
      </c>
      <c r="V195" s="29">
        <v>9150</v>
      </c>
      <c r="W195" s="29">
        <v>8680</v>
      </c>
      <c r="X195" s="29">
        <v>8470</v>
      </c>
      <c r="Y195" s="29">
        <v>9090</v>
      </c>
      <c r="Z195" s="29">
        <v>9290</v>
      </c>
      <c r="AA195" s="29">
        <v>9280</v>
      </c>
      <c r="AB195" s="29">
        <v>9400</v>
      </c>
      <c r="AC195" s="29">
        <v>9940</v>
      </c>
      <c r="AD195" s="29">
        <v>9740</v>
      </c>
      <c r="AE195" s="29">
        <v>9360</v>
      </c>
      <c r="AF195" s="29">
        <v>9930</v>
      </c>
      <c r="AG195" s="29">
        <v>10440</v>
      </c>
      <c r="AH195" s="29">
        <v>10910</v>
      </c>
      <c r="AI195" s="29">
        <v>11640</v>
      </c>
      <c r="AJ195" s="29">
        <v>11700</v>
      </c>
      <c r="AK195" s="29">
        <v>10880</v>
      </c>
      <c r="AL195" s="29">
        <v>10490</v>
      </c>
      <c r="AM195" s="29">
        <v>9500</v>
      </c>
      <c r="AN195" s="29">
        <v>9600</v>
      </c>
      <c r="AO195" s="29">
        <v>9390</v>
      </c>
      <c r="AP195" s="29">
        <v>9440</v>
      </c>
      <c r="AQ195" s="29">
        <v>7990</v>
      </c>
      <c r="AR195" s="29">
        <v>8220</v>
      </c>
      <c r="AS195" s="29">
        <v>8640</v>
      </c>
      <c r="AT195" s="29">
        <v>9150</v>
      </c>
      <c r="AU195" s="29">
        <v>9070</v>
      </c>
      <c r="AV195" s="29">
        <v>8330</v>
      </c>
      <c r="AW195" s="29">
        <v>8050</v>
      </c>
      <c r="AX195" s="29">
        <v>9020</v>
      </c>
      <c r="AY195" s="29">
        <v>8630</v>
      </c>
      <c r="AZ195" s="29">
        <v>9340</v>
      </c>
      <c r="BA195" s="29">
        <v>9380</v>
      </c>
      <c r="BB195" s="29">
        <v>9150</v>
      </c>
      <c r="BC195" s="29">
        <v>9230</v>
      </c>
      <c r="BD195" s="29">
        <v>9140</v>
      </c>
      <c r="BE195" s="29">
        <v>9340</v>
      </c>
      <c r="BF195" s="29">
        <v>9610</v>
      </c>
      <c r="BG195" s="29">
        <v>10030</v>
      </c>
      <c r="BH195" s="29">
        <v>10430</v>
      </c>
      <c r="BI195" s="29">
        <v>9500</v>
      </c>
      <c r="BJ195" s="29">
        <v>10110</v>
      </c>
      <c r="BK195" s="29">
        <v>9980</v>
      </c>
      <c r="BL195" s="30">
        <v>9690</v>
      </c>
      <c r="BM195" s="1">
        <v>9240</v>
      </c>
      <c r="BN195" s="1">
        <v>8190</v>
      </c>
      <c r="BO195" s="1">
        <v>7870</v>
      </c>
      <c r="BP195" s="1">
        <v>7750</v>
      </c>
      <c r="BQ195" s="1">
        <v>7590</v>
      </c>
      <c r="BR195" s="1">
        <v>7590</v>
      </c>
      <c r="BS195" s="1">
        <v>7290</v>
      </c>
      <c r="BT195" s="1">
        <v>7010</v>
      </c>
      <c r="BU195" s="1">
        <v>6910</v>
      </c>
      <c r="BV195" s="1">
        <v>6830</v>
      </c>
      <c r="BW195" s="1">
        <v>6820</v>
      </c>
      <c r="BX195" s="1">
        <v>6820</v>
      </c>
      <c r="BY195" s="1">
        <v>6950</v>
      </c>
      <c r="BZ195" s="1">
        <v>7220</v>
      </c>
    </row>
    <row r="196" spans="1:254" ht="15.9" customHeight="1">
      <c r="A196" s="65" t="s">
        <v>384</v>
      </c>
      <c r="B196" s="25" t="s">
        <v>385</v>
      </c>
      <c r="C196" s="39">
        <f>_xll.RssMarket("4966","高値")</f>
        <v>25610</v>
      </c>
      <c r="D196" s="38">
        <f t="shared" si="6"/>
        <v>0</v>
      </c>
      <c r="E196" s="34">
        <v>25610</v>
      </c>
      <c r="F196" s="34">
        <v>25750</v>
      </c>
      <c r="G196" s="29">
        <v>24060</v>
      </c>
      <c r="H196" s="29">
        <v>23340</v>
      </c>
      <c r="I196" s="29">
        <v>22740</v>
      </c>
      <c r="J196" s="29">
        <v>20940</v>
      </c>
      <c r="K196" s="29">
        <v>21790</v>
      </c>
      <c r="L196" s="29">
        <v>22320</v>
      </c>
      <c r="M196" s="29">
        <v>23730</v>
      </c>
      <c r="N196" s="29">
        <v>24540</v>
      </c>
      <c r="O196" s="29">
        <v>24700</v>
      </c>
      <c r="P196" s="29">
        <v>24910</v>
      </c>
      <c r="Q196" s="29">
        <v>24140</v>
      </c>
      <c r="R196" s="29">
        <v>23800</v>
      </c>
      <c r="S196" s="29">
        <v>25250</v>
      </c>
      <c r="T196" s="29">
        <v>24200</v>
      </c>
      <c r="U196" s="29">
        <v>25090</v>
      </c>
      <c r="V196" s="29">
        <v>25550</v>
      </c>
      <c r="W196" s="29">
        <v>24900</v>
      </c>
      <c r="X196" s="29">
        <v>24430</v>
      </c>
      <c r="Y196" s="29">
        <v>25710</v>
      </c>
      <c r="Z196" s="29">
        <v>27130</v>
      </c>
      <c r="AA196" s="29">
        <v>26730</v>
      </c>
      <c r="AB196" s="29">
        <v>27520</v>
      </c>
      <c r="AC196" s="29">
        <v>28400</v>
      </c>
      <c r="AD196" s="29">
        <v>27910</v>
      </c>
      <c r="AE196" s="29">
        <v>26960</v>
      </c>
      <c r="AF196" s="29">
        <v>27710</v>
      </c>
      <c r="AG196" s="29">
        <v>28130</v>
      </c>
      <c r="AH196" s="29">
        <v>27580</v>
      </c>
      <c r="AI196" s="29">
        <v>28200</v>
      </c>
      <c r="AJ196" s="29">
        <v>28430</v>
      </c>
      <c r="AK196" s="29">
        <v>27700</v>
      </c>
      <c r="AL196" s="29">
        <v>27590</v>
      </c>
      <c r="AM196" s="29">
        <v>26440</v>
      </c>
      <c r="AN196" s="29">
        <v>26620</v>
      </c>
      <c r="AO196" s="29">
        <v>26410</v>
      </c>
      <c r="AP196" s="29">
        <v>24720</v>
      </c>
      <c r="AQ196" s="29">
        <v>23320</v>
      </c>
      <c r="AR196" s="29">
        <v>22900</v>
      </c>
      <c r="AS196" s="29">
        <v>22140</v>
      </c>
      <c r="AT196" s="29">
        <v>23020</v>
      </c>
      <c r="AU196" s="29">
        <v>23620</v>
      </c>
      <c r="AV196" s="29">
        <v>24190</v>
      </c>
      <c r="AW196" s="29">
        <v>23200</v>
      </c>
      <c r="AX196" s="29">
        <v>23710</v>
      </c>
      <c r="AY196" s="29">
        <v>23600</v>
      </c>
      <c r="AZ196" s="29">
        <v>24360</v>
      </c>
      <c r="BA196" s="29">
        <v>24770</v>
      </c>
      <c r="BB196" s="29">
        <v>24460</v>
      </c>
      <c r="BC196" s="29">
        <v>23700</v>
      </c>
      <c r="BD196" s="29">
        <v>23150</v>
      </c>
      <c r="BE196" s="29">
        <v>24240</v>
      </c>
      <c r="BF196" s="29">
        <v>24500</v>
      </c>
      <c r="BG196" s="29">
        <v>26180</v>
      </c>
      <c r="BH196" s="29">
        <v>26500</v>
      </c>
      <c r="BI196" s="29">
        <v>26960</v>
      </c>
      <c r="BJ196" s="29">
        <v>25350</v>
      </c>
      <c r="BK196" s="29">
        <v>24210</v>
      </c>
      <c r="BL196" s="30">
        <v>23790</v>
      </c>
      <c r="BM196" s="1">
        <v>23850</v>
      </c>
      <c r="BN196" s="1">
        <v>23440</v>
      </c>
      <c r="BO196" s="1">
        <v>23670</v>
      </c>
      <c r="BP196" s="1">
        <v>23650</v>
      </c>
      <c r="BQ196" s="1">
        <v>23660</v>
      </c>
      <c r="BR196" s="1">
        <v>23710</v>
      </c>
      <c r="BS196" s="1">
        <v>23700</v>
      </c>
      <c r="BT196" s="1">
        <v>23640</v>
      </c>
      <c r="BU196" s="1">
        <v>23520</v>
      </c>
      <c r="BV196" s="1">
        <v>23130</v>
      </c>
      <c r="BW196" s="1">
        <v>24130</v>
      </c>
      <c r="BX196" s="1">
        <v>24420</v>
      </c>
      <c r="BY196" s="1">
        <v>24650</v>
      </c>
      <c r="BZ196" s="1">
        <v>24360</v>
      </c>
    </row>
    <row r="197" spans="1:254" ht="15.9" customHeight="1">
      <c r="A197" s="65" t="s">
        <v>386</v>
      </c>
      <c r="B197" s="25" t="s">
        <v>387</v>
      </c>
      <c r="C197" s="39">
        <f>_xll.RssMarket("6146","高値")</f>
        <v>63000</v>
      </c>
      <c r="D197" s="38">
        <f t="shared" si="6"/>
        <v>0</v>
      </c>
      <c r="E197" s="34">
        <v>63000</v>
      </c>
      <c r="F197" s="34">
        <v>64480</v>
      </c>
      <c r="G197" s="29">
        <v>61560</v>
      </c>
      <c r="H197" s="29">
        <v>61600</v>
      </c>
      <c r="I197" s="29">
        <v>60990</v>
      </c>
      <c r="J197" s="29">
        <v>53590</v>
      </c>
      <c r="K197" s="29">
        <v>56010</v>
      </c>
      <c r="L197" s="29">
        <v>57300</v>
      </c>
      <c r="M197" s="29">
        <v>63100</v>
      </c>
      <c r="N197" s="29">
        <v>63020</v>
      </c>
      <c r="O197" s="29">
        <v>72080</v>
      </c>
      <c r="P197" s="29">
        <v>72050</v>
      </c>
      <c r="Q197" s="29">
        <v>67130</v>
      </c>
      <c r="R197" s="29">
        <v>66590</v>
      </c>
      <c r="S197" s="29">
        <v>74240</v>
      </c>
      <c r="T197" s="29">
        <v>71710</v>
      </c>
      <c r="U197" s="29">
        <v>74930</v>
      </c>
      <c r="V197" s="29">
        <v>73770</v>
      </c>
      <c r="W197" s="29">
        <v>72340</v>
      </c>
      <c r="X197" s="29">
        <v>71710</v>
      </c>
      <c r="Y197" s="29">
        <v>76900</v>
      </c>
      <c r="Z197" s="29">
        <v>78830</v>
      </c>
      <c r="AA197" s="29">
        <v>76910</v>
      </c>
      <c r="AB197" s="29">
        <v>80390</v>
      </c>
      <c r="AC197" s="29">
        <v>88580</v>
      </c>
      <c r="AD197" s="29">
        <v>83870</v>
      </c>
      <c r="AE197" s="29">
        <v>79590</v>
      </c>
      <c r="AF197" s="29">
        <v>84220</v>
      </c>
      <c r="AG197" s="29">
        <v>86880</v>
      </c>
      <c r="AH197" s="29">
        <v>83400</v>
      </c>
      <c r="AI197" s="29">
        <v>91680</v>
      </c>
      <c r="AJ197" s="29">
        <v>89250</v>
      </c>
      <c r="AK197" s="29">
        <v>89100</v>
      </c>
      <c r="AL197" s="29">
        <v>85550</v>
      </c>
      <c r="AM197" s="29">
        <v>85390</v>
      </c>
      <c r="AN197" s="29">
        <v>85200</v>
      </c>
      <c r="AO197" s="29">
        <v>86140</v>
      </c>
      <c r="AP197" s="29">
        <v>80100</v>
      </c>
      <c r="AQ197" s="29">
        <v>70760</v>
      </c>
      <c r="AR197" s="29">
        <v>73590</v>
      </c>
      <c r="AS197" s="29">
        <v>68700</v>
      </c>
      <c r="AT197" s="29">
        <v>74440</v>
      </c>
      <c r="AU197" s="29">
        <v>72630</v>
      </c>
      <c r="AV197" s="29">
        <v>69970</v>
      </c>
      <c r="AW197" s="29">
        <v>64200</v>
      </c>
      <c r="AX197" s="29">
        <v>66520</v>
      </c>
      <c r="AY197" s="29">
        <v>67630</v>
      </c>
      <c r="AZ197" s="29">
        <v>70550</v>
      </c>
      <c r="BA197" s="29">
        <v>70260</v>
      </c>
      <c r="BB197" s="29">
        <v>66960</v>
      </c>
      <c r="BC197" s="29">
        <v>66660</v>
      </c>
      <c r="BD197" s="29">
        <v>62150</v>
      </c>
      <c r="BE197" s="29">
        <v>63690</v>
      </c>
      <c r="BF197" s="29">
        <v>65450</v>
      </c>
      <c r="BG197" s="29">
        <v>71520</v>
      </c>
      <c r="BH197" s="29">
        <v>73990</v>
      </c>
      <c r="BI197" s="29">
        <v>73010</v>
      </c>
      <c r="BJ197" s="29">
        <v>73730</v>
      </c>
      <c r="BK197" s="29">
        <v>76010</v>
      </c>
      <c r="BL197" s="30">
        <v>76340</v>
      </c>
      <c r="BM197" s="1">
        <v>77800</v>
      </c>
      <c r="BN197" s="1">
        <v>74460</v>
      </c>
      <c r="BO197" s="1">
        <v>76060</v>
      </c>
      <c r="BP197" s="1">
        <v>78150</v>
      </c>
      <c r="BQ197" s="1">
        <v>76250</v>
      </c>
      <c r="BR197" s="1">
        <v>74310</v>
      </c>
      <c r="BS197" s="1">
        <v>76350</v>
      </c>
      <c r="BT197" s="1">
        <v>75500</v>
      </c>
      <c r="BU197" s="1">
        <v>74350</v>
      </c>
      <c r="BV197" s="1">
        <v>75320</v>
      </c>
      <c r="BW197" s="1">
        <v>73530</v>
      </c>
      <c r="BX197" s="1">
        <v>73050</v>
      </c>
      <c r="BY197" s="1">
        <v>72950</v>
      </c>
      <c r="BZ197" s="1">
        <v>72450</v>
      </c>
    </row>
    <row r="198" spans="1:254" ht="15.9" customHeight="1">
      <c r="A198" s="65" t="s">
        <v>388</v>
      </c>
      <c r="B198" s="25" t="s">
        <v>389</v>
      </c>
      <c r="C198" s="39">
        <f>_xll.RssMarket("8035","高値")</f>
        <v>56800</v>
      </c>
      <c r="D198" s="38">
        <f t="shared" si="6"/>
        <v>0</v>
      </c>
      <c r="E198" s="34">
        <v>56800</v>
      </c>
      <c r="F198" s="34">
        <v>59700</v>
      </c>
      <c r="G198" s="29">
        <v>56740</v>
      </c>
      <c r="H198" s="29">
        <v>55550</v>
      </c>
      <c r="I198" s="29">
        <v>59250</v>
      </c>
      <c r="J198" s="29">
        <v>53820</v>
      </c>
      <c r="K198" s="29">
        <v>55630</v>
      </c>
      <c r="L198" s="29">
        <v>57610</v>
      </c>
      <c r="M198" s="29">
        <v>64100</v>
      </c>
      <c r="N198" s="29">
        <v>65410</v>
      </c>
      <c r="O198" s="29">
        <v>68700</v>
      </c>
      <c r="P198" s="29">
        <v>69780</v>
      </c>
      <c r="Q198" s="29">
        <v>66570</v>
      </c>
      <c r="R198" s="29">
        <v>67080</v>
      </c>
      <c r="S198" s="29">
        <v>74810</v>
      </c>
      <c r="T198" s="29">
        <v>72140</v>
      </c>
      <c r="U198" s="29">
        <v>74470</v>
      </c>
      <c r="V198" s="29">
        <v>74550</v>
      </c>
      <c r="W198" s="29">
        <v>71540</v>
      </c>
      <c r="X198" s="29">
        <v>69600</v>
      </c>
      <c r="Y198" s="29">
        <v>73090</v>
      </c>
      <c r="Z198" s="29">
        <v>75290</v>
      </c>
      <c r="AA198" s="29">
        <v>73830</v>
      </c>
      <c r="AB198" s="29">
        <v>75740</v>
      </c>
      <c r="AC198" s="29">
        <v>81260</v>
      </c>
      <c r="AD198" s="29">
        <v>80500</v>
      </c>
      <c r="AE198" s="29">
        <v>74700</v>
      </c>
      <c r="AF198" s="29">
        <v>74430</v>
      </c>
      <c r="AG198" s="29">
        <v>75850</v>
      </c>
      <c r="AH198" s="29">
        <v>73360</v>
      </c>
      <c r="AI198" s="29">
        <v>79800</v>
      </c>
      <c r="AJ198" s="29">
        <v>77850</v>
      </c>
      <c r="AK198" s="29">
        <v>77600</v>
      </c>
      <c r="AL198" s="29">
        <v>76650</v>
      </c>
      <c r="AM198" s="29">
        <v>73220</v>
      </c>
      <c r="AN198" s="29">
        <v>73130</v>
      </c>
      <c r="AO198" s="29">
        <v>74800</v>
      </c>
      <c r="AP198" s="29">
        <v>71000</v>
      </c>
      <c r="AQ198" s="29">
        <v>64070</v>
      </c>
      <c r="AR198" s="29">
        <v>65310</v>
      </c>
      <c r="AS198" s="29">
        <v>56450</v>
      </c>
      <c r="AT198" s="29">
        <v>62210</v>
      </c>
      <c r="AU198" s="29">
        <v>63660</v>
      </c>
      <c r="AV198" s="29">
        <v>61420</v>
      </c>
      <c r="AW198" s="29">
        <v>53750</v>
      </c>
      <c r="AX198" s="29">
        <v>53320</v>
      </c>
      <c r="AY198" s="29">
        <v>52730</v>
      </c>
      <c r="AZ198" s="29">
        <v>54700</v>
      </c>
      <c r="BA198" s="29">
        <v>52530</v>
      </c>
      <c r="BB198" s="29">
        <v>50220</v>
      </c>
      <c r="BC198" s="29">
        <v>48800</v>
      </c>
      <c r="BD198" s="29">
        <v>47220</v>
      </c>
      <c r="BE198" s="29">
        <v>49980</v>
      </c>
      <c r="BF198" s="29">
        <v>50900</v>
      </c>
      <c r="BG198" s="29">
        <v>52530</v>
      </c>
      <c r="BH198" s="29">
        <v>52730</v>
      </c>
      <c r="BI198" s="29">
        <v>51920</v>
      </c>
      <c r="BJ198" s="29">
        <v>53000</v>
      </c>
      <c r="BK198" s="29">
        <v>53870</v>
      </c>
      <c r="BL198" s="30">
        <v>52650</v>
      </c>
      <c r="BM198" s="1">
        <v>51960</v>
      </c>
      <c r="BN198" s="1">
        <v>48190</v>
      </c>
      <c r="BO198" s="1">
        <v>45290</v>
      </c>
      <c r="BP198" s="1">
        <v>46970</v>
      </c>
      <c r="BQ198" s="1">
        <v>47710</v>
      </c>
      <c r="BR198" s="1">
        <v>46110</v>
      </c>
      <c r="BS198" s="1">
        <v>46560</v>
      </c>
      <c r="BT198" s="1">
        <v>45540</v>
      </c>
      <c r="BU198" s="1">
        <v>46460</v>
      </c>
      <c r="BV198" s="1">
        <v>44490</v>
      </c>
      <c r="BW198" s="1">
        <v>45280</v>
      </c>
      <c r="BX198" s="1">
        <v>46150</v>
      </c>
      <c r="BY198" s="1">
        <v>44570</v>
      </c>
      <c r="BZ198" s="1">
        <v>43820</v>
      </c>
    </row>
    <row r="199" spans="1:254" ht="15.9" customHeight="1">
      <c r="A199" s="65" t="s">
        <v>390</v>
      </c>
      <c r="B199" s="25" t="s">
        <v>391</v>
      </c>
      <c r="C199" s="39">
        <f>_xll.RssMarket("6920","高値")</f>
        <v>45850</v>
      </c>
      <c r="D199" s="38">
        <f t="shared" si="6"/>
        <v>0</v>
      </c>
      <c r="E199" s="34">
        <v>45850</v>
      </c>
      <c r="F199" s="34">
        <v>46870</v>
      </c>
      <c r="G199" s="29">
        <v>44100</v>
      </c>
      <c r="H199" s="29">
        <v>41520</v>
      </c>
      <c r="I199" s="29">
        <v>39000</v>
      </c>
      <c r="J199" s="29">
        <v>35860</v>
      </c>
      <c r="K199" s="29">
        <v>38410</v>
      </c>
      <c r="L199" s="29">
        <v>40060</v>
      </c>
      <c r="M199" s="29">
        <v>44380</v>
      </c>
      <c r="N199" s="29">
        <v>45500</v>
      </c>
      <c r="O199" s="29">
        <v>46790</v>
      </c>
      <c r="P199" s="29">
        <v>45000</v>
      </c>
      <c r="Q199" s="29">
        <v>42810</v>
      </c>
      <c r="R199" s="29">
        <v>43280</v>
      </c>
      <c r="S199" s="29">
        <v>50940</v>
      </c>
      <c r="T199" s="29">
        <v>45230</v>
      </c>
      <c r="U199" s="29">
        <v>47680</v>
      </c>
      <c r="V199" s="29">
        <v>45480</v>
      </c>
      <c r="W199" s="29">
        <v>43850</v>
      </c>
      <c r="X199" s="29">
        <v>44300</v>
      </c>
      <c r="Y199" s="29">
        <v>46050</v>
      </c>
      <c r="Z199" s="29">
        <v>48490</v>
      </c>
      <c r="AA199" s="29">
        <v>47650</v>
      </c>
      <c r="AB199" s="29">
        <v>49030</v>
      </c>
      <c r="AC199" s="29">
        <v>54080</v>
      </c>
      <c r="AD199" s="29">
        <v>50910</v>
      </c>
      <c r="AE199" s="29">
        <v>50480</v>
      </c>
      <c r="AF199" s="29">
        <v>52520</v>
      </c>
      <c r="AG199" s="29">
        <v>53440</v>
      </c>
      <c r="AH199" s="29">
        <v>52940</v>
      </c>
      <c r="AI199" s="29">
        <v>58490</v>
      </c>
      <c r="AJ199" s="29">
        <v>57550</v>
      </c>
      <c r="AK199" s="29">
        <v>58580</v>
      </c>
      <c r="AL199" s="29">
        <v>57330</v>
      </c>
      <c r="AM199" s="29">
        <v>52980</v>
      </c>
      <c r="AN199" s="29">
        <v>48270</v>
      </c>
      <c r="AO199" s="29">
        <v>48640</v>
      </c>
      <c r="AP199" s="29">
        <v>44590</v>
      </c>
      <c r="AQ199" s="29">
        <v>40470</v>
      </c>
      <c r="AR199" s="29">
        <v>42950</v>
      </c>
      <c r="AS199" s="29">
        <v>40670</v>
      </c>
      <c r="AT199" s="29">
        <v>42470</v>
      </c>
      <c r="AU199" s="29">
        <v>43600</v>
      </c>
      <c r="AV199" s="29">
        <v>42800</v>
      </c>
      <c r="AW199" s="29">
        <v>39250</v>
      </c>
      <c r="AX199" s="29">
        <v>40820</v>
      </c>
      <c r="AY199" s="29">
        <v>41290</v>
      </c>
      <c r="AZ199" s="29">
        <v>44040</v>
      </c>
      <c r="BA199" s="29">
        <v>43590</v>
      </c>
      <c r="BB199" s="29">
        <v>38980</v>
      </c>
      <c r="BC199" s="29">
        <v>38840</v>
      </c>
      <c r="BD199" s="29">
        <v>36280</v>
      </c>
      <c r="BE199" s="29">
        <v>38180</v>
      </c>
      <c r="BF199" s="29">
        <v>39340</v>
      </c>
      <c r="BG199" s="29">
        <v>41190</v>
      </c>
      <c r="BH199" s="29">
        <v>43140</v>
      </c>
      <c r="BI199" s="29">
        <v>42860</v>
      </c>
      <c r="BJ199" s="29">
        <v>45650</v>
      </c>
      <c r="BK199" s="29">
        <v>45950</v>
      </c>
      <c r="BL199" s="30">
        <v>44660</v>
      </c>
      <c r="BM199" s="1">
        <v>46720</v>
      </c>
      <c r="BN199" s="1">
        <v>44520</v>
      </c>
      <c r="BO199" s="1">
        <v>44460</v>
      </c>
      <c r="BP199" s="1">
        <v>46090</v>
      </c>
      <c r="BQ199" s="1">
        <v>46450</v>
      </c>
      <c r="BR199" s="1">
        <v>45950</v>
      </c>
      <c r="BS199" s="1">
        <v>45990</v>
      </c>
      <c r="BT199" s="1">
        <v>45520</v>
      </c>
      <c r="BU199" s="1">
        <v>44590</v>
      </c>
      <c r="BV199" s="1">
        <v>42390</v>
      </c>
      <c r="BW199" s="1">
        <v>41700</v>
      </c>
      <c r="BX199" s="1">
        <v>42300</v>
      </c>
      <c r="BY199" s="1">
        <v>44940</v>
      </c>
      <c r="BZ199" s="1">
        <v>43530</v>
      </c>
    </row>
    <row r="200" spans="1:254" ht="15.9" customHeight="1">
      <c r="A200" s="65" t="s">
        <v>392</v>
      </c>
      <c r="B200" s="25" t="s">
        <v>393</v>
      </c>
      <c r="C200" s="39">
        <f>_xll.RssMarket("5801","高値")</f>
        <v>4085</v>
      </c>
      <c r="D200" s="38">
        <f t="shared" si="6"/>
        <v>0</v>
      </c>
      <c r="E200" s="34">
        <v>4085</v>
      </c>
      <c r="F200" s="34">
        <v>3976</v>
      </c>
      <c r="G200" s="29">
        <v>3585</v>
      </c>
      <c r="H200" s="29">
        <v>3233</v>
      </c>
      <c r="I200" s="29">
        <v>3278</v>
      </c>
      <c r="J200" s="29">
        <v>2930.5</v>
      </c>
      <c r="K200" s="29">
        <v>3048</v>
      </c>
      <c r="L200" s="29">
        <v>3131</v>
      </c>
      <c r="M200" s="29">
        <v>3391</v>
      </c>
      <c r="N200" s="29">
        <v>3469</v>
      </c>
      <c r="O200" s="29">
        <v>3675</v>
      </c>
      <c r="P200" s="29">
        <v>3725</v>
      </c>
      <c r="Q200" s="29">
        <v>3429</v>
      </c>
      <c r="R200" s="29">
        <v>3309</v>
      </c>
      <c r="S200" s="29">
        <v>3793</v>
      </c>
      <c r="T200" s="29">
        <v>3568</v>
      </c>
      <c r="U200" s="29">
        <v>3933</v>
      </c>
      <c r="V200" s="29">
        <v>3846</v>
      </c>
      <c r="W200" s="29">
        <v>3687</v>
      </c>
      <c r="X200" s="29">
        <v>3720</v>
      </c>
      <c r="Y200" s="29">
        <v>3900</v>
      </c>
      <c r="Z200" s="29">
        <v>3998</v>
      </c>
      <c r="AA200" s="29">
        <v>4015</v>
      </c>
      <c r="AB200" s="29">
        <v>4225</v>
      </c>
      <c r="AC200" s="29">
        <v>4870</v>
      </c>
      <c r="AD200" s="29">
        <v>4829</v>
      </c>
      <c r="AE200" s="29">
        <v>4545</v>
      </c>
      <c r="AF200" s="29">
        <v>4917</v>
      </c>
      <c r="AG200" s="29">
        <v>5050</v>
      </c>
      <c r="AH200" s="29">
        <v>4946</v>
      </c>
      <c r="AI200" s="29">
        <v>5824</v>
      </c>
      <c r="AJ200" s="29">
        <v>5879</v>
      </c>
      <c r="AK200" s="29">
        <v>5336</v>
      </c>
      <c r="AL200" s="29">
        <v>4899</v>
      </c>
      <c r="AM200" s="29">
        <v>4766</v>
      </c>
      <c r="AN200" s="29">
        <v>4831</v>
      </c>
      <c r="AO200" s="29">
        <v>4570</v>
      </c>
      <c r="AP200" s="29">
        <v>4378</v>
      </c>
      <c r="AQ200" s="29">
        <v>4146</v>
      </c>
      <c r="AR200" s="29">
        <v>4447</v>
      </c>
      <c r="AS200" s="29">
        <v>4590</v>
      </c>
      <c r="AT200" s="29">
        <v>5114</v>
      </c>
      <c r="AU200" s="29">
        <v>5344</v>
      </c>
      <c r="AV200" s="29">
        <v>5612</v>
      </c>
      <c r="AW200" s="29">
        <v>5245</v>
      </c>
      <c r="AX200" s="29">
        <v>5245</v>
      </c>
      <c r="AY200" s="29">
        <v>5535</v>
      </c>
      <c r="AZ200" s="29">
        <v>6241</v>
      </c>
      <c r="BA200" s="29">
        <v>5933</v>
      </c>
      <c r="BB200" s="29">
        <v>5435</v>
      </c>
      <c r="BC200" s="29">
        <v>5205</v>
      </c>
      <c r="BD200" s="29">
        <v>5207</v>
      </c>
      <c r="BE200" s="29">
        <v>5385</v>
      </c>
      <c r="BF200" s="29">
        <v>5706</v>
      </c>
      <c r="BG200" s="29">
        <v>6004</v>
      </c>
      <c r="BH200" s="29">
        <v>6015</v>
      </c>
      <c r="BI200" s="29">
        <v>5899</v>
      </c>
      <c r="BJ200" s="29">
        <v>5043</v>
      </c>
      <c r="BK200" s="29">
        <v>4655</v>
      </c>
      <c r="BL200" s="30">
        <v>4603</v>
      </c>
      <c r="BM200" s="1">
        <v>4630</v>
      </c>
      <c r="BN200" s="1">
        <v>4314</v>
      </c>
      <c r="BO200" s="1">
        <v>4285</v>
      </c>
      <c r="BP200" s="1">
        <v>4346</v>
      </c>
      <c r="BQ200" s="1">
        <v>4355</v>
      </c>
      <c r="BR200" s="1">
        <v>4377</v>
      </c>
      <c r="BS200" s="1">
        <v>4505</v>
      </c>
      <c r="BT200" s="1">
        <v>4444</v>
      </c>
      <c r="BU200" s="1">
        <v>4523</v>
      </c>
      <c r="BV200" s="1">
        <v>4538</v>
      </c>
      <c r="BW200" s="1">
        <v>4649</v>
      </c>
      <c r="BX200" s="1">
        <v>4609</v>
      </c>
      <c r="BY200" s="1">
        <v>4723</v>
      </c>
      <c r="BZ200" s="1">
        <v>4794</v>
      </c>
    </row>
    <row r="201" spans="1:254" ht="15.9" customHeight="1">
      <c r="A201" s="65" t="s">
        <v>394</v>
      </c>
      <c r="B201" s="25" t="s">
        <v>395</v>
      </c>
      <c r="C201" s="39">
        <f>_xll.RssMarket("6506","高値")</f>
        <v>5366</v>
      </c>
      <c r="D201" s="38">
        <f t="shared" si="6"/>
        <v>0</v>
      </c>
      <c r="E201" s="34">
        <v>5366</v>
      </c>
      <c r="F201" s="34">
        <v>5405</v>
      </c>
      <c r="G201" s="29">
        <v>5147</v>
      </c>
      <c r="H201" s="29">
        <v>4982</v>
      </c>
      <c r="I201" s="29">
        <v>4977</v>
      </c>
      <c r="J201" s="29">
        <v>4745</v>
      </c>
      <c r="K201" s="29">
        <v>4890</v>
      </c>
      <c r="L201" s="29">
        <v>5140</v>
      </c>
      <c r="M201" s="29">
        <v>5307</v>
      </c>
      <c r="N201" s="29">
        <v>5305</v>
      </c>
      <c r="O201" s="29">
        <v>5421</v>
      </c>
      <c r="P201" s="29">
        <v>5375</v>
      </c>
      <c r="Q201" s="29">
        <v>5150</v>
      </c>
      <c r="R201" s="29">
        <v>5306</v>
      </c>
      <c r="S201" s="29">
        <v>5569</v>
      </c>
      <c r="T201" s="29">
        <v>5860</v>
      </c>
      <c r="U201" s="29">
        <v>6275</v>
      </c>
      <c r="V201" s="29">
        <v>7225</v>
      </c>
      <c r="W201" s="29">
        <v>7044</v>
      </c>
      <c r="X201" s="29">
        <v>6932</v>
      </c>
      <c r="Y201" s="29">
        <v>7398</v>
      </c>
      <c r="Z201" s="29">
        <v>7856</v>
      </c>
      <c r="AA201" s="29">
        <v>7479</v>
      </c>
      <c r="AB201" s="29">
        <v>7156</v>
      </c>
      <c r="AC201" s="29">
        <v>7465</v>
      </c>
      <c r="AD201" s="29">
        <v>7237</v>
      </c>
      <c r="AE201" s="29">
        <v>6954</v>
      </c>
      <c r="AF201" s="29">
        <v>7347</v>
      </c>
      <c r="AG201" s="29">
        <v>7324</v>
      </c>
      <c r="AH201" s="29">
        <v>7228</v>
      </c>
      <c r="AI201" s="29">
        <v>7682</v>
      </c>
      <c r="AJ201" s="29">
        <v>7915</v>
      </c>
      <c r="AK201" s="29">
        <v>7359</v>
      </c>
      <c r="AL201" s="29">
        <v>7416</v>
      </c>
      <c r="AM201" s="29">
        <v>7060</v>
      </c>
      <c r="AN201" s="29">
        <v>6943</v>
      </c>
      <c r="AO201" s="29">
        <v>6732</v>
      </c>
      <c r="AP201" s="29">
        <v>6508</v>
      </c>
      <c r="AQ201" s="29">
        <v>6055</v>
      </c>
      <c r="AR201" s="29">
        <v>6257</v>
      </c>
      <c r="AS201" s="29">
        <v>6513</v>
      </c>
      <c r="AT201" s="29">
        <v>6918</v>
      </c>
      <c r="AU201" s="29">
        <v>7115</v>
      </c>
      <c r="AV201" s="29">
        <v>7228</v>
      </c>
      <c r="AW201" s="29">
        <v>7069</v>
      </c>
      <c r="AX201" s="29">
        <v>7315</v>
      </c>
      <c r="AY201" s="29">
        <v>7210</v>
      </c>
      <c r="AZ201" s="29">
        <v>7689</v>
      </c>
      <c r="BA201" s="29">
        <v>7700</v>
      </c>
      <c r="BB201" s="29">
        <v>7092</v>
      </c>
      <c r="BC201" s="29">
        <v>6709</v>
      </c>
      <c r="BD201" s="29">
        <v>6310</v>
      </c>
      <c r="BE201" s="29">
        <v>6739</v>
      </c>
      <c r="BF201" s="29">
        <v>7076</v>
      </c>
      <c r="BG201" s="29">
        <v>7395</v>
      </c>
      <c r="BH201" s="29">
        <v>7578</v>
      </c>
      <c r="BI201" s="29">
        <v>7028</v>
      </c>
      <c r="BJ201" s="29">
        <v>7030</v>
      </c>
      <c r="BK201" s="29">
        <v>6625</v>
      </c>
      <c r="BL201" s="30">
        <v>6424</v>
      </c>
      <c r="BM201" s="1">
        <v>6018</v>
      </c>
      <c r="BN201" s="1">
        <v>5648</v>
      </c>
      <c r="BO201" s="1">
        <v>5637</v>
      </c>
      <c r="BP201" s="1">
        <v>5495</v>
      </c>
      <c r="BQ201" s="1">
        <v>5532</v>
      </c>
      <c r="BR201" s="1">
        <v>5252</v>
      </c>
      <c r="BS201" s="1">
        <v>5406</v>
      </c>
      <c r="BT201" s="1">
        <v>5490</v>
      </c>
      <c r="BU201" s="1">
        <v>5657</v>
      </c>
      <c r="BV201" s="1">
        <v>5507</v>
      </c>
      <c r="BW201" s="1">
        <v>5265</v>
      </c>
      <c r="BX201" s="1">
        <v>5364</v>
      </c>
      <c r="BY201" s="1">
        <v>5376</v>
      </c>
      <c r="BZ201" s="1">
        <v>5275</v>
      </c>
    </row>
    <row r="202" spans="1:254" ht="15.9" customHeight="1">
      <c r="A202" s="65" t="s">
        <v>396</v>
      </c>
      <c r="B202" s="25" t="s">
        <v>397</v>
      </c>
      <c r="C202" s="39">
        <f>_xll.RssMarket("2768","高値")</f>
        <v>5574</v>
      </c>
      <c r="D202" s="38">
        <f t="shared" si="6"/>
        <v>0</v>
      </c>
      <c r="E202" s="34">
        <v>5574</v>
      </c>
      <c r="F202" s="34">
        <v>5387</v>
      </c>
      <c r="G202" s="29">
        <v>5252</v>
      </c>
      <c r="H202" s="29">
        <v>5235</v>
      </c>
      <c r="I202" s="29">
        <v>5457</v>
      </c>
      <c r="J202" s="29">
        <v>5373</v>
      </c>
      <c r="K202" s="29">
        <v>5412</v>
      </c>
      <c r="L202" s="29">
        <v>5413</v>
      </c>
      <c r="M202" s="29">
        <v>5467</v>
      </c>
      <c r="N202" s="29">
        <v>5452</v>
      </c>
      <c r="O202" s="29">
        <v>5507</v>
      </c>
      <c r="P202" s="29">
        <v>5453</v>
      </c>
      <c r="Q202" s="29">
        <v>5291</v>
      </c>
      <c r="R202" s="29">
        <v>5213</v>
      </c>
      <c r="S202" s="29">
        <v>5220</v>
      </c>
      <c r="T202" s="29">
        <v>5120</v>
      </c>
      <c r="U202" s="29">
        <v>5204</v>
      </c>
      <c r="V202" s="29">
        <v>5151</v>
      </c>
      <c r="W202" s="29">
        <v>5178</v>
      </c>
      <c r="X202" s="29">
        <v>5283</v>
      </c>
      <c r="Y202" s="29">
        <v>5425</v>
      </c>
      <c r="Z202" s="29">
        <v>5408</v>
      </c>
      <c r="AA202" s="29">
        <v>5305</v>
      </c>
      <c r="AB202" s="29">
        <v>5287</v>
      </c>
      <c r="AC202" s="29">
        <v>5210</v>
      </c>
      <c r="AD202" s="29">
        <v>5250</v>
      </c>
      <c r="AE202" s="29">
        <v>5357</v>
      </c>
      <c r="AF202" s="29">
        <v>5357</v>
      </c>
      <c r="AG202" s="29">
        <v>5292</v>
      </c>
      <c r="AH202" s="29">
        <v>5232</v>
      </c>
      <c r="AI202" s="29">
        <v>5362</v>
      </c>
      <c r="AJ202" s="29">
        <v>5300</v>
      </c>
      <c r="AK202" s="29">
        <v>5406</v>
      </c>
      <c r="AL202" s="29">
        <v>5406</v>
      </c>
      <c r="AM202" s="29">
        <v>5372</v>
      </c>
      <c r="AN202" s="29">
        <v>5387</v>
      </c>
      <c r="AO202" s="29">
        <v>5374</v>
      </c>
      <c r="AP202" s="29">
        <v>5091</v>
      </c>
      <c r="AQ202" s="29">
        <v>5067</v>
      </c>
      <c r="AR202" s="29">
        <v>5139</v>
      </c>
      <c r="AS202" s="29">
        <v>5147</v>
      </c>
      <c r="AT202" s="29">
        <v>5275</v>
      </c>
      <c r="AU202" s="29">
        <v>5190</v>
      </c>
      <c r="AV202" s="29">
        <v>5192</v>
      </c>
      <c r="AW202" s="29">
        <v>5134</v>
      </c>
      <c r="AX202" s="29">
        <v>5494</v>
      </c>
      <c r="AY202" s="29">
        <v>5475</v>
      </c>
      <c r="AZ202" s="29">
        <v>5650</v>
      </c>
      <c r="BA202" s="29">
        <v>5634</v>
      </c>
      <c r="BB202" s="29">
        <v>5576</v>
      </c>
      <c r="BC202" s="29">
        <v>5617</v>
      </c>
      <c r="BD202" s="29">
        <v>5690</v>
      </c>
      <c r="BE202" s="29">
        <v>5767</v>
      </c>
      <c r="BF202" s="29">
        <v>5900</v>
      </c>
      <c r="BG202" s="29">
        <v>5989</v>
      </c>
      <c r="BH202" s="29">
        <v>5910</v>
      </c>
      <c r="BI202" s="29">
        <v>5964</v>
      </c>
      <c r="BJ202" s="29">
        <v>5880</v>
      </c>
      <c r="BK202" s="29">
        <v>5756</v>
      </c>
      <c r="BL202" s="30">
        <v>5811</v>
      </c>
      <c r="BM202" s="1">
        <v>6215</v>
      </c>
      <c r="BN202" s="1">
        <v>6400</v>
      </c>
      <c r="BO202" s="1">
        <v>5930</v>
      </c>
      <c r="BP202" s="1">
        <v>5977</v>
      </c>
      <c r="BQ202" s="1">
        <v>5871</v>
      </c>
      <c r="BR202" s="1">
        <v>5948</v>
      </c>
      <c r="BS202" s="1">
        <v>5905</v>
      </c>
      <c r="BT202" s="1">
        <v>5998</v>
      </c>
      <c r="BU202" s="1">
        <v>6120</v>
      </c>
      <c r="BV202" s="1">
        <v>6147</v>
      </c>
      <c r="BW202" s="1">
        <v>6250</v>
      </c>
      <c r="BX202" s="1">
        <v>6280</v>
      </c>
      <c r="BY202" s="1">
        <v>6290</v>
      </c>
      <c r="BZ202" s="1">
        <v>6401</v>
      </c>
    </row>
    <row r="203" spans="1:254" ht="15.9" customHeight="1">
      <c r="A203" s="65" t="s">
        <v>398</v>
      </c>
      <c r="B203" s="25" t="s">
        <v>399</v>
      </c>
      <c r="C203" s="39">
        <f>_xll.RssMarket("6305","高値")</f>
        <v>5652</v>
      </c>
      <c r="D203" s="38">
        <f t="shared" si="6"/>
        <v>0</v>
      </c>
      <c r="E203" s="34">
        <v>5652</v>
      </c>
      <c r="F203" s="34">
        <v>5487</v>
      </c>
      <c r="G203" s="29">
        <v>5377</v>
      </c>
      <c r="H203" s="29">
        <v>5486</v>
      </c>
      <c r="I203" s="29">
        <v>5451</v>
      </c>
      <c r="J203" s="29">
        <v>5691</v>
      </c>
      <c r="K203" s="29">
        <v>5768</v>
      </c>
      <c r="L203" s="29">
        <v>5653</v>
      </c>
      <c r="M203" s="29">
        <v>5680</v>
      </c>
      <c r="N203" s="29">
        <v>5401</v>
      </c>
      <c r="O203" s="29">
        <v>5442</v>
      </c>
      <c r="P203" s="29">
        <v>5375</v>
      </c>
      <c r="Q203" s="29">
        <v>5227</v>
      </c>
      <c r="R203" s="29">
        <v>5287</v>
      </c>
      <c r="S203" s="29">
        <v>5341</v>
      </c>
      <c r="T203" s="29">
        <v>5283</v>
      </c>
      <c r="U203" s="29">
        <v>5339</v>
      </c>
      <c r="V203" s="29">
        <v>5302</v>
      </c>
      <c r="W203" s="29">
        <v>5300</v>
      </c>
      <c r="X203" s="29">
        <v>5405</v>
      </c>
      <c r="Y203" s="29">
        <v>5486</v>
      </c>
      <c r="Z203" s="29">
        <v>5523</v>
      </c>
      <c r="AA203" s="29">
        <v>5360</v>
      </c>
      <c r="AB203" s="29">
        <v>5288</v>
      </c>
      <c r="AC203" s="29">
        <v>5331</v>
      </c>
      <c r="AD203" s="29">
        <v>5368</v>
      </c>
      <c r="AE203" s="29">
        <v>5364</v>
      </c>
      <c r="AF203" s="29">
        <v>5369</v>
      </c>
      <c r="AG203" s="29">
        <v>5404</v>
      </c>
      <c r="AH203" s="29">
        <v>5345</v>
      </c>
      <c r="AI203" s="29">
        <v>5498</v>
      </c>
      <c r="AJ203" s="29">
        <v>5422</v>
      </c>
      <c r="AK203" s="29">
        <v>5486</v>
      </c>
      <c r="AL203" s="29">
        <v>5465</v>
      </c>
      <c r="AM203" s="29">
        <v>5436</v>
      </c>
      <c r="AN203" s="29">
        <v>5596</v>
      </c>
      <c r="AO203" s="29">
        <v>5600</v>
      </c>
      <c r="AP203" s="29">
        <v>5339</v>
      </c>
      <c r="AQ203" s="29">
        <v>5177</v>
      </c>
      <c r="AR203" s="29">
        <v>5339</v>
      </c>
      <c r="AS203" s="29">
        <v>5324</v>
      </c>
      <c r="AT203" s="29">
        <v>5462</v>
      </c>
      <c r="AU203" s="29">
        <v>5413</v>
      </c>
      <c r="AV203" s="29">
        <v>5415</v>
      </c>
      <c r="AW203" s="29">
        <v>5152</v>
      </c>
      <c r="AX203" s="29">
        <v>5278</v>
      </c>
      <c r="AY203" s="29">
        <v>5280</v>
      </c>
      <c r="AZ203" s="29">
        <v>5340</v>
      </c>
      <c r="BA203" s="29">
        <v>5067</v>
      </c>
      <c r="BB203" s="29">
        <v>5034</v>
      </c>
      <c r="BC203" s="29">
        <v>5032</v>
      </c>
      <c r="BD203" s="29">
        <v>5038</v>
      </c>
      <c r="BE203" s="29">
        <v>5178</v>
      </c>
      <c r="BF203" s="29">
        <v>5274</v>
      </c>
      <c r="BG203" s="29">
        <v>5337</v>
      </c>
      <c r="BH203" s="29">
        <v>5420</v>
      </c>
      <c r="BI203" s="29">
        <v>5326</v>
      </c>
      <c r="BJ203" s="29">
        <v>5765</v>
      </c>
      <c r="BK203" s="29">
        <v>5701</v>
      </c>
      <c r="BL203" s="30">
        <v>5718</v>
      </c>
      <c r="BM203" s="1">
        <v>5723</v>
      </c>
      <c r="BN203" s="1">
        <v>5568</v>
      </c>
      <c r="BO203" s="1">
        <v>5653</v>
      </c>
      <c r="BP203" s="1">
        <v>5688</v>
      </c>
      <c r="BQ203" s="1">
        <v>5658</v>
      </c>
      <c r="BR203" s="1">
        <v>5570</v>
      </c>
      <c r="BS203" s="1">
        <v>5567</v>
      </c>
      <c r="BT203" s="1">
        <v>5505</v>
      </c>
      <c r="BU203" s="1">
        <v>5539</v>
      </c>
      <c r="BV203" s="1">
        <v>5470</v>
      </c>
      <c r="BW203" s="1">
        <v>5502</v>
      </c>
      <c r="BX203" s="1">
        <v>5665</v>
      </c>
      <c r="BY203" s="1">
        <v>5692</v>
      </c>
      <c r="BZ203" s="1">
        <v>5726</v>
      </c>
    </row>
    <row r="204" spans="1:254" ht="15.9" customHeight="1">
      <c r="A204" s="65" t="s">
        <v>400</v>
      </c>
      <c r="B204" s="25" t="s">
        <v>401</v>
      </c>
      <c r="C204" s="39">
        <f>_xll.RssMarket("8015","高値")</f>
        <v>7460</v>
      </c>
      <c r="D204" s="38">
        <f t="shared" si="6"/>
        <v>0</v>
      </c>
      <c r="E204" s="34">
        <v>7460</v>
      </c>
      <c r="F204" s="34">
        <v>7243</v>
      </c>
      <c r="G204" s="29">
        <v>6850</v>
      </c>
      <c r="H204" s="29">
        <v>6745</v>
      </c>
      <c r="I204" s="29">
        <v>6871</v>
      </c>
      <c r="J204" s="29">
        <v>6645</v>
      </c>
      <c r="K204" s="29">
        <v>6577</v>
      </c>
      <c r="L204" s="29">
        <v>6512</v>
      </c>
      <c r="M204" s="29">
        <v>6605</v>
      </c>
      <c r="N204" s="29">
        <v>6535</v>
      </c>
      <c r="O204" s="29">
        <v>6613</v>
      </c>
      <c r="P204" s="29">
        <v>6555</v>
      </c>
      <c r="Q204" s="29">
        <v>6505</v>
      </c>
      <c r="R204" s="29">
        <v>6228</v>
      </c>
      <c r="S204" s="29">
        <v>6241</v>
      </c>
      <c r="T204" s="29">
        <v>6065</v>
      </c>
      <c r="U204" s="29">
        <v>6144</v>
      </c>
      <c r="V204" s="29">
        <v>6248</v>
      </c>
      <c r="W204" s="29">
        <v>6190</v>
      </c>
      <c r="X204" s="29">
        <v>6323</v>
      </c>
      <c r="Y204" s="29">
        <v>6510</v>
      </c>
      <c r="Z204" s="29">
        <v>6304</v>
      </c>
      <c r="AA204" s="29">
        <v>6426</v>
      </c>
      <c r="AB204" s="29">
        <v>6202</v>
      </c>
      <c r="AC204" s="29">
        <v>6134</v>
      </c>
      <c r="AD204" s="29">
        <v>6062</v>
      </c>
      <c r="AE204" s="29">
        <v>6054</v>
      </c>
      <c r="AF204" s="29">
        <v>6063</v>
      </c>
      <c r="AG204" s="29">
        <v>6215</v>
      </c>
      <c r="AH204" s="29">
        <v>6199</v>
      </c>
      <c r="AI204" s="29">
        <v>6276</v>
      </c>
      <c r="AJ204" s="29">
        <v>6226</v>
      </c>
      <c r="AK204" s="29">
        <v>6212</v>
      </c>
      <c r="AL204" s="29">
        <v>6434</v>
      </c>
      <c r="AM204" s="29">
        <v>6456</v>
      </c>
      <c r="AN204" s="29">
        <v>6531</v>
      </c>
      <c r="AO204" s="29">
        <v>6594</v>
      </c>
      <c r="AP204" s="29">
        <v>6254</v>
      </c>
      <c r="AQ204" s="29">
        <v>5978</v>
      </c>
      <c r="AR204" s="29">
        <v>6156</v>
      </c>
      <c r="AS204" s="29">
        <v>6450</v>
      </c>
      <c r="AT204" s="29">
        <v>6493</v>
      </c>
      <c r="AU204" s="29">
        <v>6560</v>
      </c>
      <c r="AV204" s="29">
        <v>6600</v>
      </c>
      <c r="AW204" s="29">
        <v>6558</v>
      </c>
      <c r="AX204" s="29">
        <v>7000</v>
      </c>
      <c r="AY204" s="29">
        <v>6845</v>
      </c>
      <c r="AZ204" s="29">
        <v>7039</v>
      </c>
      <c r="BA204" s="29">
        <v>7164</v>
      </c>
      <c r="BB204" s="29">
        <v>6993</v>
      </c>
      <c r="BC204" s="29">
        <v>7027</v>
      </c>
      <c r="BD204" s="29">
        <v>7006</v>
      </c>
      <c r="BE204" s="29">
        <v>7143</v>
      </c>
      <c r="BF204" s="29">
        <v>7285</v>
      </c>
      <c r="BG204" s="29">
        <v>7559</v>
      </c>
      <c r="BH204" s="29">
        <v>7443</v>
      </c>
      <c r="BI204" s="29">
        <v>7488</v>
      </c>
      <c r="BJ204" s="29">
        <v>7256</v>
      </c>
      <c r="BK204" s="29">
        <v>7039</v>
      </c>
      <c r="BL204" s="30">
        <v>6894</v>
      </c>
      <c r="BM204" s="1">
        <v>7070</v>
      </c>
      <c r="BN204" s="1">
        <v>7048</v>
      </c>
      <c r="BO204" s="1">
        <v>6270</v>
      </c>
      <c r="BP204" s="1">
        <v>6469</v>
      </c>
      <c r="BQ204" s="1">
        <v>6268</v>
      </c>
      <c r="BR204" s="1">
        <v>6235</v>
      </c>
      <c r="BS204" s="1">
        <v>6248</v>
      </c>
      <c r="BT204" s="1">
        <v>6280</v>
      </c>
      <c r="BU204" s="1">
        <v>6383</v>
      </c>
      <c r="BV204" s="1">
        <v>6368</v>
      </c>
      <c r="BW204" s="1">
        <v>6374</v>
      </c>
      <c r="BX204" s="1">
        <v>6381</v>
      </c>
      <c r="BY204" s="1">
        <v>6449</v>
      </c>
      <c r="BZ204" s="1">
        <v>6522</v>
      </c>
    </row>
    <row r="205" spans="1:254">
      <c r="A205" s="62" t="s">
        <v>402</v>
      </c>
      <c r="B205" s="31" t="s">
        <v>403</v>
      </c>
      <c r="C205" s="39">
        <f>_xll.RssMarket("6758","高値")</f>
        <v>3663</v>
      </c>
      <c r="D205" s="38">
        <f t="shared" si="6"/>
        <v>0</v>
      </c>
      <c r="E205" s="69">
        <v>3663</v>
      </c>
      <c r="F205" s="69">
        <v>3642</v>
      </c>
      <c r="G205" s="69"/>
      <c r="H205" s="69"/>
      <c r="I205" s="69"/>
      <c r="J205" s="69"/>
      <c r="K205" s="69"/>
      <c r="L205" s="69"/>
      <c r="M205" s="69"/>
      <c r="N205" s="69"/>
      <c r="O205" s="69"/>
      <c r="P205" s="69"/>
      <c r="Q205" s="69"/>
      <c r="R205" s="69"/>
      <c r="S205" s="69"/>
      <c r="T205" s="69"/>
      <c r="U205" s="69"/>
      <c r="V205" s="69"/>
      <c r="W205" s="69"/>
      <c r="X205" s="69"/>
      <c r="Y205" s="69"/>
      <c r="Z205" s="69"/>
      <c r="AA205" s="69"/>
      <c r="AB205" s="69"/>
      <c r="AC205" s="69"/>
      <c r="AD205" s="69"/>
      <c r="AE205" s="69"/>
      <c r="AF205" s="69"/>
      <c r="AG205" s="69"/>
      <c r="AH205" s="69"/>
      <c r="AI205" s="69"/>
      <c r="AJ205" s="69"/>
      <c r="AK205" s="69"/>
      <c r="AL205" s="69"/>
      <c r="AM205" s="69"/>
      <c r="AN205" s="69"/>
      <c r="AO205" s="69"/>
      <c r="AP205" s="69"/>
      <c r="AQ205" s="69"/>
      <c r="AR205" s="69"/>
      <c r="AS205" s="69"/>
      <c r="AT205" s="69"/>
      <c r="AU205" s="69"/>
      <c r="AV205" s="69"/>
      <c r="AW205" s="69"/>
      <c r="AX205" s="69"/>
      <c r="AY205" s="69"/>
      <c r="AZ205" s="69"/>
      <c r="BA205" s="69"/>
      <c r="BB205" s="69"/>
      <c r="BC205" s="69"/>
      <c r="BD205" s="69"/>
      <c r="BE205" s="69"/>
      <c r="BF205" s="69"/>
      <c r="BG205" s="69"/>
      <c r="BH205" s="69"/>
      <c r="BI205" s="69"/>
      <c r="BJ205" s="69"/>
      <c r="BK205" s="69"/>
      <c r="BL205" s="2"/>
    </row>
    <row r="206" spans="1:254">
      <c r="A206" s="62" t="s">
        <v>404</v>
      </c>
      <c r="B206" s="31" t="s">
        <v>405</v>
      </c>
      <c r="C206" s="39">
        <f>_xll.RssMarket("9101","高値")</f>
        <v>5950</v>
      </c>
      <c r="D206" s="38">
        <f t="shared" si="6"/>
        <v>0</v>
      </c>
      <c r="E206" s="69">
        <v>5950</v>
      </c>
      <c r="F206" s="69">
        <v>6005</v>
      </c>
      <c r="G206" s="69">
        <v>6048</v>
      </c>
      <c r="H206" s="69">
        <v>6078</v>
      </c>
      <c r="I206" s="69">
        <v>6159</v>
      </c>
      <c r="J206" s="69">
        <v>6168</v>
      </c>
      <c r="K206" s="69">
        <v>6155</v>
      </c>
      <c r="L206" s="69">
        <v>6055</v>
      </c>
      <c r="M206" s="69">
        <v>6141</v>
      </c>
      <c r="N206" s="69">
        <v>5972</v>
      </c>
      <c r="O206" s="69">
        <v>5847</v>
      </c>
      <c r="P206" s="69">
        <v>5838</v>
      </c>
      <c r="Q206" s="69">
        <v>5762</v>
      </c>
      <c r="R206" s="69">
        <v>5784</v>
      </c>
      <c r="S206" s="69">
        <v>5614</v>
      </c>
      <c r="T206" s="69">
        <v>5509</v>
      </c>
      <c r="U206" s="69">
        <v>5348</v>
      </c>
      <c r="V206" s="69">
        <v>5406</v>
      </c>
      <c r="W206" s="69">
        <v>5495</v>
      </c>
      <c r="X206" s="69">
        <v>5393</v>
      </c>
      <c r="Y206" s="69">
        <v>5295</v>
      </c>
      <c r="Z206" s="69">
        <v>5370</v>
      </c>
      <c r="AA206" s="69">
        <v>5289</v>
      </c>
      <c r="AB206" s="69">
        <v>5190</v>
      </c>
      <c r="AC206" s="69">
        <v>5203</v>
      </c>
      <c r="AD206" s="69">
        <v>5265</v>
      </c>
      <c r="AE206" s="69">
        <v>5310</v>
      </c>
      <c r="AF206" s="69">
        <v>5267</v>
      </c>
      <c r="AG206" s="69">
        <v>5410</v>
      </c>
      <c r="AH206" s="69">
        <v>5396</v>
      </c>
      <c r="AI206" s="69">
        <v>5303</v>
      </c>
      <c r="AJ206" s="69">
        <v>5203</v>
      </c>
      <c r="AK206" s="69">
        <v>5234</v>
      </c>
      <c r="AL206" s="69">
        <v>5300</v>
      </c>
      <c r="AM206" s="69">
        <v>5410</v>
      </c>
      <c r="AN206" s="69">
        <v>5532</v>
      </c>
      <c r="AO206" s="69">
        <v>5672</v>
      </c>
      <c r="AP206" s="69">
        <v>5689</v>
      </c>
      <c r="AQ206" s="69">
        <v>5690</v>
      </c>
      <c r="AR206" s="69">
        <v>5720</v>
      </c>
      <c r="AS206" s="69">
        <v>5646</v>
      </c>
      <c r="AT206" s="69">
        <v>5723</v>
      </c>
      <c r="AU206" s="69">
        <v>5515</v>
      </c>
      <c r="AV206" s="69">
        <v>5362</v>
      </c>
      <c r="AW206" s="69">
        <v>5343</v>
      </c>
      <c r="AX206" s="69">
        <v>5376</v>
      </c>
      <c r="AY206" s="69">
        <v>5358</v>
      </c>
      <c r="AZ206" s="69">
        <v>5289</v>
      </c>
      <c r="BA206" s="69">
        <v>5412</v>
      </c>
      <c r="BB206" s="69">
        <v>5450</v>
      </c>
      <c r="BC206" s="69">
        <v>5630</v>
      </c>
      <c r="BD206" s="69">
        <v>5695</v>
      </c>
      <c r="BE206" s="69">
        <v>5620</v>
      </c>
      <c r="BF206" s="69">
        <v>5636</v>
      </c>
      <c r="BG206" s="69">
        <v>5498</v>
      </c>
      <c r="BH206" s="69">
        <v>5446</v>
      </c>
      <c r="BI206" s="69">
        <v>5389</v>
      </c>
      <c r="BJ206" s="69">
        <v>5486</v>
      </c>
      <c r="BK206" s="69">
        <v>5740</v>
      </c>
      <c r="BL206" s="2">
        <v>5700</v>
      </c>
      <c r="BM206" s="1">
        <v>5675</v>
      </c>
      <c r="BN206" s="1">
        <v>5648</v>
      </c>
      <c r="BO206" s="1">
        <v>5702</v>
      </c>
      <c r="BP206" s="1">
        <v>5681</v>
      </c>
      <c r="BQ206" s="1">
        <v>5807</v>
      </c>
      <c r="BR206" s="1">
        <v>5923</v>
      </c>
      <c r="BS206" s="1">
        <v>5852</v>
      </c>
      <c r="BT206" s="1">
        <v>5910</v>
      </c>
      <c r="BU206" s="1">
        <v>5930</v>
      </c>
      <c r="BV206" s="1">
        <v>6068</v>
      </c>
      <c r="BW206" s="1">
        <v>6178</v>
      </c>
      <c r="BX206" s="1">
        <v>6127</v>
      </c>
      <c r="BY206" s="1">
        <v>6138</v>
      </c>
      <c r="BZ206" s="1">
        <v>6153</v>
      </c>
    </row>
    <row r="207" spans="1:254">
      <c r="A207" s="62" t="s">
        <v>406</v>
      </c>
      <c r="B207" s="1" t="s">
        <v>407</v>
      </c>
      <c r="C207" s="54">
        <f>_xll.RssMarket("7011","高値")</f>
        <v>4137</v>
      </c>
      <c r="D207" s="16">
        <f t="shared" si="6"/>
        <v>0</v>
      </c>
      <c r="E207" s="2">
        <v>4137</v>
      </c>
      <c r="F207" s="2">
        <v>4072</v>
      </c>
      <c r="G207" s="2">
        <v>4155</v>
      </c>
      <c r="H207" s="2">
        <v>3805</v>
      </c>
      <c r="I207" s="2">
        <v>3864</v>
      </c>
      <c r="J207" s="2">
        <v>3801</v>
      </c>
      <c r="K207" s="2">
        <v>3783</v>
      </c>
      <c r="L207" s="2">
        <v>3817</v>
      </c>
      <c r="M207" s="2">
        <v>3981</v>
      </c>
      <c r="N207" s="2">
        <v>4007</v>
      </c>
      <c r="O207" s="2">
        <v>3930</v>
      </c>
      <c r="P207" s="2">
        <v>3916</v>
      </c>
      <c r="Q207" s="2">
        <v>3889</v>
      </c>
      <c r="R207" s="2">
        <v>3754</v>
      </c>
      <c r="S207" s="2">
        <v>3855</v>
      </c>
      <c r="T207" s="2">
        <v>3816</v>
      </c>
      <c r="U207" s="2">
        <v>3818</v>
      </c>
      <c r="V207" s="2">
        <v>3872</v>
      </c>
      <c r="W207" s="2">
        <v>3867</v>
      </c>
      <c r="X207" s="2">
        <v>3994</v>
      </c>
      <c r="Y207" s="2">
        <v>4146</v>
      </c>
      <c r="Z207" s="2">
        <v>4110</v>
      </c>
      <c r="AA207" s="2">
        <v>3899</v>
      </c>
      <c r="AB207" s="2">
        <v>3867</v>
      </c>
      <c r="AC207" s="2">
        <v>3825</v>
      </c>
      <c r="AD207" s="2">
        <v>3717</v>
      </c>
      <c r="AE207" s="2">
        <v>3774</v>
      </c>
      <c r="AF207" s="2">
        <v>3639</v>
      </c>
      <c r="AG207" s="2">
        <v>3784</v>
      </c>
      <c r="AH207" s="2">
        <v>3809</v>
      </c>
      <c r="AI207" s="2">
        <v>3913</v>
      </c>
      <c r="AJ207" s="2">
        <v>3914</v>
      </c>
      <c r="AK207" s="2">
        <v>4030</v>
      </c>
      <c r="AL207" s="2">
        <v>4095</v>
      </c>
      <c r="AM207" s="2">
        <v>3905</v>
      </c>
      <c r="AN207" s="2">
        <v>3838</v>
      </c>
      <c r="AO207" s="2">
        <v>3720</v>
      </c>
      <c r="AP207" s="2">
        <v>3594</v>
      </c>
      <c r="AQ207" s="2">
        <v>3502</v>
      </c>
      <c r="AR207" s="2">
        <v>3686</v>
      </c>
      <c r="AS207" s="2">
        <v>3783</v>
      </c>
      <c r="AT207" s="2">
        <v>3828</v>
      </c>
      <c r="AU207" s="2">
        <v>3772</v>
      </c>
      <c r="AV207" s="2">
        <v>3640</v>
      </c>
      <c r="AW207" s="2">
        <v>3516</v>
      </c>
      <c r="AX207" s="2">
        <v>3836</v>
      </c>
      <c r="AY207" s="2">
        <v>3999</v>
      </c>
      <c r="AZ207" s="2">
        <v>4050</v>
      </c>
      <c r="BA207" s="2">
        <v>3944</v>
      </c>
      <c r="BB207" s="2">
        <v>4023</v>
      </c>
      <c r="BC207" s="2">
        <v>4032</v>
      </c>
      <c r="BD207" s="2">
        <v>4100</v>
      </c>
      <c r="BE207" s="2">
        <v>4255</v>
      </c>
      <c r="BF207" s="2">
        <v>4140</v>
      </c>
      <c r="BG207" s="2">
        <v>4148</v>
      </c>
      <c r="BH207" s="2">
        <v>4405</v>
      </c>
      <c r="BI207" s="2">
        <v>4456</v>
      </c>
      <c r="BJ207" s="2">
        <v>4363</v>
      </c>
      <c r="BK207" s="2">
        <v>4543</v>
      </c>
      <c r="BL207" s="2">
        <v>4571</v>
      </c>
      <c r="BM207" s="1">
        <v>4620</v>
      </c>
      <c r="BN207" s="1">
        <v>4638</v>
      </c>
      <c r="BO207" s="1">
        <v>4640</v>
      </c>
      <c r="BP207" s="1">
        <v>4823</v>
      </c>
      <c r="BQ207" s="1">
        <v>4733</v>
      </c>
      <c r="BR207" s="1">
        <v>4810</v>
      </c>
      <c r="BS207" s="1">
        <v>4770</v>
      </c>
      <c r="BT207" s="1">
        <v>4532</v>
      </c>
      <c r="BU207" s="1">
        <v>4570</v>
      </c>
      <c r="BV207" s="1">
        <v>4593</v>
      </c>
      <c r="BW207" s="1">
        <v>4511</v>
      </c>
      <c r="BX207" s="1">
        <v>4607</v>
      </c>
      <c r="BY207" s="1">
        <v>4735</v>
      </c>
      <c r="BZ207" s="1">
        <v>4815</v>
      </c>
    </row>
    <row r="208" spans="1:254">
      <c r="A208" s="62" t="s">
        <v>408</v>
      </c>
      <c r="B208" s="1" t="s">
        <v>409</v>
      </c>
      <c r="C208" s="54">
        <f>_xll.RssMarket("1812","高値")</f>
        <v>5315</v>
      </c>
      <c r="D208" s="16">
        <f t="shared" si="6"/>
        <v>0</v>
      </c>
      <c r="E208" s="2">
        <v>5315</v>
      </c>
      <c r="F208" s="2">
        <v>5454</v>
      </c>
      <c r="G208" s="2">
        <v>5347</v>
      </c>
      <c r="H208" s="2">
        <v>5354</v>
      </c>
      <c r="I208" s="2">
        <v>5508</v>
      </c>
      <c r="J208" s="2">
        <v>5521</v>
      </c>
      <c r="K208" s="2">
        <v>5599</v>
      </c>
      <c r="L208" s="2">
        <v>5592</v>
      </c>
      <c r="M208" s="2">
        <v>5682</v>
      </c>
      <c r="N208" s="2">
        <v>5627</v>
      </c>
      <c r="O208" s="2">
        <v>5672</v>
      </c>
      <c r="P208" s="2">
        <v>5696</v>
      </c>
      <c r="Q208" s="2">
        <v>5638</v>
      </c>
      <c r="R208" s="2">
        <v>5631</v>
      </c>
      <c r="S208" s="2">
        <v>5726</v>
      </c>
      <c r="T208" s="2">
        <v>5639</v>
      </c>
      <c r="U208" s="2">
        <v>5794</v>
      </c>
      <c r="V208" s="2">
        <v>5880</v>
      </c>
      <c r="W208" s="2">
        <v>5849</v>
      </c>
      <c r="X208" s="2">
        <v>6033</v>
      </c>
      <c r="Y208" s="2">
        <v>6291</v>
      </c>
      <c r="Z208" s="2">
        <v>6339</v>
      </c>
      <c r="AA208" s="2">
        <v>6213</v>
      </c>
      <c r="AB208" s="2">
        <v>6070</v>
      </c>
      <c r="AC208" s="2">
        <v>6170</v>
      </c>
      <c r="AD208" s="2">
        <v>5941</v>
      </c>
      <c r="AE208" s="2">
        <v>5932</v>
      </c>
      <c r="AF208" s="2">
        <v>5803</v>
      </c>
      <c r="AG208" s="2">
        <v>5801</v>
      </c>
      <c r="AH208" s="2">
        <v>5753</v>
      </c>
      <c r="AI208" s="2">
        <v>6075</v>
      </c>
      <c r="AJ208" s="2">
        <v>6030</v>
      </c>
      <c r="AK208" s="2">
        <v>6069</v>
      </c>
      <c r="AL208" s="2">
        <v>6094</v>
      </c>
      <c r="AM208" s="2">
        <v>6044</v>
      </c>
      <c r="AN208" s="2">
        <v>6138</v>
      </c>
      <c r="AO208" s="2">
        <v>6163</v>
      </c>
      <c r="AP208" s="2">
        <v>5634</v>
      </c>
      <c r="AQ208" s="2">
        <v>5502</v>
      </c>
      <c r="AR208" s="2">
        <v>5578</v>
      </c>
      <c r="AS208" s="2">
        <v>5551</v>
      </c>
      <c r="AT208" s="2">
        <v>5566</v>
      </c>
      <c r="AU208" s="2">
        <v>5551</v>
      </c>
      <c r="AV208" s="2">
        <v>5599</v>
      </c>
      <c r="AW208" s="2">
        <v>5550</v>
      </c>
      <c r="AX208" s="2">
        <v>5953</v>
      </c>
      <c r="AY208" s="2">
        <v>5903</v>
      </c>
      <c r="AZ208" s="2">
        <v>6074</v>
      </c>
      <c r="BA208" s="2">
        <v>5740</v>
      </c>
      <c r="BB208" s="2">
        <v>5591</v>
      </c>
      <c r="BC208" s="2">
        <v>5695</v>
      </c>
      <c r="BD208" s="2">
        <v>5766</v>
      </c>
      <c r="BE208" s="2">
        <v>5952</v>
      </c>
      <c r="BF208" s="2">
        <v>5843</v>
      </c>
      <c r="BG208" s="2">
        <v>6264</v>
      </c>
      <c r="BH208" s="2">
        <v>6536</v>
      </c>
      <c r="BI208" s="2">
        <v>6751</v>
      </c>
      <c r="BJ208" s="2">
        <v>6599</v>
      </c>
      <c r="BK208" s="2">
        <v>6279</v>
      </c>
      <c r="BL208" s="2">
        <v>6269</v>
      </c>
      <c r="BM208" s="1">
        <v>6314</v>
      </c>
      <c r="BN208" s="1">
        <v>6243</v>
      </c>
      <c r="BO208" s="1">
        <v>6429</v>
      </c>
      <c r="BP208" s="1">
        <v>6499</v>
      </c>
      <c r="BQ208" s="1">
        <v>6011</v>
      </c>
      <c r="BR208" s="1">
        <v>5980</v>
      </c>
      <c r="BS208" s="1">
        <v>5998</v>
      </c>
      <c r="BT208" s="1">
        <v>5987</v>
      </c>
      <c r="BU208" s="1">
        <v>6120</v>
      </c>
      <c r="BV208" s="1">
        <v>6092</v>
      </c>
      <c r="BW208" s="1">
        <v>6134</v>
      </c>
      <c r="BX208" s="1">
        <v>6203</v>
      </c>
      <c r="BY208" s="1">
        <v>6320</v>
      </c>
      <c r="BZ208" s="1">
        <v>6238</v>
      </c>
    </row>
    <row r="209" spans="1:254">
      <c r="A209" s="62" t="s">
        <v>410</v>
      </c>
      <c r="B209" s="1" t="str">
        <f>銘柄管理!C209</f>
        <v>キーエンス</v>
      </c>
      <c r="C209" s="54">
        <f>_xll.RssMarket("6861","高値")</f>
        <v>87920</v>
      </c>
      <c r="D209" s="16"/>
      <c r="E209" s="2">
        <v>87920</v>
      </c>
      <c r="F209" s="2">
        <v>87590</v>
      </c>
      <c r="G209" s="2">
        <v>83440</v>
      </c>
      <c r="H209" s="2">
        <v>81820</v>
      </c>
      <c r="I209" s="2">
        <v>83520</v>
      </c>
      <c r="J209" s="2">
        <v>80320</v>
      </c>
      <c r="K209" s="2">
        <v>81890</v>
      </c>
      <c r="L209" s="2">
        <v>72600</v>
      </c>
      <c r="M209" s="2">
        <v>74170</v>
      </c>
      <c r="N209" s="2">
        <v>72100</v>
      </c>
      <c r="O209" s="2">
        <v>73170</v>
      </c>
      <c r="P209" s="2">
        <v>73830</v>
      </c>
      <c r="Q209" s="2">
        <v>72590</v>
      </c>
      <c r="R209" s="2">
        <v>72450</v>
      </c>
      <c r="S209" s="2">
        <v>76780</v>
      </c>
      <c r="T209" s="2">
        <v>76700</v>
      </c>
      <c r="U209" s="2">
        <v>77460</v>
      </c>
      <c r="V209" s="2">
        <v>77480</v>
      </c>
      <c r="W209" s="2">
        <v>76190</v>
      </c>
      <c r="X209" s="2">
        <v>77320</v>
      </c>
      <c r="Y209" s="2">
        <v>80550</v>
      </c>
      <c r="Z209" s="2">
        <v>82030</v>
      </c>
      <c r="AA209" s="2">
        <v>80390</v>
      </c>
      <c r="AB209" s="2">
        <v>82080</v>
      </c>
      <c r="AC209" s="2">
        <v>82400</v>
      </c>
      <c r="AD209" s="2">
        <v>82320</v>
      </c>
      <c r="AE209" s="2">
        <v>78200</v>
      </c>
      <c r="AF209" s="2">
        <v>77640</v>
      </c>
      <c r="AG209" s="2">
        <v>78690</v>
      </c>
      <c r="AH209" s="2">
        <v>77000</v>
      </c>
      <c r="AI209" s="2">
        <v>78160</v>
      </c>
      <c r="AJ209" s="2">
        <v>78890</v>
      </c>
      <c r="AK209" s="2">
        <v>77700</v>
      </c>
      <c r="AL209" s="2">
        <v>77820</v>
      </c>
      <c r="AM209" s="2">
        <v>76250</v>
      </c>
      <c r="AN209" s="2">
        <v>76090</v>
      </c>
      <c r="AO209" s="2">
        <v>76740</v>
      </c>
      <c r="AP209" s="2">
        <v>73460</v>
      </c>
      <c r="AQ209" s="2">
        <v>71660</v>
      </c>
      <c r="AR209" s="2">
        <v>73890</v>
      </c>
      <c r="AS209" s="2">
        <v>75030</v>
      </c>
      <c r="AT209" s="2">
        <v>78800</v>
      </c>
      <c r="AU209" s="2">
        <v>80870</v>
      </c>
      <c r="AV209" s="2">
        <v>81100</v>
      </c>
      <c r="AW209" s="2">
        <v>79400</v>
      </c>
      <c r="AX209" s="2">
        <v>81380</v>
      </c>
      <c r="AY209" s="2">
        <v>77000</v>
      </c>
      <c r="AZ209" s="2">
        <v>77330</v>
      </c>
      <c r="BA209" s="2">
        <v>79740</v>
      </c>
      <c r="BB209" s="2">
        <v>80220</v>
      </c>
      <c r="BC209" s="2">
        <v>77840</v>
      </c>
      <c r="BD209" s="2">
        <v>75410</v>
      </c>
      <c r="BE209" s="2">
        <v>76670</v>
      </c>
      <c r="BF209" s="2">
        <v>77190</v>
      </c>
      <c r="BG209" s="2">
        <v>78840</v>
      </c>
      <c r="BH209" s="2">
        <v>79680</v>
      </c>
      <c r="BI209" s="2">
        <v>79830</v>
      </c>
      <c r="BJ209" s="2">
        <v>83000</v>
      </c>
      <c r="BK209" s="2">
        <v>83460</v>
      </c>
      <c r="BL209" s="2">
        <v>84170</v>
      </c>
      <c r="BM209" s="1">
        <v>81720</v>
      </c>
      <c r="BN209" s="1">
        <v>76790</v>
      </c>
      <c r="BO209" s="1">
        <v>73980</v>
      </c>
      <c r="BP209" s="1">
        <v>76100</v>
      </c>
      <c r="BQ209" s="1">
        <v>73180</v>
      </c>
      <c r="BR209" s="1">
        <v>64190</v>
      </c>
      <c r="BS209" s="1">
        <v>64700</v>
      </c>
      <c r="BT209" s="1">
        <v>64340</v>
      </c>
      <c r="BU209" s="1">
        <v>64600</v>
      </c>
      <c r="BV209" s="1">
        <v>64360</v>
      </c>
      <c r="BW209" s="1">
        <v>64150</v>
      </c>
      <c r="BX209" s="1">
        <v>63660</v>
      </c>
      <c r="BY209" s="1">
        <v>62940</v>
      </c>
      <c r="BZ209" s="1">
        <v>64100</v>
      </c>
    </row>
    <row r="210" spans="1:254">
      <c r="A210" s="62" t="s">
        <v>411</v>
      </c>
      <c r="B210" s="1" t="s">
        <v>412</v>
      </c>
      <c r="C210" s="54">
        <f>_xll.RssMarket("6324","高値")</f>
        <v>7480</v>
      </c>
      <c r="D210" s="16">
        <f t="shared" ref="D210:D221" si="7">C210-E210</f>
        <v>0</v>
      </c>
      <c r="E210" s="2">
        <v>7480</v>
      </c>
      <c r="F210" s="2">
        <v>7430</v>
      </c>
      <c r="G210" s="2">
        <v>6950</v>
      </c>
      <c r="H210" s="2">
        <v>6390</v>
      </c>
      <c r="I210" s="2">
        <v>6300</v>
      </c>
      <c r="J210" s="2">
        <v>5810</v>
      </c>
      <c r="K210" s="2">
        <v>5930</v>
      </c>
      <c r="L210" s="2">
        <v>6270</v>
      </c>
      <c r="M210" s="2">
        <v>6820</v>
      </c>
      <c r="N210" s="2">
        <v>6840</v>
      </c>
      <c r="O210" s="2">
        <v>7130</v>
      </c>
      <c r="P210" s="2">
        <v>7180</v>
      </c>
      <c r="Q210" s="2">
        <v>6630</v>
      </c>
      <c r="R210" s="2">
        <v>6910</v>
      </c>
      <c r="S210" s="2">
        <v>7680</v>
      </c>
      <c r="T210" s="2">
        <v>7550</v>
      </c>
      <c r="U210" s="2">
        <v>8070</v>
      </c>
      <c r="V210" s="2">
        <v>8200</v>
      </c>
      <c r="W210" s="2">
        <v>7930</v>
      </c>
      <c r="X210" s="2">
        <v>8090</v>
      </c>
      <c r="Y210" s="2">
        <v>8730</v>
      </c>
      <c r="Z210" s="2">
        <v>9150</v>
      </c>
      <c r="AA210" s="2">
        <v>8840</v>
      </c>
      <c r="AB210" s="2">
        <v>8470</v>
      </c>
      <c r="AC210" s="2">
        <v>8080</v>
      </c>
      <c r="AD210" s="2">
        <v>7970</v>
      </c>
      <c r="AE210" s="2">
        <v>7130</v>
      </c>
      <c r="AF210" s="2">
        <v>7910</v>
      </c>
      <c r="AG210" s="2">
        <v>8050</v>
      </c>
      <c r="AH210" s="2">
        <v>8070</v>
      </c>
      <c r="AI210" s="2">
        <v>8750</v>
      </c>
      <c r="AJ210" s="2">
        <v>8870</v>
      </c>
      <c r="AK210" s="2">
        <v>7980</v>
      </c>
      <c r="AL210" s="2">
        <v>8240</v>
      </c>
      <c r="AM210" s="2">
        <v>7890</v>
      </c>
      <c r="AN210" s="2">
        <v>7160</v>
      </c>
      <c r="AO210" s="2">
        <v>6920</v>
      </c>
      <c r="AP210" s="2">
        <v>6890</v>
      </c>
      <c r="AQ210" s="2">
        <v>6300</v>
      </c>
      <c r="AR210" s="2">
        <v>6750</v>
      </c>
      <c r="AS210" s="2">
        <v>7440</v>
      </c>
      <c r="AT210" s="2">
        <v>7220</v>
      </c>
      <c r="AU210" s="2">
        <v>7450</v>
      </c>
      <c r="AV210" s="2">
        <v>7720</v>
      </c>
      <c r="AW210" s="2">
        <v>7560</v>
      </c>
      <c r="AX210" s="2">
        <v>7970</v>
      </c>
      <c r="AY210" s="2">
        <v>7870</v>
      </c>
      <c r="AZ210" s="2">
        <v>8400</v>
      </c>
      <c r="BA210" s="2">
        <v>7850</v>
      </c>
      <c r="BB210" s="2">
        <v>7180</v>
      </c>
      <c r="BC210" s="2">
        <v>6590</v>
      </c>
      <c r="BD210" s="2">
        <v>6050</v>
      </c>
      <c r="BE210" s="2">
        <v>6720</v>
      </c>
      <c r="BF210" s="2">
        <v>7070</v>
      </c>
      <c r="BG210" s="2">
        <v>7380</v>
      </c>
      <c r="BH210" s="2">
        <v>7230</v>
      </c>
      <c r="BI210" s="2">
        <v>7060</v>
      </c>
      <c r="BJ210" s="2">
        <v>6750</v>
      </c>
      <c r="BK210" s="2">
        <v>6560</v>
      </c>
      <c r="BL210" s="2">
        <v>6280</v>
      </c>
      <c r="BM210" s="1">
        <v>5750</v>
      </c>
      <c r="BN210" s="1">
        <v>5290</v>
      </c>
      <c r="BO210" s="1">
        <v>5310</v>
      </c>
      <c r="BP210" s="1">
        <v>4930</v>
      </c>
      <c r="BQ210" s="1">
        <v>4895</v>
      </c>
      <c r="BR210" s="1">
        <v>4330</v>
      </c>
      <c r="BS210" s="1">
        <v>4465</v>
      </c>
      <c r="BT210" s="1">
        <v>4425</v>
      </c>
      <c r="BU210" s="1">
        <v>4710</v>
      </c>
      <c r="BV210" s="1">
        <v>4675</v>
      </c>
      <c r="BW210" s="1">
        <v>4585</v>
      </c>
      <c r="BX210" s="1">
        <v>4815</v>
      </c>
      <c r="BY210" s="1">
        <v>4405</v>
      </c>
      <c r="BZ210" s="1">
        <v>4255</v>
      </c>
    </row>
    <row r="211" spans="1:254">
      <c r="A211" s="62" t="s">
        <v>413</v>
      </c>
      <c r="B211" s="1" t="s">
        <v>414</v>
      </c>
      <c r="C211" s="54">
        <f>_xll.RssMarket("6273","高値")</f>
        <v>76120</v>
      </c>
      <c r="D211" s="16">
        <f t="shared" si="7"/>
        <v>0</v>
      </c>
      <c r="E211" s="2">
        <v>76120</v>
      </c>
      <c r="F211" s="2">
        <v>76020</v>
      </c>
      <c r="G211" s="2">
        <v>73890</v>
      </c>
      <c r="H211" s="2">
        <v>71390</v>
      </c>
      <c r="I211" s="2">
        <v>71550</v>
      </c>
      <c r="J211" s="2">
        <v>66920</v>
      </c>
      <c r="K211" s="2">
        <v>67620</v>
      </c>
      <c r="L211" s="2">
        <v>69280</v>
      </c>
      <c r="M211" s="2">
        <v>72360</v>
      </c>
      <c r="N211" s="2">
        <v>72410</v>
      </c>
      <c r="O211" s="2">
        <v>73400</v>
      </c>
      <c r="P211" s="2">
        <v>73030</v>
      </c>
      <c r="Q211" s="2">
        <v>70680</v>
      </c>
      <c r="R211" s="2">
        <v>72880</v>
      </c>
      <c r="S211" s="2">
        <v>75200</v>
      </c>
      <c r="T211" s="2">
        <v>72950</v>
      </c>
      <c r="U211" s="2">
        <v>76500</v>
      </c>
      <c r="V211" s="2">
        <v>76440</v>
      </c>
      <c r="W211" s="2">
        <v>72500</v>
      </c>
      <c r="X211" s="2">
        <v>72330</v>
      </c>
      <c r="Y211" s="2">
        <v>76360</v>
      </c>
      <c r="Z211" s="2">
        <v>77260</v>
      </c>
      <c r="AA211" s="2">
        <v>76280</v>
      </c>
      <c r="AB211" s="2">
        <v>73870</v>
      </c>
      <c r="AC211" s="2">
        <v>75690</v>
      </c>
      <c r="AD211" s="2">
        <v>72500</v>
      </c>
      <c r="AE211" s="2">
        <v>71780</v>
      </c>
      <c r="AF211" s="2">
        <v>73460</v>
      </c>
      <c r="AG211" s="2">
        <v>73490</v>
      </c>
      <c r="AH211" s="2">
        <v>71290</v>
      </c>
      <c r="AI211" s="2">
        <v>74550</v>
      </c>
      <c r="AJ211" s="2">
        <v>74980</v>
      </c>
      <c r="AK211" s="2">
        <v>74660</v>
      </c>
      <c r="AL211" s="2">
        <v>73580</v>
      </c>
      <c r="AM211" s="2">
        <v>72760</v>
      </c>
      <c r="AN211" s="2">
        <v>70480</v>
      </c>
      <c r="AO211" s="2">
        <v>70430</v>
      </c>
      <c r="AP211" s="2">
        <v>67040</v>
      </c>
      <c r="AQ211" s="2">
        <v>62270</v>
      </c>
      <c r="AR211" s="2">
        <v>61840</v>
      </c>
      <c r="AS211" s="2">
        <v>62820</v>
      </c>
      <c r="AT211" s="2">
        <v>65540</v>
      </c>
      <c r="AU211" s="2">
        <v>66000</v>
      </c>
      <c r="AV211" s="2">
        <v>66210</v>
      </c>
      <c r="AW211" s="2">
        <v>65960</v>
      </c>
      <c r="AX211" s="2">
        <v>70050</v>
      </c>
      <c r="AY211" s="2">
        <v>69390</v>
      </c>
      <c r="AZ211" s="2">
        <v>68860</v>
      </c>
      <c r="BA211" s="2">
        <v>67120</v>
      </c>
      <c r="BB211" s="2">
        <v>66590</v>
      </c>
      <c r="BC211" s="2">
        <v>66140</v>
      </c>
      <c r="BD211" s="2">
        <v>65620</v>
      </c>
      <c r="BE211" s="2">
        <v>68310</v>
      </c>
      <c r="BF211" s="2">
        <v>68000</v>
      </c>
      <c r="BG211" s="2">
        <v>74660</v>
      </c>
      <c r="BH211" s="2">
        <v>86800</v>
      </c>
      <c r="BI211" s="2">
        <v>84880</v>
      </c>
      <c r="BJ211" s="2">
        <v>85140</v>
      </c>
      <c r="BK211" s="2">
        <v>84580</v>
      </c>
      <c r="BL211" s="2">
        <v>82860</v>
      </c>
      <c r="BM211" s="1">
        <v>79790</v>
      </c>
      <c r="BN211" s="1">
        <v>77580</v>
      </c>
      <c r="BO211" s="1">
        <v>78670</v>
      </c>
      <c r="BP211" s="1">
        <v>78530</v>
      </c>
      <c r="BQ211" s="1">
        <v>78160</v>
      </c>
      <c r="BR211" s="1">
        <v>70920</v>
      </c>
      <c r="BS211" s="1">
        <v>72240</v>
      </c>
      <c r="BT211" s="1">
        <v>71700</v>
      </c>
      <c r="BU211" s="1">
        <v>72180</v>
      </c>
      <c r="BV211" s="1">
        <v>71770</v>
      </c>
      <c r="BW211" s="1">
        <v>71940</v>
      </c>
      <c r="BX211" s="1">
        <v>72990</v>
      </c>
      <c r="BY211" s="1">
        <v>72520</v>
      </c>
      <c r="BZ211" s="1">
        <v>73150</v>
      </c>
    </row>
    <row r="212" spans="1:254">
      <c r="A212" s="62" t="s">
        <v>415</v>
      </c>
      <c r="B212" s="1" t="s">
        <v>416</v>
      </c>
      <c r="C212" s="54">
        <f>_xll.RssMarket("4502","高値")</f>
        <v>5434</v>
      </c>
      <c r="D212" s="16">
        <f t="shared" si="7"/>
        <v>0</v>
      </c>
      <c r="E212" s="2">
        <v>5434</v>
      </c>
      <c r="F212" s="2">
        <v>5284</v>
      </c>
      <c r="G212" s="2">
        <v>5332</v>
      </c>
      <c r="H212" s="2">
        <v>5435</v>
      </c>
      <c r="I212" s="2">
        <v>5578</v>
      </c>
      <c r="J212" s="2">
        <v>5820</v>
      </c>
      <c r="K212" s="2">
        <v>5903</v>
      </c>
      <c r="L212" s="2">
        <v>5784</v>
      </c>
      <c r="M212" s="2">
        <v>5796</v>
      </c>
      <c r="N212" s="2">
        <v>5648</v>
      </c>
      <c r="O212" s="2">
        <v>5560</v>
      </c>
      <c r="P212" s="2">
        <v>5589</v>
      </c>
      <c r="Q212" s="2">
        <v>5621</v>
      </c>
      <c r="R212" s="2">
        <v>5496</v>
      </c>
      <c r="S212" s="2">
        <v>5325</v>
      </c>
      <c r="T212" s="2">
        <v>5395</v>
      </c>
      <c r="U212" s="2">
        <v>5374</v>
      </c>
      <c r="V212" s="2">
        <v>5397</v>
      </c>
      <c r="W212" s="2">
        <v>5449</v>
      </c>
      <c r="X212" s="2">
        <v>5527</v>
      </c>
      <c r="Y212" s="2">
        <v>5480</v>
      </c>
      <c r="Z212" s="2">
        <v>5517</v>
      </c>
      <c r="AA212" s="2">
        <v>5515</v>
      </c>
      <c r="AB212" s="2">
        <v>5275</v>
      </c>
      <c r="AC212" s="2">
        <v>5175</v>
      </c>
      <c r="AD212" s="2">
        <v>5205</v>
      </c>
      <c r="AE212" s="2">
        <v>5200</v>
      </c>
      <c r="AF212" s="2">
        <v>5120</v>
      </c>
      <c r="AG212" s="2">
        <v>5100</v>
      </c>
      <c r="AH212" s="2">
        <v>5128</v>
      </c>
      <c r="AI212" s="2">
        <v>5047</v>
      </c>
      <c r="AJ212" s="2">
        <v>4975</v>
      </c>
      <c r="AK212" s="2">
        <v>4970</v>
      </c>
      <c r="AL212" s="2">
        <v>5038</v>
      </c>
      <c r="AM212" s="2">
        <v>5037</v>
      </c>
      <c r="AN212" s="2">
        <v>5045</v>
      </c>
      <c r="AO212" s="2">
        <v>5158</v>
      </c>
      <c r="AP212" s="2">
        <v>5100</v>
      </c>
      <c r="AQ212" s="2">
        <v>5062</v>
      </c>
      <c r="AR212" s="2">
        <v>5086</v>
      </c>
      <c r="AS212" s="2">
        <v>5050</v>
      </c>
      <c r="AT212" s="2">
        <v>4977</v>
      </c>
      <c r="AU212" s="2">
        <v>4880</v>
      </c>
      <c r="AV212" s="2">
        <v>4809</v>
      </c>
      <c r="AW212" s="2">
        <v>4905</v>
      </c>
      <c r="AX212" s="2">
        <v>5146</v>
      </c>
      <c r="AY212" s="2">
        <v>5182</v>
      </c>
      <c r="AZ212" s="2">
        <v>5130</v>
      </c>
      <c r="BA212" s="2">
        <v>5166</v>
      </c>
      <c r="BB212" s="2">
        <v>5206</v>
      </c>
      <c r="BC212" s="2">
        <v>5320</v>
      </c>
      <c r="BD212" s="2">
        <v>5362</v>
      </c>
      <c r="BE212" s="2">
        <v>5352</v>
      </c>
      <c r="BF212" s="2">
        <v>5309</v>
      </c>
      <c r="BG212" s="2">
        <v>5327</v>
      </c>
      <c r="BH212" s="2">
        <v>5288</v>
      </c>
      <c r="BI212" s="2">
        <v>5234</v>
      </c>
      <c r="BJ212" s="2">
        <v>5196</v>
      </c>
      <c r="BK212" s="2">
        <v>5222</v>
      </c>
      <c r="BL212" s="2">
        <v>5339</v>
      </c>
      <c r="BM212" s="1">
        <v>5338</v>
      </c>
      <c r="BN212" s="1">
        <v>5260</v>
      </c>
      <c r="BO212" s="1">
        <v>5270</v>
      </c>
      <c r="BP212" s="1">
        <v>5295</v>
      </c>
      <c r="BQ212" s="1">
        <v>5269</v>
      </c>
      <c r="BR212" s="1">
        <v>5378</v>
      </c>
      <c r="BS212" s="1">
        <v>5336</v>
      </c>
      <c r="BT212" s="1">
        <v>5494</v>
      </c>
      <c r="BU212" s="1">
        <v>5555</v>
      </c>
      <c r="BV212" s="1">
        <v>5626</v>
      </c>
      <c r="BW212" s="1">
        <v>5660</v>
      </c>
      <c r="BX212" s="1">
        <v>5716</v>
      </c>
      <c r="BY212" s="1">
        <v>5667</v>
      </c>
      <c r="BZ212" s="1">
        <v>5685</v>
      </c>
    </row>
    <row r="213" spans="1:254">
      <c r="A213" s="62" t="s">
        <v>417</v>
      </c>
      <c r="B213" s="1" t="s">
        <v>418</v>
      </c>
      <c r="C213" s="54">
        <f>_xll.RssMarket("4004","高値")</f>
        <v>16085</v>
      </c>
      <c r="D213" s="16">
        <f t="shared" si="7"/>
        <v>0</v>
      </c>
      <c r="E213" s="2">
        <v>16085</v>
      </c>
      <c r="F213" s="2">
        <v>16260</v>
      </c>
      <c r="G213" s="2">
        <v>14790</v>
      </c>
      <c r="H213" s="2">
        <v>14320</v>
      </c>
      <c r="I213" s="2">
        <v>14540</v>
      </c>
      <c r="J213" s="2">
        <v>12600</v>
      </c>
      <c r="K213" s="2">
        <v>13005</v>
      </c>
      <c r="L213" s="2">
        <v>13225</v>
      </c>
      <c r="M213" s="2">
        <v>14490</v>
      </c>
      <c r="N213" s="2">
        <v>15265</v>
      </c>
      <c r="O213" s="2">
        <v>15965</v>
      </c>
      <c r="P213" s="2">
        <v>16100</v>
      </c>
      <c r="Q213" s="2">
        <v>14670</v>
      </c>
      <c r="R213" s="2">
        <v>14480</v>
      </c>
      <c r="S213" s="2">
        <v>16165</v>
      </c>
      <c r="T213" s="2">
        <v>15555</v>
      </c>
      <c r="U213" s="2">
        <v>16620</v>
      </c>
      <c r="V213" s="2">
        <v>16435</v>
      </c>
      <c r="W213" s="2">
        <v>16160</v>
      </c>
      <c r="X213" s="2">
        <v>16100</v>
      </c>
      <c r="Y213" s="2">
        <v>16980</v>
      </c>
      <c r="Z213" s="2">
        <v>17680</v>
      </c>
      <c r="AA213" s="2">
        <v>17615</v>
      </c>
      <c r="AB213" s="2">
        <v>18345</v>
      </c>
      <c r="AC213" s="2">
        <v>18850</v>
      </c>
      <c r="AD213" s="2">
        <v>18000</v>
      </c>
      <c r="AE213" s="2">
        <v>17865</v>
      </c>
      <c r="AF213" s="2">
        <v>18060</v>
      </c>
      <c r="AG213" s="2">
        <v>18735</v>
      </c>
      <c r="AH213" s="2">
        <v>18320</v>
      </c>
      <c r="AI213" s="2">
        <v>19825</v>
      </c>
      <c r="AJ213" s="2">
        <v>19585</v>
      </c>
      <c r="AK213" s="2">
        <v>19840</v>
      </c>
      <c r="AL213" s="2">
        <v>19285</v>
      </c>
      <c r="AM213" s="2">
        <v>18535</v>
      </c>
      <c r="AN213" s="2">
        <v>18730</v>
      </c>
      <c r="AO213" s="2">
        <v>18665</v>
      </c>
      <c r="AP213" s="2">
        <v>17790</v>
      </c>
      <c r="AQ213" s="2">
        <v>16430</v>
      </c>
      <c r="AR213" s="2">
        <v>16660</v>
      </c>
      <c r="AS213" s="2">
        <v>16415</v>
      </c>
      <c r="AT213" s="2">
        <v>17670</v>
      </c>
      <c r="AU213" s="2">
        <v>18735</v>
      </c>
      <c r="AV213" s="2">
        <v>19450</v>
      </c>
      <c r="AW213" s="2">
        <v>18620</v>
      </c>
      <c r="AX213" s="2">
        <v>18980</v>
      </c>
      <c r="AY213" s="2">
        <v>19150</v>
      </c>
      <c r="AZ213" s="2">
        <v>19945</v>
      </c>
      <c r="BA213" s="2">
        <v>20195</v>
      </c>
      <c r="BB213" s="2">
        <v>18310</v>
      </c>
      <c r="BC213" s="2">
        <v>17485</v>
      </c>
      <c r="BD213" s="2">
        <v>16630</v>
      </c>
      <c r="BE213" s="2">
        <v>16890</v>
      </c>
      <c r="BF213" s="2">
        <v>17600</v>
      </c>
      <c r="BG213" s="2">
        <v>19000</v>
      </c>
      <c r="BH213" s="2">
        <v>20495</v>
      </c>
      <c r="BI213" s="2">
        <v>18150</v>
      </c>
      <c r="BJ213" s="2">
        <v>17925</v>
      </c>
      <c r="BK213" s="2">
        <v>16935</v>
      </c>
      <c r="BL213" s="2">
        <v>16085</v>
      </c>
      <c r="BM213" s="1">
        <v>15700</v>
      </c>
      <c r="BN213" s="1">
        <v>14410</v>
      </c>
      <c r="BO213" s="1">
        <v>14335</v>
      </c>
      <c r="BP213" s="1">
        <v>14155</v>
      </c>
      <c r="BQ213" s="1">
        <v>14160</v>
      </c>
      <c r="BR213" s="1">
        <v>14550</v>
      </c>
      <c r="BS213" s="1">
        <v>14520</v>
      </c>
      <c r="BT213" s="1">
        <v>14530</v>
      </c>
      <c r="BU213" s="1">
        <v>13545</v>
      </c>
      <c r="BV213" s="1">
        <v>12785</v>
      </c>
      <c r="BW213" s="1">
        <v>13075</v>
      </c>
      <c r="BX213" s="1">
        <v>13315</v>
      </c>
      <c r="BY213" s="1">
        <v>13710</v>
      </c>
      <c r="BZ213" s="1">
        <v>13760</v>
      </c>
    </row>
    <row r="214" spans="1:254">
      <c r="A214" s="62" t="s">
        <v>419</v>
      </c>
      <c r="B214" s="1" t="s">
        <v>420</v>
      </c>
      <c r="C214" s="54">
        <f>_xll.RssMarket("9519","高値")</f>
        <v>937</v>
      </c>
      <c r="D214" s="16">
        <f t="shared" si="7"/>
        <v>0</v>
      </c>
      <c r="E214" s="2">
        <v>937</v>
      </c>
      <c r="F214" s="2">
        <v>940</v>
      </c>
      <c r="G214" s="2">
        <v>937</v>
      </c>
      <c r="H214" s="2">
        <v>920</v>
      </c>
      <c r="I214" s="2">
        <v>949</v>
      </c>
      <c r="J214" s="2">
        <v>950</v>
      </c>
      <c r="K214" s="2">
        <v>998</v>
      </c>
      <c r="L214" s="2">
        <v>1035</v>
      </c>
      <c r="M214" s="2">
        <v>1039</v>
      </c>
      <c r="N214" s="2">
        <v>1011</v>
      </c>
      <c r="O214" s="2">
        <v>996</v>
      </c>
      <c r="P214" s="2">
        <v>1001</v>
      </c>
      <c r="Q214" s="2">
        <v>994</v>
      </c>
      <c r="R214" s="2">
        <v>1027</v>
      </c>
      <c r="S214" s="2">
        <v>1046</v>
      </c>
      <c r="T214" s="2">
        <v>971</v>
      </c>
      <c r="U214" s="2">
        <v>959</v>
      </c>
      <c r="V214" s="2">
        <v>942</v>
      </c>
      <c r="W214" s="2">
        <v>950</v>
      </c>
      <c r="X214" s="2">
        <v>969</v>
      </c>
      <c r="Y214" s="2">
        <v>995</v>
      </c>
      <c r="Z214" s="2">
        <v>1024</v>
      </c>
      <c r="AA214" s="2">
        <v>1003</v>
      </c>
      <c r="AB214" s="2">
        <v>1006</v>
      </c>
      <c r="AC214" s="2">
        <v>985</v>
      </c>
      <c r="AD214" s="2">
        <v>1025</v>
      </c>
      <c r="AE214" s="2">
        <v>988</v>
      </c>
      <c r="AF214" s="2">
        <v>924</v>
      </c>
      <c r="AG214" s="2">
        <v>934</v>
      </c>
      <c r="AH214" s="2">
        <v>957</v>
      </c>
      <c r="AI214" s="2">
        <v>946</v>
      </c>
      <c r="AJ214" s="2">
        <v>890</v>
      </c>
      <c r="AK214" s="2">
        <v>841</v>
      </c>
      <c r="AL214" s="2">
        <v>890</v>
      </c>
      <c r="AM214" s="2">
        <v>893</v>
      </c>
      <c r="AN214" s="2">
        <v>916</v>
      </c>
      <c r="AO214" s="2">
        <v>918</v>
      </c>
      <c r="AP214" s="2">
        <v>915</v>
      </c>
      <c r="AQ214" s="2">
        <v>911</v>
      </c>
      <c r="AR214" s="2">
        <v>933</v>
      </c>
      <c r="AS214" s="2">
        <v>1030</v>
      </c>
      <c r="AT214" s="2">
        <v>1043</v>
      </c>
      <c r="AU214" s="2">
        <v>1009</v>
      </c>
      <c r="AV214" s="2">
        <v>1090</v>
      </c>
      <c r="AW214" s="2">
        <v>1181</v>
      </c>
      <c r="AX214" s="2">
        <v>1346</v>
      </c>
      <c r="AY214" s="2">
        <v>1288</v>
      </c>
      <c r="AZ214" s="2">
        <v>1318</v>
      </c>
      <c r="BA214" s="2">
        <v>1395</v>
      </c>
      <c r="BB214" s="2">
        <v>1400</v>
      </c>
      <c r="BC214" s="2">
        <v>1338</v>
      </c>
      <c r="BD214" s="2">
        <v>1363</v>
      </c>
      <c r="BE214" s="2">
        <v>1388</v>
      </c>
      <c r="BF214" s="2">
        <v>1365</v>
      </c>
      <c r="BG214" s="2">
        <v>1365</v>
      </c>
      <c r="BH214" s="2">
        <v>1365</v>
      </c>
      <c r="BI214" s="2">
        <v>1234</v>
      </c>
      <c r="BJ214" s="2">
        <v>1262</v>
      </c>
      <c r="BK214" s="2">
        <v>1245</v>
      </c>
      <c r="BL214" s="2">
        <v>1187</v>
      </c>
      <c r="BM214" s="1">
        <v>1144</v>
      </c>
      <c r="BN214" s="1">
        <v>1150</v>
      </c>
      <c r="BO214" s="1">
        <v>1146</v>
      </c>
      <c r="BP214" s="1">
        <v>1134</v>
      </c>
      <c r="BQ214" s="1">
        <v>1085</v>
      </c>
      <c r="BR214" s="1">
        <v>1073</v>
      </c>
      <c r="BS214" s="1">
        <v>1006</v>
      </c>
      <c r="BT214" s="1">
        <v>985</v>
      </c>
      <c r="BU214" s="1">
        <v>1048</v>
      </c>
      <c r="BV214" s="1">
        <v>1060</v>
      </c>
      <c r="BW214" s="1">
        <v>1073</v>
      </c>
      <c r="BX214" s="1">
        <v>1120</v>
      </c>
      <c r="BY214" s="1">
        <v>1060</v>
      </c>
      <c r="BZ214" s="1">
        <v>1023</v>
      </c>
    </row>
    <row r="215" spans="1:254">
      <c r="A215" s="62" t="s">
        <v>421</v>
      </c>
      <c r="B215" s="1" t="s">
        <v>422</v>
      </c>
      <c r="C215" s="54">
        <f>_xll.RssMarket("6752","高値")</f>
        <v>4523</v>
      </c>
      <c r="D215" s="16">
        <f t="shared" si="7"/>
        <v>0</v>
      </c>
      <c r="E215" s="2">
        <v>4523</v>
      </c>
      <c r="F215" s="2">
        <v>4539</v>
      </c>
      <c r="G215" s="2">
        <v>4325</v>
      </c>
      <c r="H215" s="2">
        <v>4422</v>
      </c>
      <c r="I215" s="2">
        <v>4284</v>
      </c>
      <c r="J215" s="2">
        <v>3626</v>
      </c>
      <c r="K215" s="2">
        <v>3645</v>
      </c>
      <c r="L215" s="2">
        <v>3791</v>
      </c>
      <c r="M215" s="2">
        <v>3933</v>
      </c>
      <c r="N215" s="2">
        <v>3955</v>
      </c>
      <c r="O215" s="2">
        <v>4137</v>
      </c>
      <c r="P215" s="2">
        <v>4257</v>
      </c>
      <c r="Q215" s="2">
        <v>4080</v>
      </c>
      <c r="R215" s="2">
        <v>4122</v>
      </c>
      <c r="S215" s="2">
        <v>4318</v>
      </c>
      <c r="T215" s="2">
        <v>4305</v>
      </c>
      <c r="U215" s="2">
        <v>4685</v>
      </c>
      <c r="V215" s="2">
        <v>4602</v>
      </c>
      <c r="W215" s="2">
        <v>4587</v>
      </c>
      <c r="X215" s="2">
        <v>4458</v>
      </c>
      <c r="Y215" s="2">
        <v>4587</v>
      </c>
      <c r="Z215" s="2">
        <v>4659</v>
      </c>
      <c r="AA215" s="2">
        <v>4544</v>
      </c>
      <c r="AB215" s="2">
        <v>4666</v>
      </c>
      <c r="AC215" s="2">
        <v>4770</v>
      </c>
      <c r="AD215" s="2">
        <v>4630</v>
      </c>
      <c r="AE215" s="2">
        <v>4500</v>
      </c>
      <c r="AF215" s="2">
        <v>4693</v>
      </c>
      <c r="AG215" s="2">
        <v>4656</v>
      </c>
      <c r="AH215" s="2">
        <v>4581</v>
      </c>
      <c r="AI215" s="2">
        <v>4464</v>
      </c>
      <c r="AJ215" s="2">
        <v>4510</v>
      </c>
      <c r="AK215" s="2">
        <v>4449</v>
      </c>
      <c r="AL215" s="2">
        <v>4420</v>
      </c>
      <c r="AM215" s="2">
        <v>4272</v>
      </c>
      <c r="AN215" s="2">
        <v>4144</v>
      </c>
      <c r="AO215" s="2">
        <v>4039</v>
      </c>
      <c r="AP215" s="2">
        <v>3929</v>
      </c>
      <c r="AQ215" s="2">
        <v>3799</v>
      </c>
      <c r="AR215" s="2">
        <v>3851</v>
      </c>
      <c r="AS215" s="2">
        <v>3607</v>
      </c>
      <c r="AT215" s="2">
        <v>3805</v>
      </c>
      <c r="AU215" s="2">
        <v>3801</v>
      </c>
      <c r="AV215" s="2">
        <v>3994</v>
      </c>
      <c r="AW215" s="2">
        <v>3640</v>
      </c>
      <c r="AX215" s="2">
        <v>3774</v>
      </c>
      <c r="AY215" s="2">
        <v>3596</v>
      </c>
      <c r="AZ215" s="2">
        <v>3702</v>
      </c>
      <c r="BA215" s="2">
        <v>3615</v>
      </c>
      <c r="BB215" s="2">
        <v>3589</v>
      </c>
      <c r="BC215" s="2">
        <v>3474</v>
      </c>
      <c r="BD215" s="2">
        <v>3302</v>
      </c>
      <c r="BE215" s="2">
        <v>3418</v>
      </c>
      <c r="BF215" s="2">
        <v>3370</v>
      </c>
      <c r="BG215" s="2">
        <v>3465</v>
      </c>
      <c r="BH215" s="2">
        <v>3460</v>
      </c>
      <c r="BI215" s="2">
        <v>3317</v>
      </c>
      <c r="BJ215" s="2">
        <v>3467</v>
      </c>
      <c r="BK215" s="2">
        <v>3359</v>
      </c>
      <c r="BL215" s="2">
        <v>3335</v>
      </c>
      <c r="BM215" s="1">
        <v>3450</v>
      </c>
      <c r="BN215" s="1">
        <v>3339</v>
      </c>
      <c r="BO215" s="1">
        <v>3203</v>
      </c>
      <c r="BP215" s="1">
        <v>3116</v>
      </c>
      <c r="BQ215" s="1">
        <v>3119</v>
      </c>
      <c r="BR215" s="1">
        <v>2905</v>
      </c>
      <c r="BS215" s="1">
        <v>2965</v>
      </c>
      <c r="BT215" s="1">
        <v>3010</v>
      </c>
      <c r="BU215" s="1">
        <v>3082</v>
      </c>
      <c r="BV215" s="1">
        <v>2983</v>
      </c>
      <c r="BW215" s="1">
        <v>2988</v>
      </c>
      <c r="BX215" s="1">
        <v>3008</v>
      </c>
      <c r="BY215" s="1">
        <v>2950</v>
      </c>
      <c r="BZ215" s="1">
        <v>2951.5</v>
      </c>
    </row>
    <row r="216" spans="1:254">
      <c r="A216" s="62" t="s">
        <v>423</v>
      </c>
      <c r="B216" s="1" t="s">
        <v>424</v>
      </c>
      <c r="C216" s="54">
        <f>_xll.RssMarket("6622","高値")</f>
        <v>15200</v>
      </c>
      <c r="D216" s="16">
        <f t="shared" si="7"/>
        <v>0</v>
      </c>
      <c r="E216" s="2">
        <v>15200</v>
      </c>
      <c r="F216" s="2">
        <v>15660</v>
      </c>
      <c r="G216" s="2">
        <v>15010</v>
      </c>
      <c r="H216" s="2">
        <v>13980</v>
      </c>
      <c r="I216" s="2">
        <v>14020</v>
      </c>
      <c r="J216" s="2">
        <v>12550</v>
      </c>
      <c r="K216" s="2">
        <v>13170</v>
      </c>
      <c r="L216" s="2">
        <v>13940</v>
      </c>
      <c r="M216" s="2">
        <v>14790</v>
      </c>
      <c r="N216" s="2">
        <v>14900</v>
      </c>
      <c r="O216" s="2">
        <v>15280</v>
      </c>
      <c r="P216" s="2">
        <v>15420</v>
      </c>
      <c r="Q216" s="2">
        <v>14710</v>
      </c>
      <c r="R216" s="2">
        <v>14770</v>
      </c>
      <c r="S216" s="2">
        <v>15750</v>
      </c>
      <c r="T216" s="2">
        <v>15190</v>
      </c>
      <c r="U216" s="2">
        <v>15830</v>
      </c>
      <c r="V216" s="2">
        <v>15890</v>
      </c>
      <c r="W216" s="2">
        <v>15570</v>
      </c>
      <c r="X216" s="2">
        <v>15500</v>
      </c>
      <c r="Y216" s="2">
        <v>17280</v>
      </c>
      <c r="Z216" s="2">
        <v>17420</v>
      </c>
      <c r="AA216" s="2">
        <v>17000</v>
      </c>
      <c r="AB216" s="2">
        <v>17710</v>
      </c>
      <c r="AC216" s="2">
        <v>18900</v>
      </c>
      <c r="AD216" s="2">
        <v>18320</v>
      </c>
      <c r="AE216" s="2">
        <v>18190</v>
      </c>
      <c r="AF216" s="2">
        <v>18920</v>
      </c>
      <c r="AG216" s="2">
        <v>19150</v>
      </c>
      <c r="AH216" s="2">
        <v>19180</v>
      </c>
      <c r="AI216" s="2">
        <v>19620</v>
      </c>
      <c r="AJ216" s="2">
        <v>19450</v>
      </c>
      <c r="AK216" s="2">
        <v>19050</v>
      </c>
      <c r="AL216" s="2">
        <v>18470</v>
      </c>
      <c r="AM216" s="2">
        <v>16830</v>
      </c>
      <c r="AN216" s="2">
        <v>16500</v>
      </c>
      <c r="AO216" s="2">
        <v>16220</v>
      </c>
      <c r="AP216" s="2">
        <v>15320</v>
      </c>
      <c r="AQ216" s="2">
        <v>14610</v>
      </c>
      <c r="AR216" s="2">
        <v>15320</v>
      </c>
      <c r="AS216" s="2">
        <v>15470</v>
      </c>
      <c r="AT216" s="2">
        <v>16270</v>
      </c>
      <c r="AU216" s="2">
        <v>15880</v>
      </c>
      <c r="AV216" s="2">
        <v>15870</v>
      </c>
      <c r="AW216" s="2">
        <v>15740</v>
      </c>
      <c r="AX216" s="2">
        <v>16650</v>
      </c>
      <c r="AY216" s="2">
        <v>16540</v>
      </c>
      <c r="AZ216" s="2">
        <v>17720</v>
      </c>
      <c r="BA216" s="2">
        <v>17360</v>
      </c>
      <c r="BB216" s="2">
        <v>16690</v>
      </c>
      <c r="BC216" s="2">
        <v>16040</v>
      </c>
      <c r="BD216" s="2">
        <v>15530</v>
      </c>
      <c r="BE216" s="2">
        <v>16840</v>
      </c>
      <c r="BF216" s="2">
        <v>17320</v>
      </c>
      <c r="BG216" s="2">
        <v>18180</v>
      </c>
      <c r="BH216" s="2">
        <v>18220</v>
      </c>
      <c r="BI216" s="2">
        <v>18220</v>
      </c>
      <c r="BJ216" s="2">
        <v>19790</v>
      </c>
      <c r="BK216" s="2">
        <v>18140</v>
      </c>
      <c r="BL216" s="2">
        <v>17280</v>
      </c>
      <c r="BM216" s="1">
        <v>17150</v>
      </c>
      <c r="BN216" s="1">
        <v>16100</v>
      </c>
      <c r="BO216" s="1">
        <v>15710</v>
      </c>
      <c r="BP216" s="1">
        <v>14990</v>
      </c>
      <c r="BQ216" s="1">
        <v>14950</v>
      </c>
      <c r="BR216" s="1">
        <v>14040</v>
      </c>
      <c r="BS216" s="1">
        <v>14150</v>
      </c>
      <c r="BT216" s="1">
        <v>14080</v>
      </c>
      <c r="BU216" s="1">
        <v>14210</v>
      </c>
      <c r="BV216" s="1">
        <v>14090</v>
      </c>
      <c r="BW216" s="1">
        <v>14320</v>
      </c>
      <c r="BX216" s="1">
        <v>14440</v>
      </c>
      <c r="BY216" s="1">
        <v>14830</v>
      </c>
      <c r="BZ216" s="1">
        <v>14620</v>
      </c>
    </row>
    <row r="217" spans="1:254">
      <c r="A217" s="62" t="s">
        <v>425</v>
      </c>
      <c r="B217" s="1" t="s">
        <v>426</v>
      </c>
      <c r="C217" s="54">
        <f>_xll.RssMarket("1407","高値")</f>
        <v>2762</v>
      </c>
      <c r="D217" s="16">
        <f t="shared" si="7"/>
        <v>0</v>
      </c>
      <c r="E217" s="2">
        <v>2762</v>
      </c>
      <c r="F217" s="2">
        <v>2775</v>
      </c>
      <c r="G217" s="2">
        <v>2805</v>
      </c>
      <c r="H217" s="2">
        <v>2641</v>
      </c>
      <c r="I217" s="2">
        <v>2653</v>
      </c>
      <c r="J217" s="2">
        <v>2729</v>
      </c>
      <c r="K217" s="2">
        <v>2691</v>
      </c>
      <c r="L217" s="2">
        <v>2799</v>
      </c>
      <c r="M217" s="2">
        <v>2894</v>
      </c>
      <c r="N217" s="2">
        <v>2822</v>
      </c>
      <c r="O217" s="2">
        <v>2704</v>
      </c>
      <c r="P217" s="2">
        <v>2785</v>
      </c>
      <c r="Q217" s="2">
        <v>2938</v>
      </c>
      <c r="R217" s="2">
        <v>2869</v>
      </c>
      <c r="S217" s="2">
        <v>2802</v>
      </c>
      <c r="T217" s="2">
        <v>2327</v>
      </c>
      <c r="U217" s="2">
        <v>2273</v>
      </c>
      <c r="V217" s="2">
        <v>2294</v>
      </c>
      <c r="W217" s="2">
        <v>2318</v>
      </c>
      <c r="X217" s="2">
        <v>2303</v>
      </c>
      <c r="Y217" s="2">
        <v>2373</v>
      </c>
      <c r="Z217" s="2">
        <v>2413</v>
      </c>
      <c r="AA217" s="2">
        <v>2389</v>
      </c>
      <c r="AB217" s="2">
        <v>2406</v>
      </c>
      <c r="AC217" s="2">
        <v>2423</v>
      </c>
      <c r="AD217" s="2">
        <v>2462</v>
      </c>
      <c r="AE217" s="2">
        <v>2465</v>
      </c>
      <c r="AF217" s="2">
        <v>2360</v>
      </c>
      <c r="AG217" s="2">
        <v>2382</v>
      </c>
      <c r="AH217" s="2">
        <v>2478</v>
      </c>
      <c r="AI217" s="2">
        <v>2469</v>
      </c>
      <c r="AJ217" s="2">
        <v>2302</v>
      </c>
      <c r="AK217" s="2">
        <v>2325</v>
      </c>
      <c r="AL217" s="2">
        <v>2347</v>
      </c>
      <c r="AM217" s="2">
        <v>2350</v>
      </c>
      <c r="AN217" s="2">
        <v>2357</v>
      </c>
      <c r="AO217" s="2">
        <v>2336</v>
      </c>
      <c r="AP217" s="2">
        <v>2355</v>
      </c>
      <c r="AQ217" s="2">
        <v>2348</v>
      </c>
      <c r="AR217" s="2">
        <v>2369</v>
      </c>
      <c r="AS217" s="2">
        <v>2506</v>
      </c>
      <c r="AT217" s="2">
        <v>2491</v>
      </c>
      <c r="AU217" s="2">
        <v>2630</v>
      </c>
      <c r="AV217" s="2">
        <v>2612</v>
      </c>
      <c r="AW217" s="2">
        <v>2600</v>
      </c>
      <c r="AX217" s="2">
        <v>2928</v>
      </c>
      <c r="AY217" s="2">
        <v>3045</v>
      </c>
      <c r="AZ217" s="2">
        <v>3270</v>
      </c>
      <c r="BA217" s="2">
        <v>2992</v>
      </c>
      <c r="BB217" s="2">
        <v>2964</v>
      </c>
      <c r="BC217" s="2">
        <v>3150</v>
      </c>
      <c r="BD217" s="2">
        <v>3120</v>
      </c>
      <c r="BE217" s="2">
        <v>3085</v>
      </c>
      <c r="BF217" s="2">
        <v>3065</v>
      </c>
      <c r="BG217" s="2">
        <v>3200</v>
      </c>
      <c r="BH217" s="2">
        <v>3185</v>
      </c>
      <c r="BI217" s="2">
        <v>3025</v>
      </c>
      <c r="BJ217" s="2">
        <v>3200</v>
      </c>
      <c r="BK217" s="2">
        <v>3230</v>
      </c>
      <c r="BL217" s="2">
        <v>3000</v>
      </c>
      <c r="BM217" s="1">
        <v>2947</v>
      </c>
      <c r="BN217" s="1">
        <v>3090</v>
      </c>
      <c r="BO217" s="1">
        <v>2915</v>
      </c>
      <c r="BP217" s="1">
        <v>2762</v>
      </c>
      <c r="BQ217" s="1">
        <v>2710</v>
      </c>
      <c r="BR217" s="1">
        <v>2598</v>
      </c>
      <c r="BS217" s="1">
        <v>2424</v>
      </c>
      <c r="BT217" s="1">
        <v>2295</v>
      </c>
      <c r="BU217" s="1">
        <v>2357</v>
      </c>
      <c r="BV217" s="1">
        <v>2330</v>
      </c>
      <c r="BW217" s="1">
        <v>2374</v>
      </c>
      <c r="BX217" s="1">
        <v>2371</v>
      </c>
      <c r="BY217" s="1">
        <v>2163</v>
      </c>
      <c r="BZ217" s="1">
        <v>1947</v>
      </c>
    </row>
    <row r="218" spans="1:254">
      <c r="A218" s="62" t="s">
        <v>427</v>
      </c>
      <c r="B218" s="1" t="s">
        <v>428</v>
      </c>
      <c r="C218" s="54">
        <f>_xll.RssMarket("285A","高値")</f>
        <v>50310</v>
      </c>
      <c r="D218" s="16">
        <f t="shared" si="7"/>
        <v>0</v>
      </c>
      <c r="E218" s="2">
        <v>50310</v>
      </c>
      <c r="F218" s="2">
        <v>56800</v>
      </c>
      <c r="G218" s="2">
        <v>52580</v>
      </c>
      <c r="H218" s="2">
        <v>51990</v>
      </c>
      <c r="I218" s="2">
        <v>46500</v>
      </c>
      <c r="J218" s="2">
        <v>45040</v>
      </c>
      <c r="K218" s="2">
        <v>48820</v>
      </c>
      <c r="L218" s="2">
        <v>47720</v>
      </c>
      <c r="M218" s="2">
        <v>57410</v>
      </c>
      <c r="N218" s="2">
        <v>62690</v>
      </c>
      <c r="O218" s="2">
        <v>67190</v>
      </c>
      <c r="P218" s="2">
        <v>68700</v>
      </c>
      <c r="Q218" s="2">
        <v>61920</v>
      </c>
      <c r="R218" s="2">
        <v>56750</v>
      </c>
      <c r="S218" s="2">
        <v>74940</v>
      </c>
      <c r="T218" s="2">
        <v>70920</v>
      </c>
      <c r="U218" s="2">
        <v>77160</v>
      </c>
      <c r="V218" s="2">
        <v>84050</v>
      </c>
      <c r="W218" s="2">
        <v>79950</v>
      </c>
      <c r="X218" s="2">
        <v>77480</v>
      </c>
      <c r="Y218" s="2">
        <v>79470</v>
      </c>
      <c r="Z218" s="2">
        <v>84800</v>
      </c>
      <c r="AA218" s="2">
        <v>84390</v>
      </c>
      <c r="AB218" s="2">
        <v>80990</v>
      </c>
      <c r="AC218" s="2">
        <v>93060</v>
      </c>
      <c r="AD218" s="2">
        <v>94880</v>
      </c>
      <c r="AE218" s="2">
        <v>93140</v>
      </c>
      <c r="AF218" s="2">
        <v>102000</v>
      </c>
      <c r="AG218" s="2">
        <v>106150</v>
      </c>
      <c r="AH218" s="2">
        <v>98190</v>
      </c>
      <c r="AI218" s="2">
        <v>111500</v>
      </c>
      <c r="AJ218" s="2">
        <v>112700</v>
      </c>
      <c r="AK218" s="2">
        <v>108600</v>
      </c>
      <c r="AL218" s="2">
        <v>99500</v>
      </c>
      <c r="AM218" s="2">
        <v>96400</v>
      </c>
      <c r="AN218" s="2">
        <v>97610</v>
      </c>
      <c r="AO218" s="2">
        <v>90990</v>
      </c>
      <c r="AP218" s="2">
        <v>83140</v>
      </c>
      <c r="AQ218" s="2">
        <v>77360</v>
      </c>
      <c r="AR218" s="2">
        <v>75680</v>
      </c>
      <c r="AS218" s="2">
        <v>74500</v>
      </c>
      <c r="AT218" s="2">
        <v>78840</v>
      </c>
      <c r="AU218" s="2">
        <v>79830</v>
      </c>
      <c r="AV218" s="2">
        <v>83140</v>
      </c>
      <c r="AW218" s="2">
        <v>77540</v>
      </c>
      <c r="AX218" s="2">
        <v>65850</v>
      </c>
      <c r="AY218" s="2">
        <v>61840</v>
      </c>
      <c r="AZ218" s="2">
        <v>67340</v>
      </c>
      <c r="BA218" s="2">
        <v>65790</v>
      </c>
      <c r="BB218" s="2">
        <v>58880</v>
      </c>
      <c r="BC218" s="2">
        <v>59420</v>
      </c>
      <c r="BD218" s="2">
        <v>51450</v>
      </c>
      <c r="BE218" s="2">
        <v>52590</v>
      </c>
      <c r="BF218" s="2">
        <v>51450</v>
      </c>
      <c r="BG218" s="2">
        <v>48470</v>
      </c>
      <c r="BH218" s="2">
        <v>53490</v>
      </c>
      <c r="BI218" s="2">
        <v>50670</v>
      </c>
      <c r="BJ218" s="2">
        <v>47180</v>
      </c>
      <c r="BK218" s="2">
        <v>49430</v>
      </c>
      <c r="BL218" s="2">
        <v>45550</v>
      </c>
      <c r="BM218" s="1">
        <v>43410</v>
      </c>
      <c r="BN218" s="1">
        <v>36990</v>
      </c>
      <c r="BO218" s="1">
        <v>38270</v>
      </c>
      <c r="BP218" s="1">
        <v>37430</v>
      </c>
      <c r="BQ218" s="1">
        <v>36440</v>
      </c>
      <c r="BR218" s="1">
        <v>35600</v>
      </c>
      <c r="BS218" s="1">
        <v>36680</v>
      </c>
      <c r="BT218" s="1">
        <v>35080</v>
      </c>
      <c r="BU218" s="1">
        <v>32880</v>
      </c>
      <c r="BV218" s="1">
        <v>31730</v>
      </c>
      <c r="BW218" s="1">
        <v>33480</v>
      </c>
      <c r="BX218" s="1">
        <v>33950</v>
      </c>
      <c r="BY218" s="1">
        <v>35150</v>
      </c>
      <c r="BZ218" s="1">
        <v>36870</v>
      </c>
    </row>
    <row r="219" spans="1:254">
      <c r="A219" s="62" t="s">
        <v>429</v>
      </c>
      <c r="B219" s="1" t="s">
        <v>430</v>
      </c>
      <c r="C219" s="54">
        <f>_xll.RssMarket("141A","高値")</f>
        <v>3320</v>
      </c>
      <c r="D219" s="16">
        <f t="shared" si="7"/>
        <v>0</v>
      </c>
      <c r="E219" s="2">
        <v>3320</v>
      </c>
      <c r="F219" s="2">
        <v>3295</v>
      </c>
      <c r="G219" s="2">
        <v>3305</v>
      </c>
      <c r="H219" s="2">
        <v>3215</v>
      </c>
      <c r="I219" s="2">
        <v>3145</v>
      </c>
      <c r="J219" s="2">
        <v>3110</v>
      </c>
      <c r="K219" s="2">
        <v>3100</v>
      </c>
      <c r="L219" s="2">
        <v>3090</v>
      </c>
      <c r="M219" s="2">
        <v>3035</v>
      </c>
      <c r="N219" s="2"/>
      <c r="O219" s="2">
        <v>3015</v>
      </c>
      <c r="P219" s="2">
        <v>3010</v>
      </c>
      <c r="Q219" s="2">
        <v>3050</v>
      </c>
      <c r="R219" s="2">
        <v>3115</v>
      </c>
      <c r="S219" s="2">
        <v>3060</v>
      </c>
      <c r="T219" s="2">
        <v>3165</v>
      </c>
      <c r="U219" s="2">
        <v>3065</v>
      </c>
      <c r="V219" s="2">
        <v>3100</v>
      </c>
      <c r="W219" s="2">
        <v>3115</v>
      </c>
      <c r="X219" s="2">
        <v>3120</v>
      </c>
      <c r="Y219" s="2">
        <v>3215</v>
      </c>
      <c r="Z219" s="2">
        <v>3120</v>
      </c>
      <c r="AA219" s="2">
        <v>3145</v>
      </c>
      <c r="AB219" s="2">
        <v>3065</v>
      </c>
      <c r="AC219" s="2">
        <v>3015</v>
      </c>
      <c r="AD219" s="2">
        <v>3200</v>
      </c>
      <c r="AE219" s="2">
        <v>3100</v>
      </c>
      <c r="AF219" s="2">
        <v>3085</v>
      </c>
      <c r="AG219" s="2">
        <v>3225</v>
      </c>
      <c r="AH219" s="2">
        <v>3060</v>
      </c>
      <c r="AI219" s="2">
        <v>2825</v>
      </c>
      <c r="AJ219" s="2">
        <v>2775</v>
      </c>
      <c r="AK219" s="2">
        <v>2806</v>
      </c>
      <c r="AL219" s="2">
        <v>2805</v>
      </c>
      <c r="AM219" s="2">
        <v>2850</v>
      </c>
      <c r="AN219" s="2">
        <v>2865</v>
      </c>
      <c r="AO219" s="2">
        <v>2873</v>
      </c>
      <c r="AP219" s="2">
        <v>2937</v>
      </c>
      <c r="AQ219" s="2">
        <v>2925</v>
      </c>
      <c r="AR219" s="2">
        <v>2841</v>
      </c>
      <c r="AS219" s="2">
        <v>2873</v>
      </c>
      <c r="AT219" s="2">
        <v>2849</v>
      </c>
      <c r="AU219" s="2">
        <v>2792</v>
      </c>
      <c r="AV219" s="2">
        <v>2734</v>
      </c>
      <c r="AW219" s="2">
        <v>2645</v>
      </c>
      <c r="AX219" s="2">
        <v>2965</v>
      </c>
      <c r="AY219" s="2">
        <v>3015</v>
      </c>
      <c r="AZ219" s="2">
        <v>2913</v>
      </c>
      <c r="BA219" s="2">
        <v>3075</v>
      </c>
      <c r="BB219" s="2">
        <v>3060</v>
      </c>
      <c r="BC219" s="2">
        <v>3145</v>
      </c>
      <c r="BD219" s="2">
        <v>3270</v>
      </c>
      <c r="BE219" s="2">
        <v>3195</v>
      </c>
      <c r="BF219" s="2">
        <v>3505</v>
      </c>
      <c r="BG219" s="2">
        <v>3735</v>
      </c>
      <c r="BH219" s="2">
        <v>4465</v>
      </c>
      <c r="BI219" s="2">
        <v>4460</v>
      </c>
      <c r="BJ219" s="2">
        <v>4410</v>
      </c>
      <c r="BK219" s="2">
        <v>4290</v>
      </c>
      <c r="BL219" s="2">
        <v>4315</v>
      </c>
      <c r="BM219" s="1">
        <v>4225</v>
      </c>
      <c r="BN219" s="1">
        <v>3995</v>
      </c>
      <c r="BO219" s="1">
        <v>4055</v>
      </c>
      <c r="BP219" s="1">
        <v>4050</v>
      </c>
      <c r="BQ219" s="1">
        <v>4010</v>
      </c>
      <c r="BR219" s="1">
        <v>4215</v>
      </c>
      <c r="BS219" s="1">
        <v>4400</v>
      </c>
      <c r="BT219" s="1">
        <v>4790</v>
      </c>
      <c r="BU219" s="1">
        <v>4785</v>
      </c>
      <c r="BV219" s="1">
        <v>4655</v>
      </c>
      <c r="BW219" s="1">
        <v>4555</v>
      </c>
      <c r="BX219" s="1">
        <v>4495</v>
      </c>
      <c r="BY219" s="1">
        <v>4445</v>
      </c>
      <c r="BZ219" s="1">
        <v>4285</v>
      </c>
    </row>
    <row r="220" spans="1:254">
      <c r="A220" s="62" t="s">
        <v>431</v>
      </c>
      <c r="B220" s="1" t="s">
        <v>432</v>
      </c>
      <c r="C220" s="54">
        <f>_xll.RssMarket("464A","高値")</f>
        <v>1684</v>
      </c>
      <c r="D220" s="16">
        <f t="shared" si="7"/>
        <v>0</v>
      </c>
      <c r="E220" s="2">
        <v>1684</v>
      </c>
      <c r="F220" s="2">
        <v>1692</v>
      </c>
      <c r="G220" s="2">
        <v>1618</v>
      </c>
      <c r="H220" s="2">
        <v>1545</v>
      </c>
      <c r="I220" s="2">
        <v>1552</v>
      </c>
      <c r="J220" s="2">
        <v>1453</v>
      </c>
      <c r="K220" s="2">
        <v>1501</v>
      </c>
      <c r="L220" s="2">
        <v>1548</v>
      </c>
      <c r="M220" s="2">
        <v>1478</v>
      </c>
      <c r="N220" s="2">
        <v>1594</v>
      </c>
      <c r="O220" s="2">
        <v>1654</v>
      </c>
      <c r="P220" s="2">
        <v>1747</v>
      </c>
      <c r="Q220" s="2">
        <v>1652</v>
      </c>
      <c r="R220" s="2">
        <v>1664</v>
      </c>
      <c r="S220" s="2">
        <v>1906</v>
      </c>
      <c r="T220" s="2">
        <v>1849</v>
      </c>
      <c r="U220" s="2">
        <v>1941</v>
      </c>
      <c r="V220" s="2">
        <v>1875</v>
      </c>
      <c r="W220" s="2">
        <v>1842</v>
      </c>
      <c r="X220" s="2">
        <v>1890</v>
      </c>
      <c r="Y220" s="2">
        <v>2021</v>
      </c>
      <c r="Z220" s="2">
        <v>2137</v>
      </c>
      <c r="AA220" s="2">
        <v>2104</v>
      </c>
      <c r="AB220" s="2">
        <v>2112</v>
      </c>
      <c r="AC220" s="2">
        <v>1948</v>
      </c>
      <c r="AD220" s="2">
        <v>1997</v>
      </c>
      <c r="AE220" s="2">
        <v>1938</v>
      </c>
      <c r="AF220" s="2">
        <v>1980</v>
      </c>
      <c r="AG220" s="2">
        <v>2024</v>
      </c>
      <c r="AH220" s="2">
        <v>2055</v>
      </c>
      <c r="AI220" s="2">
        <v>2232</v>
      </c>
      <c r="AJ220" s="2">
        <v>2333</v>
      </c>
      <c r="AK220" s="2">
        <v>2242</v>
      </c>
      <c r="AL220" s="2">
        <v>2336</v>
      </c>
      <c r="AM220" s="2">
        <v>2430</v>
      </c>
      <c r="AN220" s="2">
        <v>2424</v>
      </c>
      <c r="AO220" s="2">
        <v>2749</v>
      </c>
      <c r="AP220" s="2">
        <v>2839</v>
      </c>
      <c r="AQ220" s="2">
        <v>2629</v>
      </c>
      <c r="AR220" s="2">
        <v>2630</v>
      </c>
      <c r="AS220" s="2">
        <v>2923</v>
      </c>
      <c r="AT220" s="2">
        <v>3165</v>
      </c>
      <c r="AU220" s="2">
        <v>2783</v>
      </c>
      <c r="AV220" s="2">
        <v>3160</v>
      </c>
      <c r="AW220" s="2">
        <v>3185</v>
      </c>
      <c r="AX220" s="2">
        <v>4485</v>
      </c>
      <c r="AY220" s="2">
        <v>4460</v>
      </c>
      <c r="AZ220" s="2">
        <v>4475</v>
      </c>
      <c r="BA220" s="2">
        <v>4060</v>
      </c>
      <c r="BB220" s="2">
        <v>3850</v>
      </c>
      <c r="BC220" s="2">
        <v>3505</v>
      </c>
      <c r="BD220" s="2">
        <v>3510</v>
      </c>
      <c r="BE220" s="2">
        <v>3680</v>
      </c>
      <c r="BF220" s="2">
        <v>3350</v>
      </c>
      <c r="BG220" s="2">
        <v>3485</v>
      </c>
      <c r="BH220" s="2">
        <v>3440</v>
      </c>
      <c r="BI220" s="2">
        <v>3145</v>
      </c>
      <c r="BJ220" s="2">
        <v>3070</v>
      </c>
      <c r="BK220" s="2">
        <v>3065</v>
      </c>
      <c r="BL220" s="2">
        <v>2840</v>
      </c>
      <c r="BM220" s="1">
        <v>2708</v>
      </c>
      <c r="BN220" s="1">
        <v>2596</v>
      </c>
      <c r="BO220" s="1">
        <v>2604</v>
      </c>
      <c r="BP220" s="1">
        <v>2564</v>
      </c>
      <c r="BQ220" s="1">
        <v>2616</v>
      </c>
      <c r="BR220" s="1">
        <v>2630</v>
      </c>
      <c r="BS220" s="1">
        <v>2726</v>
      </c>
      <c r="BT220" s="1">
        <v>2793</v>
      </c>
      <c r="BU220" s="1">
        <v>2771</v>
      </c>
      <c r="BV220" s="1">
        <v>2740</v>
      </c>
      <c r="BW220" s="1">
        <v>2714</v>
      </c>
      <c r="BX220" s="1">
        <v>2644</v>
      </c>
      <c r="BY220" s="1">
        <v>2745</v>
      </c>
      <c r="BZ220" s="1">
        <v>2780</v>
      </c>
    </row>
    <row r="221" spans="1:254">
      <c r="A221" s="62" t="s">
        <v>433</v>
      </c>
      <c r="B221" s="1" t="s">
        <v>434</v>
      </c>
      <c r="C221" s="54">
        <f>_xll.RssMarket("485A","高値")</f>
        <v>1965</v>
      </c>
      <c r="D221" s="16">
        <f t="shared" si="7"/>
        <v>0</v>
      </c>
      <c r="E221" s="2">
        <v>1965</v>
      </c>
      <c r="F221" s="2">
        <v>1935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_xll.RssMarket("1570","高値")</f>
        <v>68930</v>
      </c>
      <c r="D222" s="16"/>
      <c r="E222" s="2">
        <v>68930</v>
      </c>
      <c r="F222" s="2">
        <v>69880</v>
      </c>
      <c r="G222" s="2">
        <v>65750</v>
      </c>
      <c r="H222" s="2">
        <v>65050</v>
      </c>
      <c r="I222" s="2">
        <v>68100</v>
      </c>
      <c r="J222" s="2">
        <v>63180</v>
      </c>
      <c r="K222" s="2">
        <v>63700</v>
      </c>
      <c r="L222" s="2">
        <v>63770</v>
      </c>
      <c r="M222" s="2">
        <v>68020</v>
      </c>
      <c r="N222" s="2">
        <v>68810</v>
      </c>
      <c r="O222" s="2">
        <v>71870</v>
      </c>
      <c r="P222" s="2">
        <v>73090</v>
      </c>
      <c r="Q222" s="2">
        <v>70080</v>
      </c>
      <c r="R222" s="2">
        <v>69330</v>
      </c>
      <c r="S222" s="2">
        <v>76120</v>
      </c>
      <c r="T222" s="2">
        <v>73960</v>
      </c>
      <c r="U222" s="2">
        <v>76830</v>
      </c>
      <c r="V222" s="2">
        <v>77470</v>
      </c>
      <c r="W222" s="2">
        <v>75500</v>
      </c>
      <c r="X222" s="2">
        <v>75530</v>
      </c>
      <c r="Y222" s="2">
        <v>78980</v>
      </c>
      <c r="Z222" s="2">
        <v>79930</v>
      </c>
      <c r="AA222" s="2">
        <v>78680</v>
      </c>
      <c r="AB222" s="2">
        <v>78920</v>
      </c>
      <c r="AC222" s="2">
        <v>83580</v>
      </c>
      <c r="AD222" s="2">
        <v>80640</v>
      </c>
      <c r="AE222" s="2">
        <v>78520</v>
      </c>
      <c r="AF222" s="2">
        <v>82250</v>
      </c>
      <c r="AG222" s="2">
        <v>85200</v>
      </c>
      <c r="AH222" s="2">
        <v>79920</v>
      </c>
      <c r="AI222" s="2">
        <v>85870</v>
      </c>
      <c r="AJ222" s="2">
        <v>86380</v>
      </c>
      <c r="AK222" s="2">
        <v>84370</v>
      </c>
      <c r="AL222" s="2">
        <v>82770</v>
      </c>
      <c r="AM222" s="2">
        <v>79880</v>
      </c>
      <c r="AN222" s="2">
        <v>79600</v>
      </c>
      <c r="AO222" s="2">
        <v>78840</v>
      </c>
      <c r="AP222" s="2">
        <v>73130</v>
      </c>
      <c r="AQ222" s="2">
        <v>67630</v>
      </c>
      <c r="AR222" s="2">
        <v>69190</v>
      </c>
      <c r="AS222" s="2">
        <v>68570</v>
      </c>
      <c r="AT222" s="2">
        <v>73450</v>
      </c>
      <c r="AU222" s="2">
        <v>75470</v>
      </c>
      <c r="AV222" s="2">
        <v>77440</v>
      </c>
      <c r="AW222" s="2">
        <v>73930</v>
      </c>
      <c r="AX222" s="2">
        <v>72510</v>
      </c>
      <c r="AY222" s="2">
        <v>69710</v>
      </c>
      <c r="AZ222" s="2">
        <v>72490</v>
      </c>
      <c r="BA222" s="2">
        <v>70160</v>
      </c>
      <c r="BB222" s="2">
        <v>66050</v>
      </c>
      <c r="BC222" s="2">
        <v>63230</v>
      </c>
      <c r="BD222" s="2">
        <v>60220</v>
      </c>
      <c r="BE222" s="2">
        <v>62230</v>
      </c>
      <c r="BF222" s="2">
        <v>62900</v>
      </c>
      <c r="BG222" s="2">
        <v>65900</v>
      </c>
      <c r="BH222" s="2">
        <v>67090</v>
      </c>
      <c r="BI222" s="2">
        <v>66140</v>
      </c>
      <c r="BJ222" s="2">
        <v>65870</v>
      </c>
      <c r="BK222" s="2">
        <v>66320</v>
      </c>
      <c r="BL222" s="2">
        <v>64950</v>
      </c>
      <c r="BM222" s="1">
        <v>65900</v>
      </c>
      <c r="BN222" s="1">
        <v>59010</v>
      </c>
      <c r="BO222" s="1">
        <v>58630</v>
      </c>
      <c r="BP222" s="1">
        <v>60560</v>
      </c>
      <c r="BQ222" s="1">
        <v>61420</v>
      </c>
      <c r="BR222" s="1">
        <v>59150</v>
      </c>
      <c r="BS222" s="1">
        <v>60050</v>
      </c>
      <c r="BT222" s="1">
        <v>59090</v>
      </c>
      <c r="BU222" s="1">
        <v>58930</v>
      </c>
      <c r="BV222" s="1">
        <v>58080</v>
      </c>
      <c r="BW222" s="1">
        <v>58580</v>
      </c>
      <c r="BX222" s="1">
        <v>59150</v>
      </c>
      <c r="BY222" s="1">
        <v>57000</v>
      </c>
      <c r="BZ222" s="1">
        <v>55860</v>
      </c>
    </row>
    <row r="223" spans="1:254">
      <c r="A223" s="62" t="s">
        <v>436</v>
      </c>
      <c r="B223" s="1" t="str">
        <f>銘柄管理!C223</f>
        <v>牧野フライス</v>
      </c>
      <c r="C223" s="54">
        <f>_xll.RssMarket("6135","高値")</f>
        <v>15350</v>
      </c>
      <c r="D223" s="16"/>
      <c r="E223" s="2">
        <v>15350</v>
      </c>
      <c r="F223" s="1">
        <v>15270</v>
      </c>
      <c r="G223" s="1">
        <v>14940</v>
      </c>
      <c r="H223" s="1">
        <v>15170</v>
      </c>
      <c r="I223" s="1">
        <v>14400</v>
      </c>
      <c r="J223" s="1">
        <v>14180</v>
      </c>
      <c r="K223" s="1">
        <v>14260</v>
      </c>
      <c r="L223" s="1">
        <v>14720</v>
      </c>
      <c r="M223" s="1">
        <v>14820</v>
      </c>
      <c r="N223" s="1">
        <v>14980</v>
      </c>
      <c r="O223" s="1">
        <v>14900</v>
      </c>
      <c r="P223" s="1">
        <v>14690</v>
      </c>
      <c r="Q223" s="1">
        <v>14600</v>
      </c>
      <c r="R223" s="1">
        <v>14540</v>
      </c>
      <c r="S223" s="1">
        <v>14930</v>
      </c>
      <c r="T223" s="1">
        <v>14830</v>
      </c>
      <c r="U223" s="1">
        <v>15050</v>
      </c>
      <c r="V223" s="1">
        <v>15070</v>
      </c>
      <c r="W223" s="1">
        <v>14810</v>
      </c>
      <c r="X223" s="1">
        <v>14860</v>
      </c>
      <c r="Y223" s="1">
        <v>15110</v>
      </c>
      <c r="Z223" s="1">
        <v>15410</v>
      </c>
      <c r="AA223" s="1">
        <v>15390</v>
      </c>
      <c r="AB223" s="1">
        <v>15400</v>
      </c>
      <c r="AC223" s="1">
        <v>15480</v>
      </c>
      <c r="AD223" s="1">
        <v>15220</v>
      </c>
      <c r="AE223" s="1">
        <v>15310</v>
      </c>
      <c r="AF223" s="1">
        <v>15590</v>
      </c>
      <c r="AG223" s="1">
        <v>15940</v>
      </c>
      <c r="AH223" s="1">
        <v>14480</v>
      </c>
      <c r="AI223" s="1">
        <v>14650</v>
      </c>
      <c r="AJ223" s="1">
        <v>14760</v>
      </c>
      <c r="AK223" s="1">
        <v>14680</v>
      </c>
      <c r="AL223" s="1">
        <v>14410</v>
      </c>
      <c r="AM223" s="1">
        <v>14480</v>
      </c>
      <c r="AN223" s="1">
        <v>14430</v>
      </c>
      <c r="AO223" s="1">
        <v>14400</v>
      </c>
      <c r="AP223" s="1">
        <v>14320</v>
      </c>
      <c r="AQ223" s="1">
        <v>14410</v>
      </c>
      <c r="AR223" s="1">
        <v>14950</v>
      </c>
      <c r="AS223" s="1">
        <v>14250</v>
      </c>
      <c r="AT223" s="1">
        <v>14630</v>
      </c>
      <c r="AU223" s="1">
        <v>14180</v>
      </c>
      <c r="AV223" s="1">
        <v>14080</v>
      </c>
      <c r="AW223" s="1">
        <v>14100</v>
      </c>
      <c r="AX223" s="1">
        <v>13570</v>
      </c>
      <c r="AY223" s="1">
        <v>13280</v>
      </c>
      <c r="AZ223" s="1">
        <v>13310</v>
      </c>
      <c r="BA223" s="1">
        <v>13750</v>
      </c>
      <c r="BB223" s="1">
        <v>13240</v>
      </c>
      <c r="BC223" s="1">
        <v>13370</v>
      </c>
      <c r="BD223" s="1">
        <v>13750</v>
      </c>
      <c r="BE223" s="1">
        <v>13850</v>
      </c>
      <c r="BF223" s="1">
        <v>13970</v>
      </c>
      <c r="BG223" s="1">
        <v>14100</v>
      </c>
      <c r="BH223" s="1">
        <v>14160</v>
      </c>
      <c r="BI223" s="1">
        <v>13780</v>
      </c>
      <c r="BJ223" s="1">
        <v>13770</v>
      </c>
      <c r="BK223" s="1">
        <v>13820</v>
      </c>
      <c r="BL223" s="1">
        <v>14030</v>
      </c>
      <c r="BM223" s="1">
        <v>14170</v>
      </c>
      <c r="BN223" s="1">
        <v>12710</v>
      </c>
      <c r="BO223" s="1">
        <v>11940</v>
      </c>
      <c r="BP223" s="1">
        <v>11800</v>
      </c>
      <c r="BQ223" s="1">
        <v>11840</v>
      </c>
      <c r="BR223" s="1">
        <v>11880</v>
      </c>
      <c r="BS223" s="1">
        <v>10870</v>
      </c>
      <c r="BT223" s="1">
        <v>11630</v>
      </c>
      <c r="BU223" s="1">
        <v>11630</v>
      </c>
      <c r="BV223" s="1">
        <v>11640</v>
      </c>
      <c r="BW223" s="1">
        <v>11630</v>
      </c>
      <c r="BX223" s="1">
        <v>11610</v>
      </c>
      <c r="BY223" s="1">
        <v>11650</v>
      </c>
      <c r="BZ223" s="1">
        <v>11610</v>
      </c>
    </row>
    <row r="224" spans="1:254">
      <c r="A224" s="62" t="s">
        <v>437</v>
      </c>
      <c r="B224" s="1" t="str">
        <f>銘柄管理!C224</f>
        <v>ジャパンマテリアル</v>
      </c>
      <c r="C224" s="54">
        <f>_xll.RssMarket("6055","高値")</f>
        <v>2399</v>
      </c>
      <c r="D224" s="16"/>
      <c r="E224" s="2">
        <v>2399</v>
      </c>
      <c r="F224" s="1">
        <v>2455</v>
      </c>
      <c r="G224" s="1">
        <v>2340</v>
      </c>
      <c r="H224" s="1">
        <v>2295</v>
      </c>
      <c r="I224" s="1">
        <v>2305</v>
      </c>
      <c r="J224" s="1">
        <v>2086</v>
      </c>
      <c r="K224" s="1">
        <v>2116</v>
      </c>
      <c r="L224" s="1">
        <v>2230</v>
      </c>
      <c r="M224" s="1">
        <v>2313</v>
      </c>
      <c r="N224" s="1">
        <v>2320</v>
      </c>
      <c r="O224" s="1">
        <v>2388</v>
      </c>
      <c r="P224" s="1">
        <v>2431</v>
      </c>
      <c r="Q224" s="1">
        <v>2330</v>
      </c>
      <c r="R224" s="1">
        <v>2354</v>
      </c>
      <c r="S224" s="1">
        <v>2618</v>
      </c>
      <c r="T224" s="1">
        <v>2596</v>
      </c>
      <c r="U224" s="1">
        <v>2690</v>
      </c>
      <c r="V224" s="1">
        <v>2710</v>
      </c>
      <c r="W224" s="1">
        <v>2621</v>
      </c>
      <c r="X224" s="1">
        <v>2586</v>
      </c>
      <c r="Y224" s="1">
        <v>2739</v>
      </c>
      <c r="Z224" s="1">
        <v>2514</v>
      </c>
      <c r="AA224" s="1">
        <v>2508</v>
      </c>
      <c r="AB224" s="1">
        <v>2588</v>
      </c>
      <c r="AC224" s="1">
        <v>2770</v>
      </c>
      <c r="AD224" s="1">
        <v>2658</v>
      </c>
      <c r="AE224" s="1">
        <v>2657</v>
      </c>
      <c r="AF224" s="1">
        <v>2723</v>
      </c>
      <c r="AG224" s="1">
        <v>2736</v>
      </c>
      <c r="AH224" s="1">
        <v>2677</v>
      </c>
      <c r="AI224" s="1">
        <v>2712</v>
      </c>
      <c r="AJ224" s="1">
        <v>2697</v>
      </c>
      <c r="AK224" s="1">
        <v>2496</v>
      </c>
      <c r="AL224" s="1">
        <v>2495</v>
      </c>
      <c r="AM224" s="1">
        <v>2416</v>
      </c>
      <c r="AN224" s="1">
        <v>2486</v>
      </c>
      <c r="AO224" s="1">
        <v>2470</v>
      </c>
      <c r="AP224" s="1">
        <v>2340</v>
      </c>
      <c r="AQ224" s="1">
        <v>2174</v>
      </c>
      <c r="AR224" s="1">
        <v>2230</v>
      </c>
      <c r="AS224" s="1">
        <v>2174</v>
      </c>
      <c r="AT224" s="1">
        <v>2320</v>
      </c>
      <c r="AU224" s="1">
        <v>2425</v>
      </c>
      <c r="AV224" s="1">
        <v>2165</v>
      </c>
      <c r="AW224" s="1">
        <v>2127</v>
      </c>
      <c r="AX224" s="1">
        <v>2099</v>
      </c>
      <c r="AY224" s="1">
        <v>2093</v>
      </c>
      <c r="AZ224" s="1">
        <v>2182</v>
      </c>
      <c r="BA224" s="1">
        <v>2156</v>
      </c>
      <c r="BB224" s="1">
        <v>2060</v>
      </c>
      <c r="BC224" s="1">
        <v>2076</v>
      </c>
      <c r="BD224" s="1">
        <v>1944</v>
      </c>
      <c r="BE224" s="1">
        <v>2123</v>
      </c>
      <c r="BF224" s="1">
        <v>2230</v>
      </c>
      <c r="BG224" s="1">
        <v>2052</v>
      </c>
      <c r="BH224" s="1">
        <v>2244</v>
      </c>
      <c r="BI224" s="1">
        <v>2200</v>
      </c>
      <c r="BJ224" s="1">
        <v>2253</v>
      </c>
      <c r="BK224" s="1">
        <v>2099</v>
      </c>
      <c r="BL224" s="1">
        <v>1988</v>
      </c>
      <c r="BM224" s="1">
        <v>1996</v>
      </c>
      <c r="BN224" s="1">
        <v>1820</v>
      </c>
      <c r="BO224" s="1">
        <v>1819</v>
      </c>
      <c r="BP224" s="1">
        <v>1865</v>
      </c>
      <c r="BQ224" s="1">
        <v>1885</v>
      </c>
      <c r="BR224" s="1">
        <v>1826</v>
      </c>
      <c r="BS224" s="1">
        <v>1876</v>
      </c>
      <c r="BT224" s="1">
        <v>1846</v>
      </c>
      <c r="BU224" s="1">
        <v>1888</v>
      </c>
      <c r="BV224" s="1">
        <v>1886</v>
      </c>
      <c r="BW224" s="1">
        <v>1906</v>
      </c>
      <c r="BX224" s="1">
        <v>1940</v>
      </c>
      <c r="BY224" s="1">
        <v>1946</v>
      </c>
      <c r="BZ224" s="1">
        <v>1908</v>
      </c>
    </row>
    <row r="225" spans="1:254">
      <c r="A225" s="62" t="s">
        <v>438</v>
      </c>
      <c r="B225" s="1" t="str">
        <f>銘柄管理!C225</f>
        <v>ミナトホールディングス</v>
      </c>
      <c r="C225" s="1">
        <f>_xll.RssMarket("6862","高値")</f>
        <v>2371</v>
      </c>
      <c r="E225" s="2">
        <v>2371</v>
      </c>
      <c r="F225" s="1">
        <v>2349</v>
      </c>
      <c r="G225" s="1">
        <v>2271</v>
      </c>
      <c r="H225" s="1">
        <v>2116</v>
      </c>
      <c r="I225" s="1">
        <v>2088</v>
      </c>
      <c r="J225" s="1">
        <v>1967</v>
      </c>
      <c r="K225" s="1">
        <v>1721</v>
      </c>
      <c r="L225" s="1">
        <v>1797</v>
      </c>
      <c r="M225" s="1">
        <v>1871</v>
      </c>
      <c r="N225" s="1">
        <v>1901</v>
      </c>
      <c r="O225" s="1">
        <v>1943</v>
      </c>
      <c r="P225" s="1">
        <v>1940</v>
      </c>
      <c r="Q225" s="1">
        <v>1894</v>
      </c>
      <c r="R225" s="1">
        <v>1930</v>
      </c>
      <c r="S225" s="1">
        <v>2081</v>
      </c>
      <c r="T225" s="1">
        <v>2021</v>
      </c>
      <c r="U225" s="1">
        <v>2080</v>
      </c>
      <c r="V225" s="1">
        <v>2080</v>
      </c>
      <c r="W225" s="1">
        <v>1991</v>
      </c>
      <c r="X225" s="1">
        <v>2047</v>
      </c>
      <c r="Y225" s="1">
        <v>2112</v>
      </c>
      <c r="Z225" s="1">
        <v>2168</v>
      </c>
      <c r="AA225" s="1">
        <v>2139</v>
      </c>
      <c r="AB225" s="1">
        <v>2139</v>
      </c>
      <c r="AC225" s="1">
        <v>2184</v>
      </c>
      <c r="AD225" s="1">
        <v>2160</v>
      </c>
      <c r="AE225" s="1">
        <v>2220</v>
      </c>
      <c r="AF225" s="1">
        <v>2292</v>
      </c>
      <c r="AG225" s="1">
        <v>2462</v>
      </c>
      <c r="AH225" s="1">
        <v>2287</v>
      </c>
      <c r="AI225" s="1">
        <v>2443</v>
      </c>
      <c r="AJ225" s="1">
        <v>2635</v>
      </c>
      <c r="AK225" s="1">
        <v>2544</v>
      </c>
      <c r="AL225" s="1">
        <v>2320</v>
      </c>
      <c r="AM225" s="1">
        <v>2259</v>
      </c>
      <c r="AN225" s="1">
        <v>2210</v>
      </c>
      <c r="AO225" s="1">
        <v>2062</v>
      </c>
      <c r="AP225" s="1">
        <v>2018</v>
      </c>
      <c r="AQ225" s="1">
        <v>1972</v>
      </c>
      <c r="AR225" s="1">
        <v>2054</v>
      </c>
      <c r="AS225" s="1">
        <v>2149</v>
      </c>
      <c r="AT225" s="1">
        <v>2275</v>
      </c>
      <c r="AU225" s="1">
        <v>2196</v>
      </c>
      <c r="AV225" s="1">
        <v>2306</v>
      </c>
      <c r="AW225" s="1">
        <v>2216</v>
      </c>
      <c r="AX225" s="1">
        <v>2317</v>
      </c>
      <c r="AY225" s="1">
        <v>2300</v>
      </c>
      <c r="AZ225" s="1">
        <v>2549</v>
      </c>
      <c r="BA225" s="1">
        <v>2724</v>
      </c>
      <c r="BB225" s="1">
        <v>2670</v>
      </c>
      <c r="BC225" s="1">
        <v>2530</v>
      </c>
      <c r="BD225" s="1">
        <v>2521</v>
      </c>
      <c r="BE225" s="1">
        <v>2743</v>
      </c>
      <c r="BF225" s="1">
        <v>2930</v>
      </c>
      <c r="BG225" s="1">
        <v>2947</v>
      </c>
      <c r="BH225" s="1">
        <v>3330</v>
      </c>
      <c r="BI225" s="1">
        <v>2930</v>
      </c>
      <c r="BJ225" s="1">
        <v>3820</v>
      </c>
      <c r="BK225" s="1">
        <v>4165</v>
      </c>
      <c r="BL225" s="1">
        <v>3930</v>
      </c>
      <c r="BM225" s="1">
        <v>3760</v>
      </c>
      <c r="BN225" s="1">
        <v>3155</v>
      </c>
      <c r="BO225" s="1">
        <v>2996</v>
      </c>
      <c r="BP225" s="1">
        <v>2709</v>
      </c>
      <c r="BQ225" s="1">
        <v>2818</v>
      </c>
      <c r="BR225" s="1">
        <v>2580</v>
      </c>
      <c r="BS225" s="1">
        <v>2575</v>
      </c>
      <c r="BT225" s="1">
        <v>2560</v>
      </c>
      <c r="BU225" s="1">
        <v>2560</v>
      </c>
      <c r="BV225" s="1">
        <v>2585</v>
      </c>
      <c r="BW225" s="1">
        <v>2497</v>
      </c>
      <c r="BX225" s="1">
        <v>2499</v>
      </c>
      <c r="BY225" s="1">
        <v>2604</v>
      </c>
      <c r="BZ225" s="1">
        <v>2625</v>
      </c>
    </row>
    <row r="226" spans="1:254">
      <c r="A226" s="62" t="s">
        <v>439</v>
      </c>
      <c r="B226" s="1" t="str">
        <f>銘柄管理!C226</f>
        <v>ヤクルト</v>
      </c>
      <c r="C226" s="1">
        <f>_xll.RssMarket("2267","高値")</f>
        <v>2843.5</v>
      </c>
      <c r="E226" s="2">
        <v>2843.5</v>
      </c>
      <c r="F226" s="1">
        <v>2821.5</v>
      </c>
      <c r="G226" s="1">
        <v>2824.5</v>
      </c>
      <c r="H226" s="1">
        <v>2801.5</v>
      </c>
      <c r="I226" s="1">
        <v>2828</v>
      </c>
      <c r="J226" s="1">
        <v>2919.5</v>
      </c>
      <c r="K226" s="1">
        <v>2930.5</v>
      </c>
      <c r="L226" s="1">
        <v>2843.5</v>
      </c>
      <c r="M226" s="1">
        <v>2824</v>
      </c>
      <c r="N226" s="1">
        <v>2749.5</v>
      </c>
      <c r="O226" s="1">
        <v>2784.5</v>
      </c>
      <c r="P226" s="1">
        <v>2787</v>
      </c>
      <c r="Q226" s="1">
        <v>2885</v>
      </c>
      <c r="R226" s="1">
        <v>2853.5</v>
      </c>
      <c r="S226" s="1">
        <v>2848.5</v>
      </c>
      <c r="T226" s="1">
        <v>2873</v>
      </c>
      <c r="U226" s="1">
        <v>2883</v>
      </c>
      <c r="V226" s="1">
        <v>2851</v>
      </c>
      <c r="W226" s="1">
        <v>2910</v>
      </c>
      <c r="X226" s="1">
        <v>2933.5</v>
      </c>
      <c r="Y226" s="1">
        <v>2912.5</v>
      </c>
      <c r="Z226" s="1">
        <v>2910</v>
      </c>
      <c r="AA226" s="1">
        <v>2856</v>
      </c>
      <c r="AB226" s="1">
        <v>2814</v>
      </c>
      <c r="AC226" s="1">
        <v>2741</v>
      </c>
      <c r="AD226" s="1">
        <v>2764</v>
      </c>
      <c r="AE226" s="1">
        <v>2777.5</v>
      </c>
      <c r="AF226" s="1">
        <v>2777</v>
      </c>
      <c r="AG226" s="1">
        <v>2752</v>
      </c>
      <c r="AH226" s="1">
        <v>2742.5</v>
      </c>
      <c r="AI226" s="1">
        <v>2729</v>
      </c>
      <c r="AJ226" s="1">
        <v>2719.5</v>
      </c>
      <c r="AK226" s="1">
        <v>2711</v>
      </c>
      <c r="AL226" s="1">
        <v>2697.5</v>
      </c>
      <c r="AM226" s="1">
        <v>2664</v>
      </c>
      <c r="AN226" s="1">
        <v>2661</v>
      </c>
      <c r="AO226" s="1">
        <v>2686</v>
      </c>
      <c r="AP226" s="1">
        <v>2712.5</v>
      </c>
      <c r="AQ226" s="1">
        <v>2721</v>
      </c>
      <c r="AR226" s="1">
        <v>2717</v>
      </c>
      <c r="AS226" s="1">
        <v>2688</v>
      </c>
      <c r="AT226" s="1">
        <v>2718</v>
      </c>
      <c r="AU226" s="1">
        <v>2709</v>
      </c>
      <c r="AV226" s="1">
        <v>2742</v>
      </c>
      <c r="AW226" s="1">
        <v>2715</v>
      </c>
      <c r="AX226" s="1">
        <v>2709.5</v>
      </c>
      <c r="AY226" s="1">
        <v>2756.5</v>
      </c>
      <c r="AZ226" s="1">
        <v>2733.5</v>
      </c>
      <c r="BA226" s="1">
        <v>2827.5</v>
      </c>
      <c r="BB226" s="1">
        <v>2807</v>
      </c>
      <c r="BC226" s="1">
        <v>2808</v>
      </c>
      <c r="BD226" s="1">
        <v>2847</v>
      </c>
      <c r="BE226" s="1">
        <v>2820</v>
      </c>
      <c r="BF226" s="1">
        <v>2778.5</v>
      </c>
      <c r="BG226" s="1">
        <v>2783</v>
      </c>
      <c r="BH226" s="1">
        <v>2826.5</v>
      </c>
      <c r="BI226" s="1">
        <v>2818.5</v>
      </c>
      <c r="BJ226" s="1">
        <v>2938</v>
      </c>
      <c r="BK226" s="1">
        <v>2916.5</v>
      </c>
      <c r="BL226" s="1">
        <v>3025</v>
      </c>
      <c r="BM226" s="1">
        <v>3057</v>
      </c>
      <c r="BN226" s="1">
        <v>3092</v>
      </c>
      <c r="BO226" s="1">
        <v>2745.5</v>
      </c>
      <c r="BP226" s="1">
        <v>2763.5</v>
      </c>
      <c r="BQ226" s="1">
        <v>2779.5</v>
      </c>
      <c r="BR226" s="1">
        <v>2916.5</v>
      </c>
      <c r="BS226" s="1">
        <v>2642.5</v>
      </c>
      <c r="BT226" s="1">
        <v>2615.5</v>
      </c>
      <c r="BU226" s="1">
        <v>2633.5</v>
      </c>
      <c r="BV226" s="1">
        <v>2680</v>
      </c>
      <c r="BW226" s="1">
        <v>2681</v>
      </c>
      <c r="BX226" s="1">
        <v>2700</v>
      </c>
      <c r="BY226" s="1">
        <v>2724</v>
      </c>
      <c r="BZ226" s="1">
        <v>2645</v>
      </c>
    </row>
    <row r="227" spans="1:254">
      <c r="A227" s="62" t="s">
        <v>440</v>
      </c>
      <c r="B227" s="1" t="str">
        <f>銘柄管理!C227</f>
        <v>ＮＦエネ資源Ｔ１７</v>
      </c>
      <c r="C227" s="1">
        <f>_xll.RssMarket("1618","高値")</f>
        <v>32830</v>
      </c>
      <c r="E227" s="2">
        <v>32830</v>
      </c>
      <c r="F227" s="1">
        <v>32800</v>
      </c>
      <c r="G227" s="1">
        <v>33100</v>
      </c>
      <c r="H227" s="1">
        <v>33090</v>
      </c>
      <c r="I227" s="1">
        <v>33960</v>
      </c>
      <c r="J227" s="1">
        <v>34040</v>
      </c>
      <c r="K227" s="1">
        <v>33780</v>
      </c>
      <c r="L227" s="1">
        <v>34000</v>
      </c>
      <c r="M227" s="1">
        <v>34140</v>
      </c>
      <c r="N227" s="1">
        <v>34680</v>
      </c>
      <c r="O227" s="1">
        <v>34110</v>
      </c>
      <c r="P227" s="1">
        <v>33770</v>
      </c>
      <c r="Q227" s="1">
        <v>33320</v>
      </c>
      <c r="R227" s="1">
        <v>32210</v>
      </c>
      <c r="S227" s="1">
        <v>32910</v>
      </c>
      <c r="T227" s="1">
        <v>32660</v>
      </c>
      <c r="U227" s="1">
        <v>33770</v>
      </c>
      <c r="V227" s="1">
        <v>32700</v>
      </c>
      <c r="W227" s="1">
        <v>33060</v>
      </c>
      <c r="X227" s="1">
        <v>32730</v>
      </c>
      <c r="Y227" s="1">
        <v>32880</v>
      </c>
      <c r="Z227" s="1">
        <v>32500</v>
      </c>
      <c r="AA227" s="1">
        <v>31900</v>
      </c>
      <c r="AB227" s="1">
        <v>31540</v>
      </c>
      <c r="AC227" s="1">
        <v>31440</v>
      </c>
      <c r="AD227" s="1">
        <v>31600</v>
      </c>
      <c r="AE227" s="1">
        <v>31670</v>
      </c>
      <c r="AF227" s="1">
        <v>31580</v>
      </c>
      <c r="AG227" s="1">
        <v>32460</v>
      </c>
      <c r="AH227" s="1">
        <v>32230</v>
      </c>
      <c r="AI227" s="1">
        <v>32700</v>
      </c>
      <c r="AJ227" s="1">
        <v>32910</v>
      </c>
      <c r="AK227" s="1">
        <v>32950</v>
      </c>
      <c r="AL227" s="1">
        <v>32660</v>
      </c>
      <c r="AM227" s="1">
        <v>32690</v>
      </c>
      <c r="AN227" s="1">
        <v>32580</v>
      </c>
      <c r="AO227" s="1">
        <v>33760</v>
      </c>
      <c r="AP227" s="1">
        <v>33000</v>
      </c>
      <c r="AQ227" s="1">
        <v>33190</v>
      </c>
      <c r="AR227" s="1">
        <v>33360</v>
      </c>
      <c r="AS227" s="1">
        <v>33540</v>
      </c>
      <c r="AT227" s="1">
        <v>34440</v>
      </c>
      <c r="AU227" s="1">
        <v>34510</v>
      </c>
      <c r="AV227" s="1">
        <v>34950</v>
      </c>
      <c r="AW227" s="1">
        <v>33760</v>
      </c>
      <c r="AX227" s="1">
        <v>34200</v>
      </c>
      <c r="AY227" s="1">
        <v>34190</v>
      </c>
      <c r="AZ227" s="1">
        <v>34490</v>
      </c>
      <c r="BA227" s="1">
        <v>35770</v>
      </c>
      <c r="BB227" s="1">
        <v>34860</v>
      </c>
      <c r="BC227" s="1">
        <v>35900</v>
      </c>
      <c r="BD227" s="1">
        <v>36280</v>
      </c>
      <c r="BE227" s="1">
        <v>36500</v>
      </c>
      <c r="BF227" s="1">
        <v>36950</v>
      </c>
      <c r="BG227" s="1">
        <v>36390</v>
      </c>
      <c r="BH227" s="1">
        <v>36110</v>
      </c>
      <c r="BI227" s="1">
        <v>36600</v>
      </c>
      <c r="BJ227" s="1">
        <v>36690</v>
      </c>
      <c r="BK227" s="1">
        <v>35570</v>
      </c>
      <c r="BL227" s="1">
        <v>35140</v>
      </c>
      <c r="BM227" s="1">
        <v>36060</v>
      </c>
      <c r="BN227" s="1">
        <v>36580</v>
      </c>
      <c r="BO227" s="1">
        <v>37000</v>
      </c>
      <c r="BP227" s="1">
        <v>36270</v>
      </c>
      <c r="BQ227" s="1">
        <v>35740</v>
      </c>
      <c r="BR227" s="1">
        <v>36140</v>
      </c>
      <c r="BS227" s="1">
        <v>35790</v>
      </c>
      <c r="BT227" s="1">
        <v>35980</v>
      </c>
      <c r="BU227" s="1">
        <v>36360</v>
      </c>
      <c r="BV227" s="1">
        <v>36790</v>
      </c>
      <c r="BW227" s="1">
        <v>37830</v>
      </c>
      <c r="BX227" s="1">
        <v>38480</v>
      </c>
      <c r="BY227" s="1">
        <v>38430</v>
      </c>
      <c r="BZ227" s="1">
        <v>39000</v>
      </c>
    </row>
    <row r="228" spans="1:254">
      <c r="A228" s="62" t="s">
        <v>441</v>
      </c>
      <c r="C228" s="1">
        <f>_xll.RssMarket("3696","高値")</f>
        <v>2104</v>
      </c>
      <c r="E228" s="2">
        <v>2104</v>
      </c>
      <c r="F228" s="1">
        <v>2090</v>
      </c>
    </row>
    <row r="229" spans="1:254">
      <c r="A229" s="62" t="s">
        <v>442</v>
      </c>
      <c r="B229" s="1" t="str">
        <f>銘柄管理!C229</f>
        <v>児玉化学</v>
      </c>
      <c r="C229" s="1">
        <f>_xll.RssMarket("4222","高値")</f>
        <v>625</v>
      </c>
      <c r="E229" s="2">
        <v>625</v>
      </c>
      <c r="F229" s="1">
        <v>617</v>
      </c>
      <c r="G229" s="1">
        <v>598</v>
      </c>
      <c r="H229" s="1">
        <v>574</v>
      </c>
      <c r="I229" s="1">
        <v>586</v>
      </c>
      <c r="J229" s="1">
        <v>563</v>
      </c>
      <c r="K229" s="1">
        <v>576</v>
      </c>
      <c r="L229" s="1">
        <v>588</v>
      </c>
      <c r="M229" s="1">
        <v>598</v>
      </c>
      <c r="O229" s="1">
        <v>622</v>
      </c>
      <c r="P229" s="1">
        <v>626</v>
      </c>
      <c r="Q229" s="1">
        <v>618</v>
      </c>
      <c r="R229" s="1">
        <v>617</v>
      </c>
      <c r="S229" s="1">
        <v>656</v>
      </c>
      <c r="T229" s="1">
        <v>656</v>
      </c>
      <c r="U229" s="1">
        <v>674</v>
      </c>
      <c r="V229" s="1">
        <v>670</v>
      </c>
      <c r="W229" s="1">
        <v>650</v>
      </c>
      <c r="X229" s="1">
        <v>664</v>
      </c>
      <c r="Y229" s="1">
        <v>694</v>
      </c>
      <c r="Z229" s="1">
        <v>697</v>
      </c>
      <c r="AA229" s="1">
        <v>681</v>
      </c>
      <c r="AB229" s="1">
        <v>671</v>
      </c>
      <c r="AC229" s="1">
        <v>649</v>
      </c>
      <c r="AD229" s="1">
        <v>660</v>
      </c>
      <c r="AE229" s="1">
        <v>681</v>
      </c>
      <c r="AF229" s="1">
        <v>666</v>
      </c>
      <c r="AG229" s="1">
        <v>681</v>
      </c>
      <c r="AH229" s="1">
        <v>718</v>
      </c>
      <c r="AI229" s="1">
        <v>727</v>
      </c>
      <c r="AJ229" s="1">
        <v>759</v>
      </c>
      <c r="AK229" s="1">
        <v>715</v>
      </c>
      <c r="AL229" s="1">
        <v>741</v>
      </c>
      <c r="AM229" s="1">
        <v>729</v>
      </c>
      <c r="AN229" s="1">
        <v>703</v>
      </c>
      <c r="AO229" s="1">
        <v>710</v>
      </c>
      <c r="AP229" s="1">
        <v>684</v>
      </c>
      <c r="AQ229" s="1">
        <v>688</v>
      </c>
      <c r="AR229" s="1">
        <v>691</v>
      </c>
      <c r="AS229" s="1">
        <v>695</v>
      </c>
      <c r="AT229" s="1">
        <v>725</v>
      </c>
      <c r="AU229" s="1">
        <v>712</v>
      </c>
      <c r="AV229" s="1">
        <v>722</v>
      </c>
      <c r="AW229" s="1">
        <v>703</v>
      </c>
      <c r="AX229" s="1">
        <v>758</v>
      </c>
      <c r="AY229" s="1">
        <v>764</v>
      </c>
      <c r="AZ229" s="1">
        <v>790</v>
      </c>
      <c r="BA229" s="1">
        <v>826</v>
      </c>
      <c r="BB229" s="1">
        <v>802</v>
      </c>
      <c r="BC229" s="1">
        <v>828</v>
      </c>
      <c r="BD229" s="1">
        <v>856</v>
      </c>
      <c r="BE229" s="1">
        <v>896</v>
      </c>
      <c r="BF229" s="1">
        <v>924</v>
      </c>
      <c r="BG229" s="1">
        <v>986</v>
      </c>
      <c r="BH229" s="1">
        <v>1227</v>
      </c>
      <c r="BI229" s="1">
        <v>1260</v>
      </c>
      <c r="BJ229" s="1">
        <v>1344</v>
      </c>
      <c r="BK229" s="1">
        <v>1268</v>
      </c>
      <c r="BL229" s="1">
        <v>1165</v>
      </c>
      <c r="BM229" s="1">
        <v>1157</v>
      </c>
      <c r="BN229" s="1">
        <v>1115</v>
      </c>
      <c r="BO229" s="1">
        <v>1139</v>
      </c>
      <c r="BP229" s="1">
        <v>1165</v>
      </c>
      <c r="BQ229" s="1">
        <v>1162</v>
      </c>
      <c r="BR229" s="1">
        <v>1155</v>
      </c>
      <c r="BS229" s="1">
        <v>1165</v>
      </c>
      <c r="BT229" s="1">
        <v>1184</v>
      </c>
      <c r="BU229" s="1">
        <v>1200</v>
      </c>
      <c r="BV229" s="1">
        <v>1200</v>
      </c>
      <c r="BW229" s="1">
        <v>1179</v>
      </c>
      <c r="BX229" s="1">
        <v>1189</v>
      </c>
      <c r="BY229" s="1">
        <v>1187</v>
      </c>
      <c r="BZ229" s="1">
        <v>1158</v>
      </c>
    </row>
    <row r="230" spans="1:254">
      <c r="A230" s="62" t="s">
        <v>443</v>
      </c>
      <c r="B230" s="1" t="str">
        <f>銘柄管理!C230</f>
        <v>ＦＯＯＤ＆ＬＩＦＥＣＯＭＰＡＮ</v>
      </c>
      <c r="C230" s="1">
        <f>_xll.RssMarket("3563","高値")</f>
        <v>6062</v>
      </c>
      <c r="E230" s="1">
        <v>6062</v>
      </c>
      <c r="F230" s="1">
        <v>5923</v>
      </c>
    </row>
    <row r="231" spans="1:254">
      <c r="A231" s="62" t="s">
        <v>444</v>
      </c>
      <c r="B231" s="1" t="str">
        <f>銘柄管理!C231</f>
        <v>ＩＨＩ</v>
      </c>
      <c r="C231" s="1">
        <f>_xll.RssMarket("7013","高値")</f>
        <v>2754.5</v>
      </c>
      <c r="E231" s="1">
        <v>2754.5</v>
      </c>
      <c r="F231" s="1">
        <v>2965</v>
      </c>
      <c r="G231" s="1">
        <v>2922.5</v>
      </c>
      <c r="H231" s="1">
        <v>2804.5</v>
      </c>
      <c r="I231" s="1">
        <v>2914</v>
      </c>
      <c r="J231" s="1">
        <v>2798</v>
      </c>
      <c r="K231" s="1">
        <v>2805.5</v>
      </c>
      <c r="L231" s="1">
        <v>2855</v>
      </c>
      <c r="M231" s="1">
        <v>2925</v>
      </c>
      <c r="O231" s="1">
        <v>2927</v>
      </c>
      <c r="P231" s="1">
        <v>2831</v>
      </c>
      <c r="Q231" s="1">
        <v>2834.5</v>
      </c>
      <c r="R231" s="1">
        <v>2860</v>
      </c>
      <c r="S231" s="1">
        <v>2839.5</v>
      </c>
      <c r="T231" s="1">
        <v>2838.5</v>
      </c>
      <c r="U231" s="1">
        <v>2873</v>
      </c>
      <c r="V231" s="1">
        <v>2852</v>
      </c>
      <c r="W231" s="1">
        <v>2878</v>
      </c>
      <c r="X231" s="1">
        <v>2978</v>
      </c>
      <c r="Y231" s="1">
        <v>3150</v>
      </c>
      <c r="Z231" s="1">
        <v>3075</v>
      </c>
      <c r="AA231" s="1">
        <v>2879</v>
      </c>
      <c r="AB231" s="1">
        <v>2824</v>
      </c>
      <c r="AC231" s="1">
        <v>2759.5</v>
      </c>
      <c r="AD231" s="1">
        <v>2731.5</v>
      </c>
      <c r="AE231" s="1">
        <v>2760</v>
      </c>
      <c r="AF231" s="1">
        <v>2717.5</v>
      </c>
      <c r="AG231" s="1">
        <v>2839</v>
      </c>
      <c r="AH231" s="1">
        <v>2848</v>
      </c>
      <c r="AI231" s="1">
        <v>2855</v>
      </c>
      <c r="AJ231" s="1">
        <v>2864.5</v>
      </c>
      <c r="AK231" s="1">
        <v>2935</v>
      </c>
      <c r="AL231" s="1">
        <v>3025</v>
      </c>
      <c r="AM231" s="1">
        <v>2958.5</v>
      </c>
      <c r="AN231" s="1">
        <v>2907.5</v>
      </c>
      <c r="AO231" s="1">
        <v>2729</v>
      </c>
      <c r="AP231" s="1">
        <v>2455</v>
      </c>
      <c r="AQ231" s="1">
        <v>2375</v>
      </c>
      <c r="AR231" s="1">
        <v>2514</v>
      </c>
      <c r="AS231" s="1">
        <v>2552.5</v>
      </c>
      <c r="AT231" s="1">
        <v>2635.5</v>
      </c>
      <c r="AU231" s="1">
        <v>2608.5</v>
      </c>
      <c r="AV231" s="1">
        <v>2571.5</v>
      </c>
      <c r="AW231" s="1">
        <v>2640</v>
      </c>
      <c r="AX231" s="1">
        <v>2822.5</v>
      </c>
      <c r="AY231" s="1">
        <v>2835</v>
      </c>
      <c r="AZ231" s="1">
        <v>2978</v>
      </c>
      <c r="BA231" s="1">
        <v>2846</v>
      </c>
      <c r="BB231" s="1">
        <v>2859</v>
      </c>
      <c r="BC231" s="1">
        <v>2722</v>
      </c>
      <c r="BD231" s="1">
        <v>2592.5</v>
      </c>
      <c r="BE231" s="1">
        <v>2693.5</v>
      </c>
      <c r="BF231" s="1">
        <v>2761</v>
      </c>
      <c r="BG231" s="1">
        <v>2734.5</v>
      </c>
      <c r="BH231" s="1">
        <v>2750.5</v>
      </c>
      <c r="BI231" s="1">
        <v>2852</v>
      </c>
      <c r="BJ231" s="1">
        <v>2899.5</v>
      </c>
      <c r="BK231" s="1">
        <v>2958</v>
      </c>
      <c r="BL231" s="1">
        <v>3323</v>
      </c>
      <c r="BM231" s="1">
        <v>3068</v>
      </c>
      <c r="BN231" s="1">
        <v>2920</v>
      </c>
      <c r="BO231" s="1">
        <v>2988</v>
      </c>
      <c r="BP231" s="1">
        <v>3020</v>
      </c>
      <c r="BQ231" s="1">
        <v>2941</v>
      </c>
      <c r="BR231" s="1">
        <v>3075</v>
      </c>
      <c r="BS231" s="1">
        <v>3108</v>
      </c>
      <c r="BT231" s="1">
        <v>3069</v>
      </c>
      <c r="BU231" s="1">
        <v>3137</v>
      </c>
      <c r="BV231" s="1">
        <v>3183</v>
      </c>
      <c r="BW231" s="1">
        <v>3186</v>
      </c>
      <c r="BX231" s="1">
        <v>3227</v>
      </c>
      <c r="BY231" s="1">
        <v>3311</v>
      </c>
      <c r="BZ231" s="1">
        <v>3356</v>
      </c>
    </row>
    <row r="232" spans="1:254">
      <c r="A232" s="62" t="s">
        <v>445</v>
      </c>
      <c r="B232" s="1" t="str">
        <f>銘柄管理!C232</f>
        <v>ＮＥＣキャピタルソリューション</v>
      </c>
      <c r="C232" s="1">
        <f>_xll.RssMarket("8793","高値")</f>
        <v>4085</v>
      </c>
      <c r="E232" s="1">
        <v>4085</v>
      </c>
      <c r="F232" s="1">
        <v>4055</v>
      </c>
      <c r="G232" s="1">
        <v>4110</v>
      </c>
      <c r="H232" s="1">
        <v>4115</v>
      </c>
      <c r="I232" s="1">
        <v>4210</v>
      </c>
      <c r="J232" s="1">
        <v>4205</v>
      </c>
      <c r="K232" s="1">
        <v>4210</v>
      </c>
      <c r="L232" s="1">
        <v>4115</v>
      </c>
      <c r="M232" s="1">
        <v>4120</v>
      </c>
      <c r="N232" s="1">
        <v>4105</v>
      </c>
      <c r="O232" s="1">
        <v>4115</v>
      </c>
      <c r="P232" s="1">
        <v>4125</v>
      </c>
      <c r="Q232" s="1">
        <v>4110</v>
      </c>
      <c r="R232" s="1">
        <v>4105</v>
      </c>
      <c r="S232" s="1">
        <v>4165</v>
      </c>
      <c r="T232" s="1">
        <v>4165</v>
      </c>
      <c r="U232" s="1">
        <v>4180</v>
      </c>
      <c r="V232" s="1">
        <v>4175</v>
      </c>
      <c r="W232" s="1">
        <v>4155</v>
      </c>
      <c r="X232" s="1">
        <v>4140</v>
      </c>
      <c r="Y232" s="1">
        <v>4135</v>
      </c>
      <c r="Z232" s="1">
        <v>4085</v>
      </c>
      <c r="AA232" s="1">
        <v>4040</v>
      </c>
      <c r="AB232" s="1">
        <v>4040</v>
      </c>
      <c r="AC232" s="1">
        <v>4010</v>
      </c>
      <c r="AD232" s="1">
        <v>4015</v>
      </c>
      <c r="AE232" s="1">
        <v>4045</v>
      </c>
      <c r="AF232" s="1">
        <v>4015</v>
      </c>
      <c r="AG232" s="1">
        <v>4045</v>
      </c>
      <c r="AH232" s="1">
        <v>4050</v>
      </c>
      <c r="AI232" s="1">
        <v>4065</v>
      </c>
      <c r="AJ232" s="1">
        <v>4090</v>
      </c>
      <c r="AK232" s="1">
        <v>4135</v>
      </c>
      <c r="AL232" s="1">
        <v>4145</v>
      </c>
      <c r="AM232" s="1">
        <v>4180</v>
      </c>
      <c r="AN232" s="1">
        <v>4165</v>
      </c>
      <c r="AO232" s="1">
        <v>4185</v>
      </c>
      <c r="AP232" s="1">
        <v>4185</v>
      </c>
      <c r="AQ232" s="1">
        <v>4160</v>
      </c>
      <c r="AR232" s="1">
        <v>4230</v>
      </c>
      <c r="AS232" s="1">
        <v>4070</v>
      </c>
      <c r="AT232" s="1">
        <v>4045</v>
      </c>
      <c r="AU232" s="1">
        <v>3960</v>
      </c>
      <c r="AV232" s="1">
        <v>3930</v>
      </c>
      <c r="AW232" s="1">
        <v>3915</v>
      </c>
      <c r="AX232" s="1">
        <v>4020</v>
      </c>
      <c r="AY232" s="1">
        <v>3960</v>
      </c>
      <c r="AZ232" s="1">
        <v>3975</v>
      </c>
      <c r="BA232" s="1">
        <v>3980</v>
      </c>
      <c r="BB232" s="1">
        <v>4025</v>
      </c>
      <c r="BC232" s="1">
        <v>4030</v>
      </c>
      <c r="BD232" s="1">
        <v>3980</v>
      </c>
      <c r="BE232" s="1">
        <v>3985</v>
      </c>
      <c r="BF232" s="1">
        <v>3975</v>
      </c>
      <c r="BG232" s="1">
        <v>4020</v>
      </c>
      <c r="BH232" s="1">
        <v>4010</v>
      </c>
      <c r="BI232" s="1">
        <v>4040</v>
      </c>
      <c r="BJ232" s="1">
        <v>4055</v>
      </c>
      <c r="BK232" s="1">
        <v>4060</v>
      </c>
      <c r="BL232" s="1">
        <v>4065</v>
      </c>
      <c r="BM232" s="1">
        <v>4060</v>
      </c>
      <c r="BN232" s="1">
        <v>4090</v>
      </c>
      <c r="BO232" s="1">
        <v>4200</v>
      </c>
      <c r="BP232" s="1">
        <v>4280</v>
      </c>
      <c r="BQ232" s="1">
        <v>4280</v>
      </c>
      <c r="BR232" s="1">
        <v>4270</v>
      </c>
      <c r="BS232" s="1">
        <v>4215</v>
      </c>
      <c r="BT232" s="1">
        <v>4270</v>
      </c>
      <c r="BU232" s="1">
        <v>4315</v>
      </c>
      <c r="BV232" s="1">
        <v>4285</v>
      </c>
      <c r="BW232" s="1">
        <v>4295</v>
      </c>
      <c r="BX232" s="1">
        <v>4320</v>
      </c>
      <c r="BY232" s="1">
        <v>4275</v>
      </c>
      <c r="BZ232" s="1">
        <v>4215</v>
      </c>
    </row>
    <row r="233" spans="1:254">
      <c r="A233" s="62" t="s">
        <v>446</v>
      </c>
      <c r="B233" s="1" t="str">
        <f>銘柄管理!C233</f>
        <v>ミスミグループ本社</v>
      </c>
      <c r="C233" s="1">
        <f>_xll.RssMarket("9962","高値")</f>
        <v>3874</v>
      </c>
      <c r="E233" s="1">
        <v>3874</v>
      </c>
      <c r="F233" s="1">
        <v>4071</v>
      </c>
      <c r="G233" s="1">
        <v>4178</v>
      </c>
      <c r="H233" s="1">
        <v>4066</v>
      </c>
      <c r="I233" s="1">
        <v>4001</v>
      </c>
      <c r="J233" s="1">
        <v>3511</v>
      </c>
      <c r="K233" s="1">
        <v>3566</v>
      </c>
      <c r="L233" s="1">
        <v>3568</v>
      </c>
      <c r="M233" s="1">
        <v>3677</v>
      </c>
      <c r="N233" s="1">
        <v>3708</v>
      </c>
      <c r="O233" s="1">
        <v>3770</v>
      </c>
      <c r="P233" s="1">
        <v>3801</v>
      </c>
      <c r="Q233" s="1">
        <v>3772</v>
      </c>
      <c r="R233" s="1">
        <v>3738</v>
      </c>
      <c r="S233" s="1">
        <v>3869</v>
      </c>
      <c r="T233" s="1">
        <v>3800</v>
      </c>
      <c r="U233" s="1">
        <v>4025</v>
      </c>
      <c r="V233" s="1">
        <v>4099</v>
      </c>
      <c r="W233" s="1">
        <v>4040</v>
      </c>
      <c r="X233" s="1">
        <v>3998</v>
      </c>
      <c r="Y233" s="1">
        <v>4143</v>
      </c>
      <c r="Z233" s="1">
        <v>4204</v>
      </c>
      <c r="AA233" s="1">
        <v>4187</v>
      </c>
      <c r="AB233" s="1">
        <v>4103</v>
      </c>
      <c r="AC233" s="1">
        <v>4038</v>
      </c>
      <c r="AD233" s="1">
        <v>4010</v>
      </c>
      <c r="AE233" s="1">
        <v>3932</v>
      </c>
      <c r="AF233" s="1">
        <v>3977</v>
      </c>
      <c r="AG233" s="1">
        <v>3873</v>
      </c>
      <c r="AH233" s="1">
        <v>3773</v>
      </c>
      <c r="AI233" s="1">
        <v>3870</v>
      </c>
      <c r="AJ233" s="1">
        <v>3923</v>
      </c>
      <c r="AK233" s="1">
        <v>3969</v>
      </c>
      <c r="AL233" s="1">
        <v>3924</v>
      </c>
      <c r="AM233" s="1">
        <v>3915</v>
      </c>
      <c r="AN233" s="1">
        <v>3945</v>
      </c>
      <c r="AO233" s="1">
        <v>3862</v>
      </c>
      <c r="AP233" s="1">
        <v>3818</v>
      </c>
      <c r="AQ233" s="1">
        <v>3645</v>
      </c>
      <c r="AR233" s="1">
        <v>3643</v>
      </c>
      <c r="AS233" s="1">
        <v>3643</v>
      </c>
      <c r="AT233" s="1">
        <v>3788</v>
      </c>
      <c r="AU233" s="1">
        <v>3805</v>
      </c>
      <c r="AV233" s="1">
        <v>3841</v>
      </c>
      <c r="AW233" s="1">
        <v>3680</v>
      </c>
      <c r="AX233" s="1">
        <v>3814</v>
      </c>
      <c r="AY233" s="1">
        <v>3663</v>
      </c>
      <c r="AZ233" s="1">
        <v>3654</v>
      </c>
      <c r="BA233" s="1">
        <v>3509</v>
      </c>
      <c r="BB233" s="1">
        <v>3491</v>
      </c>
      <c r="BC233" s="1">
        <v>3300</v>
      </c>
      <c r="BD233" s="1">
        <v>3135</v>
      </c>
      <c r="BE233" s="1">
        <v>3212</v>
      </c>
      <c r="BF233" s="1">
        <v>3195</v>
      </c>
      <c r="BG233" s="1">
        <v>3403</v>
      </c>
      <c r="BH233" s="1">
        <v>3486</v>
      </c>
      <c r="BI233" s="1">
        <v>3385</v>
      </c>
      <c r="BJ233" s="1">
        <v>3493</v>
      </c>
      <c r="BK233" s="1">
        <v>3487</v>
      </c>
      <c r="BL233" s="1">
        <v>3530</v>
      </c>
      <c r="BM233" s="1">
        <v>3545</v>
      </c>
      <c r="BN233" s="1">
        <v>3500</v>
      </c>
      <c r="BO233" s="1">
        <v>3723</v>
      </c>
      <c r="BP233" s="1">
        <v>3395</v>
      </c>
      <c r="BQ233" s="1">
        <v>3393</v>
      </c>
      <c r="BR233" s="1">
        <v>3042</v>
      </c>
      <c r="BS233" s="1">
        <v>3078</v>
      </c>
      <c r="BT233" s="1">
        <v>3113</v>
      </c>
      <c r="BU233" s="1">
        <v>3166</v>
      </c>
      <c r="BV233" s="1">
        <v>3156</v>
      </c>
      <c r="BW233" s="1">
        <v>3060</v>
      </c>
      <c r="BX233" s="1">
        <v>3072</v>
      </c>
      <c r="BY233" s="1">
        <v>3034</v>
      </c>
      <c r="BZ233" s="1">
        <v>3032</v>
      </c>
    </row>
    <row r="234" spans="1:254">
      <c r="A234" s="62" t="s">
        <v>447</v>
      </c>
      <c r="B234" s="1" t="str">
        <f>銘柄管理!C234</f>
        <v>ＴＤＫ</v>
      </c>
      <c r="C234" s="1">
        <f>_xll.RssMarket("6762","高値")</f>
        <v>3076</v>
      </c>
      <c r="E234" s="1">
        <v>3076</v>
      </c>
      <c r="F234" s="1">
        <v>3199</v>
      </c>
      <c r="G234" s="1">
        <v>3189</v>
      </c>
      <c r="H234" s="1">
        <v>3282</v>
      </c>
      <c r="I234" s="1">
        <v>3100</v>
      </c>
      <c r="J234" s="1">
        <v>2928.5</v>
      </c>
      <c r="K234" s="1">
        <v>2964.5</v>
      </c>
      <c r="L234" s="1">
        <v>2993</v>
      </c>
      <c r="M234" s="1">
        <v>3060</v>
      </c>
      <c r="N234" s="1">
        <v>3097</v>
      </c>
      <c r="O234" s="1">
        <v>3196</v>
      </c>
      <c r="P234" s="1">
        <v>3195</v>
      </c>
      <c r="Q234" s="1">
        <v>3085</v>
      </c>
      <c r="R234" s="1">
        <v>3024</v>
      </c>
      <c r="S234" s="1">
        <v>3273</v>
      </c>
      <c r="T234" s="1">
        <v>3265</v>
      </c>
      <c r="U234" s="1">
        <v>3402</v>
      </c>
      <c r="V234" s="1">
        <v>3460</v>
      </c>
      <c r="W234" s="1">
        <v>3422</v>
      </c>
      <c r="X234" s="1">
        <v>3440</v>
      </c>
      <c r="Y234" s="1">
        <v>3513</v>
      </c>
      <c r="Z234" s="1">
        <v>3705</v>
      </c>
      <c r="AA234" s="1">
        <v>3736</v>
      </c>
      <c r="AB234" s="1">
        <v>3768</v>
      </c>
      <c r="AC234" s="1">
        <v>3762</v>
      </c>
      <c r="AD234" s="1">
        <v>3665</v>
      </c>
      <c r="AE234" s="1">
        <v>3615</v>
      </c>
      <c r="AF234" s="1">
        <v>3831</v>
      </c>
      <c r="AG234" s="1">
        <v>3933</v>
      </c>
      <c r="AH234" s="1">
        <v>3957</v>
      </c>
      <c r="AI234" s="1">
        <v>4189</v>
      </c>
      <c r="AJ234" s="1">
        <v>4123</v>
      </c>
      <c r="AK234" s="1">
        <v>3995</v>
      </c>
      <c r="AL234" s="1">
        <v>4094</v>
      </c>
      <c r="AM234" s="1">
        <v>3888</v>
      </c>
      <c r="AN234" s="1">
        <v>3962</v>
      </c>
      <c r="AO234" s="1">
        <v>3928</v>
      </c>
      <c r="AP234" s="1">
        <v>3756</v>
      </c>
      <c r="AQ234" s="1">
        <v>3575</v>
      </c>
      <c r="AR234" s="1">
        <v>3833</v>
      </c>
      <c r="AS234" s="1">
        <v>3824</v>
      </c>
      <c r="AT234" s="1">
        <v>4174</v>
      </c>
      <c r="AU234" s="1">
        <v>3995</v>
      </c>
      <c r="AV234" s="1">
        <v>4068</v>
      </c>
      <c r="AW234" s="1">
        <v>4095</v>
      </c>
      <c r="AX234" s="1">
        <v>4200</v>
      </c>
      <c r="AY234" s="1">
        <v>3911</v>
      </c>
      <c r="AZ234" s="1">
        <v>3803</v>
      </c>
      <c r="BA234" s="1">
        <v>3795</v>
      </c>
      <c r="BB234" s="1">
        <v>3383</v>
      </c>
      <c r="BC234" s="1">
        <v>3236</v>
      </c>
      <c r="BD234" s="1">
        <v>2959</v>
      </c>
      <c r="BE234" s="1">
        <v>3026</v>
      </c>
      <c r="BF234" s="1">
        <v>3019</v>
      </c>
      <c r="BG234" s="1">
        <v>3185</v>
      </c>
      <c r="BH234" s="1">
        <v>3118</v>
      </c>
      <c r="BI234" s="1">
        <v>2949.5</v>
      </c>
      <c r="BJ234" s="1">
        <v>2984</v>
      </c>
      <c r="BK234" s="1">
        <v>3015</v>
      </c>
      <c r="BL234" s="1">
        <v>2996.5</v>
      </c>
      <c r="BM234" s="1">
        <v>2955.5</v>
      </c>
      <c r="BN234" s="1">
        <v>2956</v>
      </c>
      <c r="BO234" s="1">
        <v>2985</v>
      </c>
      <c r="BP234" s="1">
        <v>2752.5</v>
      </c>
      <c r="BQ234" s="1">
        <v>2768</v>
      </c>
      <c r="BR234" s="1">
        <v>2765.5</v>
      </c>
      <c r="BS234" s="1">
        <v>2772</v>
      </c>
      <c r="BT234" s="1">
        <v>2725</v>
      </c>
      <c r="BU234" s="1">
        <v>2576</v>
      </c>
      <c r="BV234" s="1">
        <v>2621</v>
      </c>
      <c r="BW234" s="1">
        <v>2632.5</v>
      </c>
      <c r="BX234" s="1">
        <v>2548.5</v>
      </c>
      <c r="BY234" s="1">
        <v>2308</v>
      </c>
      <c r="BZ234" s="1">
        <v>2310</v>
      </c>
    </row>
    <row r="235" spans="1:254">
      <c r="A235" s="62" t="s">
        <v>448</v>
      </c>
      <c r="B235" s="1" t="str">
        <f>銘柄管理!C235</f>
        <v>ＦＩＧ</v>
      </c>
      <c r="C235" s="1">
        <f>_xll.RssMarket("4392","高値")</f>
        <v>956</v>
      </c>
      <c r="E235" s="1">
        <v>956</v>
      </c>
      <c r="F235" s="1">
        <v>941</v>
      </c>
      <c r="G235" s="1">
        <v>884</v>
      </c>
      <c r="H235" s="1">
        <v>866</v>
      </c>
      <c r="I235" s="1">
        <v>907</v>
      </c>
      <c r="J235" s="1">
        <v>855</v>
      </c>
      <c r="K235" s="1">
        <v>907</v>
      </c>
      <c r="L235" s="1">
        <v>933</v>
      </c>
      <c r="M235" s="1">
        <v>1024</v>
      </c>
      <c r="N235" s="1">
        <v>1047</v>
      </c>
      <c r="O235" s="1">
        <v>1098</v>
      </c>
      <c r="P235" s="1">
        <v>1150</v>
      </c>
      <c r="Q235" s="1">
        <v>1082</v>
      </c>
      <c r="R235" s="1">
        <v>1104</v>
      </c>
      <c r="S235" s="1">
        <v>1138</v>
      </c>
      <c r="T235" s="1">
        <v>1038</v>
      </c>
      <c r="U235" s="1">
        <v>1115</v>
      </c>
      <c r="V235" s="1">
        <v>1135</v>
      </c>
      <c r="W235" s="1">
        <v>1110</v>
      </c>
      <c r="X235" s="1">
        <v>1105</v>
      </c>
      <c r="Y235" s="1">
        <v>1155</v>
      </c>
      <c r="Z235" s="1">
        <v>1220</v>
      </c>
      <c r="AA235" s="1">
        <v>1185</v>
      </c>
      <c r="AB235" s="1">
        <v>1162</v>
      </c>
      <c r="AC235" s="1">
        <v>1170</v>
      </c>
      <c r="AD235" s="1">
        <v>1142</v>
      </c>
      <c r="AE235" s="1">
        <v>1152</v>
      </c>
      <c r="AF235" s="1">
        <v>1132</v>
      </c>
      <c r="AG235" s="1">
        <v>1230</v>
      </c>
      <c r="AH235" s="1">
        <v>1220</v>
      </c>
      <c r="AI235" s="1">
        <v>1209</v>
      </c>
      <c r="AJ235" s="1">
        <v>1294</v>
      </c>
      <c r="AK235" s="1">
        <v>1305</v>
      </c>
      <c r="AL235" s="1">
        <v>1358</v>
      </c>
      <c r="AM235" s="1">
        <v>1295</v>
      </c>
      <c r="AN235" s="1">
        <v>1320</v>
      </c>
      <c r="AO235" s="1">
        <v>1456</v>
      </c>
      <c r="AP235" s="1">
        <v>1532</v>
      </c>
      <c r="AQ235" s="1">
        <v>1771</v>
      </c>
      <c r="AR235" s="1">
        <v>1693</v>
      </c>
      <c r="AS235" s="1">
        <v>1650</v>
      </c>
      <c r="AT235" s="1">
        <v>1546</v>
      </c>
      <c r="AU235" s="1">
        <v>1597</v>
      </c>
      <c r="AV235" s="1">
        <v>1707</v>
      </c>
      <c r="AW235" s="1">
        <v>1915</v>
      </c>
      <c r="AX235" s="1">
        <v>2200</v>
      </c>
      <c r="AY235" s="1">
        <v>2458</v>
      </c>
      <c r="AZ235" s="1">
        <v>3075</v>
      </c>
      <c r="BA235" s="1">
        <v>2185</v>
      </c>
      <c r="BB235" s="1">
        <v>2045</v>
      </c>
      <c r="BC235" s="1">
        <v>1981</v>
      </c>
      <c r="BD235" s="1">
        <v>1966</v>
      </c>
      <c r="BE235" s="1">
        <v>1360</v>
      </c>
      <c r="BF235" s="1">
        <v>1060</v>
      </c>
      <c r="BG235" s="1">
        <v>910</v>
      </c>
      <c r="BH235" s="1">
        <v>880</v>
      </c>
      <c r="BI235" s="1">
        <v>840</v>
      </c>
      <c r="BJ235" s="1">
        <v>874</v>
      </c>
      <c r="BK235" s="1">
        <v>509</v>
      </c>
      <c r="BL235" s="1">
        <v>429</v>
      </c>
      <c r="BM235" s="1">
        <v>354</v>
      </c>
      <c r="BN235" s="1">
        <v>346</v>
      </c>
      <c r="BO235" s="1">
        <v>352</v>
      </c>
      <c r="BP235" s="1">
        <v>367</v>
      </c>
      <c r="BQ235" s="1">
        <v>360</v>
      </c>
      <c r="BR235" s="1">
        <v>352</v>
      </c>
      <c r="BS235" s="1">
        <v>360</v>
      </c>
      <c r="BT235" s="1">
        <v>355</v>
      </c>
      <c r="BU235" s="1">
        <v>351</v>
      </c>
      <c r="BV235" s="1">
        <v>339</v>
      </c>
      <c r="BW235" s="1">
        <v>330</v>
      </c>
      <c r="BX235" s="1">
        <v>331</v>
      </c>
      <c r="BY235" s="1">
        <v>327</v>
      </c>
      <c r="BZ235" s="1">
        <v>326</v>
      </c>
    </row>
    <row r="236" spans="1:254">
      <c r="A236" s="62" t="s">
        <v>449</v>
      </c>
      <c r="B236" s="1" t="str">
        <f>銘柄管理!C236</f>
        <v>スクロール</v>
      </c>
      <c r="C236" s="1">
        <f>_xll.RssMarket("8005","高値")</f>
        <v>1843</v>
      </c>
      <c r="E236" s="1">
        <v>1843</v>
      </c>
      <c r="F236" s="1">
        <v>1846</v>
      </c>
      <c r="G236" s="1">
        <v>1864</v>
      </c>
      <c r="H236" s="1">
        <v>1849</v>
      </c>
      <c r="I236" s="1">
        <v>1718</v>
      </c>
      <c r="J236" s="1">
        <v>1730</v>
      </c>
      <c r="K236" s="1">
        <v>1744</v>
      </c>
      <c r="L236" s="1">
        <v>1724</v>
      </c>
      <c r="M236" s="1">
        <v>1717</v>
      </c>
      <c r="N236" s="1">
        <v>1707</v>
      </c>
      <c r="O236" s="1">
        <v>1719</v>
      </c>
      <c r="P236" s="1">
        <v>1744</v>
      </c>
      <c r="Q236" s="1">
        <v>1742</v>
      </c>
      <c r="R236" s="1">
        <v>1739</v>
      </c>
      <c r="S236" s="1">
        <v>1747</v>
      </c>
      <c r="T236" s="1">
        <v>1744</v>
      </c>
      <c r="U236" s="1">
        <v>1732</v>
      </c>
      <c r="V236" s="1">
        <v>1722</v>
      </c>
      <c r="W236" s="1">
        <v>1720</v>
      </c>
      <c r="X236" s="1">
        <v>1737</v>
      </c>
      <c r="Y236" s="1">
        <v>1720</v>
      </c>
      <c r="Z236" s="1">
        <v>1706</v>
      </c>
      <c r="AA236" s="1">
        <v>1687</v>
      </c>
      <c r="AB236" s="1">
        <v>1645</v>
      </c>
      <c r="AC236" s="1">
        <v>1631</v>
      </c>
      <c r="AD236" s="1">
        <v>1647</v>
      </c>
      <c r="AE236" s="1">
        <v>1655</v>
      </c>
      <c r="AF236" s="1">
        <v>1652</v>
      </c>
      <c r="AG236" s="1">
        <v>1652</v>
      </c>
      <c r="AH236" s="1">
        <v>1649</v>
      </c>
      <c r="AI236" s="1">
        <v>1645</v>
      </c>
      <c r="AJ236" s="1">
        <v>1644</v>
      </c>
      <c r="AK236" s="1">
        <v>1656</v>
      </c>
      <c r="AL236" s="1">
        <v>1669</v>
      </c>
      <c r="AM236" s="1">
        <v>1657</v>
      </c>
      <c r="AN236" s="1">
        <v>1638</v>
      </c>
      <c r="AO236" s="1">
        <v>1631</v>
      </c>
      <c r="AP236" s="1">
        <v>1630</v>
      </c>
      <c r="AQ236" s="1">
        <v>1639</v>
      </c>
      <c r="AR236" s="1">
        <v>1642</v>
      </c>
      <c r="AS236" s="1">
        <v>1627</v>
      </c>
      <c r="AT236" s="1">
        <v>1644</v>
      </c>
      <c r="AU236" s="1">
        <v>1649</v>
      </c>
      <c r="AV236" s="1">
        <v>1655</v>
      </c>
      <c r="AW236" s="1">
        <v>1676</v>
      </c>
      <c r="AX236" s="1">
        <v>1667</v>
      </c>
      <c r="AY236" s="1">
        <v>1639</v>
      </c>
      <c r="AZ236" s="1">
        <v>1642</v>
      </c>
      <c r="BA236" s="1">
        <v>1645</v>
      </c>
      <c r="BB236" s="1">
        <v>1651</v>
      </c>
      <c r="BC236" s="1">
        <v>1670</v>
      </c>
      <c r="BD236" s="1">
        <v>1669</v>
      </c>
      <c r="BE236" s="1">
        <v>1685</v>
      </c>
      <c r="BF236" s="1">
        <v>1662</v>
      </c>
      <c r="BG236" s="1">
        <v>1664</v>
      </c>
      <c r="BH236" s="1">
        <v>1644</v>
      </c>
      <c r="BI236" s="1">
        <v>1678</v>
      </c>
      <c r="BJ236" s="1">
        <v>1705</v>
      </c>
      <c r="BK236" s="1">
        <v>1805</v>
      </c>
      <c r="BL236" s="1">
        <v>1597</v>
      </c>
      <c r="BM236" s="1">
        <v>1330</v>
      </c>
      <c r="BN236" s="1">
        <v>1322</v>
      </c>
      <c r="BO236" s="1">
        <v>1326</v>
      </c>
      <c r="BP236" s="1">
        <v>1333</v>
      </c>
      <c r="BQ236" s="1">
        <v>1327</v>
      </c>
      <c r="BR236" s="1">
        <v>1322</v>
      </c>
      <c r="BS236" s="1">
        <v>1324</v>
      </c>
      <c r="BT236" s="1">
        <v>1345</v>
      </c>
      <c r="BU236" s="1">
        <v>1365</v>
      </c>
      <c r="BV236" s="1">
        <v>1357</v>
      </c>
      <c r="BW236" s="1">
        <v>1360</v>
      </c>
      <c r="BX236" s="1">
        <v>1363</v>
      </c>
      <c r="BY236" s="1">
        <v>1345</v>
      </c>
      <c r="BZ236" s="1">
        <v>1322</v>
      </c>
    </row>
    <row r="237" spans="1:254">
      <c r="A237" s="62" t="s">
        <v>450</v>
      </c>
      <c r="B237" s="1" t="str">
        <f>銘柄管理!C237</f>
        <v>デジタルアーツ</v>
      </c>
      <c r="C237" s="1">
        <f>_xll.RssMarket("2326","高値")</f>
        <v>4545</v>
      </c>
      <c r="E237" s="1">
        <v>4545</v>
      </c>
      <c r="F237" s="1">
        <v>4390</v>
      </c>
      <c r="G237" s="1">
        <v>4475</v>
      </c>
      <c r="H237" s="1">
        <v>4295</v>
      </c>
      <c r="I237" s="1">
        <v>4090</v>
      </c>
      <c r="J237" s="1">
        <v>4220</v>
      </c>
      <c r="K237" s="1">
        <v>4185</v>
      </c>
      <c r="L237" s="1">
        <v>4130</v>
      </c>
      <c r="M237" s="1">
        <v>4050</v>
      </c>
      <c r="N237" s="1">
        <v>4005</v>
      </c>
      <c r="O237" s="1">
        <v>4040</v>
      </c>
      <c r="P237" s="1">
        <v>4065</v>
      </c>
      <c r="Q237" s="1">
        <v>4175</v>
      </c>
      <c r="R237" s="1">
        <v>4060</v>
      </c>
      <c r="S237" s="1">
        <v>4035</v>
      </c>
      <c r="T237" s="1">
        <v>4065</v>
      </c>
      <c r="U237" s="1">
        <v>4000</v>
      </c>
      <c r="V237" s="1">
        <v>3995</v>
      </c>
      <c r="W237" s="1">
        <v>3935</v>
      </c>
      <c r="X237" s="1">
        <v>3970</v>
      </c>
      <c r="Y237" s="1">
        <v>3960</v>
      </c>
      <c r="Z237" s="1">
        <v>3915</v>
      </c>
      <c r="AA237" s="1">
        <v>3915</v>
      </c>
      <c r="AB237" s="1">
        <v>3805</v>
      </c>
      <c r="AC237" s="1">
        <v>3720</v>
      </c>
      <c r="AD237" s="1">
        <v>3740</v>
      </c>
      <c r="AE237" s="1">
        <v>3720</v>
      </c>
      <c r="AF237" s="1">
        <v>3635</v>
      </c>
      <c r="AG237" s="1">
        <v>3610</v>
      </c>
      <c r="AH237" s="1">
        <v>3595</v>
      </c>
      <c r="AI237" s="1">
        <v>3610</v>
      </c>
      <c r="AJ237" s="1">
        <v>3625</v>
      </c>
      <c r="AK237" s="1">
        <v>3620</v>
      </c>
      <c r="AL237" s="1">
        <v>3655</v>
      </c>
      <c r="AM237" s="1">
        <v>3650</v>
      </c>
      <c r="AN237" s="1">
        <v>3620</v>
      </c>
      <c r="AO237" s="1">
        <v>3660</v>
      </c>
      <c r="AP237" s="1">
        <v>3610</v>
      </c>
      <c r="AQ237" s="1">
        <v>3675</v>
      </c>
      <c r="AR237" s="1">
        <v>3700</v>
      </c>
      <c r="AS237" s="1">
        <v>3845</v>
      </c>
      <c r="AT237" s="1">
        <v>3880</v>
      </c>
      <c r="AU237" s="1">
        <v>3735</v>
      </c>
      <c r="AV237" s="1">
        <v>3745</v>
      </c>
      <c r="AW237" s="1">
        <v>3865</v>
      </c>
      <c r="AX237" s="1">
        <v>4090</v>
      </c>
      <c r="AY237" s="1">
        <v>4085</v>
      </c>
      <c r="AZ237" s="1">
        <v>4160</v>
      </c>
      <c r="BA237" s="1">
        <v>4185</v>
      </c>
      <c r="BB237" s="1">
        <v>4150</v>
      </c>
      <c r="BC237" s="1">
        <v>4165</v>
      </c>
      <c r="BD237" s="1">
        <v>4295</v>
      </c>
      <c r="BE237" s="1">
        <v>4420</v>
      </c>
      <c r="BF237" s="1">
        <v>4290</v>
      </c>
      <c r="BG237" s="1">
        <v>4240</v>
      </c>
      <c r="BH237" s="1">
        <v>4035</v>
      </c>
      <c r="BI237" s="1">
        <v>4150</v>
      </c>
      <c r="BJ237" s="1">
        <v>4155</v>
      </c>
      <c r="BK237" s="1">
        <v>4315</v>
      </c>
      <c r="BL237" s="1">
        <v>4940</v>
      </c>
      <c r="BM237" s="1">
        <v>5990</v>
      </c>
      <c r="BN237" s="1">
        <v>5640</v>
      </c>
      <c r="BO237" s="1">
        <v>5620</v>
      </c>
      <c r="BP237" s="1">
        <v>5550</v>
      </c>
      <c r="BQ237" s="1">
        <v>5570</v>
      </c>
      <c r="BR237" s="1">
        <v>5640</v>
      </c>
      <c r="BS237" s="1">
        <v>6010</v>
      </c>
      <c r="BT237" s="1">
        <v>6120</v>
      </c>
      <c r="BU237" s="1">
        <v>6020</v>
      </c>
      <c r="BV237" s="1">
        <v>6000</v>
      </c>
      <c r="BW237" s="1">
        <v>5880</v>
      </c>
      <c r="BX237" s="1">
        <v>5920</v>
      </c>
      <c r="BY237" s="1">
        <v>5630</v>
      </c>
      <c r="BZ237" s="1">
        <v>5620</v>
      </c>
    </row>
    <row r="238" spans="1:254">
      <c r="A238" s="62" t="s">
        <v>451</v>
      </c>
      <c r="B238" s="1" t="str">
        <f>銘柄管理!C238</f>
        <v>ＴＯＡ</v>
      </c>
      <c r="C238" s="1">
        <f>_xll.RssMarket("6809","高値")</f>
        <v>1672</v>
      </c>
      <c r="E238" s="1">
        <v>1672</v>
      </c>
      <c r="F238" s="1">
        <v>1664</v>
      </c>
      <c r="G238" s="1">
        <v>1625</v>
      </c>
      <c r="H238" s="1">
        <v>1621</v>
      </c>
      <c r="I238" s="1">
        <v>1641</v>
      </c>
      <c r="J238" s="1">
        <v>1642</v>
      </c>
      <c r="K238" s="1">
        <v>1645</v>
      </c>
      <c r="L238" s="1">
        <v>1645</v>
      </c>
      <c r="M238" s="1">
        <v>1642</v>
      </c>
      <c r="O238" s="1">
        <v>1630</v>
      </c>
      <c r="P238" s="1">
        <v>1634</v>
      </c>
      <c r="Q238" s="1">
        <v>1623</v>
      </c>
      <c r="R238" s="1">
        <v>1591</v>
      </c>
      <c r="S238" s="1">
        <v>1617</v>
      </c>
      <c r="T238" s="1">
        <v>1620</v>
      </c>
      <c r="U238" s="1">
        <v>1619</v>
      </c>
      <c r="V238" s="1">
        <v>1628</v>
      </c>
      <c r="W238" s="1">
        <v>1632</v>
      </c>
      <c r="X238" s="1">
        <v>1645</v>
      </c>
      <c r="Y238" s="1">
        <v>1654</v>
      </c>
      <c r="Z238" s="1">
        <v>1633</v>
      </c>
      <c r="AA238" s="1">
        <v>1603</v>
      </c>
      <c r="AB238" s="1">
        <v>1578</v>
      </c>
      <c r="AC238" s="1">
        <v>1569</v>
      </c>
      <c r="AD238" s="1">
        <v>1579</v>
      </c>
      <c r="AE238" s="1">
        <v>1604</v>
      </c>
      <c r="AF238" s="1">
        <v>1586</v>
      </c>
      <c r="AG238" s="1">
        <v>1584</v>
      </c>
      <c r="AH238" s="1">
        <v>1573</v>
      </c>
      <c r="AI238" s="1">
        <v>1567</v>
      </c>
      <c r="AJ238" s="1">
        <v>1574</v>
      </c>
      <c r="AK238" s="1">
        <v>1579</v>
      </c>
      <c r="AL238" s="1">
        <v>1577</v>
      </c>
      <c r="AM238" s="1">
        <v>1583</v>
      </c>
      <c r="AN238" s="1">
        <v>1565</v>
      </c>
      <c r="AO238" s="1">
        <v>1580</v>
      </c>
      <c r="AP238" s="1">
        <v>1562</v>
      </c>
      <c r="AQ238" s="1">
        <v>1563</v>
      </c>
      <c r="AR238" s="1">
        <v>1586</v>
      </c>
      <c r="AS238" s="1">
        <v>1553</v>
      </c>
      <c r="AT238" s="1">
        <v>1582</v>
      </c>
      <c r="AU238" s="1">
        <v>1555</v>
      </c>
      <c r="AV238" s="1">
        <v>1560</v>
      </c>
      <c r="AW238" s="1">
        <v>1558</v>
      </c>
      <c r="AX238" s="1">
        <v>1568</v>
      </c>
      <c r="AY238" s="1">
        <v>1549</v>
      </c>
      <c r="AZ238" s="1">
        <v>1563</v>
      </c>
      <c r="BA238" s="1">
        <v>1582</v>
      </c>
      <c r="BB238" s="1">
        <v>1559</v>
      </c>
      <c r="BC238" s="1">
        <v>1550</v>
      </c>
      <c r="BD238" s="1">
        <v>1602</v>
      </c>
      <c r="BE238" s="1">
        <v>1599</v>
      </c>
      <c r="BF238" s="1">
        <v>1598</v>
      </c>
      <c r="BG238" s="1">
        <v>1614</v>
      </c>
      <c r="BH238" s="1">
        <v>1585</v>
      </c>
      <c r="BI238" s="1">
        <v>1584</v>
      </c>
      <c r="BJ238" s="1">
        <v>1575</v>
      </c>
      <c r="BK238" s="1">
        <v>1600</v>
      </c>
      <c r="BL238" s="1">
        <v>1608</v>
      </c>
      <c r="BM238" s="1">
        <v>1805</v>
      </c>
      <c r="BN238" s="1">
        <v>1756</v>
      </c>
      <c r="BO238" s="1">
        <v>1730</v>
      </c>
      <c r="BP238" s="1">
        <v>1744</v>
      </c>
      <c r="BQ238" s="1">
        <v>1734</v>
      </c>
      <c r="BR238" s="1">
        <v>1757</v>
      </c>
      <c r="BS238" s="1">
        <v>1761</v>
      </c>
      <c r="BT238" s="1">
        <v>1786</v>
      </c>
      <c r="BU238" s="1">
        <v>1790</v>
      </c>
      <c r="BV238" s="1">
        <v>1807</v>
      </c>
      <c r="BW238" s="1">
        <v>1792</v>
      </c>
      <c r="BX238" s="1">
        <v>1796</v>
      </c>
      <c r="BY238" s="1">
        <v>1817</v>
      </c>
      <c r="BZ238" s="1">
        <v>1806</v>
      </c>
    </row>
    <row r="239" spans="1:254">
      <c r="A239" s="62" t="s">
        <v>452</v>
      </c>
      <c r="B239" s="1" t="str">
        <f>銘柄管理!C239</f>
        <v>ユーザーローカル</v>
      </c>
      <c r="C239" s="1">
        <f>_xll.RssMarket("3984","高値")</f>
        <v>1880</v>
      </c>
      <c r="E239" s="1">
        <v>1880</v>
      </c>
      <c r="F239" s="1">
        <v>1854</v>
      </c>
      <c r="G239" s="1">
        <v>1830</v>
      </c>
      <c r="H239" s="1">
        <v>1808</v>
      </c>
      <c r="I239" s="1">
        <v>1831</v>
      </c>
      <c r="J239" s="1">
        <v>1809</v>
      </c>
      <c r="K239" s="1">
        <v>1810</v>
      </c>
      <c r="L239" s="1">
        <v>1814</v>
      </c>
      <c r="M239" s="1">
        <v>1805</v>
      </c>
      <c r="O239" s="1">
        <v>1776</v>
      </c>
      <c r="P239" s="1">
        <v>1811</v>
      </c>
      <c r="Q239" s="1">
        <v>1812</v>
      </c>
      <c r="R239" s="1">
        <v>1822</v>
      </c>
      <c r="S239" s="1">
        <v>1835</v>
      </c>
      <c r="T239" s="1">
        <v>1830</v>
      </c>
      <c r="U239" s="1">
        <v>1822</v>
      </c>
      <c r="V239" s="1">
        <v>1803</v>
      </c>
      <c r="W239" s="1">
        <v>1788</v>
      </c>
      <c r="X239" s="1">
        <v>1784</v>
      </c>
      <c r="Y239" s="1">
        <v>1812</v>
      </c>
      <c r="Z239" s="1">
        <v>1815</v>
      </c>
      <c r="AA239" s="1">
        <v>1793</v>
      </c>
      <c r="AB239" s="1">
        <v>1750</v>
      </c>
      <c r="AC239" s="1">
        <v>1717</v>
      </c>
      <c r="AD239" s="1">
        <v>1662</v>
      </c>
      <c r="AE239" s="1">
        <v>1645</v>
      </c>
      <c r="AF239" s="1">
        <v>1645</v>
      </c>
      <c r="AG239" s="1">
        <v>1700</v>
      </c>
      <c r="AH239" s="1">
        <v>1715</v>
      </c>
      <c r="AI239" s="1">
        <v>1750</v>
      </c>
      <c r="AJ239" s="1">
        <v>1753</v>
      </c>
      <c r="AK239" s="1">
        <v>1810</v>
      </c>
      <c r="AL239" s="1">
        <v>1828</v>
      </c>
      <c r="AM239" s="1">
        <v>1828</v>
      </c>
      <c r="AN239" s="1">
        <v>1785</v>
      </c>
      <c r="AO239" s="1">
        <v>1794</v>
      </c>
      <c r="AP239" s="1">
        <v>1844</v>
      </c>
      <c r="AQ239" s="1">
        <v>1800</v>
      </c>
      <c r="AR239" s="1">
        <v>1836</v>
      </c>
      <c r="AS239" s="1">
        <v>1890</v>
      </c>
      <c r="AT239" s="1">
        <v>1915</v>
      </c>
      <c r="AU239" s="1">
        <v>1826</v>
      </c>
      <c r="AV239" s="1">
        <v>1824</v>
      </c>
      <c r="AW239" s="1">
        <v>1834</v>
      </c>
      <c r="AX239" s="1">
        <v>1767</v>
      </c>
      <c r="AY239" s="1">
        <v>1708</v>
      </c>
      <c r="AZ239" s="1">
        <v>1732</v>
      </c>
      <c r="BA239" s="1">
        <v>1797</v>
      </c>
      <c r="BB239" s="1">
        <v>1796</v>
      </c>
      <c r="BC239" s="1">
        <v>1783</v>
      </c>
      <c r="BD239" s="1">
        <v>1778</v>
      </c>
      <c r="BE239" s="1">
        <v>1746</v>
      </c>
      <c r="BF239" s="1">
        <v>1730</v>
      </c>
      <c r="BG239" s="1">
        <v>1732</v>
      </c>
      <c r="BH239" s="1">
        <v>1745</v>
      </c>
      <c r="BI239" s="1">
        <v>1753</v>
      </c>
      <c r="BJ239" s="1">
        <v>1807</v>
      </c>
      <c r="BK239" s="1">
        <v>1845</v>
      </c>
      <c r="BL239" s="1">
        <v>1833</v>
      </c>
      <c r="BM239" s="1">
        <v>1605</v>
      </c>
      <c r="BN239" s="1">
        <v>1549</v>
      </c>
      <c r="BO239" s="1">
        <v>1566</v>
      </c>
      <c r="BP239" s="1">
        <v>1563</v>
      </c>
      <c r="BQ239" s="1">
        <v>1589</v>
      </c>
      <c r="BR239" s="1">
        <v>1579</v>
      </c>
      <c r="BS239" s="1">
        <v>1605</v>
      </c>
      <c r="BT239" s="1">
        <v>1629</v>
      </c>
      <c r="BU239" s="1">
        <v>1600</v>
      </c>
      <c r="BV239" s="1">
        <v>1575</v>
      </c>
      <c r="BW239" s="1">
        <v>1600</v>
      </c>
      <c r="BX239" s="1">
        <v>1583</v>
      </c>
      <c r="BY239" s="1">
        <v>1517</v>
      </c>
      <c r="BZ239" s="1">
        <v>1504</v>
      </c>
    </row>
    <row r="240" spans="1:254">
      <c r="A240" s="62" t="s">
        <v>453</v>
      </c>
      <c r="B240" s="1" t="str">
        <f>銘柄管理!C240</f>
        <v>ダイトロン</v>
      </c>
      <c r="C240" s="1">
        <f>_xll.RssMarket("7609","高値")</f>
        <v>4300</v>
      </c>
      <c r="E240" s="1">
        <v>4300</v>
      </c>
      <c r="F240" s="1">
        <v>4390</v>
      </c>
      <c r="G240" s="1">
        <v>4280</v>
      </c>
      <c r="H240" s="1">
        <v>3630</v>
      </c>
      <c r="I240" s="1">
        <v>3365</v>
      </c>
      <c r="J240" s="1">
        <v>3170</v>
      </c>
      <c r="K240" s="1">
        <v>3275</v>
      </c>
      <c r="L240" s="1">
        <v>3350</v>
      </c>
      <c r="M240" s="1">
        <v>3520</v>
      </c>
      <c r="O240" s="1">
        <v>3600</v>
      </c>
      <c r="P240" s="1">
        <v>3610</v>
      </c>
      <c r="Q240" s="1">
        <v>3440</v>
      </c>
      <c r="R240" s="1">
        <v>3370</v>
      </c>
      <c r="S240" s="1">
        <v>3505</v>
      </c>
      <c r="T240" s="1">
        <v>3390</v>
      </c>
      <c r="U240" s="1">
        <v>3590</v>
      </c>
      <c r="V240" s="1">
        <v>3565</v>
      </c>
      <c r="W240" s="1">
        <v>3500</v>
      </c>
      <c r="X240" s="1">
        <v>3515</v>
      </c>
      <c r="Y240" s="1">
        <v>3640</v>
      </c>
      <c r="Z240" s="1">
        <v>3710</v>
      </c>
      <c r="AA240" s="1">
        <v>3670</v>
      </c>
      <c r="AB240" s="1">
        <v>3735</v>
      </c>
      <c r="AC240" s="1">
        <v>3795</v>
      </c>
      <c r="AD240" s="1">
        <v>3720</v>
      </c>
      <c r="AE240" s="1">
        <v>3710</v>
      </c>
      <c r="AF240" s="1">
        <v>3795</v>
      </c>
      <c r="AG240" s="1">
        <v>3835</v>
      </c>
      <c r="AH240" s="1">
        <v>3865</v>
      </c>
      <c r="AI240" s="1">
        <v>3960</v>
      </c>
      <c r="AJ240" s="1">
        <v>3990</v>
      </c>
      <c r="AK240" s="1">
        <v>3930</v>
      </c>
      <c r="AL240" s="1">
        <v>3885</v>
      </c>
      <c r="AM240" s="1">
        <v>3650</v>
      </c>
      <c r="AN240" s="1">
        <v>3630</v>
      </c>
      <c r="AO240" s="1">
        <v>3640</v>
      </c>
      <c r="AP240" s="1">
        <v>3540</v>
      </c>
      <c r="AQ240" s="1">
        <v>3435</v>
      </c>
      <c r="AR240" s="1">
        <v>3560</v>
      </c>
      <c r="AS240" s="1">
        <v>3650</v>
      </c>
      <c r="AT240" s="1">
        <v>3785</v>
      </c>
      <c r="AU240" s="1">
        <v>3795</v>
      </c>
      <c r="AV240" s="1">
        <v>3730</v>
      </c>
      <c r="AW240" s="1">
        <v>3615</v>
      </c>
      <c r="AX240" s="1">
        <v>3655</v>
      </c>
      <c r="AY240" s="1">
        <v>3580</v>
      </c>
      <c r="AZ240" s="1">
        <v>3700</v>
      </c>
      <c r="BA240" s="1">
        <v>3690</v>
      </c>
      <c r="BB240" s="1">
        <v>3680</v>
      </c>
      <c r="BC240" s="1">
        <v>3625</v>
      </c>
      <c r="BD240" s="1">
        <v>3535</v>
      </c>
      <c r="BE240" s="1">
        <v>3875</v>
      </c>
      <c r="BF240" s="1">
        <v>3910</v>
      </c>
      <c r="BG240" s="1">
        <v>4075</v>
      </c>
      <c r="BH240" s="1">
        <v>4090</v>
      </c>
      <c r="BI240" s="1">
        <v>3895</v>
      </c>
      <c r="BJ240" s="1">
        <v>3985</v>
      </c>
      <c r="BK240" s="1">
        <v>4015</v>
      </c>
      <c r="BL240" s="1">
        <v>3975</v>
      </c>
      <c r="BM240" s="1">
        <v>3420</v>
      </c>
      <c r="BN240" s="1">
        <v>3205</v>
      </c>
      <c r="BO240" s="1">
        <v>2941</v>
      </c>
      <c r="BP240" s="1">
        <v>2908</v>
      </c>
      <c r="BQ240" s="1">
        <v>2917</v>
      </c>
      <c r="BR240" s="1">
        <v>2906</v>
      </c>
      <c r="BS240" s="1">
        <v>2864</v>
      </c>
      <c r="BT240" s="1">
        <v>2882</v>
      </c>
      <c r="BU240" s="1">
        <v>2912</v>
      </c>
      <c r="BV240" s="1">
        <v>2886</v>
      </c>
      <c r="BW240" s="1">
        <v>2957</v>
      </c>
      <c r="BX240" s="1">
        <v>2961</v>
      </c>
      <c r="BY240" s="1">
        <v>2987</v>
      </c>
      <c r="BZ240" s="1">
        <v>2930</v>
      </c>
    </row>
    <row r="241" spans="1:254">
      <c r="A241" s="62" t="s">
        <v>454</v>
      </c>
      <c r="B241" s="1" t="str">
        <f>銘柄管理!C241</f>
        <v>イトーキ</v>
      </c>
      <c r="C241" s="1">
        <f>_xll.RssMarket("7972","高値")</f>
        <v>2933</v>
      </c>
      <c r="E241" s="1">
        <v>2933</v>
      </c>
      <c r="F241" s="1">
        <v>2920</v>
      </c>
      <c r="G241" s="1">
        <v>2925</v>
      </c>
      <c r="H241" s="1">
        <v>2940</v>
      </c>
      <c r="I241" s="1">
        <v>2971</v>
      </c>
      <c r="J241" s="1">
        <v>2918</v>
      </c>
      <c r="K241" s="1">
        <v>2944</v>
      </c>
      <c r="L241" s="1">
        <v>2954</v>
      </c>
      <c r="M241" s="1">
        <v>2946</v>
      </c>
      <c r="N241" s="1">
        <v>2870</v>
      </c>
      <c r="O241" s="1">
        <v>2855</v>
      </c>
      <c r="P241" s="1">
        <v>2887</v>
      </c>
      <c r="Q241" s="1">
        <v>2878</v>
      </c>
      <c r="R241" s="1">
        <v>2810</v>
      </c>
      <c r="S241" s="1">
        <v>2876</v>
      </c>
      <c r="T241" s="1">
        <v>2850</v>
      </c>
      <c r="U241" s="1">
        <v>2832</v>
      </c>
      <c r="V241" s="1">
        <v>2875</v>
      </c>
      <c r="W241" s="1">
        <v>2865</v>
      </c>
      <c r="X241" s="1">
        <v>2955</v>
      </c>
      <c r="Y241" s="1">
        <v>2892</v>
      </c>
      <c r="Z241" s="1">
        <v>2863</v>
      </c>
      <c r="AA241" s="1">
        <v>2740</v>
      </c>
      <c r="AB241" s="1">
        <v>2656</v>
      </c>
      <c r="AC241" s="1">
        <v>2655</v>
      </c>
      <c r="AD241" s="1">
        <v>2687</v>
      </c>
      <c r="AE241" s="1">
        <v>2666</v>
      </c>
      <c r="AF241" s="1">
        <v>2638</v>
      </c>
      <c r="AG241" s="1">
        <v>2605</v>
      </c>
      <c r="AH241" s="1">
        <v>2581</v>
      </c>
      <c r="AI241" s="1">
        <v>2585</v>
      </c>
      <c r="AJ241" s="1">
        <v>2599</v>
      </c>
      <c r="AK241" s="1">
        <v>2530</v>
      </c>
      <c r="AL241" s="1">
        <v>2494</v>
      </c>
      <c r="AM241" s="1">
        <v>2470</v>
      </c>
      <c r="AN241" s="1">
        <v>2477</v>
      </c>
      <c r="AO241" s="1">
        <v>2485</v>
      </c>
      <c r="AP241" s="1">
        <v>2454</v>
      </c>
      <c r="AQ241" s="1">
        <v>2429</v>
      </c>
      <c r="AR241" s="1">
        <v>2430</v>
      </c>
      <c r="AS241" s="1">
        <v>2428</v>
      </c>
      <c r="AT241" s="1">
        <v>2460</v>
      </c>
      <c r="AU241" s="1">
        <v>2434</v>
      </c>
      <c r="AV241" s="1">
        <v>2477</v>
      </c>
      <c r="AW241" s="1">
        <v>2486</v>
      </c>
      <c r="AX241" s="1">
        <v>2620</v>
      </c>
      <c r="AY241" s="1">
        <v>2700</v>
      </c>
      <c r="AZ241" s="1">
        <v>2757</v>
      </c>
      <c r="BA241" s="1">
        <v>2639</v>
      </c>
      <c r="BB241" s="1">
        <v>2649</v>
      </c>
      <c r="BC241" s="1">
        <v>2699</v>
      </c>
      <c r="BD241" s="1">
        <v>2719</v>
      </c>
      <c r="BE241" s="1">
        <v>2813</v>
      </c>
      <c r="BF241" s="1">
        <v>2725</v>
      </c>
      <c r="BG241" s="1">
        <v>2801</v>
      </c>
      <c r="BH241" s="1">
        <v>2827</v>
      </c>
      <c r="BI241" s="1">
        <v>2833</v>
      </c>
      <c r="BJ241" s="1">
        <v>2837</v>
      </c>
      <c r="BK241" s="1">
        <v>2922</v>
      </c>
      <c r="BL241" s="1">
        <v>2964</v>
      </c>
      <c r="BM241" s="1">
        <v>3295</v>
      </c>
      <c r="BN241" s="1">
        <v>3160</v>
      </c>
      <c r="BO241" s="1">
        <v>3220</v>
      </c>
      <c r="BP241" s="1">
        <v>3300</v>
      </c>
      <c r="BQ241" s="1">
        <v>3270</v>
      </c>
      <c r="BR241" s="1">
        <v>3225</v>
      </c>
      <c r="BS241" s="1">
        <v>3240</v>
      </c>
      <c r="BT241" s="1">
        <v>3325</v>
      </c>
      <c r="BU241" s="1">
        <v>3370</v>
      </c>
      <c r="BV241" s="1">
        <v>3355</v>
      </c>
      <c r="BW241" s="1">
        <v>3335</v>
      </c>
      <c r="BX241" s="1">
        <v>3380</v>
      </c>
      <c r="BY241" s="1">
        <v>3600</v>
      </c>
      <c r="BZ241" s="1">
        <v>3620</v>
      </c>
    </row>
    <row r="242" spans="1:254">
      <c r="A242" s="62" t="s">
        <v>455</v>
      </c>
      <c r="B242" s="1" t="str">
        <f>銘柄管理!C242</f>
        <v>オキサイド</v>
      </c>
      <c r="C242" s="1">
        <f>_xll.RssMarket("6521","高値")</f>
        <v>3255</v>
      </c>
      <c r="E242" s="1">
        <v>3255</v>
      </c>
      <c r="F242" s="1">
        <v>3285</v>
      </c>
      <c r="G242" s="1">
        <v>3100</v>
      </c>
      <c r="H242" s="1">
        <v>3045</v>
      </c>
      <c r="I242" s="1">
        <v>2966</v>
      </c>
      <c r="J242" s="1">
        <v>2838</v>
      </c>
      <c r="K242" s="1">
        <v>2970</v>
      </c>
      <c r="L242" s="1">
        <v>3120</v>
      </c>
      <c r="M242" s="1">
        <v>3260</v>
      </c>
      <c r="N242" s="1">
        <v>3365</v>
      </c>
      <c r="O242" s="1">
        <v>3450</v>
      </c>
      <c r="P242" s="1">
        <v>3500</v>
      </c>
      <c r="Q242" s="1">
        <v>3475</v>
      </c>
      <c r="R242" s="1">
        <v>3580</v>
      </c>
      <c r="S242" s="1">
        <v>3985</v>
      </c>
      <c r="T242" s="1">
        <v>4230</v>
      </c>
      <c r="U242" s="1">
        <v>4475</v>
      </c>
      <c r="V242" s="1">
        <v>4440</v>
      </c>
      <c r="W242" s="1">
        <v>4330</v>
      </c>
      <c r="X242" s="1">
        <v>4170</v>
      </c>
      <c r="Y242" s="1">
        <v>4465</v>
      </c>
      <c r="Z242" s="1">
        <v>4565</v>
      </c>
      <c r="AA242" s="1">
        <v>4585</v>
      </c>
      <c r="AB242" s="1">
        <v>4530</v>
      </c>
      <c r="AC242" s="1">
        <v>4885</v>
      </c>
      <c r="AD242" s="1">
        <v>4760</v>
      </c>
      <c r="AE242" s="1">
        <v>4845</v>
      </c>
      <c r="AF242" s="1">
        <v>4905</v>
      </c>
      <c r="AG242" s="1">
        <v>5280</v>
      </c>
      <c r="AH242" s="1">
        <v>5360</v>
      </c>
      <c r="AI242" s="1">
        <v>5290</v>
      </c>
      <c r="AJ242" s="1">
        <v>5280</v>
      </c>
      <c r="AK242" s="1">
        <v>5210</v>
      </c>
      <c r="AL242" s="1">
        <v>4795</v>
      </c>
      <c r="AM242" s="1">
        <v>4900</v>
      </c>
      <c r="AN242" s="1">
        <v>4800</v>
      </c>
      <c r="AO242" s="1">
        <v>4610</v>
      </c>
      <c r="AP242" s="1">
        <v>4575</v>
      </c>
      <c r="AQ242" s="1">
        <v>4455</v>
      </c>
      <c r="AR242" s="1">
        <v>4730</v>
      </c>
      <c r="AS242" s="1">
        <v>4935</v>
      </c>
      <c r="AT242" s="1">
        <v>5170</v>
      </c>
      <c r="AU242" s="1">
        <v>5000</v>
      </c>
      <c r="AV242" s="1">
        <v>5380</v>
      </c>
      <c r="AW242" s="1">
        <v>5290</v>
      </c>
      <c r="AX242" s="1">
        <v>5940</v>
      </c>
      <c r="AY242" s="1">
        <v>6180</v>
      </c>
      <c r="AZ242" s="1">
        <v>5950</v>
      </c>
      <c r="BA242" s="1">
        <v>6450</v>
      </c>
      <c r="BB242" s="1">
        <v>6440</v>
      </c>
      <c r="BC242" s="1">
        <v>5940</v>
      </c>
      <c r="BD242" s="1">
        <v>6000</v>
      </c>
      <c r="BE242" s="1">
        <v>6710</v>
      </c>
      <c r="BF242" s="1">
        <v>6800</v>
      </c>
      <c r="BG242" s="1">
        <v>6520</v>
      </c>
      <c r="BH242" s="1">
        <v>6890</v>
      </c>
      <c r="BI242" s="1">
        <v>6390</v>
      </c>
      <c r="BJ242" s="1">
        <v>7420</v>
      </c>
      <c r="BK242" s="1">
        <v>7050</v>
      </c>
      <c r="BL242" s="1">
        <v>6210</v>
      </c>
      <c r="BM242" s="1">
        <v>5350</v>
      </c>
      <c r="BN242" s="1">
        <v>4835</v>
      </c>
      <c r="BO242" s="1">
        <v>4840</v>
      </c>
      <c r="BP242" s="1">
        <v>4755</v>
      </c>
      <c r="BQ242" s="1">
        <v>4835</v>
      </c>
      <c r="BR242" s="1">
        <v>4850</v>
      </c>
      <c r="BS242" s="1">
        <v>4935</v>
      </c>
      <c r="BT242" s="1">
        <v>5220</v>
      </c>
      <c r="BU242" s="1">
        <v>5090</v>
      </c>
      <c r="BV242" s="1">
        <v>4425</v>
      </c>
      <c r="BW242" s="1">
        <v>4485</v>
      </c>
      <c r="BX242" s="1">
        <v>4555</v>
      </c>
      <c r="BY242" s="1">
        <v>5290</v>
      </c>
      <c r="BZ242" s="1">
        <v>5640</v>
      </c>
    </row>
    <row r="243" spans="1:254">
      <c r="A243" s="62" t="s">
        <v>456</v>
      </c>
      <c r="B243" s="1" t="str">
        <f>銘柄管理!C243</f>
        <v>クオルテック</v>
      </c>
      <c r="C243" s="1">
        <f>_xll.RssMarket("9165","高値")</f>
        <v>1788</v>
      </c>
      <c r="E243" s="1">
        <v>1788</v>
      </c>
      <c r="F243" s="1">
        <v>1790</v>
      </c>
      <c r="G243" s="1">
        <v>1756</v>
      </c>
      <c r="H243" s="1">
        <v>1750</v>
      </c>
      <c r="I243" s="1">
        <v>1741</v>
      </c>
      <c r="J243" s="1">
        <v>1742</v>
      </c>
      <c r="K243" s="1">
        <v>1716</v>
      </c>
      <c r="L243" s="1">
        <v>1715</v>
      </c>
      <c r="M243" s="1">
        <v>1717</v>
      </c>
      <c r="N243" s="1">
        <v>1710</v>
      </c>
      <c r="O243" s="1">
        <v>1753</v>
      </c>
      <c r="P243" s="1">
        <v>1756</v>
      </c>
      <c r="Q243" s="1">
        <v>1714</v>
      </c>
      <c r="R243" s="1">
        <v>1713</v>
      </c>
      <c r="S243" s="1">
        <v>1745</v>
      </c>
      <c r="T243" s="1">
        <v>1772</v>
      </c>
      <c r="U243" s="1">
        <v>1785</v>
      </c>
      <c r="V243" s="1">
        <v>1808</v>
      </c>
      <c r="W243" s="1">
        <v>1773</v>
      </c>
      <c r="X243" s="1">
        <v>1756</v>
      </c>
      <c r="Y243" s="1">
        <v>1761</v>
      </c>
      <c r="Z243" s="1">
        <v>1804</v>
      </c>
      <c r="AA243" s="1">
        <v>1777</v>
      </c>
      <c r="AB243" s="1">
        <v>1770</v>
      </c>
      <c r="AC243" s="1">
        <v>1800</v>
      </c>
      <c r="AD243" s="1">
        <v>1780</v>
      </c>
      <c r="AE243" s="1">
        <v>1769</v>
      </c>
      <c r="AF243" s="1">
        <v>1766</v>
      </c>
      <c r="AG243" s="1">
        <v>1782</v>
      </c>
      <c r="AH243" s="1">
        <v>1795</v>
      </c>
      <c r="AI243" s="1">
        <v>1820</v>
      </c>
      <c r="AJ243" s="1">
        <v>1849</v>
      </c>
      <c r="AK243" s="1">
        <v>1746</v>
      </c>
      <c r="AL243" s="1">
        <v>1741</v>
      </c>
      <c r="AM243" s="1">
        <v>1772</v>
      </c>
      <c r="AN243" s="1">
        <v>1723</v>
      </c>
      <c r="AO243" s="1">
        <v>1740</v>
      </c>
      <c r="AP243" s="1">
        <v>1725</v>
      </c>
      <c r="AQ243" s="1">
        <v>1690</v>
      </c>
      <c r="AR243" s="1">
        <v>1714</v>
      </c>
      <c r="AS243" s="1">
        <v>1761</v>
      </c>
      <c r="AT243" s="1">
        <v>1876</v>
      </c>
      <c r="AU243" s="1">
        <v>1879</v>
      </c>
      <c r="AV243" s="1">
        <v>1839</v>
      </c>
      <c r="AW243" s="1">
        <v>1818</v>
      </c>
      <c r="AX243" s="1">
        <v>1910</v>
      </c>
      <c r="AY243" s="1">
        <v>1964</v>
      </c>
      <c r="AZ243" s="1">
        <v>2171</v>
      </c>
      <c r="BA243" s="1">
        <v>2350</v>
      </c>
      <c r="BB243" s="1">
        <v>2005</v>
      </c>
      <c r="BC243" s="1">
        <v>1825</v>
      </c>
      <c r="BD243" s="1">
        <v>1917</v>
      </c>
      <c r="BE243" s="1">
        <v>1850</v>
      </c>
      <c r="BF243" s="1">
        <v>1847</v>
      </c>
      <c r="BG243" s="1">
        <v>1799</v>
      </c>
      <c r="BH243" s="1">
        <v>1786</v>
      </c>
      <c r="BI243" s="1">
        <v>1777</v>
      </c>
      <c r="BJ243" s="1">
        <v>1850</v>
      </c>
      <c r="BK243" s="1">
        <v>1864</v>
      </c>
      <c r="BL243" s="1">
        <v>1959</v>
      </c>
      <c r="BM243" s="1">
        <v>1611</v>
      </c>
      <c r="BN243" s="1">
        <v>1490</v>
      </c>
      <c r="BO243" s="1">
        <v>1479</v>
      </c>
      <c r="BP243" s="1">
        <v>1470</v>
      </c>
      <c r="BQ243" s="1">
        <v>1480</v>
      </c>
      <c r="BR243" s="1">
        <v>1469</v>
      </c>
      <c r="BS243" s="1">
        <v>1469</v>
      </c>
      <c r="BT243" s="1">
        <v>1470</v>
      </c>
      <c r="BU243" s="1">
        <v>1477</v>
      </c>
      <c r="BV243" s="1">
        <v>1472</v>
      </c>
      <c r="BW243" s="1">
        <v>1477</v>
      </c>
      <c r="BX243" s="1">
        <v>1472</v>
      </c>
      <c r="BY243" s="1">
        <v>1457</v>
      </c>
      <c r="BZ243" s="1">
        <v>1446</v>
      </c>
    </row>
    <row r="244" spans="1:254">
      <c r="A244" s="62" t="s">
        <v>457</v>
      </c>
      <c r="B244" s="1" t="str">
        <f>銘柄管理!C244</f>
        <v>デンソー</v>
      </c>
      <c r="C244" s="1">
        <f>_xll.RssMarket("6902","高値")</f>
        <v>1931</v>
      </c>
      <c r="E244" s="1">
        <v>1931</v>
      </c>
      <c r="F244" s="1">
        <v>1919</v>
      </c>
      <c r="G244" s="1">
        <v>1927.5</v>
      </c>
      <c r="H244" s="1">
        <v>1972.5</v>
      </c>
      <c r="I244" s="1">
        <v>2195</v>
      </c>
      <c r="J244" s="1">
        <v>2218</v>
      </c>
      <c r="K244" s="1">
        <v>2210</v>
      </c>
      <c r="L244" s="1">
        <v>2083</v>
      </c>
      <c r="M244" s="1">
        <v>2060</v>
      </c>
      <c r="N244" s="1">
        <v>1980.5</v>
      </c>
      <c r="O244" s="1">
        <v>1998.5</v>
      </c>
      <c r="P244" s="1">
        <v>2002.5</v>
      </c>
      <c r="Q244" s="1">
        <v>2006.5</v>
      </c>
      <c r="R244" s="1">
        <v>1983.5</v>
      </c>
      <c r="S244" s="1">
        <v>1963</v>
      </c>
      <c r="T244" s="1">
        <v>1951</v>
      </c>
      <c r="U244" s="1">
        <v>1946</v>
      </c>
      <c r="V244" s="1">
        <v>1958.5</v>
      </c>
      <c r="W244" s="1">
        <v>1937</v>
      </c>
      <c r="X244" s="1">
        <v>1986</v>
      </c>
      <c r="Y244" s="1">
        <v>2018</v>
      </c>
      <c r="Z244" s="1">
        <v>1999</v>
      </c>
      <c r="AA244" s="1">
        <v>1981.5</v>
      </c>
      <c r="AB244" s="1">
        <v>1939</v>
      </c>
      <c r="AC244" s="1">
        <v>1888</v>
      </c>
      <c r="AD244" s="1">
        <v>1897</v>
      </c>
      <c r="AE244" s="1">
        <v>1894</v>
      </c>
      <c r="AF244" s="1">
        <v>1881</v>
      </c>
      <c r="AG244" s="1">
        <v>1890</v>
      </c>
      <c r="AH244" s="1">
        <v>1896</v>
      </c>
      <c r="AI244" s="1">
        <v>1901.5</v>
      </c>
      <c r="AJ244" s="1">
        <v>1905.5</v>
      </c>
      <c r="AK244" s="1">
        <v>1933</v>
      </c>
      <c r="AL244" s="1">
        <v>1939</v>
      </c>
      <c r="AM244" s="1">
        <v>1923</v>
      </c>
      <c r="AN244" s="1">
        <v>1902</v>
      </c>
      <c r="AO244" s="1">
        <v>1923</v>
      </c>
      <c r="AP244" s="1">
        <v>1863.5</v>
      </c>
      <c r="AQ244" s="1">
        <v>1842</v>
      </c>
      <c r="AR244" s="1">
        <v>1925</v>
      </c>
      <c r="AS244" s="1">
        <v>1931</v>
      </c>
      <c r="AT244" s="1">
        <v>1914.5</v>
      </c>
      <c r="AU244" s="1">
        <v>1941</v>
      </c>
      <c r="AV244" s="1">
        <v>1942.5</v>
      </c>
      <c r="AW244" s="1">
        <v>1873</v>
      </c>
      <c r="AX244" s="1">
        <v>1927.5</v>
      </c>
      <c r="AY244" s="1">
        <v>1904.5</v>
      </c>
      <c r="AZ244" s="1">
        <v>1894</v>
      </c>
      <c r="BA244" s="1">
        <v>1865.5</v>
      </c>
      <c r="BB244" s="1">
        <v>1851</v>
      </c>
      <c r="BC244" s="1">
        <v>1869</v>
      </c>
      <c r="BD244" s="1">
        <v>1872.5</v>
      </c>
      <c r="BE244" s="1">
        <v>1870</v>
      </c>
      <c r="BF244" s="1">
        <v>1908</v>
      </c>
      <c r="BG244" s="1">
        <v>1958.5</v>
      </c>
      <c r="BH244" s="1">
        <v>1910</v>
      </c>
      <c r="BI244" s="1">
        <v>1928</v>
      </c>
      <c r="BJ244" s="1">
        <v>1896</v>
      </c>
      <c r="BK244" s="1">
        <v>1914</v>
      </c>
      <c r="BL244" s="1">
        <v>1948.5</v>
      </c>
      <c r="BM244" s="1">
        <v>1927</v>
      </c>
      <c r="BN244" s="1">
        <v>1903.5</v>
      </c>
      <c r="BO244" s="1">
        <v>1899.5</v>
      </c>
      <c r="BP244" s="1">
        <v>1945</v>
      </c>
      <c r="BQ244" s="1">
        <v>1942</v>
      </c>
      <c r="BR244" s="1">
        <v>1900</v>
      </c>
      <c r="BS244" s="1">
        <v>1923.5</v>
      </c>
      <c r="BT244" s="1">
        <v>1941</v>
      </c>
      <c r="BU244" s="1">
        <v>1972</v>
      </c>
      <c r="BV244" s="1">
        <v>1962.5</v>
      </c>
      <c r="BW244" s="1">
        <v>1942.5</v>
      </c>
      <c r="BX244" s="1">
        <v>1950</v>
      </c>
      <c r="BY244" s="1">
        <v>1988</v>
      </c>
      <c r="BZ244" s="1">
        <v>1941</v>
      </c>
    </row>
    <row r="245" spans="1:254">
      <c r="A245" s="62" t="s">
        <v>458</v>
      </c>
      <c r="B245" s="1" t="str">
        <f>銘柄管理!C245</f>
        <v>グローバルウェイ</v>
      </c>
      <c r="C245" s="1">
        <f>_xll.RssMarket("3936","高値")</f>
        <v>161</v>
      </c>
      <c r="E245" s="1">
        <v>161</v>
      </c>
      <c r="F245" s="1">
        <v>164</v>
      </c>
    </row>
    <row r="246" spans="1:254">
      <c r="A246" s="62" t="s">
        <v>459</v>
      </c>
      <c r="B246" s="1" t="str">
        <f>銘柄管理!C246</f>
        <v>エノモト</v>
      </c>
      <c r="C246" s="1">
        <f>_xll.RssMarket("6928","高値")</f>
        <v>2674</v>
      </c>
      <c r="E246" s="1">
        <v>2674</v>
      </c>
      <c r="F246" s="1">
        <v>2680</v>
      </c>
      <c r="G246" s="1">
        <v>2569</v>
      </c>
      <c r="H246" s="1">
        <v>2466</v>
      </c>
      <c r="I246" s="1">
        <v>2388</v>
      </c>
      <c r="J246" s="1">
        <v>2271</v>
      </c>
      <c r="K246" s="1">
        <v>2369</v>
      </c>
      <c r="L246" s="1">
        <v>2514</v>
      </c>
      <c r="M246" s="1">
        <v>2571</v>
      </c>
      <c r="N246" s="1">
        <v>2615</v>
      </c>
      <c r="O246" s="1">
        <v>2640</v>
      </c>
      <c r="P246" s="1">
        <v>2652</v>
      </c>
      <c r="Q246" s="1">
        <v>2618</v>
      </c>
      <c r="R246" s="1">
        <v>2735</v>
      </c>
      <c r="S246" s="1">
        <v>2878</v>
      </c>
      <c r="T246" s="1">
        <v>2887</v>
      </c>
      <c r="U246" s="1">
        <v>2940</v>
      </c>
      <c r="V246" s="1">
        <v>2949</v>
      </c>
      <c r="W246" s="1">
        <v>2864</v>
      </c>
      <c r="X246" s="1">
        <v>2806</v>
      </c>
      <c r="Y246" s="1">
        <v>2922</v>
      </c>
      <c r="Z246" s="1">
        <v>2944</v>
      </c>
      <c r="AA246" s="1">
        <v>2917</v>
      </c>
      <c r="AB246" s="1">
        <v>3000</v>
      </c>
      <c r="AC246" s="1">
        <v>3110</v>
      </c>
      <c r="AD246" s="1">
        <v>3135</v>
      </c>
      <c r="AE246" s="1">
        <v>3165</v>
      </c>
      <c r="AF246" s="1">
        <v>3325</v>
      </c>
      <c r="AG246" s="1">
        <v>3485</v>
      </c>
      <c r="AH246" s="1">
        <v>3470</v>
      </c>
      <c r="AI246" s="1">
        <v>3535</v>
      </c>
      <c r="AJ246" s="1">
        <v>3620</v>
      </c>
      <c r="AK246" s="1">
        <v>3590</v>
      </c>
      <c r="AL246" s="1">
        <v>3500</v>
      </c>
      <c r="AM246" s="1">
        <v>3400</v>
      </c>
      <c r="AN246" s="1">
        <v>3385</v>
      </c>
      <c r="AO246" s="1">
        <v>3355</v>
      </c>
      <c r="AP246" s="1">
        <v>3390</v>
      </c>
      <c r="AQ246" s="1">
        <v>3385</v>
      </c>
      <c r="AR246" s="1">
        <v>3530</v>
      </c>
      <c r="AS246" s="1">
        <v>3495</v>
      </c>
      <c r="AT246" s="1">
        <v>3690</v>
      </c>
      <c r="AU246" s="1">
        <v>3720</v>
      </c>
      <c r="AV246" s="1">
        <v>3820</v>
      </c>
      <c r="AW246" s="1">
        <v>3880</v>
      </c>
      <c r="AX246" s="1">
        <v>3905</v>
      </c>
      <c r="AY246" s="1">
        <v>3735</v>
      </c>
      <c r="AZ246" s="1">
        <v>3745</v>
      </c>
      <c r="BA246" s="1">
        <v>3700</v>
      </c>
      <c r="BB246" s="1">
        <v>3670</v>
      </c>
      <c r="BC246" s="1">
        <v>3580</v>
      </c>
      <c r="BD246" s="1">
        <v>3520</v>
      </c>
      <c r="BE246" s="1">
        <v>3560</v>
      </c>
      <c r="BF246" s="1">
        <v>3560</v>
      </c>
      <c r="BG246" s="1">
        <v>3680</v>
      </c>
      <c r="BH246" s="1">
        <v>3620</v>
      </c>
      <c r="BI246" s="1">
        <v>3540</v>
      </c>
      <c r="BJ246" s="1">
        <v>3620</v>
      </c>
      <c r="BK246" s="1">
        <v>3980</v>
      </c>
      <c r="BL246" s="1">
        <v>3620</v>
      </c>
      <c r="BM246" s="1">
        <v>3655</v>
      </c>
      <c r="BN246" s="1">
        <v>3470</v>
      </c>
      <c r="BO246" s="1">
        <v>3305</v>
      </c>
      <c r="BP246" s="1">
        <v>3235</v>
      </c>
      <c r="BQ246" s="1">
        <v>3165</v>
      </c>
      <c r="BR246" s="1">
        <v>3210</v>
      </c>
      <c r="BS246" s="1">
        <v>3230</v>
      </c>
      <c r="BT246" s="1">
        <v>3230</v>
      </c>
      <c r="BU246" s="1">
        <v>3295</v>
      </c>
      <c r="BV246" s="1">
        <v>3270</v>
      </c>
      <c r="BW246" s="1">
        <v>3335</v>
      </c>
      <c r="BX246" s="1">
        <v>3370</v>
      </c>
      <c r="BY246" s="1">
        <v>3345</v>
      </c>
      <c r="BZ246" s="1">
        <v>3245</v>
      </c>
    </row>
    <row r="247" spans="1:254">
      <c r="A247" s="62" t="s">
        <v>460</v>
      </c>
      <c r="B247" s="1" t="str">
        <f>銘柄管理!C247</f>
        <v>三菱製鋼</v>
      </c>
      <c r="C247" s="1">
        <f>_xll.RssMarket("5632","高値")</f>
        <v>2337</v>
      </c>
      <c r="E247" s="1">
        <v>2337</v>
      </c>
      <c r="F247" s="1">
        <v>2274</v>
      </c>
      <c r="G247" s="1">
        <v>2196</v>
      </c>
      <c r="H247" s="1">
        <v>2180</v>
      </c>
      <c r="I247" s="1">
        <v>2196</v>
      </c>
      <c r="J247" s="1">
        <v>2159</v>
      </c>
      <c r="K247" s="1">
        <v>2140</v>
      </c>
      <c r="L247" s="1">
        <v>2198</v>
      </c>
      <c r="M247" s="1">
        <v>2215</v>
      </c>
      <c r="O247" s="1">
        <v>2193</v>
      </c>
      <c r="P247" s="1">
        <v>2184</v>
      </c>
      <c r="Q247" s="1">
        <v>2155</v>
      </c>
      <c r="R247" s="1">
        <v>2147</v>
      </c>
      <c r="S247" s="1">
        <v>2200</v>
      </c>
      <c r="T247" s="1">
        <v>2155</v>
      </c>
      <c r="U247" s="1">
        <v>2144</v>
      </c>
      <c r="V247" s="1">
        <v>2133</v>
      </c>
      <c r="W247" s="1">
        <v>2138</v>
      </c>
      <c r="X247" s="1">
        <v>2171</v>
      </c>
      <c r="Y247" s="1">
        <v>2230</v>
      </c>
      <c r="Z247" s="1">
        <v>2244</v>
      </c>
      <c r="AA247" s="1">
        <v>2208</v>
      </c>
      <c r="AB247" s="1">
        <v>2170</v>
      </c>
      <c r="AC247" s="1">
        <v>2170</v>
      </c>
      <c r="AD247" s="1">
        <v>2197</v>
      </c>
      <c r="AE247" s="1">
        <v>2224</v>
      </c>
      <c r="AF247" s="1">
        <v>2230</v>
      </c>
      <c r="AG247" s="1">
        <v>2262</v>
      </c>
      <c r="AH247" s="1">
        <v>2292</v>
      </c>
      <c r="AI247" s="1">
        <v>2430</v>
      </c>
      <c r="AJ247" s="1">
        <v>2425</v>
      </c>
      <c r="AK247" s="1">
        <v>2347</v>
      </c>
      <c r="AL247" s="1">
        <v>2292</v>
      </c>
      <c r="AM247" s="1">
        <v>2185</v>
      </c>
      <c r="AN247" s="1">
        <v>2207</v>
      </c>
      <c r="AO247" s="1">
        <v>2215</v>
      </c>
      <c r="AP247" s="1">
        <v>2188</v>
      </c>
      <c r="AQ247" s="1">
        <v>2111</v>
      </c>
      <c r="AR247" s="1">
        <v>2123</v>
      </c>
      <c r="AS247" s="1">
        <v>2111</v>
      </c>
      <c r="AT247" s="1">
        <v>2157</v>
      </c>
      <c r="AU247" s="1">
        <v>2117</v>
      </c>
      <c r="AV247" s="1">
        <v>2137</v>
      </c>
      <c r="AW247" s="1">
        <v>2115</v>
      </c>
      <c r="AX247" s="1">
        <v>2195</v>
      </c>
      <c r="AY247" s="1">
        <v>2142</v>
      </c>
      <c r="AZ247" s="1">
        <v>2170</v>
      </c>
      <c r="BA247" s="1">
        <v>2169</v>
      </c>
      <c r="BB247" s="1">
        <v>2158</v>
      </c>
      <c r="BC247" s="1">
        <v>2122</v>
      </c>
      <c r="BD247" s="1">
        <v>2061</v>
      </c>
      <c r="BE247" s="1">
        <v>2094</v>
      </c>
      <c r="BF247" s="1">
        <v>2145</v>
      </c>
      <c r="BG247" s="1">
        <v>2210</v>
      </c>
      <c r="BH247" s="1">
        <v>2077</v>
      </c>
      <c r="BI247" s="1">
        <v>2020</v>
      </c>
      <c r="BJ247" s="1">
        <v>1915</v>
      </c>
      <c r="BK247" s="1">
        <v>1908</v>
      </c>
      <c r="BL247" s="1">
        <v>1853</v>
      </c>
      <c r="BM247" s="1">
        <v>1857</v>
      </c>
      <c r="BN247" s="1">
        <v>1814</v>
      </c>
      <c r="BO247" s="1">
        <v>1808</v>
      </c>
      <c r="BP247" s="1">
        <v>1824</v>
      </c>
      <c r="BQ247" s="1">
        <v>1796</v>
      </c>
      <c r="BR247" s="1">
        <v>1811</v>
      </c>
      <c r="BS247" s="1">
        <v>1816</v>
      </c>
      <c r="BT247" s="1">
        <v>1833</v>
      </c>
      <c r="BU247" s="1">
        <v>1851</v>
      </c>
      <c r="BV247" s="1">
        <v>1845</v>
      </c>
      <c r="BW247" s="1">
        <v>1841</v>
      </c>
      <c r="BX247" s="1">
        <v>1848</v>
      </c>
      <c r="BY247" s="1">
        <v>1847</v>
      </c>
      <c r="BZ247" s="1">
        <v>1821</v>
      </c>
    </row>
    <row r="248" spans="1:254">
      <c r="A248" s="62" t="s">
        <v>461</v>
      </c>
      <c r="B248" s="1" t="str">
        <f>銘柄管理!C248</f>
        <v>リクルートホールディングス</v>
      </c>
      <c r="C248" s="1">
        <f>_xll.RssMarket("6098","高値")</f>
        <v>12875</v>
      </c>
      <c r="E248" s="1">
        <v>12875</v>
      </c>
      <c r="F248" s="1">
        <v>12765</v>
      </c>
      <c r="G248" s="1">
        <v>12545</v>
      </c>
      <c r="H248" s="1">
        <v>12490</v>
      </c>
      <c r="I248" s="1">
        <v>12645</v>
      </c>
      <c r="J248" s="1">
        <v>13320</v>
      </c>
      <c r="K248" s="1">
        <v>13270</v>
      </c>
      <c r="L248" s="1">
        <v>12790</v>
      </c>
      <c r="M248" s="1">
        <v>12645</v>
      </c>
      <c r="N248" s="1">
        <v>12120</v>
      </c>
      <c r="O248" s="1">
        <v>12395</v>
      </c>
      <c r="P248" s="1">
        <v>12575</v>
      </c>
      <c r="Q248" s="1">
        <v>12920</v>
      </c>
      <c r="R248" s="1">
        <v>12880</v>
      </c>
      <c r="S248" s="1">
        <v>12580</v>
      </c>
      <c r="T248" s="1">
        <v>12885</v>
      </c>
      <c r="U248" s="1">
        <v>12370</v>
      </c>
      <c r="V248" s="1">
        <v>12610</v>
      </c>
      <c r="W248" s="1">
        <v>12615</v>
      </c>
      <c r="X248" s="1">
        <v>12425</v>
      </c>
      <c r="Y248" s="1">
        <v>12395</v>
      </c>
      <c r="Z248" s="1">
        <v>11940</v>
      </c>
      <c r="AA248" s="1">
        <v>12195</v>
      </c>
      <c r="AB248" s="1">
        <v>12040</v>
      </c>
      <c r="AC248" s="1">
        <v>11935</v>
      </c>
      <c r="AD248" s="1">
        <v>11670</v>
      </c>
      <c r="AE248" s="1">
        <v>11375</v>
      </c>
      <c r="AF248" s="1">
        <v>11240</v>
      </c>
      <c r="AG248" s="1">
        <v>11435</v>
      </c>
      <c r="AH248" s="1">
        <v>11270</v>
      </c>
      <c r="AI248" s="1">
        <v>11300</v>
      </c>
      <c r="AJ248" s="1">
        <v>11230</v>
      </c>
      <c r="AK248" s="1">
        <v>11105</v>
      </c>
      <c r="AL248" s="1">
        <v>11385</v>
      </c>
      <c r="AM248" s="1">
        <v>10800</v>
      </c>
      <c r="AN248" s="1">
        <v>10815</v>
      </c>
      <c r="AO248" s="1">
        <v>10980</v>
      </c>
      <c r="AP248" s="1">
        <v>11140</v>
      </c>
      <c r="AQ248" s="1">
        <v>11410</v>
      </c>
      <c r="AR248" s="1">
        <v>11755</v>
      </c>
      <c r="AS248" s="1">
        <v>10845</v>
      </c>
      <c r="AT248" s="1">
        <v>10915</v>
      </c>
      <c r="AU248" s="1">
        <v>10775</v>
      </c>
      <c r="AV248" s="1">
        <v>11015</v>
      </c>
      <c r="AW248" s="1">
        <v>11190</v>
      </c>
      <c r="AX248" s="1">
        <v>10855</v>
      </c>
      <c r="AY248" s="1">
        <v>10275</v>
      </c>
      <c r="AZ248" s="1">
        <v>10100</v>
      </c>
      <c r="BA248" s="1">
        <v>9819</v>
      </c>
      <c r="BB248" s="1">
        <v>9817</v>
      </c>
      <c r="BC248" s="1">
        <v>9747</v>
      </c>
      <c r="BD248" s="1">
        <v>10010</v>
      </c>
      <c r="BE248" s="1">
        <v>9912</v>
      </c>
      <c r="BF248" s="1">
        <v>9320</v>
      </c>
      <c r="BG248" s="1">
        <v>7842</v>
      </c>
      <c r="BH248" s="1">
        <v>7837</v>
      </c>
      <c r="BI248" s="1">
        <v>7846</v>
      </c>
      <c r="BJ248" s="1">
        <v>7722</v>
      </c>
      <c r="BK248" s="1">
        <v>7871</v>
      </c>
      <c r="BL248" s="1">
        <v>7987</v>
      </c>
      <c r="BM248" s="1">
        <v>7592</v>
      </c>
      <c r="BN248" s="1">
        <v>7387</v>
      </c>
      <c r="BO248" s="1">
        <v>7400</v>
      </c>
      <c r="BP248" s="1">
        <v>7481</v>
      </c>
      <c r="BQ248" s="1">
        <v>7435</v>
      </c>
      <c r="BR248" s="1">
        <v>7451</v>
      </c>
      <c r="BS248" s="1">
        <v>7682</v>
      </c>
      <c r="BT248" s="1">
        <v>8011</v>
      </c>
      <c r="BU248" s="1">
        <v>7860</v>
      </c>
      <c r="BV248" s="1">
        <v>7627</v>
      </c>
      <c r="BW248" s="1">
        <v>7614</v>
      </c>
      <c r="BX248" s="1">
        <v>7345</v>
      </c>
      <c r="BY248" s="1">
        <v>7163</v>
      </c>
      <c r="BZ248" s="1">
        <v>7140</v>
      </c>
    </row>
    <row r="249" spans="1:254">
      <c r="A249" s="62" t="s">
        <v>462</v>
      </c>
      <c r="B249" s="1" t="str">
        <f>銘柄管理!C249</f>
        <v>荏原製作所</v>
      </c>
      <c r="C249" s="1">
        <f>_xll.RssMarket("6361","高値")</f>
        <v>5917</v>
      </c>
      <c r="E249" s="1">
        <v>5917</v>
      </c>
      <c r="F249" s="1">
        <v>6048</v>
      </c>
      <c r="G249" s="1">
        <v>5870</v>
      </c>
      <c r="H249" s="1">
        <v>5595</v>
      </c>
      <c r="I249" s="1">
        <v>5653</v>
      </c>
      <c r="J249" s="1">
        <v>5111</v>
      </c>
      <c r="K249" s="1">
        <v>5255</v>
      </c>
      <c r="L249" s="1">
        <v>5350</v>
      </c>
      <c r="M249" s="1">
        <v>5762</v>
      </c>
      <c r="N249" s="1">
        <v>5820</v>
      </c>
      <c r="O249" s="1">
        <v>5852</v>
      </c>
      <c r="P249" s="1">
        <v>5854</v>
      </c>
      <c r="Q249" s="1">
        <v>5587</v>
      </c>
      <c r="R249" s="1">
        <v>5705</v>
      </c>
      <c r="S249" s="1">
        <v>6288</v>
      </c>
      <c r="T249" s="1">
        <v>5885</v>
      </c>
      <c r="U249" s="1">
        <v>6247</v>
      </c>
      <c r="V249" s="1">
        <v>6225</v>
      </c>
      <c r="W249" s="1">
        <v>5954</v>
      </c>
      <c r="X249" s="1">
        <v>6045</v>
      </c>
      <c r="Y249" s="1">
        <v>6299</v>
      </c>
      <c r="Z249" s="1">
        <v>6270</v>
      </c>
      <c r="AA249" s="1">
        <v>6098</v>
      </c>
      <c r="AB249" s="1">
        <v>6195</v>
      </c>
      <c r="AC249" s="1">
        <v>6444</v>
      </c>
      <c r="AD249" s="1">
        <v>6316</v>
      </c>
      <c r="AE249" s="1">
        <v>6232</v>
      </c>
      <c r="AF249" s="1">
        <v>6523</v>
      </c>
      <c r="AG249" s="1">
        <v>6513</v>
      </c>
      <c r="AH249" s="1">
        <v>6480</v>
      </c>
      <c r="AI249" s="1">
        <v>6814</v>
      </c>
      <c r="AJ249" s="1">
        <v>6825</v>
      </c>
      <c r="AK249" s="1">
        <v>6890</v>
      </c>
      <c r="AL249" s="1">
        <v>6774</v>
      </c>
      <c r="AM249" s="1">
        <v>6527</v>
      </c>
      <c r="AN249" s="1">
        <v>6300</v>
      </c>
      <c r="AO249" s="1">
        <v>6204</v>
      </c>
      <c r="AP249" s="1">
        <v>5609</v>
      </c>
      <c r="AQ249" s="1">
        <v>5316</v>
      </c>
      <c r="AR249" s="1">
        <v>5388</v>
      </c>
      <c r="AS249" s="1">
        <v>5184</v>
      </c>
      <c r="AT249" s="1">
        <v>5553</v>
      </c>
      <c r="AU249" s="1">
        <v>5613</v>
      </c>
      <c r="AV249" s="1">
        <v>5782</v>
      </c>
      <c r="AW249" s="1">
        <v>5700</v>
      </c>
      <c r="AX249" s="1">
        <v>5683</v>
      </c>
      <c r="AY249" s="1">
        <v>5625</v>
      </c>
      <c r="AZ249" s="1">
        <v>5875</v>
      </c>
      <c r="BA249" s="1">
        <v>5830</v>
      </c>
      <c r="BB249" s="1">
        <v>5465</v>
      </c>
      <c r="BC249" s="1">
        <v>5160</v>
      </c>
      <c r="BD249" s="1">
        <v>5055</v>
      </c>
      <c r="BE249" s="1">
        <v>5454</v>
      </c>
      <c r="BF249" s="1">
        <v>5650</v>
      </c>
      <c r="BG249" s="1">
        <v>5892</v>
      </c>
      <c r="BH249" s="1">
        <v>5895</v>
      </c>
      <c r="BI249" s="1">
        <v>5778</v>
      </c>
      <c r="BJ249" s="1">
        <v>6073</v>
      </c>
      <c r="BK249" s="1">
        <v>5955</v>
      </c>
      <c r="BL249" s="1">
        <v>5863</v>
      </c>
      <c r="BM249" s="1">
        <v>5942</v>
      </c>
      <c r="BN249" s="1">
        <v>5356</v>
      </c>
      <c r="BO249" s="1">
        <v>5538</v>
      </c>
      <c r="BP249" s="1">
        <v>5563</v>
      </c>
      <c r="BQ249" s="1">
        <v>5477</v>
      </c>
      <c r="BR249" s="1">
        <v>5461</v>
      </c>
      <c r="BS249" s="1">
        <v>5400</v>
      </c>
      <c r="BT249" s="1">
        <v>5471</v>
      </c>
      <c r="BU249" s="1">
        <v>5205</v>
      </c>
      <c r="BV249" s="1">
        <v>5185</v>
      </c>
      <c r="BW249" s="1">
        <v>5115</v>
      </c>
      <c r="BX249" s="1">
        <v>5244</v>
      </c>
      <c r="BY249" s="1">
        <v>5280</v>
      </c>
      <c r="BZ249" s="1">
        <v>5278</v>
      </c>
    </row>
    <row r="250" spans="1:254">
      <c r="A250" s="62" t="s">
        <v>463</v>
      </c>
      <c r="B250" s="1" t="str">
        <f>銘柄管理!C250</f>
        <v>情報戦略テクノロジー</v>
      </c>
      <c r="C250" s="1">
        <f>_xll.RssMarket("155A","高値")</f>
        <v>866</v>
      </c>
      <c r="E250" s="1">
        <v>866</v>
      </c>
      <c r="F250" s="1">
        <v>860</v>
      </c>
      <c r="G250" s="1">
        <v>836</v>
      </c>
      <c r="H250" s="1">
        <v>836</v>
      </c>
      <c r="I250" s="1">
        <v>838</v>
      </c>
      <c r="J250" s="1">
        <v>830</v>
      </c>
      <c r="K250" s="1">
        <v>837</v>
      </c>
      <c r="L250" s="1">
        <v>854</v>
      </c>
      <c r="M250" s="1">
        <v>863</v>
      </c>
      <c r="O250" s="1">
        <v>873</v>
      </c>
      <c r="P250" s="1">
        <v>876</v>
      </c>
      <c r="Q250" s="1">
        <v>873</v>
      </c>
      <c r="R250" s="1">
        <v>887</v>
      </c>
      <c r="S250" s="1">
        <v>917</v>
      </c>
      <c r="T250" s="1">
        <v>920</v>
      </c>
      <c r="U250" s="1">
        <v>917</v>
      </c>
      <c r="V250" s="1">
        <v>909</v>
      </c>
      <c r="W250" s="1">
        <v>907</v>
      </c>
      <c r="X250" s="1">
        <v>910</v>
      </c>
      <c r="Y250" s="1">
        <v>924</v>
      </c>
      <c r="Z250" s="1">
        <v>927</v>
      </c>
      <c r="AA250" s="1">
        <v>895</v>
      </c>
      <c r="AB250" s="1">
        <v>890</v>
      </c>
      <c r="AC250" s="1">
        <v>883</v>
      </c>
      <c r="AD250" s="1">
        <v>885</v>
      </c>
      <c r="AE250" s="1">
        <v>861</v>
      </c>
      <c r="AF250" s="1">
        <v>875</v>
      </c>
      <c r="AG250" s="1">
        <v>877</v>
      </c>
      <c r="AH250" s="1">
        <v>876</v>
      </c>
      <c r="AI250" s="1">
        <v>923</v>
      </c>
      <c r="AJ250" s="1">
        <v>932</v>
      </c>
      <c r="AK250" s="1">
        <v>911</v>
      </c>
      <c r="AL250" s="1">
        <v>897</v>
      </c>
      <c r="AM250" s="1">
        <v>878</v>
      </c>
      <c r="AN250" s="1">
        <v>847</v>
      </c>
      <c r="AO250" s="1">
        <v>854</v>
      </c>
      <c r="AP250" s="1">
        <v>873</v>
      </c>
      <c r="AQ250" s="1">
        <v>889</v>
      </c>
      <c r="AR250" s="1">
        <v>889</v>
      </c>
      <c r="AS250" s="1">
        <v>850</v>
      </c>
      <c r="AT250" s="1">
        <v>882</v>
      </c>
      <c r="AU250" s="1">
        <v>864</v>
      </c>
      <c r="AV250" s="1">
        <v>889</v>
      </c>
      <c r="AW250" s="1">
        <v>838</v>
      </c>
      <c r="AX250" s="1">
        <v>908</v>
      </c>
      <c r="AY250" s="1">
        <v>881</v>
      </c>
      <c r="AZ250" s="1">
        <v>880</v>
      </c>
      <c r="BA250" s="1">
        <v>880</v>
      </c>
      <c r="BB250" s="1">
        <v>854</v>
      </c>
      <c r="BC250" s="1">
        <v>869</v>
      </c>
      <c r="BD250" s="1">
        <v>877</v>
      </c>
      <c r="BE250" s="1">
        <v>923</v>
      </c>
      <c r="BF250" s="1">
        <v>913</v>
      </c>
      <c r="BG250" s="1">
        <v>889</v>
      </c>
      <c r="BH250" s="1">
        <v>782</v>
      </c>
      <c r="BI250" s="1">
        <v>788</v>
      </c>
      <c r="BJ250" s="1">
        <v>809</v>
      </c>
      <c r="BK250" s="1">
        <v>825</v>
      </c>
      <c r="BL250" s="1">
        <v>834</v>
      </c>
      <c r="BM250" s="1">
        <v>823</v>
      </c>
      <c r="BN250" s="1">
        <v>806</v>
      </c>
      <c r="BO250" s="1">
        <v>813</v>
      </c>
      <c r="BP250" s="1">
        <v>822</v>
      </c>
      <c r="BQ250" s="1">
        <v>825</v>
      </c>
      <c r="BR250" s="1">
        <v>836</v>
      </c>
      <c r="BS250" s="1">
        <v>864</v>
      </c>
      <c r="BT250" s="1">
        <v>862</v>
      </c>
      <c r="BU250" s="1">
        <v>865</v>
      </c>
      <c r="BV250" s="1">
        <v>849</v>
      </c>
      <c r="BW250" s="1">
        <v>850</v>
      </c>
      <c r="BX250" s="1">
        <v>851</v>
      </c>
      <c r="BY250" s="1">
        <v>845</v>
      </c>
      <c r="BZ250" s="1">
        <v>820</v>
      </c>
    </row>
    <row r="251" spans="1:254">
      <c r="A251" s="62" t="s">
        <v>464</v>
      </c>
      <c r="B251" s="1" t="str">
        <f>銘柄管理!C251</f>
        <v>ＴＥＲＲＡＤＲＯＮＥ</v>
      </c>
      <c r="C251" s="1">
        <f>_xll.RssMarket("278A","高値")</f>
        <v>13950</v>
      </c>
      <c r="E251" s="1">
        <v>13950</v>
      </c>
      <c r="F251" s="1">
        <v>14300</v>
      </c>
      <c r="G251" s="1">
        <v>14390</v>
      </c>
      <c r="H251" s="1">
        <v>12000</v>
      </c>
      <c r="I251" s="1">
        <v>11040</v>
      </c>
      <c r="J251" s="1">
        <v>10540</v>
      </c>
      <c r="K251" s="1">
        <v>10750</v>
      </c>
      <c r="L251" s="1">
        <v>13170</v>
      </c>
      <c r="M251" s="1">
        <v>13400</v>
      </c>
      <c r="N251" s="1">
        <v>13740</v>
      </c>
      <c r="O251" s="1">
        <v>15420</v>
      </c>
      <c r="P251" s="1">
        <v>16560</v>
      </c>
      <c r="Q251" s="1">
        <v>16100</v>
      </c>
      <c r="R251" s="1">
        <v>13830</v>
      </c>
      <c r="S251" s="1">
        <v>13500</v>
      </c>
      <c r="T251" s="1">
        <v>11550</v>
      </c>
      <c r="U251" s="1">
        <v>12210</v>
      </c>
      <c r="V251" s="1">
        <v>10870</v>
      </c>
      <c r="W251" s="1">
        <v>9650</v>
      </c>
      <c r="X251" s="1">
        <v>9150</v>
      </c>
      <c r="Y251" s="1">
        <v>10030</v>
      </c>
      <c r="Z251" s="1">
        <v>9890</v>
      </c>
      <c r="AA251" s="1">
        <v>8450</v>
      </c>
      <c r="AB251" s="1">
        <v>8200</v>
      </c>
      <c r="AC251" s="1">
        <v>7980</v>
      </c>
      <c r="AD251" s="1">
        <v>7890</v>
      </c>
      <c r="AE251" s="1">
        <v>7970</v>
      </c>
      <c r="AF251" s="1">
        <v>7990</v>
      </c>
      <c r="AG251" s="1">
        <v>8200</v>
      </c>
      <c r="AH251" s="1">
        <v>8300</v>
      </c>
      <c r="AI251" s="1">
        <v>8820</v>
      </c>
      <c r="AJ251" s="1">
        <v>9420</v>
      </c>
      <c r="AK251" s="1">
        <v>8450</v>
      </c>
      <c r="AL251" s="1">
        <v>8570</v>
      </c>
      <c r="AM251" s="1">
        <v>10120</v>
      </c>
      <c r="AN251" s="1">
        <v>8750</v>
      </c>
      <c r="AO251" s="1">
        <v>7950</v>
      </c>
      <c r="AP251" s="1">
        <v>8820</v>
      </c>
      <c r="AQ251" s="1">
        <v>8880</v>
      </c>
      <c r="AR251" s="1">
        <v>9710</v>
      </c>
      <c r="AS251" s="1">
        <v>9150</v>
      </c>
      <c r="AT251" s="1">
        <v>8800</v>
      </c>
      <c r="AU251" s="1">
        <v>8600</v>
      </c>
      <c r="AV251" s="1">
        <v>8800</v>
      </c>
      <c r="AW251" s="1">
        <v>9110</v>
      </c>
      <c r="AX251" s="1">
        <v>10750</v>
      </c>
      <c r="AY251" s="1">
        <v>10600</v>
      </c>
      <c r="AZ251" s="1">
        <v>9780</v>
      </c>
      <c r="BA251" s="1">
        <v>11300</v>
      </c>
      <c r="BB251" s="1">
        <v>11480</v>
      </c>
      <c r="BC251" s="1">
        <v>11580</v>
      </c>
      <c r="BD251" s="1">
        <v>12560</v>
      </c>
      <c r="BE251" s="1">
        <v>14410</v>
      </c>
      <c r="BF251" s="1">
        <v>12900</v>
      </c>
      <c r="BG251" s="1">
        <v>12930</v>
      </c>
      <c r="BH251" s="1">
        <v>13200</v>
      </c>
      <c r="BI251" s="1">
        <v>12270</v>
      </c>
      <c r="BJ251" s="1">
        <v>19610</v>
      </c>
      <c r="BK251" s="1">
        <v>16400</v>
      </c>
      <c r="BL251" s="1">
        <v>14530</v>
      </c>
      <c r="BM251" s="1">
        <v>13660</v>
      </c>
      <c r="BN251" s="1">
        <v>10770</v>
      </c>
      <c r="BO251" s="1">
        <v>9270</v>
      </c>
      <c r="BP251" s="1">
        <v>7920</v>
      </c>
      <c r="BQ251" s="1">
        <v>8050</v>
      </c>
      <c r="BR251" s="1">
        <v>8480</v>
      </c>
      <c r="BS251" s="1">
        <v>8640</v>
      </c>
      <c r="BT251" s="1">
        <v>7220</v>
      </c>
      <c r="BU251" s="1">
        <v>6790</v>
      </c>
      <c r="BV251" s="1">
        <v>6900</v>
      </c>
      <c r="BW251" s="1">
        <v>6950</v>
      </c>
      <c r="BX251" s="1">
        <v>7000</v>
      </c>
      <c r="BY251" s="1">
        <v>6020</v>
      </c>
      <c r="BZ251" s="1">
        <v>6190</v>
      </c>
    </row>
    <row r="252" spans="1:254">
      <c r="A252" s="62" t="s">
        <v>465</v>
      </c>
      <c r="B252" s="1" t="str">
        <f>銘柄管理!C252</f>
        <v>ＭＩＣ</v>
      </c>
      <c r="C252" s="1">
        <f>_xll.RssMarket("300A","高値")</f>
        <v>3100</v>
      </c>
      <c r="E252" s="1">
        <v>3100</v>
      </c>
      <c r="F252" s="1">
        <v>3035</v>
      </c>
      <c r="G252" s="1">
        <v>3010</v>
      </c>
      <c r="H252" s="1">
        <v>3000</v>
      </c>
      <c r="I252" s="1">
        <v>3040</v>
      </c>
      <c r="J252" s="1">
        <v>3020</v>
      </c>
      <c r="K252" s="1">
        <v>3010</v>
      </c>
      <c r="L252" s="1">
        <v>2979</v>
      </c>
      <c r="M252" s="1">
        <v>2974</v>
      </c>
      <c r="O252" s="1">
        <v>3005</v>
      </c>
      <c r="P252" s="1">
        <v>2951</v>
      </c>
      <c r="Q252" s="1">
        <v>2938</v>
      </c>
      <c r="R252" s="1">
        <v>2909</v>
      </c>
      <c r="S252" s="1">
        <v>2896</v>
      </c>
      <c r="T252" s="1">
        <v>2895</v>
      </c>
      <c r="U252" s="1">
        <v>2906</v>
      </c>
      <c r="V252" s="1">
        <v>2925</v>
      </c>
      <c r="W252" s="1">
        <v>2906</v>
      </c>
      <c r="X252" s="1">
        <v>2916</v>
      </c>
      <c r="Y252" s="1">
        <v>2932</v>
      </c>
      <c r="Z252" s="1">
        <v>2944</v>
      </c>
      <c r="AA252" s="1">
        <v>2967</v>
      </c>
      <c r="AB252" s="1">
        <v>3015</v>
      </c>
      <c r="AC252" s="1">
        <v>2990</v>
      </c>
      <c r="AD252" s="1">
        <v>2945</v>
      </c>
      <c r="AE252" s="1">
        <v>2930</v>
      </c>
      <c r="AF252" s="1">
        <v>2846</v>
      </c>
      <c r="AG252" s="1">
        <v>2808</v>
      </c>
      <c r="AH252" s="1">
        <v>2806</v>
      </c>
      <c r="AI252" s="1">
        <v>2809</v>
      </c>
      <c r="AJ252" s="1">
        <v>2833</v>
      </c>
      <c r="AK252" s="1">
        <v>2812</v>
      </c>
      <c r="AL252" s="1">
        <v>2847</v>
      </c>
      <c r="AM252" s="1">
        <v>2874</v>
      </c>
      <c r="AN252" s="1">
        <v>2835</v>
      </c>
      <c r="AO252" s="1">
        <v>2918</v>
      </c>
      <c r="AP252" s="1">
        <v>2867</v>
      </c>
      <c r="AQ252" s="1">
        <v>2797</v>
      </c>
      <c r="AR252" s="1">
        <v>2821</v>
      </c>
      <c r="AS252" s="1">
        <v>2799</v>
      </c>
      <c r="AT252" s="1">
        <v>2845</v>
      </c>
      <c r="AU252" s="1">
        <v>2845</v>
      </c>
      <c r="AV252" s="1">
        <v>2842</v>
      </c>
      <c r="AW252" s="1">
        <v>2848</v>
      </c>
      <c r="AX252" s="1">
        <v>2899</v>
      </c>
      <c r="AY252" s="1">
        <v>2887</v>
      </c>
      <c r="AZ252" s="1">
        <v>2871</v>
      </c>
      <c r="BA252" s="1">
        <v>2918</v>
      </c>
      <c r="BB252" s="1">
        <v>2940</v>
      </c>
      <c r="BC252" s="1">
        <v>2938</v>
      </c>
      <c r="BD252" s="1">
        <v>2934</v>
      </c>
      <c r="BE252" s="1">
        <v>2926</v>
      </c>
      <c r="BF252" s="1">
        <v>2930</v>
      </c>
      <c r="BG252" s="1">
        <v>3040</v>
      </c>
      <c r="BH252" s="1">
        <v>2800</v>
      </c>
      <c r="BI252" s="1">
        <v>2821</v>
      </c>
      <c r="BJ252" s="1">
        <v>2815</v>
      </c>
      <c r="BK252" s="1">
        <v>2818</v>
      </c>
      <c r="BL252" s="1">
        <v>2792</v>
      </c>
      <c r="BM252" s="1">
        <v>2811</v>
      </c>
      <c r="BN252" s="1">
        <v>2795</v>
      </c>
      <c r="BO252" s="1">
        <v>2885</v>
      </c>
      <c r="BP252" s="1">
        <v>2849</v>
      </c>
      <c r="BQ252" s="1">
        <v>2851</v>
      </c>
      <c r="BR252" s="1">
        <v>2953</v>
      </c>
      <c r="BS252" s="1">
        <v>3070</v>
      </c>
      <c r="BT252" s="1">
        <v>3110</v>
      </c>
      <c r="BU252" s="1">
        <v>3085</v>
      </c>
      <c r="BV252" s="1">
        <v>3045</v>
      </c>
      <c r="BW252" s="1">
        <v>3045</v>
      </c>
      <c r="BX252" s="1">
        <v>3055</v>
      </c>
      <c r="BY252" s="1">
        <v>2953</v>
      </c>
      <c r="BZ252" s="1">
        <v>2955</v>
      </c>
    </row>
    <row r="253" spans="1:254">
      <c r="A253" s="62" t="s">
        <v>466</v>
      </c>
      <c r="B253" s="1" t="str">
        <f>銘柄管理!C253</f>
        <v>サイボウズ</v>
      </c>
      <c r="C253" s="1">
        <f>_xll.RssMarket("4776","高値")</f>
        <v>2745</v>
      </c>
      <c r="E253" s="1">
        <v>2745</v>
      </c>
      <c r="F253" s="1">
        <v>2735</v>
      </c>
      <c r="G253" s="1">
        <v>2745</v>
      </c>
      <c r="H253" s="1">
        <v>2722</v>
      </c>
      <c r="I253" s="1">
        <v>2725</v>
      </c>
      <c r="J253" s="1">
        <v>2922</v>
      </c>
      <c r="K253" s="1">
        <v>2858</v>
      </c>
      <c r="L253" s="1">
        <v>2690</v>
      </c>
      <c r="M253" s="1">
        <v>2626</v>
      </c>
      <c r="N253" s="1">
        <v>2500</v>
      </c>
      <c r="O253" s="1">
        <v>2503</v>
      </c>
      <c r="P253" s="1">
        <v>2569</v>
      </c>
      <c r="Q253" s="1">
        <v>2642</v>
      </c>
      <c r="R253" s="1">
        <v>2645</v>
      </c>
      <c r="S253" s="1">
        <v>2578</v>
      </c>
      <c r="T253" s="1">
        <v>2646</v>
      </c>
      <c r="U253" s="1">
        <v>2626</v>
      </c>
      <c r="V253" s="1">
        <v>2654</v>
      </c>
      <c r="W253" s="1">
        <v>2636</v>
      </c>
      <c r="X253" s="1">
        <v>2645</v>
      </c>
      <c r="Y253" s="1">
        <v>2639</v>
      </c>
      <c r="Z253" s="1">
        <v>2580</v>
      </c>
      <c r="AA253" s="1">
        <v>2568</v>
      </c>
      <c r="AB253" s="1">
        <v>2490</v>
      </c>
      <c r="AC253" s="1">
        <v>2310</v>
      </c>
      <c r="AD253" s="1">
        <v>2348</v>
      </c>
      <c r="AE253" s="1">
        <v>2356</v>
      </c>
      <c r="AF253" s="1">
        <v>2145</v>
      </c>
      <c r="AG253" s="1">
        <v>2229</v>
      </c>
      <c r="AH253" s="1">
        <v>2262</v>
      </c>
      <c r="AI253" s="1">
        <v>2286</v>
      </c>
      <c r="AJ253" s="1">
        <v>2350</v>
      </c>
      <c r="AK253" s="1">
        <v>2390</v>
      </c>
      <c r="AL253" s="1">
        <v>2386</v>
      </c>
      <c r="AM253" s="1">
        <v>2340</v>
      </c>
      <c r="AN253" s="1">
        <v>2353</v>
      </c>
      <c r="AO253" s="1">
        <v>2359</v>
      </c>
      <c r="AP253" s="1">
        <v>2317</v>
      </c>
      <c r="AQ253" s="1">
        <v>2400</v>
      </c>
      <c r="AR253" s="1">
        <v>2372</v>
      </c>
      <c r="AS253" s="1">
        <v>2470</v>
      </c>
      <c r="AT253" s="1">
        <v>2477</v>
      </c>
      <c r="AU253" s="1">
        <v>2439</v>
      </c>
      <c r="AV253" s="1">
        <v>2570</v>
      </c>
      <c r="AW253" s="1">
        <v>2670</v>
      </c>
      <c r="AX253" s="1">
        <v>2642</v>
      </c>
      <c r="AY253" s="1">
        <v>2606</v>
      </c>
      <c r="AZ253" s="1">
        <v>2586</v>
      </c>
      <c r="BA253" s="1">
        <v>2601</v>
      </c>
      <c r="BB253" s="1">
        <v>2525</v>
      </c>
      <c r="BC253" s="1">
        <v>2563</v>
      </c>
      <c r="BD253" s="1">
        <v>2502</v>
      </c>
      <c r="BE253" s="1">
        <v>2458</v>
      </c>
      <c r="BF253" s="1">
        <v>2434</v>
      </c>
      <c r="BG253" s="1">
        <v>2396</v>
      </c>
      <c r="BH253" s="1">
        <v>2163</v>
      </c>
      <c r="BI253" s="1">
        <v>2197</v>
      </c>
      <c r="BJ253" s="1">
        <v>2166</v>
      </c>
      <c r="BK253" s="1">
        <v>2190</v>
      </c>
      <c r="BL253" s="1">
        <v>2199</v>
      </c>
      <c r="BM253" s="1">
        <v>2121</v>
      </c>
      <c r="BN253" s="1">
        <v>2120</v>
      </c>
      <c r="BO253" s="1">
        <v>2106</v>
      </c>
      <c r="BP253" s="1">
        <v>2130</v>
      </c>
      <c r="BQ253" s="1">
        <v>2138</v>
      </c>
      <c r="BR253" s="1">
        <v>2133</v>
      </c>
      <c r="BS253" s="1">
        <v>2144</v>
      </c>
      <c r="BT253" s="1">
        <v>2175</v>
      </c>
      <c r="BU253" s="1">
        <v>2210</v>
      </c>
      <c r="BV253" s="1">
        <v>2268</v>
      </c>
      <c r="BW253" s="1">
        <v>2337</v>
      </c>
      <c r="BX253" s="1">
        <v>2274</v>
      </c>
      <c r="BY253" s="1">
        <v>2122</v>
      </c>
      <c r="BZ253" s="1">
        <v>2072</v>
      </c>
    </row>
    <row r="254" spans="1:254">
      <c r="A254" s="62" t="s">
        <v>467</v>
      </c>
      <c r="B254" s="1" t="str">
        <f>銘柄管理!C254</f>
        <v>トレンドマイクロ</v>
      </c>
      <c r="C254" s="1">
        <f>_xll.RssMarket("4704","高値")</f>
        <v>6740</v>
      </c>
      <c r="E254" s="1">
        <v>6740</v>
      </c>
      <c r="F254" s="1">
        <v>6543</v>
      </c>
      <c r="G254" s="1">
        <v>6549</v>
      </c>
      <c r="H254" s="1">
        <v>6442</v>
      </c>
      <c r="I254" s="1">
        <v>6507</v>
      </c>
      <c r="J254" s="1">
        <v>6913</v>
      </c>
      <c r="K254" s="1">
        <v>6860</v>
      </c>
      <c r="L254" s="1">
        <v>6656</v>
      </c>
      <c r="M254" s="1">
        <v>6518</v>
      </c>
      <c r="N254" s="1">
        <v>6269</v>
      </c>
      <c r="O254" s="1">
        <v>6245</v>
      </c>
      <c r="P254" s="1">
        <v>6332</v>
      </c>
      <c r="Q254" s="1">
        <v>6550</v>
      </c>
      <c r="R254" s="1">
        <v>6657</v>
      </c>
      <c r="S254" s="1">
        <v>6450</v>
      </c>
      <c r="T254" s="1">
        <v>6446</v>
      </c>
      <c r="U254" s="1">
        <v>6269</v>
      </c>
      <c r="V254" s="1">
        <v>6318</v>
      </c>
      <c r="W254" s="1">
        <v>6275</v>
      </c>
      <c r="X254" s="1">
        <v>6366</v>
      </c>
      <c r="Y254" s="1">
        <v>6411</v>
      </c>
      <c r="Z254" s="1">
        <v>6372</v>
      </c>
      <c r="AA254" s="1">
        <v>6565</v>
      </c>
      <c r="AB254" s="1">
        <v>6344</v>
      </c>
      <c r="AC254" s="1">
        <v>6030</v>
      </c>
      <c r="AD254" s="1">
        <v>6110</v>
      </c>
      <c r="AE254" s="1">
        <v>6064</v>
      </c>
      <c r="AF254" s="1">
        <v>5634</v>
      </c>
      <c r="AG254" s="1">
        <v>5722</v>
      </c>
      <c r="AH254" s="1">
        <v>5673</v>
      </c>
      <c r="AI254" s="1">
        <v>5636</v>
      </c>
      <c r="AJ254" s="1">
        <v>5745</v>
      </c>
      <c r="AK254" s="1">
        <v>5881</v>
      </c>
      <c r="AL254" s="1">
        <v>5909</v>
      </c>
      <c r="AM254" s="1">
        <v>5852</v>
      </c>
      <c r="AN254" s="1">
        <v>5876</v>
      </c>
      <c r="AO254" s="1">
        <v>6003</v>
      </c>
      <c r="AP254" s="1">
        <v>6200</v>
      </c>
      <c r="AQ254" s="1">
        <v>6261</v>
      </c>
      <c r="AR254" s="1">
        <v>6263</v>
      </c>
      <c r="AS254" s="1">
        <v>6571</v>
      </c>
      <c r="AT254" s="1">
        <v>6900</v>
      </c>
      <c r="AU254" s="1">
        <v>6451</v>
      </c>
      <c r="AV254" s="1">
        <v>6375</v>
      </c>
      <c r="AW254" s="1">
        <v>6575</v>
      </c>
      <c r="AX254" s="1">
        <v>6232</v>
      </c>
      <c r="AY254" s="1">
        <v>6085</v>
      </c>
      <c r="AZ254" s="1">
        <v>6166</v>
      </c>
      <c r="BA254" s="1">
        <v>6371</v>
      </c>
      <c r="BB254" s="1">
        <v>6235</v>
      </c>
      <c r="BC254" s="1">
        <v>6007</v>
      </c>
      <c r="BD254" s="1">
        <v>6125</v>
      </c>
      <c r="BE254" s="1">
        <v>6138</v>
      </c>
      <c r="BF254" s="1">
        <v>5913</v>
      </c>
      <c r="BG254" s="1">
        <v>5681</v>
      </c>
      <c r="BH254" s="1">
        <v>5560</v>
      </c>
      <c r="BI254" s="1">
        <v>5775</v>
      </c>
      <c r="BJ254" s="1">
        <v>5696</v>
      </c>
      <c r="BK254" s="1">
        <v>5746</v>
      </c>
      <c r="BL254" s="1">
        <v>5776</v>
      </c>
      <c r="BM254" s="1">
        <v>5538</v>
      </c>
      <c r="BN254" s="1">
        <v>5452</v>
      </c>
      <c r="BO254" s="1">
        <v>5558</v>
      </c>
      <c r="BP254" s="1">
        <v>5627</v>
      </c>
      <c r="BQ254" s="1">
        <v>5673</v>
      </c>
      <c r="BR254" s="1">
        <v>5700</v>
      </c>
      <c r="BS254" s="1">
        <v>5880</v>
      </c>
      <c r="BT254" s="1">
        <v>6115</v>
      </c>
      <c r="BU254" s="1">
        <v>5986</v>
      </c>
      <c r="BV254" s="1">
        <v>6002</v>
      </c>
      <c r="BW254" s="1">
        <v>6092</v>
      </c>
      <c r="BX254" s="1">
        <v>6294</v>
      </c>
      <c r="BY254" s="1">
        <v>5591</v>
      </c>
      <c r="BZ254" s="1">
        <v>5390</v>
      </c>
    </row>
    <row r="255" spans="1:254">
      <c r="A255" s="62" t="s">
        <v>468</v>
      </c>
      <c r="B255" s="1" t="str">
        <f>銘柄管理!C255</f>
        <v>栗田工業</v>
      </c>
      <c r="C255" s="1">
        <f>_xll.RssMarket("6370","高値")</f>
        <v>9212</v>
      </c>
      <c r="E255" s="1">
        <v>9212</v>
      </c>
      <c r="F255" s="1">
        <v>9190</v>
      </c>
      <c r="G255" s="1">
        <v>9050</v>
      </c>
      <c r="H255" s="1">
        <v>8746</v>
      </c>
      <c r="I255" s="1">
        <v>8868</v>
      </c>
      <c r="J255" s="1">
        <v>8419</v>
      </c>
      <c r="K255" s="1">
        <v>8423</v>
      </c>
      <c r="L255" s="1">
        <v>8759</v>
      </c>
      <c r="M255" s="1">
        <v>8990</v>
      </c>
      <c r="N255" s="1">
        <v>9030</v>
      </c>
      <c r="O255" s="1">
        <v>9092</v>
      </c>
      <c r="P255" s="1">
        <v>9232</v>
      </c>
      <c r="Q255" s="1">
        <v>8856</v>
      </c>
      <c r="R255" s="1">
        <v>8854</v>
      </c>
      <c r="S255" s="1">
        <v>9270</v>
      </c>
      <c r="T255" s="1">
        <v>9065</v>
      </c>
      <c r="U255" s="1">
        <v>9321</v>
      </c>
      <c r="V255" s="1">
        <v>9211</v>
      </c>
      <c r="W255" s="1">
        <v>9113</v>
      </c>
      <c r="X255" s="1">
        <v>8992</v>
      </c>
      <c r="Y255" s="1">
        <v>9443</v>
      </c>
      <c r="Z255" s="1">
        <v>9656</v>
      </c>
      <c r="AA255" s="1">
        <v>9398</v>
      </c>
      <c r="AB255" s="1">
        <v>9414</v>
      </c>
      <c r="AC255" s="1">
        <v>9511</v>
      </c>
      <c r="AD255" s="1">
        <v>9304</v>
      </c>
      <c r="AE255" s="1">
        <v>9150</v>
      </c>
      <c r="AF255" s="1">
        <v>9373</v>
      </c>
      <c r="AG255" s="1">
        <v>9614</v>
      </c>
      <c r="AH255" s="1">
        <v>9389</v>
      </c>
      <c r="AI255" s="1">
        <v>9613</v>
      </c>
      <c r="AJ255" s="1">
        <v>9642</v>
      </c>
      <c r="AK255" s="1">
        <v>9919</v>
      </c>
      <c r="AL255" s="1">
        <v>9650</v>
      </c>
      <c r="AM255" s="1">
        <v>9450</v>
      </c>
      <c r="AN255" s="1">
        <v>9213</v>
      </c>
      <c r="AO255" s="1">
        <v>8766</v>
      </c>
      <c r="AP255" s="1">
        <v>8559</v>
      </c>
      <c r="AQ255" s="1">
        <v>8146</v>
      </c>
      <c r="AR255" s="1">
        <v>8351</v>
      </c>
      <c r="AS255" s="1">
        <v>8387</v>
      </c>
      <c r="AT255" s="1">
        <v>8870</v>
      </c>
      <c r="AU255" s="1">
        <v>8866</v>
      </c>
      <c r="AV255" s="1">
        <v>8981</v>
      </c>
      <c r="AW255" s="1">
        <v>8600</v>
      </c>
      <c r="AX255" s="1">
        <v>8892</v>
      </c>
      <c r="AY255" s="1">
        <v>8789</v>
      </c>
      <c r="AZ255" s="1">
        <v>9227</v>
      </c>
      <c r="BA255" s="1">
        <v>8972</v>
      </c>
      <c r="BB255" s="1">
        <v>8792</v>
      </c>
      <c r="BC255" s="1">
        <v>8647</v>
      </c>
      <c r="BD255" s="1">
        <v>8705</v>
      </c>
      <c r="BE255" s="1">
        <v>8961</v>
      </c>
      <c r="BF255" s="1">
        <v>9024</v>
      </c>
      <c r="BG255" s="1">
        <v>9508</v>
      </c>
      <c r="BH255" s="1">
        <v>9318</v>
      </c>
      <c r="BI255" s="1">
        <v>9000</v>
      </c>
      <c r="BJ255" s="1">
        <v>9257</v>
      </c>
      <c r="BK255" s="1">
        <v>9063</v>
      </c>
      <c r="BL255" s="1">
        <v>8648</v>
      </c>
      <c r="BM255" s="1">
        <v>8410</v>
      </c>
      <c r="BN255" s="1">
        <v>8333</v>
      </c>
      <c r="BO255" s="1">
        <v>8573</v>
      </c>
      <c r="BP255" s="1">
        <v>8514</v>
      </c>
      <c r="BQ255" s="1">
        <v>8303</v>
      </c>
      <c r="BR255" s="1">
        <v>7954</v>
      </c>
      <c r="BS255" s="1">
        <v>7976</v>
      </c>
      <c r="BT255" s="1">
        <v>8064</v>
      </c>
      <c r="BU255" s="1">
        <v>8200</v>
      </c>
      <c r="BV255" s="1">
        <v>8224</v>
      </c>
      <c r="BW255" s="1">
        <v>8120</v>
      </c>
      <c r="BX255" s="1">
        <v>8002</v>
      </c>
      <c r="BY255" s="1">
        <v>8080</v>
      </c>
      <c r="BZ255" s="1">
        <v>8214</v>
      </c>
    </row>
    <row r="256" spans="1:254">
      <c r="A256" s="62" t="s">
        <v>469</v>
      </c>
      <c r="B256" s="1" t="str">
        <f>銘柄管理!C256</f>
        <v>名村造船所</v>
      </c>
      <c r="C256" s="1">
        <f>_xll.RssMarket("7014","高値")</f>
        <v>4410</v>
      </c>
      <c r="E256" s="1">
        <v>4410</v>
      </c>
      <c r="F256" s="1">
        <v>4340</v>
      </c>
      <c r="G256" s="1">
        <v>4230</v>
      </c>
      <c r="H256" s="1">
        <v>4210</v>
      </c>
      <c r="I256" s="1">
        <v>4475</v>
      </c>
      <c r="J256" s="1">
        <v>4315</v>
      </c>
      <c r="K256" s="1">
        <v>4440</v>
      </c>
      <c r="L256" s="1">
        <v>4605</v>
      </c>
      <c r="M256" s="1">
        <v>4520</v>
      </c>
      <c r="N256" s="1">
        <v>4410</v>
      </c>
      <c r="O256" s="1">
        <v>4270</v>
      </c>
      <c r="P256" s="1">
        <v>4270</v>
      </c>
      <c r="Q256" s="1">
        <v>3925</v>
      </c>
      <c r="R256" s="1">
        <v>3785</v>
      </c>
      <c r="S256" s="1">
        <v>4050</v>
      </c>
      <c r="T256" s="1">
        <v>3935</v>
      </c>
      <c r="U256" s="1">
        <v>3925</v>
      </c>
      <c r="V256" s="1">
        <v>3885</v>
      </c>
      <c r="W256" s="1">
        <v>3905</v>
      </c>
      <c r="X256" s="1">
        <v>4245</v>
      </c>
      <c r="Y256" s="1">
        <v>4395</v>
      </c>
      <c r="Z256" s="1">
        <v>4185</v>
      </c>
      <c r="AA256" s="1">
        <v>3710</v>
      </c>
      <c r="AB256" s="1">
        <v>3680</v>
      </c>
      <c r="AC256" s="1">
        <v>3615</v>
      </c>
      <c r="AD256" s="1">
        <v>3645</v>
      </c>
      <c r="AE256" s="1">
        <v>3755</v>
      </c>
      <c r="AF256" s="1">
        <v>3730</v>
      </c>
      <c r="AG256" s="1">
        <v>3775</v>
      </c>
      <c r="AH256" s="1">
        <v>3755</v>
      </c>
      <c r="AI256" s="1">
        <v>3905</v>
      </c>
      <c r="AJ256" s="1">
        <v>3865</v>
      </c>
      <c r="AK256" s="1">
        <v>3890</v>
      </c>
      <c r="AL256" s="1">
        <v>4015</v>
      </c>
      <c r="AM256" s="1">
        <v>3965</v>
      </c>
      <c r="AN256" s="1">
        <v>3865</v>
      </c>
      <c r="AO256" s="1">
        <v>3850</v>
      </c>
      <c r="AP256" s="1">
        <v>3625</v>
      </c>
      <c r="AQ256" s="1">
        <v>3510</v>
      </c>
      <c r="AR256" s="1">
        <v>3550</v>
      </c>
      <c r="AS256" s="1">
        <v>3655</v>
      </c>
      <c r="AT256" s="1">
        <v>3735</v>
      </c>
      <c r="AU256" s="1">
        <v>3545</v>
      </c>
      <c r="AV256" s="1">
        <v>3645</v>
      </c>
      <c r="AW256" s="1">
        <v>3490</v>
      </c>
      <c r="AX256" s="1">
        <v>3800</v>
      </c>
      <c r="AY256" s="1">
        <v>4110</v>
      </c>
      <c r="AZ256" s="1">
        <v>4295</v>
      </c>
      <c r="BA256" s="1">
        <v>4080</v>
      </c>
      <c r="BB256" s="1">
        <v>3895</v>
      </c>
      <c r="BC256" s="1">
        <v>3825</v>
      </c>
      <c r="BD256" s="1">
        <v>3895</v>
      </c>
      <c r="BE256" s="1">
        <v>4110</v>
      </c>
      <c r="BF256" s="1">
        <v>4380</v>
      </c>
      <c r="BG256" s="1">
        <v>4375</v>
      </c>
      <c r="BH256" s="1">
        <v>4030</v>
      </c>
      <c r="BI256" s="1">
        <v>4140</v>
      </c>
      <c r="BJ256" s="1">
        <v>4100</v>
      </c>
      <c r="BK256" s="1">
        <v>4055</v>
      </c>
      <c r="BL256" s="1">
        <v>4070</v>
      </c>
      <c r="BM256" s="1">
        <v>4140</v>
      </c>
      <c r="BN256" s="1">
        <v>4060</v>
      </c>
      <c r="BO256" s="1">
        <v>4060</v>
      </c>
      <c r="BP256" s="1">
        <v>4150</v>
      </c>
      <c r="BQ256" s="1">
        <v>4180</v>
      </c>
      <c r="BR256" s="1">
        <v>4105</v>
      </c>
      <c r="BS256" s="1">
        <v>4320</v>
      </c>
      <c r="BT256" s="1">
        <v>4435</v>
      </c>
      <c r="BU256" s="1">
        <v>4110</v>
      </c>
      <c r="BV256" s="1">
        <v>4140</v>
      </c>
      <c r="BW256" s="1">
        <v>4105</v>
      </c>
      <c r="BX256" s="1">
        <v>4115</v>
      </c>
      <c r="BY256" s="1">
        <v>4195</v>
      </c>
      <c r="BZ256" s="1">
        <v>4205</v>
      </c>
    </row>
    <row r="257" spans="1:254">
      <c r="A257" s="62" t="s">
        <v>470</v>
      </c>
      <c r="B257" s="1" t="str">
        <f>銘柄管理!C257</f>
        <v>イノテック</v>
      </c>
      <c r="C257" s="1">
        <f>_xll.RssMarket("9880","高値")</f>
        <v>3815</v>
      </c>
      <c r="E257" s="1">
        <v>3815</v>
      </c>
      <c r="F257" s="1">
        <v>3800</v>
      </c>
      <c r="G257" s="1">
        <v>3610</v>
      </c>
      <c r="H257" s="1">
        <v>3485</v>
      </c>
      <c r="I257" s="1">
        <v>3445</v>
      </c>
      <c r="J257" s="1">
        <v>3165</v>
      </c>
      <c r="K257" s="1">
        <v>3135</v>
      </c>
      <c r="L257" s="1">
        <v>3250</v>
      </c>
      <c r="M257" s="1">
        <v>3315</v>
      </c>
      <c r="N257" s="1">
        <v>3370</v>
      </c>
      <c r="O257" s="1">
        <v>3455</v>
      </c>
      <c r="P257" s="1">
        <v>3470</v>
      </c>
      <c r="Q257" s="1">
        <v>3350</v>
      </c>
      <c r="R257" s="1">
        <v>3335</v>
      </c>
      <c r="S257" s="1">
        <v>3570</v>
      </c>
      <c r="T257" s="1">
        <v>3515</v>
      </c>
      <c r="U257" s="1">
        <v>3645</v>
      </c>
      <c r="V257" s="1">
        <v>3660</v>
      </c>
      <c r="W257" s="1">
        <v>3690</v>
      </c>
      <c r="X257" s="1">
        <v>3635</v>
      </c>
      <c r="Y257" s="1">
        <v>3820</v>
      </c>
      <c r="Z257" s="1">
        <v>3865</v>
      </c>
      <c r="AA257" s="1">
        <v>3865</v>
      </c>
      <c r="AB257" s="1">
        <v>3860</v>
      </c>
      <c r="AC257" s="1">
        <v>4120</v>
      </c>
      <c r="AD257" s="1">
        <v>4025</v>
      </c>
      <c r="AE257" s="1">
        <v>4060</v>
      </c>
      <c r="AF257" s="1">
        <v>4250</v>
      </c>
      <c r="AG257" s="1">
        <v>4460</v>
      </c>
      <c r="AH257" s="1">
        <v>4370</v>
      </c>
      <c r="AI257" s="1">
        <v>4600</v>
      </c>
      <c r="AJ257" s="1">
        <v>4625</v>
      </c>
      <c r="AK257" s="1">
        <v>4370</v>
      </c>
      <c r="AL257" s="1">
        <v>4385</v>
      </c>
      <c r="AM257" s="1">
        <v>4195</v>
      </c>
      <c r="AN257" s="1">
        <v>4135</v>
      </c>
      <c r="AO257" s="1">
        <v>4210</v>
      </c>
      <c r="AP257" s="1">
        <v>4195</v>
      </c>
      <c r="AQ257" s="1">
        <v>4095</v>
      </c>
      <c r="AR257" s="1">
        <v>4235</v>
      </c>
      <c r="AS257" s="1">
        <v>4260</v>
      </c>
      <c r="AT257" s="1">
        <v>4545</v>
      </c>
      <c r="AU257" s="1">
        <v>4600</v>
      </c>
      <c r="AV257" s="1">
        <v>4495</v>
      </c>
      <c r="AW257" s="1">
        <v>4365</v>
      </c>
      <c r="AX257" s="1">
        <v>4360</v>
      </c>
      <c r="AY257" s="1">
        <v>4340</v>
      </c>
      <c r="AZ257" s="1">
        <v>4680</v>
      </c>
      <c r="BA257" s="1">
        <v>4670</v>
      </c>
      <c r="BB257" s="1">
        <v>4490</v>
      </c>
      <c r="BC257" s="1">
        <v>4465</v>
      </c>
      <c r="BD257" s="1">
        <v>4250</v>
      </c>
      <c r="BE257" s="1">
        <v>4760</v>
      </c>
      <c r="BF257" s="1">
        <v>4540</v>
      </c>
      <c r="BG257" s="1">
        <v>4045</v>
      </c>
      <c r="BH257" s="1">
        <v>3460</v>
      </c>
      <c r="BI257" s="1">
        <v>3315</v>
      </c>
      <c r="BJ257" s="1">
        <v>3445</v>
      </c>
      <c r="BK257" s="1">
        <v>3445</v>
      </c>
      <c r="BL257" s="1">
        <v>3220</v>
      </c>
      <c r="BM257" s="1">
        <v>3325</v>
      </c>
      <c r="BN257" s="1">
        <v>2850</v>
      </c>
      <c r="BO257" s="1">
        <v>2879</v>
      </c>
      <c r="BP257" s="1">
        <v>2814</v>
      </c>
      <c r="BQ257" s="1">
        <v>2805</v>
      </c>
      <c r="BR257" s="1">
        <v>2756</v>
      </c>
      <c r="BS257" s="1">
        <v>2728</v>
      </c>
      <c r="BT257" s="1">
        <v>2758</v>
      </c>
      <c r="BU257" s="1">
        <v>2803</v>
      </c>
      <c r="BV257" s="1">
        <v>2826</v>
      </c>
      <c r="BW257" s="1">
        <v>2899</v>
      </c>
      <c r="BX257" s="1">
        <v>2939</v>
      </c>
      <c r="BY257" s="1">
        <v>2910</v>
      </c>
      <c r="BZ257" s="1">
        <v>2711</v>
      </c>
    </row>
    <row r="258" spans="1:254">
      <c r="A258" s="62" t="s">
        <v>471</v>
      </c>
      <c r="B258" s="1" t="str">
        <f>銘柄管理!C258</f>
        <v>カバー</v>
      </c>
      <c r="C258" s="1">
        <f>_xll.RssMarket("5253","高値")</f>
        <v>1587</v>
      </c>
      <c r="E258" s="1">
        <v>1587</v>
      </c>
      <c r="F258" s="1">
        <v>1540</v>
      </c>
      <c r="G258" s="1">
        <v>1509</v>
      </c>
      <c r="H258" s="1">
        <v>1471</v>
      </c>
      <c r="I258" s="1">
        <v>1520</v>
      </c>
      <c r="J258" s="1">
        <v>1602</v>
      </c>
      <c r="K258" s="1">
        <v>1602</v>
      </c>
      <c r="L258" s="1">
        <v>1700</v>
      </c>
      <c r="M258" s="1">
        <v>1650</v>
      </c>
      <c r="O258" s="1">
        <v>1724</v>
      </c>
      <c r="P258" s="1">
        <v>1714</v>
      </c>
      <c r="Q258" s="1">
        <v>1746</v>
      </c>
      <c r="R258" s="1">
        <v>1688</v>
      </c>
      <c r="S258" s="1">
        <v>1702</v>
      </c>
      <c r="T258" s="1">
        <v>1698</v>
      </c>
      <c r="U258" s="1">
        <v>1651</v>
      </c>
      <c r="V258" s="1">
        <v>1645</v>
      </c>
      <c r="W258" s="1">
        <v>1649</v>
      </c>
      <c r="X258" s="1">
        <v>1677</v>
      </c>
      <c r="Y258" s="1">
        <v>1655</v>
      </c>
      <c r="Z258" s="1">
        <v>1629</v>
      </c>
      <c r="AA258" s="1">
        <v>1561</v>
      </c>
      <c r="AB258" s="1">
        <v>1469</v>
      </c>
      <c r="AC258" s="1">
        <v>1366</v>
      </c>
      <c r="AD258" s="1">
        <v>1377</v>
      </c>
      <c r="AE258" s="1">
        <v>1370</v>
      </c>
      <c r="AF258" s="1">
        <v>1220</v>
      </c>
      <c r="AG258" s="1">
        <v>1197</v>
      </c>
      <c r="AH258" s="1">
        <v>1218</v>
      </c>
      <c r="AI258" s="1">
        <v>1279</v>
      </c>
      <c r="AJ258" s="1">
        <v>1314</v>
      </c>
      <c r="AK258" s="1">
        <v>1380</v>
      </c>
      <c r="AL258" s="1">
        <v>1470</v>
      </c>
      <c r="AM258" s="1">
        <v>1458</v>
      </c>
      <c r="AN258" s="1">
        <v>1443</v>
      </c>
      <c r="AO258" s="1">
        <v>1460</v>
      </c>
      <c r="AP258" s="1">
        <v>1522</v>
      </c>
      <c r="AQ258" s="1">
        <v>1538</v>
      </c>
      <c r="AR258" s="1">
        <v>1620</v>
      </c>
      <c r="AS258" s="1">
        <v>1642</v>
      </c>
      <c r="AT258" s="1">
        <v>1685</v>
      </c>
      <c r="AU258" s="1">
        <v>1669</v>
      </c>
      <c r="AV258" s="1">
        <v>1657</v>
      </c>
      <c r="AW258" s="1">
        <v>1639</v>
      </c>
      <c r="AX258" s="1">
        <v>1647</v>
      </c>
      <c r="AY258" s="1">
        <v>1596</v>
      </c>
      <c r="AZ258" s="1">
        <v>1621</v>
      </c>
      <c r="BA258" s="1">
        <v>1764</v>
      </c>
      <c r="BB258" s="1">
        <v>1832</v>
      </c>
      <c r="BC258" s="1">
        <v>1765</v>
      </c>
      <c r="BD258" s="1">
        <v>1700</v>
      </c>
      <c r="BE258" s="1">
        <v>1708</v>
      </c>
      <c r="BF258" s="1">
        <v>1585</v>
      </c>
      <c r="BG258" s="1">
        <v>1529</v>
      </c>
      <c r="BH258" s="1">
        <v>1447</v>
      </c>
      <c r="BI258" s="1">
        <v>1452</v>
      </c>
      <c r="BJ258" s="1">
        <v>1417</v>
      </c>
      <c r="BK258" s="1">
        <v>1453</v>
      </c>
      <c r="BL258" s="1">
        <v>1450</v>
      </c>
      <c r="BM258" s="1">
        <v>1428</v>
      </c>
      <c r="BN258" s="1">
        <v>1436</v>
      </c>
      <c r="BO258" s="1">
        <v>1385</v>
      </c>
      <c r="BP258" s="1">
        <v>1394</v>
      </c>
      <c r="BQ258" s="1">
        <v>1373</v>
      </c>
      <c r="BR258" s="1">
        <v>1408</v>
      </c>
      <c r="BS258" s="1">
        <v>1430</v>
      </c>
      <c r="BT258" s="1">
        <v>1452</v>
      </c>
      <c r="BU258" s="1">
        <v>1458</v>
      </c>
      <c r="BV258" s="1">
        <v>1475</v>
      </c>
      <c r="BW258" s="1">
        <v>1474</v>
      </c>
      <c r="BX258" s="1">
        <v>1504</v>
      </c>
      <c r="BY258" s="1">
        <v>1482</v>
      </c>
      <c r="BZ258" s="1">
        <v>1449</v>
      </c>
    </row>
    <row r="259" spans="1:254">
      <c r="A259" s="62" t="s">
        <v>472</v>
      </c>
      <c r="B259" s="1" t="str">
        <f>銘柄管理!C259</f>
        <v>商船三井</v>
      </c>
      <c r="C259" s="1">
        <f>_xll.RssMarket("9104","高値")</f>
        <v>6108</v>
      </c>
      <c r="E259" s="1">
        <v>6108</v>
      </c>
      <c r="F259" s="1">
        <v>6023</v>
      </c>
      <c r="G259" s="1">
        <v>6064</v>
      </c>
      <c r="H259" s="1">
        <v>5833</v>
      </c>
      <c r="I259" s="1">
        <v>5974</v>
      </c>
      <c r="J259" s="1">
        <v>5955</v>
      </c>
      <c r="K259" s="1">
        <v>5984</v>
      </c>
      <c r="L259" s="1">
        <v>5895</v>
      </c>
      <c r="M259" s="1">
        <v>6022</v>
      </c>
      <c r="N259" s="1">
        <v>5881</v>
      </c>
      <c r="O259" s="1">
        <v>5820</v>
      </c>
      <c r="P259" s="1">
        <v>5784</v>
      </c>
      <c r="Q259" s="1">
        <v>5690</v>
      </c>
      <c r="R259" s="1">
        <v>5688</v>
      </c>
      <c r="S259" s="1">
        <v>5617</v>
      </c>
      <c r="T259" s="1">
        <v>5505</v>
      </c>
      <c r="U259" s="1">
        <v>5398</v>
      </c>
      <c r="V259" s="1">
        <v>5460</v>
      </c>
      <c r="W259" s="1">
        <v>5550</v>
      </c>
      <c r="X259" s="1">
        <v>5491</v>
      </c>
      <c r="Y259" s="1">
        <v>5344</v>
      </c>
      <c r="Z259" s="1">
        <v>5395</v>
      </c>
      <c r="AA259" s="1">
        <v>5277</v>
      </c>
      <c r="AB259" s="1">
        <v>5123</v>
      </c>
      <c r="AC259" s="1">
        <v>5215</v>
      </c>
      <c r="AD259" s="1">
        <v>5290</v>
      </c>
      <c r="AE259" s="1">
        <v>5296</v>
      </c>
      <c r="AF259" s="1">
        <v>5301</v>
      </c>
      <c r="AG259" s="1">
        <v>5380</v>
      </c>
      <c r="AH259" s="1">
        <v>5447</v>
      </c>
      <c r="AI259" s="1">
        <v>5342</v>
      </c>
      <c r="AJ259" s="1">
        <v>5333</v>
      </c>
      <c r="AK259" s="1">
        <v>5345</v>
      </c>
      <c r="AL259" s="1">
        <v>5420</v>
      </c>
      <c r="AM259" s="1">
        <v>5532</v>
      </c>
      <c r="AN259" s="1">
        <v>5750</v>
      </c>
      <c r="AO259" s="1">
        <v>5811</v>
      </c>
      <c r="AP259" s="1">
        <v>5785</v>
      </c>
      <c r="AQ259" s="1">
        <v>5815</v>
      </c>
      <c r="AR259" s="1">
        <v>5878</v>
      </c>
      <c r="AS259" s="1">
        <v>5849</v>
      </c>
      <c r="AT259" s="1">
        <v>5856</v>
      </c>
      <c r="AU259" s="1">
        <v>5608</v>
      </c>
      <c r="AV259" s="1">
        <v>5485</v>
      </c>
      <c r="AW259" s="1">
        <v>5509</v>
      </c>
      <c r="AX259" s="1">
        <v>5532</v>
      </c>
      <c r="AY259" s="1">
        <v>5508</v>
      </c>
      <c r="AZ259" s="1">
        <v>5581</v>
      </c>
      <c r="BA259" s="1">
        <v>5693</v>
      </c>
      <c r="BB259" s="1">
        <v>5705</v>
      </c>
      <c r="BC259" s="1">
        <v>5828</v>
      </c>
      <c r="BD259" s="1">
        <v>5810</v>
      </c>
      <c r="BE259" s="1">
        <v>5888</v>
      </c>
      <c r="BF259" s="1">
        <v>5942</v>
      </c>
      <c r="BG259" s="1">
        <v>5925</v>
      </c>
      <c r="BH259" s="1">
        <v>5901</v>
      </c>
      <c r="BI259" s="1">
        <v>5989</v>
      </c>
      <c r="BJ259" s="1">
        <v>5971</v>
      </c>
      <c r="BK259" s="1">
        <v>5898</v>
      </c>
      <c r="BL259" s="1">
        <v>5810</v>
      </c>
      <c r="BM259" s="1">
        <v>5980</v>
      </c>
      <c r="BN259" s="1">
        <v>5992</v>
      </c>
      <c r="BO259" s="1">
        <v>6127</v>
      </c>
      <c r="BP259" s="1">
        <v>6039</v>
      </c>
      <c r="BQ259" s="1">
        <v>5950</v>
      </c>
      <c r="BR259" s="1">
        <v>6187</v>
      </c>
      <c r="BS259" s="1">
        <v>6155</v>
      </c>
      <c r="BT259" s="1">
        <v>6156</v>
      </c>
      <c r="BU259" s="1">
        <v>6140</v>
      </c>
      <c r="BV259" s="1">
        <v>6284</v>
      </c>
      <c r="BW259" s="1">
        <v>6419</v>
      </c>
      <c r="BX259" s="1">
        <v>6433</v>
      </c>
      <c r="BY259" s="1">
        <v>6448</v>
      </c>
      <c r="BZ259" s="1">
        <v>6475</v>
      </c>
    </row>
    <row r="260" spans="1:254">
      <c r="A260" s="62" t="s">
        <v>473</v>
      </c>
      <c r="B260" s="1" t="str">
        <f>銘柄管理!C260</f>
        <v>千代田化工建</v>
      </c>
      <c r="C260" s="1">
        <f>_xll.RssMarket("6366","高値")</f>
        <v>717</v>
      </c>
      <c r="E260" s="1">
        <v>717</v>
      </c>
      <c r="F260" s="1">
        <v>710</v>
      </c>
      <c r="G260" s="1">
        <v>679</v>
      </c>
      <c r="H260" s="1">
        <v>655</v>
      </c>
      <c r="I260" s="1">
        <v>665</v>
      </c>
      <c r="J260" s="1">
        <v>648</v>
      </c>
      <c r="K260" s="1">
        <v>703</v>
      </c>
      <c r="L260" s="1">
        <v>734</v>
      </c>
      <c r="M260" s="1">
        <v>726</v>
      </c>
      <c r="N260" s="1">
        <v>707</v>
      </c>
      <c r="O260" s="1">
        <v>708</v>
      </c>
      <c r="P260" s="1">
        <v>716</v>
      </c>
      <c r="Q260" s="1">
        <v>695</v>
      </c>
      <c r="R260" s="1">
        <v>664</v>
      </c>
      <c r="S260" s="1">
        <v>702</v>
      </c>
      <c r="T260" s="1">
        <v>677</v>
      </c>
      <c r="U260" s="1">
        <v>691</v>
      </c>
      <c r="V260" s="1">
        <v>695</v>
      </c>
      <c r="W260" s="1">
        <v>701</v>
      </c>
      <c r="X260" s="1">
        <v>734</v>
      </c>
      <c r="Y260" s="1">
        <v>760</v>
      </c>
      <c r="Z260" s="1">
        <v>755</v>
      </c>
      <c r="AA260" s="1">
        <v>699</v>
      </c>
      <c r="AB260" s="1">
        <v>695</v>
      </c>
      <c r="AC260" s="1">
        <v>678</v>
      </c>
      <c r="AD260" s="1">
        <v>690</v>
      </c>
      <c r="AE260" s="1">
        <v>686</v>
      </c>
      <c r="AF260" s="1">
        <v>683</v>
      </c>
      <c r="AG260" s="1">
        <v>733</v>
      </c>
      <c r="AH260" s="1">
        <v>740</v>
      </c>
      <c r="AI260" s="1">
        <v>737</v>
      </c>
      <c r="AJ260" s="1">
        <v>747</v>
      </c>
      <c r="AK260" s="1">
        <v>795</v>
      </c>
      <c r="AL260" s="1">
        <v>818</v>
      </c>
      <c r="AM260" s="1">
        <v>821</v>
      </c>
      <c r="AN260" s="1">
        <v>770</v>
      </c>
      <c r="AO260" s="1">
        <v>837</v>
      </c>
      <c r="AP260" s="1">
        <v>730</v>
      </c>
      <c r="AQ260" s="1">
        <v>669</v>
      </c>
      <c r="AR260" s="1">
        <v>699</v>
      </c>
      <c r="AS260" s="1">
        <v>718</v>
      </c>
      <c r="AT260" s="1">
        <v>743</v>
      </c>
      <c r="AU260" s="1">
        <v>731</v>
      </c>
      <c r="AV260" s="1">
        <v>733</v>
      </c>
      <c r="AW260" s="1">
        <v>726</v>
      </c>
      <c r="AX260" s="1">
        <v>770</v>
      </c>
      <c r="AY260" s="1">
        <v>776</v>
      </c>
      <c r="AZ260" s="1">
        <v>835</v>
      </c>
      <c r="BA260" s="1">
        <v>868</v>
      </c>
      <c r="BB260" s="1">
        <v>750</v>
      </c>
      <c r="BC260" s="1">
        <v>740</v>
      </c>
      <c r="BD260" s="1">
        <v>757</v>
      </c>
      <c r="BE260" s="1">
        <v>785</v>
      </c>
      <c r="BF260" s="1">
        <v>817</v>
      </c>
      <c r="BG260" s="1">
        <v>842</v>
      </c>
      <c r="BH260" s="1">
        <v>856</v>
      </c>
      <c r="BI260" s="1">
        <v>859</v>
      </c>
      <c r="BJ260" s="1">
        <v>833</v>
      </c>
      <c r="BK260" s="1">
        <v>994</v>
      </c>
      <c r="BL260" s="1">
        <v>1008</v>
      </c>
      <c r="BM260" s="1">
        <v>1059</v>
      </c>
      <c r="BN260" s="1">
        <v>1025</v>
      </c>
      <c r="BO260" s="1">
        <v>1071</v>
      </c>
      <c r="BP260" s="1">
        <v>1074</v>
      </c>
      <c r="BQ260" s="1">
        <v>1060</v>
      </c>
      <c r="BR260" s="1">
        <v>1074</v>
      </c>
      <c r="BS260" s="1">
        <v>1083</v>
      </c>
      <c r="BT260" s="1">
        <v>1072</v>
      </c>
      <c r="BU260" s="1">
        <v>1116</v>
      </c>
      <c r="BV260" s="1">
        <v>1173</v>
      </c>
      <c r="BW260" s="1">
        <v>1226</v>
      </c>
      <c r="BX260" s="1">
        <v>1190</v>
      </c>
      <c r="BY260" s="1">
        <v>1193</v>
      </c>
      <c r="BZ260" s="1">
        <v>1178</v>
      </c>
    </row>
    <row r="261" spans="1:254">
      <c r="A261" s="62" t="s">
        <v>474</v>
      </c>
      <c r="B261" s="1" t="str">
        <f>銘柄管理!C261</f>
        <v>旭ダイヤモンド</v>
      </c>
      <c r="C261" s="1">
        <f>_xll.RssMarket("6140","高値")</f>
        <v>1209</v>
      </c>
      <c r="E261" s="1">
        <v>1209</v>
      </c>
      <c r="F261" s="1">
        <v>1224</v>
      </c>
      <c r="G261" s="1">
        <v>1140</v>
      </c>
      <c r="H261" s="1">
        <v>1107</v>
      </c>
      <c r="I261" s="1">
        <v>1122</v>
      </c>
      <c r="J261" s="1">
        <v>1073</v>
      </c>
      <c r="K261" s="1">
        <v>1085</v>
      </c>
      <c r="L261" s="1">
        <v>1133</v>
      </c>
      <c r="M261" s="1">
        <v>1146</v>
      </c>
      <c r="O261" s="1">
        <v>1158</v>
      </c>
      <c r="P261" s="1">
        <v>1169</v>
      </c>
      <c r="Q261" s="1">
        <v>1174</v>
      </c>
      <c r="R261" s="1">
        <v>1190</v>
      </c>
      <c r="S261" s="1">
        <v>1242</v>
      </c>
      <c r="T261" s="1">
        <v>1187</v>
      </c>
      <c r="U261" s="1">
        <v>1197</v>
      </c>
      <c r="V261" s="1">
        <v>1203</v>
      </c>
      <c r="W261" s="1">
        <v>1199</v>
      </c>
      <c r="X261" s="1">
        <v>1192</v>
      </c>
      <c r="Y261" s="1">
        <v>1245</v>
      </c>
      <c r="Z261" s="1">
        <v>1273</v>
      </c>
      <c r="AA261" s="1">
        <v>1249</v>
      </c>
      <c r="AB261" s="1">
        <v>1234</v>
      </c>
      <c r="AC261" s="1">
        <v>1245</v>
      </c>
      <c r="AD261" s="1">
        <v>1240</v>
      </c>
      <c r="AE261" s="1">
        <v>1238</v>
      </c>
      <c r="AF261" s="1">
        <v>1240</v>
      </c>
      <c r="AG261" s="1">
        <v>1244</v>
      </c>
      <c r="AH261" s="1">
        <v>1250</v>
      </c>
      <c r="AI261" s="1">
        <v>1345</v>
      </c>
      <c r="AJ261" s="1">
        <v>1345</v>
      </c>
      <c r="AK261" s="1">
        <v>1359</v>
      </c>
      <c r="AL261" s="1">
        <v>1337</v>
      </c>
      <c r="AM261" s="1">
        <v>1348</v>
      </c>
      <c r="AN261" s="1">
        <v>1329</v>
      </c>
      <c r="AO261" s="1">
        <v>1319</v>
      </c>
      <c r="AP261" s="1">
        <v>1263</v>
      </c>
      <c r="AQ261" s="1">
        <v>1221</v>
      </c>
      <c r="AR261" s="1">
        <v>1260</v>
      </c>
      <c r="AS261" s="1">
        <v>1315</v>
      </c>
      <c r="AT261" s="1">
        <v>1353</v>
      </c>
      <c r="AU261" s="1">
        <v>1329</v>
      </c>
      <c r="AV261" s="1">
        <v>1346</v>
      </c>
      <c r="AW261" s="1">
        <v>1358</v>
      </c>
      <c r="AX261" s="1">
        <v>1385</v>
      </c>
      <c r="AY261" s="1">
        <v>1368</v>
      </c>
      <c r="AZ261" s="1">
        <v>1439</v>
      </c>
      <c r="BA261" s="1">
        <v>1399</v>
      </c>
      <c r="BB261" s="1">
        <v>1380</v>
      </c>
      <c r="BC261" s="1">
        <v>1320</v>
      </c>
      <c r="BD261" s="1">
        <v>1295</v>
      </c>
      <c r="BE261" s="1">
        <v>1316</v>
      </c>
      <c r="BF261" s="1">
        <v>1318</v>
      </c>
      <c r="BG261" s="1">
        <v>1387</v>
      </c>
      <c r="BH261" s="1">
        <v>1417</v>
      </c>
      <c r="BI261" s="1">
        <v>1397</v>
      </c>
      <c r="BJ261" s="1">
        <v>1372</v>
      </c>
      <c r="BK261" s="1">
        <v>1348</v>
      </c>
      <c r="BL261" s="1">
        <v>1336</v>
      </c>
      <c r="BM261" s="1">
        <v>1327</v>
      </c>
      <c r="BN261" s="1">
        <v>1301</v>
      </c>
      <c r="BO261" s="1">
        <v>1305</v>
      </c>
      <c r="BP261" s="1">
        <v>1319</v>
      </c>
      <c r="BQ261" s="1">
        <v>1324</v>
      </c>
      <c r="BR261" s="1">
        <v>1352</v>
      </c>
      <c r="BS261" s="1">
        <v>1331</v>
      </c>
      <c r="BT261" s="1">
        <v>1325</v>
      </c>
      <c r="BU261" s="1">
        <v>1363</v>
      </c>
      <c r="BV261" s="1">
        <v>1430</v>
      </c>
      <c r="BW261" s="1">
        <v>1339</v>
      </c>
      <c r="BX261" s="1">
        <v>1192</v>
      </c>
      <c r="BY261" s="1">
        <v>1202</v>
      </c>
      <c r="BZ261" s="1">
        <v>1186</v>
      </c>
    </row>
    <row r="262" spans="1:254">
      <c r="A262" s="62" t="s">
        <v>475</v>
      </c>
      <c r="B262" s="1" t="str">
        <f>銘柄管理!C262</f>
        <v>住石ホールディングス</v>
      </c>
      <c r="C262" s="1">
        <f>_xll.RssMarket("1514","高値")</f>
        <v>596</v>
      </c>
      <c r="E262" s="1">
        <v>596</v>
      </c>
      <c r="F262" s="1">
        <v>605</v>
      </c>
      <c r="G262" s="1">
        <v>604</v>
      </c>
      <c r="H262" s="1">
        <v>606</v>
      </c>
      <c r="I262" s="1">
        <v>582</v>
      </c>
      <c r="J262" s="1">
        <v>577</v>
      </c>
      <c r="K262" s="1">
        <v>586</v>
      </c>
      <c r="L262" s="1">
        <v>592</v>
      </c>
      <c r="M262" s="1">
        <v>602</v>
      </c>
      <c r="N262" s="1">
        <v>607</v>
      </c>
      <c r="O262" s="1">
        <v>607</v>
      </c>
      <c r="P262" s="1">
        <v>603</v>
      </c>
      <c r="Q262" s="1">
        <v>586</v>
      </c>
      <c r="R262" s="1">
        <v>583</v>
      </c>
      <c r="S262" s="1">
        <v>593</v>
      </c>
      <c r="T262" s="1">
        <v>592</v>
      </c>
      <c r="U262" s="1">
        <v>587</v>
      </c>
      <c r="V262" s="1">
        <v>587</v>
      </c>
      <c r="W262" s="1">
        <v>566</v>
      </c>
      <c r="X262" s="1">
        <v>560</v>
      </c>
      <c r="Y262" s="1">
        <v>585</v>
      </c>
      <c r="Z262" s="1">
        <v>586</v>
      </c>
      <c r="AA262" s="1">
        <v>550</v>
      </c>
      <c r="AB262" s="1">
        <v>550</v>
      </c>
      <c r="AC262" s="1">
        <v>529</v>
      </c>
      <c r="AD262" s="1">
        <v>529</v>
      </c>
      <c r="AE262" s="1">
        <v>537</v>
      </c>
      <c r="AF262" s="1">
        <v>528</v>
      </c>
      <c r="AG262" s="1">
        <v>532</v>
      </c>
      <c r="AH262" s="1">
        <v>544</v>
      </c>
      <c r="AI262" s="1">
        <v>554</v>
      </c>
      <c r="AJ262" s="1">
        <v>559</v>
      </c>
      <c r="AK262" s="1">
        <v>534</v>
      </c>
      <c r="AL262" s="1">
        <v>561</v>
      </c>
      <c r="AM262" s="1">
        <v>566</v>
      </c>
      <c r="AN262" s="1">
        <v>555</v>
      </c>
      <c r="AO262" s="1">
        <v>557</v>
      </c>
      <c r="AP262" s="1">
        <v>560</v>
      </c>
      <c r="AQ262" s="1">
        <v>555</v>
      </c>
      <c r="AR262" s="1">
        <v>561</v>
      </c>
      <c r="AS262" s="1">
        <v>583</v>
      </c>
      <c r="AT262" s="1">
        <v>588</v>
      </c>
      <c r="AU262" s="1">
        <v>569</v>
      </c>
      <c r="AV262" s="1">
        <v>569</v>
      </c>
      <c r="AW262" s="1">
        <v>571</v>
      </c>
      <c r="AX262" s="1">
        <v>595</v>
      </c>
      <c r="AY262" s="1">
        <v>615</v>
      </c>
      <c r="AZ262" s="1">
        <v>629</v>
      </c>
      <c r="BA262" s="1">
        <v>606</v>
      </c>
      <c r="BB262" s="1">
        <v>612</v>
      </c>
      <c r="BC262" s="1">
        <v>605</v>
      </c>
      <c r="BD262" s="1">
        <v>617</v>
      </c>
      <c r="BE262" s="1">
        <v>634</v>
      </c>
      <c r="BF262" s="1">
        <v>681</v>
      </c>
      <c r="BG262" s="1">
        <v>725</v>
      </c>
      <c r="BH262" s="1">
        <v>731</v>
      </c>
      <c r="BI262" s="1">
        <v>742</v>
      </c>
      <c r="BJ262" s="1">
        <v>753</v>
      </c>
      <c r="BK262" s="1">
        <v>755</v>
      </c>
      <c r="BL262" s="1">
        <v>760</v>
      </c>
      <c r="BM262" s="1">
        <v>755</v>
      </c>
      <c r="BN262" s="1">
        <v>766</v>
      </c>
      <c r="BO262" s="1">
        <v>795</v>
      </c>
      <c r="BP262" s="1">
        <v>784</v>
      </c>
      <c r="BQ262" s="1">
        <v>784</v>
      </c>
      <c r="BR262" s="1">
        <v>818</v>
      </c>
      <c r="BS262" s="1">
        <v>847</v>
      </c>
      <c r="BT262" s="1">
        <v>872</v>
      </c>
      <c r="BU262" s="1">
        <v>870</v>
      </c>
      <c r="BV262" s="1">
        <v>876</v>
      </c>
      <c r="BW262" s="1">
        <v>878</v>
      </c>
      <c r="BX262" s="1">
        <v>902</v>
      </c>
      <c r="BY262" s="1">
        <v>856</v>
      </c>
      <c r="BZ262" s="1">
        <v>856</v>
      </c>
    </row>
    <row r="263" spans="1:254">
      <c r="A263" s="62" t="s">
        <v>476</v>
      </c>
      <c r="B263" s="1" t="str">
        <f>銘柄管理!C263</f>
        <v>日本製鋼所</v>
      </c>
      <c r="C263" s="1">
        <f>_xll.RssMarket("5631","高値")</f>
        <v>7810</v>
      </c>
      <c r="E263" s="1">
        <v>7810</v>
      </c>
      <c r="F263" s="1">
        <v>7843</v>
      </c>
      <c r="G263" s="1">
        <v>7770</v>
      </c>
      <c r="H263" s="1">
        <v>7602</v>
      </c>
      <c r="I263" s="1">
        <v>7755</v>
      </c>
      <c r="J263" s="1">
        <v>7410</v>
      </c>
      <c r="K263" s="1">
        <v>7512</v>
      </c>
      <c r="L263" s="1">
        <v>7711</v>
      </c>
      <c r="M263" s="1">
        <v>7872</v>
      </c>
      <c r="N263" s="1">
        <v>7850</v>
      </c>
      <c r="O263" s="1">
        <v>7815</v>
      </c>
      <c r="P263" s="1">
        <v>7633</v>
      </c>
      <c r="Q263" s="1">
        <v>7558</v>
      </c>
      <c r="R263" s="1">
        <v>7759</v>
      </c>
      <c r="S263" s="1">
        <v>7848</v>
      </c>
      <c r="T263" s="1">
        <v>7749</v>
      </c>
      <c r="U263" s="1">
        <v>7892</v>
      </c>
      <c r="V263" s="1">
        <v>8061</v>
      </c>
      <c r="W263" s="1">
        <v>8150</v>
      </c>
      <c r="X263" s="1">
        <v>8647</v>
      </c>
      <c r="Y263" s="1">
        <v>8697</v>
      </c>
      <c r="Z263" s="1">
        <v>8550</v>
      </c>
      <c r="AA263" s="1">
        <v>8100</v>
      </c>
      <c r="AB263" s="1">
        <v>8078</v>
      </c>
      <c r="AC263" s="1">
        <v>7977</v>
      </c>
      <c r="AD263" s="1">
        <v>7840</v>
      </c>
      <c r="AE263" s="1">
        <v>7929</v>
      </c>
      <c r="AF263" s="1">
        <v>7968</v>
      </c>
      <c r="AG263" s="1">
        <v>8024</v>
      </c>
      <c r="AH263" s="1">
        <v>8157</v>
      </c>
      <c r="AI263" s="1">
        <v>8280</v>
      </c>
      <c r="AJ263" s="1">
        <v>8190</v>
      </c>
      <c r="AK263" s="1">
        <v>8317</v>
      </c>
      <c r="AL263" s="1">
        <v>8618</v>
      </c>
      <c r="AM263" s="1">
        <v>8479</v>
      </c>
      <c r="AN263" s="1">
        <v>7883</v>
      </c>
      <c r="AO263" s="1">
        <v>7963</v>
      </c>
      <c r="AP263" s="1">
        <v>7628</v>
      </c>
      <c r="AQ263" s="1">
        <v>7173</v>
      </c>
      <c r="AR263" s="1">
        <v>7320</v>
      </c>
      <c r="AS263" s="1">
        <v>7786</v>
      </c>
      <c r="AT263" s="1">
        <v>8143</v>
      </c>
      <c r="AU263" s="1">
        <v>7466</v>
      </c>
      <c r="AV263" s="1">
        <v>7438</v>
      </c>
      <c r="AW263" s="1">
        <v>7451</v>
      </c>
      <c r="AX263" s="1">
        <v>7922</v>
      </c>
      <c r="AY263" s="1">
        <v>8210</v>
      </c>
      <c r="AZ263" s="1">
        <v>8450</v>
      </c>
      <c r="BA263" s="1">
        <v>8122</v>
      </c>
      <c r="BB263" s="1">
        <v>7965</v>
      </c>
      <c r="BC263" s="1">
        <v>8085</v>
      </c>
      <c r="BD263" s="1">
        <v>8179</v>
      </c>
      <c r="BE263" s="1">
        <v>8141</v>
      </c>
      <c r="BF263" s="1">
        <v>7901</v>
      </c>
      <c r="BG263" s="1">
        <v>8253</v>
      </c>
      <c r="BH263" s="1">
        <v>8870</v>
      </c>
      <c r="BI263" s="1">
        <v>8928</v>
      </c>
      <c r="BJ263" s="1">
        <v>9169</v>
      </c>
      <c r="BK263" s="1">
        <v>9387</v>
      </c>
      <c r="BL263" s="1">
        <v>9375</v>
      </c>
      <c r="BM263" s="1">
        <v>9432</v>
      </c>
      <c r="BN263" s="1">
        <v>9530</v>
      </c>
      <c r="BO263" s="1">
        <v>9768</v>
      </c>
      <c r="BP263" s="1">
        <v>9880</v>
      </c>
      <c r="BQ263" s="1">
        <v>9807</v>
      </c>
      <c r="BR263" s="1">
        <v>9973</v>
      </c>
      <c r="BS263" s="1">
        <v>9837</v>
      </c>
      <c r="BT263" s="1">
        <v>9525</v>
      </c>
      <c r="BU263" s="1">
        <v>9545</v>
      </c>
      <c r="BV263" s="1">
        <v>9292</v>
      </c>
      <c r="BW263" s="1">
        <v>9245</v>
      </c>
      <c r="BX263" s="1">
        <v>9376</v>
      </c>
      <c r="BY263" s="1">
        <v>9850</v>
      </c>
      <c r="BZ263" s="1">
        <v>9916</v>
      </c>
    </row>
    <row r="264" spans="1:254">
      <c r="A264" s="62" t="s">
        <v>477</v>
      </c>
      <c r="B264" s="1" t="str">
        <f>銘柄管理!C264</f>
        <v>ジーエス・ユアサコーポ</v>
      </c>
      <c r="C264" s="1">
        <f>_xll.RssMarket("6674","高値")</f>
        <v>5736</v>
      </c>
      <c r="E264" s="1">
        <v>5736</v>
      </c>
      <c r="F264" s="1">
        <v>6314</v>
      </c>
      <c r="G264" s="1">
        <v>5769</v>
      </c>
      <c r="H264" s="1">
        <v>5564</v>
      </c>
      <c r="I264" s="1">
        <v>5673</v>
      </c>
      <c r="J264" s="1">
        <v>5386</v>
      </c>
      <c r="K264" s="1">
        <v>5439</v>
      </c>
      <c r="L264" s="1">
        <v>5678</v>
      </c>
      <c r="M264" s="1">
        <v>5850</v>
      </c>
      <c r="N264" s="1">
        <v>5973</v>
      </c>
      <c r="O264" s="1">
        <v>6117</v>
      </c>
      <c r="P264" s="1">
        <v>6149</v>
      </c>
      <c r="Q264" s="1">
        <v>5820</v>
      </c>
      <c r="R264" s="1">
        <v>5855</v>
      </c>
      <c r="S264" s="1">
        <v>6126</v>
      </c>
      <c r="T264" s="1">
        <v>6008</v>
      </c>
      <c r="U264" s="1">
        <v>6324</v>
      </c>
      <c r="V264" s="1">
        <v>6362</v>
      </c>
      <c r="W264" s="1">
        <v>6251</v>
      </c>
      <c r="X264" s="1">
        <v>6392</v>
      </c>
      <c r="Y264" s="1">
        <v>6652</v>
      </c>
      <c r="Z264" s="1">
        <v>6825</v>
      </c>
      <c r="AA264" s="1">
        <v>6798</v>
      </c>
      <c r="AB264" s="1">
        <v>6794</v>
      </c>
      <c r="AC264" s="1">
        <v>6788</v>
      </c>
      <c r="AD264" s="1">
        <v>6711</v>
      </c>
      <c r="AE264" s="1">
        <v>6774</v>
      </c>
      <c r="AF264" s="1">
        <v>7125</v>
      </c>
      <c r="AG264" s="1">
        <v>7447</v>
      </c>
      <c r="AH264" s="1">
        <v>7267</v>
      </c>
      <c r="AI264" s="1">
        <v>7603</v>
      </c>
      <c r="AJ264" s="1">
        <v>7899</v>
      </c>
      <c r="AK264" s="1">
        <v>7108</v>
      </c>
      <c r="AL264" s="1">
        <v>6786</v>
      </c>
      <c r="AM264" s="1">
        <v>6880</v>
      </c>
      <c r="AN264" s="1">
        <v>6750</v>
      </c>
      <c r="AO264" s="1">
        <v>6432</v>
      </c>
      <c r="AP264" s="1">
        <v>6536</v>
      </c>
      <c r="AQ264" s="1">
        <v>6357</v>
      </c>
      <c r="AR264" s="1">
        <v>6819</v>
      </c>
      <c r="AS264" s="1">
        <v>6940</v>
      </c>
      <c r="AT264" s="1">
        <v>7466</v>
      </c>
      <c r="AU264" s="1">
        <v>7600</v>
      </c>
      <c r="AV264" s="1">
        <v>7542</v>
      </c>
      <c r="AW264" s="1">
        <v>7070</v>
      </c>
      <c r="AX264" s="1">
        <v>6790</v>
      </c>
      <c r="AY264" s="1">
        <v>6471</v>
      </c>
      <c r="AZ264" s="1">
        <v>6524</v>
      </c>
      <c r="BA264" s="1">
        <v>6373</v>
      </c>
      <c r="BB264" s="1">
        <v>6244</v>
      </c>
      <c r="BC264" s="1">
        <v>6184</v>
      </c>
      <c r="BD264" s="1">
        <v>6336</v>
      </c>
      <c r="BE264" s="1">
        <v>6420</v>
      </c>
      <c r="BF264" s="1">
        <v>6432</v>
      </c>
      <c r="BG264" s="1">
        <v>6712</v>
      </c>
      <c r="BH264" s="1">
        <v>6515</v>
      </c>
      <c r="BI264" s="1">
        <v>6948</v>
      </c>
      <c r="BJ264" s="1">
        <v>6841</v>
      </c>
      <c r="BK264" s="1">
        <v>6863</v>
      </c>
      <c r="BL264" s="1">
        <v>6635</v>
      </c>
      <c r="BM264" s="1">
        <v>6670</v>
      </c>
      <c r="BN264" s="1">
        <v>6392</v>
      </c>
      <c r="BO264" s="1">
        <v>6362</v>
      </c>
      <c r="BP264" s="1">
        <v>6200</v>
      </c>
      <c r="BQ264" s="1">
        <v>6361</v>
      </c>
      <c r="BR264" s="1">
        <v>6323</v>
      </c>
      <c r="BS264" s="1">
        <v>6437</v>
      </c>
      <c r="BT264" s="1">
        <v>6536</v>
      </c>
      <c r="BU264" s="1">
        <v>6820</v>
      </c>
      <c r="BV264" s="1">
        <v>6801</v>
      </c>
      <c r="BW264" s="1">
        <v>6813</v>
      </c>
      <c r="BX264" s="1">
        <v>6846</v>
      </c>
      <c r="BY264" s="1">
        <v>6812</v>
      </c>
      <c r="BZ264" s="1">
        <v>6688</v>
      </c>
    </row>
    <row r="265" spans="1:254">
      <c r="A265" s="62" t="s">
        <v>478</v>
      </c>
      <c r="B265" s="1" t="str">
        <f>銘柄管理!C265</f>
        <v>ＦＤＫ</v>
      </c>
      <c r="C265" s="1">
        <f>_xll.RssMarket("6955","高値")</f>
        <v>415</v>
      </c>
      <c r="E265" s="1">
        <v>415</v>
      </c>
      <c r="F265" s="1">
        <v>405</v>
      </c>
      <c r="G265" s="1">
        <v>394</v>
      </c>
      <c r="H265" s="1">
        <v>387</v>
      </c>
      <c r="I265" s="1">
        <v>399</v>
      </c>
      <c r="J265" s="1">
        <v>394</v>
      </c>
      <c r="K265" s="1">
        <v>397</v>
      </c>
      <c r="L265" s="1">
        <v>410</v>
      </c>
      <c r="M265" s="1">
        <v>410</v>
      </c>
      <c r="O265" s="1">
        <v>420</v>
      </c>
      <c r="P265" s="1">
        <v>425</v>
      </c>
      <c r="Q265" s="1">
        <v>413</v>
      </c>
      <c r="R265" s="1">
        <v>411</v>
      </c>
      <c r="S265" s="1">
        <v>434</v>
      </c>
      <c r="T265" s="1">
        <v>443</v>
      </c>
      <c r="U265" s="1">
        <v>449</v>
      </c>
      <c r="V265" s="1">
        <v>448</v>
      </c>
      <c r="W265" s="1">
        <v>435</v>
      </c>
      <c r="X265" s="1">
        <v>444</v>
      </c>
      <c r="Y265" s="1">
        <v>457</v>
      </c>
      <c r="Z265" s="1">
        <v>489</v>
      </c>
      <c r="AA265" s="1">
        <v>499</v>
      </c>
      <c r="AB265" s="1">
        <v>501</v>
      </c>
      <c r="AC265" s="1">
        <v>502</v>
      </c>
      <c r="AD265" s="1">
        <v>507</v>
      </c>
      <c r="AE265" s="1">
        <v>510</v>
      </c>
      <c r="AF265" s="1">
        <v>520</v>
      </c>
      <c r="AG265" s="1">
        <v>535</v>
      </c>
      <c r="AH265" s="1">
        <v>526</v>
      </c>
      <c r="AI265" s="1">
        <v>560</v>
      </c>
      <c r="AJ265" s="1">
        <v>552</v>
      </c>
      <c r="AK265" s="1">
        <v>521</v>
      </c>
      <c r="AL265" s="1">
        <v>527</v>
      </c>
      <c r="AM265" s="1">
        <v>536</v>
      </c>
      <c r="AN265" s="1">
        <v>520</v>
      </c>
      <c r="AO265" s="1">
        <v>517</v>
      </c>
      <c r="AP265" s="1">
        <v>523</v>
      </c>
      <c r="AQ265" s="1">
        <v>517</v>
      </c>
      <c r="AR265" s="1">
        <v>600</v>
      </c>
      <c r="AS265" s="1">
        <v>674</v>
      </c>
      <c r="AT265" s="1">
        <v>574</v>
      </c>
      <c r="AU265" s="1">
        <v>549</v>
      </c>
      <c r="AV265" s="1">
        <v>517</v>
      </c>
      <c r="AW265" s="1">
        <v>470</v>
      </c>
      <c r="AX265" s="1">
        <v>451</v>
      </c>
      <c r="AY265" s="1">
        <v>452</v>
      </c>
      <c r="AZ265" s="1">
        <v>434</v>
      </c>
      <c r="BA265" s="1">
        <v>416</v>
      </c>
      <c r="BB265" s="1">
        <v>418</v>
      </c>
      <c r="BC265" s="1">
        <v>415</v>
      </c>
      <c r="BD265" s="1">
        <v>420</v>
      </c>
      <c r="BE265" s="1">
        <v>422</v>
      </c>
      <c r="BF265" s="1">
        <v>418</v>
      </c>
      <c r="BG265" s="1">
        <v>437</v>
      </c>
      <c r="BH265" s="1">
        <v>434</v>
      </c>
      <c r="BI265" s="1">
        <v>436</v>
      </c>
      <c r="BJ265" s="1">
        <v>442</v>
      </c>
      <c r="BK265" s="1">
        <v>443</v>
      </c>
      <c r="BL265" s="1">
        <v>459</v>
      </c>
      <c r="BM265" s="1">
        <v>479</v>
      </c>
      <c r="BN265" s="1">
        <v>434</v>
      </c>
      <c r="BO265" s="1">
        <v>447</v>
      </c>
      <c r="BP265" s="1">
        <v>454</v>
      </c>
      <c r="BQ265" s="1">
        <v>460</v>
      </c>
      <c r="BR265" s="1">
        <v>456</v>
      </c>
      <c r="BS265" s="1">
        <v>456</v>
      </c>
      <c r="BT265" s="1">
        <v>450</v>
      </c>
      <c r="BU265" s="1">
        <v>465</v>
      </c>
      <c r="BV265" s="1">
        <v>462</v>
      </c>
      <c r="BW265" s="1">
        <v>461</v>
      </c>
      <c r="BX265" s="1">
        <v>469</v>
      </c>
      <c r="BY265" s="1">
        <v>466</v>
      </c>
      <c r="BZ265" s="1">
        <v>460</v>
      </c>
    </row>
    <row r="266" spans="1:254">
      <c r="A266" s="62" t="s">
        <v>479</v>
      </c>
      <c r="B266" s="1" t="str">
        <f>銘柄管理!C266</f>
        <v>インフォメティス</v>
      </c>
      <c r="C266" s="1">
        <f>_xll.RssMarket("281A","高値")</f>
        <v>472</v>
      </c>
      <c r="E266" s="1">
        <v>472</v>
      </c>
      <c r="F266" s="1">
        <v>476</v>
      </c>
      <c r="G266" s="1">
        <v>477</v>
      </c>
      <c r="H266" s="1">
        <v>459</v>
      </c>
      <c r="I266" s="1">
        <v>431</v>
      </c>
      <c r="J266" s="1">
        <v>424</v>
      </c>
      <c r="K266" s="1">
        <v>429</v>
      </c>
      <c r="L266" s="1">
        <v>446</v>
      </c>
      <c r="M266" s="1">
        <v>460</v>
      </c>
      <c r="N266" s="1">
        <v>529</v>
      </c>
      <c r="O266" s="1">
        <v>475</v>
      </c>
      <c r="P266" s="1">
        <v>480</v>
      </c>
      <c r="Q266" s="1">
        <v>475</v>
      </c>
      <c r="R266" s="1">
        <v>470</v>
      </c>
      <c r="S266" s="1">
        <v>518</v>
      </c>
      <c r="T266" s="1">
        <v>527</v>
      </c>
      <c r="U266" s="1">
        <v>538</v>
      </c>
      <c r="V266" s="1">
        <v>525</v>
      </c>
      <c r="W266" s="1">
        <v>499</v>
      </c>
      <c r="X266" s="1">
        <v>519</v>
      </c>
      <c r="Y266" s="1">
        <v>652</v>
      </c>
      <c r="Z266" s="1">
        <v>652</v>
      </c>
      <c r="AA266" s="1">
        <v>629</v>
      </c>
      <c r="AB266" s="1">
        <v>691</v>
      </c>
      <c r="AC266" s="1">
        <v>666</v>
      </c>
      <c r="AD266" s="1">
        <v>713</v>
      </c>
      <c r="AE266" s="1">
        <v>750</v>
      </c>
      <c r="AF266" s="1">
        <v>735</v>
      </c>
      <c r="AG266" s="1">
        <v>798</v>
      </c>
      <c r="AH266" s="1">
        <v>737</v>
      </c>
      <c r="AI266" s="1">
        <v>673</v>
      </c>
      <c r="AJ266" s="1">
        <v>623</v>
      </c>
      <c r="AK266" s="1">
        <v>620</v>
      </c>
      <c r="AL266" s="1">
        <v>663</v>
      </c>
      <c r="AM266" s="1">
        <v>657</v>
      </c>
      <c r="AN266" s="1">
        <v>728</v>
      </c>
      <c r="AO266" s="1">
        <v>634</v>
      </c>
      <c r="AP266" s="1">
        <v>566</v>
      </c>
      <c r="AQ266" s="1">
        <v>572</v>
      </c>
      <c r="AR266" s="1">
        <v>555</v>
      </c>
      <c r="AS266" s="1">
        <v>601</v>
      </c>
      <c r="AT266" s="1">
        <v>645</v>
      </c>
      <c r="AU266" s="1">
        <v>705</v>
      </c>
      <c r="AV266" s="1">
        <v>709</v>
      </c>
      <c r="AW266" s="1">
        <v>740</v>
      </c>
      <c r="AX266" s="1">
        <v>859</v>
      </c>
      <c r="AY266" s="1">
        <v>891</v>
      </c>
      <c r="AZ266" s="1">
        <v>897</v>
      </c>
      <c r="BA266" s="1">
        <v>923</v>
      </c>
      <c r="BB266" s="1">
        <v>823</v>
      </c>
      <c r="BC266" s="1">
        <v>788</v>
      </c>
      <c r="BD266" s="1">
        <v>841</v>
      </c>
      <c r="BE266" s="1">
        <v>932</v>
      </c>
      <c r="BF266" s="1">
        <v>850</v>
      </c>
      <c r="BG266" s="1">
        <v>860</v>
      </c>
      <c r="BH266" s="1">
        <v>771</v>
      </c>
      <c r="BI266" s="1">
        <v>772</v>
      </c>
      <c r="BJ266" s="1">
        <v>840</v>
      </c>
      <c r="BK266" s="1">
        <v>842</v>
      </c>
      <c r="BL266" s="1">
        <v>819</v>
      </c>
      <c r="BM266" s="1">
        <v>762</v>
      </c>
      <c r="BN266" s="1">
        <v>752</v>
      </c>
      <c r="BO266" s="1">
        <v>730</v>
      </c>
      <c r="BP266" s="1">
        <v>785</v>
      </c>
      <c r="BQ266" s="1">
        <v>849</v>
      </c>
      <c r="BR266" s="1">
        <v>822</v>
      </c>
      <c r="BS266" s="1">
        <v>822</v>
      </c>
      <c r="BT266" s="1">
        <v>885</v>
      </c>
      <c r="BU266" s="1">
        <v>1060</v>
      </c>
      <c r="BV266" s="1">
        <v>958</v>
      </c>
      <c r="BW266" s="1">
        <v>857</v>
      </c>
      <c r="BX266" s="1">
        <v>840</v>
      </c>
      <c r="BY266" s="1">
        <v>780</v>
      </c>
      <c r="BZ266" s="1">
        <v>764</v>
      </c>
    </row>
    <row r="267" spans="1:254">
      <c r="A267" s="62" t="s">
        <v>480</v>
      </c>
      <c r="B267" s="1" t="str">
        <f>銘柄管理!C267</f>
        <v>日本ギア工業</v>
      </c>
      <c r="C267" s="1">
        <f>_xll.RssMarket("6356","高値")</f>
        <v>1394</v>
      </c>
      <c r="E267" s="1">
        <v>1394</v>
      </c>
      <c r="F267" s="1">
        <v>1389</v>
      </c>
      <c r="G267" s="1">
        <v>1347</v>
      </c>
      <c r="H267" s="1">
        <v>1305</v>
      </c>
      <c r="I267" s="1">
        <v>1396</v>
      </c>
      <c r="J267" s="1">
        <v>1285</v>
      </c>
      <c r="K267" s="1">
        <v>1312</v>
      </c>
      <c r="L267" s="1">
        <v>1386</v>
      </c>
      <c r="M267" s="1">
        <v>1400</v>
      </c>
      <c r="N267" s="1">
        <v>1418</v>
      </c>
      <c r="O267" s="1">
        <v>1421</v>
      </c>
      <c r="P267" s="1">
        <v>1438</v>
      </c>
      <c r="Q267" s="1">
        <v>1411</v>
      </c>
      <c r="R267" s="1">
        <v>1514</v>
      </c>
      <c r="S267" s="1">
        <v>1579</v>
      </c>
      <c r="T267" s="1">
        <v>1574</v>
      </c>
      <c r="U267" s="1">
        <v>1545</v>
      </c>
      <c r="V267" s="1">
        <v>1509</v>
      </c>
      <c r="W267" s="1">
        <v>1549</v>
      </c>
      <c r="X267" s="1">
        <v>1570</v>
      </c>
      <c r="Y267" s="1">
        <v>1715</v>
      </c>
      <c r="Z267" s="1">
        <v>1895</v>
      </c>
      <c r="AA267" s="1">
        <v>1668</v>
      </c>
      <c r="AB267" s="1">
        <v>1567</v>
      </c>
      <c r="AC267" s="1">
        <v>1515</v>
      </c>
      <c r="AD267" s="1">
        <v>1520</v>
      </c>
      <c r="AE267" s="1">
        <v>1579</v>
      </c>
      <c r="AF267" s="1">
        <v>1509</v>
      </c>
      <c r="AG267" s="1">
        <v>1530</v>
      </c>
      <c r="AH267" s="1">
        <v>1544</v>
      </c>
      <c r="AI267" s="1">
        <v>1593</v>
      </c>
      <c r="AJ267" s="1">
        <v>1609</v>
      </c>
      <c r="AK267" s="1">
        <v>1570</v>
      </c>
      <c r="AL267" s="1">
        <v>1606</v>
      </c>
      <c r="AM267" s="1">
        <v>1678</v>
      </c>
      <c r="AN267" s="1">
        <v>1445</v>
      </c>
      <c r="AO267" s="1">
        <v>1460</v>
      </c>
      <c r="AP267" s="1">
        <v>1475</v>
      </c>
      <c r="AQ267" s="1">
        <v>1391</v>
      </c>
      <c r="AR267" s="1">
        <v>1555</v>
      </c>
      <c r="AS267" s="1">
        <v>1534</v>
      </c>
      <c r="AT267" s="1">
        <v>1653</v>
      </c>
      <c r="AU267" s="1">
        <v>1507</v>
      </c>
      <c r="AV267" s="1">
        <v>1530</v>
      </c>
      <c r="AW267" s="1">
        <v>1515</v>
      </c>
      <c r="AX267" s="1">
        <v>1741</v>
      </c>
      <c r="AY267" s="1">
        <v>1728</v>
      </c>
      <c r="AZ267" s="1">
        <v>1845</v>
      </c>
      <c r="BA267" s="1">
        <v>1594</v>
      </c>
      <c r="BB267" s="1">
        <v>1509</v>
      </c>
      <c r="BC267" s="1">
        <v>1395</v>
      </c>
      <c r="BD267" s="1">
        <v>1415</v>
      </c>
      <c r="BE267" s="1">
        <v>1473</v>
      </c>
      <c r="BF267" s="1">
        <v>1511</v>
      </c>
      <c r="BG267" s="1">
        <v>1439</v>
      </c>
      <c r="BH267" s="1">
        <v>1514</v>
      </c>
      <c r="BI267" s="1">
        <v>1680</v>
      </c>
      <c r="BJ267" s="1">
        <v>1591</v>
      </c>
      <c r="BK267" s="1">
        <v>1550</v>
      </c>
      <c r="BL267" s="1">
        <v>1542</v>
      </c>
      <c r="BM267" s="1">
        <v>1507</v>
      </c>
      <c r="BN267" s="1">
        <v>1628</v>
      </c>
      <c r="BO267" s="1">
        <v>1743</v>
      </c>
      <c r="BP267" s="1">
        <v>1764</v>
      </c>
      <c r="BQ267" s="1">
        <v>1693</v>
      </c>
      <c r="BR267" s="1">
        <v>1768</v>
      </c>
      <c r="BS267" s="1">
        <v>1526</v>
      </c>
      <c r="BT267" s="1">
        <v>1269</v>
      </c>
      <c r="BU267" s="1">
        <v>1326</v>
      </c>
      <c r="BV267" s="1">
        <v>1362</v>
      </c>
      <c r="BW267" s="1">
        <v>1365</v>
      </c>
      <c r="BX267" s="1">
        <v>1406</v>
      </c>
      <c r="BY267" s="1">
        <v>1368</v>
      </c>
      <c r="BZ267" s="1">
        <v>1352</v>
      </c>
    </row>
    <row r="268" spans="1:254">
      <c r="A268" s="62" t="s">
        <v>481</v>
      </c>
      <c r="B268" s="1" t="str">
        <f>銘柄管理!C268</f>
        <v>助川電気工業</v>
      </c>
      <c r="C268" s="1">
        <f>_xll.RssMarket("7711","高値")</f>
        <v>5020</v>
      </c>
      <c r="E268" s="1">
        <v>5020</v>
      </c>
      <c r="F268" s="1">
        <v>4675</v>
      </c>
      <c r="G268" s="1">
        <v>4495</v>
      </c>
      <c r="H268" s="1">
        <v>4355</v>
      </c>
      <c r="I268" s="1">
        <v>4340</v>
      </c>
      <c r="J268" s="1">
        <v>4220</v>
      </c>
      <c r="K268" s="1">
        <v>4270</v>
      </c>
      <c r="L268" s="1">
        <v>4450</v>
      </c>
      <c r="M268" s="1">
        <v>4530</v>
      </c>
      <c r="O268" s="1">
        <v>4830</v>
      </c>
      <c r="P268" s="1">
        <v>4810</v>
      </c>
      <c r="Q268" s="1">
        <v>4640</v>
      </c>
      <c r="R268" s="1">
        <v>4865</v>
      </c>
      <c r="S268" s="1">
        <v>5220</v>
      </c>
      <c r="T268" s="1">
        <v>5160</v>
      </c>
      <c r="U268" s="1">
        <v>4860</v>
      </c>
      <c r="V268" s="1">
        <v>4820</v>
      </c>
      <c r="W268" s="1">
        <v>4900</v>
      </c>
      <c r="X268" s="1">
        <v>5070</v>
      </c>
      <c r="Y268" s="1">
        <v>5250</v>
      </c>
      <c r="Z268" s="1">
        <v>5190</v>
      </c>
      <c r="AA268" s="1">
        <v>5050</v>
      </c>
      <c r="AB268" s="1">
        <v>4985</v>
      </c>
      <c r="AC268" s="1">
        <v>4915</v>
      </c>
      <c r="AD268" s="1">
        <v>4975</v>
      </c>
      <c r="AE268" s="1">
        <v>5070</v>
      </c>
      <c r="AF268" s="1">
        <v>5030</v>
      </c>
      <c r="AG268" s="1">
        <v>5180</v>
      </c>
      <c r="AH268" s="1">
        <v>5180</v>
      </c>
      <c r="AI268" s="1">
        <v>5460</v>
      </c>
      <c r="AJ268" s="1">
        <v>5840</v>
      </c>
      <c r="AK268" s="1">
        <v>5690</v>
      </c>
      <c r="AL268" s="1">
        <v>5740</v>
      </c>
      <c r="AM268" s="1">
        <v>5650</v>
      </c>
      <c r="AN268" s="1">
        <v>4985</v>
      </c>
      <c r="AO268" s="1">
        <v>4940</v>
      </c>
      <c r="AP268" s="1">
        <v>4880</v>
      </c>
      <c r="AQ268" s="1">
        <v>4655</v>
      </c>
      <c r="AR268" s="1">
        <v>4840</v>
      </c>
      <c r="AS268" s="1">
        <v>5240</v>
      </c>
      <c r="AT268" s="1">
        <v>5720</v>
      </c>
      <c r="AU268" s="1">
        <v>5140</v>
      </c>
      <c r="AV268" s="1">
        <v>5240</v>
      </c>
      <c r="AW268" s="1">
        <v>5340</v>
      </c>
      <c r="AX268" s="1">
        <v>5450</v>
      </c>
      <c r="AY268" s="1">
        <v>5510</v>
      </c>
      <c r="AZ268" s="1">
        <v>5980</v>
      </c>
      <c r="BA268" s="1">
        <v>5560</v>
      </c>
      <c r="BB268" s="1">
        <v>5370</v>
      </c>
      <c r="BC268" s="1">
        <v>5180</v>
      </c>
      <c r="BD268" s="1">
        <v>5210</v>
      </c>
      <c r="BE268" s="1">
        <v>5440</v>
      </c>
      <c r="BF268" s="1">
        <v>5470</v>
      </c>
      <c r="BG268" s="1">
        <v>5610</v>
      </c>
      <c r="BH268" s="1">
        <v>5710</v>
      </c>
      <c r="BI268" s="1">
        <v>5730</v>
      </c>
      <c r="BJ268" s="1">
        <v>5860</v>
      </c>
      <c r="BK268" s="1">
        <v>6070</v>
      </c>
      <c r="BL268" s="1">
        <v>6200</v>
      </c>
      <c r="BM268" s="1">
        <v>6830</v>
      </c>
      <c r="BN268" s="1">
        <v>6010</v>
      </c>
      <c r="BO268" s="1">
        <v>6110</v>
      </c>
      <c r="BP268" s="1">
        <v>6220</v>
      </c>
      <c r="BQ268" s="1">
        <v>6380</v>
      </c>
      <c r="BR268" s="1">
        <v>6640</v>
      </c>
      <c r="BS268" s="1">
        <v>6720</v>
      </c>
      <c r="BT268" s="1">
        <v>6620</v>
      </c>
      <c r="BU268" s="1">
        <v>6390</v>
      </c>
      <c r="BV268" s="1">
        <v>6450</v>
      </c>
      <c r="BW268" s="1">
        <v>6370</v>
      </c>
      <c r="BX268" s="1">
        <v>6470</v>
      </c>
      <c r="BY268" s="1">
        <v>6350</v>
      </c>
      <c r="BZ268" s="1">
        <v>6420</v>
      </c>
    </row>
    <row r="269" spans="1:254">
      <c r="A269" s="62" t="s">
        <v>482</v>
      </c>
      <c r="B269" s="1" t="str">
        <f>銘柄管理!C269</f>
        <v>日機装</v>
      </c>
      <c r="C269" s="1">
        <f>_xll.RssMarket("6376","高値")</f>
        <v>4160</v>
      </c>
      <c r="E269" s="1">
        <v>4160</v>
      </c>
      <c r="F269" s="1">
        <v>4090</v>
      </c>
      <c r="G269" s="1">
        <v>3985</v>
      </c>
      <c r="H269" s="1">
        <v>3805</v>
      </c>
      <c r="I269" s="1">
        <v>3810</v>
      </c>
      <c r="J269" s="1">
        <v>3640</v>
      </c>
      <c r="K269" s="1">
        <v>3740</v>
      </c>
      <c r="L269" s="1">
        <v>3995</v>
      </c>
      <c r="M269" s="1">
        <v>4095</v>
      </c>
      <c r="N269" s="1">
        <v>4020</v>
      </c>
      <c r="O269" s="1">
        <v>4095</v>
      </c>
      <c r="P269" s="1">
        <v>4165</v>
      </c>
      <c r="Q269" s="1">
        <v>4155</v>
      </c>
      <c r="R269" s="1">
        <v>3880</v>
      </c>
      <c r="S269" s="1">
        <v>3930</v>
      </c>
      <c r="T269" s="1">
        <v>3810</v>
      </c>
      <c r="U269" s="1">
        <v>3720</v>
      </c>
      <c r="V269" s="1">
        <v>3790</v>
      </c>
      <c r="W269" s="1">
        <v>3810</v>
      </c>
      <c r="X269" s="1">
        <v>3915</v>
      </c>
      <c r="Y269" s="1">
        <v>4090</v>
      </c>
      <c r="Z269" s="1">
        <v>4200</v>
      </c>
      <c r="AA269" s="1">
        <v>4085</v>
      </c>
      <c r="AB269" s="1">
        <v>4030</v>
      </c>
      <c r="AC269" s="1">
        <v>4135</v>
      </c>
      <c r="AD269" s="1">
        <v>4230</v>
      </c>
      <c r="AE269" s="1">
        <v>4240</v>
      </c>
      <c r="AF269" s="1">
        <v>4295</v>
      </c>
      <c r="AG269" s="1">
        <v>4215</v>
      </c>
      <c r="AH269" s="1">
        <v>4060</v>
      </c>
      <c r="AI269" s="1">
        <v>4160</v>
      </c>
      <c r="AJ269" s="1">
        <v>4090</v>
      </c>
      <c r="AK269" s="1">
        <v>4010</v>
      </c>
      <c r="AL269" s="1">
        <v>4080</v>
      </c>
      <c r="AM269" s="1">
        <v>3970</v>
      </c>
      <c r="AN269" s="1">
        <v>3780</v>
      </c>
      <c r="AO269" s="1">
        <v>3900</v>
      </c>
      <c r="AP269" s="1">
        <v>3695</v>
      </c>
      <c r="AQ269" s="1">
        <v>3600</v>
      </c>
      <c r="AR269" s="1">
        <v>3665</v>
      </c>
      <c r="AS269" s="1">
        <v>3295</v>
      </c>
      <c r="AT269" s="1">
        <v>3345</v>
      </c>
      <c r="AU269" s="1">
        <v>3215</v>
      </c>
      <c r="AV269" s="1">
        <v>3200</v>
      </c>
      <c r="AW269" s="1">
        <v>3300</v>
      </c>
      <c r="AX269" s="1">
        <v>3340</v>
      </c>
      <c r="AY269" s="1">
        <v>3300</v>
      </c>
      <c r="AZ269" s="1">
        <v>3530</v>
      </c>
      <c r="BA269" s="1">
        <v>3475</v>
      </c>
      <c r="BB269" s="1">
        <v>3250</v>
      </c>
      <c r="BC269" s="1">
        <v>3120</v>
      </c>
      <c r="BD269" s="1">
        <v>2941</v>
      </c>
      <c r="BE269" s="1">
        <v>3100</v>
      </c>
      <c r="BF269" s="1">
        <v>3050</v>
      </c>
      <c r="BG269" s="1">
        <v>2939</v>
      </c>
      <c r="BH269" s="1">
        <v>2687</v>
      </c>
      <c r="BI269" s="1">
        <v>2682</v>
      </c>
      <c r="BJ269" s="1">
        <v>2739</v>
      </c>
      <c r="BK269" s="1">
        <v>2693</v>
      </c>
      <c r="BL269" s="1">
        <v>2664</v>
      </c>
      <c r="BM269" s="1">
        <v>2717</v>
      </c>
      <c r="BN269" s="1">
        <v>2673</v>
      </c>
      <c r="BO269" s="1">
        <v>2683</v>
      </c>
      <c r="BP269" s="1">
        <v>2634</v>
      </c>
      <c r="BQ269" s="1">
        <v>2680</v>
      </c>
      <c r="BR269" s="1">
        <v>2694</v>
      </c>
      <c r="BS269" s="1">
        <v>2588</v>
      </c>
      <c r="BT269" s="1">
        <v>2581</v>
      </c>
      <c r="BU269" s="1">
        <v>2670</v>
      </c>
      <c r="BV269" s="1">
        <v>2680</v>
      </c>
      <c r="BW269" s="1">
        <v>2734</v>
      </c>
      <c r="BX269" s="1">
        <v>2778</v>
      </c>
      <c r="BY269" s="1">
        <v>2890</v>
      </c>
      <c r="BZ269" s="1">
        <v>2899</v>
      </c>
    </row>
    <row r="270" spans="1:254">
      <c r="A270" s="62" t="s">
        <v>483</v>
      </c>
      <c r="B270" s="1" t="str">
        <f>銘柄管理!C270</f>
        <v>明海グループ</v>
      </c>
      <c r="C270" s="1">
        <f>_xll.RssMarket("9115","高値")</f>
        <v>900</v>
      </c>
      <c r="E270" s="1">
        <v>900</v>
      </c>
      <c r="F270" s="1">
        <v>924</v>
      </c>
      <c r="G270" s="1">
        <v>864</v>
      </c>
      <c r="H270" s="1">
        <v>822</v>
      </c>
      <c r="I270" s="1">
        <v>815</v>
      </c>
      <c r="J270" s="1">
        <v>792</v>
      </c>
      <c r="K270" s="1">
        <v>894</v>
      </c>
      <c r="L270" s="1">
        <v>908</v>
      </c>
      <c r="M270" s="1">
        <v>924</v>
      </c>
      <c r="N270" s="1">
        <v>900</v>
      </c>
      <c r="O270" s="1">
        <v>898</v>
      </c>
      <c r="P270" s="1">
        <v>894</v>
      </c>
      <c r="Q270" s="1">
        <v>841</v>
      </c>
      <c r="R270" s="1">
        <v>842</v>
      </c>
      <c r="S270" s="1">
        <v>865</v>
      </c>
      <c r="T270" s="1">
        <v>834</v>
      </c>
      <c r="U270" s="1">
        <v>830</v>
      </c>
      <c r="V270" s="1">
        <v>844</v>
      </c>
      <c r="W270" s="1">
        <v>847</v>
      </c>
      <c r="X270" s="1">
        <v>830</v>
      </c>
      <c r="Y270" s="1">
        <v>849</v>
      </c>
      <c r="Z270" s="1">
        <v>861</v>
      </c>
      <c r="AA270" s="1">
        <v>841</v>
      </c>
      <c r="AB270" s="1">
        <v>840</v>
      </c>
      <c r="AC270" s="1">
        <v>822</v>
      </c>
      <c r="AD270" s="1">
        <v>814</v>
      </c>
      <c r="AE270" s="1">
        <v>829</v>
      </c>
      <c r="AF270" s="1">
        <v>800</v>
      </c>
      <c r="AG270" s="1">
        <v>800</v>
      </c>
      <c r="AH270" s="1">
        <v>818</v>
      </c>
      <c r="AI270" s="1">
        <v>840</v>
      </c>
      <c r="AJ270" s="1">
        <v>781</v>
      </c>
      <c r="AK270" s="1">
        <v>790</v>
      </c>
      <c r="AL270" s="1">
        <v>814</v>
      </c>
      <c r="AM270" s="1">
        <v>839</v>
      </c>
      <c r="AN270" s="1">
        <v>848</v>
      </c>
      <c r="AO270" s="1">
        <v>853</v>
      </c>
      <c r="AP270" s="1">
        <v>905</v>
      </c>
      <c r="AQ270" s="1">
        <v>919</v>
      </c>
      <c r="AR270" s="1">
        <v>940</v>
      </c>
      <c r="AS270" s="1">
        <v>989</v>
      </c>
      <c r="AT270" s="1">
        <v>1017</v>
      </c>
      <c r="AU270" s="1">
        <v>1011</v>
      </c>
      <c r="AV270" s="1">
        <v>1066</v>
      </c>
      <c r="AW270" s="1">
        <v>1070</v>
      </c>
      <c r="AX270" s="1">
        <v>1145</v>
      </c>
      <c r="AY270" s="1">
        <v>1170</v>
      </c>
      <c r="AZ270" s="1">
        <v>1197</v>
      </c>
      <c r="BA270" s="1">
        <v>1198</v>
      </c>
      <c r="BB270" s="1">
        <v>1156</v>
      </c>
      <c r="BC270" s="1">
        <v>1147</v>
      </c>
      <c r="BD270" s="1">
        <v>1146</v>
      </c>
      <c r="BE270" s="1">
        <v>1208</v>
      </c>
      <c r="BF270" s="1">
        <v>1247</v>
      </c>
      <c r="BG270" s="1">
        <v>1253</v>
      </c>
      <c r="BH270" s="1">
        <v>1272</v>
      </c>
      <c r="BI270" s="1">
        <v>1232</v>
      </c>
      <c r="BJ270" s="1">
        <v>1278</v>
      </c>
      <c r="BK270" s="1">
        <v>1278</v>
      </c>
      <c r="BL270" s="1">
        <v>1303</v>
      </c>
      <c r="BM270" s="1">
        <v>1335</v>
      </c>
      <c r="BN270" s="1">
        <v>1313</v>
      </c>
      <c r="BO270" s="1">
        <v>1277</v>
      </c>
      <c r="BP270" s="1">
        <v>1281</v>
      </c>
      <c r="BQ270" s="1">
        <v>1217</v>
      </c>
      <c r="BR270" s="1">
        <v>1209</v>
      </c>
      <c r="BS270" s="1">
        <v>1245</v>
      </c>
      <c r="BT270" s="1">
        <v>1253</v>
      </c>
      <c r="BU270" s="1">
        <v>1300</v>
      </c>
      <c r="BV270" s="1">
        <v>1313</v>
      </c>
      <c r="BW270" s="1">
        <v>1313</v>
      </c>
      <c r="BX270" s="1">
        <v>1315</v>
      </c>
      <c r="BY270" s="1">
        <v>1377</v>
      </c>
      <c r="BZ270" s="1">
        <v>1340</v>
      </c>
    </row>
    <row r="271" spans="1:254">
      <c r="A271" s="62" t="s">
        <v>484</v>
      </c>
      <c r="B271" s="1" t="str">
        <f>銘柄管理!C271</f>
        <v>三菱製紙</v>
      </c>
      <c r="C271" s="1">
        <f>_xll.RssMarket("3864","高値")</f>
        <v>1176</v>
      </c>
      <c r="E271" s="1">
        <v>1176</v>
      </c>
      <c r="F271" s="1">
        <v>1189</v>
      </c>
      <c r="G271" s="1">
        <v>1160</v>
      </c>
      <c r="H271" s="1">
        <v>1150</v>
      </c>
      <c r="I271" s="1">
        <v>1144</v>
      </c>
      <c r="J271" s="1">
        <v>1122</v>
      </c>
      <c r="K271" s="1">
        <v>1124</v>
      </c>
      <c r="L271" s="1">
        <v>1140</v>
      </c>
      <c r="M271" s="1">
        <v>1154</v>
      </c>
      <c r="N271" s="1">
        <v>1197</v>
      </c>
      <c r="O271" s="1">
        <v>1210</v>
      </c>
      <c r="P271" s="1">
        <v>1186</v>
      </c>
      <c r="Q271" s="1">
        <v>1226</v>
      </c>
      <c r="R271" s="1">
        <v>1100</v>
      </c>
      <c r="S271" s="1">
        <v>1118</v>
      </c>
      <c r="T271" s="1">
        <v>1087</v>
      </c>
      <c r="U271" s="1">
        <v>1070</v>
      </c>
      <c r="V271" s="1">
        <v>1017</v>
      </c>
      <c r="W271" s="1">
        <v>1012</v>
      </c>
      <c r="X271" s="1">
        <v>1022</v>
      </c>
      <c r="Y271" s="1">
        <v>1023</v>
      </c>
      <c r="Z271" s="1">
        <v>1027</v>
      </c>
      <c r="AA271" s="1">
        <v>1018</v>
      </c>
      <c r="AB271" s="1">
        <v>1020</v>
      </c>
      <c r="AC271" s="1">
        <v>1027</v>
      </c>
      <c r="AD271" s="1">
        <v>1029</v>
      </c>
      <c r="AE271" s="1">
        <v>1048</v>
      </c>
      <c r="AF271" s="1">
        <v>1054</v>
      </c>
      <c r="AG271" s="1">
        <v>1044</v>
      </c>
      <c r="AH271" s="1">
        <v>1036</v>
      </c>
      <c r="AI271" s="1">
        <v>1048</v>
      </c>
      <c r="AJ271" s="1">
        <v>1041</v>
      </c>
      <c r="AK271" s="1">
        <v>1050</v>
      </c>
      <c r="AL271" s="1">
        <v>1077</v>
      </c>
      <c r="AM271" s="1">
        <v>1087</v>
      </c>
      <c r="AN271" s="1">
        <v>1091</v>
      </c>
      <c r="AO271" s="1">
        <v>1106</v>
      </c>
      <c r="AP271" s="1">
        <v>1078</v>
      </c>
      <c r="AQ271" s="1">
        <v>1070</v>
      </c>
      <c r="AR271" s="1">
        <v>1081</v>
      </c>
      <c r="AS271" s="1">
        <v>1058</v>
      </c>
      <c r="AT271" s="1">
        <v>1061</v>
      </c>
      <c r="AU271" s="1">
        <v>1063</v>
      </c>
      <c r="AV271" s="1">
        <v>1072</v>
      </c>
      <c r="AW271" s="1">
        <v>1064</v>
      </c>
      <c r="AX271" s="1">
        <v>1137</v>
      </c>
      <c r="AY271" s="1">
        <v>1136</v>
      </c>
      <c r="AZ271" s="1">
        <v>1117</v>
      </c>
      <c r="BA271" s="1">
        <v>1106</v>
      </c>
      <c r="BB271" s="1">
        <v>1119</v>
      </c>
      <c r="BC271" s="1">
        <v>1090</v>
      </c>
      <c r="BD271" s="1">
        <v>1038</v>
      </c>
      <c r="BE271" s="1">
        <v>1079</v>
      </c>
      <c r="BF271" s="1">
        <v>1038</v>
      </c>
      <c r="BG271" s="1">
        <v>1017</v>
      </c>
      <c r="BH271" s="1">
        <v>941</v>
      </c>
      <c r="BI271" s="1">
        <v>931</v>
      </c>
      <c r="BJ271" s="1">
        <v>945</v>
      </c>
      <c r="BK271" s="1">
        <v>949</v>
      </c>
      <c r="BL271" s="1">
        <v>953</v>
      </c>
      <c r="BM271" s="1">
        <v>941</v>
      </c>
      <c r="BN271" s="1">
        <v>939</v>
      </c>
      <c r="BO271" s="1">
        <v>943</v>
      </c>
      <c r="BP271" s="1">
        <v>952</v>
      </c>
      <c r="BQ271" s="1">
        <v>967</v>
      </c>
      <c r="BR271" s="1">
        <v>961</v>
      </c>
      <c r="BS271" s="1">
        <v>965</v>
      </c>
      <c r="BT271" s="1">
        <v>991</v>
      </c>
      <c r="BU271" s="1">
        <v>987</v>
      </c>
      <c r="BV271" s="1">
        <v>996</v>
      </c>
      <c r="BW271" s="1">
        <v>998</v>
      </c>
      <c r="BX271" s="1">
        <v>995</v>
      </c>
      <c r="BY271" s="1">
        <v>951</v>
      </c>
      <c r="BZ271" s="1">
        <v>932</v>
      </c>
    </row>
    <row r="272" spans="1:254">
      <c r="A272" s="62" t="s">
        <v>485</v>
      </c>
      <c r="B272" s="1" t="str">
        <f>銘柄管理!C272</f>
        <v>日本ケミコン</v>
      </c>
      <c r="C272" s="1">
        <f>_xll.RssMarket("6997","高値")</f>
        <v>3365</v>
      </c>
      <c r="E272" s="1">
        <v>3365</v>
      </c>
      <c r="F272" s="1">
        <v>3565</v>
      </c>
      <c r="G272" s="1">
        <v>3305</v>
      </c>
      <c r="H272" s="1">
        <v>3250</v>
      </c>
      <c r="I272" s="1">
        <v>3130</v>
      </c>
      <c r="J272" s="1">
        <v>2775</v>
      </c>
      <c r="K272" s="1">
        <v>2881</v>
      </c>
      <c r="L272" s="1">
        <v>3010</v>
      </c>
      <c r="M272" s="1">
        <v>3325</v>
      </c>
      <c r="N272" s="1">
        <v>3375</v>
      </c>
      <c r="O272" s="1">
        <v>3430</v>
      </c>
      <c r="P272" s="1">
        <v>3510</v>
      </c>
      <c r="Q272" s="1">
        <v>3220</v>
      </c>
      <c r="R272" s="1">
        <v>3375</v>
      </c>
      <c r="S272" s="1">
        <v>3735</v>
      </c>
      <c r="T272" s="1">
        <v>3710</v>
      </c>
      <c r="U272" s="1">
        <v>4130</v>
      </c>
      <c r="V272" s="1">
        <v>4140</v>
      </c>
      <c r="W272" s="1">
        <v>4080</v>
      </c>
      <c r="X272" s="1">
        <v>4480</v>
      </c>
      <c r="Y272" s="1">
        <v>4905</v>
      </c>
      <c r="Z272" s="1">
        <v>5550</v>
      </c>
      <c r="AA272" s="1">
        <v>5600</v>
      </c>
      <c r="AB272" s="1">
        <v>5620</v>
      </c>
      <c r="AC272" s="1">
        <v>5900</v>
      </c>
      <c r="AD272" s="1">
        <v>5650</v>
      </c>
      <c r="AE272" s="1">
        <v>5870</v>
      </c>
      <c r="AF272" s="1">
        <v>6100</v>
      </c>
      <c r="AG272" s="1">
        <v>6180</v>
      </c>
      <c r="AH272" s="1">
        <v>6090</v>
      </c>
      <c r="AI272" s="1">
        <v>6040</v>
      </c>
      <c r="AJ272" s="1">
        <v>6190</v>
      </c>
      <c r="AK272" s="1">
        <v>5940</v>
      </c>
      <c r="AL272" s="1">
        <v>5690</v>
      </c>
      <c r="AM272" s="1">
        <v>5240</v>
      </c>
      <c r="AN272" s="1">
        <v>4800</v>
      </c>
      <c r="AO272" s="1">
        <v>4790</v>
      </c>
      <c r="AP272" s="1">
        <v>4545</v>
      </c>
      <c r="AQ272" s="1">
        <v>4225</v>
      </c>
      <c r="AR272" s="1">
        <v>4420</v>
      </c>
      <c r="AS272" s="1">
        <v>4730</v>
      </c>
      <c r="AT272" s="1">
        <v>5160</v>
      </c>
      <c r="AU272" s="1">
        <v>5130</v>
      </c>
      <c r="AV272" s="1">
        <v>5020</v>
      </c>
      <c r="AW272" s="1">
        <v>5670</v>
      </c>
      <c r="AX272" s="1">
        <v>5080</v>
      </c>
      <c r="AY272" s="1">
        <v>4380</v>
      </c>
      <c r="AZ272" s="1">
        <v>4210</v>
      </c>
      <c r="BA272" s="1">
        <v>4065</v>
      </c>
      <c r="BB272" s="1">
        <v>3425</v>
      </c>
      <c r="BC272" s="1">
        <v>3110</v>
      </c>
      <c r="BD272" s="1">
        <v>3110</v>
      </c>
      <c r="BE272" s="1">
        <v>3080</v>
      </c>
      <c r="BF272" s="1">
        <v>3120</v>
      </c>
      <c r="BG272" s="1">
        <v>3550</v>
      </c>
      <c r="BH272" s="1">
        <v>3540</v>
      </c>
      <c r="BI272" s="1">
        <v>3205</v>
      </c>
      <c r="BJ272" s="1">
        <v>3300</v>
      </c>
      <c r="BK272" s="1">
        <v>3300</v>
      </c>
      <c r="BL272" s="1">
        <v>3255</v>
      </c>
      <c r="BM272" s="1">
        <v>3140</v>
      </c>
      <c r="BN272" s="1">
        <v>2670</v>
      </c>
      <c r="BO272" s="1">
        <v>2741</v>
      </c>
      <c r="BP272" s="1">
        <v>2462</v>
      </c>
      <c r="BQ272" s="1">
        <v>2397</v>
      </c>
      <c r="BR272" s="1">
        <v>2350</v>
      </c>
      <c r="BS272" s="1">
        <v>2454</v>
      </c>
      <c r="BT272" s="1">
        <v>2457</v>
      </c>
      <c r="BU272" s="1">
        <v>2494</v>
      </c>
      <c r="BV272" s="1">
        <v>2484</v>
      </c>
      <c r="BW272" s="1">
        <v>2277</v>
      </c>
      <c r="BX272" s="1">
        <v>2290</v>
      </c>
      <c r="BY272" s="1">
        <v>2074</v>
      </c>
      <c r="BZ272" s="1">
        <v>1958</v>
      </c>
    </row>
    <row r="273" spans="1:254">
      <c r="A273" s="62" t="s">
        <v>486</v>
      </c>
      <c r="B273" s="1" t="str">
        <f>銘柄管理!C273</f>
        <v>ＨＵグループＨＤ</v>
      </c>
      <c r="C273" s="1">
        <f>_xll.RssMarket("4544","高値")</f>
        <v>3380</v>
      </c>
      <c r="E273" s="1">
        <v>3380</v>
      </c>
      <c r="F273" s="1">
        <v>3355</v>
      </c>
      <c r="G273" s="1">
        <v>3364</v>
      </c>
      <c r="H273" s="1">
        <v>3400</v>
      </c>
      <c r="I273" s="1">
        <v>3469</v>
      </c>
      <c r="J273" s="1">
        <v>3592</v>
      </c>
      <c r="K273" s="1">
        <v>3612</v>
      </c>
      <c r="L273" s="1">
        <v>3496</v>
      </c>
      <c r="M273" s="1">
        <v>3434</v>
      </c>
      <c r="N273" s="1">
        <v>3349</v>
      </c>
      <c r="O273" s="1">
        <v>3323</v>
      </c>
      <c r="P273" s="1">
        <v>3372</v>
      </c>
      <c r="Q273" s="1">
        <v>3408</v>
      </c>
      <c r="R273" s="1">
        <v>3409</v>
      </c>
      <c r="S273" s="1">
        <v>3375</v>
      </c>
      <c r="T273" s="1">
        <v>3383</v>
      </c>
      <c r="U273" s="1">
        <v>3400</v>
      </c>
      <c r="V273" s="1">
        <v>3397</v>
      </c>
      <c r="W273" s="1">
        <v>3487</v>
      </c>
      <c r="X273" s="1">
        <v>3523</v>
      </c>
      <c r="Y273" s="1">
        <v>3470</v>
      </c>
      <c r="Z273" s="1">
        <v>3450</v>
      </c>
      <c r="AA273" s="1">
        <v>3431</v>
      </c>
      <c r="AB273" s="1">
        <v>3415</v>
      </c>
      <c r="AC273" s="1">
        <v>3304</v>
      </c>
      <c r="AD273" s="1">
        <v>3300</v>
      </c>
      <c r="AE273" s="1">
        <v>3354</v>
      </c>
      <c r="AF273" s="1">
        <v>3245</v>
      </c>
      <c r="AG273" s="1">
        <v>3239</v>
      </c>
      <c r="AH273" s="1">
        <v>3205</v>
      </c>
      <c r="AI273" s="1">
        <v>3172</v>
      </c>
      <c r="AJ273" s="1">
        <v>3185</v>
      </c>
      <c r="AK273" s="1">
        <v>3173</v>
      </c>
      <c r="AL273" s="1">
        <v>3189</v>
      </c>
      <c r="AM273" s="1">
        <v>3251</v>
      </c>
      <c r="AN273" s="1">
        <v>3257</v>
      </c>
      <c r="AO273" s="1">
        <v>3392</v>
      </c>
      <c r="AP273" s="1">
        <v>3439</v>
      </c>
      <c r="AQ273" s="1">
        <v>3479</v>
      </c>
      <c r="AR273" s="1">
        <v>3485</v>
      </c>
      <c r="AS273" s="1">
        <v>3366</v>
      </c>
      <c r="AT273" s="1">
        <v>3419</v>
      </c>
      <c r="AU273" s="1">
        <v>3298</v>
      </c>
      <c r="AV273" s="1">
        <v>3339</v>
      </c>
      <c r="AW273" s="1">
        <v>3164</v>
      </c>
      <c r="AX273" s="1">
        <v>3210</v>
      </c>
      <c r="AY273" s="1">
        <v>3168</v>
      </c>
      <c r="AZ273" s="1">
        <v>3173</v>
      </c>
      <c r="BA273" s="1">
        <v>3195</v>
      </c>
      <c r="BB273" s="1">
        <v>3195</v>
      </c>
      <c r="BC273" s="1">
        <v>3251</v>
      </c>
      <c r="BD273" s="1">
        <v>3264</v>
      </c>
      <c r="BE273" s="1">
        <v>3256</v>
      </c>
      <c r="BF273" s="1">
        <v>3224</v>
      </c>
      <c r="BG273" s="1">
        <v>3235</v>
      </c>
      <c r="BH273" s="1">
        <v>3274</v>
      </c>
      <c r="BI273" s="1">
        <v>3161</v>
      </c>
      <c r="BJ273" s="1">
        <v>3147</v>
      </c>
      <c r="BK273" s="1">
        <v>3130</v>
      </c>
      <c r="BL273" s="1">
        <v>3188</v>
      </c>
      <c r="BM273" s="1">
        <v>3173</v>
      </c>
      <c r="BN273" s="1">
        <v>3111</v>
      </c>
      <c r="BO273" s="1">
        <v>3141</v>
      </c>
      <c r="BP273" s="1">
        <v>3281</v>
      </c>
      <c r="BQ273" s="1">
        <v>3285</v>
      </c>
      <c r="BR273" s="1">
        <v>3202</v>
      </c>
      <c r="BS273" s="1">
        <v>3194</v>
      </c>
      <c r="BT273" s="1">
        <v>3180</v>
      </c>
      <c r="BU273" s="1">
        <v>3188</v>
      </c>
      <c r="BV273" s="1">
        <v>3174</v>
      </c>
      <c r="BW273" s="1">
        <v>3189</v>
      </c>
      <c r="BX273" s="1">
        <v>3200</v>
      </c>
      <c r="BY273" s="1">
        <v>3212</v>
      </c>
      <c r="BZ273" s="1">
        <v>3169</v>
      </c>
    </row>
    <row r="274" spans="1:254">
      <c r="A274" s="62" t="s">
        <v>487</v>
      </c>
      <c r="B274" s="1" t="str">
        <f>銘柄管理!C274</f>
        <v>東亜ディーケーケー</v>
      </c>
      <c r="C274" s="1">
        <f>_xll.RssMarket("6848","高値")</f>
        <v>863</v>
      </c>
      <c r="E274" s="1">
        <v>863</v>
      </c>
      <c r="F274" s="1">
        <v>862</v>
      </c>
      <c r="G274" s="1">
        <v>859</v>
      </c>
      <c r="H274" s="1">
        <v>862</v>
      </c>
      <c r="I274" s="1">
        <v>859</v>
      </c>
      <c r="J274" s="1">
        <v>854</v>
      </c>
      <c r="K274" s="1">
        <v>855</v>
      </c>
      <c r="L274" s="1">
        <v>854</v>
      </c>
      <c r="M274" s="1">
        <v>857</v>
      </c>
      <c r="O274" s="1">
        <v>855</v>
      </c>
      <c r="P274" s="1">
        <v>858</v>
      </c>
      <c r="Q274" s="1">
        <v>856</v>
      </c>
      <c r="R274" s="1">
        <v>856</v>
      </c>
      <c r="S274" s="1">
        <v>857</v>
      </c>
      <c r="T274" s="1">
        <v>861</v>
      </c>
      <c r="U274" s="1">
        <v>860</v>
      </c>
      <c r="V274" s="1">
        <v>856</v>
      </c>
      <c r="W274" s="1">
        <v>856</v>
      </c>
      <c r="X274" s="1">
        <v>874</v>
      </c>
      <c r="Y274" s="1">
        <v>874</v>
      </c>
      <c r="Z274" s="1">
        <v>866</v>
      </c>
      <c r="AA274" s="1">
        <v>864</v>
      </c>
      <c r="AB274" s="1">
        <v>854</v>
      </c>
      <c r="AC274" s="1">
        <v>874</v>
      </c>
      <c r="AD274" s="1">
        <v>876</v>
      </c>
      <c r="AE274" s="1">
        <v>868</v>
      </c>
      <c r="AF274" s="1">
        <v>858</v>
      </c>
      <c r="AG274" s="1">
        <v>865</v>
      </c>
      <c r="AH274" s="1">
        <v>866</v>
      </c>
      <c r="AI274" s="1">
        <v>886</v>
      </c>
      <c r="AJ274" s="1">
        <v>888</v>
      </c>
      <c r="AK274" s="1">
        <v>865</v>
      </c>
      <c r="AL274" s="1">
        <v>863</v>
      </c>
      <c r="AM274" s="1">
        <v>871</v>
      </c>
      <c r="AN274" s="1">
        <v>859</v>
      </c>
      <c r="AO274" s="1">
        <v>859</v>
      </c>
      <c r="AP274" s="1">
        <v>877</v>
      </c>
      <c r="AQ274" s="1">
        <v>878</v>
      </c>
      <c r="AR274" s="1">
        <v>857</v>
      </c>
      <c r="AS274" s="1">
        <v>867</v>
      </c>
      <c r="AT274" s="1">
        <v>886</v>
      </c>
      <c r="AU274" s="1">
        <v>861</v>
      </c>
      <c r="AV274" s="1">
        <v>878</v>
      </c>
      <c r="AW274" s="1">
        <v>870</v>
      </c>
      <c r="AX274" s="1">
        <v>864</v>
      </c>
      <c r="AY274" s="1">
        <v>865</v>
      </c>
      <c r="AZ274" s="1">
        <v>869</v>
      </c>
      <c r="BA274" s="1">
        <v>865</v>
      </c>
      <c r="BB274" s="1">
        <v>865</v>
      </c>
      <c r="BC274" s="1">
        <v>862</v>
      </c>
      <c r="BD274" s="1">
        <v>875</v>
      </c>
      <c r="BE274" s="1">
        <v>878</v>
      </c>
      <c r="BF274" s="1">
        <v>877</v>
      </c>
      <c r="BG274" s="1">
        <v>871</v>
      </c>
      <c r="BH274" s="1">
        <v>880</v>
      </c>
      <c r="BI274" s="1">
        <v>881</v>
      </c>
      <c r="BJ274" s="1">
        <v>880</v>
      </c>
      <c r="BK274" s="1">
        <v>883</v>
      </c>
      <c r="BL274" s="1">
        <v>880</v>
      </c>
      <c r="BM274" s="1">
        <v>877</v>
      </c>
      <c r="BN274" s="1">
        <v>868</v>
      </c>
      <c r="BO274" s="1">
        <v>883</v>
      </c>
      <c r="BP274" s="1">
        <v>876</v>
      </c>
      <c r="BQ274" s="1">
        <v>880</v>
      </c>
      <c r="BR274" s="1">
        <v>881</v>
      </c>
      <c r="BS274" s="1">
        <v>883</v>
      </c>
      <c r="BT274" s="1">
        <v>884</v>
      </c>
      <c r="BU274" s="1">
        <v>880</v>
      </c>
      <c r="BV274" s="1">
        <v>888</v>
      </c>
      <c r="BW274" s="1">
        <v>879</v>
      </c>
      <c r="BX274" s="1">
        <v>874</v>
      </c>
      <c r="BY274" s="1">
        <v>875</v>
      </c>
      <c r="BZ274" s="1">
        <v>875</v>
      </c>
    </row>
    <row r="275" spans="1:254">
      <c r="A275" s="62" t="s">
        <v>488</v>
      </c>
      <c r="B275" s="1" t="str">
        <f>銘柄管理!C275</f>
        <v>大紀アルミニウム</v>
      </c>
      <c r="C275" s="1">
        <f>_xll.RssMarket("5702","高値")</f>
        <v>1855</v>
      </c>
      <c r="E275" s="1">
        <v>1855</v>
      </c>
      <c r="F275" s="1">
        <v>1804</v>
      </c>
      <c r="G275" s="1">
        <v>1546</v>
      </c>
      <c r="H275" s="1">
        <v>1545</v>
      </c>
      <c r="I275" s="1">
        <v>1500</v>
      </c>
      <c r="J275" s="1">
        <v>1469</v>
      </c>
      <c r="K275" s="1">
        <v>1471</v>
      </c>
      <c r="L275" s="1">
        <v>1486</v>
      </c>
      <c r="M275" s="1">
        <v>1510</v>
      </c>
      <c r="N275" s="1">
        <v>1506</v>
      </c>
      <c r="O275" s="1">
        <v>1517</v>
      </c>
      <c r="P275" s="1">
        <v>1504</v>
      </c>
      <c r="Q275" s="1">
        <v>1487</v>
      </c>
      <c r="R275" s="1">
        <v>1494</v>
      </c>
      <c r="S275" s="1">
        <v>1526</v>
      </c>
      <c r="T275" s="1">
        <v>1515</v>
      </c>
      <c r="U275" s="1">
        <v>1509</v>
      </c>
      <c r="V275" s="1">
        <v>1487</v>
      </c>
      <c r="W275" s="1">
        <v>1477</v>
      </c>
      <c r="X275" s="1">
        <v>1489</v>
      </c>
      <c r="Y275" s="1">
        <v>1523</v>
      </c>
      <c r="Z275" s="1">
        <v>1536</v>
      </c>
      <c r="AA275" s="1">
        <v>1520</v>
      </c>
      <c r="AB275" s="1">
        <v>1510</v>
      </c>
      <c r="AC275" s="1">
        <v>1507</v>
      </c>
      <c r="AD275" s="1">
        <v>1506</v>
      </c>
      <c r="AE275" s="1">
        <v>1536</v>
      </c>
      <c r="AF275" s="1">
        <v>1541</v>
      </c>
      <c r="AG275" s="1">
        <v>1599</v>
      </c>
      <c r="AH275" s="1">
        <v>1639</v>
      </c>
      <c r="AI275" s="1">
        <v>1664</v>
      </c>
      <c r="AJ275" s="1">
        <v>1682</v>
      </c>
      <c r="AK275" s="1">
        <v>1682</v>
      </c>
      <c r="AL275" s="1">
        <v>1745</v>
      </c>
      <c r="AM275" s="1">
        <v>1753</v>
      </c>
      <c r="AN275" s="1">
        <v>1798</v>
      </c>
      <c r="AO275" s="1">
        <v>1877</v>
      </c>
      <c r="AP275" s="1">
        <v>1880</v>
      </c>
      <c r="AQ275" s="1">
        <v>1831</v>
      </c>
      <c r="AR275" s="1">
        <v>1861</v>
      </c>
      <c r="AS275" s="1">
        <v>1879</v>
      </c>
      <c r="AT275" s="1">
        <v>1938</v>
      </c>
      <c r="AU275" s="1">
        <v>1958</v>
      </c>
      <c r="AV275" s="1">
        <v>2039</v>
      </c>
      <c r="AW275" s="1">
        <v>1965</v>
      </c>
      <c r="AX275" s="1">
        <v>2017</v>
      </c>
      <c r="AY275" s="1">
        <v>1973</v>
      </c>
      <c r="AZ275" s="1">
        <v>2074</v>
      </c>
      <c r="BA275" s="1">
        <v>1997</v>
      </c>
      <c r="BB275" s="1">
        <v>1922</v>
      </c>
      <c r="BC275" s="1">
        <v>1877</v>
      </c>
      <c r="BD275" s="1">
        <v>1821</v>
      </c>
      <c r="BE275" s="1">
        <v>1839</v>
      </c>
      <c r="BF275" s="1">
        <v>1840</v>
      </c>
      <c r="BG275" s="1">
        <v>1899</v>
      </c>
      <c r="BH275" s="1">
        <v>1941</v>
      </c>
      <c r="BI275" s="1">
        <v>1609</v>
      </c>
      <c r="BJ275" s="1">
        <v>1627</v>
      </c>
      <c r="BK275" s="1">
        <v>1621</v>
      </c>
      <c r="BL275" s="1">
        <v>1613</v>
      </c>
      <c r="BM275" s="1">
        <v>1544</v>
      </c>
      <c r="BN275" s="1">
        <v>1508</v>
      </c>
      <c r="BO275" s="1">
        <v>1524</v>
      </c>
      <c r="BP275" s="1">
        <v>1491</v>
      </c>
      <c r="BQ275" s="1">
        <v>1467</v>
      </c>
      <c r="BR275" s="1">
        <v>1468</v>
      </c>
      <c r="BS275" s="1">
        <v>1491</v>
      </c>
      <c r="BT275" s="1">
        <v>1497</v>
      </c>
      <c r="BU275" s="1">
        <v>1545</v>
      </c>
      <c r="BV275" s="1">
        <v>1520</v>
      </c>
      <c r="BW275" s="1">
        <v>1556</v>
      </c>
      <c r="BX275" s="1">
        <v>1578</v>
      </c>
      <c r="BY275" s="1">
        <v>1612</v>
      </c>
      <c r="BZ275" s="1">
        <v>1619</v>
      </c>
    </row>
    <row r="276" spans="1:254">
      <c r="A276" s="62" t="s">
        <v>489</v>
      </c>
      <c r="B276" s="1" t="str">
        <f>銘柄管理!C276</f>
        <v>河合楽器</v>
      </c>
      <c r="C276" s="1">
        <f>_xll.RssMarket("7952","高値")</f>
        <v>3620</v>
      </c>
      <c r="E276" s="1">
        <v>3620</v>
      </c>
      <c r="F276" s="1">
        <v>3625</v>
      </c>
      <c r="G276" s="1">
        <v>3625</v>
      </c>
      <c r="H276" s="1">
        <v>3560</v>
      </c>
      <c r="I276" s="1">
        <v>3520</v>
      </c>
      <c r="J276" s="1">
        <v>3420</v>
      </c>
      <c r="K276" s="1">
        <v>3405</v>
      </c>
      <c r="L276" s="1">
        <v>3465</v>
      </c>
      <c r="M276" s="1">
        <v>3320</v>
      </c>
      <c r="N276" s="1">
        <v>3305</v>
      </c>
      <c r="O276" s="1">
        <v>3300</v>
      </c>
      <c r="P276" s="1">
        <v>3310</v>
      </c>
      <c r="Q276" s="1">
        <v>3300</v>
      </c>
      <c r="R276" s="1">
        <v>3320</v>
      </c>
      <c r="S276" s="1">
        <v>3205</v>
      </c>
      <c r="T276" s="1">
        <v>3260</v>
      </c>
      <c r="U276" s="1">
        <v>3220</v>
      </c>
      <c r="V276" s="1">
        <v>3260</v>
      </c>
      <c r="W276" s="1">
        <v>3220</v>
      </c>
      <c r="X276" s="1">
        <v>3265</v>
      </c>
      <c r="Y276" s="1">
        <v>3295</v>
      </c>
      <c r="Z276" s="1">
        <v>3300</v>
      </c>
      <c r="AA276" s="1">
        <v>3265</v>
      </c>
      <c r="AB276" s="1">
        <v>3270</v>
      </c>
      <c r="AC276" s="1">
        <v>3320</v>
      </c>
      <c r="AD276" s="1">
        <v>3235</v>
      </c>
      <c r="AE276" s="1">
        <v>3380</v>
      </c>
      <c r="AF276" s="1">
        <v>3385</v>
      </c>
      <c r="AG276" s="1">
        <v>3360</v>
      </c>
      <c r="AH276" s="1">
        <v>3340</v>
      </c>
      <c r="AI276" s="1">
        <v>3335</v>
      </c>
      <c r="AJ276" s="1">
        <v>3370</v>
      </c>
      <c r="AK276" s="1">
        <v>3385</v>
      </c>
      <c r="AL276" s="1">
        <v>3300</v>
      </c>
      <c r="AM276" s="1">
        <v>3340</v>
      </c>
      <c r="AN276" s="1">
        <v>3295</v>
      </c>
      <c r="AO276" s="1">
        <v>3220</v>
      </c>
      <c r="AP276" s="1">
        <v>3050</v>
      </c>
      <c r="AQ276" s="1">
        <v>3090</v>
      </c>
      <c r="AR276" s="1">
        <v>3245</v>
      </c>
      <c r="AS276" s="1">
        <v>3230</v>
      </c>
      <c r="AT276" s="1">
        <v>3240</v>
      </c>
      <c r="AU276" s="1">
        <v>3235</v>
      </c>
      <c r="AV276" s="1">
        <v>3245</v>
      </c>
      <c r="AW276" s="1">
        <v>3250</v>
      </c>
      <c r="AX276" s="1">
        <v>3320</v>
      </c>
      <c r="AY276" s="1">
        <v>3240</v>
      </c>
      <c r="AZ276" s="1">
        <v>3055</v>
      </c>
      <c r="BA276" s="1">
        <v>3035</v>
      </c>
      <c r="BB276" s="1">
        <v>2993</v>
      </c>
      <c r="BC276" s="1">
        <v>2984</v>
      </c>
      <c r="BD276" s="1">
        <v>3100</v>
      </c>
      <c r="BE276" s="1">
        <v>3155</v>
      </c>
      <c r="BF276" s="1">
        <v>3170</v>
      </c>
      <c r="BG276" s="1">
        <v>3225</v>
      </c>
      <c r="BH276" s="1">
        <v>3015</v>
      </c>
      <c r="BI276" s="1">
        <v>3000</v>
      </c>
      <c r="BJ276" s="1">
        <v>2959</v>
      </c>
      <c r="BK276" s="1">
        <v>2828</v>
      </c>
      <c r="BL276" s="1">
        <v>2783</v>
      </c>
      <c r="BM276" s="1">
        <v>2840</v>
      </c>
      <c r="BN276" s="1">
        <v>2794</v>
      </c>
      <c r="BO276" s="1">
        <v>2801</v>
      </c>
      <c r="BP276" s="1">
        <v>2876</v>
      </c>
      <c r="BQ276" s="1">
        <v>2834</v>
      </c>
      <c r="BR276" s="1">
        <v>2899</v>
      </c>
      <c r="BS276" s="1">
        <v>3020</v>
      </c>
      <c r="BT276" s="1">
        <v>3090</v>
      </c>
      <c r="BU276" s="1">
        <v>3100</v>
      </c>
      <c r="BV276" s="1">
        <v>3070</v>
      </c>
      <c r="BW276" s="1">
        <v>3130</v>
      </c>
      <c r="BX276" s="1">
        <v>3155</v>
      </c>
      <c r="BY276" s="1">
        <v>3070</v>
      </c>
      <c r="BZ276" s="1">
        <v>3035</v>
      </c>
    </row>
    <row r="277" spans="1:254">
      <c r="A277" s="62" t="s">
        <v>490</v>
      </c>
      <c r="B277" s="1" t="str">
        <f>銘柄管理!C277</f>
        <v>グンゼ</v>
      </c>
      <c r="C277" s="1">
        <f>_xll.RssMarket("3002","高値")</f>
        <v>4195</v>
      </c>
      <c r="E277" s="1">
        <v>4195</v>
      </c>
      <c r="F277" s="1">
        <v>4090</v>
      </c>
      <c r="G277" s="1">
        <v>4030</v>
      </c>
      <c r="H277" s="1">
        <v>4040</v>
      </c>
      <c r="I277" s="1">
        <v>4090</v>
      </c>
      <c r="J277" s="1">
        <v>4075</v>
      </c>
      <c r="K277" s="1">
        <v>4080</v>
      </c>
      <c r="L277" s="1">
        <v>4075</v>
      </c>
      <c r="M277" s="1">
        <v>4065</v>
      </c>
      <c r="O277" s="1">
        <v>3985</v>
      </c>
      <c r="P277" s="1">
        <v>4000</v>
      </c>
      <c r="Q277" s="1">
        <v>4005</v>
      </c>
      <c r="R277" s="1">
        <v>4000</v>
      </c>
      <c r="S277" s="1">
        <v>4005</v>
      </c>
      <c r="T277" s="1">
        <v>4005</v>
      </c>
      <c r="U277" s="1">
        <v>3995</v>
      </c>
      <c r="V277" s="1">
        <v>4075</v>
      </c>
      <c r="W277" s="1">
        <v>4045</v>
      </c>
      <c r="X277" s="1">
        <v>4055</v>
      </c>
      <c r="Y277" s="1">
        <v>4070</v>
      </c>
      <c r="Z277" s="1">
        <v>4040</v>
      </c>
      <c r="AA277" s="1">
        <v>4020</v>
      </c>
      <c r="AB277" s="1">
        <v>3965</v>
      </c>
      <c r="AC277" s="1">
        <v>3880</v>
      </c>
      <c r="AD277" s="1">
        <v>3895</v>
      </c>
      <c r="AE277" s="1">
        <v>3875</v>
      </c>
      <c r="AF277" s="1">
        <v>3875</v>
      </c>
      <c r="AG277" s="1">
        <v>3880</v>
      </c>
      <c r="AH277" s="1">
        <v>3835</v>
      </c>
      <c r="AI277" s="1">
        <v>3850</v>
      </c>
      <c r="AJ277" s="1">
        <v>3850</v>
      </c>
      <c r="AK277" s="1">
        <v>3865</v>
      </c>
      <c r="AL277" s="1">
        <v>3865</v>
      </c>
      <c r="AM277" s="1">
        <v>3835</v>
      </c>
      <c r="AN277" s="1">
        <v>3820</v>
      </c>
      <c r="AO277" s="1">
        <v>3865</v>
      </c>
      <c r="AP277" s="1">
        <v>3880</v>
      </c>
      <c r="AQ277" s="1">
        <v>3750</v>
      </c>
      <c r="AR277" s="1">
        <v>3780</v>
      </c>
      <c r="AS277" s="1">
        <v>3700</v>
      </c>
      <c r="AT277" s="1">
        <v>3745</v>
      </c>
      <c r="AU277" s="1">
        <v>3695</v>
      </c>
      <c r="AV277" s="1">
        <v>3710</v>
      </c>
      <c r="AW277" s="1">
        <v>3690</v>
      </c>
      <c r="AX277" s="1">
        <v>3745</v>
      </c>
      <c r="AY277" s="1">
        <v>3710</v>
      </c>
      <c r="AZ277" s="1">
        <v>3725</v>
      </c>
      <c r="BA277" s="1">
        <v>3675</v>
      </c>
      <c r="BB277" s="1">
        <v>3695</v>
      </c>
      <c r="BC277" s="1">
        <v>3705</v>
      </c>
      <c r="BD277" s="1">
        <v>3725</v>
      </c>
      <c r="BE277" s="1">
        <v>3735</v>
      </c>
      <c r="BF277" s="1">
        <v>3740</v>
      </c>
      <c r="BG277" s="1">
        <v>3765</v>
      </c>
      <c r="BH277" s="1">
        <v>3825</v>
      </c>
      <c r="BI277" s="1">
        <v>3615</v>
      </c>
      <c r="BJ277" s="1">
        <v>3635</v>
      </c>
      <c r="BK277" s="1">
        <v>3645</v>
      </c>
      <c r="BL277" s="1">
        <v>3630</v>
      </c>
      <c r="BM277" s="1">
        <v>3640</v>
      </c>
      <c r="BN277" s="1">
        <v>3630</v>
      </c>
      <c r="BO277" s="1">
        <v>3670</v>
      </c>
      <c r="BP277" s="1">
        <v>3710</v>
      </c>
      <c r="BQ277" s="1">
        <v>3685</v>
      </c>
      <c r="BR277" s="1">
        <v>3730</v>
      </c>
      <c r="BS277" s="1">
        <v>3730</v>
      </c>
      <c r="BT277" s="1">
        <v>3830</v>
      </c>
      <c r="BU277" s="1">
        <v>3950</v>
      </c>
      <c r="BV277" s="1">
        <v>3950</v>
      </c>
      <c r="BW277" s="1">
        <v>3940</v>
      </c>
      <c r="BX277" s="1">
        <v>3935</v>
      </c>
      <c r="BY277" s="1">
        <v>3915</v>
      </c>
      <c r="BZ277" s="1">
        <v>3930</v>
      </c>
    </row>
    <row r="278" spans="1:254">
      <c r="A278" s="62" t="s">
        <v>491</v>
      </c>
      <c r="B278" s="1" t="str">
        <f>銘柄管理!C278</f>
        <v>ゴールドクレスト</v>
      </c>
      <c r="C278" s="1">
        <f>_xll.RssMarket("8871","高値")</f>
        <v>3290</v>
      </c>
      <c r="E278" s="1">
        <v>3290</v>
      </c>
      <c r="F278" s="1">
        <v>3260</v>
      </c>
      <c r="G278" s="1">
        <v>3290</v>
      </c>
      <c r="H278" s="1">
        <v>3325</v>
      </c>
      <c r="I278" s="1">
        <v>3335</v>
      </c>
      <c r="J278" s="1">
        <v>3375</v>
      </c>
      <c r="K278" s="1">
        <v>3420</v>
      </c>
      <c r="L278" s="1">
        <v>3405</v>
      </c>
      <c r="M278" s="1">
        <v>3400</v>
      </c>
      <c r="O278" s="1">
        <v>3365</v>
      </c>
      <c r="P278" s="1">
        <v>3385</v>
      </c>
      <c r="Q278" s="1">
        <v>3385</v>
      </c>
      <c r="R278" s="1">
        <v>3405</v>
      </c>
      <c r="S278" s="1">
        <v>3395</v>
      </c>
      <c r="T278" s="1">
        <v>3405</v>
      </c>
      <c r="U278" s="1">
        <v>3365</v>
      </c>
      <c r="V278" s="1">
        <v>3375</v>
      </c>
      <c r="W278" s="1">
        <v>3380</v>
      </c>
      <c r="X278" s="1">
        <v>3450</v>
      </c>
      <c r="Y278" s="1">
        <v>3385</v>
      </c>
      <c r="Z278" s="1">
        <v>3340</v>
      </c>
      <c r="AA278" s="1">
        <v>3325</v>
      </c>
      <c r="AB278" s="1">
        <v>3310</v>
      </c>
      <c r="AC278" s="1">
        <v>3305</v>
      </c>
      <c r="AD278" s="1">
        <v>3340</v>
      </c>
      <c r="AE278" s="1">
        <v>3340</v>
      </c>
      <c r="AF278" s="1">
        <v>3275</v>
      </c>
      <c r="AG278" s="1">
        <v>3250</v>
      </c>
      <c r="AH278" s="1">
        <v>3250</v>
      </c>
      <c r="AI278" s="1">
        <v>3255</v>
      </c>
      <c r="AJ278" s="1">
        <v>3290</v>
      </c>
      <c r="AK278" s="1">
        <v>3290</v>
      </c>
      <c r="AL278" s="1">
        <v>3265</v>
      </c>
      <c r="AM278" s="1">
        <v>3345</v>
      </c>
      <c r="AN278" s="1">
        <v>3350</v>
      </c>
      <c r="AO278" s="1">
        <v>3420</v>
      </c>
      <c r="AP278" s="1">
        <v>3370</v>
      </c>
      <c r="AQ278" s="1">
        <v>3375</v>
      </c>
      <c r="AR278" s="1">
        <v>3350</v>
      </c>
      <c r="AS278" s="1">
        <v>3300</v>
      </c>
      <c r="AT278" s="1">
        <v>3280</v>
      </c>
      <c r="AU278" s="1">
        <v>3300</v>
      </c>
      <c r="AV278" s="1">
        <v>3400</v>
      </c>
      <c r="AW278" s="1">
        <v>3480</v>
      </c>
      <c r="AX278" s="1">
        <v>3645</v>
      </c>
      <c r="AY278" s="1">
        <v>3605</v>
      </c>
      <c r="AZ278" s="1">
        <v>3670</v>
      </c>
      <c r="BA278" s="1">
        <v>3515</v>
      </c>
      <c r="BB278" s="1">
        <v>3585</v>
      </c>
      <c r="BC278" s="1">
        <v>3620</v>
      </c>
      <c r="BD278" s="1">
        <v>3665</v>
      </c>
      <c r="BE278" s="1">
        <v>3770</v>
      </c>
      <c r="BF278" s="1">
        <v>3725</v>
      </c>
      <c r="BG278" s="1">
        <v>3850</v>
      </c>
      <c r="BH278" s="1">
        <v>3320</v>
      </c>
      <c r="BI278" s="1">
        <v>3360</v>
      </c>
      <c r="BJ278" s="1">
        <v>3350</v>
      </c>
      <c r="BK278" s="1">
        <v>3335</v>
      </c>
      <c r="BL278" s="1">
        <v>3340</v>
      </c>
      <c r="BM278" s="1">
        <v>3365</v>
      </c>
      <c r="BN278" s="1">
        <v>3355</v>
      </c>
      <c r="BO278" s="1">
        <v>3340</v>
      </c>
      <c r="BP278" s="1">
        <v>3375</v>
      </c>
      <c r="BQ278" s="1">
        <v>3370</v>
      </c>
      <c r="BR278" s="1">
        <v>3325</v>
      </c>
      <c r="BS278" s="1">
        <v>3335</v>
      </c>
      <c r="BT278" s="1">
        <v>3400</v>
      </c>
      <c r="BU278" s="1">
        <v>3440</v>
      </c>
      <c r="BV278" s="1">
        <v>3445</v>
      </c>
      <c r="BW278" s="1">
        <v>3485</v>
      </c>
      <c r="BX278" s="1">
        <v>3495</v>
      </c>
      <c r="BY278" s="1">
        <v>3505</v>
      </c>
      <c r="BZ278" s="1">
        <v>3500</v>
      </c>
    </row>
    <row r="279" spans="1:254">
      <c r="A279" s="62" t="s">
        <v>492</v>
      </c>
      <c r="B279" s="1" t="str">
        <f>銘柄管理!C279</f>
        <v>アバールデータ</v>
      </c>
      <c r="C279" s="1">
        <f>_xll.RssMarket("6918","高値")</f>
        <v>3320</v>
      </c>
      <c r="E279" s="1">
        <v>3320</v>
      </c>
      <c r="F279" s="1">
        <v>3365</v>
      </c>
      <c r="G279" s="1">
        <v>3230</v>
      </c>
      <c r="H279" s="1">
        <v>3150</v>
      </c>
      <c r="I279" s="1">
        <v>3160</v>
      </c>
      <c r="J279" s="1">
        <v>3005</v>
      </c>
      <c r="K279" s="1">
        <v>3110</v>
      </c>
      <c r="L279" s="1">
        <v>3125</v>
      </c>
      <c r="M279" s="1">
        <v>3225</v>
      </c>
      <c r="O279" s="1">
        <v>3360</v>
      </c>
      <c r="P279" s="1">
        <v>3330</v>
      </c>
      <c r="Q279" s="1">
        <v>3215</v>
      </c>
      <c r="R279" s="1">
        <v>3200</v>
      </c>
      <c r="S279" s="1">
        <v>3330</v>
      </c>
      <c r="T279" s="1">
        <v>3250</v>
      </c>
      <c r="U279" s="1">
        <v>3330</v>
      </c>
      <c r="V279" s="1">
        <v>3380</v>
      </c>
      <c r="W279" s="1">
        <v>3190</v>
      </c>
      <c r="X279" s="1">
        <v>3210</v>
      </c>
      <c r="Y279" s="1">
        <v>3350</v>
      </c>
      <c r="Z279" s="1">
        <v>3470</v>
      </c>
      <c r="AA279" s="1">
        <v>3395</v>
      </c>
      <c r="AB279" s="1">
        <v>3380</v>
      </c>
      <c r="AC279" s="1">
        <v>3465</v>
      </c>
      <c r="AD279" s="1">
        <v>3320</v>
      </c>
      <c r="AE279" s="1">
        <v>3330</v>
      </c>
      <c r="AF279" s="1">
        <v>3390</v>
      </c>
      <c r="AG279" s="1">
        <v>3485</v>
      </c>
      <c r="AH279" s="1">
        <v>3460</v>
      </c>
      <c r="AI279" s="1">
        <v>3525</v>
      </c>
      <c r="AJ279" s="1">
        <v>3595</v>
      </c>
      <c r="AK279" s="1">
        <v>3500</v>
      </c>
      <c r="AL279" s="1">
        <v>3500</v>
      </c>
      <c r="AM279" s="1">
        <v>3345</v>
      </c>
      <c r="AN279" s="1">
        <v>3335</v>
      </c>
      <c r="AO279" s="1">
        <v>3240</v>
      </c>
      <c r="AP279" s="1">
        <v>3130</v>
      </c>
      <c r="AQ279" s="1">
        <v>2978</v>
      </c>
      <c r="AR279" s="1">
        <v>3070</v>
      </c>
      <c r="AS279" s="1">
        <v>3090</v>
      </c>
      <c r="AT279" s="1">
        <v>3295</v>
      </c>
      <c r="AU279" s="1">
        <v>3350</v>
      </c>
      <c r="AV279" s="1">
        <v>3430</v>
      </c>
      <c r="AW279" s="1">
        <v>3530</v>
      </c>
      <c r="AX279" s="1">
        <v>3570</v>
      </c>
      <c r="AY279" s="1">
        <v>3565</v>
      </c>
      <c r="AZ279" s="1">
        <v>3430</v>
      </c>
      <c r="BA279" s="1">
        <v>3515</v>
      </c>
      <c r="BB279" s="1">
        <v>3505</v>
      </c>
      <c r="BC279" s="1">
        <v>3485</v>
      </c>
      <c r="BD279" s="1">
        <v>3525</v>
      </c>
      <c r="BE279" s="1">
        <v>3750</v>
      </c>
      <c r="BF279" s="1">
        <v>3790</v>
      </c>
      <c r="BG279" s="1">
        <v>3615</v>
      </c>
      <c r="BH279" s="1">
        <v>3645</v>
      </c>
      <c r="BI279" s="1">
        <v>3665</v>
      </c>
      <c r="BJ279" s="1">
        <v>3750</v>
      </c>
      <c r="BK279" s="1">
        <v>3700</v>
      </c>
      <c r="BL279" s="1">
        <v>3330</v>
      </c>
      <c r="BM279" s="1">
        <v>3320</v>
      </c>
      <c r="BN279" s="1">
        <v>3140</v>
      </c>
      <c r="BO279" s="1">
        <v>2944</v>
      </c>
      <c r="BP279" s="1">
        <v>3000</v>
      </c>
      <c r="BQ279" s="1">
        <v>3050</v>
      </c>
      <c r="BR279" s="1">
        <v>3070</v>
      </c>
      <c r="BS279" s="1">
        <v>3030</v>
      </c>
      <c r="BT279" s="1">
        <v>3100</v>
      </c>
      <c r="BU279" s="1">
        <v>3075</v>
      </c>
      <c r="BV279" s="1">
        <v>2980</v>
      </c>
      <c r="BW279" s="1">
        <v>2875</v>
      </c>
      <c r="BX279" s="1">
        <v>2854</v>
      </c>
      <c r="BY279" s="1">
        <v>2896</v>
      </c>
      <c r="BZ279" s="1">
        <v>2894</v>
      </c>
    </row>
    <row r="280" spans="1:254">
      <c r="A280" s="62" t="s">
        <v>493</v>
      </c>
      <c r="B280" s="1" t="str">
        <f>銘柄管理!C280</f>
        <v>ヨシタケ</v>
      </c>
      <c r="C280" s="1">
        <f>_xll.RssMarket("6488","高値")</f>
        <v>990</v>
      </c>
      <c r="E280" s="1">
        <v>990</v>
      </c>
      <c r="F280" s="1">
        <v>996</v>
      </c>
      <c r="G280" s="1">
        <v>994</v>
      </c>
      <c r="H280" s="1">
        <v>997</v>
      </c>
      <c r="I280" s="1">
        <v>1000</v>
      </c>
      <c r="J280" s="1">
        <v>990</v>
      </c>
      <c r="K280" s="1">
        <v>986</v>
      </c>
      <c r="L280" s="1">
        <v>986</v>
      </c>
      <c r="M280" s="1">
        <v>985</v>
      </c>
      <c r="N280" s="1">
        <v>986</v>
      </c>
      <c r="O280" s="1">
        <v>986</v>
      </c>
      <c r="P280" s="1">
        <v>987</v>
      </c>
      <c r="Q280" s="1">
        <v>980</v>
      </c>
      <c r="R280" s="1">
        <v>976</v>
      </c>
      <c r="S280" s="1">
        <v>983</v>
      </c>
      <c r="T280" s="1">
        <v>983</v>
      </c>
      <c r="U280" s="1">
        <v>980</v>
      </c>
      <c r="V280" s="1">
        <v>971</v>
      </c>
      <c r="W280" s="1">
        <v>967</v>
      </c>
      <c r="X280" s="1">
        <v>962</v>
      </c>
      <c r="Y280" s="1">
        <v>970</v>
      </c>
      <c r="Z280" s="1">
        <v>966</v>
      </c>
      <c r="AA280" s="1">
        <v>975</v>
      </c>
      <c r="AB280" s="1">
        <v>968</v>
      </c>
      <c r="AC280" s="1">
        <v>945</v>
      </c>
      <c r="AD280" s="1">
        <v>940</v>
      </c>
      <c r="AE280" s="1">
        <v>939</v>
      </c>
      <c r="AF280" s="1">
        <v>936</v>
      </c>
      <c r="AG280" s="1">
        <v>937</v>
      </c>
      <c r="AH280" s="1">
        <v>942</v>
      </c>
      <c r="AI280" s="1">
        <v>948</v>
      </c>
      <c r="AJ280" s="1">
        <v>947</v>
      </c>
      <c r="AK280" s="1">
        <v>939</v>
      </c>
      <c r="AL280" s="1">
        <v>930</v>
      </c>
      <c r="AM280" s="1">
        <v>930</v>
      </c>
      <c r="AN280" s="1">
        <v>920</v>
      </c>
      <c r="AO280" s="1">
        <v>921</v>
      </c>
      <c r="AP280" s="1">
        <v>921</v>
      </c>
      <c r="AQ280" s="1">
        <v>920</v>
      </c>
      <c r="AR280" s="1">
        <v>931</v>
      </c>
      <c r="AS280" s="1">
        <v>933</v>
      </c>
      <c r="AT280" s="1">
        <v>939</v>
      </c>
      <c r="AU280" s="1">
        <v>938</v>
      </c>
      <c r="AV280" s="1">
        <v>939</v>
      </c>
      <c r="AW280" s="1">
        <v>931</v>
      </c>
      <c r="AX280" s="1">
        <v>933</v>
      </c>
      <c r="AY280" s="1">
        <v>939</v>
      </c>
      <c r="AZ280" s="1">
        <v>943</v>
      </c>
      <c r="BA280" s="1">
        <v>960</v>
      </c>
      <c r="BB280" s="1">
        <v>972</v>
      </c>
      <c r="BC280" s="1">
        <v>973</v>
      </c>
      <c r="BD280" s="1">
        <v>967</v>
      </c>
      <c r="BE280" s="1">
        <v>980</v>
      </c>
      <c r="BF280" s="1">
        <v>988</v>
      </c>
      <c r="BG280" s="1">
        <v>995</v>
      </c>
      <c r="BH280" s="1">
        <v>1014</v>
      </c>
      <c r="BI280" s="1">
        <v>938</v>
      </c>
      <c r="BJ280" s="1">
        <v>940</v>
      </c>
      <c r="BK280" s="1">
        <v>947</v>
      </c>
      <c r="BL280" s="1">
        <v>946</v>
      </c>
      <c r="BM280" s="1">
        <v>935</v>
      </c>
      <c r="BN280" s="1">
        <v>943</v>
      </c>
      <c r="BO280" s="1">
        <v>944</v>
      </c>
      <c r="BP280" s="1">
        <v>944</v>
      </c>
      <c r="BQ280" s="1">
        <v>940</v>
      </c>
      <c r="BR280" s="1">
        <v>940</v>
      </c>
      <c r="BS280" s="1">
        <v>934</v>
      </c>
      <c r="BT280" s="1">
        <v>935</v>
      </c>
      <c r="BU280" s="1">
        <v>953</v>
      </c>
      <c r="BV280" s="1">
        <v>959</v>
      </c>
      <c r="BW280" s="1">
        <v>960</v>
      </c>
      <c r="BX280" s="1">
        <v>956</v>
      </c>
      <c r="BY280" s="1">
        <v>946</v>
      </c>
      <c r="BZ280" s="1">
        <v>948</v>
      </c>
    </row>
    <row r="281" spans="1:254">
      <c r="A281" s="62" t="s">
        <v>494</v>
      </c>
      <c r="B281" s="1" t="str">
        <f>銘柄管理!C281</f>
        <v>高島</v>
      </c>
      <c r="C281" s="1">
        <f>_xll.RssMarket("8007","高値")</f>
        <v>800</v>
      </c>
      <c r="E281" s="1">
        <v>800</v>
      </c>
      <c r="F281" s="1">
        <v>797</v>
      </c>
      <c r="G281" s="1">
        <v>802</v>
      </c>
      <c r="H281" s="1">
        <v>813</v>
      </c>
      <c r="I281" s="1">
        <v>818</v>
      </c>
      <c r="J281" s="1">
        <v>817</v>
      </c>
      <c r="K281" s="1">
        <v>815</v>
      </c>
      <c r="L281" s="1">
        <v>814</v>
      </c>
      <c r="M281" s="1">
        <v>805</v>
      </c>
      <c r="N281" s="1">
        <v>798</v>
      </c>
      <c r="O281" s="1">
        <v>799</v>
      </c>
      <c r="P281" s="1">
        <v>796</v>
      </c>
      <c r="Q281" s="1">
        <v>793</v>
      </c>
      <c r="R281" s="1">
        <v>788</v>
      </c>
      <c r="S281" s="1">
        <v>790</v>
      </c>
      <c r="T281" s="1">
        <v>782</v>
      </c>
      <c r="U281" s="1">
        <v>790</v>
      </c>
      <c r="V281" s="1">
        <v>784</v>
      </c>
      <c r="W281" s="1">
        <v>775</v>
      </c>
      <c r="X281" s="1">
        <v>776</v>
      </c>
      <c r="Y281" s="1">
        <v>777</v>
      </c>
      <c r="Z281" s="1">
        <v>774</v>
      </c>
      <c r="AA281" s="1">
        <v>765</v>
      </c>
      <c r="AB281" s="1">
        <v>763</v>
      </c>
      <c r="AC281" s="1">
        <v>765</v>
      </c>
      <c r="AD281" s="1">
        <v>768</v>
      </c>
      <c r="AE281" s="1">
        <v>765</v>
      </c>
      <c r="AF281" s="1">
        <v>752</v>
      </c>
      <c r="AG281" s="1">
        <v>753</v>
      </c>
      <c r="AH281" s="1">
        <v>750</v>
      </c>
      <c r="AI281" s="1">
        <v>749</v>
      </c>
      <c r="AJ281" s="1">
        <v>756</v>
      </c>
      <c r="AK281" s="1">
        <v>751</v>
      </c>
      <c r="AL281" s="1">
        <v>753</v>
      </c>
      <c r="AM281" s="1">
        <v>761</v>
      </c>
      <c r="AN281" s="1">
        <v>765</v>
      </c>
      <c r="AO281" s="1">
        <v>763</v>
      </c>
      <c r="AP281" s="1">
        <v>746</v>
      </c>
      <c r="AQ281" s="1">
        <v>740</v>
      </c>
      <c r="AR281" s="1">
        <v>744</v>
      </c>
      <c r="AS281" s="1">
        <v>740</v>
      </c>
      <c r="AT281" s="1">
        <v>744</v>
      </c>
      <c r="AU281" s="1">
        <v>735</v>
      </c>
      <c r="AV281" s="1">
        <v>734</v>
      </c>
      <c r="AW281" s="1">
        <v>729</v>
      </c>
      <c r="AX281" s="1">
        <v>767</v>
      </c>
      <c r="AY281" s="1">
        <v>765</v>
      </c>
      <c r="AZ281" s="1">
        <v>755</v>
      </c>
      <c r="BA281" s="1">
        <v>750</v>
      </c>
      <c r="BB281" s="1">
        <v>748</v>
      </c>
      <c r="BC281" s="1">
        <v>746</v>
      </c>
      <c r="BD281" s="1">
        <v>745</v>
      </c>
      <c r="BE281" s="1">
        <v>758</v>
      </c>
      <c r="BF281" s="1">
        <v>770</v>
      </c>
      <c r="BG281" s="1">
        <v>802</v>
      </c>
      <c r="BH281" s="1">
        <v>785</v>
      </c>
      <c r="BI281" s="1">
        <v>777</v>
      </c>
      <c r="BJ281" s="1">
        <v>779</v>
      </c>
      <c r="BK281" s="1">
        <v>782</v>
      </c>
      <c r="BL281" s="1">
        <v>789</v>
      </c>
      <c r="BM281" s="1">
        <v>796</v>
      </c>
      <c r="BN281" s="1">
        <v>794</v>
      </c>
      <c r="BO281" s="1">
        <v>799</v>
      </c>
      <c r="BP281" s="1">
        <v>798</v>
      </c>
      <c r="BQ281" s="1">
        <v>774</v>
      </c>
      <c r="BR281" s="1">
        <v>777</v>
      </c>
      <c r="BS281" s="1">
        <v>776</v>
      </c>
      <c r="BT281" s="1">
        <v>787</v>
      </c>
      <c r="BU281" s="1">
        <v>797</v>
      </c>
      <c r="BV281" s="1">
        <v>805</v>
      </c>
      <c r="BW281" s="1">
        <v>812</v>
      </c>
      <c r="BX281" s="1">
        <v>816</v>
      </c>
      <c r="BY281" s="1">
        <v>821</v>
      </c>
      <c r="BZ281" s="1">
        <v>818</v>
      </c>
    </row>
    <row r="282" spans="1:254">
      <c r="A282" s="62" t="s">
        <v>495</v>
      </c>
      <c r="B282" s="1" t="str">
        <f>銘柄管理!C282</f>
        <v>ニチバン</v>
      </c>
      <c r="C282" s="1">
        <f>_xll.RssMarket("4218","高値")</f>
        <v>1964</v>
      </c>
      <c r="E282" s="1">
        <v>1964</v>
      </c>
      <c r="F282" s="1">
        <v>1955</v>
      </c>
      <c r="G282" s="1">
        <v>1941</v>
      </c>
      <c r="H282" s="1">
        <v>1946</v>
      </c>
      <c r="I282" s="1">
        <v>1967</v>
      </c>
      <c r="J282" s="1">
        <v>1977</v>
      </c>
      <c r="K282" s="1">
        <v>1980</v>
      </c>
      <c r="L282" s="1">
        <v>1947</v>
      </c>
      <c r="M282" s="1">
        <v>1935</v>
      </c>
      <c r="N282" s="1">
        <v>1916</v>
      </c>
      <c r="O282" s="1">
        <v>1920</v>
      </c>
      <c r="P282" s="1">
        <v>1928</v>
      </c>
      <c r="Q282" s="1">
        <v>1950</v>
      </c>
      <c r="R282" s="1">
        <v>1935</v>
      </c>
      <c r="S282" s="1">
        <v>1916</v>
      </c>
      <c r="T282" s="1">
        <v>1924</v>
      </c>
      <c r="U282" s="1">
        <v>1915</v>
      </c>
      <c r="V282" s="1">
        <v>1912</v>
      </c>
      <c r="W282" s="1">
        <v>1922</v>
      </c>
      <c r="X282" s="1">
        <v>1923</v>
      </c>
      <c r="Y282" s="1">
        <v>1914</v>
      </c>
      <c r="Z282" s="1">
        <v>1908</v>
      </c>
      <c r="AA282" s="1">
        <v>1907</v>
      </c>
      <c r="AB282" s="1">
        <v>1903</v>
      </c>
      <c r="AC282" s="1">
        <v>1897</v>
      </c>
      <c r="AD282" s="1">
        <v>1889</v>
      </c>
      <c r="AE282" s="1">
        <v>1895</v>
      </c>
      <c r="AF282" s="1">
        <v>1873</v>
      </c>
      <c r="AG282" s="1">
        <v>1861</v>
      </c>
      <c r="AH282" s="1">
        <v>1850</v>
      </c>
      <c r="AI282" s="1">
        <v>1842</v>
      </c>
      <c r="AJ282" s="1">
        <v>1838</v>
      </c>
      <c r="AK282" s="1">
        <v>1858</v>
      </c>
      <c r="AL282" s="1">
        <v>1850</v>
      </c>
      <c r="AM282" s="1">
        <v>1855</v>
      </c>
      <c r="AN282" s="1">
        <v>1845</v>
      </c>
      <c r="AO282" s="1">
        <v>1848</v>
      </c>
      <c r="AP282" s="1">
        <v>1850</v>
      </c>
      <c r="AQ282" s="1">
        <v>1841</v>
      </c>
      <c r="AR282" s="1">
        <v>1829</v>
      </c>
      <c r="AS282" s="1">
        <v>1822</v>
      </c>
      <c r="AT282" s="1">
        <v>1811</v>
      </c>
      <c r="AU282" s="1">
        <v>1816</v>
      </c>
      <c r="AV282" s="1">
        <v>1813</v>
      </c>
      <c r="AW282" s="1">
        <v>1818</v>
      </c>
      <c r="AX282" s="1">
        <v>1852</v>
      </c>
      <c r="AY282" s="1">
        <v>1866</v>
      </c>
      <c r="AZ282" s="1">
        <v>1865</v>
      </c>
      <c r="BA282" s="1">
        <v>1875</v>
      </c>
      <c r="BB282" s="1">
        <v>1874</v>
      </c>
      <c r="BC282" s="1">
        <v>1875</v>
      </c>
      <c r="BD282" s="1">
        <v>1881</v>
      </c>
      <c r="BE282" s="1">
        <v>1897</v>
      </c>
      <c r="BF282" s="1">
        <v>1900</v>
      </c>
      <c r="BG282" s="1">
        <v>1914</v>
      </c>
      <c r="BH282" s="1">
        <v>1920</v>
      </c>
      <c r="BI282" s="1">
        <v>1854</v>
      </c>
      <c r="BJ282" s="1">
        <v>1833</v>
      </c>
      <c r="BK282" s="1">
        <v>1830</v>
      </c>
      <c r="BL282" s="1">
        <v>1846</v>
      </c>
      <c r="BM282" s="1">
        <v>1857</v>
      </c>
      <c r="BN282" s="1">
        <v>1838</v>
      </c>
      <c r="BO282" s="1">
        <v>1825</v>
      </c>
      <c r="BP282" s="1">
        <v>1825</v>
      </c>
      <c r="BQ282" s="1">
        <v>1825</v>
      </c>
      <c r="BR282" s="1">
        <v>1846</v>
      </c>
      <c r="BS282" s="1">
        <v>1857</v>
      </c>
      <c r="BT282" s="1">
        <v>1883</v>
      </c>
      <c r="BU282" s="1">
        <v>1889</v>
      </c>
      <c r="BV282" s="1">
        <v>1898</v>
      </c>
      <c r="BW282" s="1">
        <v>1893</v>
      </c>
      <c r="BX282" s="1">
        <v>1897</v>
      </c>
      <c r="BY282" s="1">
        <v>1895</v>
      </c>
      <c r="BZ282" s="1">
        <v>1898</v>
      </c>
    </row>
    <row r="283" spans="1:254">
      <c r="A283" s="62" t="s">
        <v>496</v>
      </c>
      <c r="B283" s="1" t="str">
        <f>銘柄管理!C283</f>
        <v>ＳＣＲＥＥＮホールディングス</v>
      </c>
      <c r="C283" s="1">
        <f>_xll.RssMarket("7735","高値")</f>
        <v>13890</v>
      </c>
      <c r="E283" s="1">
        <v>13890</v>
      </c>
      <c r="F283" s="1">
        <v>13900</v>
      </c>
      <c r="G283" s="1">
        <v>13175</v>
      </c>
      <c r="H283" s="1">
        <v>12535</v>
      </c>
      <c r="I283" s="1">
        <v>13800</v>
      </c>
      <c r="J283" s="1">
        <v>12445</v>
      </c>
      <c r="K283" s="1">
        <v>13270</v>
      </c>
      <c r="L283" s="1">
        <v>14735</v>
      </c>
      <c r="M283" s="1">
        <v>16215</v>
      </c>
      <c r="N283" s="1">
        <v>16795</v>
      </c>
      <c r="O283" s="1">
        <v>17355</v>
      </c>
      <c r="P283" s="1">
        <v>17695</v>
      </c>
      <c r="Q283" s="1">
        <v>17070</v>
      </c>
      <c r="R283" s="1">
        <v>17445</v>
      </c>
      <c r="S283" s="1">
        <v>19020</v>
      </c>
      <c r="T283" s="1">
        <v>18240</v>
      </c>
      <c r="U283" s="1">
        <v>18690</v>
      </c>
      <c r="V283" s="1">
        <v>18530</v>
      </c>
      <c r="W283" s="1">
        <v>18055</v>
      </c>
      <c r="X283" s="1">
        <v>17490</v>
      </c>
      <c r="Y283" s="1">
        <v>18020</v>
      </c>
      <c r="Z283" s="1">
        <v>19065</v>
      </c>
      <c r="AA283" s="1">
        <v>18945</v>
      </c>
      <c r="AB283" s="1">
        <v>18870</v>
      </c>
      <c r="AC283" s="1">
        <v>19770</v>
      </c>
      <c r="AD283" s="1">
        <v>18350</v>
      </c>
      <c r="AE283" s="1">
        <v>16875</v>
      </c>
      <c r="AF283" s="1">
        <v>17815</v>
      </c>
      <c r="AG283" s="1">
        <v>17640</v>
      </c>
      <c r="AH283" s="1">
        <v>16830</v>
      </c>
      <c r="AI283" s="1">
        <v>17495</v>
      </c>
      <c r="AJ283" s="1">
        <v>17455</v>
      </c>
      <c r="AK283" s="1">
        <v>17160</v>
      </c>
      <c r="AL283" s="1">
        <v>16550</v>
      </c>
      <c r="AM283" s="1">
        <v>15375</v>
      </c>
      <c r="AN283" s="1">
        <v>15720</v>
      </c>
      <c r="AO283" s="1">
        <v>14985</v>
      </c>
      <c r="AP283" s="1">
        <v>14225</v>
      </c>
      <c r="AQ283" s="1">
        <v>13080</v>
      </c>
      <c r="AR283" s="1">
        <v>13690</v>
      </c>
      <c r="AS283" s="1">
        <v>11940</v>
      </c>
      <c r="AT283" s="1">
        <v>13075</v>
      </c>
      <c r="AU283" s="1">
        <v>13465</v>
      </c>
      <c r="AV283" s="1">
        <v>13420</v>
      </c>
      <c r="AW283" s="1">
        <v>11370</v>
      </c>
      <c r="AX283" s="1">
        <v>11290</v>
      </c>
      <c r="AY283" s="1">
        <v>11215</v>
      </c>
      <c r="AZ283" s="1">
        <v>11550</v>
      </c>
      <c r="BA283" s="1">
        <v>11180</v>
      </c>
      <c r="BB283" s="1">
        <v>11105</v>
      </c>
      <c r="BC283" s="1">
        <v>10990</v>
      </c>
      <c r="BD283" s="1">
        <v>10730</v>
      </c>
      <c r="BE283" s="1">
        <v>11035</v>
      </c>
      <c r="BF283" s="1">
        <v>11405</v>
      </c>
      <c r="BG283" s="1">
        <v>12525</v>
      </c>
      <c r="BH283" s="1">
        <v>13155</v>
      </c>
      <c r="BI283" s="1">
        <v>11460</v>
      </c>
      <c r="BJ283" s="1">
        <v>11630</v>
      </c>
      <c r="BK283" s="1">
        <v>11675</v>
      </c>
      <c r="BL283" s="1">
        <v>11380</v>
      </c>
      <c r="BM283" s="1">
        <v>11325</v>
      </c>
      <c r="BN283" s="1">
        <v>10680</v>
      </c>
      <c r="BO283" s="1">
        <v>10450</v>
      </c>
      <c r="BP283" s="1">
        <v>10795</v>
      </c>
      <c r="BQ283" s="1">
        <v>11070</v>
      </c>
      <c r="BR283" s="1">
        <v>10730</v>
      </c>
      <c r="BS283" s="1">
        <v>10765</v>
      </c>
      <c r="BT283" s="1">
        <v>10625</v>
      </c>
      <c r="BU283" s="1">
        <v>10920</v>
      </c>
      <c r="BV283" s="1">
        <v>10815</v>
      </c>
      <c r="BW283" s="1">
        <v>11120</v>
      </c>
      <c r="BX283" s="1">
        <v>11310</v>
      </c>
      <c r="BY283" s="1">
        <v>11370</v>
      </c>
      <c r="BZ283" s="1">
        <v>11230</v>
      </c>
    </row>
    <row r="284" spans="1:254">
      <c r="A284" s="62" t="s">
        <v>497</v>
      </c>
      <c r="B284" s="1" t="str">
        <f>銘柄管理!C284</f>
        <v>データセクション</v>
      </c>
      <c r="C284" s="1">
        <f>_xll.RssMarket("3905","高値")</f>
        <v>2282</v>
      </c>
      <c r="E284" s="1">
        <v>2282</v>
      </c>
      <c r="F284" s="1">
        <v>2284</v>
      </c>
      <c r="G284" s="1">
        <v>2407</v>
      </c>
      <c r="H284" s="1">
        <v>2251</v>
      </c>
      <c r="I284" s="1">
        <v>2193</v>
      </c>
      <c r="J284" s="1">
        <v>1960</v>
      </c>
      <c r="K284" s="1">
        <v>2109</v>
      </c>
      <c r="L284" s="1">
        <v>2283</v>
      </c>
      <c r="M284" s="1">
        <v>2331</v>
      </c>
      <c r="N284" s="1">
        <v>2389</v>
      </c>
      <c r="O284" s="1">
        <v>2520</v>
      </c>
      <c r="P284" s="1">
        <v>2597</v>
      </c>
      <c r="Q284" s="1">
        <v>2618</v>
      </c>
      <c r="R284" s="1">
        <v>2605</v>
      </c>
      <c r="S284" s="1">
        <v>2998</v>
      </c>
      <c r="T284" s="1">
        <v>2877</v>
      </c>
      <c r="U284" s="1">
        <v>3090</v>
      </c>
      <c r="V284" s="1">
        <v>3000</v>
      </c>
      <c r="W284" s="1">
        <v>2936</v>
      </c>
      <c r="X284" s="1">
        <v>2838</v>
      </c>
      <c r="Y284" s="1">
        <v>3080</v>
      </c>
      <c r="Z284" s="1">
        <v>3305</v>
      </c>
      <c r="AA284" s="1">
        <v>3225</v>
      </c>
      <c r="AB284" s="1">
        <v>3360</v>
      </c>
      <c r="AC284" s="1">
        <v>3545</v>
      </c>
      <c r="AD284" s="1">
        <v>3750</v>
      </c>
      <c r="AE284" s="1">
        <v>4275</v>
      </c>
      <c r="AF284" s="1">
        <v>4680</v>
      </c>
      <c r="AG284" s="1">
        <v>5010</v>
      </c>
      <c r="AH284" s="1">
        <v>4905</v>
      </c>
      <c r="AI284" s="1">
        <v>5110</v>
      </c>
      <c r="AJ284" s="1">
        <v>5410</v>
      </c>
      <c r="AK284" s="1">
        <v>5950</v>
      </c>
      <c r="AL284" s="1">
        <v>5360</v>
      </c>
      <c r="AM284" s="1">
        <v>5030</v>
      </c>
      <c r="AN284" s="1">
        <v>5240</v>
      </c>
      <c r="AO284" s="1">
        <v>5100</v>
      </c>
      <c r="AP284" s="1">
        <v>4645</v>
      </c>
      <c r="AQ284" s="1">
        <v>4715</v>
      </c>
      <c r="AR284" s="1">
        <v>4470</v>
      </c>
      <c r="AS284" s="1">
        <v>5040</v>
      </c>
      <c r="AT284" s="1">
        <v>5740</v>
      </c>
      <c r="AU284" s="1">
        <v>5690</v>
      </c>
      <c r="AV284" s="1">
        <v>5060</v>
      </c>
      <c r="AW284" s="1">
        <v>4865</v>
      </c>
      <c r="AX284" s="1">
        <v>6140</v>
      </c>
      <c r="AY284" s="1">
        <v>5140</v>
      </c>
      <c r="AZ284" s="1">
        <v>4820</v>
      </c>
      <c r="BA284" s="1">
        <v>5000</v>
      </c>
      <c r="BB284" s="1">
        <v>4800</v>
      </c>
      <c r="BC284" s="1">
        <v>4100</v>
      </c>
      <c r="BD284" s="1">
        <v>3465</v>
      </c>
      <c r="BE284" s="1">
        <v>3345</v>
      </c>
      <c r="BF284" s="1">
        <v>2843</v>
      </c>
      <c r="BG284" s="1">
        <v>2465</v>
      </c>
      <c r="BH284" s="1">
        <v>2367</v>
      </c>
      <c r="BI284" s="1">
        <v>2318</v>
      </c>
      <c r="BJ284" s="1">
        <v>2498</v>
      </c>
      <c r="BK284" s="1">
        <v>2550</v>
      </c>
      <c r="BL284" s="1">
        <v>2089</v>
      </c>
      <c r="BM284" s="1">
        <v>1689</v>
      </c>
      <c r="BN284" s="1">
        <v>1509</v>
      </c>
      <c r="BO284" s="1">
        <v>1515</v>
      </c>
      <c r="BP284" s="1">
        <v>1503</v>
      </c>
      <c r="BQ284" s="1">
        <v>1478</v>
      </c>
      <c r="BR284" s="1">
        <v>1519</v>
      </c>
      <c r="BS284" s="1">
        <v>1545</v>
      </c>
      <c r="BT284" s="1">
        <v>1590</v>
      </c>
      <c r="BU284" s="1">
        <v>1673</v>
      </c>
      <c r="BV284" s="1">
        <v>1648</v>
      </c>
      <c r="BW284" s="1">
        <v>1619</v>
      </c>
      <c r="BX284" s="1">
        <v>1680</v>
      </c>
      <c r="BY284" s="1">
        <v>1509</v>
      </c>
      <c r="BZ284" s="1">
        <v>1451</v>
      </c>
    </row>
    <row r="285" spans="1:254">
      <c r="A285" s="62" t="s">
        <v>498</v>
      </c>
      <c r="B285" s="1" t="str">
        <f>銘柄管理!C285</f>
        <v>トリドールホールディングス</v>
      </c>
      <c r="C285" s="1">
        <f>_xll.RssMarket("3397","高値")</f>
        <v>4202</v>
      </c>
      <c r="E285" s="1">
        <v>4202</v>
      </c>
      <c r="F285" s="1">
        <v>4168</v>
      </c>
      <c r="G285" s="1">
        <v>4325</v>
      </c>
      <c r="H285" s="1">
        <v>4367</v>
      </c>
      <c r="I285" s="1">
        <v>4421</v>
      </c>
      <c r="J285" s="1">
        <v>4660</v>
      </c>
      <c r="K285" s="1">
        <v>4597</v>
      </c>
      <c r="L285" s="1">
        <v>4310</v>
      </c>
      <c r="M285" s="1">
        <v>4198</v>
      </c>
      <c r="N285" s="1">
        <v>4098</v>
      </c>
      <c r="O285" s="1">
        <v>4057</v>
      </c>
      <c r="P285" s="1">
        <v>4160</v>
      </c>
      <c r="Q285" s="1">
        <v>4225</v>
      </c>
      <c r="R285" s="1">
        <v>4224</v>
      </c>
      <c r="S285" s="1">
        <v>4123</v>
      </c>
      <c r="T285" s="1">
        <v>4167</v>
      </c>
      <c r="U285" s="1">
        <v>4038</v>
      </c>
      <c r="V285" s="1">
        <v>4012</v>
      </c>
      <c r="W285" s="1">
        <v>4111</v>
      </c>
      <c r="X285" s="1">
        <v>4054</v>
      </c>
      <c r="Y285" s="1">
        <v>3997</v>
      </c>
      <c r="Z285" s="1">
        <v>3907</v>
      </c>
      <c r="AA285" s="1">
        <v>3959</v>
      </c>
      <c r="AB285" s="1">
        <v>3910</v>
      </c>
      <c r="AC285" s="1">
        <v>3844</v>
      </c>
      <c r="AD285" s="1">
        <v>3900</v>
      </c>
      <c r="AE285" s="1">
        <v>3889</v>
      </c>
      <c r="AF285" s="1">
        <v>3781</v>
      </c>
      <c r="AG285" s="1">
        <v>3787</v>
      </c>
      <c r="AH285" s="1">
        <v>3693</v>
      </c>
      <c r="AI285" s="1">
        <v>3600</v>
      </c>
      <c r="AJ285" s="1">
        <v>3614</v>
      </c>
      <c r="AK285" s="1">
        <v>3603</v>
      </c>
      <c r="AL285" s="1">
        <v>3653</v>
      </c>
      <c r="AM285" s="1">
        <v>3742</v>
      </c>
      <c r="AN285" s="1">
        <v>3754</v>
      </c>
      <c r="AO285" s="1">
        <v>3820</v>
      </c>
      <c r="AP285" s="1">
        <v>3913</v>
      </c>
      <c r="AQ285" s="1">
        <v>3923</v>
      </c>
      <c r="AR285" s="1">
        <v>3869</v>
      </c>
      <c r="AS285" s="1">
        <v>3809</v>
      </c>
      <c r="AT285" s="1">
        <v>3755</v>
      </c>
      <c r="AU285" s="1">
        <v>3822</v>
      </c>
      <c r="AV285" s="1">
        <v>3869</v>
      </c>
      <c r="AW285" s="1">
        <v>3853</v>
      </c>
      <c r="AX285" s="1">
        <v>3841</v>
      </c>
      <c r="AY285" s="1">
        <v>3790</v>
      </c>
      <c r="AZ285" s="1">
        <v>3739</v>
      </c>
      <c r="BA285" s="1">
        <v>3913</v>
      </c>
      <c r="BB285" s="1">
        <v>3858</v>
      </c>
      <c r="BC285" s="1">
        <v>3897</v>
      </c>
      <c r="BD285" s="1">
        <v>3925</v>
      </c>
      <c r="BE285" s="1">
        <v>3864</v>
      </c>
      <c r="BF285" s="1">
        <v>3806</v>
      </c>
      <c r="BG285" s="1">
        <v>3965</v>
      </c>
      <c r="BH285" s="1">
        <v>3980</v>
      </c>
      <c r="BI285" s="1">
        <v>4030</v>
      </c>
      <c r="BJ285" s="1">
        <v>3950</v>
      </c>
      <c r="BK285" s="1">
        <v>3975</v>
      </c>
      <c r="BL285" s="1">
        <v>4052</v>
      </c>
      <c r="BM285" s="1">
        <v>4014</v>
      </c>
      <c r="BN285" s="1">
        <v>4039</v>
      </c>
      <c r="BO285" s="1">
        <v>4099</v>
      </c>
      <c r="BP285" s="1">
        <v>4108</v>
      </c>
      <c r="BQ285" s="1">
        <v>4106</v>
      </c>
      <c r="BR285" s="1">
        <v>4100</v>
      </c>
      <c r="BS285" s="1">
        <v>4139</v>
      </c>
      <c r="BT285" s="1">
        <v>4169</v>
      </c>
      <c r="BU285" s="1">
        <v>4230</v>
      </c>
      <c r="BV285" s="1">
        <v>4215</v>
      </c>
      <c r="BW285" s="1">
        <v>4212</v>
      </c>
      <c r="BX285" s="1">
        <v>4320</v>
      </c>
      <c r="BY285" s="1">
        <v>4272</v>
      </c>
      <c r="BZ285" s="1">
        <v>4277</v>
      </c>
    </row>
    <row r="286" spans="1:254">
      <c r="A286" s="62" t="s">
        <v>499</v>
      </c>
      <c r="B286" s="1" t="str">
        <f>銘柄管理!C286</f>
        <v>ＳＵＢＡＲＵ</v>
      </c>
      <c r="C286" s="1">
        <f>_xll.RssMarket("7270","高値")</f>
        <v>2541.5</v>
      </c>
      <c r="E286" s="1">
        <v>2541.5</v>
      </c>
      <c r="F286" s="1">
        <v>2653.5</v>
      </c>
      <c r="G286" s="1">
        <v>2633.5</v>
      </c>
      <c r="H286" s="1">
        <v>2670</v>
      </c>
      <c r="I286" s="1">
        <v>2771.5</v>
      </c>
      <c r="J286" s="1">
        <v>2881.5</v>
      </c>
      <c r="K286" s="1">
        <v>2850</v>
      </c>
      <c r="L286" s="1">
        <v>2709</v>
      </c>
      <c r="M286" s="1">
        <v>2663.5</v>
      </c>
      <c r="N286" s="1">
        <v>2594</v>
      </c>
      <c r="O286" s="1">
        <v>2611.5</v>
      </c>
      <c r="P286" s="1">
        <v>2624</v>
      </c>
      <c r="Q286" s="1">
        <v>2601.5</v>
      </c>
      <c r="R286" s="1">
        <v>2544.5</v>
      </c>
      <c r="S286" s="1">
        <v>2503</v>
      </c>
      <c r="T286" s="1">
        <v>2507.5</v>
      </c>
      <c r="U286" s="1">
        <v>2521</v>
      </c>
      <c r="V286" s="1">
        <v>2510.5</v>
      </c>
      <c r="W286" s="1">
        <v>2512</v>
      </c>
      <c r="X286" s="1">
        <v>2570</v>
      </c>
      <c r="Y286" s="1">
        <v>2608.5</v>
      </c>
      <c r="Z286" s="1">
        <v>2616</v>
      </c>
      <c r="AA286" s="1">
        <v>2562</v>
      </c>
      <c r="AB286" s="1">
        <v>2518</v>
      </c>
      <c r="AC286" s="1">
        <v>2436</v>
      </c>
      <c r="AD286" s="1">
        <v>2426</v>
      </c>
      <c r="AE286" s="1">
        <v>2430</v>
      </c>
      <c r="AF286" s="1">
        <v>2407</v>
      </c>
      <c r="AG286" s="1">
        <v>2421</v>
      </c>
      <c r="AH286" s="1">
        <v>2416</v>
      </c>
      <c r="AI286" s="1">
        <v>2442.5</v>
      </c>
      <c r="AJ286" s="1">
        <v>2465.5</v>
      </c>
      <c r="AK286" s="1">
        <v>2524</v>
      </c>
      <c r="AL286" s="1">
        <v>2595.5</v>
      </c>
      <c r="AM286" s="1">
        <v>2601.5</v>
      </c>
      <c r="AN286" s="1">
        <v>2564.5</v>
      </c>
      <c r="AO286" s="1">
        <v>2585</v>
      </c>
      <c r="AP286" s="1">
        <v>2533.5</v>
      </c>
      <c r="AQ286" s="1">
        <v>2512</v>
      </c>
      <c r="AR286" s="1">
        <v>2582</v>
      </c>
      <c r="AS286" s="1">
        <v>2535</v>
      </c>
      <c r="AT286" s="1">
        <v>2501</v>
      </c>
      <c r="AU286" s="1">
        <v>2523.5</v>
      </c>
      <c r="AV286" s="1">
        <v>2492</v>
      </c>
      <c r="AW286" s="1">
        <v>2448.5</v>
      </c>
      <c r="AX286" s="1">
        <v>2488</v>
      </c>
      <c r="AY286" s="1">
        <v>2487.5</v>
      </c>
      <c r="AZ286" s="1">
        <v>2470</v>
      </c>
      <c r="BA286" s="1">
        <v>2497.5</v>
      </c>
      <c r="BB286" s="1">
        <v>2489</v>
      </c>
      <c r="BC286" s="1">
        <v>2507.5</v>
      </c>
      <c r="BD286" s="1">
        <v>2471.5</v>
      </c>
      <c r="BE286" s="1">
        <v>2451</v>
      </c>
      <c r="BF286" s="1">
        <v>2461.5</v>
      </c>
      <c r="BG286" s="1">
        <v>2717.5</v>
      </c>
      <c r="BH286" s="1">
        <v>2402</v>
      </c>
      <c r="BI286" s="1">
        <v>2348.5</v>
      </c>
      <c r="BJ286" s="1">
        <v>2326</v>
      </c>
      <c r="BK286" s="1">
        <v>2389.5</v>
      </c>
      <c r="BL286" s="1">
        <v>2398.5</v>
      </c>
      <c r="BM286" s="1">
        <v>2379.5</v>
      </c>
      <c r="BN286" s="1">
        <v>2381</v>
      </c>
      <c r="BO286" s="1">
        <v>2377.5</v>
      </c>
      <c r="BP286" s="1">
        <v>2490.5</v>
      </c>
      <c r="BQ286" s="1">
        <v>2461</v>
      </c>
      <c r="BR286" s="1">
        <v>2498</v>
      </c>
      <c r="BS286" s="1">
        <v>2522</v>
      </c>
      <c r="BT286" s="1">
        <v>2537.5</v>
      </c>
      <c r="BU286" s="1">
        <v>2571.5</v>
      </c>
      <c r="BV286" s="1">
        <v>2576.5</v>
      </c>
      <c r="BW286" s="1">
        <v>2565.5</v>
      </c>
      <c r="BX286" s="1">
        <v>2578</v>
      </c>
      <c r="BY286" s="1">
        <v>2538</v>
      </c>
      <c r="BZ286" s="1">
        <v>2548</v>
      </c>
    </row>
    <row r="287" spans="1:254">
      <c r="A287" s="62" t="s">
        <v>500</v>
      </c>
      <c r="B287" s="1" t="str">
        <f>銘柄管理!C287</f>
        <v>サン電子</v>
      </c>
      <c r="C287" s="1">
        <f>_xll.RssMarket("6736","高値")</f>
        <v>11150</v>
      </c>
      <c r="E287" s="1">
        <v>11150</v>
      </c>
      <c r="F287" s="1">
        <v>11350</v>
      </c>
      <c r="G287" s="1">
        <v>10690</v>
      </c>
      <c r="H287" s="1">
        <v>9870</v>
      </c>
      <c r="I287" s="1">
        <v>9960</v>
      </c>
      <c r="J287" s="1">
        <v>9220</v>
      </c>
      <c r="K287" s="1">
        <v>9620</v>
      </c>
      <c r="L287" s="1">
        <v>9710</v>
      </c>
      <c r="M287" s="1">
        <v>10120</v>
      </c>
      <c r="N287" s="1">
        <v>9260</v>
      </c>
      <c r="O287" s="1">
        <v>9210</v>
      </c>
      <c r="P287" s="1">
        <v>9280</v>
      </c>
      <c r="Q287" s="1">
        <v>9460</v>
      </c>
      <c r="R287" s="1">
        <v>9100</v>
      </c>
      <c r="S287" s="1">
        <v>9200</v>
      </c>
      <c r="T287" s="1">
        <v>9690</v>
      </c>
      <c r="U287" s="1">
        <v>9980</v>
      </c>
      <c r="V287" s="1">
        <v>10850</v>
      </c>
      <c r="W287" s="1">
        <v>10940</v>
      </c>
      <c r="X287" s="1">
        <v>11410</v>
      </c>
      <c r="Y287" s="1">
        <v>12850</v>
      </c>
      <c r="Z287" s="1">
        <v>10880</v>
      </c>
      <c r="AA287" s="1">
        <v>9600</v>
      </c>
      <c r="AB287" s="1">
        <v>9680</v>
      </c>
      <c r="AC287" s="1">
        <v>8860</v>
      </c>
      <c r="AD287" s="1">
        <v>8820</v>
      </c>
      <c r="AE287" s="1">
        <v>9110</v>
      </c>
      <c r="AF287" s="1">
        <v>9150</v>
      </c>
      <c r="AG287" s="1">
        <v>8930</v>
      </c>
      <c r="AH287" s="1">
        <v>9150</v>
      </c>
      <c r="AI287" s="1">
        <v>9200</v>
      </c>
      <c r="AJ287" s="1">
        <v>9240</v>
      </c>
      <c r="AK287" s="1">
        <v>9200</v>
      </c>
      <c r="AL287" s="1">
        <v>9290</v>
      </c>
      <c r="AM287" s="1">
        <v>9250</v>
      </c>
      <c r="AN287" s="1">
        <v>9250</v>
      </c>
      <c r="AO287" s="1">
        <v>9170</v>
      </c>
      <c r="AP287" s="1">
        <v>8890</v>
      </c>
      <c r="AQ287" s="1">
        <v>9060</v>
      </c>
      <c r="AR287" s="1">
        <v>9270</v>
      </c>
      <c r="AS287" s="1">
        <v>8730</v>
      </c>
      <c r="AT287" s="1">
        <v>8760</v>
      </c>
      <c r="AU287" s="1">
        <v>9090</v>
      </c>
      <c r="AV287" s="1">
        <v>9250</v>
      </c>
      <c r="AW287" s="1">
        <v>9500</v>
      </c>
      <c r="AX287" s="1">
        <v>9320</v>
      </c>
      <c r="AY287" s="1">
        <v>9240</v>
      </c>
      <c r="AZ287" s="1">
        <v>9320</v>
      </c>
      <c r="BA287" s="1">
        <v>9340</v>
      </c>
      <c r="BB287" s="1">
        <v>9420</v>
      </c>
      <c r="BC287" s="1">
        <v>9800</v>
      </c>
      <c r="BD287" s="1">
        <v>9030</v>
      </c>
      <c r="BE287" s="1">
        <v>9690</v>
      </c>
      <c r="BF287" s="1">
        <v>9720</v>
      </c>
      <c r="BG287" s="1">
        <v>9120</v>
      </c>
      <c r="BH287" s="1">
        <v>8760</v>
      </c>
      <c r="BI287" s="1">
        <v>8600</v>
      </c>
      <c r="BJ287" s="1">
        <v>8920</v>
      </c>
      <c r="BK287" s="1">
        <v>9070</v>
      </c>
      <c r="BL287" s="1">
        <v>8830</v>
      </c>
      <c r="BM287" s="1">
        <v>8630</v>
      </c>
      <c r="BN287" s="1">
        <v>8660</v>
      </c>
      <c r="BO287" s="1">
        <v>8690</v>
      </c>
      <c r="BP287" s="1">
        <v>8340</v>
      </c>
      <c r="BQ287" s="1">
        <v>8310</v>
      </c>
      <c r="BR287" s="1">
        <v>8180</v>
      </c>
      <c r="BS287" s="1">
        <v>8240</v>
      </c>
      <c r="BT287" s="1">
        <v>8360</v>
      </c>
      <c r="BU287" s="1">
        <v>8050</v>
      </c>
      <c r="BV287" s="1">
        <v>8210</v>
      </c>
      <c r="BW287" s="1">
        <v>8440</v>
      </c>
      <c r="BX287" s="1">
        <v>8010</v>
      </c>
      <c r="BY287" s="1">
        <v>7840</v>
      </c>
      <c r="BZ287" s="1">
        <v>8000</v>
      </c>
    </row>
    <row r="288" spans="1:254">
      <c r="A288" s="62" t="s">
        <v>501</v>
      </c>
      <c r="B288" s="1" t="str">
        <f>銘柄管理!C288</f>
        <v>紀文食品</v>
      </c>
      <c r="C288" s="1">
        <f>_xll.RssMarket("2933","高値")</f>
        <v>1113</v>
      </c>
      <c r="E288" s="1">
        <v>1113</v>
      </c>
      <c r="F288" s="1">
        <v>1094</v>
      </c>
      <c r="G288" s="1">
        <v>1105</v>
      </c>
      <c r="H288" s="1">
        <v>1106</v>
      </c>
      <c r="I288" s="1">
        <v>1109</v>
      </c>
      <c r="J288" s="1">
        <v>1118</v>
      </c>
      <c r="K288" s="1">
        <v>1119</v>
      </c>
      <c r="L288" s="1">
        <v>1097</v>
      </c>
      <c r="M288" s="1">
        <v>1094</v>
      </c>
      <c r="O288" s="1">
        <v>1087</v>
      </c>
      <c r="P288" s="1">
        <v>1087</v>
      </c>
      <c r="Q288" s="1">
        <v>1093</v>
      </c>
      <c r="R288" s="1">
        <v>1093</v>
      </c>
      <c r="S288" s="1">
        <v>1088</v>
      </c>
      <c r="T288" s="1">
        <v>1086</v>
      </c>
      <c r="U288" s="1">
        <v>1085</v>
      </c>
      <c r="V288" s="1">
        <v>1083</v>
      </c>
      <c r="W288" s="1">
        <v>1083</v>
      </c>
      <c r="X288" s="1">
        <v>1085</v>
      </c>
      <c r="Y288" s="1">
        <v>1079</v>
      </c>
      <c r="Z288" s="1">
        <v>1074</v>
      </c>
      <c r="AA288" s="1">
        <v>1076</v>
      </c>
      <c r="AB288" s="1">
        <v>1074</v>
      </c>
      <c r="AC288" s="1">
        <v>1069</v>
      </c>
      <c r="AD288" s="1">
        <v>1074</v>
      </c>
      <c r="AE288" s="1">
        <v>1080</v>
      </c>
      <c r="AF288" s="1">
        <v>1068</v>
      </c>
      <c r="AG288" s="1">
        <v>1063</v>
      </c>
      <c r="AH288" s="1">
        <v>1068</v>
      </c>
      <c r="AI288" s="1">
        <v>1062</v>
      </c>
      <c r="AJ288" s="1">
        <v>1067</v>
      </c>
      <c r="AK288" s="1">
        <v>1065</v>
      </c>
      <c r="AL288" s="1">
        <v>1059</v>
      </c>
      <c r="AM288" s="1">
        <v>1057</v>
      </c>
      <c r="AN288" s="1">
        <v>1050</v>
      </c>
      <c r="AO288" s="1">
        <v>1053</v>
      </c>
      <c r="AP288" s="1">
        <v>1054</v>
      </c>
      <c r="AQ288" s="1">
        <v>1051</v>
      </c>
      <c r="AR288" s="1">
        <v>1051</v>
      </c>
      <c r="AS288" s="1">
        <v>1048</v>
      </c>
      <c r="AT288" s="1">
        <v>1041</v>
      </c>
      <c r="AU288" s="1">
        <v>1029</v>
      </c>
      <c r="AV288" s="1">
        <v>1028</v>
      </c>
      <c r="AW288" s="1">
        <v>1027</v>
      </c>
      <c r="AX288" s="1">
        <v>1049</v>
      </c>
      <c r="AY288" s="1">
        <v>1047</v>
      </c>
      <c r="AZ288" s="1">
        <v>1038</v>
      </c>
      <c r="BA288" s="1">
        <v>1043</v>
      </c>
      <c r="BB288" s="1">
        <v>1046</v>
      </c>
      <c r="BC288" s="1">
        <v>1048</v>
      </c>
      <c r="BD288" s="1">
        <v>1050</v>
      </c>
      <c r="BE288" s="1">
        <v>1048</v>
      </c>
      <c r="BF288" s="1">
        <v>1059</v>
      </c>
      <c r="BG288" s="1">
        <v>1042</v>
      </c>
      <c r="BH288" s="1">
        <v>1033</v>
      </c>
      <c r="BI288" s="1">
        <v>1037</v>
      </c>
      <c r="BJ288" s="1">
        <v>1033</v>
      </c>
      <c r="BK288" s="1">
        <v>1029</v>
      </c>
      <c r="BL288" s="1">
        <v>1034</v>
      </c>
      <c r="BM288" s="1">
        <v>1039</v>
      </c>
      <c r="BN288" s="1">
        <v>1041</v>
      </c>
      <c r="BO288" s="1">
        <v>1032</v>
      </c>
      <c r="BP288" s="1">
        <v>1028</v>
      </c>
      <c r="BQ288" s="1">
        <v>1033</v>
      </c>
      <c r="BR288" s="1">
        <v>1044</v>
      </c>
      <c r="BS288" s="1">
        <v>1041</v>
      </c>
      <c r="BT288" s="1">
        <v>1052</v>
      </c>
      <c r="BU288" s="1">
        <v>1065</v>
      </c>
      <c r="BV288" s="1">
        <v>1066</v>
      </c>
      <c r="BW288" s="1">
        <v>1064</v>
      </c>
      <c r="BX288" s="1">
        <v>1062</v>
      </c>
      <c r="BY288" s="1">
        <v>1058</v>
      </c>
      <c r="BZ288" s="1">
        <v>1059</v>
      </c>
    </row>
    <row r="289" spans="1:254">
      <c r="A289" s="62" t="s">
        <v>502</v>
      </c>
      <c r="B289" s="1" t="str">
        <f>銘柄管理!C289</f>
        <v>関東電化</v>
      </c>
      <c r="C289" s="1">
        <f>_xll.RssMarket("4047","高値")</f>
        <v>3075</v>
      </c>
      <c r="E289" s="1">
        <v>3075</v>
      </c>
      <c r="F289" s="1">
        <v>3080</v>
      </c>
      <c r="G289" s="1">
        <v>2868</v>
      </c>
      <c r="H289" s="1">
        <v>2807</v>
      </c>
      <c r="I289" s="1">
        <v>2755</v>
      </c>
      <c r="J289" s="1">
        <v>2534</v>
      </c>
      <c r="K289" s="1">
        <v>2596</v>
      </c>
      <c r="L289" s="1">
        <v>2663</v>
      </c>
      <c r="M289" s="1">
        <v>2830</v>
      </c>
      <c r="N289" s="1">
        <v>2906</v>
      </c>
      <c r="O289" s="1">
        <v>2965</v>
      </c>
      <c r="P289" s="1">
        <v>3060</v>
      </c>
      <c r="Q289" s="1">
        <v>2829</v>
      </c>
      <c r="R289" s="1">
        <v>2827</v>
      </c>
      <c r="S289" s="1">
        <v>3095</v>
      </c>
      <c r="T289" s="1">
        <v>3075</v>
      </c>
      <c r="U289" s="1">
        <v>3105</v>
      </c>
      <c r="V289" s="1">
        <v>3195</v>
      </c>
      <c r="W289" s="1">
        <v>3140</v>
      </c>
      <c r="X289" s="1">
        <v>3225</v>
      </c>
      <c r="Y289" s="1">
        <v>3370</v>
      </c>
      <c r="Z289" s="1">
        <v>3610</v>
      </c>
      <c r="AA289" s="1">
        <v>3480</v>
      </c>
      <c r="AB289" s="1">
        <v>3480</v>
      </c>
      <c r="AC289" s="1">
        <v>3655</v>
      </c>
      <c r="AD289" s="1">
        <v>3650</v>
      </c>
      <c r="AE289" s="1">
        <v>3715</v>
      </c>
      <c r="AF289" s="1">
        <v>3935</v>
      </c>
      <c r="AG289" s="1">
        <v>4120</v>
      </c>
      <c r="AH289" s="1">
        <v>3945</v>
      </c>
      <c r="AI289" s="1">
        <v>3950</v>
      </c>
      <c r="AJ289" s="1">
        <v>4140</v>
      </c>
      <c r="AK289" s="1">
        <v>4080</v>
      </c>
      <c r="AL289" s="1">
        <v>4025</v>
      </c>
      <c r="AM289" s="1">
        <v>3965</v>
      </c>
      <c r="AN289" s="1">
        <v>3870</v>
      </c>
      <c r="AO289" s="1">
        <v>4170</v>
      </c>
      <c r="AP289" s="1">
        <v>4270</v>
      </c>
      <c r="AQ289" s="1">
        <v>4025</v>
      </c>
      <c r="AR289" s="1">
        <v>4165</v>
      </c>
      <c r="AS289" s="1">
        <v>3985</v>
      </c>
      <c r="AT289" s="1">
        <v>4400</v>
      </c>
      <c r="AU289" s="1">
        <v>4405</v>
      </c>
      <c r="AV289" s="1">
        <v>3860</v>
      </c>
      <c r="AW289" s="1">
        <v>3565</v>
      </c>
      <c r="AX289" s="1">
        <v>3775</v>
      </c>
      <c r="AY289" s="1">
        <v>3485</v>
      </c>
      <c r="AZ289" s="1">
        <v>3550</v>
      </c>
      <c r="BA289" s="1">
        <v>3490</v>
      </c>
      <c r="BB289" s="1">
        <v>3125</v>
      </c>
      <c r="BC289" s="1">
        <v>2970</v>
      </c>
      <c r="BD289" s="1">
        <v>2775</v>
      </c>
      <c r="BE289" s="1">
        <v>2940</v>
      </c>
      <c r="BF289" s="1">
        <v>2550</v>
      </c>
      <c r="BG289" s="1">
        <v>2148</v>
      </c>
      <c r="BH289" s="1">
        <v>2187</v>
      </c>
      <c r="BI289" s="1">
        <v>2120</v>
      </c>
      <c r="BJ289" s="1">
        <v>2029</v>
      </c>
      <c r="BK289" s="1">
        <v>1914</v>
      </c>
      <c r="BL289" s="1">
        <v>1864</v>
      </c>
      <c r="BM289" s="1">
        <v>1860</v>
      </c>
      <c r="BN289" s="1">
        <v>1719</v>
      </c>
      <c r="BO289" s="1">
        <v>1694</v>
      </c>
      <c r="BP289" s="1">
        <v>1700</v>
      </c>
      <c r="BQ289" s="1">
        <v>1679</v>
      </c>
      <c r="BR289" s="1">
        <v>1660</v>
      </c>
      <c r="BS289" s="1">
        <v>1661</v>
      </c>
      <c r="BT289" s="1">
        <v>1671</v>
      </c>
      <c r="BU289" s="1">
        <v>1681</v>
      </c>
      <c r="BV289" s="1">
        <v>1654</v>
      </c>
      <c r="BW289" s="1">
        <v>1665</v>
      </c>
      <c r="BX289" s="1">
        <v>1687</v>
      </c>
      <c r="BY289" s="1">
        <v>1764</v>
      </c>
      <c r="BZ289" s="1">
        <v>1709</v>
      </c>
    </row>
    <row r="290" spans="1:254">
      <c r="A290" s="62" t="s">
        <v>503</v>
      </c>
      <c r="B290" s="1" t="str">
        <f>銘柄管理!C290</f>
        <v>ＹＵＳＨＩＮ</v>
      </c>
      <c r="C290" s="1">
        <f>_xll.RssMarket("6482","高値")</f>
        <v>688</v>
      </c>
      <c r="E290" s="1">
        <v>688</v>
      </c>
      <c r="F290" s="1">
        <v>687</v>
      </c>
      <c r="G290" s="1">
        <v>681</v>
      </c>
      <c r="H290" s="1">
        <v>668</v>
      </c>
      <c r="I290" s="1">
        <v>694</v>
      </c>
      <c r="J290" s="1">
        <v>678</v>
      </c>
      <c r="K290" s="1">
        <v>671</v>
      </c>
      <c r="L290" s="1">
        <v>686</v>
      </c>
      <c r="M290" s="1">
        <v>695</v>
      </c>
      <c r="N290" s="1">
        <v>694</v>
      </c>
      <c r="O290" s="1">
        <v>694</v>
      </c>
      <c r="P290" s="1">
        <v>697</v>
      </c>
      <c r="Q290" s="1">
        <v>695</v>
      </c>
      <c r="R290" s="1">
        <v>678</v>
      </c>
      <c r="S290" s="1">
        <v>671</v>
      </c>
      <c r="T290" s="1">
        <v>674</v>
      </c>
      <c r="U290" s="1">
        <v>689</v>
      </c>
      <c r="V290" s="1">
        <v>691</v>
      </c>
      <c r="W290" s="1">
        <v>693</v>
      </c>
      <c r="X290" s="1">
        <v>702</v>
      </c>
      <c r="Y290" s="1">
        <v>708</v>
      </c>
      <c r="Z290" s="1">
        <v>716</v>
      </c>
      <c r="AA290" s="1">
        <v>693</v>
      </c>
      <c r="AB290" s="1">
        <v>709</v>
      </c>
      <c r="AC290" s="1">
        <v>700</v>
      </c>
      <c r="AD290" s="1">
        <v>702</v>
      </c>
      <c r="AE290" s="1">
        <v>713</v>
      </c>
      <c r="AF290" s="1">
        <v>720</v>
      </c>
      <c r="AG290" s="1">
        <v>721</v>
      </c>
      <c r="AH290" s="1">
        <v>726</v>
      </c>
      <c r="AI290" s="1">
        <v>746</v>
      </c>
      <c r="AJ290" s="1">
        <v>755</v>
      </c>
      <c r="AK290" s="1">
        <v>754</v>
      </c>
      <c r="AL290" s="1">
        <v>785</v>
      </c>
      <c r="AM290" s="1">
        <v>780</v>
      </c>
      <c r="AN290" s="1">
        <v>713</v>
      </c>
      <c r="AO290" s="1">
        <v>704</v>
      </c>
      <c r="AP290" s="1">
        <v>684</v>
      </c>
      <c r="AQ290" s="1">
        <v>675</v>
      </c>
      <c r="AR290" s="1">
        <v>689</v>
      </c>
      <c r="AS290" s="1">
        <v>667</v>
      </c>
      <c r="AT290" s="1">
        <v>673</v>
      </c>
      <c r="AU290" s="1">
        <v>671</v>
      </c>
      <c r="AV290" s="1">
        <v>662</v>
      </c>
      <c r="AW290" s="1">
        <v>658</v>
      </c>
      <c r="AX290" s="1">
        <v>678</v>
      </c>
      <c r="AY290" s="1">
        <v>681</v>
      </c>
      <c r="AZ290" s="1">
        <v>678</v>
      </c>
      <c r="BA290" s="1">
        <v>722</v>
      </c>
      <c r="BB290" s="1">
        <v>721</v>
      </c>
      <c r="BC290" s="1">
        <v>714</v>
      </c>
      <c r="BD290" s="1">
        <v>712</v>
      </c>
      <c r="BE290" s="1">
        <v>736</v>
      </c>
      <c r="BF290" s="1">
        <v>746</v>
      </c>
      <c r="BG290" s="1">
        <v>755</v>
      </c>
      <c r="BH290" s="1">
        <v>756</v>
      </c>
      <c r="BI290" s="1">
        <v>735</v>
      </c>
      <c r="BJ290" s="1">
        <v>744</v>
      </c>
      <c r="BK290" s="1">
        <v>703</v>
      </c>
      <c r="BL290" s="1">
        <v>686</v>
      </c>
      <c r="BM290" s="1">
        <v>695</v>
      </c>
      <c r="BN290" s="1">
        <v>681</v>
      </c>
      <c r="BO290" s="1">
        <v>669</v>
      </c>
      <c r="BP290" s="1">
        <v>669</v>
      </c>
      <c r="BQ290" s="1">
        <v>663</v>
      </c>
      <c r="BR290" s="1">
        <v>672</v>
      </c>
      <c r="BS290" s="1">
        <v>671</v>
      </c>
      <c r="BT290" s="1">
        <v>680</v>
      </c>
      <c r="BU290" s="1">
        <v>685</v>
      </c>
      <c r="BV290" s="1">
        <v>680</v>
      </c>
      <c r="BW290" s="1">
        <v>678</v>
      </c>
      <c r="BX290" s="1">
        <v>685</v>
      </c>
      <c r="BY290" s="1">
        <v>689</v>
      </c>
      <c r="BZ290" s="1">
        <v>686</v>
      </c>
    </row>
    <row r="291" spans="1:254">
      <c r="A291" s="62" t="s">
        <v>504</v>
      </c>
      <c r="B291" s="1" t="str">
        <f>銘柄管理!C291</f>
        <v>電気興業</v>
      </c>
      <c r="C291" s="1">
        <f>_xll.RssMarket("6706","高値")</f>
        <v>3240</v>
      </c>
      <c r="E291" s="1">
        <v>3240</v>
      </c>
      <c r="F291" s="1">
        <v>3205</v>
      </c>
      <c r="G291" s="1">
        <v>3110</v>
      </c>
      <c r="H291" s="1">
        <v>3110</v>
      </c>
      <c r="I291" s="1">
        <v>3130</v>
      </c>
      <c r="J291" s="1">
        <v>3090</v>
      </c>
      <c r="K291" s="1">
        <v>3030</v>
      </c>
      <c r="L291" s="1">
        <v>3010</v>
      </c>
      <c r="M291" s="1">
        <v>3045</v>
      </c>
      <c r="O291" s="1">
        <v>3025</v>
      </c>
      <c r="P291" s="1">
        <v>3055</v>
      </c>
      <c r="Q291" s="1">
        <v>2939</v>
      </c>
      <c r="R291" s="1">
        <v>2976</v>
      </c>
      <c r="S291" s="1">
        <v>3045</v>
      </c>
      <c r="T291" s="1">
        <v>3020</v>
      </c>
      <c r="U291" s="1">
        <v>3085</v>
      </c>
      <c r="V291" s="1">
        <v>3095</v>
      </c>
      <c r="W291" s="1">
        <v>3090</v>
      </c>
      <c r="X291" s="1">
        <v>2999</v>
      </c>
      <c r="Y291" s="1">
        <v>3055</v>
      </c>
      <c r="Z291" s="1">
        <v>3045</v>
      </c>
      <c r="AA291" s="1">
        <v>3045</v>
      </c>
      <c r="AB291" s="1">
        <v>3110</v>
      </c>
      <c r="AC291" s="1">
        <v>3065</v>
      </c>
      <c r="AD291" s="1">
        <v>3160</v>
      </c>
      <c r="AE291" s="1">
        <v>3125</v>
      </c>
      <c r="AF291" s="1">
        <v>3145</v>
      </c>
      <c r="AG291" s="1">
        <v>3155</v>
      </c>
      <c r="AH291" s="1">
        <v>3140</v>
      </c>
      <c r="AI291" s="1">
        <v>3225</v>
      </c>
      <c r="AJ291" s="1">
        <v>3295</v>
      </c>
      <c r="AK291" s="1">
        <v>3225</v>
      </c>
      <c r="AL291" s="1">
        <v>3180</v>
      </c>
      <c r="AM291" s="1">
        <v>3240</v>
      </c>
      <c r="AN291" s="1">
        <v>3275</v>
      </c>
      <c r="AO291" s="1">
        <v>3300</v>
      </c>
      <c r="AP291" s="1">
        <v>3245</v>
      </c>
      <c r="AQ291" s="1">
        <v>3290</v>
      </c>
      <c r="AR291" s="1">
        <v>3385</v>
      </c>
      <c r="AS291" s="1">
        <v>3435</v>
      </c>
      <c r="AT291" s="1">
        <v>3505</v>
      </c>
      <c r="AU291" s="1">
        <v>3500</v>
      </c>
      <c r="AV291" s="1">
        <v>3545</v>
      </c>
      <c r="AW291" s="1">
        <v>3515</v>
      </c>
      <c r="AX291" s="1">
        <v>3580</v>
      </c>
      <c r="AY291" s="1">
        <v>3520</v>
      </c>
      <c r="AZ291" s="1">
        <v>3510</v>
      </c>
      <c r="BA291" s="1">
        <v>3535</v>
      </c>
      <c r="BB291" s="1">
        <v>3440</v>
      </c>
      <c r="BC291" s="1">
        <v>3485</v>
      </c>
      <c r="BD291" s="1">
        <v>3430</v>
      </c>
      <c r="BE291" s="1">
        <v>3490</v>
      </c>
      <c r="BF291" s="1">
        <v>3545</v>
      </c>
      <c r="BG291" s="1">
        <v>3500</v>
      </c>
      <c r="BH291" s="1">
        <v>3515</v>
      </c>
      <c r="BI291" s="1">
        <v>3515</v>
      </c>
      <c r="BJ291" s="1">
        <v>3565</v>
      </c>
      <c r="BK291" s="1">
        <v>3455</v>
      </c>
      <c r="BL291" s="1">
        <v>3435</v>
      </c>
      <c r="BM291" s="1">
        <v>3500</v>
      </c>
      <c r="BN291" s="1">
        <v>3360</v>
      </c>
      <c r="BO291" s="1">
        <v>3335</v>
      </c>
      <c r="BP291" s="1">
        <v>3345</v>
      </c>
      <c r="BQ291" s="1">
        <v>3325</v>
      </c>
      <c r="BR291" s="1">
        <v>3340</v>
      </c>
      <c r="BS291" s="1">
        <v>3330</v>
      </c>
      <c r="BT291" s="1">
        <v>3320</v>
      </c>
      <c r="BU291" s="1">
        <v>3335</v>
      </c>
      <c r="BV291" s="1">
        <v>3340</v>
      </c>
      <c r="BW291" s="1">
        <v>3330</v>
      </c>
      <c r="BX291" s="1">
        <v>3305</v>
      </c>
      <c r="BY291" s="1">
        <v>3335</v>
      </c>
      <c r="BZ291" s="1">
        <v>3250</v>
      </c>
    </row>
    <row r="292" spans="1:254">
      <c r="A292" s="62" t="s">
        <v>505</v>
      </c>
      <c r="B292" s="1" t="str">
        <f>銘柄管理!C292</f>
        <v>新光商事</v>
      </c>
      <c r="C292" s="1">
        <f>_xll.RssMarket("8141","高値")</f>
        <v>1570</v>
      </c>
      <c r="E292" s="1">
        <v>1570</v>
      </c>
      <c r="F292" s="1">
        <v>1569</v>
      </c>
      <c r="G292" s="1">
        <v>1580</v>
      </c>
      <c r="H292" s="1">
        <v>1569</v>
      </c>
      <c r="I292" s="1">
        <v>1565</v>
      </c>
      <c r="J292" s="1">
        <v>1573</v>
      </c>
      <c r="K292" s="1">
        <v>1580</v>
      </c>
      <c r="L292" s="1">
        <v>1581</v>
      </c>
      <c r="M292" s="1">
        <v>1587</v>
      </c>
      <c r="O292" s="1">
        <v>1590</v>
      </c>
      <c r="P292" s="1">
        <v>1590</v>
      </c>
      <c r="Q292" s="1">
        <v>1598</v>
      </c>
      <c r="R292" s="1">
        <v>1616</v>
      </c>
      <c r="S292" s="1">
        <v>1625</v>
      </c>
      <c r="T292" s="1">
        <v>1593</v>
      </c>
      <c r="U292" s="1">
        <v>1589</v>
      </c>
      <c r="V292" s="1">
        <v>1589</v>
      </c>
      <c r="W292" s="1">
        <v>1591</v>
      </c>
      <c r="X292" s="1">
        <v>1591</v>
      </c>
      <c r="Y292" s="1">
        <v>1590</v>
      </c>
      <c r="Z292" s="1">
        <v>1594</v>
      </c>
      <c r="AA292" s="1">
        <v>1592</v>
      </c>
      <c r="AB292" s="1">
        <v>1592</v>
      </c>
      <c r="AC292" s="1">
        <v>1591</v>
      </c>
      <c r="AD292" s="1">
        <v>1593</v>
      </c>
      <c r="AE292" s="1">
        <v>1585</v>
      </c>
      <c r="AF292" s="1">
        <v>1577</v>
      </c>
      <c r="AG292" s="1">
        <v>1578</v>
      </c>
      <c r="AH292" s="1">
        <v>1580</v>
      </c>
      <c r="AI292" s="1">
        <v>1605</v>
      </c>
      <c r="AJ292" s="1">
        <v>1599</v>
      </c>
      <c r="AK292" s="1">
        <v>1583</v>
      </c>
      <c r="AL292" s="1">
        <v>1585</v>
      </c>
      <c r="AM292" s="1">
        <v>1584</v>
      </c>
      <c r="AN292" s="1">
        <v>1581</v>
      </c>
      <c r="AO292" s="1">
        <v>1582</v>
      </c>
      <c r="AP292" s="1">
        <v>1584</v>
      </c>
      <c r="AQ292" s="1">
        <v>1582</v>
      </c>
      <c r="AR292" s="1">
        <v>1584</v>
      </c>
      <c r="AS292" s="1">
        <v>1585</v>
      </c>
      <c r="AT292" s="1">
        <v>1588</v>
      </c>
      <c r="AU292" s="1">
        <v>1590</v>
      </c>
      <c r="AV292" s="1">
        <v>1580</v>
      </c>
      <c r="AW292" s="1">
        <v>1580</v>
      </c>
      <c r="AX292" s="1">
        <v>1579</v>
      </c>
      <c r="AY292" s="1">
        <v>1584</v>
      </c>
      <c r="AZ292" s="1">
        <v>1601</v>
      </c>
      <c r="BA292" s="1">
        <v>1606</v>
      </c>
      <c r="BB292" s="1">
        <v>1616</v>
      </c>
      <c r="BC292" s="1">
        <v>1617</v>
      </c>
      <c r="BD292" s="1">
        <v>1613</v>
      </c>
      <c r="BE292" s="1">
        <v>1620</v>
      </c>
      <c r="BF292" s="1">
        <v>1642</v>
      </c>
      <c r="BG292" s="1">
        <v>1565</v>
      </c>
      <c r="BH292" s="1">
        <v>1606</v>
      </c>
      <c r="BI292" s="1">
        <v>1638</v>
      </c>
      <c r="BJ292" s="1">
        <v>1717</v>
      </c>
      <c r="BK292" s="1">
        <v>1772</v>
      </c>
      <c r="BL292" s="1">
        <v>1719</v>
      </c>
      <c r="BM292" s="1">
        <v>1772</v>
      </c>
      <c r="BN292" s="1">
        <v>1671</v>
      </c>
      <c r="BO292" s="1">
        <v>1662</v>
      </c>
      <c r="BP292" s="1">
        <v>1601</v>
      </c>
      <c r="BQ292" s="1">
        <v>1554</v>
      </c>
      <c r="BR292" s="1">
        <v>1565</v>
      </c>
      <c r="BS292" s="1">
        <v>1599</v>
      </c>
      <c r="BT292" s="1">
        <v>1584</v>
      </c>
      <c r="BU292" s="1">
        <v>1583</v>
      </c>
      <c r="BV292" s="1">
        <v>1570</v>
      </c>
      <c r="BW292" s="1">
        <v>1497</v>
      </c>
      <c r="BX292" s="1">
        <v>1491</v>
      </c>
      <c r="BY292" s="1">
        <v>1434</v>
      </c>
      <c r="BZ292" s="1">
        <v>1470</v>
      </c>
    </row>
    <row r="293" spans="1:254">
      <c r="A293" s="62" t="s">
        <v>506</v>
      </c>
      <c r="B293" s="1" t="str">
        <f>銘柄管理!C293</f>
        <v>山形銀行</v>
      </c>
      <c r="C293" s="1">
        <f>_xll.RssMarket("8344","高値")</f>
        <v>4260</v>
      </c>
      <c r="E293" s="1">
        <v>4260</v>
      </c>
      <c r="F293" s="1">
        <v>4030</v>
      </c>
      <c r="G293" s="1">
        <v>4005</v>
      </c>
      <c r="H293" s="1">
        <v>3805</v>
      </c>
      <c r="I293" s="1">
        <v>3865</v>
      </c>
      <c r="J293" s="1">
        <v>3790</v>
      </c>
      <c r="K293" s="1">
        <v>4015</v>
      </c>
      <c r="L293" s="1">
        <v>4150</v>
      </c>
      <c r="M293" s="1">
        <v>4220</v>
      </c>
      <c r="N293" s="1">
        <v>4030</v>
      </c>
      <c r="O293" s="1">
        <v>4070</v>
      </c>
      <c r="P293" s="1">
        <v>3890</v>
      </c>
      <c r="Q293" s="1">
        <v>3810</v>
      </c>
      <c r="R293" s="1">
        <v>3900</v>
      </c>
      <c r="S293" s="1">
        <v>3930</v>
      </c>
      <c r="T293" s="1">
        <v>3780</v>
      </c>
      <c r="U293" s="1">
        <v>3790</v>
      </c>
      <c r="V293" s="1">
        <v>3865</v>
      </c>
      <c r="W293" s="1">
        <v>3850</v>
      </c>
      <c r="X293" s="1">
        <v>3935</v>
      </c>
      <c r="Y293" s="1">
        <v>4245</v>
      </c>
      <c r="Z293" s="1">
        <v>4050</v>
      </c>
      <c r="AA293" s="1">
        <v>4010</v>
      </c>
      <c r="AB293" s="1">
        <v>3875</v>
      </c>
      <c r="AC293" s="1">
        <v>3610</v>
      </c>
      <c r="AD293" s="1">
        <v>3550</v>
      </c>
      <c r="AE293" s="1">
        <v>3455</v>
      </c>
      <c r="AF293" s="1">
        <v>3385</v>
      </c>
      <c r="AG293" s="1">
        <v>3345</v>
      </c>
      <c r="AH293" s="1">
        <v>3355</v>
      </c>
      <c r="AI293" s="1">
        <v>3465</v>
      </c>
      <c r="AJ293" s="1">
        <v>3395</v>
      </c>
      <c r="AK293" s="1">
        <v>3485</v>
      </c>
      <c r="AL293" s="1">
        <v>3545</v>
      </c>
      <c r="AM293" s="1">
        <v>3660</v>
      </c>
      <c r="AN293" s="1">
        <v>3580</v>
      </c>
      <c r="AO293" s="1">
        <v>3600</v>
      </c>
      <c r="AP293" s="1">
        <v>3540</v>
      </c>
      <c r="AQ293" s="1">
        <v>3445</v>
      </c>
      <c r="AR293" s="1">
        <v>3430</v>
      </c>
      <c r="AS293" s="1">
        <v>3075</v>
      </c>
      <c r="AT293" s="1">
        <v>3105</v>
      </c>
      <c r="AU293" s="1">
        <v>3080</v>
      </c>
      <c r="AV293" s="1">
        <v>3065</v>
      </c>
      <c r="AW293" s="1">
        <v>3060</v>
      </c>
      <c r="AX293" s="1">
        <v>3175</v>
      </c>
      <c r="AY293" s="1">
        <v>3115</v>
      </c>
      <c r="AZ293" s="1">
        <v>3105</v>
      </c>
      <c r="BA293" s="1">
        <v>3025</v>
      </c>
      <c r="BB293" s="1">
        <v>3165</v>
      </c>
      <c r="BC293" s="1">
        <v>3150</v>
      </c>
      <c r="BD293" s="1">
        <v>3010</v>
      </c>
      <c r="BE293" s="1">
        <v>2980</v>
      </c>
      <c r="BF293" s="1">
        <v>2891</v>
      </c>
      <c r="BG293" s="1">
        <v>2678</v>
      </c>
      <c r="BH293" s="1">
        <v>2637</v>
      </c>
      <c r="BI293" s="1">
        <v>2616</v>
      </c>
      <c r="BJ293" s="1">
        <v>2586</v>
      </c>
      <c r="BK293" s="1">
        <v>2552</v>
      </c>
      <c r="BL293" s="1">
        <v>2570</v>
      </c>
      <c r="BM293" s="1">
        <v>2627</v>
      </c>
      <c r="BN293" s="1">
        <v>2545</v>
      </c>
      <c r="BO293" s="1">
        <v>2545</v>
      </c>
      <c r="BP293" s="1">
        <v>2563</v>
      </c>
      <c r="BQ293" s="1">
        <v>2413</v>
      </c>
      <c r="BR293" s="1">
        <v>2482</v>
      </c>
      <c r="BS293" s="1">
        <v>2521</v>
      </c>
      <c r="BT293" s="1">
        <v>2630</v>
      </c>
      <c r="BU293" s="1">
        <v>2736</v>
      </c>
      <c r="BV293" s="1">
        <v>2799</v>
      </c>
      <c r="BW293" s="1">
        <v>2807</v>
      </c>
      <c r="BX293" s="1">
        <v>2797</v>
      </c>
      <c r="BY293" s="1">
        <v>2780</v>
      </c>
      <c r="BZ293" s="1">
        <v>2706</v>
      </c>
    </row>
    <row r="294" spans="1:254">
      <c r="A294" s="62" t="s">
        <v>507</v>
      </c>
      <c r="B294" s="1" t="str">
        <f>銘柄管理!C294</f>
        <v>小野建</v>
      </c>
      <c r="C294" s="1">
        <f>_xll.RssMarket("7414","高値")</f>
        <v>1424</v>
      </c>
      <c r="E294" s="1">
        <v>1424</v>
      </c>
      <c r="F294" s="1">
        <v>1415</v>
      </c>
      <c r="G294" s="1">
        <v>1423</v>
      </c>
      <c r="H294" s="1">
        <v>1433</v>
      </c>
      <c r="I294" s="1">
        <v>1464</v>
      </c>
      <c r="J294" s="1">
        <v>1468</v>
      </c>
      <c r="K294" s="1">
        <v>1468</v>
      </c>
      <c r="L294" s="1">
        <v>1446</v>
      </c>
      <c r="M294" s="1">
        <v>1447</v>
      </c>
      <c r="O294" s="1">
        <v>1435</v>
      </c>
      <c r="P294" s="1">
        <v>1432</v>
      </c>
      <c r="Q294" s="1">
        <v>1421</v>
      </c>
      <c r="R294" s="1">
        <v>1424</v>
      </c>
      <c r="S294" s="1">
        <v>1430</v>
      </c>
      <c r="T294" s="1">
        <v>1393</v>
      </c>
      <c r="U294" s="1">
        <v>1395</v>
      </c>
      <c r="V294" s="1">
        <v>1389</v>
      </c>
      <c r="W294" s="1">
        <v>1381</v>
      </c>
      <c r="X294" s="1">
        <v>1384</v>
      </c>
      <c r="Y294" s="1">
        <v>1378</v>
      </c>
      <c r="Z294" s="1">
        <v>1375</v>
      </c>
      <c r="AA294" s="1">
        <v>1357</v>
      </c>
      <c r="AB294" s="1">
        <v>1348</v>
      </c>
      <c r="AC294" s="1">
        <v>1337</v>
      </c>
      <c r="AD294" s="1">
        <v>1341</v>
      </c>
      <c r="AE294" s="1">
        <v>1348</v>
      </c>
      <c r="AF294" s="1">
        <v>1332</v>
      </c>
      <c r="AG294" s="1">
        <v>1331</v>
      </c>
      <c r="AH294" s="1">
        <v>1338</v>
      </c>
      <c r="AI294" s="1">
        <v>1331</v>
      </c>
      <c r="AJ294" s="1">
        <v>1332</v>
      </c>
      <c r="AK294" s="1">
        <v>1339</v>
      </c>
      <c r="AL294" s="1">
        <v>1343</v>
      </c>
      <c r="AM294" s="1">
        <v>1344</v>
      </c>
      <c r="AN294" s="1">
        <v>1329</v>
      </c>
      <c r="AO294" s="1">
        <v>1332</v>
      </c>
      <c r="AP294" s="1">
        <v>1323</v>
      </c>
      <c r="AQ294" s="1">
        <v>1315</v>
      </c>
      <c r="AR294" s="1">
        <v>1311</v>
      </c>
      <c r="AS294" s="1">
        <v>1325</v>
      </c>
      <c r="AT294" s="1">
        <v>1333</v>
      </c>
      <c r="AU294" s="1">
        <v>1315</v>
      </c>
      <c r="AV294" s="1">
        <v>1317</v>
      </c>
      <c r="AW294" s="1">
        <v>1312</v>
      </c>
      <c r="AX294" s="1">
        <v>1360</v>
      </c>
      <c r="AY294" s="1">
        <v>1346</v>
      </c>
      <c r="AZ294" s="1">
        <v>1343</v>
      </c>
      <c r="BA294" s="1">
        <v>1329</v>
      </c>
      <c r="BB294" s="1">
        <v>1331</v>
      </c>
      <c r="BC294" s="1">
        <v>1339</v>
      </c>
      <c r="BD294" s="1">
        <v>1349</v>
      </c>
      <c r="BE294" s="1">
        <v>1351</v>
      </c>
      <c r="BF294" s="1">
        <v>1379</v>
      </c>
      <c r="BG294" s="1">
        <v>1463</v>
      </c>
      <c r="BH294" s="1">
        <v>1446</v>
      </c>
      <c r="BI294" s="1">
        <v>1448</v>
      </c>
      <c r="BJ294" s="1">
        <v>1455</v>
      </c>
      <c r="BK294" s="1">
        <v>1437</v>
      </c>
      <c r="BL294" s="1">
        <v>1447</v>
      </c>
      <c r="BM294" s="1">
        <v>1448</v>
      </c>
      <c r="BN294" s="1">
        <v>1415</v>
      </c>
      <c r="BO294" s="1">
        <v>1396</v>
      </c>
      <c r="BP294" s="1">
        <v>1402</v>
      </c>
      <c r="BQ294" s="1">
        <v>1388</v>
      </c>
      <c r="BR294" s="1">
        <v>1390</v>
      </c>
      <c r="BS294" s="1">
        <v>1385</v>
      </c>
      <c r="BT294" s="1">
        <v>1399</v>
      </c>
      <c r="BU294" s="1">
        <v>1413</v>
      </c>
      <c r="BV294" s="1">
        <v>1410</v>
      </c>
      <c r="BW294" s="1">
        <v>1407</v>
      </c>
      <c r="BX294" s="1">
        <v>1419</v>
      </c>
      <c r="BY294" s="1">
        <v>1425</v>
      </c>
      <c r="BZ294" s="1">
        <v>1418</v>
      </c>
    </row>
    <row r="295" spans="1:254">
      <c r="A295" s="62" t="s">
        <v>508</v>
      </c>
      <c r="B295" s="1" t="str">
        <f>銘柄管理!C295</f>
        <v>ＣＫＤ</v>
      </c>
      <c r="C295" s="1">
        <f>_xll.RssMarket("6407","高値")</f>
        <v>6900</v>
      </c>
      <c r="E295" s="1">
        <v>6900</v>
      </c>
      <c r="F295" s="1">
        <v>6800</v>
      </c>
      <c r="G295" s="1">
        <v>6380</v>
      </c>
      <c r="H295" s="1">
        <v>5960</v>
      </c>
      <c r="I295" s="1">
        <v>6240</v>
      </c>
      <c r="J295" s="1">
        <v>5420</v>
      </c>
      <c r="K295" s="1">
        <v>5600</v>
      </c>
      <c r="L295" s="1">
        <v>6140</v>
      </c>
      <c r="M295" s="1">
        <v>6350</v>
      </c>
      <c r="O295" s="1">
        <v>6880</v>
      </c>
      <c r="P295" s="1">
        <v>6930</v>
      </c>
      <c r="Q295" s="1">
        <v>6630</v>
      </c>
      <c r="R295" s="1">
        <v>6420</v>
      </c>
      <c r="S295" s="1">
        <v>7280</v>
      </c>
      <c r="T295" s="1">
        <v>6750</v>
      </c>
      <c r="U295" s="1">
        <v>7350</v>
      </c>
      <c r="V295" s="1">
        <v>7370</v>
      </c>
      <c r="W295" s="1">
        <v>7010</v>
      </c>
      <c r="X295" s="1">
        <v>6990</v>
      </c>
      <c r="Y295" s="1">
        <v>7370</v>
      </c>
      <c r="Z295" s="1">
        <v>7660</v>
      </c>
      <c r="AA295" s="1">
        <v>7580</v>
      </c>
      <c r="AB295" s="1">
        <v>7670</v>
      </c>
      <c r="AC295" s="1">
        <v>7920</v>
      </c>
      <c r="AD295" s="1">
        <v>7620</v>
      </c>
      <c r="AE295" s="1">
        <v>7530</v>
      </c>
      <c r="AF295" s="1">
        <v>7840</v>
      </c>
      <c r="AG295" s="1">
        <v>8120</v>
      </c>
      <c r="AH295" s="1">
        <v>7660</v>
      </c>
      <c r="AI295" s="1">
        <v>8330</v>
      </c>
      <c r="AJ295" s="1">
        <v>8210</v>
      </c>
      <c r="AK295" s="1">
        <v>8130</v>
      </c>
      <c r="AL295" s="1">
        <v>8090</v>
      </c>
      <c r="AM295" s="1">
        <v>7540</v>
      </c>
      <c r="AN295" s="1">
        <v>7560</v>
      </c>
      <c r="AO295" s="1">
        <v>7450</v>
      </c>
      <c r="AP295" s="1">
        <v>6910</v>
      </c>
      <c r="AQ295" s="1">
        <v>6200</v>
      </c>
      <c r="AR295" s="1">
        <v>6320</v>
      </c>
      <c r="AS295" s="1">
        <v>5990</v>
      </c>
      <c r="AT295" s="1">
        <v>6370</v>
      </c>
      <c r="AU295" s="1">
        <v>6540</v>
      </c>
      <c r="AV295" s="1">
        <v>6630</v>
      </c>
      <c r="AW295" s="1">
        <v>6420</v>
      </c>
      <c r="AX295" s="1">
        <v>6760</v>
      </c>
      <c r="AY295" s="1">
        <v>6800</v>
      </c>
      <c r="AZ295" s="1">
        <v>7100</v>
      </c>
      <c r="BA295" s="1">
        <v>7240</v>
      </c>
      <c r="BB295" s="1">
        <v>7340</v>
      </c>
      <c r="BC295" s="1">
        <v>6420</v>
      </c>
      <c r="BD295" s="1">
        <v>6100</v>
      </c>
      <c r="BE295" s="1">
        <v>6200</v>
      </c>
      <c r="BF295" s="1">
        <v>6600</v>
      </c>
      <c r="BG295" s="1">
        <v>7470</v>
      </c>
      <c r="BH295" s="1">
        <v>7170</v>
      </c>
      <c r="BI295" s="1">
        <v>6960</v>
      </c>
      <c r="BJ295" s="1">
        <v>7170</v>
      </c>
      <c r="BK295" s="1">
        <v>6820</v>
      </c>
      <c r="BL295" s="1">
        <v>6650</v>
      </c>
      <c r="BM295" s="1">
        <v>6950</v>
      </c>
      <c r="BN295" s="1">
        <v>6100</v>
      </c>
      <c r="BO295" s="1">
        <v>6110</v>
      </c>
      <c r="BP295" s="1">
        <v>5870</v>
      </c>
      <c r="BQ295" s="1">
        <v>5900</v>
      </c>
      <c r="BR295" s="1">
        <v>5580</v>
      </c>
      <c r="BS295" s="1">
        <v>5810</v>
      </c>
      <c r="BT295" s="1">
        <v>5810</v>
      </c>
      <c r="BU295" s="1">
        <v>5690</v>
      </c>
      <c r="BV295" s="1">
        <v>5760</v>
      </c>
      <c r="BW295" s="1">
        <v>5700</v>
      </c>
      <c r="BX295" s="1">
        <v>5790</v>
      </c>
      <c r="BY295" s="1">
        <v>5860</v>
      </c>
      <c r="BZ295" s="1">
        <v>5870</v>
      </c>
    </row>
    <row r="296" spans="1:254">
      <c r="A296" s="62" t="s">
        <v>509</v>
      </c>
      <c r="B296" s="1" t="str">
        <f>銘柄管理!C296</f>
        <v>ベルトラ</v>
      </c>
      <c r="C296" s="1">
        <f>_xll.RssMarket("7048","高値")</f>
        <v>163</v>
      </c>
      <c r="E296" s="1">
        <v>163</v>
      </c>
      <c r="F296" s="1">
        <v>161</v>
      </c>
      <c r="G296" s="1">
        <v>160</v>
      </c>
      <c r="H296" s="1">
        <v>164</v>
      </c>
      <c r="I296" s="1">
        <v>162</v>
      </c>
      <c r="J296" s="1">
        <v>160</v>
      </c>
      <c r="K296" s="1">
        <v>158</v>
      </c>
      <c r="L296" s="1">
        <v>163</v>
      </c>
      <c r="M296" s="1">
        <v>162</v>
      </c>
      <c r="O296" s="1">
        <v>160</v>
      </c>
      <c r="P296" s="1">
        <v>166</v>
      </c>
      <c r="Q296" s="1">
        <v>180</v>
      </c>
      <c r="R296" s="1">
        <v>180</v>
      </c>
      <c r="S296" s="1">
        <v>184</v>
      </c>
      <c r="T296" s="1">
        <v>182</v>
      </c>
      <c r="U296" s="1">
        <v>179</v>
      </c>
      <c r="V296" s="1">
        <v>177</v>
      </c>
      <c r="W296" s="1">
        <v>167</v>
      </c>
      <c r="X296" s="1">
        <v>166</v>
      </c>
      <c r="Y296" s="1">
        <v>168</v>
      </c>
      <c r="Z296" s="1">
        <v>175</v>
      </c>
      <c r="AA296" s="1">
        <v>173</v>
      </c>
      <c r="AB296" s="1">
        <v>173</v>
      </c>
      <c r="AC296" s="1">
        <v>166</v>
      </c>
      <c r="AD296" s="1">
        <v>168</v>
      </c>
      <c r="AE296" s="1">
        <v>168</v>
      </c>
      <c r="AF296" s="1">
        <v>169</v>
      </c>
      <c r="AG296" s="1">
        <v>180</v>
      </c>
      <c r="AH296" s="1">
        <v>196</v>
      </c>
      <c r="AI296" s="1">
        <v>219</v>
      </c>
      <c r="AJ296" s="1">
        <v>174</v>
      </c>
      <c r="AK296" s="1">
        <v>161</v>
      </c>
      <c r="AL296" s="1">
        <v>158</v>
      </c>
      <c r="AM296" s="1">
        <v>133</v>
      </c>
      <c r="AN296" s="1">
        <v>129</v>
      </c>
      <c r="AO296" s="1">
        <v>163</v>
      </c>
      <c r="AP296" s="1">
        <v>119</v>
      </c>
      <c r="AQ296" s="1">
        <v>121</v>
      </c>
      <c r="AR296" s="1">
        <v>124</v>
      </c>
      <c r="AS296" s="1">
        <v>129</v>
      </c>
      <c r="AT296" s="1">
        <v>133</v>
      </c>
      <c r="AU296" s="1">
        <v>128</v>
      </c>
      <c r="AV296" s="1">
        <v>130</v>
      </c>
      <c r="AW296" s="1">
        <v>132</v>
      </c>
      <c r="AX296" s="1">
        <v>136</v>
      </c>
      <c r="AY296" s="1">
        <v>136</v>
      </c>
      <c r="AZ296" s="1">
        <v>137</v>
      </c>
      <c r="BA296" s="1">
        <v>143</v>
      </c>
      <c r="BB296" s="1">
        <v>145</v>
      </c>
      <c r="BC296" s="1">
        <v>145</v>
      </c>
      <c r="BD296" s="1">
        <v>147</v>
      </c>
      <c r="BE296" s="1">
        <v>150</v>
      </c>
      <c r="BF296" s="1">
        <v>151</v>
      </c>
      <c r="BG296" s="1">
        <v>154</v>
      </c>
      <c r="BH296" s="1">
        <v>163</v>
      </c>
      <c r="BI296" s="1">
        <v>165</v>
      </c>
      <c r="BJ296" s="1">
        <v>164</v>
      </c>
      <c r="BK296" s="1">
        <v>166</v>
      </c>
      <c r="BL296" s="1">
        <v>165</v>
      </c>
      <c r="BM296" s="1">
        <v>163</v>
      </c>
      <c r="BN296" s="1">
        <v>163</v>
      </c>
      <c r="BO296" s="1">
        <v>162</v>
      </c>
      <c r="BP296" s="1">
        <v>166</v>
      </c>
      <c r="BQ296" s="1">
        <v>165</v>
      </c>
      <c r="BR296" s="1">
        <v>167</v>
      </c>
      <c r="BS296" s="1">
        <v>171</v>
      </c>
      <c r="BT296" s="1">
        <v>178</v>
      </c>
      <c r="BU296" s="1">
        <v>186</v>
      </c>
      <c r="BV296" s="1">
        <v>190</v>
      </c>
      <c r="BW296" s="1">
        <v>190</v>
      </c>
      <c r="BX296" s="1">
        <v>182</v>
      </c>
      <c r="BY296" s="1">
        <v>179</v>
      </c>
      <c r="BZ296" s="1">
        <v>176</v>
      </c>
    </row>
    <row r="297" spans="1:254">
      <c r="A297" s="62" t="s">
        <v>510</v>
      </c>
      <c r="B297" s="1" t="str">
        <f>銘柄管理!C297</f>
        <v>長谷工コーポレーシヨン</v>
      </c>
      <c r="C297" s="1">
        <f>_xll.RssMarket("1808","高値")</f>
        <v>2691</v>
      </c>
      <c r="E297" s="1">
        <v>2691</v>
      </c>
      <c r="F297" s="1">
        <v>2670</v>
      </c>
      <c r="G297" s="1">
        <v>2736</v>
      </c>
      <c r="H297" s="1">
        <v>2778.5</v>
      </c>
      <c r="I297" s="1">
        <v>2823</v>
      </c>
      <c r="J297" s="1">
        <v>2882</v>
      </c>
      <c r="K297" s="1">
        <v>2902.5</v>
      </c>
      <c r="L297" s="1">
        <v>2860</v>
      </c>
      <c r="M297" s="1">
        <v>2856</v>
      </c>
      <c r="N297" s="1">
        <v>2775</v>
      </c>
      <c r="O297" s="1">
        <v>2797</v>
      </c>
      <c r="P297" s="1">
        <v>2822.5</v>
      </c>
      <c r="Q297" s="1">
        <v>2854.5</v>
      </c>
      <c r="R297" s="1">
        <v>2858</v>
      </c>
      <c r="S297" s="1">
        <v>2835.5</v>
      </c>
      <c r="T297" s="1">
        <v>2820</v>
      </c>
      <c r="U297" s="1">
        <v>2824.5</v>
      </c>
      <c r="V297" s="1">
        <v>2876.5</v>
      </c>
      <c r="W297" s="1">
        <v>2829.5</v>
      </c>
      <c r="X297" s="1">
        <v>2894.5</v>
      </c>
      <c r="Y297" s="1">
        <v>2898</v>
      </c>
      <c r="Z297" s="1">
        <v>2898</v>
      </c>
      <c r="AA297" s="1">
        <v>2870.5</v>
      </c>
      <c r="AB297" s="1">
        <v>2826</v>
      </c>
      <c r="AC297" s="1">
        <v>2843.5</v>
      </c>
      <c r="AD297" s="1">
        <v>2874</v>
      </c>
      <c r="AE297" s="1">
        <v>2894</v>
      </c>
      <c r="AF297" s="1">
        <v>2858.5</v>
      </c>
      <c r="AG297" s="1">
        <v>2782</v>
      </c>
      <c r="AH297" s="1">
        <v>2760</v>
      </c>
      <c r="AI297" s="1">
        <v>2772</v>
      </c>
      <c r="AJ297" s="1">
        <v>2739</v>
      </c>
      <c r="AK297" s="1">
        <v>2730</v>
      </c>
      <c r="AL297" s="1">
        <v>2714</v>
      </c>
      <c r="AM297" s="1">
        <v>2743</v>
      </c>
      <c r="AN297" s="1">
        <v>2729.5</v>
      </c>
      <c r="AO297" s="1">
        <v>2762</v>
      </c>
      <c r="AP297" s="1">
        <v>2770</v>
      </c>
      <c r="AQ297" s="1">
        <v>2763</v>
      </c>
      <c r="AR297" s="1">
        <v>2732</v>
      </c>
      <c r="AS297" s="1">
        <v>2659</v>
      </c>
      <c r="AT297" s="1">
        <v>2672.5</v>
      </c>
      <c r="AU297" s="1">
        <v>2648.5</v>
      </c>
      <c r="AV297" s="1">
        <v>2644</v>
      </c>
      <c r="AW297" s="1">
        <v>2638</v>
      </c>
      <c r="AX297" s="1">
        <v>2741</v>
      </c>
      <c r="AY297" s="1">
        <v>2730.5</v>
      </c>
      <c r="AZ297" s="1">
        <v>2721</v>
      </c>
      <c r="BA297" s="1">
        <v>2724.5</v>
      </c>
      <c r="BB297" s="1">
        <v>2745</v>
      </c>
      <c r="BC297" s="1">
        <v>2769.5</v>
      </c>
      <c r="BD297" s="1">
        <v>2790</v>
      </c>
      <c r="BE297" s="1">
        <v>2871</v>
      </c>
      <c r="BF297" s="1">
        <v>2897.5</v>
      </c>
      <c r="BG297" s="1">
        <v>2728</v>
      </c>
      <c r="BH297" s="1">
        <v>2790</v>
      </c>
      <c r="BI297" s="1">
        <v>2822</v>
      </c>
      <c r="BJ297" s="1">
        <v>2827</v>
      </c>
      <c r="BK297" s="1">
        <v>2790</v>
      </c>
      <c r="BL297" s="1">
        <v>2780</v>
      </c>
      <c r="BM297" s="1">
        <v>2799</v>
      </c>
      <c r="BN297" s="1">
        <v>2748.5</v>
      </c>
      <c r="BO297" s="1">
        <v>2801</v>
      </c>
      <c r="BP297" s="1">
        <v>2818</v>
      </c>
      <c r="BQ297" s="1">
        <v>2743.5</v>
      </c>
      <c r="BR297" s="1">
        <v>2727</v>
      </c>
      <c r="BS297" s="1">
        <v>2749</v>
      </c>
      <c r="BT297" s="1">
        <v>2767.5</v>
      </c>
      <c r="BU297" s="1">
        <v>2816</v>
      </c>
      <c r="BV297" s="1">
        <v>2839</v>
      </c>
      <c r="BW297" s="1">
        <v>2782.5</v>
      </c>
      <c r="BX297" s="1">
        <v>2833.5</v>
      </c>
      <c r="BY297" s="1">
        <v>2765.5</v>
      </c>
      <c r="BZ297" s="1">
        <v>2884.5</v>
      </c>
    </row>
    <row r="298" spans="1:254">
      <c r="A298" s="62" t="s">
        <v>511</v>
      </c>
      <c r="B298" s="1" t="str">
        <f>銘柄管理!C298</f>
        <v>ＵＢＥ</v>
      </c>
      <c r="C298" s="1">
        <f>_xll.RssMarket("4208","高値")</f>
        <v>3282</v>
      </c>
      <c r="E298" s="1">
        <v>3282</v>
      </c>
      <c r="F298" s="1">
        <v>3239</v>
      </c>
      <c r="G298" s="1">
        <v>3179</v>
      </c>
      <c r="H298" s="1">
        <v>3185</v>
      </c>
      <c r="I298" s="1">
        <v>3202</v>
      </c>
      <c r="J298" s="1">
        <v>3203</v>
      </c>
      <c r="K298" s="1">
        <v>3230</v>
      </c>
      <c r="L298" s="1">
        <v>3310</v>
      </c>
      <c r="M298" s="1">
        <v>3329</v>
      </c>
      <c r="O298" s="1">
        <v>3279</v>
      </c>
      <c r="P298" s="1">
        <v>3283</v>
      </c>
      <c r="Q298" s="1">
        <v>3248</v>
      </c>
      <c r="R298" s="1">
        <v>3263</v>
      </c>
      <c r="S298" s="1">
        <v>3290</v>
      </c>
      <c r="T298" s="1">
        <v>3227</v>
      </c>
      <c r="U298" s="1">
        <v>3188</v>
      </c>
      <c r="V298" s="1">
        <v>3191</v>
      </c>
      <c r="W298" s="1">
        <v>3182</v>
      </c>
      <c r="X298" s="1">
        <v>3213</v>
      </c>
      <c r="Y298" s="1">
        <v>3270</v>
      </c>
      <c r="Z298" s="1">
        <v>3279</v>
      </c>
      <c r="AA298" s="1">
        <v>3244</v>
      </c>
      <c r="AB298" s="1">
        <v>3210</v>
      </c>
      <c r="AC298" s="1">
        <v>3203</v>
      </c>
      <c r="AD298" s="1">
        <v>3208</v>
      </c>
      <c r="AE298" s="1">
        <v>3180</v>
      </c>
      <c r="AF298" s="1">
        <v>3193</v>
      </c>
      <c r="AG298" s="1">
        <v>3188</v>
      </c>
      <c r="AH298" s="1">
        <v>3151</v>
      </c>
      <c r="AI298" s="1">
        <v>3223</v>
      </c>
      <c r="AJ298" s="1">
        <v>3238</v>
      </c>
      <c r="AK298" s="1">
        <v>3321</v>
      </c>
      <c r="AL298" s="1">
        <v>3350</v>
      </c>
      <c r="AM298" s="1">
        <v>3200</v>
      </c>
      <c r="AN298" s="1">
        <v>3244</v>
      </c>
      <c r="AO298" s="1">
        <v>3214</v>
      </c>
      <c r="AP298" s="1">
        <v>3090</v>
      </c>
      <c r="AQ298" s="1">
        <v>3015</v>
      </c>
      <c r="AR298" s="1">
        <v>3028</v>
      </c>
      <c r="AS298" s="1">
        <v>2955</v>
      </c>
      <c r="AT298" s="1">
        <v>2955</v>
      </c>
      <c r="AU298" s="1">
        <v>2992</v>
      </c>
      <c r="AV298" s="1">
        <v>3006</v>
      </c>
      <c r="AW298" s="1">
        <v>2951.5</v>
      </c>
      <c r="AX298" s="1">
        <v>3004</v>
      </c>
      <c r="AY298" s="1">
        <v>2984.5</v>
      </c>
      <c r="AZ298" s="1">
        <v>3051</v>
      </c>
      <c r="BA298" s="1">
        <v>3044</v>
      </c>
      <c r="BB298" s="1">
        <v>3049</v>
      </c>
      <c r="BC298" s="1">
        <v>3067</v>
      </c>
      <c r="BD298" s="1">
        <v>2890.5</v>
      </c>
      <c r="BE298" s="1">
        <v>2425.5</v>
      </c>
      <c r="BF298" s="1">
        <v>2418</v>
      </c>
      <c r="BG298" s="1">
        <v>2450</v>
      </c>
      <c r="BH298" s="1">
        <v>2501</v>
      </c>
      <c r="BI298" s="1">
        <v>2361.5</v>
      </c>
      <c r="BJ298" s="1">
        <v>2362</v>
      </c>
      <c r="BK298" s="1">
        <v>2394</v>
      </c>
      <c r="BL298" s="1">
        <v>2396.5</v>
      </c>
      <c r="BM298" s="1">
        <v>2412.5</v>
      </c>
      <c r="BN298" s="1">
        <v>2383.5</v>
      </c>
      <c r="BO298" s="1">
        <v>2374</v>
      </c>
      <c r="BP298" s="1">
        <v>2397.5</v>
      </c>
      <c r="BQ298" s="1">
        <v>2376.5</v>
      </c>
      <c r="BR298" s="1">
        <v>2370</v>
      </c>
      <c r="BS298" s="1">
        <v>2363</v>
      </c>
      <c r="BT298" s="1">
        <v>2411.5</v>
      </c>
      <c r="BU298" s="1">
        <v>2427.5</v>
      </c>
      <c r="BV298" s="1">
        <v>2457</v>
      </c>
      <c r="BW298" s="1">
        <v>2454</v>
      </c>
      <c r="BX298" s="1">
        <v>2437.5</v>
      </c>
      <c r="BY298" s="1">
        <v>2437.5</v>
      </c>
      <c r="BZ298" s="1">
        <v>2438</v>
      </c>
    </row>
    <row r="299" spans="1:254">
      <c r="A299" s="62" t="s">
        <v>512</v>
      </c>
      <c r="B299" s="1" t="str">
        <f>銘柄管理!C299</f>
        <v>アストロスケールホールディンク</v>
      </c>
      <c r="C299" s="1">
        <f>_xll.RssMarket("186A","高値")</f>
        <v>1202</v>
      </c>
      <c r="E299" s="1">
        <v>1202</v>
      </c>
      <c r="F299" s="1">
        <v>1193</v>
      </c>
      <c r="G299" s="1">
        <v>1144</v>
      </c>
      <c r="H299" s="1">
        <v>1045</v>
      </c>
      <c r="I299" s="1">
        <v>1022</v>
      </c>
      <c r="J299" s="1">
        <v>1020</v>
      </c>
      <c r="K299" s="1">
        <v>1021</v>
      </c>
      <c r="L299" s="1">
        <v>1021</v>
      </c>
      <c r="M299" s="1">
        <v>1037</v>
      </c>
      <c r="N299" s="1">
        <v>1092</v>
      </c>
      <c r="O299" s="1">
        <v>1092</v>
      </c>
      <c r="P299" s="1">
        <v>1074</v>
      </c>
      <c r="Q299" s="1">
        <v>1005</v>
      </c>
      <c r="R299" s="1">
        <v>1004</v>
      </c>
      <c r="S299" s="1">
        <v>1120</v>
      </c>
      <c r="T299" s="1">
        <v>1094</v>
      </c>
      <c r="U299" s="1">
        <v>1214</v>
      </c>
      <c r="V299" s="1">
        <v>1128</v>
      </c>
      <c r="W299" s="1">
        <v>1133</v>
      </c>
      <c r="X299" s="1">
        <v>1127</v>
      </c>
      <c r="Y299" s="1">
        <v>1210</v>
      </c>
      <c r="Z299" s="1">
        <v>1262</v>
      </c>
      <c r="AA299" s="1">
        <v>1224</v>
      </c>
      <c r="AB299" s="1">
        <v>1166</v>
      </c>
      <c r="AC299" s="1">
        <v>1195</v>
      </c>
      <c r="AD299" s="1">
        <v>1225</v>
      </c>
      <c r="AE299" s="1">
        <v>1161</v>
      </c>
      <c r="AF299" s="1">
        <v>1197</v>
      </c>
      <c r="AG299" s="1">
        <v>1192</v>
      </c>
      <c r="AH299" s="1">
        <v>1223</v>
      </c>
      <c r="AI299" s="1">
        <v>1290</v>
      </c>
      <c r="AJ299" s="1">
        <v>1358</v>
      </c>
      <c r="AK299" s="1">
        <v>1285</v>
      </c>
      <c r="AL299" s="1">
        <v>1409</v>
      </c>
      <c r="AM299" s="1">
        <v>1454</v>
      </c>
      <c r="AN299" s="1">
        <v>1478</v>
      </c>
      <c r="AO299" s="1">
        <v>1676</v>
      </c>
      <c r="AP299" s="1">
        <v>1975</v>
      </c>
      <c r="AQ299" s="1">
        <v>1819</v>
      </c>
      <c r="AR299" s="1">
        <v>1837</v>
      </c>
      <c r="AS299" s="1">
        <v>2150</v>
      </c>
      <c r="AT299" s="1">
        <v>2220</v>
      </c>
      <c r="AU299" s="1">
        <v>1997</v>
      </c>
      <c r="AV299" s="1">
        <v>2245</v>
      </c>
      <c r="AW299" s="1">
        <v>2200</v>
      </c>
      <c r="AX299" s="1">
        <v>2958</v>
      </c>
      <c r="AY299" s="1">
        <v>2993</v>
      </c>
      <c r="AZ299" s="1">
        <v>3015</v>
      </c>
      <c r="BA299" s="1">
        <v>2852</v>
      </c>
      <c r="BB299" s="1">
        <v>2352</v>
      </c>
      <c r="BC299" s="1">
        <v>2079</v>
      </c>
      <c r="BD299" s="1">
        <v>2148</v>
      </c>
      <c r="BE299" s="1">
        <v>2170</v>
      </c>
      <c r="BF299" s="1">
        <v>2100</v>
      </c>
      <c r="BG299" s="1">
        <v>2048</v>
      </c>
      <c r="BH299" s="1">
        <v>1899</v>
      </c>
      <c r="BI299" s="1">
        <v>1854</v>
      </c>
      <c r="BJ299" s="1">
        <v>1866</v>
      </c>
      <c r="BK299" s="1">
        <v>1810</v>
      </c>
      <c r="BL299" s="1">
        <v>1570</v>
      </c>
      <c r="BM299" s="1">
        <v>1437</v>
      </c>
      <c r="BN299" s="1">
        <v>1347</v>
      </c>
      <c r="BO299" s="1">
        <v>1311</v>
      </c>
      <c r="BP299" s="1">
        <v>1320</v>
      </c>
      <c r="BQ299" s="1">
        <v>1334</v>
      </c>
      <c r="BR299" s="1">
        <v>1405</v>
      </c>
      <c r="BS299" s="1">
        <v>1459</v>
      </c>
      <c r="BT299" s="1">
        <v>1484</v>
      </c>
      <c r="BU299" s="1">
        <v>1500</v>
      </c>
      <c r="BV299" s="1">
        <v>1493</v>
      </c>
      <c r="BW299" s="1">
        <v>1422</v>
      </c>
      <c r="BX299" s="1">
        <v>1409</v>
      </c>
      <c r="BY299" s="1">
        <v>1435</v>
      </c>
      <c r="BZ299" s="1">
        <v>1420</v>
      </c>
    </row>
    <row r="300" spans="1:254">
      <c r="A300" s="62" t="s">
        <v>513</v>
      </c>
      <c r="B300" s="1" t="str">
        <f>銘柄管理!C300</f>
        <v>浜松ホトニクス</v>
      </c>
      <c r="C300" s="1">
        <f>_xll.RssMarket("6965","高値")</f>
        <v>2540</v>
      </c>
      <c r="E300" s="1">
        <v>2540</v>
      </c>
      <c r="F300" s="1">
        <v>2559</v>
      </c>
      <c r="G300" s="1">
        <v>2419</v>
      </c>
      <c r="H300" s="1">
        <v>2347</v>
      </c>
      <c r="I300" s="1">
        <v>2347</v>
      </c>
      <c r="J300" s="1">
        <v>2225</v>
      </c>
      <c r="K300" s="1">
        <v>2228</v>
      </c>
      <c r="L300" s="1">
        <v>2304.5</v>
      </c>
      <c r="M300" s="1">
        <v>2372</v>
      </c>
      <c r="O300" s="1">
        <v>2488</v>
      </c>
      <c r="P300" s="1">
        <v>2445</v>
      </c>
      <c r="Q300" s="1">
        <v>2352</v>
      </c>
      <c r="R300" s="1">
        <v>2368</v>
      </c>
      <c r="S300" s="1">
        <v>2522</v>
      </c>
      <c r="T300" s="1">
        <v>2455.5</v>
      </c>
      <c r="U300" s="1">
        <v>2551.5</v>
      </c>
      <c r="V300" s="1">
        <v>2551</v>
      </c>
      <c r="W300" s="1">
        <v>2476</v>
      </c>
      <c r="X300" s="1">
        <v>2508</v>
      </c>
      <c r="Y300" s="1">
        <v>2568.5</v>
      </c>
      <c r="Z300" s="1">
        <v>2682</v>
      </c>
      <c r="AA300" s="1">
        <v>2669</v>
      </c>
      <c r="AB300" s="1">
        <v>2724</v>
      </c>
      <c r="AC300" s="1">
        <v>2757.5</v>
      </c>
      <c r="AD300" s="1">
        <v>2703.5</v>
      </c>
      <c r="AE300" s="1">
        <v>2661</v>
      </c>
      <c r="AF300" s="1">
        <v>2741</v>
      </c>
      <c r="AG300" s="1">
        <v>2765.5</v>
      </c>
      <c r="AH300" s="1">
        <v>2746</v>
      </c>
      <c r="AI300" s="1">
        <v>2837.5</v>
      </c>
      <c r="AJ300" s="1">
        <v>2887</v>
      </c>
      <c r="AK300" s="1">
        <v>2864</v>
      </c>
      <c r="AL300" s="1">
        <v>2843.5</v>
      </c>
      <c r="AM300" s="1">
        <v>2794.5</v>
      </c>
      <c r="AN300" s="1">
        <v>2669.5</v>
      </c>
      <c r="AO300" s="1">
        <v>2676</v>
      </c>
      <c r="AP300" s="1">
        <v>2587</v>
      </c>
      <c r="AQ300" s="1">
        <v>2428</v>
      </c>
      <c r="AR300" s="1">
        <v>2504</v>
      </c>
      <c r="AS300" s="1">
        <v>2696.5</v>
      </c>
      <c r="AT300" s="1">
        <v>2912.5</v>
      </c>
      <c r="AU300" s="1">
        <v>2964</v>
      </c>
      <c r="AV300" s="1">
        <v>2915</v>
      </c>
      <c r="AW300" s="1">
        <v>2855</v>
      </c>
      <c r="AX300" s="1">
        <v>2997</v>
      </c>
      <c r="AY300" s="1">
        <v>2824</v>
      </c>
      <c r="AZ300" s="1">
        <v>2941.5</v>
      </c>
      <c r="BA300" s="1">
        <v>3100</v>
      </c>
      <c r="BB300" s="1">
        <v>2923</v>
      </c>
      <c r="BC300" s="1">
        <v>2759</v>
      </c>
      <c r="BD300" s="1">
        <v>2668.5</v>
      </c>
      <c r="BE300" s="1">
        <v>2829.5</v>
      </c>
      <c r="BF300" s="1">
        <v>2875</v>
      </c>
      <c r="BG300" s="1">
        <v>2657</v>
      </c>
      <c r="BH300" s="1">
        <v>2241</v>
      </c>
      <c r="BI300" s="1">
        <v>2162.5</v>
      </c>
      <c r="BJ300" s="1">
        <v>2239.5</v>
      </c>
      <c r="BK300" s="1">
        <v>2245</v>
      </c>
      <c r="BL300" s="1">
        <v>2207.5</v>
      </c>
      <c r="BM300" s="1">
        <v>2163</v>
      </c>
      <c r="BN300" s="1">
        <v>2034.5</v>
      </c>
      <c r="BO300" s="1">
        <v>2062</v>
      </c>
      <c r="BP300" s="1">
        <v>2047</v>
      </c>
      <c r="BQ300" s="1">
        <v>2068.5</v>
      </c>
      <c r="BR300" s="1">
        <v>1942</v>
      </c>
      <c r="BS300" s="1">
        <v>1967.5</v>
      </c>
      <c r="BT300" s="1">
        <v>1963</v>
      </c>
      <c r="BU300" s="1">
        <v>1972</v>
      </c>
      <c r="BV300" s="1">
        <v>1986.5</v>
      </c>
      <c r="BW300" s="1">
        <v>1994</v>
      </c>
      <c r="BX300" s="1">
        <v>1977</v>
      </c>
      <c r="BY300" s="1">
        <v>1956.5</v>
      </c>
      <c r="BZ300" s="1">
        <v>1973</v>
      </c>
    </row>
    <row r="301" spans="1:254">
      <c r="A301" s="62" t="s">
        <v>514</v>
      </c>
      <c r="B301" s="1" t="str">
        <f>銘柄管理!C301</f>
        <v>三菱化工機</v>
      </c>
      <c r="C301" s="1">
        <f>_xll.RssMarket("6331","高値")</f>
        <v>3315</v>
      </c>
      <c r="E301" s="1">
        <v>3315</v>
      </c>
      <c r="F301" s="1">
        <v>3280</v>
      </c>
      <c r="G301" s="1">
        <v>3180</v>
      </c>
      <c r="H301" s="1">
        <v>3105</v>
      </c>
      <c r="I301" s="1">
        <v>3345</v>
      </c>
      <c r="J301" s="1">
        <v>3150</v>
      </c>
      <c r="K301" s="1">
        <v>3235</v>
      </c>
      <c r="L301" s="1">
        <v>3395</v>
      </c>
      <c r="M301" s="1">
        <v>3405</v>
      </c>
      <c r="N301" s="1">
        <v>3425</v>
      </c>
      <c r="O301" s="1">
        <v>3420</v>
      </c>
      <c r="P301" s="1">
        <v>3380</v>
      </c>
      <c r="Q301" s="1">
        <v>3275</v>
      </c>
      <c r="R301" s="1">
        <v>3300</v>
      </c>
      <c r="S301" s="1">
        <v>3490</v>
      </c>
      <c r="T301" s="1">
        <v>3430</v>
      </c>
      <c r="U301" s="1">
        <v>3610</v>
      </c>
      <c r="V301" s="1">
        <v>3620</v>
      </c>
      <c r="W301" s="1">
        <v>3630</v>
      </c>
      <c r="X301" s="1">
        <v>3855</v>
      </c>
      <c r="Y301" s="1">
        <v>4010</v>
      </c>
      <c r="Z301" s="1">
        <v>4015</v>
      </c>
      <c r="AA301" s="1">
        <v>3825</v>
      </c>
      <c r="AB301" s="1">
        <v>3795</v>
      </c>
      <c r="AC301" s="1">
        <v>3785</v>
      </c>
      <c r="AD301" s="1">
        <v>3795</v>
      </c>
      <c r="AE301" s="1">
        <v>3865</v>
      </c>
      <c r="AF301" s="1">
        <v>3895</v>
      </c>
      <c r="AG301" s="1">
        <v>3975</v>
      </c>
      <c r="AH301" s="1">
        <v>3945</v>
      </c>
      <c r="AI301" s="1">
        <v>4180</v>
      </c>
      <c r="AJ301" s="1">
        <v>4145</v>
      </c>
      <c r="AK301" s="1">
        <v>4090</v>
      </c>
      <c r="AL301" s="1">
        <v>4120</v>
      </c>
      <c r="AM301" s="1">
        <v>4100</v>
      </c>
      <c r="AN301" s="1">
        <v>3910</v>
      </c>
      <c r="AO301" s="1">
        <v>3840</v>
      </c>
      <c r="AP301" s="1">
        <v>3740</v>
      </c>
      <c r="AQ301" s="1">
        <v>3645</v>
      </c>
      <c r="AR301" s="1">
        <v>3720</v>
      </c>
      <c r="AS301" s="1">
        <v>3590</v>
      </c>
      <c r="AT301" s="1">
        <v>3635</v>
      </c>
      <c r="AU301" s="1">
        <v>3720</v>
      </c>
      <c r="AV301" s="1">
        <v>3680</v>
      </c>
      <c r="AW301" s="1">
        <v>3450</v>
      </c>
      <c r="AX301" s="1">
        <v>3690</v>
      </c>
      <c r="AY301" s="1">
        <v>3705</v>
      </c>
      <c r="AZ301" s="1">
        <v>3800</v>
      </c>
      <c r="BA301" s="1">
        <v>3525</v>
      </c>
      <c r="BB301" s="1">
        <v>3560</v>
      </c>
      <c r="BC301" s="1">
        <v>3560</v>
      </c>
      <c r="BD301" s="1">
        <v>3610</v>
      </c>
      <c r="BE301" s="1">
        <v>3880</v>
      </c>
      <c r="BF301" s="1">
        <v>3845</v>
      </c>
      <c r="BG301" s="1">
        <v>3675</v>
      </c>
      <c r="BH301" s="1">
        <v>3385</v>
      </c>
      <c r="BI301" s="1">
        <v>3345</v>
      </c>
      <c r="BJ301" s="1">
        <v>3350</v>
      </c>
      <c r="BK301" s="1">
        <v>3320</v>
      </c>
      <c r="BL301" s="1">
        <v>3295</v>
      </c>
      <c r="BM301" s="1">
        <v>3345</v>
      </c>
      <c r="BN301" s="1">
        <v>3310</v>
      </c>
      <c r="BO301" s="1">
        <v>3225</v>
      </c>
      <c r="BP301" s="1">
        <v>3280</v>
      </c>
      <c r="BQ301" s="1">
        <v>3320</v>
      </c>
      <c r="BR301" s="1">
        <v>3235</v>
      </c>
      <c r="BS301" s="1">
        <v>3185</v>
      </c>
      <c r="BT301" s="1">
        <v>3065</v>
      </c>
      <c r="BU301" s="1">
        <v>3065</v>
      </c>
      <c r="BV301" s="1">
        <v>3065</v>
      </c>
      <c r="BW301" s="1">
        <v>3060</v>
      </c>
      <c r="BX301" s="1">
        <v>3075</v>
      </c>
      <c r="BY301" s="1">
        <v>3150</v>
      </c>
      <c r="BZ301" s="1">
        <v>3140</v>
      </c>
    </row>
    <row r="302" spans="1:254">
      <c r="A302" s="62" t="s">
        <v>515</v>
      </c>
      <c r="B302" s="1" t="str">
        <f>銘柄管理!C302</f>
        <v>ＨＯＹＡ</v>
      </c>
      <c r="C302" s="1">
        <f>_xll.RssMarket("7741","高値")</f>
        <v>25600</v>
      </c>
      <c r="E302" s="1">
        <v>25600</v>
      </c>
      <c r="F302" s="1">
        <v>26925</v>
      </c>
      <c r="G302" s="1">
        <v>25925</v>
      </c>
      <c r="H302" s="1">
        <v>25275</v>
      </c>
      <c r="I302" s="1">
        <v>25330</v>
      </c>
      <c r="J302" s="1">
        <v>24375</v>
      </c>
      <c r="K302" s="1">
        <v>24035</v>
      </c>
      <c r="L302" s="1">
        <v>24625</v>
      </c>
      <c r="M302" s="1">
        <v>24880</v>
      </c>
      <c r="N302" s="1">
        <v>24690</v>
      </c>
      <c r="O302" s="1">
        <v>25155</v>
      </c>
      <c r="P302" s="1">
        <v>25585</v>
      </c>
      <c r="Q302" s="1">
        <v>25630</v>
      </c>
      <c r="R302" s="1">
        <v>25215</v>
      </c>
      <c r="S302" s="1">
        <v>25925</v>
      </c>
      <c r="T302" s="1">
        <v>25965</v>
      </c>
      <c r="U302" s="1">
        <v>25515</v>
      </c>
      <c r="V302" s="1">
        <v>25370</v>
      </c>
      <c r="W302" s="1">
        <v>24820</v>
      </c>
      <c r="X302" s="1">
        <v>25405</v>
      </c>
      <c r="Y302" s="1">
        <v>26055</v>
      </c>
      <c r="Z302" s="1">
        <v>26100</v>
      </c>
      <c r="AA302" s="1">
        <v>26190</v>
      </c>
      <c r="AB302" s="1">
        <v>25925</v>
      </c>
      <c r="AC302" s="1">
        <v>26265</v>
      </c>
      <c r="AD302" s="1">
        <v>26255</v>
      </c>
      <c r="AE302" s="1">
        <v>25805</v>
      </c>
      <c r="AF302" s="1">
        <v>26710</v>
      </c>
      <c r="AG302" s="1">
        <v>26850</v>
      </c>
      <c r="AH302" s="1">
        <v>26510</v>
      </c>
      <c r="AI302" s="1">
        <v>27230</v>
      </c>
      <c r="AJ302" s="1">
        <v>27355</v>
      </c>
      <c r="AK302" s="1">
        <v>28880</v>
      </c>
      <c r="AL302" s="1">
        <v>28720</v>
      </c>
      <c r="AM302" s="1">
        <v>27685</v>
      </c>
      <c r="AN302" s="1">
        <v>27255</v>
      </c>
      <c r="AO302" s="1">
        <v>26975</v>
      </c>
      <c r="AP302" s="1">
        <v>26545</v>
      </c>
      <c r="AQ302" s="1">
        <v>25920</v>
      </c>
      <c r="AR302" s="1">
        <v>25750</v>
      </c>
      <c r="AS302" s="1">
        <v>25800</v>
      </c>
      <c r="AT302" s="1">
        <v>26395</v>
      </c>
      <c r="AU302" s="1">
        <v>27495</v>
      </c>
      <c r="AV302" s="1">
        <v>27575</v>
      </c>
      <c r="AW302" s="1">
        <v>26385</v>
      </c>
      <c r="AX302" s="1">
        <v>27510</v>
      </c>
      <c r="AY302" s="1">
        <v>27400</v>
      </c>
      <c r="AZ302" s="1">
        <v>27835</v>
      </c>
      <c r="BA302" s="1">
        <v>26455</v>
      </c>
      <c r="BB302" s="1">
        <v>26885</v>
      </c>
      <c r="BC302" s="1">
        <v>27130</v>
      </c>
      <c r="BD302" s="1">
        <v>26970</v>
      </c>
      <c r="BE302" s="1">
        <v>27700</v>
      </c>
      <c r="BF302" s="1">
        <v>28050</v>
      </c>
      <c r="BG302" s="1">
        <v>28465</v>
      </c>
      <c r="BH302" s="1">
        <v>28135</v>
      </c>
      <c r="BI302" s="1">
        <v>27825</v>
      </c>
      <c r="BJ302" s="1">
        <v>27870</v>
      </c>
      <c r="BK302" s="1">
        <v>27585</v>
      </c>
      <c r="BL302" s="1">
        <v>27940</v>
      </c>
      <c r="BM302" s="1">
        <v>28345</v>
      </c>
      <c r="BN302" s="1">
        <v>29200</v>
      </c>
      <c r="BO302" s="1">
        <v>29700</v>
      </c>
      <c r="BP302" s="1">
        <v>29380</v>
      </c>
      <c r="BQ302" s="1">
        <v>29260</v>
      </c>
      <c r="BR302" s="1">
        <v>28670</v>
      </c>
      <c r="BS302" s="1">
        <v>28700</v>
      </c>
      <c r="BT302" s="1">
        <v>29185</v>
      </c>
      <c r="BU302" s="1">
        <v>29555</v>
      </c>
      <c r="BV302" s="1">
        <v>29795</v>
      </c>
      <c r="BW302" s="1">
        <v>29840</v>
      </c>
      <c r="BX302" s="1">
        <v>30030</v>
      </c>
      <c r="BY302" s="1">
        <v>30400</v>
      </c>
      <c r="BZ302" s="1">
        <v>29770</v>
      </c>
    </row>
    <row r="303" spans="1:254">
      <c r="A303" s="62" t="s">
        <v>876</v>
      </c>
      <c r="B303" s="1" t="str">
        <f>銘柄管理!C303</f>
        <v>ＮＦ日経２２５</v>
      </c>
      <c r="C303" s="1">
        <f>_xll.RssMarket("1321","高値")</f>
        <v>68120</v>
      </c>
      <c r="E303" s="1">
        <v>68120</v>
      </c>
      <c r="F303" s="1">
        <v>68590</v>
      </c>
      <c r="G303" s="1">
        <v>66460</v>
      </c>
      <c r="H303" s="1">
        <v>66110</v>
      </c>
      <c r="I303" s="1">
        <v>67710</v>
      </c>
      <c r="J303" s="1">
        <v>65120</v>
      </c>
      <c r="K303" s="1">
        <v>65360</v>
      </c>
      <c r="L303" s="1">
        <v>65690</v>
      </c>
      <c r="M303" s="1">
        <v>67540</v>
      </c>
      <c r="N303" s="1">
        <v>67900</v>
      </c>
      <c r="O303" s="1">
        <v>69320</v>
      </c>
      <c r="P303" s="1">
        <v>69920</v>
      </c>
      <c r="Q303" s="1">
        <v>68450</v>
      </c>
      <c r="R303" s="1">
        <v>68010</v>
      </c>
      <c r="S303" s="1">
        <v>71190</v>
      </c>
      <c r="T303" s="1">
        <v>70160</v>
      </c>
      <c r="U303" s="1">
        <v>71490</v>
      </c>
      <c r="V303" s="1">
        <v>71770</v>
      </c>
      <c r="W303" s="1">
        <v>70850</v>
      </c>
      <c r="X303" s="1">
        <v>70880</v>
      </c>
      <c r="Y303" s="1">
        <v>72500</v>
      </c>
      <c r="Z303" s="1">
        <v>73660</v>
      </c>
      <c r="AA303" s="1">
        <v>73140</v>
      </c>
      <c r="AB303" s="1">
        <v>73180</v>
      </c>
      <c r="AC303" s="1">
        <v>75310</v>
      </c>
      <c r="AD303" s="1">
        <v>73960</v>
      </c>
      <c r="AE303" s="1">
        <v>72950</v>
      </c>
      <c r="AF303" s="1">
        <v>74610</v>
      </c>
      <c r="AG303" s="1">
        <v>75920</v>
      </c>
      <c r="AH303" s="1">
        <v>73460</v>
      </c>
      <c r="AI303" s="1">
        <v>76090</v>
      </c>
      <c r="AJ303" s="1">
        <v>76330</v>
      </c>
      <c r="AK303" s="1">
        <v>75500</v>
      </c>
      <c r="AL303" s="1">
        <v>74690</v>
      </c>
      <c r="AM303" s="1">
        <v>73360</v>
      </c>
      <c r="AN303" s="1">
        <v>73210</v>
      </c>
      <c r="AO303" s="1">
        <v>72880</v>
      </c>
      <c r="AP303" s="1">
        <v>70150</v>
      </c>
      <c r="AQ303" s="1">
        <v>67390</v>
      </c>
      <c r="AR303" s="1">
        <v>68120</v>
      </c>
      <c r="AS303" s="1">
        <v>67760</v>
      </c>
      <c r="AT303" s="1">
        <v>70100</v>
      </c>
      <c r="AU303" s="1">
        <v>71040</v>
      </c>
      <c r="AV303" s="1">
        <v>71950</v>
      </c>
      <c r="AW303" s="1">
        <v>70300</v>
      </c>
      <c r="AX303" s="1">
        <v>69580</v>
      </c>
      <c r="AY303" s="1">
        <v>68180</v>
      </c>
      <c r="AZ303" s="1">
        <v>69540</v>
      </c>
      <c r="BA303" s="1">
        <v>68410</v>
      </c>
      <c r="BB303" s="1">
        <v>66360</v>
      </c>
      <c r="BC303" s="1">
        <v>64900</v>
      </c>
      <c r="BD303" s="1">
        <v>63270</v>
      </c>
      <c r="BE303" s="1">
        <v>64320</v>
      </c>
      <c r="BF303" s="1">
        <v>64640</v>
      </c>
      <c r="BG303" s="1">
        <v>66150</v>
      </c>
      <c r="BH303" s="1">
        <v>66740</v>
      </c>
      <c r="BI303" s="1">
        <v>66260</v>
      </c>
      <c r="BJ303" s="1">
        <v>66130</v>
      </c>
      <c r="BK303" s="1">
        <v>66400</v>
      </c>
      <c r="BL303" s="1">
        <v>65630</v>
      </c>
      <c r="BM303" s="1">
        <v>66110</v>
      </c>
      <c r="BN303" s="1">
        <v>62470</v>
      </c>
      <c r="BO303" s="1">
        <v>62240</v>
      </c>
      <c r="BP303" s="1">
        <v>63230</v>
      </c>
      <c r="BQ303" s="1">
        <v>63690</v>
      </c>
      <c r="BR303" s="1">
        <v>62480</v>
      </c>
      <c r="BS303" s="1">
        <v>62950</v>
      </c>
      <c r="BT303" s="1">
        <v>62440</v>
      </c>
      <c r="BU303" s="1">
        <v>62350</v>
      </c>
      <c r="BV303" s="1">
        <v>61900</v>
      </c>
      <c r="BW303" s="1">
        <v>62130</v>
      </c>
      <c r="BX303" s="1">
        <v>62430</v>
      </c>
      <c r="BY303" s="1">
        <v>61360</v>
      </c>
      <c r="BZ303" s="1">
        <v>60640</v>
      </c>
    </row>
    <row r="304" spans="1:254">
      <c r="A304" s="62" t="s">
        <v>878</v>
      </c>
      <c r="B304" s="1" t="str">
        <f>銘柄管理!C304</f>
        <v>きんでん</v>
      </c>
      <c r="C304" s="1">
        <f>_xll.RssMarket("1944","高値")</f>
        <v>7489</v>
      </c>
      <c r="E304" s="1">
        <v>7489</v>
      </c>
      <c r="F304" s="1">
        <v>7350</v>
      </c>
      <c r="G304" s="1">
        <v>7179</v>
      </c>
      <c r="H304" s="1">
        <v>7089</v>
      </c>
      <c r="I304" s="1">
        <v>7583</v>
      </c>
      <c r="J304" s="1">
        <v>7390</v>
      </c>
      <c r="K304" s="1">
        <v>7655</v>
      </c>
      <c r="L304" s="1">
        <v>7862</v>
      </c>
      <c r="M304" s="1">
        <v>7838</v>
      </c>
      <c r="N304" s="1">
        <v>7520</v>
      </c>
      <c r="O304" s="1">
        <v>7512</v>
      </c>
      <c r="P304" s="1">
        <v>7434</v>
      </c>
      <c r="Q304" s="1">
        <v>7260</v>
      </c>
      <c r="R304" s="1">
        <v>7347</v>
      </c>
      <c r="S304" s="1">
        <v>7564</v>
      </c>
      <c r="T304" s="1">
        <v>7450</v>
      </c>
      <c r="U304" s="1">
        <v>7675</v>
      </c>
      <c r="V304" s="1">
        <v>7880</v>
      </c>
      <c r="W304" s="1">
        <v>7883</v>
      </c>
      <c r="X304" s="1">
        <v>8130</v>
      </c>
      <c r="Y304" s="1">
        <v>8246</v>
      </c>
      <c r="Z304" s="1">
        <v>8107</v>
      </c>
      <c r="AA304" s="1">
        <v>7980</v>
      </c>
      <c r="AB304" s="1">
        <v>7930</v>
      </c>
      <c r="AC304" s="1">
        <v>8077</v>
      </c>
      <c r="AD304" s="1">
        <v>8094</v>
      </c>
      <c r="AE304" s="1">
        <v>8189</v>
      </c>
      <c r="AF304" s="1">
        <v>8263</v>
      </c>
      <c r="AG304" s="1">
        <v>8500</v>
      </c>
      <c r="AH304" s="1">
        <v>8412</v>
      </c>
      <c r="AI304" s="1">
        <v>8572</v>
      </c>
      <c r="AJ304" s="1">
        <v>8382</v>
      </c>
      <c r="AK304" s="1">
        <v>8317</v>
      </c>
      <c r="AL304" s="1">
        <v>8060</v>
      </c>
      <c r="AM304" s="1">
        <v>7829</v>
      </c>
      <c r="AN304" s="1">
        <v>7375</v>
      </c>
      <c r="AO304" s="1">
        <v>7342</v>
      </c>
      <c r="AP304" s="1">
        <v>6982</v>
      </c>
      <c r="AQ304" s="1">
        <v>6844</v>
      </c>
      <c r="AR304" s="1">
        <v>7214</v>
      </c>
      <c r="AS304" s="1">
        <v>6816</v>
      </c>
      <c r="AT304" s="1">
        <v>6672</v>
      </c>
      <c r="AU304" s="1">
        <v>6608</v>
      </c>
      <c r="AV304" s="1">
        <v>6804</v>
      </c>
      <c r="AW304" s="1">
        <v>6817</v>
      </c>
      <c r="AX304" s="1">
        <v>7261</v>
      </c>
      <c r="AY304" s="1">
        <v>7305</v>
      </c>
      <c r="AZ304" s="1">
        <v>7342</v>
      </c>
      <c r="BA304" s="1">
        <v>7244</v>
      </c>
      <c r="BB304" s="1">
        <v>6930</v>
      </c>
      <c r="BC304" s="1">
        <v>6948</v>
      </c>
      <c r="BD304" s="1">
        <v>7050</v>
      </c>
      <c r="BE304" s="1">
        <v>7050</v>
      </c>
      <c r="BF304" s="1">
        <v>7440</v>
      </c>
      <c r="BG304" s="1">
        <v>7815</v>
      </c>
      <c r="BH304" s="1">
        <v>8005</v>
      </c>
      <c r="BI304" s="1">
        <v>8207</v>
      </c>
      <c r="BJ304" s="1">
        <v>8422</v>
      </c>
      <c r="BK304" s="1">
        <v>8386</v>
      </c>
      <c r="BL304" s="1">
        <v>8422</v>
      </c>
      <c r="BM304" s="1">
        <v>8525</v>
      </c>
      <c r="BN304" s="1">
        <v>8324</v>
      </c>
      <c r="BO304" s="1">
        <v>8382</v>
      </c>
      <c r="BP304" s="1">
        <v>7932</v>
      </c>
      <c r="BQ304" s="1">
        <v>7094</v>
      </c>
      <c r="BR304" s="1">
        <v>7241</v>
      </c>
      <c r="BS304" s="1">
        <v>7189</v>
      </c>
      <c r="BT304" s="1">
        <v>7042</v>
      </c>
      <c r="BU304" s="1">
        <v>7124</v>
      </c>
      <c r="BV304" s="1">
        <v>7196</v>
      </c>
      <c r="BW304" s="1">
        <v>7150</v>
      </c>
      <c r="BX304" s="1">
        <v>7148</v>
      </c>
      <c r="BY304" s="1">
        <v>7369</v>
      </c>
      <c r="BZ304" s="1">
        <v>7498</v>
      </c>
    </row>
    <row r="305" spans="1:254">
      <c r="A305" s="62" t="s">
        <v>1039</v>
      </c>
      <c r="B305" s="1" t="str">
        <f>銘柄管理!C305</f>
        <v>パンパシフィックＨＤ</v>
      </c>
      <c r="C305" s="1">
        <f>_xll.RssMarket("7532","高値")</f>
        <v>904.8</v>
      </c>
      <c r="E305" s="1">
        <v>904.8</v>
      </c>
      <c r="F305" s="1">
        <v>888.7</v>
      </c>
      <c r="G305" s="1">
        <v>899.9</v>
      </c>
      <c r="H305" s="1">
        <v>906.9</v>
      </c>
      <c r="I305" s="1">
        <v>928.9</v>
      </c>
      <c r="J305" s="1">
        <v>973</v>
      </c>
      <c r="K305" s="1">
        <v>984.5</v>
      </c>
      <c r="L305" s="1">
        <v>927.8</v>
      </c>
      <c r="M305" s="1">
        <v>894</v>
      </c>
      <c r="N305" s="1">
        <v>871</v>
      </c>
      <c r="O305" s="1">
        <v>862</v>
      </c>
      <c r="P305" s="1">
        <v>869.4</v>
      </c>
      <c r="Q305" s="1">
        <v>895.9</v>
      </c>
      <c r="R305" s="1">
        <v>903.9</v>
      </c>
      <c r="S305" s="1">
        <v>874.5</v>
      </c>
      <c r="T305" s="1">
        <v>890.6</v>
      </c>
      <c r="U305" s="1">
        <v>873.5</v>
      </c>
      <c r="V305" s="1">
        <v>867.6</v>
      </c>
      <c r="W305" s="1">
        <v>877.8</v>
      </c>
      <c r="X305" s="1">
        <v>882.6</v>
      </c>
      <c r="Y305" s="1">
        <v>869.8</v>
      </c>
      <c r="Z305" s="1">
        <v>852.7</v>
      </c>
      <c r="AA305" s="1">
        <v>847.6</v>
      </c>
      <c r="AB305" s="1">
        <v>829.5</v>
      </c>
      <c r="AC305" s="1">
        <v>818.1</v>
      </c>
      <c r="AD305" s="1">
        <v>854</v>
      </c>
      <c r="AE305" s="1">
        <v>846.4</v>
      </c>
      <c r="AF305" s="1">
        <v>828</v>
      </c>
      <c r="AG305" s="1">
        <v>831</v>
      </c>
      <c r="AH305" s="1">
        <v>832</v>
      </c>
      <c r="AI305" s="1">
        <v>824.4</v>
      </c>
      <c r="AJ305" s="1">
        <v>822.3</v>
      </c>
      <c r="AK305" s="1">
        <v>828.7</v>
      </c>
      <c r="AL305" s="1">
        <v>845.4</v>
      </c>
      <c r="AM305" s="1">
        <v>852.4</v>
      </c>
      <c r="AN305" s="1">
        <v>836.3</v>
      </c>
      <c r="AO305" s="1">
        <v>858.6</v>
      </c>
      <c r="AP305" s="1">
        <v>869.7</v>
      </c>
      <c r="AQ305" s="1">
        <v>893.5</v>
      </c>
      <c r="AR305" s="1">
        <v>851.8</v>
      </c>
      <c r="AS305" s="1">
        <v>856</v>
      </c>
      <c r="AT305" s="1">
        <v>843.7</v>
      </c>
      <c r="AU305" s="1">
        <v>844.4</v>
      </c>
      <c r="AV305" s="1">
        <v>829.4</v>
      </c>
      <c r="AW305" s="1">
        <v>833.5</v>
      </c>
      <c r="AX305" s="1">
        <v>907.4</v>
      </c>
      <c r="AY305" s="1">
        <v>861.9</v>
      </c>
      <c r="AZ305" s="1">
        <v>819.4</v>
      </c>
      <c r="BA305" s="1">
        <v>865</v>
      </c>
      <c r="BB305" s="1">
        <v>878.4</v>
      </c>
      <c r="BC305" s="1">
        <v>873.2</v>
      </c>
      <c r="BD305" s="1">
        <v>895.5</v>
      </c>
      <c r="BE305" s="1">
        <v>889.8</v>
      </c>
      <c r="BF305" s="1">
        <v>888.5</v>
      </c>
      <c r="BG305" s="1">
        <v>871.3</v>
      </c>
      <c r="BH305" s="1">
        <v>875.2</v>
      </c>
      <c r="BI305" s="1">
        <v>895.3</v>
      </c>
      <c r="BJ305" s="1">
        <v>903.5</v>
      </c>
      <c r="BK305" s="1">
        <v>915.5</v>
      </c>
      <c r="BL305" s="1">
        <v>897.8</v>
      </c>
      <c r="BM305" s="1">
        <v>892.2</v>
      </c>
      <c r="BN305" s="1">
        <v>899.9</v>
      </c>
      <c r="BO305" s="1">
        <v>890.3</v>
      </c>
      <c r="BP305" s="1">
        <v>910.5</v>
      </c>
      <c r="BQ305" s="1">
        <v>920.6</v>
      </c>
      <c r="BR305" s="1">
        <v>921.6</v>
      </c>
      <c r="BS305" s="1">
        <v>945.7</v>
      </c>
      <c r="BT305" s="1">
        <v>956.5</v>
      </c>
      <c r="BU305" s="1">
        <v>962.3</v>
      </c>
      <c r="BV305" s="1">
        <v>959.3</v>
      </c>
      <c r="BW305" s="1">
        <v>963.1</v>
      </c>
      <c r="BX305" s="1">
        <v>972.2</v>
      </c>
      <c r="BY305" s="1">
        <v>971.9</v>
      </c>
      <c r="BZ305" s="1">
        <v>964.5</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HeSxBaGi3JjxcYAyb9CEMpnmEU6g/T9TN2tQYd9XwDz0bpGy/trS/KnnGM8NfkDMEVK9TCZ22Z+B6IqYB+ZkrQ==" saltValue="/4n0c60MWwRyOX/5B++te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IT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 min="105" max="254" width="7" style="1" customWidth="1"/>
  </cols>
  <sheetData>
    <row r="1" spans="1:254" ht="30" customHeight="1">
      <c r="A1" s="767" t="s">
        <v>0</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254" ht="14.1" customHeight="1">
      <c r="A3" s="177" t="s">
        <v>5</v>
      </c>
      <c r="B3" s="178"/>
      <c r="C3" s="205" t="s">
        <v>6</v>
      </c>
      <c r="D3" s="178"/>
      <c r="E3" s="179">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15.9" customHeight="1">
      <c r="A5" s="24" t="str">
        <f>IF(銘柄管理!B5="","",銘柄管理!B5)</f>
        <v>TOPX</v>
      </c>
      <c r="B5" s="41">
        <f>IF(銘柄管理!C5="","",銘柄管理!C5)</f>
        <v>4055.85</v>
      </c>
      <c r="C5" s="42">
        <f t="array" ref="C5">_xll.RssIndexMarket("TOPX", "安値")</f>
        <v>4026.39</v>
      </c>
      <c r="D5" s="43">
        <f>IF(OR(C5=0,E5=0),"",C5-E5)</f>
        <v>0</v>
      </c>
      <c r="E5" s="20">
        <v>4026.39</v>
      </c>
      <c r="F5" s="20">
        <v>3980.38</v>
      </c>
      <c r="G5" s="20">
        <v>3926.33</v>
      </c>
      <c r="H5" s="20">
        <v>3880.3</v>
      </c>
      <c r="I5" s="20">
        <v>3951.22</v>
      </c>
      <c r="J5" s="20">
        <v>3918.87</v>
      </c>
      <c r="K5" s="20">
        <v>3931.58</v>
      </c>
      <c r="L5" s="20">
        <v>3944.71</v>
      </c>
      <c r="M5" s="20">
        <v>4018.73</v>
      </c>
      <c r="N5" s="20">
        <v>3993.3</v>
      </c>
      <c r="O5" s="20">
        <v>4033.39</v>
      </c>
      <c r="P5" s="20">
        <v>4017.02</v>
      </c>
      <c r="Q5" s="20">
        <v>3930.17</v>
      </c>
      <c r="R5" s="20">
        <v>3859.13</v>
      </c>
      <c r="S5" s="20">
        <v>4035.73</v>
      </c>
      <c r="T5" s="20">
        <v>3984.49</v>
      </c>
      <c r="U5" s="20">
        <v>3986.18</v>
      </c>
      <c r="V5" s="20">
        <v>4030.28</v>
      </c>
      <c r="W5" s="20">
        <v>3995.49</v>
      </c>
      <c r="X5" s="20">
        <v>4006.43</v>
      </c>
      <c r="Y5" s="20">
        <v>4055.32</v>
      </c>
      <c r="Z5" s="20">
        <v>4067.71</v>
      </c>
      <c r="AA5" s="20">
        <v>4002.27</v>
      </c>
      <c r="AB5" s="20">
        <v>4001.69</v>
      </c>
      <c r="AC5" s="20">
        <v>3998.13</v>
      </c>
      <c r="AD5" s="20">
        <v>3972.49</v>
      </c>
      <c r="AE5" s="20">
        <v>3940.45</v>
      </c>
      <c r="AF5" s="20">
        <v>3931.13</v>
      </c>
      <c r="AG5" s="20">
        <v>3987.08</v>
      </c>
      <c r="AH5" s="20">
        <v>3938.94</v>
      </c>
      <c r="AI5" s="20">
        <v>3990.38</v>
      </c>
      <c r="AJ5" s="20">
        <v>4028.61</v>
      </c>
      <c r="AK5" s="20">
        <v>4018.69</v>
      </c>
      <c r="AL5" s="20">
        <v>4028.43</v>
      </c>
      <c r="AM5" s="20">
        <v>3989.06</v>
      </c>
      <c r="AN5" s="20">
        <v>3980.34</v>
      </c>
      <c r="AO5" s="20">
        <v>3927.17</v>
      </c>
      <c r="AP5" s="21">
        <v>3859.97</v>
      </c>
      <c r="AQ5" s="21">
        <v>3766</v>
      </c>
      <c r="AR5" s="21">
        <v>3828.49</v>
      </c>
      <c r="AS5" s="21">
        <v>3820.06</v>
      </c>
      <c r="AT5" s="21">
        <v>3931.13</v>
      </c>
      <c r="AU5" s="21">
        <v>3932.81</v>
      </c>
      <c r="AV5" s="21">
        <v>3943.25</v>
      </c>
      <c r="AW5" s="21">
        <v>3874.88</v>
      </c>
      <c r="AX5" s="21">
        <v>3914.77</v>
      </c>
      <c r="AY5" s="21">
        <v>3864.22</v>
      </c>
      <c r="AZ5" s="21">
        <v>3917.49</v>
      </c>
      <c r="BA5" s="21">
        <v>3891.62</v>
      </c>
      <c r="BB5" s="21">
        <v>3855.77</v>
      </c>
      <c r="BC5" s="21">
        <v>3816.66</v>
      </c>
      <c r="BD5" s="21">
        <v>3764.5</v>
      </c>
      <c r="BE5" s="21">
        <v>3833.64</v>
      </c>
      <c r="BF5" s="21">
        <v>3814.22</v>
      </c>
      <c r="BG5" s="21">
        <v>3830.54</v>
      </c>
      <c r="BH5" s="21">
        <v>3877.44</v>
      </c>
      <c r="BI5" s="21"/>
      <c r="BJ5" s="21"/>
      <c r="BK5" s="21"/>
      <c r="BL5" s="21"/>
    </row>
    <row r="6" spans="1:254" ht="15.9" customHeight="1">
      <c r="A6" s="65" t="s">
        <v>7</v>
      </c>
      <c r="B6" s="41" t="s">
        <v>8</v>
      </c>
      <c r="C6" s="45">
        <f>_xll.RssMarket("5706","安値")</f>
        <v>31720</v>
      </c>
      <c r="D6" s="16">
        <f t="shared" ref="D6:D37" si="0">C6-E6</f>
        <v>0</v>
      </c>
      <c r="E6" s="20">
        <v>31720</v>
      </c>
      <c r="F6" s="20">
        <v>33370</v>
      </c>
      <c r="G6" s="20">
        <v>30440</v>
      </c>
      <c r="H6" s="20">
        <v>29610</v>
      </c>
      <c r="I6" s="20">
        <v>30110</v>
      </c>
      <c r="J6" s="20">
        <v>24950</v>
      </c>
      <c r="K6" s="20">
        <v>24780</v>
      </c>
      <c r="L6" s="20">
        <v>27720</v>
      </c>
      <c r="M6" s="20">
        <v>30240</v>
      </c>
      <c r="N6" s="20">
        <v>31380</v>
      </c>
      <c r="O6" s="20">
        <v>33320</v>
      </c>
      <c r="P6" s="20">
        <v>33390</v>
      </c>
      <c r="Q6" s="20">
        <v>29335</v>
      </c>
      <c r="R6" s="20">
        <v>28595</v>
      </c>
      <c r="S6" s="20">
        <v>33750</v>
      </c>
      <c r="T6" s="20">
        <v>33260</v>
      </c>
      <c r="U6" s="20">
        <v>34460</v>
      </c>
      <c r="V6" s="20">
        <v>36120</v>
      </c>
      <c r="W6" s="20">
        <v>34280</v>
      </c>
      <c r="X6" s="20">
        <v>33700</v>
      </c>
      <c r="Y6" s="20">
        <v>35270</v>
      </c>
      <c r="Z6" s="20">
        <v>37160</v>
      </c>
      <c r="AA6" s="20">
        <v>36190</v>
      </c>
      <c r="AB6" s="20">
        <v>38080</v>
      </c>
      <c r="AC6" s="20">
        <v>42180</v>
      </c>
      <c r="AD6" s="20">
        <v>41700</v>
      </c>
      <c r="AE6" s="20">
        <v>40360</v>
      </c>
      <c r="AF6" s="20">
        <v>41950</v>
      </c>
      <c r="AG6" s="20">
        <v>45440</v>
      </c>
      <c r="AH6" s="20">
        <v>45110</v>
      </c>
      <c r="AI6" s="20">
        <v>45730</v>
      </c>
      <c r="AJ6" s="20">
        <v>49650</v>
      </c>
      <c r="AK6" s="20">
        <v>47110</v>
      </c>
      <c r="AL6" s="20">
        <v>46990</v>
      </c>
      <c r="AM6" s="20">
        <v>46090</v>
      </c>
      <c r="AN6" s="20">
        <v>44990</v>
      </c>
      <c r="AO6" s="20">
        <v>44610</v>
      </c>
      <c r="AP6" s="21">
        <v>40530</v>
      </c>
      <c r="AQ6" s="21">
        <v>35040</v>
      </c>
      <c r="AR6" s="21">
        <v>36240</v>
      </c>
      <c r="AS6" s="21">
        <v>40040</v>
      </c>
      <c r="AT6" s="21">
        <v>42530</v>
      </c>
      <c r="AU6" s="21">
        <v>45100</v>
      </c>
      <c r="AV6" s="21">
        <v>47220</v>
      </c>
      <c r="AW6" s="21">
        <v>48260</v>
      </c>
      <c r="AX6" s="21">
        <v>48810</v>
      </c>
      <c r="AY6" s="21">
        <v>47830</v>
      </c>
      <c r="AZ6" s="21">
        <v>51630</v>
      </c>
      <c r="BA6" s="21">
        <v>50080</v>
      </c>
      <c r="BB6" s="21">
        <v>47080</v>
      </c>
      <c r="BC6" s="21">
        <v>44570</v>
      </c>
      <c r="BD6" s="21">
        <v>43020</v>
      </c>
      <c r="BE6" s="21">
        <v>43900</v>
      </c>
      <c r="BF6" s="21">
        <v>45210</v>
      </c>
      <c r="BG6" s="21">
        <v>45280</v>
      </c>
      <c r="BH6" s="21">
        <v>47900</v>
      </c>
      <c r="BI6" s="21">
        <v>49810</v>
      </c>
      <c r="BJ6" s="21">
        <v>49640</v>
      </c>
      <c r="BK6" s="21">
        <v>50300</v>
      </c>
      <c r="BL6" s="21">
        <v>47320</v>
      </c>
      <c r="BM6" s="1">
        <v>45500</v>
      </c>
      <c r="BN6" s="1">
        <v>41050</v>
      </c>
      <c r="BO6" s="1">
        <v>40560</v>
      </c>
      <c r="BP6" s="1">
        <v>39380</v>
      </c>
      <c r="BQ6" s="1">
        <v>37120</v>
      </c>
      <c r="BR6" s="1">
        <v>37620</v>
      </c>
      <c r="BS6" s="1">
        <v>36400</v>
      </c>
      <c r="BT6" s="1">
        <v>36230</v>
      </c>
      <c r="BU6" s="1">
        <v>35770</v>
      </c>
      <c r="BV6" s="1">
        <v>35400</v>
      </c>
      <c r="BW6" s="1">
        <v>36390</v>
      </c>
      <c r="BX6" s="1">
        <v>35730</v>
      </c>
      <c r="BY6" s="1">
        <v>35380</v>
      </c>
      <c r="BZ6" s="1">
        <v>37950</v>
      </c>
    </row>
    <row r="7" spans="1:254" ht="15.9" customHeight="1">
      <c r="A7" s="65" t="s">
        <v>9</v>
      </c>
      <c r="B7" s="41" t="s">
        <v>10</v>
      </c>
      <c r="C7" s="45">
        <f>_xll.RssMarket("5423","安値")</f>
        <v>1732</v>
      </c>
      <c r="D7" s="16">
        <f t="shared" si="0"/>
        <v>0</v>
      </c>
      <c r="E7" s="20">
        <v>1732</v>
      </c>
      <c r="F7" s="20">
        <v>1689</v>
      </c>
      <c r="G7" s="20">
        <v>1678</v>
      </c>
      <c r="H7" s="20">
        <v>1694</v>
      </c>
      <c r="I7" s="20">
        <v>1750</v>
      </c>
      <c r="J7" s="20">
        <v>1737</v>
      </c>
      <c r="K7" s="20">
        <v>1761</v>
      </c>
      <c r="L7" s="20">
        <v>1736</v>
      </c>
      <c r="M7" s="20">
        <v>1690</v>
      </c>
      <c r="N7" s="20">
        <v>1680</v>
      </c>
      <c r="O7" s="20">
        <v>1703</v>
      </c>
      <c r="P7" s="20">
        <v>1700</v>
      </c>
      <c r="Q7" s="20">
        <v>1692</v>
      </c>
      <c r="R7" s="20">
        <v>1579</v>
      </c>
      <c r="S7" s="20">
        <v>1753</v>
      </c>
      <c r="T7" s="20">
        <v>1701</v>
      </c>
      <c r="U7" s="20">
        <v>1718</v>
      </c>
      <c r="V7" s="20">
        <v>1707</v>
      </c>
      <c r="W7" s="20">
        <v>1711</v>
      </c>
      <c r="X7" s="20">
        <v>1744</v>
      </c>
      <c r="Y7" s="20">
        <v>1731</v>
      </c>
      <c r="Z7" s="20">
        <v>1740</v>
      </c>
      <c r="AA7" s="20">
        <v>1719</v>
      </c>
      <c r="AB7" s="20">
        <v>1701</v>
      </c>
      <c r="AC7" s="20">
        <v>1676</v>
      </c>
      <c r="AD7" s="20">
        <v>1682</v>
      </c>
      <c r="AE7" s="20">
        <v>1674</v>
      </c>
      <c r="AF7" s="20">
        <v>1661</v>
      </c>
      <c r="AG7" s="20">
        <v>1677</v>
      </c>
      <c r="AH7" s="20">
        <v>1706</v>
      </c>
      <c r="AI7" s="20">
        <v>1739</v>
      </c>
      <c r="AJ7" s="20">
        <v>1763</v>
      </c>
      <c r="AK7" s="20">
        <v>1731</v>
      </c>
      <c r="AL7" s="20">
        <v>1759</v>
      </c>
      <c r="AM7" s="20">
        <v>1749</v>
      </c>
      <c r="AN7" s="20">
        <v>1722</v>
      </c>
      <c r="AO7" s="20">
        <v>1713</v>
      </c>
      <c r="AP7" s="21">
        <v>1703</v>
      </c>
      <c r="AQ7" s="21">
        <v>1645</v>
      </c>
      <c r="AR7" s="21">
        <v>1664</v>
      </c>
      <c r="AS7" s="21">
        <v>1683</v>
      </c>
      <c r="AT7" s="21">
        <v>1686</v>
      </c>
      <c r="AU7" s="21">
        <v>1696</v>
      </c>
      <c r="AV7" s="21">
        <v>1681</v>
      </c>
      <c r="AW7" s="21">
        <v>1663</v>
      </c>
      <c r="AX7" s="21">
        <v>1696</v>
      </c>
      <c r="AY7" s="21">
        <v>1688</v>
      </c>
      <c r="AZ7" s="21">
        <v>1697</v>
      </c>
      <c r="BA7" s="21">
        <v>1700</v>
      </c>
      <c r="BB7" s="21">
        <v>1725</v>
      </c>
      <c r="BC7" s="21">
        <v>1709</v>
      </c>
      <c r="BD7" s="21">
        <v>1694</v>
      </c>
      <c r="BE7" s="21">
        <v>1740</v>
      </c>
      <c r="BF7" s="21">
        <v>1782</v>
      </c>
      <c r="BG7" s="21">
        <v>1816</v>
      </c>
      <c r="BH7" s="21">
        <v>1717</v>
      </c>
      <c r="BI7" s="21">
        <v>1661</v>
      </c>
      <c r="BJ7" s="21">
        <v>1660</v>
      </c>
      <c r="BK7" s="21">
        <v>1642</v>
      </c>
      <c r="BL7" s="21">
        <v>1653</v>
      </c>
      <c r="BM7" s="1">
        <v>1664</v>
      </c>
      <c r="BN7" s="1">
        <v>1659</v>
      </c>
      <c r="BO7" s="1">
        <v>1662</v>
      </c>
      <c r="BP7" s="1">
        <v>1651</v>
      </c>
      <c r="BQ7" s="1">
        <v>1605</v>
      </c>
      <c r="BR7" s="1">
        <v>1616</v>
      </c>
      <c r="BS7" s="1">
        <v>1736</v>
      </c>
      <c r="BT7" s="1">
        <v>1786</v>
      </c>
      <c r="BU7" s="1">
        <v>1783</v>
      </c>
      <c r="BV7" s="1">
        <v>1758</v>
      </c>
      <c r="BW7" s="1">
        <v>1748</v>
      </c>
      <c r="BX7" s="1">
        <v>1741</v>
      </c>
      <c r="BY7" s="1">
        <v>1707</v>
      </c>
      <c r="BZ7" s="1">
        <v>1714</v>
      </c>
    </row>
    <row r="8" spans="1:254" ht="15.9" customHeight="1">
      <c r="A8" s="65" t="s">
        <v>11</v>
      </c>
      <c r="B8" s="41" t="s">
        <v>12</v>
      </c>
      <c r="C8" s="45">
        <f>_xll.RssMarket("5713","安値")</f>
        <v>8800</v>
      </c>
      <c r="D8" s="16">
        <f t="shared" si="0"/>
        <v>0</v>
      </c>
      <c r="E8" s="22">
        <v>8800</v>
      </c>
      <c r="F8" s="22">
        <v>8233</v>
      </c>
      <c r="G8" s="22">
        <v>7811</v>
      </c>
      <c r="H8" s="22">
        <v>7705</v>
      </c>
      <c r="I8" s="22">
        <v>7782</v>
      </c>
      <c r="J8" s="22">
        <v>7134</v>
      </c>
      <c r="K8" s="22">
        <v>6969</v>
      </c>
      <c r="L8" s="22">
        <v>7300</v>
      </c>
      <c r="M8" s="22">
        <v>7506</v>
      </c>
      <c r="N8" s="22">
        <v>7405</v>
      </c>
      <c r="O8" s="22">
        <v>7754</v>
      </c>
      <c r="P8" s="22">
        <v>7455</v>
      </c>
      <c r="Q8" s="22">
        <v>6923</v>
      </c>
      <c r="R8" s="22">
        <v>6578</v>
      </c>
      <c r="S8" s="22">
        <v>7261</v>
      </c>
      <c r="T8" s="22">
        <v>6922</v>
      </c>
      <c r="U8" s="22">
        <v>7023</v>
      </c>
      <c r="V8" s="22">
        <v>7224</v>
      </c>
      <c r="W8" s="22">
        <v>7103</v>
      </c>
      <c r="X8" s="22">
        <v>7294</v>
      </c>
      <c r="Y8" s="22">
        <v>7396</v>
      </c>
      <c r="Z8" s="22">
        <v>7856</v>
      </c>
      <c r="AA8" s="22">
        <v>7581</v>
      </c>
      <c r="AB8" s="22">
        <v>7401</v>
      </c>
      <c r="AC8" s="22">
        <v>7303</v>
      </c>
      <c r="AD8" s="22">
        <v>7432</v>
      </c>
      <c r="AE8" s="22">
        <v>7227</v>
      </c>
      <c r="AF8" s="22">
        <v>7498</v>
      </c>
      <c r="AG8" s="22">
        <v>7637</v>
      </c>
      <c r="AH8" s="22">
        <v>7844</v>
      </c>
      <c r="AI8" s="22">
        <v>8214</v>
      </c>
      <c r="AJ8" s="22">
        <v>8486</v>
      </c>
      <c r="AK8" s="22">
        <v>8580</v>
      </c>
      <c r="AL8" s="22">
        <v>9001</v>
      </c>
      <c r="AM8" s="22">
        <v>8779</v>
      </c>
      <c r="AN8" s="22">
        <v>8863</v>
      </c>
      <c r="AO8" s="22">
        <v>8851</v>
      </c>
      <c r="AP8" s="21">
        <v>8215</v>
      </c>
      <c r="AQ8" s="21">
        <v>7477</v>
      </c>
      <c r="AR8" s="21">
        <v>7597</v>
      </c>
      <c r="AS8" s="21">
        <v>7881</v>
      </c>
      <c r="AT8" s="21">
        <v>8509</v>
      </c>
      <c r="AU8" s="21">
        <v>8617</v>
      </c>
      <c r="AV8" s="21">
        <v>9000</v>
      </c>
      <c r="AW8" s="21">
        <v>8413</v>
      </c>
      <c r="AX8" s="21">
        <v>8810</v>
      </c>
      <c r="AY8" s="21">
        <v>8691</v>
      </c>
      <c r="AZ8" s="21">
        <v>9580</v>
      </c>
      <c r="BA8" s="21">
        <v>9681</v>
      </c>
      <c r="BB8" s="21">
        <v>9363</v>
      </c>
      <c r="BC8" s="21">
        <v>9003</v>
      </c>
      <c r="BD8" s="21">
        <v>8872</v>
      </c>
      <c r="BE8" s="21">
        <v>9088</v>
      </c>
      <c r="BF8" s="21">
        <v>9538</v>
      </c>
      <c r="BG8" s="21">
        <v>10110</v>
      </c>
      <c r="BH8" s="21">
        <v>10560</v>
      </c>
      <c r="BI8" s="21">
        <v>10620</v>
      </c>
      <c r="BJ8" s="21">
        <v>10565</v>
      </c>
      <c r="BK8" s="21">
        <v>9532</v>
      </c>
      <c r="BL8" s="21">
        <v>10030</v>
      </c>
      <c r="BM8" s="1">
        <v>9845</v>
      </c>
      <c r="BN8" s="1">
        <v>9259</v>
      </c>
      <c r="BO8" s="1">
        <v>9306</v>
      </c>
      <c r="BP8" s="1">
        <v>9631</v>
      </c>
      <c r="BQ8" s="1">
        <v>9305</v>
      </c>
      <c r="BR8" s="1">
        <v>9663</v>
      </c>
      <c r="BS8" s="1">
        <v>9558</v>
      </c>
      <c r="BT8" s="1">
        <v>9826</v>
      </c>
      <c r="BU8" s="1">
        <v>10030</v>
      </c>
      <c r="BV8" s="1">
        <v>10005</v>
      </c>
      <c r="BW8" s="1">
        <v>10150</v>
      </c>
      <c r="BX8" s="1">
        <v>10530</v>
      </c>
      <c r="BY8" s="1">
        <v>10440</v>
      </c>
      <c r="BZ8" s="1">
        <v>10130</v>
      </c>
    </row>
    <row r="9" spans="1:254" ht="15.9" customHeight="1">
      <c r="A9" s="65" t="s">
        <v>13</v>
      </c>
      <c r="B9" s="41" t="s">
        <v>14</v>
      </c>
      <c r="C9" s="45">
        <f>_xll.RssMarket("5711","安値")</f>
        <v>4345</v>
      </c>
      <c r="D9" s="16">
        <f t="shared" si="0"/>
        <v>0</v>
      </c>
      <c r="E9" s="21">
        <v>4345</v>
      </c>
      <c r="F9" s="21">
        <v>4230</v>
      </c>
      <c r="G9" s="21">
        <v>4105</v>
      </c>
      <c r="H9" s="21">
        <v>3970</v>
      </c>
      <c r="I9" s="21">
        <v>4030</v>
      </c>
      <c r="J9" s="21">
        <v>3894</v>
      </c>
      <c r="K9" s="21">
        <v>3825</v>
      </c>
      <c r="L9" s="21">
        <v>4012</v>
      </c>
      <c r="M9" s="21">
        <v>4114</v>
      </c>
      <c r="N9" s="21">
        <v>4139</v>
      </c>
      <c r="O9" s="21">
        <v>4247</v>
      </c>
      <c r="P9" s="21">
        <v>4189</v>
      </c>
      <c r="Q9" s="21">
        <v>3999</v>
      </c>
      <c r="R9" s="21">
        <v>3854</v>
      </c>
      <c r="S9" s="21">
        <v>4186</v>
      </c>
      <c r="T9" s="21">
        <v>3958</v>
      </c>
      <c r="U9" s="21">
        <v>3987</v>
      </c>
      <c r="V9" s="21">
        <v>3974</v>
      </c>
      <c r="W9" s="21">
        <v>3927</v>
      </c>
      <c r="X9" s="21">
        <v>4242</v>
      </c>
      <c r="Y9" s="21">
        <v>4339</v>
      </c>
      <c r="Z9" s="21">
        <v>4531</v>
      </c>
      <c r="AA9" s="21">
        <v>4403</v>
      </c>
      <c r="AB9" s="21">
        <v>4369</v>
      </c>
      <c r="AC9" s="21">
        <v>4289</v>
      </c>
      <c r="AD9" s="21">
        <v>4235</v>
      </c>
      <c r="AE9" s="21">
        <v>4160</v>
      </c>
      <c r="AF9" s="21">
        <v>4291</v>
      </c>
      <c r="AG9" s="21">
        <v>4403</v>
      </c>
      <c r="AH9" s="21">
        <v>4505</v>
      </c>
      <c r="AI9" s="21">
        <v>4581</v>
      </c>
      <c r="AJ9" s="21">
        <v>4830</v>
      </c>
      <c r="AK9" s="21">
        <v>4794</v>
      </c>
      <c r="AL9" s="21">
        <v>4837</v>
      </c>
      <c r="AM9" s="21">
        <v>4842</v>
      </c>
      <c r="AN9" s="21">
        <v>4898</v>
      </c>
      <c r="AO9" s="21">
        <v>4883</v>
      </c>
      <c r="AP9" s="21">
        <v>4510</v>
      </c>
      <c r="AQ9" s="21">
        <v>4276</v>
      </c>
      <c r="AR9" s="21">
        <v>4448</v>
      </c>
      <c r="AS9" s="21">
        <v>4537</v>
      </c>
      <c r="AT9" s="21">
        <v>4850</v>
      </c>
      <c r="AU9" s="21">
        <v>4950</v>
      </c>
      <c r="AV9" s="21">
        <v>5087</v>
      </c>
      <c r="AW9" s="21">
        <v>4920</v>
      </c>
      <c r="AX9" s="21">
        <v>5048</v>
      </c>
      <c r="AY9" s="21">
        <v>5036</v>
      </c>
      <c r="AZ9" s="21">
        <v>5260</v>
      </c>
      <c r="BA9" s="21">
        <v>5132</v>
      </c>
      <c r="BB9" s="21">
        <v>5036</v>
      </c>
      <c r="BC9" s="21">
        <v>4782</v>
      </c>
      <c r="BD9" s="21">
        <v>4691</v>
      </c>
      <c r="BE9" s="21">
        <v>4903</v>
      </c>
      <c r="BF9" s="21">
        <v>5035</v>
      </c>
      <c r="BG9" s="21">
        <v>5321</v>
      </c>
      <c r="BH9" s="21">
        <v>5285</v>
      </c>
      <c r="BI9" s="21">
        <v>5833</v>
      </c>
      <c r="BJ9" s="21">
        <v>5560</v>
      </c>
      <c r="BK9" s="21">
        <v>5511</v>
      </c>
      <c r="BL9" s="21">
        <v>5284</v>
      </c>
      <c r="BM9" s="1">
        <v>5243</v>
      </c>
      <c r="BN9" s="1">
        <v>5010</v>
      </c>
      <c r="BO9" s="1">
        <v>4990</v>
      </c>
      <c r="BP9" s="1">
        <v>5145</v>
      </c>
      <c r="BQ9" s="1">
        <v>5076</v>
      </c>
      <c r="BR9" s="1">
        <v>5229</v>
      </c>
      <c r="BS9" s="1">
        <v>5209</v>
      </c>
      <c r="BT9" s="1">
        <v>5358</v>
      </c>
      <c r="BU9" s="1">
        <v>5500</v>
      </c>
      <c r="BV9" s="1">
        <v>5473</v>
      </c>
      <c r="BW9" s="1">
        <v>5523</v>
      </c>
      <c r="BX9" s="1">
        <v>5678</v>
      </c>
      <c r="BY9" s="1">
        <v>5557</v>
      </c>
      <c r="BZ9" s="1">
        <v>5586</v>
      </c>
    </row>
    <row r="10" spans="1:254" ht="15.9" customHeight="1">
      <c r="A10" s="65" t="s">
        <v>15</v>
      </c>
      <c r="B10" s="41" t="s">
        <v>16</v>
      </c>
      <c r="C10" s="45">
        <f>_xll.RssMarket("5714","安値")</f>
        <v>8602</v>
      </c>
      <c r="D10" s="16">
        <f t="shared" si="0"/>
        <v>0</v>
      </c>
      <c r="E10" s="21">
        <v>8602</v>
      </c>
      <c r="F10" s="21">
        <v>8330</v>
      </c>
      <c r="G10" s="21">
        <v>8093</v>
      </c>
      <c r="H10" s="21">
        <v>7907</v>
      </c>
      <c r="I10" s="21">
        <v>8010</v>
      </c>
      <c r="J10" s="21">
        <v>7818</v>
      </c>
      <c r="K10" s="21">
        <v>7685</v>
      </c>
      <c r="L10" s="21">
        <v>7977</v>
      </c>
      <c r="M10" s="21">
        <v>8229</v>
      </c>
      <c r="N10" s="21">
        <v>8180</v>
      </c>
      <c r="O10" s="21">
        <v>8466</v>
      </c>
      <c r="P10" s="21">
        <v>8428</v>
      </c>
      <c r="Q10" s="21">
        <v>7906</v>
      </c>
      <c r="R10" s="21">
        <v>7725</v>
      </c>
      <c r="S10" s="21">
        <v>8354</v>
      </c>
      <c r="T10" s="21">
        <v>8116</v>
      </c>
      <c r="U10" s="21">
        <v>8171</v>
      </c>
      <c r="V10" s="21">
        <v>8347</v>
      </c>
      <c r="W10" s="21">
        <v>8220</v>
      </c>
      <c r="X10" s="21">
        <v>8403</v>
      </c>
      <c r="Y10" s="21">
        <v>8547</v>
      </c>
      <c r="Z10" s="21">
        <v>8821</v>
      </c>
      <c r="AA10" s="21">
        <v>8667</v>
      </c>
      <c r="AB10" s="21">
        <v>8596</v>
      </c>
      <c r="AC10" s="21">
        <v>8530</v>
      </c>
      <c r="AD10" s="21">
        <v>8526</v>
      </c>
      <c r="AE10" s="21">
        <v>8510</v>
      </c>
      <c r="AF10" s="21">
        <v>8602</v>
      </c>
      <c r="AG10" s="21">
        <v>8728</v>
      </c>
      <c r="AH10" s="21">
        <v>8774</v>
      </c>
      <c r="AI10" s="21">
        <v>9172</v>
      </c>
      <c r="AJ10" s="21">
        <v>9477</v>
      </c>
      <c r="AK10" s="21">
        <v>9369</v>
      </c>
      <c r="AL10" s="21">
        <v>9702</v>
      </c>
      <c r="AM10" s="21">
        <v>9615</v>
      </c>
      <c r="AN10" s="21">
        <v>9685</v>
      </c>
      <c r="AO10" s="21">
        <v>9652</v>
      </c>
      <c r="AP10" s="21">
        <v>9139</v>
      </c>
      <c r="AQ10" s="21">
        <v>8656</v>
      </c>
      <c r="AR10" s="21">
        <v>8910</v>
      </c>
      <c r="AS10" s="21">
        <v>9165</v>
      </c>
      <c r="AT10" s="21">
        <v>9800</v>
      </c>
      <c r="AU10" s="21">
        <v>9710</v>
      </c>
      <c r="AV10" s="21">
        <v>10230</v>
      </c>
      <c r="AW10" s="21">
        <v>9886</v>
      </c>
      <c r="AX10" s="21">
        <v>10270</v>
      </c>
      <c r="AY10" s="21">
        <v>10285</v>
      </c>
      <c r="AZ10" s="21">
        <v>10605</v>
      </c>
      <c r="BA10" s="21">
        <v>10720</v>
      </c>
      <c r="BB10" s="21">
        <v>10240</v>
      </c>
      <c r="BC10" s="21">
        <v>10020</v>
      </c>
      <c r="BD10" s="21">
        <v>9897</v>
      </c>
      <c r="BE10" s="21">
        <v>10300</v>
      </c>
      <c r="BF10" s="21">
        <v>11120</v>
      </c>
      <c r="BG10" s="21">
        <v>11390</v>
      </c>
      <c r="BH10" s="21">
        <v>9914</v>
      </c>
      <c r="BI10" s="21">
        <v>10200</v>
      </c>
      <c r="BJ10" s="21">
        <v>10260</v>
      </c>
      <c r="BK10" s="21">
        <v>10270</v>
      </c>
      <c r="BL10" s="21">
        <v>9729</v>
      </c>
      <c r="BM10" s="1">
        <v>9573</v>
      </c>
      <c r="BN10" s="1">
        <v>9390</v>
      </c>
      <c r="BO10" s="1">
        <v>9356</v>
      </c>
      <c r="BP10" s="1">
        <v>9506</v>
      </c>
      <c r="BQ10" s="1">
        <v>9378</v>
      </c>
      <c r="BR10" s="1">
        <v>9524</v>
      </c>
      <c r="BS10" s="1">
        <v>9543</v>
      </c>
      <c r="BT10" s="1">
        <v>9650</v>
      </c>
      <c r="BU10" s="1">
        <v>9838</v>
      </c>
      <c r="BV10" s="1">
        <v>9724</v>
      </c>
      <c r="BW10" s="1">
        <v>9916</v>
      </c>
      <c r="BX10" s="1">
        <v>10065</v>
      </c>
      <c r="BY10" s="1">
        <v>9920</v>
      </c>
      <c r="BZ10" s="1">
        <v>9781</v>
      </c>
    </row>
    <row r="11" spans="1:254" ht="15.9" customHeight="1">
      <c r="A11" s="65" t="s">
        <v>17</v>
      </c>
      <c r="B11" s="41" t="s">
        <v>18</v>
      </c>
      <c r="C11" s="45">
        <f>_xll.RssMarket("6701","安値")</f>
        <v>4619</v>
      </c>
      <c r="D11" s="16">
        <f t="shared" si="0"/>
        <v>0</v>
      </c>
      <c r="E11" s="21">
        <v>4619</v>
      </c>
      <c r="F11" s="21">
        <v>4631</v>
      </c>
      <c r="G11" s="21">
        <v>4560</v>
      </c>
      <c r="H11" s="21">
        <v>4615</v>
      </c>
      <c r="I11" s="21">
        <v>4660</v>
      </c>
      <c r="J11" s="21">
        <v>4795</v>
      </c>
      <c r="K11" s="21">
        <v>4419</v>
      </c>
      <c r="L11" s="21">
        <v>4379</v>
      </c>
      <c r="M11" s="21">
        <v>4298</v>
      </c>
      <c r="N11" s="21">
        <v>4191</v>
      </c>
      <c r="O11" s="21">
        <v>4218</v>
      </c>
      <c r="P11" s="21">
        <v>4271</v>
      </c>
      <c r="Q11" s="21">
        <v>4402</v>
      </c>
      <c r="R11" s="21">
        <v>4346</v>
      </c>
      <c r="S11" s="21">
        <v>4218</v>
      </c>
      <c r="T11" s="21">
        <v>4359</v>
      </c>
      <c r="U11" s="21">
        <v>4282</v>
      </c>
      <c r="V11" s="21">
        <v>4306</v>
      </c>
      <c r="W11" s="21">
        <v>4260</v>
      </c>
      <c r="X11" s="21">
        <v>4300</v>
      </c>
      <c r="Y11" s="21">
        <v>4288</v>
      </c>
      <c r="Z11" s="21">
        <v>4216</v>
      </c>
      <c r="AA11" s="21">
        <v>4125</v>
      </c>
      <c r="AB11" s="21">
        <v>4150</v>
      </c>
      <c r="AC11" s="21">
        <v>3912</v>
      </c>
      <c r="AD11" s="21">
        <v>3925</v>
      </c>
      <c r="AE11" s="21">
        <v>3916</v>
      </c>
      <c r="AF11" s="21">
        <v>3682</v>
      </c>
      <c r="AG11" s="21">
        <v>3754</v>
      </c>
      <c r="AH11" s="21">
        <v>3722</v>
      </c>
      <c r="AI11" s="21">
        <v>3657</v>
      </c>
      <c r="AJ11" s="21">
        <v>3709</v>
      </c>
      <c r="AK11" s="21">
        <v>3685</v>
      </c>
      <c r="AL11" s="21">
        <v>3868</v>
      </c>
      <c r="AM11" s="21">
        <v>3796</v>
      </c>
      <c r="AN11" s="21">
        <v>3773</v>
      </c>
      <c r="AO11" s="21">
        <v>3818</v>
      </c>
      <c r="AP11" s="21">
        <v>3862</v>
      </c>
      <c r="AQ11" s="21">
        <v>3970</v>
      </c>
      <c r="AR11" s="21">
        <v>3921</v>
      </c>
      <c r="AS11" s="21">
        <v>4060</v>
      </c>
      <c r="AT11" s="21">
        <v>4208</v>
      </c>
      <c r="AU11" s="21">
        <v>4178</v>
      </c>
      <c r="AV11" s="21">
        <v>4187</v>
      </c>
      <c r="AW11" s="21">
        <v>4282</v>
      </c>
      <c r="AX11" s="21">
        <v>4076</v>
      </c>
      <c r="AY11" s="21">
        <v>4058</v>
      </c>
      <c r="AZ11" s="21">
        <v>4002</v>
      </c>
      <c r="BA11" s="21">
        <v>4036</v>
      </c>
      <c r="BB11" s="21">
        <v>4065</v>
      </c>
      <c r="BC11" s="21">
        <v>4118</v>
      </c>
      <c r="BD11" s="21">
        <v>4055</v>
      </c>
      <c r="BE11" s="21">
        <v>4236</v>
      </c>
      <c r="BF11" s="21">
        <v>4093</v>
      </c>
      <c r="BG11" s="21">
        <v>3961</v>
      </c>
      <c r="BH11" s="21">
        <v>3988</v>
      </c>
      <c r="BI11" s="21">
        <v>4169</v>
      </c>
      <c r="BJ11" s="21">
        <v>4058</v>
      </c>
      <c r="BK11" s="21">
        <v>4073</v>
      </c>
      <c r="BL11" s="21">
        <v>4095</v>
      </c>
      <c r="BM11" s="1">
        <v>3989</v>
      </c>
      <c r="BN11" s="1">
        <v>3960</v>
      </c>
      <c r="BO11" s="1">
        <v>4027</v>
      </c>
      <c r="BP11" s="1">
        <v>4425</v>
      </c>
      <c r="BQ11" s="1">
        <v>4577</v>
      </c>
      <c r="BR11" s="1">
        <v>4452</v>
      </c>
      <c r="BS11" s="1">
        <v>4258</v>
      </c>
      <c r="BT11" s="1">
        <v>4411</v>
      </c>
      <c r="BU11" s="1">
        <v>4385</v>
      </c>
      <c r="BV11" s="1">
        <v>4276</v>
      </c>
      <c r="BW11" s="1">
        <v>4328</v>
      </c>
      <c r="BX11" s="1">
        <v>4300</v>
      </c>
      <c r="BY11" s="1">
        <v>4156</v>
      </c>
      <c r="BZ11" s="1">
        <v>4043</v>
      </c>
    </row>
    <row r="12" spans="1:254" ht="15.9" customHeight="1">
      <c r="A12" s="65" t="s">
        <v>19</v>
      </c>
      <c r="B12" s="41" t="s">
        <v>20</v>
      </c>
      <c r="C12" s="45">
        <f>_xll.RssMarket("1605","安値")</f>
        <v>3377</v>
      </c>
      <c r="D12" s="16">
        <f t="shared" si="0"/>
        <v>0</v>
      </c>
      <c r="E12" s="21">
        <v>3377</v>
      </c>
      <c r="F12" s="21">
        <v>3385</v>
      </c>
      <c r="G12" s="21">
        <v>3466</v>
      </c>
      <c r="H12" s="21">
        <v>3430</v>
      </c>
      <c r="I12" s="21">
        <v>3588</v>
      </c>
      <c r="J12" s="21">
        <v>3589</v>
      </c>
      <c r="K12" s="21">
        <v>3555</v>
      </c>
      <c r="L12" s="21">
        <v>3534</v>
      </c>
      <c r="M12" s="21">
        <v>3650</v>
      </c>
      <c r="N12" s="21">
        <v>3691</v>
      </c>
      <c r="O12" s="21">
        <v>3610</v>
      </c>
      <c r="P12" s="21">
        <v>3563</v>
      </c>
      <c r="Q12" s="21">
        <v>3495</v>
      </c>
      <c r="R12" s="21">
        <v>3375</v>
      </c>
      <c r="S12" s="21">
        <v>3424</v>
      </c>
      <c r="T12" s="21">
        <v>3452</v>
      </c>
      <c r="U12" s="21">
        <v>3359</v>
      </c>
      <c r="V12" s="21">
        <v>3345</v>
      </c>
      <c r="W12" s="21">
        <v>3391</v>
      </c>
      <c r="X12" s="21">
        <v>3324</v>
      </c>
      <c r="Y12" s="21">
        <v>3261</v>
      </c>
      <c r="Z12" s="21">
        <v>3240</v>
      </c>
      <c r="AA12" s="21">
        <v>3215</v>
      </c>
      <c r="AB12" s="21">
        <v>3192</v>
      </c>
      <c r="AC12" s="21">
        <v>3194</v>
      </c>
      <c r="AD12" s="21">
        <v>3230</v>
      </c>
      <c r="AE12" s="21">
        <v>3278</v>
      </c>
      <c r="AF12" s="21">
        <v>3296</v>
      </c>
      <c r="AG12" s="21">
        <v>3258</v>
      </c>
      <c r="AH12" s="21">
        <v>3386</v>
      </c>
      <c r="AI12" s="21">
        <v>3420</v>
      </c>
      <c r="AJ12" s="21">
        <v>3442</v>
      </c>
      <c r="AK12" s="21">
        <v>3371</v>
      </c>
      <c r="AL12" s="21">
        <v>3402</v>
      </c>
      <c r="AM12" s="21">
        <v>3293</v>
      </c>
      <c r="AN12" s="21">
        <v>3361</v>
      </c>
      <c r="AO12" s="21">
        <v>3468</v>
      </c>
      <c r="AP12" s="21">
        <v>3518</v>
      </c>
      <c r="AQ12" s="21">
        <v>3561</v>
      </c>
      <c r="AR12" s="21">
        <v>3450</v>
      </c>
      <c r="AS12" s="21">
        <v>3604</v>
      </c>
      <c r="AT12" s="21">
        <v>3639</v>
      </c>
      <c r="AU12" s="21">
        <v>3585</v>
      </c>
      <c r="AV12" s="21">
        <v>3649</v>
      </c>
      <c r="AW12" s="21">
        <v>3428</v>
      </c>
      <c r="AX12" s="21">
        <v>3578</v>
      </c>
      <c r="AY12" s="21">
        <v>3588</v>
      </c>
      <c r="AZ12" s="21">
        <v>3643</v>
      </c>
      <c r="BA12" s="21">
        <v>3640</v>
      </c>
      <c r="BB12" s="21">
        <v>3778</v>
      </c>
      <c r="BC12" s="21">
        <v>3859</v>
      </c>
      <c r="BD12" s="21">
        <v>3952</v>
      </c>
      <c r="BE12" s="21">
        <v>3948</v>
      </c>
      <c r="BF12" s="21">
        <v>3913</v>
      </c>
      <c r="BG12" s="21">
        <v>3788</v>
      </c>
      <c r="BH12" s="21">
        <v>3811</v>
      </c>
      <c r="BI12" s="21">
        <v>3921</v>
      </c>
      <c r="BJ12" s="21">
        <v>3900</v>
      </c>
      <c r="BK12" s="21">
        <v>3776</v>
      </c>
      <c r="BL12" s="21">
        <v>3719</v>
      </c>
      <c r="BM12" s="1">
        <v>3821</v>
      </c>
      <c r="BN12" s="1">
        <v>4043</v>
      </c>
      <c r="BO12" s="1">
        <v>4063</v>
      </c>
      <c r="BP12" s="1">
        <v>3985</v>
      </c>
      <c r="BQ12" s="1">
        <v>3882</v>
      </c>
      <c r="BR12" s="1">
        <v>3969</v>
      </c>
      <c r="BS12" s="1">
        <v>3840</v>
      </c>
      <c r="BT12" s="1">
        <v>3805</v>
      </c>
      <c r="BU12" s="1">
        <v>3785</v>
      </c>
      <c r="BV12" s="1">
        <v>3831</v>
      </c>
      <c r="BW12" s="1">
        <v>3908</v>
      </c>
      <c r="BX12" s="1">
        <v>3948</v>
      </c>
      <c r="BY12" s="1">
        <v>3990</v>
      </c>
      <c r="BZ12" s="1">
        <v>4094</v>
      </c>
    </row>
    <row r="13" spans="1:254" ht="15.9" customHeight="1">
      <c r="A13" s="65" t="s">
        <v>21</v>
      </c>
      <c r="B13" s="41" t="s">
        <v>22</v>
      </c>
      <c r="C13" s="45">
        <f>_xll.RssMarket("5703","安値")</f>
        <v>2916</v>
      </c>
      <c r="D13" s="16">
        <f t="shared" si="0"/>
        <v>0</v>
      </c>
      <c r="E13" s="21">
        <v>2916</v>
      </c>
      <c r="F13" s="21">
        <v>2811</v>
      </c>
      <c r="G13" s="21">
        <v>2738</v>
      </c>
      <c r="H13" s="21">
        <v>2633</v>
      </c>
      <c r="I13" s="21">
        <v>2626</v>
      </c>
      <c r="J13" s="21">
        <v>2554</v>
      </c>
      <c r="K13" s="21">
        <v>2530</v>
      </c>
      <c r="L13" s="21">
        <v>2601</v>
      </c>
      <c r="M13" s="21">
        <v>2628</v>
      </c>
      <c r="N13" s="21">
        <v>2636</v>
      </c>
      <c r="O13" s="21">
        <v>2693</v>
      </c>
      <c r="P13" s="21">
        <v>2692</v>
      </c>
      <c r="Q13" s="21">
        <v>2644</v>
      </c>
      <c r="R13" s="21">
        <v>2591</v>
      </c>
      <c r="S13" s="21">
        <v>2726</v>
      </c>
      <c r="T13" s="21">
        <v>2645</v>
      </c>
      <c r="U13" s="21">
        <v>2659</v>
      </c>
      <c r="V13" s="21">
        <v>2662</v>
      </c>
      <c r="W13" s="21">
        <v>2617</v>
      </c>
      <c r="X13" s="21">
        <v>2620</v>
      </c>
      <c r="Y13" s="21">
        <v>2681</v>
      </c>
      <c r="Z13" s="21">
        <v>2733</v>
      </c>
      <c r="AA13" s="21">
        <v>2708</v>
      </c>
      <c r="AB13" s="21">
        <v>2701</v>
      </c>
      <c r="AC13" s="21">
        <v>2717</v>
      </c>
      <c r="AD13" s="21">
        <v>2719</v>
      </c>
      <c r="AE13" s="21">
        <v>2745</v>
      </c>
      <c r="AF13" s="21">
        <v>2790</v>
      </c>
      <c r="AG13" s="21">
        <v>2817</v>
      </c>
      <c r="AH13" s="21">
        <v>2858</v>
      </c>
      <c r="AI13" s="21">
        <v>2910</v>
      </c>
      <c r="AJ13" s="21">
        <v>2996</v>
      </c>
      <c r="AK13" s="21">
        <v>2960</v>
      </c>
      <c r="AL13" s="21">
        <v>2960</v>
      </c>
      <c r="AM13" s="21">
        <v>2945</v>
      </c>
      <c r="AN13" s="21">
        <v>2999</v>
      </c>
      <c r="AO13" s="21">
        <v>3075</v>
      </c>
      <c r="AP13" s="21">
        <v>3015</v>
      </c>
      <c r="AQ13" s="21">
        <v>2893</v>
      </c>
      <c r="AR13" s="21">
        <v>3040</v>
      </c>
      <c r="AS13" s="21">
        <v>3090</v>
      </c>
      <c r="AT13" s="21">
        <v>3115</v>
      </c>
      <c r="AU13" s="21">
        <v>3145</v>
      </c>
      <c r="AV13" s="21">
        <v>3215</v>
      </c>
      <c r="AW13" s="21">
        <v>3045</v>
      </c>
      <c r="AX13" s="21">
        <v>3150</v>
      </c>
      <c r="AY13" s="21">
        <v>3040</v>
      </c>
      <c r="AZ13" s="21">
        <v>3195</v>
      </c>
      <c r="BA13" s="21">
        <v>3145</v>
      </c>
      <c r="BB13" s="21">
        <v>3035</v>
      </c>
      <c r="BC13" s="21">
        <v>3030</v>
      </c>
      <c r="BD13" s="21">
        <v>3000</v>
      </c>
      <c r="BE13" s="21">
        <v>3035</v>
      </c>
      <c r="BF13" s="21">
        <v>3010</v>
      </c>
      <c r="BG13" s="21">
        <v>3025</v>
      </c>
      <c r="BH13" s="21">
        <v>2907</v>
      </c>
      <c r="BI13" s="21">
        <v>2911</v>
      </c>
      <c r="BJ13" s="21">
        <v>2901</v>
      </c>
      <c r="BK13" s="21">
        <v>2869</v>
      </c>
      <c r="BL13" s="21">
        <v>2820</v>
      </c>
      <c r="BM13" s="1">
        <v>2856</v>
      </c>
      <c r="BN13" s="1">
        <v>2703</v>
      </c>
      <c r="BO13" s="1">
        <v>2788</v>
      </c>
      <c r="BP13" s="1">
        <v>2838</v>
      </c>
      <c r="BQ13" s="1">
        <v>2838</v>
      </c>
      <c r="BR13" s="1">
        <v>2831</v>
      </c>
      <c r="BS13" s="1">
        <v>2809</v>
      </c>
      <c r="BT13" s="1">
        <v>2898</v>
      </c>
      <c r="BU13" s="1">
        <v>2954</v>
      </c>
      <c r="BV13" s="1">
        <v>2934</v>
      </c>
      <c r="BW13" s="1">
        <v>2979</v>
      </c>
      <c r="BX13" s="1">
        <v>3015</v>
      </c>
      <c r="BY13" s="1">
        <v>3000</v>
      </c>
      <c r="BZ13" s="1">
        <v>3020</v>
      </c>
    </row>
    <row r="14" spans="1:254" ht="15.9" customHeight="1">
      <c r="A14" s="65" t="s">
        <v>23</v>
      </c>
      <c r="B14" s="41" t="s">
        <v>24</v>
      </c>
      <c r="C14" s="45">
        <f>_xll.RssMarket("8002","安値")</f>
        <v>4800</v>
      </c>
      <c r="D14" s="16">
        <f t="shared" si="0"/>
        <v>0</v>
      </c>
      <c r="E14" s="21">
        <v>4800</v>
      </c>
      <c r="F14" s="21">
        <v>4788</v>
      </c>
      <c r="G14" s="21">
        <v>4826</v>
      </c>
      <c r="H14" s="21">
        <v>4985</v>
      </c>
      <c r="I14" s="21">
        <v>5137</v>
      </c>
      <c r="J14" s="21">
        <v>5109</v>
      </c>
      <c r="K14" s="21">
        <v>5120</v>
      </c>
      <c r="L14" s="21">
        <v>5228</v>
      </c>
      <c r="M14" s="21">
        <v>5376</v>
      </c>
      <c r="N14" s="21">
        <v>5320</v>
      </c>
      <c r="O14" s="21">
        <v>5261</v>
      </c>
      <c r="P14" s="21">
        <v>5198</v>
      </c>
      <c r="Q14" s="21">
        <v>5019</v>
      </c>
      <c r="R14" s="21">
        <v>4901</v>
      </c>
      <c r="S14" s="21">
        <v>4999</v>
      </c>
      <c r="T14" s="21">
        <v>4837</v>
      </c>
      <c r="U14" s="21">
        <v>4810</v>
      </c>
      <c r="V14" s="21">
        <v>4833</v>
      </c>
      <c r="W14" s="21">
        <v>4873</v>
      </c>
      <c r="X14" s="21">
        <v>4961</v>
      </c>
      <c r="Y14" s="21">
        <v>5033</v>
      </c>
      <c r="Z14" s="21">
        <v>4915</v>
      </c>
      <c r="AA14" s="21">
        <v>4837</v>
      </c>
      <c r="AB14" s="21">
        <v>4772</v>
      </c>
      <c r="AC14" s="21">
        <v>4630</v>
      </c>
      <c r="AD14" s="21">
        <v>4664</v>
      </c>
      <c r="AE14" s="21">
        <v>4677</v>
      </c>
      <c r="AF14" s="21">
        <v>4612</v>
      </c>
      <c r="AG14" s="21">
        <v>4570</v>
      </c>
      <c r="AH14" s="21">
        <v>4647</v>
      </c>
      <c r="AI14" s="21">
        <v>4789</v>
      </c>
      <c r="AJ14" s="21">
        <v>4830</v>
      </c>
      <c r="AK14" s="21">
        <v>4805</v>
      </c>
      <c r="AL14" s="21">
        <v>4909</v>
      </c>
      <c r="AM14" s="21">
        <v>4886</v>
      </c>
      <c r="AN14" s="21">
        <v>4900</v>
      </c>
      <c r="AO14" s="21">
        <v>4994</v>
      </c>
      <c r="AP14" s="21">
        <v>4848</v>
      </c>
      <c r="AQ14" s="21">
        <v>4713</v>
      </c>
      <c r="AR14" s="21">
        <v>4747</v>
      </c>
      <c r="AS14" s="21">
        <v>4820</v>
      </c>
      <c r="AT14" s="21">
        <v>4983</v>
      </c>
      <c r="AU14" s="21">
        <v>4947</v>
      </c>
      <c r="AV14" s="21">
        <v>4873</v>
      </c>
      <c r="AW14" s="21">
        <v>4823</v>
      </c>
      <c r="AX14" s="21">
        <v>5135</v>
      </c>
      <c r="AY14" s="21">
        <v>5150</v>
      </c>
      <c r="AZ14" s="21">
        <v>5220</v>
      </c>
      <c r="BA14" s="21">
        <v>5216</v>
      </c>
      <c r="BB14" s="21">
        <v>5235</v>
      </c>
      <c r="BC14" s="21">
        <v>5322</v>
      </c>
      <c r="BD14" s="21">
        <v>5287</v>
      </c>
      <c r="BE14" s="21">
        <v>5525</v>
      </c>
      <c r="BF14" s="21">
        <v>5596</v>
      </c>
      <c r="BG14" s="21">
        <v>5792</v>
      </c>
      <c r="BH14" s="21">
        <v>5800</v>
      </c>
      <c r="BI14" s="21">
        <v>5551</v>
      </c>
      <c r="BJ14" s="21">
        <v>5433</v>
      </c>
      <c r="BK14" s="21">
        <v>5351</v>
      </c>
      <c r="BL14" s="21">
        <v>5366</v>
      </c>
      <c r="BM14" s="1">
        <v>5375</v>
      </c>
      <c r="BN14" s="1">
        <v>5744</v>
      </c>
      <c r="BO14" s="1">
        <v>5956</v>
      </c>
      <c r="BP14" s="1">
        <v>5966</v>
      </c>
      <c r="BQ14" s="1">
        <v>5822</v>
      </c>
      <c r="BR14" s="1">
        <v>5916</v>
      </c>
      <c r="BS14" s="1">
        <v>5792</v>
      </c>
      <c r="BT14" s="1">
        <v>5832</v>
      </c>
      <c r="BU14" s="1">
        <v>5852</v>
      </c>
      <c r="BV14" s="1">
        <v>5872</v>
      </c>
      <c r="BW14" s="1">
        <v>5838</v>
      </c>
      <c r="BX14" s="1">
        <v>5899</v>
      </c>
      <c r="BY14" s="1">
        <v>5882</v>
      </c>
      <c r="BZ14" s="1">
        <v>5902</v>
      </c>
    </row>
    <row r="15" spans="1:254" ht="15.9" customHeight="1">
      <c r="A15" s="65" t="s">
        <v>25</v>
      </c>
      <c r="B15" s="41" t="s">
        <v>26</v>
      </c>
      <c r="C15" s="45">
        <f>_xll.RssMarket("5021","安値")</f>
        <v>3762</v>
      </c>
      <c r="D15" s="16">
        <f t="shared" si="0"/>
        <v>0</v>
      </c>
      <c r="E15" s="21">
        <v>3762</v>
      </c>
      <c r="F15" s="21">
        <v>3731</v>
      </c>
      <c r="G15" s="21">
        <v>3785</v>
      </c>
      <c r="H15" s="21">
        <v>3802</v>
      </c>
      <c r="I15" s="21">
        <v>3950</v>
      </c>
      <c r="J15" s="21">
        <v>3932</v>
      </c>
      <c r="K15" s="21">
        <v>3942</v>
      </c>
      <c r="L15" s="21">
        <v>3939</v>
      </c>
      <c r="M15" s="21">
        <v>3950</v>
      </c>
      <c r="N15" s="21">
        <v>3933</v>
      </c>
      <c r="O15" s="21">
        <v>3906</v>
      </c>
      <c r="P15" s="21">
        <v>3894</v>
      </c>
      <c r="Q15" s="21">
        <v>3872</v>
      </c>
      <c r="R15" s="21">
        <v>3753</v>
      </c>
      <c r="S15" s="21">
        <v>3843</v>
      </c>
      <c r="T15" s="21">
        <v>3859</v>
      </c>
      <c r="U15" s="21">
        <v>3843</v>
      </c>
      <c r="V15" s="21">
        <v>3850</v>
      </c>
      <c r="W15" s="21">
        <v>3832</v>
      </c>
      <c r="X15" s="21">
        <v>3817</v>
      </c>
      <c r="Y15" s="21">
        <v>3878</v>
      </c>
      <c r="Z15" s="21">
        <v>3901</v>
      </c>
      <c r="AA15" s="21">
        <v>3851</v>
      </c>
      <c r="AB15" s="21">
        <v>3840</v>
      </c>
      <c r="AC15" s="21">
        <v>3758</v>
      </c>
      <c r="AD15" s="21">
        <v>3755</v>
      </c>
      <c r="AE15" s="21">
        <v>3705</v>
      </c>
      <c r="AF15" s="21">
        <v>3698</v>
      </c>
      <c r="AG15" s="21">
        <v>3646</v>
      </c>
      <c r="AH15" s="21">
        <v>3677</v>
      </c>
      <c r="AI15" s="21">
        <v>3682</v>
      </c>
      <c r="AJ15" s="21">
        <v>3678</v>
      </c>
      <c r="AK15" s="21">
        <v>3687</v>
      </c>
      <c r="AL15" s="21">
        <v>3641</v>
      </c>
      <c r="AM15" s="21">
        <v>3617</v>
      </c>
      <c r="AN15" s="21">
        <v>3622</v>
      </c>
      <c r="AO15" s="21">
        <v>3600</v>
      </c>
      <c r="AP15" s="21">
        <v>3503</v>
      </c>
      <c r="AQ15" s="21">
        <v>3451</v>
      </c>
      <c r="AR15" s="21">
        <v>3452</v>
      </c>
      <c r="AS15" s="21">
        <v>3533</v>
      </c>
      <c r="AT15" s="21">
        <v>3595</v>
      </c>
      <c r="AU15" s="21">
        <v>3636</v>
      </c>
      <c r="AV15" s="21">
        <v>3701</v>
      </c>
      <c r="AW15" s="21">
        <v>3634</v>
      </c>
      <c r="AX15" s="21">
        <v>3676</v>
      </c>
      <c r="AY15" s="21">
        <v>3635</v>
      </c>
      <c r="AZ15" s="21">
        <v>3630</v>
      </c>
      <c r="BA15" s="21">
        <v>3676</v>
      </c>
      <c r="BB15" s="21">
        <v>3675</v>
      </c>
      <c r="BC15" s="21">
        <v>3689</v>
      </c>
      <c r="BD15" s="21">
        <v>3705</v>
      </c>
      <c r="BE15" s="21">
        <v>3732</v>
      </c>
      <c r="BF15" s="21">
        <v>3733</v>
      </c>
      <c r="BG15" s="21">
        <v>3778</v>
      </c>
      <c r="BH15" s="21">
        <v>3737</v>
      </c>
      <c r="BI15" s="21">
        <v>3760</v>
      </c>
      <c r="BJ15" s="21">
        <v>3952</v>
      </c>
      <c r="BK15" s="21">
        <v>3925</v>
      </c>
      <c r="BL15" s="21">
        <v>3868</v>
      </c>
      <c r="BM15" s="1">
        <v>3853</v>
      </c>
      <c r="BN15" s="1">
        <v>3938</v>
      </c>
      <c r="BO15" s="1">
        <v>3919</v>
      </c>
      <c r="BP15" s="1">
        <v>3895</v>
      </c>
      <c r="BQ15" s="1">
        <v>3831</v>
      </c>
      <c r="BR15" s="1">
        <v>3906</v>
      </c>
      <c r="BS15" s="1">
        <v>3863</v>
      </c>
      <c r="BT15" s="1">
        <v>4067</v>
      </c>
      <c r="BU15" s="1">
        <v>4185</v>
      </c>
      <c r="BV15" s="1">
        <v>4228</v>
      </c>
      <c r="BW15" s="1">
        <v>4342</v>
      </c>
      <c r="BX15" s="1">
        <v>4356</v>
      </c>
      <c r="BY15" s="1">
        <v>4330</v>
      </c>
      <c r="BZ15" s="1">
        <v>4303</v>
      </c>
    </row>
    <row r="16" spans="1:254" ht="15.9" customHeight="1">
      <c r="A16" s="65" t="s">
        <v>27</v>
      </c>
      <c r="B16" s="41" t="s">
        <v>28</v>
      </c>
      <c r="C16" s="45">
        <f>_xll.RssMarket("8058","安値")</f>
        <v>4631</v>
      </c>
      <c r="D16" s="16">
        <f t="shared" si="0"/>
        <v>0</v>
      </c>
      <c r="E16" s="21">
        <v>4631</v>
      </c>
      <c r="F16" s="21">
        <v>4641</v>
      </c>
      <c r="G16" s="21">
        <v>4596</v>
      </c>
      <c r="H16" s="21">
        <v>4581</v>
      </c>
      <c r="I16" s="21">
        <v>4731</v>
      </c>
      <c r="J16" s="21">
        <v>4736</v>
      </c>
      <c r="K16" s="21">
        <v>4750</v>
      </c>
      <c r="L16" s="21">
        <v>4710</v>
      </c>
      <c r="M16" s="21">
        <v>4841</v>
      </c>
      <c r="N16" s="21">
        <v>4883</v>
      </c>
      <c r="O16" s="21">
        <v>4840</v>
      </c>
      <c r="P16" s="21">
        <v>4772</v>
      </c>
      <c r="Q16" s="21">
        <v>4513</v>
      </c>
      <c r="R16" s="21">
        <v>4374</v>
      </c>
      <c r="S16" s="21">
        <v>4530</v>
      </c>
      <c r="T16" s="21">
        <v>4435</v>
      </c>
      <c r="U16" s="21">
        <v>4404</v>
      </c>
      <c r="V16" s="21">
        <v>4361</v>
      </c>
      <c r="W16" s="21">
        <v>4380</v>
      </c>
      <c r="X16" s="21">
        <v>4464</v>
      </c>
      <c r="Y16" s="21">
        <v>4495</v>
      </c>
      <c r="Z16" s="21">
        <v>4446</v>
      </c>
      <c r="AA16" s="21">
        <v>4455</v>
      </c>
      <c r="AB16" s="21">
        <v>4368</v>
      </c>
      <c r="AC16" s="21">
        <v>4286</v>
      </c>
      <c r="AD16" s="21">
        <v>4338</v>
      </c>
      <c r="AE16" s="21">
        <v>4393</v>
      </c>
      <c r="AF16" s="21">
        <v>4363</v>
      </c>
      <c r="AG16" s="21">
        <v>4385</v>
      </c>
      <c r="AH16" s="21">
        <v>4508</v>
      </c>
      <c r="AI16" s="21">
        <v>4565</v>
      </c>
      <c r="AJ16" s="21">
        <v>4498</v>
      </c>
      <c r="AK16" s="21">
        <v>4450</v>
      </c>
      <c r="AL16" s="21">
        <v>4570</v>
      </c>
      <c r="AM16" s="21">
        <v>4595</v>
      </c>
      <c r="AN16" s="21">
        <v>4588</v>
      </c>
      <c r="AO16" s="21">
        <v>4728</v>
      </c>
      <c r="AP16" s="21">
        <v>4610</v>
      </c>
      <c r="AQ16" s="21">
        <v>4522</v>
      </c>
      <c r="AR16" s="21">
        <v>4575</v>
      </c>
      <c r="AS16" s="21">
        <v>4760</v>
      </c>
      <c r="AT16" s="21">
        <v>4855</v>
      </c>
      <c r="AU16" s="21">
        <v>4871</v>
      </c>
      <c r="AV16" s="21">
        <v>4931</v>
      </c>
      <c r="AW16" s="21">
        <v>4864</v>
      </c>
      <c r="AX16" s="21">
        <v>4966</v>
      </c>
      <c r="AY16" s="21">
        <v>5003</v>
      </c>
      <c r="AZ16" s="21">
        <v>5093</v>
      </c>
      <c r="BA16" s="21">
        <v>5283</v>
      </c>
      <c r="BB16" s="21">
        <v>5290</v>
      </c>
      <c r="BC16" s="21">
        <v>5345</v>
      </c>
      <c r="BD16" s="21">
        <v>5362</v>
      </c>
      <c r="BE16" s="21">
        <v>5492</v>
      </c>
      <c r="BF16" s="21">
        <v>5500</v>
      </c>
      <c r="BG16" s="21">
        <v>5780</v>
      </c>
      <c r="BH16" s="21">
        <v>5774</v>
      </c>
      <c r="BI16" s="21">
        <v>5625</v>
      </c>
      <c r="BJ16" s="21">
        <v>5301</v>
      </c>
      <c r="BK16" s="21">
        <v>5175</v>
      </c>
      <c r="BL16" s="21">
        <v>5169</v>
      </c>
      <c r="BM16" s="1">
        <v>5108</v>
      </c>
      <c r="BN16" s="1">
        <v>4842</v>
      </c>
      <c r="BO16" s="1">
        <v>4867</v>
      </c>
      <c r="BP16" s="1">
        <v>4835</v>
      </c>
      <c r="BQ16" s="1">
        <v>4738</v>
      </c>
      <c r="BR16" s="1">
        <v>4824</v>
      </c>
      <c r="BS16" s="1">
        <v>4693</v>
      </c>
      <c r="BT16" s="1">
        <v>4744</v>
      </c>
      <c r="BU16" s="1">
        <v>4844</v>
      </c>
      <c r="BV16" s="1">
        <v>4891</v>
      </c>
      <c r="BW16" s="1">
        <v>4938</v>
      </c>
      <c r="BX16" s="1">
        <v>5002</v>
      </c>
      <c r="BY16" s="1">
        <v>4977</v>
      </c>
      <c r="BZ16" s="1">
        <v>5182</v>
      </c>
    </row>
    <row r="17" spans="1:254" ht="15.9" customHeight="1">
      <c r="A17" s="65" t="s">
        <v>29</v>
      </c>
      <c r="B17" s="41" t="s">
        <v>30</v>
      </c>
      <c r="C17" s="45">
        <f>_xll.RssMarket("5333","安値")</f>
        <v>5675</v>
      </c>
      <c r="D17" s="16">
        <f t="shared" si="0"/>
        <v>0</v>
      </c>
      <c r="E17" s="21">
        <v>5675</v>
      </c>
      <c r="F17" s="21">
        <v>5702</v>
      </c>
      <c r="G17" s="21">
        <v>5508</v>
      </c>
      <c r="H17" s="21">
        <v>5367</v>
      </c>
      <c r="I17" s="21">
        <v>5585</v>
      </c>
      <c r="J17" s="21">
        <v>5090</v>
      </c>
      <c r="K17" s="21">
        <v>5050</v>
      </c>
      <c r="L17" s="21">
        <v>5486</v>
      </c>
      <c r="M17" s="21">
        <v>5935</v>
      </c>
      <c r="N17" s="21">
        <v>5996</v>
      </c>
      <c r="O17" s="21">
        <v>6152</v>
      </c>
      <c r="P17" s="21">
        <v>6188</v>
      </c>
      <c r="Q17" s="21">
        <v>5876</v>
      </c>
      <c r="R17" s="21">
        <v>5814</v>
      </c>
      <c r="S17" s="21">
        <v>6607</v>
      </c>
      <c r="T17" s="21">
        <v>6417</v>
      </c>
      <c r="U17" s="21">
        <v>6623</v>
      </c>
      <c r="V17" s="21">
        <v>7023</v>
      </c>
      <c r="W17" s="21">
        <v>6966</v>
      </c>
      <c r="X17" s="21">
        <v>6742</v>
      </c>
      <c r="Y17" s="21">
        <v>7110</v>
      </c>
      <c r="Z17" s="21">
        <v>7217</v>
      </c>
      <c r="AA17" s="21">
        <v>7052</v>
      </c>
      <c r="AB17" s="21">
        <v>7236</v>
      </c>
      <c r="AC17" s="21">
        <v>7593</v>
      </c>
      <c r="AD17" s="21">
        <v>7432</v>
      </c>
      <c r="AE17" s="21">
        <v>7175</v>
      </c>
      <c r="AF17" s="21">
        <v>7450</v>
      </c>
      <c r="AG17" s="21">
        <v>7586</v>
      </c>
      <c r="AH17" s="21">
        <v>7284</v>
      </c>
      <c r="AI17" s="21">
        <v>7410</v>
      </c>
      <c r="AJ17" s="21">
        <v>7372</v>
      </c>
      <c r="AK17" s="21">
        <v>7329</v>
      </c>
      <c r="AL17" s="21">
        <v>6978</v>
      </c>
      <c r="AM17" s="21">
        <v>6706</v>
      </c>
      <c r="AN17" s="21">
        <v>6619</v>
      </c>
      <c r="AO17" s="21">
        <v>6383</v>
      </c>
      <c r="AP17" s="21">
        <v>6106</v>
      </c>
      <c r="AQ17" s="21">
        <v>5551</v>
      </c>
      <c r="AR17" s="21">
        <v>5913</v>
      </c>
      <c r="AS17" s="21">
        <v>5966</v>
      </c>
      <c r="AT17" s="21">
        <v>6386</v>
      </c>
      <c r="AU17" s="21">
        <v>6184</v>
      </c>
      <c r="AV17" s="21">
        <v>6265</v>
      </c>
      <c r="AW17" s="21">
        <v>6063</v>
      </c>
      <c r="AX17" s="21">
        <v>6103</v>
      </c>
      <c r="AY17" s="21">
        <v>5862</v>
      </c>
      <c r="AZ17" s="21">
        <v>6069</v>
      </c>
      <c r="BA17" s="21">
        <v>5906</v>
      </c>
      <c r="BB17" s="21">
        <v>5755</v>
      </c>
      <c r="BC17" s="21">
        <v>5543</v>
      </c>
      <c r="BD17" s="21">
        <v>5292</v>
      </c>
      <c r="BE17" s="21">
        <v>5470</v>
      </c>
      <c r="BF17" s="21">
        <v>5570</v>
      </c>
      <c r="BG17" s="21">
        <v>5613</v>
      </c>
      <c r="BH17" s="21">
        <v>5707</v>
      </c>
      <c r="BI17" s="21">
        <v>5521</v>
      </c>
      <c r="BJ17" s="21">
        <v>5534</v>
      </c>
      <c r="BK17" s="21">
        <v>5444</v>
      </c>
      <c r="BL17" s="21">
        <v>5218</v>
      </c>
      <c r="BM17" s="1">
        <v>5245</v>
      </c>
      <c r="BN17" s="1">
        <v>4887</v>
      </c>
      <c r="BO17" s="1">
        <v>4563</v>
      </c>
      <c r="BP17" s="1">
        <v>4613</v>
      </c>
      <c r="BQ17" s="1">
        <v>4422</v>
      </c>
      <c r="BR17" s="1">
        <v>4386</v>
      </c>
      <c r="BS17" s="1">
        <v>4322</v>
      </c>
      <c r="BT17" s="1">
        <v>4426</v>
      </c>
      <c r="BU17" s="1">
        <v>4530</v>
      </c>
      <c r="BV17" s="1">
        <v>4510</v>
      </c>
      <c r="BW17" s="1">
        <v>4473</v>
      </c>
      <c r="BX17" s="1">
        <v>4423</v>
      </c>
      <c r="BY17" s="1">
        <v>4420</v>
      </c>
      <c r="BZ17" s="1">
        <v>4422</v>
      </c>
    </row>
    <row r="18" spans="1:254" ht="15.9" customHeight="1">
      <c r="A18" s="65" t="s">
        <v>31</v>
      </c>
      <c r="B18" s="41" t="s">
        <v>32</v>
      </c>
      <c r="C18" s="45">
        <f>_xll.RssMarket("1662","安値")</f>
        <v>1622</v>
      </c>
      <c r="D18" s="16">
        <f t="shared" si="0"/>
        <v>0</v>
      </c>
      <c r="E18" s="21">
        <v>1622</v>
      </c>
      <c r="F18" s="21">
        <v>1671</v>
      </c>
      <c r="G18" s="21">
        <v>1691</v>
      </c>
      <c r="H18" s="21">
        <v>1665</v>
      </c>
      <c r="I18" s="21">
        <v>1753</v>
      </c>
      <c r="J18" s="21">
        <v>1736</v>
      </c>
      <c r="K18" s="21">
        <v>1725</v>
      </c>
      <c r="L18" s="21">
        <v>1711</v>
      </c>
      <c r="M18" s="21">
        <v>1709</v>
      </c>
      <c r="N18" s="21"/>
      <c r="O18" s="21">
        <v>1733</v>
      </c>
      <c r="P18" s="21">
        <v>1717</v>
      </c>
      <c r="Q18" s="21">
        <v>1701</v>
      </c>
      <c r="R18" s="21">
        <v>1653</v>
      </c>
      <c r="S18" s="21">
        <v>1691</v>
      </c>
      <c r="T18" s="21">
        <v>1701</v>
      </c>
      <c r="U18" s="21">
        <v>1661</v>
      </c>
      <c r="V18" s="21">
        <v>1655</v>
      </c>
      <c r="W18" s="21">
        <v>1671</v>
      </c>
      <c r="X18" s="21">
        <v>1662</v>
      </c>
      <c r="Y18" s="21">
        <v>1640</v>
      </c>
      <c r="Z18" s="21">
        <v>1611</v>
      </c>
      <c r="AA18" s="21">
        <v>1601</v>
      </c>
      <c r="AB18" s="21">
        <v>1590</v>
      </c>
      <c r="AC18" s="21">
        <v>1561</v>
      </c>
      <c r="AD18" s="21">
        <v>1592</v>
      </c>
      <c r="AE18" s="21">
        <v>1594</v>
      </c>
      <c r="AF18" s="21">
        <v>1579</v>
      </c>
      <c r="AG18" s="21">
        <v>1567</v>
      </c>
      <c r="AH18" s="21">
        <v>1607</v>
      </c>
      <c r="AI18" s="21">
        <v>1600</v>
      </c>
      <c r="AJ18" s="21">
        <v>1616</v>
      </c>
      <c r="AK18" s="21">
        <v>1595</v>
      </c>
      <c r="AL18" s="21">
        <v>1633</v>
      </c>
      <c r="AM18" s="21">
        <v>1621</v>
      </c>
      <c r="AN18" s="21">
        <v>1628</v>
      </c>
      <c r="AO18" s="21">
        <v>1635</v>
      </c>
      <c r="AP18" s="21">
        <v>1627</v>
      </c>
      <c r="AQ18" s="21">
        <v>1646</v>
      </c>
      <c r="AR18" s="21">
        <v>1631</v>
      </c>
      <c r="AS18" s="21">
        <v>1702</v>
      </c>
      <c r="AT18" s="21">
        <v>1718</v>
      </c>
      <c r="AU18" s="21">
        <v>1708</v>
      </c>
      <c r="AV18" s="21">
        <v>1741</v>
      </c>
      <c r="AW18" s="21">
        <v>1744</v>
      </c>
      <c r="AX18" s="21">
        <v>1789</v>
      </c>
      <c r="AY18" s="21">
        <v>1832</v>
      </c>
      <c r="AZ18" s="21">
        <v>1839</v>
      </c>
      <c r="BA18" s="21">
        <v>1808</v>
      </c>
      <c r="BB18" s="21">
        <v>1867</v>
      </c>
      <c r="BC18" s="21">
        <v>1878</v>
      </c>
      <c r="BD18" s="21">
        <v>1982</v>
      </c>
      <c r="BE18" s="21">
        <v>1933</v>
      </c>
      <c r="BF18" s="21">
        <v>1924</v>
      </c>
      <c r="BG18" s="21">
        <v>1919</v>
      </c>
      <c r="BH18" s="21">
        <v>1933</v>
      </c>
      <c r="BI18" s="21">
        <v>1972</v>
      </c>
      <c r="BJ18" s="21">
        <v>2169</v>
      </c>
      <c r="BK18" s="21">
        <v>2130</v>
      </c>
      <c r="BL18" s="21">
        <v>2084</v>
      </c>
      <c r="BM18" s="1">
        <v>2050</v>
      </c>
      <c r="BN18" s="1">
        <v>2196</v>
      </c>
      <c r="BO18" s="1">
        <v>2235</v>
      </c>
      <c r="BP18" s="1">
        <v>2191</v>
      </c>
      <c r="BQ18" s="1">
        <v>2151</v>
      </c>
      <c r="BR18" s="1">
        <v>2246</v>
      </c>
      <c r="BS18" s="1">
        <v>2182</v>
      </c>
      <c r="BT18" s="1">
        <v>2126</v>
      </c>
      <c r="BU18" s="1">
        <v>2095</v>
      </c>
      <c r="BV18" s="1">
        <v>2130</v>
      </c>
      <c r="BW18" s="1">
        <v>2336</v>
      </c>
      <c r="BX18" s="1">
        <v>2374</v>
      </c>
      <c r="BY18" s="1">
        <v>2396</v>
      </c>
      <c r="BZ18" s="1">
        <v>2365</v>
      </c>
    </row>
    <row r="19" spans="1:254" ht="15.9" customHeight="1">
      <c r="A19" s="65" t="s">
        <v>33</v>
      </c>
      <c r="B19" s="41" t="s">
        <v>34</v>
      </c>
      <c r="C19" s="45">
        <f>_xll.RssMarket("8411","安値")</f>
        <v>8417</v>
      </c>
      <c r="D19" s="16">
        <f t="shared" si="0"/>
        <v>0</v>
      </c>
      <c r="E19" s="21">
        <v>8417</v>
      </c>
      <c r="F19" s="21">
        <v>8137</v>
      </c>
      <c r="G19" s="21">
        <v>7968</v>
      </c>
      <c r="H19" s="21">
        <v>7857</v>
      </c>
      <c r="I19" s="21">
        <v>8003</v>
      </c>
      <c r="J19" s="21">
        <v>7761</v>
      </c>
      <c r="K19" s="21">
        <v>7866</v>
      </c>
      <c r="L19" s="21">
        <v>8166</v>
      </c>
      <c r="M19" s="21">
        <v>8516</v>
      </c>
      <c r="N19" s="21">
        <v>8613</v>
      </c>
      <c r="O19" s="21">
        <v>8531</v>
      </c>
      <c r="P19" s="21">
        <v>8341</v>
      </c>
      <c r="Q19" s="21">
        <v>7924</v>
      </c>
      <c r="R19" s="21">
        <v>7790</v>
      </c>
      <c r="S19" s="21">
        <v>8411</v>
      </c>
      <c r="T19" s="21">
        <v>8286</v>
      </c>
      <c r="U19" s="21">
        <v>8357</v>
      </c>
      <c r="V19" s="21">
        <v>8229</v>
      </c>
      <c r="W19" s="21">
        <v>8108</v>
      </c>
      <c r="X19" s="21">
        <v>8151</v>
      </c>
      <c r="Y19" s="21">
        <v>8227</v>
      </c>
      <c r="Z19" s="21">
        <v>8046</v>
      </c>
      <c r="AA19" s="21">
        <v>7907</v>
      </c>
      <c r="AB19" s="21">
        <v>7931</v>
      </c>
      <c r="AC19" s="21">
        <v>7750</v>
      </c>
      <c r="AD19" s="21">
        <v>7662</v>
      </c>
      <c r="AE19" s="21">
        <v>7639</v>
      </c>
      <c r="AF19" s="21">
        <v>7679</v>
      </c>
      <c r="AG19" s="21">
        <v>7698</v>
      </c>
      <c r="AH19" s="21">
        <v>7637</v>
      </c>
      <c r="AI19" s="21">
        <v>7820</v>
      </c>
      <c r="AJ19" s="21">
        <v>7808</v>
      </c>
      <c r="AK19" s="21">
        <v>7848</v>
      </c>
      <c r="AL19" s="21">
        <v>8094</v>
      </c>
      <c r="AM19" s="21">
        <v>7902</v>
      </c>
      <c r="AN19" s="21">
        <v>7702</v>
      </c>
      <c r="AO19" s="21">
        <v>7717</v>
      </c>
      <c r="AP19" s="21">
        <v>7510</v>
      </c>
      <c r="AQ19" s="21">
        <v>7322</v>
      </c>
      <c r="AR19" s="21">
        <v>7555</v>
      </c>
      <c r="AS19" s="21">
        <v>7437</v>
      </c>
      <c r="AT19" s="21">
        <v>7698</v>
      </c>
      <c r="AU19" s="21">
        <v>7472</v>
      </c>
      <c r="AV19" s="21">
        <v>7389</v>
      </c>
      <c r="AW19" s="21">
        <v>7064</v>
      </c>
      <c r="AX19" s="21">
        <v>7045</v>
      </c>
      <c r="AY19" s="21">
        <v>6996</v>
      </c>
      <c r="AZ19" s="21">
        <v>7178</v>
      </c>
      <c r="BA19" s="21">
        <v>7194</v>
      </c>
      <c r="BB19" s="21">
        <v>7302</v>
      </c>
      <c r="BC19" s="21">
        <v>7138</v>
      </c>
      <c r="BD19" s="21">
        <v>6844</v>
      </c>
      <c r="BE19" s="21">
        <v>6685</v>
      </c>
      <c r="BF19" s="21">
        <v>6379</v>
      </c>
      <c r="BG19" s="21">
        <v>6827</v>
      </c>
      <c r="BH19" s="21">
        <v>6971</v>
      </c>
      <c r="BI19" s="21">
        <v>6920</v>
      </c>
      <c r="BJ19" s="21">
        <v>6833</v>
      </c>
      <c r="BK19" s="21">
        <v>6774</v>
      </c>
      <c r="BL19" s="21">
        <v>6624</v>
      </c>
      <c r="BM19" s="1">
        <v>6791</v>
      </c>
      <c r="BN19" s="1">
        <v>6584</v>
      </c>
      <c r="BO19" s="1">
        <v>6609</v>
      </c>
      <c r="BP19" s="1">
        <v>6598</v>
      </c>
      <c r="BQ19" s="1">
        <v>6350</v>
      </c>
      <c r="BR19" s="1">
        <v>6389</v>
      </c>
      <c r="BS19" s="1">
        <v>6467</v>
      </c>
      <c r="BT19" s="1">
        <v>6552</v>
      </c>
      <c r="BU19" s="1">
        <v>6625</v>
      </c>
      <c r="BV19" s="1">
        <v>6775</v>
      </c>
      <c r="BW19" s="1">
        <v>6700</v>
      </c>
      <c r="BX19" s="1">
        <v>6872</v>
      </c>
      <c r="BY19" s="1">
        <v>6904</v>
      </c>
      <c r="BZ19" s="1">
        <v>6728</v>
      </c>
    </row>
    <row r="20" spans="1:254" ht="15.9" customHeight="1">
      <c r="A20" s="65" t="s">
        <v>35</v>
      </c>
      <c r="B20" s="41" t="s">
        <v>36</v>
      </c>
      <c r="C20" s="45">
        <f>_xll.RssMarket("5541","安値")</f>
        <v>2437</v>
      </c>
      <c r="D20" s="16">
        <f t="shared" si="0"/>
        <v>0</v>
      </c>
      <c r="E20" s="21">
        <v>2437</v>
      </c>
      <c r="F20" s="21">
        <v>2485</v>
      </c>
      <c r="G20" s="21">
        <v>2415</v>
      </c>
      <c r="H20" s="21">
        <v>2398</v>
      </c>
      <c r="I20" s="21">
        <v>2380</v>
      </c>
      <c r="J20" s="21">
        <v>2322</v>
      </c>
      <c r="K20" s="21">
        <v>2313</v>
      </c>
      <c r="L20" s="21">
        <v>2301</v>
      </c>
      <c r="M20" s="21">
        <v>2339</v>
      </c>
      <c r="N20" s="21"/>
      <c r="O20" s="21">
        <v>2296</v>
      </c>
      <c r="P20" s="21">
        <v>2300</v>
      </c>
      <c r="Q20" s="21">
        <v>2255</v>
      </c>
      <c r="R20" s="21">
        <v>2222</v>
      </c>
      <c r="S20" s="21">
        <v>2266</v>
      </c>
      <c r="T20" s="21">
        <v>2218</v>
      </c>
      <c r="U20" s="21">
        <v>2214</v>
      </c>
      <c r="V20" s="21">
        <v>2221</v>
      </c>
      <c r="W20" s="21">
        <v>2203</v>
      </c>
      <c r="X20" s="21">
        <v>2218</v>
      </c>
      <c r="Y20" s="21">
        <v>2271</v>
      </c>
      <c r="Z20" s="21">
        <v>2325</v>
      </c>
      <c r="AA20" s="21">
        <v>2245</v>
      </c>
      <c r="AB20" s="21">
        <v>2232</v>
      </c>
      <c r="AC20" s="21">
        <v>2181</v>
      </c>
      <c r="AD20" s="21">
        <v>2143</v>
      </c>
      <c r="AE20" s="21">
        <v>2128</v>
      </c>
      <c r="AF20" s="21">
        <v>2138</v>
      </c>
      <c r="AG20" s="21">
        <v>2158</v>
      </c>
      <c r="AH20" s="21">
        <v>2190</v>
      </c>
      <c r="AI20" s="21">
        <v>2215</v>
      </c>
      <c r="AJ20" s="21">
        <v>2246</v>
      </c>
      <c r="AK20" s="21">
        <v>2245</v>
      </c>
      <c r="AL20" s="21">
        <v>2268</v>
      </c>
      <c r="AM20" s="21">
        <v>2257</v>
      </c>
      <c r="AN20" s="21">
        <v>2262</v>
      </c>
      <c r="AO20" s="21">
        <v>2249</v>
      </c>
      <c r="AP20" s="21">
        <v>2118</v>
      </c>
      <c r="AQ20" s="21">
        <v>2061</v>
      </c>
      <c r="AR20" s="21">
        <v>2115</v>
      </c>
      <c r="AS20" s="21">
        <v>2164</v>
      </c>
      <c r="AT20" s="21">
        <v>2234</v>
      </c>
      <c r="AU20" s="21">
        <v>2250</v>
      </c>
      <c r="AV20" s="21">
        <v>2250</v>
      </c>
      <c r="AW20" s="21">
        <v>2182</v>
      </c>
      <c r="AX20" s="21">
        <v>2275</v>
      </c>
      <c r="AY20" s="21">
        <v>2212</v>
      </c>
      <c r="AZ20" s="21">
        <v>2272</v>
      </c>
      <c r="BA20" s="21">
        <v>2205</v>
      </c>
      <c r="BB20" s="21">
        <v>2140</v>
      </c>
      <c r="BC20" s="21">
        <v>2120</v>
      </c>
      <c r="BD20" s="21">
        <v>2116</v>
      </c>
      <c r="BE20" s="21">
        <v>2180</v>
      </c>
      <c r="BF20" s="21">
        <v>2245</v>
      </c>
      <c r="BG20" s="21">
        <v>2363</v>
      </c>
      <c r="BH20" s="21">
        <v>2373</v>
      </c>
      <c r="BI20" s="21">
        <v>2370</v>
      </c>
      <c r="BJ20" s="21">
        <v>2215</v>
      </c>
      <c r="BK20" s="21">
        <v>2623</v>
      </c>
      <c r="BL20" s="21">
        <v>2563</v>
      </c>
      <c r="BM20" s="1">
        <v>2605</v>
      </c>
      <c r="BN20" s="1">
        <v>2522</v>
      </c>
      <c r="BO20" s="1">
        <v>2491</v>
      </c>
      <c r="BP20" s="1">
        <v>2429</v>
      </c>
      <c r="BQ20" s="1">
        <v>2356</v>
      </c>
      <c r="BR20" s="1">
        <v>2430</v>
      </c>
      <c r="BS20" s="1">
        <v>2440</v>
      </c>
      <c r="BT20" s="1">
        <v>2477</v>
      </c>
      <c r="BU20" s="1">
        <v>2530</v>
      </c>
      <c r="BV20" s="1">
        <v>2515</v>
      </c>
      <c r="BW20" s="1">
        <v>2582</v>
      </c>
      <c r="BX20" s="1">
        <v>2660</v>
      </c>
      <c r="BY20" s="1">
        <v>2626</v>
      </c>
      <c r="BZ20" s="1">
        <v>2619</v>
      </c>
    </row>
    <row r="21" spans="1:254" ht="15.9" customHeight="1">
      <c r="A21" s="65" t="s">
        <v>37</v>
      </c>
      <c r="B21" s="41" t="s">
        <v>38</v>
      </c>
      <c r="C21" s="45">
        <f>_xll.RssMarket("5332","安値")</f>
        <v>6463</v>
      </c>
      <c r="D21" s="16">
        <f t="shared" si="0"/>
        <v>0</v>
      </c>
      <c r="E21" s="21">
        <v>6463</v>
      </c>
      <c r="F21" s="21">
        <v>6344</v>
      </c>
      <c r="G21" s="21">
        <v>6095</v>
      </c>
      <c r="H21" s="21">
        <v>6100</v>
      </c>
      <c r="I21" s="21">
        <v>6920</v>
      </c>
      <c r="J21" s="21">
        <v>6562</v>
      </c>
      <c r="K21" s="21">
        <v>6577</v>
      </c>
      <c r="L21" s="21">
        <v>6918</v>
      </c>
      <c r="M21" s="21">
        <v>7352</v>
      </c>
      <c r="N21" s="21"/>
      <c r="O21" s="21">
        <v>7524</v>
      </c>
      <c r="P21" s="21">
        <v>7565</v>
      </c>
      <c r="Q21" s="21">
        <v>7365</v>
      </c>
      <c r="R21" s="21">
        <v>7229</v>
      </c>
      <c r="S21" s="21">
        <v>7765</v>
      </c>
      <c r="T21" s="21">
        <v>7686</v>
      </c>
      <c r="U21" s="21">
        <v>7775</v>
      </c>
      <c r="V21" s="21">
        <v>8040</v>
      </c>
      <c r="W21" s="21">
        <v>8040</v>
      </c>
      <c r="X21" s="21">
        <v>8042</v>
      </c>
      <c r="Y21" s="21">
        <v>8325</v>
      </c>
      <c r="Z21" s="21">
        <v>8458</v>
      </c>
      <c r="AA21" s="21">
        <v>8202</v>
      </c>
      <c r="AB21" s="21">
        <v>8330</v>
      </c>
      <c r="AC21" s="21">
        <v>8236</v>
      </c>
      <c r="AD21" s="21">
        <v>8387</v>
      </c>
      <c r="AE21" s="21">
        <v>8260</v>
      </c>
      <c r="AF21" s="21">
        <v>8473</v>
      </c>
      <c r="AG21" s="21">
        <v>8693</v>
      </c>
      <c r="AH21" s="21">
        <v>8590</v>
      </c>
      <c r="AI21" s="21">
        <v>8838</v>
      </c>
      <c r="AJ21" s="21">
        <v>8663</v>
      </c>
      <c r="AK21" s="21">
        <v>8330</v>
      </c>
      <c r="AL21" s="21">
        <v>8177</v>
      </c>
      <c r="AM21" s="21">
        <v>7938</v>
      </c>
      <c r="AN21" s="21">
        <v>8105</v>
      </c>
      <c r="AO21" s="21">
        <v>7887</v>
      </c>
      <c r="AP21" s="21">
        <v>7590</v>
      </c>
      <c r="AQ21" s="21">
        <v>7120</v>
      </c>
      <c r="AR21" s="21">
        <v>7397</v>
      </c>
      <c r="AS21" s="21">
        <v>7463</v>
      </c>
      <c r="AT21" s="21">
        <v>7803</v>
      </c>
      <c r="AU21" s="21">
        <v>7898</v>
      </c>
      <c r="AV21" s="21">
        <v>7445</v>
      </c>
      <c r="AW21" s="21">
        <v>7110</v>
      </c>
      <c r="AX21" s="21">
        <v>7430</v>
      </c>
      <c r="AY21" s="21">
        <v>7231</v>
      </c>
      <c r="AZ21" s="21">
        <v>7172</v>
      </c>
      <c r="BA21" s="21">
        <v>6815</v>
      </c>
      <c r="BB21" s="21">
        <v>6637</v>
      </c>
      <c r="BC21" s="21">
        <v>6523</v>
      </c>
      <c r="BD21" s="21">
        <v>6308</v>
      </c>
      <c r="BE21" s="21">
        <v>6663</v>
      </c>
      <c r="BF21" s="21">
        <v>6855</v>
      </c>
      <c r="BG21" s="21">
        <v>7044</v>
      </c>
      <c r="BH21" s="21">
        <v>6933</v>
      </c>
      <c r="BI21" s="21">
        <v>6810</v>
      </c>
      <c r="BJ21" s="21">
        <v>6857</v>
      </c>
      <c r="BK21" s="21">
        <v>7104</v>
      </c>
      <c r="BL21" s="21">
        <v>6741</v>
      </c>
      <c r="BM21" s="1">
        <v>6614</v>
      </c>
      <c r="BN21" s="1">
        <v>6015</v>
      </c>
      <c r="BO21" s="1">
        <v>5377</v>
      </c>
      <c r="BP21" s="1">
        <v>5364</v>
      </c>
      <c r="BQ21" s="1">
        <v>5352</v>
      </c>
      <c r="BR21" s="1">
        <v>5265</v>
      </c>
      <c r="BS21" s="1">
        <v>5182</v>
      </c>
      <c r="BT21" s="1">
        <v>5218</v>
      </c>
      <c r="BU21" s="1">
        <v>5384</v>
      </c>
      <c r="BV21" s="1">
        <v>5532</v>
      </c>
      <c r="BW21" s="1">
        <v>5507</v>
      </c>
      <c r="BX21" s="1">
        <v>5432</v>
      </c>
      <c r="BY21" s="1">
        <v>5464</v>
      </c>
      <c r="BZ21" s="1">
        <v>5385</v>
      </c>
    </row>
    <row r="22" spans="1:254" ht="15.9" customHeight="1">
      <c r="A22" s="65" t="s">
        <v>39</v>
      </c>
      <c r="B22" s="41" t="s">
        <v>40</v>
      </c>
      <c r="C22" s="45">
        <f>_xll.RssMarket("8725","安値")</f>
        <v>4771</v>
      </c>
      <c r="D22" s="16">
        <f t="shared" si="0"/>
        <v>0</v>
      </c>
      <c r="E22" s="21">
        <v>4771</v>
      </c>
      <c r="F22" s="21">
        <v>4731</v>
      </c>
      <c r="G22" s="21">
        <v>4742</v>
      </c>
      <c r="H22" s="21">
        <v>4702</v>
      </c>
      <c r="I22" s="21">
        <v>4897</v>
      </c>
      <c r="J22" s="21">
        <v>4922</v>
      </c>
      <c r="K22" s="21">
        <v>4935</v>
      </c>
      <c r="L22" s="21">
        <v>5000</v>
      </c>
      <c r="M22" s="21">
        <v>4913</v>
      </c>
      <c r="N22" s="21">
        <v>4781</v>
      </c>
      <c r="O22" s="21">
        <v>4788</v>
      </c>
      <c r="P22" s="21">
        <v>4715</v>
      </c>
      <c r="Q22" s="21">
        <v>4569</v>
      </c>
      <c r="R22" s="21">
        <v>4473</v>
      </c>
      <c r="S22" s="21">
        <v>4526</v>
      </c>
      <c r="T22" s="21">
        <v>4442</v>
      </c>
      <c r="U22" s="21">
        <v>4395</v>
      </c>
      <c r="V22" s="21">
        <v>4413</v>
      </c>
      <c r="W22" s="21">
        <v>4447</v>
      </c>
      <c r="X22" s="21">
        <v>4495</v>
      </c>
      <c r="Y22" s="21">
        <v>4502</v>
      </c>
      <c r="Z22" s="21">
        <v>4438</v>
      </c>
      <c r="AA22" s="21">
        <v>4401</v>
      </c>
      <c r="AB22" s="21">
        <v>4281</v>
      </c>
      <c r="AC22" s="21">
        <v>4228</v>
      </c>
      <c r="AD22" s="21">
        <v>4225</v>
      </c>
      <c r="AE22" s="21">
        <v>4204</v>
      </c>
      <c r="AF22" s="21">
        <v>4210</v>
      </c>
      <c r="AG22" s="21">
        <v>4222</v>
      </c>
      <c r="AH22" s="21">
        <v>4437</v>
      </c>
      <c r="AI22" s="21">
        <v>4606</v>
      </c>
      <c r="AJ22" s="21">
        <v>4501</v>
      </c>
      <c r="AK22" s="21">
        <v>4510</v>
      </c>
      <c r="AL22" s="21">
        <v>4534</v>
      </c>
      <c r="AM22" s="21">
        <v>4554</v>
      </c>
      <c r="AN22" s="21">
        <v>4556</v>
      </c>
      <c r="AO22" s="21">
        <v>4597</v>
      </c>
      <c r="AP22" s="21">
        <v>4596</v>
      </c>
      <c r="AQ22" s="21">
        <v>4516</v>
      </c>
      <c r="AR22" s="21">
        <v>4569</v>
      </c>
      <c r="AS22" s="21">
        <v>4339</v>
      </c>
      <c r="AT22" s="21">
        <v>4299</v>
      </c>
      <c r="AU22" s="21">
        <v>4224</v>
      </c>
      <c r="AV22" s="21">
        <v>4294</v>
      </c>
      <c r="AW22" s="21">
        <v>4169</v>
      </c>
      <c r="AX22" s="21">
        <v>4209</v>
      </c>
      <c r="AY22" s="21">
        <v>4219</v>
      </c>
      <c r="AZ22" s="21">
        <v>4197</v>
      </c>
      <c r="BA22" s="21">
        <v>4153</v>
      </c>
      <c r="BB22" s="21">
        <v>4182</v>
      </c>
      <c r="BC22" s="21">
        <v>4286</v>
      </c>
      <c r="BD22" s="21">
        <v>4356</v>
      </c>
      <c r="BE22" s="21">
        <v>4403</v>
      </c>
      <c r="BF22" s="21">
        <v>4401</v>
      </c>
      <c r="BG22" s="21">
        <v>4356</v>
      </c>
      <c r="BH22" s="21">
        <v>4360</v>
      </c>
      <c r="BI22" s="21">
        <v>4294</v>
      </c>
      <c r="BJ22" s="21">
        <v>4150</v>
      </c>
      <c r="BK22" s="21">
        <v>3958</v>
      </c>
      <c r="BL22" s="21">
        <v>3941</v>
      </c>
      <c r="BM22" s="1">
        <v>3970</v>
      </c>
      <c r="BN22" s="1">
        <v>3961</v>
      </c>
      <c r="BO22" s="1">
        <v>3960</v>
      </c>
      <c r="BP22" s="1">
        <v>3939</v>
      </c>
      <c r="BQ22" s="1">
        <v>3886</v>
      </c>
      <c r="BR22" s="1">
        <v>3946</v>
      </c>
      <c r="BS22" s="1">
        <v>3916</v>
      </c>
      <c r="BT22" s="1">
        <v>3996</v>
      </c>
      <c r="BU22" s="1">
        <v>4014</v>
      </c>
      <c r="BV22" s="1">
        <v>4026</v>
      </c>
      <c r="BW22" s="1">
        <v>4052</v>
      </c>
      <c r="BX22" s="1">
        <v>4082</v>
      </c>
      <c r="BY22" s="1">
        <v>4033</v>
      </c>
      <c r="BZ22" s="1">
        <v>4024</v>
      </c>
    </row>
    <row r="23" spans="1:254" ht="15.9" customHeight="1">
      <c r="A23" s="65" t="s">
        <v>41</v>
      </c>
      <c r="B23" s="41" t="s">
        <v>42</v>
      </c>
      <c r="C23" s="45">
        <f>_xll.RssMarket("8795","安値")</f>
        <v>4935</v>
      </c>
      <c r="D23" s="16">
        <f t="shared" si="0"/>
        <v>0</v>
      </c>
      <c r="E23" s="21">
        <v>4935</v>
      </c>
      <c r="F23" s="21">
        <v>4973</v>
      </c>
      <c r="G23" s="21">
        <v>4939</v>
      </c>
      <c r="H23" s="21">
        <v>4868</v>
      </c>
      <c r="I23" s="21">
        <v>5026</v>
      </c>
      <c r="J23" s="21">
        <v>4933</v>
      </c>
      <c r="K23" s="21">
        <v>4954</v>
      </c>
      <c r="L23" s="21">
        <v>5032</v>
      </c>
      <c r="M23" s="21">
        <v>5107</v>
      </c>
      <c r="N23" s="21"/>
      <c r="O23" s="21">
        <v>5024</v>
      </c>
      <c r="P23" s="21">
        <v>4967</v>
      </c>
      <c r="Q23" s="21">
        <v>4845</v>
      </c>
      <c r="R23" s="21">
        <v>4726</v>
      </c>
      <c r="S23" s="21">
        <v>4993</v>
      </c>
      <c r="T23" s="21">
        <v>4867</v>
      </c>
      <c r="U23" s="21">
        <v>4878</v>
      </c>
      <c r="V23" s="21">
        <v>4906</v>
      </c>
      <c r="W23" s="21">
        <v>4865</v>
      </c>
      <c r="X23" s="21">
        <v>4901</v>
      </c>
      <c r="Y23" s="21">
        <v>4947</v>
      </c>
      <c r="Z23" s="21">
        <v>4910</v>
      </c>
      <c r="AA23" s="21">
        <v>4853</v>
      </c>
      <c r="AB23" s="21">
        <v>4807</v>
      </c>
      <c r="AC23" s="21">
        <v>4778</v>
      </c>
      <c r="AD23" s="21">
        <v>4703</v>
      </c>
      <c r="AE23" s="21">
        <v>4615</v>
      </c>
      <c r="AF23" s="21">
        <v>4640</v>
      </c>
      <c r="AG23" s="21">
        <v>4628</v>
      </c>
      <c r="AH23" s="21">
        <v>4565</v>
      </c>
      <c r="AI23" s="21">
        <v>4902</v>
      </c>
      <c r="AJ23" s="21">
        <v>4801</v>
      </c>
      <c r="AK23" s="21">
        <v>4878</v>
      </c>
      <c r="AL23" s="21">
        <v>4811</v>
      </c>
      <c r="AM23" s="21">
        <v>4718</v>
      </c>
      <c r="AN23" s="21">
        <v>4761</v>
      </c>
      <c r="AO23" s="21">
        <v>4789</v>
      </c>
      <c r="AP23" s="21">
        <v>4648</v>
      </c>
      <c r="AQ23" s="21">
        <v>4598</v>
      </c>
      <c r="AR23" s="21">
        <v>4654</v>
      </c>
      <c r="AS23" s="21">
        <v>4351</v>
      </c>
      <c r="AT23" s="21">
        <v>4356</v>
      </c>
      <c r="AU23" s="21">
        <v>4091</v>
      </c>
      <c r="AV23" s="21">
        <v>4130</v>
      </c>
      <c r="AW23" s="21">
        <v>4110</v>
      </c>
      <c r="AX23" s="21">
        <v>4022</v>
      </c>
      <c r="AY23" s="21">
        <v>4054</v>
      </c>
      <c r="AZ23" s="21">
        <v>4079</v>
      </c>
      <c r="BA23" s="21">
        <v>4030</v>
      </c>
      <c r="BB23" s="21">
        <v>4069</v>
      </c>
      <c r="BC23" s="21">
        <v>4056</v>
      </c>
      <c r="BD23" s="21">
        <v>4077</v>
      </c>
      <c r="BE23" s="21">
        <v>4114</v>
      </c>
      <c r="BF23" s="21">
        <v>3900</v>
      </c>
      <c r="BG23" s="21">
        <v>3754</v>
      </c>
      <c r="BH23" s="21">
        <v>3943</v>
      </c>
      <c r="BI23" s="21">
        <v>3936</v>
      </c>
      <c r="BJ23" s="21">
        <v>3945</v>
      </c>
      <c r="BK23" s="21">
        <v>3861</v>
      </c>
      <c r="BL23" s="21">
        <v>3838</v>
      </c>
      <c r="BM23" s="1">
        <v>3821</v>
      </c>
      <c r="BN23" s="1">
        <v>3727</v>
      </c>
      <c r="BO23" s="1">
        <v>3707</v>
      </c>
      <c r="BP23" s="1">
        <v>3671</v>
      </c>
      <c r="BQ23" s="1">
        <v>3606</v>
      </c>
      <c r="BR23" s="1">
        <v>3679</v>
      </c>
      <c r="BS23" s="1">
        <v>3657</v>
      </c>
      <c r="BT23" s="1">
        <v>3728</v>
      </c>
      <c r="BU23" s="1">
        <v>3820</v>
      </c>
      <c r="BV23" s="1">
        <v>3914</v>
      </c>
      <c r="BW23" s="1">
        <v>4000</v>
      </c>
      <c r="BX23" s="1">
        <v>4020</v>
      </c>
      <c r="BY23" s="1">
        <v>4012</v>
      </c>
      <c r="BZ23" s="1">
        <v>4026</v>
      </c>
    </row>
    <row r="24" spans="1:254" ht="15.9" customHeight="1">
      <c r="A24" s="65" t="s">
        <v>43</v>
      </c>
      <c r="B24" s="41" t="s">
        <v>44</v>
      </c>
      <c r="C24" s="45">
        <f>_xll.RssMarket("5019","安値")</f>
        <v>1228</v>
      </c>
      <c r="D24" s="16">
        <f t="shared" si="0"/>
        <v>0</v>
      </c>
      <c r="E24" s="21">
        <v>1228</v>
      </c>
      <c r="F24" s="21">
        <v>1231</v>
      </c>
      <c r="G24" s="21">
        <v>1245.5</v>
      </c>
      <c r="H24" s="21">
        <v>1254.5</v>
      </c>
      <c r="I24" s="21">
        <v>1298.5</v>
      </c>
      <c r="J24" s="21">
        <v>1301.5</v>
      </c>
      <c r="K24" s="21">
        <v>1306.5</v>
      </c>
      <c r="L24" s="21">
        <v>1292</v>
      </c>
      <c r="M24" s="21">
        <v>1308</v>
      </c>
      <c r="N24" s="21">
        <v>1326.5</v>
      </c>
      <c r="O24" s="21">
        <v>1312</v>
      </c>
      <c r="P24" s="21">
        <v>1281</v>
      </c>
      <c r="Q24" s="21">
        <v>1272.5</v>
      </c>
      <c r="R24" s="21">
        <v>1235</v>
      </c>
      <c r="S24" s="21">
        <v>1269.5</v>
      </c>
      <c r="T24" s="21">
        <v>1247</v>
      </c>
      <c r="U24" s="21">
        <v>1241.5</v>
      </c>
      <c r="V24" s="21">
        <v>1232</v>
      </c>
      <c r="W24" s="21">
        <v>1228.5</v>
      </c>
      <c r="X24" s="21">
        <v>1231</v>
      </c>
      <c r="Y24" s="21">
        <v>1228.5</v>
      </c>
      <c r="Z24" s="21">
        <v>1216</v>
      </c>
      <c r="AA24" s="21">
        <v>1207</v>
      </c>
      <c r="AB24" s="21">
        <v>1186.5</v>
      </c>
      <c r="AC24" s="21">
        <v>1175.5</v>
      </c>
      <c r="AD24" s="21">
        <v>1189</v>
      </c>
      <c r="AE24" s="21">
        <v>1204</v>
      </c>
      <c r="AF24" s="21">
        <v>1209</v>
      </c>
      <c r="AG24" s="21">
        <v>1203.5</v>
      </c>
      <c r="AH24" s="21">
        <v>1229.5</v>
      </c>
      <c r="AI24" s="21">
        <v>1244.5</v>
      </c>
      <c r="AJ24" s="21">
        <v>1237.5</v>
      </c>
      <c r="AK24" s="21">
        <v>1216.5</v>
      </c>
      <c r="AL24" s="21">
        <v>1243.5</v>
      </c>
      <c r="AM24" s="21">
        <v>1251</v>
      </c>
      <c r="AN24" s="21">
        <v>1287.5</v>
      </c>
      <c r="AO24" s="21">
        <v>1318.5</v>
      </c>
      <c r="AP24" s="21">
        <v>1301</v>
      </c>
      <c r="AQ24" s="21">
        <v>1333</v>
      </c>
      <c r="AR24" s="21">
        <v>1320.5</v>
      </c>
      <c r="AS24" s="21">
        <v>1336.5</v>
      </c>
      <c r="AT24" s="21">
        <v>1373</v>
      </c>
      <c r="AU24" s="21">
        <v>1386</v>
      </c>
      <c r="AV24" s="21">
        <v>1360.5</v>
      </c>
      <c r="AW24" s="21">
        <v>1318</v>
      </c>
      <c r="AX24" s="21">
        <v>1296</v>
      </c>
      <c r="AY24" s="21">
        <v>1300</v>
      </c>
      <c r="AZ24" s="21">
        <v>1305.5</v>
      </c>
      <c r="BA24" s="21">
        <v>1302.5</v>
      </c>
      <c r="BB24" s="21">
        <v>1320.5</v>
      </c>
      <c r="BC24" s="21">
        <v>1336.5</v>
      </c>
      <c r="BD24" s="21">
        <v>1370.5</v>
      </c>
      <c r="BE24" s="21">
        <v>1352.5</v>
      </c>
      <c r="BF24" s="21">
        <v>1365.5</v>
      </c>
      <c r="BG24" s="21">
        <v>1404.5</v>
      </c>
      <c r="BH24" s="21">
        <v>1366</v>
      </c>
      <c r="BI24" s="21">
        <v>1319</v>
      </c>
      <c r="BJ24" s="21">
        <v>1370.5</v>
      </c>
      <c r="BK24" s="21">
        <v>1323</v>
      </c>
      <c r="BL24" s="21">
        <v>1326.5</v>
      </c>
      <c r="BM24" s="1">
        <v>1339.5</v>
      </c>
      <c r="BN24" s="1">
        <v>1325.5</v>
      </c>
      <c r="BO24" s="1">
        <v>1335.5</v>
      </c>
      <c r="BP24" s="1">
        <v>1326.5</v>
      </c>
      <c r="BQ24" s="1">
        <v>1300</v>
      </c>
      <c r="BR24" s="1">
        <v>1335.5</v>
      </c>
      <c r="BS24" s="1">
        <v>1324</v>
      </c>
      <c r="BT24" s="1">
        <v>1385</v>
      </c>
      <c r="BU24" s="1">
        <v>1411.5</v>
      </c>
      <c r="BV24" s="1">
        <v>1443</v>
      </c>
      <c r="BW24" s="1">
        <v>1487.5</v>
      </c>
      <c r="BX24" s="1">
        <v>1505</v>
      </c>
      <c r="BY24" s="1">
        <v>1498</v>
      </c>
      <c r="BZ24" s="1">
        <v>1495</v>
      </c>
    </row>
    <row r="25" spans="1:254" ht="15.9" customHeight="1">
      <c r="A25" s="65" t="s">
        <v>45</v>
      </c>
      <c r="B25" s="41" t="s">
        <v>46</v>
      </c>
      <c r="C25" s="45">
        <f>_xll.RssMarket("8053","安値")</f>
        <v>1707</v>
      </c>
      <c r="D25" s="16">
        <f t="shared" si="0"/>
        <v>0</v>
      </c>
      <c r="E25" s="21">
        <v>1707</v>
      </c>
      <c r="F25" s="21">
        <v>1657.5</v>
      </c>
      <c r="G25" s="21">
        <v>1637.5</v>
      </c>
      <c r="H25" s="21">
        <v>1603.5</v>
      </c>
      <c r="I25" s="21">
        <v>1539.5</v>
      </c>
      <c r="J25" s="21">
        <v>1579</v>
      </c>
      <c r="K25" s="21">
        <v>1574</v>
      </c>
      <c r="L25" s="21">
        <v>1566</v>
      </c>
      <c r="M25" s="21">
        <v>1598.5</v>
      </c>
      <c r="N25" s="21">
        <v>1592</v>
      </c>
      <c r="O25" s="21">
        <v>1608.5</v>
      </c>
      <c r="P25" s="21">
        <v>1580.5</v>
      </c>
      <c r="Q25" s="21">
        <v>1522.5</v>
      </c>
      <c r="R25" s="21">
        <v>1489</v>
      </c>
      <c r="S25" s="21">
        <v>1575.5</v>
      </c>
      <c r="T25" s="21">
        <v>1553.5</v>
      </c>
      <c r="U25" s="21">
        <v>1548.5</v>
      </c>
      <c r="V25" s="21">
        <v>1547</v>
      </c>
      <c r="W25" s="21">
        <v>1551</v>
      </c>
      <c r="X25" s="21">
        <v>1564.5</v>
      </c>
      <c r="Y25" s="21">
        <v>1600</v>
      </c>
      <c r="Z25" s="21">
        <v>1578.5</v>
      </c>
      <c r="AA25" s="21">
        <v>1570</v>
      </c>
      <c r="AB25" s="21">
        <v>1575</v>
      </c>
      <c r="AC25" s="21">
        <v>1535</v>
      </c>
      <c r="AD25" s="21">
        <v>1540.5</v>
      </c>
      <c r="AE25" s="21">
        <v>1532.5</v>
      </c>
      <c r="AF25" s="21">
        <v>1526</v>
      </c>
      <c r="AG25" s="21">
        <v>1532.5</v>
      </c>
      <c r="AH25" s="21">
        <v>1552</v>
      </c>
      <c r="AI25" s="21">
        <v>1595</v>
      </c>
      <c r="AJ25" s="21">
        <v>1590</v>
      </c>
      <c r="AK25" s="21">
        <v>1583</v>
      </c>
      <c r="AL25" s="21">
        <v>1623.25</v>
      </c>
      <c r="AM25" s="21">
        <v>1619.5</v>
      </c>
      <c r="AN25" s="21">
        <v>1617.5</v>
      </c>
      <c r="AO25" s="21">
        <v>1597</v>
      </c>
      <c r="AP25" s="21">
        <v>1550</v>
      </c>
      <c r="AQ25" s="21">
        <v>1529.75</v>
      </c>
      <c r="AR25" s="21">
        <v>1579.75</v>
      </c>
      <c r="AS25" s="21">
        <v>1634.75</v>
      </c>
      <c r="AT25" s="21">
        <v>1693.75</v>
      </c>
      <c r="AU25" s="21">
        <v>1679</v>
      </c>
      <c r="AV25" s="21">
        <v>1710.5</v>
      </c>
      <c r="AW25" s="21">
        <v>1686.5</v>
      </c>
      <c r="AX25" s="21">
        <v>1774.75</v>
      </c>
      <c r="AY25" s="21">
        <v>1749.25</v>
      </c>
      <c r="AZ25" s="21">
        <v>1794.75</v>
      </c>
      <c r="BA25" s="21">
        <v>1774.5</v>
      </c>
      <c r="BB25" s="21">
        <v>1758</v>
      </c>
      <c r="BC25" s="21">
        <v>1752.5</v>
      </c>
      <c r="BD25" s="21">
        <v>1734</v>
      </c>
      <c r="BE25" s="21">
        <v>1803.25</v>
      </c>
      <c r="BF25" s="21">
        <v>1805</v>
      </c>
      <c r="BG25" s="21">
        <v>1857</v>
      </c>
      <c r="BH25" s="21">
        <v>1843.75</v>
      </c>
      <c r="BI25" s="21">
        <v>1868.75</v>
      </c>
      <c r="BJ25" s="21">
        <v>1809.25</v>
      </c>
      <c r="BK25" s="21">
        <v>1795</v>
      </c>
      <c r="BL25" s="21">
        <v>1787.25</v>
      </c>
      <c r="BM25" s="1">
        <v>1702</v>
      </c>
      <c r="BN25" s="1">
        <v>1422.75</v>
      </c>
      <c r="BO25" s="1">
        <v>1420.25</v>
      </c>
      <c r="BP25" s="1">
        <v>1400</v>
      </c>
      <c r="BQ25" s="1">
        <v>1416.25</v>
      </c>
      <c r="BR25" s="1">
        <v>1445.25</v>
      </c>
      <c r="BS25" s="1">
        <v>1427.75</v>
      </c>
      <c r="BT25" s="1">
        <v>1445.75</v>
      </c>
      <c r="BU25" s="1">
        <v>1490.25</v>
      </c>
      <c r="BV25" s="1">
        <v>1497.75</v>
      </c>
      <c r="BW25" s="1">
        <v>1488.5</v>
      </c>
      <c r="BX25" s="1">
        <v>1517.75</v>
      </c>
      <c r="BY25" s="1">
        <v>1510.75</v>
      </c>
      <c r="BZ25" s="1">
        <v>1516.25</v>
      </c>
    </row>
    <row r="26" spans="1:254" ht="15.9" customHeight="1">
      <c r="A26" s="65" t="s">
        <v>47</v>
      </c>
      <c r="B26" s="41" t="s">
        <v>48</v>
      </c>
      <c r="C26" s="45">
        <f>_xll.RssMarket("8591","安値")</f>
        <v>6472</v>
      </c>
      <c r="D26" s="16">
        <f t="shared" si="0"/>
        <v>0</v>
      </c>
      <c r="E26" s="21">
        <v>6472</v>
      </c>
      <c r="F26" s="21">
        <v>6384</v>
      </c>
      <c r="G26" s="21">
        <v>6272</v>
      </c>
      <c r="H26" s="21">
        <v>6157</v>
      </c>
      <c r="I26" s="21">
        <v>6300</v>
      </c>
      <c r="J26" s="21">
        <v>6274</v>
      </c>
      <c r="K26" s="21">
        <v>6358</v>
      </c>
      <c r="L26" s="21">
        <v>6361</v>
      </c>
      <c r="M26" s="21">
        <v>6550</v>
      </c>
      <c r="N26" s="21">
        <v>6513</v>
      </c>
      <c r="O26" s="21">
        <v>6583</v>
      </c>
      <c r="P26" s="21">
        <v>6492</v>
      </c>
      <c r="Q26" s="21">
        <v>6212</v>
      </c>
      <c r="R26" s="21">
        <v>6115</v>
      </c>
      <c r="S26" s="21">
        <v>6509</v>
      </c>
      <c r="T26" s="21">
        <v>6321</v>
      </c>
      <c r="U26" s="21">
        <v>6364</v>
      </c>
      <c r="V26" s="21">
        <v>6419</v>
      </c>
      <c r="W26" s="21">
        <v>6311</v>
      </c>
      <c r="X26" s="21">
        <v>6326</v>
      </c>
      <c r="Y26" s="21">
        <v>6417</v>
      </c>
      <c r="Z26" s="21">
        <v>6332</v>
      </c>
      <c r="AA26" s="21">
        <v>6209</v>
      </c>
      <c r="AB26" s="21">
        <v>6187</v>
      </c>
      <c r="AC26" s="21">
        <v>6145</v>
      </c>
      <c r="AD26" s="21">
        <v>6128</v>
      </c>
      <c r="AE26" s="21">
        <v>6077</v>
      </c>
      <c r="AF26" s="21">
        <v>6109</v>
      </c>
      <c r="AG26" s="21">
        <v>6091</v>
      </c>
      <c r="AH26" s="21">
        <v>6144</v>
      </c>
      <c r="AI26" s="21">
        <v>6333</v>
      </c>
      <c r="AJ26" s="21">
        <v>6280</v>
      </c>
      <c r="AK26" s="21">
        <v>6306</v>
      </c>
      <c r="AL26" s="21">
        <v>6375</v>
      </c>
      <c r="AM26" s="21">
        <v>6280</v>
      </c>
      <c r="AN26" s="21">
        <v>6168</v>
      </c>
      <c r="AO26" s="21">
        <v>6142</v>
      </c>
      <c r="AP26" s="21">
        <v>6056</v>
      </c>
      <c r="AQ26" s="21">
        <v>5961</v>
      </c>
      <c r="AR26" s="21">
        <v>6145</v>
      </c>
      <c r="AS26" s="21">
        <v>6014</v>
      </c>
      <c r="AT26" s="21">
        <v>6113</v>
      </c>
      <c r="AU26" s="21">
        <v>6211</v>
      </c>
      <c r="AV26" s="21">
        <v>6215</v>
      </c>
      <c r="AW26" s="21">
        <v>6047</v>
      </c>
      <c r="AX26" s="21">
        <v>6087</v>
      </c>
      <c r="AY26" s="21">
        <v>6042</v>
      </c>
      <c r="AZ26" s="21">
        <v>6156</v>
      </c>
      <c r="BA26" s="21">
        <v>6187</v>
      </c>
      <c r="BB26" s="21">
        <v>6156</v>
      </c>
      <c r="BC26" s="21">
        <v>6210</v>
      </c>
      <c r="BD26" s="21">
        <v>5960</v>
      </c>
      <c r="BE26" s="21">
        <v>5797</v>
      </c>
      <c r="BF26" s="21">
        <v>5716</v>
      </c>
      <c r="BG26" s="21">
        <v>5724</v>
      </c>
      <c r="BH26" s="21">
        <v>5782</v>
      </c>
      <c r="BI26" s="21">
        <v>5875</v>
      </c>
      <c r="BJ26" s="21">
        <v>5801</v>
      </c>
      <c r="BK26" s="21">
        <v>5338</v>
      </c>
      <c r="BL26" s="21">
        <v>5247</v>
      </c>
      <c r="BM26" s="1">
        <v>5181</v>
      </c>
      <c r="BN26" s="1">
        <v>5164</v>
      </c>
      <c r="BO26" s="1">
        <v>5112</v>
      </c>
      <c r="BP26" s="1">
        <v>5261</v>
      </c>
      <c r="BQ26" s="1">
        <v>4768</v>
      </c>
      <c r="BR26" s="1">
        <v>4805</v>
      </c>
      <c r="BS26" s="1">
        <v>4811</v>
      </c>
      <c r="BT26" s="1">
        <v>4881</v>
      </c>
      <c r="BU26" s="1">
        <v>4947</v>
      </c>
      <c r="BV26" s="1">
        <v>5005</v>
      </c>
      <c r="BW26" s="1">
        <v>4978</v>
      </c>
      <c r="BX26" s="1">
        <v>5052</v>
      </c>
      <c r="BY26" s="1">
        <v>5015</v>
      </c>
      <c r="BZ26" s="1">
        <v>4891</v>
      </c>
    </row>
    <row r="27" spans="1:254" ht="15.9" customHeight="1">
      <c r="A27" s="65" t="s">
        <v>49</v>
      </c>
      <c r="B27" s="41" t="s">
        <v>50</v>
      </c>
      <c r="C27" s="45">
        <f>_xll.RssMarket("3401","安値")</f>
        <v>1631</v>
      </c>
      <c r="D27" s="16">
        <f t="shared" si="0"/>
        <v>0</v>
      </c>
      <c r="E27" s="21">
        <v>1631</v>
      </c>
      <c r="F27" s="21">
        <v>1612</v>
      </c>
      <c r="G27" s="21">
        <v>1600</v>
      </c>
      <c r="H27" s="21">
        <v>1567</v>
      </c>
      <c r="I27" s="21">
        <v>1627</v>
      </c>
      <c r="J27" s="21">
        <v>1652</v>
      </c>
      <c r="K27" s="21">
        <v>1656.5</v>
      </c>
      <c r="L27" s="21">
        <v>1681</v>
      </c>
      <c r="M27" s="21">
        <v>1707</v>
      </c>
      <c r="N27" s="21">
        <v>1682.5</v>
      </c>
      <c r="O27" s="21">
        <v>1701</v>
      </c>
      <c r="P27" s="21">
        <v>1699</v>
      </c>
      <c r="Q27" s="21">
        <v>1698.5</v>
      </c>
      <c r="R27" s="21">
        <v>1666</v>
      </c>
      <c r="S27" s="21">
        <v>1672</v>
      </c>
      <c r="T27" s="21">
        <v>1654</v>
      </c>
      <c r="U27" s="21">
        <v>1641</v>
      </c>
      <c r="V27" s="21">
        <v>1655</v>
      </c>
      <c r="W27" s="21">
        <v>1677</v>
      </c>
      <c r="X27" s="21">
        <v>1717</v>
      </c>
      <c r="Y27" s="21">
        <v>1710.5</v>
      </c>
      <c r="Z27" s="21">
        <v>1715.5</v>
      </c>
      <c r="AA27" s="21">
        <v>1654.5</v>
      </c>
      <c r="AB27" s="21">
        <v>1628</v>
      </c>
      <c r="AC27" s="21">
        <v>1615.5</v>
      </c>
      <c r="AD27" s="21">
        <v>1615.5</v>
      </c>
      <c r="AE27" s="21">
        <v>1617.5</v>
      </c>
      <c r="AF27" s="21">
        <v>1621.5</v>
      </c>
      <c r="AG27" s="21">
        <v>1600</v>
      </c>
      <c r="AH27" s="21">
        <v>1578.5</v>
      </c>
      <c r="AI27" s="21">
        <v>1587.5</v>
      </c>
      <c r="AJ27" s="21">
        <v>1591</v>
      </c>
      <c r="AK27" s="21">
        <v>1594.5</v>
      </c>
      <c r="AL27" s="21">
        <v>1620.5</v>
      </c>
      <c r="AM27" s="21">
        <v>1628</v>
      </c>
      <c r="AN27" s="21">
        <v>1625.5</v>
      </c>
      <c r="AO27" s="21">
        <v>1654.5</v>
      </c>
      <c r="AP27" s="21">
        <v>1625</v>
      </c>
      <c r="AQ27" s="21">
        <v>1581.5</v>
      </c>
      <c r="AR27" s="21">
        <v>1612</v>
      </c>
      <c r="AS27" s="21">
        <v>1564.5</v>
      </c>
      <c r="AT27" s="21">
        <v>1605</v>
      </c>
      <c r="AU27" s="21">
        <v>1601.5</v>
      </c>
      <c r="AV27" s="21">
        <v>1608</v>
      </c>
      <c r="AW27" s="21">
        <v>1590</v>
      </c>
      <c r="AX27" s="21">
        <v>1607.5</v>
      </c>
      <c r="AY27" s="21">
        <v>1585.5</v>
      </c>
      <c r="AZ27" s="21">
        <v>1601.5</v>
      </c>
      <c r="BA27" s="21">
        <v>1601.5</v>
      </c>
      <c r="BB27" s="21">
        <v>1561.5</v>
      </c>
      <c r="BC27" s="21">
        <v>1596.5</v>
      </c>
      <c r="BD27" s="21">
        <v>1594</v>
      </c>
      <c r="BE27" s="21">
        <v>1626</v>
      </c>
      <c r="BF27" s="21">
        <v>1611</v>
      </c>
      <c r="BG27" s="21">
        <v>1642.5</v>
      </c>
      <c r="BH27" s="21">
        <v>1717</v>
      </c>
      <c r="BI27" s="21">
        <v>1653</v>
      </c>
      <c r="BJ27" s="21">
        <v>1599</v>
      </c>
      <c r="BK27" s="21">
        <v>1556.5</v>
      </c>
      <c r="BL27" s="21">
        <v>1550</v>
      </c>
      <c r="BM27" s="1">
        <v>1573.5</v>
      </c>
      <c r="BN27" s="1">
        <v>1545.5</v>
      </c>
      <c r="BO27" s="1">
        <v>1543</v>
      </c>
      <c r="BP27" s="1">
        <v>1555.5</v>
      </c>
      <c r="BQ27" s="1">
        <v>1522.5</v>
      </c>
      <c r="BR27" s="1">
        <v>1531.5</v>
      </c>
      <c r="BS27" s="1">
        <v>1516.5</v>
      </c>
      <c r="BT27" s="1">
        <v>1576</v>
      </c>
      <c r="BU27" s="1">
        <v>1604</v>
      </c>
      <c r="BV27" s="1">
        <v>1626.5</v>
      </c>
      <c r="BW27" s="1">
        <v>1639.5</v>
      </c>
      <c r="BX27" s="1">
        <v>1621</v>
      </c>
      <c r="BY27" s="1">
        <v>1623</v>
      </c>
      <c r="BZ27" s="1">
        <v>1603</v>
      </c>
    </row>
    <row r="28" spans="1:254" ht="15.9" customHeight="1">
      <c r="A28" s="65" t="s">
        <v>51</v>
      </c>
      <c r="B28" s="41" t="s">
        <v>52</v>
      </c>
      <c r="C28" s="45">
        <f>_xll.RssMarket("3436","安値")</f>
        <v>3427</v>
      </c>
      <c r="D28" s="16">
        <f t="shared" si="0"/>
        <v>0</v>
      </c>
      <c r="E28" s="21">
        <v>3427</v>
      </c>
      <c r="F28" s="21">
        <v>3681</v>
      </c>
      <c r="G28" s="21">
        <v>6272</v>
      </c>
      <c r="H28" s="21">
        <v>6157</v>
      </c>
      <c r="I28" s="21">
        <v>6300</v>
      </c>
      <c r="J28" s="21">
        <v>6274</v>
      </c>
      <c r="K28" s="21">
        <v>6358</v>
      </c>
      <c r="L28" s="21">
        <v>6361</v>
      </c>
      <c r="M28" s="21">
        <v>6550</v>
      </c>
      <c r="N28" s="21">
        <v>3552</v>
      </c>
      <c r="O28" s="21">
        <v>6583</v>
      </c>
      <c r="P28" s="21">
        <v>6492</v>
      </c>
      <c r="Q28" s="21">
        <v>6212</v>
      </c>
      <c r="R28" s="21">
        <v>6115</v>
      </c>
      <c r="S28" s="21">
        <v>6509</v>
      </c>
      <c r="T28" s="21">
        <v>6321</v>
      </c>
      <c r="U28" s="21">
        <v>6364</v>
      </c>
      <c r="V28" s="21">
        <v>6419</v>
      </c>
      <c r="W28" s="21">
        <v>6311</v>
      </c>
      <c r="X28" s="21">
        <v>6326</v>
      </c>
      <c r="Y28" s="21">
        <v>6417</v>
      </c>
      <c r="Z28" s="21">
        <v>6332</v>
      </c>
      <c r="AA28" s="21">
        <v>6209</v>
      </c>
      <c r="AB28" s="21">
        <v>6187</v>
      </c>
      <c r="AC28" s="21">
        <v>6145</v>
      </c>
      <c r="AD28" s="21">
        <v>6128</v>
      </c>
      <c r="AE28" s="21">
        <v>6077</v>
      </c>
      <c r="AF28" s="21">
        <v>6109</v>
      </c>
      <c r="AG28" s="21">
        <v>6091</v>
      </c>
      <c r="AH28" s="21">
        <v>6144</v>
      </c>
      <c r="AI28" s="21">
        <v>6333</v>
      </c>
      <c r="AJ28" s="21">
        <v>6280</v>
      </c>
      <c r="AK28" s="21">
        <v>6306</v>
      </c>
      <c r="AL28" s="21">
        <v>6375</v>
      </c>
      <c r="AM28" s="21">
        <v>6280</v>
      </c>
      <c r="AN28" s="21">
        <v>6168</v>
      </c>
      <c r="AO28" s="21">
        <v>6142</v>
      </c>
      <c r="AP28" s="21">
        <v>6056</v>
      </c>
      <c r="AQ28" s="21">
        <v>5961</v>
      </c>
      <c r="AR28" s="21">
        <v>6145</v>
      </c>
      <c r="AS28" s="21">
        <v>6014</v>
      </c>
      <c r="AT28" s="21">
        <v>6113</v>
      </c>
      <c r="AU28" s="21">
        <v>6211</v>
      </c>
      <c r="AV28" s="21">
        <v>6215</v>
      </c>
      <c r="AW28" s="21">
        <v>6047</v>
      </c>
      <c r="AX28" s="21">
        <v>6087</v>
      </c>
      <c r="AY28" s="21">
        <v>6042</v>
      </c>
      <c r="AZ28" s="21">
        <v>6156</v>
      </c>
      <c r="BA28" s="21">
        <v>6187</v>
      </c>
      <c r="BB28" s="21">
        <v>6156</v>
      </c>
      <c r="BC28" s="21">
        <v>6210</v>
      </c>
      <c r="BD28" s="21">
        <v>5960</v>
      </c>
      <c r="BE28" s="21">
        <v>5797</v>
      </c>
      <c r="BF28" s="21">
        <v>5716</v>
      </c>
      <c r="BG28" s="21">
        <v>5724</v>
      </c>
      <c r="BH28" s="21">
        <v>5782</v>
      </c>
      <c r="BI28" s="21">
        <v>5875</v>
      </c>
      <c r="BJ28" s="21">
        <v>5801</v>
      </c>
      <c r="BK28" s="21">
        <v>5338</v>
      </c>
      <c r="BL28" s="21">
        <v>5247</v>
      </c>
      <c r="BM28" s="1">
        <v>5181</v>
      </c>
      <c r="BN28" s="1">
        <v>5164</v>
      </c>
      <c r="BO28" s="1">
        <v>5112</v>
      </c>
      <c r="BP28" s="1">
        <v>5261</v>
      </c>
      <c r="BQ28" s="1">
        <v>4768</v>
      </c>
      <c r="BR28" s="1">
        <v>4805</v>
      </c>
      <c r="BS28" s="1">
        <v>4811</v>
      </c>
      <c r="BT28" s="1">
        <v>4881</v>
      </c>
      <c r="BU28" s="1">
        <v>4947</v>
      </c>
      <c r="BV28" s="1">
        <v>5005</v>
      </c>
      <c r="BW28" s="1">
        <v>4978</v>
      </c>
      <c r="BX28" s="1">
        <v>5052</v>
      </c>
      <c r="BY28" s="1">
        <v>5015</v>
      </c>
      <c r="BZ28" s="1">
        <v>4891</v>
      </c>
    </row>
    <row r="29" spans="1:254" ht="15.9" customHeight="1">
      <c r="A29" s="65" t="s">
        <v>53</v>
      </c>
      <c r="B29" s="41" t="s">
        <v>54</v>
      </c>
      <c r="C29" s="45">
        <f>_xll.RssMarket("5020","安値")</f>
        <v>1271</v>
      </c>
      <c r="D29" s="16">
        <f t="shared" si="0"/>
        <v>0</v>
      </c>
      <c r="E29" s="21">
        <v>1271</v>
      </c>
      <c r="F29" s="21">
        <v>1273.5</v>
      </c>
      <c r="G29" s="21">
        <v>1276.5</v>
      </c>
      <c r="H29" s="21">
        <v>1266.5</v>
      </c>
      <c r="I29" s="21">
        <v>1307</v>
      </c>
      <c r="J29" s="21">
        <v>1301.5</v>
      </c>
      <c r="K29" s="21">
        <v>1296</v>
      </c>
      <c r="L29" s="21">
        <v>1288</v>
      </c>
      <c r="M29" s="21">
        <v>1311.5</v>
      </c>
      <c r="N29" s="21">
        <v>1320</v>
      </c>
      <c r="O29" s="21">
        <v>1316.5</v>
      </c>
      <c r="P29" s="21">
        <v>1286.5</v>
      </c>
      <c r="Q29" s="21">
        <v>1273.5</v>
      </c>
      <c r="R29" s="21">
        <v>1229</v>
      </c>
      <c r="S29" s="21">
        <v>1271</v>
      </c>
      <c r="T29" s="21">
        <v>1249.5</v>
      </c>
      <c r="U29" s="21">
        <v>1244</v>
      </c>
      <c r="V29" s="21">
        <v>1240.5</v>
      </c>
      <c r="W29" s="21">
        <v>1246</v>
      </c>
      <c r="X29" s="21">
        <v>1241.5</v>
      </c>
      <c r="Y29" s="21">
        <v>1245</v>
      </c>
      <c r="Z29" s="21">
        <v>1225</v>
      </c>
      <c r="AA29" s="21">
        <v>1216.5</v>
      </c>
      <c r="AB29" s="21">
        <v>1203</v>
      </c>
      <c r="AC29" s="21">
        <v>1191.5</v>
      </c>
      <c r="AD29" s="21">
        <v>1179.5</v>
      </c>
      <c r="AE29" s="21">
        <v>1182</v>
      </c>
      <c r="AF29" s="21">
        <v>1190</v>
      </c>
      <c r="AG29" s="21">
        <v>1188</v>
      </c>
      <c r="AH29" s="21">
        <v>1199.5</v>
      </c>
      <c r="AI29" s="21">
        <v>1238.5</v>
      </c>
      <c r="AJ29" s="21">
        <v>1249</v>
      </c>
      <c r="AK29" s="21">
        <v>1192.5</v>
      </c>
      <c r="AL29" s="21">
        <v>1220</v>
      </c>
      <c r="AM29" s="21">
        <v>1228.5</v>
      </c>
      <c r="AN29" s="21">
        <v>1219</v>
      </c>
      <c r="AO29" s="21">
        <v>1228</v>
      </c>
      <c r="AP29" s="21">
        <v>1217</v>
      </c>
      <c r="AQ29" s="21">
        <v>1201</v>
      </c>
      <c r="AR29" s="21">
        <v>1202</v>
      </c>
      <c r="AS29" s="21">
        <v>1225.5</v>
      </c>
      <c r="AT29" s="21">
        <v>1271.5</v>
      </c>
      <c r="AU29" s="21">
        <v>1283</v>
      </c>
      <c r="AV29" s="21">
        <v>1305.5</v>
      </c>
      <c r="AW29" s="21">
        <v>1242.5</v>
      </c>
      <c r="AX29" s="21">
        <v>1280.5</v>
      </c>
      <c r="AY29" s="21">
        <v>1279</v>
      </c>
      <c r="AZ29" s="21">
        <v>1290</v>
      </c>
      <c r="BA29" s="21">
        <v>1277</v>
      </c>
      <c r="BB29" s="21">
        <v>1282.5</v>
      </c>
      <c r="BC29" s="21">
        <v>1295.5</v>
      </c>
      <c r="BD29" s="21">
        <v>1305.5</v>
      </c>
      <c r="BE29" s="21">
        <v>1340.5</v>
      </c>
      <c r="BF29" s="21">
        <v>1358</v>
      </c>
      <c r="BG29" s="21">
        <v>1350</v>
      </c>
      <c r="BH29" s="21">
        <v>1266</v>
      </c>
      <c r="BI29" s="21">
        <v>1335.5</v>
      </c>
      <c r="BJ29" s="21">
        <v>1343.5</v>
      </c>
      <c r="BK29" s="21">
        <v>1280.5</v>
      </c>
      <c r="BL29" s="21">
        <v>1266.5</v>
      </c>
      <c r="BM29" s="1">
        <v>1311</v>
      </c>
      <c r="BN29" s="1">
        <v>1278.5</v>
      </c>
      <c r="BO29" s="1">
        <v>1276</v>
      </c>
      <c r="BP29" s="1">
        <v>1285</v>
      </c>
      <c r="BQ29" s="1">
        <v>1257.5</v>
      </c>
      <c r="BR29" s="1">
        <v>1284.5</v>
      </c>
      <c r="BS29" s="1">
        <v>1287</v>
      </c>
      <c r="BT29" s="1">
        <v>1310</v>
      </c>
      <c r="BU29" s="1">
        <v>1325.5</v>
      </c>
      <c r="BV29" s="1">
        <v>1328.5</v>
      </c>
      <c r="BW29" s="1">
        <v>1375</v>
      </c>
      <c r="BX29" s="1">
        <v>1406.5</v>
      </c>
      <c r="BY29" s="1">
        <v>1402.5</v>
      </c>
      <c r="BZ29" s="1">
        <v>1392.5</v>
      </c>
    </row>
    <row r="30" spans="1:254" ht="15.9" customHeight="1">
      <c r="A30" s="65" t="s">
        <v>55</v>
      </c>
      <c r="B30" s="41" t="s">
        <v>56</v>
      </c>
      <c r="C30" s="45">
        <f>_xll.RssMarket("6254","安値")</f>
        <v>4390</v>
      </c>
      <c r="D30" s="16">
        <f t="shared" si="0"/>
        <v>0</v>
      </c>
      <c r="E30" s="21">
        <v>4390</v>
      </c>
      <c r="F30" s="21">
        <v>4240</v>
      </c>
      <c r="G30" s="21">
        <v>3945</v>
      </c>
      <c r="H30" s="21">
        <v>3780</v>
      </c>
      <c r="I30" s="21">
        <v>3755</v>
      </c>
      <c r="J30" s="21">
        <v>3380</v>
      </c>
      <c r="K30" s="21">
        <v>3390</v>
      </c>
      <c r="L30" s="21">
        <v>3680</v>
      </c>
      <c r="M30" s="21">
        <v>4045</v>
      </c>
      <c r="N30" s="21">
        <v>4075</v>
      </c>
      <c r="O30" s="21">
        <v>4185</v>
      </c>
      <c r="P30" s="21">
        <v>4090</v>
      </c>
      <c r="Q30" s="21">
        <v>3820</v>
      </c>
      <c r="R30" s="21">
        <v>3700</v>
      </c>
      <c r="S30" s="21">
        <v>4280</v>
      </c>
      <c r="T30" s="21">
        <v>4155</v>
      </c>
      <c r="U30" s="21">
        <v>4330</v>
      </c>
      <c r="V30" s="21">
        <v>4510</v>
      </c>
      <c r="W30" s="21">
        <v>4235</v>
      </c>
      <c r="X30" s="21">
        <v>4190</v>
      </c>
      <c r="Y30" s="21">
        <v>4360</v>
      </c>
      <c r="Z30" s="21">
        <v>4630</v>
      </c>
      <c r="AA30" s="21">
        <v>4530</v>
      </c>
      <c r="AB30" s="21">
        <v>4665</v>
      </c>
      <c r="AC30" s="21">
        <v>5060</v>
      </c>
      <c r="AD30" s="21">
        <v>4810</v>
      </c>
      <c r="AE30" s="21">
        <v>4435</v>
      </c>
      <c r="AF30" s="21">
        <v>4535</v>
      </c>
      <c r="AG30" s="21">
        <v>4810</v>
      </c>
      <c r="AH30" s="21">
        <v>4675</v>
      </c>
      <c r="AI30" s="21">
        <v>5010</v>
      </c>
      <c r="AJ30" s="21">
        <v>4840</v>
      </c>
      <c r="AK30" s="21">
        <v>4715</v>
      </c>
      <c r="AL30" s="21">
        <v>4940</v>
      </c>
      <c r="AM30" s="21">
        <v>4495</v>
      </c>
      <c r="AN30" s="21">
        <v>4485</v>
      </c>
      <c r="AO30" s="21">
        <v>4525</v>
      </c>
      <c r="AP30" s="21">
        <v>4090</v>
      </c>
      <c r="AQ30" s="21">
        <v>3695</v>
      </c>
      <c r="AR30" s="21">
        <v>3915</v>
      </c>
      <c r="AS30" s="21">
        <v>3905</v>
      </c>
      <c r="AT30" s="21">
        <v>4180</v>
      </c>
      <c r="AU30" s="21">
        <v>4290</v>
      </c>
      <c r="AV30" s="21">
        <v>4245</v>
      </c>
      <c r="AW30" s="21">
        <v>4200</v>
      </c>
      <c r="AX30" s="21">
        <v>4575</v>
      </c>
      <c r="AY30" s="21">
        <v>4485</v>
      </c>
      <c r="AZ30" s="21">
        <v>4625</v>
      </c>
      <c r="BA30" s="21">
        <v>5090</v>
      </c>
      <c r="BB30" s="21">
        <v>4710</v>
      </c>
      <c r="BC30" s="21">
        <v>4475</v>
      </c>
      <c r="BD30" s="21">
        <v>4375</v>
      </c>
      <c r="BE30" s="21">
        <v>4595</v>
      </c>
      <c r="BF30" s="21">
        <v>4710</v>
      </c>
      <c r="BG30" s="21">
        <v>4750</v>
      </c>
      <c r="BH30" s="21">
        <v>4265</v>
      </c>
      <c r="BI30" s="21">
        <v>4260</v>
      </c>
      <c r="BJ30" s="21">
        <v>4415</v>
      </c>
      <c r="BK30" s="21">
        <v>4510</v>
      </c>
      <c r="BL30" s="21">
        <v>4005</v>
      </c>
      <c r="BM30" s="1">
        <v>3900</v>
      </c>
      <c r="BN30" s="1">
        <v>3620</v>
      </c>
      <c r="BO30" s="1">
        <v>3655</v>
      </c>
      <c r="BP30" s="1">
        <v>3665</v>
      </c>
      <c r="BQ30" s="1">
        <v>3620</v>
      </c>
      <c r="BR30" s="1">
        <v>3630</v>
      </c>
      <c r="BS30" s="1">
        <v>3600</v>
      </c>
      <c r="BT30" s="1">
        <v>3660</v>
      </c>
      <c r="BU30" s="1">
        <v>3795</v>
      </c>
      <c r="BV30" s="1">
        <v>3785</v>
      </c>
      <c r="BW30" s="1">
        <v>3660</v>
      </c>
      <c r="BX30" s="1">
        <v>3655</v>
      </c>
      <c r="BY30" s="1">
        <v>3565</v>
      </c>
      <c r="BZ30" s="1">
        <v>3590</v>
      </c>
    </row>
    <row r="31" spans="1:254" ht="15.9" customHeight="1">
      <c r="A31" s="65" t="s">
        <v>57</v>
      </c>
      <c r="B31" s="41" t="s">
        <v>58</v>
      </c>
      <c r="C31" s="45">
        <f>_xll.RssMarket("8309","安値")</f>
        <v>1646</v>
      </c>
      <c r="D31" s="16">
        <f t="shared" si="0"/>
        <v>0</v>
      </c>
      <c r="E31" s="21">
        <v>1646</v>
      </c>
      <c r="F31" s="21">
        <v>1621</v>
      </c>
      <c r="G31" s="21">
        <v>1612</v>
      </c>
      <c r="H31" s="21">
        <v>1573.5</v>
      </c>
      <c r="I31" s="21">
        <v>1645.5</v>
      </c>
      <c r="J31" s="21">
        <v>1659</v>
      </c>
      <c r="K31" s="21">
        <v>1661.5</v>
      </c>
      <c r="L31" s="21">
        <v>1692.25</v>
      </c>
      <c r="M31" s="21">
        <v>1694</v>
      </c>
      <c r="N31" s="21">
        <v>1685</v>
      </c>
      <c r="O31" s="21">
        <v>1686</v>
      </c>
      <c r="P31" s="21">
        <v>1677</v>
      </c>
      <c r="Q31" s="21">
        <v>1616.25</v>
      </c>
      <c r="R31" s="21">
        <v>1590.5</v>
      </c>
      <c r="S31" s="21">
        <v>1665.5</v>
      </c>
      <c r="T31" s="21">
        <v>1635.5</v>
      </c>
      <c r="U31" s="21">
        <v>1643</v>
      </c>
      <c r="V31" s="21">
        <v>1626.25</v>
      </c>
      <c r="W31" s="21">
        <v>1632.75</v>
      </c>
      <c r="X31" s="21">
        <v>1631.25</v>
      </c>
      <c r="Y31" s="21">
        <v>1632.75</v>
      </c>
      <c r="Z31" s="21">
        <v>1588</v>
      </c>
      <c r="AA31" s="21">
        <v>1570.75</v>
      </c>
      <c r="AB31" s="21">
        <v>1538.25</v>
      </c>
      <c r="AC31" s="21">
        <v>1517.75</v>
      </c>
      <c r="AD31" s="21">
        <v>1507.5</v>
      </c>
      <c r="AE31" s="21">
        <v>1485.75</v>
      </c>
      <c r="AF31" s="21">
        <v>1485</v>
      </c>
      <c r="AG31" s="21">
        <v>1477</v>
      </c>
      <c r="AH31" s="21">
        <v>1470.75</v>
      </c>
      <c r="AI31" s="21">
        <v>1512</v>
      </c>
      <c r="AJ31" s="21">
        <v>1497.5</v>
      </c>
      <c r="AK31" s="21">
        <v>1507.5</v>
      </c>
      <c r="AL31" s="21">
        <v>1516.5</v>
      </c>
      <c r="AM31" s="21">
        <v>1500.5</v>
      </c>
      <c r="AN31" s="21">
        <v>1477.75</v>
      </c>
      <c r="AO31" s="21">
        <v>1500.5</v>
      </c>
      <c r="AP31" s="21">
        <v>1478.75</v>
      </c>
      <c r="AQ31" s="21">
        <v>1458</v>
      </c>
      <c r="AR31" s="21">
        <v>1471.75</v>
      </c>
      <c r="AS31" s="21">
        <v>1428.75</v>
      </c>
      <c r="AT31" s="21">
        <v>1451.25</v>
      </c>
      <c r="AU31" s="21">
        <v>1407</v>
      </c>
      <c r="AV31" s="21">
        <v>1394</v>
      </c>
      <c r="AW31" s="21">
        <v>1345</v>
      </c>
      <c r="AX31" s="21">
        <v>1368.5</v>
      </c>
      <c r="AY31" s="21">
        <v>1374.75</v>
      </c>
      <c r="AZ31" s="21">
        <v>1394</v>
      </c>
      <c r="BA31" s="21">
        <v>1393</v>
      </c>
      <c r="BB31" s="21">
        <v>1399</v>
      </c>
      <c r="BC31" s="21">
        <v>1423</v>
      </c>
      <c r="BD31" s="21">
        <v>1394</v>
      </c>
      <c r="BE31" s="21">
        <v>1389.25</v>
      </c>
      <c r="BF31" s="21">
        <v>1363.75</v>
      </c>
      <c r="BG31" s="21">
        <v>1383.25</v>
      </c>
      <c r="BH31" s="21">
        <v>1405.75</v>
      </c>
      <c r="BI31" s="21">
        <v>1382.25</v>
      </c>
      <c r="BJ31" s="21">
        <v>1381.5</v>
      </c>
      <c r="BK31" s="21">
        <v>1345.25</v>
      </c>
      <c r="BL31" s="21">
        <v>1331.5</v>
      </c>
      <c r="BM31" s="1">
        <v>1348.5</v>
      </c>
      <c r="BN31" s="1">
        <v>1300.75</v>
      </c>
      <c r="BO31" s="1">
        <v>1284.75</v>
      </c>
      <c r="BP31" s="1">
        <v>1281</v>
      </c>
      <c r="BQ31" s="1">
        <v>1254.5</v>
      </c>
      <c r="BR31" s="1">
        <v>1272</v>
      </c>
      <c r="BS31" s="1">
        <v>1272.75</v>
      </c>
      <c r="BT31" s="1">
        <v>1283.75</v>
      </c>
      <c r="BU31" s="1">
        <v>1294</v>
      </c>
      <c r="BV31" s="1">
        <v>1326.75</v>
      </c>
      <c r="BW31" s="1">
        <v>1341.25</v>
      </c>
      <c r="BX31" s="1">
        <v>1364.25</v>
      </c>
      <c r="BY31" s="1">
        <v>1352</v>
      </c>
      <c r="BZ31" s="1">
        <v>1335.75</v>
      </c>
    </row>
    <row r="32" spans="1:254" ht="15.9" customHeight="1">
      <c r="A32" s="65" t="s">
        <v>59</v>
      </c>
      <c r="B32" s="41" t="s">
        <v>60</v>
      </c>
      <c r="C32" s="45">
        <f>_xll.RssMarket("3863","安値")</f>
        <v>1251</v>
      </c>
      <c r="D32" s="16">
        <f t="shared" si="0"/>
        <v>0</v>
      </c>
      <c r="E32" s="21">
        <v>1251</v>
      </c>
      <c r="F32" s="21">
        <v>1263</v>
      </c>
      <c r="G32" s="21">
        <v>1318</v>
      </c>
      <c r="H32" s="21">
        <v>1290</v>
      </c>
      <c r="I32" s="21">
        <v>1376</v>
      </c>
      <c r="J32" s="21">
        <v>1422</v>
      </c>
      <c r="K32" s="21">
        <v>1451</v>
      </c>
      <c r="L32" s="21">
        <v>1473</v>
      </c>
      <c r="M32" s="21">
        <v>1490</v>
      </c>
      <c r="N32" s="21">
        <v>1496</v>
      </c>
      <c r="O32" s="21">
        <v>1512</v>
      </c>
      <c r="P32" s="21">
        <v>1490</v>
      </c>
      <c r="Q32" s="21">
        <v>1464</v>
      </c>
      <c r="R32" s="21">
        <v>1442</v>
      </c>
      <c r="S32" s="21">
        <v>1344</v>
      </c>
      <c r="T32" s="21">
        <v>1345</v>
      </c>
      <c r="U32" s="21">
        <v>1319</v>
      </c>
      <c r="V32" s="21">
        <v>1298</v>
      </c>
      <c r="W32" s="21">
        <v>1316</v>
      </c>
      <c r="X32" s="21">
        <v>1334</v>
      </c>
      <c r="Y32" s="21">
        <v>1325</v>
      </c>
      <c r="Z32" s="21">
        <v>1307</v>
      </c>
      <c r="AA32" s="21">
        <v>1306</v>
      </c>
      <c r="AB32" s="21">
        <v>1307</v>
      </c>
      <c r="AC32" s="21">
        <v>1273</v>
      </c>
      <c r="AD32" s="21">
        <v>1264</v>
      </c>
      <c r="AE32" s="21">
        <v>1254</v>
      </c>
      <c r="AF32" s="21">
        <v>1238</v>
      </c>
      <c r="AG32" s="21">
        <v>1201</v>
      </c>
      <c r="AH32" s="21">
        <v>1191</v>
      </c>
      <c r="AI32" s="21">
        <v>1184</v>
      </c>
      <c r="AJ32" s="21">
        <v>1191</v>
      </c>
      <c r="AK32" s="21">
        <v>1163</v>
      </c>
      <c r="AL32" s="21">
        <v>1190</v>
      </c>
      <c r="AM32" s="21">
        <v>1241</v>
      </c>
      <c r="AN32" s="21">
        <v>1219</v>
      </c>
      <c r="AO32" s="21">
        <v>1223</v>
      </c>
      <c r="AP32" s="21">
        <v>1204</v>
      </c>
      <c r="AQ32" s="21">
        <v>1189</v>
      </c>
      <c r="AR32" s="21">
        <v>1207</v>
      </c>
      <c r="AS32" s="21">
        <v>1214</v>
      </c>
      <c r="AT32" s="21">
        <v>1173</v>
      </c>
      <c r="AU32" s="21">
        <v>1145</v>
      </c>
      <c r="AV32" s="21">
        <v>1172</v>
      </c>
      <c r="AW32" s="21">
        <v>1194</v>
      </c>
      <c r="AX32" s="21">
        <v>1259</v>
      </c>
      <c r="AY32" s="21">
        <v>1339</v>
      </c>
      <c r="AZ32" s="21">
        <v>1318</v>
      </c>
      <c r="BA32" s="21">
        <v>1359</v>
      </c>
      <c r="BB32" s="21">
        <v>1353</v>
      </c>
      <c r="BC32" s="21">
        <v>1368</v>
      </c>
      <c r="BD32" s="21">
        <v>1348</v>
      </c>
      <c r="BE32" s="21">
        <v>1428</v>
      </c>
      <c r="BF32" s="21">
        <v>1414</v>
      </c>
      <c r="BG32" s="21">
        <v>1421</v>
      </c>
      <c r="BH32" s="21">
        <v>1456</v>
      </c>
      <c r="BI32" s="21">
        <v>1463</v>
      </c>
      <c r="BJ32" s="21">
        <v>1445</v>
      </c>
      <c r="BK32" s="21">
        <v>1422</v>
      </c>
      <c r="BL32" s="21">
        <v>1399</v>
      </c>
      <c r="BM32" s="1">
        <v>1372</v>
      </c>
      <c r="BN32" s="1">
        <v>1300</v>
      </c>
      <c r="BO32" s="1">
        <v>1247</v>
      </c>
      <c r="BP32" s="1">
        <v>1251</v>
      </c>
      <c r="BQ32" s="1">
        <v>1288</v>
      </c>
      <c r="BR32" s="1">
        <v>1416</v>
      </c>
      <c r="BS32" s="1">
        <v>1332</v>
      </c>
      <c r="BT32" s="1">
        <v>1481</v>
      </c>
      <c r="BU32" s="1">
        <v>1457</v>
      </c>
      <c r="BV32" s="1">
        <v>1437</v>
      </c>
      <c r="BW32" s="1">
        <v>1405</v>
      </c>
      <c r="BX32" s="1">
        <v>1372</v>
      </c>
      <c r="BY32" s="1">
        <v>1332</v>
      </c>
      <c r="BZ32" s="1">
        <v>1311</v>
      </c>
    </row>
    <row r="33" spans="1:254" ht="15.9" customHeight="1">
      <c r="A33" s="65" t="s">
        <v>61</v>
      </c>
      <c r="B33" s="41" t="s">
        <v>62</v>
      </c>
      <c r="C33" s="45">
        <f>_xll.RssMarket("8601","安値")</f>
        <v>1790</v>
      </c>
      <c r="D33" s="16">
        <f t="shared" si="0"/>
        <v>0</v>
      </c>
      <c r="E33" s="21">
        <v>1790</v>
      </c>
      <c r="F33" s="21">
        <v>1782</v>
      </c>
      <c r="G33" s="21">
        <v>1760.5</v>
      </c>
      <c r="H33" s="21">
        <v>1741.5</v>
      </c>
      <c r="I33" s="21">
        <v>1764</v>
      </c>
      <c r="J33" s="21">
        <v>1777.5</v>
      </c>
      <c r="K33" s="21">
        <v>1809.5</v>
      </c>
      <c r="L33" s="21">
        <v>1813</v>
      </c>
      <c r="M33" s="21">
        <v>1856.5</v>
      </c>
      <c r="N33" s="21">
        <v>1842</v>
      </c>
      <c r="O33" s="21">
        <v>1849</v>
      </c>
      <c r="P33" s="21">
        <v>1834</v>
      </c>
      <c r="Q33" s="21">
        <v>1788.5</v>
      </c>
      <c r="R33" s="21">
        <v>1744</v>
      </c>
      <c r="S33" s="21">
        <v>1826.5</v>
      </c>
      <c r="T33" s="21">
        <v>1765.5</v>
      </c>
      <c r="U33" s="21">
        <v>1776</v>
      </c>
      <c r="V33" s="21">
        <v>1738.5</v>
      </c>
      <c r="W33" s="21">
        <v>1717</v>
      </c>
      <c r="X33" s="21">
        <v>1751.5</v>
      </c>
      <c r="Y33" s="21">
        <v>1727</v>
      </c>
      <c r="Z33" s="21">
        <v>1685.5</v>
      </c>
      <c r="AA33" s="21">
        <v>1654</v>
      </c>
      <c r="AB33" s="21">
        <v>1620</v>
      </c>
      <c r="AC33" s="21">
        <v>1600</v>
      </c>
      <c r="AD33" s="21">
        <v>1591.5</v>
      </c>
      <c r="AE33" s="21">
        <v>1581.5</v>
      </c>
      <c r="AF33" s="21">
        <v>1589</v>
      </c>
      <c r="AG33" s="21">
        <v>1572.5</v>
      </c>
      <c r="AH33" s="21">
        <v>1569.5</v>
      </c>
      <c r="AI33" s="21">
        <v>1587.5</v>
      </c>
      <c r="AJ33" s="21">
        <v>1581</v>
      </c>
      <c r="AK33" s="21">
        <v>1588</v>
      </c>
      <c r="AL33" s="21">
        <v>1608.5</v>
      </c>
      <c r="AM33" s="21">
        <v>1593</v>
      </c>
      <c r="AN33" s="21">
        <v>1568</v>
      </c>
      <c r="AO33" s="21">
        <v>1591.5</v>
      </c>
      <c r="AP33" s="21">
        <v>1546.5</v>
      </c>
      <c r="AQ33" s="21">
        <v>1518</v>
      </c>
      <c r="AR33" s="21">
        <v>1548.5</v>
      </c>
      <c r="AS33" s="21">
        <v>1516.5</v>
      </c>
      <c r="AT33" s="21">
        <v>1542</v>
      </c>
      <c r="AU33" s="21">
        <v>1522.5</v>
      </c>
      <c r="AV33" s="21">
        <v>1495</v>
      </c>
      <c r="AW33" s="21">
        <v>1478</v>
      </c>
      <c r="AX33" s="21">
        <v>1476.5</v>
      </c>
      <c r="AY33" s="21">
        <v>1446</v>
      </c>
      <c r="AZ33" s="21">
        <v>1442.5</v>
      </c>
      <c r="BA33" s="21">
        <v>1471</v>
      </c>
      <c r="BB33" s="21">
        <v>1482</v>
      </c>
      <c r="BC33" s="21">
        <v>1494</v>
      </c>
      <c r="BD33" s="21">
        <v>1468</v>
      </c>
      <c r="BE33" s="21">
        <v>1479.5</v>
      </c>
      <c r="BF33" s="21">
        <v>1460.5</v>
      </c>
      <c r="BG33" s="21">
        <v>1474</v>
      </c>
      <c r="BH33" s="21">
        <v>1478</v>
      </c>
      <c r="BI33" s="21">
        <v>1464</v>
      </c>
      <c r="BJ33" s="21">
        <v>1453</v>
      </c>
      <c r="BK33" s="21">
        <v>1439</v>
      </c>
      <c r="BL33" s="21">
        <v>1437</v>
      </c>
      <c r="BM33" s="1">
        <v>1452.5</v>
      </c>
      <c r="BN33" s="1">
        <v>1423.5</v>
      </c>
      <c r="BO33" s="1">
        <v>1425</v>
      </c>
      <c r="BP33" s="1">
        <v>1412.5</v>
      </c>
      <c r="BQ33" s="1">
        <v>1480</v>
      </c>
      <c r="BR33" s="1">
        <v>1490</v>
      </c>
      <c r="BS33" s="1">
        <v>1491</v>
      </c>
      <c r="BT33" s="1">
        <v>1498.5</v>
      </c>
      <c r="BU33" s="1">
        <v>1519</v>
      </c>
      <c r="BV33" s="1">
        <v>1517</v>
      </c>
      <c r="BW33" s="1">
        <v>1526</v>
      </c>
      <c r="BX33" s="1">
        <v>1559</v>
      </c>
      <c r="BY33" s="1">
        <v>1565.5</v>
      </c>
      <c r="BZ33" s="1">
        <v>1545.5</v>
      </c>
    </row>
    <row r="34" spans="1:254" ht="15.9" customHeight="1">
      <c r="A34" s="65" t="s">
        <v>63</v>
      </c>
      <c r="B34" s="41" t="s">
        <v>64</v>
      </c>
      <c r="C34" s="45">
        <f>_xll.RssMarket("5233","安値")</f>
        <v>4006</v>
      </c>
      <c r="D34" s="16">
        <f t="shared" si="0"/>
        <v>0</v>
      </c>
      <c r="E34" s="21">
        <v>4006</v>
      </c>
      <c r="F34" s="21">
        <v>4026</v>
      </c>
      <c r="G34" s="21">
        <v>3925</v>
      </c>
      <c r="H34" s="21">
        <v>3915</v>
      </c>
      <c r="I34" s="21">
        <v>4070</v>
      </c>
      <c r="J34" s="21">
        <v>4150</v>
      </c>
      <c r="K34" s="21">
        <v>4160</v>
      </c>
      <c r="L34" s="21">
        <v>4136</v>
      </c>
      <c r="M34" s="21">
        <v>4102</v>
      </c>
      <c r="N34" s="21">
        <v>4116</v>
      </c>
      <c r="O34" s="21">
        <v>4122</v>
      </c>
      <c r="P34" s="21">
        <v>4145</v>
      </c>
      <c r="Q34" s="21">
        <v>3935</v>
      </c>
      <c r="R34" s="21">
        <v>3875</v>
      </c>
      <c r="S34" s="21">
        <v>3952</v>
      </c>
      <c r="T34" s="21">
        <v>3882</v>
      </c>
      <c r="U34" s="21">
        <v>3822</v>
      </c>
      <c r="V34" s="21">
        <v>3883</v>
      </c>
      <c r="W34" s="21">
        <v>3938</v>
      </c>
      <c r="X34" s="21">
        <v>3998</v>
      </c>
      <c r="Y34" s="21">
        <v>4061</v>
      </c>
      <c r="Z34" s="21">
        <v>4074</v>
      </c>
      <c r="AA34" s="21">
        <v>4001</v>
      </c>
      <c r="AB34" s="21">
        <v>3898</v>
      </c>
      <c r="AC34" s="21">
        <v>3866</v>
      </c>
      <c r="AD34" s="21">
        <v>3971</v>
      </c>
      <c r="AE34" s="21">
        <v>4018</v>
      </c>
      <c r="AF34" s="21">
        <v>4080</v>
      </c>
      <c r="AG34" s="21">
        <v>4089</v>
      </c>
      <c r="AH34" s="21">
        <v>4067</v>
      </c>
      <c r="AI34" s="21">
        <v>4124</v>
      </c>
      <c r="AJ34" s="21">
        <v>4190</v>
      </c>
      <c r="AK34" s="21">
        <v>4280</v>
      </c>
      <c r="AL34" s="21">
        <v>4344</v>
      </c>
      <c r="AM34" s="21">
        <v>4302</v>
      </c>
      <c r="AN34" s="21">
        <v>4370</v>
      </c>
      <c r="AO34" s="21">
        <v>4301</v>
      </c>
      <c r="AP34" s="21">
        <v>4097</v>
      </c>
      <c r="AQ34" s="21">
        <v>4000</v>
      </c>
      <c r="AR34" s="21">
        <v>4115</v>
      </c>
      <c r="AS34" s="21">
        <v>4204</v>
      </c>
      <c r="AT34" s="21">
        <v>4322</v>
      </c>
      <c r="AU34" s="21">
        <v>4361</v>
      </c>
      <c r="AV34" s="21">
        <v>4381</v>
      </c>
      <c r="AW34" s="21">
        <v>4291</v>
      </c>
      <c r="AX34" s="21">
        <v>4475</v>
      </c>
      <c r="AY34" s="21">
        <v>4213</v>
      </c>
      <c r="AZ34" s="21">
        <v>4171</v>
      </c>
      <c r="BA34" s="21">
        <v>4048</v>
      </c>
      <c r="BB34" s="21">
        <v>4113</v>
      </c>
      <c r="BC34" s="21">
        <v>4028</v>
      </c>
      <c r="BD34" s="21">
        <v>3918</v>
      </c>
      <c r="BE34" s="21">
        <v>3883</v>
      </c>
      <c r="BF34" s="21">
        <v>3803</v>
      </c>
      <c r="BG34" s="21">
        <v>3959</v>
      </c>
      <c r="BH34" s="21">
        <v>4059</v>
      </c>
      <c r="BI34" s="21">
        <v>4053</v>
      </c>
      <c r="BJ34" s="21">
        <v>3627</v>
      </c>
      <c r="BK34" s="21">
        <v>3541</v>
      </c>
      <c r="BL34" s="21">
        <v>3600</v>
      </c>
      <c r="BM34" s="1">
        <v>3608</v>
      </c>
      <c r="BN34" s="1">
        <v>3518</v>
      </c>
      <c r="BO34" s="1">
        <v>3523</v>
      </c>
      <c r="BP34" s="1">
        <v>3601</v>
      </c>
      <c r="BQ34" s="1">
        <v>3537</v>
      </c>
      <c r="BR34" s="1">
        <v>3519</v>
      </c>
      <c r="BS34" s="1">
        <v>3486</v>
      </c>
      <c r="BT34" s="1">
        <v>3601</v>
      </c>
      <c r="BU34" s="1">
        <v>3657</v>
      </c>
      <c r="BV34" s="1">
        <v>3661</v>
      </c>
      <c r="BW34" s="1">
        <v>3646</v>
      </c>
      <c r="BX34" s="1">
        <v>3665</v>
      </c>
      <c r="BY34" s="1">
        <v>3664</v>
      </c>
      <c r="BZ34" s="1">
        <v>3691</v>
      </c>
    </row>
    <row r="35" spans="1:254" ht="15.9" customHeight="1">
      <c r="A35" s="65" t="s">
        <v>65</v>
      </c>
      <c r="B35" s="41" t="s">
        <v>66</v>
      </c>
      <c r="C35" s="45">
        <f>_xll.RssMarket("8308","安値")</f>
        <v>2280.5</v>
      </c>
      <c r="D35" s="16">
        <f t="shared" si="0"/>
        <v>0</v>
      </c>
      <c r="E35" s="21">
        <v>2280.5</v>
      </c>
      <c r="F35" s="21">
        <v>2183.5</v>
      </c>
      <c r="G35" s="21">
        <v>2191.5</v>
      </c>
      <c r="H35" s="21">
        <v>2166.5</v>
      </c>
      <c r="I35" s="21">
        <v>2158</v>
      </c>
      <c r="J35" s="21">
        <v>2153</v>
      </c>
      <c r="K35" s="21">
        <v>2174.5</v>
      </c>
      <c r="L35" s="21">
        <v>2259.5</v>
      </c>
      <c r="M35" s="21">
        <v>2344</v>
      </c>
      <c r="N35" s="21">
        <v>2318</v>
      </c>
      <c r="O35" s="21">
        <v>2306</v>
      </c>
      <c r="P35" s="21">
        <v>2287.5</v>
      </c>
      <c r="Q35" s="21">
        <v>2219</v>
      </c>
      <c r="R35" s="21">
        <v>2197</v>
      </c>
      <c r="S35" s="21">
        <v>2358.5</v>
      </c>
      <c r="T35" s="21">
        <v>2324.5</v>
      </c>
      <c r="U35" s="21">
        <v>2340</v>
      </c>
      <c r="V35" s="21">
        <v>2316.5</v>
      </c>
      <c r="W35" s="21">
        <v>2332</v>
      </c>
      <c r="X35" s="21">
        <v>2316.5</v>
      </c>
      <c r="Y35" s="21">
        <v>2314.5</v>
      </c>
      <c r="Z35" s="21">
        <v>2231.5</v>
      </c>
      <c r="AA35" s="21">
        <v>2185</v>
      </c>
      <c r="AB35" s="21">
        <v>2145</v>
      </c>
      <c r="AC35" s="21">
        <v>2085</v>
      </c>
      <c r="AD35" s="21">
        <v>2106</v>
      </c>
      <c r="AE35" s="21">
        <v>2074</v>
      </c>
      <c r="AF35" s="21">
        <v>2078.5</v>
      </c>
      <c r="AG35" s="21">
        <v>2098</v>
      </c>
      <c r="AH35" s="21">
        <v>2108.5</v>
      </c>
      <c r="AI35" s="21">
        <v>2162</v>
      </c>
      <c r="AJ35" s="21">
        <v>2150</v>
      </c>
      <c r="AK35" s="21">
        <v>2193</v>
      </c>
      <c r="AL35" s="21">
        <v>2206</v>
      </c>
      <c r="AM35" s="21">
        <v>2160.5</v>
      </c>
      <c r="AN35" s="21">
        <v>2108.5</v>
      </c>
      <c r="AO35" s="21">
        <v>2201</v>
      </c>
      <c r="AP35" s="21">
        <v>2135.5</v>
      </c>
      <c r="AQ35" s="21">
        <v>2089.5</v>
      </c>
      <c r="AR35" s="21">
        <v>2124</v>
      </c>
      <c r="AS35" s="21">
        <v>2043.5</v>
      </c>
      <c r="AT35" s="21">
        <v>2117</v>
      </c>
      <c r="AU35" s="21">
        <v>2049</v>
      </c>
      <c r="AV35" s="21">
        <v>2033.5</v>
      </c>
      <c r="AW35" s="21">
        <v>1958</v>
      </c>
      <c r="AX35" s="21">
        <v>2032</v>
      </c>
      <c r="AY35" s="21">
        <v>2003</v>
      </c>
      <c r="AZ35" s="21">
        <v>2023</v>
      </c>
      <c r="BA35" s="21">
        <v>2096.5</v>
      </c>
      <c r="BB35" s="21">
        <v>2099.5</v>
      </c>
      <c r="BC35" s="21">
        <v>2068</v>
      </c>
      <c r="BD35" s="21">
        <v>2016</v>
      </c>
      <c r="BE35" s="21">
        <v>2033</v>
      </c>
      <c r="BF35" s="21">
        <v>2016.5</v>
      </c>
      <c r="BG35" s="21">
        <v>2006</v>
      </c>
      <c r="BH35" s="21">
        <v>2032.5</v>
      </c>
      <c r="BI35" s="21">
        <v>2022.5</v>
      </c>
      <c r="BJ35" s="21">
        <v>1996.5</v>
      </c>
      <c r="BK35" s="21">
        <v>1933.5</v>
      </c>
      <c r="BL35" s="21">
        <v>1916.5</v>
      </c>
      <c r="BM35" s="1">
        <v>1980</v>
      </c>
      <c r="BN35" s="1">
        <v>1892.5</v>
      </c>
      <c r="BO35" s="1">
        <v>1885</v>
      </c>
      <c r="BP35" s="1">
        <v>1851</v>
      </c>
      <c r="BQ35" s="1">
        <v>1786</v>
      </c>
      <c r="BR35" s="1">
        <v>1810</v>
      </c>
      <c r="BS35" s="1">
        <v>1796</v>
      </c>
      <c r="BT35" s="1">
        <v>1854</v>
      </c>
      <c r="BU35" s="1">
        <v>1905</v>
      </c>
      <c r="BV35" s="1">
        <v>1948.5</v>
      </c>
      <c r="BW35" s="1">
        <v>1926</v>
      </c>
      <c r="BX35" s="1">
        <v>1909.5</v>
      </c>
      <c r="BY35" s="1">
        <v>1904.5</v>
      </c>
      <c r="BZ35" s="1">
        <v>1857.5</v>
      </c>
    </row>
    <row r="36" spans="1:254" ht="15.9" customHeight="1">
      <c r="A36" s="65" t="s">
        <v>67</v>
      </c>
      <c r="B36" s="41" t="s">
        <v>68</v>
      </c>
      <c r="C36" s="45">
        <f>_xll.RssMarket("5938","安値")</f>
        <v>1746</v>
      </c>
      <c r="D36" s="16">
        <f t="shared" si="0"/>
        <v>0</v>
      </c>
      <c r="E36" s="21">
        <v>1746</v>
      </c>
      <c r="F36" s="21">
        <v>1719</v>
      </c>
      <c r="G36" s="21">
        <v>1705</v>
      </c>
      <c r="H36" s="21">
        <v>1689</v>
      </c>
      <c r="I36" s="21">
        <v>1711.5</v>
      </c>
      <c r="J36" s="21">
        <v>1868.5</v>
      </c>
      <c r="K36" s="21">
        <v>1900.5</v>
      </c>
      <c r="L36" s="21">
        <v>1888</v>
      </c>
      <c r="M36" s="21">
        <v>1830</v>
      </c>
      <c r="N36" s="21">
        <v>1807</v>
      </c>
      <c r="O36" s="21">
        <v>1840.5</v>
      </c>
      <c r="P36" s="21">
        <v>1817</v>
      </c>
      <c r="Q36" s="21">
        <v>1856</v>
      </c>
      <c r="R36" s="21">
        <v>1863</v>
      </c>
      <c r="S36" s="21">
        <v>1870</v>
      </c>
      <c r="T36" s="21">
        <v>1843.5</v>
      </c>
      <c r="U36" s="21">
        <v>1828</v>
      </c>
      <c r="V36" s="21">
        <v>1834</v>
      </c>
      <c r="W36" s="21">
        <v>1858</v>
      </c>
      <c r="X36" s="21">
        <v>1866</v>
      </c>
      <c r="Y36" s="21">
        <v>1876</v>
      </c>
      <c r="Z36" s="21">
        <v>1864</v>
      </c>
      <c r="AA36" s="21">
        <v>1832.5</v>
      </c>
      <c r="AB36" s="21">
        <v>1796</v>
      </c>
      <c r="AC36" s="21">
        <v>1784.5</v>
      </c>
      <c r="AD36" s="21">
        <v>1790.5</v>
      </c>
      <c r="AE36" s="21">
        <v>1765.5</v>
      </c>
      <c r="AF36" s="21">
        <v>1754.5</v>
      </c>
      <c r="AG36" s="21">
        <v>1739.5</v>
      </c>
      <c r="AH36" s="21">
        <v>1695</v>
      </c>
      <c r="AI36" s="21">
        <v>1706.5</v>
      </c>
      <c r="AJ36" s="21">
        <v>1723</v>
      </c>
      <c r="AK36" s="21">
        <v>1718.5</v>
      </c>
      <c r="AL36" s="21">
        <v>1703.5</v>
      </c>
      <c r="AM36" s="21">
        <v>1717</v>
      </c>
      <c r="AN36" s="21">
        <v>1727.5</v>
      </c>
      <c r="AO36" s="21">
        <v>1726.5</v>
      </c>
      <c r="AP36" s="21">
        <v>1721</v>
      </c>
      <c r="AQ36" s="21">
        <v>1704</v>
      </c>
      <c r="AR36" s="21">
        <v>1711.5</v>
      </c>
      <c r="AS36" s="21">
        <v>1701</v>
      </c>
      <c r="AT36" s="21">
        <v>1693.5</v>
      </c>
      <c r="AU36" s="21">
        <v>1690.5</v>
      </c>
      <c r="AV36" s="21">
        <v>1677.5</v>
      </c>
      <c r="AW36" s="21">
        <v>1652</v>
      </c>
      <c r="AX36" s="21">
        <v>1686.5</v>
      </c>
      <c r="AY36" s="21">
        <v>1670.5</v>
      </c>
      <c r="AZ36" s="21">
        <v>1648</v>
      </c>
      <c r="BA36" s="21">
        <v>1644</v>
      </c>
      <c r="BB36" s="21">
        <v>1630</v>
      </c>
      <c r="BC36" s="21">
        <v>1635</v>
      </c>
      <c r="BD36" s="21">
        <v>1616.5</v>
      </c>
      <c r="BE36" s="21">
        <v>1646</v>
      </c>
      <c r="BF36" s="21">
        <v>1633.5</v>
      </c>
      <c r="BG36" s="21">
        <v>1655</v>
      </c>
      <c r="BH36" s="21">
        <v>1651</v>
      </c>
      <c r="BI36" s="21">
        <v>1673</v>
      </c>
      <c r="BJ36" s="21">
        <v>1669.5</v>
      </c>
      <c r="BK36" s="21">
        <v>1662.5</v>
      </c>
      <c r="BL36" s="21">
        <v>1669.5</v>
      </c>
      <c r="BM36" s="1">
        <v>1639</v>
      </c>
      <c r="BN36" s="1">
        <v>1605</v>
      </c>
      <c r="BO36" s="1">
        <v>1571.5</v>
      </c>
      <c r="BP36" s="1">
        <v>1604</v>
      </c>
      <c r="BQ36" s="1">
        <v>1595.5</v>
      </c>
      <c r="BR36" s="1">
        <v>1608</v>
      </c>
      <c r="BS36" s="1">
        <v>1585</v>
      </c>
      <c r="BT36" s="1">
        <v>1615</v>
      </c>
      <c r="BU36" s="1">
        <v>1636</v>
      </c>
      <c r="BV36" s="1">
        <v>1628</v>
      </c>
      <c r="BW36" s="1">
        <v>1615</v>
      </c>
      <c r="BX36" s="1">
        <v>1616.5</v>
      </c>
      <c r="BY36" s="1">
        <v>1610</v>
      </c>
      <c r="BZ36" s="1">
        <v>1598</v>
      </c>
    </row>
    <row r="37" spans="1:254" ht="15.9" customHeight="1">
      <c r="A37" s="65" t="s">
        <v>69</v>
      </c>
      <c r="B37" s="41" t="s">
        <v>70</v>
      </c>
      <c r="C37" s="45">
        <f>_xll.RssMarket("8570","安値")</f>
        <v>1541.5</v>
      </c>
      <c r="D37" s="16">
        <f t="shared" si="0"/>
        <v>0</v>
      </c>
      <c r="E37" s="21">
        <v>1541.5</v>
      </c>
      <c r="F37" s="21">
        <v>1528</v>
      </c>
      <c r="G37" s="21">
        <v>1524</v>
      </c>
      <c r="H37" s="21">
        <v>1519.5</v>
      </c>
      <c r="I37" s="21">
        <v>1551.5</v>
      </c>
      <c r="J37" s="21">
        <v>1552.5</v>
      </c>
      <c r="K37" s="21">
        <v>1556</v>
      </c>
      <c r="L37" s="21">
        <v>1563</v>
      </c>
      <c r="M37" s="21">
        <v>1562</v>
      </c>
      <c r="N37" s="21">
        <v>1547</v>
      </c>
      <c r="O37" s="21">
        <v>1558.5</v>
      </c>
      <c r="P37" s="21">
        <v>1556.5</v>
      </c>
      <c r="Q37" s="21">
        <v>1535.5</v>
      </c>
      <c r="R37" s="21">
        <v>1515.5</v>
      </c>
      <c r="S37" s="21">
        <v>1535</v>
      </c>
      <c r="T37" s="21">
        <v>1521</v>
      </c>
      <c r="U37" s="21">
        <v>1535</v>
      </c>
      <c r="V37" s="21">
        <v>1508</v>
      </c>
      <c r="W37" s="21">
        <v>1505</v>
      </c>
      <c r="X37" s="21">
        <v>1515.5</v>
      </c>
      <c r="Y37" s="21">
        <v>1521.5</v>
      </c>
      <c r="Z37" s="21">
        <v>1502</v>
      </c>
      <c r="AA37" s="21">
        <v>1481</v>
      </c>
      <c r="AB37" s="21">
        <v>1474.5</v>
      </c>
      <c r="AC37" s="21">
        <v>1462</v>
      </c>
      <c r="AD37" s="21">
        <v>1463.5</v>
      </c>
      <c r="AE37" s="21">
        <v>1461.5</v>
      </c>
      <c r="AF37" s="21">
        <v>1458</v>
      </c>
      <c r="AG37" s="21">
        <v>1444</v>
      </c>
      <c r="AH37" s="21">
        <v>1443</v>
      </c>
      <c r="AI37" s="21">
        <v>1443</v>
      </c>
      <c r="AJ37" s="21">
        <v>1446.5</v>
      </c>
      <c r="AK37" s="21">
        <v>1466.5</v>
      </c>
      <c r="AL37" s="21">
        <v>1473.5</v>
      </c>
      <c r="AM37" s="21">
        <v>1491.5</v>
      </c>
      <c r="AN37" s="21">
        <v>1485</v>
      </c>
      <c r="AO37" s="21">
        <v>1508</v>
      </c>
      <c r="AP37" s="21">
        <v>1493</v>
      </c>
      <c r="AQ37" s="21">
        <v>1488</v>
      </c>
      <c r="AR37" s="21">
        <v>1486</v>
      </c>
      <c r="AS37" s="21">
        <v>1442</v>
      </c>
      <c r="AT37" s="21">
        <v>1441</v>
      </c>
      <c r="AU37" s="21">
        <v>1427.5</v>
      </c>
      <c r="AV37" s="21">
        <v>1447</v>
      </c>
      <c r="AW37" s="21">
        <v>1413.5</v>
      </c>
      <c r="AX37" s="21">
        <v>1496</v>
      </c>
      <c r="AY37" s="21">
        <v>1506</v>
      </c>
      <c r="AZ37" s="21">
        <v>1526.5</v>
      </c>
      <c r="BA37" s="21">
        <v>1541</v>
      </c>
      <c r="BB37" s="21">
        <v>1550</v>
      </c>
      <c r="BC37" s="21">
        <v>1584</v>
      </c>
      <c r="BD37" s="21">
        <v>1562</v>
      </c>
      <c r="BE37" s="21">
        <v>1563</v>
      </c>
      <c r="BF37" s="21">
        <v>1560</v>
      </c>
      <c r="BG37" s="21">
        <v>1545.5</v>
      </c>
      <c r="BH37" s="21">
        <v>1547.5</v>
      </c>
      <c r="BI37" s="21">
        <v>1554.5</v>
      </c>
      <c r="BJ37" s="21">
        <v>1545.5</v>
      </c>
      <c r="BK37" s="21">
        <v>1515</v>
      </c>
      <c r="BL37" s="21">
        <v>1499.5</v>
      </c>
      <c r="BM37" s="1">
        <v>1551.5</v>
      </c>
      <c r="BN37" s="1">
        <v>1532.5</v>
      </c>
      <c r="BO37" s="1">
        <v>1531</v>
      </c>
      <c r="BP37" s="1">
        <v>1531.5</v>
      </c>
      <c r="BQ37" s="1">
        <v>1521.5</v>
      </c>
      <c r="BR37" s="1">
        <v>1544.5</v>
      </c>
      <c r="BS37" s="1">
        <v>1538</v>
      </c>
      <c r="BT37" s="1">
        <v>1536.5</v>
      </c>
      <c r="BU37" s="1">
        <v>1537</v>
      </c>
      <c r="BV37" s="1">
        <v>1558.5</v>
      </c>
      <c r="BW37" s="1">
        <v>1564.5</v>
      </c>
      <c r="BX37" s="1">
        <v>1609.5</v>
      </c>
      <c r="BY37" s="1">
        <v>1606</v>
      </c>
      <c r="BZ37" s="1">
        <v>1586</v>
      </c>
    </row>
    <row r="38" spans="1:254" ht="15.9" customHeight="1">
      <c r="A38" s="65" t="s">
        <v>71</v>
      </c>
      <c r="B38" s="41" t="s">
        <v>72</v>
      </c>
      <c r="C38" s="45">
        <f>_xll.RssMarket("5406","安値")</f>
        <v>1942</v>
      </c>
      <c r="D38" s="16">
        <f t="shared" ref="D38:D69" si="1">C38-E38</f>
        <v>0</v>
      </c>
      <c r="E38" s="21">
        <v>1942</v>
      </c>
      <c r="F38" s="21">
        <v>1919.5</v>
      </c>
      <c r="G38" s="21">
        <v>2045</v>
      </c>
      <c r="H38" s="21">
        <v>2001.5</v>
      </c>
      <c r="I38" s="21">
        <v>2061</v>
      </c>
      <c r="J38" s="21">
        <v>2043</v>
      </c>
      <c r="K38" s="21">
        <v>2026.5</v>
      </c>
      <c r="L38" s="21">
        <v>1984</v>
      </c>
      <c r="M38" s="21">
        <v>1997.5</v>
      </c>
      <c r="N38" s="21">
        <v>1965</v>
      </c>
      <c r="O38" s="21">
        <v>1977</v>
      </c>
      <c r="P38" s="21">
        <v>1963.5</v>
      </c>
      <c r="Q38" s="21">
        <v>1945</v>
      </c>
      <c r="R38" s="21">
        <v>1912</v>
      </c>
      <c r="S38" s="21">
        <v>1914.5</v>
      </c>
      <c r="T38" s="21">
        <v>1876</v>
      </c>
      <c r="U38" s="21">
        <v>1836.5</v>
      </c>
      <c r="V38" s="21">
        <v>1860</v>
      </c>
      <c r="W38" s="21">
        <v>1868.5</v>
      </c>
      <c r="X38" s="21">
        <v>1880.5</v>
      </c>
      <c r="Y38" s="21">
        <v>1906</v>
      </c>
      <c r="Z38" s="21">
        <v>1906</v>
      </c>
      <c r="AA38" s="21">
        <v>1875</v>
      </c>
      <c r="AB38" s="21">
        <v>1789</v>
      </c>
      <c r="AC38" s="21">
        <v>1841</v>
      </c>
      <c r="AD38" s="21">
        <v>1855.5</v>
      </c>
      <c r="AE38" s="21">
        <v>1858</v>
      </c>
      <c r="AF38" s="21">
        <v>1865.5</v>
      </c>
      <c r="AG38" s="21">
        <v>1868</v>
      </c>
      <c r="AH38" s="21">
        <v>1873.5</v>
      </c>
      <c r="AI38" s="21">
        <v>1891.5</v>
      </c>
      <c r="AJ38" s="21">
        <v>1942.5</v>
      </c>
      <c r="AK38" s="21">
        <v>1965</v>
      </c>
      <c r="AL38" s="21">
        <v>1950.5</v>
      </c>
      <c r="AM38" s="21">
        <v>1973</v>
      </c>
      <c r="AN38" s="21">
        <v>1981.5</v>
      </c>
      <c r="AO38" s="21">
        <v>1953</v>
      </c>
      <c r="AP38" s="21">
        <v>1918.5</v>
      </c>
      <c r="AQ38" s="21">
        <v>1860</v>
      </c>
      <c r="AR38" s="21">
        <v>1888</v>
      </c>
      <c r="AS38" s="21">
        <v>1884</v>
      </c>
      <c r="AT38" s="21">
        <v>1932.5</v>
      </c>
      <c r="AU38" s="21">
        <v>1933</v>
      </c>
      <c r="AV38" s="21">
        <v>1953</v>
      </c>
      <c r="AW38" s="21">
        <v>1929</v>
      </c>
      <c r="AX38" s="21">
        <v>1952.5</v>
      </c>
      <c r="AY38" s="21">
        <v>1933</v>
      </c>
      <c r="AZ38" s="21">
        <v>1965.5</v>
      </c>
      <c r="BA38" s="21">
        <v>1934</v>
      </c>
      <c r="BB38" s="21">
        <v>1930</v>
      </c>
      <c r="BC38" s="21">
        <v>1900.5</v>
      </c>
      <c r="BD38" s="21">
        <v>1857</v>
      </c>
      <c r="BE38" s="21">
        <v>1885</v>
      </c>
      <c r="BF38" s="21">
        <v>1873.5</v>
      </c>
      <c r="BG38" s="21">
        <v>1939.5</v>
      </c>
      <c r="BH38" s="21">
        <v>1961.5</v>
      </c>
      <c r="BI38" s="21">
        <v>1960.5</v>
      </c>
      <c r="BJ38" s="21">
        <v>1955</v>
      </c>
      <c r="BK38" s="21">
        <v>1912</v>
      </c>
      <c r="BL38" s="21">
        <v>1914</v>
      </c>
      <c r="BM38" s="1">
        <v>1974</v>
      </c>
      <c r="BN38" s="1">
        <v>1895</v>
      </c>
      <c r="BO38" s="1">
        <v>1877</v>
      </c>
      <c r="BP38" s="1">
        <v>1870</v>
      </c>
      <c r="BQ38" s="1">
        <v>1840</v>
      </c>
      <c r="BR38" s="1">
        <v>1843</v>
      </c>
      <c r="BS38" s="1">
        <v>1839</v>
      </c>
      <c r="BT38" s="1">
        <v>1870.5</v>
      </c>
      <c r="BU38" s="1">
        <v>1904</v>
      </c>
      <c r="BV38" s="1">
        <v>1927.5</v>
      </c>
      <c r="BW38" s="1">
        <v>1919</v>
      </c>
      <c r="BX38" s="1">
        <v>1941</v>
      </c>
      <c r="BY38" s="1">
        <v>1933.5</v>
      </c>
      <c r="BZ38" s="1">
        <v>1944</v>
      </c>
    </row>
    <row r="39" spans="1:254" ht="15.9" customHeight="1">
      <c r="A39" s="65" t="s">
        <v>73</v>
      </c>
      <c r="B39" s="41" t="s">
        <v>74</v>
      </c>
      <c r="C39" s="45">
        <f>_xll.RssMarket("8593","安値")</f>
        <v>1404</v>
      </c>
      <c r="D39" s="16">
        <f t="shared" si="1"/>
        <v>0</v>
      </c>
      <c r="E39" s="21">
        <v>1404</v>
      </c>
      <c r="F39" s="21">
        <v>1405</v>
      </c>
      <c r="G39" s="21">
        <v>1407</v>
      </c>
      <c r="H39" s="21">
        <v>1404</v>
      </c>
      <c r="I39" s="21">
        <v>1458.5</v>
      </c>
      <c r="J39" s="21">
        <v>1476.5</v>
      </c>
      <c r="K39" s="21">
        <v>1484</v>
      </c>
      <c r="L39" s="21">
        <v>1453</v>
      </c>
      <c r="M39" s="21">
        <v>1444</v>
      </c>
      <c r="N39" s="21">
        <v>1423.5</v>
      </c>
      <c r="O39" s="21">
        <v>1432.5</v>
      </c>
      <c r="P39" s="21">
        <v>1425.5</v>
      </c>
      <c r="Q39" s="21">
        <v>1400</v>
      </c>
      <c r="R39" s="21">
        <v>1380</v>
      </c>
      <c r="S39" s="21">
        <v>1406.5</v>
      </c>
      <c r="T39" s="21">
        <v>1385.5</v>
      </c>
      <c r="U39" s="21">
        <v>1369.5</v>
      </c>
      <c r="V39" s="21">
        <v>1360.5</v>
      </c>
      <c r="W39" s="21">
        <v>1362.5</v>
      </c>
      <c r="X39" s="21">
        <v>1378.5</v>
      </c>
      <c r="Y39" s="21">
        <v>1379</v>
      </c>
      <c r="Z39" s="21">
        <v>1345</v>
      </c>
      <c r="AA39" s="21">
        <v>1346</v>
      </c>
      <c r="AB39" s="21">
        <v>1318.5</v>
      </c>
      <c r="AC39" s="21">
        <v>1301.5</v>
      </c>
      <c r="AD39" s="21">
        <v>1314</v>
      </c>
      <c r="AE39" s="21">
        <v>1310</v>
      </c>
      <c r="AF39" s="21">
        <v>1301</v>
      </c>
      <c r="AG39" s="21">
        <v>1293</v>
      </c>
      <c r="AH39" s="21">
        <v>1290</v>
      </c>
      <c r="AI39" s="21">
        <v>1289</v>
      </c>
      <c r="AJ39" s="21">
        <v>1289</v>
      </c>
      <c r="AK39" s="21">
        <v>1300.5</v>
      </c>
      <c r="AL39" s="21">
        <v>1305</v>
      </c>
      <c r="AM39" s="21">
        <v>1318.5</v>
      </c>
      <c r="AN39" s="21">
        <v>1310</v>
      </c>
      <c r="AO39" s="21">
        <v>1326.5</v>
      </c>
      <c r="AP39" s="21">
        <v>1307</v>
      </c>
      <c r="AQ39" s="21">
        <v>1303</v>
      </c>
      <c r="AR39" s="21">
        <v>1313.5</v>
      </c>
      <c r="AS39" s="21">
        <v>1267</v>
      </c>
      <c r="AT39" s="21">
        <v>1272</v>
      </c>
      <c r="AU39" s="21">
        <v>1254</v>
      </c>
      <c r="AV39" s="21">
        <v>1249</v>
      </c>
      <c r="AW39" s="21">
        <v>1239.5</v>
      </c>
      <c r="AX39" s="21">
        <v>1301.5</v>
      </c>
      <c r="AY39" s="21">
        <v>1300.5</v>
      </c>
      <c r="AZ39" s="21">
        <v>1308</v>
      </c>
      <c r="BA39" s="21">
        <v>1305.5</v>
      </c>
      <c r="BB39" s="21">
        <v>1311</v>
      </c>
      <c r="BC39" s="21">
        <v>1333</v>
      </c>
      <c r="BD39" s="21">
        <v>1333</v>
      </c>
      <c r="BE39" s="21">
        <v>1337</v>
      </c>
      <c r="BF39" s="21">
        <v>1321.5</v>
      </c>
      <c r="BG39" s="21">
        <v>1410.5</v>
      </c>
      <c r="BH39" s="21">
        <v>1418</v>
      </c>
      <c r="BI39" s="21">
        <v>1430.5</v>
      </c>
      <c r="BJ39" s="21">
        <v>1424</v>
      </c>
      <c r="BK39" s="21">
        <v>1401</v>
      </c>
      <c r="BL39" s="21">
        <v>1397.5</v>
      </c>
      <c r="BM39" s="1">
        <v>1393</v>
      </c>
      <c r="BN39" s="1">
        <v>1400</v>
      </c>
      <c r="BO39" s="1">
        <v>1412</v>
      </c>
      <c r="BP39" s="1">
        <v>1421.5</v>
      </c>
      <c r="BQ39" s="1">
        <v>1398</v>
      </c>
      <c r="BR39" s="1">
        <v>1400.5</v>
      </c>
      <c r="BS39" s="1">
        <v>1399</v>
      </c>
      <c r="BT39" s="1">
        <v>1411</v>
      </c>
      <c r="BU39" s="1">
        <v>1432</v>
      </c>
      <c r="BV39" s="1">
        <v>1446</v>
      </c>
      <c r="BW39" s="1">
        <v>1460</v>
      </c>
      <c r="BX39" s="1">
        <v>1466</v>
      </c>
      <c r="BY39" s="1">
        <v>1462</v>
      </c>
      <c r="BZ39" s="1">
        <v>1459.5</v>
      </c>
    </row>
    <row r="40" spans="1:254" ht="15.9" customHeight="1">
      <c r="A40" s="65" t="s">
        <v>75</v>
      </c>
      <c r="B40" s="41" t="s">
        <v>76</v>
      </c>
      <c r="C40" s="45">
        <f>_xll.RssMarket("8604","安値")</f>
        <v>1551</v>
      </c>
      <c r="D40" s="16">
        <f t="shared" si="1"/>
        <v>0</v>
      </c>
      <c r="E40" s="21">
        <v>1551</v>
      </c>
      <c r="F40" s="21">
        <v>1531.5</v>
      </c>
      <c r="G40" s="21">
        <v>1493.5</v>
      </c>
      <c r="H40" s="21">
        <v>1455.5</v>
      </c>
      <c r="I40" s="21">
        <v>1483</v>
      </c>
      <c r="J40" s="21">
        <v>1459</v>
      </c>
      <c r="K40" s="21">
        <v>1545</v>
      </c>
      <c r="L40" s="21">
        <v>1555</v>
      </c>
      <c r="M40" s="21">
        <v>1597</v>
      </c>
      <c r="N40" s="21">
        <v>1591.5</v>
      </c>
      <c r="O40" s="21">
        <v>1591</v>
      </c>
      <c r="P40" s="21">
        <v>1579.5</v>
      </c>
      <c r="Q40" s="21">
        <v>1515.5</v>
      </c>
      <c r="R40" s="21">
        <v>1496.5</v>
      </c>
      <c r="S40" s="21">
        <v>1581.5</v>
      </c>
      <c r="T40" s="21">
        <v>1538.5</v>
      </c>
      <c r="U40" s="21">
        <v>1542.5</v>
      </c>
      <c r="V40" s="21">
        <v>1523</v>
      </c>
      <c r="W40" s="21">
        <v>1500.5</v>
      </c>
      <c r="X40" s="21">
        <v>1516</v>
      </c>
      <c r="Y40" s="21">
        <v>1504</v>
      </c>
      <c r="Z40" s="21">
        <v>1467</v>
      </c>
      <c r="AA40" s="21">
        <v>1452</v>
      </c>
      <c r="AB40" s="21">
        <v>1436</v>
      </c>
      <c r="AC40" s="21">
        <v>1420</v>
      </c>
      <c r="AD40" s="21">
        <v>1402</v>
      </c>
      <c r="AE40" s="21">
        <v>1396</v>
      </c>
      <c r="AF40" s="21">
        <v>1415.5</v>
      </c>
      <c r="AG40" s="21">
        <v>1400.5</v>
      </c>
      <c r="AH40" s="21">
        <v>1396</v>
      </c>
      <c r="AI40" s="21">
        <v>1401</v>
      </c>
      <c r="AJ40" s="21">
        <v>1403</v>
      </c>
      <c r="AK40" s="21">
        <v>1397.5</v>
      </c>
      <c r="AL40" s="21">
        <v>1417</v>
      </c>
      <c r="AM40" s="21">
        <v>1428.5</v>
      </c>
      <c r="AN40" s="21">
        <v>1371.5</v>
      </c>
      <c r="AO40" s="21">
        <v>1399.5</v>
      </c>
      <c r="AP40" s="21">
        <v>1351</v>
      </c>
      <c r="AQ40" s="21">
        <v>1333.5</v>
      </c>
      <c r="AR40" s="21">
        <v>1377</v>
      </c>
      <c r="AS40" s="21">
        <v>1328.5</v>
      </c>
      <c r="AT40" s="21">
        <v>1360.5</v>
      </c>
      <c r="AU40" s="21">
        <v>1336.5</v>
      </c>
      <c r="AV40" s="21">
        <v>1321.5</v>
      </c>
      <c r="AW40" s="21">
        <v>1285</v>
      </c>
      <c r="AX40" s="21">
        <v>1260.5</v>
      </c>
      <c r="AY40" s="21">
        <v>1237</v>
      </c>
      <c r="AZ40" s="21">
        <v>1247.5</v>
      </c>
      <c r="BA40" s="21">
        <v>1264.5</v>
      </c>
      <c r="BB40" s="21">
        <v>1287</v>
      </c>
      <c r="BC40" s="21">
        <v>1263.5</v>
      </c>
      <c r="BD40" s="21">
        <v>1239.5</v>
      </c>
      <c r="BE40" s="21">
        <v>1256</v>
      </c>
      <c r="BF40" s="21">
        <v>1248</v>
      </c>
      <c r="BG40" s="21">
        <v>1256.5</v>
      </c>
      <c r="BH40" s="21">
        <v>1259</v>
      </c>
      <c r="BI40" s="21">
        <v>1242.5</v>
      </c>
      <c r="BJ40" s="21">
        <v>1219</v>
      </c>
      <c r="BK40" s="21">
        <v>1210.5</v>
      </c>
      <c r="BL40" s="21">
        <v>1213.5</v>
      </c>
      <c r="BM40" s="1">
        <v>1224.5</v>
      </c>
      <c r="BN40" s="1">
        <v>1214</v>
      </c>
      <c r="BO40" s="1">
        <v>1236</v>
      </c>
      <c r="BP40" s="1">
        <v>1248</v>
      </c>
      <c r="BQ40" s="1">
        <v>1227</v>
      </c>
      <c r="BR40" s="1">
        <v>1306</v>
      </c>
      <c r="BS40" s="1">
        <v>1315.5</v>
      </c>
      <c r="BT40" s="1">
        <v>1325</v>
      </c>
      <c r="BU40" s="1">
        <v>1334.5</v>
      </c>
      <c r="BV40" s="1">
        <v>1333.5</v>
      </c>
      <c r="BW40" s="1">
        <v>1329.5</v>
      </c>
      <c r="BX40" s="1">
        <v>1382</v>
      </c>
      <c r="BY40" s="1">
        <v>1351</v>
      </c>
      <c r="BZ40" s="1">
        <v>1316.5</v>
      </c>
    </row>
    <row r="41" spans="1:254" ht="15.9" customHeight="1">
      <c r="A41" s="65" t="s">
        <v>77</v>
      </c>
      <c r="B41" s="41" t="s">
        <v>78</v>
      </c>
      <c r="C41" s="45">
        <f>_xll.RssMarket("3861","安値")</f>
        <v>857.8</v>
      </c>
      <c r="D41" s="16">
        <f t="shared" si="1"/>
        <v>0</v>
      </c>
      <c r="E41" s="21">
        <v>857.8</v>
      </c>
      <c r="F41" s="21">
        <v>842.5</v>
      </c>
      <c r="G41" s="21">
        <v>864.3</v>
      </c>
      <c r="H41" s="21">
        <v>851</v>
      </c>
      <c r="I41" s="21">
        <v>873.6</v>
      </c>
      <c r="J41" s="21">
        <v>879.1</v>
      </c>
      <c r="K41" s="21">
        <v>877.5</v>
      </c>
      <c r="L41" s="21">
        <v>873.1</v>
      </c>
      <c r="M41" s="21">
        <v>869.9</v>
      </c>
      <c r="N41" s="21">
        <v>853</v>
      </c>
      <c r="O41" s="21">
        <v>861</v>
      </c>
      <c r="P41" s="21">
        <v>848.8</v>
      </c>
      <c r="Q41" s="21">
        <v>844</v>
      </c>
      <c r="R41" s="21">
        <v>836.2</v>
      </c>
      <c r="S41" s="21">
        <v>821</v>
      </c>
      <c r="T41" s="21">
        <v>814.2</v>
      </c>
      <c r="U41" s="21">
        <v>814.5</v>
      </c>
      <c r="V41" s="21">
        <v>815</v>
      </c>
      <c r="W41" s="21">
        <v>820.2</v>
      </c>
      <c r="X41" s="21">
        <v>825</v>
      </c>
      <c r="Y41" s="21">
        <v>821.5</v>
      </c>
      <c r="Z41" s="21">
        <v>816</v>
      </c>
      <c r="AA41" s="21">
        <v>813.8</v>
      </c>
      <c r="AB41" s="21">
        <v>802.5</v>
      </c>
      <c r="AC41" s="21">
        <v>790.5</v>
      </c>
      <c r="AD41" s="21">
        <v>795.4</v>
      </c>
      <c r="AE41" s="21">
        <v>790.7</v>
      </c>
      <c r="AF41" s="21">
        <v>782.4</v>
      </c>
      <c r="AG41" s="21">
        <v>778.1</v>
      </c>
      <c r="AH41" s="21">
        <v>771.3</v>
      </c>
      <c r="AI41" s="21">
        <v>785</v>
      </c>
      <c r="AJ41" s="21">
        <v>789.6</v>
      </c>
      <c r="AK41" s="21">
        <v>787.6</v>
      </c>
      <c r="AL41" s="21">
        <v>797.6</v>
      </c>
      <c r="AM41" s="21">
        <v>796.8</v>
      </c>
      <c r="AN41" s="21">
        <v>787.2</v>
      </c>
      <c r="AO41" s="21">
        <v>797.3</v>
      </c>
      <c r="AP41" s="21">
        <v>783.7</v>
      </c>
      <c r="AQ41" s="21">
        <v>776.7</v>
      </c>
      <c r="AR41" s="21">
        <v>770.2</v>
      </c>
      <c r="AS41" s="21">
        <v>770.5</v>
      </c>
      <c r="AT41" s="21">
        <v>768.8</v>
      </c>
      <c r="AU41" s="21">
        <v>774</v>
      </c>
      <c r="AV41" s="21">
        <v>766.6</v>
      </c>
      <c r="AW41" s="21">
        <v>754.5</v>
      </c>
      <c r="AX41" s="21">
        <v>779.6</v>
      </c>
      <c r="AY41" s="21">
        <v>785.5</v>
      </c>
      <c r="AZ41" s="21">
        <v>768.6</v>
      </c>
      <c r="BA41" s="21">
        <v>771</v>
      </c>
      <c r="BB41" s="21">
        <v>777.1</v>
      </c>
      <c r="BC41" s="21">
        <v>793.2</v>
      </c>
      <c r="BD41" s="21">
        <v>799</v>
      </c>
      <c r="BE41" s="21">
        <v>809.1</v>
      </c>
      <c r="BF41" s="21">
        <v>810</v>
      </c>
      <c r="BG41" s="21">
        <v>805.7</v>
      </c>
      <c r="BH41" s="21">
        <v>833.7</v>
      </c>
      <c r="BI41" s="21">
        <v>830.9</v>
      </c>
      <c r="BJ41" s="21">
        <v>820</v>
      </c>
      <c r="BK41" s="21">
        <v>817.6</v>
      </c>
      <c r="BL41" s="21">
        <v>826.9</v>
      </c>
      <c r="BM41" s="1">
        <v>821.5</v>
      </c>
      <c r="BN41" s="1">
        <v>818.2</v>
      </c>
      <c r="BO41" s="1">
        <v>813.3</v>
      </c>
      <c r="BP41" s="1">
        <v>815.2</v>
      </c>
      <c r="BQ41" s="1">
        <v>815.2</v>
      </c>
      <c r="BR41" s="1">
        <v>818.8</v>
      </c>
      <c r="BS41" s="1">
        <v>815</v>
      </c>
      <c r="BT41" s="1">
        <v>833.6</v>
      </c>
      <c r="BU41" s="1">
        <v>835.7</v>
      </c>
      <c r="BV41" s="1">
        <v>839.5</v>
      </c>
      <c r="BW41" s="1">
        <v>842.1</v>
      </c>
      <c r="BX41" s="1">
        <v>848</v>
      </c>
      <c r="BY41" s="1">
        <v>844.2</v>
      </c>
      <c r="BZ41" s="1">
        <v>850</v>
      </c>
    </row>
    <row r="42" spans="1:254" ht="15.9" customHeight="1">
      <c r="A42" s="65" t="s">
        <v>79</v>
      </c>
      <c r="B42" s="41" t="s">
        <v>80</v>
      </c>
      <c r="C42" s="45">
        <f>_xll.RssMarket("5947","安値")</f>
        <v>3496</v>
      </c>
      <c r="D42" s="16">
        <f t="shared" si="1"/>
        <v>0</v>
      </c>
      <c r="E42" s="21">
        <v>3496</v>
      </c>
      <c r="F42" s="21">
        <v>3463</v>
      </c>
      <c r="G42" s="21">
        <v>3480</v>
      </c>
      <c r="H42" s="21">
        <v>3517</v>
      </c>
      <c r="I42" s="21">
        <v>3580</v>
      </c>
      <c r="J42" s="21">
        <v>3722</v>
      </c>
      <c r="K42" s="21">
        <v>3704</v>
      </c>
      <c r="L42" s="21">
        <v>3660</v>
      </c>
      <c r="M42" s="21">
        <v>3557</v>
      </c>
      <c r="N42" s="21">
        <v>3528</v>
      </c>
      <c r="O42" s="21">
        <v>3545</v>
      </c>
      <c r="P42" s="21">
        <v>3566</v>
      </c>
      <c r="Q42" s="21">
        <v>3619</v>
      </c>
      <c r="R42" s="21">
        <v>3613</v>
      </c>
      <c r="S42" s="21">
        <v>3571</v>
      </c>
      <c r="T42" s="21">
        <v>3570</v>
      </c>
      <c r="U42" s="21">
        <v>3531</v>
      </c>
      <c r="V42" s="21">
        <v>3543</v>
      </c>
      <c r="W42" s="21">
        <v>3563</v>
      </c>
      <c r="X42" s="21">
        <v>3621</v>
      </c>
      <c r="Y42" s="21">
        <v>3630</v>
      </c>
      <c r="Z42" s="21">
        <v>3589</v>
      </c>
      <c r="AA42" s="21">
        <v>3591</v>
      </c>
      <c r="AB42" s="21">
        <v>3554</v>
      </c>
      <c r="AC42" s="21">
        <v>3550</v>
      </c>
      <c r="AD42" s="21">
        <v>3536</v>
      </c>
      <c r="AE42" s="21">
        <v>3575</v>
      </c>
      <c r="AF42" s="21">
        <v>3553</v>
      </c>
      <c r="AG42" s="21">
        <v>3533</v>
      </c>
      <c r="AH42" s="21">
        <v>3464</v>
      </c>
      <c r="AI42" s="21">
        <v>3470</v>
      </c>
      <c r="AJ42" s="21">
        <v>3423</v>
      </c>
      <c r="AK42" s="21">
        <v>3421</v>
      </c>
      <c r="AL42" s="21">
        <v>3420</v>
      </c>
      <c r="AM42" s="21">
        <v>3428</v>
      </c>
      <c r="AN42" s="21">
        <v>3392</v>
      </c>
      <c r="AO42" s="21">
        <v>3461</v>
      </c>
      <c r="AP42" s="21">
        <v>3483</v>
      </c>
      <c r="AQ42" s="21">
        <v>3500</v>
      </c>
      <c r="AR42" s="21">
        <v>3522</v>
      </c>
      <c r="AS42" s="21">
        <v>3455</v>
      </c>
      <c r="AT42" s="21">
        <v>3450</v>
      </c>
      <c r="AU42" s="21">
        <v>3377</v>
      </c>
      <c r="AV42" s="21">
        <v>3326</v>
      </c>
      <c r="AW42" s="21">
        <v>3251</v>
      </c>
      <c r="AX42" s="21">
        <v>3393</v>
      </c>
      <c r="AY42" s="21">
        <v>3405</v>
      </c>
      <c r="AZ42" s="21">
        <v>3403</v>
      </c>
      <c r="BA42" s="21">
        <v>3420</v>
      </c>
      <c r="BB42" s="21">
        <v>3475</v>
      </c>
      <c r="BC42" s="21">
        <v>3528</v>
      </c>
      <c r="BD42" s="21">
        <v>3522</v>
      </c>
      <c r="BE42" s="21">
        <v>3510</v>
      </c>
      <c r="BF42" s="21">
        <v>3427</v>
      </c>
      <c r="BG42" s="21">
        <v>3394</v>
      </c>
      <c r="BH42" s="21">
        <v>3322</v>
      </c>
      <c r="BI42" s="21">
        <v>3322</v>
      </c>
      <c r="BJ42" s="21">
        <v>3211</v>
      </c>
      <c r="BK42" s="21">
        <v>3553</v>
      </c>
      <c r="BL42" s="21">
        <v>3574</v>
      </c>
      <c r="BM42" s="1">
        <v>3647</v>
      </c>
      <c r="BN42" s="1">
        <v>3553</v>
      </c>
      <c r="BO42" s="1">
        <v>3507</v>
      </c>
      <c r="BP42" s="1">
        <v>3536</v>
      </c>
      <c r="BQ42" s="1">
        <v>3492</v>
      </c>
      <c r="BR42" s="1">
        <v>3481</v>
      </c>
      <c r="BS42" s="1">
        <v>3478</v>
      </c>
      <c r="BT42" s="1">
        <v>3479</v>
      </c>
      <c r="BU42" s="1">
        <v>3486</v>
      </c>
      <c r="BV42" s="1">
        <v>3518</v>
      </c>
      <c r="BW42" s="1">
        <v>3492</v>
      </c>
      <c r="BX42" s="1">
        <v>3523</v>
      </c>
      <c r="BY42" s="1">
        <v>3568</v>
      </c>
      <c r="BZ42" s="1">
        <v>3557</v>
      </c>
    </row>
    <row r="43" spans="1:254" ht="15.9" customHeight="1">
      <c r="A43" s="65" t="s">
        <v>81</v>
      </c>
      <c r="B43" s="41" t="s">
        <v>82</v>
      </c>
      <c r="C43" s="45">
        <f>_xll.RssMarket("8750","安値")</f>
        <v>1891.5</v>
      </c>
      <c r="D43" s="16">
        <f t="shared" si="1"/>
        <v>0</v>
      </c>
      <c r="E43" s="21">
        <v>1891.5</v>
      </c>
      <c r="F43" s="21">
        <v>1880</v>
      </c>
      <c r="G43" s="21">
        <v>1868.5</v>
      </c>
      <c r="H43" s="21">
        <v>1835.5</v>
      </c>
      <c r="I43" s="21">
        <v>1892.5</v>
      </c>
      <c r="J43" s="21">
        <v>1872</v>
      </c>
      <c r="K43" s="21">
        <v>1894.5</v>
      </c>
      <c r="L43" s="21">
        <v>1894.5</v>
      </c>
      <c r="M43" s="21">
        <v>1921.5</v>
      </c>
      <c r="N43" s="21"/>
      <c r="O43" s="21">
        <v>1877.5</v>
      </c>
      <c r="P43" s="21">
        <v>1860</v>
      </c>
      <c r="Q43" s="21">
        <v>1804</v>
      </c>
      <c r="R43" s="21">
        <v>1775.5</v>
      </c>
      <c r="S43" s="21">
        <v>1861.5</v>
      </c>
      <c r="T43" s="21">
        <v>1810.5</v>
      </c>
      <c r="U43" s="21">
        <v>1828</v>
      </c>
      <c r="V43" s="21">
        <v>1845</v>
      </c>
      <c r="W43" s="21">
        <v>1838</v>
      </c>
      <c r="X43" s="21">
        <v>1850.5</v>
      </c>
      <c r="Y43" s="21">
        <v>1853.5</v>
      </c>
      <c r="Z43" s="21">
        <v>1840</v>
      </c>
      <c r="AA43" s="21">
        <v>1819</v>
      </c>
      <c r="AB43" s="21">
        <v>1804</v>
      </c>
      <c r="AC43" s="21">
        <v>1767</v>
      </c>
      <c r="AD43" s="21">
        <v>1743</v>
      </c>
      <c r="AE43" s="21">
        <v>1715</v>
      </c>
      <c r="AF43" s="21">
        <v>1708.5</v>
      </c>
      <c r="AG43" s="21">
        <v>1688</v>
      </c>
      <c r="AH43" s="21">
        <v>1722.5</v>
      </c>
      <c r="AI43" s="21">
        <v>1803.5</v>
      </c>
      <c r="AJ43" s="21">
        <v>1790</v>
      </c>
      <c r="AK43" s="21">
        <v>1800</v>
      </c>
      <c r="AL43" s="21">
        <v>1786.5</v>
      </c>
      <c r="AM43" s="21">
        <v>1788.5</v>
      </c>
      <c r="AN43" s="21">
        <v>1756.5</v>
      </c>
      <c r="AO43" s="21">
        <v>1758.5</v>
      </c>
      <c r="AP43" s="21">
        <v>1734.5</v>
      </c>
      <c r="AQ43" s="21">
        <v>1704</v>
      </c>
      <c r="AR43" s="21">
        <v>1726</v>
      </c>
      <c r="AS43" s="21">
        <v>1623</v>
      </c>
      <c r="AT43" s="21">
        <v>1657</v>
      </c>
      <c r="AU43" s="21">
        <v>1606</v>
      </c>
      <c r="AV43" s="21">
        <v>1626.5</v>
      </c>
      <c r="AW43" s="21">
        <v>1587</v>
      </c>
      <c r="AX43" s="21">
        <v>1605</v>
      </c>
      <c r="AY43" s="21">
        <v>1615</v>
      </c>
      <c r="AZ43" s="21">
        <v>1648.5</v>
      </c>
      <c r="BA43" s="21">
        <v>1640</v>
      </c>
      <c r="BB43" s="21">
        <v>1625.5</v>
      </c>
      <c r="BC43" s="21">
        <v>1632</v>
      </c>
      <c r="BD43" s="21">
        <v>1619</v>
      </c>
      <c r="BE43" s="21">
        <v>1594.5</v>
      </c>
      <c r="BF43" s="21">
        <v>1594</v>
      </c>
      <c r="BG43" s="21">
        <v>1474</v>
      </c>
      <c r="BH43" s="21">
        <v>1479.5</v>
      </c>
      <c r="BI43" s="21">
        <v>1476</v>
      </c>
      <c r="BJ43" s="21">
        <v>1471.5</v>
      </c>
      <c r="BK43" s="21">
        <v>1421.5</v>
      </c>
      <c r="BL43" s="21">
        <v>1416</v>
      </c>
      <c r="BM43" s="1">
        <v>1433</v>
      </c>
      <c r="BN43" s="1">
        <v>1408.5</v>
      </c>
      <c r="BO43" s="1">
        <v>1411</v>
      </c>
      <c r="BP43" s="1">
        <v>1395</v>
      </c>
      <c r="BQ43" s="1">
        <v>1371</v>
      </c>
      <c r="BR43" s="1">
        <v>1396.5</v>
      </c>
      <c r="BS43" s="1">
        <v>1391</v>
      </c>
      <c r="BT43" s="1">
        <v>1424</v>
      </c>
      <c r="BU43" s="1">
        <v>1439</v>
      </c>
      <c r="BV43" s="1">
        <v>1446.5</v>
      </c>
      <c r="BW43" s="1">
        <v>1454</v>
      </c>
      <c r="BX43" s="1">
        <v>1490</v>
      </c>
      <c r="BY43" s="1">
        <v>1481</v>
      </c>
      <c r="BZ43" s="1">
        <v>1476</v>
      </c>
    </row>
    <row r="44" spans="1:254" ht="15.9" customHeight="1">
      <c r="A44" s="65" t="s">
        <v>83</v>
      </c>
      <c r="B44" s="41" t="s">
        <v>84</v>
      </c>
      <c r="C44" s="45">
        <f>_xll.RssMarket("3402","安値")</f>
        <v>1155</v>
      </c>
      <c r="D44" s="16">
        <f t="shared" si="1"/>
        <v>0</v>
      </c>
      <c r="E44" s="21">
        <v>1155</v>
      </c>
      <c r="F44" s="21">
        <v>1150.5</v>
      </c>
      <c r="G44" s="21">
        <v>1127</v>
      </c>
      <c r="H44" s="21">
        <v>1105</v>
      </c>
      <c r="I44" s="21">
        <v>1135.5</v>
      </c>
      <c r="J44" s="21">
        <v>1138.5</v>
      </c>
      <c r="K44" s="21">
        <v>1140.5</v>
      </c>
      <c r="L44" s="21">
        <v>1141</v>
      </c>
      <c r="M44" s="21">
        <v>1160</v>
      </c>
      <c r="N44" s="21">
        <v>1153.5</v>
      </c>
      <c r="O44" s="21">
        <v>1170</v>
      </c>
      <c r="P44" s="21">
        <v>1163.5</v>
      </c>
      <c r="Q44" s="21">
        <v>1153</v>
      </c>
      <c r="R44" s="21">
        <v>1127.5</v>
      </c>
      <c r="S44" s="21">
        <v>1156.5</v>
      </c>
      <c r="T44" s="21">
        <v>1124</v>
      </c>
      <c r="U44" s="21">
        <v>1128.5</v>
      </c>
      <c r="V44" s="21">
        <v>1137</v>
      </c>
      <c r="W44" s="21">
        <v>1139.5</v>
      </c>
      <c r="X44" s="21">
        <v>1146</v>
      </c>
      <c r="Y44" s="21">
        <v>1140</v>
      </c>
      <c r="Z44" s="21">
        <v>1166.5</v>
      </c>
      <c r="AA44" s="21">
        <v>1139</v>
      </c>
      <c r="AB44" s="21">
        <v>1121</v>
      </c>
      <c r="AC44" s="21">
        <v>1113</v>
      </c>
      <c r="AD44" s="21">
        <v>1116</v>
      </c>
      <c r="AE44" s="21">
        <v>1124.5</v>
      </c>
      <c r="AF44" s="21">
        <v>1128.5</v>
      </c>
      <c r="AG44" s="21">
        <v>1152.5</v>
      </c>
      <c r="AH44" s="21">
        <v>1126</v>
      </c>
      <c r="AI44" s="21">
        <v>1136.5</v>
      </c>
      <c r="AJ44" s="21">
        <v>1145</v>
      </c>
      <c r="AK44" s="21">
        <v>1154.5</v>
      </c>
      <c r="AL44" s="21">
        <v>1180</v>
      </c>
      <c r="AM44" s="21">
        <v>1170</v>
      </c>
      <c r="AN44" s="21">
        <v>1172</v>
      </c>
      <c r="AO44" s="21">
        <v>1188.5</v>
      </c>
      <c r="AP44" s="21">
        <v>1126</v>
      </c>
      <c r="AQ44" s="21">
        <v>1097.5</v>
      </c>
      <c r="AR44" s="21">
        <v>1091.5</v>
      </c>
      <c r="AS44" s="21">
        <v>1081.5</v>
      </c>
      <c r="AT44" s="21">
        <v>1092</v>
      </c>
      <c r="AU44" s="21">
        <v>1100</v>
      </c>
      <c r="AV44" s="21">
        <v>1152</v>
      </c>
      <c r="AW44" s="21">
        <v>1107.5</v>
      </c>
      <c r="AX44" s="21">
        <v>1138</v>
      </c>
      <c r="AY44" s="21">
        <v>1116.5</v>
      </c>
      <c r="AZ44" s="21">
        <v>1140.5</v>
      </c>
      <c r="BA44" s="21">
        <v>1099</v>
      </c>
      <c r="BB44" s="21">
        <v>1079.5</v>
      </c>
      <c r="BC44" s="21">
        <v>1084</v>
      </c>
      <c r="BD44" s="21">
        <v>1056</v>
      </c>
      <c r="BE44" s="21">
        <v>1071.5</v>
      </c>
      <c r="BF44" s="21">
        <v>1074.5</v>
      </c>
      <c r="BG44" s="21">
        <v>1142</v>
      </c>
      <c r="BH44" s="21">
        <v>1158</v>
      </c>
      <c r="BI44" s="21">
        <v>1102</v>
      </c>
      <c r="BJ44" s="21">
        <v>1129.5</v>
      </c>
      <c r="BK44" s="21">
        <v>1119</v>
      </c>
      <c r="BL44" s="21">
        <v>1110.5</v>
      </c>
      <c r="BM44" s="1">
        <v>1118.5</v>
      </c>
      <c r="BN44" s="1">
        <v>1104</v>
      </c>
      <c r="BO44" s="1">
        <v>1101.5</v>
      </c>
      <c r="BP44" s="1">
        <v>1123</v>
      </c>
      <c r="BQ44" s="1">
        <v>1094</v>
      </c>
      <c r="BR44" s="1">
        <v>1105</v>
      </c>
      <c r="BS44" s="1">
        <v>1100.5</v>
      </c>
      <c r="BT44" s="1">
        <v>1121</v>
      </c>
      <c r="BU44" s="1">
        <v>1145</v>
      </c>
      <c r="BV44" s="1">
        <v>1145.5</v>
      </c>
      <c r="BW44" s="1">
        <v>1153</v>
      </c>
      <c r="BX44" s="1">
        <v>1143</v>
      </c>
      <c r="BY44" s="1">
        <v>1143.5</v>
      </c>
      <c r="BZ44" s="1">
        <v>1145</v>
      </c>
    </row>
    <row r="45" spans="1:254" ht="15.9" customHeight="1">
      <c r="A45" s="65" t="s">
        <v>85</v>
      </c>
      <c r="B45" s="41" t="s">
        <v>86</v>
      </c>
      <c r="C45" s="45">
        <f>_xll.RssMarket("8306","安値")</f>
        <v>3538</v>
      </c>
      <c r="D45" s="16">
        <f t="shared" si="1"/>
        <v>0</v>
      </c>
      <c r="E45" s="21">
        <v>3538</v>
      </c>
      <c r="F45" s="21">
        <v>3449</v>
      </c>
      <c r="G45" s="21">
        <v>3444</v>
      </c>
      <c r="H45" s="21">
        <v>3426</v>
      </c>
      <c r="I45" s="21">
        <v>3523</v>
      </c>
      <c r="J45" s="21">
        <v>3514</v>
      </c>
      <c r="K45" s="21">
        <v>3560</v>
      </c>
      <c r="L45" s="21">
        <v>3630</v>
      </c>
      <c r="M45" s="21">
        <v>3760</v>
      </c>
      <c r="N45" s="21">
        <v>3676</v>
      </c>
      <c r="O45" s="21">
        <v>3625</v>
      </c>
      <c r="P45" s="21">
        <v>3573</v>
      </c>
      <c r="Q45" s="21">
        <v>3473</v>
      </c>
      <c r="R45" s="21">
        <v>3411</v>
      </c>
      <c r="S45" s="21">
        <v>3642</v>
      </c>
      <c r="T45" s="21">
        <v>3501</v>
      </c>
      <c r="U45" s="21">
        <v>3486</v>
      </c>
      <c r="V45" s="21">
        <v>3410</v>
      </c>
      <c r="W45" s="21">
        <v>3381</v>
      </c>
      <c r="X45" s="21">
        <v>3401</v>
      </c>
      <c r="Y45" s="21">
        <v>3426</v>
      </c>
      <c r="Z45" s="21">
        <v>3294</v>
      </c>
      <c r="AA45" s="21">
        <v>3298</v>
      </c>
      <c r="AB45" s="21">
        <v>3255</v>
      </c>
      <c r="AC45" s="21">
        <v>3215</v>
      </c>
      <c r="AD45" s="21">
        <v>3207</v>
      </c>
      <c r="AE45" s="21">
        <v>3180</v>
      </c>
      <c r="AF45" s="21">
        <v>3220</v>
      </c>
      <c r="AG45" s="21">
        <v>3211</v>
      </c>
      <c r="AH45" s="21">
        <v>3201</v>
      </c>
      <c r="AI45" s="21">
        <v>3265</v>
      </c>
      <c r="AJ45" s="21">
        <v>3239</v>
      </c>
      <c r="AK45" s="21">
        <v>3258</v>
      </c>
      <c r="AL45" s="21">
        <v>3317</v>
      </c>
      <c r="AM45" s="21">
        <v>3260</v>
      </c>
      <c r="AN45" s="21">
        <v>3186</v>
      </c>
      <c r="AO45" s="21">
        <v>3225</v>
      </c>
      <c r="AP45" s="21">
        <v>3129</v>
      </c>
      <c r="AQ45" s="21">
        <v>3080</v>
      </c>
      <c r="AR45" s="21">
        <v>3171</v>
      </c>
      <c r="AS45" s="21">
        <v>3135</v>
      </c>
      <c r="AT45" s="21">
        <v>3202</v>
      </c>
      <c r="AU45" s="21">
        <v>3081</v>
      </c>
      <c r="AV45" s="21">
        <v>3052</v>
      </c>
      <c r="AW45" s="21">
        <v>2972.5</v>
      </c>
      <c r="AX45" s="21">
        <v>2984</v>
      </c>
      <c r="AY45" s="21">
        <v>2964</v>
      </c>
      <c r="AZ45" s="21">
        <v>3017</v>
      </c>
      <c r="BA45" s="21">
        <v>3043</v>
      </c>
      <c r="BB45" s="21">
        <v>3073</v>
      </c>
      <c r="BC45" s="21">
        <v>3067</v>
      </c>
      <c r="BD45" s="21">
        <v>3024</v>
      </c>
      <c r="BE45" s="21">
        <v>3026</v>
      </c>
      <c r="BF45" s="21">
        <v>2973</v>
      </c>
      <c r="BG45" s="21">
        <v>2877.5</v>
      </c>
      <c r="BH45" s="21">
        <v>2875</v>
      </c>
      <c r="BI45" s="21">
        <v>2863</v>
      </c>
      <c r="BJ45" s="21">
        <v>2846</v>
      </c>
      <c r="BK45" s="21">
        <v>2801.5</v>
      </c>
      <c r="BL45" s="21">
        <v>2788</v>
      </c>
      <c r="BM45" s="1">
        <v>2817.5</v>
      </c>
      <c r="BN45" s="1">
        <v>2754</v>
      </c>
      <c r="BO45" s="1">
        <v>2785</v>
      </c>
      <c r="BP45" s="1">
        <v>2796.5</v>
      </c>
      <c r="BQ45" s="1">
        <v>2715</v>
      </c>
      <c r="BR45" s="1">
        <v>2740</v>
      </c>
      <c r="BS45" s="1">
        <v>2728</v>
      </c>
      <c r="BT45" s="1">
        <v>2772</v>
      </c>
      <c r="BU45" s="1">
        <v>2830.5</v>
      </c>
      <c r="BV45" s="1">
        <v>2866</v>
      </c>
      <c r="BW45" s="1">
        <v>2847</v>
      </c>
      <c r="BX45" s="1">
        <v>2932</v>
      </c>
      <c r="BY45" s="1">
        <v>2865</v>
      </c>
      <c r="BZ45" s="1">
        <v>2825</v>
      </c>
    </row>
    <row r="46" spans="1:254" ht="15.9" customHeight="1">
      <c r="A46" s="65" t="s">
        <v>87</v>
      </c>
      <c r="B46" s="41" t="s">
        <v>88</v>
      </c>
      <c r="C46" s="45">
        <f>_xll.RssMarket("5401","安値")</f>
        <v>663.5</v>
      </c>
      <c r="D46" s="16">
        <f t="shared" si="1"/>
        <v>0</v>
      </c>
      <c r="E46" s="21">
        <v>663.5</v>
      </c>
      <c r="F46" s="21">
        <v>655.9</v>
      </c>
      <c r="G46" s="21">
        <v>642.5</v>
      </c>
      <c r="H46" s="21">
        <v>628.20000000000005</v>
      </c>
      <c r="I46" s="21">
        <v>642.70000000000005</v>
      </c>
      <c r="J46" s="21">
        <v>648.70000000000005</v>
      </c>
      <c r="K46" s="21">
        <v>645.6</v>
      </c>
      <c r="L46" s="21">
        <v>641</v>
      </c>
      <c r="M46" s="21">
        <v>622.9</v>
      </c>
      <c r="N46" s="21"/>
      <c r="O46" s="21">
        <v>598.29999999999995</v>
      </c>
      <c r="P46" s="21">
        <v>590.9</v>
      </c>
      <c r="Q46" s="21">
        <v>586.29999999999995</v>
      </c>
      <c r="R46" s="21">
        <v>579.4</v>
      </c>
      <c r="S46" s="21">
        <v>569.5</v>
      </c>
      <c r="T46" s="21">
        <v>559.29999999999995</v>
      </c>
      <c r="U46" s="21">
        <v>553.1</v>
      </c>
      <c r="V46" s="21">
        <v>549.9</v>
      </c>
      <c r="W46" s="21">
        <v>552.1</v>
      </c>
      <c r="X46" s="21">
        <v>554.20000000000005</v>
      </c>
      <c r="Y46" s="21">
        <v>555.6</v>
      </c>
      <c r="Z46" s="21">
        <v>552.29999999999995</v>
      </c>
      <c r="AA46" s="21">
        <v>546.9</v>
      </c>
      <c r="AB46" s="21">
        <v>530.5</v>
      </c>
      <c r="AC46" s="21">
        <v>531</v>
      </c>
      <c r="AD46" s="21">
        <v>536.1</v>
      </c>
      <c r="AE46" s="21">
        <v>541.6</v>
      </c>
      <c r="AF46" s="21">
        <v>539.5</v>
      </c>
      <c r="AG46" s="21">
        <v>545.29999999999995</v>
      </c>
      <c r="AH46" s="21">
        <v>544.6</v>
      </c>
      <c r="AI46" s="21">
        <v>550.1</v>
      </c>
      <c r="AJ46" s="21">
        <v>558</v>
      </c>
      <c r="AK46" s="21">
        <v>558</v>
      </c>
      <c r="AL46" s="21">
        <v>558.29999999999995</v>
      </c>
      <c r="AM46" s="21">
        <v>556.6</v>
      </c>
      <c r="AN46" s="21">
        <v>564.5</v>
      </c>
      <c r="AO46" s="21">
        <v>556.4</v>
      </c>
      <c r="AP46" s="21">
        <v>540.1</v>
      </c>
      <c r="AQ46" s="21">
        <v>531.1</v>
      </c>
      <c r="AR46" s="21">
        <v>535.4</v>
      </c>
      <c r="AS46" s="21">
        <v>533.29999999999995</v>
      </c>
      <c r="AT46" s="21">
        <v>543.5</v>
      </c>
      <c r="AU46" s="21">
        <v>537.9</v>
      </c>
      <c r="AV46" s="21">
        <v>538.1</v>
      </c>
      <c r="AW46" s="21">
        <v>536.4</v>
      </c>
      <c r="AX46" s="21">
        <v>565</v>
      </c>
      <c r="AY46" s="21">
        <v>559.6</v>
      </c>
      <c r="AZ46" s="21">
        <v>556.4</v>
      </c>
      <c r="BA46" s="21">
        <v>550.4</v>
      </c>
      <c r="BB46" s="21">
        <v>547.29999999999995</v>
      </c>
      <c r="BC46" s="21">
        <v>542.5</v>
      </c>
      <c r="BD46" s="21">
        <v>539</v>
      </c>
      <c r="BE46" s="21">
        <v>547.29999999999995</v>
      </c>
      <c r="BF46" s="21">
        <v>548.79999999999995</v>
      </c>
      <c r="BG46" s="21">
        <v>550.20000000000005</v>
      </c>
      <c r="BH46" s="21">
        <v>553.4</v>
      </c>
      <c r="BI46" s="21">
        <v>555.20000000000005</v>
      </c>
      <c r="BJ46" s="21">
        <v>553.4</v>
      </c>
      <c r="BK46" s="21">
        <v>559.79999999999995</v>
      </c>
      <c r="BL46" s="21">
        <v>568.1</v>
      </c>
      <c r="BM46" s="1">
        <v>577.70000000000005</v>
      </c>
      <c r="BN46" s="1">
        <v>566.29999999999995</v>
      </c>
      <c r="BO46" s="1">
        <v>570.70000000000005</v>
      </c>
      <c r="BP46" s="1">
        <v>571.1</v>
      </c>
      <c r="BQ46" s="1">
        <v>568.6</v>
      </c>
      <c r="BR46" s="1">
        <v>571.29999999999995</v>
      </c>
      <c r="BS46" s="1">
        <v>577.6</v>
      </c>
      <c r="BT46" s="1">
        <v>586.79999999999995</v>
      </c>
      <c r="BU46" s="1">
        <v>592.20000000000005</v>
      </c>
      <c r="BV46" s="1">
        <v>595.5</v>
      </c>
      <c r="BW46" s="1">
        <v>590.6</v>
      </c>
      <c r="BX46" s="1">
        <v>594.79999999999995</v>
      </c>
      <c r="BY46" s="1">
        <v>595.1</v>
      </c>
      <c r="BZ46" s="1">
        <v>592</v>
      </c>
    </row>
    <row r="47" spans="1:254" ht="15.9" customHeight="1">
      <c r="A47" s="65" t="s">
        <v>89</v>
      </c>
      <c r="B47" s="41" t="s">
        <v>90</v>
      </c>
      <c r="C47" s="45">
        <f>_xll.RssMarket("8572","安値")</f>
        <v>471.5</v>
      </c>
      <c r="D47" s="16">
        <f t="shared" si="1"/>
        <v>0</v>
      </c>
      <c r="E47" s="21">
        <v>471.5</v>
      </c>
      <c r="F47" s="21">
        <v>473</v>
      </c>
      <c r="G47" s="21">
        <v>469.2</v>
      </c>
      <c r="H47" s="21">
        <v>470.7</v>
      </c>
      <c r="I47" s="21">
        <v>476.3</v>
      </c>
      <c r="J47" s="21">
        <v>482.8</v>
      </c>
      <c r="K47" s="21">
        <v>489.5</v>
      </c>
      <c r="L47" s="21">
        <v>488</v>
      </c>
      <c r="M47" s="21">
        <v>485</v>
      </c>
      <c r="N47" s="21">
        <v>483.5</v>
      </c>
      <c r="O47" s="21">
        <v>487.1</v>
      </c>
      <c r="P47" s="21">
        <v>486.2</v>
      </c>
      <c r="Q47" s="21">
        <v>485.1</v>
      </c>
      <c r="R47" s="21">
        <v>479.3</v>
      </c>
      <c r="S47" s="21">
        <v>485.6</v>
      </c>
      <c r="T47" s="21">
        <v>480.5</v>
      </c>
      <c r="U47" s="21">
        <v>480.5</v>
      </c>
      <c r="V47" s="21">
        <v>480</v>
      </c>
      <c r="W47" s="21">
        <v>480.9</v>
      </c>
      <c r="X47" s="21">
        <v>482.2</v>
      </c>
      <c r="Y47" s="21">
        <v>481</v>
      </c>
      <c r="Z47" s="21">
        <v>470.3</v>
      </c>
      <c r="AA47" s="21">
        <v>464.1</v>
      </c>
      <c r="AB47" s="21">
        <v>455.8</v>
      </c>
      <c r="AC47" s="21">
        <v>450.4</v>
      </c>
      <c r="AD47" s="21">
        <v>452.5</v>
      </c>
      <c r="AE47" s="21">
        <v>451.9</v>
      </c>
      <c r="AF47" s="21">
        <v>444</v>
      </c>
      <c r="AG47" s="21">
        <v>445.1</v>
      </c>
      <c r="AH47" s="21">
        <v>443.4</v>
      </c>
      <c r="AI47" s="21">
        <v>446.1</v>
      </c>
      <c r="AJ47" s="21">
        <v>444.9</v>
      </c>
      <c r="AK47" s="21">
        <v>444.3</v>
      </c>
      <c r="AL47" s="21">
        <v>444.7</v>
      </c>
      <c r="AM47" s="21">
        <v>449</v>
      </c>
      <c r="AN47" s="21">
        <v>446.3</v>
      </c>
      <c r="AO47" s="21">
        <v>453.2</v>
      </c>
      <c r="AP47" s="21">
        <v>446.4</v>
      </c>
      <c r="AQ47" s="21">
        <v>446.8</v>
      </c>
      <c r="AR47" s="21">
        <v>448.5</v>
      </c>
      <c r="AS47" s="21">
        <v>440.5</v>
      </c>
      <c r="AT47" s="21">
        <v>445</v>
      </c>
      <c r="AU47" s="21">
        <v>441.8</v>
      </c>
      <c r="AV47" s="21">
        <v>445.9</v>
      </c>
      <c r="AW47" s="21">
        <v>444.3</v>
      </c>
      <c r="AX47" s="21">
        <v>466.4</v>
      </c>
      <c r="AY47" s="21">
        <v>464.3</v>
      </c>
      <c r="AZ47" s="21">
        <v>463.4</v>
      </c>
      <c r="BA47" s="21">
        <v>461.1</v>
      </c>
      <c r="BB47" s="21">
        <v>463.6</v>
      </c>
      <c r="BC47" s="21">
        <v>460.3</v>
      </c>
      <c r="BD47" s="21">
        <v>458.1</v>
      </c>
      <c r="BE47" s="21">
        <v>459.8</v>
      </c>
      <c r="BF47" s="21">
        <v>455.6</v>
      </c>
      <c r="BG47" s="21">
        <v>457</v>
      </c>
      <c r="BH47" s="21">
        <v>454.3</v>
      </c>
      <c r="BI47" s="21">
        <v>451.3</v>
      </c>
      <c r="BJ47" s="21">
        <v>489.3</v>
      </c>
      <c r="BK47" s="21">
        <v>488</v>
      </c>
      <c r="BL47" s="21">
        <v>491.2</v>
      </c>
      <c r="BM47" s="1">
        <v>490.9</v>
      </c>
      <c r="BN47" s="1">
        <v>490.6</v>
      </c>
      <c r="BO47" s="1">
        <v>496.1</v>
      </c>
      <c r="BP47" s="1">
        <v>495.4</v>
      </c>
      <c r="BQ47" s="1">
        <v>495.3</v>
      </c>
      <c r="BR47" s="1">
        <v>496</v>
      </c>
      <c r="BS47" s="1">
        <v>499.1</v>
      </c>
      <c r="BT47" s="1">
        <v>510.8</v>
      </c>
      <c r="BU47" s="1">
        <v>501.5</v>
      </c>
      <c r="BV47" s="1">
        <v>481.1</v>
      </c>
      <c r="BW47" s="1">
        <v>481.1</v>
      </c>
      <c r="BX47" s="1">
        <v>478.4</v>
      </c>
      <c r="BY47" s="1">
        <v>476.6</v>
      </c>
      <c r="BZ47" s="1">
        <v>472.4</v>
      </c>
    </row>
    <row r="48" spans="1:254" ht="15.9" customHeight="1">
      <c r="A48" s="65" t="s">
        <v>91</v>
      </c>
      <c r="B48" s="41" t="s">
        <v>92</v>
      </c>
      <c r="C48" s="45">
        <f>_xll.RssMarket("3941","安値")</f>
        <v>1571.5</v>
      </c>
      <c r="D48" s="16">
        <f t="shared" si="1"/>
        <v>0</v>
      </c>
      <c r="E48" s="21">
        <v>1571.5</v>
      </c>
      <c r="F48" s="21">
        <v>1492</v>
      </c>
      <c r="G48" s="21">
        <v>1478</v>
      </c>
      <c r="H48" s="21">
        <v>1462</v>
      </c>
      <c r="I48" s="21">
        <v>1486.5</v>
      </c>
      <c r="J48" s="21">
        <v>1501</v>
      </c>
      <c r="K48" s="21">
        <v>1479.5</v>
      </c>
      <c r="L48" s="21">
        <v>1498</v>
      </c>
      <c r="M48" s="21">
        <v>1476</v>
      </c>
      <c r="N48" s="21">
        <v>1440</v>
      </c>
      <c r="O48" s="21">
        <v>1463</v>
      </c>
      <c r="P48" s="21">
        <v>1451</v>
      </c>
      <c r="Q48" s="21">
        <v>1436.5</v>
      </c>
      <c r="R48" s="21">
        <v>1415</v>
      </c>
      <c r="S48" s="21">
        <v>1422.5</v>
      </c>
      <c r="T48" s="21">
        <v>1399</v>
      </c>
      <c r="U48" s="21">
        <v>1399</v>
      </c>
      <c r="V48" s="21">
        <v>1402</v>
      </c>
      <c r="W48" s="21">
        <v>1400.5</v>
      </c>
      <c r="X48" s="21">
        <v>1401</v>
      </c>
      <c r="Y48" s="21">
        <v>1413.5</v>
      </c>
      <c r="Z48" s="21">
        <v>1410</v>
      </c>
      <c r="AA48" s="21">
        <v>1401</v>
      </c>
      <c r="AB48" s="21">
        <v>1396</v>
      </c>
      <c r="AC48" s="21">
        <v>1402</v>
      </c>
      <c r="AD48" s="21">
        <v>1397.5</v>
      </c>
      <c r="AE48" s="21">
        <v>1429.5</v>
      </c>
      <c r="AF48" s="21">
        <v>1408</v>
      </c>
      <c r="AG48" s="21">
        <v>1400</v>
      </c>
      <c r="AH48" s="21">
        <v>1393</v>
      </c>
      <c r="AI48" s="21">
        <v>1390</v>
      </c>
      <c r="AJ48" s="21">
        <v>1398.5</v>
      </c>
      <c r="AK48" s="21">
        <v>1417.5</v>
      </c>
      <c r="AL48" s="21">
        <v>1403</v>
      </c>
      <c r="AM48" s="21">
        <v>1400</v>
      </c>
      <c r="AN48" s="21">
        <v>1400</v>
      </c>
      <c r="AO48" s="21">
        <v>1391</v>
      </c>
      <c r="AP48" s="21">
        <v>1374</v>
      </c>
      <c r="AQ48" s="21">
        <v>1351</v>
      </c>
      <c r="AR48" s="21">
        <v>1386</v>
      </c>
      <c r="AS48" s="21">
        <v>1351</v>
      </c>
      <c r="AT48" s="21">
        <v>1383.5</v>
      </c>
      <c r="AU48" s="21">
        <v>1360.5</v>
      </c>
      <c r="AV48" s="21">
        <v>1394.5</v>
      </c>
      <c r="AW48" s="21">
        <v>1370</v>
      </c>
      <c r="AX48" s="21">
        <v>1422.5</v>
      </c>
      <c r="AY48" s="21">
        <v>1405.5</v>
      </c>
      <c r="AZ48" s="21">
        <v>1400.5</v>
      </c>
      <c r="BA48" s="21">
        <v>1379.5</v>
      </c>
      <c r="BB48" s="21">
        <v>1390.5</v>
      </c>
      <c r="BC48" s="21">
        <v>1397.5</v>
      </c>
      <c r="BD48" s="21">
        <v>1376.5</v>
      </c>
      <c r="BE48" s="21">
        <v>1390.5</v>
      </c>
      <c r="BF48" s="21">
        <v>1372.5</v>
      </c>
      <c r="BG48" s="21">
        <v>1380</v>
      </c>
      <c r="BH48" s="21">
        <v>1251.5</v>
      </c>
      <c r="BI48" s="21">
        <v>1227.5</v>
      </c>
      <c r="BJ48" s="21">
        <v>1214</v>
      </c>
      <c r="BK48" s="21">
        <v>1216.5</v>
      </c>
      <c r="BL48" s="21">
        <v>1223.5</v>
      </c>
      <c r="BM48" s="1">
        <v>1212.5</v>
      </c>
      <c r="BN48" s="1">
        <v>1204.5</v>
      </c>
      <c r="BO48" s="1">
        <v>1217</v>
      </c>
      <c r="BP48" s="1">
        <v>1252.5</v>
      </c>
      <c r="BQ48" s="1">
        <v>1266</v>
      </c>
      <c r="BR48" s="1">
        <v>1263</v>
      </c>
      <c r="BS48" s="1">
        <v>1260.5</v>
      </c>
      <c r="BT48" s="1">
        <v>1290</v>
      </c>
      <c r="BU48" s="1">
        <v>1281.5</v>
      </c>
      <c r="BV48" s="1">
        <v>1252</v>
      </c>
      <c r="BW48" s="1">
        <v>1245.5</v>
      </c>
      <c r="BX48" s="1">
        <v>1255</v>
      </c>
      <c r="BY48" s="1">
        <v>1253.5</v>
      </c>
      <c r="BZ48" s="1">
        <v>1258.5</v>
      </c>
    </row>
    <row r="49" spans="1:254" ht="15.9" customHeight="1">
      <c r="A49" s="65" t="s">
        <v>93</v>
      </c>
      <c r="B49" s="41" t="s">
        <v>94</v>
      </c>
      <c r="C49" s="45">
        <f>_xll.RssMarket("5929","安値")</f>
        <v>3614</v>
      </c>
      <c r="D49" s="16">
        <f t="shared" si="1"/>
        <v>0</v>
      </c>
      <c r="E49" s="21">
        <v>3614</v>
      </c>
      <c r="F49" s="21">
        <v>3516</v>
      </c>
      <c r="G49" s="21">
        <v>3486</v>
      </c>
      <c r="H49" s="21">
        <v>3464</v>
      </c>
      <c r="I49" s="21">
        <v>3258</v>
      </c>
      <c r="J49" s="21">
        <v>3889</v>
      </c>
      <c r="K49" s="21">
        <v>3925</v>
      </c>
      <c r="L49" s="21">
        <v>3875</v>
      </c>
      <c r="M49" s="21">
        <v>3808</v>
      </c>
      <c r="N49" s="21"/>
      <c r="O49" s="21">
        <v>3754</v>
      </c>
      <c r="P49" s="21">
        <v>3748</v>
      </c>
      <c r="Q49" s="21">
        <v>3769</v>
      </c>
      <c r="R49" s="21">
        <v>3712</v>
      </c>
      <c r="S49" s="21">
        <v>3689</v>
      </c>
      <c r="T49" s="21">
        <v>3672</v>
      </c>
      <c r="U49" s="21">
        <v>3637</v>
      </c>
      <c r="V49" s="21">
        <v>3656</v>
      </c>
      <c r="W49" s="21">
        <v>3682</v>
      </c>
      <c r="X49" s="21">
        <v>3682</v>
      </c>
      <c r="Y49" s="21">
        <v>3852</v>
      </c>
      <c r="Z49" s="21">
        <v>3833</v>
      </c>
      <c r="AA49" s="21">
        <v>3803</v>
      </c>
      <c r="AB49" s="21">
        <v>3742</v>
      </c>
      <c r="AC49" s="21">
        <v>3700</v>
      </c>
      <c r="AD49" s="21">
        <v>3768</v>
      </c>
      <c r="AE49" s="21">
        <v>3780</v>
      </c>
      <c r="AF49" s="21">
        <v>3711</v>
      </c>
      <c r="AG49" s="21">
        <v>3687</v>
      </c>
      <c r="AH49" s="21">
        <v>3632</v>
      </c>
      <c r="AI49" s="21">
        <v>3653</v>
      </c>
      <c r="AJ49" s="21">
        <v>3655</v>
      </c>
      <c r="AK49" s="21">
        <v>3672</v>
      </c>
      <c r="AL49" s="21">
        <v>3709</v>
      </c>
      <c r="AM49" s="21">
        <v>3698</v>
      </c>
      <c r="AN49" s="21">
        <v>3642</v>
      </c>
      <c r="AO49" s="21">
        <v>3666</v>
      </c>
      <c r="AP49" s="21">
        <v>3599</v>
      </c>
      <c r="AQ49" s="21">
        <v>3544</v>
      </c>
      <c r="AR49" s="21">
        <v>3577</v>
      </c>
      <c r="AS49" s="21">
        <v>3467</v>
      </c>
      <c r="AT49" s="21">
        <v>3502</v>
      </c>
      <c r="AU49" s="21">
        <v>3429</v>
      </c>
      <c r="AV49" s="21">
        <v>3306</v>
      </c>
      <c r="AW49" s="21">
        <v>3326</v>
      </c>
      <c r="AX49" s="21">
        <v>3512</v>
      </c>
      <c r="AY49" s="21">
        <v>3400</v>
      </c>
      <c r="AZ49" s="21">
        <v>3307</v>
      </c>
      <c r="BA49" s="21">
        <v>3279</v>
      </c>
      <c r="BB49" s="21">
        <v>3258</v>
      </c>
      <c r="BC49" s="21">
        <v>3297</v>
      </c>
      <c r="BD49" s="21">
        <v>3265</v>
      </c>
      <c r="BE49" s="21">
        <v>3303</v>
      </c>
      <c r="BF49" s="21">
        <v>3315</v>
      </c>
      <c r="BG49" s="21">
        <v>3430</v>
      </c>
      <c r="BH49" s="21">
        <v>3445</v>
      </c>
      <c r="BI49" s="21">
        <v>3462</v>
      </c>
      <c r="BJ49" s="21">
        <v>3508</v>
      </c>
      <c r="BK49" s="21">
        <v>3591</v>
      </c>
      <c r="BL49" s="21">
        <v>3599</v>
      </c>
      <c r="BM49" s="1">
        <v>3547</v>
      </c>
      <c r="BN49" s="1">
        <v>3529</v>
      </c>
      <c r="BO49" s="1">
        <v>3545</v>
      </c>
      <c r="BP49" s="1">
        <v>3625</v>
      </c>
      <c r="BQ49" s="1">
        <v>3578</v>
      </c>
      <c r="BR49" s="1">
        <v>3578</v>
      </c>
      <c r="BS49" s="1">
        <v>3587</v>
      </c>
      <c r="BT49" s="1">
        <v>3624</v>
      </c>
      <c r="BU49" s="1">
        <v>3623</v>
      </c>
      <c r="BV49" s="1">
        <v>3615</v>
      </c>
      <c r="BW49" s="1">
        <v>3599</v>
      </c>
      <c r="BX49" s="1">
        <v>3632</v>
      </c>
      <c r="BY49" s="1">
        <v>3707</v>
      </c>
      <c r="BZ49" s="1">
        <v>3677</v>
      </c>
    </row>
    <row r="50" spans="1:254" ht="15.9" customHeight="1">
      <c r="A50" s="65" t="s">
        <v>95</v>
      </c>
      <c r="B50" s="41" t="s">
        <v>96</v>
      </c>
      <c r="C50" s="45">
        <f>_xll.RssMarket("8316","安値")</f>
        <v>6681</v>
      </c>
      <c r="D50" s="16">
        <f t="shared" si="1"/>
        <v>0</v>
      </c>
      <c r="E50" s="21">
        <v>6681</v>
      </c>
      <c r="F50" s="21">
        <v>6474</v>
      </c>
      <c r="G50" s="21">
        <v>6510</v>
      </c>
      <c r="H50" s="21">
        <v>6420</v>
      </c>
      <c r="I50" s="21">
        <v>6694</v>
      </c>
      <c r="J50" s="21">
        <v>6666</v>
      </c>
      <c r="K50" s="21">
        <v>6731</v>
      </c>
      <c r="L50" s="21">
        <v>6923</v>
      </c>
      <c r="M50" s="21">
        <v>7130</v>
      </c>
      <c r="N50" s="21">
        <v>7055</v>
      </c>
      <c r="O50" s="21">
        <v>6999</v>
      </c>
      <c r="P50" s="21">
        <v>6972</v>
      </c>
      <c r="Q50" s="21">
        <v>6734</v>
      </c>
      <c r="R50" s="21">
        <v>6576</v>
      </c>
      <c r="S50" s="21">
        <v>6976</v>
      </c>
      <c r="T50" s="21">
        <v>6843</v>
      </c>
      <c r="U50" s="21">
        <v>6883</v>
      </c>
      <c r="V50" s="21">
        <v>6772</v>
      </c>
      <c r="W50" s="21">
        <v>6702</v>
      </c>
      <c r="X50" s="21">
        <v>6785</v>
      </c>
      <c r="Y50" s="21">
        <v>6812</v>
      </c>
      <c r="Z50" s="21">
        <v>6632</v>
      </c>
      <c r="AA50" s="21">
        <v>6583</v>
      </c>
      <c r="AB50" s="21">
        <v>6469</v>
      </c>
      <c r="AC50" s="21">
        <v>6346</v>
      </c>
      <c r="AD50" s="21">
        <v>6329</v>
      </c>
      <c r="AE50" s="21">
        <v>6287</v>
      </c>
      <c r="AF50" s="21">
        <v>6311</v>
      </c>
      <c r="AG50" s="21">
        <v>6320</v>
      </c>
      <c r="AH50" s="21">
        <v>6338</v>
      </c>
      <c r="AI50" s="21">
        <v>6458</v>
      </c>
      <c r="AJ50" s="21">
        <v>6456</v>
      </c>
      <c r="AK50" s="21">
        <v>6471</v>
      </c>
      <c r="AL50" s="21">
        <v>6573</v>
      </c>
      <c r="AM50" s="21">
        <v>6450</v>
      </c>
      <c r="AN50" s="21">
        <v>6363</v>
      </c>
      <c r="AO50" s="21">
        <v>6495</v>
      </c>
      <c r="AP50" s="21">
        <v>6309</v>
      </c>
      <c r="AQ50" s="21">
        <v>6077</v>
      </c>
      <c r="AR50" s="21">
        <v>6207</v>
      </c>
      <c r="AS50" s="21">
        <v>6028</v>
      </c>
      <c r="AT50" s="21">
        <v>6213</v>
      </c>
      <c r="AU50" s="21">
        <v>6005</v>
      </c>
      <c r="AV50" s="21">
        <v>6012</v>
      </c>
      <c r="AW50" s="21">
        <v>5794</v>
      </c>
      <c r="AX50" s="21">
        <v>5819</v>
      </c>
      <c r="AY50" s="21">
        <v>5810</v>
      </c>
      <c r="AZ50" s="21">
        <v>5933</v>
      </c>
      <c r="BA50" s="21">
        <v>5970</v>
      </c>
      <c r="BB50" s="21">
        <v>5978</v>
      </c>
      <c r="BC50" s="21">
        <v>6031</v>
      </c>
      <c r="BD50" s="21">
        <v>5842</v>
      </c>
      <c r="BE50" s="21">
        <v>5845</v>
      </c>
      <c r="BF50" s="21">
        <v>5703</v>
      </c>
      <c r="BG50" s="21">
        <v>5630</v>
      </c>
      <c r="BH50" s="21">
        <v>5644</v>
      </c>
      <c r="BI50" s="21">
        <v>5795</v>
      </c>
      <c r="BJ50" s="21">
        <v>5676</v>
      </c>
      <c r="BK50" s="21">
        <v>5553</v>
      </c>
      <c r="BL50" s="21">
        <v>5498</v>
      </c>
      <c r="BM50" s="1">
        <v>5574</v>
      </c>
      <c r="BN50" s="1">
        <v>5431</v>
      </c>
      <c r="BO50" s="1">
        <v>5420</v>
      </c>
      <c r="BP50" s="1">
        <v>5437</v>
      </c>
      <c r="BQ50" s="1">
        <v>5268</v>
      </c>
      <c r="BR50" s="1">
        <v>5298</v>
      </c>
      <c r="BS50" s="1">
        <v>5297</v>
      </c>
      <c r="BT50" s="1">
        <v>5388</v>
      </c>
      <c r="BU50" s="1">
        <v>5452</v>
      </c>
      <c r="BV50" s="1">
        <v>5568</v>
      </c>
      <c r="BW50" s="1">
        <v>5559</v>
      </c>
      <c r="BX50" s="1">
        <v>5660</v>
      </c>
      <c r="BY50" s="1">
        <v>5611</v>
      </c>
      <c r="BZ50" s="1">
        <v>5522</v>
      </c>
    </row>
    <row r="51" spans="1:254" ht="15.9" customHeight="1">
      <c r="A51" s="65" t="s">
        <v>97</v>
      </c>
      <c r="B51" s="41" t="s">
        <v>98</v>
      </c>
      <c r="C51" s="45">
        <f>_xll.RssMarket("5449","安値")</f>
        <v>2673</v>
      </c>
      <c r="D51" s="16">
        <f t="shared" si="1"/>
        <v>0</v>
      </c>
      <c r="E51" s="21">
        <v>2673</v>
      </c>
      <c r="F51" s="21">
        <v>2491</v>
      </c>
      <c r="G51" s="21">
        <v>2334</v>
      </c>
      <c r="H51" s="21">
        <v>2314</v>
      </c>
      <c r="I51" s="21">
        <v>2424</v>
      </c>
      <c r="J51" s="21">
        <v>2795</v>
      </c>
      <c r="K51" s="21">
        <v>2722</v>
      </c>
      <c r="L51" s="21">
        <v>2707</v>
      </c>
      <c r="M51" s="21">
        <v>2629</v>
      </c>
      <c r="N51" s="21">
        <v>2590</v>
      </c>
      <c r="O51" s="21">
        <v>2588</v>
      </c>
      <c r="P51" s="21">
        <v>2540</v>
      </c>
      <c r="Q51" s="21">
        <v>2563</v>
      </c>
      <c r="R51" s="21">
        <v>2525</v>
      </c>
      <c r="S51" s="21">
        <v>2471</v>
      </c>
      <c r="T51" s="21">
        <v>2475</v>
      </c>
      <c r="U51" s="21">
        <v>2511</v>
      </c>
      <c r="V51" s="21">
        <v>2491</v>
      </c>
      <c r="W51" s="21">
        <v>2442</v>
      </c>
      <c r="X51" s="21">
        <v>2476</v>
      </c>
      <c r="Y51" s="21">
        <v>2390</v>
      </c>
      <c r="Z51" s="21">
        <v>2377</v>
      </c>
      <c r="AA51" s="21">
        <v>2345</v>
      </c>
      <c r="AB51" s="21">
        <v>2284</v>
      </c>
      <c r="AC51" s="21">
        <v>2255</v>
      </c>
      <c r="AD51" s="21">
        <v>2264</v>
      </c>
      <c r="AE51" s="21">
        <v>2342</v>
      </c>
      <c r="AF51" s="21">
        <v>2284</v>
      </c>
      <c r="AG51" s="21">
        <v>2284</v>
      </c>
      <c r="AH51" s="21">
        <v>2301</v>
      </c>
      <c r="AI51" s="21">
        <v>2330</v>
      </c>
      <c r="AJ51" s="21">
        <v>2308</v>
      </c>
      <c r="AK51" s="21">
        <v>2293</v>
      </c>
      <c r="AL51" s="21">
        <v>2221</v>
      </c>
      <c r="AM51" s="21">
        <v>2238</v>
      </c>
      <c r="AN51" s="21">
        <v>2373</v>
      </c>
      <c r="AO51" s="21">
        <v>2363</v>
      </c>
      <c r="AP51" s="21">
        <v>2320</v>
      </c>
      <c r="AQ51" s="21">
        <v>2284</v>
      </c>
      <c r="AR51" s="21">
        <v>2314</v>
      </c>
      <c r="AS51" s="21">
        <v>2245</v>
      </c>
      <c r="AT51" s="21">
        <v>2335</v>
      </c>
      <c r="AU51" s="21">
        <v>2280</v>
      </c>
      <c r="AV51" s="21">
        <v>2321</v>
      </c>
      <c r="AW51" s="21">
        <v>2307</v>
      </c>
      <c r="AX51" s="21">
        <v>2557</v>
      </c>
      <c r="AY51" s="21">
        <v>2557</v>
      </c>
      <c r="AZ51" s="21">
        <v>2552</v>
      </c>
      <c r="BA51" s="21">
        <v>2381</v>
      </c>
      <c r="BB51" s="21">
        <v>2325</v>
      </c>
      <c r="BC51" s="21">
        <v>2308</v>
      </c>
      <c r="BD51" s="21">
        <v>2239</v>
      </c>
      <c r="BE51" s="21">
        <v>2245</v>
      </c>
      <c r="BF51" s="21">
        <v>2251</v>
      </c>
      <c r="BG51" s="21">
        <v>2318</v>
      </c>
      <c r="BH51" s="21">
        <v>2311</v>
      </c>
      <c r="BI51" s="21">
        <v>2288</v>
      </c>
      <c r="BJ51" s="21">
        <v>2469</v>
      </c>
      <c r="BK51" s="21">
        <v>2505</v>
      </c>
      <c r="BL51" s="21">
        <v>2489</v>
      </c>
      <c r="BM51" s="1">
        <v>2518</v>
      </c>
      <c r="BN51" s="1">
        <v>2429</v>
      </c>
      <c r="BO51" s="1">
        <v>2443</v>
      </c>
      <c r="BP51" s="1">
        <v>2353</v>
      </c>
      <c r="BQ51" s="1">
        <v>2306</v>
      </c>
      <c r="BR51" s="1">
        <v>2284</v>
      </c>
      <c r="BS51" s="1">
        <v>2297</v>
      </c>
      <c r="BT51" s="1">
        <v>2348</v>
      </c>
      <c r="BU51" s="1">
        <v>2384</v>
      </c>
      <c r="BV51" s="1">
        <v>2424</v>
      </c>
      <c r="BW51" s="1">
        <v>2383</v>
      </c>
      <c r="BX51" s="1">
        <v>2405</v>
      </c>
      <c r="BY51" s="1">
        <v>2435</v>
      </c>
      <c r="BZ51" s="1">
        <v>2368</v>
      </c>
    </row>
    <row r="52" spans="1:254" ht="15.9" customHeight="1">
      <c r="A52" s="65" t="s">
        <v>99</v>
      </c>
      <c r="B52" s="41" t="s">
        <v>100</v>
      </c>
      <c r="C52" s="45">
        <f>_xll.RssMarket("8766","安値")</f>
        <v>7700</v>
      </c>
      <c r="D52" s="16">
        <f t="shared" si="1"/>
        <v>0</v>
      </c>
      <c r="E52" s="21">
        <v>7700</v>
      </c>
      <c r="F52" s="21">
        <v>7682</v>
      </c>
      <c r="G52" s="21">
        <v>7693</v>
      </c>
      <c r="H52" s="21">
        <v>7709</v>
      </c>
      <c r="I52" s="21">
        <v>8033</v>
      </c>
      <c r="J52" s="21">
        <v>8092</v>
      </c>
      <c r="K52" s="21">
        <v>8196</v>
      </c>
      <c r="L52" s="21">
        <v>8112</v>
      </c>
      <c r="M52" s="21">
        <v>8073</v>
      </c>
      <c r="N52" s="21">
        <v>7944</v>
      </c>
      <c r="O52" s="21">
        <v>7921</v>
      </c>
      <c r="P52" s="21">
        <v>7847</v>
      </c>
      <c r="Q52" s="21">
        <v>7640</v>
      </c>
      <c r="R52" s="21">
        <v>7461</v>
      </c>
      <c r="S52" s="21">
        <v>7734</v>
      </c>
      <c r="T52" s="21">
        <v>7611</v>
      </c>
      <c r="U52" s="21">
        <v>7450</v>
      </c>
      <c r="V52" s="21">
        <v>7569</v>
      </c>
      <c r="W52" s="21">
        <v>7648</v>
      </c>
      <c r="X52" s="21">
        <v>7690</v>
      </c>
      <c r="Y52" s="21">
        <v>7716</v>
      </c>
      <c r="Z52" s="21">
        <v>7560</v>
      </c>
      <c r="AA52" s="21">
        <v>7546</v>
      </c>
      <c r="AB52" s="21">
        <v>7222</v>
      </c>
      <c r="AC52" s="21">
        <v>7074</v>
      </c>
      <c r="AD52" s="21">
        <v>7202</v>
      </c>
      <c r="AE52" s="21">
        <v>7077</v>
      </c>
      <c r="AF52" s="21">
        <v>6798</v>
      </c>
      <c r="AG52" s="21">
        <v>6847</v>
      </c>
      <c r="AH52" s="21">
        <v>6970</v>
      </c>
      <c r="AI52" s="21">
        <v>7288</v>
      </c>
      <c r="AJ52" s="21">
        <v>7120</v>
      </c>
      <c r="AK52" s="21">
        <v>7186</v>
      </c>
      <c r="AL52" s="21">
        <v>7260</v>
      </c>
      <c r="AM52" s="21">
        <v>7252</v>
      </c>
      <c r="AN52" s="21">
        <v>7190</v>
      </c>
      <c r="AO52" s="21">
        <v>7210</v>
      </c>
      <c r="AP52" s="21">
        <v>7310</v>
      </c>
      <c r="AQ52" s="21">
        <v>7326</v>
      </c>
      <c r="AR52" s="21">
        <v>7368</v>
      </c>
      <c r="AS52" s="21">
        <v>6952</v>
      </c>
      <c r="AT52" s="21">
        <v>6960</v>
      </c>
      <c r="AU52" s="21">
        <v>6891</v>
      </c>
      <c r="AV52" s="21">
        <v>7043</v>
      </c>
      <c r="AW52" s="21">
        <v>6976</v>
      </c>
      <c r="AX52" s="21">
        <v>7075</v>
      </c>
      <c r="AY52" s="21">
        <v>7141</v>
      </c>
      <c r="AZ52" s="21">
        <v>7322</v>
      </c>
      <c r="BA52" s="21">
        <v>7306</v>
      </c>
      <c r="BB52" s="21">
        <v>7316</v>
      </c>
      <c r="BC52" s="21">
        <v>7623</v>
      </c>
      <c r="BD52" s="21">
        <v>7808</v>
      </c>
      <c r="BE52" s="21">
        <v>7795</v>
      </c>
      <c r="BF52" s="21">
        <v>7592</v>
      </c>
      <c r="BG52" s="21">
        <v>7512</v>
      </c>
      <c r="BH52" s="21">
        <v>7321</v>
      </c>
      <c r="BI52" s="21">
        <v>7145</v>
      </c>
      <c r="BJ52" s="21">
        <v>7125</v>
      </c>
      <c r="BK52" s="21">
        <v>6950</v>
      </c>
      <c r="BL52" s="21">
        <v>7030</v>
      </c>
      <c r="BM52" s="1">
        <v>7166</v>
      </c>
      <c r="BN52" s="1">
        <v>7048</v>
      </c>
      <c r="BO52" s="1">
        <v>7125</v>
      </c>
      <c r="BP52" s="1">
        <v>7152</v>
      </c>
      <c r="BQ52" s="1">
        <v>7081</v>
      </c>
      <c r="BR52" s="1">
        <v>7097</v>
      </c>
      <c r="BS52" s="1">
        <v>6934</v>
      </c>
      <c r="BT52" s="1">
        <v>7106</v>
      </c>
      <c r="BU52" s="1">
        <v>7159</v>
      </c>
      <c r="BV52" s="1">
        <v>7033</v>
      </c>
      <c r="BW52" s="1">
        <v>6839</v>
      </c>
      <c r="BX52" s="1">
        <v>6894</v>
      </c>
      <c r="BY52" s="1">
        <v>6822</v>
      </c>
      <c r="BZ52" s="1">
        <v>6913</v>
      </c>
    </row>
    <row r="53" spans="1:254" ht="15.9" customHeight="1">
      <c r="A53" s="65" t="s">
        <v>101</v>
      </c>
      <c r="B53" s="41" t="s">
        <v>102</v>
      </c>
      <c r="C53" s="45">
        <f>_xll.RssMarket("5201","安値")</f>
        <v>5698</v>
      </c>
      <c r="D53" s="16">
        <f t="shared" si="1"/>
        <v>0</v>
      </c>
      <c r="E53" s="21">
        <v>5698</v>
      </c>
      <c r="F53" s="21">
        <v>5611</v>
      </c>
      <c r="G53" s="21">
        <v>5581</v>
      </c>
      <c r="H53" s="21">
        <v>5882</v>
      </c>
      <c r="I53" s="21">
        <v>5980</v>
      </c>
      <c r="J53" s="21">
        <v>5948</v>
      </c>
      <c r="K53" s="21">
        <v>5951</v>
      </c>
      <c r="L53" s="21">
        <v>6024</v>
      </c>
      <c r="M53" s="21">
        <v>6144</v>
      </c>
      <c r="N53" s="21">
        <v>6132</v>
      </c>
      <c r="O53" s="21">
        <v>6282</v>
      </c>
      <c r="P53" s="21">
        <v>6312</v>
      </c>
      <c r="Q53" s="21">
        <v>6110</v>
      </c>
      <c r="R53" s="21">
        <v>5997</v>
      </c>
      <c r="S53" s="21">
        <v>6417</v>
      </c>
      <c r="T53" s="21">
        <v>6262</v>
      </c>
      <c r="U53" s="21">
        <v>6293</v>
      </c>
      <c r="V53" s="21">
        <v>6389</v>
      </c>
      <c r="W53" s="21">
        <v>6422</v>
      </c>
      <c r="X53" s="21">
        <v>6393</v>
      </c>
      <c r="Y53" s="21">
        <v>6475</v>
      </c>
      <c r="Z53" s="21">
        <v>6678</v>
      </c>
      <c r="AA53" s="21">
        <v>6715</v>
      </c>
      <c r="AB53" s="21">
        <v>6740</v>
      </c>
      <c r="AC53" s="21">
        <v>6851</v>
      </c>
      <c r="AD53" s="21">
        <v>6861</v>
      </c>
      <c r="AE53" s="21">
        <v>6851</v>
      </c>
      <c r="AF53" s="21">
        <v>7060</v>
      </c>
      <c r="AG53" s="21">
        <v>7221</v>
      </c>
      <c r="AH53" s="21">
        <v>7090</v>
      </c>
      <c r="AI53" s="21">
        <v>7250</v>
      </c>
      <c r="AJ53" s="21">
        <v>7520</v>
      </c>
      <c r="AK53" s="21">
        <v>7561</v>
      </c>
      <c r="AL53" s="21">
        <v>7373</v>
      </c>
      <c r="AM53" s="21">
        <v>7190</v>
      </c>
      <c r="AN53" s="21">
        <v>7270</v>
      </c>
      <c r="AO53" s="21">
        <v>7156</v>
      </c>
      <c r="AP53" s="21">
        <v>6986</v>
      </c>
      <c r="AQ53" s="21">
        <v>6636</v>
      </c>
      <c r="AR53" s="21">
        <v>6907</v>
      </c>
      <c r="AS53" s="21">
        <v>7130</v>
      </c>
      <c r="AT53" s="21">
        <v>7659</v>
      </c>
      <c r="AU53" s="21">
        <v>7659</v>
      </c>
      <c r="AV53" s="21">
        <v>7519</v>
      </c>
      <c r="AW53" s="21">
        <v>6990</v>
      </c>
      <c r="AX53" s="21">
        <v>6840</v>
      </c>
      <c r="AY53" s="21">
        <v>6772</v>
      </c>
      <c r="AZ53" s="21">
        <v>7011</v>
      </c>
      <c r="BA53" s="21">
        <v>6480</v>
      </c>
      <c r="BB53" s="21">
        <v>6225</v>
      </c>
      <c r="BC53" s="21">
        <v>6067</v>
      </c>
      <c r="BD53" s="21">
        <v>5992</v>
      </c>
      <c r="BE53" s="21">
        <v>6177</v>
      </c>
      <c r="BF53" s="21">
        <v>5861</v>
      </c>
      <c r="BG53" s="21">
        <v>5923</v>
      </c>
      <c r="BH53" s="21">
        <v>6020</v>
      </c>
      <c r="BI53" s="21">
        <v>5929</v>
      </c>
      <c r="BJ53" s="21">
        <v>5623</v>
      </c>
      <c r="BK53" s="21">
        <v>5573</v>
      </c>
      <c r="BL53" s="21">
        <v>5512</v>
      </c>
      <c r="BM53" s="1">
        <v>5550</v>
      </c>
      <c r="BN53" s="1">
        <v>5470</v>
      </c>
      <c r="BO53" s="1">
        <v>5559</v>
      </c>
      <c r="BP53" s="1">
        <v>5697</v>
      </c>
      <c r="BQ53" s="1">
        <v>5577</v>
      </c>
      <c r="BR53" s="1">
        <v>5616</v>
      </c>
      <c r="BS53" s="1">
        <v>5546</v>
      </c>
      <c r="BT53" s="1">
        <v>5662</v>
      </c>
      <c r="BU53" s="1">
        <v>5739</v>
      </c>
      <c r="BV53" s="1">
        <v>5727</v>
      </c>
      <c r="BW53" s="1">
        <v>5669</v>
      </c>
      <c r="BX53" s="1">
        <v>5642</v>
      </c>
      <c r="BY53" s="1">
        <v>5585</v>
      </c>
      <c r="BZ53" s="1">
        <v>5627</v>
      </c>
    </row>
    <row r="54" spans="1:254" ht="15.9" customHeight="1">
      <c r="A54" s="65" t="s">
        <v>103</v>
      </c>
      <c r="B54" s="41" t="s">
        <v>104</v>
      </c>
      <c r="C54" s="45">
        <f>_xll.RssMarket("8630","安値")</f>
        <v>6916</v>
      </c>
      <c r="D54" s="16">
        <f t="shared" si="1"/>
        <v>0</v>
      </c>
      <c r="E54" s="21">
        <v>6916</v>
      </c>
      <c r="F54" s="21">
        <v>6852</v>
      </c>
      <c r="G54" s="21">
        <v>6763</v>
      </c>
      <c r="H54" s="21">
        <v>6740</v>
      </c>
      <c r="I54" s="21">
        <v>7060</v>
      </c>
      <c r="J54" s="21">
        <v>7162</v>
      </c>
      <c r="K54" s="21">
        <v>7234</v>
      </c>
      <c r="L54" s="21">
        <v>7180</v>
      </c>
      <c r="M54" s="21">
        <v>7062</v>
      </c>
      <c r="N54" s="21">
        <v>6938</v>
      </c>
      <c r="O54" s="21">
        <v>6866</v>
      </c>
      <c r="P54" s="21">
        <v>6794</v>
      </c>
      <c r="Q54" s="21">
        <v>6720</v>
      </c>
      <c r="R54" s="21">
        <v>6580</v>
      </c>
      <c r="S54" s="21">
        <v>6613</v>
      </c>
      <c r="T54" s="21">
        <v>6470</v>
      </c>
      <c r="U54" s="21">
        <v>6468</v>
      </c>
      <c r="V54" s="21">
        <v>6488</v>
      </c>
      <c r="W54" s="21">
        <v>6544</v>
      </c>
      <c r="X54" s="21">
        <v>6672</v>
      </c>
      <c r="Y54" s="21">
        <v>6642</v>
      </c>
      <c r="Z54" s="21">
        <v>6607</v>
      </c>
      <c r="AA54" s="21">
        <v>6584</v>
      </c>
      <c r="AB54" s="21">
        <v>6326</v>
      </c>
      <c r="AC54" s="21">
        <v>6214</v>
      </c>
      <c r="AD54" s="21">
        <v>6210</v>
      </c>
      <c r="AE54" s="21">
        <v>6107</v>
      </c>
      <c r="AF54" s="21">
        <v>6063</v>
      </c>
      <c r="AG54" s="21">
        <v>6050</v>
      </c>
      <c r="AH54" s="21">
        <v>6098</v>
      </c>
      <c r="AI54" s="21">
        <v>6320</v>
      </c>
      <c r="AJ54" s="21">
        <v>6232</v>
      </c>
      <c r="AK54" s="21">
        <v>6292</v>
      </c>
      <c r="AL54" s="21">
        <v>6250</v>
      </c>
      <c r="AM54" s="21">
        <v>6194</v>
      </c>
      <c r="AN54" s="21">
        <v>6169</v>
      </c>
      <c r="AO54" s="21">
        <v>6150</v>
      </c>
      <c r="AP54" s="21">
        <v>6040</v>
      </c>
      <c r="AQ54" s="21">
        <v>6112</v>
      </c>
      <c r="AR54" s="21">
        <v>6115</v>
      </c>
      <c r="AS54" s="21">
        <v>5880</v>
      </c>
      <c r="AT54" s="21">
        <v>5827</v>
      </c>
      <c r="AU54" s="21">
        <v>5736</v>
      </c>
      <c r="AV54" s="21">
        <v>5870</v>
      </c>
      <c r="AW54" s="21">
        <v>5868</v>
      </c>
      <c r="AX54" s="21">
        <v>5777</v>
      </c>
      <c r="AY54" s="21">
        <v>5813</v>
      </c>
      <c r="AZ54" s="21">
        <v>5843</v>
      </c>
      <c r="BA54" s="21">
        <v>5523</v>
      </c>
      <c r="BB54" s="21">
        <v>5568</v>
      </c>
      <c r="BC54" s="21">
        <v>5562</v>
      </c>
      <c r="BD54" s="21">
        <v>6145</v>
      </c>
      <c r="BE54" s="21">
        <v>6286</v>
      </c>
      <c r="BF54" s="21">
        <v>6053</v>
      </c>
      <c r="BG54" s="21">
        <v>6007</v>
      </c>
      <c r="BH54" s="21">
        <v>5977</v>
      </c>
      <c r="BI54" s="21">
        <v>5965</v>
      </c>
      <c r="BJ54" s="21">
        <v>5789</v>
      </c>
      <c r="BK54" s="21">
        <v>5670</v>
      </c>
      <c r="BL54" s="21">
        <v>5717</v>
      </c>
      <c r="BM54" s="1">
        <v>5774</v>
      </c>
      <c r="BN54" s="1">
        <v>5615</v>
      </c>
      <c r="BO54" s="1">
        <v>5676</v>
      </c>
      <c r="BP54" s="1">
        <v>5704</v>
      </c>
      <c r="BQ54" s="1">
        <v>5620</v>
      </c>
      <c r="BR54" s="1">
        <v>5805</v>
      </c>
      <c r="BS54" s="1">
        <v>5734</v>
      </c>
      <c r="BT54" s="1">
        <v>5820</v>
      </c>
      <c r="BU54" s="1">
        <v>5870</v>
      </c>
      <c r="BV54" s="1">
        <v>5872</v>
      </c>
      <c r="BW54" s="1">
        <v>5898</v>
      </c>
      <c r="BX54" s="1">
        <v>5950</v>
      </c>
      <c r="BY54" s="1">
        <v>5884</v>
      </c>
      <c r="BZ54" s="1">
        <v>5875</v>
      </c>
    </row>
    <row r="55" spans="1:254" ht="15.9" customHeight="1">
      <c r="A55" s="65" t="s">
        <v>105</v>
      </c>
      <c r="B55" s="41" t="s">
        <v>106</v>
      </c>
      <c r="C55" s="45">
        <f>_xll.RssMarket("5901","安値")</f>
        <v>4170</v>
      </c>
      <c r="D55" s="16">
        <f t="shared" si="1"/>
        <v>0</v>
      </c>
      <c r="E55" s="21">
        <v>4170</v>
      </c>
      <c r="F55" s="21">
        <v>3990</v>
      </c>
      <c r="G55" s="21">
        <v>3955</v>
      </c>
      <c r="H55" s="21">
        <v>3956</v>
      </c>
      <c r="I55" s="21">
        <v>3998</v>
      </c>
      <c r="J55" s="21">
        <v>4097</v>
      </c>
      <c r="K55" s="21">
        <v>4119</v>
      </c>
      <c r="L55" s="21">
        <v>4104</v>
      </c>
      <c r="M55" s="21">
        <v>4078</v>
      </c>
      <c r="N55" s="21">
        <v>4021</v>
      </c>
      <c r="O55" s="21">
        <v>4025</v>
      </c>
      <c r="P55" s="21">
        <v>4064</v>
      </c>
      <c r="Q55" s="21">
        <v>4055</v>
      </c>
      <c r="R55" s="21">
        <v>3986</v>
      </c>
      <c r="S55" s="21">
        <v>3991</v>
      </c>
      <c r="T55" s="21">
        <v>3981</v>
      </c>
      <c r="U55" s="21">
        <v>3981</v>
      </c>
      <c r="V55" s="21">
        <v>4026</v>
      </c>
      <c r="W55" s="21">
        <v>4006</v>
      </c>
      <c r="X55" s="21">
        <v>4090</v>
      </c>
      <c r="Y55" s="21">
        <v>4128</v>
      </c>
      <c r="Z55" s="21">
        <v>4110</v>
      </c>
      <c r="AA55" s="21">
        <v>4091</v>
      </c>
      <c r="AB55" s="21">
        <v>4060</v>
      </c>
      <c r="AC55" s="21">
        <v>4024</v>
      </c>
      <c r="AD55" s="21">
        <v>4057</v>
      </c>
      <c r="AE55" s="21">
        <v>4091</v>
      </c>
      <c r="AF55" s="21">
        <v>4073</v>
      </c>
      <c r="AG55" s="21">
        <v>4079</v>
      </c>
      <c r="AH55" s="21">
        <v>4038</v>
      </c>
      <c r="AI55" s="21">
        <v>4083</v>
      </c>
      <c r="AJ55" s="21">
        <v>4076</v>
      </c>
      <c r="AK55" s="21">
        <v>3987</v>
      </c>
      <c r="AL55" s="21">
        <v>4050</v>
      </c>
      <c r="AM55" s="21">
        <v>3964</v>
      </c>
      <c r="AN55" s="21">
        <v>3958</v>
      </c>
      <c r="AO55" s="21">
        <v>3945</v>
      </c>
      <c r="AP55" s="21">
        <v>3861</v>
      </c>
      <c r="AQ55" s="21">
        <v>3791</v>
      </c>
      <c r="AR55" s="21">
        <v>3804</v>
      </c>
      <c r="AS55" s="21">
        <v>3753</v>
      </c>
      <c r="AT55" s="21">
        <v>3741</v>
      </c>
      <c r="AU55" s="21">
        <v>3786</v>
      </c>
      <c r="AV55" s="21">
        <v>3750</v>
      </c>
      <c r="AW55" s="21">
        <v>3762</v>
      </c>
      <c r="AX55" s="21">
        <v>3870</v>
      </c>
      <c r="AY55" s="21">
        <v>3813</v>
      </c>
      <c r="AZ55" s="21">
        <v>3885</v>
      </c>
      <c r="BA55" s="21">
        <v>3925</v>
      </c>
      <c r="BB55" s="21">
        <v>3961</v>
      </c>
      <c r="BC55" s="21">
        <v>4088</v>
      </c>
      <c r="BD55" s="21">
        <v>3952</v>
      </c>
      <c r="BE55" s="21">
        <v>3884</v>
      </c>
      <c r="BF55" s="21">
        <v>3740</v>
      </c>
      <c r="BG55" s="21">
        <v>3512</v>
      </c>
      <c r="BH55" s="21">
        <v>3393</v>
      </c>
      <c r="BI55" s="21">
        <v>3369</v>
      </c>
      <c r="BJ55" s="21">
        <v>3357</v>
      </c>
      <c r="BK55" s="21">
        <v>3380</v>
      </c>
      <c r="BL55" s="21">
        <v>3531</v>
      </c>
      <c r="BM55" s="1">
        <v>3437</v>
      </c>
      <c r="BN55" s="1">
        <v>3305</v>
      </c>
      <c r="BO55" s="1">
        <v>3116</v>
      </c>
      <c r="BP55" s="1">
        <v>3150</v>
      </c>
      <c r="BQ55" s="1">
        <v>3132</v>
      </c>
      <c r="BR55" s="1">
        <v>3175</v>
      </c>
      <c r="BS55" s="1">
        <v>3173</v>
      </c>
      <c r="BT55" s="1">
        <v>3288</v>
      </c>
      <c r="BU55" s="1">
        <v>3372</v>
      </c>
      <c r="BV55" s="1">
        <v>3335</v>
      </c>
      <c r="BW55" s="1">
        <v>3312</v>
      </c>
      <c r="BX55" s="1">
        <v>3409</v>
      </c>
      <c r="BY55" s="1">
        <v>3364</v>
      </c>
      <c r="BZ55" s="1">
        <v>3331</v>
      </c>
    </row>
    <row r="56" spans="1:254" ht="15.9" customHeight="1">
      <c r="A56" s="65" t="s">
        <v>107</v>
      </c>
      <c r="B56" s="41" t="s">
        <v>108</v>
      </c>
      <c r="C56" s="45">
        <f>_xll.RssMarket("9412","安値")</f>
        <v>2230</v>
      </c>
      <c r="D56" s="16">
        <f t="shared" si="1"/>
        <v>0</v>
      </c>
      <c r="E56" s="21">
        <v>2230</v>
      </c>
      <c r="F56" s="21">
        <v>2235</v>
      </c>
      <c r="G56" s="21">
        <v>2141</v>
      </c>
      <c r="H56" s="21">
        <v>2061</v>
      </c>
      <c r="I56" s="21">
        <v>2066</v>
      </c>
      <c r="J56" s="21">
        <v>2014</v>
      </c>
      <c r="K56" s="21">
        <v>2007</v>
      </c>
      <c r="L56" s="21">
        <v>2093</v>
      </c>
      <c r="M56" s="21">
        <v>2171</v>
      </c>
      <c r="N56" s="21">
        <v>2180</v>
      </c>
      <c r="O56" s="21">
        <v>2240</v>
      </c>
      <c r="P56" s="21">
        <v>2288</v>
      </c>
      <c r="Q56" s="21">
        <v>2243</v>
      </c>
      <c r="R56" s="21">
        <v>2226</v>
      </c>
      <c r="S56" s="21">
        <v>2417</v>
      </c>
      <c r="T56" s="21">
        <v>2435</v>
      </c>
      <c r="U56" s="21">
        <v>2452</v>
      </c>
      <c r="V56" s="21">
        <v>2523</v>
      </c>
      <c r="W56" s="21">
        <v>2529</v>
      </c>
      <c r="X56" s="21">
        <v>2554</v>
      </c>
      <c r="Y56" s="21">
        <v>2551</v>
      </c>
      <c r="Z56" s="21">
        <v>2645</v>
      </c>
      <c r="AA56" s="21">
        <v>2645</v>
      </c>
      <c r="AB56" s="21">
        <v>2565</v>
      </c>
      <c r="AC56" s="21">
        <v>2529</v>
      </c>
      <c r="AD56" s="21">
        <v>2615</v>
      </c>
      <c r="AE56" s="21">
        <v>2469</v>
      </c>
      <c r="AF56" s="21">
        <v>2431</v>
      </c>
      <c r="AG56" s="21">
        <v>2592</v>
      </c>
      <c r="AH56" s="21">
        <v>2741</v>
      </c>
      <c r="AI56" s="21">
        <v>2859</v>
      </c>
      <c r="AJ56" s="21">
        <v>3070</v>
      </c>
      <c r="AK56" s="21">
        <v>3135</v>
      </c>
      <c r="AL56" s="21">
        <v>3275</v>
      </c>
      <c r="AM56" s="21">
        <v>3295</v>
      </c>
      <c r="AN56" s="21">
        <v>3240</v>
      </c>
      <c r="AO56" s="21">
        <v>3195</v>
      </c>
      <c r="AP56" s="21">
        <v>3345</v>
      </c>
      <c r="AQ56" s="21">
        <v>3085</v>
      </c>
      <c r="AR56" s="21">
        <v>3105</v>
      </c>
      <c r="AS56" s="21">
        <v>3350</v>
      </c>
      <c r="AT56" s="21">
        <v>3525</v>
      </c>
      <c r="AU56" s="21">
        <v>3290</v>
      </c>
      <c r="AV56" s="21">
        <v>3570</v>
      </c>
      <c r="AW56" s="21">
        <v>3595</v>
      </c>
      <c r="AX56" s="21">
        <v>4435</v>
      </c>
      <c r="AY56" s="21">
        <v>4265</v>
      </c>
      <c r="AZ56" s="21">
        <v>4425</v>
      </c>
      <c r="BA56" s="21">
        <v>4365</v>
      </c>
      <c r="BB56" s="21">
        <v>4050</v>
      </c>
      <c r="BC56" s="21">
        <v>4090</v>
      </c>
      <c r="BD56" s="21">
        <v>3865</v>
      </c>
      <c r="BE56" s="21">
        <v>4035</v>
      </c>
      <c r="BF56" s="21">
        <v>3980</v>
      </c>
      <c r="BG56" s="21">
        <v>4085</v>
      </c>
      <c r="BH56" s="21">
        <v>4135</v>
      </c>
      <c r="BI56" s="21">
        <v>3835</v>
      </c>
      <c r="BJ56" s="21">
        <v>3750</v>
      </c>
      <c r="BK56" s="21">
        <v>3705</v>
      </c>
      <c r="BL56" s="21">
        <v>3500</v>
      </c>
      <c r="BM56" s="1">
        <v>3470</v>
      </c>
      <c r="BN56" s="1">
        <v>3490</v>
      </c>
      <c r="BO56" s="1">
        <v>3330</v>
      </c>
      <c r="BP56" s="1">
        <v>3085</v>
      </c>
      <c r="BQ56" s="1">
        <v>3060</v>
      </c>
      <c r="BR56" s="1">
        <v>3140</v>
      </c>
      <c r="BS56" s="1">
        <v>3100</v>
      </c>
      <c r="BT56" s="1">
        <v>3170</v>
      </c>
      <c r="BU56" s="1">
        <v>3260</v>
      </c>
      <c r="BV56" s="1">
        <v>3270</v>
      </c>
      <c r="BW56" s="1">
        <v>3215</v>
      </c>
      <c r="BX56" s="1">
        <v>3170</v>
      </c>
      <c r="BY56" s="1">
        <v>3125</v>
      </c>
      <c r="BZ56" s="1">
        <v>3055</v>
      </c>
    </row>
    <row r="57" spans="1:254" ht="15.9" customHeight="1">
      <c r="A57" s="65" t="s">
        <v>109</v>
      </c>
      <c r="B57" s="41" t="s">
        <v>110</v>
      </c>
      <c r="C57" s="45">
        <f>_xll.RssMarket("6203","安値")</f>
        <v>1416</v>
      </c>
      <c r="D57" s="16">
        <f t="shared" si="1"/>
        <v>0</v>
      </c>
      <c r="E57" s="21">
        <v>1416</v>
      </c>
      <c r="F57" s="21">
        <v>1405</v>
      </c>
      <c r="G57" s="21">
        <v>1365</v>
      </c>
      <c r="H57" s="21">
        <v>1350</v>
      </c>
      <c r="I57" s="21">
        <v>1344</v>
      </c>
      <c r="J57" s="21">
        <v>1296</v>
      </c>
      <c r="K57" s="21">
        <v>1298</v>
      </c>
      <c r="L57" s="21">
        <v>1362</v>
      </c>
      <c r="M57" s="21">
        <v>1400</v>
      </c>
      <c r="N57" s="21">
        <v>1420</v>
      </c>
      <c r="O57" s="21">
        <v>1426</v>
      </c>
      <c r="P57" s="21">
        <v>1421</v>
      </c>
      <c r="Q57" s="21">
        <v>1386</v>
      </c>
      <c r="R57" s="21">
        <v>1372</v>
      </c>
      <c r="S57" s="21">
        <v>1522</v>
      </c>
      <c r="T57" s="21">
        <v>1532</v>
      </c>
      <c r="U57" s="21">
        <v>1542</v>
      </c>
      <c r="V57" s="21">
        <v>1573</v>
      </c>
      <c r="W57" s="21">
        <v>1557</v>
      </c>
      <c r="X57" s="21">
        <v>1584</v>
      </c>
      <c r="Y57" s="21">
        <v>1651</v>
      </c>
      <c r="Z57" s="21">
        <v>1641</v>
      </c>
      <c r="AA57" s="21">
        <v>1576</v>
      </c>
      <c r="AB57" s="21">
        <v>1500</v>
      </c>
      <c r="AC57" s="21">
        <v>1500</v>
      </c>
      <c r="AD57" s="21">
        <v>1485</v>
      </c>
      <c r="AE57" s="21">
        <v>1515</v>
      </c>
      <c r="AF57" s="21">
        <v>1558</v>
      </c>
      <c r="AG57" s="21">
        <v>1530</v>
      </c>
      <c r="AH57" s="21">
        <v>1547</v>
      </c>
      <c r="AI57" s="21">
        <v>1594</v>
      </c>
      <c r="AJ57" s="21">
        <v>1610</v>
      </c>
      <c r="AK57" s="21">
        <v>1592</v>
      </c>
      <c r="AL57" s="21">
        <v>1635</v>
      </c>
      <c r="AM57" s="21">
        <v>1570</v>
      </c>
      <c r="AN57" s="21">
        <v>1480</v>
      </c>
      <c r="AO57" s="21">
        <v>1530</v>
      </c>
      <c r="AP57" s="21">
        <v>1500</v>
      </c>
      <c r="AQ57" s="21">
        <v>1543</v>
      </c>
      <c r="AR57" s="21">
        <v>1625</v>
      </c>
      <c r="AS57" s="21">
        <v>1700</v>
      </c>
      <c r="AT57" s="21">
        <v>1688</v>
      </c>
      <c r="AU57" s="21">
        <v>1683</v>
      </c>
      <c r="AV57" s="21">
        <v>1820</v>
      </c>
      <c r="AW57" s="21">
        <v>1802</v>
      </c>
      <c r="AX57" s="21">
        <v>1704</v>
      </c>
      <c r="AY57" s="21">
        <v>1450</v>
      </c>
      <c r="AZ57" s="21">
        <v>1340</v>
      </c>
      <c r="BA57" s="21">
        <v>1349</v>
      </c>
      <c r="BB57" s="21">
        <v>1327</v>
      </c>
      <c r="BC57" s="21">
        <v>1297</v>
      </c>
      <c r="BD57" s="21">
        <v>1262</v>
      </c>
      <c r="BE57" s="21">
        <v>1298</v>
      </c>
      <c r="BF57" s="21">
        <v>1272</v>
      </c>
      <c r="BG57" s="21">
        <v>1319</v>
      </c>
      <c r="BH57" s="21">
        <v>1380</v>
      </c>
      <c r="BI57" s="21">
        <v>1406</v>
      </c>
      <c r="BJ57" s="21">
        <v>1450</v>
      </c>
      <c r="BK57" s="21">
        <v>1491</v>
      </c>
      <c r="BL57" s="21">
        <v>1441</v>
      </c>
      <c r="BM57" s="1">
        <v>1530</v>
      </c>
      <c r="BN57" s="1">
        <v>1503</v>
      </c>
      <c r="BO57" s="1">
        <v>1482</v>
      </c>
      <c r="BP57" s="1">
        <v>1496</v>
      </c>
      <c r="BQ57" s="1">
        <v>1459</v>
      </c>
      <c r="BR57" s="1">
        <v>1457</v>
      </c>
      <c r="BS57" s="1">
        <v>1468</v>
      </c>
      <c r="BT57" s="1">
        <v>1417</v>
      </c>
      <c r="BU57" s="1">
        <v>1334</v>
      </c>
      <c r="BV57" s="1">
        <v>1357</v>
      </c>
      <c r="BW57" s="1">
        <v>1339</v>
      </c>
      <c r="BX57" s="1">
        <v>1336</v>
      </c>
      <c r="BY57" s="1">
        <v>1389</v>
      </c>
      <c r="BZ57" s="1">
        <v>1445</v>
      </c>
    </row>
    <row r="58" spans="1:254" ht="15.9" customHeight="1">
      <c r="A58" s="65" t="s">
        <v>111</v>
      </c>
      <c r="B58" s="41" t="s">
        <v>112</v>
      </c>
      <c r="C58" s="45">
        <f>_xll.RssMarket("4676","安値")</f>
        <v>4003</v>
      </c>
      <c r="D58" s="16">
        <f t="shared" si="1"/>
        <v>0</v>
      </c>
      <c r="E58" s="21">
        <v>4003</v>
      </c>
      <c r="F58" s="21">
        <v>3934</v>
      </c>
      <c r="G58" s="21">
        <v>3851</v>
      </c>
      <c r="H58" s="21">
        <v>3856</v>
      </c>
      <c r="I58" s="21">
        <v>3981</v>
      </c>
      <c r="J58" s="21">
        <v>4136</v>
      </c>
      <c r="K58" s="21">
        <v>4157</v>
      </c>
      <c r="L58" s="21">
        <v>4131</v>
      </c>
      <c r="M58" s="21">
        <v>4063</v>
      </c>
      <c r="N58" s="21">
        <v>3975</v>
      </c>
      <c r="O58" s="21">
        <v>4003</v>
      </c>
      <c r="P58" s="21">
        <v>4038</v>
      </c>
      <c r="Q58" s="21">
        <v>4062</v>
      </c>
      <c r="R58" s="21">
        <v>3989</v>
      </c>
      <c r="S58" s="21">
        <v>4164</v>
      </c>
      <c r="T58" s="21">
        <v>4132</v>
      </c>
      <c r="U58" s="21">
        <v>4097</v>
      </c>
      <c r="V58" s="21">
        <v>4080</v>
      </c>
      <c r="W58" s="21">
        <v>4007</v>
      </c>
      <c r="X58" s="21">
        <v>4065</v>
      </c>
      <c r="Y58" s="21">
        <v>4074</v>
      </c>
      <c r="Z58" s="21">
        <v>3985</v>
      </c>
      <c r="AA58" s="21">
        <v>3966</v>
      </c>
      <c r="AB58" s="21">
        <v>3967</v>
      </c>
      <c r="AC58" s="21">
        <v>3864</v>
      </c>
      <c r="AD58" s="21">
        <v>3821</v>
      </c>
      <c r="AE58" s="21">
        <v>3806</v>
      </c>
      <c r="AF58" s="21">
        <v>3835</v>
      </c>
      <c r="AG58" s="21">
        <v>3826</v>
      </c>
      <c r="AH58" s="21">
        <v>3796</v>
      </c>
      <c r="AI58" s="21">
        <v>3871</v>
      </c>
      <c r="AJ58" s="21">
        <v>3976</v>
      </c>
      <c r="AK58" s="21">
        <v>3914</v>
      </c>
      <c r="AL58" s="21">
        <v>3960</v>
      </c>
      <c r="AM58" s="21">
        <v>3999</v>
      </c>
      <c r="AN58" s="21">
        <v>3952</v>
      </c>
      <c r="AO58" s="21">
        <v>4026</v>
      </c>
      <c r="AP58" s="21">
        <v>4014</v>
      </c>
      <c r="AQ58" s="21">
        <v>4037</v>
      </c>
      <c r="AR58" s="21">
        <v>4092</v>
      </c>
      <c r="AS58" s="21">
        <v>4089</v>
      </c>
      <c r="AT58" s="21">
        <v>4033</v>
      </c>
      <c r="AU58" s="21">
        <v>3787</v>
      </c>
      <c r="AV58" s="21">
        <v>3793</v>
      </c>
      <c r="AW58" s="21">
        <v>3792</v>
      </c>
      <c r="AX58" s="21">
        <v>3703</v>
      </c>
      <c r="AY58" s="21">
        <v>3721</v>
      </c>
      <c r="AZ58" s="21">
        <v>3639</v>
      </c>
      <c r="BA58" s="21">
        <v>3686</v>
      </c>
      <c r="BB58" s="21">
        <v>3799</v>
      </c>
      <c r="BC58" s="21">
        <v>3758</v>
      </c>
      <c r="BD58" s="21">
        <v>3767</v>
      </c>
      <c r="BE58" s="21">
        <v>3721</v>
      </c>
      <c r="BF58" s="21">
        <v>3615</v>
      </c>
      <c r="BG58" s="21">
        <v>3753</v>
      </c>
      <c r="BH58" s="21">
        <v>3728</v>
      </c>
      <c r="BI58" s="21">
        <v>3635</v>
      </c>
      <c r="BJ58" s="21">
        <v>3861</v>
      </c>
      <c r="BK58" s="21">
        <v>3862</v>
      </c>
      <c r="BL58" s="21">
        <v>3874</v>
      </c>
      <c r="BM58" s="1">
        <v>3850</v>
      </c>
      <c r="BN58" s="1">
        <v>3826</v>
      </c>
      <c r="BO58" s="1">
        <v>3728</v>
      </c>
      <c r="BP58" s="1">
        <v>3868</v>
      </c>
      <c r="BQ58" s="1">
        <v>3925</v>
      </c>
      <c r="BR58" s="1">
        <v>3932</v>
      </c>
      <c r="BS58" s="1">
        <v>3901</v>
      </c>
      <c r="BT58" s="1">
        <v>3867</v>
      </c>
      <c r="BU58" s="1">
        <v>3931</v>
      </c>
      <c r="BV58" s="1">
        <v>3831</v>
      </c>
      <c r="BW58" s="1">
        <v>3761</v>
      </c>
      <c r="BX58" s="1">
        <v>3718</v>
      </c>
      <c r="BY58" s="1">
        <v>4148</v>
      </c>
      <c r="BZ58" s="1">
        <v>4171</v>
      </c>
    </row>
    <row r="59" spans="1:254" ht="15.9" customHeight="1">
      <c r="A59" s="65" t="s">
        <v>113</v>
      </c>
      <c r="B59" s="41" t="s">
        <v>114</v>
      </c>
      <c r="C59" s="45">
        <f>_xll.RssMarket("1961","安値")</f>
        <v>2367</v>
      </c>
      <c r="D59" s="16">
        <f t="shared" si="1"/>
        <v>0</v>
      </c>
      <c r="E59" s="21">
        <v>2367</v>
      </c>
      <c r="F59" s="21">
        <v>2282</v>
      </c>
      <c r="G59" s="21">
        <v>2228</v>
      </c>
      <c r="H59" s="21">
        <v>2182</v>
      </c>
      <c r="I59" s="21">
        <v>2291</v>
      </c>
      <c r="J59" s="21">
        <v>2127</v>
      </c>
      <c r="K59" s="21">
        <v>2172</v>
      </c>
      <c r="L59" s="21">
        <v>2329</v>
      </c>
      <c r="M59" s="21">
        <v>2372</v>
      </c>
      <c r="N59" s="21">
        <v>2350</v>
      </c>
      <c r="O59" s="21">
        <v>2429</v>
      </c>
      <c r="P59" s="21">
        <v>2475</v>
      </c>
      <c r="Q59" s="21">
        <v>2407</v>
      </c>
      <c r="R59" s="21">
        <v>2426</v>
      </c>
      <c r="S59" s="21">
        <v>2566</v>
      </c>
      <c r="T59" s="21">
        <v>2452</v>
      </c>
      <c r="U59" s="21">
        <v>2542</v>
      </c>
      <c r="V59" s="21">
        <v>2645</v>
      </c>
      <c r="W59" s="21">
        <v>2617</v>
      </c>
      <c r="X59" s="21">
        <v>2640</v>
      </c>
      <c r="Y59" s="21">
        <v>2787</v>
      </c>
      <c r="Z59" s="21">
        <v>2796</v>
      </c>
      <c r="AA59" s="21">
        <v>2712</v>
      </c>
      <c r="AB59" s="21">
        <v>2764</v>
      </c>
      <c r="AC59" s="21">
        <v>2853</v>
      </c>
      <c r="AD59" s="21">
        <v>2958</v>
      </c>
      <c r="AE59" s="21">
        <v>3030</v>
      </c>
      <c r="AF59" s="21">
        <v>3080</v>
      </c>
      <c r="AG59" s="21">
        <v>3065</v>
      </c>
      <c r="AH59" s="21">
        <v>2979</v>
      </c>
      <c r="AI59" s="21">
        <v>3025</v>
      </c>
      <c r="AJ59" s="21">
        <v>3020</v>
      </c>
      <c r="AK59" s="21">
        <v>3005</v>
      </c>
      <c r="AL59" s="21">
        <v>2719</v>
      </c>
      <c r="AM59" s="21">
        <v>2639</v>
      </c>
      <c r="AN59" s="21">
        <v>2556</v>
      </c>
      <c r="AO59" s="21">
        <v>2578</v>
      </c>
      <c r="AP59" s="21">
        <v>2453</v>
      </c>
      <c r="AQ59" s="21">
        <v>2383</v>
      </c>
      <c r="AR59" s="21">
        <v>2450</v>
      </c>
      <c r="AS59" s="21">
        <v>2254</v>
      </c>
      <c r="AT59" s="21">
        <v>2287</v>
      </c>
      <c r="AU59" s="21">
        <v>2180</v>
      </c>
      <c r="AV59" s="21">
        <v>2116</v>
      </c>
      <c r="AW59" s="21">
        <v>2114</v>
      </c>
      <c r="AX59" s="21">
        <v>2235</v>
      </c>
      <c r="AY59" s="21">
        <v>2196</v>
      </c>
      <c r="AZ59" s="21">
        <v>2227</v>
      </c>
      <c r="BA59" s="21">
        <v>2198</v>
      </c>
      <c r="BB59" s="21">
        <v>2170</v>
      </c>
      <c r="BC59" s="21">
        <v>2171</v>
      </c>
      <c r="BD59" s="21">
        <v>2221</v>
      </c>
      <c r="BE59" s="21">
        <v>2387</v>
      </c>
      <c r="BF59" s="21">
        <v>2388</v>
      </c>
      <c r="BG59" s="21">
        <v>2529</v>
      </c>
      <c r="BH59" s="21">
        <v>2486</v>
      </c>
      <c r="BI59" s="21">
        <v>2592</v>
      </c>
      <c r="BJ59" s="21">
        <v>2636</v>
      </c>
      <c r="BK59" s="21">
        <v>2531</v>
      </c>
      <c r="BL59" s="21">
        <v>2474</v>
      </c>
      <c r="BM59" s="1">
        <v>2498</v>
      </c>
      <c r="BN59" s="1">
        <v>2352</v>
      </c>
      <c r="BO59" s="1">
        <v>2350</v>
      </c>
      <c r="BP59" s="1">
        <v>2264</v>
      </c>
      <c r="BQ59" s="1">
        <v>2280</v>
      </c>
      <c r="BR59" s="1">
        <v>2266.6666</v>
      </c>
      <c r="BS59" s="1">
        <v>2216.6666</v>
      </c>
      <c r="BT59" s="1">
        <v>2320</v>
      </c>
      <c r="BU59" s="1">
        <v>2350</v>
      </c>
      <c r="BV59" s="1">
        <v>2326.6666</v>
      </c>
      <c r="BW59" s="1">
        <v>2356.6666</v>
      </c>
      <c r="BX59" s="1">
        <v>2360</v>
      </c>
      <c r="BY59" s="1">
        <v>2436.6666</v>
      </c>
      <c r="BZ59" s="1">
        <v>2636.6666</v>
      </c>
    </row>
    <row r="60" spans="1:254" ht="15.9" customHeight="1">
      <c r="A60" s="65" t="s">
        <v>115</v>
      </c>
      <c r="B60" s="41" t="s">
        <v>116</v>
      </c>
      <c r="C60" s="45">
        <f>_xll.RssMarket("3107","安値")</f>
        <v>3711</v>
      </c>
      <c r="D60" s="16">
        <f t="shared" si="1"/>
        <v>0</v>
      </c>
      <c r="E60" s="21">
        <v>3711</v>
      </c>
      <c r="F60" s="21">
        <v>3618</v>
      </c>
      <c r="G60" s="21">
        <v>3542</v>
      </c>
      <c r="H60" s="21">
        <v>3485</v>
      </c>
      <c r="I60" s="21">
        <v>3538</v>
      </c>
      <c r="J60" s="21">
        <v>3559</v>
      </c>
      <c r="K60" s="21">
        <v>3602</v>
      </c>
      <c r="L60" s="21">
        <v>3555</v>
      </c>
      <c r="M60" s="21">
        <v>3515</v>
      </c>
      <c r="N60" s="21">
        <v>3424</v>
      </c>
      <c r="O60" s="21">
        <v>3439</v>
      </c>
      <c r="P60" s="21">
        <v>3454</v>
      </c>
      <c r="Q60" s="21">
        <v>3416</v>
      </c>
      <c r="R60" s="21">
        <v>3365</v>
      </c>
      <c r="S60" s="21">
        <v>3377</v>
      </c>
      <c r="T60" s="21">
        <v>3336</v>
      </c>
      <c r="U60" s="21">
        <v>3326</v>
      </c>
      <c r="V60" s="21">
        <v>3373</v>
      </c>
      <c r="W60" s="21">
        <v>3390</v>
      </c>
      <c r="X60" s="21">
        <v>3394</v>
      </c>
      <c r="Y60" s="21">
        <v>3447</v>
      </c>
      <c r="Z60" s="21">
        <v>3498</v>
      </c>
      <c r="AA60" s="21">
        <v>3469</v>
      </c>
      <c r="AB60" s="21">
        <v>3419</v>
      </c>
      <c r="AC60" s="21">
        <v>3408</v>
      </c>
      <c r="AD60" s="21">
        <v>3449</v>
      </c>
      <c r="AE60" s="21">
        <v>3412</v>
      </c>
      <c r="AF60" s="21">
        <v>3409</v>
      </c>
      <c r="AG60" s="21">
        <v>3347</v>
      </c>
      <c r="AH60" s="21">
        <v>3318</v>
      </c>
      <c r="AI60" s="21">
        <v>3320</v>
      </c>
      <c r="AJ60" s="21">
        <v>3316</v>
      </c>
      <c r="AK60" s="21">
        <v>3311</v>
      </c>
      <c r="AL60" s="21">
        <v>3309</v>
      </c>
      <c r="AM60" s="21">
        <v>3325</v>
      </c>
      <c r="AN60" s="21">
        <v>3394</v>
      </c>
      <c r="AO60" s="21">
        <v>3412</v>
      </c>
      <c r="AP60" s="21">
        <v>3411</v>
      </c>
      <c r="AQ60" s="21">
        <v>3392</v>
      </c>
      <c r="AR60" s="21">
        <v>3408</v>
      </c>
      <c r="AS60" s="21">
        <v>3461</v>
      </c>
      <c r="AT60" s="21">
        <v>3458</v>
      </c>
      <c r="AU60" s="21">
        <v>3451</v>
      </c>
      <c r="AV60" s="21">
        <v>3534</v>
      </c>
      <c r="AW60" s="21">
        <v>3500</v>
      </c>
      <c r="AX60" s="21">
        <v>3396</v>
      </c>
      <c r="AY60" s="21">
        <v>3346</v>
      </c>
      <c r="AZ60" s="21">
        <v>3328</v>
      </c>
      <c r="BA60" s="21">
        <v>3329</v>
      </c>
      <c r="BB60" s="21">
        <v>3481</v>
      </c>
      <c r="BC60" s="21">
        <v>3523</v>
      </c>
      <c r="BD60" s="21">
        <v>3477</v>
      </c>
      <c r="BE60" s="21">
        <v>3489</v>
      </c>
      <c r="BF60" s="21">
        <v>3451</v>
      </c>
      <c r="BG60" s="21">
        <v>3381</v>
      </c>
      <c r="BH60" s="21">
        <v>3401</v>
      </c>
      <c r="BI60" s="21">
        <v>3386</v>
      </c>
      <c r="BJ60" s="21">
        <v>3363</v>
      </c>
      <c r="BK60" s="21">
        <v>3372</v>
      </c>
      <c r="BL60" s="21">
        <v>3303</v>
      </c>
      <c r="BM60" s="1">
        <v>3211</v>
      </c>
      <c r="BN60" s="1">
        <v>3136</v>
      </c>
      <c r="BO60" s="1">
        <v>3149</v>
      </c>
      <c r="BP60" s="1">
        <v>3181</v>
      </c>
      <c r="BQ60" s="1">
        <v>3122</v>
      </c>
      <c r="BR60" s="1">
        <v>3091</v>
      </c>
      <c r="BS60" s="1">
        <v>3064</v>
      </c>
      <c r="BT60" s="1">
        <v>3060</v>
      </c>
      <c r="BU60" s="1">
        <v>3083</v>
      </c>
      <c r="BV60" s="1">
        <v>3109</v>
      </c>
      <c r="BW60" s="1">
        <v>3163</v>
      </c>
      <c r="BX60" s="1">
        <v>3165</v>
      </c>
      <c r="BY60" s="1">
        <v>3150</v>
      </c>
      <c r="BZ60" s="1">
        <v>3127</v>
      </c>
    </row>
    <row r="61" spans="1:254" ht="15.9" customHeight="1">
      <c r="A61" s="65" t="s">
        <v>117</v>
      </c>
      <c r="B61" s="41" t="s">
        <v>118</v>
      </c>
      <c r="C61" s="45">
        <f>_xll.RssMarket("4045","安値")</f>
        <v>1836</v>
      </c>
      <c r="D61" s="16">
        <f t="shared" si="1"/>
        <v>0</v>
      </c>
      <c r="E61" s="21">
        <v>1836</v>
      </c>
      <c r="F61" s="21">
        <v>1826.5</v>
      </c>
      <c r="G61" s="21">
        <v>1808.5</v>
      </c>
      <c r="H61" s="21">
        <v>1787.5</v>
      </c>
      <c r="I61" s="21">
        <v>1755</v>
      </c>
      <c r="J61" s="21">
        <v>1768</v>
      </c>
      <c r="K61" s="21">
        <v>1772.5</v>
      </c>
      <c r="L61" s="21">
        <v>1780.5</v>
      </c>
      <c r="M61" s="21">
        <v>1775</v>
      </c>
      <c r="N61" s="21">
        <v>1743</v>
      </c>
      <c r="O61" s="21">
        <v>1761.5</v>
      </c>
      <c r="P61" s="21">
        <v>1757</v>
      </c>
      <c r="Q61" s="21">
        <v>1729</v>
      </c>
      <c r="R61" s="21">
        <v>1702</v>
      </c>
      <c r="S61" s="21">
        <v>1739.5</v>
      </c>
      <c r="T61" s="21">
        <v>1709</v>
      </c>
      <c r="U61" s="21">
        <v>1702.5</v>
      </c>
      <c r="V61" s="21">
        <v>1723.5</v>
      </c>
      <c r="W61" s="21">
        <v>1735</v>
      </c>
      <c r="X61" s="21">
        <v>1737</v>
      </c>
      <c r="Y61" s="21">
        <v>1755</v>
      </c>
      <c r="Z61" s="21">
        <v>1768</v>
      </c>
      <c r="AA61" s="21">
        <v>1745</v>
      </c>
      <c r="AB61" s="21">
        <v>1740.5</v>
      </c>
      <c r="AC61" s="21">
        <v>1734.5</v>
      </c>
      <c r="AD61" s="21">
        <v>1736</v>
      </c>
      <c r="AE61" s="21">
        <v>1731.5</v>
      </c>
      <c r="AF61" s="21">
        <v>1764</v>
      </c>
      <c r="AG61" s="21">
        <v>1777.5</v>
      </c>
      <c r="AH61" s="21">
        <v>1727</v>
      </c>
      <c r="AI61" s="21">
        <v>1740.5</v>
      </c>
      <c r="AJ61" s="21">
        <v>1759</v>
      </c>
      <c r="AK61" s="21">
        <v>1755</v>
      </c>
      <c r="AL61" s="21">
        <v>1763</v>
      </c>
      <c r="AM61" s="21">
        <v>1749</v>
      </c>
      <c r="AN61" s="21">
        <v>1745.5</v>
      </c>
      <c r="AO61" s="21">
        <v>1750</v>
      </c>
      <c r="AP61" s="21">
        <v>1722</v>
      </c>
      <c r="AQ61" s="21">
        <v>1683</v>
      </c>
      <c r="AR61" s="21">
        <v>1688.5</v>
      </c>
      <c r="AS61" s="21">
        <v>1700</v>
      </c>
      <c r="AT61" s="21">
        <v>1728</v>
      </c>
      <c r="AU61" s="21">
        <v>1729.5</v>
      </c>
      <c r="AV61" s="21">
        <v>1738</v>
      </c>
      <c r="AW61" s="21">
        <v>1705.5</v>
      </c>
      <c r="AX61" s="21">
        <v>1748</v>
      </c>
      <c r="AY61" s="21">
        <v>1725</v>
      </c>
      <c r="AZ61" s="21">
        <v>1722</v>
      </c>
      <c r="BA61" s="21">
        <v>1720</v>
      </c>
      <c r="BB61" s="21">
        <v>1705</v>
      </c>
      <c r="BC61" s="21">
        <v>1698.5</v>
      </c>
      <c r="BD61" s="21">
        <v>1681</v>
      </c>
      <c r="BE61" s="21">
        <v>1717</v>
      </c>
      <c r="BF61" s="21">
        <v>1734.5</v>
      </c>
      <c r="BG61" s="21">
        <v>1733</v>
      </c>
      <c r="BH61" s="21">
        <v>1747</v>
      </c>
      <c r="BI61" s="21">
        <v>1723.5</v>
      </c>
      <c r="BJ61" s="21">
        <v>1718</v>
      </c>
      <c r="BK61" s="21">
        <v>1715</v>
      </c>
      <c r="BL61" s="21">
        <v>1707</v>
      </c>
      <c r="BM61" s="1">
        <v>1724.5</v>
      </c>
      <c r="BN61" s="1">
        <v>1690</v>
      </c>
      <c r="BO61" s="1">
        <v>1666</v>
      </c>
      <c r="BP61" s="1">
        <v>1663.5</v>
      </c>
      <c r="BQ61" s="1">
        <v>1708</v>
      </c>
      <c r="BR61" s="1">
        <v>1743.5</v>
      </c>
      <c r="BS61" s="1">
        <v>1751</v>
      </c>
      <c r="BT61" s="1">
        <v>1748.5</v>
      </c>
      <c r="BU61" s="1">
        <v>1790</v>
      </c>
      <c r="BV61" s="1">
        <v>1783.5</v>
      </c>
      <c r="BW61" s="1">
        <v>1796</v>
      </c>
      <c r="BX61" s="1">
        <v>1783</v>
      </c>
      <c r="BY61" s="1">
        <v>1782.5</v>
      </c>
      <c r="BZ61" s="1">
        <v>1772.5</v>
      </c>
    </row>
    <row r="62" spans="1:254" ht="15.9" customHeight="1">
      <c r="A62" s="65" t="s">
        <v>119</v>
      </c>
      <c r="B62" s="41" t="s">
        <v>120</v>
      </c>
      <c r="C62" s="45">
        <f>_xll.RssMarket("5857","安値")</f>
        <v>3380</v>
      </c>
      <c r="D62" s="16">
        <f t="shared" si="1"/>
        <v>0</v>
      </c>
      <c r="E62" s="21">
        <v>3380</v>
      </c>
      <c r="F62" s="21">
        <v>3160</v>
      </c>
      <c r="G62" s="21">
        <v>3025</v>
      </c>
      <c r="H62" s="21">
        <v>2964</v>
      </c>
      <c r="I62" s="21">
        <v>3015</v>
      </c>
      <c r="J62" s="21">
        <v>2965</v>
      </c>
      <c r="K62" s="21">
        <v>2947</v>
      </c>
      <c r="L62" s="21">
        <v>3005</v>
      </c>
      <c r="M62" s="21">
        <v>3075</v>
      </c>
      <c r="N62" s="21">
        <v>3060</v>
      </c>
      <c r="O62" s="21">
        <v>3100</v>
      </c>
      <c r="P62" s="21">
        <v>3035</v>
      </c>
      <c r="Q62" s="21">
        <v>2946</v>
      </c>
      <c r="R62" s="21">
        <v>2863</v>
      </c>
      <c r="S62" s="21">
        <v>3030</v>
      </c>
      <c r="T62" s="21">
        <v>2949</v>
      </c>
      <c r="U62" s="21">
        <v>2938</v>
      </c>
      <c r="V62" s="21">
        <v>2930</v>
      </c>
      <c r="W62" s="21">
        <v>2924</v>
      </c>
      <c r="X62" s="21">
        <v>2967</v>
      </c>
      <c r="Y62" s="21">
        <v>3000</v>
      </c>
      <c r="Z62" s="21">
        <v>3055</v>
      </c>
      <c r="AA62" s="21">
        <v>2951</v>
      </c>
      <c r="AB62" s="21">
        <v>2921</v>
      </c>
      <c r="AC62" s="21">
        <v>2907</v>
      </c>
      <c r="AD62" s="21">
        <v>2907</v>
      </c>
      <c r="AE62" s="21">
        <v>2880</v>
      </c>
      <c r="AF62" s="21">
        <v>2838</v>
      </c>
      <c r="AG62" s="21">
        <v>2860</v>
      </c>
      <c r="AH62" s="21">
        <v>3060</v>
      </c>
      <c r="AI62" s="21">
        <v>3100</v>
      </c>
      <c r="AJ62" s="21">
        <v>3190</v>
      </c>
      <c r="AK62" s="21">
        <v>3150</v>
      </c>
      <c r="AL62" s="21">
        <v>3175</v>
      </c>
      <c r="AM62" s="21">
        <v>3190</v>
      </c>
      <c r="AN62" s="21">
        <v>3155</v>
      </c>
      <c r="AO62" s="21">
        <v>3135</v>
      </c>
      <c r="AP62" s="21">
        <v>2947</v>
      </c>
      <c r="AQ62" s="21">
        <v>2865</v>
      </c>
      <c r="AR62" s="21">
        <v>2982</v>
      </c>
      <c r="AS62" s="21">
        <v>3010</v>
      </c>
      <c r="AT62" s="21">
        <v>3150</v>
      </c>
      <c r="AU62" s="21">
        <v>3130</v>
      </c>
      <c r="AV62" s="21">
        <v>3230</v>
      </c>
      <c r="AW62" s="21">
        <v>3085</v>
      </c>
      <c r="AX62" s="21">
        <v>3260</v>
      </c>
      <c r="AY62" s="21">
        <v>3185</v>
      </c>
      <c r="AZ62" s="21">
        <v>3305</v>
      </c>
      <c r="BA62" s="21">
        <v>3445</v>
      </c>
      <c r="BB62" s="21">
        <v>3430</v>
      </c>
      <c r="BC62" s="21">
        <v>3420</v>
      </c>
      <c r="BD62" s="21">
        <v>3420</v>
      </c>
      <c r="BE62" s="21">
        <v>3660</v>
      </c>
      <c r="BF62" s="21">
        <v>3695</v>
      </c>
      <c r="BG62" s="21">
        <v>3840</v>
      </c>
      <c r="BH62" s="21">
        <v>3860</v>
      </c>
      <c r="BI62" s="21">
        <v>3835</v>
      </c>
      <c r="BJ62" s="21">
        <v>3855</v>
      </c>
      <c r="BK62" s="21">
        <v>3845</v>
      </c>
      <c r="BL62" s="21">
        <v>3880</v>
      </c>
      <c r="BM62" s="1">
        <v>3690</v>
      </c>
      <c r="BN62" s="1">
        <v>3485</v>
      </c>
      <c r="BO62" s="1">
        <v>3470</v>
      </c>
      <c r="BP62" s="1">
        <v>3610</v>
      </c>
      <c r="BQ62" s="1">
        <v>3555</v>
      </c>
      <c r="BR62" s="1">
        <v>3625</v>
      </c>
      <c r="BS62" s="1">
        <v>3640</v>
      </c>
      <c r="BT62" s="1">
        <v>3755</v>
      </c>
      <c r="BU62" s="1">
        <v>3925</v>
      </c>
      <c r="BV62" s="1">
        <v>3720</v>
      </c>
      <c r="BW62" s="1">
        <v>3775</v>
      </c>
      <c r="BX62" s="1">
        <v>3735</v>
      </c>
      <c r="BY62" s="1">
        <v>3730</v>
      </c>
      <c r="BZ62" s="1">
        <v>3710</v>
      </c>
    </row>
    <row r="63" spans="1:254" ht="15.9" customHeight="1">
      <c r="A63" s="65" t="s">
        <v>121</v>
      </c>
      <c r="B63" s="41" t="s">
        <v>122</v>
      </c>
      <c r="C63" s="45">
        <f>_xll.RssMarket("8281","安値")</f>
        <v>1069</v>
      </c>
      <c r="D63" s="16">
        <f t="shared" si="1"/>
        <v>0</v>
      </c>
      <c r="E63" s="21">
        <v>1069</v>
      </c>
      <c r="F63" s="21">
        <v>1067</v>
      </c>
      <c r="G63" s="21">
        <v>1074</v>
      </c>
      <c r="H63" s="21">
        <v>1078</v>
      </c>
      <c r="I63" s="21">
        <v>1096</v>
      </c>
      <c r="J63" s="21">
        <v>1115</v>
      </c>
      <c r="K63" s="21">
        <v>1116</v>
      </c>
      <c r="L63" s="21">
        <v>1107</v>
      </c>
      <c r="M63" s="21">
        <v>1103</v>
      </c>
      <c r="N63" s="21"/>
      <c r="O63" s="21">
        <v>1091</v>
      </c>
      <c r="P63" s="21">
        <v>1092</v>
      </c>
      <c r="Q63" s="21">
        <v>1107</v>
      </c>
      <c r="R63" s="21">
        <v>1099</v>
      </c>
      <c r="S63" s="21">
        <v>1093</v>
      </c>
      <c r="T63" s="21">
        <v>1085</v>
      </c>
      <c r="U63" s="21">
        <v>1078</v>
      </c>
      <c r="V63" s="21">
        <v>1085</v>
      </c>
      <c r="W63" s="21">
        <v>1093</v>
      </c>
      <c r="X63" s="21">
        <v>1107</v>
      </c>
      <c r="Y63" s="21">
        <v>1103</v>
      </c>
      <c r="Z63" s="21">
        <v>1080</v>
      </c>
      <c r="AA63" s="21">
        <v>1068</v>
      </c>
      <c r="AB63" s="21">
        <v>1063</v>
      </c>
      <c r="AC63" s="21">
        <v>1042</v>
      </c>
      <c r="AD63" s="21">
        <v>1052</v>
      </c>
      <c r="AE63" s="21">
        <v>1060</v>
      </c>
      <c r="AF63" s="21">
        <v>1059</v>
      </c>
      <c r="AG63" s="21">
        <v>1035</v>
      </c>
      <c r="AH63" s="21">
        <v>1025</v>
      </c>
      <c r="AI63" s="21">
        <v>1018</v>
      </c>
      <c r="AJ63" s="21">
        <v>1024</v>
      </c>
      <c r="AK63" s="21">
        <v>1035</v>
      </c>
      <c r="AL63" s="21">
        <v>1038</v>
      </c>
      <c r="AM63" s="21">
        <v>1050</v>
      </c>
      <c r="AN63" s="21">
        <v>1044</v>
      </c>
      <c r="AO63" s="21">
        <v>1061</v>
      </c>
      <c r="AP63" s="21">
        <v>1052</v>
      </c>
      <c r="AQ63" s="21">
        <v>1048</v>
      </c>
      <c r="AR63" s="21">
        <v>1036</v>
      </c>
      <c r="AS63" s="21">
        <v>1020</v>
      </c>
      <c r="AT63" s="21">
        <v>1018</v>
      </c>
      <c r="AU63" s="21">
        <v>999</v>
      </c>
      <c r="AV63" s="21">
        <v>1006</v>
      </c>
      <c r="AW63" s="21">
        <v>1013</v>
      </c>
      <c r="AX63" s="21">
        <v>1058</v>
      </c>
      <c r="AY63" s="21">
        <v>1040</v>
      </c>
      <c r="AZ63" s="21">
        <v>1029</v>
      </c>
      <c r="BA63" s="21">
        <v>1029</v>
      </c>
      <c r="BB63" s="21">
        <v>1041</v>
      </c>
      <c r="BC63" s="21">
        <v>1044</v>
      </c>
      <c r="BD63" s="21">
        <v>1035</v>
      </c>
      <c r="BE63" s="21">
        <v>1021</v>
      </c>
      <c r="BF63" s="21">
        <v>990</v>
      </c>
      <c r="BG63" s="21">
        <v>960</v>
      </c>
      <c r="BH63" s="21">
        <v>954</v>
      </c>
      <c r="BI63" s="21">
        <v>957</v>
      </c>
      <c r="BJ63" s="21">
        <v>954</v>
      </c>
      <c r="BK63" s="21">
        <v>959</v>
      </c>
      <c r="BL63" s="21">
        <v>962</v>
      </c>
      <c r="BM63" s="1">
        <v>951</v>
      </c>
      <c r="BN63" s="1">
        <v>984</v>
      </c>
      <c r="BO63" s="1">
        <v>986</v>
      </c>
      <c r="BP63" s="1">
        <v>990</v>
      </c>
      <c r="BQ63" s="1">
        <v>987</v>
      </c>
      <c r="BR63" s="1">
        <v>991</v>
      </c>
      <c r="BS63" s="1">
        <v>997</v>
      </c>
      <c r="BT63" s="1">
        <v>1006</v>
      </c>
      <c r="BU63" s="1">
        <v>1020</v>
      </c>
      <c r="BV63" s="1">
        <v>1020</v>
      </c>
      <c r="BW63" s="1">
        <v>1015</v>
      </c>
      <c r="BX63" s="1">
        <v>1015</v>
      </c>
      <c r="BY63" s="1">
        <v>1013</v>
      </c>
      <c r="BZ63" s="1">
        <v>1004</v>
      </c>
    </row>
    <row r="64" spans="1:254" ht="15.9" customHeight="1">
      <c r="A64" s="65" t="s">
        <v>123</v>
      </c>
      <c r="B64" s="41" t="s">
        <v>124</v>
      </c>
      <c r="C64" s="45">
        <f>_xll.RssMarket("4540","安値")</f>
        <v>3717</v>
      </c>
      <c r="D64" s="16">
        <f t="shared" si="1"/>
        <v>0</v>
      </c>
      <c r="E64" s="21">
        <v>3717</v>
      </c>
      <c r="F64" s="21">
        <v>3702</v>
      </c>
      <c r="G64" s="21">
        <v>3751</v>
      </c>
      <c r="H64" s="21">
        <v>3730</v>
      </c>
      <c r="I64" s="21">
        <v>3817</v>
      </c>
      <c r="J64" s="21">
        <v>3904</v>
      </c>
      <c r="K64" s="21">
        <v>3926</v>
      </c>
      <c r="L64" s="21">
        <v>3906</v>
      </c>
      <c r="M64" s="21">
        <v>3810</v>
      </c>
      <c r="N64" s="21">
        <v>3777</v>
      </c>
      <c r="O64" s="21">
        <v>3792</v>
      </c>
      <c r="P64" s="21">
        <v>3843</v>
      </c>
      <c r="Q64" s="21">
        <v>3871</v>
      </c>
      <c r="R64" s="21">
        <v>3814</v>
      </c>
      <c r="S64" s="21">
        <v>3848</v>
      </c>
      <c r="T64" s="21">
        <v>3824</v>
      </c>
      <c r="U64" s="21">
        <v>3810</v>
      </c>
      <c r="V64" s="21">
        <v>3775</v>
      </c>
      <c r="W64" s="21">
        <v>3765</v>
      </c>
      <c r="X64" s="21">
        <v>3786</v>
      </c>
      <c r="Y64" s="21">
        <v>3775</v>
      </c>
      <c r="Z64" s="21">
        <v>3756</v>
      </c>
      <c r="AA64" s="21">
        <v>3745</v>
      </c>
      <c r="AB64" s="21">
        <v>3711</v>
      </c>
      <c r="AC64" s="21">
        <v>3696</v>
      </c>
      <c r="AD64" s="21">
        <v>3698</v>
      </c>
      <c r="AE64" s="21">
        <v>3700</v>
      </c>
      <c r="AF64" s="21">
        <v>3701</v>
      </c>
      <c r="AG64" s="21">
        <v>3697</v>
      </c>
      <c r="AH64" s="21">
        <v>3723</v>
      </c>
      <c r="AI64" s="21">
        <v>3710</v>
      </c>
      <c r="AJ64" s="21">
        <v>3709</v>
      </c>
      <c r="AK64" s="21">
        <v>3712</v>
      </c>
      <c r="AL64" s="21">
        <v>3713</v>
      </c>
      <c r="AM64" s="21">
        <v>3703</v>
      </c>
      <c r="AN64" s="21">
        <v>3687</v>
      </c>
      <c r="AO64" s="21">
        <v>3716</v>
      </c>
      <c r="AP64" s="21">
        <v>3715</v>
      </c>
      <c r="AQ64" s="21">
        <v>3727</v>
      </c>
      <c r="AR64" s="21">
        <v>3700</v>
      </c>
      <c r="AS64" s="21">
        <v>3661</v>
      </c>
      <c r="AT64" s="21">
        <v>3670</v>
      </c>
      <c r="AU64" s="21">
        <v>3705</v>
      </c>
      <c r="AV64" s="21">
        <v>3672</v>
      </c>
      <c r="AW64" s="21">
        <v>3677</v>
      </c>
      <c r="AX64" s="21">
        <v>3784</v>
      </c>
      <c r="AY64" s="21">
        <v>3736</v>
      </c>
      <c r="AZ64" s="21">
        <v>3723</v>
      </c>
      <c r="BA64" s="21">
        <v>3720</v>
      </c>
      <c r="BB64" s="21">
        <v>3796</v>
      </c>
      <c r="BC64" s="21">
        <v>3895</v>
      </c>
      <c r="BD64" s="21">
        <v>3898</v>
      </c>
      <c r="BE64" s="21">
        <v>3821</v>
      </c>
      <c r="BF64" s="21">
        <v>3780</v>
      </c>
      <c r="BG64" s="21">
        <v>3750</v>
      </c>
      <c r="BH64" s="21">
        <v>3668</v>
      </c>
      <c r="BI64" s="21">
        <v>3536</v>
      </c>
      <c r="BJ64" s="21">
        <v>3513</v>
      </c>
      <c r="BK64" s="21">
        <v>3557</v>
      </c>
      <c r="BL64" s="21">
        <v>3569</v>
      </c>
      <c r="BM64" s="1">
        <v>3591</v>
      </c>
      <c r="BN64" s="1">
        <v>3615</v>
      </c>
      <c r="BO64" s="1">
        <v>3628</v>
      </c>
      <c r="BP64" s="1">
        <v>3630</v>
      </c>
      <c r="BQ64" s="1">
        <v>3679</v>
      </c>
      <c r="BR64" s="1">
        <v>3659</v>
      </c>
      <c r="BS64" s="1">
        <v>3667</v>
      </c>
      <c r="BT64" s="1">
        <v>3664</v>
      </c>
      <c r="BU64" s="1">
        <v>3715</v>
      </c>
      <c r="BV64" s="1">
        <v>3742</v>
      </c>
      <c r="BW64" s="1">
        <v>3748</v>
      </c>
      <c r="BX64" s="1">
        <v>3753</v>
      </c>
      <c r="BY64" s="1">
        <v>3750</v>
      </c>
      <c r="BZ64" s="1">
        <v>3735</v>
      </c>
    </row>
    <row r="65" spans="1:254" ht="15.9" customHeight="1">
      <c r="A65" s="65" t="s">
        <v>125</v>
      </c>
      <c r="B65" s="41" t="s">
        <v>126</v>
      </c>
      <c r="C65" s="45">
        <f>_xll.RssMarket("9984","安値")</f>
        <v>5542</v>
      </c>
      <c r="D65" s="16">
        <f t="shared" si="1"/>
        <v>0</v>
      </c>
      <c r="E65" s="21">
        <v>5542</v>
      </c>
      <c r="F65" s="21">
        <v>5605</v>
      </c>
      <c r="G65" s="21">
        <v>5118</v>
      </c>
      <c r="H65" s="21">
        <v>5060</v>
      </c>
      <c r="I65" s="21">
        <v>5228</v>
      </c>
      <c r="J65" s="21">
        <v>4500</v>
      </c>
      <c r="K65" s="21">
        <v>4580</v>
      </c>
      <c r="L65" s="21">
        <v>4982</v>
      </c>
      <c r="M65" s="21">
        <v>5219</v>
      </c>
      <c r="N65" s="21">
        <v>5411</v>
      </c>
      <c r="O65" s="21">
        <v>5687</v>
      </c>
      <c r="P65" s="21">
        <v>5690</v>
      </c>
      <c r="Q65" s="21">
        <v>5364</v>
      </c>
      <c r="R65" s="21">
        <v>5191</v>
      </c>
      <c r="S65" s="21">
        <v>6311</v>
      </c>
      <c r="T65" s="21">
        <v>6018</v>
      </c>
      <c r="U65" s="21">
        <v>6231</v>
      </c>
      <c r="V65" s="21">
        <v>6004</v>
      </c>
      <c r="W65" s="21">
        <v>5724</v>
      </c>
      <c r="X65" s="21">
        <v>5567</v>
      </c>
      <c r="Y65" s="21">
        <v>5691</v>
      </c>
      <c r="Z65" s="21">
        <v>5866</v>
      </c>
      <c r="AA65" s="21">
        <v>5831</v>
      </c>
      <c r="AB65" s="21">
        <v>5741</v>
      </c>
      <c r="AC65" s="21">
        <v>5975</v>
      </c>
      <c r="AD65" s="21">
        <v>5711</v>
      </c>
      <c r="AE65" s="21">
        <v>5828</v>
      </c>
      <c r="AF65" s="21">
        <v>6114</v>
      </c>
      <c r="AG65" s="21">
        <v>6401</v>
      </c>
      <c r="AH65" s="21">
        <v>6356</v>
      </c>
      <c r="AI65" s="21">
        <v>6500</v>
      </c>
      <c r="AJ65" s="21">
        <v>7104</v>
      </c>
      <c r="AK65" s="21">
        <v>7087</v>
      </c>
      <c r="AL65" s="21">
        <v>7051</v>
      </c>
      <c r="AM65" s="21">
        <v>6730</v>
      </c>
      <c r="AN65" s="21">
        <v>6854</v>
      </c>
      <c r="AO65" s="21">
        <v>7010</v>
      </c>
      <c r="AP65" s="21">
        <v>6373</v>
      </c>
      <c r="AQ65" s="21">
        <v>5977</v>
      </c>
      <c r="AR65" s="21">
        <v>6315</v>
      </c>
      <c r="AS65" s="21">
        <v>6641</v>
      </c>
      <c r="AT65" s="21">
        <v>7105</v>
      </c>
      <c r="AU65" s="21">
        <v>7363</v>
      </c>
      <c r="AV65" s="21">
        <v>8180</v>
      </c>
      <c r="AW65" s="21">
        <v>8261</v>
      </c>
      <c r="AX65" s="21">
        <v>7321</v>
      </c>
      <c r="AY65" s="21">
        <v>6861</v>
      </c>
      <c r="AZ65" s="21">
        <v>7262</v>
      </c>
      <c r="BA65" s="21">
        <v>6642</v>
      </c>
      <c r="BB65" s="21">
        <v>6614</v>
      </c>
      <c r="BC65" s="21">
        <v>5700</v>
      </c>
      <c r="BD65" s="21">
        <v>4880</v>
      </c>
      <c r="BE65" s="21">
        <v>5278</v>
      </c>
      <c r="BF65" s="21">
        <v>5430</v>
      </c>
      <c r="BG65" s="21">
        <v>5686</v>
      </c>
      <c r="BH65" s="21">
        <v>5714</v>
      </c>
      <c r="BI65" s="21">
        <v>5781</v>
      </c>
      <c r="BJ65" s="21">
        <v>5812</v>
      </c>
      <c r="BK65" s="21">
        <v>5700</v>
      </c>
      <c r="BL65" s="21">
        <v>6008</v>
      </c>
      <c r="BM65" s="1">
        <v>5887</v>
      </c>
      <c r="BN65" s="1">
        <v>5249</v>
      </c>
      <c r="BO65" s="1">
        <v>4956</v>
      </c>
      <c r="BP65" s="1">
        <v>5227</v>
      </c>
      <c r="BQ65" s="1">
        <v>5800</v>
      </c>
      <c r="BR65" s="1">
        <v>5743</v>
      </c>
      <c r="BS65" s="1">
        <v>5664</v>
      </c>
      <c r="BT65" s="1">
        <v>5114</v>
      </c>
      <c r="BU65" s="1">
        <v>4892</v>
      </c>
      <c r="BV65" s="1">
        <v>4556</v>
      </c>
      <c r="BW65" s="1">
        <v>4493</v>
      </c>
      <c r="BX65" s="1">
        <v>4437</v>
      </c>
      <c r="BY65" s="1">
        <v>4346</v>
      </c>
      <c r="BZ65" s="1">
        <v>3903</v>
      </c>
    </row>
    <row r="66" spans="1:254" ht="15.9" customHeight="1">
      <c r="A66" s="65" t="s">
        <v>127</v>
      </c>
      <c r="B66" s="41" t="s">
        <v>128</v>
      </c>
      <c r="C66" s="44">
        <f>_xll.RssMarket("4063","安値")</f>
        <v>6090</v>
      </c>
      <c r="D66" s="16">
        <f t="shared" si="1"/>
        <v>0</v>
      </c>
      <c r="E66" s="21">
        <v>6090</v>
      </c>
      <c r="F66" s="21">
        <v>6004</v>
      </c>
      <c r="G66" s="21">
        <v>5850</v>
      </c>
      <c r="H66" s="21">
        <v>5674</v>
      </c>
      <c r="I66" s="21">
        <v>5800</v>
      </c>
      <c r="J66" s="21">
        <v>5696</v>
      </c>
      <c r="K66" s="21">
        <v>5636</v>
      </c>
      <c r="L66" s="21">
        <v>5846</v>
      </c>
      <c r="M66" s="21">
        <v>6137</v>
      </c>
      <c r="N66" s="21">
        <v>6603</v>
      </c>
      <c r="O66" s="21">
        <v>6943</v>
      </c>
      <c r="P66" s="21">
        <v>7072</v>
      </c>
      <c r="Q66" s="21">
        <v>7086</v>
      </c>
      <c r="R66" s="21">
        <v>6984</v>
      </c>
      <c r="S66" s="21">
        <v>7482</v>
      </c>
      <c r="T66" s="21">
        <v>7256</v>
      </c>
      <c r="U66" s="21">
        <v>7309</v>
      </c>
      <c r="V66" s="21">
        <v>7216</v>
      </c>
      <c r="W66" s="21">
        <v>6890</v>
      </c>
      <c r="X66" s="21">
        <v>6920</v>
      </c>
      <c r="Y66" s="21">
        <v>7115</v>
      </c>
      <c r="Z66" s="21">
        <v>7050</v>
      </c>
      <c r="AA66" s="21">
        <v>6789</v>
      </c>
      <c r="AB66" s="21">
        <v>6992</v>
      </c>
      <c r="AC66" s="21">
        <v>6975</v>
      </c>
      <c r="AD66" s="21">
        <v>6932</v>
      </c>
      <c r="AE66" s="21">
        <v>6733</v>
      </c>
      <c r="AF66" s="21">
        <v>6835</v>
      </c>
      <c r="AG66" s="21">
        <v>7074</v>
      </c>
      <c r="AH66" s="21">
        <v>6955</v>
      </c>
      <c r="AI66" s="21">
        <v>7216</v>
      </c>
      <c r="AJ66" s="21">
        <v>7139</v>
      </c>
      <c r="AK66" s="21">
        <v>7294</v>
      </c>
      <c r="AL66" s="21">
        <v>7407</v>
      </c>
      <c r="AM66" s="21">
        <v>7372</v>
      </c>
      <c r="AN66" s="21">
        <v>7435</v>
      </c>
      <c r="AO66" s="21">
        <v>7393</v>
      </c>
      <c r="AP66" s="21">
        <v>7025</v>
      </c>
      <c r="AQ66" s="21">
        <v>6473</v>
      </c>
      <c r="AR66" s="21">
        <v>6570</v>
      </c>
      <c r="AS66" s="21">
        <v>6783</v>
      </c>
      <c r="AT66" s="21">
        <v>7233</v>
      </c>
      <c r="AU66" s="21">
        <v>7492</v>
      </c>
      <c r="AV66" s="21">
        <v>7526</v>
      </c>
      <c r="AW66" s="21">
        <v>7194</v>
      </c>
      <c r="AX66" s="21">
        <v>7451</v>
      </c>
      <c r="AY66" s="21">
        <v>7233</v>
      </c>
      <c r="AZ66" s="21">
        <v>7219</v>
      </c>
      <c r="BA66" s="21">
        <v>6996</v>
      </c>
      <c r="BB66" s="21">
        <v>6834</v>
      </c>
      <c r="BC66" s="21">
        <v>6857</v>
      </c>
      <c r="BD66" s="21">
        <v>6766</v>
      </c>
      <c r="BE66" s="21">
        <v>6928</v>
      </c>
      <c r="BF66" s="21">
        <v>6945</v>
      </c>
      <c r="BG66" s="21">
        <v>7040</v>
      </c>
      <c r="BH66" s="21">
        <v>7363</v>
      </c>
      <c r="BI66" s="21">
        <v>7334</v>
      </c>
      <c r="BJ66" s="21">
        <v>7455</v>
      </c>
      <c r="BK66" s="21">
        <v>7509</v>
      </c>
      <c r="BL66" s="21">
        <v>7451</v>
      </c>
      <c r="BM66" s="1">
        <v>7509</v>
      </c>
      <c r="BN66" s="1">
        <v>7054</v>
      </c>
      <c r="BO66" s="1">
        <v>7076</v>
      </c>
      <c r="BP66" s="1">
        <v>6940</v>
      </c>
      <c r="BQ66" s="1">
        <v>6780</v>
      </c>
      <c r="BR66" s="1">
        <v>6722</v>
      </c>
      <c r="BS66" s="1">
        <v>6584</v>
      </c>
      <c r="BT66" s="1">
        <v>6634</v>
      </c>
      <c r="BU66" s="1">
        <v>6733</v>
      </c>
      <c r="BV66" s="1">
        <v>6730</v>
      </c>
      <c r="BW66" s="1">
        <v>6772</v>
      </c>
      <c r="BX66" s="1">
        <v>6654</v>
      </c>
      <c r="BY66" s="1">
        <v>6725</v>
      </c>
      <c r="BZ66" s="1">
        <v>6573</v>
      </c>
    </row>
    <row r="67" spans="1:254" ht="15.9" customHeight="1">
      <c r="A67" s="65" t="s">
        <v>129</v>
      </c>
      <c r="B67" s="41" t="s">
        <v>130</v>
      </c>
      <c r="C67" s="45">
        <f>_xll.RssMarket("4536","安値")</f>
        <v>1851.5</v>
      </c>
      <c r="D67" s="16">
        <f t="shared" si="1"/>
        <v>0</v>
      </c>
      <c r="E67" s="21">
        <v>1851.5</v>
      </c>
      <c r="F67" s="21">
        <v>1845</v>
      </c>
      <c r="G67" s="21">
        <v>1826.5</v>
      </c>
      <c r="H67" s="21">
        <v>1844</v>
      </c>
      <c r="I67" s="21">
        <v>1858.5</v>
      </c>
      <c r="J67" s="21">
        <v>1933.5</v>
      </c>
      <c r="K67" s="21">
        <v>1968</v>
      </c>
      <c r="L67" s="21">
        <v>1952</v>
      </c>
      <c r="M67" s="21">
        <v>1951</v>
      </c>
      <c r="N67" s="21"/>
      <c r="O67" s="21">
        <v>1950.5</v>
      </c>
      <c r="P67" s="21">
        <v>1987</v>
      </c>
      <c r="Q67" s="21">
        <v>2014</v>
      </c>
      <c r="R67" s="21">
        <v>2018</v>
      </c>
      <c r="S67" s="21">
        <v>2095</v>
      </c>
      <c r="T67" s="21">
        <v>2115.5</v>
      </c>
      <c r="U67" s="21">
        <v>2122.5</v>
      </c>
      <c r="V67" s="21">
        <v>2120</v>
      </c>
      <c r="W67" s="21">
        <v>2160.5</v>
      </c>
      <c r="X67" s="21">
        <v>2145</v>
      </c>
      <c r="Y67" s="21">
        <v>2218.5</v>
      </c>
      <c r="Z67" s="21">
        <v>2211</v>
      </c>
      <c r="AA67" s="21">
        <v>2195</v>
      </c>
      <c r="AB67" s="21">
        <v>2134</v>
      </c>
      <c r="AC67" s="21">
        <v>2100</v>
      </c>
      <c r="AD67" s="21">
        <v>2123.5</v>
      </c>
      <c r="AE67" s="21">
        <v>2133</v>
      </c>
      <c r="AF67" s="21">
        <v>2114.5</v>
      </c>
      <c r="AG67" s="21">
        <v>2042</v>
      </c>
      <c r="AH67" s="21">
        <v>1952.5</v>
      </c>
      <c r="AI67" s="21">
        <v>1901</v>
      </c>
      <c r="AJ67" s="21">
        <v>1855</v>
      </c>
      <c r="AK67" s="21">
        <v>1835</v>
      </c>
      <c r="AL67" s="21">
        <v>1878</v>
      </c>
      <c r="AM67" s="21">
        <v>1863.5</v>
      </c>
      <c r="AN67" s="21">
        <v>1883</v>
      </c>
      <c r="AO67" s="21">
        <v>1899</v>
      </c>
      <c r="AP67" s="21">
        <v>1882.5</v>
      </c>
      <c r="AQ67" s="21">
        <v>1916.5</v>
      </c>
      <c r="AR67" s="21">
        <v>1942</v>
      </c>
      <c r="AS67" s="21">
        <v>1936</v>
      </c>
      <c r="AT67" s="21">
        <v>1903</v>
      </c>
      <c r="AU67" s="21">
        <v>1856</v>
      </c>
      <c r="AV67" s="21">
        <v>1829</v>
      </c>
      <c r="AW67" s="21">
        <v>1841</v>
      </c>
      <c r="AX67" s="21">
        <v>1887</v>
      </c>
      <c r="AY67" s="21">
        <v>1879</v>
      </c>
      <c r="AZ67" s="21">
        <v>1882</v>
      </c>
      <c r="BA67" s="21">
        <v>1919.5</v>
      </c>
      <c r="BB67" s="21">
        <v>1875</v>
      </c>
      <c r="BC67" s="21">
        <v>1872</v>
      </c>
      <c r="BD67" s="21">
        <v>1890.5</v>
      </c>
      <c r="BE67" s="21">
        <v>1799</v>
      </c>
      <c r="BF67" s="21">
        <v>1820</v>
      </c>
      <c r="BG67" s="21">
        <v>1829</v>
      </c>
      <c r="BH67" s="21">
        <v>1791</v>
      </c>
      <c r="BI67" s="21">
        <v>1652.5</v>
      </c>
      <c r="BJ67" s="21">
        <v>1561.5</v>
      </c>
      <c r="BK67" s="21">
        <v>1602.5</v>
      </c>
      <c r="BL67" s="21">
        <v>1588</v>
      </c>
      <c r="BM67" s="1">
        <v>1622</v>
      </c>
      <c r="BN67" s="1">
        <v>1611</v>
      </c>
      <c r="BO67" s="1">
        <v>1595.5</v>
      </c>
      <c r="BP67" s="1">
        <v>1631</v>
      </c>
      <c r="BQ67" s="1">
        <v>1643</v>
      </c>
      <c r="BR67" s="1">
        <v>1664.5</v>
      </c>
      <c r="BS67" s="1">
        <v>1649</v>
      </c>
      <c r="BT67" s="1">
        <v>1679.5</v>
      </c>
      <c r="BU67" s="1">
        <v>1712.5</v>
      </c>
      <c r="BV67" s="1">
        <v>1747</v>
      </c>
      <c r="BW67" s="1">
        <v>1772</v>
      </c>
      <c r="BX67" s="1">
        <v>1772.5</v>
      </c>
      <c r="BY67" s="1">
        <v>1790.5</v>
      </c>
      <c r="BZ67" s="1">
        <v>1789</v>
      </c>
    </row>
    <row r="68" spans="1:254" ht="15.9" customHeight="1">
      <c r="A68" s="65" t="s">
        <v>131</v>
      </c>
      <c r="B68" s="41" t="s">
        <v>132</v>
      </c>
      <c r="C68" s="45">
        <f>_xll.RssMarket("6503","安値")</f>
        <v>5799</v>
      </c>
      <c r="D68" s="16">
        <f t="shared" si="1"/>
        <v>0</v>
      </c>
      <c r="E68" s="21">
        <v>5799</v>
      </c>
      <c r="F68" s="21">
        <v>5678</v>
      </c>
      <c r="G68" s="21">
        <v>5500</v>
      </c>
      <c r="H68" s="21">
        <v>5357</v>
      </c>
      <c r="I68" s="21">
        <v>5531</v>
      </c>
      <c r="J68" s="21">
        <v>5071</v>
      </c>
      <c r="K68" s="21">
        <v>5050</v>
      </c>
      <c r="L68" s="21">
        <v>5291</v>
      </c>
      <c r="M68" s="21">
        <v>5552</v>
      </c>
      <c r="N68" s="21">
        <v>5586</v>
      </c>
      <c r="O68" s="21">
        <v>5673</v>
      </c>
      <c r="P68" s="21">
        <v>5629</v>
      </c>
      <c r="Q68" s="21">
        <v>5306</v>
      </c>
      <c r="R68" s="21">
        <v>5203</v>
      </c>
      <c r="S68" s="21">
        <v>5609</v>
      </c>
      <c r="T68" s="21">
        <v>5512</v>
      </c>
      <c r="U68" s="21">
        <v>5598</v>
      </c>
      <c r="V68" s="21">
        <v>5800</v>
      </c>
      <c r="W68" s="21">
        <v>5722</v>
      </c>
      <c r="X68" s="21">
        <v>5699</v>
      </c>
      <c r="Y68" s="21">
        <v>5896</v>
      </c>
      <c r="Z68" s="21">
        <v>5938</v>
      </c>
      <c r="AA68" s="21">
        <v>5795</v>
      </c>
      <c r="AB68" s="21">
        <v>5845</v>
      </c>
      <c r="AC68" s="21">
        <v>5888</v>
      </c>
      <c r="AD68" s="21">
        <v>5782</v>
      </c>
      <c r="AE68" s="21">
        <v>5724</v>
      </c>
      <c r="AF68" s="21">
        <v>5790</v>
      </c>
      <c r="AG68" s="21">
        <v>5927</v>
      </c>
      <c r="AH68" s="21">
        <v>5882</v>
      </c>
      <c r="AI68" s="21">
        <v>6087</v>
      </c>
      <c r="AJ68" s="21">
        <v>6065</v>
      </c>
      <c r="AK68" s="21">
        <v>6023</v>
      </c>
      <c r="AL68" s="21">
        <v>6040</v>
      </c>
      <c r="AM68" s="21">
        <v>5790</v>
      </c>
      <c r="AN68" s="21">
        <v>5820</v>
      </c>
      <c r="AO68" s="21">
        <v>5676</v>
      </c>
      <c r="AP68" s="21">
        <v>5455</v>
      </c>
      <c r="AQ68" s="21">
        <v>5225</v>
      </c>
      <c r="AR68" s="21">
        <v>5471</v>
      </c>
      <c r="AS68" s="21">
        <v>5490</v>
      </c>
      <c r="AT68" s="21">
        <v>5797</v>
      </c>
      <c r="AU68" s="21">
        <v>5908</v>
      </c>
      <c r="AV68" s="21">
        <v>6030</v>
      </c>
      <c r="AW68" s="21">
        <v>5867</v>
      </c>
      <c r="AX68" s="21">
        <v>6290</v>
      </c>
      <c r="AY68" s="21">
        <v>6320</v>
      </c>
      <c r="AZ68" s="21">
        <v>6488</v>
      </c>
      <c r="BA68" s="21">
        <v>6392</v>
      </c>
      <c r="BB68" s="21">
        <v>6080</v>
      </c>
      <c r="BC68" s="21">
        <v>5957</v>
      </c>
      <c r="BD68" s="21">
        <v>5623</v>
      </c>
      <c r="BE68" s="21">
        <v>6018</v>
      </c>
      <c r="BF68" s="21">
        <v>6200</v>
      </c>
      <c r="BG68" s="21">
        <v>6296</v>
      </c>
      <c r="BH68" s="21">
        <v>6382</v>
      </c>
      <c r="BI68" s="21">
        <v>6296</v>
      </c>
      <c r="BJ68" s="21">
        <v>6373</v>
      </c>
      <c r="BK68" s="21">
        <v>6382</v>
      </c>
      <c r="BL68" s="21">
        <v>6401</v>
      </c>
      <c r="BM68" s="1">
        <v>6349</v>
      </c>
      <c r="BN68" s="1">
        <v>6061</v>
      </c>
      <c r="BO68" s="1">
        <v>6115</v>
      </c>
      <c r="BP68" s="1">
        <v>5955</v>
      </c>
      <c r="BQ68" s="1">
        <v>5943</v>
      </c>
      <c r="BR68" s="1">
        <v>5814</v>
      </c>
      <c r="BS68" s="1">
        <v>5739</v>
      </c>
      <c r="BT68" s="1">
        <v>5845</v>
      </c>
      <c r="BU68" s="1">
        <v>6028</v>
      </c>
      <c r="BV68" s="1">
        <v>5866</v>
      </c>
      <c r="BW68" s="1">
        <v>5799</v>
      </c>
      <c r="BX68" s="1">
        <v>5878</v>
      </c>
      <c r="BY68" s="1">
        <v>5777</v>
      </c>
      <c r="BZ68" s="1">
        <v>5835</v>
      </c>
    </row>
    <row r="69" spans="1:254" ht="15.9" customHeight="1">
      <c r="A69" s="65" t="s">
        <v>133</v>
      </c>
      <c r="B69" s="41" t="s">
        <v>134</v>
      </c>
      <c r="C69" s="45">
        <f>_xll.RssMarket("4980","安値")</f>
        <v>3056</v>
      </c>
      <c r="D69" s="16">
        <f t="shared" si="1"/>
        <v>0</v>
      </c>
      <c r="E69" s="21">
        <v>3056</v>
      </c>
      <c r="F69" s="21">
        <v>3170</v>
      </c>
      <c r="G69" s="21">
        <v>3353</v>
      </c>
      <c r="H69" s="21">
        <v>3246</v>
      </c>
      <c r="I69" s="21">
        <v>3265</v>
      </c>
      <c r="J69" s="21">
        <v>3100</v>
      </c>
      <c r="K69" s="21">
        <v>3088</v>
      </c>
      <c r="L69" s="21">
        <v>3344</v>
      </c>
      <c r="M69" s="21">
        <v>3494</v>
      </c>
      <c r="N69" s="21">
        <v>3484</v>
      </c>
      <c r="O69" s="21">
        <v>3680</v>
      </c>
      <c r="P69" s="21">
        <v>3679</v>
      </c>
      <c r="Q69" s="21">
        <v>3465</v>
      </c>
      <c r="R69" s="21">
        <v>3402</v>
      </c>
      <c r="S69" s="21">
        <v>3870</v>
      </c>
      <c r="T69" s="21">
        <v>3788</v>
      </c>
      <c r="U69" s="21">
        <v>3891</v>
      </c>
      <c r="V69" s="21">
        <v>4139</v>
      </c>
      <c r="W69" s="21">
        <v>3982</v>
      </c>
      <c r="X69" s="21">
        <v>3887</v>
      </c>
      <c r="Y69" s="21">
        <v>4013</v>
      </c>
      <c r="Z69" s="21">
        <v>4176</v>
      </c>
      <c r="AA69" s="21">
        <v>3971</v>
      </c>
      <c r="AB69" s="21">
        <v>4025</v>
      </c>
      <c r="AC69" s="21">
        <v>4185</v>
      </c>
      <c r="AD69" s="21">
        <v>4178</v>
      </c>
      <c r="AE69" s="21">
        <v>4160</v>
      </c>
      <c r="AF69" s="21">
        <v>4354</v>
      </c>
      <c r="AG69" s="21">
        <v>4850</v>
      </c>
      <c r="AH69" s="21">
        <v>4817</v>
      </c>
      <c r="AI69" s="21">
        <v>4819</v>
      </c>
      <c r="AJ69" s="21">
        <v>4872</v>
      </c>
      <c r="AK69" s="21">
        <v>4683</v>
      </c>
      <c r="AL69" s="21">
        <v>4582</v>
      </c>
      <c r="AM69" s="21">
        <v>4361</v>
      </c>
      <c r="AN69" s="21">
        <v>4280</v>
      </c>
      <c r="AO69" s="21">
        <v>4122</v>
      </c>
      <c r="AP69" s="21">
        <v>3950</v>
      </c>
      <c r="AQ69" s="21">
        <v>3567</v>
      </c>
      <c r="AR69" s="21">
        <v>3653</v>
      </c>
      <c r="AS69" s="21">
        <v>3886</v>
      </c>
      <c r="AT69" s="21">
        <v>4217</v>
      </c>
      <c r="AU69" s="21">
        <v>4232</v>
      </c>
      <c r="AV69" s="21">
        <v>4448</v>
      </c>
      <c r="AW69" s="21">
        <v>4300</v>
      </c>
      <c r="AX69" s="21">
        <v>3965</v>
      </c>
      <c r="AY69" s="21">
        <v>3913</v>
      </c>
      <c r="AZ69" s="21">
        <v>3965</v>
      </c>
      <c r="BA69" s="21">
        <v>4126</v>
      </c>
      <c r="BB69" s="21">
        <v>4081</v>
      </c>
      <c r="BC69" s="21">
        <v>3795</v>
      </c>
      <c r="BD69" s="21">
        <v>3512</v>
      </c>
      <c r="BE69" s="21">
        <v>3750</v>
      </c>
      <c r="BF69" s="21">
        <v>4056</v>
      </c>
      <c r="BG69" s="21">
        <v>3849</v>
      </c>
      <c r="BH69" s="21">
        <v>3149</v>
      </c>
      <c r="BI69" s="21">
        <v>2573.5</v>
      </c>
      <c r="BJ69" s="21">
        <v>2656</v>
      </c>
      <c r="BK69" s="21">
        <v>2697</v>
      </c>
      <c r="BL69" s="21">
        <v>2601</v>
      </c>
      <c r="BM69" s="1">
        <v>2555</v>
      </c>
      <c r="BN69" s="1">
        <v>2435</v>
      </c>
      <c r="BO69" s="1">
        <v>2436.5</v>
      </c>
      <c r="BP69" s="1">
        <v>2452</v>
      </c>
      <c r="BQ69" s="1">
        <v>2463</v>
      </c>
      <c r="BR69" s="1">
        <v>2415.5</v>
      </c>
      <c r="BS69" s="1">
        <v>2359.5</v>
      </c>
      <c r="BT69" s="1">
        <v>2443.5</v>
      </c>
      <c r="BU69" s="1">
        <v>2413</v>
      </c>
      <c r="BV69" s="1">
        <v>2436</v>
      </c>
      <c r="BW69" s="1">
        <v>2392.5</v>
      </c>
      <c r="BX69" s="1">
        <v>2383</v>
      </c>
      <c r="BY69" s="1">
        <v>2355</v>
      </c>
      <c r="BZ69" s="1">
        <v>2352.5</v>
      </c>
    </row>
    <row r="70" spans="1:254" ht="15.9" customHeight="1">
      <c r="A70" s="65" t="s">
        <v>135</v>
      </c>
      <c r="B70" s="41" t="s">
        <v>136</v>
      </c>
      <c r="C70" s="45">
        <f>_xll.RssMarket("9424","安値")</f>
        <v>112</v>
      </c>
      <c r="D70" s="16">
        <f t="shared" ref="D70:D101" si="2">C70-E70</f>
        <v>0</v>
      </c>
      <c r="E70" s="21">
        <v>112</v>
      </c>
      <c r="F70" s="21">
        <v>113</v>
      </c>
      <c r="G70" s="21">
        <v>114</v>
      </c>
      <c r="H70" s="21">
        <v>113</v>
      </c>
      <c r="I70" s="21">
        <v>112</v>
      </c>
      <c r="J70" s="21">
        <v>111</v>
      </c>
      <c r="K70" s="21">
        <v>112</v>
      </c>
      <c r="L70" s="21">
        <v>112</v>
      </c>
      <c r="M70" s="21">
        <v>110</v>
      </c>
      <c r="N70" s="21"/>
      <c r="O70" s="21">
        <v>111</v>
      </c>
      <c r="P70" s="21">
        <v>112</v>
      </c>
      <c r="Q70" s="21">
        <v>113</v>
      </c>
      <c r="R70" s="21">
        <v>112</v>
      </c>
      <c r="S70" s="21">
        <v>115</v>
      </c>
      <c r="T70" s="21">
        <v>115</v>
      </c>
      <c r="U70" s="21">
        <v>113</v>
      </c>
      <c r="V70" s="21">
        <v>109</v>
      </c>
      <c r="W70" s="21">
        <v>109</v>
      </c>
      <c r="X70" s="21">
        <v>110</v>
      </c>
      <c r="Y70" s="21">
        <v>111</v>
      </c>
      <c r="Z70" s="21">
        <v>109</v>
      </c>
      <c r="AA70" s="21">
        <v>107</v>
      </c>
      <c r="AB70" s="21">
        <v>105</v>
      </c>
      <c r="AC70" s="21">
        <v>104</v>
      </c>
      <c r="AD70" s="21">
        <v>106</v>
      </c>
      <c r="AE70" s="21">
        <v>107</v>
      </c>
      <c r="AF70" s="21">
        <v>106</v>
      </c>
      <c r="AG70" s="21">
        <v>106</v>
      </c>
      <c r="AH70" s="21">
        <v>106</v>
      </c>
      <c r="AI70" s="21">
        <v>106</v>
      </c>
      <c r="AJ70" s="21">
        <v>112</v>
      </c>
      <c r="AK70" s="21">
        <v>113</v>
      </c>
      <c r="AL70" s="21">
        <v>113</v>
      </c>
      <c r="AM70" s="21">
        <v>113</v>
      </c>
      <c r="AN70" s="21">
        <v>112</v>
      </c>
      <c r="AO70" s="21">
        <v>111</v>
      </c>
      <c r="AP70" s="21">
        <v>111</v>
      </c>
      <c r="AQ70" s="21">
        <v>111</v>
      </c>
      <c r="AR70" s="21">
        <v>112</v>
      </c>
      <c r="AS70" s="21">
        <v>111</v>
      </c>
      <c r="AT70" s="21">
        <v>114</v>
      </c>
      <c r="AU70" s="21">
        <v>113</v>
      </c>
      <c r="AV70" s="21">
        <v>113</v>
      </c>
      <c r="AW70" s="21">
        <v>111</v>
      </c>
      <c r="AX70" s="21">
        <v>113</v>
      </c>
      <c r="AY70" s="21">
        <v>113</v>
      </c>
      <c r="AZ70" s="21">
        <v>113</v>
      </c>
      <c r="BA70" s="21">
        <v>120</v>
      </c>
      <c r="BB70" s="21">
        <v>121</v>
      </c>
      <c r="BC70" s="21">
        <v>120</v>
      </c>
      <c r="BD70" s="21">
        <v>121</v>
      </c>
      <c r="BE70" s="21">
        <v>122</v>
      </c>
      <c r="BF70" s="21">
        <v>121</v>
      </c>
      <c r="BG70" s="21">
        <v>124</v>
      </c>
      <c r="BH70" s="21">
        <v>124</v>
      </c>
      <c r="BI70" s="21">
        <v>125</v>
      </c>
      <c r="BJ70" s="21">
        <v>126</v>
      </c>
      <c r="BK70" s="21">
        <v>126</v>
      </c>
      <c r="BL70" s="21">
        <v>123</v>
      </c>
      <c r="BM70" s="1">
        <v>124</v>
      </c>
      <c r="BN70" s="1">
        <v>124</v>
      </c>
      <c r="BO70" s="1">
        <v>123</v>
      </c>
      <c r="BP70" s="1">
        <v>123</v>
      </c>
      <c r="BQ70" s="1">
        <v>124</v>
      </c>
      <c r="BR70" s="1">
        <v>125</v>
      </c>
      <c r="BS70" s="1">
        <v>124</v>
      </c>
      <c r="BT70" s="1">
        <v>128</v>
      </c>
      <c r="BU70" s="1">
        <v>129</v>
      </c>
      <c r="BV70" s="1">
        <v>128</v>
      </c>
      <c r="BW70" s="1">
        <v>130</v>
      </c>
      <c r="BX70" s="1">
        <v>131</v>
      </c>
      <c r="BY70" s="1">
        <v>126</v>
      </c>
      <c r="BZ70" s="1">
        <v>125</v>
      </c>
    </row>
    <row r="71" spans="1:254" ht="15.9" customHeight="1">
      <c r="A71" s="65" t="s">
        <v>137</v>
      </c>
      <c r="B71" s="41" t="s">
        <v>138</v>
      </c>
      <c r="C71" s="45">
        <f>_xll.RssMarket("3854","安値")</f>
        <v>2195</v>
      </c>
      <c r="D71" s="16">
        <f t="shared" si="2"/>
        <v>0</v>
      </c>
      <c r="E71" s="21">
        <v>2195</v>
      </c>
      <c r="F71" s="21">
        <v>2198</v>
      </c>
      <c r="G71" s="21">
        <v>2199</v>
      </c>
      <c r="H71" s="21">
        <v>2208</v>
      </c>
      <c r="I71" s="21">
        <v>2250</v>
      </c>
      <c r="J71" s="21">
        <v>2306</v>
      </c>
      <c r="K71" s="21">
        <v>2303</v>
      </c>
      <c r="L71" s="21">
        <v>2286</v>
      </c>
      <c r="M71" s="21">
        <v>2244</v>
      </c>
      <c r="N71" s="21">
        <v>2215</v>
      </c>
      <c r="O71" s="21">
        <v>2250</v>
      </c>
      <c r="P71" s="21">
        <v>2277</v>
      </c>
      <c r="Q71" s="21">
        <v>2327</v>
      </c>
      <c r="R71" s="21">
        <v>2343</v>
      </c>
      <c r="S71" s="21">
        <v>2366</v>
      </c>
      <c r="T71" s="21">
        <v>2375</v>
      </c>
      <c r="U71" s="21">
        <v>2403</v>
      </c>
      <c r="V71" s="21">
        <v>2412</v>
      </c>
      <c r="W71" s="21">
        <v>2436</v>
      </c>
      <c r="X71" s="21">
        <v>2463</v>
      </c>
      <c r="Y71" s="21">
        <v>2339</v>
      </c>
      <c r="Z71" s="21">
        <v>2317</v>
      </c>
      <c r="AA71" s="21">
        <v>2256</v>
      </c>
      <c r="AB71" s="21">
        <v>2208</v>
      </c>
      <c r="AC71" s="21">
        <v>2197</v>
      </c>
      <c r="AD71" s="21">
        <v>2199</v>
      </c>
      <c r="AE71" s="21">
        <v>2154</v>
      </c>
      <c r="AF71" s="21">
        <v>2120</v>
      </c>
      <c r="AG71" s="21">
        <v>2123</v>
      </c>
      <c r="AH71" s="21">
        <v>2156</v>
      </c>
      <c r="AI71" s="21">
        <v>2150</v>
      </c>
      <c r="AJ71" s="21">
        <v>2171</v>
      </c>
      <c r="AK71" s="21">
        <v>2155</v>
      </c>
      <c r="AL71" s="21">
        <v>2172</v>
      </c>
      <c r="AM71" s="21">
        <v>2159</v>
      </c>
      <c r="AN71" s="21">
        <v>2160</v>
      </c>
      <c r="AO71" s="21">
        <v>2198</v>
      </c>
      <c r="AP71" s="21">
        <v>2210</v>
      </c>
      <c r="AQ71" s="21">
        <v>2250</v>
      </c>
      <c r="AR71" s="21">
        <v>2390</v>
      </c>
      <c r="AS71" s="21">
        <v>2414</v>
      </c>
      <c r="AT71" s="21">
        <v>2490</v>
      </c>
      <c r="AU71" s="21">
        <v>2460</v>
      </c>
      <c r="AV71" s="21">
        <v>2600</v>
      </c>
      <c r="AW71" s="21">
        <v>2551</v>
      </c>
      <c r="AX71" s="21">
        <v>2551</v>
      </c>
      <c r="AY71" s="21">
        <v>2516</v>
      </c>
      <c r="AZ71" s="21">
        <v>2471</v>
      </c>
      <c r="BA71" s="21">
        <v>2496</v>
      </c>
      <c r="BB71" s="21">
        <v>2476</v>
      </c>
      <c r="BC71" s="21">
        <v>2446</v>
      </c>
      <c r="BD71" s="21">
        <v>2425</v>
      </c>
      <c r="BE71" s="21">
        <v>2405</v>
      </c>
      <c r="BF71" s="21">
        <v>2384</v>
      </c>
      <c r="BG71" s="21">
        <v>2325</v>
      </c>
      <c r="BH71" s="21">
        <v>2307</v>
      </c>
      <c r="BI71" s="21">
        <v>2363</v>
      </c>
      <c r="BJ71" s="21">
        <v>2368</v>
      </c>
      <c r="BK71" s="21">
        <v>2391</v>
      </c>
      <c r="BL71" s="21">
        <v>2371</v>
      </c>
      <c r="BM71" s="1">
        <v>2360</v>
      </c>
      <c r="BN71" s="1">
        <v>2334</v>
      </c>
      <c r="BO71" s="1">
        <v>2370</v>
      </c>
      <c r="BP71" s="1">
        <v>2384</v>
      </c>
      <c r="BQ71" s="1">
        <v>2382</v>
      </c>
      <c r="BR71" s="1">
        <v>2395</v>
      </c>
      <c r="BS71" s="1">
        <v>2412</v>
      </c>
      <c r="BT71" s="1">
        <v>2427</v>
      </c>
      <c r="BU71" s="1">
        <v>2436</v>
      </c>
      <c r="BV71" s="1">
        <v>2420</v>
      </c>
      <c r="BW71" s="1">
        <v>2395</v>
      </c>
      <c r="BX71" s="1">
        <v>2381</v>
      </c>
      <c r="BY71" s="1">
        <v>2398</v>
      </c>
      <c r="BZ71" s="1">
        <v>2371</v>
      </c>
    </row>
    <row r="72" spans="1:254" ht="15.9" customHeight="1">
      <c r="A72" s="65" t="s">
        <v>139</v>
      </c>
      <c r="B72" s="41" t="s">
        <v>140</v>
      </c>
      <c r="C72" s="45">
        <f>_xll.RssMarket("6027","安値")</f>
        <v>2340</v>
      </c>
      <c r="D72" s="16">
        <f t="shared" si="2"/>
        <v>0</v>
      </c>
      <c r="E72" s="21">
        <v>2340</v>
      </c>
      <c r="F72" s="21">
        <v>2305</v>
      </c>
      <c r="G72" s="21">
        <v>2255</v>
      </c>
      <c r="H72" s="21">
        <v>2277</v>
      </c>
      <c r="I72" s="21">
        <v>2291</v>
      </c>
      <c r="J72" s="21">
        <v>2253</v>
      </c>
      <c r="K72" s="21">
        <v>2211</v>
      </c>
      <c r="L72" s="21">
        <v>2268</v>
      </c>
      <c r="M72" s="21">
        <v>2204</v>
      </c>
      <c r="N72" s="21">
        <v>2169</v>
      </c>
      <c r="O72" s="21">
        <v>2203</v>
      </c>
      <c r="P72" s="21">
        <v>2286</v>
      </c>
      <c r="Q72" s="21">
        <v>2307</v>
      </c>
      <c r="R72" s="21">
        <v>2356</v>
      </c>
      <c r="S72" s="21">
        <v>2360</v>
      </c>
      <c r="T72" s="21">
        <v>2350</v>
      </c>
      <c r="U72" s="21">
        <v>2351</v>
      </c>
      <c r="V72" s="21">
        <v>2372</v>
      </c>
      <c r="W72" s="21">
        <v>2340</v>
      </c>
      <c r="X72" s="21">
        <v>2411</v>
      </c>
      <c r="Y72" s="21">
        <v>2406</v>
      </c>
      <c r="Z72" s="21">
        <v>2370</v>
      </c>
      <c r="AA72" s="21">
        <v>2370</v>
      </c>
      <c r="AB72" s="21">
        <v>2362</v>
      </c>
      <c r="AC72" s="21">
        <v>2293</v>
      </c>
      <c r="AD72" s="21">
        <v>2205</v>
      </c>
      <c r="AE72" s="21">
        <v>2057</v>
      </c>
      <c r="AF72" s="21">
        <v>2000</v>
      </c>
      <c r="AG72" s="21">
        <v>1998</v>
      </c>
      <c r="AH72" s="21">
        <v>2062</v>
      </c>
      <c r="AI72" s="21">
        <v>2086</v>
      </c>
      <c r="AJ72" s="21">
        <v>2180</v>
      </c>
      <c r="AK72" s="21">
        <v>2115</v>
      </c>
      <c r="AL72" s="21">
        <v>2120</v>
      </c>
      <c r="AM72" s="21">
        <v>2097</v>
      </c>
      <c r="AN72" s="21">
        <v>2083</v>
      </c>
      <c r="AO72" s="21">
        <v>2080</v>
      </c>
      <c r="AP72" s="21">
        <v>2105</v>
      </c>
      <c r="AQ72" s="21">
        <v>2104</v>
      </c>
      <c r="AR72" s="21">
        <v>2143</v>
      </c>
      <c r="AS72" s="21">
        <v>2200</v>
      </c>
      <c r="AT72" s="21">
        <v>2249</v>
      </c>
      <c r="AU72" s="21">
        <v>2212</v>
      </c>
      <c r="AV72" s="21">
        <v>2235</v>
      </c>
      <c r="AW72" s="21">
        <v>2305</v>
      </c>
      <c r="AX72" s="21">
        <v>2406</v>
      </c>
      <c r="AY72" s="21">
        <v>2394</v>
      </c>
      <c r="AZ72" s="21">
        <v>2430</v>
      </c>
      <c r="BA72" s="21">
        <v>2486</v>
      </c>
      <c r="BB72" s="21">
        <v>2539</v>
      </c>
      <c r="BC72" s="21">
        <v>2554</v>
      </c>
      <c r="BD72" s="21">
        <v>2562</v>
      </c>
      <c r="BE72" s="21">
        <v>2733</v>
      </c>
      <c r="BF72" s="21">
        <v>2667</v>
      </c>
      <c r="BG72" s="21">
        <v>2623</v>
      </c>
      <c r="BH72" s="21">
        <v>2598</v>
      </c>
      <c r="BI72" s="21">
        <v>2643</v>
      </c>
      <c r="BJ72" s="21">
        <v>2657</v>
      </c>
      <c r="BK72" s="21">
        <v>2731</v>
      </c>
      <c r="BL72" s="21">
        <v>2646</v>
      </c>
      <c r="BM72" s="1">
        <v>2550</v>
      </c>
      <c r="BN72" s="1">
        <v>2470</v>
      </c>
      <c r="BO72" s="1">
        <v>2461</v>
      </c>
      <c r="BP72" s="1">
        <v>2412</v>
      </c>
      <c r="BQ72" s="1">
        <v>2410</v>
      </c>
      <c r="BR72" s="1">
        <v>2500</v>
      </c>
      <c r="BS72" s="1">
        <v>2560</v>
      </c>
      <c r="BT72" s="1">
        <v>2580</v>
      </c>
      <c r="BU72" s="1">
        <v>2557</v>
      </c>
      <c r="BV72" s="1">
        <v>2558</v>
      </c>
      <c r="BW72" s="1">
        <v>2570</v>
      </c>
      <c r="BX72" s="1">
        <v>2635</v>
      </c>
      <c r="BY72" s="1">
        <v>2609</v>
      </c>
      <c r="BZ72" s="1">
        <v>2573</v>
      </c>
    </row>
    <row r="73" spans="1:254" ht="15.9" customHeight="1">
      <c r="A73" s="65" t="s">
        <v>141</v>
      </c>
      <c r="B73" s="41" t="s">
        <v>142</v>
      </c>
      <c r="C73" s="45">
        <f>_xll.RssMarket("7806","安値")</f>
        <v>7450</v>
      </c>
      <c r="D73" s="16">
        <f t="shared" si="2"/>
        <v>0</v>
      </c>
      <c r="E73" s="21">
        <v>7450</v>
      </c>
      <c r="F73" s="21">
        <v>7120</v>
      </c>
      <c r="G73" s="21">
        <v>7400</v>
      </c>
      <c r="H73" s="21">
        <v>7350</v>
      </c>
      <c r="I73" s="21">
        <v>7170</v>
      </c>
      <c r="J73" s="21">
        <v>7140</v>
      </c>
      <c r="K73" s="21">
        <v>7110</v>
      </c>
      <c r="L73" s="21">
        <v>7510</v>
      </c>
      <c r="M73" s="21">
        <v>7480</v>
      </c>
      <c r="N73" s="21">
        <v>7600</v>
      </c>
      <c r="O73" s="21">
        <v>7560</v>
      </c>
      <c r="P73" s="21">
        <v>7670</v>
      </c>
      <c r="Q73" s="21">
        <v>7420</v>
      </c>
      <c r="R73" s="21">
        <v>7310</v>
      </c>
      <c r="S73" s="21">
        <v>7230</v>
      </c>
      <c r="T73" s="21">
        <v>7230</v>
      </c>
      <c r="U73" s="21">
        <v>7230</v>
      </c>
      <c r="V73" s="21">
        <v>7320</v>
      </c>
      <c r="W73" s="21">
        <v>7460</v>
      </c>
      <c r="X73" s="21">
        <v>7860</v>
      </c>
      <c r="Y73" s="21">
        <v>8060</v>
      </c>
      <c r="Z73" s="21">
        <v>8030</v>
      </c>
      <c r="AA73" s="21">
        <v>7960</v>
      </c>
      <c r="AB73" s="21">
        <v>7530</v>
      </c>
      <c r="AC73" s="21">
        <v>7340</v>
      </c>
      <c r="AD73" s="21">
        <v>7370</v>
      </c>
      <c r="AE73" s="21">
        <v>7200</v>
      </c>
      <c r="AF73" s="21">
        <v>7190</v>
      </c>
      <c r="AG73" s="21">
        <v>7410</v>
      </c>
      <c r="AH73" s="21">
        <v>7270</v>
      </c>
      <c r="AI73" s="21">
        <v>7320</v>
      </c>
      <c r="AJ73" s="21">
        <v>7540</v>
      </c>
      <c r="AK73" s="21">
        <v>7560</v>
      </c>
      <c r="AL73" s="21">
        <v>7370</v>
      </c>
      <c r="AM73" s="21">
        <v>7150</v>
      </c>
      <c r="AN73" s="21">
        <v>7030</v>
      </c>
      <c r="AO73" s="21">
        <v>6940</v>
      </c>
      <c r="AP73" s="21">
        <v>6970</v>
      </c>
      <c r="AQ73" s="21">
        <v>6800</v>
      </c>
      <c r="AR73" s="21">
        <v>6930</v>
      </c>
      <c r="AS73" s="21">
        <v>6680</v>
      </c>
      <c r="AT73" s="21">
        <v>6750</v>
      </c>
      <c r="AU73" s="21">
        <v>6650</v>
      </c>
      <c r="AV73" s="21">
        <v>7000</v>
      </c>
      <c r="AW73" s="21">
        <v>6880</v>
      </c>
      <c r="AX73" s="21">
        <v>7310</v>
      </c>
      <c r="AY73" s="21">
        <v>7000</v>
      </c>
      <c r="AZ73" s="21">
        <v>6970</v>
      </c>
      <c r="BA73" s="21">
        <v>6260</v>
      </c>
      <c r="BB73" s="21">
        <v>6150</v>
      </c>
      <c r="BC73" s="21">
        <v>6300</v>
      </c>
      <c r="BD73" s="21">
        <v>6340</v>
      </c>
      <c r="BE73" s="21">
        <v>6210</v>
      </c>
      <c r="BF73" s="21">
        <v>6240</v>
      </c>
      <c r="BG73" s="21">
        <v>6620</v>
      </c>
      <c r="BH73" s="21">
        <v>6760</v>
      </c>
      <c r="BI73" s="21">
        <v>6540</v>
      </c>
      <c r="BJ73" s="21">
        <v>6080</v>
      </c>
      <c r="BK73" s="21">
        <v>6280</v>
      </c>
      <c r="BL73" s="21">
        <v>6160</v>
      </c>
      <c r="BM73" s="1">
        <v>6050</v>
      </c>
      <c r="BN73" s="1">
        <v>5800</v>
      </c>
      <c r="BO73" s="1">
        <v>5720</v>
      </c>
      <c r="BP73" s="1">
        <v>5910</v>
      </c>
      <c r="BQ73" s="1">
        <v>5960</v>
      </c>
      <c r="BR73" s="1">
        <v>6220</v>
      </c>
      <c r="BS73" s="1">
        <v>6350</v>
      </c>
      <c r="BT73" s="1">
        <v>6450</v>
      </c>
      <c r="BU73" s="1">
        <v>6470</v>
      </c>
      <c r="BV73" s="1">
        <v>6520</v>
      </c>
      <c r="BW73" s="1">
        <v>6430</v>
      </c>
      <c r="BX73" s="1">
        <v>6330</v>
      </c>
      <c r="BY73" s="1">
        <v>6280</v>
      </c>
      <c r="BZ73" s="1">
        <v>6190</v>
      </c>
    </row>
    <row r="74" spans="1:254" ht="15.9" customHeight="1">
      <c r="A74" s="65" t="s">
        <v>143</v>
      </c>
      <c r="B74" s="41" t="s">
        <v>144</v>
      </c>
      <c r="C74" s="45">
        <f>_xll.RssMarket("9202","安値")</f>
        <v>3135</v>
      </c>
      <c r="D74" s="16">
        <f t="shared" si="2"/>
        <v>0</v>
      </c>
      <c r="E74" s="21">
        <v>3135</v>
      </c>
      <c r="F74" s="21">
        <v>3103</v>
      </c>
      <c r="G74" s="21">
        <v>3078</v>
      </c>
      <c r="H74" s="21">
        <v>3058</v>
      </c>
      <c r="I74" s="21">
        <v>3087</v>
      </c>
      <c r="J74" s="21">
        <v>3098</v>
      </c>
      <c r="K74" s="21">
        <v>3111</v>
      </c>
      <c r="L74" s="21">
        <v>3080</v>
      </c>
      <c r="M74" s="21">
        <v>2991.5</v>
      </c>
      <c r="N74" s="21">
        <v>2883</v>
      </c>
      <c r="O74" s="21">
        <v>2978.5</v>
      </c>
      <c r="P74" s="21">
        <v>2994</v>
      </c>
      <c r="Q74" s="21">
        <v>3025</v>
      </c>
      <c r="R74" s="21">
        <v>2995</v>
      </c>
      <c r="S74" s="21">
        <v>2998</v>
      </c>
      <c r="T74" s="21">
        <v>3009</v>
      </c>
      <c r="U74" s="21">
        <v>2991</v>
      </c>
      <c r="V74" s="21">
        <v>3002</v>
      </c>
      <c r="W74" s="21">
        <v>3038</v>
      </c>
      <c r="X74" s="21">
        <v>3090</v>
      </c>
      <c r="Y74" s="21">
        <v>3140</v>
      </c>
      <c r="Z74" s="21">
        <v>3112</v>
      </c>
      <c r="AA74" s="21">
        <v>3107</v>
      </c>
      <c r="AB74" s="21">
        <v>3030</v>
      </c>
      <c r="AC74" s="21">
        <v>2933.5</v>
      </c>
      <c r="AD74" s="21">
        <v>2958.5</v>
      </c>
      <c r="AE74" s="21">
        <v>2984.5</v>
      </c>
      <c r="AF74" s="21">
        <v>2981</v>
      </c>
      <c r="AG74" s="21">
        <v>2986.5</v>
      </c>
      <c r="AH74" s="21">
        <v>2910</v>
      </c>
      <c r="AI74" s="21">
        <v>2916</v>
      </c>
      <c r="AJ74" s="21">
        <v>2900.5</v>
      </c>
      <c r="AK74" s="21">
        <v>2943</v>
      </c>
      <c r="AL74" s="21">
        <v>2979</v>
      </c>
      <c r="AM74" s="21">
        <v>3026</v>
      </c>
      <c r="AN74" s="21">
        <v>2988</v>
      </c>
      <c r="AO74" s="21">
        <v>2920</v>
      </c>
      <c r="AP74" s="21">
        <v>2810</v>
      </c>
      <c r="AQ74" s="21">
        <v>2780.5</v>
      </c>
      <c r="AR74" s="21">
        <v>2788</v>
      </c>
      <c r="AS74" s="21">
        <v>2783.5</v>
      </c>
      <c r="AT74" s="21">
        <v>2818</v>
      </c>
      <c r="AU74" s="21">
        <v>2795.5</v>
      </c>
      <c r="AV74" s="21">
        <v>2797</v>
      </c>
      <c r="AW74" s="21">
        <v>2844</v>
      </c>
      <c r="AX74" s="21">
        <v>2920.5</v>
      </c>
      <c r="AY74" s="21">
        <v>2871</v>
      </c>
      <c r="AZ74" s="21">
        <v>2858.5</v>
      </c>
      <c r="BA74" s="21">
        <v>2804.5</v>
      </c>
      <c r="BB74" s="21">
        <v>2770.5</v>
      </c>
      <c r="BC74" s="21">
        <v>2762</v>
      </c>
      <c r="BD74" s="21">
        <v>2700</v>
      </c>
      <c r="BE74" s="21">
        <v>2727</v>
      </c>
      <c r="BF74" s="21">
        <v>2717</v>
      </c>
      <c r="BG74" s="21">
        <v>2731.5</v>
      </c>
      <c r="BH74" s="21">
        <v>2763</v>
      </c>
      <c r="BI74" s="21">
        <v>2765.5</v>
      </c>
      <c r="BJ74" s="21">
        <v>2772</v>
      </c>
      <c r="BK74" s="21">
        <v>2805</v>
      </c>
      <c r="BL74" s="21">
        <v>2828.5</v>
      </c>
      <c r="BM74" s="1">
        <v>2734.5</v>
      </c>
      <c r="BN74" s="1">
        <v>2623</v>
      </c>
      <c r="BO74" s="1">
        <v>2582</v>
      </c>
      <c r="BP74" s="1">
        <v>2603</v>
      </c>
      <c r="BQ74" s="1">
        <v>2666</v>
      </c>
      <c r="BR74" s="1">
        <v>2690</v>
      </c>
      <c r="BS74" s="1">
        <v>2713</v>
      </c>
      <c r="BT74" s="1">
        <v>2814.5</v>
      </c>
      <c r="BU74" s="1">
        <v>2852.5</v>
      </c>
      <c r="BV74" s="1">
        <v>2845</v>
      </c>
      <c r="BW74" s="1">
        <v>2820</v>
      </c>
      <c r="BX74" s="1">
        <v>2858.5</v>
      </c>
      <c r="BY74" s="1">
        <v>2847.5</v>
      </c>
      <c r="BZ74" s="1">
        <v>2845.5</v>
      </c>
    </row>
    <row r="75" spans="1:254" ht="15.9" customHeight="1">
      <c r="A75" s="65" t="s">
        <v>145</v>
      </c>
      <c r="B75" s="41" t="s">
        <v>146</v>
      </c>
      <c r="C75" s="45">
        <f>_xll.RssMarket("7846","安値")</f>
        <v>1768</v>
      </c>
      <c r="D75" s="16">
        <f t="shared" si="2"/>
        <v>0</v>
      </c>
      <c r="E75" s="21">
        <v>1768</v>
      </c>
      <c r="F75" s="21">
        <v>1758.5</v>
      </c>
      <c r="G75" s="21">
        <v>1766.5</v>
      </c>
      <c r="H75" s="21">
        <v>1771</v>
      </c>
      <c r="I75" s="21">
        <v>1790</v>
      </c>
      <c r="J75" s="21">
        <v>1820</v>
      </c>
      <c r="K75" s="21">
        <v>1824.5</v>
      </c>
      <c r="L75" s="21">
        <v>1807</v>
      </c>
      <c r="M75" s="21">
        <v>1788</v>
      </c>
      <c r="N75" s="21">
        <v>1741</v>
      </c>
      <c r="O75" s="21">
        <v>1750</v>
      </c>
      <c r="P75" s="21">
        <v>1761.5</v>
      </c>
      <c r="Q75" s="21">
        <v>1785</v>
      </c>
      <c r="R75" s="21">
        <v>1790.5</v>
      </c>
      <c r="S75" s="21">
        <v>1766.5</v>
      </c>
      <c r="T75" s="21">
        <v>1761</v>
      </c>
      <c r="U75" s="21">
        <v>1755.5</v>
      </c>
      <c r="V75" s="21">
        <v>1757.5</v>
      </c>
      <c r="W75" s="21">
        <v>1758.5</v>
      </c>
      <c r="X75" s="21">
        <v>1741</v>
      </c>
      <c r="Y75" s="21">
        <v>1734</v>
      </c>
      <c r="Z75" s="21">
        <v>1718.5</v>
      </c>
      <c r="AA75" s="21">
        <v>1672</v>
      </c>
      <c r="AB75" s="21">
        <v>1698</v>
      </c>
      <c r="AC75" s="21">
        <v>1677</v>
      </c>
      <c r="AD75" s="21">
        <v>1653</v>
      </c>
      <c r="AE75" s="21">
        <v>1670.5</v>
      </c>
      <c r="AF75" s="21">
        <v>1700</v>
      </c>
      <c r="AG75" s="21">
        <v>1674.3333</v>
      </c>
      <c r="AH75" s="21">
        <v>1653.3333</v>
      </c>
      <c r="AI75" s="21">
        <v>1641.6666</v>
      </c>
      <c r="AJ75" s="21">
        <v>1636</v>
      </c>
      <c r="AK75" s="21">
        <v>1636.3333</v>
      </c>
      <c r="AL75" s="21">
        <v>1642.3333</v>
      </c>
      <c r="AM75" s="21">
        <v>1654.6666</v>
      </c>
      <c r="AN75" s="21">
        <v>1633.3333</v>
      </c>
      <c r="AO75" s="21">
        <v>1641.6666</v>
      </c>
      <c r="AP75" s="21">
        <v>1627</v>
      </c>
      <c r="AQ75" s="21">
        <v>1609</v>
      </c>
      <c r="AR75" s="21">
        <v>1618.6666</v>
      </c>
      <c r="AS75" s="21">
        <v>1618.3333</v>
      </c>
      <c r="AT75" s="21">
        <v>1615</v>
      </c>
      <c r="AU75" s="21">
        <v>1601.6666</v>
      </c>
      <c r="AV75" s="21">
        <v>1617</v>
      </c>
      <c r="AW75" s="21">
        <v>1599.3333</v>
      </c>
      <c r="AX75" s="21">
        <v>1627.3333</v>
      </c>
      <c r="AY75" s="21">
        <v>1618.3333</v>
      </c>
      <c r="AZ75" s="21">
        <v>1624.6666</v>
      </c>
      <c r="BA75" s="21">
        <v>1624.6666</v>
      </c>
      <c r="BB75" s="21">
        <v>1632</v>
      </c>
      <c r="BC75" s="21">
        <v>1630</v>
      </c>
      <c r="BD75" s="21">
        <v>1578</v>
      </c>
      <c r="BE75" s="21">
        <v>1563.3333</v>
      </c>
      <c r="BF75" s="21">
        <v>1537.3333</v>
      </c>
      <c r="BG75" s="21">
        <v>1526.3333</v>
      </c>
      <c r="BH75" s="21">
        <v>1511.6666</v>
      </c>
      <c r="BI75" s="21">
        <v>1503</v>
      </c>
      <c r="BJ75" s="21">
        <v>1509.3333</v>
      </c>
      <c r="BK75" s="21">
        <v>1581</v>
      </c>
      <c r="BL75" s="21">
        <v>1573.3333</v>
      </c>
      <c r="BM75" s="1">
        <v>1595.3333</v>
      </c>
      <c r="BN75" s="1">
        <v>1576.6666</v>
      </c>
      <c r="BO75" s="1">
        <v>1584.3333</v>
      </c>
      <c r="BP75" s="1">
        <v>1590.3333</v>
      </c>
      <c r="BQ75" s="1">
        <v>1584.3333</v>
      </c>
      <c r="BR75" s="1">
        <v>1591.6666</v>
      </c>
      <c r="BS75" s="1">
        <v>1578.6666</v>
      </c>
      <c r="BT75" s="1">
        <v>1593.3333</v>
      </c>
      <c r="BU75" s="1">
        <v>1585.3333</v>
      </c>
      <c r="BV75" s="1">
        <v>1600</v>
      </c>
      <c r="BW75" s="1">
        <v>1601</v>
      </c>
      <c r="BX75" s="1">
        <v>1610</v>
      </c>
      <c r="BY75" s="1">
        <v>1610.6666</v>
      </c>
      <c r="BZ75" s="1">
        <v>1610</v>
      </c>
    </row>
    <row r="76" spans="1:254" ht="15.9" customHeight="1">
      <c r="A76" s="65" t="s">
        <v>147</v>
      </c>
      <c r="B76" s="41" t="s">
        <v>148</v>
      </c>
      <c r="C76" s="45">
        <f>_xll.RssMarket("2802","安値")</f>
        <v>5154</v>
      </c>
      <c r="D76" s="16">
        <f t="shared" si="2"/>
        <v>0</v>
      </c>
      <c r="E76" s="21">
        <v>5154</v>
      </c>
      <c r="F76" s="21">
        <v>5127</v>
      </c>
      <c r="G76" s="21">
        <v>4836</v>
      </c>
      <c r="H76" s="21">
        <v>4791</v>
      </c>
      <c r="I76" s="21">
        <v>4927</v>
      </c>
      <c r="J76" s="21">
        <v>4721</v>
      </c>
      <c r="K76" s="21">
        <v>4760</v>
      </c>
      <c r="L76" s="21">
        <v>4840</v>
      </c>
      <c r="M76" s="21">
        <v>5025</v>
      </c>
      <c r="N76" s="21">
        <v>4978</v>
      </c>
      <c r="O76" s="21">
        <v>5085</v>
      </c>
      <c r="P76" s="21">
        <v>5248</v>
      </c>
      <c r="Q76" s="21">
        <v>5215</v>
      </c>
      <c r="R76" s="21">
        <v>5114</v>
      </c>
      <c r="S76" s="21">
        <v>5536</v>
      </c>
      <c r="T76" s="21">
        <v>5515</v>
      </c>
      <c r="U76" s="21">
        <v>5575</v>
      </c>
      <c r="V76" s="21">
        <v>5633</v>
      </c>
      <c r="W76" s="21">
        <v>5715</v>
      </c>
      <c r="X76" s="21">
        <v>5683</v>
      </c>
      <c r="Y76" s="21">
        <v>5810</v>
      </c>
      <c r="Z76" s="21">
        <v>6046</v>
      </c>
      <c r="AA76" s="21">
        <v>5947</v>
      </c>
      <c r="AB76" s="21">
        <v>6015</v>
      </c>
      <c r="AC76" s="21">
        <v>6003</v>
      </c>
      <c r="AD76" s="21">
        <v>5778</v>
      </c>
      <c r="AE76" s="21">
        <v>5667</v>
      </c>
      <c r="AF76" s="21">
        <v>5657</v>
      </c>
      <c r="AG76" s="21">
        <v>5621</v>
      </c>
      <c r="AH76" s="21">
        <v>5400</v>
      </c>
      <c r="AI76" s="21">
        <v>5652</v>
      </c>
      <c r="AJ76" s="21">
        <v>5719</v>
      </c>
      <c r="AK76" s="21">
        <v>5726</v>
      </c>
      <c r="AL76" s="21">
        <v>5379</v>
      </c>
      <c r="AM76" s="21">
        <v>5084</v>
      </c>
      <c r="AN76" s="21">
        <v>4979</v>
      </c>
      <c r="AO76" s="21">
        <v>5052</v>
      </c>
      <c r="AP76" s="21">
        <v>5095</v>
      </c>
      <c r="AQ76" s="21">
        <v>4845</v>
      </c>
      <c r="AR76" s="21">
        <v>4674</v>
      </c>
      <c r="AS76" s="21">
        <v>4674</v>
      </c>
      <c r="AT76" s="21">
        <v>4936</v>
      </c>
      <c r="AU76" s="21">
        <v>5095</v>
      </c>
      <c r="AV76" s="21">
        <v>5147</v>
      </c>
      <c r="AW76" s="21">
        <v>5144</v>
      </c>
      <c r="AX76" s="21">
        <v>5101</v>
      </c>
      <c r="AY76" s="21">
        <v>5110</v>
      </c>
      <c r="AZ76" s="21">
        <v>5261</v>
      </c>
      <c r="BA76" s="21">
        <v>5195</v>
      </c>
      <c r="BB76" s="21">
        <v>5183</v>
      </c>
      <c r="BC76" s="21">
        <v>5021</v>
      </c>
      <c r="BD76" s="21">
        <v>5006</v>
      </c>
      <c r="BE76" s="21">
        <v>5165</v>
      </c>
      <c r="BF76" s="21">
        <v>5103</v>
      </c>
      <c r="BG76" s="21">
        <v>5252</v>
      </c>
      <c r="BH76" s="21">
        <v>5521</v>
      </c>
      <c r="BI76" s="21">
        <v>5338</v>
      </c>
      <c r="BJ76" s="21">
        <v>5425</v>
      </c>
      <c r="BK76" s="21">
        <v>5088</v>
      </c>
      <c r="BL76" s="21">
        <v>4712</v>
      </c>
      <c r="BM76" s="1">
        <v>4739</v>
      </c>
      <c r="BN76" s="1">
        <v>4792</v>
      </c>
      <c r="BO76" s="1">
        <v>4906</v>
      </c>
      <c r="BP76" s="1">
        <v>4750</v>
      </c>
      <c r="BQ76" s="1">
        <v>4726</v>
      </c>
      <c r="BR76" s="1">
        <v>4699</v>
      </c>
      <c r="BS76" s="1">
        <v>4565</v>
      </c>
      <c r="BT76" s="1">
        <v>4621</v>
      </c>
      <c r="BU76" s="1">
        <v>4600</v>
      </c>
      <c r="BV76" s="1">
        <v>4582</v>
      </c>
      <c r="BW76" s="1">
        <v>4574</v>
      </c>
      <c r="BX76" s="1">
        <v>4623</v>
      </c>
      <c r="BY76" s="1">
        <v>4636</v>
      </c>
      <c r="BZ76" s="1">
        <v>4596</v>
      </c>
    </row>
    <row r="77" spans="1:254" ht="15.9" customHeight="1">
      <c r="A77" s="65" t="s">
        <v>149</v>
      </c>
      <c r="B77" s="41" t="s">
        <v>150</v>
      </c>
      <c r="C77" s="45">
        <f>_xll.RssMarket("7203","安値")</f>
        <v>2918</v>
      </c>
      <c r="D77" s="16">
        <f t="shared" si="2"/>
        <v>0</v>
      </c>
      <c r="E77" s="21">
        <v>2918</v>
      </c>
      <c r="F77" s="21">
        <v>2869.5</v>
      </c>
      <c r="G77" s="21">
        <v>2871</v>
      </c>
      <c r="H77" s="21">
        <v>2885.5</v>
      </c>
      <c r="I77" s="21">
        <v>3021</v>
      </c>
      <c r="J77" s="21">
        <v>3106</v>
      </c>
      <c r="K77" s="21">
        <v>3059</v>
      </c>
      <c r="L77" s="21">
        <v>2934.5</v>
      </c>
      <c r="M77" s="21">
        <v>2915</v>
      </c>
      <c r="N77" s="21">
        <v>2877.5</v>
      </c>
      <c r="O77" s="21">
        <v>2913.5</v>
      </c>
      <c r="P77" s="21">
        <v>2897.5</v>
      </c>
      <c r="Q77" s="21">
        <v>2893.5</v>
      </c>
      <c r="R77" s="21">
        <v>2857</v>
      </c>
      <c r="S77" s="21">
        <v>2837</v>
      </c>
      <c r="T77" s="21">
        <v>2815.5</v>
      </c>
      <c r="U77" s="21">
        <v>2794</v>
      </c>
      <c r="V77" s="21">
        <v>2817.5</v>
      </c>
      <c r="W77" s="21">
        <v>2817</v>
      </c>
      <c r="X77" s="21">
        <v>2884</v>
      </c>
      <c r="Y77" s="21">
        <v>2925</v>
      </c>
      <c r="Z77" s="21">
        <v>2839</v>
      </c>
      <c r="AA77" s="21">
        <v>2813</v>
      </c>
      <c r="AB77" s="21">
        <v>2750</v>
      </c>
      <c r="AC77" s="21">
        <v>2715</v>
      </c>
      <c r="AD77" s="21">
        <v>2708</v>
      </c>
      <c r="AE77" s="21">
        <v>2745</v>
      </c>
      <c r="AF77" s="21">
        <v>2696.5</v>
      </c>
      <c r="AG77" s="21">
        <v>2689</v>
      </c>
      <c r="AH77" s="21">
        <v>2686</v>
      </c>
      <c r="AI77" s="21">
        <v>2706</v>
      </c>
      <c r="AJ77" s="21">
        <v>2741.5</v>
      </c>
      <c r="AK77" s="21">
        <v>2755</v>
      </c>
      <c r="AL77" s="21">
        <v>2774.5</v>
      </c>
      <c r="AM77" s="21">
        <v>2803.5</v>
      </c>
      <c r="AN77" s="21">
        <v>2826.5</v>
      </c>
      <c r="AO77" s="21">
        <v>2830</v>
      </c>
      <c r="AP77" s="21">
        <v>2756.5</v>
      </c>
      <c r="AQ77" s="21">
        <v>2718.5</v>
      </c>
      <c r="AR77" s="21">
        <v>2787.5</v>
      </c>
      <c r="AS77" s="21">
        <v>2795.5</v>
      </c>
      <c r="AT77" s="21">
        <v>2837</v>
      </c>
      <c r="AU77" s="21">
        <v>2835</v>
      </c>
      <c r="AV77" s="21">
        <v>2833</v>
      </c>
      <c r="AW77" s="21">
        <v>2805</v>
      </c>
      <c r="AX77" s="21">
        <v>3022</v>
      </c>
      <c r="AY77" s="21">
        <v>3023</v>
      </c>
      <c r="AZ77" s="21">
        <v>2998.5</v>
      </c>
      <c r="BA77" s="21">
        <v>3006</v>
      </c>
      <c r="BB77" s="21">
        <v>2975.5</v>
      </c>
      <c r="BC77" s="21">
        <v>2961</v>
      </c>
      <c r="BD77" s="21">
        <v>2942</v>
      </c>
      <c r="BE77" s="21">
        <v>2931</v>
      </c>
      <c r="BF77" s="21">
        <v>2940</v>
      </c>
      <c r="BG77" s="21">
        <v>2987.5</v>
      </c>
      <c r="BH77" s="21">
        <v>2943</v>
      </c>
      <c r="BI77" s="21">
        <v>2879</v>
      </c>
      <c r="BJ77" s="21">
        <v>2820</v>
      </c>
      <c r="BK77" s="21">
        <v>2798</v>
      </c>
      <c r="BL77" s="21">
        <v>2874</v>
      </c>
      <c r="BM77" s="1">
        <v>2978</v>
      </c>
      <c r="BN77" s="1">
        <v>2971</v>
      </c>
      <c r="BO77" s="1">
        <v>2997</v>
      </c>
      <c r="BP77" s="1">
        <v>3079</v>
      </c>
      <c r="BQ77" s="1">
        <v>3057</v>
      </c>
      <c r="BR77" s="1">
        <v>3062</v>
      </c>
      <c r="BS77" s="1">
        <v>3111</v>
      </c>
      <c r="BT77" s="1">
        <v>3191</v>
      </c>
      <c r="BU77" s="1">
        <v>3280</v>
      </c>
      <c r="BV77" s="1">
        <v>3380</v>
      </c>
      <c r="BW77" s="1">
        <v>3343</v>
      </c>
      <c r="BX77" s="1">
        <v>3392</v>
      </c>
      <c r="BY77" s="1">
        <v>3344</v>
      </c>
      <c r="BZ77" s="1">
        <v>3288</v>
      </c>
    </row>
    <row r="78" spans="1:254" ht="15.9" customHeight="1">
      <c r="A78" s="65" t="s">
        <v>151</v>
      </c>
      <c r="B78" s="41" t="s">
        <v>152</v>
      </c>
      <c r="C78" s="45">
        <f>_xll.RssMarket("6954","安値")</f>
        <v>6316</v>
      </c>
      <c r="D78" s="16">
        <f t="shared" si="2"/>
        <v>0</v>
      </c>
      <c r="E78" s="21">
        <v>6316</v>
      </c>
      <c r="F78" s="21">
        <v>6327</v>
      </c>
      <c r="G78" s="21">
        <v>6001</v>
      </c>
      <c r="H78" s="21">
        <v>5808</v>
      </c>
      <c r="I78" s="21">
        <v>6959</v>
      </c>
      <c r="J78" s="21">
        <v>6360</v>
      </c>
      <c r="K78" s="21">
        <v>6223</v>
      </c>
      <c r="L78" s="21">
        <v>6321</v>
      </c>
      <c r="M78" s="21">
        <v>6641</v>
      </c>
      <c r="N78" s="21">
        <v>6577</v>
      </c>
      <c r="O78" s="21">
        <v>6861</v>
      </c>
      <c r="P78" s="21">
        <v>6856</v>
      </c>
      <c r="Q78" s="21">
        <v>6473</v>
      </c>
      <c r="R78" s="21">
        <v>6394</v>
      </c>
      <c r="S78" s="21">
        <v>6792</v>
      </c>
      <c r="T78" s="21">
        <v>6674</v>
      </c>
      <c r="U78" s="21">
        <v>6856</v>
      </c>
      <c r="V78" s="21">
        <v>7037</v>
      </c>
      <c r="W78" s="21">
        <v>6765</v>
      </c>
      <c r="X78" s="21">
        <v>6700</v>
      </c>
      <c r="Y78" s="21">
        <v>7048</v>
      </c>
      <c r="Z78" s="21">
        <v>7318</v>
      </c>
      <c r="AA78" s="21">
        <v>6994</v>
      </c>
      <c r="AB78" s="21">
        <v>7082</v>
      </c>
      <c r="AC78" s="21">
        <v>7363</v>
      </c>
      <c r="AD78" s="21">
        <v>7170</v>
      </c>
      <c r="AE78" s="21">
        <v>6853</v>
      </c>
      <c r="AF78" s="21">
        <v>6995</v>
      </c>
      <c r="AG78" s="21">
        <v>7279</v>
      </c>
      <c r="AH78" s="21">
        <v>7261</v>
      </c>
      <c r="AI78" s="21">
        <v>7457</v>
      </c>
      <c r="AJ78" s="21">
        <v>7705</v>
      </c>
      <c r="AK78" s="21">
        <v>7364</v>
      </c>
      <c r="AL78" s="21">
        <v>7538</v>
      </c>
      <c r="AM78" s="21">
        <v>7223</v>
      </c>
      <c r="AN78" s="21">
        <v>7275</v>
      </c>
      <c r="AO78" s="21">
        <v>7047</v>
      </c>
      <c r="AP78" s="21">
        <v>6914</v>
      </c>
      <c r="AQ78" s="21">
        <v>6290</v>
      </c>
      <c r="AR78" s="21">
        <v>6674</v>
      </c>
      <c r="AS78" s="21">
        <v>6974</v>
      </c>
      <c r="AT78" s="21">
        <v>7441</v>
      </c>
      <c r="AU78" s="21">
        <v>7645</v>
      </c>
      <c r="AV78" s="21">
        <v>7665</v>
      </c>
      <c r="AW78" s="21">
        <v>7453</v>
      </c>
      <c r="AX78" s="21">
        <v>7892</v>
      </c>
      <c r="AY78" s="21">
        <v>7841</v>
      </c>
      <c r="AZ78" s="21">
        <v>8154</v>
      </c>
      <c r="BA78" s="21">
        <v>8300</v>
      </c>
      <c r="BB78" s="21">
        <v>8013</v>
      </c>
      <c r="BC78" s="21">
        <v>7469</v>
      </c>
      <c r="BD78" s="21">
        <v>7279</v>
      </c>
      <c r="BE78" s="21">
        <v>7620</v>
      </c>
      <c r="BF78" s="21">
        <v>7933</v>
      </c>
      <c r="BG78" s="21">
        <v>8085</v>
      </c>
      <c r="BH78" s="21">
        <v>8036</v>
      </c>
      <c r="BI78" s="21">
        <v>7501</v>
      </c>
      <c r="BJ78" s="21">
        <v>7570</v>
      </c>
      <c r="BK78" s="21">
        <v>7380</v>
      </c>
      <c r="BL78" s="21">
        <v>7093</v>
      </c>
      <c r="BM78" s="1">
        <v>7076</v>
      </c>
      <c r="BN78" s="1">
        <v>6693</v>
      </c>
      <c r="BO78" s="1">
        <v>6690</v>
      </c>
      <c r="BP78" s="1">
        <v>6937</v>
      </c>
      <c r="BQ78" s="1">
        <v>6715</v>
      </c>
      <c r="BR78" s="1">
        <v>6158</v>
      </c>
      <c r="BS78" s="1">
        <v>6227</v>
      </c>
      <c r="BT78" s="1">
        <v>6415</v>
      </c>
      <c r="BU78" s="1">
        <v>6427</v>
      </c>
      <c r="BV78" s="1">
        <v>6229</v>
      </c>
      <c r="BW78" s="1">
        <v>6210</v>
      </c>
      <c r="BX78" s="1">
        <v>6138</v>
      </c>
      <c r="BY78" s="1">
        <v>6092</v>
      </c>
      <c r="BZ78" s="1">
        <v>6201</v>
      </c>
    </row>
    <row r="79" spans="1:254" ht="15.9" customHeight="1">
      <c r="A79" s="65" t="s">
        <v>153</v>
      </c>
      <c r="B79" s="41" t="s">
        <v>154</v>
      </c>
      <c r="C79" s="45">
        <f>_xll.RssMarket("6479","安値")</f>
        <v>3688</v>
      </c>
      <c r="D79" s="16">
        <f t="shared" si="2"/>
        <v>0</v>
      </c>
      <c r="E79" s="21">
        <v>3688</v>
      </c>
      <c r="F79" s="21">
        <v>3913</v>
      </c>
      <c r="G79" s="21">
        <v>3752</v>
      </c>
      <c r="H79" s="21">
        <v>3620</v>
      </c>
      <c r="I79" s="21">
        <v>3687</v>
      </c>
      <c r="J79" s="21">
        <v>3435</v>
      </c>
      <c r="K79" s="21">
        <v>3429</v>
      </c>
      <c r="L79" s="21">
        <v>3646</v>
      </c>
      <c r="M79" s="21">
        <v>3814</v>
      </c>
      <c r="N79" s="21">
        <v>3835</v>
      </c>
      <c r="O79" s="21">
        <v>3959</v>
      </c>
      <c r="P79" s="21">
        <v>3933</v>
      </c>
      <c r="Q79" s="21">
        <v>3787</v>
      </c>
      <c r="R79" s="21">
        <v>3682</v>
      </c>
      <c r="S79" s="21">
        <v>4120</v>
      </c>
      <c r="T79" s="21">
        <v>4047</v>
      </c>
      <c r="U79" s="21">
        <v>4153</v>
      </c>
      <c r="V79" s="21">
        <v>4353</v>
      </c>
      <c r="W79" s="21">
        <v>4307</v>
      </c>
      <c r="X79" s="21">
        <v>4240</v>
      </c>
      <c r="Y79" s="21">
        <v>4322</v>
      </c>
      <c r="Z79" s="21">
        <v>4477</v>
      </c>
      <c r="AA79" s="21">
        <v>4588</v>
      </c>
      <c r="AB79" s="21">
        <v>4665</v>
      </c>
      <c r="AC79" s="21">
        <v>4787</v>
      </c>
      <c r="AD79" s="21">
        <v>4710</v>
      </c>
      <c r="AE79" s="21">
        <v>4628</v>
      </c>
      <c r="AF79" s="21">
        <v>4789</v>
      </c>
      <c r="AG79" s="21">
        <v>5045</v>
      </c>
      <c r="AH79" s="21">
        <v>4842</v>
      </c>
      <c r="AI79" s="21">
        <v>4928</v>
      </c>
      <c r="AJ79" s="21">
        <v>4757</v>
      </c>
      <c r="AK79" s="21">
        <v>4547</v>
      </c>
      <c r="AL79" s="21">
        <v>4584</v>
      </c>
      <c r="AM79" s="21">
        <v>4553</v>
      </c>
      <c r="AN79" s="21">
        <v>4516</v>
      </c>
      <c r="AO79" s="21">
        <v>4392</v>
      </c>
      <c r="AP79" s="21">
        <v>4211</v>
      </c>
      <c r="AQ79" s="21">
        <v>4090</v>
      </c>
      <c r="AR79" s="21">
        <v>4367</v>
      </c>
      <c r="AS79" s="21">
        <v>4480</v>
      </c>
      <c r="AT79" s="21">
        <v>4768</v>
      </c>
      <c r="AU79" s="21">
        <v>4791</v>
      </c>
      <c r="AV79" s="21">
        <v>4766</v>
      </c>
      <c r="AW79" s="21">
        <v>4452</v>
      </c>
      <c r="AX79" s="21">
        <v>4433</v>
      </c>
      <c r="AY79" s="21">
        <v>4152</v>
      </c>
      <c r="AZ79" s="21">
        <v>4211</v>
      </c>
      <c r="BA79" s="21">
        <v>4002</v>
      </c>
      <c r="BB79" s="21">
        <v>3932</v>
      </c>
      <c r="BC79" s="21">
        <v>3731</v>
      </c>
      <c r="BD79" s="21">
        <v>3682</v>
      </c>
      <c r="BE79" s="21">
        <v>3791</v>
      </c>
      <c r="BF79" s="21">
        <v>3799</v>
      </c>
      <c r="BG79" s="21">
        <v>3904</v>
      </c>
      <c r="BH79" s="21">
        <v>3912</v>
      </c>
      <c r="BI79" s="21">
        <v>3610</v>
      </c>
      <c r="BJ79" s="21">
        <v>3487</v>
      </c>
      <c r="BK79" s="21">
        <v>3323</v>
      </c>
      <c r="BL79" s="21">
        <v>3252</v>
      </c>
      <c r="BM79" s="1">
        <v>3129</v>
      </c>
      <c r="BN79" s="1">
        <v>3071</v>
      </c>
      <c r="BO79" s="1">
        <v>3073</v>
      </c>
      <c r="BP79" s="1">
        <v>3037</v>
      </c>
      <c r="BQ79" s="1">
        <v>3062</v>
      </c>
      <c r="BR79" s="1">
        <v>3046</v>
      </c>
      <c r="BS79" s="1">
        <v>2993</v>
      </c>
      <c r="BT79" s="1">
        <v>3063</v>
      </c>
      <c r="BU79" s="1">
        <v>3084</v>
      </c>
      <c r="BV79" s="1">
        <v>3025</v>
      </c>
      <c r="BW79" s="1">
        <v>2949.5</v>
      </c>
      <c r="BX79" s="1">
        <v>2906</v>
      </c>
      <c r="BY79" s="1">
        <v>2835</v>
      </c>
      <c r="BZ79" s="1">
        <v>2849</v>
      </c>
    </row>
    <row r="80" spans="1:254" ht="15.9" customHeight="1">
      <c r="A80" s="65" t="s">
        <v>155</v>
      </c>
      <c r="B80" s="41" t="s">
        <v>156</v>
      </c>
      <c r="C80" s="45">
        <f>_xll.RssMarket("1833","安値")</f>
        <v>5720</v>
      </c>
      <c r="D80" s="16">
        <f t="shared" si="2"/>
        <v>0</v>
      </c>
      <c r="E80" s="21">
        <v>5720</v>
      </c>
      <c r="F80" s="21">
        <v>5710</v>
      </c>
      <c r="G80" s="21">
        <v>5710</v>
      </c>
      <c r="H80" s="21">
        <v>5680</v>
      </c>
      <c r="I80" s="21">
        <v>5750</v>
      </c>
      <c r="J80" s="21">
        <v>5730</v>
      </c>
      <c r="K80" s="21">
        <v>5710</v>
      </c>
      <c r="L80" s="21">
        <v>5780</v>
      </c>
      <c r="M80" s="21">
        <v>5780</v>
      </c>
      <c r="N80" s="21"/>
      <c r="O80" s="21">
        <v>5680</v>
      </c>
      <c r="P80" s="21">
        <v>5660</v>
      </c>
      <c r="Q80" s="21">
        <v>5600</v>
      </c>
      <c r="R80" s="21">
        <v>5530</v>
      </c>
      <c r="S80" s="21">
        <v>5610</v>
      </c>
      <c r="T80" s="21">
        <v>5590</v>
      </c>
      <c r="U80" s="21">
        <v>5560</v>
      </c>
      <c r="V80" s="21">
        <v>5640</v>
      </c>
      <c r="W80" s="21">
        <v>5670</v>
      </c>
      <c r="X80" s="21">
        <v>5680</v>
      </c>
      <c r="Y80" s="21">
        <v>5770</v>
      </c>
      <c r="Z80" s="21">
        <v>5690</v>
      </c>
      <c r="AA80" s="21">
        <v>5670</v>
      </c>
      <c r="AB80" s="21">
        <v>5650</v>
      </c>
      <c r="AC80" s="21">
        <v>5610</v>
      </c>
      <c r="AD80" s="21">
        <v>5620</v>
      </c>
      <c r="AE80" s="21">
        <v>5640</v>
      </c>
      <c r="AF80" s="21">
        <v>5570</v>
      </c>
      <c r="AG80" s="21">
        <v>5580</v>
      </c>
      <c r="AH80" s="21">
        <v>5620</v>
      </c>
      <c r="AI80" s="21">
        <v>5600</v>
      </c>
      <c r="AJ80" s="21">
        <v>5610</v>
      </c>
      <c r="AK80" s="21">
        <v>5670</v>
      </c>
      <c r="AL80" s="21">
        <v>5740</v>
      </c>
      <c r="AM80" s="21">
        <v>5700</v>
      </c>
      <c r="AN80" s="21">
        <v>5680</v>
      </c>
      <c r="AO80" s="21">
        <v>5730</v>
      </c>
      <c r="AP80" s="21">
        <v>5600</v>
      </c>
      <c r="AQ80" s="21">
        <v>5470</v>
      </c>
      <c r="AR80" s="21">
        <v>5500</v>
      </c>
      <c r="AS80" s="21">
        <v>5430</v>
      </c>
      <c r="AT80" s="21">
        <v>5530</v>
      </c>
      <c r="AU80" s="21">
        <v>5460</v>
      </c>
      <c r="AV80" s="21">
        <v>5500</v>
      </c>
      <c r="AW80" s="21">
        <v>5420</v>
      </c>
      <c r="AX80" s="21">
        <v>5510</v>
      </c>
      <c r="AY80" s="21">
        <v>5490</v>
      </c>
      <c r="AZ80" s="21">
        <v>5510</v>
      </c>
      <c r="BA80" s="21">
        <v>5490</v>
      </c>
      <c r="BB80" s="21">
        <v>5450</v>
      </c>
      <c r="BC80" s="21">
        <v>5560</v>
      </c>
      <c r="BD80" s="21">
        <v>5520</v>
      </c>
      <c r="BE80" s="21">
        <v>5680</v>
      </c>
      <c r="BF80" s="21">
        <v>5550</v>
      </c>
      <c r="BG80" s="21">
        <v>5870</v>
      </c>
      <c r="BH80" s="21">
        <v>5980</v>
      </c>
      <c r="BI80" s="21">
        <v>6140</v>
      </c>
      <c r="BJ80" s="21">
        <v>6200</v>
      </c>
      <c r="BK80" s="21">
        <v>6030</v>
      </c>
      <c r="BL80" s="21">
        <v>6010</v>
      </c>
      <c r="BM80" s="1">
        <v>6160</v>
      </c>
      <c r="BN80" s="1">
        <v>6100</v>
      </c>
      <c r="BO80" s="1">
        <v>6020</v>
      </c>
      <c r="BP80" s="1">
        <v>6000</v>
      </c>
      <c r="BQ80" s="1">
        <v>5880</v>
      </c>
      <c r="BR80" s="1">
        <v>5960</v>
      </c>
      <c r="BS80" s="1">
        <v>5900</v>
      </c>
      <c r="BT80" s="1">
        <v>6010</v>
      </c>
      <c r="BU80" s="1">
        <v>6100</v>
      </c>
      <c r="BV80" s="1">
        <v>6080</v>
      </c>
      <c r="BW80" s="1">
        <v>6110</v>
      </c>
      <c r="BX80" s="1">
        <v>6190</v>
      </c>
      <c r="BY80" s="1">
        <v>6230</v>
      </c>
      <c r="BZ80" s="1">
        <v>6230</v>
      </c>
    </row>
    <row r="81" spans="1:254" ht="15.9" customHeight="1">
      <c r="A81" s="65" t="s">
        <v>157</v>
      </c>
      <c r="B81" s="41" t="s">
        <v>158</v>
      </c>
      <c r="C81" s="45">
        <f>_xll.RssMarket("6841","安値")</f>
        <v>5210</v>
      </c>
      <c r="D81" s="16">
        <f t="shared" si="2"/>
        <v>0</v>
      </c>
      <c r="E81" s="21">
        <v>5210</v>
      </c>
      <c r="F81" s="21">
        <v>5253</v>
      </c>
      <c r="G81" s="21">
        <v>5653</v>
      </c>
      <c r="H81" s="21">
        <v>5570</v>
      </c>
      <c r="I81" s="21">
        <v>5580</v>
      </c>
      <c r="J81" s="21">
        <v>5481</v>
      </c>
      <c r="K81" s="21">
        <v>5472</v>
      </c>
      <c r="L81" s="21">
        <v>5628</v>
      </c>
      <c r="M81" s="21">
        <v>5881</v>
      </c>
      <c r="N81" s="21">
        <v>5680</v>
      </c>
      <c r="O81" s="21">
        <v>5720</v>
      </c>
      <c r="P81" s="21">
        <v>5678</v>
      </c>
      <c r="Q81" s="21">
        <v>5496</v>
      </c>
      <c r="R81" s="21">
        <v>5326</v>
      </c>
      <c r="S81" s="21">
        <v>5519</v>
      </c>
      <c r="T81" s="21">
        <v>5387</v>
      </c>
      <c r="U81" s="21">
        <v>5535</v>
      </c>
      <c r="V81" s="21">
        <v>5440</v>
      </c>
      <c r="W81" s="21">
        <v>5401</v>
      </c>
      <c r="X81" s="21">
        <v>5431</v>
      </c>
      <c r="Y81" s="21">
        <v>5637</v>
      </c>
      <c r="Z81" s="21">
        <v>5806</v>
      </c>
      <c r="AA81" s="21">
        <v>5530</v>
      </c>
      <c r="AB81" s="21">
        <v>5449</v>
      </c>
      <c r="AC81" s="21">
        <v>5646</v>
      </c>
      <c r="AD81" s="21">
        <v>5532</v>
      </c>
      <c r="AE81" s="21">
        <v>5420</v>
      </c>
      <c r="AF81" s="21">
        <v>5443</v>
      </c>
      <c r="AG81" s="21">
        <v>5480</v>
      </c>
      <c r="AH81" s="21">
        <v>5445</v>
      </c>
      <c r="AI81" s="21">
        <v>5535</v>
      </c>
      <c r="AJ81" s="21">
        <v>5412</v>
      </c>
      <c r="AK81" s="21">
        <v>5374</v>
      </c>
      <c r="AL81" s="21">
        <v>5380</v>
      </c>
      <c r="AM81" s="21">
        <v>5150</v>
      </c>
      <c r="AN81" s="21">
        <v>5131</v>
      </c>
      <c r="AO81" s="21">
        <v>5044</v>
      </c>
      <c r="AP81" s="21">
        <v>4848</v>
      </c>
      <c r="AQ81" s="21">
        <v>4584</v>
      </c>
      <c r="AR81" s="21">
        <v>4735</v>
      </c>
      <c r="AS81" s="21">
        <v>4890</v>
      </c>
      <c r="AT81" s="21">
        <v>5169</v>
      </c>
      <c r="AU81" s="21">
        <v>5274</v>
      </c>
      <c r="AV81" s="21">
        <v>5195</v>
      </c>
      <c r="AW81" s="21">
        <v>5053</v>
      </c>
      <c r="AX81" s="21">
        <v>4877</v>
      </c>
      <c r="AY81" s="21">
        <v>4832</v>
      </c>
      <c r="AZ81" s="21">
        <v>4899</v>
      </c>
      <c r="BA81" s="21">
        <v>4895</v>
      </c>
      <c r="BB81" s="21">
        <v>4820</v>
      </c>
      <c r="BC81" s="21">
        <v>4669</v>
      </c>
      <c r="BD81" s="21">
        <v>4607</v>
      </c>
      <c r="BE81" s="21">
        <v>4760</v>
      </c>
      <c r="BF81" s="21">
        <v>4820</v>
      </c>
      <c r="BG81" s="21">
        <v>4937</v>
      </c>
      <c r="BH81" s="21">
        <v>5093</v>
      </c>
      <c r="BI81" s="21">
        <v>5112</v>
      </c>
      <c r="BJ81" s="21">
        <v>5116</v>
      </c>
      <c r="BK81" s="21">
        <v>5175</v>
      </c>
      <c r="BL81" s="21">
        <v>5058</v>
      </c>
      <c r="BM81" s="1">
        <v>5528</v>
      </c>
      <c r="BN81" s="1">
        <v>5376</v>
      </c>
      <c r="BO81" s="1">
        <v>5376</v>
      </c>
      <c r="BP81" s="1">
        <v>5374</v>
      </c>
      <c r="BQ81" s="1">
        <v>5247</v>
      </c>
      <c r="BR81" s="1">
        <v>5214</v>
      </c>
      <c r="BS81" s="1">
        <v>5218</v>
      </c>
      <c r="BT81" s="1">
        <v>5436</v>
      </c>
      <c r="BU81" s="1">
        <v>5509</v>
      </c>
      <c r="BV81" s="1">
        <v>5415</v>
      </c>
      <c r="BW81" s="1">
        <v>5371</v>
      </c>
      <c r="BX81" s="1">
        <v>5399</v>
      </c>
      <c r="BY81" s="1">
        <v>5375</v>
      </c>
      <c r="BZ81" s="1">
        <v>5597</v>
      </c>
    </row>
    <row r="82" spans="1:254" ht="15.9" customHeight="1">
      <c r="A82" s="65" t="s">
        <v>159</v>
      </c>
      <c r="B82" s="41" t="s">
        <v>160</v>
      </c>
      <c r="C82" s="45">
        <f>_xll.RssMarket("7167","安値")</f>
        <v>1556.5</v>
      </c>
      <c r="D82" s="16">
        <f t="shared" si="2"/>
        <v>0</v>
      </c>
      <c r="E82" s="21">
        <v>1556.5</v>
      </c>
      <c r="F82" s="21">
        <v>1479</v>
      </c>
      <c r="G82" s="21">
        <v>1470</v>
      </c>
      <c r="H82" s="21">
        <v>1432</v>
      </c>
      <c r="I82" s="21">
        <v>1460.5</v>
      </c>
      <c r="J82" s="21">
        <v>1451.5</v>
      </c>
      <c r="K82" s="21">
        <v>1459.5</v>
      </c>
      <c r="L82" s="21">
        <v>1509</v>
      </c>
      <c r="M82" s="21">
        <v>1525</v>
      </c>
      <c r="N82" s="21">
        <v>1484</v>
      </c>
      <c r="O82" s="21">
        <v>1486.5</v>
      </c>
      <c r="P82" s="21">
        <v>1478</v>
      </c>
      <c r="Q82" s="21">
        <v>1430</v>
      </c>
      <c r="R82" s="21">
        <v>1408</v>
      </c>
      <c r="S82" s="21">
        <v>1507</v>
      </c>
      <c r="T82" s="21">
        <v>1496</v>
      </c>
      <c r="U82" s="21">
        <v>1527</v>
      </c>
      <c r="V82" s="21">
        <v>1536.5</v>
      </c>
      <c r="W82" s="21">
        <v>1536</v>
      </c>
      <c r="X82" s="21">
        <v>1529.5</v>
      </c>
      <c r="Y82" s="21">
        <v>1527</v>
      </c>
      <c r="Z82" s="21">
        <v>1487.5</v>
      </c>
      <c r="AA82" s="21">
        <v>1483</v>
      </c>
      <c r="AB82" s="21">
        <v>1447.5</v>
      </c>
      <c r="AC82" s="21">
        <v>1413</v>
      </c>
      <c r="AD82" s="21">
        <v>1412</v>
      </c>
      <c r="AE82" s="21">
        <v>1395.5</v>
      </c>
      <c r="AF82" s="21">
        <v>1389</v>
      </c>
      <c r="AG82" s="21">
        <v>1380.5</v>
      </c>
      <c r="AH82" s="21">
        <v>1375</v>
      </c>
      <c r="AI82" s="21">
        <v>1410</v>
      </c>
      <c r="AJ82" s="21">
        <v>1388.5</v>
      </c>
      <c r="AK82" s="21">
        <v>1403.5</v>
      </c>
      <c r="AL82" s="21">
        <v>1407.5</v>
      </c>
      <c r="AM82" s="21">
        <v>1388.5</v>
      </c>
      <c r="AN82" s="21">
        <v>1381</v>
      </c>
      <c r="AO82" s="21">
        <v>1413.5</v>
      </c>
      <c r="AP82" s="21">
        <v>1386</v>
      </c>
      <c r="AQ82" s="21">
        <v>1348.5</v>
      </c>
      <c r="AR82" s="21">
        <v>1368.5</v>
      </c>
      <c r="AS82" s="21">
        <v>1325.5</v>
      </c>
      <c r="AT82" s="21">
        <v>1353.5</v>
      </c>
      <c r="AU82" s="21">
        <v>1285.5</v>
      </c>
      <c r="AV82" s="21">
        <v>1309</v>
      </c>
      <c r="AW82" s="21">
        <v>1255</v>
      </c>
      <c r="AX82" s="21">
        <v>1328</v>
      </c>
      <c r="AY82" s="21">
        <v>1338.5</v>
      </c>
      <c r="AZ82" s="21">
        <v>1354</v>
      </c>
      <c r="BA82" s="21">
        <v>1378.5</v>
      </c>
      <c r="BB82" s="21">
        <v>1389.5</v>
      </c>
      <c r="BC82" s="21">
        <v>1405.5</v>
      </c>
      <c r="BD82" s="21">
        <v>1367</v>
      </c>
      <c r="BE82" s="21">
        <v>1357.5</v>
      </c>
      <c r="BF82" s="21">
        <v>1350.5</v>
      </c>
      <c r="BG82" s="21">
        <v>1360.5</v>
      </c>
      <c r="BH82" s="21">
        <v>1353</v>
      </c>
      <c r="BI82" s="21">
        <v>1336.5</v>
      </c>
      <c r="BJ82" s="21">
        <v>1332.5</v>
      </c>
      <c r="BK82" s="21">
        <v>1300</v>
      </c>
      <c r="BL82" s="21">
        <v>1279</v>
      </c>
      <c r="BM82" s="1">
        <v>1320</v>
      </c>
      <c r="BN82" s="1">
        <v>1277</v>
      </c>
      <c r="BO82" s="1">
        <v>1269</v>
      </c>
      <c r="BP82" s="1">
        <v>1242</v>
      </c>
      <c r="BQ82" s="1">
        <v>1192</v>
      </c>
      <c r="BR82" s="1">
        <v>1210</v>
      </c>
      <c r="BS82" s="1">
        <v>1215.5</v>
      </c>
      <c r="BT82" s="1">
        <v>1237.5</v>
      </c>
      <c r="BU82" s="1">
        <v>1281.5</v>
      </c>
      <c r="BV82" s="1">
        <v>1317</v>
      </c>
      <c r="BW82" s="1">
        <v>1339</v>
      </c>
      <c r="BX82" s="1">
        <v>1355</v>
      </c>
      <c r="BY82" s="1">
        <v>1350.5</v>
      </c>
      <c r="BZ82" s="1">
        <v>1333.5</v>
      </c>
    </row>
    <row r="83" spans="1:254" ht="15.9" customHeight="1">
      <c r="A83" s="65" t="s">
        <v>161</v>
      </c>
      <c r="B83" s="41" t="s">
        <v>162</v>
      </c>
      <c r="C83" s="45">
        <f>_xll.RssMarket("1925","安値")</f>
        <v>4517</v>
      </c>
      <c r="D83" s="16">
        <f t="shared" si="2"/>
        <v>0</v>
      </c>
      <c r="E83" s="21">
        <v>4517</v>
      </c>
      <c r="F83" s="21">
        <v>4484</v>
      </c>
      <c r="G83" s="21">
        <v>4528</v>
      </c>
      <c r="H83" s="21">
        <v>4554</v>
      </c>
      <c r="I83" s="21">
        <v>4665</v>
      </c>
      <c r="J83" s="21">
        <v>4783</v>
      </c>
      <c r="K83" s="21">
        <v>4789</v>
      </c>
      <c r="L83" s="21">
        <v>4723</v>
      </c>
      <c r="M83" s="21">
        <v>4601</v>
      </c>
      <c r="N83" s="21">
        <v>4520</v>
      </c>
      <c r="O83" s="21">
        <v>4537</v>
      </c>
      <c r="P83" s="21">
        <v>4555</v>
      </c>
      <c r="Q83" s="21">
        <v>4599</v>
      </c>
      <c r="R83" s="21">
        <v>4582</v>
      </c>
      <c r="S83" s="21">
        <v>4577</v>
      </c>
      <c r="T83" s="21">
        <v>4530</v>
      </c>
      <c r="U83" s="21">
        <v>4481</v>
      </c>
      <c r="V83" s="21">
        <v>4493</v>
      </c>
      <c r="W83" s="21">
        <v>4487</v>
      </c>
      <c r="X83" s="21">
        <v>4545</v>
      </c>
      <c r="Y83" s="21">
        <v>4546</v>
      </c>
      <c r="Z83" s="21">
        <v>4491</v>
      </c>
      <c r="AA83" s="21">
        <v>4480</v>
      </c>
      <c r="AB83" s="21">
        <v>4400</v>
      </c>
      <c r="AC83" s="21">
        <v>4366</v>
      </c>
      <c r="AD83" s="21">
        <v>4417</v>
      </c>
      <c r="AE83" s="21">
        <v>4407</v>
      </c>
      <c r="AF83" s="21">
        <v>4340</v>
      </c>
      <c r="AG83" s="21">
        <v>4340</v>
      </c>
      <c r="AH83" s="21">
        <v>4287</v>
      </c>
      <c r="AI83" s="21">
        <v>4275</v>
      </c>
      <c r="AJ83" s="21">
        <v>4226</v>
      </c>
      <c r="AK83" s="21">
        <v>4319</v>
      </c>
      <c r="AL83" s="21">
        <v>4319</v>
      </c>
      <c r="AM83" s="21">
        <v>4358</v>
      </c>
      <c r="AN83" s="21">
        <v>4304</v>
      </c>
      <c r="AO83" s="21">
        <v>4349</v>
      </c>
      <c r="AP83" s="21">
        <v>4285</v>
      </c>
      <c r="AQ83" s="21">
        <v>4272</v>
      </c>
      <c r="AR83" s="21">
        <v>4297</v>
      </c>
      <c r="AS83" s="21">
        <v>4180</v>
      </c>
      <c r="AT83" s="21">
        <v>4191</v>
      </c>
      <c r="AU83" s="21">
        <v>4208</v>
      </c>
      <c r="AV83" s="21">
        <v>4164</v>
      </c>
      <c r="AW83" s="21">
        <v>4081</v>
      </c>
      <c r="AX83" s="21">
        <v>4334</v>
      </c>
      <c r="AY83" s="21">
        <v>4374</v>
      </c>
      <c r="AZ83" s="21">
        <v>4394</v>
      </c>
      <c r="BA83" s="21">
        <v>4405</v>
      </c>
      <c r="BB83" s="21">
        <v>4407</v>
      </c>
      <c r="BC83" s="21">
        <v>4453</v>
      </c>
      <c r="BD83" s="21">
        <v>4480</v>
      </c>
      <c r="BE83" s="21">
        <v>4501</v>
      </c>
      <c r="BF83" s="21">
        <v>4462</v>
      </c>
      <c r="BG83" s="21">
        <v>4509</v>
      </c>
      <c r="BH83" s="21">
        <v>4475</v>
      </c>
      <c r="BI83" s="21">
        <v>4754</v>
      </c>
      <c r="BJ83" s="21">
        <v>4749</v>
      </c>
      <c r="BK83" s="21">
        <v>4744</v>
      </c>
      <c r="BL83" s="21">
        <v>4744</v>
      </c>
      <c r="BM83" s="1">
        <v>4747</v>
      </c>
      <c r="BN83" s="1">
        <v>4746</v>
      </c>
      <c r="BO83" s="1">
        <v>4730</v>
      </c>
      <c r="BP83" s="1">
        <v>4783</v>
      </c>
      <c r="BQ83" s="1">
        <v>4740</v>
      </c>
      <c r="BR83" s="1">
        <v>4777</v>
      </c>
      <c r="BS83" s="1">
        <v>4811</v>
      </c>
      <c r="BT83" s="1">
        <v>4818</v>
      </c>
      <c r="BU83" s="1">
        <v>4896</v>
      </c>
      <c r="BV83" s="1">
        <v>4856</v>
      </c>
      <c r="BW83" s="1">
        <v>4852</v>
      </c>
      <c r="BX83" s="1">
        <v>4905</v>
      </c>
      <c r="BY83" s="1">
        <v>4880</v>
      </c>
      <c r="BZ83" s="1">
        <v>4876</v>
      </c>
    </row>
    <row r="84" spans="1:254" ht="15.9" customHeight="1">
      <c r="A84" s="65" t="s">
        <v>163</v>
      </c>
      <c r="B84" s="41" t="s">
        <v>164</v>
      </c>
      <c r="C84" s="45">
        <f>_xll.RssMarket("5411","安値")</f>
        <v>1822</v>
      </c>
      <c r="D84" s="16">
        <f t="shared" si="2"/>
        <v>0</v>
      </c>
      <c r="E84" s="21">
        <v>1822</v>
      </c>
      <c r="F84" s="21">
        <v>1758</v>
      </c>
      <c r="G84" s="21">
        <v>1766.5</v>
      </c>
      <c r="H84" s="21">
        <v>1745</v>
      </c>
      <c r="I84" s="21">
        <v>1802</v>
      </c>
      <c r="J84" s="21">
        <v>1815.5</v>
      </c>
      <c r="K84" s="21">
        <v>1794.5</v>
      </c>
      <c r="L84" s="21">
        <v>1757</v>
      </c>
      <c r="M84" s="21">
        <v>1750</v>
      </c>
      <c r="N84" s="21">
        <v>1705.5</v>
      </c>
      <c r="O84" s="21">
        <v>1699</v>
      </c>
      <c r="P84" s="21">
        <v>1709.5</v>
      </c>
      <c r="Q84" s="21">
        <v>1711.5</v>
      </c>
      <c r="R84" s="21">
        <v>1684.5</v>
      </c>
      <c r="S84" s="21">
        <v>1663.5</v>
      </c>
      <c r="T84" s="21">
        <v>1633</v>
      </c>
      <c r="U84" s="21">
        <v>1616.5</v>
      </c>
      <c r="V84" s="21">
        <v>1609</v>
      </c>
      <c r="W84" s="21">
        <v>1615.5</v>
      </c>
      <c r="X84" s="21">
        <v>1638.5</v>
      </c>
      <c r="Y84" s="21">
        <v>1643</v>
      </c>
      <c r="Z84" s="21">
        <v>1611.5</v>
      </c>
      <c r="AA84" s="21">
        <v>1585</v>
      </c>
      <c r="AB84" s="21">
        <v>1554.5</v>
      </c>
      <c r="AC84" s="21">
        <v>1546</v>
      </c>
      <c r="AD84" s="21">
        <v>1544.5</v>
      </c>
      <c r="AE84" s="21">
        <v>1547</v>
      </c>
      <c r="AF84" s="21">
        <v>1535</v>
      </c>
      <c r="AG84" s="21">
        <v>1546</v>
      </c>
      <c r="AH84" s="21">
        <v>1554.5</v>
      </c>
      <c r="AI84" s="21">
        <v>1561.5</v>
      </c>
      <c r="AJ84" s="21">
        <v>1592</v>
      </c>
      <c r="AK84" s="21">
        <v>1613.5</v>
      </c>
      <c r="AL84" s="21">
        <v>1622</v>
      </c>
      <c r="AM84" s="21">
        <v>1630.5</v>
      </c>
      <c r="AN84" s="21">
        <v>1641.5</v>
      </c>
      <c r="AO84" s="21">
        <v>1624.5</v>
      </c>
      <c r="AP84" s="21">
        <v>1590</v>
      </c>
      <c r="AQ84" s="21">
        <v>1556</v>
      </c>
      <c r="AR84" s="21">
        <v>1557.5</v>
      </c>
      <c r="AS84" s="21">
        <v>1573.5</v>
      </c>
      <c r="AT84" s="21">
        <v>1599</v>
      </c>
      <c r="AU84" s="21">
        <v>1587</v>
      </c>
      <c r="AV84" s="21">
        <v>1591.5</v>
      </c>
      <c r="AW84" s="21">
        <v>1596</v>
      </c>
      <c r="AX84" s="21">
        <v>1683</v>
      </c>
      <c r="AY84" s="21">
        <v>1663.5</v>
      </c>
      <c r="AZ84" s="21">
        <v>1650.5</v>
      </c>
      <c r="BA84" s="21">
        <v>1626</v>
      </c>
      <c r="BB84" s="21">
        <v>1634.5</v>
      </c>
      <c r="BC84" s="21">
        <v>1645.5</v>
      </c>
      <c r="BD84" s="21">
        <v>1630.5</v>
      </c>
      <c r="BE84" s="21">
        <v>1658</v>
      </c>
      <c r="BF84" s="21">
        <v>1649</v>
      </c>
      <c r="BG84" s="21">
        <v>1664</v>
      </c>
      <c r="BH84" s="21">
        <v>1688.5</v>
      </c>
      <c r="BI84" s="21">
        <v>1694.5</v>
      </c>
      <c r="BJ84" s="21">
        <v>1670.5</v>
      </c>
      <c r="BK84" s="21">
        <v>1676</v>
      </c>
      <c r="BL84" s="21">
        <v>1695</v>
      </c>
      <c r="BM84" s="1">
        <v>1712.5</v>
      </c>
      <c r="BN84" s="1">
        <v>1701</v>
      </c>
      <c r="BO84" s="1">
        <v>1685.5</v>
      </c>
      <c r="BP84" s="1">
        <v>1675</v>
      </c>
      <c r="BQ84" s="1">
        <v>1667</v>
      </c>
      <c r="BR84" s="1">
        <v>1679.5</v>
      </c>
      <c r="BS84" s="1">
        <v>1691</v>
      </c>
      <c r="BT84" s="1">
        <v>1715</v>
      </c>
      <c r="BU84" s="1">
        <v>1747.5</v>
      </c>
      <c r="BV84" s="1">
        <v>1771.5</v>
      </c>
      <c r="BW84" s="1">
        <v>1795.5</v>
      </c>
      <c r="BX84" s="1">
        <v>1821</v>
      </c>
      <c r="BY84" s="1">
        <v>1818</v>
      </c>
      <c r="BZ84" s="1">
        <v>1815.5</v>
      </c>
    </row>
    <row r="85" spans="1:254" ht="15.9" customHeight="1">
      <c r="A85" s="65" t="s">
        <v>165</v>
      </c>
      <c r="B85" s="41" t="s">
        <v>166</v>
      </c>
      <c r="C85" s="45">
        <f>_xll.RssMarket("7182","安値")</f>
        <v>3185</v>
      </c>
      <c r="D85" s="16">
        <f t="shared" si="2"/>
        <v>0</v>
      </c>
      <c r="E85" s="21">
        <v>3185</v>
      </c>
      <c r="F85" s="21">
        <v>3081</v>
      </c>
      <c r="G85" s="21">
        <v>3066</v>
      </c>
      <c r="H85" s="21">
        <v>2978</v>
      </c>
      <c r="I85" s="21">
        <v>3066</v>
      </c>
      <c r="J85" s="21">
        <v>3107</v>
      </c>
      <c r="K85" s="21">
        <v>3134</v>
      </c>
      <c r="L85" s="21">
        <v>3256</v>
      </c>
      <c r="M85" s="21">
        <v>3364</v>
      </c>
      <c r="N85" s="21">
        <v>3383</v>
      </c>
      <c r="O85" s="21">
        <v>3386</v>
      </c>
      <c r="P85" s="21">
        <v>3364</v>
      </c>
      <c r="Q85" s="21">
        <v>3145</v>
      </c>
      <c r="R85" s="21">
        <v>3096</v>
      </c>
      <c r="S85" s="21">
        <v>3288</v>
      </c>
      <c r="T85" s="21">
        <v>3251</v>
      </c>
      <c r="U85" s="21">
        <v>3281</v>
      </c>
      <c r="V85" s="21">
        <v>3254</v>
      </c>
      <c r="W85" s="21">
        <v>3270</v>
      </c>
      <c r="X85" s="21">
        <v>3272</v>
      </c>
      <c r="Y85" s="21">
        <v>3303</v>
      </c>
      <c r="Z85" s="21">
        <v>3194</v>
      </c>
      <c r="AA85" s="21">
        <v>3156</v>
      </c>
      <c r="AB85" s="21">
        <v>3114</v>
      </c>
      <c r="AC85" s="21">
        <v>3074</v>
      </c>
      <c r="AD85" s="21">
        <v>3063</v>
      </c>
      <c r="AE85" s="21">
        <v>3031</v>
      </c>
      <c r="AF85" s="21">
        <v>3046</v>
      </c>
      <c r="AG85" s="21">
        <v>3042</v>
      </c>
      <c r="AH85" s="21">
        <v>3072</v>
      </c>
      <c r="AI85" s="21">
        <v>3210</v>
      </c>
      <c r="AJ85" s="21">
        <v>3183</v>
      </c>
      <c r="AK85" s="21">
        <v>3186</v>
      </c>
      <c r="AL85" s="21">
        <v>3215</v>
      </c>
      <c r="AM85" s="21">
        <v>3125</v>
      </c>
      <c r="AN85" s="21">
        <v>3110</v>
      </c>
      <c r="AO85" s="21">
        <v>3198</v>
      </c>
      <c r="AP85" s="21">
        <v>3152</v>
      </c>
      <c r="AQ85" s="21">
        <v>3060</v>
      </c>
      <c r="AR85" s="21">
        <v>3164</v>
      </c>
      <c r="AS85" s="21">
        <v>3049</v>
      </c>
      <c r="AT85" s="21">
        <v>3145</v>
      </c>
      <c r="AU85" s="21">
        <v>3104</v>
      </c>
      <c r="AV85" s="21">
        <v>3108</v>
      </c>
      <c r="AW85" s="21">
        <v>2952.5</v>
      </c>
      <c r="AX85" s="21">
        <v>2968</v>
      </c>
      <c r="AY85" s="21">
        <v>2901</v>
      </c>
      <c r="AZ85" s="21">
        <v>2968</v>
      </c>
      <c r="BA85" s="21">
        <v>3061</v>
      </c>
      <c r="BB85" s="21">
        <v>3104</v>
      </c>
      <c r="BC85" s="21">
        <v>3140</v>
      </c>
      <c r="BD85" s="21">
        <v>3021</v>
      </c>
      <c r="BE85" s="21">
        <v>2991.5</v>
      </c>
      <c r="BF85" s="21">
        <v>2859</v>
      </c>
      <c r="BG85" s="21">
        <v>2766.5</v>
      </c>
      <c r="BH85" s="21">
        <v>2816</v>
      </c>
      <c r="BI85" s="21">
        <v>2812.5</v>
      </c>
      <c r="BJ85" s="21">
        <v>2802</v>
      </c>
      <c r="BK85" s="21">
        <v>2735</v>
      </c>
      <c r="BL85" s="21">
        <v>2700.5</v>
      </c>
      <c r="BM85" s="1">
        <v>2730.5</v>
      </c>
      <c r="BN85" s="1">
        <v>2620</v>
      </c>
      <c r="BO85" s="1">
        <v>2613.5</v>
      </c>
      <c r="BP85" s="1">
        <v>2546.5</v>
      </c>
      <c r="BQ85" s="1">
        <v>2461.5</v>
      </c>
      <c r="BR85" s="1">
        <v>2460.5</v>
      </c>
      <c r="BS85" s="1">
        <v>2513</v>
      </c>
      <c r="BT85" s="1">
        <v>2538.5</v>
      </c>
      <c r="BU85" s="1">
        <v>2600</v>
      </c>
      <c r="BV85" s="1">
        <v>2697.5</v>
      </c>
      <c r="BW85" s="1">
        <v>2731.5</v>
      </c>
      <c r="BX85" s="1">
        <v>2772.5</v>
      </c>
      <c r="BY85" s="1">
        <v>2753.5</v>
      </c>
      <c r="BZ85" s="1">
        <v>2701</v>
      </c>
    </row>
    <row r="86" spans="1:254" ht="15.9" customHeight="1">
      <c r="A86" s="65" t="s">
        <v>167</v>
      </c>
      <c r="B86" s="41" t="s">
        <v>168</v>
      </c>
      <c r="C86" s="45">
        <f>_xll.RssMarket("1963","安値")</f>
        <v>2295</v>
      </c>
      <c r="D86" s="16">
        <f t="shared" si="2"/>
        <v>0</v>
      </c>
      <c r="E86" s="21">
        <v>2295</v>
      </c>
      <c r="F86" s="21">
        <v>2302.5</v>
      </c>
      <c r="G86" s="21">
        <v>2244</v>
      </c>
      <c r="H86" s="21">
        <v>2193</v>
      </c>
      <c r="I86" s="21">
        <v>2237</v>
      </c>
      <c r="J86" s="21">
        <v>2200</v>
      </c>
      <c r="K86" s="21">
        <v>2184</v>
      </c>
      <c r="L86" s="21">
        <v>2274.5</v>
      </c>
      <c r="M86" s="21">
        <v>2285</v>
      </c>
      <c r="N86" s="21"/>
      <c r="O86" s="21">
        <v>2288.5</v>
      </c>
      <c r="P86" s="21">
        <v>2275.5</v>
      </c>
      <c r="Q86" s="21">
        <v>2199</v>
      </c>
      <c r="R86" s="21">
        <v>2149</v>
      </c>
      <c r="S86" s="21">
        <v>2295</v>
      </c>
      <c r="T86" s="21">
        <v>2261.5</v>
      </c>
      <c r="U86" s="21">
        <v>2296.5</v>
      </c>
      <c r="V86" s="21">
        <v>2315.5</v>
      </c>
      <c r="W86" s="21">
        <v>2313.5</v>
      </c>
      <c r="X86" s="21">
        <v>2342</v>
      </c>
      <c r="Y86" s="21">
        <v>2474</v>
      </c>
      <c r="Z86" s="21">
        <v>2519</v>
      </c>
      <c r="AA86" s="21">
        <v>2442.5</v>
      </c>
      <c r="AB86" s="21">
        <v>2470.5</v>
      </c>
      <c r="AC86" s="21">
        <v>2468</v>
      </c>
      <c r="AD86" s="21">
        <v>2485</v>
      </c>
      <c r="AE86" s="21">
        <v>2524</v>
      </c>
      <c r="AF86" s="21">
        <v>2494</v>
      </c>
      <c r="AG86" s="21">
        <v>2538.5</v>
      </c>
      <c r="AH86" s="21">
        <v>2530</v>
      </c>
      <c r="AI86" s="21">
        <v>2609</v>
      </c>
      <c r="AJ86" s="21">
        <v>2597.5</v>
      </c>
      <c r="AK86" s="21">
        <v>2679</v>
      </c>
      <c r="AL86" s="21">
        <v>2764</v>
      </c>
      <c r="AM86" s="21">
        <v>2673.5</v>
      </c>
      <c r="AN86" s="21">
        <v>2622.5</v>
      </c>
      <c r="AO86" s="21">
        <v>2659.5</v>
      </c>
      <c r="AP86" s="21">
        <v>2512</v>
      </c>
      <c r="AQ86" s="21">
        <v>2416.5</v>
      </c>
      <c r="AR86" s="21">
        <v>2495</v>
      </c>
      <c r="AS86" s="21">
        <v>2525.5</v>
      </c>
      <c r="AT86" s="21">
        <v>2589</v>
      </c>
      <c r="AU86" s="21">
        <v>2580.5</v>
      </c>
      <c r="AV86" s="21">
        <v>2615</v>
      </c>
      <c r="AW86" s="21">
        <v>2560</v>
      </c>
      <c r="AX86" s="21">
        <v>2636.5</v>
      </c>
      <c r="AY86" s="21">
        <v>2623</v>
      </c>
      <c r="AZ86" s="21">
        <v>2712</v>
      </c>
      <c r="BA86" s="21">
        <v>2767</v>
      </c>
      <c r="BB86" s="21">
        <v>2683</v>
      </c>
      <c r="BC86" s="21">
        <v>2613.5</v>
      </c>
      <c r="BD86" s="21">
        <v>2597.5</v>
      </c>
      <c r="BE86" s="21">
        <v>2591</v>
      </c>
      <c r="BF86" s="21">
        <v>2512.5</v>
      </c>
      <c r="BG86" s="21">
        <v>2614</v>
      </c>
      <c r="BH86" s="21">
        <v>2380</v>
      </c>
      <c r="BI86" s="21">
        <v>2343.5</v>
      </c>
      <c r="BJ86" s="21">
        <v>2406</v>
      </c>
      <c r="BK86" s="21">
        <v>2392.5</v>
      </c>
      <c r="BL86" s="21">
        <v>2436</v>
      </c>
      <c r="BM86" s="1">
        <v>2399</v>
      </c>
      <c r="BN86" s="1">
        <v>2342</v>
      </c>
      <c r="BO86" s="1">
        <v>2363</v>
      </c>
      <c r="BP86" s="1">
        <v>2368</v>
      </c>
      <c r="BQ86" s="1">
        <v>2276</v>
      </c>
      <c r="BR86" s="1">
        <v>2331.5</v>
      </c>
      <c r="BS86" s="1">
        <v>2264</v>
      </c>
      <c r="BT86" s="1">
        <v>2313</v>
      </c>
      <c r="BU86" s="1">
        <v>2376.5</v>
      </c>
      <c r="BV86" s="1">
        <v>2423.5</v>
      </c>
      <c r="BW86" s="1">
        <v>2506</v>
      </c>
      <c r="BX86" s="1">
        <v>2497</v>
      </c>
      <c r="BY86" s="1">
        <v>2569</v>
      </c>
      <c r="BZ86" s="1">
        <v>2604.5</v>
      </c>
    </row>
    <row r="87" spans="1:254" ht="15.9" customHeight="1">
      <c r="A87" s="65" t="s">
        <v>169</v>
      </c>
      <c r="B87" s="41" t="s">
        <v>170</v>
      </c>
      <c r="C87" s="45">
        <f>_xll.RssMarket("2914","安値")</f>
        <v>6893</v>
      </c>
      <c r="D87" s="16">
        <f t="shared" si="2"/>
        <v>0</v>
      </c>
      <c r="E87" s="21">
        <v>6893</v>
      </c>
      <c r="F87" s="21">
        <v>6671</v>
      </c>
      <c r="G87" s="21">
        <v>6819</v>
      </c>
      <c r="H87" s="21">
        <v>6870</v>
      </c>
      <c r="I87" s="21">
        <v>7000</v>
      </c>
      <c r="J87" s="21">
        <v>6619</v>
      </c>
      <c r="K87" s="21">
        <v>6630</v>
      </c>
      <c r="L87" s="21">
        <v>6550</v>
      </c>
      <c r="M87" s="21">
        <v>6466</v>
      </c>
      <c r="N87" s="21">
        <v>6362</v>
      </c>
      <c r="O87" s="21">
        <v>6368</v>
      </c>
      <c r="P87" s="21">
        <v>6325</v>
      </c>
      <c r="Q87" s="21">
        <v>6315</v>
      </c>
      <c r="R87" s="21">
        <v>6240</v>
      </c>
      <c r="S87" s="21">
        <v>6085</v>
      </c>
      <c r="T87" s="21">
        <v>6115</v>
      </c>
      <c r="U87" s="21">
        <v>6049</v>
      </c>
      <c r="V87" s="21">
        <v>6105</v>
      </c>
      <c r="W87" s="21">
        <v>6124</v>
      </c>
      <c r="X87" s="21">
        <v>6166</v>
      </c>
      <c r="Y87" s="21">
        <v>6105</v>
      </c>
      <c r="Z87" s="21">
        <v>6063</v>
      </c>
      <c r="AA87" s="21">
        <v>6046</v>
      </c>
      <c r="AB87" s="21">
        <v>5996</v>
      </c>
      <c r="AC87" s="21">
        <v>5964</v>
      </c>
      <c r="AD87" s="21">
        <v>5968</v>
      </c>
      <c r="AE87" s="21">
        <v>5941</v>
      </c>
      <c r="AF87" s="21">
        <v>5946</v>
      </c>
      <c r="AG87" s="21">
        <v>5923</v>
      </c>
      <c r="AH87" s="21">
        <v>5918</v>
      </c>
      <c r="AI87" s="21">
        <v>5893</v>
      </c>
      <c r="AJ87" s="21">
        <v>5941</v>
      </c>
      <c r="AK87" s="21">
        <v>6021</v>
      </c>
      <c r="AL87" s="21">
        <v>6046</v>
      </c>
      <c r="AM87" s="21">
        <v>6071</v>
      </c>
      <c r="AN87" s="21">
        <v>6040</v>
      </c>
      <c r="AO87" s="21">
        <v>6063</v>
      </c>
      <c r="AP87" s="21">
        <v>6177</v>
      </c>
      <c r="AQ87" s="21">
        <v>6222</v>
      </c>
      <c r="AR87" s="21">
        <v>6101</v>
      </c>
      <c r="AS87" s="21">
        <v>6002</v>
      </c>
      <c r="AT87" s="21">
        <v>5971</v>
      </c>
      <c r="AU87" s="21">
        <v>6025</v>
      </c>
      <c r="AV87" s="21">
        <v>6083</v>
      </c>
      <c r="AW87" s="21">
        <v>6022</v>
      </c>
      <c r="AX87" s="21">
        <v>6088</v>
      </c>
      <c r="AY87" s="21">
        <v>6090</v>
      </c>
      <c r="AZ87" s="21">
        <v>6062</v>
      </c>
      <c r="BA87" s="21">
        <v>6060</v>
      </c>
      <c r="BB87" s="21">
        <v>6126</v>
      </c>
      <c r="BC87" s="21">
        <v>6233</v>
      </c>
      <c r="BD87" s="21">
        <v>6308</v>
      </c>
      <c r="BE87" s="21">
        <v>6325</v>
      </c>
      <c r="BF87" s="21">
        <v>6313</v>
      </c>
      <c r="BG87" s="21">
        <v>6236</v>
      </c>
      <c r="BH87" s="21">
        <v>6172</v>
      </c>
      <c r="BI87" s="21">
        <v>6056</v>
      </c>
      <c r="BJ87" s="21">
        <v>6044</v>
      </c>
      <c r="BK87" s="21">
        <v>5990</v>
      </c>
      <c r="BL87" s="21">
        <v>5769</v>
      </c>
      <c r="BM87" s="1">
        <v>5831</v>
      </c>
      <c r="BN87" s="1">
        <v>5795</v>
      </c>
      <c r="BO87" s="1">
        <v>5751</v>
      </c>
      <c r="BP87" s="1">
        <v>5696</v>
      </c>
      <c r="BQ87" s="1">
        <v>5735</v>
      </c>
      <c r="BR87" s="1">
        <v>5822</v>
      </c>
      <c r="BS87" s="1">
        <v>5695</v>
      </c>
      <c r="BT87" s="1">
        <v>5646</v>
      </c>
      <c r="BU87" s="1">
        <v>5757</v>
      </c>
      <c r="BV87" s="1">
        <v>5790</v>
      </c>
      <c r="BW87" s="1">
        <v>5800</v>
      </c>
      <c r="BX87" s="1">
        <v>5826</v>
      </c>
      <c r="BY87" s="1">
        <v>5867</v>
      </c>
      <c r="BZ87" s="1">
        <v>5874</v>
      </c>
    </row>
    <row r="88" spans="1:254" ht="15.9" customHeight="1">
      <c r="A88" s="65" t="s">
        <v>171</v>
      </c>
      <c r="B88" s="41" t="s">
        <v>172</v>
      </c>
      <c r="C88" s="45">
        <f>_xll.RssMarket("3003","安値")</f>
        <v>1707.5</v>
      </c>
      <c r="D88" s="16">
        <f t="shared" si="2"/>
        <v>0</v>
      </c>
      <c r="E88" s="21">
        <v>1707.5</v>
      </c>
      <c r="F88" s="21">
        <v>1699</v>
      </c>
      <c r="G88" s="21">
        <v>1703.5</v>
      </c>
      <c r="H88" s="21">
        <v>1704</v>
      </c>
      <c r="I88" s="21">
        <v>1753.5</v>
      </c>
      <c r="J88" s="21">
        <v>1819</v>
      </c>
      <c r="K88" s="21">
        <v>1841</v>
      </c>
      <c r="L88" s="21">
        <v>1793</v>
      </c>
      <c r="M88" s="21">
        <v>1779</v>
      </c>
      <c r="N88" s="21">
        <v>1759</v>
      </c>
      <c r="O88" s="21">
        <v>1770</v>
      </c>
      <c r="P88" s="21">
        <v>1795</v>
      </c>
      <c r="Q88" s="21">
        <v>1815.5</v>
      </c>
      <c r="R88" s="21">
        <v>1783</v>
      </c>
      <c r="S88" s="21">
        <v>1781.5</v>
      </c>
      <c r="T88" s="21">
        <v>1753</v>
      </c>
      <c r="U88" s="21">
        <v>1755.5</v>
      </c>
      <c r="V88" s="21">
        <v>1744</v>
      </c>
      <c r="W88" s="21">
        <v>1746.5</v>
      </c>
      <c r="X88" s="21">
        <v>1779.5</v>
      </c>
      <c r="Y88" s="21">
        <v>1755</v>
      </c>
      <c r="Z88" s="21">
        <v>1737.5</v>
      </c>
      <c r="AA88" s="21">
        <v>1726.5</v>
      </c>
      <c r="AB88" s="21">
        <v>1688</v>
      </c>
      <c r="AC88" s="21">
        <v>1657.5</v>
      </c>
      <c r="AD88" s="21">
        <v>1694.5</v>
      </c>
      <c r="AE88" s="21">
        <v>1692</v>
      </c>
      <c r="AF88" s="21">
        <v>1699.5</v>
      </c>
      <c r="AG88" s="21">
        <v>1690.5</v>
      </c>
      <c r="AH88" s="21">
        <v>1687.5</v>
      </c>
      <c r="AI88" s="21">
        <v>1670</v>
      </c>
      <c r="AJ88" s="21">
        <v>1672.5</v>
      </c>
      <c r="AK88" s="21">
        <v>1689</v>
      </c>
      <c r="AL88" s="21">
        <v>1695</v>
      </c>
      <c r="AM88" s="21">
        <v>1702.5</v>
      </c>
      <c r="AN88" s="21">
        <v>1698.5</v>
      </c>
      <c r="AO88" s="21">
        <v>1733</v>
      </c>
      <c r="AP88" s="21">
        <v>1711</v>
      </c>
      <c r="AQ88" s="21">
        <v>1715.5</v>
      </c>
      <c r="AR88" s="21">
        <v>1689.5</v>
      </c>
      <c r="AS88" s="21">
        <v>1654</v>
      </c>
      <c r="AT88" s="21">
        <v>1647.5</v>
      </c>
      <c r="AU88" s="21">
        <v>1630</v>
      </c>
      <c r="AV88" s="21">
        <v>1643</v>
      </c>
      <c r="AW88" s="21">
        <v>1620.5</v>
      </c>
      <c r="AX88" s="21">
        <v>1671</v>
      </c>
      <c r="AY88" s="21">
        <v>1655</v>
      </c>
      <c r="AZ88" s="21">
        <v>1662.5</v>
      </c>
      <c r="BA88" s="21">
        <v>1653</v>
      </c>
      <c r="BB88" s="21">
        <v>1641</v>
      </c>
      <c r="BC88" s="21">
        <v>1732.5</v>
      </c>
      <c r="BD88" s="21">
        <v>1716</v>
      </c>
      <c r="BE88" s="21">
        <v>1730</v>
      </c>
      <c r="BF88" s="21">
        <v>1712.5</v>
      </c>
      <c r="BG88" s="21">
        <v>1742</v>
      </c>
      <c r="BH88" s="21">
        <v>1744</v>
      </c>
      <c r="BI88" s="21">
        <v>1795</v>
      </c>
      <c r="BJ88" s="21">
        <v>1790</v>
      </c>
      <c r="BK88" s="21">
        <v>1782.5</v>
      </c>
      <c r="BL88" s="21">
        <v>1785</v>
      </c>
      <c r="BM88" s="1">
        <v>1788</v>
      </c>
      <c r="BN88" s="1">
        <v>1763</v>
      </c>
      <c r="BO88" s="1">
        <v>1762.5</v>
      </c>
      <c r="BP88" s="1">
        <v>1777</v>
      </c>
      <c r="BQ88" s="1">
        <v>1742.5</v>
      </c>
      <c r="BR88" s="1">
        <v>1810.5</v>
      </c>
      <c r="BS88" s="1">
        <v>1810.5</v>
      </c>
      <c r="BT88" s="1">
        <v>1818</v>
      </c>
      <c r="BU88" s="1">
        <v>1862.5</v>
      </c>
      <c r="BV88" s="1">
        <v>1890.5</v>
      </c>
      <c r="BW88" s="1">
        <v>1883.5</v>
      </c>
      <c r="BX88" s="1">
        <v>1888</v>
      </c>
      <c r="BY88" s="1">
        <v>1891</v>
      </c>
      <c r="BZ88" s="1">
        <v>1882</v>
      </c>
    </row>
    <row r="89" spans="1:254" ht="15.9" customHeight="1">
      <c r="A89" s="65" t="s">
        <v>173</v>
      </c>
      <c r="B89" s="41" t="s">
        <v>174</v>
      </c>
      <c r="C89" s="45">
        <f>_xll.RssMarket("5892","安値")</f>
        <v>2197</v>
      </c>
      <c r="D89" s="16">
        <f t="shared" si="2"/>
        <v>0</v>
      </c>
      <c r="E89" s="21">
        <v>2197</v>
      </c>
      <c r="F89" s="21">
        <v>2120</v>
      </c>
      <c r="G89" s="21">
        <v>2112</v>
      </c>
      <c r="H89" s="21">
        <v>2060</v>
      </c>
      <c r="I89" s="21">
        <v>2062</v>
      </c>
      <c r="J89" s="21">
        <v>2023</v>
      </c>
      <c r="K89" s="21">
        <v>2002</v>
      </c>
      <c r="L89" s="21">
        <v>2001</v>
      </c>
      <c r="M89" s="21">
        <v>1974</v>
      </c>
      <c r="N89" s="21">
        <v>1904</v>
      </c>
      <c r="O89" s="21">
        <v>1947</v>
      </c>
      <c r="P89" s="21">
        <v>1975</v>
      </c>
      <c r="Q89" s="21">
        <v>2012</v>
      </c>
      <c r="R89" s="21">
        <v>1974</v>
      </c>
      <c r="S89" s="21">
        <v>2046</v>
      </c>
      <c r="T89" s="21">
        <v>2010</v>
      </c>
      <c r="U89" s="21">
        <v>2033</v>
      </c>
      <c r="V89" s="21">
        <v>2038</v>
      </c>
      <c r="W89" s="21">
        <v>2031</v>
      </c>
      <c r="X89" s="21">
        <v>2040</v>
      </c>
      <c r="Y89" s="21">
        <v>2077</v>
      </c>
      <c r="Z89" s="21">
        <v>2080</v>
      </c>
      <c r="AA89" s="21">
        <v>2055</v>
      </c>
      <c r="AB89" s="21">
        <v>2024</v>
      </c>
      <c r="AC89" s="21">
        <v>2004</v>
      </c>
      <c r="AD89" s="21">
        <v>2000</v>
      </c>
      <c r="AE89" s="21">
        <v>2010</v>
      </c>
      <c r="AF89" s="21">
        <v>1946</v>
      </c>
      <c r="AG89" s="21">
        <v>1982</v>
      </c>
      <c r="AH89" s="21">
        <v>1969</v>
      </c>
      <c r="AI89" s="21">
        <v>1998</v>
      </c>
      <c r="AJ89" s="21">
        <v>2021</v>
      </c>
      <c r="AK89" s="21">
        <v>2002</v>
      </c>
      <c r="AL89" s="21">
        <v>2072</v>
      </c>
      <c r="AM89" s="21">
        <v>2046</v>
      </c>
      <c r="AN89" s="21">
        <v>1935</v>
      </c>
      <c r="AO89" s="21">
        <v>1925</v>
      </c>
      <c r="AP89" s="21">
        <v>1979</v>
      </c>
      <c r="AQ89" s="21">
        <v>2081</v>
      </c>
      <c r="AR89" s="21">
        <v>2162</v>
      </c>
      <c r="AS89" s="21">
        <v>2183</v>
      </c>
      <c r="AT89" s="21">
        <v>2229</v>
      </c>
      <c r="AU89" s="21">
        <v>2105</v>
      </c>
      <c r="AV89" s="21">
        <v>2081</v>
      </c>
      <c r="AW89" s="21">
        <v>2100</v>
      </c>
      <c r="AX89" s="21">
        <v>2268</v>
      </c>
      <c r="AY89" s="21">
        <v>2268</v>
      </c>
      <c r="AZ89" s="21">
        <v>2373</v>
      </c>
      <c r="BA89" s="21">
        <v>2340</v>
      </c>
      <c r="BB89" s="21">
        <v>2371</v>
      </c>
      <c r="BC89" s="21">
        <v>2425</v>
      </c>
      <c r="BD89" s="21">
        <v>2505</v>
      </c>
      <c r="BE89" s="21">
        <v>2557</v>
      </c>
      <c r="BF89" s="21">
        <v>2447</v>
      </c>
      <c r="BG89" s="21">
        <v>2384</v>
      </c>
      <c r="BH89" s="21">
        <v>1946</v>
      </c>
      <c r="BI89" s="21">
        <v>1936</v>
      </c>
      <c r="BJ89" s="21">
        <v>1863</v>
      </c>
      <c r="BK89" s="21">
        <v>1923</v>
      </c>
      <c r="BL89" s="21">
        <v>1951</v>
      </c>
      <c r="BM89" s="1">
        <v>1939</v>
      </c>
      <c r="BN89" s="1">
        <v>1947</v>
      </c>
      <c r="BO89" s="1">
        <v>1902</v>
      </c>
      <c r="BP89" s="1">
        <v>1991</v>
      </c>
      <c r="BQ89" s="1">
        <v>2040</v>
      </c>
      <c r="BR89" s="1">
        <v>2049</v>
      </c>
      <c r="BS89" s="1">
        <v>2057</v>
      </c>
      <c r="BT89" s="1">
        <v>2149</v>
      </c>
      <c r="BU89" s="1">
        <v>2180</v>
      </c>
      <c r="BV89" s="1">
        <v>2167</v>
      </c>
      <c r="BW89" s="1">
        <v>2186</v>
      </c>
      <c r="BX89" s="1">
        <v>2185</v>
      </c>
      <c r="BY89" s="1">
        <v>2189</v>
      </c>
      <c r="BZ89" s="1">
        <v>2213</v>
      </c>
    </row>
    <row r="90" spans="1:254" ht="15.9" customHeight="1">
      <c r="A90" s="65" t="s">
        <v>175</v>
      </c>
      <c r="B90" s="41" t="s">
        <v>176</v>
      </c>
      <c r="C90" s="45">
        <f>_xll.RssMarket("6323","安値")</f>
        <v>4069</v>
      </c>
      <c r="D90" s="16">
        <f t="shared" si="2"/>
        <v>0</v>
      </c>
      <c r="E90" s="21">
        <v>4069</v>
      </c>
      <c r="F90" s="21">
        <v>4372</v>
      </c>
      <c r="G90" s="21">
        <v>4030</v>
      </c>
      <c r="H90" s="21">
        <v>3838</v>
      </c>
      <c r="I90" s="21">
        <v>3754</v>
      </c>
      <c r="J90" s="21">
        <v>3320</v>
      </c>
      <c r="K90" s="21">
        <v>3331</v>
      </c>
      <c r="L90" s="21">
        <v>3812</v>
      </c>
      <c r="M90" s="21">
        <v>4251</v>
      </c>
      <c r="N90" s="21">
        <v>4395</v>
      </c>
      <c r="O90" s="21">
        <v>4587</v>
      </c>
      <c r="P90" s="21">
        <v>4496</v>
      </c>
      <c r="Q90" s="21">
        <v>4200</v>
      </c>
      <c r="R90" s="21">
        <v>4200</v>
      </c>
      <c r="S90" s="21">
        <v>4501</v>
      </c>
      <c r="T90" s="21">
        <v>4275</v>
      </c>
      <c r="U90" s="21">
        <v>4575</v>
      </c>
      <c r="V90" s="21">
        <v>4593</v>
      </c>
      <c r="W90" s="21">
        <v>4471</v>
      </c>
      <c r="X90" s="21">
        <v>4203</v>
      </c>
      <c r="Y90" s="21">
        <v>4363</v>
      </c>
      <c r="Z90" s="21">
        <v>4622</v>
      </c>
      <c r="AA90" s="21">
        <v>4331</v>
      </c>
      <c r="AB90" s="21">
        <v>4637</v>
      </c>
      <c r="AC90" s="21">
        <v>4967</v>
      </c>
      <c r="AD90" s="21">
        <v>4539</v>
      </c>
      <c r="AE90" s="21">
        <v>4317</v>
      </c>
      <c r="AF90" s="21">
        <v>4484</v>
      </c>
      <c r="AG90" s="21">
        <v>4624</v>
      </c>
      <c r="AH90" s="21">
        <v>4355</v>
      </c>
      <c r="AI90" s="21">
        <v>4580</v>
      </c>
      <c r="AJ90" s="21">
        <v>4900</v>
      </c>
      <c r="AK90" s="21">
        <v>4790</v>
      </c>
      <c r="AL90" s="21">
        <v>4535</v>
      </c>
      <c r="AM90" s="21">
        <v>4305</v>
      </c>
      <c r="AN90" s="21">
        <v>4375</v>
      </c>
      <c r="AO90" s="21">
        <v>4286</v>
      </c>
      <c r="AP90" s="21">
        <v>4060</v>
      </c>
      <c r="AQ90" s="21">
        <v>3659</v>
      </c>
      <c r="AR90" s="21">
        <v>3788</v>
      </c>
      <c r="AS90" s="21">
        <v>3807</v>
      </c>
      <c r="AT90" s="21">
        <v>4002</v>
      </c>
      <c r="AU90" s="21">
        <v>4213</v>
      </c>
      <c r="AV90" s="21">
        <v>3959</v>
      </c>
      <c r="AW90" s="21">
        <v>3616</v>
      </c>
      <c r="AX90" s="21">
        <v>3843</v>
      </c>
      <c r="AY90" s="21">
        <v>3742</v>
      </c>
      <c r="AZ90" s="21">
        <v>3854</v>
      </c>
      <c r="BA90" s="21">
        <v>3982</v>
      </c>
      <c r="BB90" s="21">
        <v>3755</v>
      </c>
      <c r="BC90" s="21">
        <v>3604</v>
      </c>
      <c r="BD90" s="21">
        <v>3421</v>
      </c>
      <c r="BE90" s="21">
        <v>3538</v>
      </c>
      <c r="BF90" s="21">
        <v>3633</v>
      </c>
      <c r="BG90" s="21">
        <v>3688</v>
      </c>
      <c r="BH90" s="21">
        <v>3995</v>
      </c>
      <c r="BI90" s="21">
        <v>3882</v>
      </c>
      <c r="BJ90" s="21">
        <v>3971</v>
      </c>
      <c r="BK90" s="21">
        <v>3952</v>
      </c>
      <c r="BL90" s="21">
        <v>3857</v>
      </c>
      <c r="BM90" s="1">
        <v>3896</v>
      </c>
      <c r="BN90" s="1">
        <v>3695</v>
      </c>
      <c r="BO90" s="1">
        <v>3643</v>
      </c>
      <c r="BP90" s="1">
        <v>3820</v>
      </c>
      <c r="BQ90" s="1">
        <v>3868</v>
      </c>
      <c r="BR90" s="1">
        <v>3556</v>
      </c>
      <c r="BS90" s="1">
        <v>3491</v>
      </c>
      <c r="BT90" s="1">
        <v>3523</v>
      </c>
      <c r="BU90" s="1">
        <v>3582</v>
      </c>
      <c r="BV90" s="1">
        <v>3624</v>
      </c>
      <c r="BW90" s="1">
        <v>3615</v>
      </c>
      <c r="BX90" s="1">
        <v>3697</v>
      </c>
      <c r="BY90" s="1">
        <v>3759</v>
      </c>
      <c r="BZ90" s="1">
        <v>3895</v>
      </c>
    </row>
    <row r="91" spans="1:254" ht="15.9" customHeight="1">
      <c r="A91" s="65" t="s">
        <v>177</v>
      </c>
      <c r="B91" s="41" t="s">
        <v>178</v>
      </c>
      <c r="C91" s="45">
        <f>_xll.RssMarket("6501","安値")</f>
        <v>5424</v>
      </c>
      <c r="D91" s="16">
        <f t="shared" si="2"/>
        <v>0</v>
      </c>
      <c r="E91" s="21">
        <v>5424</v>
      </c>
      <c r="F91" s="21">
        <v>5314</v>
      </c>
      <c r="G91" s="21">
        <v>5312</v>
      </c>
      <c r="H91" s="21">
        <v>5167</v>
      </c>
      <c r="I91" s="21">
        <v>5170</v>
      </c>
      <c r="J91" s="21">
        <v>4990</v>
      </c>
      <c r="K91" s="21">
        <v>4885</v>
      </c>
      <c r="L91" s="21">
        <v>4797</v>
      </c>
      <c r="M91" s="21">
        <v>4910</v>
      </c>
      <c r="N91" s="21">
        <v>4795</v>
      </c>
      <c r="O91" s="21">
        <v>4813</v>
      </c>
      <c r="P91" s="21">
        <v>4762</v>
      </c>
      <c r="Q91" s="21">
        <v>4675</v>
      </c>
      <c r="R91" s="21">
        <v>4616</v>
      </c>
      <c r="S91" s="21">
        <v>4651</v>
      </c>
      <c r="T91" s="21">
        <v>4714</v>
      </c>
      <c r="U91" s="21">
        <v>4686</v>
      </c>
      <c r="V91" s="21">
        <v>4686</v>
      </c>
      <c r="W91" s="21">
        <v>4703</v>
      </c>
      <c r="X91" s="21">
        <v>4769</v>
      </c>
      <c r="Y91" s="21">
        <v>4790</v>
      </c>
      <c r="Z91" s="21">
        <v>4682</v>
      </c>
      <c r="AA91" s="21">
        <v>4571</v>
      </c>
      <c r="AB91" s="21">
        <v>4520</v>
      </c>
      <c r="AC91" s="21">
        <v>4476</v>
      </c>
      <c r="AD91" s="21">
        <v>4422</v>
      </c>
      <c r="AE91" s="21">
        <v>4435</v>
      </c>
      <c r="AF91" s="21">
        <v>4478</v>
      </c>
      <c r="AG91" s="21">
        <v>4554</v>
      </c>
      <c r="AH91" s="21">
        <v>4632</v>
      </c>
      <c r="AI91" s="21">
        <v>4750</v>
      </c>
      <c r="AJ91" s="21">
        <v>4702</v>
      </c>
      <c r="AK91" s="21">
        <v>4690</v>
      </c>
      <c r="AL91" s="21">
        <v>4680</v>
      </c>
      <c r="AM91" s="21">
        <v>4670</v>
      </c>
      <c r="AN91" s="21">
        <v>4646</v>
      </c>
      <c r="AO91" s="21">
        <v>4703</v>
      </c>
      <c r="AP91" s="21">
        <v>4585</v>
      </c>
      <c r="AQ91" s="21">
        <v>4579</v>
      </c>
      <c r="AR91" s="21">
        <v>4782</v>
      </c>
      <c r="AS91" s="21">
        <v>4968</v>
      </c>
      <c r="AT91" s="21">
        <v>5141</v>
      </c>
      <c r="AU91" s="21">
        <v>5131</v>
      </c>
      <c r="AV91" s="21">
        <v>5129</v>
      </c>
      <c r="AW91" s="21">
        <v>4987</v>
      </c>
      <c r="AX91" s="21">
        <v>5166</v>
      </c>
      <c r="AY91" s="21">
        <v>4962</v>
      </c>
      <c r="AZ91" s="21">
        <v>4955</v>
      </c>
      <c r="BA91" s="21">
        <v>5000</v>
      </c>
      <c r="BB91" s="21">
        <v>4995</v>
      </c>
      <c r="BC91" s="21">
        <v>4882</v>
      </c>
      <c r="BD91" s="21">
        <v>4814</v>
      </c>
      <c r="BE91" s="21">
        <v>4863</v>
      </c>
      <c r="BF91" s="21">
        <v>4723</v>
      </c>
      <c r="BG91" s="21">
        <v>4683</v>
      </c>
      <c r="BH91" s="21">
        <v>4646</v>
      </c>
      <c r="BI91" s="21">
        <v>4702</v>
      </c>
      <c r="BJ91" s="21">
        <v>4812</v>
      </c>
      <c r="BK91" s="21">
        <v>4795</v>
      </c>
      <c r="BL91" s="21">
        <v>4806</v>
      </c>
      <c r="BM91" s="1">
        <v>4850</v>
      </c>
      <c r="BN91" s="1">
        <v>4775</v>
      </c>
      <c r="BO91" s="1">
        <v>4828</v>
      </c>
      <c r="BP91" s="1">
        <v>4990</v>
      </c>
      <c r="BQ91" s="1">
        <v>5258</v>
      </c>
      <c r="BR91" s="1">
        <v>5095</v>
      </c>
      <c r="BS91" s="1">
        <v>5130</v>
      </c>
      <c r="BT91" s="1">
        <v>5034</v>
      </c>
      <c r="BU91" s="1">
        <v>5097</v>
      </c>
      <c r="BV91" s="1">
        <v>5117</v>
      </c>
      <c r="BW91" s="1">
        <v>5109</v>
      </c>
      <c r="BX91" s="1">
        <v>5157</v>
      </c>
      <c r="BY91" s="1">
        <v>5025</v>
      </c>
      <c r="BZ91" s="1">
        <v>4855</v>
      </c>
    </row>
    <row r="92" spans="1:254" ht="15.9" customHeight="1">
      <c r="A92" s="65" t="s">
        <v>179</v>
      </c>
      <c r="B92" s="41" t="s">
        <v>180</v>
      </c>
      <c r="C92" s="45">
        <f>_xll.RssMarket("6134","安値")</f>
        <v>8005</v>
      </c>
      <c r="D92" s="16">
        <f t="shared" si="2"/>
        <v>0</v>
      </c>
      <c r="E92" s="21">
        <v>8005</v>
      </c>
      <c r="F92" s="21">
        <v>7933</v>
      </c>
      <c r="G92" s="21">
        <v>7955</v>
      </c>
      <c r="H92" s="21">
        <v>7056</v>
      </c>
      <c r="I92" s="21">
        <v>7013</v>
      </c>
      <c r="J92" s="21">
        <v>6340</v>
      </c>
      <c r="K92" s="21">
        <v>6234</v>
      </c>
      <c r="L92" s="21">
        <v>6692</v>
      </c>
      <c r="M92" s="21">
        <v>7311</v>
      </c>
      <c r="N92" s="21">
        <v>7293</v>
      </c>
      <c r="O92" s="21">
        <v>7511</v>
      </c>
      <c r="P92" s="21">
        <v>7404</v>
      </c>
      <c r="Q92" s="21">
        <v>7110</v>
      </c>
      <c r="R92" s="21">
        <v>6933</v>
      </c>
      <c r="S92" s="21">
        <v>7696</v>
      </c>
      <c r="T92" s="21">
        <v>7412</v>
      </c>
      <c r="U92" s="21">
        <v>7764</v>
      </c>
      <c r="V92" s="21">
        <v>8020</v>
      </c>
      <c r="W92" s="21">
        <v>7661</v>
      </c>
      <c r="X92" s="21">
        <v>7511</v>
      </c>
      <c r="Y92" s="21">
        <v>7771</v>
      </c>
      <c r="Z92" s="21">
        <v>8457</v>
      </c>
      <c r="AA92" s="21">
        <v>8081</v>
      </c>
      <c r="AB92" s="21">
        <v>8303</v>
      </c>
      <c r="AC92" s="21">
        <v>8649</v>
      </c>
      <c r="AD92" s="21">
        <v>8021</v>
      </c>
      <c r="AE92" s="21">
        <v>7623</v>
      </c>
      <c r="AF92" s="21">
        <v>7867</v>
      </c>
      <c r="AG92" s="21">
        <v>8343</v>
      </c>
      <c r="AH92" s="21">
        <v>8034</v>
      </c>
      <c r="AI92" s="21">
        <v>8142</v>
      </c>
      <c r="AJ92" s="21">
        <v>8420</v>
      </c>
      <c r="AK92" s="21">
        <v>8379</v>
      </c>
      <c r="AL92" s="21">
        <v>8287</v>
      </c>
      <c r="AM92" s="21">
        <v>8162</v>
      </c>
      <c r="AN92" s="21">
        <v>8135</v>
      </c>
      <c r="AO92" s="21">
        <v>7827</v>
      </c>
      <c r="AP92" s="21">
        <v>7530</v>
      </c>
      <c r="AQ92" s="21">
        <v>6890</v>
      </c>
      <c r="AR92" s="21">
        <v>7180</v>
      </c>
      <c r="AS92" s="21">
        <v>6879</v>
      </c>
      <c r="AT92" s="21">
        <v>7462</v>
      </c>
      <c r="AU92" s="21">
        <v>7509</v>
      </c>
      <c r="AV92" s="21">
        <v>7788</v>
      </c>
      <c r="AW92" s="21">
        <v>7637</v>
      </c>
      <c r="AX92" s="21">
        <v>7938</v>
      </c>
      <c r="AY92" s="21">
        <v>7568</v>
      </c>
      <c r="AZ92" s="21">
        <v>7760</v>
      </c>
      <c r="BA92" s="21">
        <v>7980</v>
      </c>
      <c r="BB92" s="21">
        <v>7652</v>
      </c>
      <c r="BC92" s="21">
        <v>7550</v>
      </c>
      <c r="BD92" s="21">
        <v>7051</v>
      </c>
      <c r="BE92" s="21">
        <v>7385</v>
      </c>
      <c r="BF92" s="21">
        <v>7735</v>
      </c>
      <c r="BG92" s="21">
        <v>7694</v>
      </c>
      <c r="BH92" s="21">
        <v>7001</v>
      </c>
      <c r="BI92" s="21">
        <v>6712</v>
      </c>
      <c r="BJ92" s="21">
        <v>6751</v>
      </c>
      <c r="BK92" s="21">
        <v>6559</v>
      </c>
      <c r="BL92" s="21">
        <v>6227</v>
      </c>
      <c r="BM92" s="1">
        <v>6188</v>
      </c>
      <c r="BN92" s="1">
        <v>6000</v>
      </c>
      <c r="BO92" s="1">
        <v>5867</v>
      </c>
      <c r="BP92" s="1">
        <v>5970</v>
      </c>
      <c r="BQ92" s="1">
        <v>5875</v>
      </c>
      <c r="BR92" s="1">
        <v>5739</v>
      </c>
      <c r="BS92" s="1">
        <v>5659</v>
      </c>
      <c r="BT92" s="1">
        <v>5893</v>
      </c>
      <c r="BU92" s="1">
        <v>5851</v>
      </c>
      <c r="BV92" s="1">
        <v>5698</v>
      </c>
      <c r="BW92" s="1">
        <v>5625</v>
      </c>
      <c r="BX92" s="1">
        <v>5721</v>
      </c>
      <c r="BY92" s="1">
        <v>5678</v>
      </c>
      <c r="BZ92" s="1">
        <v>5618</v>
      </c>
    </row>
    <row r="93" spans="1:254" ht="15.9" customHeight="1">
      <c r="A93" s="65" t="s">
        <v>181</v>
      </c>
      <c r="B93" s="41" t="s">
        <v>182</v>
      </c>
      <c r="C93" s="45">
        <f>_xll.RssMarket("7746","安値")</f>
        <v>724</v>
      </c>
      <c r="D93" s="16">
        <f t="shared" si="2"/>
        <v>0</v>
      </c>
      <c r="E93" s="21">
        <v>724</v>
      </c>
      <c r="F93" s="21">
        <v>733</v>
      </c>
      <c r="G93" s="21">
        <v>719</v>
      </c>
      <c r="H93" s="21">
        <v>709</v>
      </c>
      <c r="I93" s="21">
        <v>705</v>
      </c>
      <c r="J93" s="21">
        <v>704</v>
      </c>
      <c r="K93" s="21">
        <v>701</v>
      </c>
      <c r="L93" s="21">
        <v>735</v>
      </c>
      <c r="M93" s="21">
        <v>754</v>
      </c>
      <c r="N93" s="21">
        <v>751</v>
      </c>
      <c r="O93" s="21">
        <v>758</v>
      </c>
      <c r="P93" s="21">
        <v>755</v>
      </c>
      <c r="Q93" s="21">
        <v>730</v>
      </c>
      <c r="R93" s="21">
        <v>731</v>
      </c>
      <c r="S93" s="21">
        <v>788</v>
      </c>
      <c r="T93" s="21">
        <v>778</v>
      </c>
      <c r="U93" s="21">
        <v>773</v>
      </c>
      <c r="V93" s="21">
        <v>762</v>
      </c>
      <c r="W93" s="21">
        <v>757</v>
      </c>
      <c r="X93" s="21">
        <v>785</v>
      </c>
      <c r="Y93" s="21">
        <v>820</v>
      </c>
      <c r="Z93" s="21">
        <v>837</v>
      </c>
      <c r="AA93" s="21">
        <v>826</v>
      </c>
      <c r="AB93" s="21">
        <v>852</v>
      </c>
      <c r="AC93" s="21">
        <v>870</v>
      </c>
      <c r="AD93" s="21">
        <v>904</v>
      </c>
      <c r="AE93" s="21">
        <v>856</v>
      </c>
      <c r="AF93" s="21">
        <v>758</v>
      </c>
      <c r="AG93" s="21">
        <v>755</v>
      </c>
      <c r="AH93" s="21">
        <v>753</v>
      </c>
      <c r="AI93" s="21">
        <v>768</v>
      </c>
      <c r="AJ93" s="21">
        <v>786</v>
      </c>
      <c r="AK93" s="21">
        <v>786</v>
      </c>
      <c r="AL93" s="21">
        <v>815</v>
      </c>
      <c r="AM93" s="21">
        <v>811</v>
      </c>
      <c r="AN93" s="21">
        <v>718</v>
      </c>
      <c r="AO93" s="21">
        <v>737</v>
      </c>
      <c r="AP93" s="21">
        <v>702</v>
      </c>
      <c r="AQ93" s="21">
        <v>660</v>
      </c>
      <c r="AR93" s="21">
        <v>680</v>
      </c>
      <c r="AS93" s="21">
        <v>722</v>
      </c>
      <c r="AT93" s="21">
        <v>751</v>
      </c>
      <c r="AU93" s="21">
        <v>755</v>
      </c>
      <c r="AV93" s="21">
        <v>763</v>
      </c>
      <c r="AW93" s="21">
        <v>760</v>
      </c>
      <c r="AX93" s="21">
        <v>818</v>
      </c>
      <c r="AY93" s="21">
        <v>817</v>
      </c>
      <c r="AZ93" s="21">
        <v>850</v>
      </c>
      <c r="BA93" s="21">
        <v>880</v>
      </c>
      <c r="BB93" s="21">
        <v>877</v>
      </c>
      <c r="BC93" s="21">
        <v>920</v>
      </c>
      <c r="BD93" s="21">
        <v>958</v>
      </c>
      <c r="BE93" s="21">
        <v>925</v>
      </c>
      <c r="BF93" s="21">
        <v>829</v>
      </c>
      <c r="BG93" s="21">
        <v>746</v>
      </c>
      <c r="BH93" s="21">
        <v>760</v>
      </c>
      <c r="BI93" s="21">
        <v>761</v>
      </c>
      <c r="BJ93" s="21">
        <v>758</v>
      </c>
      <c r="BK93" s="21">
        <v>820</v>
      </c>
      <c r="BL93" s="21">
        <v>840</v>
      </c>
      <c r="BM93" s="1">
        <v>833</v>
      </c>
      <c r="BN93" s="1">
        <v>805</v>
      </c>
      <c r="BO93" s="1">
        <v>850</v>
      </c>
      <c r="BP93" s="1">
        <v>920</v>
      </c>
      <c r="BQ93" s="1">
        <v>917</v>
      </c>
      <c r="BR93" s="1">
        <v>955</v>
      </c>
      <c r="BS93" s="1">
        <v>976</v>
      </c>
      <c r="BT93" s="1">
        <v>985</v>
      </c>
      <c r="BU93" s="1">
        <v>983</v>
      </c>
      <c r="BV93" s="1">
        <v>949</v>
      </c>
      <c r="BW93" s="1">
        <v>938</v>
      </c>
      <c r="BX93" s="1">
        <v>958</v>
      </c>
      <c r="BY93" s="1">
        <v>969</v>
      </c>
      <c r="BZ93" s="1">
        <v>972</v>
      </c>
    </row>
    <row r="94" spans="1:254" ht="15.9" customHeight="1">
      <c r="A94" s="65" t="s">
        <v>183</v>
      </c>
      <c r="B94" s="41" t="s">
        <v>184</v>
      </c>
      <c r="C94" s="45">
        <f>_xll.RssMarket("3407","安値")</f>
        <v>1635</v>
      </c>
      <c r="D94" s="16">
        <f t="shared" si="2"/>
        <v>0</v>
      </c>
      <c r="E94" s="21">
        <v>1635</v>
      </c>
      <c r="F94" s="21">
        <v>1605</v>
      </c>
      <c r="G94" s="21">
        <v>1558.5</v>
      </c>
      <c r="H94" s="21">
        <v>1618.5</v>
      </c>
      <c r="I94" s="21">
        <v>1710</v>
      </c>
      <c r="J94" s="21">
        <v>1785.5</v>
      </c>
      <c r="K94" s="21">
        <v>1794</v>
      </c>
      <c r="L94" s="21">
        <v>1800</v>
      </c>
      <c r="M94" s="21">
        <v>1844.5</v>
      </c>
      <c r="N94" s="21">
        <v>1837.5</v>
      </c>
      <c r="O94" s="21">
        <v>1846</v>
      </c>
      <c r="P94" s="21">
        <v>1852.5</v>
      </c>
      <c r="Q94" s="21">
        <v>1827</v>
      </c>
      <c r="R94" s="21">
        <v>1804</v>
      </c>
      <c r="S94" s="21">
        <v>1868</v>
      </c>
      <c r="T94" s="21">
        <v>1813.5</v>
      </c>
      <c r="U94" s="21">
        <v>1815.5</v>
      </c>
      <c r="V94" s="21">
        <v>1831.5</v>
      </c>
      <c r="W94" s="21">
        <v>1831.5</v>
      </c>
      <c r="X94" s="21">
        <v>1832</v>
      </c>
      <c r="Y94" s="21">
        <v>1867.5</v>
      </c>
      <c r="Z94" s="21">
        <v>1850.5</v>
      </c>
      <c r="AA94" s="21">
        <v>1775</v>
      </c>
      <c r="AB94" s="21">
        <v>1761.5</v>
      </c>
      <c r="AC94" s="21">
        <v>1765</v>
      </c>
      <c r="AD94" s="21">
        <v>1776</v>
      </c>
      <c r="AE94" s="21">
        <v>1782.5</v>
      </c>
      <c r="AF94" s="21">
        <v>1779</v>
      </c>
      <c r="AG94" s="21">
        <v>1788.5</v>
      </c>
      <c r="AH94" s="21">
        <v>1750.5</v>
      </c>
      <c r="AI94" s="21">
        <v>1778.5</v>
      </c>
      <c r="AJ94" s="21">
        <v>1795.5</v>
      </c>
      <c r="AK94" s="21">
        <v>1785</v>
      </c>
      <c r="AL94" s="21">
        <v>1774</v>
      </c>
      <c r="AM94" s="21">
        <v>1750</v>
      </c>
      <c r="AN94" s="21">
        <v>1730</v>
      </c>
      <c r="AO94" s="21">
        <v>1756</v>
      </c>
      <c r="AP94" s="21">
        <v>1770</v>
      </c>
      <c r="AQ94" s="21">
        <v>1707.5</v>
      </c>
      <c r="AR94" s="21">
        <v>1732</v>
      </c>
      <c r="AS94" s="21">
        <v>1727</v>
      </c>
      <c r="AT94" s="21">
        <v>1762.5</v>
      </c>
      <c r="AU94" s="21">
        <v>1745</v>
      </c>
      <c r="AV94" s="21">
        <v>1743</v>
      </c>
      <c r="AW94" s="21">
        <v>1700.5</v>
      </c>
      <c r="AX94" s="21">
        <v>1765</v>
      </c>
      <c r="AY94" s="21">
        <v>1707</v>
      </c>
      <c r="AZ94" s="21">
        <v>1742.5</v>
      </c>
      <c r="BA94" s="21">
        <v>1741</v>
      </c>
      <c r="BB94" s="21">
        <v>1695.5</v>
      </c>
      <c r="BC94" s="21">
        <v>1680.5</v>
      </c>
      <c r="BD94" s="21">
        <v>1671.5</v>
      </c>
      <c r="BE94" s="21">
        <v>1678.5</v>
      </c>
      <c r="BF94" s="21">
        <v>1667</v>
      </c>
      <c r="BG94" s="21">
        <v>1705.5</v>
      </c>
      <c r="BH94" s="21">
        <v>1708</v>
      </c>
      <c r="BI94" s="21">
        <v>1645.5</v>
      </c>
      <c r="BJ94" s="21">
        <v>1541</v>
      </c>
      <c r="BK94" s="21">
        <v>1516.5</v>
      </c>
      <c r="BL94" s="21">
        <v>1506.5</v>
      </c>
      <c r="BM94" s="1">
        <v>1537</v>
      </c>
      <c r="BN94" s="1">
        <v>1503.5</v>
      </c>
      <c r="BO94" s="1">
        <v>1508.5</v>
      </c>
      <c r="BP94" s="1">
        <v>1527</v>
      </c>
      <c r="BQ94" s="1">
        <v>1505</v>
      </c>
      <c r="BR94" s="1">
        <v>1508</v>
      </c>
      <c r="BS94" s="1">
        <v>1488</v>
      </c>
      <c r="BT94" s="1">
        <v>1528</v>
      </c>
      <c r="BU94" s="1">
        <v>1558.5</v>
      </c>
      <c r="BV94" s="1">
        <v>1556.5</v>
      </c>
      <c r="BW94" s="1">
        <v>1591</v>
      </c>
      <c r="BX94" s="1">
        <v>1560</v>
      </c>
      <c r="BY94" s="1">
        <v>1540.5</v>
      </c>
      <c r="BZ94" s="1">
        <v>1564</v>
      </c>
    </row>
    <row r="95" spans="1:254" ht="15.9" customHeight="1">
      <c r="A95" s="65" t="s">
        <v>185</v>
      </c>
      <c r="B95" s="41" t="s">
        <v>186</v>
      </c>
      <c r="C95" s="45">
        <f>_xll.RssMarket("4008","安値")</f>
        <v>1251</v>
      </c>
      <c r="D95" s="16">
        <f t="shared" si="2"/>
        <v>0</v>
      </c>
      <c r="E95" s="2">
        <v>1251</v>
      </c>
      <c r="F95" s="30">
        <v>1240</v>
      </c>
      <c r="G95" s="30">
        <v>1215</v>
      </c>
      <c r="H95" s="30">
        <v>1199</v>
      </c>
      <c r="I95" s="30">
        <v>1218</v>
      </c>
      <c r="J95" s="30">
        <v>1206</v>
      </c>
      <c r="K95" s="30">
        <v>1195</v>
      </c>
      <c r="L95" s="30">
        <v>1227</v>
      </c>
      <c r="M95" s="30">
        <v>1277</v>
      </c>
      <c r="N95" s="30"/>
      <c r="O95" s="30">
        <v>1287</v>
      </c>
      <c r="P95" s="30">
        <v>1291</v>
      </c>
      <c r="Q95" s="30">
        <v>1267</v>
      </c>
      <c r="R95" s="30">
        <v>1242</v>
      </c>
      <c r="S95" s="30">
        <v>1293</v>
      </c>
      <c r="T95" s="30">
        <v>1263</v>
      </c>
      <c r="U95" s="30">
        <v>1259</v>
      </c>
      <c r="V95" s="30">
        <v>1265</v>
      </c>
      <c r="W95" s="30">
        <v>1275</v>
      </c>
      <c r="X95" s="30">
        <v>1287</v>
      </c>
      <c r="Y95" s="30">
        <v>1307</v>
      </c>
      <c r="Z95" s="30">
        <v>1343</v>
      </c>
      <c r="AA95" s="30">
        <v>1307</v>
      </c>
      <c r="AB95" s="30">
        <v>1295</v>
      </c>
      <c r="AC95" s="30">
        <v>1275</v>
      </c>
      <c r="AD95" s="30">
        <v>1258</v>
      </c>
      <c r="AE95" s="30">
        <v>1263</v>
      </c>
      <c r="AF95" s="30">
        <v>1281</v>
      </c>
      <c r="AG95" s="30">
        <v>1278</v>
      </c>
      <c r="AH95" s="30">
        <v>1256</v>
      </c>
      <c r="AI95" s="30">
        <v>1289</v>
      </c>
      <c r="AJ95" s="30">
        <v>1325</v>
      </c>
      <c r="AK95" s="30">
        <v>1302</v>
      </c>
      <c r="AL95" s="30">
        <v>1312</v>
      </c>
      <c r="AM95" s="30">
        <v>1317</v>
      </c>
      <c r="AN95" s="30">
        <v>1313</v>
      </c>
      <c r="AO95" s="30">
        <v>1305</v>
      </c>
      <c r="AP95" s="30">
        <v>1277</v>
      </c>
      <c r="AQ95" s="30">
        <v>1226</v>
      </c>
      <c r="AR95" s="30">
        <v>1250</v>
      </c>
      <c r="AS95" s="30">
        <v>1236</v>
      </c>
      <c r="AT95" s="30">
        <v>1265</v>
      </c>
      <c r="AU95" s="30">
        <v>1270</v>
      </c>
      <c r="AV95" s="30">
        <v>1297</v>
      </c>
      <c r="AW95" s="30">
        <v>1233</v>
      </c>
      <c r="AX95" s="30">
        <v>1320</v>
      </c>
      <c r="AY95" s="30">
        <v>1297</v>
      </c>
      <c r="AZ95" s="30">
        <v>1260</v>
      </c>
      <c r="BA95" s="30">
        <v>1265</v>
      </c>
      <c r="BB95" s="30">
        <v>1240</v>
      </c>
      <c r="BC95" s="30">
        <v>1231</v>
      </c>
      <c r="BD95" s="30">
        <v>1201</v>
      </c>
      <c r="BE95" s="30">
        <v>1218</v>
      </c>
      <c r="BF95" s="30">
        <v>1237</v>
      </c>
      <c r="BG95" s="30">
        <v>1228</v>
      </c>
      <c r="BH95" s="30">
        <v>1229</v>
      </c>
      <c r="BI95" s="30">
        <v>1201</v>
      </c>
      <c r="BJ95" s="30">
        <v>1151</v>
      </c>
      <c r="BK95" s="30">
        <v>1204</v>
      </c>
      <c r="BL95" s="30">
        <v>1189</v>
      </c>
      <c r="BM95" s="1">
        <v>1206</v>
      </c>
      <c r="BN95" s="1">
        <v>1182</v>
      </c>
      <c r="BO95" s="1">
        <v>1183</v>
      </c>
      <c r="BP95" s="1">
        <v>1191</v>
      </c>
      <c r="BQ95" s="1">
        <v>1184</v>
      </c>
      <c r="BR95" s="1">
        <v>1193</v>
      </c>
      <c r="BS95" s="1">
        <v>1181</v>
      </c>
      <c r="BT95" s="1">
        <v>1196</v>
      </c>
      <c r="BU95" s="1">
        <v>1239</v>
      </c>
      <c r="BV95" s="1">
        <v>1267</v>
      </c>
      <c r="BW95" s="1">
        <v>1264</v>
      </c>
      <c r="BX95" s="1">
        <v>1274</v>
      </c>
      <c r="BY95" s="1">
        <v>1277</v>
      </c>
      <c r="BZ95" s="1">
        <v>1257</v>
      </c>
    </row>
    <row r="96" spans="1:254" ht="15.9" customHeight="1">
      <c r="A96" s="65" t="s">
        <v>187</v>
      </c>
      <c r="B96" s="41" t="s">
        <v>188</v>
      </c>
      <c r="C96" s="45">
        <f>_xll.RssMarket("4062","安値")</f>
        <v>18415</v>
      </c>
      <c r="D96" s="16">
        <f t="shared" si="2"/>
        <v>0</v>
      </c>
      <c r="E96" s="30">
        <v>18415</v>
      </c>
      <c r="F96" s="30">
        <v>19155</v>
      </c>
      <c r="G96" s="30">
        <v>15735</v>
      </c>
      <c r="H96" s="30">
        <v>15165</v>
      </c>
      <c r="I96" s="30">
        <v>16650</v>
      </c>
      <c r="J96" s="30">
        <v>13095</v>
      </c>
      <c r="K96" s="30">
        <v>12980</v>
      </c>
      <c r="L96" s="30">
        <v>14470</v>
      </c>
      <c r="M96" s="30">
        <v>16420</v>
      </c>
      <c r="N96" s="30">
        <v>16825</v>
      </c>
      <c r="O96" s="30">
        <v>17790</v>
      </c>
      <c r="P96" s="30">
        <v>17965</v>
      </c>
      <c r="Q96" s="30">
        <v>15930</v>
      </c>
      <c r="R96" s="30">
        <v>14860</v>
      </c>
      <c r="S96" s="30">
        <v>17805</v>
      </c>
      <c r="T96" s="30">
        <v>17030</v>
      </c>
      <c r="U96" s="30">
        <v>18145</v>
      </c>
      <c r="V96" s="30">
        <v>19945</v>
      </c>
      <c r="W96" s="30">
        <v>19180</v>
      </c>
      <c r="X96" s="30">
        <v>18635</v>
      </c>
      <c r="Y96" s="30">
        <v>19670</v>
      </c>
      <c r="Z96" s="30">
        <v>20915</v>
      </c>
      <c r="AA96" s="30">
        <v>20900</v>
      </c>
      <c r="AB96" s="30">
        <v>22955</v>
      </c>
      <c r="AC96" s="30">
        <v>25125</v>
      </c>
      <c r="AD96" s="30">
        <v>23315</v>
      </c>
      <c r="AE96" s="30">
        <v>22055</v>
      </c>
      <c r="AF96" s="30">
        <v>23975</v>
      </c>
      <c r="AG96" s="30">
        <v>24625</v>
      </c>
      <c r="AH96" s="30">
        <v>23860</v>
      </c>
      <c r="AI96" s="30">
        <v>24375</v>
      </c>
      <c r="AJ96" s="30">
        <v>24205</v>
      </c>
      <c r="AK96" s="30">
        <v>24545</v>
      </c>
      <c r="AL96" s="30">
        <v>23850</v>
      </c>
      <c r="AM96" s="30">
        <v>21860</v>
      </c>
      <c r="AN96" s="30">
        <v>22250</v>
      </c>
      <c r="AO96" s="30">
        <v>20565</v>
      </c>
      <c r="AP96" s="30">
        <v>18905</v>
      </c>
      <c r="AQ96" s="30">
        <v>16505</v>
      </c>
      <c r="AR96" s="30">
        <v>17110</v>
      </c>
      <c r="AS96" s="30">
        <v>16120</v>
      </c>
      <c r="AT96" s="30">
        <v>17950</v>
      </c>
      <c r="AU96" s="30">
        <v>19965</v>
      </c>
      <c r="AV96" s="30">
        <v>21125</v>
      </c>
      <c r="AW96" s="30">
        <v>20265</v>
      </c>
      <c r="AX96" s="30">
        <v>19505</v>
      </c>
      <c r="AY96" s="30">
        <v>19135</v>
      </c>
      <c r="AZ96" s="30">
        <v>20110</v>
      </c>
      <c r="BA96" s="30">
        <v>19535</v>
      </c>
      <c r="BB96" s="30">
        <v>17960</v>
      </c>
      <c r="BC96" s="30">
        <v>16975</v>
      </c>
      <c r="BD96" s="30">
        <v>14650</v>
      </c>
      <c r="BE96" s="30">
        <v>15005</v>
      </c>
      <c r="BF96" s="30">
        <v>14970</v>
      </c>
      <c r="BG96" s="30">
        <v>15280</v>
      </c>
      <c r="BH96" s="30">
        <v>16625</v>
      </c>
      <c r="BI96" s="30">
        <v>15865</v>
      </c>
      <c r="BJ96" s="30">
        <v>15235</v>
      </c>
      <c r="BK96" s="30">
        <v>15200</v>
      </c>
      <c r="BL96" s="30">
        <v>14820</v>
      </c>
      <c r="BM96" s="1">
        <v>14805</v>
      </c>
      <c r="BN96" s="1">
        <v>13035</v>
      </c>
      <c r="BO96" s="1">
        <v>13070</v>
      </c>
      <c r="BP96" s="1">
        <v>12355</v>
      </c>
      <c r="BQ96" s="1">
        <v>12200</v>
      </c>
      <c r="BR96" s="1">
        <v>12090</v>
      </c>
      <c r="BS96" s="1">
        <v>10870</v>
      </c>
      <c r="BT96" s="1">
        <v>10395</v>
      </c>
      <c r="BU96" s="1">
        <v>9769</v>
      </c>
      <c r="BV96" s="1">
        <v>9068</v>
      </c>
      <c r="BW96" s="1">
        <v>9228</v>
      </c>
      <c r="BX96" s="1">
        <v>9401</v>
      </c>
      <c r="BY96" s="1">
        <v>9215</v>
      </c>
      <c r="BZ96" s="1">
        <v>9672</v>
      </c>
    </row>
    <row r="97" spans="1:254" ht="15.9" customHeight="1">
      <c r="A97" s="65" t="s">
        <v>189</v>
      </c>
      <c r="B97" s="41" t="s">
        <v>190</v>
      </c>
      <c r="C97" s="45">
        <f>_xll.RssMarket("4182","安値")</f>
        <v>4498</v>
      </c>
      <c r="D97" s="16">
        <f t="shared" si="2"/>
        <v>0</v>
      </c>
      <c r="E97" s="30">
        <v>4498</v>
      </c>
      <c r="F97" s="30">
        <v>4539</v>
      </c>
      <c r="G97" s="30">
        <v>4190</v>
      </c>
      <c r="H97" s="30">
        <v>4084</v>
      </c>
      <c r="I97" s="30">
        <v>4185</v>
      </c>
      <c r="J97" s="30">
        <v>3711</v>
      </c>
      <c r="K97" s="30">
        <v>3744</v>
      </c>
      <c r="L97" s="30">
        <v>3973</v>
      </c>
      <c r="M97" s="30">
        <v>4251</v>
      </c>
      <c r="N97" s="30">
        <v>4349</v>
      </c>
      <c r="O97" s="30">
        <v>4530</v>
      </c>
      <c r="P97" s="30">
        <v>4525</v>
      </c>
      <c r="Q97" s="30">
        <v>4280</v>
      </c>
      <c r="R97" s="30">
        <v>4168</v>
      </c>
      <c r="S97" s="30">
        <v>4640</v>
      </c>
      <c r="T97" s="30">
        <v>4433</v>
      </c>
      <c r="U97" s="30">
        <v>4496</v>
      </c>
      <c r="V97" s="30">
        <v>4660</v>
      </c>
      <c r="W97" s="30">
        <v>4600</v>
      </c>
      <c r="X97" s="30">
        <v>4544</v>
      </c>
      <c r="Y97" s="30">
        <v>4626</v>
      </c>
      <c r="Z97" s="30">
        <v>4757</v>
      </c>
      <c r="AA97" s="30">
        <v>4660</v>
      </c>
      <c r="AB97" s="30">
        <v>4822</v>
      </c>
      <c r="AC97" s="30">
        <v>5071</v>
      </c>
      <c r="AD97" s="30">
        <v>4978</v>
      </c>
      <c r="AE97" s="30">
        <v>4898</v>
      </c>
      <c r="AF97" s="30">
        <v>5021</v>
      </c>
      <c r="AG97" s="30">
        <v>5224</v>
      </c>
      <c r="AH97" s="30">
        <v>5159</v>
      </c>
      <c r="AI97" s="30">
        <v>5325</v>
      </c>
      <c r="AJ97" s="30">
        <v>5418</v>
      </c>
      <c r="AK97" s="30">
        <v>5358</v>
      </c>
      <c r="AL97" s="30">
        <v>5222</v>
      </c>
      <c r="AM97" s="30">
        <v>4945</v>
      </c>
      <c r="AN97" s="30">
        <v>5012</v>
      </c>
      <c r="AO97" s="30">
        <v>4961</v>
      </c>
      <c r="AP97" s="30">
        <v>4744</v>
      </c>
      <c r="AQ97" s="30">
        <v>4200</v>
      </c>
      <c r="AR97" s="30">
        <v>4406</v>
      </c>
      <c r="AS97" s="30">
        <v>4640</v>
      </c>
      <c r="AT97" s="30">
        <v>4916</v>
      </c>
      <c r="AU97" s="30">
        <v>5203</v>
      </c>
      <c r="AV97" s="30">
        <v>5325</v>
      </c>
      <c r="AW97" s="30">
        <v>5119</v>
      </c>
      <c r="AX97" s="30">
        <v>5450</v>
      </c>
      <c r="AY97" s="30">
        <v>5212</v>
      </c>
      <c r="AZ97" s="30">
        <v>5283</v>
      </c>
      <c r="BA97" s="30">
        <v>5217</v>
      </c>
      <c r="BB97" s="30">
        <v>4946</v>
      </c>
      <c r="BC97" s="30">
        <v>4742</v>
      </c>
      <c r="BD97" s="30">
        <v>4389</v>
      </c>
      <c r="BE97" s="30">
        <v>4466</v>
      </c>
      <c r="BF97" s="30">
        <v>4443</v>
      </c>
      <c r="BG97" s="30">
        <v>4594</v>
      </c>
      <c r="BH97" s="30">
        <v>4799</v>
      </c>
      <c r="BI97" s="30">
        <v>4650</v>
      </c>
      <c r="BJ97" s="30">
        <v>4795</v>
      </c>
      <c r="BK97" s="30">
        <v>4590</v>
      </c>
      <c r="BL97" s="30">
        <v>4477</v>
      </c>
      <c r="BM97" s="1">
        <v>4445</v>
      </c>
      <c r="BN97" s="1">
        <v>4296</v>
      </c>
      <c r="BO97" s="1">
        <v>4335</v>
      </c>
      <c r="BP97" s="1">
        <v>4320</v>
      </c>
      <c r="BQ97" s="1">
        <v>4251</v>
      </c>
      <c r="BR97" s="1">
        <v>4351</v>
      </c>
      <c r="BS97" s="1">
        <v>4212</v>
      </c>
      <c r="BT97" s="1">
        <v>4268</v>
      </c>
      <c r="BU97" s="1">
        <v>4279</v>
      </c>
      <c r="BV97" s="1">
        <v>4231</v>
      </c>
      <c r="BW97" s="1">
        <v>4166</v>
      </c>
      <c r="BX97" s="1">
        <v>4156</v>
      </c>
      <c r="BY97" s="1">
        <v>4119</v>
      </c>
      <c r="BZ97" s="1">
        <v>4190</v>
      </c>
    </row>
    <row r="98" spans="1:254" ht="15.9" customHeight="1">
      <c r="A98" s="65" t="s">
        <v>191</v>
      </c>
      <c r="B98" s="41" t="s">
        <v>192</v>
      </c>
      <c r="C98" s="45">
        <f>_xll.RssMarket("4188","安値")</f>
        <v>1155.5</v>
      </c>
      <c r="D98" s="16">
        <f t="shared" si="2"/>
        <v>0</v>
      </c>
      <c r="E98" s="30">
        <v>1155.5</v>
      </c>
      <c r="F98" s="30">
        <v>1123</v>
      </c>
      <c r="G98" s="30">
        <v>1104.5</v>
      </c>
      <c r="H98" s="30">
        <v>1100.5</v>
      </c>
      <c r="I98" s="30">
        <v>1101.5</v>
      </c>
      <c r="J98" s="30">
        <v>1129</v>
      </c>
      <c r="K98" s="30">
        <v>1129</v>
      </c>
      <c r="L98" s="30">
        <v>1159.5</v>
      </c>
      <c r="M98" s="30">
        <v>1197.5</v>
      </c>
      <c r="N98" s="30"/>
      <c r="O98" s="30">
        <v>1201.5</v>
      </c>
      <c r="P98" s="30">
        <v>1191.5</v>
      </c>
      <c r="Q98" s="30">
        <v>1180</v>
      </c>
      <c r="R98" s="30">
        <v>1144.5</v>
      </c>
      <c r="S98" s="30">
        <v>1203</v>
      </c>
      <c r="T98" s="30">
        <v>1163</v>
      </c>
      <c r="U98" s="30">
        <v>1156</v>
      </c>
      <c r="V98" s="30">
        <v>1156.5</v>
      </c>
      <c r="W98" s="30">
        <v>1155</v>
      </c>
      <c r="X98" s="30">
        <v>1160.5</v>
      </c>
      <c r="Y98" s="30">
        <v>1181</v>
      </c>
      <c r="Z98" s="30">
        <v>1172.5</v>
      </c>
      <c r="AA98" s="30">
        <v>1126.5</v>
      </c>
      <c r="AB98" s="30">
        <v>1104</v>
      </c>
      <c r="AC98" s="30">
        <v>1109</v>
      </c>
      <c r="AD98" s="30">
        <v>1102.5</v>
      </c>
      <c r="AE98" s="30">
        <v>1105.5</v>
      </c>
      <c r="AF98" s="30">
        <v>1071</v>
      </c>
      <c r="AG98" s="30">
        <v>1088.5</v>
      </c>
      <c r="AH98" s="30">
        <v>1062.5</v>
      </c>
      <c r="AI98" s="30">
        <v>1081</v>
      </c>
      <c r="AJ98" s="30">
        <v>1090.5</v>
      </c>
      <c r="AK98" s="30">
        <v>1089.5</v>
      </c>
      <c r="AL98" s="30">
        <v>1120</v>
      </c>
      <c r="AM98" s="30">
        <v>1093</v>
      </c>
      <c r="AN98" s="30">
        <v>1103</v>
      </c>
      <c r="AO98" s="30">
        <v>1120</v>
      </c>
      <c r="AP98" s="30">
        <v>1055.5</v>
      </c>
      <c r="AQ98" s="30">
        <v>999</v>
      </c>
      <c r="AR98" s="30">
        <v>1010</v>
      </c>
      <c r="AS98" s="30">
        <v>1020</v>
      </c>
      <c r="AT98" s="30">
        <v>1052</v>
      </c>
      <c r="AU98" s="30">
        <v>1080</v>
      </c>
      <c r="AV98" s="30">
        <v>1078.5</v>
      </c>
      <c r="AW98" s="30">
        <v>1056.5</v>
      </c>
      <c r="AX98" s="30">
        <v>1117.5</v>
      </c>
      <c r="AY98" s="30">
        <v>1077.5</v>
      </c>
      <c r="AZ98" s="30">
        <v>1109.5</v>
      </c>
      <c r="BA98" s="30">
        <v>1041.5</v>
      </c>
      <c r="BB98" s="30">
        <v>1004</v>
      </c>
      <c r="BC98" s="30">
        <v>999.2</v>
      </c>
      <c r="BD98" s="30">
        <v>986.9</v>
      </c>
      <c r="BE98" s="30">
        <v>1005</v>
      </c>
      <c r="BF98" s="30">
        <v>991.8</v>
      </c>
      <c r="BG98" s="30">
        <v>985.9</v>
      </c>
      <c r="BH98" s="30">
        <v>1000.5</v>
      </c>
      <c r="BI98" s="30">
        <v>928.6</v>
      </c>
      <c r="BJ98" s="30">
        <v>919.4</v>
      </c>
      <c r="BK98" s="30">
        <v>910.1</v>
      </c>
      <c r="BL98" s="30">
        <v>902</v>
      </c>
      <c r="BM98" s="1">
        <v>913.8</v>
      </c>
      <c r="BN98" s="1">
        <v>896.2</v>
      </c>
      <c r="BO98" s="1">
        <v>898.1</v>
      </c>
      <c r="BP98" s="1">
        <v>910.6</v>
      </c>
      <c r="BQ98" s="1">
        <v>899.4</v>
      </c>
      <c r="BR98" s="1">
        <v>909.6</v>
      </c>
      <c r="BS98" s="1">
        <v>901.6</v>
      </c>
      <c r="BT98" s="1">
        <v>937</v>
      </c>
      <c r="BU98" s="1">
        <v>965</v>
      </c>
      <c r="BV98" s="1">
        <v>960.3</v>
      </c>
      <c r="BW98" s="1">
        <v>983.5</v>
      </c>
      <c r="BX98" s="1">
        <v>992.8</v>
      </c>
      <c r="BY98" s="1">
        <v>991</v>
      </c>
      <c r="BZ98" s="1">
        <v>963.9</v>
      </c>
    </row>
    <row r="99" spans="1:254" ht="15.9" customHeight="1">
      <c r="A99" s="65" t="s">
        <v>193</v>
      </c>
      <c r="B99" s="41" t="s">
        <v>194</v>
      </c>
      <c r="C99" s="45">
        <f>_xll.RssMarket("4523","安値")</f>
        <v>4479</v>
      </c>
      <c r="D99" s="16">
        <f t="shared" si="2"/>
        <v>0</v>
      </c>
      <c r="E99" s="30">
        <v>4479</v>
      </c>
      <c r="F99" s="30">
        <v>4476</v>
      </c>
      <c r="G99" s="30">
        <v>4566</v>
      </c>
      <c r="H99" s="30">
        <v>4538</v>
      </c>
      <c r="I99" s="30">
        <v>4805</v>
      </c>
      <c r="J99" s="30">
        <v>4897</v>
      </c>
      <c r="K99" s="30">
        <v>4846</v>
      </c>
      <c r="L99" s="30">
        <v>4750</v>
      </c>
      <c r="M99" s="30">
        <v>4636</v>
      </c>
      <c r="N99" s="30">
        <v>4563</v>
      </c>
      <c r="O99" s="30">
        <v>4515</v>
      </c>
      <c r="P99" s="30">
        <v>4440</v>
      </c>
      <c r="Q99" s="30">
        <v>4452</v>
      </c>
      <c r="R99" s="30">
        <v>4379</v>
      </c>
      <c r="S99" s="30">
        <v>4238</v>
      </c>
      <c r="T99" s="30">
        <v>4310</v>
      </c>
      <c r="U99" s="30">
        <v>4222</v>
      </c>
      <c r="V99" s="30">
        <v>4252</v>
      </c>
      <c r="W99" s="30">
        <v>4263</v>
      </c>
      <c r="X99" s="30">
        <v>4295</v>
      </c>
      <c r="Y99" s="30">
        <v>4269</v>
      </c>
      <c r="Z99" s="30">
        <v>4280</v>
      </c>
      <c r="AA99" s="30">
        <v>4242</v>
      </c>
      <c r="AB99" s="30">
        <v>4114</v>
      </c>
      <c r="AC99" s="30">
        <v>4050</v>
      </c>
      <c r="AD99" s="30">
        <v>4110</v>
      </c>
      <c r="AE99" s="30">
        <v>4006</v>
      </c>
      <c r="AF99" s="30">
        <v>3940</v>
      </c>
      <c r="AG99" s="30">
        <v>3881</v>
      </c>
      <c r="AH99" s="30">
        <v>3876</v>
      </c>
      <c r="AI99" s="30">
        <v>3894</v>
      </c>
      <c r="AJ99" s="30">
        <v>3822</v>
      </c>
      <c r="AK99" s="30">
        <v>3872</v>
      </c>
      <c r="AL99" s="30">
        <v>3881</v>
      </c>
      <c r="AM99" s="30">
        <v>3813</v>
      </c>
      <c r="AN99" s="30">
        <v>3719</v>
      </c>
      <c r="AO99" s="30">
        <v>3779</v>
      </c>
      <c r="AP99" s="30">
        <v>3725</v>
      </c>
      <c r="AQ99" s="30">
        <v>3660</v>
      </c>
      <c r="AR99" s="30">
        <v>3706</v>
      </c>
      <c r="AS99" s="30">
        <v>3772</v>
      </c>
      <c r="AT99" s="30">
        <v>3767</v>
      </c>
      <c r="AU99" s="30">
        <v>3785</v>
      </c>
      <c r="AV99" s="30">
        <v>3719</v>
      </c>
      <c r="AW99" s="30">
        <v>3737</v>
      </c>
      <c r="AX99" s="30">
        <v>3901</v>
      </c>
      <c r="AY99" s="30">
        <v>3901</v>
      </c>
      <c r="AZ99" s="30">
        <v>3973</v>
      </c>
      <c r="BA99" s="30">
        <v>4120</v>
      </c>
      <c r="BB99" s="30">
        <v>4157</v>
      </c>
      <c r="BC99" s="30">
        <v>4206</v>
      </c>
      <c r="BD99" s="30">
        <v>4231</v>
      </c>
      <c r="BE99" s="30">
        <v>4426</v>
      </c>
      <c r="BF99" s="30">
        <v>4351</v>
      </c>
      <c r="BG99" s="30">
        <v>4615</v>
      </c>
      <c r="BH99" s="30">
        <v>4664</v>
      </c>
      <c r="BI99" s="30">
        <v>4653</v>
      </c>
      <c r="BJ99" s="30">
        <v>4639</v>
      </c>
      <c r="BK99" s="30">
        <v>4511</v>
      </c>
      <c r="BL99" s="30">
        <v>4638</v>
      </c>
      <c r="BM99" s="1">
        <v>4640</v>
      </c>
      <c r="BN99" s="1">
        <v>4600</v>
      </c>
      <c r="BO99" s="1">
        <v>4583</v>
      </c>
      <c r="BP99" s="1">
        <v>4539</v>
      </c>
      <c r="BQ99" s="1">
        <v>4554</v>
      </c>
      <c r="BR99" s="1">
        <v>4715</v>
      </c>
      <c r="BS99" s="1">
        <v>4729</v>
      </c>
      <c r="BT99" s="1">
        <v>4825</v>
      </c>
      <c r="BU99" s="1">
        <v>4808</v>
      </c>
      <c r="BV99" s="1">
        <v>4863</v>
      </c>
      <c r="BW99" s="1">
        <v>4891</v>
      </c>
      <c r="BX99" s="1">
        <v>5020</v>
      </c>
      <c r="BY99" s="1">
        <v>4890</v>
      </c>
      <c r="BZ99" s="1">
        <v>4850</v>
      </c>
    </row>
    <row r="100" spans="1:254" ht="15.9" customHeight="1">
      <c r="A100" s="65" t="s">
        <v>195</v>
      </c>
      <c r="B100" s="41" t="s">
        <v>196</v>
      </c>
      <c r="C100" s="45">
        <f>_xll.RssMarket("4528","安値")</f>
        <v>2296.5</v>
      </c>
      <c r="D100" s="16">
        <f t="shared" si="2"/>
        <v>0</v>
      </c>
      <c r="E100" s="30">
        <v>2296.5</v>
      </c>
      <c r="F100" s="30">
        <v>2264.5</v>
      </c>
      <c r="G100" s="30">
        <v>2290</v>
      </c>
      <c r="H100" s="30">
        <v>2287</v>
      </c>
      <c r="I100" s="30">
        <v>2324</v>
      </c>
      <c r="J100" s="30">
        <v>2404</v>
      </c>
      <c r="K100" s="30">
        <v>2426.5</v>
      </c>
      <c r="L100" s="30">
        <v>2408.5</v>
      </c>
      <c r="M100" s="30">
        <v>2406</v>
      </c>
      <c r="N100" s="30"/>
      <c r="O100" s="30">
        <v>2378</v>
      </c>
      <c r="P100" s="30">
        <v>2384</v>
      </c>
      <c r="Q100" s="30">
        <v>2394.5</v>
      </c>
      <c r="R100" s="30">
        <v>2354</v>
      </c>
      <c r="S100" s="30">
        <v>2364.5</v>
      </c>
      <c r="T100" s="30">
        <v>2389</v>
      </c>
      <c r="U100" s="30">
        <v>2386</v>
      </c>
      <c r="V100" s="30">
        <v>2422</v>
      </c>
      <c r="W100" s="30">
        <v>2434.5</v>
      </c>
      <c r="X100" s="30">
        <v>2449</v>
      </c>
      <c r="Y100" s="30">
        <v>2423</v>
      </c>
      <c r="Z100" s="30">
        <v>2425.5</v>
      </c>
      <c r="AA100" s="30">
        <v>2408.5</v>
      </c>
      <c r="AB100" s="30">
        <v>2352</v>
      </c>
      <c r="AC100" s="30">
        <v>2336</v>
      </c>
      <c r="AD100" s="30">
        <v>2379</v>
      </c>
      <c r="AE100" s="30">
        <v>2377</v>
      </c>
      <c r="AF100" s="30">
        <v>2326</v>
      </c>
      <c r="AG100" s="30">
        <v>2337.5</v>
      </c>
      <c r="AH100" s="30">
        <v>2323</v>
      </c>
      <c r="AI100" s="30">
        <v>2321</v>
      </c>
      <c r="AJ100" s="30">
        <v>2318.5</v>
      </c>
      <c r="AK100" s="30">
        <v>2208</v>
      </c>
      <c r="AL100" s="30">
        <v>2248</v>
      </c>
      <c r="AM100" s="30">
        <v>2240</v>
      </c>
      <c r="AN100" s="30">
        <v>2245.5</v>
      </c>
      <c r="AO100" s="30">
        <v>2263.5</v>
      </c>
      <c r="AP100" s="30">
        <v>2187.5</v>
      </c>
      <c r="AQ100" s="30">
        <v>2186.5</v>
      </c>
      <c r="AR100" s="30">
        <v>2189</v>
      </c>
      <c r="AS100" s="30">
        <v>2221</v>
      </c>
      <c r="AT100" s="30">
        <v>2186.5</v>
      </c>
      <c r="AU100" s="30">
        <v>2157</v>
      </c>
      <c r="AV100" s="30">
        <v>2114.5</v>
      </c>
      <c r="AW100" s="30">
        <v>2207</v>
      </c>
      <c r="AX100" s="30">
        <v>2385</v>
      </c>
      <c r="AY100" s="30">
        <v>2362</v>
      </c>
      <c r="AZ100" s="30">
        <v>2270.5</v>
      </c>
      <c r="BA100" s="30">
        <v>2428.5</v>
      </c>
      <c r="BB100" s="30">
        <v>2466.5</v>
      </c>
      <c r="BC100" s="30">
        <v>2443.5</v>
      </c>
      <c r="BD100" s="30">
        <v>2415</v>
      </c>
      <c r="BE100" s="30">
        <v>2393.5</v>
      </c>
      <c r="BF100" s="30">
        <v>2432.5</v>
      </c>
      <c r="BG100" s="30">
        <v>2518</v>
      </c>
      <c r="BH100" s="30">
        <v>2508.5</v>
      </c>
      <c r="BI100" s="30">
        <v>2489.5</v>
      </c>
      <c r="BJ100" s="30">
        <v>2454.5</v>
      </c>
      <c r="BK100" s="30">
        <v>2420.5</v>
      </c>
      <c r="BL100" s="30">
        <v>2251</v>
      </c>
      <c r="BM100" s="1">
        <v>2292.5</v>
      </c>
      <c r="BN100" s="1">
        <v>2268.5</v>
      </c>
      <c r="BO100" s="1">
        <v>2260</v>
      </c>
      <c r="BP100" s="1">
        <v>2272</v>
      </c>
      <c r="BQ100" s="1">
        <v>2294</v>
      </c>
      <c r="BR100" s="1">
        <v>2316</v>
      </c>
      <c r="BS100" s="1">
        <v>2281</v>
      </c>
      <c r="BT100" s="1">
        <v>2304.5</v>
      </c>
      <c r="BU100" s="1">
        <v>2356.5</v>
      </c>
      <c r="BV100" s="1">
        <v>2398.5</v>
      </c>
      <c r="BW100" s="1">
        <v>2399</v>
      </c>
      <c r="BX100" s="1">
        <v>2444</v>
      </c>
      <c r="BY100" s="1">
        <v>2435.5</v>
      </c>
      <c r="BZ100" s="1">
        <v>2470</v>
      </c>
    </row>
    <row r="101" spans="1:254" ht="15.9" customHeight="1">
      <c r="A101" s="65" t="s">
        <v>197</v>
      </c>
      <c r="B101" s="41" t="s">
        <v>198</v>
      </c>
      <c r="C101" s="45">
        <f>_xll.RssMarket("4661","安値")</f>
        <v>2888.5</v>
      </c>
      <c r="D101" s="16">
        <f t="shared" si="2"/>
        <v>0</v>
      </c>
      <c r="E101" s="30">
        <v>2888.5</v>
      </c>
      <c r="F101" s="30">
        <v>2847</v>
      </c>
      <c r="G101" s="30">
        <v>2933</v>
      </c>
      <c r="H101" s="30">
        <v>3015</v>
      </c>
      <c r="I101" s="30">
        <v>2991</v>
      </c>
      <c r="J101" s="30">
        <v>2908</v>
      </c>
      <c r="K101" s="30">
        <v>2876</v>
      </c>
      <c r="L101" s="30">
        <v>2843.5</v>
      </c>
      <c r="M101" s="30">
        <v>2708</v>
      </c>
      <c r="N101" s="30"/>
      <c r="O101" s="30">
        <v>2606.5</v>
      </c>
      <c r="P101" s="30">
        <v>2582</v>
      </c>
      <c r="Q101" s="30">
        <v>2721</v>
      </c>
      <c r="R101" s="30">
        <v>2709.5</v>
      </c>
      <c r="S101" s="30">
        <v>2612.5</v>
      </c>
      <c r="T101" s="30">
        <v>2672.5</v>
      </c>
      <c r="U101" s="30">
        <v>2597</v>
      </c>
      <c r="V101" s="30">
        <v>2581.5</v>
      </c>
      <c r="W101" s="30">
        <v>2546</v>
      </c>
      <c r="X101" s="30">
        <v>2584.5</v>
      </c>
      <c r="Y101" s="30">
        <v>2537.5</v>
      </c>
      <c r="Z101" s="30">
        <v>2502</v>
      </c>
      <c r="AA101" s="30">
        <v>2538</v>
      </c>
      <c r="AB101" s="30">
        <v>2455.5</v>
      </c>
      <c r="AC101" s="30">
        <v>2405.5</v>
      </c>
      <c r="AD101" s="30">
        <v>2462</v>
      </c>
      <c r="AE101" s="30">
        <v>2405</v>
      </c>
      <c r="AF101" s="30">
        <v>2376</v>
      </c>
      <c r="AG101" s="30">
        <v>2347</v>
      </c>
      <c r="AH101" s="30">
        <v>2358</v>
      </c>
      <c r="AI101" s="30">
        <v>2301</v>
      </c>
      <c r="AJ101" s="30">
        <v>2308.5</v>
      </c>
      <c r="AK101" s="30">
        <v>2277.5</v>
      </c>
      <c r="AL101" s="30">
        <v>2244</v>
      </c>
      <c r="AM101" s="30">
        <v>2260.5</v>
      </c>
      <c r="AN101" s="30">
        <v>2242</v>
      </c>
      <c r="AO101" s="30">
        <v>2220</v>
      </c>
      <c r="AP101" s="30">
        <v>2239.5</v>
      </c>
      <c r="AQ101" s="30">
        <v>2284</v>
      </c>
      <c r="AR101" s="30">
        <v>2211.5</v>
      </c>
      <c r="AS101" s="30">
        <v>2189</v>
      </c>
      <c r="AT101" s="30">
        <v>2180.5</v>
      </c>
      <c r="AU101" s="30">
        <v>2171.5</v>
      </c>
      <c r="AV101" s="30">
        <v>2139</v>
      </c>
      <c r="AW101" s="30">
        <v>2173.5</v>
      </c>
      <c r="AX101" s="30">
        <v>2257</v>
      </c>
      <c r="AY101" s="30">
        <v>2213.5</v>
      </c>
      <c r="AZ101" s="30">
        <v>2116</v>
      </c>
      <c r="BA101" s="30">
        <v>2103</v>
      </c>
      <c r="BB101" s="30">
        <v>2111</v>
      </c>
      <c r="BC101" s="30">
        <v>2141.5</v>
      </c>
      <c r="BD101" s="30">
        <v>2199</v>
      </c>
      <c r="BE101" s="30">
        <v>2141.5</v>
      </c>
      <c r="BF101" s="30">
        <v>2115.5</v>
      </c>
      <c r="BG101" s="30">
        <v>2128</v>
      </c>
      <c r="BH101" s="30">
        <v>2131</v>
      </c>
      <c r="BI101" s="30">
        <v>2159</v>
      </c>
      <c r="BJ101" s="30">
        <v>2168</v>
      </c>
      <c r="BK101" s="30">
        <v>2162</v>
      </c>
      <c r="BL101" s="30">
        <v>2223</v>
      </c>
      <c r="BM101" s="1">
        <v>2144</v>
      </c>
      <c r="BN101" s="1">
        <v>2191</v>
      </c>
      <c r="BO101" s="1">
        <v>2188</v>
      </c>
      <c r="BP101" s="1">
        <v>2395</v>
      </c>
      <c r="BQ101" s="1">
        <v>2378</v>
      </c>
      <c r="BR101" s="1">
        <v>2390</v>
      </c>
      <c r="BS101" s="1">
        <v>2481.5</v>
      </c>
      <c r="BT101" s="1">
        <v>2577.5</v>
      </c>
      <c r="BU101" s="1">
        <v>2613</v>
      </c>
      <c r="BV101" s="1">
        <v>2640</v>
      </c>
      <c r="BW101" s="1">
        <v>2615</v>
      </c>
      <c r="BX101" s="1">
        <v>2638.5</v>
      </c>
      <c r="BY101" s="1">
        <v>2556.5</v>
      </c>
      <c r="BZ101" s="1">
        <v>2548</v>
      </c>
    </row>
    <row r="102" spans="1:254" ht="15.9" customHeight="1">
      <c r="A102" s="65" t="s">
        <v>199</v>
      </c>
      <c r="B102" s="41" t="s">
        <v>200</v>
      </c>
      <c r="C102" s="45">
        <f>_xll.RssMarket("5802","安値")</f>
        <v>2145</v>
      </c>
      <c r="D102" s="16">
        <f t="shared" ref="D102:D133" si="3">C102-E102</f>
        <v>0</v>
      </c>
      <c r="E102" s="30">
        <v>2145</v>
      </c>
      <c r="F102" s="30">
        <v>2294</v>
      </c>
      <c r="G102" s="30"/>
      <c r="H102" s="30"/>
      <c r="I102" s="30"/>
      <c r="J102" s="30"/>
      <c r="K102" s="30"/>
      <c r="L102" s="3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row>
    <row r="103" spans="1:254" ht="15.9" customHeight="1">
      <c r="A103" s="65" t="s">
        <v>201</v>
      </c>
      <c r="B103" s="41" t="s">
        <v>202</v>
      </c>
      <c r="C103" s="45">
        <f>_xll.RssMarket("5803","安値")</f>
        <v>4566</v>
      </c>
      <c r="D103" s="16">
        <f t="shared" si="3"/>
        <v>0</v>
      </c>
      <c r="E103" s="30">
        <v>4566</v>
      </c>
      <c r="F103" s="30">
        <v>4799</v>
      </c>
      <c r="G103" s="30">
        <v>4268</v>
      </c>
      <c r="H103" s="30">
        <v>4008</v>
      </c>
      <c r="I103" s="30">
        <v>4130</v>
      </c>
      <c r="J103" s="30">
        <v>3690</v>
      </c>
      <c r="K103" s="30">
        <v>3665</v>
      </c>
      <c r="L103" s="30">
        <v>4013</v>
      </c>
      <c r="M103" s="30">
        <v>4233</v>
      </c>
      <c r="N103" s="30">
        <v>4511</v>
      </c>
      <c r="O103" s="30">
        <v>4652</v>
      </c>
      <c r="P103" s="30">
        <v>4741</v>
      </c>
      <c r="Q103" s="30">
        <v>4472</v>
      </c>
      <c r="R103" s="30">
        <v>4280</v>
      </c>
      <c r="S103" s="30">
        <v>4834</v>
      </c>
      <c r="T103" s="30">
        <v>4564</v>
      </c>
      <c r="U103" s="30">
        <v>4915</v>
      </c>
      <c r="V103" s="30">
        <v>5095</v>
      </c>
      <c r="W103" s="30">
        <v>4904</v>
      </c>
      <c r="X103" s="30">
        <v>4816</v>
      </c>
      <c r="Y103" s="30">
        <v>5050</v>
      </c>
      <c r="Z103" s="30">
        <v>5221</v>
      </c>
      <c r="AA103" s="30">
        <v>5006</v>
      </c>
      <c r="AB103" s="30">
        <v>5361</v>
      </c>
      <c r="AC103" s="30">
        <v>5802</v>
      </c>
      <c r="AD103" s="30">
        <v>6039</v>
      </c>
      <c r="AE103" s="30">
        <v>5611</v>
      </c>
      <c r="AF103" s="30">
        <v>6066</v>
      </c>
      <c r="AG103" s="30">
        <v>6302</v>
      </c>
      <c r="AH103" s="30">
        <v>6138</v>
      </c>
      <c r="AI103" s="30">
        <v>6314</v>
      </c>
      <c r="AJ103" s="30">
        <v>6161</v>
      </c>
      <c r="AK103" s="30">
        <v>5161</v>
      </c>
      <c r="AL103" s="30">
        <v>4461</v>
      </c>
      <c r="AM103" s="30">
        <v>4562</v>
      </c>
      <c r="AN103" s="30">
        <v>4308</v>
      </c>
      <c r="AO103" s="30">
        <v>4301</v>
      </c>
      <c r="AP103" s="30">
        <v>4136</v>
      </c>
      <c r="AQ103" s="30">
        <v>3888</v>
      </c>
      <c r="AR103" s="30">
        <v>4118</v>
      </c>
      <c r="AS103" s="30">
        <v>4337</v>
      </c>
      <c r="AT103" s="30">
        <v>4523</v>
      </c>
      <c r="AU103" s="30">
        <v>4610</v>
      </c>
      <c r="AV103" s="30">
        <v>4745</v>
      </c>
      <c r="AW103" s="30">
        <v>4351</v>
      </c>
      <c r="AX103" s="30">
        <v>4668</v>
      </c>
      <c r="AY103" s="30">
        <v>4803</v>
      </c>
      <c r="AZ103" s="30">
        <v>5035</v>
      </c>
      <c r="BA103" s="30">
        <v>5151</v>
      </c>
      <c r="BB103" s="30">
        <v>4558</v>
      </c>
      <c r="BC103" s="30">
        <v>4315</v>
      </c>
      <c r="BD103" s="30">
        <v>4156</v>
      </c>
      <c r="BE103" s="30">
        <v>4660</v>
      </c>
      <c r="BF103" s="30">
        <v>5580</v>
      </c>
      <c r="BG103" s="30">
        <v>5725</v>
      </c>
      <c r="BH103" s="30">
        <v>6355</v>
      </c>
      <c r="BI103" s="30">
        <v>7303</v>
      </c>
      <c r="BJ103" s="30">
        <v>7085</v>
      </c>
      <c r="BK103" s="30">
        <v>6634</v>
      </c>
      <c r="BL103" s="30">
        <v>6262</v>
      </c>
      <c r="BM103" s="1">
        <v>6225</v>
      </c>
      <c r="BN103" s="1">
        <v>5803</v>
      </c>
      <c r="BO103" s="1">
        <v>5916</v>
      </c>
      <c r="BP103" s="1">
        <v>6120</v>
      </c>
      <c r="BQ103" s="1">
        <v>5993</v>
      </c>
      <c r="BR103" s="1">
        <v>5894</v>
      </c>
      <c r="BS103" s="1">
        <v>5780</v>
      </c>
      <c r="BT103" s="1">
        <v>5688</v>
      </c>
      <c r="BU103" s="1">
        <v>5574</v>
      </c>
      <c r="BV103" s="1">
        <v>5523</v>
      </c>
      <c r="BW103" s="1">
        <v>5756</v>
      </c>
      <c r="BX103" s="1">
        <v>5550</v>
      </c>
      <c r="BY103" s="1">
        <v>5625</v>
      </c>
      <c r="BZ103" s="1">
        <v>5782</v>
      </c>
    </row>
    <row r="104" spans="1:254" ht="15.9" customHeight="1">
      <c r="A104" s="65" t="s">
        <v>203</v>
      </c>
      <c r="B104" s="41" t="s">
        <v>204</v>
      </c>
      <c r="C104" s="45">
        <f>_xll.RssMarket("6178","安値")</f>
        <v>2340</v>
      </c>
      <c r="D104" s="16">
        <f t="shared" si="3"/>
        <v>0</v>
      </c>
      <c r="E104" s="30">
        <v>2340</v>
      </c>
      <c r="F104" s="30">
        <v>2316.5</v>
      </c>
      <c r="G104" s="30">
        <v>2306.5</v>
      </c>
      <c r="H104" s="30">
        <v>2267.5</v>
      </c>
      <c r="I104" s="30">
        <v>2375</v>
      </c>
      <c r="J104" s="30">
        <v>2401.5</v>
      </c>
      <c r="K104" s="30">
        <v>2448.5</v>
      </c>
      <c r="L104" s="30">
        <v>2448</v>
      </c>
      <c r="M104" s="30">
        <v>2495.5</v>
      </c>
      <c r="N104" s="30">
        <v>2426</v>
      </c>
      <c r="O104" s="30">
        <v>2435</v>
      </c>
      <c r="P104" s="30">
        <v>2400.5</v>
      </c>
      <c r="Q104" s="30">
        <v>2334.5</v>
      </c>
      <c r="R104" s="30">
        <v>2313.5</v>
      </c>
      <c r="S104" s="30">
        <v>2367.5</v>
      </c>
      <c r="T104" s="30">
        <v>2321</v>
      </c>
      <c r="U104" s="30">
        <v>2324</v>
      </c>
      <c r="V104" s="30">
        <v>2218</v>
      </c>
      <c r="W104" s="30">
        <v>2338.5</v>
      </c>
      <c r="X104" s="30">
        <v>2338.5</v>
      </c>
      <c r="Y104" s="30">
        <v>2331</v>
      </c>
      <c r="Z104" s="30">
        <v>2275</v>
      </c>
      <c r="AA104" s="30">
        <v>2250.5</v>
      </c>
      <c r="AB104" s="30">
        <v>2196</v>
      </c>
      <c r="AC104" s="30">
        <v>2157</v>
      </c>
      <c r="AD104" s="30">
        <v>2148</v>
      </c>
      <c r="AE104" s="30">
        <v>2129.5</v>
      </c>
      <c r="AF104" s="30">
        <v>2148</v>
      </c>
      <c r="AG104" s="30">
        <v>2170</v>
      </c>
      <c r="AH104" s="30">
        <v>2212</v>
      </c>
      <c r="AI104" s="30">
        <v>2207</v>
      </c>
      <c r="AJ104" s="30">
        <v>2194.5</v>
      </c>
      <c r="AK104" s="30">
        <v>2201</v>
      </c>
      <c r="AL104" s="30">
        <v>2203.5</v>
      </c>
      <c r="AM104" s="30">
        <v>2196.5</v>
      </c>
      <c r="AN104" s="30">
        <v>2213.5</v>
      </c>
      <c r="AO104" s="30">
        <v>2280</v>
      </c>
      <c r="AP104" s="30">
        <v>2257</v>
      </c>
      <c r="AQ104" s="30">
        <v>2182.5</v>
      </c>
      <c r="AR104" s="30">
        <v>2189.5</v>
      </c>
      <c r="AS104" s="30">
        <v>2095.5</v>
      </c>
      <c r="AT104" s="30">
        <v>2106</v>
      </c>
      <c r="AU104" s="30">
        <v>2078.5</v>
      </c>
      <c r="AV104" s="30">
        <v>2062.5</v>
      </c>
      <c r="AW104" s="30">
        <v>1992.5</v>
      </c>
      <c r="AX104" s="30">
        <v>2037</v>
      </c>
      <c r="AY104" s="30">
        <v>1995</v>
      </c>
      <c r="AZ104" s="30">
        <v>2051</v>
      </c>
      <c r="BA104" s="30">
        <v>2056.5</v>
      </c>
      <c r="BB104" s="30">
        <v>2088.5</v>
      </c>
      <c r="BC104" s="30">
        <v>2097</v>
      </c>
      <c r="BD104" s="30">
        <v>2068</v>
      </c>
      <c r="BE104" s="30">
        <v>2051</v>
      </c>
      <c r="BF104" s="30">
        <v>1986.5</v>
      </c>
      <c r="BG104" s="30">
        <v>1935.5</v>
      </c>
      <c r="BH104" s="30">
        <v>1929</v>
      </c>
      <c r="BI104" s="30">
        <v>1895</v>
      </c>
      <c r="BJ104" s="30">
        <v>1869.5</v>
      </c>
      <c r="BK104" s="30">
        <v>1844</v>
      </c>
      <c r="BL104" s="30">
        <v>1824</v>
      </c>
      <c r="BM104" s="1">
        <v>1829.5</v>
      </c>
      <c r="BN104" s="1">
        <v>1789</v>
      </c>
      <c r="BO104" s="1">
        <v>1787.5</v>
      </c>
      <c r="BP104" s="1">
        <v>1766.5</v>
      </c>
      <c r="BQ104" s="1">
        <v>1740</v>
      </c>
      <c r="BR104" s="1">
        <v>1761.5</v>
      </c>
      <c r="BS104" s="1">
        <v>1752.5</v>
      </c>
      <c r="BT104" s="1">
        <v>1788.5</v>
      </c>
      <c r="BU104" s="1">
        <v>1812.5</v>
      </c>
      <c r="BV104" s="1">
        <v>1858.5</v>
      </c>
      <c r="BW104" s="1">
        <v>1869</v>
      </c>
      <c r="BX104" s="1">
        <v>1880</v>
      </c>
      <c r="BY104" s="1">
        <v>1850</v>
      </c>
      <c r="BZ104" s="1">
        <v>1836</v>
      </c>
    </row>
    <row r="105" spans="1:254" ht="15.9" customHeight="1">
      <c r="A105" s="65" t="s">
        <v>205</v>
      </c>
      <c r="B105" s="41" t="s">
        <v>206</v>
      </c>
      <c r="C105" s="45">
        <f>_xll.RssMarket("6925","安値")</f>
        <v>4067</v>
      </c>
      <c r="D105" s="16">
        <f t="shared" si="3"/>
        <v>0</v>
      </c>
      <c r="E105" s="30">
        <v>4067</v>
      </c>
      <c r="F105" s="30">
        <v>4245</v>
      </c>
      <c r="G105" s="30">
        <v>3844</v>
      </c>
      <c r="H105" s="30">
        <v>3720</v>
      </c>
      <c r="I105" s="30">
        <v>3744</v>
      </c>
      <c r="J105" s="30">
        <v>3516</v>
      </c>
      <c r="K105" s="30">
        <v>3513</v>
      </c>
      <c r="L105" s="30">
        <v>3792</v>
      </c>
      <c r="M105" s="30">
        <v>4067</v>
      </c>
      <c r="N105" s="30">
        <v>4086</v>
      </c>
      <c r="O105" s="30">
        <v>4209</v>
      </c>
      <c r="P105" s="30">
        <v>4094</v>
      </c>
      <c r="Q105" s="30">
        <v>3822</v>
      </c>
      <c r="R105" s="30">
        <v>3729</v>
      </c>
      <c r="S105" s="30">
        <v>4126</v>
      </c>
      <c r="T105" s="30">
        <v>4005</v>
      </c>
      <c r="U105" s="30">
        <v>4151</v>
      </c>
      <c r="V105" s="30">
        <v>4363</v>
      </c>
      <c r="W105" s="30">
        <v>4195</v>
      </c>
      <c r="X105" s="30">
        <v>4130</v>
      </c>
      <c r="Y105" s="30">
        <v>4335</v>
      </c>
      <c r="Z105" s="30">
        <v>4476</v>
      </c>
      <c r="AA105" s="30">
        <v>4438</v>
      </c>
      <c r="AB105" s="30">
        <v>4610</v>
      </c>
      <c r="AC105" s="30">
        <v>4817</v>
      </c>
      <c r="AD105" s="30">
        <v>4286</v>
      </c>
      <c r="AE105" s="30">
        <v>4181</v>
      </c>
      <c r="AF105" s="30">
        <v>4287</v>
      </c>
      <c r="AG105" s="30">
        <v>4458</v>
      </c>
      <c r="AH105" s="30">
        <v>4351</v>
      </c>
      <c r="AI105" s="30">
        <v>4523</v>
      </c>
      <c r="AJ105" s="30">
        <v>4652</v>
      </c>
      <c r="AK105" s="30">
        <v>4608</v>
      </c>
      <c r="AL105" s="30">
        <v>4630</v>
      </c>
      <c r="AM105" s="30">
        <v>4405</v>
      </c>
      <c r="AN105" s="30">
        <v>4235</v>
      </c>
      <c r="AO105" s="30">
        <v>4145</v>
      </c>
      <c r="AP105" s="30">
        <v>3960</v>
      </c>
      <c r="AQ105" s="30">
        <v>3771</v>
      </c>
      <c r="AR105" s="30">
        <v>3917</v>
      </c>
      <c r="AS105" s="30">
        <v>3883</v>
      </c>
      <c r="AT105" s="30">
        <v>4160</v>
      </c>
      <c r="AU105" s="30">
        <v>4036</v>
      </c>
      <c r="AV105" s="30">
        <v>4048</v>
      </c>
      <c r="AW105" s="30">
        <v>3914</v>
      </c>
      <c r="AX105" s="30">
        <v>4133</v>
      </c>
      <c r="AY105" s="30">
        <v>4016</v>
      </c>
      <c r="AZ105" s="30">
        <v>4143</v>
      </c>
      <c r="BA105" s="30">
        <v>4084</v>
      </c>
      <c r="BB105" s="30">
        <v>4027</v>
      </c>
      <c r="BC105" s="30">
        <v>3812</v>
      </c>
      <c r="BD105" s="30">
        <v>3756</v>
      </c>
      <c r="BE105" s="30">
        <v>3889</v>
      </c>
      <c r="BF105" s="30">
        <v>4154</v>
      </c>
      <c r="BG105" s="30">
        <v>4239</v>
      </c>
      <c r="BH105" s="30">
        <v>3410</v>
      </c>
      <c r="BI105" s="30">
        <v>3415</v>
      </c>
      <c r="BJ105" s="30">
        <v>3436</v>
      </c>
      <c r="BK105" s="30">
        <v>3370</v>
      </c>
      <c r="BL105" s="30">
        <v>3326</v>
      </c>
      <c r="BM105" s="1">
        <v>3199</v>
      </c>
      <c r="BN105" s="1">
        <v>3095</v>
      </c>
      <c r="BO105" s="1">
        <v>3080</v>
      </c>
      <c r="BP105" s="1">
        <v>3071</v>
      </c>
      <c r="BQ105" s="1">
        <v>3136</v>
      </c>
      <c r="BR105" s="1">
        <v>3192</v>
      </c>
      <c r="BS105" s="1">
        <v>3098</v>
      </c>
      <c r="BT105" s="1">
        <v>3152</v>
      </c>
      <c r="BU105" s="1">
        <v>3191</v>
      </c>
      <c r="BV105" s="1">
        <v>3120</v>
      </c>
      <c r="BW105" s="1">
        <v>3133</v>
      </c>
      <c r="BX105" s="1">
        <v>3294</v>
      </c>
      <c r="BY105" s="1">
        <v>3282</v>
      </c>
      <c r="BZ105" s="1">
        <v>3251</v>
      </c>
    </row>
    <row r="106" spans="1:254" ht="15.9" customHeight="1">
      <c r="A106" s="65" t="s">
        <v>207</v>
      </c>
      <c r="B106" s="41" t="s">
        <v>208</v>
      </c>
      <c r="C106" s="45">
        <f>_xll.RssMarket("7021","安値")</f>
        <v>2051</v>
      </c>
      <c r="D106" s="16">
        <f t="shared" si="3"/>
        <v>0</v>
      </c>
      <c r="E106" s="30">
        <v>2051</v>
      </c>
      <c r="F106" s="30">
        <v>2050</v>
      </c>
      <c r="G106" s="30">
        <v>2030</v>
      </c>
      <c r="H106" s="30">
        <v>1991</v>
      </c>
      <c r="I106" s="30">
        <v>1950</v>
      </c>
      <c r="J106" s="30">
        <v>1970</v>
      </c>
      <c r="K106" s="30">
        <v>1977</v>
      </c>
      <c r="L106" s="30">
        <v>1955</v>
      </c>
      <c r="M106" s="30">
        <v>1936</v>
      </c>
      <c r="N106" s="30">
        <v>1901</v>
      </c>
      <c r="O106" s="30">
        <v>1890</v>
      </c>
      <c r="P106" s="30">
        <v>1851</v>
      </c>
      <c r="Q106" s="30">
        <v>1867</v>
      </c>
      <c r="R106" s="30">
        <v>1840</v>
      </c>
      <c r="S106" s="30">
        <v>1836</v>
      </c>
      <c r="T106" s="30">
        <v>1849</v>
      </c>
      <c r="U106" s="30">
        <v>1825</v>
      </c>
      <c r="V106" s="30">
        <v>1825</v>
      </c>
      <c r="W106" s="30">
        <v>1825</v>
      </c>
      <c r="X106" s="30">
        <v>1813</v>
      </c>
      <c r="Y106" s="30">
        <v>1821</v>
      </c>
      <c r="Z106" s="30">
        <v>1808</v>
      </c>
      <c r="AA106" s="30">
        <v>1788</v>
      </c>
      <c r="AB106" s="30">
        <v>1791</v>
      </c>
      <c r="AC106" s="30">
        <v>1785</v>
      </c>
      <c r="AD106" s="30">
        <v>1785</v>
      </c>
      <c r="AE106" s="30">
        <v>1775</v>
      </c>
      <c r="AF106" s="30">
        <v>1775</v>
      </c>
      <c r="AG106" s="30">
        <v>1771</v>
      </c>
      <c r="AH106" s="30">
        <v>1770</v>
      </c>
      <c r="AI106" s="30">
        <v>1761</v>
      </c>
      <c r="AJ106" s="30">
        <v>1760</v>
      </c>
      <c r="AK106" s="30">
        <v>1753</v>
      </c>
      <c r="AL106" s="30">
        <v>1751</v>
      </c>
      <c r="AM106" s="30">
        <v>1800</v>
      </c>
      <c r="AN106" s="30">
        <v>1780</v>
      </c>
      <c r="AO106" s="30">
        <v>1780</v>
      </c>
      <c r="AP106" s="30">
        <v>1764</v>
      </c>
      <c r="AQ106" s="30">
        <v>1746</v>
      </c>
      <c r="AR106" s="30">
        <v>1800</v>
      </c>
      <c r="AS106" s="30">
        <v>1763</v>
      </c>
      <c r="AT106" s="30">
        <v>1759</v>
      </c>
      <c r="AU106" s="30">
        <v>1749</v>
      </c>
      <c r="AV106" s="30">
        <v>1754</v>
      </c>
      <c r="AW106" s="30">
        <v>1800</v>
      </c>
      <c r="AX106" s="30">
        <v>1854</v>
      </c>
      <c r="AY106" s="30">
        <v>1854</v>
      </c>
      <c r="AZ106" s="30">
        <v>1835</v>
      </c>
      <c r="BA106" s="30">
        <v>1805</v>
      </c>
      <c r="BB106" s="30">
        <v>1797</v>
      </c>
      <c r="BC106" s="30">
        <v>1809</v>
      </c>
      <c r="BD106" s="30">
        <v>1812</v>
      </c>
      <c r="BE106" s="30">
        <v>1878</v>
      </c>
      <c r="BF106" s="30">
        <v>1877</v>
      </c>
      <c r="BG106" s="30">
        <v>1971</v>
      </c>
      <c r="BH106" s="30">
        <v>2155</v>
      </c>
      <c r="BI106" s="30">
        <v>2118</v>
      </c>
      <c r="BJ106" s="30">
        <v>2151</v>
      </c>
      <c r="BK106" s="30">
        <v>2121</v>
      </c>
      <c r="BL106" s="30">
        <v>2101</v>
      </c>
      <c r="BM106" s="1">
        <v>2142</v>
      </c>
      <c r="BN106" s="1">
        <v>2129</v>
      </c>
      <c r="BO106" s="1">
        <v>2151</v>
      </c>
      <c r="BP106" s="1">
        <v>2127</v>
      </c>
      <c r="BQ106" s="1">
        <v>2212</v>
      </c>
      <c r="BR106" s="1">
        <v>2251</v>
      </c>
      <c r="BS106" s="1">
        <v>2249</v>
      </c>
      <c r="BT106" s="1">
        <v>2289</v>
      </c>
      <c r="BU106" s="1">
        <v>2312</v>
      </c>
      <c r="BV106" s="1">
        <v>2308</v>
      </c>
      <c r="BW106" s="1">
        <v>2313</v>
      </c>
      <c r="BX106" s="1">
        <v>2334</v>
      </c>
      <c r="BY106" s="1">
        <v>2335</v>
      </c>
      <c r="BZ106" s="1">
        <v>2306</v>
      </c>
    </row>
    <row r="107" spans="1:254" ht="15.9" customHeight="1">
      <c r="A107" s="65" t="s">
        <v>209</v>
      </c>
      <c r="B107" s="41" t="s">
        <v>210</v>
      </c>
      <c r="C107" s="45">
        <f>_xll.RssMarket("7729","安値")</f>
        <v>17550</v>
      </c>
      <c r="D107" s="16">
        <f t="shared" si="3"/>
        <v>0</v>
      </c>
      <c r="E107" s="30">
        <v>17550</v>
      </c>
      <c r="F107" s="30">
        <v>17625</v>
      </c>
      <c r="G107" s="30">
        <v>16950</v>
      </c>
      <c r="H107" s="30">
        <v>16670</v>
      </c>
      <c r="I107" s="30">
        <v>16560</v>
      </c>
      <c r="J107" s="30">
        <v>14715</v>
      </c>
      <c r="K107" s="30">
        <v>14390</v>
      </c>
      <c r="L107" s="30">
        <v>15965</v>
      </c>
      <c r="M107" s="30">
        <v>17315</v>
      </c>
      <c r="N107" s="30">
        <v>17275</v>
      </c>
      <c r="O107" s="30">
        <v>18390</v>
      </c>
      <c r="P107" s="30">
        <v>18195</v>
      </c>
      <c r="Q107" s="30">
        <v>16770</v>
      </c>
      <c r="R107" s="30">
        <v>16420</v>
      </c>
      <c r="S107" s="30">
        <v>18325</v>
      </c>
      <c r="T107" s="30">
        <v>17610</v>
      </c>
      <c r="U107" s="30">
        <v>18625</v>
      </c>
      <c r="V107" s="30">
        <v>18350</v>
      </c>
      <c r="W107" s="30">
        <v>17595</v>
      </c>
      <c r="X107" s="30">
        <v>17095</v>
      </c>
      <c r="Y107" s="30">
        <v>17720</v>
      </c>
      <c r="Z107" s="30">
        <v>18300</v>
      </c>
      <c r="AA107" s="30">
        <v>18050</v>
      </c>
      <c r="AB107" s="30">
        <v>19110</v>
      </c>
      <c r="AC107" s="30">
        <v>20520</v>
      </c>
      <c r="AD107" s="30">
        <v>19300</v>
      </c>
      <c r="AE107" s="30">
        <v>18370</v>
      </c>
      <c r="AF107" s="30">
        <v>18840</v>
      </c>
      <c r="AG107" s="30">
        <v>19365</v>
      </c>
      <c r="AH107" s="30">
        <v>18355</v>
      </c>
      <c r="AI107" s="30">
        <v>18900</v>
      </c>
      <c r="AJ107" s="30">
        <v>19935</v>
      </c>
      <c r="AK107" s="30">
        <v>19900</v>
      </c>
      <c r="AL107" s="30">
        <v>19785</v>
      </c>
      <c r="AM107" s="30">
        <v>18485</v>
      </c>
      <c r="AN107" s="30">
        <v>19190</v>
      </c>
      <c r="AO107" s="30">
        <v>19085</v>
      </c>
      <c r="AP107" s="30">
        <v>18300</v>
      </c>
      <c r="AQ107" s="30">
        <v>16235</v>
      </c>
      <c r="AR107" s="30">
        <v>16925</v>
      </c>
      <c r="AS107" s="30">
        <v>15850</v>
      </c>
      <c r="AT107" s="30">
        <v>17290</v>
      </c>
      <c r="AU107" s="30">
        <v>17310</v>
      </c>
      <c r="AV107" s="30">
        <v>16975</v>
      </c>
      <c r="AW107" s="30">
        <v>16240</v>
      </c>
      <c r="AX107" s="30">
        <v>17190</v>
      </c>
      <c r="AY107" s="30">
        <v>17135</v>
      </c>
      <c r="AZ107" s="30">
        <v>17665</v>
      </c>
      <c r="BA107" s="30">
        <v>17580</v>
      </c>
      <c r="BB107" s="30">
        <v>16555</v>
      </c>
      <c r="BC107" s="30">
        <v>16235</v>
      </c>
      <c r="BD107" s="30">
        <v>15260</v>
      </c>
      <c r="BE107" s="30">
        <v>15475</v>
      </c>
      <c r="BF107" s="30">
        <v>16075</v>
      </c>
      <c r="BG107" s="30">
        <v>16425</v>
      </c>
      <c r="BH107" s="30">
        <v>17560</v>
      </c>
      <c r="BI107" s="30">
        <v>18510</v>
      </c>
      <c r="BJ107" s="30">
        <v>18710</v>
      </c>
      <c r="BK107" s="30">
        <v>18780</v>
      </c>
      <c r="BL107" s="30">
        <v>17740</v>
      </c>
      <c r="BM107" s="1">
        <v>18255</v>
      </c>
      <c r="BN107" s="1">
        <v>17130</v>
      </c>
      <c r="BO107" s="1">
        <v>17095</v>
      </c>
      <c r="BP107" s="1">
        <v>17140</v>
      </c>
      <c r="BQ107" s="1">
        <v>17225</v>
      </c>
      <c r="BR107" s="1">
        <v>16905</v>
      </c>
      <c r="BS107" s="1">
        <v>16745</v>
      </c>
      <c r="BT107" s="1">
        <v>16460</v>
      </c>
      <c r="BU107" s="1">
        <v>16270</v>
      </c>
      <c r="BV107" s="1">
        <v>16205</v>
      </c>
      <c r="BW107" s="1">
        <v>16400</v>
      </c>
      <c r="BX107" s="1">
        <v>16510</v>
      </c>
      <c r="BY107" s="1">
        <v>16300</v>
      </c>
      <c r="BZ107" s="1">
        <v>15905</v>
      </c>
    </row>
    <row r="108" spans="1:254" ht="15.9" customHeight="1">
      <c r="A108" s="65" t="s">
        <v>211</v>
      </c>
      <c r="B108" s="41" t="s">
        <v>212</v>
      </c>
      <c r="C108" s="45">
        <f>_xll.RssMarket("8424","安値")</f>
        <v>4375</v>
      </c>
      <c r="D108" s="16">
        <f t="shared" si="3"/>
        <v>0</v>
      </c>
      <c r="E108" s="30">
        <v>4375</v>
      </c>
      <c r="F108" s="30">
        <v>4350</v>
      </c>
      <c r="G108" s="30">
        <v>4362</v>
      </c>
      <c r="H108" s="30">
        <v>4390</v>
      </c>
      <c r="I108" s="30">
        <v>4445</v>
      </c>
      <c r="J108" s="30">
        <v>4464</v>
      </c>
      <c r="K108" s="30">
        <v>4498</v>
      </c>
      <c r="L108" s="30">
        <v>4482</v>
      </c>
      <c r="M108" s="30">
        <v>4463</v>
      </c>
      <c r="N108" s="30">
        <v>4372</v>
      </c>
      <c r="O108" s="30">
        <v>4403</v>
      </c>
      <c r="P108" s="30">
        <v>4402</v>
      </c>
      <c r="Q108" s="30">
        <v>4354</v>
      </c>
      <c r="R108" s="30">
        <v>4312</v>
      </c>
      <c r="S108" s="30">
        <v>4346</v>
      </c>
      <c r="T108" s="30">
        <v>4289</v>
      </c>
      <c r="U108" s="30">
        <v>4262</v>
      </c>
      <c r="V108" s="30">
        <v>4256</v>
      </c>
      <c r="W108" s="30">
        <v>4228</v>
      </c>
      <c r="X108" s="30">
        <v>4260</v>
      </c>
      <c r="Y108" s="30">
        <v>4260</v>
      </c>
      <c r="Z108" s="30">
        <v>4188</v>
      </c>
      <c r="AA108" s="30">
        <v>4188</v>
      </c>
      <c r="AB108" s="30">
        <v>4174</v>
      </c>
      <c r="AC108" s="30">
        <v>4162</v>
      </c>
      <c r="AD108" s="30">
        <v>4220</v>
      </c>
      <c r="AE108" s="30">
        <v>4208</v>
      </c>
      <c r="AF108" s="30">
        <v>4215</v>
      </c>
      <c r="AG108" s="30">
        <v>4194</v>
      </c>
      <c r="AH108" s="30">
        <v>4175</v>
      </c>
      <c r="AI108" s="30">
        <v>4167</v>
      </c>
      <c r="AJ108" s="30">
        <v>4205</v>
      </c>
      <c r="AK108" s="30">
        <v>4199</v>
      </c>
      <c r="AL108" s="30">
        <v>4228</v>
      </c>
      <c r="AM108" s="30">
        <v>4236</v>
      </c>
      <c r="AN108" s="30">
        <v>4236</v>
      </c>
      <c r="AO108" s="30">
        <v>4295</v>
      </c>
      <c r="AP108" s="30">
        <v>4228</v>
      </c>
      <c r="AQ108" s="30">
        <v>4263</v>
      </c>
      <c r="AR108" s="30">
        <v>4253</v>
      </c>
      <c r="AS108" s="30">
        <v>4101</v>
      </c>
      <c r="AT108" s="30">
        <v>4072</v>
      </c>
      <c r="AU108" s="30">
        <v>4060</v>
      </c>
      <c r="AV108" s="30">
        <v>4036</v>
      </c>
      <c r="AW108" s="30">
        <v>4016</v>
      </c>
      <c r="AX108" s="30">
        <v>4154</v>
      </c>
      <c r="AY108" s="30">
        <v>4158</v>
      </c>
      <c r="AZ108" s="30">
        <v>4151</v>
      </c>
      <c r="BA108" s="30">
        <v>4205</v>
      </c>
      <c r="BB108" s="30">
        <v>4255</v>
      </c>
      <c r="BC108" s="30">
        <v>4351</v>
      </c>
      <c r="BD108" s="30">
        <v>4310</v>
      </c>
      <c r="BE108" s="30">
        <v>4324</v>
      </c>
      <c r="BF108" s="30">
        <v>4304</v>
      </c>
      <c r="BG108" s="30">
        <v>4342</v>
      </c>
      <c r="BH108" s="30">
        <v>4308</v>
      </c>
      <c r="BI108" s="30">
        <v>4303</v>
      </c>
      <c r="BJ108" s="30">
        <v>4270</v>
      </c>
      <c r="BK108" s="30">
        <v>4267</v>
      </c>
      <c r="BL108" s="30">
        <v>4251</v>
      </c>
      <c r="BM108" s="1">
        <v>4300</v>
      </c>
      <c r="BN108" s="1">
        <v>4245</v>
      </c>
      <c r="BO108" s="1">
        <v>4298</v>
      </c>
      <c r="BP108" s="1">
        <v>4261</v>
      </c>
      <c r="BQ108" s="1">
        <v>4234</v>
      </c>
      <c r="BR108" s="1">
        <v>4237</v>
      </c>
      <c r="BS108" s="1">
        <v>4217</v>
      </c>
      <c r="BT108" s="1">
        <v>4239</v>
      </c>
      <c r="BU108" s="1">
        <v>4258</v>
      </c>
      <c r="BV108" s="1">
        <v>4303</v>
      </c>
      <c r="BW108" s="1">
        <v>4326</v>
      </c>
      <c r="BX108" s="1">
        <v>4329</v>
      </c>
      <c r="BY108" s="1">
        <v>4311</v>
      </c>
      <c r="BZ108" s="1">
        <v>4302</v>
      </c>
    </row>
    <row r="109" spans="1:254" ht="15.9" customHeight="1">
      <c r="A109" s="65" t="s">
        <v>213</v>
      </c>
      <c r="B109" s="41" t="s">
        <v>214</v>
      </c>
      <c r="C109" s="45">
        <f>_xll.RssMarket("9020","安値")</f>
        <v>3380</v>
      </c>
      <c r="D109" s="16">
        <f t="shared" si="3"/>
        <v>0</v>
      </c>
      <c r="E109" s="30">
        <v>3380</v>
      </c>
      <c r="F109" s="30">
        <v>3351</v>
      </c>
      <c r="G109" s="30">
        <v>3382</v>
      </c>
      <c r="H109" s="30">
        <v>3407</v>
      </c>
      <c r="I109" s="30">
        <v>3650</v>
      </c>
      <c r="J109" s="30">
        <v>3780</v>
      </c>
      <c r="K109" s="30">
        <v>3802</v>
      </c>
      <c r="L109" s="30">
        <v>3754</v>
      </c>
      <c r="M109" s="30">
        <v>3639</v>
      </c>
      <c r="N109" s="30">
        <v>3548</v>
      </c>
      <c r="O109" s="30">
        <v>3550</v>
      </c>
      <c r="P109" s="30">
        <v>3555</v>
      </c>
      <c r="Q109" s="30">
        <v>3631</v>
      </c>
      <c r="R109" s="30">
        <v>3593</v>
      </c>
      <c r="S109" s="30">
        <v>3531</v>
      </c>
      <c r="T109" s="30">
        <v>3558</v>
      </c>
      <c r="U109" s="30">
        <v>3469</v>
      </c>
      <c r="V109" s="30">
        <v>3457</v>
      </c>
      <c r="W109" s="30">
        <v>3474</v>
      </c>
      <c r="X109" s="30">
        <v>3536</v>
      </c>
      <c r="Y109" s="30">
        <v>3489</v>
      </c>
      <c r="Z109" s="30">
        <v>3460</v>
      </c>
      <c r="AA109" s="30">
        <v>3451</v>
      </c>
      <c r="AB109" s="30">
        <v>3338</v>
      </c>
      <c r="AC109" s="30">
        <v>3295</v>
      </c>
      <c r="AD109" s="30">
        <v>3408</v>
      </c>
      <c r="AE109" s="30">
        <v>3400</v>
      </c>
      <c r="AF109" s="30">
        <v>3338</v>
      </c>
      <c r="AG109" s="30">
        <v>3332</v>
      </c>
      <c r="AH109" s="30">
        <v>3352</v>
      </c>
      <c r="AI109" s="30">
        <v>3306</v>
      </c>
      <c r="AJ109" s="30">
        <v>3314</v>
      </c>
      <c r="AK109" s="30">
        <v>3320</v>
      </c>
      <c r="AL109" s="30">
        <v>3313</v>
      </c>
      <c r="AM109" s="30">
        <v>3336</v>
      </c>
      <c r="AN109" s="30">
        <v>3356</v>
      </c>
      <c r="AO109" s="30">
        <v>3362</v>
      </c>
      <c r="AP109" s="30">
        <v>3389</v>
      </c>
      <c r="AQ109" s="30">
        <v>3414</v>
      </c>
      <c r="AR109" s="30">
        <v>3373</v>
      </c>
      <c r="AS109" s="30">
        <v>3345</v>
      </c>
      <c r="AT109" s="30">
        <v>3279</v>
      </c>
      <c r="AU109" s="30">
        <v>3243</v>
      </c>
      <c r="AV109" s="30">
        <v>3262</v>
      </c>
      <c r="AW109" s="30">
        <v>3292</v>
      </c>
      <c r="AX109" s="30">
        <v>3412</v>
      </c>
      <c r="AY109" s="30">
        <v>3444</v>
      </c>
      <c r="AZ109" s="30">
        <v>3458</v>
      </c>
      <c r="BA109" s="30">
        <v>3518</v>
      </c>
      <c r="BB109" s="30">
        <v>3603</v>
      </c>
      <c r="BC109" s="30">
        <v>3692</v>
      </c>
      <c r="BD109" s="30">
        <v>3729</v>
      </c>
      <c r="BE109" s="30">
        <v>3730</v>
      </c>
      <c r="BF109" s="30">
        <v>3682</v>
      </c>
      <c r="BG109" s="30">
        <v>3657</v>
      </c>
      <c r="BH109" s="30">
        <v>3661</v>
      </c>
      <c r="BI109" s="30">
        <v>3744</v>
      </c>
      <c r="BJ109" s="30">
        <v>3588</v>
      </c>
      <c r="BK109" s="30">
        <v>3611</v>
      </c>
      <c r="BL109" s="30">
        <v>3600</v>
      </c>
      <c r="BM109" s="1">
        <v>3567</v>
      </c>
      <c r="BN109" s="1">
        <v>3602</v>
      </c>
      <c r="BO109" s="1">
        <v>3277</v>
      </c>
      <c r="BP109" s="1">
        <v>3415</v>
      </c>
      <c r="BQ109" s="1">
        <v>3391</v>
      </c>
      <c r="BR109" s="1">
        <v>3418</v>
      </c>
      <c r="BS109" s="1">
        <v>3476</v>
      </c>
      <c r="BT109" s="1">
        <v>3511</v>
      </c>
      <c r="BU109" s="1">
        <v>3487</v>
      </c>
      <c r="BV109" s="1">
        <v>3491</v>
      </c>
      <c r="BW109" s="1">
        <v>3475</v>
      </c>
      <c r="BX109" s="1">
        <v>3525</v>
      </c>
      <c r="BY109" s="1">
        <v>3525</v>
      </c>
      <c r="BZ109" s="1">
        <v>3505</v>
      </c>
    </row>
    <row r="110" spans="1:254" ht="15.9" customHeight="1">
      <c r="A110" s="65" t="s">
        <v>215</v>
      </c>
      <c r="B110" s="41" t="s">
        <v>216</v>
      </c>
      <c r="C110" s="45">
        <f>_xll.RssMarket("9069","安値")</f>
        <v>2193.5</v>
      </c>
      <c r="D110" s="16">
        <f t="shared" si="3"/>
        <v>0</v>
      </c>
      <c r="E110" s="30">
        <v>2193.5</v>
      </c>
      <c r="F110" s="30">
        <v>2186</v>
      </c>
      <c r="G110" s="30">
        <v>2184.5</v>
      </c>
      <c r="H110" s="30">
        <v>2172</v>
      </c>
      <c r="I110" s="30">
        <v>2193</v>
      </c>
      <c r="J110" s="30">
        <v>2214</v>
      </c>
      <c r="K110" s="30">
        <v>2196.5</v>
      </c>
      <c r="L110" s="30">
        <v>2195.5</v>
      </c>
      <c r="M110" s="30">
        <v>2179.5</v>
      </c>
      <c r="N110" s="30">
        <v>2141</v>
      </c>
      <c r="O110" s="30">
        <v>2160</v>
      </c>
      <c r="P110" s="30">
        <v>2187</v>
      </c>
      <c r="Q110" s="30">
        <v>2201</v>
      </c>
      <c r="R110" s="30">
        <v>2132</v>
      </c>
      <c r="S110" s="30">
        <v>2114</v>
      </c>
      <c r="T110" s="30">
        <v>2101</v>
      </c>
      <c r="U110" s="30">
        <v>2064</v>
      </c>
      <c r="V110" s="30">
        <v>2032</v>
      </c>
      <c r="W110" s="30">
        <v>2018</v>
      </c>
      <c r="X110" s="30">
        <v>2004</v>
      </c>
      <c r="Y110" s="30">
        <v>1986</v>
      </c>
      <c r="Z110" s="30">
        <v>1976.5</v>
      </c>
      <c r="AA110" s="30">
        <v>1952.5</v>
      </c>
      <c r="AB110" s="30">
        <v>1903</v>
      </c>
      <c r="AC110" s="30">
        <v>1899</v>
      </c>
      <c r="AD110" s="30">
        <v>1927</v>
      </c>
      <c r="AE110" s="30">
        <v>1922</v>
      </c>
      <c r="AF110" s="30">
        <v>1898.5</v>
      </c>
      <c r="AG110" s="30">
        <v>1884</v>
      </c>
      <c r="AH110" s="30">
        <v>1865.5</v>
      </c>
      <c r="AI110" s="30">
        <v>1889.5</v>
      </c>
      <c r="AJ110" s="30">
        <v>1878.5</v>
      </c>
      <c r="AK110" s="30">
        <v>1872</v>
      </c>
      <c r="AL110" s="30">
        <v>1888.5</v>
      </c>
      <c r="AM110" s="30">
        <v>1898</v>
      </c>
      <c r="AN110" s="30">
        <v>1932.5</v>
      </c>
      <c r="AO110" s="30">
        <v>1933.5</v>
      </c>
      <c r="AP110" s="30">
        <v>1908</v>
      </c>
      <c r="AQ110" s="30">
        <v>1896.5</v>
      </c>
      <c r="AR110" s="30">
        <v>1940</v>
      </c>
      <c r="AS110" s="30">
        <v>1900</v>
      </c>
      <c r="AT110" s="30">
        <v>1897.5</v>
      </c>
      <c r="AU110" s="30">
        <v>1880.5</v>
      </c>
      <c r="AV110" s="30">
        <v>1873</v>
      </c>
      <c r="AW110" s="30">
        <v>1860</v>
      </c>
      <c r="AX110" s="30">
        <v>1902.5</v>
      </c>
      <c r="AY110" s="30">
        <v>1892.5</v>
      </c>
      <c r="AZ110" s="30">
        <v>1897.5</v>
      </c>
      <c r="BA110" s="30">
        <v>1922</v>
      </c>
      <c r="BB110" s="30">
        <v>1938.5</v>
      </c>
      <c r="BC110" s="30">
        <v>1992.5</v>
      </c>
      <c r="BD110" s="30">
        <v>1987.5</v>
      </c>
      <c r="BE110" s="30">
        <v>2004</v>
      </c>
      <c r="BF110" s="30">
        <v>1979</v>
      </c>
      <c r="BG110" s="30">
        <v>1986.5</v>
      </c>
      <c r="BH110" s="30">
        <v>1901</v>
      </c>
      <c r="BI110" s="30">
        <v>1829.5</v>
      </c>
      <c r="BJ110" s="30">
        <v>1808</v>
      </c>
      <c r="BK110" s="30">
        <v>1847.5</v>
      </c>
      <c r="BL110" s="30">
        <v>1847</v>
      </c>
      <c r="BM110" s="1">
        <v>1812</v>
      </c>
      <c r="BN110" s="1">
        <v>1824.5</v>
      </c>
      <c r="BO110" s="1">
        <v>1834</v>
      </c>
      <c r="BP110" s="1">
        <v>1834.5</v>
      </c>
      <c r="BQ110" s="1">
        <v>1802.5</v>
      </c>
      <c r="BR110" s="1">
        <v>1847</v>
      </c>
      <c r="BS110" s="1">
        <v>1863</v>
      </c>
      <c r="BT110" s="1">
        <v>1882.5</v>
      </c>
      <c r="BU110" s="1">
        <v>1900</v>
      </c>
      <c r="BV110" s="1">
        <v>1891</v>
      </c>
      <c r="BW110" s="1">
        <v>1884.5</v>
      </c>
      <c r="BX110" s="1">
        <v>1888.5</v>
      </c>
      <c r="BY110" s="1">
        <v>1887</v>
      </c>
      <c r="BZ110" s="1">
        <v>1870.5</v>
      </c>
    </row>
    <row r="111" spans="1:254" ht="15.9" customHeight="1">
      <c r="A111" s="65" t="s">
        <v>217</v>
      </c>
      <c r="B111" s="41" t="s">
        <v>218</v>
      </c>
      <c r="C111" s="45">
        <f>_xll.RssMarket("9227","安値")</f>
        <v>869</v>
      </c>
      <c r="D111" s="16">
        <f t="shared" si="3"/>
        <v>0</v>
      </c>
      <c r="E111" s="30">
        <v>869</v>
      </c>
      <c r="F111" s="30">
        <v>865</v>
      </c>
      <c r="G111" s="30">
        <v>846</v>
      </c>
      <c r="H111" s="30">
        <v>818</v>
      </c>
      <c r="I111" s="30">
        <v>837</v>
      </c>
      <c r="J111" s="30">
        <v>864</v>
      </c>
      <c r="K111" s="30">
        <v>841</v>
      </c>
      <c r="L111" s="30">
        <v>787</v>
      </c>
      <c r="M111" s="30">
        <v>787</v>
      </c>
      <c r="N111" s="30"/>
      <c r="O111" s="30">
        <v>801</v>
      </c>
      <c r="P111" s="30">
        <v>810</v>
      </c>
      <c r="Q111" s="30">
        <v>773</v>
      </c>
      <c r="R111" s="30">
        <v>753</v>
      </c>
      <c r="S111" s="30">
        <v>827</v>
      </c>
      <c r="T111" s="30">
        <v>825</v>
      </c>
      <c r="U111" s="30">
        <v>827</v>
      </c>
      <c r="V111" s="30">
        <v>860</v>
      </c>
      <c r="W111" s="30">
        <v>861</v>
      </c>
      <c r="X111" s="30">
        <v>904</v>
      </c>
      <c r="Y111" s="30">
        <v>933</v>
      </c>
      <c r="Z111" s="30">
        <v>930</v>
      </c>
      <c r="AA111" s="30">
        <v>920</v>
      </c>
      <c r="AB111" s="30">
        <v>922</v>
      </c>
      <c r="AC111" s="30">
        <v>912</v>
      </c>
      <c r="AD111" s="30">
        <v>884</v>
      </c>
      <c r="AE111" s="30">
        <v>871</v>
      </c>
      <c r="AF111" s="30">
        <v>874</v>
      </c>
      <c r="AG111" s="30">
        <v>884</v>
      </c>
      <c r="AH111" s="30">
        <v>883</v>
      </c>
      <c r="AI111" s="30">
        <v>892</v>
      </c>
      <c r="AJ111" s="30">
        <v>890</v>
      </c>
      <c r="AK111" s="30">
        <v>884</v>
      </c>
      <c r="AL111" s="30">
        <v>870</v>
      </c>
      <c r="AM111" s="30">
        <v>868</v>
      </c>
      <c r="AN111" s="30">
        <v>862</v>
      </c>
      <c r="AO111" s="30">
        <v>882</v>
      </c>
      <c r="AP111" s="30">
        <v>851</v>
      </c>
      <c r="AQ111" s="30">
        <v>834</v>
      </c>
      <c r="AR111" s="30">
        <v>851</v>
      </c>
      <c r="AS111" s="30">
        <v>882</v>
      </c>
      <c r="AT111" s="30">
        <v>885</v>
      </c>
      <c r="AU111" s="30">
        <v>878</v>
      </c>
      <c r="AV111" s="30">
        <v>903</v>
      </c>
      <c r="AW111" s="30">
        <v>890</v>
      </c>
      <c r="AX111" s="30">
        <v>1025</v>
      </c>
      <c r="AY111" s="30">
        <v>1087</v>
      </c>
      <c r="AZ111" s="30">
        <v>1133</v>
      </c>
      <c r="BA111" s="30">
        <v>1093</v>
      </c>
      <c r="BB111" s="30">
        <v>943</v>
      </c>
      <c r="BC111" s="30">
        <v>767</v>
      </c>
      <c r="BD111" s="30">
        <v>750</v>
      </c>
      <c r="BE111" s="30">
        <v>797</v>
      </c>
      <c r="BF111" s="30">
        <v>797</v>
      </c>
      <c r="BG111" s="30">
        <v>809</v>
      </c>
      <c r="BH111" s="30">
        <v>791</v>
      </c>
      <c r="BI111" s="30">
        <v>840</v>
      </c>
      <c r="BJ111" s="30">
        <v>960</v>
      </c>
      <c r="BK111" s="30">
        <v>980</v>
      </c>
      <c r="BL111" s="30">
        <v>987</v>
      </c>
      <c r="BM111" s="1">
        <v>1004</v>
      </c>
      <c r="BN111" s="1">
        <v>1018</v>
      </c>
      <c r="BO111" s="1">
        <v>1018</v>
      </c>
      <c r="BP111" s="1">
        <v>1030</v>
      </c>
      <c r="BQ111" s="1">
        <v>1030</v>
      </c>
      <c r="BR111" s="1">
        <v>1062</v>
      </c>
      <c r="BS111" s="1">
        <v>1082</v>
      </c>
      <c r="BT111" s="1">
        <v>1125</v>
      </c>
      <c r="BU111" s="1">
        <v>1166</v>
      </c>
      <c r="BV111" s="1">
        <v>1098</v>
      </c>
      <c r="BW111" s="1">
        <v>1019</v>
      </c>
      <c r="BX111" s="1">
        <v>1028</v>
      </c>
      <c r="BY111" s="1">
        <v>995</v>
      </c>
      <c r="BZ111" s="1">
        <v>988</v>
      </c>
    </row>
    <row r="112" spans="1:254" ht="15.9" customHeight="1">
      <c r="A112" s="65" t="s">
        <v>219</v>
      </c>
      <c r="B112" s="41" t="s">
        <v>220</v>
      </c>
      <c r="C112" s="45">
        <f>_xll.RssMarket("9348","安値")</f>
        <v>412</v>
      </c>
      <c r="D112" s="16">
        <f t="shared" si="3"/>
        <v>0</v>
      </c>
      <c r="E112" s="30">
        <v>412</v>
      </c>
      <c r="F112" s="30">
        <v>412</v>
      </c>
      <c r="G112" s="30">
        <v>404</v>
      </c>
      <c r="H112" s="30">
        <v>398</v>
      </c>
      <c r="I112" s="30">
        <v>404</v>
      </c>
      <c r="J112" s="30">
        <v>404</v>
      </c>
      <c r="K112" s="30">
        <v>397</v>
      </c>
      <c r="L112" s="30">
        <v>405</v>
      </c>
      <c r="M112" s="30">
        <v>411</v>
      </c>
      <c r="N112" s="30"/>
      <c r="O112" s="30">
        <v>412</v>
      </c>
      <c r="P112" s="30">
        <v>412</v>
      </c>
      <c r="Q112" s="30">
        <v>407</v>
      </c>
      <c r="R112" s="30">
        <v>406</v>
      </c>
      <c r="S112" s="30">
        <v>438</v>
      </c>
      <c r="T112" s="30">
        <v>435</v>
      </c>
      <c r="U112" s="30">
        <v>440</v>
      </c>
      <c r="V112" s="30">
        <v>445</v>
      </c>
      <c r="W112" s="30">
        <v>508</v>
      </c>
      <c r="X112" s="30">
        <v>426</v>
      </c>
      <c r="Y112" s="30">
        <v>440</v>
      </c>
      <c r="Z112" s="30">
        <v>446</v>
      </c>
      <c r="AA112" s="30">
        <v>437</v>
      </c>
      <c r="AB112" s="30">
        <v>433</v>
      </c>
      <c r="AC112" s="30">
        <v>435</v>
      </c>
      <c r="AD112" s="30">
        <v>439</v>
      </c>
      <c r="AE112" s="30">
        <v>431</v>
      </c>
      <c r="AF112" s="30">
        <v>428</v>
      </c>
      <c r="AG112" s="30">
        <v>433</v>
      </c>
      <c r="AH112" s="30">
        <v>433</v>
      </c>
      <c r="AI112" s="30">
        <v>433</v>
      </c>
      <c r="AJ112" s="30">
        <v>450</v>
      </c>
      <c r="AK112" s="30">
        <v>434</v>
      </c>
      <c r="AL112" s="30">
        <v>465</v>
      </c>
      <c r="AM112" s="30">
        <v>468</v>
      </c>
      <c r="AN112" s="30">
        <v>466</v>
      </c>
      <c r="AO112" s="30">
        <v>495</v>
      </c>
      <c r="AP112" s="30">
        <v>543</v>
      </c>
      <c r="AQ112" s="30">
        <v>555</v>
      </c>
      <c r="AR112" s="30">
        <v>568</v>
      </c>
      <c r="AS112" s="30">
        <v>576</v>
      </c>
      <c r="AT112" s="30">
        <v>585</v>
      </c>
      <c r="AU112" s="30">
        <v>554</v>
      </c>
      <c r="AV112" s="30">
        <v>562</v>
      </c>
      <c r="AW112" s="30">
        <v>561</v>
      </c>
      <c r="AX112" s="30">
        <v>651</v>
      </c>
      <c r="AY112" s="30">
        <v>600</v>
      </c>
      <c r="AZ112" s="30">
        <v>590</v>
      </c>
      <c r="BA112" s="30">
        <v>563</v>
      </c>
      <c r="BB112" s="30">
        <v>510</v>
      </c>
      <c r="BC112" s="30">
        <v>493</v>
      </c>
      <c r="BD112" s="30">
        <v>493</v>
      </c>
      <c r="BE112" s="30">
        <v>507</v>
      </c>
      <c r="BF112" s="30">
        <v>485</v>
      </c>
      <c r="BG112" s="30">
        <v>498</v>
      </c>
      <c r="BH112" s="30">
        <v>493</v>
      </c>
      <c r="BI112" s="30">
        <v>484</v>
      </c>
      <c r="BJ112" s="30">
        <v>488</v>
      </c>
      <c r="BK112" s="30">
        <v>507</v>
      </c>
      <c r="BL112" s="30">
        <v>482</v>
      </c>
      <c r="BM112" s="1">
        <v>471</v>
      </c>
      <c r="BN112" s="1">
        <v>463</v>
      </c>
      <c r="BO112" s="1">
        <v>463</v>
      </c>
      <c r="BP112" s="1">
        <v>463</v>
      </c>
      <c r="BQ112" s="1">
        <v>461</v>
      </c>
      <c r="BR112" s="1">
        <v>471</v>
      </c>
      <c r="BS112" s="1">
        <v>469</v>
      </c>
      <c r="BT112" s="1">
        <v>484</v>
      </c>
      <c r="BU112" s="1">
        <v>475</v>
      </c>
      <c r="BV112" s="1">
        <v>493</v>
      </c>
      <c r="BW112" s="1">
        <v>492</v>
      </c>
      <c r="BX112" s="1">
        <v>487</v>
      </c>
      <c r="BY112" s="1">
        <v>498</v>
      </c>
      <c r="BZ112" s="1">
        <v>492</v>
      </c>
    </row>
    <row r="113" spans="1:254" ht="15.9" customHeight="1">
      <c r="A113" s="65" t="s">
        <v>221</v>
      </c>
      <c r="B113" s="41" t="s">
        <v>222</v>
      </c>
      <c r="C113" s="45">
        <f>_xll.RssMarket("9449","安値")</f>
        <v>4137</v>
      </c>
      <c r="D113" s="16">
        <f t="shared" si="3"/>
        <v>0</v>
      </c>
      <c r="E113" s="30">
        <v>4137</v>
      </c>
      <c r="F113" s="30">
        <v>4151</v>
      </c>
      <c r="G113" s="30">
        <v>4132</v>
      </c>
      <c r="H113" s="30">
        <v>4032</v>
      </c>
      <c r="I113" s="30">
        <v>4096</v>
      </c>
      <c r="J113" s="30">
        <v>4154</v>
      </c>
      <c r="K113" s="30">
        <v>4120</v>
      </c>
      <c r="L113" s="30">
        <v>4081</v>
      </c>
      <c r="M113" s="30">
        <v>3987</v>
      </c>
      <c r="N113" s="30">
        <v>3860</v>
      </c>
      <c r="O113" s="30">
        <v>3896</v>
      </c>
      <c r="P113" s="30">
        <v>3916</v>
      </c>
      <c r="Q113" s="30">
        <v>4023</v>
      </c>
      <c r="R113" s="30">
        <v>4003</v>
      </c>
      <c r="S113" s="30">
        <v>3951</v>
      </c>
      <c r="T113" s="30">
        <v>3912</v>
      </c>
      <c r="U113" s="30">
        <v>3870</v>
      </c>
      <c r="V113" s="30">
        <v>3800</v>
      </c>
      <c r="W113" s="30">
        <v>3731</v>
      </c>
      <c r="X113" s="30">
        <v>3741</v>
      </c>
      <c r="Y113" s="30">
        <v>3651</v>
      </c>
      <c r="Z113" s="30">
        <v>3586</v>
      </c>
      <c r="AA113" s="30">
        <v>3571</v>
      </c>
      <c r="AB113" s="30">
        <v>3443</v>
      </c>
      <c r="AC113" s="30">
        <v>3343</v>
      </c>
      <c r="AD113" s="30">
        <v>3339</v>
      </c>
      <c r="AE113" s="30">
        <v>3312</v>
      </c>
      <c r="AF113" s="30">
        <v>3200</v>
      </c>
      <c r="AG113" s="30">
        <v>3205</v>
      </c>
      <c r="AH113" s="30">
        <v>3183</v>
      </c>
      <c r="AI113" s="30">
        <v>3242</v>
      </c>
      <c r="AJ113" s="30">
        <v>3407</v>
      </c>
      <c r="AK113" s="30">
        <v>2974</v>
      </c>
      <c r="AL113" s="30">
        <v>3057</v>
      </c>
      <c r="AM113" s="30">
        <v>3063</v>
      </c>
      <c r="AN113" s="30">
        <v>3042</v>
      </c>
      <c r="AO113" s="30">
        <v>3080</v>
      </c>
      <c r="AP113" s="30">
        <v>3053</v>
      </c>
      <c r="AQ113" s="30">
        <v>3105</v>
      </c>
      <c r="AR113" s="30">
        <v>3132</v>
      </c>
      <c r="AS113" s="30">
        <v>3120</v>
      </c>
      <c r="AT113" s="30">
        <v>3212</v>
      </c>
      <c r="AU113" s="30">
        <v>3221</v>
      </c>
      <c r="AV113" s="30">
        <v>3141</v>
      </c>
      <c r="AW113" s="30">
        <v>3304</v>
      </c>
      <c r="AX113" s="30">
        <v>3285</v>
      </c>
      <c r="AY113" s="30">
        <v>3242</v>
      </c>
      <c r="AZ113" s="30">
        <v>3294</v>
      </c>
      <c r="BA113" s="30">
        <v>3310</v>
      </c>
      <c r="BB113" s="30">
        <v>3293</v>
      </c>
      <c r="BC113" s="30">
        <v>3260</v>
      </c>
      <c r="BD113" s="30">
        <v>3294</v>
      </c>
      <c r="BE113" s="30">
        <v>3264</v>
      </c>
      <c r="BF113" s="30">
        <v>3217</v>
      </c>
      <c r="BG113" s="30">
        <v>3051</v>
      </c>
      <c r="BH113" s="30">
        <v>3067</v>
      </c>
      <c r="BI113" s="30">
        <v>3115</v>
      </c>
      <c r="BJ113" s="30">
        <v>3109</v>
      </c>
      <c r="BK113" s="30">
        <v>3150</v>
      </c>
      <c r="BL113" s="30">
        <v>3075</v>
      </c>
      <c r="BM113" s="1">
        <v>3034</v>
      </c>
      <c r="BN113" s="1">
        <v>3012</v>
      </c>
      <c r="BO113" s="1">
        <v>3012</v>
      </c>
      <c r="BP113" s="1">
        <v>3097</v>
      </c>
      <c r="BQ113" s="1">
        <v>3072</v>
      </c>
      <c r="BR113" s="1">
        <v>3101</v>
      </c>
      <c r="BS113" s="1">
        <v>3168</v>
      </c>
      <c r="BT113" s="1">
        <v>3261</v>
      </c>
      <c r="BU113" s="1">
        <v>3222</v>
      </c>
      <c r="BV113" s="1">
        <v>3219</v>
      </c>
      <c r="BW113" s="1">
        <v>3230</v>
      </c>
      <c r="BX113" s="1">
        <v>3185</v>
      </c>
      <c r="BY113" s="1">
        <v>3037</v>
      </c>
      <c r="BZ113" s="1">
        <v>3011</v>
      </c>
    </row>
    <row r="114" spans="1:254" ht="15.9" customHeight="1">
      <c r="A114" s="65" t="s">
        <v>223</v>
      </c>
      <c r="B114" s="41" t="s">
        <v>224</v>
      </c>
      <c r="C114" s="45">
        <f>_xll.RssMarket("9501","安値")</f>
        <v>518.9</v>
      </c>
      <c r="D114" s="16">
        <f t="shared" si="3"/>
        <v>0</v>
      </c>
      <c r="E114" s="30">
        <v>518.9</v>
      </c>
      <c r="F114" s="30">
        <v>518.79999999999995</v>
      </c>
      <c r="G114" s="30">
        <v>517.5</v>
      </c>
      <c r="H114" s="30">
        <v>485.8</v>
      </c>
      <c r="I114" s="30">
        <v>520</v>
      </c>
      <c r="J114" s="30">
        <v>498.4</v>
      </c>
      <c r="K114" s="30">
        <v>521.9</v>
      </c>
      <c r="L114" s="30">
        <v>514.79999999999995</v>
      </c>
      <c r="M114" s="30">
        <v>522.29999999999995</v>
      </c>
      <c r="N114" s="30">
        <v>508.1</v>
      </c>
      <c r="O114" s="30">
        <v>505.5</v>
      </c>
      <c r="P114" s="30">
        <v>492.6</v>
      </c>
      <c r="Q114" s="30">
        <v>497.1</v>
      </c>
      <c r="R114" s="30">
        <v>490.1</v>
      </c>
      <c r="S114" s="30">
        <v>499.7</v>
      </c>
      <c r="T114" s="30">
        <v>484</v>
      </c>
      <c r="U114" s="30">
        <v>477.5</v>
      </c>
      <c r="V114" s="30">
        <v>472</v>
      </c>
      <c r="W114" s="30">
        <v>462.3</v>
      </c>
      <c r="X114" s="30">
        <v>459.8</v>
      </c>
      <c r="Y114" s="30">
        <v>456</v>
      </c>
      <c r="Z114" s="30">
        <v>465.5</v>
      </c>
      <c r="AA114" s="30">
        <v>458.4</v>
      </c>
      <c r="AB114" s="30">
        <v>450.5</v>
      </c>
      <c r="AC114" s="30">
        <v>442.8</v>
      </c>
      <c r="AD114" s="30">
        <v>458.3</v>
      </c>
      <c r="AE114" s="30">
        <v>458.3</v>
      </c>
      <c r="AF114" s="30">
        <v>450.9</v>
      </c>
      <c r="AG114" s="30">
        <v>466.7</v>
      </c>
      <c r="AH114" s="30">
        <v>450.4</v>
      </c>
      <c r="AI114" s="30">
        <v>462</v>
      </c>
      <c r="AJ114" s="30">
        <v>473</v>
      </c>
      <c r="AK114" s="30">
        <v>505.6</v>
      </c>
      <c r="AL114" s="30">
        <v>499.5</v>
      </c>
      <c r="AM114" s="30">
        <v>507.4</v>
      </c>
      <c r="AN114" s="30">
        <v>512.20000000000005</v>
      </c>
      <c r="AO114" s="30">
        <v>521.29999999999995</v>
      </c>
      <c r="AP114" s="30">
        <v>495.1</v>
      </c>
      <c r="AQ114" s="30">
        <v>489.4</v>
      </c>
      <c r="AR114" s="30">
        <v>506.3</v>
      </c>
      <c r="AS114" s="30">
        <v>518.4</v>
      </c>
      <c r="AT114" s="30">
        <v>527</v>
      </c>
      <c r="AU114" s="30">
        <v>536</v>
      </c>
      <c r="AV114" s="30">
        <v>563.70000000000005</v>
      </c>
      <c r="AW114" s="30">
        <v>539.20000000000005</v>
      </c>
      <c r="AX114" s="30">
        <v>553</v>
      </c>
      <c r="AY114" s="30">
        <v>551.5</v>
      </c>
      <c r="AZ114" s="30">
        <v>567</v>
      </c>
      <c r="BA114" s="30">
        <v>551</v>
      </c>
      <c r="BB114" s="30">
        <v>548.1</v>
      </c>
      <c r="BC114" s="30">
        <v>550.79999999999995</v>
      </c>
      <c r="BD114" s="30">
        <v>543.4</v>
      </c>
      <c r="BE114" s="30">
        <v>569.6</v>
      </c>
      <c r="BF114" s="30">
        <v>556.70000000000005</v>
      </c>
      <c r="BG114" s="30">
        <v>588.70000000000005</v>
      </c>
      <c r="BH114" s="30">
        <v>608.9</v>
      </c>
      <c r="BI114" s="30">
        <v>608.79999999999995</v>
      </c>
      <c r="BJ114" s="30">
        <v>642</v>
      </c>
      <c r="BK114" s="30">
        <v>631.29999999999995</v>
      </c>
      <c r="BL114" s="30">
        <v>616.70000000000005</v>
      </c>
      <c r="BM114" s="1">
        <v>602.4</v>
      </c>
      <c r="BN114" s="1">
        <v>581.1</v>
      </c>
      <c r="BO114" s="1">
        <v>586.4</v>
      </c>
      <c r="BP114" s="1">
        <v>581.5</v>
      </c>
      <c r="BQ114" s="1">
        <v>578.9</v>
      </c>
      <c r="BR114" s="1">
        <v>577</v>
      </c>
      <c r="BS114" s="1">
        <v>584.70000000000005</v>
      </c>
      <c r="BT114" s="1">
        <v>588.70000000000005</v>
      </c>
      <c r="BU114" s="1">
        <v>600.9</v>
      </c>
      <c r="BV114" s="1">
        <v>609.4</v>
      </c>
      <c r="BW114" s="1">
        <v>624</v>
      </c>
      <c r="BX114" s="1">
        <v>620.70000000000005</v>
      </c>
      <c r="BY114" s="1">
        <v>628</v>
      </c>
      <c r="BZ114" s="1">
        <v>643.4</v>
      </c>
    </row>
    <row r="115" spans="1:254" ht="15.9" customHeight="1">
      <c r="A115" s="65" t="s">
        <v>225</v>
      </c>
      <c r="B115" s="41" t="s">
        <v>226</v>
      </c>
      <c r="C115" s="45">
        <f>_xll.RssMarket("9531","安値")</f>
        <v>5925</v>
      </c>
      <c r="D115" s="16">
        <f t="shared" si="3"/>
        <v>0</v>
      </c>
      <c r="E115" s="30">
        <v>5925</v>
      </c>
      <c r="F115" s="30">
        <v>5901</v>
      </c>
      <c r="G115" s="30">
        <v>6038</v>
      </c>
      <c r="H115" s="30">
        <v>6007</v>
      </c>
      <c r="I115" s="30">
        <v>6059</v>
      </c>
      <c r="J115" s="30">
        <v>6150</v>
      </c>
      <c r="K115" s="30">
        <v>6190</v>
      </c>
      <c r="L115" s="30">
        <v>6182</v>
      </c>
      <c r="M115" s="30">
        <v>6175</v>
      </c>
      <c r="N115" s="30">
        <v>6108</v>
      </c>
      <c r="O115" s="30">
        <v>6126</v>
      </c>
      <c r="P115" s="30">
        <v>6089</v>
      </c>
      <c r="Q115" s="30">
        <v>6095</v>
      </c>
      <c r="R115" s="30">
        <v>6035</v>
      </c>
      <c r="S115" s="30">
        <v>6025</v>
      </c>
      <c r="T115" s="30">
        <v>5973</v>
      </c>
      <c r="U115" s="30">
        <v>5905</v>
      </c>
      <c r="V115" s="30">
        <v>5952</v>
      </c>
      <c r="W115" s="30">
        <v>6068</v>
      </c>
      <c r="X115" s="30">
        <v>6092</v>
      </c>
      <c r="Y115" s="30">
        <v>6070</v>
      </c>
      <c r="Z115" s="30">
        <v>6028</v>
      </c>
      <c r="AA115" s="30">
        <v>6021</v>
      </c>
      <c r="AB115" s="30">
        <v>5977</v>
      </c>
      <c r="AC115" s="30">
        <v>5896</v>
      </c>
      <c r="AD115" s="30">
        <v>6102</v>
      </c>
      <c r="AE115" s="30">
        <v>6066</v>
      </c>
      <c r="AF115" s="30">
        <v>5968</v>
      </c>
      <c r="AG115" s="30">
        <v>6010</v>
      </c>
      <c r="AH115" s="30">
        <v>6089</v>
      </c>
      <c r="AI115" s="30">
        <v>6095</v>
      </c>
      <c r="AJ115" s="30">
        <v>6157</v>
      </c>
      <c r="AK115" s="30">
        <v>6077</v>
      </c>
      <c r="AL115" s="30">
        <v>6141</v>
      </c>
      <c r="AM115" s="30">
        <v>6138</v>
      </c>
      <c r="AN115" s="30">
        <v>6178</v>
      </c>
      <c r="AO115" s="30">
        <v>6241</v>
      </c>
      <c r="AP115" s="30">
        <v>6268</v>
      </c>
      <c r="AQ115" s="30">
        <v>6286</v>
      </c>
      <c r="AR115" s="30">
        <v>6273</v>
      </c>
      <c r="AS115" s="30">
        <v>6100</v>
      </c>
      <c r="AT115" s="30">
        <v>6163</v>
      </c>
      <c r="AU115" s="30">
        <v>6171</v>
      </c>
      <c r="AV115" s="30">
        <v>6246</v>
      </c>
      <c r="AW115" s="30">
        <v>6033</v>
      </c>
      <c r="AX115" s="30">
        <v>6196</v>
      </c>
      <c r="AY115" s="30">
        <v>6258</v>
      </c>
      <c r="AZ115" s="30">
        <v>6406</v>
      </c>
      <c r="BA115" s="30">
        <v>6396</v>
      </c>
      <c r="BB115" s="30">
        <v>6501</v>
      </c>
      <c r="BC115" s="30">
        <v>6618</v>
      </c>
      <c r="BD115" s="30">
        <v>6401</v>
      </c>
      <c r="BE115" s="30">
        <v>6663</v>
      </c>
      <c r="BF115" s="30">
        <v>6480</v>
      </c>
      <c r="BG115" s="30">
        <v>6607</v>
      </c>
      <c r="BH115" s="30">
        <v>6517</v>
      </c>
      <c r="BI115" s="30">
        <v>6573</v>
      </c>
      <c r="BJ115" s="30">
        <v>6623</v>
      </c>
      <c r="BK115" s="30">
        <v>6550</v>
      </c>
      <c r="BL115" s="30">
        <v>6530</v>
      </c>
      <c r="BM115" s="1">
        <v>6615</v>
      </c>
      <c r="BN115" s="1">
        <v>6419</v>
      </c>
      <c r="BO115" s="1">
        <v>6552</v>
      </c>
      <c r="BP115" s="1">
        <v>6543</v>
      </c>
      <c r="BQ115" s="1">
        <v>6372</v>
      </c>
      <c r="BR115" s="1">
        <v>6392</v>
      </c>
      <c r="BS115" s="1">
        <v>6360</v>
      </c>
      <c r="BT115" s="1">
        <v>6460</v>
      </c>
      <c r="BU115" s="1">
        <v>6559</v>
      </c>
      <c r="BV115" s="1">
        <v>6627</v>
      </c>
      <c r="BW115" s="1">
        <v>6913</v>
      </c>
      <c r="BX115" s="1">
        <v>6972</v>
      </c>
      <c r="BY115" s="1">
        <v>6918</v>
      </c>
      <c r="BZ115" s="1">
        <v>6920</v>
      </c>
    </row>
    <row r="116" spans="1:254" ht="15.9" customHeight="1">
      <c r="A116" s="65" t="s">
        <v>227</v>
      </c>
      <c r="B116" s="41" t="s">
        <v>228</v>
      </c>
      <c r="C116" s="45">
        <f>_xll.RssMarket("9882","安値")</f>
        <v>1713</v>
      </c>
      <c r="D116" s="16">
        <f t="shared" si="3"/>
        <v>0</v>
      </c>
      <c r="E116" s="30">
        <v>1713</v>
      </c>
      <c r="F116" s="30">
        <v>1707</v>
      </c>
      <c r="G116" s="30">
        <v>1716</v>
      </c>
      <c r="H116" s="30">
        <v>1706</v>
      </c>
      <c r="I116" s="30">
        <v>1800</v>
      </c>
      <c r="J116" s="30">
        <v>1868</v>
      </c>
      <c r="K116" s="30">
        <v>1846</v>
      </c>
      <c r="L116" s="30">
        <v>1829</v>
      </c>
      <c r="M116" s="30">
        <v>1795</v>
      </c>
      <c r="N116" s="30">
        <v>1765</v>
      </c>
      <c r="O116" s="30">
        <v>1782</v>
      </c>
      <c r="P116" s="30">
        <v>1795</v>
      </c>
      <c r="Q116" s="30">
        <v>1816</v>
      </c>
      <c r="R116" s="30">
        <v>1807</v>
      </c>
      <c r="S116" s="30">
        <v>1809</v>
      </c>
      <c r="T116" s="30">
        <v>1805</v>
      </c>
      <c r="U116" s="30">
        <v>1806</v>
      </c>
      <c r="V116" s="30">
        <v>1814</v>
      </c>
      <c r="W116" s="30">
        <v>1822</v>
      </c>
      <c r="X116" s="30">
        <v>1820</v>
      </c>
      <c r="Y116" s="30">
        <v>1814</v>
      </c>
      <c r="Z116" s="30">
        <v>1770</v>
      </c>
      <c r="AA116" s="30">
        <v>1769</v>
      </c>
      <c r="AB116" s="30">
        <v>1741</v>
      </c>
      <c r="AC116" s="30">
        <v>1737</v>
      </c>
      <c r="AD116" s="30">
        <v>1742</v>
      </c>
      <c r="AE116" s="30">
        <v>1765</v>
      </c>
      <c r="AF116" s="30">
        <v>1745</v>
      </c>
      <c r="AG116" s="30">
        <v>1748</v>
      </c>
      <c r="AH116" s="30">
        <v>1731</v>
      </c>
      <c r="AI116" s="30">
        <v>1735</v>
      </c>
      <c r="AJ116" s="30">
        <v>1737</v>
      </c>
      <c r="AK116" s="30">
        <v>1740</v>
      </c>
      <c r="AL116" s="30">
        <v>1738</v>
      </c>
      <c r="AM116" s="30">
        <v>1735</v>
      </c>
      <c r="AN116" s="30">
        <v>1711</v>
      </c>
      <c r="AO116" s="30">
        <v>1731</v>
      </c>
      <c r="AP116" s="30">
        <v>1721</v>
      </c>
      <c r="AQ116" s="30">
        <v>1698</v>
      </c>
      <c r="AR116" s="30">
        <v>1700</v>
      </c>
      <c r="AS116" s="30">
        <v>1663</v>
      </c>
      <c r="AT116" s="30">
        <v>1655</v>
      </c>
      <c r="AU116" s="30">
        <v>1643</v>
      </c>
      <c r="AV116" s="30">
        <v>1618</v>
      </c>
      <c r="AW116" s="30">
        <v>1601</v>
      </c>
      <c r="AX116" s="30">
        <v>1625</v>
      </c>
      <c r="AY116" s="30">
        <v>1622</v>
      </c>
      <c r="AZ116" s="30">
        <v>1613</v>
      </c>
      <c r="BA116" s="30">
        <v>1605</v>
      </c>
      <c r="BB116" s="30">
        <v>1612</v>
      </c>
      <c r="BC116" s="30">
        <v>1622</v>
      </c>
      <c r="BD116" s="30">
        <v>1608</v>
      </c>
      <c r="BE116" s="30">
        <v>1625</v>
      </c>
      <c r="BF116" s="30">
        <v>1611</v>
      </c>
      <c r="BG116" s="30">
        <v>1595</v>
      </c>
      <c r="BH116" s="30">
        <v>1585</v>
      </c>
      <c r="BI116" s="30">
        <v>1613</v>
      </c>
      <c r="BJ116" s="30">
        <v>1633</v>
      </c>
      <c r="BK116" s="30">
        <v>1622</v>
      </c>
      <c r="BL116" s="30">
        <v>1487</v>
      </c>
      <c r="BM116" s="1">
        <v>1502</v>
      </c>
      <c r="BN116" s="1">
        <v>1503</v>
      </c>
      <c r="BO116" s="1">
        <v>1502</v>
      </c>
      <c r="BP116" s="1">
        <v>1504</v>
      </c>
      <c r="BQ116" s="1">
        <v>1504</v>
      </c>
      <c r="BR116" s="1">
        <v>1506</v>
      </c>
      <c r="BS116" s="1">
        <v>1509</v>
      </c>
      <c r="BT116" s="1">
        <v>1538</v>
      </c>
      <c r="BU116" s="1">
        <v>1561</v>
      </c>
      <c r="BV116" s="1">
        <v>1555</v>
      </c>
      <c r="BW116" s="1">
        <v>1554</v>
      </c>
      <c r="BX116" s="1">
        <v>1549</v>
      </c>
      <c r="BY116" s="1">
        <v>1553</v>
      </c>
      <c r="BZ116" s="1">
        <v>1561</v>
      </c>
    </row>
    <row r="117" spans="1:254" ht="15.9" customHeight="1">
      <c r="A117" s="65" t="s">
        <v>229</v>
      </c>
      <c r="B117" s="41" t="s">
        <v>230</v>
      </c>
      <c r="C117" s="45">
        <f>_xll.RssMarket("5838","安値")</f>
        <v>5481</v>
      </c>
      <c r="D117" s="16">
        <f t="shared" si="3"/>
        <v>0</v>
      </c>
      <c r="E117" s="30">
        <v>5481</v>
      </c>
      <c r="F117" s="30">
        <v>5291</v>
      </c>
      <c r="G117" s="30">
        <v>5314</v>
      </c>
      <c r="H117" s="30">
        <v>5192</v>
      </c>
      <c r="I117" s="30">
        <v>5268</v>
      </c>
      <c r="J117" s="30">
        <v>5238</v>
      </c>
      <c r="K117" s="30">
        <v>5418</v>
      </c>
      <c r="L117" s="30">
        <v>5440</v>
      </c>
      <c r="M117" s="30">
        <v>5543</v>
      </c>
      <c r="N117" s="30">
        <v>5550</v>
      </c>
      <c r="O117" s="30">
        <v>5544</v>
      </c>
      <c r="P117" s="30">
        <v>5270</v>
      </c>
      <c r="Q117" s="30">
        <v>5269</v>
      </c>
      <c r="R117" s="30">
        <v>5173</v>
      </c>
      <c r="S117" s="30">
        <v>5637</v>
      </c>
      <c r="T117" s="30">
        <v>5734</v>
      </c>
      <c r="U117" s="30">
        <v>5670</v>
      </c>
      <c r="V117" s="30">
        <v>5731</v>
      </c>
      <c r="W117" s="30">
        <v>5691</v>
      </c>
      <c r="X117" s="30">
        <v>5697</v>
      </c>
      <c r="Y117" s="30">
        <v>5519</v>
      </c>
      <c r="Z117" s="30">
        <v>5314</v>
      </c>
      <c r="AA117" s="30">
        <v>5290</v>
      </c>
      <c r="AB117" s="30">
        <v>5123</v>
      </c>
      <c r="AC117" s="30">
        <v>5083</v>
      </c>
      <c r="AD117" s="30">
        <v>5109</v>
      </c>
      <c r="AE117" s="30">
        <v>5032</v>
      </c>
      <c r="AF117" s="30">
        <v>4980</v>
      </c>
      <c r="AG117" s="30">
        <v>4961</v>
      </c>
      <c r="AH117" s="30">
        <v>4995</v>
      </c>
      <c r="AI117" s="30">
        <v>5020</v>
      </c>
      <c r="AJ117" s="30">
        <v>4998</v>
      </c>
      <c r="AK117" s="30">
        <v>5084</v>
      </c>
      <c r="AL117" s="30">
        <v>5145</v>
      </c>
      <c r="AM117" s="30">
        <v>5158</v>
      </c>
      <c r="AN117" s="30">
        <v>5102</v>
      </c>
      <c r="AO117" s="30">
        <v>5085</v>
      </c>
      <c r="AP117" s="30">
        <v>5051</v>
      </c>
      <c r="AQ117" s="30">
        <v>4938</v>
      </c>
      <c r="AR117" s="30">
        <v>4688</v>
      </c>
      <c r="AS117" s="30">
        <v>4764</v>
      </c>
      <c r="AT117" s="30">
        <v>4903</v>
      </c>
      <c r="AU117" s="30">
        <v>4742</v>
      </c>
      <c r="AV117" s="30">
        <v>4500</v>
      </c>
      <c r="AW117" s="30">
        <v>4390</v>
      </c>
      <c r="AX117" s="30">
        <v>4653</v>
      </c>
      <c r="AY117" s="30">
        <v>4751</v>
      </c>
      <c r="AZ117" s="30">
        <v>4782</v>
      </c>
      <c r="BA117" s="30">
        <v>4821</v>
      </c>
      <c r="BB117" s="30">
        <v>4779</v>
      </c>
      <c r="BC117" s="30">
        <v>5480</v>
      </c>
      <c r="BD117" s="30">
        <v>6463</v>
      </c>
      <c r="BE117" s="30">
        <v>6611</v>
      </c>
      <c r="BF117" s="30">
        <v>6234</v>
      </c>
      <c r="BG117" s="30">
        <v>5902</v>
      </c>
      <c r="BH117" s="30">
        <v>5998</v>
      </c>
      <c r="BI117" s="30">
        <v>5997</v>
      </c>
      <c r="BJ117" s="30">
        <v>6198</v>
      </c>
      <c r="BK117" s="30">
        <v>6193</v>
      </c>
      <c r="BL117" s="30">
        <v>6128</v>
      </c>
      <c r="BM117" s="1">
        <v>6191</v>
      </c>
      <c r="BN117" s="1">
        <v>6183</v>
      </c>
      <c r="BO117" s="1">
        <v>6195</v>
      </c>
      <c r="BP117" s="1">
        <v>6136</v>
      </c>
      <c r="BQ117" s="1">
        <v>6062</v>
      </c>
      <c r="BR117" s="1">
        <v>6110</v>
      </c>
      <c r="BS117" s="1">
        <v>6040</v>
      </c>
      <c r="BT117" s="1">
        <v>6061</v>
      </c>
      <c r="BU117" s="1">
        <v>6411</v>
      </c>
      <c r="BV117" s="1">
        <v>6488</v>
      </c>
      <c r="BW117" s="1">
        <v>6552</v>
      </c>
      <c r="BX117" s="1">
        <v>6656</v>
      </c>
      <c r="BY117" s="1">
        <v>6724</v>
      </c>
      <c r="BZ117" s="1">
        <v>6731</v>
      </c>
    </row>
    <row r="118" spans="1:254" ht="15.9" customHeight="1">
      <c r="A118" s="65" t="s">
        <v>231</v>
      </c>
      <c r="B118" s="41" t="s">
        <v>232</v>
      </c>
      <c r="C118" s="45">
        <f>_xll.RssMarket("5844","安値")</f>
        <v>4610</v>
      </c>
      <c r="D118" s="16">
        <f t="shared" si="3"/>
        <v>0</v>
      </c>
      <c r="E118" s="30">
        <v>4610</v>
      </c>
      <c r="F118" s="30">
        <v>4535</v>
      </c>
      <c r="G118" s="30">
        <v>4482</v>
      </c>
      <c r="H118" s="30">
        <v>4375</v>
      </c>
      <c r="I118" s="30">
        <v>4430</v>
      </c>
      <c r="J118" s="30">
        <v>4402</v>
      </c>
      <c r="K118" s="30">
        <v>4439</v>
      </c>
      <c r="L118" s="30">
        <v>4578</v>
      </c>
      <c r="M118" s="30">
        <v>4572</v>
      </c>
      <c r="N118" s="30">
        <v>4583</v>
      </c>
      <c r="O118" s="30">
        <v>4562</v>
      </c>
      <c r="P118" s="30">
        <v>4509</v>
      </c>
      <c r="Q118" s="30">
        <v>4397</v>
      </c>
      <c r="R118" s="30">
        <v>4300</v>
      </c>
      <c r="S118" s="30">
        <v>4697</v>
      </c>
      <c r="T118" s="30">
        <v>4645</v>
      </c>
      <c r="U118" s="30">
        <v>4651</v>
      </c>
      <c r="V118" s="30">
        <v>4643</v>
      </c>
      <c r="W118" s="30">
        <v>4715</v>
      </c>
      <c r="X118" s="30">
        <v>4717</v>
      </c>
      <c r="Y118" s="30">
        <v>4719</v>
      </c>
      <c r="Z118" s="30">
        <v>4641</v>
      </c>
      <c r="AA118" s="30">
        <v>4626</v>
      </c>
      <c r="AB118" s="30">
        <v>4573</v>
      </c>
      <c r="AC118" s="30">
        <v>4525</v>
      </c>
      <c r="AD118" s="30">
        <v>4465</v>
      </c>
      <c r="AE118" s="30">
        <v>4411</v>
      </c>
      <c r="AF118" s="30">
        <v>4446</v>
      </c>
      <c r="AG118" s="30">
        <v>4473</v>
      </c>
      <c r="AH118" s="30">
        <v>4529</v>
      </c>
      <c r="AI118" s="30">
        <v>4628</v>
      </c>
      <c r="AJ118" s="30">
        <v>4791</v>
      </c>
      <c r="AK118" s="30">
        <v>4661</v>
      </c>
      <c r="AL118" s="30">
        <v>4600</v>
      </c>
      <c r="AM118" s="30">
        <v>4519</v>
      </c>
      <c r="AN118" s="30">
        <v>4375</v>
      </c>
      <c r="AO118" s="30">
        <v>4485</v>
      </c>
      <c r="AP118" s="30">
        <v>4456</v>
      </c>
      <c r="AQ118" s="30">
        <v>4390</v>
      </c>
      <c r="AR118" s="30">
        <v>4485</v>
      </c>
      <c r="AS118" s="30">
        <v>4511</v>
      </c>
      <c r="AT118" s="30">
        <v>4580</v>
      </c>
      <c r="AU118" s="30">
        <v>4268</v>
      </c>
      <c r="AV118" s="30">
        <v>4271</v>
      </c>
      <c r="AW118" s="30">
        <v>4193</v>
      </c>
      <c r="AX118" s="30">
        <v>4312</v>
      </c>
      <c r="AY118" s="30">
        <v>4386</v>
      </c>
      <c r="AZ118" s="30">
        <v>4437</v>
      </c>
      <c r="BA118" s="30">
        <v>4489</v>
      </c>
      <c r="BB118" s="30">
        <v>4430</v>
      </c>
      <c r="BC118" s="30">
        <v>4443</v>
      </c>
      <c r="BD118" s="30">
        <v>4344</v>
      </c>
      <c r="BE118" s="30">
        <v>4366</v>
      </c>
      <c r="BF118" s="30">
        <v>4282</v>
      </c>
      <c r="BG118" s="30">
        <v>4231</v>
      </c>
      <c r="BH118" s="30">
        <v>4380</v>
      </c>
      <c r="BI118" s="30">
        <v>4393</v>
      </c>
      <c r="BJ118" s="30">
        <v>4381</v>
      </c>
      <c r="BK118" s="30">
        <v>4341</v>
      </c>
      <c r="BL118" s="30">
        <v>4338</v>
      </c>
      <c r="BM118" s="1">
        <v>4396</v>
      </c>
      <c r="BN118" s="1">
        <v>4285</v>
      </c>
      <c r="BO118" s="1">
        <v>4251</v>
      </c>
      <c r="BP118" s="1">
        <v>4218</v>
      </c>
      <c r="BQ118" s="1">
        <v>4143</v>
      </c>
      <c r="BR118" s="1">
        <v>4227</v>
      </c>
      <c r="BS118" s="1">
        <v>4126</v>
      </c>
      <c r="BT118" s="1">
        <v>4258</v>
      </c>
      <c r="BU118" s="1">
        <v>4305</v>
      </c>
      <c r="BV118" s="1">
        <v>4292</v>
      </c>
      <c r="BW118" s="1">
        <v>4361</v>
      </c>
      <c r="BX118" s="1">
        <v>4392</v>
      </c>
      <c r="BY118" s="1">
        <v>4350</v>
      </c>
      <c r="BZ118" s="1">
        <v>4315</v>
      </c>
    </row>
    <row r="119" spans="1:254" ht="15.9" customHeight="1">
      <c r="A119" s="65" t="s">
        <v>233</v>
      </c>
      <c r="B119" s="41" t="s">
        <v>234</v>
      </c>
      <c r="C119" s="45">
        <f>_xll.RssMarket("9404","安値")</f>
        <v>2792.5</v>
      </c>
      <c r="D119" s="16">
        <f t="shared" si="3"/>
        <v>0</v>
      </c>
      <c r="E119" s="30">
        <v>2792.5</v>
      </c>
      <c r="F119" s="30">
        <v>2753</v>
      </c>
      <c r="G119" s="30">
        <v>2768</v>
      </c>
      <c r="H119" s="30">
        <v>2804</v>
      </c>
      <c r="I119" s="30">
        <v>2890.5</v>
      </c>
      <c r="J119" s="30">
        <v>2988</v>
      </c>
      <c r="K119" s="30">
        <v>2981</v>
      </c>
      <c r="L119" s="30">
        <v>2925</v>
      </c>
      <c r="M119" s="30">
        <v>2861.5</v>
      </c>
      <c r="N119" s="30">
        <v>2785.5</v>
      </c>
      <c r="O119" s="30">
        <v>2793</v>
      </c>
      <c r="P119" s="30">
        <v>2832</v>
      </c>
      <c r="Q119" s="30">
        <v>2869</v>
      </c>
      <c r="R119" s="30">
        <v>2876</v>
      </c>
      <c r="S119" s="30">
        <v>2854</v>
      </c>
      <c r="T119" s="30">
        <v>2875.5</v>
      </c>
      <c r="U119" s="30">
        <v>2865</v>
      </c>
      <c r="V119" s="30">
        <v>2870</v>
      </c>
      <c r="W119" s="30">
        <v>2885</v>
      </c>
      <c r="X119" s="30">
        <v>2914</v>
      </c>
      <c r="Y119" s="30">
        <v>2890</v>
      </c>
      <c r="Z119" s="30">
        <v>2856</v>
      </c>
      <c r="AA119" s="30">
        <v>2844</v>
      </c>
      <c r="AB119" s="30">
        <v>2839</v>
      </c>
      <c r="AC119" s="30">
        <v>2775.5</v>
      </c>
      <c r="AD119" s="30">
        <v>2751.5</v>
      </c>
      <c r="AE119" s="30">
        <v>2695</v>
      </c>
      <c r="AF119" s="30">
        <v>2652</v>
      </c>
      <c r="AG119" s="30">
        <v>2697.5</v>
      </c>
      <c r="AH119" s="30">
        <v>2705</v>
      </c>
      <c r="AI119" s="30">
        <v>2683</v>
      </c>
      <c r="AJ119" s="30">
        <v>2745.5</v>
      </c>
      <c r="AK119" s="30">
        <v>2770</v>
      </c>
      <c r="AL119" s="30">
        <v>2816</v>
      </c>
      <c r="AM119" s="30">
        <v>2834</v>
      </c>
      <c r="AN119" s="30">
        <v>2812</v>
      </c>
      <c r="AO119" s="30">
        <v>2816.5</v>
      </c>
      <c r="AP119" s="30">
        <v>2806.5</v>
      </c>
      <c r="AQ119" s="30">
        <v>2858</v>
      </c>
      <c r="AR119" s="30">
        <v>2857.5</v>
      </c>
      <c r="AS119" s="30">
        <v>2811.5</v>
      </c>
      <c r="AT119" s="30">
        <v>2780.5</v>
      </c>
      <c r="AU119" s="30">
        <v>2749.5</v>
      </c>
      <c r="AV119" s="30">
        <v>2716</v>
      </c>
      <c r="AW119" s="30">
        <v>2782</v>
      </c>
      <c r="AX119" s="30">
        <v>2836</v>
      </c>
      <c r="AY119" s="30">
        <v>2838.5</v>
      </c>
      <c r="AZ119" s="30">
        <v>2829</v>
      </c>
      <c r="BA119" s="30">
        <v>2825.5</v>
      </c>
      <c r="BB119" s="30">
        <v>2874</v>
      </c>
      <c r="BC119" s="30">
        <v>2917.5</v>
      </c>
      <c r="BD119" s="30">
        <v>2909.5</v>
      </c>
      <c r="BE119" s="30">
        <v>2873.5</v>
      </c>
      <c r="BF119" s="30">
        <v>2860</v>
      </c>
      <c r="BG119" s="30">
        <v>2790</v>
      </c>
      <c r="BH119" s="30">
        <v>2880.5</v>
      </c>
      <c r="BI119" s="30">
        <v>2934</v>
      </c>
      <c r="BJ119" s="30">
        <v>2922.5</v>
      </c>
      <c r="BK119" s="30">
        <v>2924</v>
      </c>
      <c r="BL119" s="30">
        <v>2951.5</v>
      </c>
      <c r="BM119" s="1">
        <v>2971.5</v>
      </c>
      <c r="BN119" s="1">
        <v>2936</v>
      </c>
      <c r="BO119" s="1">
        <v>2935.5</v>
      </c>
      <c r="BP119" s="1">
        <v>3000</v>
      </c>
      <c r="BQ119" s="1">
        <v>2975.5</v>
      </c>
      <c r="BR119" s="1">
        <v>2954</v>
      </c>
      <c r="BS119" s="1">
        <v>2990.5</v>
      </c>
      <c r="BT119" s="1">
        <v>3057</v>
      </c>
      <c r="BU119" s="1">
        <v>3111</v>
      </c>
      <c r="BV119" s="1">
        <v>3150</v>
      </c>
      <c r="BW119" s="1">
        <v>3155</v>
      </c>
      <c r="BX119" s="1">
        <v>3136</v>
      </c>
      <c r="BY119" s="1">
        <v>3152</v>
      </c>
      <c r="BZ119" s="1">
        <v>3128</v>
      </c>
    </row>
    <row r="120" spans="1:254" ht="15.9" customHeight="1">
      <c r="A120" s="65" t="s">
        <v>235</v>
      </c>
      <c r="B120" s="41" t="s">
        <v>236</v>
      </c>
      <c r="C120" s="45">
        <f>_xll.RssMarket("6744","安値")</f>
        <v>4550</v>
      </c>
      <c r="D120" s="16">
        <f t="shared" si="3"/>
        <v>0</v>
      </c>
      <c r="E120" s="30">
        <v>4550</v>
      </c>
      <c r="F120" s="30">
        <v>4545</v>
      </c>
      <c r="G120" s="30">
        <v>4435</v>
      </c>
      <c r="H120" s="30">
        <v>4370</v>
      </c>
      <c r="I120" s="30">
        <v>4340</v>
      </c>
      <c r="J120" s="30">
        <v>4310</v>
      </c>
      <c r="K120" s="30">
        <v>4355</v>
      </c>
      <c r="L120" s="30">
        <v>4320</v>
      </c>
      <c r="M120" s="30">
        <v>4320</v>
      </c>
      <c r="N120" s="30"/>
      <c r="O120" s="30">
        <v>4235</v>
      </c>
      <c r="P120" s="30">
        <v>4265</v>
      </c>
      <c r="Q120" s="30">
        <v>4205</v>
      </c>
      <c r="R120" s="30">
        <v>4050</v>
      </c>
      <c r="S120" s="30">
        <v>4250</v>
      </c>
      <c r="T120" s="30">
        <v>4230</v>
      </c>
      <c r="U120" s="30">
        <v>4210</v>
      </c>
      <c r="V120" s="30">
        <v>4260</v>
      </c>
      <c r="W120" s="30">
        <v>4280</v>
      </c>
      <c r="X120" s="30">
        <v>4265</v>
      </c>
      <c r="Y120" s="30">
        <v>4375</v>
      </c>
      <c r="Z120" s="30">
        <v>4360</v>
      </c>
      <c r="AA120" s="30">
        <v>4235</v>
      </c>
      <c r="AB120" s="30">
        <v>4095</v>
      </c>
      <c r="AC120" s="30">
        <v>4080</v>
      </c>
      <c r="AD120" s="30">
        <v>4090</v>
      </c>
      <c r="AE120" s="30">
        <v>4090</v>
      </c>
      <c r="AF120" s="30">
        <v>4075</v>
      </c>
      <c r="AG120" s="30">
        <v>4135</v>
      </c>
      <c r="AH120" s="30">
        <v>4160</v>
      </c>
      <c r="AI120" s="30">
        <v>4165</v>
      </c>
      <c r="AJ120" s="30">
        <v>4205</v>
      </c>
      <c r="AK120" s="30">
        <v>4195</v>
      </c>
      <c r="AL120" s="30">
        <v>4200</v>
      </c>
      <c r="AM120" s="30">
        <v>4155</v>
      </c>
      <c r="AN120" s="30">
        <v>4180</v>
      </c>
      <c r="AO120" s="30">
        <v>4195</v>
      </c>
      <c r="AP120" s="30">
        <v>4185</v>
      </c>
      <c r="AQ120" s="30">
        <v>4165</v>
      </c>
      <c r="AR120" s="30">
        <v>4260</v>
      </c>
      <c r="AS120" s="30">
        <v>4310</v>
      </c>
      <c r="AT120" s="30">
        <v>4490</v>
      </c>
      <c r="AU120" s="30">
        <v>4480</v>
      </c>
      <c r="AV120" s="30">
        <v>4505</v>
      </c>
      <c r="AW120" s="30">
        <v>4540</v>
      </c>
      <c r="AX120" s="30">
        <v>4780</v>
      </c>
      <c r="AY120" s="30">
        <v>4695</v>
      </c>
      <c r="AZ120" s="30">
        <v>4770</v>
      </c>
      <c r="BA120" s="30">
        <v>4700</v>
      </c>
      <c r="BB120" s="30">
        <v>4575</v>
      </c>
      <c r="BC120" s="30">
        <v>4575</v>
      </c>
      <c r="BD120" s="30">
        <v>4505</v>
      </c>
      <c r="BE120" s="30">
        <v>4635</v>
      </c>
      <c r="BF120" s="30">
        <v>4640</v>
      </c>
      <c r="BG120" s="30">
        <v>4620</v>
      </c>
      <c r="BH120" s="30">
        <v>4330</v>
      </c>
      <c r="BI120" s="30">
        <v>4220</v>
      </c>
      <c r="BJ120" s="30">
        <v>4250</v>
      </c>
      <c r="BK120" s="30">
        <v>4320</v>
      </c>
      <c r="BL120" s="30">
        <v>4275</v>
      </c>
      <c r="BM120" s="1">
        <v>4255</v>
      </c>
      <c r="BN120" s="1">
        <v>4090</v>
      </c>
      <c r="BO120" s="1">
        <v>4005</v>
      </c>
      <c r="BP120" s="1">
        <v>3970</v>
      </c>
      <c r="BQ120" s="1">
        <v>3855</v>
      </c>
      <c r="BR120" s="1">
        <v>3885</v>
      </c>
      <c r="BS120" s="1">
        <v>3930</v>
      </c>
      <c r="BT120" s="1">
        <v>4010</v>
      </c>
      <c r="BU120" s="1">
        <v>4035</v>
      </c>
      <c r="BV120" s="1">
        <v>4050</v>
      </c>
      <c r="BW120" s="1">
        <v>4080</v>
      </c>
      <c r="BX120" s="1">
        <v>4215</v>
      </c>
      <c r="BY120" s="1">
        <v>4260</v>
      </c>
      <c r="BZ120" s="1">
        <v>4360</v>
      </c>
    </row>
    <row r="121" spans="1:254" ht="15.9" customHeight="1">
      <c r="A121" s="65" t="s">
        <v>237</v>
      </c>
      <c r="B121" s="41" t="s">
        <v>238</v>
      </c>
      <c r="C121" s="45">
        <f>_xll.RssMarket("7685","安値")</f>
        <v>3100</v>
      </c>
      <c r="D121" s="16">
        <f t="shared" si="3"/>
        <v>0</v>
      </c>
      <c r="E121" s="30">
        <v>3100</v>
      </c>
      <c r="F121" s="30">
        <v>2972</v>
      </c>
      <c r="G121" s="30">
        <v>2954</v>
      </c>
      <c r="H121" s="30">
        <v>2910</v>
      </c>
      <c r="I121" s="30">
        <v>2910</v>
      </c>
      <c r="J121" s="30">
        <v>2926</v>
      </c>
      <c r="K121" s="30">
        <v>2996</v>
      </c>
      <c r="L121" s="30">
        <v>3050</v>
      </c>
      <c r="M121" s="30">
        <v>3015</v>
      </c>
      <c r="N121" s="30"/>
      <c r="O121" s="30">
        <v>3085</v>
      </c>
      <c r="P121" s="30">
        <v>3190</v>
      </c>
      <c r="Q121" s="30">
        <v>2980</v>
      </c>
      <c r="R121" s="30">
        <v>3350</v>
      </c>
      <c r="S121" s="30">
        <v>3450</v>
      </c>
      <c r="T121" s="30">
        <v>3485</v>
      </c>
      <c r="U121" s="30">
        <v>3505</v>
      </c>
      <c r="V121" s="30">
        <v>3450</v>
      </c>
      <c r="W121" s="30">
        <v>3560</v>
      </c>
      <c r="X121" s="30">
        <v>3540</v>
      </c>
      <c r="Y121" s="30">
        <v>3405</v>
      </c>
      <c r="Z121" s="30">
        <v>3400</v>
      </c>
      <c r="AA121" s="30">
        <v>3450</v>
      </c>
      <c r="AB121" s="30">
        <v>3335</v>
      </c>
      <c r="AC121" s="30">
        <v>3265</v>
      </c>
      <c r="AD121" s="30">
        <v>3225</v>
      </c>
      <c r="AE121" s="30">
        <v>3310</v>
      </c>
      <c r="AF121" s="30">
        <v>3250</v>
      </c>
      <c r="AG121" s="30">
        <v>3400</v>
      </c>
      <c r="AH121" s="30">
        <v>3570</v>
      </c>
      <c r="AI121" s="30">
        <v>3515</v>
      </c>
      <c r="AJ121" s="30">
        <v>3410</v>
      </c>
      <c r="AK121" s="30">
        <v>3430</v>
      </c>
      <c r="AL121" s="30">
        <v>3480</v>
      </c>
      <c r="AM121" s="30">
        <v>3500</v>
      </c>
      <c r="AN121" s="30">
        <v>3570</v>
      </c>
      <c r="AO121" s="30">
        <v>3500</v>
      </c>
      <c r="AP121" s="30">
        <v>3680</v>
      </c>
      <c r="AQ121" s="30">
        <v>3680</v>
      </c>
      <c r="AR121" s="30">
        <v>3650</v>
      </c>
      <c r="AS121" s="30">
        <v>3530</v>
      </c>
      <c r="AT121" s="30">
        <v>3705</v>
      </c>
      <c r="AU121" s="30">
        <v>3670</v>
      </c>
      <c r="AV121" s="30">
        <v>3855</v>
      </c>
      <c r="AW121" s="30">
        <v>3815</v>
      </c>
      <c r="AX121" s="30">
        <v>3990</v>
      </c>
      <c r="AY121" s="30">
        <v>3785</v>
      </c>
      <c r="AZ121" s="30">
        <v>3790</v>
      </c>
      <c r="BA121" s="30">
        <v>3700</v>
      </c>
      <c r="BB121" s="30">
        <v>3570</v>
      </c>
      <c r="BC121" s="30">
        <v>3605</v>
      </c>
      <c r="BD121" s="30">
        <v>3725</v>
      </c>
      <c r="BE121" s="30">
        <v>3330</v>
      </c>
      <c r="BF121" s="30">
        <v>3300</v>
      </c>
      <c r="BG121" s="30">
        <v>3300</v>
      </c>
      <c r="BH121" s="30">
        <v>3300</v>
      </c>
      <c r="BI121" s="30">
        <v>2960</v>
      </c>
      <c r="BJ121" s="30">
        <v>3075</v>
      </c>
      <c r="BK121" s="30">
        <v>3295</v>
      </c>
      <c r="BL121" s="30">
        <v>3195</v>
      </c>
      <c r="BM121" s="1">
        <v>3075</v>
      </c>
      <c r="BN121" s="1">
        <v>3160</v>
      </c>
      <c r="BO121" s="1">
        <v>3210</v>
      </c>
      <c r="BP121" s="1">
        <v>3100</v>
      </c>
      <c r="BQ121" s="1">
        <v>3070</v>
      </c>
      <c r="BR121" s="1">
        <v>3105</v>
      </c>
      <c r="BS121" s="1">
        <v>3230</v>
      </c>
      <c r="BT121" s="1">
        <v>3240</v>
      </c>
      <c r="BU121" s="1">
        <v>3370</v>
      </c>
      <c r="BV121" s="1">
        <v>3320</v>
      </c>
      <c r="BW121" s="1">
        <v>3510</v>
      </c>
      <c r="BX121" s="1">
        <v>3605</v>
      </c>
      <c r="BY121" s="1">
        <v>3565</v>
      </c>
      <c r="BZ121" s="1">
        <v>3445</v>
      </c>
    </row>
    <row r="122" spans="1:254" ht="15.9" customHeight="1">
      <c r="A122" s="65" t="s">
        <v>239</v>
      </c>
      <c r="B122" s="41" t="s">
        <v>240</v>
      </c>
      <c r="C122" s="45">
        <f>_xll.RssMarket("8334","安値")</f>
        <v>2556</v>
      </c>
      <c r="D122" s="16">
        <f t="shared" si="3"/>
        <v>0</v>
      </c>
      <c r="E122" s="30">
        <v>2556</v>
      </c>
      <c r="F122" s="30">
        <v>2496.5</v>
      </c>
      <c r="G122" s="30">
        <v>2481.5</v>
      </c>
      <c r="H122" s="30">
        <v>2440</v>
      </c>
      <c r="I122" s="30">
        <v>2462</v>
      </c>
      <c r="J122" s="30">
        <v>2442.5</v>
      </c>
      <c r="K122" s="30">
        <v>2460.5</v>
      </c>
      <c r="L122" s="30">
        <v>2571</v>
      </c>
      <c r="M122" s="30">
        <v>2616</v>
      </c>
      <c r="N122" s="30">
        <v>2544.5</v>
      </c>
      <c r="O122" s="30">
        <v>2565</v>
      </c>
      <c r="P122" s="30">
        <v>2543.5</v>
      </c>
      <c r="Q122" s="30">
        <v>2447</v>
      </c>
      <c r="R122" s="30">
        <v>2407</v>
      </c>
      <c r="S122" s="30">
        <v>2572</v>
      </c>
      <c r="T122" s="30">
        <v>2513</v>
      </c>
      <c r="U122" s="30">
        <v>2497</v>
      </c>
      <c r="V122" s="30">
        <v>2478.5</v>
      </c>
      <c r="W122" s="30">
        <v>2469</v>
      </c>
      <c r="X122" s="30">
        <v>2442</v>
      </c>
      <c r="Y122" s="30">
        <v>2436</v>
      </c>
      <c r="Z122" s="30">
        <v>2408</v>
      </c>
      <c r="AA122" s="30">
        <v>2400</v>
      </c>
      <c r="AB122" s="30">
        <v>2377</v>
      </c>
      <c r="AC122" s="30">
        <v>2336.5</v>
      </c>
      <c r="AD122" s="30">
        <v>2324</v>
      </c>
      <c r="AE122" s="30">
        <v>2314</v>
      </c>
      <c r="AF122" s="30">
        <v>2313.5</v>
      </c>
      <c r="AG122" s="30">
        <v>2289.5</v>
      </c>
      <c r="AH122" s="30">
        <v>2276</v>
      </c>
      <c r="AI122" s="30">
        <v>2307</v>
      </c>
      <c r="AJ122" s="30">
        <v>2285</v>
      </c>
      <c r="AK122" s="30">
        <v>2271</v>
      </c>
      <c r="AL122" s="30">
        <v>2304.5</v>
      </c>
      <c r="AM122" s="30">
        <v>2307</v>
      </c>
      <c r="AN122" s="30">
        <v>2285</v>
      </c>
      <c r="AO122" s="30">
        <v>2358</v>
      </c>
      <c r="AP122" s="30">
        <v>2323.5</v>
      </c>
      <c r="AQ122" s="30">
        <v>2269.5</v>
      </c>
      <c r="AR122" s="30">
        <v>2302</v>
      </c>
      <c r="AS122" s="30">
        <v>2227</v>
      </c>
      <c r="AT122" s="30">
        <v>2254</v>
      </c>
      <c r="AU122" s="30">
        <v>2151</v>
      </c>
      <c r="AV122" s="30">
        <v>2166.5</v>
      </c>
      <c r="AW122" s="30">
        <v>2093</v>
      </c>
      <c r="AX122" s="30">
        <v>2207</v>
      </c>
      <c r="AY122" s="30">
        <v>2190.5</v>
      </c>
      <c r="AZ122" s="30">
        <v>2231</v>
      </c>
      <c r="BA122" s="30">
        <v>2272</v>
      </c>
      <c r="BB122" s="30">
        <v>2295</v>
      </c>
      <c r="BC122" s="30">
        <v>2337</v>
      </c>
      <c r="BD122" s="30">
        <v>2267</v>
      </c>
      <c r="BE122" s="30">
        <v>2274.5</v>
      </c>
      <c r="BF122" s="30">
        <v>2205</v>
      </c>
      <c r="BG122" s="30">
        <v>2178</v>
      </c>
      <c r="BH122" s="30">
        <v>2174</v>
      </c>
      <c r="BI122" s="30">
        <v>2169</v>
      </c>
      <c r="BJ122" s="30">
        <v>2171.5</v>
      </c>
      <c r="BK122" s="30">
        <v>2169</v>
      </c>
      <c r="BL122" s="30">
        <v>2120.5</v>
      </c>
      <c r="BM122" s="1">
        <v>2189.5</v>
      </c>
      <c r="BN122" s="1">
        <v>2102</v>
      </c>
      <c r="BO122" s="1">
        <v>2113.5</v>
      </c>
      <c r="BP122" s="1">
        <v>2052</v>
      </c>
      <c r="BQ122" s="1">
        <v>1970</v>
      </c>
      <c r="BR122" s="1">
        <v>2005</v>
      </c>
      <c r="BS122" s="1">
        <v>2014.5</v>
      </c>
      <c r="BT122" s="1">
        <v>2046.5</v>
      </c>
      <c r="BU122" s="1">
        <v>2113</v>
      </c>
      <c r="BV122" s="1">
        <v>2180</v>
      </c>
      <c r="BW122" s="1">
        <v>2214</v>
      </c>
      <c r="BX122" s="1">
        <v>2250</v>
      </c>
      <c r="BY122" s="1">
        <v>2246</v>
      </c>
      <c r="BZ122" s="1">
        <v>2225</v>
      </c>
    </row>
    <row r="123" spans="1:254" ht="15.9" customHeight="1">
      <c r="A123" s="65" t="s">
        <v>241</v>
      </c>
      <c r="B123" s="41" t="s">
        <v>242</v>
      </c>
      <c r="C123" s="45">
        <f>_xll.RssMarket("8359","安値")</f>
        <v>2535</v>
      </c>
      <c r="D123" s="16">
        <f t="shared" si="3"/>
        <v>0</v>
      </c>
      <c r="E123" s="30">
        <v>2535</v>
      </c>
      <c r="F123" s="30">
        <v>2482</v>
      </c>
      <c r="G123" s="30">
        <v>2462</v>
      </c>
      <c r="H123" s="30">
        <v>2397.5</v>
      </c>
      <c r="I123" s="30">
        <v>2476.5</v>
      </c>
      <c r="J123" s="30">
        <v>2469</v>
      </c>
      <c r="K123" s="30">
        <v>2478</v>
      </c>
      <c r="L123" s="30">
        <v>2594.5</v>
      </c>
      <c r="M123" s="30">
        <v>2650.5</v>
      </c>
      <c r="N123" s="30">
        <v>2600</v>
      </c>
      <c r="O123" s="30">
        <v>2620.5</v>
      </c>
      <c r="P123" s="30">
        <v>2564</v>
      </c>
      <c r="Q123" s="30">
        <v>2461.5</v>
      </c>
      <c r="R123" s="30">
        <v>2412.5</v>
      </c>
      <c r="S123" s="30">
        <v>2575</v>
      </c>
      <c r="T123" s="30">
        <v>2536.5</v>
      </c>
      <c r="U123" s="30">
        <v>2553</v>
      </c>
      <c r="V123" s="30">
        <v>2551</v>
      </c>
      <c r="W123" s="30">
        <v>2544.5</v>
      </c>
      <c r="X123" s="30">
        <v>2548</v>
      </c>
      <c r="Y123" s="30">
        <v>2549</v>
      </c>
      <c r="Z123" s="30">
        <v>2505</v>
      </c>
      <c r="AA123" s="30">
        <v>2480</v>
      </c>
      <c r="AB123" s="30">
        <v>2428.5</v>
      </c>
      <c r="AC123" s="30">
        <v>2390</v>
      </c>
      <c r="AD123" s="30">
        <v>2384</v>
      </c>
      <c r="AE123" s="30">
        <v>2361.5</v>
      </c>
      <c r="AF123" s="30">
        <v>2364.5</v>
      </c>
      <c r="AG123" s="30">
        <v>2328.5</v>
      </c>
      <c r="AH123" s="30">
        <v>2345</v>
      </c>
      <c r="AI123" s="30">
        <v>2387.5</v>
      </c>
      <c r="AJ123" s="30">
        <v>2320</v>
      </c>
      <c r="AK123" s="30">
        <v>2307</v>
      </c>
      <c r="AL123" s="30">
        <v>2290</v>
      </c>
      <c r="AM123" s="30">
        <v>2287</v>
      </c>
      <c r="AN123" s="30">
        <v>2313.5</v>
      </c>
      <c r="AO123" s="30">
        <v>2380</v>
      </c>
      <c r="AP123" s="30">
        <v>2336.5</v>
      </c>
      <c r="AQ123" s="30">
        <v>2296.5</v>
      </c>
      <c r="AR123" s="30">
        <v>2331</v>
      </c>
      <c r="AS123" s="30">
        <v>2314</v>
      </c>
      <c r="AT123" s="30">
        <v>2379</v>
      </c>
      <c r="AU123" s="30">
        <v>2262.5</v>
      </c>
      <c r="AV123" s="30">
        <v>2296</v>
      </c>
      <c r="AW123" s="30">
        <v>2235.5</v>
      </c>
      <c r="AX123" s="30">
        <v>2286</v>
      </c>
      <c r="AY123" s="30">
        <v>2248</v>
      </c>
      <c r="AZ123" s="30">
        <v>2257</v>
      </c>
      <c r="BA123" s="30">
        <v>2325</v>
      </c>
      <c r="BB123" s="30">
        <v>2318</v>
      </c>
      <c r="BC123" s="30">
        <v>2335</v>
      </c>
      <c r="BD123" s="30">
        <v>2260.5</v>
      </c>
      <c r="BE123" s="30">
        <v>2230</v>
      </c>
      <c r="BF123" s="30">
        <v>2205</v>
      </c>
      <c r="BG123" s="30">
        <v>2334.5</v>
      </c>
      <c r="BH123" s="30">
        <v>2320</v>
      </c>
      <c r="BI123" s="30">
        <v>2314</v>
      </c>
      <c r="BJ123" s="30">
        <v>2293.5</v>
      </c>
      <c r="BK123" s="30">
        <v>2209</v>
      </c>
      <c r="BL123" s="30">
        <v>2159.5</v>
      </c>
      <c r="BM123" s="1">
        <v>2137</v>
      </c>
      <c r="BN123" s="1">
        <v>2069.5</v>
      </c>
      <c r="BO123" s="1">
        <v>2088</v>
      </c>
      <c r="BP123" s="1">
        <v>2044.5</v>
      </c>
      <c r="BQ123" s="1">
        <v>1964</v>
      </c>
      <c r="BR123" s="1">
        <v>2016.5</v>
      </c>
      <c r="BS123" s="1">
        <v>1981.5</v>
      </c>
      <c r="BT123" s="1">
        <v>2000.5</v>
      </c>
      <c r="BU123" s="1">
        <v>2026.5</v>
      </c>
      <c r="BV123" s="1">
        <v>2080</v>
      </c>
      <c r="BW123" s="1">
        <v>2085</v>
      </c>
      <c r="BX123" s="1">
        <v>2102</v>
      </c>
      <c r="BY123" s="1">
        <v>2074.5</v>
      </c>
      <c r="BZ123" s="1">
        <v>2048.5</v>
      </c>
    </row>
    <row r="124" spans="1:254" ht="15.9" customHeight="1">
      <c r="A124" s="65" t="s">
        <v>243</v>
      </c>
      <c r="B124" s="41" t="s">
        <v>244</v>
      </c>
      <c r="C124" s="45">
        <f>_xll.RssMarket("8801","安値")</f>
        <v>1475.5</v>
      </c>
      <c r="D124" s="16">
        <f t="shared" si="3"/>
        <v>0</v>
      </c>
      <c r="E124" s="30">
        <v>1475.5</v>
      </c>
      <c r="F124" s="30">
        <v>1473.5</v>
      </c>
      <c r="G124" s="30">
        <v>1473</v>
      </c>
      <c r="H124" s="30">
        <v>1479</v>
      </c>
      <c r="I124" s="30">
        <v>1553.5</v>
      </c>
      <c r="J124" s="30">
        <v>1600</v>
      </c>
      <c r="K124" s="30">
        <v>1585</v>
      </c>
      <c r="L124" s="30">
        <v>1574</v>
      </c>
      <c r="M124" s="30">
        <v>1559.5</v>
      </c>
      <c r="N124" s="30">
        <v>1526</v>
      </c>
      <c r="O124" s="30">
        <v>1535</v>
      </c>
      <c r="P124" s="30">
        <v>1540</v>
      </c>
      <c r="Q124" s="30">
        <v>1542.5</v>
      </c>
      <c r="R124" s="30">
        <v>1534.5</v>
      </c>
      <c r="S124" s="30">
        <v>1540</v>
      </c>
      <c r="T124" s="30">
        <v>1510</v>
      </c>
      <c r="U124" s="30">
        <v>1508</v>
      </c>
      <c r="V124" s="30">
        <v>1504.5</v>
      </c>
      <c r="W124" s="30">
        <v>1504.5</v>
      </c>
      <c r="X124" s="30">
        <v>1544.5</v>
      </c>
      <c r="Y124" s="30">
        <v>1558.5</v>
      </c>
      <c r="Z124" s="30">
        <v>1541.5</v>
      </c>
      <c r="AA124" s="30">
        <v>1529.5</v>
      </c>
      <c r="AB124" s="30">
        <v>1484</v>
      </c>
      <c r="AC124" s="30">
        <v>1457</v>
      </c>
      <c r="AD124" s="30">
        <v>1499</v>
      </c>
      <c r="AE124" s="30">
        <v>1487</v>
      </c>
      <c r="AF124" s="30">
        <v>1430</v>
      </c>
      <c r="AG124" s="30">
        <v>1467</v>
      </c>
      <c r="AH124" s="30">
        <v>1448</v>
      </c>
      <c r="AI124" s="30">
        <v>1446.5</v>
      </c>
      <c r="AJ124" s="30">
        <v>1473</v>
      </c>
      <c r="AK124" s="30">
        <v>1475</v>
      </c>
      <c r="AL124" s="30">
        <v>1481</v>
      </c>
      <c r="AM124" s="30">
        <v>1516.5</v>
      </c>
      <c r="AN124" s="30">
        <v>1527</v>
      </c>
      <c r="AO124" s="30">
        <v>1563</v>
      </c>
      <c r="AP124" s="30">
        <v>1548</v>
      </c>
      <c r="AQ124" s="30">
        <v>1533.5</v>
      </c>
      <c r="AR124" s="30">
        <v>1505.5</v>
      </c>
      <c r="AS124" s="30">
        <v>1443.5</v>
      </c>
      <c r="AT124" s="30">
        <v>1480</v>
      </c>
      <c r="AU124" s="30">
        <v>1450</v>
      </c>
      <c r="AV124" s="30">
        <v>1476.5</v>
      </c>
      <c r="AW124" s="30">
        <v>1455</v>
      </c>
      <c r="AX124" s="30">
        <v>1498.5</v>
      </c>
      <c r="AY124" s="30">
        <v>1496.5</v>
      </c>
      <c r="AZ124" s="30">
        <v>1530.5</v>
      </c>
      <c r="BA124" s="30">
        <v>1500.5</v>
      </c>
      <c r="BB124" s="30">
        <v>1461.5</v>
      </c>
      <c r="BC124" s="30">
        <v>1520</v>
      </c>
      <c r="BD124" s="30">
        <v>1497</v>
      </c>
      <c r="BE124" s="30">
        <v>1512</v>
      </c>
      <c r="BF124" s="30">
        <v>1498</v>
      </c>
      <c r="BG124" s="30">
        <v>1489.5</v>
      </c>
      <c r="BH124" s="30">
        <v>1528</v>
      </c>
      <c r="BI124" s="30">
        <v>1661</v>
      </c>
      <c r="BJ124" s="30">
        <v>1663</v>
      </c>
      <c r="BK124" s="30">
        <v>1650</v>
      </c>
      <c r="BL124" s="30">
        <v>1646.5</v>
      </c>
      <c r="BM124" s="1">
        <v>1699</v>
      </c>
      <c r="BN124" s="1">
        <v>1674.5</v>
      </c>
      <c r="BO124" s="1">
        <v>1687</v>
      </c>
      <c r="BP124" s="1">
        <v>1702.5</v>
      </c>
      <c r="BQ124" s="1">
        <v>1681.5</v>
      </c>
      <c r="BR124" s="1">
        <v>1696</v>
      </c>
      <c r="BS124" s="1">
        <v>1716</v>
      </c>
      <c r="BT124" s="1">
        <v>1710</v>
      </c>
      <c r="BU124" s="1">
        <v>1741.5</v>
      </c>
      <c r="BV124" s="1">
        <v>1745.5</v>
      </c>
      <c r="BW124" s="1">
        <v>1728</v>
      </c>
      <c r="BX124" s="1">
        <v>1747.5</v>
      </c>
      <c r="BY124" s="1">
        <v>1773.5</v>
      </c>
      <c r="BZ124" s="1">
        <v>1747</v>
      </c>
    </row>
    <row r="125" spans="1:254" ht="15.9" customHeight="1">
      <c r="A125" s="65" t="s">
        <v>245</v>
      </c>
      <c r="B125" s="41" t="s">
        <v>246</v>
      </c>
      <c r="C125" s="45">
        <f>_xll.RssMarket("8934","安値")</f>
        <v>2417</v>
      </c>
      <c r="D125" s="16">
        <f t="shared" si="3"/>
        <v>0</v>
      </c>
      <c r="E125" s="30">
        <v>2417</v>
      </c>
      <c r="F125" s="30">
        <v>2414</v>
      </c>
      <c r="G125" s="30">
        <v>2406</v>
      </c>
      <c r="H125" s="30">
        <v>2431</v>
      </c>
      <c r="I125" s="30">
        <v>2498</v>
      </c>
      <c r="J125" s="30">
        <v>2528</v>
      </c>
      <c r="K125" s="30">
        <v>2531</v>
      </c>
      <c r="L125" s="30">
        <v>2545</v>
      </c>
      <c r="M125" s="30">
        <v>2505</v>
      </c>
      <c r="N125" s="30">
        <v>2471</v>
      </c>
      <c r="O125" s="30">
        <v>2501</v>
      </c>
      <c r="P125" s="30">
        <v>2527</v>
      </c>
      <c r="Q125" s="30">
        <v>2519</v>
      </c>
      <c r="R125" s="30">
        <v>2498</v>
      </c>
      <c r="S125" s="30">
        <v>2529</v>
      </c>
      <c r="T125" s="30">
        <v>2483</v>
      </c>
      <c r="U125" s="30">
        <v>2461</v>
      </c>
      <c r="V125" s="30">
        <v>2479</v>
      </c>
      <c r="W125" s="30">
        <v>2498</v>
      </c>
      <c r="X125" s="30">
        <v>2521</v>
      </c>
      <c r="Y125" s="30">
        <v>2500</v>
      </c>
      <c r="Z125" s="30">
        <v>2475</v>
      </c>
      <c r="AA125" s="30">
        <v>2431</v>
      </c>
      <c r="AB125" s="30">
        <v>2412</v>
      </c>
      <c r="AC125" s="30">
        <v>2385</v>
      </c>
      <c r="AD125" s="30">
        <v>2429</v>
      </c>
      <c r="AE125" s="30">
        <v>2410</v>
      </c>
      <c r="AF125" s="30">
        <v>2364</v>
      </c>
      <c r="AG125" s="30">
        <v>2339</v>
      </c>
      <c r="AH125" s="30">
        <v>2333</v>
      </c>
      <c r="AI125" s="30">
        <v>2327</v>
      </c>
      <c r="AJ125" s="30">
        <v>2329</v>
      </c>
      <c r="AK125" s="30">
        <v>2330</v>
      </c>
      <c r="AL125" s="30">
        <v>2325</v>
      </c>
      <c r="AM125" s="30">
        <v>2353</v>
      </c>
      <c r="AN125" s="30">
        <v>2352</v>
      </c>
      <c r="AO125" s="30">
        <v>2383</v>
      </c>
      <c r="AP125" s="30">
        <v>2349</v>
      </c>
      <c r="AQ125" s="30">
        <v>2326</v>
      </c>
      <c r="AR125" s="30">
        <v>2375</v>
      </c>
      <c r="AS125" s="30">
        <v>2288</v>
      </c>
      <c r="AT125" s="30">
        <v>2297</v>
      </c>
      <c r="AU125" s="30">
        <v>2245</v>
      </c>
      <c r="AV125" s="30">
        <v>2251</v>
      </c>
      <c r="AW125" s="30">
        <v>2195</v>
      </c>
      <c r="AX125" s="30">
        <v>2360</v>
      </c>
      <c r="AY125" s="30">
        <v>2321</v>
      </c>
      <c r="AZ125" s="30">
        <v>2320</v>
      </c>
      <c r="BA125" s="30">
        <v>2339</v>
      </c>
      <c r="BB125" s="30">
        <v>2320</v>
      </c>
      <c r="BC125" s="30">
        <v>2372</v>
      </c>
      <c r="BD125" s="30">
        <v>2330</v>
      </c>
      <c r="BE125" s="30">
        <v>2412</v>
      </c>
      <c r="BF125" s="30">
        <v>2390</v>
      </c>
      <c r="BG125" s="30">
        <v>2443</v>
      </c>
      <c r="BH125" s="30">
        <v>2413</v>
      </c>
      <c r="BI125" s="30">
        <v>2413</v>
      </c>
      <c r="BJ125" s="30">
        <v>2407</v>
      </c>
      <c r="BK125" s="30">
        <v>2539</v>
      </c>
      <c r="BL125" s="30">
        <v>2560</v>
      </c>
      <c r="BM125" s="1">
        <v>2621</v>
      </c>
      <c r="BN125" s="1">
        <v>2634</v>
      </c>
      <c r="BO125" s="1">
        <v>2675</v>
      </c>
      <c r="BP125" s="1">
        <v>2620</v>
      </c>
      <c r="BQ125" s="1">
        <v>2612</v>
      </c>
      <c r="BR125" s="1">
        <v>2626</v>
      </c>
      <c r="BS125" s="1">
        <v>2660</v>
      </c>
      <c r="BT125" s="1">
        <v>2710</v>
      </c>
      <c r="BU125" s="1">
        <v>2736</v>
      </c>
      <c r="BV125" s="1">
        <v>2729</v>
      </c>
      <c r="BW125" s="1">
        <v>2785</v>
      </c>
      <c r="BX125" s="1">
        <v>2790</v>
      </c>
      <c r="BY125" s="1">
        <v>2815</v>
      </c>
      <c r="BZ125" s="1">
        <v>2814</v>
      </c>
    </row>
    <row r="126" spans="1:254" ht="15.9" customHeight="1">
      <c r="A126" s="65" t="s">
        <v>247</v>
      </c>
      <c r="B126" s="41" t="s">
        <v>248</v>
      </c>
      <c r="C126" s="45">
        <f>_xll.RssMarket("9416","安値")</f>
        <v>1014</v>
      </c>
      <c r="D126" s="16">
        <f t="shared" si="3"/>
        <v>0</v>
      </c>
      <c r="E126" s="30">
        <v>1014</v>
      </c>
      <c r="F126" s="30">
        <v>1009</v>
      </c>
      <c r="G126" s="30">
        <v>1008</v>
      </c>
      <c r="H126" s="30">
        <v>1015</v>
      </c>
      <c r="I126" s="30">
        <v>1020</v>
      </c>
      <c r="J126" s="30">
        <v>1031</v>
      </c>
      <c r="K126" s="30">
        <v>1026</v>
      </c>
      <c r="L126" s="30">
        <v>1017</v>
      </c>
      <c r="M126" s="30">
        <v>996</v>
      </c>
      <c r="N126" s="30">
        <v>979</v>
      </c>
      <c r="O126" s="30">
        <v>987</v>
      </c>
      <c r="P126" s="30">
        <v>994</v>
      </c>
      <c r="Q126" s="30">
        <v>1001</v>
      </c>
      <c r="R126" s="30">
        <v>993</v>
      </c>
      <c r="S126" s="30">
        <v>1006</v>
      </c>
      <c r="T126" s="30">
        <v>1016</v>
      </c>
      <c r="U126" s="30">
        <v>1011</v>
      </c>
      <c r="V126" s="30">
        <v>1008</v>
      </c>
      <c r="W126" s="30">
        <v>995</v>
      </c>
      <c r="X126" s="30">
        <v>1003</v>
      </c>
      <c r="Y126" s="30">
        <v>1009</v>
      </c>
      <c r="Z126" s="30">
        <v>998</v>
      </c>
      <c r="AA126" s="30">
        <v>984</v>
      </c>
      <c r="AB126" s="30">
        <v>970</v>
      </c>
      <c r="AC126" s="30">
        <v>949</v>
      </c>
      <c r="AD126" s="30">
        <v>967</v>
      </c>
      <c r="AE126" s="30">
        <v>969</v>
      </c>
      <c r="AF126" s="30">
        <v>966</v>
      </c>
      <c r="AG126" s="30">
        <v>975</v>
      </c>
      <c r="AH126" s="30">
        <v>978</v>
      </c>
      <c r="AI126" s="30">
        <v>985</v>
      </c>
      <c r="AJ126" s="30">
        <v>1006</v>
      </c>
      <c r="AK126" s="30">
        <v>1021</v>
      </c>
      <c r="AL126" s="30">
        <v>1017</v>
      </c>
      <c r="AM126" s="30">
        <v>1012</v>
      </c>
      <c r="AN126" s="30">
        <v>1009</v>
      </c>
      <c r="AO126" s="30">
        <v>1013</v>
      </c>
      <c r="AP126" s="30">
        <v>1001</v>
      </c>
      <c r="AQ126" s="30">
        <v>1001</v>
      </c>
      <c r="AR126" s="30">
        <v>1005</v>
      </c>
      <c r="AS126" s="30">
        <v>1020</v>
      </c>
      <c r="AT126" s="30">
        <v>1010</v>
      </c>
      <c r="AU126" s="30">
        <v>1002</v>
      </c>
      <c r="AV126" s="30">
        <v>1007</v>
      </c>
      <c r="AW126" s="30">
        <v>1007</v>
      </c>
      <c r="AX126" s="30">
        <v>1056</v>
      </c>
      <c r="AY126" s="30">
        <v>1044</v>
      </c>
      <c r="AZ126" s="30">
        <v>1046</v>
      </c>
      <c r="BA126" s="30">
        <v>1060</v>
      </c>
      <c r="BB126" s="30">
        <v>1008</v>
      </c>
      <c r="BC126" s="30">
        <v>1015</v>
      </c>
      <c r="BD126" s="30">
        <v>1000</v>
      </c>
      <c r="BE126" s="30">
        <v>1004</v>
      </c>
      <c r="BF126" s="30">
        <v>1000</v>
      </c>
      <c r="BG126" s="30">
        <v>994</v>
      </c>
      <c r="BH126" s="30">
        <v>1091</v>
      </c>
      <c r="BI126" s="30">
        <v>1089</v>
      </c>
      <c r="BJ126" s="30">
        <v>1094</v>
      </c>
      <c r="BK126" s="30">
        <v>1105</v>
      </c>
      <c r="BL126" s="30">
        <v>1104</v>
      </c>
      <c r="BM126" s="1">
        <v>1100</v>
      </c>
      <c r="BN126" s="1">
        <v>1085</v>
      </c>
      <c r="BO126" s="1">
        <v>1083</v>
      </c>
      <c r="BP126" s="1">
        <v>1093</v>
      </c>
      <c r="BQ126" s="1">
        <v>1082</v>
      </c>
      <c r="BR126" s="1">
        <v>1075</v>
      </c>
      <c r="BS126" s="1">
        <v>1100</v>
      </c>
      <c r="BT126" s="1">
        <v>1114</v>
      </c>
      <c r="BU126" s="1">
        <v>1140</v>
      </c>
      <c r="BV126" s="1">
        <v>1155</v>
      </c>
      <c r="BW126" s="1">
        <v>1179</v>
      </c>
      <c r="BX126" s="1">
        <v>1190</v>
      </c>
      <c r="BY126" s="1">
        <v>1194</v>
      </c>
      <c r="BZ126" s="1">
        <v>1186</v>
      </c>
    </row>
    <row r="127" spans="1:254" ht="15.9" customHeight="1">
      <c r="A127" s="65" t="s">
        <v>249</v>
      </c>
      <c r="B127" s="41" t="s">
        <v>250</v>
      </c>
      <c r="C127" s="45">
        <f>_xll.RssMarket("9532","安値")</f>
        <v>5302</v>
      </c>
      <c r="D127" s="16">
        <f t="shared" si="3"/>
        <v>0</v>
      </c>
      <c r="E127" s="30">
        <v>5302</v>
      </c>
      <c r="F127" s="30">
        <v>5266</v>
      </c>
      <c r="G127" s="30">
        <v>5332</v>
      </c>
      <c r="H127" s="30">
        <v>5304</v>
      </c>
      <c r="I127" s="30">
        <v>5474</v>
      </c>
      <c r="J127" s="30">
        <v>5340</v>
      </c>
      <c r="K127" s="30">
        <v>5491</v>
      </c>
      <c r="L127" s="30">
        <v>5479</v>
      </c>
      <c r="M127" s="30">
        <v>5493</v>
      </c>
      <c r="N127" s="30">
        <v>5398</v>
      </c>
      <c r="O127" s="30">
        <v>5392</v>
      </c>
      <c r="P127" s="30">
        <v>5337</v>
      </c>
      <c r="Q127" s="30">
        <v>5373</v>
      </c>
      <c r="R127" s="30">
        <v>5315</v>
      </c>
      <c r="S127" s="30">
        <v>5343</v>
      </c>
      <c r="T127" s="30">
        <v>5300</v>
      </c>
      <c r="U127" s="30">
        <v>5264</v>
      </c>
      <c r="V127" s="30">
        <v>5353</v>
      </c>
      <c r="W127" s="30">
        <v>5354</v>
      </c>
      <c r="X127" s="30">
        <v>5493</v>
      </c>
      <c r="Y127" s="30">
        <v>5430</v>
      </c>
      <c r="Z127" s="30">
        <v>5366</v>
      </c>
      <c r="AA127" s="30">
        <v>5354</v>
      </c>
      <c r="AB127" s="30">
        <v>5277</v>
      </c>
      <c r="AC127" s="30">
        <v>5289</v>
      </c>
      <c r="AD127" s="30">
        <v>5430</v>
      </c>
      <c r="AE127" s="30">
        <v>5406</v>
      </c>
      <c r="AF127" s="30">
        <v>5350</v>
      </c>
      <c r="AG127" s="30">
        <v>5349</v>
      </c>
      <c r="AH127" s="30">
        <v>5393</v>
      </c>
      <c r="AI127" s="30">
        <v>5401</v>
      </c>
      <c r="AJ127" s="30">
        <v>5374</v>
      </c>
      <c r="AK127" s="30">
        <v>5304</v>
      </c>
      <c r="AL127" s="30">
        <v>5422</v>
      </c>
      <c r="AM127" s="30">
        <v>5420</v>
      </c>
      <c r="AN127" s="30">
        <v>5450</v>
      </c>
      <c r="AO127" s="30">
        <v>5493</v>
      </c>
      <c r="AP127" s="30">
        <v>5589</v>
      </c>
      <c r="AQ127" s="30">
        <v>5497</v>
      </c>
      <c r="AR127" s="30">
        <v>5476</v>
      </c>
      <c r="AS127" s="30">
        <v>5421</v>
      </c>
      <c r="AT127" s="30">
        <v>5454</v>
      </c>
      <c r="AU127" s="30">
        <v>5410</v>
      </c>
      <c r="AV127" s="30">
        <v>5475</v>
      </c>
      <c r="AW127" s="30">
        <v>5241</v>
      </c>
      <c r="AX127" s="30">
        <v>5270</v>
      </c>
      <c r="AY127" s="30">
        <v>5362</v>
      </c>
      <c r="AZ127" s="30">
        <v>5455</v>
      </c>
      <c r="BA127" s="30">
        <v>5556</v>
      </c>
      <c r="BB127" s="30">
        <v>5601</v>
      </c>
      <c r="BC127" s="30">
        <v>5659</v>
      </c>
      <c r="BD127" s="30">
        <v>5705</v>
      </c>
      <c r="BE127" s="30">
        <v>5726</v>
      </c>
      <c r="BF127" s="30">
        <v>5570</v>
      </c>
      <c r="BG127" s="30">
        <v>5654</v>
      </c>
      <c r="BH127" s="30">
        <v>5696</v>
      </c>
      <c r="BI127" s="30">
        <v>5677</v>
      </c>
      <c r="BJ127" s="30">
        <v>5594</v>
      </c>
      <c r="BK127" s="30">
        <v>5560</v>
      </c>
      <c r="BL127" s="30">
        <v>5540</v>
      </c>
      <c r="BM127" s="1">
        <v>5650</v>
      </c>
      <c r="BN127" s="1">
        <v>5626</v>
      </c>
      <c r="BO127" s="1">
        <v>5590</v>
      </c>
      <c r="BP127" s="1">
        <v>5803</v>
      </c>
      <c r="BQ127" s="1">
        <v>5766</v>
      </c>
      <c r="BR127" s="1">
        <v>5795</v>
      </c>
      <c r="BS127" s="1">
        <v>5745</v>
      </c>
      <c r="BT127" s="1">
        <v>5815</v>
      </c>
      <c r="BU127" s="1">
        <v>5927</v>
      </c>
      <c r="BV127" s="1">
        <v>5958</v>
      </c>
      <c r="BW127" s="1">
        <v>6105</v>
      </c>
      <c r="BX127" s="1">
        <v>6142</v>
      </c>
      <c r="BY127" s="1">
        <v>6179</v>
      </c>
      <c r="BZ127" s="1">
        <v>6192</v>
      </c>
    </row>
    <row r="128" spans="1:254" ht="15.9" customHeight="1">
      <c r="A128" s="65" t="s">
        <v>251</v>
      </c>
      <c r="B128" s="41" t="s">
        <v>252</v>
      </c>
      <c r="C128" s="45">
        <f>_xll.RssMarket("6330","安値")</f>
        <v>2002</v>
      </c>
      <c r="D128" s="16">
        <f t="shared" si="3"/>
        <v>0</v>
      </c>
      <c r="E128" s="30">
        <v>2002</v>
      </c>
      <c r="F128" s="30">
        <v>2011</v>
      </c>
      <c r="G128" s="30">
        <v>1890</v>
      </c>
      <c r="H128" s="30">
        <v>1885</v>
      </c>
      <c r="I128" s="30">
        <v>1898</v>
      </c>
      <c r="J128" s="30">
        <v>1851</v>
      </c>
      <c r="K128" s="30">
        <v>1870</v>
      </c>
      <c r="L128" s="30">
        <v>1974</v>
      </c>
      <c r="M128" s="30">
        <v>1971</v>
      </c>
      <c r="N128" s="30"/>
      <c r="O128" s="30">
        <v>1866</v>
      </c>
      <c r="P128" s="30">
        <v>1850</v>
      </c>
      <c r="Q128" s="30">
        <v>1733</v>
      </c>
      <c r="R128" s="30">
        <v>1712</v>
      </c>
      <c r="S128" s="30">
        <v>1893</v>
      </c>
      <c r="T128" s="30">
        <v>1895</v>
      </c>
      <c r="U128" s="30">
        <v>1908</v>
      </c>
      <c r="V128" s="30">
        <v>1935</v>
      </c>
      <c r="W128" s="30">
        <v>1935</v>
      </c>
      <c r="X128" s="30">
        <v>1973</v>
      </c>
      <c r="Y128" s="30">
        <v>2041</v>
      </c>
      <c r="Z128" s="30">
        <v>2073</v>
      </c>
      <c r="AA128" s="30">
        <v>1976</v>
      </c>
      <c r="AB128" s="30">
        <v>1944</v>
      </c>
      <c r="AC128" s="30">
        <v>1913</v>
      </c>
      <c r="AD128" s="30">
        <v>1981</v>
      </c>
      <c r="AE128" s="30">
        <v>2040</v>
      </c>
      <c r="AF128" s="30">
        <v>1903</v>
      </c>
      <c r="AG128" s="30">
        <v>1875</v>
      </c>
      <c r="AH128" s="30">
        <v>1863</v>
      </c>
      <c r="AI128" s="30">
        <v>1886</v>
      </c>
      <c r="AJ128" s="30">
        <v>2004</v>
      </c>
      <c r="AK128" s="30">
        <v>2037</v>
      </c>
      <c r="AL128" s="30">
        <v>2107</v>
      </c>
      <c r="AM128" s="30">
        <v>2091</v>
      </c>
      <c r="AN128" s="30">
        <v>1985</v>
      </c>
      <c r="AO128" s="30">
        <v>1987</v>
      </c>
      <c r="AP128" s="30">
        <v>1844</v>
      </c>
      <c r="AQ128" s="30">
        <v>1790</v>
      </c>
      <c r="AR128" s="30">
        <v>1878</v>
      </c>
      <c r="AS128" s="30">
        <v>1960</v>
      </c>
      <c r="AT128" s="30">
        <v>1940</v>
      </c>
      <c r="AU128" s="30">
        <v>1946</v>
      </c>
      <c r="AV128" s="30">
        <v>1864</v>
      </c>
      <c r="AW128" s="30">
        <v>1830</v>
      </c>
      <c r="AX128" s="30">
        <v>2009</v>
      </c>
      <c r="AY128" s="30">
        <v>2056</v>
      </c>
      <c r="AZ128" s="30">
        <v>2072</v>
      </c>
      <c r="BA128" s="30">
        <v>2127</v>
      </c>
      <c r="BB128" s="30">
        <v>2004</v>
      </c>
      <c r="BC128" s="30">
        <v>1990</v>
      </c>
      <c r="BD128" s="30">
        <v>1966</v>
      </c>
      <c r="BE128" s="30">
        <v>2064</v>
      </c>
      <c r="BF128" s="30">
        <v>2014</v>
      </c>
      <c r="BG128" s="30">
        <v>2020</v>
      </c>
      <c r="BH128" s="30">
        <v>2085</v>
      </c>
      <c r="BI128" s="30">
        <v>2133</v>
      </c>
      <c r="BJ128" s="30">
        <v>2158</v>
      </c>
      <c r="BK128" s="30">
        <v>2220</v>
      </c>
      <c r="BL128" s="30">
        <v>2237</v>
      </c>
      <c r="BM128" s="1">
        <v>2266</v>
      </c>
      <c r="BN128" s="1">
        <v>2254</v>
      </c>
      <c r="BO128" s="1">
        <v>2266</v>
      </c>
      <c r="BP128" s="1">
        <v>2300</v>
      </c>
      <c r="BQ128" s="1">
        <v>2270</v>
      </c>
      <c r="BR128" s="1">
        <v>2329</v>
      </c>
      <c r="BS128" s="1">
        <v>2348</v>
      </c>
      <c r="BT128" s="1">
        <v>2424</v>
      </c>
      <c r="BU128" s="1">
        <v>2533</v>
      </c>
      <c r="BV128" s="1">
        <v>2551</v>
      </c>
      <c r="BW128" s="1">
        <v>2455</v>
      </c>
      <c r="BX128" s="1">
        <v>2348</v>
      </c>
      <c r="BY128" s="1">
        <v>2281</v>
      </c>
      <c r="BZ128" s="1">
        <v>2161</v>
      </c>
    </row>
    <row r="129" spans="1:254" ht="15.9" customHeight="1">
      <c r="A129" s="65" t="s">
        <v>253</v>
      </c>
      <c r="B129" s="41" t="s">
        <v>254</v>
      </c>
      <c r="C129" s="45">
        <f>_xll.RssMarket("4082","安値")</f>
        <v>1884</v>
      </c>
      <c r="D129" s="16">
        <f t="shared" si="3"/>
        <v>0</v>
      </c>
      <c r="E129" s="30">
        <v>1884</v>
      </c>
      <c r="F129" s="30">
        <v>1853</v>
      </c>
      <c r="G129" s="30">
        <v>1794</v>
      </c>
      <c r="H129" s="30">
        <v>1714</v>
      </c>
      <c r="I129" s="30">
        <v>1717</v>
      </c>
      <c r="J129" s="30">
        <v>1668</v>
      </c>
      <c r="K129" s="30">
        <v>1648</v>
      </c>
      <c r="L129" s="30">
        <v>1760</v>
      </c>
      <c r="M129" s="30">
        <v>1826</v>
      </c>
      <c r="N129" s="30">
        <v>1787</v>
      </c>
      <c r="O129" s="30">
        <v>1819</v>
      </c>
      <c r="P129" s="30">
        <v>1819</v>
      </c>
      <c r="Q129" s="30">
        <v>1731</v>
      </c>
      <c r="R129" s="30">
        <v>1702</v>
      </c>
      <c r="S129" s="30">
        <v>1914</v>
      </c>
      <c r="T129" s="30">
        <v>1909</v>
      </c>
      <c r="U129" s="30">
        <v>1881</v>
      </c>
      <c r="V129" s="30">
        <v>1946</v>
      </c>
      <c r="W129" s="30">
        <v>1950</v>
      </c>
      <c r="X129" s="30">
        <v>1992</v>
      </c>
      <c r="Y129" s="30">
        <v>2000</v>
      </c>
      <c r="Z129" s="30">
        <v>2055</v>
      </c>
      <c r="AA129" s="30">
        <v>1993</v>
      </c>
      <c r="AB129" s="30">
        <v>2010</v>
      </c>
      <c r="AC129" s="30">
        <v>2001</v>
      </c>
      <c r="AD129" s="30">
        <v>2010</v>
      </c>
      <c r="AE129" s="30">
        <v>2032</v>
      </c>
      <c r="AF129" s="30">
        <v>2010</v>
      </c>
      <c r="AG129" s="30">
        <v>2025</v>
      </c>
      <c r="AH129" s="30">
        <v>1993</v>
      </c>
      <c r="AI129" s="30">
        <v>1993</v>
      </c>
      <c r="AJ129" s="30">
        <v>2050</v>
      </c>
      <c r="AK129" s="30">
        <v>2008</v>
      </c>
      <c r="AL129" s="30">
        <v>1996</v>
      </c>
      <c r="AM129" s="30">
        <v>1941</v>
      </c>
      <c r="AN129" s="30">
        <v>1919</v>
      </c>
      <c r="AO129" s="30">
        <v>1936</v>
      </c>
      <c r="AP129" s="30">
        <v>1839</v>
      </c>
      <c r="AQ129" s="30">
        <v>1765</v>
      </c>
      <c r="AR129" s="30">
        <v>1815</v>
      </c>
      <c r="AS129" s="30">
        <v>1928</v>
      </c>
      <c r="AT129" s="30">
        <v>2041</v>
      </c>
      <c r="AU129" s="30">
        <v>2089</v>
      </c>
      <c r="AV129" s="30">
        <v>2135</v>
      </c>
      <c r="AW129" s="30">
        <v>2087</v>
      </c>
      <c r="AX129" s="30">
        <v>2236</v>
      </c>
      <c r="AY129" s="30">
        <v>2150</v>
      </c>
      <c r="AZ129" s="30">
        <v>2153</v>
      </c>
      <c r="BA129" s="30">
        <v>2016</v>
      </c>
      <c r="BB129" s="30">
        <v>1975</v>
      </c>
      <c r="BC129" s="30">
        <v>1935</v>
      </c>
      <c r="BD129" s="30">
        <v>1927</v>
      </c>
      <c r="BE129" s="30">
        <v>2133</v>
      </c>
      <c r="BF129" s="30">
        <v>2105</v>
      </c>
      <c r="BG129" s="30">
        <v>2111</v>
      </c>
      <c r="BH129" s="30">
        <v>2480</v>
      </c>
      <c r="BI129" s="30">
        <v>2583</v>
      </c>
      <c r="BJ129" s="30">
        <v>2520</v>
      </c>
      <c r="BK129" s="30">
        <v>2484</v>
      </c>
      <c r="BL129" s="30">
        <v>2388</v>
      </c>
      <c r="BM129" s="1">
        <v>2338</v>
      </c>
      <c r="BN129" s="1">
        <v>2239</v>
      </c>
      <c r="BO129" s="1">
        <v>2285</v>
      </c>
      <c r="BP129" s="1">
        <v>2241</v>
      </c>
      <c r="BQ129" s="1">
        <v>2227</v>
      </c>
      <c r="BR129" s="1">
        <v>2290</v>
      </c>
      <c r="BS129" s="1">
        <v>2251</v>
      </c>
      <c r="BT129" s="1">
        <v>2305</v>
      </c>
      <c r="BU129" s="1">
        <v>2341</v>
      </c>
      <c r="BV129" s="1">
        <v>2314</v>
      </c>
      <c r="BW129" s="1">
        <v>2202</v>
      </c>
      <c r="BX129" s="1">
        <v>2140</v>
      </c>
      <c r="BY129" s="1">
        <v>2072</v>
      </c>
      <c r="BZ129" s="1">
        <v>2046</v>
      </c>
    </row>
    <row r="130" spans="1:254" ht="15.9" customHeight="1">
      <c r="A130" s="65" t="s">
        <v>255</v>
      </c>
      <c r="B130" s="41" t="s">
        <v>256</v>
      </c>
      <c r="C130" s="45">
        <f>_xll.RssMarket("4519","安値")</f>
        <v>6578</v>
      </c>
      <c r="D130" s="16">
        <f t="shared" si="3"/>
        <v>0</v>
      </c>
      <c r="E130" s="30">
        <v>6578</v>
      </c>
      <c r="F130" s="30">
        <v>6601</v>
      </c>
      <c r="G130" s="30">
        <v>6575</v>
      </c>
      <c r="H130" s="30">
        <v>6608</v>
      </c>
      <c r="I130" s="30">
        <v>6873</v>
      </c>
      <c r="J130" s="30">
        <v>6910</v>
      </c>
      <c r="K130" s="30">
        <v>6922</v>
      </c>
      <c r="L130" s="30">
        <v>6941</v>
      </c>
      <c r="M130" s="30">
        <v>6795</v>
      </c>
      <c r="N130" s="30"/>
      <c r="O130" s="30">
        <v>7163</v>
      </c>
      <c r="P130" s="30">
        <v>7303</v>
      </c>
      <c r="Q130" s="30">
        <v>7246</v>
      </c>
      <c r="R130" s="30">
        <v>7210</v>
      </c>
      <c r="S130" s="30">
        <v>7105</v>
      </c>
      <c r="T130" s="30">
        <v>7168</v>
      </c>
      <c r="U130" s="30">
        <v>7136</v>
      </c>
      <c r="V130" s="30">
        <v>7312</v>
      </c>
      <c r="W130" s="30">
        <v>7313</v>
      </c>
      <c r="X130" s="30">
        <v>7345</v>
      </c>
      <c r="Y130" s="30">
        <v>7545</v>
      </c>
      <c r="Z130" s="30">
        <v>7514</v>
      </c>
      <c r="AA130" s="30">
        <v>7641</v>
      </c>
      <c r="AB130" s="30">
        <v>7265</v>
      </c>
      <c r="AC130" s="30">
        <v>7249</v>
      </c>
      <c r="AD130" s="30">
        <v>7488</v>
      </c>
      <c r="AE130" s="30">
        <v>7441</v>
      </c>
      <c r="AF130" s="30">
        <v>7434</v>
      </c>
      <c r="AG130" s="30">
        <v>7463</v>
      </c>
      <c r="AH130" s="30">
        <v>7466</v>
      </c>
      <c r="AI130" s="30">
        <v>7434</v>
      </c>
      <c r="AJ130" s="30">
        <v>7442</v>
      </c>
      <c r="AK130" s="30">
        <v>7386</v>
      </c>
      <c r="AL130" s="30">
        <v>7480</v>
      </c>
      <c r="AM130" s="30">
        <v>7532</v>
      </c>
      <c r="AN130" s="30">
        <v>7442</v>
      </c>
      <c r="AO130" s="30">
        <v>7376</v>
      </c>
      <c r="AP130" s="30">
        <v>7390</v>
      </c>
      <c r="AQ130" s="30">
        <v>7270</v>
      </c>
      <c r="AR130" s="30">
        <v>7331</v>
      </c>
      <c r="AS130" s="30">
        <v>7430</v>
      </c>
      <c r="AT130" s="30">
        <v>7504</v>
      </c>
      <c r="AU130" s="30">
        <v>7357</v>
      </c>
      <c r="AV130" s="30">
        <v>7387</v>
      </c>
      <c r="AW130" s="30">
        <v>7488</v>
      </c>
      <c r="AX130" s="30">
        <v>7677</v>
      </c>
      <c r="AY130" s="30">
        <v>7726</v>
      </c>
      <c r="AZ130" s="30">
        <v>7625</v>
      </c>
      <c r="BA130" s="30">
        <v>8003</v>
      </c>
      <c r="BB130" s="30">
        <v>7795</v>
      </c>
      <c r="BC130" s="30">
        <v>7815</v>
      </c>
      <c r="BD130" s="30">
        <v>7864</v>
      </c>
      <c r="BE130" s="30">
        <v>7843</v>
      </c>
      <c r="BF130" s="30">
        <v>7787</v>
      </c>
      <c r="BG130" s="30">
        <v>7925</v>
      </c>
      <c r="BH130" s="30">
        <v>7777</v>
      </c>
      <c r="BI130" s="30">
        <v>7691</v>
      </c>
      <c r="BJ130" s="30">
        <v>7752</v>
      </c>
      <c r="BK130" s="30">
        <v>7740</v>
      </c>
      <c r="BL130" s="30">
        <v>7865</v>
      </c>
      <c r="BM130" s="1">
        <v>7727</v>
      </c>
      <c r="BN130" s="1">
        <v>8245</v>
      </c>
      <c r="BO130" s="1">
        <v>7833</v>
      </c>
      <c r="BP130" s="1">
        <v>7570</v>
      </c>
      <c r="BQ130" s="1">
        <v>7402</v>
      </c>
      <c r="BR130" s="1">
        <v>8702</v>
      </c>
      <c r="BS130" s="1">
        <v>8681</v>
      </c>
      <c r="BT130" s="1">
        <v>8663</v>
      </c>
      <c r="BU130" s="1">
        <v>8467</v>
      </c>
      <c r="BV130" s="1">
        <v>8580</v>
      </c>
      <c r="BW130" s="1">
        <v>8306</v>
      </c>
      <c r="BX130" s="1">
        <v>8583</v>
      </c>
      <c r="BY130" s="1">
        <v>8511</v>
      </c>
      <c r="BZ130" s="1">
        <v>8425</v>
      </c>
    </row>
    <row r="131" spans="1:254" ht="15.9" customHeight="1">
      <c r="A131" s="65" t="s">
        <v>257</v>
      </c>
      <c r="B131" s="41" t="s">
        <v>258</v>
      </c>
      <c r="C131" s="45">
        <f>_xll.RssMarket("2160","安値")</f>
        <v>2600</v>
      </c>
      <c r="D131" s="16">
        <f t="shared" si="3"/>
        <v>0</v>
      </c>
      <c r="E131" s="30">
        <v>2600</v>
      </c>
      <c r="F131" s="30">
        <v>2526</v>
      </c>
      <c r="G131" s="30">
        <v>2486</v>
      </c>
      <c r="H131" s="30">
        <v>2446</v>
      </c>
      <c r="I131" s="30">
        <v>2396</v>
      </c>
      <c r="J131" s="30">
        <v>2250</v>
      </c>
      <c r="K131" s="30">
        <v>2275</v>
      </c>
      <c r="L131" s="30">
        <v>2443</v>
      </c>
      <c r="M131" s="30">
        <v>2562</v>
      </c>
      <c r="N131" s="30">
        <v>2539</v>
      </c>
      <c r="O131" s="30">
        <v>2491</v>
      </c>
      <c r="P131" s="30">
        <v>2492</v>
      </c>
      <c r="Q131" s="30">
        <v>2435</v>
      </c>
      <c r="R131" s="30">
        <v>2396</v>
      </c>
      <c r="S131" s="30">
        <v>2542</v>
      </c>
      <c r="T131" s="30">
        <v>2562</v>
      </c>
      <c r="U131" s="30">
        <v>2550</v>
      </c>
      <c r="V131" s="30">
        <v>2569</v>
      </c>
      <c r="W131" s="30">
        <v>2566</v>
      </c>
      <c r="X131" s="30">
        <v>2598</v>
      </c>
      <c r="Y131" s="30">
        <v>2811</v>
      </c>
      <c r="Z131" s="30">
        <v>2812</v>
      </c>
      <c r="AA131" s="30">
        <v>2814</v>
      </c>
      <c r="AB131" s="30">
        <v>2800</v>
      </c>
      <c r="AC131" s="30">
        <v>2746</v>
      </c>
      <c r="AD131" s="30">
        <v>2741</v>
      </c>
      <c r="AE131" s="30">
        <v>2602</v>
      </c>
      <c r="AF131" s="30">
        <v>2492</v>
      </c>
      <c r="AG131" s="30">
        <v>2509</v>
      </c>
      <c r="AH131" s="30">
        <v>2495</v>
      </c>
      <c r="AI131" s="30">
        <v>2454</v>
      </c>
      <c r="AJ131" s="30">
        <v>2464</v>
      </c>
      <c r="AK131" s="30">
        <v>2481</v>
      </c>
      <c r="AL131" s="30">
        <v>2557</v>
      </c>
      <c r="AM131" s="30">
        <v>2500</v>
      </c>
      <c r="AN131" s="30">
        <v>2428</v>
      </c>
      <c r="AO131" s="30">
        <v>2463</v>
      </c>
      <c r="AP131" s="30">
        <v>2482</v>
      </c>
      <c r="AQ131" s="30">
        <v>2589</v>
      </c>
      <c r="AR131" s="30">
        <v>2661</v>
      </c>
      <c r="AS131" s="30">
        <v>2763</v>
      </c>
      <c r="AT131" s="30">
        <v>2779</v>
      </c>
      <c r="AU131" s="30">
        <v>2600</v>
      </c>
      <c r="AV131" s="30">
        <v>2477</v>
      </c>
      <c r="AW131" s="30">
        <v>2501</v>
      </c>
      <c r="AX131" s="30">
        <v>2533</v>
      </c>
      <c r="AY131" s="30">
        <v>2495</v>
      </c>
      <c r="AZ131" s="30">
        <v>2631</v>
      </c>
      <c r="BA131" s="30">
        <v>2784</v>
      </c>
      <c r="BB131" s="30">
        <v>2813</v>
      </c>
      <c r="BC131" s="30">
        <v>2779</v>
      </c>
      <c r="BD131" s="30">
        <v>2706</v>
      </c>
      <c r="BE131" s="30">
        <v>2673</v>
      </c>
      <c r="BF131" s="30">
        <v>2668</v>
      </c>
      <c r="BG131" s="30">
        <v>2905</v>
      </c>
      <c r="BH131" s="30">
        <v>3005</v>
      </c>
      <c r="BI131" s="30">
        <v>3105</v>
      </c>
      <c r="BJ131" s="30">
        <v>2953</v>
      </c>
      <c r="BK131" s="30">
        <v>2955</v>
      </c>
      <c r="BL131" s="30">
        <v>2962</v>
      </c>
      <c r="BM131" s="1">
        <v>3055</v>
      </c>
      <c r="BN131" s="1">
        <v>2952</v>
      </c>
      <c r="BO131" s="1">
        <v>2920</v>
      </c>
      <c r="BP131" s="1">
        <v>3100</v>
      </c>
      <c r="BQ131" s="1">
        <v>3090</v>
      </c>
      <c r="BR131" s="1">
        <v>3060</v>
      </c>
      <c r="BS131" s="1">
        <v>3110</v>
      </c>
      <c r="BT131" s="1">
        <v>3260</v>
      </c>
      <c r="BU131" s="1">
        <v>3380</v>
      </c>
      <c r="BV131" s="1">
        <v>3355</v>
      </c>
      <c r="BW131" s="1">
        <v>3290</v>
      </c>
      <c r="BX131" s="1">
        <v>3340</v>
      </c>
      <c r="BY131" s="1">
        <v>3220</v>
      </c>
      <c r="BZ131" s="1">
        <v>3175</v>
      </c>
    </row>
    <row r="132" spans="1:254" ht="15.9" customHeight="1">
      <c r="A132" s="65" t="s">
        <v>259</v>
      </c>
      <c r="B132" s="41" t="s">
        <v>260</v>
      </c>
      <c r="C132" s="45">
        <f>_xll.RssMarket("6227","安値")</f>
        <v>6950</v>
      </c>
      <c r="D132" s="16">
        <f t="shared" si="3"/>
        <v>0</v>
      </c>
      <c r="E132" s="30">
        <v>6950</v>
      </c>
      <c r="F132" s="30">
        <v>7080</v>
      </c>
      <c r="G132" s="30">
        <v>6310</v>
      </c>
      <c r="H132" s="30">
        <v>6310</v>
      </c>
      <c r="I132" s="30">
        <v>6220</v>
      </c>
      <c r="J132" s="30">
        <v>5490</v>
      </c>
      <c r="K132" s="30">
        <v>5440</v>
      </c>
      <c r="L132" s="30">
        <v>5920</v>
      </c>
      <c r="M132" s="30">
        <v>6620</v>
      </c>
      <c r="N132" s="30"/>
      <c r="O132" s="30">
        <v>6830</v>
      </c>
      <c r="P132" s="30">
        <v>6470</v>
      </c>
      <c r="Q132" s="30">
        <v>6520</v>
      </c>
      <c r="R132" s="30">
        <v>6510</v>
      </c>
      <c r="S132" s="30">
        <v>7370</v>
      </c>
      <c r="T132" s="30">
        <v>7100</v>
      </c>
      <c r="U132" s="30">
        <v>6800</v>
      </c>
      <c r="V132" s="30">
        <v>6790</v>
      </c>
      <c r="W132" s="30">
        <v>5650</v>
      </c>
      <c r="X132" s="30">
        <v>5580</v>
      </c>
      <c r="Y132" s="30">
        <v>5930</v>
      </c>
      <c r="Z132" s="30">
        <v>6260</v>
      </c>
      <c r="AA132" s="30">
        <v>6630</v>
      </c>
      <c r="AB132" s="30">
        <v>6620</v>
      </c>
      <c r="AC132" s="30">
        <v>7050</v>
      </c>
      <c r="AD132" s="30">
        <v>6580</v>
      </c>
      <c r="AE132" s="30">
        <v>6260</v>
      </c>
      <c r="AF132" s="30">
        <v>6330</v>
      </c>
      <c r="AG132" s="30">
        <v>7370</v>
      </c>
      <c r="AH132" s="30">
        <v>6850</v>
      </c>
      <c r="AI132" s="30">
        <v>7230</v>
      </c>
      <c r="AJ132" s="30">
        <v>7090</v>
      </c>
      <c r="AK132" s="30">
        <v>6880</v>
      </c>
      <c r="AL132" s="30">
        <v>7210</v>
      </c>
      <c r="AM132" s="30">
        <v>7920</v>
      </c>
      <c r="AN132" s="30">
        <v>7730</v>
      </c>
      <c r="AO132" s="30">
        <v>8030</v>
      </c>
      <c r="AP132" s="30">
        <v>6700</v>
      </c>
      <c r="AQ132" s="30">
        <v>6400</v>
      </c>
      <c r="AR132" s="30">
        <v>6820</v>
      </c>
      <c r="AS132" s="30">
        <v>6440</v>
      </c>
      <c r="AT132" s="30">
        <v>6200</v>
      </c>
      <c r="AU132" s="30">
        <v>5820</v>
      </c>
      <c r="AV132" s="30">
        <v>5930</v>
      </c>
      <c r="AW132" s="30">
        <v>5660</v>
      </c>
      <c r="AX132" s="30">
        <v>5380</v>
      </c>
      <c r="AY132" s="30">
        <v>5240</v>
      </c>
      <c r="AZ132" s="30">
        <v>5470</v>
      </c>
      <c r="BA132" s="30">
        <v>5800</v>
      </c>
      <c r="BB132" s="30">
        <v>5560</v>
      </c>
      <c r="BC132" s="30">
        <v>6060</v>
      </c>
      <c r="BD132" s="30">
        <v>6350</v>
      </c>
      <c r="BE132" s="30">
        <v>6510</v>
      </c>
      <c r="BF132" s="30">
        <v>6560</v>
      </c>
      <c r="BG132" s="30">
        <v>6120</v>
      </c>
      <c r="BH132" s="30">
        <v>6560</v>
      </c>
      <c r="BI132" s="30">
        <v>6410</v>
      </c>
      <c r="BJ132" s="30">
        <v>6440</v>
      </c>
      <c r="BK132" s="30">
        <v>6320</v>
      </c>
      <c r="BL132" s="30">
        <v>6490</v>
      </c>
      <c r="BM132" s="1">
        <v>6440</v>
      </c>
      <c r="BN132" s="1">
        <v>6080</v>
      </c>
      <c r="BO132" s="1">
        <v>6040</v>
      </c>
      <c r="BP132" s="1">
        <v>6100</v>
      </c>
      <c r="BQ132" s="1">
        <v>6240</v>
      </c>
      <c r="BR132" s="1">
        <v>6420</v>
      </c>
      <c r="BS132" s="1">
        <v>6160</v>
      </c>
      <c r="BT132" s="1">
        <v>6630</v>
      </c>
      <c r="BU132" s="1">
        <v>6870</v>
      </c>
      <c r="BV132" s="1">
        <v>7470</v>
      </c>
      <c r="BW132" s="1">
        <v>7800</v>
      </c>
      <c r="BX132" s="1">
        <v>8020</v>
      </c>
      <c r="BY132" s="1">
        <v>7750</v>
      </c>
      <c r="BZ132" s="1">
        <v>6960</v>
      </c>
    </row>
    <row r="133" spans="1:254" ht="15.9" customHeight="1">
      <c r="A133" s="65" t="s">
        <v>261</v>
      </c>
      <c r="B133" s="41" t="s">
        <v>262</v>
      </c>
      <c r="C133" s="45">
        <f>_xll.RssMarket("6327","安値")</f>
        <v>3145</v>
      </c>
      <c r="D133" s="16">
        <f t="shared" si="3"/>
        <v>0</v>
      </c>
      <c r="E133" s="30">
        <v>3145</v>
      </c>
      <c r="F133" s="30">
        <v>3215</v>
      </c>
      <c r="G133" s="30">
        <v>2836</v>
      </c>
      <c r="H133" s="30">
        <v>2660</v>
      </c>
      <c r="I133" s="30">
        <v>2791</v>
      </c>
      <c r="J133" s="30">
        <v>2615</v>
      </c>
      <c r="K133" s="30">
        <v>2615</v>
      </c>
      <c r="L133" s="30">
        <v>2941</v>
      </c>
      <c r="M133" s="30">
        <v>3540</v>
      </c>
      <c r="N133" s="30"/>
      <c r="O133" s="30">
        <v>3965</v>
      </c>
      <c r="P133" s="30">
        <v>4030</v>
      </c>
      <c r="Q133" s="30">
        <v>3650</v>
      </c>
      <c r="R133" s="30">
        <v>3870</v>
      </c>
      <c r="S133" s="30">
        <v>5120</v>
      </c>
      <c r="T133" s="30">
        <v>4840</v>
      </c>
      <c r="U133" s="30">
        <v>5180</v>
      </c>
      <c r="V133" s="30">
        <v>5330</v>
      </c>
      <c r="W133" s="30">
        <v>4815</v>
      </c>
      <c r="X133" s="30">
        <v>5060</v>
      </c>
      <c r="Y133" s="30">
        <v>5760</v>
      </c>
      <c r="Z133" s="30">
        <v>6740</v>
      </c>
      <c r="AA133" s="30">
        <v>6520</v>
      </c>
      <c r="AB133" s="30">
        <v>7600</v>
      </c>
      <c r="AC133" s="30">
        <v>8070</v>
      </c>
      <c r="AD133" s="30">
        <v>6900</v>
      </c>
      <c r="AE133" s="30">
        <v>5910</v>
      </c>
      <c r="AF133" s="30">
        <v>6250</v>
      </c>
      <c r="AG133" s="30">
        <v>5440</v>
      </c>
      <c r="AH133" s="30">
        <v>5400</v>
      </c>
      <c r="AI133" s="30">
        <v>5500</v>
      </c>
      <c r="AJ133" s="30">
        <v>5360</v>
      </c>
      <c r="AK133" s="30">
        <v>5150</v>
      </c>
      <c r="AL133" s="30">
        <v>5260</v>
      </c>
      <c r="AM133" s="30">
        <v>4450</v>
      </c>
      <c r="AN133" s="30">
        <v>3920</v>
      </c>
      <c r="AO133" s="30">
        <v>3195</v>
      </c>
      <c r="AP133" s="30">
        <v>2990</v>
      </c>
      <c r="AQ133" s="30">
        <v>2863</v>
      </c>
      <c r="AR133" s="30">
        <v>3015</v>
      </c>
      <c r="AS133" s="30">
        <v>3305</v>
      </c>
      <c r="AT133" s="30">
        <v>3455</v>
      </c>
      <c r="AU133" s="30">
        <v>3820</v>
      </c>
      <c r="AV133" s="30">
        <v>4470</v>
      </c>
      <c r="AW133" s="30">
        <v>4385</v>
      </c>
      <c r="AX133" s="30">
        <v>4615</v>
      </c>
      <c r="AY133" s="30">
        <v>3675</v>
      </c>
      <c r="AZ133" s="30">
        <v>3520</v>
      </c>
      <c r="BA133" s="30">
        <v>2920</v>
      </c>
      <c r="BB133" s="30">
        <v>2396</v>
      </c>
      <c r="BC133" s="30">
        <v>2260</v>
      </c>
      <c r="BD133" s="30">
        <v>2240</v>
      </c>
      <c r="BE133" s="30">
        <v>2363</v>
      </c>
      <c r="BF133" s="30">
        <v>2452</v>
      </c>
      <c r="BG133" s="30">
        <v>2510</v>
      </c>
      <c r="BH133" s="30">
        <v>2441</v>
      </c>
      <c r="BI133" s="30">
        <v>2597</v>
      </c>
      <c r="BJ133" s="30">
        <v>2855</v>
      </c>
      <c r="BK133" s="30">
        <v>3260</v>
      </c>
      <c r="BL133" s="30">
        <v>3080</v>
      </c>
      <c r="BM133" s="1">
        <v>2887</v>
      </c>
      <c r="BN133" s="1">
        <v>2716</v>
      </c>
      <c r="BO133" s="1">
        <v>2585</v>
      </c>
      <c r="BP133" s="1">
        <v>2169</v>
      </c>
      <c r="BQ133" s="1">
        <v>2048</v>
      </c>
      <c r="BR133" s="1">
        <v>2043</v>
      </c>
      <c r="BS133" s="1">
        <v>2040</v>
      </c>
      <c r="BT133" s="1">
        <v>2124</v>
      </c>
      <c r="BU133" s="1">
        <v>1998</v>
      </c>
      <c r="BV133" s="1">
        <v>1996</v>
      </c>
      <c r="BW133" s="1">
        <v>2020</v>
      </c>
      <c r="BX133" s="1">
        <v>2011</v>
      </c>
      <c r="BY133" s="1">
        <v>1995</v>
      </c>
      <c r="BZ133" s="1">
        <v>1965</v>
      </c>
    </row>
    <row r="134" spans="1:254" ht="15.9" customHeight="1">
      <c r="A134" s="65" t="s">
        <v>263</v>
      </c>
      <c r="B134" s="41" t="s">
        <v>264</v>
      </c>
      <c r="C134" s="45">
        <f>_xll.RssMarket("3110","安値")</f>
        <v>2873</v>
      </c>
      <c r="D134" s="16">
        <f t="shared" ref="D134:D141" si="4">C134-E134</f>
        <v>0</v>
      </c>
      <c r="E134" s="30">
        <v>2873</v>
      </c>
      <c r="F134" s="30">
        <v>3350</v>
      </c>
      <c r="G134" s="30"/>
      <c r="H134" s="30"/>
      <c r="I134" s="30"/>
      <c r="J134" s="30"/>
      <c r="K134" s="30"/>
      <c r="L134" s="3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c r="AJ134" s="30"/>
      <c r="AK134" s="30"/>
      <c r="AL134" s="30"/>
      <c r="AM134" s="30"/>
      <c r="AN134" s="30"/>
      <c r="AO134" s="30"/>
      <c r="AP134" s="30"/>
      <c r="AQ134" s="30"/>
      <c r="AR134" s="30"/>
      <c r="AS134" s="30"/>
      <c r="AT134" s="30"/>
      <c r="AU134" s="30"/>
      <c r="AV134" s="30"/>
      <c r="AW134" s="30"/>
      <c r="AX134" s="30"/>
      <c r="AY134" s="30"/>
      <c r="AZ134" s="30"/>
      <c r="BA134" s="30"/>
      <c r="BB134" s="30"/>
      <c r="BC134" s="30"/>
      <c r="BD134" s="30"/>
      <c r="BE134" s="30"/>
      <c r="BF134" s="30"/>
      <c r="BG134" s="30"/>
      <c r="BH134" s="30"/>
      <c r="BI134" s="30"/>
      <c r="BJ134" s="30"/>
      <c r="BK134" s="30"/>
      <c r="BL134" s="30"/>
    </row>
    <row r="135" spans="1:254" ht="15.9" customHeight="1">
      <c r="A135" s="65" t="s">
        <v>265</v>
      </c>
      <c r="B135" s="41" t="s">
        <v>266</v>
      </c>
      <c r="C135" s="45">
        <f>_xll.RssMarket("6232","安値")</f>
        <v>1730</v>
      </c>
      <c r="D135" s="16">
        <f t="shared" si="4"/>
        <v>0</v>
      </c>
      <c r="E135" s="30">
        <v>1730</v>
      </c>
      <c r="F135" s="30">
        <v>1731</v>
      </c>
      <c r="G135" s="30">
        <v>2836</v>
      </c>
      <c r="H135" s="30">
        <v>2660</v>
      </c>
      <c r="I135" s="30">
        <v>2791</v>
      </c>
      <c r="J135" s="30">
        <v>2615</v>
      </c>
      <c r="K135" s="30">
        <v>2615</v>
      </c>
      <c r="L135" s="30">
        <v>2941</v>
      </c>
      <c r="M135" s="30">
        <v>3540</v>
      </c>
      <c r="N135" s="30">
        <v>1734</v>
      </c>
      <c r="O135" s="30">
        <v>3965</v>
      </c>
      <c r="P135" s="30">
        <v>4030</v>
      </c>
      <c r="Q135" s="30">
        <v>3650</v>
      </c>
      <c r="R135" s="30">
        <v>3870</v>
      </c>
      <c r="S135" s="30">
        <v>5120</v>
      </c>
      <c r="T135" s="30">
        <v>4840</v>
      </c>
      <c r="U135" s="30">
        <v>5180</v>
      </c>
      <c r="V135" s="30">
        <v>5330</v>
      </c>
      <c r="W135" s="30">
        <v>4815</v>
      </c>
      <c r="X135" s="30">
        <v>5060</v>
      </c>
      <c r="Y135" s="30">
        <v>5760</v>
      </c>
      <c r="Z135" s="30">
        <v>6740</v>
      </c>
      <c r="AA135" s="30">
        <v>6520</v>
      </c>
      <c r="AB135" s="30">
        <v>7600</v>
      </c>
      <c r="AC135" s="30">
        <v>8070</v>
      </c>
      <c r="AD135" s="30">
        <v>6900</v>
      </c>
      <c r="AE135" s="30">
        <v>5910</v>
      </c>
      <c r="AF135" s="30">
        <v>6250</v>
      </c>
      <c r="AG135" s="30">
        <v>5440</v>
      </c>
      <c r="AH135" s="30">
        <v>5400</v>
      </c>
      <c r="AI135" s="30">
        <v>5500</v>
      </c>
      <c r="AJ135" s="30">
        <v>5360</v>
      </c>
      <c r="AK135" s="30">
        <v>5150</v>
      </c>
      <c r="AL135" s="30">
        <v>5260</v>
      </c>
      <c r="AM135" s="30">
        <v>4450</v>
      </c>
      <c r="AN135" s="30">
        <v>3920</v>
      </c>
      <c r="AO135" s="30">
        <v>3195</v>
      </c>
      <c r="AP135" s="30">
        <v>2990</v>
      </c>
      <c r="AQ135" s="30">
        <v>2863</v>
      </c>
      <c r="AR135" s="30">
        <v>3015</v>
      </c>
      <c r="AS135" s="30">
        <v>3305</v>
      </c>
      <c r="AT135" s="30">
        <v>3455</v>
      </c>
      <c r="AU135" s="30">
        <v>3820</v>
      </c>
      <c r="AV135" s="30">
        <v>4470</v>
      </c>
      <c r="AW135" s="30">
        <v>4385</v>
      </c>
      <c r="AX135" s="30">
        <v>4615</v>
      </c>
      <c r="AY135" s="30">
        <v>3675</v>
      </c>
      <c r="AZ135" s="30">
        <v>3520</v>
      </c>
      <c r="BA135" s="30">
        <v>2920</v>
      </c>
      <c r="BB135" s="30">
        <v>2396</v>
      </c>
      <c r="BC135" s="30">
        <v>2260</v>
      </c>
      <c r="BD135" s="30">
        <v>2240</v>
      </c>
      <c r="BE135" s="30">
        <v>2363</v>
      </c>
      <c r="BF135" s="30">
        <v>2452</v>
      </c>
      <c r="BG135" s="30">
        <v>2510</v>
      </c>
      <c r="BH135" s="30">
        <v>2441</v>
      </c>
      <c r="BI135" s="30">
        <v>2597</v>
      </c>
      <c r="BJ135" s="30">
        <v>2855</v>
      </c>
      <c r="BK135" s="30">
        <v>3260</v>
      </c>
      <c r="BL135" s="30">
        <v>3080</v>
      </c>
      <c r="BM135" s="1">
        <v>2887</v>
      </c>
      <c r="BN135" s="1">
        <v>2716</v>
      </c>
      <c r="BO135" s="1">
        <v>2585</v>
      </c>
      <c r="BP135" s="1">
        <v>2169</v>
      </c>
      <c r="BQ135" s="1">
        <v>2048</v>
      </c>
      <c r="BR135" s="1">
        <v>2043</v>
      </c>
      <c r="BS135" s="1">
        <v>2040</v>
      </c>
      <c r="BT135" s="1">
        <v>2124</v>
      </c>
      <c r="BU135" s="1">
        <v>1998</v>
      </c>
      <c r="BV135" s="1">
        <v>1996</v>
      </c>
      <c r="BW135" s="1">
        <v>2020</v>
      </c>
      <c r="BX135" s="1">
        <v>2011</v>
      </c>
      <c r="BY135" s="1">
        <v>1995</v>
      </c>
      <c r="BZ135" s="1">
        <v>1965</v>
      </c>
    </row>
    <row r="136" spans="1:254" ht="15.9" customHeight="1">
      <c r="A136" s="65" t="s">
        <v>267</v>
      </c>
      <c r="B136" s="41" t="s">
        <v>268</v>
      </c>
      <c r="C136" s="45">
        <f>_xll.RssMarket("7794","安値")</f>
        <v>870</v>
      </c>
      <c r="D136" s="16">
        <f t="shared" si="4"/>
        <v>0</v>
      </c>
      <c r="E136" s="30">
        <v>870</v>
      </c>
      <c r="F136" s="30">
        <v>871</v>
      </c>
      <c r="G136" s="30">
        <v>849</v>
      </c>
      <c r="H136" s="30">
        <v>820</v>
      </c>
      <c r="I136" s="30">
        <v>820</v>
      </c>
      <c r="J136" s="30">
        <v>812</v>
      </c>
      <c r="K136" s="30">
        <v>827</v>
      </c>
      <c r="L136" s="30">
        <v>885</v>
      </c>
      <c r="M136" s="30">
        <v>898</v>
      </c>
      <c r="N136" s="30"/>
      <c r="O136" s="30">
        <v>935</v>
      </c>
      <c r="P136" s="30">
        <v>919</v>
      </c>
      <c r="Q136" s="30">
        <v>897</v>
      </c>
      <c r="R136" s="30">
        <v>884</v>
      </c>
      <c r="S136" s="30">
        <v>1003</v>
      </c>
      <c r="T136" s="30">
        <v>1007</v>
      </c>
      <c r="U136" s="30">
        <v>1032</v>
      </c>
      <c r="V136" s="30">
        <v>1051</v>
      </c>
      <c r="W136" s="30">
        <v>1054</v>
      </c>
      <c r="X136" s="30">
        <v>1072</v>
      </c>
      <c r="Y136" s="30">
        <v>1094</v>
      </c>
      <c r="Z136" s="30">
        <v>1158</v>
      </c>
      <c r="AA136" s="30">
        <v>1184</v>
      </c>
      <c r="AB136" s="30">
        <v>1189</v>
      </c>
      <c r="AC136" s="30">
        <v>1186</v>
      </c>
      <c r="AD136" s="30">
        <v>1125</v>
      </c>
      <c r="AE136" s="30">
        <v>1060</v>
      </c>
      <c r="AF136" s="30">
        <v>1015</v>
      </c>
      <c r="AG136" s="30">
        <v>1033</v>
      </c>
      <c r="AH136" s="30">
        <v>1043</v>
      </c>
      <c r="AI136" s="30">
        <v>1102</v>
      </c>
      <c r="AJ136" s="30">
        <v>1105</v>
      </c>
      <c r="AK136" s="30">
        <v>1068</v>
      </c>
      <c r="AL136" s="30">
        <v>1060</v>
      </c>
      <c r="AM136" s="30">
        <v>1062</v>
      </c>
      <c r="AN136" s="30">
        <v>1050</v>
      </c>
      <c r="AO136" s="30">
        <v>1073</v>
      </c>
      <c r="AP136" s="30">
        <v>1070</v>
      </c>
      <c r="AQ136" s="30">
        <v>1048</v>
      </c>
      <c r="AR136" s="30">
        <v>1077</v>
      </c>
      <c r="AS136" s="30">
        <v>1040</v>
      </c>
      <c r="AT136" s="30">
        <v>1005</v>
      </c>
      <c r="AU136" s="30">
        <v>976</v>
      </c>
      <c r="AV136" s="30">
        <v>1070</v>
      </c>
      <c r="AW136" s="30">
        <v>1073</v>
      </c>
      <c r="AX136" s="30">
        <v>1120</v>
      </c>
      <c r="AY136" s="30">
        <v>1261</v>
      </c>
      <c r="AZ136" s="30">
        <v>1088</v>
      </c>
      <c r="BA136" s="30">
        <v>1133</v>
      </c>
      <c r="BB136" s="30">
        <v>1081</v>
      </c>
      <c r="BC136" s="30">
        <v>1050</v>
      </c>
      <c r="BD136" s="30">
        <v>1062</v>
      </c>
      <c r="BE136" s="30">
        <v>1108</v>
      </c>
      <c r="BF136" s="30">
        <v>1085</v>
      </c>
      <c r="BG136" s="30">
        <v>1095</v>
      </c>
      <c r="BH136" s="30">
        <v>1116</v>
      </c>
      <c r="BI136" s="30">
        <v>1310</v>
      </c>
      <c r="BJ136" s="30">
        <v>1318</v>
      </c>
      <c r="BK136" s="30">
        <v>1400</v>
      </c>
      <c r="BL136" s="30">
        <v>1302</v>
      </c>
      <c r="BM136" s="1">
        <v>1280</v>
      </c>
      <c r="BN136" s="1">
        <v>1282</v>
      </c>
      <c r="BO136" s="1">
        <v>1307</v>
      </c>
      <c r="BP136" s="1">
        <v>1302</v>
      </c>
      <c r="BQ136" s="1">
        <v>1325</v>
      </c>
      <c r="BR136" s="1">
        <v>1391</v>
      </c>
      <c r="BS136" s="1">
        <v>1411</v>
      </c>
      <c r="BT136" s="1">
        <v>1458</v>
      </c>
      <c r="BU136" s="1">
        <v>1450</v>
      </c>
      <c r="BV136" s="1">
        <v>1504</v>
      </c>
      <c r="BW136" s="1">
        <v>1215</v>
      </c>
      <c r="BX136" s="1">
        <v>1183</v>
      </c>
      <c r="BY136" s="1">
        <v>1166</v>
      </c>
      <c r="BZ136" s="1">
        <v>1181</v>
      </c>
    </row>
    <row r="137" spans="1:254" ht="15.9" customHeight="1">
      <c r="A137" s="65" t="s">
        <v>269</v>
      </c>
      <c r="B137" s="41" t="s">
        <v>270</v>
      </c>
      <c r="C137" s="45">
        <f>_xll.RssMarket("6085","安値")</f>
        <v>75</v>
      </c>
      <c r="D137" s="16">
        <f t="shared" si="4"/>
        <v>0</v>
      </c>
      <c r="E137" s="30">
        <v>75</v>
      </c>
      <c r="F137" s="30">
        <v>74</v>
      </c>
      <c r="G137" s="30">
        <v>69</v>
      </c>
      <c r="H137" s="30">
        <v>68</v>
      </c>
      <c r="I137" s="30">
        <v>85</v>
      </c>
      <c r="J137" s="30">
        <v>84</v>
      </c>
      <c r="K137" s="30">
        <v>84</v>
      </c>
      <c r="L137" s="30">
        <v>97</v>
      </c>
      <c r="M137" s="30">
        <v>106</v>
      </c>
      <c r="N137" s="30"/>
      <c r="O137" s="30">
        <v>110</v>
      </c>
      <c r="P137" s="30">
        <v>126</v>
      </c>
      <c r="Q137" s="30">
        <v>166</v>
      </c>
      <c r="R137" s="30">
        <v>151</v>
      </c>
      <c r="S137" s="30">
        <v>198</v>
      </c>
      <c r="T137" s="30">
        <v>203</v>
      </c>
      <c r="U137" s="30">
        <v>199</v>
      </c>
      <c r="V137" s="30">
        <v>218</v>
      </c>
      <c r="W137" s="30">
        <v>212</v>
      </c>
      <c r="X137" s="30">
        <v>226</v>
      </c>
      <c r="Y137" s="30">
        <v>250</v>
      </c>
      <c r="Z137" s="30">
        <v>233</v>
      </c>
      <c r="AA137" s="30">
        <v>205</v>
      </c>
      <c r="AB137" s="30">
        <v>237</v>
      </c>
      <c r="AC137" s="30">
        <v>237</v>
      </c>
      <c r="AD137" s="30">
        <v>265</v>
      </c>
      <c r="AE137" s="30">
        <v>270</v>
      </c>
      <c r="AF137" s="30">
        <v>291</v>
      </c>
      <c r="AG137" s="30">
        <v>291</v>
      </c>
      <c r="AH137" s="30">
        <v>298</v>
      </c>
      <c r="AI137" s="30">
        <v>300</v>
      </c>
      <c r="AJ137" s="30">
        <v>324</v>
      </c>
      <c r="AK137" s="30">
        <v>312</v>
      </c>
      <c r="AL137" s="30">
        <v>321</v>
      </c>
      <c r="AM137" s="30">
        <v>308</v>
      </c>
      <c r="AN137" s="30">
        <v>301</v>
      </c>
      <c r="AO137" s="30">
        <v>301</v>
      </c>
      <c r="AP137" s="30">
        <v>324</v>
      </c>
      <c r="AQ137" s="30">
        <v>383</v>
      </c>
      <c r="AR137" s="30">
        <v>370</v>
      </c>
      <c r="AS137" s="30">
        <v>293</v>
      </c>
      <c r="AT137" s="30">
        <v>266</v>
      </c>
      <c r="AU137" s="30">
        <v>228</v>
      </c>
      <c r="AV137" s="30">
        <v>224</v>
      </c>
      <c r="AW137" s="30">
        <v>281</v>
      </c>
      <c r="AX137" s="30">
        <v>303</v>
      </c>
      <c r="AY137" s="30">
        <v>343</v>
      </c>
      <c r="AZ137" s="30">
        <v>423</v>
      </c>
      <c r="BA137" s="30">
        <v>503</v>
      </c>
      <c r="BB137" s="30">
        <v>445</v>
      </c>
      <c r="BC137" s="30">
        <v>412</v>
      </c>
      <c r="BD137" s="30">
        <v>405</v>
      </c>
      <c r="BE137" s="30">
        <v>463</v>
      </c>
      <c r="BF137" s="30">
        <v>520</v>
      </c>
      <c r="BG137" s="30">
        <v>493</v>
      </c>
      <c r="BH137" s="30">
        <v>498</v>
      </c>
      <c r="BI137" s="30">
        <v>471</v>
      </c>
      <c r="BJ137" s="30">
        <v>540</v>
      </c>
      <c r="BK137" s="30">
        <v>521</v>
      </c>
      <c r="BL137" s="30">
        <v>550</v>
      </c>
      <c r="BM137" s="1">
        <v>536</v>
      </c>
      <c r="BN137" s="1">
        <v>515</v>
      </c>
      <c r="BO137" s="1">
        <v>554</v>
      </c>
      <c r="BP137" s="1">
        <v>551</v>
      </c>
      <c r="BQ137" s="1">
        <v>510</v>
      </c>
      <c r="BR137" s="1">
        <v>460</v>
      </c>
      <c r="BS137" s="1">
        <v>415</v>
      </c>
      <c r="BT137" s="1">
        <v>393</v>
      </c>
      <c r="BU137" s="1">
        <v>370</v>
      </c>
      <c r="BV137" s="1">
        <v>364</v>
      </c>
      <c r="BW137" s="1">
        <v>340</v>
      </c>
      <c r="BX137" s="1">
        <v>296.5</v>
      </c>
      <c r="BY137" s="1">
        <v>277.5</v>
      </c>
      <c r="BZ137" s="1">
        <v>285.3</v>
      </c>
    </row>
    <row r="138" spans="1:254" ht="15.9" customHeight="1">
      <c r="A138" s="65" t="s">
        <v>271</v>
      </c>
      <c r="B138" s="41" t="s">
        <v>272</v>
      </c>
      <c r="C138" s="45">
        <f>_xll.RssMarket("3103","安値")</f>
        <v>909</v>
      </c>
      <c r="D138" s="16">
        <f t="shared" si="4"/>
        <v>0</v>
      </c>
      <c r="E138" s="30">
        <v>909</v>
      </c>
      <c r="F138" s="30">
        <v>914</v>
      </c>
      <c r="G138" s="30">
        <v>862</v>
      </c>
      <c r="H138" s="30">
        <v>804</v>
      </c>
      <c r="I138" s="30">
        <v>810</v>
      </c>
      <c r="J138" s="30">
        <v>741</v>
      </c>
      <c r="K138" s="30">
        <v>744</v>
      </c>
      <c r="L138" s="30">
        <v>816</v>
      </c>
      <c r="M138" s="30">
        <v>826</v>
      </c>
      <c r="N138" s="30">
        <v>818</v>
      </c>
      <c r="O138" s="30">
        <v>887</v>
      </c>
      <c r="P138" s="30">
        <v>888</v>
      </c>
      <c r="Q138" s="30">
        <v>832</v>
      </c>
      <c r="R138" s="30">
        <v>834</v>
      </c>
      <c r="S138" s="30">
        <v>902</v>
      </c>
      <c r="T138" s="30">
        <v>853</v>
      </c>
      <c r="U138" s="30">
        <v>873</v>
      </c>
      <c r="V138" s="30">
        <v>932</v>
      </c>
      <c r="W138" s="30">
        <v>909</v>
      </c>
      <c r="X138" s="30">
        <v>930</v>
      </c>
      <c r="Y138" s="30">
        <v>977</v>
      </c>
      <c r="Z138" s="30">
        <v>1002</v>
      </c>
      <c r="AA138" s="30">
        <v>965</v>
      </c>
      <c r="AB138" s="30">
        <v>980</v>
      </c>
      <c r="AC138" s="30">
        <v>967</v>
      </c>
      <c r="AD138" s="30">
        <v>1007</v>
      </c>
      <c r="AE138" s="30">
        <v>1001</v>
      </c>
      <c r="AF138" s="30">
        <v>1009</v>
      </c>
      <c r="AG138" s="30">
        <v>1035</v>
      </c>
      <c r="AH138" s="30">
        <v>1041</v>
      </c>
      <c r="AI138" s="30">
        <v>1096</v>
      </c>
      <c r="AJ138" s="30">
        <v>1123</v>
      </c>
      <c r="AK138" s="30">
        <v>1090</v>
      </c>
      <c r="AL138" s="30">
        <v>1152</v>
      </c>
      <c r="AM138" s="30">
        <v>1125</v>
      </c>
      <c r="AN138" s="30">
        <v>1096</v>
      </c>
      <c r="AO138" s="30">
        <v>1131</v>
      </c>
      <c r="AP138" s="30">
        <v>1006</v>
      </c>
      <c r="AQ138" s="30">
        <v>1121</v>
      </c>
      <c r="AR138" s="30">
        <v>1180</v>
      </c>
      <c r="AS138" s="30">
        <v>1145</v>
      </c>
      <c r="AT138" s="30">
        <v>1177</v>
      </c>
      <c r="AU138" s="30">
        <v>1165</v>
      </c>
      <c r="AV138" s="30">
        <v>1193</v>
      </c>
      <c r="AW138" s="30">
        <v>1181</v>
      </c>
      <c r="AX138" s="30">
        <v>1312</v>
      </c>
      <c r="AY138" s="30">
        <v>1354</v>
      </c>
      <c r="AZ138" s="30">
        <v>1406</v>
      </c>
      <c r="BA138" s="30">
        <v>1500</v>
      </c>
      <c r="BB138" s="30">
        <v>1254</v>
      </c>
      <c r="BC138" s="30">
        <v>1234</v>
      </c>
      <c r="BD138" s="30">
        <v>1283</v>
      </c>
      <c r="BE138" s="30">
        <v>1303</v>
      </c>
      <c r="BF138" s="30">
        <v>1315</v>
      </c>
      <c r="BG138" s="30">
        <v>1415</v>
      </c>
      <c r="BH138" s="30">
        <v>1815</v>
      </c>
      <c r="BI138" s="30">
        <v>2136</v>
      </c>
      <c r="BJ138" s="30">
        <v>2240</v>
      </c>
      <c r="BK138" s="30">
        <v>2294</v>
      </c>
      <c r="BL138" s="30">
        <v>2373</v>
      </c>
      <c r="BM138" s="1">
        <v>2200</v>
      </c>
      <c r="BN138" s="1">
        <v>2310</v>
      </c>
      <c r="BO138" s="1">
        <v>2214</v>
      </c>
      <c r="BP138" s="1">
        <v>2180</v>
      </c>
      <c r="BQ138" s="1">
        <v>2185</v>
      </c>
      <c r="BR138" s="1">
        <v>2524</v>
      </c>
      <c r="BS138" s="1">
        <v>2657</v>
      </c>
      <c r="BT138" s="1">
        <v>2662</v>
      </c>
      <c r="BU138" s="1">
        <v>3045</v>
      </c>
      <c r="BV138" s="1">
        <v>3155</v>
      </c>
      <c r="BW138" s="1">
        <v>2656</v>
      </c>
      <c r="BX138" s="1">
        <v>2111</v>
      </c>
      <c r="BY138" s="1">
        <v>1781</v>
      </c>
      <c r="BZ138" s="1">
        <v>1900</v>
      </c>
    </row>
    <row r="139" spans="1:254" ht="15.9" customHeight="1">
      <c r="A139" s="65" t="s">
        <v>273</v>
      </c>
      <c r="B139" s="41" t="s">
        <v>274</v>
      </c>
      <c r="C139" s="45">
        <f>_xll.RssMarket("4422","安値")</f>
        <v>543</v>
      </c>
      <c r="D139" s="16">
        <f t="shared" si="4"/>
        <v>0</v>
      </c>
      <c r="E139" s="30">
        <v>543</v>
      </c>
      <c r="F139" s="30">
        <v>542</v>
      </c>
      <c r="G139" s="30">
        <v>521</v>
      </c>
      <c r="H139" s="30">
        <v>501</v>
      </c>
      <c r="I139" s="30">
        <v>492</v>
      </c>
      <c r="J139" s="30">
        <v>468</v>
      </c>
      <c r="K139" s="30">
        <v>474</v>
      </c>
      <c r="L139" s="30">
        <v>508</v>
      </c>
      <c r="M139" s="30">
        <v>532</v>
      </c>
      <c r="N139" s="30">
        <v>517</v>
      </c>
      <c r="O139" s="30">
        <v>530</v>
      </c>
      <c r="P139" s="30">
        <v>535</v>
      </c>
      <c r="Q139" s="30">
        <v>517</v>
      </c>
      <c r="R139" s="30">
        <v>504</v>
      </c>
      <c r="S139" s="30">
        <v>542</v>
      </c>
      <c r="T139" s="30">
        <v>535</v>
      </c>
      <c r="U139" s="30">
        <v>543</v>
      </c>
      <c r="V139" s="30">
        <v>553</v>
      </c>
      <c r="W139" s="30">
        <v>555</v>
      </c>
      <c r="X139" s="30">
        <v>547</v>
      </c>
      <c r="Y139" s="30">
        <v>564</v>
      </c>
      <c r="Z139" s="30">
        <v>580</v>
      </c>
      <c r="AA139" s="30">
        <v>554</v>
      </c>
      <c r="AB139" s="30">
        <v>553</v>
      </c>
      <c r="AC139" s="30">
        <v>550</v>
      </c>
      <c r="AD139" s="30">
        <v>554</v>
      </c>
      <c r="AE139" s="30">
        <v>559</v>
      </c>
      <c r="AF139" s="30">
        <v>550</v>
      </c>
      <c r="AG139" s="30">
        <v>544</v>
      </c>
      <c r="AH139" s="30">
        <v>550</v>
      </c>
      <c r="AI139" s="30">
        <v>575</v>
      </c>
      <c r="AJ139" s="30">
        <v>590</v>
      </c>
      <c r="AK139" s="30">
        <v>588</v>
      </c>
      <c r="AL139" s="30">
        <v>607</v>
      </c>
      <c r="AM139" s="30">
        <v>632</v>
      </c>
      <c r="AN139" s="30">
        <v>619</v>
      </c>
      <c r="AO139" s="30">
        <v>612</v>
      </c>
      <c r="AP139" s="30">
        <v>628</v>
      </c>
      <c r="AQ139" s="30">
        <v>720</v>
      </c>
      <c r="AR139" s="30">
        <v>706</v>
      </c>
      <c r="AS139" s="30">
        <v>687</v>
      </c>
      <c r="AT139" s="30">
        <v>665</v>
      </c>
      <c r="AU139" s="30">
        <v>657</v>
      </c>
      <c r="AV139" s="30">
        <v>668</v>
      </c>
      <c r="AW139" s="30">
        <v>678</v>
      </c>
      <c r="AX139" s="30">
        <v>692</v>
      </c>
      <c r="AY139" s="30">
        <v>708</v>
      </c>
      <c r="AZ139" s="30">
        <v>733</v>
      </c>
      <c r="BA139" s="30">
        <v>792</v>
      </c>
      <c r="BB139" s="30">
        <v>757</v>
      </c>
      <c r="BC139" s="30">
        <v>751</v>
      </c>
      <c r="BD139" s="30">
        <v>752</v>
      </c>
      <c r="BE139" s="30">
        <v>800</v>
      </c>
      <c r="BF139" s="30">
        <v>828</v>
      </c>
      <c r="BG139" s="30">
        <v>828</v>
      </c>
      <c r="BH139" s="30">
        <v>859</v>
      </c>
      <c r="BI139" s="30">
        <v>935</v>
      </c>
      <c r="BJ139" s="30">
        <v>982</v>
      </c>
      <c r="BK139" s="30">
        <v>905</v>
      </c>
      <c r="BL139" s="30">
        <v>986</v>
      </c>
      <c r="BM139" s="1">
        <v>963</v>
      </c>
      <c r="BN139" s="1">
        <v>975</v>
      </c>
      <c r="BO139" s="1">
        <v>1045</v>
      </c>
      <c r="BP139" s="1">
        <v>1122</v>
      </c>
      <c r="BQ139" s="1">
        <v>1172</v>
      </c>
      <c r="BR139" s="1">
        <v>1248</v>
      </c>
      <c r="BS139" s="1">
        <v>1155</v>
      </c>
      <c r="BT139" s="1">
        <v>1094</v>
      </c>
      <c r="BU139" s="1">
        <v>1262</v>
      </c>
      <c r="BV139" s="1">
        <v>1325</v>
      </c>
      <c r="BW139" s="1">
        <v>1073</v>
      </c>
      <c r="BX139" s="1">
        <v>962</v>
      </c>
      <c r="BY139" s="1">
        <v>894</v>
      </c>
      <c r="BZ139" s="1">
        <v>972</v>
      </c>
    </row>
    <row r="140" spans="1:254" ht="15.9" customHeight="1">
      <c r="A140" s="65" t="s">
        <v>275</v>
      </c>
      <c r="B140" s="41" t="s">
        <v>276</v>
      </c>
      <c r="C140" s="45">
        <f>_xll.RssMarket("6740","安値")</f>
        <v>47</v>
      </c>
      <c r="D140" s="16">
        <f t="shared" si="4"/>
        <v>0</v>
      </c>
      <c r="E140" s="30">
        <v>47</v>
      </c>
      <c r="F140" s="30">
        <v>46</v>
      </c>
      <c r="G140" s="30">
        <v>45</v>
      </c>
      <c r="H140" s="30">
        <v>46</v>
      </c>
      <c r="I140" s="30">
        <v>46</v>
      </c>
      <c r="J140" s="30">
        <v>43</v>
      </c>
      <c r="K140" s="30">
        <v>44</v>
      </c>
      <c r="L140" s="30">
        <v>46</v>
      </c>
      <c r="M140" s="30">
        <v>47</v>
      </c>
      <c r="N140" s="30"/>
      <c r="O140" s="30">
        <v>46</v>
      </c>
      <c r="P140" s="30">
        <v>46</v>
      </c>
      <c r="Q140" s="30">
        <v>46</v>
      </c>
      <c r="R140" s="30">
        <v>45</v>
      </c>
      <c r="S140" s="30">
        <v>50</v>
      </c>
      <c r="T140" s="30">
        <v>51</v>
      </c>
      <c r="U140" s="30">
        <v>51</v>
      </c>
      <c r="V140" s="30">
        <v>50</v>
      </c>
      <c r="W140" s="30">
        <v>50</v>
      </c>
      <c r="X140" s="30">
        <v>51</v>
      </c>
      <c r="Y140" s="30">
        <v>52</v>
      </c>
      <c r="Z140" s="30">
        <v>53</v>
      </c>
      <c r="AA140" s="30">
        <v>51</v>
      </c>
      <c r="AB140" s="30">
        <v>51</v>
      </c>
      <c r="AC140" s="30">
        <v>54</v>
      </c>
      <c r="AD140" s="30">
        <v>54</v>
      </c>
      <c r="AE140" s="30">
        <v>55</v>
      </c>
      <c r="AF140" s="30">
        <v>54</v>
      </c>
      <c r="AG140" s="30">
        <v>55</v>
      </c>
      <c r="AH140" s="30">
        <v>49</v>
      </c>
      <c r="AI140" s="30">
        <v>49</v>
      </c>
      <c r="AJ140" s="30">
        <v>51</v>
      </c>
      <c r="AK140" s="30">
        <v>49</v>
      </c>
      <c r="AL140" s="30">
        <v>49</v>
      </c>
      <c r="AM140" s="30">
        <v>44</v>
      </c>
      <c r="AN140" s="30">
        <v>44</v>
      </c>
      <c r="AO140" s="30">
        <v>48</v>
      </c>
      <c r="AP140" s="30">
        <v>51</v>
      </c>
      <c r="AQ140" s="30">
        <v>52</v>
      </c>
      <c r="AR140" s="30">
        <v>53</v>
      </c>
      <c r="AS140" s="30">
        <v>50</v>
      </c>
      <c r="AT140" s="30">
        <v>52</v>
      </c>
      <c r="AU140" s="30">
        <v>52</v>
      </c>
      <c r="AV140" s="30">
        <v>51</v>
      </c>
      <c r="AW140" s="30">
        <v>53</v>
      </c>
      <c r="AX140" s="30">
        <v>54</v>
      </c>
      <c r="AY140" s="30">
        <v>50</v>
      </c>
      <c r="AZ140" s="30">
        <v>55</v>
      </c>
      <c r="BA140" s="30">
        <v>62</v>
      </c>
      <c r="BB140" s="30">
        <v>62</v>
      </c>
      <c r="BC140" s="30">
        <v>61</v>
      </c>
      <c r="BD140" s="30">
        <v>62</v>
      </c>
      <c r="BE140" s="30">
        <v>66</v>
      </c>
      <c r="BF140" s="30">
        <v>65</v>
      </c>
      <c r="BG140" s="30">
        <v>68</v>
      </c>
      <c r="BH140" s="30">
        <v>70</v>
      </c>
      <c r="BI140" s="30">
        <v>71</v>
      </c>
      <c r="BJ140" s="30">
        <v>75</v>
      </c>
      <c r="BK140" s="30">
        <v>77</v>
      </c>
      <c r="BL140" s="30">
        <v>80</v>
      </c>
      <c r="BM140" s="1">
        <v>86</v>
      </c>
      <c r="BN140" s="1">
        <v>87</v>
      </c>
      <c r="BO140" s="1">
        <v>99</v>
      </c>
      <c r="BP140" s="1">
        <v>91</v>
      </c>
      <c r="BQ140" s="1">
        <v>91</v>
      </c>
      <c r="BR140" s="1">
        <v>93</v>
      </c>
      <c r="BS140" s="1">
        <v>94</v>
      </c>
      <c r="BT140" s="1">
        <v>100</v>
      </c>
      <c r="BU140" s="1">
        <v>103</v>
      </c>
      <c r="BV140" s="1">
        <v>110</v>
      </c>
      <c r="BW140" s="1">
        <v>100</v>
      </c>
      <c r="BX140" s="1">
        <v>96</v>
      </c>
      <c r="BY140" s="1">
        <v>91</v>
      </c>
      <c r="BZ140" s="1">
        <v>81</v>
      </c>
    </row>
    <row r="141" spans="1:254" ht="15.9" customHeight="1">
      <c r="A141" s="65" t="s">
        <v>277</v>
      </c>
      <c r="B141" s="41" t="s">
        <v>278</v>
      </c>
      <c r="C141" s="45">
        <f>_xll.RssMarket("6613","安値")</f>
        <v>1693</v>
      </c>
      <c r="D141" s="16">
        <f t="shared" si="4"/>
        <v>0</v>
      </c>
      <c r="E141" s="30">
        <v>1693</v>
      </c>
      <c r="F141" s="30">
        <v>1757</v>
      </c>
      <c r="G141" s="30">
        <v>1497</v>
      </c>
      <c r="H141" s="30">
        <v>1437</v>
      </c>
      <c r="I141" s="30">
        <v>1475</v>
      </c>
      <c r="J141" s="30">
        <v>1246</v>
      </c>
      <c r="K141" s="30">
        <v>1208</v>
      </c>
      <c r="L141" s="30">
        <v>1382</v>
      </c>
      <c r="M141" s="30">
        <v>1511</v>
      </c>
      <c r="N141" s="30">
        <v>1626</v>
      </c>
      <c r="O141" s="30">
        <v>1671</v>
      </c>
      <c r="P141" s="30">
        <v>1645</v>
      </c>
      <c r="Q141" s="30">
        <v>1617</v>
      </c>
      <c r="R141" s="30">
        <v>1600</v>
      </c>
      <c r="S141" s="30">
        <v>2370</v>
      </c>
      <c r="T141" s="30">
        <v>2360</v>
      </c>
      <c r="U141" s="30">
        <v>2261</v>
      </c>
      <c r="V141" s="30">
        <v>2501</v>
      </c>
      <c r="W141" s="30">
        <v>2535</v>
      </c>
      <c r="X141" s="30">
        <v>2488</v>
      </c>
      <c r="Y141" s="30">
        <v>2572</v>
      </c>
      <c r="Z141" s="30">
        <v>2628</v>
      </c>
      <c r="AA141" s="30">
        <v>2423</v>
      </c>
      <c r="AB141" s="30">
        <v>2578</v>
      </c>
      <c r="AC141" s="30">
        <v>2752</v>
      </c>
      <c r="AD141" s="30">
        <v>2700</v>
      </c>
      <c r="AE141" s="30">
        <v>2602</v>
      </c>
      <c r="AF141" s="30">
        <v>2766</v>
      </c>
      <c r="AG141" s="30">
        <v>2822</v>
      </c>
      <c r="AH141" s="30">
        <v>2704</v>
      </c>
      <c r="AI141" s="30">
        <v>2843</v>
      </c>
      <c r="AJ141" s="30">
        <v>2906</v>
      </c>
      <c r="AK141" s="30">
        <v>2470</v>
      </c>
      <c r="AL141" s="30">
        <v>2410</v>
      </c>
      <c r="AM141" s="30">
        <v>2335</v>
      </c>
      <c r="AN141" s="30">
        <v>2613</v>
      </c>
      <c r="AO141" s="30">
        <v>2730</v>
      </c>
      <c r="AP141" s="30">
        <v>2387</v>
      </c>
      <c r="AQ141" s="30">
        <v>2250</v>
      </c>
      <c r="AR141" s="30">
        <v>2280</v>
      </c>
      <c r="AS141" s="30">
        <v>2338</v>
      </c>
      <c r="AT141" s="30">
        <v>2381</v>
      </c>
      <c r="AU141" s="30">
        <v>2433</v>
      </c>
      <c r="AV141" s="30">
        <v>2540</v>
      </c>
      <c r="AW141" s="30">
        <v>2642</v>
      </c>
      <c r="AX141" s="30">
        <v>2266</v>
      </c>
      <c r="AY141" s="30">
        <v>2400</v>
      </c>
      <c r="AZ141" s="30">
        <v>2620</v>
      </c>
      <c r="BA141" s="30">
        <v>3130</v>
      </c>
      <c r="BB141" s="30">
        <v>2570</v>
      </c>
      <c r="BC141" s="30">
        <v>2406</v>
      </c>
      <c r="BD141" s="30">
        <v>2203</v>
      </c>
      <c r="BE141" s="30">
        <v>2024</v>
      </c>
      <c r="BF141" s="30">
        <v>1836</v>
      </c>
      <c r="BG141" s="30">
        <v>1671</v>
      </c>
      <c r="BH141" s="30">
        <v>1547</v>
      </c>
      <c r="BI141" s="30">
        <v>1565</v>
      </c>
      <c r="BJ141" s="30">
        <v>1641</v>
      </c>
      <c r="BK141" s="30">
        <v>1684</v>
      </c>
      <c r="BL141" s="30">
        <v>1490</v>
      </c>
      <c r="BM141" s="1">
        <v>1458</v>
      </c>
      <c r="BN141" s="1">
        <v>1415</v>
      </c>
      <c r="BO141" s="1">
        <v>1390</v>
      </c>
      <c r="BP141" s="1">
        <v>1450</v>
      </c>
      <c r="BQ141" s="1">
        <v>1317</v>
      </c>
      <c r="BR141" s="1">
        <v>1446</v>
      </c>
      <c r="BS141" s="1">
        <v>1449</v>
      </c>
      <c r="BT141" s="1">
        <v>1474</v>
      </c>
      <c r="BU141" s="1">
        <v>1538</v>
      </c>
      <c r="BV141" s="1">
        <v>1275</v>
      </c>
      <c r="BW141" s="1">
        <v>1270</v>
      </c>
      <c r="BX141" s="1">
        <v>1313</v>
      </c>
      <c r="BY141" s="1">
        <v>1315</v>
      </c>
      <c r="BZ141" s="1">
        <v>1255</v>
      </c>
    </row>
    <row r="142" spans="1:254" ht="15.9" customHeight="1">
      <c r="A142" s="65" t="s">
        <v>279</v>
      </c>
      <c r="B142" s="41" t="str">
        <f>銘柄管理!C142</f>
        <v>第一三共</v>
      </c>
      <c r="C142" s="45">
        <f>_xll.RssMarket("4568","安値")</f>
        <v>2604.5</v>
      </c>
      <c r="D142" s="16"/>
      <c r="E142" s="30">
        <v>2604.5</v>
      </c>
      <c r="F142" s="30">
        <v>2508</v>
      </c>
      <c r="G142" s="30">
        <v>2500</v>
      </c>
      <c r="H142" s="30">
        <v>2541</v>
      </c>
      <c r="I142" s="30">
        <v>2562</v>
      </c>
      <c r="J142" s="30">
        <v>2830</v>
      </c>
      <c r="K142" s="30">
        <v>2828</v>
      </c>
      <c r="L142" s="30">
        <v>2845.5</v>
      </c>
      <c r="M142" s="30">
        <v>2776.5</v>
      </c>
      <c r="N142" s="30">
        <v>2725.5</v>
      </c>
      <c r="O142" s="30">
        <v>2744</v>
      </c>
      <c r="P142" s="30">
        <v>2751</v>
      </c>
      <c r="Q142" s="30">
        <v>2800.5</v>
      </c>
      <c r="R142" s="30">
        <v>2742</v>
      </c>
      <c r="S142" s="30">
        <v>2636.5</v>
      </c>
      <c r="T142" s="30">
        <v>2672</v>
      </c>
      <c r="U142" s="30">
        <v>2671</v>
      </c>
      <c r="V142" s="30">
        <v>2697</v>
      </c>
      <c r="W142" s="30">
        <v>2682.5</v>
      </c>
      <c r="X142" s="30">
        <v>2689</v>
      </c>
      <c r="Y142" s="30">
        <v>2715.5</v>
      </c>
      <c r="Z142" s="30">
        <v>2674.5</v>
      </c>
      <c r="AA142" s="30">
        <v>2638.5</v>
      </c>
      <c r="AB142" s="30">
        <v>2576.5</v>
      </c>
      <c r="AC142" s="30">
        <v>2565</v>
      </c>
      <c r="AD142" s="30">
        <v>2564</v>
      </c>
      <c r="AE142" s="30">
        <v>2590.5</v>
      </c>
      <c r="AF142" s="30">
        <v>2531.5</v>
      </c>
      <c r="AG142" s="30">
        <v>2510.5</v>
      </c>
      <c r="AH142" s="30">
        <v>2490.5</v>
      </c>
      <c r="AI142" s="30">
        <v>2499</v>
      </c>
      <c r="AJ142" s="30">
        <v>2519</v>
      </c>
      <c r="AK142" s="30">
        <v>2537</v>
      </c>
      <c r="AL142" s="30">
        <v>2635</v>
      </c>
      <c r="AM142" s="30">
        <v>2545</v>
      </c>
      <c r="AN142" s="30">
        <v>2489.5</v>
      </c>
      <c r="AO142" s="30">
        <v>2534.5</v>
      </c>
      <c r="AP142" s="30">
        <v>2487.5</v>
      </c>
      <c r="AQ142" s="30">
        <v>2472</v>
      </c>
      <c r="AR142" s="30">
        <v>2436</v>
      </c>
      <c r="AS142" s="30">
        <v>2488</v>
      </c>
      <c r="AT142" s="30">
        <v>2390</v>
      </c>
      <c r="AU142" s="30">
        <v>2392</v>
      </c>
      <c r="AV142" s="30">
        <v>2488</v>
      </c>
      <c r="AW142" s="30">
        <v>2548</v>
      </c>
      <c r="AX142" s="30">
        <v>2700.5</v>
      </c>
      <c r="AY142" s="30">
        <v>2655</v>
      </c>
      <c r="AZ142" s="30">
        <v>2668</v>
      </c>
      <c r="BA142" s="30">
        <v>2680</v>
      </c>
      <c r="BB142" s="30">
        <v>2617.5</v>
      </c>
      <c r="BC142" s="30">
        <v>2617</v>
      </c>
      <c r="BD142" s="30">
        <v>2558</v>
      </c>
      <c r="BE142" s="30">
        <v>2573</v>
      </c>
      <c r="BF142" s="30">
        <v>2586</v>
      </c>
      <c r="BG142" s="30">
        <v>2531.5</v>
      </c>
      <c r="BH142" s="30">
        <v>2560.5</v>
      </c>
      <c r="BI142" s="30">
        <v>2673.5</v>
      </c>
      <c r="BJ142" s="30">
        <v>2655.5</v>
      </c>
      <c r="BK142" s="30">
        <v>2560</v>
      </c>
      <c r="BL142" s="30">
        <v>2552</v>
      </c>
      <c r="BM142" s="1">
        <v>2443</v>
      </c>
      <c r="BN142" s="1">
        <v>2567.5</v>
      </c>
      <c r="BO142" s="1">
        <v>2559</v>
      </c>
      <c r="BP142" s="1">
        <v>2545.5</v>
      </c>
      <c r="BQ142" s="1">
        <v>2463</v>
      </c>
      <c r="BR142" s="1">
        <v>2488</v>
      </c>
      <c r="BS142" s="1">
        <v>2775</v>
      </c>
      <c r="BT142" s="1">
        <v>2817</v>
      </c>
      <c r="BU142" s="1">
        <v>2906.5</v>
      </c>
      <c r="BV142" s="1">
        <v>2920</v>
      </c>
      <c r="BW142" s="1">
        <v>2865.5</v>
      </c>
      <c r="BX142" s="1">
        <v>2837.5</v>
      </c>
      <c r="BY142" s="1">
        <v>2739</v>
      </c>
      <c r="BZ142" s="1">
        <v>2704.5</v>
      </c>
    </row>
    <row r="143" spans="1:254" ht="15.9" customHeight="1">
      <c r="A143" s="65" t="s">
        <v>280</v>
      </c>
      <c r="B143" s="41" t="s">
        <v>281</v>
      </c>
      <c r="C143" s="45">
        <f>_xll.RssMarket("6522","安値")</f>
        <v>1601</v>
      </c>
      <c r="D143" s="16">
        <f t="shared" ref="D143:D188" si="5">C143-E143</f>
        <v>0</v>
      </c>
      <c r="E143" s="30">
        <v>1601</v>
      </c>
      <c r="F143" s="30">
        <v>1653</v>
      </c>
      <c r="G143" s="30">
        <v>1460</v>
      </c>
      <c r="H143" s="30">
        <v>1454</v>
      </c>
      <c r="I143" s="30">
        <v>1500</v>
      </c>
      <c r="J143" s="30">
        <v>1490</v>
      </c>
      <c r="K143" s="30">
        <v>1429</v>
      </c>
      <c r="L143" s="30">
        <v>1422</v>
      </c>
      <c r="M143" s="30">
        <v>1591</v>
      </c>
      <c r="N143" s="30">
        <v>1482</v>
      </c>
      <c r="O143" s="30">
        <v>1426</v>
      </c>
      <c r="P143" s="30">
        <v>1311</v>
      </c>
      <c r="Q143" s="30">
        <v>1228</v>
      </c>
      <c r="R143" s="30">
        <v>1291</v>
      </c>
      <c r="S143" s="30">
        <v>1711</v>
      </c>
      <c r="T143" s="30">
        <v>1811</v>
      </c>
      <c r="U143" s="30">
        <v>1953</v>
      </c>
      <c r="V143" s="30">
        <v>1818</v>
      </c>
      <c r="W143" s="30">
        <v>1900</v>
      </c>
      <c r="X143" s="30">
        <v>2181</v>
      </c>
      <c r="Y143" s="30">
        <v>2096</v>
      </c>
      <c r="Z143" s="30">
        <v>1687</v>
      </c>
      <c r="AA143" s="30">
        <v>1760</v>
      </c>
      <c r="AB143" s="30">
        <v>1581</v>
      </c>
      <c r="AC143" s="30">
        <v>1361</v>
      </c>
      <c r="AD143" s="30">
        <v>996</v>
      </c>
      <c r="AE143" s="30">
        <v>968</v>
      </c>
      <c r="AF143" s="30">
        <v>941</v>
      </c>
      <c r="AG143" s="30">
        <v>1007</v>
      </c>
      <c r="AH143" s="30">
        <v>1030</v>
      </c>
      <c r="AI143" s="30">
        <v>1033</v>
      </c>
      <c r="AJ143" s="30">
        <v>929</v>
      </c>
      <c r="AK143" s="30">
        <v>843</v>
      </c>
      <c r="AL143" s="30">
        <v>727</v>
      </c>
      <c r="AM143" s="30">
        <v>716</v>
      </c>
      <c r="AN143" s="30">
        <v>705</v>
      </c>
      <c r="AO143" s="30">
        <v>693</v>
      </c>
      <c r="AP143" s="30">
        <v>683</v>
      </c>
      <c r="AQ143" s="30">
        <v>724</v>
      </c>
      <c r="AR143" s="30">
        <v>726</v>
      </c>
      <c r="AS143" s="30">
        <v>720</v>
      </c>
      <c r="AT143" s="30">
        <v>751</v>
      </c>
      <c r="AU143" s="30">
        <v>765</v>
      </c>
      <c r="AV143" s="30">
        <v>776</v>
      </c>
      <c r="AW143" s="30">
        <v>795</v>
      </c>
      <c r="AX143" s="30">
        <v>789</v>
      </c>
      <c r="AY143" s="30">
        <v>771</v>
      </c>
      <c r="AZ143" s="30">
        <v>804</v>
      </c>
      <c r="BA143" s="30">
        <v>934</v>
      </c>
      <c r="BB143" s="30">
        <v>920</v>
      </c>
      <c r="BC143" s="30">
        <v>910</v>
      </c>
      <c r="BD143" s="30">
        <v>940</v>
      </c>
      <c r="BE143" s="30">
        <v>987</v>
      </c>
      <c r="BF143" s="30">
        <v>965</v>
      </c>
      <c r="BG143" s="30">
        <v>1000</v>
      </c>
      <c r="BH143" s="30">
        <v>1003</v>
      </c>
      <c r="BI143" s="30">
        <v>1013</v>
      </c>
      <c r="BJ143" s="30">
        <v>1056</v>
      </c>
      <c r="BK143" s="30">
        <v>1156</v>
      </c>
      <c r="BL143" s="30">
        <v>1187</v>
      </c>
      <c r="BM143" s="1">
        <v>1129</v>
      </c>
      <c r="BN143" s="1">
        <v>1109</v>
      </c>
      <c r="BO143" s="1">
        <v>1121</v>
      </c>
      <c r="BP143" s="1">
        <v>1156</v>
      </c>
      <c r="BQ143" s="1">
        <v>1151</v>
      </c>
      <c r="BR143" s="1">
        <v>1157</v>
      </c>
      <c r="BS143" s="1">
        <v>1210</v>
      </c>
      <c r="BT143" s="1">
        <v>1320</v>
      </c>
      <c r="BU143" s="1">
        <v>1026</v>
      </c>
      <c r="BV143" s="1">
        <v>1011</v>
      </c>
      <c r="BW143" s="1">
        <v>1023</v>
      </c>
      <c r="BX143" s="1">
        <v>941</v>
      </c>
      <c r="BY143" s="1">
        <v>893</v>
      </c>
      <c r="BZ143" s="1">
        <v>996</v>
      </c>
    </row>
    <row r="144" spans="1:254" ht="15.9" customHeight="1">
      <c r="A144" s="65" t="s">
        <v>282</v>
      </c>
      <c r="B144" s="41" t="s">
        <v>283</v>
      </c>
      <c r="C144" s="45">
        <f>_xll.RssMarket("6777","安値")</f>
        <v>19450</v>
      </c>
      <c r="D144" s="16">
        <f t="shared" si="5"/>
        <v>0</v>
      </c>
      <c r="E144" s="30">
        <v>19450</v>
      </c>
      <c r="F144" s="30">
        <v>20320</v>
      </c>
      <c r="G144" s="30">
        <v>18200</v>
      </c>
      <c r="H144" s="30">
        <v>16660</v>
      </c>
      <c r="I144" s="30">
        <v>16740</v>
      </c>
      <c r="J144" s="30">
        <v>15120</v>
      </c>
      <c r="K144" s="30">
        <v>14830</v>
      </c>
      <c r="L144" s="30">
        <v>16450</v>
      </c>
      <c r="M144" s="30">
        <v>17710</v>
      </c>
      <c r="N144" s="30"/>
      <c r="O144" s="30">
        <v>18880</v>
      </c>
      <c r="P144" s="30">
        <v>19090</v>
      </c>
      <c r="Q144" s="30">
        <v>17680</v>
      </c>
      <c r="R144" s="30">
        <v>17680</v>
      </c>
      <c r="S144" s="30">
        <v>21070</v>
      </c>
      <c r="T144" s="30">
        <v>20000</v>
      </c>
      <c r="U144" s="30">
        <v>20380</v>
      </c>
      <c r="V144" s="30">
        <v>20710</v>
      </c>
      <c r="W144" s="30">
        <v>20290</v>
      </c>
      <c r="X144" s="30">
        <v>19870</v>
      </c>
      <c r="Y144" s="30">
        <v>21010</v>
      </c>
      <c r="Z144" s="30">
        <v>22660</v>
      </c>
      <c r="AA144" s="30">
        <v>21430</v>
      </c>
      <c r="AB144" s="30">
        <v>23400</v>
      </c>
      <c r="AC144" s="30">
        <v>25510</v>
      </c>
      <c r="AD144" s="30">
        <v>26260</v>
      </c>
      <c r="AE144" s="30">
        <v>24920</v>
      </c>
      <c r="AF144" s="30">
        <v>27040</v>
      </c>
      <c r="AG144" s="30">
        <v>27200</v>
      </c>
      <c r="AH144" s="30">
        <v>26760</v>
      </c>
      <c r="AI144" s="30">
        <v>27180</v>
      </c>
      <c r="AJ144" s="30">
        <v>28800</v>
      </c>
      <c r="AK144" s="30">
        <v>28500</v>
      </c>
      <c r="AL144" s="30">
        <v>26510</v>
      </c>
      <c r="AM144" s="30">
        <v>25600</v>
      </c>
      <c r="AN144" s="30">
        <v>25690</v>
      </c>
      <c r="AO144" s="30">
        <v>24520</v>
      </c>
      <c r="AP144" s="30">
        <v>22850</v>
      </c>
      <c r="AQ144" s="30">
        <v>22070</v>
      </c>
      <c r="AR144" s="30">
        <v>23320</v>
      </c>
      <c r="AS144" s="30">
        <v>21710</v>
      </c>
      <c r="AT144" s="30">
        <v>24600</v>
      </c>
      <c r="AU144" s="30">
        <v>25300</v>
      </c>
      <c r="AV144" s="30">
        <v>26120</v>
      </c>
      <c r="AW144" s="30">
        <v>23910</v>
      </c>
      <c r="AX144" s="30">
        <v>24120</v>
      </c>
      <c r="AY144" s="30">
        <v>23900</v>
      </c>
      <c r="AZ144" s="30">
        <v>24270</v>
      </c>
      <c r="BA144" s="30">
        <v>28250</v>
      </c>
      <c r="BB144" s="30">
        <v>26990</v>
      </c>
      <c r="BC144" s="30">
        <v>25720</v>
      </c>
      <c r="BD144" s="30">
        <v>26450</v>
      </c>
      <c r="BE144" s="30">
        <v>27620</v>
      </c>
      <c r="BF144" s="30">
        <v>31250</v>
      </c>
      <c r="BG144" s="30">
        <v>28940</v>
      </c>
      <c r="BH144" s="30">
        <v>31950</v>
      </c>
      <c r="BI144" s="30">
        <v>29700</v>
      </c>
      <c r="BJ144" s="30">
        <v>29000</v>
      </c>
      <c r="BK144" s="30">
        <v>27050</v>
      </c>
      <c r="BL144" s="30">
        <v>26450</v>
      </c>
      <c r="BM144" s="1">
        <v>27550</v>
      </c>
      <c r="BN144" s="1">
        <v>27140</v>
      </c>
      <c r="BO144" s="1">
        <v>27830</v>
      </c>
      <c r="BP144" s="1">
        <v>27860</v>
      </c>
      <c r="BQ144" s="1">
        <v>27110</v>
      </c>
      <c r="BR144" s="1">
        <v>27850</v>
      </c>
      <c r="BS144" s="1">
        <v>29430</v>
      </c>
      <c r="BT144" s="1">
        <v>28600</v>
      </c>
      <c r="BU144" s="1">
        <v>28540</v>
      </c>
      <c r="BV144" s="1">
        <v>26250</v>
      </c>
      <c r="BW144" s="1">
        <v>24120</v>
      </c>
      <c r="BX144" s="1">
        <v>23600</v>
      </c>
      <c r="BY144" s="1">
        <v>24350</v>
      </c>
      <c r="BZ144" s="1">
        <v>24230</v>
      </c>
    </row>
    <row r="145" spans="1:254" ht="15.9" customHeight="1">
      <c r="A145" s="65" t="s">
        <v>284</v>
      </c>
      <c r="B145" s="41" t="s">
        <v>285</v>
      </c>
      <c r="C145" s="45">
        <f>_xll.RssMarket("6787","安値")</f>
        <v>22680</v>
      </c>
      <c r="D145" s="16">
        <f t="shared" si="5"/>
        <v>0</v>
      </c>
      <c r="E145" s="30">
        <v>22680</v>
      </c>
      <c r="F145" s="30">
        <v>22980</v>
      </c>
      <c r="G145" s="30">
        <v>21540</v>
      </c>
      <c r="H145" s="30">
        <v>19900</v>
      </c>
      <c r="I145" s="30">
        <v>20520</v>
      </c>
      <c r="J145" s="30">
        <v>18250</v>
      </c>
      <c r="K145" s="30">
        <v>17830</v>
      </c>
      <c r="L145" s="30">
        <v>20610</v>
      </c>
      <c r="M145" s="30">
        <v>21860</v>
      </c>
      <c r="N145" s="30">
        <v>22690</v>
      </c>
      <c r="O145" s="30">
        <v>23650</v>
      </c>
      <c r="P145" s="30">
        <v>24100</v>
      </c>
      <c r="Q145" s="30">
        <v>22260</v>
      </c>
      <c r="R145" s="30">
        <v>21810</v>
      </c>
      <c r="S145" s="30">
        <v>25710</v>
      </c>
      <c r="T145" s="30">
        <v>24690</v>
      </c>
      <c r="U145" s="30">
        <v>25540</v>
      </c>
      <c r="V145" s="30">
        <v>25930</v>
      </c>
      <c r="W145" s="30">
        <v>25300</v>
      </c>
      <c r="X145" s="30">
        <v>25140</v>
      </c>
      <c r="Y145" s="30">
        <v>25950</v>
      </c>
      <c r="Z145" s="30">
        <v>27260</v>
      </c>
      <c r="AA145" s="30">
        <v>27010</v>
      </c>
      <c r="AB145" s="30">
        <v>27620</v>
      </c>
      <c r="AC145" s="30">
        <v>28560</v>
      </c>
      <c r="AD145" s="30">
        <v>29920</v>
      </c>
      <c r="AE145" s="30">
        <v>30000</v>
      </c>
      <c r="AF145" s="30">
        <v>29840</v>
      </c>
      <c r="AG145" s="30">
        <v>31350</v>
      </c>
      <c r="AH145" s="30">
        <v>31750</v>
      </c>
      <c r="AI145" s="30">
        <v>32550</v>
      </c>
      <c r="AJ145" s="30">
        <v>37050</v>
      </c>
      <c r="AK145" s="30">
        <v>37400</v>
      </c>
      <c r="AL145" s="30">
        <v>34950</v>
      </c>
      <c r="AM145" s="30">
        <v>33600</v>
      </c>
      <c r="AN145" s="30">
        <v>30150</v>
      </c>
      <c r="AO145" s="30">
        <v>30400</v>
      </c>
      <c r="AP145" s="30">
        <v>29860</v>
      </c>
      <c r="AQ145" s="30">
        <v>29160</v>
      </c>
      <c r="AR145" s="30">
        <v>30600</v>
      </c>
      <c r="AS145" s="30">
        <v>32500</v>
      </c>
      <c r="AT145" s="30">
        <v>34150</v>
      </c>
      <c r="AU145" s="30">
        <v>35400</v>
      </c>
      <c r="AV145" s="30">
        <v>37100</v>
      </c>
      <c r="AW145" s="30">
        <v>36400</v>
      </c>
      <c r="AX145" s="30">
        <v>37100</v>
      </c>
      <c r="AY145" s="30">
        <v>36450</v>
      </c>
      <c r="AZ145" s="30">
        <v>37150</v>
      </c>
      <c r="BA145" s="30">
        <v>41500</v>
      </c>
      <c r="BB145" s="30">
        <v>40300</v>
      </c>
      <c r="BC145" s="30">
        <v>36500</v>
      </c>
      <c r="BD145" s="30">
        <v>34300</v>
      </c>
      <c r="BE145" s="30">
        <v>36400</v>
      </c>
      <c r="BF145" s="30">
        <v>36400</v>
      </c>
      <c r="BG145" s="30">
        <v>35300</v>
      </c>
      <c r="BH145" s="30">
        <v>38650</v>
      </c>
      <c r="BI145" s="30">
        <v>29220</v>
      </c>
      <c r="BJ145" s="30">
        <v>30650</v>
      </c>
      <c r="BK145" s="30">
        <v>31500</v>
      </c>
      <c r="BL145" s="30">
        <v>30550</v>
      </c>
      <c r="BM145" s="1">
        <v>30950</v>
      </c>
      <c r="BN145" s="1">
        <v>29520</v>
      </c>
      <c r="BO145" s="1">
        <v>30600</v>
      </c>
      <c r="BP145" s="1">
        <v>30150</v>
      </c>
      <c r="BQ145" s="1">
        <v>29560</v>
      </c>
      <c r="BR145" s="1">
        <v>28770</v>
      </c>
      <c r="BS145" s="1">
        <v>27720</v>
      </c>
      <c r="BT145" s="1">
        <v>28070</v>
      </c>
      <c r="BU145" s="1">
        <v>27300</v>
      </c>
      <c r="BV145" s="1">
        <v>27010</v>
      </c>
      <c r="BW145" s="1">
        <v>28480</v>
      </c>
      <c r="BX145" s="1">
        <v>27910</v>
      </c>
      <c r="BY145" s="1">
        <v>27720</v>
      </c>
      <c r="BZ145" s="1">
        <v>27580</v>
      </c>
    </row>
    <row r="146" spans="1:254" ht="15.9" customHeight="1">
      <c r="A146" s="65" t="s">
        <v>286</v>
      </c>
      <c r="B146" s="41" t="s">
        <v>287</v>
      </c>
      <c r="C146" s="45">
        <f>_xll.RssMarket("4888","安値")</f>
        <v>309</v>
      </c>
      <c r="D146" s="16">
        <f t="shared" si="5"/>
        <v>0</v>
      </c>
      <c r="E146" s="30">
        <v>309</v>
      </c>
      <c r="F146" s="30">
        <v>313</v>
      </c>
      <c r="G146" s="30">
        <v>311</v>
      </c>
      <c r="H146" s="30">
        <v>295</v>
      </c>
      <c r="I146" s="30">
        <v>297</v>
      </c>
      <c r="J146" s="30">
        <v>294</v>
      </c>
      <c r="K146" s="30">
        <v>299</v>
      </c>
      <c r="L146" s="30">
        <v>309</v>
      </c>
      <c r="M146" s="30">
        <v>306</v>
      </c>
      <c r="N146" s="30">
        <v>300</v>
      </c>
      <c r="O146" s="30">
        <v>305</v>
      </c>
      <c r="P146" s="30">
        <v>303</v>
      </c>
      <c r="Q146" s="30">
        <v>303</v>
      </c>
      <c r="R146" s="30">
        <v>295</v>
      </c>
      <c r="S146" s="30">
        <v>320</v>
      </c>
      <c r="T146" s="30">
        <v>320</v>
      </c>
      <c r="U146" s="30">
        <v>320</v>
      </c>
      <c r="V146" s="30">
        <v>303</v>
      </c>
      <c r="W146" s="30">
        <v>301</v>
      </c>
      <c r="X146" s="30">
        <v>300</v>
      </c>
      <c r="Y146" s="30">
        <v>306</v>
      </c>
      <c r="Z146" s="30">
        <v>309</v>
      </c>
      <c r="AA146" s="30">
        <v>300</v>
      </c>
      <c r="AB146" s="30">
        <v>302</v>
      </c>
      <c r="AC146" s="30">
        <v>298</v>
      </c>
      <c r="AD146" s="30">
        <v>306</v>
      </c>
      <c r="AE146" s="30">
        <v>304</v>
      </c>
      <c r="AF146" s="30">
        <v>297</v>
      </c>
      <c r="AG146" s="30">
        <v>312</v>
      </c>
      <c r="AH146" s="30">
        <v>313</v>
      </c>
      <c r="AI146" s="30">
        <v>315</v>
      </c>
      <c r="AJ146" s="30">
        <v>327</v>
      </c>
      <c r="AK146" s="30">
        <v>346</v>
      </c>
      <c r="AL146" s="30">
        <v>348</v>
      </c>
      <c r="AM146" s="30">
        <v>333</v>
      </c>
      <c r="AN146" s="30">
        <v>322</v>
      </c>
      <c r="AO146" s="30">
        <v>325</v>
      </c>
      <c r="AP146" s="30">
        <v>321</v>
      </c>
      <c r="AQ146" s="30">
        <v>299</v>
      </c>
      <c r="AR146" s="30">
        <v>303</v>
      </c>
      <c r="AS146" s="30">
        <v>288</v>
      </c>
      <c r="AT146" s="30">
        <v>340</v>
      </c>
      <c r="AU146" s="30">
        <v>341</v>
      </c>
      <c r="AV146" s="30">
        <v>330</v>
      </c>
      <c r="AW146" s="30">
        <v>328</v>
      </c>
      <c r="AX146" s="30">
        <v>352</v>
      </c>
      <c r="AY146" s="30">
        <v>378</v>
      </c>
      <c r="AZ146" s="30">
        <v>363</v>
      </c>
      <c r="BA146" s="30">
        <v>429</v>
      </c>
      <c r="BB146" s="30">
        <v>438</v>
      </c>
      <c r="BC146" s="30">
        <v>419</v>
      </c>
      <c r="BD146" s="30">
        <v>403</v>
      </c>
      <c r="BE146" s="30">
        <v>425</v>
      </c>
      <c r="BF146" s="30">
        <v>408</v>
      </c>
      <c r="BG146" s="30">
        <v>405</v>
      </c>
      <c r="BH146" s="30">
        <v>399</v>
      </c>
      <c r="BI146" s="30">
        <v>461</v>
      </c>
      <c r="BJ146" s="30">
        <v>469</v>
      </c>
      <c r="BK146" s="30">
        <v>466</v>
      </c>
      <c r="BL146" s="30">
        <v>518</v>
      </c>
      <c r="BM146" s="1">
        <v>513</v>
      </c>
      <c r="BN146" s="1">
        <v>520</v>
      </c>
      <c r="BO146" s="1">
        <v>500</v>
      </c>
      <c r="BP146" s="1">
        <v>510</v>
      </c>
      <c r="BQ146" s="1">
        <v>525</v>
      </c>
      <c r="BR146" s="1">
        <v>531</v>
      </c>
      <c r="BS146" s="1">
        <v>519</v>
      </c>
      <c r="BT146" s="1">
        <v>558</v>
      </c>
      <c r="BU146" s="1">
        <v>620</v>
      </c>
      <c r="BV146" s="1">
        <v>709</v>
      </c>
      <c r="BW146" s="1">
        <v>709</v>
      </c>
      <c r="BX146" s="1">
        <v>670</v>
      </c>
      <c r="BY146" s="1">
        <v>650</v>
      </c>
      <c r="BZ146" s="1">
        <v>702</v>
      </c>
    </row>
    <row r="147" spans="1:254" ht="15.9" customHeight="1">
      <c r="A147" s="65" t="s">
        <v>288</v>
      </c>
      <c r="B147" s="41" t="s">
        <v>289</v>
      </c>
      <c r="C147" s="45">
        <f>_xll.RssMarket("6387","安値")</f>
        <v>9130</v>
      </c>
      <c r="D147" s="16">
        <f t="shared" si="5"/>
        <v>0</v>
      </c>
      <c r="E147" s="30">
        <v>9130</v>
      </c>
      <c r="F147" s="30">
        <v>9460</v>
      </c>
      <c r="G147" s="30">
        <v>8520</v>
      </c>
      <c r="H147" s="30">
        <v>8000</v>
      </c>
      <c r="I147" s="30">
        <v>8200</v>
      </c>
      <c r="J147" s="30">
        <v>7130</v>
      </c>
      <c r="K147" s="30">
        <v>7310</v>
      </c>
      <c r="L147" s="30">
        <v>8300</v>
      </c>
      <c r="M147" s="30">
        <v>9260</v>
      </c>
      <c r="N147" s="30"/>
      <c r="O147" s="30">
        <v>10080</v>
      </c>
      <c r="P147" s="30">
        <v>10360</v>
      </c>
      <c r="Q147" s="30">
        <v>9640</v>
      </c>
      <c r="R147" s="30">
        <v>9430</v>
      </c>
      <c r="S147" s="30">
        <v>11900</v>
      </c>
      <c r="T147" s="30">
        <v>11910</v>
      </c>
      <c r="U147" s="30">
        <v>12530</v>
      </c>
      <c r="V147" s="30">
        <v>12280</v>
      </c>
      <c r="W147" s="30">
        <v>11560</v>
      </c>
      <c r="X147" s="30">
        <v>11170</v>
      </c>
      <c r="Y147" s="30">
        <v>11530</v>
      </c>
      <c r="Z147" s="30">
        <v>11990</v>
      </c>
      <c r="AA147" s="30">
        <v>12510</v>
      </c>
      <c r="AB147" s="30">
        <v>12830</v>
      </c>
      <c r="AC147" s="30">
        <v>13660</v>
      </c>
      <c r="AD147" s="30">
        <v>13710</v>
      </c>
      <c r="AE147" s="30">
        <v>13020</v>
      </c>
      <c r="AF147" s="30">
        <v>13510</v>
      </c>
      <c r="AG147" s="30">
        <v>14230</v>
      </c>
      <c r="AH147" s="30">
        <v>13910</v>
      </c>
      <c r="AI147" s="30">
        <v>14590</v>
      </c>
      <c r="AJ147" s="30">
        <v>14610</v>
      </c>
      <c r="AK147" s="30">
        <v>14250</v>
      </c>
      <c r="AL147" s="30">
        <v>15180</v>
      </c>
      <c r="AM147" s="30">
        <v>14700</v>
      </c>
      <c r="AN147" s="30">
        <v>15120</v>
      </c>
      <c r="AO147" s="30">
        <v>13670</v>
      </c>
      <c r="AP147" s="30">
        <v>11760</v>
      </c>
      <c r="AQ147" s="30">
        <v>10840</v>
      </c>
      <c r="AR147" s="30">
        <v>11620</v>
      </c>
      <c r="AS147" s="30">
        <v>11060</v>
      </c>
      <c r="AT147" s="30">
        <v>11820</v>
      </c>
      <c r="AU147" s="30">
        <v>12110</v>
      </c>
      <c r="AV147" s="30">
        <v>12220</v>
      </c>
      <c r="AW147" s="30">
        <v>10510</v>
      </c>
      <c r="AX147" s="30">
        <v>10080</v>
      </c>
      <c r="AY147" s="30">
        <v>9900</v>
      </c>
      <c r="AZ147" s="30">
        <v>10390</v>
      </c>
      <c r="BA147" s="30">
        <v>11580</v>
      </c>
      <c r="BB147" s="30">
        <v>10910</v>
      </c>
      <c r="BC147" s="30">
        <v>10500</v>
      </c>
      <c r="BD147" s="30">
        <v>10520</v>
      </c>
      <c r="BE147" s="30">
        <v>10910</v>
      </c>
      <c r="BF147" s="30">
        <v>11870</v>
      </c>
      <c r="BG147" s="30">
        <v>11890</v>
      </c>
      <c r="BH147" s="30">
        <v>13130</v>
      </c>
      <c r="BI147" s="30">
        <v>12340</v>
      </c>
      <c r="BJ147" s="30">
        <v>12210</v>
      </c>
      <c r="BK147" s="30">
        <v>12800</v>
      </c>
      <c r="BL147" s="30">
        <v>12880</v>
      </c>
      <c r="BM147" s="1">
        <v>12520</v>
      </c>
      <c r="BN147" s="1">
        <v>11240</v>
      </c>
      <c r="BO147" s="1">
        <v>11120</v>
      </c>
      <c r="BP147" s="1">
        <v>10840</v>
      </c>
      <c r="BQ147" s="1">
        <v>10620</v>
      </c>
      <c r="BR147" s="1">
        <v>10550</v>
      </c>
      <c r="BS147" s="1">
        <v>10380</v>
      </c>
      <c r="BT147" s="1">
        <v>9350</v>
      </c>
      <c r="BU147" s="1">
        <v>9400</v>
      </c>
      <c r="BV147" s="1">
        <v>9400</v>
      </c>
      <c r="BW147" s="1">
        <v>9600</v>
      </c>
      <c r="BX147" s="1">
        <v>9760</v>
      </c>
      <c r="BY147" s="1">
        <v>9600</v>
      </c>
      <c r="BZ147" s="1">
        <v>10180</v>
      </c>
    </row>
    <row r="148" spans="1:254" ht="15.9" customHeight="1">
      <c r="A148" s="65" t="s">
        <v>290</v>
      </c>
      <c r="B148" s="41" t="s">
        <v>291</v>
      </c>
      <c r="C148" s="45">
        <f>_xll.RssMarket("6838","安値")</f>
        <v>1460</v>
      </c>
      <c r="D148" s="16">
        <f t="shared" si="5"/>
        <v>0</v>
      </c>
      <c r="E148" s="30">
        <v>1460</v>
      </c>
      <c r="F148" s="30">
        <v>1457</v>
      </c>
      <c r="G148" s="30">
        <v>1370</v>
      </c>
      <c r="H148" s="30">
        <v>1254</v>
      </c>
      <c r="I148" s="30">
        <v>1249</v>
      </c>
      <c r="J148" s="30">
        <v>1168</v>
      </c>
      <c r="K148" s="30">
        <v>1161</v>
      </c>
      <c r="L148" s="30">
        <v>1234</v>
      </c>
      <c r="M148" s="30">
        <v>1347</v>
      </c>
      <c r="N148" s="30">
        <v>1329</v>
      </c>
      <c r="O148" s="30">
        <v>1385</v>
      </c>
      <c r="P148" s="30">
        <v>1370</v>
      </c>
      <c r="Q148" s="30">
        <v>1318</v>
      </c>
      <c r="R148" s="30">
        <v>1300</v>
      </c>
      <c r="S148" s="30">
        <v>1430</v>
      </c>
      <c r="T148" s="30">
        <v>1400</v>
      </c>
      <c r="U148" s="30">
        <v>1453</v>
      </c>
      <c r="V148" s="30">
        <v>1525</v>
      </c>
      <c r="W148" s="30">
        <v>1491</v>
      </c>
      <c r="X148" s="30">
        <v>1521</v>
      </c>
      <c r="Y148" s="30">
        <v>1631</v>
      </c>
      <c r="Z148" s="30">
        <v>1723</v>
      </c>
      <c r="AA148" s="30">
        <v>1665</v>
      </c>
      <c r="AB148" s="30">
        <v>1682</v>
      </c>
      <c r="AC148" s="30">
        <v>1678</v>
      </c>
      <c r="AD148" s="30">
        <v>1736</v>
      </c>
      <c r="AE148" s="30">
        <v>1750</v>
      </c>
      <c r="AF148" s="30">
        <v>1883</v>
      </c>
      <c r="AG148" s="30">
        <v>1912</v>
      </c>
      <c r="AH148" s="30">
        <v>1877</v>
      </c>
      <c r="AI148" s="30">
        <v>1980</v>
      </c>
      <c r="AJ148" s="30">
        <v>2001</v>
      </c>
      <c r="AK148" s="30">
        <v>1940</v>
      </c>
      <c r="AL148" s="30">
        <v>2086</v>
      </c>
      <c r="AM148" s="30">
        <v>2122</v>
      </c>
      <c r="AN148" s="30">
        <v>2280</v>
      </c>
      <c r="AO148" s="30">
        <v>1788</v>
      </c>
      <c r="AP148" s="30">
        <v>1720</v>
      </c>
      <c r="AQ148" s="30">
        <v>1655</v>
      </c>
      <c r="AR148" s="30">
        <v>1800</v>
      </c>
      <c r="AS148" s="30">
        <v>2086</v>
      </c>
      <c r="AT148" s="30">
        <v>2320</v>
      </c>
      <c r="AU148" s="30">
        <v>2220</v>
      </c>
      <c r="AV148" s="30">
        <v>2235</v>
      </c>
      <c r="AW148" s="30">
        <v>2144</v>
      </c>
      <c r="AX148" s="30">
        <v>2062</v>
      </c>
      <c r="AY148" s="30">
        <v>2080</v>
      </c>
      <c r="AZ148" s="30">
        <v>2201</v>
      </c>
      <c r="BA148" s="30">
        <v>2029</v>
      </c>
      <c r="BB148" s="30">
        <v>1950</v>
      </c>
      <c r="BC148" s="30">
        <v>1788</v>
      </c>
      <c r="BD148" s="30">
        <v>1870</v>
      </c>
      <c r="BE148" s="30">
        <v>1932</v>
      </c>
      <c r="BF148" s="30">
        <v>1984</v>
      </c>
      <c r="BG148" s="30">
        <v>1930</v>
      </c>
      <c r="BH148" s="30">
        <v>1873</v>
      </c>
      <c r="BI148" s="30">
        <v>1911</v>
      </c>
      <c r="BJ148" s="30">
        <v>1954</v>
      </c>
      <c r="BK148" s="30">
        <v>1941</v>
      </c>
      <c r="BL148" s="30">
        <v>1714</v>
      </c>
      <c r="BM148" s="1">
        <v>1663</v>
      </c>
      <c r="BN148" s="1">
        <v>1623</v>
      </c>
      <c r="BO148" s="1">
        <v>1583</v>
      </c>
      <c r="BP148" s="1">
        <v>1581</v>
      </c>
      <c r="BQ148" s="1">
        <v>1571</v>
      </c>
      <c r="BR148" s="1">
        <v>1700</v>
      </c>
      <c r="BS148" s="1">
        <v>1757</v>
      </c>
      <c r="BT148" s="1">
        <v>1722</v>
      </c>
      <c r="BU148" s="1">
        <v>1704</v>
      </c>
      <c r="BV148" s="1">
        <v>1615</v>
      </c>
      <c r="BW148" s="1">
        <v>1391</v>
      </c>
      <c r="BX148" s="1">
        <v>1268</v>
      </c>
      <c r="BY148" s="1">
        <v>1257</v>
      </c>
      <c r="BZ148" s="1">
        <v>1278</v>
      </c>
    </row>
    <row r="149" spans="1:254" ht="15.9" customHeight="1">
      <c r="A149" s="65" t="s">
        <v>292</v>
      </c>
      <c r="B149" s="41" t="s">
        <v>293</v>
      </c>
      <c r="C149" s="45">
        <f>_xll.RssMarket("7375","安値")</f>
        <v>1123</v>
      </c>
      <c r="D149" s="16">
        <f t="shared" si="5"/>
        <v>0</v>
      </c>
      <c r="E149" s="30">
        <v>1123</v>
      </c>
      <c r="F149" s="30">
        <v>1134</v>
      </c>
      <c r="G149" s="30"/>
      <c r="H149" s="30"/>
      <c r="I149" s="30"/>
      <c r="J149" s="30"/>
      <c r="K149" s="30"/>
      <c r="L149" s="3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c r="AJ149" s="30"/>
      <c r="AK149" s="30"/>
      <c r="AL149" s="30"/>
      <c r="AM149" s="30"/>
      <c r="AN149" s="30"/>
      <c r="AO149" s="30"/>
      <c r="AP149" s="30"/>
      <c r="AQ149" s="30"/>
      <c r="AR149" s="30"/>
      <c r="AS149" s="30"/>
      <c r="AT149" s="30"/>
      <c r="AU149" s="30"/>
      <c r="AV149" s="30"/>
      <c r="AW149" s="30"/>
      <c r="AX149" s="30"/>
      <c r="AY149" s="30"/>
      <c r="AZ149" s="30"/>
      <c r="BA149" s="30"/>
      <c r="BB149" s="30"/>
      <c r="BC149" s="30"/>
      <c r="BD149" s="30"/>
      <c r="BE149" s="30"/>
      <c r="BF149" s="30"/>
      <c r="BG149" s="30"/>
      <c r="BH149" s="30"/>
      <c r="BI149" s="30"/>
      <c r="BJ149" s="30"/>
      <c r="BK149" s="30"/>
      <c r="BL149" s="30"/>
    </row>
    <row r="150" spans="1:254" ht="15.9" customHeight="1">
      <c r="A150" s="65" t="s">
        <v>294</v>
      </c>
      <c r="B150" s="41" t="s">
        <v>295</v>
      </c>
      <c r="C150" s="45">
        <f>_xll.RssMarket("4307","安値")</f>
        <v>4629</v>
      </c>
      <c r="D150" s="16">
        <f t="shared" si="5"/>
        <v>0</v>
      </c>
      <c r="E150" s="30">
        <v>4629</v>
      </c>
      <c r="F150" s="30">
        <v>4486</v>
      </c>
      <c r="G150" s="30">
        <v>4562</v>
      </c>
      <c r="H150" s="30">
        <v>4583</v>
      </c>
      <c r="I150" s="30">
        <v>4650</v>
      </c>
      <c r="J150" s="30">
        <v>5424</v>
      </c>
      <c r="K150" s="30">
        <v>5332</v>
      </c>
      <c r="L150" s="30">
        <v>5192</v>
      </c>
      <c r="M150" s="30">
        <v>4986</v>
      </c>
      <c r="N150" s="30">
        <v>4871</v>
      </c>
      <c r="O150" s="30">
        <v>4868</v>
      </c>
      <c r="P150" s="30">
        <v>4901</v>
      </c>
      <c r="Q150" s="30">
        <v>5056</v>
      </c>
      <c r="R150" s="30">
        <v>5050</v>
      </c>
      <c r="S150" s="30">
        <v>4787</v>
      </c>
      <c r="T150" s="30">
        <v>5063</v>
      </c>
      <c r="U150" s="30">
        <v>4926</v>
      </c>
      <c r="V150" s="30">
        <v>4973</v>
      </c>
      <c r="W150" s="30">
        <v>4910</v>
      </c>
      <c r="X150" s="30">
        <v>5000</v>
      </c>
      <c r="Y150" s="30">
        <v>5050</v>
      </c>
      <c r="Z150" s="30">
        <v>4850</v>
      </c>
      <c r="AA150" s="30">
        <v>4884</v>
      </c>
      <c r="AB150" s="30">
        <v>4836</v>
      </c>
      <c r="AC150" s="30">
        <v>4510</v>
      </c>
      <c r="AD150" s="30">
        <v>4546</v>
      </c>
      <c r="AE150" s="30">
        <v>4473</v>
      </c>
      <c r="AF150" s="30">
        <v>4201</v>
      </c>
      <c r="AG150" s="30">
        <v>4253</v>
      </c>
      <c r="AH150" s="30">
        <v>4281</v>
      </c>
      <c r="AI150" s="30">
        <v>4144</v>
      </c>
      <c r="AJ150" s="30">
        <v>4228</v>
      </c>
      <c r="AK150" s="30">
        <v>4358</v>
      </c>
      <c r="AL150" s="30">
        <v>4551</v>
      </c>
      <c r="AM150" s="30">
        <v>4475</v>
      </c>
      <c r="AN150" s="30">
        <v>4401</v>
      </c>
      <c r="AO150" s="30">
        <v>4550</v>
      </c>
      <c r="AP150" s="30">
        <v>4464</v>
      </c>
      <c r="AQ150" s="30">
        <v>4562</v>
      </c>
      <c r="AR150" s="30">
        <v>4605</v>
      </c>
      <c r="AS150" s="30">
        <v>4692</v>
      </c>
      <c r="AT150" s="30">
        <v>4780</v>
      </c>
      <c r="AU150" s="30">
        <v>4638</v>
      </c>
      <c r="AV150" s="30">
        <v>4780</v>
      </c>
      <c r="AW150" s="30">
        <v>5009</v>
      </c>
      <c r="AX150" s="30">
        <v>4938</v>
      </c>
      <c r="AY150" s="30">
        <v>4700</v>
      </c>
      <c r="AZ150" s="30">
        <v>4570</v>
      </c>
      <c r="BA150" s="30">
        <v>4532</v>
      </c>
      <c r="BB150" s="30">
        <v>4571</v>
      </c>
      <c r="BC150" s="30">
        <v>4653</v>
      </c>
      <c r="BD150" s="30">
        <v>4668</v>
      </c>
      <c r="BE150" s="30">
        <v>4640</v>
      </c>
      <c r="BF150" s="30">
        <v>4415</v>
      </c>
      <c r="BG150" s="30">
        <v>4201</v>
      </c>
      <c r="BH150" s="30">
        <v>4126</v>
      </c>
      <c r="BI150" s="30">
        <v>4230</v>
      </c>
      <c r="BJ150" s="30">
        <v>4148</v>
      </c>
      <c r="BK150" s="30">
        <v>4280</v>
      </c>
      <c r="BL150" s="30">
        <v>4270</v>
      </c>
      <c r="BM150" s="1">
        <v>4113</v>
      </c>
      <c r="BN150" s="1">
        <v>4054</v>
      </c>
      <c r="BO150" s="1">
        <v>4098</v>
      </c>
      <c r="BP150" s="1">
        <v>4286</v>
      </c>
      <c r="BQ150" s="1">
        <v>4357</v>
      </c>
      <c r="BR150" s="1">
        <v>4974</v>
      </c>
      <c r="BS150" s="1">
        <v>4951</v>
      </c>
      <c r="BT150" s="1">
        <v>5050</v>
      </c>
      <c r="BU150" s="1">
        <v>4967</v>
      </c>
      <c r="BV150" s="1">
        <v>4926</v>
      </c>
      <c r="BW150" s="1">
        <v>4885</v>
      </c>
      <c r="BX150" s="1">
        <v>4861</v>
      </c>
      <c r="BY150" s="1">
        <v>4757</v>
      </c>
      <c r="BZ150" s="1">
        <v>4613</v>
      </c>
    </row>
    <row r="151" spans="1:254" ht="15.9" customHeight="1">
      <c r="A151" s="65" t="s">
        <v>296</v>
      </c>
      <c r="B151" s="41" t="s">
        <v>297</v>
      </c>
      <c r="C151" s="45">
        <f>_xll.RssMarket("6516","安値")</f>
        <v>5870</v>
      </c>
      <c r="D151" s="16">
        <f t="shared" si="5"/>
        <v>0</v>
      </c>
      <c r="E151" s="30">
        <v>5870</v>
      </c>
      <c r="F151" s="30">
        <v>5920</v>
      </c>
      <c r="G151" s="30">
        <v>5520</v>
      </c>
      <c r="H151" s="30">
        <v>5210</v>
      </c>
      <c r="I151" s="30">
        <v>5490</v>
      </c>
      <c r="J151" s="30">
        <v>5000</v>
      </c>
      <c r="K151" s="30">
        <v>5040</v>
      </c>
      <c r="L151" s="30">
        <v>5400</v>
      </c>
      <c r="M151" s="30">
        <v>5580</v>
      </c>
      <c r="N151" s="30"/>
      <c r="O151" s="30">
        <v>5720</v>
      </c>
      <c r="P151" s="30">
        <v>5710</v>
      </c>
      <c r="Q151" s="30">
        <v>5420</v>
      </c>
      <c r="R151" s="30">
        <v>5280</v>
      </c>
      <c r="S151" s="30">
        <v>5810</v>
      </c>
      <c r="T151" s="30">
        <v>5720</v>
      </c>
      <c r="U151" s="30">
        <v>5860</v>
      </c>
      <c r="V151" s="30">
        <v>6010</v>
      </c>
      <c r="W151" s="30">
        <v>5850</v>
      </c>
      <c r="X151" s="30">
        <v>5920</v>
      </c>
      <c r="Y151" s="30">
        <v>6070</v>
      </c>
      <c r="Z151" s="30">
        <v>6300</v>
      </c>
      <c r="AA151" s="30">
        <v>6370</v>
      </c>
      <c r="AB151" s="30">
        <v>6300</v>
      </c>
      <c r="AC151" s="30">
        <v>6540</v>
      </c>
      <c r="AD151" s="30">
        <v>6460</v>
      </c>
      <c r="AE151" s="30">
        <v>6480</v>
      </c>
      <c r="AF151" s="30">
        <v>6740</v>
      </c>
      <c r="AG151" s="30">
        <v>7050</v>
      </c>
      <c r="AH151" s="30">
        <v>6910</v>
      </c>
      <c r="AI151" s="30">
        <v>7000</v>
      </c>
      <c r="AJ151" s="30">
        <v>6820</v>
      </c>
      <c r="AK151" s="30">
        <v>6720</v>
      </c>
      <c r="AL151" s="30">
        <v>6760</v>
      </c>
      <c r="AM151" s="30">
        <v>6430</v>
      </c>
      <c r="AN151" s="30">
        <v>6500</v>
      </c>
      <c r="AO151" s="30">
        <v>6490</v>
      </c>
      <c r="AP151" s="30">
        <v>6220</v>
      </c>
      <c r="AQ151" s="30">
        <v>6000</v>
      </c>
      <c r="AR151" s="30">
        <v>6180</v>
      </c>
      <c r="AS151" s="30">
        <v>6230</v>
      </c>
      <c r="AT151" s="30">
        <v>6470</v>
      </c>
      <c r="AU151" s="30">
        <v>6600</v>
      </c>
      <c r="AV151" s="30">
        <v>6430</v>
      </c>
      <c r="AW151" s="30">
        <v>6290</v>
      </c>
      <c r="AX151" s="30">
        <v>6700</v>
      </c>
      <c r="AY151" s="30">
        <v>6570</v>
      </c>
      <c r="AZ151" s="30">
        <v>6790</v>
      </c>
      <c r="BA151" s="30">
        <v>7020</v>
      </c>
      <c r="BB151" s="30">
        <v>7080</v>
      </c>
      <c r="BC151" s="30">
        <v>6960</v>
      </c>
      <c r="BD151" s="30">
        <v>6740</v>
      </c>
      <c r="BE151" s="30">
        <v>6960</v>
      </c>
      <c r="BF151" s="30">
        <v>7240</v>
      </c>
      <c r="BG151" s="30">
        <v>7280</v>
      </c>
      <c r="BH151" s="30">
        <v>7460</v>
      </c>
      <c r="BI151" s="30">
        <v>7390</v>
      </c>
      <c r="BJ151" s="30">
        <v>7320</v>
      </c>
      <c r="BK151" s="30">
        <v>7380</v>
      </c>
      <c r="BL151" s="30">
        <v>7070</v>
      </c>
      <c r="BM151" s="1">
        <v>7010</v>
      </c>
      <c r="BN151" s="1">
        <v>6650</v>
      </c>
      <c r="BO151" s="1">
        <v>6900</v>
      </c>
      <c r="BP151" s="1">
        <v>6740</v>
      </c>
      <c r="BQ151" s="1">
        <v>5630</v>
      </c>
      <c r="BR151" s="1">
        <v>5190</v>
      </c>
      <c r="BS151" s="1">
        <v>5110</v>
      </c>
      <c r="BT151" s="1">
        <v>5130</v>
      </c>
      <c r="BU151" s="1">
        <v>5210</v>
      </c>
      <c r="BV151" s="1">
        <v>5100</v>
      </c>
      <c r="BW151" s="1">
        <v>5100</v>
      </c>
      <c r="BX151" s="1">
        <v>5170</v>
      </c>
      <c r="BY151" s="1">
        <v>5160</v>
      </c>
      <c r="BZ151" s="1">
        <v>5060</v>
      </c>
    </row>
    <row r="152" spans="1:254" ht="15.9" customHeight="1">
      <c r="A152" s="65" t="s">
        <v>298</v>
      </c>
      <c r="B152" s="41" t="s">
        <v>299</v>
      </c>
      <c r="C152" s="45">
        <f>_xll.RssMarket("7381","安値")</f>
        <v>1166</v>
      </c>
      <c r="D152" s="16">
        <f t="shared" si="5"/>
        <v>0</v>
      </c>
      <c r="E152" s="30">
        <v>1166</v>
      </c>
      <c r="F152" s="30">
        <v>1138</v>
      </c>
      <c r="G152" s="30">
        <v>1115</v>
      </c>
      <c r="H152" s="30">
        <v>1071</v>
      </c>
      <c r="I152" s="30">
        <v>1057</v>
      </c>
      <c r="J152" s="30">
        <v>1040</v>
      </c>
      <c r="K152" s="30">
        <v>1063</v>
      </c>
      <c r="L152" s="30">
        <v>1137</v>
      </c>
      <c r="M152" s="30">
        <v>1151</v>
      </c>
      <c r="N152" s="30">
        <v>1136</v>
      </c>
      <c r="O152" s="30">
        <v>1154</v>
      </c>
      <c r="P152" s="30">
        <v>1141</v>
      </c>
      <c r="Q152" s="30">
        <v>1061</v>
      </c>
      <c r="R152" s="30">
        <v>1054</v>
      </c>
      <c r="S152" s="30">
        <v>1087</v>
      </c>
      <c r="T152" s="30">
        <v>1048</v>
      </c>
      <c r="U152" s="30">
        <v>1038</v>
      </c>
      <c r="V152" s="30">
        <v>1030</v>
      </c>
      <c r="W152" s="30">
        <v>1034</v>
      </c>
      <c r="X152" s="30">
        <v>1063</v>
      </c>
      <c r="Y152" s="30">
        <v>1053</v>
      </c>
      <c r="Z152" s="30">
        <v>1038</v>
      </c>
      <c r="AA152" s="30">
        <v>1017</v>
      </c>
      <c r="AB152" s="30">
        <v>1029</v>
      </c>
      <c r="AC152" s="30">
        <v>1021</v>
      </c>
      <c r="AD152" s="30">
        <v>1010</v>
      </c>
      <c r="AE152" s="30">
        <v>978</v>
      </c>
      <c r="AF152" s="30">
        <v>967</v>
      </c>
      <c r="AG152" s="30">
        <v>945</v>
      </c>
      <c r="AH152" s="30">
        <v>944</v>
      </c>
      <c r="AI152" s="30">
        <v>949</v>
      </c>
      <c r="AJ152" s="30">
        <v>951</v>
      </c>
      <c r="AK152" s="30">
        <v>945</v>
      </c>
      <c r="AL152" s="30">
        <v>970</v>
      </c>
      <c r="AM152" s="30">
        <v>975</v>
      </c>
      <c r="AN152" s="30">
        <v>975</v>
      </c>
      <c r="AO152" s="30">
        <v>1003</v>
      </c>
      <c r="AP152" s="30">
        <v>983</v>
      </c>
      <c r="AQ152" s="30">
        <v>956</v>
      </c>
      <c r="AR152" s="30">
        <v>976</v>
      </c>
      <c r="AS152" s="30">
        <v>969</v>
      </c>
      <c r="AT152" s="30">
        <v>1028</v>
      </c>
      <c r="AU152" s="30">
        <v>1002</v>
      </c>
      <c r="AV152" s="30">
        <v>1011</v>
      </c>
      <c r="AW152" s="30">
        <v>967</v>
      </c>
      <c r="AX152" s="30">
        <v>1034</v>
      </c>
      <c r="AY152" s="30">
        <v>1010</v>
      </c>
      <c r="AZ152" s="30">
        <v>1038</v>
      </c>
      <c r="BA152" s="30">
        <v>1038</v>
      </c>
      <c r="BB152" s="30">
        <v>1052</v>
      </c>
      <c r="BC152" s="30">
        <v>1047</v>
      </c>
      <c r="BD152" s="30">
        <v>1008</v>
      </c>
      <c r="BE152" s="30">
        <v>1009</v>
      </c>
      <c r="BF152" s="30">
        <v>1024</v>
      </c>
      <c r="BG152" s="30">
        <v>1033</v>
      </c>
      <c r="BH152" s="30">
        <v>1020</v>
      </c>
      <c r="BI152" s="30">
        <v>1011</v>
      </c>
      <c r="BJ152" s="30">
        <v>1003</v>
      </c>
      <c r="BK152" s="30">
        <v>997</v>
      </c>
      <c r="BL152" s="30">
        <v>986</v>
      </c>
      <c r="BM152" s="1">
        <v>975</v>
      </c>
      <c r="BN152" s="1">
        <v>937</v>
      </c>
      <c r="BO152" s="1">
        <v>921</v>
      </c>
      <c r="BP152" s="1">
        <v>907</v>
      </c>
      <c r="BQ152" s="1">
        <v>896</v>
      </c>
      <c r="BR152" s="1">
        <v>900</v>
      </c>
      <c r="BS152" s="1">
        <v>909</v>
      </c>
      <c r="BT152" s="1">
        <v>923</v>
      </c>
      <c r="BU152" s="1">
        <v>964</v>
      </c>
      <c r="BV152" s="1">
        <v>997</v>
      </c>
      <c r="BW152" s="1">
        <v>1009</v>
      </c>
      <c r="BX152" s="1">
        <v>1034</v>
      </c>
      <c r="BY152" s="1">
        <v>1029</v>
      </c>
      <c r="BZ152" s="1">
        <v>1012</v>
      </c>
    </row>
    <row r="153" spans="1:254" ht="15.9" customHeight="1">
      <c r="A153" s="65" t="s">
        <v>300</v>
      </c>
      <c r="B153" s="41" t="s">
        <v>301</v>
      </c>
      <c r="C153" s="45">
        <f>_xll.RssMarket("4417","安値")</f>
        <v>4250</v>
      </c>
      <c r="D153" s="16">
        <f t="shared" si="5"/>
        <v>0</v>
      </c>
      <c r="E153" s="30">
        <v>4250</v>
      </c>
      <c r="F153" s="30">
        <v>4150</v>
      </c>
      <c r="G153" s="30">
        <v>4030</v>
      </c>
      <c r="H153" s="30">
        <v>4100</v>
      </c>
      <c r="I153" s="30">
        <v>4285</v>
      </c>
      <c r="J153" s="30">
        <v>4370</v>
      </c>
      <c r="K153" s="30">
        <v>4405</v>
      </c>
      <c r="L153" s="30">
        <v>4340</v>
      </c>
      <c r="M153" s="30">
        <v>4285</v>
      </c>
      <c r="N153" s="30">
        <v>4155</v>
      </c>
      <c r="O153" s="30">
        <v>4075</v>
      </c>
      <c r="P153" s="30">
        <v>4265</v>
      </c>
      <c r="Q153" s="30">
        <v>4205</v>
      </c>
      <c r="R153" s="30">
        <v>4310</v>
      </c>
      <c r="S153" s="30">
        <v>4180</v>
      </c>
      <c r="T153" s="30">
        <v>4010</v>
      </c>
      <c r="U153" s="30">
        <v>3840</v>
      </c>
      <c r="V153" s="30">
        <v>3860</v>
      </c>
      <c r="W153" s="30">
        <v>3885</v>
      </c>
      <c r="X153" s="30">
        <v>3815</v>
      </c>
      <c r="Y153" s="30">
        <v>3910</v>
      </c>
      <c r="Z153" s="30">
        <v>4150</v>
      </c>
      <c r="AA153" s="30">
        <v>4115</v>
      </c>
      <c r="AB153" s="30">
        <v>3840</v>
      </c>
      <c r="AC153" s="30">
        <v>3780</v>
      </c>
      <c r="AD153" s="30">
        <v>3730</v>
      </c>
      <c r="AE153" s="30">
        <v>3500</v>
      </c>
      <c r="AF153" s="30">
        <v>3190</v>
      </c>
      <c r="AG153" s="30">
        <v>3185</v>
      </c>
      <c r="AH153" s="30">
        <v>3140</v>
      </c>
      <c r="AI153" s="30">
        <v>3120</v>
      </c>
      <c r="AJ153" s="30">
        <v>3240</v>
      </c>
      <c r="AK153" s="30">
        <v>3215</v>
      </c>
      <c r="AL153" s="30">
        <v>3225</v>
      </c>
      <c r="AM153" s="30">
        <v>3070</v>
      </c>
      <c r="AN153" s="30">
        <v>3030</v>
      </c>
      <c r="AO153" s="30">
        <v>3055</v>
      </c>
      <c r="AP153" s="30">
        <v>2958</v>
      </c>
      <c r="AQ153" s="30">
        <v>2958</v>
      </c>
      <c r="AR153" s="30">
        <v>3075</v>
      </c>
      <c r="AS153" s="30">
        <v>2958</v>
      </c>
      <c r="AT153" s="30">
        <v>3040</v>
      </c>
      <c r="AU153" s="30">
        <v>2991</v>
      </c>
      <c r="AV153" s="30">
        <v>3115</v>
      </c>
      <c r="AW153" s="30">
        <v>3230</v>
      </c>
      <c r="AX153" s="30">
        <v>3285</v>
      </c>
      <c r="AY153" s="30">
        <v>3165</v>
      </c>
      <c r="AZ153" s="30">
        <v>3280</v>
      </c>
      <c r="BA153" s="30">
        <v>3260</v>
      </c>
      <c r="BB153" s="30">
        <v>3080</v>
      </c>
      <c r="BC153" s="30">
        <v>2988</v>
      </c>
      <c r="BD153" s="30">
        <v>2851</v>
      </c>
      <c r="BE153" s="30">
        <v>2839</v>
      </c>
      <c r="BF153" s="30">
        <v>2710</v>
      </c>
      <c r="BG153" s="30">
        <v>2702</v>
      </c>
      <c r="BH153" s="30">
        <v>2721</v>
      </c>
      <c r="BI153" s="30">
        <v>2914</v>
      </c>
      <c r="BJ153" s="30">
        <v>2881</v>
      </c>
      <c r="BK153" s="30">
        <v>2836</v>
      </c>
      <c r="BL153" s="30">
        <v>2705</v>
      </c>
      <c r="BM153" s="1">
        <v>2678</v>
      </c>
      <c r="BN153" s="1">
        <v>2660</v>
      </c>
      <c r="BO153" s="1">
        <v>2411</v>
      </c>
      <c r="BP153" s="1">
        <v>2452</v>
      </c>
      <c r="BQ153" s="1">
        <v>2450</v>
      </c>
      <c r="BR153" s="1">
        <v>2450</v>
      </c>
      <c r="BS153" s="1">
        <v>2438</v>
      </c>
      <c r="BT153" s="1">
        <v>2440</v>
      </c>
      <c r="BU153" s="1">
        <v>2423</v>
      </c>
      <c r="BV153" s="1">
        <v>2483</v>
      </c>
      <c r="BW153" s="1">
        <v>2464</v>
      </c>
      <c r="BX153" s="1">
        <v>2456</v>
      </c>
      <c r="BY153" s="1">
        <v>2281</v>
      </c>
      <c r="BZ153" s="1">
        <v>2228</v>
      </c>
    </row>
    <row r="154" spans="1:254" ht="15.9" customHeight="1">
      <c r="A154" s="65" t="s">
        <v>302</v>
      </c>
      <c r="B154" s="41" t="s">
        <v>303</v>
      </c>
      <c r="C154" s="45">
        <f>_xll.RssMarket("6981","安値")</f>
        <v>7050</v>
      </c>
      <c r="D154" s="16">
        <f t="shared" si="5"/>
        <v>0</v>
      </c>
      <c r="E154" s="30">
        <v>7050</v>
      </c>
      <c r="F154" s="30">
        <v>7305</v>
      </c>
      <c r="G154" s="30">
        <v>6770</v>
      </c>
      <c r="H154" s="30">
        <v>6923</v>
      </c>
      <c r="I154" s="30">
        <v>7416</v>
      </c>
      <c r="J154" s="30">
        <v>6022</v>
      </c>
      <c r="K154" s="30">
        <v>5861</v>
      </c>
      <c r="L154" s="30">
        <v>7000</v>
      </c>
      <c r="M154" s="30">
        <v>7963</v>
      </c>
      <c r="N154" s="30">
        <v>8030</v>
      </c>
      <c r="O154" s="30">
        <v>8507</v>
      </c>
      <c r="P154" s="30">
        <v>8225</v>
      </c>
      <c r="Q154" s="30">
        <v>7336</v>
      </c>
      <c r="R154" s="30">
        <v>7270</v>
      </c>
      <c r="S154" s="30">
        <v>8745</v>
      </c>
      <c r="T154" s="30">
        <v>8469</v>
      </c>
      <c r="U154" s="30">
        <v>8795</v>
      </c>
      <c r="V154" s="30">
        <v>9582</v>
      </c>
      <c r="W154" s="30">
        <v>9265</v>
      </c>
      <c r="X154" s="30">
        <v>8823</v>
      </c>
      <c r="Y154" s="30">
        <v>9181</v>
      </c>
      <c r="Z154" s="30">
        <v>9901</v>
      </c>
      <c r="AA154" s="30">
        <v>9951</v>
      </c>
      <c r="AB154" s="30">
        <v>10765</v>
      </c>
      <c r="AC154" s="30">
        <v>11530</v>
      </c>
      <c r="AD154" s="30">
        <v>10450</v>
      </c>
      <c r="AE154" s="30">
        <v>10355</v>
      </c>
      <c r="AF154" s="30">
        <v>10580</v>
      </c>
      <c r="AG154" s="30">
        <v>11125</v>
      </c>
      <c r="AH154" s="30">
        <v>10780</v>
      </c>
      <c r="AI154" s="30">
        <v>11005</v>
      </c>
      <c r="AJ154" s="30">
        <v>12120</v>
      </c>
      <c r="AK154" s="30">
        <v>11280</v>
      </c>
      <c r="AL154" s="30">
        <v>11715</v>
      </c>
      <c r="AM154" s="30">
        <v>10200</v>
      </c>
      <c r="AN154" s="30">
        <v>10320</v>
      </c>
      <c r="AO154" s="30">
        <v>9415</v>
      </c>
      <c r="AP154" s="30">
        <v>8521</v>
      </c>
      <c r="AQ154" s="30">
        <v>8083</v>
      </c>
      <c r="AR154" s="30">
        <v>8550</v>
      </c>
      <c r="AS154" s="30">
        <v>8624</v>
      </c>
      <c r="AT154" s="30">
        <v>9225</v>
      </c>
      <c r="AU154" s="30">
        <v>9858</v>
      </c>
      <c r="AV154" s="30">
        <v>9928</v>
      </c>
      <c r="AW154" s="30">
        <v>9700</v>
      </c>
      <c r="AX154" s="30">
        <v>9033</v>
      </c>
      <c r="AY154" s="30">
        <v>7700</v>
      </c>
      <c r="AZ154" s="30">
        <v>7750</v>
      </c>
      <c r="BA154" s="30">
        <v>7315</v>
      </c>
      <c r="BB154" s="30">
        <v>6659</v>
      </c>
      <c r="BC154" s="30">
        <v>6316</v>
      </c>
      <c r="BD154" s="30">
        <v>5825</v>
      </c>
      <c r="BE154" s="30">
        <v>6128</v>
      </c>
      <c r="BF154" s="30">
        <v>5930</v>
      </c>
      <c r="BG154" s="30">
        <v>6035</v>
      </c>
      <c r="BH154" s="30">
        <v>6138</v>
      </c>
      <c r="BI154" s="30">
        <v>5900</v>
      </c>
      <c r="BJ154" s="30">
        <v>6040</v>
      </c>
      <c r="BK154" s="30">
        <v>5808</v>
      </c>
      <c r="BL154" s="30">
        <v>5551</v>
      </c>
      <c r="BM154" s="1">
        <v>5398</v>
      </c>
      <c r="BN154" s="1">
        <v>4905</v>
      </c>
      <c r="BO154" s="1">
        <v>4750</v>
      </c>
      <c r="BP154" s="1">
        <v>4810</v>
      </c>
      <c r="BQ154" s="1">
        <v>4770</v>
      </c>
      <c r="BR154" s="1">
        <v>4890</v>
      </c>
      <c r="BS154" s="1">
        <v>4672</v>
      </c>
      <c r="BT154" s="1">
        <v>4821</v>
      </c>
      <c r="BU154" s="1">
        <v>4736</v>
      </c>
      <c r="BV154" s="1">
        <v>4658</v>
      </c>
      <c r="BW154" s="1">
        <v>4600</v>
      </c>
      <c r="BX154" s="1">
        <v>4537</v>
      </c>
      <c r="BY154" s="1">
        <v>4431</v>
      </c>
      <c r="BZ154" s="1">
        <v>4205</v>
      </c>
    </row>
    <row r="155" spans="1:254" ht="15.9" customHeight="1">
      <c r="A155" s="65" t="s">
        <v>304</v>
      </c>
      <c r="B155" s="41" t="s">
        <v>305</v>
      </c>
      <c r="C155" s="45">
        <f>_xll.RssMarket("6754","安値")</f>
        <v>3481</v>
      </c>
      <c r="D155" s="16">
        <f t="shared" si="5"/>
        <v>0</v>
      </c>
      <c r="E155" s="30">
        <v>3481</v>
      </c>
      <c r="F155" s="30">
        <v>3630</v>
      </c>
      <c r="G155" s="30">
        <v>3444</v>
      </c>
      <c r="H155" s="30">
        <v>3428</v>
      </c>
      <c r="I155" s="30">
        <v>3428</v>
      </c>
      <c r="J155" s="30">
        <v>3387</v>
      </c>
      <c r="K155" s="30">
        <v>3344</v>
      </c>
      <c r="L155" s="30">
        <v>3621</v>
      </c>
      <c r="M155" s="30">
        <v>3798</v>
      </c>
      <c r="N155" s="30"/>
      <c r="O155" s="30">
        <v>3910</v>
      </c>
      <c r="P155" s="30">
        <v>3902</v>
      </c>
      <c r="Q155" s="30">
        <v>3611</v>
      </c>
      <c r="R155" s="30">
        <v>3533</v>
      </c>
      <c r="S155" s="30">
        <v>4056</v>
      </c>
      <c r="T155" s="30">
        <v>3913</v>
      </c>
      <c r="U155" s="30">
        <v>4026</v>
      </c>
      <c r="V155" s="30">
        <v>4149</v>
      </c>
      <c r="W155" s="30">
        <v>4035</v>
      </c>
      <c r="X155" s="30">
        <v>3919</v>
      </c>
      <c r="Y155" s="30">
        <v>4052</v>
      </c>
      <c r="Z155" s="30">
        <v>4141</v>
      </c>
      <c r="AA155" s="30">
        <v>4245</v>
      </c>
      <c r="AB155" s="30">
        <v>4401</v>
      </c>
      <c r="AC155" s="30">
        <v>4590</v>
      </c>
      <c r="AD155" s="30">
        <v>4268</v>
      </c>
      <c r="AE155" s="30">
        <v>4166</v>
      </c>
      <c r="AF155" s="30">
        <v>4270</v>
      </c>
      <c r="AG155" s="30">
        <v>4503</v>
      </c>
      <c r="AH155" s="30">
        <v>4357</v>
      </c>
      <c r="AI155" s="30">
        <v>4449</v>
      </c>
      <c r="AJ155" s="30">
        <v>4245</v>
      </c>
      <c r="AK155" s="30">
        <v>4196</v>
      </c>
      <c r="AL155" s="30">
        <v>4010</v>
      </c>
      <c r="AM155" s="30">
        <v>3968</v>
      </c>
      <c r="AN155" s="30">
        <v>3935</v>
      </c>
      <c r="AO155" s="30">
        <v>3931</v>
      </c>
      <c r="AP155" s="30">
        <v>3865</v>
      </c>
      <c r="AQ155" s="30">
        <v>3621</v>
      </c>
      <c r="AR155" s="30">
        <v>3749</v>
      </c>
      <c r="AS155" s="30">
        <v>4180</v>
      </c>
      <c r="AT155" s="30">
        <v>4402</v>
      </c>
      <c r="AU155" s="30">
        <v>4603</v>
      </c>
      <c r="AV155" s="30">
        <v>4619</v>
      </c>
      <c r="AW155" s="30">
        <v>4401</v>
      </c>
      <c r="AX155" s="30">
        <v>4434</v>
      </c>
      <c r="AY155" s="30">
        <v>4429</v>
      </c>
      <c r="AZ155" s="30">
        <v>4546</v>
      </c>
      <c r="BA155" s="30">
        <v>4621</v>
      </c>
      <c r="BB155" s="30">
        <v>4511</v>
      </c>
      <c r="BC155" s="30">
        <v>4340</v>
      </c>
      <c r="BD155" s="30">
        <v>4090</v>
      </c>
      <c r="BE155" s="30">
        <v>4054</v>
      </c>
      <c r="BF155" s="30">
        <v>4111</v>
      </c>
      <c r="BG155" s="30">
        <v>4181</v>
      </c>
      <c r="BH155" s="30">
        <v>4140</v>
      </c>
      <c r="BI155" s="30">
        <v>3969</v>
      </c>
      <c r="BJ155" s="30">
        <v>3993</v>
      </c>
      <c r="BK155" s="30">
        <v>4122</v>
      </c>
      <c r="BL155" s="30">
        <v>4003</v>
      </c>
      <c r="BM155" s="1">
        <v>3914</v>
      </c>
      <c r="BN155" s="1">
        <v>3821</v>
      </c>
      <c r="BO155" s="1">
        <v>3902</v>
      </c>
      <c r="BP155" s="1">
        <v>3870</v>
      </c>
      <c r="BQ155" s="1">
        <v>3613</v>
      </c>
      <c r="BR155" s="1">
        <v>3569</v>
      </c>
      <c r="BS155" s="1">
        <v>3524</v>
      </c>
      <c r="BT155" s="1">
        <v>3521</v>
      </c>
      <c r="BU155" s="1">
        <v>3529</v>
      </c>
      <c r="BV155" s="1">
        <v>3373</v>
      </c>
      <c r="BW155" s="1">
        <v>3400</v>
      </c>
      <c r="BX155" s="1">
        <v>3337</v>
      </c>
      <c r="BY155" s="1">
        <v>3381</v>
      </c>
      <c r="BZ155" s="1">
        <v>3374</v>
      </c>
    </row>
    <row r="156" spans="1:254" ht="15.9" customHeight="1">
      <c r="A156" s="65" t="s">
        <v>306</v>
      </c>
      <c r="B156" s="41" t="s">
        <v>307</v>
      </c>
      <c r="C156" s="45">
        <f>_xll.RssMarket("4088","安値")</f>
        <v>2580</v>
      </c>
      <c r="D156" s="16">
        <f t="shared" si="5"/>
        <v>0</v>
      </c>
      <c r="E156" s="30">
        <v>2580</v>
      </c>
      <c r="F156" s="30">
        <v>2520</v>
      </c>
      <c r="G156" s="30">
        <v>2512</v>
      </c>
      <c r="H156" s="30">
        <v>2493</v>
      </c>
      <c r="I156" s="30">
        <v>2494</v>
      </c>
      <c r="J156" s="30">
        <v>2526</v>
      </c>
      <c r="K156" s="30">
        <v>2566</v>
      </c>
      <c r="L156" s="30">
        <v>2582</v>
      </c>
      <c r="M156" s="30">
        <v>2591</v>
      </c>
      <c r="N156" s="30">
        <v>2545</v>
      </c>
      <c r="O156" s="30">
        <v>2544</v>
      </c>
      <c r="P156" s="30">
        <v>2547</v>
      </c>
      <c r="Q156" s="30">
        <v>2480</v>
      </c>
      <c r="R156" s="30">
        <v>2496</v>
      </c>
      <c r="S156" s="30">
        <v>2542</v>
      </c>
      <c r="T156" s="30">
        <v>2512</v>
      </c>
      <c r="U156" s="30">
        <v>2501</v>
      </c>
      <c r="V156" s="30">
        <v>2543</v>
      </c>
      <c r="W156" s="30">
        <v>2600</v>
      </c>
      <c r="X156" s="30">
        <v>2654</v>
      </c>
      <c r="Y156" s="30">
        <v>2715</v>
      </c>
      <c r="Z156" s="30">
        <v>2751</v>
      </c>
      <c r="AA156" s="30">
        <v>2687</v>
      </c>
      <c r="AB156" s="30">
        <v>2737</v>
      </c>
      <c r="AC156" s="30">
        <v>2736</v>
      </c>
      <c r="AD156" s="30">
        <v>2759</v>
      </c>
      <c r="AE156" s="30">
        <v>2732</v>
      </c>
      <c r="AF156" s="30">
        <v>2745</v>
      </c>
      <c r="AG156" s="30">
        <v>2740</v>
      </c>
      <c r="AH156" s="30">
        <v>2622</v>
      </c>
      <c r="AI156" s="30">
        <v>2596</v>
      </c>
      <c r="AJ156" s="30">
        <v>2451</v>
      </c>
      <c r="AK156" s="30">
        <v>2458</v>
      </c>
      <c r="AL156" s="30">
        <v>2445</v>
      </c>
      <c r="AM156" s="30">
        <v>2478</v>
      </c>
      <c r="AN156" s="30">
        <v>2517</v>
      </c>
      <c r="AO156" s="30">
        <v>2441</v>
      </c>
      <c r="AP156" s="30">
        <v>2386</v>
      </c>
      <c r="AQ156" s="30">
        <v>2393</v>
      </c>
      <c r="AR156" s="30">
        <v>2436</v>
      </c>
      <c r="AS156" s="30">
        <v>2416</v>
      </c>
      <c r="AT156" s="30">
        <v>2420</v>
      </c>
      <c r="AU156" s="30">
        <v>2460</v>
      </c>
      <c r="AV156" s="30">
        <v>2447</v>
      </c>
      <c r="AW156" s="30">
        <v>2430</v>
      </c>
      <c r="AX156" s="30">
        <v>2562</v>
      </c>
      <c r="AY156" s="30">
        <v>2551</v>
      </c>
      <c r="AZ156" s="30">
        <v>2554</v>
      </c>
      <c r="BA156" s="30">
        <v>2513</v>
      </c>
      <c r="BB156" s="30">
        <v>2556</v>
      </c>
      <c r="BC156" s="30">
        <v>2481</v>
      </c>
      <c r="BD156" s="30">
        <v>2456</v>
      </c>
      <c r="BE156" s="30">
        <v>2402</v>
      </c>
      <c r="BF156" s="30">
        <v>2270</v>
      </c>
      <c r="BG156" s="30">
        <v>2166</v>
      </c>
      <c r="BH156" s="30">
        <v>2100</v>
      </c>
      <c r="BI156" s="30">
        <v>2044</v>
      </c>
      <c r="BJ156" s="30">
        <v>1966</v>
      </c>
      <c r="BK156" s="30">
        <v>1903</v>
      </c>
      <c r="BL156" s="30">
        <v>1894</v>
      </c>
      <c r="BM156" s="1">
        <v>1856.5</v>
      </c>
      <c r="BN156" s="1">
        <v>1718.5</v>
      </c>
      <c r="BO156" s="1">
        <v>2207.5</v>
      </c>
      <c r="BP156" s="1">
        <v>2231.5</v>
      </c>
      <c r="BQ156" s="1">
        <v>2210.5</v>
      </c>
      <c r="BR156" s="1">
        <v>2211.5</v>
      </c>
      <c r="BS156" s="1">
        <v>2176</v>
      </c>
      <c r="BT156" s="1">
        <v>2215.5</v>
      </c>
      <c r="BU156" s="1">
        <v>2254</v>
      </c>
      <c r="BV156" s="1">
        <v>2248.5</v>
      </c>
      <c r="BW156" s="1">
        <v>2253</v>
      </c>
      <c r="BX156" s="1">
        <v>2289</v>
      </c>
      <c r="BY156" s="1">
        <v>2276</v>
      </c>
      <c r="BZ156" s="1">
        <v>2243</v>
      </c>
    </row>
    <row r="157" spans="1:254" ht="15.9" customHeight="1">
      <c r="A157" s="65" t="s">
        <v>308</v>
      </c>
      <c r="B157" s="41" t="s">
        <v>309</v>
      </c>
      <c r="C157" s="45">
        <f>_xll.RssMarket("4091","安値")</f>
        <v>5921</v>
      </c>
      <c r="D157" s="16">
        <f t="shared" si="5"/>
        <v>0</v>
      </c>
      <c r="E157" s="30">
        <v>5921</v>
      </c>
      <c r="F157" s="30">
        <v>5800</v>
      </c>
      <c r="G157" s="30">
        <v>5619</v>
      </c>
      <c r="H157" s="30">
        <v>5521</v>
      </c>
      <c r="I157" s="30">
        <v>5731</v>
      </c>
      <c r="J157" s="30">
        <v>5739</v>
      </c>
      <c r="K157" s="30">
        <v>5616</v>
      </c>
      <c r="L157" s="30">
        <v>5825</v>
      </c>
      <c r="M157" s="30">
        <v>5906</v>
      </c>
      <c r="N157" s="30">
        <v>5772</v>
      </c>
      <c r="O157" s="30">
        <v>5906</v>
      </c>
      <c r="P157" s="30">
        <v>5960</v>
      </c>
      <c r="Q157" s="30">
        <v>5988</v>
      </c>
      <c r="R157" s="30">
        <v>5946</v>
      </c>
      <c r="S157" s="30">
        <v>6070</v>
      </c>
      <c r="T157" s="30">
        <v>5970</v>
      </c>
      <c r="U157" s="30">
        <v>5970</v>
      </c>
      <c r="V157" s="30">
        <v>6063</v>
      </c>
      <c r="W157" s="30">
        <v>6075</v>
      </c>
      <c r="X157" s="30">
        <v>6145</v>
      </c>
      <c r="Y157" s="30">
        <v>6141</v>
      </c>
      <c r="Z157" s="30">
        <v>6255</v>
      </c>
      <c r="AA157" s="30">
        <v>6126</v>
      </c>
      <c r="AB157" s="30">
        <v>6070</v>
      </c>
      <c r="AC157" s="30">
        <v>5878</v>
      </c>
      <c r="AD157" s="30">
        <v>5850</v>
      </c>
      <c r="AE157" s="30">
        <v>5863</v>
      </c>
      <c r="AF157" s="30">
        <v>5838</v>
      </c>
      <c r="AG157" s="30">
        <v>5616</v>
      </c>
      <c r="AH157" s="30">
        <v>5531</v>
      </c>
      <c r="AI157" s="30">
        <v>5495</v>
      </c>
      <c r="AJ157" s="30">
        <v>5468</v>
      </c>
      <c r="AK157" s="30">
        <v>5501</v>
      </c>
      <c r="AL157" s="30">
        <v>5533</v>
      </c>
      <c r="AM157" s="30">
        <v>5480</v>
      </c>
      <c r="AN157" s="30">
        <v>5522</v>
      </c>
      <c r="AO157" s="30">
        <v>5462</v>
      </c>
      <c r="AP157" s="30">
        <v>5293</v>
      </c>
      <c r="AQ157" s="30">
        <v>5164</v>
      </c>
      <c r="AR157" s="30">
        <v>5248</v>
      </c>
      <c r="AS157" s="30">
        <v>5334</v>
      </c>
      <c r="AT157" s="30">
        <v>5550</v>
      </c>
      <c r="AU157" s="30">
        <v>5581</v>
      </c>
      <c r="AV157" s="30">
        <v>5657</v>
      </c>
      <c r="AW157" s="30">
        <v>5693</v>
      </c>
      <c r="AX157" s="30">
        <v>6150</v>
      </c>
      <c r="AY157" s="30">
        <v>6203</v>
      </c>
      <c r="AZ157" s="30">
        <v>6319</v>
      </c>
      <c r="BA157" s="30">
        <v>6227</v>
      </c>
      <c r="BB157" s="30">
        <v>6100</v>
      </c>
      <c r="BC157" s="30">
        <v>5820</v>
      </c>
      <c r="BD157" s="30">
        <v>5799</v>
      </c>
      <c r="BE157" s="30">
        <v>5879</v>
      </c>
      <c r="BF157" s="30">
        <v>5927</v>
      </c>
      <c r="BG157" s="30">
        <v>6077</v>
      </c>
      <c r="BH157" s="30">
        <v>5966</v>
      </c>
      <c r="BI157" s="30">
        <v>5709</v>
      </c>
      <c r="BJ157" s="30">
        <v>5650</v>
      </c>
      <c r="BK157" s="30">
        <v>5680</v>
      </c>
      <c r="BL157" s="30">
        <v>5538</v>
      </c>
      <c r="BM157" s="1">
        <v>5468</v>
      </c>
      <c r="BN157" s="1">
        <v>5485</v>
      </c>
      <c r="BO157" s="1">
        <v>5492</v>
      </c>
      <c r="BP157" s="1">
        <v>5615</v>
      </c>
      <c r="BQ157" s="1">
        <v>5569</v>
      </c>
      <c r="BR157" s="1">
        <v>5597</v>
      </c>
      <c r="BS157" s="1">
        <v>5600</v>
      </c>
      <c r="BT157" s="1">
        <v>5637</v>
      </c>
      <c r="BU157" s="1">
        <v>5772</v>
      </c>
      <c r="BV157" s="1">
        <v>5731</v>
      </c>
      <c r="BW157" s="1">
        <v>5886</v>
      </c>
      <c r="BX157" s="1">
        <v>5845</v>
      </c>
      <c r="BY157" s="1">
        <v>5759</v>
      </c>
      <c r="BZ157" s="1">
        <v>5898</v>
      </c>
    </row>
    <row r="158" spans="1:254" ht="15.9" customHeight="1">
      <c r="A158" s="65" t="s">
        <v>310</v>
      </c>
      <c r="B158" s="41" t="s">
        <v>311</v>
      </c>
      <c r="C158" s="45">
        <f>_xll.RssMarket("6857","安値")</f>
        <v>31910</v>
      </c>
      <c r="D158" s="16">
        <f t="shared" si="5"/>
        <v>0</v>
      </c>
      <c r="E158" s="30">
        <v>31910</v>
      </c>
      <c r="F158" s="30">
        <v>32390</v>
      </c>
      <c r="G158" s="30">
        <v>30080</v>
      </c>
      <c r="H158" s="30">
        <v>31100</v>
      </c>
      <c r="I158" s="30">
        <v>31570</v>
      </c>
      <c r="J158" s="30">
        <v>27380</v>
      </c>
      <c r="K158" s="30">
        <v>24135</v>
      </c>
      <c r="L158" s="30">
        <v>25250</v>
      </c>
      <c r="M158" s="30">
        <v>27800</v>
      </c>
      <c r="N158" s="30">
        <v>28445</v>
      </c>
      <c r="O158" s="30">
        <v>30320</v>
      </c>
      <c r="P158" s="30">
        <v>29535</v>
      </c>
      <c r="Q158" s="30">
        <v>27530</v>
      </c>
      <c r="R158" s="30">
        <v>26000</v>
      </c>
      <c r="S158" s="30">
        <v>29730</v>
      </c>
      <c r="T158" s="30">
        <v>28230</v>
      </c>
      <c r="U158" s="30">
        <v>28415</v>
      </c>
      <c r="V158" s="30">
        <v>29640</v>
      </c>
      <c r="W158" s="30">
        <v>28785</v>
      </c>
      <c r="X158" s="30">
        <v>27545</v>
      </c>
      <c r="Y158" s="30">
        <v>28625</v>
      </c>
      <c r="Z158" s="30">
        <v>28735</v>
      </c>
      <c r="AA158" s="30">
        <v>27665</v>
      </c>
      <c r="AB158" s="30">
        <v>28815</v>
      </c>
      <c r="AC158" s="30">
        <v>32000</v>
      </c>
      <c r="AD158" s="30">
        <v>31510</v>
      </c>
      <c r="AE158" s="30">
        <v>30450</v>
      </c>
      <c r="AF158" s="30">
        <v>31720</v>
      </c>
      <c r="AG158" s="30">
        <v>32820</v>
      </c>
      <c r="AH158" s="30">
        <v>30420</v>
      </c>
      <c r="AI158" s="30">
        <v>31430</v>
      </c>
      <c r="AJ158" s="30">
        <v>31120</v>
      </c>
      <c r="AK158" s="30">
        <v>31070</v>
      </c>
      <c r="AL158" s="30">
        <v>29720</v>
      </c>
      <c r="AM158" s="30">
        <v>29585</v>
      </c>
      <c r="AN158" s="30">
        <v>29510</v>
      </c>
      <c r="AO158" s="30">
        <v>28450</v>
      </c>
      <c r="AP158" s="30">
        <v>26940</v>
      </c>
      <c r="AQ158" s="30">
        <v>24150</v>
      </c>
      <c r="AR158" s="30">
        <v>24910</v>
      </c>
      <c r="AS158" s="30">
        <v>24860</v>
      </c>
      <c r="AT158" s="30">
        <v>26415</v>
      </c>
      <c r="AU158" s="30">
        <v>27160</v>
      </c>
      <c r="AV158" s="30">
        <v>26620</v>
      </c>
      <c r="AW158" s="30">
        <v>25275</v>
      </c>
      <c r="AX158" s="30">
        <v>25670</v>
      </c>
      <c r="AY158" s="30">
        <v>25915</v>
      </c>
      <c r="AZ158" s="30">
        <v>27015</v>
      </c>
      <c r="BA158" s="30">
        <v>27150</v>
      </c>
      <c r="BB158" s="30">
        <v>26460</v>
      </c>
      <c r="BC158" s="30">
        <v>25995</v>
      </c>
      <c r="BD158" s="30">
        <v>25020</v>
      </c>
      <c r="BE158" s="30">
        <v>24860</v>
      </c>
      <c r="BF158" s="30">
        <v>25475</v>
      </c>
      <c r="BG158" s="30">
        <v>26140</v>
      </c>
      <c r="BH158" s="30">
        <v>28360</v>
      </c>
      <c r="BI158" s="30">
        <v>27665</v>
      </c>
      <c r="BJ158" s="30">
        <v>28335</v>
      </c>
      <c r="BK158" s="30">
        <v>28780</v>
      </c>
      <c r="BL158" s="30">
        <v>29310</v>
      </c>
      <c r="BM158" s="1">
        <v>29715</v>
      </c>
      <c r="BN158" s="1">
        <v>27800</v>
      </c>
      <c r="BO158" s="1">
        <v>28190</v>
      </c>
      <c r="BP158" s="1">
        <v>29335</v>
      </c>
      <c r="BQ158" s="1">
        <v>29390</v>
      </c>
      <c r="BR158" s="1">
        <v>27920</v>
      </c>
      <c r="BS158" s="1">
        <v>27615</v>
      </c>
      <c r="BT158" s="1">
        <v>27050</v>
      </c>
      <c r="BU158" s="1">
        <v>27120</v>
      </c>
      <c r="BV158" s="1">
        <v>27100</v>
      </c>
      <c r="BW158" s="1">
        <v>27870</v>
      </c>
      <c r="BX158" s="1">
        <v>27710</v>
      </c>
      <c r="BY158" s="1">
        <v>27440</v>
      </c>
      <c r="BZ158" s="1">
        <v>25860</v>
      </c>
    </row>
    <row r="159" spans="1:254" ht="15.9" customHeight="1">
      <c r="A159" s="65" t="s">
        <v>312</v>
      </c>
      <c r="B159" s="41" t="s">
        <v>313</v>
      </c>
      <c r="C159" s="45">
        <f>_xll.RssMarket("3891","安値")</f>
        <v>6730</v>
      </c>
      <c r="D159" s="16">
        <f t="shared" si="5"/>
        <v>0</v>
      </c>
      <c r="E159" s="30">
        <v>6730</v>
      </c>
      <c r="F159" s="30">
        <v>7140</v>
      </c>
      <c r="G159" s="30">
        <v>6740</v>
      </c>
      <c r="H159" s="30">
        <v>6460</v>
      </c>
      <c r="I159" s="30">
        <v>6370</v>
      </c>
      <c r="J159" s="30">
        <v>5340</v>
      </c>
      <c r="K159" s="30">
        <v>5310</v>
      </c>
      <c r="L159" s="30">
        <v>6010</v>
      </c>
      <c r="M159" s="30">
        <v>6680</v>
      </c>
      <c r="N159" s="30">
        <v>6940</v>
      </c>
      <c r="O159" s="30">
        <v>7250</v>
      </c>
      <c r="P159" s="30">
        <v>7420</v>
      </c>
      <c r="Q159" s="30">
        <v>6760</v>
      </c>
      <c r="R159" s="30">
        <v>6600</v>
      </c>
      <c r="S159" s="30">
        <v>7570</v>
      </c>
      <c r="T159" s="30">
        <v>7190</v>
      </c>
      <c r="U159" s="30">
        <v>7450</v>
      </c>
      <c r="V159" s="30">
        <v>7990</v>
      </c>
      <c r="W159" s="30">
        <v>7550</v>
      </c>
      <c r="X159" s="30">
        <v>7690</v>
      </c>
      <c r="Y159" s="30">
        <v>8070</v>
      </c>
      <c r="Z159" s="30">
        <v>8520</v>
      </c>
      <c r="AA159" s="30">
        <v>8520</v>
      </c>
      <c r="AB159" s="30">
        <v>9320</v>
      </c>
      <c r="AC159" s="30">
        <v>10060</v>
      </c>
      <c r="AD159" s="30">
        <v>9670</v>
      </c>
      <c r="AE159" s="30">
        <v>9480</v>
      </c>
      <c r="AF159" s="30">
        <v>9820</v>
      </c>
      <c r="AG159" s="30">
        <v>9680</v>
      </c>
      <c r="AH159" s="30">
        <v>9400</v>
      </c>
      <c r="AI159" s="30">
        <v>9520</v>
      </c>
      <c r="AJ159" s="30">
        <v>10080</v>
      </c>
      <c r="AK159" s="30">
        <v>10220</v>
      </c>
      <c r="AL159" s="30">
        <v>9720</v>
      </c>
      <c r="AM159" s="30">
        <v>8780</v>
      </c>
      <c r="AN159" s="30">
        <v>8300</v>
      </c>
      <c r="AO159" s="30">
        <v>8580</v>
      </c>
      <c r="AP159" s="30">
        <v>8370</v>
      </c>
      <c r="AQ159" s="30">
        <v>8090</v>
      </c>
      <c r="AR159" s="30">
        <v>8980</v>
      </c>
      <c r="AS159" s="30">
        <v>8100</v>
      </c>
      <c r="AT159" s="30">
        <v>8140</v>
      </c>
      <c r="AU159" s="30">
        <v>8030</v>
      </c>
      <c r="AV159" s="30">
        <v>8020</v>
      </c>
      <c r="AW159" s="30">
        <v>7690</v>
      </c>
      <c r="AX159" s="30">
        <v>7170</v>
      </c>
      <c r="AY159" s="30">
        <v>6660</v>
      </c>
      <c r="AZ159" s="30">
        <v>6870</v>
      </c>
      <c r="BA159" s="30">
        <v>7420</v>
      </c>
      <c r="BB159" s="30">
        <v>6980</v>
      </c>
      <c r="BC159" s="30">
        <v>6680</v>
      </c>
      <c r="BD159" s="30">
        <v>6070</v>
      </c>
      <c r="BE159" s="30">
        <v>6410</v>
      </c>
      <c r="BF159" s="30">
        <v>6110</v>
      </c>
      <c r="BG159" s="30">
        <v>5960</v>
      </c>
      <c r="BH159" s="30">
        <v>6190</v>
      </c>
      <c r="BI159" s="30">
        <v>6300</v>
      </c>
      <c r="BJ159" s="30">
        <v>6260</v>
      </c>
      <c r="BK159" s="30">
        <v>6420</v>
      </c>
      <c r="BL159" s="30">
        <v>6270</v>
      </c>
      <c r="BM159" s="1">
        <v>6180</v>
      </c>
      <c r="BN159" s="1">
        <v>6050</v>
      </c>
      <c r="BO159" s="1">
        <v>6210</v>
      </c>
      <c r="BP159" s="1">
        <v>6080</v>
      </c>
      <c r="BQ159" s="1">
        <v>5860</v>
      </c>
      <c r="BR159" s="1">
        <v>4350</v>
      </c>
      <c r="BS159" s="1">
        <v>4290</v>
      </c>
      <c r="BT159" s="1">
        <v>4425</v>
      </c>
      <c r="BU159" s="1">
        <v>4405</v>
      </c>
      <c r="BV159" s="1">
        <v>4280</v>
      </c>
      <c r="BW159" s="1">
        <v>4275</v>
      </c>
      <c r="BX159" s="1">
        <v>4450</v>
      </c>
      <c r="BY159" s="1">
        <v>4415</v>
      </c>
      <c r="BZ159" s="1">
        <v>4230</v>
      </c>
    </row>
    <row r="160" spans="1:254" ht="15.9" customHeight="1">
      <c r="A160" s="65" t="s">
        <v>314</v>
      </c>
      <c r="B160" s="41" t="s">
        <v>315</v>
      </c>
      <c r="C160" s="45">
        <f>_xll.RssMarket("4373","安値")</f>
        <v>1072</v>
      </c>
      <c r="D160" s="16">
        <f t="shared" si="5"/>
        <v>0</v>
      </c>
      <c r="E160" s="30">
        <v>1072</v>
      </c>
      <c r="F160" s="30">
        <v>1055</v>
      </c>
      <c r="G160" s="30">
        <v>1067</v>
      </c>
      <c r="H160" s="30">
        <v>1080</v>
      </c>
      <c r="I160" s="30">
        <v>1123</v>
      </c>
      <c r="J160" s="30">
        <v>1148</v>
      </c>
      <c r="K160" s="30">
        <v>1114</v>
      </c>
      <c r="L160" s="30">
        <v>1128</v>
      </c>
      <c r="M160" s="30">
        <v>1080</v>
      </c>
      <c r="N160" s="30">
        <v>1030</v>
      </c>
      <c r="O160" s="30">
        <v>1002</v>
      </c>
      <c r="P160" s="30">
        <v>1042</v>
      </c>
      <c r="Q160" s="30">
        <v>1067</v>
      </c>
      <c r="R160" s="30">
        <v>1045</v>
      </c>
      <c r="S160" s="30">
        <v>1005</v>
      </c>
      <c r="T160" s="30">
        <v>1041</v>
      </c>
      <c r="U160" s="30">
        <v>1030</v>
      </c>
      <c r="V160" s="30">
        <v>1046</v>
      </c>
      <c r="W160" s="30">
        <v>1036</v>
      </c>
      <c r="X160" s="30">
        <v>1035</v>
      </c>
      <c r="Y160" s="30">
        <v>1036</v>
      </c>
      <c r="Z160" s="30">
        <v>1012</v>
      </c>
      <c r="AA160" s="30">
        <v>998</v>
      </c>
      <c r="AB160" s="30">
        <v>968</v>
      </c>
      <c r="AC160" s="30">
        <v>930</v>
      </c>
      <c r="AD160" s="30">
        <v>937</v>
      </c>
      <c r="AE160" s="30">
        <v>926</v>
      </c>
      <c r="AF160" s="30">
        <v>896</v>
      </c>
      <c r="AG160" s="30">
        <v>914</v>
      </c>
      <c r="AH160" s="30">
        <v>895</v>
      </c>
      <c r="AI160" s="30">
        <v>908</v>
      </c>
      <c r="AJ160" s="30">
        <v>928</v>
      </c>
      <c r="AK160" s="30">
        <v>909</v>
      </c>
      <c r="AL160" s="30">
        <v>934</v>
      </c>
      <c r="AM160" s="30">
        <v>950</v>
      </c>
      <c r="AN160" s="30">
        <v>934</v>
      </c>
      <c r="AO160" s="30">
        <v>960</v>
      </c>
      <c r="AP160" s="30">
        <v>975</v>
      </c>
      <c r="AQ160" s="30">
        <v>1013</v>
      </c>
      <c r="AR160" s="30">
        <v>1029</v>
      </c>
      <c r="AS160" s="30">
        <v>1063</v>
      </c>
      <c r="AT160" s="30">
        <v>1075</v>
      </c>
      <c r="AU160" s="30">
        <v>1075</v>
      </c>
      <c r="AV160" s="30">
        <v>1077</v>
      </c>
      <c r="AW160" s="30">
        <v>1108</v>
      </c>
      <c r="AX160" s="30">
        <v>1039</v>
      </c>
      <c r="AY160" s="30">
        <v>1020</v>
      </c>
      <c r="AZ160" s="30">
        <v>996</v>
      </c>
      <c r="BA160" s="30">
        <v>1007</v>
      </c>
      <c r="BB160" s="30">
        <v>1013</v>
      </c>
      <c r="BC160" s="30">
        <v>1000</v>
      </c>
      <c r="BD160" s="30">
        <v>985</v>
      </c>
      <c r="BE160" s="30">
        <v>1008</v>
      </c>
      <c r="BF160" s="30">
        <v>941</v>
      </c>
      <c r="BG160" s="30">
        <v>932</v>
      </c>
      <c r="BH160" s="30">
        <v>931</v>
      </c>
      <c r="BI160" s="30">
        <v>947</v>
      </c>
      <c r="BJ160" s="30">
        <v>942</v>
      </c>
      <c r="BK160" s="30">
        <v>925</v>
      </c>
      <c r="BL160" s="30">
        <v>915</v>
      </c>
      <c r="BM160" s="1">
        <v>889</v>
      </c>
      <c r="BN160" s="1">
        <v>867</v>
      </c>
      <c r="BO160" s="1">
        <v>868</v>
      </c>
      <c r="BP160" s="1">
        <v>870</v>
      </c>
      <c r="BQ160" s="1">
        <v>876</v>
      </c>
      <c r="BR160" s="1">
        <v>905</v>
      </c>
      <c r="BS160" s="1">
        <v>923</v>
      </c>
      <c r="BT160" s="1">
        <v>944</v>
      </c>
      <c r="BU160" s="1">
        <v>927</v>
      </c>
      <c r="BV160" s="1">
        <v>939</v>
      </c>
      <c r="BW160" s="1">
        <v>899</v>
      </c>
      <c r="BX160" s="1">
        <v>899</v>
      </c>
      <c r="BY160" s="1">
        <v>862</v>
      </c>
      <c r="BZ160" s="1">
        <v>836</v>
      </c>
    </row>
    <row r="161" spans="1:254" ht="15.9" customHeight="1">
      <c r="A161" s="65" t="s">
        <v>316</v>
      </c>
      <c r="B161" s="41" t="s">
        <v>317</v>
      </c>
      <c r="C161" s="45">
        <f>_xll.RssMarket("8892","安値")</f>
        <v>1069</v>
      </c>
      <c r="D161" s="16">
        <f t="shared" si="5"/>
        <v>0</v>
      </c>
      <c r="E161" s="30">
        <v>1069</v>
      </c>
      <c r="F161" s="30">
        <v>1066</v>
      </c>
      <c r="G161" s="30">
        <v>1062</v>
      </c>
      <c r="H161" s="30">
        <v>1047</v>
      </c>
      <c r="I161" s="30">
        <v>1072</v>
      </c>
      <c r="J161" s="30">
        <v>1084</v>
      </c>
      <c r="K161" s="30">
        <v>1060</v>
      </c>
      <c r="L161" s="30">
        <v>1112</v>
      </c>
      <c r="M161" s="30">
        <v>1100</v>
      </c>
      <c r="N161" s="30"/>
      <c r="O161" s="30">
        <v>1096</v>
      </c>
      <c r="P161" s="30">
        <v>1108</v>
      </c>
      <c r="Q161" s="30">
        <v>1106</v>
      </c>
      <c r="R161" s="30">
        <v>1098</v>
      </c>
      <c r="S161" s="30">
        <v>1115</v>
      </c>
      <c r="T161" s="30">
        <v>1117</v>
      </c>
      <c r="U161" s="30">
        <v>1111</v>
      </c>
      <c r="V161" s="30">
        <v>1113</v>
      </c>
      <c r="W161" s="30">
        <v>1100</v>
      </c>
      <c r="X161" s="30">
        <v>1098</v>
      </c>
      <c r="Y161" s="30">
        <v>1095</v>
      </c>
      <c r="Z161" s="30">
        <v>1096</v>
      </c>
      <c r="AA161" s="30">
        <v>1090</v>
      </c>
      <c r="AB161" s="30">
        <v>1077</v>
      </c>
      <c r="AC161" s="30">
        <v>1072</v>
      </c>
      <c r="AD161" s="30">
        <v>1077</v>
      </c>
      <c r="AE161" s="30">
        <v>1064</v>
      </c>
      <c r="AF161" s="30">
        <v>1056</v>
      </c>
      <c r="AG161" s="30">
        <v>1055</v>
      </c>
      <c r="AH161" s="30">
        <v>1050</v>
      </c>
      <c r="AI161" s="30">
        <v>1055</v>
      </c>
      <c r="AJ161" s="30">
        <v>1056</v>
      </c>
      <c r="AK161" s="30">
        <v>1062</v>
      </c>
      <c r="AL161" s="30">
        <v>1070</v>
      </c>
      <c r="AM161" s="30">
        <v>1077</v>
      </c>
      <c r="AN161" s="30">
        <v>1093</v>
      </c>
      <c r="AO161" s="30">
        <v>1107</v>
      </c>
      <c r="AP161" s="30">
        <v>1090</v>
      </c>
      <c r="AQ161" s="30">
        <v>1087</v>
      </c>
      <c r="AR161" s="30">
        <v>1092</v>
      </c>
      <c r="AS161" s="30">
        <v>1077</v>
      </c>
      <c r="AT161" s="30">
        <v>1069</v>
      </c>
      <c r="AU161" s="30">
        <v>1060</v>
      </c>
      <c r="AV161" s="30">
        <v>1066</v>
      </c>
      <c r="AW161" s="30">
        <v>1058</v>
      </c>
      <c r="AX161" s="30">
        <v>1087</v>
      </c>
      <c r="AY161" s="30">
        <v>1096</v>
      </c>
      <c r="AZ161" s="30">
        <v>1094</v>
      </c>
      <c r="BA161" s="30">
        <v>1100</v>
      </c>
      <c r="BB161" s="30">
        <v>1107</v>
      </c>
      <c r="BC161" s="30">
        <v>1129</v>
      </c>
      <c r="BD161" s="30">
        <v>1104</v>
      </c>
      <c r="BE161" s="30">
        <v>1130</v>
      </c>
      <c r="BF161" s="30">
        <v>1107</v>
      </c>
      <c r="BG161" s="30">
        <v>1124</v>
      </c>
      <c r="BH161" s="30">
        <v>1146</v>
      </c>
      <c r="BI161" s="30">
        <v>1155</v>
      </c>
      <c r="BJ161" s="30">
        <v>1166</v>
      </c>
      <c r="BK161" s="30">
        <v>1160</v>
      </c>
      <c r="BL161" s="30">
        <v>1152</v>
      </c>
      <c r="BM161" s="1">
        <v>1150</v>
      </c>
      <c r="BN161" s="1">
        <v>1156</v>
      </c>
      <c r="BO161" s="1">
        <v>1163</v>
      </c>
      <c r="BP161" s="1">
        <v>1179</v>
      </c>
      <c r="BQ161" s="1">
        <v>1140</v>
      </c>
      <c r="BR161" s="1">
        <v>1126</v>
      </c>
      <c r="BS161" s="1">
        <v>1121</v>
      </c>
      <c r="BT161" s="1">
        <v>1123</v>
      </c>
      <c r="BU161" s="1">
        <v>1136</v>
      </c>
      <c r="BV161" s="1">
        <v>1135</v>
      </c>
      <c r="BW161" s="1">
        <v>1128</v>
      </c>
      <c r="BX161" s="1">
        <v>1135</v>
      </c>
      <c r="BY161" s="1">
        <v>1138</v>
      </c>
      <c r="BZ161" s="1">
        <v>1121</v>
      </c>
    </row>
    <row r="162" spans="1:254" ht="15.9" customHeight="1">
      <c r="A162" s="65" t="s">
        <v>318</v>
      </c>
      <c r="B162" s="41" t="s">
        <v>319</v>
      </c>
      <c r="C162" s="45">
        <f>_xll.RssMarket("9687","安値")</f>
        <v>4395</v>
      </c>
      <c r="D162" s="16">
        <f t="shared" si="5"/>
        <v>0</v>
      </c>
      <c r="E162" s="30">
        <v>4395</v>
      </c>
      <c r="F162" s="30">
        <v>4375</v>
      </c>
      <c r="G162" s="30">
        <v>4375</v>
      </c>
      <c r="H162" s="30">
        <v>4420</v>
      </c>
      <c r="I162" s="30">
        <v>4450</v>
      </c>
      <c r="J162" s="30">
        <v>4445</v>
      </c>
      <c r="K162" s="30">
        <v>4445</v>
      </c>
      <c r="L162" s="30">
        <v>4560</v>
      </c>
      <c r="M162" s="30">
        <v>4615</v>
      </c>
      <c r="N162" s="30"/>
      <c r="O162" s="30">
        <v>4435</v>
      </c>
      <c r="P162" s="30">
        <v>4420</v>
      </c>
      <c r="Q162" s="30">
        <v>4390</v>
      </c>
      <c r="R162" s="30">
        <v>4355</v>
      </c>
      <c r="S162" s="30">
        <v>4395</v>
      </c>
      <c r="T162" s="30">
        <v>4380</v>
      </c>
      <c r="U162" s="30">
        <v>4375</v>
      </c>
      <c r="V162" s="30">
        <v>4375</v>
      </c>
      <c r="W162" s="30">
        <v>4335</v>
      </c>
      <c r="X162" s="30">
        <v>4350</v>
      </c>
      <c r="Y162" s="30">
        <v>4315</v>
      </c>
      <c r="Z162" s="30">
        <v>4350</v>
      </c>
      <c r="AA162" s="30">
        <v>4355</v>
      </c>
      <c r="AB162" s="30">
        <v>4350</v>
      </c>
      <c r="AC162" s="30">
        <v>4310</v>
      </c>
      <c r="AD162" s="30">
        <v>4300</v>
      </c>
      <c r="AE162" s="30">
        <v>4310</v>
      </c>
      <c r="AF162" s="30">
        <v>4310</v>
      </c>
      <c r="AG162" s="30">
        <v>4370</v>
      </c>
      <c r="AH162" s="30">
        <v>4355</v>
      </c>
      <c r="AI162" s="30">
        <v>4335</v>
      </c>
      <c r="AJ162" s="30">
        <v>4330</v>
      </c>
      <c r="AK162" s="30">
        <v>4245</v>
      </c>
      <c r="AL162" s="30">
        <v>4315</v>
      </c>
      <c r="AM162" s="30">
        <v>4325</v>
      </c>
      <c r="AN162" s="30">
        <v>4295</v>
      </c>
      <c r="AO162" s="30">
        <v>4295</v>
      </c>
      <c r="AP162" s="30">
        <v>4290</v>
      </c>
      <c r="AQ162" s="30">
        <v>4260</v>
      </c>
      <c r="AR162" s="30">
        <v>4300</v>
      </c>
      <c r="AS162" s="30">
        <v>4300</v>
      </c>
      <c r="AT162" s="30">
        <v>4335</v>
      </c>
      <c r="AU162" s="30">
        <v>4335</v>
      </c>
      <c r="AV162" s="30">
        <v>4325</v>
      </c>
      <c r="AW162" s="30">
        <v>4325</v>
      </c>
      <c r="AX162" s="30">
        <v>4325</v>
      </c>
      <c r="AY162" s="30">
        <v>4325</v>
      </c>
      <c r="AZ162" s="30">
        <v>4330</v>
      </c>
      <c r="BA162" s="30">
        <v>4350</v>
      </c>
      <c r="BB162" s="30">
        <v>4355</v>
      </c>
      <c r="BC162" s="30">
        <v>4350</v>
      </c>
      <c r="BD162" s="30">
        <v>4350</v>
      </c>
      <c r="BE162" s="30">
        <v>4330</v>
      </c>
      <c r="BF162" s="30">
        <v>4305</v>
      </c>
      <c r="BG162" s="30">
        <v>4290</v>
      </c>
      <c r="BH162" s="30">
        <v>4330</v>
      </c>
      <c r="BI162" s="30">
        <v>4335</v>
      </c>
      <c r="BJ162" s="30">
        <v>4350</v>
      </c>
      <c r="BK162" s="30">
        <v>4350</v>
      </c>
      <c r="BL162" s="30">
        <v>4390</v>
      </c>
      <c r="BM162" s="1">
        <v>4360</v>
      </c>
      <c r="BN162" s="1">
        <v>4210</v>
      </c>
      <c r="BO162" s="1">
        <v>4350</v>
      </c>
      <c r="BP162" s="1">
        <v>4350</v>
      </c>
      <c r="BQ162" s="1">
        <v>4335</v>
      </c>
      <c r="BR162" s="1">
        <v>4315</v>
      </c>
      <c r="BS162" s="1">
        <v>4350</v>
      </c>
      <c r="BT162" s="1">
        <v>4350</v>
      </c>
      <c r="BU162" s="1">
        <v>4350</v>
      </c>
      <c r="BV162" s="1">
        <v>4350</v>
      </c>
      <c r="BW162" s="1">
        <v>4360</v>
      </c>
      <c r="BX162" s="1">
        <v>4315</v>
      </c>
      <c r="BY162" s="1">
        <v>4250</v>
      </c>
      <c r="BZ162" s="1">
        <v>4320</v>
      </c>
    </row>
    <row r="163" spans="1:254" ht="15.9" customHeight="1">
      <c r="A163" s="65" t="s">
        <v>320</v>
      </c>
      <c r="B163" s="41" t="s">
        <v>321</v>
      </c>
      <c r="C163" s="45">
        <f>_xll.RssMarket("1930","安値")</f>
        <v>1506</v>
      </c>
      <c r="D163" s="16">
        <f t="shared" si="5"/>
        <v>0</v>
      </c>
      <c r="E163" s="30">
        <v>1506</v>
      </c>
      <c r="F163" s="30">
        <v>1484</v>
      </c>
      <c r="G163" s="30">
        <v>1461</v>
      </c>
      <c r="H163" s="30">
        <v>1435</v>
      </c>
      <c r="I163" s="30">
        <v>1459</v>
      </c>
      <c r="J163" s="30">
        <v>1431</v>
      </c>
      <c r="K163" s="30">
        <v>1459</v>
      </c>
      <c r="L163" s="30">
        <v>1467</v>
      </c>
      <c r="M163" s="30">
        <v>1596</v>
      </c>
      <c r="N163" s="30">
        <v>1581</v>
      </c>
      <c r="O163" s="30">
        <v>1584</v>
      </c>
      <c r="P163" s="30">
        <v>1580</v>
      </c>
      <c r="Q163" s="30">
        <v>1558</v>
      </c>
      <c r="R163" s="30">
        <v>1529</v>
      </c>
      <c r="S163" s="30">
        <v>1588</v>
      </c>
      <c r="T163" s="30">
        <v>1569</v>
      </c>
      <c r="U163" s="30">
        <v>1580</v>
      </c>
      <c r="V163" s="30">
        <v>1627</v>
      </c>
      <c r="W163" s="30">
        <v>1606</v>
      </c>
      <c r="X163" s="30">
        <v>1613</v>
      </c>
      <c r="Y163" s="30">
        <v>1637</v>
      </c>
      <c r="Z163" s="30">
        <v>1659</v>
      </c>
      <c r="AA163" s="30">
        <v>1643</v>
      </c>
      <c r="AB163" s="30">
        <v>1654</v>
      </c>
      <c r="AC163" s="30">
        <v>1663</v>
      </c>
      <c r="AD163" s="30">
        <v>1646</v>
      </c>
      <c r="AE163" s="30">
        <v>1675</v>
      </c>
      <c r="AF163" s="30">
        <v>1695</v>
      </c>
      <c r="AG163" s="30">
        <v>1680</v>
      </c>
      <c r="AH163" s="30">
        <v>1659</v>
      </c>
      <c r="AI163" s="30">
        <v>1693</v>
      </c>
      <c r="AJ163" s="30">
        <v>1689</v>
      </c>
      <c r="AK163" s="30">
        <v>1696</v>
      </c>
      <c r="AL163" s="30">
        <v>1700</v>
      </c>
      <c r="AM163" s="30">
        <v>1664</v>
      </c>
      <c r="AN163" s="30">
        <v>1651</v>
      </c>
      <c r="AO163" s="30">
        <v>1655</v>
      </c>
      <c r="AP163" s="30">
        <v>1585</v>
      </c>
      <c r="AQ163" s="30">
        <v>1548</v>
      </c>
      <c r="AR163" s="30">
        <v>1577</v>
      </c>
      <c r="AS163" s="30">
        <v>1561</v>
      </c>
      <c r="AT163" s="30">
        <v>1567</v>
      </c>
      <c r="AU163" s="30">
        <v>1551</v>
      </c>
      <c r="AV163" s="30">
        <v>1560</v>
      </c>
      <c r="AW163" s="30">
        <v>1538</v>
      </c>
      <c r="AX163" s="30">
        <v>1677</v>
      </c>
      <c r="AY163" s="30">
        <v>1654</v>
      </c>
      <c r="AZ163" s="30">
        <v>1681</v>
      </c>
      <c r="BA163" s="30">
        <v>1644</v>
      </c>
      <c r="BB163" s="30">
        <v>1582</v>
      </c>
      <c r="BC163" s="30">
        <v>1590</v>
      </c>
      <c r="BD163" s="30">
        <v>1565</v>
      </c>
      <c r="BE163" s="30">
        <v>1600</v>
      </c>
      <c r="BF163" s="30">
        <v>1585</v>
      </c>
      <c r="BG163" s="30">
        <v>1647</v>
      </c>
      <c r="BH163" s="30">
        <v>1683</v>
      </c>
      <c r="BI163" s="30">
        <v>1739</v>
      </c>
      <c r="BJ163" s="30">
        <v>1721</v>
      </c>
      <c r="BK163" s="30">
        <v>1692</v>
      </c>
      <c r="BL163" s="30">
        <v>1635</v>
      </c>
      <c r="BM163" s="1">
        <v>1665</v>
      </c>
      <c r="BN163" s="1">
        <v>1688</v>
      </c>
      <c r="BO163" s="1">
        <v>1616</v>
      </c>
      <c r="BP163" s="1">
        <v>1454</v>
      </c>
      <c r="BQ163" s="1">
        <v>1438</v>
      </c>
      <c r="BR163" s="1">
        <v>1434</v>
      </c>
      <c r="BS163" s="1">
        <v>1423</v>
      </c>
      <c r="BT163" s="1">
        <v>1437</v>
      </c>
      <c r="BU163" s="1">
        <v>1468</v>
      </c>
      <c r="BV163" s="1">
        <v>1452</v>
      </c>
      <c r="BW163" s="1">
        <v>1452</v>
      </c>
      <c r="BX163" s="1">
        <v>1451</v>
      </c>
      <c r="BY163" s="1">
        <v>1438</v>
      </c>
      <c r="BZ163" s="1">
        <v>1439</v>
      </c>
    </row>
    <row r="164" spans="1:254" ht="15.9" customHeight="1">
      <c r="A164" s="65" t="s">
        <v>322</v>
      </c>
      <c r="B164" s="41" t="s">
        <v>323</v>
      </c>
      <c r="C164" s="45">
        <f>_xll.RssMarket("8704","安値")</f>
        <v>1323</v>
      </c>
      <c r="D164" s="16">
        <f t="shared" si="5"/>
        <v>0</v>
      </c>
      <c r="E164" s="30">
        <v>1323</v>
      </c>
      <c r="F164" s="30">
        <v>1304</v>
      </c>
      <c r="G164" s="30">
        <v>1292</v>
      </c>
      <c r="H164" s="30">
        <v>1255</v>
      </c>
      <c r="I164" s="30">
        <v>1225</v>
      </c>
      <c r="J164" s="30">
        <v>1172</v>
      </c>
      <c r="K164" s="30">
        <v>1196</v>
      </c>
      <c r="L164" s="30">
        <v>1228</v>
      </c>
      <c r="M164" s="30">
        <v>1248</v>
      </c>
      <c r="N164" s="30">
        <v>1259</v>
      </c>
      <c r="O164" s="30">
        <v>1241</v>
      </c>
      <c r="P164" s="30">
        <v>1241</v>
      </c>
      <c r="Q164" s="30">
        <v>1245</v>
      </c>
      <c r="R164" s="30">
        <v>1225</v>
      </c>
      <c r="S164" s="30">
        <v>1274</v>
      </c>
      <c r="T164" s="30">
        <v>1227</v>
      </c>
      <c r="U164" s="30">
        <v>1231</v>
      </c>
      <c r="V164" s="30">
        <v>1225</v>
      </c>
      <c r="W164" s="30">
        <v>1206</v>
      </c>
      <c r="X164" s="30">
        <v>1213</v>
      </c>
      <c r="Y164" s="30">
        <v>1241</v>
      </c>
      <c r="Z164" s="30">
        <v>1217</v>
      </c>
      <c r="AA164" s="30">
        <v>1215</v>
      </c>
      <c r="AB164" s="30">
        <v>1210</v>
      </c>
      <c r="AC164" s="30">
        <v>1182</v>
      </c>
      <c r="AD164" s="30">
        <v>1127</v>
      </c>
      <c r="AE164" s="30">
        <v>1116</v>
      </c>
      <c r="AF164" s="30">
        <v>1139</v>
      </c>
      <c r="AG164" s="30">
        <v>1155</v>
      </c>
      <c r="AH164" s="30">
        <v>1149</v>
      </c>
      <c r="AI164" s="30">
        <v>1198</v>
      </c>
      <c r="AJ164" s="30">
        <v>1155</v>
      </c>
      <c r="AK164" s="30">
        <v>1153</v>
      </c>
      <c r="AL164" s="30">
        <v>1168</v>
      </c>
      <c r="AM164" s="30">
        <v>1145</v>
      </c>
      <c r="AN164" s="30">
        <v>1137</v>
      </c>
      <c r="AO164" s="30">
        <v>1158</v>
      </c>
      <c r="AP164" s="30">
        <v>1113</v>
      </c>
      <c r="AQ164" s="30">
        <v>1050</v>
      </c>
      <c r="AR164" s="30">
        <v>1091</v>
      </c>
      <c r="AS164" s="30">
        <v>1103</v>
      </c>
      <c r="AT164" s="30">
        <v>1111</v>
      </c>
      <c r="AU164" s="30">
        <v>1105</v>
      </c>
      <c r="AV164" s="30">
        <v>1174</v>
      </c>
      <c r="AW164" s="30">
        <v>1158</v>
      </c>
      <c r="AX164" s="30">
        <v>1148</v>
      </c>
      <c r="AY164" s="30">
        <v>1121</v>
      </c>
      <c r="AZ164" s="30">
        <v>1136</v>
      </c>
      <c r="BA164" s="30">
        <v>1129</v>
      </c>
      <c r="BB164" s="30">
        <v>1117</v>
      </c>
      <c r="BC164" s="30">
        <v>1120</v>
      </c>
      <c r="BD164" s="30">
        <v>1087</v>
      </c>
      <c r="BE164" s="30">
        <v>1131</v>
      </c>
      <c r="BF164" s="30">
        <v>1135</v>
      </c>
      <c r="BG164" s="30">
        <v>1151</v>
      </c>
      <c r="BH164" s="30">
        <v>1169</v>
      </c>
      <c r="BI164" s="30">
        <v>1174</v>
      </c>
      <c r="BJ164" s="30">
        <v>1208</v>
      </c>
      <c r="BK164" s="30">
        <v>1197</v>
      </c>
      <c r="BL164" s="30">
        <v>1155</v>
      </c>
      <c r="BM164" s="1">
        <v>1130</v>
      </c>
      <c r="BN164" s="1">
        <v>1096</v>
      </c>
      <c r="BO164" s="1">
        <v>1038</v>
      </c>
      <c r="BP164" s="1">
        <v>1025</v>
      </c>
      <c r="BQ164" s="1">
        <v>1013</v>
      </c>
      <c r="BR164" s="1">
        <v>1015</v>
      </c>
      <c r="BS164" s="1">
        <v>1024</v>
      </c>
      <c r="BT164" s="1">
        <v>1037</v>
      </c>
      <c r="BU164" s="1">
        <v>1055</v>
      </c>
      <c r="BV164" s="1">
        <v>1038</v>
      </c>
      <c r="BW164" s="1">
        <v>1042</v>
      </c>
      <c r="BX164" s="1">
        <v>1045</v>
      </c>
      <c r="BY164" s="1">
        <v>1034</v>
      </c>
      <c r="BZ164" s="1">
        <v>1028</v>
      </c>
    </row>
    <row r="165" spans="1:254" ht="15.9" customHeight="1">
      <c r="A165" s="65" t="s">
        <v>324</v>
      </c>
      <c r="B165" s="41" t="s">
        <v>325</v>
      </c>
      <c r="C165" s="45">
        <f>_xll.RssMarket("4733","安値")</f>
        <v>7714</v>
      </c>
      <c r="D165" s="16">
        <f t="shared" si="5"/>
        <v>0</v>
      </c>
      <c r="E165" s="30">
        <v>7714</v>
      </c>
      <c r="F165" s="30">
        <v>7746</v>
      </c>
      <c r="G165" s="30">
        <v>7618</v>
      </c>
      <c r="H165" s="30">
        <v>7764</v>
      </c>
      <c r="I165" s="30">
        <v>7889</v>
      </c>
      <c r="J165" s="30">
        <v>8241</v>
      </c>
      <c r="K165" s="30">
        <v>7952</v>
      </c>
      <c r="L165" s="30">
        <v>7887</v>
      </c>
      <c r="M165" s="30">
        <v>7718</v>
      </c>
      <c r="N165" s="30">
        <v>7257</v>
      </c>
      <c r="O165" s="30">
        <v>6626</v>
      </c>
      <c r="P165" s="30">
        <v>6455</v>
      </c>
      <c r="Q165" s="30">
        <v>6584</v>
      </c>
      <c r="R165" s="30">
        <v>6563</v>
      </c>
      <c r="S165" s="30">
        <v>6411</v>
      </c>
      <c r="T165" s="30">
        <v>6598</v>
      </c>
      <c r="U165" s="30">
        <v>6516</v>
      </c>
      <c r="V165" s="30">
        <v>6485</v>
      </c>
      <c r="W165" s="30">
        <v>6418</v>
      </c>
      <c r="X165" s="30">
        <v>6505</v>
      </c>
      <c r="Y165" s="30">
        <v>6506</v>
      </c>
      <c r="Z165" s="30">
        <v>6429</v>
      </c>
      <c r="AA165" s="30">
        <v>6425</v>
      </c>
      <c r="AB165" s="30">
        <v>6230</v>
      </c>
      <c r="AC165" s="30">
        <v>5975</v>
      </c>
      <c r="AD165" s="30">
        <v>6074</v>
      </c>
      <c r="AE165" s="30">
        <v>5999</v>
      </c>
      <c r="AF165" s="30">
        <v>5706</v>
      </c>
      <c r="AG165" s="30">
        <v>5697</v>
      </c>
      <c r="AH165" s="30">
        <v>5666</v>
      </c>
      <c r="AI165" s="30">
        <v>5564</v>
      </c>
      <c r="AJ165" s="30">
        <v>5650</v>
      </c>
      <c r="AK165" s="30">
        <v>5643</v>
      </c>
      <c r="AL165" s="30">
        <v>5842</v>
      </c>
      <c r="AM165" s="30">
        <v>5824</v>
      </c>
      <c r="AN165" s="30">
        <v>5796</v>
      </c>
      <c r="AO165" s="30">
        <v>5870</v>
      </c>
      <c r="AP165" s="30">
        <v>5785</v>
      </c>
      <c r="AQ165" s="30">
        <v>5880</v>
      </c>
      <c r="AR165" s="30">
        <v>5874</v>
      </c>
      <c r="AS165" s="30">
        <v>5977</v>
      </c>
      <c r="AT165" s="30">
        <v>6006</v>
      </c>
      <c r="AU165" s="30">
        <v>5961</v>
      </c>
      <c r="AV165" s="30">
        <v>6130</v>
      </c>
      <c r="AW165" s="30">
        <v>6369</v>
      </c>
      <c r="AX165" s="30">
        <v>6071</v>
      </c>
      <c r="AY165" s="30">
        <v>6040</v>
      </c>
      <c r="AZ165" s="30">
        <v>5965</v>
      </c>
      <c r="BA165" s="30">
        <v>5897</v>
      </c>
      <c r="BB165" s="30">
        <v>6033</v>
      </c>
      <c r="BC165" s="30">
        <v>6038</v>
      </c>
      <c r="BD165" s="30">
        <v>6086</v>
      </c>
      <c r="BE165" s="30">
        <v>6137</v>
      </c>
      <c r="BF165" s="30">
        <v>6059</v>
      </c>
      <c r="BG165" s="30">
        <v>5940</v>
      </c>
      <c r="BH165" s="30">
        <v>5943</v>
      </c>
      <c r="BI165" s="30">
        <v>6042</v>
      </c>
      <c r="BJ165" s="30">
        <v>6016</v>
      </c>
      <c r="BK165" s="30">
        <v>6153</v>
      </c>
      <c r="BL165" s="30">
        <v>6191</v>
      </c>
      <c r="BM165" s="1">
        <v>6055</v>
      </c>
      <c r="BN165" s="1">
        <v>6029</v>
      </c>
      <c r="BO165" s="1">
        <v>6121</v>
      </c>
      <c r="BP165" s="1">
        <v>6156</v>
      </c>
      <c r="BQ165" s="1">
        <v>6144</v>
      </c>
      <c r="BR165" s="1">
        <v>6167</v>
      </c>
      <c r="BS165" s="1">
        <v>6231</v>
      </c>
      <c r="BT165" s="1">
        <v>6694</v>
      </c>
      <c r="BU165" s="1">
        <v>6293</v>
      </c>
      <c r="BV165" s="1">
        <v>6671</v>
      </c>
      <c r="BW165" s="1">
        <v>6619</v>
      </c>
      <c r="BX165" s="1">
        <v>6598</v>
      </c>
      <c r="BY165" s="1">
        <v>6584</v>
      </c>
      <c r="BZ165" s="1">
        <v>6510</v>
      </c>
    </row>
    <row r="166" spans="1:254" ht="15.9" customHeight="1">
      <c r="A166" s="65" t="s">
        <v>326</v>
      </c>
      <c r="B166" s="41" t="s">
        <v>327</v>
      </c>
      <c r="C166" s="45">
        <f>_xll.RssMarket("9733","安値")</f>
        <v>2283</v>
      </c>
      <c r="D166" s="16">
        <f t="shared" si="5"/>
        <v>0</v>
      </c>
      <c r="E166" s="30">
        <v>2283</v>
      </c>
      <c r="F166" s="30">
        <v>2282</v>
      </c>
      <c r="G166" s="30">
        <v>2291</v>
      </c>
      <c r="H166" s="30">
        <v>2312</v>
      </c>
      <c r="I166" s="30">
        <v>2326</v>
      </c>
      <c r="J166" s="30">
        <v>2321</v>
      </c>
      <c r="K166" s="30">
        <v>2307</v>
      </c>
      <c r="L166" s="30">
        <v>2296</v>
      </c>
      <c r="M166" s="30">
        <v>2272</v>
      </c>
      <c r="N166" s="30">
        <v>2201</v>
      </c>
      <c r="O166" s="30">
        <v>2332</v>
      </c>
      <c r="P166" s="30">
        <v>2344</v>
      </c>
      <c r="Q166" s="30">
        <v>2332</v>
      </c>
      <c r="R166" s="30">
        <v>2326</v>
      </c>
      <c r="S166" s="30">
        <v>2337</v>
      </c>
      <c r="T166" s="30">
        <v>2349</v>
      </c>
      <c r="U166" s="30">
        <v>2361</v>
      </c>
      <c r="V166" s="30">
        <v>2356</v>
      </c>
      <c r="W166" s="30">
        <v>2362</v>
      </c>
      <c r="X166" s="30">
        <v>2386</v>
      </c>
      <c r="Y166" s="30">
        <v>2389</v>
      </c>
      <c r="Z166" s="30">
        <v>2354</v>
      </c>
      <c r="AA166" s="30">
        <v>2328</v>
      </c>
      <c r="AB166" s="30">
        <v>2310</v>
      </c>
      <c r="AC166" s="30">
        <v>2291</v>
      </c>
      <c r="AD166" s="30">
        <v>2284</v>
      </c>
      <c r="AE166" s="30">
        <v>2278</v>
      </c>
      <c r="AF166" s="30">
        <v>2212</v>
      </c>
      <c r="AG166" s="30">
        <v>2204</v>
      </c>
      <c r="AH166" s="30">
        <v>2208</v>
      </c>
      <c r="AI166" s="30">
        <v>2201</v>
      </c>
      <c r="AJ166" s="30">
        <v>2201</v>
      </c>
      <c r="AK166" s="30">
        <v>2188</v>
      </c>
      <c r="AL166" s="30">
        <v>2195</v>
      </c>
      <c r="AM166" s="30">
        <v>2201</v>
      </c>
      <c r="AN166" s="30">
        <v>2203</v>
      </c>
      <c r="AO166" s="30">
        <v>2222</v>
      </c>
      <c r="AP166" s="30">
        <v>2215</v>
      </c>
      <c r="AQ166" s="30">
        <v>2196</v>
      </c>
      <c r="AR166" s="30">
        <v>2223</v>
      </c>
      <c r="AS166" s="30">
        <v>2169</v>
      </c>
      <c r="AT166" s="30">
        <v>2187</v>
      </c>
      <c r="AU166" s="30">
        <v>2180</v>
      </c>
      <c r="AV166" s="30">
        <v>2191</v>
      </c>
      <c r="AW166" s="30">
        <v>2200</v>
      </c>
      <c r="AX166" s="30">
        <v>2266</v>
      </c>
      <c r="AY166" s="30">
        <v>2241</v>
      </c>
      <c r="AZ166" s="30">
        <v>2225</v>
      </c>
      <c r="BA166" s="30">
        <v>2269</v>
      </c>
      <c r="BB166" s="30">
        <v>2279</v>
      </c>
      <c r="BC166" s="30">
        <v>2290</v>
      </c>
      <c r="BD166" s="30">
        <v>2290</v>
      </c>
      <c r="BE166" s="30">
        <v>2275</v>
      </c>
      <c r="BF166" s="30">
        <v>2267</v>
      </c>
      <c r="BG166" s="30">
        <v>2261</v>
      </c>
      <c r="BH166" s="30">
        <v>2264</v>
      </c>
      <c r="BI166" s="30">
        <v>2260</v>
      </c>
      <c r="BJ166" s="30">
        <v>2263</v>
      </c>
      <c r="BK166" s="30">
        <v>2280</v>
      </c>
      <c r="BL166" s="30">
        <v>2263</v>
      </c>
      <c r="BM166" s="1">
        <v>2273</v>
      </c>
      <c r="BN166" s="1">
        <v>2275</v>
      </c>
      <c r="BO166" s="1">
        <v>2300</v>
      </c>
      <c r="BP166" s="1">
        <v>2297</v>
      </c>
      <c r="BQ166" s="1">
        <v>2286</v>
      </c>
      <c r="BR166" s="1">
        <v>2311</v>
      </c>
      <c r="BS166" s="1">
        <v>2339</v>
      </c>
      <c r="BT166" s="1">
        <v>2351</v>
      </c>
      <c r="BU166" s="1">
        <v>2358</v>
      </c>
      <c r="BV166" s="1">
        <v>2405</v>
      </c>
      <c r="BW166" s="1">
        <v>2447</v>
      </c>
      <c r="BX166" s="1">
        <v>2427</v>
      </c>
      <c r="BY166" s="1">
        <v>2412</v>
      </c>
      <c r="BZ166" s="1">
        <v>2481</v>
      </c>
    </row>
    <row r="167" spans="1:254" ht="15.9" customHeight="1">
      <c r="A167" s="65" t="s">
        <v>328</v>
      </c>
      <c r="B167" s="41" t="s">
        <v>329</v>
      </c>
      <c r="C167" s="45">
        <f>_xll.RssMarket("9551","安値")</f>
        <v>3250</v>
      </c>
      <c r="D167" s="16">
        <f t="shared" si="5"/>
        <v>0</v>
      </c>
      <c r="E167" s="30">
        <v>3250</v>
      </c>
      <c r="F167" s="30">
        <v>3235</v>
      </c>
      <c r="G167" s="30">
        <v>3140</v>
      </c>
      <c r="H167" s="30">
        <v>3000</v>
      </c>
      <c r="I167" s="30">
        <v>3030</v>
      </c>
      <c r="J167" s="30">
        <v>2838</v>
      </c>
      <c r="K167" s="30">
        <v>2996</v>
      </c>
      <c r="L167" s="30">
        <v>3065</v>
      </c>
      <c r="M167" s="30">
        <v>3140</v>
      </c>
      <c r="N167" s="30"/>
      <c r="O167" s="30">
        <v>3200</v>
      </c>
      <c r="P167" s="30">
        <v>3205</v>
      </c>
      <c r="Q167" s="30">
        <v>3100</v>
      </c>
      <c r="R167" s="30">
        <v>3040</v>
      </c>
      <c r="S167" s="30">
        <v>3175</v>
      </c>
      <c r="T167" s="30">
        <v>3160</v>
      </c>
      <c r="U167" s="30">
        <v>3180</v>
      </c>
      <c r="V167" s="30">
        <v>3220</v>
      </c>
      <c r="W167" s="30">
        <v>3210</v>
      </c>
      <c r="X167" s="30">
        <v>3175</v>
      </c>
      <c r="Y167" s="30">
        <v>3265</v>
      </c>
      <c r="Z167" s="30">
        <v>3310</v>
      </c>
      <c r="AA167" s="30">
        <v>3260</v>
      </c>
      <c r="AB167" s="30">
        <v>3285</v>
      </c>
      <c r="AC167" s="30">
        <v>3320</v>
      </c>
      <c r="AD167" s="30">
        <v>3310</v>
      </c>
      <c r="AE167" s="30">
        <v>3345</v>
      </c>
      <c r="AF167" s="30">
        <v>3535</v>
      </c>
      <c r="AG167" s="30">
        <v>3555</v>
      </c>
      <c r="AH167" s="30">
        <v>3455</v>
      </c>
      <c r="AI167" s="30">
        <v>3480</v>
      </c>
      <c r="AJ167" s="30">
        <v>3460</v>
      </c>
      <c r="AK167" s="30">
        <v>3450</v>
      </c>
      <c r="AL167" s="30">
        <v>3435</v>
      </c>
      <c r="AM167" s="30">
        <v>3350</v>
      </c>
      <c r="AN167" s="30">
        <v>3320</v>
      </c>
      <c r="AO167" s="30">
        <v>3205</v>
      </c>
      <c r="AP167" s="30">
        <v>3130</v>
      </c>
      <c r="AQ167" s="30">
        <v>3045</v>
      </c>
      <c r="AR167" s="30">
        <v>3125</v>
      </c>
      <c r="AS167" s="30">
        <v>3190</v>
      </c>
      <c r="AT167" s="30">
        <v>3280</v>
      </c>
      <c r="AU167" s="30">
        <v>3235</v>
      </c>
      <c r="AV167" s="30">
        <v>3265</v>
      </c>
      <c r="AW167" s="30">
        <v>3205</v>
      </c>
      <c r="AX167" s="30">
        <v>3525</v>
      </c>
      <c r="AY167" s="30">
        <v>3200</v>
      </c>
      <c r="AZ167" s="30">
        <v>3225</v>
      </c>
      <c r="BA167" s="30">
        <v>3265</v>
      </c>
      <c r="BB167" s="30">
        <v>3235</v>
      </c>
      <c r="BC167" s="30">
        <v>3255</v>
      </c>
      <c r="BD167" s="30">
        <v>3195</v>
      </c>
      <c r="BE167" s="30">
        <v>3260</v>
      </c>
      <c r="BF167" s="30">
        <v>3335</v>
      </c>
      <c r="BG167" s="30">
        <v>3450</v>
      </c>
      <c r="BH167" s="30">
        <v>3410</v>
      </c>
      <c r="BI167" s="30">
        <v>3380</v>
      </c>
      <c r="BJ167" s="30">
        <v>3345</v>
      </c>
      <c r="BK167" s="30">
        <v>3415</v>
      </c>
      <c r="BL167" s="30">
        <v>3370</v>
      </c>
      <c r="BM167" s="1">
        <v>3400</v>
      </c>
      <c r="BN167" s="1">
        <v>3355</v>
      </c>
      <c r="BO167" s="1">
        <v>3325</v>
      </c>
      <c r="BP167" s="1">
        <v>3315</v>
      </c>
      <c r="BQ167" s="1">
        <v>3255</v>
      </c>
      <c r="BR167" s="1">
        <v>3580</v>
      </c>
      <c r="BS167" s="1">
        <v>3545</v>
      </c>
      <c r="BT167" s="1">
        <v>3610</v>
      </c>
      <c r="BU167" s="1">
        <v>3640</v>
      </c>
      <c r="BV167" s="1">
        <v>3680</v>
      </c>
      <c r="BW167" s="1">
        <v>3685</v>
      </c>
      <c r="BX167" s="1">
        <v>3665</v>
      </c>
      <c r="BY167" s="1">
        <v>3645</v>
      </c>
      <c r="BZ167" s="1">
        <v>3670</v>
      </c>
    </row>
    <row r="168" spans="1:254" ht="15.9" customHeight="1">
      <c r="A168" s="65" t="s">
        <v>330</v>
      </c>
      <c r="B168" s="41" t="s">
        <v>331</v>
      </c>
      <c r="C168" s="45">
        <f>_xll.RssMarket("2359","安値")</f>
        <v>2030</v>
      </c>
      <c r="D168" s="16">
        <f t="shared" si="5"/>
        <v>0</v>
      </c>
      <c r="E168" s="30">
        <v>2030</v>
      </c>
      <c r="F168" s="30">
        <v>2016</v>
      </c>
      <c r="G168" s="30">
        <v>2011</v>
      </c>
      <c r="H168" s="30">
        <v>1999</v>
      </c>
      <c r="I168" s="30">
        <v>2022</v>
      </c>
      <c r="J168" s="30">
        <v>2013</v>
      </c>
      <c r="K168" s="30">
        <v>2019</v>
      </c>
      <c r="L168" s="30">
        <v>1996</v>
      </c>
      <c r="M168" s="30">
        <v>1985</v>
      </c>
      <c r="N168" s="30"/>
      <c r="O168" s="30">
        <v>1982</v>
      </c>
      <c r="P168" s="30">
        <v>1976</v>
      </c>
      <c r="Q168" s="30">
        <v>1983</v>
      </c>
      <c r="R168" s="30">
        <v>1966</v>
      </c>
      <c r="S168" s="30">
        <v>2000</v>
      </c>
      <c r="T168" s="30">
        <v>1995</v>
      </c>
      <c r="U168" s="30">
        <v>1984</v>
      </c>
      <c r="V168" s="30">
        <v>1955</v>
      </c>
      <c r="W168" s="30">
        <v>1948</v>
      </c>
      <c r="X168" s="30">
        <v>1951</v>
      </c>
      <c r="Y168" s="30">
        <v>1955</v>
      </c>
      <c r="Z168" s="30">
        <v>1949</v>
      </c>
      <c r="AA168" s="30">
        <v>1937</v>
      </c>
      <c r="AB168" s="30">
        <v>1940</v>
      </c>
      <c r="AC168" s="30">
        <v>1924</v>
      </c>
      <c r="AD168" s="30">
        <v>1952</v>
      </c>
      <c r="AE168" s="30">
        <v>1969</v>
      </c>
      <c r="AF168" s="30">
        <v>1999</v>
      </c>
      <c r="AG168" s="30">
        <v>2004</v>
      </c>
      <c r="AH168" s="30">
        <v>2019</v>
      </c>
      <c r="AI168" s="30">
        <v>2010</v>
      </c>
      <c r="AJ168" s="30">
        <v>2030</v>
      </c>
      <c r="AK168" s="30">
        <v>2026</v>
      </c>
      <c r="AL168" s="30">
        <v>2020</v>
      </c>
      <c r="AM168" s="30">
        <v>2007</v>
      </c>
      <c r="AN168" s="30">
        <v>1979</v>
      </c>
      <c r="AO168" s="30">
        <v>2008</v>
      </c>
      <c r="AP168" s="30">
        <v>1991</v>
      </c>
      <c r="AQ168" s="30">
        <v>2005</v>
      </c>
      <c r="AR168" s="30">
        <v>2017</v>
      </c>
      <c r="AS168" s="30">
        <v>2024</v>
      </c>
      <c r="AT168" s="30">
        <v>2059</v>
      </c>
      <c r="AU168" s="30">
        <v>2020</v>
      </c>
      <c r="AV168" s="30">
        <v>2016</v>
      </c>
      <c r="AW168" s="30">
        <v>2015</v>
      </c>
      <c r="AX168" s="30">
        <v>2020</v>
      </c>
      <c r="AY168" s="30">
        <v>2014</v>
      </c>
      <c r="AZ168" s="30">
        <v>2013</v>
      </c>
      <c r="BA168" s="30">
        <v>2075</v>
      </c>
      <c r="BB168" s="30">
        <v>2081</v>
      </c>
      <c r="BC168" s="30">
        <v>2102</v>
      </c>
      <c r="BD168" s="30">
        <v>2075</v>
      </c>
      <c r="BE168" s="30">
        <v>2050</v>
      </c>
      <c r="BF168" s="30">
        <v>2035</v>
      </c>
      <c r="BG168" s="30">
        <v>2041</v>
      </c>
      <c r="BH168" s="30">
        <v>2042</v>
      </c>
      <c r="BI168" s="30">
        <v>2015</v>
      </c>
      <c r="BJ168" s="30">
        <v>2009</v>
      </c>
      <c r="BK168" s="30">
        <v>1990</v>
      </c>
      <c r="BL168" s="30">
        <v>1993</v>
      </c>
      <c r="BM168" s="1">
        <v>1983</v>
      </c>
      <c r="BN168" s="1">
        <v>2013</v>
      </c>
      <c r="BO168" s="1">
        <v>2010</v>
      </c>
      <c r="BP168" s="1">
        <v>2165</v>
      </c>
      <c r="BQ168" s="1">
        <v>2144</v>
      </c>
      <c r="BR168" s="1">
        <v>2137</v>
      </c>
      <c r="BS168" s="1">
        <v>2137</v>
      </c>
      <c r="BT168" s="1">
        <v>2206</v>
      </c>
      <c r="BU168" s="1">
        <v>2235</v>
      </c>
      <c r="BV168" s="1">
        <v>2239</v>
      </c>
      <c r="BW168" s="1">
        <v>2248</v>
      </c>
      <c r="BX168" s="1">
        <v>2232</v>
      </c>
      <c r="BY168" s="1">
        <v>2241</v>
      </c>
      <c r="BZ168" s="1">
        <v>2215</v>
      </c>
    </row>
    <row r="169" spans="1:254" ht="15.9" customHeight="1">
      <c r="A169" s="65" t="s">
        <v>332</v>
      </c>
      <c r="B169" s="41" t="s">
        <v>333</v>
      </c>
      <c r="C169" s="45">
        <f>_xll.RssMarket("8103","安値")</f>
        <v>890</v>
      </c>
      <c r="D169" s="16">
        <f t="shared" si="5"/>
        <v>0</v>
      </c>
      <c r="E169" s="30">
        <v>890</v>
      </c>
      <c r="F169" s="30">
        <v>885</v>
      </c>
      <c r="G169" s="30">
        <v>885</v>
      </c>
      <c r="H169" s="30">
        <v>877</v>
      </c>
      <c r="I169" s="30">
        <v>887</v>
      </c>
      <c r="J169" s="30">
        <v>917</v>
      </c>
      <c r="K169" s="30">
        <v>914</v>
      </c>
      <c r="L169" s="30">
        <v>909</v>
      </c>
      <c r="M169" s="30">
        <v>910</v>
      </c>
      <c r="N169" s="30">
        <v>900</v>
      </c>
      <c r="O169" s="30">
        <v>908</v>
      </c>
      <c r="P169" s="30">
        <v>905</v>
      </c>
      <c r="Q169" s="30">
        <v>893</v>
      </c>
      <c r="R169" s="30">
        <v>889</v>
      </c>
      <c r="S169" s="30">
        <v>905</v>
      </c>
      <c r="T169" s="30">
        <v>897</v>
      </c>
      <c r="U169" s="30">
        <v>898</v>
      </c>
      <c r="V169" s="30">
        <v>909</v>
      </c>
      <c r="W169" s="30">
        <v>905</v>
      </c>
      <c r="X169" s="30">
        <v>908</v>
      </c>
      <c r="Y169" s="30">
        <v>910</v>
      </c>
      <c r="Z169" s="30">
        <v>906</v>
      </c>
      <c r="AA169" s="30">
        <v>890</v>
      </c>
      <c r="AB169" s="30">
        <v>883</v>
      </c>
      <c r="AC169" s="30">
        <v>876</v>
      </c>
      <c r="AD169" s="30">
        <v>868</v>
      </c>
      <c r="AE169" s="30">
        <v>865</v>
      </c>
      <c r="AF169" s="30">
        <v>855</v>
      </c>
      <c r="AG169" s="30">
        <v>860</v>
      </c>
      <c r="AH169" s="30">
        <v>853</v>
      </c>
      <c r="AI169" s="30">
        <v>869</v>
      </c>
      <c r="AJ169" s="30">
        <v>869</v>
      </c>
      <c r="AK169" s="30">
        <v>867</v>
      </c>
      <c r="AL169" s="30">
        <v>868</v>
      </c>
      <c r="AM169" s="30">
        <v>872</v>
      </c>
      <c r="AN169" s="30">
        <v>872</v>
      </c>
      <c r="AO169" s="30">
        <v>872</v>
      </c>
      <c r="AP169" s="30">
        <v>861</v>
      </c>
      <c r="AQ169" s="30">
        <v>853</v>
      </c>
      <c r="AR169" s="30">
        <v>854</v>
      </c>
      <c r="AS169" s="30">
        <v>862</v>
      </c>
      <c r="AT169" s="30">
        <v>879</v>
      </c>
      <c r="AU169" s="30">
        <v>876</v>
      </c>
      <c r="AV169" s="30">
        <v>870</v>
      </c>
      <c r="AW169" s="30">
        <v>864</v>
      </c>
      <c r="AX169" s="30">
        <v>880</v>
      </c>
      <c r="AY169" s="30">
        <v>875</v>
      </c>
      <c r="AZ169" s="30">
        <v>880</v>
      </c>
      <c r="BA169" s="30">
        <v>903</v>
      </c>
      <c r="BB169" s="30">
        <v>891</v>
      </c>
      <c r="BC169" s="30">
        <v>884</v>
      </c>
      <c r="BD169" s="30">
        <v>876</v>
      </c>
      <c r="BE169" s="30">
        <v>903</v>
      </c>
      <c r="BF169" s="30">
        <v>887</v>
      </c>
      <c r="BG169" s="30">
        <v>892</v>
      </c>
      <c r="BH169" s="30">
        <v>900</v>
      </c>
      <c r="BI169" s="30">
        <v>879</v>
      </c>
      <c r="BJ169" s="30">
        <v>877</v>
      </c>
      <c r="BK169" s="30">
        <v>885</v>
      </c>
      <c r="BL169" s="30">
        <v>878</v>
      </c>
      <c r="BM169" s="1">
        <v>857</v>
      </c>
      <c r="BN169" s="1">
        <v>832</v>
      </c>
      <c r="BO169" s="1">
        <v>752</v>
      </c>
      <c r="BP169" s="1">
        <v>764</v>
      </c>
      <c r="BQ169" s="1">
        <v>760</v>
      </c>
      <c r="BR169" s="1">
        <v>762</v>
      </c>
      <c r="BS169" s="1">
        <v>758</v>
      </c>
      <c r="BT169" s="1">
        <v>764</v>
      </c>
      <c r="BU169" s="1">
        <v>773</v>
      </c>
      <c r="BV169" s="1">
        <v>778</v>
      </c>
      <c r="BW169" s="1">
        <v>778</v>
      </c>
      <c r="BX169" s="1">
        <v>773</v>
      </c>
      <c r="BY169" s="1">
        <v>773</v>
      </c>
      <c r="BZ169" s="1">
        <v>777</v>
      </c>
    </row>
    <row r="170" spans="1:254" ht="15.9" customHeight="1">
      <c r="A170" s="65" t="s">
        <v>334</v>
      </c>
      <c r="B170" s="41" t="s">
        <v>335</v>
      </c>
      <c r="C170" s="45">
        <f>_xll.RssMarket("4709","安値")</f>
        <v>1008</v>
      </c>
      <c r="D170" s="16">
        <f t="shared" si="5"/>
        <v>0</v>
      </c>
      <c r="E170" s="30">
        <v>1008</v>
      </c>
      <c r="F170" s="30">
        <v>1007</v>
      </c>
      <c r="G170" s="30">
        <v>1007</v>
      </c>
      <c r="H170" s="30">
        <v>1000</v>
      </c>
      <c r="I170" s="30">
        <v>999</v>
      </c>
      <c r="J170" s="30">
        <v>1142</v>
      </c>
      <c r="K170" s="30">
        <v>1133</v>
      </c>
      <c r="L170" s="30">
        <v>1121</v>
      </c>
      <c r="M170" s="30">
        <v>1114</v>
      </c>
      <c r="N170" s="30">
        <v>1087</v>
      </c>
      <c r="O170" s="30">
        <v>1091</v>
      </c>
      <c r="P170" s="30">
        <v>1090</v>
      </c>
      <c r="Q170" s="30">
        <v>1104</v>
      </c>
      <c r="R170" s="30">
        <v>1110</v>
      </c>
      <c r="S170" s="30">
        <v>1114</v>
      </c>
      <c r="T170" s="30">
        <v>1105</v>
      </c>
      <c r="U170" s="30">
        <v>1099</v>
      </c>
      <c r="V170" s="30">
        <v>1095</v>
      </c>
      <c r="W170" s="30">
        <v>1089</v>
      </c>
      <c r="X170" s="30">
        <v>1081</v>
      </c>
      <c r="Y170" s="30">
        <v>1078</v>
      </c>
      <c r="Z170" s="30">
        <v>1064</v>
      </c>
      <c r="AA170" s="30">
        <v>1062</v>
      </c>
      <c r="AB170" s="30">
        <v>1057</v>
      </c>
      <c r="AC170" s="30">
        <v>1051</v>
      </c>
      <c r="AD170" s="30">
        <v>1058</v>
      </c>
      <c r="AE170" s="30">
        <v>1059</v>
      </c>
      <c r="AF170" s="30">
        <v>1044</v>
      </c>
      <c r="AG170" s="30">
        <v>1030</v>
      </c>
      <c r="AH170" s="30">
        <v>1037</v>
      </c>
      <c r="AI170" s="30">
        <v>1039</v>
      </c>
      <c r="AJ170" s="30">
        <v>1050</v>
      </c>
      <c r="AK170" s="30">
        <v>1042</v>
      </c>
      <c r="AL170" s="30">
        <v>1064</v>
      </c>
      <c r="AM170" s="30">
        <v>1091</v>
      </c>
      <c r="AN170" s="30">
        <v>1068</v>
      </c>
      <c r="AO170" s="30">
        <v>1061</v>
      </c>
      <c r="AP170" s="30">
        <v>1035</v>
      </c>
      <c r="AQ170" s="30">
        <v>1054</v>
      </c>
      <c r="AR170" s="30">
        <v>1042</v>
      </c>
      <c r="AS170" s="30">
        <v>995</v>
      </c>
      <c r="AT170" s="30">
        <v>998</v>
      </c>
      <c r="AU170" s="30">
        <v>981</v>
      </c>
      <c r="AV170" s="30">
        <v>990</v>
      </c>
      <c r="AW170" s="30">
        <v>1015</v>
      </c>
      <c r="AX170" s="30">
        <v>1020</v>
      </c>
      <c r="AY170" s="30">
        <v>1001</v>
      </c>
      <c r="AZ170" s="30">
        <v>996</v>
      </c>
      <c r="BA170" s="30">
        <v>1019</v>
      </c>
      <c r="BB170" s="30">
        <v>1033</v>
      </c>
      <c r="BC170" s="30">
        <v>1045</v>
      </c>
      <c r="BD170" s="30">
        <v>1022</v>
      </c>
      <c r="BE170" s="30">
        <v>1017</v>
      </c>
      <c r="BF170" s="30">
        <v>1016</v>
      </c>
      <c r="BG170" s="30">
        <v>1018</v>
      </c>
      <c r="BH170" s="30">
        <v>1007</v>
      </c>
      <c r="BI170" s="30">
        <v>1060</v>
      </c>
      <c r="BJ170" s="30">
        <v>1066</v>
      </c>
      <c r="BK170" s="30">
        <v>1044</v>
      </c>
      <c r="BL170" s="30">
        <v>1015</v>
      </c>
      <c r="BM170" s="1">
        <v>1035</v>
      </c>
      <c r="BN170" s="1">
        <v>1006</v>
      </c>
      <c r="BO170" s="1">
        <v>885</v>
      </c>
      <c r="BP170" s="1">
        <v>892</v>
      </c>
      <c r="BQ170" s="1">
        <v>883</v>
      </c>
      <c r="BR170" s="1">
        <v>881</v>
      </c>
      <c r="BS170" s="1">
        <v>881</v>
      </c>
      <c r="BT170" s="1">
        <v>905</v>
      </c>
      <c r="BU170" s="1">
        <v>919</v>
      </c>
      <c r="BV170" s="1">
        <v>917</v>
      </c>
      <c r="BW170" s="1">
        <v>932</v>
      </c>
      <c r="BX170" s="1">
        <v>935</v>
      </c>
      <c r="BY170" s="1">
        <v>918</v>
      </c>
      <c r="BZ170" s="1">
        <v>913</v>
      </c>
    </row>
    <row r="171" spans="1:254" ht="15.9" customHeight="1">
      <c r="A171" s="65" t="s">
        <v>336</v>
      </c>
      <c r="B171" s="41" t="s">
        <v>337</v>
      </c>
      <c r="C171" s="45">
        <f>_xll.RssMarket("7981","安値")</f>
        <v>2999</v>
      </c>
      <c r="D171" s="16">
        <f t="shared" si="5"/>
        <v>0</v>
      </c>
      <c r="E171" s="30">
        <v>2999</v>
      </c>
      <c r="F171" s="30">
        <v>2980</v>
      </c>
      <c r="G171" s="30">
        <v>2985</v>
      </c>
      <c r="H171" s="30">
        <v>2960</v>
      </c>
      <c r="I171" s="30">
        <v>2962</v>
      </c>
      <c r="J171" s="30">
        <v>3020</v>
      </c>
      <c r="K171" s="30">
        <v>3230</v>
      </c>
      <c r="L171" s="30">
        <v>3215</v>
      </c>
      <c r="M171" s="30">
        <v>3180</v>
      </c>
      <c r="N171" s="30">
        <v>3080</v>
      </c>
      <c r="O171" s="30">
        <v>3060</v>
      </c>
      <c r="P171" s="30">
        <v>3080</v>
      </c>
      <c r="Q171" s="30">
        <v>3050</v>
      </c>
      <c r="R171" s="30">
        <v>3020</v>
      </c>
      <c r="S171" s="30">
        <v>3090</v>
      </c>
      <c r="T171" s="30">
        <v>3060</v>
      </c>
      <c r="U171" s="30">
        <v>3040</v>
      </c>
      <c r="V171" s="30">
        <v>3030</v>
      </c>
      <c r="W171" s="30">
        <v>3040</v>
      </c>
      <c r="X171" s="30">
        <v>3060</v>
      </c>
      <c r="Y171" s="30">
        <v>3120</v>
      </c>
      <c r="Z171" s="30">
        <v>3095</v>
      </c>
      <c r="AA171" s="30">
        <v>3075</v>
      </c>
      <c r="AB171" s="30">
        <v>3035</v>
      </c>
      <c r="AC171" s="30">
        <v>3035</v>
      </c>
      <c r="AD171" s="30">
        <v>3070</v>
      </c>
      <c r="AE171" s="30">
        <v>3070</v>
      </c>
      <c r="AF171" s="30">
        <v>3080</v>
      </c>
      <c r="AG171" s="30">
        <v>3095</v>
      </c>
      <c r="AH171" s="30">
        <v>3055</v>
      </c>
      <c r="AI171" s="30">
        <v>3060</v>
      </c>
      <c r="AJ171" s="30">
        <v>2995</v>
      </c>
      <c r="AK171" s="30">
        <v>3015</v>
      </c>
      <c r="AL171" s="30">
        <v>3005</v>
      </c>
      <c r="AM171" s="30">
        <v>2994</v>
      </c>
      <c r="AN171" s="30">
        <v>2979</v>
      </c>
      <c r="AO171" s="30">
        <v>3000</v>
      </c>
      <c r="AP171" s="30">
        <v>2967</v>
      </c>
      <c r="AQ171" s="30">
        <v>2891</v>
      </c>
      <c r="AR171" s="30">
        <v>2937</v>
      </c>
      <c r="AS171" s="30">
        <v>2912</v>
      </c>
      <c r="AT171" s="30">
        <v>2941</v>
      </c>
      <c r="AU171" s="30">
        <v>2909</v>
      </c>
      <c r="AV171" s="30">
        <v>2899</v>
      </c>
      <c r="AW171" s="30">
        <v>2882</v>
      </c>
      <c r="AX171" s="30">
        <v>2935</v>
      </c>
      <c r="AY171" s="30">
        <v>2930</v>
      </c>
      <c r="AZ171" s="30">
        <v>2940</v>
      </c>
      <c r="BA171" s="30">
        <v>2973</v>
      </c>
      <c r="BB171" s="30">
        <v>2877</v>
      </c>
      <c r="BC171" s="30">
        <v>2895</v>
      </c>
      <c r="BD171" s="30">
        <v>2882</v>
      </c>
      <c r="BE171" s="30">
        <v>2907</v>
      </c>
      <c r="BF171" s="30">
        <v>2883</v>
      </c>
      <c r="BG171" s="30">
        <v>2983</v>
      </c>
      <c r="BH171" s="30">
        <v>2941</v>
      </c>
      <c r="BI171" s="30">
        <v>2992</v>
      </c>
      <c r="BJ171" s="30">
        <v>3020</v>
      </c>
      <c r="BK171" s="30">
        <v>3045</v>
      </c>
      <c r="BL171" s="30">
        <v>3050</v>
      </c>
      <c r="BM171" s="1">
        <v>3045</v>
      </c>
      <c r="BN171" s="1">
        <v>2961</v>
      </c>
      <c r="BO171" s="1">
        <v>2782</v>
      </c>
      <c r="BP171" s="1">
        <v>2731</v>
      </c>
      <c r="BQ171" s="1">
        <v>2670</v>
      </c>
      <c r="BR171" s="1">
        <v>2628</v>
      </c>
      <c r="BS171" s="1">
        <v>2626</v>
      </c>
      <c r="BT171" s="1">
        <v>2649</v>
      </c>
      <c r="BU171" s="1">
        <v>2671</v>
      </c>
      <c r="BV171" s="1">
        <v>2713</v>
      </c>
      <c r="BW171" s="1">
        <v>2717</v>
      </c>
      <c r="BX171" s="1">
        <v>2746</v>
      </c>
      <c r="BY171" s="1">
        <v>2693</v>
      </c>
      <c r="BZ171" s="1">
        <v>2646</v>
      </c>
    </row>
    <row r="172" spans="1:254" ht="15.9" customHeight="1">
      <c r="A172" s="65" t="s">
        <v>338</v>
      </c>
      <c r="B172" s="41" t="s">
        <v>339</v>
      </c>
      <c r="C172" s="45">
        <f>_xll.RssMarket("8303","安値")</f>
        <v>1520</v>
      </c>
      <c r="D172" s="16">
        <f t="shared" si="5"/>
        <v>0</v>
      </c>
      <c r="E172" s="30">
        <v>1520</v>
      </c>
      <c r="F172" s="30">
        <v>1443</v>
      </c>
      <c r="G172" s="30">
        <v>1428.5</v>
      </c>
      <c r="H172" s="30">
        <v>1437.5</v>
      </c>
      <c r="I172" s="30">
        <v>1405.5</v>
      </c>
      <c r="J172" s="30">
        <v>1407</v>
      </c>
      <c r="K172" s="30">
        <v>1414</v>
      </c>
      <c r="L172" s="30">
        <v>1430</v>
      </c>
      <c r="M172" s="30">
        <v>1423</v>
      </c>
      <c r="N172" s="30">
        <v>1411</v>
      </c>
      <c r="O172" s="30">
        <v>1435.5</v>
      </c>
      <c r="P172" s="30">
        <v>1439</v>
      </c>
      <c r="Q172" s="30">
        <v>1414</v>
      </c>
      <c r="R172" s="30">
        <v>1392</v>
      </c>
      <c r="S172" s="30">
        <v>1452</v>
      </c>
      <c r="T172" s="30">
        <v>1448</v>
      </c>
      <c r="U172" s="30">
        <v>1439</v>
      </c>
      <c r="V172" s="30">
        <v>1442</v>
      </c>
      <c r="W172" s="30">
        <v>1431.5</v>
      </c>
      <c r="X172" s="30">
        <v>1445</v>
      </c>
      <c r="Y172" s="30">
        <v>1488.5</v>
      </c>
      <c r="Z172" s="30">
        <v>1449</v>
      </c>
      <c r="AA172" s="30">
        <v>1430.5</v>
      </c>
      <c r="AB172" s="30">
        <v>1386</v>
      </c>
      <c r="AC172" s="30">
        <v>1358</v>
      </c>
      <c r="AD172" s="30">
        <v>1380</v>
      </c>
      <c r="AE172" s="30">
        <v>1394</v>
      </c>
      <c r="AF172" s="30">
        <v>1382</v>
      </c>
      <c r="AG172" s="30">
        <v>1394.5</v>
      </c>
      <c r="AH172" s="30">
        <v>1404</v>
      </c>
      <c r="AI172" s="30">
        <v>1396</v>
      </c>
      <c r="AJ172" s="30">
        <v>1422.5</v>
      </c>
      <c r="AK172" s="30">
        <v>1427</v>
      </c>
      <c r="AL172" s="30">
        <v>1440.5</v>
      </c>
      <c r="AM172" s="30">
        <v>1445</v>
      </c>
      <c r="AN172" s="30">
        <v>1435</v>
      </c>
      <c r="AO172" s="30">
        <v>1473.5</v>
      </c>
      <c r="AP172" s="30">
        <v>1393</v>
      </c>
      <c r="AQ172" s="30">
        <v>1417.5</v>
      </c>
      <c r="AR172" s="30">
        <v>1444</v>
      </c>
      <c r="AS172" s="30">
        <v>1362</v>
      </c>
      <c r="AT172" s="30">
        <v>1396</v>
      </c>
      <c r="AU172" s="30">
        <v>1377</v>
      </c>
      <c r="AV172" s="30">
        <v>1333</v>
      </c>
      <c r="AW172" s="30">
        <v>1325</v>
      </c>
      <c r="AX172" s="30">
        <v>1365</v>
      </c>
      <c r="AY172" s="30">
        <v>1348</v>
      </c>
      <c r="AZ172" s="30">
        <v>1361.5</v>
      </c>
      <c r="BA172" s="30">
        <v>1457.5</v>
      </c>
      <c r="BB172" s="30">
        <v>1474</v>
      </c>
      <c r="BC172" s="30">
        <v>1494.5</v>
      </c>
      <c r="BD172" s="30">
        <v>1555.5</v>
      </c>
      <c r="BE172" s="30">
        <v>1571</v>
      </c>
      <c r="BF172" s="30">
        <v>1619.5</v>
      </c>
      <c r="BG172" s="30">
        <v>1615</v>
      </c>
      <c r="BH172" s="30">
        <v>1607</v>
      </c>
      <c r="BI172" s="30">
        <v>1649</v>
      </c>
      <c r="BJ172" s="30">
        <v>1635</v>
      </c>
      <c r="BK172" s="30">
        <v>1626</v>
      </c>
      <c r="BL172" s="30">
        <v>1673</v>
      </c>
      <c r="BM172" s="1">
        <v>1669</v>
      </c>
      <c r="BN172" s="1">
        <v>1710</v>
      </c>
      <c r="BO172" s="1">
        <v>1785</v>
      </c>
      <c r="BP172" s="1">
        <v>1753</v>
      </c>
      <c r="BQ172" s="1">
        <v>1678</v>
      </c>
      <c r="BR172" s="1">
        <v>1673.5</v>
      </c>
      <c r="BS172" s="1">
        <v>1614.5</v>
      </c>
      <c r="BT172" s="1">
        <v>1611.5</v>
      </c>
      <c r="BU172" s="1">
        <v>1655</v>
      </c>
      <c r="BV172" s="1">
        <v>1673</v>
      </c>
      <c r="BW172" s="1">
        <v>1685</v>
      </c>
      <c r="BX172" s="1">
        <v>1698.5</v>
      </c>
      <c r="BY172" s="1">
        <v>1680</v>
      </c>
      <c r="BZ172" s="1">
        <v>1670</v>
      </c>
    </row>
    <row r="173" spans="1:254" ht="15.9" customHeight="1">
      <c r="A173" s="65" t="s">
        <v>340</v>
      </c>
      <c r="B173" s="41" t="s">
        <v>341</v>
      </c>
      <c r="C173" s="45">
        <f>_xll.RssMarket("4382","安値")</f>
        <v>712</v>
      </c>
      <c r="D173" s="16">
        <f t="shared" si="5"/>
        <v>0</v>
      </c>
      <c r="E173" s="30">
        <v>712</v>
      </c>
      <c r="F173" s="30">
        <v>706</v>
      </c>
      <c r="G173" s="30">
        <v>700</v>
      </c>
      <c r="H173" s="30">
        <v>691</v>
      </c>
      <c r="I173" s="30">
        <v>699</v>
      </c>
      <c r="J173" s="30">
        <v>693</v>
      </c>
      <c r="K173" s="30">
        <v>693</v>
      </c>
      <c r="L173" s="30">
        <v>693</v>
      </c>
      <c r="M173" s="30">
        <v>699</v>
      </c>
      <c r="N173" s="30"/>
      <c r="O173" s="30">
        <v>700</v>
      </c>
      <c r="P173" s="30">
        <v>701</v>
      </c>
      <c r="Q173" s="30">
        <v>701</v>
      </c>
      <c r="R173" s="30">
        <v>698</v>
      </c>
      <c r="S173" s="30">
        <v>705</v>
      </c>
      <c r="T173" s="30">
        <v>694</v>
      </c>
      <c r="U173" s="30">
        <v>690</v>
      </c>
      <c r="V173" s="30">
        <v>691</v>
      </c>
      <c r="W173" s="30">
        <v>691</v>
      </c>
      <c r="X173" s="30">
        <v>715</v>
      </c>
      <c r="Y173" s="30">
        <v>717</v>
      </c>
      <c r="Z173" s="30">
        <v>715</v>
      </c>
      <c r="AA173" s="30">
        <v>713</v>
      </c>
      <c r="AB173" s="30">
        <v>709</v>
      </c>
      <c r="AC173" s="30">
        <v>714</v>
      </c>
      <c r="AD173" s="30">
        <v>718</v>
      </c>
      <c r="AE173" s="30">
        <v>720</v>
      </c>
      <c r="AF173" s="30">
        <v>710</v>
      </c>
      <c r="AG173" s="30">
        <v>715</v>
      </c>
      <c r="AH173" s="30">
        <v>710</v>
      </c>
      <c r="AI173" s="30">
        <v>707</v>
      </c>
      <c r="AJ173" s="30">
        <v>728</v>
      </c>
      <c r="AK173" s="30">
        <v>723</v>
      </c>
      <c r="AL173" s="30">
        <v>770</v>
      </c>
      <c r="AM173" s="30">
        <v>781</v>
      </c>
      <c r="AN173" s="30">
        <v>762</v>
      </c>
      <c r="AO173" s="30">
        <v>788</v>
      </c>
      <c r="AP173" s="30">
        <v>771</v>
      </c>
      <c r="AQ173" s="30">
        <v>751</v>
      </c>
      <c r="AR173" s="30">
        <v>752</v>
      </c>
      <c r="AS173" s="30">
        <v>694</v>
      </c>
      <c r="AT173" s="30">
        <v>696</v>
      </c>
      <c r="AU173" s="30">
        <v>693</v>
      </c>
      <c r="AV173" s="30">
        <v>699</v>
      </c>
      <c r="AW173" s="30">
        <v>701</v>
      </c>
      <c r="AX173" s="30">
        <v>713</v>
      </c>
      <c r="AY173" s="30">
        <v>717</v>
      </c>
      <c r="AZ173" s="30">
        <v>748</v>
      </c>
      <c r="BA173" s="30">
        <v>755</v>
      </c>
      <c r="BB173" s="30">
        <v>760</v>
      </c>
      <c r="BC173" s="30">
        <v>760</v>
      </c>
      <c r="BD173" s="30">
        <v>762</v>
      </c>
      <c r="BE173" s="30">
        <v>762</v>
      </c>
      <c r="BF173" s="30">
        <v>760</v>
      </c>
      <c r="BG173" s="30">
        <v>760</v>
      </c>
      <c r="BH173" s="30">
        <v>770</v>
      </c>
      <c r="BI173" s="30">
        <v>782</v>
      </c>
      <c r="BJ173" s="30">
        <v>781</v>
      </c>
      <c r="BK173" s="30">
        <v>783</v>
      </c>
      <c r="BL173" s="30">
        <v>804</v>
      </c>
      <c r="BM173" s="1">
        <v>809</v>
      </c>
      <c r="BN173" s="1">
        <v>804</v>
      </c>
      <c r="BO173" s="1">
        <v>802</v>
      </c>
      <c r="BP173" s="1">
        <v>810</v>
      </c>
      <c r="BQ173" s="1">
        <v>831</v>
      </c>
      <c r="BR173" s="1">
        <v>834</v>
      </c>
      <c r="BS173" s="1">
        <v>845</v>
      </c>
      <c r="BT173" s="1">
        <v>851</v>
      </c>
      <c r="BU173" s="1">
        <v>858</v>
      </c>
      <c r="BV173" s="1">
        <v>854</v>
      </c>
      <c r="BW173" s="1">
        <v>879</v>
      </c>
      <c r="BX173" s="1">
        <v>877</v>
      </c>
      <c r="BY173" s="1">
        <v>862</v>
      </c>
      <c r="BZ173" s="1">
        <v>860</v>
      </c>
    </row>
    <row r="174" spans="1:254" ht="15.9" customHeight="1">
      <c r="A174" s="65" t="s">
        <v>342</v>
      </c>
      <c r="B174" s="41" t="s">
        <v>343</v>
      </c>
      <c r="C174" s="45">
        <f>_xll.RssMarket("2327","安値")</f>
        <v>3643</v>
      </c>
      <c r="D174" s="16">
        <f t="shared" si="5"/>
        <v>0</v>
      </c>
      <c r="E174" s="30">
        <v>3643</v>
      </c>
      <c r="F174" s="30">
        <v>3617</v>
      </c>
      <c r="G174" s="30">
        <v>3655</v>
      </c>
      <c r="H174" s="30">
        <v>3696</v>
      </c>
      <c r="I174" s="30">
        <v>3764</v>
      </c>
      <c r="J174" s="30">
        <v>3887</v>
      </c>
      <c r="K174" s="30">
        <v>3926</v>
      </c>
      <c r="L174" s="30">
        <v>3884</v>
      </c>
      <c r="M174" s="30">
        <v>3808</v>
      </c>
      <c r="N174" s="30">
        <v>3678</v>
      </c>
      <c r="O174" s="30">
        <v>3676</v>
      </c>
      <c r="P174" s="30">
        <v>3718</v>
      </c>
      <c r="Q174" s="30">
        <v>3854</v>
      </c>
      <c r="R174" s="30">
        <v>3823</v>
      </c>
      <c r="S174" s="30">
        <v>3741</v>
      </c>
      <c r="T174" s="30">
        <v>3800</v>
      </c>
      <c r="U174" s="30">
        <v>3714</v>
      </c>
      <c r="V174" s="30">
        <v>3739</v>
      </c>
      <c r="W174" s="30">
        <v>3605</v>
      </c>
      <c r="X174" s="30">
        <v>3770</v>
      </c>
      <c r="Y174" s="30">
        <v>3670</v>
      </c>
      <c r="Z174" s="30">
        <v>3566</v>
      </c>
      <c r="AA174" s="30">
        <v>3571</v>
      </c>
      <c r="AB174" s="30">
        <v>3411</v>
      </c>
      <c r="AC174" s="30">
        <v>3318</v>
      </c>
      <c r="AD174" s="30">
        <v>3359</v>
      </c>
      <c r="AE174" s="30">
        <v>3288</v>
      </c>
      <c r="AF174" s="30">
        <v>3196</v>
      </c>
      <c r="AG174" s="30">
        <v>3184</v>
      </c>
      <c r="AH174" s="30">
        <v>3182</v>
      </c>
      <c r="AI174" s="30">
        <v>3164</v>
      </c>
      <c r="AJ174" s="30">
        <v>3180</v>
      </c>
      <c r="AK174" s="30">
        <v>3075</v>
      </c>
      <c r="AL174" s="30">
        <v>3110</v>
      </c>
      <c r="AM174" s="30">
        <v>3086</v>
      </c>
      <c r="AN174" s="30">
        <v>3086</v>
      </c>
      <c r="AO174" s="30">
        <v>3215</v>
      </c>
      <c r="AP174" s="30">
        <v>3201</v>
      </c>
      <c r="AQ174" s="30">
        <v>3210</v>
      </c>
      <c r="AR174" s="30">
        <v>3224</v>
      </c>
      <c r="AS174" s="30">
        <v>3320</v>
      </c>
      <c r="AT174" s="30">
        <v>3404</v>
      </c>
      <c r="AU174" s="30">
        <v>3325</v>
      </c>
      <c r="AV174" s="30">
        <v>3415</v>
      </c>
      <c r="AW174" s="30">
        <v>3520</v>
      </c>
      <c r="AX174" s="30">
        <v>3485</v>
      </c>
      <c r="AY174" s="30">
        <v>3490</v>
      </c>
      <c r="AZ174" s="30">
        <v>3515</v>
      </c>
      <c r="BA174" s="30">
        <v>3562</v>
      </c>
      <c r="BB174" s="30">
        <v>3501</v>
      </c>
      <c r="BC174" s="30">
        <v>3535</v>
      </c>
      <c r="BD174" s="30">
        <v>3480</v>
      </c>
      <c r="BE174" s="30">
        <v>3530</v>
      </c>
      <c r="BF174" s="30">
        <v>3499</v>
      </c>
      <c r="BG174" s="30">
        <v>3422</v>
      </c>
      <c r="BH174" s="30">
        <v>3481</v>
      </c>
      <c r="BI174" s="30">
        <v>3558</v>
      </c>
      <c r="BJ174" s="30">
        <v>3630</v>
      </c>
      <c r="BK174" s="30">
        <v>3580</v>
      </c>
      <c r="BL174" s="30">
        <v>3580</v>
      </c>
      <c r="BM174" s="1">
        <v>3570</v>
      </c>
      <c r="BN174" s="1">
        <v>3530</v>
      </c>
      <c r="BO174" s="1">
        <v>3598</v>
      </c>
      <c r="BP174" s="1">
        <v>3505</v>
      </c>
      <c r="BQ174" s="1">
        <v>3578</v>
      </c>
      <c r="BR174" s="1">
        <v>3631</v>
      </c>
      <c r="BS174" s="1">
        <v>3698</v>
      </c>
      <c r="BT174" s="1">
        <v>3881</v>
      </c>
      <c r="BU174" s="1">
        <v>3825</v>
      </c>
      <c r="BV174" s="1">
        <v>3810</v>
      </c>
      <c r="BW174" s="1">
        <v>3895</v>
      </c>
      <c r="BX174" s="1">
        <v>3858</v>
      </c>
      <c r="BY174" s="1">
        <v>3793</v>
      </c>
      <c r="BZ174" s="1">
        <v>3735</v>
      </c>
    </row>
    <row r="175" spans="1:254" ht="15.9" customHeight="1">
      <c r="A175" s="65" t="s">
        <v>344</v>
      </c>
      <c r="B175" s="41" t="s">
        <v>345</v>
      </c>
      <c r="C175" s="45">
        <f>_xll.RssMarket("1942","安値")</f>
        <v>5618</v>
      </c>
      <c r="D175" s="16">
        <f t="shared" si="5"/>
        <v>0</v>
      </c>
      <c r="E175" s="30">
        <v>5618</v>
      </c>
      <c r="F175" s="30">
        <v>5496</v>
      </c>
      <c r="G175" s="30">
        <v>5321</v>
      </c>
      <c r="H175" s="30">
        <v>5150</v>
      </c>
      <c r="I175" s="30">
        <v>5033</v>
      </c>
      <c r="J175" s="30">
        <v>5451</v>
      </c>
      <c r="K175" s="30">
        <v>5496</v>
      </c>
      <c r="L175" s="30">
        <v>5847</v>
      </c>
      <c r="M175" s="30">
        <v>5830</v>
      </c>
      <c r="N175" s="30">
        <v>5840</v>
      </c>
      <c r="O175" s="30">
        <v>5962</v>
      </c>
      <c r="P175" s="30">
        <v>5933</v>
      </c>
      <c r="Q175" s="30">
        <v>5811</v>
      </c>
      <c r="R175" s="30">
        <v>5712</v>
      </c>
      <c r="S175" s="30">
        <v>6136</v>
      </c>
      <c r="T175" s="30">
        <v>6019</v>
      </c>
      <c r="U175" s="30">
        <v>6105</v>
      </c>
      <c r="V175" s="30">
        <v>6281</v>
      </c>
      <c r="W175" s="30">
        <v>6323</v>
      </c>
      <c r="X175" s="30">
        <v>6468</v>
      </c>
      <c r="Y175" s="30">
        <v>6757</v>
      </c>
      <c r="Z175" s="30">
        <v>6790</v>
      </c>
      <c r="AA175" s="30">
        <v>6594</v>
      </c>
      <c r="AB175" s="30">
        <v>6530</v>
      </c>
      <c r="AC175" s="30">
        <v>6675</v>
      </c>
      <c r="AD175" s="30">
        <v>6694</v>
      </c>
      <c r="AE175" s="30">
        <v>6682</v>
      </c>
      <c r="AF175" s="30">
        <v>6608</v>
      </c>
      <c r="AG175" s="30">
        <v>6613</v>
      </c>
      <c r="AH175" s="30">
        <v>6660</v>
      </c>
      <c r="AI175" s="30">
        <v>6635</v>
      </c>
      <c r="AJ175" s="30">
        <v>6634</v>
      </c>
      <c r="AK175" s="30">
        <v>6589</v>
      </c>
      <c r="AL175" s="30">
        <v>6467</v>
      </c>
      <c r="AM175" s="30">
        <v>6388</v>
      </c>
      <c r="AN175" s="30">
        <v>6185</v>
      </c>
      <c r="AO175" s="30">
        <v>6163</v>
      </c>
      <c r="AP175" s="30">
        <v>5711</v>
      </c>
      <c r="AQ175" s="30">
        <v>5692</v>
      </c>
      <c r="AR175" s="30">
        <v>5907</v>
      </c>
      <c r="AS175" s="30">
        <v>5700</v>
      </c>
      <c r="AT175" s="30">
        <v>5794</v>
      </c>
      <c r="AU175" s="30">
        <v>5777</v>
      </c>
      <c r="AV175" s="30">
        <v>5762</v>
      </c>
      <c r="AW175" s="30">
        <v>5932</v>
      </c>
      <c r="AX175" s="30">
        <v>6488</v>
      </c>
      <c r="AY175" s="30">
        <v>6459</v>
      </c>
      <c r="AZ175" s="30">
        <v>6433</v>
      </c>
      <c r="BA175" s="30">
        <v>6008</v>
      </c>
      <c r="BB175" s="30">
        <v>5913</v>
      </c>
      <c r="BC175" s="30">
        <v>6037</v>
      </c>
      <c r="BD175" s="30">
        <v>6028</v>
      </c>
      <c r="BE175" s="30">
        <v>6330</v>
      </c>
      <c r="BF175" s="30">
        <v>6441</v>
      </c>
      <c r="BG175" s="30">
        <v>6741</v>
      </c>
      <c r="BH175" s="30">
        <v>6912</v>
      </c>
      <c r="BI175" s="30">
        <v>7190</v>
      </c>
      <c r="BJ175" s="30">
        <v>7209</v>
      </c>
      <c r="BK175" s="30">
        <v>7014</v>
      </c>
      <c r="BL175" s="30">
        <v>6841</v>
      </c>
      <c r="BM175" s="1">
        <v>6818</v>
      </c>
      <c r="BN175" s="1">
        <v>6729</v>
      </c>
      <c r="BO175" s="1">
        <v>6522</v>
      </c>
      <c r="BP175" s="1">
        <v>6022</v>
      </c>
      <c r="BQ175" s="1">
        <v>5892</v>
      </c>
      <c r="BR175" s="1">
        <v>5989</v>
      </c>
      <c r="BS175" s="1">
        <v>5908</v>
      </c>
      <c r="BT175" s="1">
        <v>6007</v>
      </c>
      <c r="BU175" s="1">
        <v>6120</v>
      </c>
      <c r="BV175" s="1">
        <v>6111</v>
      </c>
      <c r="BW175" s="1">
        <v>6118</v>
      </c>
      <c r="BX175" s="1">
        <v>6052</v>
      </c>
      <c r="BY175" s="1">
        <v>6110</v>
      </c>
      <c r="BZ175" s="1">
        <v>6266</v>
      </c>
    </row>
    <row r="176" spans="1:254" ht="15.9" customHeight="1">
      <c r="A176" s="65" t="s">
        <v>346</v>
      </c>
      <c r="B176" s="41" t="s">
        <v>347</v>
      </c>
      <c r="C176" s="45">
        <f>_xll.RssMarket("1938","安値")</f>
        <v>2475</v>
      </c>
      <c r="D176" s="16">
        <f t="shared" si="5"/>
        <v>0</v>
      </c>
      <c r="E176" s="30">
        <v>2475</v>
      </c>
      <c r="F176" s="30">
        <v>2428</v>
      </c>
      <c r="G176" s="30">
        <v>2389</v>
      </c>
      <c r="H176" s="30">
        <v>2330</v>
      </c>
      <c r="I176" s="30">
        <v>2411</v>
      </c>
      <c r="J176" s="30">
        <v>2344</v>
      </c>
      <c r="K176" s="30">
        <v>2351</v>
      </c>
      <c r="L176" s="30">
        <v>2436</v>
      </c>
      <c r="M176" s="30">
        <v>2461</v>
      </c>
      <c r="N176" s="30">
        <v>2470</v>
      </c>
      <c r="O176" s="30">
        <v>2506</v>
      </c>
      <c r="P176" s="30">
        <v>2509</v>
      </c>
      <c r="Q176" s="30">
        <v>2431</v>
      </c>
      <c r="R176" s="30">
        <v>2422</v>
      </c>
      <c r="S176" s="30">
        <v>2549</v>
      </c>
      <c r="T176" s="30">
        <v>2537</v>
      </c>
      <c r="U176" s="30">
        <v>2550</v>
      </c>
      <c r="V176" s="30">
        <v>2557</v>
      </c>
      <c r="W176" s="30">
        <v>2550</v>
      </c>
      <c r="X176" s="30">
        <v>2588</v>
      </c>
      <c r="Y176" s="30">
        <v>2669</v>
      </c>
      <c r="Z176" s="30">
        <v>2697</v>
      </c>
      <c r="AA176" s="30">
        <v>2653</v>
      </c>
      <c r="AB176" s="30">
        <v>2646</v>
      </c>
      <c r="AC176" s="30">
        <v>2655</v>
      </c>
      <c r="AD176" s="30">
        <v>2661</v>
      </c>
      <c r="AE176" s="30">
        <v>2700</v>
      </c>
      <c r="AF176" s="30">
        <v>2701</v>
      </c>
      <c r="AG176" s="30">
        <v>2685</v>
      </c>
      <c r="AH176" s="30">
        <v>2695</v>
      </c>
      <c r="AI176" s="30">
        <v>2712</v>
      </c>
      <c r="AJ176" s="30">
        <v>2759</v>
      </c>
      <c r="AK176" s="30">
        <v>2780</v>
      </c>
      <c r="AL176" s="30">
        <v>2775</v>
      </c>
      <c r="AM176" s="30">
        <v>2767</v>
      </c>
      <c r="AN176" s="30">
        <v>2751</v>
      </c>
      <c r="AO176" s="30">
        <v>2727</v>
      </c>
      <c r="AP176" s="30">
        <v>2669</v>
      </c>
      <c r="AQ176" s="30">
        <v>2590</v>
      </c>
      <c r="AR176" s="30">
        <v>2698</v>
      </c>
      <c r="AS176" s="30">
        <v>2659</v>
      </c>
      <c r="AT176" s="30">
        <v>2759</v>
      </c>
      <c r="AU176" s="30">
        <v>2668</v>
      </c>
      <c r="AV176" s="30">
        <v>2697</v>
      </c>
      <c r="AW176" s="30">
        <v>2620</v>
      </c>
      <c r="AX176" s="30">
        <v>2785</v>
      </c>
      <c r="AY176" s="30">
        <v>2731</v>
      </c>
      <c r="AZ176" s="30">
        <v>2738</v>
      </c>
      <c r="BA176" s="30">
        <v>2666</v>
      </c>
      <c r="BB176" s="30">
        <v>2591</v>
      </c>
      <c r="BC176" s="30">
        <v>2600</v>
      </c>
      <c r="BD176" s="30">
        <v>2672</v>
      </c>
      <c r="BE176" s="30">
        <v>2772</v>
      </c>
      <c r="BF176" s="30">
        <v>2800</v>
      </c>
      <c r="BG176" s="30">
        <v>2877</v>
      </c>
      <c r="BH176" s="30">
        <v>2919</v>
      </c>
      <c r="BI176" s="30">
        <v>3025</v>
      </c>
      <c r="BJ176" s="30">
        <v>2913</v>
      </c>
      <c r="BK176" s="30">
        <v>2919</v>
      </c>
      <c r="BL176" s="30">
        <v>2857</v>
      </c>
      <c r="BM176" s="1">
        <v>2833</v>
      </c>
      <c r="BN176" s="1">
        <v>2699</v>
      </c>
      <c r="BO176" s="1">
        <v>2665</v>
      </c>
      <c r="BP176" s="1">
        <v>2575</v>
      </c>
      <c r="BQ176" s="1">
        <v>2490</v>
      </c>
      <c r="BR176" s="1">
        <v>2537</v>
      </c>
      <c r="BS176" s="1">
        <v>2490</v>
      </c>
      <c r="BT176" s="1">
        <v>2476</v>
      </c>
      <c r="BU176" s="1">
        <v>2564</v>
      </c>
      <c r="BV176" s="1">
        <v>2519</v>
      </c>
      <c r="BW176" s="1">
        <v>2526</v>
      </c>
      <c r="BX176" s="1">
        <v>2586</v>
      </c>
      <c r="BY176" s="1">
        <v>2582</v>
      </c>
      <c r="BZ176" s="1">
        <v>2557</v>
      </c>
    </row>
    <row r="177" spans="1:254" ht="15.9" customHeight="1">
      <c r="A177" s="65" t="s">
        <v>348</v>
      </c>
      <c r="B177" s="41" t="s">
        <v>349</v>
      </c>
      <c r="C177" s="45">
        <f>_xll.RssMarket("7236","安値")</f>
        <v>1504</v>
      </c>
      <c r="D177" s="16">
        <f t="shared" si="5"/>
        <v>0</v>
      </c>
      <c r="E177" s="30">
        <v>1504</v>
      </c>
      <c r="F177" s="30">
        <v>1465</v>
      </c>
      <c r="G177" s="30"/>
      <c r="H177" s="30"/>
      <c r="I177" s="30"/>
      <c r="J177" s="30"/>
      <c r="K177" s="30"/>
      <c r="L177" s="3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row>
    <row r="178" spans="1:254" ht="15.9" customHeight="1">
      <c r="A178" s="65" t="s">
        <v>350</v>
      </c>
      <c r="B178" s="41" t="s">
        <v>351</v>
      </c>
      <c r="C178" s="45">
        <f>_xll.RssMarket("6436","安値")</f>
        <v>3869</v>
      </c>
      <c r="D178" s="16">
        <f t="shared" si="5"/>
        <v>0</v>
      </c>
      <c r="E178" s="30">
        <v>3869</v>
      </c>
      <c r="F178" s="30">
        <v>3829</v>
      </c>
      <c r="G178" s="30">
        <v>3860</v>
      </c>
      <c r="H178" s="30">
        <v>3875</v>
      </c>
      <c r="I178" s="30">
        <v>3818</v>
      </c>
      <c r="J178" s="30">
        <v>3818</v>
      </c>
      <c r="K178" s="30">
        <v>3822</v>
      </c>
      <c r="L178" s="30">
        <v>3672</v>
      </c>
      <c r="M178" s="30">
        <v>3882</v>
      </c>
      <c r="N178" s="30"/>
      <c r="O178" s="30">
        <v>3797</v>
      </c>
      <c r="P178" s="30">
        <v>3799</v>
      </c>
      <c r="Q178" s="30">
        <v>3805</v>
      </c>
      <c r="R178" s="30">
        <v>3781</v>
      </c>
      <c r="S178" s="30">
        <v>3767</v>
      </c>
      <c r="T178" s="30">
        <v>3727</v>
      </c>
      <c r="U178" s="30">
        <v>3721</v>
      </c>
      <c r="V178" s="30">
        <v>3728</v>
      </c>
      <c r="W178" s="30">
        <v>3724</v>
      </c>
      <c r="X178" s="30">
        <v>3720</v>
      </c>
      <c r="Y178" s="30">
        <v>3725</v>
      </c>
      <c r="Z178" s="30">
        <v>3697</v>
      </c>
      <c r="AA178" s="30">
        <v>3683</v>
      </c>
      <c r="AB178" s="30">
        <v>3661</v>
      </c>
      <c r="AC178" s="30">
        <v>3650</v>
      </c>
      <c r="AD178" s="30">
        <v>3636</v>
      </c>
      <c r="AE178" s="30">
        <v>3636</v>
      </c>
      <c r="AF178" s="30">
        <v>3604</v>
      </c>
      <c r="AG178" s="30">
        <v>3598</v>
      </c>
      <c r="AH178" s="30">
        <v>3571</v>
      </c>
      <c r="AI178" s="30">
        <v>3565</v>
      </c>
      <c r="AJ178" s="30">
        <v>3561</v>
      </c>
      <c r="AK178" s="30">
        <v>3551</v>
      </c>
      <c r="AL178" s="30">
        <v>3548</v>
      </c>
      <c r="AM178" s="30">
        <v>3546</v>
      </c>
      <c r="AN178" s="30">
        <v>3543</v>
      </c>
      <c r="AO178" s="30">
        <v>3577</v>
      </c>
      <c r="AP178" s="30">
        <v>3578</v>
      </c>
      <c r="AQ178" s="30">
        <v>3592</v>
      </c>
      <c r="AR178" s="30">
        <v>3566</v>
      </c>
      <c r="AS178" s="30">
        <v>3453</v>
      </c>
      <c r="AT178" s="30">
        <v>3517</v>
      </c>
      <c r="AU178" s="30">
        <v>3482</v>
      </c>
      <c r="AV178" s="30">
        <v>3506</v>
      </c>
      <c r="AW178" s="30">
        <v>3486</v>
      </c>
      <c r="AX178" s="30">
        <v>3557</v>
      </c>
      <c r="AY178" s="30">
        <v>3556</v>
      </c>
      <c r="AZ178" s="30">
        <v>3537</v>
      </c>
      <c r="BA178" s="30">
        <v>3571</v>
      </c>
      <c r="BB178" s="30">
        <v>3593</v>
      </c>
      <c r="BC178" s="30">
        <v>3630</v>
      </c>
      <c r="BD178" s="30">
        <v>3617</v>
      </c>
      <c r="BE178" s="30">
        <v>3651</v>
      </c>
      <c r="BF178" s="30">
        <v>3624</v>
      </c>
      <c r="BG178" s="30">
        <v>3641</v>
      </c>
      <c r="BH178" s="30">
        <v>3642</v>
      </c>
      <c r="BI178" s="30">
        <v>3635</v>
      </c>
      <c r="BJ178" s="30">
        <v>3657</v>
      </c>
      <c r="BK178" s="30">
        <v>3666</v>
      </c>
      <c r="BL178" s="30">
        <v>3600</v>
      </c>
      <c r="BM178" s="1">
        <v>3575</v>
      </c>
      <c r="BN178" s="1">
        <v>3524</v>
      </c>
      <c r="BO178" s="1">
        <v>3583</v>
      </c>
      <c r="BP178" s="1">
        <v>3648</v>
      </c>
      <c r="BQ178" s="1">
        <v>3580</v>
      </c>
      <c r="BR178" s="1">
        <v>3793</v>
      </c>
      <c r="BS178" s="1">
        <v>3801</v>
      </c>
      <c r="BT178" s="1">
        <v>3821</v>
      </c>
      <c r="BU178" s="1">
        <v>3824</v>
      </c>
      <c r="BV178" s="1">
        <v>3876</v>
      </c>
      <c r="BW178" s="1">
        <v>3877</v>
      </c>
      <c r="BX178" s="1">
        <v>3869</v>
      </c>
      <c r="BY178" s="1">
        <v>3846</v>
      </c>
      <c r="BZ178" s="1">
        <v>3858</v>
      </c>
    </row>
    <row r="179" spans="1:254" ht="15.9" customHeight="1">
      <c r="A179" s="65" t="s">
        <v>352</v>
      </c>
      <c r="B179" s="41" t="s">
        <v>353</v>
      </c>
      <c r="C179" s="45">
        <f>_xll.RssMarket("5410","安値")</f>
        <v>2833</v>
      </c>
      <c r="D179" s="16">
        <f t="shared" si="5"/>
        <v>0</v>
      </c>
      <c r="E179" s="30">
        <v>2833</v>
      </c>
      <c r="F179" s="30">
        <v>2817</v>
      </c>
      <c r="G179" s="30">
        <v>2812</v>
      </c>
      <c r="H179" s="30">
        <v>2827</v>
      </c>
      <c r="I179" s="30">
        <v>2749</v>
      </c>
      <c r="J179" s="30">
        <v>2866</v>
      </c>
      <c r="K179" s="30">
        <v>2856</v>
      </c>
      <c r="L179" s="30">
        <v>2804</v>
      </c>
      <c r="M179" s="30">
        <v>2799</v>
      </c>
      <c r="N179" s="30">
        <v>2737</v>
      </c>
      <c r="O179" s="30">
        <v>2743</v>
      </c>
      <c r="P179" s="30">
        <v>2697</v>
      </c>
      <c r="Q179" s="30">
        <v>2671</v>
      </c>
      <c r="R179" s="30">
        <v>2660</v>
      </c>
      <c r="S179" s="30">
        <v>2673</v>
      </c>
      <c r="T179" s="30">
        <v>2665</v>
      </c>
      <c r="U179" s="30">
        <v>2686</v>
      </c>
      <c r="V179" s="30">
        <v>2668</v>
      </c>
      <c r="W179" s="30">
        <v>2652</v>
      </c>
      <c r="X179" s="30">
        <v>2673</v>
      </c>
      <c r="Y179" s="30">
        <v>2694</v>
      </c>
      <c r="Z179" s="30">
        <v>2663</v>
      </c>
      <c r="AA179" s="30">
        <v>2624</v>
      </c>
      <c r="AB179" s="30">
        <v>2546</v>
      </c>
      <c r="AC179" s="30">
        <v>2545</v>
      </c>
      <c r="AD179" s="30">
        <v>2577</v>
      </c>
      <c r="AE179" s="30">
        <v>2588</v>
      </c>
      <c r="AF179" s="30">
        <v>2562</v>
      </c>
      <c r="AG179" s="30">
        <v>2566</v>
      </c>
      <c r="AH179" s="30">
        <v>2566</v>
      </c>
      <c r="AI179" s="30">
        <v>2571</v>
      </c>
      <c r="AJ179" s="30">
        <v>2576</v>
      </c>
      <c r="AK179" s="30">
        <v>2594</v>
      </c>
      <c r="AL179" s="30">
        <v>2580</v>
      </c>
      <c r="AM179" s="30">
        <v>2609</v>
      </c>
      <c r="AN179" s="30">
        <v>2591</v>
      </c>
      <c r="AO179" s="30">
        <v>2610</v>
      </c>
      <c r="AP179" s="30">
        <v>2561</v>
      </c>
      <c r="AQ179" s="30">
        <v>2506</v>
      </c>
      <c r="AR179" s="30">
        <v>2489</v>
      </c>
      <c r="AS179" s="30">
        <v>2513</v>
      </c>
      <c r="AT179" s="30">
        <v>2543</v>
      </c>
      <c r="AU179" s="30">
        <v>2528</v>
      </c>
      <c r="AV179" s="30">
        <v>2554</v>
      </c>
      <c r="AW179" s="30">
        <v>2558</v>
      </c>
      <c r="AX179" s="30">
        <v>2704</v>
      </c>
      <c r="AY179" s="30">
        <v>2681</v>
      </c>
      <c r="AZ179" s="30">
        <v>2634</v>
      </c>
      <c r="BA179" s="30">
        <v>2644</v>
      </c>
      <c r="BB179" s="30">
        <v>2669</v>
      </c>
      <c r="BC179" s="30">
        <v>2707</v>
      </c>
      <c r="BD179" s="30">
        <v>2664</v>
      </c>
      <c r="BE179" s="30">
        <v>2771</v>
      </c>
      <c r="BF179" s="30">
        <v>2756</v>
      </c>
      <c r="BG179" s="30">
        <v>2820</v>
      </c>
      <c r="BH179" s="30">
        <v>2820</v>
      </c>
      <c r="BI179" s="30">
        <v>2809</v>
      </c>
      <c r="BJ179" s="30">
        <v>2819</v>
      </c>
      <c r="BK179" s="30">
        <v>2849</v>
      </c>
      <c r="BL179" s="30">
        <v>2819</v>
      </c>
      <c r="BM179" s="1">
        <v>2877</v>
      </c>
      <c r="BN179" s="1">
        <v>2802</v>
      </c>
      <c r="BO179" s="1">
        <v>2800</v>
      </c>
      <c r="BP179" s="1">
        <v>2905</v>
      </c>
      <c r="BQ179" s="1">
        <v>2956</v>
      </c>
      <c r="BR179" s="1">
        <v>3400</v>
      </c>
      <c r="BS179" s="1">
        <v>3425</v>
      </c>
      <c r="BT179" s="1">
        <v>3475</v>
      </c>
      <c r="BU179" s="1">
        <v>3530</v>
      </c>
      <c r="BV179" s="1">
        <v>3525</v>
      </c>
      <c r="BW179" s="1">
        <v>3535</v>
      </c>
      <c r="BX179" s="1">
        <v>3550</v>
      </c>
      <c r="BY179" s="1">
        <v>3540</v>
      </c>
      <c r="BZ179" s="1">
        <v>3545</v>
      </c>
    </row>
    <row r="180" spans="1:254" ht="15.9" customHeight="1">
      <c r="A180" s="65" t="s">
        <v>354</v>
      </c>
      <c r="B180" s="41" t="s">
        <v>355</v>
      </c>
      <c r="C180" s="45">
        <f>_xll.RssMarket("5440","安値")</f>
        <v>1851</v>
      </c>
      <c r="D180" s="16">
        <f t="shared" si="5"/>
        <v>0</v>
      </c>
      <c r="E180" s="30">
        <v>1851</v>
      </c>
      <c r="F180" s="30">
        <v>1852</v>
      </c>
      <c r="G180" s="30">
        <v>1850</v>
      </c>
      <c r="H180" s="30">
        <v>1826</v>
      </c>
      <c r="I180" s="30">
        <v>1935</v>
      </c>
      <c r="J180" s="30">
        <v>1952</v>
      </c>
      <c r="K180" s="30">
        <v>1934</v>
      </c>
      <c r="L180" s="30">
        <v>1908</v>
      </c>
      <c r="M180" s="30">
        <v>1908</v>
      </c>
      <c r="N180" s="30"/>
      <c r="O180" s="30">
        <v>1885</v>
      </c>
      <c r="P180" s="30">
        <v>1867</v>
      </c>
      <c r="Q180" s="30">
        <v>1838</v>
      </c>
      <c r="R180" s="30">
        <v>1817</v>
      </c>
      <c r="S180" s="30">
        <v>1834</v>
      </c>
      <c r="T180" s="30">
        <v>1810</v>
      </c>
      <c r="U180" s="30">
        <v>1793</v>
      </c>
      <c r="V180" s="30">
        <v>1792</v>
      </c>
      <c r="W180" s="30">
        <v>1781</v>
      </c>
      <c r="X180" s="30">
        <v>1790</v>
      </c>
      <c r="Y180" s="30">
        <v>1805</v>
      </c>
      <c r="Z180" s="30">
        <v>1781</v>
      </c>
      <c r="AA180" s="30">
        <v>1764</v>
      </c>
      <c r="AB180" s="30">
        <v>1732</v>
      </c>
      <c r="AC180" s="30">
        <v>1716</v>
      </c>
      <c r="AD180" s="30">
        <v>1737</v>
      </c>
      <c r="AE180" s="30">
        <v>1733</v>
      </c>
      <c r="AF180" s="30">
        <v>1692</v>
      </c>
      <c r="AG180" s="30">
        <v>1707</v>
      </c>
      <c r="AH180" s="30">
        <v>1703</v>
      </c>
      <c r="AI180" s="30">
        <v>1716</v>
      </c>
      <c r="AJ180" s="30">
        <v>1722</v>
      </c>
      <c r="AK180" s="30">
        <v>1743</v>
      </c>
      <c r="AL180" s="30">
        <v>1732</v>
      </c>
      <c r="AM180" s="30">
        <v>1742</v>
      </c>
      <c r="AN180" s="30">
        <v>1745</v>
      </c>
      <c r="AO180" s="30">
        <v>1771</v>
      </c>
      <c r="AP180" s="30">
        <v>1728</v>
      </c>
      <c r="AQ180" s="30">
        <v>1698</v>
      </c>
      <c r="AR180" s="30">
        <v>1703</v>
      </c>
      <c r="AS180" s="30">
        <v>1711</v>
      </c>
      <c r="AT180" s="30">
        <v>1740</v>
      </c>
      <c r="AU180" s="30">
        <v>1730</v>
      </c>
      <c r="AV180" s="30">
        <v>1738</v>
      </c>
      <c r="AW180" s="30">
        <v>1712</v>
      </c>
      <c r="AX180" s="30">
        <v>1808</v>
      </c>
      <c r="AY180" s="30">
        <v>1809</v>
      </c>
      <c r="AZ180" s="30">
        <v>1810</v>
      </c>
      <c r="BA180" s="30">
        <v>1834</v>
      </c>
      <c r="BB180" s="30">
        <v>1843</v>
      </c>
      <c r="BC180" s="30">
        <v>1821</v>
      </c>
      <c r="BD180" s="30">
        <v>1784</v>
      </c>
      <c r="BE180" s="30">
        <v>1821</v>
      </c>
      <c r="BF180" s="30">
        <v>1817</v>
      </c>
      <c r="BG180" s="30">
        <v>1846</v>
      </c>
      <c r="BH180" s="30">
        <v>1824</v>
      </c>
      <c r="BI180" s="30">
        <v>1802</v>
      </c>
      <c r="BJ180" s="30">
        <v>1811</v>
      </c>
      <c r="BK180" s="30">
        <v>1796</v>
      </c>
      <c r="BL180" s="30">
        <v>1781</v>
      </c>
      <c r="BM180" s="1">
        <v>1795</v>
      </c>
      <c r="BN180" s="1">
        <v>1821</v>
      </c>
      <c r="BO180" s="1">
        <v>1899</v>
      </c>
      <c r="BP180" s="1">
        <v>2161</v>
      </c>
      <c r="BQ180" s="1">
        <v>2189</v>
      </c>
      <c r="BR180" s="1">
        <v>2216</v>
      </c>
      <c r="BS180" s="1">
        <v>2226</v>
      </c>
      <c r="BT180" s="1">
        <v>2240</v>
      </c>
      <c r="BU180" s="1">
        <v>2274</v>
      </c>
      <c r="BV180" s="1">
        <v>2288</v>
      </c>
      <c r="BW180" s="1">
        <v>2285</v>
      </c>
      <c r="BX180" s="1">
        <v>2320</v>
      </c>
      <c r="BY180" s="1">
        <v>2314</v>
      </c>
      <c r="BZ180" s="1">
        <v>2339</v>
      </c>
    </row>
    <row r="181" spans="1:254" ht="15.9" customHeight="1">
      <c r="A181" s="65" t="s">
        <v>356</v>
      </c>
      <c r="B181" s="41" t="s">
        <v>357</v>
      </c>
      <c r="C181" s="45">
        <f>_xll.RssMarket("9505","安値")</f>
        <v>909.3</v>
      </c>
      <c r="D181" s="16">
        <f t="shared" si="5"/>
        <v>0</v>
      </c>
      <c r="E181" s="30">
        <v>909.3</v>
      </c>
      <c r="F181" s="30">
        <v>910.4</v>
      </c>
      <c r="G181" s="30">
        <v>928.9</v>
      </c>
      <c r="H181" s="30">
        <v>928</v>
      </c>
      <c r="I181" s="30">
        <v>955.7</v>
      </c>
      <c r="J181" s="30">
        <v>968.8</v>
      </c>
      <c r="K181" s="30">
        <v>962.5</v>
      </c>
      <c r="L181" s="30">
        <v>943.9</v>
      </c>
      <c r="M181" s="30">
        <v>947.8</v>
      </c>
      <c r="N181" s="30">
        <v>930.7</v>
      </c>
      <c r="O181" s="30">
        <v>936.6</v>
      </c>
      <c r="P181" s="30">
        <v>929</v>
      </c>
      <c r="Q181" s="30">
        <v>915.3</v>
      </c>
      <c r="R181" s="30">
        <v>901.4</v>
      </c>
      <c r="S181" s="30">
        <v>905</v>
      </c>
      <c r="T181" s="30">
        <v>889.1</v>
      </c>
      <c r="U181" s="30">
        <v>881.1</v>
      </c>
      <c r="V181" s="30">
        <v>900.3</v>
      </c>
      <c r="W181" s="30">
        <v>906.2</v>
      </c>
      <c r="X181" s="30">
        <v>909.6</v>
      </c>
      <c r="Y181" s="30">
        <v>902</v>
      </c>
      <c r="Z181" s="30">
        <v>890</v>
      </c>
      <c r="AA181" s="30">
        <v>882.3</v>
      </c>
      <c r="AB181" s="30">
        <v>874</v>
      </c>
      <c r="AC181" s="30">
        <v>860.9</v>
      </c>
      <c r="AD181" s="30">
        <v>861.6</v>
      </c>
      <c r="AE181" s="30">
        <v>868.7</v>
      </c>
      <c r="AF181" s="30">
        <v>861.9</v>
      </c>
      <c r="AG181" s="30">
        <v>854</v>
      </c>
      <c r="AH181" s="30">
        <v>849.9</v>
      </c>
      <c r="AI181" s="30">
        <v>845.5</v>
      </c>
      <c r="AJ181" s="30">
        <v>839</v>
      </c>
      <c r="AK181" s="30">
        <v>839.1</v>
      </c>
      <c r="AL181" s="30">
        <v>843.4</v>
      </c>
      <c r="AM181" s="30">
        <v>840.1</v>
      </c>
      <c r="AN181" s="30">
        <v>844.1</v>
      </c>
      <c r="AO181" s="30">
        <v>872.4</v>
      </c>
      <c r="AP181" s="30">
        <v>848.2</v>
      </c>
      <c r="AQ181" s="30">
        <v>840.7</v>
      </c>
      <c r="AR181" s="30">
        <v>838.6</v>
      </c>
      <c r="AS181" s="30">
        <v>804.5</v>
      </c>
      <c r="AT181" s="30">
        <v>806.1</v>
      </c>
      <c r="AU181" s="30">
        <v>793.9</v>
      </c>
      <c r="AV181" s="30">
        <v>811</v>
      </c>
      <c r="AW181" s="30">
        <v>782.2</v>
      </c>
      <c r="AX181" s="30">
        <v>821</v>
      </c>
      <c r="AY181" s="30">
        <v>838.9</v>
      </c>
      <c r="AZ181" s="30">
        <v>853.1</v>
      </c>
      <c r="BA181" s="30">
        <v>844.3</v>
      </c>
      <c r="BB181" s="30">
        <v>860.6</v>
      </c>
      <c r="BC181" s="30">
        <v>868.5</v>
      </c>
      <c r="BD181" s="30">
        <v>860.9</v>
      </c>
      <c r="BE181" s="30">
        <v>863.7</v>
      </c>
      <c r="BF181" s="30">
        <v>866.4</v>
      </c>
      <c r="BG181" s="30">
        <v>897</v>
      </c>
      <c r="BH181" s="30">
        <v>904</v>
      </c>
      <c r="BI181" s="30">
        <v>906</v>
      </c>
      <c r="BJ181" s="30">
        <v>901.1</v>
      </c>
      <c r="BK181" s="30">
        <v>871</v>
      </c>
      <c r="BL181" s="30">
        <v>878.6</v>
      </c>
      <c r="BM181" s="1">
        <v>856.6</v>
      </c>
      <c r="BN181" s="1">
        <v>856</v>
      </c>
      <c r="BO181" s="1">
        <v>871.3</v>
      </c>
      <c r="BP181" s="1">
        <v>984</v>
      </c>
      <c r="BQ181" s="1">
        <v>973.5</v>
      </c>
      <c r="BR181" s="1">
        <v>989.3</v>
      </c>
      <c r="BS181" s="1">
        <v>978.5</v>
      </c>
      <c r="BT181" s="1">
        <v>994.5</v>
      </c>
      <c r="BU181" s="1">
        <v>1010.5</v>
      </c>
      <c r="BV181" s="1">
        <v>1025.5</v>
      </c>
      <c r="BW181" s="1">
        <v>1058.5</v>
      </c>
      <c r="BX181" s="1">
        <v>1077</v>
      </c>
      <c r="BY181" s="1">
        <v>1073.5</v>
      </c>
      <c r="BZ181" s="1">
        <v>1073.5</v>
      </c>
    </row>
    <row r="182" spans="1:254" ht="15.9" customHeight="1">
      <c r="A182" s="65" t="s">
        <v>358</v>
      </c>
      <c r="B182" s="41" t="s">
        <v>359</v>
      </c>
      <c r="C182" s="45">
        <f>_xll.RssMarket("8091","安値")</f>
        <v>2331</v>
      </c>
      <c r="D182" s="16">
        <f t="shared" si="5"/>
        <v>0</v>
      </c>
      <c r="E182" s="30">
        <v>2331</v>
      </c>
      <c r="F182" s="30">
        <v>2333</v>
      </c>
      <c r="G182" s="30">
        <v>2356</v>
      </c>
      <c r="H182" s="30">
        <v>2334</v>
      </c>
      <c r="I182" s="30">
        <v>2365</v>
      </c>
      <c r="J182" s="30">
        <v>2359</v>
      </c>
      <c r="K182" s="30">
        <v>2341</v>
      </c>
      <c r="L182" s="30">
        <v>2334</v>
      </c>
      <c r="M182" s="30">
        <v>2331</v>
      </c>
      <c r="N182" s="30">
        <v>2312</v>
      </c>
      <c r="O182" s="30">
        <v>2312</v>
      </c>
      <c r="P182" s="30">
        <v>2328</v>
      </c>
      <c r="Q182" s="30">
        <v>2319</v>
      </c>
      <c r="R182" s="30">
        <v>2298</v>
      </c>
      <c r="S182" s="30">
        <v>2279</v>
      </c>
      <c r="T182" s="30">
        <v>2271</v>
      </c>
      <c r="U182" s="30">
        <v>2269</v>
      </c>
      <c r="V182" s="30">
        <v>2268</v>
      </c>
      <c r="W182" s="30">
        <v>2250</v>
      </c>
      <c r="X182" s="30">
        <v>2262</v>
      </c>
      <c r="Y182" s="30">
        <v>2321</v>
      </c>
      <c r="Z182" s="30">
        <v>2300</v>
      </c>
      <c r="AA182" s="30">
        <v>2280</v>
      </c>
      <c r="AB182" s="30">
        <v>2274</v>
      </c>
      <c r="AC182" s="30">
        <v>2264</v>
      </c>
      <c r="AD182" s="30">
        <v>2277</v>
      </c>
      <c r="AE182" s="30">
        <v>2265</v>
      </c>
      <c r="AF182" s="30">
        <v>2261</v>
      </c>
      <c r="AG182" s="30">
        <v>2277</v>
      </c>
      <c r="AH182" s="30">
        <v>2265</v>
      </c>
      <c r="AI182" s="30">
        <v>2261</v>
      </c>
      <c r="AJ182" s="30">
        <v>2240</v>
      </c>
      <c r="AK182" s="30">
        <v>2261</v>
      </c>
      <c r="AL182" s="30">
        <v>2211</v>
      </c>
      <c r="AM182" s="30">
        <v>2211</v>
      </c>
      <c r="AN182" s="30">
        <v>2183</v>
      </c>
      <c r="AO182" s="30">
        <v>2184</v>
      </c>
      <c r="AP182" s="30">
        <v>2154</v>
      </c>
      <c r="AQ182" s="30">
        <v>2162</v>
      </c>
      <c r="AR182" s="30">
        <v>2166</v>
      </c>
      <c r="AS182" s="30">
        <v>2159</v>
      </c>
      <c r="AT182" s="30">
        <v>2187</v>
      </c>
      <c r="AU182" s="30">
        <v>2128</v>
      </c>
      <c r="AV182" s="30">
        <v>2092</v>
      </c>
      <c r="AW182" s="30">
        <v>2111</v>
      </c>
      <c r="AX182" s="30">
        <v>2162</v>
      </c>
      <c r="AY182" s="30">
        <v>2132</v>
      </c>
      <c r="AZ182" s="30">
        <v>2122</v>
      </c>
      <c r="BA182" s="30">
        <v>2111</v>
      </c>
      <c r="BB182" s="30">
        <v>2130</v>
      </c>
      <c r="BC182" s="30">
        <v>2150</v>
      </c>
      <c r="BD182" s="30">
        <v>2133</v>
      </c>
      <c r="BE182" s="30">
        <v>2161</v>
      </c>
      <c r="BF182" s="30">
        <v>2114</v>
      </c>
      <c r="BG182" s="30">
        <v>2270</v>
      </c>
      <c r="BH182" s="30">
        <v>2265</v>
      </c>
      <c r="BI182" s="30">
        <v>2245</v>
      </c>
      <c r="BJ182" s="30">
        <v>2240</v>
      </c>
      <c r="BK182" s="30">
        <v>2240</v>
      </c>
      <c r="BL182" s="30">
        <v>2215</v>
      </c>
      <c r="BM182" s="1">
        <v>2227</v>
      </c>
      <c r="BN182" s="1">
        <v>2205</v>
      </c>
      <c r="BO182" s="1">
        <v>2229</v>
      </c>
      <c r="BP182" s="1">
        <v>2260</v>
      </c>
      <c r="BQ182" s="1">
        <v>2257</v>
      </c>
      <c r="BR182" s="1">
        <v>2430</v>
      </c>
      <c r="BS182" s="1">
        <v>2438</v>
      </c>
      <c r="BT182" s="1">
        <v>2464</v>
      </c>
      <c r="BU182" s="1">
        <v>2488</v>
      </c>
      <c r="BV182" s="1">
        <v>2500</v>
      </c>
      <c r="BW182" s="1">
        <v>2509</v>
      </c>
      <c r="BX182" s="1">
        <v>2520</v>
      </c>
      <c r="BY182" s="1">
        <v>2520</v>
      </c>
      <c r="BZ182" s="1">
        <v>2520</v>
      </c>
    </row>
    <row r="183" spans="1:254" ht="15.9" customHeight="1">
      <c r="A183" s="65" t="s">
        <v>360</v>
      </c>
      <c r="B183" s="41" t="s">
        <v>361</v>
      </c>
      <c r="C183" s="45">
        <f>_xll.RssMarket("6507","安値")</f>
        <v>13900</v>
      </c>
      <c r="D183" s="16">
        <f t="shared" si="5"/>
        <v>0</v>
      </c>
      <c r="E183" s="30">
        <v>13900</v>
      </c>
      <c r="F183" s="30">
        <v>14150</v>
      </c>
      <c r="G183" s="30">
        <v>13340</v>
      </c>
      <c r="H183" s="30">
        <v>12790</v>
      </c>
      <c r="I183" s="30">
        <v>12710</v>
      </c>
      <c r="J183" s="30">
        <v>11710</v>
      </c>
      <c r="K183" s="30">
        <v>11530</v>
      </c>
      <c r="L183" s="30">
        <v>12500</v>
      </c>
      <c r="M183" s="30">
        <v>13460</v>
      </c>
      <c r="N183" s="30">
        <v>13970</v>
      </c>
      <c r="O183" s="30">
        <v>13920</v>
      </c>
      <c r="P183" s="30">
        <v>13860</v>
      </c>
      <c r="Q183" s="30">
        <v>13210</v>
      </c>
      <c r="R183" s="30">
        <v>12960</v>
      </c>
      <c r="S183" s="30">
        <v>14150</v>
      </c>
      <c r="T183" s="30">
        <v>13880</v>
      </c>
      <c r="U183" s="30">
        <v>14150</v>
      </c>
      <c r="V183" s="30">
        <v>14870</v>
      </c>
      <c r="W183" s="30">
        <v>14640</v>
      </c>
      <c r="X183" s="30">
        <v>14500</v>
      </c>
      <c r="Y183" s="30">
        <v>15380</v>
      </c>
      <c r="Z183" s="30">
        <v>15700</v>
      </c>
      <c r="AA183" s="30">
        <v>14700</v>
      </c>
      <c r="AB183" s="30">
        <v>15230</v>
      </c>
      <c r="AC183" s="30">
        <v>16170</v>
      </c>
      <c r="AD183" s="30">
        <v>15460</v>
      </c>
      <c r="AE183" s="30">
        <v>14790</v>
      </c>
      <c r="AF183" s="30">
        <v>15240</v>
      </c>
      <c r="AG183" s="30">
        <v>15800</v>
      </c>
      <c r="AH183" s="30">
        <v>15340</v>
      </c>
      <c r="AI183" s="30">
        <v>15550</v>
      </c>
      <c r="AJ183" s="30">
        <v>16470</v>
      </c>
      <c r="AK183" s="30">
        <v>16120</v>
      </c>
      <c r="AL183" s="30">
        <v>15850</v>
      </c>
      <c r="AM183" s="30">
        <v>14590</v>
      </c>
      <c r="AN183" s="30">
        <v>13710</v>
      </c>
      <c r="AO183" s="30">
        <v>13640</v>
      </c>
      <c r="AP183" s="30">
        <v>13190</v>
      </c>
      <c r="AQ183" s="30">
        <v>12350</v>
      </c>
      <c r="AR183" s="30">
        <v>13170</v>
      </c>
      <c r="AS183" s="30">
        <v>13940</v>
      </c>
      <c r="AT183" s="30">
        <v>14700</v>
      </c>
      <c r="AU183" s="30">
        <v>13710</v>
      </c>
      <c r="AV183" s="30">
        <v>13730</v>
      </c>
      <c r="AW183" s="30">
        <v>13430</v>
      </c>
      <c r="AX183" s="30">
        <v>13580</v>
      </c>
      <c r="AY183" s="30">
        <v>13760</v>
      </c>
      <c r="AZ183" s="30">
        <v>14420</v>
      </c>
      <c r="BA183" s="30">
        <v>14240</v>
      </c>
      <c r="BB183" s="30">
        <v>13790</v>
      </c>
      <c r="BC183" s="30">
        <v>13220</v>
      </c>
      <c r="BD183" s="30">
        <v>12740</v>
      </c>
      <c r="BE183" s="30">
        <v>13520</v>
      </c>
      <c r="BF183" s="30">
        <v>14850</v>
      </c>
      <c r="BG183" s="30">
        <v>14930</v>
      </c>
      <c r="BH183" s="30">
        <v>14140</v>
      </c>
      <c r="BI183" s="30">
        <v>14320</v>
      </c>
      <c r="BJ183" s="30">
        <v>14670</v>
      </c>
      <c r="BK183" s="30">
        <v>14720</v>
      </c>
      <c r="BL183" s="30">
        <v>14400</v>
      </c>
      <c r="BM183" s="1">
        <v>14870</v>
      </c>
      <c r="BN183" s="1">
        <v>14090</v>
      </c>
      <c r="BO183" s="1">
        <v>13660</v>
      </c>
      <c r="BP183" s="1">
        <v>13530</v>
      </c>
      <c r="BQ183" s="1">
        <v>13200</v>
      </c>
      <c r="BR183" s="1">
        <v>13050</v>
      </c>
      <c r="BS183" s="1">
        <v>12950</v>
      </c>
      <c r="BT183" s="1">
        <v>13070</v>
      </c>
      <c r="BU183" s="1">
        <v>13320</v>
      </c>
      <c r="BV183" s="1">
        <v>13490</v>
      </c>
      <c r="BW183" s="1">
        <v>13440</v>
      </c>
      <c r="BX183" s="1">
        <v>13560</v>
      </c>
      <c r="BY183" s="1">
        <v>13080</v>
      </c>
      <c r="BZ183" s="1">
        <v>13280</v>
      </c>
    </row>
    <row r="184" spans="1:254" ht="15.9" customHeight="1">
      <c r="A184" s="65" t="s">
        <v>362</v>
      </c>
      <c r="B184" s="41" t="s">
        <v>363</v>
      </c>
      <c r="C184" s="45">
        <f>_xll.RssMarket("9022","安値")</f>
        <v>3798</v>
      </c>
      <c r="D184" s="16">
        <f t="shared" si="5"/>
        <v>0</v>
      </c>
      <c r="E184" s="30">
        <v>3798</v>
      </c>
      <c r="F184" s="30">
        <v>3764</v>
      </c>
      <c r="G184" s="30">
        <v>3797</v>
      </c>
      <c r="H184" s="30">
        <v>3801</v>
      </c>
      <c r="I184" s="30">
        <v>3988</v>
      </c>
      <c r="J184" s="30">
        <v>4121</v>
      </c>
      <c r="K184" s="30">
        <v>4072</v>
      </c>
      <c r="L184" s="30">
        <v>4017</v>
      </c>
      <c r="M184" s="30">
        <v>3910</v>
      </c>
      <c r="N184" s="30">
        <v>3788</v>
      </c>
      <c r="O184" s="30">
        <v>3774</v>
      </c>
      <c r="P184" s="30">
        <v>3735</v>
      </c>
      <c r="Q184" s="30">
        <v>3803</v>
      </c>
      <c r="R184" s="30">
        <v>3709</v>
      </c>
      <c r="S184" s="30">
        <v>3666</v>
      </c>
      <c r="T184" s="30">
        <v>3663</v>
      </c>
      <c r="U184" s="30">
        <v>3627</v>
      </c>
      <c r="V184" s="30">
        <v>3586</v>
      </c>
      <c r="W184" s="30">
        <v>3586</v>
      </c>
      <c r="X184" s="30">
        <v>3618</v>
      </c>
      <c r="Y184" s="30">
        <v>3543</v>
      </c>
      <c r="Z184" s="30">
        <v>3515</v>
      </c>
      <c r="AA184" s="30">
        <v>3501</v>
      </c>
      <c r="AB184" s="30">
        <v>3403</v>
      </c>
      <c r="AC184" s="30">
        <v>3376</v>
      </c>
      <c r="AD184" s="30">
        <v>3460</v>
      </c>
      <c r="AE184" s="30">
        <v>3430</v>
      </c>
      <c r="AF184" s="30">
        <v>3335</v>
      </c>
      <c r="AG184" s="30">
        <v>3322</v>
      </c>
      <c r="AH184" s="30">
        <v>3343</v>
      </c>
      <c r="AI184" s="30">
        <v>3238</v>
      </c>
      <c r="AJ184" s="30">
        <v>3202</v>
      </c>
      <c r="AK184" s="30">
        <v>3222</v>
      </c>
      <c r="AL184" s="30">
        <v>3276</v>
      </c>
      <c r="AM184" s="30">
        <v>3284</v>
      </c>
      <c r="AN184" s="30">
        <v>3268</v>
      </c>
      <c r="AO184" s="30">
        <v>3331</v>
      </c>
      <c r="AP184" s="30">
        <v>3349</v>
      </c>
      <c r="AQ184" s="30">
        <v>3401</v>
      </c>
      <c r="AR184" s="30">
        <v>3436</v>
      </c>
      <c r="AS184" s="30">
        <v>3337</v>
      </c>
      <c r="AT184" s="30">
        <v>3300</v>
      </c>
      <c r="AU184" s="30">
        <v>3277</v>
      </c>
      <c r="AV184" s="30">
        <v>3304</v>
      </c>
      <c r="AW184" s="30">
        <v>3334</v>
      </c>
      <c r="AX184" s="30">
        <v>3452</v>
      </c>
      <c r="AY184" s="30">
        <v>3469</v>
      </c>
      <c r="AZ184" s="30">
        <v>3482</v>
      </c>
      <c r="BA184" s="30">
        <v>3496</v>
      </c>
      <c r="BB184" s="30">
        <v>3512</v>
      </c>
      <c r="BC184" s="30">
        <v>3535</v>
      </c>
      <c r="BD184" s="30">
        <v>3521</v>
      </c>
      <c r="BE184" s="30">
        <v>3553</v>
      </c>
      <c r="BF184" s="30">
        <v>3545</v>
      </c>
      <c r="BG184" s="30">
        <v>3563</v>
      </c>
      <c r="BH184" s="30">
        <v>3591</v>
      </c>
      <c r="BI184" s="30">
        <v>3603</v>
      </c>
      <c r="BJ184" s="30">
        <v>3551</v>
      </c>
      <c r="BK184" s="30">
        <v>3564</v>
      </c>
      <c r="BL184" s="30">
        <v>3569</v>
      </c>
      <c r="BM184" s="1">
        <v>3552</v>
      </c>
      <c r="BN184" s="1">
        <v>3570</v>
      </c>
      <c r="BO184" s="1">
        <v>3691</v>
      </c>
      <c r="BP184" s="1">
        <v>4063</v>
      </c>
      <c r="BQ184" s="1">
        <v>4027</v>
      </c>
      <c r="BR184" s="1">
        <v>4062</v>
      </c>
      <c r="BS184" s="1">
        <v>4010</v>
      </c>
      <c r="BT184" s="1">
        <v>4135</v>
      </c>
      <c r="BU184" s="1">
        <v>4206</v>
      </c>
      <c r="BV184" s="1">
        <v>4188</v>
      </c>
      <c r="BW184" s="1">
        <v>4192</v>
      </c>
      <c r="BX184" s="1">
        <v>4251</v>
      </c>
      <c r="BY184" s="1">
        <v>4291</v>
      </c>
      <c r="BZ184" s="1">
        <v>4183</v>
      </c>
    </row>
    <row r="185" spans="1:254" ht="15.9" customHeight="1">
      <c r="A185" s="65" t="s">
        <v>364</v>
      </c>
      <c r="B185" s="41" t="s">
        <v>365</v>
      </c>
      <c r="C185" s="45">
        <f>_xll.RssMarket("9536","安値")</f>
        <v>2325</v>
      </c>
      <c r="D185" s="16">
        <f t="shared" si="5"/>
        <v>0</v>
      </c>
      <c r="E185" s="30">
        <v>2325</v>
      </c>
      <c r="F185" s="30">
        <v>2333</v>
      </c>
      <c r="G185" s="30">
        <v>2372</v>
      </c>
      <c r="H185" s="30">
        <v>2371</v>
      </c>
      <c r="I185" s="30">
        <v>2361</v>
      </c>
      <c r="J185" s="30">
        <v>2354</v>
      </c>
      <c r="K185" s="30">
        <v>2316</v>
      </c>
      <c r="L185" s="30">
        <v>2343</v>
      </c>
      <c r="M185" s="30">
        <v>2377</v>
      </c>
      <c r="N185" s="30">
        <v>2343</v>
      </c>
      <c r="O185" s="30">
        <v>2351</v>
      </c>
      <c r="P185" s="30">
        <v>2328</v>
      </c>
      <c r="Q185" s="30">
        <v>2339</v>
      </c>
      <c r="R185" s="30">
        <v>2291</v>
      </c>
      <c r="S185" s="30">
        <v>2323</v>
      </c>
      <c r="T185" s="30">
        <v>2302</v>
      </c>
      <c r="U185" s="30">
        <v>2295</v>
      </c>
      <c r="V185" s="30">
        <v>2303</v>
      </c>
      <c r="W185" s="30">
        <v>2335</v>
      </c>
      <c r="X185" s="30">
        <v>2324</v>
      </c>
      <c r="Y185" s="30">
        <v>2296</v>
      </c>
      <c r="Z185" s="30">
        <v>2275</v>
      </c>
      <c r="AA185" s="30">
        <v>2245</v>
      </c>
      <c r="AB185" s="30">
        <v>2220</v>
      </c>
      <c r="AC185" s="30">
        <v>2216</v>
      </c>
      <c r="AD185" s="30">
        <v>2248</v>
      </c>
      <c r="AE185" s="30">
        <v>2247</v>
      </c>
      <c r="AF185" s="30">
        <v>2221</v>
      </c>
      <c r="AG185" s="30">
        <v>2211</v>
      </c>
      <c r="AH185" s="30">
        <v>2216</v>
      </c>
      <c r="AI185" s="30">
        <v>2201</v>
      </c>
      <c r="AJ185" s="30">
        <v>2205</v>
      </c>
      <c r="AK185" s="30">
        <v>2226</v>
      </c>
      <c r="AL185" s="30">
        <v>2224</v>
      </c>
      <c r="AM185" s="30">
        <v>2237</v>
      </c>
      <c r="AN185" s="30">
        <v>2225</v>
      </c>
      <c r="AO185" s="30">
        <v>2248</v>
      </c>
      <c r="AP185" s="30">
        <v>2223</v>
      </c>
      <c r="AQ185" s="30">
        <v>2215</v>
      </c>
      <c r="AR185" s="30">
        <v>2221</v>
      </c>
      <c r="AS185" s="30">
        <v>2170</v>
      </c>
      <c r="AT185" s="30">
        <v>2184</v>
      </c>
      <c r="AU185" s="30">
        <v>2168</v>
      </c>
      <c r="AV185" s="30">
        <v>2165</v>
      </c>
      <c r="AW185" s="30">
        <v>2154</v>
      </c>
      <c r="AX185" s="30">
        <v>2187</v>
      </c>
      <c r="AY185" s="30">
        <v>2172</v>
      </c>
      <c r="AZ185" s="30">
        <v>2196</v>
      </c>
      <c r="BA185" s="30">
        <v>2187</v>
      </c>
      <c r="BB185" s="30">
        <v>2196</v>
      </c>
      <c r="BC185" s="30">
        <v>2201</v>
      </c>
      <c r="BD185" s="30">
        <v>2191</v>
      </c>
      <c r="BE185" s="30">
        <v>2219</v>
      </c>
      <c r="BF185" s="30">
        <v>2182</v>
      </c>
      <c r="BG185" s="30">
        <v>2242</v>
      </c>
      <c r="BH185" s="30">
        <v>2225</v>
      </c>
      <c r="BI185" s="30">
        <v>2218</v>
      </c>
      <c r="BJ185" s="30">
        <v>2222</v>
      </c>
      <c r="BK185" s="30">
        <v>2220</v>
      </c>
      <c r="BL185" s="30">
        <v>2208</v>
      </c>
      <c r="BM185" s="1">
        <v>2205</v>
      </c>
      <c r="BN185" s="1">
        <v>2188</v>
      </c>
      <c r="BO185" s="1">
        <v>2236</v>
      </c>
      <c r="BP185" s="1">
        <v>2422</v>
      </c>
      <c r="BQ185" s="1">
        <v>2423</v>
      </c>
      <c r="BR185" s="1">
        <v>2445</v>
      </c>
      <c r="BS185" s="1">
        <v>2430</v>
      </c>
      <c r="BT185" s="1">
        <v>2452</v>
      </c>
      <c r="BU185" s="1">
        <v>2514</v>
      </c>
      <c r="BV185" s="1">
        <v>2523</v>
      </c>
      <c r="BW185" s="1">
        <v>2585</v>
      </c>
      <c r="BX185" s="1">
        <v>2600</v>
      </c>
      <c r="BY185" s="1">
        <v>2577</v>
      </c>
      <c r="BZ185" s="1">
        <v>2556</v>
      </c>
    </row>
    <row r="186" spans="1:254" ht="15.9" customHeight="1">
      <c r="A186" s="65" t="s">
        <v>366</v>
      </c>
      <c r="B186" s="41" t="s">
        <v>367</v>
      </c>
      <c r="C186" s="45">
        <f>_xll.RssMarket("9506","安値")</f>
        <v>1174.5</v>
      </c>
      <c r="D186" s="16">
        <f t="shared" si="5"/>
        <v>0</v>
      </c>
      <c r="E186" s="30">
        <v>1174.5</v>
      </c>
      <c r="F186" s="30">
        <v>1183</v>
      </c>
      <c r="G186" s="30">
        <v>1183</v>
      </c>
      <c r="H186" s="30">
        <v>1139.5</v>
      </c>
      <c r="I186" s="30">
        <v>1174.5</v>
      </c>
      <c r="J186" s="30">
        <v>1166.5</v>
      </c>
      <c r="K186" s="30">
        <v>1162.5</v>
      </c>
      <c r="L186" s="30">
        <v>1156.5</v>
      </c>
      <c r="M186" s="30">
        <v>1156</v>
      </c>
      <c r="N186" s="30">
        <v>1133.5</v>
      </c>
      <c r="O186" s="30">
        <v>1141.5</v>
      </c>
      <c r="P186" s="30">
        <v>1126.5</v>
      </c>
      <c r="Q186" s="30">
        <v>1130</v>
      </c>
      <c r="R186" s="30">
        <v>1114</v>
      </c>
      <c r="S186" s="30">
        <v>1111.5</v>
      </c>
      <c r="T186" s="30">
        <v>1092</v>
      </c>
      <c r="U186" s="30">
        <v>1077</v>
      </c>
      <c r="V186" s="30">
        <v>1088</v>
      </c>
      <c r="W186" s="30">
        <v>1091.5</v>
      </c>
      <c r="X186" s="30">
        <v>1084.5</v>
      </c>
      <c r="Y186" s="30">
        <v>1073</v>
      </c>
      <c r="Z186" s="30">
        <v>1073.5</v>
      </c>
      <c r="AA186" s="30">
        <v>1060.5</v>
      </c>
      <c r="AB186" s="30">
        <v>1052.5</v>
      </c>
      <c r="AC186" s="30">
        <v>1048</v>
      </c>
      <c r="AD186" s="30">
        <v>1050</v>
      </c>
      <c r="AE186" s="30">
        <v>1039</v>
      </c>
      <c r="AF186" s="30">
        <v>1032.5</v>
      </c>
      <c r="AG186" s="30">
        <v>1035.5</v>
      </c>
      <c r="AH186" s="30">
        <v>1027.5</v>
      </c>
      <c r="AI186" s="30">
        <v>1030.5</v>
      </c>
      <c r="AJ186" s="30">
        <v>1033</v>
      </c>
      <c r="AK186" s="30">
        <v>1041</v>
      </c>
      <c r="AL186" s="30">
        <v>1039</v>
      </c>
      <c r="AM186" s="30">
        <v>1032.5</v>
      </c>
      <c r="AN186" s="30">
        <v>1039.5</v>
      </c>
      <c r="AO186" s="30">
        <v>1033</v>
      </c>
      <c r="AP186" s="30">
        <v>1008</v>
      </c>
      <c r="AQ186" s="30">
        <v>1013</v>
      </c>
      <c r="AR186" s="30">
        <v>1006</v>
      </c>
      <c r="AS186" s="30">
        <v>989.4</v>
      </c>
      <c r="AT186" s="30">
        <v>993</v>
      </c>
      <c r="AU186" s="30">
        <v>989.6</v>
      </c>
      <c r="AV186" s="30">
        <v>987.1</v>
      </c>
      <c r="AW186" s="30">
        <v>972.2</v>
      </c>
      <c r="AX186" s="30">
        <v>985.9</v>
      </c>
      <c r="AY186" s="30">
        <v>993.2</v>
      </c>
      <c r="AZ186" s="30">
        <v>996.5</v>
      </c>
      <c r="BA186" s="30">
        <v>1004</v>
      </c>
      <c r="BB186" s="30">
        <v>1006</v>
      </c>
      <c r="BC186" s="30">
        <v>1012</v>
      </c>
      <c r="BD186" s="30">
        <v>1002</v>
      </c>
      <c r="BE186" s="30">
        <v>1012.5</v>
      </c>
      <c r="BF186" s="30">
        <v>1006.5</v>
      </c>
      <c r="BG186" s="30">
        <v>1040</v>
      </c>
      <c r="BH186" s="30">
        <v>1050</v>
      </c>
      <c r="BI186" s="30">
        <v>1061</v>
      </c>
      <c r="BJ186" s="30">
        <v>1058</v>
      </c>
      <c r="BK186" s="30">
        <v>1050</v>
      </c>
      <c r="BL186" s="30">
        <v>1051.5</v>
      </c>
      <c r="BM186" s="1">
        <v>1060.5</v>
      </c>
      <c r="BN186" s="1">
        <v>1053.5</v>
      </c>
      <c r="BO186" s="1">
        <v>1080.5</v>
      </c>
      <c r="BP186" s="1">
        <v>1124</v>
      </c>
      <c r="BQ186" s="1">
        <v>1115.5</v>
      </c>
      <c r="BR186" s="1">
        <v>1127.5</v>
      </c>
      <c r="BS186" s="1">
        <v>1110</v>
      </c>
      <c r="BT186" s="1">
        <v>1126.5</v>
      </c>
      <c r="BU186" s="1">
        <v>1144.5</v>
      </c>
      <c r="BV186" s="1">
        <v>1166</v>
      </c>
      <c r="BW186" s="1">
        <v>1173</v>
      </c>
      <c r="BX186" s="1">
        <v>1171.5</v>
      </c>
      <c r="BY186" s="1">
        <v>1170</v>
      </c>
      <c r="BZ186" s="1">
        <v>1162.5</v>
      </c>
    </row>
    <row r="187" spans="1:254" ht="15.9" customHeight="1">
      <c r="A187" s="65" t="s">
        <v>368</v>
      </c>
      <c r="B187" s="41" t="s">
        <v>369</v>
      </c>
      <c r="C187" s="45">
        <f>_xll.RssMarket("2127","安値")</f>
        <v>635.5</v>
      </c>
      <c r="D187" s="16">
        <f t="shared" si="5"/>
        <v>0</v>
      </c>
      <c r="E187" s="30">
        <v>635.5</v>
      </c>
      <c r="F187" s="30">
        <v>629.29999999999995</v>
      </c>
      <c r="G187" s="30">
        <v>630.70000000000005</v>
      </c>
      <c r="H187" s="30">
        <v>620.6</v>
      </c>
      <c r="I187" s="30">
        <v>612</v>
      </c>
      <c r="J187" s="30">
        <v>697.4</v>
      </c>
      <c r="K187" s="30">
        <v>677.5</v>
      </c>
      <c r="L187" s="30">
        <v>679</v>
      </c>
      <c r="M187" s="30">
        <v>670.3</v>
      </c>
      <c r="N187" s="30">
        <v>653.9</v>
      </c>
      <c r="O187" s="30">
        <v>658.9</v>
      </c>
      <c r="P187" s="30">
        <v>663.5</v>
      </c>
      <c r="Q187" s="30">
        <v>674</v>
      </c>
      <c r="R187" s="30">
        <v>666.1</v>
      </c>
      <c r="S187" s="30">
        <v>673.3</v>
      </c>
      <c r="T187" s="30">
        <v>675.1</v>
      </c>
      <c r="U187" s="30">
        <v>667.5</v>
      </c>
      <c r="V187" s="30">
        <v>670.5</v>
      </c>
      <c r="W187" s="30">
        <v>676.1</v>
      </c>
      <c r="X187" s="30">
        <v>679.1</v>
      </c>
      <c r="Y187" s="30">
        <v>680</v>
      </c>
      <c r="Z187" s="30">
        <v>656.8</v>
      </c>
      <c r="AA187" s="30">
        <v>650.6</v>
      </c>
      <c r="AB187" s="30">
        <v>644.29999999999995</v>
      </c>
      <c r="AC187" s="30">
        <v>629.1</v>
      </c>
      <c r="AD187" s="30">
        <v>632.1</v>
      </c>
      <c r="AE187" s="30">
        <v>622</v>
      </c>
      <c r="AF187" s="30">
        <v>616.20000000000005</v>
      </c>
      <c r="AG187" s="30">
        <v>623.79999999999995</v>
      </c>
      <c r="AH187" s="30">
        <v>625.1</v>
      </c>
      <c r="AI187" s="30">
        <v>627.1</v>
      </c>
      <c r="AJ187" s="30">
        <v>632.29999999999995</v>
      </c>
      <c r="AK187" s="30">
        <v>642.29999999999995</v>
      </c>
      <c r="AL187" s="30">
        <v>650</v>
      </c>
      <c r="AM187" s="30">
        <v>640.79999999999995</v>
      </c>
      <c r="AN187" s="30">
        <v>632.70000000000005</v>
      </c>
      <c r="AO187" s="30">
        <v>636</v>
      </c>
      <c r="AP187" s="30">
        <v>633.1</v>
      </c>
      <c r="AQ187" s="30">
        <v>632.5</v>
      </c>
      <c r="AR187" s="30">
        <v>633.20000000000005</v>
      </c>
      <c r="AS187" s="30">
        <v>627</v>
      </c>
      <c r="AT187" s="30">
        <v>620</v>
      </c>
      <c r="AU187" s="30">
        <v>621.20000000000005</v>
      </c>
      <c r="AV187" s="30">
        <v>628</v>
      </c>
      <c r="AW187" s="30">
        <v>643.5</v>
      </c>
      <c r="AX187" s="30">
        <v>650.5</v>
      </c>
      <c r="AY187" s="30">
        <v>644.70000000000005</v>
      </c>
      <c r="AZ187" s="30">
        <v>660.2</v>
      </c>
      <c r="BA187" s="30">
        <v>645.79999999999995</v>
      </c>
      <c r="BB187" s="30">
        <v>655.4</v>
      </c>
      <c r="BC187" s="30">
        <v>648.6</v>
      </c>
      <c r="BD187" s="30">
        <v>640.29999999999995</v>
      </c>
      <c r="BE187" s="30">
        <v>639.79999999999995</v>
      </c>
      <c r="BF187" s="30">
        <v>631.1</v>
      </c>
      <c r="BG187" s="30">
        <v>633.4</v>
      </c>
      <c r="BH187" s="30">
        <v>634.4</v>
      </c>
      <c r="BI187" s="30">
        <v>634.1</v>
      </c>
      <c r="BJ187" s="30">
        <v>636.4</v>
      </c>
      <c r="BK187" s="30">
        <v>650.5</v>
      </c>
      <c r="BL187" s="30">
        <v>637</v>
      </c>
      <c r="BM187" s="1">
        <v>607.70000000000005</v>
      </c>
      <c r="BN187" s="1">
        <v>615.1</v>
      </c>
      <c r="BO187" s="1">
        <v>654</v>
      </c>
      <c r="BP187" s="1">
        <v>683.8</v>
      </c>
      <c r="BQ187" s="1">
        <v>669</v>
      </c>
      <c r="BR187" s="1">
        <v>668.5</v>
      </c>
      <c r="BS187" s="1">
        <v>676.5</v>
      </c>
      <c r="BT187" s="1">
        <v>688.8</v>
      </c>
      <c r="BU187" s="1">
        <v>685.8</v>
      </c>
      <c r="BV187" s="1">
        <v>681</v>
      </c>
      <c r="BW187" s="1">
        <v>687.4</v>
      </c>
      <c r="BX187" s="1">
        <v>682</v>
      </c>
      <c r="BY187" s="1">
        <v>670.5</v>
      </c>
      <c r="BZ187" s="1">
        <v>662.5</v>
      </c>
    </row>
    <row r="188" spans="1:254" ht="15.9" customHeight="1">
      <c r="A188" s="65" t="s">
        <v>370</v>
      </c>
      <c r="B188" s="41" t="s">
        <v>371</v>
      </c>
      <c r="C188" s="45">
        <f>_xll.RssMarket("6753","安値")</f>
        <v>613.4</v>
      </c>
      <c r="D188" s="16">
        <f t="shared" si="5"/>
        <v>0</v>
      </c>
      <c r="E188" s="30">
        <v>613.4</v>
      </c>
      <c r="F188" s="30">
        <v>612.5</v>
      </c>
      <c r="G188" s="30">
        <v>617.29999999999995</v>
      </c>
      <c r="H188" s="30">
        <v>608.79999999999995</v>
      </c>
      <c r="I188" s="30">
        <v>607.70000000000005</v>
      </c>
      <c r="J188" s="30">
        <v>625.1</v>
      </c>
      <c r="K188" s="30">
        <v>615.4</v>
      </c>
      <c r="L188" s="30">
        <v>599.1</v>
      </c>
      <c r="M188" s="30">
        <v>592.5</v>
      </c>
      <c r="N188" s="30">
        <v>586.5</v>
      </c>
      <c r="O188" s="30">
        <v>609.6</v>
      </c>
      <c r="P188" s="30">
        <v>621.4</v>
      </c>
      <c r="Q188" s="30">
        <v>619.6</v>
      </c>
      <c r="R188" s="30">
        <v>620.9</v>
      </c>
      <c r="S188" s="30">
        <v>634.5</v>
      </c>
      <c r="T188" s="30">
        <v>638.4</v>
      </c>
      <c r="U188" s="30">
        <v>635</v>
      </c>
      <c r="V188" s="30">
        <v>638.79999999999995</v>
      </c>
      <c r="W188" s="30">
        <v>636</v>
      </c>
      <c r="X188" s="30">
        <v>635.70000000000005</v>
      </c>
      <c r="Y188" s="30">
        <v>637.20000000000005</v>
      </c>
      <c r="Z188" s="30">
        <v>631.9</v>
      </c>
      <c r="AA188" s="30">
        <v>634.5</v>
      </c>
      <c r="AB188" s="30">
        <v>633.5</v>
      </c>
      <c r="AC188" s="30">
        <v>619.5</v>
      </c>
      <c r="AD188" s="30">
        <v>632.5</v>
      </c>
      <c r="AE188" s="30">
        <v>602.4</v>
      </c>
      <c r="AF188" s="30">
        <v>587</v>
      </c>
      <c r="AG188" s="30">
        <v>593</v>
      </c>
      <c r="AH188" s="30">
        <v>575</v>
      </c>
      <c r="AI188" s="30">
        <v>570.1</v>
      </c>
      <c r="AJ188" s="30">
        <v>569</v>
      </c>
      <c r="AK188" s="30">
        <v>570.20000000000005</v>
      </c>
      <c r="AL188" s="30">
        <v>584</v>
      </c>
      <c r="AM188" s="30">
        <v>589</v>
      </c>
      <c r="AN188" s="30">
        <v>590.70000000000005</v>
      </c>
      <c r="AO188" s="30">
        <v>610</v>
      </c>
      <c r="AP188" s="30">
        <v>604</v>
      </c>
      <c r="AQ188" s="30">
        <v>614.1</v>
      </c>
      <c r="AR188" s="30">
        <v>628.79999999999995</v>
      </c>
      <c r="AS188" s="30">
        <v>647</v>
      </c>
      <c r="AT188" s="30">
        <v>654.29999999999995</v>
      </c>
      <c r="AU188" s="30">
        <v>652.70000000000005</v>
      </c>
      <c r="AV188" s="30">
        <v>650</v>
      </c>
      <c r="AW188" s="30">
        <v>614</v>
      </c>
      <c r="AX188" s="30">
        <v>603.79999999999995</v>
      </c>
      <c r="AY188" s="30">
        <v>612.6</v>
      </c>
      <c r="AZ188" s="30">
        <v>605.70000000000005</v>
      </c>
      <c r="BA188" s="30">
        <v>620.6</v>
      </c>
      <c r="BB188" s="30">
        <v>613.29999999999995</v>
      </c>
      <c r="BC188" s="30">
        <v>600</v>
      </c>
      <c r="BD188" s="30">
        <v>601</v>
      </c>
      <c r="BE188" s="30">
        <v>609.20000000000005</v>
      </c>
      <c r="BF188" s="30">
        <v>603.4</v>
      </c>
      <c r="BG188" s="30">
        <v>574.9</v>
      </c>
      <c r="BH188" s="30">
        <v>567.6</v>
      </c>
      <c r="BI188" s="30">
        <v>550</v>
      </c>
      <c r="BJ188" s="30">
        <v>554</v>
      </c>
      <c r="BK188" s="30">
        <v>554.29999999999995</v>
      </c>
      <c r="BL188" s="30">
        <v>550.79999999999995</v>
      </c>
      <c r="BM188" s="1">
        <v>559.4</v>
      </c>
      <c r="BN188" s="1">
        <v>554.20000000000005</v>
      </c>
      <c r="BO188" s="1">
        <v>553.5</v>
      </c>
      <c r="BP188" s="1">
        <v>552</v>
      </c>
      <c r="BQ188" s="1">
        <v>534.4</v>
      </c>
      <c r="BR188" s="1">
        <v>555</v>
      </c>
      <c r="BS188" s="1">
        <v>588.29999999999995</v>
      </c>
      <c r="BT188" s="1">
        <v>604.5</v>
      </c>
      <c r="BU188" s="1">
        <v>605</v>
      </c>
      <c r="BV188" s="1">
        <v>612.6</v>
      </c>
      <c r="BW188" s="1">
        <v>604</v>
      </c>
      <c r="BX188" s="1">
        <v>597.5</v>
      </c>
      <c r="BY188" s="1">
        <v>590.20000000000005</v>
      </c>
      <c r="BZ188" s="1">
        <v>585.29999999999995</v>
      </c>
    </row>
    <row r="189" spans="1:254" ht="15.9" customHeight="1">
      <c r="A189" s="65" t="s">
        <v>372</v>
      </c>
      <c r="B189" s="41" t="str">
        <f>銘柄管理!C189</f>
        <v>ヤマトホールディングス</v>
      </c>
      <c r="C189" s="45">
        <f>_xll.RssMarket("9064","安値")</f>
        <v>1840</v>
      </c>
      <c r="D189" s="16"/>
      <c r="E189" s="30">
        <v>1840</v>
      </c>
      <c r="F189" s="30">
        <v>1876</v>
      </c>
      <c r="G189" s="30">
        <v>1890</v>
      </c>
      <c r="H189" s="30">
        <v>2012.5</v>
      </c>
      <c r="I189" s="30">
        <v>2060</v>
      </c>
      <c r="J189" s="30">
        <v>2129</v>
      </c>
      <c r="K189" s="30">
        <v>2116.5</v>
      </c>
      <c r="L189" s="30">
        <v>2072</v>
      </c>
      <c r="M189" s="30">
        <v>2026</v>
      </c>
      <c r="N189" s="30">
        <v>2000</v>
      </c>
      <c r="O189" s="30">
        <v>2010.5</v>
      </c>
      <c r="P189" s="30">
        <v>1978.5</v>
      </c>
      <c r="Q189" s="30">
        <v>2021</v>
      </c>
      <c r="R189" s="30">
        <v>1990</v>
      </c>
      <c r="S189" s="30">
        <v>1958</v>
      </c>
      <c r="T189" s="30">
        <v>1958.5</v>
      </c>
      <c r="U189" s="30">
        <v>1937.5</v>
      </c>
      <c r="V189" s="30">
        <v>1930.5</v>
      </c>
      <c r="W189" s="30">
        <v>1945.5</v>
      </c>
      <c r="X189" s="30">
        <v>1956.5</v>
      </c>
      <c r="Y189" s="30">
        <v>1955.5</v>
      </c>
      <c r="Z189" s="30">
        <v>1936.5</v>
      </c>
      <c r="AA189" s="30">
        <v>1923.5</v>
      </c>
      <c r="AB189" s="30">
        <v>1844</v>
      </c>
      <c r="AC189" s="30">
        <v>1821.5</v>
      </c>
      <c r="AD189" s="30">
        <v>1823.5</v>
      </c>
      <c r="AE189" s="30">
        <v>1810</v>
      </c>
      <c r="AF189" s="30">
        <v>1810</v>
      </c>
      <c r="AG189" s="30">
        <v>1761</v>
      </c>
      <c r="AH189" s="30">
        <v>1748</v>
      </c>
      <c r="AI189" s="30">
        <v>1757</v>
      </c>
      <c r="AJ189" s="30">
        <v>1746</v>
      </c>
      <c r="AK189" s="30">
        <v>1740</v>
      </c>
      <c r="AL189" s="30">
        <v>1734</v>
      </c>
      <c r="AM189" s="30">
        <v>1763</v>
      </c>
      <c r="AN189" s="30">
        <v>1760</v>
      </c>
      <c r="AO189" s="30">
        <v>1768</v>
      </c>
      <c r="AP189" s="30">
        <v>1783.5</v>
      </c>
      <c r="AQ189" s="30">
        <v>1790</v>
      </c>
      <c r="AR189" s="30">
        <v>1785.5</v>
      </c>
      <c r="AS189" s="30">
        <v>1775.5</v>
      </c>
      <c r="AT189" s="30">
        <v>1790.5</v>
      </c>
      <c r="AU189" s="30">
        <v>1794.5</v>
      </c>
      <c r="AV189" s="30">
        <v>1803.5</v>
      </c>
      <c r="AW189" s="30">
        <v>1781.5</v>
      </c>
      <c r="AX189" s="30">
        <v>1794</v>
      </c>
      <c r="AY189" s="30">
        <v>1765</v>
      </c>
      <c r="AZ189" s="30">
        <v>1749</v>
      </c>
      <c r="BA189" s="30">
        <v>1752.5</v>
      </c>
      <c r="BB189" s="30">
        <v>1758</v>
      </c>
      <c r="BC189" s="30">
        <v>1756</v>
      </c>
      <c r="BD189" s="30">
        <v>1735.5</v>
      </c>
      <c r="BE189" s="30">
        <v>1750</v>
      </c>
      <c r="BF189" s="30">
        <v>1718</v>
      </c>
      <c r="BG189" s="30">
        <v>1714</v>
      </c>
      <c r="BH189" s="30">
        <v>1745</v>
      </c>
      <c r="BI189" s="30">
        <v>1744.5</v>
      </c>
      <c r="BJ189" s="30">
        <v>1722</v>
      </c>
      <c r="BK189" s="30">
        <v>1725.5</v>
      </c>
      <c r="BL189" s="30">
        <v>1776.5</v>
      </c>
      <c r="BM189" s="1">
        <v>1735</v>
      </c>
      <c r="BN189" s="1">
        <v>1719.5</v>
      </c>
      <c r="BO189" s="1">
        <v>1756.5</v>
      </c>
      <c r="BP189" s="1">
        <v>1781.5</v>
      </c>
      <c r="BQ189" s="1">
        <v>1748.5</v>
      </c>
      <c r="BR189" s="1">
        <v>1761</v>
      </c>
      <c r="BS189" s="1">
        <v>1758.5</v>
      </c>
      <c r="BT189" s="1">
        <v>1809</v>
      </c>
      <c r="BU189" s="1">
        <v>1826</v>
      </c>
      <c r="BV189" s="1">
        <v>1818.5</v>
      </c>
      <c r="BW189" s="1">
        <v>1845</v>
      </c>
      <c r="BX189" s="1">
        <v>1856</v>
      </c>
      <c r="BY189" s="1">
        <v>1865</v>
      </c>
      <c r="BZ189" s="1">
        <v>1848</v>
      </c>
    </row>
    <row r="190" spans="1:254" ht="15.9" customHeight="1">
      <c r="A190" s="65" t="s">
        <v>373</v>
      </c>
      <c r="B190" s="41" t="s">
        <v>374</v>
      </c>
      <c r="C190" s="45">
        <f>_xll.RssMarket("7181","安値")</f>
        <v>1709</v>
      </c>
      <c r="D190" s="16">
        <f>C190-E190</f>
        <v>0</v>
      </c>
      <c r="E190" s="30">
        <v>1709</v>
      </c>
      <c r="F190" s="30">
        <v>1696.5</v>
      </c>
      <c r="G190" s="30">
        <v>1686</v>
      </c>
      <c r="H190" s="30">
        <v>1686.5</v>
      </c>
      <c r="I190" s="30">
        <v>1742.5</v>
      </c>
      <c r="J190" s="30">
        <v>1746</v>
      </c>
      <c r="K190" s="30">
        <v>1732</v>
      </c>
      <c r="L190" s="30">
        <v>1750.5</v>
      </c>
      <c r="M190" s="30">
        <v>1769</v>
      </c>
      <c r="N190" s="30">
        <v>1724</v>
      </c>
      <c r="O190" s="30">
        <v>1720.5</v>
      </c>
      <c r="P190" s="30">
        <v>1672.5</v>
      </c>
      <c r="Q190" s="30">
        <v>1628</v>
      </c>
      <c r="R190" s="30">
        <v>1597</v>
      </c>
      <c r="S190" s="30">
        <v>1647</v>
      </c>
      <c r="T190" s="30">
        <v>1612</v>
      </c>
      <c r="U190" s="30">
        <v>1613</v>
      </c>
      <c r="V190" s="30">
        <v>1607</v>
      </c>
      <c r="W190" s="30">
        <v>1622.5</v>
      </c>
      <c r="X190" s="30">
        <v>1615</v>
      </c>
      <c r="Y190" s="30">
        <v>1656.5</v>
      </c>
      <c r="Z190" s="30">
        <v>1602</v>
      </c>
      <c r="AA190" s="30">
        <v>1602</v>
      </c>
      <c r="AB190" s="30">
        <v>1541.5</v>
      </c>
      <c r="AC190" s="30">
        <v>1514</v>
      </c>
      <c r="AD190" s="30">
        <v>1500</v>
      </c>
      <c r="AE190" s="30">
        <v>1483</v>
      </c>
      <c r="AF190" s="30">
        <v>1466.5</v>
      </c>
      <c r="AG190" s="30">
        <v>1473.5</v>
      </c>
      <c r="AH190" s="30">
        <v>1479</v>
      </c>
      <c r="AI190" s="30">
        <v>1511.5</v>
      </c>
      <c r="AJ190" s="30">
        <v>1495</v>
      </c>
      <c r="AK190" s="30">
        <v>1515.5</v>
      </c>
      <c r="AL190" s="30">
        <v>1524</v>
      </c>
      <c r="AM190" s="30">
        <v>1516</v>
      </c>
      <c r="AN190" s="30">
        <v>1532.5</v>
      </c>
      <c r="AO190" s="30">
        <v>1529.5</v>
      </c>
      <c r="AP190" s="30">
        <v>1519.5</v>
      </c>
      <c r="AQ190" s="30">
        <v>1529</v>
      </c>
      <c r="AR190" s="30">
        <v>1555</v>
      </c>
      <c r="AS190" s="30">
        <v>1415</v>
      </c>
      <c r="AT190" s="30">
        <v>1419</v>
      </c>
      <c r="AU190" s="30">
        <v>1381.5</v>
      </c>
      <c r="AV190" s="30">
        <v>1416</v>
      </c>
      <c r="AW190" s="30">
        <v>1367</v>
      </c>
      <c r="AX190" s="30">
        <v>1391</v>
      </c>
      <c r="AY190" s="30">
        <v>1411</v>
      </c>
      <c r="AZ190" s="30">
        <v>1461.5</v>
      </c>
      <c r="BA190" s="30">
        <v>1470.5</v>
      </c>
      <c r="BB190" s="30">
        <v>1511.5</v>
      </c>
      <c r="BC190" s="30">
        <v>1527</v>
      </c>
      <c r="BD190" s="30">
        <v>1515.5</v>
      </c>
      <c r="BE190" s="30">
        <v>1474.5</v>
      </c>
      <c r="BF190" s="30">
        <v>1450</v>
      </c>
      <c r="BG190" s="30">
        <v>1604.5</v>
      </c>
      <c r="BH190" s="30">
        <v>1594.5</v>
      </c>
      <c r="BI190" s="30">
        <v>1565</v>
      </c>
      <c r="BJ190" s="30">
        <v>1540.5</v>
      </c>
      <c r="BK190" s="30">
        <v>1525</v>
      </c>
      <c r="BL190" s="30">
        <v>1540.5</v>
      </c>
      <c r="BM190" s="1">
        <v>1543</v>
      </c>
      <c r="BN190" s="1">
        <v>1508.5</v>
      </c>
      <c r="BO190" s="1">
        <v>1497.5</v>
      </c>
      <c r="BP190" s="1">
        <v>1491.5</v>
      </c>
      <c r="BQ190" s="1">
        <v>1466.5</v>
      </c>
      <c r="BR190" s="1">
        <v>1474</v>
      </c>
      <c r="BS190" s="1">
        <v>1458.5</v>
      </c>
      <c r="BT190" s="1">
        <v>1497.5</v>
      </c>
      <c r="BU190" s="1">
        <v>1542.5</v>
      </c>
      <c r="BV190" s="1">
        <v>1573.5</v>
      </c>
      <c r="BW190" s="1">
        <v>1600.5</v>
      </c>
      <c r="BX190" s="1">
        <v>1650.5</v>
      </c>
      <c r="BY190" s="1">
        <v>1640.5</v>
      </c>
      <c r="BZ190" s="1">
        <v>1608</v>
      </c>
    </row>
    <row r="191" spans="1:254" ht="15.9" customHeight="1">
      <c r="A191" s="65" t="s">
        <v>375</v>
      </c>
      <c r="B191" s="41" t="str">
        <f>銘柄管理!C191</f>
        <v>前澤給装工業</v>
      </c>
      <c r="C191" s="45">
        <f>_xll.RssMarket("6485","安値")</f>
        <v>1581</v>
      </c>
      <c r="D191" s="16"/>
      <c r="E191" s="30">
        <v>1581</v>
      </c>
      <c r="F191" s="30">
        <v>1571</v>
      </c>
      <c r="G191" s="30">
        <v>1555</v>
      </c>
      <c r="H191" s="30">
        <v>1540</v>
      </c>
      <c r="I191" s="30">
        <v>1572</v>
      </c>
      <c r="J191" s="30">
        <v>1577</v>
      </c>
      <c r="K191" s="30">
        <v>1567</v>
      </c>
      <c r="L191" s="30">
        <v>1561</v>
      </c>
      <c r="M191" s="30">
        <v>1552</v>
      </c>
      <c r="N191" s="30">
        <v>1529</v>
      </c>
      <c r="O191" s="30">
        <v>1537</v>
      </c>
      <c r="P191" s="30">
        <v>1528</v>
      </c>
      <c r="Q191" s="30">
        <v>1531</v>
      </c>
      <c r="R191" s="30">
        <v>1519</v>
      </c>
      <c r="S191" s="30">
        <v>1539</v>
      </c>
      <c r="T191" s="30">
        <v>1536</v>
      </c>
      <c r="U191" s="30">
        <v>1539</v>
      </c>
      <c r="V191" s="30">
        <v>1549</v>
      </c>
      <c r="W191" s="30">
        <v>1537</v>
      </c>
      <c r="X191" s="30">
        <v>1506</v>
      </c>
      <c r="Y191" s="30">
        <v>1524</v>
      </c>
      <c r="Z191" s="30">
        <v>1520</v>
      </c>
      <c r="AA191" s="30">
        <v>1518</v>
      </c>
      <c r="AB191" s="30">
        <v>1524</v>
      </c>
      <c r="AC191" s="30">
        <v>1496</v>
      </c>
      <c r="AD191" s="30">
        <v>1487</v>
      </c>
      <c r="AE191" s="30">
        <v>1494</v>
      </c>
      <c r="AF191" s="30">
        <v>1483</v>
      </c>
      <c r="AG191" s="30">
        <v>1473</v>
      </c>
      <c r="AH191" s="30">
        <v>1456</v>
      </c>
      <c r="AI191" s="30">
        <v>1449</v>
      </c>
      <c r="AJ191" s="30">
        <v>1468</v>
      </c>
      <c r="AK191" s="30">
        <v>1459</v>
      </c>
      <c r="AL191" s="30">
        <v>1454</v>
      </c>
      <c r="AM191" s="30">
        <v>1454</v>
      </c>
      <c r="AN191" s="30">
        <v>1434</v>
      </c>
      <c r="AO191" s="30">
        <v>1430</v>
      </c>
      <c r="AP191" s="30">
        <v>1418</v>
      </c>
      <c r="AQ191" s="30">
        <v>1405</v>
      </c>
      <c r="AR191" s="30">
        <v>1418</v>
      </c>
      <c r="AS191" s="30">
        <v>1410</v>
      </c>
      <c r="AT191" s="30">
        <v>1420</v>
      </c>
      <c r="AU191" s="30">
        <v>1388</v>
      </c>
      <c r="AV191" s="30">
        <v>1374</v>
      </c>
      <c r="AW191" s="30">
        <v>1360</v>
      </c>
      <c r="AX191" s="30">
        <v>1417</v>
      </c>
      <c r="AY191" s="30">
        <v>1407</v>
      </c>
      <c r="AZ191" s="30">
        <v>1409</v>
      </c>
      <c r="BA191" s="30">
        <v>1410</v>
      </c>
      <c r="BB191" s="30">
        <v>1410</v>
      </c>
      <c r="BC191" s="30">
        <v>1410</v>
      </c>
      <c r="BD191" s="30">
        <v>1412</v>
      </c>
      <c r="BE191" s="30">
        <v>1445</v>
      </c>
      <c r="BF191" s="30">
        <v>1442</v>
      </c>
      <c r="BG191" s="30">
        <v>1486</v>
      </c>
      <c r="BH191" s="30">
        <v>1462</v>
      </c>
      <c r="BI191" s="30">
        <v>1500</v>
      </c>
      <c r="BJ191" s="30">
        <v>1506</v>
      </c>
      <c r="BK191" s="30">
        <v>1508</v>
      </c>
      <c r="BL191" s="30">
        <v>1496</v>
      </c>
      <c r="BM191" s="1">
        <v>1505</v>
      </c>
      <c r="BN191" s="1">
        <v>1488</v>
      </c>
      <c r="BO191" s="1">
        <v>1492</v>
      </c>
      <c r="BP191" s="1">
        <v>1484</v>
      </c>
      <c r="BQ191" s="1">
        <v>1486</v>
      </c>
      <c r="BR191" s="1">
        <v>1497</v>
      </c>
      <c r="BS191" s="1">
        <v>1501</v>
      </c>
      <c r="BT191" s="1">
        <v>1525</v>
      </c>
      <c r="BU191" s="1">
        <v>1554</v>
      </c>
      <c r="BV191" s="1">
        <v>1551</v>
      </c>
      <c r="BW191" s="1">
        <v>1555</v>
      </c>
      <c r="BX191" s="1">
        <v>1567</v>
      </c>
      <c r="BY191" s="1">
        <v>1568</v>
      </c>
      <c r="BZ191" s="1">
        <v>1574</v>
      </c>
    </row>
    <row r="192" spans="1:254" ht="15.9" customHeight="1">
      <c r="A192" s="65" t="s">
        <v>376</v>
      </c>
      <c r="B192" s="41" t="s">
        <v>377</v>
      </c>
      <c r="C192" s="45">
        <f>_xll.RssMarket("4887","安値")</f>
        <v>1603</v>
      </c>
      <c r="D192" s="16">
        <f t="shared" ref="D192:D208" si="6">C192-E192</f>
        <v>0</v>
      </c>
      <c r="E192" s="30">
        <v>1603</v>
      </c>
      <c r="F192" s="30">
        <v>1599</v>
      </c>
      <c r="G192" s="30">
        <v>1591.5</v>
      </c>
      <c r="H192" s="30">
        <v>1595</v>
      </c>
      <c r="I192" s="30">
        <v>1648</v>
      </c>
      <c r="J192" s="30">
        <v>1678.5</v>
      </c>
      <c r="K192" s="30">
        <v>1676</v>
      </c>
      <c r="L192" s="30">
        <v>1673.5</v>
      </c>
      <c r="M192" s="30">
        <v>1660</v>
      </c>
      <c r="N192" s="30">
        <v>1645</v>
      </c>
      <c r="O192" s="30">
        <v>1655.5</v>
      </c>
      <c r="P192" s="30">
        <v>1667.5</v>
      </c>
      <c r="Q192" s="30">
        <v>1675.5</v>
      </c>
      <c r="R192" s="30">
        <v>1670</v>
      </c>
      <c r="S192" s="30">
        <v>1655.5</v>
      </c>
      <c r="T192" s="30">
        <v>1663.5</v>
      </c>
      <c r="U192" s="30">
        <v>1655.5</v>
      </c>
      <c r="V192" s="30">
        <v>1663.5</v>
      </c>
      <c r="W192" s="30">
        <v>1687</v>
      </c>
      <c r="X192" s="30">
        <v>1716</v>
      </c>
      <c r="Y192" s="30">
        <v>1736</v>
      </c>
      <c r="Z192" s="30">
        <v>1710</v>
      </c>
      <c r="AA192" s="30">
        <v>1712</v>
      </c>
      <c r="AB192" s="30">
        <v>1683</v>
      </c>
      <c r="AC192" s="30">
        <v>1667</v>
      </c>
      <c r="AD192" s="30">
        <v>1664.5</v>
      </c>
      <c r="AE192" s="30">
        <v>1639</v>
      </c>
      <c r="AF192" s="30">
        <v>1591</v>
      </c>
      <c r="AG192" s="30">
        <v>1642.5</v>
      </c>
      <c r="AH192" s="30">
        <v>1637</v>
      </c>
      <c r="AI192" s="30">
        <v>1610.5</v>
      </c>
      <c r="AJ192" s="30">
        <v>1621.5</v>
      </c>
      <c r="AK192" s="30">
        <v>1619</v>
      </c>
      <c r="AL192" s="30">
        <v>1619</v>
      </c>
      <c r="AM192" s="30">
        <v>1646.5</v>
      </c>
      <c r="AN192" s="30">
        <v>1642.5</v>
      </c>
      <c r="AO192" s="30">
        <v>1648</v>
      </c>
      <c r="AP192" s="30">
        <v>1688</v>
      </c>
      <c r="AQ192" s="30">
        <v>1695</v>
      </c>
      <c r="AR192" s="30">
        <v>1713.5</v>
      </c>
      <c r="AS192" s="30">
        <v>1673</v>
      </c>
      <c r="AT192" s="30">
        <v>1703</v>
      </c>
      <c r="AU192" s="30">
        <v>1707.5</v>
      </c>
      <c r="AV192" s="30">
        <v>1664.5</v>
      </c>
      <c r="AW192" s="30">
        <v>1683</v>
      </c>
      <c r="AX192" s="30">
        <v>1731</v>
      </c>
      <c r="AY192" s="30">
        <v>1726</v>
      </c>
      <c r="AZ192" s="30">
        <v>1745</v>
      </c>
      <c r="BA192" s="30">
        <v>1766</v>
      </c>
      <c r="BB192" s="30">
        <v>1740.5</v>
      </c>
      <c r="BC192" s="30">
        <v>1751</v>
      </c>
      <c r="BD192" s="30">
        <v>1778.5</v>
      </c>
      <c r="BE192" s="30">
        <v>1741</v>
      </c>
      <c r="BF192" s="30">
        <v>1730.5</v>
      </c>
      <c r="BG192" s="30">
        <v>1972.5</v>
      </c>
      <c r="BH192" s="30">
        <v>2055</v>
      </c>
      <c r="BI192" s="30">
        <v>2063.5</v>
      </c>
      <c r="BJ192" s="30">
        <v>2053</v>
      </c>
      <c r="BK192" s="30">
        <v>2085</v>
      </c>
      <c r="BL192" s="30">
        <v>2083</v>
      </c>
      <c r="BM192" s="1">
        <v>2081</v>
      </c>
      <c r="BN192" s="1">
        <v>2057.5</v>
      </c>
      <c r="BO192" s="1">
        <v>2083</v>
      </c>
      <c r="BP192" s="1">
        <v>2068</v>
      </c>
      <c r="BQ192" s="1">
        <v>2069.5</v>
      </c>
      <c r="BR192" s="1">
        <v>2087</v>
      </c>
      <c r="BS192" s="1">
        <v>2073</v>
      </c>
      <c r="BT192" s="1">
        <v>2094</v>
      </c>
      <c r="BU192" s="1">
        <v>2149</v>
      </c>
      <c r="BV192" s="1">
        <v>2173</v>
      </c>
      <c r="BW192" s="1">
        <v>2208</v>
      </c>
      <c r="BX192" s="1">
        <v>2233.5</v>
      </c>
      <c r="BY192" s="1">
        <v>2177</v>
      </c>
      <c r="BZ192" s="1">
        <v>2172.5</v>
      </c>
    </row>
    <row r="193" spans="1:254" ht="15.9" customHeight="1">
      <c r="A193" s="65" t="s">
        <v>378</v>
      </c>
      <c r="B193" s="41" t="s">
        <v>379</v>
      </c>
      <c r="C193" s="45">
        <f>_xll.RssMarket("5243","安値")</f>
        <v>2250</v>
      </c>
      <c r="D193" s="16">
        <f t="shared" si="6"/>
        <v>0</v>
      </c>
      <c r="E193" s="30">
        <v>2250</v>
      </c>
      <c r="F193" s="30">
        <v>2160</v>
      </c>
      <c r="G193" s="30">
        <v>1997</v>
      </c>
      <c r="H193" s="30">
        <v>1982</v>
      </c>
      <c r="I193" s="30">
        <v>2028</v>
      </c>
      <c r="J193" s="30">
        <v>2015</v>
      </c>
      <c r="K193" s="30">
        <v>1990</v>
      </c>
      <c r="L193" s="30">
        <v>2021</v>
      </c>
      <c r="M193" s="30">
        <v>2008</v>
      </c>
      <c r="N193" s="30">
        <v>1987</v>
      </c>
      <c r="O193" s="30">
        <v>1875</v>
      </c>
      <c r="P193" s="30">
        <v>1909</v>
      </c>
      <c r="Q193" s="30">
        <v>1982</v>
      </c>
      <c r="R193" s="30">
        <v>1941</v>
      </c>
      <c r="S193" s="30">
        <v>2040</v>
      </c>
      <c r="T193" s="30">
        <v>2033</v>
      </c>
      <c r="U193" s="30">
        <v>2100</v>
      </c>
      <c r="V193" s="30">
        <v>1990</v>
      </c>
      <c r="W193" s="30">
        <v>1982</v>
      </c>
      <c r="X193" s="30">
        <v>2155</v>
      </c>
      <c r="Y193" s="30">
        <v>2115</v>
      </c>
      <c r="Z193" s="30">
        <v>2114</v>
      </c>
      <c r="AA193" s="30">
        <v>1973</v>
      </c>
      <c r="AB193" s="30">
        <v>1905</v>
      </c>
      <c r="AC193" s="30">
        <v>1863</v>
      </c>
      <c r="AD193" s="30">
        <v>1819</v>
      </c>
      <c r="AE193" s="30">
        <v>1738</v>
      </c>
      <c r="AF193" s="30">
        <v>1683</v>
      </c>
      <c r="AG193" s="30">
        <v>1693</v>
      </c>
      <c r="AH193" s="30">
        <v>1733</v>
      </c>
      <c r="AI193" s="30">
        <v>1731</v>
      </c>
      <c r="AJ193" s="30">
        <v>1740</v>
      </c>
      <c r="AK193" s="30">
        <v>1730</v>
      </c>
      <c r="AL193" s="30">
        <v>1803</v>
      </c>
      <c r="AM193" s="30">
        <v>1720</v>
      </c>
      <c r="AN193" s="30">
        <v>1672</v>
      </c>
      <c r="AO193" s="30">
        <v>1655</v>
      </c>
      <c r="AP193" s="30">
        <v>1635</v>
      </c>
      <c r="AQ193" s="30">
        <v>1604</v>
      </c>
      <c r="AR193" s="30">
        <v>1635</v>
      </c>
      <c r="AS193" s="30">
        <v>1732</v>
      </c>
      <c r="AT193" s="30">
        <v>1815</v>
      </c>
      <c r="AU193" s="30">
        <v>1810</v>
      </c>
      <c r="AV193" s="30">
        <v>1862</v>
      </c>
      <c r="AW193" s="30">
        <v>1881</v>
      </c>
      <c r="AX193" s="30">
        <v>2031</v>
      </c>
      <c r="AY193" s="30">
        <v>2027</v>
      </c>
      <c r="AZ193" s="30">
        <v>2051</v>
      </c>
      <c r="BA193" s="30">
        <v>2181</v>
      </c>
      <c r="BB193" s="30">
        <v>2172</v>
      </c>
      <c r="BC193" s="30">
        <v>2150</v>
      </c>
      <c r="BD193" s="30">
        <v>2145</v>
      </c>
      <c r="BE193" s="30">
        <v>2188</v>
      </c>
      <c r="BF193" s="30">
        <v>2181</v>
      </c>
      <c r="BG193" s="30">
        <v>2235</v>
      </c>
      <c r="BH193" s="30">
        <v>2272</v>
      </c>
      <c r="BI193" s="30">
        <v>2271</v>
      </c>
      <c r="BJ193" s="30">
        <v>2135</v>
      </c>
      <c r="BK193" s="30">
        <v>2102</v>
      </c>
      <c r="BL193" s="30">
        <v>2134</v>
      </c>
      <c r="BM193" s="1">
        <v>2240</v>
      </c>
      <c r="BN193" s="1">
        <v>2363</v>
      </c>
      <c r="BO193" s="1">
        <v>2396</v>
      </c>
      <c r="BP193" s="1">
        <v>2330</v>
      </c>
      <c r="BQ193" s="1">
        <v>2265</v>
      </c>
      <c r="BR193" s="1">
        <v>2380</v>
      </c>
      <c r="BS193" s="1">
        <v>2467</v>
      </c>
      <c r="BT193" s="1">
        <v>2432</v>
      </c>
      <c r="BU193" s="1">
        <v>2535</v>
      </c>
      <c r="BV193" s="1">
        <v>2520</v>
      </c>
      <c r="BW193" s="1">
        <v>2586</v>
      </c>
      <c r="BX193" s="1">
        <v>2563</v>
      </c>
      <c r="BY193" s="1">
        <v>2515</v>
      </c>
      <c r="BZ193" s="1">
        <v>2853</v>
      </c>
    </row>
    <row r="194" spans="1:254" ht="15.9" customHeight="1">
      <c r="A194" s="65" t="s">
        <v>380</v>
      </c>
      <c r="B194" s="41" t="s">
        <v>381</v>
      </c>
      <c r="C194" s="45">
        <f>_xll.RssMarket("2702","安値")</f>
        <v>8010</v>
      </c>
      <c r="D194" s="16">
        <f t="shared" si="6"/>
        <v>0</v>
      </c>
      <c r="E194" s="30">
        <v>8010</v>
      </c>
      <c r="F194" s="30">
        <v>7980</v>
      </c>
      <c r="G194" s="30">
        <v>8100</v>
      </c>
      <c r="H194" s="30">
        <v>8080</v>
      </c>
      <c r="I194" s="30">
        <v>7970</v>
      </c>
      <c r="J194" s="30">
        <v>8070</v>
      </c>
      <c r="K194" s="30">
        <v>7910</v>
      </c>
      <c r="L194" s="30">
        <v>7710</v>
      </c>
      <c r="M194" s="30">
        <v>7590</v>
      </c>
      <c r="N194" s="30"/>
      <c r="O194" s="30">
        <v>7440</v>
      </c>
      <c r="P194" s="30">
        <v>7460</v>
      </c>
      <c r="Q194" s="30">
        <v>7520</v>
      </c>
      <c r="R194" s="30">
        <v>7520</v>
      </c>
      <c r="S194" s="30">
        <v>7570</v>
      </c>
      <c r="T194" s="30">
        <v>7680</v>
      </c>
      <c r="U194" s="30">
        <v>7680</v>
      </c>
      <c r="V194" s="30">
        <v>7680</v>
      </c>
      <c r="W194" s="30">
        <v>7700</v>
      </c>
      <c r="X194" s="30">
        <v>7720</v>
      </c>
      <c r="Y194" s="30">
        <v>7600</v>
      </c>
      <c r="Z194" s="30">
        <v>7580</v>
      </c>
      <c r="AA194" s="30">
        <v>7610</v>
      </c>
      <c r="AB194" s="30">
        <v>7410</v>
      </c>
      <c r="AC194" s="30">
        <v>7250</v>
      </c>
      <c r="AD194" s="30">
        <v>7450</v>
      </c>
      <c r="AE194" s="30">
        <v>7420</v>
      </c>
      <c r="AF194" s="30">
        <v>7410</v>
      </c>
      <c r="AG194" s="30">
        <v>7210</v>
      </c>
      <c r="AH194" s="30">
        <v>7100</v>
      </c>
      <c r="AI194" s="30">
        <v>7020</v>
      </c>
      <c r="AJ194" s="30">
        <v>7130</v>
      </c>
      <c r="AK194" s="30">
        <v>7220</v>
      </c>
      <c r="AL194" s="30">
        <v>7250</v>
      </c>
      <c r="AM194" s="30">
        <v>7350</v>
      </c>
      <c r="AN194" s="30">
        <v>7320</v>
      </c>
      <c r="AO194" s="30">
        <v>7410</v>
      </c>
      <c r="AP194" s="30">
        <v>7330</v>
      </c>
      <c r="AQ194" s="30">
        <v>7320</v>
      </c>
      <c r="AR194" s="30">
        <v>7160</v>
      </c>
      <c r="AS194" s="30">
        <v>7340</v>
      </c>
      <c r="AT194" s="30">
        <v>7320</v>
      </c>
      <c r="AU194" s="30">
        <v>7290</v>
      </c>
      <c r="AV194" s="30">
        <v>7440</v>
      </c>
      <c r="AW194" s="30">
        <v>7540</v>
      </c>
      <c r="AX194" s="30">
        <v>7700</v>
      </c>
      <c r="AY194" s="30">
        <v>7760</v>
      </c>
      <c r="AZ194" s="30">
        <v>7870</v>
      </c>
      <c r="BA194" s="30">
        <v>8030</v>
      </c>
      <c r="BB194" s="30">
        <v>8010</v>
      </c>
      <c r="BC194" s="30">
        <v>7960</v>
      </c>
      <c r="BD194" s="30">
        <v>7960</v>
      </c>
      <c r="BE194" s="30">
        <v>7800</v>
      </c>
      <c r="BF194" s="30">
        <v>7780</v>
      </c>
      <c r="BG194" s="30">
        <v>8110</v>
      </c>
      <c r="BH194" s="30">
        <v>8290</v>
      </c>
      <c r="BI194" s="30">
        <v>8320</v>
      </c>
      <c r="BJ194" s="30">
        <v>7650</v>
      </c>
      <c r="BK194" s="30">
        <v>7740</v>
      </c>
      <c r="BL194" s="30">
        <v>7870</v>
      </c>
      <c r="BM194" s="1">
        <v>7960</v>
      </c>
      <c r="BN194" s="1">
        <v>8090</v>
      </c>
      <c r="BO194" s="1">
        <v>8110</v>
      </c>
      <c r="BP194" s="1">
        <v>8150</v>
      </c>
      <c r="BQ194" s="1">
        <v>8070</v>
      </c>
      <c r="BR194" s="1">
        <v>8070</v>
      </c>
      <c r="BS194" s="1">
        <v>8090</v>
      </c>
      <c r="BT194" s="1">
        <v>8150</v>
      </c>
      <c r="BU194" s="1">
        <v>8200</v>
      </c>
      <c r="BV194" s="1">
        <v>8170</v>
      </c>
      <c r="BW194" s="1">
        <v>8160</v>
      </c>
      <c r="BX194" s="1">
        <v>8160</v>
      </c>
      <c r="BY194" s="1">
        <v>8050</v>
      </c>
      <c r="BZ194" s="1">
        <v>8000</v>
      </c>
    </row>
    <row r="195" spans="1:254" ht="15.9" customHeight="1">
      <c r="A195" s="65" t="s">
        <v>382</v>
      </c>
      <c r="B195" s="41" t="s">
        <v>383</v>
      </c>
      <c r="C195" s="45">
        <f>_xll.RssMarket("6890","安値")</f>
        <v>8720</v>
      </c>
      <c r="D195" s="16">
        <f t="shared" si="6"/>
        <v>0</v>
      </c>
      <c r="E195" s="30">
        <v>8720</v>
      </c>
      <c r="F195" s="30">
        <v>8700</v>
      </c>
      <c r="G195" s="30">
        <v>8270</v>
      </c>
      <c r="H195" s="30">
        <v>7860</v>
      </c>
      <c r="I195" s="30">
        <v>8160</v>
      </c>
      <c r="J195" s="30">
        <v>7100</v>
      </c>
      <c r="K195" s="30">
        <v>6950</v>
      </c>
      <c r="L195" s="30">
        <v>7460</v>
      </c>
      <c r="M195" s="30">
        <v>8470</v>
      </c>
      <c r="N195" s="30">
        <v>8580</v>
      </c>
      <c r="O195" s="30">
        <v>8940</v>
      </c>
      <c r="P195" s="30">
        <v>7440</v>
      </c>
      <c r="Q195" s="30">
        <v>6850</v>
      </c>
      <c r="R195" s="30">
        <v>6750</v>
      </c>
      <c r="S195" s="30">
        <v>7930</v>
      </c>
      <c r="T195" s="30">
        <v>7770</v>
      </c>
      <c r="U195" s="30">
        <v>8420</v>
      </c>
      <c r="V195" s="30">
        <v>8690</v>
      </c>
      <c r="W195" s="30">
        <v>8260</v>
      </c>
      <c r="X195" s="30">
        <v>8060</v>
      </c>
      <c r="Y195" s="30">
        <v>8410</v>
      </c>
      <c r="Z195" s="30">
        <v>8750</v>
      </c>
      <c r="AA195" s="30">
        <v>8400</v>
      </c>
      <c r="AB195" s="30">
        <v>8870</v>
      </c>
      <c r="AC195" s="30">
        <v>9370</v>
      </c>
      <c r="AD195" s="30">
        <v>9200</v>
      </c>
      <c r="AE195" s="30">
        <v>8740</v>
      </c>
      <c r="AF195" s="30">
        <v>9230</v>
      </c>
      <c r="AG195" s="30">
        <v>10060</v>
      </c>
      <c r="AH195" s="30">
        <v>9650</v>
      </c>
      <c r="AI195" s="30">
        <v>10590</v>
      </c>
      <c r="AJ195" s="30">
        <v>10470</v>
      </c>
      <c r="AK195" s="30">
        <v>10300</v>
      </c>
      <c r="AL195" s="30">
        <v>9530</v>
      </c>
      <c r="AM195" s="30">
        <v>8990</v>
      </c>
      <c r="AN195" s="30">
        <v>9010</v>
      </c>
      <c r="AO195" s="30">
        <v>9030</v>
      </c>
      <c r="AP195" s="30">
        <v>8760</v>
      </c>
      <c r="AQ195" s="30">
        <v>7430</v>
      </c>
      <c r="AR195" s="30">
        <v>7730</v>
      </c>
      <c r="AS195" s="30">
        <v>8120</v>
      </c>
      <c r="AT195" s="30">
        <v>8450</v>
      </c>
      <c r="AU195" s="30">
        <v>7950</v>
      </c>
      <c r="AV195" s="30">
        <v>7840</v>
      </c>
      <c r="AW195" s="30">
        <v>7520</v>
      </c>
      <c r="AX195" s="30">
        <v>8480</v>
      </c>
      <c r="AY195" s="30">
        <v>8270</v>
      </c>
      <c r="AZ195" s="30">
        <v>8490</v>
      </c>
      <c r="BA195" s="30">
        <v>9060</v>
      </c>
      <c r="BB195" s="30">
        <v>8850</v>
      </c>
      <c r="BC195" s="30">
        <v>8630</v>
      </c>
      <c r="BD195" s="30">
        <v>8550</v>
      </c>
      <c r="BE195" s="30">
        <v>8430</v>
      </c>
      <c r="BF195" s="30">
        <v>8850</v>
      </c>
      <c r="BG195" s="30">
        <v>9220</v>
      </c>
      <c r="BH195" s="30">
        <v>9600</v>
      </c>
      <c r="BI195" s="30">
        <v>9020</v>
      </c>
      <c r="BJ195" s="30">
        <v>9540</v>
      </c>
      <c r="BK195" s="30">
        <v>9570</v>
      </c>
      <c r="BL195" s="30">
        <v>9010</v>
      </c>
      <c r="BM195" s="1">
        <v>8330</v>
      </c>
      <c r="BN195" s="1">
        <v>7600</v>
      </c>
      <c r="BO195" s="1">
        <v>7490</v>
      </c>
      <c r="BP195" s="1">
        <v>7090</v>
      </c>
      <c r="BQ195" s="1">
        <v>7200</v>
      </c>
      <c r="BR195" s="1">
        <v>7160</v>
      </c>
      <c r="BS195" s="1">
        <v>7030</v>
      </c>
      <c r="BT195" s="1">
        <v>6560</v>
      </c>
      <c r="BU195" s="1">
        <v>6640</v>
      </c>
      <c r="BV195" s="1">
        <v>6670</v>
      </c>
      <c r="BW195" s="1">
        <v>6610</v>
      </c>
      <c r="BX195" s="1">
        <v>6720</v>
      </c>
      <c r="BY195" s="1">
        <v>6670</v>
      </c>
      <c r="BZ195" s="1">
        <v>6930</v>
      </c>
    </row>
    <row r="196" spans="1:254" ht="15.9" customHeight="1">
      <c r="A196" s="65" t="s">
        <v>384</v>
      </c>
      <c r="B196" s="41" t="s">
        <v>385</v>
      </c>
      <c r="C196" s="45">
        <f>_xll.RssMarket("4966","安値")</f>
        <v>24000</v>
      </c>
      <c r="D196" s="16">
        <f t="shared" si="6"/>
        <v>0</v>
      </c>
      <c r="E196" s="30">
        <v>24000</v>
      </c>
      <c r="F196" s="30">
        <v>24710</v>
      </c>
      <c r="G196" s="30">
        <v>22500</v>
      </c>
      <c r="H196" s="30">
        <v>21960</v>
      </c>
      <c r="I196" s="30">
        <v>21520</v>
      </c>
      <c r="J196" s="30">
        <v>19610</v>
      </c>
      <c r="K196" s="30">
        <v>19520</v>
      </c>
      <c r="L196" s="30">
        <v>21400</v>
      </c>
      <c r="M196" s="30">
        <v>22720</v>
      </c>
      <c r="N196" s="30">
        <v>22930</v>
      </c>
      <c r="O196" s="30">
        <v>23890</v>
      </c>
      <c r="P196" s="30">
        <v>23070</v>
      </c>
      <c r="Q196" s="30">
        <v>22960</v>
      </c>
      <c r="R196" s="30">
        <v>22000</v>
      </c>
      <c r="S196" s="30">
        <v>23870</v>
      </c>
      <c r="T196" s="30">
        <v>22860</v>
      </c>
      <c r="U196" s="30">
        <v>23280</v>
      </c>
      <c r="V196" s="30">
        <v>24430</v>
      </c>
      <c r="W196" s="30">
        <v>23980</v>
      </c>
      <c r="X196" s="30">
        <v>23150</v>
      </c>
      <c r="Y196" s="30">
        <v>23980</v>
      </c>
      <c r="Z196" s="30">
        <v>25500</v>
      </c>
      <c r="AA196" s="30">
        <v>24800</v>
      </c>
      <c r="AB196" s="30">
        <v>25510</v>
      </c>
      <c r="AC196" s="30">
        <v>27530</v>
      </c>
      <c r="AD196" s="30">
        <v>26710</v>
      </c>
      <c r="AE196" s="30">
        <v>25910</v>
      </c>
      <c r="AF196" s="30">
        <v>26600</v>
      </c>
      <c r="AG196" s="30">
        <v>27570</v>
      </c>
      <c r="AH196" s="30">
        <v>26700</v>
      </c>
      <c r="AI196" s="30">
        <v>26810</v>
      </c>
      <c r="AJ196" s="30">
        <v>27040</v>
      </c>
      <c r="AK196" s="30">
        <v>26660</v>
      </c>
      <c r="AL196" s="30">
        <v>26220</v>
      </c>
      <c r="AM196" s="30">
        <v>25750</v>
      </c>
      <c r="AN196" s="30">
        <v>25890</v>
      </c>
      <c r="AO196" s="30">
        <v>24840</v>
      </c>
      <c r="AP196" s="30">
        <v>23710</v>
      </c>
      <c r="AQ196" s="30">
        <v>21820</v>
      </c>
      <c r="AR196" s="30">
        <v>22000</v>
      </c>
      <c r="AS196" s="30">
        <v>20850</v>
      </c>
      <c r="AT196" s="30">
        <v>22270</v>
      </c>
      <c r="AU196" s="30">
        <v>22800</v>
      </c>
      <c r="AV196" s="30">
        <v>23060</v>
      </c>
      <c r="AW196" s="30">
        <v>22060</v>
      </c>
      <c r="AX196" s="30">
        <v>23020</v>
      </c>
      <c r="AY196" s="30">
        <v>22900</v>
      </c>
      <c r="AZ196" s="30">
        <v>23540</v>
      </c>
      <c r="BA196" s="30">
        <v>23860</v>
      </c>
      <c r="BB196" s="30">
        <v>23440</v>
      </c>
      <c r="BC196" s="30">
        <v>23000</v>
      </c>
      <c r="BD196" s="30">
        <v>21940</v>
      </c>
      <c r="BE196" s="30">
        <v>22650</v>
      </c>
      <c r="BF196" s="30">
        <v>23450</v>
      </c>
      <c r="BG196" s="30">
        <v>23540</v>
      </c>
      <c r="BH196" s="30">
        <v>25000</v>
      </c>
      <c r="BI196" s="30">
        <v>21500</v>
      </c>
      <c r="BJ196" s="30">
        <v>24360</v>
      </c>
      <c r="BK196" s="30">
        <v>23400</v>
      </c>
      <c r="BL196" s="30">
        <v>23060</v>
      </c>
      <c r="BM196" s="1">
        <v>23120</v>
      </c>
      <c r="BN196" s="1">
        <v>22550</v>
      </c>
      <c r="BO196" s="1">
        <v>23120</v>
      </c>
      <c r="BP196" s="1">
        <v>22910</v>
      </c>
      <c r="BQ196" s="1">
        <v>23100</v>
      </c>
      <c r="BR196" s="1">
        <v>23160</v>
      </c>
      <c r="BS196" s="1">
        <v>22770</v>
      </c>
      <c r="BT196" s="1">
        <v>22580</v>
      </c>
      <c r="BU196" s="1">
        <v>22840</v>
      </c>
      <c r="BV196" s="1">
        <v>22660</v>
      </c>
      <c r="BW196" s="1">
        <v>23140</v>
      </c>
      <c r="BX196" s="1">
        <v>23340</v>
      </c>
      <c r="BY196" s="1">
        <v>23680</v>
      </c>
      <c r="BZ196" s="1">
        <v>23750</v>
      </c>
    </row>
    <row r="197" spans="1:254" ht="15.9" customHeight="1">
      <c r="A197" s="65" t="s">
        <v>386</v>
      </c>
      <c r="B197" s="41" t="s">
        <v>387</v>
      </c>
      <c r="C197" s="45">
        <f>_xll.RssMarket("6146","安値")</f>
        <v>60700</v>
      </c>
      <c r="D197" s="16">
        <f t="shared" si="6"/>
        <v>0</v>
      </c>
      <c r="E197" s="30">
        <v>60700</v>
      </c>
      <c r="F197" s="30">
        <v>62440</v>
      </c>
      <c r="G197" s="30">
        <v>58770</v>
      </c>
      <c r="H197" s="30">
        <v>57840</v>
      </c>
      <c r="I197" s="30">
        <v>57430</v>
      </c>
      <c r="J197" s="30">
        <v>49400</v>
      </c>
      <c r="K197" s="30">
        <v>50200</v>
      </c>
      <c r="L197" s="30">
        <v>54870</v>
      </c>
      <c r="M197" s="30">
        <v>60110</v>
      </c>
      <c r="N197" s="30">
        <v>59420</v>
      </c>
      <c r="O197" s="30">
        <v>69260</v>
      </c>
      <c r="P197" s="30">
        <v>67520</v>
      </c>
      <c r="Q197" s="30">
        <v>63000</v>
      </c>
      <c r="R197" s="30">
        <v>62260</v>
      </c>
      <c r="S197" s="30">
        <v>71480</v>
      </c>
      <c r="T197" s="30">
        <v>68730</v>
      </c>
      <c r="U197" s="30">
        <v>70330</v>
      </c>
      <c r="V197" s="30">
        <v>71620</v>
      </c>
      <c r="W197" s="30">
        <v>69230</v>
      </c>
      <c r="X197" s="30">
        <v>68030</v>
      </c>
      <c r="Y197" s="30">
        <v>71600</v>
      </c>
      <c r="Z197" s="30">
        <v>75230</v>
      </c>
      <c r="AA197" s="30">
        <v>72750</v>
      </c>
      <c r="AB197" s="30">
        <v>76770</v>
      </c>
      <c r="AC197" s="30">
        <v>83720</v>
      </c>
      <c r="AD197" s="30">
        <v>79760</v>
      </c>
      <c r="AE197" s="30">
        <v>75330</v>
      </c>
      <c r="AF197" s="30">
        <v>78180</v>
      </c>
      <c r="AG197" s="30">
        <v>83650</v>
      </c>
      <c r="AH197" s="30">
        <v>77830</v>
      </c>
      <c r="AI197" s="30">
        <v>82870</v>
      </c>
      <c r="AJ197" s="30">
        <v>85630</v>
      </c>
      <c r="AK197" s="30">
        <v>84800</v>
      </c>
      <c r="AL197" s="30">
        <v>82440</v>
      </c>
      <c r="AM197" s="30">
        <v>80000</v>
      </c>
      <c r="AN197" s="30">
        <v>81210</v>
      </c>
      <c r="AO197" s="30">
        <v>80450</v>
      </c>
      <c r="AP197" s="30">
        <v>73310</v>
      </c>
      <c r="AQ197" s="30">
        <v>66440</v>
      </c>
      <c r="AR197" s="30">
        <v>69320</v>
      </c>
      <c r="AS197" s="30">
        <v>66440</v>
      </c>
      <c r="AT197" s="30">
        <v>70440</v>
      </c>
      <c r="AU197" s="30">
        <v>68080</v>
      </c>
      <c r="AV197" s="30">
        <v>65130</v>
      </c>
      <c r="AW197" s="30">
        <v>61530</v>
      </c>
      <c r="AX197" s="30">
        <v>63580</v>
      </c>
      <c r="AY197" s="30">
        <v>64800</v>
      </c>
      <c r="AZ197" s="30">
        <v>67340</v>
      </c>
      <c r="BA197" s="30">
        <v>67180</v>
      </c>
      <c r="BB197" s="30">
        <v>65090</v>
      </c>
      <c r="BC197" s="30">
        <v>63220</v>
      </c>
      <c r="BD197" s="30">
        <v>59650</v>
      </c>
      <c r="BE197" s="30">
        <v>60650</v>
      </c>
      <c r="BF197" s="30">
        <v>62280</v>
      </c>
      <c r="BG197" s="30">
        <v>64300</v>
      </c>
      <c r="BH197" s="30">
        <v>70000</v>
      </c>
      <c r="BI197" s="30">
        <v>70330</v>
      </c>
      <c r="BJ197" s="30">
        <v>71370</v>
      </c>
      <c r="BK197" s="30">
        <v>73100</v>
      </c>
      <c r="BL197" s="30">
        <v>74830</v>
      </c>
      <c r="BM197" s="1">
        <v>75800</v>
      </c>
      <c r="BN197" s="1">
        <v>72200</v>
      </c>
      <c r="BO197" s="1">
        <v>72910</v>
      </c>
      <c r="BP197" s="1">
        <v>73600</v>
      </c>
      <c r="BQ197" s="1">
        <v>72800</v>
      </c>
      <c r="BR197" s="1">
        <v>71090</v>
      </c>
      <c r="BS197" s="1">
        <v>71230</v>
      </c>
      <c r="BT197" s="1">
        <v>74180</v>
      </c>
      <c r="BU197" s="1">
        <v>72000</v>
      </c>
      <c r="BV197" s="1">
        <v>71800</v>
      </c>
      <c r="BW197" s="1">
        <v>72020</v>
      </c>
      <c r="BX197" s="1">
        <v>70640</v>
      </c>
      <c r="BY197" s="1">
        <v>70170</v>
      </c>
      <c r="BZ197" s="1">
        <v>69970</v>
      </c>
    </row>
    <row r="198" spans="1:254" ht="15.9" customHeight="1">
      <c r="A198" s="65" t="s">
        <v>388</v>
      </c>
      <c r="B198" s="41" t="s">
        <v>389</v>
      </c>
      <c r="C198" s="45">
        <f>_xll.RssMarket("8035","安値")</f>
        <v>54800</v>
      </c>
      <c r="D198" s="16">
        <f t="shared" si="6"/>
        <v>0</v>
      </c>
      <c r="E198" s="30">
        <v>54800</v>
      </c>
      <c r="F198" s="30">
        <v>58300</v>
      </c>
      <c r="G198" s="30">
        <v>53400</v>
      </c>
      <c r="H198" s="30">
        <v>52550</v>
      </c>
      <c r="I198" s="30">
        <v>54220</v>
      </c>
      <c r="J198" s="30">
        <v>48650</v>
      </c>
      <c r="K198" s="30">
        <v>48580</v>
      </c>
      <c r="L198" s="30">
        <v>55400</v>
      </c>
      <c r="M198" s="30">
        <v>61660</v>
      </c>
      <c r="N198" s="30">
        <v>61210</v>
      </c>
      <c r="O198" s="30">
        <v>65910</v>
      </c>
      <c r="P198" s="30">
        <v>65550</v>
      </c>
      <c r="Q198" s="30">
        <v>64200</v>
      </c>
      <c r="R198" s="30">
        <v>63150</v>
      </c>
      <c r="S198" s="30">
        <v>70780</v>
      </c>
      <c r="T198" s="30">
        <v>68680</v>
      </c>
      <c r="U198" s="30">
        <v>69940</v>
      </c>
      <c r="V198" s="30">
        <v>71610</v>
      </c>
      <c r="W198" s="30">
        <v>69300</v>
      </c>
      <c r="X198" s="30">
        <v>66560</v>
      </c>
      <c r="Y198" s="30">
        <v>69130</v>
      </c>
      <c r="Z198" s="30">
        <v>70670</v>
      </c>
      <c r="AA198" s="30">
        <v>68970</v>
      </c>
      <c r="AB198" s="30">
        <v>72940</v>
      </c>
      <c r="AC198" s="30">
        <v>76690</v>
      </c>
      <c r="AD198" s="30">
        <v>74730</v>
      </c>
      <c r="AE198" s="30">
        <v>70670</v>
      </c>
      <c r="AF198" s="30">
        <v>71120</v>
      </c>
      <c r="AG198" s="30">
        <v>71900</v>
      </c>
      <c r="AH198" s="30">
        <v>68620</v>
      </c>
      <c r="AI198" s="30">
        <v>72960</v>
      </c>
      <c r="AJ198" s="30">
        <v>73980</v>
      </c>
      <c r="AK198" s="30">
        <v>73920</v>
      </c>
      <c r="AL198" s="30">
        <v>73100</v>
      </c>
      <c r="AM198" s="30">
        <v>69850</v>
      </c>
      <c r="AN198" s="30">
        <v>70820</v>
      </c>
      <c r="AO198" s="30">
        <v>72760</v>
      </c>
      <c r="AP198" s="30">
        <v>68000</v>
      </c>
      <c r="AQ198" s="30">
        <v>60210</v>
      </c>
      <c r="AR198" s="30">
        <v>60810</v>
      </c>
      <c r="AS198" s="30">
        <v>54650</v>
      </c>
      <c r="AT198" s="30">
        <v>58750</v>
      </c>
      <c r="AU198" s="30">
        <v>59900</v>
      </c>
      <c r="AV198" s="30">
        <v>56390</v>
      </c>
      <c r="AW198" s="30">
        <v>52180</v>
      </c>
      <c r="AX198" s="30">
        <v>52030</v>
      </c>
      <c r="AY198" s="30">
        <v>51150</v>
      </c>
      <c r="AZ198" s="30">
        <v>52500</v>
      </c>
      <c r="BA198" s="30">
        <v>50030</v>
      </c>
      <c r="BB198" s="30">
        <v>48730</v>
      </c>
      <c r="BC198" s="30">
        <v>47450</v>
      </c>
      <c r="BD198" s="30">
        <v>45030</v>
      </c>
      <c r="BE198" s="30">
        <v>47160</v>
      </c>
      <c r="BF198" s="30">
        <v>48810</v>
      </c>
      <c r="BG198" s="30">
        <v>49480</v>
      </c>
      <c r="BH198" s="30">
        <v>51200</v>
      </c>
      <c r="BI198" s="30">
        <v>50830</v>
      </c>
      <c r="BJ198" s="30">
        <v>51630</v>
      </c>
      <c r="BK198" s="30">
        <v>51870</v>
      </c>
      <c r="BL198" s="30">
        <v>51220</v>
      </c>
      <c r="BM198" s="1">
        <v>50240</v>
      </c>
      <c r="BN198" s="1">
        <v>46710</v>
      </c>
      <c r="BO198" s="1">
        <v>43980</v>
      </c>
      <c r="BP198" s="1">
        <v>45010</v>
      </c>
      <c r="BQ198" s="1">
        <v>46300</v>
      </c>
      <c r="BR198" s="1">
        <v>45410</v>
      </c>
      <c r="BS198" s="1">
        <v>44950</v>
      </c>
      <c r="BT198" s="1">
        <v>45020</v>
      </c>
      <c r="BU198" s="1">
        <v>44670</v>
      </c>
      <c r="BV198" s="1">
        <v>43620</v>
      </c>
      <c r="BW198" s="1">
        <v>44010</v>
      </c>
      <c r="BX198" s="1">
        <v>44100</v>
      </c>
      <c r="BY198" s="1">
        <v>43360</v>
      </c>
      <c r="BZ198" s="1">
        <v>42890</v>
      </c>
    </row>
    <row r="199" spans="1:254" ht="15.9" customHeight="1">
      <c r="A199" s="65" t="s">
        <v>390</v>
      </c>
      <c r="B199" s="41" t="s">
        <v>391</v>
      </c>
      <c r="C199" s="45">
        <f>_xll.RssMarket("6920","安値")</f>
        <v>43250</v>
      </c>
      <c r="D199" s="16">
        <f t="shared" si="6"/>
        <v>0</v>
      </c>
      <c r="E199" s="30">
        <v>43250</v>
      </c>
      <c r="F199" s="30">
        <v>44560</v>
      </c>
      <c r="G199" s="30">
        <v>40870</v>
      </c>
      <c r="H199" s="30">
        <v>37200</v>
      </c>
      <c r="I199" s="30">
        <v>37190</v>
      </c>
      <c r="J199" s="30">
        <v>33200</v>
      </c>
      <c r="K199" s="30">
        <v>33330</v>
      </c>
      <c r="L199" s="30">
        <v>37110</v>
      </c>
      <c r="M199" s="30">
        <v>42800</v>
      </c>
      <c r="N199" s="30">
        <v>42630</v>
      </c>
      <c r="O199" s="30">
        <v>44740</v>
      </c>
      <c r="P199" s="30">
        <v>42720</v>
      </c>
      <c r="Q199" s="30">
        <v>40050</v>
      </c>
      <c r="R199" s="30">
        <v>39850</v>
      </c>
      <c r="S199" s="30">
        <v>46830</v>
      </c>
      <c r="T199" s="30">
        <v>43400</v>
      </c>
      <c r="U199" s="30">
        <v>44020</v>
      </c>
      <c r="V199" s="30">
        <v>43470</v>
      </c>
      <c r="W199" s="30">
        <v>41810</v>
      </c>
      <c r="X199" s="30">
        <v>42000</v>
      </c>
      <c r="Y199" s="30">
        <v>43420</v>
      </c>
      <c r="Z199" s="30">
        <v>45550</v>
      </c>
      <c r="AA199" s="30">
        <v>44340</v>
      </c>
      <c r="AB199" s="30">
        <v>46950</v>
      </c>
      <c r="AC199" s="30">
        <v>50380</v>
      </c>
      <c r="AD199" s="30">
        <v>48710</v>
      </c>
      <c r="AE199" s="30">
        <v>46570</v>
      </c>
      <c r="AF199" s="30">
        <v>49260</v>
      </c>
      <c r="AG199" s="30">
        <v>50870</v>
      </c>
      <c r="AH199" s="30">
        <v>49990</v>
      </c>
      <c r="AI199" s="30">
        <v>51840</v>
      </c>
      <c r="AJ199" s="30">
        <v>54370</v>
      </c>
      <c r="AK199" s="30">
        <v>53860</v>
      </c>
      <c r="AL199" s="30">
        <v>51910</v>
      </c>
      <c r="AM199" s="30">
        <v>45770</v>
      </c>
      <c r="AN199" s="30">
        <v>46450</v>
      </c>
      <c r="AO199" s="30">
        <v>45460</v>
      </c>
      <c r="AP199" s="30">
        <v>41820</v>
      </c>
      <c r="AQ199" s="30">
        <v>37780</v>
      </c>
      <c r="AR199" s="30">
        <v>39660</v>
      </c>
      <c r="AS199" s="30">
        <v>38760</v>
      </c>
      <c r="AT199" s="30">
        <v>41020</v>
      </c>
      <c r="AU199" s="30">
        <v>41230</v>
      </c>
      <c r="AV199" s="30">
        <v>39340</v>
      </c>
      <c r="AW199" s="30">
        <v>37850</v>
      </c>
      <c r="AX199" s="30">
        <v>38930</v>
      </c>
      <c r="AY199" s="30">
        <v>38860</v>
      </c>
      <c r="AZ199" s="30">
        <v>41530</v>
      </c>
      <c r="BA199" s="30">
        <v>40290</v>
      </c>
      <c r="BB199" s="30">
        <v>37870</v>
      </c>
      <c r="BC199" s="30">
        <v>36720</v>
      </c>
      <c r="BD199" s="30">
        <v>34620</v>
      </c>
      <c r="BE199" s="30">
        <v>35550</v>
      </c>
      <c r="BF199" s="30">
        <v>38080</v>
      </c>
      <c r="BG199" s="30">
        <v>38030</v>
      </c>
      <c r="BH199" s="30">
        <v>40540</v>
      </c>
      <c r="BI199" s="30">
        <v>41400</v>
      </c>
      <c r="BJ199" s="30">
        <v>42700</v>
      </c>
      <c r="BK199" s="30">
        <v>43480</v>
      </c>
      <c r="BL199" s="30">
        <v>42760</v>
      </c>
      <c r="BM199" s="1">
        <v>44380</v>
      </c>
      <c r="BN199" s="1">
        <v>40500</v>
      </c>
      <c r="BO199" s="1">
        <v>42520</v>
      </c>
      <c r="BP199" s="1">
        <v>44060</v>
      </c>
      <c r="BQ199" s="1">
        <v>45000</v>
      </c>
      <c r="BR199" s="1">
        <v>44350</v>
      </c>
      <c r="BS199" s="1">
        <v>43100</v>
      </c>
      <c r="BT199" s="1">
        <v>44110</v>
      </c>
      <c r="BU199" s="1">
        <v>42340</v>
      </c>
      <c r="BV199" s="1">
        <v>40530</v>
      </c>
      <c r="BW199" s="1">
        <v>39950</v>
      </c>
      <c r="BX199" s="1">
        <v>40630</v>
      </c>
      <c r="BY199" s="1">
        <v>41210</v>
      </c>
      <c r="BZ199" s="1">
        <v>41630</v>
      </c>
    </row>
    <row r="200" spans="1:254" ht="15.9" customHeight="1">
      <c r="A200" s="65" t="s">
        <v>392</v>
      </c>
      <c r="B200" s="41" t="s">
        <v>393</v>
      </c>
      <c r="C200" s="45">
        <f>_xll.RssMarket("5801","安値")</f>
        <v>3436</v>
      </c>
      <c r="D200" s="16">
        <f t="shared" si="6"/>
        <v>0</v>
      </c>
      <c r="E200" s="30">
        <v>3436</v>
      </c>
      <c r="F200" s="30">
        <v>3781</v>
      </c>
      <c r="G200" s="30">
        <v>3205</v>
      </c>
      <c r="H200" s="30">
        <v>2929.5</v>
      </c>
      <c r="I200" s="30">
        <v>3095</v>
      </c>
      <c r="J200" s="30">
        <v>2678</v>
      </c>
      <c r="K200" s="30">
        <v>2646</v>
      </c>
      <c r="L200" s="30">
        <v>2928</v>
      </c>
      <c r="M200" s="30">
        <v>3170</v>
      </c>
      <c r="N200" s="30">
        <v>3340</v>
      </c>
      <c r="O200" s="30">
        <v>3460</v>
      </c>
      <c r="P200" s="30">
        <v>3518</v>
      </c>
      <c r="Q200" s="30">
        <v>3208</v>
      </c>
      <c r="R200" s="30">
        <v>3079</v>
      </c>
      <c r="S200" s="30">
        <v>3550</v>
      </c>
      <c r="T200" s="30">
        <v>3357</v>
      </c>
      <c r="U200" s="30">
        <v>3566</v>
      </c>
      <c r="V200" s="30">
        <v>3719</v>
      </c>
      <c r="W200" s="30">
        <v>3507</v>
      </c>
      <c r="X200" s="30">
        <v>3442</v>
      </c>
      <c r="Y200" s="30">
        <v>3656</v>
      </c>
      <c r="Z200" s="30">
        <v>3793</v>
      </c>
      <c r="AA200" s="30">
        <v>3711</v>
      </c>
      <c r="AB200" s="30">
        <v>3925</v>
      </c>
      <c r="AC200" s="30">
        <v>4218</v>
      </c>
      <c r="AD200" s="30">
        <v>4589</v>
      </c>
      <c r="AE200" s="30">
        <v>4254</v>
      </c>
      <c r="AF200" s="30">
        <v>4462</v>
      </c>
      <c r="AG200" s="30">
        <v>4798</v>
      </c>
      <c r="AH200" s="30">
        <v>4600</v>
      </c>
      <c r="AI200" s="30">
        <v>4848</v>
      </c>
      <c r="AJ200" s="30">
        <v>5428</v>
      </c>
      <c r="AK200" s="30">
        <v>5276</v>
      </c>
      <c r="AL200" s="30">
        <v>4629</v>
      </c>
      <c r="AM200" s="30">
        <v>4490</v>
      </c>
      <c r="AN200" s="30">
        <v>4358</v>
      </c>
      <c r="AO200" s="30">
        <v>4397</v>
      </c>
      <c r="AP200" s="30">
        <v>4087</v>
      </c>
      <c r="AQ200" s="30">
        <v>3808</v>
      </c>
      <c r="AR200" s="30">
        <v>4022</v>
      </c>
      <c r="AS200" s="30">
        <v>4360</v>
      </c>
      <c r="AT200" s="30">
        <v>4812</v>
      </c>
      <c r="AU200" s="30">
        <v>5005</v>
      </c>
      <c r="AV200" s="30">
        <v>5272</v>
      </c>
      <c r="AW200" s="30">
        <v>4802</v>
      </c>
      <c r="AX200" s="30">
        <v>4915</v>
      </c>
      <c r="AY200" s="30">
        <v>5065</v>
      </c>
      <c r="AZ200" s="30">
        <v>5557</v>
      </c>
      <c r="BA200" s="30">
        <v>5592</v>
      </c>
      <c r="BB200" s="30">
        <v>5101</v>
      </c>
      <c r="BC200" s="30">
        <v>4913</v>
      </c>
      <c r="BD200" s="30">
        <v>4650</v>
      </c>
      <c r="BE200" s="30">
        <v>4960</v>
      </c>
      <c r="BF200" s="30">
        <v>5374</v>
      </c>
      <c r="BG200" s="30">
        <v>5333</v>
      </c>
      <c r="BH200" s="30">
        <v>5625</v>
      </c>
      <c r="BI200" s="30">
        <v>5105</v>
      </c>
      <c r="BJ200" s="30">
        <v>4366</v>
      </c>
      <c r="BK200" s="30">
        <v>4343</v>
      </c>
      <c r="BL200" s="30">
        <v>4373</v>
      </c>
      <c r="BM200" s="1">
        <v>4459</v>
      </c>
      <c r="BN200" s="1">
        <v>4119</v>
      </c>
      <c r="BO200" s="1">
        <v>4158</v>
      </c>
      <c r="BP200" s="1">
        <v>4113</v>
      </c>
      <c r="BQ200" s="1">
        <v>4209</v>
      </c>
      <c r="BR200" s="1">
        <v>4253</v>
      </c>
      <c r="BS200" s="1">
        <v>4153</v>
      </c>
      <c r="BT200" s="1">
        <v>4309</v>
      </c>
      <c r="BU200" s="1">
        <v>4360</v>
      </c>
      <c r="BV200" s="1">
        <v>4307</v>
      </c>
      <c r="BW200" s="1">
        <v>4433</v>
      </c>
      <c r="BX200" s="1">
        <v>4350</v>
      </c>
      <c r="BY200" s="1">
        <v>4424</v>
      </c>
      <c r="BZ200" s="1">
        <v>4618</v>
      </c>
    </row>
    <row r="201" spans="1:254" ht="15.9" customHeight="1">
      <c r="A201" s="65" t="s">
        <v>394</v>
      </c>
      <c r="B201" s="41" t="s">
        <v>395</v>
      </c>
      <c r="C201" s="45">
        <f>_xll.RssMarket("6506","安値")</f>
        <v>5161</v>
      </c>
      <c r="D201" s="16">
        <f t="shared" si="6"/>
        <v>0</v>
      </c>
      <c r="E201" s="30">
        <v>5161</v>
      </c>
      <c r="F201" s="30">
        <v>5211</v>
      </c>
      <c r="G201" s="30">
        <v>4942</v>
      </c>
      <c r="H201" s="30">
        <v>4726</v>
      </c>
      <c r="I201" s="30">
        <v>4744</v>
      </c>
      <c r="J201" s="30">
        <v>4507</v>
      </c>
      <c r="K201" s="30">
        <v>4465</v>
      </c>
      <c r="L201" s="30">
        <v>4732</v>
      </c>
      <c r="M201" s="30">
        <v>5171</v>
      </c>
      <c r="N201" s="30">
        <v>5078</v>
      </c>
      <c r="O201" s="30">
        <v>5289</v>
      </c>
      <c r="P201" s="30">
        <v>5152</v>
      </c>
      <c r="Q201" s="30">
        <v>4926</v>
      </c>
      <c r="R201" s="30">
        <v>4900</v>
      </c>
      <c r="S201" s="30">
        <v>5288</v>
      </c>
      <c r="T201" s="30">
        <v>5205</v>
      </c>
      <c r="U201" s="30">
        <v>5972</v>
      </c>
      <c r="V201" s="30">
        <v>6900</v>
      </c>
      <c r="W201" s="30">
        <v>6741</v>
      </c>
      <c r="X201" s="30">
        <v>6550</v>
      </c>
      <c r="Y201" s="30">
        <v>6900</v>
      </c>
      <c r="Z201" s="30">
        <v>7309</v>
      </c>
      <c r="AA201" s="30">
        <v>6711</v>
      </c>
      <c r="AB201" s="30">
        <v>6820</v>
      </c>
      <c r="AC201" s="30">
        <v>7158</v>
      </c>
      <c r="AD201" s="30">
        <v>6871</v>
      </c>
      <c r="AE201" s="30">
        <v>6560</v>
      </c>
      <c r="AF201" s="30">
        <v>6710</v>
      </c>
      <c r="AG201" s="30">
        <v>7103</v>
      </c>
      <c r="AH201" s="30">
        <v>6905</v>
      </c>
      <c r="AI201" s="30">
        <v>7140</v>
      </c>
      <c r="AJ201" s="30">
        <v>7295</v>
      </c>
      <c r="AK201" s="30">
        <v>7044</v>
      </c>
      <c r="AL201" s="30">
        <v>7116</v>
      </c>
      <c r="AM201" s="30">
        <v>6718</v>
      </c>
      <c r="AN201" s="30">
        <v>6655</v>
      </c>
      <c r="AO201" s="30">
        <v>6483</v>
      </c>
      <c r="AP201" s="30">
        <v>6281</v>
      </c>
      <c r="AQ201" s="30">
        <v>5598</v>
      </c>
      <c r="AR201" s="30">
        <v>5880</v>
      </c>
      <c r="AS201" s="30">
        <v>6234</v>
      </c>
      <c r="AT201" s="30">
        <v>6658</v>
      </c>
      <c r="AU201" s="30">
        <v>6788</v>
      </c>
      <c r="AV201" s="30">
        <v>6888</v>
      </c>
      <c r="AW201" s="30">
        <v>6484</v>
      </c>
      <c r="AX201" s="30">
        <v>7049</v>
      </c>
      <c r="AY201" s="30">
        <v>6860</v>
      </c>
      <c r="AZ201" s="30">
        <v>7085</v>
      </c>
      <c r="BA201" s="30">
        <v>7316</v>
      </c>
      <c r="BB201" s="30">
        <v>6740</v>
      </c>
      <c r="BC201" s="30">
        <v>6229</v>
      </c>
      <c r="BD201" s="30">
        <v>6025</v>
      </c>
      <c r="BE201" s="30">
        <v>6309</v>
      </c>
      <c r="BF201" s="30">
        <v>6643</v>
      </c>
      <c r="BG201" s="30">
        <v>6895</v>
      </c>
      <c r="BH201" s="30">
        <v>6977</v>
      </c>
      <c r="BI201" s="30">
        <v>6712</v>
      </c>
      <c r="BJ201" s="30">
        <v>6686</v>
      </c>
      <c r="BK201" s="30">
        <v>6240</v>
      </c>
      <c r="BL201" s="30">
        <v>5951</v>
      </c>
      <c r="BM201" s="1">
        <v>5868</v>
      </c>
      <c r="BN201" s="1">
        <v>5450</v>
      </c>
      <c r="BO201" s="1">
        <v>5436</v>
      </c>
      <c r="BP201" s="1">
        <v>5335</v>
      </c>
      <c r="BQ201" s="1">
        <v>5192</v>
      </c>
      <c r="BR201" s="1">
        <v>5106</v>
      </c>
      <c r="BS201" s="1">
        <v>5121</v>
      </c>
      <c r="BT201" s="1">
        <v>5304</v>
      </c>
      <c r="BU201" s="1">
        <v>5411</v>
      </c>
      <c r="BV201" s="1">
        <v>5356</v>
      </c>
      <c r="BW201" s="1">
        <v>5087</v>
      </c>
      <c r="BX201" s="1">
        <v>5201</v>
      </c>
      <c r="BY201" s="1">
        <v>5194</v>
      </c>
      <c r="BZ201" s="1">
        <v>5136</v>
      </c>
    </row>
    <row r="202" spans="1:254" ht="15.9" customHeight="1">
      <c r="A202" s="65" t="s">
        <v>396</v>
      </c>
      <c r="B202" s="41" t="s">
        <v>397</v>
      </c>
      <c r="C202" s="45">
        <f>_xll.RssMarket("2768","安値")</f>
        <v>5362</v>
      </c>
      <c r="D202" s="16">
        <f t="shared" si="6"/>
        <v>0</v>
      </c>
      <c r="E202" s="30">
        <v>5362</v>
      </c>
      <c r="F202" s="30">
        <v>5217</v>
      </c>
      <c r="G202" s="30">
        <v>5141</v>
      </c>
      <c r="H202" s="30">
        <v>5087</v>
      </c>
      <c r="I202" s="30">
        <v>5267</v>
      </c>
      <c r="J202" s="30">
        <v>5279</v>
      </c>
      <c r="K202" s="30">
        <v>5243</v>
      </c>
      <c r="L202" s="30">
        <v>5304</v>
      </c>
      <c r="M202" s="30">
        <v>5387</v>
      </c>
      <c r="N202" s="30">
        <v>5372</v>
      </c>
      <c r="O202" s="30">
        <v>5386</v>
      </c>
      <c r="P202" s="30">
        <v>5301</v>
      </c>
      <c r="Q202" s="30">
        <v>5103</v>
      </c>
      <c r="R202" s="30">
        <v>4996</v>
      </c>
      <c r="S202" s="30">
        <v>5140</v>
      </c>
      <c r="T202" s="30">
        <v>5039</v>
      </c>
      <c r="U202" s="30">
        <v>5021</v>
      </c>
      <c r="V202" s="30">
        <v>5085</v>
      </c>
      <c r="W202" s="30">
        <v>5118</v>
      </c>
      <c r="X202" s="30">
        <v>5199</v>
      </c>
      <c r="Y202" s="30">
        <v>5236</v>
      </c>
      <c r="Z202" s="30">
        <v>5250</v>
      </c>
      <c r="AA202" s="30">
        <v>5226</v>
      </c>
      <c r="AB202" s="30">
        <v>5193</v>
      </c>
      <c r="AC202" s="30">
        <v>5118</v>
      </c>
      <c r="AD202" s="30">
        <v>5141</v>
      </c>
      <c r="AE202" s="30">
        <v>5186</v>
      </c>
      <c r="AF202" s="30">
        <v>5234</v>
      </c>
      <c r="AG202" s="30">
        <v>5191</v>
      </c>
      <c r="AH202" s="30">
        <v>5149</v>
      </c>
      <c r="AI202" s="30">
        <v>5187</v>
      </c>
      <c r="AJ202" s="30">
        <v>5226</v>
      </c>
      <c r="AK202" s="30">
        <v>5278</v>
      </c>
      <c r="AL202" s="30">
        <v>5285</v>
      </c>
      <c r="AM202" s="30">
        <v>5239</v>
      </c>
      <c r="AN202" s="30">
        <v>5250</v>
      </c>
      <c r="AO202" s="30">
        <v>5223</v>
      </c>
      <c r="AP202" s="30">
        <v>5011</v>
      </c>
      <c r="AQ202" s="30">
        <v>4944</v>
      </c>
      <c r="AR202" s="30">
        <v>5040</v>
      </c>
      <c r="AS202" s="30">
        <v>5040</v>
      </c>
      <c r="AT202" s="30">
        <v>5165</v>
      </c>
      <c r="AU202" s="30">
        <v>5125</v>
      </c>
      <c r="AV202" s="30">
        <v>5095</v>
      </c>
      <c r="AW202" s="30">
        <v>5015</v>
      </c>
      <c r="AX202" s="30">
        <v>5391</v>
      </c>
      <c r="AY202" s="30">
        <v>5372</v>
      </c>
      <c r="AZ202" s="30">
        <v>5500</v>
      </c>
      <c r="BA202" s="30">
        <v>5508</v>
      </c>
      <c r="BB202" s="30">
        <v>5462</v>
      </c>
      <c r="BC202" s="30">
        <v>5541</v>
      </c>
      <c r="BD202" s="30">
        <v>5512</v>
      </c>
      <c r="BE202" s="30">
        <v>5655</v>
      </c>
      <c r="BF202" s="30">
        <v>5693</v>
      </c>
      <c r="BG202" s="30">
        <v>5837</v>
      </c>
      <c r="BH202" s="30">
        <v>5794</v>
      </c>
      <c r="BI202" s="30">
        <v>5845</v>
      </c>
      <c r="BJ202" s="30">
        <v>5745</v>
      </c>
      <c r="BK202" s="30">
        <v>5628</v>
      </c>
      <c r="BL202" s="30">
        <v>5636</v>
      </c>
      <c r="BM202" s="1">
        <v>5909</v>
      </c>
      <c r="BN202" s="1">
        <v>5790</v>
      </c>
      <c r="BO202" s="1">
        <v>5845</v>
      </c>
      <c r="BP202" s="1">
        <v>5853</v>
      </c>
      <c r="BQ202" s="1">
        <v>5746</v>
      </c>
      <c r="BR202" s="1">
        <v>5870</v>
      </c>
      <c r="BS202" s="1">
        <v>5794</v>
      </c>
      <c r="BT202" s="1">
        <v>5874</v>
      </c>
      <c r="BU202" s="1">
        <v>6051</v>
      </c>
      <c r="BV202" s="1">
        <v>6013</v>
      </c>
      <c r="BW202" s="1">
        <v>6077</v>
      </c>
      <c r="BX202" s="1">
        <v>6145</v>
      </c>
      <c r="BY202" s="1">
        <v>6118</v>
      </c>
      <c r="BZ202" s="1">
        <v>6235</v>
      </c>
    </row>
    <row r="203" spans="1:254" ht="15.9" customHeight="1">
      <c r="A203" s="65" t="s">
        <v>398</v>
      </c>
      <c r="B203" s="41" t="s">
        <v>399</v>
      </c>
      <c r="C203" s="45">
        <f>_xll.RssMarket("6305","安値")</f>
        <v>5406</v>
      </c>
      <c r="D203" s="16">
        <f t="shared" si="6"/>
        <v>0</v>
      </c>
      <c r="E203" s="30">
        <v>5406</v>
      </c>
      <c r="F203" s="30">
        <v>5312</v>
      </c>
      <c r="G203" s="30">
        <v>5243</v>
      </c>
      <c r="H203" s="30">
        <v>5209</v>
      </c>
      <c r="I203" s="30">
        <v>5233</v>
      </c>
      <c r="J203" s="30">
        <v>5543</v>
      </c>
      <c r="K203" s="30">
        <v>5333</v>
      </c>
      <c r="L203" s="30">
        <v>5400</v>
      </c>
      <c r="M203" s="30">
        <v>5399</v>
      </c>
      <c r="N203" s="30">
        <v>5322</v>
      </c>
      <c r="O203" s="30">
        <v>5269</v>
      </c>
      <c r="P203" s="30">
        <v>5269</v>
      </c>
      <c r="Q203" s="30">
        <v>5080</v>
      </c>
      <c r="R203" s="30">
        <v>5042</v>
      </c>
      <c r="S203" s="30">
        <v>5189</v>
      </c>
      <c r="T203" s="30">
        <v>5171</v>
      </c>
      <c r="U203" s="30">
        <v>5136</v>
      </c>
      <c r="V203" s="30">
        <v>5217</v>
      </c>
      <c r="W203" s="30">
        <v>5228</v>
      </c>
      <c r="X203" s="30">
        <v>5284</v>
      </c>
      <c r="Y203" s="30">
        <v>5353</v>
      </c>
      <c r="Z203" s="30">
        <v>5384</v>
      </c>
      <c r="AA203" s="30">
        <v>5207</v>
      </c>
      <c r="AB203" s="30">
        <v>5133</v>
      </c>
      <c r="AC203" s="30">
        <v>5193</v>
      </c>
      <c r="AD203" s="30">
        <v>5218</v>
      </c>
      <c r="AE203" s="30">
        <v>5212</v>
      </c>
      <c r="AF203" s="30">
        <v>5273</v>
      </c>
      <c r="AG203" s="30">
        <v>5280</v>
      </c>
      <c r="AH203" s="30">
        <v>5249</v>
      </c>
      <c r="AI203" s="30">
        <v>5330</v>
      </c>
      <c r="AJ203" s="30">
        <v>5307</v>
      </c>
      <c r="AK203" s="30">
        <v>5380</v>
      </c>
      <c r="AL203" s="30">
        <v>5353</v>
      </c>
      <c r="AM203" s="30">
        <v>5306</v>
      </c>
      <c r="AN203" s="30">
        <v>5395</v>
      </c>
      <c r="AO203" s="30">
        <v>5414</v>
      </c>
      <c r="AP203" s="30">
        <v>5191</v>
      </c>
      <c r="AQ203" s="30">
        <v>5034</v>
      </c>
      <c r="AR203" s="30">
        <v>5196</v>
      </c>
      <c r="AS203" s="30">
        <v>5177</v>
      </c>
      <c r="AT203" s="30">
        <v>5340</v>
      </c>
      <c r="AU203" s="30">
        <v>5273</v>
      </c>
      <c r="AV203" s="30">
        <v>5139</v>
      </c>
      <c r="AW203" s="30">
        <v>4890</v>
      </c>
      <c r="AX203" s="30">
        <v>5142</v>
      </c>
      <c r="AY203" s="30">
        <v>5109</v>
      </c>
      <c r="AZ203" s="30">
        <v>5172</v>
      </c>
      <c r="BA203" s="30">
        <v>4991</v>
      </c>
      <c r="BB203" s="30">
        <v>4960</v>
      </c>
      <c r="BC203" s="30">
        <v>4939</v>
      </c>
      <c r="BD203" s="30">
        <v>4882</v>
      </c>
      <c r="BE203" s="30">
        <v>5001</v>
      </c>
      <c r="BF203" s="30">
        <v>5052</v>
      </c>
      <c r="BG203" s="30">
        <v>5205</v>
      </c>
      <c r="BH203" s="30">
        <v>5298</v>
      </c>
      <c r="BI203" s="30">
        <v>5143</v>
      </c>
      <c r="BJ203" s="30">
        <v>5180</v>
      </c>
      <c r="BK203" s="30">
        <v>5607</v>
      </c>
      <c r="BL203" s="30">
        <v>5494</v>
      </c>
      <c r="BM203" s="1">
        <v>5407</v>
      </c>
      <c r="BN203" s="1">
        <v>5419</v>
      </c>
      <c r="BO203" s="1">
        <v>5422</v>
      </c>
      <c r="BP203" s="1">
        <v>5485</v>
      </c>
      <c r="BQ203" s="1">
        <v>5223</v>
      </c>
      <c r="BR203" s="1">
        <v>5398</v>
      </c>
      <c r="BS203" s="1">
        <v>5419</v>
      </c>
      <c r="BT203" s="1">
        <v>5361</v>
      </c>
      <c r="BU203" s="1">
        <v>5428</v>
      </c>
      <c r="BV203" s="1">
        <v>5420</v>
      </c>
      <c r="BW203" s="1">
        <v>5365</v>
      </c>
      <c r="BX203" s="1">
        <v>5522</v>
      </c>
      <c r="BY203" s="1">
        <v>5579</v>
      </c>
      <c r="BZ203" s="1">
        <v>5595</v>
      </c>
    </row>
    <row r="204" spans="1:254" ht="15.9" customHeight="1">
      <c r="A204" s="65" t="s">
        <v>400</v>
      </c>
      <c r="B204" s="41" t="s">
        <v>401</v>
      </c>
      <c r="C204" s="45">
        <f>_xll.RssMarket("8015","安値")</f>
        <v>7055</v>
      </c>
      <c r="D204" s="16">
        <f t="shared" si="6"/>
        <v>0</v>
      </c>
      <c r="E204" s="30">
        <v>7055</v>
      </c>
      <c r="F204" s="30">
        <v>6868</v>
      </c>
      <c r="G204" s="30">
        <v>6655</v>
      </c>
      <c r="H204" s="30">
        <v>6476</v>
      </c>
      <c r="I204" s="30">
        <v>6562</v>
      </c>
      <c r="J204" s="30">
        <v>6486</v>
      </c>
      <c r="K204" s="30">
        <v>6395</v>
      </c>
      <c r="L204" s="30">
        <v>6336</v>
      </c>
      <c r="M204" s="30">
        <v>6455</v>
      </c>
      <c r="N204" s="30">
        <v>6378</v>
      </c>
      <c r="O204" s="30">
        <v>6453</v>
      </c>
      <c r="P204" s="30">
        <v>6375</v>
      </c>
      <c r="Q204" s="30">
        <v>6159</v>
      </c>
      <c r="R204" s="30">
        <v>5939</v>
      </c>
      <c r="S204" s="30">
        <v>6070</v>
      </c>
      <c r="T204" s="30">
        <v>5965</v>
      </c>
      <c r="U204" s="30">
        <v>5963</v>
      </c>
      <c r="V204" s="30">
        <v>5988</v>
      </c>
      <c r="W204" s="30">
        <v>6044</v>
      </c>
      <c r="X204" s="30">
        <v>6142</v>
      </c>
      <c r="Y204" s="30">
        <v>6264</v>
      </c>
      <c r="Z204" s="30">
        <v>6169</v>
      </c>
      <c r="AA204" s="30">
        <v>6169</v>
      </c>
      <c r="AB204" s="30">
        <v>5972</v>
      </c>
      <c r="AC204" s="30">
        <v>5923</v>
      </c>
      <c r="AD204" s="30">
        <v>5922</v>
      </c>
      <c r="AE204" s="30">
        <v>5903</v>
      </c>
      <c r="AF204" s="30">
        <v>5952</v>
      </c>
      <c r="AG204" s="30">
        <v>6000</v>
      </c>
      <c r="AH204" s="30">
        <v>6037</v>
      </c>
      <c r="AI204" s="30">
        <v>6130</v>
      </c>
      <c r="AJ204" s="30">
        <v>6055</v>
      </c>
      <c r="AK204" s="30">
        <v>6053</v>
      </c>
      <c r="AL204" s="30">
        <v>6217</v>
      </c>
      <c r="AM204" s="30">
        <v>6295</v>
      </c>
      <c r="AN204" s="30">
        <v>6394</v>
      </c>
      <c r="AO204" s="30">
        <v>6410</v>
      </c>
      <c r="AP204" s="30">
        <v>6112</v>
      </c>
      <c r="AQ204" s="30">
        <v>5816</v>
      </c>
      <c r="AR204" s="30">
        <v>5984</v>
      </c>
      <c r="AS204" s="30">
        <v>6114</v>
      </c>
      <c r="AT204" s="30">
        <v>6388</v>
      </c>
      <c r="AU204" s="30">
        <v>6372</v>
      </c>
      <c r="AV204" s="30">
        <v>6431</v>
      </c>
      <c r="AW204" s="30">
        <v>6369</v>
      </c>
      <c r="AX204" s="30">
        <v>6683</v>
      </c>
      <c r="AY204" s="30">
        <v>6574</v>
      </c>
      <c r="AZ204" s="30">
        <v>6790</v>
      </c>
      <c r="BA204" s="30">
        <v>6852</v>
      </c>
      <c r="BB204" s="30">
        <v>6781</v>
      </c>
      <c r="BC204" s="30">
        <v>6770</v>
      </c>
      <c r="BD204" s="30">
        <v>6700</v>
      </c>
      <c r="BE204" s="30">
        <v>6917</v>
      </c>
      <c r="BF204" s="30">
        <v>6976</v>
      </c>
      <c r="BG204" s="30">
        <v>7351</v>
      </c>
      <c r="BH204" s="30">
        <v>7202</v>
      </c>
      <c r="BI204" s="30">
        <v>7130</v>
      </c>
      <c r="BJ204" s="30">
        <v>7057</v>
      </c>
      <c r="BK204" s="30">
        <v>6723</v>
      </c>
      <c r="BL204" s="30">
        <v>6699</v>
      </c>
      <c r="BM204" s="1">
        <v>6691</v>
      </c>
      <c r="BN204" s="1">
        <v>6329</v>
      </c>
      <c r="BO204" s="1">
        <v>5921</v>
      </c>
      <c r="BP204" s="1">
        <v>6310</v>
      </c>
      <c r="BQ204" s="1">
        <v>5998</v>
      </c>
      <c r="BR204" s="1">
        <v>6044</v>
      </c>
      <c r="BS204" s="1">
        <v>6060</v>
      </c>
      <c r="BT204" s="1">
        <v>6049</v>
      </c>
      <c r="BU204" s="1">
        <v>6278</v>
      </c>
      <c r="BV204" s="1">
        <v>6275</v>
      </c>
      <c r="BW204" s="1">
        <v>6202</v>
      </c>
      <c r="BX204" s="1">
        <v>6274</v>
      </c>
      <c r="BY204" s="1">
        <v>6218</v>
      </c>
      <c r="BZ204" s="1">
        <v>6376</v>
      </c>
    </row>
    <row r="205" spans="1:254">
      <c r="A205" s="62" t="s">
        <v>402</v>
      </c>
      <c r="B205" s="1" t="s">
        <v>403</v>
      </c>
      <c r="C205" s="54">
        <f>_xll.RssMarket("6758","安値")</f>
        <v>3594</v>
      </c>
      <c r="D205" s="16">
        <f t="shared" si="6"/>
        <v>0</v>
      </c>
      <c r="E205" s="2">
        <v>3594</v>
      </c>
      <c r="F205" s="2">
        <v>3515</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c r="A206" s="62" t="s">
        <v>404</v>
      </c>
      <c r="B206" s="1" t="s">
        <v>405</v>
      </c>
      <c r="C206" s="54">
        <f>_xll.RssMarket("9101","安値")</f>
        <v>5735</v>
      </c>
      <c r="D206" s="16">
        <f t="shared" si="6"/>
        <v>0</v>
      </c>
      <c r="E206" s="2">
        <v>5735</v>
      </c>
      <c r="F206" s="2">
        <v>5737</v>
      </c>
      <c r="G206" s="2">
        <v>5933</v>
      </c>
      <c r="H206" s="2">
        <v>5903</v>
      </c>
      <c r="I206" s="2">
        <v>6020</v>
      </c>
      <c r="J206" s="2">
        <v>6025</v>
      </c>
      <c r="K206" s="2">
        <v>6024</v>
      </c>
      <c r="L206" s="2">
        <v>5934</v>
      </c>
      <c r="M206" s="2">
        <v>6004</v>
      </c>
      <c r="N206" s="2">
        <v>5747</v>
      </c>
      <c r="O206" s="2">
        <v>5771</v>
      </c>
      <c r="P206" s="2">
        <v>5740</v>
      </c>
      <c r="Q206" s="2">
        <v>5668</v>
      </c>
      <c r="R206" s="2">
        <v>5591</v>
      </c>
      <c r="S206" s="2">
        <v>5480</v>
      </c>
      <c r="T206" s="2">
        <v>5356</v>
      </c>
      <c r="U206" s="2">
        <v>5296</v>
      </c>
      <c r="V206" s="2">
        <v>5271</v>
      </c>
      <c r="W206" s="2">
        <v>5362</v>
      </c>
      <c r="X206" s="2">
        <v>5300</v>
      </c>
      <c r="Y206" s="2">
        <v>5070</v>
      </c>
      <c r="Z206" s="2">
        <v>5194</v>
      </c>
      <c r="AA206" s="2">
        <v>5211</v>
      </c>
      <c r="AB206" s="2">
        <v>5086</v>
      </c>
      <c r="AC206" s="2">
        <v>5062</v>
      </c>
      <c r="AD206" s="2">
        <v>5181</v>
      </c>
      <c r="AE206" s="2">
        <v>5174</v>
      </c>
      <c r="AF206" s="2">
        <v>5178</v>
      </c>
      <c r="AG206" s="2">
        <v>5252</v>
      </c>
      <c r="AH206" s="2">
        <v>5299</v>
      </c>
      <c r="AI206" s="2">
        <v>5212</v>
      </c>
      <c r="AJ206" s="2">
        <v>5093</v>
      </c>
      <c r="AK206" s="2">
        <v>5144</v>
      </c>
      <c r="AL206" s="2">
        <v>5210</v>
      </c>
      <c r="AM206" s="2">
        <v>5281</v>
      </c>
      <c r="AN206" s="2">
        <v>5427</v>
      </c>
      <c r="AO206" s="2">
        <v>5466</v>
      </c>
      <c r="AP206" s="2">
        <v>5588</v>
      </c>
      <c r="AQ206" s="2">
        <v>5556</v>
      </c>
      <c r="AR206" s="2">
        <v>5520</v>
      </c>
      <c r="AS206" s="2">
        <v>5536</v>
      </c>
      <c r="AT206" s="2">
        <v>5590</v>
      </c>
      <c r="AU206" s="2">
        <v>5388</v>
      </c>
      <c r="AV206" s="2">
        <v>5250</v>
      </c>
      <c r="AW206" s="2">
        <v>5208</v>
      </c>
      <c r="AX206" s="2">
        <v>5277</v>
      </c>
      <c r="AY206" s="2">
        <v>5252</v>
      </c>
      <c r="AZ206" s="2">
        <v>5190</v>
      </c>
      <c r="BA206" s="2">
        <v>5317</v>
      </c>
      <c r="BB206" s="2">
        <v>5362</v>
      </c>
      <c r="BC206" s="2">
        <v>5497</v>
      </c>
      <c r="BD206" s="2">
        <v>5483</v>
      </c>
      <c r="BE206" s="2">
        <v>5485</v>
      </c>
      <c r="BF206" s="2">
        <v>5503</v>
      </c>
      <c r="BG206" s="2">
        <v>5356</v>
      </c>
      <c r="BH206" s="2">
        <v>5310</v>
      </c>
      <c r="BI206" s="2">
        <v>5262</v>
      </c>
      <c r="BJ206" s="2">
        <v>5301</v>
      </c>
      <c r="BK206" s="2">
        <v>5381</v>
      </c>
      <c r="BL206" s="2">
        <v>5478</v>
      </c>
      <c r="BM206" s="1">
        <v>5474</v>
      </c>
      <c r="BN206" s="1">
        <v>5541</v>
      </c>
      <c r="BO206" s="1">
        <v>5552</v>
      </c>
      <c r="BP206" s="1">
        <v>5590</v>
      </c>
      <c r="BQ206" s="1">
        <v>5580</v>
      </c>
      <c r="BR206" s="1">
        <v>5825</v>
      </c>
      <c r="BS206" s="1">
        <v>5740</v>
      </c>
      <c r="BT206" s="1">
        <v>5808</v>
      </c>
      <c r="BU206" s="1">
        <v>5850</v>
      </c>
      <c r="BV206" s="1">
        <v>5870</v>
      </c>
      <c r="BW206" s="1">
        <v>6052</v>
      </c>
      <c r="BX206" s="1">
        <v>5989</v>
      </c>
      <c r="BY206" s="1">
        <v>6013</v>
      </c>
      <c r="BZ206" s="1">
        <v>6045</v>
      </c>
    </row>
    <row r="207" spans="1:254">
      <c r="A207" s="62" t="s">
        <v>406</v>
      </c>
      <c r="B207" s="1" t="s">
        <v>407</v>
      </c>
      <c r="C207" s="54">
        <f>_xll.RssMarket("7011","安値")</f>
        <v>3976</v>
      </c>
      <c r="D207" s="16">
        <f t="shared" si="6"/>
        <v>0</v>
      </c>
      <c r="E207" s="2">
        <v>3976</v>
      </c>
      <c r="F207" s="2">
        <v>3887</v>
      </c>
      <c r="G207" s="2">
        <v>3712</v>
      </c>
      <c r="H207" s="2">
        <v>3621</v>
      </c>
      <c r="I207" s="2">
        <v>3745</v>
      </c>
      <c r="J207" s="2">
        <v>3702</v>
      </c>
      <c r="K207" s="2">
        <v>3701</v>
      </c>
      <c r="L207" s="2">
        <v>3736</v>
      </c>
      <c r="M207" s="2">
        <v>3875</v>
      </c>
      <c r="N207" s="2">
        <v>3898</v>
      </c>
      <c r="O207" s="2">
        <v>3851</v>
      </c>
      <c r="P207" s="2">
        <v>3804</v>
      </c>
      <c r="Q207" s="2">
        <v>3717</v>
      </c>
      <c r="R207" s="2">
        <v>3626</v>
      </c>
      <c r="S207" s="2">
        <v>3716</v>
      </c>
      <c r="T207" s="2">
        <v>3718</v>
      </c>
      <c r="U207" s="2">
        <v>3693</v>
      </c>
      <c r="V207" s="2">
        <v>3783</v>
      </c>
      <c r="W207" s="2">
        <v>3785</v>
      </c>
      <c r="X207" s="2">
        <v>3821</v>
      </c>
      <c r="Y207" s="2">
        <v>3986</v>
      </c>
      <c r="Z207" s="2">
        <v>3839</v>
      </c>
      <c r="AA207" s="2">
        <v>3766</v>
      </c>
      <c r="AB207" s="2">
        <v>3752</v>
      </c>
      <c r="AC207" s="2">
        <v>3711</v>
      </c>
      <c r="AD207" s="2">
        <v>3606</v>
      </c>
      <c r="AE207" s="2">
        <v>3621</v>
      </c>
      <c r="AF207" s="2">
        <v>3536</v>
      </c>
      <c r="AG207" s="2">
        <v>3611</v>
      </c>
      <c r="AH207" s="2">
        <v>3716</v>
      </c>
      <c r="AI207" s="2">
        <v>3715</v>
      </c>
      <c r="AJ207" s="2">
        <v>3825</v>
      </c>
      <c r="AK207" s="2">
        <v>3830</v>
      </c>
      <c r="AL207" s="2">
        <v>3943</v>
      </c>
      <c r="AM207" s="2">
        <v>3796</v>
      </c>
      <c r="AN207" s="2">
        <v>3670</v>
      </c>
      <c r="AO207" s="2">
        <v>3591</v>
      </c>
      <c r="AP207" s="2">
        <v>3486</v>
      </c>
      <c r="AQ207" s="2">
        <v>3404</v>
      </c>
      <c r="AR207" s="2">
        <v>3548</v>
      </c>
      <c r="AS207" s="2">
        <v>3644</v>
      </c>
      <c r="AT207" s="2">
        <v>3688</v>
      </c>
      <c r="AU207" s="2">
        <v>3551</v>
      </c>
      <c r="AV207" s="2">
        <v>3481</v>
      </c>
      <c r="AW207" s="2">
        <v>3415</v>
      </c>
      <c r="AX207" s="2">
        <v>3744</v>
      </c>
      <c r="AY207" s="2">
        <v>3766</v>
      </c>
      <c r="AZ207" s="2">
        <v>3863</v>
      </c>
      <c r="BA207" s="2">
        <v>3860</v>
      </c>
      <c r="BB207" s="2">
        <v>3905</v>
      </c>
      <c r="BC207" s="2">
        <v>3885</v>
      </c>
      <c r="BD207" s="2">
        <v>3940</v>
      </c>
      <c r="BE207" s="2">
        <v>4080</v>
      </c>
      <c r="BF207" s="2">
        <v>4060</v>
      </c>
      <c r="BG207" s="2">
        <v>4027</v>
      </c>
      <c r="BH207" s="2">
        <v>4096</v>
      </c>
      <c r="BI207" s="2">
        <v>4271</v>
      </c>
      <c r="BJ207" s="2">
        <v>4084</v>
      </c>
      <c r="BK207" s="2">
        <v>4326</v>
      </c>
      <c r="BL207" s="2">
        <v>4451</v>
      </c>
      <c r="BM207" s="1">
        <v>4483</v>
      </c>
      <c r="BN207" s="1">
        <v>4543</v>
      </c>
      <c r="BO207" s="1">
        <v>4519</v>
      </c>
      <c r="BP207" s="1">
        <v>4676</v>
      </c>
      <c r="BQ207" s="1">
        <v>4590</v>
      </c>
      <c r="BR207" s="1">
        <v>4704</v>
      </c>
      <c r="BS207" s="1">
        <v>4571</v>
      </c>
      <c r="BT207" s="1">
        <v>4362</v>
      </c>
      <c r="BU207" s="1">
        <v>4381</v>
      </c>
      <c r="BV207" s="1">
        <v>4504</v>
      </c>
      <c r="BW207" s="1">
        <v>4371</v>
      </c>
      <c r="BX207" s="1">
        <v>4496</v>
      </c>
      <c r="BY207" s="1">
        <v>4541</v>
      </c>
      <c r="BZ207" s="1">
        <v>4715</v>
      </c>
    </row>
    <row r="208" spans="1:254">
      <c r="A208" s="62" t="s">
        <v>408</v>
      </c>
      <c r="B208" s="1" t="s">
        <v>409</v>
      </c>
      <c r="C208" s="54">
        <f>_xll.RssMarket("1812","安値")</f>
        <v>5129</v>
      </c>
      <c r="D208" s="16">
        <f t="shared" si="6"/>
        <v>0</v>
      </c>
      <c r="E208" s="2">
        <v>5129</v>
      </c>
      <c r="F208" s="2">
        <v>5102</v>
      </c>
      <c r="G208" s="2">
        <v>5245</v>
      </c>
      <c r="H208" s="2">
        <v>5121</v>
      </c>
      <c r="I208" s="2">
        <v>5331</v>
      </c>
      <c r="J208" s="2">
        <v>5300</v>
      </c>
      <c r="K208" s="2">
        <v>5316</v>
      </c>
      <c r="L208" s="2">
        <v>5422</v>
      </c>
      <c r="M208" s="2">
        <v>5545</v>
      </c>
      <c r="N208" s="2">
        <v>5542</v>
      </c>
      <c r="O208" s="2">
        <v>5586</v>
      </c>
      <c r="P208" s="2">
        <v>5573</v>
      </c>
      <c r="Q208" s="2">
        <v>5438</v>
      </c>
      <c r="R208" s="2">
        <v>5389</v>
      </c>
      <c r="S208" s="2">
        <v>5600</v>
      </c>
      <c r="T208" s="2">
        <v>5504</v>
      </c>
      <c r="U208" s="2">
        <v>5540</v>
      </c>
      <c r="V208" s="2">
        <v>5747</v>
      </c>
      <c r="W208" s="2">
        <v>5715</v>
      </c>
      <c r="X208" s="2">
        <v>5840</v>
      </c>
      <c r="Y208" s="2">
        <v>6073</v>
      </c>
      <c r="Z208" s="2">
        <v>6158</v>
      </c>
      <c r="AA208" s="2">
        <v>6051</v>
      </c>
      <c r="AB208" s="2">
        <v>5831</v>
      </c>
      <c r="AC208" s="2">
        <v>5931</v>
      </c>
      <c r="AD208" s="2">
        <v>5766</v>
      </c>
      <c r="AE208" s="2">
        <v>5761</v>
      </c>
      <c r="AF208" s="2">
        <v>5636</v>
      </c>
      <c r="AG208" s="2">
        <v>5617</v>
      </c>
      <c r="AH208" s="2">
        <v>5651</v>
      </c>
      <c r="AI208" s="2">
        <v>5725</v>
      </c>
      <c r="AJ208" s="2">
        <v>5857</v>
      </c>
      <c r="AK208" s="2">
        <v>5903</v>
      </c>
      <c r="AL208" s="2">
        <v>5910</v>
      </c>
      <c r="AM208" s="2">
        <v>5871</v>
      </c>
      <c r="AN208" s="2">
        <v>5890</v>
      </c>
      <c r="AO208" s="2">
        <v>5778</v>
      </c>
      <c r="AP208" s="2">
        <v>5515</v>
      </c>
      <c r="AQ208" s="2">
        <v>5363</v>
      </c>
      <c r="AR208" s="2">
        <v>5480</v>
      </c>
      <c r="AS208" s="2">
        <v>5296</v>
      </c>
      <c r="AT208" s="2">
        <v>5425</v>
      </c>
      <c r="AU208" s="2">
        <v>5410</v>
      </c>
      <c r="AV208" s="2">
        <v>5470</v>
      </c>
      <c r="AW208" s="2">
        <v>5401</v>
      </c>
      <c r="AX208" s="2">
        <v>5745</v>
      </c>
      <c r="AY208" s="2">
        <v>5725</v>
      </c>
      <c r="AZ208" s="2">
        <v>5754</v>
      </c>
      <c r="BA208" s="2">
        <v>5546</v>
      </c>
      <c r="BB208" s="2">
        <v>5451</v>
      </c>
      <c r="BC208" s="2">
        <v>5562</v>
      </c>
      <c r="BD208" s="2">
        <v>5518</v>
      </c>
      <c r="BE208" s="2">
        <v>5685</v>
      </c>
      <c r="BF208" s="2">
        <v>5545</v>
      </c>
      <c r="BG208" s="2">
        <v>5812</v>
      </c>
      <c r="BH208" s="2">
        <v>6152</v>
      </c>
      <c r="BI208" s="2">
        <v>6327</v>
      </c>
      <c r="BJ208" s="2">
        <v>6185</v>
      </c>
      <c r="BK208" s="2">
        <v>6001</v>
      </c>
      <c r="BL208" s="2">
        <v>6030</v>
      </c>
      <c r="BM208" s="1">
        <v>6110</v>
      </c>
      <c r="BN208" s="1">
        <v>6061</v>
      </c>
      <c r="BO208" s="1">
        <v>6031</v>
      </c>
      <c r="BP208" s="1">
        <v>6037</v>
      </c>
      <c r="BQ208" s="1">
        <v>5793</v>
      </c>
      <c r="BR208" s="1">
        <v>5843</v>
      </c>
      <c r="BS208" s="1">
        <v>5821</v>
      </c>
      <c r="BT208" s="1">
        <v>5871</v>
      </c>
      <c r="BU208" s="1">
        <v>6015</v>
      </c>
      <c r="BV208" s="1">
        <v>5962</v>
      </c>
      <c r="BW208" s="1">
        <v>5891</v>
      </c>
      <c r="BX208" s="1">
        <v>6017</v>
      </c>
      <c r="BY208" s="1">
        <v>6104</v>
      </c>
      <c r="BZ208" s="1">
        <v>6130</v>
      </c>
    </row>
    <row r="209" spans="1:254">
      <c r="A209" s="62" t="s">
        <v>410</v>
      </c>
      <c r="B209" s="1" t="str">
        <f>銘柄管理!C209</f>
        <v>キーエンス</v>
      </c>
      <c r="C209" s="54">
        <f>_xll.RssMarket("6861","安値")</f>
        <v>85530</v>
      </c>
      <c r="D209" s="16"/>
      <c r="E209" s="2">
        <v>85530</v>
      </c>
      <c r="F209" s="2">
        <v>83630</v>
      </c>
      <c r="G209" s="2">
        <v>80950</v>
      </c>
      <c r="H209" s="2">
        <v>78910</v>
      </c>
      <c r="I209" s="2">
        <v>79720</v>
      </c>
      <c r="J209" s="2">
        <v>77780</v>
      </c>
      <c r="K209" s="2">
        <v>75920</v>
      </c>
      <c r="L209" s="2">
        <v>69950</v>
      </c>
      <c r="M209" s="2">
        <v>71690</v>
      </c>
      <c r="N209" s="2">
        <v>70800</v>
      </c>
      <c r="O209" s="2">
        <v>72000</v>
      </c>
      <c r="P209" s="2">
        <v>72020</v>
      </c>
      <c r="Q209" s="2">
        <v>70340</v>
      </c>
      <c r="R209" s="2">
        <v>68930</v>
      </c>
      <c r="S209" s="2">
        <v>75500</v>
      </c>
      <c r="T209" s="2">
        <v>74520</v>
      </c>
      <c r="U209" s="2">
        <v>74900</v>
      </c>
      <c r="V209" s="2">
        <v>75860</v>
      </c>
      <c r="W209" s="2">
        <v>75000</v>
      </c>
      <c r="X209" s="2">
        <v>74610</v>
      </c>
      <c r="Y209" s="2">
        <v>78180</v>
      </c>
      <c r="Z209" s="2">
        <v>79380</v>
      </c>
      <c r="AA209" s="2">
        <v>78130</v>
      </c>
      <c r="AB209" s="2">
        <v>79470</v>
      </c>
      <c r="AC209" s="2">
        <v>81000</v>
      </c>
      <c r="AD209" s="2">
        <v>79800</v>
      </c>
      <c r="AE209" s="2">
        <v>76510</v>
      </c>
      <c r="AF209" s="2">
        <v>76220</v>
      </c>
      <c r="AG209" s="2">
        <v>76500</v>
      </c>
      <c r="AH209" s="2">
        <v>75420</v>
      </c>
      <c r="AI209" s="2">
        <v>75460</v>
      </c>
      <c r="AJ209" s="2">
        <v>77000</v>
      </c>
      <c r="AK209" s="2">
        <v>75810</v>
      </c>
      <c r="AL209" s="2">
        <v>76420</v>
      </c>
      <c r="AM209" s="2">
        <v>73490</v>
      </c>
      <c r="AN209" s="2">
        <v>74810</v>
      </c>
      <c r="AO209" s="2">
        <v>74410</v>
      </c>
      <c r="AP209" s="2">
        <v>71700</v>
      </c>
      <c r="AQ209" s="2">
        <v>69000</v>
      </c>
      <c r="AR209" s="2">
        <v>72020</v>
      </c>
      <c r="AS209" s="2">
        <v>73000</v>
      </c>
      <c r="AT209" s="2">
        <v>77400</v>
      </c>
      <c r="AU209" s="2">
        <v>79020</v>
      </c>
      <c r="AV209" s="2">
        <v>78410</v>
      </c>
      <c r="AW209" s="2">
        <v>77510</v>
      </c>
      <c r="AX209" s="2">
        <v>79060</v>
      </c>
      <c r="AY209" s="2">
        <v>74270</v>
      </c>
      <c r="AZ209" s="2">
        <v>75390</v>
      </c>
      <c r="BA209" s="2">
        <v>77690</v>
      </c>
      <c r="BB209" s="2">
        <v>77880</v>
      </c>
      <c r="BC209" s="2">
        <v>75250</v>
      </c>
      <c r="BD209" s="2">
        <v>72310</v>
      </c>
      <c r="BE209" s="2">
        <v>74910</v>
      </c>
      <c r="BF209" s="2">
        <v>75540</v>
      </c>
      <c r="BG209" s="2">
        <v>76230</v>
      </c>
      <c r="BH209" s="2">
        <v>77310</v>
      </c>
      <c r="BI209" s="2">
        <v>78100</v>
      </c>
      <c r="BJ209" s="2">
        <v>78740</v>
      </c>
      <c r="BK209" s="2">
        <v>81670</v>
      </c>
      <c r="BL209" s="2">
        <v>81010</v>
      </c>
      <c r="BM209" s="1">
        <v>78960</v>
      </c>
      <c r="BN209" s="1">
        <v>72470</v>
      </c>
      <c r="BO209" s="1">
        <v>71070</v>
      </c>
      <c r="BP209" s="1">
        <v>72930</v>
      </c>
      <c r="BQ209" s="1">
        <v>72730</v>
      </c>
      <c r="BR209" s="1">
        <v>63000</v>
      </c>
      <c r="BS209" s="1">
        <v>63090</v>
      </c>
      <c r="BT209" s="1">
        <v>62820</v>
      </c>
      <c r="BU209" s="1">
        <v>63170</v>
      </c>
      <c r="BV209" s="1">
        <v>63000</v>
      </c>
      <c r="BW209" s="1">
        <v>62800</v>
      </c>
      <c r="BX209" s="1">
        <v>62530</v>
      </c>
      <c r="BY209" s="1">
        <v>61420</v>
      </c>
      <c r="BZ209" s="1">
        <v>62740</v>
      </c>
    </row>
    <row r="210" spans="1:254">
      <c r="A210" s="62" t="s">
        <v>411</v>
      </c>
      <c r="B210" s="1" t="s">
        <v>412</v>
      </c>
      <c r="C210" s="54">
        <f>_xll.RssMarket("6324","安値")</f>
        <v>6980</v>
      </c>
      <c r="D210" s="16">
        <f t="shared" ref="D210:D221" si="7">C210-E210</f>
        <v>0</v>
      </c>
      <c r="E210" s="2">
        <v>6980</v>
      </c>
      <c r="F210" s="2">
        <v>6940</v>
      </c>
      <c r="G210" s="2">
        <v>6460</v>
      </c>
      <c r="H210" s="2">
        <v>5850</v>
      </c>
      <c r="I210" s="2">
        <v>5880</v>
      </c>
      <c r="J210" s="2">
        <v>5270</v>
      </c>
      <c r="K210" s="2">
        <v>5260</v>
      </c>
      <c r="L210" s="2">
        <v>5660</v>
      </c>
      <c r="M210" s="2">
        <v>6360</v>
      </c>
      <c r="N210" s="2">
        <v>6490</v>
      </c>
      <c r="O210" s="2">
        <v>6850</v>
      </c>
      <c r="P210" s="2">
        <v>6730</v>
      </c>
      <c r="Q210" s="2">
        <v>6180</v>
      </c>
      <c r="R210" s="2">
        <v>6330</v>
      </c>
      <c r="S210" s="2">
        <v>7100</v>
      </c>
      <c r="T210" s="2">
        <v>6810</v>
      </c>
      <c r="U210" s="2">
        <v>6990</v>
      </c>
      <c r="V210" s="2">
        <v>7610</v>
      </c>
      <c r="W210" s="2">
        <v>7440</v>
      </c>
      <c r="X210" s="2">
        <v>7530</v>
      </c>
      <c r="Y210" s="2">
        <v>7890</v>
      </c>
      <c r="Z210" s="2">
        <v>8430</v>
      </c>
      <c r="AA210" s="2">
        <v>7470</v>
      </c>
      <c r="AB210" s="2">
        <v>7690</v>
      </c>
      <c r="AC210" s="2">
        <v>7680</v>
      </c>
      <c r="AD210" s="2">
        <v>7280</v>
      </c>
      <c r="AE210" s="2">
        <v>6650</v>
      </c>
      <c r="AF210" s="2">
        <v>7070</v>
      </c>
      <c r="AG210" s="2">
        <v>7720</v>
      </c>
      <c r="AH210" s="2">
        <v>7420</v>
      </c>
      <c r="AI210" s="2">
        <v>7650</v>
      </c>
      <c r="AJ210" s="2">
        <v>8170</v>
      </c>
      <c r="AK210" s="2">
        <v>7630</v>
      </c>
      <c r="AL210" s="2">
        <v>7770</v>
      </c>
      <c r="AM210" s="2">
        <v>7190</v>
      </c>
      <c r="AN210" s="2">
        <v>6730</v>
      </c>
      <c r="AO210" s="2">
        <v>6760</v>
      </c>
      <c r="AP210" s="2">
        <v>6520</v>
      </c>
      <c r="AQ210" s="2">
        <v>5770</v>
      </c>
      <c r="AR210" s="2">
        <v>6100</v>
      </c>
      <c r="AS210" s="2">
        <v>6420</v>
      </c>
      <c r="AT210" s="2">
        <v>6550</v>
      </c>
      <c r="AU210" s="2">
        <v>6830</v>
      </c>
      <c r="AV210" s="2">
        <v>7110</v>
      </c>
      <c r="AW210" s="2">
        <v>6890</v>
      </c>
      <c r="AX210" s="2">
        <v>7540</v>
      </c>
      <c r="AY210" s="2">
        <v>7320</v>
      </c>
      <c r="AZ210" s="2">
        <v>7730</v>
      </c>
      <c r="BA210" s="2">
        <v>7420</v>
      </c>
      <c r="BB210" s="2">
        <v>6640</v>
      </c>
      <c r="BC210" s="2">
        <v>6150</v>
      </c>
      <c r="BD210" s="2">
        <v>5800</v>
      </c>
      <c r="BE210" s="2">
        <v>5920</v>
      </c>
      <c r="BF210" s="2">
        <v>6640</v>
      </c>
      <c r="BG210" s="2">
        <v>6680</v>
      </c>
      <c r="BH210" s="2">
        <v>6430</v>
      </c>
      <c r="BI210" s="2">
        <v>6440</v>
      </c>
      <c r="BJ210" s="2">
        <v>6390</v>
      </c>
      <c r="BK210" s="2">
        <v>6300</v>
      </c>
      <c r="BL210" s="2">
        <v>5590</v>
      </c>
      <c r="BM210" s="1">
        <v>5420</v>
      </c>
      <c r="BN210" s="1">
        <v>5070</v>
      </c>
      <c r="BO210" s="1">
        <v>4745</v>
      </c>
      <c r="BP210" s="1">
        <v>4705</v>
      </c>
      <c r="BQ210" s="1">
        <v>4380</v>
      </c>
      <c r="BR210" s="1">
        <v>4190</v>
      </c>
      <c r="BS210" s="1">
        <v>4245</v>
      </c>
      <c r="BT210" s="1">
        <v>4315</v>
      </c>
      <c r="BU210" s="1">
        <v>4455</v>
      </c>
      <c r="BV210" s="1">
        <v>4470</v>
      </c>
      <c r="BW210" s="1">
        <v>4420</v>
      </c>
      <c r="BX210" s="1">
        <v>4520</v>
      </c>
      <c r="BY210" s="1">
        <v>4220</v>
      </c>
      <c r="BZ210" s="1">
        <v>4080</v>
      </c>
    </row>
    <row r="211" spans="1:254">
      <c r="A211" s="62" t="s">
        <v>413</v>
      </c>
      <c r="B211" s="1" t="s">
        <v>414</v>
      </c>
      <c r="C211" s="54">
        <f>_xll.RssMarket("6273","安値")</f>
        <v>74000</v>
      </c>
      <c r="D211" s="16">
        <f t="shared" si="7"/>
        <v>0</v>
      </c>
      <c r="E211" s="2">
        <v>74000</v>
      </c>
      <c r="F211" s="2">
        <v>74130</v>
      </c>
      <c r="G211" s="2">
        <v>71240</v>
      </c>
      <c r="H211" s="2">
        <v>67650</v>
      </c>
      <c r="I211" s="2">
        <v>68660</v>
      </c>
      <c r="J211" s="2">
        <v>63930</v>
      </c>
      <c r="K211" s="2">
        <v>62840</v>
      </c>
      <c r="L211" s="2">
        <v>65190</v>
      </c>
      <c r="M211" s="2">
        <v>70930</v>
      </c>
      <c r="N211" s="2">
        <v>70680</v>
      </c>
      <c r="O211" s="2">
        <v>71980</v>
      </c>
      <c r="P211" s="2">
        <v>71850</v>
      </c>
      <c r="Q211" s="2">
        <v>67930</v>
      </c>
      <c r="R211" s="2">
        <v>67250</v>
      </c>
      <c r="S211" s="2">
        <v>73140</v>
      </c>
      <c r="T211" s="2">
        <v>70160</v>
      </c>
      <c r="U211" s="2">
        <v>72630</v>
      </c>
      <c r="V211" s="2">
        <v>73270</v>
      </c>
      <c r="W211" s="2">
        <v>71010</v>
      </c>
      <c r="X211" s="2">
        <v>69460</v>
      </c>
      <c r="Y211" s="2">
        <v>72540</v>
      </c>
      <c r="Z211" s="2">
        <v>74940</v>
      </c>
      <c r="AA211" s="2">
        <v>71140</v>
      </c>
      <c r="AB211" s="2">
        <v>71860</v>
      </c>
      <c r="AC211" s="2">
        <v>72650</v>
      </c>
      <c r="AD211" s="2">
        <v>70760</v>
      </c>
      <c r="AE211" s="2">
        <v>69520</v>
      </c>
      <c r="AF211" s="2">
        <v>70270</v>
      </c>
      <c r="AG211" s="2">
        <v>70630</v>
      </c>
      <c r="AH211" s="2">
        <v>68440</v>
      </c>
      <c r="AI211" s="2">
        <v>71220</v>
      </c>
      <c r="AJ211" s="2">
        <v>72070</v>
      </c>
      <c r="AK211" s="2">
        <v>72600</v>
      </c>
      <c r="AL211" s="2">
        <v>72250</v>
      </c>
      <c r="AM211" s="2">
        <v>70450</v>
      </c>
      <c r="AN211" s="2">
        <v>68420</v>
      </c>
      <c r="AO211" s="2">
        <v>67650</v>
      </c>
      <c r="AP211" s="2">
        <v>65400</v>
      </c>
      <c r="AQ211" s="2">
        <v>58310</v>
      </c>
      <c r="AR211" s="2">
        <v>60060</v>
      </c>
      <c r="AS211" s="2">
        <v>61150</v>
      </c>
      <c r="AT211" s="2">
        <v>63690</v>
      </c>
      <c r="AU211" s="2">
        <v>64120</v>
      </c>
      <c r="AV211" s="2">
        <v>63890</v>
      </c>
      <c r="AW211" s="2">
        <v>63460</v>
      </c>
      <c r="AX211" s="2">
        <v>67550</v>
      </c>
      <c r="AY211" s="2">
        <v>65980</v>
      </c>
      <c r="AZ211" s="2">
        <v>66450</v>
      </c>
      <c r="BA211" s="2">
        <v>65030</v>
      </c>
      <c r="BB211" s="2">
        <v>64390</v>
      </c>
      <c r="BC211" s="2">
        <v>64090</v>
      </c>
      <c r="BD211" s="2">
        <v>63160</v>
      </c>
      <c r="BE211" s="2">
        <v>66660</v>
      </c>
      <c r="BF211" s="2">
        <v>65250</v>
      </c>
      <c r="BG211" s="2">
        <v>67550</v>
      </c>
      <c r="BH211" s="2">
        <v>79470</v>
      </c>
      <c r="BI211" s="2">
        <v>82120</v>
      </c>
      <c r="BJ211" s="2">
        <v>82710</v>
      </c>
      <c r="BK211" s="2">
        <v>80830</v>
      </c>
      <c r="BL211" s="2">
        <v>79340</v>
      </c>
      <c r="BM211" s="1">
        <v>77440</v>
      </c>
      <c r="BN211" s="1">
        <v>74920</v>
      </c>
      <c r="BO211" s="1">
        <v>75220</v>
      </c>
      <c r="BP211" s="1">
        <v>75660</v>
      </c>
      <c r="BQ211" s="1">
        <v>72100</v>
      </c>
      <c r="BR211" s="1">
        <v>68850</v>
      </c>
      <c r="BS211" s="1">
        <v>69400</v>
      </c>
      <c r="BT211" s="1">
        <v>70330</v>
      </c>
      <c r="BU211" s="1">
        <v>71300</v>
      </c>
      <c r="BV211" s="1">
        <v>70510</v>
      </c>
      <c r="BW211" s="1">
        <v>69890</v>
      </c>
      <c r="BX211" s="1">
        <v>71400</v>
      </c>
      <c r="BY211" s="1">
        <v>70950</v>
      </c>
      <c r="BZ211" s="1">
        <v>70840</v>
      </c>
    </row>
    <row r="212" spans="1:254">
      <c r="A212" s="62" t="s">
        <v>415</v>
      </c>
      <c r="B212" s="1" t="s">
        <v>416</v>
      </c>
      <c r="C212" s="54">
        <f>_xll.RssMarket("4502","安値")</f>
        <v>5332</v>
      </c>
      <c r="D212" s="16">
        <f t="shared" si="7"/>
        <v>0</v>
      </c>
      <c r="E212" s="2">
        <v>5332</v>
      </c>
      <c r="F212" s="2">
        <v>5225</v>
      </c>
      <c r="G212" s="2">
        <v>5275</v>
      </c>
      <c r="H212" s="2">
        <v>5293</v>
      </c>
      <c r="I212" s="2">
        <v>5438</v>
      </c>
      <c r="J212" s="2">
        <v>5657</v>
      </c>
      <c r="K212" s="2">
        <v>5753</v>
      </c>
      <c r="L212" s="2">
        <v>5681</v>
      </c>
      <c r="M212" s="2">
        <v>5645</v>
      </c>
      <c r="N212" s="2">
        <v>5521</v>
      </c>
      <c r="O212" s="2">
        <v>5467</v>
      </c>
      <c r="P212" s="2">
        <v>5471</v>
      </c>
      <c r="Q212" s="2">
        <v>5471</v>
      </c>
      <c r="R212" s="2">
        <v>5410</v>
      </c>
      <c r="S212" s="2">
        <v>5249</v>
      </c>
      <c r="T212" s="2">
        <v>5325</v>
      </c>
      <c r="U212" s="2">
        <v>5292</v>
      </c>
      <c r="V212" s="2">
        <v>5300</v>
      </c>
      <c r="W212" s="2">
        <v>5367</v>
      </c>
      <c r="X212" s="2">
        <v>5442</v>
      </c>
      <c r="Y212" s="2">
        <v>5404</v>
      </c>
      <c r="Z212" s="2">
        <v>5397</v>
      </c>
      <c r="AA212" s="2">
        <v>5355</v>
      </c>
      <c r="AB212" s="2">
        <v>5190</v>
      </c>
      <c r="AC212" s="2">
        <v>5112</v>
      </c>
      <c r="AD212" s="2">
        <v>5132</v>
      </c>
      <c r="AE212" s="2">
        <v>5100</v>
      </c>
      <c r="AF212" s="2">
        <v>5053</v>
      </c>
      <c r="AG212" s="2">
        <v>5032</v>
      </c>
      <c r="AH212" s="2">
        <v>5000</v>
      </c>
      <c r="AI212" s="2">
        <v>4944</v>
      </c>
      <c r="AJ212" s="2">
        <v>4897</v>
      </c>
      <c r="AK212" s="2">
        <v>4909</v>
      </c>
      <c r="AL212" s="2">
        <v>4950</v>
      </c>
      <c r="AM212" s="2">
        <v>4938</v>
      </c>
      <c r="AN212" s="2">
        <v>4954</v>
      </c>
      <c r="AO212" s="2">
        <v>5069</v>
      </c>
      <c r="AP212" s="2">
        <v>5031</v>
      </c>
      <c r="AQ212" s="2">
        <v>4998</v>
      </c>
      <c r="AR212" s="2">
        <v>5013</v>
      </c>
      <c r="AS212" s="2">
        <v>4896</v>
      </c>
      <c r="AT212" s="2">
        <v>4909</v>
      </c>
      <c r="AU212" s="2">
        <v>4766</v>
      </c>
      <c r="AV212" s="2">
        <v>4710</v>
      </c>
      <c r="AW212" s="2">
        <v>4784</v>
      </c>
      <c r="AX212" s="2">
        <v>5074</v>
      </c>
      <c r="AY212" s="2">
        <v>5113</v>
      </c>
      <c r="AZ212" s="2">
        <v>5056</v>
      </c>
      <c r="BA212" s="2">
        <v>5077</v>
      </c>
      <c r="BB212" s="2">
        <v>5109</v>
      </c>
      <c r="BC212" s="2">
        <v>5180</v>
      </c>
      <c r="BD212" s="2">
        <v>5187</v>
      </c>
      <c r="BE212" s="2">
        <v>5244</v>
      </c>
      <c r="BF212" s="2">
        <v>5221</v>
      </c>
      <c r="BG212" s="2">
        <v>5252</v>
      </c>
      <c r="BH212" s="2">
        <v>5039</v>
      </c>
      <c r="BI212" s="2">
        <v>5174</v>
      </c>
      <c r="BJ212" s="2">
        <v>5138</v>
      </c>
      <c r="BK212" s="2">
        <v>5151</v>
      </c>
      <c r="BL212" s="2">
        <v>5205</v>
      </c>
      <c r="BM212" s="1">
        <v>5195</v>
      </c>
      <c r="BN212" s="1">
        <v>5191</v>
      </c>
      <c r="BO212" s="1">
        <v>5170</v>
      </c>
      <c r="BP212" s="1">
        <v>5224</v>
      </c>
      <c r="BQ212" s="1">
        <v>5187</v>
      </c>
      <c r="BR212" s="1">
        <v>5306</v>
      </c>
      <c r="BS212" s="1">
        <v>5258</v>
      </c>
      <c r="BT212" s="1">
        <v>5316</v>
      </c>
      <c r="BU212" s="1">
        <v>5457</v>
      </c>
      <c r="BV212" s="1">
        <v>5545</v>
      </c>
      <c r="BW212" s="1">
        <v>5585</v>
      </c>
      <c r="BX212" s="1">
        <v>5639</v>
      </c>
      <c r="BY212" s="1">
        <v>5598</v>
      </c>
      <c r="BZ212" s="1">
        <v>5582</v>
      </c>
    </row>
    <row r="213" spans="1:254">
      <c r="A213" s="62" t="s">
        <v>417</v>
      </c>
      <c r="B213" s="1" t="s">
        <v>418</v>
      </c>
      <c r="C213" s="54">
        <f>_xll.RssMarket("4004","安値")</f>
        <v>15005</v>
      </c>
      <c r="D213" s="16">
        <f t="shared" si="7"/>
        <v>0</v>
      </c>
      <c r="E213" s="2">
        <v>15005</v>
      </c>
      <c r="F213" s="2">
        <v>15270</v>
      </c>
      <c r="G213" s="2">
        <v>13870</v>
      </c>
      <c r="H213" s="2">
        <v>13250</v>
      </c>
      <c r="I213" s="2">
        <v>13525</v>
      </c>
      <c r="J213" s="2">
        <v>11810</v>
      </c>
      <c r="K213" s="2">
        <v>11820</v>
      </c>
      <c r="L213" s="2">
        <v>12285</v>
      </c>
      <c r="M213" s="2">
        <v>13660</v>
      </c>
      <c r="N213" s="2">
        <v>14335</v>
      </c>
      <c r="O213" s="2">
        <v>15295</v>
      </c>
      <c r="P213" s="2">
        <v>15230</v>
      </c>
      <c r="Q213" s="2">
        <v>14070</v>
      </c>
      <c r="R213" s="2">
        <v>13410</v>
      </c>
      <c r="S213" s="2">
        <v>15595</v>
      </c>
      <c r="T213" s="2">
        <v>14880</v>
      </c>
      <c r="U213" s="2">
        <v>15120</v>
      </c>
      <c r="V213" s="2">
        <v>15925</v>
      </c>
      <c r="W213" s="2">
        <v>15575</v>
      </c>
      <c r="X213" s="2">
        <v>14780</v>
      </c>
      <c r="Y213" s="2">
        <v>15620</v>
      </c>
      <c r="Z213" s="2">
        <v>16340</v>
      </c>
      <c r="AA213" s="2">
        <v>16400</v>
      </c>
      <c r="AB213" s="2">
        <v>17460</v>
      </c>
      <c r="AC213" s="2">
        <v>17965</v>
      </c>
      <c r="AD213" s="2">
        <v>17280</v>
      </c>
      <c r="AE213" s="2">
        <v>16635</v>
      </c>
      <c r="AF213" s="2">
        <v>16675</v>
      </c>
      <c r="AG213" s="2">
        <v>17705</v>
      </c>
      <c r="AH213" s="2">
        <v>17400</v>
      </c>
      <c r="AI213" s="2">
        <v>18350</v>
      </c>
      <c r="AJ213" s="2">
        <v>18340</v>
      </c>
      <c r="AK213" s="2">
        <v>18380</v>
      </c>
      <c r="AL213" s="2">
        <v>18250</v>
      </c>
      <c r="AM213" s="2">
        <v>17630</v>
      </c>
      <c r="AN213" s="2">
        <v>18000</v>
      </c>
      <c r="AO213" s="2">
        <v>17780</v>
      </c>
      <c r="AP213" s="2">
        <v>16950</v>
      </c>
      <c r="AQ213" s="2">
        <v>14505</v>
      </c>
      <c r="AR213" s="2">
        <v>15170</v>
      </c>
      <c r="AS213" s="2">
        <v>15540</v>
      </c>
      <c r="AT213" s="2">
        <v>16765</v>
      </c>
      <c r="AU213" s="2">
        <v>17520</v>
      </c>
      <c r="AV213" s="2">
        <v>18660</v>
      </c>
      <c r="AW213" s="2">
        <v>16930</v>
      </c>
      <c r="AX213" s="2">
        <v>17840</v>
      </c>
      <c r="AY213" s="2">
        <v>17760</v>
      </c>
      <c r="AZ213" s="2">
        <v>18955</v>
      </c>
      <c r="BA213" s="2">
        <v>18510</v>
      </c>
      <c r="BB213" s="2">
        <v>17255</v>
      </c>
      <c r="BC213" s="2">
        <v>16160</v>
      </c>
      <c r="BD213" s="2">
        <v>15780</v>
      </c>
      <c r="BE213" s="2">
        <v>15805</v>
      </c>
      <c r="BF213" s="2">
        <v>16690</v>
      </c>
      <c r="BG213" s="2">
        <v>17010</v>
      </c>
      <c r="BH213" s="2">
        <v>18050</v>
      </c>
      <c r="BI213" s="2">
        <v>17080</v>
      </c>
      <c r="BJ213" s="2">
        <v>17165</v>
      </c>
      <c r="BK213" s="2">
        <v>16245</v>
      </c>
      <c r="BL213" s="2">
        <v>15180</v>
      </c>
      <c r="BM213" s="1">
        <v>15010</v>
      </c>
      <c r="BN213" s="1">
        <v>13920</v>
      </c>
      <c r="BO213" s="1">
        <v>13820</v>
      </c>
      <c r="BP213" s="1">
        <v>13630</v>
      </c>
      <c r="BQ213" s="1">
        <v>13725</v>
      </c>
      <c r="BR213" s="1">
        <v>13755</v>
      </c>
      <c r="BS213" s="1">
        <v>13475</v>
      </c>
      <c r="BT213" s="1">
        <v>13750</v>
      </c>
      <c r="BU213" s="1">
        <v>12710</v>
      </c>
      <c r="BV213" s="1">
        <v>12440</v>
      </c>
      <c r="BW213" s="1">
        <v>12425</v>
      </c>
      <c r="BX213" s="1">
        <v>12945</v>
      </c>
      <c r="BY213" s="1">
        <v>12775</v>
      </c>
      <c r="BZ213" s="1">
        <v>13440</v>
      </c>
    </row>
    <row r="214" spans="1:254">
      <c r="A214" s="62" t="s">
        <v>419</v>
      </c>
      <c r="B214" s="1" t="s">
        <v>420</v>
      </c>
      <c r="C214" s="54">
        <f>_xll.RssMarket("9519","安値")</f>
        <v>917</v>
      </c>
      <c r="D214" s="16">
        <f t="shared" si="7"/>
        <v>0</v>
      </c>
      <c r="E214" s="2">
        <v>917</v>
      </c>
      <c r="F214" s="2">
        <v>919</v>
      </c>
      <c r="G214" s="2">
        <v>907</v>
      </c>
      <c r="H214" s="2">
        <v>884</v>
      </c>
      <c r="I214" s="2">
        <v>915</v>
      </c>
      <c r="J214" s="2">
        <v>911</v>
      </c>
      <c r="K214" s="2">
        <v>955</v>
      </c>
      <c r="L214" s="2">
        <v>978</v>
      </c>
      <c r="M214" s="2">
        <v>1003</v>
      </c>
      <c r="N214" s="2">
        <v>980</v>
      </c>
      <c r="O214" s="2">
        <v>965</v>
      </c>
      <c r="P214" s="2">
        <v>974</v>
      </c>
      <c r="Q214" s="2">
        <v>970</v>
      </c>
      <c r="R214" s="2">
        <v>971</v>
      </c>
      <c r="S214" s="2">
        <v>974</v>
      </c>
      <c r="T214" s="2">
        <v>945</v>
      </c>
      <c r="U214" s="2">
        <v>910</v>
      </c>
      <c r="V214" s="2">
        <v>917</v>
      </c>
      <c r="W214" s="2">
        <v>929</v>
      </c>
      <c r="X214" s="2">
        <v>933</v>
      </c>
      <c r="Y214" s="2">
        <v>964</v>
      </c>
      <c r="Z214" s="2">
        <v>959</v>
      </c>
      <c r="AA214" s="2">
        <v>967</v>
      </c>
      <c r="AB214" s="2">
        <v>962</v>
      </c>
      <c r="AC214" s="2">
        <v>940</v>
      </c>
      <c r="AD214" s="2">
        <v>974</v>
      </c>
      <c r="AE214" s="2">
        <v>937</v>
      </c>
      <c r="AF214" s="2">
        <v>882</v>
      </c>
      <c r="AG214" s="2">
        <v>879</v>
      </c>
      <c r="AH214" s="2">
        <v>888</v>
      </c>
      <c r="AI214" s="2">
        <v>893</v>
      </c>
      <c r="AJ214" s="2">
        <v>834</v>
      </c>
      <c r="AK214" s="2">
        <v>812</v>
      </c>
      <c r="AL214" s="2">
        <v>831</v>
      </c>
      <c r="AM214" s="2">
        <v>857</v>
      </c>
      <c r="AN214" s="2">
        <v>865</v>
      </c>
      <c r="AO214" s="2">
        <v>885</v>
      </c>
      <c r="AP214" s="2">
        <v>888</v>
      </c>
      <c r="AQ214" s="2">
        <v>874</v>
      </c>
      <c r="AR214" s="2">
        <v>884</v>
      </c>
      <c r="AS214" s="2">
        <v>988</v>
      </c>
      <c r="AT214" s="2">
        <v>945</v>
      </c>
      <c r="AU214" s="2">
        <v>966</v>
      </c>
      <c r="AV214" s="2">
        <v>1018</v>
      </c>
      <c r="AW214" s="2">
        <v>1105</v>
      </c>
      <c r="AX214" s="2">
        <v>1201</v>
      </c>
      <c r="AY214" s="2">
        <v>1159</v>
      </c>
      <c r="AZ214" s="2">
        <v>1264</v>
      </c>
      <c r="BA214" s="2">
        <v>1291</v>
      </c>
      <c r="BB214" s="2">
        <v>1316</v>
      </c>
      <c r="BC214" s="2">
        <v>1233</v>
      </c>
      <c r="BD214" s="2">
        <v>1245</v>
      </c>
      <c r="BE214" s="2">
        <v>1293</v>
      </c>
      <c r="BF214" s="2">
        <v>1262</v>
      </c>
      <c r="BG214" s="2">
        <v>1287</v>
      </c>
      <c r="BH214" s="2">
        <v>1242</v>
      </c>
      <c r="BI214" s="2">
        <v>1188</v>
      </c>
      <c r="BJ214" s="2">
        <v>1209</v>
      </c>
      <c r="BK214" s="2">
        <v>1160</v>
      </c>
      <c r="BL214" s="2">
        <v>1129</v>
      </c>
      <c r="BM214" s="1">
        <v>1103</v>
      </c>
      <c r="BN214" s="1">
        <v>1089</v>
      </c>
      <c r="BO214" s="1">
        <v>1100</v>
      </c>
      <c r="BP214" s="1">
        <v>1078</v>
      </c>
      <c r="BQ214" s="1">
        <v>1005</v>
      </c>
      <c r="BR214" s="1">
        <v>991</v>
      </c>
      <c r="BS214" s="1">
        <v>957</v>
      </c>
      <c r="BT214" s="1">
        <v>947</v>
      </c>
      <c r="BU214" s="1">
        <v>977</v>
      </c>
      <c r="BV214" s="1">
        <v>997</v>
      </c>
      <c r="BW214" s="1">
        <v>1008</v>
      </c>
      <c r="BX214" s="1">
        <v>1059</v>
      </c>
      <c r="BY214" s="1">
        <v>1016</v>
      </c>
      <c r="BZ214" s="1">
        <v>977</v>
      </c>
    </row>
    <row r="215" spans="1:254">
      <c r="A215" s="62" t="s">
        <v>421</v>
      </c>
      <c r="B215" s="1" t="s">
        <v>422</v>
      </c>
      <c r="C215" s="54">
        <f>_xll.RssMarket("6752","安値")</f>
        <v>4345</v>
      </c>
      <c r="D215" s="16">
        <f t="shared" si="7"/>
        <v>0</v>
      </c>
      <c r="E215" s="2">
        <v>4345</v>
      </c>
      <c r="F215" s="2">
        <v>4385</v>
      </c>
      <c r="G215" s="2">
        <v>4130</v>
      </c>
      <c r="H215" s="2">
        <v>4159</v>
      </c>
      <c r="I215" s="2">
        <v>4284</v>
      </c>
      <c r="J215" s="2">
        <v>3364</v>
      </c>
      <c r="K215" s="2">
        <v>3430</v>
      </c>
      <c r="L215" s="2">
        <v>3592</v>
      </c>
      <c r="M215" s="2">
        <v>3830</v>
      </c>
      <c r="N215" s="2">
        <v>3843</v>
      </c>
      <c r="O215" s="2">
        <v>4008</v>
      </c>
      <c r="P215" s="2">
        <v>4075</v>
      </c>
      <c r="Q215" s="2">
        <v>3911</v>
      </c>
      <c r="R215" s="2">
        <v>3900</v>
      </c>
      <c r="S215" s="2">
        <v>4178</v>
      </c>
      <c r="T215" s="2">
        <v>4093</v>
      </c>
      <c r="U215" s="2">
        <v>4354</v>
      </c>
      <c r="V215" s="2">
        <v>4476</v>
      </c>
      <c r="W215" s="2">
        <v>4376</v>
      </c>
      <c r="X215" s="2">
        <v>4250</v>
      </c>
      <c r="Y215" s="2">
        <v>4353</v>
      </c>
      <c r="Z215" s="2">
        <v>4493</v>
      </c>
      <c r="AA215" s="2">
        <v>4362</v>
      </c>
      <c r="AB215" s="2">
        <v>4456</v>
      </c>
      <c r="AC215" s="2">
        <v>4580</v>
      </c>
      <c r="AD215" s="2">
        <v>4366</v>
      </c>
      <c r="AE215" s="2">
        <v>4275</v>
      </c>
      <c r="AF215" s="2">
        <v>4451</v>
      </c>
      <c r="AG215" s="2">
        <v>4455</v>
      </c>
      <c r="AH215" s="2">
        <v>4195</v>
      </c>
      <c r="AI215" s="2">
        <v>4220</v>
      </c>
      <c r="AJ215" s="2">
        <v>4376</v>
      </c>
      <c r="AK215" s="2">
        <v>4326</v>
      </c>
      <c r="AL215" s="2">
        <v>4216</v>
      </c>
      <c r="AM215" s="2">
        <v>4152</v>
      </c>
      <c r="AN215" s="2">
        <v>3993</v>
      </c>
      <c r="AO215" s="2">
        <v>3914</v>
      </c>
      <c r="AP215" s="2">
        <v>3762</v>
      </c>
      <c r="AQ215" s="2">
        <v>3571</v>
      </c>
      <c r="AR215" s="2">
        <v>3712</v>
      </c>
      <c r="AS215" s="2">
        <v>3431</v>
      </c>
      <c r="AT215" s="2">
        <v>3638</v>
      </c>
      <c r="AU215" s="2">
        <v>3633</v>
      </c>
      <c r="AV215" s="2">
        <v>3680</v>
      </c>
      <c r="AW215" s="2">
        <v>3487</v>
      </c>
      <c r="AX215" s="2">
        <v>3529</v>
      </c>
      <c r="AY215" s="2">
        <v>3416</v>
      </c>
      <c r="AZ215" s="2">
        <v>3544</v>
      </c>
      <c r="BA215" s="2">
        <v>3491</v>
      </c>
      <c r="BB215" s="2">
        <v>3420</v>
      </c>
      <c r="BC215" s="2">
        <v>3214</v>
      </c>
      <c r="BD215" s="2">
        <v>3183</v>
      </c>
      <c r="BE215" s="2">
        <v>3300</v>
      </c>
      <c r="BF215" s="2">
        <v>3221</v>
      </c>
      <c r="BG215" s="2">
        <v>3263</v>
      </c>
      <c r="BH215" s="2">
        <v>3295</v>
      </c>
      <c r="BI215" s="2">
        <v>3121</v>
      </c>
      <c r="BJ215" s="2">
        <v>3333</v>
      </c>
      <c r="BK215" s="2">
        <v>3221</v>
      </c>
      <c r="BL215" s="2">
        <v>3222</v>
      </c>
      <c r="BM215" s="1">
        <v>3297</v>
      </c>
      <c r="BN215" s="1">
        <v>3232</v>
      </c>
      <c r="BO215" s="1">
        <v>3071</v>
      </c>
      <c r="BP215" s="1">
        <v>3036</v>
      </c>
      <c r="BQ215" s="1">
        <v>2931</v>
      </c>
      <c r="BR215" s="1">
        <v>2836.5</v>
      </c>
      <c r="BS215" s="1">
        <v>2877</v>
      </c>
      <c r="BT215" s="1">
        <v>2957.5</v>
      </c>
      <c r="BU215" s="1">
        <v>2999</v>
      </c>
      <c r="BV215" s="1">
        <v>2880</v>
      </c>
      <c r="BW215" s="1">
        <v>2897</v>
      </c>
      <c r="BX215" s="1">
        <v>2927.5</v>
      </c>
      <c r="BY215" s="1">
        <v>2889.5</v>
      </c>
      <c r="BZ215" s="1">
        <v>2870</v>
      </c>
    </row>
    <row r="216" spans="1:254">
      <c r="A216" s="62" t="s">
        <v>423</v>
      </c>
      <c r="B216" s="1" t="s">
        <v>424</v>
      </c>
      <c r="C216" s="54">
        <f>_xll.RssMarket("6622","安値")</f>
        <v>13780</v>
      </c>
      <c r="D216" s="16">
        <f t="shared" si="7"/>
        <v>0</v>
      </c>
      <c r="E216" s="2">
        <v>13780</v>
      </c>
      <c r="F216" s="2">
        <v>14470</v>
      </c>
      <c r="G216" s="2">
        <v>14140</v>
      </c>
      <c r="H216" s="2">
        <v>13270</v>
      </c>
      <c r="I216" s="2">
        <v>13190</v>
      </c>
      <c r="J216" s="2">
        <v>11460</v>
      </c>
      <c r="K216" s="2">
        <v>11610</v>
      </c>
      <c r="L216" s="2">
        <v>12950</v>
      </c>
      <c r="M216" s="2">
        <v>14000</v>
      </c>
      <c r="N216" s="2">
        <v>14440</v>
      </c>
      <c r="O216" s="2">
        <v>14900</v>
      </c>
      <c r="P216" s="2">
        <v>14810</v>
      </c>
      <c r="Q216" s="2">
        <v>14030</v>
      </c>
      <c r="R216" s="2">
        <v>13540</v>
      </c>
      <c r="S216" s="2">
        <v>15030</v>
      </c>
      <c r="T216" s="2">
        <v>14540</v>
      </c>
      <c r="U216" s="2">
        <v>14820</v>
      </c>
      <c r="V216" s="2">
        <v>15440</v>
      </c>
      <c r="W216" s="2">
        <v>15130</v>
      </c>
      <c r="X216" s="2">
        <v>14710</v>
      </c>
      <c r="Y216" s="2">
        <v>15920</v>
      </c>
      <c r="Z216" s="2">
        <v>16660</v>
      </c>
      <c r="AA216" s="2">
        <v>15830</v>
      </c>
      <c r="AB216" s="2">
        <v>16940</v>
      </c>
      <c r="AC216" s="2">
        <v>18290</v>
      </c>
      <c r="AD216" s="2">
        <v>17680</v>
      </c>
      <c r="AE216" s="2">
        <v>17140</v>
      </c>
      <c r="AF216" s="2">
        <v>17800</v>
      </c>
      <c r="AG216" s="2">
        <v>18680</v>
      </c>
      <c r="AH216" s="2">
        <v>18140</v>
      </c>
      <c r="AI216" s="2">
        <v>18570</v>
      </c>
      <c r="AJ216" s="2">
        <v>17870</v>
      </c>
      <c r="AK216" s="2">
        <v>17630</v>
      </c>
      <c r="AL216" s="2">
        <v>17290</v>
      </c>
      <c r="AM216" s="2">
        <v>16030</v>
      </c>
      <c r="AN216" s="2">
        <v>16050</v>
      </c>
      <c r="AO216" s="2">
        <v>15490</v>
      </c>
      <c r="AP216" s="2">
        <v>14700</v>
      </c>
      <c r="AQ216" s="2">
        <v>13690</v>
      </c>
      <c r="AR216" s="2">
        <v>14580</v>
      </c>
      <c r="AS216" s="2">
        <v>14440</v>
      </c>
      <c r="AT216" s="2">
        <v>15310</v>
      </c>
      <c r="AU216" s="2">
        <v>15300</v>
      </c>
      <c r="AV216" s="2">
        <v>15130</v>
      </c>
      <c r="AW216" s="2">
        <v>14840</v>
      </c>
      <c r="AX216" s="2">
        <v>15750</v>
      </c>
      <c r="AY216" s="2">
        <v>15840</v>
      </c>
      <c r="AZ216" s="2">
        <v>16560</v>
      </c>
      <c r="BA216" s="2">
        <v>16710</v>
      </c>
      <c r="BB216" s="2">
        <v>16220</v>
      </c>
      <c r="BC216" s="2">
        <v>15360</v>
      </c>
      <c r="BD216" s="2">
        <v>14980</v>
      </c>
      <c r="BE216" s="2">
        <v>15650</v>
      </c>
      <c r="BF216" s="2">
        <v>16510</v>
      </c>
      <c r="BG216" s="2">
        <v>16670</v>
      </c>
      <c r="BH216" s="2">
        <v>17250</v>
      </c>
      <c r="BI216" s="2">
        <v>17500</v>
      </c>
      <c r="BJ216" s="2">
        <v>17640</v>
      </c>
      <c r="BK216" s="2">
        <v>17370</v>
      </c>
      <c r="BL216" s="2">
        <v>16570</v>
      </c>
      <c r="BM216" s="1">
        <v>16500</v>
      </c>
      <c r="BN216" s="1">
        <v>15150</v>
      </c>
      <c r="BO216" s="1">
        <v>15000</v>
      </c>
      <c r="BP216" s="1">
        <v>14500</v>
      </c>
      <c r="BQ216" s="1">
        <v>13940</v>
      </c>
      <c r="BR216" s="1">
        <v>13650</v>
      </c>
      <c r="BS216" s="1">
        <v>13420</v>
      </c>
      <c r="BT216" s="1">
        <v>13750</v>
      </c>
      <c r="BU216" s="1">
        <v>13940</v>
      </c>
      <c r="BV216" s="1">
        <v>13820</v>
      </c>
      <c r="BW216" s="1">
        <v>13820</v>
      </c>
      <c r="BX216" s="1">
        <v>14090</v>
      </c>
      <c r="BY216" s="1">
        <v>13880</v>
      </c>
      <c r="BZ216" s="1">
        <v>14270</v>
      </c>
    </row>
    <row r="217" spans="1:254">
      <c r="A217" s="62" t="s">
        <v>425</v>
      </c>
      <c r="B217" s="1" t="s">
        <v>426</v>
      </c>
      <c r="C217" s="54">
        <f>_xll.RssMarket("1407","安値")</f>
        <v>2591</v>
      </c>
      <c r="D217" s="16">
        <f t="shared" si="7"/>
        <v>0</v>
      </c>
      <c r="E217" s="2">
        <v>2591</v>
      </c>
      <c r="F217" s="2">
        <v>2674</v>
      </c>
      <c r="G217" s="2">
        <v>2612</v>
      </c>
      <c r="H217" s="2">
        <v>2434</v>
      </c>
      <c r="I217" s="2">
        <v>2514</v>
      </c>
      <c r="J217" s="2">
        <v>2466</v>
      </c>
      <c r="K217" s="2">
        <v>2572</v>
      </c>
      <c r="L217" s="2">
        <v>2614</v>
      </c>
      <c r="M217" s="2">
        <v>2733</v>
      </c>
      <c r="N217" s="2">
        <v>2616</v>
      </c>
      <c r="O217" s="2">
        <v>2560</v>
      </c>
      <c r="P217" s="2">
        <v>2621</v>
      </c>
      <c r="Q217" s="2">
        <v>2673</v>
      </c>
      <c r="R217" s="2">
        <v>2675</v>
      </c>
      <c r="S217" s="2">
        <v>2339</v>
      </c>
      <c r="T217" s="2">
        <v>2234</v>
      </c>
      <c r="U217" s="2">
        <v>2165</v>
      </c>
      <c r="V217" s="2">
        <v>2134</v>
      </c>
      <c r="W217" s="2">
        <v>2231</v>
      </c>
      <c r="X217" s="2">
        <v>2236</v>
      </c>
      <c r="Y217" s="2">
        <v>2240</v>
      </c>
      <c r="Z217" s="2">
        <v>2308</v>
      </c>
      <c r="AA217" s="2">
        <v>2318</v>
      </c>
      <c r="AB217" s="2">
        <v>2310</v>
      </c>
      <c r="AC217" s="2">
        <v>2328</v>
      </c>
      <c r="AD217" s="2">
        <v>2350</v>
      </c>
      <c r="AE217" s="2">
        <v>2362</v>
      </c>
      <c r="AF217" s="2">
        <v>2275</v>
      </c>
      <c r="AG217" s="2">
        <v>2290</v>
      </c>
      <c r="AH217" s="2">
        <v>2290</v>
      </c>
      <c r="AI217" s="2">
        <v>2280</v>
      </c>
      <c r="AJ217" s="2">
        <v>2207</v>
      </c>
      <c r="AK217" s="2">
        <v>2196</v>
      </c>
      <c r="AL217" s="2">
        <v>2285</v>
      </c>
      <c r="AM217" s="2">
        <v>2220</v>
      </c>
      <c r="AN217" s="2">
        <v>2211</v>
      </c>
      <c r="AO217" s="2">
        <v>2240</v>
      </c>
      <c r="AP217" s="2">
        <v>2290</v>
      </c>
      <c r="AQ217" s="2">
        <v>2191</v>
      </c>
      <c r="AR217" s="2">
        <v>2251</v>
      </c>
      <c r="AS217" s="2">
        <v>2307</v>
      </c>
      <c r="AT217" s="2">
        <v>2290</v>
      </c>
      <c r="AU217" s="2">
        <v>2436</v>
      </c>
      <c r="AV217" s="2">
        <v>2503</v>
      </c>
      <c r="AW217" s="2">
        <v>2430</v>
      </c>
      <c r="AX217" s="2">
        <v>2691</v>
      </c>
      <c r="AY217" s="2">
        <v>2845</v>
      </c>
      <c r="AZ217" s="2">
        <v>3075</v>
      </c>
      <c r="BA217" s="2">
        <v>2877</v>
      </c>
      <c r="BB217" s="2">
        <v>2833</v>
      </c>
      <c r="BC217" s="2">
        <v>2892</v>
      </c>
      <c r="BD217" s="2">
        <v>2903</v>
      </c>
      <c r="BE217" s="2">
        <v>2839</v>
      </c>
      <c r="BF217" s="2">
        <v>2901</v>
      </c>
      <c r="BG217" s="2">
        <v>2985</v>
      </c>
      <c r="BH217" s="2">
        <v>2980</v>
      </c>
      <c r="BI217" s="2">
        <v>2790</v>
      </c>
      <c r="BJ217" s="2">
        <v>2917</v>
      </c>
      <c r="BK217" s="2">
        <v>3050</v>
      </c>
      <c r="BL217" s="2">
        <v>2830</v>
      </c>
      <c r="BM217" s="1">
        <v>2714</v>
      </c>
      <c r="BN217" s="1">
        <v>2820</v>
      </c>
      <c r="BO217" s="1">
        <v>2702</v>
      </c>
      <c r="BP217" s="1">
        <v>2620</v>
      </c>
      <c r="BQ217" s="1">
        <v>2495</v>
      </c>
      <c r="BR217" s="1">
        <v>2383</v>
      </c>
      <c r="BS217" s="1">
        <v>2310</v>
      </c>
      <c r="BT217" s="1">
        <v>2211</v>
      </c>
      <c r="BU217" s="1">
        <v>2274</v>
      </c>
      <c r="BV217" s="1">
        <v>2161</v>
      </c>
      <c r="BW217" s="1">
        <v>2206</v>
      </c>
      <c r="BX217" s="1">
        <v>2090</v>
      </c>
      <c r="BY217" s="1">
        <v>1903</v>
      </c>
      <c r="BZ217" s="1">
        <v>1730</v>
      </c>
    </row>
    <row r="218" spans="1:254">
      <c r="A218" s="62" t="s">
        <v>427</v>
      </c>
      <c r="B218" s="1" t="s">
        <v>428</v>
      </c>
      <c r="C218" s="54">
        <f>_xll.RssMarket("285A","安値")</f>
        <v>48300</v>
      </c>
      <c r="D218" s="16">
        <f t="shared" si="7"/>
        <v>0</v>
      </c>
      <c r="E218" s="2">
        <v>48300</v>
      </c>
      <c r="F218" s="2">
        <v>53400</v>
      </c>
      <c r="G218" s="2">
        <v>47290</v>
      </c>
      <c r="H218" s="2">
        <v>44370</v>
      </c>
      <c r="I218" s="2">
        <v>46500</v>
      </c>
      <c r="J218" s="2">
        <v>36020</v>
      </c>
      <c r="K218" s="2">
        <v>37650</v>
      </c>
      <c r="L218" s="2">
        <v>44550</v>
      </c>
      <c r="M218" s="2">
        <v>50400</v>
      </c>
      <c r="N218" s="2">
        <v>55080</v>
      </c>
      <c r="O218" s="2">
        <v>61150</v>
      </c>
      <c r="P218" s="2">
        <v>62750</v>
      </c>
      <c r="Q218" s="2">
        <v>51370</v>
      </c>
      <c r="R218" s="2">
        <v>52110</v>
      </c>
      <c r="S218" s="2">
        <v>71200</v>
      </c>
      <c r="T218" s="2">
        <v>63060</v>
      </c>
      <c r="U218" s="2">
        <v>66100</v>
      </c>
      <c r="V218" s="2">
        <v>75880</v>
      </c>
      <c r="W218" s="2">
        <v>75700</v>
      </c>
      <c r="X218" s="2">
        <v>69300</v>
      </c>
      <c r="Y218" s="2">
        <v>71120</v>
      </c>
      <c r="Z218" s="2">
        <v>78200</v>
      </c>
      <c r="AA218" s="2">
        <v>67190</v>
      </c>
      <c r="AB218" s="2">
        <v>75000</v>
      </c>
      <c r="AC218" s="2">
        <v>87120</v>
      </c>
      <c r="AD218" s="2">
        <v>85300</v>
      </c>
      <c r="AE218" s="2">
        <v>82100</v>
      </c>
      <c r="AF218" s="2">
        <v>89600</v>
      </c>
      <c r="AG218" s="2">
        <v>97310</v>
      </c>
      <c r="AH218" s="2">
        <v>86550</v>
      </c>
      <c r="AI218" s="2">
        <v>91150</v>
      </c>
      <c r="AJ218" s="2">
        <v>104250</v>
      </c>
      <c r="AK218" s="2">
        <v>99970</v>
      </c>
      <c r="AL218" s="2">
        <v>95800</v>
      </c>
      <c r="AM218" s="2">
        <v>92320</v>
      </c>
      <c r="AN218" s="2">
        <v>90920</v>
      </c>
      <c r="AO218" s="2">
        <v>85200</v>
      </c>
      <c r="AP218" s="2">
        <v>78920</v>
      </c>
      <c r="AQ218" s="2">
        <v>67600</v>
      </c>
      <c r="AR218" s="2">
        <v>70130</v>
      </c>
      <c r="AS218" s="2">
        <v>69010</v>
      </c>
      <c r="AT218" s="2">
        <v>73290</v>
      </c>
      <c r="AU218" s="2">
        <v>75000</v>
      </c>
      <c r="AV218" s="2">
        <v>76240</v>
      </c>
      <c r="AW218" s="2">
        <v>70230</v>
      </c>
      <c r="AX218" s="2">
        <v>61110</v>
      </c>
      <c r="AY218" s="2">
        <v>56900</v>
      </c>
      <c r="AZ218" s="2">
        <v>60170</v>
      </c>
      <c r="BA218" s="2">
        <v>58090</v>
      </c>
      <c r="BB218" s="2">
        <v>56280</v>
      </c>
      <c r="BC218" s="2">
        <v>51120</v>
      </c>
      <c r="BD218" s="2">
        <v>48270</v>
      </c>
      <c r="BE218" s="2">
        <v>48000</v>
      </c>
      <c r="BF218" s="2">
        <v>51450</v>
      </c>
      <c r="BG218" s="2">
        <v>42100</v>
      </c>
      <c r="BH218" s="2">
        <v>45110</v>
      </c>
      <c r="BI218" s="2">
        <v>44740</v>
      </c>
      <c r="BJ218" s="2">
        <v>43630</v>
      </c>
      <c r="BK218" s="2">
        <v>45690</v>
      </c>
      <c r="BL218" s="2">
        <v>41900</v>
      </c>
      <c r="BM218" s="1">
        <v>43410</v>
      </c>
      <c r="BN218" s="1">
        <v>36050</v>
      </c>
      <c r="BO218" s="1">
        <v>36920</v>
      </c>
      <c r="BP218" s="1">
        <v>36200</v>
      </c>
      <c r="BQ218" s="1">
        <v>35030</v>
      </c>
      <c r="BR218" s="1">
        <v>34150</v>
      </c>
      <c r="BS218" s="1">
        <v>33750</v>
      </c>
      <c r="BT218" s="1">
        <v>32400</v>
      </c>
      <c r="BU218" s="1">
        <v>30710</v>
      </c>
      <c r="BV218" s="1">
        <v>30090</v>
      </c>
      <c r="BW218" s="1">
        <v>30460</v>
      </c>
      <c r="BX218" s="1">
        <v>31010</v>
      </c>
      <c r="BY218" s="1">
        <v>32100</v>
      </c>
      <c r="BZ218" s="1">
        <v>33820</v>
      </c>
    </row>
    <row r="219" spans="1:254">
      <c r="A219" s="62" t="s">
        <v>429</v>
      </c>
      <c r="B219" s="1" t="s">
        <v>430</v>
      </c>
      <c r="C219" s="54">
        <f>_xll.RssMarket("141A","安値")</f>
        <v>3155</v>
      </c>
      <c r="D219" s="16">
        <f t="shared" si="7"/>
        <v>0</v>
      </c>
      <c r="E219" s="2">
        <v>3155</v>
      </c>
      <c r="F219" s="2">
        <v>3210</v>
      </c>
      <c r="G219" s="2">
        <v>3125</v>
      </c>
      <c r="H219" s="2">
        <v>3065</v>
      </c>
      <c r="I219" s="2">
        <v>3025</v>
      </c>
      <c r="J219" s="2">
        <v>3000</v>
      </c>
      <c r="K219" s="2">
        <v>3015</v>
      </c>
      <c r="L219" s="2">
        <v>3000</v>
      </c>
      <c r="M219" s="2">
        <v>2998</v>
      </c>
      <c r="N219" s="2"/>
      <c r="O219" s="2">
        <v>2970</v>
      </c>
      <c r="P219" s="2">
        <v>2974</v>
      </c>
      <c r="Q219" s="2">
        <v>2983</v>
      </c>
      <c r="R219" s="2">
        <v>2973</v>
      </c>
      <c r="S219" s="2">
        <v>3005</v>
      </c>
      <c r="T219" s="2">
        <v>3030</v>
      </c>
      <c r="U219" s="2">
        <v>2960</v>
      </c>
      <c r="V219" s="2">
        <v>3010</v>
      </c>
      <c r="W219" s="2">
        <v>2983</v>
      </c>
      <c r="X219" s="2">
        <v>2976</v>
      </c>
      <c r="Y219" s="2">
        <v>3070</v>
      </c>
      <c r="Z219" s="2">
        <v>3025</v>
      </c>
      <c r="AA219" s="2">
        <v>3055</v>
      </c>
      <c r="AB219" s="2">
        <v>2917</v>
      </c>
      <c r="AC219" s="2">
        <v>2880</v>
      </c>
      <c r="AD219" s="2">
        <v>2988</v>
      </c>
      <c r="AE219" s="2">
        <v>2988</v>
      </c>
      <c r="AF219" s="2">
        <v>2939</v>
      </c>
      <c r="AG219" s="2">
        <v>2957</v>
      </c>
      <c r="AH219" s="2">
        <v>2793</v>
      </c>
      <c r="AI219" s="2">
        <v>2725</v>
      </c>
      <c r="AJ219" s="2">
        <v>2700</v>
      </c>
      <c r="AK219" s="2">
        <v>2721</v>
      </c>
      <c r="AL219" s="2">
        <v>2717</v>
      </c>
      <c r="AM219" s="2">
        <v>2768</v>
      </c>
      <c r="AN219" s="2">
        <v>2721</v>
      </c>
      <c r="AO219" s="2">
        <v>2746</v>
      </c>
      <c r="AP219" s="2">
        <v>2789</v>
      </c>
      <c r="AQ219" s="2">
        <v>2811</v>
      </c>
      <c r="AR219" s="2">
        <v>2725</v>
      </c>
      <c r="AS219" s="2">
        <v>2716</v>
      </c>
      <c r="AT219" s="2">
        <v>2669</v>
      </c>
      <c r="AU219" s="2">
        <v>2667</v>
      </c>
      <c r="AV219" s="2">
        <v>2506</v>
      </c>
      <c r="AW219" s="2">
        <v>2545</v>
      </c>
      <c r="AX219" s="2">
        <v>2865</v>
      </c>
      <c r="AY219" s="2">
        <v>2813</v>
      </c>
      <c r="AZ219" s="2">
        <v>2617</v>
      </c>
      <c r="BA219" s="2">
        <v>2874</v>
      </c>
      <c r="BB219" s="2">
        <v>2952</v>
      </c>
      <c r="BC219" s="2">
        <v>2929</v>
      </c>
      <c r="BD219" s="2">
        <v>3085</v>
      </c>
      <c r="BE219" s="2">
        <v>2921</v>
      </c>
      <c r="BF219" s="2">
        <v>2887</v>
      </c>
      <c r="BG219" s="2">
        <v>3570</v>
      </c>
      <c r="BH219" s="2">
        <v>4205</v>
      </c>
      <c r="BI219" s="2">
        <v>4280</v>
      </c>
      <c r="BJ219" s="2">
        <v>4265</v>
      </c>
      <c r="BK219" s="2">
        <v>4090</v>
      </c>
      <c r="BL219" s="2">
        <v>4090</v>
      </c>
      <c r="BM219" s="1">
        <v>3875</v>
      </c>
      <c r="BN219" s="1">
        <v>3870</v>
      </c>
      <c r="BO219" s="1">
        <v>3845</v>
      </c>
      <c r="BP219" s="1">
        <v>3810</v>
      </c>
      <c r="BQ219" s="1">
        <v>3850</v>
      </c>
      <c r="BR219" s="1">
        <v>3970</v>
      </c>
      <c r="BS219" s="1">
        <v>4135</v>
      </c>
      <c r="BT219" s="1">
        <v>4490</v>
      </c>
      <c r="BU219" s="1">
        <v>4610</v>
      </c>
      <c r="BV219" s="1">
        <v>4455</v>
      </c>
      <c r="BW219" s="1">
        <v>4440</v>
      </c>
      <c r="BX219" s="1">
        <v>4350</v>
      </c>
      <c r="BY219" s="1">
        <v>4310</v>
      </c>
      <c r="BZ219" s="1">
        <v>4125</v>
      </c>
    </row>
    <row r="220" spans="1:254">
      <c r="A220" s="62" t="s">
        <v>431</v>
      </c>
      <c r="B220" s="1" t="s">
        <v>432</v>
      </c>
      <c r="C220" s="54">
        <f>_xll.RssMarket("464A","安値")</f>
        <v>1607</v>
      </c>
      <c r="D220" s="16">
        <f t="shared" si="7"/>
        <v>0</v>
      </c>
      <c r="E220" s="2">
        <v>1607</v>
      </c>
      <c r="F220" s="2">
        <v>1592</v>
      </c>
      <c r="G220" s="2">
        <v>1540</v>
      </c>
      <c r="H220" s="2">
        <v>1470</v>
      </c>
      <c r="I220" s="2">
        <v>1423</v>
      </c>
      <c r="J220" s="2">
        <v>1371</v>
      </c>
      <c r="K220" s="2">
        <v>1351</v>
      </c>
      <c r="L220" s="2">
        <v>1480</v>
      </c>
      <c r="M220" s="2">
        <v>1415</v>
      </c>
      <c r="N220" s="2">
        <v>1485</v>
      </c>
      <c r="O220" s="2">
        <v>1604</v>
      </c>
      <c r="P220" s="2">
        <v>1617</v>
      </c>
      <c r="Q220" s="2">
        <v>1580</v>
      </c>
      <c r="R220" s="2">
        <v>1577</v>
      </c>
      <c r="S220" s="2">
        <v>1800</v>
      </c>
      <c r="T220" s="2">
        <v>1763</v>
      </c>
      <c r="U220" s="2">
        <v>1811</v>
      </c>
      <c r="V220" s="2">
        <v>1797</v>
      </c>
      <c r="W220" s="2">
        <v>1770</v>
      </c>
      <c r="X220" s="2">
        <v>1789</v>
      </c>
      <c r="Y220" s="2">
        <v>1947</v>
      </c>
      <c r="Z220" s="2">
        <v>2026</v>
      </c>
      <c r="AA220" s="2">
        <v>1974</v>
      </c>
      <c r="AB220" s="2">
        <v>1976</v>
      </c>
      <c r="AC220" s="2">
        <v>1871</v>
      </c>
      <c r="AD220" s="2">
        <v>1906</v>
      </c>
      <c r="AE220" s="2">
        <v>1841</v>
      </c>
      <c r="AF220" s="2">
        <v>1854</v>
      </c>
      <c r="AG220" s="2">
        <v>1945</v>
      </c>
      <c r="AH220" s="2">
        <v>1960</v>
      </c>
      <c r="AI220" s="2">
        <v>2011</v>
      </c>
      <c r="AJ220" s="2">
        <v>2170</v>
      </c>
      <c r="AK220" s="2">
        <v>2151</v>
      </c>
      <c r="AL220" s="2">
        <v>2215</v>
      </c>
      <c r="AM220" s="2">
        <v>2166</v>
      </c>
      <c r="AN220" s="2">
        <v>2247</v>
      </c>
      <c r="AO220" s="2">
        <v>2307</v>
      </c>
      <c r="AP220" s="2">
        <v>2685</v>
      </c>
      <c r="AQ220" s="2">
        <v>2430</v>
      </c>
      <c r="AR220" s="2">
        <v>2461</v>
      </c>
      <c r="AS220" s="2">
        <v>2695</v>
      </c>
      <c r="AT220" s="2">
        <v>2833</v>
      </c>
      <c r="AU220" s="2">
        <v>2600</v>
      </c>
      <c r="AV220" s="2">
        <v>2894</v>
      </c>
      <c r="AW220" s="2">
        <v>2900</v>
      </c>
      <c r="AX220" s="2">
        <v>3915</v>
      </c>
      <c r="AY220" s="2">
        <v>4075</v>
      </c>
      <c r="AZ220" s="2">
        <v>4080</v>
      </c>
      <c r="BA220" s="2">
        <v>3780</v>
      </c>
      <c r="BB220" s="2">
        <v>3385</v>
      </c>
      <c r="BC220" s="2">
        <v>3175</v>
      </c>
      <c r="BD220" s="2">
        <v>3220</v>
      </c>
      <c r="BE220" s="2">
        <v>3320</v>
      </c>
      <c r="BF220" s="2">
        <v>3170</v>
      </c>
      <c r="BG220" s="2">
        <v>3230</v>
      </c>
      <c r="BH220" s="2">
        <v>3175</v>
      </c>
      <c r="BI220" s="2">
        <v>2868</v>
      </c>
      <c r="BJ220" s="2">
        <v>2840</v>
      </c>
      <c r="BK220" s="2">
        <v>2949</v>
      </c>
      <c r="BL220" s="2">
        <v>2635</v>
      </c>
      <c r="BM220" s="1">
        <v>2631</v>
      </c>
      <c r="BN220" s="1">
        <v>2493</v>
      </c>
      <c r="BO220" s="1">
        <v>2473</v>
      </c>
      <c r="BP220" s="1">
        <v>2432</v>
      </c>
      <c r="BQ220" s="1">
        <v>2404</v>
      </c>
      <c r="BR220" s="1">
        <v>2477</v>
      </c>
      <c r="BS220" s="1">
        <v>2501</v>
      </c>
      <c r="BT220" s="1">
        <v>2652</v>
      </c>
      <c r="BU220" s="1">
        <v>2650</v>
      </c>
      <c r="BV220" s="1">
        <v>2596</v>
      </c>
      <c r="BW220" s="1">
        <v>2581</v>
      </c>
      <c r="BX220" s="1">
        <v>2530</v>
      </c>
      <c r="BY220" s="1">
        <v>2496</v>
      </c>
      <c r="BZ220" s="1">
        <v>2543</v>
      </c>
    </row>
    <row r="221" spans="1:254">
      <c r="A221" s="62" t="s">
        <v>433</v>
      </c>
      <c r="B221" s="1" t="s">
        <v>434</v>
      </c>
      <c r="C221" s="54">
        <f>_xll.RssMarket("485A","安値")</f>
        <v>1845</v>
      </c>
      <c r="D221" s="16">
        <f t="shared" si="7"/>
        <v>0</v>
      </c>
      <c r="E221" s="2">
        <v>1845</v>
      </c>
      <c r="F221" s="2">
        <v>1845</v>
      </c>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row>
    <row r="222" spans="1:254">
      <c r="A222" s="62" t="s">
        <v>435</v>
      </c>
      <c r="B222" s="1" t="str">
        <f>銘柄管理!C222</f>
        <v>ＮＦ日経レバ</v>
      </c>
      <c r="C222" s="54">
        <f>_xll.RssMarket("1570","安値")</f>
        <v>67030</v>
      </c>
      <c r="D222" s="16"/>
      <c r="E222" s="2">
        <v>67030</v>
      </c>
      <c r="F222" s="2">
        <v>68360</v>
      </c>
      <c r="G222" s="2">
        <v>62940</v>
      </c>
      <c r="H222" s="2">
        <v>62580</v>
      </c>
      <c r="I222" s="2">
        <v>64980</v>
      </c>
      <c r="J222" s="2">
        <v>59850</v>
      </c>
      <c r="K222" s="2">
        <v>58280</v>
      </c>
      <c r="L222" s="2">
        <v>61210</v>
      </c>
      <c r="M222" s="2">
        <v>65760</v>
      </c>
      <c r="N222" s="2">
        <v>65930</v>
      </c>
      <c r="O222" s="2">
        <v>70150</v>
      </c>
      <c r="P222" s="2">
        <v>69630</v>
      </c>
      <c r="Q222" s="2">
        <v>66110</v>
      </c>
      <c r="R222" s="2">
        <v>62900</v>
      </c>
      <c r="S222" s="2">
        <v>73980</v>
      </c>
      <c r="T222" s="2">
        <v>70640</v>
      </c>
      <c r="U222" s="2">
        <v>71480</v>
      </c>
      <c r="V222" s="2">
        <v>75460</v>
      </c>
      <c r="W222" s="2">
        <v>73370</v>
      </c>
      <c r="X222" s="2">
        <v>72330</v>
      </c>
      <c r="Y222" s="2">
        <v>74600</v>
      </c>
      <c r="Z222" s="2">
        <v>76630</v>
      </c>
      <c r="AA222" s="2">
        <v>73830</v>
      </c>
      <c r="AB222" s="2">
        <v>76190</v>
      </c>
      <c r="AC222" s="2">
        <v>79440</v>
      </c>
      <c r="AD222" s="2">
        <v>77640</v>
      </c>
      <c r="AE222" s="2">
        <v>74770</v>
      </c>
      <c r="AF222" s="2">
        <v>76040</v>
      </c>
      <c r="AG222" s="2">
        <v>80860</v>
      </c>
      <c r="AH222" s="2">
        <v>75950</v>
      </c>
      <c r="AI222" s="2">
        <v>79140</v>
      </c>
      <c r="AJ222" s="2">
        <v>82340</v>
      </c>
      <c r="AK222" s="2">
        <v>81150</v>
      </c>
      <c r="AL222" s="2">
        <v>80310</v>
      </c>
      <c r="AM222" s="2">
        <v>76880</v>
      </c>
      <c r="AN222" s="2">
        <v>77580</v>
      </c>
      <c r="AO222" s="2">
        <v>76230</v>
      </c>
      <c r="AP222" s="2">
        <v>70550</v>
      </c>
      <c r="AQ222" s="2">
        <v>63340</v>
      </c>
      <c r="AR222" s="2">
        <v>66310</v>
      </c>
      <c r="AS222" s="2">
        <v>65660</v>
      </c>
      <c r="AT222" s="2">
        <v>71000</v>
      </c>
      <c r="AU222" s="2">
        <v>73330</v>
      </c>
      <c r="AV222" s="2">
        <v>74440</v>
      </c>
      <c r="AW222" s="2">
        <v>70450</v>
      </c>
      <c r="AX222" s="2">
        <v>70540</v>
      </c>
      <c r="AY222" s="2">
        <v>66970</v>
      </c>
      <c r="AZ222" s="2">
        <v>69560</v>
      </c>
      <c r="BA222" s="2">
        <v>66840</v>
      </c>
      <c r="BB222" s="2">
        <v>63840</v>
      </c>
      <c r="BC222" s="2">
        <v>61640</v>
      </c>
      <c r="BD222" s="2">
        <v>57900</v>
      </c>
      <c r="BE222" s="2">
        <v>59830</v>
      </c>
      <c r="BF222" s="2">
        <v>60050</v>
      </c>
      <c r="BG222" s="2">
        <v>61210</v>
      </c>
      <c r="BH222" s="2">
        <v>64770</v>
      </c>
      <c r="BI222" s="2">
        <v>63870</v>
      </c>
      <c r="BJ222" s="2">
        <v>63710</v>
      </c>
      <c r="BK222" s="2">
        <v>64200</v>
      </c>
      <c r="BL222" s="2">
        <v>63700</v>
      </c>
      <c r="BM222" s="1">
        <v>63130</v>
      </c>
      <c r="BN222" s="1">
        <v>58360</v>
      </c>
      <c r="BO222" s="1">
        <v>57500</v>
      </c>
      <c r="BP222" s="1">
        <v>59080</v>
      </c>
      <c r="BQ222" s="1">
        <v>58860</v>
      </c>
      <c r="BR222" s="1">
        <v>58180</v>
      </c>
      <c r="BS222" s="1">
        <v>56960</v>
      </c>
      <c r="BT222" s="1">
        <v>57740</v>
      </c>
      <c r="BU222" s="1">
        <v>57800</v>
      </c>
      <c r="BV222" s="1">
        <v>57230</v>
      </c>
      <c r="BW222" s="1">
        <v>57070</v>
      </c>
      <c r="BX222" s="1">
        <v>56910</v>
      </c>
      <c r="BY222" s="1">
        <v>55960</v>
      </c>
      <c r="BZ222" s="1">
        <v>54700</v>
      </c>
    </row>
    <row r="223" spans="1:254">
      <c r="A223" s="62" t="s">
        <v>436</v>
      </c>
      <c r="B223" s="1" t="str">
        <f>銘柄管理!C223</f>
        <v>牧野フライス</v>
      </c>
      <c r="C223" s="54">
        <f>_xll.RssMarket("6135","安値")</f>
        <v>15010</v>
      </c>
      <c r="D223" s="16"/>
      <c r="E223" s="2">
        <v>15010</v>
      </c>
      <c r="F223" s="1">
        <v>14830</v>
      </c>
      <c r="G223" s="1">
        <v>14270</v>
      </c>
      <c r="H223" s="1">
        <v>14060</v>
      </c>
      <c r="I223" s="1">
        <v>12620</v>
      </c>
      <c r="J223" s="1">
        <v>13880</v>
      </c>
      <c r="K223" s="1">
        <v>13810</v>
      </c>
      <c r="L223" s="1">
        <v>14220</v>
      </c>
      <c r="M223" s="1">
        <v>14540</v>
      </c>
      <c r="N223" s="1">
        <v>14640</v>
      </c>
      <c r="O223" s="1">
        <v>14450</v>
      </c>
      <c r="P223" s="1">
        <v>14450</v>
      </c>
      <c r="Q223" s="1">
        <v>14280</v>
      </c>
      <c r="R223" s="1">
        <v>14110</v>
      </c>
      <c r="S223" s="1">
        <v>14720</v>
      </c>
      <c r="T223" s="1">
        <v>14570</v>
      </c>
      <c r="U223" s="1">
        <v>14530</v>
      </c>
      <c r="V223" s="1">
        <v>14800</v>
      </c>
      <c r="W223" s="1">
        <v>14510</v>
      </c>
      <c r="X223" s="1">
        <v>14530</v>
      </c>
      <c r="Y223" s="1">
        <v>14830</v>
      </c>
      <c r="Z223" s="1">
        <v>15050</v>
      </c>
      <c r="AA223" s="1">
        <v>15010</v>
      </c>
      <c r="AB223" s="1">
        <v>14990</v>
      </c>
      <c r="AC223" s="1">
        <v>15250</v>
      </c>
      <c r="AD223" s="1">
        <v>14980</v>
      </c>
      <c r="AE223" s="1">
        <v>14990</v>
      </c>
      <c r="AF223" s="1">
        <v>15060</v>
      </c>
      <c r="AG223" s="1">
        <v>15370</v>
      </c>
      <c r="AH223" s="1">
        <v>13770</v>
      </c>
      <c r="AI223" s="1">
        <v>14070</v>
      </c>
      <c r="AJ223" s="1">
        <v>14450</v>
      </c>
      <c r="AK223" s="1">
        <v>14280</v>
      </c>
      <c r="AL223" s="1">
        <v>14230</v>
      </c>
      <c r="AM223" s="1">
        <v>14110</v>
      </c>
      <c r="AN223" s="1">
        <v>14060</v>
      </c>
      <c r="AO223" s="1">
        <v>14030</v>
      </c>
      <c r="AP223" s="1">
        <v>13970</v>
      </c>
      <c r="AQ223" s="1">
        <v>13930</v>
      </c>
      <c r="AR223" s="1">
        <v>14420</v>
      </c>
      <c r="AS223" s="1">
        <v>13730</v>
      </c>
      <c r="AT223" s="1">
        <v>14000</v>
      </c>
      <c r="AU223" s="1">
        <v>13840</v>
      </c>
      <c r="AV223" s="1">
        <v>13530</v>
      </c>
      <c r="AW223" s="1">
        <v>13700</v>
      </c>
      <c r="AX223" s="1">
        <v>13210</v>
      </c>
      <c r="AY223" s="1">
        <v>12920</v>
      </c>
      <c r="AZ223" s="1">
        <v>12960</v>
      </c>
      <c r="BA223" s="1">
        <v>13190</v>
      </c>
      <c r="BB223" s="1">
        <v>12850</v>
      </c>
      <c r="BC223" s="1">
        <v>13180</v>
      </c>
      <c r="BD223" s="1">
        <v>13110</v>
      </c>
      <c r="BE223" s="1">
        <v>13620</v>
      </c>
      <c r="BF223" s="1">
        <v>13510</v>
      </c>
      <c r="BG223" s="1">
        <v>13400</v>
      </c>
      <c r="BH223" s="1">
        <v>13390</v>
      </c>
      <c r="BI223" s="1">
        <v>13580</v>
      </c>
      <c r="BJ223" s="1">
        <v>13510</v>
      </c>
      <c r="BK223" s="1">
        <v>12930</v>
      </c>
      <c r="BL223" s="1">
        <v>13190</v>
      </c>
      <c r="BM223" s="1">
        <v>12950</v>
      </c>
      <c r="BN223" s="1">
        <v>11920</v>
      </c>
      <c r="BO223" s="1">
        <v>11730</v>
      </c>
      <c r="BP223" s="1">
        <v>11640</v>
      </c>
      <c r="BQ223" s="1">
        <v>11640</v>
      </c>
      <c r="BR223" s="1">
        <v>11700</v>
      </c>
      <c r="BS223" s="1">
        <v>10370</v>
      </c>
      <c r="BT223" s="1">
        <v>11590</v>
      </c>
      <c r="BU223" s="1">
        <v>11610</v>
      </c>
      <c r="BV223" s="1">
        <v>11600</v>
      </c>
      <c r="BW223" s="1">
        <v>11600</v>
      </c>
      <c r="BX223" s="1">
        <v>11580</v>
      </c>
      <c r="BY223" s="1">
        <v>11580</v>
      </c>
      <c r="BZ223" s="1">
        <v>11580</v>
      </c>
    </row>
    <row r="224" spans="1:254">
      <c r="A224" s="62" t="s">
        <v>437</v>
      </c>
      <c r="B224" s="1" t="str">
        <f>銘柄管理!C224</f>
        <v>ジャパンマテリアル</v>
      </c>
      <c r="C224" s="54">
        <f>_xll.RssMarket("6055","安値")</f>
        <v>2312</v>
      </c>
      <c r="D224" s="16"/>
      <c r="E224" s="2">
        <v>2312</v>
      </c>
      <c r="F224" s="1">
        <v>2356</v>
      </c>
      <c r="G224" s="1">
        <v>2270</v>
      </c>
      <c r="H224" s="1">
        <v>2167</v>
      </c>
      <c r="I224" s="1">
        <v>2154</v>
      </c>
      <c r="J224" s="1">
        <v>1945</v>
      </c>
      <c r="K224" s="1">
        <v>1939</v>
      </c>
      <c r="L224" s="1">
        <v>2103</v>
      </c>
      <c r="M224" s="1">
        <v>2219</v>
      </c>
      <c r="N224" s="1">
        <v>2218</v>
      </c>
      <c r="O224" s="1">
        <v>2320</v>
      </c>
      <c r="P224" s="1">
        <v>2313</v>
      </c>
      <c r="Q224" s="1">
        <v>2212</v>
      </c>
      <c r="R224" s="1">
        <v>2151</v>
      </c>
      <c r="S224" s="1">
        <v>2525</v>
      </c>
      <c r="T224" s="1">
        <v>2495</v>
      </c>
      <c r="U224" s="1">
        <v>2582</v>
      </c>
      <c r="V224" s="1">
        <v>2620</v>
      </c>
      <c r="W224" s="1">
        <v>2498</v>
      </c>
      <c r="X224" s="1">
        <v>2469</v>
      </c>
      <c r="Y224" s="1">
        <v>2482</v>
      </c>
      <c r="Z224" s="1">
        <v>2377</v>
      </c>
      <c r="AA224" s="1">
        <v>2301</v>
      </c>
      <c r="AB224" s="1">
        <v>2460</v>
      </c>
      <c r="AC224" s="1">
        <v>2655</v>
      </c>
      <c r="AD224" s="1">
        <v>2541</v>
      </c>
      <c r="AE224" s="1">
        <v>2518</v>
      </c>
      <c r="AF224" s="1">
        <v>2566</v>
      </c>
      <c r="AG224" s="1">
        <v>2622</v>
      </c>
      <c r="AH224" s="1">
        <v>2470</v>
      </c>
      <c r="AI224" s="1">
        <v>2553</v>
      </c>
      <c r="AJ224" s="1">
        <v>2451</v>
      </c>
      <c r="AK224" s="1">
        <v>2427</v>
      </c>
      <c r="AL224" s="1">
        <v>2368</v>
      </c>
      <c r="AM224" s="1">
        <v>2325</v>
      </c>
      <c r="AN224" s="1">
        <v>2391</v>
      </c>
      <c r="AO224" s="1">
        <v>2388</v>
      </c>
      <c r="AP224" s="1">
        <v>2251</v>
      </c>
      <c r="AQ224" s="1">
        <v>2051</v>
      </c>
      <c r="AR224" s="1">
        <v>2087</v>
      </c>
      <c r="AS224" s="1">
        <v>2051</v>
      </c>
      <c r="AT224" s="1">
        <v>2155</v>
      </c>
      <c r="AU224" s="1">
        <v>2117</v>
      </c>
      <c r="AV224" s="1">
        <v>2039</v>
      </c>
      <c r="AW224" s="1">
        <v>1956</v>
      </c>
      <c r="AX224" s="1">
        <v>2030</v>
      </c>
      <c r="AY224" s="1">
        <v>2000</v>
      </c>
      <c r="AZ224" s="1">
        <v>2041</v>
      </c>
      <c r="BA224" s="1">
        <v>2016</v>
      </c>
      <c r="BB224" s="1">
        <v>1981</v>
      </c>
      <c r="BC224" s="1">
        <v>1963</v>
      </c>
      <c r="BD224" s="1">
        <v>1885</v>
      </c>
      <c r="BE224" s="1">
        <v>1938</v>
      </c>
      <c r="BF224" s="1">
        <v>2065</v>
      </c>
      <c r="BG224" s="1">
        <v>1953</v>
      </c>
      <c r="BH224" s="1">
        <v>2006</v>
      </c>
      <c r="BI224" s="1">
        <v>2052</v>
      </c>
      <c r="BJ224" s="1">
        <v>2095</v>
      </c>
      <c r="BK224" s="1">
        <v>1996</v>
      </c>
      <c r="BL224" s="1">
        <v>1922</v>
      </c>
      <c r="BM224" s="1">
        <v>1914</v>
      </c>
      <c r="BN224" s="1">
        <v>1778</v>
      </c>
      <c r="BO224" s="1">
        <v>1768</v>
      </c>
      <c r="BP224" s="1">
        <v>1794</v>
      </c>
      <c r="BQ224" s="1">
        <v>1838</v>
      </c>
      <c r="BR224" s="1">
        <v>1786</v>
      </c>
      <c r="BS224" s="1">
        <v>1751</v>
      </c>
      <c r="BT224" s="1">
        <v>1803</v>
      </c>
      <c r="BU224" s="1">
        <v>1834</v>
      </c>
      <c r="BV224" s="1">
        <v>1836</v>
      </c>
      <c r="BW224" s="1">
        <v>1850</v>
      </c>
      <c r="BX224" s="1">
        <v>1886</v>
      </c>
      <c r="BY224" s="1">
        <v>1880</v>
      </c>
      <c r="BZ224" s="1">
        <v>1840</v>
      </c>
    </row>
    <row r="225" spans="1:254">
      <c r="A225" s="62" t="s">
        <v>438</v>
      </c>
      <c r="B225" s="1" t="str">
        <f>銘柄管理!C225</f>
        <v>ミナトホールディングス</v>
      </c>
      <c r="C225" s="1">
        <f>_xll.RssMarket("6862","安値")</f>
        <v>2242</v>
      </c>
      <c r="E225" s="2">
        <v>2242</v>
      </c>
      <c r="F225" s="1">
        <v>2233</v>
      </c>
      <c r="G225" s="1">
        <v>2124</v>
      </c>
      <c r="H225" s="1">
        <v>1938</v>
      </c>
      <c r="I225" s="1">
        <v>1973</v>
      </c>
      <c r="J225" s="1">
        <v>1543</v>
      </c>
      <c r="K225" s="1">
        <v>1521</v>
      </c>
      <c r="L225" s="1">
        <v>1671</v>
      </c>
      <c r="M225" s="1">
        <v>1800</v>
      </c>
      <c r="N225" s="1">
        <v>1821</v>
      </c>
      <c r="O225" s="1">
        <v>1880</v>
      </c>
      <c r="P225" s="1">
        <v>1863</v>
      </c>
      <c r="Q225" s="1">
        <v>1748</v>
      </c>
      <c r="R225" s="1">
        <v>1710</v>
      </c>
      <c r="S225" s="1">
        <v>2000</v>
      </c>
      <c r="T225" s="1">
        <v>1949</v>
      </c>
      <c r="U225" s="1">
        <v>1968</v>
      </c>
      <c r="V225" s="1">
        <v>2015</v>
      </c>
      <c r="W225" s="1">
        <v>1951</v>
      </c>
      <c r="X225" s="1">
        <v>1931</v>
      </c>
      <c r="Y225" s="1">
        <v>2000</v>
      </c>
      <c r="Z225" s="1">
        <v>2051</v>
      </c>
      <c r="AA225" s="1">
        <v>2031</v>
      </c>
      <c r="AB225" s="1">
        <v>2043</v>
      </c>
      <c r="AC225" s="1">
        <v>2110</v>
      </c>
      <c r="AD225" s="1">
        <v>2072</v>
      </c>
      <c r="AE225" s="1">
        <v>2046</v>
      </c>
      <c r="AF225" s="1">
        <v>2131</v>
      </c>
      <c r="AG225" s="1">
        <v>2278</v>
      </c>
      <c r="AH225" s="1">
        <v>2143</v>
      </c>
      <c r="AI225" s="1">
        <v>2210</v>
      </c>
      <c r="AJ225" s="1">
        <v>2327</v>
      </c>
      <c r="AK225" s="1">
        <v>2276</v>
      </c>
      <c r="AL225" s="1">
        <v>2214</v>
      </c>
      <c r="AM225" s="1">
        <v>2050</v>
      </c>
      <c r="AN225" s="1">
        <v>2036</v>
      </c>
      <c r="AO225" s="1">
        <v>1980</v>
      </c>
      <c r="AP225" s="1">
        <v>1900</v>
      </c>
      <c r="AQ225" s="1">
        <v>1891</v>
      </c>
      <c r="AR225" s="1">
        <v>1915</v>
      </c>
      <c r="AS225" s="1">
        <v>2040</v>
      </c>
      <c r="AT225" s="1">
        <v>2103</v>
      </c>
      <c r="AU225" s="1">
        <v>2097</v>
      </c>
      <c r="AV225" s="1">
        <v>2202</v>
      </c>
      <c r="AW225" s="1">
        <v>2068</v>
      </c>
      <c r="AX225" s="1">
        <v>2180</v>
      </c>
      <c r="AY225" s="1">
        <v>2130</v>
      </c>
      <c r="AZ225" s="1">
        <v>2232</v>
      </c>
      <c r="BA225" s="1">
        <v>2541</v>
      </c>
      <c r="BB225" s="1">
        <v>2513</v>
      </c>
      <c r="BC225" s="1">
        <v>2335</v>
      </c>
      <c r="BD225" s="1">
        <v>2320</v>
      </c>
      <c r="BE225" s="1">
        <v>2500</v>
      </c>
      <c r="BF225" s="1">
        <v>2680</v>
      </c>
      <c r="BG225" s="1">
        <v>2671</v>
      </c>
      <c r="BH225" s="1">
        <v>2853</v>
      </c>
      <c r="BI225" s="1">
        <v>2930</v>
      </c>
      <c r="BJ225" s="1">
        <v>3505</v>
      </c>
      <c r="BK225" s="1">
        <v>3450</v>
      </c>
      <c r="BL225" s="1">
        <v>3550</v>
      </c>
      <c r="BM225" s="1">
        <v>3640</v>
      </c>
      <c r="BN225" s="1">
        <v>2752</v>
      </c>
      <c r="BO225" s="1">
        <v>2622</v>
      </c>
      <c r="BP225" s="1">
        <v>2585</v>
      </c>
      <c r="BQ225" s="1">
        <v>2480</v>
      </c>
      <c r="BR225" s="1">
        <v>2379</v>
      </c>
      <c r="BS225" s="1">
        <v>2390</v>
      </c>
      <c r="BT225" s="1">
        <v>2430</v>
      </c>
      <c r="BU225" s="1">
        <v>2498</v>
      </c>
      <c r="BV225" s="1">
        <v>2417</v>
      </c>
      <c r="BW225" s="1">
        <v>2367</v>
      </c>
      <c r="BX225" s="1">
        <v>2380</v>
      </c>
      <c r="BY225" s="1">
        <v>2360</v>
      </c>
      <c r="BZ225" s="1">
        <v>2420</v>
      </c>
    </row>
    <row r="226" spans="1:254">
      <c r="A226" s="62" t="s">
        <v>439</v>
      </c>
      <c r="B226" s="1" t="str">
        <f>銘柄管理!C226</f>
        <v>ヤクルト</v>
      </c>
      <c r="C226" s="1">
        <f>_xll.RssMarket("2267","安値")</f>
        <v>2760</v>
      </c>
      <c r="E226" s="2">
        <v>2760</v>
      </c>
      <c r="F226" s="1">
        <v>2737.5</v>
      </c>
      <c r="G226" s="1">
        <v>2743.5</v>
      </c>
      <c r="H226" s="1">
        <v>2718</v>
      </c>
      <c r="I226" s="1">
        <v>2679</v>
      </c>
      <c r="J226" s="1">
        <v>2844</v>
      </c>
      <c r="K226" s="1">
        <v>2830</v>
      </c>
      <c r="L226" s="1">
        <v>2798</v>
      </c>
      <c r="M226" s="1">
        <v>2740.5</v>
      </c>
      <c r="N226" s="1">
        <v>2675</v>
      </c>
      <c r="O226" s="1">
        <v>2744</v>
      </c>
      <c r="P226" s="1">
        <v>2738.5</v>
      </c>
      <c r="Q226" s="1">
        <v>2774.5</v>
      </c>
      <c r="R226" s="1">
        <v>2797</v>
      </c>
      <c r="S226" s="1">
        <v>2808.5</v>
      </c>
      <c r="T226" s="1">
        <v>2827.5</v>
      </c>
      <c r="U226" s="1">
        <v>2836</v>
      </c>
      <c r="V226" s="1">
        <v>2803</v>
      </c>
      <c r="W226" s="1">
        <v>2824.5</v>
      </c>
      <c r="X226" s="1">
        <v>2878.5</v>
      </c>
      <c r="Y226" s="1">
        <v>2850</v>
      </c>
      <c r="Z226" s="1">
        <v>2850</v>
      </c>
      <c r="AA226" s="1">
        <v>2807.5</v>
      </c>
      <c r="AB226" s="1">
        <v>2716</v>
      </c>
      <c r="AC226" s="1">
        <v>2689</v>
      </c>
      <c r="AD226" s="1">
        <v>2727.5</v>
      </c>
      <c r="AE226" s="1">
        <v>2725.5</v>
      </c>
      <c r="AF226" s="1">
        <v>2717.5</v>
      </c>
      <c r="AG226" s="1">
        <v>2705</v>
      </c>
      <c r="AH226" s="1">
        <v>2700</v>
      </c>
      <c r="AI226" s="1">
        <v>2693.5</v>
      </c>
      <c r="AJ226" s="1">
        <v>2656</v>
      </c>
      <c r="AK226" s="1">
        <v>2669.5</v>
      </c>
      <c r="AL226" s="1">
        <v>2604.5</v>
      </c>
      <c r="AM226" s="1">
        <v>2612.5</v>
      </c>
      <c r="AN226" s="1">
        <v>2619</v>
      </c>
      <c r="AO226" s="1">
        <v>2645.5</v>
      </c>
      <c r="AP226" s="1">
        <v>2640</v>
      </c>
      <c r="AQ226" s="1">
        <v>2648</v>
      </c>
      <c r="AR226" s="1">
        <v>2656</v>
      </c>
      <c r="AS226" s="1">
        <v>2633.5</v>
      </c>
      <c r="AT226" s="1">
        <v>2626</v>
      </c>
      <c r="AU226" s="1">
        <v>2669</v>
      </c>
      <c r="AV226" s="1">
        <v>2685</v>
      </c>
      <c r="AW226" s="1">
        <v>2630.5</v>
      </c>
      <c r="AX226" s="1">
        <v>2664.5</v>
      </c>
      <c r="AY226" s="1">
        <v>2706</v>
      </c>
      <c r="AZ226" s="1">
        <v>2660</v>
      </c>
      <c r="BA226" s="1">
        <v>2752</v>
      </c>
      <c r="BB226" s="1">
        <v>2704.5</v>
      </c>
      <c r="BC226" s="1">
        <v>2754</v>
      </c>
      <c r="BD226" s="1">
        <v>2757.5</v>
      </c>
      <c r="BE226" s="1">
        <v>2714</v>
      </c>
      <c r="BF226" s="1">
        <v>2700</v>
      </c>
      <c r="BG226" s="1">
        <v>2730</v>
      </c>
      <c r="BH226" s="1">
        <v>2760</v>
      </c>
      <c r="BI226" s="1">
        <v>2642</v>
      </c>
      <c r="BJ226" s="1">
        <v>2620</v>
      </c>
      <c r="BK226" s="1">
        <v>2844.5</v>
      </c>
      <c r="BL226" s="1">
        <v>2885</v>
      </c>
      <c r="BM226" s="1">
        <v>2911</v>
      </c>
      <c r="BN226" s="1">
        <v>2798</v>
      </c>
      <c r="BO226" s="1">
        <v>2706.5</v>
      </c>
      <c r="BP226" s="1">
        <v>2711</v>
      </c>
      <c r="BQ226" s="1">
        <v>2701.5</v>
      </c>
      <c r="BR226" s="1">
        <v>2615.5</v>
      </c>
      <c r="BS226" s="1">
        <v>2583.5</v>
      </c>
      <c r="BT226" s="1">
        <v>2598.5</v>
      </c>
      <c r="BU226" s="1">
        <v>2604.5</v>
      </c>
      <c r="BV226" s="1">
        <v>2618.5</v>
      </c>
      <c r="BW226" s="1">
        <v>2641</v>
      </c>
      <c r="BX226" s="1">
        <v>2645.5</v>
      </c>
      <c r="BY226" s="1">
        <v>2625.5</v>
      </c>
      <c r="BZ226" s="1">
        <v>2604</v>
      </c>
    </row>
    <row r="227" spans="1:254">
      <c r="A227" s="62" t="s">
        <v>440</v>
      </c>
      <c r="B227" s="1" t="str">
        <f>銘柄管理!C227</f>
        <v>ＮＦエネ資源Ｔ１７</v>
      </c>
      <c r="C227" s="1">
        <f>_xll.RssMarket("1618","安値")</f>
        <v>31970</v>
      </c>
      <c r="E227" s="2">
        <v>31970</v>
      </c>
      <c r="F227" s="1">
        <v>32160</v>
      </c>
      <c r="G227" s="1">
        <v>32390</v>
      </c>
      <c r="H227" s="1">
        <v>32130</v>
      </c>
      <c r="I227" s="1">
        <v>33470</v>
      </c>
      <c r="J227" s="1">
        <v>33280</v>
      </c>
      <c r="K227" s="1">
        <v>32870</v>
      </c>
      <c r="L227" s="1">
        <v>32910</v>
      </c>
      <c r="M227" s="1">
        <v>33710</v>
      </c>
      <c r="N227" s="1">
        <v>33960</v>
      </c>
      <c r="O227" s="1">
        <v>33560</v>
      </c>
      <c r="P227" s="1">
        <v>33000</v>
      </c>
      <c r="Q227" s="1">
        <v>32030</v>
      </c>
      <c r="R227" s="1">
        <v>31540</v>
      </c>
      <c r="S227" s="1">
        <v>32260</v>
      </c>
      <c r="T227" s="1">
        <v>32010</v>
      </c>
      <c r="U227" s="1">
        <v>32390</v>
      </c>
      <c r="V227" s="1">
        <v>32280</v>
      </c>
      <c r="W227" s="1">
        <v>32450</v>
      </c>
      <c r="X227" s="1">
        <v>32190</v>
      </c>
      <c r="Y227" s="1">
        <v>31910</v>
      </c>
      <c r="Z227" s="1">
        <v>31480</v>
      </c>
      <c r="AA227" s="1">
        <v>31460</v>
      </c>
      <c r="AB227" s="1">
        <v>30820</v>
      </c>
      <c r="AC227" s="1">
        <v>30980</v>
      </c>
      <c r="AD227" s="1">
        <v>30970</v>
      </c>
      <c r="AE227" s="1">
        <v>30630</v>
      </c>
      <c r="AF227" s="1">
        <v>31090</v>
      </c>
      <c r="AG227" s="1">
        <v>30970</v>
      </c>
      <c r="AH227" s="1">
        <v>31750</v>
      </c>
      <c r="AI227" s="1">
        <v>32250</v>
      </c>
      <c r="AJ227" s="1">
        <v>32500</v>
      </c>
      <c r="AK227" s="1">
        <v>31810</v>
      </c>
      <c r="AL227" s="1">
        <v>32120</v>
      </c>
      <c r="AM227" s="1">
        <v>31780</v>
      </c>
      <c r="AN227" s="1">
        <v>32100</v>
      </c>
      <c r="AO227" s="1">
        <v>32730</v>
      </c>
      <c r="AP227" s="1">
        <v>32420</v>
      </c>
      <c r="AQ227" s="1">
        <v>32350</v>
      </c>
      <c r="AR227" s="1">
        <v>32130</v>
      </c>
      <c r="AS227" s="1">
        <v>33010</v>
      </c>
      <c r="AT227" s="1">
        <v>33910</v>
      </c>
      <c r="AU227" s="1">
        <v>33790</v>
      </c>
      <c r="AV227" s="1">
        <v>34100</v>
      </c>
      <c r="AW227" s="1">
        <v>32760</v>
      </c>
      <c r="AX227" s="1">
        <v>33520</v>
      </c>
      <c r="AY227" s="1">
        <v>33490</v>
      </c>
      <c r="AZ227" s="1">
        <v>33570</v>
      </c>
      <c r="BA227" s="1">
        <v>33740</v>
      </c>
      <c r="BB227" s="1">
        <v>34370</v>
      </c>
      <c r="BC227" s="1">
        <v>34870</v>
      </c>
      <c r="BD227" s="1">
        <v>35400</v>
      </c>
      <c r="BE227" s="1">
        <v>35710</v>
      </c>
      <c r="BF227" s="1">
        <v>35800</v>
      </c>
      <c r="BG227" s="1">
        <v>35530</v>
      </c>
      <c r="BH227" s="1">
        <v>35000</v>
      </c>
      <c r="BI227" s="1">
        <v>35800</v>
      </c>
      <c r="BJ227" s="1">
        <v>35720</v>
      </c>
      <c r="BK227" s="1">
        <v>34580</v>
      </c>
      <c r="BL227" s="1">
        <v>34250</v>
      </c>
      <c r="BM227" s="1">
        <v>35260</v>
      </c>
      <c r="BN227" s="1">
        <v>35650</v>
      </c>
      <c r="BO227" s="1">
        <v>35700</v>
      </c>
      <c r="BP227" s="1">
        <v>35220</v>
      </c>
      <c r="BQ227" s="1">
        <v>34600</v>
      </c>
      <c r="BR227" s="1">
        <v>35510</v>
      </c>
      <c r="BS227" s="1">
        <v>35000</v>
      </c>
      <c r="BT227" s="1">
        <v>35340</v>
      </c>
      <c r="BU227" s="1">
        <v>35630</v>
      </c>
      <c r="BV227" s="1">
        <v>35950</v>
      </c>
      <c r="BW227" s="1">
        <v>37150</v>
      </c>
      <c r="BX227" s="1">
        <v>37580</v>
      </c>
      <c r="BY227" s="1">
        <v>37650</v>
      </c>
      <c r="BZ227" s="1">
        <v>37800</v>
      </c>
    </row>
    <row r="228" spans="1:254">
      <c r="A228" s="62" t="s">
        <v>441</v>
      </c>
      <c r="C228" s="1">
        <f>_xll.RssMarket("3696","安値")</f>
        <v>2051</v>
      </c>
      <c r="E228" s="2">
        <v>2051</v>
      </c>
      <c r="F228" s="1">
        <v>2055</v>
      </c>
    </row>
    <row r="229" spans="1:254">
      <c r="A229" s="62" t="s">
        <v>442</v>
      </c>
      <c r="B229" s="1" t="str">
        <f>銘柄管理!C229</f>
        <v>児玉化学</v>
      </c>
      <c r="C229" s="1">
        <f>_xll.RssMarket("4222","安値")</f>
        <v>603</v>
      </c>
      <c r="E229" s="2">
        <v>603</v>
      </c>
      <c r="F229" s="1">
        <v>582</v>
      </c>
      <c r="G229" s="1">
        <v>570</v>
      </c>
      <c r="H229" s="1">
        <v>546</v>
      </c>
      <c r="I229" s="1">
        <v>552</v>
      </c>
      <c r="J229" s="1">
        <v>538</v>
      </c>
      <c r="K229" s="1">
        <v>545</v>
      </c>
      <c r="L229" s="1">
        <v>567</v>
      </c>
      <c r="M229" s="1">
        <v>579</v>
      </c>
      <c r="O229" s="1">
        <v>610</v>
      </c>
      <c r="P229" s="1">
        <v>610</v>
      </c>
      <c r="Q229" s="1">
        <v>591</v>
      </c>
      <c r="R229" s="1">
        <v>585</v>
      </c>
      <c r="S229" s="1">
        <v>633</v>
      </c>
      <c r="T229" s="1">
        <v>639</v>
      </c>
      <c r="U229" s="1">
        <v>645</v>
      </c>
      <c r="V229" s="1">
        <v>647</v>
      </c>
      <c r="W229" s="1">
        <v>632</v>
      </c>
      <c r="X229" s="1">
        <v>643</v>
      </c>
      <c r="Y229" s="1">
        <v>655</v>
      </c>
      <c r="Z229" s="1">
        <v>678</v>
      </c>
      <c r="AA229" s="1">
        <v>648</v>
      </c>
      <c r="AB229" s="1">
        <v>642</v>
      </c>
      <c r="AC229" s="1">
        <v>630</v>
      </c>
      <c r="AD229" s="1">
        <v>628</v>
      </c>
      <c r="AE229" s="1">
        <v>642</v>
      </c>
      <c r="AF229" s="1">
        <v>646</v>
      </c>
      <c r="AG229" s="1">
        <v>662</v>
      </c>
      <c r="AH229" s="1">
        <v>666</v>
      </c>
      <c r="AI229" s="1">
        <v>700</v>
      </c>
      <c r="AJ229" s="1">
        <v>709</v>
      </c>
      <c r="AK229" s="1">
        <v>698</v>
      </c>
      <c r="AL229" s="1">
        <v>701</v>
      </c>
      <c r="AM229" s="1">
        <v>683</v>
      </c>
      <c r="AN229" s="1">
        <v>677</v>
      </c>
      <c r="AO229" s="1">
        <v>664</v>
      </c>
      <c r="AP229" s="1">
        <v>642</v>
      </c>
      <c r="AQ229" s="1">
        <v>653</v>
      </c>
      <c r="AR229" s="1">
        <v>648</v>
      </c>
      <c r="AS229" s="1">
        <v>673</v>
      </c>
      <c r="AT229" s="1">
        <v>699</v>
      </c>
      <c r="AU229" s="1">
        <v>693</v>
      </c>
      <c r="AV229" s="1">
        <v>687</v>
      </c>
      <c r="AW229" s="1">
        <v>681</v>
      </c>
      <c r="AX229" s="1">
        <v>726</v>
      </c>
      <c r="AY229" s="1">
        <v>728</v>
      </c>
      <c r="AZ229" s="1">
        <v>753</v>
      </c>
      <c r="BA229" s="1">
        <v>790</v>
      </c>
      <c r="BB229" s="1">
        <v>774</v>
      </c>
      <c r="BC229" s="1">
        <v>800</v>
      </c>
      <c r="BD229" s="1">
        <v>800</v>
      </c>
      <c r="BE229" s="1">
        <v>846</v>
      </c>
      <c r="BF229" s="1">
        <v>851</v>
      </c>
      <c r="BG229" s="1">
        <v>894</v>
      </c>
      <c r="BH229" s="1">
        <v>1161</v>
      </c>
      <c r="BI229" s="1">
        <v>1189</v>
      </c>
      <c r="BJ229" s="1">
        <v>1241</v>
      </c>
      <c r="BK229" s="1">
        <v>1169</v>
      </c>
      <c r="BL229" s="1">
        <v>1130</v>
      </c>
      <c r="BM229" s="1">
        <v>1121</v>
      </c>
      <c r="BN229" s="1">
        <v>1084</v>
      </c>
      <c r="BO229" s="1">
        <v>1101</v>
      </c>
      <c r="BP229" s="1">
        <v>1115</v>
      </c>
      <c r="BQ229" s="1">
        <v>1132</v>
      </c>
      <c r="BR229" s="1">
        <v>1110</v>
      </c>
      <c r="BS229" s="1">
        <v>1116</v>
      </c>
      <c r="BT229" s="1">
        <v>1145</v>
      </c>
      <c r="BU229" s="1">
        <v>1151</v>
      </c>
      <c r="BV229" s="1">
        <v>1145</v>
      </c>
      <c r="BW229" s="1">
        <v>1137</v>
      </c>
      <c r="BX229" s="1">
        <v>1142</v>
      </c>
      <c r="BY229" s="1">
        <v>1130</v>
      </c>
      <c r="BZ229" s="1">
        <v>1124</v>
      </c>
    </row>
    <row r="230" spans="1:254">
      <c r="A230" s="62" t="s">
        <v>443</v>
      </c>
      <c r="B230" s="1" t="str">
        <f>銘柄管理!C230</f>
        <v>ＦＯＯＤ＆ＬＩＦＥＣＯＭＰＡＮ</v>
      </c>
      <c r="C230" s="1">
        <f>_xll.RssMarket("3563","安値")</f>
        <v>5786</v>
      </c>
      <c r="E230" s="1">
        <v>5786</v>
      </c>
      <c r="F230" s="1">
        <v>5633</v>
      </c>
    </row>
    <row r="231" spans="1:254">
      <c r="A231" s="62" t="s">
        <v>444</v>
      </c>
      <c r="B231" s="1" t="str">
        <f>銘柄管理!C231</f>
        <v>ＩＨＩ</v>
      </c>
      <c r="C231" s="1">
        <f>_xll.RssMarket("7013","安値")</f>
        <v>2617.5</v>
      </c>
      <c r="E231" s="1">
        <v>2617.5</v>
      </c>
      <c r="F231" s="1">
        <v>2658</v>
      </c>
      <c r="G231" s="1">
        <v>2782.5</v>
      </c>
      <c r="H231" s="1">
        <v>2677.5</v>
      </c>
      <c r="I231" s="1">
        <v>2804</v>
      </c>
      <c r="J231" s="1">
        <v>2701</v>
      </c>
      <c r="K231" s="1">
        <v>2704</v>
      </c>
      <c r="L231" s="1">
        <v>2742.5</v>
      </c>
      <c r="M231" s="1">
        <v>2799.5</v>
      </c>
      <c r="O231" s="1">
        <v>2798</v>
      </c>
      <c r="P231" s="1">
        <v>2747</v>
      </c>
      <c r="Q231" s="1">
        <v>2672.5</v>
      </c>
      <c r="R231" s="1">
        <v>2626</v>
      </c>
      <c r="S231" s="1">
        <v>2733</v>
      </c>
      <c r="T231" s="1">
        <v>2773.5</v>
      </c>
      <c r="U231" s="1">
        <v>2725.5</v>
      </c>
      <c r="V231" s="1">
        <v>2770</v>
      </c>
      <c r="W231" s="1">
        <v>2803</v>
      </c>
      <c r="X231" s="1">
        <v>2833</v>
      </c>
      <c r="Y231" s="1">
        <v>2955.5</v>
      </c>
      <c r="Z231" s="1">
        <v>2890</v>
      </c>
      <c r="AA231" s="1">
        <v>2741</v>
      </c>
      <c r="AB231" s="1">
        <v>2712</v>
      </c>
      <c r="AC231" s="1">
        <v>2637</v>
      </c>
      <c r="AD231" s="1">
        <v>2641.5</v>
      </c>
      <c r="AE231" s="1">
        <v>2653</v>
      </c>
      <c r="AF231" s="1">
        <v>2639.5</v>
      </c>
      <c r="AG231" s="1">
        <v>2719</v>
      </c>
      <c r="AH231" s="1">
        <v>2700.5</v>
      </c>
      <c r="AI231" s="1">
        <v>2703.5</v>
      </c>
      <c r="AJ231" s="1">
        <v>2794</v>
      </c>
      <c r="AK231" s="1">
        <v>2748</v>
      </c>
      <c r="AL231" s="1">
        <v>2862</v>
      </c>
      <c r="AM231" s="1">
        <v>2800</v>
      </c>
      <c r="AN231" s="1">
        <v>2762</v>
      </c>
      <c r="AO231" s="1">
        <v>2498</v>
      </c>
      <c r="AP231" s="1">
        <v>2371</v>
      </c>
      <c r="AQ231" s="1">
        <v>2245</v>
      </c>
      <c r="AR231" s="1">
        <v>2416.5</v>
      </c>
      <c r="AS231" s="1">
        <v>2475.5</v>
      </c>
      <c r="AT231" s="1">
        <v>2542.5</v>
      </c>
      <c r="AU231" s="1">
        <v>2452</v>
      </c>
      <c r="AV231" s="1">
        <v>2411</v>
      </c>
      <c r="AW231" s="1">
        <v>2526.5</v>
      </c>
      <c r="AX231" s="1">
        <v>2718</v>
      </c>
      <c r="AY231" s="1">
        <v>2694</v>
      </c>
      <c r="AZ231" s="1">
        <v>2809</v>
      </c>
      <c r="BA231" s="1">
        <v>2738</v>
      </c>
      <c r="BB231" s="1">
        <v>2711</v>
      </c>
      <c r="BC231" s="1">
        <v>2598.5</v>
      </c>
      <c r="BD231" s="1">
        <v>2468</v>
      </c>
      <c r="BE231" s="1">
        <v>2561</v>
      </c>
      <c r="BF231" s="1">
        <v>2664.5</v>
      </c>
      <c r="BG231" s="1">
        <v>2635</v>
      </c>
      <c r="BH231" s="1">
        <v>2642</v>
      </c>
      <c r="BI231" s="1">
        <v>2735.5</v>
      </c>
      <c r="BJ231" s="1">
        <v>2778.5</v>
      </c>
      <c r="BK231" s="1">
        <v>2803.5</v>
      </c>
      <c r="BL231" s="1">
        <v>3001</v>
      </c>
      <c r="BM231" s="1">
        <v>2838</v>
      </c>
      <c r="BN231" s="1">
        <v>2827.5</v>
      </c>
      <c r="BO231" s="1">
        <v>2832.5</v>
      </c>
      <c r="BP231" s="1">
        <v>2905</v>
      </c>
      <c r="BQ231" s="1">
        <v>2811</v>
      </c>
      <c r="BR231" s="1">
        <v>2969</v>
      </c>
      <c r="BS231" s="1">
        <v>3001</v>
      </c>
      <c r="BT231" s="1">
        <v>2912</v>
      </c>
      <c r="BU231" s="1">
        <v>3041</v>
      </c>
      <c r="BV231" s="1">
        <v>3099</v>
      </c>
      <c r="BW231" s="1">
        <v>3081</v>
      </c>
      <c r="BX231" s="1">
        <v>3141</v>
      </c>
      <c r="BY231" s="1">
        <v>3145</v>
      </c>
      <c r="BZ231" s="1">
        <v>3241</v>
      </c>
    </row>
    <row r="232" spans="1:254">
      <c r="A232" s="62" t="s">
        <v>445</v>
      </c>
      <c r="B232" s="1" t="str">
        <f>銘柄管理!C232</f>
        <v>ＮＥＣキャピタルソリューション</v>
      </c>
      <c r="C232" s="1">
        <f>_xll.RssMarket("8793","安値")</f>
        <v>4025</v>
      </c>
      <c r="E232" s="1">
        <v>4025</v>
      </c>
      <c r="F232" s="1">
        <v>4010</v>
      </c>
      <c r="G232" s="1">
        <v>4020</v>
      </c>
      <c r="H232" s="1">
        <v>3980</v>
      </c>
      <c r="I232" s="1">
        <v>4140</v>
      </c>
      <c r="J232" s="1">
        <v>4120</v>
      </c>
      <c r="K232" s="1">
        <v>4105</v>
      </c>
      <c r="L232" s="1">
        <v>4060</v>
      </c>
      <c r="M232" s="1">
        <v>4065</v>
      </c>
      <c r="N232" s="1">
        <v>4050</v>
      </c>
      <c r="O232" s="1">
        <v>4090</v>
      </c>
      <c r="P232" s="1">
        <v>4075</v>
      </c>
      <c r="Q232" s="1">
        <v>4035</v>
      </c>
      <c r="R232" s="1">
        <v>3990</v>
      </c>
      <c r="S232" s="1">
        <v>4100</v>
      </c>
      <c r="T232" s="1">
        <v>4130</v>
      </c>
      <c r="U232" s="1">
        <v>4135</v>
      </c>
      <c r="V232" s="1">
        <v>4120</v>
      </c>
      <c r="W232" s="1">
        <v>4080</v>
      </c>
      <c r="X232" s="1">
        <v>4105</v>
      </c>
      <c r="Y232" s="1">
        <v>4090</v>
      </c>
      <c r="Z232" s="1">
        <v>4020</v>
      </c>
      <c r="AA232" s="1">
        <v>3990</v>
      </c>
      <c r="AB232" s="1">
        <v>3970</v>
      </c>
      <c r="AC232" s="1">
        <v>3970</v>
      </c>
      <c r="AD232" s="1">
        <v>3975</v>
      </c>
      <c r="AE232" s="1">
        <v>3965</v>
      </c>
      <c r="AF232" s="1">
        <v>3970</v>
      </c>
      <c r="AG232" s="1">
        <v>4010</v>
      </c>
      <c r="AH232" s="1">
        <v>3995</v>
      </c>
      <c r="AI232" s="1">
        <v>4010</v>
      </c>
      <c r="AJ232" s="1">
        <v>4050</v>
      </c>
      <c r="AK232" s="1">
        <v>4090</v>
      </c>
      <c r="AL232" s="1">
        <v>4060</v>
      </c>
      <c r="AM232" s="1">
        <v>4100</v>
      </c>
      <c r="AN232" s="1">
        <v>4070</v>
      </c>
      <c r="AO232" s="1">
        <v>4135</v>
      </c>
      <c r="AP232" s="1">
        <v>4105</v>
      </c>
      <c r="AQ232" s="1">
        <v>4075</v>
      </c>
      <c r="AR232" s="1">
        <v>4105</v>
      </c>
      <c r="AS232" s="1">
        <v>3985</v>
      </c>
      <c r="AT232" s="1">
        <v>3950</v>
      </c>
      <c r="AU232" s="1">
        <v>3900</v>
      </c>
      <c r="AV232" s="1">
        <v>3850</v>
      </c>
      <c r="AW232" s="1">
        <v>3850</v>
      </c>
      <c r="AX232" s="1">
        <v>3960</v>
      </c>
      <c r="AY232" s="1">
        <v>3915</v>
      </c>
      <c r="AZ232" s="1">
        <v>3930</v>
      </c>
      <c r="BA232" s="1">
        <v>3950</v>
      </c>
      <c r="BB232" s="1">
        <v>3960</v>
      </c>
      <c r="BC232" s="1">
        <v>3950</v>
      </c>
      <c r="BD232" s="1">
        <v>3910</v>
      </c>
      <c r="BE232" s="1">
        <v>3925</v>
      </c>
      <c r="BF232" s="1">
        <v>3905</v>
      </c>
      <c r="BG232" s="1">
        <v>3940</v>
      </c>
      <c r="BH232" s="1">
        <v>3975</v>
      </c>
      <c r="BI232" s="1">
        <v>4015</v>
      </c>
      <c r="BJ232" s="1">
        <v>4000</v>
      </c>
      <c r="BK232" s="1">
        <v>4005</v>
      </c>
      <c r="BL232" s="1">
        <v>4020</v>
      </c>
      <c r="BM232" s="1">
        <v>3970</v>
      </c>
      <c r="BN232" s="1">
        <v>4000</v>
      </c>
      <c r="BO232" s="1">
        <v>4025</v>
      </c>
      <c r="BP232" s="1">
        <v>4180</v>
      </c>
      <c r="BQ232" s="1">
        <v>4165</v>
      </c>
      <c r="BR232" s="1">
        <v>4200</v>
      </c>
      <c r="BS232" s="1">
        <v>4175</v>
      </c>
      <c r="BT232" s="1">
        <v>4190</v>
      </c>
      <c r="BU232" s="1">
        <v>4240</v>
      </c>
      <c r="BV232" s="1">
        <v>4255</v>
      </c>
      <c r="BW232" s="1">
        <v>4235</v>
      </c>
      <c r="BX232" s="1">
        <v>4265</v>
      </c>
      <c r="BY232" s="1">
        <v>4240</v>
      </c>
      <c r="BZ232" s="1">
        <v>4150</v>
      </c>
    </row>
    <row r="233" spans="1:254">
      <c r="A233" s="62" t="s">
        <v>446</v>
      </c>
      <c r="B233" s="1" t="str">
        <f>銘柄管理!C233</f>
        <v>ミスミグループ本社</v>
      </c>
      <c r="C233" s="1">
        <f>_xll.RssMarket("9962","安値")</f>
        <v>3787</v>
      </c>
      <c r="E233" s="1">
        <v>3787</v>
      </c>
      <c r="F233" s="1">
        <v>3761</v>
      </c>
      <c r="G233" s="1">
        <v>3952</v>
      </c>
      <c r="H233" s="1">
        <v>3827</v>
      </c>
      <c r="I233" s="1">
        <v>3624</v>
      </c>
      <c r="J233" s="1">
        <v>3413</v>
      </c>
      <c r="K233" s="1">
        <v>3395</v>
      </c>
      <c r="L233" s="1">
        <v>3428</v>
      </c>
      <c r="M233" s="1">
        <v>3583</v>
      </c>
      <c r="N233" s="1">
        <v>3570</v>
      </c>
      <c r="O233" s="1">
        <v>3683</v>
      </c>
      <c r="P233" s="1">
        <v>3709</v>
      </c>
      <c r="Q233" s="1">
        <v>3625</v>
      </c>
      <c r="R233" s="1">
        <v>3515</v>
      </c>
      <c r="S233" s="1">
        <v>3781</v>
      </c>
      <c r="T233" s="1">
        <v>3703</v>
      </c>
      <c r="U233" s="1">
        <v>3819</v>
      </c>
      <c r="V233" s="1">
        <v>3994</v>
      </c>
      <c r="W233" s="1">
        <v>3902</v>
      </c>
      <c r="X233" s="1">
        <v>3787</v>
      </c>
      <c r="Y233" s="1">
        <v>3982</v>
      </c>
      <c r="Z233" s="1">
        <v>4075</v>
      </c>
      <c r="AA233" s="1">
        <v>3974</v>
      </c>
      <c r="AB233" s="1">
        <v>3901</v>
      </c>
      <c r="AC233" s="1">
        <v>3959</v>
      </c>
      <c r="AD233" s="1">
        <v>3886</v>
      </c>
      <c r="AE233" s="1">
        <v>3770</v>
      </c>
      <c r="AF233" s="1">
        <v>3797</v>
      </c>
      <c r="AG233" s="1">
        <v>3743</v>
      </c>
      <c r="AH233" s="1">
        <v>3612</v>
      </c>
      <c r="AI233" s="1">
        <v>3675</v>
      </c>
      <c r="AJ233" s="1">
        <v>3829</v>
      </c>
      <c r="AK233" s="1">
        <v>3815</v>
      </c>
      <c r="AL233" s="1">
        <v>3861</v>
      </c>
      <c r="AM233" s="1">
        <v>3832</v>
      </c>
      <c r="AN233" s="1">
        <v>3806</v>
      </c>
      <c r="AO233" s="1">
        <v>3746</v>
      </c>
      <c r="AP233" s="1">
        <v>3680</v>
      </c>
      <c r="AQ233" s="1">
        <v>3505</v>
      </c>
      <c r="AR233" s="1">
        <v>3530</v>
      </c>
      <c r="AS233" s="1">
        <v>3547</v>
      </c>
      <c r="AT233" s="1">
        <v>3669</v>
      </c>
      <c r="AU233" s="1">
        <v>3726</v>
      </c>
      <c r="AV233" s="1">
        <v>3678</v>
      </c>
      <c r="AW233" s="1">
        <v>3559</v>
      </c>
      <c r="AX233" s="1">
        <v>3683</v>
      </c>
      <c r="AY233" s="1">
        <v>3506</v>
      </c>
      <c r="AZ233" s="1">
        <v>3505</v>
      </c>
      <c r="BA233" s="1">
        <v>3405</v>
      </c>
      <c r="BB233" s="1">
        <v>3376</v>
      </c>
      <c r="BC233" s="1">
        <v>3184</v>
      </c>
      <c r="BD233" s="1">
        <v>3053</v>
      </c>
      <c r="BE233" s="1">
        <v>3071</v>
      </c>
      <c r="BF233" s="1">
        <v>3104</v>
      </c>
      <c r="BG233" s="1">
        <v>3205</v>
      </c>
      <c r="BH233" s="1">
        <v>3348</v>
      </c>
      <c r="BI233" s="1">
        <v>3248</v>
      </c>
      <c r="BJ233" s="1">
        <v>3356</v>
      </c>
      <c r="BK233" s="1">
        <v>3356</v>
      </c>
      <c r="BL233" s="1">
        <v>3386</v>
      </c>
      <c r="BM233" s="1">
        <v>3400</v>
      </c>
      <c r="BN233" s="1">
        <v>3246</v>
      </c>
      <c r="BO233" s="1">
        <v>3350</v>
      </c>
      <c r="BP233" s="1">
        <v>3309</v>
      </c>
      <c r="BQ233" s="1">
        <v>3044</v>
      </c>
      <c r="BR233" s="1">
        <v>2982</v>
      </c>
      <c r="BS233" s="1">
        <v>2963.5</v>
      </c>
      <c r="BT233" s="1">
        <v>3048</v>
      </c>
      <c r="BU233" s="1">
        <v>3107</v>
      </c>
      <c r="BV233" s="1">
        <v>3062</v>
      </c>
      <c r="BW233" s="1">
        <v>3000</v>
      </c>
      <c r="BX233" s="1">
        <v>3006</v>
      </c>
      <c r="BY233" s="1">
        <v>2982.5</v>
      </c>
      <c r="BZ233" s="1">
        <v>2938</v>
      </c>
    </row>
    <row r="234" spans="1:254">
      <c r="A234" s="62" t="s">
        <v>447</v>
      </c>
      <c r="B234" s="1" t="str">
        <f>銘柄管理!C234</f>
        <v>ＴＤＫ</v>
      </c>
      <c r="C234" s="1">
        <f>_xll.RssMarket("6762","安値")</f>
        <v>2977</v>
      </c>
      <c r="E234" s="1">
        <v>2977</v>
      </c>
      <c r="F234" s="1">
        <v>3089</v>
      </c>
      <c r="G234" s="1">
        <v>3002</v>
      </c>
      <c r="H234" s="1">
        <v>3052</v>
      </c>
      <c r="I234" s="1">
        <v>2982.5</v>
      </c>
      <c r="J234" s="1">
        <v>2727</v>
      </c>
      <c r="K234" s="1">
        <v>2651</v>
      </c>
      <c r="L234" s="1">
        <v>2898.5</v>
      </c>
      <c r="M234" s="1">
        <v>2949</v>
      </c>
      <c r="N234" s="1">
        <v>2982.5</v>
      </c>
      <c r="O234" s="1">
        <v>3084</v>
      </c>
      <c r="P234" s="1">
        <v>3095</v>
      </c>
      <c r="Q234" s="1">
        <v>2936</v>
      </c>
      <c r="R234" s="1">
        <v>2847</v>
      </c>
      <c r="S234" s="1">
        <v>3195</v>
      </c>
      <c r="T234" s="1">
        <v>3130</v>
      </c>
      <c r="U234" s="1">
        <v>3166</v>
      </c>
      <c r="V234" s="1">
        <v>3359</v>
      </c>
      <c r="W234" s="1">
        <v>3328</v>
      </c>
      <c r="X234" s="1">
        <v>3241</v>
      </c>
      <c r="Y234" s="1">
        <v>3332</v>
      </c>
      <c r="Z234" s="1">
        <v>3444</v>
      </c>
      <c r="AA234" s="1">
        <v>3514</v>
      </c>
      <c r="AB234" s="1">
        <v>3575</v>
      </c>
      <c r="AC234" s="1">
        <v>3604</v>
      </c>
      <c r="AD234" s="1">
        <v>3510</v>
      </c>
      <c r="AE234" s="1">
        <v>3489</v>
      </c>
      <c r="AF234" s="1">
        <v>3535</v>
      </c>
      <c r="AG234" s="1">
        <v>3820</v>
      </c>
      <c r="AH234" s="1">
        <v>3766</v>
      </c>
      <c r="AI234" s="1">
        <v>3943</v>
      </c>
      <c r="AJ234" s="1">
        <v>3961</v>
      </c>
      <c r="AK234" s="1">
        <v>3867</v>
      </c>
      <c r="AL234" s="1">
        <v>3835</v>
      </c>
      <c r="AM234" s="1">
        <v>3728</v>
      </c>
      <c r="AN234" s="1">
        <v>3802</v>
      </c>
      <c r="AO234" s="1">
        <v>3638</v>
      </c>
      <c r="AP234" s="1">
        <v>3469</v>
      </c>
      <c r="AQ234" s="1">
        <v>3415</v>
      </c>
      <c r="AR234" s="1">
        <v>3587</v>
      </c>
      <c r="AS234" s="1">
        <v>3637</v>
      </c>
      <c r="AT234" s="1">
        <v>3851</v>
      </c>
      <c r="AU234" s="1">
        <v>3872</v>
      </c>
      <c r="AV234" s="1">
        <v>3895</v>
      </c>
      <c r="AW234" s="1">
        <v>3822</v>
      </c>
      <c r="AX234" s="1">
        <v>3958</v>
      </c>
      <c r="AY234" s="1">
        <v>3572</v>
      </c>
      <c r="AZ234" s="1">
        <v>3608</v>
      </c>
      <c r="BA234" s="1">
        <v>3473</v>
      </c>
      <c r="BB234" s="1">
        <v>3132</v>
      </c>
      <c r="BC234" s="1">
        <v>2962.5</v>
      </c>
      <c r="BD234" s="1">
        <v>2836</v>
      </c>
      <c r="BE234" s="1">
        <v>2947</v>
      </c>
      <c r="BF234" s="1">
        <v>2929</v>
      </c>
      <c r="BG234" s="1">
        <v>2965.5</v>
      </c>
      <c r="BH234" s="1">
        <v>2975</v>
      </c>
      <c r="BI234" s="1">
        <v>2851</v>
      </c>
      <c r="BJ234" s="1">
        <v>2906</v>
      </c>
      <c r="BK234" s="1">
        <v>2913.5</v>
      </c>
      <c r="BL234" s="1">
        <v>2890.5</v>
      </c>
      <c r="BM234" s="1">
        <v>2817.5</v>
      </c>
      <c r="BN234" s="1">
        <v>2775</v>
      </c>
      <c r="BO234" s="1">
        <v>2839</v>
      </c>
      <c r="BP234" s="1">
        <v>2659</v>
      </c>
      <c r="BQ234" s="1">
        <v>2636.5</v>
      </c>
      <c r="BR234" s="1">
        <v>2674</v>
      </c>
      <c r="BS234" s="1">
        <v>2621</v>
      </c>
      <c r="BT234" s="1">
        <v>2546</v>
      </c>
      <c r="BU234" s="1">
        <v>2498</v>
      </c>
      <c r="BV234" s="1">
        <v>2518.5</v>
      </c>
      <c r="BW234" s="1">
        <v>2491.5</v>
      </c>
      <c r="BX234" s="1">
        <v>2270.5</v>
      </c>
      <c r="BY234" s="1">
        <v>2226</v>
      </c>
      <c r="BZ234" s="1">
        <v>2259.5</v>
      </c>
    </row>
    <row r="235" spans="1:254">
      <c r="A235" s="62" t="s">
        <v>448</v>
      </c>
      <c r="B235" s="1" t="str">
        <f>銘柄管理!C235</f>
        <v>ＦＩＧ</v>
      </c>
      <c r="C235" s="1">
        <f>_xll.RssMarket("4392","安値")</f>
        <v>910</v>
      </c>
      <c r="E235" s="1">
        <v>910</v>
      </c>
      <c r="F235" s="1">
        <v>901</v>
      </c>
      <c r="G235" s="1">
        <v>842</v>
      </c>
      <c r="H235" s="1">
        <v>826</v>
      </c>
      <c r="I235" s="1">
        <v>855</v>
      </c>
      <c r="J235" s="1">
        <v>812</v>
      </c>
      <c r="K235" s="1">
        <v>830</v>
      </c>
      <c r="L235" s="1">
        <v>888</v>
      </c>
      <c r="M235" s="1">
        <v>941</v>
      </c>
      <c r="N235" s="1">
        <v>988</v>
      </c>
      <c r="O235" s="1">
        <v>1052</v>
      </c>
      <c r="P235" s="1">
        <v>1059</v>
      </c>
      <c r="Q235" s="1">
        <v>1027</v>
      </c>
      <c r="R235" s="1">
        <v>1014</v>
      </c>
      <c r="S235" s="1">
        <v>1046</v>
      </c>
      <c r="T235" s="1">
        <v>1002</v>
      </c>
      <c r="U235" s="1">
        <v>1017</v>
      </c>
      <c r="V235" s="1">
        <v>1063</v>
      </c>
      <c r="W235" s="1">
        <v>1026</v>
      </c>
      <c r="X235" s="1">
        <v>1025</v>
      </c>
      <c r="Y235" s="1">
        <v>1086</v>
      </c>
      <c r="Z235" s="1">
        <v>1121</v>
      </c>
      <c r="AA235" s="1">
        <v>1094</v>
      </c>
      <c r="AB235" s="1">
        <v>1081</v>
      </c>
      <c r="AC235" s="1">
        <v>1090</v>
      </c>
      <c r="AD235" s="1">
        <v>1065</v>
      </c>
      <c r="AE235" s="1">
        <v>1066</v>
      </c>
      <c r="AF235" s="1">
        <v>1070</v>
      </c>
      <c r="AG235" s="1">
        <v>1112</v>
      </c>
      <c r="AH235" s="1">
        <v>1133</v>
      </c>
      <c r="AI235" s="1">
        <v>1106</v>
      </c>
      <c r="AJ235" s="1">
        <v>1165</v>
      </c>
      <c r="AK235" s="1">
        <v>1138</v>
      </c>
      <c r="AL235" s="1">
        <v>1250</v>
      </c>
      <c r="AM235" s="1">
        <v>1210</v>
      </c>
      <c r="AN235" s="1">
        <v>1190</v>
      </c>
      <c r="AO235" s="1">
        <v>1315</v>
      </c>
      <c r="AP235" s="1">
        <v>1305</v>
      </c>
      <c r="AQ235" s="1">
        <v>1407</v>
      </c>
      <c r="AR235" s="1">
        <v>1470</v>
      </c>
      <c r="AS235" s="1">
        <v>1251</v>
      </c>
      <c r="AT235" s="1">
        <v>1300</v>
      </c>
      <c r="AU235" s="1">
        <v>1340</v>
      </c>
      <c r="AV235" s="1">
        <v>1499</v>
      </c>
      <c r="AW235" s="1">
        <v>1668</v>
      </c>
      <c r="AX235" s="1">
        <v>1617</v>
      </c>
      <c r="AY235" s="1">
        <v>1880</v>
      </c>
      <c r="AZ235" s="1">
        <v>2071</v>
      </c>
      <c r="BA235" s="1">
        <v>1980</v>
      </c>
      <c r="BB235" s="1">
        <v>1684</v>
      </c>
      <c r="BC235" s="1">
        <v>1701</v>
      </c>
      <c r="BD235" s="1">
        <v>1261</v>
      </c>
      <c r="BE235" s="1">
        <v>1360</v>
      </c>
      <c r="BF235" s="1">
        <v>1060</v>
      </c>
      <c r="BG235" s="1">
        <v>910</v>
      </c>
      <c r="BH235" s="1">
        <v>742</v>
      </c>
      <c r="BI235" s="1">
        <v>720</v>
      </c>
      <c r="BJ235" s="1">
        <v>727</v>
      </c>
      <c r="BK235" s="1">
        <v>509</v>
      </c>
      <c r="BL235" s="1">
        <v>429</v>
      </c>
      <c r="BM235" s="1">
        <v>346</v>
      </c>
      <c r="BN235" s="1">
        <v>339</v>
      </c>
      <c r="BO235" s="1">
        <v>344</v>
      </c>
      <c r="BP235" s="1">
        <v>350</v>
      </c>
      <c r="BQ235" s="1">
        <v>351</v>
      </c>
      <c r="BR235" s="1">
        <v>341</v>
      </c>
      <c r="BS235" s="1">
        <v>342</v>
      </c>
      <c r="BT235" s="1">
        <v>344</v>
      </c>
      <c r="BU235" s="1">
        <v>337</v>
      </c>
      <c r="BV235" s="1">
        <v>327</v>
      </c>
      <c r="BW235" s="1">
        <v>326</v>
      </c>
      <c r="BX235" s="1">
        <v>325</v>
      </c>
      <c r="BY235" s="1">
        <v>320</v>
      </c>
      <c r="BZ235" s="1">
        <v>321</v>
      </c>
    </row>
    <row r="236" spans="1:254">
      <c r="A236" s="62" t="s">
        <v>449</v>
      </c>
      <c r="B236" s="1" t="str">
        <f>銘柄管理!C236</f>
        <v>スクロール</v>
      </c>
      <c r="C236" s="1">
        <f>_xll.RssMarket("8005","安値")</f>
        <v>1801</v>
      </c>
      <c r="E236" s="1">
        <v>1801</v>
      </c>
      <c r="F236" s="1">
        <v>1809</v>
      </c>
      <c r="G236" s="1">
        <v>1796</v>
      </c>
      <c r="H236" s="1">
        <v>1787</v>
      </c>
      <c r="I236" s="1">
        <v>1693</v>
      </c>
      <c r="J236" s="1">
        <v>1713</v>
      </c>
      <c r="K236" s="1">
        <v>1717</v>
      </c>
      <c r="L236" s="1">
        <v>1701</v>
      </c>
      <c r="M236" s="1">
        <v>1688</v>
      </c>
      <c r="N236" s="1">
        <v>1690</v>
      </c>
      <c r="O236" s="1">
        <v>1706</v>
      </c>
      <c r="P236" s="1">
        <v>1713</v>
      </c>
      <c r="Q236" s="1">
        <v>1710</v>
      </c>
      <c r="R236" s="1">
        <v>1708</v>
      </c>
      <c r="S236" s="1">
        <v>1725</v>
      </c>
      <c r="T236" s="1">
        <v>1726</v>
      </c>
      <c r="U236" s="1">
        <v>1707</v>
      </c>
      <c r="V236" s="1">
        <v>1704</v>
      </c>
      <c r="W236" s="1">
        <v>1701</v>
      </c>
      <c r="X236" s="1">
        <v>1712</v>
      </c>
      <c r="Y236" s="1">
        <v>1696</v>
      </c>
      <c r="Z236" s="1">
        <v>1657</v>
      </c>
      <c r="AA236" s="1">
        <v>1645</v>
      </c>
      <c r="AB236" s="1">
        <v>1625</v>
      </c>
      <c r="AC236" s="1">
        <v>1616</v>
      </c>
      <c r="AD236" s="1">
        <v>1622</v>
      </c>
      <c r="AE236" s="1">
        <v>1628</v>
      </c>
      <c r="AF236" s="1">
        <v>1627</v>
      </c>
      <c r="AG236" s="1">
        <v>1633</v>
      </c>
      <c r="AH236" s="1">
        <v>1620</v>
      </c>
      <c r="AI236" s="1">
        <v>1629</v>
      </c>
      <c r="AJ236" s="1">
        <v>1620</v>
      </c>
      <c r="AK236" s="1">
        <v>1630</v>
      </c>
      <c r="AL236" s="1">
        <v>1626</v>
      </c>
      <c r="AM236" s="1">
        <v>1639</v>
      </c>
      <c r="AN236" s="1">
        <v>1609</v>
      </c>
      <c r="AO236" s="1">
        <v>1617</v>
      </c>
      <c r="AP236" s="1">
        <v>1612</v>
      </c>
      <c r="AQ236" s="1">
        <v>1610</v>
      </c>
      <c r="AR236" s="1">
        <v>1612</v>
      </c>
      <c r="AS236" s="1">
        <v>1613</v>
      </c>
      <c r="AT236" s="1">
        <v>1621</v>
      </c>
      <c r="AU236" s="1">
        <v>1620</v>
      </c>
      <c r="AV236" s="1">
        <v>1632</v>
      </c>
      <c r="AW236" s="1">
        <v>1634</v>
      </c>
      <c r="AX236" s="1">
        <v>1626</v>
      </c>
      <c r="AY236" s="1">
        <v>1616</v>
      </c>
      <c r="AZ236" s="1">
        <v>1625</v>
      </c>
      <c r="BA236" s="1">
        <v>1624</v>
      </c>
      <c r="BB236" s="1">
        <v>1628</v>
      </c>
      <c r="BC236" s="1">
        <v>1642</v>
      </c>
      <c r="BD236" s="1">
        <v>1631</v>
      </c>
      <c r="BE236" s="1">
        <v>1642</v>
      </c>
      <c r="BF236" s="1">
        <v>1610</v>
      </c>
      <c r="BG236" s="1">
        <v>1618</v>
      </c>
      <c r="BH236" s="1">
        <v>1618</v>
      </c>
      <c r="BI236" s="1">
        <v>1631</v>
      </c>
      <c r="BJ236" s="1">
        <v>1652</v>
      </c>
      <c r="BK236" s="1">
        <v>1705</v>
      </c>
      <c r="BL236" s="1">
        <v>1597</v>
      </c>
      <c r="BM236" s="1">
        <v>1291</v>
      </c>
      <c r="BN236" s="1">
        <v>1286</v>
      </c>
      <c r="BO236" s="1">
        <v>1312</v>
      </c>
      <c r="BP236" s="1">
        <v>1310</v>
      </c>
      <c r="BQ236" s="1">
        <v>1313</v>
      </c>
      <c r="BR236" s="1">
        <v>1311</v>
      </c>
      <c r="BS236" s="1">
        <v>1310</v>
      </c>
      <c r="BT236" s="1">
        <v>1325</v>
      </c>
      <c r="BU236" s="1">
        <v>1341</v>
      </c>
      <c r="BV236" s="1">
        <v>1342</v>
      </c>
      <c r="BW236" s="1">
        <v>1346</v>
      </c>
      <c r="BX236" s="1">
        <v>1347</v>
      </c>
      <c r="BY236" s="1">
        <v>1329</v>
      </c>
      <c r="BZ236" s="1">
        <v>1309</v>
      </c>
    </row>
    <row r="237" spans="1:254">
      <c r="A237" s="62" t="s">
        <v>450</v>
      </c>
      <c r="B237" s="1" t="str">
        <f>銘柄管理!C237</f>
        <v>デジタルアーツ</v>
      </c>
      <c r="C237" s="1">
        <f>_xll.RssMarket("2326","安値")</f>
        <v>4345</v>
      </c>
      <c r="E237" s="1">
        <v>4345</v>
      </c>
      <c r="F237" s="1">
        <v>4250</v>
      </c>
      <c r="G237" s="1">
        <v>4270</v>
      </c>
      <c r="H237" s="1">
        <v>4075</v>
      </c>
      <c r="I237" s="1">
        <v>3980</v>
      </c>
      <c r="J237" s="1">
        <v>4050</v>
      </c>
      <c r="K237" s="1">
        <v>4070</v>
      </c>
      <c r="L237" s="1">
        <v>4020</v>
      </c>
      <c r="M237" s="1">
        <v>3980</v>
      </c>
      <c r="N237" s="1">
        <v>3900</v>
      </c>
      <c r="O237" s="1">
        <v>3990</v>
      </c>
      <c r="P237" s="1">
        <v>3950</v>
      </c>
      <c r="Q237" s="1">
        <v>4050</v>
      </c>
      <c r="R237" s="1">
        <v>3975</v>
      </c>
      <c r="S237" s="1">
        <v>3965</v>
      </c>
      <c r="T237" s="1">
        <v>3980</v>
      </c>
      <c r="U237" s="1">
        <v>3930</v>
      </c>
      <c r="V237" s="1">
        <v>3900</v>
      </c>
      <c r="W237" s="1">
        <v>3855</v>
      </c>
      <c r="X237" s="1">
        <v>3850</v>
      </c>
      <c r="Y237" s="1">
        <v>3880</v>
      </c>
      <c r="Z237" s="1">
        <v>3855</v>
      </c>
      <c r="AA237" s="1">
        <v>3795</v>
      </c>
      <c r="AB237" s="1">
        <v>3715</v>
      </c>
      <c r="AC237" s="1">
        <v>3615</v>
      </c>
      <c r="AD237" s="1">
        <v>3685</v>
      </c>
      <c r="AE237" s="1">
        <v>3675</v>
      </c>
      <c r="AF237" s="1">
        <v>3550</v>
      </c>
      <c r="AG237" s="1">
        <v>3545</v>
      </c>
      <c r="AH237" s="1">
        <v>3505</v>
      </c>
      <c r="AI237" s="1">
        <v>3520</v>
      </c>
      <c r="AJ237" s="1">
        <v>3520</v>
      </c>
      <c r="AK237" s="1">
        <v>3505</v>
      </c>
      <c r="AL237" s="1">
        <v>3575</v>
      </c>
      <c r="AM237" s="1">
        <v>3585</v>
      </c>
      <c r="AN237" s="1">
        <v>3500</v>
      </c>
      <c r="AO237" s="1">
        <v>3565</v>
      </c>
      <c r="AP237" s="1">
        <v>3540</v>
      </c>
      <c r="AQ237" s="1">
        <v>3575</v>
      </c>
      <c r="AR237" s="1">
        <v>3575</v>
      </c>
      <c r="AS237" s="1">
        <v>3690</v>
      </c>
      <c r="AT237" s="1">
        <v>3700</v>
      </c>
      <c r="AU237" s="1">
        <v>3585</v>
      </c>
      <c r="AV237" s="1">
        <v>3595</v>
      </c>
      <c r="AW237" s="1">
        <v>3660</v>
      </c>
      <c r="AX237" s="1">
        <v>3980</v>
      </c>
      <c r="AY237" s="1">
        <v>3990</v>
      </c>
      <c r="AZ237" s="1">
        <v>4040</v>
      </c>
      <c r="BA237" s="1">
        <v>4055</v>
      </c>
      <c r="BB237" s="1">
        <v>4080</v>
      </c>
      <c r="BC237" s="1">
        <v>4105</v>
      </c>
      <c r="BD237" s="1">
        <v>4105</v>
      </c>
      <c r="BE237" s="1">
        <v>4235</v>
      </c>
      <c r="BF237" s="1">
        <v>4105</v>
      </c>
      <c r="BG237" s="1">
        <v>4015</v>
      </c>
      <c r="BH237" s="1">
        <v>3945</v>
      </c>
      <c r="BI237" s="1">
        <v>3925</v>
      </c>
      <c r="BJ237" s="1">
        <v>3955</v>
      </c>
      <c r="BK237" s="1">
        <v>4240</v>
      </c>
      <c r="BL237" s="1">
        <v>4940</v>
      </c>
      <c r="BM237" s="1">
        <v>5730</v>
      </c>
      <c r="BN237" s="1">
        <v>5500</v>
      </c>
      <c r="BO237" s="1">
        <v>5420</v>
      </c>
      <c r="BP237" s="1">
        <v>5450</v>
      </c>
      <c r="BQ237" s="1">
        <v>5400</v>
      </c>
      <c r="BR237" s="1">
        <v>5500</v>
      </c>
      <c r="BS237" s="1">
        <v>5650</v>
      </c>
      <c r="BT237" s="1">
        <v>5950</v>
      </c>
      <c r="BU237" s="1">
        <v>5880</v>
      </c>
      <c r="BV237" s="1">
        <v>5760</v>
      </c>
      <c r="BW237" s="1">
        <v>5760</v>
      </c>
      <c r="BX237" s="1">
        <v>5740</v>
      </c>
      <c r="BY237" s="1">
        <v>5520</v>
      </c>
      <c r="BZ237" s="1">
        <v>5470</v>
      </c>
    </row>
    <row r="238" spans="1:254">
      <c r="A238" s="62" t="s">
        <v>451</v>
      </c>
      <c r="B238" s="1" t="str">
        <f>銘柄管理!C238</f>
        <v>ＴＯＡ</v>
      </c>
      <c r="C238" s="1">
        <f>_xll.RssMarket("6809","安値")</f>
        <v>1636</v>
      </c>
      <c r="E238" s="1">
        <v>1636</v>
      </c>
      <c r="F238" s="1">
        <v>1630</v>
      </c>
      <c r="G238" s="1">
        <v>1592</v>
      </c>
      <c r="H238" s="1">
        <v>1582</v>
      </c>
      <c r="I238" s="1">
        <v>1615</v>
      </c>
      <c r="J238" s="1">
        <v>1623</v>
      </c>
      <c r="K238" s="1">
        <v>1617</v>
      </c>
      <c r="L238" s="1">
        <v>1620</v>
      </c>
      <c r="M238" s="1">
        <v>1614</v>
      </c>
      <c r="O238" s="1">
        <v>1606</v>
      </c>
      <c r="P238" s="1">
        <v>1606</v>
      </c>
      <c r="Q238" s="1">
        <v>1584</v>
      </c>
      <c r="R238" s="1">
        <v>1561</v>
      </c>
      <c r="S238" s="1">
        <v>1599</v>
      </c>
      <c r="T238" s="1">
        <v>1590</v>
      </c>
      <c r="U238" s="1">
        <v>1583</v>
      </c>
      <c r="V238" s="1">
        <v>1605</v>
      </c>
      <c r="W238" s="1">
        <v>1615</v>
      </c>
      <c r="X238" s="1">
        <v>1632</v>
      </c>
      <c r="Y238" s="1">
        <v>1630</v>
      </c>
      <c r="Z238" s="1">
        <v>1605</v>
      </c>
      <c r="AA238" s="1">
        <v>1579</v>
      </c>
      <c r="AB238" s="1">
        <v>1551</v>
      </c>
      <c r="AC238" s="1">
        <v>1550</v>
      </c>
      <c r="AD238" s="1">
        <v>1559</v>
      </c>
      <c r="AE238" s="1">
        <v>1564</v>
      </c>
      <c r="AF238" s="1">
        <v>1557</v>
      </c>
      <c r="AG238" s="1">
        <v>1568</v>
      </c>
      <c r="AH238" s="1">
        <v>1554</v>
      </c>
      <c r="AI238" s="1">
        <v>1552</v>
      </c>
      <c r="AJ238" s="1">
        <v>1551</v>
      </c>
      <c r="AK238" s="1">
        <v>1560</v>
      </c>
      <c r="AL238" s="1">
        <v>1556</v>
      </c>
      <c r="AM238" s="1">
        <v>1563</v>
      </c>
      <c r="AN238" s="1">
        <v>1551</v>
      </c>
      <c r="AO238" s="1">
        <v>1566</v>
      </c>
      <c r="AP238" s="1">
        <v>1546</v>
      </c>
      <c r="AQ238" s="1">
        <v>1527</v>
      </c>
      <c r="AR238" s="1">
        <v>1548</v>
      </c>
      <c r="AS238" s="1">
        <v>1533</v>
      </c>
      <c r="AT238" s="1">
        <v>1547</v>
      </c>
      <c r="AU238" s="1">
        <v>1533</v>
      </c>
      <c r="AV238" s="1">
        <v>1536</v>
      </c>
      <c r="AW238" s="1">
        <v>1522</v>
      </c>
      <c r="AX238" s="1">
        <v>1535</v>
      </c>
      <c r="AY238" s="1">
        <v>1514</v>
      </c>
      <c r="AZ238" s="1">
        <v>1530</v>
      </c>
      <c r="BA238" s="1">
        <v>1557</v>
      </c>
      <c r="BB238" s="1">
        <v>1530</v>
      </c>
      <c r="BC238" s="1">
        <v>1525</v>
      </c>
      <c r="BD238" s="1">
        <v>1512</v>
      </c>
      <c r="BE238" s="1">
        <v>1577</v>
      </c>
      <c r="BF238" s="1">
        <v>1567</v>
      </c>
      <c r="BG238" s="1">
        <v>1584</v>
      </c>
      <c r="BH238" s="1">
        <v>1562</v>
      </c>
      <c r="BI238" s="1">
        <v>1554</v>
      </c>
      <c r="BJ238" s="1">
        <v>1555</v>
      </c>
      <c r="BK238" s="1">
        <v>1566</v>
      </c>
      <c r="BL238" s="1">
        <v>1565</v>
      </c>
      <c r="BM238" s="1">
        <v>1760</v>
      </c>
      <c r="BN238" s="1">
        <v>1707</v>
      </c>
      <c r="BO238" s="1">
        <v>1702</v>
      </c>
      <c r="BP238" s="1">
        <v>1699</v>
      </c>
      <c r="BQ238" s="1">
        <v>1700</v>
      </c>
      <c r="BR238" s="1">
        <v>1713</v>
      </c>
      <c r="BS238" s="1">
        <v>1725</v>
      </c>
      <c r="BT238" s="1">
        <v>1752</v>
      </c>
      <c r="BU238" s="1">
        <v>1759</v>
      </c>
      <c r="BV238" s="1">
        <v>1769</v>
      </c>
      <c r="BW238" s="1">
        <v>1774</v>
      </c>
      <c r="BX238" s="1">
        <v>1770</v>
      </c>
      <c r="BY238" s="1">
        <v>1768</v>
      </c>
      <c r="BZ238" s="1">
        <v>1774</v>
      </c>
    </row>
    <row r="239" spans="1:254">
      <c r="A239" s="62" t="s">
        <v>452</v>
      </c>
      <c r="B239" s="1" t="str">
        <f>銘柄管理!C239</f>
        <v>ユーザーローカル</v>
      </c>
      <c r="C239" s="1">
        <f>_xll.RssMarket("3984","安値")</f>
        <v>1833</v>
      </c>
      <c r="E239" s="1">
        <v>1833</v>
      </c>
      <c r="F239" s="1">
        <v>1809</v>
      </c>
      <c r="G239" s="1">
        <v>1799</v>
      </c>
      <c r="H239" s="1">
        <v>1762</v>
      </c>
      <c r="I239" s="1">
        <v>1770</v>
      </c>
      <c r="J239" s="1">
        <v>1776</v>
      </c>
      <c r="K239" s="1">
        <v>1759</v>
      </c>
      <c r="L239" s="1">
        <v>1779</v>
      </c>
      <c r="M239" s="1">
        <v>1727</v>
      </c>
      <c r="O239" s="1">
        <v>1712</v>
      </c>
      <c r="P239" s="1">
        <v>1774</v>
      </c>
      <c r="Q239" s="1">
        <v>1781</v>
      </c>
      <c r="R239" s="1">
        <v>1761</v>
      </c>
      <c r="S239" s="1">
        <v>1772</v>
      </c>
      <c r="T239" s="1">
        <v>1793</v>
      </c>
      <c r="U239" s="1">
        <v>1776</v>
      </c>
      <c r="V239" s="1">
        <v>1760</v>
      </c>
      <c r="W239" s="1">
        <v>1732</v>
      </c>
      <c r="X239" s="1">
        <v>1759</v>
      </c>
      <c r="Y239" s="1">
        <v>1762</v>
      </c>
      <c r="Z239" s="1">
        <v>1770</v>
      </c>
      <c r="AA239" s="1">
        <v>1727</v>
      </c>
      <c r="AB239" s="1">
        <v>1707</v>
      </c>
      <c r="AC239" s="1">
        <v>1620</v>
      </c>
      <c r="AD239" s="1">
        <v>1605</v>
      </c>
      <c r="AE239" s="1">
        <v>1578</v>
      </c>
      <c r="AF239" s="1">
        <v>1587</v>
      </c>
      <c r="AG239" s="1">
        <v>1646</v>
      </c>
      <c r="AH239" s="1">
        <v>1680</v>
      </c>
      <c r="AI239" s="1">
        <v>1685</v>
      </c>
      <c r="AJ239" s="1">
        <v>1726</v>
      </c>
      <c r="AK239" s="1">
        <v>1725</v>
      </c>
      <c r="AL239" s="1">
        <v>1782</v>
      </c>
      <c r="AM239" s="1">
        <v>1763</v>
      </c>
      <c r="AN239" s="1">
        <v>1755</v>
      </c>
      <c r="AO239" s="1">
        <v>1760</v>
      </c>
      <c r="AP239" s="1">
        <v>1746</v>
      </c>
      <c r="AQ239" s="1">
        <v>1728</v>
      </c>
      <c r="AR239" s="1">
        <v>1777</v>
      </c>
      <c r="AS239" s="1">
        <v>1811</v>
      </c>
      <c r="AT239" s="1">
        <v>1836</v>
      </c>
      <c r="AU239" s="1">
        <v>1795</v>
      </c>
      <c r="AV239" s="1">
        <v>1772</v>
      </c>
      <c r="AW239" s="1">
        <v>1772</v>
      </c>
      <c r="AX239" s="1">
        <v>1697</v>
      </c>
      <c r="AY239" s="1">
        <v>1652</v>
      </c>
      <c r="AZ239" s="1">
        <v>1689</v>
      </c>
      <c r="BA239" s="1">
        <v>1711</v>
      </c>
      <c r="BB239" s="1">
        <v>1755</v>
      </c>
      <c r="BC239" s="1">
        <v>1746</v>
      </c>
      <c r="BD239" s="1">
        <v>1719</v>
      </c>
      <c r="BE239" s="1">
        <v>1709</v>
      </c>
      <c r="BF239" s="1">
        <v>1693</v>
      </c>
      <c r="BG239" s="1">
        <v>1679</v>
      </c>
      <c r="BH239" s="1">
        <v>1691</v>
      </c>
      <c r="BI239" s="1">
        <v>1721</v>
      </c>
      <c r="BJ239" s="1">
        <v>1723</v>
      </c>
      <c r="BK239" s="1">
        <v>1786</v>
      </c>
      <c r="BL239" s="1">
        <v>1723</v>
      </c>
      <c r="BM239" s="1">
        <v>1576</v>
      </c>
      <c r="BN239" s="1">
        <v>1532</v>
      </c>
      <c r="BO239" s="1">
        <v>1532</v>
      </c>
      <c r="BP239" s="1">
        <v>1540</v>
      </c>
      <c r="BQ239" s="1">
        <v>1547</v>
      </c>
      <c r="BR239" s="1">
        <v>1554</v>
      </c>
      <c r="BS239" s="1">
        <v>1555</v>
      </c>
      <c r="BT239" s="1">
        <v>1586</v>
      </c>
      <c r="BU239" s="1">
        <v>1569</v>
      </c>
      <c r="BV239" s="1">
        <v>1556</v>
      </c>
      <c r="BW239" s="1">
        <v>1567</v>
      </c>
      <c r="BX239" s="1">
        <v>1554</v>
      </c>
      <c r="BY239" s="1">
        <v>1495</v>
      </c>
      <c r="BZ239" s="1">
        <v>1452</v>
      </c>
    </row>
    <row r="240" spans="1:254">
      <c r="A240" s="62" t="s">
        <v>453</v>
      </c>
      <c r="B240" s="1" t="str">
        <f>銘柄管理!C240</f>
        <v>ダイトロン</v>
      </c>
      <c r="C240" s="1">
        <f>_xll.RssMarket("7609","安値")</f>
        <v>4145</v>
      </c>
      <c r="E240" s="1">
        <v>4145</v>
      </c>
      <c r="F240" s="1">
        <v>4105</v>
      </c>
      <c r="G240" s="1">
        <v>3805</v>
      </c>
      <c r="H240" s="1">
        <v>3390</v>
      </c>
      <c r="I240" s="1">
        <v>3235</v>
      </c>
      <c r="J240" s="1">
        <v>3030</v>
      </c>
      <c r="K240" s="1">
        <v>3030</v>
      </c>
      <c r="L240" s="1">
        <v>3265</v>
      </c>
      <c r="M240" s="1">
        <v>3410</v>
      </c>
      <c r="O240" s="1">
        <v>3515</v>
      </c>
      <c r="P240" s="1">
        <v>3430</v>
      </c>
      <c r="Q240" s="1">
        <v>3265</v>
      </c>
      <c r="R240" s="1">
        <v>3205</v>
      </c>
      <c r="S240" s="1">
        <v>3360</v>
      </c>
      <c r="T240" s="1">
        <v>3290</v>
      </c>
      <c r="U240" s="1">
        <v>3385</v>
      </c>
      <c r="V240" s="1">
        <v>3490</v>
      </c>
      <c r="W240" s="1">
        <v>3440</v>
      </c>
      <c r="X240" s="1">
        <v>3395</v>
      </c>
      <c r="Y240" s="1">
        <v>3475</v>
      </c>
      <c r="Z240" s="1">
        <v>3560</v>
      </c>
      <c r="AA240" s="1">
        <v>3500</v>
      </c>
      <c r="AB240" s="1">
        <v>3610</v>
      </c>
      <c r="AC240" s="1">
        <v>3700</v>
      </c>
      <c r="AD240" s="1">
        <v>3605</v>
      </c>
      <c r="AE240" s="1">
        <v>3575</v>
      </c>
      <c r="AF240" s="1">
        <v>3645</v>
      </c>
      <c r="AG240" s="1">
        <v>3740</v>
      </c>
      <c r="AH240" s="1">
        <v>3670</v>
      </c>
      <c r="AI240" s="1">
        <v>3770</v>
      </c>
      <c r="AJ240" s="1">
        <v>3890</v>
      </c>
      <c r="AK240" s="1">
        <v>3855</v>
      </c>
      <c r="AL240" s="1">
        <v>3750</v>
      </c>
      <c r="AM240" s="1">
        <v>3525</v>
      </c>
      <c r="AN240" s="1">
        <v>3545</v>
      </c>
      <c r="AO240" s="1">
        <v>3580</v>
      </c>
      <c r="AP240" s="1">
        <v>3380</v>
      </c>
      <c r="AQ240" s="1">
        <v>3260</v>
      </c>
      <c r="AR240" s="1">
        <v>3380</v>
      </c>
      <c r="AS240" s="1">
        <v>3490</v>
      </c>
      <c r="AT240" s="1">
        <v>3570</v>
      </c>
      <c r="AU240" s="1">
        <v>3635</v>
      </c>
      <c r="AV240" s="1">
        <v>3585</v>
      </c>
      <c r="AW240" s="1">
        <v>3440</v>
      </c>
      <c r="AX240" s="1">
        <v>3550</v>
      </c>
      <c r="AY240" s="1">
        <v>3425</v>
      </c>
      <c r="AZ240" s="1">
        <v>3530</v>
      </c>
      <c r="BA240" s="1">
        <v>3585</v>
      </c>
      <c r="BB240" s="1">
        <v>3560</v>
      </c>
      <c r="BC240" s="1">
        <v>3535</v>
      </c>
      <c r="BD240" s="1">
        <v>3415</v>
      </c>
      <c r="BE240" s="1">
        <v>3575</v>
      </c>
      <c r="BF240" s="1">
        <v>3825</v>
      </c>
      <c r="BG240" s="1">
        <v>3740</v>
      </c>
      <c r="BH240" s="1">
        <v>3915</v>
      </c>
      <c r="BI240" s="1">
        <v>3785</v>
      </c>
      <c r="BJ240" s="1">
        <v>3860</v>
      </c>
      <c r="BK240" s="1">
        <v>3805</v>
      </c>
      <c r="BL240" s="1">
        <v>3660</v>
      </c>
      <c r="BM240" s="1">
        <v>3215</v>
      </c>
      <c r="BN240" s="1">
        <v>2912</v>
      </c>
      <c r="BO240" s="1">
        <v>2854</v>
      </c>
      <c r="BP240" s="1">
        <v>2860</v>
      </c>
      <c r="BQ240" s="1">
        <v>2851</v>
      </c>
      <c r="BR240" s="1">
        <v>2848</v>
      </c>
      <c r="BS240" s="1">
        <v>2815</v>
      </c>
      <c r="BT240" s="1">
        <v>2822</v>
      </c>
      <c r="BU240" s="1">
        <v>2862</v>
      </c>
      <c r="BV240" s="1">
        <v>2833</v>
      </c>
      <c r="BW240" s="1">
        <v>2852</v>
      </c>
      <c r="BX240" s="1">
        <v>2885</v>
      </c>
      <c r="BY240" s="1">
        <v>2868</v>
      </c>
      <c r="BZ240" s="1">
        <v>2832</v>
      </c>
    </row>
    <row r="241" spans="1:254">
      <c r="A241" s="62" t="s">
        <v>454</v>
      </c>
      <c r="B241" s="1" t="str">
        <f>銘柄管理!C241</f>
        <v>イトーキ</v>
      </c>
      <c r="C241" s="1">
        <f>_xll.RssMarket("7972","安値")</f>
        <v>2872</v>
      </c>
      <c r="E241" s="1">
        <v>2872</v>
      </c>
      <c r="F241" s="1">
        <v>2877</v>
      </c>
      <c r="G241" s="1">
        <v>2864</v>
      </c>
      <c r="H241" s="1">
        <v>2830</v>
      </c>
      <c r="I241" s="1">
        <v>2870</v>
      </c>
      <c r="J241" s="1">
        <v>2822</v>
      </c>
      <c r="K241" s="1">
        <v>2864</v>
      </c>
      <c r="L241" s="1">
        <v>2870</v>
      </c>
      <c r="M241" s="1">
        <v>2894</v>
      </c>
      <c r="N241" s="1">
        <v>2820</v>
      </c>
      <c r="O241" s="1">
        <v>2814</v>
      </c>
      <c r="P241" s="1">
        <v>2845</v>
      </c>
      <c r="Q241" s="1">
        <v>2663</v>
      </c>
      <c r="R241" s="1">
        <v>2672</v>
      </c>
      <c r="S241" s="1">
        <v>2808</v>
      </c>
      <c r="T241" s="1">
        <v>2754</v>
      </c>
      <c r="U241" s="1">
        <v>2749</v>
      </c>
      <c r="V241" s="1">
        <v>2797</v>
      </c>
      <c r="W241" s="1">
        <v>2791</v>
      </c>
      <c r="X241" s="1">
        <v>2853</v>
      </c>
      <c r="Y241" s="1">
        <v>2833</v>
      </c>
      <c r="Z241" s="1">
        <v>2751</v>
      </c>
      <c r="AA241" s="1">
        <v>2670</v>
      </c>
      <c r="AB241" s="1">
        <v>2627</v>
      </c>
      <c r="AC241" s="1">
        <v>2596</v>
      </c>
      <c r="AD241" s="1">
        <v>2635</v>
      </c>
      <c r="AE241" s="1">
        <v>2620</v>
      </c>
      <c r="AF241" s="1">
        <v>2570</v>
      </c>
      <c r="AG241" s="1">
        <v>2556</v>
      </c>
      <c r="AH241" s="1">
        <v>2525</v>
      </c>
      <c r="AI241" s="1">
        <v>2534</v>
      </c>
      <c r="AJ241" s="1">
        <v>2499</v>
      </c>
      <c r="AK241" s="1">
        <v>2476</v>
      </c>
      <c r="AL241" s="1">
        <v>2421</v>
      </c>
      <c r="AM241" s="1">
        <v>2429</v>
      </c>
      <c r="AN241" s="1">
        <v>2417</v>
      </c>
      <c r="AO241" s="1">
        <v>2445</v>
      </c>
      <c r="AP241" s="1">
        <v>2409</v>
      </c>
      <c r="AQ241" s="1">
        <v>2386</v>
      </c>
      <c r="AR241" s="1">
        <v>2392</v>
      </c>
      <c r="AS241" s="1">
        <v>2381</v>
      </c>
      <c r="AT241" s="1">
        <v>2389</v>
      </c>
      <c r="AU241" s="1">
        <v>2355</v>
      </c>
      <c r="AV241" s="1">
        <v>2389</v>
      </c>
      <c r="AW241" s="1">
        <v>2412</v>
      </c>
      <c r="AX241" s="1">
        <v>2544</v>
      </c>
      <c r="AY241" s="1">
        <v>2551</v>
      </c>
      <c r="AZ241" s="1">
        <v>2677</v>
      </c>
      <c r="BA241" s="1">
        <v>2581</v>
      </c>
      <c r="BB241" s="1">
        <v>2580</v>
      </c>
      <c r="BC241" s="1">
        <v>2573</v>
      </c>
      <c r="BD241" s="1">
        <v>2619</v>
      </c>
      <c r="BE241" s="1">
        <v>2684</v>
      </c>
      <c r="BF241" s="1">
        <v>2652</v>
      </c>
      <c r="BG241" s="1">
        <v>2690</v>
      </c>
      <c r="BH241" s="1">
        <v>2789</v>
      </c>
      <c r="BI241" s="1">
        <v>2791</v>
      </c>
      <c r="BJ241" s="1">
        <v>2783</v>
      </c>
      <c r="BK241" s="1">
        <v>2760</v>
      </c>
      <c r="BL241" s="1">
        <v>2775</v>
      </c>
      <c r="BM241" s="1">
        <v>3160</v>
      </c>
      <c r="BN241" s="1">
        <v>3120</v>
      </c>
      <c r="BO241" s="1">
        <v>3080</v>
      </c>
      <c r="BP241" s="1">
        <v>3210</v>
      </c>
      <c r="BQ241" s="1">
        <v>3170</v>
      </c>
      <c r="BR241" s="1">
        <v>3160</v>
      </c>
      <c r="BS241" s="1">
        <v>3185</v>
      </c>
      <c r="BT241" s="1">
        <v>3250</v>
      </c>
      <c r="BU241" s="1">
        <v>3285</v>
      </c>
      <c r="BV241" s="1">
        <v>3275</v>
      </c>
      <c r="BW241" s="1">
        <v>3265</v>
      </c>
      <c r="BX241" s="1">
        <v>3330</v>
      </c>
      <c r="BY241" s="1">
        <v>3355</v>
      </c>
      <c r="BZ241" s="1">
        <v>3530</v>
      </c>
    </row>
    <row r="242" spans="1:254">
      <c r="A242" s="62" t="s">
        <v>455</v>
      </c>
      <c r="B242" s="1" t="str">
        <f>銘柄管理!C242</f>
        <v>オキサイド</v>
      </c>
      <c r="C242" s="1">
        <f>_xll.RssMarket("6521","安値")</f>
        <v>3140</v>
      </c>
      <c r="E242" s="1">
        <v>3140</v>
      </c>
      <c r="F242" s="1">
        <v>3115</v>
      </c>
      <c r="G242" s="1">
        <v>2929</v>
      </c>
      <c r="H242" s="1">
        <v>2781</v>
      </c>
      <c r="I242" s="1">
        <v>2836</v>
      </c>
      <c r="J242" s="1">
        <v>2625</v>
      </c>
      <c r="K242" s="1">
        <v>2734</v>
      </c>
      <c r="L242" s="1">
        <v>2902</v>
      </c>
      <c r="M242" s="1">
        <v>3160</v>
      </c>
      <c r="N242" s="1">
        <v>3230</v>
      </c>
      <c r="O242" s="1">
        <v>3315</v>
      </c>
      <c r="P242" s="1">
        <v>3330</v>
      </c>
      <c r="Q242" s="1">
        <v>3275</v>
      </c>
      <c r="R242" s="1">
        <v>3265</v>
      </c>
      <c r="S242" s="1">
        <v>3755</v>
      </c>
      <c r="T242" s="1">
        <v>3680</v>
      </c>
      <c r="U242" s="1">
        <v>4080</v>
      </c>
      <c r="V242" s="1">
        <v>4235</v>
      </c>
      <c r="W242" s="1">
        <v>4140</v>
      </c>
      <c r="X242" s="1">
        <v>4000</v>
      </c>
      <c r="Y242" s="1">
        <v>4160</v>
      </c>
      <c r="Z242" s="1">
        <v>4400</v>
      </c>
      <c r="AA242" s="1">
        <v>4205</v>
      </c>
      <c r="AB242" s="1">
        <v>4380</v>
      </c>
      <c r="AC242" s="1">
        <v>4565</v>
      </c>
      <c r="AD242" s="1">
        <v>4530</v>
      </c>
      <c r="AE242" s="1">
        <v>4530</v>
      </c>
      <c r="AF242" s="1">
        <v>4610</v>
      </c>
      <c r="AG242" s="1">
        <v>4930</v>
      </c>
      <c r="AH242" s="1">
        <v>4840</v>
      </c>
      <c r="AI242" s="1">
        <v>4835</v>
      </c>
      <c r="AJ242" s="1">
        <v>4935</v>
      </c>
      <c r="AK242" s="1">
        <v>4795</v>
      </c>
      <c r="AL242" s="1">
        <v>4635</v>
      </c>
      <c r="AM242" s="1">
        <v>4455</v>
      </c>
      <c r="AN242" s="1">
        <v>4390</v>
      </c>
      <c r="AO242" s="1">
        <v>4415</v>
      </c>
      <c r="AP242" s="1">
        <v>4265</v>
      </c>
      <c r="AQ242" s="1">
        <v>4255</v>
      </c>
      <c r="AR242" s="1">
        <v>4290</v>
      </c>
      <c r="AS242" s="1">
        <v>4670</v>
      </c>
      <c r="AT242" s="1">
        <v>4855</v>
      </c>
      <c r="AU242" s="1">
        <v>4790</v>
      </c>
      <c r="AV242" s="1">
        <v>5040</v>
      </c>
      <c r="AW242" s="1">
        <v>4785</v>
      </c>
      <c r="AX242" s="1">
        <v>5270</v>
      </c>
      <c r="AY242" s="1">
        <v>5550</v>
      </c>
      <c r="AZ242" s="1">
        <v>5520</v>
      </c>
      <c r="BA242" s="1">
        <v>5900</v>
      </c>
      <c r="BB242" s="1">
        <v>5740</v>
      </c>
      <c r="BC242" s="1">
        <v>5420</v>
      </c>
      <c r="BD242" s="1">
        <v>5540</v>
      </c>
      <c r="BE242" s="1">
        <v>5780</v>
      </c>
      <c r="BF242" s="1">
        <v>6260</v>
      </c>
      <c r="BG242" s="1">
        <v>5910</v>
      </c>
      <c r="BH242" s="1">
        <v>6300</v>
      </c>
      <c r="BI242" s="1">
        <v>5930</v>
      </c>
      <c r="BJ242" s="1">
        <v>6400</v>
      </c>
      <c r="BK242" s="1">
        <v>6310</v>
      </c>
      <c r="BL242" s="1">
        <v>5110</v>
      </c>
      <c r="BM242" s="1">
        <v>4770</v>
      </c>
      <c r="BN242" s="1">
        <v>4545</v>
      </c>
      <c r="BO242" s="1">
        <v>4590</v>
      </c>
      <c r="BP242" s="1">
        <v>4545</v>
      </c>
      <c r="BQ242" s="1">
        <v>4355</v>
      </c>
      <c r="BR242" s="1">
        <v>4610</v>
      </c>
      <c r="BS242" s="1">
        <v>4600</v>
      </c>
      <c r="BT242" s="1">
        <v>4800</v>
      </c>
      <c r="BU242" s="1">
        <v>4555</v>
      </c>
      <c r="BV242" s="1">
        <v>4055</v>
      </c>
      <c r="BW242" s="1">
        <v>4040</v>
      </c>
      <c r="BX242" s="1">
        <v>4250</v>
      </c>
      <c r="BY242" s="1">
        <v>4315</v>
      </c>
      <c r="BZ242" s="1">
        <v>4745</v>
      </c>
    </row>
    <row r="243" spans="1:254">
      <c r="A243" s="62" t="s">
        <v>456</v>
      </c>
      <c r="B243" s="1" t="str">
        <f>銘柄管理!C243</f>
        <v>クオルテック</v>
      </c>
      <c r="C243" s="1">
        <f>_xll.RssMarket("9165","安値")</f>
        <v>1756</v>
      </c>
      <c r="E243" s="1">
        <v>1756</v>
      </c>
      <c r="F243" s="1">
        <v>1750</v>
      </c>
      <c r="G243" s="1">
        <v>1696</v>
      </c>
      <c r="H243" s="1">
        <v>1683</v>
      </c>
      <c r="I243" s="1">
        <v>1690</v>
      </c>
      <c r="J243" s="1">
        <v>1685</v>
      </c>
      <c r="K243" s="1">
        <v>1670</v>
      </c>
      <c r="L243" s="1">
        <v>1681</v>
      </c>
      <c r="M243" s="1">
        <v>1688</v>
      </c>
      <c r="N243" s="1">
        <v>1678</v>
      </c>
      <c r="O243" s="1">
        <v>1711</v>
      </c>
      <c r="P243" s="1">
        <v>1703</v>
      </c>
      <c r="Q243" s="1">
        <v>1689</v>
      </c>
      <c r="R243" s="1">
        <v>1676</v>
      </c>
      <c r="S243" s="1">
        <v>1711</v>
      </c>
      <c r="T243" s="1">
        <v>1708</v>
      </c>
      <c r="U243" s="1">
        <v>1746</v>
      </c>
      <c r="V243" s="1">
        <v>1758</v>
      </c>
      <c r="W243" s="1">
        <v>1720</v>
      </c>
      <c r="X243" s="1">
        <v>1713</v>
      </c>
      <c r="Y243" s="1">
        <v>1733</v>
      </c>
      <c r="Z243" s="1">
        <v>1746</v>
      </c>
      <c r="AA243" s="1">
        <v>1682</v>
      </c>
      <c r="AB243" s="1">
        <v>1727</v>
      </c>
      <c r="AC243" s="1">
        <v>1733</v>
      </c>
      <c r="AD243" s="1">
        <v>1640</v>
      </c>
      <c r="AE243" s="1">
        <v>1680</v>
      </c>
      <c r="AF243" s="1">
        <v>1725</v>
      </c>
      <c r="AG243" s="1">
        <v>1730</v>
      </c>
      <c r="AH243" s="1">
        <v>1723</v>
      </c>
      <c r="AI243" s="1">
        <v>1754</v>
      </c>
      <c r="AJ243" s="1">
        <v>1721</v>
      </c>
      <c r="AK243" s="1">
        <v>1670</v>
      </c>
      <c r="AL243" s="1">
        <v>1685</v>
      </c>
      <c r="AM243" s="1">
        <v>1686</v>
      </c>
      <c r="AN243" s="1">
        <v>1680</v>
      </c>
      <c r="AO243" s="1">
        <v>1702</v>
      </c>
      <c r="AP243" s="1">
        <v>1676</v>
      </c>
      <c r="AQ243" s="1">
        <v>1625</v>
      </c>
      <c r="AR243" s="1">
        <v>1678</v>
      </c>
      <c r="AS243" s="1">
        <v>1690</v>
      </c>
      <c r="AT243" s="1">
        <v>1801</v>
      </c>
      <c r="AU243" s="1">
        <v>1776</v>
      </c>
      <c r="AV243" s="1">
        <v>1755</v>
      </c>
      <c r="AW243" s="1">
        <v>1720</v>
      </c>
      <c r="AX243" s="1">
        <v>1800</v>
      </c>
      <c r="AY243" s="1">
        <v>1757</v>
      </c>
      <c r="AZ243" s="1">
        <v>1890</v>
      </c>
      <c r="BA243" s="1">
        <v>2140</v>
      </c>
      <c r="BB243" s="1">
        <v>1790</v>
      </c>
      <c r="BC243" s="1">
        <v>1725</v>
      </c>
      <c r="BD243" s="1">
        <v>1779</v>
      </c>
      <c r="BE243" s="1">
        <v>1763</v>
      </c>
      <c r="BF243" s="1">
        <v>1708</v>
      </c>
      <c r="BG243" s="1">
        <v>1650</v>
      </c>
      <c r="BH243" s="1">
        <v>1716</v>
      </c>
      <c r="BI243" s="1">
        <v>1708</v>
      </c>
      <c r="BJ243" s="1">
        <v>1723</v>
      </c>
      <c r="BK243" s="1">
        <v>1761</v>
      </c>
      <c r="BL243" s="1">
        <v>1680</v>
      </c>
      <c r="BM243" s="1">
        <v>1476</v>
      </c>
      <c r="BN243" s="1">
        <v>1470</v>
      </c>
      <c r="BO243" s="1">
        <v>1458</v>
      </c>
      <c r="BP243" s="1">
        <v>1456</v>
      </c>
      <c r="BQ243" s="1">
        <v>1460</v>
      </c>
      <c r="BR243" s="1">
        <v>1457</v>
      </c>
      <c r="BS243" s="1">
        <v>1445</v>
      </c>
      <c r="BT243" s="1">
        <v>1458</v>
      </c>
      <c r="BU243" s="1">
        <v>1450</v>
      </c>
      <c r="BV243" s="1">
        <v>1446</v>
      </c>
      <c r="BW243" s="1">
        <v>1443</v>
      </c>
      <c r="BX243" s="1">
        <v>1427</v>
      </c>
      <c r="BY243" s="1">
        <v>1446</v>
      </c>
      <c r="BZ243" s="1">
        <v>1425</v>
      </c>
    </row>
    <row r="244" spans="1:254">
      <c r="A244" s="62" t="s">
        <v>457</v>
      </c>
      <c r="B244" s="1" t="str">
        <f>銘柄管理!C244</f>
        <v>デンソー</v>
      </c>
      <c r="C244" s="1">
        <f>_xll.RssMarket("6902","安値")</f>
        <v>1901</v>
      </c>
      <c r="E244" s="1">
        <v>1901</v>
      </c>
      <c r="F244" s="1">
        <v>1892</v>
      </c>
      <c r="G244" s="1">
        <v>1884</v>
      </c>
      <c r="H244" s="1">
        <v>1909.5</v>
      </c>
      <c r="I244" s="1">
        <v>1944.5</v>
      </c>
      <c r="J244" s="1">
        <v>2165.5</v>
      </c>
      <c r="K244" s="1">
        <v>2098.5</v>
      </c>
      <c r="L244" s="1">
        <v>2038</v>
      </c>
      <c r="M244" s="1">
        <v>1988.5</v>
      </c>
      <c r="N244" s="1">
        <v>1963.5</v>
      </c>
      <c r="O244" s="1">
        <v>1967</v>
      </c>
      <c r="P244" s="1">
        <v>1980</v>
      </c>
      <c r="Q244" s="1">
        <v>1978</v>
      </c>
      <c r="R244" s="1">
        <v>1951</v>
      </c>
      <c r="S244" s="1">
        <v>1939</v>
      </c>
      <c r="T244" s="1">
        <v>1931</v>
      </c>
      <c r="U244" s="1">
        <v>1917</v>
      </c>
      <c r="V244" s="1">
        <v>1924</v>
      </c>
      <c r="W244" s="1">
        <v>1917</v>
      </c>
      <c r="X244" s="1">
        <v>1945</v>
      </c>
      <c r="Y244" s="1">
        <v>1972</v>
      </c>
      <c r="Z244" s="1">
        <v>1961.5</v>
      </c>
      <c r="AA244" s="1">
        <v>1941</v>
      </c>
      <c r="AB244" s="1">
        <v>1892</v>
      </c>
      <c r="AC244" s="1">
        <v>1844.5</v>
      </c>
      <c r="AD244" s="1">
        <v>1867.5</v>
      </c>
      <c r="AE244" s="1">
        <v>1860.5</v>
      </c>
      <c r="AF244" s="1">
        <v>1858</v>
      </c>
      <c r="AG244" s="1">
        <v>1854</v>
      </c>
      <c r="AH244" s="1">
        <v>1864</v>
      </c>
      <c r="AI244" s="1">
        <v>1881.5</v>
      </c>
      <c r="AJ244" s="1">
        <v>1877.5</v>
      </c>
      <c r="AK244" s="1">
        <v>1887</v>
      </c>
      <c r="AL244" s="1">
        <v>1905.5</v>
      </c>
      <c r="AM244" s="1">
        <v>1900.5</v>
      </c>
      <c r="AN244" s="1">
        <v>1882.5</v>
      </c>
      <c r="AO244" s="1">
        <v>1876.5</v>
      </c>
      <c r="AP244" s="1">
        <v>1841</v>
      </c>
      <c r="AQ244" s="1">
        <v>1813</v>
      </c>
      <c r="AR244" s="1">
        <v>1865</v>
      </c>
      <c r="AS244" s="1">
        <v>1872</v>
      </c>
      <c r="AT244" s="1">
        <v>1870</v>
      </c>
      <c r="AU244" s="1">
        <v>1901.5</v>
      </c>
      <c r="AV244" s="1">
        <v>1861.5</v>
      </c>
      <c r="AW244" s="1">
        <v>1824.5</v>
      </c>
      <c r="AX244" s="1">
        <v>1868</v>
      </c>
      <c r="AY244" s="1">
        <v>1871.5</v>
      </c>
      <c r="AZ244" s="1">
        <v>1852</v>
      </c>
      <c r="BA244" s="1">
        <v>1817</v>
      </c>
      <c r="BB244" s="1">
        <v>1833.5</v>
      </c>
      <c r="BC244" s="1">
        <v>1843.5</v>
      </c>
      <c r="BD244" s="1">
        <v>1814.5</v>
      </c>
      <c r="BE244" s="1">
        <v>1835.5</v>
      </c>
      <c r="BF244" s="1">
        <v>1838.5</v>
      </c>
      <c r="BG244" s="1">
        <v>1885</v>
      </c>
      <c r="BH244" s="1">
        <v>1850</v>
      </c>
      <c r="BI244" s="1">
        <v>1872</v>
      </c>
      <c r="BJ244" s="1">
        <v>1867</v>
      </c>
      <c r="BK244" s="1">
        <v>1873</v>
      </c>
      <c r="BL244" s="1">
        <v>1912.5</v>
      </c>
      <c r="BM244" s="1">
        <v>1848</v>
      </c>
      <c r="BN244" s="1">
        <v>1850</v>
      </c>
      <c r="BO244" s="1">
        <v>1827</v>
      </c>
      <c r="BP244" s="1">
        <v>1801</v>
      </c>
      <c r="BQ244" s="1">
        <v>1874</v>
      </c>
      <c r="BR244" s="1">
        <v>1864</v>
      </c>
      <c r="BS244" s="1">
        <v>1885</v>
      </c>
      <c r="BT244" s="1">
        <v>1918</v>
      </c>
      <c r="BU244" s="1">
        <v>1936</v>
      </c>
      <c r="BV244" s="1">
        <v>1942</v>
      </c>
      <c r="BW244" s="1">
        <v>1921.5</v>
      </c>
      <c r="BX244" s="1">
        <v>1917.5</v>
      </c>
      <c r="BY244" s="1">
        <v>1915</v>
      </c>
      <c r="BZ244" s="1">
        <v>1918.5</v>
      </c>
    </row>
    <row r="245" spans="1:254">
      <c r="A245" s="62" t="s">
        <v>458</v>
      </c>
      <c r="B245" s="1" t="str">
        <f>銘柄管理!C245</f>
        <v>グローバルウェイ</v>
      </c>
      <c r="C245" s="1">
        <f>_xll.RssMarket("3936","安値")</f>
        <v>155</v>
      </c>
      <c r="E245" s="1">
        <v>155</v>
      </c>
      <c r="F245" s="1">
        <v>158</v>
      </c>
    </row>
    <row r="246" spans="1:254">
      <c r="A246" s="62" t="s">
        <v>459</v>
      </c>
      <c r="B246" s="1" t="str">
        <f>銘柄管理!C246</f>
        <v>エノモト</v>
      </c>
      <c r="C246" s="1">
        <f>_xll.RssMarket("6928","安値")</f>
        <v>2578</v>
      </c>
      <c r="E246" s="1">
        <v>2578</v>
      </c>
      <c r="F246" s="1">
        <v>2565</v>
      </c>
      <c r="G246" s="1">
        <v>2420</v>
      </c>
      <c r="H246" s="1">
        <v>2316</v>
      </c>
      <c r="I246" s="1">
        <v>2296</v>
      </c>
      <c r="J246" s="1">
        <v>2134</v>
      </c>
      <c r="K246" s="1">
        <v>2130</v>
      </c>
      <c r="L246" s="1">
        <v>2338</v>
      </c>
      <c r="M246" s="1">
        <v>2444</v>
      </c>
      <c r="N246" s="1">
        <v>2516</v>
      </c>
      <c r="O246" s="1">
        <v>2557</v>
      </c>
      <c r="P246" s="1">
        <v>2582</v>
      </c>
      <c r="Q246" s="1">
        <v>2492</v>
      </c>
      <c r="R246" s="1">
        <v>2492</v>
      </c>
      <c r="S246" s="1">
        <v>2820</v>
      </c>
      <c r="T246" s="1">
        <v>2817</v>
      </c>
      <c r="U246" s="1">
        <v>2865</v>
      </c>
      <c r="V246" s="1">
        <v>2838</v>
      </c>
      <c r="W246" s="1">
        <v>2760</v>
      </c>
      <c r="X246" s="1">
        <v>2725</v>
      </c>
      <c r="Y246" s="1">
        <v>2791</v>
      </c>
      <c r="Z246" s="1">
        <v>2851</v>
      </c>
      <c r="AA246" s="1">
        <v>2804</v>
      </c>
      <c r="AB246" s="1">
        <v>2900</v>
      </c>
      <c r="AC246" s="1">
        <v>3015</v>
      </c>
      <c r="AD246" s="1">
        <v>3035</v>
      </c>
      <c r="AE246" s="1">
        <v>3015</v>
      </c>
      <c r="AF246" s="1">
        <v>3125</v>
      </c>
      <c r="AG246" s="1">
        <v>3370</v>
      </c>
      <c r="AH246" s="1">
        <v>3305</v>
      </c>
      <c r="AI246" s="1">
        <v>3380</v>
      </c>
      <c r="AJ246" s="1">
        <v>3465</v>
      </c>
      <c r="AK246" s="1">
        <v>3435</v>
      </c>
      <c r="AL246" s="1">
        <v>3365</v>
      </c>
      <c r="AM246" s="1">
        <v>3275</v>
      </c>
      <c r="AN246" s="1">
        <v>3270</v>
      </c>
      <c r="AO246" s="1">
        <v>3230</v>
      </c>
      <c r="AP246" s="1">
        <v>3160</v>
      </c>
      <c r="AQ246" s="1">
        <v>3270</v>
      </c>
      <c r="AR246" s="1">
        <v>3350</v>
      </c>
      <c r="AS246" s="1">
        <v>3270</v>
      </c>
      <c r="AT246" s="1">
        <v>3540</v>
      </c>
      <c r="AU246" s="1">
        <v>3615</v>
      </c>
      <c r="AV246" s="1">
        <v>3655</v>
      </c>
      <c r="AW246" s="1">
        <v>3635</v>
      </c>
      <c r="AX246" s="1">
        <v>3735</v>
      </c>
      <c r="AY246" s="1">
        <v>3425</v>
      </c>
      <c r="AZ246" s="1">
        <v>3505</v>
      </c>
      <c r="BA246" s="1">
        <v>3595</v>
      </c>
      <c r="BB246" s="1">
        <v>3500</v>
      </c>
      <c r="BC246" s="1">
        <v>3485</v>
      </c>
      <c r="BD246" s="1">
        <v>3355</v>
      </c>
      <c r="BE246" s="1">
        <v>3380</v>
      </c>
      <c r="BF246" s="1">
        <v>3420</v>
      </c>
      <c r="BG246" s="1">
        <v>3405</v>
      </c>
      <c r="BH246" s="1">
        <v>3425</v>
      </c>
      <c r="BI246" s="1">
        <v>3380</v>
      </c>
      <c r="BJ246" s="1">
        <v>3400</v>
      </c>
      <c r="BK246" s="1">
        <v>3355</v>
      </c>
      <c r="BL246" s="1">
        <v>3500</v>
      </c>
      <c r="BM246" s="1">
        <v>3480</v>
      </c>
      <c r="BN246" s="1">
        <v>3200</v>
      </c>
      <c r="BO246" s="1">
        <v>3105</v>
      </c>
      <c r="BP246" s="1">
        <v>3160</v>
      </c>
      <c r="BQ246" s="1">
        <v>3075</v>
      </c>
      <c r="BR246" s="1">
        <v>3140</v>
      </c>
      <c r="BS246" s="1">
        <v>3090</v>
      </c>
      <c r="BT246" s="1">
        <v>3170</v>
      </c>
      <c r="BU246" s="1">
        <v>3205</v>
      </c>
      <c r="BV246" s="1">
        <v>3190</v>
      </c>
      <c r="BW246" s="1">
        <v>3210</v>
      </c>
      <c r="BX246" s="1">
        <v>3280</v>
      </c>
      <c r="BY246" s="1">
        <v>3230</v>
      </c>
      <c r="BZ246" s="1">
        <v>3170</v>
      </c>
    </row>
    <row r="247" spans="1:254">
      <c r="A247" s="62" t="s">
        <v>460</v>
      </c>
      <c r="B247" s="1" t="str">
        <f>銘柄管理!C247</f>
        <v>三菱製鋼</v>
      </c>
      <c r="C247" s="1">
        <f>_xll.RssMarket("5632","安値")</f>
        <v>2200</v>
      </c>
      <c r="E247" s="1">
        <v>2200</v>
      </c>
      <c r="F247" s="1">
        <v>2203</v>
      </c>
      <c r="G247" s="1">
        <v>2135</v>
      </c>
      <c r="H247" s="1">
        <v>2096</v>
      </c>
      <c r="I247" s="1">
        <v>2119</v>
      </c>
      <c r="J247" s="1">
        <v>2085</v>
      </c>
      <c r="K247" s="1">
        <v>2078</v>
      </c>
      <c r="L247" s="1">
        <v>2109</v>
      </c>
      <c r="M247" s="1">
        <v>2159</v>
      </c>
      <c r="O247" s="1">
        <v>2159</v>
      </c>
      <c r="P247" s="1">
        <v>2147</v>
      </c>
      <c r="Q247" s="1">
        <v>2101</v>
      </c>
      <c r="R247" s="1">
        <v>2055</v>
      </c>
      <c r="S247" s="1">
        <v>2146</v>
      </c>
      <c r="T247" s="1">
        <v>2088</v>
      </c>
      <c r="U247" s="1">
        <v>2059</v>
      </c>
      <c r="V247" s="1">
        <v>2107</v>
      </c>
      <c r="W247" s="1">
        <v>2091</v>
      </c>
      <c r="X247" s="1">
        <v>2120</v>
      </c>
      <c r="Y247" s="1">
        <v>2170</v>
      </c>
      <c r="Z247" s="1">
        <v>2183</v>
      </c>
      <c r="AA247" s="1">
        <v>2151</v>
      </c>
      <c r="AB247" s="1">
        <v>2111</v>
      </c>
      <c r="AC247" s="1">
        <v>2140</v>
      </c>
      <c r="AD247" s="1">
        <v>2128</v>
      </c>
      <c r="AE247" s="1">
        <v>2158</v>
      </c>
      <c r="AF247" s="1">
        <v>2158</v>
      </c>
      <c r="AG247" s="1">
        <v>2217</v>
      </c>
      <c r="AH247" s="1">
        <v>2202</v>
      </c>
      <c r="AI247" s="1">
        <v>2257</v>
      </c>
      <c r="AJ247" s="1">
        <v>2315</v>
      </c>
      <c r="AK247" s="1">
        <v>2287</v>
      </c>
      <c r="AL247" s="1">
        <v>2167</v>
      </c>
      <c r="AM247" s="1">
        <v>2141</v>
      </c>
      <c r="AN247" s="1">
        <v>2162</v>
      </c>
      <c r="AO247" s="1">
        <v>2169</v>
      </c>
      <c r="AP247" s="1">
        <v>2130</v>
      </c>
      <c r="AQ247" s="1">
        <v>2041</v>
      </c>
      <c r="AR247" s="1">
        <v>2072</v>
      </c>
      <c r="AS247" s="1">
        <v>2037</v>
      </c>
      <c r="AT247" s="1">
        <v>2115</v>
      </c>
      <c r="AU247" s="1">
        <v>2044</v>
      </c>
      <c r="AV247" s="1">
        <v>2079</v>
      </c>
      <c r="AW247" s="1">
        <v>2042</v>
      </c>
      <c r="AX247" s="1">
        <v>2128</v>
      </c>
      <c r="AY247" s="1">
        <v>2094</v>
      </c>
      <c r="AZ247" s="1">
        <v>2115</v>
      </c>
      <c r="BA247" s="1">
        <v>2102</v>
      </c>
      <c r="BB247" s="1">
        <v>2104</v>
      </c>
      <c r="BC247" s="1">
        <v>2047</v>
      </c>
      <c r="BD247" s="1">
        <v>1993</v>
      </c>
      <c r="BE247" s="1">
        <v>2061</v>
      </c>
      <c r="BF247" s="1">
        <v>2037</v>
      </c>
      <c r="BG247" s="1">
        <v>2054</v>
      </c>
      <c r="BH247" s="1">
        <v>1994</v>
      </c>
      <c r="BI247" s="1">
        <v>1819</v>
      </c>
      <c r="BJ247" s="1">
        <v>1857</v>
      </c>
      <c r="BK247" s="1">
        <v>1800</v>
      </c>
      <c r="BL247" s="1">
        <v>1815</v>
      </c>
      <c r="BM247" s="1">
        <v>1817</v>
      </c>
      <c r="BN247" s="1">
        <v>1774</v>
      </c>
      <c r="BO247" s="1">
        <v>1782</v>
      </c>
      <c r="BP247" s="1">
        <v>1780</v>
      </c>
      <c r="BQ247" s="1">
        <v>1774</v>
      </c>
      <c r="BR247" s="1">
        <v>1776</v>
      </c>
      <c r="BS247" s="1">
        <v>1788</v>
      </c>
      <c r="BT247" s="1">
        <v>1802</v>
      </c>
      <c r="BU247" s="1">
        <v>1823</v>
      </c>
      <c r="BV247" s="1">
        <v>1829</v>
      </c>
      <c r="BW247" s="1">
        <v>1821</v>
      </c>
      <c r="BX247" s="1">
        <v>1821</v>
      </c>
      <c r="BY247" s="1">
        <v>1813</v>
      </c>
      <c r="BZ247" s="1">
        <v>1798</v>
      </c>
    </row>
    <row r="248" spans="1:254">
      <c r="A248" s="62" t="s">
        <v>461</v>
      </c>
      <c r="B248" s="1" t="str">
        <f>銘柄管理!C248</f>
        <v>リクルートホールディングス</v>
      </c>
      <c r="C248" s="1">
        <f>_xll.RssMarket("6098","安値")</f>
        <v>12490</v>
      </c>
      <c r="E248" s="1">
        <v>12490</v>
      </c>
      <c r="F248" s="1">
        <v>12550</v>
      </c>
      <c r="G248" s="1">
        <v>12190</v>
      </c>
      <c r="H248" s="1">
        <v>12085</v>
      </c>
      <c r="I248" s="1">
        <v>12385</v>
      </c>
      <c r="J248" s="1">
        <v>12710</v>
      </c>
      <c r="K248" s="1">
        <v>12640</v>
      </c>
      <c r="L248" s="1">
        <v>12305</v>
      </c>
      <c r="M248" s="1">
        <v>12280</v>
      </c>
      <c r="N248" s="1">
        <v>11905</v>
      </c>
      <c r="O248" s="1">
        <v>12190</v>
      </c>
      <c r="P248" s="1">
        <v>12250</v>
      </c>
      <c r="Q248" s="1">
        <v>12500</v>
      </c>
      <c r="R248" s="1">
        <v>12605</v>
      </c>
      <c r="S248" s="1">
        <v>12335</v>
      </c>
      <c r="T248" s="1">
        <v>12545</v>
      </c>
      <c r="U248" s="1">
        <v>11990</v>
      </c>
      <c r="V248" s="1">
        <v>12105</v>
      </c>
      <c r="W248" s="1">
        <v>12150</v>
      </c>
      <c r="X248" s="1">
        <v>12180</v>
      </c>
      <c r="Y248" s="1">
        <v>11975</v>
      </c>
      <c r="Z248" s="1">
        <v>11720</v>
      </c>
      <c r="AA248" s="1">
        <v>11820</v>
      </c>
      <c r="AB248" s="1">
        <v>11585</v>
      </c>
      <c r="AC248" s="1">
        <v>11455</v>
      </c>
      <c r="AD248" s="1">
        <v>11240</v>
      </c>
      <c r="AE248" s="1">
        <v>11055</v>
      </c>
      <c r="AF248" s="1">
        <v>10915</v>
      </c>
      <c r="AG248" s="1">
        <v>11025</v>
      </c>
      <c r="AH248" s="1">
        <v>10865</v>
      </c>
      <c r="AI248" s="1">
        <v>10945</v>
      </c>
      <c r="AJ248" s="1">
        <v>10770</v>
      </c>
      <c r="AK248" s="1">
        <v>10685</v>
      </c>
      <c r="AL248" s="1">
        <v>11165</v>
      </c>
      <c r="AM248" s="1">
        <v>10505</v>
      </c>
      <c r="AN248" s="1">
        <v>10520</v>
      </c>
      <c r="AO248" s="1">
        <v>10700</v>
      </c>
      <c r="AP248" s="1">
        <v>10760</v>
      </c>
      <c r="AQ248" s="1">
        <v>10990</v>
      </c>
      <c r="AR248" s="1">
        <v>11125</v>
      </c>
      <c r="AS248" s="1">
        <v>10635</v>
      </c>
      <c r="AT248" s="1">
        <v>10555</v>
      </c>
      <c r="AU248" s="1">
        <v>10560</v>
      </c>
      <c r="AV248" s="1">
        <v>10540</v>
      </c>
      <c r="AW248" s="1">
        <v>10695</v>
      </c>
      <c r="AX248" s="1">
        <v>10325</v>
      </c>
      <c r="AY248" s="1">
        <v>9933</v>
      </c>
      <c r="AZ248" s="1">
        <v>9907</v>
      </c>
      <c r="BA248" s="1">
        <v>9537</v>
      </c>
      <c r="BB248" s="1">
        <v>9401</v>
      </c>
      <c r="BC248" s="1">
        <v>9504</v>
      </c>
      <c r="BD248" s="1">
        <v>9600</v>
      </c>
      <c r="BE248" s="1">
        <v>9308</v>
      </c>
      <c r="BF248" s="1">
        <v>8800</v>
      </c>
      <c r="BG248" s="1">
        <v>7670</v>
      </c>
      <c r="BH248" s="1">
        <v>7542</v>
      </c>
      <c r="BI248" s="1">
        <v>7660</v>
      </c>
      <c r="BJ248" s="1">
        <v>7508</v>
      </c>
      <c r="BK248" s="1">
        <v>7680</v>
      </c>
      <c r="BL248" s="1">
        <v>7781</v>
      </c>
      <c r="BM248" s="1">
        <v>7358</v>
      </c>
      <c r="BN248" s="1">
        <v>7163</v>
      </c>
      <c r="BO248" s="1">
        <v>7102</v>
      </c>
      <c r="BP248" s="1">
        <v>7324</v>
      </c>
      <c r="BQ248" s="1">
        <v>7273</v>
      </c>
      <c r="BR248" s="1">
        <v>7211</v>
      </c>
      <c r="BS248" s="1">
        <v>7382</v>
      </c>
      <c r="BT248" s="1">
        <v>7826</v>
      </c>
      <c r="BU248" s="1">
        <v>7572</v>
      </c>
      <c r="BV248" s="1">
        <v>7482</v>
      </c>
      <c r="BW248" s="1">
        <v>7270</v>
      </c>
      <c r="BX248" s="1">
        <v>7241</v>
      </c>
      <c r="BY248" s="1">
        <v>6960</v>
      </c>
      <c r="BZ248" s="1">
        <v>6985</v>
      </c>
    </row>
    <row r="249" spans="1:254">
      <c r="A249" s="62" t="s">
        <v>462</v>
      </c>
      <c r="B249" s="1" t="str">
        <f>銘柄管理!C249</f>
        <v>荏原製作所</v>
      </c>
      <c r="C249" s="1">
        <f>_xll.RssMarket("6361","安値")</f>
        <v>5681</v>
      </c>
      <c r="E249" s="1">
        <v>5681</v>
      </c>
      <c r="F249" s="1">
        <v>5867</v>
      </c>
      <c r="G249" s="1">
        <v>5523</v>
      </c>
      <c r="H249" s="1">
        <v>5252</v>
      </c>
      <c r="I249" s="1">
        <v>5436</v>
      </c>
      <c r="J249" s="1">
        <v>4768</v>
      </c>
      <c r="K249" s="1">
        <v>4708</v>
      </c>
      <c r="L249" s="1">
        <v>5108</v>
      </c>
      <c r="M249" s="1">
        <v>5547</v>
      </c>
      <c r="N249" s="1">
        <v>5590</v>
      </c>
      <c r="O249" s="1">
        <v>5682</v>
      </c>
      <c r="P249" s="1">
        <v>5578</v>
      </c>
      <c r="Q249" s="1">
        <v>5292</v>
      </c>
      <c r="R249" s="1">
        <v>5210</v>
      </c>
      <c r="S249" s="1">
        <v>6039</v>
      </c>
      <c r="T249" s="1">
        <v>5586</v>
      </c>
      <c r="U249" s="1">
        <v>5856</v>
      </c>
      <c r="V249" s="1">
        <v>5975</v>
      </c>
      <c r="W249" s="1">
        <v>5804</v>
      </c>
      <c r="X249" s="1">
        <v>5638</v>
      </c>
      <c r="Y249" s="1">
        <v>5845</v>
      </c>
      <c r="Z249" s="1">
        <v>5986</v>
      </c>
      <c r="AA249" s="1">
        <v>5677</v>
      </c>
      <c r="AB249" s="1">
        <v>5989</v>
      </c>
      <c r="AC249" s="1">
        <v>6226</v>
      </c>
      <c r="AD249" s="1">
        <v>6006</v>
      </c>
      <c r="AE249" s="1">
        <v>5984</v>
      </c>
      <c r="AF249" s="1">
        <v>6101</v>
      </c>
      <c r="AG249" s="1">
        <v>6251</v>
      </c>
      <c r="AH249" s="1">
        <v>6218</v>
      </c>
      <c r="AI249" s="1">
        <v>6342</v>
      </c>
      <c r="AJ249" s="1">
        <v>6555</v>
      </c>
      <c r="AK249" s="1">
        <v>6477</v>
      </c>
      <c r="AL249" s="1">
        <v>6538</v>
      </c>
      <c r="AM249" s="1">
        <v>6089</v>
      </c>
      <c r="AN249" s="1">
        <v>6074</v>
      </c>
      <c r="AO249" s="1">
        <v>5719</v>
      </c>
      <c r="AP249" s="1">
        <v>5471</v>
      </c>
      <c r="AQ249" s="1">
        <v>5011</v>
      </c>
      <c r="AR249" s="1">
        <v>5171</v>
      </c>
      <c r="AS249" s="1">
        <v>4969</v>
      </c>
      <c r="AT249" s="1">
        <v>5342</v>
      </c>
      <c r="AU249" s="1">
        <v>5375</v>
      </c>
      <c r="AV249" s="1">
        <v>5237</v>
      </c>
      <c r="AW249" s="1">
        <v>5247</v>
      </c>
      <c r="AX249" s="1">
        <v>5490</v>
      </c>
      <c r="AY249" s="1">
        <v>5361</v>
      </c>
      <c r="AZ249" s="1">
        <v>5467</v>
      </c>
      <c r="BA249" s="1">
        <v>5651</v>
      </c>
      <c r="BB249" s="1">
        <v>5278</v>
      </c>
      <c r="BC249" s="1">
        <v>4951</v>
      </c>
      <c r="BD249" s="1">
        <v>4870</v>
      </c>
      <c r="BE249" s="1">
        <v>5121</v>
      </c>
      <c r="BF249" s="1">
        <v>5279</v>
      </c>
      <c r="BG249" s="1">
        <v>5445</v>
      </c>
      <c r="BH249" s="1">
        <v>5727</v>
      </c>
      <c r="BI249" s="1">
        <v>5644</v>
      </c>
      <c r="BJ249" s="1">
        <v>5797</v>
      </c>
      <c r="BK249" s="1">
        <v>5624</v>
      </c>
      <c r="BL249" s="1">
        <v>5637</v>
      </c>
      <c r="BM249" s="1">
        <v>5651</v>
      </c>
      <c r="BN249" s="1">
        <v>5242</v>
      </c>
      <c r="BO249" s="1">
        <v>5272</v>
      </c>
      <c r="BP249" s="1">
        <v>5422</v>
      </c>
      <c r="BQ249" s="1">
        <v>5231</v>
      </c>
      <c r="BR249" s="1">
        <v>5269</v>
      </c>
      <c r="BS249" s="1">
        <v>5223</v>
      </c>
      <c r="BT249" s="1">
        <v>5171</v>
      </c>
      <c r="BU249" s="1">
        <v>5114</v>
      </c>
      <c r="BV249" s="1">
        <v>5050</v>
      </c>
      <c r="BW249" s="1">
        <v>4933</v>
      </c>
      <c r="BX249" s="1">
        <v>4965</v>
      </c>
      <c r="BY249" s="1">
        <v>4988</v>
      </c>
      <c r="BZ249" s="1">
        <v>5166</v>
      </c>
    </row>
    <row r="250" spans="1:254">
      <c r="A250" s="62" t="s">
        <v>463</v>
      </c>
      <c r="B250" s="1" t="str">
        <f>銘柄管理!C250</f>
        <v>情報戦略テクノロジー</v>
      </c>
      <c r="C250" s="1">
        <f>_xll.RssMarket("155A","安値")</f>
        <v>843</v>
      </c>
      <c r="E250" s="1">
        <v>843</v>
      </c>
      <c r="F250" s="1">
        <v>833</v>
      </c>
      <c r="G250" s="1">
        <v>823</v>
      </c>
      <c r="H250" s="1">
        <v>805</v>
      </c>
      <c r="I250" s="1">
        <v>823</v>
      </c>
      <c r="J250" s="1">
        <v>813</v>
      </c>
      <c r="K250" s="1">
        <v>807</v>
      </c>
      <c r="L250" s="1">
        <v>825</v>
      </c>
      <c r="M250" s="1">
        <v>843</v>
      </c>
      <c r="O250" s="1">
        <v>847</v>
      </c>
      <c r="P250" s="1">
        <v>858</v>
      </c>
      <c r="Q250" s="1">
        <v>828</v>
      </c>
      <c r="R250" s="1">
        <v>824</v>
      </c>
      <c r="S250" s="1">
        <v>893</v>
      </c>
      <c r="T250" s="1">
        <v>902</v>
      </c>
      <c r="U250" s="1">
        <v>885</v>
      </c>
      <c r="V250" s="1">
        <v>878</v>
      </c>
      <c r="W250" s="1">
        <v>870</v>
      </c>
      <c r="X250" s="1">
        <v>878</v>
      </c>
      <c r="Y250" s="1">
        <v>896</v>
      </c>
      <c r="Z250" s="1">
        <v>897</v>
      </c>
      <c r="AA250" s="1">
        <v>857</v>
      </c>
      <c r="AB250" s="1">
        <v>857</v>
      </c>
      <c r="AC250" s="1">
        <v>860</v>
      </c>
      <c r="AD250" s="1">
        <v>858</v>
      </c>
      <c r="AE250" s="1">
        <v>835</v>
      </c>
      <c r="AF250" s="1">
        <v>826</v>
      </c>
      <c r="AG250" s="1">
        <v>835</v>
      </c>
      <c r="AH250" s="1">
        <v>813</v>
      </c>
      <c r="AI250" s="1">
        <v>889</v>
      </c>
      <c r="AJ250" s="1">
        <v>888</v>
      </c>
      <c r="AK250" s="1">
        <v>874</v>
      </c>
      <c r="AL250" s="1">
        <v>872</v>
      </c>
      <c r="AM250" s="1">
        <v>830</v>
      </c>
      <c r="AN250" s="1">
        <v>816</v>
      </c>
      <c r="AO250" s="1">
        <v>832</v>
      </c>
      <c r="AP250" s="1">
        <v>830</v>
      </c>
      <c r="AQ250" s="1">
        <v>853</v>
      </c>
      <c r="AR250" s="1">
        <v>860</v>
      </c>
      <c r="AS250" s="1">
        <v>828</v>
      </c>
      <c r="AT250" s="1">
        <v>834</v>
      </c>
      <c r="AU250" s="1">
        <v>827</v>
      </c>
      <c r="AV250" s="1">
        <v>828</v>
      </c>
      <c r="AW250" s="1">
        <v>803</v>
      </c>
      <c r="AX250" s="1">
        <v>866</v>
      </c>
      <c r="AY250" s="1">
        <v>849</v>
      </c>
      <c r="AZ250" s="1">
        <v>851</v>
      </c>
      <c r="BA250" s="1">
        <v>858</v>
      </c>
      <c r="BB250" s="1">
        <v>824</v>
      </c>
      <c r="BC250" s="1">
        <v>837</v>
      </c>
      <c r="BD250" s="1">
        <v>823</v>
      </c>
      <c r="BE250" s="1">
        <v>855</v>
      </c>
      <c r="BF250" s="1">
        <v>867</v>
      </c>
      <c r="BG250" s="1">
        <v>831</v>
      </c>
      <c r="BH250" s="1">
        <v>727</v>
      </c>
      <c r="BI250" s="1">
        <v>751</v>
      </c>
      <c r="BJ250" s="1">
        <v>785</v>
      </c>
      <c r="BK250" s="1">
        <v>798</v>
      </c>
      <c r="BL250" s="1">
        <v>813</v>
      </c>
      <c r="BM250" s="1">
        <v>803</v>
      </c>
      <c r="BN250" s="1">
        <v>796</v>
      </c>
      <c r="BO250" s="1">
        <v>789</v>
      </c>
      <c r="BP250" s="1">
        <v>803</v>
      </c>
      <c r="BQ250" s="1">
        <v>807</v>
      </c>
      <c r="BR250" s="1">
        <v>820</v>
      </c>
      <c r="BS250" s="1">
        <v>825</v>
      </c>
      <c r="BT250" s="1">
        <v>844</v>
      </c>
      <c r="BU250" s="1">
        <v>832</v>
      </c>
      <c r="BV250" s="1">
        <v>833</v>
      </c>
      <c r="BW250" s="1">
        <v>830</v>
      </c>
      <c r="BX250" s="1">
        <v>829</v>
      </c>
      <c r="BY250" s="1">
        <v>813</v>
      </c>
      <c r="BZ250" s="1">
        <v>806</v>
      </c>
    </row>
    <row r="251" spans="1:254">
      <c r="A251" s="62" t="s">
        <v>464</v>
      </c>
      <c r="B251" s="1" t="str">
        <f>銘柄管理!C251</f>
        <v>ＴＥＲＲＡＤＲＯＮＥ</v>
      </c>
      <c r="C251" s="1">
        <f>_xll.RssMarket("278A","安値")</f>
        <v>12670</v>
      </c>
      <c r="E251" s="1">
        <v>12670</v>
      </c>
      <c r="F251" s="1">
        <v>12850</v>
      </c>
      <c r="G251" s="1">
        <v>12230</v>
      </c>
      <c r="H251" s="1">
        <v>10090</v>
      </c>
      <c r="I251" s="1">
        <v>9820</v>
      </c>
      <c r="J251" s="1">
        <v>9780</v>
      </c>
      <c r="K251" s="1">
        <v>9610</v>
      </c>
      <c r="L251" s="1">
        <v>10350</v>
      </c>
      <c r="M251" s="1">
        <v>11830</v>
      </c>
      <c r="N251" s="1">
        <v>11700</v>
      </c>
      <c r="O251" s="1">
        <v>13770</v>
      </c>
      <c r="P251" s="1">
        <v>15400</v>
      </c>
      <c r="Q251" s="1">
        <v>14190</v>
      </c>
      <c r="R251" s="1">
        <v>12170</v>
      </c>
      <c r="S251" s="1">
        <v>10690</v>
      </c>
      <c r="T251" s="1">
        <v>10480</v>
      </c>
      <c r="U251" s="1">
        <v>10520</v>
      </c>
      <c r="V251" s="1">
        <v>9240</v>
      </c>
      <c r="W251" s="1">
        <v>8610</v>
      </c>
      <c r="X251" s="1">
        <v>8700</v>
      </c>
      <c r="Y251" s="1">
        <v>8990</v>
      </c>
      <c r="Z251" s="1">
        <v>8820</v>
      </c>
      <c r="AA251" s="1">
        <v>7870</v>
      </c>
      <c r="AB251" s="1">
        <v>7710</v>
      </c>
      <c r="AC251" s="1">
        <v>7640</v>
      </c>
      <c r="AD251" s="1">
        <v>7580</v>
      </c>
      <c r="AE251" s="1">
        <v>7650</v>
      </c>
      <c r="AF251" s="1">
        <v>7570</v>
      </c>
      <c r="AG251" s="1">
        <v>7860</v>
      </c>
      <c r="AH251" s="1">
        <v>7920</v>
      </c>
      <c r="AI251" s="1">
        <v>7920</v>
      </c>
      <c r="AJ251" s="1">
        <v>7830</v>
      </c>
      <c r="AK251" s="1">
        <v>7820</v>
      </c>
      <c r="AL251" s="1">
        <v>7840</v>
      </c>
      <c r="AM251" s="1">
        <v>7940</v>
      </c>
      <c r="AN251" s="1">
        <v>8350</v>
      </c>
      <c r="AO251" s="1">
        <v>7050</v>
      </c>
      <c r="AP251" s="1">
        <v>8100</v>
      </c>
      <c r="AQ251" s="1">
        <v>8080</v>
      </c>
      <c r="AR251" s="1">
        <v>8520</v>
      </c>
      <c r="AS251" s="1">
        <v>7930</v>
      </c>
      <c r="AT251" s="1">
        <v>7890</v>
      </c>
      <c r="AU251" s="1">
        <v>7820</v>
      </c>
      <c r="AV251" s="1">
        <v>8230</v>
      </c>
      <c r="AW251" s="1">
        <v>8350</v>
      </c>
      <c r="AX251" s="1">
        <v>9690</v>
      </c>
      <c r="AY251" s="1">
        <v>8900</v>
      </c>
      <c r="AZ251" s="1">
        <v>8660</v>
      </c>
      <c r="BA251" s="1">
        <v>10440</v>
      </c>
      <c r="BB251" s="1">
        <v>10550</v>
      </c>
      <c r="BC251" s="1">
        <v>10270</v>
      </c>
      <c r="BD251" s="1">
        <v>11030</v>
      </c>
      <c r="BE251" s="1">
        <v>12350</v>
      </c>
      <c r="BF251" s="1">
        <v>11220</v>
      </c>
      <c r="BG251" s="1">
        <v>10930</v>
      </c>
      <c r="BH251" s="1">
        <v>10500</v>
      </c>
      <c r="BI251" s="1">
        <v>9420</v>
      </c>
      <c r="BJ251" s="1">
        <v>12400</v>
      </c>
      <c r="BK251" s="1">
        <v>15060</v>
      </c>
      <c r="BL251" s="1">
        <v>12020</v>
      </c>
      <c r="BM251" s="1">
        <v>11100</v>
      </c>
      <c r="BN251" s="1">
        <v>9960</v>
      </c>
      <c r="BO251" s="1">
        <v>8000</v>
      </c>
      <c r="BP251" s="1">
        <v>7030</v>
      </c>
      <c r="BQ251" s="1">
        <v>7230</v>
      </c>
      <c r="BR251" s="1">
        <v>7780</v>
      </c>
      <c r="BS251" s="1">
        <v>7170</v>
      </c>
      <c r="BT251" s="1">
        <v>6830</v>
      </c>
      <c r="BU251" s="1">
        <v>6100</v>
      </c>
      <c r="BV251" s="1">
        <v>6390</v>
      </c>
      <c r="BW251" s="1">
        <v>6320</v>
      </c>
      <c r="BX251" s="1">
        <v>6230</v>
      </c>
      <c r="BY251" s="1">
        <v>5510</v>
      </c>
      <c r="BZ251" s="1">
        <v>5460</v>
      </c>
    </row>
    <row r="252" spans="1:254">
      <c r="A252" s="62" t="s">
        <v>465</v>
      </c>
      <c r="B252" s="1" t="str">
        <f>銘柄管理!C252</f>
        <v>ＭＩＣ</v>
      </c>
      <c r="C252" s="1">
        <f>_xll.RssMarket("300A","安値")</f>
        <v>3000</v>
      </c>
      <c r="E252" s="1">
        <v>3000</v>
      </c>
      <c r="F252" s="1">
        <v>2910</v>
      </c>
      <c r="G252" s="1">
        <v>2960</v>
      </c>
      <c r="H252" s="1">
        <v>2921</v>
      </c>
      <c r="I252" s="1">
        <v>2985</v>
      </c>
      <c r="J252" s="1">
        <v>2956</v>
      </c>
      <c r="K252" s="1">
        <v>2950</v>
      </c>
      <c r="L252" s="1">
        <v>2903</v>
      </c>
      <c r="M252" s="1">
        <v>2860</v>
      </c>
      <c r="O252" s="1">
        <v>2958</v>
      </c>
      <c r="P252" s="1">
        <v>2900</v>
      </c>
      <c r="Q252" s="1">
        <v>2885</v>
      </c>
      <c r="R252" s="1">
        <v>2847</v>
      </c>
      <c r="S252" s="1">
        <v>2820</v>
      </c>
      <c r="T252" s="1">
        <v>2821</v>
      </c>
      <c r="U252" s="1">
        <v>2831</v>
      </c>
      <c r="V252" s="1">
        <v>2873</v>
      </c>
      <c r="W252" s="1">
        <v>2860</v>
      </c>
      <c r="X252" s="1">
        <v>2882</v>
      </c>
      <c r="Y252" s="1">
        <v>2871</v>
      </c>
      <c r="Z252" s="1">
        <v>2902</v>
      </c>
      <c r="AA252" s="1">
        <v>2909</v>
      </c>
      <c r="AB252" s="1">
        <v>2917</v>
      </c>
      <c r="AC252" s="1">
        <v>2887</v>
      </c>
      <c r="AD252" s="1">
        <v>2900</v>
      </c>
      <c r="AE252" s="1">
        <v>2850</v>
      </c>
      <c r="AF252" s="1">
        <v>2766</v>
      </c>
      <c r="AG252" s="1">
        <v>2765</v>
      </c>
      <c r="AH252" s="1">
        <v>2751</v>
      </c>
      <c r="AI252" s="1">
        <v>2792</v>
      </c>
      <c r="AJ252" s="1">
        <v>2790</v>
      </c>
      <c r="AK252" s="1">
        <v>2773</v>
      </c>
      <c r="AL252" s="1">
        <v>2725</v>
      </c>
      <c r="AM252" s="1">
        <v>2810</v>
      </c>
      <c r="AN252" s="1">
        <v>2797</v>
      </c>
      <c r="AO252" s="1">
        <v>2775</v>
      </c>
      <c r="AP252" s="1">
        <v>2764</v>
      </c>
      <c r="AQ252" s="1">
        <v>2737</v>
      </c>
      <c r="AR252" s="1">
        <v>2797</v>
      </c>
      <c r="AS252" s="1">
        <v>2719</v>
      </c>
      <c r="AT252" s="1">
        <v>2754</v>
      </c>
      <c r="AU252" s="1">
        <v>2733</v>
      </c>
      <c r="AV252" s="1">
        <v>2753</v>
      </c>
      <c r="AW252" s="1">
        <v>2752</v>
      </c>
      <c r="AX252" s="1">
        <v>2835</v>
      </c>
      <c r="AY252" s="1">
        <v>2810</v>
      </c>
      <c r="AZ252" s="1">
        <v>2833</v>
      </c>
      <c r="BA252" s="1">
        <v>2869</v>
      </c>
      <c r="BB252" s="1">
        <v>2864</v>
      </c>
      <c r="BC252" s="1">
        <v>2836</v>
      </c>
      <c r="BD252" s="1">
        <v>2874</v>
      </c>
      <c r="BE252" s="1">
        <v>2848</v>
      </c>
      <c r="BF252" s="1">
        <v>2748</v>
      </c>
      <c r="BG252" s="1">
        <v>2904</v>
      </c>
      <c r="BH252" s="1">
        <v>2595</v>
      </c>
      <c r="BI252" s="1">
        <v>2753</v>
      </c>
      <c r="BJ252" s="1">
        <v>2731</v>
      </c>
      <c r="BK252" s="1">
        <v>2777</v>
      </c>
      <c r="BL252" s="1">
        <v>2709</v>
      </c>
      <c r="BM252" s="1">
        <v>2733</v>
      </c>
      <c r="BN252" s="1">
        <v>2687</v>
      </c>
      <c r="BO252" s="1">
        <v>2747</v>
      </c>
      <c r="BP252" s="1">
        <v>2783</v>
      </c>
      <c r="BQ252" s="1">
        <v>2720</v>
      </c>
      <c r="BR252" s="1">
        <v>2859</v>
      </c>
      <c r="BS252" s="1">
        <v>2931</v>
      </c>
      <c r="BT252" s="1">
        <v>3045</v>
      </c>
      <c r="BU252" s="1">
        <v>3005</v>
      </c>
      <c r="BV252" s="1">
        <v>2982</v>
      </c>
      <c r="BW252" s="1">
        <v>2964</v>
      </c>
      <c r="BX252" s="1">
        <v>2964</v>
      </c>
      <c r="BY252" s="1">
        <v>2879</v>
      </c>
      <c r="BZ252" s="1">
        <v>2868</v>
      </c>
    </row>
    <row r="253" spans="1:254">
      <c r="A253" s="62" t="s">
        <v>466</v>
      </c>
      <c r="B253" s="1" t="str">
        <f>銘柄管理!C253</f>
        <v>サイボウズ</v>
      </c>
      <c r="C253" s="1">
        <f>_xll.RssMarket("4776","安値")</f>
        <v>2664</v>
      </c>
      <c r="E253" s="1">
        <v>2664</v>
      </c>
      <c r="F253" s="1">
        <v>2685</v>
      </c>
      <c r="G253" s="1">
        <v>2663</v>
      </c>
      <c r="H253" s="1">
        <v>2613</v>
      </c>
      <c r="I253" s="1">
        <v>2660</v>
      </c>
      <c r="J253" s="1">
        <v>2733</v>
      </c>
      <c r="K253" s="1">
        <v>2660</v>
      </c>
      <c r="L253" s="1">
        <v>2613</v>
      </c>
      <c r="M253" s="1">
        <v>2516</v>
      </c>
      <c r="N253" s="1">
        <v>2431</v>
      </c>
      <c r="O253" s="1">
        <v>2440</v>
      </c>
      <c r="P253" s="1">
        <v>2518</v>
      </c>
      <c r="Q253" s="1">
        <v>2606</v>
      </c>
      <c r="R253" s="1">
        <v>2539</v>
      </c>
      <c r="S253" s="1">
        <v>2514</v>
      </c>
      <c r="T253" s="1">
        <v>2580</v>
      </c>
      <c r="U253" s="1">
        <v>2548</v>
      </c>
      <c r="V253" s="1">
        <v>2586</v>
      </c>
      <c r="W253" s="1">
        <v>2490</v>
      </c>
      <c r="X253" s="1">
        <v>2565</v>
      </c>
      <c r="Y253" s="1">
        <v>2569</v>
      </c>
      <c r="Z253" s="1">
        <v>2490</v>
      </c>
      <c r="AA253" s="1">
        <v>2484</v>
      </c>
      <c r="AB253" s="1">
        <v>2373</v>
      </c>
      <c r="AC253" s="1">
        <v>2231</v>
      </c>
      <c r="AD253" s="1">
        <v>2253</v>
      </c>
      <c r="AE253" s="1">
        <v>2265</v>
      </c>
      <c r="AF253" s="1">
        <v>2106</v>
      </c>
      <c r="AG253" s="1">
        <v>2151</v>
      </c>
      <c r="AH253" s="1">
        <v>2181</v>
      </c>
      <c r="AI253" s="1">
        <v>2212</v>
      </c>
      <c r="AJ253" s="1">
        <v>2280</v>
      </c>
      <c r="AK253" s="1">
        <v>2307</v>
      </c>
      <c r="AL253" s="1">
        <v>2301</v>
      </c>
      <c r="AM253" s="1">
        <v>2266</v>
      </c>
      <c r="AN253" s="1">
        <v>2285</v>
      </c>
      <c r="AO253" s="1">
        <v>2306</v>
      </c>
      <c r="AP253" s="1">
        <v>2235</v>
      </c>
      <c r="AQ253" s="1">
        <v>2274</v>
      </c>
      <c r="AR253" s="1">
        <v>2309</v>
      </c>
      <c r="AS253" s="1">
        <v>2361</v>
      </c>
      <c r="AT253" s="1">
        <v>2425</v>
      </c>
      <c r="AU253" s="1">
        <v>2385</v>
      </c>
      <c r="AV253" s="1">
        <v>2468</v>
      </c>
      <c r="AW253" s="1">
        <v>2572</v>
      </c>
      <c r="AX253" s="1">
        <v>2537</v>
      </c>
      <c r="AY253" s="1">
        <v>2506</v>
      </c>
      <c r="AZ253" s="1">
        <v>2523</v>
      </c>
      <c r="BA253" s="1">
        <v>2500</v>
      </c>
      <c r="BB253" s="1">
        <v>2474</v>
      </c>
      <c r="BC253" s="1">
        <v>2469</v>
      </c>
      <c r="BD253" s="1">
        <v>2416</v>
      </c>
      <c r="BE253" s="1">
        <v>2372</v>
      </c>
      <c r="BF253" s="1">
        <v>2320</v>
      </c>
      <c r="BG253" s="1">
        <v>2265</v>
      </c>
      <c r="BH253" s="1">
        <v>2086</v>
      </c>
      <c r="BI253" s="1">
        <v>2126</v>
      </c>
      <c r="BJ253" s="1">
        <v>2115</v>
      </c>
      <c r="BK253" s="1">
        <v>2150</v>
      </c>
      <c r="BL253" s="1">
        <v>2108</v>
      </c>
      <c r="BM253" s="1">
        <v>2047</v>
      </c>
      <c r="BN253" s="1">
        <v>2076</v>
      </c>
      <c r="BO253" s="1">
        <v>2050</v>
      </c>
      <c r="BP253" s="1">
        <v>2099</v>
      </c>
      <c r="BQ253" s="1">
        <v>2098</v>
      </c>
      <c r="BR253" s="1">
        <v>2095</v>
      </c>
      <c r="BS253" s="1">
        <v>2086</v>
      </c>
      <c r="BT253" s="1">
        <v>2136</v>
      </c>
      <c r="BU253" s="1">
        <v>2133</v>
      </c>
      <c r="BV253" s="1">
        <v>2177</v>
      </c>
      <c r="BW253" s="1">
        <v>2226</v>
      </c>
      <c r="BX253" s="1">
        <v>2185</v>
      </c>
      <c r="BY253" s="1">
        <v>2064</v>
      </c>
      <c r="BZ253" s="1">
        <v>2014</v>
      </c>
    </row>
    <row r="254" spans="1:254">
      <c r="A254" s="62" t="s">
        <v>467</v>
      </c>
      <c r="B254" s="1" t="str">
        <f>銘柄管理!C254</f>
        <v>トレンドマイクロ</v>
      </c>
      <c r="C254" s="1">
        <f>_xll.RssMarket("4704","安値")</f>
        <v>6480</v>
      </c>
      <c r="E254" s="1">
        <v>6480</v>
      </c>
      <c r="F254" s="1">
        <v>6403</v>
      </c>
      <c r="G254" s="1">
        <v>6398</v>
      </c>
      <c r="H254" s="1">
        <v>6228</v>
      </c>
      <c r="I254" s="1">
        <v>6320</v>
      </c>
      <c r="J254" s="1">
        <v>6607</v>
      </c>
      <c r="K254" s="1">
        <v>6589</v>
      </c>
      <c r="L254" s="1">
        <v>6501</v>
      </c>
      <c r="M254" s="1">
        <v>6301</v>
      </c>
      <c r="N254" s="1">
        <v>6121</v>
      </c>
      <c r="O254" s="1">
        <v>6138</v>
      </c>
      <c r="P254" s="1">
        <v>6200</v>
      </c>
      <c r="Q254" s="1">
        <v>6364</v>
      </c>
      <c r="R254" s="1">
        <v>6390</v>
      </c>
      <c r="S254" s="1">
        <v>6310</v>
      </c>
      <c r="T254" s="1">
        <v>6275</v>
      </c>
      <c r="U254" s="1">
        <v>6127</v>
      </c>
      <c r="V254" s="1">
        <v>6175</v>
      </c>
      <c r="W254" s="1">
        <v>6165</v>
      </c>
      <c r="X254" s="1">
        <v>6174</v>
      </c>
      <c r="Y254" s="1">
        <v>6309</v>
      </c>
      <c r="Z254" s="1">
        <v>6236</v>
      </c>
      <c r="AA254" s="1">
        <v>6255</v>
      </c>
      <c r="AB254" s="1">
        <v>6181</v>
      </c>
      <c r="AC254" s="1">
        <v>5885</v>
      </c>
      <c r="AD254" s="1">
        <v>5917</v>
      </c>
      <c r="AE254" s="1">
        <v>5750</v>
      </c>
      <c r="AF254" s="1">
        <v>5500</v>
      </c>
      <c r="AG254" s="1">
        <v>5566</v>
      </c>
      <c r="AH254" s="1">
        <v>5528</v>
      </c>
      <c r="AI254" s="1">
        <v>5419</v>
      </c>
      <c r="AJ254" s="1">
        <v>5606</v>
      </c>
      <c r="AK254" s="1">
        <v>5606</v>
      </c>
      <c r="AL254" s="1">
        <v>5727</v>
      </c>
      <c r="AM254" s="1">
        <v>5717</v>
      </c>
      <c r="AN254" s="1">
        <v>5662</v>
      </c>
      <c r="AO254" s="1">
        <v>5833</v>
      </c>
      <c r="AP254" s="1">
        <v>5900</v>
      </c>
      <c r="AQ254" s="1">
        <v>6092</v>
      </c>
      <c r="AR254" s="1">
        <v>6113</v>
      </c>
      <c r="AS254" s="1">
        <v>6302</v>
      </c>
      <c r="AT254" s="1">
        <v>6615</v>
      </c>
      <c r="AU254" s="1">
        <v>6040</v>
      </c>
      <c r="AV254" s="1">
        <v>6103</v>
      </c>
      <c r="AW254" s="1">
        <v>6310</v>
      </c>
      <c r="AX254" s="1">
        <v>5977</v>
      </c>
      <c r="AY254" s="1">
        <v>5865</v>
      </c>
      <c r="AZ254" s="1">
        <v>5993</v>
      </c>
      <c r="BA254" s="1">
        <v>6072</v>
      </c>
      <c r="BB254" s="1">
        <v>6009</v>
      </c>
      <c r="BC254" s="1">
        <v>5861</v>
      </c>
      <c r="BD254" s="1">
        <v>5854</v>
      </c>
      <c r="BE254" s="1">
        <v>6024</v>
      </c>
      <c r="BF254" s="1">
        <v>5682</v>
      </c>
      <c r="BG254" s="1">
        <v>5307</v>
      </c>
      <c r="BH254" s="1">
        <v>5375</v>
      </c>
      <c r="BI254" s="1">
        <v>5605</v>
      </c>
      <c r="BJ254" s="1">
        <v>5569</v>
      </c>
      <c r="BK254" s="1">
        <v>5612</v>
      </c>
      <c r="BL254" s="1">
        <v>5581</v>
      </c>
      <c r="BM254" s="1">
        <v>5259</v>
      </c>
      <c r="BN254" s="1">
        <v>5226</v>
      </c>
      <c r="BO254" s="1">
        <v>5386</v>
      </c>
      <c r="BP254" s="1">
        <v>5468</v>
      </c>
      <c r="BQ254" s="1">
        <v>5476</v>
      </c>
      <c r="BR254" s="1">
        <v>5560</v>
      </c>
      <c r="BS254" s="1">
        <v>5682</v>
      </c>
      <c r="BT254" s="1">
        <v>5853</v>
      </c>
      <c r="BU254" s="1">
        <v>5863</v>
      </c>
      <c r="BV254" s="1">
        <v>5756</v>
      </c>
      <c r="BW254" s="1">
        <v>5965</v>
      </c>
      <c r="BX254" s="1">
        <v>5826</v>
      </c>
      <c r="BY254" s="1">
        <v>5424</v>
      </c>
      <c r="BZ254" s="1">
        <v>5267</v>
      </c>
    </row>
    <row r="255" spans="1:254">
      <c r="A255" s="62" t="s">
        <v>468</v>
      </c>
      <c r="B255" s="1" t="str">
        <f>銘柄管理!C255</f>
        <v>栗田工業</v>
      </c>
      <c r="C255" s="1">
        <f>_xll.RssMarket("6370","安値")</f>
        <v>8950</v>
      </c>
      <c r="E255" s="1">
        <v>8950</v>
      </c>
      <c r="F255" s="1">
        <v>9037</v>
      </c>
      <c r="G255" s="1">
        <v>8585</v>
      </c>
      <c r="H255" s="1">
        <v>8366</v>
      </c>
      <c r="I255" s="1">
        <v>8536</v>
      </c>
      <c r="J255" s="1">
        <v>8060</v>
      </c>
      <c r="K255" s="1">
        <v>8015</v>
      </c>
      <c r="L255" s="1">
        <v>8268</v>
      </c>
      <c r="M255" s="1">
        <v>8740</v>
      </c>
      <c r="N255" s="1">
        <v>8844</v>
      </c>
      <c r="O255" s="1">
        <v>8870</v>
      </c>
      <c r="P255" s="1">
        <v>8825</v>
      </c>
      <c r="Q255" s="1">
        <v>8590</v>
      </c>
      <c r="R255" s="1">
        <v>8383</v>
      </c>
      <c r="S255" s="1">
        <v>9114</v>
      </c>
      <c r="T255" s="1">
        <v>8820</v>
      </c>
      <c r="U255" s="1">
        <v>8982</v>
      </c>
      <c r="V255" s="1">
        <v>8973</v>
      </c>
      <c r="W255" s="1">
        <v>8759</v>
      </c>
      <c r="X255" s="1">
        <v>8615</v>
      </c>
      <c r="Y255" s="1">
        <v>8939</v>
      </c>
      <c r="Z255" s="1">
        <v>9382</v>
      </c>
      <c r="AA255" s="1">
        <v>8876</v>
      </c>
      <c r="AB255" s="1">
        <v>9012</v>
      </c>
      <c r="AC255" s="1">
        <v>9336</v>
      </c>
      <c r="AD255" s="1">
        <v>9024</v>
      </c>
      <c r="AE255" s="1">
        <v>8726</v>
      </c>
      <c r="AF255" s="1">
        <v>8949</v>
      </c>
      <c r="AG255" s="1">
        <v>9328</v>
      </c>
      <c r="AH255" s="1">
        <v>9000</v>
      </c>
      <c r="AI255" s="1">
        <v>9274</v>
      </c>
      <c r="AJ255" s="1">
        <v>9486</v>
      </c>
      <c r="AK255" s="1">
        <v>9476</v>
      </c>
      <c r="AL255" s="1">
        <v>9325</v>
      </c>
      <c r="AM255" s="1">
        <v>9206</v>
      </c>
      <c r="AN255" s="1">
        <v>8700</v>
      </c>
      <c r="AO255" s="1">
        <v>8524</v>
      </c>
      <c r="AP255" s="1">
        <v>8267</v>
      </c>
      <c r="AQ255" s="1">
        <v>7740</v>
      </c>
      <c r="AR255" s="1">
        <v>8125</v>
      </c>
      <c r="AS255" s="1">
        <v>8148</v>
      </c>
      <c r="AT255" s="1">
        <v>8660</v>
      </c>
      <c r="AU255" s="1">
        <v>8702</v>
      </c>
      <c r="AV255" s="1">
        <v>8653</v>
      </c>
      <c r="AW255" s="1">
        <v>8327</v>
      </c>
      <c r="AX255" s="1">
        <v>8662</v>
      </c>
      <c r="AY255" s="1">
        <v>8535</v>
      </c>
      <c r="AZ255" s="1">
        <v>8725</v>
      </c>
      <c r="BA255" s="1">
        <v>8735</v>
      </c>
      <c r="BB255" s="1">
        <v>8684</v>
      </c>
      <c r="BC255" s="1">
        <v>8456</v>
      </c>
      <c r="BD255" s="1">
        <v>8276</v>
      </c>
      <c r="BE255" s="1">
        <v>8738</v>
      </c>
      <c r="BF255" s="1">
        <v>8661</v>
      </c>
      <c r="BG255" s="1">
        <v>8910</v>
      </c>
      <c r="BH255" s="1">
        <v>8802</v>
      </c>
      <c r="BI255" s="1">
        <v>8713</v>
      </c>
      <c r="BJ255" s="1">
        <v>8936</v>
      </c>
      <c r="BK255" s="1">
        <v>8786</v>
      </c>
      <c r="BL255" s="1">
        <v>8278</v>
      </c>
      <c r="BM255" s="1">
        <v>8209</v>
      </c>
      <c r="BN255" s="1">
        <v>8044</v>
      </c>
      <c r="BO255" s="1">
        <v>8372</v>
      </c>
      <c r="BP255" s="1">
        <v>8251</v>
      </c>
      <c r="BQ255" s="1">
        <v>7811</v>
      </c>
      <c r="BR255" s="1">
        <v>7767</v>
      </c>
      <c r="BS255" s="1">
        <v>7708</v>
      </c>
      <c r="BT255" s="1">
        <v>7818</v>
      </c>
      <c r="BU255" s="1">
        <v>8015</v>
      </c>
      <c r="BV255" s="1">
        <v>8065</v>
      </c>
      <c r="BW255" s="1">
        <v>8010</v>
      </c>
      <c r="BX255" s="1">
        <v>7882</v>
      </c>
      <c r="BY255" s="1">
        <v>7860</v>
      </c>
      <c r="BZ255" s="1">
        <v>7915</v>
      </c>
    </row>
    <row r="256" spans="1:254">
      <c r="A256" s="62" t="s">
        <v>469</v>
      </c>
      <c r="B256" s="1" t="str">
        <f>銘柄管理!C256</f>
        <v>名村造船所</v>
      </c>
      <c r="C256" s="1">
        <f>_xll.RssMarket("7014","安値")</f>
        <v>4160</v>
      </c>
      <c r="E256" s="1">
        <v>4160</v>
      </c>
      <c r="F256" s="1">
        <v>4140</v>
      </c>
      <c r="G256" s="1">
        <v>4070</v>
      </c>
      <c r="H256" s="1">
        <v>4055</v>
      </c>
      <c r="I256" s="1">
        <v>4240</v>
      </c>
      <c r="J256" s="1">
        <v>4060</v>
      </c>
      <c r="K256" s="1">
        <v>3995</v>
      </c>
      <c r="L256" s="1">
        <v>4325</v>
      </c>
      <c r="M256" s="1">
        <v>4320</v>
      </c>
      <c r="N256" s="1">
        <v>4150</v>
      </c>
      <c r="O256" s="1">
        <v>4130</v>
      </c>
      <c r="P256" s="1">
        <v>3930</v>
      </c>
      <c r="Q256" s="1">
        <v>3720</v>
      </c>
      <c r="R256" s="1">
        <v>3650</v>
      </c>
      <c r="S256" s="1">
        <v>3880</v>
      </c>
      <c r="T256" s="1">
        <v>3660</v>
      </c>
      <c r="U256" s="1">
        <v>3760</v>
      </c>
      <c r="V256" s="1">
        <v>3740</v>
      </c>
      <c r="W256" s="1">
        <v>3720</v>
      </c>
      <c r="X256" s="1">
        <v>3890</v>
      </c>
      <c r="Y256" s="1">
        <v>4085</v>
      </c>
      <c r="Z256" s="1">
        <v>3660</v>
      </c>
      <c r="AA256" s="1">
        <v>3535</v>
      </c>
      <c r="AB256" s="1">
        <v>3510</v>
      </c>
      <c r="AC256" s="1">
        <v>3505</v>
      </c>
      <c r="AD256" s="1">
        <v>3520</v>
      </c>
      <c r="AE256" s="1">
        <v>3540</v>
      </c>
      <c r="AF256" s="1">
        <v>3620</v>
      </c>
      <c r="AG256" s="1">
        <v>3605</v>
      </c>
      <c r="AH256" s="1">
        <v>3630</v>
      </c>
      <c r="AI256" s="1">
        <v>3620</v>
      </c>
      <c r="AJ256" s="1">
        <v>3705</v>
      </c>
      <c r="AK256" s="1">
        <v>3750</v>
      </c>
      <c r="AL256" s="1">
        <v>3835</v>
      </c>
      <c r="AM256" s="1">
        <v>3750</v>
      </c>
      <c r="AN256" s="1">
        <v>3720</v>
      </c>
      <c r="AO256" s="1">
        <v>3655</v>
      </c>
      <c r="AP256" s="1">
        <v>3425</v>
      </c>
      <c r="AQ256" s="1">
        <v>3250</v>
      </c>
      <c r="AR256" s="1">
        <v>3385</v>
      </c>
      <c r="AS256" s="1">
        <v>3525</v>
      </c>
      <c r="AT256" s="1">
        <v>3645</v>
      </c>
      <c r="AU256" s="1">
        <v>3420</v>
      </c>
      <c r="AV256" s="1">
        <v>3405</v>
      </c>
      <c r="AW256" s="1">
        <v>3325</v>
      </c>
      <c r="AX256" s="1">
        <v>3605</v>
      </c>
      <c r="AY256" s="1">
        <v>3755</v>
      </c>
      <c r="AZ256" s="1">
        <v>4030</v>
      </c>
      <c r="BA256" s="1">
        <v>3925</v>
      </c>
      <c r="BB256" s="1">
        <v>3725</v>
      </c>
      <c r="BC256" s="1">
        <v>3660</v>
      </c>
      <c r="BD256" s="1">
        <v>3655</v>
      </c>
      <c r="BE256" s="1">
        <v>3835</v>
      </c>
      <c r="BF256" s="1">
        <v>4055</v>
      </c>
      <c r="BG256" s="1">
        <v>4030</v>
      </c>
      <c r="BH256" s="1">
        <v>3570</v>
      </c>
      <c r="BI256" s="1">
        <v>4015</v>
      </c>
      <c r="BJ256" s="1">
        <v>4020</v>
      </c>
      <c r="BK256" s="1">
        <v>3970</v>
      </c>
      <c r="BL256" s="1">
        <v>3970</v>
      </c>
      <c r="BM256" s="1">
        <v>4050</v>
      </c>
      <c r="BN256" s="1">
        <v>3980</v>
      </c>
      <c r="BO256" s="1">
        <v>3970</v>
      </c>
      <c r="BP256" s="1">
        <v>4025</v>
      </c>
      <c r="BQ256" s="1">
        <v>3950</v>
      </c>
      <c r="BR256" s="1">
        <v>3995</v>
      </c>
      <c r="BS256" s="1">
        <v>3990</v>
      </c>
      <c r="BT256" s="1">
        <v>3970</v>
      </c>
      <c r="BU256" s="1">
        <v>3920</v>
      </c>
      <c r="BV256" s="1">
        <v>4045</v>
      </c>
      <c r="BW256" s="1">
        <v>3995</v>
      </c>
      <c r="BX256" s="1">
        <v>3935</v>
      </c>
      <c r="BY256" s="1">
        <v>4000</v>
      </c>
      <c r="BZ256" s="1">
        <v>4130</v>
      </c>
    </row>
    <row r="257" spans="1:254">
      <c r="A257" s="62" t="s">
        <v>470</v>
      </c>
      <c r="B257" s="1" t="str">
        <f>銘柄管理!C257</f>
        <v>イノテック</v>
      </c>
      <c r="C257" s="1">
        <f>_xll.RssMarket("9880","安値")</f>
        <v>3655</v>
      </c>
      <c r="E257" s="1">
        <v>3655</v>
      </c>
      <c r="F257" s="1">
        <v>3675</v>
      </c>
      <c r="G257" s="1">
        <v>3455</v>
      </c>
      <c r="H257" s="1">
        <v>3280</v>
      </c>
      <c r="I257" s="1">
        <v>3240</v>
      </c>
      <c r="J257" s="1">
        <v>3000</v>
      </c>
      <c r="K257" s="1">
        <v>2906</v>
      </c>
      <c r="L257" s="1">
        <v>3070</v>
      </c>
      <c r="M257" s="1">
        <v>3190</v>
      </c>
      <c r="N257" s="1">
        <v>3255</v>
      </c>
      <c r="O257" s="1">
        <v>3350</v>
      </c>
      <c r="P257" s="1">
        <v>3360</v>
      </c>
      <c r="Q257" s="1">
        <v>3190</v>
      </c>
      <c r="R257" s="1">
        <v>3115</v>
      </c>
      <c r="S257" s="1">
        <v>3465</v>
      </c>
      <c r="T257" s="1">
        <v>3405</v>
      </c>
      <c r="U257" s="1">
        <v>3450</v>
      </c>
      <c r="V257" s="1">
        <v>3570</v>
      </c>
      <c r="W257" s="1">
        <v>3495</v>
      </c>
      <c r="X257" s="1">
        <v>3410</v>
      </c>
      <c r="Y257" s="1">
        <v>3540</v>
      </c>
      <c r="Z257" s="1">
        <v>3710</v>
      </c>
      <c r="AA257" s="1">
        <v>3570</v>
      </c>
      <c r="AB257" s="1">
        <v>3750</v>
      </c>
      <c r="AC257" s="1">
        <v>3865</v>
      </c>
      <c r="AD257" s="1">
        <v>3895</v>
      </c>
      <c r="AE257" s="1">
        <v>3835</v>
      </c>
      <c r="AF257" s="1">
        <v>4010</v>
      </c>
      <c r="AG257" s="1">
        <v>4255</v>
      </c>
      <c r="AH257" s="1">
        <v>4105</v>
      </c>
      <c r="AI257" s="1">
        <v>4310</v>
      </c>
      <c r="AJ257" s="1">
        <v>4330</v>
      </c>
      <c r="AK257" s="1">
        <v>4230</v>
      </c>
      <c r="AL257" s="1">
        <v>4175</v>
      </c>
      <c r="AM257" s="1">
        <v>3840</v>
      </c>
      <c r="AN257" s="1">
        <v>3930</v>
      </c>
      <c r="AO257" s="1">
        <v>4035</v>
      </c>
      <c r="AP257" s="1">
        <v>3950</v>
      </c>
      <c r="AQ257" s="1">
        <v>3875</v>
      </c>
      <c r="AR257" s="1">
        <v>4045</v>
      </c>
      <c r="AS257" s="1">
        <v>4040</v>
      </c>
      <c r="AT257" s="1">
        <v>4180</v>
      </c>
      <c r="AU257" s="1">
        <v>4300</v>
      </c>
      <c r="AV257" s="1">
        <v>4285</v>
      </c>
      <c r="AW257" s="1">
        <v>4100</v>
      </c>
      <c r="AX257" s="1">
        <v>4185</v>
      </c>
      <c r="AY257" s="1">
        <v>4105</v>
      </c>
      <c r="AZ257" s="1">
        <v>4300</v>
      </c>
      <c r="BA257" s="1">
        <v>4330</v>
      </c>
      <c r="BB257" s="1">
        <v>4225</v>
      </c>
      <c r="BC257" s="1">
        <v>4230</v>
      </c>
      <c r="BD257" s="1">
        <v>3995</v>
      </c>
      <c r="BE257" s="1">
        <v>4230</v>
      </c>
      <c r="BF257" s="1">
        <v>4225</v>
      </c>
      <c r="BG257" s="1">
        <v>3745</v>
      </c>
      <c r="BH257" s="1">
        <v>3265</v>
      </c>
      <c r="BI257" s="1">
        <v>3215</v>
      </c>
      <c r="BJ257" s="1">
        <v>3325</v>
      </c>
      <c r="BK257" s="1">
        <v>3270</v>
      </c>
      <c r="BL257" s="1">
        <v>3120</v>
      </c>
      <c r="BM257" s="1">
        <v>2950</v>
      </c>
      <c r="BN257" s="1">
        <v>2741</v>
      </c>
      <c r="BO257" s="1">
        <v>2767</v>
      </c>
      <c r="BP257" s="1">
        <v>2721</v>
      </c>
      <c r="BQ257" s="1">
        <v>2710</v>
      </c>
      <c r="BR257" s="1">
        <v>2633</v>
      </c>
      <c r="BS257" s="1">
        <v>2613</v>
      </c>
      <c r="BT257" s="1">
        <v>2657</v>
      </c>
      <c r="BU257" s="1">
        <v>2728</v>
      </c>
      <c r="BV257" s="1">
        <v>2746</v>
      </c>
      <c r="BW257" s="1">
        <v>2806</v>
      </c>
      <c r="BX257" s="1">
        <v>2860</v>
      </c>
      <c r="BY257" s="1">
        <v>2809</v>
      </c>
      <c r="BZ257" s="1">
        <v>2639</v>
      </c>
    </row>
    <row r="258" spans="1:254">
      <c r="A258" s="62" t="s">
        <v>471</v>
      </c>
      <c r="B258" s="1" t="str">
        <f>銘柄管理!C258</f>
        <v>カバー</v>
      </c>
      <c r="C258" s="1">
        <f>_xll.RssMarket("5253","安値")</f>
        <v>1516</v>
      </c>
      <c r="E258" s="1">
        <v>1516</v>
      </c>
      <c r="F258" s="1">
        <v>1451</v>
      </c>
      <c r="G258" s="1">
        <v>1440</v>
      </c>
      <c r="H258" s="1">
        <v>1387</v>
      </c>
      <c r="I258" s="1">
        <v>1460</v>
      </c>
      <c r="J258" s="1">
        <v>1500</v>
      </c>
      <c r="K258" s="1">
        <v>1452</v>
      </c>
      <c r="L258" s="1">
        <v>1570</v>
      </c>
      <c r="M258" s="1">
        <v>1464</v>
      </c>
      <c r="O258" s="1">
        <v>1511</v>
      </c>
      <c r="P258" s="1">
        <v>1586</v>
      </c>
      <c r="Q258" s="1">
        <v>1627</v>
      </c>
      <c r="R258" s="1">
        <v>1619</v>
      </c>
      <c r="S258" s="1">
        <v>1650</v>
      </c>
      <c r="T258" s="1">
        <v>1645</v>
      </c>
      <c r="U258" s="1">
        <v>1591</v>
      </c>
      <c r="V258" s="1">
        <v>1583</v>
      </c>
      <c r="W258" s="1">
        <v>1533</v>
      </c>
      <c r="X258" s="1">
        <v>1569</v>
      </c>
      <c r="Y258" s="1">
        <v>1581</v>
      </c>
      <c r="Z258" s="1">
        <v>1544</v>
      </c>
      <c r="AA258" s="1">
        <v>1446</v>
      </c>
      <c r="AB258" s="1">
        <v>1381</v>
      </c>
      <c r="AC258" s="1">
        <v>1315</v>
      </c>
      <c r="AD258" s="1">
        <v>1310</v>
      </c>
      <c r="AE258" s="1">
        <v>1215</v>
      </c>
      <c r="AF258" s="1">
        <v>1141</v>
      </c>
      <c r="AG258" s="1">
        <v>1164</v>
      </c>
      <c r="AH258" s="1">
        <v>1163</v>
      </c>
      <c r="AI258" s="1">
        <v>1197</v>
      </c>
      <c r="AJ258" s="1">
        <v>1259</v>
      </c>
      <c r="AK258" s="1">
        <v>1280</v>
      </c>
      <c r="AL258" s="1">
        <v>1424</v>
      </c>
      <c r="AM258" s="1">
        <v>1403</v>
      </c>
      <c r="AN258" s="1">
        <v>1381</v>
      </c>
      <c r="AO258" s="1">
        <v>1412</v>
      </c>
      <c r="AP258" s="1">
        <v>1418</v>
      </c>
      <c r="AQ258" s="1">
        <v>1422</v>
      </c>
      <c r="AR258" s="1">
        <v>1505</v>
      </c>
      <c r="AS258" s="1">
        <v>1585</v>
      </c>
      <c r="AT258" s="1">
        <v>1618</v>
      </c>
      <c r="AU258" s="1">
        <v>1586</v>
      </c>
      <c r="AV258" s="1">
        <v>1586</v>
      </c>
      <c r="AW258" s="1">
        <v>1537</v>
      </c>
      <c r="AX258" s="1">
        <v>1576</v>
      </c>
      <c r="AY258" s="1">
        <v>1513</v>
      </c>
      <c r="AZ258" s="1">
        <v>1527</v>
      </c>
      <c r="BA258" s="1">
        <v>1654</v>
      </c>
      <c r="BB258" s="1">
        <v>1726</v>
      </c>
      <c r="BC258" s="1">
        <v>1631</v>
      </c>
      <c r="BD258" s="1">
        <v>1642</v>
      </c>
      <c r="BE258" s="1">
        <v>1587</v>
      </c>
      <c r="BF258" s="1">
        <v>1498</v>
      </c>
      <c r="BG258" s="1">
        <v>1323</v>
      </c>
      <c r="BH258" s="1">
        <v>1402</v>
      </c>
      <c r="BI258" s="1">
        <v>1403</v>
      </c>
      <c r="BJ258" s="1">
        <v>1374</v>
      </c>
      <c r="BK258" s="1">
        <v>1403</v>
      </c>
      <c r="BL258" s="1">
        <v>1408</v>
      </c>
      <c r="BM258" s="1">
        <v>1371</v>
      </c>
      <c r="BN258" s="1">
        <v>1365</v>
      </c>
      <c r="BO258" s="1">
        <v>1350</v>
      </c>
      <c r="BP258" s="1">
        <v>1365</v>
      </c>
      <c r="BQ258" s="1">
        <v>1350</v>
      </c>
      <c r="BR258" s="1">
        <v>1377</v>
      </c>
      <c r="BS258" s="1">
        <v>1390</v>
      </c>
      <c r="BT258" s="1">
        <v>1418</v>
      </c>
      <c r="BU258" s="1">
        <v>1440</v>
      </c>
      <c r="BV258" s="1">
        <v>1442</v>
      </c>
      <c r="BW258" s="1">
        <v>1451</v>
      </c>
      <c r="BX258" s="1">
        <v>1441</v>
      </c>
      <c r="BY258" s="1">
        <v>1452</v>
      </c>
      <c r="BZ258" s="1">
        <v>1427</v>
      </c>
    </row>
    <row r="259" spans="1:254">
      <c r="A259" s="62" t="s">
        <v>472</v>
      </c>
      <c r="B259" s="1" t="str">
        <f>銘柄管理!C259</f>
        <v>商船三井</v>
      </c>
      <c r="C259" s="1">
        <f>_xll.RssMarket("9104","安値")</f>
        <v>5900</v>
      </c>
      <c r="E259" s="1">
        <v>5900</v>
      </c>
      <c r="F259" s="1">
        <v>5922</v>
      </c>
      <c r="G259" s="1">
        <v>5803</v>
      </c>
      <c r="H259" s="1">
        <v>5658</v>
      </c>
      <c r="I259" s="1">
        <v>5801</v>
      </c>
      <c r="J259" s="1">
        <v>5848</v>
      </c>
      <c r="K259" s="1">
        <v>5880</v>
      </c>
      <c r="L259" s="1">
        <v>5782</v>
      </c>
      <c r="M259" s="1">
        <v>5860</v>
      </c>
      <c r="N259" s="1">
        <v>5750</v>
      </c>
      <c r="O259" s="1">
        <v>5743</v>
      </c>
      <c r="P259" s="1">
        <v>5690</v>
      </c>
      <c r="Q259" s="1">
        <v>5611</v>
      </c>
      <c r="R259" s="1">
        <v>5534</v>
      </c>
      <c r="S259" s="1">
        <v>5522</v>
      </c>
      <c r="T259" s="1">
        <v>5370</v>
      </c>
      <c r="U259" s="1">
        <v>5330</v>
      </c>
      <c r="V259" s="1">
        <v>5318</v>
      </c>
      <c r="W259" s="1">
        <v>5425</v>
      </c>
      <c r="X259" s="1">
        <v>5328</v>
      </c>
      <c r="Y259" s="1">
        <v>5171</v>
      </c>
      <c r="Z259" s="1">
        <v>5195</v>
      </c>
      <c r="AA259" s="1">
        <v>5170</v>
      </c>
      <c r="AB259" s="1">
        <v>5045</v>
      </c>
      <c r="AC259" s="1">
        <v>5010</v>
      </c>
      <c r="AD259" s="1">
        <v>5212</v>
      </c>
      <c r="AE259" s="1">
        <v>5218</v>
      </c>
      <c r="AF259" s="1">
        <v>5195</v>
      </c>
      <c r="AG259" s="1">
        <v>5210</v>
      </c>
      <c r="AH259" s="1">
        <v>5350</v>
      </c>
      <c r="AI259" s="1">
        <v>5254</v>
      </c>
      <c r="AJ259" s="1">
        <v>5231</v>
      </c>
      <c r="AK259" s="1">
        <v>5233</v>
      </c>
      <c r="AL259" s="1">
        <v>5330</v>
      </c>
      <c r="AM259" s="1">
        <v>5372</v>
      </c>
      <c r="AN259" s="1">
        <v>5547</v>
      </c>
      <c r="AO259" s="1">
        <v>5570</v>
      </c>
      <c r="AP259" s="1">
        <v>5681</v>
      </c>
      <c r="AQ259" s="1">
        <v>5630</v>
      </c>
      <c r="AR259" s="1">
        <v>5613</v>
      </c>
      <c r="AS259" s="1">
        <v>5677</v>
      </c>
      <c r="AT259" s="1">
        <v>5650</v>
      </c>
      <c r="AU259" s="1">
        <v>5431</v>
      </c>
      <c r="AV259" s="1">
        <v>5382</v>
      </c>
      <c r="AW259" s="1">
        <v>5361</v>
      </c>
      <c r="AX259" s="1">
        <v>5371</v>
      </c>
      <c r="AY259" s="1">
        <v>5397</v>
      </c>
      <c r="AZ259" s="1">
        <v>5430</v>
      </c>
      <c r="BA259" s="1">
        <v>5507</v>
      </c>
      <c r="BB259" s="1">
        <v>5589</v>
      </c>
      <c r="BC259" s="1">
        <v>5703</v>
      </c>
      <c r="BD259" s="1">
        <v>5680</v>
      </c>
      <c r="BE259" s="1">
        <v>5813</v>
      </c>
      <c r="BF259" s="1">
        <v>5823</v>
      </c>
      <c r="BG259" s="1">
        <v>5809</v>
      </c>
      <c r="BH259" s="1">
        <v>5794</v>
      </c>
      <c r="BI259" s="1">
        <v>5762</v>
      </c>
      <c r="BJ259" s="1">
        <v>5751</v>
      </c>
      <c r="BK259" s="1">
        <v>5676</v>
      </c>
      <c r="BL259" s="1">
        <v>5676</v>
      </c>
      <c r="BM259" s="1">
        <v>5723</v>
      </c>
      <c r="BN259" s="1">
        <v>5789</v>
      </c>
      <c r="BO259" s="1">
        <v>5765</v>
      </c>
      <c r="BP259" s="1">
        <v>5775</v>
      </c>
      <c r="BQ259" s="1">
        <v>5761</v>
      </c>
      <c r="BR259" s="1">
        <v>6064</v>
      </c>
      <c r="BS259" s="1">
        <v>5921</v>
      </c>
      <c r="BT259" s="1">
        <v>6051</v>
      </c>
      <c r="BU259" s="1">
        <v>6018</v>
      </c>
      <c r="BV259" s="1">
        <v>6090</v>
      </c>
      <c r="BW259" s="1">
        <v>6305</v>
      </c>
      <c r="BX259" s="1">
        <v>6267</v>
      </c>
      <c r="BY259" s="1">
        <v>6231</v>
      </c>
      <c r="BZ259" s="1">
        <v>6248</v>
      </c>
    </row>
    <row r="260" spans="1:254">
      <c r="A260" s="62" t="s">
        <v>473</v>
      </c>
      <c r="B260" s="1" t="str">
        <f>銘柄管理!C260</f>
        <v>千代田化工建</v>
      </c>
      <c r="C260" s="1">
        <f>_xll.RssMarket("6366","安値")</f>
        <v>690</v>
      </c>
      <c r="E260" s="1">
        <v>690</v>
      </c>
      <c r="F260" s="1">
        <v>679</v>
      </c>
      <c r="G260" s="1">
        <v>642</v>
      </c>
      <c r="H260" s="1">
        <v>626</v>
      </c>
      <c r="I260" s="1">
        <v>632</v>
      </c>
      <c r="J260" s="1">
        <v>620</v>
      </c>
      <c r="K260" s="1">
        <v>622</v>
      </c>
      <c r="L260" s="1">
        <v>693</v>
      </c>
      <c r="M260" s="1">
        <v>701</v>
      </c>
      <c r="N260" s="1">
        <v>690</v>
      </c>
      <c r="O260" s="1">
        <v>685</v>
      </c>
      <c r="P260" s="1">
        <v>687</v>
      </c>
      <c r="Q260" s="1">
        <v>641</v>
      </c>
      <c r="R260" s="1">
        <v>624</v>
      </c>
      <c r="S260" s="1">
        <v>680</v>
      </c>
      <c r="T260" s="1">
        <v>652</v>
      </c>
      <c r="U260" s="1">
        <v>654</v>
      </c>
      <c r="V260" s="1">
        <v>681</v>
      </c>
      <c r="W260" s="1">
        <v>685</v>
      </c>
      <c r="X260" s="1">
        <v>701</v>
      </c>
      <c r="Y260" s="1">
        <v>725</v>
      </c>
      <c r="Z260" s="1">
        <v>714</v>
      </c>
      <c r="AA260" s="1">
        <v>665</v>
      </c>
      <c r="AB260" s="1">
        <v>652</v>
      </c>
      <c r="AC260" s="1">
        <v>636</v>
      </c>
      <c r="AD260" s="1">
        <v>667</v>
      </c>
      <c r="AE260" s="1">
        <v>659</v>
      </c>
      <c r="AF260" s="1">
        <v>666</v>
      </c>
      <c r="AG260" s="1">
        <v>687</v>
      </c>
      <c r="AH260" s="1">
        <v>695</v>
      </c>
      <c r="AI260" s="1">
        <v>704</v>
      </c>
      <c r="AJ260" s="1">
        <v>715</v>
      </c>
      <c r="AK260" s="1">
        <v>744</v>
      </c>
      <c r="AL260" s="1">
        <v>769</v>
      </c>
      <c r="AM260" s="1">
        <v>773</v>
      </c>
      <c r="AN260" s="1">
        <v>736</v>
      </c>
      <c r="AO260" s="1">
        <v>753</v>
      </c>
      <c r="AP260" s="1">
        <v>702</v>
      </c>
      <c r="AQ260" s="1">
        <v>644</v>
      </c>
      <c r="AR260" s="1">
        <v>667</v>
      </c>
      <c r="AS260" s="1">
        <v>687</v>
      </c>
      <c r="AT260" s="1">
        <v>712</v>
      </c>
      <c r="AU260" s="1">
        <v>687</v>
      </c>
      <c r="AV260" s="1">
        <v>695</v>
      </c>
      <c r="AW260" s="1">
        <v>685</v>
      </c>
      <c r="AX260" s="1">
        <v>725</v>
      </c>
      <c r="AY260" s="1">
        <v>725</v>
      </c>
      <c r="AZ260" s="1">
        <v>771</v>
      </c>
      <c r="BA260" s="1">
        <v>796</v>
      </c>
      <c r="BB260" s="1">
        <v>685</v>
      </c>
      <c r="BC260" s="1">
        <v>703</v>
      </c>
      <c r="BD260" s="1">
        <v>704</v>
      </c>
      <c r="BE260" s="1">
        <v>759</v>
      </c>
      <c r="BF260" s="1">
        <v>751</v>
      </c>
      <c r="BG260" s="1">
        <v>790</v>
      </c>
      <c r="BH260" s="1">
        <v>803</v>
      </c>
      <c r="BI260" s="1">
        <v>791</v>
      </c>
      <c r="BJ260" s="1">
        <v>746</v>
      </c>
      <c r="BK260" s="1">
        <v>843</v>
      </c>
      <c r="BL260" s="1">
        <v>982</v>
      </c>
      <c r="BM260" s="1">
        <v>1020</v>
      </c>
      <c r="BN260" s="1">
        <v>994</v>
      </c>
      <c r="BO260" s="1">
        <v>1008</v>
      </c>
      <c r="BP260" s="1">
        <v>1027</v>
      </c>
      <c r="BQ260" s="1">
        <v>977</v>
      </c>
      <c r="BR260" s="1">
        <v>1018</v>
      </c>
      <c r="BS260" s="1">
        <v>1028</v>
      </c>
      <c r="BT260" s="1">
        <v>1037</v>
      </c>
      <c r="BU260" s="1">
        <v>1061</v>
      </c>
      <c r="BV260" s="1">
        <v>1109</v>
      </c>
      <c r="BW260" s="1">
        <v>1131</v>
      </c>
      <c r="BX260" s="1">
        <v>1113</v>
      </c>
      <c r="BY260" s="1">
        <v>1100</v>
      </c>
      <c r="BZ260" s="1">
        <v>1117</v>
      </c>
    </row>
    <row r="261" spans="1:254">
      <c r="A261" s="62" t="s">
        <v>474</v>
      </c>
      <c r="B261" s="1" t="str">
        <f>銘柄管理!C261</f>
        <v>旭ダイヤモンド</v>
      </c>
      <c r="C261" s="1">
        <f>_xll.RssMarket("6140","安値")</f>
        <v>1173</v>
      </c>
      <c r="E261" s="1">
        <v>1173</v>
      </c>
      <c r="F261" s="1">
        <v>1144</v>
      </c>
      <c r="G261" s="1">
        <v>1102</v>
      </c>
      <c r="H261" s="1">
        <v>1075</v>
      </c>
      <c r="I261" s="1">
        <v>1072</v>
      </c>
      <c r="J261" s="1">
        <v>1028</v>
      </c>
      <c r="K261" s="1">
        <v>1017</v>
      </c>
      <c r="L261" s="1">
        <v>1068</v>
      </c>
      <c r="M261" s="1">
        <v>1112</v>
      </c>
      <c r="O261" s="1">
        <v>1132</v>
      </c>
      <c r="P261" s="1">
        <v>1141</v>
      </c>
      <c r="Q261" s="1">
        <v>1124</v>
      </c>
      <c r="R261" s="1">
        <v>1125</v>
      </c>
      <c r="S261" s="1">
        <v>1185</v>
      </c>
      <c r="T261" s="1">
        <v>1132</v>
      </c>
      <c r="U261" s="1">
        <v>1152</v>
      </c>
      <c r="V261" s="1">
        <v>1176</v>
      </c>
      <c r="W261" s="1">
        <v>1163</v>
      </c>
      <c r="X261" s="1">
        <v>1158</v>
      </c>
      <c r="Y261" s="1">
        <v>1191</v>
      </c>
      <c r="Z261" s="1">
        <v>1238</v>
      </c>
      <c r="AA261" s="1">
        <v>1190</v>
      </c>
      <c r="AB261" s="1">
        <v>1202</v>
      </c>
      <c r="AC261" s="1">
        <v>1221</v>
      </c>
      <c r="AD261" s="1">
        <v>1196</v>
      </c>
      <c r="AE261" s="1">
        <v>1186</v>
      </c>
      <c r="AF261" s="1">
        <v>1186</v>
      </c>
      <c r="AG261" s="1">
        <v>1205</v>
      </c>
      <c r="AH261" s="1">
        <v>1197</v>
      </c>
      <c r="AI261" s="1">
        <v>1228</v>
      </c>
      <c r="AJ261" s="1">
        <v>1310</v>
      </c>
      <c r="AK261" s="1">
        <v>1302</v>
      </c>
      <c r="AL261" s="1">
        <v>1298</v>
      </c>
      <c r="AM261" s="1">
        <v>1281</v>
      </c>
      <c r="AN261" s="1">
        <v>1281</v>
      </c>
      <c r="AO261" s="1">
        <v>1262</v>
      </c>
      <c r="AP261" s="1">
        <v>1230</v>
      </c>
      <c r="AQ261" s="1">
        <v>1170</v>
      </c>
      <c r="AR261" s="1">
        <v>1212</v>
      </c>
      <c r="AS261" s="1">
        <v>1269</v>
      </c>
      <c r="AT261" s="1">
        <v>1299</v>
      </c>
      <c r="AU261" s="1">
        <v>1297</v>
      </c>
      <c r="AV261" s="1">
        <v>1310</v>
      </c>
      <c r="AW261" s="1">
        <v>1273</v>
      </c>
      <c r="AX261" s="1">
        <v>1343</v>
      </c>
      <c r="AY261" s="1">
        <v>1306</v>
      </c>
      <c r="AZ261" s="1">
        <v>1342</v>
      </c>
      <c r="BA261" s="1">
        <v>1347</v>
      </c>
      <c r="BB261" s="1">
        <v>1268</v>
      </c>
      <c r="BC261" s="1">
        <v>1272</v>
      </c>
      <c r="BD261" s="1">
        <v>1245</v>
      </c>
      <c r="BE261" s="1">
        <v>1244</v>
      </c>
      <c r="BF261" s="1">
        <v>1267</v>
      </c>
      <c r="BG261" s="1">
        <v>1302</v>
      </c>
      <c r="BH261" s="1">
        <v>1356</v>
      </c>
      <c r="BI261" s="1">
        <v>1331</v>
      </c>
      <c r="BJ261" s="1">
        <v>1326</v>
      </c>
      <c r="BK261" s="1">
        <v>1309</v>
      </c>
      <c r="BL261" s="1">
        <v>1296</v>
      </c>
      <c r="BM261" s="1">
        <v>1286</v>
      </c>
      <c r="BN261" s="1">
        <v>1271</v>
      </c>
      <c r="BO261" s="1">
        <v>1271</v>
      </c>
      <c r="BP261" s="1">
        <v>1286</v>
      </c>
      <c r="BQ261" s="1">
        <v>1275</v>
      </c>
      <c r="BR261" s="1">
        <v>1292</v>
      </c>
      <c r="BS261" s="1">
        <v>1250</v>
      </c>
      <c r="BT261" s="1">
        <v>1271</v>
      </c>
      <c r="BU261" s="1">
        <v>1301</v>
      </c>
      <c r="BV261" s="1">
        <v>1308</v>
      </c>
      <c r="BW261" s="1">
        <v>1260</v>
      </c>
      <c r="BX261" s="1">
        <v>1159</v>
      </c>
      <c r="BY261" s="1">
        <v>1157</v>
      </c>
      <c r="BZ261" s="1">
        <v>1167</v>
      </c>
    </row>
    <row r="262" spans="1:254">
      <c r="A262" s="62" t="s">
        <v>475</v>
      </c>
      <c r="B262" s="1" t="str">
        <f>銘柄管理!C262</f>
        <v>住石ホールディングス</v>
      </c>
      <c r="C262" s="1">
        <f>_xll.RssMarket("1514","安値")</f>
        <v>576</v>
      </c>
      <c r="E262" s="1">
        <v>576</v>
      </c>
      <c r="F262" s="1">
        <v>591</v>
      </c>
      <c r="G262" s="1">
        <v>573</v>
      </c>
      <c r="H262" s="1">
        <v>569</v>
      </c>
      <c r="I262" s="1">
        <v>566</v>
      </c>
      <c r="J262" s="1">
        <v>557</v>
      </c>
      <c r="K262" s="1">
        <v>566</v>
      </c>
      <c r="L262" s="1">
        <v>575</v>
      </c>
      <c r="M262" s="1">
        <v>584</v>
      </c>
      <c r="N262" s="1">
        <v>589</v>
      </c>
      <c r="O262" s="1">
        <v>592</v>
      </c>
      <c r="P262" s="1">
        <v>588</v>
      </c>
      <c r="Q262" s="1">
        <v>560</v>
      </c>
      <c r="R262" s="1">
        <v>551</v>
      </c>
      <c r="S262" s="1">
        <v>577</v>
      </c>
      <c r="T262" s="1">
        <v>573</v>
      </c>
      <c r="U262" s="1">
        <v>565</v>
      </c>
      <c r="V262" s="1">
        <v>559</v>
      </c>
      <c r="W262" s="1">
        <v>554</v>
      </c>
      <c r="X262" s="1">
        <v>549</v>
      </c>
      <c r="Y262" s="1">
        <v>550</v>
      </c>
      <c r="Z262" s="1">
        <v>555</v>
      </c>
      <c r="AA262" s="1">
        <v>532</v>
      </c>
      <c r="AB262" s="1">
        <v>525</v>
      </c>
      <c r="AC262" s="1">
        <v>520</v>
      </c>
      <c r="AD262" s="1">
        <v>516</v>
      </c>
      <c r="AE262" s="1">
        <v>517</v>
      </c>
      <c r="AF262" s="1">
        <v>517</v>
      </c>
      <c r="AG262" s="1">
        <v>517</v>
      </c>
      <c r="AH262" s="1">
        <v>524</v>
      </c>
      <c r="AI262" s="1">
        <v>532</v>
      </c>
      <c r="AJ262" s="1">
        <v>531</v>
      </c>
      <c r="AK262" s="1">
        <v>520</v>
      </c>
      <c r="AL262" s="1">
        <v>537</v>
      </c>
      <c r="AM262" s="1">
        <v>541</v>
      </c>
      <c r="AN262" s="1">
        <v>543</v>
      </c>
      <c r="AO262" s="1">
        <v>545</v>
      </c>
      <c r="AP262" s="1">
        <v>547</v>
      </c>
      <c r="AQ262" s="1">
        <v>542</v>
      </c>
      <c r="AR262" s="1">
        <v>550</v>
      </c>
      <c r="AS262" s="1">
        <v>563</v>
      </c>
      <c r="AT262" s="1">
        <v>564</v>
      </c>
      <c r="AU262" s="1">
        <v>550</v>
      </c>
      <c r="AV262" s="1">
        <v>558</v>
      </c>
      <c r="AW262" s="1">
        <v>557</v>
      </c>
      <c r="AX262" s="1">
        <v>585</v>
      </c>
      <c r="AY262" s="1">
        <v>585</v>
      </c>
      <c r="AZ262" s="1">
        <v>599</v>
      </c>
      <c r="BA262" s="1">
        <v>580</v>
      </c>
      <c r="BB262" s="1">
        <v>593</v>
      </c>
      <c r="BC262" s="1">
        <v>582</v>
      </c>
      <c r="BD262" s="1">
        <v>586</v>
      </c>
      <c r="BE262" s="1">
        <v>615</v>
      </c>
      <c r="BF262" s="1">
        <v>617</v>
      </c>
      <c r="BG262" s="1">
        <v>693</v>
      </c>
      <c r="BH262" s="1">
        <v>708</v>
      </c>
      <c r="BI262" s="1">
        <v>723</v>
      </c>
      <c r="BJ262" s="1">
        <v>724</v>
      </c>
      <c r="BK262" s="1">
        <v>738</v>
      </c>
      <c r="BL262" s="1">
        <v>736</v>
      </c>
      <c r="BM262" s="1">
        <v>735</v>
      </c>
      <c r="BN262" s="1">
        <v>749</v>
      </c>
      <c r="BO262" s="1">
        <v>765</v>
      </c>
      <c r="BP262" s="1">
        <v>768</v>
      </c>
      <c r="BQ262" s="1">
        <v>762</v>
      </c>
      <c r="BR262" s="1">
        <v>774</v>
      </c>
      <c r="BS262" s="1">
        <v>802</v>
      </c>
      <c r="BT262" s="1">
        <v>823</v>
      </c>
      <c r="BU262" s="1">
        <v>848</v>
      </c>
      <c r="BV262" s="1">
        <v>850</v>
      </c>
      <c r="BW262" s="1">
        <v>838</v>
      </c>
      <c r="BX262" s="1">
        <v>871</v>
      </c>
      <c r="BY262" s="1">
        <v>837</v>
      </c>
      <c r="BZ262" s="1">
        <v>837</v>
      </c>
    </row>
    <row r="263" spans="1:254">
      <c r="A263" s="62" t="s">
        <v>476</v>
      </c>
      <c r="B263" s="1" t="str">
        <f>銘柄管理!C263</f>
        <v>日本製鋼所</v>
      </c>
      <c r="C263" s="1">
        <f>_xll.RssMarket("5631","安値")</f>
        <v>7633</v>
      </c>
      <c r="E263" s="1">
        <v>7633</v>
      </c>
      <c r="F263" s="1">
        <v>7551</v>
      </c>
      <c r="G263" s="1">
        <v>7352</v>
      </c>
      <c r="H263" s="1">
        <v>7243</v>
      </c>
      <c r="I263" s="1">
        <v>7415</v>
      </c>
      <c r="J263" s="1">
        <v>7011</v>
      </c>
      <c r="K263" s="1">
        <v>6989</v>
      </c>
      <c r="L263" s="1">
        <v>7302</v>
      </c>
      <c r="M263" s="1">
        <v>7512</v>
      </c>
      <c r="N263" s="1">
        <v>7664</v>
      </c>
      <c r="O263" s="1">
        <v>7500</v>
      </c>
      <c r="P263" s="1">
        <v>7488</v>
      </c>
      <c r="Q263" s="1">
        <v>7307</v>
      </c>
      <c r="R263" s="1">
        <v>7182</v>
      </c>
      <c r="S263" s="1">
        <v>7591</v>
      </c>
      <c r="T263" s="1">
        <v>7450</v>
      </c>
      <c r="U263" s="1">
        <v>7627</v>
      </c>
      <c r="V263" s="1">
        <v>7810</v>
      </c>
      <c r="W263" s="1">
        <v>7891</v>
      </c>
      <c r="X263" s="1">
        <v>8140</v>
      </c>
      <c r="Y263" s="1">
        <v>8200</v>
      </c>
      <c r="Z263" s="1">
        <v>8020</v>
      </c>
      <c r="AA263" s="1">
        <v>7754</v>
      </c>
      <c r="AB263" s="1">
        <v>7770</v>
      </c>
      <c r="AC263" s="1">
        <v>7730</v>
      </c>
      <c r="AD263" s="1">
        <v>7515</v>
      </c>
      <c r="AE263" s="1">
        <v>7516</v>
      </c>
      <c r="AF263" s="1">
        <v>7600</v>
      </c>
      <c r="AG263" s="1">
        <v>7700</v>
      </c>
      <c r="AH263" s="1">
        <v>7831</v>
      </c>
      <c r="AI263" s="1">
        <v>7714</v>
      </c>
      <c r="AJ263" s="1">
        <v>7906</v>
      </c>
      <c r="AK263" s="1">
        <v>7742</v>
      </c>
      <c r="AL263" s="1">
        <v>8247</v>
      </c>
      <c r="AM263" s="1">
        <v>7839</v>
      </c>
      <c r="AN263" s="1">
        <v>7669</v>
      </c>
      <c r="AO263" s="1">
        <v>7600</v>
      </c>
      <c r="AP263" s="1">
        <v>7411</v>
      </c>
      <c r="AQ263" s="1">
        <v>6694</v>
      </c>
      <c r="AR263" s="1">
        <v>7063</v>
      </c>
      <c r="AS263" s="1">
        <v>7341</v>
      </c>
      <c r="AT263" s="1">
        <v>7486</v>
      </c>
      <c r="AU263" s="1">
        <v>7172</v>
      </c>
      <c r="AV263" s="1">
        <v>7280</v>
      </c>
      <c r="AW263" s="1">
        <v>7115</v>
      </c>
      <c r="AX263" s="1">
        <v>7656</v>
      </c>
      <c r="AY263" s="1">
        <v>7615</v>
      </c>
      <c r="AZ263" s="1">
        <v>7950</v>
      </c>
      <c r="BA263" s="1">
        <v>7860</v>
      </c>
      <c r="BB263" s="1">
        <v>7728</v>
      </c>
      <c r="BC263" s="1">
        <v>7612</v>
      </c>
      <c r="BD263" s="1">
        <v>7638</v>
      </c>
      <c r="BE263" s="1">
        <v>7678</v>
      </c>
      <c r="BF263" s="1">
        <v>7650</v>
      </c>
      <c r="BG263" s="1">
        <v>7757</v>
      </c>
      <c r="BH263" s="1">
        <v>8032</v>
      </c>
      <c r="BI263" s="1">
        <v>8652</v>
      </c>
      <c r="BJ263" s="1">
        <v>8771</v>
      </c>
      <c r="BK263" s="1">
        <v>8915</v>
      </c>
      <c r="BL263" s="1">
        <v>8951</v>
      </c>
      <c r="BM263" s="1">
        <v>9165</v>
      </c>
      <c r="BN263" s="1">
        <v>9273</v>
      </c>
      <c r="BO263" s="1">
        <v>9444</v>
      </c>
      <c r="BP263" s="1">
        <v>9600</v>
      </c>
      <c r="BQ263" s="1">
        <v>9485</v>
      </c>
      <c r="BR263" s="1">
        <v>9695</v>
      </c>
      <c r="BS263" s="1">
        <v>9431</v>
      </c>
      <c r="BT263" s="1">
        <v>9217</v>
      </c>
      <c r="BU263" s="1">
        <v>8968</v>
      </c>
      <c r="BV263" s="1">
        <v>9080</v>
      </c>
      <c r="BW263" s="1">
        <v>9061</v>
      </c>
      <c r="BX263" s="1">
        <v>9032</v>
      </c>
      <c r="BY263" s="1">
        <v>9032</v>
      </c>
      <c r="BZ263" s="1">
        <v>9726</v>
      </c>
    </row>
    <row r="264" spans="1:254">
      <c r="A264" s="62" t="s">
        <v>477</v>
      </c>
      <c r="B264" s="1" t="str">
        <f>銘柄管理!C264</f>
        <v>ジーエス・ユアサコーポ</v>
      </c>
      <c r="C264" s="1">
        <f>_xll.RssMarket("6674","安値")</f>
        <v>5375</v>
      </c>
      <c r="E264" s="1">
        <v>5375</v>
      </c>
      <c r="F264" s="1">
        <v>5784</v>
      </c>
      <c r="G264" s="1">
        <v>5454</v>
      </c>
      <c r="H264" s="1">
        <v>5260</v>
      </c>
      <c r="I264" s="1">
        <v>5471</v>
      </c>
      <c r="J264" s="1">
        <v>5095</v>
      </c>
      <c r="K264" s="1">
        <v>5044</v>
      </c>
      <c r="L264" s="1">
        <v>5427</v>
      </c>
      <c r="M264" s="1">
        <v>5693</v>
      </c>
      <c r="N264" s="1">
        <v>5733</v>
      </c>
      <c r="O264" s="1">
        <v>5988</v>
      </c>
      <c r="P264" s="1">
        <v>5853</v>
      </c>
      <c r="Q264" s="1">
        <v>5638</v>
      </c>
      <c r="R264" s="1">
        <v>5388</v>
      </c>
      <c r="S264" s="1">
        <v>5877</v>
      </c>
      <c r="T264" s="1">
        <v>5836</v>
      </c>
      <c r="U264" s="1">
        <v>5944</v>
      </c>
      <c r="V264" s="1">
        <v>6152</v>
      </c>
      <c r="W264" s="1">
        <v>6113</v>
      </c>
      <c r="X264" s="1">
        <v>6156</v>
      </c>
      <c r="Y264" s="1">
        <v>6396</v>
      </c>
      <c r="Z264" s="1">
        <v>6468</v>
      </c>
      <c r="AA264" s="1">
        <v>6446</v>
      </c>
      <c r="AB264" s="1">
        <v>6500</v>
      </c>
      <c r="AC264" s="1">
        <v>6547</v>
      </c>
      <c r="AD264" s="1">
        <v>6451</v>
      </c>
      <c r="AE264" s="1">
        <v>6535</v>
      </c>
      <c r="AF264" s="1">
        <v>6683</v>
      </c>
      <c r="AG264" s="1">
        <v>7034</v>
      </c>
      <c r="AH264" s="1">
        <v>7021</v>
      </c>
      <c r="AI264" s="1">
        <v>7087</v>
      </c>
      <c r="AJ264" s="1">
        <v>7452</v>
      </c>
      <c r="AK264" s="1">
        <v>6665</v>
      </c>
      <c r="AL264" s="1">
        <v>6630</v>
      </c>
      <c r="AM264" s="1">
        <v>6580</v>
      </c>
      <c r="AN264" s="1">
        <v>6265</v>
      </c>
      <c r="AO264" s="1">
        <v>6196</v>
      </c>
      <c r="AP264" s="1">
        <v>6197</v>
      </c>
      <c r="AQ264" s="1">
        <v>5971</v>
      </c>
      <c r="AR264" s="1">
        <v>6369</v>
      </c>
      <c r="AS264" s="1">
        <v>6595</v>
      </c>
      <c r="AT264" s="1">
        <v>7080</v>
      </c>
      <c r="AU264" s="1">
        <v>7143</v>
      </c>
      <c r="AV264" s="1">
        <v>7031</v>
      </c>
      <c r="AW264" s="1">
        <v>6618</v>
      </c>
      <c r="AX264" s="1">
        <v>6470</v>
      </c>
      <c r="AY264" s="1">
        <v>6284</v>
      </c>
      <c r="AZ264" s="1">
        <v>6298</v>
      </c>
      <c r="BA264" s="1">
        <v>6268</v>
      </c>
      <c r="BB264" s="1">
        <v>6017</v>
      </c>
      <c r="BC264" s="1">
        <v>5956</v>
      </c>
      <c r="BD264" s="1">
        <v>6044</v>
      </c>
      <c r="BE264" s="1">
        <v>6154</v>
      </c>
      <c r="BF264" s="1">
        <v>6180</v>
      </c>
      <c r="BG264" s="1">
        <v>6251</v>
      </c>
      <c r="BH264" s="1">
        <v>6130</v>
      </c>
      <c r="BI264" s="1">
        <v>6130</v>
      </c>
      <c r="BJ264" s="1">
        <v>6605</v>
      </c>
      <c r="BK264" s="1">
        <v>6499</v>
      </c>
      <c r="BL264" s="1">
        <v>6412</v>
      </c>
      <c r="BM264" s="1">
        <v>6457</v>
      </c>
      <c r="BN264" s="1">
        <v>6224</v>
      </c>
      <c r="BO264" s="1">
        <v>6080</v>
      </c>
      <c r="BP264" s="1">
        <v>6080</v>
      </c>
      <c r="BQ264" s="1">
        <v>6160</v>
      </c>
      <c r="BR264" s="1">
        <v>6223</v>
      </c>
      <c r="BS264" s="1">
        <v>6244</v>
      </c>
      <c r="BT264" s="1">
        <v>6354</v>
      </c>
      <c r="BU264" s="1">
        <v>6602</v>
      </c>
      <c r="BV264" s="1">
        <v>6540</v>
      </c>
      <c r="BW264" s="1">
        <v>6703</v>
      </c>
      <c r="BX264" s="1">
        <v>6578</v>
      </c>
      <c r="BY264" s="1">
        <v>6550</v>
      </c>
      <c r="BZ264" s="1">
        <v>6435</v>
      </c>
    </row>
    <row r="265" spans="1:254">
      <c r="A265" s="62" t="s">
        <v>478</v>
      </c>
      <c r="B265" s="1" t="str">
        <f>銘柄管理!C265</f>
        <v>ＦＤＫ</v>
      </c>
      <c r="C265" s="1">
        <f>_xll.RssMarket("6955","安値")</f>
        <v>400</v>
      </c>
      <c r="E265" s="1">
        <v>400</v>
      </c>
      <c r="F265" s="1">
        <v>390</v>
      </c>
      <c r="G265" s="1">
        <v>384</v>
      </c>
      <c r="H265" s="1">
        <v>377</v>
      </c>
      <c r="I265" s="1">
        <v>377</v>
      </c>
      <c r="J265" s="1">
        <v>375</v>
      </c>
      <c r="K265" s="1">
        <v>380</v>
      </c>
      <c r="L265" s="1">
        <v>389</v>
      </c>
      <c r="M265" s="1">
        <v>396</v>
      </c>
      <c r="O265" s="1">
        <v>412</v>
      </c>
      <c r="P265" s="1">
        <v>409</v>
      </c>
      <c r="Q265" s="1">
        <v>401</v>
      </c>
      <c r="R265" s="1">
        <v>396</v>
      </c>
      <c r="S265" s="1">
        <v>422</v>
      </c>
      <c r="T265" s="1">
        <v>421</v>
      </c>
      <c r="U265" s="1">
        <v>434</v>
      </c>
      <c r="V265" s="1">
        <v>435</v>
      </c>
      <c r="W265" s="1">
        <v>428</v>
      </c>
      <c r="X265" s="1">
        <v>429</v>
      </c>
      <c r="Y265" s="1">
        <v>443</v>
      </c>
      <c r="Z265" s="1">
        <v>452</v>
      </c>
      <c r="AA265" s="1">
        <v>478</v>
      </c>
      <c r="AB265" s="1">
        <v>471</v>
      </c>
      <c r="AC265" s="1">
        <v>482</v>
      </c>
      <c r="AD265" s="1">
        <v>472</v>
      </c>
      <c r="AE265" s="1">
        <v>485</v>
      </c>
      <c r="AF265" s="1">
        <v>492</v>
      </c>
      <c r="AG265" s="1">
        <v>513</v>
      </c>
      <c r="AH265" s="1">
        <v>502</v>
      </c>
      <c r="AI265" s="1">
        <v>506</v>
      </c>
      <c r="AJ265" s="1">
        <v>521</v>
      </c>
      <c r="AK265" s="1">
        <v>504</v>
      </c>
      <c r="AL265" s="1">
        <v>502</v>
      </c>
      <c r="AM265" s="1">
        <v>488</v>
      </c>
      <c r="AN265" s="1">
        <v>467</v>
      </c>
      <c r="AO265" s="1">
        <v>471</v>
      </c>
      <c r="AP265" s="1">
        <v>495</v>
      </c>
      <c r="AQ265" s="1">
        <v>488</v>
      </c>
      <c r="AR265" s="1">
        <v>513</v>
      </c>
      <c r="AS265" s="1">
        <v>591</v>
      </c>
      <c r="AT265" s="1">
        <v>488</v>
      </c>
      <c r="AU265" s="1">
        <v>481</v>
      </c>
      <c r="AV265" s="1">
        <v>453</v>
      </c>
      <c r="AW265" s="1">
        <v>426</v>
      </c>
      <c r="AX265" s="1">
        <v>422</v>
      </c>
      <c r="AY265" s="1">
        <v>422</v>
      </c>
      <c r="AZ265" s="1">
        <v>407</v>
      </c>
      <c r="BA265" s="1">
        <v>400</v>
      </c>
      <c r="BB265" s="1">
        <v>407</v>
      </c>
      <c r="BC265" s="1">
        <v>404</v>
      </c>
      <c r="BD265" s="1">
        <v>402</v>
      </c>
      <c r="BE265" s="1">
        <v>412</v>
      </c>
      <c r="BF265" s="1">
        <v>410</v>
      </c>
      <c r="BG265" s="1">
        <v>418</v>
      </c>
      <c r="BH265" s="1">
        <v>420</v>
      </c>
      <c r="BI265" s="1">
        <v>426</v>
      </c>
      <c r="BJ265" s="1">
        <v>430</v>
      </c>
      <c r="BK265" s="1">
        <v>425</v>
      </c>
      <c r="BL265" s="1">
        <v>433</v>
      </c>
      <c r="BM265" s="1">
        <v>449</v>
      </c>
      <c r="BN265" s="1">
        <v>425</v>
      </c>
      <c r="BO265" s="1">
        <v>415</v>
      </c>
      <c r="BP265" s="1">
        <v>445</v>
      </c>
      <c r="BQ265" s="1">
        <v>450</v>
      </c>
      <c r="BR265" s="1">
        <v>450</v>
      </c>
      <c r="BS265" s="1">
        <v>445</v>
      </c>
      <c r="BT265" s="1">
        <v>442</v>
      </c>
      <c r="BU265" s="1">
        <v>450</v>
      </c>
      <c r="BV265" s="1">
        <v>448</v>
      </c>
      <c r="BW265" s="1">
        <v>445</v>
      </c>
      <c r="BX265" s="1">
        <v>450</v>
      </c>
      <c r="BY265" s="1">
        <v>445</v>
      </c>
      <c r="BZ265" s="1">
        <v>452</v>
      </c>
    </row>
    <row r="266" spans="1:254">
      <c r="A266" s="62" t="s">
        <v>479</v>
      </c>
      <c r="B266" s="1" t="str">
        <f>銘柄管理!C266</f>
        <v>インフォメティス</v>
      </c>
      <c r="C266" s="1">
        <f>_xll.RssMarket("281A","安値")</f>
        <v>451</v>
      </c>
      <c r="E266" s="1">
        <v>451</v>
      </c>
      <c r="F266" s="1">
        <v>467</v>
      </c>
      <c r="G266" s="1">
        <v>450</v>
      </c>
      <c r="H266" s="1">
        <v>420</v>
      </c>
      <c r="I266" s="1">
        <v>417</v>
      </c>
      <c r="J266" s="1">
        <v>406</v>
      </c>
      <c r="K266" s="1">
        <v>411</v>
      </c>
      <c r="L266" s="1">
        <v>422</v>
      </c>
      <c r="M266" s="1">
        <v>441</v>
      </c>
      <c r="N266" s="1">
        <v>442</v>
      </c>
      <c r="O266" s="1">
        <v>460</v>
      </c>
      <c r="P266" s="1">
        <v>456</v>
      </c>
      <c r="Q266" s="1">
        <v>451</v>
      </c>
      <c r="R266" s="1">
        <v>443</v>
      </c>
      <c r="S266" s="1">
        <v>495</v>
      </c>
      <c r="T266" s="1">
        <v>497</v>
      </c>
      <c r="U266" s="1">
        <v>515</v>
      </c>
      <c r="V266" s="1">
        <v>481</v>
      </c>
      <c r="W266" s="1">
        <v>471</v>
      </c>
      <c r="X266" s="1">
        <v>519</v>
      </c>
      <c r="Y266" s="1">
        <v>614</v>
      </c>
      <c r="Z266" s="1">
        <v>620</v>
      </c>
      <c r="AA266" s="1">
        <v>603</v>
      </c>
      <c r="AB266" s="1">
        <v>617</v>
      </c>
      <c r="AC266" s="1">
        <v>607</v>
      </c>
      <c r="AD266" s="1">
        <v>666</v>
      </c>
      <c r="AE266" s="1">
        <v>680</v>
      </c>
      <c r="AF266" s="1">
        <v>665</v>
      </c>
      <c r="AG266" s="1">
        <v>715</v>
      </c>
      <c r="AH266" s="1">
        <v>677</v>
      </c>
      <c r="AI266" s="1">
        <v>600</v>
      </c>
      <c r="AJ266" s="1">
        <v>562</v>
      </c>
      <c r="AK266" s="1">
        <v>565</v>
      </c>
      <c r="AL266" s="1">
        <v>616</v>
      </c>
      <c r="AM266" s="1">
        <v>602</v>
      </c>
      <c r="AN266" s="1">
        <v>604</v>
      </c>
      <c r="AO266" s="1">
        <v>634</v>
      </c>
      <c r="AP266" s="1">
        <v>526</v>
      </c>
      <c r="AQ266" s="1">
        <v>518</v>
      </c>
      <c r="AR266" s="1">
        <v>515</v>
      </c>
      <c r="AS266" s="1">
        <v>568</v>
      </c>
      <c r="AT266" s="1">
        <v>606</v>
      </c>
      <c r="AU266" s="1">
        <v>650</v>
      </c>
      <c r="AV266" s="1">
        <v>665</v>
      </c>
      <c r="AW266" s="1">
        <v>679</v>
      </c>
      <c r="AX266" s="1">
        <v>759</v>
      </c>
      <c r="AY266" s="1">
        <v>802</v>
      </c>
      <c r="AZ266" s="1">
        <v>811</v>
      </c>
      <c r="BA266" s="1">
        <v>840</v>
      </c>
      <c r="BB266" s="1">
        <v>758</v>
      </c>
      <c r="BC266" s="1">
        <v>722</v>
      </c>
      <c r="BD266" s="1">
        <v>754</v>
      </c>
      <c r="BE266" s="1">
        <v>790</v>
      </c>
      <c r="BF266" s="1">
        <v>730</v>
      </c>
      <c r="BG266" s="1">
        <v>749</v>
      </c>
      <c r="BH266" s="1">
        <v>712</v>
      </c>
      <c r="BI266" s="1">
        <v>715</v>
      </c>
      <c r="BJ266" s="1">
        <v>726</v>
      </c>
      <c r="BK266" s="1">
        <v>782</v>
      </c>
      <c r="BL266" s="1">
        <v>753</v>
      </c>
      <c r="BM266" s="1">
        <v>680</v>
      </c>
      <c r="BN266" s="1">
        <v>710</v>
      </c>
      <c r="BO266" s="1">
        <v>683</v>
      </c>
      <c r="BP266" s="1">
        <v>712</v>
      </c>
      <c r="BQ266" s="1">
        <v>755</v>
      </c>
      <c r="BR266" s="1">
        <v>738</v>
      </c>
      <c r="BS266" s="1">
        <v>764</v>
      </c>
      <c r="BT266" s="1">
        <v>757</v>
      </c>
      <c r="BU266" s="1">
        <v>870</v>
      </c>
      <c r="BV266" s="1">
        <v>803</v>
      </c>
      <c r="BW266" s="1">
        <v>731</v>
      </c>
      <c r="BX266" s="1">
        <v>712</v>
      </c>
      <c r="BY266" s="1">
        <v>661</v>
      </c>
      <c r="BZ266" s="1">
        <v>643</v>
      </c>
    </row>
    <row r="267" spans="1:254">
      <c r="A267" s="62" t="s">
        <v>480</v>
      </c>
      <c r="B267" s="1" t="str">
        <f>銘柄管理!C267</f>
        <v>日本ギア工業</v>
      </c>
      <c r="C267" s="1">
        <f>_xll.RssMarket("6356","安値")</f>
        <v>1352</v>
      </c>
      <c r="E267" s="1">
        <v>1352</v>
      </c>
      <c r="F267" s="1">
        <v>1346</v>
      </c>
      <c r="G267" s="1">
        <v>1295</v>
      </c>
      <c r="H267" s="1">
        <v>1242</v>
      </c>
      <c r="I267" s="1">
        <v>1243</v>
      </c>
      <c r="J267" s="1">
        <v>1220</v>
      </c>
      <c r="K267" s="1">
        <v>1235</v>
      </c>
      <c r="L267" s="1">
        <v>1294</v>
      </c>
      <c r="M267" s="1">
        <v>1325</v>
      </c>
      <c r="N267" s="1">
        <v>1350</v>
      </c>
      <c r="O267" s="1">
        <v>1393</v>
      </c>
      <c r="P267" s="1">
        <v>1368</v>
      </c>
      <c r="Q267" s="1">
        <v>1328</v>
      </c>
      <c r="R267" s="1">
        <v>1385</v>
      </c>
      <c r="S267" s="1">
        <v>1523</v>
      </c>
      <c r="T267" s="1">
        <v>1490</v>
      </c>
      <c r="U267" s="1">
        <v>1455</v>
      </c>
      <c r="V267" s="1">
        <v>1455</v>
      </c>
      <c r="W267" s="1">
        <v>1412</v>
      </c>
      <c r="X267" s="1">
        <v>1492</v>
      </c>
      <c r="Y267" s="1">
        <v>1575</v>
      </c>
      <c r="Z267" s="1">
        <v>1708</v>
      </c>
      <c r="AA267" s="1">
        <v>1521</v>
      </c>
      <c r="AB267" s="1">
        <v>1455</v>
      </c>
      <c r="AC267" s="1">
        <v>1472</v>
      </c>
      <c r="AD267" s="1">
        <v>1475</v>
      </c>
      <c r="AE267" s="1">
        <v>1458</v>
      </c>
      <c r="AF267" s="1">
        <v>1431</v>
      </c>
      <c r="AG267" s="1">
        <v>1472</v>
      </c>
      <c r="AH267" s="1">
        <v>1456</v>
      </c>
      <c r="AI267" s="1">
        <v>1452</v>
      </c>
      <c r="AJ267" s="1">
        <v>1476</v>
      </c>
      <c r="AK267" s="1">
        <v>1476</v>
      </c>
      <c r="AL267" s="1">
        <v>1525</v>
      </c>
      <c r="AM267" s="1">
        <v>1393</v>
      </c>
      <c r="AN267" s="1">
        <v>1360</v>
      </c>
      <c r="AO267" s="1">
        <v>1402</v>
      </c>
      <c r="AP267" s="1">
        <v>1393</v>
      </c>
      <c r="AQ267" s="1">
        <v>1329</v>
      </c>
      <c r="AR267" s="1">
        <v>1416</v>
      </c>
      <c r="AS267" s="1">
        <v>1431</v>
      </c>
      <c r="AT267" s="1">
        <v>1517</v>
      </c>
      <c r="AU267" s="1">
        <v>1451</v>
      </c>
      <c r="AV267" s="1">
        <v>1448</v>
      </c>
      <c r="AW267" s="1">
        <v>1442</v>
      </c>
      <c r="AX267" s="1">
        <v>1633</v>
      </c>
      <c r="AY267" s="1">
        <v>1622</v>
      </c>
      <c r="AZ267" s="1">
        <v>1670</v>
      </c>
      <c r="BA267" s="1">
        <v>1496</v>
      </c>
      <c r="BB267" s="1">
        <v>1361</v>
      </c>
      <c r="BC267" s="1">
        <v>1345</v>
      </c>
      <c r="BD267" s="1">
        <v>1341</v>
      </c>
      <c r="BE267" s="1">
        <v>1403</v>
      </c>
      <c r="BF267" s="1">
        <v>1361</v>
      </c>
      <c r="BG267" s="1">
        <v>1366</v>
      </c>
      <c r="BH267" s="1">
        <v>1403</v>
      </c>
      <c r="BI267" s="1">
        <v>1397</v>
      </c>
      <c r="BJ267" s="1">
        <v>1457</v>
      </c>
      <c r="BK267" s="1">
        <v>1474</v>
      </c>
      <c r="BL267" s="1">
        <v>1464</v>
      </c>
      <c r="BM267" s="1">
        <v>1434</v>
      </c>
      <c r="BN267" s="1">
        <v>1485</v>
      </c>
      <c r="BO267" s="1">
        <v>1586</v>
      </c>
      <c r="BP267" s="1">
        <v>1628</v>
      </c>
      <c r="BQ267" s="1">
        <v>1550</v>
      </c>
      <c r="BR267" s="1">
        <v>1452</v>
      </c>
      <c r="BS267" s="1">
        <v>1411</v>
      </c>
      <c r="BT267" s="1">
        <v>1225</v>
      </c>
      <c r="BU267" s="1">
        <v>1258</v>
      </c>
      <c r="BV267" s="1">
        <v>1304</v>
      </c>
      <c r="BW267" s="1">
        <v>1293</v>
      </c>
      <c r="BX267" s="1">
        <v>1319</v>
      </c>
      <c r="BY267" s="1">
        <v>1254</v>
      </c>
      <c r="BZ267" s="1">
        <v>1271</v>
      </c>
    </row>
    <row r="268" spans="1:254">
      <c r="A268" s="62" t="s">
        <v>481</v>
      </c>
      <c r="B268" s="1" t="str">
        <f>銘柄管理!C268</f>
        <v>助川電気工業</v>
      </c>
      <c r="C268" s="1">
        <f>_xll.RssMarket("7711","安値")</f>
        <v>4380</v>
      </c>
      <c r="E268" s="1">
        <v>4380</v>
      </c>
      <c r="F268" s="1">
        <v>4500</v>
      </c>
      <c r="G268" s="1">
        <v>4270</v>
      </c>
      <c r="H268" s="1">
        <v>4120</v>
      </c>
      <c r="I268" s="1">
        <v>4070</v>
      </c>
      <c r="J268" s="1">
        <v>4030</v>
      </c>
      <c r="K268" s="1">
        <v>4030</v>
      </c>
      <c r="L268" s="1">
        <v>4200</v>
      </c>
      <c r="M268" s="1">
        <v>4365</v>
      </c>
      <c r="O268" s="1">
        <v>4625</v>
      </c>
      <c r="P268" s="1">
        <v>4640</v>
      </c>
      <c r="Q268" s="1">
        <v>4380</v>
      </c>
      <c r="R268" s="1">
        <v>4320</v>
      </c>
      <c r="S268" s="1">
        <v>5080</v>
      </c>
      <c r="T268" s="1">
        <v>4865</v>
      </c>
      <c r="U268" s="1">
        <v>4690</v>
      </c>
      <c r="V268" s="1">
        <v>4635</v>
      </c>
      <c r="W268" s="1">
        <v>4620</v>
      </c>
      <c r="X268" s="1">
        <v>4835</v>
      </c>
      <c r="Y268" s="1">
        <v>4920</v>
      </c>
      <c r="Z268" s="1">
        <v>5060</v>
      </c>
      <c r="AA268" s="1">
        <v>4815</v>
      </c>
      <c r="AB268" s="1">
        <v>4800</v>
      </c>
      <c r="AC268" s="1">
        <v>4825</v>
      </c>
      <c r="AD268" s="1">
        <v>4820</v>
      </c>
      <c r="AE268" s="1">
        <v>4825</v>
      </c>
      <c r="AF268" s="1">
        <v>4885</v>
      </c>
      <c r="AG268" s="1">
        <v>4980</v>
      </c>
      <c r="AH268" s="1">
        <v>5030</v>
      </c>
      <c r="AI268" s="1">
        <v>5050</v>
      </c>
      <c r="AJ268" s="1">
        <v>5470</v>
      </c>
      <c r="AK268" s="1">
        <v>5260</v>
      </c>
      <c r="AL268" s="1">
        <v>5470</v>
      </c>
      <c r="AM268" s="1">
        <v>5160</v>
      </c>
      <c r="AN268" s="1">
        <v>4705</v>
      </c>
      <c r="AO268" s="1">
        <v>4805</v>
      </c>
      <c r="AP268" s="1">
        <v>4665</v>
      </c>
      <c r="AQ268" s="1">
        <v>4515</v>
      </c>
      <c r="AR268" s="1">
        <v>4645</v>
      </c>
      <c r="AS268" s="1">
        <v>5030</v>
      </c>
      <c r="AT268" s="1">
        <v>5250</v>
      </c>
      <c r="AU268" s="1">
        <v>5010</v>
      </c>
      <c r="AV268" s="1">
        <v>5080</v>
      </c>
      <c r="AW268" s="1">
        <v>5080</v>
      </c>
      <c r="AX268" s="1">
        <v>5300</v>
      </c>
      <c r="AY268" s="1">
        <v>5300</v>
      </c>
      <c r="AZ268" s="1">
        <v>5400</v>
      </c>
      <c r="BA268" s="1">
        <v>5320</v>
      </c>
      <c r="BB268" s="1">
        <v>5080</v>
      </c>
      <c r="BC268" s="1">
        <v>5040</v>
      </c>
      <c r="BD268" s="1">
        <v>4955</v>
      </c>
      <c r="BE268" s="1">
        <v>5160</v>
      </c>
      <c r="BF268" s="1">
        <v>5250</v>
      </c>
      <c r="BG268" s="1">
        <v>5360</v>
      </c>
      <c r="BH268" s="1">
        <v>5370</v>
      </c>
      <c r="BI268" s="1">
        <v>5620</v>
      </c>
      <c r="BJ268" s="1">
        <v>5610</v>
      </c>
      <c r="BK268" s="1">
        <v>5820</v>
      </c>
      <c r="BL268" s="1">
        <v>6000</v>
      </c>
      <c r="BM268" s="1">
        <v>6060</v>
      </c>
      <c r="BN268" s="1">
        <v>5870</v>
      </c>
      <c r="BO268" s="1">
        <v>5960</v>
      </c>
      <c r="BP268" s="1">
        <v>6100</v>
      </c>
      <c r="BQ268" s="1">
        <v>6170</v>
      </c>
      <c r="BR268" s="1">
        <v>6310</v>
      </c>
      <c r="BS268" s="1">
        <v>6340</v>
      </c>
      <c r="BT268" s="1">
        <v>6200</v>
      </c>
      <c r="BU268" s="1">
        <v>6120</v>
      </c>
      <c r="BV268" s="1">
        <v>6230</v>
      </c>
      <c r="BW268" s="1">
        <v>6230</v>
      </c>
      <c r="BX268" s="1">
        <v>6150</v>
      </c>
      <c r="BY268" s="1">
        <v>6080</v>
      </c>
      <c r="BZ268" s="1">
        <v>6240</v>
      </c>
    </row>
    <row r="269" spans="1:254">
      <c r="A269" s="62" t="s">
        <v>482</v>
      </c>
      <c r="B269" s="1" t="str">
        <f>銘柄管理!C269</f>
        <v>日機装</v>
      </c>
      <c r="C269" s="1">
        <f>_xll.RssMarket("6376","安値")</f>
        <v>3985</v>
      </c>
      <c r="E269" s="1">
        <v>3985</v>
      </c>
      <c r="F269" s="1">
        <v>3955</v>
      </c>
      <c r="G269" s="1">
        <v>3780</v>
      </c>
      <c r="H269" s="1">
        <v>3605</v>
      </c>
      <c r="I269" s="1">
        <v>3590</v>
      </c>
      <c r="J269" s="1">
        <v>3500</v>
      </c>
      <c r="K269" s="1">
        <v>3480</v>
      </c>
      <c r="L269" s="1">
        <v>3730</v>
      </c>
      <c r="M269" s="1">
        <v>3965</v>
      </c>
      <c r="N269" s="1">
        <v>3935</v>
      </c>
      <c r="O269" s="1">
        <v>3975</v>
      </c>
      <c r="P269" s="1">
        <v>3940</v>
      </c>
      <c r="Q269" s="1">
        <v>3880</v>
      </c>
      <c r="R269" s="1">
        <v>3685</v>
      </c>
      <c r="S269" s="1">
        <v>3795</v>
      </c>
      <c r="T269" s="1">
        <v>3575</v>
      </c>
      <c r="U269" s="1">
        <v>3580</v>
      </c>
      <c r="V269" s="1">
        <v>3685</v>
      </c>
      <c r="W269" s="1">
        <v>3660</v>
      </c>
      <c r="X269" s="1">
        <v>3710</v>
      </c>
      <c r="Y269" s="1">
        <v>3825</v>
      </c>
      <c r="Z269" s="1">
        <v>4000</v>
      </c>
      <c r="AA269" s="1">
        <v>3840</v>
      </c>
      <c r="AB269" s="1">
        <v>3815</v>
      </c>
      <c r="AC269" s="1">
        <v>3815</v>
      </c>
      <c r="AD269" s="1">
        <v>4020</v>
      </c>
      <c r="AE269" s="1">
        <v>3990</v>
      </c>
      <c r="AF269" s="1">
        <v>4140</v>
      </c>
      <c r="AG269" s="1">
        <v>4095</v>
      </c>
      <c r="AH269" s="1">
        <v>3930</v>
      </c>
      <c r="AI269" s="1">
        <v>3980</v>
      </c>
      <c r="AJ269" s="1">
        <v>3905</v>
      </c>
      <c r="AK269" s="1">
        <v>3850</v>
      </c>
      <c r="AL269" s="1">
        <v>3860</v>
      </c>
      <c r="AM269" s="1">
        <v>3715</v>
      </c>
      <c r="AN269" s="1">
        <v>3665</v>
      </c>
      <c r="AO269" s="1">
        <v>3690</v>
      </c>
      <c r="AP269" s="1">
        <v>3565</v>
      </c>
      <c r="AQ269" s="1">
        <v>3450</v>
      </c>
      <c r="AR269" s="1">
        <v>3390</v>
      </c>
      <c r="AS269" s="1">
        <v>3130</v>
      </c>
      <c r="AT269" s="1">
        <v>3160</v>
      </c>
      <c r="AU269" s="1">
        <v>3035</v>
      </c>
      <c r="AV269" s="1">
        <v>3065</v>
      </c>
      <c r="AW269" s="1">
        <v>3015</v>
      </c>
      <c r="AX269" s="1">
        <v>3105</v>
      </c>
      <c r="AY269" s="1">
        <v>3140</v>
      </c>
      <c r="AZ269" s="1">
        <v>3255</v>
      </c>
      <c r="BA269" s="1">
        <v>3255</v>
      </c>
      <c r="BB269" s="1">
        <v>3025</v>
      </c>
      <c r="BC269" s="1">
        <v>2988</v>
      </c>
      <c r="BD269" s="1">
        <v>2794</v>
      </c>
      <c r="BE269" s="1">
        <v>2863</v>
      </c>
      <c r="BF269" s="1">
        <v>2781</v>
      </c>
      <c r="BG269" s="1">
        <v>2530</v>
      </c>
      <c r="BH269" s="1">
        <v>2614</v>
      </c>
      <c r="BI269" s="1">
        <v>2582</v>
      </c>
      <c r="BJ269" s="1">
        <v>2643</v>
      </c>
      <c r="BK269" s="1">
        <v>2614</v>
      </c>
      <c r="BL269" s="1">
        <v>2585</v>
      </c>
      <c r="BM269" s="1">
        <v>2628</v>
      </c>
      <c r="BN269" s="1">
        <v>2600</v>
      </c>
      <c r="BO269" s="1">
        <v>2590</v>
      </c>
      <c r="BP269" s="1">
        <v>2552</v>
      </c>
      <c r="BQ269" s="1">
        <v>2574</v>
      </c>
      <c r="BR269" s="1">
        <v>2581</v>
      </c>
      <c r="BS269" s="1">
        <v>2526</v>
      </c>
      <c r="BT269" s="1">
        <v>2493</v>
      </c>
      <c r="BU269" s="1">
        <v>2570</v>
      </c>
      <c r="BV269" s="1">
        <v>2622</v>
      </c>
      <c r="BW269" s="1">
        <v>2653</v>
      </c>
      <c r="BX269" s="1">
        <v>2714</v>
      </c>
      <c r="BY269" s="1">
        <v>2747</v>
      </c>
      <c r="BZ269" s="1">
        <v>2807</v>
      </c>
    </row>
    <row r="270" spans="1:254">
      <c r="A270" s="62" t="s">
        <v>483</v>
      </c>
      <c r="B270" s="1" t="str">
        <f>銘柄管理!C270</f>
        <v>明海グループ</v>
      </c>
      <c r="C270" s="1">
        <f>_xll.RssMarket("9115","安値")</f>
        <v>843</v>
      </c>
      <c r="E270" s="1">
        <v>843</v>
      </c>
      <c r="F270" s="1">
        <v>853</v>
      </c>
      <c r="G270" s="1">
        <v>825</v>
      </c>
      <c r="H270" s="1">
        <v>798</v>
      </c>
      <c r="I270" s="1">
        <v>770</v>
      </c>
      <c r="J270" s="1">
        <v>756</v>
      </c>
      <c r="K270" s="1">
        <v>780</v>
      </c>
      <c r="L270" s="1">
        <v>848</v>
      </c>
      <c r="M270" s="1">
        <v>876</v>
      </c>
      <c r="N270" s="1">
        <v>852</v>
      </c>
      <c r="O270" s="1">
        <v>839</v>
      </c>
      <c r="P270" s="1">
        <v>830</v>
      </c>
      <c r="Q270" s="1">
        <v>821</v>
      </c>
      <c r="R270" s="1">
        <v>816</v>
      </c>
      <c r="S270" s="1">
        <v>828</v>
      </c>
      <c r="T270" s="1">
        <v>817</v>
      </c>
      <c r="U270" s="1">
        <v>811</v>
      </c>
      <c r="V270" s="1">
        <v>809</v>
      </c>
      <c r="W270" s="1">
        <v>815</v>
      </c>
      <c r="X270" s="1">
        <v>811</v>
      </c>
      <c r="Y270" s="1">
        <v>822</v>
      </c>
      <c r="Z270" s="1">
        <v>836</v>
      </c>
      <c r="AA270" s="1">
        <v>817</v>
      </c>
      <c r="AB270" s="1">
        <v>810</v>
      </c>
      <c r="AC270" s="1">
        <v>791</v>
      </c>
      <c r="AD270" s="1">
        <v>790</v>
      </c>
      <c r="AE270" s="1">
        <v>800</v>
      </c>
      <c r="AF270" s="1">
        <v>779</v>
      </c>
      <c r="AG270" s="1">
        <v>778</v>
      </c>
      <c r="AH270" s="1">
        <v>782</v>
      </c>
      <c r="AI270" s="1">
        <v>760</v>
      </c>
      <c r="AJ270" s="1">
        <v>753</v>
      </c>
      <c r="AK270" s="1">
        <v>757</v>
      </c>
      <c r="AL270" s="1">
        <v>779</v>
      </c>
      <c r="AM270" s="1">
        <v>790</v>
      </c>
      <c r="AN270" s="1">
        <v>815</v>
      </c>
      <c r="AO270" s="1">
        <v>807</v>
      </c>
      <c r="AP270" s="1">
        <v>838</v>
      </c>
      <c r="AQ270" s="1">
        <v>883</v>
      </c>
      <c r="AR270" s="1">
        <v>892</v>
      </c>
      <c r="AS270" s="1">
        <v>958</v>
      </c>
      <c r="AT270" s="1">
        <v>981</v>
      </c>
      <c r="AU270" s="1">
        <v>955</v>
      </c>
      <c r="AV270" s="1">
        <v>1002</v>
      </c>
      <c r="AW270" s="1">
        <v>1026</v>
      </c>
      <c r="AX270" s="1">
        <v>1087</v>
      </c>
      <c r="AY270" s="1">
        <v>1078</v>
      </c>
      <c r="AZ270" s="1">
        <v>1140</v>
      </c>
      <c r="BA270" s="1">
        <v>1131</v>
      </c>
      <c r="BB270" s="1">
        <v>1101</v>
      </c>
      <c r="BC270" s="1">
        <v>1096</v>
      </c>
      <c r="BD270" s="1">
        <v>1081</v>
      </c>
      <c r="BE270" s="1">
        <v>1095</v>
      </c>
      <c r="BF270" s="1">
        <v>1192</v>
      </c>
      <c r="BG270" s="1">
        <v>1175</v>
      </c>
      <c r="BH270" s="1">
        <v>1159</v>
      </c>
      <c r="BI270" s="1">
        <v>1147</v>
      </c>
      <c r="BJ270" s="1">
        <v>1216</v>
      </c>
      <c r="BK270" s="1">
        <v>1215</v>
      </c>
      <c r="BL270" s="1">
        <v>1236</v>
      </c>
      <c r="BM270" s="1">
        <v>1284</v>
      </c>
      <c r="BN270" s="1">
        <v>1230</v>
      </c>
      <c r="BO270" s="1">
        <v>1220</v>
      </c>
      <c r="BP270" s="1">
        <v>1174</v>
      </c>
      <c r="BQ270" s="1">
        <v>1169</v>
      </c>
      <c r="BR270" s="1">
        <v>1151</v>
      </c>
      <c r="BS270" s="1">
        <v>1171</v>
      </c>
      <c r="BT270" s="1">
        <v>1212</v>
      </c>
      <c r="BU270" s="1">
        <v>1240</v>
      </c>
      <c r="BV270" s="1">
        <v>1221</v>
      </c>
      <c r="BW270" s="1">
        <v>1241</v>
      </c>
      <c r="BX270" s="1">
        <v>1284</v>
      </c>
      <c r="BY270" s="1">
        <v>1263</v>
      </c>
      <c r="BZ270" s="1">
        <v>1236</v>
      </c>
    </row>
    <row r="271" spans="1:254">
      <c r="A271" s="62" t="s">
        <v>484</v>
      </c>
      <c r="B271" s="1" t="str">
        <f>銘柄管理!C271</f>
        <v>三菱製紙</v>
      </c>
      <c r="C271" s="1">
        <f>_xll.RssMarket("3864","安値")</f>
        <v>1139</v>
      </c>
      <c r="E271" s="1">
        <v>1139</v>
      </c>
      <c r="F271" s="1">
        <v>1146</v>
      </c>
      <c r="G271" s="1">
        <v>1114</v>
      </c>
      <c r="H271" s="1">
        <v>1085</v>
      </c>
      <c r="I271" s="1">
        <v>1103</v>
      </c>
      <c r="J271" s="1">
        <v>1081</v>
      </c>
      <c r="K271" s="1">
        <v>1100</v>
      </c>
      <c r="L271" s="1">
        <v>1090</v>
      </c>
      <c r="M271" s="1">
        <v>1122</v>
      </c>
      <c r="N271" s="1">
        <v>1131</v>
      </c>
      <c r="O271" s="1">
        <v>1158</v>
      </c>
      <c r="P271" s="1">
        <v>1124</v>
      </c>
      <c r="Q271" s="1">
        <v>1093</v>
      </c>
      <c r="R271" s="1">
        <v>1077</v>
      </c>
      <c r="S271" s="1">
        <v>1035</v>
      </c>
      <c r="T271" s="1">
        <v>1056</v>
      </c>
      <c r="U271" s="1">
        <v>1007</v>
      </c>
      <c r="V271" s="1">
        <v>1001</v>
      </c>
      <c r="W271" s="1">
        <v>992</v>
      </c>
      <c r="X271" s="1">
        <v>993</v>
      </c>
      <c r="Y271" s="1">
        <v>997</v>
      </c>
      <c r="Z271" s="1">
        <v>1008</v>
      </c>
      <c r="AA271" s="1">
        <v>1001</v>
      </c>
      <c r="AB271" s="1">
        <v>1000</v>
      </c>
      <c r="AC271" s="1">
        <v>1001</v>
      </c>
      <c r="AD271" s="1">
        <v>1003</v>
      </c>
      <c r="AE271" s="1">
        <v>1001</v>
      </c>
      <c r="AF271" s="1">
        <v>1030</v>
      </c>
      <c r="AG271" s="1">
        <v>1026</v>
      </c>
      <c r="AH271" s="1">
        <v>1008</v>
      </c>
      <c r="AI271" s="1">
        <v>1029</v>
      </c>
      <c r="AJ271" s="1">
        <v>1023</v>
      </c>
      <c r="AK271" s="1">
        <v>1026</v>
      </c>
      <c r="AL271" s="1">
        <v>1026</v>
      </c>
      <c r="AM271" s="1">
        <v>1058</v>
      </c>
      <c r="AN271" s="1">
        <v>1060</v>
      </c>
      <c r="AO271" s="1">
        <v>1074</v>
      </c>
      <c r="AP271" s="1">
        <v>1056</v>
      </c>
      <c r="AQ271" s="1">
        <v>1046</v>
      </c>
      <c r="AR271" s="1">
        <v>1052</v>
      </c>
      <c r="AS271" s="1">
        <v>1032</v>
      </c>
      <c r="AT271" s="1">
        <v>1038</v>
      </c>
      <c r="AU271" s="1">
        <v>1025</v>
      </c>
      <c r="AV271" s="1">
        <v>1025</v>
      </c>
      <c r="AW271" s="1">
        <v>1038</v>
      </c>
      <c r="AX271" s="1">
        <v>1100</v>
      </c>
      <c r="AY271" s="1">
        <v>1102</v>
      </c>
      <c r="AZ271" s="1">
        <v>1091</v>
      </c>
      <c r="BA271" s="1">
        <v>1062</v>
      </c>
      <c r="BB271" s="1">
        <v>1080</v>
      </c>
      <c r="BC271" s="1">
        <v>1051</v>
      </c>
      <c r="BD271" s="1">
        <v>997</v>
      </c>
      <c r="BE271" s="1">
        <v>1007</v>
      </c>
      <c r="BF271" s="1">
        <v>971</v>
      </c>
      <c r="BG271" s="1">
        <v>950</v>
      </c>
      <c r="BH271" s="1">
        <v>898</v>
      </c>
      <c r="BI271" s="1">
        <v>909</v>
      </c>
      <c r="BJ271" s="1">
        <v>910</v>
      </c>
      <c r="BK271" s="1">
        <v>927</v>
      </c>
      <c r="BL271" s="1">
        <v>934</v>
      </c>
      <c r="BM271" s="1">
        <v>918</v>
      </c>
      <c r="BN271" s="1">
        <v>924</v>
      </c>
      <c r="BO271" s="1">
        <v>924</v>
      </c>
      <c r="BP271" s="1">
        <v>933</v>
      </c>
      <c r="BQ271" s="1">
        <v>934</v>
      </c>
      <c r="BR271" s="1">
        <v>937</v>
      </c>
      <c r="BS271" s="1">
        <v>940</v>
      </c>
      <c r="BT271" s="1">
        <v>959</v>
      </c>
      <c r="BU271" s="1">
        <v>956</v>
      </c>
      <c r="BV271" s="1">
        <v>970</v>
      </c>
      <c r="BW271" s="1">
        <v>961</v>
      </c>
      <c r="BX271" s="1">
        <v>956</v>
      </c>
      <c r="BY271" s="1">
        <v>915</v>
      </c>
      <c r="BZ271" s="1">
        <v>918</v>
      </c>
    </row>
    <row r="272" spans="1:254">
      <c r="A272" s="62" t="s">
        <v>485</v>
      </c>
      <c r="B272" s="1" t="str">
        <f>銘柄管理!C272</f>
        <v>日本ケミコン</v>
      </c>
      <c r="C272" s="1">
        <f>_xll.RssMarket("6997","安値")</f>
        <v>3185</v>
      </c>
      <c r="E272" s="1">
        <v>3185</v>
      </c>
      <c r="F272" s="1">
        <v>3325</v>
      </c>
      <c r="G272" s="1">
        <v>3145</v>
      </c>
      <c r="H272" s="1">
        <v>2946</v>
      </c>
      <c r="I272" s="1">
        <v>2819</v>
      </c>
      <c r="J272" s="1">
        <v>2515</v>
      </c>
      <c r="K272" s="1">
        <v>2466</v>
      </c>
      <c r="L272" s="1">
        <v>2788</v>
      </c>
      <c r="M272" s="1">
        <v>3075</v>
      </c>
      <c r="N272" s="1">
        <v>3185</v>
      </c>
      <c r="O272" s="1">
        <v>3275</v>
      </c>
      <c r="P272" s="1">
        <v>3285</v>
      </c>
      <c r="Q272" s="1">
        <v>2990</v>
      </c>
      <c r="R272" s="1">
        <v>3025</v>
      </c>
      <c r="S272" s="1">
        <v>3585</v>
      </c>
      <c r="T272" s="1">
        <v>3425</v>
      </c>
      <c r="U272" s="1">
        <v>3620</v>
      </c>
      <c r="V272" s="1">
        <v>3935</v>
      </c>
      <c r="W272" s="1">
        <v>3815</v>
      </c>
      <c r="X272" s="1">
        <v>3920</v>
      </c>
      <c r="Y272" s="1">
        <v>4215</v>
      </c>
      <c r="Z272" s="1">
        <v>5020</v>
      </c>
      <c r="AA272" s="1">
        <v>4745</v>
      </c>
      <c r="AB272" s="1">
        <v>5140</v>
      </c>
      <c r="AC272" s="1">
        <v>5480</v>
      </c>
      <c r="AD272" s="1">
        <v>5340</v>
      </c>
      <c r="AE272" s="1">
        <v>5350</v>
      </c>
      <c r="AF272" s="1">
        <v>5470</v>
      </c>
      <c r="AG272" s="1">
        <v>5520</v>
      </c>
      <c r="AH272" s="1">
        <v>5240</v>
      </c>
      <c r="AI272" s="1">
        <v>5330</v>
      </c>
      <c r="AJ272" s="1">
        <v>5590</v>
      </c>
      <c r="AK272" s="1">
        <v>5380</v>
      </c>
      <c r="AL272" s="1">
        <v>5110</v>
      </c>
      <c r="AM272" s="1">
        <v>4350</v>
      </c>
      <c r="AN272" s="1">
        <v>4505</v>
      </c>
      <c r="AO272" s="1">
        <v>4085</v>
      </c>
      <c r="AP272" s="1">
        <v>4070</v>
      </c>
      <c r="AQ272" s="1">
        <v>3890</v>
      </c>
      <c r="AR272" s="1">
        <v>4050</v>
      </c>
      <c r="AS272" s="1">
        <v>4280</v>
      </c>
      <c r="AT272" s="1">
        <v>4385</v>
      </c>
      <c r="AU272" s="1">
        <v>4510</v>
      </c>
      <c r="AV272" s="1">
        <v>4450</v>
      </c>
      <c r="AW272" s="1">
        <v>4635</v>
      </c>
      <c r="AX272" s="1">
        <v>4665</v>
      </c>
      <c r="AY272" s="1">
        <v>3685</v>
      </c>
      <c r="AZ272" s="1">
        <v>3630</v>
      </c>
      <c r="BA272" s="1">
        <v>3595</v>
      </c>
      <c r="BB272" s="1">
        <v>2973</v>
      </c>
      <c r="BC272" s="1">
        <v>2834</v>
      </c>
      <c r="BD272" s="1">
        <v>2926</v>
      </c>
      <c r="BE272" s="1">
        <v>2890</v>
      </c>
      <c r="BF272" s="1">
        <v>2869</v>
      </c>
      <c r="BG272" s="1">
        <v>2980</v>
      </c>
      <c r="BH272" s="1">
        <v>3230</v>
      </c>
      <c r="BI272" s="1">
        <v>3065</v>
      </c>
      <c r="BJ272" s="1">
        <v>3110</v>
      </c>
      <c r="BK272" s="1">
        <v>3100</v>
      </c>
      <c r="BL272" s="1">
        <v>2873</v>
      </c>
      <c r="BM272" s="1">
        <v>2736</v>
      </c>
      <c r="BN272" s="1">
        <v>2549</v>
      </c>
      <c r="BO272" s="1">
        <v>2397</v>
      </c>
      <c r="BP272" s="1">
        <v>2277</v>
      </c>
      <c r="BQ272" s="1">
        <v>2205</v>
      </c>
      <c r="BR272" s="1">
        <v>2224</v>
      </c>
      <c r="BS272" s="1">
        <v>2186</v>
      </c>
      <c r="BT272" s="1">
        <v>2292</v>
      </c>
      <c r="BU272" s="1">
        <v>2354</v>
      </c>
      <c r="BV272" s="1">
        <v>2169</v>
      </c>
      <c r="BW272" s="1">
        <v>2102</v>
      </c>
      <c r="BX272" s="1">
        <v>2057</v>
      </c>
      <c r="BY272" s="1">
        <v>1965</v>
      </c>
      <c r="BZ272" s="1">
        <v>1780</v>
      </c>
    </row>
    <row r="273" spans="1:254">
      <c r="A273" s="62" t="s">
        <v>486</v>
      </c>
      <c r="B273" s="1" t="str">
        <f>銘柄管理!C273</f>
        <v>ＨＵグループＨＤ</v>
      </c>
      <c r="C273" s="1">
        <f>_xll.RssMarket("4544","安値")</f>
        <v>3316</v>
      </c>
      <c r="E273" s="1">
        <v>3316</v>
      </c>
      <c r="F273" s="1">
        <v>3318</v>
      </c>
      <c r="G273" s="1">
        <v>3304</v>
      </c>
      <c r="H273" s="1">
        <v>3291</v>
      </c>
      <c r="I273" s="1">
        <v>3406</v>
      </c>
      <c r="J273" s="1">
        <v>3448</v>
      </c>
      <c r="K273" s="1">
        <v>3474</v>
      </c>
      <c r="L273" s="1">
        <v>3432</v>
      </c>
      <c r="M273" s="1">
        <v>3348</v>
      </c>
      <c r="N273" s="1">
        <v>3273</v>
      </c>
      <c r="O273" s="1">
        <v>3282</v>
      </c>
      <c r="P273" s="1">
        <v>3326</v>
      </c>
      <c r="Q273" s="1">
        <v>3360</v>
      </c>
      <c r="R273" s="1">
        <v>3359</v>
      </c>
      <c r="S273" s="1">
        <v>3321</v>
      </c>
      <c r="T273" s="1">
        <v>3348</v>
      </c>
      <c r="U273" s="1">
        <v>3320</v>
      </c>
      <c r="V273" s="1">
        <v>3320</v>
      </c>
      <c r="W273" s="1">
        <v>3322</v>
      </c>
      <c r="X273" s="1">
        <v>3470</v>
      </c>
      <c r="Y273" s="1">
        <v>3390</v>
      </c>
      <c r="Z273" s="1">
        <v>3385</v>
      </c>
      <c r="AA273" s="1">
        <v>3382</v>
      </c>
      <c r="AB273" s="1">
        <v>3266</v>
      </c>
      <c r="AC273" s="1">
        <v>3249</v>
      </c>
      <c r="AD273" s="1">
        <v>3219</v>
      </c>
      <c r="AE273" s="1">
        <v>3234</v>
      </c>
      <c r="AF273" s="1">
        <v>3202</v>
      </c>
      <c r="AG273" s="1">
        <v>3124</v>
      </c>
      <c r="AH273" s="1">
        <v>3141</v>
      </c>
      <c r="AI273" s="1">
        <v>3128</v>
      </c>
      <c r="AJ273" s="1">
        <v>3089</v>
      </c>
      <c r="AK273" s="1">
        <v>3108</v>
      </c>
      <c r="AL273" s="1">
        <v>3071</v>
      </c>
      <c r="AM273" s="1">
        <v>3170</v>
      </c>
      <c r="AN273" s="1">
        <v>3211</v>
      </c>
      <c r="AO273" s="1">
        <v>3234</v>
      </c>
      <c r="AP273" s="1">
        <v>3352</v>
      </c>
      <c r="AQ273" s="1">
        <v>3381</v>
      </c>
      <c r="AR273" s="1">
        <v>3424</v>
      </c>
      <c r="AS273" s="1">
        <v>3262</v>
      </c>
      <c r="AT273" s="1">
        <v>3333</v>
      </c>
      <c r="AU273" s="1">
        <v>3232</v>
      </c>
      <c r="AV273" s="1">
        <v>3083</v>
      </c>
      <c r="AW273" s="1">
        <v>3117</v>
      </c>
      <c r="AX273" s="1">
        <v>3117</v>
      </c>
      <c r="AY273" s="1">
        <v>3105</v>
      </c>
      <c r="AZ273" s="1">
        <v>3111</v>
      </c>
      <c r="BA273" s="1">
        <v>3138</v>
      </c>
      <c r="BB273" s="1">
        <v>3153</v>
      </c>
      <c r="BC273" s="1">
        <v>3147</v>
      </c>
      <c r="BD273" s="1">
        <v>3190</v>
      </c>
      <c r="BE273" s="1">
        <v>3185</v>
      </c>
      <c r="BF273" s="1">
        <v>3163</v>
      </c>
      <c r="BG273" s="1">
        <v>3067</v>
      </c>
      <c r="BH273" s="1">
        <v>3050</v>
      </c>
      <c r="BI273" s="1">
        <v>3100</v>
      </c>
      <c r="BJ273" s="1">
        <v>3086</v>
      </c>
      <c r="BK273" s="1">
        <v>3056</v>
      </c>
      <c r="BL273" s="1">
        <v>3095</v>
      </c>
      <c r="BM273" s="1">
        <v>3112</v>
      </c>
      <c r="BN273" s="1">
        <v>3060</v>
      </c>
      <c r="BO273" s="1">
        <v>3078</v>
      </c>
      <c r="BP273" s="1">
        <v>3133</v>
      </c>
      <c r="BQ273" s="1">
        <v>3163</v>
      </c>
      <c r="BR273" s="1">
        <v>3128</v>
      </c>
      <c r="BS273" s="1">
        <v>3126</v>
      </c>
      <c r="BT273" s="1">
        <v>3125</v>
      </c>
      <c r="BU273" s="1">
        <v>3104</v>
      </c>
      <c r="BV273" s="1">
        <v>3134</v>
      </c>
      <c r="BW273" s="1">
        <v>3143</v>
      </c>
      <c r="BX273" s="1">
        <v>3175</v>
      </c>
      <c r="BY273" s="1">
        <v>3156</v>
      </c>
      <c r="BZ273" s="1">
        <v>3133</v>
      </c>
    </row>
    <row r="274" spans="1:254">
      <c r="A274" s="62" t="s">
        <v>487</v>
      </c>
      <c r="B274" s="1" t="str">
        <f>銘柄管理!C274</f>
        <v>東亜ディーケーケー</v>
      </c>
      <c r="C274" s="1">
        <f>_xll.RssMarket("6848","安値")</f>
        <v>856</v>
      </c>
      <c r="E274" s="1">
        <v>856</v>
      </c>
      <c r="F274" s="1">
        <v>855</v>
      </c>
      <c r="G274" s="1">
        <v>852</v>
      </c>
      <c r="H274" s="1">
        <v>853</v>
      </c>
      <c r="I274" s="1">
        <v>855</v>
      </c>
      <c r="J274" s="1">
        <v>850</v>
      </c>
      <c r="K274" s="1">
        <v>850</v>
      </c>
      <c r="L274" s="1">
        <v>852</v>
      </c>
      <c r="M274" s="1">
        <v>852</v>
      </c>
      <c r="O274" s="1">
        <v>850</v>
      </c>
      <c r="P274" s="1">
        <v>852</v>
      </c>
      <c r="Q274" s="1">
        <v>854</v>
      </c>
      <c r="R274" s="1">
        <v>850</v>
      </c>
      <c r="S274" s="1">
        <v>854</v>
      </c>
      <c r="T274" s="1">
        <v>854</v>
      </c>
      <c r="U274" s="1">
        <v>849</v>
      </c>
      <c r="V274" s="1">
        <v>851</v>
      </c>
      <c r="W274" s="1">
        <v>850</v>
      </c>
      <c r="X274" s="1">
        <v>854</v>
      </c>
      <c r="Y274" s="1">
        <v>860</v>
      </c>
      <c r="Z274" s="1">
        <v>853</v>
      </c>
      <c r="AA274" s="1">
        <v>852</v>
      </c>
      <c r="AB274" s="1">
        <v>850</v>
      </c>
      <c r="AC274" s="1">
        <v>853</v>
      </c>
      <c r="AD274" s="1">
        <v>860</v>
      </c>
      <c r="AE274" s="1">
        <v>858</v>
      </c>
      <c r="AF274" s="1">
        <v>853</v>
      </c>
      <c r="AG274" s="1">
        <v>854</v>
      </c>
      <c r="AH274" s="1">
        <v>851</v>
      </c>
      <c r="AI274" s="1">
        <v>860</v>
      </c>
      <c r="AJ274" s="1">
        <v>857</v>
      </c>
      <c r="AK274" s="1">
        <v>852</v>
      </c>
      <c r="AL274" s="1">
        <v>857</v>
      </c>
      <c r="AM274" s="1">
        <v>855</v>
      </c>
      <c r="AN274" s="1">
        <v>852</v>
      </c>
      <c r="AO274" s="1">
        <v>852</v>
      </c>
      <c r="AP274" s="1">
        <v>850</v>
      </c>
      <c r="AQ274" s="1">
        <v>848</v>
      </c>
      <c r="AR274" s="1">
        <v>850</v>
      </c>
      <c r="AS274" s="1">
        <v>851</v>
      </c>
      <c r="AT274" s="1">
        <v>851</v>
      </c>
      <c r="AU274" s="1">
        <v>852</v>
      </c>
      <c r="AV274" s="1">
        <v>860</v>
      </c>
      <c r="AW274" s="1">
        <v>855</v>
      </c>
      <c r="AX274" s="1">
        <v>855</v>
      </c>
      <c r="AY274" s="1">
        <v>853</v>
      </c>
      <c r="AZ274" s="1">
        <v>853</v>
      </c>
      <c r="BA274" s="1">
        <v>854</v>
      </c>
      <c r="BB274" s="1">
        <v>850</v>
      </c>
      <c r="BC274" s="1">
        <v>848</v>
      </c>
      <c r="BD274" s="1">
        <v>843</v>
      </c>
      <c r="BE274" s="1">
        <v>869</v>
      </c>
      <c r="BF274" s="1">
        <v>862</v>
      </c>
      <c r="BG274" s="1">
        <v>858</v>
      </c>
      <c r="BH274" s="1">
        <v>863</v>
      </c>
      <c r="BI274" s="1">
        <v>865</v>
      </c>
      <c r="BJ274" s="1">
        <v>864</v>
      </c>
      <c r="BK274" s="1">
        <v>869</v>
      </c>
      <c r="BL274" s="1">
        <v>870</v>
      </c>
      <c r="BM274" s="1">
        <v>863</v>
      </c>
      <c r="BN274" s="1">
        <v>862</v>
      </c>
      <c r="BO274" s="1">
        <v>870</v>
      </c>
      <c r="BP274" s="1">
        <v>863</v>
      </c>
      <c r="BQ274" s="1">
        <v>866</v>
      </c>
      <c r="BR274" s="1">
        <v>872</v>
      </c>
      <c r="BS274" s="1">
        <v>868</v>
      </c>
      <c r="BT274" s="1">
        <v>870</v>
      </c>
      <c r="BU274" s="1">
        <v>876</v>
      </c>
      <c r="BV274" s="1">
        <v>875</v>
      </c>
      <c r="BW274" s="1">
        <v>872</v>
      </c>
      <c r="BX274" s="1">
        <v>860</v>
      </c>
      <c r="BY274" s="1">
        <v>870</v>
      </c>
      <c r="BZ274" s="1">
        <v>873</v>
      </c>
    </row>
    <row r="275" spans="1:254">
      <c r="A275" s="62" t="s">
        <v>488</v>
      </c>
      <c r="B275" s="1" t="str">
        <f>銘柄管理!C275</f>
        <v>大紀アルミニウム</v>
      </c>
      <c r="C275" s="1">
        <f>_xll.RssMarket("5702","安値")</f>
        <v>1763</v>
      </c>
      <c r="E275" s="1">
        <v>1763</v>
      </c>
      <c r="F275" s="1">
        <v>1547</v>
      </c>
      <c r="G275" s="1">
        <v>1516</v>
      </c>
      <c r="H275" s="1">
        <v>1442</v>
      </c>
      <c r="I275" s="1">
        <v>1451</v>
      </c>
      <c r="J275" s="1">
        <v>1433</v>
      </c>
      <c r="K275" s="1">
        <v>1421</v>
      </c>
      <c r="L275" s="1">
        <v>1450</v>
      </c>
      <c r="M275" s="1">
        <v>1466</v>
      </c>
      <c r="N275" s="1">
        <v>1476</v>
      </c>
      <c r="O275" s="1">
        <v>1484</v>
      </c>
      <c r="P275" s="1">
        <v>1476</v>
      </c>
      <c r="Q275" s="1">
        <v>1447</v>
      </c>
      <c r="R275" s="1">
        <v>1414</v>
      </c>
      <c r="S275" s="1">
        <v>1491</v>
      </c>
      <c r="T275" s="1">
        <v>1457</v>
      </c>
      <c r="U275" s="1">
        <v>1458</v>
      </c>
      <c r="V275" s="1">
        <v>1463</v>
      </c>
      <c r="W275" s="1">
        <v>1442</v>
      </c>
      <c r="X275" s="1">
        <v>1454</v>
      </c>
      <c r="Y275" s="1">
        <v>1465</v>
      </c>
      <c r="Z275" s="1">
        <v>1503</v>
      </c>
      <c r="AA275" s="1">
        <v>1483</v>
      </c>
      <c r="AB275" s="1">
        <v>1479</v>
      </c>
      <c r="AC275" s="1">
        <v>1477</v>
      </c>
      <c r="AD275" s="1">
        <v>1483</v>
      </c>
      <c r="AE275" s="1">
        <v>1465</v>
      </c>
      <c r="AF275" s="1">
        <v>1503</v>
      </c>
      <c r="AG275" s="1">
        <v>1526</v>
      </c>
      <c r="AH275" s="1">
        <v>1570</v>
      </c>
      <c r="AI275" s="1">
        <v>1600</v>
      </c>
      <c r="AJ275" s="1">
        <v>1636</v>
      </c>
      <c r="AK275" s="1">
        <v>1646</v>
      </c>
      <c r="AL275" s="1">
        <v>1698</v>
      </c>
      <c r="AM275" s="1">
        <v>1701</v>
      </c>
      <c r="AN275" s="1">
        <v>1724</v>
      </c>
      <c r="AO275" s="1">
        <v>1817</v>
      </c>
      <c r="AP275" s="1">
        <v>1813</v>
      </c>
      <c r="AQ275" s="1">
        <v>1781</v>
      </c>
      <c r="AR275" s="1">
        <v>1783</v>
      </c>
      <c r="AS275" s="1">
        <v>1797</v>
      </c>
      <c r="AT275" s="1">
        <v>1823</v>
      </c>
      <c r="AU275" s="1">
        <v>1900</v>
      </c>
      <c r="AV275" s="1">
        <v>1979</v>
      </c>
      <c r="AW275" s="1">
        <v>1867</v>
      </c>
      <c r="AX275" s="1">
        <v>1923</v>
      </c>
      <c r="AY275" s="1">
        <v>1911</v>
      </c>
      <c r="AZ275" s="1">
        <v>1972</v>
      </c>
      <c r="BA275" s="1">
        <v>1909</v>
      </c>
      <c r="BB275" s="1">
        <v>1875</v>
      </c>
      <c r="BC275" s="1">
        <v>1809</v>
      </c>
      <c r="BD275" s="1">
        <v>1785</v>
      </c>
      <c r="BE275" s="1">
        <v>1786</v>
      </c>
      <c r="BF275" s="1">
        <v>1781</v>
      </c>
      <c r="BG275" s="1">
        <v>1836</v>
      </c>
      <c r="BH275" s="1">
        <v>1554</v>
      </c>
      <c r="BI275" s="1">
        <v>1562</v>
      </c>
      <c r="BJ275" s="1">
        <v>1576</v>
      </c>
      <c r="BK275" s="1">
        <v>1591</v>
      </c>
      <c r="BL275" s="1">
        <v>1547</v>
      </c>
      <c r="BM275" s="1">
        <v>1515</v>
      </c>
      <c r="BN275" s="1">
        <v>1463</v>
      </c>
      <c r="BO275" s="1">
        <v>1444</v>
      </c>
      <c r="BP275" s="1">
        <v>1459</v>
      </c>
      <c r="BQ275" s="1">
        <v>1425</v>
      </c>
      <c r="BR275" s="1">
        <v>1431</v>
      </c>
      <c r="BS275" s="1">
        <v>1435</v>
      </c>
      <c r="BT275" s="1">
        <v>1464</v>
      </c>
      <c r="BU275" s="1">
        <v>1493</v>
      </c>
      <c r="BV275" s="1">
        <v>1473</v>
      </c>
      <c r="BW275" s="1">
        <v>1515</v>
      </c>
      <c r="BX275" s="1">
        <v>1551</v>
      </c>
      <c r="BY275" s="1">
        <v>1551</v>
      </c>
      <c r="BZ275" s="1">
        <v>1584</v>
      </c>
    </row>
    <row r="276" spans="1:254">
      <c r="A276" s="62" t="s">
        <v>489</v>
      </c>
      <c r="B276" s="1" t="str">
        <f>銘柄管理!C276</f>
        <v>河合楽器</v>
      </c>
      <c r="C276" s="1">
        <f>_xll.RssMarket("7952","安値")</f>
        <v>3500</v>
      </c>
      <c r="E276" s="1">
        <v>3500</v>
      </c>
      <c r="F276" s="1">
        <v>3500</v>
      </c>
      <c r="G276" s="1">
        <v>3540</v>
      </c>
      <c r="H276" s="1">
        <v>3345</v>
      </c>
      <c r="I276" s="1">
        <v>3365</v>
      </c>
      <c r="J276" s="1">
        <v>3340</v>
      </c>
      <c r="K276" s="1">
        <v>3235</v>
      </c>
      <c r="L276" s="1">
        <v>3200</v>
      </c>
      <c r="M276" s="1">
        <v>3275</v>
      </c>
      <c r="N276" s="1">
        <v>3260</v>
      </c>
      <c r="O276" s="1">
        <v>3265</v>
      </c>
      <c r="P276" s="1">
        <v>3250</v>
      </c>
      <c r="Q276" s="1">
        <v>3250</v>
      </c>
      <c r="R276" s="1">
        <v>3150</v>
      </c>
      <c r="S276" s="1">
        <v>3145</v>
      </c>
      <c r="T276" s="1">
        <v>3195</v>
      </c>
      <c r="U276" s="1">
        <v>3110</v>
      </c>
      <c r="V276" s="1">
        <v>3205</v>
      </c>
      <c r="W276" s="1">
        <v>3180</v>
      </c>
      <c r="X276" s="1">
        <v>3215</v>
      </c>
      <c r="Y276" s="1">
        <v>3255</v>
      </c>
      <c r="Z276" s="1">
        <v>3245</v>
      </c>
      <c r="AA276" s="1">
        <v>3190</v>
      </c>
      <c r="AB276" s="1">
        <v>3195</v>
      </c>
      <c r="AC276" s="1">
        <v>3140</v>
      </c>
      <c r="AD276" s="1">
        <v>3050</v>
      </c>
      <c r="AE276" s="1">
        <v>3135</v>
      </c>
      <c r="AF276" s="1">
        <v>3305</v>
      </c>
      <c r="AG276" s="1">
        <v>3290</v>
      </c>
      <c r="AH276" s="1">
        <v>3250</v>
      </c>
      <c r="AI276" s="1">
        <v>3275</v>
      </c>
      <c r="AJ276" s="1">
        <v>3310</v>
      </c>
      <c r="AK276" s="1">
        <v>3195</v>
      </c>
      <c r="AL276" s="1">
        <v>3225</v>
      </c>
      <c r="AM276" s="1">
        <v>3175</v>
      </c>
      <c r="AN276" s="1">
        <v>3150</v>
      </c>
      <c r="AO276" s="1">
        <v>3070</v>
      </c>
      <c r="AP276" s="1">
        <v>2989</v>
      </c>
      <c r="AQ276" s="1">
        <v>2958</v>
      </c>
      <c r="AR276" s="1">
        <v>3095</v>
      </c>
      <c r="AS276" s="1">
        <v>3075</v>
      </c>
      <c r="AT276" s="1">
        <v>3140</v>
      </c>
      <c r="AU276" s="1">
        <v>3145</v>
      </c>
      <c r="AV276" s="1">
        <v>3145</v>
      </c>
      <c r="AW276" s="1">
        <v>3135</v>
      </c>
      <c r="AX276" s="1">
        <v>3240</v>
      </c>
      <c r="AY276" s="1">
        <v>3030</v>
      </c>
      <c r="AZ276" s="1">
        <v>3000</v>
      </c>
      <c r="BA276" s="1">
        <v>2950</v>
      </c>
      <c r="BB276" s="1">
        <v>2942</v>
      </c>
      <c r="BC276" s="1">
        <v>2937</v>
      </c>
      <c r="BD276" s="1">
        <v>2910</v>
      </c>
      <c r="BE276" s="1">
        <v>3095</v>
      </c>
      <c r="BF276" s="1">
        <v>3070</v>
      </c>
      <c r="BG276" s="1">
        <v>3025</v>
      </c>
      <c r="BH276" s="1">
        <v>2981</v>
      </c>
      <c r="BI276" s="1">
        <v>2924</v>
      </c>
      <c r="BJ276" s="1">
        <v>2797</v>
      </c>
      <c r="BK276" s="1">
        <v>2719</v>
      </c>
      <c r="BL276" s="1">
        <v>2707</v>
      </c>
      <c r="BM276" s="1">
        <v>2774</v>
      </c>
      <c r="BN276" s="1">
        <v>2733</v>
      </c>
      <c r="BO276" s="1">
        <v>2737</v>
      </c>
      <c r="BP276" s="1">
        <v>2817</v>
      </c>
      <c r="BQ276" s="1">
        <v>2800</v>
      </c>
      <c r="BR276" s="1">
        <v>2786</v>
      </c>
      <c r="BS276" s="1">
        <v>2868</v>
      </c>
      <c r="BT276" s="1">
        <v>3010</v>
      </c>
      <c r="BU276" s="1">
        <v>3055</v>
      </c>
      <c r="BV276" s="1">
        <v>3045</v>
      </c>
      <c r="BW276" s="1">
        <v>3045</v>
      </c>
      <c r="BX276" s="1">
        <v>3040</v>
      </c>
      <c r="BY276" s="1">
        <v>3020</v>
      </c>
      <c r="BZ276" s="1">
        <v>3000</v>
      </c>
    </row>
    <row r="277" spans="1:254">
      <c r="A277" s="62" t="s">
        <v>490</v>
      </c>
      <c r="B277" s="1" t="str">
        <f>銘柄管理!C277</f>
        <v>グンゼ</v>
      </c>
      <c r="C277" s="1">
        <f>_xll.RssMarket("3002","安値")</f>
        <v>4110</v>
      </c>
      <c r="E277" s="1">
        <v>4110</v>
      </c>
      <c r="F277" s="1">
        <v>4010</v>
      </c>
      <c r="G277" s="1">
        <v>3970</v>
      </c>
      <c r="H277" s="1">
        <v>3960</v>
      </c>
      <c r="I277" s="1">
        <v>4020</v>
      </c>
      <c r="J277" s="1">
        <v>4025</v>
      </c>
      <c r="K277" s="1">
        <v>4015</v>
      </c>
      <c r="L277" s="1">
        <v>4005</v>
      </c>
      <c r="M277" s="1">
        <v>3990</v>
      </c>
      <c r="O277" s="1">
        <v>3955</v>
      </c>
      <c r="P277" s="1">
        <v>3960</v>
      </c>
      <c r="Q277" s="1">
        <v>3970</v>
      </c>
      <c r="R277" s="1">
        <v>3900</v>
      </c>
      <c r="S277" s="1">
        <v>3970</v>
      </c>
      <c r="T277" s="1">
        <v>3955</v>
      </c>
      <c r="U277" s="1">
        <v>3945</v>
      </c>
      <c r="V277" s="1">
        <v>3960</v>
      </c>
      <c r="W277" s="1">
        <v>4015</v>
      </c>
      <c r="X277" s="1">
        <v>4020</v>
      </c>
      <c r="Y277" s="1">
        <v>4020</v>
      </c>
      <c r="Z277" s="1">
        <v>4000</v>
      </c>
      <c r="AA277" s="1">
        <v>3945</v>
      </c>
      <c r="AB277" s="1">
        <v>3860</v>
      </c>
      <c r="AC277" s="1">
        <v>3845</v>
      </c>
      <c r="AD277" s="1">
        <v>3835</v>
      </c>
      <c r="AE277" s="1">
        <v>3835</v>
      </c>
      <c r="AF277" s="1">
        <v>3815</v>
      </c>
      <c r="AG277" s="1">
        <v>3840</v>
      </c>
      <c r="AH277" s="1">
        <v>3800</v>
      </c>
      <c r="AI277" s="1">
        <v>3820</v>
      </c>
      <c r="AJ277" s="1">
        <v>3815</v>
      </c>
      <c r="AK277" s="1">
        <v>3810</v>
      </c>
      <c r="AL277" s="1">
        <v>3810</v>
      </c>
      <c r="AM277" s="1">
        <v>3795</v>
      </c>
      <c r="AN277" s="1">
        <v>3790</v>
      </c>
      <c r="AO277" s="1">
        <v>3815</v>
      </c>
      <c r="AP277" s="1">
        <v>3790</v>
      </c>
      <c r="AQ277" s="1">
        <v>3695</v>
      </c>
      <c r="AR277" s="1">
        <v>3725</v>
      </c>
      <c r="AS277" s="1">
        <v>3635</v>
      </c>
      <c r="AT277" s="1">
        <v>3695</v>
      </c>
      <c r="AU277" s="1">
        <v>3665</v>
      </c>
      <c r="AV277" s="1">
        <v>3655</v>
      </c>
      <c r="AW277" s="1">
        <v>3630</v>
      </c>
      <c r="AX277" s="1">
        <v>3700</v>
      </c>
      <c r="AY277" s="1">
        <v>3670</v>
      </c>
      <c r="AZ277" s="1">
        <v>3665</v>
      </c>
      <c r="BA277" s="1">
        <v>3625</v>
      </c>
      <c r="BB277" s="1">
        <v>3650</v>
      </c>
      <c r="BC277" s="1">
        <v>3670</v>
      </c>
      <c r="BD277" s="1">
        <v>3605</v>
      </c>
      <c r="BE277" s="1">
        <v>3695</v>
      </c>
      <c r="BF277" s="1">
        <v>3660</v>
      </c>
      <c r="BG277" s="1">
        <v>3655</v>
      </c>
      <c r="BH277" s="1">
        <v>3545</v>
      </c>
      <c r="BI277" s="1">
        <v>3570</v>
      </c>
      <c r="BJ277" s="1">
        <v>3575</v>
      </c>
      <c r="BK277" s="1">
        <v>3615</v>
      </c>
      <c r="BL277" s="1">
        <v>3555</v>
      </c>
      <c r="BM277" s="1">
        <v>3620</v>
      </c>
      <c r="BN277" s="1">
        <v>3590</v>
      </c>
      <c r="BO277" s="1">
        <v>3600</v>
      </c>
      <c r="BP277" s="1">
        <v>3665</v>
      </c>
      <c r="BQ277" s="1">
        <v>3625</v>
      </c>
      <c r="BR277" s="1">
        <v>3665</v>
      </c>
      <c r="BS277" s="1">
        <v>3670</v>
      </c>
      <c r="BT277" s="1">
        <v>3740</v>
      </c>
      <c r="BU277" s="1">
        <v>3835</v>
      </c>
      <c r="BV277" s="1">
        <v>3915</v>
      </c>
      <c r="BW277" s="1">
        <v>3890</v>
      </c>
      <c r="BX277" s="1">
        <v>3880</v>
      </c>
      <c r="BY277" s="1">
        <v>3845</v>
      </c>
      <c r="BZ277" s="1">
        <v>3875</v>
      </c>
    </row>
    <row r="278" spans="1:254">
      <c r="A278" s="62" t="s">
        <v>491</v>
      </c>
      <c r="B278" s="1" t="str">
        <f>銘柄管理!C278</f>
        <v>ゴールドクレスト</v>
      </c>
      <c r="C278" s="1">
        <f>_xll.RssMarket("8871","安値")</f>
        <v>3220</v>
      </c>
      <c r="E278" s="1">
        <v>3220</v>
      </c>
      <c r="F278" s="1">
        <v>3210</v>
      </c>
      <c r="G278" s="1">
        <v>3200</v>
      </c>
      <c r="H278" s="1">
        <v>3230</v>
      </c>
      <c r="I278" s="1">
        <v>3245</v>
      </c>
      <c r="J278" s="1">
        <v>3295</v>
      </c>
      <c r="K278" s="1">
        <v>3350</v>
      </c>
      <c r="L278" s="1">
        <v>3340</v>
      </c>
      <c r="M278" s="1">
        <v>3330</v>
      </c>
      <c r="O278" s="1">
        <v>3335</v>
      </c>
      <c r="P278" s="1">
        <v>3325</v>
      </c>
      <c r="Q278" s="1">
        <v>3350</v>
      </c>
      <c r="R278" s="1">
        <v>3300</v>
      </c>
      <c r="S278" s="1">
        <v>3360</v>
      </c>
      <c r="T278" s="1">
        <v>3345</v>
      </c>
      <c r="U278" s="1">
        <v>3325</v>
      </c>
      <c r="V278" s="1">
        <v>3335</v>
      </c>
      <c r="W278" s="1">
        <v>3355</v>
      </c>
      <c r="X278" s="1">
        <v>3385</v>
      </c>
      <c r="Y278" s="1">
        <v>3330</v>
      </c>
      <c r="Z278" s="1">
        <v>3295</v>
      </c>
      <c r="AA278" s="1">
        <v>3280</v>
      </c>
      <c r="AB278" s="1">
        <v>3250</v>
      </c>
      <c r="AC278" s="1">
        <v>3210</v>
      </c>
      <c r="AD278" s="1">
        <v>3230</v>
      </c>
      <c r="AE278" s="1">
        <v>3290</v>
      </c>
      <c r="AF278" s="1">
        <v>3215</v>
      </c>
      <c r="AG278" s="1">
        <v>3215</v>
      </c>
      <c r="AH278" s="1">
        <v>3215</v>
      </c>
      <c r="AI278" s="1">
        <v>3210</v>
      </c>
      <c r="AJ278" s="1">
        <v>3230</v>
      </c>
      <c r="AK278" s="1">
        <v>3210</v>
      </c>
      <c r="AL278" s="1">
        <v>3220</v>
      </c>
      <c r="AM278" s="1">
        <v>3245</v>
      </c>
      <c r="AN278" s="1">
        <v>3280</v>
      </c>
      <c r="AO278" s="1">
        <v>3335</v>
      </c>
      <c r="AP278" s="1">
        <v>3280</v>
      </c>
      <c r="AQ278" s="1">
        <v>3310</v>
      </c>
      <c r="AR278" s="1">
        <v>3275</v>
      </c>
      <c r="AS278" s="1">
        <v>3220</v>
      </c>
      <c r="AT278" s="1">
        <v>3220</v>
      </c>
      <c r="AU278" s="1">
        <v>3220</v>
      </c>
      <c r="AV278" s="1">
        <v>3305</v>
      </c>
      <c r="AW278" s="1">
        <v>3400</v>
      </c>
      <c r="AX278" s="1">
        <v>3535</v>
      </c>
      <c r="AY278" s="1">
        <v>3475</v>
      </c>
      <c r="AZ278" s="1">
        <v>3500</v>
      </c>
      <c r="BA278" s="1">
        <v>3455</v>
      </c>
      <c r="BB278" s="1">
        <v>3485</v>
      </c>
      <c r="BC278" s="1">
        <v>3525</v>
      </c>
      <c r="BD278" s="1">
        <v>3530</v>
      </c>
      <c r="BE278" s="1">
        <v>3660</v>
      </c>
      <c r="BF278" s="1">
        <v>3615</v>
      </c>
      <c r="BG278" s="1">
        <v>3525</v>
      </c>
      <c r="BH278" s="1">
        <v>3225</v>
      </c>
      <c r="BI278" s="1">
        <v>3275</v>
      </c>
      <c r="BJ278" s="1">
        <v>3320</v>
      </c>
      <c r="BK278" s="1">
        <v>3305</v>
      </c>
      <c r="BL278" s="1">
        <v>3295</v>
      </c>
      <c r="BM278" s="1">
        <v>3320</v>
      </c>
      <c r="BN278" s="1">
        <v>3310</v>
      </c>
      <c r="BO278" s="1">
        <v>3310</v>
      </c>
      <c r="BP278" s="1">
        <v>3320</v>
      </c>
      <c r="BQ278" s="1">
        <v>3285</v>
      </c>
      <c r="BR278" s="1">
        <v>3285</v>
      </c>
      <c r="BS278" s="1">
        <v>3290</v>
      </c>
      <c r="BT278" s="1">
        <v>3295</v>
      </c>
      <c r="BU278" s="1">
        <v>3380</v>
      </c>
      <c r="BV278" s="1">
        <v>3405</v>
      </c>
      <c r="BW278" s="1">
        <v>3410</v>
      </c>
      <c r="BX278" s="1">
        <v>3460</v>
      </c>
      <c r="BY278" s="1">
        <v>3440</v>
      </c>
      <c r="BZ278" s="1">
        <v>3435</v>
      </c>
    </row>
    <row r="279" spans="1:254">
      <c r="A279" s="62" t="s">
        <v>492</v>
      </c>
      <c r="B279" s="1" t="str">
        <f>銘柄管理!C279</f>
        <v>アバールデータ</v>
      </c>
      <c r="C279" s="1">
        <f>_xll.RssMarket("6918","安値")</f>
        <v>3235</v>
      </c>
      <c r="E279" s="1">
        <v>3235</v>
      </c>
      <c r="F279" s="1">
        <v>3230</v>
      </c>
      <c r="G279" s="1">
        <v>3115</v>
      </c>
      <c r="H279" s="1">
        <v>3000</v>
      </c>
      <c r="I279" s="1">
        <v>3000</v>
      </c>
      <c r="J279" s="1">
        <v>2880</v>
      </c>
      <c r="K279" s="1">
        <v>2815</v>
      </c>
      <c r="L279" s="1">
        <v>3060</v>
      </c>
      <c r="M279" s="1">
        <v>3120</v>
      </c>
      <c r="O279" s="1">
        <v>3270</v>
      </c>
      <c r="P279" s="1">
        <v>3220</v>
      </c>
      <c r="Q279" s="1">
        <v>2999</v>
      </c>
      <c r="R279" s="1">
        <v>2916</v>
      </c>
      <c r="S279" s="1">
        <v>3235</v>
      </c>
      <c r="T279" s="1">
        <v>3165</v>
      </c>
      <c r="U279" s="1">
        <v>3165</v>
      </c>
      <c r="V279" s="1">
        <v>3200</v>
      </c>
      <c r="W279" s="1">
        <v>3130</v>
      </c>
      <c r="X279" s="1">
        <v>3115</v>
      </c>
      <c r="Y279" s="1">
        <v>3210</v>
      </c>
      <c r="Z279" s="1">
        <v>3325</v>
      </c>
      <c r="AA279" s="1">
        <v>3215</v>
      </c>
      <c r="AB279" s="1">
        <v>3215</v>
      </c>
      <c r="AC279" s="1">
        <v>3290</v>
      </c>
      <c r="AD279" s="1">
        <v>3220</v>
      </c>
      <c r="AE279" s="1">
        <v>3150</v>
      </c>
      <c r="AF279" s="1">
        <v>3220</v>
      </c>
      <c r="AG279" s="1">
        <v>3395</v>
      </c>
      <c r="AH279" s="1">
        <v>3275</v>
      </c>
      <c r="AI279" s="1">
        <v>3375</v>
      </c>
      <c r="AJ279" s="1">
        <v>3345</v>
      </c>
      <c r="AK279" s="1">
        <v>3290</v>
      </c>
      <c r="AL279" s="1">
        <v>3370</v>
      </c>
      <c r="AM279" s="1">
        <v>3190</v>
      </c>
      <c r="AN279" s="1">
        <v>3200</v>
      </c>
      <c r="AO279" s="1">
        <v>3135</v>
      </c>
      <c r="AP279" s="1">
        <v>3030</v>
      </c>
      <c r="AQ279" s="1">
        <v>2824</v>
      </c>
      <c r="AR279" s="1">
        <v>2866</v>
      </c>
      <c r="AS279" s="1">
        <v>3005</v>
      </c>
      <c r="AT279" s="1">
        <v>3145</v>
      </c>
      <c r="AU279" s="1">
        <v>3160</v>
      </c>
      <c r="AV279" s="1">
        <v>3260</v>
      </c>
      <c r="AW279" s="1">
        <v>3285</v>
      </c>
      <c r="AX279" s="1">
        <v>3430</v>
      </c>
      <c r="AY279" s="1">
        <v>3290</v>
      </c>
      <c r="AZ279" s="1">
        <v>3265</v>
      </c>
      <c r="BA279" s="1">
        <v>3405</v>
      </c>
      <c r="BB279" s="1">
        <v>3345</v>
      </c>
      <c r="BC279" s="1">
        <v>3360</v>
      </c>
      <c r="BD279" s="1">
        <v>3285</v>
      </c>
      <c r="BE279" s="1">
        <v>3485</v>
      </c>
      <c r="BF279" s="1">
        <v>3560</v>
      </c>
      <c r="BG279" s="1">
        <v>3320</v>
      </c>
      <c r="BH279" s="1">
        <v>3435</v>
      </c>
      <c r="BI279" s="1">
        <v>3510</v>
      </c>
      <c r="BJ279" s="1">
        <v>3605</v>
      </c>
      <c r="BK279" s="1">
        <v>3375</v>
      </c>
      <c r="BL279" s="1">
        <v>3230</v>
      </c>
      <c r="BM279" s="1">
        <v>3135</v>
      </c>
      <c r="BN279" s="1">
        <v>2908</v>
      </c>
      <c r="BO279" s="1">
        <v>2883</v>
      </c>
      <c r="BP279" s="1">
        <v>2886</v>
      </c>
      <c r="BQ279" s="1">
        <v>2952</v>
      </c>
      <c r="BR279" s="1">
        <v>2986</v>
      </c>
      <c r="BS279" s="1">
        <v>2966</v>
      </c>
      <c r="BT279" s="1">
        <v>2992</v>
      </c>
      <c r="BU279" s="1">
        <v>2907</v>
      </c>
      <c r="BV279" s="1">
        <v>2813</v>
      </c>
      <c r="BW279" s="1">
        <v>2800</v>
      </c>
      <c r="BX279" s="1">
        <v>2816</v>
      </c>
      <c r="BY279" s="1">
        <v>2800</v>
      </c>
      <c r="BZ279" s="1">
        <v>2820</v>
      </c>
    </row>
    <row r="280" spans="1:254">
      <c r="A280" s="62" t="s">
        <v>493</v>
      </c>
      <c r="B280" s="1" t="str">
        <f>銘柄管理!C280</f>
        <v>ヨシタケ</v>
      </c>
      <c r="C280" s="1">
        <f>_xll.RssMarket("6488","安値")</f>
        <v>985</v>
      </c>
      <c r="E280" s="1">
        <v>985</v>
      </c>
      <c r="F280" s="1">
        <v>984</v>
      </c>
      <c r="G280" s="1">
        <v>981</v>
      </c>
      <c r="H280" s="1">
        <v>980</v>
      </c>
      <c r="I280" s="1">
        <v>974</v>
      </c>
      <c r="J280" s="1">
        <v>978</v>
      </c>
      <c r="K280" s="1">
        <v>977</v>
      </c>
      <c r="L280" s="1">
        <v>980</v>
      </c>
      <c r="M280" s="1">
        <v>977</v>
      </c>
      <c r="N280" s="1">
        <v>980</v>
      </c>
      <c r="O280" s="1">
        <v>976</v>
      </c>
      <c r="P280" s="1">
        <v>980</v>
      </c>
      <c r="Q280" s="1">
        <v>970</v>
      </c>
      <c r="R280" s="1">
        <v>960</v>
      </c>
      <c r="S280" s="1">
        <v>970</v>
      </c>
      <c r="T280" s="1">
        <v>975</v>
      </c>
      <c r="U280" s="1">
        <v>968</v>
      </c>
      <c r="V280" s="1">
        <v>956</v>
      </c>
      <c r="W280" s="1">
        <v>953</v>
      </c>
      <c r="X280" s="1">
        <v>957</v>
      </c>
      <c r="Y280" s="1">
        <v>961</v>
      </c>
      <c r="Z280" s="1">
        <v>961</v>
      </c>
      <c r="AA280" s="1">
        <v>954</v>
      </c>
      <c r="AB280" s="1">
        <v>943</v>
      </c>
      <c r="AC280" s="1">
        <v>936</v>
      </c>
      <c r="AD280" s="1">
        <v>933</v>
      </c>
      <c r="AE280" s="1">
        <v>931</v>
      </c>
      <c r="AF280" s="1">
        <v>925</v>
      </c>
      <c r="AG280" s="1">
        <v>932</v>
      </c>
      <c r="AH280" s="1">
        <v>921</v>
      </c>
      <c r="AI280" s="1">
        <v>930</v>
      </c>
      <c r="AJ280" s="1">
        <v>939</v>
      </c>
      <c r="AK280" s="1">
        <v>930</v>
      </c>
      <c r="AL280" s="1">
        <v>923</v>
      </c>
      <c r="AM280" s="1">
        <v>920</v>
      </c>
      <c r="AN280" s="1">
        <v>917</v>
      </c>
      <c r="AO280" s="1">
        <v>915</v>
      </c>
      <c r="AP280" s="1">
        <v>913</v>
      </c>
      <c r="AQ280" s="1">
        <v>910</v>
      </c>
      <c r="AR280" s="1">
        <v>921</v>
      </c>
      <c r="AS280" s="1">
        <v>928</v>
      </c>
      <c r="AT280" s="1">
        <v>933</v>
      </c>
      <c r="AU280" s="1">
        <v>928</v>
      </c>
      <c r="AV280" s="1">
        <v>923</v>
      </c>
      <c r="AW280" s="1">
        <v>920</v>
      </c>
      <c r="AX280" s="1">
        <v>925</v>
      </c>
      <c r="AY280" s="1">
        <v>920</v>
      </c>
      <c r="AZ280" s="1">
        <v>930</v>
      </c>
      <c r="BA280" s="1">
        <v>950</v>
      </c>
      <c r="BB280" s="1">
        <v>950</v>
      </c>
      <c r="BC280" s="1">
        <v>960</v>
      </c>
      <c r="BD280" s="1">
        <v>953</v>
      </c>
      <c r="BE280" s="1">
        <v>961</v>
      </c>
      <c r="BF280" s="1">
        <v>951</v>
      </c>
      <c r="BG280" s="1">
        <v>958</v>
      </c>
      <c r="BH280" s="1">
        <v>938</v>
      </c>
      <c r="BI280" s="1">
        <v>931</v>
      </c>
      <c r="BJ280" s="1">
        <v>932</v>
      </c>
      <c r="BK280" s="1">
        <v>935</v>
      </c>
      <c r="BL280" s="1">
        <v>934</v>
      </c>
      <c r="BM280" s="1">
        <v>930</v>
      </c>
      <c r="BN280" s="1">
        <v>934</v>
      </c>
      <c r="BO280" s="1">
        <v>940</v>
      </c>
      <c r="BP280" s="1">
        <v>935</v>
      </c>
      <c r="BQ280" s="1">
        <v>933</v>
      </c>
      <c r="BR280" s="1">
        <v>934</v>
      </c>
      <c r="BS280" s="1">
        <v>931</v>
      </c>
      <c r="BT280" s="1">
        <v>925</v>
      </c>
      <c r="BU280" s="1">
        <v>940</v>
      </c>
      <c r="BV280" s="1">
        <v>942</v>
      </c>
      <c r="BW280" s="1">
        <v>952</v>
      </c>
      <c r="BX280" s="1">
        <v>930</v>
      </c>
      <c r="BY280" s="1">
        <v>937</v>
      </c>
      <c r="BZ280" s="1">
        <v>940</v>
      </c>
    </row>
    <row r="281" spans="1:254">
      <c r="A281" s="62" t="s">
        <v>494</v>
      </c>
      <c r="B281" s="1" t="str">
        <f>銘柄管理!C281</f>
        <v>高島</v>
      </c>
      <c r="C281" s="1">
        <f>_xll.RssMarket("8007","安値")</f>
        <v>761</v>
      </c>
      <c r="E281" s="1">
        <v>761</v>
      </c>
      <c r="F281" s="1">
        <v>791</v>
      </c>
      <c r="G281" s="1">
        <v>790</v>
      </c>
      <c r="H281" s="1">
        <v>793</v>
      </c>
      <c r="I281" s="1">
        <v>809</v>
      </c>
      <c r="J281" s="1">
        <v>805</v>
      </c>
      <c r="K281" s="1">
        <v>801</v>
      </c>
      <c r="L281" s="1">
        <v>800</v>
      </c>
      <c r="M281" s="1">
        <v>797</v>
      </c>
      <c r="N281" s="1">
        <v>790</v>
      </c>
      <c r="O281" s="1">
        <v>792</v>
      </c>
      <c r="P281" s="1">
        <v>785</v>
      </c>
      <c r="Q281" s="1">
        <v>780</v>
      </c>
      <c r="R281" s="1">
        <v>770</v>
      </c>
      <c r="S281" s="1">
        <v>780</v>
      </c>
      <c r="T281" s="1">
        <v>773</v>
      </c>
      <c r="U281" s="1">
        <v>772</v>
      </c>
      <c r="V281" s="1">
        <v>774</v>
      </c>
      <c r="W281" s="1">
        <v>769</v>
      </c>
      <c r="X281" s="1">
        <v>770</v>
      </c>
      <c r="Y281" s="1">
        <v>769</v>
      </c>
      <c r="Z281" s="1">
        <v>764</v>
      </c>
      <c r="AA281" s="1">
        <v>756</v>
      </c>
      <c r="AB281" s="1">
        <v>753</v>
      </c>
      <c r="AC281" s="1">
        <v>751</v>
      </c>
      <c r="AD281" s="1">
        <v>757</v>
      </c>
      <c r="AE281" s="1">
        <v>753</v>
      </c>
      <c r="AF281" s="1">
        <v>742</v>
      </c>
      <c r="AG281" s="1">
        <v>738</v>
      </c>
      <c r="AH281" s="1">
        <v>739</v>
      </c>
      <c r="AI281" s="1">
        <v>738</v>
      </c>
      <c r="AJ281" s="1">
        <v>743</v>
      </c>
      <c r="AK281" s="1">
        <v>741</v>
      </c>
      <c r="AL281" s="1">
        <v>741</v>
      </c>
      <c r="AM281" s="1">
        <v>746</v>
      </c>
      <c r="AN281" s="1">
        <v>741</v>
      </c>
      <c r="AO281" s="1">
        <v>746</v>
      </c>
      <c r="AP281" s="1">
        <v>735</v>
      </c>
      <c r="AQ281" s="1">
        <v>729</v>
      </c>
      <c r="AR281" s="1">
        <v>737</v>
      </c>
      <c r="AS281" s="1">
        <v>725</v>
      </c>
      <c r="AT281" s="1">
        <v>732</v>
      </c>
      <c r="AU281" s="1">
        <v>724</v>
      </c>
      <c r="AV281" s="1">
        <v>720</v>
      </c>
      <c r="AW281" s="1">
        <v>715</v>
      </c>
      <c r="AX281" s="1">
        <v>753</v>
      </c>
      <c r="AY281" s="1">
        <v>747</v>
      </c>
      <c r="AZ281" s="1">
        <v>747</v>
      </c>
      <c r="BA281" s="1">
        <v>737</v>
      </c>
      <c r="BB281" s="1">
        <v>736</v>
      </c>
      <c r="BC281" s="1">
        <v>733</v>
      </c>
      <c r="BD281" s="1">
        <v>723</v>
      </c>
      <c r="BE281" s="1">
        <v>741</v>
      </c>
      <c r="BF281" s="1">
        <v>746</v>
      </c>
      <c r="BG281" s="1">
        <v>755</v>
      </c>
      <c r="BH281" s="1">
        <v>696</v>
      </c>
      <c r="BI281" s="1">
        <v>680</v>
      </c>
      <c r="BJ281" s="1">
        <v>764</v>
      </c>
      <c r="BK281" s="1">
        <v>768</v>
      </c>
      <c r="BL281" s="1">
        <v>776</v>
      </c>
      <c r="BM281" s="1">
        <v>786</v>
      </c>
      <c r="BN281" s="1">
        <v>782</v>
      </c>
      <c r="BO281" s="1">
        <v>781</v>
      </c>
      <c r="BP281" s="1">
        <v>775</v>
      </c>
      <c r="BQ281" s="1">
        <v>766</v>
      </c>
      <c r="BR281" s="1">
        <v>768</v>
      </c>
      <c r="BS281" s="1">
        <v>770</v>
      </c>
      <c r="BT281" s="1">
        <v>776</v>
      </c>
      <c r="BU281" s="1">
        <v>786</v>
      </c>
      <c r="BV281" s="1">
        <v>793</v>
      </c>
      <c r="BW281" s="1">
        <v>804</v>
      </c>
      <c r="BX281" s="1">
        <v>809</v>
      </c>
      <c r="BY281" s="1">
        <v>808</v>
      </c>
      <c r="BZ281" s="1">
        <v>809</v>
      </c>
    </row>
    <row r="282" spans="1:254">
      <c r="A282" s="62" t="s">
        <v>495</v>
      </c>
      <c r="B282" s="1" t="str">
        <f>銘柄管理!C282</f>
        <v>ニチバン</v>
      </c>
      <c r="C282" s="1">
        <f>_xll.RssMarket("4218","安値")</f>
        <v>1942</v>
      </c>
      <c r="E282" s="1">
        <v>1942</v>
      </c>
      <c r="F282" s="1">
        <v>1937</v>
      </c>
      <c r="G282" s="1">
        <v>1918</v>
      </c>
      <c r="H282" s="1">
        <v>1911</v>
      </c>
      <c r="I282" s="1">
        <v>1942</v>
      </c>
      <c r="J282" s="1">
        <v>1946</v>
      </c>
      <c r="K282" s="1">
        <v>1935</v>
      </c>
      <c r="L282" s="1">
        <v>1931</v>
      </c>
      <c r="M282" s="1">
        <v>1919</v>
      </c>
      <c r="N282" s="1">
        <v>1897</v>
      </c>
      <c r="O282" s="1">
        <v>1899</v>
      </c>
      <c r="P282" s="1">
        <v>1897</v>
      </c>
      <c r="Q282" s="1">
        <v>1910</v>
      </c>
      <c r="R282" s="1">
        <v>1924</v>
      </c>
      <c r="S282" s="1">
        <v>1905</v>
      </c>
      <c r="T282" s="1">
        <v>1905</v>
      </c>
      <c r="U282" s="1">
        <v>1894</v>
      </c>
      <c r="V282" s="1">
        <v>1897</v>
      </c>
      <c r="W282" s="1">
        <v>1906</v>
      </c>
      <c r="X282" s="1">
        <v>1900</v>
      </c>
      <c r="Y282" s="1">
        <v>1886</v>
      </c>
      <c r="Z282" s="1">
        <v>1885</v>
      </c>
      <c r="AA282" s="1">
        <v>1881</v>
      </c>
      <c r="AB282" s="1">
        <v>1875</v>
      </c>
      <c r="AC282" s="1">
        <v>1870</v>
      </c>
      <c r="AD282" s="1">
        <v>1873</v>
      </c>
      <c r="AE282" s="1">
        <v>1860</v>
      </c>
      <c r="AF282" s="1">
        <v>1855</v>
      </c>
      <c r="AG282" s="1">
        <v>1845</v>
      </c>
      <c r="AH282" s="1">
        <v>1830</v>
      </c>
      <c r="AI282" s="1">
        <v>1817</v>
      </c>
      <c r="AJ282" s="1">
        <v>1816</v>
      </c>
      <c r="AK282" s="1">
        <v>1829</v>
      </c>
      <c r="AL282" s="1">
        <v>1833</v>
      </c>
      <c r="AM282" s="1">
        <v>1834</v>
      </c>
      <c r="AN282" s="1">
        <v>1829</v>
      </c>
      <c r="AO282" s="1">
        <v>1840</v>
      </c>
      <c r="AP282" s="1">
        <v>1829</v>
      </c>
      <c r="AQ282" s="1">
        <v>1816</v>
      </c>
      <c r="AR282" s="1">
        <v>1803</v>
      </c>
      <c r="AS282" s="1">
        <v>1790</v>
      </c>
      <c r="AT282" s="1">
        <v>1795</v>
      </c>
      <c r="AU282" s="1">
        <v>1790</v>
      </c>
      <c r="AV282" s="1">
        <v>1781</v>
      </c>
      <c r="AW282" s="1">
        <v>1790</v>
      </c>
      <c r="AX282" s="1">
        <v>1825</v>
      </c>
      <c r="AY282" s="1">
        <v>1844</v>
      </c>
      <c r="AZ282" s="1">
        <v>1856</v>
      </c>
      <c r="BA282" s="1">
        <v>1857</v>
      </c>
      <c r="BB282" s="1">
        <v>1854</v>
      </c>
      <c r="BC282" s="1">
        <v>1859</v>
      </c>
      <c r="BD282" s="1">
        <v>1851</v>
      </c>
      <c r="BE282" s="1">
        <v>1864</v>
      </c>
      <c r="BF282" s="1">
        <v>1857</v>
      </c>
      <c r="BG282" s="1">
        <v>1870</v>
      </c>
      <c r="BH282" s="1">
        <v>1822</v>
      </c>
      <c r="BI282" s="1">
        <v>1823</v>
      </c>
      <c r="BJ282" s="1">
        <v>1821</v>
      </c>
      <c r="BK282" s="1">
        <v>1817</v>
      </c>
      <c r="BL282" s="1">
        <v>1825</v>
      </c>
      <c r="BM282" s="1">
        <v>1833</v>
      </c>
      <c r="BN282" s="1">
        <v>1810</v>
      </c>
      <c r="BO282" s="1">
        <v>1809</v>
      </c>
      <c r="BP282" s="1">
        <v>1808</v>
      </c>
      <c r="BQ282" s="1">
        <v>1811</v>
      </c>
      <c r="BR282" s="1">
        <v>1823</v>
      </c>
      <c r="BS282" s="1">
        <v>1842</v>
      </c>
      <c r="BT282" s="1">
        <v>1856</v>
      </c>
      <c r="BU282" s="1">
        <v>1872</v>
      </c>
      <c r="BV282" s="1">
        <v>1884</v>
      </c>
      <c r="BW282" s="1">
        <v>1884</v>
      </c>
      <c r="BX282" s="1">
        <v>1881</v>
      </c>
      <c r="BY282" s="1">
        <v>1882</v>
      </c>
      <c r="BZ282" s="1">
        <v>1876</v>
      </c>
    </row>
    <row r="283" spans="1:254">
      <c r="A283" s="62" t="s">
        <v>496</v>
      </c>
      <c r="B283" s="1" t="str">
        <f>銘柄管理!C283</f>
        <v>ＳＣＲＥＥＮホールディングス</v>
      </c>
      <c r="C283" s="1">
        <f>_xll.RssMarket("7735","安値")</f>
        <v>13240</v>
      </c>
      <c r="E283" s="1">
        <v>13240</v>
      </c>
      <c r="F283" s="1">
        <v>13375</v>
      </c>
      <c r="G283" s="1">
        <v>12250</v>
      </c>
      <c r="H283" s="1">
        <v>12015</v>
      </c>
      <c r="I283" s="1">
        <v>12385</v>
      </c>
      <c r="J283" s="1">
        <v>11430</v>
      </c>
      <c r="K283" s="1">
        <v>11370</v>
      </c>
      <c r="L283" s="1">
        <v>14025</v>
      </c>
      <c r="M283" s="1">
        <v>15550</v>
      </c>
      <c r="N283" s="1">
        <v>15815</v>
      </c>
      <c r="O283" s="1">
        <v>16505</v>
      </c>
      <c r="P283" s="1">
        <v>16470</v>
      </c>
      <c r="Q283" s="1">
        <v>16375</v>
      </c>
      <c r="R283" s="1">
        <v>16030</v>
      </c>
      <c r="S283" s="1">
        <v>18100</v>
      </c>
      <c r="T283" s="1">
        <v>17270</v>
      </c>
      <c r="U283" s="1">
        <v>17645</v>
      </c>
      <c r="V283" s="1">
        <v>17805</v>
      </c>
      <c r="W283" s="1">
        <v>17315</v>
      </c>
      <c r="X283" s="1">
        <v>16265</v>
      </c>
      <c r="Y283" s="1">
        <v>16750</v>
      </c>
      <c r="Z283" s="1">
        <v>17295</v>
      </c>
      <c r="AA283" s="1">
        <v>16920</v>
      </c>
      <c r="AB283" s="1">
        <v>17840</v>
      </c>
      <c r="AC283" s="1">
        <v>18385</v>
      </c>
      <c r="AD283" s="1">
        <v>16960</v>
      </c>
      <c r="AE283" s="1">
        <v>15740</v>
      </c>
      <c r="AF283" s="1">
        <v>16350</v>
      </c>
      <c r="AG283" s="1">
        <v>16810</v>
      </c>
      <c r="AH283" s="1">
        <v>15900</v>
      </c>
      <c r="AI283" s="1">
        <v>16125</v>
      </c>
      <c r="AJ283" s="1">
        <v>16450</v>
      </c>
      <c r="AK283" s="1">
        <v>16435</v>
      </c>
      <c r="AL283" s="1">
        <v>15390</v>
      </c>
      <c r="AM283" s="1">
        <v>14550</v>
      </c>
      <c r="AN283" s="1">
        <v>14750</v>
      </c>
      <c r="AO283" s="1">
        <v>14410</v>
      </c>
      <c r="AP283" s="1">
        <v>13730</v>
      </c>
      <c r="AQ283" s="1">
        <v>12460</v>
      </c>
      <c r="AR283" s="1">
        <v>12560</v>
      </c>
      <c r="AS283" s="1">
        <v>11275</v>
      </c>
      <c r="AT283" s="1">
        <v>12395</v>
      </c>
      <c r="AU283" s="1">
        <v>12955</v>
      </c>
      <c r="AV283" s="1">
        <v>12305</v>
      </c>
      <c r="AW283" s="1">
        <v>10685</v>
      </c>
      <c r="AX283" s="1">
        <v>10850</v>
      </c>
      <c r="AY283" s="1">
        <v>10775</v>
      </c>
      <c r="AZ283" s="1">
        <v>10880</v>
      </c>
      <c r="BA283" s="1">
        <v>10860</v>
      </c>
      <c r="BB283" s="1">
        <v>10670</v>
      </c>
      <c r="BC283" s="1">
        <v>10650</v>
      </c>
      <c r="BD283" s="1">
        <v>10310</v>
      </c>
      <c r="BE283" s="1">
        <v>10290</v>
      </c>
      <c r="BF283" s="1">
        <v>10710</v>
      </c>
      <c r="BG283" s="1">
        <v>11155</v>
      </c>
      <c r="BH283" s="1">
        <v>11955</v>
      </c>
      <c r="BI283" s="1">
        <v>11050</v>
      </c>
      <c r="BJ283" s="1">
        <v>11250</v>
      </c>
      <c r="BK283" s="1">
        <v>11275</v>
      </c>
      <c r="BL283" s="1">
        <v>10910</v>
      </c>
      <c r="BM283" s="1">
        <v>10930</v>
      </c>
      <c r="BN283" s="1">
        <v>10390</v>
      </c>
      <c r="BO283" s="1">
        <v>10190</v>
      </c>
      <c r="BP283" s="1">
        <v>10380</v>
      </c>
      <c r="BQ283" s="1">
        <v>10630</v>
      </c>
      <c r="BR283" s="1">
        <v>10390</v>
      </c>
      <c r="BS283" s="1">
        <v>10130</v>
      </c>
      <c r="BT283" s="1">
        <v>10310</v>
      </c>
      <c r="BU283" s="1">
        <v>10650</v>
      </c>
      <c r="BV283" s="1">
        <v>10490</v>
      </c>
      <c r="BW283" s="1">
        <v>10510</v>
      </c>
      <c r="BX283" s="1">
        <v>10720</v>
      </c>
      <c r="BY283" s="1">
        <v>10820</v>
      </c>
      <c r="BZ283" s="1">
        <v>10970</v>
      </c>
    </row>
    <row r="284" spans="1:254">
      <c r="A284" s="62" t="s">
        <v>497</v>
      </c>
      <c r="B284" s="1" t="str">
        <f>銘柄管理!C284</f>
        <v>データセクション</v>
      </c>
      <c r="C284" s="1">
        <f>_xll.RssMarket("3905","安値")</f>
        <v>1906</v>
      </c>
      <c r="E284" s="1">
        <v>1906</v>
      </c>
      <c r="F284" s="1">
        <v>2163</v>
      </c>
      <c r="G284" s="1">
        <v>2145</v>
      </c>
      <c r="H284" s="1">
        <v>2040</v>
      </c>
      <c r="I284" s="1">
        <v>2037</v>
      </c>
      <c r="J284" s="1">
        <v>1860</v>
      </c>
      <c r="K284" s="1">
        <v>1877</v>
      </c>
      <c r="L284" s="1">
        <v>2070</v>
      </c>
      <c r="M284" s="1">
        <v>2224</v>
      </c>
      <c r="N284" s="1">
        <v>2250</v>
      </c>
      <c r="O284" s="1">
        <v>2362</v>
      </c>
      <c r="P284" s="1">
        <v>2407</v>
      </c>
      <c r="Q284" s="1">
        <v>2475</v>
      </c>
      <c r="R284" s="1">
        <v>2440</v>
      </c>
      <c r="S284" s="1">
        <v>2761</v>
      </c>
      <c r="T284" s="1">
        <v>2760</v>
      </c>
      <c r="U284" s="1">
        <v>2792</v>
      </c>
      <c r="V284" s="1">
        <v>2766</v>
      </c>
      <c r="W284" s="1">
        <v>2746</v>
      </c>
      <c r="X284" s="1">
        <v>2673</v>
      </c>
      <c r="Y284" s="1">
        <v>2755</v>
      </c>
      <c r="Z284" s="1">
        <v>2914</v>
      </c>
      <c r="AA284" s="1">
        <v>2941</v>
      </c>
      <c r="AB284" s="1">
        <v>3070</v>
      </c>
      <c r="AC284" s="1">
        <v>3310</v>
      </c>
      <c r="AD284" s="1">
        <v>3340</v>
      </c>
      <c r="AE284" s="1">
        <v>3510</v>
      </c>
      <c r="AF284" s="1">
        <v>4160</v>
      </c>
      <c r="AG284" s="1">
        <v>4565</v>
      </c>
      <c r="AH284" s="1">
        <v>4340</v>
      </c>
      <c r="AI284" s="1">
        <v>4510</v>
      </c>
      <c r="AJ284" s="1">
        <v>4835</v>
      </c>
      <c r="AK284" s="1">
        <v>5090</v>
      </c>
      <c r="AL284" s="1">
        <v>4700</v>
      </c>
      <c r="AM284" s="1">
        <v>4780</v>
      </c>
      <c r="AN284" s="1">
        <v>4585</v>
      </c>
      <c r="AO284" s="1">
        <v>4525</v>
      </c>
      <c r="AP284" s="1">
        <v>4225</v>
      </c>
      <c r="AQ284" s="1">
        <v>4260</v>
      </c>
      <c r="AR284" s="1">
        <v>4130</v>
      </c>
      <c r="AS284" s="1">
        <v>4480</v>
      </c>
      <c r="AT284" s="1">
        <v>4810</v>
      </c>
      <c r="AU284" s="1">
        <v>4715</v>
      </c>
      <c r="AV284" s="1">
        <v>5000</v>
      </c>
      <c r="AW284" s="1">
        <v>4310</v>
      </c>
      <c r="AX284" s="1">
        <v>5360</v>
      </c>
      <c r="AY284" s="1">
        <v>4335</v>
      </c>
      <c r="AZ284" s="1">
        <v>4325</v>
      </c>
      <c r="BA284" s="1">
        <v>4100</v>
      </c>
      <c r="BB284" s="1">
        <v>4200</v>
      </c>
      <c r="BC284" s="1">
        <v>3260</v>
      </c>
      <c r="BD284" s="1">
        <v>2945</v>
      </c>
      <c r="BE284" s="1">
        <v>3345</v>
      </c>
      <c r="BF284" s="1">
        <v>2843</v>
      </c>
      <c r="BG284" s="1">
        <v>2194</v>
      </c>
      <c r="BH284" s="1">
        <v>2107</v>
      </c>
      <c r="BI284" s="1">
        <v>2105</v>
      </c>
      <c r="BJ284" s="1">
        <v>2200</v>
      </c>
      <c r="BK284" s="1">
        <v>1946</v>
      </c>
      <c r="BL284" s="1">
        <v>1668</v>
      </c>
      <c r="BM284" s="1">
        <v>1514</v>
      </c>
      <c r="BN284" s="1">
        <v>1469</v>
      </c>
      <c r="BO284" s="1">
        <v>1460</v>
      </c>
      <c r="BP284" s="1">
        <v>1441</v>
      </c>
      <c r="BQ284" s="1">
        <v>1406</v>
      </c>
      <c r="BR284" s="1">
        <v>1464</v>
      </c>
      <c r="BS284" s="1">
        <v>1462</v>
      </c>
      <c r="BT284" s="1">
        <v>1486</v>
      </c>
      <c r="BU284" s="1">
        <v>1568</v>
      </c>
      <c r="BV284" s="1">
        <v>1501</v>
      </c>
      <c r="BW284" s="1">
        <v>1551</v>
      </c>
      <c r="BX284" s="1">
        <v>1442</v>
      </c>
      <c r="BY284" s="1">
        <v>1434</v>
      </c>
      <c r="BZ284" s="1">
        <v>1380</v>
      </c>
    </row>
    <row r="285" spans="1:254">
      <c r="A285" s="62" t="s">
        <v>498</v>
      </c>
      <c r="B285" s="1" t="str">
        <f>銘柄管理!C285</f>
        <v>トリドールホールディングス</v>
      </c>
      <c r="C285" s="1">
        <f>_xll.RssMarket("3397","安値")</f>
        <v>4133</v>
      </c>
      <c r="E285" s="1">
        <v>4133</v>
      </c>
      <c r="F285" s="1">
        <v>4110</v>
      </c>
      <c r="G285" s="1">
        <v>4149</v>
      </c>
      <c r="H285" s="1">
        <v>4246</v>
      </c>
      <c r="I285" s="1">
        <v>4322</v>
      </c>
      <c r="J285" s="1">
        <v>4480</v>
      </c>
      <c r="K285" s="1">
        <v>4308</v>
      </c>
      <c r="L285" s="1">
        <v>4193</v>
      </c>
      <c r="M285" s="1">
        <v>4103</v>
      </c>
      <c r="N285" s="1">
        <v>4009</v>
      </c>
      <c r="O285" s="1">
        <v>4016</v>
      </c>
      <c r="P285" s="1">
        <v>4031</v>
      </c>
      <c r="Q285" s="1">
        <v>4169</v>
      </c>
      <c r="R285" s="1">
        <v>4116</v>
      </c>
      <c r="S285" s="1">
        <v>4038</v>
      </c>
      <c r="T285" s="1">
        <v>4049</v>
      </c>
      <c r="U285" s="1">
        <v>3992</v>
      </c>
      <c r="V285" s="1">
        <v>3961</v>
      </c>
      <c r="W285" s="1">
        <v>3972</v>
      </c>
      <c r="X285" s="1">
        <v>3967</v>
      </c>
      <c r="Y285" s="1">
        <v>3890</v>
      </c>
      <c r="Z285" s="1">
        <v>3835</v>
      </c>
      <c r="AA285" s="1">
        <v>3835</v>
      </c>
      <c r="AB285" s="1">
        <v>3842</v>
      </c>
      <c r="AC285" s="1">
        <v>3772</v>
      </c>
      <c r="AD285" s="1">
        <v>3844</v>
      </c>
      <c r="AE285" s="1">
        <v>3760</v>
      </c>
      <c r="AF285" s="1">
        <v>3727</v>
      </c>
      <c r="AG285" s="1">
        <v>3652</v>
      </c>
      <c r="AH285" s="1">
        <v>3600</v>
      </c>
      <c r="AI285" s="1">
        <v>3492</v>
      </c>
      <c r="AJ285" s="1">
        <v>3540</v>
      </c>
      <c r="AK285" s="1">
        <v>3552</v>
      </c>
      <c r="AL285" s="1">
        <v>3552</v>
      </c>
      <c r="AM285" s="1">
        <v>3650</v>
      </c>
      <c r="AN285" s="1">
        <v>3702</v>
      </c>
      <c r="AO285" s="1">
        <v>3739</v>
      </c>
      <c r="AP285" s="1">
        <v>3800</v>
      </c>
      <c r="AQ285" s="1">
        <v>3858</v>
      </c>
      <c r="AR285" s="1">
        <v>3768</v>
      </c>
      <c r="AS285" s="1">
        <v>3700</v>
      </c>
      <c r="AT285" s="1">
        <v>3676</v>
      </c>
      <c r="AU285" s="1">
        <v>3727</v>
      </c>
      <c r="AV285" s="1">
        <v>3780</v>
      </c>
      <c r="AW285" s="1">
        <v>3787</v>
      </c>
      <c r="AX285" s="1">
        <v>3783</v>
      </c>
      <c r="AY285" s="1">
        <v>3736</v>
      </c>
      <c r="AZ285" s="1">
        <v>3648</v>
      </c>
      <c r="BA285" s="1">
        <v>3850</v>
      </c>
      <c r="BB285" s="1">
        <v>3787</v>
      </c>
      <c r="BC285" s="1">
        <v>3800</v>
      </c>
      <c r="BD285" s="1">
        <v>3858</v>
      </c>
      <c r="BE285" s="1">
        <v>3775</v>
      </c>
      <c r="BF285" s="1">
        <v>3715</v>
      </c>
      <c r="BG285" s="1">
        <v>3628</v>
      </c>
      <c r="BH285" s="1">
        <v>3880</v>
      </c>
      <c r="BI285" s="1">
        <v>3957</v>
      </c>
      <c r="BJ285" s="1">
        <v>3913</v>
      </c>
      <c r="BK285" s="1">
        <v>3901</v>
      </c>
      <c r="BL285" s="1">
        <v>3956</v>
      </c>
      <c r="BM285" s="1">
        <v>3950</v>
      </c>
      <c r="BN285" s="1">
        <v>3996</v>
      </c>
      <c r="BO285" s="1">
        <v>4040</v>
      </c>
      <c r="BP285" s="1">
        <v>4051</v>
      </c>
      <c r="BQ285" s="1">
        <v>4053</v>
      </c>
      <c r="BR285" s="1">
        <v>4067</v>
      </c>
      <c r="BS285" s="1">
        <v>4108</v>
      </c>
      <c r="BT285" s="1">
        <v>4142</v>
      </c>
      <c r="BU285" s="1">
        <v>4157</v>
      </c>
      <c r="BV285" s="1">
        <v>4175</v>
      </c>
      <c r="BW285" s="1">
        <v>4165</v>
      </c>
      <c r="BX285" s="1">
        <v>4215</v>
      </c>
      <c r="BY285" s="1">
        <v>4246</v>
      </c>
      <c r="BZ285" s="1">
        <v>4225</v>
      </c>
    </row>
    <row r="286" spans="1:254">
      <c r="A286" s="62" t="s">
        <v>499</v>
      </c>
      <c r="B286" s="1" t="str">
        <f>銘柄管理!C286</f>
        <v>ＳＵＢＡＲＵ</v>
      </c>
      <c r="C286" s="1">
        <f>_xll.RssMarket("7270","安値")</f>
        <v>2461.5</v>
      </c>
      <c r="E286" s="1">
        <v>2461.5</v>
      </c>
      <c r="F286" s="1">
        <v>2444</v>
      </c>
      <c r="G286" s="1">
        <v>2568</v>
      </c>
      <c r="H286" s="1">
        <v>2566.5</v>
      </c>
      <c r="I286" s="1">
        <v>2699</v>
      </c>
      <c r="J286" s="1">
        <v>2762</v>
      </c>
      <c r="K286" s="1">
        <v>2713.5</v>
      </c>
      <c r="L286" s="1">
        <v>2658</v>
      </c>
      <c r="M286" s="1">
        <v>2589</v>
      </c>
      <c r="N286" s="1">
        <v>2544.5</v>
      </c>
      <c r="O286" s="1">
        <v>2579</v>
      </c>
      <c r="P286" s="1">
        <v>2578</v>
      </c>
      <c r="Q286" s="1">
        <v>2525</v>
      </c>
      <c r="R286" s="1">
        <v>2505</v>
      </c>
      <c r="S286" s="1">
        <v>2484</v>
      </c>
      <c r="T286" s="1">
        <v>2470</v>
      </c>
      <c r="U286" s="1">
        <v>2475</v>
      </c>
      <c r="V286" s="1">
        <v>2480.5</v>
      </c>
      <c r="W286" s="1">
        <v>2473</v>
      </c>
      <c r="X286" s="1">
        <v>2518</v>
      </c>
      <c r="Y286" s="1">
        <v>2556.5</v>
      </c>
      <c r="Z286" s="1">
        <v>2525</v>
      </c>
      <c r="AA286" s="1">
        <v>2508</v>
      </c>
      <c r="AB286" s="1">
        <v>2437.5</v>
      </c>
      <c r="AC286" s="1">
        <v>2399</v>
      </c>
      <c r="AD286" s="1">
        <v>2369.5</v>
      </c>
      <c r="AE286" s="1">
        <v>2371</v>
      </c>
      <c r="AF286" s="1">
        <v>2370</v>
      </c>
      <c r="AG286" s="1">
        <v>2365</v>
      </c>
      <c r="AH286" s="1">
        <v>2371.5</v>
      </c>
      <c r="AI286" s="1">
        <v>2391.5</v>
      </c>
      <c r="AJ286" s="1">
        <v>2400.5</v>
      </c>
      <c r="AK286" s="1">
        <v>2436.5</v>
      </c>
      <c r="AL286" s="1">
        <v>2539.5</v>
      </c>
      <c r="AM286" s="1">
        <v>2569</v>
      </c>
      <c r="AN286" s="1">
        <v>2506.5</v>
      </c>
      <c r="AO286" s="1">
        <v>2505</v>
      </c>
      <c r="AP286" s="1">
        <v>2467.5</v>
      </c>
      <c r="AQ286" s="1">
        <v>2472</v>
      </c>
      <c r="AR286" s="1">
        <v>2523.5</v>
      </c>
      <c r="AS286" s="1">
        <v>2462</v>
      </c>
      <c r="AT286" s="1">
        <v>2444</v>
      </c>
      <c r="AU286" s="1">
        <v>2453</v>
      </c>
      <c r="AV286" s="1">
        <v>2436.5</v>
      </c>
      <c r="AW286" s="1">
        <v>2359.5</v>
      </c>
      <c r="AX286" s="1">
        <v>2442</v>
      </c>
      <c r="AY286" s="1">
        <v>2441.5</v>
      </c>
      <c r="AZ286" s="1">
        <v>2424</v>
      </c>
      <c r="BA286" s="1">
        <v>2445</v>
      </c>
      <c r="BB286" s="1">
        <v>2439</v>
      </c>
      <c r="BC286" s="1">
        <v>2450</v>
      </c>
      <c r="BD286" s="1">
        <v>2430.5</v>
      </c>
      <c r="BE286" s="1">
        <v>2357</v>
      </c>
      <c r="BF286" s="1">
        <v>2362</v>
      </c>
      <c r="BG286" s="1">
        <v>2435.5</v>
      </c>
      <c r="BH286" s="1">
        <v>2337.5</v>
      </c>
      <c r="BI286" s="1">
        <v>2266</v>
      </c>
      <c r="BJ286" s="1">
        <v>2265</v>
      </c>
      <c r="BK286" s="1">
        <v>2247.5</v>
      </c>
      <c r="BL286" s="1">
        <v>2348</v>
      </c>
      <c r="BM286" s="1">
        <v>2327</v>
      </c>
      <c r="BN286" s="1">
        <v>2334.5</v>
      </c>
      <c r="BO286" s="1">
        <v>2338</v>
      </c>
      <c r="BP286" s="1">
        <v>2438</v>
      </c>
      <c r="BQ286" s="1">
        <v>2425</v>
      </c>
      <c r="BR286" s="1">
        <v>2447.5</v>
      </c>
      <c r="BS286" s="1">
        <v>2477.5</v>
      </c>
      <c r="BT286" s="1">
        <v>2500.5</v>
      </c>
      <c r="BU286" s="1">
        <v>2535</v>
      </c>
      <c r="BV286" s="1">
        <v>2542</v>
      </c>
      <c r="BW286" s="1">
        <v>2527.5</v>
      </c>
      <c r="BX286" s="1">
        <v>2534.5</v>
      </c>
      <c r="BY286" s="1">
        <v>2498.5</v>
      </c>
      <c r="BZ286" s="1">
        <v>2516.5</v>
      </c>
    </row>
    <row r="287" spans="1:254">
      <c r="A287" s="62" t="s">
        <v>500</v>
      </c>
      <c r="B287" s="1" t="str">
        <f>銘柄管理!C287</f>
        <v>サン電子</v>
      </c>
      <c r="C287" s="1">
        <f>_xll.RssMarket("6736","安値")</f>
        <v>10280</v>
      </c>
      <c r="E287" s="1">
        <v>10280</v>
      </c>
      <c r="F287" s="1">
        <v>10360</v>
      </c>
      <c r="G287" s="1">
        <v>9650</v>
      </c>
      <c r="H287" s="1">
        <v>9580</v>
      </c>
      <c r="I287" s="1">
        <v>9300</v>
      </c>
      <c r="J287" s="1">
        <v>8950</v>
      </c>
      <c r="K287" s="1">
        <v>8920</v>
      </c>
      <c r="L287" s="1">
        <v>9120</v>
      </c>
      <c r="M287" s="1">
        <v>9140</v>
      </c>
      <c r="N287" s="1">
        <v>8870</v>
      </c>
      <c r="O287" s="1">
        <v>8800</v>
      </c>
      <c r="P287" s="1">
        <v>8890</v>
      </c>
      <c r="Q287" s="1">
        <v>9000</v>
      </c>
      <c r="R287" s="1">
        <v>8740</v>
      </c>
      <c r="S287" s="1">
        <v>8780</v>
      </c>
      <c r="T287" s="1">
        <v>8720</v>
      </c>
      <c r="U287" s="1">
        <v>9390</v>
      </c>
      <c r="V287" s="1">
        <v>9860</v>
      </c>
      <c r="W287" s="1">
        <v>10470</v>
      </c>
      <c r="X287" s="1">
        <v>10280</v>
      </c>
      <c r="Y287" s="1">
        <v>10950</v>
      </c>
      <c r="Z287" s="1">
        <v>9390</v>
      </c>
      <c r="AA287" s="1">
        <v>9290</v>
      </c>
      <c r="AB287" s="1">
        <v>8800</v>
      </c>
      <c r="AC287" s="1">
        <v>8520</v>
      </c>
      <c r="AD287" s="1">
        <v>8420</v>
      </c>
      <c r="AE287" s="1">
        <v>8570</v>
      </c>
      <c r="AF287" s="1">
        <v>9000</v>
      </c>
      <c r="AG287" s="1">
        <v>8600</v>
      </c>
      <c r="AH287" s="1">
        <v>8490</v>
      </c>
      <c r="AI287" s="1">
        <v>8890</v>
      </c>
      <c r="AJ287" s="1">
        <v>9000</v>
      </c>
      <c r="AK287" s="1">
        <v>9010</v>
      </c>
      <c r="AL287" s="1">
        <v>9030</v>
      </c>
      <c r="AM287" s="1">
        <v>9030</v>
      </c>
      <c r="AN287" s="1">
        <v>8910</v>
      </c>
      <c r="AO287" s="1">
        <v>8980</v>
      </c>
      <c r="AP287" s="1">
        <v>8630</v>
      </c>
      <c r="AQ287" s="1">
        <v>8680</v>
      </c>
      <c r="AR287" s="1">
        <v>8950</v>
      </c>
      <c r="AS287" s="1">
        <v>8380</v>
      </c>
      <c r="AT287" s="1">
        <v>8500</v>
      </c>
      <c r="AU287" s="1">
        <v>8600</v>
      </c>
      <c r="AV287" s="1">
        <v>8920</v>
      </c>
      <c r="AW287" s="1">
        <v>8950</v>
      </c>
      <c r="AX287" s="1">
        <v>9090</v>
      </c>
      <c r="AY287" s="1">
        <v>9020</v>
      </c>
      <c r="AZ287" s="1">
        <v>9030</v>
      </c>
      <c r="BA287" s="1">
        <v>8990</v>
      </c>
      <c r="BB287" s="1">
        <v>9100</v>
      </c>
      <c r="BC287" s="1">
        <v>8800</v>
      </c>
      <c r="BD287" s="1">
        <v>8690</v>
      </c>
      <c r="BE287" s="1">
        <v>8640</v>
      </c>
      <c r="BF287" s="1">
        <v>8910</v>
      </c>
      <c r="BG287" s="1">
        <v>8760</v>
      </c>
      <c r="BH287" s="1">
        <v>8440</v>
      </c>
      <c r="BI287" s="1">
        <v>8340</v>
      </c>
      <c r="BJ287" s="1">
        <v>8470</v>
      </c>
      <c r="BK287" s="1">
        <v>8860</v>
      </c>
      <c r="BL287" s="1">
        <v>8580</v>
      </c>
      <c r="BM287" s="1">
        <v>8520</v>
      </c>
      <c r="BN287" s="1">
        <v>8520</v>
      </c>
      <c r="BO287" s="1">
        <v>8210</v>
      </c>
      <c r="BP287" s="1">
        <v>8190</v>
      </c>
      <c r="BQ287" s="1">
        <v>7990</v>
      </c>
      <c r="BR287" s="1">
        <v>7970</v>
      </c>
      <c r="BS287" s="1">
        <v>7970</v>
      </c>
      <c r="BT287" s="1">
        <v>7950</v>
      </c>
      <c r="BU287" s="1">
        <v>7920</v>
      </c>
      <c r="BV287" s="1">
        <v>7920</v>
      </c>
      <c r="BW287" s="1">
        <v>7910</v>
      </c>
      <c r="BX287" s="1">
        <v>7670</v>
      </c>
      <c r="BY287" s="1">
        <v>6970</v>
      </c>
      <c r="BZ287" s="1">
        <v>7250</v>
      </c>
    </row>
    <row r="288" spans="1:254">
      <c r="A288" s="62" t="s">
        <v>501</v>
      </c>
      <c r="B288" s="1" t="str">
        <f>銘柄管理!C288</f>
        <v>紀文食品</v>
      </c>
      <c r="C288" s="1">
        <f>_xll.RssMarket("2933","安値")</f>
        <v>1090</v>
      </c>
      <c r="E288" s="1">
        <v>1090</v>
      </c>
      <c r="F288" s="1">
        <v>1084</v>
      </c>
      <c r="G288" s="1">
        <v>1092</v>
      </c>
      <c r="H288" s="1">
        <v>1094</v>
      </c>
      <c r="I288" s="1">
        <v>1088</v>
      </c>
      <c r="J288" s="1">
        <v>1095</v>
      </c>
      <c r="K288" s="1">
        <v>1092</v>
      </c>
      <c r="L288" s="1">
        <v>1090</v>
      </c>
      <c r="M288" s="1">
        <v>1078</v>
      </c>
      <c r="O288" s="1">
        <v>1080</v>
      </c>
      <c r="P288" s="1">
        <v>1072</v>
      </c>
      <c r="Q288" s="1">
        <v>1080</v>
      </c>
      <c r="R288" s="1">
        <v>1081</v>
      </c>
      <c r="S288" s="1">
        <v>1076</v>
      </c>
      <c r="T288" s="1">
        <v>1076</v>
      </c>
      <c r="U288" s="1">
        <v>1075</v>
      </c>
      <c r="V288" s="1">
        <v>1073</v>
      </c>
      <c r="W288" s="1">
        <v>1073</v>
      </c>
      <c r="X288" s="1">
        <v>1080</v>
      </c>
      <c r="Y288" s="1">
        <v>1066</v>
      </c>
      <c r="Z288" s="1">
        <v>1065</v>
      </c>
      <c r="AA288" s="1">
        <v>1064</v>
      </c>
      <c r="AB288" s="1">
        <v>1064</v>
      </c>
      <c r="AC288" s="1">
        <v>1055</v>
      </c>
      <c r="AD288" s="1">
        <v>1055</v>
      </c>
      <c r="AE288" s="1">
        <v>1064</v>
      </c>
      <c r="AF288" s="1">
        <v>1061</v>
      </c>
      <c r="AG288" s="1">
        <v>1050</v>
      </c>
      <c r="AH288" s="1">
        <v>1053</v>
      </c>
      <c r="AI288" s="1">
        <v>1055</v>
      </c>
      <c r="AJ288" s="1">
        <v>1053</v>
      </c>
      <c r="AK288" s="1">
        <v>1052</v>
      </c>
      <c r="AL288" s="1">
        <v>1046</v>
      </c>
      <c r="AM288" s="1">
        <v>1050</v>
      </c>
      <c r="AN288" s="1">
        <v>1039</v>
      </c>
      <c r="AO288" s="1">
        <v>1045</v>
      </c>
      <c r="AP288" s="1">
        <v>1040</v>
      </c>
      <c r="AQ288" s="1">
        <v>1043</v>
      </c>
      <c r="AR288" s="1">
        <v>1040</v>
      </c>
      <c r="AS288" s="1">
        <v>1033</v>
      </c>
      <c r="AT288" s="1">
        <v>1027</v>
      </c>
      <c r="AU288" s="1">
        <v>1022</v>
      </c>
      <c r="AV288" s="1">
        <v>1013</v>
      </c>
      <c r="AW288" s="1">
        <v>1018</v>
      </c>
      <c r="AX288" s="1">
        <v>1036</v>
      </c>
      <c r="AY288" s="1">
        <v>1033</v>
      </c>
      <c r="AZ288" s="1">
        <v>1031</v>
      </c>
      <c r="BA288" s="1">
        <v>1033</v>
      </c>
      <c r="BB288" s="1">
        <v>1038</v>
      </c>
      <c r="BC288" s="1">
        <v>1040</v>
      </c>
      <c r="BD288" s="1">
        <v>1037</v>
      </c>
      <c r="BE288" s="1">
        <v>1038</v>
      </c>
      <c r="BF288" s="1">
        <v>1033</v>
      </c>
      <c r="BG288" s="1">
        <v>1028</v>
      </c>
      <c r="BH288" s="1">
        <v>1027</v>
      </c>
      <c r="BI288" s="1">
        <v>1030</v>
      </c>
      <c r="BJ288" s="1">
        <v>1023</v>
      </c>
      <c r="BK288" s="1">
        <v>1024</v>
      </c>
      <c r="BL288" s="1">
        <v>1021</v>
      </c>
      <c r="BM288" s="1">
        <v>1030</v>
      </c>
      <c r="BN288" s="1">
        <v>1027</v>
      </c>
      <c r="BO288" s="1">
        <v>1025</v>
      </c>
      <c r="BP288" s="1">
        <v>1025</v>
      </c>
      <c r="BQ288" s="1">
        <v>1026</v>
      </c>
      <c r="BR288" s="1">
        <v>1030</v>
      </c>
      <c r="BS288" s="1">
        <v>1033</v>
      </c>
      <c r="BT288" s="1">
        <v>1040</v>
      </c>
      <c r="BU288" s="1">
        <v>1052</v>
      </c>
      <c r="BV288" s="1">
        <v>1059</v>
      </c>
      <c r="BW288" s="1">
        <v>1058</v>
      </c>
      <c r="BX288" s="1">
        <v>1055</v>
      </c>
      <c r="BY288" s="1">
        <v>1051</v>
      </c>
      <c r="BZ288" s="1">
        <v>1049</v>
      </c>
    </row>
    <row r="289" spans="1:254">
      <c r="A289" s="62" t="s">
        <v>502</v>
      </c>
      <c r="B289" s="1" t="str">
        <f>銘柄管理!C289</f>
        <v>関東電化</v>
      </c>
      <c r="C289" s="1">
        <f>_xll.RssMarket("4047","安値")</f>
        <v>2861</v>
      </c>
      <c r="E289" s="1">
        <v>2861</v>
      </c>
      <c r="F289" s="1">
        <v>2930</v>
      </c>
      <c r="G289" s="1">
        <v>2780</v>
      </c>
      <c r="H289" s="1">
        <v>2612</v>
      </c>
      <c r="I289" s="1">
        <v>2590</v>
      </c>
      <c r="J289" s="1">
        <v>2387</v>
      </c>
      <c r="K289" s="1">
        <v>2369</v>
      </c>
      <c r="L289" s="1">
        <v>2488</v>
      </c>
      <c r="M289" s="1">
        <v>2670</v>
      </c>
      <c r="N289" s="1">
        <v>2751</v>
      </c>
      <c r="O289" s="1">
        <v>2876</v>
      </c>
      <c r="P289" s="1">
        <v>2879</v>
      </c>
      <c r="Q289" s="1">
        <v>2678</v>
      </c>
      <c r="R289" s="1">
        <v>2556</v>
      </c>
      <c r="S289" s="1">
        <v>3005</v>
      </c>
      <c r="T289" s="1">
        <v>2860</v>
      </c>
      <c r="U289" s="1">
        <v>2900</v>
      </c>
      <c r="V289" s="1">
        <v>3050</v>
      </c>
      <c r="W289" s="1">
        <v>3035</v>
      </c>
      <c r="X289" s="1">
        <v>3045</v>
      </c>
      <c r="Y289" s="1">
        <v>3135</v>
      </c>
      <c r="Z289" s="1">
        <v>3330</v>
      </c>
      <c r="AA289" s="1">
        <v>3225</v>
      </c>
      <c r="AB289" s="1">
        <v>3300</v>
      </c>
      <c r="AC289" s="1">
        <v>3500</v>
      </c>
      <c r="AD289" s="1">
        <v>3420</v>
      </c>
      <c r="AE289" s="1">
        <v>3390</v>
      </c>
      <c r="AF289" s="1">
        <v>3640</v>
      </c>
      <c r="AG289" s="1">
        <v>3940</v>
      </c>
      <c r="AH289" s="1">
        <v>3635</v>
      </c>
      <c r="AI289" s="1">
        <v>3665</v>
      </c>
      <c r="AJ289" s="1">
        <v>3830</v>
      </c>
      <c r="AK289" s="1">
        <v>3870</v>
      </c>
      <c r="AL289" s="1">
        <v>3840</v>
      </c>
      <c r="AM289" s="1">
        <v>3610</v>
      </c>
      <c r="AN289" s="1">
        <v>3650</v>
      </c>
      <c r="AO289" s="1">
        <v>3780</v>
      </c>
      <c r="AP289" s="1">
        <v>3750</v>
      </c>
      <c r="AQ289" s="1">
        <v>3580</v>
      </c>
      <c r="AR289" s="1">
        <v>3765</v>
      </c>
      <c r="AS289" s="1">
        <v>3535</v>
      </c>
      <c r="AT289" s="1">
        <v>3945</v>
      </c>
      <c r="AU289" s="1">
        <v>3705</v>
      </c>
      <c r="AV289" s="1">
        <v>3685</v>
      </c>
      <c r="AW289" s="1">
        <v>3330</v>
      </c>
      <c r="AX289" s="1">
        <v>3550</v>
      </c>
      <c r="AY289" s="1">
        <v>3210</v>
      </c>
      <c r="AZ289" s="1">
        <v>3275</v>
      </c>
      <c r="BA289" s="1">
        <v>3125</v>
      </c>
      <c r="BB289" s="1">
        <v>2879</v>
      </c>
      <c r="BC289" s="1">
        <v>2703</v>
      </c>
      <c r="BD289" s="1">
        <v>2611</v>
      </c>
      <c r="BE289" s="1">
        <v>2668</v>
      </c>
      <c r="BF289" s="1">
        <v>2550</v>
      </c>
      <c r="BG289" s="1">
        <v>1951</v>
      </c>
      <c r="BH289" s="1">
        <v>2102</v>
      </c>
      <c r="BI289" s="1">
        <v>1951</v>
      </c>
      <c r="BJ289" s="1">
        <v>1962</v>
      </c>
      <c r="BK289" s="1">
        <v>1853</v>
      </c>
      <c r="BL289" s="1">
        <v>1775</v>
      </c>
      <c r="BM289" s="1">
        <v>1782</v>
      </c>
      <c r="BN289" s="1">
        <v>1650</v>
      </c>
      <c r="BO289" s="1">
        <v>1650</v>
      </c>
      <c r="BP289" s="1">
        <v>1666</v>
      </c>
      <c r="BQ289" s="1">
        <v>1611</v>
      </c>
      <c r="BR289" s="1">
        <v>1623</v>
      </c>
      <c r="BS289" s="1">
        <v>1601</v>
      </c>
      <c r="BT289" s="1">
        <v>1620</v>
      </c>
      <c r="BU289" s="1">
        <v>1642</v>
      </c>
      <c r="BV289" s="1">
        <v>1624</v>
      </c>
      <c r="BW289" s="1">
        <v>1629</v>
      </c>
      <c r="BX289" s="1">
        <v>1650</v>
      </c>
      <c r="BY289" s="1">
        <v>1650</v>
      </c>
      <c r="BZ289" s="1">
        <v>1655</v>
      </c>
    </row>
    <row r="290" spans="1:254">
      <c r="A290" s="62" t="s">
        <v>503</v>
      </c>
      <c r="B290" s="1" t="str">
        <f>銘柄管理!C290</f>
        <v>ＹＵＳＨＩＮ</v>
      </c>
      <c r="C290" s="1">
        <f>_xll.RssMarket("6482","安値")</f>
        <v>681</v>
      </c>
      <c r="E290" s="1">
        <v>681</v>
      </c>
      <c r="F290" s="1">
        <v>677</v>
      </c>
      <c r="G290" s="1">
        <v>654</v>
      </c>
      <c r="H290" s="1">
        <v>652</v>
      </c>
      <c r="I290" s="1">
        <v>668</v>
      </c>
      <c r="J290" s="1">
        <v>660</v>
      </c>
      <c r="K290" s="1">
        <v>659</v>
      </c>
      <c r="L290" s="1">
        <v>664</v>
      </c>
      <c r="M290" s="1">
        <v>685</v>
      </c>
      <c r="N290" s="1">
        <v>683</v>
      </c>
      <c r="O290" s="1">
        <v>685</v>
      </c>
      <c r="P290" s="1">
        <v>682</v>
      </c>
      <c r="Q290" s="1">
        <v>676</v>
      </c>
      <c r="R290" s="1">
        <v>657</v>
      </c>
      <c r="S290" s="1">
        <v>665</v>
      </c>
      <c r="T290" s="1">
        <v>661</v>
      </c>
      <c r="U290" s="1">
        <v>671</v>
      </c>
      <c r="V290" s="1">
        <v>678</v>
      </c>
      <c r="W290" s="1">
        <v>673</v>
      </c>
      <c r="X290" s="1">
        <v>691</v>
      </c>
      <c r="Y290" s="1">
        <v>694</v>
      </c>
      <c r="Z290" s="1">
        <v>696</v>
      </c>
      <c r="AA290" s="1">
        <v>683</v>
      </c>
      <c r="AB290" s="1">
        <v>688</v>
      </c>
      <c r="AC290" s="1">
        <v>689</v>
      </c>
      <c r="AD290" s="1">
        <v>686</v>
      </c>
      <c r="AE290" s="1">
        <v>703</v>
      </c>
      <c r="AF290" s="1">
        <v>699</v>
      </c>
      <c r="AG290" s="1">
        <v>707</v>
      </c>
      <c r="AH290" s="1">
        <v>706</v>
      </c>
      <c r="AI290" s="1">
        <v>733</v>
      </c>
      <c r="AJ290" s="1">
        <v>732</v>
      </c>
      <c r="AK290" s="1">
        <v>732</v>
      </c>
      <c r="AL290" s="1">
        <v>741</v>
      </c>
      <c r="AM290" s="1">
        <v>714</v>
      </c>
      <c r="AN290" s="1">
        <v>687</v>
      </c>
      <c r="AO290" s="1">
        <v>680</v>
      </c>
      <c r="AP290" s="1">
        <v>673</v>
      </c>
      <c r="AQ290" s="1">
        <v>659</v>
      </c>
      <c r="AR290" s="1">
        <v>665</v>
      </c>
      <c r="AS290" s="1">
        <v>646</v>
      </c>
      <c r="AT290" s="1">
        <v>657</v>
      </c>
      <c r="AU290" s="1">
        <v>648</v>
      </c>
      <c r="AV290" s="1">
        <v>638</v>
      </c>
      <c r="AW290" s="1">
        <v>638</v>
      </c>
      <c r="AX290" s="1">
        <v>666</v>
      </c>
      <c r="AY290" s="1">
        <v>655</v>
      </c>
      <c r="AZ290" s="1">
        <v>657</v>
      </c>
      <c r="BA290" s="1">
        <v>709</v>
      </c>
      <c r="BB290" s="1">
        <v>703</v>
      </c>
      <c r="BC290" s="1">
        <v>705</v>
      </c>
      <c r="BD290" s="1">
        <v>705</v>
      </c>
      <c r="BE290" s="1">
        <v>706</v>
      </c>
      <c r="BF290" s="1">
        <v>711</v>
      </c>
      <c r="BG290" s="1">
        <v>730</v>
      </c>
      <c r="BH290" s="1">
        <v>720</v>
      </c>
      <c r="BI290" s="1">
        <v>724</v>
      </c>
      <c r="BJ290" s="1">
        <v>710</v>
      </c>
      <c r="BK290" s="1">
        <v>678</v>
      </c>
      <c r="BL290" s="1">
        <v>674</v>
      </c>
      <c r="BM290" s="1">
        <v>683</v>
      </c>
      <c r="BN290" s="1">
        <v>663</v>
      </c>
      <c r="BO290" s="1">
        <v>658</v>
      </c>
      <c r="BP290" s="1">
        <v>656</v>
      </c>
      <c r="BQ290" s="1">
        <v>651</v>
      </c>
      <c r="BR290" s="1">
        <v>656</v>
      </c>
      <c r="BS290" s="1">
        <v>655</v>
      </c>
      <c r="BT290" s="1">
        <v>668</v>
      </c>
      <c r="BU290" s="1">
        <v>677</v>
      </c>
      <c r="BV290" s="1">
        <v>669</v>
      </c>
      <c r="BW290" s="1">
        <v>670</v>
      </c>
      <c r="BX290" s="1">
        <v>676</v>
      </c>
      <c r="BY290" s="1">
        <v>673</v>
      </c>
      <c r="BZ290" s="1">
        <v>677</v>
      </c>
    </row>
    <row r="291" spans="1:254">
      <c r="A291" s="62" t="s">
        <v>504</v>
      </c>
      <c r="B291" s="1" t="str">
        <f>銘柄管理!C291</f>
        <v>電気興業</v>
      </c>
      <c r="C291" s="1">
        <f>_xll.RssMarket("6706","安値")</f>
        <v>3150</v>
      </c>
      <c r="E291" s="1">
        <v>3150</v>
      </c>
      <c r="F291" s="1">
        <v>3095</v>
      </c>
      <c r="G291" s="1">
        <v>3060</v>
      </c>
      <c r="H291" s="1">
        <v>3030</v>
      </c>
      <c r="I291" s="1">
        <v>3060</v>
      </c>
      <c r="J291" s="1">
        <v>2963</v>
      </c>
      <c r="K291" s="1">
        <v>2924</v>
      </c>
      <c r="L291" s="1">
        <v>2953</v>
      </c>
      <c r="M291" s="1">
        <v>2903</v>
      </c>
      <c r="O291" s="1">
        <v>2995</v>
      </c>
      <c r="P291" s="1">
        <v>2936</v>
      </c>
      <c r="Q291" s="1">
        <v>2898</v>
      </c>
      <c r="R291" s="1">
        <v>2836</v>
      </c>
      <c r="S291" s="1">
        <v>3000</v>
      </c>
      <c r="T291" s="1">
        <v>2981</v>
      </c>
      <c r="U291" s="1">
        <v>2954</v>
      </c>
      <c r="V291" s="1">
        <v>3005</v>
      </c>
      <c r="W291" s="1">
        <v>2977</v>
      </c>
      <c r="X291" s="1">
        <v>2930</v>
      </c>
      <c r="Y291" s="1">
        <v>2972</v>
      </c>
      <c r="Z291" s="1">
        <v>2933</v>
      </c>
      <c r="AA291" s="1">
        <v>2955</v>
      </c>
      <c r="AB291" s="1">
        <v>3025</v>
      </c>
      <c r="AC291" s="1">
        <v>3020</v>
      </c>
      <c r="AD291" s="1">
        <v>3010</v>
      </c>
      <c r="AE291" s="1">
        <v>3075</v>
      </c>
      <c r="AF291" s="1">
        <v>3065</v>
      </c>
      <c r="AG291" s="1">
        <v>3110</v>
      </c>
      <c r="AH291" s="1">
        <v>3035</v>
      </c>
      <c r="AI291" s="1">
        <v>3090</v>
      </c>
      <c r="AJ291" s="1">
        <v>3105</v>
      </c>
      <c r="AK291" s="1">
        <v>3160</v>
      </c>
      <c r="AL291" s="1">
        <v>3115</v>
      </c>
      <c r="AM291" s="1">
        <v>3105</v>
      </c>
      <c r="AN291" s="1">
        <v>3160</v>
      </c>
      <c r="AO291" s="1">
        <v>3230</v>
      </c>
      <c r="AP291" s="1">
        <v>3095</v>
      </c>
      <c r="AQ291" s="1">
        <v>3130</v>
      </c>
      <c r="AR291" s="1">
        <v>3275</v>
      </c>
      <c r="AS291" s="1">
        <v>3315</v>
      </c>
      <c r="AT291" s="1">
        <v>3455</v>
      </c>
      <c r="AU291" s="1">
        <v>3465</v>
      </c>
      <c r="AV291" s="1">
        <v>3455</v>
      </c>
      <c r="AW291" s="1">
        <v>3425</v>
      </c>
      <c r="AX291" s="1">
        <v>3510</v>
      </c>
      <c r="AY291" s="1">
        <v>3415</v>
      </c>
      <c r="AZ291" s="1">
        <v>3435</v>
      </c>
      <c r="BA291" s="1">
        <v>3410</v>
      </c>
      <c r="BB291" s="1">
        <v>3395</v>
      </c>
      <c r="BC291" s="1">
        <v>3400</v>
      </c>
      <c r="BD291" s="1">
        <v>3370</v>
      </c>
      <c r="BE291" s="1">
        <v>3345</v>
      </c>
      <c r="BF291" s="1">
        <v>3300</v>
      </c>
      <c r="BG291" s="1">
        <v>3415</v>
      </c>
      <c r="BH291" s="1">
        <v>3420</v>
      </c>
      <c r="BI291" s="1">
        <v>3465</v>
      </c>
      <c r="BJ291" s="1">
        <v>3420</v>
      </c>
      <c r="BK291" s="1">
        <v>3385</v>
      </c>
      <c r="BL291" s="1">
        <v>3375</v>
      </c>
      <c r="BM291" s="1">
        <v>3380</v>
      </c>
      <c r="BN291" s="1">
        <v>3285</v>
      </c>
      <c r="BO291" s="1">
        <v>3280</v>
      </c>
      <c r="BP291" s="1">
        <v>3290</v>
      </c>
      <c r="BQ291" s="1">
        <v>3285</v>
      </c>
      <c r="BR291" s="1">
        <v>3285</v>
      </c>
      <c r="BS291" s="1">
        <v>3260</v>
      </c>
      <c r="BT291" s="1">
        <v>3265</v>
      </c>
      <c r="BU291" s="1">
        <v>3270</v>
      </c>
      <c r="BV291" s="1">
        <v>3270</v>
      </c>
      <c r="BW291" s="1">
        <v>3265</v>
      </c>
      <c r="BX291" s="1">
        <v>3255</v>
      </c>
      <c r="BY291" s="1">
        <v>3250</v>
      </c>
      <c r="BZ291" s="1">
        <v>3190</v>
      </c>
    </row>
    <row r="292" spans="1:254">
      <c r="A292" s="62" t="s">
        <v>505</v>
      </c>
      <c r="B292" s="1" t="str">
        <f>銘柄管理!C292</f>
        <v>新光商事</v>
      </c>
      <c r="C292" s="1">
        <f>_xll.RssMarket("8141","安値")</f>
        <v>1565</v>
      </c>
      <c r="E292" s="1">
        <v>1565</v>
      </c>
      <c r="F292" s="1">
        <v>1564</v>
      </c>
      <c r="G292" s="1">
        <v>1557</v>
      </c>
      <c r="H292" s="1">
        <v>1548</v>
      </c>
      <c r="I292" s="1">
        <v>1549</v>
      </c>
      <c r="J292" s="1">
        <v>1526</v>
      </c>
      <c r="K292" s="1">
        <v>1566</v>
      </c>
      <c r="L292" s="1">
        <v>1578</v>
      </c>
      <c r="M292" s="1">
        <v>1578</v>
      </c>
      <c r="O292" s="1">
        <v>1581</v>
      </c>
      <c r="P292" s="1">
        <v>1579</v>
      </c>
      <c r="Q292" s="1">
        <v>1576</v>
      </c>
      <c r="R292" s="1">
        <v>1595</v>
      </c>
      <c r="S292" s="1">
        <v>1597</v>
      </c>
      <c r="T292" s="1">
        <v>1583</v>
      </c>
      <c r="U292" s="1">
        <v>1581</v>
      </c>
      <c r="V292" s="1">
        <v>1584</v>
      </c>
      <c r="W292" s="1">
        <v>1585</v>
      </c>
      <c r="X292" s="1">
        <v>1585</v>
      </c>
      <c r="Y292" s="1">
        <v>1587</v>
      </c>
      <c r="Z292" s="1">
        <v>1586</v>
      </c>
      <c r="AA292" s="1">
        <v>1587</v>
      </c>
      <c r="AB292" s="1">
        <v>1585</v>
      </c>
      <c r="AC292" s="1">
        <v>1585</v>
      </c>
      <c r="AD292" s="1">
        <v>1586</v>
      </c>
      <c r="AE292" s="1">
        <v>1580</v>
      </c>
      <c r="AF292" s="1">
        <v>1564</v>
      </c>
      <c r="AG292" s="1">
        <v>1566</v>
      </c>
      <c r="AH292" s="1">
        <v>1575</v>
      </c>
      <c r="AI292" s="1">
        <v>1576</v>
      </c>
      <c r="AJ292" s="1">
        <v>1580</v>
      </c>
      <c r="AK292" s="1">
        <v>1580</v>
      </c>
      <c r="AL292" s="1">
        <v>1581</v>
      </c>
      <c r="AM292" s="1">
        <v>1580</v>
      </c>
      <c r="AN292" s="1">
        <v>1578</v>
      </c>
      <c r="AO292" s="1">
        <v>1577</v>
      </c>
      <c r="AP292" s="1">
        <v>1579</v>
      </c>
      <c r="AQ292" s="1">
        <v>1577</v>
      </c>
      <c r="AR292" s="1">
        <v>1576</v>
      </c>
      <c r="AS292" s="1">
        <v>1579</v>
      </c>
      <c r="AT292" s="1">
        <v>1582</v>
      </c>
      <c r="AU292" s="1">
        <v>1579</v>
      </c>
      <c r="AV292" s="1">
        <v>1577</v>
      </c>
      <c r="AW292" s="1">
        <v>1576</v>
      </c>
      <c r="AX292" s="1">
        <v>1575</v>
      </c>
      <c r="AY292" s="1">
        <v>1577</v>
      </c>
      <c r="AZ292" s="1">
        <v>1589</v>
      </c>
      <c r="BA292" s="1">
        <v>1593</v>
      </c>
      <c r="BB292" s="1">
        <v>1598</v>
      </c>
      <c r="BC292" s="1">
        <v>1601</v>
      </c>
      <c r="BD292" s="1">
        <v>1594</v>
      </c>
      <c r="BE292" s="1">
        <v>1595</v>
      </c>
      <c r="BF292" s="1">
        <v>1590</v>
      </c>
      <c r="BG292" s="1">
        <v>1494</v>
      </c>
      <c r="BH292" s="1">
        <v>1480</v>
      </c>
      <c r="BI292" s="1">
        <v>1440</v>
      </c>
      <c r="BJ292" s="1">
        <v>1655</v>
      </c>
      <c r="BK292" s="1">
        <v>1651</v>
      </c>
      <c r="BL292" s="1">
        <v>1676</v>
      </c>
      <c r="BM292" s="1">
        <v>1675</v>
      </c>
      <c r="BN292" s="1">
        <v>1580</v>
      </c>
      <c r="BO292" s="1">
        <v>1585</v>
      </c>
      <c r="BP292" s="1">
        <v>1546</v>
      </c>
      <c r="BQ292" s="1">
        <v>1522</v>
      </c>
      <c r="BR292" s="1">
        <v>1507</v>
      </c>
      <c r="BS292" s="1">
        <v>1512</v>
      </c>
      <c r="BT292" s="1">
        <v>1542</v>
      </c>
      <c r="BU292" s="1">
        <v>1527</v>
      </c>
      <c r="BV292" s="1">
        <v>1487</v>
      </c>
      <c r="BW292" s="1">
        <v>1441</v>
      </c>
      <c r="BX292" s="1">
        <v>1443</v>
      </c>
      <c r="BY292" s="1">
        <v>1362</v>
      </c>
      <c r="BZ292" s="1">
        <v>1340</v>
      </c>
    </row>
    <row r="293" spans="1:254">
      <c r="A293" s="62" t="s">
        <v>506</v>
      </c>
      <c r="B293" s="1" t="str">
        <f>銘柄管理!C293</f>
        <v>山形銀行</v>
      </c>
      <c r="C293" s="1">
        <f>_xll.RssMarket("8344","安値")</f>
        <v>4030</v>
      </c>
      <c r="E293" s="1">
        <v>4030</v>
      </c>
      <c r="F293" s="1">
        <v>3915</v>
      </c>
      <c r="G293" s="1">
        <v>3610</v>
      </c>
      <c r="H293" s="1">
        <v>3600</v>
      </c>
      <c r="I293" s="1">
        <v>3680</v>
      </c>
      <c r="J293" s="1">
        <v>3665</v>
      </c>
      <c r="K293" s="1">
        <v>3770</v>
      </c>
      <c r="L293" s="1">
        <v>3995</v>
      </c>
      <c r="M293" s="1">
        <v>4040</v>
      </c>
      <c r="N293" s="1">
        <v>3810</v>
      </c>
      <c r="O293" s="1">
        <v>3830</v>
      </c>
      <c r="P293" s="1">
        <v>3750</v>
      </c>
      <c r="Q293" s="1">
        <v>3615</v>
      </c>
      <c r="R293" s="1">
        <v>3555</v>
      </c>
      <c r="S293" s="1">
        <v>3765</v>
      </c>
      <c r="T293" s="1">
        <v>3610</v>
      </c>
      <c r="U293" s="1">
        <v>3645</v>
      </c>
      <c r="V293" s="1">
        <v>3690</v>
      </c>
      <c r="W293" s="1">
        <v>3715</v>
      </c>
      <c r="X293" s="1">
        <v>3815</v>
      </c>
      <c r="Y293" s="1">
        <v>3870</v>
      </c>
      <c r="Z293" s="1">
        <v>3935</v>
      </c>
      <c r="AA293" s="1">
        <v>3810</v>
      </c>
      <c r="AB293" s="1">
        <v>3670</v>
      </c>
      <c r="AC293" s="1">
        <v>3500</v>
      </c>
      <c r="AD293" s="1">
        <v>3465</v>
      </c>
      <c r="AE293" s="1">
        <v>3360</v>
      </c>
      <c r="AF293" s="1">
        <v>3270</v>
      </c>
      <c r="AG293" s="1">
        <v>3250</v>
      </c>
      <c r="AH293" s="1">
        <v>3205</v>
      </c>
      <c r="AI293" s="1">
        <v>3330</v>
      </c>
      <c r="AJ293" s="1">
        <v>3300</v>
      </c>
      <c r="AK293" s="1">
        <v>3305</v>
      </c>
      <c r="AL293" s="1">
        <v>3450</v>
      </c>
      <c r="AM293" s="1">
        <v>3440</v>
      </c>
      <c r="AN293" s="1">
        <v>3445</v>
      </c>
      <c r="AO293" s="1">
        <v>3505</v>
      </c>
      <c r="AP293" s="1">
        <v>3400</v>
      </c>
      <c r="AQ293" s="1">
        <v>3305</v>
      </c>
      <c r="AR293" s="1">
        <v>3200</v>
      </c>
      <c r="AS293" s="1">
        <v>2982</v>
      </c>
      <c r="AT293" s="1">
        <v>3025</v>
      </c>
      <c r="AU293" s="1">
        <v>2919</v>
      </c>
      <c r="AV293" s="1">
        <v>2972</v>
      </c>
      <c r="AW293" s="1">
        <v>2923</v>
      </c>
      <c r="AX293" s="1">
        <v>3085</v>
      </c>
      <c r="AY293" s="1">
        <v>3000</v>
      </c>
      <c r="AZ293" s="1">
        <v>2988</v>
      </c>
      <c r="BA293" s="1">
        <v>2914</v>
      </c>
      <c r="BB293" s="1">
        <v>3025</v>
      </c>
      <c r="BC293" s="1">
        <v>3025</v>
      </c>
      <c r="BD293" s="1">
        <v>2948</v>
      </c>
      <c r="BE293" s="1">
        <v>2891</v>
      </c>
      <c r="BF293" s="1">
        <v>2666</v>
      </c>
      <c r="BG293" s="1">
        <v>2593</v>
      </c>
      <c r="BH293" s="1">
        <v>2579</v>
      </c>
      <c r="BI293" s="1">
        <v>2539</v>
      </c>
      <c r="BJ293" s="1">
        <v>2538</v>
      </c>
      <c r="BK293" s="1">
        <v>2504</v>
      </c>
      <c r="BL293" s="1">
        <v>2469</v>
      </c>
      <c r="BM293" s="1">
        <v>2557</v>
      </c>
      <c r="BN293" s="1">
        <v>2486</v>
      </c>
      <c r="BO293" s="1">
        <v>2450</v>
      </c>
      <c r="BP293" s="1">
        <v>2405</v>
      </c>
      <c r="BQ293" s="1">
        <v>2357</v>
      </c>
      <c r="BR293" s="1">
        <v>2415</v>
      </c>
      <c r="BS293" s="1">
        <v>2457</v>
      </c>
      <c r="BT293" s="1">
        <v>2521</v>
      </c>
      <c r="BU293" s="1">
        <v>2628</v>
      </c>
      <c r="BV293" s="1">
        <v>2718</v>
      </c>
      <c r="BW293" s="1">
        <v>2769</v>
      </c>
      <c r="BX293" s="1">
        <v>2751</v>
      </c>
      <c r="BY293" s="1">
        <v>2720</v>
      </c>
      <c r="BZ293" s="1">
        <v>2666</v>
      </c>
    </row>
    <row r="294" spans="1:254">
      <c r="A294" s="62" t="s">
        <v>507</v>
      </c>
      <c r="B294" s="1" t="str">
        <f>銘柄管理!C294</f>
        <v>小野建</v>
      </c>
      <c r="C294" s="1">
        <f>_xll.RssMarket("7414","安値")</f>
        <v>1402</v>
      </c>
      <c r="E294" s="1">
        <v>1402</v>
      </c>
      <c r="F294" s="1">
        <v>1405</v>
      </c>
      <c r="G294" s="1">
        <v>1403</v>
      </c>
      <c r="H294" s="1">
        <v>1402</v>
      </c>
      <c r="I294" s="1">
        <v>1438</v>
      </c>
      <c r="J294" s="1">
        <v>1439</v>
      </c>
      <c r="K294" s="1">
        <v>1445</v>
      </c>
      <c r="L294" s="1">
        <v>1426</v>
      </c>
      <c r="M294" s="1">
        <v>1437</v>
      </c>
      <c r="O294" s="1">
        <v>1424</v>
      </c>
      <c r="P294" s="1">
        <v>1405</v>
      </c>
      <c r="Q294" s="1">
        <v>1401</v>
      </c>
      <c r="R294" s="1">
        <v>1400</v>
      </c>
      <c r="S294" s="1">
        <v>1385</v>
      </c>
      <c r="T294" s="1">
        <v>1382</v>
      </c>
      <c r="U294" s="1">
        <v>1378</v>
      </c>
      <c r="V294" s="1">
        <v>1374</v>
      </c>
      <c r="W294" s="1">
        <v>1367</v>
      </c>
      <c r="X294" s="1">
        <v>1370</v>
      </c>
      <c r="Y294" s="1">
        <v>1368</v>
      </c>
      <c r="Z294" s="1">
        <v>1361</v>
      </c>
      <c r="AA294" s="1">
        <v>1341</v>
      </c>
      <c r="AB294" s="1">
        <v>1329</v>
      </c>
      <c r="AC294" s="1">
        <v>1320</v>
      </c>
      <c r="AD294" s="1">
        <v>1330</v>
      </c>
      <c r="AE294" s="1">
        <v>1326</v>
      </c>
      <c r="AF294" s="1">
        <v>1319</v>
      </c>
      <c r="AG294" s="1">
        <v>1320</v>
      </c>
      <c r="AH294" s="1">
        <v>1322</v>
      </c>
      <c r="AI294" s="1">
        <v>1320</v>
      </c>
      <c r="AJ294" s="1">
        <v>1315</v>
      </c>
      <c r="AK294" s="1">
        <v>1310</v>
      </c>
      <c r="AL294" s="1">
        <v>1324</v>
      </c>
      <c r="AM294" s="1">
        <v>1329</v>
      </c>
      <c r="AN294" s="1">
        <v>1315</v>
      </c>
      <c r="AO294" s="1">
        <v>1323</v>
      </c>
      <c r="AP294" s="1">
        <v>1309</v>
      </c>
      <c r="AQ294" s="1">
        <v>1295</v>
      </c>
      <c r="AR294" s="1">
        <v>1299</v>
      </c>
      <c r="AS294" s="1">
        <v>1306</v>
      </c>
      <c r="AT294" s="1">
        <v>1314</v>
      </c>
      <c r="AU294" s="1">
        <v>1301</v>
      </c>
      <c r="AV294" s="1">
        <v>1293</v>
      </c>
      <c r="AW294" s="1">
        <v>1289</v>
      </c>
      <c r="AX294" s="1">
        <v>1344</v>
      </c>
      <c r="AY294" s="1">
        <v>1332</v>
      </c>
      <c r="AZ294" s="1">
        <v>1330</v>
      </c>
      <c r="BA294" s="1">
        <v>1315</v>
      </c>
      <c r="BB294" s="1">
        <v>1319</v>
      </c>
      <c r="BC294" s="1">
        <v>1325</v>
      </c>
      <c r="BD294" s="1">
        <v>1320</v>
      </c>
      <c r="BE294" s="1">
        <v>1336</v>
      </c>
      <c r="BF294" s="1">
        <v>1330</v>
      </c>
      <c r="BG294" s="1">
        <v>1350</v>
      </c>
      <c r="BH294" s="1">
        <v>1429</v>
      </c>
      <c r="BI294" s="1">
        <v>1428</v>
      </c>
      <c r="BJ294" s="1">
        <v>1435</v>
      </c>
      <c r="BK294" s="1">
        <v>1423</v>
      </c>
      <c r="BL294" s="1">
        <v>1418</v>
      </c>
      <c r="BM294" s="1">
        <v>1414</v>
      </c>
      <c r="BN294" s="1">
        <v>1385</v>
      </c>
      <c r="BO294" s="1">
        <v>1381</v>
      </c>
      <c r="BP294" s="1">
        <v>1373</v>
      </c>
      <c r="BQ294" s="1">
        <v>1372</v>
      </c>
      <c r="BR294" s="1">
        <v>1371</v>
      </c>
      <c r="BS294" s="1">
        <v>1365</v>
      </c>
      <c r="BT294" s="1">
        <v>1380</v>
      </c>
      <c r="BU294" s="1">
        <v>1394</v>
      </c>
      <c r="BV294" s="1">
        <v>1395</v>
      </c>
      <c r="BW294" s="1">
        <v>1393</v>
      </c>
      <c r="BX294" s="1">
        <v>1400</v>
      </c>
      <c r="BY294" s="1">
        <v>1401</v>
      </c>
      <c r="BZ294" s="1">
        <v>1402</v>
      </c>
    </row>
    <row r="295" spans="1:254">
      <c r="A295" s="62" t="s">
        <v>508</v>
      </c>
      <c r="B295" s="1" t="str">
        <f>銘柄管理!C295</f>
        <v>ＣＫＤ</v>
      </c>
      <c r="C295" s="1">
        <f>_xll.RssMarket("6407","安値")</f>
        <v>6350</v>
      </c>
      <c r="E295" s="1">
        <v>6350</v>
      </c>
      <c r="F295" s="1">
        <v>6500</v>
      </c>
      <c r="G295" s="1">
        <v>5880</v>
      </c>
      <c r="H295" s="1">
        <v>5690</v>
      </c>
      <c r="I295" s="1">
        <v>5800</v>
      </c>
      <c r="J295" s="1">
        <v>4975</v>
      </c>
      <c r="K295" s="1">
        <v>4975</v>
      </c>
      <c r="L295" s="1">
        <v>5470</v>
      </c>
      <c r="M295" s="1">
        <v>6170</v>
      </c>
      <c r="O295" s="1">
        <v>6650</v>
      </c>
      <c r="P295" s="1">
        <v>6570</v>
      </c>
      <c r="Q295" s="1">
        <v>6140</v>
      </c>
      <c r="R295" s="1">
        <v>6080</v>
      </c>
      <c r="S295" s="1">
        <v>6770</v>
      </c>
      <c r="T295" s="1">
        <v>6440</v>
      </c>
      <c r="U295" s="1">
        <v>6780</v>
      </c>
      <c r="V295" s="1">
        <v>6960</v>
      </c>
      <c r="W295" s="1">
        <v>6720</v>
      </c>
      <c r="X295" s="1">
        <v>6640</v>
      </c>
      <c r="Y295" s="1">
        <v>6770</v>
      </c>
      <c r="Z295" s="1">
        <v>7300</v>
      </c>
      <c r="AA295" s="1">
        <v>6850</v>
      </c>
      <c r="AB295" s="1">
        <v>7340</v>
      </c>
      <c r="AC295" s="1">
        <v>7640</v>
      </c>
      <c r="AD295" s="1">
        <v>7360</v>
      </c>
      <c r="AE295" s="1">
        <v>7050</v>
      </c>
      <c r="AF295" s="1">
        <v>7210</v>
      </c>
      <c r="AG295" s="1">
        <v>7720</v>
      </c>
      <c r="AH295" s="1">
        <v>7300</v>
      </c>
      <c r="AI295" s="1">
        <v>7600</v>
      </c>
      <c r="AJ295" s="1">
        <v>7780</v>
      </c>
      <c r="AK295" s="1">
        <v>7620</v>
      </c>
      <c r="AL295" s="1">
        <v>7700</v>
      </c>
      <c r="AM295" s="1">
        <v>7290</v>
      </c>
      <c r="AN295" s="1">
        <v>7270</v>
      </c>
      <c r="AO295" s="1">
        <v>6890</v>
      </c>
      <c r="AP295" s="1">
        <v>6490</v>
      </c>
      <c r="AQ295" s="1">
        <v>5760</v>
      </c>
      <c r="AR295" s="1">
        <v>5980</v>
      </c>
      <c r="AS295" s="1">
        <v>5680</v>
      </c>
      <c r="AT295" s="1">
        <v>6090</v>
      </c>
      <c r="AU295" s="1">
        <v>6240</v>
      </c>
      <c r="AV295" s="1">
        <v>6290</v>
      </c>
      <c r="AW295" s="1">
        <v>6090</v>
      </c>
      <c r="AX295" s="1">
        <v>6490</v>
      </c>
      <c r="AY295" s="1">
        <v>6360</v>
      </c>
      <c r="AZ295" s="1">
        <v>6650</v>
      </c>
      <c r="BA295" s="1">
        <v>6740</v>
      </c>
      <c r="BB295" s="1">
        <v>6740</v>
      </c>
      <c r="BC295" s="1">
        <v>5950</v>
      </c>
      <c r="BD295" s="1">
        <v>5750</v>
      </c>
      <c r="BE295" s="1">
        <v>5830</v>
      </c>
      <c r="BF295" s="1">
        <v>5930</v>
      </c>
      <c r="BG295" s="1">
        <v>6730</v>
      </c>
      <c r="BH295" s="1">
        <v>6890</v>
      </c>
      <c r="BI295" s="1">
        <v>6700</v>
      </c>
      <c r="BJ295" s="1">
        <v>6760</v>
      </c>
      <c r="BK295" s="1">
        <v>6460</v>
      </c>
      <c r="BL295" s="1">
        <v>6240</v>
      </c>
      <c r="BM295" s="1">
        <v>6470</v>
      </c>
      <c r="BN295" s="1">
        <v>5960</v>
      </c>
      <c r="BO295" s="1">
        <v>5870</v>
      </c>
      <c r="BP295" s="1">
        <v>5750</v>
      </c>
      <c r="BQ295" s="1">
        <v>5480</v>
      </c>
      <c r="BR295" s="1">
        <v>5430</v>
      </c>
      <c r="BS295" s="1">
        <v>5450</v>
      </c>
      <c r="BT295" s="1">
        <v>5570</v>
      </c>
      <c r="BU295" s="1">
        <v>5560</v>
      </c>
      <c r="BV295" s="1">
        <v>5560</v>
      </c>
      <c r="BW295" s="1">
        <v>5540</v>
      </c>
      <c r="BX295" s="1">
        <v>5500</v>
      </c>
      <c r="BY295" s="1">
        <v>5580</v>
      </c>
      <c r="BZ295" s="1">
        <v>5690</v>
      </c>
    </row>
    <row r="296" spans="1:254">
      <c r="A296" s="62" t="s">
        <v>509</v>
      </c>
      <c r="B296" s="1" t="str">
        <f>銘柄管理!C296</f>
        <v>ベルトラ</v>
      </c>
      <c r="C296" s="1">
        <f>_xll.RssMarket("7048","安値")</f>
        <v>157</v>
      </c>
      <c r="E296" s="1">
        <v>157</v>
      </c>
      <c r="F296" s="1">
        <v>156</v>
      </c>
      <c r="G296" s="1">
        <v>157</v>
      </c>
      <c r="H296" s="1">
        <v>154</v>
      </c>
      <c r="I296" s="1">
        <v>156</v>
      </c>
      <c r="J296" s="1">
        <v>154</v>
      </c>
      <c r="K296" s="1">
        <v>155</v>
      </c>
      <c r="L296" s="1">
        <v>156</v>
      </c>
      <c r="M296" s="1">
        <v>156</v>
      </c>
      <c r="O296" s="1">
        <v>152</v>
      </c>
      <c r="P296" s="1">
        <v>158</v>
      </c>
      <c r="Q296" s="1">
        <v>164</v>
      </c>
      <c r="R296" s="1">
        <v>174</v>
      </c>
      <c r="S296" s="1">
        <v>175</v>
      </c>
      <c r="T296" s="1">
        <v>171</v>
      </c>
      <c r="U296" s="1">
        <v>170</v>
      </c>
      <c r="V296" s="1">
        <v>165</v>
      </c>
      <c r="W296" s="1">
        <v>161</v>
      </c>
      <c r="X296" s="1">
        <v>156</v>
      </c>
      <c r="Y296" s="1">
        <v>161</v>
      </c>
      <c r="Z296" s="1">
        <v>166</v>
      </c>
      <c r="AA296" s="1">
        <v>166</v>
      </c>
      <c r="AB296" s="1">
        <v>163</v>
      </c>
      <c r="AC296" s="1">
        <v>162</v>
      </c>
      <c r="AD296" s="1">
        <v>162</v>
      </c>
      <c r="AE296" s="1">
        <v>163</v>
      </c>
      <c r="AF296" s="1">
        <v>161</v>
      </c>
      <c r="AG296" s="1">
        <v>159</v>
      </c>
      <c r="AH296" s="1">
        <v>171</v>
      </c>
      <c r="AI296" s="1">
        <v>166</v>
      </c>
      <c r="AJ296" s="1">
        <v>148</v>
      </c>
      <c r="AK296" s="1">
        <v>144</v>
      </c>
      <c r="AL296" s="1">
        <v>130</v>
      </c>
      <c r="AM296" s="1">
        <v>124</v>
      </c>
      <c r="AN296" s="1">
        <v>122</v>
      </c>
      <c r="AO296" s="1">
        <v>120</v>
      </c>
      <c r="AP296" s="1">
        <v>116</v>
      </c>
      <c r="AQ296" s="1">
        <v>115</v>
      </c>
      <c r="AR296" s="1">
        <v>116</v>
      </c>
      <c r="AS296" s="1">
        <v>125</v>
      </c>
      <c r="AT296" s="1">
        <v>129</v>
      </c>
      <c r="AU296" s="1">
        <v>126</v>
      </c>
      <c r="AV296" s="1">
        <v>126</v>
      </c>
      <c r="AW296" s="1">
        <v>126</v>
      </c>
      <c r="AX296" s="1">
        <v>130</v>
      </c>
      <c r="AY296" s="1">
        <v>130</v>
      </c>
      <c r="AZ296" s="1">
        <v>132</v>
      </c>
      <c r="BA296" s="1">
        <v>136</v>
      </c>
      <c r="BB296" s="1">
        <v>141</v>
      </c>
      <c r="BC296" s="1">
        <v>143</v>
      </c>
      <c r="BD296" s="1">
        <v>141</v>
      </c>
      <c r="BE296" s="1">
        <v>145</v>
      </c>
      <c r="BF296" s="1">
        <v>144</v>
      </c>
      <c r="BG296" s="1">
        <v>143</v>
      </c>
      <c r="BH296" s="1">
        <v>159</v>
      </c>
      <c r="BI296" s="1">
        <v>161</v>
      </c>
      <c r="BJ296" s="1">
        <v>159</v>
      </c>
      <c r="BK296" s="1">
        <v>161</v>
      </c>
      <c r="BL296" s="1">
        <v>160</v>
      </c>
      <c r="BM296" s="1">
        <v>161</v>
      </c>
      <c r="BN296" s="1">
        <v>158</v>
      </c>
      <c r="BO296" s="1">
        <v>158</v>
      </c>
      <c r="BP296" s="1">
        <v>160</v>
      </c>
      <c r="BQ296" s="1">
        <v>161</v>
      </c>
      <c r="BR296" s="1">
        <v>162</v>
      </c>
      <c r="BS296" s="1">
        <v>167</v>
      </c>
      <c r="BT296" s="1">
        <v>172</v>
      </c>
      <c r="BU296" s="1">
        <v>178</v>
      </c>
      <c r="BV296" s="1">
        <v>182</v>
      </c>
      <c r="BW296" s="1">
        <v>184</v>
      </c>
      <c r="BX296" s="1">
        <v>176</v>
      </c>
      <c r="BY296" s="1">
        <v>175</v>
      </c>
      <c r="BZ296" s="1">
        <v>172</v>
      </c>
    </row>
    <row r="297" spans="1:254">
      <c r="A297" s="62" t="s">
        <v>510</v>
      </c>
      <c r="B297" s="1" t="str">
        <f>銘柄管理!C297</f>
        <v>長谷工コーポレーシヨン</v>
      </c>
      <c r="C297" s="1">
        <f>_xll.RssMarket("1808","安値")</f>
        <v>2653</v>
      </c>
      <c r="E297" s="1">
        <v>2653</v>
      </c>
      <c r="F297" s="1">
        <v>2632.5</v>
      </c>
      <c r="G297" s="1">
        <v>2655</v>
      </c>
      <c r="H297" s="1">
        <v>2701</v>
      </c>
      <c r="I297" s="1">
        <v>2780</v>
      </c>
      <c r="J297" s="1">
        <v>2811.5</v>
      </c>
      <c r="K297" s="1">
        <v>2833.5</v>
      </c>
      <c r="L297" s="1">
        <v>2826</v>
      </c>
      <c r="M297" s="1">
        <v>2783.5</v>
      </c>
      <c r="N297" s="1">
        <v>2736.5</v>
      </c>
      <c r="O297" s="1">
        <v>2742</v>
      </c>
      <c r="P297" s="1">
        <v>2787.5</v>
      </c>
      <c r="Q297" s="1">
        <v>2812</v>
      </c>
      <c r="R297" s="1">
        <v>2799</v>
      </c>
      <c r="S297" s="1">
        <v>2807</v>
      </c>
      <c r="T297" s="1">
        <v>2766.5</v>
      </c>
      <c r="U297" s="1">
        <v>2731</v>
      </c>
      <c r="V297" s="1">
        <v>2755.5</v>
      </c>
      <c r="W297" s="1">
        <v>2761.5</v>
      </c>
      <c r="X297" s="1">
        <v>2836</v>
      </c>
      <c r="Y297" s="1">
        <v>2841</v>
      </c>
      <c r="Z297" s="1">
        <v>2826</v>
      </c>
      <c r="AA297" s="1">
        <v>2825</v>
      </c>
      <c r="AB297" s="1">
        <v>2776</v>
      </c>
      <c r="AC297" s="1">
        <v>2758</v>
      </c>
      <c r="AD297" s="1">
        <v>2822.5</v>
      </c>
      <c r="AE297" s="1">
        <v>2834</v>
      </c>
      <c r="AF297" s="1">
        <v>2767</v>
      </c>
      <c r="AG297" s="1">
        <v>2754</v>
      </c>
      <c r="AH297" s="1">
        <v>2701.5</v>
      </c>
      <c r="AI297" s="1">
        <v>2711.5</v>
      </c>
      <c r="AJ297" s="1">
        <v>2663.5</v>
      </c>
      <c r="AK297" s="1">
        <v>2628</v>
      </c>
      <c r="AL297" s="1">
        <v>2653</v>
      </c>
      <c r="AM297" s="1">
        <v>2695.5</v>
      </c>
      <c r="AN297" s="1">
        <v>2673</v>
      </c>
      <c r="AO297" s="1">
        <v>2699.5</v>
      </c>
      <c r="AP297" s="1">
        <v>2690.5</v>
      </c>
      <c r="AQ297" s="1">
        <v>2706.5</v>
      </c>
      <c r="AR297" s="1">
        <v>2679</v>
      </c>
      <c r="AS297" s="1">
        <v>2619</v>
      </c>
      <c r="AT297" s="1">
        <v>2633</v>
      </c>
      <c r="AU297" s="1">
        <v>2592</v>
      </c>
      <c r="AV297" s="1">
        <v>2599.5</v>
      </c>
      <c r="AW297" s="1">
        <v>2555</v>
      </c>
      <c r="AX297" s="1">
        <v>2686</v>
      </c>
      <c r="AY297" s="1">
        <v>2679.5</v>
      </c>
      <c r="AZ297" s="1">
        <v>2692.5</v>
      </c>
      <c r="BA297" s="1">
        <v>2665</v>
      </c>
      <c r="BB297" s="1">
        <v>2686.5</v>
      </c>
      <c r="BC297" s="1">
        <v>2714.5</v>
      </c>
      <c r="BD297" s="1">
        <v>2687</v>
      </c>
      <c r="BE297" s="1">
        <v>2754</v>
      </c>
      <c r="BF297" s="1">
        <v>2825.5</v>
      </c>
      <c r="BG297" s="1">
        <v>2657.5</v>
      </c>
      <c r="BH297" s="1">
        <v>2688</v>
      </c>
      <c r="BI297" s="1">
        <v>2770.5</v>
      </c>
      <c r="BJ297" s="1">
        <v>2721.5</v>
      </c>
      <c r="BK297" s="1">
        <v>2732</v>
      </c>
      <c r="BL297" s="1">
        <v>2698.5</v>
      </c>
      <c r="BM297" s="1">
        <v>2732.5</v>
      </c>
      <c r="BN297" s="1">
        <v>2680</v>
      </c>
      <c r="BO297" s="1">
        <v>2692.5</v>
      </c>
      <c r="BP297" s="1">
        <v>2735</v>
      </c>
      <c r="BQ297" s="1">
        <v>2650.5</v>
      </c>
      <c r="BR297" s="1">
        <v>2680.5</v>
      </c>
      <c r="BS297" s="1">
        <v>2693</v>
      </c>
      <c r="BT297" s="1">
        <v>2738</v>
      </c>
      <c r="BU297" s="1">
        <v>2750</v>
      </c>
      <c r="BV297" s="1">
        <v>2762.5</v>
      </c>
      <c r="BW297" s="1">
        <v>2730</v>
      </c>
      <c r="BX297" s="1">
        <v>2760</v>
      </c>
      <c r="BY297" s="1">
        <v>2732</v>
      </c>
      <c r="BZ297" s="1">
        <v>2706</v>
      </c>
    </row>
    <row r="298" spans="1:254">
      <c r="A298" s="62" t="s">
        <v>511</v>
      </c>
      <c r="B298" s="1" t="str">
        <f>銘柄管理!C298</f>
        <v>ＵＢＥ</v>
      </c>
      <c r="C298" s="1">
        <f>_xll.RssMarket("4208","安値")</f>
        <v>3219</v>
      </c>
      <c r="E298" s="1">
        <v>3219</v>
      </c>
      <c r="F298" s="1">
        <v>3168</v>
      </c>
      <c r="G298" s="1">
        <v>3130</v>
      </c>
      <c r="H298" s="1">
        <v>3089</v>
      </c>
      <c r="I298" s="1">
        <v>3137</v>
      </c>
      <c r="J298" s="1">
        <v>3149</v>
      </c>
      <c r="K298" s="1">
        <v>3139</v>
      </c>
      <c r="L298" s="1">
        <v>3192</v>
      </c>
      <c r="M298" s="1">
        <v>3288</v>
      </c>
      <c r="O298" s="1">
        <v>3244</v>
      </c>
      <c r="P298" s="1">
        <v>3228</v>
      </c>
      <c r="Q298" s="1">
        <v>3215</v>
      </c>
      <c r="R298" s="1">
        <v>3166</v>
      </c>
      <c r="S298" s="1">
        <v>3214</v>
      </c>
      <c r="T298" s="1">
        <v>3100</v>
      </c>
      <c r="U298" s="1">
        <v>3096</v>
      </c>
      <c r="V298" s="1">
        <v>3141</v>
      </c>
      <c r="W298" s="1">
        <v>3146</v>
      </c>
      <c r="X298" s="1">
        <v>3166</v>
      </c>
      <c r="Y298" s="1">
        <v>3189</v>
      </c>
      <c r="Z298" s="1">
        <v>3243</v>
      </c>
      <c r="AA298" s="1">
        <v>3175</v>
      </c>
      <c r="AB298" s="1">
        <v>3166</v>
      </c>
      <c r="AC298" s="1">
        <v>3137</v>
      </c>
      <c r="AD298" s="1">
        <v>3146</v>
      </c>
      <c r="AE298" s="1">
        <v>3119</v>
      </c>
      <c r="AF298" s="1">
        <v>3115</v>
      </c>
      <c r="AG298" s="1">
        <v>3140</v>
      </c>
      <c r="AH298" s="1">
        <v>3085</v>
      </c>
      <c r="AI298" s="1">
        <v>3116</v>
      </c>
      <c r="AJ298" s="1">
        <v>3190</v>
      </c>
      <c r="AK298" s="1">
        <v>3191</v>
      </c>
      <c r="AL298" s="1">
        <v>3221</v>
      </c>
      <c r="AM298" s="1">
        <v>3148</v>
      </c>
      <c r="AN298" s="1">
        <v>3168</v>
      </c>
      <c r="AO298" s="1">
        <v>3120</v>
      </c>
      <c r="AP298" s="1">
        <v>3022</v>
      </c>
      <c r="AQ298" s="1">
        <v>2964</v>
      </c>
      <c r="AR298" s="1">
        <v>2962.5</v>
      </c>
      <c r="AS298" s="1">
        <v>2883</v>
      </c>
      <c r="AT298" s="1">
        <v>2897</v>
      </c>
      <c r="AU298" s="1">
        <v>2937.5</v>
      </c>
      <c r="AV298" s="1">
        <v>2951</v>
      </c>
      <c r="AW298" s="1">
        <v>2857</v>
      </c>
      <c r="AX298" s="1">
        <v>2930.5</v>
      </c>
      <c r="AY298" s="1">
        <v>2892.5</v>
      </c>
      <c r="AZ298" s="1">
        <v>2960</v>
      </c>
      <c r="BA298" s="1">
        <v>2969.5</v>
      </c>
      <c r="BB298" s="1">
        <v>2956.5</v>
      </c>
      <c r="BC298" s="1">
        <v>2900</v>
      </c>
      <c r="BD298" s="1">
        <v>2660</v>
      </c>
      <c r="BE298" s="1">
        <v>2364</v>
      </c>
      <c r="BF298" s="1">
        <v>2376.5</v>
      </c>
      <c r="BG298" s="1">
        <v>2365.5</v>
      </c>
      <c r="BH298" s="1">
        <v>2432</v>
      </c>
      <c r="BI298" s="1">
        <v>2325.5</v>
      </c>
      <c r="BJ298" s="1">
        <v>2313.5</v>
      </c>
      <c r="BK298" s="1">
        <v>2376.5</v>
      </c>
      <c r="BL298" s="1">
        <v>2358.5</v>
      </c>
      <c r="BM298" s="1">
        <v>2379.5</v>
      </c>
      <c r="BN298" s="1">
        <v>2351.5</v>
      </c>
      <c r="BO298" s="1">
        <v>2334.5</v>
      </c>
      <c r="BP298" s="1">
        <v>2358</v>
      </c>
      <c r="BQ298" s="1">
        <v>2333.5</v>
      </c>
      <c r="BR298" s="1">
        <v>2337.5</v>
      </c>
      <c r="BS298" s="1">
        <v>2327.5</v>
      </c>
      <c r="BT298" s="1">
        <v>2375.5</v>
      </c>
      <c r="BU298" s="1">
        <v>2413</v>
      </c>
      <c r="BV298" s="1">
        <v>2412.5</v>
      </c>
      <c r="BW298" s="1">
        <v>2424.5</v>
      </c>
      <c r="BX298" s="1">
        <v>2421</v>
      </c>
      <c r="BY298" s="1">
        <v>2410</v>
      </c>
      <c r="BZ298" s="1">
        <v>2400.5</v>
      </c>
    </row>
    <row r="299" spans="1:254">
      <c r="A299" s="62" t="s">
        <v>512</v>
      </c>
      <c r="B299" s="1" t="str">
        <f>銘柄管理!C299</f>
        <v>アストロスケールホールディンク</v>
      </c>
      <c r="C299" s="1">
        <f>_xll.RssMarket("186A","安値")</f>
        <v>1149</v>
      </c>
      <c r="E299" s="1">
        <v>1149</v>
      </c>
      <c r="F299" s="1">
        <v>1131</v>
      </c>
      <c r="G299" s="1">
        <v>1066</v>
      </c>
      <c r="H299" s="1">
        <v>988</v>
      </c>
      <c r="I299" s="1">
        <v>953</v>
      </c>
      <c r="J299" s="1">
        <v>925</v>
      </c>
      <c r="K299" s="1">
        <v>897</v>
      </c>
      <c r="L299" s="1">
        <v>982</v>
      </c>
      <c r="M299" s="1">
        <v>1002</v>
      </c>
      <c r="N299" s="1">
        <v>1008</v>
      </c>
      <c r="O299" s="1">
        <v>1020</v>
      </c>
      <c r="P299" s="1">
        <v>1005</v>
      </c>
      <c r="Q299" s="1">
        <v>951</v>
      </c>
      <c r="R299" s="1">
        <v>945</v>
      </c>
      <c r="S299" s="1">
        <v>1055</v>
      </c>
      <c r="T299" s="1">
        <v>1046</v>
      </c>
      <c r="U299" s="1">
        <v>1093</v>
      </c>
      <c r="V299" s="1">
        <v>1078</v>
      </c>
      <c r="W299" s="1">
        <v>1053</v>
      </c>
      <c r="X299" s="1">
        <v>1067</v>
      </c>
      <c r="Y299" s="1">
        <v>1141</v>
      </c>
      <c r="Z299" s="1">
        <v>1208</v>
      </c>
      <c r="AA299" s="1">
        <v>1128</v>
      </c>
      <c r="AB299" s="1">
        <v>1102</v>
      </c>
      <c r="AC299" s="1">
        <v>1108</v>
      </c>
      <c r="AD299" s="1">
        <v>1151</v>
      </c>
      <c r="AE299" s="1">
        <v>1083</v>
      </c>
      <c r="AF299" s="1">
        <v>1084</v>
      </c>
      <c r="AG299" s="1">
        <v>1104</v>
      </c>
      <c r="AH299" s="1">
        <v>1151</v>
      </c>
      <c r="AI299" s="1">
        <v>1150</v>
      </c>
      <c r="AJ299" s="1">
        <v>1201</v>
      </c>
      <c r="AK299" s="1">
        <v>1158</v>
      </c>
      <c r="AL299" s="1">
        <v>1304</v>
      </c>
      <c r="AM299" s="1">
        <v>1304</v>
      </c>
      <c r="AN299" s="1">
        <v>1328</v>
      </c>
      <c r="AO299" s="1">
        <v>1505</v>
      </c>
      <c r="AP299" s="1">
        <v>1836</v>
      </c>
      <c r="AQ299" s="1">
        <v>1690</v>
      </c>
      <c r="AR299" s="1">
        <v>1718</v>
      </c>
      <c r="AS299" s="1">
        <v>1910</v>
      </c>
      <c r="AT299" s="1">
        <v>2020</v>
      </c>
      <c r="AU299" s="1">
        <v>1788</v>
      </c>
      <c r="AV299" s="1">
        <v>2002</v>
      </c>
      <c r="AW299" s="1">
        <v>2015</v>
      </c>
      <c r="AX299" s="1">
        <v>2614</v>
      </c>
      <c r="AY299" s="1">
        <v>2633</v>
      </c>
      <c r="AZ299" s="1">
        <v>2616</v>
      </c>
      <c r="BA299" s="1">
        <v>2612</v>
      </c>
      <c r="BB299" s="1">
        <v>1988</v>
      </c>
      <c r="BC299" s="1">
        <v>1832</v>
      </c>
      <c r="BD299" s="1">
        <v>1863</v>
      </c>
      <c r="BE299" s="1">
        <v>1914</v>
      </c>
      <c r="BF299" s="1">
        <v>1865</v>
      </c>
      <c r="BG299" s="1">
        <v>1873</v>
      </c>
      <c r="BH299" s="1">
        <v>1770</v>
      </c>
      <c r="BI299" s="1">
        <v>1696</v>
      </c>
      <c r="BJ299" s="1">
        <v>1703</v>
      </c>
      <c r="BK299" s="1">
        <v>1651</v>
      </c>
      <c r="BL299" s="1">
        <v>1388</v>
      </c>
      <c r="BM299" s="1">
        <v>1328</v>
      </c>
      <c r="BN299" s="1">
        <v>1237</v>
      </c>
      <c r="BO299" s="1">
        <v>1251</v>
      </c>
      <c r="BP299" s="1">
        <v>1220</v>
      </c>
      <c r="BQ299" s="1">
        <v>1219</v>
      </c>
      <c r="BR299" s="1">
        <v>1285</v>
      </c>
      <c r="BS299" s="1">
        <v>1360</v>
      </c>
      <c r="BT299" s="1">
        <v>1431</v>
      </c>
      <c r="BU299" s="1">
        <v>1449</v>
      </c>
      <c r="BV299" s="1">
        <v>1353</v>
      </c>
      <c r="BW299" s="1">
        <v>1327</v>
      </c>
      <c r="BX299" s="1">
        <v>1354</v>
      </c>
      <c r="BY299" s="1">
        <v>1335</v>
      </c>
      <c r="BZ299" s="1">
        <v>1292</v>
      </c>
    </row>
    <row r="300" spans="1:254">
      <c r="A300" s="62" t="s">
        <v>513</v>
      </c>
      <c r="B300" s="1" t="str">
        <f>銘柄管理!C300</f>
        <v>浜松ホトニクス</v>
      </c>
      <c r="C300" s="1">
        <f>_xll.RssMarket("6965","安値")</f>
        <v>2438.5</v>
      </c>
      <c r="E300" s="1">
        <v>2438.5</v>
      </c>
      <c r="F300" s="1">
        <v>2445</v>
      </c>
      <c r="G300" s="1">
        <v>2320</v>
      </c>
      <c r="H300" s="1">
        <v>2281.5</v>
      </c>
      <c r="I300" s="1">
        <v>2260.5</v>
      </c>
      <c r="J300" s="1">
        <v>2129</v>
      </c>
      <c r="K300" s="1">
        <v>2100.5</v>
      </c>
      <c r="L300" s="1">
        <v>2181.5</v>
      </c>
      <c r="M300" s="1">
        <v>2316</v>
      </c>
      <c r="O300" s="1">
        <v>2408.5</v>
      </c>
      <c r="P300" s="1">
        <v>2376</v>
      </c>
      <c r="Q300" s="1">
        <v>2276</v>
      </c>
      <c r="R300" s="1">
        <v>2224</v>
      </c>
      <c r="S300" s="1">
        <v>2444</v>
      </c>
      <c r="T300" s="1">
        <v>2374</v>
      </c>
      <c r="U300" s="1">
        <v>2420.5</v>
      </c>
      <c r="V300" s="1">
        <v>2491</v>
      </c>
      <c r="W300" s="1">
        <v>2396.5</v>
      </c>
      <c r="X300" s="1">
        <v>2387</v>
      </c>
      <c r="Y300" s="1">
        <v>2442</v>
      </c>
      <c r="Z300" s="1">
        <v>2546</v>
      </c>
      <c r="AA300" s="1">
        <v>2543</v>
      </c>
      <c r="AB300" s="1">
        <v>2635.5</v>
      </c>
      <c r="AC300" s="1">
        <v>2682.5</v>
      </c>
      <c r="AD300" s="1">
        <v>2629.5</v>
      </c>
      <c r="AE300" s="1">
        <v>2530.5</v>
      </c>
      <c r="AF300" s="1">
        <v>2585.5</v>
      </c>
      <c r="AG300" s="1">
        <v>2663.5</v>
      </c>
      <c r="AH300" s="1">
        <v>2623.5</v>
      </c>
      <c r="AI300" s="1">
        <v>2646.5</v>
      </c>
      <c r="AJ300" s="1">
        <v>2804</v>
      </c>
      <c r="AK300" s="1">
        <v>2757</v>
      </c>
      <c r="AL300" s="1">
        <v>2745</v>
      </c>
      <c r="AM300" s="1">
        <v>2594</v>
      </c>
      <c r="AN300" s="1">
        <v>2560.5</v>
      </c>
      <c r="AO300" s="1">
        <v>2521.5</v>
      </c>
      <c r="AP300" s="1">
        <v>2459.5</v>
      </c>
      <c r="AQ300" s="1">
        <v>2281.5</v>
      </c>
      <c r="AR300" s="1">
        <v>2320</v>
      </c>
      <c r="AS300" s="1">
        <v>2572</v>
      </c>
      <c r="AT300" s="1">
        <v>2788</v>
      </c>
      <c r="AU300" s="1">
        <v>2820</v>
      </c>
      <c r="AV300" s="1">
        <v>2806</v>
      </c>
      <c r="AW300" s="1">
        <v>2617</v>
      </c>
      <c r="AX300" s="1">
        <v>2807</v>
      </c>
      <c r="AY300" s="1">
        <v>2660</v>
      </c>
      <c r="AZ300" s="1">
        <v>2669</v>
      </c>
      <c r="BA300" s="1">
        <v>2964</v>
      </c>
      <c r="BB300" s="1">
        <v>2727</v>
      </c>
      <c r="BC300" s="1">
        <v>2635</v>
      </c>
      <c r="BD300" s="1">
        <v>2555</v>
      </c>
      <c r="BE300" s="1">
        <v>2627</v>
      </c>
      <c r="BF300" s="1">
        <v>2661.5</v>
      </c>
      <c r="BG300" s="1">
        <v>2577</v>
      </c>
      <c r="BH300" s="1">
        <v>2154</v>
      </c>
      <c r="BI300" s="1">
        <v>2073</v>
      </c>
      <c r="BJ300" s="1">
        <v>2145</v>
      </c>
      <c r="BK300" s="1">
        <v>2133</v>
      </c>
      <c r="BL300" s="1">
        <v>2070</v>
      </c>
      <c r="BM300" s="1">
        <v>1992</v>
      </c>
      <c r="BN300" s="1">
        <v>1988</v>
      </c>
      <c r="BO300" s="1">
        <v>1971.5</v>
      </c>
      <c r="BP300" s="1">
        <v>1990</v>
      </c>
      <c r="BQ300" s="1">
        <v>1935</v>
      </c>
      <c r="BR300" s="1">
        <v>1894.5</v>
      </c>
      <c r="BS300" s="1">
        <v>1879.5</v>
      </c>
      <c r="BT300" s="1">
        <v>1926.5</v>
      </c>
      <c r="BU300" s="1">
        <v>1930.5</v>
      </c>
      <c r="BV300" s="1">
        <v>1918</v>
      </c>
      <c r="BW300" s="1">
        <v>1912.5</v>
      </c>
      <c r="BX300" s="1">
        <v>1903</v>
      </c>
      <c r="BY300" s="1">
        <v>1889.5</v>
      </c>
      <c r="BZ300" s="1">
        <v>1933.5</v>
      </c>
    </row>
    <row r="301" spans="1:254">
      <c r="A301" s="62" t="s">
        <v>514</v>
      </c>
      <c r="B301" s="1" t="str">
        <f>銘柄管理!C301</f>
        <v>三菱化工機</v>
      </c>
      <c r="C301" s="1">
        <f>_xll.RssMarket("6331","安値")</f>
        <v>3240</v>
      </c>
      <c r="E301" s="1">
        <v>3240</v>
      </c>
      <c r="F301" s="1">
        <v>3180</v>
      </c>
      <c r="G301" s="1">
        <v>3050</v>
      </c>
      <c r="H301" s="1">
        <v>2937</v>
      </c>
      <c r="I301" s="1">
        <v>3050</v>
      </c>
      <c r="J301" s="1">
        <v>3020</v>
      </c>
      <c r="K301" s="1">
        <v>2975</v>
      </c>
      <c r="L301" s="1">
        <v>3205</v>
      </c>
      <c r="M301" s="1">
        <v>3325</v>
      </c>
      <c r="N301" s="1">
        <v>3360</v>
      </c>
      <c r="O301" s="1">
        <v>3325</v>
      </c>
      <c r="P301" s="1">
        <v>3290</v>
      </c>
      <c r="Q301" s="1">
        <v>3180</v>
      </c>
      <c r="R301" s="1">
        <v>3075</v>
      </c>
      <c r="S301" s="1">
        <v>3415</v>
      </c>
      <c r="T301" s="1">
        <v>3355</v>
      </c>
      <c r="U301" s="1">
        <v>3395</v>
      </c>
      <c r="V301" s="1">
        <v>3540</v>
      </c>
      <c r="W301" s="1">
        <v>3490</v>
      </c>
      <c r="X301" s="1">
        <v>3600</v>
      </c>
      <c r="Y301" s="1">
        <v>3840</v>
      </c>
      <c r="Z301" s="1">
        <v>3825</v>
      </c>
      <c r="AA301" s="1">
        <v>3640</v>
      </c>
      <c r="AB301" s="1">
        <v>3675</v>
      </c>
      <c r="AC301" s="1">
        <v>3680</v>
      </c>
      <c r="AD301" s="1">
        <v>3650</v>
      </c>
      <c r="AE301" s="1">
        <v>3680</v>
      </c>
      <c r="AF301" s="1">
        <v>3745</v>
      </c>
      <c r="AG301" s="1">
        <v>3810</v>
      </c>
      <c r="AH301" s="1">
        <v>3770</v>
      </c>
      <c r="AI301" s="1">
        <v>3880</v>
      </c>
      <c r="AJ301" s="1">
        <v>3980</v>
      </c>
      <c r="AK301" s="1">
        <v>3950</v>
      </c>
      <c r="AL301" s="1">
        <v>4010</v>
      </c>
      <c r="AM301" s="1">
        <v>3900</v>
      </c>
      <c r="AN301" s="1">
        <v>3825</v>
      </c>
      <c r="AO301" s="1">
        <v>3730</v>
      </c>
      <c r="AP301" s="1">
        <v>3635</v>
      </c>
      <c r="AQ301" s="1">
        <v>3515</v>
      </c>
      <c r="AR301" s="1">
        <v>3470</v>
      </c>
      <c r="AS301" s="1">
        <v>3445</v>
      </c>
      <c r="AT301" s="1">
        <v>3465</v>
      </c>
      <c r="AU301" s="1">
        <v>3455</v>
      </c>
      <c r="AV301" s="1">
        <v>3425</v>
      </c>
      <c r="AW301" s="1">
        <v>3300</v>
      </c>
      <c r="AX301" s="1">
        <v>3590</v>
      </c>
      <c r="AY301" s="1">
        <v>3585</v>
      </c>
      <c r="AZ301" s="1">
        <v>3630</v>
      </c>
      <c r="BA301" s="1">
        <v>3420</v>
      </c>
      <c r="BB301" s="1">
        <v>3390</v>
      </c>
      <c r="BC301" s="1">
        <v>3470</v>
      </c>
      <c r="BD301" s="1">
        <v>3365</v>
      </c>
      <c r="BE301" s="1">
        <v>3550</v>
      </c>
      <c r="BF301" s="1">
        <v>3545</v>
      </c>
      <c r="BG301" s="1">
        <v>3270</v>
      </c>
      <c r="BH301" s="1">
        <v>3290</v>
      </c>
      <c r="BI301" s="1">
        <v>3255</v>
      </c>
      <c r="BJ301" s="1">
        <v>3270</v>
      </c>
      <c r="BK301" s="1">
        <v>3260</v>
      </c>
      <c r="BL301" s="1">
        <v>3210</v>
      </c>
      <c r="BM301" s="1">
        <v>3270</v>
      </c>
      <c r="BN301" s="1">
        <v>3200</v>
      </c>
      <c r="BO301" s="1">
        <v>3115</v>
      </c>
      <c r="BP301" s="1">
        <v>3180</v>
      </c>
      <c r="BQ301" s="1">
        <v>3195</v>
      </c>
      <c r="BR301" s="1">
        <v>3130</v>
      </c>
      <c r="BS301" s="1">
        <v>3040</v>
      </c>
      <c r="BT301" s="1">
        <v>2993</v>
      </c>
      <c r="BU301" s="1">
        <v>3020</v>
      </c>
      <c r="BV301" s="1">
        <v>3020</v>
      </c>
      <c r="BW301" s="1">
        <v>3005</v>
      </c>
      <c r="BX301" s="1">
        <v>3020</v>
      </c>
      <c r="BY301" s="1">
        <v>3005</v>
      </c>
      <c r="BZ301" s="1">
        <v>3080</v>
      </c>
    </row>
    <row r="302" spans="1:254">
      <c r="A302" s="62" t="s">
        <v>515</v>
      </c>
      <c r="B302" s="1" t="str">
        <f>銘柄管理!C302</f>
        <v>ＨＯＹＡ</v>
      </c>
      <c r="C302" s="1">
        <f>_xll.RssMarket("7741","安値")</f>
        <v>24950</v>
      </c>
      <c r="E302" s="1">
        <v>24950</v>
      </c>
      <c r="F302" s="1">
        <v>25500</v>
      </c>
      <c r="G302" s="1">
        <v>25030</v>
      </c>
      <c r="H302" s="1">
        <v>23955</v>
      </c>
      <c r="I302" s="1">
        <v>23985</v>
      </c>
      <c r="J302" s="1">
        <v>23615</v>
      </c>
      <c r="K302" s="1">
        <v>23340</v>
      </c>
      <c r="L302" s="1">
        <v>23640</v>
      </c>
      <c r="M302" s="1">
        <v>24585</v>
      </c>
      <c r="N302" s="1">
        <v>24420</v>
      </c>
      <c r="O302" s="1">
        <v>24650</v>
      </c>
      <c r="P302" s="1">
        <v>24900</v>
      </c>
      <c r="Q302" s="1">
        <v>25160</v>
      </c>
      <c r="R302" s="1">
        <v>24625</v>
      </c>
      <c r="S302" s="1">
        <v>25305</v>
      </c>
      <c r="T302" s="1">
        <v>25340</v>
      </c>
      <c r="U302" s="1">
        <v>24975</v>
      </c>
      <c r="V302" s="1">
        <v>24795</v>
      </c>
      <c r="W302" s="1">
        <v>24230</v>
      </c>
      <c r="X302" s="1">
        <v>23910</v>
      </c>
      <c r="Y302" s="1">
        <v>25220</v>
      </c>
      <c r="Z302" s="1">
        <v>25475</v>
      </c>
      <c r="AA302" s="1">
        <v>25565</v>
      </c>
      <c r="AB302" s="1">
        <v>25500</v>
      </c>
      <c r="AC302" s="1">
        <v>25560</v>
      </c>
      <c r="AD302" s="1">
        <v>25625</v>
      </c>
      <c r="AE302" s="1">
        <v>25170</v>
      </c>
      <c r="AF302" s="1">
        <v>25020</v>
      </c>
      <c r="AG302" s="1">
        <v>26120</v>
      </c>
      <c r="AH302" s="1">
        <v>25875</v>
      </c>
      <c r="AI302" s="1">
        <v>26485</v>
      </c>
      <c r="AJ302" s="1">
        <v>26860</v>
      </c>
      <c r="AK302" s="1">
        <v>27035</v>
      </c>
      <c r="AL302" s="1">
        <v>27770</v>
      </c>
      <c r="AM302" s="1">
        <v>26900</v>
      </c>
      <c r="AN302" s="1">
        <v>26510</v>
      </c>
      <c r="AO302" s="1">
        <v>26445</v>
      </c>
      <c r="AP302" s="1">
        <v>25965</v>
      </c>
      <c r="AQ302" s="1">
        <v>25165</v>
      </c>
      <c r="AR302" s="1">
        <v>25265</v>
      </c>
      <c r="AS302" s="1">
        <v>25100</v>
      </c>
      <c r="AT302" s="1">
        <v>26155</v>
      </c>
      <c r="AU302" s="1">
        <v>26280</v>
      </c>
      <c r="AV302" s="1">
        <v>26360</v>
      </c>
      <c r="AW302" s="1">
        <v>25990</v>
      </c>
      <c r="AX302" s="1">
        <v>26985</v>
      </c>
      <c r="AY302" s="1">
        <v>26740</v>
      </c>
      <c r="AZ302" s="1">
        <v>27025</v>
      </c>
      <c r="BA302" s="1">
        <v>25870</v>
      </c>
      <c r="BB302" s="1">
        <v>26225</v>
      </c>
      <c r="BC302" s="1">
        <v>26580</v>
      </c>
      <c r="BD302" s="1">
        <v>26220</v>
      </c>
      <c r="BE302" s="1">
        <v>26705</v>
      </c>
      <c r="BF302" s="1">
        <v>27255</v>
      </c>
      <c r="BG302" s="1">
        <v>27630</v>
      </c>
      <c r="BH302" s="1">
        <v>27380</v>
      </c>
      <c r="BI302" s="1">
        <v>27300</v>
      </c>
      <c r="BJ302" s="1">
        <v>27220</v>
      </c>
      <c r="BK302" s="1">
        <v>27050</v>
      </c>
      <c r="BL302" s="1">
        <v>27405</v>
      </c>
      <c r="BM302" s="1">
        <v>26805</v>
      </c>
      <c r="BN302" s="1">
        <v>27750</v>
      </c>
      <c r="BO302" s="1">
        <v>27665</v>
      </c>
      <c r="BP302" s="1">
        <v>28945</v>
      </c>
      <c r="BQ302" s="1">
        <v>28785</v>
      </c>
      <c r="BR302" s="1">
        <v>28300</v>
      </c>
      <c r="BS302" s="1">
        <v>28180</v>
      </c>
      <c r="BT302" s="1">
        <v>28625</v>
      </c>
      <c r="BU302" s="1">
        <v>28970</v>
      </c>
      <c r="BV302" s="1">
        <v>29290</v>
      </c>
      <c r="BW302" s="1">
        <v>28995</v>
      </c>
      <c r="BX302" s="1">
        <v>29405</v>
      </c>
      <c r="BY302" s="1">
        <v>29620</v>
      </c>
      <c r="BZ302" s="1">
        <v>29205</v>
      </c>
    </row>
    <row r="303" spans="1:254">
      <c r="A303" s="62" t="s">
        <v>876</v>
      </c>
      <c r="B303" s="1" t="str">
        <f>銘柄管理!C303</f>
        <v>ＮＦ日経２２５</v>
      </c>
      <c r="C303" s="1">
        <f>_xll.RssMarket("1321","安値")</f>
        <v>67190</v>
      </c>
      <c r="E303" s="1">
        <v>67190</v>
      </c>
      <c r="F303" s="1">
        <v>67730</v>
      </c>
      <c r="G303" s="1">
        <v>65050</v>
      </c>
      <c r="H303" s="1">
        <v>64840</v>
      </c>
      <c r="I303" s="1">
        <v>66070</v>
      </c>
      <c r="J303" s="1">
        <v>63400</v>
      </c>
      <c r="K303" s="1">
        <v>62580</v>
      </c>
      <c r="L303" s="1">
        <v>64100</v>
      </c>
      <c r="M303" s="1">
        <v>66330</v>
      </c>
      <c r="N303" s="1">
        <v>66450</v>
      </c>
      <c r="O303" s="1">
        <v>68500</v>
      </c>
      <c r="P303" s="1">
        <v>68210</v>
      </c>
      <c r="Q303" s="1">
        <v>66470</v>
      </c>
      <c r="R303" s="1">
        <v>64880</v>
      </c>
      <c r="S303" s="1">
        <v>70180</v>
      </c>
      <c r="T303" s="1">
        <v>68580</v>
      </c>
      <c r="U303" s="1">
        <v>69000</v>
      </c>
      <c r="V303" s="1">
        <v>70850</v>
      </c>
      <c r="W303" s="1">
        <v>69830</v>
      </c>
      <c r="X303" s="1">
        <v>69530</v>
      </c>
      <c r="Y303" s="1">
        <v>70560</v>
      </c>
      <c r="Z303" s="1">
        <v>72170</v>
      </c>
      <c r="AA303" s="1">
        <v>71000</v>
      </c>
      <c r="AB303" s="1">
        <v>71950</v>
      </c>
      <c r="AC303" s="1">
        <v>73420</v>
      </c>
      <c r="AD303" s="1">
        <v>72580</v>
      </c>
      <c r="AE303" s="1">
        <v>71230</v>
      </c>
      <c r="AF303" s="1">
        <v>71850</v>
      </c>
      <c r="AG303" s="1">
        <v>73910</v>
      </c>
      <c r="AH303" s="1">
        <v>71630</v>
      </c>
      <c r="AI303" s="1">
        <v>73150</v>
      </c>
      <c r="AJ303" s="1">
        <v>74510</v>
      </c>
      <c r="AK303" s="1">
        <v>73960</v>
      </c>
      <c r="AL303" s="1">
        <v>73550</v>
      </c>
      <c r="AM303" s="1">
        <v>71960</v>
      </c>
      <c r="AN303" s="1">
        <v>72290</v>
      </c>
      <c r="AO303" s="1">
        <v>71530</v>
      </c>
      <c r="AP303" s="1">
        <v>68870</v>
      </c>
      <c r="AQ303" s="1">
        <v>65270</v>
      </c>
      <c r="AR303" s="1">
        <v>66720</v>
      </c>
      <c r="AS303" s="1">
        <v>66370</v>
      </c>
      <c r="AT303" s="1">
        <v>68940</v>
      </c>
      <c r="AU303" s="1">
        <v>70040</v>
      </c>
      <c r="AV303" s="1">
        <v>70520</v>
      </c>
      <c r="AW303" s="1">
        <v>68610</v>
      </c>
      <c r="AX303" s="1">
        <v>68610</v>
      </c>
      <c r="AY303" s="1">
        <v>66850</v>
      </c>
      <c r="AZ303" s="1">
        <v>68120</v>
      </c>
      <c r="BA303" s="1">
        <v>66750</v>
      </c>
      <c r="BB303" s="1">
        <v>65190</v>
      </c>
      <c r="BC303" s="1">
        <v>64060</v>
      </c>
      <c r="BD303" s="1">
        <v>62080</v>
      </c>
      <c r="BE303" s="1">
        <v>63070</v>
      </c>
      <c r="BF303" s="1">
        <v>63190</v>
      </c>
      <c r="BG303" s="1">
        <v>63790</v>
      </c>
      <c r="BH303" s="1">
        <v>65600</v>
      </c>
      <c r="BI303" s="1">
        <v>65120</v>
      </c>
      <c r="BJ303" s="1">
        <v>65040</v>
      </c>
      <c r="BK303" s="1">
        <v>65280</v>
      </c>
      <c r="BL303" s="1">
        <v>65010</v>
      </c>
      <c r="BM303" s="1">
        <v>64660</v>
      </c>
      <c r="BN303" s="1">
        <v>62110</v>
      </c>
      <c r="BO303" s="1">
        <v>61640</v>
      </c>
      <c r="BP303" s="1">
        <v>62450</v>
      </c>
      <c r="BQ303" s="1">
        <v>62330</v>
      </c>
      <c r="BR303" s="1">
        <v>61980</v>
      </c>
      <c r="BS303" s="1">
        <v>61330</v>
      </c>
      <c r="BT303" s="1">
        <v>61720</v>
      </c>
      <c r="BU303" s="1">
        <v>61750</v>
      </c>
      <c r="BV303" s="1">
        <v>61450</v>
      </c>
      <c r="BW303" s="1">
        <v>61360</v>
      </c>
      <c r="BX303" s="1">
        <v>61220</v>
      </c>
      <c r="BY303" s="1">
        <v>60700</v>
      </c>
      <c r="BZ303" s="1">
        <v>60010</v>
      </c>
    </row>
    <row r="304" spans="1:254">
      <c r="A304" s="62" t="s">
        <v>878</v>
      </c>
      <c r="B304" s="1" t="str">
        <f>銘柄管理!C304</f>
        <v>きんでん</v>
      </c>
      <c r="C304" s="1">
        <f>_xll.RssMarket("1944","安値")</f>
        <v>7131</v>
      </c>
      <c r="E304" s="1">
        <v>7131</v>
      </c>
      <c r="F304" s="1">
        <v>7190</v>
      </c>
      <c r="G304" s="1">
        <v>6957</v>
      </c>
      <c r="H304" s="1">
        <v>6852</v>
      </c>
      <c r="I304" s="1">
        <v>7051</v>
      </c>
      <c r="J304" s="1">
        <v>6991</v>
      </c>
      <c r="K304" s="1">
        <v>7114</v>
      </c>
      <c r="L304" s="1">
        <v>7548</v>
      </c>
      <c r="M304" s="1">
        <v>7459</v>
      </c>
      <c r="N304" s="1">
        <v>7269</v>
      </c>
      <c r="O304" s="1">
        <v>7340</v>
      </c>
      <c r="P304" s="1">
        <v>7211</v>
      </c>
      <c r="Q304" s="1">
        <v>7036</v>
      </c>
      <c r="R304" s="1">
        <v>6951</v>
      </c>
      <c r="S304" s="1">
        <v>7377</v>
      </c>
      <c r="T304" s="1">
        <v>7277</v>
      </c>
      <c r="U304" s="1">
        <v>7316</v>
      </c>
      <c r="V304" s="1">
        <v>7634</v>
      </c>
      <c r="W304" s="1">
        <v>7667</v>
      </c>
      <c r="X304" s="1">
        <v>7754</v>
      </c>
      <c r="Y304" s="1">
        <v>7972</v>
      </c>
      <c r="Z304" s="1">
        <v>7957</v>
      </c>
      <c r="AA304" s="1">
        <v>7799</v>
      </c>
      <c r="AB304" s="1">
        <v>7597</v>
      </c>
      <c r="AC304" s="1">
        <v>7777</v>
      </c>
      <c r="AD304" s="1">
        <v>7920</v>
      </c>
      <c r="AE304" s="1">
        <v>7930</v>
      </c>
      <c r="AF304" s="1">
        <v>8041</v>
      </c>
      <c r="AG304" s="1">
        <v>8155</v>
      </c>
      <c r="AH304" s="1">
        <v>8133</v>
      </c>
      <c r="AI304" s="1">
        <v>8061</v>
      </c>
      <c r="AJ304" s="1">
        <v>8073</v>
      </c>
      <c r="AK304" s="1">
        <v>8030</v>
      </c>
      <c r="AL304" s="1">
        <v>7707</v>
      </c>
      <c r="AM304" s="1">
        <v>7650</v>
      </c>
      <c r="AN304" s="1">
        <v>7243</v>
      </c>
      <c r="AO304" s="1">
        <v>7080</v>
      </c>
      <c r="AP304" s="1">
        <v>6750</v>
      </c>
      <c r="AQ304" s="1">
        <v>6653</v>
      </c>
      <c r="AR304" s="1">
        <v>6900</v>
      </c>
      <c r="AS304" s="1">
        <v>6495</v>
      </c>
      <c r="AT304" s="1">
        <v>6471</v>
      </c>
      <c r="AU304" s="1">
        <v>6451</v>
      </c>
      <c r="AV304" s="1">
        <v>6533</v>
      </c>
      <c r="AW304" s="1">
        <v>6571</v>
      </c>
      <c r="AX304" s="1">
        <v>7090</v>
      </c>
      <c r="AY304" s="1">
        <v>7027</v>
      </c>
      <c r="AZ304" s="1">
        <v>7050</v>
      </c>
      <c r="BA304" s="1">
        <v>6850</v>
      </c>
      <c r="BB304" s="1">
        <v>6720</v>
      </c>
      <c r="BC304" s="1">
        <v>6793</v>
      </c>
      <c r="BD304" s="1">
        <v>6650</v>
      </c>
      <c r="BE304" s="1">
        <v>6790</v>
      </c>
      <c r="BF304" s="1">
        <v>6905</v>
      </c>
      <c r="BG304" s="1">
        <v>7354</v>
      </c>
      <c r="BH304" s="1">
        <v>7695</v>
      </c>
      <c r="BI304" s="1">
        <v>7973</v>
      </c>
      <c r="BJ304" s="1">
        <v>8133</v>
      </c>
      <c r="BK304" s="1">
        <v>8180</v>
      </c>
      <c r="BL304" s="1">
        <v>8173</v>
      </c>
      <c r="BM304" s="1">
        <v>8218</v>
      </c>
      <c r="BN304" s="1">
        <v>8082</v>
      </c>
      <c r="BO304" s="1">
        <v>7824</v>
      </c>
      <c r="BP304" s="1">
        <v>7932</v>
      </c>
      <c r="BQ304" s="1">
        <v>6830</v>
      </c>
      <c r="BR304" s="1">
        <v>7116</v>
      </c>
      <c r="BS304" s="1">
        <v>6986</v>
      </c>
      <c r="BT304" s="1">
        <v>6911</v>
      </c>
      <c r="BU304" s="1">
        <v>6998</v>
      </c>
      <c r="BV304" s="1">
        <v>7004</v>
      </c>
      <c r="BW304" s="1">
        <v>7009</v>
      </c>
      <c r="BX304" s="1">
        <v>6905</v>
      </c>
      <c r="BY304" s="1">
        <v>6902</v>
      </c>
      <c r="BZ304" s="1">
        <v>7323</v>
      </c>
    </row>
    <row r="305" spans="1:254">
      <c r="A305" s="62" t="s">
        <v>1039</v>
      </c>
      <c r="B305" s="1" t="str">
        <f>銘柄管理!C305</f>
        <v>パンパシフィックＨＤ</v>
      </c>
      <c r="C305" s="1">
        <f>_xll.RssMarket("7532","安値")</f>
        <v>888.8</v>
      </c>
      <c r="E305" s="1">
        <v>888.8</v>
      </c>
      <c r="F305" s="1">
        <v>874.7</v>
      </c>
      <c r="G305" s="1">
        <v>881.3</v>
      </c>
      <c r="H305" s="1">
        <v>887.4</v>
      </c>
      <c r="I305" s="1">
        <v>897.3</v>
      </c>
      <c r="J305" s="1">
        <v>927.9</v>
      </c>
      <c r="K305" s="1">
        <v>925</v>
      </c>
      <c r="L305" s="1">
        <v>896.7</v>
      </c>
      <c r="M305" s="1">
        <v>862.1</v>
      </c>
      <c r="N305" s="1">
        <v>843.8</v>
      </c>
      <c r="O305" s="1">
        <v>846.2</v>
      </c>
      <c r="P305" s="1">
        <v>853.5</v>
      </c>
      <c r="Q305" s="1">
        <v>877</v>
      </c>
      <c r="R305" s="1">
        <v>881.3</v>
      </c>
      <c r="S305" s="1">
        <v>853</v>
      </c>
      <c r="T305" s="1">
        <v>873</v>
      </c>
      <c r="U305" s="1">
        <v>846.5</v>
      </c>
      <c r="V305" s="1">
        <v>848.9</v>
      </c>
      <c r="W305" s="1">
        <v>860.3</v>
      </c>
      <c r="X305" s="1">
        <v>856.2</v>
      </c>
      <c r="Y305" s="1">
        <v>838.1</v>
      </c>
      <c r="Z305" s="1">
        <v>816.8</v>
      </c>
      <c r="AA305" s="1">
        <v>815.1</v>
      </c>
      <c r="AB305" s="1">
        <v>808.2</v>
      </c>
      <c r="AC305" s="1">
        <v>793.6</v>
      </c>
      <c r="AD305" s="1">
        <v>821</v>
      </c>
      <c r="AE305" s="1">
        <v>820.1</v>
      </c>
      <c r="AF305" s="1">
        <v>815.4</v>
      </c>
      <c r="AG305" s="1">
        <v>813.5</v>
      </c>
      <c r="AH305" s="1">
        <v>815.1</v>
      </c>
      <c r="AI305" s="1">
        <v>806.1</v>
      </c>
      <c r="AJ305" s="1">
        <v>809.8</v>
      </c>
      <c r="AK305" s="1">
        <v>811</v>
      </c>
      <c r="AL305" s="1">
        <v>825.3</v>
      </c>
      <c r="AM305" s="1">
        <v>833.8</v>
      </c>
      <c r="AN305" s="1">
        <v>822.5</v>
      </c>
      <c r="AO305" s="1">
        <v>837.2</v>
      </c>
      <c r="AP305" s="1">
        <v>851.6</v>
      </c>
      <c r="AQ305" s="1">
        <v>860.6</v>
      </c>
      <c r="AR305" s="1">
        <v>836.4</v>
      </c>
      <c r="AS305" s="1">
        <v>829</v>
      </c>
      <c r="AT305" s="1">
        <v>822.2</v>
      </c>
      <c r="AU305" s="1">
        <v>820.2</v>
      </c>
      <c r="AV305" s="1">
        <v>807.3</v>
      </c>
      <c r="AW305" s="1">
        <v>794.7</v>
      </c>
      <c r="AX305" s="1">
        <v>856.4</v>
      </c>
      <c r="AY305" s="1">
        <v>836.8</v>
      </c>
      <c r="AZ305" s="1">
        <v>801</v>
      </c>
      <c r="BA305" s="1">
        <v>818.4</v>
      </c>
      <c r="BB305" s="1">
        <v>854.9</v>
      </c>
      <c r="BC305" s="1">
        <v>859.6</v>
      </c>
      <c r="BD305" s="1">
        <v>865.3</v>
      </c>
      <c r="BE305" s="1">
        <v>866</v>
      </c>
      <c r="BF305" s="1">
        <v>868.9</v>
      </c>
      <c r="BG305" s="1">
        <v>842.1</v>
      </c>
      <c r="BH305" s="1">
        <v>841</v>
      </c>
      <c r="BI305" s="1">
        <v>878.5</v>
      </c>
      <c r="BJ305" s="1">
        <v>887.5</v>
      </c>
      <c r="BK305" s="1">
        <v>881.7</v>
      </c>
      <c r="BL305" s="1">
        <v>882.1</v>
      </c>
      <c r="BM305" s="1">
        <v>869.3</v>
      </c>
      <c r="BN305" s="1">
        <v>879</v>
      </c>
      <c r="BO305" s="1">
        <v>872.7</v>
      </c>
      <c r="BP305" s="1">
        <v>898.1</v>
      </c>
      <c r="BQ305" s="1">
        <v>906.1</v>
      </c>
      <c r="BR305" s="1">
        <v>910.1</v>
      </c>
      <c r="BS305" s="1">
        <v>914.5</v>
      </c>
      <c r="BT305" s="1">
        <v>941.5</v>
      </c>
      <c r="BU305" s="1">
        <v>942</v>
      </c>
      <c r="BV305" s="1">
        <v>946.3</v>
      </c>
      <c r="BW305" s="1">
        <v>940</v>
      </c>
      <c r="BX305" s="1">
        <v>954.1</v>
      </c>
      <c r="BY305" s="1">
        <v>954.7</v>
      </c>
      <c r="BZ305" s="1">
        <v>947</v>
      </c>
    </row>
    <row r="306" spans="1:254">
      <c r="A306" s="64"/>
    </row>
    <row r="307" spans="1:254">
      <c r="A307" s="64"/>
    </row>
    <row r="308" spans="1:254">
      <c r="A308" s="64"/>
    </row>
    <row r="309" spans="1:254">
      <c r="A309" s="64"/>
    </row>
    <row r="310" spans="1:254">
      <c r="A310" s="64"/>
    </row>
    <row r="311" spans="1:254">
      <c r="A311" s="64"/>
    </row>
    <row r="312" spans="1:254">
      <c r="A312" s="64"/>
    </row>
    <row r="313" spans="1:254">
      <c r="A313" s="64"/>
    </row>
    <row r="314" spans="1:254">
      <c r="A314" s="64"/>
    </row>
    <row r="315" spans="1:254">
      <c r="A315" s="64"/>
    </row>
    <row r="316" spans="1:254">
      <c r="A316" s="64"/>
    </row>
    <row r="317" spans="1:254">
      <c r="A317" s="64"/>
    </row>
    <row r="318" spans="1:254">
      <c r="A318" s="64"/>
    </row>
    <row r="319" spans="1:254">
      <c r="A319" s="64"/>
    </row>
    <row r="320" spans="1:254">
      <c r="A320" s="64"/>
    </row>
    <row r="321" spans="1:254">
      <c r="A321" s="64"/>
    </row>
    <row r="322" spans="1:254">
      <c r="A322" s="64"/>
    </row>
    <row r="323" spans="1:254">
      <c r="A323" s="64"/>
    </row>
    <row r="324" spans="1:254">
      <c r="A324" s="64"/>
    </row>
    <row r="325" spans="1:254">
      <c r="A325" s="64"/>
    </row>
    <row r="326" spans="1:254">
      <c r="A326" s="64"/>
    </row>
    <row r="327" spans="1:254">
      <c r="A327" s="64"/>
    </row>
    <row r="328" spans="1:254">
      <c r="A328" s="64"/>
    </row>
    <row r="329" spans="1:254">
      <c r="A329" s="64"/>
    </row>
    <row r="330" spans="1:254">
      <c r="A330" s="64"/>
    </row>
    <row r="331" spans="1:254">
      <c r="A331" s="64"/>
    </row>
    <row r="332" spans="1:254">
      <c r="A332" s="64"/>
    </row>
    <row r="333" spans="1:254">
      <c r="A333" s="64"/>
    </row>
    <row r="334" spans="1:254">
      <c r="A334" s="64"/>
    </row>
    <row r="335" spans="1:254">
      <c r="A335" s="64"/>
    </row>
    <row r="336" spans="1:254">
      <c r="A336" s="64"/>
    </row>
    <row r="337" spans="1:254">
      <c r="A337" s="64"/>
    </row>
    <row r="338" spans="1:254">
      <c r="A338" s="64"/>
    </row>
    <row r="339" spans="1:254">
      <c r="A339" s="64"/>
    </row>
    <row r="340" spans="1:254">
      <c r="A340" s="64"/>
    </row>
    <row r="341" spans="1:254">
      <c r="A341" s="64"/>
    </row>
    <row r="342" spans="1:254">
      <c r="A342" s="64"/>
    </row>
    <row r="343" spans="1:254">
      <c r="A343" s="64"/>
    </row>
    <row r="344" spans="1:254">
      <c r="A344" s="64"/>
    </row>
    <row r="345" spans="1:254">
      <c r="A345" s="64"/>
    </row>
    <row r="346" spans="1:254">
      <c r="A346" s="64"/>
    </row>
    <row r="347" spans="1:254">
      <c r="A347" s="64"/>
    </row>
    <row r="348" spans="1:254">
      <c r="A348" s="64"/>
    </row>
    <row r="349" spans="1:254">
      <c r="A349" s="64"/>
    </row>
    <row r="350" spans="1:254">
      <c r="A350" s="64"/>
    </row>
    <row r="351" spans="1:254">
      <c r="A351" s="64"/>
    </row>
    <row r="352" spans="1:254">
      <c r="A352" s="64"/>
    </row>
    <row r="353" spans="1:254">
      <c r="A353" s="64"/>
    </row>
    <row r="354" spans="1:254">
      <c r="A354" s="64"/>
    </row>
    <row r="355" spans="1:254">
      <c r="A355" s="64"/>
    </row>
    <row r="356" spans="1:254">
      <c r="A356" s="64"/>
    </row>
    <row r="357" spans="1:254">
      <c r="A357" s="64"/>
    </row>
    <row r="358" spans="1:254">
      <c r="A358" s="64"/>
    </row>
    <row r="359" spans="1:254">
      <c r="A359" s="64"/>
    </row>
    <row r="360" spans="1:254">
      <c r="A360" s="64"/>
    </row>
    <row r="361" spans="1:254">
      <c r="A361" s="64"/>
    </row>
    <row r="362" spans="1:254">
      <c r="A362" s="64"/>
    </row>
    <row r="363" spans="1:254">
      <c r="A363" s="64"/>
    </row>
    <row r="364" spans="1:254">
      <c r="A364" s="64"/>
    </row>
    <row r="365" spans="1:254">
      <c r="A365" s="64"/>
    </row>
    <row r="366" spans="1:254">
      <c r="A366" s="64"/>
    </row>
    <row r="367" spans="1:254">
      <c r="A367" s="64"/>
    </row>
    <row r="368" spans="1:254">
      <c r="A368" s="64"/>
    </row>
    <row r="369" spans="1:254">
      <c r="A369" s="64"/>
    </row>
    <row r="370" spans="1:254">
      <c r="A370" s="64"/>
    </row>
    <row r="371" spans="1:254">
      <c r="A371" s="64"/>
    </row>
    <row r="372" spans="1:254">
      <c r="A372" s="64"/>
    </row>
    <row r="373" spans="1:254">
      <c r="A373" s="64"/>
    </row>
    <row r="374" spans="1:254">
      <c r="A374" s="64"/>
    </row>
    <row r="375" spans="1:254">
      <c r="A375" s="64"/>
    </row>
    <row r="376" spans="1:254">
      <c r="A376" s="64"/>
    </row>
    <row r="377" spans="1:254">
      <c r="A377" s="64"/>
    </row>
    <row r="378" spans="1:254">
      <c r="A378" s="64"/>
    </row>
    <row r="379" spans="1:254">
      <c r="A379" s="64"/>
    </row>
    <row r="380" spans="1:254">
      <c r="A380" s="64"/>
    </row>
    <row r="381" spans="1:254">
      <c r="A381" s="64"/>
    </row>
    <row r="382" spans="1:254">
      <c r="A382" s="64"/>
    </row>
    <row r="383" spans="1:254">
      <c r="A383" s="64"/>
    </row>
    <row r="384" spans="1:254">
      <c r="A384" s="64"/>
    </row>
    <row r="385" spans="1:254">
      <c r="A385" s="64"/>
    </row>
    <row r="386" spans="1:254">
      <c r="A386" s="64"/>
    </row>
    <row r="387" spans="1:254">
      <c r="A387" s="64"/>
    </row>
    <row r="388" spans="1:254">
      <c r="A388" s="64"/>
    </row>
    <row r="389" spans="1:254">
      <c r="A389" s="64"/>
    </row>
    <row r="390" spans="1:254">
      <c r="A390" s="64"/>
    </row>
    <row r="391" spans="1:254">
      <c r="A391" s="64"/>
    </row>
    <row r="392" spans="1:254">
      <c r="A392" s="64"/>
    </row>
    <row r="393" spans="1:254">
      <c r="A393" s="64"/>
    </row>
    <row r="394" spans="1:254">
      <c r="A394" s="64"/>
    </row>
    <row r="395" spans="1:254">
      <c r="A395" s="64"/>
    </row>
    <row r="396" spans="1:254">
      <c r="A396" s="64"/>
    </row>
    <row r="397" spans="1:254">
      <c r="A397" s="64"/>
    </row>
    <row r="398" spans="1:254">
      <c r="A398" s="64"/>
    </row>
    <row r="399" spans="1:254">
      <c r="A399" s="64"/>
    </row>
    <row r="400" spans="1:254">
      <c r="A400" s="64"/>
    </row>
    <row r="401" spans="1:254">
      <c r="A401" s="64"/>
    </row>
    <row r="402" spans="1:254">
      <c r="A402" s="64"/>
    </row>
    <row r="403" spans="1:254">
      <c r="A403" s="64"/>
    </row>
    <row r="404" spans="1:254">
      <c r="A404" s="64"/>
    </row>
    <row r="405" spans="1:254">
      <c r="A405" s="64"/>
    </row>
    <row r="406" spans="1:254">
      <c r="A406" s="64"/>
    </row>
    <row r="407" spans="1:254">
      <c r="A407" s="64"/>
    </row>
    <row r="408" spans="1:254">
      <c r="A408" s="64"/>
    </row>
    <row r="409" spans="1:254">
      <c r="A409" s="64"/>
    </row>
    <row r="410" spans="1:254">
      <c r="A410" s="64"/>
    </row>
    <row r="411" spans="1:254">
      <c r="A411" s="64"/>
    </row>
    <row r="412" spans="1:254">
      <c r="A412" s="64"/>
    </row>
    <row r="413" spans="1:254">
      <c r="A413" s="64"/>
    </row>
    <row r="414" spans="1:254">
      <c r="A414" s="64"/>
    </row>
    <row r="415" spans="1:254">
      <c r="A415" s="64"/>
    </row>
    <row r="416" spans="1:254">
      <c r="A416" s="64"/>
    </row>
    <row r="417" spans="1:254">
      <c r="A417" s="64"/>
    </row>
    <row r="418" spans="1:254">
      <c r="A418" s="64"/>
    </row>
    <row r="419" spans="1:254">
      <c r="A419" s="64"/>
    </row>
    <row r="420" spans="1:254">
      <c r="A420" s="64"/>
    </row>
    <row r="421" spans="1:254">
      <c r="A421" s="64"/>
    </row>
    <row r="422" spans="1:254">
      <c r="A422" s="64"/>
    </row>
    <row r="423" spans="1:254">
      <c r="A423" s="64"/>
    </row>
    <row r="424" spans="1:254">
      <c r="A424" s="64"/>
    </row>
    <row r="425" spans="1:254">
      <c r="A425" s="64"/>
    </row>
    <row r="426" spans="1:254">
      <c r="A426" s="64"/>
    </row>
    <row r="427" spans="1:254">
      <c r="A427" s="64"/>
    </row>
    <row r="428" spans="1:254">
      <c r="A428" s="64"/>
    </row>
    <row r="429" spans="1:254">
      <c r="A429" s="64"/>
    </row>
    <row r="430" spans="1:254">
      <c r="A430" s="64"/>
    </row>
    <row r="431" spans="1:254">
      <c r="A431" s="64"/>
    </row>
    <row r="432" spans="1:254">
      <c r="A432" s="64"/>
    </row>
    <row r="433" spans="1:254">
      <c r="A433" s="64"/>
    </row>
    <row r="434" spans="1:254">
      <c r="A434" s="64"/>
    </row>
    <row r="435" spans="1:254">
      <c r="A435" s="64"/>
    </row>
    <row r="436" spans="1:254">
      <c r="A436" s="64"/>
    </row>
    <row r="437" spans="1:254">
      <c r="A437" s="64"/>
    </row>
    <row r="438" spans="1:254">
      <c r="A438" s="64"/>
    </row>
    <row r="439" spans="1:254">
      <c r="A439" s="64"/>
    </row>
    <row r="440" spans="1:254">
      <c r="A440" s="64"/>
    </row>
    <row r="441" spans="1:254">
      <c r="A441" s="64"/>
    </row>
    <row r="442" spans="1:254">
      <c r="A442" s="64"/>
    </row>
    <row r="443" spans="1:254">
      <c r="A443" s="64"/>
    </row>
    <row r="444" spans="1:254">
      <c r="A444" s="64"/>
    </row>
    <row r="445" spans="1:254">
      <c r="A445" s="64"/>
    </row>
    <row r="446" spans="1:254">
      <c r="A446" s="64"/>
    </row>
    <row r="447" spans="1:254">
      <c r="A447" s="64"/>
    </row>
    <row r="448" spans="1:254">
      <c r="A448" s="64"/>
    </row>
    <row r="449" spans="1:254">
      <c r="A449" s="64"/>
    </row>
    <row r="450" spans="1:254">
      <c r="A450" s="64"/>
    </row>
    <row r="451" spans="1:254">
      <c r="A451" s="64"/>
    </row>
    <row r="452" spans="1:254">
      <c r="A452" s="64"/>
    </row>
    <row r="453" spans="1:254">
      <c r="A453" s="64"/>
    </row>
    <row r="454" spans="1:254">
      <c r="A454" s="64"/>
    </row>
    <row r="455" spans="1:254">
      <c r="A455" s="64"/>
    </row>
    <row r="456" spans="1:254">
      <c r="A456" s="64"/>
    </row>
    <row r="457" spans="1:254">
      <c r="A457" s="64"/>
    </row>
    <row r="458" spans="1:254">
      <c r="A458" s="64"/>
    </row>
    <row r="459" spans="1:254">
      <c r="A459" s="64"/>
    </row>
    <row r="460" spans="1:254">
      <c r="A460" s="64"/>
    </row>
    <row r="461" spans="1:254">
      <c r="A461" s="64"/>
    </row>
    <row r="462" spans="1:254">
      <c r="A462" s="64"/>
    </row>
    <row r="463" spans="1:254">
      <c r="A463" s="64"/>
    </row>
    <row r="464" spans="1:254">
      <c r="A464" s="64"/>
    </row>
    <row r="465" spans="1:254">
      <c r="A465" s="64"/>
    </row>
    <row r="466" spans="1:254">
      <c r="A466" s="64"/>
    </row>
    <row r="467" spans="1:254">
      <c r="A467" s="64"/>
    </row>
    <row r="468" spans="1:254">
      <c r="A468" s="64"/>
    </row>
    <row r="469" spans="1:254">
      <c r="A469" s="64"/>
    </row>
    <row r="470" spans="1:254">
      <c r="A470" s="64"/>
    </row>
    <row r="471" spans="1:254">
      <c r="A471" s="64"/>
    </row>
    <row r="472" spans="1:254">
      <c r="A472" s="64"/>
    </row>
    <row r="473" spans="1:254">
      <c r="A473" s="64"/>
    </row>
    <row r="474" spans="1:254">
      <c r="A474" s="64"/>
    </row>
    <row r="475" spans="1:254">
      <c r="A475" s="64"/>
    </row>
    <row r="476" spans="1:254">
      <c r="A476" s="64"/>
    </row>
    <row r="477" spans="1:254">
      <c r="A477" s="64"/>
    </row>
    <row r="478" spans="1:254">
      <c r="A478" s="64"/>
    </row>
    <row r="479" spans="1:254">
      <c r="A479" s="64"/>
    </row>
    <row r="480" spans="1:254">
      <c r="A480" s="64"/>
    </row>
    <row r="481" spans="1:254">
      <c r="A481" s="64"/>
    </row>
    <row r="482" spans="1:254">
      <c r="A482" s="64"/>
    </row>
    <row r="483" spans="1:254">
      <c r="A483" s="64"/>
    </row>
    <row r="484" spans="1:254">
      <c r="A484" s="64"/>
    </row>
    <row r="485" spans="1:254">
      <c r="A485" s="64"/>
    </row>
    <row r="486" spans="1:254">
      <c r="A486" s="64"/>
    </row>
    <row r="487" spans="1:254">
      <c r="A487" s="64"/>
    </row>
    <row r="488" spans="1:254">
      <c r="A488" s="64"/>
    </row>
    <row r="489" spans="1:254">
      <c r="A489" s="64"/>
    </row>
    <row r="490" spans="1:254">
      <c r="A490" s="64"/>
    </row>
    <row r="491" spans="1:254">
      <c r="A491" s="64"/>
    </row>
    <row r="492" spans="1:254">
      <c r="A492" s="64"/>
    </row>
    <row r="493" spans="1:254">
      <c r="A493" s="64"/>
    </row>
    <row r="494" spans="1:254">
      <c r="A494" s="64"/>
    </row>
    <row r="495" spans="1:254">
      <c r="A495" s="64"/>
    </row>
    <row r="496" spans="1:254">
      <c r="A496" s="64"/>
    </row>
    <row r="497" spans="1:254">
      <c r="A497" s="64"/>
    </row>
    <row r="498" spans="1:254">
      <c r="A498" s="64"/>
    </row>
    <row r="499" spans="1:254">
      <c r="A499" s="64"/>
    </row>
    <row r="500" spans="1:254">
      <c r="A500" s="64"/>
    </row>
    <row r="501" spans="1:254">
      <c r="A501" s="64"/>
    </row>
    <row r="502" spans="1:254">
      <c r="A502" s="64"/>
    </row>
    <row r="503" spans="1:254">
      <c r="A503" s="64"/>
    </row>
    <row r="504" spans="1:254">
      <c r="A504" s="64"/>
    </row>
    <row r="505" spans="1:254">
      <c r="A505" s="64"/>
    </row>
  </sheetData>
  <sheetProtection algorithmName="SHA-512" hashValue="1ykPwlbNQvhE8s+AqWX6uy8bZ+bQNuKZUULG574NQ1VqPLQpkJYNAjsJX8aLoO/O5tB2hH5Yarlqm6OKKsaP+g==" saltValue="YfPIPqUkH+xNeRxnXR/D6w=="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IT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78" width="9" style="4"/>
    <col min="105" max="16384" width="9" style="4"/>
    <col min="105" max="254" width="7" style="1" customWidth="1"/>
  </cols>
  <sheetData>
    <row r="1" spans="1:254" ht="30" customHeight="1">
      <c r="A1" s="768" t="s">
        <v>582</v>
      </c>
      <c r="B1" s="769"/>
      <c r="C1" s="769"/>
      <c r="D1" s="769"/>
      <c r="E1" s="769"/>
      <c r="F1" s="769"/>
      <c r="G1" s="769"/>
      <c r="H1" s="769"/>
      <c r="I1" s="769"/>
      <c r="J1" s="769"/>
      <c r="K1" s="769"/>
      <c r="L1" s="769"/>
      <c r="M1" s="769"/>
      <c r="N1" s="769"/>
      <c r="O1" s="769"/>
      <c r="P1" s="769"/>
      <c r="Q1" s="769"/>
      <c r="R1" s="769"/>
      <c r="S1" s="769"/>
      <c r="T1" s="769"/>
      <c r="U1" s="769"/>
      <c r="V1" s="769"/>
      <c r="W1" s="769"/>
      <c r="X1" s="769"/>
      <c r="Y1" s="769"/>
      <c r="Z1" s="769"/>
      <c r="AA1" s="769"/>
      <c r="AB1" s="769"/>
      <c r="AC1" s="769"/>
      <c r="AD1" s="769"/>
      <c r="AE1" s="769"/>
      <c r="AF1" s="769"/>
      <c r="AG1" s="769"/>
      <c r="AH1" s="769"/>
      <c r="AI1" s="769"/>
      <c r="AJ1" s="769"/>
      <c r="AK1" s="769"/>
      <c r="AL1" s="769"/>
      <c r="AM1" s="769"/>
      <c r="AN1" s="769"/>
      <c r="AO1" s="769"/>
      <c r="AP1" s="769"/>
      <c r="AQ1" s="769"/>
      <c r="AR1" s="769"/>
      <c r="AS1" s="769"/>
      <c r="AT1" s="769"/>
      <c r="AU1" s="769"/>
      <c r="AV1" s="769"/>
      <c r="AW1" s="769"/>
      <c r="AX1" s="769"/>
      <c r="AY1" s="769"/>
      <c r="AZ1" s="769"/>
      <c r="BA1" s="769"/>
      <c r="BB1" s="769"/>
      <c r="BC1" s="769"/>
      <c r="BD1" s="769"/>
      <c r="BE1" s="769"/>
      <c r="BF1" s="769"/>
      <c r="BG1" s="769"/>
      <c r="BH1" s="769"/>
      <c r="BI1" s="769"/>
      <c r="BJ1" s="769"/>
      <c r="BK1" s="769"/>
      <c r="BL1" s="770"/>
    </row>
    <row r="2" spans="1:254"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254" s="189" customFormat="1" ht="22.5" customHeight="1">
      <c r="A3" s="187" t="s">
        <v>5</v>
      </c>
      <c r="B3" s="187"/>
      <c r="C3" s="206" t="s">
        <v>6</v>
      </c>
      <c r="D3" s="187"/>
      <c r="E3" s="188">
        <v>46240</v>
      </c>
      <c r="F3" s="188">
        <v>46239</v>
      </c>
      <c r="G3" s="188">
        <v>46238</v>
      </c>
      <c r="H3" s="188">
        <v>46237</v>
      </c>
      <c r="I3" s="188">
        <v>46234</v>
      </c>
      <c r="J3" s="188">
        <v>46233</v>
      </c>
      <c r="K3" s="188">
        <v>46232</v>
      </c>
      <c r="L3" s="188">
        <v>46231</v>
      </c>
      <c r="M3" s="188">
        <v>46230</v>
      </c>
      <c r="N3" s="188">
        <v>46227</v>
      </c>
      <c r="O3" s="188">
        <v>46226</v>
      </c>
      <c r="P3" s="188">
        <v>46225</v>
      </c>
      <c r="Q3" s="188">
        <v>46224</v>
      </c>
      <c r="R3" s="188">
        <v>46220</v>
      </c>
      <c r="S3" s="188">
        <v>46218</v>
      </c>
      <c r="T3" s="188">
        <v>46217</v>
      </c>
      <c r="U3" s="188">
        <v>46216</v>
      </c>
      <c r="V3" s="188">
        <v>46213</v>
      </c>
      <c r="W3" s="188">
        <v>46212</v>
      </c>
      <c r="X3" s="188">
        <v>46211</v>
      </c>
      <c r="Y3" s="188">
        <v>46210</v>
      </c>
      <c r="Z3" s="188">
        <v>46209</v>
      </c>
      <c r="AA3" s="188">
        <v>46206</v>
      </c>
      <c r="AB3" s="188">
        <v>46205</v>
      </c>
      <c r="AC3" s="188">
        <v>46204</v>
      </c>
      <c r="AD3" s="188">
        <v>46203</v>
      </c>
      <c r="AE3" s="188">
        <v>46202</v>
      </c>
      <c r="AF3" s="188">
        <v>46199</v>
      </c>
      <c r="AG3" s="188">
        <v>46198</v>
      </c>
      <c r="AH3" s="188">
        <v>46197</v>
      </c>
      <c r="AI3" s="188">
        <v>46196</v>
      </c>
      <c r="AJ3" s="188">
        <v>46195</v>
      </c>
      <c r="AK3" s="188">
        <v>46192</v>
      </c>
      <c r="AL3" s="188">
        <v>46191</v>
      </c>
      <c r="AM3" s="188">
        <v>46190</v>
      </c>
      <c r="AN3" s="188">
        <v>46189</v>
      </c>
      <c r="AO3" s="188">
        <v>46188</v>
      </c>
      <c r="AP3" s="188">
        <v>46185</v>
      </c>
      <c r="AQ3" s="188">
        <v>46184</v>
      </c>
      <c r="AR3" s="188">
        <v>46183</v>
      </c>
      <c r="AS3" s="188">
        <v>46181</v>
      </c>
      <c r="AT3" s="188">
        <v>46178</v>
      </c>
      <c r="AU3" s="188">
        <v>46177</v>
      </c>
      <c r="AV3" s="188">
        <v>46176</v>
      </c>
      <c r="AW3" s="188">
        <v>46175</v>
      </c>
      <c r="AX3" s="188">
        <v>46171</v>
      </c>
      <c r="AY3" s="188">
        <v>46170</v>
      </c>
      <c r="AZ3" s="188">
        <v>46169</v>
      </c>
      <c r="BA3" s="188">
        <v>46167</v>
      </c>
      <c r="BB3" s="188">
        <v>46164</v>
      </c>
      <c r="BC3" s="188">
        <v>46163</v>
      </c>
      <c r="BD3" s="188">
        <v>46162</v>
      </c>
      <c r="BE3" s="188">
        <v>46161</v>
      </c>
      <c r="BF3" s="188">
        <v>46160</v>
      </c>
      <c r="BG3" s="188">
        <v>46157</v>
      </c>
      <c r="BH3" s="188">
        <v>46156</v>
      </c>
      <c r="BI3" s="188">
        <v>46155</v>
      </c>
      <c r="BJ3" s="188">
        <v>46154</v>
      </c>
      <c r="BK3" s="188">
        <v>46153</v>
      </c>
      <c r="BL3" s="188">
        <v>46150</v>
      </c>
      <c r="BM3" s="736">
        <v>46149</v>
      </c>
      <c r="BN3" s="736">
        <v>46143</v>
      </c>
      <c r="BO3" s="736">
        <v>46142</v>
      </c>
      <c r="BP3" s="736">
        <v>46140</v>
      </c>
      <c r="BQ3" s="736">
        <v>46139</v>
      </c>
      <c r="BR3" s="736">
        <v>46136</v>
      </c>
      <c r="BS3" s="736">
        <v>46135</v>
      </c>
      <c r="BT3" s="736">
        <v>46134</v>
      </c>
      <c r="BU3" s="736">
        <v>46133</v>
      </c>
      <c r="BV3" s="736">
        <v>46132</v>
      </c>
      <c r="BW3" s="736">
        <v>46129</v>
      </c>
      <c r="BX3" s="736">
        <v>46128</v>
      </c>
      <c r="BY3" s="736">
        <v>46127</v>
      </c>
      <c r="BZ3" s="736">
        <v>46126</v>
      </c>
      <c r="CA3"/>
      <c r="CB3"/>
      <c r="CC3"/>
      <c r="CD3"/>
      <c r="CE3"/>
      <c r="CF3"/>
      <c r="CG3"/>
      <c r="CH3"/>
      <c r="CI3"/>
      <c r="CJ3"/>
      <c r="CK3"/>
      <c r="CL3"/>
      <c r="CM3"/>
      <c r="CN3"/>
      <c r="CO3"/>
      <c r="CP3"/>
      <c r="CQ3"/>
      <c r="CR3"/>
      <c r="CS3"/>
      <c r="CT3"/>
      <c r="CU3"/>
      <c r="CV3"/>
      <c r="CW3"/>
      <c r="CX3"/>
      <c r="CY3"/>
      <c r="CZ3"/>
    </row>
    <row r="4" spans="1:254"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254" ht="22.5" customHeight="1">
      <c r="A5" s="5" t="str">
        <f>IF(銘柄管理!B5="","",銘柄管理!B5)</f>
        <v>TOPX</v>
      </c>
      <c r="B5" s="6">
        <f>IF(銘柄管理!C5="","",銘柄管理!C5)</f>
        <v>4055.85</v>
      </c>
      <c r="C5" s="7">
        <f t="array" ref="C5">_xll.RssIndexMarket("TOPX", "現在値")</f>
        <v>4055.85</v>
      </c>
      <c r="D5" s="8">
        <f>IF(OR(C5=0,E5=0),"",C5-E5)</f>
        <v>0</v>
      </c>
      <c r="E5" s="9">
        <v>4055.85</v>
      </c>
      <c r="F5" s="9">
        <v>4046.17</v>
      </c>
      <c r="G5" s="9">
        <v>3961.78</v>
      </c>
      <c r="H5" s="9">
        <v>3960.03</v>
      </c>
      <c r="I5" s="9">
        <v>4003.3</v>
      </c>
      <c r="J5" s="9">
        <v>3952.5</v>
      </c>
      <c r="K5" s="9">
        <v>3974.03</v>
      </c>
      <c r="L5" s="9">
        <v>3963.59</v>
      </c>
      <c r="M5" s="9">
        <v>4066.07</v>
      </c>
      <c r="N5" s="9">
        <v>4011.31</v>
      </c>
      <c r="O5" s="9">
        <v>4053.88</v>
      </c>
      <c r="P5" s="9">
        <v>4033.13</v>
      </c>
      <c r="Q5" s="9">
        <v>4014.95</v>
      </c>
      <c r="R5" s="9">
        <v>4014.95</v>
      </c>
      <c r="S5" s="9">
        <v>3919.21</v>
      </c>
      <c r="T5" s="9">
        <v>4088.12</v>
      </c>
      <c r="U5" s="9">
        <v>4038.98</v>
      </c>
      <c r="V5" s="9">
        <v>4007.49</v>
      </c>
      <c r="W5" s="9">
        <v>4036.08</v>
      </c>
      <c r="X5" s="9">
        <v>4020.37</v>
      </c>
      <c r="Y5" s="9">
        <v>4006.43</v>
      </c>
      <c r="Z5" s="9">
        <v>4062.26</v>
      </c>
      <c r="AA5" s="9">
        <v>4101.96</v>
      </c>
      <c r="AB5" s="9">
        <v>4064.6</v>
      </c>
      <c r="AC5" s="9">
        <v>4014.98</v>
      </c>
      <c r="AD5" s="9">
        <v>4011.5</v>
      </c>
      <c r="AE5" s="9">
        <v>3994.76</v>
      </c>
      <c r="AF5" s="9">
        <v>3982</v>
      </c>
      <c r="AG5" s="9">
        <v>3963.36</v>
      </c>
      <c r="AH5" s="9">
        <v>4016.47</v>
      </c>
      <c r="AI5" s="9">
        <v>3963.76</v>
      </c>
      <c r="AJ5" s="9">
        <v>3990.38</v>
      </c>
      <c r="AK5" s="9">
        <v>4095.05</v>
      </c>
      <c r="AL5" s="9">
        <v>4044.96</v>
      </c>
      <c r="AM5" s="9">
        <v>4068.18</v>
      </c>
      <c r="AN5" s="9">
        <v>4013.23</v>
      </c>
      <c r="AO5" s="9">
        <v>3991.14</v>
      </c>
      <c r="AP5" s="9">
        <v>3881.96</v>
      </c>
      <c r="AQ5" s="10">
        <v>3830.35</v>
      </c>
      <c r="AR5" s="10">
        <v>3847.6</v>
      </c>
      <c r="AS5" s="10">
        <v>3852.38</v>
      </c>
      <c r="AT5" s="10">
        <v>3949.09</v>
      </c>
      <c r="AU5" s="10">
        <v>3951.85</v>
      </c>
      <c r="AV5" s="10">
        <v>3996.2</v>
      </c>
      <c r="AW5" s="10">
        <v>3924.24</v>
      </c>
      <c r="AX5" s="10">
        <v>3940.7</v>
      </c>
      <c r="AY5" s="10">
        <v>3957.17</v>
      </c>
      <c r="AZ5" s="10">
        <v>3902.01</v>
      </c>
      <c r="BA5" s="10">
        <v>3918.01</v>
      </c>
      <c r="BB5" s="10">
        <v>3942.57</v>
      </c>
      <c r="BC5" s="10">
        <v>3892.46</v>
      </c>
      <c r="BD5" s="10">
        <v>3853.81</v>
      </c>
      <c r="BE5" s="10">
        <v>3791.65</v>
      </c>
      <c r="BF5" s="10">
        <v>3850.67</v>
      </c>
      <c r="BG5" s="10">
        <v>3826.51</v>
      </c>
      <c r="BH5" s="10">
        <v>3863.97</v>
      </c>
      <c r="BI5" s="10">
        <v>3879.27</v>
      </c>
      <c r="BJ5" s="10"/>
      <c r="BK5" s="10"/>
      <c r="BL5" s="10"/>
    </row>
    <row r="6" spans="1:254" ht="22.5" customHeight="1">
      <c r="A6" s="61" t="s">
        <v>7</v>
      </c>
      <c r="B6" s="6" t="s">
        <v>8</v>
      </c>
      <c r="C6" s="15">
        <f>_xll.RssMarket("5706","現在値")</f>
        <v>31970</v>
      </c>
      <c r="D6" s="16">
        <f t="shared" ref="D6:D37" si="0">C6-E6</f>
        <v>0</v>
      </c>
      <c r="E6" s="11">
        <v>31970</v>
      </c>
      <c r="F6" s="11">
        <v>35380</v>
      </c>
      <c r="G6" s="11">
        <v>31900</v>
      </c>
      <c r="H6" s="12">
        <v>30890</v>
      </c>
      <c r="I6" s="11">
        <v>30950</v>
      </c>
      <c r="J6" s="11">
        <v>27095</v>
      </c>
      <c r="K6" s="11">
        <v>25665</v>
      </c>
      <c r="L6" s="11">
        <v>28010</v>
      </c>
      <c r="M6" s="11">
        <v>31230</v>
      </c>
      <c r="N6" s="11">
        <v>31910</v>
      </c>
      <c r="O6" s="11">
        <v>33900</v>
      </c>
      <c r="P6" s="11">
        <v>33600</v>
      </c>
      <c r="Q6" s="11">
        <v>31290</v>
      </c>
      <c r="R6" s="11">
        <v>29980</v>
      </c>
      <c r="S6" s="11">
        <v>34980</v>
      </c>
      <c r="T6" s="11">
        <v>34390</v>
      </c>
      <c r="U6" s="11">
        <v>35280</v>
      </c>
      <c r="V6" s="11">
        <v>36460</v>
      </c>
      <c r="W6" s="11">
        <v>35090</v>
      </c>
      <c r="X6" s="11">
        <v>33730</v>
      </c>
      <c r="Y6" s="11">
        <v>35930</v>
      </c>
      <c r="Z6" s="11">
        <v>37520</v>
      </c>
      <c r="AA6" s="11">
        <v>38740</v>
      </c>
      <c r="AB6" s="11">
        <v>38250</v>
      </c>
      <c r="AC6" s="11">
        <v>43160</v>
      </c>
      <c r="AD6" s="11">
        <v>42550</v>
      </c>
      <c r="AE6" s="11">
        <v>41940</v>
      </c>
      <c r="AF6" s="11">
        <v>42390</v>
      </c>
      <c r="AG6" s="11">
        <v>46390</v>
      </c>
      <c r="AH6" s="11">
        <v>46040</v>
      </c>
      <c r="AI6" s="11">
        <v>46250</v>
      </c>
      <c r="AJ6" s="11">
        <v>52930</v>
      </c>
      <c r="AK6" s="11">
        <v>48820</v>
      </c>
      <c r="AL6" s="11">
        <v>48100</v>
      </c>
      <c r="AM6" s="11">
        <v>47600</v>
      </c>
      <c r="AN6" s="11">
        <v>48500</v>
      </c>
      <c r="AO6" s="11">
        <v>44690</v>
      </c>
      <c r="AP6" s="11">
        <v>43900</v>
      </c>
      <c r="AQ6" s="13">
        <v>37330</v>
      </c>
      <c r="AR6" s="13">
        <v>36980</v>
      </c>
      <c r="AS6" s="13">
        <v>41350</v>
      </c>
      <c r="AT6" s="13">
        <v>44490</v>
      </c>
      <c r="AU6" s="13">
        <v>46050</v>
      </c>
      <c r="AV6" s="13">
        <v>47600</v>
      </c>
      <c r="AW6" s="13">
        <v>49550</v>
      </c>
      <c r="AX6" s="13">
        <v>51630</v>
      </c>
      <c r="AY6" s="13">
        <v>48750</v>
      </c>
      <c r="AZ6" s="13">
        <v>51800</v>
      </c>
      <c r="BA6" s="13">
        <v>53330</v>
      </c>
      <c r="BB6" s="13">
        <v>49610</v>
      </c>
      <c r="BC6" s="13">
        <v>46670</v>
      </c>
      <c r="BD6" s="13">
        <v>44360</v>
      </c>
      <c r="BE6" s="13">
        <v>44790</v>
      </c>
      <c r="BF6" s="13">
        <v>47320</v>
      </c>
      <c r="BG6" s="13">
        <v>46640</v>
      </c>
      <c r="BH6" s="13">
        <v>50660</v>
      </c>
      <c r="BI6" s="13">
        <v>54900</v>
      </c>
      <c r="BJ6" s="13">
        <v>50850</v>
      </c>
      <c r="BK6" s="13">
        <v>51250</v>
      </c>
      <c r="BL6" s="13">
        <v>50000</v>
      </c>
      <c r="BM6" s="4">
        <v>48060</v>
      </c>
      <c r="BN6" s="4">
        <v>41060</v>
      </c>
      <c r="BO6" s="4">
        <v>42350</v>
      </c>
      <c r="BP6" s="4">
        <v>41370</v>
      </c>
      <c r="BQ6" s="4">
        <v>39300</v>
      </c>
      <c r="BR6" s="4">
        <v>38660</v>
      </c>
      <c r="BS6" s="4">
        <v>36830</v>
      </c>
      <c r="BT6" s="4">
        <v>38260</v>
      </c>
      <c r="BU6" s="4">
        <v>37390</v>
      </c>
      <c r="BV6" s="4">
        <v>35480</v>
      </c>
      <c r="BW6" s="4">
        <v>36500</v>
      </c>
      <c r="BX6" s="4">
        <v>37750</v>
      </c>
      <c r="BY6" s="4">
        <v>35690</v>
      </c>
      <c r="BZ6" s="4">
        <v>38260</v>
      </c>
    </row>
    <row r="7" spans="1:254" ht="22.5" customHeight="1">
      <c r="A7" s="61" t="s">
        <v>9</v>
      </c>
      <c r="B7" s="6" t="s">
        <v>10</v>
      </c>
      <c r="C7" s="15">
        <f>_xll.RssMarket("5423","現在値")</f>
        <v>1752</v>
      </c>
      <c r="D7" s="16">
        <f t="shared" si="0"/>
        <v>0</v>
      </c>
      <c r="E7" s="11">
        <v>1752</v>
      </c>
      <c r="F7" s="11">
        <v>1723</v>
      </c>
      <c r="G7" s="11">
        <v>1689</v>
      </c>
      <c r="H7" s="11">
        <v>1695</v>
      </c>
      <c r="I7" s="11">
        <v>1772</v>
      </c>
      <c r="J7" s="11">
        <v>1761</v>
      </c>
      <c r="K7" s="11">
        <v>1782</v>
      </c>
      <c r="L7" s="11">
        <v>1784</v>
      </c>
      <c r="M7" s="11">
        <v>1742</v>
      </c>
      <c r="N7" s="11">
        <v>1687</v>
      </c>
      <c r="O7" s="11">
        <v>1715</v>
      </c>
      <c r="P7" s="11">
        <v>1708</v>
      </c>
      <c r="Q7" s="11">
        <v>1721</v>
      </c>
      <c r="R7" s="11">
        <v>1748</v>
      </c>
      <c r="S7" s="11">
        <v>1767</v>
      </c>
      <c r="T7" s="11">
        <v>1763</v>
      </c>
      <c r="U7" s="11">
        <v>1726</v>
      </c>
      <c r="V7" s="11">
        <v>1717</v>
      </c>
      <c r="W7" s="11">
        <v>1722</v>
      </c>
      <c r="X7" s="11">
        <v>1744</v>
      </c>
      <c r="Y7" s="11">
        <v>1750</v>
      </c>
      <c r="Z7" s="11">
        <v>1749</v>
      </c>
      <c r="AA7" s="11">
        <v>1750</v>
      </c>
      <c r="AB7" s="11">
        <v>1714</v>
      </c>
      <c r="AC7" s="11">
        <v>1705</v>
      </c>
      <c r="AD7" s="11">
        <v>1685</v>
      </c>
      <c r="AE7" s="11">
        <v>1691</v>
      </c>
      <c r="AF7" s="11">
        <v>1679</v>
      </c>
      <c r="AG7" s="11">
        <v>1678</v>
      </c>
      <c r="AH7" s="11">
        <v>1715</v>
      </c>
      <c r="AI7" s="11">
        <v>1739</v>
      </c>
      <c r="AJ7" s="11">
        <v>1799</v>
      </c>
      <c r="AK7" s="11">
        <v>1761</v>
      </c>
      <c r="AL7" s="11">
        <v>1776</v>
      </c>
      <c r="AM7" s="11">
        <v>1771</v>
      </c>
      <c r="AN7" s="11">
        <v>1742</v>
      </c>
      <c r="AO7" s="11">
        <v>1760</v>
      </c>
      <c r="AP7" s="11">
        <v>1717</v>
      </c>
      <c r="AQ7" s="13">
        <v>1689</v>
      </c>
      <c r="AR7" s="13">
        <v>1671</v>
      </c>
      <c r="AS7" s="13">
        <v>1699</v>
      </c>
      <c r="AT7" s="13">
        <v>1698</v>
      </c>
      <c r="AU7" s="13">
        <v>1703</v>
      </c>
      <c r="AV7" s="13">
        <v>1703</v>
      </c>
      <c r="AW7" s="13">
        <v>1702</v>
      </c>
      <c r="AX7" s="13">
        <v>1756</v>
      </c>
      <c r="AY7" s="13">
        <v>1712</v>
      </c>
      <c r="AZ7" s="13">
        <v>1707</v>
      </c>
      <c r="BA7" s="13">
        <v>1708</v>
      </c>
      <c r="BB7" s="13">
        <v>1725</v>
      </c>
      <c r="BC7" s="13">
        <v>1745</v>
      </c>
      <c r="BD7" s="13">
        <v>1704</v>
      </c>
      <c r="BE7" s="13">
        <v>1758</v>
      </c>
      <c r="BF7" s="13">
        <v>1798</v>
      </c>
      <c r="BG7" s="13">
        <v>1825</v>
      </c>
      <c r="BH7" s="13">
        <v>1844</v>
      </c>
      <c r="BI7" s="13">
        <v>1701</v>
      </c>
      <c r="BJ7" s="13">
        <v>1663</v>
      </c>
      <c r="BK7" s="13">
        <v>1656</v>
      </c>
      <c r="BL7" s="13">
        <v>1657</v>
      </c>
      <c r="BM7" s="4">
        <v>1682</v>
      </c>
      <c r="BN7" s="4">
        <v>1677</v>
      </c>
      <c r="BO7" s="4">
        <v>1697</v>
      </c>
      <c r="BP7" s="4">
        <v>1693</v>
      </c>
      <c r="BQ7" s="4">
        <v>1697</v>
      </c>
      <c r="BR7" s="4">
        <v>1703</v>
      </c>
      <c r="BS7" s="4">
        <v>1736</v>
      </c>
      <c r="BT7" s="4">
        <v>1805</v>
      </c>
      <c r="BU7" s="4">
        <v>1827</v>
      </c>
      <c r="BV7" s="4">
        <v>1780</v>
      </c>
      <c r="BW7" s="4">
        <v>1768</v>
      </c>
      <c r="BX7" s="4">
        <v>1782</v>
      </c>
      <c r="BY7" s="4">
        <v>1733</v>
      </c>
      <c r="BZ7" s="4">
        <v>1725</v>
      </c>
    </row>
    <row r="8" spans="1:254" ht="15.9" customHeight="1">
      <c r="A8" s="61" t="s">
        <v>11</v>
      </c>
      <c r="B8" s="6" t="s">
        <v>12</v>
      </c>
      <c r="C8" s="15">
        <f>_xll.RssMarket("5713","現在値")</f>
        <v>9088</v>
      </c>
      <c r="D8" s="16">
        <f t="shared" si="0"/>
        <v>0</v>
      </c>
      <c r="E8" s="14">
        <v>9088</v>
      </c>
      <c r="F8" s="14">
        <v>8563</v>
      </c>
      <c r="G8" s="14">
        <v>8058</v>
      </c>
      <c r="H8" s="14">
        <v>7961</v>
      </c>
      <c r="I8" s="14">
        <v>8185</v>
      </c>
      <c r="J8" s="14">
        <v>7430</v>
      </c>
      <c r="K8" s="14">
        <v>7315</v>
      </c>
      <c r="L8" s="14">
        <v>7364</v>
      </c>
      <c r="M8" s="14">
        <v>7785</v>
      </c>
      <c r="N8" s="14">
        <v>7460</v>
      </c>
      <c r="O8" s="14">
        <v>7902</v>
      </c>
      <c r="P8" s="14">
        <v>7521</v>
      </c>
      <c r="Q8" s="14">
        <v>7317</v>
      </c>
      <c r="R8" s="14">
        <v>6794</v>
      </c>
      <c r="S8" s="14">
        <v>7404</v>
      </c>
      <c r="T8" s="14">
        <v>7329</v>
      </c>
      <c r="U8" s="14">
        <v>7156</v>
      </c>
      <c r="V8" s="14">
        <v>7275</v>
      </c>
      <c r="W8" s="14">
        <v>7190</v>
      </c>
      <c r="X8" s="14">
        <v>7305</v>
      </c>
      <c r="Y8" s="14">
        <v>7462</v>
      </c>
      <c r="Z8" s="14">
        <v>7924</v>
      </c>
      <c r="AA8" s="14">
        <v>7930</v>
      </c>
      <c r="AB8" s="14">
        <v>7521</v>
      </c>
      <c r="AC8" s="14">
        <v>7336</v>
      </c>
      <c r="AD8" s="14">
        <v>7469</v>
      </c>
      <c r="AE8" s="14">
        <v>7492</v>
      </c>
      <c r="AF8" s="14">
        <v>7635</v>
      </c>
      <c r="AG8" s="14">
        <v>7653</v>
      </c>
      <c r="AH8" s="14">
        <v>7955</v>
      </c>
      <c r="AI8" s="14">
        <v>8251</v>
      </c>
      <c r="AJ8" s="14">
        <v>8834</v>
      </c>
      <c r="AK8" s="14">
        <v>8607</v>
      </c>
      <c r="AL8" s="14">
        <v>9273</v>
      </c>
      <c r="AM8" s="14">
        <v>9155</v>
      </c>
      <c r="AN8" s="14">
        <v>8863</v>
      </c>
      <c r="AO8" s="14">
        <v>9200</v>
      </c>
      <c r="AP8" s="14">
        <v>8638</v>
      </c>
      <c r="AQ8" s="13">
        <v>7735</v>
      </c>
      <c r="AR8" s="13">
        <v>7844</v>
      </c>
      <c r="AS8" s="13">
        <v>7996</v>
      </c>
      <c r="AT8" s="13">
        <v>8578</v>
      </c>
      <c r="AU8" s="13">
        <v>8654</v>
      </c>
      <c r="AV8" s="13">
        <v>9099</v>
      </c>
      <c r="AW8" s="13">
        <v>8779</v>
      </c>
      <c r="AX8" s="13">
        <v>9093</v>
      </c>
      <c r="AY8" s="13">
        <v>8910</v>
      </c>
      <c r="AZ8" s="13">
        <v>9608</v>
      </c>
      <c r="BA8" s="13">
        <v>9800</v>
      </c>
      <c r="BB8" s="13">
        <v>9504</v>
      </c>
      <c r="BC8" s="13">
        <v>9193</v>
      </c>
      <c r="BD8" s="13">
        <v>8980</v>
      </c>
      <c r="BE8" s="13">
        <v>9280</v>
      </c>
      <c r="BF8" s="13">
        <v>9560</v>
      </c>
      <c r="BG8" s="13">
        <v>10275</v>
      </c>
      <c r="BH8" s="13">
        <v>10565</v>
      </c>
      <c r="BI8" s="13">
        <v>10820</v>
      </c>
      <c r="BJ8" s="13">
        <v>10725</v>
      </c>
      <c r="BK8" s="13">
        <v>10155</v>
      </c>
      <c r="BL8" s="13">
        <v>10615</v>
      </c>
      <c r="BM8" s="4">
        <v>10085</v>
      </c>
      <c r="BN8" s="4">
        <v>9532</v>
      </c>
      <c r="BO8" s="4">
        <v>9423</v>
      </c>
      <c r="BP8" s="4">
        <v>9664</v>
      </c>
      <c r="BQ8" s="4">
        <v>9599</v>
      </c>
      <c r="BR8" s="4">
        <v>9713</v>
      </c>
      <c r="BS8" s="4">
        <v>9740</v>
      </c>
      <c r="BT8" s="4">
        <v>10030</v>
      </c>
      <c r="BU8" s="4">
        <v>10290</v>
      </c>
      <c r="BV8" s="4">
        <v>10070</v>
      </c>
      <c r="BW8" s="4">
        <v>10150</v>
      </c>
      <c r="BX8" s="4">
        <v>11020</v>
      </c>
      <c r="BY8" s="4">
        <v>10645</v>
      </c>
      <c r="BZ8" s="4">
        <v>10400</v>
      </c>
    </row>
    <row r="9" spans="1:254" ht="15.9" customHeight="1">
      <c r="A9" s="61" t="s">
        <v>13</v>
      </c>
      <c r="B9" s="6" t="s">
        <v>14</v>
      </c>
      <c r="C9" s="15">
        <f>_xll.RssMarket("5711","現在値")</f>
        <v>4457</v>
      </c>
      <c r="D9" s="16">
        <f t="shared" si="0"/>
        <v>0</v>
      </c>
      <c r="E9" s="13">
        <v>4457</v>
      </c>
      <c r="F9" s="13">
        <v>4382</v>
      </c>
      <c r="G9" s="13">
        <v>4144</v>
      </c>
      <c r="H9" s="13">
        <v>4151</v>
      </c>
      <c r="I9" s="13">
        <v>4193</v>
      </c>
      <c r="J9" s="13">
        <v>3971</v>
      </c>
      <c r="K9" s="13">
        <v>3944</v>
      </c>
      <c r="L9" s="13">
        <v>4034</v>
      </c>
      <c r="M9" s="13">
        <v>4224</v>
      </c>
      <c r="N9" s="13">
        <v>4166</v>
      </c>
      <c r="O9" s="13">
        <v>4294</v>
      </c>
      <c r="P9" s="13">
        <v>4204</v>
      </c>
      <c r="Q9" s="13">
        <v>4124</v>
      </c>
      <c r="R9" s="13">
        <v>3970</v>
      </c>
      <c r="S9" s="13">
        <v>4242</v>
      </c>
      <c r="T9" s="13">
        <v>4160</v>
      </c>
      <c r="U9" s="13">
        <v>4047</v>
      </c>
      <c r="V9" s="13">
        <v>4087</v>
      </c>
      <c r="W9" s="13">
        <v>3960</v>
      </c>
      <c r="X9" s="13">
        <v>4254</v>
      </c>
      <c r="Y9" s="13">
        <v>4359</v>
      </c>
      <c r="Z9" s="13">
        <v>4626</v>
      </c>
      <c r="AA9" s="13">
        <v>4555</v>
      </c>
      <c r="AB9" s="13">
        <v>4452</v>
      </c>
      <c r="AC9" s="13">
        <v>4387</v>
      </c>
      <c r="AD9" s="13">
        <v>4315</v>
      </c>
      <c r="AE9" s="13">
        <v>4322</v>
      </c>
      <c r="AF9" s="13">
        <v>4363</v>
      </c>
      <c r="AG9" s="13">
        <v>4424</v>
      </c>
      <c r="AH9" s="13">
        <v>4559</v>
      </c>
      <c r="AI9" s="13">
        <v>4630</v>
      </c>
      <c r="AJ9" s="13">
        <v>4889</v>
      </c>
      <c r="AK9" s="13">
        <v>4836</v>
      </c>
      <c r="AL9" s="13">
        <v>4901</v>
      </c>
      <c r="AM9" s="13">
        <v>4882</v>
      </c>
      <c r="AN9" s="13">
        <v>4898</v>
      </c>
      <c r="AO9" s="13">
        <v>5005</v>
      </c>
      <c r="AP9" s="13">
        <v>4640</v>
      </c>
      <c r="AQ9" s="13">
        <v>4443</v>
      </c>
      <c r="AR9" s="13">
        <v>4471</v>
      </c>
      <c r="AS9" s="13">
        <v>4595</v>
      </c>
      <c r="AT9" s="13">
        <v>4904</v>
      </c>
      <c r="AU9" s="13">
        <v>4973</v>
      </c>
      <c r="AV9" s="13">
        <v>5187</v>
      </c>
      <c r="AW9" s="13">
        <v>5050</v>
      </c>
      <c r="AX9" s="13">
        <v>5153</v>
      </c>
      <c r="AY9" s="13">
        <v>5128</v>
      </c>
      <c r="AZ9" s="13">
        <v>5271</v>
      </c>
      <c r="BA9" s="13">
        <v>5255</v>
      </c>
      <c r="BB9" s="13">
        <v>5038</v>
      </c>
      <c r="BC9" s="13">
        <v>4890</v>
      </c>
      <c r="BD9" s="13">
        <v>4786</v>
      </c>
      <c r="BE9" s="13">
        <v>4959</v>
      </c>
      <c r="BF9" s="13">
        <v>5057</v>
      </c>
      <c r="BG9" s="13">
        <v>5428</v>
      </c>
      <c r="BH9" s="13">
        <v>5362</v>
      </c>
      <c r="BI9" s="13">
        <v>6100</v>
      </c>
      <c r="BJ9" s="13">
        <v>5817</v>
      </c>
      <c r="BK9" s="13">
        <v>5584</v>
      </c>
      <c r="BL9" s="13">
        <v>5562</v>
      </c>
      <c r="BM9" s="4">
        <v>5340</v>
      </c>
      <c r="BN9" s="4">
        <v>5080</v>
      </c>
      <c r="BO9" s="4">
        <v>5092</v>
      </c>
      <c r="BP9" s="4">
        <v>5215</v>
      </c>
      <c r="BQ9" s="4">
        <v>5157</v>
      </c>
      <c r="BR9" s="4">
        <v>5261</v>
      </c>
      <c r="BS9" s="4">
        <v>5292</v>
      </c>
      <c r="BT9" s="4">
        <v>5419</v>
      </c>
      <c r="BU9" s="4">
        <v>5548</v>
      </c>
      <c r="BV9" s="4">
        <v>5500</v>
      </c>
      <c r="BW9" s="4">
        <v>5528</v>
      </c>
      <c r="BX9" s="4">
        <v>5774</v>
      </c>
      <c r="BY9" s="4">
        <v>5652</v>
      </c>
      <c r="BZ9" s="4">
        <v>5688</v>
      </c>
    </row>
    <row r="10" spans="1:254" ht="15.9" customHeight="1">
      <c r="A10" s="61" t="s">
        <v>15</v>
      </c>
      <c r="B10" s="6" t="s">
        <v>16</v>
      </c>
      <c r="C10" s="15">
        <f>_xll.RssMarket("5714","現在値")</f>
        <v>8907</v>
      </c>
      <c r="D10" s="16">
        <f t="shared" si="0"/>
        <v>0</v>
      </c>
      <c r="E10" s="13">
        <v>8907</v>
      </c>
      <c r="F10" s="13">
        <v>8559</v>
      </c>
      <c r="G10" s="13">
        <v>8197</v>
      </c>
      <c r="H10" s="13">
        <v>8159</v>
      </c>
      <c r="I10" s="13">
        <v>8235</v>
      </c>
      <c r="J10" s="13">
        <v>7990</v>
      </c>
      <c r="K10" s="13">
        <v>7907</v>
      </c>
      <c r="L10" s="13">
        <v>8089</v>
      </c>
      <c r="M10" s="13">
        <v>8432</v>
      </c>
      <c r="N10" s="13">
        <v>8276</v>
      </c>
      <c r="O10" s="13">
        <v>8542</v>
      </c>
      <c r="P10" s="13">
        <v>8457</v>
      </c>
      <c r="Q10" s="13">
        <v>8271</v>
      </c>
      <c r="R10" s="13">
        <v>7946</v>
      </c>
      <c r="S10" s="13">
        <v>8443</v>
      </c>
      <c r="T10" s="13">
        <v>8369</v>
      </c>
      <c r="U10" s="13">
        <v>8280</v>
      </c>
      <c r="V10" s="13">
        <v>8376</v>
      </c>
      <c r="W10" s="13">
        <v>8257</v>
      </c>
      <c r="X10" s="13">
        <v>8425</v>
      </c>
      <c r="Y10" s="13">
        <v>8586</v>
      </c>
      <c r="Z10" s="13">
        <v>8963</v>
      </c>
      <c r="AA10" s="13">
        <v>8834</v>
      </c>
      <c r="AB10" s="13">
        <v>8790</v>
      </c>
      <c r="AC10" s="13">
        <v>8602</v>
      </c>
      <c r="AD10" s="13">
        <v>8666</v>
      </c>
      <c r="AE10" s="13">
        <v>8770</v>
      </c>
      <c r="AF10" s="13">
        <v>8744</v>
      </c>
      <c r="AG10" s="13">
        <v>8735</v>
      </c>
      <c r="AH10" s="13">
        <v>8984</v>
      </c>
      <c r="AI10" s="13">
        <v>9184</v>
      </c>
      <c r="AJ10" s="13">
        <v>9670</v>
      </c>
      <c r="AK10" s="13">
        <v>9480</v>
      </c>
      <c r="AL10" s="13">
        <v>9745</v>
      </c>
      <c r="AM10" s="13">
        <v>9839</v>
      </c>
      <c r="AN10" s="13">
        <v>9685</v>
      </c>
      <c r="AO10" s="13">
        <v>9870</v>
      </c>
      <c r="AP10" s="13">
        <v>9377</v>
      </c>
      <c r="AQ10" s="13">
        <v>8905</v>
      </c>
      <c r="AR10" s="13">
        <v>8997</v>
      </c>
      <c r="AS10" s="13">
        <v>9257</v>
      </c>
      <c r="AT10" s="13">
        <v>10005</v>
      </c>
      <c r="AU10" s="13">
        <v>9834</v>
      </c>
      <c r="AV10" s="13">
        <v>10370</v>
      </c>
      <c r="AW10" s="13">
        <v>10150</v>
      </c>
      <c r="AX10" s="13">
        <v>10300</v>
      </c>
      <c r="AY10" s="13">
        <v>10530</v>
      </c>
      <c r="AZ10" s="13">
        <v>10845</v>
      </c>
      <c r="BA10" s="13">
        <v>10935</v>
      </c>
      <c r="BB10" s="13">
        <v>10390</v>
      </c>
      <c r="BC10" s="13">
        <v>10165</v>
      </c>
      <c r="BD10" s="13">
        <v>10125</v>
      </c>
      <c r="BE10" s="13">
        <v>10370</v>
      </c>
      <c r="BF10" s="13">
        <v>11125</v>
      </c>
      <c r="BG10" s="13">
        <v>11640</v>
      </c>
      <c r="BH10" s="13">
        <v>10025</v>
      </c>
      <c r="BI10" s="13">
        <v>10655</v>
      </c>
      <c r="BJ10" s="13">
        <v>10350</v>
      </c>
      <c r="BK10" s="13">
        <v>10360</v>
      </c>
      <c r="BL10" s="13">
        <v>10180</v>
      </c>
      <c r="BM10" s="4">
        <v>9848</v>
      </c>
      <c r="BN10" s="4">
        <v>9492</v>
      </c>
      <c r="BO10" s="4">
        <v>9476</v>
      </c>
      <c r="BP10" s="4">
        <v>9730</v>
      </c>
      <c r="BQ10" s="4">
        <v>9500</v>
      </c>
      <c r="BR10" s="4">
        <v>9640</v>
      </c>
      <c r="BS10" s="4">
        <v>9667</v>
      </c>
      <c r="BT10" s="4">
        <v>9782</v>
      </c>
      <c r="BU10" s="4">
        <v>9937</v>
      </c>
      <c r="BV10" s="4">
        <v>9792</v>
      </c>
      <c r="BW10" s="4">
        <v>9962</v>
      </c>
      <c r="BX10" s="4">
        <v>10355</v>
      </c>
      <c r="BY10" s="4">
        <v>10055</v>
      </c>
      <c r="BZ10" s="4">
        <v>10055</v>
      </c>
    </row>
    <row r="11" spans="1:254" ht="15.9" customHeight="1">
      <c r="A11" s="61" t="s">
        <v>17</v>
      </c>
      <c r="B11" s="6" t="s">
        <v>18</v>
      </c>
      <c r="C11" s="15">
        <f>_xll.RssMarket("6701","現在値")</f>
        <v>4690</v>
      </c>
      <c r="D11" s="16">
        <f t="shared" si="0"/>
        <v>0</v>
      </c>
      <c r="E11" s="13">
        <v>4690</v>
      </c>
      <c r="F11" s="13">
        <v>4631</v>
      </c>
      <c r="G11" s="13">
        <v>4598</v>
      </c>
      <c r="H11" s="13">
        <v>4733</v>
      </c>
      <c r="I11" s="13">
        <v>4740</v>
      </c>
      <c r="J11" s="13">
        <v>5002</v>
      </c>
      <c r="K11" s="13">
        <v>4613</v>
      </c>
      <c r="L11" s="13">
        <v>4490</v>
      </c>
      <c r="M11" s="13">
        <v>4445</v>
      </c>
      <c r="N11" s="13">
        <v>4249</v>
      </c>
      <c r="O11" s="13">
        <v>4240</v>
      </c>
      <c r="P11" s="13">
        <v>4352</v>
      </c>
      <c r="Q11" s="13">
        <v>4407</v>
      </c>
      <c r="R11" s="13">
        <v>4354</v>
      </c>
      <c r="S11" s="13">
        <v>4270</v>
      </c>
      <c r="T11" s="13">
        <v>4463</v>
      </c>
      <c r="U11" s="13">
        <v>4339</v>
      </c>
      <c r="V11" s="13">
        <v>4333</v>
      </c>
      <c r="W11" s="13">
        <v>4386</v>
      </c>
      <c r="X11" s="13">
        <v>4349</v>
      </c>
      <c r="Y11" s="13">
        <v>4348</v>
      </c>
      <c r="Z11" s="13">
        <v>4347</v>
      </c>
      <c r="AA11" s="13">
        <v>4168</v>
      </c>
      <c r="AB11" s="13">
        <v>4200</v>
      </c>
      <c r="AC11" s="13">
        <v>3981</v>
      </c>
      <c r="AD11" s="13">
        <v>3925</v>
      </c>
      <c r="AE11" s="13">
        <v>4047</v>
      </c>
      <c r="AF11" s="13">
        <v>3795</v>
      </c>
      <c r="AG11" s="13">
        <v>3757</v>
      </c>
      <c r="AH11" s="13">
        <v>3838</v>
      </c>
      <c r="AI11" s="13">
        <v>3683</v>
      </c>
      <c r="AJ11" s="13">
        <v>3752</v>
      </c>
      <c r="AK11" s="13">
        <v>3756</v>
      </c>
      <c r="AL11" s="13">
        <v>3973</v>
      </c>
      <c r="AM11" s="13">
        <v>3852</v>
      </c>
      <c r="AN11" s="13">
        <v>3849</v>
      </c>
      <c r="AO11" s="13">
        <v>3847</v>
      </c>
      <c r="AP11" s="13">
        <v>3879</v>
      </c>
      <c r="AQ11" s="13">
        <v>4000</v>
      </c>
      <c r="AR11" s="13">
        <v>4010</v>
      </c>
      <c r="AS11" s="13">
        <v>4096</v>
      </c>
      <c r="AT11" s="13">
        <v>4253</v>
      </c>
      <c r="AU11" s="13">
        <v>4224</v>
      </c>
      <c r="AV11" s="13">
        <v>4273</v>
      </c>
      <c r="AW11" s="13">
        <v>4434</v>
      </c>
      <c r="AX11" s="13">
        <v>4103</v>
      </c>
      <c r="AY11" s="13">
        <v>4086</v>
      </c>
      <c r="AZ11" s="13">
        <v>4146</v>
      </c>
      <c r="BA11" s="13">
        <v>4106</v>
      </c>
      <c r="BB11" s="13">
        <v>4105</v>
      </c>
      <c r="BC11" s="13">
        <v>4125</v>
      </c>
      <c r="BD11" s="13">
        <v>4140</v>
      </c>
      <c r="BE11" s="13">
        <v>4297</v>
      </c>
      <c r="BF11" s="13">
        <v>4162</v>
      </c>
      <c r="BG11" s="13">
        <v>4004</v>
      </c>
      <c r="BH11" s="13">
        <v>4049</v>
      </c>
      <c r="BI11" s="13">
        <v>4190</v>
      </c>
      <c r="BJ11" s="13">
        <v>4130</v>
      </c>
      <c r="BK11" s="13">
        <v>4101</v>
      </c>
      <c r="BL11" s="13">
        <v>4200</v>
      </c>
      <c r="BM11" s="4">
        <v>4028</v>
      </c>
      <c r="BN11" s="4">
        <v>4035</v>
      </c>
      <c r="BO11" s="4">
        <v>4101</v>
      </c>
      <c r="BP11" s="4">
        <v>4444</v>
      </c>
      <c r="BQ11" s="4">
        <v>4625</v>
      </c>
      <c r="BR11" s="4">
        <v>4513</v>
      </c>
      <c r="BS11" s="4">
        <v>4292</v>
      </c>
      <c r="BT11" s="4">
        <v>4524</v>
      </c>
      <c r="BU11" s="4">
        <v>4431</v>
      </c>
      <c r="BV11" s="4">
        <v>4327</v>
      </c>
      <c r="BW11" s="4">
        <v>4328</v>
      </c>
      <c r="BX11" s="4">
        <v>4328</v>
      </c>
      <c r="BY11" s="4">
        <v>4269</v>
      </c>
      <c r="BZ11" s="4">
        <v>4083</v>
      </c>
    </row>
    <row r="12" spans="1:254" ht="15.9" customHeight="1">
      <c r="A12" s="61" t="s">
        <v>19</v>
      </c>
      <c r="B12" s="6" t="s">
        <v>20</v>
      </c>
      <c r="C12" s="15">
        <f>_xll.RssMarket("1605","現在値")</f>
        <v>3460</v>
      </c>
      <c r="D12" s="16">
        <f t="shared" si="0"/>
        <v>0</v>
      </c>
      <c r="E12" s="13">
        <v>3460</v>
      </c>
      <c r="F12" s="13">
        <v>3394</v>
      </c>
      <c r="G12" s="13">
        <v>3492</v>
      </c>
      <c r="H12" s="13">
        <v>3519</v>
      </c>
      <c r="I12" s="13">
        <v>3627</v>
      </c>
      <c r="J12" s="13">
        <v>3628</v>
      </c>
      <c r="K12" s="13">
        <v>3616</v>
      </c>
      <c r="L12" s="13">
        <v>3566</v>
      </c>
      <c r="M12" s="13">
        <v>3652</v>
      </c>
      <c r="N12" s="13">
        <v>3761</v>
      </c>
      <c r="O12" s="13">
        <v>3697</v>
      </c>
      <c r="P12" s="13">
        <v>3615</v>
      </c>
      <c r="Q12" s="13">
        <v>3580</v>
      </c>
      <c r="R12" s="13">
        <v>3401</v>
      </c>
      <c r="S12" s="13">
        <v>3450</v>
      </c>
      <c r="T12" s="13">
        <v>3524</v>
      </c>
      <c r="U12" s="13">
        <v>3391</v>
      </c>
      <c r="V12" s="13">
        <v>3361</v>
      </c>
      <c r="W12" s="13">
        <v>3427</v>
      </c>
      <c r="X12" s="13">
        <v>3388</v>
      </c>
      <c r="Y12" s="13">
        <v>3281</v>
      </c>
      <c r="Z12" s="13">
        <v>3309</v>
      </c>
      <c r="AA12" s="13">
        <v>3242</v>
      </c>
      <c r="AB12" s="13">
        <v>3204</v>
      </c>
      <c r="AC12" s="13">
        <v>3205</v>
      </c>
      <c r="AD12" s="13">
        <v>3265</v>
      </c>
      <c r="AE12" s="13">
        <v>3278</v>
      </c>
      <c r="AF12" s="13">
        <v>3351</v>
      </c>
      <c r="AG12" s="13">
        <v>3287</v>
      </c>
      <c r="AH12" s="13">
        <v>3401</v>
      </c>
      <c r="AI12" s="13">
        <v>3456</v>
      </c>
      <c r="AJ12" s="13">
        <v>3448</v>
      </c>
      <c r="AK12" s="13">
        <v>3500</v>
      </c>
      <c r="AL12" s="13">
        <v>3429</v>
      </c>
      <c r="AM12" s="13">
        <v>3406</v>
      </c>
      <c r="AN12" s="13">
        <v>3378</v>
      </c>
      <c r="AO12" s="13">
        <v>3495</v>
      </c>
      <c r="AP12" s="13">
        <v>3559</v>
      </c>
      <c r="AQ12" s="13">
        <v>3607</v>
      </c>
      <c r="AR12" s="13">
        <v>3483</v>
      </c>
      <c r="AS12" s="13">
        <v>3641</v>
      </c>
      <c r="AT12" s="13">
        <v>3685</v>
      </c>
      <c r="AU12" s="13">
        <v>3648</v>
      </c>
      <c r="AV12" s="13">
        <v>3707</v>
      </c>
      <c r="AW12" s="13">
        <v>3567</v>
      </c>
      <c r="AX12" s="13">
        <v>3604</v>
      </c>
      <c r="AY12" s="13">
        <v>3693</v>
      </c>
      <c r="AZ12" s="13">
        <v>3689</v>
      </c>
      <c r="BA12" s="13">
        <v>3658</v>
      </c>
      <c r="BB12" s="13">
        <v>3839</v>
      </c>
      <c r="BC12" s="13">
        <v>3885</v>
      </c>
      <c r="BD12" s="13">
        <v>3990</v>
      </c>
      <c r="BE12" s="13">
        <v>3993</v>
      </c>
      <c r="BF12" s="13">
        <v>3934</v>
      </c>
      <c r="BG12" s="13">
        <v>3921</v>
      </c>
      <c r="BH12" s="13">
        <v>3920</v>
      </c>
      <c r="BI12" s="13">
        <v>3930</v>
      </c>
      <c r="BJ12" s="13">
        <v>3944</v>
      </c>
      <c r="BK12" s="13">
        <v>3848</v>
      </c>
      <c r="BL12" s="13">
        <v>3788</v>
      </c>
      <c r="BM12" s="4">
        <v>3850</v>
      </c>
      <c r="BN12" s="4">
        <v>4118</v>
      </c>
      <c r="BO12" s="4">
        <v>4150</v>
      </c>
      <c r="BP12" s="4">
        <v>4123</v>
      </c>
      <c r="BQ12" s="4">
        <v>3930</v>
      </c>
      <c r="BR12" s="4">
        <v>4074</v>
      </c>
      <c r="BS12" s="4">
        <v>3969</v>
      </c>
      <c r="BT12" s="4">
        <v>3807</v>
      </c>
      <c r="BU12" s="4">
        <v>3830</v>
      </c>
      <c r="BV12" s="4">
        <v>3843</v>
      </c>
      <c r="BW12" s="4">
        <v>3985</v>
      </c>
      <c r="BX12" s="4">
        <v>3948</v>
      </c>
      <c r="BY12" s="4">
        <v>4035</v>
      </c>
      <c r="BZ12" s="4">
        <v>4190</v>
      </c>
    </row>
    <row r="13" spans="1:254" ht="15.9" customHeight="1">
      <c r="A13" s="61" t="s">
        <v>21</v>
      </c>
      <c r="B13" s="6" t="s">
        <v>22</v>
      </c>
      <c r="C13" s="15">
        <f>_xll.RssMarket("5703","現在値")</f>
        <v>2936</v>
      </c>
      <c r="D13" s="16">
        <f t="shared" si="0"/>
        <v>0</v>
      </c>
      <c r="E13" s="13">
        <v>2936</v>
      </c>
      <c r="F13" s="13">
        <v>2917</v>
      </c>
      <c r="G13" s="13">
        <v>2793</v>
      </c>
      <c r="H13" s="13">
        <v>2835</v>
      </c>
      <c r="I13" s="13">
        <v>2715</v>
      </c>
      <c r="J13" s="13">
        <v>2589</v>
      </c>
      <c r="K13" s="13">
        <v>2584</v>
      </c>
      <c r="L13" s="13">
        <v>2621</v>
      </c>
      <c r="M13" s="13">
        <v>2685</v>
      </c>
      <c r="N13" s="13">
        <v>2644</v>
      </c>
      <c r="O13" s="13">
        <v>2711</v>
      </c>
      <c r="P13" s="13">
        <v>2702</v>
      </c>
      <c r="Q13" s="13">
        <v>2711</v>
      </c>
      <c r="R13" s="13">
        <v>2638</v>
      </c>
      <c r="S13" s="13">
        <v>2750</v>
      </c>
      <c r="T13" s="13">
        <v>2756</v>
      </c>
      <c r="U13" s="13">
        <v>2682</v>
      </c>
      <c r="V13" s="13">
        <v>2707</v>
      </c>
      <c r="W13" s="13">
        <v>2636</v>
      </c>
      <c r="X13" s="13">
        <v>2622</v>
      </c>
      <c r="Y13" s="13">
        <v>2693</v>
      </c>
      <c r="Z13" s="13">
        <v>2752</v>
      </c>
      <c r="AA13" s="13">
        <v>2764</v>
      </c>
      <c r="AB13" s="13">
        <v>2726</v>
      </c>
      <c r="AC13" s="13">
        <v>2742</v>
      </c>
      <c r="AD13" s="13">
        <v>2721</v>
      </c>
      <c r="AE13" s="13">
        <v>2795</v>
      </c>
      <c r="AF13" s="13">
        <v>2819</v>
      </c>
      <c r="AG13" s="13">
        <v>2822</v>
      </c>
      <c r="AH13" s="13">
        <v>2869</v>
      </c>
      <c r="AI13" s="13">
        <v>2910</v>
      </c>
      <c r="AJ13" s="13">
        <v>3010</v>
      </c>
      <c r="AK13" s="13">
        <v>2983</v>
      </c>
      <c r="AL13" s="13">
        <v>2970</v>
      </c>
      <c r="AM13" s="13">
        <v>2958</v>
      </c>
      <c r="AN13" s="13">
        <v>3010</v>
      </c>
      <c r="AO13" s="13">
        <v>3105</v>
      </c>
      <c r="AP13" s="13">
        <v>3040</v>
      </c>
      <c r="AQ13" s="13">
        <v>2986</v>
      </c>
      <c r="AR13" s="13">
        <v>3065</v>
      </c>
      <c r="AS13" s="13">
        <v>3135</v>
      </c>
      <c r="AT13" s="13">
        <v>3255</v>
      </c>
      <c r="AU13" s="13">
        <v>3175</v>
      </c>
      <c r="AV13" s="13">
        <v>3270</v>
      </c>
      <c r="AW13" s="13">
        <v>3165</v>
      </c>
      <c r="AX13" s="13">
        <v>3165</v>
      </c>
      <c r="AY13" s="13">
        <v>3190</v>
      </c>
      <c r="AZ13" s="13">
        <v>3200</v>
      </c>
      <c r="BA13" s="13">
        <v>3245</v>
      </c>
      <c r="BB13" s="13">
        <v>3050</v>
      </c>
      <c r="BC13" s="13">
        <v>3065</v>
      </c>
      <c r="BD13" s="13">
        <v>3050</v>
      </c>
      <c r="BE13" s="13">
        <v>3085</v>
      </c>
      <c r="BF13" s="13">
        <v>3150</v>
      </c>
      <c r="BG13" s="13">
        <v>3120</v>
      </c>
      <c r="BH13" s="13">
        <v>3040</v>
      </c>
      <c r="BI13" s="13">
        <v>2951</v>
      </c>
      <c r="BJ13" s="13">
        <v>2960</v>
      </c>
      <c r="BK13" s="13">
        <v>2902</v>
      </c>
      <c r="BL13" s="13">
        <v>2928</v>
      </c>
      <c r="BM13" s="4">
        <v>2930</v>
      </c>
      <c r="BN13" s="4">
        <v>2823</v>
      </c>
      <c r="BO13" s="4">
        <v>2853</v>
      </c>
      <c r="BP13" s="4">
        <v>2868</v>
      </c>
      <c r="BQ13" s="4">
        <v>2886</v>
      </c>
      <c r="BR13" s="4">
        <v>2858</v>
      </c>
      <c r="BS13" s="4">
        <v>2855</v>
      </c>
      <c r="BT13" s="4">
        <v>2908</v>
      </c>
      <c r="BU13" s="4">
        <v>2963</v>
      </c>
      <c r="BV13" s="4">
        <v>2948</v>
      </c>
      <c r="BW13" s="4">
        <v>2982</v>
      </c>
      <c r="BX13" s="4">
        <v>3045</v>
      </c>
      <c r="BY13" s="4">
        <v>3010</v>
      </c>
      <c r="BZ13" s="4">
        <v>3040</v>
      </c>
    </row>
    <row r="14" spans="1:254" ht="15.9" customHeight="1">
      <c r="A14" s="61" t="s">
        <v>23</v>
      </c>
      <c r="B14" s="6" t="s">
        <v>24</v>
      </c>
      <c r="C14" s="15">
        <f>_xll.RssMarket("8002","現在値")</f>
        <v>4936</v>
      </c>
      <c r="D14" s="16">
        <f t="shared" si="0"/>
        <v>0</v>
      </c>
      <c r="E14" s="13">
        <v>4936</v>
      </c>
      <c r="F14" s="13">
        <v>4862</v>
      </c>
      <c r="G14" s="13">
        <v>4937</v>
      </c>
      <c r="H14" s="13">
        <v>5132</v>
      </c>
      <c r="I14" s="13">
        <v>5201</v>
      </c>
      <c r="J14" s="13">
        <v>5196</v>
      </c>
      <c r="K14" s="13">
        <v>5205</v>
      </c>
      <c r="L14" s="13">
        <v>5272</v>
      </c>
      <c r="M14" s="13">
        <v>5450</v>
      </c>
      <c r="N14" s="13">
        <v>5370</v>
      </c>
      <c r="O14" s="13">
        <v>5384</v>
      </c>
      <c r="P14" s="13">
        <v>5260</v>
      </c>
      <c r="Q14" s="13">
        <v>5194</v>
      </c>
      <c r="R14" s="13">
        <v>4988</v>
      </c>
      <c r="S14" s="13">
        <v>5110</v>
      </c>
      <c r="T14" s="13">
        <v>4920</v>
      </c>
      <c r="U14" s="13">
        <v>4862</v>
      </c>
      <c r="V14" s="13">
        <v>4879</v>
      </c>
      <c r="W14" s="13">
        <v>4924</v>
      </c>
      <c r="X14" s="13">
        <v>4961</v>
      </c>
      <c r="Y14" s="13">
        <v>5048</v>
      </c>
      <c r="Z14" s="13">
        <v>5026</v>
      </c>
      <c r="AA14" s="13">
        <v>4963</v>
      </c>
      <c r="AB14" s="13">
        <v>4806</v>
      </c>
      <c r="AC14" s="13">
        <v>4668</v>
      </c>
      <c r="AD14" s="13">
        <v>4690</v>
      </c>
      <c r="AE14" s="13">
        <v>4713</v>
      </c>
      <c r="AF14" s="13">
        <v>4692</v>
      </c>
      <c r="AG14" s="13">
        <v>4607</v>
      </c>
      <c r="AH14" s="13">
        <v>4687</v>
      </c>
      <c r="AI14" s="13">
        <v>4793</v>
      </c>
      <c r="AJ14" s="13">
        <v>4913</v>
      </c>
      <c r="AK14" s="13">
        <v>4895</v>
      </c>
      <c r="AL14" s="13">
        <v>4909</v>
      </c>
      <c r="AM14" s="13">
        <v>4949</v>
      </c>
      <c r="AN14" s="13">
        <v>4921</v>
      </c>
      <c r="AO14" s="13">
        <v>5042</v>
      </c>
      <c r="AP14" s="13">
        <v>4899</v>
      </c>
      <c r="AQ14" s="13">
        <v>4812</v>
      </c>
      <c r="AR14" s="13">
        <v>4795</v>
      </c>
      <c r="AS14" s="13">
        <v>4870</v>
      </c>
      <c r="AT14" s="13">
        <v>5044</v>
      </c>
      <c r="AU14" s="13">
        <v>4968</v>
      </c>
      <c r="AV14" s="13">
        <v>4993</v>
      </c>
      <c r="AW14" s="13">
        <v>4910</v>
      </c>
      <c r="AX14" s="13">
        <v>5196</v>
      </c>
      <c r="AY14" s="13">
        <v>5224</v>
      </c>
      <c r="AZ14" s="13">
        <v>5220</v>
      </c>
      <c r="BA14" s="13">
        <v>5312</v>
      </c>
      <c r="BB14" s="13">
        <v>5271</v>
      </c>
      <c r="BC14" s="13">
        <v>5325</v>
      </c>
      <c r="BD14" s="13">
        <v>5374</v>
      </c>
      <c r="BE14" s="13">
        <v>5553</v>
      </c>
      <c r="BF14" s="13">
        <v>5638</v>
      </c>
      <c r="BG14" s="13">
        <v>5856</v>
      </c>
      <c r="BH14" s="13">
        <v>5898</v>
      </c>
      <c r="BI14" s="13">
        <v>5740</v>
      </c>
      <c r="BJ14" s="13">
        <v>5520</v>
      </c>
      <c r="BK14" s="13">
        <v>5418</v>
      </c>
      <c r="BL14" s="13">
        <v>5418</v>
      </c>
      <c r="BM14" s="4">
        <v>5495</v>
      </c>
      <c r="BN14" s="4">
        <v>5755</v>
      </c>
      <c r="BO14" s="4">
        <v>6072</v>
      </c>
      <c r="BP14" s="4">
        <v>6084</v>
      </c>
      <c r="BQ14" s="4">
        <v>5910</v>
      </c>
      <c r="BR14" s="4">
        <v>5936</v>
      </c>
      <c r="BS14" s="4">
        <v>5929</v>
      </c>
      <c r="BT14" s="4">
        <v>5908</v>
      </c>
      <c r="BU14" s="4">
        <v>6001</v>
      </c>
      <c r="BV14" s="4">
        <v>5885</v>
      </c>
      <c r="BW14" s="4">
        <v>5853</v>
      </c>
      <c r="BX14" s="4">
        <v>6040</v>
      </c>
      <c r="BY14" s="4">
        <v>5909</v>
      </c>
      <c r="BZ14" s="4">
        <v>6018</v>
      </c>
    </row>
    <row r="15" spans="1:254" ht="15.9" customHeight="1">
      <c r="A15" s="61" t="s">
        <v>25</v>
      </c>
      <c r="B15" s="6" t="s">
        <v>26</v>
      </c>
      <c r="C15" s="15">
        <f>_xll.RssMarket("5021","現在値")</f>
        <v>3811</v>
      </c>
      <c r="D15" s="16">
        <f t="shared" si="0"/>
        <v>0</v>
      </c>
      <c r="E15" s="13">
        <v>3811</v>
      </c>
      <c r="F15" s="13">
        <v>3753</v>
      </c>
      <c r="G15" s="13">
        <v>3786</v>
      </c>
      <c r="H15" s="13">
        <v>3836</v>
      </c>
      <c r="I15" s="13">
        <v>3984</v>
      </c>
      <c r="J15" s="13">
        <v>3988</v>
      </c>
      <c r="K15" s="13">
        <v>3988</v>
      </c>
      <c r="L15" s="13">
        <v>3947</v>
      </c>
      <c r="M15" s="13">
        <v>3976</v>
      </c>
      <c r="N15" s="13">
        <v>3975</v>
      </c>
      <c r="O15" s="13">
        <v>3975</v>
      </c>
      <c r="P15" s="13">
        <v>3944</v>
      </c>
      <c r="Q15" s="13">
        <v>3930</v>
      </c>
      <c r="R15" s="13">
        <v>3776</v>
      </c>
      <c r="S15" s="13">
        <v>3867</v>
      </c>
      <c r="T15" s="13">
        <v>3904</v>
      </c>
      <c r="U15" s="13">
        <v>3845</v>
      </c>
      <c r="V15" s="13">
        <v>3861</v>
      </c>
      <c r="W15" s="13">
        <v>3868</v>
      </c>
      <c r="X15" s="13">
        <v>3869</v>
      </c>
      <c r="Y15" s="13">
        <v>3885</v>
      </c>
      <c r="Z15" s="13">
        <v>3964</v>
      </c>
      <c r="AA15" s="13">
        <v>3889</v>
      </c>
      <c r="AB15" s="13">
        <v>3875</v>
      </c>
      <c r="AC15" s="13">
        <v>3813</v>
      </c>
      <c r="AD15" s="13">
        <v>3788</v>
      </c>
      <c r="AE15" s="13">
        <v>3775</v>
      </c>
      <c r="AF15" s="13">
        <v>3757</v>
      </c>
      <c r="AG15" s="13">
        <v>3674</v>
      </c>
      <c r="AH15" s="13">
        <v>3706</v>
      </c>
      <c r="AI15" s="13">
        <v>3688</v>
      </c>
      <c r="AJ15" s="13">
        <v>3721</v>
      </c>
      <c r="AK15" s="13">
        <v>3775</v>
      </c>
      <c r="AL15" s="13">
        <v>3729</v>
      </c>
      <c r="AM15" s="13">
        <v>3669</v>
      </c>
      <c r="AN15" s="13">
        <v>3676</v>
      </c>
      <c r="AO15" s="13">
        <v>3684</v>
      </c>
      <c r="AP15" s="13">
        <v>3571</v>
      </c>
      <c r="AQ15" s="13">
        <v>3503</v>
      </c>
      <c r="AR15" s="13">
        <v>3462</v>
      </c>
      <c r="AS15" s="13">
        <v>3586</v>
      </c>
      <c r="AT15" s="13">
        <v>3611</v>
      </c>
      <c r="AU15" s="13">
        <v>3663</v>
      </c>
      <c r="AV15" s="13">
        <v>3833</v>
      </c>
      <c r="AW15" s="13">
        <v>3717</v>
      </c>
      <c r="AX15" s="13">
        <v>3739</v>
      </c>
      <c r="AY15" s="13">
        <v>3700</v>
      </c>
      <c r="AZ15" s="13">
        <v>3685</v>
      </c>
      <c r="BA15" s="13">
        <v>3680</v>
      </c>
      <c r="BB15" s="13">
        <v>3701</v>
      </c>
      <c r="BC15" s="13">
        <v>3700</v>
      </c>
      <c r="BD15" s="13">
        <v>3739</v>
      </c>
      <c r="BE15" s="13">
        <v>3774</v>
      </c>
      <c r="BF15" s="13">
        <v>3733</v>
      </c>
      <c r="BG15" s="13">
        <v>3832</v>
      </c>
      <c r="BH15" s="13">
        <v>3867</v>
      </c>
      <c r="BI15" s="13">
        <v>3760</v>
      </c>
      <c r="BJ15" s="13">
        <v>3969</v>
      </c>
      <c r="BK15" s="13">
        <v>3958</v>
      </c>
      <c r="BL15" s="13">
        <v>3951</v>
      </c>
      <c r="BM15" s="4">
        <v>3909</v>
      </c>
      <c r="BN15" s="4">
        <v>3982</v>
      </c>
      <c r="BO15" s="4">
        <v>4003</v>
      </c>
      <c r="BP15" s="4">
        <v>3985</v>
      </c>
      <c r="BQ15" s="4">
        <v>3906</v>
      </c>
      <c r="BR15" s="4">
        <v>3943</v>
      </c>
      <c r="BS15" s="4">
        <v>4021</v>
      </c>
      <c r="BT15" s="4">
        <v>4067</v>
      </c>
      <c r="BU15" s="4">
        <v>4197</v>
      </c>
      <c r="BV15" s="4">
        <v>4267</v>
      </c>
      <c r="BW15" s="4">
        <v>4355</v>
      </c>
      <c r="BX15" s="4">
        <v>4357</v>
      </c>
      <c r="BY15" s="4">
        <v>4374</v>
      </c>
      <c r="BZ15" s="4">
        <v>4357</v>
      </c>
    </row>
    <row r="16" spans="1:254" ht="15.9" customHeight="1">
      <c r="A16" s="61" t="s">
        <v>27</v>
      </c>
      <c r="B16" s="6" t="s">
        <v>28</v>
      </c>
      <c r="C16" s="15">
        <f>_xll.RssMarket("8058","現在値")</f>
        <v>4748</v>
      </c>
      <c r="D16" s="16">
        <f t="shared" si="0"/>
        <v>0</v>
      </c>
      <c r="E16" s="13">
        <v>4748</v>
      </c>
      <c r="F16" s="13">
        <v>4641</v>
      </c>
      <c r="G16" s="13">
        <v>4738</v>
      </c>
      <c r="H16" s="13">
        <v>4787</v>
      </c>
      <c r="I16" s="13">
        <v>4776</v>
      </c>
      <c r="J16" s="13">
        <v>4777</v>
      </c>
      <c r="K16" s="13">
        <v>4819</v>
      </c>
      <c r="L16" s="13">
        <v>4776</v>
      </c>
      <c r="M16" s="13">
        <v>4847</v>
      </c>
      <c r="N16" s="13">
        <v>4918</v>
      </c>
      <c r="O16" s="13">
        <v>4916</v>
      </c>
      <c r="P16" s="13">
        <v>4888</v>
      </c>
      <c r="Q16" s="13">
        <v>4664</v>
      </c>
      <c r="R16" s="13">
        <v>4447</v>
      </c>
      <c r="S16" s="13">
        <v>4585</v>
      </c>
      <c r="T16" s="13">
        <v>4496</v>
      </c>
      <c r="U16" s="13">
        <v>4440</v>
      </c>
      <c r="V16" s="13">
        <v>4409</v>
      </c>
      <c r="W16" s="13">
        <v>4411</v>
      </c>
      <c r="X16" s="13">
        <v>4464</v>
      </c>
      <c r="Y16" s="13">
        <v>4500</v>
      </c>
      <c r="Z16" s="13">
        <v>4507</v>
      </c>
      <c r="AA16" s="13">
        <v>4457</v>
      </c>
      <c r="AB16" s="13">
        <v>4385</v>
      </c>
      <c r="AC16" s="13">
        <v>4344</v>
      </c>
      <c r="AD16" s="13">
        <v>4347</v>
      </c>
      <c r="AE16" s="13">
        <v>4414</v>
      </c>
      <c r="AF16" s="13">
        <v>4403</v>
      </c>
      <c r="AG16" s="13">
        <v>4400</v>
      </c>
      <c r="AH16" s="13">
        <v>4530</v>
      </c>
      <c r="AI16" s="13">
        <v>4591</v>
      </c>
      <c r="AJ16" s="13">
        <v>4609</v>
      </c>
      <c r="AK16" s="13">
        <v>4540</v>
      </c>
      <c r="AL16" s="13">
        <v>4570</v>
      </c>
      <c r="AM16" s="13">
        <v>4610</v>
      </c>
      <c r="AN16" s="13">
        <v>4595</v>
      </c>
      <c r="AO16" s="13">
        <v>4728</v>
      </c>
      <c r="AP16" s="13">
        <v>4683</v>
      </c>
      <c r="AQ16" s="13">
        <v>4605</v>
      </c>
      <c r="AR16" s="13">
        <v>4615</v>
      </c>
      <c r="AS16" s="13">
        <v>4833</v>
      </c>
      <c r="AT16" s="13">
        <v>4859</v>
      </c>
      <c r="AU16" s="13">
        <v>4896</v>
      </c>
      <c r="AV16" s="13">
        <v>4979</v>
      </c>
      <c r="AW16" s="13">
        <v>4924</v>
      </c>
      <c r="AX16" s="13">
        <v>5065</v>
      </c>
      <c r="AY16" s="13">
        <v>5038</v>
      </c>
      <c r="AZ16" s="13">
        <v>5124</v>
      </c>
      <c r="BA16" s="13">
        <v>5320</v>
      </c>
      <c r="BB16" s="13">
        <v>5432</v>
      </c>
      <c r="BC16" s="13">
        <v>5411</v>
      </c>
      <c r="BD16" s="13">
        <v>5436</v>
      </c>
      <c r="BE16" s="13">
        <v>5519</v>
      </c>
      <c r="BF16" s="13">
        <v>5500</v>
      </c>
      <c r="BG16" s="13">
        <v>5849</v>
      </c>
      <c r="BH16" s="13">
        <v>5882</v>
      </c>
      <c r="BI16" s="13">
        <v>5864</v>
      </c>
      <c r="BJ16" s="13">
        <v>5500</v>
      </c>
      <c r="BK16" s="13">
        <v>5252</v>
      </c>
      <c r="BL16" s="13">
        <v>5249</v>
      </c>
      <c r="BM16" s="4">
        <v>5398</v>
      </c>
      <c r="BN16" s="4">
        <v>5219</v>
      </c>
      <c r="BO16" s="4">
        <v>4990</v>
      </c>
      <c r="BP16" s="4">
        <v>4913</v>
      </c>
      <c r="BQ16" s="4">
        <v>4810</v>
      </c>
      <c r="BR16" s="4">
        <v>4950</v>
      </c>
      <c r="BS16" s="4">
        <v>4792</v>
      </c>
      <c r="BT16" s="4">
        <v>4746</v>
      </c>
      <c r="BU16" s="4">
        <v>4844</v>
      </c>
      <c r="BV16" s="4">
        <v>4910</v>
      </c>
      <c r="BW16" s="4">
        <v>4952</v>
      </c>
      <c r="BX16" s="4">
        <v>5086</v>
      </c>
      <c r="BY16" s="4">
        <v>4989</v>
      </c>
      <c r="BZ16" s="4">
        <v>5193</v>
      </c>
    </row>
    <row r="17" spans="1:254" ht="15.9" customHeight="1">
      <c r="A17" s="61" t="s">
        <v>29</v>
      </c>
      <c r="B17" s="6" t="s">
        <v>30</v>
      </c>
      <c r="C17" s="15">
        <f>_xll.RssMarket("5333","現在値")</f>
        <v>5772</v>
      </c>
      <c r="D17" s="16">
        <f t="shared" si="0"/>
        <v>0</v>
      </c>
      <c r="E17" s="13">
        <v>5772</v>
      </c>
      <c r="F17" s="13">
        <v>5928</v>
      </c>
      <c r="G17" s="13">
        <v>5603</v>
      </c>
      <c r="H17" s="13">
        <v>5532</v>
      </c>
      <c r="I17" s="13">
        <v>5594</v>
      </c>
      <c r="J17" s="13">
        <v>5245</v>
      </c>
      <c r="K17" s="13">
        <v>5180</v>
      </c>
      <c r="L17" s="13">
        <v>5538</v>
      </c>
      <c r="M17" s="13">
        <v>6063</v>
      </c>
      <c r="N17" s="13">
        <v>6085</v>
      </c>
      <c r="O17" s="13">
        <v>6213</v>
      </c>
      <c r="P17" s="13">
        <v>6219</v>
      </c>
      <c r="Q17" s="13">
        <v>6109</v>
      </c>
      <c r="R17" s="13">
        <v>6005</v>
      </c>
      <c r="S17" s="13">
        <v>6759</v>
      </c>
      <c r="T17" s="13">
        <v>6617</v>
      </c>
      <c r="U17" s="13">
        <v>6664</v>
      </c>
      <c r="V17" s="13">
        <v>7061</v>
      </c>
      <c r="W17" s="13">
        <v>7051</v>
      </c>
      <c r="X17" s="13">
        <v>6856</v>
      </c>
      <c r="Y17" s="13">
        <v>7125</v>
      </c>
      <c r="Z17" s="13">
        <v>7391</v>
      </c>
      <c r="AA17" s="13">
        <v>7473</v>
      </c>
      <c r="AB17" s="13">
        <v>7392</v>
      </c>
      <c r="AC17" s="13">
        <v>7660</v>
      </c>
      <c r="AD17" s="13">
        <v>7532</v>
      </c>
      <c r="AE17" s="13">
        <v>7441</v>
      </c>
      <c r="AF17" s="13">
        <v>7509</v>
      </c>
      <c r="AG17" s="13">
        <v>7853</v>
      </c>
      <c r="AH17" s="13">
        <v>7478</v>
      </c>
      <c r="AI17" s="13">
        <v>7424</v>
      </c>
      <c r="AJ17" s="13">
        <v>7695</v>
      </c>
      <c r="AK17" s="13">
        <v>7332</v>
      </c>
      <c r="AL17" s="13">
        <v>7308</v>
      </c>
      <c r="AM17" s="13">
        <v>6972</v>
      </c>
      <c r="AN17" s="13">
        <v>6747</v>
      </c>
      <c r="AO17" s="13">
        <v>6635</v>
      </c>
      <c r="AP17" s="13">
        <v>6117</v>
      </c>
      <c r="AQ17" s="13">
        <v>5957</v>
      </c>
      <c r="AR17" s="13">
        <v>5933</v>
      </c>
      <c r="AS17" s="13">
        <v>6092</v>
      </c>
      <c r="AT17" s="13">
        <v>6575</v>
      </c>
      <c r="AU17" s="13">
        <v>6356</v>
      </c>
      <c r="AV17" s="13">
        <v>6483</v>
      </c>
      <c r="AW17" s="13">
        <v>6170</v>
      </c>
      <c r="AX17" s="13">
        <v>6316</v>
      </c>
      <c r="AY17" s="13">
        <v>6120</v>
      </c>
      <c r="AZ17" s="13">
        <v>6069</v>
      </c>
      <c r="BA17" s="13">
        <v>6210</v>
      </c>
      <c r="BB17" s="13">
        <v>5861</v>
      </c>
      <c r="BC17" s="13">
        <v>5700</v>
      </c>
      <c r="BD17" s="13">
        <v>5456</v>
      </c>
      <c r="BE17" s="13">
        <v>5493</v>
      </c>
      <c r="BF17" s="13">
        <v>5609</v>
      </c>
      <c r="BG17" s="13">
        <v>5696</v>
      </c>
      <c r="BH17" s="13">
        <v>5787</v>
      </c>
      <c r="BI17" s="13">
        <v>5731</v>
      </c>
      <c r="BJ17" s="13">
        <v>5614</v>
      </c>
      <c r="BK17" s="13">
        <v>5550</v>
      </c>
      <c r="BL17" s="13">
        <v>5374</v>
      </c>
      <c r="BM17" s="4">
        <v>5345</v>
      </c>
      <c r="BN17" s="4">
        <v>5121</v>
      </c>
      <c r="BO17" s="4">
        <v>4961</v>
      </c>
      <c r="BP17" s="4">
        <v>4670</v>
      </c>
      <c r="BQ17" s="4">
        <v>4613</v>
      </c>
      <c r="BR17" s="4">
        <v>4428</v>
      </c>
      <c r="BS17" s="4">
        <v>4379</v>
      </c>
      <c r="BT17" s="4">
        <v>4481</v>
      </c>
      <c r="BU17" s="4">
        <v>4543</v>
      </c>
      <c r="BV17" s="4">
        <v>4521</v>
      </c>
      <c r="BW17" s="4">
        <v>4473</v>
      </c>
      <c r="BX17" s="4">
        <v>4561</v>
      </c>
      <c r="BY17" s="4">
        <v>4444</v>
      </c>
      <c r="BZ17" s="4">
        <v>4449</v>
      </c>
    </row>
    <row r="18" spans="1:254" ht="15.9" customHeight="1">
      <c r="A18" s="61" t="s">
        <v>31</v>
      </c>
      <c r="B18" s="6" t="s">
        <v>32</v>
      </c>
      <c r="C18" s="15">
        <f>_xll.RssMarket("1662","現在値")</f>
        <v>1718</v>
      </c>
      <c r="D18" s="16">
        <f t="shared" si="0"/>
        <v>0</v>
      </c>
      <c r="E18" s="13">
        <v>1718</v>
      </c>
      <c r="F18" s="13">
        <v>1691</v>
      </c>
      <c r="G18" s="13">
        <v>1701</v>
      </c>
      <c r="H18" s="13">
        <v>1710</v>
      </c>
      <c r="I18" s="13">
        <v>1767</v>
      </c>
      <c r="J18" s="13">
        <v>1765</v>
      </c>
      <c r="K18" s="13">
        <v>1766</v>
      </c>
      <c r="L18" s="13">
        <v>1732</v>
      </c>
      <c r="M18" s="13">
        <v>1744</v>
      </c>
      <c r="N18" s="13"/>
      <c r="O18" s="13">
        <v>1770</v>
      </c>
      <c r="P18" s="13">
        <v>1734</v>
      </c>
      <c r="Q18" s="13">
        <v>1718</v>
      </c>
      <c r="R18" s="13">
        <v>1664</v>
      </c>
      <c r="S18" s="13">
        <v>1705</v>
      </c>
      <c r="T18" s="13">
        <v>1729</v>
      </c>
      <c r="U18" s="13">
        <v>1668</v>
      </c>
      <c r="V18" s="13">
        <v>1661</v>
      </c>
      <c r="W18" s="13">
        <v>1684</v>
      </c>
      <c r="X18" s="13">
        <v>1670</v>
      </c>
      <c r="Y18" s="13">
        <v>1644</v>
      </c>
      <c r="Z18" s="13">
        <v>1669</v>
      </c>
      <c r="AA18" s="13">
        <v>1613</v>
      </c>
      <c r="AB18" s="13">
        <v>1604</v>
      </c>
      <c r="AC18" s="13">
        <v>1570</v>
      </c>
      <c r="AD18" s="13">
        <v>1601</v>
      </c>
      <c r="AE18" s="13">
        <v>1605</v>
      </c>
      <c r="AF18" s="13">
        <v>1610</v>
      </c>
      <c r="AG18" s="13">
        <v>1569</v>
      </c>
      <c r="AH18" s="13">
        <v>1611</v>
      </c>
      <c r="AI18" s="13">
        <v>1614</v>
      </c>
      <c r="AJ18" s="13">
        <v>1627</v>
      </c>
      <c r="AK18" s="13">
        <v>1636</v>
      </c>
      <c r="AL18" s="13">
        <v>1639</v>
      </c>
      <c r="AM18" s="13">
        <v>1645</v>
      </c>
      <c r="AN18" s="13">
        <v>1648</v>
      </c>
      <c r="AO18" s="13">
        <v>1655</v>
      </c>
      <c r="AP18" s="13">
        <v>1658</v>
      </c>
      <c r="AQ18" s="13">
        <v>1668</v>
      </c>
      <c r="AR18" s="13">
        <v>1639</v>
      </c>
      <c r="AS18" s="13">
        <v>1734</v>
      </c>
      <c r="AT18" s="13">
        <v>1730</v>
      </c>
      <c r="AU18" s="13">
        <v>1721</v>
      </c>
      <c r="AV18" s="13">
        <v>1760</v>
      </c>
      <c r="AW18" s="13">
        <v>1761</v>
      </c>
      <c r="AX18" s="13">
        <v>1789</v>
      </c>
      <c r="AY18" s="13">
        <v>1868</v>
      </c>
      <c r="AZ18" s="13">
        <v>1872</v>
      </c>
      <c r="BA18" s="13">
        <v>1840</v>
      </c>
      <c r="BB18" s="13">
        <v>1900</v>
      </c>
      <c r="BC18" s="13">
        <v>1883</v>
      </c>
      <c r="BD18" s="13">
        <v>2021</v>
      </c>
      <c r="BE18" s="13">
        <v>1955</v>
      </c>
      <c r="BF18" s="13">
        <v>1933</v>
      </c>
      <c r="BG18" s="13">
        <v>1965</v>
      </c>
      <c r="BH18" s="13">
        <v>2012</v>
      </c>
      <c r="BI18" s="13">
        <v>1998</v>
      </c>
      <c r="BJ18" s="13">
        <v>2198</v>
      </c>
      <c r="BK18" s="13">
        <v>2164</v>
      </c>
      <c r="BL18" s="13">
        <v>2155</v>
      </c>
      <c r="BM18" s="4">
        <v>2117</v>
      </c>
      <c r="BN18" s="4">
        <v>2233</v>
      </c>
      <c r="BO18" s="4">
        <v>2275</v>
      </c>
      <c r="BP18" s="4">
        <v>2295</v>
      </c>
      <c r="BQ18" s="4">
        <v>2181</v>
      </c>
      <c r="BR18" s="4">
        <v>2253</v>
      </c>
      <c r="BS18" s="4">
        <v>2315</v>
      </c>
      <c r="BT18" s="4">
        <v>2127</v>
      </c>
      <c r="BU18" s="4">
        <v>2131</v>
      </c>
      <c r="BV18" s="4">
        <v>2168</v>
      </c>
      <c r="BW18" s="4">
        <v>2348</v>
      </c>
      <c r="BX18" s="4">
        <v>2396</v>
      </c>
      <c r="BY18" s="4">
        <v>2400</v>
      </c>
      <c r="BZ18" s="4">
        <v>2491</v>
      </c>
    </row>
    <row r="19" spans="1:254" ht="15.9" customHeight="1">
      <c r="A19" s="61" t="s">
        <v>33</v>
      </c>
      <c r="B19" s="6" t="s">
        <v>34</v>
      </c>
      <c r="C19" s="15">
        <f>_xll.RssMarket("8411","現在値")</f>
        <v>8499</v>
      </c>
      <c r="D19" s="16">
        <f t="shared" si="0"/>
        <v>0</v>
      </c>
      <c r="E19" s="13">
        <v>8499</v>
      </c>
      <c r="F19" s="13">
        <v>8470</v>
      </c>
      <c r="G19" s="13">
        <v>8131</v>
      </c>
      <c r="H19" s="13">
        <v>8094</v>
      </c>
      <c r="I19" s="13">
        <v>8167</v>
      </c>
      <c r="J19" s="13">
        <v>7818</v>
      </c>
      <c r="K19" s="13">
        <v>8112</v>
      </c>
      <c r="L19" s="13">
        <v>8210</v>
      </c>
      <c r="M19" s="13">
        <v>8631</v>
      </c>
      <c r="N19" s="13">
        <v>8652</v>
      </c>
      <c r="O19" s="13">
        <v>8766</v>
      </c>
      <c r="P19" s="13">
        <v>8529</v>
      </c>
      <c r="Q19" s="13">
        <v>8302</v>
      </c>
      <c r="R19" s="13">
        <v>7930</v>
      </c>
      <c r="S19" s="13">
        <v>8624</v>
      </c>
      <c r="T19" s="13">
        <v>8480</v>
      </c>
      <c r="U19" s="13">
        <v>8417</v>
      </c>
      <c r="V19" s="13">
        <v>8307</v>
      </c>
      <c r="W19" s="13">
        <v>8214</v>
      </c>
      <c r="X19" s="13">
        <v>8250</v>
      </c>
      <c r="Y19" s="13">
        <v>8227</v>
      </c>
      <c r="Z19" s="13">
        <v>8195</v>
      </c>
      <c r="AA19" s="13">
        <v>8078</v>
      </c>
      <c r="AB19" s="13">
        <v>7973</v>
      </c>
      <c r="AC19" s="13">
        <v>7814</v>
      </c>
      <c r="AD19" s="13">
        <v>7743</v>
      </c>
      <c r="AE19" s="13">
        <v>7652</v>
      </c>
      <c r="AF19" s="13">
        <v>7794</v>
      </c>
      <c r="AG19" s="13">
        <v>7725</v>
      </c>
      <c r="AH19" s="13">
        <v>7722</v>
      </c>
      <c r="AI19" s="13">
        <v>7820</v>
      </c>
      <c r="AJ19" s="13">
        <v>8043</v>
      </c>
      <c r="AK19" s="13">
        <v>7884</v>
      </c>
      <c r="AL19" s="13">
        <v>8249</v>
      </c>
      <c r="AM19" s="13">
        <v>8006</v>
      </c>
      <c r="AN19" s="13">
        <v>7757</v>
      </c>
      <c r="AO19" s="13">
        <v>7793</v>
      </c>
      <c r="AP19" s="13">
        <v>7563</v>
      </c>
      <c r="AQ19" s="13">
        <v>7394</v>
      </c>
      <c r="AR19" s="13">
        <v>7614</v>
      </c>
      <c r="AS19" s="13">
        <v>7562</v>
      </c>
      <c r="AT19" s="13">
        <v>7716</v>
      </c>
      <c r="AU19" s="13">
        <v>7645</v>
      </c>
      <c r="AV19" s="13">
        <v>7633</v>
      </c>
      <c r="AW19" s="13">
        <v>7346</v>
      </c>
      <c r="AX19" s="13">
        <v>7195</v>
      </c>
      <c r="AY19" s="13">
        <v>7065</v>
      </c>
      <c r="AZ19" s="13">
        <v>7217</v>
      </c>
      <c r="BA19" s="13">
        <v>7304</v>
      </c>
      <c r="BB19" s="13">
        <v>7457</v>
      </c>
      <c r="BC19" s="13">
        <v>7301</v>
      </c>
      <c r="BD19" s="13">
        <v>6982</v>
      </c>
      <c r="BE19" s="13">
        <v>6886</v>
      </c>
      <c r="BF19" s="13">
        <v>6525</v>
      </c>
      <c r="BG19" s="13">
        <v>6912</v>
      </c>
      <c r="BH19" s="13">
        <v>6984</v>
      </c>
      <c r="BI19" s="13">
        <v>7050</v>
      </c>
      <c r="BJ19" s="13">
        <v>6970</v>
      </c>
      <c r="BK19" s="13">
        <v>6890</v>
      </c>
      <c r="BL19" s="13">
        <v>6771</v>
      </c>
      <c r="BM19" s="4">
        <v>6926</v>
      </c>
      <c r="BN19" s="4">
        <v>6704</v>
      </c>
      <c r="BO19" s="4">
        <v>6722</v>
      </c>
      <c r="BP19" s="4">
        <v>6936</v>
      </c>
      <c r="BQ19" s="4">
        <v>6598</v>
      </c>
      <c r="BR19" s="4">
        <v>6427</v>
      </c>
      <c r="BS19" s="4">
        <v>6482</v>
      </c>
      <c r="BT19" s="4">
        <v>6613</v>
      </c>
      <c r="BU19" s="4">
        <v>6647</v>
      </c>
      <c r="BV19" s="4">
        <v>6775</v>
      </c>
      <c r="BW19" s="4">
        <v>6768</v>
      </c>
      <c r="BX19" s="4">
        <v>6872</v>
      </c>
      <c r="BY19" s="4">
        <v>6955</v>
      </c>
      <c r="BZ19" s="4">
        <v>6790</v>
      </c>
    </row>
    <row r="20" spans="1:254" ht="15.9" customHeight="1">
      <c r="A20" s="61" t="s">
        <v>35</v>
      </c>
      <c r="B20" s="6" t="s">
        <v>36</v>
      </c>
      <c r="C20" s="15">
        <f>_xll.RssMarket("5541","現在値")</f>
        <v>2538</v>
      </c>
      <c r="D20" s="16">
        <f t="shared" si="0"/>
        <v>0</v>
      </c>
      <c r="E20" s="13">
        <v>2538</v>
      </c>
      <c r="F20" s="13">
        <v>2546</v>
      </c>
      <c r="G20" s="13">
        <v>2493</v>
      </c>
      <c r="H20" s="13">
        <v>2430</v>
      </c>
      <c r="I20" s="13">
        <v>2469</v>
      </c>
      <c r="J20" s="13">
        <v>2379</v>
      </c>
      <c r="K20" s="13">
        <v>2361</v>
      </c>
      <c r="L20" s="13">
        <v>2361</v>
      </c>
      <c r="M20" s="13">
        <v>2413</v>
      </c>
      <c r="N20" s="13"/>
      <c r="O20" s="13">
        <v>2333</v>
      </c>
      <c r="P20" s="13">
        <v>2300</v>
      </c>
      <c r="Q20" s="13">
        <v>2289</v>
      </c>
      <c r="R20" s="13">
        <v>2271</v>
      </c>
      <c r="S20" s="13">
        <v>2295</v>
      </c>
      <c r="T20" s="13">
        <v>2273</v>
      </c>
      <c r="U20" s="13">
        <v>2249</v>
      </c>
      <c r="V20" s="13">
        <v>2259</v>
      </c>
      <c r="W20" s="13">
        <v>2206</v>
      </c>
      <c r="X20" s="13">
        <v>2220</v>
      </c>
      <c r="Y20" s="13">
        <v>2271</v>
      </c>
      <c r="Z20" s="13">
        <v>2346</v>
      </c>
      <c r="AA20" s="13">
        <v>2313</v>
      </c>
      <c r="AB20" s="13">
        <v>2283</v>
      </c>
      <c r="AC20" s="13">
        <v>2235</v>
      </c>
      <c r="AD20" s="13">
        <v>2164</v>
      </c>
      <c r="AE20" s="13">
        <v>2157</v>
      </c>
      <c r="AF20" s="13">
        <v>2150</v>
      </c>
      <c r="AG20" s="13">
        <v>2171</v>
      </c>
      <c r="AH20" s="13">
        <v>2196</v>
      </c>
      <c r="AI20" s="13">
        <v>2215</v>
      </c>
      <c r="AJ20" s="13">
        <v>2320</v>
      </c>
      <c r="AK20" s="13">
        <v>2269</v>
      </c>
      <c r="AL20" s="13">
        <v>2276</v>
      </c>
      <c r="AM20" s="13">
        <v>2285</v>
      </c>
      <c r="AN20" s="13">
        <v>2271</v>
      </c>
      <c r="AO20" s="13">
        <v>2325</v>
      </c>
      <c r="AP20" s="13">
        <v>2175</v>
      </c>
      <c r="AQ20" s="13">
        <v>2109</v>
      </c>
      <c r="AR20" s="13">
        <v>2134</v>
      </c>
      <c r="AS20" s="13">
        <v>2200</v>
      </c>
      <c r="AT20" s="13">
        <v>2273</v>
      </c>
      <c r="AU20" s="13">
        <v>2263</v>
      </c>
      <c r="AV20" s="13">
        <v>2319</v>
      </c>
      <c r="AW20" s="13">
        <v>2230</v>
      </c>
      <c r="AX20" s="13">
        <v>2311</v>
      </c>
      <c r="AY20" s="13">
        <v>2248</v>
      </c>
      <c r="AZ20" s="13">
        <v>2294</v>
      </c>
      <c r="BA20" s="13">
        <v>2220</v>
      </c>
      <c r="BB20" s="13">
        <v>2166</v>
      </c>
      <c r="BC20" s="13">
        <v>2165</v>
      </c>
      <c r="BD20" s="13">
        <v>2138</v>
      </c>
      <c r="BE20" s="13">
        <v>2231</v>
      </c>
      <c r="BF20" s="13">
        <v>2254</v>
      </c>
      <c r="BG20" s="13">
        <v>2404</v>
      </c>
      <c r="BH20" s="13">
        <v>2380</v>
      </c>
      <c r="BI20" s="13">
        <v>2472</v>
      </c>
      <c r="BJ20" s="13">
        <v>2312</v>
      </c>
      <c r="BK20" s="13">
        <v>2664</v>
      </c>
      <c r="BL20" s="13">
        <v>2649</v>
      </c>
      <c r="BM20" s="4">
        <v>2627</v>
      </c>
      <c r="BN20" s="4">
        <v>2580</v>
      </c>
      <c r="BO20" s="4">
        <v>2522</v>
      </c>
      <c r="BP20" s="4">
        <v>2656</v>
      </c>
      <c r="BQ20" s="4">
        <v>2431</v>
      </c>
      <c r="BR20" s="4">
        <v>2442</v>
      </c>
      <c r="BS20" s="4">
        <v>2463</v>
      </c>
      <c r="BT20" s="4">
        <v>2487</v>
      </c>
      <c r="BU20" s="4">
        <v>2554</v>
      </c>
      <c r="BV20" s="4">
        <v>2520</v>
      </c>
      <c r="BW20" s="4">
        <v>2582</v>
      </c>
      <c r="BX20" s="4">
        <v>2726</v>
      </c>
      <c r="BY20" s="4">
        <v>2649</v>
      </c>
      <c r="BZ20" s="4">
        <v>2677</v>
      </c>
    </row>
    <row r="21" spans="1:254" ht="15.9" customHeight="1">
      <c r="A21" s="61" t="s">
        <v>37</v>
      </c>
      <c r="B21" s="6" t="s">
        <v>38</v>
      </c>
      <c r="C21" s="15">
        <f>_xll.RssMarket("5332","現在値")</f>
        <v>6528</v>
      </c>
      <c r="D21" s="16">
        <f t="shared" si="0"/>
        <v>0</v>
      </c>
      <c r="E21" s="13">
        <v>6528</v>
      </c>
      <c r="F21" s="13">
        <v>6644</v>
      </c>
      <c r="G21" s="13">
        <v>6295</v>
      </c>
      <c r="H21" s="13">
        <v>6171</v>
      </c>
      <c r="I21" s="13">
        <v>7010</v>
      </c>
      <c r="J21" s="13">
        <v>6717</v>
      </c>
      <c r="K21" s="13">
        <v>6707</v>
      </c>
      <c r="L21" s="13">
        <v>6937</v>
      </c>
      <c r="M21" s="13">
        <v>7453</v>
      </c>
      <c r="N21" s="13"/>
      <c r="O21" s="13">
        <v>7561</v>
      </c>
      <c r="P21" s="13">
        <v>7606</v>
      </c>
      <c r="Q21" s="13">
        <v>7533</v>
      </c>
      <c r="R21" s="13">
        <v>7451</v>
      </c>
      <c r="S21" s="13">
        <v>7946</v>
      </c>
      <c r="T21" s="13">
        <v>7973</v>
      </c>
      <c r="U21" s="13">
        <v>7888</v>
      </c>
      <c r="V21" s="13">
        <v>8059</v>
      </c>
      <c r="W21" s="13">
        <v>8119</v>
      </c>
      <c r="X21" s="13">
        <v>8076</v>
      </c>
      <c r="Y21" s="13">
        <v>8435</v>
      </c>
      <c r="Z21" s="13">
        <v>8551</v>
      </c>
      <c r="AA21" s="13">
        <v>8586</v>
      </c>
      <c r="AB21" s="13">
        <v>8461</v>
      </c>
      <c r="AC21" s="13">
        <v>8263</v>
      </c>
      <c r="AD21" s="13">
        <v>8611</v>
      </c>
      <c r="AE21" s="13">
        <v>8490</v>
      </c>
      <c r="AF21" s="13">
        <v>8533</v>
      </c>
      <c r="AG21" s="13">
        <v>8868</v>
      </c>
      <c r="AH21" s="13">
        <v>8701</v>
      </c>
      <c r="AI21" s="13">
        <v>8853</v>
      </c>
      <c r="AJ21" s="13">
        <v>9315</v>
      </c>
      <c r="AK21" s="13">
        <v>8390</v>
      </c>
      <c r="AL21" s="13">
        <v>8262</v>
      </c>
      <c r="AM21" s="13">
        <v>8297</v>
      </c>
      <c r="AN21" s="13">
        <v>8144</v>
      </c>
      <c r="AO21" s="13">
        <v>8190</v>
      </c>
      <c r="AP21" s="13">
        <v>7681</v>
      </c>
      <c r="AQ21" s="13">
        <v>7450</v>
      </c>
      <c r="AR21" s="13">
        <v>7500</v>
      </c>
      <c r="AS21" s="13">
        <v>7664</v>
      </c>
      <c r="AT21" s="13">
        <v>8003</v>
      </c>
      <c r="AU21" s="13">
        <v>8026</v>
      </c>
      <c r="AV21" s="13">
        <v>7926</v>
      </c>
      <c r="AW21" s="13">
        <v>7284</v>
      </c>
      <c r="AX21" s="13">
        <v>7678</v>
      </c>
      <c r="AY21" s="13">
        <v>7381</v>
      </c>
      <c r="AZ21" s="13">
        <v>7290</v>
      </c>
      <c r="BA21" s="13">
        <v>7057</v>
      </c>
      <c r="BB21" s="13">
        <v>6820</v>
      </c>
      <c r="BC21" s="13">
        <v>6570</v>
      </c>
      <c r="BD21" s="13">
        <v>6399</v>
      </c>
      <c r="BE21" s="13">
        <v>6689</v>
      </c>
      <c r="BF21" s="13">
        <v>6929</v>
      </c>
      <c r="BG21" s="13">
        <v>7127</v>
      </c>
      <c r="BH21" s="13">
        <v>7235</v>
      </c>
      <c r="BI21" s="13">
        <v>6906</v>
      </c>
      <c r="BJ21" s="13">
        <v>6896</v>
      </c>
      <c r="BK21" s="13">
        <v>7175</v>
      </c>
      <c r="BL21" s="13">
        <v>7083</v>
      </c>
      <c r="BM21" s="4">
        <v>6740</v>
      </c>
      <c r="BN21" s="4">
        <v>6425</v>
      </c>
      <c r="BO21" s="4">
        <v>5425</v>
      </c>
      <c r="BP21" s="4">
        <v>5425</v>
      </c>
      <c r="BQ21" s="4">
        <v>5373</v>
      </c>
      <c r="BR21" s="4">
        <v>5346</v>
      </c>
      <c r="BS21" s="4">
        <v>5221</v>
      </c>
      <c r="BT21" s="4">
        <v>5242</v>
      </c>
      <c r="BU21" s="4">
        <v>5384</v>
      </c>
      <c r="BV21" s="4">
        <v>5547</v>
      </c>
      <c r="BW21" s="4">
        <v>5522</v>
      </c>
      <c r="BX21" s="4">
        <v>5578</v>
      </c>
      <c r="BY21" s="4">
        <v>5500</v>
      </c>
      <c r="BZ21" s="4">
        <v>5421</v>
      </c>
    </row>
    <row r="22" spans="1:254" ht="15.9" customHeight="1">
      <c r="A22" s="61" t="s">
        <v>39</v>
      </c>
      <c r="B22" s="6" t="s">
        <v>40</v>
      </c>
      <c r="C22" s="15">
        <f>_xll.RssMarket("8725","現在値")</f>
        <v>4827</v>
      </c>
      <c r="D22" s="16">
        <f t="shared" si="0"/>
        <v>0</v>
      </c>
      <c r="E22" s="13">
        <v>4827</v>
      </c>
      <c r="F22" s="13">
        <v>4779</v>
      </c>
      <c r="G22" s="13">
        <v>4742</v>
      </c>
      <c r="H22" s="13">
        <v>4820</v>
      </c>
      <c r="I22" s="13">
        <v>4924</v>
      </c>
      <c r="J22" s="13">
        <v>4988</v>
      </c>
      <c r="K22" s="13">
        <v>5050</v>
      </c>
      <c r="L22" s="13">
        <v>5039</v>
      </c>
      <c r="M22" s="13">
        <v>5029</v>
      </c>
      <c r="N22" s="13">
        <v>4898</v>
      </c>
      <c r="O22" s="13">
        <v>4873</v>
      </c>
      <c r="P22" s="13">
        <v>4801</v>
      </c>
      <c r="Q22" s="13">
        <v>4740</v>
      </c>
      <c r="R22" s="13">
        <v>4483</v>
      </c>
      <c r="S22" s="13">
        <v>4574</v>
      </c>
      <c r="T22" s="13">
        <v>4513</v>
      </c>
      <c r="U22" s="13">
        <v>4431</v>
      </c>
      <c r="V22" s="13">
        <v>4428</v>
      </c>
      <c r="W22" s="13">
        <v>4505</v>
      </c>
      <c r="X22" s="13">
        <v>4520</v>
      </c>
      <c r="Y22" s="13">
        <v>4534</v>
      </c>
      <c r="Z22" s="13">
        <v>4552</v>
      </c>
      <c r="AA22" s="13">
        <v>4454</v>
      </c>
      <c r="AB22" s="13">
        <v>4395</v>
      </c>
      <c r="AC22" s="13">
        <v>4281</v>
      </c>
      <c r="AD22" s="13">
        <v>4240</v>
      </c>
      <c r="AE22" s="13">
        <v>4260</v>
      </c>
      <c r="AF22" s="13">
        <v>4241</v>
      </c>
      <c r="AG22" s="13">
        <v>4252</v>
      </c>
      <c r="AH22" s="13">
        <v>4450</v>
      </c>
      <c r="AI22" s="13">
        <v>4616</v>
      </c>
      <c r="AJ22" s="13">
        <v>4640</v>
      </c>
      <c r="AK22" s="13">
        <v>4551</v>
      </c>
      <c r="AL22" s="13">
        <v>4588</v>
      </c>
      <c r="AM22" s="13">
        <v>4557</v>
      </c>
      <c r="AN22" s="13">
        <v>4616</v>
      </c>
      <c r="AO22" s="13">
        <v>4673</v>
      </c>
      <c r="AP22" s="13">
        <v>4597</v>
      </c>
      <c r="AQ22" s="13">
        <v>4552</v>
      </c>
      <c r="AR22" s="13">
        <v>4597</v>
      </c>
      <c r="AS22" s="13">
        <v>4402</v>
      </c>
      <c r="AT22" s="13">
        <v>4325</v>
      </c>
      <c r="AU22" s="13">
        <v>4247</v>
      </c>
      <c r="AV22" s="13">
        <v>4294</v>
      </c>
      <c r="AW22" s="13">
        <v>4266</v>
      </c>
      <c r="AX22" s="13">
        <v>4287</v>
      </c>
      <c r="AY22" s="13">
        <v>4245</v>
      </c>
      <c r="AZ22" s="13">
        <v>4290</v>
      </c>
      <c r="BA22" s="13">
        <v>4216</v>
      </c>
      <c r="BB22" s="13">
        <v>4245</v>
      </c>
      <c r="BC22" s="13">
        <v>4350</v>
      </c>
      <c r="BD22" s="13">
        <v>4420</v>
      </c>
      <c r="BE22" s="13">
        <v>4503</v>
      </c>
      <c r="BF22" s="13">
        <v>4420</v>
      </c>
      <c r="BG22" s="13">
        <v>4391</v>
      </c>
      <c r="BH22" s="13">
        <v>4399</v>
      </c>
      <c r="BI22" s="13">
        <v>4414</v>
      </c>
      <c r="BJ22" s="13">
        <v>4285</v>
      </c>
      <c r="BK22" s="13">
        <v>4024</v>
      </c>
      <c r="BL22" s="13">
        <v>3978</v>
      </c>
      <c r="BM22" s="4">
        <v>4003</v>
      </c>
      <c r="BN22" s="4">
        <v>3996</v>
      </c>
      <c r="BO22" s="4">
        <v>4034</v>
      </c>
      <c r="BP22" s="4">
        <v>4019</v>
      </c>
      <c r="BQ22" s="4">
        <v>3931</v>
      </c>
      <c r="BR22" s="4">
        <v>3946</v>
      </c>
      <c r="BS22" s="4">
        <v>3974</v>
      </c>
      <c r="BT22" s="4">
        <v>3996</v>
      </c>
      <c r="BU22" s="4">
        <v>4014</v>
      </c>
      <c r="BV22" s="4">
        <v>4026</v>
      </c>
      <c r="BW22" s="4">
        <v>4055</v>
      </c>
      <c r="BX22" s="4">
        <v>4121</v>
      </c>
      <c r="BY22" s="4">
        <v>4046</v>
      </c>
      <c r="BZ22" s="4">
        <v>4046</v>
      </c>
    </row>
    <row r="23" spans="1:254" ht="15.9" customHeight="1">
      <c r="A23" s="61" t="s">
        <v>41</v>
      </c>
      <c r="B23" s="6" t="s">
        <v>42</v>
      </c>
      <c r="C23" s="15">
        <f>_xll.RssMarket("8795","現在値")</f>
        <v>4962</v>
      </c>
      <c r="D23" s="16">
        <f t="shared" si="0"/>
        <v>0</v>
      </c>
      <c r="E23" s="13">
        <v>4962</v>
      </c>
      <c r="F23" s="13">
        <v>5032</v>
      </c>
      <c r="G23" s="13">
        <v>4969</v>
      </c>
      <c r="H23" s="13">
        <v>4969</v>
      </c>
      <c r="I23" s="13">
        <v>5088</v>
      </c>
      <c r="J23" s="13">
        <v>5020</v>
      </c>
      <c r="K23" s="13">
        <v>5080</v>
      </c>
      <c r="L23" s="13">
        <v>5032</v>
      </c>
      <c r="M23" s="13">
        <v>5176</v>
      </c>
      <c r="N23" s="13"/>
      <c r="O23" s="13">
        <v>5049</v>
      </c>
      <c r="P23" s="13">
        <v>5068</v>
      </c>
      <c r="Q23" s="13">
        <v>4996</v>
      </c>
      <c r="R23" s="13">
        <v>4793</v>
      </c>
      <c r="S23" s="13">
        <v>5050</v>
      </c>
      <c r="T23" s="13">
        <v>4952</v>
      </c>
      <c r="U23" s="13">
        <v>4928</v>
      </c>
      <c r="V23" s="13">
        <v>4916</v>
      </c>
      <c r="W23" s="13">
        <v>4947</v>
      </c>
      <c r="X23" s="13">
        <v>4934</v>
      </c>
      <c r="Y23" s="13">
        <v>4953</v>
      </c>
      <c r="Z23" s="13">
        <v>5053</v>
      </c>
      <c r="AA23" s="13">
        <v>4954</v>
      </c>
      <c r="AB23" s="13">
        <v>4904</v>
      </c>
      <c r="AC23" s="13">
        <v>4815</v>
      </c>
      <c r="AD23" s="13">
        <v>4807</v>
      </c>
      <c r="AE23" s="13">
        <v>4680</v>
      </c>
      <c r="AF23" s="13">
        <v>4682</v>
      </c>
      <c r="AG23" s="13">
        <v>4690</v>
      </c>
      <c r="AH23" s="13">
        <v>4627</v>
      </c>
      <c r="AI23" s="13">
        <v>4909</v>
      </c>
      <c r="AJ23" s="13">
        <v>4984</v>
      </c>
      <c r="AK23" s="13">
        <v>4894</v>
      </c>
      <c r="AL23" s="13">
        <v>4930</v>
      </c>
      <c r="AM23" s="13">
        <v>4746</v>
      </c>
      <c r="AN23" s="13">
        <v>4902</v>
      </c>
      <c r="AO23" s="13">
        <v>4802</v>
      </c>
      <c r="AP23" s="13">
        <v>4712</v>
      </c>
      <c r="AQ23" s="13">
        <v>4656</v>
      </c>
      <c r="AR23" s="13">
        <v>4686</v>
      </c>
      <c r="AS23" s="13">
        <v>4395</v>
      </c>
      <c r="AT23" s="13">
        <v>4390</v>
      </c>
      <c r="AU23" s="13">
        <v>4125</v>
      </c>
      <c r="AV23" s="13">
        <v>4231</v>
      </c>
      <c r="AW23" s="13">
        <v>4250</v>
      </c>
      <c r="AX23" s="13">
        <v>4194</v>
      </c>
      <c r="AY23" s="13">
        <v>4095</v>
      </c>
      <c r="AZ23" s="13">
        <v>4151</v>
      </c>
      <c r="BA23" s="13">
        <v>4091</v>
      </c>
      <c r="BB23" s="13">
        <v>4118</v>
      </c>
      <c r="BC23" s="13">
        <v>4075</v>
      </c>
      <c r="BD23" s="13">
        <v>4140</v>
      </c>
      <c r="BE23" s="13">
        <v>4151</v>
      </c>
      <c r="BF23" s="13">
        <v>4001</v>
      </c>
      <c r="BG23" s="13">
        <v>3949</v>
      </c>
      <c r="BH23" s="13">
        <v>4002</v>
      </c>
      <c r="BI23" s="13">
        <v>3987</v>
      </c>
      <c r="BJ23" s="13">
        <v>3957</v>
      </c>
      <c r="BK23" s="13">
        <v>3986</v>
      </c>
      <c r="BL23" s="13">
        <v>3878</v>
      </c>
      <c r="BM23" s="4">
        <v>3939</v>
      </c>
      <c r="BN23" s="4">
        <v>3782</v>
      </c>
      <c r="BO23" s="4">
        <v>3792</v>
      </c>
      <c r="BP23" s="4">
        <v>3773</v>
      </c>
      <c r="BQ23" s="4">
        <v>3655</v>
      </c>
      <c r="BR23" s="4">
        <v>3680</v>
      </c>
      <c r="BS23" s="4">
        <v>3704</v>
      </c>
      <c r="BT23" s="4">
        <v>3767</v>
      </c>
      <c r="BU23" s="4">
        <v>3820</v>
      </c>
      <c r="BV23" s="4">
        <v>3921</v>
      </c>
      <c r="BW23" s="4">
        <v>4000</v>
      </c>
      <c r="BX23" s="4">
        <v>4083</v>
      </c>
      <c r="BY23" s="4">
        <v>4012</v>
      </c>
      <c r="BZ23" s="4">
        <v>4068</v>
      </c>
    </row>
    <row r="24" spans="1:254" ht="15.9" customHeight="1">
      <c r="A24" s="61" t="s">
        <v>43</v>
      </c>
      <c r="B24" s="6" t="s">
        <v>44</v>
      </c>
      <c r="C24" s="15">
        <f>_xll.RssMarket("5019","現在値")</f>
        <v>1258.5</v>
      </c>
      <c r="D24" s="16">
        <f t="shared" si="0"/>
        <v>0</v>
      </c>
      <c r="E24" s="13">
        <v>1258.5</v>
      </c>
      <c r="F24" s="13">
        <v>1241</v>
      </c>
      <c r="G24" s="13">
        <v>1249.5</v>
      </c>
      <c r="H24" s="13">
        <v>1267</v>
      </c>
      <c r="I24" s="13">
        <v>1311</v>
      </c>
      <c r="J24" s="13">
        <v>1308.5</v>
      </c>
      <c r="K24" s="13">
        <v>1321</v>
      </c>
      <c r="L24" s="13">
        <v>1307</v>
      </c>
      <c r="M24" s="13">
        <v>1314</v>
      </c>
      <c r="N24" s="13">
        <v>1333.5</v>
      </c>
      <c r="O24" s="13">
        <v>1325</v>
      </c>
      <c r="P24" s="13">
        <v>1316</v>
      </c>
      <c r="Q24" s="13">
        <v>1292.5</v>
      </c>
      <c r="R24" s="13">
        <v>1241</v>
      </c>
      <c r="S24" s="13">
        <v>1279.5</v>
      </c>
      <c r="T24" s="13">
        <v>1270.5</v>
      </c>
      <c r="U24" s="13">
        <v>1246.5</v>
      </c>
      <c r="V24" s="13">
        <v>1240</v>
      </c>
      <c r="W24" s="13">
        <v>1243</v>
      </c>
      <c r="X24" s="13">
        <v>1236.5</v>
      </c>
      <c r="Y24" s="13">
        <v>1235.5</v>
      </c>
      <c r="Z24" s="13">
        <v>1243.5</v>
      </c>
      <c r="AA24" s="13">
        <v>1214.5</v>
      </c>
      <c r="AB24" s="13">
        <v>1203</v>
      </c>
      <c r="AC24" s="13">
        <v>1186.5</v>
      </c>
      <c r="AD24" s="13">
        <v>1198</v>
      </c>
      <c r="AE24" s="13">
        <v>1206.5</v>
      </c>
      <c r="AF24" s="13">
        <v>1223.5</v>
      </c>
      <c r="AG24" s="13">
        <v>1209.5</v>
      </c>
      <c r="AH24" s="13">
        <v>1233</v>
      </c>
      <c r="AI24" s="13">
        <v>1250</v>
      </c>
      <c r="AJ24" s="13">
        <v>1254</v>
      </c>
      <c r="AK24" s="13">
        <v>1259.5</v>
      </c>
      <c r="AL24" s="13">
        <v>1246</v>
      </c>
      <c r="AM24" s="13">
        <v>1284.5</v>
      </c>
      <c r="AN24" s="13">
        <v>1287.5</v>
      </c>
      <c r="AO24" s="13">
        <v>1331.5</v>
      </c>
      <c r="AP24" s="13">
        <v>1314.5</v>
      </c>
      <c r="AQ24" s="13">
        <v>1344</v>
      </c>
      <c r="AR24" s="13">
        <v>1332</v>
      </c>
      <c r="AS24" s="13">
        <v>1348.5</v>
      </c>
      <c r="AT24" s="13">
        <v>1381</v>
      </c>
      <c r="AU24" s="13">
        <v>1397</v>
      </c>
      <c r="AV24" s="13">
        <v>1407.5</v>
      </c>
      <c r="AW24" s="13">
        <v>1354.5</v>
      </c>
      <c r="AX24" s="13">
        <v>1398.5</v>
      </c>
      <c r="AY24" s="13">
        <v>1314.5</v>
      </c>
      <c r="AZ24" s="13">
        <v>1326.5</v>
      </c>
      <c r="BA24" s="13">
        <v>1313</v>
      </c>
      <c r="BB24" s="13">
        <v>1332</v>
      </c>
      <c r="BC24" s="13">
        <v>1346</v>
      </c>
      <c r="BD24" s="13">
        <v>1374.5</v>
      </c>
      <c r="BE24" s="13">
        <v>1376.5</v>
      </c>
      <c r="BF24" s="13">
        <v>1365.5</v>
      </c>
      <c r="BG24" s="13">
        <v>1428</v>
      </c>
      <c r="BH24" s="13">
        <v>1417.5</v>
      </c>
      <c r="BI24" s="13">
        <v>1389</v>
      </c>
      <c r="BJ24" s="13">
        <v>1394</v>
      </c>
      <c r="BK24" s="13">
        <v>1360</v>
      </c>
      <c r="BL24" s="13">
        <v>1340.5</v>
      </c>
      <c r="BM24" s="4">
        <v>1370</v>
      </c>
      <c r="BN24" s="4">
        <v>1370</v>
      </c>
      <c r="BO24" s="4">
        <v>1348.5</v>
      </c>
      <c r="BP24" s="4">
        <v>1348</v>
      </c>
      <c r="BQ24" s="4">
        <v>1315</v>
      </c>
      <c r="BR24" s="4">
        <v>1336</v>
      </c>
      <c r="BS24" s="4">
        <v>1345.5</v>
      </c>
      <c r="BT24" s="4">
        <v>1385</v>
      </c>
      <c r="BU24" s="4">
        <v>1411.5</v>
      </c>
      <c r="BV24" s="4">
        <v>1444.5</v>
      </c>
      <c r="BW24" s="4">
        <v>1487.5</v>
      </c>
      <c r="BX24" s="4">
        <v>1505</v>
      </c>
      <c r="BY24" s="4">
        <v>1509</v>
      </c>
      <c r="BZ24" s="4">
        <v>1536</v>
      </c>
    </row>
    <row r="25" spans="1:254" ht="15.9" customHeight="1">
      <c r="A25" s="61" t="s">
        <v>45</v>
      </c>
      <c r="B25" s="6" t="s">
        <v>46</v>
      </c>
      <c r="C25" s="15">
        <f>_xll.RssMarket("8053","現在値")</f>
        <v>1748.5</v>
      </c>
      <c r="D25" s="16">
        <f t="shared" si="0"/>
        <v>0</v>
      </c>
      <c r="E25" s="13">
        <v>1748.5</v>
      </c>
      <c r="F25" s="13">
        <v>1720.5</v>
      </c>
      <c r="G25" s="13">
        <v>1662.5</v>
      </c>
      <c r="H25" s="13">
        <v>1660.5</v>
      </c>
      <c r="I25" s="13">
        <v>1670</v>
      </c>
      <c r="J25" s="13">
        <v>1592</v>
      </c>
      <c r="K25" s="13">
        <v>1599</v>
      </c>
      <c r="L25" s="13">
        <v>1591.5</v>
      </c>
      <c r="M25" s="13">
        <v>1611.5</v>
      </c>
      <c r="N25" s="13">
        <v>1604</v>
      </c>
      <c r="O25" s="13">
        <v>1629</v>
      </c>
      <c r="P25" s="13">
        <v>1604</v>
      </c>
      <c r="Q25" s="13">
        <v>1573.5</v>
      </c>
      <c r="R25" s="13">
        <v>1514</v>
      </c>
      <c r="S25" s="13">
        <v>1590</v>
      </c>
      <c r="T25" s="13">
        <v>1563</v>
      </c>
      <c r="U25" s="13">
        <v>1555.5</v>
      </c>
      <c r="V25" s="13">
        <v>1555.5</v>
      </c>
      <c r="W25" s="13">
        <v>1565.5</v>
      </c>
      <c r="X25" s="13">
        <v>1564.5</v>
      </c>
      <c r="Y25" s="13">
        <v>1609.5</v>
      </c>
      <c r="Z25" s="13">
        <v>1591</v>
      </c>
      <c r="AA25" s="13">
        <v>1575</v>
      </c>
      <c r="AB25" s="13">
        <v>1584</v>
      </c>
      <c r="AC25" s="13">
        <v>1565.5</v>
      </c>
      <c r="AD25" s="13">
        <v>1549</v>
      </c>
      <c r="AE25" s="13">
        <v>1532.5</v>
      </c>
      <c r="AF25" s="13">
        <v>1550.25</v>
      </c>
      <c r="AG25" s="13">
        <v>1532.5</v>
      </c>
      <c r="AH25" s="13">
        <v>1567.5</v>
      </c>
      <c r="AI25" s="13">
        <v>1595</v>
      </c>
      <c r="AJ25" s="13">
        <v>1622.25</v>
      </c>
      <c r="AK25" s="13">
        <v>1608.75</v>
      </c>
      <c r="AL25" s="13">
        <v>1626.75</v>
      </c>
      <c r="AM25" s="13">
        <v>1636.75</v>
      </c>
      <c r="AN25" s="13">
        <v>1632.25</v>
      </c>
      <c r="AO25" s="13">
        <v>1641.75</v>
      </c>
      <c r="AP25" s="13">
        <v>1564.75</v>
      </c>
      <c r="AQ25" s="13">
        <v>1546.5</v>
      </c>
      <c r="AR25" s="13">
        <v>1584.5</v>
      </c>
      <c r="AS25" s="13">
        <v>1654.25</v>
      </c>
      <c r="AT25" s="13">
        <v>1710.5</v>
      </c>
      <c r="AU25" s="13">
        <v>1693.75</v>
      </c>
      <c r="AV25" s="13">
        <v>1710.5</v>
      </c>
      <c r="AW25" s="13">
        <v>1705</v>
      </c>
      <c r="AX25" s="13">
        <v>1774.75</v>
      </c>
      <c r="AY25" s="13">
        <v>1776.25</v>
      </c>
      <c r="AZ25" s="13">
        <v>1797.5</v>
      </c>
      <c r="BA25" s="13">
        <v>1840.25</v>
      </c>
      <c r="BB25" s="13">
        <v>1782.75</v>
      </c>
      <c r="BC25" s="13">
        <v>1780</v>
      </c>
      <c r="BD25" s="13">
        <v>1752.75</v>
      </c>
      <c r="BE25" s="13">
        <v>1804.25</v>
      </c>
      <c r="BF25" s="13">
        <v>1814.25</v>
      </c>
      <c r="BG25" s="13">
        <v>1877.5</v>
      </c>
      <c r="BH25" s="13">
        <v>1885</v>
      </c>
      <c r="BI25" s="13">
        <v>1924.75</v>
      </c>
      <c r="BJ25" s="13">
        <v>1857</v>
      </c>
      <c r="BK25" s="13">
        <v>1801.5</v>
      </c>
      <c r="BL25" s="13">
        <v>1795</v>
      </c>
      <c r="BM25" s="4">
        <v>1850</v>
      </c>
      <c r="BN25" s="4">
        <v>1710</v>
      </c>
      <c r="BO25" s="4">
        <v>1460</v>
      </c>
      <c r="BP25" s="4">
        <v>1450.25</v>
      </c>
      <c r="BQ25" s="4">
        <v>1423.25</v>
      </c>
      <c r="BR25" s="4">
        <v>1445.25</v>
      </c>
      <c r="BS25" s="4">
        <v>1438.5</v>
      </c>
      <c r="BT25" s="4">
        <v>1455.25</v>
      </c>
      <c r="BU25" s="4">
        <v>1497.5</v>
      </c>
      <c r="BV25" s="4">
        <v>1500</v>
      </c>
      <c r="BW25" s="4">
        <v>1503.75</v>
      </c>
      <c r="BX25" s="4">
        <v>1523.5</v>
      </c>
      <c r="BY25" s="4">
        <v>1515.5</v>
      </c>
      <c r="BZ25" s="4">
        <v>1517.25</v>
      </c>
    </row>
    <row r="26" spans="1:254" ht="15.9" customHeight="1">
      <c r="A26" s="61" t="s">
        <v>47</v>
      </c>
      <c r="B26" s="6" t="s">
        <v>48</v>
      </c>
      <c r="C26" s="15">
        <f>_xll.RssMarket("8591","現在値")</f>
        <v>6513</v>
      </c>
      <c r="D26" s="16">
        <f t="shared" si="0"/>
        <v>0</v>
      </c>
      <c r="E26" s="13">
        <v>6513</v>
      </c>
      <c r="F26" s="13">
        <v>6547</v>
      </c>
      <c r="G26" s="13">
        <v>6328</v>
      </c>
      <c r="H26" s="13">
        <v>6348</v>
      </c>
      <c r="I26" s="13">
        <v>6410</v>
      </c>
      <c r="J26" s="13">
        <v>6315</v>
      </c>
      <c r="K26" s="13">
        <v>6496</v>
      </c>
      <c r="L26" s="13">
        <v>6400</v>
      </c>
      <c r="M26" s="13">
        <v>6673</v>
      </c>
      <c r="N26" s="13">
        <v>6535</v>
      </c>
      <c r="O26" s="13">
        <v>6617</v>
      </c>
      <c r="P26" s="13">
        <v>6582</v>
      </c>
      <c r="Q26" s="13">
        <v>6502</v>
      </c>
      <c r="R26" s="13">
        <v>6203</v>
      </c>
      <c r="S26" s="13">
        <v>6593</v>
      </c>
      <c r="T26" s="13">
        <v>6430</v>
      </c>
      <c r="U26" s="13">
        <v>6391</v>
      </c>
      <c r="V26" s="13">
        <v>6469</v>
      </c>
      <c r="W26" s="13">
        <v>6449</v>
      </c>
      <c r="X26" s="13">
        <v>6377</v>
      </c>
      <c r="Y26" s="13">
        <v>6418</v>
      </c>
      <c r="Z26" s="13">
        <v>6388</v>
      </c>
      <c r="AA26" s="13">
        <v>6331</v>
      </c>
      <c r="AB26" s="13">
        <v>6278</v>
      </c>
      <c r="AC26" s="13">
        <v>6199</v>
      </c>
      <c r="AD26" s="13">
        <v>6149</v>
      </c>
      <c r="AE26" s="13">
        <v>6138</v>
      </c>
      <c r="AF26" s="13">
        <v>6140</v>
      </c>
      <c r="AG26" s="13">
        <v>6169</v>
      </c>
      <c r="AH26" s="13">
        <v>6207</v>
      </c>
      <c r="AI26" s="13">
        <v>6334</v>
      </c>
      <c r="AJ26" s="13">
        <v>6485</v>
      </c>
      <c r="AK26" s="13">
        <v>6325</v>
      </c>
      <c r="AL26" s="13">
        <v>6462</v>
      </c>
      <c r="AM26" s="13">
        <v>6336</v>
      </c>
      <c r="AN26" s="13">
        <v>6305</v>
      </c>
      <c r="AO26" s="13">
        <v>6170</v>
      </c>
      <c r="AP26" s="13">
        <v>6092</v>
      </c>
      <c r="AQ26" s="13">
        <v>6050</v>
      </c>
      <c r="AR26" s="13">
        <v>6167</v>
      </c>
      <c r="AS26" s="13">
        <v>6101</v>
      </c>
      <c r="AT26" s="13">
        <v>6113</v>
      </c>
      <c r="AU26" s="13">
        <v>6250</v>
      </c>
      <c r="AV26" s="13">
        <v>6300</v>
      </c>
      <c r="AW26" s="13">
        <v>6220</v>
      </c>
      <c r="AX26" s="13">
        <v>6237</v>
      </c>
      <c r="AY26" s="13">
        <v>6124</v>
      </c>
      <c r="AZ26" s="13">
        <v>6156</v>
      </c>
      <c r="BA26" s="13">
        <v>6286</v>
      </c>
      <c r="BB26" s="13">
        <v>6230</v>
      </c>
      <c r="BC26" s="13">
        <v>6241</v>
      </c>
      <c r="BD26" s="13">
        <v>6052</v>
      </c>
      <c r="BE26" s="13">
        <v>5914</v>
      </c>
      <c r="BF26" s="13">
        <v>5778</v>
      </c>
      <c r="BG26" s="13">
        <v>5772</v>
      </c>
      <c r="BH26" s="13">
        <v>5787</v>
      </c>
      <c r="BI26" s="13">
        <v>6018</v>
      </c>
      <c r="BJ26" s="13">
        <v>5986</v>
      </c>
      <c r="BK26" s="13">
        <v>5514</v>
      </c>
      <c r="BL26" s="13">
        <v>5277</v>
      </c>
      <c r="BM26" s="4">
        <v>5252</v>
      </c>
      <c r="BN26" s="4">
        <v>5209</v>
      </c>
      <c r="BO26" s="4">
        <v>5275</v>
      </c>
      <c r="BP26" s="4">
        <v>5350</v>
      </c>
      <c r="BQ26" s="4">
        <v>4871</v>
      </c>
      <c r="BR26" s="4">
        <v>4846</v>
      </c>
      <c r="BS26" s="4">
        <v>4850</v>
      </c>
      <c r="BT26" s="4">
        <v>4897</v>
      </c>
      <c r="BU26" s="4">
        <v>4947</v>
      </c>
      <c r="BV26" s="4">
        <v>5040</v>
      </c>
      <c r="BW26" s="4">
        <v>5010</v>
      </c>
      <c r="BX26" s="4">
        <v>5069</v>
      </c>
      <c r="BY26" s="4">
        <v>5033</v>
      </c>
      <c r="BZ26" s="4">
        <v>4982</v>
      </c>
    </row>
    <row r="27" spans="1:254" ht="15.9" customHeight="1">
      <c r="A27" s="61" t="s">
        <v>49</v>
      </c>
      <c r="B27" s="6" t="s">
        <v>50</v>
      </c>
      <c r="C27" s="15">
        <f>_xll.RssMarket("3401","現在値")</f>
        <v>1682.5</v>
      </c>
      <c r="D27" s="16">
        <f t="shared" si="0"/>
        <v>0</v>
      </c>
      <c r="E27" s="13">
        <v>1682.5</v>
      </c>
      <c r="F27" s="13">
        <v>1631</v>
      </c>
      <c r="G27" s="13">
        <v>1638.5</v>
      </c>
      <c r="H27" s="13">
        <v>1618</v>
      </c>
      <c r="I27" s="13">
        <v>1637</v>
      </c>
      <c r="J27" s="13">
        <v>1654</v>
      </c>
      <c r="K27" s="13">
        <v>1679</v>
      </c>
      <c r="L27" s="13">
        <v>1681</v>
      </c>
      <c r="M27" s="13">
        <v>1733.5</v>
      </c>
      <c r="N27" s="13">
        <v>1696</v>
      </c>
      <c r="O27" s="13">
        <v>1711</v>
      </c>
      <c r="P27" s="13">
        <v>1710.5</v>
      </c>
      <c r="Q27" s="13">
        <v>1709.5</v>
      </c>
      <c r="R27" s="13">
        <v>1688.5</v>
      </c>
      <c r="S27" s="13">
        <v>1722</v>
      </c>
      <c r="T27" s="13">
        <v>1683</v>
      </c>
      <c r="U27" s="13">
        <v>1655</v>
      </c>
      <c r="V27" s="13">
        <v>1662.5</v>
      </c>
      <c r="W27" s="13">
        <v>1681.5</v>
      </c>
      <c r="X27" s="13">
        <v>1718.5</v>
      </c>
      <c r="Y27" s="13">
        <v>1731.5</v>
      </c>
      <c r="Z27" s="13">
        <v>1742</v>
      </c>
      <c r="AA27" s="13">
        <v>1718.5</v>
      </c>
      <c r="AB27" s="13">
        <v>1639.5</v>
      </c>
      <c r="AC27" s="13">
        <v>1622.5</v>
      </c>
      <c r="AD27" s="13">
        <v>1626</v>
      </c>
      <c r="AE27" s="13">
        <v>1627</v>
      </c>
      <c r="AF27" s="13">
        <v>1639.5</v>
      </c>
      <c r="AG27" s="13">
        <v>1631</v>
      </c>
      <c r="AH27" s="13">
        <v>1593.5</v>
      </c>
      <c r="AI27" s="13">
        <v>1591</v>
      </c>
      <c r="AJ27" s="13">
        <v>1610</v>
      </c>
      <c r="AK27" s="13">
        <v>1594.5</v>
      </c>
      <c r="AL27" s="13">
        <v>1650</v>
      </c>
      <c r="AM27" s="13">
        <v>1648</v>
      </c>
      <c r="AN27" s="13">
        <v>1641</v>
      </c>
      <c r="AO27" s="13">
        <v>1654.5</v>
      </c>
      <c r="AP27" s="13">
        <v>1638.5</v>
      </c>
      <c r="AQ27" s="13">
        <v>1607.5</v>
      </c>
      <c r="AR27" s="13">
        <v>1619.5</v>
      </c>
      <c r="AS27" s="13">
        <v>1600.5</v>
      </c>
      <c r="AT27" s="13">
        <v>1623</v>
      </c>
      <c r="AU27" s="13">
        <v>1626</v>
      </c>
      <c r="AV27" s="13">
        <v>1642</v>
      </c>
      <c r="AW27" s="13">
        <v>1612</v>
      </c>
      <c r="AX27" s="13">
        <v>1651.5</v>
      </c>
      <c r="AY27" s="13">
        <v>1607</v>
      </c>
      <c r="AZ27" s="13">
        <v>1603.5</v>
      </c>
      <c r="BA27" s="13">
        <v>1630</v>
      </c>
      <c r="BB27" s="13">
        <v>1572.5</v>
      </c>
      <c r="BC27" s="13">
        <v>1606</v>
      </c>
      <c r="BD27" s="13">
        <v>1602.5</v>
      </c>
      <c r="BE27" s="13">
        <v>1644.5</v>
      </c>
      <c r="BF27" s="13">
        <v>1615.5</v>
      </c>
      <c r="BG27" s="13">
        <v>1681.5</v>
      </c>
      <c r="BH27" s="13">
        <v>1717</v>
      </c>
      <c r="BI27" s="13">
        <v>1737</v>
      </c>
      <c r="BJ27" s="13">
        <v>1711.5</v>
      </c>
      <c r="BK27" s="13">
        <v>1569.5</v>
      </c>
      <c r="BL27" s="13">
        <v>1567</v>
      </c>
      <c r="BM27" s="4">
        <v>1596</v>
      </c>
      <c r="BN27" s="4">
        <v>1563</v>
      </c>
      <c r="BO27" s="4">
        <v>1574.5</v>
      </c>
      <c r="BP27" s="4">
        <v>1570</v>
      </c>
      <c r="BQ27" s="4">
        <v>1562</v>
      </c>
      <c r="BR27" s="4">
        <v>1542.5</v>
      </c>
      <c r="BS27" s="4">
        <v>1536.5</v>
      </c>
      <c r="BT27" s="4">
        <v>1583</v>
      </c>
      <c r="BU27" s="4">
        <v>1604</v>
      </c>
      <c r="BV27" s="4">
        <v>1631</v>
      </c>
      <c r="BW27" s="4">
        <v>1639.5</v>
      </c>
      <c r="BX27" s="4">
        <v>1647</v>
      </c>
      <c r="BY27" s="4">
        <v>1632.5</v>
      </c>
      <c r="BZ27" s="4">
        <v>1650.5</v>
      </c>
    </row>
    <row r="28" spans="1:254" ht="15.9" customHeight="1">
      <c r="A28" s="61" t="s">
        <v>51</v>
      </c>
      <c r="B28" s="6" t="s">
        <v>52</v>
      </c>
      <c r="C28" s="15">
        <f>_xll.RssMarket("3436","現在値")</f>
        <v>3544</v>
      </c>
      <c r="D28" s="16">
        <f t="shared" si="0"/>
        <v>0</v>
      </c>
      <c r="E28" s="13">
        <v>3544</v>
      </c>
      <c r="F28" s="13">
        <v>3756</v>
      </c>
      <c r="G28" s="13">
        <v>6328</v>
      </c>
      <c r="H28" s="13">
        <v>6348</v>
      </c>
      <c r="I28" s="13">
        <v>6410</v>
      </c>
      <c r="J28" s="13">
        <v>6315</v>
      </c>
      <c r="K28" s="13">
        <v>6496</v>
      </c>
      <c r="L28" s="13">
        <v>6400</v>
      </c>
      <c r="M28" s="13">
        <v>6673</v>
      </c>
      <c r="N28" s="13">
        <v>3623</v>
      </c>
      <c r="O28" s="13">
        <v>6617</v>
      </c>
      <c r="P28" s="13">
        <v>6582</v>
      </c>
      <c r="Q28" s="13">
        <v>6502</v>
      </c>
      <c r="R28" s="13">
        <v>6203</v>
      </c>
      <c r="S28" s="13">
        <v>6593</v>
      </c>
      <c r="T28" s="13">
        <v>6430</v>
      </c>
      <c r="U28" s="13">
        <v>6391</v>
      </c>
      <c r="V28" s="13">
        <v>6469</v>
      </c>
      <c r="W28" s="13">
        <v>6449</v>
      </c>
      <c r="X28" s="13">
        <v>6377</v>
      </c>
      <c r="Y28" s="13">
        <v>6418</v>
      </c>
      <c r="Z28" s="13">
        <v>6388</v>
      </c>
      <c r="AA28" s="13">
        <v>6331</v>
      </c>
      <c r="AB28" s="13">
        <v>6278</v>
      </c>
      <c r="AC28" s="13">
        <v>6199</v>
      </c>
      <c r="AD28" s="13">
        <v>6149</v>
      </c>
      <c r="AE28" s="13">
        <v>6138</v>
      </c>
      <c r="AF28" s="13">
        <v>6140</v>
      </c>
      <c r="AG28" s="13">
        <v>6169</v>
      </c>
      <c r="AH28" s="13">
        <v>6207</v>
      </c>
      <c r="AI28" s="13">
        <v>6334</v>
      </c>
      <c r="AJ28" s="13">
        <v>6485</v>
      </c>
      <c r="AK28" s="13">
        <v>6325</v>
      </c>
      <c r="AL28" s="13">
        <v>6462</v>
      </c>
      <c r="AM28" s="13">
        <v>6336</v>
      </c>
      <c r="AN28" s="13">
        <v>6305</v>
      </c>
      <c r="AO28" s="13">
        <v>6170</v>
      </c>
      <c r="AP28" s="13">
        <v>6092</v>
      </c>
      <c r="AQ28" s="13">
        <v>6050</v>
      </c>
      <c r="AR28" s="13">
        <v>6167</v>
      </c>
      <c r="AS28" s="13">
        <v>6101</v>
      </c>
      <c r="AT28" s="13">
        <v>6113</v>
      </c>
      <c r="AU28" s="13">
        <v>6250</v>
      </c>
      <c r="AV28" s="13">
        <v>6300</v>
      </c>
      <c r="AW28" s="13">
        <v>6220</v>
      </c>
      <c r="AX28" s="13">
        <v>6237</v>
      </c>
      <c r="AY28" s="13">
        <v>6124</v>
      </c>
      <c r="AZ28" s="13">
        <v>6156</v>
      </c>
      <c r="BA28" s="13">
        <v>6286</v>
      </c>
      <c r="BB28" s="13">
        <v>6230</v>
      </c>
      <c r="BC28" s="13">
        <v>6241</v>
      </c>
      <c r="BD28" s="13">
        <v>6052</v>
      </c>
      <c r="BE28" s="13">
        <v>5914</v>
      </c>
      <c r="BF28" s="13">
        <v>5778</v>
      </c>
      <c r="BG28" s="13">
        <v>5772</v>
      </c>
      <c r="BH28" s="13">
        <v>5787</v>
      </c>
      <c r="BI28" s="13">
        <v>6018</v>
      </c>
      <c r="BJ28" s="13">
        <v>5986</v>
      </c>
      <c r="BK28" s="13">
        <v>5514</v>
      </c>
      <c r="BL28" s="13">
        <v>5277</v>
      </c>
      <c r="BM28" s="4">
        <v>5252</v>
      </c>
      <c r="BN28" s="4">
        <v>5209</v>
      </c>
      <c r="BO28" s="4">
        <v>5275</v>
      </c>
      <c r="BP28" s="4">
        <v>5350</v>
      </c>
      <c r="BQ28" s="4">
        <v>4871</v>
      </c>
      <c r="BR28" s="4">
        <v>4846</v>
      </c>
      <c r="BS28" s="4">
        <v>4850</v>
      </c>
      <c r="BT28" s="4">
        <v>4897</v>
      </c>
      <c r="BU28" s="4">
        <v>4947</v>
      </c>
      <c r="BV28" s="4">
        <v>5040</v>
      </c>
      <c r="BW28" s="4">
        <v>5010</v>
      </c>
      <c r="BX28" s="4">
        <v>5069</v>
      </c>
      <c r="BY28" s="4">
        <v>5033</v>
      </c>
      <c r="BZ28" s="4">
        <v>4982</v>
      </c>
    </row>
    <row r="29" spans="1:254" ht="15.9" customHeight="1">
      <c r="A29" s="61" t="s">
        <v>53</v>
      </c>
      <c r="B29" s="6" t="s">
        <v>54</v>
      </c>
      <c r="C29" s="15">
        <f>_xll.RssMarket("5020","現在値")</f>
        <v>1300</v>
      </c>
      <c r="D29" s="16">
        <f t="shared" si="0"/>
        <v>0</v>
      </c>
      <c r="E29" s="13">
        <v>1300</v>
      </c>
      <c r="F29" s="13">
        <v>1283</v>
      </c>
      <c r="G29" s="13">
        <v>1281.5</v>
      </c>
      <c r="H29" s="13">
        <v>1294</v>
      </c>
      <c r="I29" s="13">
        <v>1327.5</v>
      </c>
      <c r="J29" s="13">
        <v>1304</v>
      </c>
      <c r="K29" s="13">
        <v>1310.5</v>
      </c>
      <c r="L29" s="13">
        <v>1296</v>
      </c>
      <c r="M29" s="13">
        <v>1323.5</v>
      </c>
      <c r="N29" s="13">
        <v>1320</v>
      </c>
      <c r="O29" s="13">
        <v>1337</v>
      </c>
      <c r="P29" s="13">
        <v>1320</v>
      </c>
      <c r="Q29" s="13">
        <v>1300.5</v>
      </c>
      <c r="R29" s="13">
        <v>1243.5</v>
      </c>
      <c r="S29" s="13">
        <v>1283</v>
      </c>
      <c r="T29" s="13">
        <v>1264.5</v>
      </c>
      <c r="U29" s="13">
        <v>1254.5</v>
      </c>
      <c r="V29" s="13">
        <v>1252</v>
      </c>
      <c r="W29" s="13">
        <v>1256</v>
      </c>
      <c r="X29" s="13">
        <v>1243.5</v>
      </c>
      <c r="Y29" s="13">
        <v>1248.5</v>
      </c>
      <c r="Z29" s="13">
        <v>1260</v>
      </c>
      <c r="AA29" s="13">
        <v>1221</v>
      </c>
      <c r="AB29" s="13">
        <v>1219.5</v>
      </c>
      <c r="AC29" s="13">
        <v>1205.5</v>
      </c>
      <c r="AD29" s="13">
        <v>1197</v>
      </c>
      <c r="AE29" s="13">
        <v>1200</v>
      </c>
      <c r="AF29" s="13">
        <v>1214.5</v>
      </c>
      <c r="AG29" s="13">
        <v>1191</v>
      </c>
      <c r="AH29" s="13">
        <v>1207</v>
      </c>
      <c r="AI29" s="13">
        <v>1242.5</v>
      </c>
      <c r="AJ29" s="13">
        <v>1251.5</v>
      </c>
      <c r="AK29" s="13">
        <v>1264</v>
      </c>
      <c r="AL29" s="13">
        <v>1226.5</v>
      </c>
      <c r="AM29" s="13">
        <v>1246.5</v>
      </c>
      <c r="AN29" s="13">
        <v>1241</v>
      </c>
      <c r="AO29" s="13">
        <v>1246</v>
      </c>
      <c r="AP29" s="13">
        <v>1235.5</v>
      </c>
      <c r="AQ29" s="13">
        <v>1222.5</v>
      </c>
      <c r="AR29" s="13">
        <v>1208.5</v>
      </c>
      <c r="AS29" s="13">
        <v>1250</v>
      </c>
      <c r="AT29" s="13">
        <v>1277</v>
      </c>
      <c r="AU29" s="13">
        <v>1287</v>
      </c>
      <c r="AV29" s="13">
        <v>1327.5</v>
      </c>
      <c r="AW29" s="13">
        <v>1286.5</v>
      </c>
      <c r="AX29" s="13">
        <v>1305.5</v>
      </c>
      <c r="AY29" s="13">
        <v>1291.5</v>
      </c>
      <c r="AZ29" s="13">
        <v>1296</v>
      </c>
      <c r="BA29" s="13">
        <v>1289.5</v>
      </c>
      <c r="BB29" s="13">
        <v>1300</v>
      </c>
      <c r="BC29" s="13">
        <v>1307.5</v>
      </c>
      <c r="BD29" s="13">
        <v>1313.5</v>
      </c>
      <c r="BE29" s="13">
        <v>1360</v>
      </c>
      <c r="BF29" s="13">
        <v>1358</v>
      </c>
      <c r="BG29" s="13">
        <v>1386</v>
      </c>
      <c r="BH29" s="13">
        <v>1315.5</v>
      </c>
      <c r="BI29" s="13">
        <v>1351.5</v>
      </c>
      <c r="BJ29" s="13">
        <v>1371</v>
      </c>
      <c r="BK29" s="13">
        <v>1305</v>
      </c>
      <c r="BL29" s="13">
        <v>1289.5</v>
      </c>
      <c r="BM29" s="4">
        <v>1311</v>
      </c>
      <c r="BN29" s="4">
        <v>1325.5</v>
      </c>
      <c r="BO29" s="4">
        <v>1320.5</v>
      </c>
      <c r="BP29" s="4">
        <v>1300.5</v>
      </c>
      <c r="BQ29" s="4">
        <v>1284</v>
      </c>
      <c r="BR29" s="4">
        <v>1299.5</v>
      </c>
      <c r="BS29" s="4">
        <v>1298</v>
      </c>
      <c r="BT29" s="4">
        <v>1319</v>
      </c>
      <c r="BU29" s="4">
        <v>1325.5</v>
      </c>
      <c r="BV29" s="4">
        <v>1337.5</v>
      </c>
      <c r="BW29" s="4">
        <v>1375</v>
      </c>
      <c r="BX29" s="4">
        <v>1406.5</v>
      </c>
      <c r="BY29" s="4">
        <v>1413.5</v>
      </c>
      <c r="BZ29" s="4">
        <v>1430</v>
      </c>
    </row>
    <row r="30" spans="1:254" ht="15.9" customHeight="1">
      <c r="A30" s="61" t="s">
        <v>55</v>
      </c>
      <c r="B30" s="6" t="s">
        <v>56</v>
      </c>
      <c r="C30" s="15">
        <f>_xll.RssMarket("6254","現在値")</f>
        <v>4415</v>
      </c>
      <c r="D30" s="16">
        <f t="shared" si="0"/>
        <v>0</v>
      </c>
      <c r="E30" s="13">
        <v>4415</v>
      </c>
      <c r="F30" s="13">
        <v>4605</v>
      </c>
      <c r="G30" s="13">
        <v>4210</v>
      </c>
      <c r="H30" s="13">
        <v>3970</v>
      </c>
      <c r="I30" s="13">
        <v>4010</v>
      </c>
      <c r="J30" s="13">
        <v>3550</v>
      </c>
      <c r="K30" s="13">
        <v>3440</v>
      </c>
      <c r="L30" s="13">
        <v>3680</v>
      </c>
      <c r="M30" s="13">
        <v>4140</v>
      </c>
      <c r="N30" s="13">
        <v>4120</v>
      </c>
      <c r="O30" s="13">
        <v>4300</v>
      </c>
      <c r="P30" s="13">
        <v>4100</v>
      </c>
      <c r="Q30" s="13">
        <v>4115</v>
      </c>
      <c r="R30" s="13">
        <v>3850</v>
      </c>
      <c r="S30" s="13">
        <v>4385</v>
      </c>
      <c r="T30" s="13">
        <v>4375</v>
      </c>
      <c r="U30" s="13">
        <v>4335</v>
      </c>
      <c r="V30" s="13">
        <v>4625</v>
      </c>
      <c r="W30" s="13">
        <v>4340</v>
      </c>
      <c r="X30" s="13">
        <v>4220</v>
      </c>
      <c r="Y30" s="13">
        <v>4390</v>
      </c>
      <c r="Z30" s="13">
        <v>4700</v>
      </c>
      <c r="AA30" s="13">
        <v>4915</v>
      </c>
      <c r="AB30" s="13">
        <v>4700</v>
      </c>
      <c r="AC30" s="13">
        <v>5190</v>
      </c>
      <c r="AD30" s="13">
        <v>4920</v>
      </c>
      <c r="AE30" s="13">
        <v>4980</v>
      </c>
      <c r="AF30" s="13">
        <v>4645</v>
      </c>
      <c r="AG30" s="13">
        <v>4940</v>
      </c>
      <c r="AH30" s="13">
        <v>4740</v>
      </c>
      <c r="AI30" s="13">
        <v>5030</v>
      </c>
      <c r="AJ30" s="13">
        <v>5450</v>
      </c>
      <c r="AK30" s="13">
        <v>4805</v>
      </c>
      <c r="AL30" s="13">
        <v>5070</v>
      </c>
      <c r="AM30" s="13">
        <v>4900</v>
      </c>
      <c r="AN30" s="13">
        <v>4600</v>
      </c>
      <c r="AO30" s="13">
        <v>4565</v>
      </c>
      <c r="AP30" s="13">
        <v>4320</v>
      </c>
      <c r="AQ30" s="13">
        <v>3940</v>
      </c>
      <c r="AR30" s="13">
        <v>3965</v>
      </c>
      <c r="AS30" s="13">
        <v>4015</v>
      </c>
      <c r="AT30" s="13">
        <v>4255</v>
      </c>
      <c r="AU30" s="13">
        <v>4455</v>
      </c>
      <c r="AV30" s="13">
        <v>4385</v>
      </c>
      <c r="AW30" s="13">
        <v>4360</v>
      </c>
      <c r="AX30" s="13">
        <v>4590</v>
      </c>
      <c r="AY30" s="13">
        <v>4725</v>
      </c>
      <c r="AZ30" s="13">
        <v>4695</v>
      </c>
      <c r="BA30" s="13">
        <v>5130</v>
      </c>
      <c r="BB30" s="13">
        <v>4980</v>
      </c>
      <c r="BC30" s="13">
        <v>4585</v>
      </c>
      <c r="BD30" s="13">
        <v>4415</v>
      </c>
      <c r="BE30" s="13">
        <v>4675</v>
      </c>
      <c r="BF30" s="13">
        <v>4860</v>
      </c>
      <c r="BG30" s="13">
        <v>4950</v>
      </c>
      <c r="BH30" s="13">
        <v>4355</v>
      </c>
      <c r="BI30" s="13">
        <v>4325</v>
      </c>
      <c r="BJ30" s="13">
        <v>4490</v>
      </c>
      <c r="BK30" s="13">
        <v>4630</v>
      </c>
      <c r="BL30" s="13">
        <v>4480</v>
      </c>
      <c r="BM30" s="4">
        <v>4070</v>
      </c>
      <c r="BN30" s="4">
        <v>3675</v>
      </c>
      <c r="BO30" s="4">
        <v>3655</v>
      </c>
      <c r="BP30" s="4">
        <v>3765</v>
      </c>
      <c r="BQ30" s="4">
        <v>3735</v>
      </c>
      <c r="BR30" s="4">
        <v>3660</v>
      </c>
      <c r="BS30" s="4">
        <v>3720</v>
      </c>
      <c r="BT30" s="4">
        <v>3720</v>
      </c>
      <c r="BU30" s="4">
        <v>3850</v>
      </c>
      <c r="BV30" s="4">
        <v>3845</v>
      </c>
      <c r="BW30" s="4">
        <v>3715</v>
      </c>
      <c r="BX30" s="4">
        <v>3770</v>
      </c>
      <c r="BY30" s="4">
        <v>3650</v>
      </c>
      <c r="BZ30" s="4">
        <v>3650</v>
      </c>
    </row>
    <row r="31" spans="1:254" ht="15.9" customHeight="1">
      <c r="A31" s="61" t="s">
        <v>57</v>
      </c>
      <c r="B31" s="6" t="s">
        <v>58</v>
      </c>
      <c r="C31" s="15">
        <f>_xll.RssMarket("8309","現在値")</f>
        <v>1679</v>
      </c>
      <c r="D31" s="16">
        <f t="shared" si="0"/>
        <v>0</v>
      </c>
      <c r="E31" s="13">
        <v>1679</v>
      </c>
      <c r="F31" s="13">
        <v>1661</v>
      </c>
      <c r="G31" s="13">
        <v>1631</v>
      </c>
      <c r="H31" s="13">
        <v>1626.5</v>
      </c>
      <c r="I31" s="13">
        <v>1654</v>
      </c>
      <c r="J31" s="13">
        <v>1672</v>
      </c>
      <c r="K31" s="13">
        <v>1710.5</v>
      </c>
      <c r="L31" s="13">
        <v>1692.25</v>
      </c>
      <c r="M31" s="13">
        <v>1720.25</v>
      </c>
      <c r="N31" s="13">
        <v>1703</v>
      </c>
      <c r="O31" s="13">
        <v>1711.25</v>
      </c>
      <c r="P31" s="13">
        <v>1711</v>
      </c>
      <c r="Q31" s="13">
        <v>1683.5</v>
      </c>
      <c r="R31" s="13">
        <v>1612.5</v>
      </c>
      <c r="S31" s="13">
        <v>1689.25</v>
      </c>
      <c r="T31" s="13">
        <v>1663.5</v>
      </c>
      <c r="U31" s="13">
        <v>1658</v>
      </c>
      <c r="V31" s="13">
        <v>1639.5</v>
      </c>
      <c r="W31" s="13">
        <v>1644.25</v>
      </c>
      <c r="X31" s="13">
        <v>1644.75</v>
      </c>
      <c r="Y31" s="13">
        <v>1638.75</v>
      </c>
      <c r="Z31" s="13">
        <v>1635</v>
      </c>
      <c r="AA31" s="13">
        <v>1581.5</v>
      </c>
      <c r="AB31" s="13">
        <v>1565</v>
      </c>
      <c r="AC31" s="13">
        <v>1530</v>
      </c>
      <c r="AD31" s="13">
        <v>1514.25</v>
      </c>
      <c r="AE31" s="13">
        <v>1504.75</v>
      </c>
      <c r="AF31" s="13">
        <v>1493</v>
      </c>
      <c r="AG31" s="13">
        <v>1494.75</v>
      </c>
      <c r="AH31" s="13">
        <v>1472.25</v>
      </c>
      <c r="AI31" s="13">
        <v>1513.25</v>
      </c>
      <c r="AJ31" s="13">
        <v>1553.25</v>
      </c>
      <c r="AK31" s="13">
        <v>1515.75</v>
      </c>
      <c r="AL31" s="13">
        <v>1544</v>
      </c>
      <c r="AM31" s="13">
        <v>1508.25</v>
      </c>
      <c r="AN31" s="13">
        <v>1494.75</v>
      </c>
      <c r="AO31" s="13">
        <v>1515.25</v>
      </c>
      <c r="AP31" s="13">
        <v>1490.25</v>
      </c>
      <c r="AQ31" s="13">
        <v>1469</v>
      </c>
      <c r="AR31" s="13">
        <v>1479.5</v>
      </c>
      <c r="AS31" s="13">
        <v>1446.5</v>
      </c>
      <c r="AT31" s="13">
        <v>1457</v>
      </c>
      <c r="AU31" s="13">
        <v>1431.5</v>
      </c>
      <c r="AV31" s="13">
        <v>1429.75</v>
      </c>
      <c r="AW31" s="13">
        <v>1389</v>
      </c>
      <c r="AX31" s="13">
        <v>1368.5</v>
      </c>
      <c r="AY31" s="13">
        <v>1388.5</v>
      </c>
      <c r="AZ31" s="13">
        <v>1407</v>
      </c>
      <c r="BA31" s="13">
        <v>1415.25</v>
      </c>
      <c r="BB31" s="13">
        <v>1403.5</v>
      </c>
      <c r="BC31" s="13">
        <v>1425.75</v>
      </c>
      <c r="BD31" s="13">
        <v>1410.75</v>
      </c>
      <c r="BE31" s="13">
        <v>1428.75</v>
      </c>
      <c r="BF31" s="13">
        <v>1366</v>
      </c>
      <c r="BG31" s="13">
        <v>1405.75</v>
      </c>
      <c r="BH31" s="13">
        <v>1409</v>
      </c>
      <c r="BI31" s="13">
        <v>1415</v>
      </c>
      <c r="BJ31" s="13">
        <v>1403.25</v>
      </c>
      <c r="BK31" s="13">
        <v>1377</v>
      </c>
      <c r="BL31" s="13">
        <v>1351.5</v>
      </c>
      <c r="BM31" s="4">
        <v>1392.75</v>
      </c>
      <c r="BN31" s="4">
        <v>1332</v>
      </c>
      <c r="BO31" s="4">
        <v>1294.5</v>
      </c>
      <c r="BP31" s="4">
        <v>1329</v>
      </c>
      <c r="BQ31" s="4">
        <v>1276.75</v>
      </c>
      <c r="BR31" s="4">
        <v>1280</v>
      </c>
      <c r="BS31" s="4">
        <v>1283.5</v>
      </c>
      <c r="BT31" s="4">
        <v>1289.25</v>
      </c>
      <c r="BU31" s="4">
        <v>1298.75</v>
      </c>
      <c r="BV31" s="4">
        <v>1326.75</v>
      </c>
      <c r="BW31" s="4">
        <v>1344</v>
      </c>
      <c r="BX31" s="4">
        <v>1366.5</v>
      </c>
      <c r="BY31" s="4">
        <v>1359.5</v>
      </c>
      <c r="BZ31" s="4">
        <v>1347</v>
      </c>
    </row>
    <row r="32" spans="1:254" ht="15.9" customHeight="1">
      <c r="A32" s="61" t="s">
        <v>59</v>
      </c>
      <c r="B32" s="6" t="s">
        <v>60</v>
      </c>
      <c r="C32" s="15">
        <f>_xll.RssMarket("3863","現在値")</f>
        <v>1365</v>
      </c>
      <c r="D32" s="16">
        <f t="shared" si="0"/>
        <v>0</v>
      </c>
      <c r="E32" s="13">
        <v>1365</v>
      </c>
      <c r="F32" s="13">
        <v>1303</v>
      </c>
      <c r="G32" s="13">
        <v>1338</v>
      </c>
      <c r="H32" s="13">
        <v>1345</v>
      </c>
      <c r="I32" s="13">
        <v>1376</v>
      </c>
      <c r="J32" s="13">
        <v>1446</v>
      </c>
      <c r="K32" s="13">
        <v>1474</v>
      </c>
      <c r="L32" s="13">
        <v>1505</v>
      </c>
      <c r="M32" s="13">
        <v>1502</v>
      </c>
      <c r="N32" s="13">
        <v>1509</v>
      </c>
      <c r="O32" s="13">
        <v>1590</v>
      </c>
      <c r="P32" s="13">
        <v>1518</v>
      </c>
      <c r="Q32" s="13">
        <v>1518</v>
      </c>
      <c r="R32" s="13">
        <v>1460</v>
      </c>
      <c r="S32" s="13">
        <v>1403</v>
      </c>
      <c r="T32" s="13">
        <v>1360</v>
      </c>
      <c r="U32" s="13">
        <v>1342</v>
      </c>
      <c r="V32" s="13">
        <v>1327</v>
      </c>
      <c r="W32" s="13">
        <v>1319</v>
      </c>
      <c r="X32" s="13">
        <v>1344</v>
      </c>
      <c r="Y32" s="13">
        <v>1339</v>
      </c>
      <c r="Z32" s="13">
        <v>1337</v>
      </c>
      <c r="AA32" s="13">
        <v>1309</v>
      </c>
      <c r="AB32" s="13">
        <v>1323</v>
      </c>
      <c r="AC32" s="13">
        <v>1297</v>
      </c>
      <c r="AD32" s="13">
        <v>1276</v>
      </c>
      <c r="AE32" s="13">
        <v>1270</v>
      </c>
      <c r="AF32" s="13">
        <v>1249</v>
      </c>
      <c r="AG32" s="13">
        <v>1246</v>
      </c>
      <c r="AH32" s="13">
        <v>1203</v>
      </c>
      <c r="AI32" s="13">
        <v>1192</v>
      </c>
      <c r="AJ32" s="13">
        <v>1199</v>
      </c>
      <c r="AK32" s="13">
        <v>1198</v>
      </c>
      <c r="AL32" s="13">
        <v>1190</v>
      </c>
      <c r="AM32" s="13">
        <v>1242</v>
      </c>
      <c r="AN32" s="13">
        <v>1231</v>
      </c>
      <c r="AO32" s="13">
        <v>1235</v>
      </c>
      <c r="AP32" s="13">
        <v>1218</v>
      </c>
      <c r="AQ32" s="13">
        <v>1210</v>
      </c>
      <c r="AR32" s="13">
        <v>1214</v>
      </c>
      <c r="AS32" s="13">
        <v>1253</v>
      </c>
      <c r="AT32" s="13">
        <v>1220</v>
      </c>
      <c r="AU32" s="13">
        <v>1188</v>
      </c>
      <c r="AV32" s="13">
        <v>1198</v>
      </c>
      <c r="AW32" s="13">
        <v>1222</v>
      </c>
      <c r="AX32" s="13">
        <v>1259</v>
      </c>
      <c r="AY32" s="13">
        <v>1367</v>
      </c>
      <c r="AZ32" s="13">
        <v>1351</v>
      </c>
      <c r="BA32" s="13">
        <v>1360</v>
      </c>
      <c r="BB32" s="13">
        <v>1364</v>
      </c>
      <c r="BC32" s="13">
        <v>1371</v>
      </c>
      <c r="BD32" s="13">
        <v>1397</v>
      </c>
      <c r="BE32" s="13">
        <v>1437</v>
      </c>
      <c r="BF32" s="13">
        <v>1474</v>
      </c>
      <c r="BG32" s="13">
        <v>1450</v>
      </c>
      <c r="BH32" s="13">
        <v>1476</v>
      </c>
      <c r="BI32" s="13">
        <v>1474</v>
      </c>
      <c r="BJ32" s="13">
        <v>1510</v>
      </c>
      <c r="BK32" s="13">
        <v>1443</v>
      </c>
      <c r="BL32" s="13">
        <v>1451</v>
      </c>
      <c r="BM32" s="4">
        <v>1412</v>
      </c>
      <c r="BN32" s="4">
        <v>1371</v>
      </c>
      <c r="BO32" s="4">
        <v>1312</v>
      </c>
      <c r="BP32" s="4">
        <v>1266</v>
      </c>
      <c r="BQ32" s="4">
        <v>1302</v>
      </c>
      <c r="BR32" s="4">
        <v>1432</v>
      </c>
      <c r="BS32" s="4">
        <v>1418</v>
      </c>
      <c r="BT32" s="4">
        <v>1481</v>
      </c>
      <c r="BU32" s="4">
        <v>1484</v>
      </c>
      <c r="BV32" s="4">
        <v>1451</v>
      </c>
      <c r="BW32" s="4">
        <v>1431</v>
      </c>
      <c r="BX32" s="4">
        <v>1404</v>
      </c>
      <c r="BY32" s="4">
        <v>1361</v>
      </c>
      <c r="BZ32" s="4">
        <v>1335</v>
      </c>
    </row>
    <row r="33" spans="1:254" ht="15.9" customHeight="1">
      <c r="A33" s="61" t="s">
        <v>61</v>
      </c>
      <c r="B33" s="6" t="s">
        <v>62</v>
      </c>
      <c r="C33" s="15">
        <f>_xll.RssMarket("8601","現在値")</f>
        <v>1825.5</v>
      </c>
      <c r="D33" s="16">
        <f t="shared" si="0"/>
        <v>0</v>
      </c>
      <c r="E33" s="13">
        <v>1825.5</v>
      </c>
      <c r="F33" s="13">
        <v>1811</v>
      </c>
      <c r="G33" s="13">
        <v>1765.5</v>
      </c>
      <c r="H33" s="13">
        <v>1812</v>
      </c>
      <c r="I33" s="13">
        <v>1807</v>
      </c>
      <c r="J33" s="13">
        <v>1792.5</v>
      </c>
      <c r="K33" s="13">
        <v>1838.5</v>
      </c>
      <c r="L33" s="13">
        <v>1836</v>
      </c>
      <c r="M33" s="13">
        <v>1871.5</v>
      </c>
      <c r="N33" s="13">
        <v>1857</v>
      </c>
      <c r="O33" s="13">
        <v>1867.5</v>
      </c>
      <c r="P33" s="13">
        <v>1852.5</v>
      </c>
      <c r="Q33" s="13">
        <v>1847</v>
      </c>
      <c r="R33" s="13">
        <v>1779.5</v>
      </c>
      <c r="S33" s="13">
        <v>1879</v>
      </c>
      <c r="T33" s="13">
        <v>1802</v>
      </c>
      <c r="U33" s="13">
        <v>1777</v>
      </c>
      <c r="V33" s="13">
        <v>1768.5</v>
      </c>
      <c r="W33" s="13">
        <v>1739.5</v>
      </c>
      <c r="X33" s="13">
        <v>1777.5</v>
      </c>
      <c r="Y33" s="13">
        <v>1762.5</v>
      </c>
      <c r="Z33" s="13">
        <v>1713.5</v>
      </c>
      <c r="AA33" s="13">
        <v>1684</v>
      </c>
      <c r="AB33" s="13">
        <v>1647</v>
      </c>
      <c r="AC33" s="13">
        <v>1631.5</v>
      </c>
      <c r="AD33" s="13">
        <v>1595.5</v>
      </c>
      <c r="AE33" s="13">
        <v>1588.5</v>
      </c>
      <c r="AF33" s="13">
        <v>1596.5</v>
      </c>
      <c r="AG33" s="13">
        <v>1589.5</v>
      </c>
      <c r="AH33" s="13">
        <v>1581</v>
      </c>
      <c r="AI33" s="13">
        <v>1594.5</v>
      </c>
      <c r="AJ33" s="13">
        <v>1626</v>
      </c>
      <c r="AK33" s="13">
        <v>1606</v>
      </c>
      <c r="AL33" s="13">
        <v>1630</v>
      </c>
      <c r="AM33" s="13">
        <v>1607.5</v>
      </c>
      <c r="AN33" s="13">
        <v>1602.5</v>
      </c>
      <c r="AO33" s="13">
        <v>1595</v>
      </c>
      <c r="AP33" s="13">
        <v>1569.5</v>
      </c>
      <c r="AQ33" s="13">
        <v>1538</v>
      </c>
      <c r="AR33" s="13">
        <v>1563</v>
      </c>
      <c r="AS33" s="13">
        <v>1535.5</v>
      </c>
      <c r="AT33" s="13">
        <v>1561</v>
      </c>
      <c r="AU33" s="13">
        <v>1532.5</v>
      </c>
      <c r="AV33" s="13">
        <v>1532.5</v>
      </c>
      <c r="AW33" s="13">
        <v>1499</v>
      </c>
      <c r="AX33" s="13">
        <v>1500.5</v>
      </c>
      <c r="AY33" s="13">
        <v>1472</v>
      </c>
      <c r="AZ33" s="13">
        <v>1466</v>
      </c>
      <c r="BA33" s="13">
        <v>1495</v>
      </c>
      <c r="BB33" s="13">
        <v>1490</v>
      </c>
      <c r="BC33" s="13">
        <v>1509</v>
      </c>
      <c r="BD33" s="13">
        <v>1472.5</v>
      </c>
      <c r="BE33" s="13">
        <v>1491.5</v>
      </c>
      <c r="BF33" s="13">
        <v>1467</v>
      </c>
      <c r="BG33" s="13">
        <v>1482.5</v>
      </c>
      <c r="BH33" s="13">
        <v>1478</v>
      </c>
      <c r="BI33" s="13">
        <v>1495</v>
      </c>
      <c r="BJ33" s="13">
        <v>1468.5</v>
      </c>
      <c r="BK33" s="13">
        <v>1464</v>
      </c>
      <c r="BL33" s="13">
        <v>1445</v>
      </c>
      <c r="BM33" s="4">
        <v>1518.5</v>
      </c>
      <c r="BN33" s="4">
        <v>1453</v>
      </c>
      <c r="BO33" s="4">
        <v>1467.5</v>
      </c>
      <c r="BP33" s="4">
        <v>1466.5</v>
      </c>
      <c r="BQ33" s="4">
        <v>1516.5</v>
      </c>
      <c r="BR33" s="4">
        <v>1505</v>
      </c>
      <c r="BS33" s="4">
        <v>1496</v>
      </c>
      <c r="BT33" s="4">
        <v>1505.5</v>
      </c>
      <c r="BU33" s="4">
        <v>1523</v>
      </c>
      <c r="BV33" s="4">
        <v>1523.5</v>
      </c>
      <c r="BW33" s="4">
        <v>1531</v>
      </c>
      <c r="BX33" s="4">
        <v>1559</v>
      </c>
      <c r="BY33" s="4">
        <v>1571.5</v>
      </c>
      <c r="BZ33" s="4">
        <v>1547.5</v>
      </c>
    </row>
    <row r="34" spans="1:254" ht="15.9" customHeight="1">
      <c r="A34" s="61" t="s">
        <v>63</v>
      </c>
      <c r="B34" s="6" t="s">
        <v>64</v>
      </c>
      <c r="C34" s="15">
        <f>_xll.RssMarket("5233","現在値")</f>
        <v>4333</v>
      </c>
      <c r="D34" s="16">
        <f t="shared" si="0"/>
        <v>0</v>
      </c>
      <c r="E34" s="13">
        <v>4333</v>
      </c>
      <c r="F34" s="13">
        <v>4090</v>
      </c>
      <c r="G34" s="13">
        <v>4000</v>
      </c>
      <c r="H34" s="13">
        <v>3959</v>
      </c>
      <c r="I34" s="13">
        <v>4074</v>
      </c>
      <c r="J34" s="13">
        <v>4174</v>
      </c>
      <c r="K34" s="13">
        <v>4224</v>
      </c>
      <c r="L34" s="13">
        <v>4211</v>
      </c>
      <c r="M34" s="13">
        <v>4208</v>
      </c>
      <c r="N34" s="13">
        <v>4121</v>
      </c>
      <c r="O34" s="13">
        <v>4177</v>
      </c>
      <c r="P34" s="13">
        <v>4203</v>
      </c>
      <c r="Q34" s="13">
        <v>4092</v>
      </c>
      <c r="R34" s="13">
        <v>3921</v>
      </c>
      <c r="S34" s="13">
        <v>3984</v>
      </c>
      <c r="T34" s="13">
        <v>3965</v>
      </c>
      <c r="U34" s="13">
        <v>3869</v>
      </c>
      <c r="V34" s="13">
        <v>3904</v>
      </c>
      <c r="W34" s="13">
        <v>3940</v>
      </c>
      <c r="X34" s="13">
        <v>4000</v>
      </c>
      <c r="Y34" s="13">
        <v>4090</v>
      </c>
      <c r="Z34" s="13">
        <v>4174</v>
      </c>
      <c r="AA34" s="13">
        <v>4088</v>
      </c>
      <c r="AB34" s="13">
        <v>3937</v>
      </c>
      <c r="AC34" s="13">
        <v>3891</v>
      </c>
      <c r="AD34" s="13">
        <v>3971</v>
      </c>
      <c r="AE34" s="13">
        <v>4052</v>
      </c>
      <c r="AF34" s="13">
        <v>4087</v>
      </c>
      <c r="AG34" s="13">
        <v>4092</v>
      </c>
      <c r="AH34" s="13">
        <v>4081</v>
      </c>
      <c r="AI34" s="13">
        <v>4133</v>
      </c>
      <c r="AJ34" s="13">
        <v>4206</v>
      </c>
      <c r="AK34" s="13">
        <v>4280</v>
      </c>
      <c r="AL34" s="13">
        <v>4376</v>
      </c>
      <c r="AM34" s="13">
        <v>4425</v>
      </c>
      <c r="AN34" s="13">
        <v>4370</v>
      </c>
      <c r="AO34" s="13">
        <v>4407</v>
      </c>
      <c r="AP34" s="13">
        <v>4201</v>
      </c>
      <c r="AQ34" s="13">
        <v>4075</v>
      </c>
      <c r="AR34" s="13">
        <v>4130</v>
      </c>
      <c r="AS34" s="13">
        <v>4265</v>
      </c>
      <c r="AT34" s="13">
        <v>4348</v>
      </c>
      <c r="AU34" s="13">
        <v>4425</v>
      </c>
      <c r="AV34" s="13">
        <v>4460</v>
      </c>
      <c r="AW34" s="13">
        <v>4359</v>
      </c>
      <c r="AX34" s="13">
        <v>4530</v>
      </c>
      <c r="AY34" s="13">
        <v>4289</v>
      </c>
      <c r="AZ34" s="13">
        <v>4225</v>
      </c>
      <c r="BA34" s="13">
        <v>4140</v>
      </c>
      <c r="BB34" s="13">
        <v>4137</v>
      </c>
      <c r="BC34" s="13">
        <v>4078</v>
      </c>
      <c r="BD34" s="13">
        <v>3970</v>
      </c>
      <c r="BE34" s="13">
        <v>3915</v>
      </c>
      <c r="BF34" s="13">
        <v>3818</v>
      </c>
      <c r="BG34" s="13">
        <v>3967</v>
      </c>
      <c r="BH34" s="13">
        <v>4059</v>
      </c>
      <c r="BI34" s="13">
        <v>4213</v>
      </c>
      <c r="BJ34" s="13">
        <v>3781</v>
      </c>
      <c r="BK34" s="13">
        <v>3634</v>
      </c>
      <c r="BL34" s="13">
        <v>3618</v>
      </c>
      <c r="BM34" s="4">
        <v>3690</v>
      </c>
      <c r="BN34" s="4">
        <v>3577</v>
      </c>
      <c r="BO34" s="4">
        <v>3568</v>
      </c>
      <c r="BP34" s="4">
        <v>3639</v>
      </c>
      <c r="BQ34" s="4">
        <v>3622</v>
      </c>
      <c r="BR34" s="4">
        <v>3558</v>
      </c>
      <c r="BS34" s="4">
        <v>3537</v>
      </c>
      <c r="BT34" s="4">
        <v>3615</v>
      </c>
      <c r="BU34" s="4">
        <v>3657</v>
      </c>
      <c r="BV34" s="4">
        <v>3681</v>
      </c>
      <c r="BW34" s="4">
        <v>3669</v>
      </c>
      <c r="BX34" s="4">
        <v>3714</v>
      </c>
      <c r="BY34" s="4">
        <v>3668</v>
      </c>
      <c r="BZ34" s="4">
        <v>3704</v>
      </c>
    </row>
    <row r="35" spans="1:254" ht="15.9" customHeight="1">
      <c r="A35" s="61" t="s">
        <v>65</v>
      </c>
      <c r="B35" s="6" t="s">
        <v>66</v>
      </c>
      <c r="C35" s="15">
        <f>_xll.RssMarket("8308","現在値")</f>
        <v>2342</v>
      </c>
      <c r="D35" s="16">
        <f t="shared" si="0"/>
        <v>0</v>
      </c>
      <c r="E35" s="13">
        <v>2342</v>
      </c>
      <c r="F35" s="13">
        <v>2283</v>
      </c>
      <c r="G35" s="13">
        <v>2191.5</v>
      </c>
      <c r="H35" s="13">
        <v>2246.5</v>
      </c>
      <c r="I35" s="13">
        <v>2191.5</v>
      </c>
      <c r="J35" s="13">
        <v>2178</v>
      </c>
      <c r="K35" s="13">
        <v>2245.5</v>
      </c>
      <c r="L35" s="13">
        <v>2265</v>
      </c>
      <c r="M35" s="13">
        <v>2393.5</v>
      </c>
      <c r="N35" s="13">
        <v>2365.5</v>
      </c>
      <c r="O35" s="13">
        <v>2350</v>
      </c>
      <c r="P35" s="13">
        <v>2322</v>
      </c>
      <c r="Q35" s="13">
        <v>2286</v>
      </c>
      <c r="R35" s="13">
        <v>2224.5</v>
      </c>
      <c r="S35" s="13">
        <v>2379.5</v>
      </c>
      <c r="T35" s="13">
        <v>2370</v>
      </c>
      <c r="U35" s="13">
        <v>2362.5</v>
      </c>
      <c r="V35" s="13">
        <v>2335.5</v>
      </c>
      <c r="W35" s="13">
        <v>2364.5</v>
      </c>
      <c r="X35" s="13">
        <v>2358</v>
      </c>
      <c r="Y35" s="13">
        <v>2326</v>
      </c>
      <c r="Z35" s="13">
        <v>2283</v>
      </c>
      <c r="AA35" s="13">
        <v>2245.5</v>
      </c>
      <c r="AB35" s="13">
        <v>2197</v>
      </c>
      <c r="AC35" s="13">
        <v>2114.5</v>
      </c>
      <c r="AD35" s="13">
        <v>2106</v>
      </c>
      <c r="AE35" s="13">
        <v>2104.5</v>
      </c>
      <c r="AF35" s="13">
        <v>2102</v>
      </c>
      <c r="AG35" s="13">
        <v>2107</v>
      </c>
      <c r="AH35" s="13">
        <v>2121</v>
      </c>
      <c r="AI35" s="13">
        <v>2162</v>
      </c>
      <c r="AJ35" s="13">
        <v>2230</v>
      </c>
      <c r="AK35" s="13">
        <v>2196</v>
      </c>
      <c r="AL35" s="13">
        <v>2256</v>
      </c>
      <c r="AM35" s="13">
        <v>2161.5</v>
      </c>
      <c r="AN35" s="13">
        <v>2144.5</v>
      </c>
      <c r="AO35" s="13">
        <v>2203</v>
      </c>
      <c r="AP35" s="13">
        <v>2147</v>
      </c>
      <c r="AQ35" s="13">
        <v>2116</v>
      </c>
      <c r="AR35" s="13">
        <v>2139</v>
      </c>
      <c r="AS35" s="13">
        <v>2085.5</v>
      </c>
      <c r="AT35" s="13">
        <v>2118</v>
      </c>
      <c r="AU35" s="13">
        <v>2097</v>
      </c>
      <c r="AV35" s="13">
        <v>2052.5</v>
      </c>
      <c r="AW35" s="13">
        <v>2023</v>
      </c>
      <c r="AX35" s="13">
        <v>2039.5</v>
      </c>
      <c r="AY35" s="13">
        <v>2036</v>
      </c>
      <c r="AZ35" s="13">
        <v>2045.5</v>
      </c>
      <c r="BA35" s="13">
        <v>2124</v>
      </c>
      <c r="BB35" s="13">
        <v>2139.5</v>
      </c>
      <c r="BC35" s="13">
        <v>2120</v>
      </c>
      <c r="BD35" s="13">
        <v>2028.5</v>
      </c>
      <c r="BE35" s="13">
        <v>2078</v>
      </c>
      <c r="BF35" s="13">
        <v>2020</v>
      </c>
      <c r="BG35" s="13">
        <v>2042</v>
      </c>
      <c r="BH35" s="13">
        <v>2047</v>
      </c>
      <c r="BI35" s="13">
        <v>2061.5</v>
      </c>
      <c r="BJ35" s="13">
        <v>2054</v>
      </c>
      <c r="BK35" s="13">
        <v>1998</v>
      </c>
      <c r="BL35" s="13">
        <v>1940</v>
      </c>
      <c r="BM35" s="4">
        <v>2010</v>
      </c>
      <c r="BN35" s="4">
        <v>1927</v>
      </c>
      <c r="BO35" s="4">
        <v>1938.5</v>
      </c>
      <c r="BP35" s="4">
        <v>2006</v>
      </c>
      <c r="BQ35" s="4">
        <v>1838</v>
      </c>
      <c r="BR35" s="4">
        <v>1820.5</v>
      </c>
      <c r="BS35" s="4">
        <v>1810</v>
      </c>
      <c r="BT35" s="4">
        <v>1855.5</v>
      </c>
      <c r="BU35" s="4">
        <v>1913.5</v>
      </c>
      <c r="BV35" s="4">
        <v>1953.5</v>
      </c>
      <c r="BW35" s="4">
        <v>1966</v>
      </c>
      <c r="BX35" s="4">
        <v>1914</v>
      </c>
      <c r="BY35" s="4">
        <v>1930.5</v>
      </c>
      <c r="BZ35" s="4">
        <v>1866</v>
      </c>
    </row>
    <row r="36" spans="1:254" ht="15.9" customHeight="1">
      <c r="A36" s="61" t="s">
        <v>67</v>
      </c>
      <c r="B36" s="6" t="s">
        <v>68</v>
      </c>
      <c r="C36" s="15">
        <f>_xll.RssMarket("5938","現在値")</f>
        <v>1782.5</v>
      </c>
      <c r="D36" s="16">
        <f t="shared" si="0"/>
        <v>0</v>
      </c>
      <c r="E36" s="13">
        <v>1782.5</v>
      </c>
      <c r="F36" s="13">
        <v>1754.5</v>
      </c>
      <c r="G36" s="13">
        <v>1720</v>
      </c>
      <c r="H36" s="13">
        <v>1719</v>
      </c>
      <c r="I36" s="13">
        <v>1735</v>
      </c>
      <c r="J36" s="13">
        <v>1886</v>
      </c>
      <c r="K36" s="13">
        <v>1931</v>
      </c>
      <c r="L36" s="13">
        <v>1896.5</v>
      </c>
      <c r="M36" s="13">
        <v>1900</v>
      </c>
      <c r="N36" s="13">
        <v>1813.5</v>
      </c>
      <c r="O36" s="13">
        <v>1847</v>
      </c>
      <c r="P36" s="13">
        <v>1830.5</v>
      </c>
      <c r="Q36" s="13">
        <v>1861.5</v>
      </c>
      <c r="R36" s="13">
        <v>1874.5</v>
      </c>
      <c r="S36" s="13">
        <v>1889</v>
      </c>
      <c r="T36" s="13">
        <v>1875.5</v>
      </c>
      <c r="U36" s="13">
        <v>1838.5</v>
      </c>
      <c r="V36" s="13">
        <v>1838.5</v>
      </c>
      <c r="W36" s="13">
        <v>1867</v>
      </c>
      <c r="X36" s="13">
        <v>1893.5</v>
      </c>
      <c r="Y36" s="13">
        <v>1891.5</v>
      </c>
      <c r="Z36" s="13">
        <v>1880</v>
      </c>
      <c r="AA36" s="13">
        <v>1865.5</v>
      </c>
      <c r="AB36" s="13">
        <v>1832</v>
      </c>
      <c r="AC36" s="13">
        <v>1791.5</v>
      </c>
      <c r="AD36" s="13">
        <v>1804</v>
      </c>
      <c r="AE36" s="13">
        <v>1797.5</v>
      </c>
      <c r="AF36" s="13">
        <v>1771</v>
      </c>
      <c r="AG36" s="13">
        <v>1757.5</v>
      </c>
      <c r="AH36" s="13">
        <v>1701.5</v>
      </c>
      <c r="AI36" s="13">
        <v>1706.5</v>
      </c>
      <c r="AJ36" s="13">
        <v>1741.5</v>
      </c>
      <c r="AK36" s="13">
        <v>1732.5</v>
      </c>
      <c r="AL36" s="13">
        <v>1721</v>
      </c>
      <c r="AM36" s="13">
        <v>1721.5</v>
      </c>
      <c r="AN36" s="13">
        <v>1736</v>
      </c>
      <c r="AO36" s="13">
        <v>1736</v>
      </c>
      <c r="AP36" s="13">
        <v>1721</v>
      </c>
      <c r="AQ36" s="13">
        <v>1728</v>
      </c>
      <c r="AR36" s="13">
        <v>1739</v>
      </c>
      <c r="AS36" s="13">
        <v>1723</v>
      </c>
      <c r="AT36" s="13">
        <v>1710</v>
      </c>
      <c r="AU36" s="13">
        <v>1700</v>
      </c>
      <c r="AV36" s="13">
        <v>1706.5</v>
      </c>
      <c r="AW36" s="13">
        <v>1674</v>
      </c>
      <c r="AX36" s="13">
        <v>1686.5</v>
      </c>
      <c r="AY36" s="13">
        <v>1694.5</v>
      </c>
      <c r="AZ36" s="13">
        <v>1681.5</v>
      </c>
      <c r="BA36" s="13">
        <v>1658</v>
      </c>
      <c r="BB36" s="13">
        <v>1645</v>
      </c>
      <c r="BC36" s="13">
        <v>1639</v>
      </c>
      <c r="BD36" s="13">
        <v>1622</v>
      </c>
      <c r="BE36" s="13">
        <v>1657</v>
      </c>
      <c r="BF36" s="13">
        <v>1634</v>
      </c>
      <c r="BG36" s="13">
        <v>1672.5</v>
      </c>
      <c r="BH36" s="13">
        <v>1665.5</v>
      </c>
      <c r="BI36" s="13">
        <v>1674</v>
      </c>
      <c r="BJ36" s="13">
        <v>1678.5</v>
      </c>
      <c r="BK36" s="13">
        <v>1670</v>
      </c>
      <c r="BL36" s="13">
        <v>1701.5</v>
      </c>
      <c r="BM36" s="4">
        <v>1679.5</v>
      </c>
      <c r="BN36" s="4">
        <v>1662</v>
      </c>
      <c r="BO36" s="4">
        <v>1619</v>
      </c>
      <c r="BP36" s="4">
        <v>1628</v>
      </c>
      <c r="BQ36" s="4">
        <v>1603.5</v>
      </c>
      <c r="BR36" s="4">
        <v>1611</v>
      </c>
      <c r="BS36" s="4">
        <v>1612</v>
      </c>
      <c r="BT36" s="4">
        <v>1617</v>
      </c>
      <c r="BU36" s="4">
        <v>1638</v>
      </c>
      <c r="BV36" s="4">
        <v>1643.5</v>
      </c>
      <c r="BW36" s="4">
        <v>1615.5</v>
      </c>
      <c r="BX36" s="4">
        <v>1625</v>
      </c>
      <c r="BY36" s="4">
        <v>1615.5</v>
      </c>
      <c r="BZ36" s="4">
        <v>1608</v>
      </c>
    </row>
    <row r="37" spans="1:254" ht="15.9" customHeight="1">
      <c r="A37" s="61" t="s">
        <v>69</v>
      </c>
      <c r="B37" s="6" t="s">
        <v>70</v>
      </c>
      <c r="C37" s="15">
        <f>_xll.RssMarket("8570","現在値")</f>
        <v>1594.5</v>
      </c>
      <c r="D37" s="16">
        <f t="shared" si="0"/>
        <v>0</v>
      </c>
      <c r="E37" s="13">
        <v>1594.5</v>
      </c>
      <c r="F37" s="13">
        <v>1546.5</v>
      </c>
      <c r="G37" s="13">
        <v>1528</v>
      </c>
      <c r="H37" s="13">
        <v>1544</v>
      </c>
      <c r="I37" s="13">
        <v>1570.5</v>
      </c>
      <c r="J37" s="13">
        <v>1564.5</v>
      </c>
      <c r="K37" s="13">
        <v>1583</v>
      </c>
      <c r="L37" s="13">
        <v>1574</v>
      </c>
      <c r="M37" s="13">
        <v>1580</v>
      </c>
      <c r="N37" s="13">
        <v>1562</v>
      </c>
      <c r="O37" s="13">
        <v>1568.5</v>
      </c>
      <c r="P37" s="13">
        <v>1580.5</v>
      </c>
      <c r="Q37" s="13">
        <v>1569.5</v>
      </c>
      <c r="R37" s="13">
        <v>1527</v>
      </c>
      <c r="S37" s="13">
        <v>1542.5</v>
      </c>
      <c r="T37" s="13">
        <v>1554.5</v>
      </c>
      <c r="U37" s="13">
        <v>1544.5</v>
      </c>
      <c r="V37" s="13">
        <v>1518</v>
      </c>
      <c r="W37" s="13">
        <v>1532.5</v>
      </c>
      <c r="X37" s="13">
        <v>1533.5</v>
      </c>
      <c r="Y37" s="13">
        <v>1524</v>
      </c>
      <c r="Z37" s="13">
        <v>1521.5</v>
      </c>
      <c r="AA37" s="13">
        <v>1507</v>
      </c>
      <c r="AB37" s="13">
        <v>1481.5</v>
      </c>
      <c r="AC37" s="13">
        <v>1470.5</v>
      </c>
      <c r="AD37" s="13">
        <v>1466</v>
      </c>
      <c r="AE37" s="13">
        <v>1469.5</v>
      </c>
      <c r="AF37" s="13">
        <v>1465</v>
      </c>
      <c r="AG37" s="13">
        <v>1465.5</v>
      </c>
      <c r="AH37" s="13">
        <v>1445</v>
      </c>
      <c r="AI37" s="13">
        <v>1443</v>
      </c>
      <c r="AJ37" s="13">
        <v>1463.5</v>
      </c>
      <c r="AK37" s="13">
        <v>1476.5</v>
      </c>
      <c r="AL37" s="13">
        <v>1474</v>
      </c>
      <c r="AM37" s="13">
        <v>1491.5</v>
      </c>
      <c r="AN37" s="13">
        <v>1499.5</v>
      </c>
      <c r="AO37" s="13">
        <v>1515.5</v>
      </c>
      <c r="AP37" s="13">
        <v>1509.5</v>
      </c>
      <c r="AQ37" s="13">
        <v>1506</v>
      </c>
      <c r="AR37" s="13">
        <v>1506</v>
      </c>
      <c r="AS37" s="13">
        <v>1458.5</v>
      </c>
      <c r="AT37" s="13">
        <v>1461.5</v>
      </c>
      <c r="AU37" s="13">
        <v>1434</v>
      </c>
      <c r="AV37" s="13">
        <v>1459</v>
      </c>
      <c r="AW37" s="13">
        <v>1460</v>
      </c>
      <c r="AX37" s="13">
        <v>1510</v>
      </c>
      <c r="AY37" s="13">
        <v>1518</v>
      </c>
      <c r="AZ37" s="13">
        <v>1540.5</v>
      </c>
      <c r="BA37" s="13">
        <v>1550.5</v>
      </c>
      <c r="BB37" s="13">
        <v>1560</v>
      </c>
      <c r="BC37" s="13">
        <v>1592.5</v>
      </c>
      <c r="BD37" s="13">
        <v>1572.5</v>
      </c>
      <c r="BE37" s="13">
        <v>1584</v>
      </c>
      <c r="BF37" s="13">
        <v>1583.5</v>
      </c>
      <c r="BG37" s="13">
        <v>1560</v>
      </c>
      <c r="BH37" s="13">
        <v>1560</v>
      </c>
      <c r="BI37" s="13">
        <v>1560</v>
      </c>
      <c r="BJ37" s="13">
        <v>1551</v>
      </c>
      <c r="BK37" s="13">
        <v>1532.5</v>
      </c>
      <c r="BL37" s="13">
        <v>1504.5</v>
      </c>
      <c r="BM37" s="4">
        <v>1551.5</v>
      </c>
      <c r="BN37" s="4">
        <v>1560</v>
      </c>
      <c r="BO37" s="4">
        <v>1558.5</v>
      </c>
      <c r="BP37" s="4">
        <v>1557.5</v>
      </c>
      <c r="BQ37" s="4">
        <v>1529.5</v>
      </c>
      <c r="BR37" s="4">
        <v>1549.5</v>
      </c>
      <c r="BS37" s="4">
        <v>1555.5</v>
      </c>
      <c r="BT37" s="4">
        <v>1537</v>
      </c>
      <c r="BU37" s="4">
        <v>1548.5</v>
      </c>
      <c r="BV37" s="4">
        <v>1560</v>
      </c>
      <c r="BW37" s="4">
        <v>1564.5</v>
      </c>
      <c r="BX37" s="4">
        <v>1610</v>
      </c>
      <c r="BY37" s="4">
        <v>1606</v>
      </c>
      <c r="BZ37" s="4">
        <v>1597</v>
      </c>
    </row>
    <row r="38" spans="1:254" ht="15.9" customHeight="1">
      <c r="A38" s="61" t="s">
        <v>71</v>
      </c>
      <c r="B38" s="6" t="s">
        <v>72</v>
      </c>
      <c r="C38" s="15">
        <f>_xll.RssMarket("5406","現在値")</f>
        <v>2016.5</v>
      </c>
      <c r="D38" s="16">
        <f t="shared" ref="D38:D69" si="1">C38-E38</f>
        <v>0</v>
      </c>
      <c r="E38" s="13">
        <v>2016.5</v>
      </c>
      <c r="F38" s="13">
        <v>1972</v>
      </c>
      <c r="G38" s="13">
        <v>2050.5</v>
      </c>
      <c r="H38" s="13">
        <v>2073</v>
      </c>
      <c r="I38" s="13">
        <v>2077</v>
      </c>
      <c r="J38" s="13">
        <v>2070.5</v>
      </c>
      <c r="K38" s="13">
        <v>2072</v>
      </c>
      <c r="L38" s="13">
        <v>2008</v>
      </c>
      <c r="M38" s="13">
        <v>2044.5</v>
      </c>
      <c r="N38" s="13">
        <v>1984.5</v>
      </c>
      <c r="O38" s="13">
        <v>1991.5</v>
      </c>
      <c r="P38" s="13">
        <v>1984.5</v>
      </c>
      <c r="Q38" s="13">
        <v>1969.5</v>
      </c>
      <c r="R38" s="13">
        <v>1934</v>
      </c>
      <c r="S38" s="13">
        <v>1936.5</v>
      </c>
      <c r="T38" s="13">
        <v>1917</v>
      </c>
      <c r="U38" s="13">
        <v>1847.5</v>
      </c>
      <c r="V38" s="13">
        <v>1860</v>
      </c>
      <c r="W38" s="13">
        <v>1881.5</v>
      </c>
      <c r="X38" s="13">
        <v>1883</v>
      </c>
      <c r="Y38" s="13">
        <v>1909.5</v>
      </c>
      <c r="Z38" s="13">
        <v>1924</v>
      </c>
      <c r="AA38" s="13">
        <v>1905.5</v>
      </c>
      <c r="AB38" s="13">
        <v>1857.5</v>
      </c>
      <c r="AC38" s="13">
        <v>1849</v>
      </c>
      <c r="AD38" s="13">
        <v>1872.5</v>
      </c>
      <c r="AE38" s="13">
        <v>1867.5</v>
      </c>
      <c r="AF38" s="13">
        <v>1876</v>
      </c>
      <c r="AG38" s="13">
        <v>1875</v>
      </c>
      <c r="AH38" s="13">
        <v>1883.5</v>
      </c>
      <c r="AI38" s="13">
        <v>1891.5</v>
      </c>
      <c r="AJ38" s="13">
        <v>1966</v>
      </c>
      <c r="AK38" s="13">
        <v>1966</v>
      </c>
      <c r="AL38" s="13">
        <v>2004.5</v>
      </c>
      <c r="AM38" s="13">
        <v>1978</v>
      </c>
      <c r="AN38" s="13">
        <v>1989.5</v>
      </c>
      <c r="AO38" s="13">
        <v>1997</v>
      </c>
      <c r="AP38" s="13">
        <v>1936.5</v>
      </c>
      <c r="AQ38" s="13">
        <v>1900</v>
      </c>
      <c r="AR38" s="13">
        <v>1902</v>
      </c>
      <c r="AS38" s="13">
        <v>1910</v>
      </c>
      <c r="AT38" s="13">
        <v>1935.5</v>
      </c>
      <c r="AU38" s="13">
        <v>1940.5</v>
      </c>
      <c r="AV38" s="13">
        <v>1976.5</v>
      </c>
      <c r="AW38" s="13">
        <v>1950</v>
      </c>
      <c r="AX38" s="13">
        <v>1980</v>
      </c>
      <c r="AY38" s="13">
        <v>1948.5</v>
      </c>
      <c r="AZ38" s="13">
        <v>1965.5</v>
      </c>
      <c r="BA38" s="13">
        <v>1960.5</v>
      </c>
      <c r="BB38" s="13">
        <v>1946.5</v>
      </c>
      <c r="BC38" s="13">
        <v>1930</v>
      </c>
      <c r="BD38" s="13">
        <v>1881.5</v>
      </c>
      <c r="BE38" s="13">
        <v>1920.5</v>
      </c>
      <c r="BF38" s="13">
        <v>1881.5</v>
      </c>
      <c r="BG38" s="13">
        <v>1962.5</v>
      </c>
      <c r="BH38" s="13">
        <v>1979.5</v>
      </c>
      <c r="BI38" s="13">
        <v>1960.5</v>
      </c>
      <c r="BJ38" s="13">
        <v>1980</v>
      </c>
      <c r="BK38" s="13">
        <v>2012</v>
      </c>
      <c r="BL38" s="13">
        <v>1937</v>
      </c>
      <c r="BM38" s="4">
        <v>1980.5</v>
      </c>
      <c r="BN38" s="4">
        <v>1941</v>
      </c>
      <c r="BO38" s="4">
        <v>1926.5</v>
      </c>
      <c r="BP38" s="4">
        <v>1895.5</v>
      </c>
      <c r="BQ38" s="4">
        <v>1860.5</v>
      </c>
      <c r="BR38" s="4">
        <v>1853.5</v>
      </c>
      <c r="BS38" s="4">
        <v>1845.5</v>
      </c>
      <c r="BT38" s="4">
        <v>1875.5</v>
      </c>
      <c r="BU38" s="4">
        <v>1905.5</v>
      </c>
      <c r="BV38" s="4">
        <v>1933.5</v>
      </c>
      <c r="BW38" s="4">
        <v>1931.5</v>
      </c>
      <c r="BX38" s="4">
        <v>1947.5</v>
      </c>
      <c r="BY38" s="4">
        <v>1944.5</v>
      </c>
      <c r="BZ38" s="4">
        <v>1950</v>
      </c>
    </row>
    <row r="39" spans="1:254" ht="15.9" customHeight="1">
      <c r="A39" s="61" t="s">
        <v>73</v>
      </c>
      <c r="B39" s="6" t="s">
        <v>74</v>
      </c>
      <c r="C39" s="15">
        <f>_xll.RssMarket("8593","現在値")</f>
        <v>1427.5</v>
      </c>
      <c r="D39" s="16">
        <f t="shared" si="1"/>
        <v>0</v>
      </c>
      <c r="E39" s="13">
        <v>1427.5</v>
      </c>
      <c r="F39" s="13">
        <v>1416.5</v>
      </c>
      <c r="G39" s="13">
        <v>1409.5</v>
      </c>
      <c r="H39" s="13">
        <v>1430.5</v>
      </c>
      <c r="I39" s="13">
        <v>1473</v>
      </c>
      <c r="J39" s="13">
        <v>1490.5</v>
      </c>
      <c r="K39" s="13">
        <v>1518</v>
      </c>
      <c r="L39" s="13">
        <v>1467</v>
      </c>
      <c r="M39" s="13">
        <v>1470</v>
      </c>
      <c r="N39" s="13">
        <v>1439</v>
      </c>
      <c r="O39" s="13">
        <v>1439.5</v>
      </c>
      <c r="P39" s="13">
        <v>1437</v>
      </c>
      <c r="Q39" s="13">
        <v>1440</v>
      </c>
      <c r="R39" s="13">
        <v>1390</v>
      </c>
      <c r="S39" s="13">
        <v>1414</v>
      </c>
      <c r="T39" s="13">
        <v>1399</v>
      </c>
      <c r="U39" s="13">
        <v>1378</v>
      </c>
      <c r="V39" s="13">
        <v>1364.5</v>
      </c>
      <c r="W39" s="13">
        <v>1372</v>
      </c>
      <c r="X39" s="13">
        <v>1385</v>
      </c>
      <c r="Y39" s="13">
        <v>1382</v>
      </c>
      <c r="Z39" s="13">
        <v>1372</v>
      </c>
      <c r="AA39" s="13">
        <v>1351</v>
      </c>
      <c r="AB39" s="13">
        <v>1330</v>
      </c>
      <c r="AC39" s="13">
        <v>1308</v>
      </c>
      <c r="AD39" s="13">
        <v>1314</v>
      </c>
      <c r="AE39" s="13">
        <v>1319.5</v>
      </c>
      <c r="AF39" s="13">
        <v>1309</v>
      </c>
      <c r="AG39" s="13">
        <v>1302.5</v>
      </c>
      <c r="AH39" s="13">
        <v>1294.5</v>
      </c>
      <c r="AI39" s="13">
        <v>1289</v>
      </c>
      <c r="AJ39" s="13">
        <v>1307.5</v>
      </c>
      <c r="AK39" s="13">
        <v>1312</v>
      </c>
      <c r="AL39" s="13">
        <v>1317</v>
      </c>
      <c r="AM39" s="13">
        <v>1325</v>
      </c>
      <c r="AN39" s="13">
        <v>1314.5</v>
      </c>
      <c r="AO39" s="13">
        <v>1334.5</v>
      </c>
      <c r="AP39" s="13">
        <v>1319</v>
      </c>
      <c r="AQ39" s="13">
        <v>1315.5</v>
      </c>
      <c r="AR39" s="13">
        <v>1325.5</v>
      </c>
      <c r="AS39" s="13">
        <v>1298.5</v>
      </c>
      <c r="AT39" s="13">
        <v>1272.5</v>
      </c>
      <c r="AU39" s="13">
        <v>1258.5</v>
      </c>
      <c r="AV39" s="13">
        <v>1265</v>
      </c>
      <c r="AW39" s="13">
        <v>1265</v>
      </c>
      <c r="AX39" s="13">
        <v>1301.5</v>
      </c>
      <c r="AY39" s="13">
        <v>1308.5</v>
      </c>
      <c r="AZ39" s="13">
        <v>1310</v>
      </c>
      <c r="BA39" s="13">
        <v>1316</v>
      </c>
      <c r="BB39" s="13">
        <v>1315</v>
      </c>
      <c r="BC39" s="13">
        <v>1333</v>
      </c>
      <c r="BD39" s="13">
        <v>1340.5</v>
      </c>
      <c r="BE39" s="13">
        <v>1344</v>
      </c>
      <c r="BF39" s="13">
        <v>1336.5</v>
      </c>
      <c r="BG39" s="13">
        <v>1426</v>
      </c>
      <c r="BH39" s="13">
        <v>1433.5</v>
      </c>
      <c r="BI39" s="13">
        <v>1435.5</v>
      </c>
      <c r="BJ39" s="13">
        <v>1440</v>
      </c>
      <c r="BK39" s="13">
        <v>1414.5</v>
      </c>
      <c r="BL39" s="13">
        <v>1403</v>
      </c>
      <c r="BM39" s="4">
        <v>1412.5</v>
      </c>
      <c r="BN39" s="4">
        <v>1405.5</v>
      </c>
      <c r="BO39" s="4">
        <v>1423.5</v>
      </c>
      <c r="BP39" s="4">
        <v>1443</v>
      </c>
      <c r="BQ39" s="4">
        <v>1415.5</v>
      </c>
      <c r="BR39" s="4">
        <v>1414</v>
      </c>
      <c r="BS39" s="4">
        <v>1408</v>
      </c>
      <c r="BT39" s="4">
        <v>1412</v>
      </c>
      <c r="BU39" s="4">
        <v>1432</v>
      </c>
      <c r="BV39" s="4">
        <v>1450</v>
      </c>
      <c r="BW39" s="4">
        <v>1460</v>
      </c>
      <c r="BX39" s="4">
        <v>1473.5</v>
      </c>
      <c r="BY39" s="4">
        <v>1465.5</v>
      </c>
      <c r="BZ39" s="4">
        <v>1468</v>
      </c>
    </row>
    <row r="40" spans="1:254" ht="15.9" customHeight="1">
      <c r="A40" s="61" t="s">
        <v>75</v>
      </c>
      <c r="B40" s="6" t="s">
        <v>76</v>
      </c>
      <c r="C40" s="15">
        <f>_xll.RssMarket("8604","現在値")</f>
        <v>1577</v>
      </c>
      <c r="D40" s="16">
        <f t="shared" si="1"/>
        <v>0</v>
      </c>
      <c r="E40" s="13">
        <v>1577</v>
      </c>
      <c r="F40" s="13">
        <v>1558.5</v>
      </c>
      <c r="G40" s="13">
        <v>1515</v>
      </c>
      <c r="H40" s="13">
        <v>1505.5</v>
      </c>
      <c r="I40" s="13">
        <v>1520</v>
      </c>
      <c r="J40" s="13">
        <v>1470</v>
      </c>
      <c r="K40" s="13">
        <v>1572.5</v>
      </c>
      <c r="L40" s="13">
        <v>1571</v>
      </c>
      <c r="M40" s="13">
        <v>1605.5</v>
      </c>
      <c r="N40" s="13">
        <v>1600</v>
      </c>
      <c r="O40" s="13">
        <v>1624.5</v>
      </c>
      <c r="P40" s="13">
        <v>1603</v>
      </c>
      <c r="Q40" s="13">
        <v>1586.5</v>
      </c>
      <c r="R40" s="13">
        <v>1520</v>
      </c>
      <c r="S40" s="13">
        <v>1626</v>
      </c>
      <c r="T40" s="13">
        <v>1553</v>
      </c>
      <c r="U40" s="13">
        <v>1542.5</v>
      </c>
      <c r="V40" s="13">
        <v>1543</v>
      </c>
      <c r="W40" s="13">
        <v>1526</v>
      </c>
      <c r="X40" s="13">
        <v>1543</v>
      </c>
      <c r="Y40" s="13">
        <v>1535</v>
      </c>
      <c r="Z40" s="13">
        <v>1490</v>
      </c>
      <c r="AA40" s="13">
        <v>1471.5</v>
      </c>
      <c r="AB40" s="13">
        <v>1458</v>
      </c>
      <c r="AC40" s="13">
        <v>1439.5</v>
      </c>
      <c r="AD40" s="13">
        <v>1413.5</v>
      </c>
      <c r="AE40" s="13">
        <v>1415</v>
      </c>
      <c r="AF40" s="13">
        <v>1423.5</v>
      </c>
      <c r="AG40" s="13">
        <v>1413.5</v>
      </c>
      <c r="AH40" s="13">
        <v>1407</v>
      </c>
      <c r="AI40" s="13">
        <v>1401</v>
      </c>
      <c r="AJ40" s="13">
        <v>1436.5</v>
      </c>
      <c r="AK40" s="13">
        <v>1408.5</v>
      </c>
      <c r="AL40" s="13">
        <v>1435</v>
      </c>
      <c r="AM40" s="13">
        <v>1451</v>
      </c>
      <c r="AN40" s="13">
        <v>1415</v>
      </c>
      <c r="AO40" s="13">
        <v>1414</v>
      </c>
      <c r="AP40" s="13">
        <v>1364.5</v>
      </c>
      <c r="AQ40" s="13">
        <v>1352.5</v>
      </c>
      <c r="AR40" s="13">
        <v>1387</v>
      </c>
      <c r="AS40" s="13">
        <v>1359.5</v>
      </c>
      <c r="AT40" s="13">
        <v>1361</v>
      </c>
      <c r="AU40" s="13">
        <v>1349.5</v>
      </c>
      <c r="AV40" s="13">
        <v>1350.5</v>
      </c>
      <c r="AW40" s="13">
        <v>1324</v>
      </c>
      <c r="AX40" s="13">
        <v>1285</v>
      </c>
      <c r="AY40" s="13">
        <v>1250.5</v>
      </c>
      <c r="AZ40" s="13">
        <v>1260</v>
      </c>
      <c r="BA40" s="13">
        <v>1273</v>
      </c>
      <c r="BB40" s="13">
        <v>1287</v>
      </c>
      <c r="BC40" s="13">
        <v>1290.5</v>
      </c>
      <c r="BD40" s="13">
        <v>1250.5</v>
      </c>
      <c r="BE40" s="13">
        <v>1276</v>
      </c>
      <c r="BF40" s="13">
        <v>1248</v>
      </c>
      <c r="BG40" s="13">
        <v>1273</v>
      </c>
      <c r="BH40" s="13">
        <v>1265</v>
      </c>
      <c r="BI40" s="13">
        <v>1273.5</v>
      </c>
      <c r="BJ40" s="13">
        <v>1235</v>
      </c>
      <c r="BK40" s="13">
        <v>1228.5</v>
      </c>
      <c r="BL40" s="13">
        <v>1228.5</v>
      </c>
      <c r="BM40" s="4">
        <v>1250.5</v>
      </c>
      <c r="BN40" s="4">
        <v>1220</v>
      </c>
      <c r="BO40" s="4">
        <v>1256.5</v>
      </c>
      <c r="BP40" s="4">
        <v>1274</v>
      </c>
      <c r="BQ40" s="4">
        <v>1230.5</v>
      </c>
      <c r="BR40" s="4">
        <v>1312</v>
      </c>
      <c r="BS40" s="4">
        <v>1332.5</v>
      </c>
      <c r="BT40" s="4">
        <v>1331.5</v>
      </c>
      <c r="BU40" s="4">
        <v>1334.5</v>
      </c>
      <c r="BV40" s="4">
        <v>1341</v>
      </c>
      <c r="BW40" s="4">
        <v>1334</v>
      </c>
      <c r="BX40" s="4">
        <v>1387.5</v>
      </c>
      <c r="BY40" s="4">
        <v>1363</v>
      </c>
      <c r="BZ40" s="4">
        <v>1318</v>
      </c>
    </row>
    <row r="41" spans="1:254" ht="15.9" customHeight="1">
      <c r="A41" s="61" t="s">
        <v>77</v>
      </c>
      <c r="B41" s="6" t="s">
        <v>78</v>
      </c>
      <c r="C41" s="15">
        <f>_xll.RssMarket("3861","現在値")</f>
        <v>873.8</v>
      </c>
      <c r="D41" s="16">
        <f t="shared" si="1"/>
        <v>0</v>
      </c>
      <c r="E41" s="13">
        <v>873.8</v>
      </c>
      <c r="F41" s="13">
        <v>852.3</v>
      </c>
      <c r="G41" s="13">
        <v>872.6</v>
      </c>
      <c r="H41" s="13">
        <v>876.3</v>
      </c>
      <c r="I41" s="13">
        <v>879.8</v>
      </c>
      <c r="J41" s="13">
        <v>892.7</v>
      </c>
      <c r="K41" s="13">
        <v>896.5</v>
      </c>
      <c r="L41" s="13">
        <v>883</v>
      </c>
      <c r="M41" s="13">
        <v>882.4</v>
      </c>
      <c r="N41" s="13">
        <v>860.9</v>
      </c>
      <c r="O41" s="13">
        <v>869.2</v>
      </c>
      <c r="P41" s="13">
        <v>857.9</v>
      </c>
      <c r="Q41" s="13">
        <v>853.8</v>
      </c>
      <c r="R41" s="13">
        <v>837.3</v>
      </c>
      <c r="S41" s="13">
        <v>827.5</v>
      </c>
      <c r="T41" s="13">
        <v>825</v>
      </c>
      <c r="U41" s="13">
        <v>815.3</v>
      </c>
      <c r="V41" s="13">
        <v>816.1</v>
      </c>
      <c r="W41" s="13">
        <v>824.8</v>
      </c>
      <c r="X41" s="13">
        <v>829.8</v>
      </c>
      <c r="Y41" s="13">
        <v>831</v>
      </c>
      <c r="Z41" s="13">
        <v>829.7</v>
      </c>
      <c r="AA41" s="13">
        <v>814.2</v>
      </c>
      <c r="AB41" s="13">
        <v>812.3</v>
      </c>
      <c r="AC41" s="13">
        <v>794.6</v>
      </c>
      <c r="AD41" s="13">
        <v>795.4</v>
      </c>
      <c r="AE41" s="13">
        <v>805.3</v>
      </c>
      <c r="AF41" s="13">
        <v>789.4</v>
      </c>
      <c r="AG41" s="13">
        <v>781.5</v>
      </c>
      <c r="AH41" s="13">
        <v>775.2</v>
      </c>
      <c r="AI41" s="13">
        <v>785.5</v>
      </c>
      <c r="AJ41" s="13">
        <v>799.8</v>
      </c>
      <c r="AK41" s="13">
        <v>804.7</v>
      </c>
      <c r="AL41" s="13">
        <v>800.3</v>
      </c>
      <c r="AM41" s="13">
        <v>799.6</v>
      </c>
      <c r="AN41" s="13">
        <v>793.9</v>
      </c>
      <c r="AO41" s="13">
        <v>797.3</v>
      </c>
      <c r="AP41" s="13">
        <v>791</v>
      </c>
      <c r="AQ41" s="13">
        <v>783</v>
      </c>
      <c r="AR41" s="13">
        <v>785.2</v>
      </c>
      <c r="AS41" s="13">
        <v>780.6</v>
      </c>
      <c r="AT41" s="13">
        <v>778.9</v>
      </c>
      <c r="AU41" s="13">
        <v>774</v>
      </c>
      <c r="AV41" s="13">
        <v>782.6</v>
      </c>
      <c r="AW41" s="13">
        <v>767.9</v>
      </c>
      <c r="AX41" s="13">
        <v>782.2</v>
      </c>
      <c r="AY41" s="13">
        <v>790.5</v>
      </c>
      <c r="AZ41" s="13">
        <v>780.3</v>
      </c>
      <c r="BA41" s="13">
        <v>775.8</v>
      </c>
      <c r="BB41" s="13">
        <v>777.1</v>
      </c>
      <c r="BC41" s="13">
        <v>793.2</v>
      </c>
      <c r="BD41" s="13">
        <v>806.6</v>
      </c>
      <c r="BE41" s="13">
        <v>815.1</v>
      </c>
      <c r="BF41" s="13">
        <v>810</v>
      </c>
      <c r="BG41" s="13">
        <v>857</v>
      </c>
      <c r="BH41" s="13">
        <v>841.8</v>
      </c>
      <c r="BI41" s="13">
        <v>835.8</v>
      </c>
      <c r="BJ41" s="13">
        <v>830</v>
      </c>
      <c r="BK41" s="13">
        <v>822</v>
      </c>
      <c r="BL41" s="13">
        <v>829.2</v>
      </c>
      <c r="BM41" s="4">
        <v>833.6</v>
      </c>
      <c r="BN41" s="4">
        <v>824.7</v>
      </c>
      <c r="BO41" s="4">
        <v>822.5</v>
      </c>
      <c r="BP41" s="4">
        <v>825.8</v>
      </c>
      <c r="BQ41" s="4">
        <v>815.2</v>
      </c>
      <c r="BR41" s="4">
        <v>822.2</v>
      </c>
      <c r="BS41" s="4">
        <v>820.4</v>
      </c>
      <c r="BT41" s="4">
        <v>833.6</v>
      </c>
      <c r="BU41" s="4">
        <v>837.1</v>
      </c>
      <c r="BV41" s="4">
        <v>841.4</v>
      </c>
      <c r="BW41" s="4">
        <v>842.1</v>
      </c>
      <c r="BX41" s="4">
        <v>850.6</v>
      </c>
      <c r="BY41" s="4">
        <v>849.7</v>
      </c>
      <c r="BZ41" s="4">
        <v>852.1</v>
      </c>
    </row>
    <row r="42" spans="1:254" ht="15.9" customHeight="1">
      <c r="A42" s="61" t="s">
        <v>79</v>
      </c>
      <c r="B42" s="6" t="s">
        <v>80</v>
      </c>
      <c r="C42" s="15">
        <f>_xll.RssMarket("5947","現在値")</f>
        <v>3596</v>
      </c>
      <c r="D42" s="16">
        <f t="shared" si="1"/>
        <v>0</v>
      </c>
      <c r="E42" s="13">
        <v>3596</v>
      </c>
      <c r="F42" s="13">
        <v>3500</v>
      </c>
      <c r="G42" s="13">
        <v>3486</v>
      </c>
      <c r="H42" s="13">
        <v>3544</v>
      </c>
      <c r="I42" s="13">
        <v>3580</v>
      </c>
      <c r="J42" s="13">
        <v>3747</v>
      </c>
      <c r="K42" s="13">
        <v>3781</v>
      </c>
      <c r="L42" s="13">
        <v>3685</v>
      </c>
      <c r="M42" s="13">
        <v>3656</v>
      </c>
      <c r="N42" s="13">
        <v>3557</v>
      </c>
      <c r="O42" s="13">
        <v>3578</v>
      </c>
      <c r="P42" s="13">
        <v>3587</v>
      </c>
      <c r="Q42" s="13">
        <v>3623</v>
      </c>
      <c r="R42" s="13">
        <v>3628</v>
      </c>
      <c r="S42" s="13">
        <v>3592</v>
      </c>
      <c r="T42" s="13">
        <v>3615</v>
      </c>
      <c r="U42" s="13">
        <v>3563</v>
      </c>
      <c r="V42" s="13">
        <v>3561</v>
      </c>
      <c r="W42" s="13">
        <v>3582</v>
      </c>
      <c r="X42" s="13">
        <v>3621</v>
      </c>
      <c r="Y42" s="13">
        <v>3665</v>
      </c>
      <c r="Z42" s="13">
        <v>3622</v>
      </c>
      <c r="AA42" s="13">
        <v>3598</v>
      </c>
      <c r="AB42" s="13">
        <v>3570</v>
      </c>
      <c r="AC42" s="13">
        <v>3565</v>
      </c>
      <c r="AD42" s="13">
        <v>3559</v>
      </c>
      <c r="AE42" s="13">
        <v>3600</v>
      </c>
      <c r="AF42" s="13">
        <v>3588</v>
      </c>
      <c r="AG42" s="13">
        <v>3543</v>
      </c>
      <c r="AH42" s="13">
        <v>3516</v>
      </c>
      <c r="AI42" s="13">
        <v>3477</v>
      </c>
      <c r="AJ42" s="13">
        <v>3485</v>
      </c>
      <c r="AK42" s="13">
        <v>3438</v>
      </c>
      <c r="AL42" s="13">
        <v>3433</v>
      </c>
      <c r="AM42" s="13">
        <v>3465</v>
      </c>
      <c r="AN42" s="13">
        <v>3421</v>
      </c>
      <c r="AO42" s="13">
        <v>3479</v>
      </c>
      <c r="AP42" s="13">
        <v>3483</v>
      </c>
      <c r="AQ42" s="13">
        <v>3536</v>
      </c>
      <c r="AR42" s="13">
        <v>3536</v>
      </c>
      <c r="AS42" s="13">
        <v>3504</v>
      </c>
      <c r="AT42" s="13">
        <v>3500</v>
      </c>
      <c r="AU42" s="13">
        <v>3420</v>
      </c>
      <c r="AV42" s="13">
        <v>3392</v>
      </c>
      <c r="AW42" s="13">
        <v>3342</v>
      </c>
      <c r="AX42" s="13">
        <v>3393</v>
      </c>
      <c r="AY42" s="13">
        <v>3426</v>
      </c>
      <c r="AZ42" s="13">
        <v>3452</v>
      </c>
      <c r="BA42" s="13">
        <v>3434</v>
      </c>
      <c r="BB42" s="13">
        <v>3506</v>
      </c>
      <c r="BC42" s="13">
        <v>3537</v>
      </c>
      <c r="BD42" s="13">
        <v>3550</v>
      </c>
      <c r="BE42" s="13">
        <v>3556</v>
      </c>
      <c r="BF42" s="13">
        <v>3467</v>
      </c>
      <c r="BG42" s="13">
        <v>3462</v>
      </c>
      <c r="BH42" s="13">
        <v>3377</v>
      </c>
      <c r="BI42" s="13">
        <v>3346</v>
      </c>
      <c r="BJ42" s="13">
        <v>3431</v>
      </c>
      <c r="BK42" s="13">
        <v>3579</v>
      </c>
      <c r="BL42" s="13">
        <v>3603</v>
      </c>
      <c r="BM42" s="4">
        <v>3690</v>
      </c>
      <c r="BN42" s="4">
        <v>3588</v>
      </c>
      <c r="BO42" s="4">
        <v>3562</v>
      </c>
      <c r="BP42" s="4">
        <v>3606</v>
      </c>
      <c r="BQ42" s="4">
        <v>3549</v>
      </c>
      <c r="BR42" s="4">
        <v>3513</v>
      </c>
      <c r="BS42" s="4">
        <v>3511</v>
      </c>
      <c r="BT42" s="4">
        <v>3511</v>
      </c>
      <c r="BU42" s="4">
        <v>3492</v>
      </c>
      <c r="BV42" s="4">
        <v>3537</v>
      </c>
      <c r="BW42" s="4">
        <v>3541</v>
      </c>
      <c r="BX42" s="4">
        <v>3523</v>
      </c>
      <c r="BY42" s="4">
        <v>3594</v>
      </c>
      <c r="BZ42" s="4">
        <v>3557</v>
      </c>
    </row>
    <row r="43" spans="1:254" ht="15.9" customHeight="1">
      <c r="A43" s="61" t="s">
        <v>81</v>
      </c>
      <c r="B43" s="6" t="s">
        <v>82</v>
      </c>
      <c r="C43" s="15">
        <f>_xll.RssMarket("8750","現在値")</f>
        <v>1921</v>
      </c>
      <c r="D43" s="16">
        <f t="shared" si="1"/>
        <v>0</v>
      </c>
      <c r="E43" s="13">
        <v>1921</v>
      </c>
      <c r="F43" s="13">
        <v>1913.5</v>
      </c>
      <c r="G43" s="13">
        <v>1881</v>
      </c>
      <c r="H43" s="13">
        <v>1888.5</v>
      </c>
      <c r="I43" s="13">
        <v>1918.5</v>
      </c>
      <c r="J43" s="13">
        <v>1898</v>
      </c>
      <c r="K43" s="13">
        <v>1936</v>
      </c>
      <c r="L43" s="13">
        <v>1902.5</v>
      </c>
      <c r="M43" s="13">
        <v>1959</v>
      </c>
      <c r="N43" s="13"/>
      <c r="O43" s="13">
        <v>1905.5</v>
      </c>
      <c r="P43" s="13">
        <v>1897</v>
      </c>
      <c r="Q43" s="13">
        <v>1877.5</v>
      </c>
      <c r="R43" s="13">
        <v>1799</v>
      </c>
      <c r="S43" s="13">
        <v>1884</v>
      </c>
      <c r="T43" s="13">
        <v>1856</v>
      </c>
      <c r="U43" s="13">
        <v>1828</v>
      </c>
      <c r="V43" s="13">
        <v>1861</v>
      </c>
      <c r="W43" s="13">
        <v>1877</v>
      </c>
      <c r="X43" s="13">
        <v>1864</v>
      </c>
      <c r="Y43" s="13">
        <v>1859.5</v>
      </c>
      <c r="Z43" s="13">
        <v>1875.5</v>
      </c>
      <c r="AA43" s="13">
        <v>1843</v>
      </c>
      <c r="AB43" s="13">
        <v>1824.5</v>
      </c>
      <c r="AC43" s="13">
        <v>1791</v>
      </c>
      <c r="AD43" s="13">
        <v>1778.5</v>
      </c>
      <c r="AE43" s="13">
        <v>1739</v>
      </c>
      <c r="AF43" s="13">
        <v>1726.5</v>
      </c>
      <c r="AG43" s="13">
        <v>1705.5</v>
      </c>
      <c r="AH43" s="13">
        <v>1728</v>
      </c>
      <c r="AI43" s="13">
        <v>1812</v>
      </c>
      <c r="AJ43" s="13">
        <v>1834.5</v>
      </c>
      <c r="AK43" s="13">
        <v>1814.5</v>
      </c>
      <c r="AL43" s="13">
        <v>1820.5</v>
      </c>
      <c r="AM43" s="13">
        <v>1793</v>
      </c>
      <c r="AN43" s="13">
        <v>1789.5</v>
      </c>
      <c r="AO43" s="13">
        <v>1776</v>
      </c>
      <c r="AP43" s="13">
        <v>1753.5</v>
      </c>
      <c r="AQ43" s="13">
        <v>1730.5</v>
      </c>
      <c r="AR43" s="13">
        <v>1732</v>
      </c>
      <c r="AS43" s="13">
        <v>1667.5</v>
      </c>
      <c r="AT43" s="13">
        <v>1662.5</v>
      </c>
      <c r="AU43" s="13">
        <v>1647.5</v>
      </c>
      <c r="AV43" s="13">
        <v>1650</v>
      </c>
      <c r="AW43" s="13">
        <v>1622</v>
      </c>
      <c r="AX43" s="13">
        <v>1636</v>
      </c>
      <c r="AY43" s="13">
        <v>1627.5</v>
      </c>
      <c r="AZ43" s="13">
        <v>1664</v>
      </c>
      <c r="BA43" s="13">
        <v>1666</v>
      </c>
      <c r="BB43" s="13">
        <v>1650.5</v>
      </c>
      <c r="BC43" s="13">
        <v>1669</v>
      </c>
      <c r="BD43" s="13">
        <v>1656</v>
      </c>
      <c r="BE43" s="13">
        <v>1654</v>
      </c>
      <c r="BF43" s="13">
        <v>1615</v>
      </c>
      <c r="BG43" s="13">
        <v>1618</v>
      </c>
      <c r="BH43" s="13">
        <v>1500</v>
      </c>
      <c r="BI43" s="13">
        <v>1502</v>
      </c>
      <c r="BJ43" s="13">
        <v>1479</v>
      </c>
      <c r="BK43" s="13">
        <v>1466.5</v>
      </c>
      <c r="BL43" s="13">
        <v>1438.5</v>
      </c>
      <c r="BM43" s="4">
        <v>1464</v>
      </c>
      <c r="BN43" s="4">
        <v>1423</v>
      </c>
      <c r="BO43" s="4">
        <v>1440</v>
      </c>
      <c r="BP43" s="4">
        <v>1444</v>
      </c>
      <c r="BQ43" s="4">
        <v>1398.5</v>
      </c>
      <c r="BR43" s="4">
        <v>1410.5</v>
      </c>
      <c r="BS43" s="4">
        <v>1415.5</v>
      </c>
      <c r="BT43" s="4">
        <v>1437</v>
      </c>
      <c r="BU43" s="4">
        <v>1444.5</v>
      </c>
      <c r="BV43" s="4">
        <v>1459</v>
      </c>
      <c r="BW43" s="4">
        <v>1459.5</v>
      </c>
      <c r="BX43" s="4">
        <v>1503</v>
      </c>
      <c r="BY43" s="4">
        <v>1481</v>
      </c>
      <c r="BZ43" s="4">
        <v>1483.5</v>
      </c>
    </row>
    <row r="44" spans="1:254" ht="15.9" customHeight="1">
      <c r="A44" s="61" t="s">
        <v>83</v>
      </c>
      <c r="B44" s="6" t="s">
        <v>84</v>
      </c>
      <c r="C44" s="15">
        <f>_xll.RssMarket("3402","現在値")</f>
        <v>1299.5</v>
      </c>
      <c r="D44" s="16">
        <f t="shared" si="1"/>
        <v>0</v>
      </c>
      <c r="E44" s="13">
        <v>1299.5</v>
      </c>
      <c r="F44" s="13">
        <v>1188.5</v>
      </c>
      <c r="G44" s="13">
        <v>1146.5</v>
      </c>
      <c r="H44" s="13">
        <v>1129.5</v>
      </c>
      <c r="I44" s="13">
        <v>1158</v>
      </c>
      <c r="J44" s="13">
        <v>1155.5</v>
      </c>
      <c r="K44" s="13">
        <v>1163</v>
      </c>
      <c r="L44" s="13">
        <v>1150</v>
      </c>
      <c r="M44" s="13">
        <v>1178.5</v>
      </c>
      <c r="N44" s="13">
        <v>1154</v>
      </c>
      <c r="O44" s="13">
        <v>1179.5</v>
      </c>
      <c r="P44" s="13">
        <v>1169.5</v>
      </c>
      <c r="Q44" s="13">
        <v>1165</v>
      </c>
      <c r="R44" s="13">
        <v>1148.5</v>
      </c>
      <c r="S44" s="13">
        <v>1172</v>
      </c>
      <c r="T44" s="13">
        <v>1154.5</v>
      </c>
      <c r="U44" s="13">
        <v>1138</v>
      </c>
      <c r="V44" s="13">
        <v>1142.5</v>
      </c>
      <c r="W44" s="13">
        <v>1146</v>
      </c>
      <c r="X44" s="13">
        <v>1166</v>
      </c>
      <c r="Y44" s="13">
        <v>1170.5</v>
      </c>
      <c r="Z44" s="13">
        <v>1175</v>
      </c>
      <c r="AA44" s="13">
        <v>1173.5</v>
      </c>
      <c r="AB44" s="13">
        <v>1133</v>
      </c>
      <c r="AC44" s="13">
        <v>1125</v>
      </c>
      <c r="AD44" s="13">
        <v>1127.5</v>
      </c>
      <c r="AE44" s="13">
        <v>1138.5</v>
      </c>
      <c r="AF44" s="13">
        <v>1138.5</v>
      </c>
      <c r="AG44" s="13">
        <v>1158</v>
      </c>
      <c r="AH44" s="13">
        <v>1147</v>
      </c>
      <c r="AI44" s="13">
        <v>1141</v>
      </c>
      <c r="AJ44" s="13">
        <v>1171.5</v>
      </c>
      <c r="AK44" s="13">
        <v>1159</v>
      </c>
      <c r="AL44" s="13">
        <v>1192.5</v>
      </c>
      <c r="AM44" s="13">
        <v>1190</v>
      </c>
      <c r="AN44" s="13">
        <v>1177</v>
      </c>
      <c r="AO44" s="13">
        <v>1197.5</v>
      </c>
      <c r="AP44" s="13">
        <v>1145</v>
      </c>
      <c r="AQ44" s="13">
        <v>1118.5</v>
      </c>
      <c r="AR44" s="13">
        <v>1113</v>
      </c>
      <c r="AS44" s="13">
        <v>1094.5</v>
      </c>
      <c r="AT44" s="13">
        <v>1121.5</v>
      </c>
      <c r="AU44" s="13">
        <v>1105.5</v>
      </c>
      <c r="AV44" s="13">
        <v>1152</v>
      </c>
      <c r="AW44" s="13">
        <v>1121.5</v>
      </c>
      <c r="AX44" s="13">
        <v>1192</v>
      </c>
      <c r="AY44" s="13">
        <v>1133</v>
      </c>
      <c r="AZ44" s="13">
        <v>1143.5</v>
      </c>
      <c r="BA44" s="13">
        <v>1135.5</v>
      </c>
      <c r="BB44" s="13">
        <v>1085.5</v>
      </c>
      <c r="BC44" s="13">
        <v>1085.5</v>
      </c>
      <c r="BD44" s="13">
        <v>1076.5</v>
      </c>
      <c r="BE44" s="13">
        <v>1082</v>
      </c>
      <c r="BF44" s="13">
        <v>1076.5</v>
      </c>
      <c r="BG44" s="13">
        <v>1150</v>
      </c>
      <c r="BH44" s="13">
        <v>1163.5</v>
      </c>
      <c r="BI44" s="13">
        <v>1167.5</v>
      </c>
      <c r="BJ44" s="13">
        <v>1145.5</v>
      </c>
      <c r="BK44" s="13">
        <v>1133</v>
      </c>
      <c r="BL44" s="13">
        <v>1129</v>
      </c>
      <c r="BM44" s="4">
        <v>1138</v>
      </c>
      <c r="BN44" s="4">
        <v>1106</v>
      </c>
      <c r="BO44" s="4">
        <v>1121</v>
      </c>
      <c r="BP44" s="4">
        <v>1140.5</v>
      </c>
      <c r="BQ44" s="4">
        <v>1119.5</v>
      </c>
      <c r="BR44" s="4">
        <v>1110.5</v>
      </c>
      <c r="BS44" s="4">
        <v>1112.5</v>
      </c>
      <c r="BT44" s="4">
        <v>1126</v>
      </c>
      <c r="BU44" s="4">
        <v>1145</v>
      </c>
      <c r="BV44" s="4">
        <v>1147</v>
      </c>
      <c r="BW44" s="4">
        <v>1156.5</v>
      </c>
      <c r="BX44" s="4">
        <v>1171.5</v>
      </c>
      <c r="BY44" s="4">
        <v>1144</v>
      </c>
      <c r="BZ44" s="4">
        <v>1151.5</v>
      </c>
    </row>
    <row r="45" spans="1:254" ht="15.9" customHeight="1">
      <c r="A45" s="61" t="s">
        <v>85</v>
      </c>
      <c r="B45" s="6" t="s">
        <v>86</v>
      </c>
      <c r="C45" s="15">
        <f>_xll.RssMarket("8306","現在値")</f>
        <v>3574</v>
      </c>
      <c r="D45" s="16">
        <f t="shared" si="1"/>
        <v>0</v>
      </c>
      <c r="E45" s="13">
        <v>3574</v>
      </c>
      <c r="F45" s="13">
        <v>3541</v>
      </c>
      <c r="G45" s="13">
        <v>3470</v>
      </c>
      <c r="H45" s="13">
        <v>3567</v>
      </c>
      <c r="I45" s="13">
        <v>3571</v>
      </c>
      <c r="J45" s="13">
        <v>3525</v>
      </c>
      <c r="K45" s="13">
        <v>3647</v>
      </c>
      <c r="L45" s="13">
        <v>3661</v>
      </c>
      <c r="M45" s="13">
        <v>3799</v>
      </c>
      <c r="N45" s="13">
        <v>3754</v>
      </c>
      <c r="O45" s="13">
        <v>3750</v>
      </c>
      <c r="P45" s="13">
        <v>3668</v>
      </c>
      <c r="Q45" s="13">
        <v>3580</v>
      </c>
      <c r="R45" s="13">
        <v>3473</v>
      </c>
      <c r="S45" s="13">
        <v>3697</v>
      </c>
      <c r="T45" s="13">
        <v>3600</v>
      </c>
      <c r="U45" s="13">
        <v>3541</v>
      </c>
      <c r="V45" s="13">
        <v>3461</v>
      </c>
      <c r="W45" s="13">
        <v>3414</v>
      </c>
      <c r="X45" s="13">
        <v>3433</v>
      </c>
      <c r="Y45" s="13">
        <v>3446</v>
      </c>
      <c r="Z45" s="13">
        <v>3370</v>
      </c>
      <c r="AA45" s="13">
        <v>3326</v>
      </c>
      <c r="AB45" s="13">
        <v>3306</v>
      </c>
      <c r="AC45" s="13">
        <v>3247</v>
      </c>
      <c r="AD45" s="13">
        <v>3207</v>
      </c>
      <c r="AE45" s="13">
        <v>3211</v>
      </c>
      <c r="AF45" s="13">
        <v>3245</v>
      </c>
      <c r="AG45" s="13">
        <v>3233</v>
      </c>
      <c r="AH45" s="13">
        <v>3205</v>
      </c>
      <c r="AI45" s="13">
        <v>3267</v>
      </c>
      <c r="AJ45" s="13">
        <v>3333</v>
      </c>
      <c r="AK45" s="13">
        <v>3278</v>
      </c>
      <c r="AL45" s="13">
        <v>3374</v>
      </c>
      <c r="AM45" s="13">
        <v>3272</v>
      </c>
      <c r="AN45" s="13">
        <v>3228</v>
      </c>
      <c r="AO45" s="13">
        <v>3242</v>
      </c>
      <c r="AP45" s="13">
        <v>3162</v>
      </c>
      <c r="AQ45" s="13">
        <v>3141</v>
      </c>
      <c r="AR45" s="13">
        <v>3183</v>
      </c>
      <c r="AS45" s="13">
        <v>3168</v>
      </c>
      <c r="AT45" s="13">
        <v>3219</v>
      </c>
      <c r="AU45" s="13">
        <v>3169</v>
      </c>
      <c r="AV45" s="13">
        <v>3137</v>
      </c>
      <c r="AW45" s="13">
        <v>3046</v>
      </c>
      <c r="AX45" s="13">
        <v>2999</v>
      </c>
      <c r="AY45" s="13">
        <v>2982</v>
      </c>
      <c r="AZ45" s="13">
        <v>3031</v>
      </c>
      <c r="BA45" s="13">
        <v>3066</v>
      </c>
      <c r="BB45" s="13">
        <v>3091</v>
      </c>
      <c r="BC45" s="13">
        <v>3067</v>
      </c>
      <c r="BD45" s="13">
        <v>3030</v>
      </c>
      <c r="BE45" s="13">
        <v>3108</v>
      </c>
      <c r="BF45" s="13">
        <v>2995</v>
      </c>
      <c r="BG45" s="13">
        <v>2929</v>
      </c>
      <c r="BH45" s="13">
        <v>2877</v>
      </c>
      <c r="BI45" s="13">
        <v>2926.5</v>
      </c>
      <c r="BJ45" s="13">
        <v>2886</v>
      </c>
      <c r="BK45" s="13">
        <v>2856.5</v>
      </c>
      <c r="BL45" s="13">
        <v>2806.5</v>
      </c>
      <c r="BM45" s="4">
        <v>2863</v>
      </c>
      <c r="BN45" s="4">
        <v>2798</v>
      </c>
      <c r="BO45" s="4">
        <v>2817</v>
      </c>
      <c r="BP45" s="4">
        <v>2875</v>
      </c>
      <c r="BQ45" s="4">
        <v>2788</v>
      </c>
      <c r="BR45" s="4">
        <v>2755.5</v>
      </c>
      <c r="BS45" s="4">
        <v>2752</v>
      </c>
      <c r="BT45" s="4">
        <v>2794</v>
      </c>
      <c r="BU45" s="4">
        <v>2830.5</v>
      </c>
      <c r="BV45" s="4">
        <v>2870.5</v>
      </c>
      <c r="BW45" s="4">
        <v>2870</v>
      </c>
      <c r="BX45" s="4">
        <v>2946.5</v>
      </c>
      <c r="BY45" s="4">
        <v>2913.5</v>
      </c>
      <c r="BZ45" s="4">
        <v>2850</v>
      </c>
    </row>
    <row r="46" spans="1:254" ht="15.9" customHeight="1">
      <c r="A46" s="61" t="s">
        <v>87</v>
      </c>
      <c r="B46" s="6" t="s">
        <v>88</v>
      </c>
      <c r="C46" s="15">
        <f>_xll.RssMarket("5401","現在値")</f>
        <v>683.5</v>
      </c>
      <c r="D46" s="16">
        <f t="shared" si="1"/>
        <v>0</v>
      </c>
      <c r="E46" s="13">
        <v>683.5</v>
      </c>
      <c r="F46" s="13">
        <v>672</v>
      </c>
      <c r="G46" s="13">
        <v>646</v>
      </c>
      <c r="H46" s="13">
        <v>647</v>
      </c>
      <c r="I46" s="13">
        <v>649.6</v>
      </c>
      <c r="J46" s="13">
        <v>660</v>
      </c>
      <c r="K46" s="13">
        <v>672.8</v>
      </c>
      <c r="L46" s="13">
        <v>654</v>
      </c>
      <c r="M46" s="13">
        <v>636.9</v>
      </c>
      <c r="N46" s="13"/>
      <c r="O46" s="13">
        <v>607.79999999999995</v>
      </c>
      <c r="P46" s="13">
        <v>599</v>
      </c>
      <c r="Q46" s="13">
        <v>598.6</v>
      </c>
      <c r="R46" s="13">
        <v>585.6</v>
      </c>
      <c r="S46" s="13">
        <v>574.29999999999995</v>
      </c>
      <c r="T46" s="13">
        <v>567.6</v>
      </c>
      <c r="U46" s="13">
        <v>560</v>
      </c>
      <c r="V46" s="13">
        <v>550.20000000000005</v>
      </c>
      <c r="W46" s="13">
        <v>556</v>
      </c>
      <c r="X46" s="13">
        <v>556</v>
      </c>
      <c r="Y46" s="13">
        <v>560.29999999999995</v>
      </c>
      <c r="Z46" s="13">
        <v>559</v>
      </c>
      <c r="AA46" s="13">
        <v>548.20000000000005</v>
      </c>
      <c r="AB46" s="13">
        <v>542</v>
      </c>
      <c r="AC46" s="13">
        <v>531</v>
      </c>
      <c r="AD46" s="13">
        <v>536.1</v>
      </c>
      <c r="AE46" s="13">
        <v>546.1</v>
      </c>
      <c r="AF46" s="13">
        <v>543.29999999999995</v>
      </c>
      <c r="AG46" s="13">
        <v>547</v>
      </c>
      <c r="AH46" s="13">
        <v>547.20000000000005</v>
      </c>
      <c r="AI46" s="13">
        <v>551</v>
      </c>
      <c r="AJ46" s="13">
        <v>562.29999999999995</v>
      </c>
      <c r="AK46" s="13">
        <v>559.79999999999995</v>
      </c>
      <c r="AL46" s="13">
        <v>565.4</v>
      </c>
      <c r="AM46" s="13">
        <v>557.5</v>
      </c>
      <c r="AN46" s="13">
        <v>566</v>
      </c>
      <c r="AO46" s="13">
        <v>574.20000000000005</v>
      </c>
      <c r="AP46" s="13">
        <v>551.6</v>
      </c>
      <c r="AQ46" s="13">
        <v>535</v>
      </c>
      <c r="AR46" s="13">
        <v>542.29999999999995</v>
      </c>
      <c r="AS46" s="13">
        <v>538.79999999999995</v>
      </c>
      <c r="AT46" s="13">
        <v>547</v>
      </c>
      <c r="AU46" s="13">
        <v>540.5</v>
      </c>
      <c r="AV46" s="13">
        <v>546.70000000000005</v>
      </c>
      <c r="AW46" s="13">
        <v>536.6</v>
      </c>
      <c r="AX46" s="13">
        <v>566.6</v>
      </c>
      <c r="AY46" s="13">
        <v>563.6</v>
      </c>
      <c r="AZ46" s="13">
        <v>563.20000000000005</v>
      </c>
      <c r="BA46" s="13">
        <v>556.20000000000005</v>
      </c>
      <c r="BB46" s="13">
        <v>553.5</v>
      </c>
      <c r="BC46" s="13">
        <v>546</v>
      </c>
      <c r="BD46" s="13">
        <v>540.70000000000005</v>
      </c>
      <c r="BE46" s="13">
        <v>550</v>
      </c>
      <c r="BF46" s="13">
        <v>549</v>
      </c>
      <c r="BG46" s="13">
        <v>559.9</v>
      </c>
      <c r="BH46" s="13">
        <v>556.20000000000005</v>
      </c>
      <c r="BI46" s="13">
        <v>559.4</v>
      </c>
      <c r="BJ46" s="13">
        <v>559.4</v>
      </c>
      <c r="BK46" s="13">
        <v>561.1</v>
      </c>
      <c r="BL46" s="13">
        <v>570.9</v>
      </c>
      <c r="BM46" s="4">
        <v>582.70000000000005</v>
      </c>
      <c r="BN46" s="4">
        <v>571.9</v>
      </c>
      <c r="BO46" s="4">
        <v>572.29999999999995</v>
      </c>
      <c r="BP46" s="4">
        <v>577.79999999999995</v>
      </c>
      <c r="BQ46" s="4">
        <v>569</v>
      </c>
      <c r="BR46" s="4">
        <v>573.1</v>
      </c>
      <c r="BS46" s="4">
        <v>580.1</v>
      </c>
      <c r="BT46" s="4">
        <v>587.6</v>
      </c>
      <c r="BU46" s="4">
        <v>593.20000000000005</v>
      </c>
      <c r="BV46" s="4">
        <v>599.79999999999995</v>
      </c>
      <c r="BW46" s="4">
        <v>595</v>
      </c>
      <c r="BX46" s="4">
        <v>598</v>
      </c>
      <c r="BY46" s="4">
        <v>598</v>
      </c>
      <c r="BZ46" s="4">
        <v>595</v>
      </c>
    </row>
    <row r="47" spans="1:254" ht="15.9" customHeight="1">
      <c r="A47" s="61" t="s">
        <v>89</v>
      </c>
      <c r="B47" s="6" t="s">
        <v>90</v>
      </c>
      <c r="C47" s="15">
        <f>_xll.RssMarket("8572","現在値")</f>
        <v>480.6</v>
      </c>
      <c r="D47" s="16">
        <f t="shared" si="1"/>
        <v>0</v>
      </c>
      <c r="E47" s="13">
        <v>480.6</v>
      </c>
      <c r="F47" s="13">
        <v>474.5</v>
      </c>
      <c r="G47" s="13">
        <v>469.8</v>
      </c>
      <c r="H47" s="13">
        <v>475.4</v>
      </c>
      <c r="I47" s="13">
        <v>476.7</v>
      </c>
      <c r="J47" s="13">
        <v>489.6</v>
      </c>
      <c r="K47" s="13">
        <v>494</v>
      </c>
      <c r="L47" s="13">
        <v>488.6</v>
      </c>
      <c r="M47" s="13">
        <v>493.6</v>
      </c>
      <c r="N47" s="13">
        <v>485.3</v>
      </c>
      <c r="O47" s="13">
        <v>489.4</v>
      </c>
      <c r="P47" s="13">
        <v>492.1</v>
      </c>
      <c r="Q47" s="13">
        <v>489.5</v>
      </c>
      <c r="R47" s="13">
        <v>484.1</v>
      </c>
      <c r="S47" s="13">
        <v>488.5</v>
      </c>
      <c r="T47" s="13">
        <v>484</v>
      </c>
      <c r="U47" s="13">
        <v>481.8</v>
      </c>
      <c r="V47" s="13">
        <v>480</v>
      </c>
      <c r="W47" s="13">
        <v>483.7</v>
      </c>
      <c r="X47" s="13">
        <v>486.3</v>
      </c>
      <c r="Y47" s="13">
        <v>482.1</v>
      </c>
      <c r="Z47" s="13">
        <v>485</v>
      </c>
      <c r="AA47" s="13">
        <v>470.3</v>
      </c>
      <c r="AB47" s="13">
        <v>462.3</v>
      </c>
      <c r="AC47" s="13">
        <v>455.7</v>
      </c>
      <c r="AD47" s="13">
        <v>453.8</v>
      </c>
      <c r="AE47" s="13">
        <v>454.4</v>
      </c>
      <c r="AF47" s="13">
        <v>449.5</v>
      </c>
      <c r="AG47" s="13">
        <v>445.5</v>
      </c>
      <c r="AH47" s="13">
        <v>443.4</v>
      </c>
      <c r="AI47" s="13">
        <v>447.3</v>
      </c>
      <c r="AJ47" s="13">
        <v>447.3</v>
      </c>
      <c r="AK47" s="13">
        <v>448.6</v>
      </c>
      <c r="AL47" s="13">
        <v>447.6</v>
      </c>
      <c r="AM47" s="13">
        <v>450.6</v>
      </c>
      <c r="AN47" s="13">
        <v>449.3</v>
      </c>
      <c r="AO47" s="13">
        <v>453.2</v>
      </c>
      <c r="AP47" s="13">
        <v>451.1</v>
      </c>
      <c r="AQ47" s="13">
        <v>449.3</v>
      </c>
      <c r="AR47" s="13">
        <v>451.9</v>
      </c>
      <c r="AS47" s="13">
        <v>445.2</v>
      </c>
      <c r="AT47" s="13">
        <v>446.6</v>
      </c>
      <c r="AU47" s="13">
        <v>442.1</v>
      </c>
      <c r="AV47" s="13">
        <v>450.5</v>
      </c>
      <c r="AW47" s="13">
        <v>448.5</v>
      </c>
      <c r="AX47" s="13">
        <v>467.5</v>
      </c>
      <c r="AY47" s="13">
        <v>466.2</v>
      </c>
      <c r="AZ47" s="13">
        <v>463.6</v>
      </c>
      <c r="BA47" s="13">
        <v>462.9</v>
      </c>
      <c r="BB47" s="13">
        <v>464.1</v>
      </c>
      <c r="BC47" s="13">
        <v>468.8</v>
      </c>
      <c r="BD47" s="13">
        <v>460</v>
      </c>
      <c r="BE47" s="13">
        <v>465.3</v>
      </c>
      <c r="BF47" s="13">
        <v>456.9</v>
      </c>
      <c r="BG47" s="13">
        <v>464.3</v>
      </c>
      <c r="BH47" s="13">
        <v>458.9</v>
      </c>
      <c r="BI47" s="13">
        <v>455.7</v>
      </c>
      <c r="BJ47" s="13">
        <v>489.3</v>
      </c>
      <c r="BK47" s="13">
        <v>489</v>
      </c>
      <c r="BL47" s="13">
        <v>494.1</v>
      </c>
      <c r="BM47" s="4">
        <v>492.1</v>
      </c>
      <c r="BN47" s="4">
        <v>492.7</v>
      </c>
      <c r="BO47" s="4">
        <v>500.8</v>
      </c>
      <c r="BP47" s="4">
        <v>504.5</v>
      </c>
      <c r="BQ47" s="4">
        <v>495.4</v>
      </c>
      <c r="BR47" s="4">
        <v>500.2</v>
      </c>
      <c r="BS47" s="4">
        <v>500.5</v>
      </c>
      <c r="BT47" s="4">
        <v>515.29999999999995</v>
      </c>
      <c r="BU47" s="4">
        <v>517.29999999999995</v>
      </c>
      <c r="BV47" s="4">
        <v>482.9</v>
      </c>
      <c r="BW47" s="4">
        <v>484</v>
      </c>
      <c r="BX47" s="4">
        <v>480.1</v>
      </c>
      <c r="BY47" s="4">
        <v>477.1</v>
      </c>
      <c r="BZ47" s="4">
        <v>474.6</v>
      </c>
    </row>
    <row r="48" spans="1:254" ht="15.9" customHeight="1">
      <c r="A48" s="61" t="s">
        <v>91</v>
      </c>
      <c r="B48" s="6" t="s">
        <v>92</v>
      </c>
      <c r="C48" s="15">
        <f>_xll.RssMarket("3941","現在値")</f>
        <v>1595.5</v>
      </c>
      <c r="D48" s="16">
        <f t="shared" si="1"/>
        <v>0</v>
      </c>
      <c r="E48" s="13">
        <v>1595.5</v>
      </c>
      <c r="F48" s="13">
        <v>1614.5</v>
      </c>
      <c r="G48" s="13">
        <v>1493.5</v>
      </c>
      <c r="H48" s="13">
        <v>1490</v>
      </c>
      <c r="I48" s="13">
        <v>1492</v>
      </c>
      <c r="J48" s="13">
        <v>1519.5</v>
      </c>
      <c r="K48" s="13">
        <v>1534.5</v>
      </c>
      <c r="L48" s="13">
        <v>1519.5</v>
      </c>
      <c r="M48" s="13">
        <v>1528</v>
      </c>
      <c r="N48" s="13">
        <v>1461.5</v>
      </c>
      <c r="O48" s="13">
        <v>1480</v>
      </c>
      <c r="P48" s="13">
        <v>1464.5</v>
      </c>
      <c r="Q48" s="13">
        <v>1463.5</v>
      </c>
      <c r="R48" s="13">
        <v>1430.5</v>
      </c>
      <c r="S48" s="13">
        <v>1435.5</v>
      </c>
      <c r="T48" s="13">
        <v>1419.5</v>
      </c>
      <c r="U48" s="13">
        <v>1405</v>
      </c>
      <c r="V48" s="13">
        <v>1412.5</v>
      </c>
      <c r="W48" s="13">
        <v>1410.5</v>
      </c>
      <c r="X48" s="13">
        <v>1448</v>
      </c>
      <c r="Y48" s="13">
        <v>1419.5</v>
      </c>
      <c r="Z48" s="13">
        <v>1428.5</v>
      </c>
      <c r="AA48" s="13">
        <v>1411</v>
      </c>
      <c r="AB48" s="13">
        <v>1406.5</v>
      </c>
      <c r="AC48" s="13">
        <v>1415.5</v>
      </c>
      <c r="AD48" s="13">
        <v>1417.5</v>
      </c>
      <c r="AE48" s="13">
        <v>1437.5</v>
      </c>
      <c r="AF48" s="13">
        <v>1435.5</v>
      </c>
      <c r="AG48" s="13">
        <v>1407.5</v>
      </c>
      <c r="AH48" s="13">
        <v>1393</v>
      </c>
      <c r="AI48" s="13">
        <v>1404.5</v>
      </c>
      <c r="AJ48" s="13">
        <v>1401</v>
      </c>
      <c r="AK48" s="13">
        <v>1430.5</v>
      </c>
      <c r="AL48" s="13">
        <v>1424</v>
      </c>
      <c r="AM48" s="13">
        <v>1408</v>
      </c>
      <c r="AN48" s="13">
        <v>1413</v>
      </c>
      <c r="AO48" s="13">
        <v>1420.5</v>
      </c>
      <c r="AP48" s="13">
        <v>1383.5</v>
      </c>
      <c r="AQ48" s="13">
        <v>1372</v>
      </c>
      <c r="AR48" s="13">
        <v>1389.5</v>
      </c>
      <c r="AS48" s="13">
        <v>1377.5</v>
      </c>
      <c r="AT48" s="13">
        <v>1389</v>
      </c>
      <c r="AU48" s="13">
        <v>1379</v>
      </c>
      <c r="AV48" s="13">
        <v>1401</v>
      </c>
      <c r="AW48" s="13">
        <v>1397</v>
      </c>
      <c r="AX48" s="13">
        <v>1458</v>
      </c>
      <c r="AY48" s="13">
        <v>1424.5</v>
      </c>
      <c r="AZ48" s="13">
        <v>1419.5</v>
      </c>
      <c r="BA48" s="13">
        <v>1387</v>
      </c>
      <c r="BB48" s="13">
        <v>1396</v>
      </c>
      <c r="BC48" s="13">
        <v>1411</v>
      </c>
      <c r="BD48" s="13">
        <v>1392</v>
      </c>
      <c r="BE48" s="13">
        <v>1409</v>
      </c>
      <c r="BF48" s="13">
        <v>1384.5</v>
      </c>
      <c r="BG48" s="13">
        <v>1404</v>
      </c>
      <c r="BH48" s="13">
        <v>1385</v>
      </c>
      <c r="BI48" s="13">
        <v>1244</v>
      </c>
      <c r="BJ48" s="13">
        <v>1218.5</v>
      </c>
      <c r="BK48" s="13">
        <v>1228.5</v>
      </c>
      <c r="BL48" s="13">
        <v>1240</v>
      </c>
      <c r="BM48" s="4">
        <v>1236.5</v>
      </c>
      <c r="BN48" s="4">
        <v>1227</v>
      </c>
      <c r="BO48" s="4">
        <v>1228.5</v>
      </c>
      <c r="BP48" s="4">
        <v>1256</v>
      </c>
      <c r="BQ48" s="4">
        <v>1269.5</v>
      </c>
      <c r="BR48" s="4">
        <v>1274</v>
      </c>
      <c r="BS48" s="4">
        <v>1271.5</v>
      </c>
      <c r="BT48" s="4">
        <v>1292.5</v>
      </c>
      <c r="BU48" s="4">
        <v>1306</v>
      </c>
      <c r="BV48" s="4">
        <v>1265</v>
      </c>
      <c r="BW48" s="4">
        <v>1251.5</v>
      </c>
      <c r="BX48" s="4">
        <v>1282</v>
      </c>
      <c r="BY48" s="4">
        <v>1263</v>
      </c>
      <c r="BZ48" s="4">
        <v>1263.5</v>
      </c>
    </row>
    <row r="49" spans="1:254" ht="15.9" customHeight="1">
      <c r="A49" s="61" t="s">
        <v>93</v>
      </c>
      <c r="B49" s="6" t="s">
        <v>94</v>
      </c>
      <c r="C49" s="15">
        <f>_xll.RssMarket("5929","現在値")</f>
        <v>3635</v>
      </c>
      <c r="D49" s="16">
        <f t="shared" si="1"/>
        <v>0</v>
      </c>
      <c r="E49" s="13">
        <v>3635</v>
      </c>
      <c r="F49" s="13">
        <v>3612</v>
      </c>
      <c r="G49" s="13">
        <v>3498</v>
      </c>
      <c r="H49" s="13">
        <v>3530</v>
      </c>
      <c r="I49" s="13">
        <v>3442</v>
      </c>
      <c r="J49" s="13">
        <v>3945</v>
      </c>
      <c r="K49" s="13">
        <v>3953</v>
      </c>
      <c r="L49" s="13">
        <v>3953</v>
      </c>
      <c r="M49" s="13">
        <v>3899</v>
      </c>
      <c r="N49" s="13"/>
      <c r="O49" s="13">
        <v>3791</v>
      </c>
      <c r="P49" s="13">
        <v>3764</v>
      </c>
      <c r="Q49" s="13">
        <v>3776</v>
      </c>
      <c r="R49" s="13">
        <v>3768</v>
      </c>
      <c r="S49" s="13">
        <v>3708</v>
      </c>
      <c r="T49" s="13">
        <v>3689</v>
      </c>
      <c r="U49" s="13">
        <v>3660</v>
      </c>
      <c r="V49" s="13">
        <v>3670</v>
      </c>
      <c r="W49" s="13">
        <v>3722</v>
      </c>
      <c r="X49" s="13">
        <v>3708</v>
      </c>
      <c r="Y49" s="13">
        <v>3866</v>
      </c>
      <c r="Z49" s="13">
        <v>3874</v>
      </c>
      <c r="AA49" s="13">
        <v>3808</v>
      </c>
      <c r="AB49" s="13">
        <v>3800</v>
      </c>
      <c r="AC49" s="13">
        <v>3742</v>
      </c>
      <c r="AD49" s="13">
        <v>3789</v>
      </c>
      <c r="AE49" s="13">
        <v>3847</v>
      </c>
      <c r="AF49" s="13">
        <v>3729</v>
      </c>
      <c r="AG49" s="13">
        <v>3749</v>
      </c>
      <c r="AH49" s="13">
        <v>3660</v>
      </c>
      <c r="AI49" s="13">
        <v>3660</v>
      </c>
      <c r="AJ49" s="13">
        <v>3675</v>
      </c>
      <c r="AK49" s="13">
        <v>3672</v>
      </c>
      <c r="AL49" s="13">
        <v>3725</v>
      </c>
      <c r="AM49" s="13">
        <v>3713</v>
      </c>
      <c r="AN49" s="13">
        <v>3702</v>
      </c>
      <c r="AO49" s="13">
        <v>3747</v>
      </c>
      <c r="AP49" s="13">
        <v>3618</v>
      </c>
      <c r="AQ49" s="13">
        <v>3598</v>
      </c>
      <c r="AR49" s="13">
        <v>3646</v>
      </c>
      <c r="AS49" s="13">
        <v>3504</v>
      </c>
      <c r="AT49" s="13">
        <v>3538</v>
      </c>
      <c r="AU49" s="13">
        <v>3463</v>
      </c>
      <c r="AV49" s="13">
        <v>3425</v>
      </c>
      <c r="AW49" s="13">
        <v>3337</v>
      </c>
      <c r="AX49" s="13">
        <v>3645</v>
      </c>
      <c r="AY49" s="13">
        <v>3475</v>
      </c>
      <c r="AZ49" s="13">
        <v>3400</v>
      </c>
      <c r="BA49" s="13">
        <v>3299</v>
      </c>
      <c r="BB49" s="13">
        <v>3306</v>
      </c>
      <c r="BC49" s="13">
        <v>3339</v>
      </c>
      <c r="BD49" s="13">
        <v>3283</v>
      </c>
      <c r="BE49" s="13">
        <v>3389</v>
      </c>
      <c r="BF49" s="13">
        <v>3315</v>
      </c>
      <c r="BG49" s="13">
        <v>3455</v>
      </c>
      <c r="BH49" s="13">
        <v>3646</v>
      </c>
      <c r="BI49" s="13">
        <v>3536</v>
      </c>
      <c r="BJ49" s="13">
        <v>3508</v>
      </c>
      <c r="BK49" s="13">
        <v>3602</v>
      </c>
      <c r="BL49" s="13">
        <v>3643</v>
      </c>
      <c r="BM49" s="4">
        <v>3614</v>
      </c>
      <c r="BN49" s="4">
        <v>3540</v>
      </c>
      <c r="BO49" s="4">
        <v>3569</v>
      </c>
      <c r="BP49" s="4">
        <v>3653</v>
      </c>
      <c r="BQ49" s="4">
        <v>3596</v>
      </c>
      <c r="BR49" s="4">
        <v>3591</v>
      </c>
      <c r="BS49" s="4">
        <v>3617</v>
      </c>
      <c r="BT49" s="4">
        <v>3652</v>
      </c>
      <c r="BU49" s="4">
        <v>3675</v>
      </c>
      <c r="BV49" s="4">
        <v>3663</v>
      </c>
      <c r="BW49" s="4">
        <v>3600</v>
      </c>
      <c r="BX49" s="4">
        <v>3632</v>
      </c>
      <c r="BY49" s="4">
        <v>3707</v>
      </c>
      <c r="BZ49" s="4">
        <v>3698</v>
      </c>
    </row>
    <row r="50" spans="1:254" ht="15.9" customHeight="1">
      <c r="A50" s="61" t="s">
        <v>95</v>
      </c>
      <c r="B50" s="6" t="s">
        <v>96</v>
      </c>
      <c r="C50" s="15">
        <f>_xll.RssMarket("8316","現在値")</f>
        <v>6781</v>
      </c>
      <c r="D50" s="16">
        <f t="shared" si="1"/>
        <v>0</v>
      </c>
      <c r="E50" s="13">
        <v>6781</v>
      </c>
      <c r="F50" s="13">
        <v>6666</v>
      </c>
      <c r="G50" s="13">
        <v>6515</v>
      </c>
      <c r="H50" s="13">
        <v>6614</v>
      </c>
      <c r="I50" s="13">
        <v>6814</v>
      </c>
      <c r="J50" s="13">
        <v>6666</v>
      </c>
      <c r="K50" s="13">
        <v>6876</v>
      </c>
      <c r="L50" s="13">
        <v>6934</v>
      </c>
      <c r="M50" s="13">
        <v>7214</v>
      </c>
      <c r="N50" s="13">
        <v>7161</v>
      </c>
      <c r="O50" s="13">
        <v>7167</v>
      </c>
      <c r="P50" s="13">
        <v>7072</v>
      </c>
      <c r="Q50" s="13">
        <v>6951</v>
      </c>
      <c r="R50" s="13">
        <v>6721</v>
      </c>
      <c r="S50" s="13">
        <v>7121</v>
      </c>
      <c r="T50" s="13">
        <v>6967</v>
      </c>
      <c r="U50" s="13">
        <v>6925</v>
      </c>
      <c r="V50" s="13">
        <v>6814</v>
      </c>
      <c r="W50" s="13">
        <v>6816</v>
      </c>
      <c r="X50" s="13">
        <v>6811</v>
      </c>
      <c r="Y50" s="13">
        <v>6812</v>
      </c>
      <c r="Z50" s="13">
        <v>6800</v>
      </c>
      <c r="AA50" s="13">
        <v>6672</v>
      </c>
      <c r="AB50" s="13">
        <v>6573</v>
      </c>
      <c r="AC50" s="13">
        <v>6433</v>
      </c>
      <c r="AD50" s="13">
        <v>6346</v>
      </c>
      <c r="AE50" s="13">
        <v>6344</v>
      </c>
      <c r="AF50" s="13">
        <v>6391</v>
      </c>
      <c r="AG50" s="13">
        <v>6340</v>
      </c>
      <c r="AH50" s="13">
        <v>6356</v>
      </c>
      <c r="AI50" s="13">
        <v>6458</v>
      </c>
      <c r="AJ50" s="13">
        <v>6645</v>
      </c>
      <c r="AK50" s="13">
        <v>6482</v>
      </c>
      <c r="AL50" s="13">
        <v>6728</v>
      </c>
      <c r="AM50" s="13">
        <v>6450</v>
      </c>
      <c r="AN50" s="13">
        <v>6409</v>
      </c>
      <c r="AO50" s="13">
        <v>6519</v>
      </c>
      <c r="AP50" s="13">
        <v>6406</v>
      </c>
      <c r="AQ50" s="13">
        <v>6203</v>
      </c>
      <c r="AR50" s="13">
        <v>6227</v>
      </c>
      <c r="AS50" s="13">
        <v>6105</v>
      </c>
      <c r="AT50" s="13">
        <v>6230</v>
      </c>
      <c r="AU50" s="13">
        <v>6129</v>
      </c>
      <c r="AV50" s="13">
        <v>6148</v>
      </c>
      <c r="AW50" s="13">
        <v>5951</v>
      </c>
      <c r="AX50" s="13">
        <v>5819</v>
      </c>
      <c r="AY50" s="13">
        <v>5849</v>
      </c>
      <c r="AZ50" s="13">
        <v>5950</v>
      </c>
      <c r="BA50" s="13">
        <v>6056</v>
      </c>
      <c r="BB50" s="13">
        <v>6006</v>
      </c>
      <c r="BC50" s="13">
        <v>6031</v>
      </c>
      <c r="BD50" s="13">
        <v>5882</v>
      </c>
      <c r="BE50" s="13">
        <v>5942</v>
      </c>
      <c r="BF50" s="13">
        <v>5732</v>
      </c>
      <c r="BG50" s="13">
        <v>5702</v>
      </c>
      <c r="BH50" s="13">
        <v>5675</v>
      </c>
      <c r="BI50" s="13">
        <v>5852</v>
      </c>
      <c r="BJ50" s="13">
        <v>5789</v>
      </c>
      <c r="BK50" s="13">
        <v>5661</v>
      </c>
      <c r="BL50" s="13">
        <v>5546</v>
      </c>
      <c r="BM50" s="4">
        <v>5689</v>
      </c>
      <c r="BN50" s="4">
        <v>5541</v>
      </c>
      <c r="BO50" s="4">
        <v>5512</v>
      </c>
      <c r="BP50" s="4">
        <v>5648</v>
      </c>
      <c r="BQ50" s="4">
        <v>5404</v>
      </c>
      <c r="BR50" s="4">
        <v>5347</v>
      </c>
      <c r="BS50" s="4">
        <v>5350</v>
      </c>
      <c r="BT50" s="4">
        <v>5442</v>
      </c>
      <c r="BU50" s="4">
        <v>5471</v>
      </c>
      <c r="BV50" s="4">
        <v>5575</v>
      </c>
      <c r="BW50" s="4">
        <v>5598</v>
      </c>
      <c r="BX50" s="4">
        <v>5690</v>
      </c>
      <c r="BY50" s="4">
        <v>5650</v>
      </c>
      <c r="BZ50" s="4">
        <v>5539</v>
      </c>
    </row>
    <row r="51" spans="1:254" ht="15.9" customHeight="1">
      <c r="A51" s="61" t="s">
        <v>97</v>
      </c>
      <c r="B51" s="6" t="s">
        <v>98</v>
      </c>
      <c r="C51" s="15">
        <f>_xll.RssMarket("5449","現在値")</f>
        <v>2777</v>
      </c>
      <c r="D51" s="16">
        <f t="shared" si="1"/>
        <v>0</v>
      </c>
      <c r="E51" s="13">
        <v>2777</v>
      </c>
      <c r="F51" s="13">
        <v>2732</v>
      </c>
      <c r="G51" s="13">
        <v>2448</v>
      </c>
      <c r="H51" s="13">
        <v>2368</v>
      </c>
      <c r="I51" s="13">
        <v>2506</v>
      </c>
      <c r="J51" s="13">
        <v>2814</v>
      </c>
      <c r="K51" s="13">
        <v>2875</v>
      </c>
      <c r="L51" s="13">
        <v>2785</v>
      </c>
      <c r="M51" s="13">
        <v>2709</v>
      </c>
      <c r="N51" s="13">
        <v>2649</v>
      </c>
      <c r="O51" s="13">
        <v>2620</v>
      </c>
      <c r="P51" s="13">
        <v>2568</v>
      </c>
      <c r="Q51" s="13">
        <v>2581</v>
      </c>
      <c r="R51" s="13">
        <v>2539</v>
      </c>
      <c r="S51" s="13">
        <v>2537</v>
      </c>
      <c r="T51" s="13">
        <v>2486</v>
      </c>
      <c r="U51" s="13">
        <v>2532</v>
      </c>
      <c r="V51" s="13">
        <v>2526</v>
      </c>
      <c r="W51" s="13">
        <v>2478</v>
      </c>
      <c r="X51" s="13">
        <v>2513</v>
      </c>
      <c r="Y51" s="13">
        <v>2510</v>
      </c>
      <c r="Z51" s="13">
        <v>2405</v>
      </c>
      <c r="AA51" s="13">
        <v>2421</v>
      </c>
      <c r="AB51" s="13">
        <v>2328</v>
      </c>
      <c r="AC51" s="13">
        <v>2265</v>
      </c>
      <c r="AD51" s="13">
        <v>2278</v>
      </c>
      <c r="AE51" s="13">
        <v>2387</v>
      </c>
      <c r="AF51" s="13">
        <v>2291</v>
      </c>
      <c r="AG51" s="13">
        <v>2284</v>
      </c>
      <c r="AH51" s="13">
        <v>2301</v>
      </c>
      <c r="AI51" s="13">
        <v>2331</v>
      </c>
      <c r="AJ51" s="13">
        <v>2342</v>
      </c>
      <c r="AK51" s="13">
        <v>2358</v>
      </c>
      <c r="AL51" s="13">
        <v>2286</v>
      </c>
      <c r="AM51" s="13">
        <v>2238</v>
      </c>
      <c r="AN51" s="13">
        <v>2406</v>
      </c>
      <c r="AO51" s="13">
        <v>2401</v>
      </c>
      <c r="AP51" s="13">
        <v>2336</v>
      </c>
      <c r="AQ51" s="13">
        <v>2306</v>
      </c>
      <c r="AR51" s="13">
        <v>2321</v>
      </c>
      <c r="AS51" s="13">
        <v>2296</v>
      </c>
      <c r="AT51" s="13">
        <v>2358</v>
      </c>
      <c r="AU51" s="13">
        <v>2359</v>
      </c>
      <c r="AV51" s="13">
        <v>2405</v>
      </c>
      <c r="AW51" s="13">
        <v>2321</v>
      </c>
      <c r="AX51" s="13">
        <v>2593</v>
      </c>
      <c r="AY51" s="13">
        <v>2597</v>
      </c>
      <c r="AZ51" s="13">
        <v>2680</v>
      </c>
      <c r="BA51" s="13">
        <v>2508</v>
      </c>
      <c r="BB51" s="13">
        <v>2381</v>
      </c>
      <c r="BC51" s="13">
        <v>2377</v>
      </c>
      <c r="BD51" s="13">
        <v>2272</v>
      </c>
      <c r="BE51" s="13">
        <v>2263</v>
      </c>
      <c r="BF51" s="13">
        <v>2251</v>
      </c>
      <c r="BG51" s="13">
        <v>2375</v>
      </c>
      <c r="BH51" s="13">
        <v>2343</v>
      </c>
      <c r="BI51" s="13">
        <v>2315</v>
      </c>
      <c r="BJ51" s="13">
        <v>2469</v>
      </c>
      <c r="BK51" s="13">
        <v>2555</v>
      </c>
      <c r="BL51" s="13">
        <v>2545</v>
      </c>
      <c r="BM51" s="4">
        <v>2607</v>
      </c>
      <c r="BN51" s="4">
        <v>2518</v>
      </c>
      <c r="BO51" s="4">
        <v>2459</v>
      </c>
      <c r="BP51" s="4">
        <v>2469</v>
      </c>
      <c r="BQ51" s="4">
        <v>2318</v>
      </c>
      <c r="BR51" s="4">
        <v>2312</v>
      </c>
      <c r="BS51" s="4">
        <v>2315</v>
      </c>
      <c r="BT51" s="4">
        <v>2349</v>
      </c>
      <c r="BU51" s="4">
        <v>2398</v>
      </c>
      <c r="BV51" s="4">
        <v>2428</v>
      </c>
      <c r="BW51" s="4">
        <v>2416</v>
      </c>
      <c r="BX51" s="4">
        <v>2409</v>
      </c>
      <c r="BY51" s="4">
        <v>2450</v>
      </c>
      <c r="BZ51" s="4">
        <v>2456</v>
      </c>
    </row>
    <row r="52" spans="1:254" ht="15.9" customHeight="1">
      <c r="A52" s="61" t="s">
        <v>99</v>
      </c>
      <c r="B52" s="6" t="s">
        <v>100</v>
      </c>
      <c r="C52" s="15">
        <f>_xll.RssMarket("8766","現在値")</f>
        <v>7817</v>
      </c>
      <c r="D52" s="16">
        <f t="shared" si="1"/>
        <v>0</v>
      </c>
      <c r="E52" s="13">
        <v>7817</v>
      </c>
      <c r="F52" s="13">
        <v>7742</v>
      </c>
      <c r="G52" s="13">
        <v>7709</v>
      </c>
      <c r="H52" s="13">
        <v>7885</v>
      </c>
      <c r="I52" s="13">
        <v>8114</v>
      </c>
      <c r="J52" s="13">
        <v>8202</v>
      </c>
      <c r="K52" s="13">
        <v>8393</v>
      </c>
      <c r="L52" s="13">
        <v>8234</v>
      </c>
      <c r="M52" s="13">
        <v>8243</v>
      </c>
      <c r="N52" s="13">
        <v>8116</v>
      </c>
      <c r="O52" s="13">
        <v>7958</v>
      </c>
      <c r="P52" s="13">
        <v>7971</v>
      </c>
      <c r="Q52" s="13">
        <v>7874</v>
      </c>
      <c r="R52" s="13">
        <v>7526</v>
      </c>
      <c r="S52" s="13">
        <v>7772</v>
      </c>
      <c r="T52" s="13">
        <v>7720</v>
      </c>
      <c r="U52" s="13">
        <v>7613</v>
      </c>
      <c r="V52" s="13">
        <v>7609</v>
      </c>
      <c r="W52" s="13">
        <v>7870</v>
      </c>
      <c r="X52" s="13">
        <v>7700</v>
      </c>
      <c r="Y52" s="13">
        <v>7716</v>
      </c>
      <c r="Z52" s="13">
        <v>7810</v>
      </c>
      <c r="AA52" s="13">
        <v>7584</v>
      </c>
      <c r="AB52" s="13">
        <v>7511</v>
      </c>
      <c r="AC52" s="13">
        <v>7112</v>
      </c>
      <c r="AD52" s="13">
        <v>7202</v>
      </c>
      <c r="AE52" s="13">
        <v>7248</v>
      </c>
      <c r="AF52" s="13">
        <v>6903</v>
      </c>
      <c r="AG52" s="13">
        <v>6850</v>
      </c>
      <c r="AH52" s="13">
        <v>6970</v>
      </c>
      <c r="AI52" s="13">
        <v>7288</v>
      </c>
      <c r="AJ52" s="13">
        <v>7298</v>
      </c>
      <c r="AK52" s="13">
        <v>7194</v>
      </c>
      <c r="AL52" s="13">
        <v>7324</v>
      </c>
      <c r="AM52" s="13">
        <v>7252</v>
      </c>
      <c r="AN52" s="13">
        <v>7288</v>
      </c>
      <c r="AO52" s="13">
        <v>7301</v>
      </c>
      <c r="AP52" s="13">
        <v>7325</v>
      </c>
      <c r="AQ52" s="13">
        <v>7404</v>
      </c>
      <c r="AR52" s="13">
        <v>7406</v>
      </c>
      <c r="AS52" s="13">
        <v>7232</v>
      </c>
      <c r="AT52" s="13">
        <v>6996</v>
      </c>
      <c r="AU52" s="13">
        <v>6940</v>
      </c>
      <c r="AV52" s="13">
        <v>7098</v>
      </c>
      <c r="AW52" s="13">
        <v>7046</v>
      </c>
      <c r="AX52" s="13">
        <v>7111</v>
      </c>
      <c r="AY52" s="13">
        <v>7189</v>
      </c>
      <c r="AZ52" s="13">
        <v>7367</v>
      </c>
      <c r="BA52" s="13">
        <v>7387</v>
      </c>
      <c r="BB52" s="13">
        <v>7381</v>
      </c>
      <c r="BC52" s="13">
        <v>7697</v>
      </c>
      <c r="BD52" s="13">
        <v>7817</v>
      </c>
      <c r="BE52" s="13">
        <v>7949</v>
      </c>
      <c r="BF52" s="13">
        <v>7627</v>
      </c>
      <c r="BG52" s="13">
        <v>7568</v>
      </c>
      <c r="BH52" s="13">
        <v>7362</v>
      </c>
      <c r="BI52" s="13">
        <v>7369</v>
      </c>
      <c r="BJ52" s="13">
        <v>7140</v>
      </c>
      <c r="BK52" s="13">
        <v>7150</v>
      </c>
      <c r="BL52" s="13">
        <v>7030</v>
      </c>
      <c r="BM52" s="4">
        <v>7210</v>
      </c>
      <c r="BN52" s="4">
        <v>7093</v>
      </c>
      <c r="BO52" s="4">
        <v>7202</v>
      </c>
      <c r="BP52" s="4">
        <v>7238</v>
      </c>
      <c r="BQ52" s="4">
        <v>7164</v>
      </c>
      <c r="BR52" s="4">
        <v>7176</v>
      </c>
      <c r="BS52" s="4">
        <v>7072</v>
      </c>
      <c r="BT52" s="4">
        <v>7218</v>
      </c>
      <c r="BU52" s="4">
        <v>7159</v>
      </c>
      <c r="BV52" s="4">
        <v>7175</v>
      </c>
      <c r="BW52" s="4">
        <v>6933</v>
      </c>
      <c r="BX52" s="4">
        <v>6972</v>
      </c>
      <c r="BY52" s="4">
        <v>6836</v>
      </c>
      <c r="BZ52" s="4">
        <v>6915</v>
      </c>
    </row>
    <row r="53" spans="1:254" ht="15.9" customHeight="1">
      <c r="A53" s="61" t="s">
        <v>101</v>
      </c>
      <c r="B53" s="6" t="s">
        <v>102</v>
      </c>
      <c r="C53" s="15">
        <f>_xll.RssMarket("5201","現在値")</f>
        <v>5786</v>
      </c>
      <c r="D53" s="16">
        <f t="shared" si="1"/>
        <v>0</v>
      </c>
      <c r="E53" s="13">
        <v>5786</v>
      </c>
      <c r="F53" s="13">
        <v>5765</v>
      </c>
      <c r="G53" s="13">
        <v>5585</v>
      </c>
      <c r="H53" s="13">
        <v>6063</v>
      </c>
      <c r="I53" s="13">
        <v>6079</v>
      </c>
      <c r="J53" s="13">
        <v>5975</v>
      </c>
      <c r="K53" s="13">
        <v>6060</v>
      </c>
      <c r="L53" s="13">
        <v>6168</v>
      </c>
      <c r="M53" s="13">
        <v>6260</v>
      </c>
      <c r="N53" s="13">
        <v>6187</v>
      </c>
      <c r="O53" s="13">
        <v>6315</v>
      </c>
      <c r="P53" s="13">
        <v>6344</v>
      </c>
      <c r="Q53" s="13">
        <v>6257</v>
      </c>
      <c r="R53" s="13">
        <v>6135</v>
      </c>
      <c r="S53" s="13">
        <v>6516</v>
      </c>
      <c r="T53" s="13">
        <v>6422</v>
      </c>
      <c r="U53" s="13">
        <v>6339</v>
      </c>
      <c r="V53" s="13">
        <v>6426</v>
      </c>
      <c r="W53" s="13">
        <v>6479</v>
      </c>
      <c r="X53" s="13">
        <v>6418</v>
      </c>
      <c r="Y53" s="13">
        <v>6578</v>
      </c>
      <c r="Z53" s="13">
        <v>6737</v>
      </c>
      <c r="AA53" s="13">
        <v>6885</v>
      </c>
      <c r="AB53" s="13">
        <v>6780</v>
      </c>
      <c r="AC53" s="13">
        <v>6957</v>
      </c>
      <c r="AD53" s="13">
        <v>6965</v>
      </c>
      <c r="AE53" s="13">
        <v>6914</v>
      </c>
      <c r="AF53" s="13">
        <v>7146</v>
      </c>
      <c r="AG53" s="13">
        <v>7264</v>
      </c>
      <c r="AH53" s="13">
        <v>7178</v>
      </c>
      <c r="AI53" s="13">
        <v>7250</v>
      </c>
      <c r="AJ53" s="13">
        <v>7551</v>
      </c>
      <c r="AK53" s="13">
        <v>7616</v>
      </c>
      <c r="AL53" s="13">
        <v>7564</v>
      </c>
      <c r="AM53" s="13">
        <v>7421</v>
      </c>
      <c r="AN53" s="13">
        <v>7270</v>
      </c>
      <c r="AO53" s="13">
        <v>7382</v>
      </c>
      <c r="AP53" s="13">
        <v>7023</v>
      </c>
      <c r="AQ53" s="13">
        <v>6964</v>
      </c>
      <c r="AR53" s="13">
        <v>6941</v>
      </c>
      <c r="AS53" s="13">
        <v>7214</v>
      </c>
      <c r="AT53" s="13">
        <v>7735</v>
      </c>
      <c r="AU53" s="13">
        <v>8117</v>
      </c>
      <c r="AV53" s="13">
        <v>8221</v>
      </c>
      <c r="AW53" s="13">
        <v>7643</v>
      </c>
      <c r="AX53" s="13">
        <v>6938</v>
      </c>
      <c r="AY53" s="13">
        <v>6883</v>
      </c>
      <c r="AZ53" s="13">
        <v>7020</v>
      </c>
      <c r="BA53" s="13">
        <v>6657</v>
      </c>
      <c r="BB53" s="13">
        <v>6495</v>
      </c>
      <c r="BC53" s="13">
        <v>6216</v>
      </c>
      <c r="BD53" s="13">
        <v>6049</v>
      </c>
      <c r="BE53" s="13">
        <v>6226</v>
      </c>
      <c r="BF53" s="13">
        <v>5957</v>
      </c>
      <c r="BG53" s="13">
        <v>5999</v>
      </c>
      <c r="BH53" s="13">
        <v>6033</v>
      </c>
      <c r="BI53" s="13">
        <v>6065</v>
      </c>
      <c r="BJ53" s="13">
        <v>6014</v>
      </c>
      <c r="BK53" s="13">
        <v>5636</v>
      </c>
      <c r="BL53" s="13">
        <v>5580</v>
      </c>
      <c r="BM53" s="4">
        <v>5683</v>
      </c>
      <c r="BN53" s="4">
        <v>5574</v>
      </c>
      <c r="BO53" s="4">
        <v>5589</v>
      </c>
      <c r="BP53" s="4">
        <v>5754</v>
      </c>
      <c r="BQ53" s="4">
        <v>5689</v>
      </c>
      <c r="BR53" s="4">
        <v>5629</v>
      </c>
      <c r="BS53" s="4">
        <v>5597</v>
      </c>
      <c r="BT53" s="4">
        <v>5664</v>
      </c>
      <c r="BU53" s="4">
        <v>5769</v>
      </c>
      <c r="BV53" s="4">
        <v>5739</v>
      </c>
      <c r="BW53" s="4">
        <v>5717</v>
      </c>
      <c r="BX53" s="4">
        <v>5750</v>
      </c>
      <c r="BY53" s="4">
        <v>5618</v>
      </c>
      <c r="BZ53" s="4">
        <v>5643</v>
      </c>
    </row>
    <row r="54" spans="1:254" ht="15.9" customHeight="1">
      <c r="A54" s="61" t="s">
        <v>103</v>
      </c>
      <c r="B54" s="6" t="s">
        <v>104</v>
      </c>
      <c r="C54" s="15">
        <f>_xll.RssMarket("8630","現在値")</f>
        <v>6997</v>
      </c>
      <c r="D54" s="16">
        <f t="shared" si="1"/>
        <v>0</v>
      </c>
      <c r="E54" s="13">
        <v>6997</v>
      </c>
      <c r="F54" s="13">
        <v>6962</v>
      </c>
      <c r="G54" s="13">
        <v>6811</v>
      </c>
      <c r="H54" s="13">
        <v>6872</v>
      </c>
      <c r="I54" s="13">
        <v>7113</v>
      </c>
      <c r="J54" s="13">
        <v>7219</v>
      </c>
      <c r="K54" s="13">
        <v>7361</v>
      </c>
      <c r="L54" s="13">
        <v>7264</v>
      </c>
      <c r="M54" s="13">
        <v>7261</v>
      </c>
      <c r="N54" s="13">
        <v>7051</v>
      </c>
      <c r="O54" s="13">
        <v>6946</v>
      </c>
      <c r="P54" s="13">
        <v>6906</v>
      </c>
      <c r="Q54" s="13">
        <v>6946</v>
      </c>
      <c r="R54" s="13">
        <v>6630</v>
      </c>
      <c r="S54" s="13">
        <v>6637</v>
      </c>
      <c r="T54" s="13">
        <v>6584</v>
      </c>
      <c r="U54" s="13">
        <v>6478</v>
      </c>
      <c r="V54" s="13">
        <v>6513</v>
      </c>
      <c r="W54" s="13">
        <v>6645</v>
      </c>
      <c r="X54" s="13">
        <v>6714</v>
      </c>
      <c r="Y54" s="13">
        <v>6642</v>
      </c>
      <c r="Z54" s="13">
        <v>6770</v>
      </c>
      <c r="AA54" s="13">
        <v>6635</v>
      </c>
      <c r="AB54" s="13">
        <v>6486</v>
      </c>
      <c r="AC54" s="13">
        <v>6250</v>
      </c>
      <c r="AD54" s="13">
        <v>6238</v>
      </c>
      <c r="AE54" s="13">
        <v>6214</v>
      </c>
      <c r="AF54" s="13">
        <v>6126</v>
      </c>
      <c r="AG54" s="13">
        <v>6105</v>
      </c>
      <c r="AH54" s="13">
        <v>6151</v>
      </c>
      <c r="AI54" s="13">
        <v>6352</v>
      </c>
      <c r="AJ54" s="13">
        <v>6459</v>
      </c>
      <c r="AK54" s="13">
        <v>6342</v>
      </c>
      <c r="AL54" s="13">
        <v>6380</v>
      </c>
      <c r="AM54" s="13">
        <v>6194</v>
      </c>
      <c r="AN54" s="13">
        <v>6248</v>
      </c>
      <c r="AO54" s="13">
        <v>6242</v>
      </c>
      <c r="AP54" s="13">
        <v>6149</v>
      </c>
      <c r="AQ54" s="13">
        <v>6174</v>
      </c>
      <c r="AR54" s="13">
        <v>6146</v>
      </c>
      <c r="AS54" s="13">
        <v>5992</v>
      </c>
      <c r="AT54" s="13">
        <v>5898</v>
      </c>
      <c r="AU54" s="13">
        <v>5774</v>
      </c>
      <c r="AV54" s="13">
        <v>5900</v>
      </c>
      <c r="AW54" s="13">
        <v>5900</v>
      </c>
      <c r="AX54" s="13">
        <v>5958</v>
      </c>
      <c r="AY54" s="13">
        <v>5902</v>
      </c>
      <c r="AZ54" s="13">
        <v>5933</v>
      </c>
      <c r="BA54" s="13">
        <v>5575</v>
      </c>
      <c r="BB54" s="13">
        <v>5676</v>
      </c>
      <c r="BC54" s="13">
        <v>5568</v>
      </c>
      <c r="BD54" s="13">
        <v>6238</v>
      </c>
      <c r="BE54" s="13">
        <v>6435</v>
      </c>
      <c r="BF54" s="13">
        <v>6134</v>
      </c>
      <c r="BG54" s="13">
        <v>6100</v>
      </c>
      <c r="BH54" s="13">
        <v>5998</v>
      </c>
      <c r="BI54" s="13">
        <v>6084</v>
      </c>
      <c r="BJ54" s="13">
        <v>5893</v>
      </c>
      <c r="BK54" s="13">
        <v>5821</v>
      </c>
      <c r="BL54" s="13">
        <v>5762</v>
      </c>
      <c r="BM54" s="4">
        <v>5857</v>
      </c>
      <c r="BN54" s="4">
        <v>5705</v>
      </c>
      <c r="BO54" s="4">
        <v>5797</v>
      </c>
      <c r="BP54" s="4">
        <v>5771</v>
      </c>
      <c r="BQ54" s="4">
        <v>5695</v>
      </c>
      <c r="BR54" s="4">
        <v>5837</v>
      </c>
      <c r="BS54" s="4">
        <v>5833</v>
      </c>
      <c r="BT54" s="4">
        <v>5820</v>
      </c>
      <c r="BU54" s="4">
        <v>5888</v>
      </c>
      <c r="BV54" s="4">
        <v>5876</v>
      </c>
      <c r="BW54" s="4">
        <v>5898</v>
      </c>
      <c r="BX54" s="4">
        <v>5974</v>
      </c>
      <c r="BY54" s="4">
        <v>5900</v>
      </c>
      <c r="BZ54" s="4">
        <v>5902</v>
      </c>
    </row>
    <row r="55" spans="1:254" ht="15.9" customHeight="1">
      <c r="A55" s="61" t="s">
        <v>105</v>
      </c>
      <c r="B55" s="6" t="s">
        <v>106</v>
      </c>
      <c r="C55" s="15">
        <f>_xll.RssMarket("5901","現在値")</f>
        <v>4250</v>
      </c>
      <c r="D55" s="16">
        <f t="shared" si="1"/>
        <v>0</v>
      </c>
      <c r="E55" s="13">
        <v>4250</v>
      </c>
      <c r="F55" s="13">
        <v>4239</v>
      </c>
      <c r="G55" s="13">
        <v>3995</v>
      </c>
      <c r="H55" s="13">
        <v>4007</v>
      </c>
      <c r="I55" s="13">
        <v>4072</v>
      </c>
      <c r="J55" s="13">
        <v>4106</v>
      </c>
      <c r="K55" s="13">
        <v>4186</v>
      </c>
      <c r="L55" s="13">
        <v>4150</v>
      </c>
      <c r="M55" s="13">
        <v>4146</v>
      </c>
      <c r="N55" s="13">
        <v>4097</v>
      </c>
      <c r="O55" s="13">
        <v>4061</v>
      </c>
      <c r="P55" s="13">
        <v>4119</v>
      </c>
      <c r="Q55" s="13">
        <v>4120</v>
      </c>
      <c r="R55" s="13">
        <v>4053</v>
      </c>
      <c r="S55" s="13">
        <v>4027</v>
      </c>
      <c r="T55" s="13">
        <v>4005</v>
      </c>
      <c r="U55" s="13">
        <v>3999</v>
      </c>
      <c r="V55" s="13">
        <v>4027</v>
      </c>
      <c r="W55" s="13">
        <v>4046</v>
      </c>
      <c r="X55" s="13">
        <v>4105</v>
      </c>
      <c r="Y55" s="13">
        <v>4149</v>
      </c>
      <c r="Z55" s="13">
        <v>4162</v>
      </c>
      <c r="AA55" s="13">
        <v>4111</v>
      </c>
      <c r="AB55" s="13">
        <v>4074</v>
      </c>
      <c r="AC55" s="13">
        <v>4079</v>
      </c>
      <c r="AD55" s="13">
        <v>4083</v>
      </c>
      <c r="AE55" s="13">
        <v>4141</v>
      </c>
      <c r="AF55" s="13">
        <v>4167</v>
      </c>
      <c r="AG55" s="13">
        <v>4111</v>
      </c>
      <c r="AH55" s="13">
        <v>4068</v>
      </c>
      <c r="AI55" s="13">
        <v>4096</v>
      </c>
      <c r="AJ55" s="13">
        <v>4121</v>
      </c>
      <c r="AK55" s="13">
        <v>4127</v>
      </c>
      <c r="AL55" s="13">
        <v>4106</v>
      </c>
      <c r="AM55" s="13">
        <v>4076</v>
      </c>
      <c r="AN55" s="13">
        <v>3991</v>
      </c>
      <c r="AO55" s="13">
        <v>3979</v>
      </c>
      <c r="AP55" s="13">
        <v>3933</v>
      </c>
      <c r="AQ55" s="13">
        <v>3837</v>
      </c>
      <c r="AR55" s="13">
        <v>3846</v>
      </c>
      <c r="AS55" s="13">
        <v>3842</v>
      </c>
      <c r="AT55" s="13">
        <v>3772</v>
      </c>
      <c r="AU55" s="13">
        <v>3795</v>
      </c>
      <c r="AV55" s="13">
        <v>3872</v>
      </c>
      <c r="AW55" s="13">
        <v>3778</v>
      </c>
      <c r="AX55" s="13">
        <v>3890</v>
      </c>
      <c r="AY55" s="13">
        <v>3864</v>
      </c>
      <c r="AZ55" s="13">
        <v>3949</v>
      </c>
      <c r="BA55" s="13">
        <v>3973</v>
      </c>
      <c r="BB55" s="13">
        <v>3996</v>
      </c>
      <c r="BC55" s="13">
        <v>4344</v>
      </c>
      <c r="BD55" s="13">
        <v>4018</v>
      </c>
      <c r="BE55" s="13">
        <v>4003</v>
      </c>
      <c r="BF55" s="13">
        <v>3822</v>
      </c>
      <c r="BG55" s="13">
        <v>3706</v>
      </c>
      <c r="BH55" s="13">
        <v>3433</v>
      </c>
      <c r="BI55" s="13">
        <v>3445</v>
      </c>
      <c r="BJ55" s="13">
        <v>3363</v>
      </c>
      <c r="BK55" s="13">
        <v>3388</v>
      </c>
      <c r="BL55" s="13">
        <v>3531</v>
      </c>
      <c r="BM55" s="4">
        <v>3531</v>
      </c>
      <c r="BN55" s="4">
        <v>3438</v>
      </c>
      <c r="BO55" s="4">
        <v>3239</v>
      </c>
      <c r="BP55" s="4">
        <v>3207</v>
      </c>
      <c r="BQ55" s="4">
        <v>3152</v>
      </c>
      <c r="BR55" s="4">
        <v>3220</v>
      </c>
      <c r="BS55" s="4">
        <v>3226</v>
      </c>
      <c r="BT55" s="4">
        <v>3288</v>
      </c>
      <c r="BU55" s="4">
        <v>3397</v>
      </c>
      <c r="BV55" s="4">
        <v>3383</v>
      </c>
      <c r="BW55" s="4">
        <v>3353</v>
      </c>
      <c r="BX55" s="4">
        <v>3409</v>
      </c>
      <c r="BY55" s="4">
        <v>3399</v>
      </c>
      <c r="BZ55" s="4">
        <v>3349</v>
      </c>
    </row>
    <row r="56" spans="1:254" ht="15.9" customHeight="1">
      <c r="A56" s="61" t="s">
        <v>107</v>
      </c>
      <c r="B56" s="6" t="s">
        <v>108</v>
      </c>
      <c r="C56" s="15">
        <f>_xll.RssMarket("9412","現在値")</f>
        <v>2242</v>
      </c>
      <c r="D56" s="16">
        <f t="shared" si="1"/>
        <v>0</v>
      </c>
      <c r="E56" s="13">
        <v>2242</v>
      </c>
      <c r="F56" s="13">
        <v>2500</v>
      </c>
      <c r="G56" s="13">
        <v>2214</v>
      </c>
      <c r="H56" s="13">
        <v>2156</v>
      </c>
      <c r="I56" s="13">
        <v>2102</v>
      </c>
      <c r="J56" s="13">
        <v>2048</v>
      </c>
      <c r="K56" s="13">
        <v>2040</v>
      </c>
      <c r="L56" s="13">
        <v>2173</v>
      </c>
      <c r="M56" s="13">
        <v>2216</v>
      </c>
      <c r="N56" s="13">
        <v>2213</v>
      </c>
      <c r="O56" s="13">
        <v>2260</v>
      </c>
      <c r="P56" s="13">
        <v>2299</v>
      </c>
      <c r="Q56" s="13">
        <v>2285</v>
      </c>
      <c r="R56" s="13">
        <v>2277</v>
      </c>
      <c r="S56" s="13">
        <v>2435</v>
      </c>
      <c r="T56" s="13">
        <v>2481</v>
      </c>
      <c r="U56" s="13">
        <v>2487</v>
      </c>
      <c r="V56" s="13">
        <v>2530</v>
      </c>
      <c r="W56" s="13">
        <v>2576</v>
      </c>
      <c r="X56" s="13">
        <v>2556</v>
      </c>
      <c r="Y56" s="13">
        <v>2660</v>
      </c>
      <c r="Z56" s="13">
        <v>2664</v>
      </c>
      <c r="AA56" s="13">
        <v>2766</v>
      </c>
      <c r="AB56" s="13">
        <v>2610</v>
      </c>
      <c r="AC56" s="13">
        <v>2552</v>
      </c>
      <c r="AD56" s="13">
        <v>2677</v>
      </c>
      <c r="AE56" s="13">
        <v>2593</v>
      </c>
      <c r="AF56" s="13">
        <v>2485</v>
      </c>
      <c r="AG56" s="13">
        <v>2592</v>
      </c>
      <c r="AH56" s="13">
        <v>2794</v>
      </c>
      <c r="AI56" s="13">
        <v>2863</v>
      </c>
      <c r="AJ56" s="13">
        <v>3235</v>
      </c>
      <c r="AK56" s="13">
        <v>3200</v>
      </c>
      <c r="AL56" s="13">
        <v>3275</v>
      </c>
      <c r="AM56" s="13">
        <v>3355</v>
      </c>
      <c r="AN56" s="13">
        <v>3270</v>
      </c>
      <c r="AO56" s="13">
        <v>3220</v>
      </c>
      <c r="AP56" s="13">
        <v>3485</v>
      </c>
      <c r="AQ56" s="13">
        <v>3240</v>
      </c>
      <c r="AR56" s="13">
        <v>3165</v>
      </c>
      <c r="AS56" s="13">
        <v>3495</v>
      </c>
      <c r="AT56" s="13">
        <v>3645</v>
      </c>
      <c r="AU56" s="13">
        <v>3415</v>
      </c>
      <c r="AV56" s="13">
        <v>3720</v>
      </c>
      <c r="AW56" s="13">
        <v>3755</v>
      </c>
      <c r="AX56" s="13">
        <v>4470</v>
      </c>
      <c r="AY56" s="13">
        <v>4535</v>
      </c>
      <c r="AZ56" s="13">
        <v>4455</v>
      </c>
      <c r="BA56" s="13">
        <v>4455</v>
      </c>
      <c r="BB56" s="13">
        <v>4260</v>
      </c>
      <c r="BC56" s="13">
        <v>4115</v>
      </c>
      <c r="BD56" s="13">
        <v>4190</v>
      </c>
      <c r="BE56" s="13">
        <v>4045</v>
      </c>
      <c r="BF56" s="13">
        <v>4040</v>
      </c>
      <c r="BG56" s="13">
        <v>4180</v>
      </c>
      <c r="BH56" s="13">
        <v>4145</v>
      </c>
      <c r="BI56" s="13">
        <v>4205</v>
      </c>
      <c r="BJ56" s="13">
        <v>4030</v>
      </c>
      <c r="BK56" s="13">
        <v>3750</v>
      </c>
      <c r="BL56" s="13">
        <v>3690</v>
      </c>
      <c r="BM56" s="4">
        <v>3485</v>
      </c>
      <c r="BN56" s="4">
        <v>3515</v>
      </c>
      <c r="BO56" s="4">
        <v>3450</v>
      </c>
      <c r="BP56" s="4">
        <v>3315</v>
      </c>
      <c r="BQ56" s="4">
        <v>3090</v>
      </c>
      <c r="BR56" s="4">
        <v>3285</v>
      </c>
      <c r="BS56" s="4">
        <v>3170</v>
      </c>
      <c r="BT56" s="4">
        <v>3170</v>
      </c>
      <c r="BU56" s="4">
        <v>3405</v>
      </c>
      <c r="BV56" s="4">
        <v>3325</v>
      </c>
      <c r="BW56" s="4">
        <v>3370</v>
      </c>
      <c r="BX56" s="4">
        <v>3235</v>
      </c>
      <c r="BY56" s="4">
        <v>3145</v>
      </c>
      <c r="BZ56" s="4">
        <v>3155</v>
      </c>
    </row>
    <row r="57" spans="1:254" ht="15.9" customHeight="1">
      <c r="A57" s="61" t="s">
        <v>109</v>
      </c>
      <c r="B57" s="6" t="s">
        <v>110</v>
      </c>
      <c r="C57" s="15">
        <f>_xll.RssMarket("6203","現在値")</f>
        <v>1459</v>
      </c>
      <c r="D57" s="16">
        <f t="shared" si="1"/>
        <v>0</v>
      </c>
      <c r="E57" s="13">
        <v>1459</v>
      </c>
      <c r="F57" s="13">
        <v>1475</v>
      </c>
      <c r="G57" s="13">
        <v>1383</v>
      </c>
      <c r="H57" s="13">
        <v>1360</v>
      </c>
      <c r="I57" s="13">
        <v>1381</v>
      </c>
      <c r="J57" s="13">
        <v>1352</v>
      </c>
      <c r="K57" s="13">
        <v>1324</v>
      </c>
      <c r="L57" s="13">
        <v>1373</v>
      </c>
      <c r="M57" s="13">
        <v>1435</v>
      </c>
      <c r="N57" s="13">
        <v>1434</v>
      </c>
      <c r="O57" s="13">
        <v>1442</v>
      </c>
      <c r="P57" s="13">
        <v>1440</v>
      </c>
      <c r="Q57" s="13">
        <v>1465</v>
      </c>
      <c r="R57" s="13">
        <v>1426</v>
      </c>
      <c r="S57" s="13">
        <v>1650</v>
      </c>
      <c r="T57" s="13">
        <v>1595</v>
      </c>
      <c r="U57" s="13">
        <v>1601</v>
      </c>
      <c r="V57" s="13">
        <v>1641</v>
      </c>
      <c r="W57" s="13">
        <v>1595</v>
      </c>
      <c r="X57" s="13">
        <v>1589</v>
      </c>
      <c r="Y57" s="13">
        <v>1672</v>
      </c>
      <c r="Z57" s="13">
        <v>1678</v>
      </c>
      <c r="AA57" s="13">
        <v>1635</v>
      </c>
      <c r="AB57" s="13">
        <v>1569</v>
      </c>
      <c r="AC57" s="13">
        <v>1513</v>
      </c>
      <c r="AD57" s="13">
        <v>1508</v>
      </c>
      <c r="AE57" s="13">
        <v>1548</v>
      </c>
      <c r="AF57" s="13">
        <v>1607</v>
      </c>
      <c r="AG57" s="13">
        <v>1581</v>
      </c>
      <c r="AH57" s="13">
        <v>1579</v>
      </c>
      <c r="AI57" s="13">
        <v>1594</v>
      </c>
      <c r="AJ57" s="13">
        <v>1709</v>
      </c>
      <c r="AK57" s="13">
        <v>1619</v>
      </c>
      <c r="AL57" s="13">
        <v>1700</v>
      </c>
      <c r="AM57" s="13">
        <v>1630</v>
      </c>
      <c r="AN57" s="13">
        <v>1556</v>
      </c>
      <c r="AO57" s="13">
        <v>1548</v>
      </c>
      <c r="AP57" s="13">
        <v>1541</v>
      </c>
      <c r="AQ57" s="13">
        <v>1605</v>
      </c>
      <c r="AR57" s="13">
        <v>1676</v>
      </c>
      <c r="AS57" s="13">
        <v>1795</v>
      </c>
      <c r="AT57" s="13">
        <v>1817</v>
      </c>
      <c r="AU57" s="13">
        <v>1750</v>
      </c>
      <c r="AV57" s="13">
        <v>1830</v>
      </c>
      <c r="AW57" s="13">
        <v>1927</v>
      </c>
      <c r="AX57" s="13">
        <v>1783</v>
      </c>
      <c r="AY57" s="13">
        <v>1670</v>
      </c>
      <c r="AZ57" s="13">
        <v>1370</v>
      </c>
      <c r="BA57" s="13">
        <v>1369</v>
      </c>
      <c r="BB57" s="13">
        <v>1353</v>
      </c>
      <c r="BC57" s="13">
        <v>1318</v>
      </c>
      <c r="BD57" s="13">
        <v>1276</v>
      </c>
      <c r="BE57" s="13">
        <v>1323</v>
      </c>
      <c r="BF57" s="13">
        <v>1301</v>
      </c>
      <c r="BG57" s="13">
        <v>1388</v>
      </c>
      <c r="BH57" s="13">
        <v>1390</v>
      </c>
      <c r="BI57" s="13">
        <v>1457</v>
      </c>
      <c r="BJ57" s="13">
        <v>1455</v>
      </c>
      <c r="BK57" s="13">
        <v>1539</v>
      </c>
      <c r="BL57" s="13">
        <v>1506</v>
      </c>
      <c r="BM57" s="4">
        <v>1537</v>
      </c>
      <c r="BN57" s="4">
        <v>1525</v>
      </c>
      <c r="BO57" s="4">
        <v>1521</v>
      </c>
      <c r="BP57" s="4">
        <v>1585</v>
      </c>
      <c r="BQ57" s="4">
        <v>1505</v>
      </c>
      <c r="BR57" s="4">
        <v>1493</v>
      </c>
      <c r="BS57" s="4">
        <v>1511</v>
      </c>
      <c r="BT57" s="4">
        <v>1543</v>
      </c>
      <c r="BU57" s="4">
        <v>1403</v>
      </c>
      <c r="BV57" s="4">
        <v>1357</v>
      </c>
      <c r="BW57" s="4">
        <v>1360</v>
      </c>
      <c r="BX57" s="4">
        <v>1360</v>
      </c>
      <c r="BY57" s="4">
        <v>1393</v>
      </c>
      <c r="BZ57" s="4">
        <v>1449</v>
      </c>
    </row>
    <row r="58" spans="1:254" ht="15.9" customHeight="1">
      <c r="A58" s="61" t="s">
        <v>111</v>
      </c>
      <c r="B58" s="6" t="s">
        <v>112</v>
      </c>
      <c r="C58" s="15">
        <f>_xll.RssMarket("4676","現在値")</f>
        <v>4051</v>
      </c>
      <c r="D58" s="16">
        <f t="shared" si="1"/>
        <v>0</v>
      </c>
      <c r="E58" s="13">
        <v>4051</v>
      </c>
      <c r="F58" s="13">
        <v>4084</v>
      </c>
      <c r="G58" s="13">
        <v>3876</v>
      </c>
      <c r="H58" s="13">
        <v>3919</v>
      </c>
      <c r="I58" s="13">
        <v>3981</v>
      </c>
      <c r="J58" s="13">
        <v>4150</v>
      </c>
      <c r="K58" s="13">
        <v>4259</v>
      </c>
      <c r="L58" s="13">
        <v>4206</v>
      </c>
      <c r="M58" s="13">
        <v>4166</v>
      </c>
      <c r="N58" s="13">
        <v>4055</v>
      </c>
      <c r="O58" s="13">
        <v>4020</v>
      </c>
      <c r="P58" s="13">
        <v>4100</v>
      </c>
      <c r="Q58" s="13">
        <v>4114</v>
      </c>
      <c r="R58" s="13">
        <v>4029</v>
      </c>
      <c r="S58" s="13">
        <v>4186</v>
      </c>
      <c r="T58" s="13">
        <v>4177</v>
      </c>
      <c r="U58" s="13">
        <v>4158</v>
      </c>
      <c r="V58" s="13">
        <v>4113</v>
      </c>
      <c r="W58" s="13">
        <v>4075</v>
      </c>
      <c r="X58" s="13">
        <v>4065</v>
      </c>
      <c r="Y58" s="13">
        <v>4145</v>
      </c>
      <c r="Z58" s="13">
        <v>4083</v>
      </c>
      <c r="AA58" s="13">
        <v>3970</v>
      </c>
      <c r="AB58" s="13">
        <v>3996</v>
      </c>
      <c r="AC58" s="13">
        <v>3933</v>
      </c>
      <c r="AD58" s="13">
        <v>3829</v>
      </c>
      <c r="AE58" s="13">
        <v>3825</v>
      </c>
      <c r="AF58" s="13">
        <v>3843</v>
      </c>
      <c r="AG58" s="13">
        <v>3989</v>
      </c>
      <c r="AH58" s="13">
        <v>3806</v>
      </c>
      <c r="AI58" s="13">
        <v>3900</v>
      </c>
      <c r="AJ58" s="13">
        <v>4103</v>
      </c>
      <c r="AK58" s="13">
        <v>4001</v>
      </c>
      <c r="AL58" s="13">
        <v>4022</v>
      </c>
      <c r="AM58" s="13">
        <v>4007</v>
      </c>
      <c r="AN58" s="13">
        <v>4021</v>
      </c>
      <c r="AO58" s="13">
        <v>4065</v>
      </c>
      <c r="AP58" s="13">
        <v>4045</v>
      </c>
      <c r="AQ58" s="13">
        <v>4094</v>
      </c>
      <c r="AR58" s="13">
        <v>4122</v>
      </c>
      <c r="AS58" s="13">
        <v>4129</v>
      </c>
      <c r="AT58" s="13">
        <v>4176</v>
      </c>
      <c r="AU58" s="13">
        <v>3838</v>
      </c>
      <c r="AV58" s="13">
        <v>3843</v>
      </c>
      <c r="AW58" s="13">
        <v>3866</v>
      </c>
      <c r="AX58" s="13">
        <v>3774</v>
      </c>
      <c r="AY58" s="13">
        <v>3737</v>
      </c>
      <c r="AZ58" s="13">
        <v>3744</v>
      </c>
      <c r="BA58" s="13">
        <v>3701</v>
      </c>
      <c r="BB58" s="13">
        <v>3802</v>
      </c>
      <c r="BC58" s="13">
        <v>3808</v>
      </c>
      <c r="BD58" s="13">
        <v>3834</v>
      </c>
      <c r="BE58" s="13">
        <v>3808</v>
      </c>
      <c r="BF58" s="13">
        <v>3701</v>
      </c>
      <c r="BG58" s="13">
        <v>3814</v>
      </c>
      <c r="BH58" s="13">
        <v>3789</v>
      </c>
      <c r="BI58" s="13">
        <v>3862</v>
      </c>
      <c r="BJ58" s="13">
        <v>3861</v>
      </c>
      <c r="BK58" s="13">
        <v>3965</v>
      </c>
      <c r="BL58" s="13">
        <v>3928</v>
      </c>
      <c r="BM58" s="4">
        <v>3955</v>
      </c>
      <c r="BN58" s="4">
        <v>3910</v>
      </c>
      <c r="BO58" s="4">
        <v>3857</v>
      </c>
      <c r="BP58" s="4">
        <v>3879</v>
      </c>
      <c r="BQ58" s="4">
        <v>3937</v>
      </c>
      <c r="BR58" s="4">
        <v>4059</v>
      </c>
      <c r="BS58" s="4">
        <v>3969</v>
      </c>
      <c r="BT58" s="4">
        <v>3979</v>
      </c>
      <c r="BU58" s="4">
        <v>3932</v>
      </c>
      <c r="BV58" s="4">
        <v>4066</v>
      </c>
      <c r="BW58" s="4">
        <v>3773</v>
      </c>
      <c r="BX58" s="4">
        <v>3904</v>
      </c>
      <c r="BY58" s="4">
        <v>4164</v>
      </c>
      <c r="BZ58" s="4">
        <v>4198</v>
      </c>
    </row>
    <row r="59" spans="1:254" ht="15.9" customHeight="1">
      <c r="A59" s="61" t="s">
        <v>113</v>
      </c>
      <c r="B59" s="6" t="s">
        <v>114</v>
      </c>
      <c r="C59" s="15">
        <f>_xll.RssMarket("1961","現在値")</f>
        <v>2394</v>
      </c>
      <c r="D59" s="16">
        <f t="shared" si="1"/>
        <v>0</v>
      </c>
      <c r="E59" s="13">
        <v>2394</v>
      </c>
      <c r="F59" s="13">
        <v>2456</v>
      </c>
      <c r="G59" s="13">
        <v>2312</v>
      </c>
      <c r="H59" s="13">
        <v>2222</v>
      </c>
      <c r="I59" s="13">
        <v>2309</v>
      </c>
      <c r="J59" s="13">
        <v>2226</v>
      </c>
      <c r="K59" s="13">
        <v>2203</v>
      </c>
      <c r="L59" s="13">
        <v>2338</v>
      </c>
      <c r="M59" s="13">
        <v>2472</v>
      </c>
      <c r="N59" s="13">
        <v>2438</v>
      </c>
      <c r="O59" s="13">
        <v>2444</v>
      </c>
      <c r="P59" s="13">
        <v>2489</v>
      </c>
      <c r="Q59" s="13">
        <v>2475</v>
      </c>
      <c r="R59" s="13">
        <v>2470</v>
      </c>
      <c r="S59" s="13">
        <v>2628</v>
      </c>
      <c r="T59" s="13">
        <v>2550</v>
      </c>
      <c r="U59" s="13">
        <v>2552</v>
      </c>
      <c r="V59" s="13">
        <v>2650</v>
      </c>
      <c r="W59" s="13">
        <v>2667</v>
      </c>
      <c r="X59" s="13">
        <v>2640</v>
      </c>
      <c r="Y59" s="13">
        <v>2817</v>
      </c>
      <c r="Z59" s="13">
        <v>2899</v>
      </c>
      <c r="AA59" s="13">
        <v>2796</v>
      </c>
      <c r="AB59" s="13">
        <v>2851</v>
      </c>
      <c r="AC59" s="13">
        <v>2867</v>
      </c>
      <c r="AD59" s="13">
        <v>2962</v>
      </c>
      <c r="AE59" s="13">
        <v>3050</v>
      </c>
      <c r="AF59" s="13">
        <v>3120</v>
      </c>
      <c r="AG59" s="13">
        <v>3125</v>
      </c>
      <c r="AH59" s="13">
        <v>3040</v>
      </c>
      <c r="AI59" s="13">
        <v>3025</v>
      </c>
      <c r="AJ59" s="13">
        <v>3125</v>
      </c>
      <c r="AK59" s="13">
        <v>3035</v>
      </c>
      <c r="AL59" s="13">
        <v>2951</v>
      </c>
      <c r="AM59" s="13">
        <v>2700</v>
      </c>
      <c r="AN59" s="13">
        <v>2590</v>
      </c>
      <c r="AO59" s="13">
        <v>2665</v>
      </c>
      <c r="AP59" s="13">
        <v>2470</v>
      </c>
      <c r="AQ59" s="13">
        <v>2453</v>
      </c>
      <c r="AR59" s="13">
        <v>2463</v>
      </c>
      <c r="AS59" s="13">
        <v>2312</v>
      </c>
      <c r="AT59" s="13">
        <v>2318</v>
      </c>
      <c r="AU59" s="13">
        <v>2253</v>
      </c>
      <c r="AV59" s="13">
        <v>2160</v>
      </c>
      <c r="AW59" s="13">
        <v>2160</v>
      </c>
      <c r="AX59" s="13">
        <v>2316</v>
      </c>
      <c r="AY59" s="13">
        <v>2257</v>
      </c>
      <c r="AZ59" s="13">
        <v>2227</v>
      </c>
      <c r="BA59" s="13">
        <v>2232</v>
      </c>
      <c r="BB59" s="13">
        <v>2189</v>
      </c>
      <c r="BC59" s="13">
        <v>2181</v>
      </c>
      <c r="BD59" s="13">
        <v>2267</v>
      </c>
      <c r="BE59" s="13">
        <v>2398</v>
      </c>
      <c r="BF59" s="13">
        <v>2414</v>
      </c>
      <c r="BG59" s="13">
        <v>2575</v>
      </c>
      <c r="BH59" s="13">
        <v>2646</v>
      </c>
      <c r="BI59" s="13">
        <v>2596</v>
      </c>
      <c r="BJ59" s="13">
        <v>2646</v>
      </c>
      <c r="BK59" s="13">
        <v>2608</v>
      </c>
      <c r="BL59" s="13">
        <v>2517</v>
      </c>
      <c r="BM59" s="4">
        <v>2549</v>
      </c>
      <c r="BN59" s="4">
        <v>2424</v>
      </c>
      <c r="BO59" s="4">
        <v>2409</v>
      </c>
      <c r="BP59" s="4">
        <v>2413</v>
      </c>
      <c r="BQ59" s="4">
        <v>2340</v>
      </c>
      <c r="BR59" s="4">
        <v>2326.6666</v>
      </c>
      <c r="BS59" s="4">
        <v>2266.6666</v>
      </c>
      <c r="BT59" s="4">
        <v>2330</v>
      </c>
      <c r="BU59" s="4">
        <v>2380</v>
      </c>
      <c r="BV59" s="4">
        <v>2353.3332999999998</v>
      </c>
      <c r="BW59" s="4">
        <v>2393.3332999999998</v>
      </c>
      <c r="BX59" s="4">
        <v>2440</v>
      </c>
      <c r="BY59" s="4">
        <v>2436.6666</v>
      </c>
      <c r="BZ59" s="4">
        <v>2660</v>
      </c>
    </row>
    <row r="60" spans="1:254" ht="15.9" customHeight="1">
      <c r="A60" s="61" t="s">
        <v>115</v>
      </c>
      <c r="B60" s="6" t="s">
        <v>116</v>
      </c>
      <c r="C60" s="15">
        <f>_xll.RssMarket("3107","現在値")</f>
        <v>3735</v>
      </c>
      <c r="D60" s="16">
        <f t="shared" si="1"/>
        <v>0</v>
      </c>
      <c r="E60" s="13">
        <v>3735</v>
      </c>
      <c r="F60" s="13">
        <v>3748</v>
      </c>
      <c r="G60" s="13">
        <v>3605</v>
      </c>
      <c r="H60" s="13">
        <v>3535</v>
      </c>
      <c r="I60" s="13">
        <v>3576</v>
      </c>
      <c r="J60" s="13">
        <v>3602</v>
      </c>
      <c r="K60" s="13">
        <v>3655</v>
      </c>
      <c r="L60" s="13">
        <v>3594</v>
      </c>
      <c r="M60" s="13">
        <v>3599</v>
      </c>
      <c r="N60" s="13">
        <v>3512</v>
      </c>
      <c r="O60" s="13">
        <v>3467</v>
      </c>
      <c r="P60" s="13">
        <v>3481</v>
      </c>
      <c r="Q60" s="13">
        <v>3478</v>
      </c>
      <c r="R60" s="13">
        <v>3392</v>
      </c>
      <c r="S60" s="13">
        <v>3454</v>
      </c>
      <c r="T60" s="13">
        <v>3414</v>
      </c>
      <c r="U60" s="13">
        <v>3341</v>
      </c>
      <c r="V60" s="13">
        <v>3392</v>
      </c>
      <c r="W60" s="13">
        <v>3402</v>
      </c>
      <c r="X60" s="13">
        <v>3394</v>
      </c>
      <c r="Y60" s="13">
        <v>3447</v>
      </c>
      <c r="Z60" s="13">
        <v>3500</v>
      </c>
      <c r="AA60" s="13">
        <v>3504</v>
      </c>
      <c r="AB60" s="13">
        <v>3462</v>
      </c>
      <c r="AC60" s="13">
        <v>3416</v>
      </c>
      <c r="AD60" s="13">
        <v>3449</v>
      </c>
      <c r="AE60" s="13">
        <v>3513</v>
      </c>
      <c r="AF60" s="13">
        <v>3420</v>
      </c>
      <c r="AG60" s="13">
        <v>3385</v>
      </c>
      <c r="AH60" s="13">
        <v>3323</v>
      </c>
      <c r="AI60" s="13">
        <v>3330</v>
      </c>
      <c r="AJ60" s="13">
        <v>3344</v>
      </c>
      <c r="AK60" s="13">
        <v>3333</v>
      </c>
      <c r="AL60" s="13">
        <v>3357</v>
      </c>
      <c r="AM60" s="13">
        <v>3330</v>
      </c>
      <c r="AN60" s="13">
        <v>3409</v>
      </c>
      <c r="AO60" s="13">
        <v>3463</v>
      </c>
      <c r="AP60" s="13">
        <v>3411</v>
      </c>
      <c r="AQ60" s="13">
        <v>3451</v>
      </c>
      <c r="AR60" s="13">
        <v>3452</v>
      </c>
      <c r="AS60" s="13">
        <v>3501</v>
      </c>
      <c r="AT60" s="13">
        <v>3513</v>
      </c>
      <c r="AU60" s="13">
        <v>3497</v>
      </c>
      <c r="AV60" s="13">
        <v>3589</v>
      </c>
      <c r="AW60" s="13">
        <v>3533</v>
      </c>
      <c r="AX60" s="13">
        <v>3422</v>
      </c>
      <c r="AY60" s="13">
        <v>3396</v>
      </c>
      <c r="AZ60" s="13">
        <v>3346</v>
      </c>
      <c r="BA60" s="13">
        <v>3359</v>
      </c>
      <c r="BB60" s="13">
        <v>3485</v>
      </c>
      <c r="BC60" s="13">
        <v>3534</v>
      </c>
      <c r="BD60" s="13">
        <v>3514</v>
      </c>
      <c r="BE60" s="13">
        <v>3581</v>
      </c>
      <c r="BF60" s="13">
        <v>3514</v>
      </c>
      <c r="BG60" s="13">
        <v>3450</v>
      </c>
      <c r="BH60" s="13">
        <v>3426</v>
      </c>
      <c r="BI60" s="13">
        <v>3415</v>
      </c>
      <c r="BJ60" s="13">
        <v>3392</v>
      </c>
      <c r="BK60" s="13">
        <v>3385</v>
      </c>
      <c r="BL60" s="13">
        <v>3403</v>
      </c>
      <c r="BM60" s="4">
        <v>3297</v>
      </c>
      <c r="BN60" s="4">
        <v>3202</v>
      </c>
      <c r="BO60" s="4">
        <v>3207</v>
      </c>
      <c r="BP60" s="4">
        <v>3213</v>
      </c>
      <c r="BQ60" s="4">
        <v>3159</v>
      </c>
      <c r="BR60" s="4">
        <v>3134</v>
      </c>
      <c r="BS60" s="4">
        <v>3107</v>
      </c>
      <c r="BT60" s="4">
        <v>3109</v>
      </c>
      <c r="BU60" s="4">
        <v>3099</v>
      </c>
      <c r="BV60" s="4">
        <v>3126</v>
      </c>
      <c r="BW60" s="4">
        <v>3166</v>
      </c>
      <c r="BX60" s="4">
        <v>3165</v>
      </c>
      <c r="BY60" s="4">
        <v>3158</v>
      </c>
      <c r="BZ60" s="4">
        <v>3137</v>
      </c>
    </row>
    <row r="61" spans="1:254" ht="15.9" customHeight="1">
      <c r="A61" s="61" t="s">
        <v>117</v>
      </c>
      <c r="B61" s="6" t="s">
        <v>118</v>
      </c>
      <c r="C61" s="15">
        <f>_xll.RssMarket("4045","現在値")</f>
        <v>1848</v>
      </c>
      <c r="D61" s="16">
        <f t="shared" si="1"/>
        <v>0</v>
      </c>
      <c r="E61" s="13">
        <v>1848</v>
      </c>
      <c r="F61" s="13">
        <v>1841</v>
      </c>
      <c r="G61" s="13">
        <v>1825.5</v>
      </c>
      <c r="H61" s="13">
        <v>1832.5</v>
      </c>
      <c r="I61" s="13">
        <v>1796</v>
      </c>
      <c r="J61" s="13">
        <v>1790</v>
      </c>
      <c r="K61" s="13">
        <v>1795.5</v>
      </c>
      <c r="L61" s="13">
        <v>1787.5</v>
      </c>
      <c r="M61" s="13">
        <v>1801.5</v>
      </c>
      <c r="N61" s="13">
        <v>1768.5</v>
      </c>
      <c r="O61" s="13">
        <v>1770</v>
      </c>
      <c r="P61" s="13">
        <v>1771</v>
      </c>
      <c r="Q61" s="13">
        <v>1745</v>
      </c>
      <c r="R61" s="13">
        <v>1723.5</v>
      </c>
      <c r="S61" s="13">
        <v>1745</v>
      </c>
      <c r="T61" s="13">
        <v>1734.5</v>
      </c>
      <c r="U61" s="13">
        <v>1706</v>
      </c>
      <c r="V61" s="13">
        <v>1724</v>
      </c>
      <c r="W61" s="13">
        <v>1739.5</v>
      </c>
      <c r="X61" s="13">
        <v>1737</v>
      </c>
      <c r="Y61" s="13">
        <v>1755</v>
      </c>
      <c r="Z61" s="13">
        <v>1784</v>
      </c>
      <c r="AA61" s="13">
        <v>1771</v>
      </c>
      <c r="AB61" s="13">
        <v>1754.5</v>
      </c>
      <c r="AC61" s="13">
        <v>1734.5</v>
      </c>
      <c r="AD61" s="13">
        <v>1740.5</v>
      </c>
      <c r="AE61" s="13">
        <v>1753.5</v>
      </c>
      <c r="AF61" s="13">
        <v>1780</v>
      </c>
      <c r="AG61" s="13">
        <v>1782.5</v>
      </c>
      <c r="AH61" s="13">
        <v>1755.5</v>
      </c>
      <c r="AI61" s="13">
        <v>1742.5</v>
      </c>
      <c r="AJ61" s="13">
        <v>1764</v>
      </c>
      <c r="AK61" s="13">
        <v>1759</v>
      </c>
      <c r="AL61" s="13">
        <v>1775</v>
      </c>
      <c r="AM61" s="13">
        <v>1758.5</v>
      </c>
      <c r="AN61" s="13">
        <v>1759</v>
      </c>
      <c r="AO61" s="13">
        <v>1766</v>
      </c>
      <c r="AP61" s="13">
        <v>1728</v>
      </c>
      <c r="AQ61" s="13">
        <v>1706.5</v>
      </c>
      <c r="AR61" s="13">
        <v>1694</v>
      </c>
      <c r="AS61" s="13">
        <v>1720</v>
      </c>
      <c r="AT61" s="13">
        <v>1731.5</v>
      </c>
      <c r="AU61" s="13">
        <v>1744</v>
      </c>
      <c r="AV61" s="13">
        <v>1758</v>
      </c>
      <c r="AW61" s="13">
        <v>1738.5</v>
      </c>
      <c r="AX61" s="13">
        <v>1759</v>
      </c>
      <c r="AY61" s="13">
        <v>1747</v>
      </c>
      <c r="AZ61" s="13">
        <v>1734.5</v>
      </c>
      <c r="BA61" s="13">
        <v>1730.5</v>
      </c>
      <c r="BB61" s="13">
        <v>1713.5</v>
      </c>
      <c r="BC61" s="13">
        <v>1704</v>
      </c>
      <c r="BD61" s="13">
        <v>1685.5</v>
      </c>
      <c r="BE61" s="13">
        <v>1729</v>
      </c>
      <c r="BF61" s="13">
        <v>1746.5</v>
      </c>
      <c r="BG61" s="13">
        <v>1748.5</v>
      </c>
      <c r="BH61" s="13">
        <v>1763</v>
      </c>
      <c r="BI61" s="13">
        <v>1746</v>
      </c>
      <c r="BJ61" s="13">
        <v>1733.5</v>
      </c>
      <c r="BK61" s="13">
        <v>1725</v>
      </c>
      <c r="BL61" s="13">
        <v>1719</v>
      </c>
      <c r="BM61" s="4">
        <v>1734</v>
      </c>
      <c r="BN61" s="4">
        <v>1715.5</v>
      </c>
      <c r="BO61" s="4">
        <v>1702.5</v>
      </c>
      <c r="BP61" s="4">
        <v>1719</v>
      </c>
      <c r="BQ61" s="4">
        <v>1708</v>
      </c>
      <c r="BR61" s="4">
        <v>1745</v>
      </c>
      <c r="BS61" s="4">
        <v>1775.5</v>
      </c>
      <c r="BT61" s="4">
        <v>1760</v>
      </c>
      <c r="BU61" s="4">
        <v>1790</v>
      </c>
      <c r="BV61" s="4">
        <v>1785</v>
      </c>
      <c r="BW61" s="4">
        <v>1802</v>
      </c>
      <c r="BX61" s="4">
        <v>1803.5</v>
      </c>
      <c r="BY61" s="4">
        <v>1782.5</v>
      </c>
      <c r="BZ61" s="4">
        <v>1781.5</v>
      </c>
    </row>
    <row r="62" spans="1:254" ht="15.9" customHeight="1">
      <c r="A62" s="61" t="s">
        <v>119</v>
      </c>
      <c r="B62" s="6" t="s">
        <v>120</v>
      </c>
      <c r="C62" s="15">
        <f>_xll.RssMarket("5857","現在値")</f>
        <v>3460</v>
      </c>
      <c r="D62" s="16">
        <f t="shared" si="1"/>
        <v>0</v>
      </c>
      <c r="E62" s="13">
        <v>3460</v>
      </c>
      <c r="F62" s="13">
        <v>3290</v>
      </c>
      <c r="G62" s="13">
        <v>3090</v>
      </c>
      <c r="H62" s="13">
        <v>3050</v>
      </c>
      <c r="I62" s="13">
        <v>3095</v>
      </c>
      <c r="J62" s="13">
        <v>2987</v>
      </c>
      <c r="K62" s="13">
        <v>2993</v>
      </c>
      <c r="L62" s="13">
        <v>3055</v>
      </c>
      <c r="M62" s="13">
        <v>3125</v>
      </c>
      <c r="N62" s="13">
        <v>3080</v>
      </c>
      <c r="O62" s="13">
        <v>3160</v>
      </c>
      <c r="P62" s="13">
        <v>3065</v>
      </c>
      <c r="Q62" s="13">
        <v>3030</v>
      </c>
      <c r="R62" s="13">
        <v>2935</v>
      </c>
      <c r="S62" s="13">
        <v>3085</v>
      </c>
      <c r="T62" s="13">
        <v>3045</v>
      </c>
      <c r="U62" s="13">
        <v>2969</v>
      </c>
      <c r="V62" s="13">
        <v>2953</v>
      </c>
      <c r="W62" s="13">
        <v>2953</v>
      </c>
      <c r="X62" s="13">
        <v>2967</v>
      </c>
      <c r="Y62" s="13">
        <v>3005</v>
      </c>
      <c r="Z62" s="13">
        <v>3085</v>
      </c>
      <c r="AA62" s="13">
        <v>3035</v>
      </c>
      <c r="AB62" s="13">
        <v>2960</v>
      </c>
      <c r="AC62" s="13">
        <v>2914</v>
      </c>
      <c r="AD62" s="13">
        <v>2927</v>
      </c>
      <c r="AE62" s="13">
        <v>2951</v>
      </c>
      <c r="AF62" s="13">
        <v>2915</v>
      </c>
      <c r="AG62" s="13">
        <v>2860</v>
      </c>
      <c r="AH62" s="13">
        <v>3090</v>
      </c>
      <c r="AI62" s="13">
        <v>3105</v>
      </c>
      <c r="AJ62" s="13">
        <v>3235</v>
      </c>
      <c r="AK62" s="13">
        <v>3205</v>
      </c>
      <c r="AL62" s="13">
        <v>3190</v>
      </c>
      <c r="AM62" s="13">
        <v>3305</v>
      </c>
      <c r="AN62" s="13">
        <v>3180</v>
      </c>
      <c r="AO62" s="13">
        <v>3215</v>
      </c>
      <c r="AP62" s="13">
        <v>3065</v>
      </c>
      <c r="AQ62" s="13">
        <v>2929</v>
      </c>
      <c r="AR62" s="13">
        <v>3030</v>
      </c>
      <c r="AS62" s="13">
        <v>3095</v>
      </c>
      <c r="AT62" s="13">
        <v>3180</v>
      </c>
      <c r="AU62" s="13">
        <v>3160</v>
      </c>
      <c r="AV62" s="13">
        <v>3300</v>
      </c>
      <c r="AW62" s="13">
        <v>3265</v>
      </c>
      <c r="AX62" s="13">
        <v>3375</v>
      </c>
      <c r="AY62" s="13">
        <v>3265</v>
      </c>
      <c r="AZ62" s="13">
        <v>3335</v>
      </c>
      <c r="BA62" s="13">
        <v>3485</v>
      </c>
      <c r="BB62" s="13">
        <v>3530</v>
      </c>
      <c r="BC62" s="13">
        <v>3425</v>
      </c>
      <c r="BD62" s="13">
        <v>3465</v>
      </c>
      <c r="BE62" s="13">
        <v>3690</v>
      </c>
      <c r="BF62" s="13">
        <v>3715</v>
      </c>
      <c r="BG62" s="13">
        <v>3925</v>
      </c>
      <c r="BH62" s="13">
        <v>3860</v>
      </c>
      <c r="BI62" s="13">
        <v>4060</v>
      </c>
      <c r="BJ62" s="13">
        <v>3875</v>
      </c>
      <c r="BK62" s="13">
        <v>3845</v>
      </c>
      <c r="BL62" s="13">
        <v>4075</v>
      </c>
      <c r="BM62" s="4">
        <v>4010</v>
      </c>
      <c r="BN62" s="4">
        <v>3505</v>
      </c>
      <c r="BO62" s="4">
        <v>3530</v>
      </c>
      <c r="BP62" s="4">
        <v>3645</v>
      </c>
      <c r="BQ62" s="4">
        <v>3635</v>
      </c>
      <c r="BR62" s="4">
        <v>3645</v>
      </c>
      <c r="BS62" s="4">
        <v>3665</v>
      </c>
      <c r="BT62" s="4">
        <v>3795</v>
      </c>
      <c r="BU62" s="4">
        <v>3995</v>
      </c>
      <c r="BV62" s="4">
        <v>3720</v>
      </c>
      <c r="BW62" s="4">
        <v>3800</v>
      </c>
      <c r="BX62" s="4">
        <v>3860</v>
      </c>
      <c r="BY62" s="4">
        <v>3750</v>
      </c>
      <c r="BZ62" s="4">
        <v>3780</v>
      </c>
    </row>
    <row r="63" spans="1:254" ht="15.9" customHeight="1">
      <c r="A63" s="61" t="s">
        <v>121</v>
      </c>
      <c r="B63" s="6" t="s">
        <v>122</v>
      </c>
      <c r="C63" s="15">
        <f>_xll.RssMarket("8281","現在値")</f>
        <v>1085</v>
      </c>
      <c r="D63" s="16">
        <f t="shared" si="1"/>
        <v>0</v>
      </c>
      <c r="E63" s="13">
        <v>1085</v>
      </c>
      <c r="F63" s="13">
        <v>1067</v>
      </c>
      <c r="G63" s="13">
        <v>1074</v>
      </c>
      <c r="H63" s="13">
        <v>1089</v>
      </c>
      <c r="I63" s="13">
        <v>1096</v>
      </c>
      <c r="J63" s="13">
        <v>1121</v>
      </c>
      <c r="K63" s="13">
        <v>1138</v>
      </c>
      <c r="L63" s="13">
        <v>1112</v>
      </c>
      <c r="M63" s="13">
        <v>1117</v>
      </c>
      <c r="N63" s="13"/>
      <c r="O63" s="13">
        <v>1095</v>
      </c>
      <c r="P63" s="13">
        <v>1109</v>
      </c>
      <c r="Q63" s="13">
        <v>1108</v>
      </c>
      <c r="R63" s="13">
        <v>1116</v>
      </c>
      <c r="S63" s="13">
        <v>1095</v>
      </c>
      <c r="T63" s="13">
        <v>1092</v>
      </c>
      <c r="U63" s="13">
        <v>1083</v>
      </c>
      <c r="V63" s="13">
        <v>1091</v>
      </c>
      <c r="W63" s="13">
        <v>1096</v>
      </c>
      <c r="X63" s="13">
        <v>1107</v>
      </c>
      <c r="Y63" s="13">
        <v>1115</v>
      </c>
      <c r="Z63" s="13">
        <v>1107</v>
      </c>
      <c r="AA63" s="13">
        <v>1077</v>
      </c>
      <c r="AB63" s="13">
        <v>1068</v>
      </c>
      <c r="AC63" s="13">
        <v>1053</v>
      </c>
      <c r="AD63" s="13">
        <v>1052</v>
      </c>
      <c r="AE63" s="13">
        <v>1071</v>
      </c>
      <c r="AF63" s="13">
        <v>1066</v>
      </c>
      <c r="AG63" s="13">
        <v>1044</v>
      </c>
      <c r="AH63" s="13">
        <v>1032</v>
      </c>
      <c r="AI63" s="13">
        <v>1028</v>
      </c>
      <c r="AJ63" s="13">
        <v>1024</v>
      </c>
      <c r="AK63" s="13">
        <v>1038</v>
      </c>
      <c r="AL63" s="13">
        <v>1047</v>
      </c>
      <c r="AM63" s="13">
        <v>1050</v>
      </c>
      <c r="AN63" s="13">
        <v>1053</v>
      </c>
      <c r="AO63" s="13">
        <v>1072</v>
      </c>
      <c r="AP63" s="13">
        <v>1070</v>
      </c>
      <c r="AQ63" s="13">
        <v>1055</v>
      </c>
      <c r="AR63" s="13">
        <v>1065</v>
      </c>
      <c r="AS63" s="13">
        <v>1031</v>
      </c>
      <c r="AT63" s="13">
        <v>1027</v>
      </c>
      <c r="AU63" s="13">
        <v>1015</v>
      </c>
      <c r="AV63" s="13">
        <v>1015</v>
      </c>
      <c r="AW63" s="13">
        <v>1031</v>
      </c>
      <c r="AX63" s="13">
        <v>1058</v>
      </c>
      <c r="AY63" s="13">
        <v>1054</v>
      </c>
      <c r="AZ63" s="13">
        <v>1044</v>
      </c>
      <c r="BA63" s="13">
        <v>1044</v>
      </c>
      <c r="BB63" s="13">
        <v>1056</v>
      </c>
      <c r="BC63" s="13">
        <v>1050</v>
      </c>
      <c r="BD63" s="13">
        <v>1044</v>
      </c>
      <c r="BE63" s="13">
        <v>1049</v>
      </c>
      <c r="BF63" s="13">
        <v>1021</v>
      </c>
      <c r="BG63" s="13">
        <v>1000</v>
      </c>
      <c r="BH63" s="13">
        <v>964</v>
      </c>
      <c r="BI63" s="13">
        <v>966</v>
      </c>
      <c r="BJ63" s="13">
        <v>959</v>
      </c>
      <c r="BK63" s="13">
        <v>962</v>
      </c>
      <c r="BL63" s="13">
        <v>964</v>
      </c>
      <c r="BM63" s="4">
        <v>973</v>
      </c>
      <c r="BN63" s="4">
        <v>988</v>
      </c>
      <c r="BO63" s="4">
        <v>993</v>
      </c>
      <c r="BP63" s="4">
        <v>999</v>
      </c>
      <c r="BQ63" s="4">
        <v>990</v>
      </c>
      <c r="BR63" s="4">
        <v>993</v>
      </c>
      <c r="BS63" s="4">
        <v>997</v>
      </c>
      <c r="BT63" s="4">
        <v>1010</v>
      </c>
      <c r="BU63" s="4">
        <v>1020</v>
      </c>
      <c r="BV63" s="4">
        <v>1029</v>
      </c>
      <c r="BW63" s="4">
        <v>1016</v>
      </c>
      <c r="BX63" s="4">
        <v>1018</v>
      </c>
      <c r="BY63" s="4">
        <v>1021</v>
      </c>
      <c r="BZ63" s="4">
        <v>1008</v>
      </c>
    </row>
    <row r="64" spans="1:254" ht="15.9" customHeight="1">
      <c r="A64" s="61" t="s">
        <v>123</v>
      </c>
      <c r="B64" s="6" t="s">
        <v>124</v>
      </c>
      <c r="C64" s="15">
        <f>_xll.RssMarket("4540","現在値")</f>
        <v>3763</v>
      </c>
      <c r="D64" s="16">
        <f t="shared" si="1"/>
        <v>0</v>
      </c>
      <c r="E64" s="13">
        <v>3763</v>
      </c>
      <c r="F64" s="13">
        <v>3714</v>
      </c>
      <c r="G64" s="13">
        <v>3767</v>
      </c>
      <c r="H64" s="13">
        <v>3790</v>
      </c>
      <c r="I64" s="13">
        <v>3817</v>
      </c>
      <c r="J64" s="13">
        <v>3936</v>
      </c>
      <c r="K64" s="13">
        <v>4045</v>
      </c>
      <c r="L64" s="13">
        <v>3929</v>
      </c>
      <c r="M64" s="13">
        <v>3941</v>
      </c>
      <c r="N64" s="13">
        <v>3799</v>
      </c>
      <c r="O64" s="13">
        <v>3822</v>
      </c>
      <c r="P64" s="13">
        <v>3861</v>
      </c>
      <c r="Q64" s="13">
        <v>3880</v>
      </c>
      <c r="R64" s="13">
        <v>3850</v>
      </c>
      <c r="S64" s="13">
        <v>3855</v>
      </c>
      <c r="T64" s="13">
        <v>3889</v>
      </c>
      <c r="U64" s="13">
        <v>3823</v>
      </c>
      <c r="V64" s="13">
        <v>3820</v>
      </c>
      <c r="W64" s="13">
        <v>3800</v>
      </c>
      <c r="X64" s="13">
        <v>3786</v>
      </c>
      <c r="Y64" s="13">
        <v>3775</v>
      </c>
      <c r="Z64" s="13">
        <v>3794</v>
      </c>
      <c r="AA64" s="13">
        <v>3755</v>
      </c>
      <c r="AB64" s="13">
        <v>3727</v>
      </c>
      <c r="AC64" s="13">
        <v>3698</v>
      </c>
      <c r="AD64" s="13">
        <v>3719</v>
      </c>
      <c r="AE64" s="13">
        <v>3739</v>
      </c>
      <c r="AF64" s="13">
        <v>3729</v>
      </c>
      <c r="AG64" s="13">
        <v>3697</v>
      </c>
      <c r="AH64" s="13">
        <v>3790</v>
      </c>
      <c r="AI64" s="13">
        <v>3716</v>
      </c>
      <c r="AJ64" s="13">
        <v>3747</v>
      </c>
      <c r="AK64" s="13">
        <v>3725</v>
      </c>
      <c r="AL64" s="13">
        <v>3722</v>
      </c>
      <c r="AM64" s="13">
        <v>3704</v>
      </c>
      <c r="AN64" s="13">
        <v>3761</v>
      </c>
      <c r="AO64" s="13">
        <v>3723</v>
      </c>
      <c r="AP64" s="13">
        <v>3724</v>
      </c>
      <c r="AQ64" s="13">
        <v>3744</v>
      </c>
      <c r="AR64" s="13">
        <v>3751</v>
      </c>
      <c r="AS64" s="13">
        <v>3714</v>
      </c>
      <c r="AT64" s="13">
        <v>3680</v>
      </c>
      <c r="AU64" s="13">
        <v>3712</v>
      </c>
      <c r="AV64" s="13">
        <v>3727</v>
      </c>
      <c r="AW64" s="13">
        <v>3708</v>
      </c>
      <c r="AX64" s="13">
        <v>3810</v>
      </c>
      <c r="AY64" s="13">
        <v>3750</v>
      </c>
      <c r="AZ64" s="13">
        <v>3847</v>
      </c>
      <c r="BA64" s="13">
        <v>3752</v>
      </c>
      <c r="BB64" s="13">
        <v>3820</v>
      </c>
      <c r="BC64" s="13">
        <v>3895</v>
      </c>
      <c r="BD64" s="13">
        <v>3932</v>
      </c>
      <c r="BE64" s="13">
        <v>3934</v>
      </c>
      <c r="BF64" s="13">
        <v>3818</v>
      </c>
      <c r="BG64" s="13">
        <v>3778</v>
      </c>
      <c r="BH64" s="13">
        <v>3731</v>
      </c>
      <c r="BI64" s="13">
        <v>3702</v>
      </c>
      <c r="BJ64" s="13">
        <v>3527</v>
      </c>
      <c r="BK64" s="13">
        <v>3563</v>
      </c>
      <c r="BL64" s="13">
        <v>3582</v>
      </c>
      <c r="BM64" s="4">
        <v>3628</v>
      </c>
      <c r="BN64" s="4">
        <v>3630</v>
      </c>
      <c r="BO64" s="4">
        <v>3651</v>
      </c>
      <c r="BP64" s="4">
        <v>3700</v>
      </c>
      <c r="BQ64" s="4">
        <v>3692</v>
      </c>
      <c r="BR64" s="4">
        <v>3703</v>
      </c>
      <c r="BS64" s="4">
        <v>3688</v>
      </c>
      <c r="BT64" s="4">
        <v>3690</v>
      </c>
      <c r="BU64" s="4">
        <v>3718</v>
      </c>
      <c r="BV64" s="4">
        <v>3746</v>
      </c>
      <c r="BW64" s="4">
        <v>3753</v>
      </c>
      <c r="BX64" s="4">
        <v>3753</v>
      </c>
      <c r="BY64" s="4">
        <v>3782</v>
      </c>
      <c r="BZ64" s="4">
        <v>3750</v>
      </c>
    </row>
    <row r="65" spans="1:254" ht="15.9" customHeight="1">
      <c r="A65" s="61" t="s">
        <v>125</v>
      </c>
      <c r="B65" s="6" t="s">
        <v>126</v>
      </c>
      <c r="C65" s="15">
        <f>_xll.RssMarket("9984","現在値")</f>
        <v>5695</v>
      </c>
      <c r="D65" s="16">
        <f t="shared" si="1"/>
        <v>0</v>
      </c>
      <c r="E65" s="13">
        <v>5695</v>
      </c>
      <c r="F65" s="13">
        <v>5958</v>
      </c>
      <c r="G65" s="13">
        <v>5228</v>
      </c>
      <c r="H65" s="13">
        <v>5393</v>
      </c>
      <c r="I65" s="13">
        <v>5260</v>
      </c>
      <c r="J65" s="13">
        <v>4622</v>
      </c>
      <c r="K65" s="13">
        <v>4741</v>
      </c>
      <c r="L65" s="13">
        <v>5095</v>
      </c>
      <c r="M65" s="13">
        <v>5331</v>
      </c>
      <c r="N65" s="13">
        <v>5500</v>
      </c>
      <c r="O65" s="13">
        <v>5918</v>
      </c>
      <c r="P65" s="13">
        <v>5703</v>
      </c>
      <c r="Q65" s="13">
        <v>5751</v>
      </c>
      <c r="R65" s="13">
        <v>5424</v>
      </c>
      <c r="S65" s="13">
        <v>6360</v>
      </c>
      <c r="T65" s="13">
        <v>6574</v>
      </c>
      <c r="U65" s="13">
        <v>6364</v>
      </c>
      <c r="V65" s="13">
        <v>6370</v>
      </c>
      <c r="W65" s="13">
        <v>5757</v>
      </c>
      <c r="X65" s="13">
        <v>5763</v>
      </c>
      <c r="Y65" s="13">
        <v>5771</v>
      </c>
      <c r="Z65" s="13">
        <v>5979</v>
      </c>
      <c r="AA65" s="13">
        <v>6169</v>
      </c>
      <c r="AB65" s="13">
        <v>6195</v>
      </c>
      <c r="AC65" s="13">
        <v>6000</v>
      </c>
      <c r="AD65" s="13">
        <v>5963</v>
      </c>
      <c r="AE65" s="13">
        <v>5894</v>
      </c>
      <c r="AF65" s="13">
        <v>6226</v>
      </c>
      <c r="AG65" s="13">
        <v>7118</v>
      </c>
      <c r="AH65" s="13">
        <v>6597</v>
      </c>
      <c r="AI65" s="13">
        <v>6513</v>
      </c>
      <c r="AJ65" s="13">
        <v>7244</v>
      </c>
      <c r="AK65" s="13">
        <v>7111</v>
      </c>
      <c r="AL65" s="13">
        <v>7189</v>
      </c>
      <c r="AM65" s="13">
        <v>6880</v>
      </c>
      <c r="AN65" s="13">
        <v>7102</v>
      </c>
      <c r="AO65" s="13">
        <v>7139</v>
      </c>
      <c r="AP65" s="13">
        <v>6472</v>
      </c>
      <c r="AQ65" s="13">
        <v>6374</v>
      </c>
      <c r="AR65" s="13">
        <v>6461</v>
      </c>
      <c r="AS65" s="13">
        <v>6976</v>
      </c>
      <c r="AT65" s="13">
        <v>7426</v>
      </c>
      <c r="AU65" s="13">
        <v>7377</v>
      </c>
      <c r="AV65" s="13">
        <v>8315</v>
      </c>
      <c r="AW65" s="13">
        <v>8632</v>
      </c>
      <c r="AX65" s="13">
        <v>7491</v>
      </c>
      <c r="AY65" s="13">
        <v>7125</v>
      </c>
      <c r="AZ65" s="13">
        <v>7272</v>
      </c>
      <c r="BA65" s="13">
        <v>7070</v>
      </c>
      <c r="BB65" s="13">
        <v>6757</v>
      </c>
      <c r="BC65" s="13">
        <v>6039</v>
      </c>
      <c r="BD65" s="13">
        <v>5039</v>
      </c>
      <c r="BE65" s="13">
        <v>5361</v>
      </c>
      <c r="BF65" s="13">
        <v>5593</v>
      </c>
      <c r="BG65" s="13">
        <v>5745</v>
      </c>
      <c r="BH65" s="13">
        <v>5770</v>
      </c>
      <c r="BI65" s="13">
        <v>6012</v>
      </c>
      <c r="BJ65" s="13">
        <v>5987</v>
      </c>
      <c r="BK65" s="13">
        <v>5743</v>
      </c>
      <c r="BL65" s="13">
        <v>6131</v>
      </c>
      <c r="BM65" s="4">
        <v>6424</v>
      </c>
      <c r="BN65" s="4">
        <v>5424</v>
      </c>
      <c r="BO65" s="4">
        <v>5219</v>
      </c>
      <c r="BP65" s="4">
        <v>5268</v>
      </c>
      <c r="BQ65" s="4">
        <v>5844</v>
      </c>
      <c r="BR65" s="4">
        <v>5963</v>
      </c>
      <c r="BS65" s="4">
        <v>5837</v>
      </c>
      <c r="BT65" s="4">
        <v>5620</v>
      </c>
      <c r="BU65" s="4">
        <v>5181</v>
      </c>
      <c r="BV65" s="4">
        <v>4774</v>
      </c>
      <c r="BW65" s="4">
        <v>4527</v>
      </c>
      <c r="BX65" s="4">
        <v>4672</v>
      </c>
      <c r="BY65" s="4">
        <v>4444</v>
      </c>
      <c r="BZ65" s="4">
        <v>4242</v>
      </c>
    </row>
    <row r="66" spans="1:254" ht="15.9" customHeight="1">
      <c r="A66" s="61" t="s">
        <v>127</v>
      </c>
      <c r="B66" s="6" t="s">
        <v>128</v>
      </c>
      <c r="C66" s="15">
        <f>_xll.RssMarket("4063","現在値")</f>
        <v>6167</v>
      </c>
      <c r="D66" s="16">
        <f t="shared" si="1"/>
        <v>0</v>
      </c>
      <c r="E66" s="13">
        <v>6167</v>
      </c>
      <c r="F66" s="13">
        <v>6163</v>
      </c>
      <c r="G66" s="13">
        <v>5987</v>
      </c>
      <c r="H66" s="13">
        <v>5845</v>
      </c>
      <c r="I66" s="13">
        <v>5800</v>
      </c>
      <c r="J66" s="13">
        <v>5756</v>
      </c>
      <c r="K66" s="13">
        <v>5690</v>
      </c>
      <c r="L66" s="13">
        <v>5872</v>
      </c>
      <c r="M66" s="13">
        <v>6146</v>
      </c>
      <c r="N66" s="13">
        <v>6702</v>
      </c>
      <c r="O66" s="13">
        <v>6970</v>
      </c>
      <c r="P66" s="13">
        <v>7075</v>
      </c>
      <c r="Q66" s="13">
        <v>7205</v>
      </c>
      <c r="R66" s="13">
        <v>7157</v>
      </c>
      <c r="S66" s="13">
        <v>7690</v>
      </c>
      <c r="T66" s="13">
        <v>7471</v>
      </c>
      <c r="U66" s="13">
        <v>7340</v>
      </c>
      <c r="V66" s="13">
        <v>7320</v>
      </c>
      <c r="W66" s="13">
        <v>7010</v>
      </c>
      <c r="X66" s="13">
        <v>6920</v>
      </c>
      <c r="Y66" s="13">
        <v>7158</v>
      </c>
      <c r="Z66" s="13">
        <v>7415</v>
      </c>
      <c r="AA66" s="13">
        <v>6958</v>
      </c>
      <c r="AB66" s="13">
        <v>7024</v>
      </c>
      <c r="AC66" s="13">
        <v>7259</v>
      </c>
      <c r="AD66" s="13">
        <v>7008</v>
      </c>
      <c r="AE66" s="13">
        <v>6942</v>
      </c>
      <c r="AF66" s="13">
        <v>6835</v>
      </c>
      <c r="AG66" s="13">
        <v>7150</v>
      </c>
      <c r="AH66" s="13">
        <v>7100</v>
      </c>
      <c r="AI66" s="13">
        <v>7301</v>
      </c>
      <c r="AJ66" s="13">
        <v>7307</v>
      </c>
      <c r="AK66" s="13">
        <v>7310</v>
      </c>
      <c r="AL66" s="13">
        <v>7459</v>
      </c>
      <c r="AM66" s="13">
        <v>7549</v>
      </c>
      <c r="AN66" s="13">
        <v>7454</v>
      </c>
      <c r="AO66" s="13">
        <v>7564</v>
      </c>
      <c r="AP66" s="13">
        <v>7188</v>
      </c>
      <c r="AQ66" s="13">
        <v>6858</v>
      </c>
      <c r="AR66" s="13">
        <v>6695</v>
      </c>
      <c r="AS66" s="13">
        <v>6863</v>
      </c>
      <c r="AT66" s="13">
        <v>7350</v>
      </c>
      <c r="AU66" s="13">
        <v>7641</v>
      </c>
      <c r="AV66" s="13">
        <v>7806</v>
      </c>
      <c r="AW66" s="13">
        <v>7473</v>
      </c>
      <c r="AX66" s="13">
        <v>7758</v>
      </c>
      <c r="AY66" s="13">
        <v>7344</v>
      </c>
      <c r="AZ66" s="13">
        <v>7406</v>
      </c>
      <c r="BA66" s="13">
        <v>7041</v>
      </c>
      <c r="BB66" s="13">
        <v>7034</v>
      </c>
      <c r="BC66" s="13">
        <v>6857</v>
      </c>
      <c r="BD66" s="13">
        <v>6845</v>
      </c>
      <c r="BE66" s="13">
        <v>7032</v>
      </c>
      <c r="BF66" s="13">
        <v>7013</v>
      </c>
      <c r="BG66" s="13">
        <v>7105</v>
      </c>
      <c r="BH66" s="13">
        <v>7476</v>
      </c>
      <c r="BI66" s="13">
        <v>7417</v>
      </c>
      <c r="BJ66" s="13">
        <v>7520</v>
      </c>
      <c r="BK66" s="13">
        <v>7574</v>
      </c>
      <c r="BL66" s="13">
        <v>7480</v>
      </c>
      <c r="BM66" s="4">
        <v>7711</v>
      </c>
      <c r="BN66" s="4">
        <v>7104</v>
      </c>
      <c r="BO66" s="4">
        <v>7246</v>
      </c>
      <c r="BP66" s="4">
        <v>7081</v>
      </c>
      <c r="BQ66" s="4">
        <v>6949</v>
      </c>
      <c r="BR66" s="4">
        <v>6768</v>
      </c>
      <c r="BS66" s="4">
        <v>6664</v>
      </c>
      <c r="BT66" s="4">
        <v>6642</v>
      </c>
      <c r="BU66" s="4">
        <v>6733</v>
      </c>
      <c r="BV66" s="4">
        <v>6773</v>
      </c>
      <c r="BW66" s="4">
        <v>6907</v>
      </c>
      <c r="BX66" s="4">
        <v>6910</v>
      </c>
      <c r="BY66" s="4">
        <v>6809</v>
      </c>
      <c r="BZ66" s="4">
        <v>6695</v>
      </c>
    </row>
    <row r="67" spans="1:254" ht="15.9" customHeight="1">
      <c r="A67" s="61" t="s">
        <v>129</v>
      </c>
      <c r="B67" s="6" t="s">
        <v>130</v>
      </c>
      <c r="C67" s="15">
        <f>_xll.RssMarket("4536","現在値")</f>
        <v>1876</v>
      </c>
      <c r="D67" s="16">
        <f t="shared" si="1"/>
        <v>0</v>
      </c>
      <c r="E67" s="13">
        <v>1876</v>
      </c>
      <c r="F67" s="13">
        <v>1855.5</v>
      </c>
      <c r="G67" s="13">
        <v>1870</v>
      </c>
      <c r="H67" s="13">
        <v>1869</v>
      </c>
      <c r="I67" s="13">
        <v>1884</v>
      </c>
      <c r="J67" s="13">
        <v>1936.5</v>
      </c>
      <c r="K67" s="13">
        <v>2020.5</v>
      </c>
      <c r="L67" s="13">
        <v>1960</v>
      </c>
      <c r="M67" s="13">
        <v>1972</v>
      </c>
      <c r="N67" s="13"/>
      <c r="O67" s="13">
        <v>1962.5</v>
      </c>
      <c r="P67" s="13">
        <v>1987</v>
      </c>
      <c r="Q67" s="13">
        <v>2022.5</v>
      </c>
      <c r="R67" s="13">
        <v>2042.5</v>
      </c>
      <c r="S67" s="13">
        <v>2101</v>
      </c>
      <c r="T67" s="13">
        <v>2127</v>
      </c>
      <c r="U67" s="13">
        <v>2151</v>
      </c>
      <c r="V67" s="13">
        <v>2135</v>
      </c>
      <c r="W67" s="13">
        <v>2171.5</v>
      </c>
      <c r="X67" s="13">
        <v>2174</v>
      </c>
      <c r="Y67" s="13">
        <v>2218.5</v>
      </c>
      <c r="Z67" s="13">
        <v>2236</v>
      </c>
      <c r="AA67" s="13">
        <v>2209.5</v>
      </c>
      <c r="AB67" s="13">
        <v>2175.5</v>
      </c>
      <c r="AC67" s="13">
        <v>2134.5</v>
      </c>
      <c r="AD67" s="13">
        <v>2133</v>
      </c>
      <c r="AE67" s="13">
        <v>2147.5</v>
      </c>
      <c r="AF67" s="13">
        <v>2128.5</v>
      </c>
      <c r="AG67" s="13">
        <v>2128</v>
      </c>
      <c r="AH67" s="13">
        <v>2045</v>
      </c>
      <c r="AI67" s="13">
        <v>2004</v>
      </c>
      <c r="AJ67" s="13">
        <v>1945.5</v>
      </c>
      <c r="AK67" s="13">
        <v>1874</v>
      </c>
      <c r="AL67" s="13">
        <v>1888.5</v>
      </c>
      <c r="AM67" s="13">
        <v>1882</v>
      </c>
      <c r="AN67" s="13">
        <v>1919.5</v>
      </c>
      <c r="AO67" s="13">
        <v>1902.5</v>
      </c>
      <c r="AP67" s="13">
        <v>1923.5</v>
      </c>
      <c r="AQ67" s="13">
        <v>1935.5</v>
      </c>
      <c r="AR67" s="13">
        <v>1942</v>
      </c>
      <c r="AS67" s="13">
        <v>1954</v>
      </c>
      <c r="AT67" s="13">
        <v>1927</v>
      </c>
      <c r="AU67" s="13">
        <v>1872</v>
      </c>
      <c r="AV67" s="13">
        <v>1855</v>
      </c>
      <c r="AW67" s="13">
        <v>1863.5</v>
      </c>
      <c r="AX67" s="13">
        <v>1915.5</v>
      </c>
      <c r="AY67" s="13">
        <v>1888.5</v>
      </c>
      <c r="AZ67" s="13">
        <v>1934</v>
      </c>
      <c r="BA67" s="13">
        <v>1925</v>
      </c>
      <c r="BB67" s="13">
        <v>1905</v>
      </c>
      <c r="BC67" s="13">
        <v>1883</v>
      </c>
      <c r="BD67" s="13">
        <v>1902.5</v>
      </c>
      <c r="BE67" s="13">
        <v>1893.5</v>
      </c>
      <c r="BF67" s="13">
        <v>1844</v>
      </c>
      <c r="BG67" s="13">
        <v>1861</v>
      </c>
      <c r="BH67" s="13">
        <v>1882</v>
      </c>
      <c r="BI67" s="13">
        <v>1815</v>
      </c>
      <c r="BJ67" s="13">
        <v>1561.5</v>
      </c>
      <c r="BK67" s="13">
        <v>1622</v>
      </c>
      <c r="BL67" s="13">
        <v>1617.5</v>
      </c>
      <c r="BM67" s="4">
        <v>1629</v>
      </c>
      <c r="BN67" s="4">
        <v>1643</v>
      </c>
      <c r="BO67" s="4">
        <v>1616</v>
      </c>
      <c r="BP67" s="4">
        <v>1650.5</v>
      </c>
      <c r="BQ67" s="4">
        <v>1647.5</v>
      </c>
      <c r="BR67" s="4">
        <v>1674</v>
      </c>
      <c r="BS67" s="4">
        <v>1663</v>
      </c>
      <c r="BT67" s="4">
        <v>1683</v>
      </c>
      <c r="BU67" s="4">
        <v>1717</v>
      </c>
      <c r="BV67" s="4">
        <v>1752</v>
      </c>
      <c r="BW67" s="4">
        <v>1772</v>
      </c>
      <c r="BX67" s="4">
        <v>1782</v>
      </c>
      <c r="BY67" s="4">
        <v>1800.5</v>
      </c>
      <c r="BZ67" s="4">
        <v>1800</v>
      </c>
    </row>
    <row r="68" spans="1:254" ht="15.9" customHeight="1">
      <c r="A68" s="61" t="s">
        <v>131</v>
      </c>
      <c r="B68" s="6" t="s">
        <v>132</v>
      </c>
      <c r="C68" s="15">
        <f>_xll.RssMarket("6503","現在値")</f>
        <v>5870</v>
      </c>
      <c r="D68" s="16">
        <f t="shared" si="1"/>
        <v>0</v>
      </c>
      <c r="E68" s="13">
        <v>5870</v>
      </c>
      <c r="F68" s="13">
        <v>5848</v>
      </c>
      <c r="G68" s="13">
        <v>5649</v>
      </c>
      <c r="H68" s="13">
        <v>5536</v>
      </c>
      <c r="I68" s="13">
        <v>5912</v>
      </c>
      <c r="J68" s="13">
        <v>5318</v>
      </c>
      <c r="K68" s="13">
        <v>5172</v>
      </c>
      <c r="L68" s="13">
        <v>5319</v>
      </c>
      <c r="M68" s="13">
        <v>5669</v>
      </c>
      <c r="N68" s="13">
        <v>5650</v>
      </c>
      <c r="O68" s="13">
        <v>5746</v>
      </c>
      <c r="P68" s="13">
        <v>5629</v>
      </c>
      <c r="Q68" s="13">
        <v>5591</v>
      </c>
      <c r="R68" s="13">
        <v>5370</v>
      </c>
      <c r="S68" s="13">
        <v>5764</v>
      </c>
      <c r="T68" s="13">
        <v>5592</v>
      </c>
      <c r="U68" s="13">
        <v>5647</v>
      </c>
      <c r="V68" s="13">
        <v>5827</v>
      </c>
      <c r="W68" s="13">
        <v>5783</v>
      </c>
      <c r="X68" s="13">
        <v>5699</v>
      </c>
      <c r="Y68" s="13">
        <v>5947</v>
      </c>
      <c r="Z68" s="13">
        <v>6043</v>
      </c>
      <c r="AA68" s="13">
        <v>5944</v>
      </c>
      <c r="AB68" s="13">
        <v>5913</v>
      </c>
      <c r="AC68" s="13">
        <v>6034</v>
      </c>
      <c r="AD68" s="13">
        <v>5876</v>
      </c>
      <c r="AE68" s="13">
        <v>5860</v>
      </c>
      <c r="AF68" s="13">
        <v>5858</v>
      </c>
      <c r="AG68" s="13">
        <v>5986</v>
      </c>
      <c r="AH68" s="13">
        <v>5982</v>
      </c>
      <c r="AI68" s="13">
        <v>6104</v>
      </c>
      <c r="AJ68" s="13">
        <v>6183</v>
      </c>
      <c r="AK68" s="13">
        <v>6051</v>
      </c>
      <c r="AL68" s="13">
        <v>6056</v>
      </c>
      <c r="AM68" s="13">
        <v>5863</v>
      </c>
      <c r="AN68" s="13">
        <v>5872</v>
      </c>
      <c r="AO68" s="13">
        <v>5858</v>
      </c>
      <c r="AP68" s="13">
        <v>5545</v>
      </c>
      <c r="AQ68" s="13">
        <v>5446</v>
      </c>
      <c r="AR68" s="13">
        <v>5572</v>
      </c>
      <c r="AS68" s="13">
        <v>5668</v>
      </c>
      <c r="AT68" s="13">
        <v>6014</v>
      </c>
      <c r="AU68" s="13">
        <v>5952</v>
      </c>
      <c r="AV68" s="13">
        <v>6085</v>
      </c>
      <c r="AW68" s="13">
        <v>6001</v>
      </c>
      <c r="AX68" s="13">
        <v>6558</v>
      </c>
      <c r="AY68" s="13">
        <v>6557</v>
      </c>
      <c r="AZ68" s="13">
        <v>6500</v>
      </c>
      <c r="BA68" s="13">
        <v>6560</v>
      </c>
      <c r="BB68" s="13">
        <v>6301</v>
      </c>
      <c r="BC68" s="13">
        <v>6069</v>
      </c>
      <c r="BD68" s="13">
        <v>5747</v>
      </c>
      <c r="BE68" s="13">
        <v>6020</v>
      </c>
      <c r="BF68" s="13">
        <v>6350</v>
      </c>
      <c r="BG68" s="13">
        <v>6416</v>
      </c>
      <c r="BH68" s="13">
        <v>6436</v>
      </c>
      <c r="BI68" s="13">
        <v>6468</v>
      </c>
      <c r="BJ68" s="13">
        <v>6373</v>
      </c>
      <c r="BK68" s="13">
        <v>6447</v>
      </c>
      <c r="BL68" s="13">
        <v>6460</v>
      </c>
      <c r="BM68" s="4">
        <v>6448</v>
      </c>
      <c r="BN68" s="4">
        <v>6071</v>
      </c>
      <c r="BO68" s="4">
        <v>6231</v>
      </c>
      <c r="BP68" s="4">
        <v>6078</v>
      </c>
      <c r="BQ68" s="4">
        <v>6048</v>
      </c>
      <c r="BR68" s="4">
        <v>5999</v>
      </c>
      <c r="BS68" s="4">
        <v>5881</v>
      </c>
      <c r="BT68" s="4">
        <v>5935</v>
      </c>
      <c r="BU68" s="4">
        <v>6028</v>
      </c>
      <c r="BV68" s="4">
        <v>6088</v>
      </c>
      <c r="BW68" s="4">
        <v>5799</v>
      </c>
      <c r="BX68" s="4">
        <v>5975</v>
      </c>
      <c r="BY68" s="4">
        <v>5811</v>
      </c>
      <c r="BZ68" s="4">
        <v>5859</v>
      </c>
    </row>
    <row r="69" spans="1:254" ht="15.9" customHeight="1">
      <c r="A69" s="61" t="s">
        <v>133</v>
      </c>
      <c r="B69" s="6" t="s">
        <v>134</v>
      </c>
      <c r="C69" s="15">
        <f>_xll.RssMarket("4980","現在値")</f>
        <v>3096</v>
      </c>
      <c r="D69" s="16">
        <f t="shared" si="1"/>
        <v>0</v>
      </c>
      <c r="E69" s="13">
        <v>3096</v>
      </c>
      <c r="F69" s="13">
        <v>3291</v>
      </c>
      <c r="G69" s="13">
        <v>3467</v>
      </c>
      <c r="H69" s="13">
        <v>3300</v>
      </c>
      <c r="I69" s="13">
        <v>3304</v>
      </c>
      <c r="J69" s="13">
        <v>3136</v>
      </c>
      <c r="K69" s="13">
        <v>3135</v>
      </c>
      <c r="L69" s="13">
        <v>3371</v>
      </c>
      <c r="M69" s="13">
        <v>3637</v>
      </c>
      <c r="N69" s="13">
        <v>3551</v>
      </c>
      <c r="O69" s="13">
        <v>3680</v>
      </c>
      <c r="P69" s="13">
        <v>3692</v>
      </c>
      <c r="Q69" s="13">
        <v>3613</v>
      </c>
      <c r="R69" s="13">
        <v>3509</v>
      </c>
      <c r="S69" s="13">
        <v>3941</v>
      </c>
      <c r="T69" s="13">
        <v>3931</v>
      </c>
      <c r="U69" s="13">
        <v>3922</v>
      </c>
      <c r="V69" s="13">
        <v>4139</v>
      </c>
      <c r="W69" s="13">
        <v>4022</v>
      </c>
      <c r="X69" s="13">
        <v>3955</v>
      </c>
      <c r="Y69" s="13">
        <v>4036</v>
      </c>
      <c r="Z69" s="13">
        <v>4264</v>
      </c>
      <c r="AA69" s="13">
        <v>4298</v>
      </c>
      <c r="AB69" s="13">
        <v>4091</v>
      </c>
      <c r="AC69" s="13">
        <v>4203</v>
      </c>
      <c r="AD69" s="13">
        <v>4254</v>
      </c>
      <c r="AE69" s="13">
        <v>4277</v>
      </c>
      <c r="AF69" s="13">
        <v>4407</v>
      </c>
      <c r="AG69" s="13">
        <v>5021</v>
      </c>
      <c r="AH69" s="13">
        <v>4970</v>
      </c>
      <c r="AI69" s="13">
        <v>4847</v>
      </c>
      <c r="AJ69" s="13">
        <v>4931</v>
      </c>
      <c r="AK69" s="13">
        <v>4859</v>
      </c>
      <c r="AL69" s="13">
        <v>4681</v>
      </c>
      <c r="AM69" s="13">
        <v>4608</v>
      </c>
      <c r="AN69" s="13">
        <v>4568</v>
      </c>
      <c r="AO69" s="13">
        <v>4285</v>
      </c>
      <c r="AP69" s="13">
        <v>4019</v>
      </c>
      <c r="AQ69" s="13">
        <v>3785</v>
      </c>
      <c r="AR69" s="13">
        <v>3686</v>
      </c>
      <c r="AS69" s="13">
        <v>3920</v>
      </c>
      <c r="AT69" s="13">
        <v>4369</v>
      </c>
      <c r="AU69" s="13">
        <v>4313</v>
      </c>
      <c r="AV69" s="13">
        <v>4503</v>
      </c>
      <c r="AW69" s="13">
        <v>4482</v>
      </c>
      <c r="AX69" s="13">
        <v>4038</v>
      </c>
      <c r="AY69" s="13">
        <v>4029</v>
      </c>
      <c r="AZ69" s="13">
        <v>4052</v>
      </c>
      <c r="BA69" s="13">
        <v>4365</v>
      </c>
      <c r="BB69" s="13">
        <v>4093</v>
      </c>
      <c r="BC69" s="13">
        <v>4085</v>
      </c>
      <c r="BD69" s="13">
        <v>3751</v>
      </c>
      <c r="BE69" s="13">
        <v>3872</v>
      </c>
      <c r="BF69" s="13">
        <v>4187</v>
      </c>
      <c r="BG69" s="13">
        <v>3849</v>
      </c>
      <c r="BH69" s="13">
        <v>3149</v>
      </c>
      <c r="BI69" s="13">
        <v>2648.5</v>
      </c>
      <c r="BJ69" s="13">
        <v>2681</v>
      </c>
      <c r="BK69" s="13">
        <v>2739.5</v>
      </c>
      <c r="BL69" s="13">
        <v>2719.5</v>
      </c>
      <c r="BM69" s="4">
        <v>2642.5</v>
      </c>
      <c r="BN69" s="4">
        <v>2481</v>
      </c>
      <c r="BO69" s="4">
        <v>2441.5</v>
      </c>
      <c r="BP69" s="4">
        <v>2461.5</v>
      </c>
      <c r="BQ69" s="4">
        <v>2507.5</v>
      </c>
      <c r="BR69" s="4">
        <v>2440.5</v>
      </c>
      <c r="BS69" s="4">
        <v>2385</v>
      </c>
      <c r="BT69" s="4">
        <v>2469</v>
      </c>
      <c r="BU69" s="4">
        <v>2451.5</v>
      </c>
      <c r="BV69" s="4">
        <v>2450.5</v>
      </c>
      <c r="BW69" s="4">
        <v>2433.5</v>
      </c>
      <c r="BX69" s="4">
        <v>2424.5</v>
      </c>
      <c r="BY69" s="4">
        <v>2372.5</v>
      </c>
      <c r="BZ69" s="4">
        <v>2373</v>
      </c>
    </row>
    <row r="70" spans="1:254" ht="15.9" customHeight="1">
      <c r="A70" s="61" t="s">
        <v>135</v>
      </c>
      <c r="B70" s="6" t="s">
        <v>136</v>
      </c>
      <c r="C70" s="15">
        <f>_xll.RssMarket("9424","現在値")</f>
        <v>114</v>
      </c>
      <c r="D70" s="16">
        <f t="shared" ref="D70:D101" si="2">C70-E70</f>
        <v>0</v>
      </c>
      <c r="E70" s="13">
        <v>114</v>
      </c>
      <c r="F70" s="13">
        <v>114</v>
      </c>
      <c r="G70" s="13">
        <v>115</v>
      </c>
      <c r="H70" s="13">
        <v>116</v>
      </c>
      <c r="I70" s="13">
        <v>114</v>
      </c>
      <c r="J70" s="13">
        <v>115</v>
      </c>
      <c r="K70" s="13">
        <v>114</v>
      </c>
      <c r="L70" s="13">
        <v>112</v>
      </c>
      <c r="M70" s="13">
        <v>114</v>
      </c>
      <c r="N70" s="13"/>
      <c r="O70" s="13">
        <v>112</v>
      </c>
      <c r="P70" s="13">
        <v>112</v>
      </c>
      <c r="Q70" s="13">
        <v>115</v>
      </c>
      <c r="R70" s="13">
        <v>113</v>
      </c>
      <c r="S70" s="13">
        <v>118</v>
      </c>
      <c r="T70" s="13">
        <v>115</v>
      </c>
      <c r="U70" s="13">
        <v>116</v>
      </c>
      <c r="V70" s="13">
        <v>113</v>
      </c>
      <c r="W70" s="13">
        <v>111</v>
      </c>
      <c r="X70" s="13">
        <v>111</v>
      </c>
      <c r="Y70" s="13">
        <v>112</v>
      </c>
      <c r="Z70" s="13">
        <v>112</v>
      </c>
      <c r="AA70" s="13">
        <v>109</v>
      </c>
      <c r="AB70" s="13">
        <v>108</v>
      </c>
      <c r="AC70" s="13">
        <v>105</v>
      </c>
      <c r="AD70" s="13">
        <v>108</v>
      </c>
      <c r="AE70" s="13">
        <v>108</v>
      </c>
      <c r="AF70" s="13">
        <v>107</v>
      </c>
      <c r="AG70" s="13">
        <v>107</v>
      </c>
      <c r="AH70" s="13">
        <v>107</v>
      </c>
      <c r="AI70" s="13">
        <v>107</v>
      </c>
      <c r="AJ70" s="13">
        <v>112</v>
      </c>
      <c r="AK70" s="13">
        <v>113</v>
      </c>
      <c r="AL70" s="13">
        <v>114</v>
      </c>
      <c r="AM70" s="13">
        <v>115</v>
      </c>
      <c r="AN70" s="13">
        <v>112</v>
      </c>
      <c r="AO70" s="13">
        <v>113</v>
      </c>
      <c r="AP70" s="13">
        <v>113</v>
      </c>
      <c r="AQ70" s="13">
        <v>113</v>
      </c>
      <c r="AR70" s="13">
        <v>114</v>
      </c>
      <c r="AS70" s="13">
        <v>113</v>
      </c>
      <c r="AT70" s="13">
        <v>116</v>
      </c>
      <c r="AU70" s="13">
        <v>115</v>
      </c>
      <c r="AV70" s="13">
        <v>115</v>
      </c>
      <c r="AW70" s="13">
        <v>113</v>
      </c>
      <c r="AX70" s="13">
        <v>113</v>
      </c>
      <c r="AY70" s="13">
        <v>115</v>
      </c>
      <c r="AZ70" s="13">
        <v>115</v>
      </c>
      <c r="BA70" s="13">
        <v>120</v>
      </c>
      <c r="BB70" s="13">
        <v>123</v>
      </c>
      <c r="BC70" s="13">
        <v>120</v>
      </c>
      <c r="BD70" s="13">
        <v>122</v>
      </c>
      <c r="BE70" s="13">
        <v>124</v>
      </c>
      <c r="BF70" s="13">
        <v>121</v>
      </c>
      <c r="BG70" s="13">
        <v>124</v>
      </c>
      <c r="BH70" s="13">
        <v>125</v>
      </c>
      <c r="BI70" s="13">
        <v>125</v>
      </c>
      <c r="BJ70" s="13">
        <v>126</v>
      </c>
      <c r="BK70" s="13">
        <v>128</v>
      </c>
      <c r="BL70" s="13">
        <v>127</v>
      </c>
      <c r="BM70" s="4">
        <v>126</v>
      </c>
      <c r="BN70" s="4">
        <v>126</v>
      </c>
      <c r="BO70" s="4">
        <v>125</v>
      </c>
      <c r="BP70" s="4">
        <v>125</v>
      </c>
      <c r="BQ70" s="4">
        <v>124</v>
      </c>
      <c r="BR70" s="4">
        <v>126</v>
      </c>
      <c r="BS70" s="4">
        <v>124</v>
      </c>
      <c r="BT70" s="4">
        <v>128</v>
      </c>
      <c r="BU70" s="4">
        <v>129</v>
      </c>
      <c r="BV70" s="4">
        <v>130</v>
      </c>
      <c r="BW70" s="4">
        <v>131</v>
      </c>
      <c r="BX70" s="4">
        <v>132</v>
      </c>
      <c r="BY70" s="4">
        <v>130</v>
      </c>
      <c r="BZ70" s="4">
        <v>125</v>
      </c>
    </row>
    <row r="71" spans="1:254" ht="15.9" customHeight="1">
      <c r="A71" s="61" t="s">
        <v>137</v>
      </c>
      <c r="B71" s="6" t="s">
        <v>138</v>
      </c>
      <c r="C71" s="15">
        <f>_xll.RssMarket("3854","現在値")</f>
        <v>2215</v>
      </c>
      <c r="D71" s="16">
        <f t="shared" si="2"/>
        <v>0</v>
      </c>
      <c r="E71" s="13">
        <v>2215</v>
      </c>
      <c r="F71" s="13">
        <v>2198</v>
      </c>
      <c r="G71" s="13">
        <v>2210</v>
      </c>
      <c r="H71" s="13">
        <v>2225</v>
      </c>
      <c r="I71" s="13">
        <v>2260</v>
      </c>
      <c r="J71" s="13">
        <v>2310</v>
      </c>
      <c r="K71" s="13">
        <v>2355</v>
      </c>
      <c r="L71" s="13">
        <v>2300</v>
      </c>
      <c r="M71" s="13">
        <v>2297</v>
      </c>
      <c r="N71" s="13">
        <v>2238</v>
      </c>
      <c r="O71" s="13">
        <v>2263</v>
      </c>
      <c r="P71" s="13">
        <v>2310</v>
      </c>
      <c r="Q71" s="13">
        <v>2330</v>
      </c>
      <c r="R71" s="13">
        <v>2351</v>
      </c>
      <c r="S71" s="13">
        <v>2400</v>
      </c>
      <c r="T71" s="13">
        <v>2377</v>
      </c>
      <c r="U71" s="13">
        <v>2425</v>
      </c>
      <c r="V71" s="13">
        <v>2422</v>
      </c>
      <c r="W71" s="13">
        <v>2455</v>
      </c>
      <c r="X71" s="13">
        <v>2475</v>
      </c>
      <c r="Y71" s="13">
        <v>2458</v>
      </c>
      <c r="Z71" s="13">
        <v>2340</v>
      </c>
      <c r="AA71" s="13">
        <v>2321</v>
      </c>
      <c r="AB71" s="13">
        <v>2256</v>
      </c>
      <c r="AC71" s="13">
        <v>2225</v>
      </c>
      <c r="AD71" s="13">
        <v>2211</v>
      </c>
      <c r="AE71" s="13">
        <v>2200</v>
      </c>
      <c r="AF71" s="13">
        <v>2151</v>
      </c>
      <c r="AG71" s="13">
        <v>2133</v>
      </c>
      <c r="AH71" s="13">
        <v>2162</v>
      </c>
      <c r="AI71" s="13">
        <v>2161</v>
      </c>
      <c r="AJ71" s="13">
        <v>2176</v>
      </c>
      <c r="AK71" s="13">
        <v>2186</v>
      </c>
      <c r="AL71" s="13">
        <v>2195</v>
      </c>
      <c r="AM71" s="13">
        <v>2190</v>
      </c>
      <c r="AN71" s="13">
        <v>2182</v>
      </c>
      <c r="AO71" s="13">
        <v>2200</v>
      </c>
      <c r="AP71" s="13">
        <v>2217</v>
      </c>
      <c r="AQ71" s="13">
        <v>2352</v>
      </c>
      <c r="AR71" s="13">
        <v>2410</v>
      </c>
      <c r="AS71" s="13">
        <v>2439</v>
      </c>
      <c r="AT71" s="13">
        <v>2493</v>
      </c>
      <c r="AU71" s="13">
        <v>2475</v>
      </c>
      <c r="AV71" s="13">
        <v>2603</v>
      </c>
      <c r="AW71" s="13">
        <v>2622</v>
      </c>
      <c r="AX71" s="13">
        <v>2551</v>
      </c>
      <c r="AY71" s="13">
        <v>2568</v>
      </c>
      <c r="AZ71" s="13">
        <v>2515</v>
      </c>
      <c r="BA71" s="13">
        <v>2523</v>
      </c>
      <c r="BB71" s="13">
        <v>2572</v>
      </c>
      <c r="BC71" s="13">
        <v>2470</v>
      </c>
      <c r="BD71" s="13">
        <v>2460</v>
      </c>
      <c r="BE71" s="13">
        <v>2470</v>
      </c>
      <c r="BF71" s="13">
        <v>2398</v>
      </c>
      <c r="BG71" s="13">
        <v>2344</v>
      </c>
      <c r="BH71" s="13">
        <v>2312</v>
      </c>
      <c r="BI71" s="13">
        <v>2379</v>
      </c>
      <c r="BJ71" s="13">
        <v>2369</v>
      </c>
      <c r="BK71" s="13">
        <v>2406</v>
      </c>
      <c r="BL71" s="13">
        <v>2415</v>
      </c>
      <c r="BM71" s="4">
        <v>2373</v>
      </c>
      <c r="BN71" s="4">
        <v>2344</v>
      </c>
      <c r="BO71" s="4">
        <v>2383</v>
      </c>
      <c r="BP71" s="4">
        <v>2396</v>
      </c>
      <c r="BQ71" s="4">
        <v>2389</v>
      </c>
      <c r="BR71" s="4">
        <v>2395</v>
      </c>
      <c r="BS71" s="4">
        <v>2428</v>
      </c>
      <c r="BT71" s="4">
        <v>2442</v>
      </c>
      <c r="BU71" s="4">
        <v>2465</v>
      </c>
      <c r="BV71" s="4">
        <v>2439</v>
      </c>
      <c r="BW71" s="4">
        <v>2423</v>
      </c>
      <c r="BX71" s="4">
        <v>2381</v>
      </c>
      <c r="BY71" s="4">
        <v>2423</v>
      </c>
      <c r="BZ71" s="4">
        <v>2384</v>
      </c>
    </row>
    <row r="72" spans="1:254" ht="15.9" customHeight="1">
      <c r="A72" s="61" t="s">
        <v>139</v>
      </c>
      <c r="B72" s="6" t="s">
        <v>140</v>
      </c>
      <c r="C72" s="15">
        <f>_xll.RssMarket("6027","現在値")</f>
        <v>2358</v>
      </c>
      <c r="D72" s="16">
        <f t="shared" si="2"/>
        <v>0</v>
      </c>
      <c r="E72" s="13">
        <v>2358</v>
      </c>
      <c r="F72" s="13">
        <v>2390</v>
      </c>
      <c r="G72" s="13">
        <v>2290</v>
      </c>
      <c r="H72" s="13">
        <v>2277</v>
      </c>
      <c r="I72" s="13">
        <v>2312</v>
      </c>
      <c r="J72" s="13">
        <v>2327</v>
      </c>
      <c r="K72" s="13">
        <v>2267</v>
      </c>
      <c r="L72" s="13">
        <v>2281</v>
      </c>
      <c r="M72" s="13">
        <v>2316</v>
      </c>
      <c r="N72" s="13">
        <v>2199</v>
      </c>
      <c r="O72" s="13">
        <v>2233</v>
      </c>
      <c r="P72" s="13">
        <v>2287</v>
      </c>
      <c r="Q72" s="13">
        <v>2313</v>
      </c>
      <c r="R72" s="13">
        <v>2390</v>
      </c>
      <c r="S72" s="13">
        <v>2391</v>
      </c>
      <c r="T72" s="13">
        <v>2410</v>
      </c>
      <c r="U72" s="13">
        <v>2358</v>
      </c>
      <c r="V72" s="13">
        <v>2374</v>
      </c>
      <c r="W72" s="13">
        <v>2340</v>
      </c>
      <c r="X72" s="13">
        <v>2433</v>
      </c>
      <c r="Y72" s="13">
        <v>2411</v>
      </c>
      <c r="Z72" s="13">
        <v>2409</v>
      </c>
      <c r="AA72" s="13">
        <v>2390</v>
      </c>
      <c r="AB72" s="13">
        <v>2451</v>
      </c>
      <c r="AC72" s="13">
        <v>2403</v>
      </c>
      <c r="AD72" s="13">
        <v>2264</v>
      </c>
      <c r="AE72" s="13">
        <v>2265</v>
      </c>
      <c r="AF72" s="13">
        <v>2050</v>
      </c>
      <c r="AG72" s="13">
        <v>2009</v>
      </c>
      <c r="AH72" s="13">
        <v>2065</v>
      </c>
      <c r="AI72" s="13">
        <v>2087</v>
      </c>
      <c r="AJ72" s="13">
        <v>2196</v>
      </c>
      <c r="AK72" s="13">
        <v>2236</v>
      </c>
      <c r="AL72" s="13">
        <v>2130</v>
      </c>
      <c r="AM72" s="13">
        <v>2134</v>
      </c>
      <c r="AN72" s="13">
        <v>2105</v>
      </c>
      <c r="AO72" s="13">
        <v>2081</v>
      </c>
      <c r="AP72" s="13">
        <v>2106</v>
      </c>
      <c r="AQ72" s="13">
        <v>2109</v>
      </c>
      <c r="AR72" s="13">
        <v>2171</v>
      </c>
      <c r="AS72" s="13">
        <v>2210</v>
      </c>
      <c r="AT72" s="13">
        <v>2289</v>
      </c>
      <c r="AU72" s="13">
        <v>2226</v>
      </c>
      <c r="AV72" s="13">
        <v>2275</v>
      </c>
      <c r="AW72" s="13">
        <v>2309</v>
      </c>
      <c r="AX72" s="13">
        <v>2406</v>
      </c>
      <c r="AY72" s="13">
        <v>2436</v>
      </c>
      <c r="AZ72" s="13">
        <v>2462</v>
      </c>
      <c r="BA72" s="13">
        <v>2566</v>
      </c>
      <c r="BB72" s="13">
        <v>2548</v>
      </c>
      <c r="BC72" s="13">
        <v>2566</v>
      </c>
      <c r="BD72" s="13">
        <v>2575</v>
      </c>
      <c r="BE72" s="13">
        <v>2766</v>
      </c>
      <c r="BF72" s="13">
        <v>2769</v>
      </c>
      <c r="BG72" s="13">
        <v>2710</v>
      </c>
      <c r="BH72" s="13">
        <v>2751</v>
      </c>
      <c r="BI72" s="13">
        <v>2738</v>
      </c>
      <c r="BJ72" s="13">
        <v>2671</v>
      </c>
      <c r="BK72" s="13">
        <v>2735</v>
      </c>
      <c r="BL72" s="13">
        <v>2720</v>
      </c>
      <c r="BM72" s="4">
        <v>2676</v>
      </c>
      <c r="BN72" s="4">
        <v>2520</v>
      </c>
      <c r="BO72" s="4">
        <v>2463</v>
      </c>
      <c r="BP72" s="4">
        <v>2487</v>
      </c>
      <c r="BQ72" s="4">
        <v>2446</v>
      </c>
      <c r="BR72" s="4">
        <v>2525</v>
      </c>
      <c r="BS72" s="4">
        <v>2579</v>
      </c>
      <c r="BT72" s="4">
        <v>2593</v>
      </c>
      <c r="BU72" s="4">
        <v>2584</v>
      </c>
      <c r="BV72" s="4">
        <v>2580</v>
      </c>
      <c r="BW72" s="4">
        <v>2583</v>
      </c>
      <c r="BX72" s="4">
        <v>2635</v>
      </c>
      <c r="BY72" s="4">
        <v>2734</v>
      </c>
      <c r="BZ72" s="4">
        <v>2578</v>
      </c>
    </row>
    <row r="73" spans="1:254" ht="15.9" customHeight="1">
      <c r="A73" s="61" t="s">
        <v>141</v>
      </c>
      <c r="B73" s="6" t="s">
        <v>142</v>
      </c>
      <c r="C73" s="15">
        <f>_xll.RssMarket("7806","現在値")</f>
        <v>7710</v>
      </c>
      <c r="D73" s="16">
        <f t="shared" si="2"/>
        <v>0</v>
      </c>
      <c r="E73" s="13">
        <v>7710</v>
      </c>
      <c r="F73" s="13">
        <v>7510</v>
      </c>
      <c r="G73" s="13">
        <v>7400</v>
      </c>
      <c r="H73" s="13">
        <v>7800</v>
      </c>
      <c r="I73" s="13">
        <v>7610</v>
      </c>
      <c r="J73" s="13">
        <v>7180</v>
      </c>
      <c r="K73" s="13">
        <v>7300</v>
      </c>
      <c r="L73" s="13">
        <v>7530</v>
      </c>
      <c r="M73" s="13">
        <v>7610</v>
      </c>
      <c r="N73" s="13">
        <v>7670</v>
      </c>
      <c r="O73" s="13">
        <v>7800</v>
      </c>
      <c r="P73" s="13">
        <v>7670</v>
      </c>
      <c r="Q73" s="13">
        <v>7910</v>
      </c>
      <c r="R73" s="13">
        <v>7460</v>
      </c>
      <c r="S73" s="13">
        <v>7700</v>
      </c>
      <c r="T73" s="13">
        <v>7340</v>
      </c>
      <c r="U73" s="13">
        <v>7270</v>
      </c>
      <c r="V73" s="13">
        <v>7550</v>
      </c>
      <c r="W73" s="13">
        <v>7470</v>
      </c>
      <c r="X73" s="13">
        <v>8100</v>
      </c>
      <c r="Y73" s="13">
        <v>8150</v>
      </c>
      <c r="Z73" s="13">
        <v>8140</v>
      </c>
      <c r="AA73" s="13">
        <v>8100</v>
      </c>
      <c r="AB73" s="13">
        <v>7860</v>
      </c>
      <c r="AC73" s="13">
        <v>7520</v>
      </c>
      <c r="AD73" s="13">
        <v>7460</v>
      </c>
      <c r="AE73" s="13">
        <v>7430</v>
      </c>
      <c r="AF73" s="13">
        <v>7260</v>
      </c>
      <c r="AG73" s="13">
        <v>7470</v>
      </c>
      <c r="AH73" s="13">
        <v>7390</v>
      </c>
      <c r="AI73" s="13">
        <v>7360</v>
      </c>
      <c r="AJ73" s="13">
        <v>7680</v>
      </c>
      <c r="AK73" s="13">
        <v>7650</v>
      </c>
      <c r="AL73" s="13">
        <v>7650</v>
      </c>
      <c r="AM73" s="13">
        <v>7310</v>
      </c>
      <c r="AN73" s="13">
        <v>7260</v>
      </c>
      <c r="AO73" s="13">
        <v>7100</v>
      </c>
      <c r="AP73" s="13">
        <v>7060</v>
      </c>
      <c r="AQ73" s="13">
        <v>7140</v>
      </c>
      <c r="AR73" s="13">
        <v>7020</v>
      </c>
      <c r="AS73" s="13">
        <v>6730</v>
      </c>
      <c r="AT73" s="13">
        <v>6800</v>
      </c>
      <c r="AU73" s="13">
        <v>6700</v>
      </c>
      <c r="AV73" s="13">
        <v>7200</v>
      </c>
      <c r="AW73" s="13">
        <v>6930</v>
      </c>
      <c r="AX73" s="13">
        <v>7500</v>
      </c>
      <c r="AY73" s="13">
        <v>7440</v>
      </c>
      <c r="AZ73" s="13">
        <v>6990</v>
      </c>
      <c r="BA73" s="13">
        <v>6390</v>
      </c>
      <c r="BB73" s="13">
        <v>6220</v>
      </c>
      <c r="BC73" s="13">
        <v>6410</v>
      </c>
      <c r="BD73" s="13">
        <v>6400</v>
      </c>
      <c r="BE73" s="13">
        <v>6620</v>
      </c>
      <c r="BF73" s="13">
        <v>6290</v>
      </c>
      <c r="BG73" s="13">
        <v>6710</v>
      </c>
      <c r="BH73" s="13">
        <v>7180</v>
      </c>
      <c r="BI73" s="13">
        <v>6720</v>
      </c>
      <c r="BJ73" s="13">
        <v>6610</v>
      </c>
      <c r="BK73" s="13">
        <v>6520</v>
      </c>
      <c r="BL73" s="13">
        <v>6290</v>
      </c>
      <c r="BM73" s="4">
        <v>6350</v>
      </c>
      <c r="BN73" s="4">
        <v>6100</v>
      </c>
      <c r="BO73" s="4">
        <v>5770</v>
      </c>
      <c r="BP73" s="4">
        <v>5950</v>
      </c>
      <c r="BQ73" s="4">
        <v>5960</v>
      </c>
      <c r="BR73" s="4">
        <v>6270</v>
      </c>
      <c r="BS73" s="4">
        <v>6390</v>
      </c>
      <c r="BT73" s="4">
        <v>6600</v>
      </c>
      <c r="BU73" s="4">
        <v>6550</v>
      </c>
      <c r="BV73" s="4">
        <v>6600</v>
      </c>
      <c r="BW73" s="4">
        <v>6600</v>
      </c>
      <c r="BX73" s="4">
        <v>6490</v>
      </c>
      <c r="BY73" s="4">
        <v>6390</v>
      </c>
      <c r="BZ73" s="4">
        <v>6300</v>
      </c>
    </row>
    <row r="74" spans="1:254" ht="15.9" customHeight="1">
      <c r="A74" s="61" t="s">
        <v>143</v>
      </c>
      <c r="B74" s="6" t="s">
        <v>144</v>
      </c>
      <c r="C74" s="15">
        <f>_xll.RssMarket("9202","現在値")</f>
        <v>3164</v>
      </c>
      <c r="D74" s="16">
        <f t="shared" si="2"/>
        <v>0</v>
      </c>
      <c r="E74" s="13">
        <v>3164</v>
      </c>
      <c r="F74" s="13">
        <v>3151</v>
      </c>
      <c r="G74" s="13">
        <v>3100</v>
      </c>
      <c r="H74" s="13">
        <v>3129</v>
      </c>
      <c r="I74" s="13">
        <v>3116</v>
      </c>
      <c r="J74" s="13">
        <v>3153</v>
      </c>
      <c r="K74" s="13">
        <v>3221</v>
      </c>
      <c r="L74" s="13">
        <v>3140</v>
      </c>
      <c r="M74" s="13">
        <v>3081</v>
      </c>
      <c r="N74" s="13">
        <v>2951</v>
      </c>
      <c r="O74" s="13">
        <v>2993</v>
      </c>
      <c r="P74" s="13">
        <v>3007</v>
      </c>
      <c r="Q74" s="13">
        <v>3052</v>
      </c>
      <c r="R74" s="13">
        <v>3027</v>
      </c>
      <c r="S74" s="13">
        <v>3004</v>
      </c>
      <c r="T74" s="13">
        <v>3043</v>
      </c>
      <c r="U74" s="13">
        <v>3015</v>
      </c>
      <c r="V74" s="13">
        <v>3016</v>
      </c>
      <c r="W74" s="13">
        <v>3053</v>
      </c>
      <c r="X74" s="13">
        <v>3129</v>
      </c>
      <c r="Y74" s="13">
        <v>3164</v>
      </c>
      <c r="Z74" s="13">
        <v>3180</v>
      </c>
      <c r="AA74" s="13">
        <v>3140</v>
      </c>
      <c r="AB74" s="13">
        <v>3083</v>
      </c>
      <c r="AC74" s="13">
        <v>2956.5</v>
      </c>
      <c r="AD74" s="13">
        <v>2968</v>
      </c>
      <c r="AE74" s="13">
        <v>2999</v>
      </c>
      <c r="AF74" s="13">
        <v>3000</v>
      </c>
      <c r="AG74" s="13">
        <v>2992</v>
      </c>
      <c r="AH74" s="13">
        <v>2952</v>
      </c>
      <c r="AI74" s="13">
        <v>2920</v>
      </c>
      <c r="AJ74" s="13">
        <v>2934.5</v>
      </c>
      <c r="AK74" s="13">
        <v>2961</v>
      </c>
      <c r="AL74" s="13">
        <v>2996</v>
      </c>
      <c r="AM74" s="13">
        <v>3033</v>
      </c>
      <c r="AN74" s="13">
        <v>3043</v>
      </c>
      <c r="AO74" s="13">
        <v>3010</v>
      </c>
      <c r="AP74" s="13">
        <v>2839</v>
      </c>
      <c r="AQ74" s="13">
        <v>2804.5</v>
      </c>
      <c r="AR74" s="13">
        <v>2823</v>
      </c>
      <c r="AS74" s="13">
        <v>2799</v>
      </c>
      <c r="AT74" s="13">
        <v>2840</v>
      </c>
      <c r="AU74" s="13">
        <v>2815.5</v>
      </c>
      <c r="AV74" s="13">
        <v>2830</v>
      </c>
      <c r="AW74" s="13">
        <v>2846</v>
      </c>
      <c r="AX74" s="13">
        <v>2988.5</v>
      </c>
      <c r="AY74" s="13">
        <v>2886</v>
      </c>
      <c r="AZ74" s="13">
        <v>2883</v>
      </c>
      <c r="BA74" s="13">
        <v>2874.5</v>
      </c>
      <c r="BB74" s="13">
        <v>2784</v>
      </c>
      <c r="BC74" s="13">
        <v>2785</v>
      </c>
      <c r="BD74" s="13">
        <v>2717</v>
      </c>
      <c r="BE74" s="13">
        <v>2746</v>
      </c>
      <c r="BF74" s="13">
        <v>2717</v>
      </c>
      <c r="BG74" s="13">
        <v>2745</v>
      </c>
      <c r="BH74" s="13">
        <v>2769</v>
      </c>
      <c r="BI74" s="13">
        <v>2765.5</v>
      </c>
      <c r="BJ74" s="13">
        <v>2789.5</v>
      </c>
      <c r="BK74" s="13">
        <v>2828.5</v>
      </c>
      <c r="BL74" s="13">
        <v>2838</v>
      </c>
      <c r="BM74" s="4">
        <v>2848.5</v>
      </c>
      <c r="BN74" s="4">
        <v>2709.5</v>
      </c>
      <c r="BO74" s="4">
        <v>2601.5</v>
      </c>
      <c r="BP74" s="4">
        <v>2629</v>
      </c>
      <c r="BQ74" s="4">
        <v>2667</v>
      </c>
      <c r="BR74" s="4">
        <v>2697</v>
      </c>
      <c r="BS74" s="4">
        <v>2714</v>
      </c>
      <c r="BT74" s="4">
        <v>2822</v>
      </c>
      <c r="BU74" s="4">
        <v>2852.5</v>
      </c>
      <c r="BV74" s="4">
        <v>2882</v>
      </c>
      <c r="BW74" s="4">
        <v>2821</v>
      </c>
      <c r="BX74" s="4">
        <v>2858.5</v>
      </c>
      <c r="BY74" s="4">
        <v>2874.5</v>
      </c>
      <c r="BZ74" s="4">
        <v>2856.5</v>
      </c>
    </row>
    <row r="75" spans="1:254" ht="15.9" customHeight="1">
      <c r="A75" s="61" t="s">
        <v>145</v>
      </c>
      <c r="B75" s="6" t="s">
        <v>146</v>
      </c>
      <c r="C75" s="15">
        <f>_xll.RssMarket("7846","現在値")</f>
        <v>1813.5</v>
      </c>
      <c r="D75" s="16">
        <f t="shared" si="2"/>
        <v>0</v>
      </c>
      <c r="E75" s="13">
        <v>1813.5</v>
      </c>
      <c r="F75" s="13">
        <v>1775.5</v>
      </c>
      <c r="G75" s="13">
        <v>1774.5</v>
      </c>
      <c r="H75" s="13">
        <v>1790.5</v>
      </c>
      <c r="I75" s="13">
        <v>1813.5</v>
      </c>
      <c r="J75" s="13">
        <v>1829.5</v>
      </c>
      <c r="K75" s="13">
        <v>1858</v>
      </c>
      <c r="L75" s="13">
        <v>1817</v>
      </c>
      <c r="M75" s="13">
        <v>1811.5</v>
      </c>
      <c r="N75" s="13">
        <v>1778</v>
      </c>
      <c r="O75" s="13">
        <v>1758</v>
      </c>
      <c r="P75" s="13">
        <v>1781</v>
      </c>
      <c r="Q75" s="13">
        <v>1795.5</v>
      </c>
      <c r="R75" s="13">
        <v>1803</v>
      </c>
      <c r="S75" s="13">
        <v>1790</v>
      </c>
      <c r="T75" s="13">
        <v>1763</v>
      </c>
      <c r="U75" s="13">
        <v>1763.5</v>
      </c>
      <c r="V75" s="13">
        <v>1768</v>
      </c>
      <c r="W75" s="13">
        <v>1779</v>
      </c>
      <c r="X75" s="13">
        <v>1771.5</v>
      </c>
      <c r="Y75" s="13">
        <v>1742.5</v>
      </c>
      <c r="Z75" s="13">
        <v>1742.5</v>
      </c>
      <c r="AA75" s="13">
        <v>1724.5</v>
      </c>
      <c r="AB75" s="13">
        <v>1722</v>
      </c>
      <c r="AC75" s="13">
        <v>1693.5</v>
      </c>
      <c r="AD75" s="13">
        <v>1689.5</v>
      </c>
      <c r="AE75" s="13">
        <v>1677.5</v>
      </c>
      <c r="AF75" s="13">
        <v>1716.6666</v>
      </c>
      <c r="AG75" s="13">
        <v>1704.6666</v>
      </c>
      <c r="AH75" s="13">
        <v>1663.3333</v>
      </c>
      <c r="AI75" s="13">
        <v>1644</v>
      </c>
      <c r="AJ75" s="13">
        <v>1656.6666</v>
      </c>
      <c r="AK75" s="13">
        <v>1645.3333</v>
      </c>
      <c r="AL75" s="13">
        <v>1643.6666</v>
      </c>
      <c r="AM75" s="13">
        <v>1667.6666</v>
      </c>
      <c r="AN75" s="13">
        <v>1650</v>
      </c>
      <c r="AO75" s="13">
        <v>1643.3333</v>
      </c>
      <c r="AP75" s="13">
        <v>1647</v>
      </c>
      <c r="AQ75" s="13">
        <v>1638</v>
      </c>
      <c r="AR75" s="13">
        <v>1627</v>
      </c>
      <c r="AS75" s="13">
        <v>1627</v>
      </c>
      <c r="AT75" s="13">
        <v>1625</v>
      </c>
      <c r="AU75" s="13">
        <v>1601.6666</v>
      </c>
      <c r="AV75" s="13">
        <v>1633.3333</v>
      </c>
      <c r="AW75" s="13">
        <v>1618</v>
      </c>
      <c r="AX75" s="13">
        <v>1658.6666</v>
      </c>
      <c r="AY75" s="13">
        <v>1625.3333</v>
      </c>
      <c r="AZ75" s="13">
        <v>1646</v>
      </c>
      <c r="BA75" s="13">
        <v>1640.6666</v>
      </c>
      <c r="BB75" s="13">
        <v>1649.3333</v>
      </c>
      <c r="BC75" s="13">
        <v>1635.3333</v>
      </c>
      <c r="BD75" s="13">
        <v>1623</v>
      </c>
      <c r="BE75" s="13">
        <v>1585</v>
      </c>
      <c r="BF75" s="13">
        <v>1557.3333</v>
      </c>
      <c r="BG75" s="13">
        <v>1554.6666</v>
      </c>
      <c r="BH75" s="13">
        <v>1527.6666</v>
      </c>
      <c r="BI75" s="13">
        <v>1517.6666</v>
      </c>
      <c r="BJ75" s="13">
        <v>1509.3333</v>
      </c>
      <c r="BK75" s="13">
        <v>1602.6666</v>
      </c>
      <c r="BL75" s="13">
        <v>1583.3333</v>
      </c>
      <c r="BM75" s="4">
        <v>1620.3333</v>
      </c>
      <c r="BN75" s="4">
        <v>1600</v>
      </c>
      <c r="BO75" s="4">
        <v>1596.6666</v>
      </c>
      <c r="BP75" s="4">
        <v>1614.3333</v>
      </c>
      <c r="BQ75" s="4">
        <v>1584.3333</v>
      </c>
      <c r="BR75" s="4">
        <v>1599</v>
      </c>
      <c r="BS75" s="4">
        <v>1597.6666</v>
      </c>
      <c r="BT75" s="4">
        <v>1605.6666</v>
      </c>
      <c r="BU75" s="4">
        <v>1610</v>
      </c>
      <c r="BV75" s="4">
        <v>1603.6666</v>
      </c>
      <c r="BW75" s="4">
        <v>1606</v>
      </c>
      <c r="BX75" s="4">
        <v>1615.3333</v>
      </c>
      <c r="BY75" s="4">
        <v>1621.6666</v>
      </c>
      <c r="BZ75" s="4">
        <v>1619.6666</v>
      </c>
    </row>
    <row r="76" spans="1:254" ht="15.9" customHeight="1">
      <c r="A76" s="61" t="s">
        <v>147</v>
      </c>
      <c r="B76" s="6" t="s">
        <v>148</v>
      </c>
      <c r="C76" s="15">
        <f>_xll.RssMarket("2802","現在値")</f>
        <v>5196</v>
      </c>
      <c r="D76" s="16">
        <f t="shared" si="2"/>
        <v>0</v>
      </c>
      <c r="E76" s="13">
        <v>5196</v>
      </c>
      <c r="F76" s="13">
        <v>5333</v>
      </c>
      <c r="G76" s="13">
        <v>4953</v>
      </c>
      <c r="H76" s="13">
        <v>4896</v>
      </c>
      <c r="I76" s="13">
        <v>4965</v>
      </c>
      <c r="J76" s="13">
        <v>4839</v>
      </c>
      <c r="K76" s="13">
        <v>4847</v>
      </c>
      <c r="L76" s="13">
        <v>4888</v>
      </c>
      <c r="M76" s="13">
        <v>5069</v>
      </c>
      <c r="N76" s="13">
        <v>5096</v>
      </c>
      <c r="O76" s="13">
        <v>5102</v>
      </c>
      <c r="P76" s="13">
        <v>5253</v>
      </c>
      <c r="Q76" s="13">
        <v>5252</v>
      </c>
      <c r="R76" s="13">
        <v>5194</v>
      </c>
      <c r="S76" s="13">
        <v>5606</v>
      </c>
      <c r="T76" s="13">
        <v>5656</v>
      </c>
      <c r="U76" s="13">
        <v>5615</v>
      </c>
      <c r="V76" s="13">
        <v>5731</v>
      </c>
      <c r="W76" s="13">
        <v>5721</v>
      </c>
      <c r="X76" s="13">
        <v>5702</v>
      </c>
      <c r="Y76" s="13">
        <v>5831</v>
      </c>
      <c r="Z76" s="13">
        <v>6091</v>
      </c>
      <c r="AA76" s="13">
        <v>6167</v>
      </c>
      <c r="AB76" s="13">
        <v>6042</v>
      </c>
      <c r="AC76" s="13">
        <v>6175</v>
      </c>
      <c r="AD76" s="13">
        <v>5873</v>
      </c>
      <c r="AE76" s="13">
        <v>5816</v>
      </c>
      <c r="AF76" s="13">
        <v>5721</v>
      </c>
      <c r="AG76" s="13">
        <v>5742</v>
      </c>
      <c r="AH76" s="13">
        <v>5480</v>
      </c>
      <c r="AI76" s="13">
        <v>5652</v>
      </c>
      <c r="AJ76" s="13">
        <v>6160</v>
      </c>
      <c r="AK76" s="13">
        <v>5790</v>
      </c>
      <c r="AL76" s="13">
        <v>5787</v>
      </c>
      <c r="AM76" s="13">
        <v>5340</v>
      </c>
      <c r="AN76" s="13">
        <v>5146</v>
      </c>
      <c r="AO76" s="13">
        <v>5060</v>
      </c>
      <c r="AP76" s="13">
        <v>5158</v>
      </c>
      <c r="AQ76" s="13">
        <v>5084</v>
      </c>
      <c r="AR76" s="13">
        <v>4729</v>
      </c>
      <c r="AS76" s="13">
        <v>4806</v>
      </c>
      <c r="AT76" s="13">
        <v>4942</v>
      </c>
      <c r="AU76" s="13">
        <v>5118</v>
      </c>
      <c r="AV76" s="13">
        <v>5227</v>
      </c>
      <c r="AW76" s="13">
        <v>5262</v>
      </c>
      <c r="AX76" s="13">
        <v>5152</v>
      </c>
      <c r="AY76" s="13">
        <v>5142</v>
      </c>
      <c r="AZ76" s="13">
        <v>5289</v>
      </c>
      <c r="BA76" s="13">
        <v>5475</v>
      </c>
      <c r="BB76" s="13">
        <v>5300</v>
      </c>
      <c r="BC76" s="13">
        <v>5176</v>
      </c>
      <c r="BD76" s="13">
        <v>5068</v>
      </c>
      <c r="BE76" s="13">
        <v>5178</v>
      </c>
      <c r="BF76" s="13">
        <v>5193</v>
      </c>
      <c r="BG76" s="13">
        <v>5269</v>
      </c>
      <c r="BH76" s="13">
        <v>5542</v>
      </c>
      <c r="BI76" s="13">
        <v>5483</v>
      </c>
      <c r="BJ76" s="13">
        <v>5439</v>
      </c>
      <c r="BK76" s="13">
        <v>5499</v>
      </c>
      <c r="BL76" s="13">
        <v>5030</v>
      </c>
      <c r="BM76" s="4">
        <v>4958</v>
      </c>
      <c r="BN76" s="4">
        <v>4882</v>
      </c>
      <c r="BO76" s="4">
        <v>5090</v>
      </c>
      <c r="BP76" s="4">
        <v>4767</v>
      </c>
      <c r="BQ76" s="4">
        <v>4786</v>
      </c>
      <c r="BR76" s="4">
        <v>4758</v>
      </c>
      <c r="BS76" s="4">
        <v>4590</v>
      </c>
      <c r="BT76" s="4">
        <v>4658</v>
      </c>
      <c r="BU76" s="4">
        <v>4721</v>
      </c>
      <c r="BV76" s="4">
        <v>4607</v>
      </c>
      <c r="BW76" s="4">
        <v>4574</v>
      </c>
      <c r="BX76" s="4">
        <v>4690</v>
      </c>
      <c r="BY76" s="4">
        <v>4667</v>
      </c>
      <c r="BZ76" s="4">
        <v>4617</v>
      </c>
    </row>
    <row r="77" spans="1:254" ht="15.9" customHeight="1">
      <c r="A77" s="61" t="s">
        <v>149</v>
      </c>
      <c r="B77" s="6" t="s">
        <v>150</v>
      </c>
      <c r="C77" s="15">
        <f>_xll.RssMarket("7203","現在値")</f>
        <v>2983.5</v>
      </c>
      <c r="D77" s="16">
        <f t="shared" si="2"/>
        <v>0</v>
      </c>
      <c r="E77" s="13">
        <v>2983.5</v>
      </c>
      <c r="F77" s="13">
        <v>2914.5</v>
      </c>
      <c r="G77" s="13">
        <v>2918.5</v>
      </c>
      <c r="H77" s="13">
        <v>2963.5</v>
      </c>
      <c r="I77" s="13">
        <v>3067</v>
      </c>
      <c r="J77" s="13">
        <v>3126</v>
      </c>
      <c r="K77" s="13">
        <v>3224</v>
      </c>
      <c r="L77" s="13">
        <v>3008</v>
      </c>
      <c r="M77" s="13">
        <v>2965.5</v>
      </c>
      <c r="N77" s="13">
        <v>2897</v>
      </c>
      <c r="O77" s="13">
        <v>2950</v>
      </c>
      <c r="P77" s="13">
        <v>2939</v>
      </c>
      <c r="Q77" s="13">
        <v>2944.5</v>
      </c>
      <c r="R77" s="13">
        <v>2899.5</v>
      </c>
      <c r="S77" s="13">
        <v>2875.5</v>
      </c>
      <c r="T77" s="13">
        <v>2839</v>
      </c>
      <c r="U77" s="13">
        <v>2806</v>
      </c>
      <c r="V77" s="13">
        <v>2823</v>
      </c>
      <c r="W77" s="13">
        <v>2824</v>
      </c>
      <c r="X77" s="13">
        <v>2889</v>
      </c>
      <c r="Y77" s="13">
        <v>2946</v>
      </c>
      <c r="Z77" s="13">
        <v>2923</v>
      </c>
      <c r="AA77" s="13">
        <v>2828</v>
      </c>
      <c r="AB77" s="13">
        <v>2793</v>
      </c>
      <c r="AC77" s="13">
        <v>2724.5</v>
      </c>
      <c r="AD77" s="13">
        <v>2725</v>
      </c>
      <c r="AE77" s="13">
        <v>2772</v>
      </c>
      <c r="AF77" s="13">
        <v>2768</v>
      </c>
      <c r="AG77" s="13">
        <v>2700.5</v>
      </c>
      <c r="AH77" s="13">
        <v>2686</v>
      </c>
      <c r="AI77" s="13">
        <v>2706</v>
      </c>
      <c r="AJ77" s="13">
        <v>2741.5</v>
      </c>
      <c r="AK77" s="13">
        <v>2776.5</v>
      </c>
      <c r="AL77" s="13">
        <v>2793.5</v>
      </c>
      <c r="AM77" s="13">
        <v>2810</v>
      </c>
      <c r="AN77" s="13">
        <v>2847.5</v>
      </c>
      <c r="AO77" s="13">
        <v>2902.5</v>
      </c>
      <c r="AP77" s="13">
        <v>2775.5</v>
      </c>
      <c r="AQ77" s="13">
        <v>2747.5</v>
      </c>
      <c r="AR77" s="13">
        <v>2814</v>
      </c>
      <c r="AS77" s="13">
        <v>2822.5</v>
      </c>
      <c r="AT77" s="13">
        <v>2850</v>
      </c>
      <c r="AU77" s="13">
        <v>2838.5</v>
      </c>
      <c r="AV77" s="13">
        <v>2881</v>
      </c>
      <c r="AW77" s="13">
        <v>2844</v>
      </c>
      <c r="AX77" s="13">
        <v>3042</v>
      </c>
      <c r="AY77" s="13">
        <v>3030</v>
      </c>
      <c r="AZ77" s="13">
        <v>3008</v>
      </c>
      <c r="BA77" s="13">
        <v>3026</v>
      </c>
      <c r="BB77" s="13">
        <v>2987</v>
      </c>
      <c r="BC77" s="13">
        <v>2978</v>
      </c>
      <c r="BD77" s="13">
        <v>2942</v>
      </c>
      <c r="BE77" s="13">
        <v>2957</v>
      </c>
      <c r="BF77" s="13">
        <v>2954.5</v>
      </c>
      <c r="BG77" s="13">
        <v>3085</v>
      </c>
      <c r="BH77" s="13">
        <v>3008</v>
      </c>
      <c r="BI77" s="13">
        <v>2939.5</v>
      </c>
      <c r="BJ77" s="13">
        <v>2843</v>
      </c>
      <c r="BK77" s="13">
        <v>2870</v>
      </c>
      <c r="BL77" s="13">
        <v>2913</v>
      </c>
      <c r="BM77" s="4">
        <v>2978</v>
      </c>
      <c r="BN77" s="4">
        <v>3000</v>
      </c>
      <c r="BO77" s="4">
        <v>3023</v>
      </c>
      <c r="BP77" s="4">
        <v>3112</v>
      </c>
      <c r="BQ77" s="4">
        <v>3067</v>
      </c>
      <c r="BR77" s="4">
        <v>3067</v>
      </c>
      <c r="BS77" s="4">
        <v>3123</v>
      </c>
      <c r="BT77" s="4">
        <v>3191</v>
      </c>
      <c r="BU77" s="4">
        <v>3280</v>
      </c>
      <c r="BV77" s="4">
        <v>3390</v>
      </c>
      <c r="BW77" s="4">
        <v>3343</v>
      </c>
      <c r="BX77" s="4">
        <v>3392</v>
      </c>
      <c r="BY77" s="4">
        <v>3381</v>
      </c>
      <c r="BZ77" s="4">
        <v>3326</v>
      </c>
    </row>
    <row r="78" spans="1:254" ht="15.9" customHeight="1">
      <c r="A78" s="61" t="s">
        <v>151</v>
      </c>
      <c r="B78" s="6" t="s">
        <v>152</v>
      </c>
      <c r="C78" s="15">
        <f>_xll.RssMarket("6954","現在値")</f>
        <v>6430</v>
      </c>
      <c r="D78" s="16">
        <f t="shared" si="2"/>
        <v>0</v>
      </c>
      <c r="E78" s="13">
        <v>6430</v>
      </c>
      <c r="F78" s="13">
        <v>6460</v>
      </c>
      <c r="G78" s="13">
        <v>6187</v>
      </c>
      <c r="H78" s="13">
        <v>6114</v>
      </c>
      <c r="I78" s="13">
        <v>7135</v>
      </c>
      <c r="J78" s="13">
        <v>6624</v>
      </c>
      <c r="K78" s="13">
        <v>6463</v>
      </c>
      <c r="L78" s="13">
        <v>6373</v>
      </c>
      <c r="M78" s="13">
        <v>6785</v>
      </c>
      <c r="N78" s="13">
        <v>6624</v>
      </c>
      <c r="O78" s="13">
        <v>6938</v>
      </c>
      <c r="P78" s="13">
        <v>6873</v>
      </c>
      <c r="Q78" s="13">
        <v>6776</v>
      </c>
      <c r="R78" s="13">
        <v>6637</v>
      </c>
      <c r="S78" s="13">
        <v>7008</v>
      </c>
      <c r="T78" s="13">
        <v>6839</v>
      </c>
      <c r="U78" s="13">
        <v>6957</v>
      </c>
      <c r="V78" s="13">
        <v>7156</v>
      </c>
      <c r="W78" s="13">
        <v>6851</v>
      </c>
      <c r="X78" s="13">
        <v>6700</v>
      </c>
      <c r="Y78" s="13">
        <v>7072</v>
      </c>
      <c r="Z78" s="13">
        <v>7477</v>
      </c>
      <c r="AA78" s="13">
        <v>7439</v>
      </c>
      <c r="AB78" s="13">
        <v>7209</v>
      </c>
      <c r="AC78" s="13">
        <v>7415</v>
      </c>
      <c r="AD78" s="13">
        <v>7355</v>
      </c>
      <c r="AE78" s="13">
        <v>7051</v>
      </c>
      <c r="AF78" s="13">
        <v>7026</v>
      </c>
      <c r="AG78" s="13">
        <v>7357</v>
      </c>
      <c r="AH78" s="13">
        <v>7362</v>
      </c>
      <c r="AI78" s="13">
        <v>7459</v>
      </c>
      <c r="AJ78" s="13">
        <v>7960</v>
      </c>
      <c r="AK78" s="13">
        <v>7473</v>
      </c>
      <c r="AL78" s="13">
        <v>7596</v>
      </c>
      <c r="AM78" s="13">
        <v>7515</v>
      </c>
      <c r="AN78" s="13">
        <v>7400</v>
      </c>
      <c r="AO78" s="13">
        <v>7344</v>
      </c>
      <c r="AP78" s="13">
        <v>6950</v>
      </c>
      <c r="AQ78" s="13">
        <v>6778</v>
      </c>
      <c r="AR78" s="13">
        <v>6763</v>
      </c>
      <c r="AS78" s="13">
        <v>7128</v>
      </c>
      <c r="AT78" s="13">
        <v>7648</v>
      </c>
      <c r="AU78" s="13">
        <v>7800</v>
      </c>
      <c r="AV78" s="13">
        <v>7975</v>
      </c>
      <c r="AW78" s="13">
        <v>7593</v>
      </c>
      <c r="AX78" s="13">
        <v>7892</v>
      </c>
      <c r="AY78" s="13">
        <v>7984</v>
      </c>
      <c r="AZ78" s="13">
        <v>8154</v>
      </c>
      <c r="BA78" s="13">
        <v>8428</v>
      </c>
      <c r="BB78" s="13">
        <v>8174</v>
      </c>
      <c r="BC78" s="13">
        <v>7667</v>
      </c>
      <c r="BD78" s="13">
        <v>7322</v>
      </c>
      <c r="BE78" s="13">
        <v>7662</v>
      </c>
      <c r="BF78" s="13">
        <v>7966</v>
      </c>
      <c r="BG78" s="13">
        <v>8228</v>
      </c>
      <c r="BH78" s="13">
        <v>8036</v>
      </c>
      <c r="BI78" s="13">
        <v>7680</v>
      </c>
      <c r="BJ78" s="13">
        <v>7750</v>
      </c>
      <c r="BK78" s="13">
        <v>7564</v>
      </c>
      <c r="BL78" s="13">
        <v>7515</v>
      </c>
      <c r="BM78" s="4">
        <v>7095</v>
      </c>
      <c r="BN78" s="4">
        <v>6820</v>
      </c>
      <c r="BO78" s="4">
        <v>6875</v>
      </c>
      <c r="BP78" s="4">
        <v>6961</v>
      </c>
      <c r="BQ78" s="4">
        <v>7256</v>
      </c>
      <c r="BR78" s="4">
        <v>6256</v>
      </c>
      <c r="BS78" s="4">
        <v>6340</v>
      </c>
      <c r="BT78" s="4">
        <v>6511</v>
      </c>
      <c r="BU78" s="4">
        <v>6478</v>
      </c>
      <c r="BV78" s="4">
        <v>6503</v>
      </c>
      <c r="BW78" s="4">
        <v>6228</v>
      </c>
      <c r="BX78" s="4">
        <v>6333</v>
      </c>
      <c r="BY78" s="4">
        <v>6168</v>
      </c>
      <c r="BZ78" s="4">
        <v>6231</v>
      </c>
    </row>
    <row r="79" spans="1:254" ht="15.9" customHeight="1">
      <c r="A79" s="61" t="s">
        <v>153</v>
      </c>
      <c r="B79" s="6" t="s">
        <v>154</v>
      </c>
      <c r="C79" s="15">
        <f>_xll.RssMarket("6479","現在値")</f>
        <v>3736</v>
      </c>
      <c r="D79" s="16">
        <f t="shared" si="2"/>
        <v>0</v>
      </c>
      <c r="E79" s="13">
        <v>3736</v>
      </c>
      <c r="F79" s="13">
        <v>4096</v>
      </c>
      <c r="G79" s="13">
        <v>3847</v>
      </c>
      <c r="H79" s="13">
        <v>3765</v>
      </c>
      <c r="I79" s="13">
        <v>3702</v>
      </c>
      <c r="J79" s="13">
        <v>3512</v>
      </c>
      <c r="K79" s="13">
        <v>3545</v>
      </c>
      <c r="L79" s="13">
        <v>3668</v>
      </c>
      <c r="M79" s="13">
        <v>3900</v>
      </c>
      <c r="N79" s="13">
        <v>3879</v>
      </c>
      <c r="O79" s="13">
        <v>3971</v>
      </c>
      <c r="P79" s="13">
        <v>3950</v>
      </c>
      <c r="Q79" s="13">
        <v>3902</v>
      </c>
      <c r="R79" s="13">
        <v>3821</v>
      </c>
      <c r="S79" s="13">
        <v>4185</v>
      </c>
      <c r="T79" s="13">
        <v>4151</v>
      </c>
      <c r="U79" s="13">
        <v>4166</v>
      </c>
      <c r="V79" s="13">
        <v>4381</v>
      </c>
      <c r="W79" s="13">
        <v>4370</v>
      </c>
      <c r="X79" s="13">
        <v>4321</v>
      </c>
      <c r="Y79" s="13">
        <v>4372</v>
      </c>
      <c r="Z79" s="13">
        <v>4500</v>
      </c>
      <c r="AA79" s="13">
        <v>4848</v>
      </c>
      <c r="AB79" s="13">
        <v>4694</v>
      </c>
      <c r="AC79" s="13">
        <v>4998</v>
      </c>
      <c r="AD79" s="13">
        <v>4756</v>
      </c>
      <c r="AE79" s="13">
        <v>4771</v>
      </c>
      <c r="AF79" s="13">
        <v>4805</v>
      </c>
      <c r="AG79" s="13">
        <v>5246</v>
      </c>
      <c r="AH79" s="13">
        <v>4922</v>
      </c>
      <c r="AI79" s="13">
        <v>4928</v>
      </c>
      <c r="AJ79" s="13">
        <v>5054</v>
      </c>
      <c r="AK79" s="13">
        <v>4628</v>
      </c>
      <c r="AL79" s="13">
        <v>4623</v>
      </c>
      <c r="AM79" s="13">
        <v>4718</v>
      </c>
      <c r="AN79" s="13">
        <v>4618</v>
      </c>
      <c r="AO79" s="13">
        <v>4476</v>
      </c>
      <c r="AP79" s="13">
        <v>4233</v>
      </c>
      <c r="AQ79" s="13">
        <v>4319</v>
      </c>
      <c r="AR79" s="13">
        <v>4396</v>
      </c>
      <c r="AS79" s="13">
        <v>4546</v>
      </c>
      <c r="AT79" s="13">
        <v>4994</v>
      </c>
      <c r="AU79" s="13">
        <v>4968</v>
      </c>
      <c r="AV79" s="13">
        <v>4880</v>
      </c>
      <c r="AW79" s="13">
        <v>4675</v>
      </c>
      <c r="AX79" s="13">
        <v>4562</v>
      </c>
      <c r="AY79" s="13">
        <v>4276</v>
      </c>
      <c r="AZ79" s="13">
        <v>4232</v>
      </c>
      <c r="BA79" s="13">
        <v>4221</v>
      </c>
      <c r="BB79" s="13">
        <v>3992</v>
      </c>
      <c r="BC79" s="13">
        <v>3877</v>
      </c>
      <c r="BD79" s="13">
        <v>3730</v>
      </c>
      <c r="BE79" s="13">
        <v>3878</v>
      </c>
      <c r="BF79" s="13">
        <v>3815</v>
      </c>
      <c r="BG79" s="13">
        <v>3944</v>
      </c>
      <c r="BH79" s="13">
        <v>3978</v>
      </c>
      <c r="BI79" s="13">
        <v>3914</v>
      </c>
      <c r="BJ79" s="13">
        <v>3566</v>
      </c>
      <c r="BK79" s="13">
        <v>3458</v>
      </c>
      <c r="BL79" s="13">
        <v>3380</v>
      </c>
      <c r="BM79" s="4">
        <v>3290</v>
      </c>
      <c r="BN79" s="4">
        <v>3108</v>
      </c>
      <c r="BO79" s="4">
        <v>3124</v>
      </c>
      <c r="BP79" s="4">
        <v>3059</v>
      </c>
      <c r="BQ79" s="4">
        <v>3073</v>
      </c>
      <c r="BR79" s="4">
        <v>3086</v>
      </c>
      <c r="BS79" s="4">
        <v>3027</v>
      </c>
      <c r="BT79" s="4">
        <v>3096</v>
      </c>
      <c r="BU79" s="4">
        <v>3128</v>
      </c>
      <c r="BV79" s="4">
        <v>3092</v>
      </c>
      <c r="BW79" s="4">
        <v>2949.5</v>
      </c>
      <c r="BX79" s="4">
        <v>3011</v>
      </c>
      <c r="BY79" s="4">
        <v>2863.5</v>
      </c>
      <c r="BZ79" s="4">
        <v>2872.5</v>
      </c>
    </row>
    <row r="80" spans="1:254" ht="15.9" customHeight="1">
      <c r="A80" s="61" t="s">
        <v>155</v>
      </c>
      <c r="B80" s="6" t="s">
        <v>156</v>
      </c>
      <c r="C80" s="15">
        <f>_xll.RssMarket("1833","現在値")</f>
        <v>5790</v>
      </c>
      <c r="D80" s="16">
        <f t="shared" si="2"/>
        <v>0</v>
      </c>
      <c r="E80" s="13">
        <v>5790</v>
      </c>
      <c r="F80" s="13">
        <v>5740</v>
      </c>
      <c r="G80" s="13">
        <v>5730</v>
      </c>
      <c r="H80" s="13">
        <v>5780</v>
      </c>
      <c r="I80" s="13">
        <v>5790</v>
      </c>
      <c r="J80" s="13">
        <v>5790</v>
      </c>
      <c r="K80" s="13">
        <v>5810</v>
      </c>
      <c r="L80" s="13">
        <v>5850</v>
      </c>
      <c r="M80" s="13">
        <v>5850</v>
      </c>
      <c r="N80" s="13"/>
      <c r="O80" s="13">
        <v>5730</v>
      </c>
      <c r="P80" s="13">
        <v>5670</v>
      </c>
      <c r="Q80" s="13">
        <v>5670</v>
      </c>
      <c r="R80" s="13">
        <v>5600</v>
      </c>
      <c r="S80" s="13">
        <v>5680</v>
      </c>
      <c r="T80" s="13">
        <v>5610</v>
      </c>
      <c r="U80" s="13">
        <v>5560</v>
      </c>
      <c r="V80" s="13">
        <v>5650</v>
      </c>
      <c r="W80" s="13">
        <v>5720</v>
      </c>
      <c r="X80" s="13">
        <v>5680</v>
      </c>
      <c r="Y80" s="13">
        <v>5780</v>
      </c>
      <c r="Z80" s="13">
        <v>5760</v>
      </c>
      <c r="AA80" s="13">
        <v>5680</v>
      </c>
      <c r="AB80" s="13">
        <v>5660</v>
      </c>
      <c r="AC80" s="13">
        <v>5640</v>
      </c>
      <c r="AD80" s="13">
        <v>5620</v>
      </c>
      <c r="AE80" s="13">
        <v>5700</v>
      </c>
      <c r="AF80" s="13">
        <v>5650</v>
      </c>
      <c r="AG80" s="13">
        <v>5590</v>
      </c>
      <c r="AH80" s="13">
        <v>5640</v>
      </c>
      <c r="AI80" s="13">
        <v>5600</v>
      </c>
      <c r="AJ80" s="13">
        <v>5690</v>
      </c>
      <c r="AK80" s="13">
        <v>5670</v>
      </c>
      <c r="AL80" s="13">
        <v>5800</v>
      </c>
      <c r="AM80" s="13">
        <v>5700</v>
      </c>
      <c r="AN80" s="13">
        <v>5720</v>
      </c>
      <c r="AO80" s="13">
        <v>5800</v>
      </c>
      <c r="AP80" s="13">
        <v>5640</v>
      </c>
      <c r="AQ80" s="13">
        <v>5550</v>
      </c>
      <c r="AR80" s="13">
        <v>5560</v>
      </c>
      <c r="AS80" s="13">
        <v>5490</v>
      </c>
      <c r="AT80" s="13">
        <v>5620</v>
      </c>
      <c r="AU80" s="13">
        <v>5480</v>
      </c>
      <c r="AV80" s="13">
        <v>5550</v>
      </c>
      <c r="AW80" s="13">
        <v>5560</v>
      </c>
      <c r="AX80" s="13">
        <v>5610</v>
      </c>
      <c r="AY80" s="13">
        <v>5610</v>
      </c>
      <c r="AZ80" s="13">
        <v>5520</v>
      </c>
      <c r="BA80" s="13">
        <v>5570</v>
      </c>
      <c r="BB80" s="13">
        <v>5460</v>
      </c>
      <c r="BC80" s="13">
        <v>5560</v>
      </c>
      <c r="BD80" s="13">
        <v>5600</v>
      </c>
      <c r="BE80" s="13">
        <v>5740</v>
      </c>
      <c r="BF80" s="13">
        <v>5660</v>
      </c>
      <c r="BG80" s="13">
        <v>5950</v>
      </c>
      <c r="BH80" s="13">
        <v>5980</v>
      </c>
      <c r="BI80" s="13">
        <v>6160</v>
      </c>
      <c r="BJ80" s="13">
        <v>6320</v>
      </c>
      <c r="BK80" s="13">
        <v>6230</v>
      </c>
      <c r="BL80" s="13">
        <v>6110</v>
      </c>
      <c r="BM80" s="4">
        <v>6160</v>
      </c>
      <c r="BN80" s="4">
        <v>6120</v>
      </c>
      <c r="BO80" s="4">
        <v>6150</v>
      </c>
      <c r="BP80" s="4">
        <v>6140</v>
      </c>
      <c r="BQ80" s="4">
        <v>5980</v>
      </c>
      <c r="BR80" s="4">
        <v>6000</v>
      </c>
      <c r="BS80" s="4">
        <v>6060</v>
      </c>
      <c r="BT80" s="4">
        <v>6030</v>
      </c>
      <c r="BU80" s="4">
        <v>6120</v>
      </c>
      <c r="BV80" s="4">
        <v>6120</v>
      </c>
      <c r="BW80" s="4">
        <v>6140</v>
      </c>
      <c r="BX80" s="4">
        <v>6230</v>
      </c>
      <c r="BY80" s="4">
        <v>6240</v>
      </c>
      <c r="BZ80" s="4">
        <v>6280</v>
      </c>
    </row>
    <row r="81" spans="1:254" ht="15.9" customHeight="1">
      <c r="A81" s="61" t="s">
        <v>157</v>
      </c>
      <c r="B81" s="6" t="s">
        <v>158</v>
      </c>
      <c r="C81" s="15">
        <f>_xll.RssMarket("6841","現在値")</f>
        <v>5335</v>
      </c>
      <c r="D81" s="16">
        <f t="shared" si="2"/>
        <v>0</v>
      </c>
      <c r="E81" s="13">
        <v>5335</v>
      </c>
      <c r="F81" s="13">
        <v>5302</v>
      </c>
      <c r="G81" s="13">
        <v>5894</v>
      </c>
      <c r="H81" s="13">
        <v>5704</v>
      </c>
      <c r="I81" s="13">
        <v>5782</v>
      </c>
      <c r="J81" s="13">
        <v>5605</v>
      </c>
      <c r="K81" s="13">
        <v>5560</v>
      </c>
      <c r="L81" s="13">
        <v>5655</v>
      </c>
      <c r="M81" s="13">
        <v>6022</v>
      </c>
      <c r="N81" s="13">
        <v>5792</v>
      </c>
      <c r="O81" s="13">
        <v>5769</v>
      </c>
      <c r="P81" s="13">
        <v>5727</v>
      </c>
      <c r="Q81" s="13">
        <v>5707</v>
      </c>
      <c r="R81" s="13">
        <v>5468</v>
      </c>
      <c r="S81" s="13">
        <v>5600</v>
      </c>
      <c r="T81" s="13">
        <v>5470</v>
      </c>
      <c r="U81" s="13">
        <v>5577</v>
      </c>
      <c r="V81" s="13">
        <v>5559</v>
      </c>
      <c r="W81" s="13">
        <v>5439</v>
      </c>
      <c r="X81" s="13">
        <v>5437</v>
      </c>
      <c r="Y81" s="13">
        <v>5642</v>
      </c>
      <c r="Z81" s="13">
        <v>5854</v>
      </c>
      <c r="AA81" s="13">
        <v>5812</v>
      </c>
      <c r="AB81" s="13">
        <v>5584</v>
      </c>
      <c r="AC81" s="13">
        <v>5714</v>
      </c>
      <c r="AD81" s="13">
        <v>5635</v>
      </c>
      <c r="AE81" s="13">
        <v>5594</v>
      </c>
      <c r="AF81" s="13">
        <v>5587</v>
      </c>
      <c r="AG81" s="13">
        <v>5579</v>
      </c>
      <c r="AH81" s="13">
        <v>5520</v>
      </c>
      <c r="AI81" s="13">
        <v>5535</v>
      </c>
      <c r="AJ81" s="13">
        <v>5698</v>
      </c>
      <c r="AK81" s="13">
        <v>5409</v>
      </c>
      <c r="AL81" s="13">
        <v>5478</v>
      </c>
      <c r="AM81" s="13">
        <v>5380</v>
      </c>
      <c r="AN81" s="13">
        <v>5230</v>
      </c>
      <c r="AO81" s="13">
        <v>5162</v>
      </c>
      <c r="AP81" s="13">
        <v>4848</v>
      </c>
      <c r="AQ81" s="13">
        <v>4766</v>
      </c>
      <c r="AR81" s="13">
        <v>4757</v>
      </c>
      <c r="AS81" s="13">
        <v>4941</v>
      </c>
      <c r="AT81" s="13">
        <v>5226</v>
      </c>
      <c r="AU81" s="13">
        <v>5313</v>
      </c>
      <c r="AV81" s="13">
        <v>5350</v>
      </c>
      <c r="AW81" s="13">
        <v>5125</v>
      </c>
      <c r="AX81" s="13">
        <v>5001</v>
      </c>
      <c r="AY81" s="13">
        <v>4914</v>
      </c>
      <c r="AZ81" s="13">
        <v>4927</v>
      </c>
      <c r="BA81" s="13">
        <v>5044</v>
      </c>
      <c r="BB81" s="13">
        <v>4830</v>
      </c>
      <c r="BC81" s="13">
        <v>4771</v>
      </c>
      <c r="BD81" s="13">
        <v>4700</v>
      </c>
      <c r="BE81" s="13">
        <v>4817</v>
      </c>
      <c r="BF81" s="13">
        <v>4864</v>
      </c>
      <c r="BG81" s="13">
        <v>5013</v>
      </c>
      <c r="BH81" s="13">
        <v>5093</v>
      </c>
      <c r="BI81" s="13">
        <v>5268</v>
      </c>
      <c r="BJ81" s="13">
        <v>5260</v>
      </c>
      <c r="BK81" s="13">
        <v>5371</v>
      </c>
      <c r="BL81" s="13">
        <v>5171</v>
      </c>
      <c r="BM81" s="4">
        <v>5734</v>
      </c>
      <c r="BN81" s="4">
        <v>5409</v>
      </c>
      <c r="BO81" s="4">
        <v>5463</v>
      </c>
      <c r="BP81" s="4">
        <v>5450</v>
      </c>
      <c r="BQ81" s="4">
        <v>5331</v>
      </c>
      <c r="BR81" s="4">
        <v>5264</v>
      </c>
      <c r="BS81" s="4">
        <v>5279</v>
      </c>
      <c r="BT81" s="4">
        <v>5447</v>
      </c>
      <c r="BU81" s="4">
        <v>5584</v>
      </c>
      <c r="BV81" s="4">
        <v>5500</v>
      </c>
      <c r="BW81" s="4">
        <v>5414</v>
      </c>
      <c r="BX81" s="4">
        <v>5461</v>
      </c>
      <c r="BY81" s="4">
        <v>5387</v>
      </c>
      <c r="BZ81" s="4">
        <v>5611</v>
      </c>
    </row>
    <row r="82" spans="1:254" ht="15.9" customHeight="1">
      <c r="A82" s="61" t="s">
        <v>159</v>
      </c>
      <c r="B82" s="6" t="s">
        <v>160</v>
      </c>
      <c r="C82" s="15">
        <f>_xll.RssMarket("7167","現在値")</f>
        <v>1628</v>
      </c>
      <c r="D82" s="16">
        <f t="shared" si="2"/>
        <v>0</v>
      </c>
      <c r="E82" s="13">
        <v>1628</v>
      </c>
      <c r="F82" s="13">
        <v>1522</v>
      </c>
      <c r="G82" s="13">
        <v>1496.5</v>
      </c>
      <c r="H82" s="13">
        <v>1483</v>
      </c>
      <c r="I82" s="13">
        <v>1497</v>
      </c>
      <c r="J82" s="13">
        <v>1465.5</v>
      </c>
      <c r="K82" s="13">
        <v>1498.5</v>
      </c>
      <c r="L82" s="13">
        <v>1520</v>
      </c>
      <c r="M82" s="13">
        <v>1554.5</v>
      </c>
      <c r="N82" s="13">
        <v>1541</v>
      </c>
      <c r="O82" s="13">
        <v>1515.5</v>
      </c>
      <c r="P82" s="13">
        <v>1499</v>
      </c>
      <c r="Q82" s="13">
        <v>1474.5</v>
      </c>
      <c r="R82" s="13">
        <v>1427</v>
      </c>
      <c r="S82" s="13">
        <v>1531.5</v>
      </c>
      <c r="T82" s="13">
        <v>1523</v>
      </c>
      <c r="U82" s="13">
        <v>1531.5</v>
      </c>
      <c r="V82" s="13">
        <v>1539.5</v>
      </c>
      <c r="W82" s="13">
        <v>1556</v>
      </c>
      <c r="X82" s="13">
        <v>1565.5</v>
      </c>
      <c r="Y82" s="13">
        <v>1528</v>
      </c>
      <c r="Z82" s="13">
        <v>1529.5</v>
      </c>
      <c r="AA82" s="13">
        <v>1509</v>
      </c>
      <c r="AB82" s="13">
        <v>1479.5</v>
      </c>
      <c r="AC82" s="13">
        <v>1431.5</v>
      </c>
      <c r="AD82" s="13">
        <v>1412</v>
      </c>
      <c r="AE82" s="13">
        <v>1412.5</v>
      </c>
      <c r="AF82" s="13">
        <v>1407.5</v>
      </c>
      <c r="AG82" s="13">
        <v>1380.5</v>
      </c>
      <c r="AH82" s="13">
        <v>1384.5</v>
      </c>
      <c r="AI82" s="13">
        <v>1411</v>
      </c>
      <c r="AJ82" s="13">
        <v>1425.5</v>
      </c>
      <c r="AK82" s="13">
        <v>1411</v>
      </c>
      <c r="AL82" s="13">
        <v>1439.5</v>
      </c>
      <c r="AM82" s="13">
        <v>1388.5</v>
      </c>
      <c r="AN82" s="13">
        <v>1413</v>
      </c>
      <c r="AO82" s="13">
        <v>1413.5</v>
      </c>
      <c r="AP82" s="13">
        <v>1402</v>
      </c>
      <c r="AQ82" s="13">
        <v>1372.5</v>
      </c>
      <c r="AR82" s="13">
        <v>1375.5</v>
      </c>
      <c r="AS82" s="13">
        <v>1348.5</v>
      </c>
      <c r="AT82" s="13">
        <v>1357.5</v>
      </c>
      <c r="AU82" s="13">
        <v>1341</v>
      </c>
      <c r="AV82" s="13">
        <v>1338</v>
      </c>
      <c r="AW82" s="13">
        <v>1314.5</v>
      </c>
      <c r="AX82" s="13">
        <v>1329.5</v>
      </c>
      <c r="AY82" s="13">
        <v>1353</v>
      </c>
      <c r="AZ82" s="13">
        <v>1371.5</v>
      </c>
      <c r="BA82" s="13">
        <v>1388</v>
      </c>
      <c r="BB82" s="13">
        <v>1396.5</v>
      </c>
      <c r="BC82" s="13">
        <v>1409.5</v>
      </c>
      <c r="BD82" s="13">
        <v>1385.5</v>
      </c>
      <c r="BE82" s="13">
        <v>1365.5</v>
      </c>
      <c r="BF82" s="13">
        <v>1366.5</v>
      </c>
      <c r="BG82" s="13">
        <v>1377.5</v>
      </c>
      <c r="BH82" s="13">
        <v>1370.5</v>
      </c>
      <c r="BI82" s="13">
        <v>1366.5</v>
      </c>
      <c r="BJ82" s="13">
        <v>1362.5</v>
      </c>
      <c r="BK82" s="13">
        <v>1338</v>
      </c>
      <c r="BL82" s="13">
        <v>1313.5</v>
      </c>
      <c r="BM82" s="4">
        <v>1344.5</v>
      </c>
      <c r="BN82" s="4">
        <v>1296</v>
      </c>
      <c r="BO82" s="4">
        <v>1298.5</v>
      </c>
      <c r="BP82" s="4">
        <v>1319.5</v>
      </c>
      <c r="BQ82" s="4">
        <v>1234</v>
      </c>
      <c r="BR82" s="4">
        <v>1222</v>
      </c>
      <c r="BS82" s="4">
        <v>1236</v>
      </c>
      <c r="BT82" s="4">
        <v>1244.5</v>
      </c>
      <c r="BU82" s="4">
        <v>1281.5</v>
      </c>
      <c r="BV82" s="4">
        <v>1317.5</v>
      </c>
      <c r="BW82" s="4">
        <v>1343.5</v>
      </c>
      <c r="BX82" s="4">
        <v>1356</v>
      </c>
      <c r="BY82" s="4">
        <v>1354</v>
      </c>
      <c r="BZ82" s="4">
        <v>1343.5</v>
      </c>
    </row>
    <row r="83" spans="1:254" ht="15.9" customHeight="1">
      <c r="A83" s="61" t="s">
        <v>161</v>
      </c>
      <c r="B83" s="6" t="s">
        <v>162</v>
      </c>
      <c r="C83" s="15">
        <f>_xll.RssMarket("1925","現在値")</f>
        <v>4588</v>
      </c>
      <c r="D83" s="16">
        <f t="shared" si="2"/>
        <v>0</v>
      </c>
      <c r="E83" s="13">
        <v>4588</v>
      </c>
      <c r="F83" s="13">
        <v>4513</v>
      </c>
      <c r="G83" s="13">
        <v>4544</v>
      </c>
      <c r="H83" s="13">
        <v>4584</v>
      </c>
      <c r="I83" s="13">
        <v>4678</v>
      </c>
      <c r="J83" s="13">
        <v>4832</v>
      </c>
      <c r="K83" s="13">
        <v>4909</v>
      </c>
      <c r="L83" s="13">
        <v>4765</v>
      </c>
      <c r="M83" s="13">
        <v>4740</v>
      </c>
      <c r="N83" s="13">
        <v>4579</v>
      </c>
      <c r="O83" s="13">
        <v>4566</v>
      </c>
      <c r="P83" s="13">
        <v>4605</v>
      </c>
      <c r="Q83" s="13">
        <v>4639</v>
      </c>
      <c r="R83" s="13">
        <v>4582</v>
      </c>
      <c r="S83" s="13">
        <v>4600</v>
      </c>
      <c r="T83" s="13">
        <v>4594</v>
      </c>
      <c r="U83" s="13">
        <v>4541</v>
      </c>
      <c r="V83" s="13">
        <v>4506</v>
      </c>
      <c r="W83" s="13">
        <v>4520</v>
      </c>
      <c r="X83" s="13">
        <v>4545</v>
      </c>
      <c r="Y83" s="13">
        <v>4576</v>
      </c>
      <c r="Z83" s="13">
        <v>4563</v>
      </c>
      <c r="AA83" s="13">
        <v>4503</v>
      </c>
      <c r="AB83" s="13">
        <v>4458</v>
      </c>
      <c r="AC83" s="13">
        <v>4391</v>
      </c>
      <c r="AD83" s="13">
        <v>4417</v>
      </c>
      <c r="AE83" s="13">
        <v>4452</v>
      </c>
      <c r="AF83" s="13">
        <v>4424</v>
      </c>
      <c r="AG83" s="13">
        <v>4351</v>
      </c>
      <c r="AH83" s="13">
        <v>4320</v>
      </c>
      <c r="AI83" s="13">
        <v>4275</v>
      </c>
      <c r="AJ83" s="13">
        <v>4292</v>
      </c>
      <c r="AK83" s="13">
        <v>4363</v>
      </c>
      <c r="AL83" s="13">
        <v>4372</v>
      </c>
      <c r="AM83" s="13">
        <v>4358</v>
      </c>
      <c r="AN83" s="13">
        <v>4346</v>
      </c>
      <c r="AO83" s="13">
        <v>4388</v>
      </c>
      <c r="AP83" s="13">
        <v>4300</v>
      </c>
      <c r="AQ83" s="13">
        <v>4283</v>
      </c>
      <c r="AR83" s="13">
        <v>4381</v>
      </c>
      <c r="AS83" s="13">
        <v>4249</v>
      </c>
      <c r="AT83" s="13">
        <v>4191</v>
      </c>
      <c r="AU83" s="13">
        <v>4227</v>
      </c>
      <c r="AV83" s="13">
        <v>4265</v>
      </c>
      <c r="AW83" s="13">
        <v>4187</v>
      </c>
      <c r="AX83" s="13">
        <v>4334</v>
      </c>
      <c r="AY83" s="13">
        <v>4374</v>
      </c>
      <c r="AZ83" s="13">
        <v>4402</v>
      </c>
      <c r="BA83" s="13">
        <v>4431</v>
      </c>
      <c r="BB83" s="13">
        <v>4416</v>
      </c>
      <c r="BC83" s="13">
        <v>4453</v>
      </c>
      <c r="BD83" s="13">
        <v>4485</v>
      </c>
      <c r="BE83" s="13">
        <v>4544</v>
      </c>
      <c r="BF83" s="13">
        <v>4483</v>
      </c>
      <c r="BG83" s="13">
        <v>4538</v>
      </c>
      <c r="BH83" s="13">
        <v>4538</v>
      </c>
      <c r="BI83" s="13">
        <v>4777</v>
      </c>
      <c r="BJ83" s="13">
        <v>4783</v>
      </c>
      <c r="BK83" s="13">
        <v>4770</v>
      </c>
      <c r="BL83" s="13">
        <v>4773</v>
      </c>
      <c r="BM83" s="4">
        <v>4811</v>
      </c>
      <c r="BN83" s="4">
        <v>4763</v>
      </c>
      <c r="BO83" s="4">
        <v>4788</v>
      </c>
      <c r="BP83" s="4">
        <v>4876</v>
      </c>
      <c r="BQ83" s="4">
        <v>4768</v>
      </c>
      <c r="BR83" s="4">
        <v>4783</v>
      </c>
      <c r="BS83" s="4">
        <v>4840</v>
      </c>
      <c r="BT83" s="4">
        <v>4838</v>
      </c>
      <c r="BU83" s="4">
        <v>4907</v>
      </c>
      <c r="BV83" s="4">
        <v>4912</v>
      </c>
      <c r="BW83" s="4">
        <v>4852</v>
      </c>
      <c r="BX83" s="4">
        <v>4919</v>
      </c>
      <c r="BY83" s="4">
        <v>4917</v>
      </c>
      <c r="BZ83" s="4">
        <v>4899</v>
      </c>
    </row>
    <row r="84" spans="1:254" ht="15.9" customHeight="1">
      <c r="A84" s="61" t="s">
        <v>163</v>
      </c>
      <c r="B84" s="6" t="s">
        <v>164</v>
      </c>
      <c r="C84" s="15">
        <f>_xll.RssMarket("5411","現在値")</f>
        <v>1858.5</v>
      </c>
      <c r="D84" s="16">
        <f t="shared" si="2"/>
        <v>0</v>
      </c>
      <c r="E84" s="13">
        <v>1858.5</v>
      </c>
      <c r="F84" s="13">
        <v>1838.5</v>
      </c>
      <c r="G84" s="13">
        <v>1799.5</v>
      </c>
      <c r="H84" s="13">
        <v>1794</v>
      </c>
      <c r="I84" s="13">
        <v>1817.5</v>
      </c>
      <c r="J84" s="13">
        <v>1865</v>
      </c>
      <c r="K84" s="13">
        <v>1867.5</v>
      </c>
      <c r="L84" s="13">
        <v>1795</v>
      </c>
      <c r="M84" s="13">
        <v>1804</v>
      </c>
      <c r="N84" s="13">
        <v>1726</v>
      </c>
      <c r="O84" s="13">
        <v>1729</v>
      </c>
      <c r="P84" s="13">
        <v>1714.5</v>
      </c>
      <c r="Q84" s="13">
        <v>1739</v>
      </c>
      <c r="R84" s="13">
        <v>1697.5</v>
      </c>
      <c r="S84" s="13">
        <v>1679</v>
      </c>
      <c r="T84" s="13">
        <v>1666</v>
      </c>
      <c r="U84" s="13">
        <v>1626.5</v>
      </c>
      <c r="V84" s="13">
        <v>1623</v>
      </c>
      <c r="W84" s="13">
        <v>1620</v>
      </c>
      <c r="X84" s="13">
        <v>1647.5</v>
      </c>
      <c r="Y84" s="13">
        <v>1654</v>
      </c>
      <c r="Z84" s="13">
        <v>1654</v>
      </c>
      <c r="AA84" s="13">
        <v>1600</v>
      </c>
      <c r="AB84" s="13">
        <v>1571</v>
      </c>
      <c r="AC84" s="13">
        <v>1552.5</v>
      </c>
      <c r="AD84" s="13">
        <v>1560</v>
      </c>
      <c r="AE84" s="13">
        <v>1563.5</v>
      </c>
      <c r="AF84" s="13">
        <v>1547.5</v>
      </c>
      <c r="AG84" s="13">
        <v>1546</v>
      </c>
      <c r="AH84" s="13">
        <v>1559</v>
      </c>
      <c r="AI84" s="13">
        <v>1561.5</v>
      </c>
      <c r="AJ84" s="13">
        <v>1607</v>
      </c>
      <c r="AK84" s="13">
        <v>1614</v>
      </c>
      <c r="AL84" s="13">
        <v>1644.5</v>
      </c>
      <c r="AM84" s="13">
        <v>1637</v>
      </c>
      <c r="AN84" s="13">
        <v>1647</v>
      </c>
      <c r="AO84" s="13">
        <v>1647.5</v>
      </c>
      <c r="AP84" s="13">
        <v>1613</v>
      </c>
      <c r="AQ84" s="13">
        <v>1573</v>
      </c>
      <c r="AR84" s="13">
        <v>1582.5</v>
      </c>
      <c r="AS84" s="13">
        <v>1580</v>
      </c>
      <c r="AT84" s="13">
        <v>1614</v>
      </c>
      <c r="AU84" s="13">
        <v>1601</v>
      </c>
      <c r="AV84" s="13">
        <v>1594.5</v>
      </c>
      <c r="AW84" s="13">
        <v>1598</v>
      </c>
      <c r="AX84" s="13">
        <v>1700.5</v>
      </c>
      <c r="AY84" s="13">
        <v>1677.5</v>
      </c>
      <c r="AZ84" s="13">
        <v>1676.5</v>
      </c>
      <c r="BA84" s="13">
        <v>1630</v>
      </c>
      <c r="BB84" s="13">
        <v>1635</v>
      </c>
      <c r="BC84" s="13">
        <v>1655</v>
      </c>
      <c r="BD84" s="13">
        <v>1636.5</v>
      </c>
      <c r="BE84" s="13">
        <v>1668.5</v>
      </c>
      <c r="BF84" s="13">
        <v>1652.5</v>
      </c>
      <c r="BG84" s="13">
        <v>1678</v>
      </c>
      <c r="BH84" s="13">
        <v>1690.5</v>
      </c>
      <c r="BI84" s="13">
        <v>1720.5</v>
      </c>
      <c r="BJ84" s="13">
        <v>1683</v>
      </c>
      <c r="BK84" s="13">
        <v>1685.5</v>
      </c>
      <c r="BL84" s="13">
        <v>1765</v>
      </c>
      <c r="BM84" s="4">
        <v>1734.5</v>
      </c>
      <c r="BN84" s="4">
        <v>1716.5</v>
      </c>
      <c r="BO84" s="4">
        <v>1715</v>
      </c>
      <c r="BP84" s="4">
        <v>1700.5</v>
      </c>
      <c r="BQ84" s="4">
        <v>1674</v>
      </c>
      <c r="BR84" s="4">
        <v>1685.5</v>
      </c>
      <c r="BS84" s="4">
        <v>1695</v>
      </c>
      <c r="BT84" s="4">
        <v>1723</v>
      </c>
      <c r="BU84" s="4">
        <v>1748</v>
      </c>
      <c r="BV84" s="4">
        <v>1771.5</v>
      </c>
      <c r="BW84" s="4">
        <v>1801.5</v>
      </c>
      <c r="BX84" s="4">
        <v>1830</v>
      </c>
      <c r="BY84" s="4">
        <v>1821.5</v>
      </c>
      <c r="BZ84" s="4">
        <v>1820</v>
      </c>
    </row>
    <row r="85" spans="1:254" ht="15.9" customHeight="1">
      <c r="A85" s="61" t="s">
        <v>165</v>
      </c>
      <c r="B85" s="6" t="s">
        <v>166</v>
      </c>
      <c r="C85" s="15">
        <f>_xll.RssMarket("7182","現在値")</f>
        <v>3232</v>
      </c>
      <c r="D85" s="16">
        <f t="shared" si="2"/>
        <v>0</v>
      </c>
      <c r="E85" s="13">
        <v>3232</v>
      </c>
      <c r="F85" s="13">
        <v>3200</v>
      </c>
      <c r="G85" s="13">
        <v>3095</v>
      </c>
      <c r="H85" s="13">
        <v>3102</v>
      </c>
      <c r="I85" s="13">
        <v>3111</v>
      </c>
      <c r="J85" s="13">
        <v>3110</v>
      </c>
      <c r="K85" s="13">
        <v>3216</v>
      </c>
      <c r="L85" s="13">
        <v>3256</v>
      </c>
      <c r="M85" s="13">
        <v>3416</v>
      </c>
      <c r="N85" s="13">
        <v>3442</v>
      </c>
      <c r="O85" s="13">
        <v>3447</v>
      </c>
      <c r="P85" s="13">
        <v>3411</v>
      </c>
      <c r="Q85" s="13">
        <v>3348</v>
      </c>
      <c r="R85" s="13">
        <v>3141</v>
      </c>
      <c r="S85" s="13">
        <v>3350</v>
      </c>
      <c r="T85" s="13">
        <v>3304</v>
      </c>
      <c r="U85" s="13">
        <v>3299</v>
      </c>
      <c r="V85" s="13">
        <v>3261</v>
      </c>
      <c r="W85" s="13">
        <v>3289</v>
      </c>
      <c r="X85" s="13">
        <v>3305</v>
      </c>
      <c r="Y85" s="13">
        <v>3307</v>
      </c>
      <c r="Z85" s="13">
        <v>3262</v>
      </c>
      <c r="AA85" s="13">
        <v>3230</v>
      </c>
      <c r="AB85" s="13">
        <v>3148</v>
      </c>
      <c r="AC85" s="13">
        <v>3087</v>
      </c>
      <c r="AD85" s="13">
        <v>3063</v>
      </c>
      <c r="AE85" s="13">
        <v>3078</v>
      </c>
      <c r="AF85" s="13">
        <v>3069</v>
      </c>
      <c r="AG85" s="13">
        <v>3050</v>
      </c>
      <c r="AH85" s="13">
        <v>3101</v>
      </c>
      <c r="AI85" s="13">
        <v>3210</v>
      </c>
      <c r="AJ85" s="13">
        <v>3269</v>
      </c>
      <c r="AK85" s="13">
        <v>3190</v>
      </c>
      <c r="AL85" s="13">
        <v>3296</v>
      </c>
      <c r="AM85" s="13">
        <v>3125</v>
      </c>
      <c r="AN85" s="13">
        <v>3170</v>
      </c>
      <c r="AO85" s="13">
        <v>3198</v>
      </c>
      <c r="AP85" s="13">
        <v>3211</v>
      </c>
      <c r="AQ85" s="13">
        <v>3096</v>
      </c>
      <c r="AR85" s="13">
        <v>3177</v>
      </c>
      <c r="AS85" s="13">
        <v>3126</v>
      </c>
      <c r="AT85" s="13">
        <v>3161</v>
      </c>
      <c r="AU85" s="13">
        <v>3225</v>
      </c>
      <c r="AV85" s="13">
        <v>3163</v>
      </c>
      <c r="AW85" s="13">
        <v>3066</v>
      </c>
      <c r="AX85" s="13">
        <v>3069</v>
      </c>
      <c r="AY85" s="13">
        <v>2960.5</v>
      </c>
      <c r="AZ85" s="13">
        <v>3001</v>
      </c>
      <c r="BA85" s="13">
        <v>3093</v>
      </c>
      <c r="BB85" s="13">
        <v>3104</v>
      </c>
      <c r="BC85" s="13">
        <v>3193</v>
      </c>
      <c r="BD85" s="13">
        <v>3075</v>
      </c>
      <c r="BE85" s="13">
        <v>3021</v>
      </c>
      <c r="BF85" s="13">
        <v>2977.5</v>
      </c>
      <c r="BG85" s="13">
        <v>2829</v>
      </c>
      <c r="BH85" s="13">
        <v>2835.5</v>
      </c>
      <c r="BI85" s="13">
        <v>2849</v>
      </c>
      <c r="BJ85" s="13">
        <v>2841.5</v>
      </c>
      <c r="BK85" s="13">
        <v>2796.5</v>
      </c>
      <c r="BL85" s="13">
        <v>2724.5</v>
      </c>
      <c r="BM85" s="4">
        <v>2817</v>
      </c>
      <c r="BN85" s="4">
        <v>2656</v>
      </c>
      <c r="BO85" s="4">
        <v>2689</v>
      </c>
      <c r="BP85" s="4">
        <v>2696.5</v>
      </c>
      <c r="BQ85" s="4">
        <v>2539.5</v>
      </c>
      <c r="BR85" s="4">
        <v>2510</v>
      </c>
      <c r="BS85" s="4">
        <v>2537</v>
      </c>
      <c r="BT85" s="4">
        <v>2555</v>
      </c>
      <c r="BU85" s="4">
        <v>2600</v>
      </c>
      <c r="BV85" s="4">
        <v>2710</v>
      </c>
      <c r="BW85" s="4">
        <v>2731.5</v>
      </c>
      <c r="BX85" s="4">
        <v>2798.5</v>
      </c>
      <c r="BY85" s="4">
        <v>2772.5</v>
      </c>
      <c r="BZ85" s="4">
        <v>2724.5</v>
      </c>
    </row>
    <row r="86" spans="1:254" ht="15.9" customHeight="1">
      <c r="A86" s="61" t="s">
        <v>167</v>
      </c>
      <c r="B86" s="6" t="s">
        <v>168</v>
      </c>
      <c r="C86" s="15">
        <f>_xll.RssMarket("1963","現在値")</f>
        <v>2306</v>
      </c>
      <c r="D86" s="16">
        <f t="shared" si="2"/>
        <v>0</v>
      </c>
      <c r="E86" s="13">
        <v>2306</v>
      </c>
      <c r="F86" s="13">
        <v>2327</v>
      </c>
      <c r="G86" s="13">
        <v>2292.5</v>
      </c>
      <c r="H86" s="13">
        <v>2259.5</v>
      </c>
      <c r="I86" s="13">
        <v>2259.5</v>
      </c>
      <c r="J86" s="13">
        <v>2227.5</v>
      </c>
      <c r="K86" s="13">
        <v>2225.5</v>
      </c>
      <c r="L86" s="13">
        <v>2294</v>
      </c>
      <c r="M86" s="13">
        <v>2371</v>
      </c>
      <c r="N86" s="13"/>
      <c r="O86" s="13">
        <v>2316.5</v>
      </c>
      <c r="P86" s="13">
        <v>2289</v>
      </c>
      <c r="Q86" s="13">
        <v>2277.5</v>
      </c>
      <c r="R86" s="13">
        <v>2202</v>
      </c>
      <c r="S86" s="13">
        <v>2325</v>
      </c>
      <c r="T86" s="13">
        <v>2281</v>
      </c>
      <c r="U86" s="13">
        <v>2303</v>
      </c>
      <c r="V86" s="13">
        <v>2335.5</v>
      </c>
      <c r="W86" s="13">
        <v>2334.5</v>
      </c>
      <c r="X86" s="13">
        <v>2345.5</v>
      </c>
      <c r="Y86" s="13">
        <v>2474</v>
      </c>
      <c r="Z86" s="13">
        <v>2552</v>
      </c>
      <c r="AA86" s="13">
        <v>2493.5</v>
      </c>
      <c r="AB86" s="13">
        <v>2498</v>
      </c>
      <c r="AC86" s="13">
        <v>2482.5</v>
      </c>
      <c r="AD86" s="13">
        <v>2504.5</v>
      </c>
      <c r="AE86" s="13">
        <v>2550</v>
      </c>
      <c r="AF86" s="13">
        <v>2542</v>
      </c>
      <c r="AG86" s="13">
        <v>2540.5</v>
      </c>
      <c r="AH86" s="13">
        <v>2573.5</v>
      </c>
      <c r="AI86" s="13">
        <v>2609</v>
      </c>
      <c r="AJ86" s="13">
        <v>2618</v>
      </c>
      <c r="AK86" s="13">
        <v>2717</v>
      </c>
      <c r="AL86" s="13">
        <v>2803.5</v>
      </c>
      <c r="AM86" s="13">
        <v>2760</v>
      </c>
      <c r="AN86" s="13">
        <v>2664</v>
      </c>
      <c r="AO86" s="13">
        <v>2688</v>
      </c>
      <c r="AP86" s="13">
        <v>2538.5</v>
      </c>
      <c r="AQ86" s="13">
        <v>2475.5</v>
      </c>
      <c r="AR86" s="13">
        <v>2528.5</v>
      </c>
      <c r="AS86" s="13">
        <v>2561</v>
      </c>
      <c r="AT86" s="13">
        <v>2645.5</v>
      </c>
      <c r="AU86" s="13">
        <v>2597</v>
      </c>
      <c r="AV86" s="13">
        <v>2658.5</v>
      </c>
      <c r="AW86" s="13">
        <v>2638.5</v>
      </c>
      <c r="AX86" s="13">
        <v>2728.5</v>
      </c>
      <c r="AY86" s="13">
        <v>2661.5</v>
      </c>
      <c r="AZ86" s="13">
        <v>2721</v>
      </c>
      <c r="BA86" s="13">
        <v>2863</v>
      </c>
      <c r="BB86" s="13">
        <v>2731.5</v>
      </c>
      <c r="BC86" s="13">
        <v>2679.5</v>
      </c>
      <c r="BD86" s="13">
        <v>2648</v>
      </c>
      <c r="BE86" s="13">
        <v>2647</v>
      </c>
      <c r="BF86" s="13">
        <v>2594</v>
      </c>
      <c r="BG86" s="13">
        <v>2710.5</v>
      </c>
      <c r="BH86" s="13">
        <v>2392.5</v>
      </c>
      <c r="BI86" s="13">
        <v>2451.5</v>
      </c>
      <c r="BJ86" s="13">
        <v>2424</v>
      </c>
      <c r="BK86" s="13">
        <v>2418</v>
      </c>
      <c r="BL86" s="13">
        <v>2495.5</v>
      </c>
      <c r="BM86" s="4">
        <v>2484.5</v>
      </c>
      <c r="BN86" s="4">
        <v>2385</v>
      </c>
      <c r="BO86" s="4">
        <v>2383</v>
      </c>
      <c r="BP86" s="4">
        <v>2458.5</v>
      </c>
      <c r="BQ86" s="4">
        <v>2339</v>
      </c>
      <c r="BR86" s="4">
        <v>2354</v>
      </c>
      <c r="BS86" s="4">
        <v>2358</v>
      </c>
      <c r="BT86" s="4">
        <v>2321</v>
      </c>
      <c r="BU86" s="4">
        <v>2378</v>
      </c>
      <c r="BV86" s="4">
        <v>2450</v>
      </c>
      <c r="BW86" s="4">
        <v>2532.5</v>
      </c>
      <c r="BX86" s="4">
        <v>2558</v>
      </c>
      <c r="BY86" s="4">
        <v>2570</v>
      </c>
      <c r="BZ86" s="4">
        <v>2705.5</v>
      </c>
    </row>
    <row r="87" spans="1:254" ht="15.9" customHeight="1">
      <c r="A87" s="61" t="s">
        <v>169</v>
      </c>
      <c r="B87" s="6" t="s">
        <v>170</v>
      </c>
      <c r="C87" s="15">
        <f>_xll.RssMarket("2914","現在値")</f>
        <v>7030</v>
      </c>
      <c r="D87" s="16">
        <f t="shared" si="2"/>
        <v>0</v>
      </c>
      <c r="E87" s="13">
        <v>7030</v>
      </c>
      <c r="F87" s="13">
        <v>6825</v>
      </c>
      <c r="G87" s="13">
        <v>6819</v>
      </c>
      <c r="H87" s="13">
        <v>6993</v>
      </c>
      <c r="I87" s="13">
        <v>7135</v>
      </c>
      <c r="J87" s="13">
        <v>6665</v>
      </c>
      <c r="K87" s="13">
        <v>6781</v>
      </c>
      <c r="L87" s="13">
        <v>6648</v>
      </c>
      <c r="M87" s="13">
        <v>6531</v>
      </c>
      <c r="N87" s="13">
        <v>6461</v>
      </c>
      <c r="O87" s="13">
        <v>6369</v>
      </c>
      <c r="P87" s="13">
        <v>6458</v>
      </c>
      <c r="Q87" s="13">
        <v>6425</v>
      </c>
      <c r="R87" s="13">
        <v>6347</v>
      </c>
      <c r="S87" s="13">
        <v>6110</v>
      </c>
      <c r="T87" s="13">
        <v>6116</v>
      </c>
      <c r="U87" s="13">
        <v>6101</v>
      </c>
      <c r="V87" s="13">
        <v>6117</v>
      </c>
      <c r="W87" s="13">
        <v>6186</v>
      </c>
      <c r="X87" s="13">
        <v>6202</v>
      </c>
      <c r="Y87" s="13">
        <v>6219</v>
      </c>
      <c r="Z87" s="13">
        <v>6189</v>
      </c>
      <c r="AA87" s="13">
        <v>6057</v>
      </c>
      <c r="AB87" s="13">
        <v>6089</v>
      </c>
      <c r="AC87" s="13">
        <v>5975</v>
      </c>
      <c r="AD87" s="13">
        <v>6012</v>
      </c>
      <c r="AE87" s="13">
        <v>6026</v>
      </c>
      <c r="AF87" s="13">
        <v>6072</v>
      </c>
      <c r="AG87" s="13">
        <v>5948</v>
      </c>
      <c r="AH87" s="13">
        <v>5950</v>
      </c>
      <c r="AI87" s="13">
        <v>5924</v>
      </c>
      <c r="AJ87" s="13">
        <v>5968</v>
      </c>
      <c r="AK87" s="13">
        <v>6075</v>
      </c>
      <c r="AL87" s="13">
        <v>6087</v>
      </c>
      <c r="AM87" s="13">
        <v>6071</v>
      </c>
      <c r="AN87" s="13">
        <v>6099</v>
      </c>
      <c r="AO87" s="13">
        <v>6070</v>
      </c>
      <c r="AP87" s="13">
        <v>6177</v>
      </c>
      <c r="AQ87" s="13">
        <v>6305</v>
      </c>
      <c r="AR87" s="13">
        <v>6164</v>
      </c>
      <c r="AS87" s="13">
        <v>6135</v>
      </c>
      <c r="AT87" s="13">
        <v>5973</v>
      </c>
      <c r="AU87" s="13">
        <v>6025</v>
      </c>
      <c r="AV87" s="13">
        <v>6112</v>
      </c>
      <c r="AW87" s="13">
        <v>6132</v>
      </c>
      <c r="AX87" s="13">
        <v>6167</v>
      </c>
      <c r="AY87" s="13">
        <v>6098</v>
      </c>
      <c r="AZ87" s="13">
        <v>6115</v>
      </c>
      <c r="BA87" s="13">
        <v>6097</v>
      </c>
      <c r="BB87" s="13">
        <v>6134</v>
      </c>
      <c r="BC87" s="13">
        <v>6233</v>
      </c>
      <c r="BD87" s="13">
        <v>6346</v>
      </c>
      <c r="BE87" s="13">
        <v>6453</v>
      </c>
      <c r="BF87" s="13">
        <v>6343</v>
      </c>
      <c r="BG87" s="13">
        <v>6301</v>
      </c>
      <c r="BH87" s="13">
        <v>6254</v>
      </c>
      <c r="BI87" s="13">
        <v>6180</v>
      </c>
      <c r="BJ87" s="13">
        <v>6058</v>
      </c>
      <c r="BK87" s="13">
        <v>6164</v>
      </c>
      <c r="BL87" s="13">
        <v>5769</v>
      </c>
      <c r="BM87" s="4">
        <v>5937</v>
      </c>
      <c r="BN87" s="4">
        <v>5886</v>
      </c>
      <c r="BO87" s="4">
        <v>5865</v>
      </c>
      <c r="BP87" s="4">
        <v>5779</v>
      </c>
      <c r="BQ87" s="4">
        <v>5781</v>
      </c>
      <c r="BR87" s="4">
        <v>5829</v>
      </c>
      <c r="BS87" s="4">
        <v>5866</v>
      </c>
      <c r="BT87" s="4">
        <v>5672</v>
      </c>
      <c r="BU87" s="4">
        <v>5757</v>
      </c>
      <c r="BV87" s="4">
        <v>5790</v>
      </c>
      <c r="BW87" s="4">
        <v>5800</v>
      </c>
      <c r="BX87" s="4">
        <v>5847</v>
      </c>
      <c r="BY87" s="4">
        <v>5897</v>
      </c>
      <c r="BZ87" s="4">
        <v>5895</v>
      </c>
    </row>
    <row r="88" spans="1:254" ht="15.9" customHeight="1">
      <c r="A88" s="61" t="s">
        <v>171</v>
      </c>
      <c r="B88" s="6" t="s">
        <v>172</v>
      </c>
      <c r="C88" s="15">
        <f>_xll.RssMarket("3003","現在値")</f>
        <v>1722.5</v>
      </c>
      <c r="D88" s="16">
        <f t="shared" si="2"/>
        <v>0</v>
      </c>
      <c r="E88" s="13">
        <v>1722.5</v>
      </c>
      <c r="F88" s="13">
        <v>1712.5</v>
      </c>
      <c r="G88" s="13">
        <v>1715</v>
      </c>
      <c r="H88" s="13">
        <v>1710</v>
      </c>
      <c r="I88" s="13">
        <v>1758.5</v>
      </c>
      <c r="J88" s="13">
        <v>1829.5</v>
      </c>
      <c r="K88" s="13">
        <v>1907</v>
      </c>
      <c r="L88" s="13">
        <v>1809</v>
      </c>
      <c r="M88" s="13">
        <v>1835</v>
      </c>
      <c r="N88" s="13">
        <v>1769.5</v>
      </c>
      <c r="O88" s="13">
        <v>1777.5</v>
      </c>
      <c r="P88" s="13">
        <v>1807.5</v>
      </c>
      <c r="Q88" s="13">
        <v>1825.5</v>
      </c>
      <c r="R88" s="13">
        <v>1789</v>
      </c>
      <c r="S88" s="13">
        <v>1792.5</v>
      </c>
      <c r="T88" s="13">
        <v>1788</v>
      </c>
      <c r="U88" s="13">
        <v>1765.5</v>
      </c>
      <c r="V88" s="13">
        <v>1755</v>
      </c>
      <c r="W88" s="13">
        <v>1758</v>
      </c>
      <c r="X88" s="13">
        <v>1790</v>
      </c>
      <c r="Y88" s="13">
        <v>1771</v>
      </c>
      <c r="Z88" s="13">
        <v>1753.5</v>
      </c>
      <c r="AA88" s="13">
        <v>1734.5</v>
      </c>
      <c r="AB88" s="13">
        <v>1713.5</v>
      </c>
      <c r="AC88" s="13">
        <v>1664.5</v>
      </c>
      <c r="AD88" s="13">
        <v>1697</v>
      </c>
      <c r="AE88" s="13">
        <v>1712</v>
      </c>
      <c r="AF88" s="13">
        <v>1715</v>
      </c>
      <c r="AG88" s="13">
        <v>1700</v>
      </c>
      <c r="AH88" s="13">
        <v>1690</v>
      </c>
      <c r="AI88" s="13">
        <v>1687.5</v>
      </c>
      <c r="AJ88" s="13">
        <v>1686</v>
      </c>
      <c r="AK88" s="13">
        <v>1706.5</v>
      </c>
      <c r="AL88" s="13">
        <v>1715.5</v>
      </c>
      <c r="AM88" s="13">
        <v>1716</v>
      </c>
      <c r="AN88" s="13">
        <v>1704.5</v>
      </c>
      <c r="AO88" s="13">
        <v>1739.5</v>
      </c>
      <c r="AP88" s="13">
        <v>1725.5</v>
      </c>
      <c r="AQ88" s="13">
        <v>1721.5</v>
      </c>
      <c r="AR88" s="13">
        <v>1727.5</v>
      </c>
      <c r="AS88" s="13">
        <v>1677</v>
      </c>
      <c r="AT88" s="13">
        <v>1656</v>
      </c>
      <c r="AU88" s="13">
        <v>1631.5</v>
      </c>
      <c r="AV88" s="13">
        <v>1650</v>
      </c>
      <c r="AW88" s="13">
        <v>1652.5</v>
      </c>
      <c r="AX88" s="13">
        <v>1699</v>
      </c>
      <c r="AY88" s="13">
        <v>1670</v>
      </c>
      <c r="AZ88" s="13">
        <v>1663</v>
      </c>
      <c r="BA88" s="13">
        <v>1671.5</v>
      </c>
      <c r="BB88" s="13">
        <v>1650</v>
      </c>
      <c r="BC88" s="13">
        <v>1737</v>
      </c>
      <c r="BD88" s="13">
        <v>1724</v>
      </c>
      <c r="BE88" s="13">
        <v>1749</v>
      </c>
      <c r="BF88" s="13">
        <v>1722.5</v>
      </c>
      <c r="BG88" s="13">
        <v>1760.5</v>
      </c>
      <c r="BH88" s="13">
        <v>1760</v>
      </c>
      <c r="BI88" s="13">
        <v>1801.5</v>
      </c>
      <c r="BJ88" s="13">
        <v>1799</v>
      </c>
      <c r="BK88" s="13">
        <v>1786.5</v>
      </c>
      <c r="BL88" s="13">
        <v>1802.5</v>
      </c>
      <c r="BM88" s="4">
        <v>1820</v>
      </c>
      <c r="BN88" s="4">
        <v>1799</v>
      </c>
      <c r="BO88" s="4">
        <v>1766</v>
      </c>
      <c r="BP88" s="4">
        <v>1794.5</v>
      </c>
      <c r="BQ88" s="4">
        <v>1743.5</v>
      </c>
      <c r="BR88" s="4">
        <v>1835</v>
      </c>
      <c r="BS88" s="4">
        <v>1820</v>
      </c>
      <c r="BT88" s="4">
        <v>1829.5</v>
      </c>
      <c r="BU88" s="4">
        <v>1862.5</v>
      </c>
      <c r="BV88" s="4">
        <v>1904.5</v>
      </c>
      <c r="BW88" s="4">
        <v>1883.5</v>
      </c>
      <c r="BX88" s="4">
        <v>1902.5</v>
      </c>
      <c r="BY88" s="4">
        <v>1900</v>
      </c>
      <c r="BZ88" s="4">
        <v>1894.5</v>
      </c>
    </row>
    <row r="89" spans="1:254" ht="15.9" customHeight="1">
      <c r="A89" s="61" t="s">
        <v>173</v>
      </c>
      <c r="B89" s="6" t="s">
        <v>174</v>
      </c>
      <c r="C89" s="15">
        <f>_xll.RssMarket("5892","現在値")</f>
        <v>2226</v>
      </c>
      <c r="D89" s="16">
        <f t="shared" si="2"/>
        <v>0</v>
      </c>
      <c r="E89" s="13">
        <v>2226</v>
      </c>
      <c r="F89" s="13">
        <v>2213</v>
      </c>
      <c r="G89" s="13">
        <v>2127</v>
      </c>
      <c r="H89" s="13">
        <v>2147</v>
      </c>
      <c r="I89" s="13">
        <v>2117</v>
      </c>
      <c r="J89" s="13">
        <v>2090</v>
      </c>
      <c r="K89" s="13">
        <v>2041</v>
      </c>
      <c r="L89" s="13">
        <v>2012</v>
      </c>
      <c r="M89" s="13">
        <v>2043</v>
      </c>
      <c r="N89" s="13">
        <v>1962</v>
      </c>
      <c r="O89" s="13">
        <v>1963</v>
      </c>
      <c r="P89" s="13">
        <v>2021</v>
      </c>
      <c r="Q89" s="13">
        <v>2026</v>
      </c>
      <c r="R89" s="13">
        <v>2028</v>
      </c>
      <c r="S89" s="13">
        <v>2093</v>
      </c>
      <c r="T89" s="13">
        <v>2084</v>
      </c>
      <c r="U89" s="13">
        <v>2062</v>
      </c>
      <c r="V89" s="13">
        <v>2081</v>
      </c>
      <c r="W89" s="13">
        <v>2062</v>
      </c>
      <c r="X89" s="13">
        <v>2074</v>
      </c>
      <c r="Y89" s="13">
        <v>2100</v>
      </c>
      <c r="Z89" s="13">
        <v>2084</v>
      </c>
      <c r="AA89" s="13">
        <v>2133</v>
      </c>
      <c r="AB89" s="13">
        <v>2074</v>
      </c>
      <c r="AC89" s="13">
        <v>2032</v>
      </c>
      <c r="AD89" s="13">
        <v>2047</v>
      </c>
      <c r="AE89" s="13">
        <v>2071</v>
      </c>
      <c r="AF89" s="13">
        <v>1978</v>
      </c>
      <c r="AG89" s="13">
        <v>2007</v>
      </c>
      <c r="AH89" s="13">
        <v>1995</v>
      </c>
      <c r="AI89" s="13">
        <v>2010</v>
      </c>
      <c r="AJ89" s="13">
        <v>2032</v>
      </c>
      <c r="AK89" s="13">
        <v>2030</v>
      </c>
      <c r="AL89" s="13">
        <v>2072</v>
      </c>
      <c r="AM89" s="13">
        <v>2192</v>
      </c>
      <c r="AN89" s="13">
        <v>2040</v>
      </c>
      <c r="AO89" s="13">
        <v>1945</v>
      </c>
      <c r="AP89" s="13">
        <v>2001</v>
      </c>
      <c r="AQ89" s="13">
        <v>2121</v>
      </c>
      <c r="AR89" s="13">
        <v>2197</v>
      </c>
      <c r="AS89" s="13">
        <v>2225</v>
      </c>
      <c r="AT89" s="13">
        <v>2370</v>
      </c>
      <c r="AU89" s="13">
        <v>2197</v>
      </c>
      <c r="AV89" s="13">
        <v>2141</v>
      </c>
      <c r="AW89" s="13">
        <v>2131</v>
      </c>
      <c r="AX89" s="13">
        <v>2290</v>
      </c>
      <c r="AY89" s="13">
        <v>2316</v>
      </c>
      <c r="AZ89" s="13">
        <v>2378</v>
      </c>
      <c r="BA89" s="13">
        <v>2385</v>
      </c>
      <c r="BB89" s="13">
        <v>2376</v>
      </c>
      <c r="BC89" s="13">
        <v>2490</v>
      </c>
      <c r="BD89" s="13">
        <v>2561</v>
      </c>
      <c r="BE89" s="13">
        <v>2649</v>
      </c>
      <c r="BF89" s="13">
        <v>2583</v>
      </c>
      <c r="BG89" s="13">
        <v>2384</v>
      </c>
      <c r="BH89" s="13">
        <v>1984</v>
      </c>
      <c r="BI89" s="13">
        <v>2090</v>
      </c>
      <c r="BJ89" s="13">
        <v>1935</v>
      </c>
      <c r="BK89" s="13">
        <v>1929</v>
      </c>
      <c r="BL89" s="13">
        <v>1970</v>
      </c>
      <c r="BM89" s="4">
        <v>1973</v>
      </c>
      <c r="BN89" s="4">
        <v>1987</v>
      </c>
      <c r="BO89" s="4">
        <v>1950</v>
      </c>
      <c r="BP89" s="4">
        <v>1999</v>
      </c>
      <c r="BQ89" s="4">
        <v>2041</v>
      </c>
      <c r="BR89" s="4">
        <v>2049</v>
      </c>
      <c r="BS89" s="4">
        <v>2078</v>
      </c>
      <c r="BT89" s="4">
        <v>2191</v>
      </c>
      <c r="BU89" s="4">
        <v>2207</v>
      </c>
      <c r="BV89" s="4">
        <v>2224</v>
      </c>
      <c r="BW89" s="4">
        <v>2205</v>
      </c>
      <c r="BX89" s="4">
        <v>2206</v>
      </c>
      <c r="BY89" s="4">
        <v>2233</v>
      </c>
      <c r="BZ89" s="4">
        <v>2311</v>
      </c>
    </row>
    <row r="90" spans="1:254" ht="15.9" customHeight="1">
      <c r="A90" s="61" t="s">
        <v>175</v>
      </c>
      <c r="B90" s="6" t="s">
        <v>176</v>
      </c>
      <c r="C90" s="15">
        <f>_xll.RssMarket("6323","現在値")</f>
        <v>4165</v>
      </c>
      <c r="D90" s="16">
        <f t="shared" si="2"/>
        <v>0</v>
      </c>
      <c r="E90" s="13">
        <v>4165</v>
      </c>
      <c r="F90" s="13">
        <v>4498</v>
      </c>
      <c r="G90" s="13">
        <v>4292</v>
      </c>
      <c r="H90" s="13">
        <v>3975</v>
      </c>
      <c r="I90" s="13">
        <v>3989</v>
      </c>
      <c r="J90" s="13">
        <v>3406</v>
      </c>
      <c r="K90" s="13">
        <v>3450</v>
      </c>
      <c r="L90" s="13">
        <v>3828</v>
      </c>
      <c r="M90" s="13">
        <v>4512</v>
      </c>
      <c r="N90" s="13">
        <v>4395</v>
      </c>
      <c r="O90" s="13">
        <v>4628</v>
      </c>
      <c r="P90" s="13">
        <v>4496</v>
      </c>
      <c r="Q90" s="13">
        <v>4343</v>
      </c>
      <c r="R90" s="13">
        <v>4403</v>
      </c>
      <c r="S90" s="13">
        <v>4950</v>
      </c>
      <c r="T90" s="13">
        <v>4492</v>
      </c>
      <c r="U90" s="13">
        <v>4684</v>
      </c>
      <c r="V90" s="13">
        <v>4655</v>
      </c>
      <c r="W90" s="13">
        <v>4586</v>
      </c>
      <c r="X90" s="13">
        <v>4344</v>
      </c>
      <c r="Y90" s="13">
        <v>4410</v>
      </c>
      <c r="Z90" s="13">
        <v>4745</v>
      </c>
      <c r="AA90" s="13">
        <v>4940</v>
      </c>
      <c r="AB90" s="13">
        <v>4701</v>
      </c>
      <c r="AC90" s="13">
        <v>5080</v>
      </c>
      <c r="AD90" s="13">
        <v>4840</v>
      </c>
      <c r="AE90" s="13">
        <v>4515</v>
      </c>
      <c r="AF90" s="13">
        <v>4530</v>
      </c>
      <c r="AG90" s="13">
        <v>4836</v>
      </c>
      <c r="AH90" s="13">
        <v>4453</v>
      </c>
      <c r="AI90" s="13">
        <v>4580</v>
      </c>
      <c r="AJ90" s="13">
        <v>5020</v>
      </c>
      <c r="AK90" s="13">
        <v>4864</v>
      </c>
      <c r="AL90" s="13">
        <v>4830</v>
      </c>
      <c r="AM90" s="13">
        <v>4554</v>
      </c>
      <c r="AN90" s="13">
        <v>4410</v>
      </c>
      <c r="AO90" s="13">
        <v>4505</v>
      </c>
      <c r="AP90" s="13">
        <v>4168</v>
      </c>
      <c r="AQ90" s="13">
        <v>3841</v>
      </c>
      <c r="AR90" s="13">
        <v>3867</v>
      </c>
      <c r="AS90" s="13">
        <v>3942</v>
      </c>
      <c r="AT90" s="13">
        <v>4229</v>
      </c>
      <c r="AU90" s="13">
        <v>4424</v>
      </c>
      <c r="AV90" s="13">
        <v>4216</v>
      </c>
      <c r="AW90" s="13">
        <v>3835</v>
      </c>
      <c r="AX90" s="13">
        <v>3933</v>
      </c>
      <c r="AY90" s="13">
        <v>3894</v>
      </c>
      <c r="AZ90" s="13">
        <v>3867</v>
      </c>
      <c r="BA90" s="13">
        <v>4000</v>
      </c>
      <c r="BB90" s="13">
        <v>3887</v>
      </c>
      <c r="BC90" s="13">
        <v>3752</v>
      </c>
      <c r="BD90" s="13">
        <v>3487</v>
      </c>
      <c r="BE90" s="13">
        <v>3597</v>
      </c>
      <c r="BF90" s="13">
        <v>3672</v>
      </c>
      <c r="BG90" s="13">
        <v>3739</v>
      </c>
      <c r="BH90" s="13">
        <v>3997</v>
      </c>
      <c r="BI90" s="13">
        <v>3946</v>
      </c>
      <c r="BJ90" s="13">
        <v>3995</v>
      </c>
      <c r="BK90" s="13">
        <v>4040</v>
      </c>
      <c r="BL90" s="13">
        <v>3898</v>
      </c>
      <c r="BM90" s="4">
        <v>3950</v>
      </c>
      <c r="BN90" s="4">
        <v>3704</v>
      </c>
      <c r="BO90" s="4">
        <v>3670</v>
      </c>
      <c r="BP90" s="4">
        <v>3855</v>
      </c>
      <c r="BQ90" s="4">
        <v>3996</v>
      </c>
      <c r="BR90" s="4">
        <v>3638</v>
      </c>
      <c r="BS90" s="4">
        <v>3522</v>
      </c>
      <c r="BT90" s="4">
        <v>3566</v>
      </c>
      <c r="BU90" s="4">
        <v>3700</v>
      </c>
      <c r="BV90" s="4">
        <v>3624</v>
      </c>
      <c r="BW90" s="4">
        <v>3626</v>
      </c>
      <c r="BX90" s="4">
        <v>3819</v>
      </c>
      <c r="BY90" s="4">
        <v>3852</v>
      </c>
      <c r="BZ90" s="4">
        <v>4035</v>
      </c>
    </row>
    <row r="91" spans="1:254" ht="15.9" customHeight="1">
      <c r="A91" s="61" t="s">
        <v>177</v>
      </c>
      <c r="B91" s="6" t="s">
        <v>178</v>
      </c>
      <c r="C91" s="15">
        <f>_xll.RssMarket("6501","現在値")</f>
        <v>5500</v>
      </c>
      <c r="D91" s="16">
        <f t="shared" si="2"/>
        <v>0</v>
      </c>
      <c r="E91" s="13">
        <v>5500</v>
      </c>
      <c r="F91" s="13">
        <v>5476</v>
      </c>
      <c r="G91" s="13">
        <v>5412</v>
      </c>
      <c r="H91" s="13">
        <v>5301</v>
      </c>
      <c r="I91" s="13">
        <v>5267</v>
      </c>
      <c r="J91" s="13">
        <v>5255</v>
      </c>
      <c r="K91" s="13">
        <v>4957</v>
      </c>
      <c r="L91" s="13">
        <v>4890</v>
      </c>
      <c r="M91" s="13">
        <v>5023</v>
      </c>
      <c r="N91" s="13">
        <v>4850</v>
      </c>
      <c r="O91" s="13">
        <v>4854</v>
      </c>
      <c r="P91" s="13">
        <v>4807</v>
      </c>
      <c r="Q91" s="13">
        <v>4792</v>
      </c>
      <c r="R91" s="13">
        <v>4717</v>
      </c>
      <c r="S91" s="13">
        <v>4796</v>
      </c>
      <c r="T91" s="13">
        <v>4802</v>
      </c>
      <c r="U91" s="13">
        <v>4716</v>
      </c>
      <c r="V91" s="13">
        <v>4700</v>
      </c>
      <c r="W91" s="13">
        <v>4758</v>
      </c>
      <c r="X91" s="13">
        <v>4778</v>
      </c>
      <c r="Y91" s="13">
        <v>4942</v>
      </c>
      <c r="Z91" s="13">
        <v>4805</v>
      </c>
      <c r="AA91" s="13">
        <v>4615</v>
      </c>
      <c r="AB91" s="13">
        <v>4669</v>
      </c>
      <c r="AC91" s="13">
        <v>4496</v>
      </c>
      <c r="AD91" s="13">
        <v>4471</v>
      </c>
      <c r="AE91" s="13">
        <v>4486</v>
      </c>
      <c r="AF91" s="13">
        <v>4478</v>
      </c>
      <c r="AG91" s="13">
        <v>4554</v>
      </c>
      <c r="AH91" s="13">
        <v>4691</v>
      </c>
      <c r="AI91" s="13">
        <v>4750</v>
      </c>
      <c r="AJ91" s="13">
        <v>4864</v>
      </c>
      <c r="AK91" s="13">
        <v>4764</v>
      </c>
      <c r="AL91" s="13">
        <v>4800</v>
      </c>
      <c r="AM91" s="13">
        <v>4701</v>
      </c>
      <c r="AN91" s="13">
        <v>4747</v>
      </c>
      <c r="AO91" s="13">
        <v>4737</v>
      </c>
      <c r="AP91" s="13">
        <v>4657</v>
      </c>
      <c r="AQ91" s="13">
        <v>4655</v>
      </c>
      <c r="AR91" s="13">
        <v>4784</v>
      </c>
      <c r="AS91" s="13">
        <v>5031</v>
      </c>
      <c r="AT91" s="13">
        <v>5300</v>
      </c>
      <c r="AU91" s="13">
        <v>5183</v>
      </c>
      <c r="AV91" s="13">
        <v>5270</v>
      </c>
      <c r="AW91" s="13">
        <v>5083</v>
      </c>
      <c r="AX91" s="13">
        <v>5166</v>
      </c>
      <c r="AY91" s="13">
        <v>5174</v>
      </c>
      <c r="AZ91" s="13">
        <v>4960</v>
      </c>
      <c r="BA91" s="13">
        <v>5054</v>
      </c>
      <c r="BB91" s="13">
        <v>5002</v>
      </c>
      <c r="BC91" s="13">
        <v>5123</v>
      </c>
      <c r="BD91" s="13">
        <v>4908</v>
      </c>
      <c r="BE91" s="13">
        <v>4944</v>
      </c>
      <c r="BF91" s="13">
        <v>4808</v>
      </c>
      <c r="BG91" s="13">
        <v>4812</v>
      </c>
      <c r="BH91" s="13">
        <v>4671</v>
      </c>
      <c r="BI91" s="13">
        <v>4750</v>
      </c>
      <c r="BJ91" s="13">
        <v>4868</v>
      </c>
      <c r="BK91" s="13">
        <v>4887</v>
      </c>
      <c r="BL91" s="13">
        <v>4938</v>
      </c>
      <c r="BM91" s="4">
        <v>4850</v>
      </c>
      <c r="BN91" s="4">
        <v>4795</v>
      </c>
      <c r="BO91" s="4">
        <v>4882</v>
      </c>
      <c r="BP91" s="4">
        <v>5047</v>
      </c>
      <c r="BQ91" s="4">
        <v>5356</v>
      </c>
      <c r="BR91" s="4">
        <v>5229</v>
      </c>
      <c r="BS91" s="4">
        <v>5203</v>
      </c>
      <c r="BT91" s="4">
        <v>5034</v>
      </c>
      <c r="BU91" s="4">
        <v>5189</v>
      </c>
      <c r="BV91" s="4">
        <v>5153</v>
      </c>
      <c r="BW91" s="4">
        <v>5157</v>
      </c>
      <c r="BX91" s="4">
        <v>5220</v>
      </c>
      <c r="BY91" s="4">
        <v>5220</v>
      </c>
      <c r="BZ91" s="4">
        <v>4957</v>
      </c>
    </row>
    <row r="92" spans="1:254" ht="15.9" customHeight="1">
      <c r="A92" s="61" t="s">
        <v>179</v>
      </c>
      <c r="B92" s="6" t="s">
        <v>180</v>
      </c>
      <c r="C92" s="15">
        <f>_xll.RssMarket("6134","現在値")</f>
        <v>8117</v>
      </c>
      <c r="D92" s="16">
        <f t="shared" si="2"/>
        <v>0</v>
      </c>
      <c r="E92" s="13">
        <v>8117</v>
      </c>
      <c r="F92" s="13">
        <v>8485</v>
      </c>
      <c r="G92" s="13">
        <v>8143</v>
      </c>
      <c r="H92" s="13">
        <v>7445</v>
      </c>
      <c r="I92" s="13">
        <v>7330</v>
      </c>
      <c r="J92" s="13">
        <v>6497</v>
      </c>
      <c r="K92" s="13">
        <v>6537</v>
      </c>
      <c r="L92" s="13">
        <v>6806</v>
      </c>
      <c r="M92" s="13">
        <v>7545</v>
      </c>
      <c r="N92" s="13">
        <v>7428</v>
      </c>
      <c r="O92" s="13">
        <v>7611</v>
      </c>
      <c r="P92" s="13">
        <v>7453</v>
      </c>
      <c r="Q92" s="13">
        <v>7430</v>
      </c>
      <c r="R92" s="13">
        <v>7275</v>
      </c>
      <c r="S92" s="13">
        <v>8020</v>
      </c>
      <c r="T92" s="13">
        <v>7664</v>
      </c>
      <c r="U92" s="13">
        <v>7838</v>
      </c>
      <c r="V92" s="13">
        <v>8248</v>
      </c>
      <c r="W92" s="13">
        <v>7770</v>
      </c>
      <c r="X92" s="13">
        <v>7600</v>
      </c>
      <c r="Y92" s="13">
        <v>7773</v>
      </c>
      <c r="Z92" s="13">
        <v>8650</v>
      </c>
      <c r="AA92" s="13">
        <v>8748</v>
      </c>
      <c r="AB92" s="13">
        <v>8450</v>
      </c>
      <c r="AC92" s="13">
        <v>8932</v>
      </c>
      <c r="AD92" s="13">
        <v>8398</v>
      </c>
      <c r="AE92" s="13">
        <v>8001</v>
      </c>
      <c r="AF92" s="13">
        <v>7991</v>
      </c>
      <c r="AG92" s="13">
        <v>8463</v>
      </c>
      <c r="AH92" s="13">
        <v>8150</v>
      </c>
      <c r="AI92" s="13">
        <v>8142</v>
      </c>
      <c r="AJ92" s="13">
        <v>8511</v>
      </c>
      <c r="AK92" s="13">
        <v>8379</v>
      </c>
      <c r="AL92" s="13">
        <v>8287</v>
      </c>
      <c r="AM92" s="13">
        <v>8323</v>
      </c>
      <c r="AN92" s="13">
        <v>8239</v>
      </c>
      <c r="AO92" s="13">
        <v>8283</v>
      </c>
      <c r="AP92" s="13">
        <v>7671</v>
      </c>
      <c r="AQ92" s="13">
        <v>7426</v>
      </c>
      <c r="AR92" s="13">
        <v>7355</v>
      </c>
      <c r="AS92" s="13">
        <v>7162</v>
      </c>
      <c r="AT92" s="13">
        <v>7736</v>
      </c>
      <c r="AU92" s="13">
        <v>7788</v>
      </c>
      <c r="AV92" s="13">
        <v>7835</v>
      </c>
      <c r="AW92" s="13">
        <v>7932</v>
      </c>
      <c r="AX92" s="13">
        <v>7938</v>
      </c>
      <c r="AY92" s="13">
        <v>7881</v>
      </c>
      <c r="AZ92" s="13">
        <v>7867</v>
      </c>
      <c r="BA92" s="13">
        <v>8323</v>
      </c>
      <c r="BB92" s="13">
        <v>7918</v>
      </c>
      <c r="BC92" s="13">
        <v>7585</v>
      </c>
      <c r="BD92" s="13">
        <v>7220</v>
      </c>
      <c r="BE92" s="13">
        <v>7576</v>
      </c>
      <c r="BF92" s="13">
        <v>7735</v>
      </c>
      <c r="BG92" s="13">
        <v>7993</v>
      </c>
      <c r="BH92" s="13">
        <v>7201</v>
      </c>
      <c r="BI92" s="13">
        <v>6988</v>
      </c>
      <c r="BJ92" s="13">
        <v>6913</v>
      </c>
      <c r="BK92" s="13">
        <v>6721</v>
      </c>
      <c r="BL92" s="13">
        <v>6615</v>
      </c>
      <c r="BM92" s="4">
        <v>6272</v>
      </c>
      <c r="BN92" s="4">
        <v>6024</v>
      </c>
      <c r="BO92" s="4">
        <v>6068</v>
      </c>
      <c r="BP92" s="4">
        <v>6063</v>
      </c>
      <c r="BQ92" s="4">
        <v>5963</v>
      </c>
      <c r="BR92" s="4">
        <v>5873</v>
      </c>
      <c r="BS92" s="4">
        <v>5714</v>
      </c>
      <c r="BT92" s="4">
        <v>5950</v>
      </c>
      <c r="BU92" s="4">
        <v>5967</v>
      </c>
      <c r="BV92" s="4">
        <v>5740</v>
      </c>
      <c r="BW92" s="4">
        <v>5657</v>
      </c>
      <c r="BX92" s="4">
        <v>5867</v>
      </c>
      <c r="BY92" s="4">
        <v>5716</v>
      </c>
      <c r="BZ92" s="4">
        <v>5810</v>
      </c>
    </row>
    <row r="93" spans="1:254" ht="15.9" customHeight="1">
      <c r="A93" s="61" t="s">
        <v>181</v>
      </c>
      <c r="B93" s="6" t="s">
        <v>182</v>
      </c>
      <c r="C93" s="15">
        <f>_xll.RssMarket("7746","現在値")</f>
        <v>728</v>
      </c>
      <c r="D93" s="16">
        <f t="shared" si="2"/>
        <v>0</v>
      </c>
      <c r="E93" s="13">
        <v>728</v>
      </c>
      <c r="F93" s="13">
        <v>742</v>
      </c>
      <c r="G93" s="13">
        <v>735</v>
      </c>
      <c r="H93" s="13">
        <v>722</v>
      </c>
      <c r="I93" s="13">
        <v>718</v>
      </c>
      <c r="J93" s="13">
        <v>721</v>
      </c>
      <c r="K93" s="13">
        <v>720</v>
      </c>
      <c r="L93" s="13">
        <v>736</v>
      </c>
      <c r="M93" s="13">
        <v>770</v>
      </c>
      <c r="N93" s="13">
        <v>758</v>
      </c>
      <c r="O93" s="13">
        <v>767</v>
      </c>
      <c r="P93" s="13">
        <v>765</v>
      </c>
      <c r="Q93" s="13">
        <v>771</v>
      </c>
      <c r="R93" s="13">
        <v>736</v>
      </c>
      <c r="S93" s="13">
        <v>802</v>
      </c>
      <c r="T93" s="13">
        <v>796</v>
      </c>
      <c r="U93" s="13">
        <v>793</v>
      </c>
      <c r="V93" s="13">
        <v>777</v>
      </c>
      <c r="W93" s="13">
        <v>761</v>
      </c>
      <c r="X93" s="13">
        <v>785</v>
      </c>
      <c r="Y93" s="13">
        <v>820</v>
      </c>
      <c r="Z93" s="13">
        <v>849</v>
      </c>
      <c r="AA93" s="13">
        <v>854</v>
      </c>
      <c r="AB93" s="13">
        <v>878</v>
      </c>
      <c r="AC93" s="13">
        <v>876</v>
      </c>
      <c r="AD93" s="13">
        <v>935</v>
      </c>
      <c r="AE93" s="13">
        <v>949</v>
      </c>
      <c r="AF93" s="13">
        <v>850</v>
      </c>
      <c r="AG93" s="13">
        <v>764</v>
      </c>
      <c r="AH93" s="13">
        <v>760</v>
      </c>
      <c r="AI93" s="13">
        <v>768</v>
      </c>
      <c r="AJ93" s="13">
        <v>802</v>
      </c>
      <c r="AK93" s="13">
        <v>796</v>
      </c>
      <c r="AL93" s="13">
        <v>830</v>
      </c>
      <c r="AM93" s="13">
        <v>828</v>
      </c>
      <c r="AN93" s="13">
        <v>897</v>
      </c>
      <c r="AO93" s="13">
        <v>747</v>
      </c>
      <c r="AP93" s="13">
        <v>722</v>
      </c>
      <c r="AQ93" s="13">
        <v>700</v>
      </c>
      <c r="AR93" s="13">
        <v>682</v>
      </c>
      <c r="AS93" s="13">
        <v>726</v>
      </c>
      <c r="AT93" s="13">
        <v>778</v>
      </c>
      <c r="AU93" s="13">
        <v>755</v>
      </c>
      <c r="AV93" s="13">
        <v>784</v>
      </c>
      <c r="AW93" s="13">
        <v>773</v>
      </c>
      <c r="AX93" s="13">
        <v>845</v>
      </c>
      <c r="AY93" s="13">
        <v>843</v>
      </c>
      <c r="AZ93" s="13">
        <v>850</v>
      </c>
      <c r="BA93" s="13">
        <v>893</v>
      </c>
      <c r="BB93" s="13">
        <v>911</v>
      </c>
      <c r="BC93" s="13">
        <v>929</v>
      </c>
      <c r="BD93" s="13">
        <v>989</v>
      </c>
      <c r="BE93" s="13">
        <v>1054</v>
      </c>
      <c r="BF93" s="13">
        <v>904</v>
      </c>
      <c r="BG93" s="13">
        <v>754</v>
      </c>
      <c r="BH93" s="13">
        <v>779</v>
      </c>
      <c r="BI93" s="13">
        <v>795</v>
      </c>
      <c r="BJ93" s="13">
        <v>765</v>
      </c>
      <c r="BK93" s="13">
        <v>820</v>
      </c>
      <c r="BL93" s="13">
        <v>878</v>
      </c>
      <c r="BM93" s="4">
        <v>840</v>
      </c>
      <c r="BN93" s="4">
        <v>815</v>
      </c>
      <c r="BO93" s="4">
        <v>852</v>
      </c>
      <c r="BP93" s="4">
        <v>921</v>
      </c>
      <c r="BQ93" s="4">
        <v>946</v>
      </c>
      <c r="BR93" s="4">
        <v>955</v>
      </c>
      <c r="BS93" s="4">
        <v>976</v>
      </c>
      <c r="BT93" s="4">
        <v>999</v>
      </c>
      <c r="BU93" s="4">
        <v>998</v>
      </c>
      <c r="BV93" s="4">
        <v>1056</v>
      </c>
      <c r="BW93" s="4">
        <v>949</v>
      </c>
      <c r="BX93" s="4">
        <v>962</v>
      </c>
      <c r="BY93" s="4">
        <v>985</v>
      </c>
      <c r="BZ93" s="4">
        <v>981</v>
      </c>
    </row>
    <row r="94" spans="1:254" ht="15.9" customHeight="1">
      <c r="A94" s="61" t="s">
        <v>183</v>
      </c>
      <c r="B94" s="6" t="s">
        <v>184</v>
      </c>
      <c r="C94" s="15">
        <f>_xll.RssMarket("3407","現在値")</f>
        <v>1666</v>
      </c>
      <c r="D94" s="16">
        <f t="shared" si="2"/>
        <v>0</v>
      </c>
      <c r="E94" s="13">
        <v>1666</v>
      </c>
      <c r="F94" s="13">
        <v>1635</v>
      </c>
      <c r="G94" s="13">
        <v>1579.5</v>
      </c>
      <c r="H94" s="13">
        <v>1647.5</v>
      </c>
      <c r="I94" s="13">
        <v>1722.5</v>
      </c>
      <c r="J94" s="13">
        <v>1810</v>
      </c>
      <c r="K94" s="13">
        <v>1830.5</v>
      </c>
      <c r="L94" s="13">
        <v>1817</v>
      </c>
      <c r="M94" s="13">
        <v>1872.5</v>
      </c>
      <c r="N94" s="13">
        <v>1845.5</v>
      </c>
      <c r="O94" s="13">
        <v>1866.5</v>
      </c>
      <c r="P94" s="13">
        <v>1857</v>
      </c>
      <c r="Q94" s="13">
        <v>1862</v>
      </c>
      <c r="R94" s="13">
        <v>1829.5</v>
      </c>
      <c r="S94" s="13">
        <v>1887.5</v>
      </c>
      <c r="T94" s="13">
        <v>1867</v>
      </c>
      <c r="U94" s="13">
        <v>1815.5</v>
      </c>
      <c r="V94" s="13">
        <v>1842</v>
      </c>
      <c r="W94" s="13">
        <v>1851</v>
      </c>
      <c r="X94" s="13">
        <v>1867</v>
      </c>
      <c r="Y94" s="13">
        <v>1881.5</v>
      </c>
      <c r="Z94" s="13">
        <v>1901</v>
      </c>
      <c r="AA94" s="13">
        <v>1849</v>
      </c>
      <c r="AB94" s="13">
        <v>1783.5</v>
      </c>
      <c r="AC94" s="13">
        <v>1782.5</v>
      </c>
      <c r="AD94" s="13">
        <v>1791</v>
      </c>
      <c r="AE94" s="13">
        <v>1803.5</v>
      </c>
      <c r="AF94" s="13">
        <v>1794</v>
      </c>
      <c r="AG94" s="13">
        <v>1794</v>
      </c>
      <c r="AH94" s="13">
        <v>1796</v>
      </c>
      <c r="AI94" s="13">
        <v>1793</v>
      </c>
      <c r="AJ94" s="13">
        <v>1823.5</v>
      </c>
      <c r="AK94" s="13">
        <v>1792.5</v>
      </c>
      <c r="AL94" s="13">
        <v>1784</v>
      </c>
      <c r="AM94" s="13">
        <v>1790</v>
      </c>
      <c r="AN94" s="13">
        <v>1761.5</v>
      </c>
      <c r="AO94" s="13">
        <v>1764.5</v>
      </c>
      <c r="AP94" s="13">
        <v>1788.5</v>
      </c>
      <c r="AQ94" s="13">
        <v>1760</v>
      </c>
      <c r="AR94" s="13">
        <v>1756</v>
      </c>
      <c r="AS94" s="13">
        <v>1746</v>
      </c>
      <c r="AT94" s="13">
        <v>1786.5</v>
      </c>
      <c r="AU94" s="13">
        <v>1786</v>
      </c>
      <c r="AV94" s="13">
        <v>1757.5</v>
      </c>
      <c r="AW94" s="13">
        <v>1742.5</v>
      </c>
      <c r="AX94" s="13">
        <v>1787</v>
      </c>
      <c r="AY94" s="13">
        <v>1755.5</v>
      </c>
      <c r="AZ94" s="13">
        <v>1750</v>
      </c>
      <c r="BA94" s="13">
        <v>1770</v>
      </c>
      <c r="BB94" s="13">
        <v>1726</v>
      </c>
      <c r="BC94" s="13">
        <v>1709</v>
      </c>
      <c r="BD94" s="13">
        <v>1673.5</v>
      </c>
      <c r="BE94" s="13">
        <v>1700</v>
      </c>
      <c r="BF94" s="13">
        <v>1690</v>
      </c>
      <c r="BG94" s="13">
        <v>1728</v>
      </c>
      <c r="BH94" s="13">
        <v>1729</v>
      </c>
      <c r="BI94" s="13">
        <v>1750</v>
      </c>
      <c r="BJ94" s="13">
        <v>1654.5</v>
      </c>
      <c r="BK94" s="13">
        <v>1532.5</v>
      </c>
      <c r="BL94" s="13">
        <v>1536.5</v>
      </c>
      <c r="BM94" s="4">
        <v>1545.5</v>
      </c>
      <c r="BN94" s="4">
        <v>1524.5</v>
      </c>
      <c r="BO94" s="4">
        <v>1535</v>
      </c>
      <c r="BP94" s="4">
        <v>1542</v>
      </c>
      <c r="BQ94" s="4">
        <v>1519.5</v>
      </c>
      <c r="BR94" s="4">
        <v>1527</v>
      </c>
      <c r="BS94" s="4">
        <v>1526.5</v>
      </c>
      <c r="BT94" s="4">
        <v>1533.5</v>
      </c>
      <c r="BU94" s="4">
        <v>1558.5</v>
      </c>
      <c r="BV94" s="4">
        <v>1559</v>
      </c>
      <c r="BW94" s="4">
        <v>1602</v>
      </c>
      <c r="BX94" s="4">
        <v>1612</v>
      </c>
      <c r="BY94" s="4">
        <v>1540.5</v>
      </c>
      <c r="BZ94" s="4">
        <v>1573.5</v>
      </c>
    </row>
    <row r="95" spans="1:254" ht="15.9" customHeight="1">
      <c r="A95" s="61" t="s">
        <v>185</v>
      </c>
      <c r="B95" s="6" t="s">
        <v>186</v>
      </c>
      <c r="C95" s="15">
        <f>_xll.RssMarket("4008","現在値")</f>
        <v>1446</v>
      </c>
      <c r="D95" s="16">
        <f t="shared" si="2"/>
        <v>0</v>
      </c>
      <c r="E95" s="13">
        <v>1446</v>
      </c>
      <c r="F95" s="13">
        <v>1259</v>
      </c>
      <c r="G95" s="13">
        <v>1238</v>
      </c>
      <c r="H95" s="13">
        <v>1218</v>
      </c>
      <c r="I95" s="13">
        <v>1223</v>
      </c>
      <c r="J95" s="13">
        <v>1225</v>
      </c>
      <c r="K95" s="13">
        <v>1225</v>
      </c>
      <c r="L95" s="13">
        <v>1230</v>
      </c>
      <c r="M95" s="13">
        <v>1283</v>
      </c>
      <c r="N95" s="13"/>
      <c r="O95" s="13">
        <v>1300</v>
      </c>
      <c r="P95" s="13">
        <v>1297</v>
      </c>
      <c r="Q95" s="13">
        <v>1286</v>
      </c>
      <c r="R95" s="13">
        <v>1268</v>
      </c>
      <c r="S95" s="13">
        <v>1314</v>
      </c>
      <c r="T95" s="13">
        <v>1283</v>
      </c>
      <c r="U95" s="13">
        <v>1261</v>
      </c>
      <c r="V95" s="13">
        <v>1266</v>
      </c>
      <c r="W95" s="13">
        <v>1275</v>
      </c>
      <c r="X95" s="13">
        <v>1287</v>
      </c>
      <c r="Y95" s="13">
        <v>1307</v>
      </c>
      <c r="Z95" s="13">
        <v>1351</v>
      </c>
      <c r="AA95" s="13">
        <v>1376</v>
      </c>
      <c r="AB95" s="13">
        <v>1305</v>
      </c>
      <c r="AC95" s="13">
        <v>1286</v>
      </c>
      <c r="AD95" s="13">
        <v>1272</v>
      </c>
      <c r="AE95" s="13">
        <v>1295</v>
      </c>
      <c r="AF95" s="13">
        <v>1289</v>
      </c>
      <c r="AG95" s="13">
        <v>1291</v>
      </c>
      <c r="AH95" s="13">
        <v>1267</v>
      </c>
      <c r="AI95" s="13">
        <v>1289</v>
      </c>
      <c r="AJ95" s="13">
        <v>1330</v>
      </c>
      <c r="AK95" s="13">
        <v>1327</v>
      </c>
      <c r="AL95" s="13">
        <v>1330</v>
      </c>
      <c r="AM95" s="13">
        <v>1318</v>
      </c>
      <c r="AN95" s="13">
        <v>1321</v>
      </c>
      <c r="AO95" s="13">
        <v>1329</v>
      </c>
      <c r="AP95" s="13">
        <v>1281</v>
      </c>
      <c r="AQ95" s="13">
        <v>1256</v>
      </c>
      <c r="AR95" s="13">
        <v>1255</v>
      </c>
      <c r="AS95" s="13">
        <v>1254</v>
      </c>
      <c r="AT95" s="13">
        <v>1289</v>
      </c>
      <c r="AU95" s="13">
        <v>1273</v>
      </c>
      <c r="AV95" s="13">
        <v>1312</v>
      </c>
      <c r="AW95" s="13">
        <v>1286</v>
      </c>
      <c r="AX95" s="13">
        <v>1332</v>
      </c>
      <c r="AY95" s="13">
        <v>1323</v>
      </c>
      <c r="AZ95" s="13">
        <v>1319</v>
      </c>
      <c r="BA95" s="13">
        <v>1302</v>
      </c>
      <c r="BB95" s="13">
        <v>1275</v>
      </c>
      <c r="BC95" s="13">
        <v>1231</v>
      </c>
      <c r="BD95" s="13">
        <v>1218</v>
      </c>
      <c r="BE95" s="13">
        <v>1234</v>
      </c>
      <c r="BF95" s="13">
        <v>1243</v>
      </c>
      <c r="BG95" s="13">
        <v>1260</v>
      </c>
      <c r="BH95" s="13">
        <v>1250</v>
      </c>
      <c r="BI95" s="13">
        <v>1247</v>
      </c>
      <c r="BJ95" s="13">
        <v>1188</v>
      </c>
      <c r="BK95" s="13">
        <v>1212</v>
      </c>
      <c r="BL95" s="13">
        <v>1209</v>
      </c>
      <c r="BM95" s="4">
        <v>1217</v>
      </c>
      <c r="BN95" s="4">
        <v>1186</v>
      </c>
      <c r="BO95" s="4">
        <v>1197</v>
      </c>
      <c r="BP95" s="4">
        <v>1207</v>
      </c>
      <c r="BQ95" s="4">
        <v>1194</v>
      </c>
      <c r="BR95" s="4">
        <v>1197</v>
      </c>
      <c r="BS95" s="4">
        <v>1196</v>
      </c>
      <c r="BT95" s="4">
        <v>1201</v>
      </c>
      <c r="BU95" s="4">
        <v>1239</v>
      </c>
      <c r="BV95" s="4">
        <v>1267</v>
      </c>
      <c r="BW95" s="4">
        <v>1268</v>
      </c>
      <c r="BX95" s="4">
        <v>1279</v>
      </c>
      <c r="BY95" s="4">
        <v>1280</v>
      </c>
      <c r="BZ95" s="4">
        <v>1274</v>
      </c>
    </row>
    <row r="96" spans="1:254" ht="15.9" customHeight="1">
      <c r="A96" s="61" t="s">
        <v>187</v>
      </c>
      <c r="B96" s="6" t="s">
        <v>188</v>
      </c>
      <c r="C96" s="15">
        <f>_xll.RssMarket("4062","現在値")</f>
        <v>19010</v>
      </c>
      <c r="D96" s="16">
        <f t="shared" si="2"/>
        <v>0</v>
      </c>
      <c r="E96" s="13">
        <v>19010</v>
      </c>
      <c r="F96" s="13">
        <v>20330</v>
      </c>
      <c r="G96" s="13">
        <v>16330</v>
      </c>
      <c r="H96" s="13">
        <v>15535</v>
      </c>
      <c r="I96" s="13">
        <v>16650</v>
      </c>
      <c r="J96" s="13">
        <v>13650</v>
      </c>
      <c r="K96" s="13">
        <v>13470</v>
      </c>
      <c r="L96" s="13">
        <v>14855</v>
      </c>
      <c r="M96" s="13">
        <v>16700</v>
      </c>
      <c r="N96" s="13">
        <v>17370</v>
      </c>
      <c r="O96" s="13">
        <v>18075</v>
      </c>
      <c r="P96" s="13">
        <v>18250</v>
      </c>
      <c r="Q96" s="13">
        <v>17415</v>
      </c>
      <c r="R96" s="13">
        <v>15685</v>
      </c>
      <c r="S96" s="13">
        <v>19340</v>
      </c>
      <c r="T96" s="13">
        <v>17980</v>
      </c>
      <c r="U96" s="13">
        <v>18690</v>
      </c>
      <c r="V96" s="13">
        <v>20300</v>
      </c>
      <c r="W96" s="13">
        <v>19520</v>
      </c>
      <c r="X96" s="13">
        <v>19100</v>
      </c>
      <c r="Y96" s="13">
        <v>19895</v>
      </c>
      <c r="Z96" s="13">
        <v>21390</v>
      </c>
      <c r="AA96" s="13">
        <v>23345</v>
      </c>
      <c r="AB96" s="13">
        <v>23420</v>
      </c>
      <c r="AC96" s="13">
        <v>25785</v>
      </c>
      <c r="AD96" s="13">
        <v>23815</v>
      </c>
      <c r="AE96" s="13">
        <v>23700</v>
      </c>
      <c r="AF96" s="13">
        <v>24000</v>
      </c>
      <c r="AG96" s="13">
        <v>26370</v>
      </c>
      <c r="AH96" s="13">
        <v>24785</v>
      </c>
      <c r="AI96" s="13">
        <v>24385</v>
      </c>
      <c r="AJ96" s="13">
        <v>26425</v>
      </c>
      <c r="AK96" s="13">
        <v>24560</v>
      </c>
      <c r="AL96" s="13">
        <v>25715</v>
      </c>
      <c r="AM96" s="13">
        <v>24000</v>
      </c>
      <c r="AN96" s="13">
        <v>22445</v>
      </c>
      <c r="AO96" s="13">
        <v>22750</v>
      </c>
      <c r="AP96" s="13">
        <v>19105</v>
      </c>
      <c r="AQ96" s="13">
        <v>18210</v>
      </c>
      <c r="AR96" s="13">
        <v>17400</v>
      </c>
      <c r="AS96" s="13">
        <v>17060</v>
      </c>
      <c r="AT96" s="13">
        <v>18760</v>
      </c>
      <c r="AU96" s="13">
        <v>20155</v>
      </c>
      <c r="AV96" s="13">
        <v>21940</v>
      </c>
      <c r="AW96" s="13">
        <v>21135</v>
      </c>
      <c r="AX96" s="13">
        <v>23000</v>
      </c>
      <c r="AY96" s="13">
        <v>19740</v>
      </c>
      <c r="AZ96" s="13">
        <v>20425</v>
      </c>
      <c r="BA96" s="13">
        <v>20930</v>
      </c>
      <c r="BB96" s="13">
        <v>19250</v>
      </c>
      <c r="BC96" s="13">
        <v>17875</v>
      </c>
      <c r="BD96" s="13">
        <v>15640</v>
      </c>
      <c r="BE96" s="13">
        <v>15320</v>
      </c>
      <c r="BF96" s="13">
        <v>15635</v>
      </c>
      <c r="BG96" s="13">
        <v>15660</v>
      </c>
      <c r="BH96" s="13">
        <v>16960</v>
      </c>
      <c r="BI96" s="13">
        <v>17060</v>
      </c>
      <c r="BJ96" s="13">
        <v>16550</v>
      </c>
      <c r="BK96" s="13">
        <v>15655</v>
      </c>
      <c r="BL96" s="13">
        <v>15515</v>
      </c>
      <c r="BM96" s="4">
        <v>16375</v>
      </c>
      <c r="BN96" s="4">
        <v>13375</v>
      </c>
      <c r="BO96" s="4">
        <v>13480</v>
      </c>
      <c r="BP96" s="4">
        <v>12560</v>
      </c>
      <c r="BQ96" s="4">
        <v>12670</v>
      </c>
      <c r="BR96" s="4">
        <v>12540</v>
      </c>
      <c r="BS96" s="4">
        <v>11135</v>
      </c>
      <c r="BT96" s="4">
        <v>11200</v>
      </c>
      <c r="BU96" s="4">
        <v>10560</v>
      </c>
      <c r="BV96" s="4">
        <v>9575</v>
      </c>
      <c r="BW96" s="4">
        <v>9235</v>
      </c>
      <c r="BX96" s="4">
        <v>9572</v>
      </c>
      <c r="BY96" s="4">
        <v>9380</v>
      </c>
      <c r="BZ96" s="4">
        <v>9915</v>
      </c>
    </row>
    <row r="97" spans="1:254" ht="15.9" customHeight="1">
      <c r="A97" s="61" t="s">
        <v>189</v>
      </c>
      <c r="B97" s="6" t="s">
        <v>190</v>
      </c>
      <c r="C97" s="15">
        <f>_xll.RssMarket("4182","現在値")</f>
        <v>4498</v>
      </c>
      <c r="D97" s="16">
        <f t="shared" si="2"/>
        <v>0</v>
      </c>
      <c r="E97" s="13">
        <v>4498</v>
      </c>
      <c r="F97" s="13">
        <v>4691</v>
      </c>
      <c r="G97" s="13">
        <v>4322</v>
      </c>
      <c r="H97" s="13">
        <v>4207</v>
      </c>
      <c r="I97" s="13">
        <v>4201</v>
      </c>
      <c r="J97" s="13">
        <v>3866</v>
      </c>
      <c r="K97" s="13">
        <v>3820</v>
      </c>
      <c r="L97" s="13">
        <v>4003</v>
      </c>
      <c r="M97" s="13">
        <v>4363</v>
      </c>
      <c r="N97" s="13">
        <v>4383</v>
      </c>
      <c r="O97" s="13">
        <v>4571</v>
      </c>
      <c r="P97" s="13">
        <v>4533</v>
      </c>
      <c r="Q97" s="13">
        <v>4453</v>
      </c>
      <c r="R97" s="13">
        <v>4331</v>
      </c>
      <c r="S97" s="13">
        <v>4762</v>
      </c>
      <c r="T97" s="13">
        <v>4633</v>
      </c>
      <c r="U97" s="13">
        <v>4564</v>
      </c>
      <c r="V97" s="13">
        <v>4685</v>
      </c>
      <c r="W97" s="13">
        <v>4659</v>
      </c>
      <c r="X97" s="13">
        <v>4607</v>
      </c>
      <c r="Y97" s="13">
        <v>4657</v>
      </c>
      <c r="Z97" s="13">
        <v>4851</v>
      </c>
      <c r="AA97" s="13">
        <v>4973</v>
      </c>
      <c r="AB97" s="13">
        <v>4848</v>
      </c>
      <c r="AC97" s="13">
        <v>5158</v>
      </c>
      <c r="AD97" s="13">
        <v>5068</v>
      </c>
      <c r="AE97" s="13">
        <v>5146</v>
      </c>
      <c r="AF97" s="13">
        <v>5099</v>
      </c>
      <c r="AG97" s="13">
        <v>5273</v>
      </c>
      <c r="AH97" s="13">
        <v>5231</v>
      </c>
      <c r="AI97" s="13">
        <v>5344</v>
      </c>
      <c r="AJ97" s="13">
        <v>5665</v>
      </c>
      <c r="AK97" s="13">
        <v>5424</v>
      </c>
      <c r="AL97" s="13">
        <v>5358</v>
      </c>
      <c r="AM97" s="13">
        <v>5116</v>
      </c>
      <c r="AN97" s="13">
        <v>5090</v>
      </c>
      <c r="AO97" s="13">
        <v>5043</v>
      </c>
      <c r="AP97" s="13">
        <v>4903</v>
      </c>
      <c r="AQ97" s="13">
        <v>4464</v>
      </c>
      <c r="AR97" s="13">
        <v>4426</v>
      </c>
      <c r="AS97" s="13">
        <v>4675</v>
      </c>
      <c r="AT97" s="13">
        <v>5180</v>
      </c>
      <c r="AU97" s="13">
        <v>5277</v>
      </c>
      <c r="AV97" s="13">
        <v>5382</v>
      </c>
      <c r="AW97" s="13">
        <v>5250</v>
      </c>
      <c r="AX97" s="13">
        <v>5545</v>
      </c>
      <c r="AY97" s="13">
        <v>5391</v>
      </c>
      <c r="AZ97" s="13">
        <v>5401</v>
      </c>
      <c r="BA97" s="13">
        <v>5243</v>
      </c>
      <c r="BB97" s="13">
        <v>5060</v>
      </c>
      <c r="BC97" s="13">
        <v>4974</v>
      </c>
      <c r="BD97" s="13">
        <v>4613</v>
      </c>
      <c r="BE97" s="13">
        <v>4543</v>
      </c>
      <c r="BF97" s="13">
        <v>4620</v>
      </c>
      <c r="BG97" s="13">
        <v>4641</v>
      </c>
      <c r="BH97" s="13">
        <v>5002</v>
      </c>
      <c r="BI97" s="13">
        <v>4920</v>
      </c>
      <c r="BJ97" s="13">
        <v>4855</v>
      </c>
      <c r="BK97" s="13">
        <v>4737</v>
      </c>
      <c r="BL97" s="13">
        <v>4582</v>
      </c>
      <c r="BM97" s="4">
        <v>4704</v>
      </c>
      <c r="BN97" s="4">
        <v>4368</v>
      </c>
      <c r="BO97" s="4">
        <v>4400</v>
      </c>
      <c r="BP97" s="4">
        <v>4401</v>
      </c>
      <c r="BQ97" s="4">
        <v>4364</v>
      </c>
      <c r="BR97" s="4">
        <v>4417</v>
      </c>
      <c r="BS97" s="4">
        <v>4264</v>
      </c>
      <c r="BT97" s="4">
        <v>4329</v>
      </c>
      <c r="BU97" s="4">
        <v>4322</v>
      </c>
      <c r="BV97" s="4">
        <v>4233</v>
      </c>
      <c r="BW97" s="4">
        <v>4181</v>
      </c>
      <c r="BX97" s="4">
        <v>4214</v>
      </c>
      <c r="BY97" s="4">
        <v>4184</v>
      </c>
      <c r="BZ97" s="4">
        <v>4217</v>
      </c>
    </row>
    <row r="98" spans="1:254" ht="15.9" customHeight="1">
      <c r="A98" s="61" t="s">
        <v>191</v>
      </c>
      <c r="B98" s="6" t="s">
        <v>192</v>
      </c>
      <c r="C98" s="15">
        <f>_xll.RssMarket("4188","現在値")</f>
        <v>1184.5</v>
      </c>
      <c r="D98" s="16">
        <f t="shared" si="2"/>
        <v>0</v>
      </c>
      <c r="E98" s="13">
        <v>1184.5</v>
      </c>
      <c r="F98" s="13">
        <v>1154.5</v>
      </c>
      <c r="G98" s="13">
        <v>1117.5</v>
      </c>
      <c r="H98" s="13">
        <v>1135.5</v>
      </c>
      <c r="I98" s="13">
        <v>1188</v>
      </c>
      <c r="J98" s="13">
        <v>1137.5</v>
      </c>
      <c r="K98" s="13">
        <v>1155.5</v>
      </c>
      <c r="L98" s="13">
        <v>1165</v>
      </c>
      <c r="M98" s="13">
        <v>1225</v>
      </c>
      <c r="N98" s="13"/>
      <c r="O98" s="13">
        <v>1216</v>
      </c>
      <c r="P98" s="13">
        <v>1195.5</v>
      </c>
      <c r="Q98" s="13">
        <v>1193</v>
      </c>
      <c r="R98" s="13">
        <v>1168</v>
      </c>
      <c r="S98" s="13">
        <v>1222</v>
      </c>
      <c r="T98" s="13">
        <v>1203</v>
      </c>
      <c r="U98" s="13">
        <v>1161.5</v>
      </c>
      <c r="V98" s="13">
        <v>1161.5</v>
      </c>
      <c r="W98" s="13">
        <v>1167.5</v>
      </c>
      <c r="X98" s="13">
        <v>1176</v>
      </c>
      <c r="Y98" s="13">
        <v>1193.5</v>
      </c>
      <c r="Z98" s="13">
        <v>1207.5</v>
      </c>
      <c r="AA98" s="13">
        <v>1163</v>
      </c>
      <c r="AB98" s="13">
        <v>1129.5</v>
      </c>
      <c r="AC98" s="13">
        <v>1115</v>
      </c>
      <c r="AD98" s="13">
        <v>1128.5</v>
      </c>
      <c r="AE98" s="13">
        <v>1130</v>
      </c>
      <c r="AF98" s="13">
        <v>1094.5</v>
      </c>
      <c r="AG98" s="13">
        <v>1095</v>
      </c>
      <c r="AH98" s="13">
        <v>1086</v>
      </c>
      <c r="AI98" s="13">
        <v>1087</v>
      </c>
      <c r="AJ98" s="13">
        <v>1099.5</v>
      </c>
      <c r="AK98" s="13">
        <v>1092.5</v>
      </c>
      <c r="AL98" s="13">
        <v>1122.5</v>
      </c>
      <c r="AM98" s="13">
        <v>1140</v>
      </c>
      <c r="AN98" s="13">
        <v>1104.5</v>
      </c>
      <c r="AO98" s="13">
        <v>1128.5</v>
      </c>
      <c r="AP98" s="13">
        <v>1080.5</v>
      </c>
      <c r="AQ98" s="13">
        <v>1036</v>
      </c>
      <c r="AR98" s="13">
        <v>1019.5</v>
      </c>
      <c r="AS98" s="13">
        <v>1033.5</v>
      </c>
      <c r="AT98" s="13">
        <v>1063</v>
      </c>
      <c r="AU98" s="13">
        <v>1095</v>
      </c>
      <c r="AV98" s="13">
        <v>1099</v>
      </c>
      <c r="AW98" s="13">
        <v>1084</v>
      </c>
      <c r="AX98" s="13">
        <v>1147</v>
      </c>
      <c r="AY98" s="13">
        <v>1116.5</v>
      </c>
      <c r="AZ98" s="13">
        <v>1115.5</v>
      </c>
      <c r="BA98" s="13">
        <v>1089.5</v>
      </c>
      <c r="BB98" s="13">
        <v>1027.5</v>
      </c>
      <c r="BC98" s="13">
        <v>1003.5</v>
      </c>
      <c r="BD98" s="13">
        <v>1001</v>
      </c>
      <c r="BE98" s="13">
        <v>1030.5</v>
      </c>
      <c r="BF98" s="13">
        <v>1007.5</v>
      </c>
      <c r="BG98" s="13">
        <v>1016.5</v>
      </c>
      <c r="BH98" s="13">
        <v>1054</v>
      </c>
      <c r="BI98" s="13">
        <v>1007</v>
      </c>
      <c r="BJ98" s="13">
        <v>928.3</v>
      </c>
      <c r="BK98" s="13">
        <v>927.3</v>
      </c>
      <c r="BL98" s="13">
        <v>922.4</v>
      </c>
      <c r="BM98" s="4">
        <v>933.6</v>
      </c>
      <c r="BN98" s="4">
        <v>898</v>
      </c>
      <c r="BO98" s="4">
        <v>911.7</v>
      </c>
      <c r="BP98" s="4">
        <v>918.3</v>
      </c>
      <c r="BQ98" s="4">
        <v>909.8</v>
      </c>
      <c r="BR98" s="4">
        <v>911.4</v>
      </c>
      <c r="BS98" s="4">
        <v>916.7</v>
      </c>
      <c r="BT98" s="4">
        <v>941.4</v>
      </c>
      <c r="BU98" s="4">
        <v>969.3</v>
      </c>
      <c r="BV98" s="4">
        <v>962.1</v>
      </c>
      <c r="BW98" s="4">
        <v>988.9</v>
      </c>
      <c r="BX98" s="4">
        <v>997.7</v>
      </c>
      <c r="BY98" s="4">
        <v>996.2</v>
      </c>
      <c r="BZ98" s="4">
        <v>968.1</v>
      </c>
    </row>
    <row r="99" spans="1:254" ht="15.9" customHeight="1">
      <c r="A99" s="61" t="s">
        <v>193</v>
      </c>
      <c r="B99" s="6" t="s">
        <v>194</v>
      </c>
      <c r="C99" s="15">
        <f>_xll.RssMarket("4523","現在値")</f>
        <v>4691</v>
      </c>
      <c r="D99" s="16">
        <f t="shared" si="2"/>
        <v>0</v>
      </c>
      <c r="E99" s="13">
        <v>4691</v>
      </c>
      <c r="F99" s="13">
        <v>4520</v>
      </c>
      <c r="G99" s="13">
        <v>4623</v>
      </c>
      <c r="H99" s="13">
        <v>4656</v>
      </c>
      <c r="I99" s="13">
        <v>4828</v>
      </c>
      <c r="J99" s="13">
        <v>5031</v>
      </c>
      <c r="K99" s="13">
        <v>5110</v>
      </c>
      <c r="L99" s="13">
        <v>4791</v>
      </c>
      <c r="M99" s="13">
        <v>4753</v>
      </c>
      <c r="N99" s="13">
        <v>4656</v>
      </c>
      <c r="O99" s="13">
        <v>4582</v>
      </c>
      <c r="P99" s="13">
        <v>4550</v>
      </c>
      <c r="Q99" s="13">
        <v>4482</v>
      </c>
      <c r="R99" s="13">
        <v>4450</v>
      </c>
      <c r="S99" s="13">
        <v>4256</v>
      </c>
      <c r="T99" s="13">
        <v>4376</v>
      </c>
      <c r="U99" s="13">
        <v>4243</v>
      </c>
      <c r="V99" s="13">
        <v>4296</v>
      </c>
      <c r="W99" s="13">
        <v>4286</v>
      </c>
      <c r="X99" s="13">
        <v>4318</v>
      </c>
      <c r="Y99" s="13">
        <v>4305</v>
      </c>
      <c r="Z99" s="13">
        <v>4340</v>
      </c>
      <c r="AA99" s="13">
        <v>4255</v>
      </c>
      <c r="AB99" s="13">
        <v>4188</v>
      </c>
      <c r="AC99" s="13">
        <v>4109</v>
      </c>
      <c r="AD99" s="13">
        <v>4119</v>
      </c>
      <c r="AE99" s="13">
        <v>4145</v>
      </c>
      <c r="AF99" s="13">
        <v>3991</v>
      </c>
      <c r="AG99" s="13">
        <v>3949</v>
      </c>
      <c r="AH99" s="13">
        <v>3890</v>
      </c>
      <c r="AI99" s="13">
        <v>3894</v>
      </c>
      <c r="AJ99" s="13">
        <v>3901</v>
      </c>
      <c r="AK99" s="13">
        <v>3902</v>
      </c>
      <c r="AL99" s="13">
        <v>3969</v>
      </c>
      <c r="AM99" s="13">
        <v>3829</v>
      </c>
      <c r="AN99" s="13">
        <v>3750</v>
      </c>
      <c r="AO99" s="13">
        <v>3821</v>
      </c>
      <c r="AP99" s="13">
        <v>3780</v>
      </c>
      <c r="AQ99" s="13">
        <v>3723</v>
      </c>
      <c r="AR99" s="13">
        <v>3740</v>
      </c>
      <c r="AS99" s="13">
        <v>3806</v>
      </c>
      <c r="AT99" s="13">
        <v>3775</v>
      </c>
      <c r="AU99" s="13">
        <v>3815</v>
      </c>
      <c r="AV99" s="13">
        <v>3759</v>
      </c>
      <c r="AW99" s="13">
        <v>3818</v>
      </c>
      <c r="AX99" s="13">
        <v>3984</v>
      </c>
      <c r="AY99" s="13">
        <v>3901</v>
      </c>
      <c r="AZ99" s="13">
        <v>4043</v>
      </c>
      <c r="BA99" s="13">
        <v>4143</v>
      </c>
      <c r="BB99" s="13">
        <v>4157</v>
      </c>
      <c r="BC99" s="13">
        <v>4243</v>
      </c>
      <c r="BD99" s="13">
        <v>4245</v>
      </c>
      <c r="BE99" s="13">
        <v>4466</v>
      </c>
      <c r="BF99" s="13">
        <v>4429</v>
      </c>
      <c r="BG99" s="13">
        <v>4723</v>
      </c>
      <c r="BH99" s="13">
        <v>4721</v>
      </c>
      <c r="BI99" s="13">
        <v>4717</v>
      </c>
      <c r="BJ99" s="13">
        <v>4649</v>
      </c>
      <c r="BK99" s="13">
        <v>4646</v>
      </c>
      <c r="BL99" s="13">
        <v>4677</v>
      </c>
      <c r="BM99" s="4">
        <v>4700</v>
      </c>
      <c r="BN99" s="4">
        <v>4688</v>
      </c>
      <c r="BO99" s="4">
        <v>4687</v>
      </c>
      <c r="BP99" s="4">
        <v>4605</v>
      </c>
      <c r="BQ99" s="4">
        <v>4570</v>
      </c>
      <c r="BR99" s="4">
        <v>4735</v>
      </c>
      <c r="BS99" s="4">
        <v>4737</v>
      </c>
      <c r="BT99" s="4">
        <v>4846</v>
      </c>
      <c r="BU99" s="4">
        <v>4858</v>
      </c>
      <c r="BV99" s="4">
        <v>4910</v>
      </c>
      <c r="BW99" s="4">
        <v>4891</v>
      </c>
      <c r="BX99" s="4">
        <v>5020</v>
      </c>
      <c r="BY99" s="4">
        <v>5030</v>
      </c>
      <c r="BZ99" s="4">
        <v>4850</v>
      </c>
    </row>
    <row r="100" spans="1:254" ht="15.9" customHeight="1">
      <c r="A100" s="61" t="s">
        <v>195</v>
      </c>
      <c r="B100" s="6" t="s">
        <v>196</v>
      </c>
      <c r="C100" s="15">
        <f>_xll.RssMarket("4528","現在値")</f>
        <v>2338</v>
      </c>
      <c r="D100" s="16">
        <f t="shared" si="2"/>
        <v>0</v>
      </c>
      <c r="E100" s="13">
        <v>2338</v>
      </c>
      <c r="F100" s="13">
        <v>2301</v>
      </c>
      <c r="G100" s="13">
        <v>2307</v>
      </c>
      <c r="H100" s="13">
        <v>2337.5</v>
      </c>
      <c r="I100" s="13">
        <v>2384</v>
      </c>
      <c r="J100" s="13">
        <v>2457.5</v>
      </c>
      <c r="K100" s="13">
        <v>2491.5</v>
      </c>
      <c r="L100" s="13">
        <v>2417</v>
      </c>
      <c r="M100" s="13">
        <v>2439.5</v>
      </c>
      <c r="N100" s="13"/>
      <c r="O100" s="13">
        <v>2398.5</v>
      </c>
      <c r="P100" s="13">
        <v>2405</v>
      </c>
      <c r="Q100" s="13">
        <v>2397</v>
      </c>
      <c r="R100" s="13">
        <v>2425.5</v>
      </c>
      <c r="S100" s="13">
        <v>2388.5</v>
      </c>
      <c r="T100" s="13">
        <v>2432.5</v>
      </c>
      <c r="U100" s="13">
        <v>2400.5</v>
      </c>
      <c r="V100" s="13">
        <v>2428</v>
      </c>
      <c r="W100" s="13">
        <v>2449</v>
      </c>
      <c r="X100" s="13">
        <v>2489</v>
      </c>
      <c r="Y100" s="13">
        <v>2458.5</v>
      </c>
      <c r="Z100" s="13">
        <v>2448.5</v>
      </c>
      <c r="AA100" s="13">
        <v>2419</v>
      </c>
      <c r="AB100" s="13">
        <v>2402</v>
      </c>
      <c r="AC100" s="13">
        <v>2368</v>
      </c>
      <c r="AD100" s="13">
        <v>2388</v>
      </c>
      <c r="AE100" s="13">
        <v>2410</v>
      </c>
      <c r="AF100" s="13">
        <v>2377.5</v>
      </c>
      <c r="AG100" s="13">
        <v>2340.5</v>
      </c>
      <c r="AH100" s="13">
        <v>2350</v>
      </c>
      <c r="AI100" s="13">
        <v>2329</v>
      </c>
      <c r="AJ100" s="13">
        <v>2345.5</v>
      </c>
      <c r="AK100" s="13">
        <v>2249</v>
      </c>
      <c r="AL100" s="13">
        <v>2277</v>
      </c>
      <c r="AM100" s="13">
        <v>2249.5</v>
      </c>
      <c r="AN100" s="13">
        <v>2259</v>
      </c>
      <c r="AO100" s="13">
        <v>2265</v>
      </c>
      <c r="AP100" s="13">
        <v>2212.5</v>
      </c>
      <c r="AQ100" s="13">
        <v>2237.5</v>
      </c>
      <c r="AR100" s="13">
        <v>2224</v>
      </c>
      <c r="AS100" s="13">
        <v>2248</v>
      </c>
      <c r="AT100" s="13">
        <v>2225</v>
      </c>
      <c r="AU100" s="13">
        <v>2195.5</v>
      </c>
      <c r="AV100" s="13">
        <v>2158</v>
      </c>
      <c r="AW100" s="13">
        <v>2216.5</v>
      </c>
      <c r="AX100" s="13">
        <v>2392.5</v>
      </c>
      <c r="AY100" s="13">
        <v>2399.5</v>
      </c>
      <c r="AZ100" s="13">
        <v>2367</v>
      </c>
      <c r="BA100" s="13">
        <v>2438</v>
      </c>
      <c r="BB100" s="13">
        <v>2482.5</v>
      </c>
      <c r="BC100" s="13">
        <v>2446</v>
      </c>
      <c r="BD100" s="13">
        <v>2426.5</v>
      </c>
      <c r="BE100" s="13">
        <v>2425</v>
      </c>
      <c r="BF100" s="13">
        <v>2441.5</v>
      </c>
      <c r="BG100" s="13">
        <v>2533.5</v>
      </c>
      <c r="BH100" s="13">
        <v>2573.5</v>
      </c>
      <c r="BI100" s="13">
        <v>2553</v>
      </c>
      <c r="BJ100" s="13">
        <v>2479</v>
      </c>
      <c r="BK100" s="13">
        <v>2462</v>
      </c>
      <c r="BL100" s="13">
        <v>2480.5</v>
      </c>
      <c r="BM100" s="4">
        <v>2360.5</v>
      </c>
      <c r="BN100" s="4">
        <v>2315.5</v>
      </c>
      <c r="BO100" s="4">
        <v>2306</v>
      </c>
      <c r="BP100" s="4">
        <v>2312.5</v>
      </c>
      <c r="BQ100" s="4">
        <v>2304.5</v>
      </c>
      <c r="BR100" s="4">
        <v>2350</v>
      </c>
      <c r="BS100" s="4">
        <v>2316</v>
      </c>
      <c r="BT100" s="4">
        <v>2321.5</v>
      </c>
      <c r="BU100" s="4">
        <v>2356.5</v>
      </c>
      <c r="BV100" s="4">
        <v>2429.5</v>
      </c>
      <c r="BW100" s="4">
        <v>2406.5</v>
      </c>
      <c r="BX100" s="4">
        <v>2492</v>
      </c>
      <c r="BY100" s="4">
        <v>2452</v>
      </c>
      <c r="BZ100" s="4">
        <v>2476.5</v>
      </c>
    </row>
    <row r="101" spans="1:254" ht="15.9" customHeight="1">
      <c r="A101" s="61" t="s">
        <v>197</v>
      </c>
      <c r="B101" s="6" t="s">
        <v>198</v>
      </c>
      <c r="C101" s="15">
        <f>_xll.RssMarket("4661","現在値")</f>
        <v>2954</v>
      </c>
      <c r="D101" s="16">
        <f t="shared" si="2"/>
        <v>0</v>
      </c>
      <c r="E101" s="13">
        <v>2954</v>
      </c>
      <c r="F101" s="13">
        <v>2860.5</v>
      </c>
      <c r="G101" s="13">
        <v>2945</v>
      </c>
      <c r="H101" s="13">
        <v>3087</v>
      </c>
      <c r="I101" s="13">
        <v>3167</v>
      </c>
      <c r="J101" s="13">
        <v>2920</v>
      </c>
      <c r="K101" s="13">
        <v>3030</v>
      </c>
      <c r="L101" s="13">
        <v>2904</v>
      </c>
      <c r="M101" s="13">
        <v>2831.5</v>
      </c>
      <c r="N101" s="13"/>
      <c r="O101" s="13">
        <v>2630</v>
      </c>
      <c r="P101" s="13">
        <v>2673.5</v>
      </c>
      <c r="Q101" s="13">
        <v>2735</v>
      </c>
      <c r="R101" s="13">
        <v>2729.5</v>
      </c>
      <c r="S101" s="13">
        <v>2622</v>
      </c>
      <c r="T101" s="13">
        <v>2745</v>
      </c>
      <c r="U101" s="13">
        <v>2650</v>
      </c>
      <c r="V101" s="13">
        <v>2615</v>
      </c>
      <c r="W101" s="13">
        <v>2603</v>
      </c>
      <c r="X101" s="13">
        <v>2602</v>
      </c>
      <c r="Y101" s="13">
        <v>2584.5</v>
      </c>
      <c r="Z101" s="13">
        <v>2561.5</v>
      </c>
      <c r="AA101" s="13">
        <v>2543.5</v>
      </c>
      <c r="AB101" s="13">
        <v>2505</v>
      </c>
      <c r="AC101" s="13">
        <v>2412</v>
      </c>
      <c r="AD101" s="13">
        <v>2490</v>
      </c>
      <c r="AE101" s="13">
        <v>2498.5</v>
      </c>
      <c r="AF101" s="13">
        <v>2398.5</v>
      </c>
      <c r="AG101" s="13">
        <v>2393</v>
      </c>
      <c r="AH101" s="13">
        <v>2374</v>
      </c>
      <c r="AI101" s="13">
        <v>2363</v>
      </c>
      <c r="AJ101" s="13">
        <v>2322.5</v>
      </c>
      <c r="AK101" s="13">
        <v>2336.5</v>
      </c>
      <c r="AL101" s="13">
        <v>2300</v>
      </c>
      <c r="AM101" s="13">
        <v>2291</v>
      </c>
      <c r="AN101" s="13">
        <v>2276</v>
      </c>
      <c r="AO101" s="13">
        <v>2263</v>
      </c>
      <c r="AP101" s="13">
        <v>2264.5</v>
      </c>
      <c r="AQ101" s="13">
        <v>2305.5</v>
      </c>
      <c r="AR101" s="13">
        <v>2292.5</v>
      </c>
      <c r="AS101" s="13">
        <v>2220</v>
      </c>
      <c r="AT101" s="13">
        <v>2180.5</v>
      </c>
      <c r="AU101" s="13">
        <v>2184</v>
      </c>
      <c r="AV101" s="13">
        <v>2215</v>
      </c>
      <c r="AW101" s="13">
        <v>2189</v>
      </c>
      <c r="AX101" s="13">
        <v>2295.5</v>
      </c>
      <c r="AY101" s="13">
        <v>2250</v>
      </c>
      <c r="AZ101" s="13">
        <v>2199</v>
      </c>
      <c r="BA101" s="13">
        <v>2125.5</v>
      </c>
      <c r="BB101" s="13">
        <v>2140</v>
      </c>
      <c r="BC101" s="13">
        <v>2141.5</v>
      </c>
      <c r="BD101" s="13">
        <v>2230.5</v>
      </c>
      <c r="BE101" s="13">
        <v>2218.5</v>
      </c>
      <c r="BF101" s="13">
        <v>2136.5</v>
      </c>
      <c r="BG101" s="13">
        <v>2161</v>
      </c>
      <c r="BH101" s="13">
        <v>2149</v>
      </c>
      <c r="BI101" s="13">
        <v>2170</v>
      </c>
      <c r="BJ101" s="13">
        <v>2182.5</v>
      </c>
      <c r="BK101" s="13">
        <v>2202.5</v>
      </c>
      <c r="BL101" s="13">
        <v>2241.5</v>
      </c>
      <c r="BM101" s="4">
        <v>2218</v>
      </c>
      <c r="BN101" s="4">
        <v>2223</v>
      </c>
      <c r="BO101" s="4">
        <v>2188.5</v>
      </c>
      <c r="BP101" s="4">
        <v>2434.5</v>
      </c>
      <c r="BQ101" s="4">
        <v>2387.5</v>
      </c>
      <c r="BR101" s="4">
        <v>2400</v>
      </c>
      <c r="BS101" s="4">
        <v>2482</v>
      </c>
      <c r="BT101" s="4">
        <v>2587.5</v>
      </c>
      <c r="BU101" s="4">
        <v>2613</v>
      </c>
      <c r="BV101" s="4">
        <v>2643.5</v>
      </c>
      <c r="BW101" s="4">
        <v>2635</v>
      </c>
      <c r="BX101" s="4">
        <v>2640.5</v>
      </c>
      <c r="BY101" s="4">
        <v>2636.5</v>
      </c>
      <c r="BZ101" s="4">
        <v>2548</v>
      </c>
    </row>
    <row r="102" spans="1:254" ht="15.9" customHeight="1">
      <c r="A102" s="61" t="s">
        <v>199</v>
      </c>
      <c r="B102" s="6" t="s">
        <v>200</v>
      </c>
      <c r="C102" s="15">
        <f>_xll.RssMarket("5802","現在値")</f>
        <v>2158.5</v>
      </c>
      <c r="D102" s="16">
        <f t="shared" ref="D102:D133" si="3">C102-E102</f>
        <v>0</v>
      </c>
      <c r="E102" s="13">
        <v>2158.5</v>
      </c>
      <c r="F102" s="13">
        <v>2371.5</v>
      </c>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row>
    <row r="103" spans="1:254" ht="15.9" customHeight="1">
      <c r="A103" s="61" t="s">
        <v>201</v>
      </c>
      <c r="B103" s="6" t="s">
        <v>202</v>
      </c>
      <c r="C103" s="15">
        <f>_xll.RssMarket("5803","現在値")</f>
        <v>4596</v>
      </c>
      <c r="D103" s="16">
        <f t="shared" si="3"/>
        <v>0</v>
      </c>
      <c r="E103" s="13">
        <v>4596</v>
      </c>
      <c r="F103" s="13">
        <v>5073</v>
      </c>
      <c r="G103" s="13">
        <v>4628</v>
      </c>
      <c r="H103" s="13">
        <v>4290</v>
      </c>
      <c r="I103" s="13">
        <v>4172</v>
      </c>
      <c r="J103" s="13">
        <v>3720</v>
      </c>
      <c r="K103" s="13">
        <v>3760</v>
      </c>
      <c r="L103" s="13">
        <v>4073</v>
      </c>
      <c r="M103" s="13">
        <v>4325</v>
      </c>
      <c r="N103" s="13">
        <v>4593</v>
      </c>
      <c r="O103" s="13">
        <v>4727</v>
      </c>
      <c r="P103" s="13">
        <v>4751</v>
      </c>
      <c r="Q103" s="13">
        <v>4672</v>
      </c>
      <c r="R103" s="13">
        <v>4472</v>
      </c>
      <c r="S103" s="13">
        <v>5145</v>
      </c>
      <c r="T103" s="13">
        <v>4800</v>
      </c>
      <c r="U103" s="13">
        <v>5007</v>
      </c>
      <c r="V103" s="13">
        <v>5150</v>
      </c>
      <c r="W103" s="13">
        <v>4938</v>
      </c>
      <c r="X103" s="13">
        <v>4824</v>
      </c>
      <c r="Y103" s="13">
        <v>5072</v>
      </c>
      <c r="Z103" s="13">
        <v>5354</v>
      </c>
      <c r="AA103" s="13">
        <v>5358</v>
      </c>
      <c r="AB103" s="13">
        <v>5368</v>
      </c>
      <c r="AC103" s="13">
        <v>5826</v>
      </c>
      <c r="AD103" s="13">
        <v>6238</v>
      </c>
      <c r="AE103" s="13">
        <v>5885</v>
      </c>
      <c r="AF103" s="13">
        <v>6131</v>
      </c>
      <c r="AG103" s="13">
        <v>6436</v>
      </c>
      <c r="AH103" s="13">
        <v>6313</v>
      </c>
      <c r="AI103" s="13">
        <v>6487</v>
      </c>
      <c r="AJ103" s="13">
        <v>6161</v>
      </c>
      <c r="AK103" s="13">
        <v>5161</v>
      </c>
      <c r="AL103" s="13">
        <v>4461</v>
      </c>
      <c r="AM103" s="13">
        <v>4729</v>
      </c>
      <c r="AN103" s="13">
        <v>4738</v>
      </c>
      <c r="AO103" s="13">
        <v>4346</v>
      </c>
      <c r="AP103" s="13">
        <v>4256</v>
      </c>
      <c r="AQ103" s="13">
        <v>4142</v>
      </c>
      <c r="AR103" s="13">
        <v>4194</v>
      </c>
      <c r="AS103" s="13">
        <v>4401</v>
      </c>
      <c r="AT103" s="13">
        <v>4747</v>
      </c>
      <c r="AU103" s="13">
        <v>4805</v>
      </c>
      <c r="AV103" s="13">
        <v>5001</v>
      </c>
      <c r="AW103" s="13">
        <v>4574</v>
      </c>
      <c r="AX103" s="13">
        <v>4771</v>
      </c>
      <c r="AY103" s="13">
        <v>5017</v>
      </c>
      <c r="AZ103" s="13">
        <v>5140</v>
      </c>
      <c r="BA103" s="13">
        <v>5550</v>
      </c>
      <c r="BB103" s="13">
        <v>4850</v>
      </c>
      <c r="BC103" s="13">
        <v>4501</v>
      </c>
      <c r="BD103" s="13">
        <v>4295</v>
      </c>
      <c r="BE103" s="13">
        <v>4695</v>
      </c>
      <c r="BF103" s="13">
        <v>5653</v>
      </c>
      <c r="BG103" s="13">
        <v>5819</v>
      </c>
      <c r="BH103" s="13">
        <v>6355</v>
      </c>
      <c r="BI103" s="13">
        <v>7855</v>
      </c>
      <c r="BJ103" s="13">
        <v>7624</v>
      </c>
      <c r="BK103" s="13">
        <v>6832</v>
      </c>
      <c r="BL103" s="13">
        <v>6582</v>
      </c>
      <c r="BM103" s="4">
        <v>6498</v>
      </c>
      <c r="BN103" s="4">
        <v>5808</v>
      </c>
      <c r="BO103" s="4">
        <v>5971</v>
      </c>
      <c r="BP103" s="4">
        <v>6281</v>
      </c>
      <c r="BQ103" s="4">
        <v>6347</v>
      </c>
      <c r="BR103" s="4">
        <v>6037</v>
      </c>
      <c r="BS103" s="4">
        <v>5893</v>
      </c>
      <c r="BT103" s="4">
        <v>5985</v>
      </c>
      <c r="BU103" s="4">
        <v>5889</v>
      </c>
      <c r="BV103" s="4">
        <v>5529</v>
      </c>
      <c r="BW103" s="4">
        <v>5762</v>
      </c>
      <c r="BX103" s="4">
        <v>5951</v>
      </c>
      <c r="BY103" s="4">
        <v>5683</v>
      </c>
      <c r="BZ103" s="4">
        <v>5935</v>
      </c>
    </row>
    <row r="104" spans="1:254" ht="15.9" customHeight="1">
      <c r="A104" s="61" t="s">
        <v>203</v>
      </c>
      <c r="B104" s="6" t="s">
        <v>204</v>
      </c>
      <c r="C104" s="15">
        <f>_xll.RssMarket("6178","現在値")</f>
        <v>2395</v>
      </c>
      <c r="D104" s="16">
        <f t="shared" si="3"/>
        <v>0</v>
      </c>
      <c r="E104" s="13">
        <v>2395</v>
      </c>
      <c r="F104" s="13">
        <v>2357</v>
      </c>
      <c r="G104" s="13">
        <v>2327.5</v>
      </c>
      <c r="H104" s="13">
        <v>2335.5</v>
      </c>
      <c r="I104" s="13">
        <v>2382</v>
      </c>
      <c r="J104" s="13">
        <v>2419</v>
      </c>
      <c r="K104" s="13">
        <v>2482</v>
      </c>
      <c r="L104" s="13">
        <v>2464</v>
      </c>
      <c r="M104" s="13">
        <v>2521.5</v>
      </c>
      <c r="N104" s="13">
        <v>2485.5</v>
      </c>
      <c r="O104" s="13">
        <v>2460.5</v>
      </c>
      <c r="P104" s="13">
        <v>2453.5</v>
      </c>
      <c r="Q104" s="13">
        <v>2418.5</v>
      </c>
      <c r="R104" s="13">
        <v>2329</v>
      </c>
      <c r="S104" s="13">
        <v>2407.5</v>
      </c>
      <c r="T104" s="13">
        <v>2353</v>
      </c>
      <c r="U104" s="13">
        <v>2333</v>
      </c>
      <c r="V104" s="13">
        <v>2319.5</v>
      </c>
      <c r="W104" s="13">
        <v>2360.5</v>
      </c>
      <c r="X104" s="13">
        <v>2370</v>
      </c>
      <c r="Y104" s="13">
        <v>2355.5</v>
      </c>
      <c r="Z104" s="13">
        <v>2326</v>
      </c>
      <c r="AA104" s="13">
        <v>2271.5</v>
      </c>
      <c r="AB104" s="13">
        <v>2237.5</v>
      </c>
      <c r="AC104" s="13">
        <v>2168.5</v>
      </c>
      <c r="AD104" s="13">
        <v>2169</v>
      </c>
      <c r="AE104" s="13">
        <v>2153</v>
      </c>
      <c r="AF104" s="13">
        <v>2161</v>
      </c>
      <c r="AG104" s="13">
        <v>2183.5</v>
      </c>
      <c r="AH104" s="13">
        <v>2225.5</v>
      </c>
      <c r="AI104" s="13">
        <v>2215</v>
      </c>
      <c r="AJ104" s="13">
        <v>2227.5</v>
      </c>
      <c r="AK104" s="13">
        <v>2240.5</v>
      </c>
      <c r="AL104" s="13">
        <v>2234</v>
      </c>
      <c r="AM104" s="13">
        <v>2196.5</v>
      </c>
      <c r="AN104" s="13">
        <v>2264.5</v>
      </c>
      <c r="AO104" s="13">
        <v>2285.5</v>
      </c>
      <c r="AP104" s="13">
        <v>2318</v>
      </c>
      <c r="AQ104" s="13">
        <v>2209.5</v>
      </c>
      <c r="AR104" s="13">
        <v>2205</v>
      </c>
      <c r="AS104" s="13">
        <v>2128</v>
      </c>
      <c r="AT104" s="13">
        <v>2122.5</v>
      </c>
      <c r="AU104" s="13">
        <v>2145.5</v>
      </c>
      <c r="AV104" s="13">
        <v>2125</v>
      </c>
      <c r="AW104" s="13">
        <v>2074</v>
      </c>
      <c r="AX104" s="13">
        <v>2068</v>
      </c>
      <c r="AY104" s="13">
        <v>2029.5</v>
      </c>
      <c r="AZ104" s="13">
        <v>2059.5</v>
      </c>
      <c r="BA104" s="13">
        <v>2091.5</v>
      </c>
      <c r="BB104" s="13">
        <v>2116</v>
      </c>
      <c r="BC104" s="13">
        <v>2134</v>
      </c>
      <c r="BD104" s="13">
        <v>2110</v>
      </c>
      <c r="BE104" s="13">
        <v>2093</v>
      </c>
      <c r="BF104" s="13">
        <v>2054</v>
      </c>
      <c r="BG104" s="13">
        <v>1957</v>
      </c>
      <c r="BH104" s="13">
        <v>1951</v>
      </c>
      <c r="BI104" s="13">
        <v>1941.5</v>
      </c>
      <c r="BJ104" s="13">
        <v>1911</v>
      </c>
      <c r="BK104" s="13">
        <v>1865</v>
      </c>
      <c r="BL104" s="13">
        <v>1855.5</v>
      </c>
      <c r="BM104" s="4">
        <v>1861</v>
      </c>
      <c r="BN104" s="4">
        <v>1811.5</v>
      </c>
      <c r="BO104" s="4">
        <v>1823</v>
      </c>
      <c r="BP104" s="4">
        <v>1823</v>
      </c>
      <c r="BQ104" s="4">
        <v>1757.5</v>
      </c>
      <c r="BR104" s="4">
        <v>1779.5</v>
      </c>
      <c r="BS104" s="4">
        <v>1774</v>
      </c>
      <c r="BT104" s="4">
        <v>1799.5</v>
      </c>
      <c r="BU104" s="4">
        <v>1821</v>
      </c>
      <c r="BV104" s="4">
        <v>1866.5</v>
      </c>
      <c r="BW104" s="4">
        <v>1872.5</v>
      </c>
      <c r="BX104" s="4">
        <v>1887</v>
      </c>
      <c r="BY104" s="4">
        <v>1867.5</v>
      </c>
      <c r="BZ104" s="4">
        <v>1845</v>
      </c>
    </row>
    <row r="105" spans="1:254" ht="15.9" customHeight="1">
      <c r="A105" s="61" t="s">
        <v>205</v>
      </c>
      <c r="B105" s="6" t="s">
        <v>206</v>
      </c>
      <c r="C105" s="15">
        <f>_xll.RssMarket("6925","現在値")</f>
        <v>4093</v>
      </c>
      <c r="D105" s="16">
        <f t="shared" si="3"/>
        <v>0</v>
      </c>
      <c r="E105" s="13">
        <v>4093</v>
      </c>
      <c r="F105" s="13">
        <v>4360</v>
      </c>
      <c r="G105" s="13">
        <v>4013</v>
      </c>
      <c r="H105" s="13">
        <v>3798</v>
      </c>
      <c r="I105" s="13">
        <v>3786</v>
      </c>
      <c r="J105" s="13">
        <v>3604</v>
      </c>
      <c r="K105" s="13">
        <v>3582</v>
      </c>
      <c r="L105" s="13">
        <v>3823</v>
      </c>
      <c r="M105" s="13">
        <v>4142</v>
      </c>
      <c r="N105" s="13">
        <v>4164</v>
      </c>
      <c r="O105" s="13">
        <v>4234</v>
      </c>
      <c r="P105" s="13">
        <v>4104</v>
      </c>
      <c r="Q105" s="13">
        <v>4048</v>
      </c>
      <c r="R105" s="13">
        <v>3824</v>
      </c>
      <c r="S105" s="13">
        <v>4235</v>
      </c>
      <c r="T105" s="13">
        <v>4086</v>
      </c>
      <c r="U105" s="13">
        <v>4195</v>
      </c>
      <c r="V105" s="13">
        <v>4363</v>
      </c>
      <c r="W105" s="13">
        <v>4268</v>
      </c>
      <c r="X105" s="13">
        <v>4151</v>
      </c>
      <c r="Y105" s="13">
        <v>4368</v>
      </c>
      <c r="Z105" s="13">
        <v>4492</v>
      </c>
      <c r="AA105" s="13">
        <v>4700</v>
      </c>
      <c r="AB105" s="13">
        <v>4684</v>
      </c>
      <c r="AC105" s="13">
        <v>4828</v>
      </c>
      <c r="AD105" s="13">
        <v>4488</v>
      </c>
      <c r="AE105" s="13">
        <v>4296</v>
      </c>
      <c r="AF105" s="13">
        <v>4361</v>
      </c>
      <c r="AG105" s="13">
        <v>4508</v>
      </c>
      <c r="AH105" s="13">
        <v>4399</v>
      </c>
      <c r="AI105" s="13">
        <v>4540</v>
      </c>
      <c r="AJ105" s="13">
        <v>4765</v>
      </c>
      <c r="AK105" s="13">
        <v>4631</v>
      </c>
      <c r="AL105" s="13">
        <v>4651</v>
      </c>
      <c r="AM105" s="13">
        <v>4596</v>
      </c>
      <c r="AN105" s="13">
        <v>4302</v>
      </c>
      <c r="AO105" s="13">
        <v>4235</v>
      </c>
      <c r="AP105" s="13">
        <v>4088</v>
      </c>
      <c r="AQ105" s="13">
        <v>3918</v>
      </c>
      <c r="AR105" s="13">
        <v>3978</v>
      </c>
      <c r="AS105" s="13">
        <v>3976</v>
      </c>
      <c r="AT105" s="13">
        <v>4260</v>
      </c>
      <c r="AU105" s="13">
        <v>4310</v>
      </c>
      <c r="AV105" s="13">
        <v>4116</v>
      </c>
      <c r="AW105" s="13">
        <v>4063</v>
      </c>
      <c r="AX105" s="13">
        <v>4156</v>
      </c>
      <c r="AY105" s="13">
        <v>4114</v>
      </c>
      <c r="AZ105" s="13">
        <v>4199</v>
      </c>
      <c r="BA105" s="13">
        <v>4214</v>
      </c>
      <c r="BB105" s="13">
        <v>4081</v>
      </c>
      <c r="BC105" s="13">
        <v>4040</v>
      </c>
      <c r="BD105" s="13">
        <v>3779</v>
      </c>
      <c r="BE105" s="13">
        <v>3928</v>
      </c>
      <c r="BF105" s="13">
        <v>4179</v>
      </c>
      <c r="BG105" s="13">
        <v>4239</v>
      </c>
      <c r="BH105" s="13">
        <v>3539</v>
      </c>
      <c r="BI105" s="13">
        <v>3439</v>
      </c>
      <c r="BJ105" s="13">
        <v>3492</v>
      </c>
      <c r="BK105" s="13">
        <v>3406</v>
      </c>
      <c r="BL105" s="13">
        <v>3366</v>
      </c>
      <c r="BM105" s="4">
        <v>3385</v>
      </c>
      <c r="BN105" s="4">
        <v>3175</v>
      </c>
      <c r="BO105" s="4">
        <v>3160</v>
      </c>
      <c r="BP105" s="4">
        <v>3090</v>
      </c>
      <c r="BQ105" s="4">
        <v>3148</v>
      </c>
      <c r="BR105" s="4">
        <v>3220</v>
      </c>
      <c r="BS105" s="4">
        <v>3142</v>
      </c>
      <c r="BT105" s="4">
        <v>3166</v>
      </c>
      <c r="BU105" s="4">
        <v>3191</v>
      </c>
      <c r="BV105" s="4">
        <v>3207</v>
      </c>
      <c r="BW105" s="4">
        <v>3153</v>
      </c>
      <c r="BX105" s="4">
        <v>3323</v>
      </c>
      <c r="BY105" s="4">
        <v>3291</v>
      </c>
      <c r="BZ105" s="4">
        <v>3285</v>
      </c>
    </row>
    <row r="106" spans="1:254" ht="15.9" customHeight="1">
      <c r="A106" s="61" t="s">
        <v>207</v>
      </c>
      <c r="B106" s="6" t="s">
        <v>208</v>
      </c>
      <c r="C106" s="15">
        <f>_xll.RssMarket("7021","現在値")</f>
        <v>2089</v>
      </c>
      <c r="D106" s="16">
        <f t="shared" si="3"/>
        <v>0</v>
      </c>
      <c r="E106" s="13">
        <v>2089</v>
      </c>
      <c r="F106" s="13">
        <v>2050</v>
      </c>
      <c r="G106" s="13">
        <v>2060</v>
      </c>
      <c r="H106" s="13">
        <v>2030</v>
      </c>
      <c r="I106" s="13">
        <v>2009</v>
      </c>
      <c r="J106" s="13">
        <v>1972</v>
      </c>
      <c r="K106" s="13">
        <v>1994</v>
      </c>
      <c r="L106" s="13">
        <v>1977</v>
      </c>
      <c r="M106" s="13">
        <v>1966</v>
      </c>
      <c r="N106" s="13">
        <v>1941</v>
      </c>
      <c r="O106" s="13">
        <v>1940</v>
      </c>
      <c r="P106" s="13">
        <v>1879</v>
      </c>
      <c r="Q106" s="13">
        <v>1878</v>
      </c>
      <c r="R106" s="13">
        <v>1868</v>
      </c>
      <c r="S106" s="13">
        <v>1846</v>
      </c>
      <c r="T106" s="13">
        <v>1849</v>
      </c>
      <c r="U106" s="13">
        <v>1830</v>
      </c>
      <c r="V106" s="13">
        <v>1857</v>
      </c>
      <c r="W106" s="13">
        <v>1829</v>
      </c>
      <c r="X106" s="13">
        <v>1826</v>
      </c>
      <c r="Y106" s="13">
        <v>1839</v>
      </c>
      <c r="Z106" s="13">
        <v>1819</v>
      </c>
      <c r="AA106" s="13">
        <v>1808</v>
      </c>
      <c r="AB106" s="13">
        <v>1791</v>
      </c>
      <c r="AC106" s="13">
        <v>1799</v>
      </c>
      <c r="AD106" s="13">
        <v>1795</v>
      </c>
      <c r="AE106" s="13">
        <v>1800</v>
      </c>
      <c r="AF106" s="13">
        <v>1775</v>
      </c>
      <c r="AG106" s="13">
        <v>1791</v>
      </c>
      <c r="AH106" s="13">
        <v>1774</v>
      </c>
      <c r="AI106" s="13">
        <v>1800</v>
      </c>
      <c r="AJ106" s="13">
        <v>1760</v>
      </c>
      <c r="AK106" s="13">
        <v>1787</v>
      </c>
      <c r="AL106" s="13">
        <v>1762</v>
      </c>
      <c r="AM106" s="13">
        <v>1800</v>
      </c>
      <c r="AN106" s="13">
        <v>1809</v>
      </c>
      <c r="AO106" s="13">
        <v>1780</v>
      </c>
      <c r="AP106" s="13">
        <v>1805</v>
      </c>
      <c r="AQ106" s="13">
        <v>1769</v>
      </c>
      <c r="AR106" s="13">
        <v>1806</v>
      </c>
      <c r="AS106" s="13">
        <v>1765</v>
      </c>
      <c r="AT106" s="13">
        <v>1810</v>
      </c>
      <c r="AU106" s="13">
        <v>1770</v>
      </c>
      <c r="AV106" s="13">
        <v>1754</v>
      </c>
      <c r="AW106" s="13">
        <v>1800</v>
      </c>
      <c r="AX106" s="13">
        <v>1854</v>
      </c>
      <c r="AY106" s="13">
        <v>1854</v>
      </c>
      <c r="AZ106" s="13">
        <v>1894</v>
      </c>
      <c r="BA106" s="13">
        <v>1815</v>
      </c>
      <c r="BB106" s="13">
        <v>1803</v>
      </c>
      <c r="BC106" s="13">
        <v>1822</v>
      </c>
      <c r="BD106" s="13">
        <v>1848</v>
      </c>
      <c r="BE106" s="13">
        <v>1878</v>
      </c>
      <c r="BF106" s="13">
        <v>1916</v>
      </c>
      <c r="BG106" s="13">
        <v>1998</v>
      </c>
      <c r="BH106" s="13">
        <v>2161</v>
      </c>
      <c r="BI106" s="13">
        <v>2190</v>
      </c>
      <c r="BJ106" s="13">
        <v>2156</v>
      </c>
      <c r="BK106" s="13">
        <v>2146</v>
      </c>
      <c r="BL106" s="13">
        <v>2141</v>
      </c>
      <c r="BM106" s="4">
        <v>2166</v>
      </c>
      <c r="BN106" s="4">
        <v>2138</v>
      </c>
      <c r="BO106" s="4">
        <v>2171</v>
      </c>
      <c r="BP106" s="4">
        <v>2230</v>
      </c>
      <c r="BQ106" s="4">
        <v>2226</v>
      </c>
      <c r="BR106" s="4">
        <v>2258</v>
      </c>
      <c r="BS106" s="4">
        <v>2280</v>
      </c>
      <c r="BT106" s="4">
        <v>2294</v>
      </c>
      <c r="BU106" s="4">
        <v>2312</v>
      </c>
      <c r="BV106" s="4">
        <v>2333</v>
      </c>
      <c r="BW106" s="4">
        <v>2341</v>
      </c>
      <c r="BX106" s="4">
        <v>2334</v>
      </c>
      <c r="BY106" s="4">
        <v>2350</v>
      </c>
      <c r="BZ106" s="4">
        <v>2350</v>
      </c>
    </row>
    <row r="107" spans="1:254" ht="15.9" customHeight="1">
      <c r="A107" s="61" t="s">
        <v>209</v>
      </c>
      <c r="B107" s="6" t="s">
        <v>210</v>
      </c>
      <c r="C107" s="15">
        <f>_xll.RssMarket("7729","現在値")</f>
        <v>17990</v>
      </c>
      <c r="D107" s="16">
        <f t="shared" si="3"/>
        <v>0</v>
      </c>
      <c r="E107" s="13">
        <v>17990</v>
      </c>
      <c r="F107" s="13">
        <v>18755</v>
      </c>
      <c r="G107" s="13">
        <v>18060</v>
      </c>
      <c r="H107" s="13">
        <v>17235</v>
      </c>
      <c r="I107" s="13">
        <v>17160</v>
      </c>
      <c r="J107" s="13">
        <v>15445</v>
      </c>
      <c r="K107" s="13">
        <v>14760</v>
      </c>
      <c r="L107" s="13">
        <v>16120</v>
      </c>
      <c r="M107" s="13">
        <v>17865</v>
      </c>
      <c r="N107" s="13">
        <v>17520</v>
      </c>
      <c r="O107" s="13">
        <v>18445</v>
      </c>
      <c r="P107" s="13">
        <v>18255</v>
      </c>
      <c r="Q107" s="13">
        <v>18185</v>
      </c>
      <c r="R107" s="13">
        <v>17055</v>
      </c>
      <c r="S107" s="13">
        <v>19210</v>
      </c>
      <c r="T107" s="13">
        <v>18325</v>
      </c>
      <c r="U107" s="13">
        <v>18815</v>
      </c>
      <c r="V107" s="13">
        <v>18905</v>
      </c>
      <c r="W107" s="13">
        <v>18105</v>
      </c>
      <c r="X107" s="13">
        <v>17330</v>
      </c>
      <c r="Y107" s="13">
        <v>17740</v>
      </c>
      <c r="Z107" s="13">
        <v>18830</v>
      </c>
      <c r="AA107" s="13">
        <v>19370</v>
      </c>
      <c r="AB107" s="13">
        <v>19110</v>
      </c>
      <c r="AC107" s="13">
        <v>20920</v>
      </c>
      <c r="AD107" s="13">
        <v>20130</v>
      </c>
      <c r="AE107" s="13">
        <v>19275</v>
      </c>
      <c r="AF107" s="13">
        <v>19320</v>
      </c>
      <c r="AG107" s="13">
        <v>20060</v>
      </c>
      <c r="AH107" s="13">
        <v>18730</v>
      </c>
      <c r="AI107" s="13">
        <v>18900</v>
      </c>
      <c r="AJ107" s="13">
        <v>20160</v>
      </c>
      <c r="AK107" s="13">
        <v>20075</v>
      </c>
      <c r="AL107" s="13">
        <v>20145</v>
      </c>
      <c r="AM107" s="13">
        <v>19255</v>
      </c>
      <c r="AN107" s="13">
        <v>19190</v>
      </c>
      <c r="AO107" s="13">
        <v>19760</v>
      </c>
      <c r="AP107" s="13">
        <v>18655</v>
      </c>
      <c r="AQ107" s="13">
        <v>17480</v>
      </c>
      <c r="AR107" s="13">
        <v>16925</v>
      </c>
      <c r="AS107" s="13">
        <v>16640</v>
      </c>
      <c r="AT107" s="13">
        <v>17910</v>
      </c>
      <c r="AU107" s="13">
        <v>18325</v>
      </c>
      <c r="AV107" s="13">
        <v>17715</v>
      </c>
      <c r="AW107" s="13">
        <v>16910</v>
      </c>
      <c r="AX107" s="13">
        <v>17385</v>
      </c>
      <c r="AY107" s="13">
        <v>17570</v>
      </c>
      <c r="AZ107" s="13">
        <v>17705</v>
      </c>
      <c r="BA107" s="13">
        <v>18350</v>
      </c>
      <c r="BB107" s="13">
        <v>16915</v>
      </c>
      <c r="BC107" s="13">
        <v>16395</v>
      </c>
      <c r="BD107" s="13">
        <v>15630</v>
      </c>
      <c r="BE107" s="13">
        <v>15915</v>
      </c>
      <c r="BF107" s="13">
        <v>16395</v>
      </c>
      <c r="BG107" s="13">
        <v>16515</v>
      </c>
      <c r="BH107" s="13">
        <v>17765</v>
      </c>
      <c r="BI107" s="13">
        <v>18690</v>
      </c>
      <c r="BJ107" s="13">
        <v>18985</v>
      </c>
      <c r="BK107" s="13">
        <v>18860</v>
      </c>
      <c r="BL107" s="13">
        <v>18765</v>
      </c>
      <c r="BM107" s="4">
        <v>18305</v>
      </c>
      <c r="BN107" s="4">
        <v>17355</v>
      </c>
      <c r="BO107" s="4">
        <v>17130</v>
      </c>
      <c r="BP107" s="4">
        <v>17355</v>
      </c>
      <c r="BQ107" s="4">
        <v>17350</v>
      </c>
      <c r="BR107" s="4">
        <v>17430</v>
      </c>
      <c r="BS107" s="4">
        <v>16900</v>
      </c>
      <c r="BT107" s="4">
        <v>16650</v>
      </c>
      <c r="BU107" s="4">
        <v>16720</v>
      </c>
      <c r="BV107" s="4">
        <v>16250</v>
      </c>
      <c r="BW107" s="4">
        <v>16420</v>
      </c>
      <c r="BX107" s="4">
        <v>16945</v>
      </c>
      <c r="BY107" s="4">
        <v>16545</v>
      </c>
      <c r="BZ107" s="4">
        <v>16035</v>
      </c>
    </row>
    <row r="108" spans="1:254" ht="15.9" customHeight="1">
      <c r="A108" s="61" t="s">
        <v>211</v>
      </c>
      <c r="B108" s="6" t="s">
        <v>212</v>
      </c>
      <c r="C108" s="15">
        <f>_xll.RssMarket("8424","現在値")</f>
        <v>4413</v>
      </c>
      <c r="D108" s="16">
        <f t="shared" si="3"/>
        <v>0</v>
      </c>
      <c r="E108" s="13">
        <v>4413</v>
      </c>
      <c r="F108" s="13">
        <v>4365</v>
      </c>
      <c r="G108" s="13">
        <v>4375</v>
      </c>
      <c r="H108" s="13">
        <v>4464</v>
      </c>
      <c r="I108" s="13">
        <v>4543</v>
      </c>
      <c r="J108" s="13">
        <v>4517</v>
      </c>
      <c r="K108" s="13">
        <v>4591</v>
      </c>
      <c r="L108" s="13">
        <v>4482</v>
      </c>
      <c r="M108" s="13">
        <v>4520</v>
      </c>
      <c r="N108" s="13">
        <v>4432</v>
      </c>
      <c r="O108" s="13">
        <v>4422</v>
      </c>
      <c r="P108" s="13">
        <v>4432</v>
      </c>
      <c r="Q108" s="13">
        <v>4425</v>
      </c>
      <c r="R108" s="13">
        <v>4345</v>
      </c>
      <c r="S108" s="13">
        <v>4361</v>
      </c>
      <c r="T108" s="13">
        <v>4333</v>
      </c>
      <c r="U108" s="13">
        <v>4271</v>
      </c>
      <c r="V108" s="13">
        <v>4267</v>
      </c>
      <c r="W108" s="13">
        <v>4272</v>
      </c>
      <c r="X108" s="13">
        <v>4260</v>
      </c>
      <c r="Y108" s="13">
        <v>4279</v>
      </c>
      <c r="Z108" s="13">
        <v>4241</v>
      </c>
      <c r="AA108" s="13">
        <v>4189</v>
      </c>
      <c r="AB108" s="13">
        <v>4181</v>
      </c>
      <c r="AC108" s="13">
        <v>4163</v>
      </c>
      <c r="AD108" s="13">
        <v>4220</v>
      </c>
      <c r="AE108" s="13">
        <v>4226</v>
      </c>
      <c r="AF108" s="13">
        <v>4235</v>
      </c>
      <c r="AG108" s="13">
        <v>4194</v>
      </c>
      <c r="AH108" s="13">
        <v>4180</v>
      </c>
      <c r="AI108" s="13">
        <v>4176</v>
      </c>
      <c r="AJ108" s="13">
        <v>4216</v>
      </c>
      <c r="AK108" s="13">
        <v>4256</v>
      </c>
      <c r="AL108" s="13">
        <v>4240</v>
      </c>
      <c r="AM108" s="13">
        <v>4236</v>
      </c>
      <c r="AN108" s="13">
        <v>4281</v>
      </c>
      <c r="AO108" s="13">
        <v>4311</v>
      </c>
      <c r="AP108" s="13">
        <v>4284</v>
      </c>
      <c r="AQ108" s="13">
        <v>4272</v>
      </c>
      <c r="AR108" s="13">
        <v>4314</v>
      </c>
      <c r="AS108" s="13">
        <v>4192</v>
      </c>
      <c r="AT108" s="13">
        <v>4137</v>
      </c>
      <c r="AU108" s="13">
        <v>4070</v>
      </c>
      <c r="AV108" s="13">
        <v>4089</v>
      </c>
      <c r="AW108" s="13">
        <v>4081</v>
      </c>
      <c r="AX108" s="13">
        <v>4194</v>
      </c>
      <c r="AY108" s="13">
        <v>4182</v>
      </c>
      <c r="AZ108" s="13">
        <v>4184</v>
      </c>
      <c r="BA108" s="13">
        <v>4234</v>
      </c>
      <c r="BB108" s="13">
        <v>4287</v>
      </c>
      <c r="BC108" s="13">
        <v>4375</v>
      </c>
      <c r="BD108" s="13">
        <v>4333</v>
      </c>
      <c r="BE108" s="13">
        <v>4387</v>
      </c>
      <c r="BF108" s="13">
        <v>4315</v>
      </c>
      <c r="BG108" s="13">
        <v>4378</v>
      </c>
      <c r="BH108" s="13">
        <v>4394</v>
      </c>
      <c r="BI108" s="13">
        <v>4348</v>
      </c>
      <c r="BJ108" s="13">
        <v>4403</v>
      </c>
      <c r="BK108" s="13">
        <v>4293</v>
      </c>
      <c r="BL108" s="13">
        <v>4272</v>
      </c>
      <c r="BM108" s="4">
        <v>4328</v>
      </c>
      <c r="BN108" s="4">
        <v>4295</v>
      </c>
      <c r="BO108" s="4">
        <v>4334</v>
      </c>
      <c r="BP108" s="4">
        <v>4350</v>
      </c>
      <c r="BQ108" s="4">
        <v>4263</v>
      </c>
      <c r="BR108" s="4">
        <v>4279</v>
      </c>
      <c r="BS108" s="4">
        <v>4268</v>
      </c>
      <c r="BT108" s="4">
        <v>4265</v>
      </c>
      <c r="BU108" s="4">
        <v>4261</v>
      </c>
      <c r="BV108" s="4">
        <v>4307</v>
      </c>
      <c r="BW108" s="4">
        <v>4336</v>
      </c>
      <c r="BX108" s="4">
        <v>4330</v>
      </c>
      <c r="BY108" s="4">
        <v>4333</v>
      </c>
      <c r="BZ108" s="4">
        <v>4310</v>
      </c>
    </row>
    <row r="109" spans="1:254" ht="15.9" customHeight="1">
      <c r="A109" s="61" t="s">
        <v>213</v>
      </c>
      <c r="B109" s="6" t="s">
        <v>214</v>
      </c>
      <c r="C109" s="15">
        <f>_xll.RssMarket("9020","現在値")</f>
        <v>3428</v>
      </c>
      <c r="D109" s="16">
        <f t="shared" si="3"/>
        <v>0</v>
      </c>
      <c r="E109" s="13">
        <v>3428</v>
      </c>
      <c r="F109" s="13">
        <v>3369</v>
      </c>
      <c r="G109" s="13">
        <v>3408</v>
      </c>
      <c r="H109" s="13">
        <v>3422</v>
      </c>
      <c r="I109" s="13">
        <v>3676</v>
      </c>
      <c r="J109" s="13">
        <v>3820</v>
      </c>
      <c r="K109" s="13">
        <v>3935</v>
      </c>
      <c r="L109" s="13">
        <v>3829</v>
      </c>
      <c r="M109" s="13">
        <v>3756</v>
      </c>
      <c r="N109" s="13">
        <v>3632</v>
      </c>
      <c r="O109" s="13">
        <v>3566</v>
      </c>
      <c r="P109" s="13">
        <v>3617</v>
      </c>
      <c r="Q109" s="13">
        <v>3650</v>
      </c>
      <c r="R109" s="13">
        <v>3624</v>
      </c>
      <c r="S109" s="13">
        <v>3580</v>
      </c>
      <c r="T109" s="13">
        <v>3564</v>
      </c>
      <c r="U109" s="13">
        <v>3531</v>
      </c>
      <c r="V109" s="13">
        <v>3478</v>
      </c>
      <c r="W109" s="13">
        <v>3517</v>
      </c>
      <c r="X109" s="13">
        <v>3541</v>
      </c>
      <c r="Y109" s="13">
        <v>3554</v>
      </c>
      <c r="Z109" s="13">
        <v>3502</v>
      </c>
      <c r="AA109" s="13">
        <v>3459</v>
      </c>
      <c r="AB109" s="13">
        <v>3410</v>
      </c>
      <c r="AC109" s="13">
        <v>3295</v>
      </c>
      <c r="AD109" s="13">
        <v>3408</v>
      </c>
      <c r="AE109" s="13">
        <v>3452</v>
      </c>
      <c r="AF109" s="13">
        <v>3386</v>
      </c>
      <c r="AG109" s="13">
        <v>3343</v>
      </c>
      <c r="AH109" s="13">
        <v>3363</v>
      </c>
      <c r="AI109" s="13">
        <v>3351</v>
      </c>
      <c r="AJ109" s="13">
        <v>3324</v>
      </c>
      <c r="AK109" s="13">
        <v>3415</v>
      </c>
      <c r="AL109" s="13">
        <v>3393</v>
      </c>
      <c r="AM109" s="13">
        <v>3345</v>
      </c>
      <c r="AN109" s="13">
        <v>3398</v>
      </c>
      <c r="AO109" s="13">
        <v>3377</v>
      </c>
      <c r="AP109" s="13">
        <v>3404</v>
      </c>
      <c r="AQ109" s="13">
        <v>3460</v>
      </c>
      <c r="AR109" s="13">
        <v>3460</v>
      </c>
      <c r="AS109" s="13">
        <v>3380</v>
      </c>
      <c r="AT109" s="13">
        <v>3366</v>
      </c>
      <c r="AU109" s="13">
        <v>3280</v>
      </c>
      <c r="AV109" s="13">
        <v>3313</v>
      </c>
      <c r="AW109" s="13">
        <v>3345</v>
      </c>
      <c r="AX109" s="13">
        <v>3412</v>
      </c>
      <c r="AY109" s="13">
        <v>3444</v>
      </c>
      <c r="AZ109" s="13">
        <v>3528</v>
      </c>
      <c r="BA109" s="13">
        <v>3570</v>
      </c>
      <c r="BB109" s="13">
        <v>3606</v>
      </c>
      <c r="BC109" s="13">
        <v>3692</v>
      </c>
      <c r="BD109" s="13">
        <v>3775</v>
      </c>
      <c r="BE109" s="13">
        <v>3788</v>
      </c>
      <c r="BF109" s="13">
        <v>3682</v>
      </c>
      <c r="BG109" s="13">
        <v>3766</v>
      </c>
      <c r="BH109" s="13">
        <v>3680</v>
      </c>
      <c r="BI109" s="13">
        <v>3764</v>
      </c>
      <c r="BJ109" s="13">
        <v>3693</v>
      </c>
      <c r="BK109" s="13">
        <v>3639</v>
      </c>
      <c r="BL109" s="13">
        <v>3645</v>
      </c>
      <c r="BM109" s="4">
        <v>3610</v>
      </c>
      <c r="BN109" s="4">
        <v>3700</v>
      </c>
      <c r="BO109" s="4">
        <v>3388</v>
      </c>
      <c r="BP109" s="4">
        <v>3451</v>
      </c>
      <c r="BQ109" s="4">
        <v>3427</v>
      </c>
      <c r="BR109" s="4">
        <v>3461</v>
      </c>
      <c r="BS109" s="4">
        <v>3501</v>
      </c>
      <c r="BT109" s="4">
        <v>3522</v>
      </c>
      <c r="BU109" s="4">
        <v>3544</v>
      </c>
      <c r="BV109" s="4">
        <v>3517</v>
      </c>
      <c r="BW109" s="4">
        <v>3478</v>
      </c>
      <c r="BX109" s="4">
        <v>3525</v>
      </c>
      <c r="BY109" s="4">
        <v>3582</v>
      </c>
      <c r="BZ109" s="4">
        <v>3514</v>
      </c>
    </row>
    <row r="110" spans="1:254" ht="15.9" customHeight="1">
      <c r="A110" s="61" t="s">
        <v>215</v>
      </c>
      <c r="B110" s="6" t="s">
        <v>216</v>
      </c>
      <c r="C110" s="15">
        <f>_xll.RssMarket("9069","現在値")</f>
        <v>2215.5</v>
      </c>
      <c r="D110" s="16">
        <f t="shared" si="3"/>
        <v>0</v>
      </c>
      <c r="E110" s="13">
        <v>2215.5</v>
      </c>
      <c r="F110" s="13">
        <v>2196</v>
      </c>
      <c r="G110" s="13">
        <v>2195</v>
      </c>
      <c r="H110" s="13">
        <v>2219.5</v>
      </c>
      <c r="I110" s="13">
        <v>2205.5</v>
      </c>
      <c r="J110" s="13">
        <v>2237</v>
      </c>
      <c r="K110" s="13">
        <v>2261.5</v>
      </c>
      <c r="L110" s="13">
        <v>2196</v>
      </c>
      <c r="M110" s="13">
        <v>2205.5</v>
      </c>
      <c r="N110" s="13">
        <v>2187.5</v>
      </c>
      <c r="O110" s="13">
        <v>2186.5</v>
      </c>
      <c r="P110" s="13">
        <v>2200.5</v>
      </c>
      <c r="Q110" s="13">
        <v>2225.5</v>
      </c>
      <c r="R110" s="13">
        <v>2195</v>
      </c>
      <c r="S110" s="13">
        <v>2132</v>
      </c>
      <c r="T110" s="13">
        <v>2114</v>
      </c>
      <c r="U110" s="13">
        <v>2103.5</v>
      </c>
      <c r="V110" s="13">
        <v>2052</v>
      </c>
      <c r="W110" s="13">
        <v>2042</v>
      </c>
      <c r="X110" s="13">
        <v>2018</v>
      </c>
      <c r="Y110" s="13">
        <v>2015</v>
      </c>
      <c r="Z110" s="13">
        <v>1994</v>
      </c>
      <c r="AA110" s="13">
        <v>1974</v>
      </c>
      <c r="AB110" s="13">
        <v>1906.5</v>
      </c>
      <c r="AC110" s="13">
        <v>1900</v>
      </c>
      <c r="AD110" s="13">
        <v>1958</v>
      </c>
      <c r="AE110" s="13">
        <v>1935</v>
      </c>
      <c r="AF110" s="13">
        <v>1921.5</v>
      </c>
      <c r="AG110" s="13">
        <v>1900</v>
      </c>
      <c r="AH110" s="13">
        <v>1891</v>
      </c>
      <c r="AI110" s="13">
        <v>1899.5</v>
      </c>
      <c r="AJ110" s="13">
        <v>1901</v>
      </c>
      <c r="AK110" s="13">
        <v>1883.5</v>
      </c>
      <c r="AL110" s="13">
        <v>1898</v>
      </c>
      <c r="AM110" s="13">
        <v>1907.5</v>
      </c>
      <c r="AN110" s="13">
        <v>1932.5</v>
      </c>
      <c r="AO110" s="13">
        <v>1964</v>
      </c>
      <c r="AP110" s="13">
        <v>1922.5</v>
      </c>
      <c r="AQ110" s="13">
        <v>1945</v>
      </c>
      <c r="AR110" s="13">
        <v>1954</v>
      </c>
      <c r="AS110" s="13">
        <v>1952.5</v>
      </c>
      <c r="AT110" s="13">
        <v>1907.5</v>
      </c>
      <c r="AU110" s="13">
        <v>1902.5</v>
      </c>
      <c r="AV110" s="13">
        <v>1917</v>
      </c>
      <c r="AW110" s="13">
        <v>1893.5</v>
      </c>
      <c r="AX110" s="13">
        <v>1906.5</v>
      </c>
      <c r="AY110" s="13">
        <v>1919.5</v>
      </c>
      <c r="AZ110" s="13">
        <v>1918</v>
      </c>
      <c r="BA110" s="13">
        <v>1935</v>
      </c>
      <c r="BB110" s="13">
        <v>1966.5</v>
      </c>
      <c r="BC110" s="13">
        <v>2032</v>
      </c>
      <c r="BD110" s="13">
        <v>2012</v>
      </c>
      <c r="BE110" s="13">
        <v>2027</v>
      </c>
      <c r="BF110" s="13">
        <v>2005</v>
      </c>
      <c r="BG110" s="13">
        <v>2031.5</v>
      </c>
      <c r="BH110" s="13">
        <v>2006</v>
      </c>
      <c r="BI110" s="13">
        <v>1849.5</v>
      </c>
      <c r="BJ110" s="13">
        <v>1828.5</v>
      </c>
      <c r="BK110" s="13">
        <v>1858</v>
      </c>
      <c r="BL110" s="13">
        <v>1869</v>
      </c>
      <c r="BM110" s="4">
        <v>1864.5</v>
      </c>
      <c r="BN110" s="4">
        <v>1828</v>
      </c>
      <c r="BO110" s="4">
        <v>1845.5</v>
      </c>
      <c r="BP110" s="4">
        <v>1868</v>
      </c>
      <c r="BQ110" s="4">
        <v>1827.5</v>
      </c>
      <c r="BR110" s="4">
        <v>1854.5</v>
      </c>
      <c r="BS110" s="4">
        <v>1875</v>
      </c>
      <c r="BT110" s="4">
        <v>1899</v>
      </c>
      <c r="BU110" s="4">
        <v>1915</v>
      </c>
      <c r="BV110" s="4">
        <v>1906.5</v>
      </c>
      <c r="BW110" s="4">
        <v>1886</v>
      </c>
      <c r="BX110" s="4">
        <v>1901</v>
      </c>
      <c r="BY110" s="4">
        <v>1887</v>
      </c>
      <c r="BZ110" s="4">
        <v>1877.5</v>
      </c>
    </row>
    <row r="111" spans="1:254" ht="15.9" customHeight="1">
      <c r="A111" s="61" t="s">
        <v>217</v>
      </c>
      <c r="B111" s="6" t="s">
        <v>218</v>
      </c>
      <c r="C111" s="15">
        <f>_xll.RssMarket("9227","現在値")</f>
        <v>899</v>
      </c>
      <c r="D111" s="16">
        <f t="shared" si="3"/>
        <v>0</v>
      </c>
      <c r="E111" s="13">
        <v>899</v>
      </c>
      <c r="F111" s="13">
        <v>893</v>
      </c>
      <c r="G111" s="13">
        <v>880</v>
      </c>
      <c r="H111" s="13">
        <v>850</v>
      </c>
      <c r="I111" s="13">
        <v>857</v>
      </c>
      <c r="J111" s="13">
        <v>887</v>
      </c>
      <c r="K111" s="13">
        <v>922</v>
      </c>
      <c r="L111" s="13">
        <v>817</v>
      </c>
      <c r="M111" s="13">
        <v>823</v>
      </c>
      <c r="N111" s="13"/>
      <c r="O111" s="13">
        <v>808</v>
      </c>
      <c r="P111" s="13">
        <v>811</v>
      </c>
      <c r="Q111" s="13">
        <v>811</v>
      </c>
      <c r="R111" s="13">
        <v>769</v>
      </c>
      <c r="S111" s="13">
        <v>844</v>
      </c>
      <c r="T111" s="13">
        <v>838</v>
      </c>
      <c r="U111" s="13">
        <v>835</v>
      </c>
      <c r="V111" s="13">
        <v>875</v>
      </c>
      <c r="W111" s="13">
        <v>862</v>
      </c>
      <c r="X111" s="13">
        <v>904</v>
      </c>
      <c r="Y111" s="13">
        <v>966</v>
      </c>
      <c r="Z111" s="13">
        <v>953</v>
      </c>
      <c r="AA111" s="13">
        <v>938</v>
      </c>
      <c r="AB111" s="13">
        <v>947</v>
      </c>
      <c r="AC111" s="13">
        <v>940</v>
      </c>
      <c r="AD111" s="13">
        <v>907</v>
      </c>
      <c r="AE111" s="13">
        <v>876</v>
      </c>
      <c r="AF111" s="13">
        <v>876</v>
      </c>
      <c r="AG111" s="13">
        <v>897</v>
      </c>
      <c r="AH111" s="13">
        <v>896</v>
      </c>
      <c r="AI111" s="13">
        <v>892</v>
      </c>
      <c r="AJ111" s="13">
        <v>946</v>
      </c>
      <c r="AK111" s="13">
        <v>887</v>
      </c>
      <c r="AL111" s="13">
        <v>887</v>
      </c>
      <c r="AM111" s="13">
        <v>881</v>
      </c>
      <c r="AN111" s="13">
        <v>865</v>
      </c>
      <c r="AO111" s="13">
        <v>882</v>
      </c>
      <c r="AP111" s="13">
        <v>865</v>
      </c>
      <c r="AQ111" s="13">
        <v>864</v>
      </c>
      <c r="AR111" s="13">
        <v>865</v>
      </c>
      <c r="AS111" s="13">
        <v>915</v>
      </c>
      <c r="AT111" s="13">
        <v>930</v>
      </c>
      <c r="AU111" s="13">
        <v>887</v>
      </c>
      <c r="AV111" s="13">
        <v>904</v>
      </c>
      <c r="AW111" s="13">
        <v>912</v>
      </c>
      <c r="AX111" s="13">
        <v>1031</v>
      </c>
      <c r="AY111" s="13">
        <v>1120</v>
      </c>
      <c r="AZ111" s="13">
        <v>1209</v>
      </c>
      <c r="BA111" s="13">
        <v>1093</v>
      </c>
      <c r="BB111" s="13">
        <v>943</v>
      </c>
      <c r="BC111" s="13">
        <v>793</v>
      </c>
      <c r="BD111" s="13">
        <v>770</v>
      </c>
      <c r="BE111" s="13">
        <v>799</v>
      </c>
      <c r="BF111" s="13">
        <v>813</v>
      </c>
      <c r="BG111" s="13">
        <v>822</v>
      </c>
      <c r="BH111" s="13">
        <v>806</v>
      </c>
      <c r="BI111" s="13">
        <v>854</v>
      </c>
      <c r="BJ111" s="13">
        <v>962</v>
      </c>
      <c r="BK111" s="13">
        <v>980</v>
      </c>
      <c r="BL111" s="13">
        <v>1015</v>
      </c>
      <c r="BM111" s="4">
        <v>1006</v>
      </c>
      <c r="BN111" s="4">
        <v>1027</v>
      </c>
      <c r="BO111" s="4">
        <v>1024</v>
      </c>
      <c r="BP111" s="4">
        <v>1040</v>
      </c>
      <c r="BQ111" s="4">
        <v>1034</v>
      </c>
      <c r="BR111" s="4">
        <v>1063</v>
      </c>
      <c r="BS111" s="4">
        <v>1095</v>
      </c>
      <c r="BT111" s="4">
        <v>1133</v>
      </c>
      <c r="BU111" s="4">
        <v>1181</v>
      </c>
      <c r="BV111" s="4">
        <v>1196</v>
      </c>
      <c r="BW111" s="4">
        <v>1061</v>
      </c>
      <c r="BX111" s="4">
        <v>1043</v>
      </c>
      <c r="BY111" s="4">
        <v>1017</v>
      </c>
      <c r="BZ111" s="4">
        <v>1002</v>
      </c>
    </row>
    <row r="112" spans="1:254" ht="15.9" customHeight="1">
      <c r="A112" s="61" t="s">
        <v>219</v>
      </c>
      <c r="B112" s="6" t="s">
        <v>220</v>
      </c>
      <c r="C112" s="15">
        <f>_xll.RssMarket("9348","現在値")</f>
        <v>417</v>
      </c>
      <c r="D112" s="16">
        <f t="shared" si="3"/>
        <v>0</v>
      </c>
      <c r="E112" s="13">
        <v>417</v>
      </c>
      <c r="F112" s="13">
        <v>422</v>
      </c>
      <c r="G112" s="13">
        <v>413</v>
      </c>
      <c r="H112" s="13">
        <v>403</v>
      </c>
      <c r="I112" s="13">
        <v>405</v>
      </c>
      <c r="J112" s="13">
        <v>406</v>
      </c>
      <c r="K112" s="13">
        <v>400</v>
      </c>
      <c r="L112" s="13">
        <v>408</v>
      </c>
      <c r="M112" s="13">
        <v>419</v>
      </c>
      <c r="N112" s="13"/>
      <c r="O112" s="13">
        <v>416</v>
      </c>
      <c r="P112" s="13">
        <v>415</v>
      </c>
      <c r="Q112" s="13">
        <v>413</v>
      </c>
      <c r="R112" s="13">
        <v>411</v>
      </c>
      <c r="S112" s="13">
        <v>449</v>
      </c>
      <c r="T112" s="13">
        <v>440</v>
      </c>
      <c r="U112" s="13">
        <v>442</v>
      </c>
      <c r="V112" s="13">
        <v>445</v>
      </c>
      <c r="W112" s="13">
        <v>508</v>
      </c>
      <c r="X112" s="13">
        <v>428</v>
      </c>
      <c r="Y112" s="13">
        <v>441</v>
      </c>
      <c r="Z112" s="13">
        <v>448</v>
      </c>
      <c r="AA112" s="13">
        <v>450</v>
      </c>
      <c r="AB112" s="13">
        <v>441</v>
      </c>
      <c r="AC112" s="13">
        <v>440</v>
      </c>
      <c r="AD112" s="13">
        <v>449</v>
      </c>
      <c r="AE112" s="13">
        <v>439</v>
      </c>
      <c r="AF112" s="13">
        <v>430</v>
      </c>
      <c r="AG112" s="13">
        <v>443</v>
      </c>
      <c r="AH112" s="13">
        <v>441</v>
      </c>
      <c r="AI112" s="13">
        <v>435</v>
      </c>
      <c r="AJ112" s="13">
        <v>455</v>
      </c>
      <c r="AK112" s="13">
        <v>434</v>
      </c>
      <c r="AL112" s="13">
        <v>468</v>
      </c>
      <c r="AM112" s="13">
        <v>473</v>
      </c>
      <c r="AN112" s="13">
        <v>468</v>
      </c>
      <c r="AO112" s="13">
        <v>503</v>
      </c>
      <c r="AP112" s="13">
        <v>551</v>
      </c>
      <c r="AQ112" s="13">
        <v>576</v>
      </c>
      <c r="AR112" s="13">
        <v>577</v>
      </c>
      <c r="AS112" s="13">
        <v>598</v>
      </c>
      <c r="AT112" s="13">
        <v>615</v>
      </c>
      <c r="AU112" s="13">
        <v>555</v>
      </c>
      <c r="AV112" s="13">
        <v>587</v>
      </c>
      <c r="AW112" s="13">
        <v>583</v>
      </c>
      <c r="AX112" s="13">
        <v>671</v>
      </c>
      <c r="AY112" s="13">
        <v>699</v>
      </c>
      <c r="AZ112" s="13">
        <v>600</v>
      </c>
      <c r="BA112" s="13">
        <v>580</v>
      </c>
      <c r="BB112" s="13">
        <v>568</v>
      </c>
      <c r="BC112" s="13">
        <v>507</v>
      </c>
      <c r="BD112" s="13">
        <v>494</v>
      </c>
      <c r="BE112" s="13">
        <v>534</v>
      </c>
      <c r="BF112" s="13">
        <v>496</v>
      </c>
      <c r="BG112" s="13">
        <v>506</v>
      </c>
      <c r="BH112" s="13">
        <v>499</v>
      </c>
      <c r="BI112" s="13">
        <v>498</v>
      </c>
      <c r="BJ112" s="13">
        <v>497</v>
      </c>
      <c r="BK112" s="13">
        <v>510</v>
      </c>
      <c r="BL112" s="13">
        <v>503</v>
      </c>
      <c r="BM112" s="4">
        <v>484</v>
      </c>
      <c r="BN112" s="4">
        <v>470</v>
      </c>
      <c r="BO112" s="4">
        <v>468</v>
      </c>
      <c r="BP112" s="4">
        <v>476</v>
      </c>
      <c r="BQ112" s="4">
        <v>466</v>
      </c>
      <c r="BR112" s="4">
        <v>476</v>
      </c>
      <c r="BS112" s="4">
        <v>482</v>
      </c>
      <c r="BT112" s="4">
        <v>492</v>
      </c>
      <c r="BU112" s="4">
        <v>488</v>
      </c>
      <c r="BV112" s="4">
        <v>496</v>
      </c>
      <c r="BW112" s="4">
        <v>496</v>
      </c>
      <c r="BX112" s="4">
        <v>489</v>
      </c>
      <c r="BY112" s="4">
        <v>512</v>
      </c>
      <c r="BZ112" s="4">
        <v>510</v>
      </c>
    </row>
    <row r="113" spans="1:254" ht="15.9" customHeight="1">
      <c r="A113" s="61" t="s">
        <v>221</v>
      </c>
      <c r="B113" s="6" t="s">
        <v>222</v>
      </c>
      <c r="C113" s="15">
        <f>_xll.RssMarket("9449","現在値")</f>
        <v>4196</v>
      </c>
      <c r="D113" s="16">
        <f t="shared" si="3"/>
        <v>0</v>
      </c>
      <c r="E113" s="13">
        <v>4196</v>
      </c>
      <c r="F113" s="13">
        <v>4184</v>
      </c>
      <c r="G113" s="13">
        <v>4148</v>
      </c>
      <c r="H113" s="13">
        <v>4151</v>
      </c>
      <c r="I113" s="13">
        <v>4254</v>
      </c>
      <c r="J113" s="13">
        <v>4212</v>
      </c>
      <c r="K113" s="13">
        <v>4258</v>
      </c>
      <c r="L113" s="13">
        <v>4100</v>
      </c>
      <c r="M113" s="13">
        <v>4120</v>
      </c>
      <c r="N113" s="13">
        <v>3916</v>
      </c>
      <c r="O113" s="13">
        <v>3963</v>
      </c>
      <c r="P113" s="13">
        <v>3950</v>
      </c>
      <c r="Q113" s="13">
        <v>4058</v>
      </c>
      <c r="R113" s="13">
        <v>4056</v>
      </c>
      <c r="S113" s="13">
        <v>4038</v>
      </c>
      <c r="T113" s="13">
        <v>3992</v>
      </c>
      <c r="U113" s="13">
        <v>3912</v>
      </c>
      <c r="V113" s="13">
        <v>3908</v>
      </c>
      <c r="W113" s="13">
        <v>3807</v>
      </c>
      <c r="X113" s="13">
        <v>3838</v>
      </c>
      <c r="Y113" s="13">
        <v>3675</v>
      </c>
      <c r="Z113" s="13">
        <v>3646</v>
      </c>
      <c r="AA113" s="13">
        <v>3609</v>
      </c>
      <c r="AB113" s="13">
        <v>3534</v>
      </c>
      <c r="AC113" s="13">
        <v>3370</v>
      </c>
      <c r="AD113" s="13">
        <v>3342</v>
      </c>
      <c r="AE113" s="13">
        <v>3388</v>
      </c>
      <c r="AF113" s="13">
        <v>3283</v>
      </c>
      <c r="AG113" s="13">
        <v>3227</v>
      </c>
      <c r="AH113" s="13">
        <v>3275</v>
      </c>
      <c r="AI113" s="13">
        <v>3242</v>
      </c>
      <c r="AJ113" s="13">
        <v>3542</v>
      </c>
      <c r="AK113" s="13">
        <v>3000</v>
      </c>
      <c r="AL113" s="13">
        <v>3124</v>
      </c>
      <c r="AM113" s="13">
        <v>3098</v>
      </c>
      <c r="AN113" s="13">
        <v>3083</v>
      </c>
      <c r="AO113" s="13">
        <v>3101</v>
      </c>
      <c r="AP113" s="13">
        <v>3083</v>
      </c>
      <c r="AQ113" s="13">
        <v>3146</v>
      </c>
      <c r="AR113" s="13">
        <v>3171</v>
      </c>
      <c r="AS113" s="13">
        <v>3162</v>
      </c>
      <c r="AT113" s="13">
        <v>3230</v>
      </c>
      <c r="AU113" s="13">
        <v>3245</v>
      </c>
      <c r="AV113" s="13">
        <v>3307</v>
      </c>
      <c r="AW113" s="13">
        <v>3327</v>
      </c>
      <c r="AX113" s="13">
        <v>3285</v>
      </c>
      <c r="AY113" s="13">
        <v>3283</v>
      </c>
      <c r="AZ113" s="13">
        <v>3330</v>
      </c>
      <c r="BA113" s="13">
        <v>3438</v>
      </c>
      <c r="BB113" s="13">
        <v>3396</v>
      </c>
      <c r="BC113" s="13">
        <v>3317</v>
      </c>
      <c r="BD113" s="13">
        <v>3307</v>
      </c>
      <c r="BE113" s="13">
        <v>3348</v>
      </c>
      <c r="BF113" s="13">
        <v>3310</v>
      </c>
      <c r="BG113" s="13">
        <v>3079</v>
      </c>
      <c r="BH113" s="13">
        <v>3091</v>
      </c>
      <c r="BI113" s="13">
        <v>3172</v>
      </c>
      <c r="BJ113" s="13">
        <v>3114</v>
      </c>
      <c r="BK113" s="13">
        <v>3161</v>
      </c>
      <c r="BL113" s="13">
        <v>3183</v>
      </c>
      <c r="BM113" s="4">
        <v>3054</v>
      </c>
      <c r="BN113" s="4">
        <v>3045</v>
      </c>
      <c r="BO113" s="4">
        <v>3080</v>
      </c>
      <c r="BP113" s="4">
        <v>3108</v>
      </c>
      <c r="BQ113" s="4">
        <v>3092</v>
      </c>
      <c r="BR113" s="4">
        <v>3153</v>
      </c>
      <c r="BS113" s="4">
        <v>3168</v>
      </c>
      <c r="BT113" s="4">
        <v>3261</v>
      </c>
      <c r="BU113" s="4">
        <v>3309</v>
      </c>
      <c r="BV113" s="4">
        <v>3236</v>
      </c>
      <c r="BW113" s="4">
        <v>3276</v>
      </c>
      <c r="BX113" s="4">
        <v>3258</v>
      </c>
      <c r="BY113" s="4">
        <v>3083</v>
      </c>
      <c r="BZ113" s="4">
        <v>3026</v>
      </c>
    </row>
    <row r="114" spans="1:254" ht="15.9" customHeight="1">
      <c r="A114" s="61" t="s">
        <v>223</v>
      </c>
      <c r="B114" s="6" t="s">
        <v>224</v>
      </c>
      <c r="C114" s="15">
        <f>_xll.RssMarket("9501","現在値")</f>
        <v>537</v>
      </c>
      <c r="D114" s="16">
        <f t="shared" si="3"/>
        <v>0</v>
      </c>
      <c r="E114" s="13">
        <v>537</v>
      </c>
      <c r="F114" s="13">
        <v>526</v>
      </c>
      <c r="G114" s="13">
        <v>522.79999999999995</v>
      </c>
      <c r="H114" s="13">
        <v>526.1</v>
      </c>
      <c r="I114" s="13">
        <v>520</v>
      </c>
      <c r="J114" s="13">
        <v>524</v>
      </c>
      <c r="K114" s="13">
        <v>533.70000000000005</v>
      </c>
      <c r="L114" s="13">
        <v>523.6</v>
      </c>
      <c r="M114" s="13">
        <v>537</v>
      </c>
      <c r="N114" s="13">
        <v>516.70000000000005</v>
      </c>
      <c r="O114" s="13">
        <v>516.6</v>
      </c>
      <c r="P114" s="13">
        <v>505.3</v>
      </c>
      <c r="Q114" s="13">
        <v>503.4</v>
      </c>
      <c r="R114" s="13">
        <v>506.6</v>
      </c>
      <c r="S114" s="13">
        <v>508.7</v>
      </c>
      <c r="T114" s="13">
        <v>503.1</v>
      </c>
      <c r="U114" s="13">
        <v>485.3</v>
      </c>
      <c r="V114" s="13">
        <v>480.4</v>
      </c>
      <c r="W114" s="13">
        <v>479.1</v>
      </c>
      <c r="X114" s="13">
        <v>479.9</v>
      </c>
      <c r="Y114" s="13">
        <v>462.3</v>
      </c>
      <c r="Z114" s="13">
        <v>468.8</v>
      </c>
      <c r="AA114" s="13">
        <v>465</v>
      </c>
      <c r="AB114" s="13">
        <v>457.4</v>
      </c>
      <c r="AC114" s="13">
        <v>455.1</v>
      </c>
      <c r="AD114" s="13">
        <v>461.3</v>
      </c>
      <c r="AE114" s="13">
        <v>462</v>
      </c>
      <c r="AF114" s="13">
        <v>456.6</v>
      </c>
      <c r="AG114" s="13">
        <v>481.2</v>
      </c>
      <c r="AH114" s="13">
        <v>470.7</v>
      </c>
      <c r="AI114" s="13">
        <v>470.6</v>
      </c>
      <c r="AJ114" s="13">
        <v>477.5</v>
      </c>
      <c r="AK114" s="13">
        <v>514</v>
      </c>
      <c r="AL114" s="13">
        <v>510.3</v>
      </c>
      <c r="AM114" s="13">
        <v>508.1</v>
      </c>
      <c r="AN114" s="13">
        <v>513.5</v>
      </c>
      <c r="AO114" s="13">
        <v>531.29999999999995</v>
      </c>
      <c r="AP114" s="13">
        <v>509.3</v>
      </c>
      <c r="AQ114" s="13">
        <v>494.8</v>
      </c>
      <c r="AR114" s="13">
        <v>512.20000000000005</v>
      </c>
      <c r="AS114" s="13">
        <v>535.4</v>
      </c>
      <c r="AT114" s="13">
        <v>528.4</v>
      </c>
      <c r="AU114" s="13">
        <v>541</v>
      </c>
      <c r="AV114" s="13">
        <v>572.9</v>
      </c>
      <c r="AW114" s="13">
        <v>560</v>
      </c>
      <c r="AX114" s="13">
        <v>564.70000000000005</v>
      </c>
      <c r="AY114" s="13">
        <v>557.29999999999995</v>
      </c>
      <c r="AZ114" s="13">
        <v>572.29999999999995</v>
      </c>
      <c r="BA114" s="13">
        <v>567.20000000000005</v>
      </c>
      <c r="BB114" s="13">
        <v>549</v>
      </c>
      <c r="BC114" s="13">
        <v>557.4</v>
      </c>
      <c r="BD114" s="13">
        <v>547.9</v>
      </c>
      <c r="BE114" s="13">
        <v>580.70000000000005</v>
      </c>
      <c r="BF114" s="13">
        <v>558.5</v>
      </c>
      <c r="BG114" s="13">
        <v>592.70000000000005</v>
      </c>
      <c r="BH114" s="13">
        <v>609</v>
      </c>
      <c r="BI114" s="13">
        <v>612.6</v>
      </c>
      <c r="BJ114" s="13">
        <v>645.20000000000005</v>
      </c>
      <c r="BK114" s="13">
        <v>651.1</v>
      </c>
      <c r="BL114" s="13">
        <v>632.79999999999995</v>
      </c>
      <c r="BM114" s="4">
        <v>624</v>
      </c>
      <c r="BN114" s="4">
        <v>612.70000000000005</v>
      </c>
      <c r="BO114" s="4">
        <v>592.20000000000005</v>
      </c>
      <c r="BP114" s="4">
        <v>611.1</v>
      </c>
      <c r="BQ114" s="4">
        <v>580.5</v>
      </c>
      <c r="BR114" s="4">
        <v>584.70000000000005</v>
      </c>
      <c r="BS114" s="4">
        <v>584.79999999999995</v>
      </c>
      <c r="BT114" s="4">
        <v>625.29999999999995</v>
      </c>
      <c r="BU114" s="4">
        <v>603.20000000000005</v>
      </c>
      <c r="BV114" s="4">
        <v>611.5</v>
      </c>
      <c r="BW114" s="4">
        <v>624</v>
      </c>
      <c r="BX114" s="4">
        <v>638</v>
      </c>
      <c r="BY114" s="4">
        <v>632.5</v>
      </c>
      <c r="BZ114" s="4">
        <v>650</v>
      </c>
    </row>
    <row r="115" spans="1:254" ht="15.9" customHeight="1">
      <c r="A115" s="61" t="s">
        <v>225</v>
      </c>
      <c r="B115" s="6" t="s">
        <v>226</v>
      </c>
      <c r="C115" s="15">
        <f>_xll.RssMarket("9531","現在値")</f>
        <v>5967</v>
      </c>
      <c r="D115" s="16">
        <f t="shared" si="3"/>
        <v>0</v>
      </c>
      <c r="E115" s="13">
        <v>5967</v>
      </c>
      <c r="F115" s="13">
        <v>5937</v>
      </c>
      <c r="G115" s="13">
        <v>6038</v>
      </c>
      <c r="H115" s="13">
        <v>6181</v>
      </c>
      <c r="I115" s="13">
        <v>6219</v>
      </c>
      <c r="J115" s="13">
        <v>6263</v>
      </c>
      <c r="K115" s="13">
        <v>6290</v>
      </c>
      <c r="L115" s="13">
        <v>6235</v>
      </c>
      <c r="M115" s="13">
        <v>6273</v>
      </c>
      <c r="N115" s="13">
        <v>6226</v>
      </c>
      <c r="O115" s="13">
        <v>6160</v>
      </c>
      <c r="P115" s="13">
        <v>6151</v>
      </c>
      <c r="Q115" s="13">
        <v>6127</v>
      </c>
      <c r="R115" s="13">
        <v>6087</v>
      </c>
      <c r="S115" s="13">
        <v>6072</v>
      </c>
      <c r="T115" s="13">
        <v>6030</v>
      </c>
      <c r="U115" s="13">
        <v>5905</v>
      </c>
      <c r="V115" s="13">
        <v>5966</v>
      </c>
      <c r="W115" s="13">
        <v>6089</v>
      </c>
      <c r="X115" s="13">
        <v>6143</v>
      </c>
      <c r="Y115" s="13">
        <v>6120</v>
      </c>
      <c r="Z115" s="13">
        <v>6156</v>
      </c>
      <c r="AA115" s="13">
        <v>6037</v>
      </c>
      <c r="AB115" s="13">
        <v>6006</v>
      </c>
      <c r="AC115" s="13">
        <v>5987</v>
      </c>
      <c r="AD115" s="13">
        <v>6121</v>
      </c>
      <c r="AE115" s="13">
        <v>6163</v>
      </c>
      <c r="AF115" s="13">
        <v>6111</v>
      </c>
      <c r="AG115" s="13">
        <v>6068</v>
      </c>
      <c r="AH115" s="13">
        <v>6110</v>
      </c>
      <c r="AI115" s="13">
        <v>6138</v>
      </c>
      <c r="AJ115" s="13">
        <v>6210</v>
      </c>
      <c r="AK115" s="13">
        <v>6178</v>
      </c>
      <c r="AL115" s="13">
        <v>6174</v>
      </c>
      <c r="AM115" s="13">
        <v>6151</v>
      </c>
      <c r="AN115" s="13">
        <v>6223</v>
      </c>
      <c r="AO115" s="13">
        <v>6261</v>
      </c>
      <c r="AP115" s="13">
        <v>6303</v>
      </c>
      <c r="AQ115" s="13">
        <v>6395</v>
      </c>
      <c r="AR115" s="13">
        <v>6305</v>
      </c>
      <c r="AS115" s="13">
        <v>6311</v>
      </c>
      <c r="AT115" s="13">
        <v>6190</v>
      </c>
      <c r="AU115" s="13">
        <v>6219</v>
      </c>
      <c r="AV115" s="13">
        <v>6292</v>
      </c>
      <c r="AW115" s="13">
        <v>6220</v>
      </c>
      <c r="AX115" s="13">
        <v>6380</v>
      </c>
      <c r="AY115" s="13">
        <v>6294</v>
      </c>
      <c r="AZ115" s="13">
        <v>6471</v>
      </c>
      <c r="BA115" s="13">
        <v>6436</v>
      </c>
      <c r="BB115" s="13">
        <v>6522</v>
      </c>
      <c r="BC115" s="13">
        <v>6656</v>
      </c>
      <c r="BD115" s="13">
        <v>6639</v>
      </c>
      <c r="BE115" s="13">
        <v>6699</v>
      </c>
      <c r="BF115" s="13">
        <v>6565</v>
      </c>
      <c r="BG115" s="13">
        <v>6722</v>
      </c>
      <c r="BH115" s="13">
        <v>6625</v>
      </c>
      <c r="BI115" s="13">
        <v>6607</v>
      </c>
      <c r="BJ115" s="13">
        <v>6670</v>
      </c>
      <c r="BK115" s="13">
        <v>6745</v>
      </c>
      <c r="BL115" s="13">
        <v>6600</v>
      </c>
      <c r="BM115" s="4">
        <v>6812</v>
      </c>
      <c r="BN115" s="4">
        <v>6614</v>
      </c>
      <c r="BO115" s="4">
        <v>6670</v>
      </c>
      <c r="BP115" s="4">
        <v>6937</v>
      </c>
      <c r="BQ115" s="4">
        <v>6473</v>
      </c>
      <c r="BR115" s="4">
        <v>6454</v>
      </c>
      <c r="BS115" s="4">
        <v>6471</v>
      </c>
      <c r="BT115" s="4">
        <v>6487</v>
      </c>
      <c r="BU115" s="4">
        <v>6596</v>
      </c>
      <c r="BV115" s="4">
        <v>6644</v>
      </c>
      <c r="BW115" s="4">
        <v>6914</v>
      </c>
      <c r="BX115" s="4">
        <v>7117</v>
      </c>
      <c r="BY115" s="4">
        <v>6955</v>
      </c>
      <c r="BZ115" s="4">
        <v>7007</v>
      </c>
    </row>
    <row r="116" spans="1:254" ht="15.9" customHeight="1">
      <c r="A116" s="61" t="s">
        <v>227</v>
      </c>
      <c r="B116" s="6" t="s">
        <v>228</v>
      </c>
      <c r="C116" s="15">
        <f>_xll.RssMarket("9882","現在値")</f>
        <v>1738</v>
      </c>
      <c r="D116" s="16">
        <f t="shared" si="3"/>
        <v>0</v>
      </c>
      <c r="E116" s="13">
        <v>1738</v>
      </c>
      <c r="F116" s="13">
        <v>1714</v>
      </c>
      <c r="G116" s="13">
        <v>1720</v>
      </c>
      <c r="H116" s="13">
        <v>1745</v>
      </c>
      <c r="I116" s="13">
        <v>1809</v>
      </c>
      <c r="J116" s="13">
        <v>1870</v>
      </c>
      <c r="K116" s="13">
        <v>1881</v>
      </c>
      <c r="L116" s="13">
        <v>1845</v>
      </c>
      <c r="M116" s="13">
        <v>1829</v>
      </c>
      <c r="N116" s="13">
        <v>1787</v>
      </c>
      <c r="O116" s="13">
        <v>1788</v>
      </c>
      <c r="P116" s="13">
        <v>1803</v>
      </c>
      <c r="Q116" s="13">
        <v>1825</v>
      </c>
      <c r="R116" s="13">
        <v>1821</v>
      </c>
      <c r="S116" s="13">
        <v>1812</v>
      </c>
      <c r="T116" s="13">
        <v>1817</v>
      </c>
      <c r="U116" s="13">
        <v>1813</v>
      </c>
      <c r="V116" s="13">
        <v>1820</v>
      </c>
      <c r="W116" s="13">
        <v>1827</v>
      </c>
      <c r="X116" s="13">
        <v>1849</v>
      </c>
      <c r="Y116" s="13">
        <v>1815</v>
      </c>
      <c r="Z116" s="13">
        <v>1817</v>
      </c>
      <c r="AA116" s="13">
        <v>1780</v>
      </c>
      <c r="AB116" s="13">
        <v>1765</v>
      </c>
      <c r="AC116" s="13">
        <v>1741</v>
      </c>
      <c r="AD116" s="13">
        <v>1760</v>
      </c>
      <c r="AE116" s="13">
        <v>1772</v>
      </c>
      <c r="AF116" s="13">
        <v>1763</v>
      </c>
      <c r="AG116" s="13">
        <v>1763</v>
      </c>
      <c r="AH116" s="13">
        <v>1749</v>
      </c>
      <c r="AI116" s="13">
        <v>1745</v>
      </c>
      <c r="AJ116" s="13">
        <v>1752</v>
      </c>
      <c r="AK116" s="13">
        <v>1773</v>
      </c>
      <c r="AL116" s="13">
        <v>1745</v>
      </c>
      <c r="AM116" s="13">
        <v>1736</v>
      </c>
      <c r="AN116" s="13">
        <v>1743</v>
      </c>
      <c r="AO116" s="13">
        <v>1732</v>
      </c>
      <c r="AP116" s="13">
        <v>1733</v>
      </c>
      <c r="AQ116" s="13">
        <v>1727</v>
      </c>
      <c r="AR116" s="13">
        <v>1709</v>
      </c>
      <c r="AS116" s="13">
        <v>1674</v>
      </c>
      <c r="AT116" s="13">
        <v>1663</v>
      </c>
      <c r="AU116" s="13">
        <v>1652</v>
      </c>
      <c r="AV116" s="13">
        <v>1687</v>
      </c>
      <c r="AW116" s="13">
        <v>1634</v>
      </c>
      <c r="AX116" s="13">
        <v>1655</v>
      </c>
      <c r="AY116" s="13">
        <v>1627</v>
      </c>
      <c r="AZ116" s="13">
        <v>1625</v>
      </c>
      <c r="BA116" s="13">
        <v>1616</v>
      </c>
      <c r="BB116" s="13">
        <v>1630</v>
      </c>
      <c r="BC116" s="13">
        <v>1631</v>
      </c>
      <c r="BD116" s="13">
        <v>1620</v>
      </c>
      <c r="BE116" s="13">
        <v>1634</v>
      </c>
      <c r="BF116" s="13">
        <v>1621</v>
      </c>
      <c r="BG116" s="13">
        <v>1637</v>
      </c>
      <c r="BH116" s="13">
        <v>1595</v>
      </c>
      <c r="BI116" s="13">
        <v>1613</v>
      </c>
      <c r="BJ116" s="13">
        <v>1633</v>
      </c>
      <c r="BK116" s="13">
        <v>1650</v>
      </c>
      <c r="BL116" s="13">
        <v>1497</v>
      </c>
      <c r="BM116" s="4">
        <v>1503</v>
      </c>
      <c r="BN116" s="4">
        <v>1506</v>
      </c>
      <c r="BO116" s="4">
        <v>1517</v>
      </c>
      <c r="BP116" s="4">
        <v>1515</v>
      </c>
      <c r="BQ116" s="4">
        <v>1507</v>
      </c>
      <c r="BR116" s="4">
        <v>1520</v>
      </c>
      <c r="BS116" s="4">
        <v>1533</v>
      </c>
      <c r="BT116" s="4">
        <v>1539</v>
      </c>
      <c r="BU116" s="4">
        <v>1566</v>
      </c>
      <c r="BV116" s="4">
        <v>1562</v>
      </c>
      <c r="BW116" s="4">
        <v>1561</v>
      </c>
      <c r="BX116" s="4">
        <v>1550</v>
      </c>
      <c r="BY116" s="4">
        <v>1553</v>
      </c>
      <c r="BZ116" s="4">
        <v>1562</v>
      </c>
    </row>
    <row r="117" spans="1:254" ht="15.9" customHeight="1">
      <c r="A117" s="61" t="s">
        <v>229</v>
      </c>
      <c r="B117" s="6" t="s">
        <v>230</v>
      </c>
      <c r="C117" s="15">
        <f>_xll.RssMarket("5838","現在値")</f>
        <v>5520</v>
      </c>
      <c r="D117" s="16">
        <f t="shared" si="3"/>
        <v>0</v>
      </c>
      <c r="E117" s="13">
        <v>5520</v>
      </c>
      <c r="F117" s="13">
        <v>5552</v>
      </c>
      <c r="G117" s="13">
        <v>5406</v>
      </c>
      <c r="H117" s="13">
        <v>5304</v>
      </c>
      <c r="I117" s="13">
        <v>5473</v>
      </c>
      <c r="J117" s="13">
        <v>5312</v>
      </c>
      <c r="K117" s="13">
        <v>5447</v>
      </c>
      <c r="L117" s="13">
        <v>5559</v>
      </c>
      <c r="M117" s="13">
        <v>5648</v>
      </c>
      <c r="N117" s="13">
        <v>5576</v>
      </c>
      <c r="O117" s="13">
        <v>5714</v>
      </c>
      <c r="P117" s="13">
        <v>5486</v>
      </c>
      <c r="Q117" s="13">
        <v>5340</v>
      </c>
      <c r="R117" s="13">
        <v>5221</v>
      </c>
      <c r="S117" s="13">
        <v>5680</v>
      </c>
      <c r="T117" s="13">
        <v>5800</v>
      </c>
      <c r="U117" s="13">
        <v>5809</v>
      </c>
      <c r="V117" s="13">
        <v>5735</v>
      </c>
      <c r="W117" s="13">
        <v>5712</v>
      </c>
      <c r="X117" s="13">
        <v>5787</v>
      </c>
      <c r="Y117" s="13">
        <v>5646</v>
      </c>
      <c r="Z117" s="13">
        <v>5425</v>
      </c>
      <c r="AA117" s="13">
        <v>5395</v>
      </c>
      <c r="AB117" s="13">
        <v>5328</v>
      </c>
      <c r="AC117" s="13">
        <v>5123</v>
      </c>
      <c r="AD117" s="13">
        <v>5170</v>
      </c>
      <c r="AE117" s="13">
        <v>5097</v>
      </c>
      <c r="AF117" s="13">
        <v>5039</v>
      </c>
      <c r="AG117" s="13">
        <v>5000</v>
      </c>
      <c r="AH117" s="13">
        <v>5000</v>
      </c>
      <c r="AI117" s="13">
        <v>5020</v>
      </c>
      <c r="AJ117" s="13">
        <v>5037</v>
      </c>
      <c r="AK117" s="13">
        <v>5124</v>
      </c>
      <c r="AL117" s="13">
        <v>5299</v>
      </c>
      <c r="AM117" s="13">
        <v>5161</v>
      </c>
      <c r="AN117" s="13">
        <v>5244</v>
      </c>
      <c r="AO117" s="13">
        <v>5119</v>
      </c>
      <c r="AP117" s="13">
        <v>5260</v>
      </c>
      <c r="AQ117" s="13">
        <v>5104</v>
      </c>
      <c r="AR117" s="13">
        <v>4762</v>
      </c>
      <c r="AS117" s="13">
        <v>4869</v>
      </c>
      <c r="AT117" s="13">
        <v>4950</v>
      </c>
      <c r="AU117" s="13">
        <v>4955</v>
      </c>
      <c r="AV117" s="13">
        <v>4899</v>
      </c>
      <c r="AW117" s="13">
        <v>4562</v>
      </c>
      <c r="AX117" s="13">
        <v>4653</v>
      </c>
      <c r="AY117" s="13">
        <v>4793</v>
      </c>
      <c r="AZ117" s="13">
        <v>4798</v>
      </c>
      <c r="BA117" s="13">
        <v>5096</v>
      </c>
      <c r="BB117" s="13">
        <v>4847</v>
      </c>
      <c r="BC117" s="13">
        <v>5480</v>
      </c>
      <c r="BD117" s="13">
        <v>6480</v>
      </c>
      <c r="BE117" s="13">
        <v>6767</v>
      </c>
      <c r="BF117" s="13">
        <v>6601</v>
      </c>
      <c r="BG117" s="13">
        <v>6000</v>
      </c>
      <c r="BH117" s="13">
        <v>6039</v>
      </c>
      <c r="BI117" s="13">
        <v>6156</v>
      </c>
      <c r="BJ117" s="13">
        <v>6422</v>
      </c>
      <c r="BK117" s="13">
        <v>6267</v>
      </c>
      <c r="BL117" s="13">
        <v>6291</v>
      </c>
      <c r="BM117" s="4">
        <v>6294</v>
      </c>
      <c r="BN117" s="4">
        <v>6238</v>
      </c>
      <c r="BO117" s="4">
        <v>6305</v>
      </c>
      <c r="BP117" s="4">
        <v>6415</v>
      </c>
      <c r="BQ117" s="4">
        <v>6132</v>
      </c>
      <c r="BR117" s="4">
        <v>6156</v>
      </c>
      <c r="BS117" s="4">
        <v>6250</v>
      </c>
      <c r="BT117" s="4">
        <v>6131</v>
      </c>
      <c r="BU117" s="4">
        <v>6431</v>
      </c>
      <c r="BV117" s="4">
        <v>6549</v>
      </c>
      <c r="BW117" s="4">
        <v>6552</v>
      </c>
      <c r="BX117" s="4">
        <v>6750</v>
      </c>
      <c r="BY117" s="4">
        <v>6795</v>
      </c>
      <c r="BZ117" s="4">
        <v>6759</v>
      </c>
    </row>
    <row r="118" spans="1:254" ht="15.9" customHeight="1">
      <c r="A118" s="61" t="s">
        <v>231</v>
      </c>
      <c r="B118" s="6" t="s">
        <v>232</v>
      </c>
      <c r="C118" s="15">
        <f>_xll.RssMarket("5844","現在値")</f>
        <v>4630</v>
      </c>
      <c r="D118" s="16">
        <f t="shared" si="3"/>
        <v>0</v>
      </c>
      <c r="E118" s="13">
        <v>4630</v>
      </c>
      <c r="F118" s="13">
        <v>4677</v>
      </c>
      <c r="G118" s="13">
        <v>4574</v>
      </c>
      <c r="H118" s="13">
        <v>4490</v>
      </c>
      <c r="I118" s="13">
        <v>4437</v>
      </c>
      <c r="J118" s="13">
        <v>4473</v>
      </c>
      <c r="K118" s="13">
        <v>4533</v>
      </c>
      <c r="L118" s="13">
        <v>4603</v>
      </c>
      <c r="M118" s="13">
        <v>4687</v>
      </c>
      <c r="N118" s="13">
        <v>4634</v>
      </c>
      <c r="O118" s="13">
        <v>4665</v>
      </c>
      <c r="P118" s="13">
        <v>4618</v>
      </c>
      <c r="Q118" s="13">
        <v>4500</v>
      </c>
      <c r="R118" s="13">
        <v>4384</v>
      </c>
      <c r="S118" s="13">
        <v>4770</v>
      </c>
      <c r="T118" s="13">
        <v>4700</v>
      </c>
      <c r="U118" s="13">
        <v>4660</v>
      </c>
      <c r="V118" s="13">
        <v>4654</v>
      </c>
      <c r="W118" s="13">
        <v>4782</v>
      </c>
      <c r="X118" s="13">
        <v>4758</v>
      </c>
      <c r="Y118" s="13">
        <v>4719</v>
      </c>
      <c r="Z118" s="13">
        <v>4805</v>
      </c>
      <c r="AA118" s="13">
        <v>4710</v>
      </c>
      <c r="AB118" s="13">
        <v>4643</v>
      </c>
      <c r="AC118" s="13">
        <v>4573</v>
      </c>
      <c r="AD118" s="13">
        <v>4494</v>
      </c>
      <c r="AE118" s="13">
        <v>4511</v>
      </c>
      <c r="AF118" s="13">
        <v>4477</v>
      </c>
      <c r="AG118" s="13">
        <v>4532</v>
      </c>
      <c r="AH118" s="13">
        <v>4540</v>
      </c>
      <c r="AI118" s="13">
        <v>4628</v>
      </c>
      <c r="AJ118" s="13">
        <v>4821</v>
      </c>
      <c r="AK118" s="13">
        <v>4726</v>
      </c>
      <c r="AL118" s="13">
        <v>4658</v>
      </c>
      <c r="AM118" s="13">
        <v>4535</v>
      </c>
      <c r="AN118" s="13">
        <v>4656</v>
      </c>
      <c r="AO118" s="13">
        <v>4500</v>
      </c>
      <c r="AP118" s="13">
        <v>4462</v>
      </c>
      <c r="AQ118" s="13">
        <v>4442</v>
      </c>
      <c r="AR118" s="13">
        <v>4494</v>
      </c>
      <c r="AS118" s="13">
        <v>4575</v>
      </c>
      <c r="AT118" s="13">
        <v>4622</v>
      </c>
      <c r="AU118" s="13">
        <v>4482</v>
      </c>
      <c r="AV118" s="13">
        <v>4347</v>
      </c>
      <c r="AW118" s="13">
        <v>4373</v>
      </c>
      <c r="AX118" s="13">
        <v>4419</v>
      </c>
      <c r="AY118" s="13">
        <v>4420</v>
      </c>
      <c r="AZ118" s="13">
        <v>4502</v>
      </c>
      <c r="BA118" s="13">
        <v>4575</v>
      </c>
      <c r="BB118" s="13">
        <v>4479</v>
      </c>
      <c r="BC118" s="13">
        <v>4495</v>
      </c>
      <c r="BD118" s="13">
        <v>4385</v>
      </c>
      <c r="BE118" s="13">
        <v>4407</v>
      </c>
      <c r="BF118" s="13">
        <v>4374</v>
      </c>
      <c r="BG118" s="13">
        <v>4413</v>
      </c>
      <c r="BH118" s="13">
        <v>4400</v>
      </c>
      <c r="BI118" s="13">
        <v>4484</v>
      </c>
      <c r="BJ118" s="13">
        <v>4419</v>
      </c>
      <c r="BK118" s="13">
        <v>4401</v>
      </c>
      <c r="BL118" s="13">
        <v>4395</v>
      </c>
      <c r="BM118" s="4">
        <v>4499</v>
      </c>
      <c r="BN118" s="4">
        <v>4373</v>
      </c>
      <c r="BO118" s="4">
        <v>4336</v>
      </c>
      <c r="BP118" s="4">
        <v>4352</v>
      </c>
      <c r="BQ118" s="4">
        <v>4200</v>
      </c>
      <c r="BR118" s="4">
        <v>4295</v>
      </c>
      <c r="BS118" s="4">
        <v>4264</v>
      </c>
      <c r="BT118" s="4">
        <v>4258</v>
      </c>
      <c r="BU118" s="4">
        <v>4333</v>
      </c>
      <c r="BV118" s="4">
        <v>4307</v>
      </c>
      <c r="BW118" s="4">
        <v>4393</v>
      </c>
      <c r="BX118" s="4">
        <v>4421</v>
      </c>
      <c r="BY118" s="4">
        <v>4393</v>
      </c>
      <c r="BZ118" s="4">
        <v>4336</v>
      </c>
    </row>
    <row r="119" spans="1:254" ht="15.9" customHeight="1">
      <c r="A119" s="61" t="s">
        <v>233</v>
      </c>
      <c r="B119" s="6" t="s">
        <v>234</v>
      </c>
      <c r="C119" s="15">
        <f>_xll.RssMarket("9404","現在値")</f>
        <v>2871</v>
      </c>
      <c r="D119" s="16">
        <f t="shared" si="3"/>
        <v>0</v>
      </c>
      <c r="E119" s="13">
        <v>2871</v>
      </c>
      <c r="F119" s="13">
        <v>2773.5</v>
      </c>
      <c r="G119" s="13">
        <v>2783.5</v>
      </c>
      <c r="H119" s="13">
        <v>2897.5</v>
      </c>
      <c r="I119" s="13">
        <v>2916</v>
      </c>
      <c r="J119" s="13">
        <v>3004</v>
      </c>
      <c r="K119" s="13">
        <v>3055</v>
      </c>
      <c r="L119" s="13">
        <v>2967.5</v>
      </c>
      <c r="M119" s="13">
        <v>2932</v>
      </c>
      <c r="N119" s="13">
        <v>2850.5</v>
      </c>
      <c r="O119" s="13">
        <v>2820.5</v>
      </c>
      <c r="P119" s="13">
        <v>2857.5</v>
      </c>
      <c r="Q119" s="13">
        <v>2882</v>
      </c>
      <c r="R119" s="13">
        <v>2933.5</v>
      </c>
      <c r="S119" s="13">
        <v>2868.5</v>
      </c>
      <c r="T119" s="13">
        <v>2880</v>
      </c>
      <c r="U119" s="13">
        <v>2875.5</v>
      </c>
      <c r="V119" s="13">
        <v>2885</v>
      </c>
      <c r="W119" s="13">
        <v>2911.5</v>
      </c>
      <c r="X119" s="13">
        <v>2921</v>
      </c>
      <c r="Y119" s="13">
        <v>2932.5</v>
      </c>
      <c r="Z119" s="13">
        <v>2896</v>
      </c>
      <c r="AA119" s="13">
        <v>2860.5</v>
      </c>
      <c r="AB119" s="13">
        <v>2869.5</v>
      </c>
      <c r="AC119" s="13">
        <v>2821.5</v>
      </c>
      <c r="AD119" s="13">
        <v>2794.5</v>
      </c>
      <c r="AE119" s="13">
        <v>2740</v>
      </c>
      <c r="AF119" s="13">
        <v>2722</v>
      </c>
      <c r="AG119" s="13">
        <v>2698.5</v>
      </c>
      <c r="AH119" s="13">
        <v>2705.5</v>
      </c>
      <c r="AI119" s="13">
        <v>2744.5</v>
      </c>
      <c r="AJ119" s="13">
        <v>2784</v>
      </c>
      <c r="AK119" s="13">
        <v>2790.5</v>
      </c>
      <c r="AL119" s="13">
        <v>2865</v>
      </c>
      <c r="AM119" s="13">
        <v>2834</v>
      </c>
      <c r="AN119" s="13">
        <v>2884</v>
      </c>
      <c r="AO119" s="13">
        <v>2828.5</v>
      </c>
      <c r="AP119" s="13">
        <v>2831.5</v>
      </c>
      <c r="AQ119" s="13">
        <v>2871</v>
      </c>
      <c r="AR119" s="13">
        <v>2885.5</v>
      </c>
      <c r="AS119" s="13">
        <v>2867</v>
      </c>
      <c r="AT119" s="13">
        <v>2878.5</v>
      </c>
      <c r="AU119" s="13">
        <v>2792</v>
      </c>
      <c r="AV119" s="13">
        <v>2793</v>
      </c>
      <c r="AW119" s="13">
        <v>2798</v>
      </c>
      <c r="AX119" s="13">
        <v>2839.5</v>
      </c>
      <c r="AY119" s="13">
        <v>2852.5</v>
      </c>
      <c r="AZ119" s="13">
        <v>2871</v>
      </c>
      <c r="BA119" s="13">
        <v>2843.5</v>
      </c>
      <c r="BB119" s="13">
        <v>2921</v>
      </c>
      <c r="BC119" s="13">
        <v>2954.5</v>
      </c>
      <c r="BD119" s="13">
        <v>2935.5</v>
      </c>
      <c r="BE119" s="13">
        <v>2942</v>
      </c>
      <c r="BF119" s="13">
        <v>2871</v>
      </c>
      <c r="BG119" s="13">
        <v>2919.5</v>
      </c>
      <c r="BH119" s="13">
        <v>2921</v>
      </c>
      <c r="BI119" s="13">
        <v>2960.5</v>
      </c>
      <c r="BJ119" s="13">
        <v>2936.5</v>
      </c>
      <c r="BK119" s="13">
        <v>2935</v>
      </c>
      <c r="BL119" s="13">
        <v>2987.5</v>
      </c>
      <c r="BM119" s="4">
        <v>2982</v>
      </c>
      <c r="BN119" s="4">
        <v>2986</v>
      </c>
      <c r="BO119" s="4">
        <v>2976.5</v>
      </c>
      <c r="BP119" s="4">
        <v>3019</v>
      </c>
      <c r="BQ119" s="4">
        <v>3031</v>
      </c>
      <c r="BR119" s="4">
        <v>2988.5</v>
      </c>
      <c r="BS119" s="4">
        <v>3004</v>
      </c>
      <c r="BT119" s="4">
        <v>3057</v>
      </c>
      <c r="BU119" s="4">
        <v>3141</v>
      </c>
      <c r="BV119" s="4">
        <v>3161</v>
      </c>
      <c r="BW119" s="4">
        <v>3189</v>
      </c>
      <c r="BX119" s="4">
        <v>3152</v>
      </c>
      <c r="BY119" s="4">
        <v>3152</v>
      </c>
      <c r="BZ119" s="4">
        <v>3142</v>
      </c>
    </row>
    <row r="120" spans="1:254" ht="15.9" customHeight="1">
      <c r="A120" s="61" t="s">
        <v>235</v>
      </c>
      <c r="B120" s="6" t="s">
        <v>236</v>
      </c>
      <c r="C120" s="15">
        <f>_xll.RssMarket("6744","現在値")</f>
        <v>4600</v>
      </c>
      <c r="D120" s="16">
        <f t="shared" si="3"/>
        <v>0</v>
      </c>
      <c r="E120" s="13">
        <v>4600</v>
      </c>
      <c r="F120" s="13">
        <v>4620</v>
      </c>
      <c r="G120" s="13">
        <v>4490</v>
      </c>
      <c r="H120" s="13">
        <v>4470</v>
      </c>
      <c r="I120" s="13">
        <v>4450</v>
      </c>
      <c r="J120" s="13">
        <v>4380</v>
      </c>
      <c r="K120" s="13">
        <v>4405</v>
      </c>
      <c r="L120" s="13">
        <v>4405</v>
      </c>
      <c r="M120" s="13">
        <v>4410</v>
      </c>
      <c r="N120" s="13"/>
      <c r="O120" s="13">
        <v>4265</v>
      </c>
      <c r="P120" s="13">
        <v>4280</v>
      </c>
      <c r="Q120" s="13">
        <v>4270</v>
      </c>
      <c r="R120" s="13">
        <v>4190</v>
      </c>
      <c r="S120" s="13">
        <v>4350</v>
      </c>
      <c r="T120" s="13">
        <v>4250</v>
      </c>
      <c r="U120" s="13">
        <v>4235</v>
      </c>
      <c r="V120" s="13">
        <v>4300</v>
      </c>
      <c r="W120" s="13">
        <v>4315</v>
      </c>
      <c r="X120" s="13">
        <v>4295</v>
      </c>
      <c r="Y120" s="13">
        <v>4410</v>
      </c>
      <c r="Z120" s="13">
        <v>4415</v>
      </c>
      <c r="AA120" s="13">
        <v>4370</v>
      </c>
      <c r="AB120" s="13">
        <v>4175</v>
      </c>
      <c r="AC120" s="13">
        <v>4120</v>
      </c>
      <c r="AD120" s="13">
        <v>4090</v>
      </c>
      <c r="AE120" s="13">
        <v>4150</v>
      </c>
      <c r="AF120" s="13">
        <v>4130</v>
      </c>
      <c r="AG120" s="13">
        <v>4135</v>
      </c>
      <c r="AH120" s="13">
        <v>4175</v>
      </c>
      <c r="AI120" s="13">
        <v>4165</v>
      </c>
      <c r="AJ120" s="13">
        <v>4205</v>
      </c>
      <c r="AK120" s="13">
        <v>4235</v>
      </c>
      <c r="AL120" s="13">
        <v>4210</v>
      </c>
      <c r="AM120" s="13">
        <v>4175</v>
      </c>
      <c r="AN120" s="13">
        <v>4185</v>
      </c>
      <c r="AO120" s="13">
        <v>4200</v>
      </c>
      <c r="AP120" s="13">
        <v>4250</v>
      </c>
      <c r="AQ120" s="13">
        <v>4210</v>
      </c>
      <c r="AR120" s="13">
        <v>4290</v>
      </c>
      <c r="AS120" s="13">
        <v>4365</v>
      </c>
      <c r="AT120" s="13">
        <v>4500</v>
      </c>
      <c r="AU120" s="13">
        <v>4520</v>
      </c>
      <c r="AV120" s="13">
        <v>4540</v>
      </c>
      <c r="AW120" s="13">
        <v>4645</v>
      </c>
      <c r="AX120" s="13">
        <v>4930</v>
      </c>
      <c r="AY120" s="13">
        <v>4805</v>
      </c>
      <c r="AZ120" s="13">
        <v>4780</v>
      </c>
      <c r="BA120" s="13">
        <v>4735</v>
      </c>
      <c r="BB120" s="13">
        <v>4645</v>
      </c>
      <c r="BC120" s="13">
        <v>4670</v>
      </c>
      <c r="BD120" s="13">
        <v>4590</v>
      </c>
      <c r="BE120" s="13">
        <v>4660</v>
      </c>
      <c r="BF120" s="13">
        <v>4710</v>
      </c>
      <c r="BG120" s="13">
        <v>4665</v>
      </c>
      <c r="BH120" s="13">
        <v>4520</v>
      </c>
      <c r="BI120" s="13">
        <v>4300</v>
      </c>
      <c r="BJ120" s="13">
        <v>4430</v>
      </c>
      <c r="BK120" s="13">
        <v>4350</v>
      </c>
      <c r="BL120" s="13">
        <v>4355</v>
      </c>
      <c r="BM120" s="4">
        <v>4310</v>
      </c>
      <c r="BN120" s="4">
        <v>4220</v>
      </c>
      <c r="BO120" s="4">
        <v>4110</v>
      </c>
      <c r="BP120" s="4">
        <v>4025</v>
      </c>
      <c r="BQ120" s="4">
        <v>3975</v>
      </c>
      <c r="BR120" s="4">
        <v>3905</v>
      </c>
      <c r="BS120" s="4">
        <v>3965</v>
      </c>
      <c r="BT120" s="4">
        <v>4025</v>
      </c>
      <c r="BU120" s="4">
        <v>4040</v>
      </c>
      <c r="BV120" s="4">
        <v>4065</v>
      </c>
      <c r="BW120" s="4">
        <v>4110</v>
      </c>
      <c r="BX120" s="4">
        <v>4215</v>
      </c>
      <c r="BY120" s="4">
        <v>4285</v>
      </c>
      <c r="BZ120" s="4">
        <v>4365</v>
      </c>
    </row>
    <row r="121" spans="1:254" ht="15.9" customHeight="1">
      <c r="A121" s="61" t="s">
        <v>237</v>
      </c>
      <c r="B121" s="6" t="s">
        <v>238</v>
      </c>
      <c r="C121" s="15">
        <f>_xll.RssMarket("7685","現在値")</f>
        <v>3100</v>
      </c>
      <c r="D121" s="16">
        <f t="shared" si="3"/>
        <v>0</v>
      </c>
      <c r="E121" s="13">
        <v>3100</v>
      </c>
      <c r="F121" s="13">
        <v>3130</v>
      </c>
      <c r="G121" s="13">
        <v>2980</v>
      </c>
      <c r="H121" s="13">
        <v>2952</v>
      </c>
      <c r="I121" s="13">
        <v>2972</v>
      </c>
      <c r="J121" s="13">
        <v>2941</v>
      </c>
      <c r="K121" s="13">
        <v>3025</v>
      </c>
      <c r="L121" s="13">
        <v>3080</v>
      </c>
      <c r="M121" s="13">
        <v>3075</v>
      </c>
      <c r="N121" s="13"/>
      <c r="O121" s="13">
        <v>3125</v>
      </c>
      <c r="P121" s="13">
        <v>3215</v>
      </c>
      <c r="Q121" s="13">
        <v>3350</v>
      </c>
      <c r="R121" s="13">
        <v>3400</v>
      </c>
      <c r="S121" s="13">
        <v>3585</v>
      </c>
      <c r="T121" s="13">
        <v>3520</v>
      </c>
      <c r="U121" s="13">
        <v>3575</v>
      </c>
      <c r="V121" s="13">
        <v>3505</v>
      </c>
      <c r="W121" s="13">
        <v>3565</v>
      </c>
      <c r="X121" s="13">
        <v>3660</v>
      </c>
      <c r="Y121" s="13">
        <v>3505</v>
      </c>
      <c r="Z121" s="13">
        <v>3475</v>
      </c>
      <c r="AA121" s="13">
        <v>3565</v>
      </c>
      <c r="AB121" s="13">
        <v>3425</v>
      </c>
      <c r="AC121" s="13">
        <v>3285</v>
      </c>
      <c r="AD121" s="13">
        <v>3295</v>
      </c>
      <c r="AE121" s="13">
        <v>3325</v>
      </c>
      <c r="AF121" s="13">
        <v>3380</v>
      </c>
      <c r="AG121" s="13">
        <v>3480</v>
      </c>
      <c r="AH121" s="13">
        <v>3575</v>
      </c>
      <c r="AI121" s="13">
        <v>3630</v>
      </c>
      <c r="AJ121" s="13">
        <v>3465</v>
      </c>
      <c r="AK121" s="13">
        <v>3450</v>
      </c>
      <c r="AL121" s="13">
        <v>3565</v>
      </c>
      <c r="AM121" s="13">
        <v>3595</v>
      </c>
      <c r="AN121" s="13">
        <v>3630</v>
      </c>
      <c r="AO121" s="13">
        <v>3570</v>
      </c>
      <c r="AP121" s="13">
        <v>3755</v>
      </c>
      <c r="AQ121" s="13">
        <v>3835</v>
      </c>
      <c r="AR121" s="13">
        <v>3820</v>
      </c>
      <c r="AS121" s="13">
        <v>3585</v>
      </c>
      <c r="AT121" s="13">
        <v>3740</v>
      </c>
      <c r="AU121" s="13">
        <v>3690</v>
      </c>
      <c r="AV121" s="13">
        <v>3855</v>
      </c>
      <c r="AW121" s="13">
        <v>3920</v>
      </c>
      <c r="AX121" s="13">
        <v>4085</v>
      </c>
      <c r="AY121" s="13">
        <v>4015</v>
      </c>
      <c r="AZ121" s="13">
        <v>3930</v>
      </c>
      <c r="BA121" s="13">
        <v>3825</v>
      </c>
      <c r="BB121" s="13">
        <v>3790</v>
      </c>
      <c r="BC121" s="13">
        <v>3665</v>
      </c>
      <c r="BD121" s="13">
        <v>3815</v>
      </c>
      <c r="BE121" s="13">
        <v>3765</v>
      </c>
      <c r="BF121" s="13">
        <v>3345</v>
      </c>
      <c r="BG121" s="13">
        <v>3450</v>
      </c>
      <c r="BH121" s="13">
        <v>3445</v>
      </c>
      <c r="BI121" s="13">
        <v>3325</v>
      </c>
      <c r="BJ121" s="13">
        <v>3175</v>
      </c>
      <c r="BK121" s="13">
        <v>3340</v>
      </c>
      <c r="BL121" s="13">
        <v>3280</v>
      </c>
      <c r="BM121" s="4">
        <v>3205</v>
      </c>
      <c r="BN121" s="4">
        <v>3160</v>
      </c>
      <c r="BO121" s="4">
        <v>3350</v>
      </c>
      <c r="BP121" s="4">
        <v>3185</v>
      </c>
      <c r="BQ121" s="4">
        <v>3170</v>
      </c>
      <c r="BR121" s="4">
        <v>3110</v>
      </c>
      <c r="BS121" s="4">
        <v>3310</v>
      </c>
      <c r="BT121" s="4">
        <v>3300</v>
      </c>
      <c r="BU121" s="4">
        <v>3490</v>
      </c>
      <c r="BV121" s="4">
        <v>3460</v>
      </c>
      <c r="BW121" s="4">
        <v>3540</v>
      </c>
      <c r="BX121" s="4">
        <v>3645</v>
      </c>
      <c r="BY121" s="4">
        <v>3645</v>
      </c>
      <c r="BZ121" s="4">
        <v>3530</v>
      </c>
    </row>
    <row r="122" spans="1:254" ht="15.9" customHeight="1">
      <c r="A122" s="61" t="s">
        <v>239</v>
      </c>
      <c r="B122" s="6" t="s">
        <v>240</v>
      </c>
      <c r="C122" s="15">
        <f>_xll.RssMarket("8334","現在値")</f>
        <v>2594</v>
      </c>
      <c r="D122" s="16">
        <f t="shared" si="3"/>
        <v>0</v>
      </c>
      <c r="E122" s="13">
        <v>2594</v>
      </c>
      <c r="F122" s="13">
        <v>2568</v>
      </c>
      <c r="G122" s="13">
        <v>2495.5</v>
      </c>
      <c r="H122" s="13">
        <v>2527.5</v>
      </c>
      <c r="I122" s="13">
        <v>2538.5</v>
      </c>
      <c r="J122" s="13">
        <v>2475</v>
      </c>
      <c r="K122" s="13">
        <v>2510</v>
      </c>
      <c r="L122" s="13">
        <v>2571</v>
      </c>
      <c r="M122" s="13">
        <v>2658.5</v>
      </c>
      <c r="N122" s="13">
        <v>2609</v>
      </c>
      <c r="O122" s="13">
        <v>2595</v>
      </c>
      <c r="P122" s="13">
        <v>2586</v>
      </c>
      <c r="Q122" s="13">
        <v>2532</v>
      </c>
      <c r="R122" s="13">
        <v>2436.5</v>
      </c>
      <c r="S122" s="13">
        <v>2621</v>
      </c>
      <c r="T122" s="13">
        <v>2564.5</v>
      </c>
      <c r="U122" s="13">
        <v>2513.5</v>
      </c>
      <c r="V122" s="13">
        <v>2492.5</v>
      </c>
      <c r="W122" s="13">
        <v>2491</v>
      </c>
      <c r="X122" s="13">
        <v>2506.5</v>
      </c>
      <c r="Y122" s="13">
        <v>2442</v>
      </c>
      <c r="Z122" s="13">
        <v>2481.5</v>
      </c>
      <c r="AA122" s="13">
        <v>2419</v>
      </c>
      <c r="AB122" s="13">
        <v>2405.5</v>
      </c>
      <c r="AC122" s="13">
        <v>2358.5</v>
      </c>
      <c r="AD122" s="13">
        <v>2342.5</v>
      </c>
      <c r="AE122" s="13">
        <v>2341.5</v>
      </c>
      <c r="AF122" s="13">
        <v>2334</v>
      </c>
      <c r="AG122" s="13">
        <v>2318.5</v>
      </c>
      <c r="AH122" s="13">
        <v>2290.5</v>
      </c>
      <c r="AI122" s="13">
        <v>2307</v>
      </c>
      <c r="AJ122" s="13">
        <v>2335</v>
      </c>
      <c r="AK122" s="13">
        <v>2316.5</v>
      </c>
      <c r="AL122" s="13">
        <v>2331.5</v>
      </c>
      <c r="AM122" s="13">
        <v>2307</v>
      </c>
      <c r="AN122" s="13">
        <v>2333</v>
      </c>
      <c r="AO122" s="13">
        <v>2358</v>
      </c>
      <c r="AP122" s="13">
        <v>2343.5</v>
      </c>
      <c r="AQ122" s="13">
        <v>2299.5</v>
      </c>
      <c r="AR122" s="13">
        <v>2313</v>
      </c>
      <c r="AS122" s="13">
        <v>2257</v>
      </c>
      <c r="AT122" s="13">
        <v>2262.5</v>
      </c>
      <c r="AU122" s="13">
        <v>2225.5</v>
      </c>
      <c r="AV122" s="13">
        <v>2199</v>
      </c>
      <c r="AW122" s="13">
        <v>2166.5</v>
      </c>
      <c r="AX122" s="13">
        <v>2260</v>
      </c>
      <c r="AY122" s="13">
        <v>2234</v>
      </c>
      <c r="AZ122" s="13">
        <v>2268</v>
      </c>
      <c r="BA122" s="13">
        <v>2305</v>
      </c>
      <c r="BB122" s="13">
        <v>2316</v>
      </c>
      <c r="BC122" s="13">
        <v>2346</v>
      </c>
      <c r="BD122" s="13">
        <v>2309</v>
      </c>
      <c r="BE122" s="13">
        <v>2280</v>
      </c>
      <c r="BF122" s="13">
        <v>2238</v>
      </c>
      <c r="BG122" s="13">
        <v>2232</v>
      </c>
      <c r="BH122" s="13">
        <v>2179</v>
      </c>
      <c r="BI122" s="13">
        <v>2191</v>
      </c>
      <c r="BJ122" s="13">
        <v>2171.5</v>
      </c>
      <c r="BK122" s="13">
        <v>2218.5</v>
      </c>
      <c r="BL122" s="13">
        <v>2164</v>
      </c>
      <c r="BM122" s="4">
        <v>2223</v>
      </c>
      <c r="BN122" s="4">
        <v>2157</v>
      </c>
      <c r="BO122" s="4">
        <v>2159.5</v>
      </c>
      <c r="BP122" s="4">
        <v>2206</v>
      </c>
      <c r="BQ122" s="4">
        <v>2026.5</v>
      </c>
      <c r="BR122" s="4">
        <v>2030</v>
      </c>
      <c r="BS122" s="4">
        <v>2042</v>
      </c>
      <c r="BT122" s="4">
        <v>2058.5</v>
      </c>
      <c r="BU122" s="4">
        <v>2118</v>
      </c>
      <c r="BV122" s="4">
        <v>2180</v>
      </c>
      <c r="BW122" s="4">
        <v>2214</v>
      </c>
      <c r="BX122" s="4">
        <v>2264.5</v>
      </c>
      <c r="BY122" s="4">
        <v>2257</v>
      </c>
      <c r="BZ122" s="4">
        <v>2239.5</v>
      </c>
    </row>
    <row r="123" spans="1:254" ht="15.9" customHeight="1">
      <c r="A123" s="61" t="s">
        <v>241</v>
      </c>
      <c r="B123" s="6" t="s">
        <v>242</v>
      </c>
      <c r="C123" s="15">
        <f>_xll.RssMarket("8359","現在値")</f>
        <v>2554.5</v>
      </c>
      <c r="D123" s="16">
        <f t="shared" si="3"/>
        <v>0</v>
      </c>
      <c r="E123" s="13">
        <v>2554.5</v>
      </c>
      <c r="F123" s="13">
        <v>2580</v>
      </c>
      <c r="G123" s="13">
        <v>2488.5</v>
      </c>
      <c r="H123" s="13">
        <v>2492.5</v>
      </c>
      <c r="I123" s="13">
        <v>2508</v>
      </c>
      <c r="J123" s="13">
        <v>2494</v>
      </c>
      <c r="K123" s="13">
        <v>2532</v>
      </c>
      <c r="L123" s="13">
        <v>2609.5</v>
      </c>
      <c r="M123" s="13">
        <v>2699.5</v>
      </c>
      <c r="N123" s="13">
        <v>2674</v>
      </c>
      <c r="O123" s="13">
        <v>2652.5</v>
      </c>
      <c r="P123" s="13">
        <v>2619.5</v>
      </c>
      <c r="Q123" s="13">
        <v>2578.5</v>
      </c>
      <c r="R123" s="13">
        <v>2456.5</v>
      </c>
      <c r="S123" s="13">
        <v>2638</v>
      </c>
      <c r="T123" s="13">
        <v>2590</v>
      </c>
      <c r="U123" s="13">
        <v>2565</v>
      </c>
      <c r="V123" s="13">
        <v>2551</v>
      </c>
      <c r="W123" s="13">
        <v>2579.5</v>
      </c>
      <c r="X123" s="13">
        <v>2582</v>
      </c>
      <c r="Y123" s="13">
        <v>2554</v>
      </c>
      <c r="Z123" s="13">
        <v>2550</v>
      </c>
      <c r="AA123" s="13">
        <v>2529.5</v>
      </c>
      <c r="AB123" s="13">
        <v>2468</v>
      </c>
      <c r="AC123" s="13">
        <v>2412.5</v>
      </c>
      <c r="AD123" s="13">
        <v>2388.5</v>
      </c>
      <c r="AE123" s="13">
        <v>2388.5</v>
      </c>
      <c r="AF123" s="13">
        <v>2387</v>
      </c>
      <c r="AG123" s="13">
        <v>2355.5</v>
      </c>
      <c r="AH123" s="13">
        <v>2354.5</v>
      </c>
      <c r="AI123" s="13">
        <v>2392.5</v>
      </c>
      <c r="AJ123" s="13">
        <v>2406.5</v>
      </c>
      <c r="AK123" s="13">
        <v>2347</v>
      </c>
      <c r="AL123" s="13">
        <v>2354</v>
      </c>
      <c r="AM123" s="13">
        <v>2287</v>
      </c>
      <c r="AN123" s="13">
        <v>2346</v>
      </c>
      <c r="AO123" s="13">
        <v>2380</v>
      </c>
      <c r="AP123" s="13">
        <v>2342.5</v>
      </c>
      <c r="AQ123" s="13">
        <v>2304.5</v>
      </c>
      <c r="AR123" s="13">
        <v>2331</v>
      </c>
      <c r="AS123" s="13">
        <v>2353.5</v>
      </c>
      <c r="AT123" s="13">
        <v>2380.5</v>
      </c>
      <c r="AU123" s="13">
        <v>2343.5</v>
      </c>
      <c r="AV123" s="13">
        <v>2311.5</v>
      </c>
      <c r="AW123" s="13">
        <v>2314.5</v>
      </c>
      <c r="AX123" s="13">
        <v>2323.5</v>
      </c>
      <c r="AY123" s="13">
        <v>2292</v>
      </c>
      <c r="AZ123" s="13">
        <v>2295.5</v>
      </c>
      <c r="BA123" s="13">
        <v>2346</v>
      </c>
      <c r="BB123" s="13">
        <v>2335</v>
      </c>
      <c r="BC123" s="13">
        <v>2350</v>
      </c>
      <c r="BD123" s="13">
        <v>2300.5</v>
      </c>
      <c r="BE123" s="13">
        <v>2270</v>
      </c>
      <c r="BF123" s="13">
        <v>2215.5</v>
      </c>
      <c r="BG123" s="13">
        <v>2388</v>
      </c>
      <c r="BH123" s="13">
        <v>2325</v>
      </c>
      <c r="BI123" s="13">
        <v>2357</v>
      </c>
      <c r="BJ123" s="13">
        <v>2338.5</v>
      </c>
      <c r="BK123" s="13">
        <v>2295.5</v>
      </c>
      <c r="BL123" s="13">
        <v>2201.5</v>
      </c>
      <c r="BM123" s="4">
        <v>2307.5</v>
      </c>
      <c r="BN123" s="4">
        <v>2094.5</v>
      </c>
      <c r="BO123" s="4">
        <v>2121.5</v>
      </c>
      <c r="BP123" s="4">
        <v>2168</v>
      </c>
      <c r="BQ123" s="4">
        <v>2025.5</v>
      </c>
      <c r="BR123" s="4">
        <v>2027.5</v>
      </c>
      <c r="BS123" s="4">
        <v>2026.5</v>
      </c>
      <c r="BT123" s="4">
        <v>2012</v>
      </c>
      <c r="BU123" s="4">
        <v>2035.5</v>
      </c>
      <c r="BV123" s="4">
        <v>2080</v>
      </c>
      <c r="BW123" s="4">
        <v>2104</v>
      </c>
      <c r="BX123" s="4">
        <v>2124.5</v>
      </c>
      <c r="BY123" s="4">
        <v>2103</v>
      </c>
      <c r="BZ123" s="4">
        <v>2067.5</v>
      </c>
    </row>
    <row r="124" spans="1:254" ht="15.9" customHeight="1">
      <c r="A124" s="61" t="s">
        <v>243</v>
      </c>
      <c r="B124" s="6" t="s">
        <v>244</v>
      </c>
      <c r="C124" s="15">
        <f>_xll.RssMarket("8801","現在値")</f>
        <v>1488</v>
      </c>
      <c r="D124" s="16">
        <f t="shared" si="3"/>
        <v>0</v>
      </c>
      <c r="E124" s="13">
        <v>1488</v>
      </c>
      <c r="F124" s="13">
        <v>1481.5</v>
      </c>
      <c r="G124" s="13">
        <v>1474</v>
      </c>
      <c r="H124" s="13">
        <v>1488.5</v>
      </c>
      <c r="I124" s="13">
        <v>1560</v>
      </c>
      <c r="J124" s="13">
        <v>1611</v>
      </c>
      <c r="K124" s="13">
        <v>1627</v>
      </c>
      <c r="L124" s="13">
        <v>1595.5</v>
      </c>
      <c r="M124" s="13">
        <v>1588</v>
      </c>
      <c r="N124" s="13">
        <v>1550</v>
      </c>
      <c r="O124" s="13">
        <v>1550</v>
      </c>
      <c r="P124" s="13">
        <v>1557</v>
      </c>
      <c r="Q124" s="13">
        <v>1574.5</v>
      </c>
      <c r="R124" s="13">
        <v>1537</v>
      </c>
      <c r="S124" s="13">
        <v>1554</v>
      </c>
      <c r="T124" s="13">
        <v>1543</v>
      </c>
      <c r="U124" s="13">
        <v>1517</v>
      </c>
      <c r="V124" s="13">
        <v>1511</v>
      </c>
      <c r="W124" s="13">
        <v>1522</v>
      </c>
      <c r="X124" s="13">
        <v>1544.5</v>
      </c>
      <c r="Y124" s="13">
        <v>1571.5</v>
      </c>
      <c r="Z124" s="13">
        <v>1555.5</v>
      </c>
      <c r="AA124" s="13">
        <v>1540</v>
      </c>
      <c r="AB124" s="13">
        <v>1512</v>
      </c>
      <c r="AC124" s="13">
        <v>1479</v>
      </c>
      <c r="AD124" s="13">
        <v>1499</v>
      </c>
      <c r="AE124" s="13">
        <v>1520.5</v>
      </c>
      <c r="AF124" s="13">
        <v>1480</v>
      </c>
      <c r="AG124" s="13">
        <v>1475</v>
      </c>
      <c r="AH124" s="13">
        <v>1464</v>
      </c>
      <c r="AI124" s="13">
        <v>1448</v>
      </c>
      <c r="AJ124" s="13">
        <v>1478.5</v>
      </c>
      <c r="AK124" s="13">
        <v>1509.5</v>
      </c>
      <c r="AL124" s="13">
        <v>1508.5</v>
      </c>
      <c r="AM124" s="13">
        <v>1516.5</v>
      </c>
      <c r="AN124" s="13">
        <v>1530</v>
      </c>
      <c r="AO124" s="13">
        <v>1570.5</v>
      </c>
      <c r="AP124" s="13">
        <v>1558</v>
      </c>
      <c r="AQ124" s="13">
        <v>1538</v>
      </c>
      <c r="AR124" s="13">
        <v>1546.5</v>
      </c>
      <c r="AS124" s="13">
        <v>1462.5</v>
      </c>
      <c r="AT124" s="13">
        <v>1495</v>
      </c>
      <c r="AU124" s="13">
        <v>1467.5</v>
      </c>
      <c r="AV124" s="13">
        <v>1478.5</v>
      </c>
      <c r="AW124" s="13">
        <v>1510.5</v>
      </c>
      <c r="AX124" s="13">
        <v>1530.5</v>
      </c>
      <c r="AY124" s="13">
        <v>1505</v>
      </c>
      <c r="AZ124" s="13">
        <v>1532</v>
      </c>
      <c r="BA124" s="13">
        <v>1523</v>
      </c>
      <c r="BB124" s="13">
        <v>1480</v>
      </c>
      <c r="BC124" s="13">
        <v>1520</v>
      </c>
      <c r="BD124" s="13">
        <v>1508</v>
      </c>
      <c r="BE124" s="13">
        <v>1534</v>
      </c>
      <c r="BF124" s="13">
        <v>1498</v>
      </c>
      <c r="BG124" s="13">
        <v>1539.5</v>
      </c>
      <c r="BH124" s="13">
        <v>1528</v>
      </c>
      <c r="BI124" s="13">
        <v>1697.5</v>
      </c>
      <c r="BJ124" s="13">
        <v>1674.5</v>
      </c>
      <c r="BK124" s="13">
        <v>1670.5</v>
      </c>
      <c r="BL124" s="13">
        <v>1656.5</v>
      </c>
      <c r="BM124" s="4">
        <v>1699</v>
      </c>
      <c r="BN124" s="4">
        <v>1693</v>
      </c>
      <c r="BO124" s="4">
        <v>1704.5</v>
      </c>
      <c r="BP124" s="4">
        <v>1711</v>
      </c>
      <c r="BQ124" s="4">
        <v>1701</v>
      </c>
      <c r="BR124" s="4">
        <v>1704</v>
      </c>
      <c r="BS124" s="4">
        <v>1734</v>
      </c>
      <c r="BT124" s="4">
        <v>1719</v>
      </c>
      <c r="BU124" s="4">
        <v>1749</v>
      </c>
      <c r="BV124" s="4">
        <v>1753</v>
      </c>
      <c r="BW124" s="4">
        <v>1731</v>
      </c>
      <c r="BX124" s="4">
        <v>1759</v>
      </c>
      <c r="BY124" s="4">
        <v>1778.5</v>
      </c>
      <c r="BZ124" s="4">
        <v>1787</v>
      </c>
    </row>
    <row r="125" spans="1:254" ht="15.9" customHeight="1">
      <c r="A125" s="61" t="s">
        <v>245</v>
      </c>
      <c r="B125" s="6" t="s">
        <v>246</v>
      </c>
      <c r="C125" s="15">
        <f>_xll.RssMarket("8934","現在値")</f>
        <v>2448</v>
      </c>
      <c r="D125" s="16">
        <f t="shared" si="3"/>
        <v>0</v>
      </c>
      <c r="E125" s="13">
        <v>2448</v>
      </c>
      <c r="F125" s="13">
        <v>2434</v>
      </c>
      <c r="G125" s="13">
        <v>2411</v>
      </c>
      <c r="H125" s="13">
        <v>2435</v>
      </c>
      <c r="I125" s="13">
        <v>2508</v>
      </c>
      <c r="J125" s="13">
        <v>2547</v>
      </c>
      <c r="K125" s="13">
        <v>2582</v>
      </c>
      <c r="L125" s="13">
        <v>2548</v>
      </c>
      <c r="M125" s="13">
        <v>2562</v>
      </c>
      <c r="N125" s="13">
        <v>2487</v>
      </c>
      <c r="O125" s="13">
        <v>2511</v>
      </c>
      <c r="P125" s="13">
        <v>2544</v>
      </c>
      <c r="Q125" s="13">
        <v>2532</v>
      </c>
      <c r="R125" s="13">
        <v>2501</v>
      </c>
      <c r="S125" s="13">
        <v>2533</v>
      </c>
      <c r="T125" s="13">
        <v>2498</v>
      </c>
      <c r="U125" s="13">
        <v>2469</v>
      </c>
      <c r="V125" s="13">
        <v>2499</v>
      </c>
      <c r="W125" s="13">
        <v>2504</v>
      </c>
      <c r="X125" s="13">
        <v>2537</v>
      </c>
      <c r="Y125" s="13">
        <v>2526</v>
      </c>
      <c r="Z125" s="13">
        <v>2500</v>
      </c>
      <c r="AA125" s="13">
        <v>2453</v>
      </c>
      <c r="AB125" s="13">
        <v>2426</v>
      </c>
      <c r="AC125" s="13">
        <v>2387</v>
      </c>
      <c r="AD125" s="13">
        <v>2429</v>
      </c>
      <c r="AE125" s="13">
        <v>2451</v>
      </c>
      <c r="AF125" s="13">
        <v>2388</v>
      </c>
      <c r="AG125" s="13">
        <v>2365</v>
      </c>
      <c r="AH125" s="13">
        <v>2339</v>
      </c>
      <c r="AI125" s="13">
        <v>2339</v>
      </c>
      <c r="AJ125" s="13">
        <v>2339</v>
      </c>
      <c r="AK125" s="13">
        <v>2380</v>
      </c>
      <c r="AL125" s="13">
        <v>2346</v>
      </c>
      <c r="AM125" s="13">
        <v>2359</v>
      </c>
      <c r="AN125" s="13">
        <v>2361</v>
      </c>
      <c r="AO125" s="13">
        <v>2385</v>
      </c>
      <c r="AP125" s="13">
        <v>2380</v>
      </c>
      <c r="AQ125" s="13">
        <v>2360</v>
      </c>
      <c r="AR125" s="13">
        <v>2401</v>
      </c>
      <c r="AS125" s="13">
        <v>2321</v>
      </c>
      <c r="AT125" s="13">
        <v>2324</v>
      </c>
      <c r="AU125" s="13">
        <v>2276</v>
      </c>
      <c r="AV125" s="13">
        <v>2274</v>
      </c>
      <c r="AW125" s="13">
        <v>2266</v>
      </c>
      <c r="AX125" s="13">
        <v>2373</v>
      </c>
      <c r="AY125" s="13">
        <v>2360</v>
      </c>
      <c r="AZ125" s="13">
        <v>2342</v>
      </c>
      <c r="BA125" s="13">
        <v>2359</v>
      </c>
      <c r="BB125" s="13">
        <v>2339</v>
      </c>
      <c r="BC125" s="13">
        <v>2404</v>
      </c>
      <c r="BD125" s="13">
        <v>2343</v>
      </c>
      <c r="BE125" s="13">
        <v>2435</v>
      </c>
      <c r="BF125" s="13">
        <v>2402</v>
      </c>
      <c r="BG125" s="13">
        <v>2467</v>
      </c>
      <c r="BH125" s="13">
        <v>2445</v>
      </c>
      <c r="BI125" s="13">
        <v>2443</v>
      </c>
      <c r="BJ125" s="13">
        <v>2443</v>
      </c>
      <c r="BK125" s="13">
        <v>2539</v>
      </c>
      <c r="BL125" s="13">
        <v>2605</v>
      </c>
      <c r="BM125" s="4">
        <v>2626</v>
      </c>
      <c r="BN125" s="4">
        <v>2648</v>
      </c>
      <c r="BO125" s="4">
        <v>2685</v>
      </c>
      <c r="BP125" s="4">
        <v>2693</v>
      </c>
      <c r="BQ125" s="4">
        <v>2649</v>
      </c>
      <c r="BR125" s="4">
        <v>2643</v>
      </c>
      <c r="BS125" s="4">
        <v>2687</v>
      </c>
      <c r="BT125" s="4">
        <v>2711</v>
      </c>
      <c r="BU125" s="4">
        <v>2739</v>
      </c>
      <c r="BV125" s="4">
        <v>2769</v>
      </c>
      <c r="BW125" s="4">
        <v>2785</v>
      </c>
      <c r="BX125" s="4">
        <v>2801</v>
      </c>
      <c r="BY125" s="4">
        <v>2825</v>
      </c>
      <c r="BZ125" s="4">
        <v>2818</v>
      </c>
    </row>
    <row r="126" spans="1:254" ht="15.9" customHeight="1">
      <c r="A126" s="61" t="s">
        <v>247</v>
      </c>
      <c r="B126" s="6" t="s">
        <v>248</v>
      </c>
      <c r="C126" s="15">
        <f>_xll.RssMarket("9416","現在値")</f>
        <v>1022</v>
      </c>
      <c r="D126" s="16">
        <f t="shared" si="3"/>
        <v>0</v>
      </c>
      <c r="E126" s="13">
        <v>1022</v>
      </c>
      <c r="F126" s="13">
        <v>1020</v>
      </c>
      <c r="G126" s="13">
        <v>1009</v>
      </c>
      <c r="H126" s="13">
        <v>1027</v>
      </c>
      <c r="I126" s="13">
        <v>1033</v>
      </c>
      <c r="J126" s="13">
        <v>1039</v>
      </c>
      <c r="K126" s="13">
        <v>1049</v>
      </c>
      <c r="L126" s="13">
        <v>1023</v>
      </c>
      <c r="M126" s="13">
        <v>1021</v>
      </c>
      <c r="N126" s="13">
        <v>988</v>
      </c>
      <c r="O126" s="13">
        <v>990</v>
      </c>
      <c r="P126" s="13">
        <v>999</v>
      </c>
      <c r="Q126" s="13">
        <v>1006</v>
      </c>
      <c r="R126" s="13">
        <v>998</v>
      </c>
      <c r="S126" s="13">
        <v>1014</v>
      </c>
      <c r="T126" s="13">
        <v>1016</v>
      </c>
      <c r="U126" s="13">
        <v>1014</v>
      </c>
      <c r="V126" s="13">
        <v>1017</v>
      </c>
      <c r="W126" s="13">
        <v>1009</v>
      </c>
      <c r="X126" s="13">
        <v>1004</v>
      </c>
      <c r="Y126" s="13">
        <v>1013</v>
      </c>
      <c r="Z126" s="13">
        <v>1010</v>
      </c>
      <c r="AA126" s="13">
        <v>1001</v>
      </c>
      <c r="AB126" s="13">
        <v>983</v>
      </c>
      <c r="AC126" s="13">
        <v>964</v>
      </c>
      <c r="AD126" s="13">
        <v>969</v>
      </c>
      <c r="AE126" s="13">
        <v>975</v>
      </c>
      <c r="AF126" s="13">
        <v>986</v>
      </c>
      <c r="AG126" s="13">
        <v>975</v>
      </c>
      <c r="AH126" s="13">
        <v>978</v>
      </c>
      <c r="AI126" s="13">
        <v>985</v>
      </c>
      <c r="AJ126" s="13">
        <v>1018</v>
      </c>
      <c r="AK126" s="13">
        <v>1030</v>
      </c>
      <c r="AL126" s="13">
        <v>1023</v>
      </c>
      <c r="AM126" s="13">
        <v>1015</v>
      </c>
      <c r="AN126" s="13">
        <v>1018</v>
      </c>
      <c r="AO126" s="13">
        <v>1022</v>
      </c>
      <c r="AP126" s="13">
        <v>1020</v>
      </c>
      <c r="AQ126" s="13">
        <v>1006</v>
      </c>
      <c r="AR126" s="13">
        <v>1009</v>
      </c>
      <c r="AS126" s="13">
        <v>1031</v>
      </c>
      <c r="AT126" s="13">
        <v>1024</v>
      </c>
      <c r="AU126" s="13">
        <v>1005</v>
      </c>
      <c r="AV126" s="13">
        <v>1016</v>
      </c>
      <c r="AW126" s="13">
        <v>1023</v>
      </c>
      <c r="AX126" s="13">
        <v>1067</v>
      </c>
      <c r="AY126" s="13">
        <v>1057</v>
      </c>
      <c r="AZ126" s="13">
        <v>1058</v>
      </c>
      <c r="BA126" s="13">
        <v>1099</v>
      </c>
      <c r="BB126" s="13">
        <v>1018</v>
      </c>
      <c r="BC126" s="13">
        <v>1018</v>
      </c>
      <c r="BD126" s="13">
        <v>1022</v>
      </c>
      <c r="BE126" s="13">
        <v>1026</v>
      </c>
      <c r="BF126" s="13">
        <v>1004</v>
      </c>
      <c r="BG126" s="13">
        <v>1039</v>
      </c>
      <c r="BH126" s="13">
        <v>1105</v>
      </c>
      <c r="BI126" s="13">
        <v>1089</v>
      </c>
      <c r="BJ126" s="13">
        <v>1098</v>
      </c>
      <c r="BK126" s="13">
        <v>1109</v>
      </c>
      <c r="BL126" s="13">
        <v>1115</v>
      </c>
      <c r="BM126" s="4">
        <v>1108</v>
      </c>
      <c r="BN126" s="4">
        <v>1095</v>
      </c>
      <c r="BO126" s="4">
        <v>1093</v>
      </c>
      <c r="BP126" s="4">
        <v>1106</v>
      </c>
      <c r="BQ126" s="4">
        <v>1091</v>
      </c>
      <c r="BR126" s="4">
        <v>1084</v>
      </c>
      <c r="BS126" s="4">
        <v>1105</v>
      </c>
      <c r="BT126" s="4">
        <v>1114</v>
      </c>
      <c r="BU126" s="4">
        <v>1142</v>
      </c>
      <c r="BV126" s="4">
        <v>1161</v>
      </c>
      <c r="BW126" s="4">
        <v>1184</v>
      </c>
      <c r="BX126" s="4">
        <v>1190</v>
      </c>
      <c r="BY126" s="4">
        <v>1206</v>
      </c>
      <c r="BZ126" s="4">
        <v>1187</v>
      </c>
    </row>
    <row r="127" spans="1:254" ht="15.9" customHeight="1">
      <c r="A127" s="61" t="s">
        <v>249</v>
      </c>
      <c r="B127" s="6" t="s">
        <v>250</v>
      </c>
      <c r="C127" s="15">
        <f>_xll.RssMarket("9532","現在値")</f>
        <v>5391</v>
      </c>
      <c r="D127" s="16">
        <f t="shared" si="3"/>
        <v>0</v>
      </c>
      <c r="E127" s="13">
        <v>5391</v>
      </c>
      <c r="F127" s="13">
        <v>5310</v>
      </c>
      <c r="G127" s="13">
        <v>5375</v>
      </c>
      <c r="H127" s="13">
        <v>5421</v>
      </c>
      <c r="I127" s="13">
        <v>5515</v>
      </c>
      <c r="J127" s="13">
        <v>5519</v>
      </c>
      <c r="K127" s="13">
        <v>5616</v>
      </c>
      <c r="L127" s="13">
        <v>5536</v>
      </c>
      <c r="M127" s="13">
        <v>5568</v>
      </c>
      <c r="N127" s="13">
        <v>5523</v>
      </c>
      <c r="O127" s="13">
        <v>5452</v>
      </c>
      <c r="P127" s="13">
        <v>5409</v>
      </c>
      <c r="Q127" s="13">
        <v>5436</v>
      </c>
      <c r="R127" s="13">
        <v>5367</v>
      </c>
      <c r="S127" s="13">
        <v>5392</v>
      </c>
      <c r="T127" s="13">
        <v>5382</v>
      </c>
      <c r="U127" s="13">
        <v>5299</v>
      </c>
      <c r="V127" s="13">
        <v>5363</v>
      </c>
      <c r="W127" s="13">
        <v>5417</v>
      </c>
      <c r="X127" s="13">
        <v>5493</v>
      </c>
      <c r="Y127" s="13">
        <v>5528</v>
      </c>
      <c r="Z127" s="13">
        <v>5515</v>
      </c>
      <c r="AA127" s="13">
        <v>5363</v>
      </c>
      <c r="AB127" s="13">
        <v>5334</v>
      </c>
      <c r="AC127" s="13">
        <v>5298</v>
      </c>
      <c r="AD127" s="13">
        <v>5456</v>
      </c>
      <c r="AE127" s="13">
        <v>5463</v>
      </c>
      <c r="AF127" s="13">
        <v>5378</v>
      </c>
      <c r="AG127" s="13">
        <v>5359</v>
      </c>
      <c r="AH127" s="13">
        <v>5412</v>
      </c>
      <c r="AI127" s="13">
        <v>5438</v>
      </c>
      <c r="AJ127" s="13">
        <v>5451</v>
      </c>
      <c r="AK127" s="13">
        <v>5410</v>
      </c>
      <c r="AL127" s="13">
        <v>5422</v>
      </c>
      <c r="AM127" s="13">
        <v>5446</v>
      </c>
      <c r="AN127" s="13">
        <v>5481</v>
      </c>
      <c r="AO127" s="13">
        <v>5500</v>
      </c>
      <c r="AP127" s="13">
        <v>5615</v>
      </c>
      <c r="AQ127" s="13">
        <v>5672</v>
      </c>
      <c r="AR127" s="13">
        <v>5517</v>
      </c>
      <c r="AS127" s="13">
        <v>5516</v>
      </c>
      <c r="AT127" s="13">
        <v>5489</v>
      </c>
      <c r="AU127" s="13">
        <v>5439</v>
      </c>
      <c r="AV127" s="13">
        <v>5569</v>
      </c>
      <c r="AW127" s="13">
        <v>5399</v>
      </c>
      <c r="AX127" s="13">
        <v>5361</v>
      </c>
      <c r="AY127" s="13">
        <v>5385</v>
      </c>
      <c r="AZ127" s="13">
        <v>5500</v>
      </c>
      <c r="BA127" s="13">
        <v>5567</v>
      </c>
      <c r="BB127" s="13">
        <v>5650</v>
      </c>
      <c r="BC127" s="13">
        <v>5668</v>
      </c>
      <c r="BD127" s="13">
        <v>5760</v>
      </c>
      <c r="BE127" s="13">
        <v>5806</v>
      </c>
      <c r="BF127" s="13">
        <v>5650</v>
      </c>
      <c r="BG127" s="13">
        <v>5732</v>
      </c>
      <c r="BH127" s="13">
        <v>5742</v>
      </c>
      <c r="BI127" s="13">
        <v>5769</v>
      </c>
      <c r="BJ127" s="13">
        <v>5699</v>
      </c>
      <c r="BK127" s="13">
        <v>5590</v>
      </c>
      <c r="BL127" s="13">
        <v>5767</v>
      </c>
      <c r="BM127" s="4">
        <v>5762</v>
      </c>
      <c r="BN127" s="4">
        <v>5704</v>
      </c>
      <c r="BO127" s="4">
        <v>5682</v>
      </c>
      <c r="BP127" s="4">
        <v>5949</v>
      </c>
      <c r="BQ127" s="4">
        <v>5804</v>
      </c>
      <c r="BR127" s="4">
        <v>5839</v>
      </c>
      <c r="BS127" s="4">
        <v>5856</v>
      </c>
      <c r="BT127" s="4">
        <v>5831</v>
      </c>
      <c r="BU127" s="4">
        <v>5927</v>
      </c>
      <c r="BV127" s="4">
        <v>5978</v>
      </c>
      <c r="BW127" s="4">
        <v>6128</v>
      </c>
      <c r="BX127" s="4">
        <v>6236</v>
      </c>
      <c r="BY127" s="4">
        <v>6205</v>
      </c>
      <c r="BZ127" s="4">
        <v>6220</v>
      </c>
    </row>
    <row r="128" spans="1:254" ht="15.9" customHeight="1">
      <c r="A128" s="61" t="s">
        <v>251</v>
      </c>
      <c r="B128" s="6" t="s">
        <v>252</v>
      </c>
      <c r="C128" s="15">
        <f>_xll.RssMarket("6330","現在値")</f>
        <v>2018</v>
      </c>
      <c r="D128" s="16">
        <f t="shared" si="3"/>
        <v>0</v>
      </c>
      <c r="E128" s="13">
        <v>2018</v>
      </c>
      <c r="F128" s="13">
        <v>2105</v>
      </c>
      <c r="G128" s="13">
        <v>1998</v>
      </c>
      <c r="H128" s="13">
        <v>1897</v>
      </c>
      <c r="I128" s="13">
        <v>1942</v>
      </c>
      <c r="J128" s="13">
        <v>1891</v>
      </c>
      <c r="K128" s="13">
        <v>1891</v>
      </c>
      <c r="L128" s="13">
        <v>2001</v>
      </c>
      <c r="M128" s="13">
        <v>2095</v>
      </c>
      <c r="N128" s="13"/>
      <c r="O128" s="13">
        <v>1912</v>
      </c>
      <c r="P128" s="13">
        <v>1903</v>
      </c>
      <c r="Q128" s="13">
        <v>1870</v>
      </c>
      <c r="R128" s="13">
        <v>1751</v>
      </c>
      <c r="S128" s="13">
        <v>1956</v>
      </c>
      <c r="T128" s="13">
        <v>1962</v>
      </c>
      <c r="U128" s="13">
        <v>1935</v>
      </c>
      <c r="V128" s="13">
        <v>1937</v>
      </c>
      <c r="W128" s="13">
        <v>1979</v>
      </c>
      <c r="X128" s="13">
        <v>1975</v>
      </c>
      <c r="Y128" s="13">
        <v>2048</v>
      </c>
      <c r="Z128" s="13">
        <v>2166</v>
      </c>
      <c r="AA128" s="13">
        <v>2067</v>
      </c>
      <c r="AB128" s="13">
        <v>2039</v>
      </c>
      <c r="AC128" s="13">
        <v>1938</v>
      </c>
      <c r="AD128" s="13">
        <v>2017</v>
      </c>
      <c r="AE128" s="13">
        <v>2155</v>
      </c>
      <c r="AF128" s="13">
        <v>1936</v>
      </c>
      <c r="AG128" s="13">
        <v>1957</v>
      </c>
      <c r="AH128" s="13">
        <v>1911</v>
      </c>
      <c r="AI128" s="13">
        <v>1886</v>
      </c>
      <c r="AJ128" s="13">
        <v>2016</v>
      </c>
      <c r="AK128" s="13">
        <v>2075</v>
      </c>
      <c r="AL128" s="13">
        <v>2123</v>
      </c>
      <c r="AM128" s="13">
        <v>2198</v>
      </c>
      <c r="AN128" s="13">
        <v>2088</v>
      </c>
      <c r="AO128" s="13">
        <v>2079</v>
      </c>
      <c r="AP128" s="13">
        <v>1918</v>
      </c>
      <c r="AQ128" s="13">
        <v>1830</v>
      </c>
      <c r="AR128" s="13">
        <v>1892</v>
      </c>
      <c r="AS128" s="13">
        <v>1982</v>
      </c>
      <c r="AT128" s="13">
        <v>2052</v>
      </c>
      <c r="AU128" s="13">
        <v>1975</v>
      </c>
      <c r="AV128" s="13">
        <v>2020</v>
      </c>
      <c r="AW128" s="13">
        <v>1919</v>
      </c>
      <c r="AX128" s="13">
        <v>2021</v>
      </c>
      <c r="AY128" s="13">
        <v>2109</v>
      </c>
      <c r="AZ128" s="13">
        <v>2098</v>
      </c>
      <c r="BA128" s="13">
        <v>2167</v>
      </c>
      <c r="BB128" s="13">
        <v>2175</v>
      </c>
      <c r="BC128" s="13">
        <v>2016</v>
      </c>
      <c r="BD128" s="13">
        <v>2025</v>
      </c>
      <c r="BE128" s="13">
        <v>2113</v>
      </c>
      <c r="BF128" s="13">
        <v>2077</v>
      </c>
      <c r="BG128" s="13">
        <v>2099</v>
      </c>
      <c r="BH128" s="13">
        <v>2151</v>
      </c>
      <c r="BI128" s="13">
        <v>2133</v>
      </c>
      <c r="BJ128" s="13">
        <v>2159</v>
      </c>
      <c r="BK128" s="13">
        <v>2234</v>
      </c>
      <c r="BL128" s="13">
        <v>2342</v>
      </c>
      <c r="BM128" s="4">
        <v>2294</v>
      </c>
      <c r="BN128" s="4">
        <v>2268</v>
      </c>
      <c r="BO128" s="4">
        <v>2266</v>
      </c>
      <c r="BP128" s="4">
        <v>2388</v>
      </c>
      <c r="BQ128" s="4">
        <v>2315</v>
      </c>
      <c r="BR128" s="4">
        <v>2329</v>
      </c>
      <c r="BS128" s="4">
        <v>2430</v>
      </c>
      <c r="BT128" s="4">
        <v>2430</v>
      </c>
      <c r="BU128" s="4">
        <v>2551</v>
      </c>
      <c r="BV128" s="4">
        <v>2612</v>
      </c>
      <c r="BW128" s="4">
        <v>2600</v>
      </c>
      <c r="BX128" s="4">
        <v>2493</v>
      </c>
      <c r="BY128" s="4">
        <v>2356</v>
      </c>
      <c r="BZ128" s="4">
        <v>2319</v>
      </c>
    </row>
    <row r="129" spans="1:254" ht="15.9" customHeight="1">
      <c r="A129" s="61" t="s">
        <v>253</v>
      </c>
      <c r="B129" s="6" t="s">
        <v>254</v>
      </c>
      <c r="C129" s="15">
        <f>_xll.RssMarket("4082","現在値")</f>
        <v>1921</v>
      </c>
      <c r="D129" s="16">
        <f t="shared" si="3"/>
        <v>0</v>
      </c>
      <c r="E129" s="13">
        <v>1921</v>
      </c>
      <c r="F129" s="13">
        <v>1949</v>
      </c>
      <c r="G129" s="13">
        <v>1858</v>
      </c>
      <c r="H129" s="13">
        <v>1795</v>
      </c>
      <c r="I129" s="13">
        <v>1755</v>
      </c>
      <c r="J129" s="13">
        <v>1712</v>
      </c>
      <c r="K129" s="13">
        <v>1677</v>
      </c>
      <c r="L129" s="13">
        <v>1761</v>
      </c>
      <c r="M129" s="13">
        <v>1852</v>
      </c>
      <c r="N129" s="13">
        <v>1812</v>
      </c>
      <c r="O129" s="13">
        <v>1836</v>
      </c>
      <c r="P129" s="13">
        <v>1853</v>
      </c>
      <c r="Q129" s="13">
        <v>1800</v>
      </c>
      <c r="R129" s="13">
        <v>1730</v>
      </c>
      <c r="S129" s="13">
        <v>1948</v>
      </c>
      <c r="T129" s="13">
        <v>1947</v>
      </c>
      <c r="U129" s="13">
        <v>1900</v>
      </c>
      <c r="V129" s="13">
        <v>1948</v>
      </c>
      <c r="W129" s="13">
        <v>1960</v>
      </c>
      <c r="X129" s="13">
        <v>2005</v>
      </c>
      <c r="Y129" s="13">
        <v>2001</v>
      </c>
      <c r="Z129" s="13">
        <v>2071</v>
      </c>
      <c r="AA129" s="13">
        <v>2050</v>
      </c>
      <c r="AB129" s="13">
        <v>2048</v>
      </c>
      <c r="AC129" s="13">
        <v>2024</v>
      </c>
      <c r="AD129" s="13">
        <v>2043</v>
      </c>
      <c r="AE129" s="13">
        <v>2091</v>
      </c>
      <c r="AF129" s="13">
        <v>2029</v>
      </c>
      <c r="AG129" s="13">
        <v>2148</v>
      </c>
      <c r="AH129" s="13">
        <v>2037</v>
      </c>
      <c r="AI129" s="13">
        <v>2002</v>
      </c>
      <c r="AJ129" s="13">
        <v>2133</v>
      </c>
      <c r="AK129" s="13">
        <v>2061</v>
      </c>
      <c r="AL129" s="13">
        <v>2002</v>
      </c>
      <c r="AM129" s="13">
        <v>2065</v>
      </c>
      <c r="AN129" s="13">
        <v>2015</v>
      </c>
      <c r="AO129" s="13">
        <v>1951</v>
      </c>
      <c r="AP129" s="13">
        <v>1874</v>
      </c>
      <c r="AQ129" s="13">
        <v>1865</v>
      </c>
      <c r="AR129" s="13">
        <v>1839</v>
      </c>
      <c r="AS129" s="13">
        <v>1976</v>
      </c>
      <c r="AT129" s="13">
        <v>2098</v>
      </c>
      <c r="AU129" s="13">
        <v>2105</v>
      </c>
      <c r="AV129" s="13">
        <v>2201</v>
      </c>
      <c r="AW129" s="13">
        <v>2160</v>
      </c>
      <c r="AX129" s="13">
        <v>2293</v>
      </c>
      <c r="AY129" s="13">
        <v>2245</v>
      </c>
      <c r="AZ129" s="13">
        <v>2179</v>
      </c>
      <c r="BA129" s="13">
        <v>2025</v>
      </c>
      <c r="BB129" s="13">
        <v>2021</v>
      </c>
      <c r="BC129" s="13">
        <v>1959</v>
      </c>
      <c r="BD129" s="13">
        <v>1953</v>
      </c>
      <c r="BE129" s="13">
        <v>2133</v>
      </c>
      <c r="BF129" s="13">
        <v>2166</v>
      </c>
      <c r="BG129" s="13">
        <v>2188</v>
      </c>
      <c r="BH129" s="13">
        <v>2530</v>
      </c>
      <c r="BI129" s="13">
        <v>2622</v>
      </c>
      <c r="BJ129" s="13">
        <v>2590</v>
      </c>
      <c r="BK129" s="13">
        <v>2708</v>
      </c>
      <c r="BL129" s="13">
        <v>2493</v>
      </c>
      <c r="BM129" s="4">
        <v>2369</v>
      </c>
      <c r="BN129" s="4">
        <v>2322</v>
      </c>
      <c r="BO129" s="4">
        <v>2290</v>
      </c>
      <c r="BP129" s="4">
        <v>2357</v>
      </c>
      <c r="BQ129" s="4">
        <v>2254</v>
      </c>
      <c r="BR129" s="4">
        <v>2310</v>
      </c>
      <c r="BS129" s="4">
        <v>2302</v>
      </c>
      <c r="BT129" s="4">
        <v>2305</v>
      </c>
      <c r="BU129" s="4">
        <v>2360</v>
      </c>
      <c r="BV129" s="4">
        <v>2545</v>
      </c>
      <c r="BW129" s="4">
        <v>2333</v>
      </c>
      <c r="BX129" s="4">
        <v>2252</v>
      </c>
      <c r="BY129" s="4">
        <v>2102</v>
      </c>
      <c r="BZ129" s="4">
        <v>2086</v>
      </c>
    </row>
    <row r="130" spans="1:254" ht="15.9" customHeight="1">
      <c r="A130" s="61" t="s">
        <v>255</v>
      </c>
      <c r="B130" s="6" t="s">
        <v>256</v>
      </c>
      <c r="C130" s="15">
        <f>_xll.RssMarket("4519","現在値")</f>
        <v>6764</v>
      </c>
      <c r="D130" s="16">
        <f t="shared" si="3"/>
        <v>0</v>
      </c>
      <c r="E130" s="13">
        <v>6764</v>
      </c>
      <c r="F130" s="13">
        <v>6688</v>
      </c>
      <c r="G130" s="13">
        <v>6680</v>
      </c>
      <c r="H130" s="13">
        <v>6687</v>
      </c>
      <c r="I130" s="13">
        <v>6932</v>
      </c>
      <c r="J130" s="13">
        <v>7071</v>
      </c>
      <c r="K130" s="13">
        <v>7069</v>
      </c>
      <c r="L130" s="13">
        <v>6999</v>
      </c>
      <c r="M130" s="13">
        <v>6848</v>
      </c>
      <c r="N130" s="13"/>
      <c r="O130" s="13">
        <v>7212</v>
      </c>
      <c r="P130" s="13">
        <v>7306</v>
      </c>
      <c r="Q130" s="13">
        <v>7397</v>
      </c>
      <c r="R130" s="13">
        <v>7325</v>
      </c>
      <c r="S130" s="13">
        <v>7128</v>
      </c>
      <c r="T130" s="13">
        <v>7241</v>
      </c>
      <c r="U130" s="13">
        <v>7230</v>
      </c>
      <c r="V130" s="13">
        <v>7389</v>
      </c>
      <c r="W130" s="13">
        <v>7359</v>
      </c>
      <c r="X130" s="13">
        <v>7345</v>
      </c>
      <c r="Y130" s="13">
        <v>7620</v>
      </c>
      <c r="Z130" s="13">
        <v>7541</v>
      </c>
      <c r="AA130" s="13">
        <v>7642</v>
      </c>
      <c r="AB130" s="13">
        <v>7420</v>
      </c>
      <c r="AC130" s="13">
        <v>7281</v>
      </c>
      <c r="AD130" s="13">
        <v>7534</v>
      </c>
      <c r="AE130" s="13">
        <v>7574</v>
      </c>
      <c r="AF130" s="13">
        <v>7434</v>
      </c>
      <c r="AG130" s="13">
        <v>7534</v>
      </c>
      <c r="AH130" s="13">
        <v>7500</v>
      </c>
      <c r="AI130" s="13">
        <v>7434</v>
      </c>
      <c r="AJ130" s="13">
        <v>7522</v>
      </c>
      <c r="AK130" s="13">
        <v>7550</v>
      </c>
      <c r="AL130" s="13">
        <v>7566</v>
      </c>
      <c r="AM130" s="13">
        <v>7650</v>
      </c>
      <c r="AN130" s="13">
        <v>7523</v>
      </c>
      <c r="AO130" s="13">
        <v>7428</v>
      </c>
      <c r="AP130" s="13">
        <v>7450</v>
      </c>
      <c r="AQ130" s="13">
        <v>7428</v>
      </c>
      <c r="AR130" s="13">
        <v>7560</v>
      </c>
      <c r="AS130" s="13">
        <v>7465</v>
      </c>
      <c r="AT130" s="13">
        <v>7554</v>
      </c>
      <c r="AU130" s="13">
        <v>7567</v>
      </c>
      <c r="AV130" s="13">
        <v>7423</v>
      </c>
      <c r="AW130" s="13">
        <v>7618</v>
      </c>
      <c r="AX130" s="13">
        <v>7892</v>
      </c>
      <c r="AY130" s="13">
        <v>7743</v>
      </c>
      <c r="AZ130" s="13">
        <v>7878</v>
      </c>
      <c r="BA130" s="13">
        <v>8117</v>
      </c>
      <c r="BB130" s="13">
        <v>8090</v>
      </c>
      <c r="BC130" s="13">
        <v>7836</v>
      </c>
      <c r="BD130" s="13">
        <v>7899</v>
      </c>
      <c r="BE130" s="13">
        <v>7936</v>
      </c>
      <c r="BF130" s="13">
        <v>7885</v>
      </c>
      <c r="BG130" s="13">
        <v>7938</v>
      </c>
      <c r="BH130" s="13">
        <v>8096</v>
      </c>
      <c r="BI130" s="13">
        <v>7805</v>
      </c>
      <c r="BJ130" s="13">
        <v>7794</v>
      </c>
      <c r="BK130" s="13">
        <v>7953</v>
      </c>
      <c r="BL130" s="13">
        <v>7900</v>
      </c>
      <c r="BM130" s="4">
        <v>8095</v>
      </c>
      <c r="BN130" s="4">
        <v>8245</v>
      </c>
      <c r="BO130" s="4">
        <v>8116</v>
      </c>
      <c r="BP130" s="4">
        <v>7940</v>
      </c>
      <c r="BQ130" s="4">
        <v>7445</v>
      </c>
      <c r="BR130" s="4">
        <v>8845</v>
      </c>
      <c r="BS130" s="4">
        <v>8926</v>
      </c>
      <c r="BT130" s="4">
        <v>8760</v>
      </c>
      <c r="BU130" s="4">
        <v>8694</v>
      </c>
      <c r="BV130" s="4">
        <v>8844</v>
      </c>
      <c r="BW130" s="4">
        <v>8349</v>
      </c>
      <c r="BX130" s="4">
        <v>8591</v>
      </c>
      <c r="BY130" s="4">
        <v>8657</v>
      </c>
      <c r="BZ130" s="4">
        <v>8520</v>
      </c>
    </row>
    <row r="131" spans="1:254" ht="15.9" customHeight="1">
      <c r="A131" s="61" t="s">
        <v>257</v>
      </c>
      <c r="B131" s="6" t="s">
        <v>258</v>
      </c>
      <c r="C131" s="15">
        <f>_xll.RssMarket("2160","現在値")</f>
        <v>2719</v>
      </c>
      <c r="D131" s="16">
        <f t="shared" si="3"/>
        <v>0</v>
      </c>
      <c r="E131" s="13">
        <v>2719</v>
      </c>
      <c r="F131" s="13">
        <v>2633</v>
      </c>
      <c r="G131" s="13">
        <v>2532</v>
      </c>
      <c r="H131" s="13">
        <v>2488</v>
      </c>
      <c r="I131" s="13">
        <v>2475</v>
      </c>
      <c r="J131" s="13">
        <v>2339</v>
      </c>
      <c r="K131" s="13">
        <v>2300</v>
      </c>
      <c r="L131" s="13">
        <v>2456</v>
      </c>
      <c r="M131" s="13">
        <v>2575</v>
      </c>
      <c r="N131" s="13">
        <v>2602</v>
      </c>
      <c r="O131" s="13">
        <v>2598</v>
      </c>
      <c r="P131" s="13">
        <v>2499</v>
      </c>
      <c r="Q131" s="13">
        <v>2502</v>
      </c>
      <c r="R131" s="13">
        <v>2440</v>
      </c>
      <c r="S131" s="13">
        <v>2602</v>
      </c>
      <c r="T131" s="13">
        <v>2580</v>
      </c>
      <c r="U131" s="13">
        <v>2570</v>
      </c>
      <c r="V131" s="13">
        <v>2605</v>
      </c>
      <c r="W131" s="13">
        <v>2588</v>
      </c>
      <c r="X131" s="13">
        <v>2605</v>
      </c>
      <c r="Y131" s="13">
        <v>2830</v>
      </c>
      <c r="Z131" s="13">
        <v>2885</v>
      </c>
      <c r="AA131" s="13">
        <v>2858</v>
      </c>
      <c r="AB131" s="13">
        <v>2856</v>
      </c>
      <c r="AC131" s="13">
        <v>2791</v>
      </c>
      <c r="AD131" s="13">
        <v>2848</v>
      </c>
      <c r="AE131" s="13">
        <v>2788</v>
      </c>
      <c r="AF131" s="13">
        <v>2517</v>
      </c>
      <c r="AG131" s="13">
        <v>2582</v>
      </c>
      <c r="AH131" s="13">
        <v>2507</v>
      </c>
      <c r="AI131" s="13">
        <v>2530</v>
      </c>
      <c r="AJ131" s="13">
        <v>2470</v>
      </c>
      <c r="AK131" s="13">
        <v>2527</v>
      </c>
      <c r="AL131" s="13">
        <v>2630</v>
      </c>
      <c r="AM131" s="13">
        <v>2542</v>
      </c>
      <c r="AN131" s="13">
        <v>2493</v>
      </c>
      <c r="AO131" s="13">
        <v>2494</v>
      </c>
      <c r="AP131" s="13">
        <v>2520</v>
      </c>
      <c r="AQ131" s="13">
        <v>2685</v>
      </c>
      <c r="AR131" s="13">
        <v>2735</v>
      </c>
      <c r="AS131" s="13">
        <v>2810</v>
      </c>
      <c r="AT131" s="13">
        <v>2833</v>
      </c>
      <c r="AU131" s="13">
        <v>2684</v>
      </c>
      <c r="AV131" s="13">
        <v>2625</v>
      </c>
      <c r="AW131" s="13">
        <v>2580</v>
      </c>
      <c r="AX131" s="13">
        <v>2546</v>
      </c>
      <c r="AY131" s="13">
        <v>2615</v>
      </c>
      <c r="AZ131" s="13">
        <v>2646</v>
      </c>
      <c r="BA131" s="13">
        <v>2833</v>
      </c>
      <c r="BB131" s="13">
        <v>2834</v>
      </c>
      <c r="BC131" s="13">
        <v>2821</v>
      </c>
      <c r="BD131" s="13">
        <v>2736</v>
      </c>
      <c r="BE131" s="13">
        <v>2830</v>
      </c>
      <c r="BF131" s="13">
        <v>2688</v>
      </c>
      <c r="BG131" s="13">
        <v>2955</v>
      </c>
      <c r="BH131" s="13">
        <v>3015</v>
      </c>
      <c r="BI131" s="13">
        <v>3240</v>
      </c>
      <c r="BJ131" s="13">
        <v>2984</v>
      </c>
      <c r="BK131" s="13">
        <v>3000</v>
      </c>
      <c r="BL131" s="13">
        <v>2979</v>
      </c>
      <c r="BM131" s="4">
        <v>3055</v>
      </c>
      <c r="BN131" s="4">
        <v>3020</v>
      </c>
      <c r="BO131" s="4">
        <v>2920</v>
      </c>
      <c r="BP131" s="4">
        <v>3165</v>
      </c>
      <c r="BQ131" s="4">
        <v>3110</v>
      </c>
      <c r="BR131" s="4">
        <v>3130</v>
      </c>
      <c r="BS131" s="4">
        <v>3130</v>
      </c>
      <c r="BT131" s="4">
        <v>3300</v>
      </c>
      <c r="BU131" s="4">
        <v>3390</v>
      </c>
      <c r="BV131" s="4">
        <v>3440</v>
      </c>
      <c r="BW131" s="4">
        <v>3370</v>
      </c>
      <c r="BX131" s="4">
        <v>3380</v>
      </c>
      <c r="BY131" s="4">
        <v>3340</v>
      </c>
      <c r="BZ131" s="4">
        <v>3185</v>
      </c>
    </row>
    <row r="132" spans="1:254" ht="15.9" customHeight="1">
      <c r="A132" s="61" t="s">
        <v>259</v>
      </c>
      <c r="B132" s="6" t="s">
        <v>260</v>
      </c>
      <c r="C132" s="15">
        <f>_xll.RssMarket("6227","現在値")</f>
        <v>7400</v>
      </c>
      <c r="D132" s="16">
        <f t="shared" si="3"/>
        <v>0</v>
      </c>
      <c r="E132" s="13">
        <v>7400</v>
      </c>
      <c r="F132" s="13">
        <v>7380</v>
      </c>
      <c r="G132" s="13">
        <v>6830</v>
      </c>
      <c r="H132" s="13">
        <v>6470</v>
      </c>
      <c r="I132" s="13">
        <v>6640</v>
      </c>
      <c r="J132" s="13">
        <v>5670</v>
      </c>
      <c r="K132" s="13">
        <v>5450</v>
      </c>
      <c r="L132" s="13">
        <v>5970</v>
      </c>
      <c r="M132" s="13">
        <v>6810</v>
      </c>
      <c r="N132" s="13"/>
      <c r="O132" s="13">
        <v>7240</v>
      </c>
      <c r="P132" s="13">
        <v>6630</v>
      </c>
      <c r="Q132" s="13">
        <v>6920</v>
      </c>
      <c r="R132" s="13">
        <v>6960</v>
      </c>
      <c r="S132" s="13">
        <v>7400</v>
      </c>
      <c r="T132" s="13">
        <v>8100</v>
      </c>
      <c r="U132" s="13">
        <v>7790</v>
      </c>
      <c r="V132" s="13">
        <v>6790</v>
      </c>
      <c r="W132" s="13">
        <v>5790</v>
      </c>
      <c r="X132" s="13">
        <v>5680</v>
      </c>
      <c r="Y132" s="13">
        <v>5960</v>
      </c>
      <c r="Z132" s="13">
        <v>6390</v>
      </c>
      <c r="AA132" s="13">
        <v>6940</v>
      </c>
      <c r="AB132" s="13">
        <v>7080</v>
      </c>
      <c r="AC132" s="13">
        <v>7450</v>
      </c>
      <c r="AD132" s="13">
        <v>6960</v>
      </c>
      <c r="AE132" s="13">
        <v>6730</v>
      </c>
      <c r="AF132" s="13">
        <v>6590</v>
      </c>
      <c r="AG132" s="13">
        <v>7390</v>
      </c>
      <c r="AH132" s="13">
        <v>7100</v>
      </c>
      <c r="AI132" s="13">
        <v>7250</v>
      </c>
      <c r="AJ132" s="13">
        <v>7920</v>
      </c>
      <c r="AK132" s="13">
        <v>6970</v>
      </c>
      <c r="AL132" s="13">
        <v>7330</v>
      </c>
      <c r="AM132" s="13">
        <v>8160</v>
      </c>
      <c r="AN132" s="13">
        <v>8080</v>
      </c>
      <c r="AO132" s="13">
        <v>8340</v>
      </c>
      <c r="AP132" s="13">
        <v>7850</v>
      </c>
      <c r="AQ132" s="13">
        <v>6850</v>
      </c>
      <c r="AR132" s="13">
        <v>7000</v>
      </c>
      <c r="AS132" s="13">
        <v>7060</v>
      </c>
      <c r="AT132" s="13">
        <v>7440</v>
      </c>
      <c r="AU132" s="13">
        <v>6490</v>
      </c>
      <c r="AV132" s="13">
        <v>6070</v>
      </c>
      <c r="AW132" s="13">
        <v>6140</v>
      </c>
      <c r="AX132" s="13">
        <v>5670</v>
      </c>
      <c r="AY132" s="13">
        <v>5640</v>
      </c>
      <c r="AZ132" s="13">
        <v>5490</v>
      </c>
      <c r="BA132" s="13">
        <v>6220</v>
      </c>
      <c r="BB132" s="13">
        <v>6050</v>
      </c>
      <c r="BC132" s="13">
        <v>6060</v>
      </c>
      <c r="BD132" s="13">
        <v>6600</v>
      </c>
      <c r="BE132" s="13">
        <v>6870</v>
      </c>
      <c r="BF132" s="13">
        <v>7250</v>
      </c>
      <c r="BG132" s="13">
        <v>6250</v>
      </c>
      <c r="BH132" s="13">
        <v>6690</v>
      </c>
      <c r="BI132" s="13">
        <v>6540</v>
      </c>
      <c r="BJ132" s="13">
        <v>6870</v>
      </c>
      <c r="BK132" s="13">
        <v>6490</v>
      </c>
      <c r="BL132" s="13">
        <v>6690</v>
      </c>
      <c r="BM132" s="4">
        <v>6790</v>
      </c>
      <c r="BN132" s="4">
        <v>6110</v>
      </c>
      <c r="BO132" s="4">
        <v>6330</v>
      </c>
      <c r="BP132" s="4">
        <v>6150</v>
      </c>
      <c r="BQ132" s="4">
        <v>6630</v>
      </c>
      <c r="BR132" s="4">
        <v>6590</v>
      </c>
      <c r="BS132" s="4">
        <v>6380</v>
      </c>
      <c r="BT132" s="4">
        <v>6860</v>
      </c>
      <c r="BU132" s="4">
        <v>6910</v>
      </c>
      <c r="BV132" s="4">
        <v>7500</v>
      </c>
      <c r="BW132" s="4">
        <v>8120</v>
      </c>
      <c r="BX132" s="4">
        <v>8150</v>
      </c>
      <c r="BY132" s="4">
        <v>8420</v>
      </c>
      <c r="BZ132" s="4">
        <v>7700</v>
      </c>
    </row>
    <row r="133" spans="1:254" ht="15.9" customHeight="1">
      <c r="A133" s="61" t="s">
        <v>261</v>
      </c>
      <c r="B133" s="6" t="s">
        <v>262</v>
      </c>
      <c r="C133" s="15">
        <f>_xll.RssMarket("6327","現在値")</f>
        <v>3350</v>
      </c>
      <c r="D133" s="16">
        <f t="shared" si="3"/>
        <v>0</v>
      </c>
      <c r="E133" s="13">
        <v>3350</v>
      </c>
      <c r="F133" s="13">
        <v>3380</v>
      </c>
      <c r="G133" s="13">
        <v>3135</v>
      </c>
      <c r="H133" s="13">
        <v>2939</v>
      </c>
      <c r="I133" s="13">
        <v>2846</v>
      </c>
      <c r="J133" s="13">
        <v>2811</v>
      </c>
      <c r="K133" s="13">
        <v>2679</v>
      </c>
      <c r="L133" s="13">
        <v>2941</v>
      </c>
      <c r="M133" s="13">
        <v>3635</v>
      </c>
      <c r="N133" s="13"/>
      <c r="O133" s="13">
        <v>4015</v>
      </c>
      <c r="P133" s="13">
        <v>4035</v>
      </c>
      <c r="Q133" s="13">
        <v>4070</v>
      </c>
      <c r="R133" s="13">
        <v>3910</v>
      </c>
      <c r="S133" s="13">
        <v>5220</v>
      </c>
      <c r="T133" s="13">
        <v>5200</v>
      </c>
      <c r="U133" s="13">
        <v>5290</v>
      </c>
      <c r="V133" s="13">
        <v>6130</v>
      </c>
      <c r="W133" s="13">
        <v>5130</v>
      </c>
      <c r="X133" s="13">
        <v>5110</v>
      </c>
      <c r="Y133" s="13">
        <v>5760</v>
      </c>
      <c r="Z133" s="13">
        <v>6760</v>
      </c>
      <c r="AA133" s="13">
        <v>8210</v>
      </c>
      <c r="AB133" s="13">
        <v>7760</v>
      </c>
      <c r="AC133" s="13">
        <v>8290</v>
      </c>
      <c r="AD133" s="13">
        <v>7900</v>
      </c>
      <c r="AE133" s="13">
        <v>6900</v>
      </c>
      <c r="AF133" s="13">
        <v>6300</v>
      </c>
      <c r="AG133" s="13">
        <v>6610</v>
      </c>
      <c r="AH133" s="13">
        <v>5680</v>
      </c>
      <c r="AI133" s="13">
        <v>5750</v>
      </c>
      <c r="AJ133" s="13">
        <v>6190</v>
      </c>
      <c r="AK133" s="13">
        <v>5190</v>
      </c>
      <c r="AL133" s="13">
        <v>6150</v>
      </c>
      <c r="AM133" s="13">
        <v>5150</v>
      </c>
      <c r="AN133" s="13">
        <v>4445</v>
      </c>
      <c r="AO133" s="13">
        <v>3745</v>
      </c>
      <c r="AP133" s="13">
        <v>3045</v>
      </c>
      <c r="AQ133" s="13">
        <v>3050</v>
      </c>
      <c r="AR133" s="13">
        <v>3100</v>
      </c>
      <c r="AS133" s="13">
        <v>3585</v>
      </c>
      <c r="AT133" s="13">
        <v>3980</v>
      </c>
      <c r="AU133" s="13">
        <v>3840</v>
      </c>
      <c r="AV133" s="13">
        <v>4520</v>
      </c>
      <c r="AW133" s="13">
        <v>4900</v>
      </c>
      <c r="AX133" s="13">
        <v>5910</v>
      </c>
      <c r="AY133" s="13">
        <v>5000</v>
      </c>
      <c r="AZ133" s="13">
        <v>4300</v>
      </c>
      <c r="BA133" s="13">
        <v>3415</v>
      </c>
      <c r="BB133" s="13">
        <v>2914</v>
      </c>
      <c r="BC133" s="13">
        <v>2414</v>
      </c>
      <c r="BD133" s="13">
        <v>2337</v>
      </c>
      <c r="BE133" s="13">
        <v>2370</v>
      </c>
      <c r="BF133" s="13">
        <v>2573</v>
      </c>
      <c r="BG133" s="13">
        <v>2555</v>
      </c>
      <c r="BH133" s="13">
        <v>2672</v>
      </c>
      <c r="BI133" s="13">
        <v>2760</v>
      </c>
      <c r="BJ133" s="13">
        <v>2990</v>
      </c>
      <c r="BK133" s="13">
        <v>3480</v>
      </c>
      <c r="BL133" s="13">
        <v>3610</v>
      </c>
      <c r="BM133" s="4">
        <v>3380</v>
      </c>
      <c r="BN133" s="4">
        <v>2897</v>
      </c>
      <c r="BO133" s="4">
        <v>2867</v>
      </c>
      <c r="BP133" s="4">
        <v>2685</v>
      </c>
      <c r="BQ133" s="4">
        <v>2185</v>
      </c>
      <c r="BR133" s="4">
        <v>2100</v>
      </c>
      <c r="BS133" s="4">
        <v>2097</v>
      </c>
      <c r="BT133" s="4">
        <v>2158</v>
      </c>
      <c r="BU133" s="4">
        <v>2194</v>
      </c>
      <c r="BV133" s="4">
        <v>1996</v>
      </c>
      <c r="BW133" s="4">
        <v>2053</v>
      </c>
      <c r="BX133" s="4">
        <v>2082</v>
      </c>
      <c r="BY133" s="4">
        <v>2057</v>
      </c>
      <c r="BZ133" s="4">
        <v>2100</v>
      </c>
    </row>
    <row r="134" spans="1:254" ht="15.9" customHeight="1">
      <c r="A134" s="61" t="s">
        <v>263</v>
      </c>
      <c r="B134" s="6" t="s">
        <v>264</v>
      </c>
      <c r="C134" s="15">
        <f>_xll.RssMarket("3110","現在値")</f>
        <v>2918</v>
      </c>
      <c r="D134" s="16">
        <f t="shared" ref="D134:D141" si="4">C134-E134</f>
        <v>0</v>
      </c>
      <c r="E134" s="13">
        <v>2918</v>
      </c>
      <c r="F134" s="13">
        <v>3555</v>
      </c>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row>
    <row r="135" spans="1:254" ht="15.9" customHeight="1">
      <c r="A135" s="61" t="s">
        <v>265</v>
      </c>
      <c r="B135" s="6" t="s">
        <v>266</v>
      </c>
      <c r="C135" s="15">
        <f>_xll.RssMarket("6232","現在値")</f>
        <v>1737</v>
      </c>
      <c r="D135" s="16">
        <f t="shared" si="4"/>
        <v>0</v>
      </c>
      <c r="E135" s="13">
        <v>1737</v>
      </c>
      <c r="F135" s="13">
        <v>1830</v>
      </c>
      <c r="G135" s="13">
        <v>3135</v>
      </c>
      <c r="H135" s="13">
        <v>2939</v>
      </c>
      <c r="I135" s="13">
        <v>2846</v>
      </c>
      <c r="J135" s="13">
        <v>2811</v>
      </c>
      <c r="K135" s="13">
        <v>2679</v>
      </c>
      <c r="L135" s="13">
        <v>2941</v>
      </c>
      <c r="M135" s="13">
        <v>3635</v>
      </c>
      <c r="N135" s="13">
        <v>1748</v>
      </c>
      <c r="O135" s="13">
        <v>4015</v>
      </c>
      <c r="P135" s="13">
        <v>4035</v>
      </c>
      <c r="Q135" s="13">
        <v>4070</v>
      </c>
      <c r="R135" s="13">
        <v>3910</v>
      </c>
      <c r="S135" s="13">
        <v>5220</v>
      </c>
      <c r="T135" s="13">
        <v>5200</v>
      </c>
      <c r="U135" s="13">
        <v>5290</v>
      </c>
      <c r="V135" s="13">
        <v>6130</v>
      </c>
      <c r="W135" s="13">
        <v>5130</v>
      </c>
      <c r="X135" s="13">
        <v>5110</v>
      </c>
      <c r="Y135" s="13">
        <v>5760</v>
      </c>
      <c r="Z135" s="13">
        <v>6760</v>
      </c>
      <c r="AA135" s="13">
        <v>8210</v>
      </c>
      <c r="AB135" s="13">
        <v>7760</v>
      </c>
      <c r="AC135" s="13">
        <v>8290</v>
      </c>
      <c r="AD135" s="13">
        <v>7900</v>
      </c>
      <c r="AE135" s="13">
        <v>6900</v>
      </c>
      <c r="AF135" s="13">
        <v>6300</v>
      </c>
      <c r="AG135" s="13">
        <v>6610</v>
      </c>
      <c r="AH135" s="13">
        <v>5680</v>
      </c>
      <c r="AI135" s="13">
        <v>5750</v>
      </c>
      <c r="AJ135" s="13">
        <v>6190</v>
      </c>
      <c r="AK135" s="13">
        <v>5190</v>
      </c>
      <c r="AL135" s="13">
        <v>6150</v>
      </c>
      <c r="AM135" s="13">
        <v>5150</v>
      </c>
      <c r="AN135" s="13">
        <v>4445</v>
      </c>
      <c r="AO135" s="13">
        <v>3745</v>
      </c>
      <c r="AP135" s="13">
        <v>3045</v>
      </c>
      <c r="AQ135" s="13">
        <v>3050</v>
      </c>
      <c r="AR135" s="13">
        <v>3100</v>
      </c>
      <c r="AS135" s="13">
        <v>3585</v>
      </c>
      <c r="AT135" s="13">
        <v>3980</v>
      </c>
      <c r="AU135" s="13">
        <v>3840</v>
      </c>
      <c r="AV135" s="13">
        <v>4520</v>
      </c>
      <c r="AW135" s="13">
        <v>4900</v>
      </c>
      <c r="AX135" s="13">
        <v>5910</v>
      </c>
      <c r="AY135" s="13">
        <v>5000</v>
      </c>
      <c r="AZ135" s="13">
        <v>4300</v>
      </c>
      <c r="BA135" s="13">
        <v>3415</v>
      </c>
      <c r="BB135" s="13">
        <v>2914</v>
      </c>
      <c r="BC135" s="13">
        <v>2414</v>
      </c>
      <c r="BD135" s="13">
        <v>2337</v>
      </c>
      <c r="BE135" s="13">
        <v>2370</v>
      </c>
      <c r="BF135" s="13">
        <v>2573</v>
      </c>
      <c r="BG135" s="13">
        <v>2555</v>
      </c>
      <c r="BH135" s="13">
        <v>2672</v>
      </c>
      <c r="BI135" s="13">
        <v>2760</v>
      </c>
      <c r="BJ135" s="13">
        <v>2990</v>
      </c>
      <c r="BK135" s="13">
        <v>3480</v>
      </c>
      <c r="BL135" s="13">
        <v>3610</v>
      </c>
      <c r="BM135" s="4">
        <v>3380</v>
      </c>
      <c r="BN135" s="4">
        <v>2897</v>
      </c>
      <c r="BO135" s="4">
        <v>2867</v>
      </c>
      <c r="BP135" s="4">
        <v>2685</v>
      </c>
      <c r="BQ135" s="4">
        <v>2185</v>
      </c>
      <c r="BR135" s="4">
        <v>2100</v>
      </c>
      <c r="BS135" s="4">
        <v>2097</v>
      </c>
      <c r="BT135" s="4">
        <v>2158</v>
      </c>
      <c r="BU135" s="4">
        <v>2194</v>
      </c>
      <c r="BV135" s="4">
        <v>1996</v>
      </c>
      <c r="BW135" s="4">
        <v>2053</v>
      </c>
      <c r="BX135" s="4">
        <v>2082</v>
      </c>
      <c r="BY135" s="4">
        <v>2057</v>
      </c>
      <c r="BZ135" s="4">
        <v>2100</v>
      </c>
    </row>
    <row r="136" spans="1:254" ht="15.9" customHeight="1">
      <c r="A136" s="61" t="s">
        <v>267</v>
      </c>
      <c r="B136" s="6" t="s">
        <v>268</v>
      </c>
      <c r="C136" s="15">
        <f>_xll.RssMarket("7794","現在値")</f>
        <v>874</v>
      </c>
      <c r="D136" s="16">
        <f t="shared" si="4"/>
        <v>0</v>
      </c>
      <c r="E136" s="13">
        <v>874</v>
      </c>
      <c r="F136" s="13">
        <v>897</v>
      </c>
      <c r="G136" s="13">
        <v>881</v>
      </c>
      <c r="H136" s="13">
        <v>856</v>
      </c>
      <c r="I136" s="13">
        <v>860</v>
      </c>
      <c r="J136" s="13">
        <v>820</v>
      </c>
      <c r="K136" s="13">
        <v>844</v>
      </c>
      <c r="L136" s="13">
        <v>888</v>
      </c>
      <c r="M136" s="13">
        <v>935</v>
      </c>
      <c r="N136" s="13"/>
      <c r="O136" s="13">
        <v>952</v>
      </c>
      <c r="P136" s="13">
        <v>939</v>
      </c>
      <c r="Q136" s="13">
        <v>926</v>
      </c>
      <c r="R136" s="13">
        <v>913</v>
      </c>
      <c r="S136" s="13">
        <v>1023</v>
      </c>
      <c r="T136" s="13">
        <v>1024</v>
      </c>
      <c r="U136" s="13">
        <v>1047</v>
      </c>
      <c r="V136" s="13">
        <v>1068</v>
      </c>
      <c r="W136" s="13">
        <v>1065</v>
      </c>
      <c r="X136" s="13">
        <v>1085</v>
      </c>
      <c r="Y136" s="13">
        <v>1109</v>
      </c>
      <c r="Z136" s="13">
        <v>1174</v>
      </c>
      <c r="AA136" s="13">
        <v>1229</v>
      </c>
      <c r="AB136" s="13">
        <v>1222</v>
      </c>
      <c r="AC136" s="13">
        <v>1217</v>
      </c>
      <c r="AD136" s="13">
        <v>1231</v>
      </c>
      <c r="AE136" s="13">
        <v>1163</v>
      </c>
      <c r="AF136" s="13">
        <v>1026</v>
      </c>
      <c r="AG136" s="13">
        <v>1050</v>
      </c>
      <c r="AH136" s="13">
        <v>1053</v>
      </c>
      <c r="AI136" s="13">
        <v>1102</v>
      </c>
      <c r="AJ136" s="13">
        <v>1208</v>
      </c>
      <c r="AK136" s="13">
        <v>1094</v>
      </c>
      <c r="AL136" s="13">
        <v>1103</v>
      </c>
      <c r="AM136" s="13">
        <v>1097</v>
      </c>
      <c r="AN136" s="13">
        <v>1068</v>
      </c>
      <c r="AO136" s="13">
        <v>1083</v>
      </c>
      <c r="AP136" s="13">
        <v>1078</v>
      </c>
      <c r="AQ136" s="13">
        <v>1064</v>
      </c>
      <c r="AR136" s="13">
        <v>1090</v>
      </c>
      <c r="AS136" s="13">
        <v>1110</v>
      </c>
      <c r="AT136" s="13">
        <v>1085</v>
      </c>
      <c r="AU136" s="13">
        <v>1005</v>
      </c>
      <c r="AV136" s="13">
        <v>1070</v>
      </c>
      <c r="AW136" s="13">
        <v>1082</v>
      </c>
      <c r="AX136" s="13">
        <v>1149</v>
      </c>
      <c r="AY136" s="13">
        <v>1284</v>
      </c>
      <c r="AZ136" s="13">
        <v>1094</v>
      </c>
      <c r="BA136" s="13">
        <v>1168</v>
      </c>
      <c r="BB136" s="13">
        <v>1118</v>
      </c>
      <c r="BC136" s="13">
        <v>1086</v>
      </c>
      <c r="BD136" s="13">
        <v>1090</v>
      </c>
      <c r="BE136" s="13">
        <v>1137</v>
      </c>
      <c r="BF136" s="13">
        <v>1102</v>
      </c>
      <c r="BG136" s="13">
        <v>1150</v>
      </c>
      <c r="BH136" s="13">
        <v>1129</v>
      </c>
      <c r="BI136" s="13">
        <v>1330</v>
      </c>
      <c r="BJ136" s="13">
        <v>1340</v>
      </c>
      <c r="BK136" s="13">
        <v>1408</v>
      </c>
      <c r="BL136" s="13">
        <v>1361</v>
      </c>
      <c r="BM136" s="4">
        <v>1287</v>
      </c>
      <c r="BN136" s="4">
        <v>1297</v>
      </c>
      <c r="BO136" s="4">
        <v>1332</v>
      </c>
      <c r="BP136" s="4">
        <v>1316</v>
      </c>
      <c r="BQ136" s="4">
        <v>1344</v>
      </c>
      <c r="BR136" s="4">
        <v>1413</v>
      </c>
      <c r="BS136" s="4">
        <v>1429</v>
      </c>
      <c r="BT136" s="4">
        <v>1470</v>
      </c>
      <c r="BU136" s="4">
        <v>1536</v>
      </c>
      <c r="BV136" s="4">
        <v>1584</v>
      </c>
      <c r="BW136" s="4">
        <v>1284</v>
      </c>
      <c r="BX136" s="4">
        <v>1218</v>
      </c>
      <c r="BY136" s="4">
        <v>1176</v>
      </c>
      <c r="BZ136" s="4">
        <v>1205</v>
      </c>
    </row>
    <row r="137" spans="1:254" ht="15.9" customHeight="1">
      <c r="A137" s="61" t="s">
        <v>269</v>
      </c>
      <c r="B137" s="6" t="s">
        <v>270</v>
      </c>
      <c r="C137" s="15">
        <f>_xll.RssMarket("6085","現在値")</f>
        <v>76</v>
      </c>
      <c r="D137" s="16">
        <f t="shared" si="4"/>
        <v>0</v>
      </c>
      <c r="E137" s="13">
        <v>76</v>
      </c>
      <c r="F137" s="13">
        <v>78</v>
      </c>
      <c r="G137" s="13">
        <v>77</v>
      </c>
      <c r="H137" s="13">
        <v>70</v>
      </c>
      <c r="I137" s="13">
        <v>88</v>
      </c>
      <c r="J137" s="13">
        <v>90</v>
      </c>
      <c r="K137" s="13">
        <v>85</v>
      </c>
      <c r="L137" s="13">
        <v>98</v>
      </c>
      <c r="M137" s="13">
        <v>112</v>
      </c>
      <c r="N137" s="13"/>
      <c r="O137" s="13">
        <v>119</v>
      </c>
      <c r="P137" s="13">
        <v>128</v>
      </c>
      <c r="Q137" s="13">
        <v>169</v>
      </c>
      <c r="R137" s="13">
        <v>156</v>
      </c>
      <c r="S137" s="13">
        <v>202</v>
      </c>
      <c r="T137" s="13">
        <v>211</v>
      </c>
      <c r="U137" s="13">
        <v>201</v>
      </c>
      <c r="V137" s="13">
        <v>228</v>
      </c>
      <c r="W137" s="13">
        <v>216</v>
      </c>
      <c r="X137" s="13">
        <v>230</v>
      </c>
      <c r="Y137" s="13">
        <v>267</v>
      </c>
      <c r="Z137" s="13">
        <v>245</v>
      </c>
      <c r="AA137" s="13">
        <v>215</v>
      </c>
      <c r="AB137" s="13">
        <v>239</v>
      </c>
      <c r="AC137" s="13">
        <v>251</v>
      </c>
      <c r="AD137" s="13">
        <v>269</v>
      </c>
      <c r="AE137" s="13">
        <v>276</v>
      </c>
      <c r="AF137" s="13">
        <v>302</v>
      </c>
      <c r="AG137" s="13">
        <v>300</v>
      </c>
      <c r="AH137" s="13">
        <v>300</v>
      </c>
      <c r="AI137" s="13">
        <v>306</v>
      </c>
      <c r="AJ137" s="13">
        <v>365</v>
      </c>
      <c r="AK137" s="13">
        <v>322</v>
      </c>
      <c r="AL137" s="13">
        <v>323</v>
      </c>
      <c r="AM137" s="13">
        <v>320</v>
      </c>
      <c r="AN137" s="13">
        <v>313</v>
      </c>
      <c r="AO137" s="13">
        <v>307</v>
      </c>
      <c r="AP137" s="13">
        <v>343</v>
      </c>
      <c r="AQ137" s="13">
        <v>396</v>
      </c>
      <c r="AR137" s="13">
        <v>417</v>
      </c>
      <c r="AS137" s="13">
        <v>311</v>
      </c>
      <c r="AT137" s="13">
        <v>320</v>
      </c>
      <c r="AU137" s="13">
        <v>264</v>
      </c>
      <c r="AV137" s="13">
        <v>248</v>
      </c>
      <c r="AW137" s="13">
        <v>282</v>
      </c>
      <c r="AX137" s="13">
        <v>325</v>
      </c>
      <c r="AY137" s="13">
        <v>343</v>
      </c>
      <c r="AZ137" s="13">
        <v>423</v>
      </c>
      <c r="BA137" s="13">
        <v>523</v>
      </c>
      <c r="BB137" s="13">
        <v>485</v>
      </c>
      <c r="BC137" s="13">
        <v>465</v>
      </c>
      <c r="BD137" s="13">
        <v>432</v>
      </c>
      <c r="BE137" s="13">
        <v>463</v>
      </c>
      <c r="BF137" s="13">
        <v>563</v>
      </c>
      <c r="BG137" s="13">
        <v>504</v>
      </c>
      <c r="BH137" s="13">
        <v>530</v>
      </c>
      <c r="BI137" s="13">
        <v>483</v>
      </c>
      <c r="BJ137" s="13">
        <v>547</v>
      </c>
      <c r="BK137" s="13">
        <v>580</v>
      </c>
      <c r="BL137" s="13">
        <v>570</v>
      </c>
      <c r="BM137" s="4">
        <v>615</v>
      </c>
      <c r="BN137" s="4">
        <v>515</v>
      </c>
      <c r="BO137" s="4">
        <v>615</v>
      </c>
      <c r="BP137" s="4">
        <v>640</v>
      </c>
      <c r="BQ137" s="4">
        <v>540</v>
      </c>
      <c r="BR137" s="4">
        <v>516</v>
      </c>
      <c r="BS137" s="4">
        <v>441</v>
      </c>
      <c r="BT137" s="4">
        <v>430</v>
      </c>
      <c r="BU137" s="4">
        <v>380</v>
      </c>
      <c r="BV137" s="4">
        <v>396</v>
      </c>
      <c r="BW137" s="4">
        <v>362</v>
      </c>
      <c r="BX137" s="4">
        <v>335.5</v>
      </c>
      <c r="BY137" s="4">
        <v>286.5</v>
      </c>
      <c r="BZ137" s="4">
        <v>294</v>
      </c>
    </row>
    <row r="138" spans="1:254" ht="15.9" customHeight="1">
      <c r="A138" s="61" t="s">
        <v>271</v>
      </c>
      <c r="B138" s="6" t="s">
        <v>272</v>
      </c>
      <c r="C138" s="15">
        <f>_xll.RssMarket("3103","現在値")</f>
        <v>1258</v>
      </c>
      <c r="D138" s="16">
        <f t="shared" si="4"/>
        <v>0</v>
      </c>
      <c r="E138" s="13">
        <v>1258</v>
      </c>
      <c r="F138" s="13">
        <v>1009</v>
      </c>
      <c r="G138" s="13">
        <v>876</v>
      </c>
      <c r="H138" s="13">
        <v>838</v>
      </c>
      <c r="I138" s="13">
        <v>830</v>
      </c>
      <c r="J138" s="13">
        <v>774</v>
      </c>
      <c r="K138" s="13">
        <v>762</v>
      </c>
      <c r="L138" s="13">
        <v>826</v>
      </c>
      <c r="M138" s="13">
        <v>859</v>
      </c>
      <c r="N138" s="13">
        <v>836</v>
      </c>
      <c r="O138" s="13">
        <v>890</v>
      </c>
      <c r="P138" s="13">
        <v>906</v>
      </c>
      <c r="Q138" s="13">
        <v>884</v>
      </c>
      <c r="R138" s="13">
        <v>850</v>
      </c>
      <c r="S138" s="13">
        <v>971</v>
      </c>
      <c r="T138" s="13">
        <v>912</v>
      </c>
      <c r="U138" s="13">
        <v>879</v>
      </c>
      <c r="V138" s="13">
        <v>934</v>
      </c>
      <c r="W138" s="13">
        <v>930</v>
      </c>
      <c r="X138" s="13">
        <v>940</v>
      </c>
      <c r="Y138" s="13">
        <v>982</v>
      </c>
      <c r="Z138" s="13">
        <v>1004</v>
      </c>
      <c r="AA138" s="13">
        <v>1031</v>
      </c>
      <c r="AB138" s="13">
        <v>1001</v>
      </c>
      <c r="AC138" s="13">
        <v>1006</v>
      </c>
      <c r="AD138" s="13">
        <v>1034</v>
      </c>
      <c r="AE138" s="13">
        <v>1035</v>
      </c>
      <c r="AF138" s="13">
        <v>1032</v>
      </c>
      <c r="AG138" s="13">
        <v>1070</v>
      </c>
      <c r="AH138" s="13">
        <v>1046</v>
      </c>
      <c r="AI138" s="13">
        <v>1111</v>
      </c>
      <c r="AJ138" s="13">
        <v>1220</v>
      </c>
      <c r="AK138" s="13">
        <v>1107</v>
      </c>
      <c r="AL138" s="13">
        <v>1168</v>
      </c>
      <c r="AM138" s="13">
        <v>1236</v>
      </c>
      <c r="AN138" s="13">
        <v>1129</v>
      </c>
      <c r="AO138" s="13">
        <v>1145</v>
      </c>
      <c r="AP138" s="13">
        <v>1150</v>
      </c>
      <c r="AQ138" s="13">
        <v>1133</v>
      </c>
      <c r="AR138" s="13">
        <v>1216</v>
      </c>
      <c r="AS138" s="13">
        <v>1196</v>
      </c>
      <c r="AT138" s="13">
        <v>1227</v>
      </c>
      <c r="AU138" s="13">
        <v>1187</v>
      </c>
      <c r="AV138" s="13">
        <v>1265</v>
      </c>
      <c r="AW138" s="13">
        <v>1223</v>
      </c>
      <c r="AX138" s="13">
        <v>1411</v>
      </c>
      <c r="AY138" s="13">
        <v>1385</v>
      </c>
      <c r="AZ138" s="13">
        <v>1440</v>
      </c>
      <c r="BA138" s="13">
        <v>1575</v>
      </c>
      <c r="BB138" s="13">
        <v>1574</v>
      </c>
      <c r="BC138" s="13">
        <v>1274</v>
      </c>
      <c r="BD138" s="13">
        <v>1284</v>
      </c>
      <c r="BE138" s="13">
        <v>1412</v>
      </c>
      <c r="BF138" s="13">
        <v>1315</v>
      </c>
      <c r="BG138" s="13">
        <v>1415</v>
      </c>
      <c r="BH138" s="13">
        <v>1815</v>
      </c>
      <c r="BI138" s="13">
        <v>2315</v>
      </c>
      <c r="BJ138" s="13">
        <v>2261</v>
      </c>
      <c r="BK138" s="13">
        <v>2308</v>
      </c>
      <c r="BL138" s="13">
        <v>2569</v>
      </c>
      <c r="BM138" s="4">
        <v>2535</v>
      </c>
      <c r="BN138" s="4">
        <v>2382</v>
      </c>
      <c r="BO138" s="4">
        <v>2438</v>
      </c>
      <c r="BP138" s="4">
        <v>2234</v>
      </c>
      <c r="BQ138" s="4">
        <v>2482</v>
      </c>
      <c r="BR138" s="4">
        <v>2565</v>
      </c>
      <c r="BS138" s="4">
        <v>2851</v>
      </c>
      <c r="BT138" s="4">
        <v>2835</v>
      </c>
      <c r="BU138" s="4">
        <v>3045</v>
      </c>
      <c r="BV138" s="4">
        <v>3745</v>
      </c>
      <c r="BW138" s="4">
        <v>3085</v>
      </c>
      <c r="BX138" s="4">
        <v>2581</v>
      </c>
      <c r="BY138" s="4">
        <v>2081</v>
      </c>
      <c r="BZ138" s="4">
        <v>2163</v>
      </c>
    </row>
    <row r="139" spans="1:254" ht="15.9" customHeight="1">
      <c r="A139" s="61" t="s">
        <v>273</v>
      </c>
      <c r="B139" s="6" t="s">
        <v>274</v>
      </c>
      <c r="C139" s="15">
        <f>_xll.RssMarket("4422","現在値")</f>
        <v>551</v>
      </c>
      <c r="D139" s="16">
        <f t="shared" si="4"/>
        <v>0</v>
      </c>
      <c r="E139" s="13">
        <v>551</v>
      </c>
      <c r="F139" s="13">
        <v>555</v>
      </c>
      <c r="G139" s="13">
        <v>555</v>
      </c>
      <c r="H139" s="13">
        <v>527</v>
      </c>
      <c r="I139" s="13">
        <v>519</v>
      </c>
      <c r="J139" s="13">
        <v>485</v>
      </c>
      <c r="K139" s="13">
        <v>487</v>
      </c>
      <c r="L139" s="13">
        <v>514</v>
      </c>
      <c r="M139" s="13">
        <v>539</v>
      </c>
      <c r="N139" s="13">
        <v>530</v>
      </c>
      <c r="O139" s="13">
        <v>537</v>
      </c>
      <c r="P139" s="13">
        <v>537</v>
      </c>
      <c r="Q139" s="13">
        <v>535</v>
      </c>
      <c r="R139" s="13">
        <v>517</v>
      </c>
      <c r="S139" s="13">
        <v>565</v>
      </c>
      <c r="T139" s="13">
        <v>543</v>
      </c>
      <c r="U139" s="13">
        <v>549</v>
      </c>
      <c r="V139" s="13">
        <v>570</v>
      </c>
      <c r="W139" s="13">
        <v>557</v>
      </c>
      <c r="X139" s="13">
        <v>559</v>
      </c>
      <c r="Y139" s="13">
        <v>573</v>
      </c>
      <c r="Z139" s="13">
        <v>596</v>
      </c>
      <c r="AA139" s="13">
        <v>585</v>
      </c>
      <c r="AB139" s="13">
        <v>557</v>
      </c>
      <c r="AC139" s="13">
        <v>554</v>
      </c>
      <c r="AD139" s="13">
        <v>577</v>
      </c>
      <c r="AE139" s="13">
        <v>562</v>
      </c>
      <c r="AF139" s="13">
        <v>568</v>
      </c>
      <c r="AG139" s="13">
        <v>567</v>
      </c>
      <c r="AH139" s="13">
        <v>554</v>
      </c>
      <c r="AI139" s="13">
        <v>575</v>
      </c>
      <c r="AJ139" s="13">
        <v>609</v>
      </c>
      <c r="AK139" s="13">
        <v>589</v>
      </c>
      <c r="AL139" s="13">
        <v>627</v>
      </c>
      <c r="AM139" s="13">
        <v>632</v>
      </c>
      <c r="AN139" s="13">
        <v>625</v>
      </c>
      <c r="AO139" s="13">
        <v>627</v>
      </c>
      <c r="AP139" s="13">
        <v>644</v>
      </c>
      <c r="AQ139" s="13">
        <v>778</v>
      </c>
      <c r="AR139" s="13">
        <v>747</v>
      </c>
      <c r="AS139" s="13">
        <v>915</v>
      </c>
      <c r="AT139" s="13">
        <v>765</v>
      </c>
      <c r="AU139" s="13">
        <v>665</v>
      </c>
      <c r="AV139" s="13">
        <v>674</v>
      </c>
      <c r="AW139" s="13">
        <v>683</v>
      </c>
      <c r="AX139" s="13">
        <v>692</v>
      </c>
      <c r="AY139" s="13">
        <v>717</v>
      </c>
      <c r="AZ139" s="13">
        <v>760</v>
      </c>
      <c r="BA139" s="13">
        <v>834</v>
      </c>
      <c r="BB139" s="13">
        <v>801</v>
      </c>
      <c r="BC139" s="13">
        <v>774</v>
      </c>
      <c r="BD139" s="13">
        <v>765</v>
      </c>
      <c r="BE139" s="13">
        <v>811</v>
      </c>
      <c r="BF139" s="13">
        <v>847</v>
      </c>
      <c r="BG139" s="13">
        <v>846</v>
      </c>
      <c r="BH139" s="13">
        <v>864</v>
      </c>
      <c r="BI139" s="13">
        <v>937</v>
      </c>
      <c r="BJ139" s="13">
        <v>1082</v>
      </c>
      <c r="BK139" s="13">
        <v>932</v>
      </c>
      <c r="BL139" s="13">
        <v>1020</v>
      </c>
      <c r="BM139" s="4">
        <v>1025</v>
      </c>
      <c r="BN139" s="4">
        <v>1014</v>
      </c>
      <c r="BO139" s="4">
        <v>1056</v>
      </c>
      <c r="BP139" s="4">
        <v>1155</v>
      </c>
      <c r="BQ139" s="4">
        <v>1236</v>
      </c>
      <c r="BR139" s="4">
        <v>1248</v>
      </c>
      <c r="BS139" s="4">
        <v>1434</v>
      </c>
      <c r="BT139" s="4">
        <v>1134</v>
      </c>
      <c r="BU139" s="4">
        <v>1298</v>
      </c>
      <c r="BV139" s="4">
        <v>1325</v>
      </c>
      <c r="BW139" s="4">
        <v>1397</v>
      </c>
      <c r="BX139" s="4">
        <v>1097</v>
      </c>
      <c r="BY139" s="4">
        <v>947</v>
      </c>
      <c r="BZ139" s="4">
        <v>1000</v>
      </c>
    </row>
    <row r="140" spans="1:254" ht="15.9" customHeight="1">
      <c r="A140" s="61" t="s">
        <v>275</v>
      </c>
      <c r="B140" s="6" t="s">
        <v>276</v>
      </c>
      <c r="C140" s="15">
        <f>_xll.RssMarket("6740","現在値")</f>
        <v>48</v>
      </c>
      <c r="D140" s="16">
        <f t="shared" si="4"/>
        <v>0</v>
      </c>
      <c r="E140" s="13">
        <v>48</v>
      </c>
      <c r="F140" s="13">
        <v>49</v>
      </c>
      <c r="G140" s="13">
        <v>46</v>
      </c>
      <c r="H140" s="13">
        <v>47</v>
      </c>
      <c r="I140" s="13">
        <v>48</v>
      </c>
      <c r="J140" s="13">
        <v>48</v>
      </c>
      <c r="K140" s="13">
        <v>44</v>
      </c>
      <c r="L140" s="13">
        <v>46</v>
      </c>
      <c r="M140" s="13">
        <v>48</v>
      </c>
      <c r="N140" s="13"/>
      <c r="O140" s="13">
        <v>47</v>
      </c>
      <c r="P140" s="13">
        <v>47</v>
      </c>
      <c r="Q140" s="13">
        <v>48</v>
      </c>
      <c r="R140" s="13">
        <v>46</v>
      </c>
      <c r="S140" s="13">
        <v>50</v>
      </c>
      <c r="T140" s="13">
        <v>51</v>
      </c>
      <c r="U140" s="13">
        <v>52</v>
      </c>
      <c r="V140" s="13">
        <v>52</v>
      </c>
      <c r="W140" s="13">
        <v>50</v>
      </c>
      <c r="X140" s="13">
        <v>52</v>
      </c>
      <c r="Y140" s="13">
        <v>53</v>
      </c>
      <c r="Z140" s="13">
        <v>56</v>
      </c>
      <c r="AA140" s="13">
        <v>53</v>
      </c>
      <c r="AB140" s="13">
        <v>52</v>
      </c>
      <c r="AC140" s="13">
        <v>54</v>
      </c>
      <c r="AD140" s="13">
        <v>56</v>
      </c>
      <c r="AE140" s="13">
        <v>60</v>
      </c>
      <c r="AF140" s="13">
        <v>60</v>
      </c>
      <c r="AG140" s="13">
        <v>55</v>
      </c>
      <c r="AH140" s="13">
        <v>60</v>
      </c>
      <c r="AI140" s="13">
        <v>49</v>
      </c>
      <c r="AJ140" s="13">
        <v>53</v>
      </c>
      <c r="AK140" s="13">
        <v>55</v>
      </c>
      <c r="AL140" s="13">
        <v>50</v>
      </c>
      <c r="AM140" s="13">
        <v>51</v>
      </c>
      <c r="AN140" s="13">
        <v>45</v>
      </c>
      <c r="AO140" s="13">
        <v>49</v>
      </c>
      <c r="AP140" s="13">
        <v>52</v>
      </c>
      <c r="AQ140" s="13">
        <v>54</v>
      </c>
      <c r="AR140" s="13">
        <v>54</v>
      </c>
      <c r="AS140" s="13">
        <v>54</v>
      </c>
      <c r="AT140" s="13">
        <v>56</v>
      </c>
      <c r="AU140" s="13">
        <v>54</v>
      </c>
      <c r="AV140" s="13">
        <v>55</v>
      </c>
      <c r="AW140" s="13">
        <v>56</v>
      </c>
      <c r="AX140" s="13">
        <v>57</v>
      </c>
      <c r="AY140" s="13">
        <v>56</v>
      </c>
      <c r="AZ140" s="13">
        <v>55</v>
      </c>
      <c r="BA140" s="13">
        <v>65</v>
      </c>
      <c r="BB140" s="13">
        <v>67</v>
      </c>
      <c r="BC140" s="13">
        <v>63</v>
      </c>
      <c r="BD140" s="13">
        <v>62</v>
      </c>
      <c r="BE140" s="13">
        <v>66</v>
      </c>
      <c r="BF140" s="13">
        <v>70</v>
      </c>
      <c r="BG140" s="13">
        <v>68</v>
      </c>
      <c r="BH140" s="13">
        <v>70</v>
      </c>
      <c r="BI140" s="13">
        <v>71</v>
      </c>
      <c r="BJ140" s="13">
        <v>75</v>
      </c>
      <c r="BK140" s="13">
        <v>81</v>
      </c>
      <c r="BL140" s="13">
        <v>82</v>
      </c>
      <c r="BM140" s="4">
        <v>89</v>
      </c>
      <c r="BN140" s="4">
        <v>89</v>
      </c>
      <c r="BO140" s="4">
        <v>100</v>
      </c>
      <c r="BP140" s="4">
        <v>94</v>
      </c>
      <c r="BQ140" s="4">
        <v>91</v>
      </c>
      <c r="BR140" s="4">
        <v>101</v>
      </c>
      <c r="BS140" s="4">
        <v>95</v>
      </c>
      <c r="BT140" s="4">
        <v>103</v>
      </c>
      <c r="BU140" s="4">
        <v>104</v>
      </c>
      <c r="BV140" s="4">
        <v>120</v>
      </c>
      <c r="BW140" s="4">
        <v>110</v>
      </c>
      <c r="BX140" s="4">
        <v>109</v>
      </c>
      <c r="BY140" s="4">
        <v>92</v>
      </c>
      <c r="BZ140" s="4">
        <v>90</v>
      </c>
    </row>
    <row r="141" spans="1:254" ht="15.9" customHeight="1">
      <c r="A141" s="61" t="s">
        <v>277</v>
      </c>
      <c r="B141" s="6" t="s">
        <v>278</v>
      </c>
      <c r="C141" s="15">
        <f>_xll.RssMarket("6613","現在値")</f>
        <v>1766</v>
      </c>
      <c r="D141" s="16">
        <f t="shared" si="4"/>
        <v>0</v>
      </c>
      <c r="E141" s="13">
        <v>1766</v>
      </c>
      <c r="F141" s="13">
        <v>1785</v>
      </c>
      <c r="G141" s="13">
        <v>1626</v>
      </c>
      <c r="H141" s="13">
        <v>1485</v>
      </c>
      <c r="I141" s="13">
        <v>1537</v>
      </c>
      <c r="J141" s="13">
        <v>1301</v>
      </c>
      <c r="K141" s="13">
        <v>1243</v>
      </c>
      <c r="L141" s="13">
        <v>1391</v>
      </c>
      <c r="M141" s="13">
        <v>1550</v>
      </c>
      <c r="N141" s="13">
        <v>1643</v>
      </c>
      <c r="O141" s="13">
        <v>1753</v>
      </c>
      <c r="P141" s="13">
        <v>1655</v>
      </c>
      <c r="Q141" s="13">
        <v>1676</v>
      </c>
      <c r="R141" s="13">
        <v>1766</v>
      </c>
      <c r="S141" s="13">
        <v>2384</v>
      </c>
      <c r="T141" s="13">
        <v>2425</v>
      </c>
      <c r="U141" s="13">
        <v>2545</v>
      </c>
      <c r="V141" s="13">
        <v>2505</v>
      </c>
      <c r="W141" s="13">
        <v>2540</v>
      </c>
      <c r="X141" s="13">
        <v>2621</v>
      </c>
      <c r="Y141" s="13">
        <v>2600</v>
      </c>
      <c r="Z141" s="13">
        <v>2710</v>
      </c>
      <c r="AA141" s="13">
        <v>2595</v>
      </c>
      <c r="AB141" s="13">
        <v>2610</v>
      </c>
      <c r="AC141" s="13">
        <v>2752</v>
      </c>
      <c r="AD141" s="13">
        <v>2802</v>
      </c>
      <c r="AE141" s="13">
        <v>2765</v>
      </c>
      <c r="AF141" s="13">
        <v>2840</v>
      </c>
      <c r="AG141" s="13">
        <v>3255</v>
      </c>
      <c r="AH141" s="13">
        <v>2752</v>
      </c>
      <c r="AI141" s="13">
        <v>2877</v>
      </c>
      <c r="AJ141" s="13">
        <v>3020</v>
      </c>
      <c r="AK141" s="13">
        <v>2520</v>
      </c>
      <c r="AL141" s="13">
        <v>2467</v>
      </c>
      <c r="AM141" s="13">
        <v>2377</v>
      </c>
      <c r="AN141" s="13">
        <v>2620</v>
      </c>
      <c r="AO141" s="13">
        <v>2769</v>
      </c>
      <c r="AP141" s="13">
        <v>2620</v>
      </c>
      <c r="AQ141" s="13">
        <v>2409</v>
      </c>
      <c r="AR141" s="13">
        <v>2372</v>
      </c>
      <c r="AS141" s="13">
        <v>2550</v>
      </c>
      <c r="AT141" s="13">
        <v>2570</v>
      </c>
      <c r="AU141" s="13">
        <v>2450</v>
      </c>
      <c r="AV141" s="13">
        <v>2600</v>
      </c>
      <c r="AW141" s="13">
        <v>2740</v>
      </c>
      <c r="AX141" s="13">
        <v>2424</v>
      </c>
      <c r="AY141" s="13">
        <v>2732</v>
      </c>
      <c r="AZ141" s="13">
        <v>2620</v>
      </c>
      <c r="BA141" s="13">
        <v>3190</v>
      </c>
      <c r="BB141" s="13">
        <v>3100</v>
      </c>
      <c r="BC141" s="13">
        <v>2600</v>
      </c>
      <c r="BD141" s="13">
        <v>2645</v>
      </c>
      <c r="BE141" s="13">
        <v>2626</v>
      </c>
      <c r="BF141" s="13">
        <v>2127</v>
      </c>
      <c r="BG141" s="13">
        <v>1727</v>
      </c>
      <c r="BH141" s="13">
        <v>1579</v>
      </c>
      <c r="BI141" s="13">
        <v>1641</v>
      </c>
      <c r="BJ141" s="13">
        <v>1680</v>
      </c>
      <c r="BK141" s="13">
        <v>1688</v>
      </c>
      <c r="BL141" s="13">
        <v>1853</v>
      </c>
      <c r="BM141" s="4">
        <v>1506</v>
      </c>
      <c r="BN141" s="4">
        <v>1419</v>
      </c>
      <c r="BO141" s="4">
        <v>1419</v>
      </c>
      <c r="BP141" s="4">
        <v>1459</v>
      </c>
      <c r="BQ141" s="4">
        <v>1533</v>
      </c>
      <c r="BR141" s="4">
        <v>1465</v>
      </c>
      <c r="BS141" s="4">
        <v>1544</v>
      </c>
      <c r="BT141" s="4">
        <v>1526</v>
      </c>
      <c r="BU141" s="4">
        <v>1609</v>
      </c>
      <c r="BV141" s="4">
        <v>1585</v>
      </c>
      <c r="BW141" s="4">
        <v>1285</v>
      </c>
      <c r="BX141" s="4">
        <v>1381</v>
      </c>
      <c r="BY141" s="4">
        <v>1338</v>
      </c>
      <c r="BZ141" s="4">
        <v>1462</v>
      </c>
    </row>
    <row r="142" spans="1:254" ht="15.9" customHeight="1">
      <c r="A142" s="61" t="s">
        <v>279</v>
      </c>
      <c r="B142" s="6" t="str">
        <f>銘柄管理!C142</f>
        <v>第一三共</v>
      </c>
      <c r="C142" s="15">
        <f>_xll.RssMarket("4568","現在値")</f>
        <v>2660</v>
      </c>
      <c r="D142" s="16"/>
      <c r="E142" s="13">
        <v>2660</v>
      </c>
      <c r="F142" s="13">
        <v>2585</v>
      </c>
      <c r="G142" s="13">
        <v>2500</v>
      </c>
      <c r="H142" s="13">
        <v>2570</v>
      </c>
      <c r="I142" s="13">
        <v>2567.5</v>
      </c>
      <c r="J142" s="13">
        <v>2889</v>
      </c>
      <c r="K142" s="13">
        <v>2886.5</v>
      </c>
      <c r="L142" s="13">
        <v>2889.5</v>
      </c>
      <c r="M142" s="13">
        <v>2822.5</v>
      </c>
      <c r="N142" s="13">
        <v>2799.5</v>
      </c>
      <c r="O142" s="13">
        <v>2755</v>
      </c>
      <c r="P142" s="13">
        <v>2761.5</v>
      </c>
      <c r="Q142" s="13">
        <v>2815</v>
      </c>
      <c r="R142" s="13">
        <v>2791</v>
      </c>
      <c r="S142" s="13">
        <v>2677</v>
      </c>
      <c r="T142" s="13">
        <v>2679.5</v>
      </c>
      <c r="U142" s="13">
        <v>2691.5</v>
      </c>
      <c r="V142" s="13">
        <v>2730.5</v>
      </c>
      <c r="W142" s="13">
        <v>2733</v>
      </c>
      <c r="X142" s="13">
        <v>2717</v>
      </c>
      <c r="Y142" s="13">
        <v>2719</v>
      </c>
      <c r="Z142" s="13">
        <v>2758</v>
      </c>
      <c r="AA142" s="13">
        <v>2649.5</v>
      </c>
      <c r="AB142" s="13">
        <v>2641</v>
      </c>
      <c r="AC142" s="13">
        <v>2578.5</v>
      </c>
      <c r="AD142" s="13">
        <v>2608.5</v>
      </c>
      <c r="AE142" s="13">
        <v>2614</v>
      </c>
      <c r="AF142" s="13">
        <v>2535.5</v>
      </c>
      <c r="AG142" s="13">
        <v>2566.5</v>
      </c>
      <c r="AH142" s="13">
        <v>2526.5</v>
      </c>
      <c r="AI142" s="13">
        <v>2520</v>
      </c>
      <c r="AJ142" s="13">
        <v>2534.5</v>
      </c>
      <c r="AK142" s="13">
        <v>2541.5</v>
      </c>
      <c r="AL142" s="13">
        <v>2706</v>
      </c>
      <c r="AM142" s="13">
        <v>2595.5</v>
      </c>
      <c r="AN142" s="13">
        <v>2519.5</v>
      </c>
      <c r="AO142" s="13">
        <v>2546</v>
      </c>
      <c r="AP142" s="13">
        <v>2500.5</v>
      </c>
      <c r="AQ142" s="13">
        <v>2495</v>
      </c>
      <c r="AR142" s="13">
        <v>2487.5</v>
      </c>
      <c r="AS142" s="13">
        <v>2528.5</v>
      </c>
      <c r="AT142" s="13">
        <v>2490</v>
      </c>
      <c r="AU142" s="13">
        <v>2392</v>
      </c>
      <c r="AV142" s="13">
        <v>2517</v>
      </c>
      <c r="AW142" s="13">
        <v>2582.5</v>
      </c>
      <c r="AX142" s="13">
        <v>2700.5</v>
      </c>
      <c r="AY142" s="13">
        <v>2662.5</v>
      </c>
      <c r="AZ142" s="13">
        <v>2682</v>
      </c>
      <c r="BA142" s="13">
        <v>2700.5</v>
      </c>
      <c r="BB142" s="13">
        <v>2649.5</v>
      </c>
      <c r="BC142" s="13">
        <v>2664.5</v>
      </c>
      <c r="BD142" s="13">
        <v>2605.5</v>
      </c>
      <c r="BE142" s="13">
        <v>2636</v>
      </c>
      <c r="BF142" s="13">
        <v>2620.5</v>
      </c>
      <c r="BG142" s="13">
        <v>2574</v>
      </c>
      <c r="BH142" s="13">
        <v>2582</v>
      </c>
      <c r="BI142" s="13">
        <v>2725.5</v>
      </c>
      <c r="BJ142" s="13">
        <v>2738</v>
      </c>
      <c r="BK142" s="13">
        <v>2649</v>
      </c>
      <c r="BL142" s="13">
        <v>2596</v>
      </c>
      <c r="BM142" s="4">
        <v>2600</v>
      </c>
      <c r="BN142" s="4">
        <v>2616.5</v>
      </c>
      <c r="BO142" s="4">
        <v>2588.5</v>
      </c>
      <c r="BP142" s="4">
        <v>2650.5</v>
      </c>
      <c r="BQ142" s="4">
        <v>2602.5</v>
      </c>
      <c r="BR142" s="4">
        <v>2499</v>
      </c>
      <c r="BS142" s="4">
        <v>2790</v>
      </c>
      <c r="BT142" s="4">
        <v>2843.5</v>
      </c>
      <c r="BU142" s="4">
        <v>2915</v>
      </c>
      <c r="BV142" s="4">
        <v>3000</v>
      </c>
      <c r="BW142" s="4">
        <v>2939</v>
      </c>
      <c r="BX142" s="4">
        <v>2889</v>
      </c>
      <c r="BY142" s="4">
        <v>2832</v>
      </c>
      <c r="BZ142" s="4">
        <v>2734</v>
      </c>
    </row>
    <row r="143" spans="1:254" ht="15.9" customHeight="1">
      <c r="A143" s="61" t="s">
        <v>280</v>
      </c>
      <c r="B143" s="6" t="s">
        <v>281</v>
      </c>
      <c r="C143" s="15">
        <f>_xll.RssMarket("6522","現在値")</f>
        <v>1614</v>
      </c>
      <c r="D143" s="16">
        <f t="shared" ref="D143:D188" si="5">C143-E143</f>
        <v>0</v>
      </c>
      <c r="E143" s="13">
        <v>1614</v>
      </c>
      <c r="F143" s="13">
        <v>1662</v>
      </c>
      <c r="G143" s="13">
        <v>1786</v>
      </c>
      <c r="H143" s="13">
        <v>1500</v>
      </c>
      <c r="I143" s="13">
        <v>1591</v>
      </c>
      <c r="J143" s="13">
        <v>1498</v>
      </c>
      <c r="K143" s="13">
        <v>1632</v>
      </c>
      <c r="L143" s="13">
        <v>1459</v>
      </c>
      <c r="M143" s="13">
        <v>1627</v>
      </c>
      <c r="N143" s="13">
        <v>1690</v>
      </c>
      <c r="O143" s="13">
        <v>1630</v>
      </c>
      <c r="P143" s="13">
        <v>1486</v>
      </c>
      <c r="Q143" s="13">
        <v>1309</v>
      </c>
      <c r="R143" s="13">
        <v>1308</v>
      </c>
      <c r="S143" s="13">
        <v>1899</v>
      </c>
      <c r="T143" s="13">
        <v>1825</v>
      </c>
      <c r="U143" s="13">
        <v>1980</v>
      </c>
      <c r="V143" s="13">
        <v>2050</v>
      </c>
      <c r="W143" s="13">
        <v>1900</v>
      </c>
      <c r="X143" s="13">
        <v>2400</v>
      </c>
      <c r="Y143" s="13">
        <v>2096</v>
      </c>
      <c r="Z143" s="13">
        <v>1696</v>
      </c>
      <c r="AA143" s="13">
        <v>1950</v>
      </c>
      <c r="AB143" s="13">
        <v>1960</v>
      </c>
      <c r="AC143" s="13">
        <v>1560</v>
      </c>
      <c r="AD143" s="13">
        <v>1330</v>
      </c>
      <c r="AE143" s="13">
        <v>1030</v>
      </c>
      <c r="AF143" s="13">
        <v>1020</v>
      </c>
      <c r="AG143" s="13">
        <v>1017</v>
      </c>
      <c r="AH143" s="13">
        <v>1136</v>
      </c>
      <c r="AI143" s="13">
        <v>1076</v>
      </c>
      <c r="AJ143" s="13">
        <v>1161</v>
      </c>
      <c r="AK143" s="13">
        <v>1009</v>
      </c>
      <c r="AL143" s="13">
        <v>881</v>
      </c>
      <c r="AM143" s="13">
        <v>731</v>
      </c>
      <c r="AN143" s="13">
        <v>720</v>
      </c>
      <c r="AO143" s="13">
        <v>710</v>
      </c>
      <c r="AP143" s="13">
        <v>710</v>
      </c>
      <c r="AQ143" s="13">
        <v>743</v>
      </c>
      <c r="AR143" s="13">
        <v>748</v>
      </c>
      <c r="AS143" s="13">
        <v>747</v>
      </c>
      <c r="AT143" s="13">
        <v>753</v>
      </c>
      <c r="AU143" s="13">
        <v>786</v>
      </c>
      <c r="AV143" s="13">
        <v>812</v>
      </c>
      <c r="AW143" s="13">
        <v>796</v>
      </c>
      <c r="AX143" s="13">
        <v>795</v>
      </c>
      <c r="AY143" s="13">
        <v>788</v>
      </c>
      <c r="AZ143" s="13">
        <v>810</v>
      </c>
      <c r="BA143" s="13">
        <v>943</v>
      </c>
      <c r="BB143" s="13">
        <v>982</v>
      </c>
      <c r="BC143" s="13">
        <v>920</v>
      </c>
      <c r="BD143" s="13">
        <v>958</v>
      </c>
      <c r="BE143" s="13">
        <v>1002</v>
      </c>
      <c r="BF143" s="13">
        <v>1002</v>
      </c>
      <c r="BG143" s="13">
        <v>1012</v>
      </c>
      <c r="BH143" s="13">
        <v>1038</v>
      </c>
      <c r="BI143" s="13">
        <v>1019</v>
      </c>
      <c r="BJ143" s="13">
        <v>1067</v>
      </c>
      <c r="BK143" s="13">
        <v>1180</v>
      </c>
      <c r="BL143" s="13">
        <v>1263</v>
      </c>
      <c r="BM143" s="4">
        <v>1216</v>
      </c>
      <c r="BN143" s="4">
        <v>1182</v>
      </c>
      <c r="BO143" s="4">
        <v>1141</v>
      </c>
      <c r="BP143" s="4">
        <v>1173</v>
      </c>
      <c r="BQ143" s="4">
        <v>1251</v>
      </c>
      <c r="BR143" s="4">
        <v>1199</v>
      </c>
      <c r="BS143" s="4">
        <v>1235</v>
      </c>
      <c r="BT143" s="4">
        <v>1351</v>
      </c>
      <c r="BU143" s="4">
        <v>1336</v>
      </c>
      <c r="BV143" s="4">
        <v>1036</v>
      </c>
      <c r="BW143" s="4">
        <v>1068</v>
      </c>
      <c r="BX143" s="4">
        <v>1086</v>
      </c>
      <c r="BY143" s="4">
        <v>936</v>
      </c>
      <c r="BZ143" s="4">
        <v>1013</v>
      </c>
    </row>
    <row r="144" spans="1:254" ht="15.9" customHeight="1">
      <c r="A144" s="61" t="s">
        <v>282</v>
      </c>
      <c r="B144" s="6" t="s">
        <v>283</v>
      </c>
      <c r="C144" s="15">
        <f>_xll.RssMarket("6777","現在値")</f>
        <v>19550</v>
      </c>
      <c r="D144" s="16">
        <f t="shared" si="5"/>
        <v>0</v>
      </c>
      <c r="E144" s="13">
        <v>19550</v>
      </c>
      <c r="F144" s="13">
        <v>21450</v>
      </c>
      <c r="G144" s="13">
        <v>19440</v>
      </c>
      <c r="H144" s="13">
        <v>17950</v>
      </c>
      <c r="I144" s="13">
        <v>17280</v>
      </c>
      <c r="J144" s="13">
        <v>15290</v>
      </c>
      <c r="K144" s="13">
        <v>15290</v>
      </c>
      <c r="L144" s="13">
        <v>16500</v>
      </c>
      <c r="M144" s="13">
        <v>18310</v>
      </c>
      <c r="N144" s="13"/>
      <c r="O144" s="13">
        <v>19020</v>
      </c>
      <c r="P144" s="13">
        <v>19090</v>
      </c>
      <c r="Q144" s="13">
        <v>18910</v>
      </c>
      <c r="R144" s="13">
        <v>18630</v>
      </c>
      <c r="S144" s="13">
        <v>21850</v>
      </c>
      <c r="T144" s="13">
        <v>21000</v>
      </c>
      <c r="U144" s="13">
        <v>20820</v>
      </c>
      <c r="V144" s="13">
        <v>20790</v>
      </c>
      <c r="W144" s="13">
        <v>20500</v>
      </c>
      <c r="X144" s="13">
        <v>20220</v>
      </c>
      <c r="Y144" s="13">
        <v>21370</v>
      </c>
      <c r="Z144" s="13">
        <v>23130</v>
      </c>
      <c r="AA144" s="13">
        <v>23350</v>
      </c>
      <c r="AB144" s="13">
        <v>23700</v>
      </c>
      <c r="AC144" s="13">
        <v>25800</v>
      </c>
      <c r="AD144" s="13">
        <v>26590</v>
      </c>
      <c r="AE144" s="13">
        <v>26360</v>
      </c>
      <c r="AF144" s="13">
        <v>28000</v>
      </c>
      <c r="AG144" s="13">
        <v>28100</v>
      </c>
      <c r="AH144" s="13">
        <v>27150</v>
      </c>
      <c r="AI144" s="13">
        <v>27360</v>
      </c>
      <c r="AJ144" s="13">
        <v>30150</v>
      </c>
      <c r="AK144" s="13">
        <v>28910</v>
      </c>
      <c r="AL144" s="13">
        <v>26720</v>
      </c>
      <c r="AM144" s="13">
        <v>27070</v>
      </c>
      <c r="AN144" s="13">
        <v>27070</v>
      </c>
      <c r="AO144" s="13">
        <v>25050</v>
      </c>
      <c r="AP144" s="13">
        <v>23220</v>
      </c>
      <c r="AQ144" s="13">
        <v>22800</v>
      </c>
      <c r="AR144" s="13">
        <v>23640</v>
      </c>
      <c r="AS144" s="13">
        <v>23200</v>
      </c>
      <c r="AT144" s="13">
        <v>25170</v>
      </c>
      <c r="AU144" s="13">
        <v>25730</v>
      </c>
      <c r="AV144" s="13">
        <v>26130</v>
      </c>
      <c r="AW144" s="13">
        <v>25450</v>
      </c>
      <c r="AX144" s="13">
        <v>24980</v>
      </c>
      <c r="AY144" s="13">
        <v>24670</v>
      </c>
      <c r="AZ144" s="13">
        <v>25060</v>
      </c>
      <c r="BA144" s="13">
        <v>28440</v>
      </c>
      <c r="BB144" s="13">
        <v>27250</v>
      </c>
      <c r="BC144" s="13">
        <v>26020</v>
      </c>
      <c r="BD144" s="13">
        <v>26860</v>
      </c>
      <c r="BE144" s="13">
        <v>27650</v>
      </c>
      <c r="BF144" s="13">
        <v>32300</v>
      </c>
      <c r="BG144" s="13">
        <v>29750</v>
      </c>
      <c r="BH144" s="13">
        <v>31950</v>
      </c>
      <c r="BI144" s="13">
        <v>33000</v>
      </c>
      <c r="BJ144" s="13">
        <v>31000</v>
      </c>
      <c r="BK144" s="13">
        <v>27230</v>
      </c>
      <c r="BL144" s="13">
        <v>27720</v>
      </c>
      <c r="BM144" s="4">
        <v>28230</v>
      </c>
      <c r="BN144" s="4">
        <v>27830</v>
      </c>
      <c r="BO144" s="4">
        <v>27940</v>
      </c>
      <c r="BP144" s="4">
        <v>28580</v>
      </c>
      <c r="BQ144" s="4">
        <v>28680</v>
      </c>
      <c r="BR144" s="4">
        <v>28700</v>
      </c>
      <c r="BS144" s="4">
        <v>30950</v>
      </c>
      <c r="BT144" s="4">
        <v>29450</v>
      </c>
      <c r="BU144" s="4">
        <v>29770</v>
      </c>
      <c r="BV144" s="4">
        <v>29280</v>
      </c>
      <c r="BW144" s="4">
        <v>26530</v>
      </c>
      <c r="BX144" s="4">
        <v>24420</v>
      </c>
      <c r="BY144" s="4">
        <v>24630</v>
      </c>
      <c r="BZ144" s="4">
        <v>24760</v>
      </c>
    </row>
    <row r="145" spans="1:254" ht="15.9" customHeight="1">
      <c r="A145" s="61" t="s">
        <v>284</v>
      </c>
      <c r="B145" s="6" t="s">
        <v>285</v>
      </c>
      <c r="C145" s="15">
        <f>_xll.RssMarket("6787","現在値")</f>
        <v>23790</v>
      </c>
      <c r="D145" s="16">
        <f t="shared" si="5"/>
        <v>0</v>
      </c>
      <c r="E145" s="13">
        <v>23790</v>
      </c>
      <c r="F145" s="13">
        <v>24800</v>
      </c>
      <c r="G145" s="13">
        <v>22040</v>
      </c>
      <c r="H145" s="13">
        <v>21180</v>
      </c>
      <c r="I145" s="13">
        <v>20680</v>
      </c>
      <c r="J145" s="13">
        <v>18990</v>
      </c>
      <c r="K145" s="13">
        <v>18450</v>
      </c>
      <c r="L145" s="13">
        <v>20850</v>
      </c>
      <c r="M145" s="13">
        <v>22990</v>
      </c>
      <c r="N145" s="13">
        <v>23100</v>
      </c>
      <c r="O145" s="13">
        <v>23820</v>
      </c>
      <c r="P145" s="13">
        <v>24390</v>
      </c>
      <c r="Q145" s="13">
        <v>23530</v>
      </c>
      <c r="R145" s="13">
        <v>22630</v>
      </c>
      <c r="S145" s="13">
        <v>26930</v>
      </c>
      <c r="T145" s="13">
        <v>25720</v>
      </c>
      <c r="U145" s="13">
        <v>25880</v>
      </c>
      <c r="V145" s="13">
        <v>26160</v>
      </c>
      <c r="W145" s="13">
        <v>25800</v>
      </c>
      <c r="X145" s="13">
        <v>25470</v>
      </c>
      <c r="Y145" s="13">
        <v>26570</v>
      </c>
      <c r="Z145" s="13">
        <v>27620</v>
      </c>
      <c r="AA145" s="13">
        <v>29330</v>
      </c>
      <c r="AB145" s="13">
        <v>28580</v>
      </c>
      <c r="AC145" s="13">
        <v>29520</v>
      </c>
      <c r="AD145" s="13">
        <v>31000</v>
      </c>
      <c r="AE145" s="13">
        <v>31650</v>
      </c>
      <c r="AF145" s="13">
        <v>30250</v>
      </c>
      <c r="AG145" s="13">
        <v>32400</v>
      </c>
      <c r="AH145" s="13">
        <v>32400</v>
      </c>
      <c r="AI145" s="13">
        <v>32550</v>
      </c>
      <c r="AJ145" s="13">
        <v>37050</v>
      </c>
      <c r="AK145" s="13">
        <v>39900</v>
      </c>
      <c r="AL145" s="13">
        <v>35850</v>
      </c>
      <c r="AM145" s="13">
        <v>35750</v>
      </c>
      <c r="AN145" s="13">
        <v>34850</v>
      </c>
      <c r="AO145" s="13">
        <v>30400</v>
      </c>
      <c r="AP145" s="13">
        <v>30850</v>
      </c>
      <c r="AQ145" s="13">
        <v>29180</v>
      </c>
      <c r="AR145" s="13">
        <v>30900</v>
      </c>
      <c r="AS145" s="13">
        <v>33900</v>
      </c>
      <c r="AT145" s="13">
        <v>35600</v>
      </c>
      <c r="AU145" s="13">
        <v>37300</v>
      </c>
      <c r="AV145" s="13">
        <v>37100</v>
      </c>
      <c r="AW145" s="13">
        <v>39200</v>
      </c>
      <c r="AX145" s="13">
        <v>38600</v>
      </c>
      <c r="AY145" s="13">
        <v>37600</v>
      </c>
      <c r="AZ145" s="13">
        <v>37900</v>
      </c>
      <c r="BA145" s="13">
        <v>42750</v>
      </c>
      <c r="BB145" s="13">
        <v>43450</v>
      </c>
      <c r="BC145" s="13">
        <v>40050</v>
      </c>
      <c r="BD145" s="13">
        <v>35400</v>
      </c>
      <c r="BE145" s="13">
        <v>36850</v>
      </c>
      <c r="BF145" s="13">
        <v>39800</v>
      </c>
      <c r="BG145" s="13">
        <v>36200</v>
      </c>
      <c r="BH145" s="13">
        <v>38650</v>
      </c>
      <c r="BI145" s="13">
        <v>31650</v>
      </c>
      <c r="BJ145" s="13">
        <v>30750</v>
      </c>
      <c r="BK145" s="13">
        <v>31500</v>
      </c>
      <c r="BL145" s="13">
        <v>33500</v>
      </c>
      <c r="BM145" s="4">
        <v>31200</v>
      </c>
      <c r="BN145" s="4">
        <v>29740</v>
      </c>
      <c r="BO145" s="4">
        <v>31650</v>
      </c>
      <c r="BP145" s="4">
        <v>32000</v>
      </c>
      <c r="BQ145" s="4">
        <v>30800</v>
      </c>
      <c r="BR145" s="4">
        <v>29440</v>
      </c>
      <c r="BS145" s="4">
        <v>28170</v>
      </c>
      <c r="BT145" s="4">
        <v>29330</v>
      </c>
      <c r="BU145" s="4">
        <v>27830</v>
      </c>
      <c r="BV145" s="4">
        <v>27340</v>
      </c>
      <c r="BW145" s="4">
        <v>28650</v>
      </c>
      <c r="BX145" s="4">
        <v>29730</v>
      </c>
      <c r="BY145" s="4">
        <v>28240</v>
      </c>
      <c r="BZ145" s="4">
        <v>29370</v>
      </c>
    </row>
    <row r="146" spans="1:254" ht="15.9" customHeight="1">
      <c r="A146" s="61" t="s">
        <v>286</v>
      </c>
      <c r="B146" s="6" t="s">
        <v>287</v>
      </c>
      <c r="C146" s="15">
        <f>_xll.RssMarket("4888","現在値")</f>
        <v>313</v>
      </c>
      <c r="D146" s="16">
        <f t="shared" si="5"/>
        <v>0</v>
      </c>
      <c r="E146" s="13">
        <v>313</v>
      </c>
      <c r="F146" s="13">
        <v>315</v>
      </c>
      <c r="G146" s="13">
        <v>316</v>
      </c>
      <c r="H146" s="13">
        <v>311</v>
      </c>
      <c r="I146" s="13">
        <v>307</v>
      </c>
      <c r="J146" s="13">
        <v>297</v>
      </c>
      <c r="K146" s="13">
        <v>299</v>
      </c>
      <c r="L146" s="13">
        <v>310</v>
      </c>
      <c r="M146" s="13">
        <v>322</v>
      </c>
      <c r="N146" s="13">
        <v>306</v>
      </c>
      <c r="O146" s="13">
        <v>306</v>
      </c>
      <c r="P146" s="13">
        <v>308</v>
      </c>
      <c r="Q146" s="13">
        <v>305</v>
      </c>
      <c r="R146" s="13">
        <v>305</v>
      </c>
      <c r="S146" s="13">
        <v>337</v>
      </c>
      <c r="T146" s="13">
        <v>325</v>
      </c>
      <c r="U146" s="13">
        <v>326</v>
      </c>
      <c r="V146" s="13">
        <v>324</v>
      </c>
      <c r="W146" s="13">
        <v>302</v>
      </c>
      <c r="X146" s="13">
        <v>301</v>
      </c>
      <c r="Y146" s="13">
        <v>308</v>
      </c>
      <c r="Z146" s="13">
        <v>311</v>
      </c>
      <c r="AA146" s="13">
        <v>312</v>
      </c>
      <c r="AB146" s="13">
        <v>304</v>
      </c>
      <c r="AC146" s="13">
        <v>307</v>
      </c>
      <c r="AD146" s="13">
        <v>311</v>
      </c>
      <c r="AE146" s="13">
        <v>310</v>
      </c>
      <c r="AF146" s="13">
        <v>300</v>
      </c>
      <c r="AG146" s="13">
        <v>312</v>
      </c>
      <c r="AH146" s="13">
        <v>315</v>
      </c>
      <c r="AI146" s="13">
        <v>321</v>
      </c>
      <c r="AJ146" s="13">
        <v>336</v>
      </c>
      <c r="AK146" s="13">
        <v>352</v>
      </c>
      <c r="AL146" s="13">
        <v>412</v>
      </c>
      <c r="AM146" s="13">
        <v>350</v>
      </c>
      <c r="AN146" s="13">
        <v>332</v>
      </c>
      <c r="AO146" s="13">
        <v>334</v>
      </c>
      <c r="AP146" s="13">
        <v>333</v>
      </c>
      <c r="AQ146" s="13">
        <v>318</v>
      </c>
      <c r="AR146" s="13">
        <v>305</v>
      </c>
      <c r="AS146" s="13">
        <v>300</v>
      </c>
      <c r="AT146" s="13">
        <v>344</v>
      </c>
      <c r="AU146" s="13">
        <v>343</v>
      </c>
      <c r="AV146" s="13">
        <v>349</v>
      </c>
      <c r="AW146" s="13">
        <v>332</v>
      </c>
      <c r="AX146" s="13">
        <v>357</v>
      </c>
      <c r="AY146" s="13">
        <v>388</v>
      </c>
      <c r="AZ146" s="13">
        <v>392</v>
      </c>
      <c r="BA146" s="13">
        <v>444</v>
      </c>
      <c r="BB146" s="13">
        <v>445</v>
      </c>
      <c r="BC146" s="13">
        <v>441</v>
      </c>
      <c r="BD146" s="13">
        <v>412</v>
      </c>
      <c r="BE146" s="13">
        <v>432</v>
      </c>
      <c r="BF146" s="13">
        <v>433</v>
      </c>
      <c r="BG146" s="13">
        <v>413</v>
      </c>
      <c r="BH146" s="13">
        <v>411</v>
      </c>
      <c r="BI146" s="13">
        <v>479</v>
      </c>
      <c r="BJ146" s="13">
        <v>469</v>
      </c>
      <c r="BK146" s="13">
        <v>487</v>
      </c>
      <c r="BL146" s="13">
        <v>530</v>
      </c>
      <c r="BM146" s="4">
        <v>532</v>
      </c>
      <c r="BN146" s="4">
        <v>525</v>
      </c>
      <c r="BO146" s="4">
        <v>514</v>
      </c>
      <c r="BP146" s="4">
        <v>519</v>
      </c>
      <c r="BQ146" s="4">
        <v>540</v>
      </c>
      <c r="BR146" s="4">
        <v>543</v>
      </c>
      <c r="BS146" s="4">
        <v>543</v>
      </c>
      <c r="BT146" s="4">
        <v>565</v>
      </c>
      <c r="BU146" s="4">
        <v>626</v>
      </c>
      <c r="BV146" s="4">
        <v>716</v>
      </c>
      <c r="BW146" s="4">
        <v>713</v>
      </c>
      <c r="BX146" s="4">
        <v>750</v>
      </c>
      <c r="BY146" s="4">
        <v>650</v>
      </c>
      <c r="BZ146" s="4">
        <v>711</v>
      </c>
    </row>
    <row r="147" spans="1:254" ht="15.9" customHeight="1">
      <c r="A147" s="61" t="s">
        <v>288</v>
      </c>
      <c r="B147" s="6" t="s">
        <v>289</v>
      </c>
      <c r="C147" s="15">
        <f>_xll.RssMarket("6387","現在値")</f>
        <v>9290</v>
      </c>
      <c r="D147" s="16">
        <f t="shared" si="5"/>
        <v>0</v>
      </c>
      <c r="E147" s="13">
        <v>9290</v>
      </c>
      <c r="F147" s="13">
        <v>9860</v>
      </c>
      <c r="G147" s="13">
        <v>9350</v>
      </c>
      <c r="H147" s="13">
        <v>8520</v>
      </c>
      <c r="I147" s="13">
        <v>8520</v>
      </c>
      <c r="J147" s="13">
        <v>7370</v>
      </c>
      <c r="K147" s="13">
        <v>7610</v>
      </c>
      <c r="L147" s="13">
        <v>8370</v>
      </c>
      <c r="M147" s="13">
        <v>9320</v>
      </c>
      <c r="N147" s="13"/>
      <c r="O147" s="13">
        <v>10200</v>
      </c>
      <c r="P147" s="13">
        <v>10360</v>
      </c>
      <c r="Q147" s="13">
        <v>10240</v>
      </c>
      <c r="R147" s="13">
        <v>9990</v>
      </c>
      <c r="S147" s="13">
        <v>12450</v>
      </c>
      <c r="T147" s="13">
        <v>12160</v>
      </c>
      <c r="U147" s="13">
        <v>12920</v>
      </c>
      <c r="V147" s="13">
        <v>12980</v>
      </c>
      <c r="W147" s="13">
        <v>11830</v>
      </c>
      <c r="X147" s="13">
        <v>11170</v>
      </c>
      <c r="Y147" s="13">
        <v>11680</v>
      </c>
      <c r="Z147" s="13">
        <v>12080</v>
      </c>
      <c r="AA147" s="13">
        <v>13400</v>
      </c>
      <c r="AB147" s="13">
        <v>13200</v>
      </c>
      <c r="AC147" s="13">
        <v>14060</v>
      </c>
      <c r="AD147" s="13">
        <v>13860</v>
      </c>
      <c r="AE147" s="13">
        <v>14000</v>
      </c>
      <c r="AF147" s="13">
        <v>13850</v>
      </c>
      <c r="AG147" s="13">
        <v>14380</v>
      </c>
      <c r="AH147" s="13">
        <v>14140</v>
      </c>
      <c r="AI147" s="13">
        <v>14590</v>
      </c>
      <c r="AJ147" s="13">
        <v>15590</v>
      </c>
      <c r="AK147" s="13">
        <v>14580</v>
      </c>
      <c r="AL147" s="13">
        <v>15190</v>
      </c>
      <c r="AM147" s="13">
        <v>16190</v>
      </c>
      <c r="AN147" s="13">
        <v>16220</v>
      </c>
      <c r="AO147" s="13">
        <v>15200</v>
      </c>
      <c r="AP147" s="13">
        <v>12300</v>
      </c>
      <c r="AQ147" s="13">
        <v>11190</v>
      </c>
      <c r="AR147" s="13">
        <v>11760</v>
      </c>
      <c r="AS147" s="13">
        <v>11760</v>
      </c>
      <c r="AT147" s="13">
        <v>12680</v>
      </c>
      <c r="AU147" s="13">
        <v>12880</v>
      </c>
      <c r="AV147" s="13">
        <v>12380</v>
      </c>
      <c r="AW147" s="13">
        <v>12050</v>
      </c>
      <c r="AX147" s="13">
        <v>10080</v>
      </c>
      <c r="AY147" s="13">
        <v>10290</v>
      </c>
      <c r="AZ147" s="13">
        <v>10490</v>
      </c>
      <c r="BA147" s="13">
        <v>11640</v>
      </c>
      <c r="BB147" s="13">
        <v>11890</v>
      </c>
      <c r="BC147" s="13">
        <v>10820</v>
      </c>
      <c r="BD147" s="13">
        <v>10900</v>
      </c>
      <c r="BE147" s="13">
        <v>11040</v>
      </c>
      <c r="BF147" s="13">
        <v>12120</v>
      </c>
      <c r="BG147" s="13">
        <v>12030</v>
      </c>
      <c r="BH147" s="13">
        <v>13200</v>
      </c>
      <c r="BI147" s="13">
        <v>13170</v>
      </c>
      <c r="BJ147" s="13">
        <v>12690</v>
      </c>
      <c r="BK147" s="13">
        <v>12870</v>
      </c>
      <c r="BL147" s="13">
        <v>13410</v>
      </c>
      <c r="BM147" s="4">
        <v>14370</v>
      </c>
      <c r="BN147" s="4">
        <v>11470</v>
      </c>
      <c r="BO147" s="4">
        <v>11560</v>
      </c>
      <c r="BP147" s="4">
        <v>11250</v>
      </c>
      <c r="BQ147" s="4">
        <v>11100</v>
      </c>
      <c r="BR147" s="4">
        <v>10860</v>
      </c>
      <c r="BS147" s="4">
        <v>11040</v>
      </c>
      <c r="BT147" s="4">
        <v>10350</v>
      </c>
      <c r="BU147" s="4">
        <v>9520</v>
      </c>
      <c r="BV147" s="4">
        <v>9550</v>
      </c>
      <c r="BW147" s="4">
        <v>9640</v>
      </c>
      <c r="BX147" s="4">
        <v>10110</v>
      </c>
      <c r="BY147" s="4">
        <v>9730</v>
      </c>
      <c r="BZ147" s="4">
        <v>10190</v>
      </c>
    </row>
    <row r="148" spans="1:254" ht="15.9" customHeight="1">
      <c r="A148" s="61" t="s">
        <v>290</v>
      </c>
      <c r="B148" s="6" t="s">
        <v>291</v>
      </c>
      <c r="C148" s="15">
        <f>_xll.RssMarket("6838","現在値")</f>
        <v>1480</v>
      </c>
      <c r="D148" s="16">
        <f t="shared" si="5"/>
        <v>0</v>
      </c>
      <c r="E148" s="13">
        <v>1480</v>
      </c>
      <c r="F148" s="13">
        <v>1516</v>
      </c>
      <c r="G148" s="13">
        <v>1460</v>
      </c>
      <c r="H148" s="13">
        <v>1386</v>
      </c>
      <c r="I148" s="13">
        <v>1290</v>
      </c>
      <c r="J148" s="13">
        <v>1221</v>
      </c>
      <c r="K148" s="13">
        <v>1206</v>
      </c>
      <c r="L148" s="13">
        <v>1249</v>
      </c>
      <c r="M148" s="13">
        <v>1365</v>
      </c>
      <c r="N148" s="13">
        <v>1355</v>
      </c>
      <c r="O148" s="13">
        <v>1405</v>
      </c>
      <c r="P148" s="13">
        <v>1399</v>
      </c>
      <c r="Q148" s="13">
        <v>1355</v>
      </c>
      <c r="R148" s="13">
        <v>1344</v>
      </c>
      <c r="S148" s="13">
        <v>1496</v>
      </c>
      <c r="T148" s="13">
        <v>1446</v>
      </c>
      <c r="U148" s="13">
        <v>1456</v>
      </c>
      <c r="V148" s="13">
        <v>1542</v>
      </c>
      <c r="W148" s="13">
        <v>1525</v>
      </c>
      <c r="X148" s="13">
        <v>1521</v>
      </c>
      <c r="Y148" s="13">
        <v>1638</v>
      </c>
      <c r="Z148" s="13">
        <v>1745</v>
      </c>
      <c r="AA148" s="13">
        <v>1747</v>
      </c>
      <c r="AB148" s="13">
        <v>1726</v>
      </c>
      <c r="AC148" s="13">
        <v>1738</v>
      </c>
      <c r="AD148" s="13">
        <v>1764</v>
      </c>
      <c r="AE148" s="13">
        <v>1822</v>
      </c>
      <c r="AF148" s="13">
        <v>1941</v>
      </c>
      <c r="AG148" s="13">
        <v>2125</v>
      </c>
      <c r="AH148" s="13">
        <v>1892</v>
      </c>
      <c r="AI148" s="13">
        <v>1980</v>
      </c>
      <c r="AJ148" s="13">
        <v>2026</v>
      </c>
      <c r="AK148" s="13">
        <v>2048</v>
      </c>
      <c r="AL148" s="13">
        <v>2171</v>
      </c>
      <c r="AM148" s="13">
        <v>2153</v>
      </c>
      <c r="AN148" s="13">
        <v>2280</v>
      </c>
      <c r="AO148" s="13">
        <v>1880</v>
      </c>
      <c r="AP148" s="13">
        <v>1795</v>
      </c>
      <c r="AQ148" s="13">
        <v>1750</v>
      </c>
      <c r="AR148" s="13">
        <v>1836</v>
      </c>
      <c r="AS148" s="13">
        <v>2135</v>
      </c>
      <c r="AT148" s="13">
        <v>2389</v>
      </c>
      <c r="AU148" s="13">
        <v>2446</v>
      </c>
      <c r="AV148" s="13">
        <v>2407</v>
      </c>
      <c r="AW148" s="13">
        <v>2283</v>
      </c>
      <c r="AX148" s="13">
        <v>2087</v>
      </c>
      <c r="AY148" s="13">
        <v>2210</v>
      </c>
      <c r="AZ148" s="13">
        <v>2224</v>
      </c>
      <c r="BA148" s="13">
        <v>2194</v>
      </c>
      <c r="BB148" s="13">
        <v>2083</v>
      </c>
      <c r="BC148" s="13">
        <v>1957</v>
      </c>
      <c r="BD148" s="13">
        <v>1918</v>
      </c>
      <c r="BE148" s="13">
        <v>2024</v>
      </c>
      <c r="BF148" s="13">
        <v>2182</v>
      </c>
      <c r="BG148" s="13">
        <v>2000</v>
      </c>
      <c r="BH148" s="13">
        <v>1910</v>
      </c>
      <c r="BI148" s="13">
        <v>1935</v>
      </c>
      <c r="BJ148" s="13">
        <v>1973</v>
      </c>
      <c r="BK148" s="13">
        <v>2172</v>
      </c>
      <c r="BL148" s="13">
        <v>1930</v>
      </c>
      <c r="BM148" s="4">
        <v>1751</v>
      </c>
      <c r="BN148" s="4">
        <v>1649</v>
      </c>
      <c r="BO148" s="4">
        <v>1684</v>
      </c>
      <c r="BP148" s="4">
        <v>1622</v>
      </c>
      <c r="BQ148" s="4">
        <v>1634</v>
      </c>
      <c r="BR148" s="4">
        <v>1709</v>
      </c>
      <c r="BS148" s="4">
        <v>1791</v>
      </c>
      <c r="BT148" s="4">
        <v>1826</v>
      </c>
      <c r="BU148" s="4">
        <v>1808</v>
      </c>
      <c r="BV148" s="4">
        <v>1750</v>
      </c>
      <c r="BW148" s="4">
        <v>1487</v>
      </c>
      <c r="BX148" s="4">
        <v>1378</v>
      </c>
      <c r="BY148" s="4">
        <v>1259</v>
      </c>
      <c r="BZ148" s="4">
        <v>1282</v>
      </c>
    </row>
    <row r="149" spans="1:254" ht="15.9" customHeight="1">
      <c r="A149" s="61" t="s">
        <v>292</v>
      </c>
      <c r="B149" s="6" t="s">
        <v>293</v>
      </c>
      <c r="C149" s="15">
        <f>_xll.RssMarket("7375","現在値")</f>
        <v>1123</v>
      </c>
      <c r="D149" s="16">
        <f t="shared" si="5"/>
        <v>0</v>
      </c>
      <c r="E149" s="13">
        <v>1123</v>
      </c>
      <c r="F149" s="13">
        <v>1168</v>
      </c>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row>
    <row r="150" spans="1:254" ht="15.9" customHeight="1">
      <c r="A150" s="61" t="s">
        <v>294</v>
      </c>
      <c r="B150" s="6" t="s">
        <v>295</v>
      </c>
      <c r="C150" s="15">
        <f>_xll.RssMarket("4307","現在値")</f>
        <v>4738</v>
      </c>
      <c r="D150" s="16">
        <f t="shared" si="5"/>
        <v>0</v>
      </c>
      <c r="E150" s="13">
        <v>4738</v>
      </c>
      <c r="F150" s="13">
        <v>4570</v>
      </c>
      <c r="G150" s="13">
        <v>4627</v>
      </c>
      <c r="H150" s="13">
        <v>4688</v>
      </c>
      <c r="I150" s="13">
        <v>4686</v>
      </c>
      <c r="J150" s="13">
        <v>5576</v>
      </c>
      <c r="K150" s="13">
        <v>5493</v>
      </c>
      <c r="L150" s="13">
        <v>5378</v>
      </c>
      <c r="M150" s="13">
        <v>5196</v>
      </c>
      <c r="N150" s="13">
        <v>4935</v>
      </c>
      <c r="O150" s="13">
        <v>4903</v>
      </c>
      <c r="P150" s="13">
        <v>4981</v>
      </c>
      <c r="Q150" s="13">
        <v>5105</v>
      </c>
      <c r="R150" s="13">
        <v>5076</v>
      </c>
      <c r="S150" s="13">
        <v>4936</v>
      </c>
      <c r="T150" s="13">
        <v>5063</v>
      </c>
      <c r="U150" s="13">
        <v>5037</v>
      </c>
      <c r="V150" s="13">
        <v>4979</v>
      </c>
      <c r="W150" s="13">
        <v>5018</v>
      </c>
      <c r="X150" s="13">
        <v>5000</v>
      </c>
      <c r="Y150" s="13">
        <v>5119</v>
      </c>
      <c r="Z150" s="13">
        <v>5087</v>
      </c>
      <c r="AA150" s="13">
        <v>4910</v>
      </c>
      <c r="AB150" s="13">
        <v>4836</v>
      </c>
      <c r="AC150" s="13">
        <v>4551</v>
      </c>
      <c r="AD150" s="13">
        <v>4592</v>
      </c>
      <c r="AE150" s="13">
        <v>4630</v>
      </c>
      <c r="AF150" s="13">
        <v>4301</v>
      </c>
      <c r="AG150" s="13">
        <v>4267</v>
      </c>
      <c r="AH150" s="13">
        <v>4368</v>
      </c>
      <c r="AI150" s="13">
        <v>4304</v>
      </c>
      <c r="AJ150" s="13">
        <v>4256</v>
      </c>
      <c r="AK150" s="13">
        <v>4358</v>
      </c>
      <c r="AL150" s="13">
        <v>4655</v>
      </c>
      <c r="AM150" s="13">
        <v>4596</v>
      </c>
      <c r="AN150" s="13">
        <v>4505</v>
      </c>
      <c r="AO150" s="13">
        <v>4565</v>
      </c>
      <c r="AP150" s="13">
        <v>4496</v>
      </c>
      <c r="AQ150" s="13">
        <v>4600</v>
      </c>
      <c r="AR150" s="13">
        <v>4650</v>
      </c>
      <c r="AS150" s="13">
        <v>4699</v>
      </c>
      <c r="AT150" s="13">
        <v>4882</v>
      </c>
      <c r="AU150" s="13">
        <v>4743</v>
      </c>
      <c r="AV150" s="13">
        <v>4894</v>
      </c>
      <c r="AW150" s="13">
        <v>5047</v>
      </c>
      <c r="AX150" s="13">
        <v>5022</v>
      </c>
      <c r="AY150" s="13">
        <v>4832</v>
      </c>
      <c r="AZ150" s="13">
        <v>4747</v>
      </c>
      <c r="BA150" s="13">
        <v>4612</v>
      </c>
      <c r="BB150" s="13">
        <v>4697</v>
      </c>
      <c r="BC150" s="13">
        <v>4681</v>
      </c>
      <c r="BD150" s="13">
        <v>4735</v>
      </c>
      <c r="BE150" s="13">
        <v>4800</v>
      </c>
      <c r="BF150" s="13">
        <v>4561</v>
      </c>
      <c r="BG150" s="13">
        <v>4332</v>
      </c>
      <c r="BH150" s="13">
        <v>4174</v>
      </c>
      <c r="BI150" s="13">
        <v>4340</v>
      </c>
      <c r="BJ150" s="13">
        <v>4228</v>
      </c>
      <c r="BK150" s="13">
        <v>4301</v>
      </c>
      <c r="BL150" s="13">
        <v>4351</v>
      </c>
      <c r="BM150" s="4">
        <v>4249</v>
      </c>
      <c r="BN150" s="4">
        <v>4183</v>
      </c>
      <c r="BO150" s="4">
        <v>4142</v>
      </c>
      <c r="BP150" s="4">
        <v>4313</v>
      </c>
      <c r="BQ150" s="4">
        <v>4409</v>
      </c>
      <c r="BR150" s="4">
        <v>5092</v>
      </c>
      <c r="BS150" s="4">
        <v>5075</v>
      </c>
      <c r="BT150" s="4">
        <v>5155</v>
      </c>
      <c r="BU150" s="4">
        <v>4988</v>
      </c>
      <c r="BV150" s="4">
        <v>4965</v>
      </c>
      <c r="BW150" s="4">
        <v>4886</v>
      </c>
      <c r="BX150" s="4">
        <v>4874</v>
      </c>
      <c r="BY150" s="4">
        <v>4878</v>
      </c>
      <c r="BZ150" s="4">
        <v>4650</v>
      </c>
    </row>
    <row r="151" spans="1:254" ht="15.9" customHeight="1">
      <c r="A151" s="61" t="s">
        <v>296</v>
      </c>
      <c r="B151" s="6" t="s">
        <v>297</v>
      </c>
      <c r="C151" s="15">
        <f>_xll.RssMarket("6516","現在値")</f>
        <v>5930</v>
      </c>
      <c r="D151" s="16">
        <f t="shared" si="5"/>
        <v>0</v>
      </c>
      <c r="E151" s="13">
        <v>5930</v>
      </c>
      <c r="F151" s="13">
        <v>6090</v>
      </c>
      <c r="G151" s="13">
        <v>5640</v>
      </c>
      <c r="H151" s="13">
        <v>5500</v>
      </c>
      <c r="I151" s="13">
        <v>5500</v>
      </c>
      <c r="J151" s="13">
        <v>5270</v>
      </c>
      <c r="K151" s="13">
        <v>5140</v>
      </c>
      <c r="L151" s="13">
        <v>5410</v>
      </c>
      <c r="M151" s="13">
        <v>5720</v>
      </c>
      <c r="N151" s="13"/>
      <c r="O151" s="13">
        <v>5780</v>
      </c>
      <c r="P151" s="13">
        <v>5740</v>
      </c>
      <c r="Q151" s="13">
        <v>5650</v>
      </c>
      <c r="R151" s="13">
        <v>5450</v>
      </c>
      <c r="S151" s="13">
        <v>5930</v>
      </c>
      <c r="T151" s="13">
        <v>5840</v>
      </c>
      <c r="U151" s="13">
        <v>5940</v>
      </c>
      <c r="V151" s="13">
        <v>6080</v>
      </c>
      <c r="W151" s="13">
        <v>5910</v>
      </c>
      <c r="X151" s="13">
        <v>5940</v>
      </c>
      <c r="Y151" s="13">
        <v>6110</v>
      </c>
      <c r="Z151" s="13">
        <v>6420</v>
      </c>
      <c r="AA151" s="13">
        <v>6530</v>
      </c>
      <c r="AB151" s="13">
        <v>6520</v>
      </c>
      <c r="AC151" s="13">
        <v>6580</v>
      </c>
      <c r="AD151" s="13">
        <v>6520</v>
      </c>
      <c r="AE151" s="13">
        <v>6600</v>
      </c>
      <c r="AF151" s="13">
        <v>6910</v>
      </c>
      <c r="AG151" s="13">
        <v>7130</v>
      </c>
      <c r="AH151" s="13">
        <v>7010</v>
      </c>
      <c r="AI151" s="13">
        <v>7090</v>
      </c>
      <c r="AJ151" s="13">
        <v>7030</v>
      </c>
      <c r="AK151" s="13">
        <v>6820</v>
      </c>
      <c r="AL151" s="13">
        <v>6760</v>
      </c>
      <c r="AM151" s="13">
        <v>6780</v>
      </c>
      <c r="AN151" s="13">
        <v>6580</v>
      </c>
      <c r="AO151" s="13">
        <v>6550</v>
      </c>
      <c r="AP151" s="13">
        <v>6280</v>
      </c>
      <c r="AQ151" s="13">
        <v>6250</v>
      </c>
      <c r="AR151" s="13">
        <v>6260</v>
      </c>
      <c r="AS151" s="13">
        <v>6420</v>
      </c>
      <c r="AT151" s="13">
        <v>6740</v>
      </c>
      <c r="AU151" s="13">
        <v>6820</v>
      </c>
      <c r="AV151" s="13">
        <v>6700</v>
      </c>
      <c r="AW151" s="13">
        <v>6600</v>
      </c>
      <c r="AX151" s="13">
        <v>6790</v>
      </c>
      <c r="AY151" s="13">
        <v>6760</v>
      </c>
      <c r="AZ151" s="13">
        <v>6800</v>
      </c>
      <c r="BA151" s="13">
        <v>7070</v>
      </c>
      <c r="BB151" s="13">
        <v>7090</v>
      </c>
      <c r="BC151" s="13">
        <v>7160</v>
      </c>
      <c r="BD151" s="13">
        <v>6860</v>
      </c>
      <c r="BE151" s="13">
        <v>7050</v>
      </c>
      <c r="BF151" s="13">
        <v>7240</v>
      </c>
      <c r="BG151" s="13">
        <v>7410</v>
      </c>
      <c r="BH151" s="13">
        <v>7490</v>
      </c>
      <c r="BI151" s="13">
        <v>7640</v>
      </c>
      <c r="BJ151" s="13">
        <v>7560</v>
      </c>
      <c r="BK151" s="13">
        <v>7680</v>
      </c>
      <c r="BL151" s="13">
        <v>7440</v>
      </c>
      <c r="BM151" s="4">
        <v>7230</v>
      </c>
      <c r="BN151" s="4">
        <v>6770</v>
      </c>
      <c r="BO151" s="4">
        <v>6920</v>
      </c>
      <c r="BP151" s="4">
        <v>7020</v>
      </c>
      <c r="BQ151" s="4">
        <v>6640</v>
      </c>
      <c r="BR151" s="4">
        <v>5640</v>
      </c>
      <c r="BS151" s="4">
        <v>5190</v>
      </c>
      <c r="BT151" s="4">
        <v>5370</v>
      </c>
      <c r="BU151" s="4">
        <v>5220</v>
      </c>
      <c r="BV151" s="4">
        <v>5150</v>
      </c>
      <c r="BW151" s="4">
        <v>5100</v>
      </c>
      <c r="BX151" s="4">
        <v>5170</v>
      </c>
      <c r="BY151" s="4">
        <v>5200</v>
      </c>
      <c r="BZ151" s="4">
        <v>5280</v>
      </c>
    </row>
    <row r="152" spans="1:254" ht="15.9" customHeight="1">
      <c r="A152" s="61" t="s">
        <v>298</v>
      </c>
      <c r="B152" s="6" t="s">
        <v>299</v>
      </c>
      <c r="C152" s="15">
        <f>_xll.RssMarket("7381","現在値")</f>
        <v>1215</v>
      </c>
      <c r="D152" s="16">
        <f t="shared" si="5"/>
        <v>0</v>
      </c>
      <c r="E152" s="13">
        <v>1215</v>
      </c>
      <c r="F152" s="13">
        <v>1166</v>
      </c>
      <c r="G152" s="13">
        <v>1125</v>
      </c>
      <c r="H152" s="13">
        <v>1127</v>
      </c>
      <c r="I152" s="13">
        <v>1107</v>
      </c>
      <c r="J152" s="13">
        <v>1064</v>
      </c>
      <c r="K152" s="13">
        <v>1111</v>
      </c>
      <c r="L152" s="13">
        <v>1150</v>
      </c>
      <c r="M152" s="13">
        <v>1185</v>
      </c>
      <c r="N152" s="13">
        <v>1156</v>
      </c>
      <c r="O152" s="13">
        <v>1170</v>
      </c>
      <c r="P152" s="13">
        <v>1163</v>
      </c>
      <c r="Q152" s="13">
        <v>1137</v>
      </c>
      <c r="R152" s="13">
        <v>1072</v>
      </c>
      <c r="S152" s="13">
        <v>1123</v>
      </c>
      <c r="T152" s="13">
        <v>1069</v>
      </c>
      <c r="U152" s="13">
        <v>1040</v>
      </c>
      <c r="V152" s="13">
        <v>1034</v>
      </c>
      <c r="W152" s="13">
        <v>1040</v>
      </c>
      <c r="X152" s="13">
        <v>1077</v>
      </c>
      <c r="Y152" s="13">
        <v>1063</v>
      </c>
      <c r="Z152" s="13">
        <v>1056</v>
      </c>
      <c r="AA152" s="13">
        <v>1043</v>
      </c>
      <c r="AB152" s="13">
        <v>1030</v>
      </c>
      <c r="AC152" s="13">
        <v>1026</v>
      </c>
      <c r="AD152" s="13">
        <v>1020</v>
      </c>
      <c r="AE152" s="13">
        <v>1003</v>
      </c>
      <c r="AF152" s="13">
        <v>978</v>
      </c>
      <c r="AG152" s="13">
        <v>978</v>
      </c>
      <c r="AH152" s="13">
        <v>950</v>
      </c>
      <c r="AI152" s="13">
        <v>969</v>
      </c>
      <c r="AJ152" s="13">
        <v>968</v>
      </c>
      <c r="AK152" s="13">
        <v>961</v>
      </c>
      <c r="AL152" s="13">
        <v>983</v>
      </c>
      <c r="AM152" s="13">
        <v>975</v>
      </c>
      <c r="AN152" s="13">
        <v>1001</v>
      </c>
      <c r="AO152" s="13">
        <v>1004</v>
      </c>
      <c r="AP152" s="13">
        <v>989</v>
      </c>
      <c r="AQ152" s="13">
        <v>972</v>
      </c>
      <c r="AR152" s="13">
        <v>991</v>
      </c>
      <c r="AS152" s="13">
        <v>977</v>
      </c>
      <c r="AT152" s="13">
        <v>1034</v>
      </c>
      <c r="AU152" s="13">
        <v>1024</v>
      </c>
      <c r="AV152" s="13">
        <v>1012</v>
      </c>
      <c r="AW152" s="13">
        <v>1013</v>
      </c>
      <c r="AX152" s="13">
        <v>1037</v>
      </c>
      <c r="AY152" s="13">
        <v>1032</v>
      </c>
      <c r="AZ152" s="13">
        <v>1049</v>
      </c>
      <c r="BA152" s="13">
        <v>1057</v>
      </c>
      <c r="BB152" s="13">
        <v>1056</v>
      </c>
      <c r="BC152" s="13">
        <v>1063</v>
      </c>
      <c r="BD152" s="13">
        <v>1021</v>
      </c>
      <c r="BE152" s="13">
        <v>1026</v>
      </c>
      <c r="BF152" s="13">
        <v>1030</v>
      </c>
      <c r="BG152" s="13">
        <v>1044</v>
      </c>
      <c r="BH152" s="13">
        <v>1045</v>
      </c>
      <c r="BI152" s="13">
        <v>1027</v>
      </c>
      <c r="BJ152" s="13">
        <v>1013</v>
      </c>
      <c r="BK152" s="13">
        <v>1008</v>
      </c>
      <c r="BL152" s="13">
        <v>1014</v>
      </c>
      <c r="BM152" s="4">
        <v>1015</v>
      </c>
      <c r="BN152" s="4">
        <v>963</v>
      </c>
      <c r="BO152" s="4">
        <v>941</v>
      </c>
      <c r="BP152" s="4">
        <v>952</v>
      </c>
      <c r="BQ152" s="4">
        <v>912</v>
      </c>
      <c r="BR152" s="4">
        <v>924</v>
      </c>
      <c r="BS152" s="4">
        <v>923</v>
      </c>
      <c r="BT152" s="4">
        <v>931</v>
      </c>
      <c r="BU152" s="4">
        <v>970</v>
      </c>
      <c r="BV152" s="4">
        <v>997</v>
      </c>
      <c r="BW152" s="4">
        <v>1015</v>
      </c>
      <c r="BX152" s="4">
        <v>1037</v>
      </c>
      <c r="BY152" s="4">
        <v>1034</v>
      </c>
      <c r="BZ152" s="4">
        <v>1022</v>
      </c>
    </row>
    <row r="153" spans="1:254" ht="15.9" customHeight="1">
      <c r="A153" s="61" t="s">
        <v>300</v>
      </c>
      <c r="B153" s="6" t="s">
        <v>301</v>
      </c>
      <c r="C153" s="15">
        <f>_xll.RssMarket("4417","現在値")</f>
        <v>4600</v>
      </c>
      <c r="D153" s="16">
        <f t="shared" si="5"/>
        <v>0</v>
      </c>
      <c r="E153" s="13">
        <v>4600</v>
      </c>
      <c r="F153" s="13">
        <v>4365</v>
      </c>
      <c r="G153" s="13">
        <v>4190</v>
      </c>
      <c r="H153" s="13">
        <v>4200</v>
      </c>
      <c r="I153" s="13">
        <v>4580</v>
      </c>
      <c r="J153" s="13">
        <v>4395</v>
      </c>
      <c r="K153" s="13">
        <v>4515</v>
      </c>
      <c r="L153" s="13">
        <v>4405</v>
      </c>
      <c r="M153" s="13">
        <v>4450</v>
      </c>
      <c r="N153" s="13">
        <v>4230</v>
      </c>
      <c r="O153" s="13">
        <v>4230</v>
      </c>
      <c r="P153" s="13">
        <v>4300</v>
      </c>
      <c r="Q153" s="13">
        <v>4450</v>
      </c>
      <c r="R153" s="13">
        <v>4360</v>
      </c>
      <c r="S153" s="13">
        <v>4365</v>
      </c>
      <c r="T153" s="13">
        <v>4205</v>
      </c>
      <c r="U153" s="13">
        <v>3950</v>
      </c>
      <c r="V153" s="13">
        <v>3980</v>
      </c>
      <c r="W153" s="13">
        <v>3925</v>
      </c>
      <c r="X153" s="13">
        <v>3930</v>
      </c>
      <c r="Y153" s="13">
        <v>3990</v>
      </c>
      <c r="Z153" s="13">
        <v>4400</v>
      </c>
      <c r="AA153" s="13">
        <v>4210</v>
      </c>
      <c r="AB153" s="13">
        <v>4030</v>
      </c>
      <c r="AC153" s="13">
        <v>3810</v>
      </c>
      <c r="AD153" s="13">
        <v>3850</v>
      </c>
      <c r="AE153" s="13">
        <v>3825</v>
      </c>
      <c r="AF153" s="13">
        <v>3310</v>
      </c>
      <c r="AG153" s="13">
        <v>3300</v>
      </c>
      <c r="AH153" s="13">
        <v>3200</v>
      </c>
      <c r="AI153" s="13">
        <v>3155</v>
      </c>
      <c r="AJ153" s="13">
        <v>3290</v>
      </c>
      <c r="AK153" s="13">
        <v>3255</v>
      </c>
      <c r="AL153" s="13">
        <v>3250</v>
      </c>
      <c r="AM153" s="13">
        <v>3240</v>
      </c>
      <c r="AN153" s="13">
        <v>3070</v>
      </c>
      <c r="AO153" s="13">
        <v>3110</v>
      </c>
      <c r="AP153" s="13">
        <v>2968</v>
      </c>
      <c r="AQ153" s="13">
        <v>3030</v>
      </c>
      <c r="AR153" s="13">
        <v>3100</v>
      </c>
      <c r="AS153" s="13">
        <v>3145</v>
      </c>
      <c r="AT153" s="13">
        <v>3060</v>
      </c>
      <c r="AU153" s="13">
        <v>3080</v>
      </c>
      <c r="AV153" s="13">
        <v>3175</v>
      </c>
      <c r="AW153" s="13">
        <v>3360</v>
      </c>
      <c r="AX153" s="13">
        <v>3435</v>
      </c>
      <c r="AY153" s="13">
        <v>3250</v>
      </c>
      <c r="AZ153" s="13">
        <v>3385</v>
      </c>
      <c r="BA153" s="13">
        <v>3305</v>
      </c>
      <c r="BB153" s="13">
        <v>3260</v>
      </c>
      <c r="BC153" s="13">
        <v>3110</v>
      </c>
      <c r="BD153" s="13">
        <v>2863</v>
      </c>
      <c r="BE153" s="13">
        <v>2909</v>
      </c>
      <c r="BF153" s="13">
        <v>2761</v>
      </c>
      <c r="BG153" s="13">
        <v>2809</v>
      </c>
      <c r="BH153" s="13">
        <v>2758</v>
      </c>
      <c r="BI153" s="13">
        <v>2970</v>
      </c>
      <c r="BJ153" s="13">
        <v>2990</v>
      </c>
      <c r="BK153" s="13">
        <v>2909</v>
      </c>
      <c r="BL153" s="13">
        <v>2909</v>
      </c>
      <c r="BM153" s="4">
        <v>2778</v>
      </c>
      <c r="BN153" s="4">
        <v>2682</v>
      </c>
      <c r="BO153" s="4">
        <v>2497</v>
      </c>
      <c r="BP153" s="4">
        <v>2500</v>
      </c>
      <c r="BQ153" s="4">
        <v>2468</v>
      </c>
      <c r="BR153" s="4">
        <v>2479</v>
      </c>
      <c r="BS153" s="4">
        <v>2475</v>
      </c>
      <c r="BT153" s="4">
        <v>2513</v>
      </c>
      <c r="BU153" s="4">
        <v>2429</v>
      </c>
      <c r="BV153" s="4">
        <v>2494</v>
      </c>
      <c r="BW153" s="4">
        <v>2514</v>
      </c>
      <c r="BX153" s="4">
        <v>2489</v>
      </c>
      <c r="BY153" s="4">
        <v>2356</v>
      </c>
      <c r="BZ153" s="4">
        <v>2230</v>
      </c>
    </row>
    <row r="154" spans="1:254" ht="15.9" customHeight="1">
      <c r="A154" s="61" t="s">
        <v>302</v>
      </c>
      <c r="B154" s="6" t="s">
        <v>303</v>
      </c>
      <c r="C154" s="15">
        <f>_xll.RssMarket("6981","現在値")</f>
        <v>7421</v>
      </c>
      <c r="D154" s="16">
        <f t="shared" si="5"/>
        <v>0</v>
      </c>
      <c r="E154" s="13">
        <v>7421</v>
      </c>
      <c r="F154" s="13">
        <v>7829</v>
      </c>
      <c r="G154" s="13">
        <v>7129</v>
      </c>
      <c r="H154" s="13">
        <v>7161</v>
      </c>
      <c r="I154" s="13">
        <v>7416</v>
      </c>
      <c r="J154" s="13">
        <v>6416</v>
      </c>
      <c r="K154" s="13">
        <v>6231</v>
      </c>
      <c r="L154" s="13">
        <v>7153</v>
      </c>
      <c r="M154" s="13">
        <v>8102</v>
      </c>
      <c r="N154" s="13">
        <v>8311</v>
      </c>
      <c r="O154" s="13">
        <v>8538</v>
      </c>
      <c r="P154" s="13">
        <v>8317</v>
      </c>
      <c r="Q154" s="13">
        <v>8001</v>
      </c>
      <c r="R154" s="13">
        <v>7632</v>
      </c>
      <c r="S154" s="13">
        <v>9100</v>
      </c>
      <c r="T154" s="13">
        <v>9100</v>
      </c>
      <c r="U154" s="13">
        <v>9066</v>
      </c>
      <c r="V154" s="13">
        <v>9860</v>
      </c>
      <c r="W154" s="13">
        <v>9475</v>
      </c>
      <c r="X154" s="13">
        <v>9027</v>
      </c>
      <c r="Y154" s="13">
        <v>9212</v>
      </c>
      <c r="Z154" s="13">
        <v>10250</v>
      </c>
      <c r="AA154" s="13">
        <v>11080</v>
      </c>
      <c r="AB154" s="13">
        <v>10875</v>
      </c>
      <c r="AC154" s="13">
        <v>11890</v>
      </c>
      <c r="AD154" s="13">
        <v>11395</v>
      </c>
      <c r="AE154" s="13">
        <v>10740</v>
      </c>
      <c r="AF154" s="13">
        <v>10770</v>
      </c>
      <c r="AG154" s="13">
        <v>11825</v>
      </c>
      <c r="AH154" s="13">
        <v>11030</v>
      </c>
      <c r="AI154" s="13">
        <v>11005</v>
      </c>
      <c r="AJ154" s="13">
        <v>12250</v>
      </c>
      <c r="AK154" s="13">
        <v>11750</v>
      </c>
      <c r="AL154" s="13">
        <v>11745</v>
      </c>
      <c r="AM154" s="13">
        <v>10865</v>
      </c>
      <c r="AN154" s="13">
        <v>10530</v>
      </c>
      <c r="AO154" s="13">
        <v>10060</v>
      </c>
      <c r="AP154" s="13">
        <v>8556</v>
      </c>
      <c r="AQ154" s="13">
        <v>8967</v>
      </c>
      <c r="AR154" s="13">
        <v>8650</v>
      </c>
      <c r="AS154" s="13">
        <v>8711</v>
      </c>
      <c r="AT154" s="13">
        <v>9695</v>
      </c>
      <c r="AU154" s="13">
        <v>9904</v>
      </c>
      <c r="AV154" s="13">
        <v>10420</v>
      </c>
      <c r="AW154" s="13">
        <v>10230</v>
      </c>
      <c r="AX154" s="13">
        <v>9625</v>
      </c>
      <c r="AY154" s="13">
        <v>8538</v>
      </c>
      <c r="AZ154" s="13">
        <v>7820</v>
      </c>
      <c r="BA154" s="13">
        <v>7928</v>
      </c>
      <c r="BB154" s="13">
        <v>7130</v>
      </c>
      <c r="BC154" s="13">
        <v>6727</v>
      </c>
      <c r="BD154" s="13">
        <v>6164</v>
      </c>
      <c r="BE154" s="13">
        <v>6180</v>
      </c>
      <c r="BF154" s="13">
        <v>6171</v>
      </c>
      <c r="BG154" s="13">
        <v>6151</v>
      </c>
      <c r="BH154" s="13">
        <v>6339</v>
      </c>
      <c r="BI154" s="13">
        <v>6089</v>
      </c>
      <c r="BJ154" s="13">
        <v>6078</v>
      </c>
      <c r="BK154" s="13">
        <v>5960</v>
      </c>
      <c r="BL154" s="13">
        <v>5850</v>
      </c>
      <c r="BM154" s="4">
        <v>5648</v>
      </c>
      <c r="BN154" s="4">
        <v>5138</v>
      </c>
      <c r="BO154" s="4">
        <v>5156</v>
      </c>
      <c r="BP154" s="4">
        <v>4840</v>
      </c>
      <c r="BQ154" s="4">
        <v>4916</v>
      </c>
      <c r="BR154" s="4">
        <v>4936</v>
      </c>
      <c r="BS154" s="4">
        <v>4813</v>
      </c>
      <c r="BT154" s="4">
        <v>4911</v>
      </c>
      <c r="BU154" s="4">
        <v>4810</v>
      </c>
      <c r="BV154" s="4">
        <v>4738</v>
      </c>
      <c r="BW154" s="4">
        <v>4600</v>
      </c>
      <c r="BX154" s="4">
        <v>4792</v>
      </c>
      <c r="BY154" s="4">
        <v>4520</v>
      </c>
      <c r="BZ154" s="4">
        <v>4329</v>
      </c>
    </row>
    <row r="155" spans="1:254" ht="15.9" customHeight="1">
      <c r="A155" s="61" t="s">
        <v>304</v>
      </c>
      <c r="B155" s="6" t="s">
        <v>305</v>
      </c>
      <c r="C155" s="15">
        <f>_xll.RssMarket("6754","現在値")</f>
        <v>3525</v>
      </c>
      <c r="D155" s="16">
        <f t="shared" si="5"/>
        <v>0</v>
      </c>
      <c r="E155" s="13">
        <v>3525</v>
      </c>
      <c r="F155" s="13">
        <v>3833</v>
      </c>
      <c r="G155" s="13">
        <v>3613</v>
      </c>
      <c r="H155" s="13">
        <v>3501</v>
      </c>
      <c r="I155" s="13">
        <v>3564</v>
      </c>
      <c r="J155" s="13">
        <v>3553</v>
      </c>
      <c r="K155" s="13">
        <v>3438</v>
      </c>
      <c r="L155" s="13">
        <v>3651</v>
      </c>
      <c r="M155" s="13">
        <v>3908</v>
      </c>
      <c r="N155" s="13"/>
      <c r="O155" s="13">
        <v>3994</v>
      </c>
      <c r="P155" s="13">
        <v>3934</v>
      </c>
      <c r="Q155" s="13">
        <v>3826</v>
      </c>
      <c r="R155" s="13">
        <v>3654</v>
      </c>
      <c r="S155" s="13">
        <v>4092</v>
      </c>
      <c r="T155" s="13">
        <v>4033</v>
      </c>
      <c r="U155" s="13">
        <v>4051</v>
      </c>
      <c r="V155" s="13">
        <v>4262</v>
      </c>
      <c r="W155" s="13">
        <v>4091</v>
      </c>
      <c r="X155" s="13">
        <v>4011</v>
      </c>
      <c r="Y155" s="13">
        <v>4056</v>
      </c>
      <c r="Z155" s="13">
        <v>4225</v>
      </c>
      <c r="AA155" s="13">
        <v>4500</v>
      </c>
      <c r="AB155" s="13">
        <v>4420</v>
      </c>
      <c r="AC155" s="13">
        <v>4688</v>
      </c>
      <c r="AD155" s="13">
        <v>4396</v>
      </c>
      <c r="AE155" s="13">
        <v>4364</v>
      </c>
      <c r="AF155" s="13">
        <v>4375</v>
      </c>
      <c r="AG155" s="13">
        <v>4559</v>
      </c>
      <c r="AH155" s="13">
        <v>4456</v>
      </c>
      <c r="AI155" s="13">
        <v>4480</v>
      </c>
      <c r="AJ155" s="13">
        <v>4322</v>
      </c>
      <c r="AK155" s="13">
        <v>4333</v>
      </c>
      <c r="AL155" s="13">
        <v>4022</v>
      </c>
      <c r="AM155" s="13">
        <v>4122</v>
      </c>
      <c r="AN155" s="13">
        <v>4096</v>
      </c>
      <c r="AO155" s="13">
        <v>3934</v>
      </c>
      <c r="AP155" s="13">
        <v>3882</v>
      </c>
      <c r="AQ155" s="13">
        <v>3879</v>
      </c>
      <c r="AR155" s="13">
        <v>3834</v>
      </c>
      <c r="AS155" s="13">
        <v>4269</v>
      </c>
      <c r="AT155" s="13">
        <v>4689</v>
      </c>
      <c r="AU155" s="13">
        <v>4632</v>
      </c>
      <c r="AV155" s="13">
        <v>4776</v>
      </c>
      <c r="AW155" s="13">
        <v>4584</v>
      </c>
      <c r="AX155" s="13">
        <v>4547</v>
      </c>
      <c r="AY155" s="13">
        <v>4580</v>
      </c>
      <c r="AZ155" s="13">
        <v>4614</v>
      </c>
      <c r="BA155" s="13">
        <v>4732</v>
      </c>
      <c r="BB155" s="13">
        <v>4601</v>
      </c>
      <c r="BC155" s="13">
        <v>4468</v>
      </c>
      <c r="BD155" s="13">
        <v>4381</v>
      </c>
      <c r="BE155" s="13">
        <v>4144</v>
      </c>
      <c r="BF155" s="13">
        <v>4205</v>
      </c>
      <c r="BG155" s="13">
        <v>4239</v>
      </c>
      <c r="BH155" s="13">
        <v>4144</v>
      </c>
      <c r="BI155" s="13">
        <v>4189</v>
      </c>
      <c r="BJ155" s="13">
        <v>4016</v>
      </c>
      <c r="BK155" s="13">
        <v>4142</v>
      </c>
      <c r="BL155" s="13">
        <v>4233</v>
      </c>
      <c r="BM155" s="4">
        <v>4090</v>
      </c>
      <c r="BN155" s="4">
        <v>3858</v>
      </c>
      <c r="BO155" s="4">
        <v>4039</v>
      </c>
      <c r="BP155" s="4">
        <v>3974</v>
      </c>
      <c r="BQ155" s="4">
        <v>3755</v>
      </c>
      <c r="BR155" s="4">
        <v>3594</v>
      </c>
      <c r="BS155" s="4">
        <v>3572</v>
      </c>
      <c r="BT155" s="4">
        <v>3635</v>
      </c>
      <c r="BU155" s="4">
        <v>3662</v>
      </c>
      <c r="BV155" s="4">
        <v>3466</v>
      </c>
      <c r="BW155" s="4">
        <v>3418</v>
      </c>
      <c r="BX155" s="4">
        <v>3374</v>
      </c>
      <c r="BY155" s="4">
        <v>3403</v>
      </c>
      <c r="BZ155" s="4">
        <v>3396</v>
      </c>
    </row>
    <row r="156" spans="1:254" ht="15.9" customHeight="1">
      <c r="A156" s="61" t="s">
        <v>306</v>
      </c>
      <c r="B156" s="6" t="s">
        <v>307</v>
      </c>
      <c r="C156" s="15">
        <f>_xll.RssMarket("4088","現在値")</f>
        <v>2614</v>
      </c>
      <c r="D156" s="16">
        <f t="shared" si="5"/>
        <v>0</v>
      </c>
      <c r="E156" s="13">
        <v>2614</v>
      </c>
      <c r="F156" s="13">
        <v>2548</v>
      </c>
      <c r="G156" s="13">
        <v>2543</v>
      </c>
      <c r="H156" s="13">
        <v>2534</v>
      </c>
      <c r="I156" s="13">
        <v>2517</v>
      </c>
      <c r="J156" s="13">
        <v>2554</v>
      </c>
      <c r="K156" s="13">
        <v>2610</v>
      </c>
      <c r="L156" s="13">
        <v>2620</v>
      </c>
      <c r="M156" s="13">
        <v>2650</v>
      </c>
      <c r="N156" s="13">
        <v>2591</v>
      </c>
      <c r="O156" s="13">
        <v>2561</v>
      </c>
      <c r="P156" s="13">
        <v>2558</v>
      </c>
      <c r="Q156" s="13">
        <v>2553</v>
      </c>
      <c r="R156" s="13">
        <v>2527</v>
      </c>
      <c r="S156" s="13">
        <v>2574</v>
      </c>
      <c r="T156" s="13">
        <v>2571</v>
      </c>
      <c r="U156" s="13">
        <v>2522</v>
      </c>
      <c r="V156" s="13">
        <v>2555</v>
      </c>
      <c r="W156" s="13">
        <v>2628</v>
      </c>
      <c r="X156" s="13">
        <v>2665</v>
      </c>
      <c r="Y156" s="13">
        <v>2715</v>
      </c>
      <c r="Z156" s="13">
        <v>2767</v>
      </c>
      <c r="AA156" s="13">
        <v>2777</v>
      </c>
      <c r="AB156" s="13">
        <v>2758</v>
      </c>
      <c r="AC156" s="13">
        <v>2756</v>
      </c>
      <c r="AD156" s="13">
        <v>2767</v>
      </c>
      <c r="AE156" s="13">
        <v>2781</v>
      </c>
      <c r="AF156" s="13">
        <v>2778</v>
      </c>
      <c r="AG156" s="13">
        <v>2860</v>
      </c>
      <c r="AH156" s="13">
        <v>2694</v>
      </c>
      <c r="AI156" s="13">
        <v>2660</v>
      </c>
      <c r="AJ156" s="13">
        <v>2495</v>
      </c>
      <c r="AK156" s="13">
        <v>2471</v>
      </c>
      <c r="AL156" s="13">
        <v>2478</v>
      </c>
      <c r="AM156" s="13">
        <v>2490</v>
      </c>
      <c r="AN156" s="13">
        <v>2520</v>
      </c>
      <c r="AO156" s="13">
        <v>2552</v>
      </c>
      <c r="AP156" s="13">
        <v>2441</v>
      </c>
      <c r="AQ156" s="13">
        <v>2419</v>
      </c>
      <c r="AR156" s="13">
        <v>2440</v>
      </c>
      <c r="AS156" s="13">
        <v>2470</v>
      </c>
      <c r="AT156" s="13">
        <v>2464</v>
      </c>
      <c r="AU156" s="13">
        <v>2488</v>
      </c>
      <c r="AV156" s="13">
        <v>2490</v>
      </c>
      <c r="AW156" s="13">
        <v>2462</v>
      </c>
      <c r="AX156" s="13">
        <v>2599</v>
      </c>
      <c r="AY156" s="13">
        <v>2594</v>
      </c>
      <c r="AZ156" s="13">
        <v>2625</v>
      </c>
      <c r="BA156" s="13">
        <v>2516</v>
      </c>
      <c r="BB156" s="13">
        <v>2579</v>
      </c>
      <c r="BC156" s="13">
        <v>2546</v>
      </c>
      <c r="BD156" s="13">
        <v>2481</v>
      </c>
      <c r="BE156" s="13">
        <v>2489</v>
      </c>
      <c r="BF156" s="13">
        <v>2302</v>
      </c>
      <c r="BG156" s="13">
        <v>2283</v>
      </c>
      <c r="BH156" s="13">
        <v>2179</v>
      </c>
      <c r="BI156" s="13">
        <v>2101</v>
      </c>
      <c r="BJ156" s="13">
        <v>2066</v>
      </c>
      <c r="BK156" s="13">
        <v>1965</v>
      </c>
      <c r="BL156" s="13">
        <v>1938.5</v>
      </c>
      <c r="BM156" s="4">
        <v>1913.5</v>
      </c>
      <c r="BN156" s="4">
        <v>1895.5</v>
      </c>
      <c r="BO156" s="4">
        <v>2218.5</v>
      </c>
      <c r="BP156" s="4">
        <v>2260</v>
      </c>
      <c r="BQ156" s="4">
        <v>2231</v>
      </c>
      <c r="BR156" s="4">
        <v>2236</v>
      </c>
      <c r="BS156" s="4">
        <v>2207</v>
      </c>
      <c r="BT156" s="4">
        <v>2223.5</v>
      </c>
      <c r="BU156" s="4">
        <v>2254</v>
      </c>
      <c r="BV156" s="4">
        <v>2257</v>
      </c>
      <c r="BW156" s="4">
        <v>2263.5</v>
      </c>
      <c r="BX156" s="4">
        <v>2309.5</v>
      </c>
      <c r="BY156" s="4">
        <v>2293.5</v>
      </c>
      <c r="BZ156" s="4">
        <v>2258.5</v>
      </c>
    </row>
    <row r="157" spans="1:254" ht="15.9" customHeight="1">
      <c r="A157" s="61" t="s">
        <v>308</v>
      </c>
      <c r="B157" s="6" t="s">
        <v>309</v>
      </c>
      <c r="C157" s="15">
        <f>_xll.RssMarket("4091","現在値")</f>
        <v>6034</v>
      </c>
      <c r="D157" s="16">
        <f t="shared" si="5"/>
        <v>0</v>
      </c>
      <c r="E157" s="13">
        <v>6034</v>
      </c>
      <c r="F157" s="13">
        <v>5936</v>
      </c>
      <c r="G157" s="13">
        <v>5772</v>
      </c>
      <c r="H157" s="13">
        <v>5656</v>
      </c>
      <c r="I157" s="13">
        <v>5781</v>
      </c>
      <c r="J157" s="13">
        <v>5831</v>
      </c>
      <c r="K157" s="13">
        <v>5835</v>
      </c>
      <c r="L157" s="13">
        <v>5825</v>
      </c>
      <c r="M157" s="13">
        <v>6087</v>
      </c>
      <c r="N157" s="13">
        <v>5895</v>
      </c>
      <c r="O157" s="13">
        <v>5906</v>
      </c>
      <c r="P157" s="13">
        <v>5969</v>
      </c>
      <c r="Q157" s="13">
        <v>6025</v>
      </c>
      <c r="R157" s="13">
        <v>6010</v>
      </c>
      <c r="S157" s="13">
        <v>6152</v>
      </c>
      <c r="T157" s="13">
        <v>6070</v>
      </c>
      <c r="U157" s="13">
        <v>6052</v>
      </c>
      <c r="V157" s="13">
        <v>6072</v>
      </c>
      <c r="W157" s="13">
        <v>6149</v>
      </c>
      <c r="X157" s="13">
        <v>6160</v>
      </c>
      <c r="Y157" s="13">
        <v>6201</v>
      </c>
      <c r="Z157" s="13">
        <v>6312</v>
      </c>
      <c r="AA157" s="13">
        <v>6275</v>
      </c>
      <c r="AB157" s="13">
        <v>6250</v>
      </c>
      <c r="AC157" s="13">
        <v>6020</v>
      </c>
      <c r="AD157" s="13">
        <v>5996</v>
      </c>
      <c r="AE157" s="13">
        <v>5923</v>
      </c>
      <c r="AF157" s="13">
        <v>5938</v>
      </c>
      <c r="AG157" s="13">
        <v>5673</v>
      </c>
      <c r="AH157" s="13">
        <v>5548</v>
      </c>
      <c r="AI157" s="13">
        <v>5650</v>
      </c>
      <c r="AJ157" s="13">
        <v>5490</v>
      </c>
      <c r="AK157" s="13">
        <v>5564</v>
      </c>
      <c r="AL157" s="13">
        <v>5567</v>
      </c>
      <c r="AM157" s="13">
        <v>5590</v>
      </c>
      <c r="AN157" s="13">
        <v>5534</v>
      </c>
      <c r="AO157" s="13">
        <v>5628</v>
      </c>
      <c r="AP157" s="13">
        <v>5403</v>
      </c>
      <c r="AQ157" s="13">
        <v>5293</v>
      </c>
      <c r="AR157" s="13">
        <v>5275</v>
      </c>
      <c r="AS157" s="13">
        <v>5434</v>
      </c>
      <c r="AT157" s="13">
        <v>5586</v>
      </c>
      <c r="AU157" s="13">
        <v>5620</v>
      </c>
      <c r="AV157" s="13">
        <v>5679</v>
      </c>
      <c r="AW157" s="13">
        <v>5711</v>
      </c>
      <c r="AX157" s="13">
        <v>6184</v>
      </c>
      <c r="AY157" s="13">
        <v>6256</v>
      </c>
      <c r="AZ157" s="13">
        <v>6373</v>
      </c>
      <c r="BA157" s="13">
        <v>6289</v>
      </c>
      <c r="BB157" s="13">
        <v>6192</v>
      </c>
      <c r="BC157" s="13">
        <v>5852</v>
      </c>
      <c r="BD157" s="13">
        <v>5817</v>
      </c>
      <c r="BE157" s="13">
        <v>5973</v>
      </c>
      <c r="BF157" s="13">
        <v>5994</v>
      </c>
      <c r="BG157" s="13">
        <v>6116</v>
      </c>
      <c r="BH157" s="13">
        <v>6093</v>
      </c>
      <c r="BI157" s="13">
        <v>5907</v>
      </c>
      <c r="BJ157" s="13">
        <v>5787</v>
      </c>
      <c r="BK157" s="13">
        <v>6199</v>
      </c>
      <c r="BL157" s="13">
        <v>5636</v>
      </c>
      <c r="BM157" s="4">
        <v>5698</v>
      </c>
      <c r="BN157" s="4">
        <v>5524</v>
      </c>
      <c r="BO157" s="4">
        <v>5540</v>
      </c>
      <c r="BP157" s="4">
        <v>5677</v>
      </c>
      <c r="BQ157" s="4">
        <v>5626</v>
      </c>
      <c r="BR157" s="4">
        <v>5690</v>
      </c>
      <c r="BS157" s="4">
        <v>5600</v>
      </c>
      <c r="BT157" s="4">
        <v>5686</v>
      </c>
      <c r="BU157" s="4">
        <v>5772</v>
      </c>
      <c r="BV157" s="4">
        <v>5772</v>
      </c>
      <c r="BW157" s="4">
        <v>5915</v>
      </c>
      <c r="BX157" s="4">
        <v>6044</v>
      </c>
      <c r="BY157" s="4">
        <v>5864</v>
      </c>
      <c r="BZ157" s="4">
        <v>5957</v>
      </c>
    </row>
    <row r="158" spans="1:254" ht="15.9" customHeight="1">
      <c r="A158" s="61" t="s">
        <v>310</v>
      </c>
      <c r="B158" s="6" t="s">
        <v>311</v>
      </c>
      <c r="C158" s="15">
        <f>_xll.RssMarket("6857","現在値")</f>
        <v>32930</v>
      </c>
      <c r="D158" s="16">
        <f t="shared" si="5"/>
        <v>0</v>
      </c>
      <c r="E158" s="13">
        <v>32930</v>
      </c>
      <c r="F158" s="13">
        <v>33720</v>
      </c>
      <c r="G158" s="13">
        <v>31000</v>
      </c>
      <c r="H158" s="13">
        <v>31430</v>
      </c>
      <c r="I158" s="13">
        <v>32500</v>
      </c>
      <c r="J158" s="13">
        <v>27935</v>
      </c>
      <c r="K158" s="13">
        <v>25200</v>
      </c>
      <c r="L158" s="13">
        <v>25510</v>
      </c>
      <c r="M158" s="13">
        <v>28380</v>
      </c>
      <c r="N158" s="13">
        <v>28945</v>
      </c>
      <c r="O158" s="13">
        <v>30800</v>
      </c>
      <c r="P158" s="13">
        <v>29585</v>
      </c>
      <c r="Q158" s="13">
        <v>29630</v>
      </c>
      <c r="R158" s="13">
        <v>27505</v>
      </c>
      <c r="S158" s="13">
        <v>31510</v>
      </c>
      <c r="T158" s="13">
        <v>29775</v>
      </c>
      <c r="U158" s="13">
        <v>28820</v>
      </c>
      <c r="V158" s="13">
        <v>29830</v>
      </c>
      <c r="W158" s="13">
        <v>29160</v>
      </c>
      <c r="X158" s="13">
        <v>27545</v>
      </c>
      <c r="Y158" s="13">
        <v>28900</v>
      </c>
      <c r="Z158" s="13">
        <v>29565</v>
      </c>
      <c r="AA158" s="13">
        <v>29345</v>
      </c>
      <c r="AB158" s="13">
        <v>28815</v>
      </c>
      <c r="AC158" s="13">
        <v>32000</v>
      </c>
      <c r="AD158" s="13">
        <v>32340</v>
      </c>
      <c r="AE158" s="13">
        <v>31950</v>
      </c>
      <c r="AF158" s="13">
        <v>32440</v>
      </c>
      <c r="AG158" s="13">
        <v>35900</v>
      </c>
      <c r="AH158" s="13">
        <v>31200</v>
      </c>
      <c r="AI158" s="13">
        <v>31430</v>
      </c>
      <c r="AJ158" s="13">
        <v>32170</v>
      </c>
      <c r="AK158" s="13">
        <v>31740</v>
      </c>
      <c r="AL158" s="13">
        <v>30300</v>
      </c>
      <c r="AM158" s="13">
        <v>30060</v>
      </c>
      <c r="AN158" s="13">
        <v>30340</v>
      </c>
      <c r="AO158" s="13">
        <v>29420</v>
      </c>
      <c r="AP158" s="13">
        <v>27325</v>
      </c>
      <c r="AQ158" s="13">
        <v>25175</v>
      </c>
      <c r="AR158" s="13">
        <v>25235</v>
      </c>
      <c r="AS158" s="13">
        <v>25235</v>
      </c>
      <c r="AT158" s="13">
        <v>26765</v>
      </c>
      <c r="AU158" s="13">
        <v>28170</v>
      </c>
      <c r="AV158" s="13">
        <v>27660</v>
      </c>
      <c r="AW158" s="13">
        <v>26320</v>
      </c>
      <c r="AX158" s="13">
        <v>26170</v>
      </c>
      <c r="AY158" s="13">
        <v>26340</v>
      </c>
      <c r="AZ158" s="13">
        <v>27130</v>
      </c>
      <c r="BA158" s="13">
        <v>27755</v>
      </c>
      <c r="BB158" s="13">
        <v>26845</v>
      </c>
      <c r="BC158" s="13">
        <v>26745</v>
      </c>
      <c r="BD158" s="13">
        <v>25625</v>
      </c>
      <c r="BE158" s="13">
        <v>25290</v>
      </c>
      <c r="BF158" s="13">
        <v>26150</v>
      </c>
      <c r="BG158" s="13">
        <v>26360</v>
      </c>
      <c r="BH158" s="13">
        <v>28615</v>
      </c>
      <c r="BI158" s="13">
        <v>28290</v>
      </c>
      <c r="BJ158" s="13">
        <v>28705</v>
      </c>
      <c r="BK158" s="13">
        <v>28780</v>
      </c>
      <c r="BL158" s="13">
        <v>29885</v>
      </c>
      <c r="BM158" s="4">
        <v>29715</v>
      </c>
      <c r="BN158" s="4">
        <v>27815</v>
      </c>
      <c r="BO158" s="4">
        <v>28260</v>
      </c>
      <c r="BP158" s="4">
        <v>29750</v>
      </c>
      <c r="BQ158" s="4">
        <v>31500</v>
      </c>
      <c r="BR158" s="4">
        <v>29440</v>
      </c>
      <c r="BS158" s="4">
        <v>27900</v>
      </c>
      <c r="BT158" s="4">
        <v>27900</v>
      </c>
      <c r="BU158" s="4">
        <v>27200</v>
      </c>
      <c r="BV158" s="4">
        <v>27100</v>
      </c>
      <c r="BW158" s="4">
        <v>27870</v>
      </c>
      <c r="BX158" s="4">
        <v>28625</v>
      </c>
      <c r="BY158" s="4">
        <v>27585</v>
      </c>
      <c r="BZ158" s="4">
        <v>27000</v>
      </c>
    </row>
    <row r="159" spans="1:254" ht="15.9" customHeight="1">
      <c r="A159" s="61" t="s">
        <v>312</v>
      </c>
      <c r="B159" s="6" t="s">
        <v>313</v>
      </c>
      <c r="C159" s="15">
        <f>_xll.RssMarket("3891","現在値")</f>
        <v>7180</v>
      </c>
      <c r="D159" s="16">
        <f t="shared" si="5"/>
        <v>0</v>
      </c>
      <c r="E159" s="13">
        <v>7180</v>
      </c>
      <c r="F159" s="13">
        <v>7310</v>
      </c>
      <c r="G159" s="13">
        <v>6800</v>
      </c>
      <c r="H159" s="13">
        <v>6810</v>
      </c>
      <c r="I159" s="13">
        <v>6730</v>
      </c>
      <c r="J159" s="13">
        <v>5730</v>
      </c>
      <c r="K159" s="13">
        <v>5440</v>
      </c>
      <c r="L159" s="13">
        <v>6050</v>
      </c>
      <c r="M159" s="13">
        <v>6840</v>
      </c>
      <c r="N159" s="13">
        <v>7130</v>
      </c>
      <c r="O159" s="13">
        <v>7380</v>
      </c>
      <c r="P159" s="13">
        <v>7430</v>
      </c>
      <c r="Q159" s="13">
        <v>7180</v>
      </c>
      <c r="R159" s="13">
        <v>6950</v>
      </c>
      <c r="S159" s="13">
        <v>7920</v>
      </c>
      <c r="T159" s="13">
        <v>7520</v>
      </c>
      <c r="U159" s="13">
        <v>7620</v>
      </c>
      <c r="V159" s="13">
        <v>8010</v>
      </c>
      <c r="W159" s="13">
        <v>7700</v>
      </c>
      <c r="X159" s="13">
        <v>7970</v>
      </c>
      <c r="Y159" s="13">
        <v>8120</v>
      </c>
      <c r="Z159" s="13">
        <v>8620</v>
      </c>
      <c r="AA159" s="13">
        <v>9300</v>
      </c>
      <c r="AB159" s="13">
        <v>9400</v>
      </c>
      <c r="AC159" s="13">
        <v>10300</v>
      </c>
      <c r="AD159" s="13">
        <v>9710</v>
      </c>
      <c r="AE159" s="13">
        <v>9980</v>
      </c>
      <c r="AF159" s="13">
        <v>10150</v>
      </c>
      <c r="AG159" s="13">
        <v>10430</v>
      </c>
      <c r="AH159" s="13">
        <v>9560</v>
      </c>
      <c r="AI159" s="13">
        <v>9590</v>
      </c>
      <c r="AJ159" s="13">
        <v>10200</v>
      </c>
      <c r="AK159" s="13">
        <v>10750</v>
      </c>
      <c r="AL159" s="13">
        <v>10640</v>
      </c>
      <c r="AM159" s="13">
        <v>9980</v>
      </c>
      <c r="AN159" s="13">
        <v>8920</v>
      </c>
      <c r="AO159" s="13">
        <v>8770</v>
      </c>
      <c r="AP159" s="13">
        <v>8460</v>
      </c>
      <c r="AQ159" s="13">
        <v>8900</v>
      </c>
      <c r="AR159" s="13">
        <v>9240</v>
      </c>
      <c r="AS159" s="13">
        <v>9040</v>
      </c>
      <c r="AT159" s="13">
        <v>9170</v>
      </c>
      <c r="AU159" s="13">
        <v>8370</v>
      </c>
      <c r="AV159" s="13">
        <v>8460</v>
      </c>
      <c r="AW159" s="13">
        <v>8110</v>
      </c>
      <c r="AX159" s="13">
        <v>7230</v>
      </c>
      <c r="AY159" s="13">
        <v>7100</v>
      </c>
      <c r="AZ159" s="13">
        <v>6870</v>
      </c>
      <c r="BA159" s="13">
        <v>7790</v>
      </c>
      <c r="BB159" s="13">
        <v>7490</v>
      </c>
      <c r="BC159" s="13">
        <v>6780</v>
      </c>
      <c r="BD159" s="13">
        <v>6830</v>
      </c>
      <c r="BE159" s="13">
        <v>6550</v>
      </c>
      <c r="BF159" s="13">
        <v>6430</v>
      </c>
      <c r="BG159" s="13">
        <v>6100</v>
      </c>
      <c r="BH159" s="13">
        <v>6210</v>
      </c>
      <c r="BI159" s="13">
        <v>6530</v>
      </c>
      <c r="BJ159" s="13">
        <v>6330</v>
      </c>
      <c r="BK159" s="13">
        <v>6490</v>
      </c>
      <c r="BL159" s="13">
        <v>6550</v>
      </c>
      <c r="BM159" s="4">
        <v>6600</v>
      </c>
      <c r="BN159" s="4">
        <v>6110</v>
      </c>
      <c r="BO159" s="4">
        <v>6360</v>
      </c>
      <c r="BP159" s="4">
        <v>6420</v>
      </c>
      <c r="BQ159" s="4">
        <v>6150</v>
      </c>
      <c r="BR159" s="4">
        <v>5150</v>
      </c>
      <c r="BS159" s="4">
        <v>4445</v>
      </c>
      <c r="BT159" s="4">
        <v>4480</v>
      </c>
      <c r="BU159" s="4">
        <v>4630</v>
      </c>
      <c r="BV159" s="4">
        <v>4395</v>
      </c>
      <c r="BW159" s="4">
        <v>4275</v>
      </c>
      <c r="BX159" s="4">
        <v>4495</v>
      </c>
      <c r="BY159" s="4">
        <v>4500</v>
      </c>
      <c r="BZ159" s="4">
        <v>4295</v>
      </c>
    </row>
    <row r="160" spans="1:254" ht="15.9" customHeight="1">
      <c r="A160" s="61" t="s">
        <v>314</v>
      </c>
      <c r="B160" s="6" t="s">
        <v>315</v>
      </c>
      <c r="C160" s="15">
        <f>_xll.RssMarket("4373","現在値")</f>
        <v>1083</v>
      </c>
      <c r="D160" s="16">
        <f t="shared" si="5"/>
        <v>0</v>
      </c>
      <c r="E160" s="13">
        <v>1083</v>
      </c>
      <c r="F160" s="13">
        <v>1069</v>
      </c>
      <c r="G160" s="13">
        <v>1078</v>
      </c>
      <c r="H160" s="13">
        <v>1096</v>
      </c>
      <c r="I160" s="13">
        <v>1131</v>
      </c>
      <c r="J160" s="13">
        <v>1162</v>
      </c>
      <c r="K160" s="13">
        <v>1183</v>
      </c>
      <c r="L160" s="13">
        <v>1144</v>
      </c>
      <c r="M160" s="13">
        <v>1146</v>
      </c>
      <c r="N160" s="13">
        <v>1047</v>
      </c>
      <c r="O160" s="13">
        <v>1033</v>
      </c>
      <c r="P160" s="13">
        <v>1049</v>
      </c>
      <c r="Q160" s="13">
        <v>1071</v>
      </c>
      <c r="R160" s="13">
        <v>1074</v>
      </c>
      <c r="S160" s="13">
        <v>1032</v>
      </c>
      <c r="T160" s="13">
        <v>1044</v>
      </c>
      <c r="U160" s="13">
        <v>1033</v>
      </c>
      <c r="V160" s="13">
        <v>1046</v>
      </c>
      <c r="W160" s="13">
        <v>1052</v>
      </c>
      <c r="X160" s="13">
        <v>1057</v>
      </c>
      <c r="Y160" s="13">
        <v>1066</v>
      </c>
      <c r="Z160" s="13">
        <v>1020</v>
      </c>
      <c r="AA160" s="13">
        <v>1018</v>
      </c>
      <c r="AB160" s="13">
        <v>990</v>
      </c>
      <c r="AC160" s="13">
        <v>945</v>
      </c>
      <c r="AD160" s="13">
        <v>937</v>
      </c>
      <c r="AE160" s="13">
        <v>963</v>
      </c>
      <c r="AF160" s="13">
        <v>911</v>
      </c>
      <c r="AG160" s="13">
        <v>916</v>
      </c>
      <c r="AH160" s="13">
        <v>919</v>
      </c>
      <c r="AI160" s="13">
        <v>911</v>
      </c>
      <c r="AJ160" s="13">
        <v>944</v>
      </c>
      <c r="AK160" s="13">
        <v>931</v>
      </c>
      <c r="AL160" s="13">
        <v>957</v>
      </c>
      <c r="AM160" s="13">
        <v>958</v>
      </c>
      <c r="AN160" s="13">
        <v>957</v>
      </c>
      <c r="AO160" s="13">
        <v>967</v>
      </c>
      <c r="AP160" s="13">
        <v>990</v>
      </c>
      <c r="AQ160" s="13">
        <v>1021</v>
      </c>
      <c r="AR160" s="13">
        <v>1038</v>
      </c>
      <c r="AS160" s="13">
        <v>1070</v>
      </c>
      <c r="AT160" s="13">
        <v>1092</v>
      </c>
      <c r="AU160" s="13">
        <v>1083</v>
      </c>
      <c r="AV160" s="13">
        <v>1106</v>
      </c>
      <c r="AW160" s="13">
        <v>1119</v>
      </c>
      <c r="AX160" s="13">
        <v>1064</v>
      </c>
      <c r="AY160" s="13">
        <v>1029</v>
      </c>
      <c r="AZ160" s="13">
        <v>1034</v>
      </c>
      <c r="BA160" s="13">
        <v>1016</v>
      </c>
      <c r="BB160" s="13">
        <v>1037</v>
      </c>
      <c r="BC160" s="13">
        <v>1005</v>
      </c>
      <c r="BD160" s="13">
        <v>990</v>
      </c>
      <c r="BE160" s="13">
        <v>1036</v>
      </c>
      <c r="BF160" s="13">
        <v>948</v>
      </c>
      <c r="BG160" s="13">
        <v>951</v>
      </c>
      <c r="BH160" s="13">
        <v>931</v>
      </c>
      <c r="BI160" s="13">
        <v>953</v>
      </c>
      <c r="BJ160" s="13">
        <v>957</v>
      </c>
      <c r="BK160" s="13">
        <v>945</v>
      </c>
      <c r="BL160" s="13">
        <v>937</v>
      </c>
      <c r="BM160" s="4">
        <v>895</v>
      </c>
      <c r="BN160" s="4">
        <v>921</v>
      </c>
      <c r="BO160" s="4">
        <v>879</v>
      </c>
      <c r="BP160" s="4">
        <v>881</v>
      </c>
      <c r="BQ160" s="4">
        <v>876</v>
      </c>
      <c r="BR160" s="4">
        <v>917</v>
      </c>
      <c r="BS160" s="4">
        <v>932</v>
      </c>
      <c r="BT160" s="4">
        <v>960</v>
      </c>
      <c r="BU160" s="4">
        <v>930</v>
      </c>
      <c r="BV160" s="4">
        <v>948</v>
      </c>
      <c r="BW160" s="4">
        <v>944</v>
      </c>
      <c r="BX160" s="4">
        <v>899</v>
      </c>
      <c r="BY160" s="4">
        <v>908</v>
      </c>
      <c r="BZ160" s="4">
        <v>852</v>
      </c>
    </row>
    <row r="161" spans="1:254" ht="15.9" customHeight="1">
      <c r="A161" s="61" t="s">
        <v>316</v>
      </c>
      <c r="B161" s="6" t="s">
        <v>317</v>
      </c>
      <c r="C161" s="15">
        <f>_xll.RssMarket("8892","現在値")</f>
        <v>1075</v>
      </c>
      <c r="D161" s="16">
        <f t="shared" si="5"/>
        <v>0</v>
      </c>
      <c r="E161" s="13">
        <v>1075</v>
      </c>
      <c r="F161" s="13">
        <v>1072</v>
      </c>
      <c r="G161" s="13">
        <v>1072</v>
      </c>
      <c r="H161" s="13">
        <v>1068</v>
      </c>
      <c r="I161" s="13">
        <v>1073</v>
      </c>
      <c r="J161" s="13">
        <v>1085</v>
      </c>
      <c r="K161" s="13">
        <v>1115</v>
      </c>
      <c r="L161" s="13">
        <v>1118</v>
      </c>
      <c r="M161" s="13">
        <v>1117</v>
      </c>
      <c r="N161" s="13"/>
      <c r="O161" s="13">
        <v>1102</v>
      </c>
      <c r="P161" s="13">
        <v>1116</v>
      </c>
      <c r="Q161" s="13">
        <v>1114</v>
      </c>
      <c r="R161" s="13">
        <v>1099</v>
      </c>
      <c r="S161" s="13">
        <v>1115</v>
      </c>
      <c r="T161" s="13">
        <v>1121</v>
      </c>
      <c r="U161" s="13">
        <v>1121</v>
      </c>
      <c r="V161" s="13">
        <v>1119</v>
      </c>
      <c r="W161" s="13">
        <v>1112</v>
      </c>
      <c r="X161" s="13">
        <v>1108</v>
      </c>
      <c r="Y161" s="13">
        <v>1100</v>
      </c>
      <c r="Z161" s="13">
        <v>1106</v>
      </c>
      <c r="AA161" s="13">
        <v>1094</v>
      </c>
      <c r="AB161" s="13">
        <v>1085</v>
      </c>
      <c r="AC161" s="13">
        <v>1074</v>
      </c>
      <c r="AD161" s="13">
        <v>1078</v>
      </c>
      <c r="AE161" s="13">
        <v>1082</v>
      </c>
      <c r="AF161" s="13">
        <v>1063</v>
      </c>
      <c r="AG161" s="13">
        <v>1055</v>
      </c>
      <c r="AH161" s="13">
        <v>1051</v>
      </c>
      <c r="AI161" s="13">
        <v>1056</v>
      </c>
      <c r="AJ161" s="13">
        <v>1060</v>
      </c>
      <c r="AK161" s="13">
        <v>1066</v>
      </c>
      <c r="AL161" s="13">
        <v>1071</v>
      </c>
      <c r="AM161" s="13">
        <v>1077</v>
      </c>
      <c r="AN161" s="13">
        <v>1099</v>
      </c>
      <c r="AO161" s="13">
        <v>1110</v>
      </c>
      <c r="AP161" s="13">
        <v>1110</v>
      </c>
      <c r="AQ161" s="13">
        <v>1089</v>
      </c>
      <c r="AR161" s="13">
        <v>1103</v>
      </c>
      <c r="AS161" s="13">
        <v>1082</v>
      </c>
      <c r="AT161" s="13">
        <v>1088</v>
      </c>
      <c r="AU161" s="13">
        <v>1066</v>
      </c>
      <c r="AV161" s="13">
        <v>1081</v>
      </c>
      <c r="AW161" s="13">
        <v>1069</v>
      </c>
      <c r="AX161" s="13">
        <v>1099</v>
      </c>
      <c r="AY161" s="13">
        <v>1107</v>
      </c>
      <c r="AZ161" s="13">
        <v>1104</v>
      </c>
      <c r="BA161" s="13">
        <v>1106</v>
      </c>
      <c r="BB161" s="13">
        <v>1111</v>
      </c>
      <c r="BC161" s="13">
        <v>1139</v>
      </c>
      <c r="BD161" s="13">
        <v>1122</v>
      </c>
      <c r="BE161" s="13">
        <v>1150</v>
      </c>
      <c r="BF161" s="13">
        <v>1121</v>
      </c>
      <c r="BG161" s="13">
        <v>1125</v>
      </c>
      <c r="BH161" s="13">
        <v>1155</v>
      </c>
      <c r="BI161" s="13">
        <v>1155</v>
      </c>
      <c r="BJ161" s="13">
        <v>1171</v>
      </c>
      <c r="BK161" s="13">
        <v>1164</v>
      </c>
      <c r="BL161" s="13">
        <v>1166</v>
      </c>
      <c r="BM161" s="4">
        <v>1171</v>
      </c>
      <c r="BN161" s="4">
        <v>1160</v>
      </c>
      <c r="BO161" s="4">
        <v>1175</v>
      </c>
      <c r="BP161" s="4">
        <v>1195</v>
      </c>
      <c r="BQ161" s="4">
        <v>1200</v>
      </c>
      <c r="BR161" s="4">
        <v>1136</v>
      </c>
      <c r="BS161" s="4">
        <v>1129</v>
      </c>
      <c r="BT161" s="4">
        <v>1126</v>
      </c>
      <c r="BU161" s="4">
        <v>1140</v>
      </c>
      <c r="BV161" s="4">
        <v>1143</v>
      </c>
      <c r="BW161" s="4">
        <v>1132</v>
      </c>
      <c r="BX161" s="4">
        <v>1136</v>
      </c>
      <c r="BY161" s="4">
        <v>1141</v>
      </c>
      <c r="BZ161" s="4">
        <v>1129</v>
      </c>
    </row>
    <row r="162" spans="1:254" ht="15.9" customHeight="1">
      <c r="A162" s="61" t="s">
        <v>318</v>
      </c>
      <c r="B162" s="6" t="s">
        <v>319</v>
      </c>
      <c r="C162" s="15">
        <f>_xll.RssMarket("9687","現在値")</f>
        <v>4395</v>
      </c>
      <c r="D162" s="16">
        <f t="shared" si="5"/>
        <v>0</v>
      </c>
      <c r="E162" s="13">
        <v>4395</v>
      </c>
      <c r="F162" s="13">
        <v>4445</v>
      </c>
      <c r="G162" s="13">
        <v>4375</v>
      </c>
      <c r="H162" s="13">
        <v>4420</v>
      </c>
      <c r="I162" s="13">
        <v>4480</v>
      </c>
      <c r="J162" s="13">
        <v>4480</v>
      </c>
      <c r="K162" s="13">
        <v>4535</v>
      </c>
      <c r="L162" s="13">
        <v>4560</v>
      </c>
      <c r="M162" s="13">
        <v>4625</v>
      </c>
      <c r="N162" s="13"/>
      <c r="O162" s="13">
        <v>4480</v>
      </c>
      <c r="P162" s="13">
        <v>4420</v>
      </c>
      <c r="Q162" s="13">
        <v>4415</v>
      </c>
      <c r="R162" s="13">
        <v>4355</v>
      </c>
      <c r="S162" s="13">
        <v>4395</v>
      </c>
      <c r="T162" s="13">
        <v>4385</v>
      </c>
      <c r="U162" s="13">
        <v>4395</v>
      </c>
      <c r="V162" s="13">
        <v>4375</v>
      </c>
      <c r="W162" s="13">
        <v>4375</v>
      </c>
      <c r="X162" s="13">
        <v>4350</v>
      </c>
      <c r="Y162" s="13">
        <v>4345</v>
      </c>
      <c r="Z162" s="13">
        <v>4360</v>
      </c>
      <c r="AA162" s="13">
        <v>4360</v>
      </c>
      <c r="AB162" s="13">
        <v>4365</v>
      </c>
      <c r="AC162" s="13">
        <v>4370</v>
      </c>
      <c r="AD162" s="13">
        <v>4300</v>
      </c>
      <c r="AE162" s="13">
        <v>4315</v>
      </c>
      <c r="AF162" s="13">
        <v>4310</v>
      </c>
      <c r="AG162" s="13">
        <v>4370</v>
      </c>
      <c r="AH162" s="13">
        <v>4355</v>
      </c>
      <c r="AI162" s="13">
        <v>4335</v>
      </c>
      <c r="AJ162" s="13">
        <v>4330</v>
      </c>
      <c r="AK162" s="13">
        <v>4315</v>
      </c>
      <c r="AL162" s="13">
        <v>4315</v>
      </c>
      <c r="AM162" s="13">
        <v>4345</v>
      </c>
      <c r="AN162" s="13">
        <v>4300</v>
      </c>
      <c r="AO162" s="13">
        <v>4295</v>
      </c>
      <c r="AP162" s="13">
        <v>4345</v>
      </c>
      <c r="AQ162" s="13">
        <v>4325</v>
      </c>
      <c r="AR162" s="13">
        <v>4330</v>
      </c>
      <c r="AS162" s="13">
        <v>4300</v>
      </c>
      <c r="AT162" s="13">
        <v>4335</v>
      </c>
      <c r="AU162" s="13">
        <v>4335</v>
      </c>
      <c r="AV162" s="13">
        <v>4335</v>
      </c>
      <c r="AW162" s="13">
        <v>4350</v>
      </c>
      <c r="AX162" s="13">
        <v>4325</v>
      </c>
      <c r="AY162" s="13">
        <v>4325</v>
      </c>
      <c r="AZ162" s="13">
        <v>4350</v>
      </c>
      <c r="BA162" s="13">
        <v>4350</v>
      </c>
      <c r="BB162" s="13">
        <v>4360</v>
      </c>
      <c r="BC162" s="13">
        <v>4350</v>
      </c>
      <c r="BD162" s="13">
        <v>4360</v>
      </c>
      <c r="BE162" s="13">
        <v>4365</v>
      </c>
      <c r="BF162" s="13">
        <v>4305</v>
      </c>
      <c r="BG162" s="13">
        <v>4345</v>
      </c>
      <c r="BH162" s="13">
        <v>4335</v>
      </c>
      <c r="BI162" s="13">
        <v>4355</v>
      </c>
      <c r="BJ162" s="13">
        <v>4350</v>
      </c>
      <c r="BK162" s="13">
        <v>4365</v>
      </c>
      <c r="BL162" s="13">
        <v>4400</v>
      </c>
      <c r="BM162" s="4">
        <v>4375</v>
      </c>
      <c r="BN162" s="4">
        <v>4360</v>
      </c>
      <c r="BO162" s="4">
        <v>4440</v>
      </c>
      <c r="BP162" s="4">
        <v>4415</v>
      </c>
      <c r="BQ162" s="4">
        <v>4365</v>
      </c>
      <c r="BR162" s="4">
        <v>4315</v>
      </c>
      <c r="BS162" s="4">
        <v>4350</v>
      </c>
      <c r="BT162" s="4">
        <v>4375</v>
      </c>
      <c r="BU162" s="4">
        <v>4370</v>
      </c>
      <c r="BV162" s="4">
        <v>4350</v>
      </c>
      <c r="BW162" s="4">
        <v>4360</v>
      </c>
      <c r="BX162" s="4">
        <v>4385</v>
      </c>
      <c r="BY162" s="4">
        <v>4355</v>
      </c>
      <c r="BZ162" s="4">
        <v>4345</v>
      </c>
    </row>
    <row r="163" spans="1:254" ht="15.9" customHeight="1">
      <c r="A163" s="61" t="s">
        <v>320</v>
      </c>
      <c r="B163" s="6" t="s">
        <v>321</v>
      </c>
      <c r="C163" s="15">
        <f>_xll.RssMarket("1930","現在値")</f>
        <v>1521</v>
      </c>
      <c r="D163" s="16">
        <f t="shared" si="5"/>
        <v>0</v>
      </c>
      <c r="E163" s="13">
        <v>1521</v>
      </c>
      <c r="F163" s="13">
        <v>1530</v>
      </c>
      <c r="G163" s="13">
        <v>1476</v>
      </c>
      <c r="H163" s="13">
        <v>1468</v>
      </c>
      <c r="I163" s="13">
        <v>1485</v>
      </c>
      <c r="J163" s="13">
        <v>1466</v>
      </c>
      <c r="K163" s="13">
        <v>1466</v>
      </c>
      <c r="L163" s="13">
        <v>1475</v>
      </c>
      <c r="M163" s="13">
        <v>1638</v>
      </c>
      <c r="N163" s="13">
        <v>1612</v>
      </c>
      <c r="O163" s="13">
        <v>1612</v>
      </c>
      <c r="P163" s="13">
        <v>1582</v>
      </c>
      <c r="Q163" s="13">
        <v>1585</v>
      </c>
      <c r="R163" s="13">
        <v>1567</v>
      </c>
      <c r="S163" s="13">
        <v>1614</v>
      </c>
      <c r="T163" s="13">
        <v>1588</v>
      </c>
      <c r="U163" s="13">
        <v>1590</v>
      </c>
      <c r="V163" s="13">
        <v>1632</v>
      </c>
      <c r="W163" s="13">
        <v>1629</v>
      </c>
      <c r="X163" s="13">
        <v>1617</v>
      </c>
      <c r="Y163" s="13">
        <v>1637</v>
      </c>
      <c r="Z163" s="13">
        <v>1674</v>
      </c>
      <c r="AA163" s="13">
        <v>1655</v>
      </c>
      <c r="AB163" s="13">
        <v>1654</v>
      </c>
      <c r="AC163" s="13">
        <v>1678</v>
      </c>
      <c r="AD163" s="13">
        <v>1663</v>
      </c>
      <c r="AE163" s="13">
        <v>1695</v>
      </c>
      <c r="AF163" s="13">
        <v>1715</v>
      </c>
      <c r="AG163" s="13">
        <v>1709</v>
      </c>
      <c r="AH163" s="13">
        <v>1701</v>
      </c>
      <c r="AI163" s="13">
        <v>1708</v>
      </c>
      <c r="AJ163" s="13">
        <v>1725</v>
      </c>
      <c r="AK163" s="13">
        <v>1701</v>
      </c>
      <c r="AL163" s="13">
        <v>1749</v>
      </c>
      <c r="AM163" s="13">
        <v>1699</v>
      </c>
      <c r="AN163" s="13">
        <v>1651</v>
      </c>
      <c r="AO163" s="13">
        <v>1700</v>
      </c>
      <c r="AP163" s="13">
        <v>1621</v>
      </c>
      <c r="AQ163" s="13">
        <v>1581</v>
      </c>
      <c r="AR163" s="13">
        <v>1594</v>
      </c>
      <c r="AS163" s="13">
        <v>1582</v>
      </c>
      <c r="AT163" s="13">
        <v>1619</v>
      </c>
      <c r="AU163" s="13">
        <v>1552</v>
      </c>
      <c r="AV163" s="13">
        <v>1582</v>
      </c>
      <c r="AW163" s="13">
        <v>1570</v>
      </c>
      <c r="AX163" s="13">
        <v>1704</v>
      </c>
      <c r="AY163" s="13">
        <v>1681</v>
      </c>
      <c r="AZ163" s="13">
        <v>1681</v>
      </c>
      <c r="BA163" s="13">
        <v>1671</v>
      </c>
      <c r="BB163" s="13">
        <v>1605</v>
      </c>
      <c r="BC163" s="13">
        <v>1590</v>
      </c>
      <c r="BD163" s="13">
        <v>1590</v>
      </c>
      <c r="BE163" s="13">
        <v>1634</v>
      </c>
      <c r="BF163" s="13">
        <v>1608</v>
      </c>
      <c r="BG163" s="13">
        <v>1667</v>
      </c>
      <c r="BH163" s="13">
        <v>1683</v>
      </c>
      <c r="BI163" s="13">
        <v>1739</v>
      </c>
      <c r="BJ163" s="13">
        <v>1766</v>
      </c>
      <c r="BK163" s="13">
        <v>1721</v>
      </c>
      <c r="BL163" s="13">
        <v>1684</v>
      </c>
      <c r="BM163" s="4">
        <v>1668</v>
      </c>
      <c r="BN163" s="4">
        <v>1693</v>
      </c>
      <c r="BO163" s="4">
        <v>1682</v>
      </c>
      <c r="BP163" s="4">
        <v>1502</v>
      </c>
      <c r="BQ163" s="4">
        <v>1443</v>
      </c>
      <c r="BR163" s="4">
        <v>1458</v>
      </c>
      <c r="BS163" s="4">
        <v>1441</v>
      </c>
      <c r="BT163" s="4">
        <v>1446</v>
      </c>
      <c r="BU163" s="4">
        <v>1472</v>
      </c>
      <c r="BV163" s="4">
        <v>1453</v>
      </c>
      <c r="BW163" s="4">
        <v>1456</v>
      </c>
      <c r="BX163" s="4">
        <v>1473</v>
      </c>
      <c r="BY163" s="4">
        <v>1448</v>
      </c>
      <c r="BZ163" s="4">
        <v>1441</v>
      </c>
    </row>
    <row r="164" spans="1:254" ht="15.9" customHeight="1">
      <c r="A164" s="61" t="s">
        <v>322</v>
      </c>
      <c r="B164" s="6" t="s">
        <v>323</v>
      </c>
      <c r="C164" s="15">
        <f>_xll.RssMarket("8704","現在値")</f>
        <v>1323</v>
      </c>
      <c r="D164" s="16">
        <f t="shared" si="5"/>
        <v>0</v>
      </c>
      <c r="E164" s="13">
        <v>1323</v>
      </c>
      <c r="F164" s="13">
        <v>1329</v>
      </c>
      <c r="G164" s="13">
        <v>1304</v>
      </c>
      <c r="H164" s="13">
        <v>1325</v>
      </c>
      <c r="I164" s="13">
        <v>1247</v>
      </c>
      <c r="J164" s="13">
        <v>1203</v>
      </c>
      <c r="K164" s="13">
        <v>1209</v>
      </c>
      <c r="L164" s="13">
        <v>1242</v>
      </c>
      <c r="M164" s="13">
        <v>1280</v>
      </c>
      <c r="N164" s="13">
        <v>1272</v>
      </c>
      <c r="O164" s="13">
        <v>1298</v>
      </c>
      <c r="P164" s="13">
        <v>1252</v>
      </c>
      <c r="Q164" s="13">
        <v>1269</v>
      </c>
      <c r="R164" s="13">
        <v>1242</v>
      </c>
      <c r="S164" s="13">
        <v>1312</v>
      </c>
      <c r="T164" s="13">
        <v>1274</v>
      </c>
      <c r="U164" s="13">
        <v>1231</v>
      </c>
      <c r="V164" s="13">
        <v>1246</v>
      </c>
      <c r="W164" s="13">
        <v>1223</v>
      </c>
      <c r="X164" s="13">
        <v>1222</v>
      </c>
      <c r="Y164" s="13">
        <v>1245</v>
      </c>
      <c r="Z164" s="13">
        <v>1270</v>
      </c>
      <c r="AA164" s="13">
        <v>1269</v>
      </c>
      <c r="AB164" s="13">
        <v>1225</v>
      </c>
      <c r="AC164" s="13">
        <v>1208</v>
      </c>
      <c r="AD164" s="13">
        <v>1180</v>
      </c>
      <c r="AE164" s="13">
        <v>1145</v>
      </c>
      <c r="AF164" s="13">
        <v>1149</v>
      </c>
      <c r="AG164" s="13">
        <v>1189</v>
      </c>
      <c r="AH164" s="13">
        <v>1161</v>
      </c>
      <c r="AI164" s="13">
        <v>1203</v>
      </c>
      <c r="AJ164" s="13">
        <v>1217</v>
      </c>
      <c r="AK164" s="13">
        <v>1161</v>
      </c>
      <c r="AL164" s="13">
        <v>1169</v>
      </c>
      <c r="AM164" s="13">
        <v>1157</v>
      </c>
      <c r="AN164" s="13">
        <v>1153</v>
      </c>
      <c r="AO164" s="13">
        <v>1171</v>
      </c>
      <c r="AP164" s="13">
        <v>1154</v>
      </c>
      <c r="AQ164" s="13">
        <v>1106</v>
      </c>
      <c r="AR164" s="13">
        <v>1099</v>
      </c>
      <c r="AS164" s="13">
        <v>1126</v>
      </c>
      <c r="AT164" s="13">
        <v>1138</v>
      </c>
      <c r="AU164" s="13">
        <v>1108</v>
      </c>
      <c r="AV164" s="13">
        <v>1178</v>
      </c>
      <c r="AW164" s="13">
        <v>1189</v>
      </c>
      <c r="AX164" s="13">
        <v>1193</v>
      </c>
      <c r="AY164" s="13">
        <v>1148</v>
      </c>
      <c r="AZ164" s="13">
        <v>1139</v>
      </c>
      <c r="BA164" s="13">
        <v>1134</v>
      </c>
      <c r="BB164" s="13">
        <v>1139</v>
      </c>
      <c r="BC164" s="13">
        <v>1139</v>
      </c>
      <c r="BD164" s="13">
        <v>1119</v>
      </c>
      <c r="BE164" s="13">
        <v>1134</v>
      </c>
      <c r="BF164" s="13">
        <v>1146</v>
      </c>
      <c r="BG164" s="13">
        <v>1169</v>
      </c>
      <c r="BH164" s="13">
        <v>1171</v>
      </c>
      <c r="BI164" s="13">
        <v>1217</v>
      </c>
      <c r="BJ164" s="13">
        <v>1210</v>
      </c>
      <c r="BK164" s="13">
        <v>1236</v>
      </c>
      <c r="BL164" s="13">
        <v>1235</v>
      </c>
      <c r="BM164" s="4">
        <v>1178</v>
      </c>
      <c r="BN164" s="4">
        <v>1128</v>
      </c>
      <c r="BO164" s="4">
        <v>1043</v>
      </c>
      <c r="BP164" s="4">
        <v>1081</v>
      </c>
      <c r="BQ164" s="4">
        <v>1030</v>
      </c>
      <c r="BR164" s="4">
        <v>1029</v>
      </c>
      <c r="BS164" s="4">
        <v>1036</v>
      </c>
      <c r="BT164" s="4">
        <v>1042</v>
      </c>
      <c r="BU164" s="4">
        <v>1068</v>
      </c>
      <c r="BV164" s="4">
        <v>1053</v>
      </c>
      <c r="BW164" s="4">
        <v>1044</v>
      </c>
      <c r="BX164" s="4">
        <v>1061</v>
      </c>
      <c r="BY164" s="4">
        <v>1043</v>
      </c>
      <c r="BZ164" s="4">
        <v>1034</v>
      </c>
    </row>
    <row r="165" spans="1:254" ht="15.9" customHeight="1">
      <c r="A165" s="61" t="s">
        <v>324</v>
      </c>
      <c r="B165" s="6" t="s">
        <v>325</v>
      </c>
      <c r="C165" s="15">
        <f>_xll.RssMarket("4733","現在値")</f>
        <v>7899</v>
      </c>
      <c r="D165" s="16">
        <f t="shared" si="5"/>
        <v>0</v>
      </c>
      <c r="E165" s="13">
        <v>7899</v>
      </c>
      <c r="F165" s="13">
        <v>7746</v>
      </c>
      <c r="G165" s="13">
        <v>7712</v>
      </c>
      <c r="H165" s="13">
        <v>7873</v>
      </c>
      <c r="I165" s="13">
        <v>8003</v>
      </c>
      <c r="J165" s="13">
        <v>8339</v>
      </c>
      <c r="K165" s="13">
        <v>8426</v>
      </c>
      <c r="L165" s="13">
        <v>8001</v>
      </c>
      <c r="M165" s="13">
        <v>7987</v>
      </c>
      <c r="N165" s="13">
        <v>7638</v>
      </c>
      <c r="O165" s="13">
        <v>7015</v>
      </c>
      <c r="P165" s="13">
        <v>6840</v>
      </c>
      <c r="Q165" s="13">
        <v>6589</v>
      </c>
      <c r="R165" s="13">
        <v>6620</v>
      </c>
      <c r="S165" s="13">
        <v>6483</v>
      </c>
      <c r="T165" s="13">
        <v>6618</v>
      </c>
      <c r="U165" s="13">
        <v>6591</v>
      </c>
      <c r="V165" s="13">
        <v>6543</v>
      </c>
      <c r="W165" s="13">
        <v>6530</v>
      </c>
      <c r="X165" s="13">
        <v>6518</v>
      </c>
      <c r="Y165" s="13">
        <v>6540</v>
      </c>
      <c r="Z165" s="13">
        <v>6542</v>
      </c>
      <c r="AA165" s="13">
        <v>6452</v>
      </c>
      <c r="AB165" s="13">
        <v>6378</v>
      </c>
      <c r="AC165" s="13">
        <v>6058</v>
      </c>
      <c r="AD165" s="13">
        <v>6082</v>
      </c>
      <c r="AE165" s="13">
        <v>6109</v>
      </c>
      <c r="AF165" s="13">
        <v>5827</v>
      </c>
      <c r="AG165" s="13">
        <v>5723</v>
      </c>
      <c r="AH165" s="13">
        <v>5792</v>
      </c>
      <c r="AI165" s="13">
        <v>5637</v>
      </c>
      <c r="AJ165" s="13">
        <v>5650</v>
      </c>
      <c r="AK165" s="13">
        <v>5694</v>
      </c>
      <c r="AL165" s="13">
        <v>5942</v>
      </c>
      <c r="AM165" s="13">
        <v>5893</v>
      </c>
      <c r="AN165" s="13">
        <v>5841</v>
      </c>
      <c r="AO165" s="13">
        <v>5888</v>
      </c>
      <c r="AP165" s="13">
        <v>5850</v>
      </c>
      <c r="AQ165" s="13">
        <v>5927</v>
      </c>
      <c r="AR165" s="13">
        <v>5976</v>
      </c>
      <c r="AS165" s="13">
        <v>6029</v>
      </c>
      <c r="AT165" s="13">
        <v>6020</v>
      </c>
      <c r="AU165" s="13">
        <v>5991</v>
      </c>
      <c r="AV165" s="13">
        <v>6216</v>
      </c>
      <c r="AW165" s="13">
        <v>6424</v>
      </c>
      <c r="AX165" s="13">
        <v>6117</v>
      </c>
      <c r="AY165" s="13">
        <v>6088</v>
      </c>
      <c r="AZ165" s="13">
        <v>6169</v>
      </c>
      <c r="BA165" s="13">
        <v>5979</v>
      </c>
      <c r="BB165" s="13">
        <v>6121</v>
      </c>
      <c r="BC165" s="13">
        <v>6101</v>
      </c>
      <c r="BD165" s="13">
        <v>6121</v>
      </c>
      <c r="BE165" s="13">
        <v>6249</v>
      </c>
      <c r="BF165" s="13">
        <v>6117</v>
      </c>
      <c r="BG165" s="13">
        <v>6047</v>
      </c>
      <c r="BH165" s="13">
        <v>5999</v>
      </c>
      <c r="BI165" s="13">
        <v>6042</v>
      </c>
      <c r="BJ165" s="13">
        <v>6075</v>
      </c>
      <c r="BK165" s="13">
        <v>6170</v>
      </c>
      <c r="BL165" s="13">
        <v>6213</v>
      </c>
      <c r="BM165" s="4">
        <v>6099</v>
      </c>
      <c r="BN165" s="4">
        <v>6082</v>
      </c>
      <c r="BO165" s="4">
        <v>6125</v>
      </c>
      <c r="BP165" s="4">
        <v>6244</v>
      </c>
      <c r="BQ165" s="4">
        <v>6176</v>
      </c>
      <c r="BR165" s="4">
        <v>6270</v>
      </c>
      <c r="BS165" s="4">
        <v>6270</v>
      </c>
      <c r="BT165" s="4">
        <v>6750</v>
      </c>
      <c r="BU165" s="4">
        <v>6481</v>
      </c>
      <c r="BV165" s="4">
        <v>6771</v>
      </c>
      <c r="BW165" s="4">
        <v>6682</v>
      </c>
      <c r="BX165" s="4">
        <v>6605</v>
      </c>
      <c r="BY165" s="4">
        <v>6727</v>
      </c>
      <c r="BZ165" s="4">
        <v>6551</v>
      </c>
    </row>
    <row r="166" spans="1:254" ht="15.9" customHeight="1">
      <c r="A166" s="61" t="s">
        <v>326</v>
      </c>
      <c r="B166" s="6" t="s">
        <v>327</v>
      </c>
      <c r="C166" s="15">
        <f>_xll.RssMarket("9733","現在値")</f>
        <v>2284</v>
      </c>
      <c r="D166" s="16">
        <f t="shared" si="5"/>
        <v>0</v>
      </c>
      <c r="E166" s="13">
        <v>2284</v>
      </c>
      <c r="F166" s="13">
        <v>2282</v>
      </c>
      <c r="G166" s="13">
        <v>2291</v>
      </c>
      <c r="H166" s="13">
        <v>2322</v>
      </c>
      <c r="I166" s="13">
        <v>2339</v>
      </c>
      <c r="J166" s="13">
        <v>2336</v>
      </c>
      <c r="K166" s="13">
        <v>2347</v>
      </c>
      <c r="L166" s="13">
        <v>2305</v>
      </c>
      <c r="M166" s="13">
        <v>2300</v>
      </c>
      <c r="N166" s="13">
        <v>2286</v>
      </c>
      <c r="O166" s="13">
        <v>2343</v>
      </c>
      <c r="P166" s="13">
        <v>2368</v>
      </c>
      <c r="Q166" s="13">
        <v>2352</v>
      </c>
      <c r="R166" s="13">
        <v>2329</v>
      </c>
      <c r="S166" s="13">
        <v>2351</v>
      </c>
      <c r="T166" s="13">
        <v>2349</v>
      </c>
      <c r="U166" s="13">
        <v>2361</v>
      </c>
      <c r="V166" s="13">
        <v>2372</v>
      </c>
      <c r="W166" s="13">
        <v>2386</v>
      </c>
      <c r="X166" s="13">
        <v>2386</v>
      </c>
      <c r="Y166" s="13">
        <v>2405</v>
      </c>
      <c r="Z166" s="13">
        <v>2390</v>
      </c>
      <c r="AA166" s="13">
        <v>2363</v>
      </c>
      <c r="AB166" s="13">
        <v>2335</v>
      </c>
      <c r="AC166" s="13">
        <v>2310</v>
      </c>
      <c r="AD166" s="13">
        <v>2300</v>
      </c>
      <c r="AE166" s="13">
        <v>2330</v>
      </c>
      <c r="AF166" s="13">
        <v>2267</v>
      </c>
      <c r="AG166" s="13">
        <v>2220</v>
      </c>
      <c r="AH166" s="13">
        <v>2234</v>
      </c>
      <c r="AI166" s="13">
        <v>2221</v>
      </c>
      <c r="AJ166" s="13">
        <v>2220</v>
      </c>
      <c r="AK166" s="13">
        <v>2212</v>
      </c>
      <c r="AL166" s="13">
        <v>2200</v>
      </c>
      <c r="AM166" s="13">
        <v>2201</v>
      </c>
      <c r="AN166" s="13">
        <v>2203</v>
      </c>
      <c r="AO166" s="13">
        <v>2226</v>
      </c>
      <c r="AP166" s="13">
        <v>2235</v>
      </c>
      <c r="AQ166" s="13">
        <v>2225</v>
      </c>
      <c r="AR166" s="13">
        <v>2246</v>
      </c>
      <c r="AS166" s="13">
        <v>2200</v>
      </c>
      <c r="AT166" s="13">
        <v>2204</v>
      </c>
      <c r="AU166" s="13">
        <v>2187</v>
      </c>
      <c r="AV166" s="13">
        <v>2207</v>
      </c>
      <c r="AW166" s="13">
        <v>2200</v>
      </c>
      <c r="AX166" s="13">
        <v>2282</v>
      </c>
      <c r="AY166" s="13">
        <v>2265</v>
      </c>
      <c r="AZ166" s="13">
        <v>2266</v>
      </c>
      <c r="BA166" s="13">
        <v>2273</v>
      </c>
      <c r="BB166" s="13">
        <v>2310</v>
      </c>
      <c r="BC166" s="13">
        <v>2296</v>
      </c>
      <c r="BD166" s="13">
        <v>2320</v>
      </c>
      <c r="BE166" s="13">
        <v>2316</v>
      </c>
      <c r="BF166" s="13">
        <v>2287</v>
      </c>
      <c r="BG166" s="13">
        <v>2267</v>
      </c>
      <c r="BH166" s="13">
        <v>2278</v>
      </c>
      <c r="BI166" s="13">
        <v>2283</v>
      </c>
      <c r="BJ166" s="13">
        <v>2269</v>
      </c>
      <c r="BK166" s="13">
        <v>2287</v>
      </c>
      <c r="BL166" s="13">
        <v>2280</v>
      </c>
      <c r="BM166" s="4">
        <v>2290</v>
      </c>
      <c r="BN166" s="4">
        <v>2300</v>
      </c>
      <c r="BO166" s="4">
        <v>2311</v>
      </c>
      <c r="BP166" s="4">
        <v>2335</v>
      </c>
      <c r="BQ166" s="4">
        <v>2290</v>
      </c>
      <c r="BR166" s="4">
        <v>2311</v>
      </c>
      <c r="BS166" s="4">
        <v>2345</v>
      </c>
      <c r="BT166" s="4">
        <v>2370</v>
      </c>
      <c r="BU166" s="4">
        <v>2362</v>
      </c>
      <c r="BV166" s="4">
        <v>2412</v>
      </c>
      <c r="BW166" s="4">
        <v>2460</v>
      </c>
      <c r="BX166" s="4">
        <v>2452</v>
      </c>
      <c r="BY166" s="4">
        <v>2421</v>
      </c>
      <c r="BZ166" s="4">
        <v>2481</v>
      </c>
    </row>
    <row r="167" spans="1:254" ht="15.9" customHeight="1">
      <c r="A167" s="61" t="s">
        <v>328</v>
      </c>
      <c r="B167" s="6" t="s">
        <v>329</v>
      </c>
      <c r="C167" s="15">
        <f>_xll.RssMarket("9551","現在値")</f>
        <v>3290</v>
      </c>
      <c r="D167" s="16">
        <f t="shared" si="5"/>
        <v>0</v>
      </c>
      <c r="E167" s="13">
        <v>3290</v>
      </c>
      <c r="F167" s="13">
        <v>3335</v>
      </c>
      <c r="G167" s="13">
        <v>3235</v>
      </c>
      <c r="H167" s="13">
        <v>3125</v>
      </c>
      <c r="I167" s="13">
        <v>3085</v>
      </c>
      <c r="J167" s="13">
        <v>3055</v>
      </c>
      <c r="K167" s="13">
        <v>3065</v>
      </c>
      <c r="L167" s="13">
        <v>3065</v>
      </c>
      <c r="M167" s="13">
        <v>3225</v>
      </c>
      <c r="N167" s="13"/>
      <c r="O167" s="13">
        <v>3230</v>
      </c>
      <c r="P167" s="13">
        <v>3210</v>
      </c>
      <c r="Q167" s="13">
        <v>3170</v>
      </c>
      <c r="R167" s="13">
        <v>3120</v>
      </c>
      <c r="S167" s="13">
        <v>3230</v>
      </c>
      <c r="T167" s="13">
        <v>3175</v>
      </c>
      <c r="U167" s="13">
        <v>3205</v>
      </c>
      <c r="V167" s="13">
        <v>3235</v>
      </c>
      <c r="W167" s="13">
        <v>3260</v>
      </c>
      <c r="X167" s="13">
        <v>3180</v>
      </c>
      <c r="Y167" s="13">
        <v>3265</v>
      </c>
      <c r="Z167" s="13">
        <v>3325</v>
      </c>
      <c r="AA167" s="13">
        <v>3325</v>
      </c>
      <c r="AB167" s="13">
        <v>3285</v>
      </c>
      <c r="AC167" s="13">
        <v>3350</v>
      </c>
      <c r="AD167" s="13">
        <v>3325</v>
      </c>
      <c r="AE167" s="13">
        <v>3395</v>
      </c>
      <c r="AF167" s="13">
        <v>3570</v>
      </c>
      <c r="AG167" s="13">
        <v>3560</v>
      </c>
      <c r="AH167" s="13">
        <v>3505</v>
      </c>
      <c r="AI167" s="13">
        <v>3515</v>
      </c>
      <c r="AJ167" s="13">
        <v>3535</v>
      </c>
      <c r="AK167" s="13">
        <v>3455</v>
      </c>
      <c r="AL167" s="13">
        <v>3455</v>
      </c>
      <c r="AM167" s="13">
        <v>3410</v>
      </c>
      <c r="AN167" s="13">
        <v>3340</v>
      </c>
      <c r="AO167" s="13">
        <v>3330</v>
      </c>
      <c r="AP167" s="13">
        <v>3145</v>
      </c>
      <c r="AQ167" s="13">
        <v>3105</v>
      </c>
      <c r="AR167" s="13">
        <v>3150</v>
      </c>
      <c r="AS167" s="13">
        <v>3240</v>
      </c>
      <c r="AT167" s="13">
        <v>3285</v>
      </c>
      <c r="AU167" s="13">
        <v>3250</v>
      </c>
      <c r="AV167" s="13">
        <v>3280</v>
      </c>
      <c r="AW167" s="13">
        <v>3270</v>
      </c>
      <c r="AX167" s="13">
        <v>3555</v>
      </c>
      <c r="AY167" s="13">
        <v>3250</v>
      </c>
      <c r="AZ167" s="13">
        <v>3265</v>
      </c>
      <c r="BA167" s="13">
        <v>3275</v>
      </c>
      <c r="BB167" s="13">
        <v>3265</v>
      </c>
      <c r="BC167" s="13">
        <v>3270</v>
      </c>
      <c r="BD167" s="13">
        <v>3235</v>
      </c>
      <c r="BE167" s="13">
        <v>3285</v>
      </c>
      <c r="BF167" s="13">
        <v>3360</v>
      </c>
      <c r="BG167" s="13">
        <v>3515</v>
      </c>
      <c r="BH167" s="13">
        <v>3430</v>
      </c>
      <c r="BI167" s="13">
        <v>3440</v>
      </c>
      <c r="BJ167" s="13">
        <v>3385</v>
      </c>
      <c r="BK167" s="13">
        <v>3440</v>
      </c>
      <c r="BL167" s="13">
        <v>3440</v>
      </c>
      <c r="BM167" s="4">
        <v>3435</v>
      </c>
      <c r="BN167" s="4">
        <v>3365</v>
      </c>
      <c r="BO167" s="4">
        <v>3390</v>
      </c>
      <c r="BP167" s="4">
        <v>3415</v>
      </c>
      <c r="BQ167" s="4">
        <v>3270</v>
      </c>
      <c r="BR167" s="4">
        <v>3620</v>
      </c>
      <c r="BS167" s="4">
        <v>3590</v>
      </c>
      <c r="BT167" s="4">
        <v>3620</v>
      </c>
      <c r="BU167" s="4">
        <v>3690</v>
      </c>
      <c r="BV167" s="4">
        <v>3705</v>
      </c>
      <c r="BW167" s="4">
        <v>3705</v>
      </c>
      <c r="BX167" s="4">
        <v>3685</v>
      </c>
      <c r="BY167" s="4">
        <v>3675</v>
      </c>
      <c r="BZ167" s="4">
        <v>3710</v>
      </c>
    </row>
    <row r="168" spans="1:254" ht="15.9" customHeight="1">
      <c r="A168" s="61" t="s">
        <v>330</v>
      </c>
      <c r="B168" s="6" t="s">
        <v>331</v>
      </c>
      <c r="C168" s="15">
        <f>_xll.RssMarket("2359","現在値")</f>
        <v>2030</v>
      </c>
      <c r="D168" s="16">
        <f t="shared" si="5"/>
        <v>0</v>
      </c>
      <c r="E168" s="13">
        <v>2030</v>
      </c>
      <c r="F168" s="13">
        <v>2033</v>
      </c>
      <c r="G168" s="13">
        <v>2011</v>
      </c>
      <c r="H168" s="13">
        <v>2038</v>
      </c>
      <c r="I168" s="13">
        <v>2022</v>
      </c>
      <c r="J168" s="13">
        <v>2066</v>
      </c>
      <c r="K168" s="13">
        <v>2044</v>
      </c>
      <c r="L168" s="13">
        <v>2012</v>
      </c>
      <c r="M168" s="13">
        <v>2012</v>
      </c>
      <c r="N168" s="13"/>
      <c r="O168" s="13">
        <v>1989</v>
      </c>
      <c r="P168" s="13">
        <v>2005</v>
      </c>
      <c r="Q168" s="13">
        <v>1983</v>
      </c>
      <c r="R168" s="13">
        <v>1980</v>
      </c>
      <c r="S168" s="13">
        <v>2010</v>
      </c>
      <c r="T168" s="13">
        <v>2009</v>
      </c>
      <c r="U168" s="13">
        <v>1995</v>
      </c>
      <c r="V168" s="13">
        <v>1990</v>
      </c>
      <c r="W168" s="13">
        <v>1950</v>
      </c>
      <c r="X168" s="13">
        <v>1951</v>
      </c>
      <c r="Y168" s="13">
        <v>1957</v>
      </c>
      <c r="Z168" s="13">
        <v>1950</v>
      </c>
      <c r="AA168" s="13">
        <v>1941</v>
      </c>
      <c r="AB168" s="13">
        <v>1950</v>
      </c>
      <c r="AC168" s="13">
        <v>1926</v>
      </c>
      <c r="AD168" s="13">
        <v>1952</v>
      </c>
      <c r="AE168" s="13">
        <v>1982</v>
      </c>
      <c r="AF168" s="13">
        <v>2015</v>
      </c>
      <c r="AG168" s="13">
        <v>2005</v>
      </c>
      <c r="AH168" s="13">
        <v>2030</v>
      </c>
      <c r="AI168" s="13">
        <v>2010</v>
      </c>
      <c r="AJ168" s="13">
        <v>2031</v>
      </c>
      <c r="AK168" s="13">
        <v>2031</v>
      </c>
      <c r="AL168" s="13">
        <v>2026</v>
      </c>
      <c r="AM168" s="13">
        <v>2020</v>
      </c>
      <c r="AN168" s="13">
        <v>2005</v>
      </c>
      <c r="AO168" s="13">
        <v>2008</v>
      </c>
      <c r="AP168" s="13">
        <v>1993</v>
      </c>
      <c r="AQ168" s="13">
        <v>2019</v>
      </c>
      <c r="AR168" s="13">
        <v>2027</v>
      </c>
      <c r="AS168" s="13">
        <v>2034</v>
      </c>
      <c r="AT168" s="13">
        <v>2083</v>
      </c>
      <c r="AU168" s="13">
        <v>2040</v>
      </c>
      <c r="AV168" s="13">
        <v>2041</v>
      </c>
      <c r="AW168" s="13">
        <v>2043</v>
      </c>
      <c r="AX168" s="13">
        <v>2020</v>
      </c>
      <c r="AY168" s="13">
        <v>2060</v>
      </c>
      <c r="AZ168" s="13">
        <v>2030</v>
      </c>
      <c r="BA168" s="13">
        <v>2096</v>
      </c>
      <c r="BB168" s="13">
        <v>2099</v>
      </c>
      <c r="BC168" s="13">
        <v>2102</v>
      </c>
      <c r="BD168" s="13">
        <v>2100</v>
      </c>
      <c r="BE168" s="13">
        <v>2086</v>
      </c>
      <c r="BF168" s="13">
        <v>2044</v>
      </c>
      <c r="BG168" s="13">
        <v>2053</v>
      </c>
      <c r="BH168" s="13">
        <v>2064</v>
      </c>
      <c r="BI168" s="13">
        <v>2051</v>
      </c>
      <c r="BJ168" s="13">
        <v>2015</v>
      </c>
      <c r="BK168" s="13">
        <v>2008</v>
      </c>
      <c r="BL168" s="13">
        <v>2006</v>
      </c>
      <c r="BM168" s="4">
        <v>1988</v>
      </c>
      <c r="BN168" s="4">
        <v>2016</v>
      </c>
      <c r="BO168" s="4">
        <v>2048</v>
      </c>
      <c r="BP168" s="4">
        <v>2205</v>
      </c>
      <c r="BQ168" s="4">
        <v>2228</v>
      </c>
      <c r="BR168" s="4">
        <v>2137</v>
      </c>
      <c r="BS168" s="4">
        <v>2137</v>
      </c>
      <c r="BT168" s="4">
        <v>2206</v>
      </c>
      <c r="BU168" s="4">
        <v>2245</v>
      </c>
      <c r="BV168" s="4">
        <v>2243</v>
      </c>
      <c r="BW168" s="4">
        <v>2251</v>
      </c>
      <c r="BX168" s="4">
        <v>2232</v>
      </c>
      <c r="BY168" s="4">
        <v>2243</v>
      </c>
      <c r="BZ168" s="4">
        <v>2215</v>
      </c>
    </row>
    <row r="169" spans="1:254" ht="15.9" customHeight="1">
      <c r="A169" s="61" t="s">
        <v>332</v>
      </c>
      <c r="B169" s="6" t="s">
        <v>333</v>
      </c>
      <c r="C169" s="15">
        <f>_xll.RssMarket("8103","現在値")</f>
        <v>900</v>
      </c>
      <c r="D169" s="16">
        <f t="shared" si="5"/>
        <v>0</v>
      </c>
      <c r="E169" s="13">
        <v>900</v>
      </c>
      <c r="F169" s="13">
        <v>889</v>
      </c>
      <c r="G169" s="13">
        <v>895</v>
      </c>
      <c r="H169" s="13">
        <v>898</v>
      </c>
      <c r="I169" s="13">
        <v>902</v>
      </c>
      <c r="J169" s="13">
        <v>919</v>
      </c>
      <c r="K169" s="13">
        <v>926</v>
      </c>
      <c r="L169" s="13">
        <v>916</v>
      </c>
      <c r="M169" s="13">
        <v>922</v>
      </c>
      <c r="N169" s="13">
        <v>904</v>
      </c>
      <c r="O169" s="13">
        <v>913</v>
      </c>
      <c r="P169" s="13">
        <v>910</v>
      </c>
      <c r="Q169" s="13">
        <v>910</v>
      </c>
      <c r="R169" s="13">
        <v>895</v>
      </c>
      <c r="S169" s="13">
        <v>917</v>
      </c>
      <c r="T169" s="13">
        <v>905</v>
      </c>
      <c r="U169" s="13">
        <v>900</v>
      </c>
      <c r="V169" s="13">
        <v>910</v>
      </c>
      <c r="W169" s="13">
        <v>910</v>
      </c>
      <c r="X169" s="13">
        <v>909</v>
      </c>
      <c r="Y169" s="13">
        <v>914</v>
      </c>
      <c r="Z169" s="13">
        <v>920</v>
      </c>
      <c r="AA169" s="13">
        <v>906</v>
      </c>
      <c r="AB169" s="13">
        <v>894</v>
      </c>
      <c r="AC169" s="13">
        <v>878</v>
      </c>
      <c r="AD169" s="13">
        <v>877</v>
      </c>
      <c r="AE169" s="13">
        <v>879</v>
      </c>
      <c r="AF169" s="13">
        <v>864</v>
      </c>
      <c r="AG169" s="13">
        <v>868</v>
      </c>
      <c r="AH169" s="13">
        <v>854</v>
      </c>
      <c r="AI169" s="13">
        <v>869</v>
      </c>
      <c r="AJ169" s="13">
        <v>883</v>
      </c>
      <c r="AK169" s="13">
        <v>869</v>
      </c>
      <c r="AL169" s="13">
        <v>868</v>
      </c>
      <c r="AM169" s="13">
        <v>873</v>
      </c>
      <c r="AN169" s="13">
        <v>872</v>
      </c>
      <c r="AO169" s="13">
        <v>886</v>
      </c>
      <c r="AP169" s="13">
        <v>871</v>
      </c>
      <c r="AQ169" s="13">
        <v>858</v>
      </c>
      <c r="AR169" s="13">
        <v>868</v>
      </c>
      <c r="AS169" s="13">
        <v>880</v>
      </c>
      <c r="AT169" s="13">
        <v>879</v>
      </c>
      <c r="AU169" s="13">
        <v>882</v>
      </c>
      <c r="AV169" s="13">
        <v>885</v>
      </c>
      <c r="AW169" s="13">
        <v>878</v>
      </c>
      <c r="AX169" s="13">
        <v>880</v>
      </c>
      <c r="AY169" s="13">
        <v>887</v>
      </c>
      <c r="AZ169" s="13">
        <v>886</v>
      </c>
      <c r="BA169" s="13">
        <v>907</v>
      </c>
      <c r="BB169" s="13">
        <v>902</v>
      </c>
      <c r="BC169" s="13">
        <v>890</v>
      </c>
      <c r="BD169" s="13">
        <v>893</v>
      </c>
      <c r="BE169" s="13">
        <v>909</v>
      </c>
      <c r="BF169" s="13">
        <v>889</v>
      </c>
      <c r="BG169" s="13">
        <v>897</v>
      </c>
      <c r="BH169" s="13">
        <v>902</v>
      </c>
      <c r="BI169" s="13">
        <v>897</v>
      </c>
      <c r="BJ169" s="13">
        <v>879</v>
      </c>
      <c r="BK169" s="13">
        <v>885</v>
      </c>
      <c r="BL169" s="13">
        <v>895</v>
      </c>
      <c r="BM169" s="4">
        <v>903</v>
      </c>
      <c r="BN169" s="4">
        <v>854</v>
      </c>
      <c r="BO169" s="4">
        <v>830</v>
      </c>
      <c r="BP169" s="4">
        <v>773</v>
      </c>
      <c r="BQ169" s="4">
        <v>765</v>
      </c>
      <c r="BR169" s="4">
        <v>773</v>
      </c>
      <c r="BS169" s="4">
        <v>767</v>
      </c>
      <c r="BT169" s="4">
        <v>773</v>
      </c>
      <c r="BU169" s="4">
        <v>773</v>
      </c>
      <c r="BV169" s="4">
        <v>778</v>
      </c>
      <c r="BW169" s="4">
        <v>782</v>
      </c>
      <c r="BX169" s="4">
        <v>783</v>
      </c>
      <c r="BY169" s="4">
        <v>774</v>
      </c>
      <c r="BZ169" s="4">
        <v>780</v>
      </c>
    </row>
    <row r="170" spans="1:254" ht="15.9" customHeight="1">
      <c r="A170" s="61" t="s">
        <v>334</v>
      </c>
      <c r="B170" s="6" t="s">
        <v>335</v>
      </c>
      <c r="C170" s="15">
        <f>_xll.RssMarket("4709","現在値")</f>
        <v>1018</v>
      </c>
      <c r="D170" s="16">
        <f t="shared" si="5"/>
        <v>0</v>
      </c>
      <c r="E170" s="13">
        <v>1018</v>
      </c>
      <c r="F170" s="13">
        <v>1011</v>
      </c>
      <c r="G170" s="13">
        <v>1007</v>
      </c>
      <c r="H170" s="13">
        <v>1034</v>
      </c>
      <c r="I170" s="13">
        <v>1022</v>
      </c>
      <c r="J170" s="13">
        <v>1148</v>
      </c>
      <c r="K170" s="13">
        <v>1156</v>
      </c>
      <c r="L170" s="13">
        <v>1131</v>
      </c>
      <c r="M170" s="13">
        <v>1128</v>
      </c>
      <c r="N170" s="13">
        <v>1109</v>
      </c>
      <c r="O170" s="13">
        <v>1106</v>
      </c>
      <c r="P170" s="13">
        <v>1104</v>
      </c>
      <c r="Q170" s="13">
        <v>1107</v>
      </c>
      <c r="R170" s="13">
        <v>1115</v>
      </c>
      <c r="S170" s="13">
        <v>1127</v>
      </c>
      <c r="T170" s="13">
        <v>1109</v>
      </c>
      <c r="U170" s="13">
        <v>1106</v>
      </c>
      <c r="V170" s="13">
        <v>1107</v>
      </c>
      <c r="W170" s="13">
        <v>1091</v>
      </c>
      <c r="X170" s="13">
        <v>1103</v>
      </c>
      <c r="Y170" s="13">
        <v>1090</v>
      </c>
      <c r="Z170" s="13">
        <v>1070</v>
      </c>
      <c r="AA170" s="13">
        <v>1074</v>
      </c>
      <c r="AB170" s="13">
        <v>1061</v>
      </c>
      <c r="AC170" s="13">
        <v>1055</v>
      </c>
      <c r="AD170" s="13">
        <v>1071</v>
      </c>
      <c r="AE170" s="13">
        <v>1070</v>
      </c>
      <c r="AF170" s="13">
        <v>1059</v>
      </c>
      <c r="AG170" s="13">
        <v>1050</v>
      </c>
      <c r="AH170" s="13">
        <v>1037</v>
      </c>
      <c r="AI170" s="13">
        <v>1044</v>
      </c>
      <c r="AJ170" s="13">
        <v>1057</v>
      </c>
      <c r="AK170" s="13">
        <v>1056</v>
      </c>
      <c r="AL170" s="13">
        <v>1068</v>
      </c>
      <c r="AM170" s="13">
        <v>1092</v>
      </c>
      <c r="AN170" s="13">
        <v>1110</v>
      </c>
      <c r="AO170" s="13">
        <v>1067</v>
      </c>
      <c r="AP170" s="13">
        <v>1060</v>
      </c>
      <c r="AQ170" s="13">
        <v>1059</v>
      </c>
      <c r="AR170" s="13">
        <v>1084</v>
      </c>
      <c r="AS170" s="13">
        <v>1022</v>
      </c>
      <c r="AT170" s="13">
        <v>1003</v>
      </c>
      <c r="AU170" s="13">
        <v>989</v>
      </c>
      <c r="AV170" s="13">
        <v>1004</v>
      </c>
      <c r="AW170" s="13">
        <v>1024</v>
      </c>
      <c r="AX170" s="13">
        <v>1037</v>
      </c>
      <c r="AY170" s="13">
        <v>1020</v>
      </c>
      <c r="AZ170" s="13">
        <v>1001</v>
      </c>
      <c r="BA170" s="13">
        <v>1033</v>
      </c>
      <c r="BB170" s="13">
        <v>1045</v>
      </c>
      <c r="BC170" s="13">
        <v>1049</v>
      </c>
      <c r="BD170" s="13">
        <v>1037</v>
      </c>
      <c r="BE170" s="13">
        <v>1052</v>
      </c>
      <c r="BF170" s="13">
        <v>1016</v>
      </c>
      <c r="BG170" s="13">
        <v>1031</v>
      </c>
      <c r="BH170" s="13">
        <v>1015</v>
      </c>
      <c r="BI170" s="13">
        <v>1066</v>
      </c>
      <c r="BJ170" s="13">
        <v>1072</v>
      </c>
      <c r="BK170" s="13">
        <v>1071</v>
      </c>
      <c r="BL170" s="13">
        <v>1017</v>
      </c>
      <c r="BM170" s="4">
        <v>1035</v>
      </c>
      <c r="BN170" s="4">
        <v>1031</v>
      </c>
      <c r="BO170" s="4">
        <v>1005</v>
      </c>
      <c r="BP170" s="4">
        <v>902</v>
      </c>
      <c r="BQ170" s="4">
        <v>896</v>
      </c>
      <c r="BR170" s="4">
        <v>886</v>
      </c>
      <c r="BS170" s="4">
        <v>892</v>
      </c>
      <c r="BT170" s="4">
        <v>912</v>
      </c>
      <c r="BU170" s="4">
        <v>921</v>
      </c>
      <c r="BV170" s="4">
        <v>920</v>
      </c>
      <c r="BW170" s="4">
        <v>936</v>
      </c>
      <c r="BX170" s="4">
        <v>938</v>
      </c>
      <c r="BY170" s="4">
        <v>933</v>
      </c>
      <c r="BZ170" s="4">
        <v>914</v>
      </c>
    </row>
    <row r="171" spans="1:254" ht="15.9" customHeight="1">
      <c r="A171" s="61" t="s">
        <v>336</v>
      </c>
      <c r="B171" s="6" t="s">
        <v>337</v>
      </c>
      <c r="C171" s="15">
        <f>_xll.RssMarket("7981","現在値")</f>
        <v>3055</v>
      </c>
      <c r="D171" s="16">
        <f t="shared" si="5"/>
        <v>0</v>
      </c>
      <c r="E171" s="13">
        <v>3055</v>
      </c>
      <c r="F171" s="13">
        <v>3005</v>
      </c>
      <c r="G171" s="13">
        <v>2990</v>
      </c>
      <c r="H171" s="13">
        <v>2995</v>
      </c>
      <c r="I171" s="13">
        <v>3020</v>
      </c>
      <c r="J171" s="13">
        <v>3035</v>
      </c>
      <c r="K171" s="13">
        <v>3280</v>
      </c>
      <c r="L171" s="13">
        <v>3270</v>
      </c>
      <c r="M171" s="13">
        <v>3240</v>
      </c>
      <c r="N171" s="13">
        <v>3135</v>
      </c>
      <c r="O171" s="13">
        <v>3085</v>
      </c>
      <c r="P171" s="13">
        <v>3100</v>
      </c>
      <c r="Q171" s="13">
        <v>3085</v>
      </c>
      <c r="R171" s="13">
        <v>3055</v>
      </c>
      <c r="S171" s="13">
        <v>3125</v>
      </c>
      <c r="T171" s="13">
        <v>3090</v>
      </c>
      <c r="U171" s="13">
        <v>3050</v>
      </c>
      <c r="V171" s="13">
        <v>3055</v>
      </c>
      <c r="W171" s="13">
        <v>3055</v>
      </c>
      <c r="X171" s="13">
        <v>3080</v>
      </c>
      <c r="Y171" s="13">
        <v>3125</v>
      </c>
      <c r="Z171" s="13">
        <v>3115</v>
      </c>
      <c r="AA171" s="13">
        <v>3095</v>
      </c>
      <c r="AB171" s="13">
        <v>3075</v>
      </c>
      <c r="AC171" s="13">
        <v>3050</v>
      </c>
      <c r="AD171" s="13">
        <v>3100</v>
      </c>
      <c r="AE171" s="13">
        <v>3080</v>
      </c>
      <c r="AF171" s="13">
        <v>3100</v>
      </c>
      <c r="AG171" s="13">
        <v>3135</v>
      </c>
      <c r="AH171" s="13">
        <v>3070</v>
      </c>
      <c r="AI171" s="13">
        <v>3070</v>
      </c>
      <c r="AJ171" s="13">
        <v>3050</v>
      </c>
      <c r="AK171" s="13">
        <v>3030</v>
      </c>
      <c r="AL171" s="13">
        <v>3015</v>
      </c>
      <c r="AM171" s="13">
        <v>3000</v>
      </c>
      <c r="AN171" s="13">
        <v>3000</v>
      </c>
      <c r="AO171" s="13">
        <v>3035</v>
      </c>
      <c r="AP171" s="13">
        <v>2967</v>
      </c>
      <c r="AQ171" s="13">
        <v>2961</v>
      </c>
      <c r="AR171" s="13">
        <v>2944</v>
      </c>
      <c r="AS171" s="13">
        <v>2941</v>
      </c>
      <c r="AT171" s="13">
        <v>2967</v>
      </c>
      <c r="AU171" s="13">
        <v>2944</v>
      </c>
      <c r="AV171" s="13">
        <v>2942</v>
      </c>
      <c r="AW171" s="13">
        <v>2923</v>
      </c>
      <c r="AX171" s="13">
        <v>2969</v>
      </c>
      <c r="AY171" s="13">
        <v>2960</v>
      </c>
      <c r="AZ171" s="13">
        <v>2952</v>
      </c>
      <c r="BA171" s="13">
        <v>2990</v>
      </c>
      <c r="BB171" s="13">
        <v>2912</v>
      </c>
      <c r="BC171" s="13">
        <v>2896</v>
      </c>
      <c r="BD171" s="13">
        <v>2901</v>
      </c>
      <c r="BE171" s="13">
        <v>2947</v>
      </c>
      <c r="BF171" s="13">
        <v>2908</v>
      </c>
      <c r="BG171" s="13">
        <v>2990</v>
      </c>
      <c r="BH171" s="13">
        <v>3005</v>
      </c>
      <c r="BI171" s="13">
        <v>2995</v>
      </c>
      <c r="BJ171" s="13">
        <v>3025</v>
      </c>
      <c r="BK171" s="13">
        <v>3095</v>
      </c>
      <c r="BL171" s="13">
        <v>3050</v>
      </c>
      <c r="BM171" s="4">
        <v>3210</v>
      </c>
      <c r="BN171" s="4">
        <v>3070</v>
      </c>
      <c r="BO171" s="4">
        <v>2964</v>
      </c>
      <c r="BP171" s="4">
        <v>2820</v>
      </c>
      <c r="BQ171" s="4">
        <v>2747</v>
      </c>
      <c r="BR171" s="4">
        <v>2648</v>
      </c>
      <c r="BS171" s="4">
        <v>2660</v>
      </c>
      <c r="BT171" s="4">
        <v>2657</v>
      </c>
      <c r="BU171" s="4">
        <v>2675</v>
      </c>
      <c r="BV171" s="4">
        <v>2714</v>
      </c>
      <c r="BW171" s="4">
        <v>2720</v>
      </c>
      <c r="BX171" s="4">
        <v>2765</v>
      </c>
      <c r="BY171" s="4">
        <v>2719</v>
      </c>
      <c r="BZ171" s="4">
        <v>2665</v>
      </c>
    </row>
    <row r="172" spans="1:254" ht="15.9" customHeight="1">
      <c r="A172" s="61" t="s">
        <v>338</v>
      </c>
      <c r="B172" s="6" t="s">
        <v>339</v>
      </c>
      <c r="C172" s="15">
        <f>_xll.RssMarket("8303","現在値")</f>
        <v>1564.5</v>
      </c>
      <c r="D172" s="16">
        <f t="shared" si="5"/>
        <v>0</v>
      </c>
      <c r="E172" s="13">
        <v>1564.5</v>
      </c>
      <c r="F172" s="13">
        <v>1500.5</v>
      </c>
      <c r="G172" s="13">
        <v>1438</v>
      </c>
      <c r="H172" s="13">
        <v>1453</v>
      </c>
      <c r="I172" s="13">
        <v>1491</v>
      </c>
      <c r="J172" s="13">
        <v>1418</v>
      </c>
      <c r="K172" s="13">
        <v>1425.5</v>
      </c>
      <c r="L172" s="13">
        <v>1441.5</v>
      </c>
      <c r="M172" s="13">
        <v>1460</v>
      </c>
      <c r="N172" s="13">
        <v>1423.5</v>
      </c>
      <c r="O172" s="13">
        <v>1449.5</v>
      </c>
      <c r="P172" s="13">
        <v>1443</v>
      </c>
      <c r="Q172" s="13">
        <v>1440.5</v>
      </c>
      <c r="R172" s="13">
        <v>1408.5</v>
      </c>
      <c r="S172" s="13">
        <v>1472</v>
      </c>
      <c r="T172" s="13">
        <v>1450.5</v>
      </c>
      <c r="U172" s="13">
        <v>1444</v>
      </c>
      <c r="V172" s="13">
        <v>1449</v>
      </c>
      <c r="W172" s="13">
        <v>1440</v>
      </c>
      <c r="X172" s="13">
        <v>1466</v>
      </c>
      <c r="Y172" s="13">
        <v>1498</v>
      </c>
      <c r="Z172" s="13">
        <v>1467</v>
      </c>
      <c r="AA172" s="13">
        <v>1447.5</v>
      </c>
      <c r="AB172" s="13">
        <v>1412</v>
      </c>
      <c r="AC172" s="13">
        <v>1367</v>
      </c>
      <c r="AD172" s="13">
        <v>1380</v>
      </c>
      <c r="AE172" s="13">
        <v>1425</v>
      </c>
      <c r="AF172" s="13">
        <v>1389.5</v>
      </c>
      <c r="AG172" s="13">
        <v>1395</v>
      </c>
      <c r="AH172" s="13">
        <v>1415</v>
      </c>
      <c r="AI172" s="13">
        <v>1396</v>
      </c>
      <c r="AJ172" s="13">
        <v>1422.5</v>
      </c>
      <c r="AK172" s="13">
        <v>1460</v>
      </c>
      <c r="AL172" s="13">
        <v>1489.5</v>
      </c>
      <c r="AM172" s="13">
        <v>1445</v>
      </c>
      <c r="AN172" s="13">
        <v>1449</v>
      </c>
      <c r="AO172" s="13">
        <v>1491.5</v>
      </c>
      <c r="AP172" s="13">
        <v>1460</v>
      </c>
      <c r="AQ172" s="13">
        <v>1436</v>
      </c>
      <c r="AR172" s="13">
        <v>1445</v>
      </c>
      <c r="AS172" s="13">
        <v>1392.5</v>
      </c>
      <c r="AT172" s="13">
        <v>1396</v>
      </c>
      <c r="AU172" s="13">
        <v>1418</v>
      </c>
      <c r="AV172" s="13">
        <v>1392</v>
      </c>
      <c r="AW172" s="13">
        <v>1359</v>
      </c>
      <c r="AX172" s="13">
        <v>1398</v>
      </c>
      <c r="AY172" s="13">
        <v>1359.5</v>
      </c>
      <c r="AZ172" s="13">
        <v>1380</v>
      </c>
      <c r="BA172" s="13">
        <v>1458.5</v>
      </c>
      <c r="BB172" s="13">
        <v>1481</v>
      </c>
      <c r="BC172" s="13">
        <v>1500</v>
      </c>
      <c r="BD172" s="13">
        <v>1560</v>
      </c>
      <c r="BE172" s="13">
        <v>1588</v>
      </c>
      <c r="BF172" s="13">
        <v>1629</v>
      </c>
      <c r="BG172" s="13">
        <v>1648.5</v>
      </c>
      <c r="BH172" s="13">
        <v>1616.5</v>
      </c>
      <c r="BI172" s="13">
        <v>1656.5</v>
      </c>
      <c r="BJ172" s="13">
        <v>1658.5</v>
      </c>
      <c r="BK172" s="13">
        <v>1640</v>
      </c>
      <c r="BL172" s="13">
        <v>1676.5</v>
      </c>
      <c r="BM172" s="4">
        <v>1693</v>
      </c>
      <c r="BN172" s="4">
        <v>1717</v>
      </c>
      <c r="BO172" s="4">
        <v>1835</v>
      </c>
      <c r="BP172" s="4">
        <v>1821.5</v>
      </c>
      <c r="BQ172" s="4">
        <v>1722.5</v>
      </c>
      <c r="BR172" s="4">
        <v>1686</v>
      </c>
      <c r="BS172" s="4">
        <v>1747</v>
      </c>
      <c r="BT172" s="4">
        <v>1635</v>
      </c>
      <c r="BU172" s="4">
        <v>1658</v>
      </c>
      <c r="BV172" s="4">
        <v>1674.5</v>
      </c>
      <c r="BW172" s="4">
        <v>1687</v>
      </c>
      <c r="BX172" s="4">
        <v>1709</v>
      </c>
      <c r="BY172" s="4">
        <v>1693.5</v>
      </c>
      <c r="BZ172" s="4">
        <v>1670</v>
      </c>
    </row>
    <row r="173" spans="1:254" ht="15.9" customHeight="1">
      <c r="A173" s="61" t="s">
        <v>340</v>
      </c>
      <c r="B173" s="6" t="s">
        <v>341</v>
      </c>
      <c r="C173" s="15">
        <f>_xll.RssMarket("4382","現在値")</f>
        <v>724</v>
      </c>
      <c r="D173" s="16">
        <f t="shared" si="5"/>
        <v>0</v>
      </c>
      <c r="E173" s="13">
        <v>724</v>
      </c>
      <c r="F173" s="13">
        <v>713</v>
      </c>
      <c r="G173" s="13">
        <v>705</v>
      </c>
      <c r="H173" s="13">
        <v>705</v>
      </c>
      <c r="I173" s="13">
        <v>701</v>
      </c>
      <c r="J173" s="13">
        <v>700</v>
      </c>
      <c r="K173" s="13">
        <v>695</v>
      </c>
      <c r="L173" s="13">
        <v>697</v>
      </c>
      <c r="M173" s="13">
        <v>708</v>
      </c>
      <c r="N173" s="13"/>
      <c r="O173" s="13">
        <v>703</v>
      </c>
      <c r="P173" s="13">
        <v>702</v>
      </c>
      <c r="Q173" s="13">
        <v>704</v>
      </c>
      <c r="R173" s="13">
        <v>705</v>
      </c>
      <c r="S173" s="13">
        <v>724</v>
      </c>
      <c r="T173" s="13">
        <v>707</v>
      </c>
      <c r="U173" s="13">
        <v>692</v>
      </c>
      <c r="V173" s="13">
        <v>692</v>
      </c>
      <c r="W173" s="13">
        <v>693</v>
      </c>
      <c r="X173" s="13">
        <v>715</v>
      </c>
      <c r="Y173" s="13">
        <v>719</v>
      </c>
      <c r="Z173" s="13">
        <v>721</v>
      </c>
      <c r="AA173" s="13">
        <v>717</v>
      </c>
      <c r="AB173" s="13">
        <v>713</v>
      </c>
      <c r="AC173" s="13">
        <v>718</v>
      </c>
      <c r="AD173" s="13">
        <v>718</v>
      </c>
      <c r="AE173" s="13">
        <v>754</v>
      </c>
      <c r="AF173" s="13">
        <v>713</v>
      </c>
      <c r="AG173" s="13">
        <v>717</v>
      </c>
      <c r="AH173" s="13">
        <v>710</v>
      </c>
      <c r="AI173" s="13">
        <v>713</v>
      </c>
      <c r="AJ173" s="13">
        <v>731</v>
      </c>
      <c r="AK173" s="13">
        <v>728</v>
      </c>
      <c r="AL173" s="13">
        <v>771</v>
      </c>
      <c r="AM173" s="13">
        <v>787</v>
      </c>
      <c r="AN173" s="13">
        <v>792</v>
      </c>
      <c r="AO173" s="13">
        <v>788</v>
      </c>
      <c r="AP173" s="13">
        <v>803</v>
      </c>
      <c r="AQ173" s="13">
        <v>761</v>
      </c>
      <c r="AR173" s="13">
        <v>763</v>
      </c>
      <c r="AS173" s="13">
        <v>707</v>
      </c>
      <c r="AT173" s="13">
        <v>720</v>
      </c>
      <c r="AU173" s="13">
        <v>698</v>
      </c>
      <c r="AV173" s="13">
        <v>700</v>
      </c>
      <c r="AW173" s="13">
        <v>701</v>
      </c>
      <c r="AX173" s="13">
        <v>715</v>
      </c>
      <c r="AY173" s="13">
        <v>718</v>
      </c>
      <c r="AZ173" s="13">
        <v>749</v>
      </c>
      <c r="BA173" s="13">
        <v>756</v>
      </c>
      <c r="BB173" s="13">
        <v>771</v>
      </c>
      <c r="BC173" s="13">
        <v>762</v>
      </c>
      <c r="BD173" s="13">
        <v>764</v>
      </c>
      <c r="BE173" s="13">
        <v>774</v>
      </c>
      <c r="BF173" s="13">
        <v>761</v>
      </c>
      <c r="BG173" s="13">
        <v>764</v>
      </c>
      <c r="BH173" s="13">
        <v>770</v>
      </c>
      <c r="BI173" s="13">
        <v>782</v>
      </c>
      <c r="BJ173" s="13">
        <v>782</v>
      </c>
      <c r="BK173" s="13">
        <v>783</v>
      </c>
      <c r="BL173" s="13">
        <v>804</v>
      </c>
      <c r="BM173" s="4">
        <v>809</v>
      </c>
      <c r="BN173" s="4">
        <v>810</v>
      </c>
      <c r="BO173" s="4">
        <v>808</v>
      </c>
      <c r="BP173" s="4">
        <v>816</v>
      </c>
      <c r="BQ173" s="4">
        <v>872</v>
      </c>
      <c r="BR173" s="4">
        <v>846</v>
      </c>
      <c r="BS173" s="4">
        <v>850</v>
      </c>
      <c r="BT173" s="4">
        <v>852</v>
      </c>
      <c r="BU173" s="4">
        <v>858</v>
      </c>
      <c r="BV173" s="4">
        <v>859</v>
      </c>
      <c r="BW173" s="4">
        <v>879</v>
      </c>
      <c r="BX173" s="4">
        <v>890</v>
      </c>
      <c r="BY173" s="4">
        <v>873</v>
      </c>
      <c r="BZ173" s="4">
        <v>869</v>
      </c>
    </row>
    <row r="174" spans="1:254" ht="15.9" customHeight="1">
      <c r="A174" s="61" t="s">
        <v>342</v>
      </c>
      <c r="B174" s="6" t="s">
        <v>343</v>
      </c>
      <c r="C174" s="15">
        <f>_xll.RssMarket("2327","現在値")</f>
        <v>3753</v>
      </c>
      <c r="D174" s="16">
        <f t="shared" si="5"/>
        <v>0</v>
      </c>
      <c r="E174" s="13">
        <v>3753</v>
      </c>
      <c r="F174" s="13">
        <v>3662</v>
      </c>
      <c r="G174" s="13">
        <v>3696</v>
      </c>
      <c r="H174" s="13">
        <v>3726</v>
      </c>
      <c r="I174" s="13">
        <v>3915</v>
      </c>
      <c r="J174" s="13">
        <v>3931</v>
      </c>
      <c r="K174" s="13">
        <v>3985</v>
      </c>
      <c r="L174" s="13">
        <v>3928</v>
      </c>
      <c r="M174" s="13">
        <v>3904</v>
      </c>
      <c r="N174" s="13">
        <v>3800</v>
      </c>
      <c r="O174" s="13">
        <v>3720</v>
      </c>
      <c r="P174" s="13">
        <v>3777</v>
      </c>
      <c r="Q174" s="13">
        <v>3856</v>
      </c>
      <c r="R174" s="13">
        <v>3837</v>
      </c>
      <c r="S174" s="13">
        <v>3780</v>
      </c>
      <c r="T174" s="13">
        <v>3850</v>
      </c>
      <c r="U174" s="13">
        <v>3782</v>
      </c>
      <c r="V174" s="13">
        <v>3775</v>
      </c>
      <c r="W174" s="13">
        <v>3738</v>
      </c>
      <c r="X174" s="13">
        <v>3783</v>
      </c>
      <c r="Y174" s="13">
        <v>3772</v>
      </c>
      <c r="Z174" s="13">
        <v>3671</v>
      </c>
      <c r="AA174" s="13">
        <v>3593</v>
      </c>
      <c r="AB174" s="13">
        <v>3485</v>
      </c>
      <c r="AC174" s="13">
        <v>3319</v>
      </c>
      <c r="AD174" s="13">
        <v>3398</v>
      </c>
      <c r="AE174" s="13">
        <v>3378</v>
      </c>
      <c r="AF174" s="13">
        <v>3254</v>
      </c>
      <c r="AG174" s="13">
        <v>3214</v>
      </c>
      <c r="AH174" s="13">
        <v>3230</v>
      </c>
      <c r="AI174" s="13">
        <v>3182</v>
      </c>
      <c r="AJ174" s="13">
        <v>3228</v>
      </c>
      <c r="AK174" s="13">
        <v>3194</v>
      </c>
      <c r="AL174" s="13">
        <v>3173</v>
      </c>
      <c r="AM174" s="13">
        <v>3135</v>
      </c>
      <c r="AN174" s="13">
        <v>3120</v>
      </c>
      <c r="AO174" s="13">
        <v>3247</v>
      </c>
      <c r="AP174" s="13">
        <v>3214</v>
      </c>
      <c r="AQ174" s="13">
        <v>3232</v>
      </c>
      <c r="AR174" s="13">
        <v>3256</v>
      </c>
      <c r="AS174" s="13">
        <v>3339</v>
      </c>
      <c r="AT174" s="13">
        <v>3415</v>
      </c>
      <c r="AU174" s="13">
        <v>3433</v>
      </c>
      <c r="AV174" s="13">
        <v>3423</v>
      </c>
      <c r="AW174" s="13">
        <v>3545</v>
      </c>
      <c r="AX174" s="13">
        <v>3485</v>
      </c>
      <c r="AY174" s="13">
        <v>3511</v>
      </c>
      <c r="AZ174" s="13">
        <v>3566</v>
      </c>
      <c r="BA174" s="13">
        <v>3649</v>
      </c>
      <c r="BB174" s="13">
        <v>3576</v>
      </c>
      <c r="BC174" s="13">
        <v>3548</v>
      </c>
      <c r="BD174" s="13">
        <v>3548</v>
      </c>
      <c r="BE174" s="13">
        <v>3590</v>
      </c>
      <c r="BF174" s="13">
        <v>3522</v>
      </c>
      <c r="BG174" s="13">
        <v>3476</v>
      </c>
      <c r="BH174" s="13">
        <v>3529</v>
      </c>
      <c r="BI174" s="13">
        <v>3563</v>
      </c>
      <c r="BJ174" s="13">
        <v>3709</v>
      </c>
      <c r="BK174" s="13">
        <v>3610</v>
      </c>
      <c r="BL174" s="13">
        <v>3648</v>
      </c>
      <c r="BM174" s="4">
        <v>3590</v>
      </c>
      <c r="BN174" s="4">
        <v>3566</v>
      </c>
      <c r="BO174" s="4">
        <v>3605</v>
      </c>
      <c r="BP174" s="4">
        <v>3711</v>
      </c>
      <c r="BQ174" s="4">
        <v>3584</v>
      </c>
      <c r="BR174" s="4">
        <v>3680</v>
      </c>
      <c r="BS174" s="4">
        <v>3708</v>
      </c>
      <c r="BT174" s="4">
        <v>3903</v>
      </c>
      <c r="BU174" s="4">
        <v>3878</v>
      </c>
      <c r="BV174" s="4">
        <v>3832</v>
      </c>
      <c r="BW174" s="4">
        <v>3909</v>
      </c>
      <c r="BX174" s="4">
        <v>3862</v>
      </c>
      <c r="BY174" s="4">
        <v>3865</v>
      </c>
      <c r="BZ174" s="4">
        <v>3750</v>
      </c>
    </row>
    <row r="175" spans="1:254" ht="15.9" customHeight="1">
      <c r="A175" s="61" t="s">
        <v>344</v>
      </c>
      <c r="B175" s="6" t="s">
        <v>345</v>
      </c>
      <c r="C175" s="15">
        <f>_xll.RssMarket("1942","現在値")</f>
        <v>5642</v>
      </c>
      <c r="D175" s="16">
        <f t="shared" si="5"/>
        <v>0</v>
      </c>
      <c r="E175" s="13">
        <v>5642</v>
      </c>
      <c r="F175" s="13">
        <v>5684</v>
      </c>
      <c r="G175" s="13">
        <v>5515</v>
      </c>
      <c r="H175" s="13">
        <v>5323</v>
      </c>
      <c r="I175" s="13">
        <v>5368</v>
      </c>
      <c r="J175" s="13">
        <v>5488</v>
      </c>
      <c r="K175" s="13">
        <v>5596</v>
      </c>
      <c r="L175" s="13">
        <v>5905</v>
      </c>
      <c r="M175" s="13">
        <v>6085</v>
      </c>
      <c r="N175" s="13">
        <v>5974</v>
      </c>
      <c r="O175" s="13">
        <v>5988</v>
      </c>
      <c r="P175" s="13">
        <v>5959</v>
      </c>
      <c r="Q175" s="13">
        <v>5939</v>
      </c>
      <c r="R175" s="13">
        <v>5845</v>
      </c>
      <c r="S175" s="13">
        <v>6330</v>
      </c>
      <c r="T175" s="13">
        <v>6148</v>
      </c>
      <c r="U175" s="13">
        <v>6130</v>
      </c>
      <c r="V175" s="13">
        <v>6351</v>
      </c>
      <c r="W175" s="13">
        <v>6382</v>
      </c>
      <c r="X175" s="13">
        <v>6468</v>
      </c>
      <c r="Y175" s="13">
        <v>6808</v>
      </c>
      <c r="Z175" s="13">
        <v>6857</v>
      </c>
      <c r="AA175" s="13">
        <v>6772</v>
      </c>
      <c r="AB175" s="13">
        <v>6643</v>
      </c>
      <c r="AC175" s="13">
        <v>6726</v>
      </c>
      <c r="AD175" s="13">
        <v>6722</v>
      </c>
      <c r="AE175" s="13">
        <v>6797</v>
      </c>
      <c r="AF175" s="13">
        <v>6720</v>
      </c>
      <c r="AG175" s="13">
        <v>6673</v>
      </c>
      <c r="AH175" s="13">
        <v>6732</v>
      </c>
      <c r="AI175" s="13">
        <v>6635</v>
      </c>
      <c r="AJ175" s="13">
        <v>6736</v>
      </c>
      <c r="AK175" s="13">
        <v>6829</v>
      </c>
      <c r="AL175" s="13">
        <v>6611</v>
      </c>
      <c r="AM175" s="13">
        <v>6467</v>
      </c>
      <c r="AN175" s="13">
        <v>6237</v>
      </c>
      <c r="AO175" s="13">
        <v>6342</v>
      </c>
      <c r="AP175" s="13">
        <v>5773</v>
      </c>
      <c r="AQ175" s="13">
        <v>5801</v>
      </c>
      <c r="AR175" s="13">
        <v>5935</v>
      </c>
      <c r="AS175" s="13">
        <v>5745</v>
      </c>
      <c r="AT175" s="13">
        <v>5854</v>
      </c>
      <c r="AU175" s="13">
        <v>5786</v>
      </c>
      <c r="AV175" s="13">
        <v>5802</v>
      </c>
      <c r="AW175" s="13">
        <v>6067</v>
      </c>
      <c r="AX175" s="13">
        <v>6538</v>
      </c>
      <c r="AY175" s="13">
        <v>6568</v>
      </c>
      <c r="AZ175" s="13">
        <v>6475</v>
      </c>
      <c r="BA175" s="13">
        <v>6442</v>
      </c>
      <c r="BB175" s="13">
        <v>5966</v>
      </c>
      <c r="BC175" s="13">
        <v>6089</v>
      </c>
      <c r="BD175" s="13">
        <v>6088</v>
      </c>
      <c r="BE175" s="13">
        <v>6422</v>
      </c>
      <c r="BF175" s="13">
        <v>6470</v>
      </c>
      <c r="BG175" s="13">
        <v>6845</v>
      </c>
      <c r="BH175" s="13">
        <v>6929</v>
      </c>
      <c r="BI175" s="13">
        <v>7267</v>
      </c>
      <c r="BJ175" s="13">
        <v>7346</v>
      </c>
      <c r="BK175" s="13">
        <v>7165</v>
      </c>
      <c r="BL175" s="13">
        <v>7046</v>
      </c>
      <c r="BM175" s="4">
        <v>7025</v>
      </c>
      <c r="BN175" s="4">
        <v>6734</v>
      </c>
      <c r="BO175" s="4">
        <v>6838</v>
      </c>
      <c r="BP175" s="4">
        <v>6797</v>
      </c>
      <c r="BQ175" s="4">
        <v>5982</v>
      </c>
      <c r="BR175" s="4">
        <v>6073</v>
      </c>
      <c r="BS175" s="4">
        <v>6077</v>
      </c>
      <c r="BT175" s="4">
        <v>6052</v>
      </c>
      <c r="BU175" s="4">
        <v>6145</v>
      </c>
      <c r="BV175" s="4">
        <v>6139</v>
      </c>
      <c r="BW175" s="4">
        <v>6141</v>
      </c>
      <c r="BX175" s="4">
        <v>6188</v>
      </c>
      <c r="BY175" s="4">
        <v>6110</v>
      </c>
      <c r="BZ175" s="4">
        <v>6326</v>
      </c>
    </row>
    <row r="176" spans="1:254" ht="15.9" customHeight="1">
      <c r="A176" s="61" t="s">
        <v>346</v>
      </c>
      <c r="B176" s="6" t="s">
        <v>347</v>
      </c>
      <c r="C176" s="15">
        <f>_xll.RssMarket("1938","現在値")</f>
        <v>2508</v>
      </c>
      <c r="D176" s="16">
        <f t="shared" si="5"/>
        <v>0</v>
      </c>
      <c r="E176" s="13">
        <v>2508</v>
      </c>
      <c r="F176" s="13">
        <v>2504</v>
      </c>
      <c r="G176" s="13">
        <v>2437</v>
      </c>
      <c r="H176" s="13">
        <v>2389</v>
      </c>
      <c r="I176" s="13">
        <v>2422</v>
      </c>
      <c r="J176" s="13">
        <v>2404</v>
      </c>
      <c r="K176" s="13">
        <v>2399</v>
      </c>
      <c r="L176" s="13">
        <v>2448</v>
      </c>
      <c r="M176" s="13">
        <v>2529</v>
      </c>
      <c r="N176" s="13">
        <v>2506</v>
      </c>
      <c r="O176" s="13">
        <v>2517</v>
      </c>
      <c r="P176" s="13">
        <v>2516</v>
      </c>
      <c r="Q176" s="13">
        <v>2507</v>
      </c>
      <c r="R176" s="13">
        <v>2460</v>
      </c>
      <c r="S176" s="13">
        <v>2588</v>
      </c>
      <c r="T176" s="13">
        <v>2589</v>
      </c>
      <c r="U176" s="13">
        <v>2551</v>
      </c>
      <c r="V176" s="13">
        <v>2578</v>
      </c>
      <c r="W176" s="13">
        <v>2562</v>
      </c>
      <c r="X176" s="13">
        <v>2588</v>
      </c>
      <c r="Y176" s="13">
        <v>2676</v>
      </c>
      <c r="Z176" s="13">
        <v>2739</v>
      </c>
      <c r="AA176" s="13">
        <v>2685</v>
      </c>
      <c r="AB176" s="13">
        <v>2655</v>
      </c>
      <c r="AC176" s="13">
        <v>2668</v>
      </c>
      <c r="AD176" s="13">
        <v>2701</v>
      </c>
      <c r="AE176" s="13">
        <v>2733</v>
      </c>
      <c r="AF176" s="13">
        <v>2736</v>
      </c>
      <c r="AG176" s="13">
        <v>2704</v>
      </c>
      <c r="AH176" s="13">
        <v>2718</v>
      </c>
      <c r="AI176" s="13">
        <v>2712</v>
      </c>
      <c r="AJ176" s="13">
        <v>2781</v>
      </c>
      <c r="AK176" s="13">
        <v>2796</v>
      </c>
      <c r="AL176" s="13">
        <v>2835</v>
      </c>
      <c r="AM176" s="13">
        <v>2767</v>
      </c>
      <c r="AN176" s="13">
        <v>2758</v>
      </c>
      <c r="AO176" s="13">
        <v>2810</v>
      </c>
      <c r="AP176" s="13">
        <v>2688</v>
      </c>
      <c r="AQ176" s="13">
        <v>2664</v>
      </c>
      <c r="AR176" s="13">
        <v>2744</v>
      </c>
      <c r="AS176" s="13">
        <v>2695</v>
      </c>
      <c r="AT176" s="13">
        <v>2772</v>
      </c>
      <c r="AU176" s="13">
        <v>2763</v>
      </c>
      <c r="AV176" s="13">
        <v>2705</v>
      </c>
      <c r="AW176" s="13">
        <v>2704</v>
      </c>
      <c r="AX176" s="13">
        <v>2829</v>
      </c>
      <c r="AY176" s="13">
        <v>2779</v>
      </c>
      <c r="AZ176" s="13">
        <v>2761</v>
      </c>
      <c r="BA176" s="13">
        <v>2830</v>
      </c>
      <c r="BB176" s="13">
        <v>2637</v>
      </c>
      <c r="BC176" s="13">
        <v>2655</v>
      </c>
      <c r="BD176" s="13">
        <v>2704</v>
      </c>
      <c r="BE176" s="13">
        <v>2802</v>
      </c>
      <c r="BF176" s="13">
        <v>2849</v>
      </c>
      <c r="BG176" s="13">
        <v>2921</v>
      </c>
      <c r="BH176" s="13">
        <v>2919</v>
      </c>
      <c r="BI176" s="13">
        <v>3055</v>
      </c>
      <c r="BJ176" s="13">
        <v>3045</v>
      </c>
      <c r="BK176" s="13">
        <v>3010</v>
      </c>
      <c r="BL176" s="13">
        <v>2918</v>
      </c>
      <c r="BM176" s="4">
        <v>2924</v>
      </c>
      <c r="BN176" s="4">
        <v>2789</v>
      </c>
      <c r="BO176" s="4">
        <v>2710</v>
      </c>
      <c r="BP176" s="4">
        <v>2733</v>
      </c>
      <c r="BQ176" s="4">
        <v>2543</v>
      </c>
      <c r="BR176" s="4">
        <v>2582</v>
      </c>
      <c r="BS176" s="4">
        <v>2572</v>
      </c>
      <c r="BT176" s="4">
        <v>2510</v>
      </c>
      <c r="BU176" s="4">
        <v>2588</v>
      </c>
      <c r="BV176" s="4">
        <v>2543</v>
      </c>
      <c r="BW176" s="4">
        <v>2537</v>
      </c>
      <c r="BX176" s="4">
        <v>2610</v>
      </c>
      <c r="BY176" s="4">
        <v>2585</v>
      </c>
      <c r="BZ176" s="4">
        <v>2654</v>
      </c>
    </row>
    <row r="177" spans="1:254" ht="15.9" customHeight="1">
      <c r="A177" s="61" t="s">
        <v>348</v>
      </c>
      <c r="B177" s="6" t="s">
        <v>349</v>
      </c>
      <c r="C177" s="15">
        <f>_xll.RssMarket("7236","現在値")</f>
        <v>1537</v>
      </c>
      <c r="D177" s="16">
        <f t="shared" si="5"/>
        <v>0</v>
      </c>
      <c r="E177" s="13">
        <v>1537</v>
      </c>
      <c r="F177" s="13">
        <v>1529</v>
      </c>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row>
    <row r="178" spans="1:254" ht="15.9" customHeight="1">
      <c r="A178" s="61" t="s">
        <v>350</v>
      </c>
      <c r="B178" s="6" t="s">
        <v>351</v>
      </c>
      <c r="C178" s="15">
        <f>_xll.RssMarket("6436","現在値")</f>
        <v>3896</v>
      </c>
      <c r="D178" s="16">
        <f t="shared" si="5"/>
        <v>0</v>
      </c>
      <c r="E178" s="13">
        <v>3896</v>
      </c>
      <c r="F178" s="13">
        <v>3880</v>
      </c>
      <c r="G178" s="13">
        <v>3879</v>
      </c>
      <c r="H178" s="13">
        <v>3933</v>
      </c>
      <c r="I178" s="13">
        <v>3874</v>
      </c>
      <c r="J178" s="13">
        <v>3912</v>
      </c>
      <c r="K178" s="13">
        <v>3895</v>
      </c>
      <c r="L178" s="13">
        <v>3766</v>
      </c>
      <c r="M178" s="13">
        <v>4039</v>
      </c>
      <c r="N178" s="13"/>
      <c r="O178" s="13">
        <v>3848</v>
      </c>
      <c r="P178" s="13">
        <v>3832</v>
      </c>
      <c r="Q178" s="13">
        <v>3862</v>
      </c>
      <c r="R178" s="13">
        <v>3788</v>
      </c>
      <c r="S178" s="13">
        <v>3777</v>
      </c>
      <c r="T178" s="13">
        <v>3749</v>
      </c>
      <c r="U178" s="13">
        <v>3723</v>
      </c>
      <c r="V178" s="13">
        <v>3747</v>
      </c>
      <c r="W178" s="13">
        <v>3746</v>
      </c>
      <c r="X178" s="13">
        <v>3720</v>
      </c>
      <c r="Y178" s="13">
        <v>3740</v>
      </c>
      <c r="Z178" s="13">
        <v>3745</v>
      </c>
      <c r="AA178" s="13">
        <v>3683</v>
      </c>
      <c r="AB178" s="13">
        <v>3711</v>
      </c>
      <c r="AC178" s="13">
        <v>3657</v>
      </c>
      <c r="AD178" s="13">
        <v>3640</v>
      </c>
      <c r="AE178" s="13">
        <v>3650</v>
      </c>
      <c r="AF178" s="13">
        <v>3640</v>
      </c>
      <c r="AG178" s="13">
        <v>3608</v>
      </c>
      <c r="AH178" s="13">
        <v>3585</v>
      </c>
      <c r="AI178" s="13">
        <v>3586</v>
      </c>
      <c r="AJ178" s="13">
        <v>3597</v>
      </c>
      <c r="AK178" s="13">
        <v>3577</v>
      </c>
      <c r="AL178" s="13">
        <v>3574</v>
      </c>
      <c r="AM178" s="13">
        <v>3565</v>
      </c>
      <c r="AN178" s="13">
        <v>3563</v>
      </c>
      <c r="AO178" s="13">
        <v>3577</v>
      </c>
      <c r="AP178" s="13">
        <v>3588</v>
      </c>
      <c r="AQ178" s="13">
        <v>3597</v>
      </c>
      <c r="AR178" s="13">
        <v>3632</v>
      </c>
      <c r="AS178" s="13">
        <v>3562</v>
      </c>
      <c r="AT178" s="13">
        <v>3530</v>
      </c>
      <c r="AU178" s="13">
        <v>3512</v>
      </c>
      <c r="AV178" s="13">
        <v>3533</v>
      </c>
      <c r="AW178" s="13">
        <v>3532</v>
      </c>
      <c r="AX178" s="13">
        <v>3574</v>
      </c>
      <c r="AY178" s="13">
        <v>3568</v>
      </c>
      <c r="AZ178" s="13">
        <v>3553</v>
      </c>
      <c r="BA178" s="13">
        <v>3594</v>
      </c>
      <c r="BB178" s="13">
        <v>3622</v>
      </c>
      <c r="BC178" s="13">
        <v>3634</v>
      </c>
      <c r="BD178" s="13">
        <v>3639</v>
      </c>
      <c r="BE178" s="13">
        <v>3695</v>
      </c>
      <c r="BF178" s="13">
        <v>3631</v>
      </c>
      <c r="BG178" s="13">
        <v>3671</v>
      </c>
      <c r="BH178" s="13">
        <v>3672</v>
      </c>
      <c r="BI178" s="13">
        <v>3647</v>
      </c>
      <c r="BJ178" s="13">
        <v>3678</v>
      </c>
      <c r="BK178" s="13">
        <v>3688</v>
      </c>
      <c r="BL178" s="13">
        <v>3676</v>
      </c>
      <c r="BM178" s="4">
        <v>3621</v>
      </c>
      <c r="BN178" s="4">
        <v>3573</v>
      </c>
      <c r="BO178" s="4">
        <v>3583</v>
      </c>
      <c r="BP178" s="4">
        <v>3706</v>
      </c>
      <c r="BQ178" s="4">
        <v>3637</v>
      </c>
      <c r="BR178" s="4">
        <v>3795</v>
      </c>
      <c r="BS178" s="4">
        <v>3840</v>
      </c>
      <c r="BT178" s="4">
        <v>3846</v>
      </c>
      <c r="BU178" s="4">
        <v>3841</v>
      </c>
      <c r="BV178" s="4">
        <v>3876</v>
      </c>
      <c r="BW178" s="4">
        <v>3914</v>
      </c>
      <c r="BX178" s="4">
        <v>3883</v>
      </c>
      <c r="BY178" s="4">
        <v>3850</v>
      </c>
      <c r="BZ178" s="4">
        <v>3863</v>
      </c>
    </row>
    <row r="179" spans="1:254" ht="15.9" customHeight="1">
      <c r="A179" s="61" t="s">
        <v>352</v>
      </c>
      <c r="B179" s="6" t="s">
        <v>353</v>
      </c>
      <c r="C179" s="15">
        <f>_xll.RssMarket("5410","現在値")</f>
        <v>2869</v>
      </c>
      <c r="D179" s="16">
        <f t="shared" si="5"/>
        <v>0</v>
      </c>
      <c r="E179" s="13">
        <v>2869</v>
      </c>
      <c r="F179" s="13">
        <v>2833</v>
      </c>
      <c r="G179" s="13">
        <v>2828</v>
      </c>
      <c r="H179" s="13">
        <v>2872</v>
      </c>
      <c r="I179" s="13">
        <v>2840</v>
      </c>
      <c r="J179" s="13">
        <v>2892</v>
      </c>
      <c r="K179" s="13">
        <v>2949</v>
      </c>
      <c r="L179" s="13">
        <v>2841</v>
      </c>
      <c r="M179" s="13">
        <v>2823</v>
      </c>
      <c r="N179" s="13">
        <v>2775</v>
      </c>
      <c r="O179" s="13">
        <v>2775</v>
      </c>
      <c r="P179" s="13">
        <v>2728</v>
      </c>
      <c r="Q179" s="13">
        <v>2718</v>
      </c>
      <c r="R179" s="13">
        <v>2673</v>
      </c>
      <c r="S179" s="13">
        <v>2693</v>
      </c>
      <c r="T179" s="13">
        <v>2681</v>
      </c>
      <c r="U179" s="13">
        <v>2692</v>
      </c>
      <c r="V179" s="13">
        <v>2693</v>
      </c>
      <c r="W179" s="13">
        <v>2671</v>
      </c>
      <c r="X179" s="13">
        <v>2675</v>
      </c>
      <c r="Y179" s="13">
        <v>2699</v>
      </c>
      <c r="Z179" s="13">
        <v>2667</v>
      </c>
      <c r="AA179" s="13">
        <v>2659</v>
      </c>
      <c r="AB179" s="13">
        <v>2606</v>
      </c>
      <c r="AC179" s="13">
        <v>2545</v>
      </c>
      <c r="AD179" s="13">
        <v>2577</v>
      </c>
      <c r="AE179" s="13">
        <v>2622</v>
      </c>
      <c r="AF179" s="13">
        <v>2592</v>
      </c>
      <c r="AG179" s="13">
        <v>2567</v>
      </c>
      <c r="AH179" s="13">
        <v>2577</v>
      </c>
      <c r="AI179" s="13">
        <v>2590</v>
      </c>
      <c r="AJ179" s="13">
        <v>2591</v>
      </c>
      <c r="AK179" s="13">
        <v>2607</v>
      </c>
      <c r="AL179" s="13">
        <v>2605</v>
      </c>
      <c r="AM179" s="13">
        <v>2617</v>
      </c>
      <c r="AN179" s="13">
        <v>2594</v>
      </c>
      <c r="AO179" s="13">
        <v>2637</v>
      </c>
      <c r="AP179" s="13">
        <v>2602</v>
      </c>
      <c r="AQ179" s="13">
        <v>2533</v>
      </c>
      <c r="AR179" s="13">
        <v>2553</v>
      </c>
      <c r="AS179" s="13">
        <v>2530</v>
      </c>
      <c r="AT179" s="13">
        <v>2566</v>
      </c>
      <c r="AU179" s="13">
        <v>2551</v>
      </c>
      <c r="AV179" s="13">
        <v>2581</v>
      </c>
      <c r="AW179" s="13">
        <v>2567</v>
      </c>
      <c r="AX179" s="13">
        <v>2747</v>
      </c>
      <c r="AY179" s="13">
        <v>2704</v>
      </c>
      <c r="AZ179" s="13">
        <v>2705</v>
      </c>
      <c r="BA179" s="13">
        <v>2658</v>
      </c>
      <c r="BB179" s="13">
        <v>2682</v>
      </c>
      <c r="BC179" s="13">
        <v>2713</v>
      </c>
      <c r="BD179" s="13">
        <v>2675</v>
      </c>
      <c r="BE179" s="13">
        <v>2780</v>
      </c>
      <c r="BF179" s="13">
        <v>2762</v>
      </c>
      <c r="BG179" s="13">
        <v>2839</v>
      </c>
      <c r="BH179" s="13">
        <v>2852</v>
      </c>
      <c r="BI179" s="13">
        <v>2824</v>
      </c>
      <c r="BJ179" s="13">
        <v>2852</v>
      </c>
      <c r="BK179" s="13">
        <v>2849</v>
      </c>
      <c r="BL179" s="13">
        <v>2886</v>
      </c>
      <c r="BM179" s="4">
        <v>2881</v>
      </c>
      <c r="BN179" s="4">
        <v>2883</v>
      </c>
      <c r="BO179" s="4">
        <v>2845</v>
      </c>
      <c r="BP179" s="4">
        <v>2929</v>
      </c>
      <c r="BQ179" s="4">
        <v>3040</v>
      </c>
      <c r="BR179" s="4">
        <v>3410</v>
      </c>
      <c r="BS179" s="4">
        <v>3460</v>
      </c>
      <c r="BT179" s="4">
        <v>3475</v>
      </c>
      <c r="BU179" s="4">
        <v>3535</v>
      </c>
      <c r="BV179" s="4">
        <v>3540</v>
      </c>
      <c r="BW179" s="4">
        <v>3555</v>
      </c>
      <c r="BX179" s="4">
        <v>3570</v>
      </c>
      <c r="BY179" s="4">
        <v>3560</v>
      </c>
      <c r="BZ179" s="4">
        <v>3565</v>
      </c>
    </row>
    <row r="180" spans="1:254" ht="15.9" customHeight="1">
      <c r="A180" s="61" t="s">
        <v>354</v>
      </c>
      <c r="B180" s="6" t="s">
        <v>355</v>
      </c>
      <c r="C180" s="15">
        <f>_xll.RssMarket("5440","現在値")</f>
        <v>1893</v>
      </c>
      <c r="D180" s="16">
        <f t="shared" si="5"/>
        <v>0</v>
      </c>
      <c r="E180" s="13">
        <v>1893</v>
      </c>
      <c r="F180" s="13">
        <v>1865</v>
      </c>
      <c r="G180" s="13">
        <v>1865</v>
      </c>
      <c r="H180" s="13">
        <v>1876</v>
      </c>
      <c r="I180" s="13">
        <v>1942</v>
      </c>
      <c r="J180" s="13">
        <v>2018</v>
      </c>
      <c r="K180" s="13">
        <v>1992</v>
      </c>
      <c r="L180" s="13">
        <v>1935</v>
      </c>
      <c r="M180" s="13">
        <v>1930</v>
      </c>
      <c r="N180" s="13"/>
      <c r="O180" s="13">
        <v>1895</v>
      </c>
      <c r="P180" s="13">
        <v>1884</v>
      </c>
      <c r="Q180" s="13">
        <v>1880</v>
      </c>
      <c r="R180" s="13">
        <v>1838</v>
      </c>
      <c r="S180" s="13">
        <v>1844</v>
      </c>
      <c r="T180" s="13">
        <v>1832</v>
      </c>
      <c r="U180" s="13">
        <v>1799</v>
      </c>
      <c r="V180" s="13">
        <v>1807</v>
      </c>
      <c r="W180" s="13">
        <v>1794</v>
      </c>
      <c r="X180" s="13">
        <v>1803</v>
      </c>
      <c r="Y180" s="13">
        <v>1808</v>
      </c>
      <c r="Z180" s="13">
        <v>1798</v>
      </c>
      <c r="AA180" s="13">
        <v>1781</v>
      </c>
      <c r="AB180" s="13">
        <v>1758</v>
      </c>
      <c r="AC180" s="13">
        <v>1719</v>
      </c>
      <c r="AD180" s="13">
        <v>1740</v>
      </c>
      <c r="AE180" s="13">
        <v>1747</v>
      </c>
      <c r="AF180" s="13">
        <v>1740</v>
      </c>
      <c r="AG180" s="13">
        <v>1707</v>
      </c>
      <c r="AH180" s="13">
        <v>1707</v>
      </c>
      <c r="AI180" s="13">
        <v>1716</v>
      </c>
      <c r="AJ180" s="13">
        <v>1753</v>
      </c>
      <c r="AK180" s="13">
        <v>1767</v>
      </c>
      <c r="AL180" s="13">
        <v>1750</v>
      </c>
      <c r="AM180" s="13">
        <v>1755</v>
      </c>
      <c r="AN180" s="13">
        <v>1753</v>
      </c>
      <c r="AO180" s="13">
        <v>1782</v>
      </c>
      <c r="AP180" s="13">
        <v>1760</v>
      </c>
      <c r="AQ180" s="13">
        <v>1716</v>
      </c>
      <c r="AR180" s="13">
        <v>1717</v>
      </c>
      <c r="AS180" s="13">
        <v>1731</v>
      </c>
      <c r="AT180" s="13">
        <v>1748</v>
      </c>
      <c r="AU180" s="13">
        <v>1738</v>
      </c>
      <c r="AV180" s="13">
        <v>1753</v>
      </c>
      <c r="AW180" s="13">
        <v>1734</v>
      </c>
      <c r="AX180" s="13">
        <v>1815</v>
      </c>
      <c r="AY180" s="13">
        <v>1820</v>
      </c>
      <c r="AZ180" s="13">
        <v>1829</v>
      </c>
      <c r="BA180" s="13">
        <v>1848</v>
      </c>
      <c r="BB180" s="13">
        <v>1853</v>
      </c>
      <c r="BC180" s="13">
        <v>1841</v>
      </c>
      <c r="BD180" s="13">
        <v>1814</v>
      </c>
      <c r="BE180" s="13">
        <v>1833</v>
      </c>
      <c r="BF180" s="13">
        <v>1819</v>
      </c>
      <c r="BG180" s="13">
        <v>1865</v>
      </c>
      <c r="BH180" s="13">
        <v>1878</v>
      </c>
      <c r="BI180" s="13">
        <v>1824</v>
      </c>
      <c r="BJ180" s="13">
        <v>1823</v>
      </c>
      <c r="BK180" s="13">
        <v>1831</v>
      </c>
      <c r="BL180" s="13">
        <v>1825</v>
      </c>
      <c r="BM180" s="4">
        <v>1826</v>
      </c>
      <c r="BN180" s="4">
        <v>1827</v>
      </c>
      <c r="BO180" s="4">
        <v>1899</v>
      </c>
      <c r="BP180" s="4">
        <v>2185</v>
      </c>
      <c r="BQ180" s="4">
        <v>2189</v>
      </c>
      <c r="BR180" s="4">
        <v>2229</v>
      </c>
      <c r="BS180" s="4">
        <v>2238</v>
      </c>
      <c r="BT180" s="4">
        <v>2258</v>
      </c>
      <c r="BU180" s="4">
        <v>2274</v>
      </c>
      <c r="BV180" s="4">
        <v>2307</v>
      </c>
      <c r="BW180" s="4">
        <v>2288</v>
      </c>
      <c r="BX180" s="4">
        <v>2320</v>
      </c>
      <c r="BY180" s="4">
        <v>2332</v>
      </c>
      <c r="BZ180" s="4">
        <v>2345</v>
      </c>
    </row>
    <row r="181" spans="1:254" ht="15.9" customHeight="1">
      <c r="A181" s="61" t="s">
        <v>356</v>
      </c>
      <c r="B181" s="6" t="s">
        <v>357</v>
      </c>
      <c r="C181" s="15">
        <f>_xll.RssMarket("9505","現在値")</f>
        <v>921.5</v>
      </c>
      <c r="D181" s="16">
        <f t="shared" si="5"/>
        <v>0</v>
      </c>
      <c r="E181" s="13">
        <v>921.5</v>
      </c>
      <c r="F181" s="13">
        <v>915.8</v>
      </c>
      <c r="G181" s="13">
        <v>931.9</v>
      </c>
      <c r="H181" s="13">
        <v>940</v>
      </c>
      <c r="I181" s="13">
        <v>961.5</v>
      </c>
      <c r="J181" s="13">
        <v>983.7</v>
      </c>
      <c r="K181" s="13">
        <v>990.8</v>
      </c>
      <c r="L181" s="13">
        <v>955.2</v>
      </c>
      <c r="M181" s="13">
        <v>966.5</v>
      </c>
      <c r="N181" s="13">
        <v>935.2</v>
      </c>
      <c r="O181" s="13">
        <v>951.2</v>
      </c>
      <c r="P181" s="13">
        <v>939.7</v>
      </c>
      <c r="Q181" s="13">
        <v>937.6</v>
      </c>
      <c r="R181" s="13">
        <v>909.4</v>
      </c>
      <c r="S181" s="13">
        <v>910.4</v>
      </c>
      <c r="T181" s="13">
        <v>902.2</v>
      </c>
      <c r="U181" s="13">
        <v>883.2</v>
      </c>
      <c r="V181" s="13">
        <v>900.4</v>
      </c>
      <c r="W181" s="13">
        <v>913.3</v>
      </c>
      <c r="X181" s="13">
        <v>915.6</v>
      </c>
      <c r="Y181" s="13">
        <v>909.3</v>
      </c>
      <c r="Z181" s="13">
        <v>917.9</v>
      </c>
      <c r="AA181" s="13">
        <v>886</v>
      </c>
      <c r="AB181" s="13">
        <v>884.4</v>
      </c>
      <c r="AC181" s="13">
        <v>875</v>
      </c>
      <c r="AD181" s="13">
        <v>869.1</v>
      </c>
      <c r="AE181" s="13">
        <v>878</v>
      </c>
      <c r="AF181" s="13">
        <v>868.6</v>
      </c>
      <c r="AG181" s="13">
        <v>866.6</v>
      </c>
      <c r="AH181" s="13">
        <v>852.4</v>
      </c>
      <c r="AI181" s="13">
        <v>847.9</v>
      </c>
      <c r="AJ181" s="13">
        <v>845.8</v>
      </c>
      <c r="AK181" s="13">
        <v>844.5</v>
      </c>
      <c r="AL181" s="13">
        <v>843.4</v>
      </c>
      <c r="AM181" s="13">
        <v>850</v>
      </c>
      <c r="AN181" s="13">
        <v>851.7</v>
      </c>
      <c r="AO181" s="13">
        <v>887.9</v>
      </c>
      <c r="AP181" s="13">
        <v>864.2</v>
      </c>
      <c r="AQ181" s="13">
        <v>853.5</v>
      </c>
      <c r="AR181" s="13">
        <v>857.8</v>
      </c>
      <c r="AS181" s="13">
        <v>833.3</v>
      </c>
      <c r="AT181" s="13">
        <v>820.6</v>
      </c>
      <c r="AU181" s="13">
        <v>799.7</v>
      </c>
      <c r="AV181" s="13">
        <v>813.3</v>
      </c>
      <c r="AW181" s="13">
        <v>807.6</v>
      </c>
      <c r="AX181" s="13">
        <v>834.5</v>
      </c>
      <c r="AY181" s="13">
        <v>840.3</v>
      </c>
      <c r="AZ181" s="13">
        <v>857.3</v>
      </c>
      <c r="BA181" s="13">
        <v>849</v>
      </c>
      <c r="BB181" s="13">
        <v>860.6</v>
      </c>
      <c r="BC181" s="13">
        <v>872</v>
      </c>
      <c r="BD181" s="13">
        <v>863.6</v>
      </c>
      <c r="BE181" s="13">
        <v>878.9</v>
      </c>
      <c r="BF181" s="13">
        <v>866.4</v>
      </c>
      <c r="BG181" s="13">
        <v>907.2</v>
      </c>
      <c r="BH181" s="13">
        <v>915.1</v>
      </c>
      <c r="BI181" s="13">
        <v>908.1</v>
      </c>
      <c r="BJ181" s="13">
        <v>918.3</v>
      </c>
      <c r="BK181" s="13">
        <v>904</v>
      </c>
      <c r="BL181" s="13">
        <v>887.4</v>
      </c>
      <c r="BM181" s="4">
        <v>894.3</v>
      </c>
      <c r="BN181" s="4">
        <v>864.9</v>
      </c>
      <c r="BO181" s="4">
        <v>872.8</v>
      </c>
      <c r="BP181" s="4">
        <v>1005</v>
      </c>
      <c r="BQ181" s="4">
        <v>988.6</v>
      </c>
      <c r="BR181" s="4">
        <v>993.7</v>
      </c>
      <c r="BS181" s="4">
        <v>989.3</v>
      </c>
      <c r="BT181" s="4">
        <v>1001</v>
      </c>
      <c r="BU181" s="4">
        <v>1010.5</v>
      </c>
      <c r="BV181" s="4">
        <v>1031</v>
      </c>
      <c r="BW181" s="4">
        <v>1058.5</v>
      </c>
      <c r="BX181" s="4">
        <v>1083</v>
      </c>
      <c r="BY181" s="4">
        <v>1080</v>
      </c>
      <c r="BZ181" s="4">
        <v>1076</v>
      </c>
    </row>
    <row r="182" spans="1:254" ht="15.9" customHeight="1">
      <c r="A182" s="61" t="s">
        <v>358</v>
      </c>
      <c r="B182" s="6" t="s">
        <v>359</v>
      </c>
      <c r="C182" s="15">
        <f>_xll.RssMarket("8091","現在値")</f>
        <v>2365</v>
      </c>
      <c r="D182" s="16">
        <f t="shared" si="5"/>
        <v>0</v>
      </c>
      <c r="E182" s="13">
        <v>2365</v>
      </c>
      <c r="F182" s="13">
        <v>2336</v>
      </c>
      <c r="G182" s="13">
        <v>2360</v>
      </c>
      <c r="H182" s="13">
        <v>2382</v>
      </c>
      <c r="I182" s="13">
        <v>2390</v>
      </c>
      <c r="J182" s="13">
        <v>2399</v>
      </c>
      <c r="K182" s="13">
        <v>2384</v>
      </c>
      <c r="L182" s="13">
        <v>2341</v>
      </c>
      <c r="M182" s="13">
        <v>2345</v>
      </c>
      <c r="N182" s="13">
        <v>2323</v>
      </c>
      <c r="O182" s="13">
        <v>2330</v>
      </c>
      <c r="P182" s="13">
        <v>2340</v>
      </c>
      <c r="Q182" s="13">
        <v>2324</v>
      </c>
      <c r="R182" s="13">
        <v>2316</v>
      </c>
      <c r="S182" s="13">
        <v>2323</v>
      </c>
      <c r="T182" s="13">
        <v>2283</v>
      </c>
      <c r="U182" s="13">
        <v>2269</v>
      </c>
      <c r="V182" s="13">
        <v>2310</v>
      </c>
      <c r="W182" s="13">
        <v>2273</v>
      </c>
      <c r="X182" s="13">
        <v>2276</v>
      </c>
      <c r="Y182" s="13">
        <v>2333</v>
      </c>
      <c r="Z182" s="13">
        <v>2328</v>
      </c>
      <c r="AA182" s="13">
        <v>2303</v>
      </c>
      <c r="AB182" s="13">
        <v>2295</v>
      </c>
      <c r="AC182" s="13">
        <v>2274</v>
      </c>
      <c r="AD182" s="13">
        <v>2279</v>
      </c>
      <c r="AE182" s="13">
        <v>2295</v>
      </c>
      <c r="AF182" s="13">
        <v>2266</v>
      </c>
      <c r="AG182" s="13">
        <v>2277</v>
      </c>
      <c r="AH182" s="13">
        <v>2278</v>
      </c>
      <c r="AI182" s="13">
        <v>2266</v>
      </c>
      <c r="AJ182" s="13">
        <v>2268</v>
      </c>
      <c r="AK182" s="13">
        <v>2272</v>
      </c>
      <c r="AL182" s="13">
        <v>2261</v>
      </c>
      <c r="AM182" s="13">
        <v>2211</v>
      </c>
      <c r="AN182" s="13">
        <v>2214</v>
      </c>
      <c r="AO182" s="13">
        <v>2211</v>
      </c>
      <c r="AP182" s="13">
        <v>2178</v>
      </c>
      <c r="AQ182" s="13">
        <v>2175</v>
      </c>
      <c r="AR182" s="13">
        <v>2206</v>
      </c>
      <c r="AS182" s="13">
        <v>2175</v>
      </c>
      <c r="AT182" s="13">
        <v>2211</v>
      </c>
      <c r="AU182" s="13">
        <v>2158</v>
      </c>
      <c r="AV182" s="13">
        <v>2135</v>
      </c>
      <c r="AW182" s="13">
        <v>2124</v>
      </c>
      <c r="AX182" s="13">
        <v>2176</v>
      </c>
      <c r="AY182" s="13">
        <v>2168</v>
      </c>
      <c r="AZ182" s="13">
        <v>2140</v>
      </c>
      <c r="BA182" s="13">
        <v>2134</v>
      </c>
      <c r="BB182" s="13">
        <v>2147</v>
      </c>
      <c r="BC182" s="13">
        <v>2163</v>
      </c>
      <c r="BD182" s="13">
        <v>2152</v>
      </c>
      <c r="BE182" s="13">
        <v>2190</v>
      </c>
      <c r="BF182" s="13">
        <v>2158</v>
      </c>
      <c r="BG182" s="13">
        <v>2309</v>
      </c>
      <c r="BH182" s="13">
        <v>2279</v>
      </c>
      <c r="BI182" s="13">
        <v>2275</v>
      </c>
      <c r="BJ182" s="13">
        <v>2255</v>
      </c>
      <c r="BK182" s="13">
        <v>2267</v>
      </c>
      <c r="BL182" s="13">
        <v>2238</v>
      </c>
      <c r="BM182" s="4">
        <v>2259</v>
      </c>
      <c r="BN182" s="4">
        <v>2223</v>
      </c>
      <c r="BO182" s="4">
        <v>2246</v>
      </c>
      <c r="BP182" s="4">
        <v>2302</v>
      </c>
      <c r="BQ182" s="4">
        <v>2265</v>
      </c>
      <c r="BR182" s="4">
        <v>2452</v>
      </c>
      <c r="BS182" s="4">
        <v>2444</v>
      </c>
      <c r="BT182" s="4">
        <v>2466</v>
      </c>
      <c r="BU182" s="4">
        <v>2495</v>
      </c>
      <c r="BV182" s="4">
        <v>2501</v>
      </c>
      <c r="BW182" s="4">
        <v>2522</v>
      </c>
      <c r="BX182" s="4">
        <v>2520</v>
      </c>
      <c r="BY182" s="4">
        <v>2527</v>
      </c>
      <c r="BZ182" s="4">
        <v>2525</v>
      </c>
    </row>
    <row r="183" spans="1:254" ht="15.9" customHeight="1">
      <c r="A183" s="61" t="s">
        <v>360</v>
      </c>
      <c r="B183" s="6" t="s">
        <v>361</v>
      </c>
      <c r="C183" s="15">
        <f>_xll.RssMarket("6507","現在値")</f>
        <v>14020</v>
      </c>
      <c r="D183" s="16">
        <f t="shared" si="5"/>
        <v>0</v>
      </c>
      <c r="E183" s="13">
        <v>14020</v>
      </c>
      <c r="F183" s="13">
        <v>14820</v>
      </c>
      <c r="G183" s="13">
        <v>14020</v>
      </c>
      <c r="H183" s="13">
        <v>13450</v>
      </c>
      <c r="I183" s="13">
        <v>13330</v>
      </c>
      <c r="J183" s="13">
        <v>12250</v>
      </c>
      <c r="K183" s="13">
        <v>11930</v>
      </c>
      <c r="L183" s="13">
        <v>12530</v>
      </c>
      <c r="M183" s="13">
        <v>13840</v>
      </c>
      <c r="N183" s="13">
        <v>14300</v>
      </c>
      <c r="O183" s="13">
        <v>14230</v>
      </c>
      <c r="P183" s="13">
        <v>13930</v>
      </c>
      <c r="Q183" s="13">
        <v>13860</v>
      </c>
      <c r="R183" s="13">
        <v>13540</v>
      </c>
      <c r="S183" s="13">
        <v>14910</v>
      </c>
      <c r="T183" s="13">
        <v>14240</v>
      </c>
      <c r="U183" s="13">
        <v>14290</v>
      </c>
      <c r="V183" s="13">
        <v>14930</v>
      </c>
      <c r="W183" s="13">
        <v>14660</v>
      </c>
      <c r="X183" s="13">
        <v>14500</v>
      </c>
      <c r="Y183" s="13">
        <v>15580</v>
      </c>
      <c r="Z183" s="13">
        <v>16600</v>
      </c>
      <c r="AA183" s="13">
        <v>15690</v>
      </c>
      <c r="AB183" s="13">
        <v>15320</v>
      </c>
      <c r="AC183" s="13">
        <v>16480</v>
      </c>
      <c r="AD183" s="13">
        <v>15930</v>
      </c>
      <c r="AE183" s="13">
        <v>15250</v>
      </c>
      <c r="AF183" s="13">
        <v>15470</v>
      </c>
      <c r="AG183" s="13">
        <v>15920</v>
      </c>
      <c r="AH183" s="13">
        <v>15580</v>
      </c>
      <c r="AI183" s="13">
        <v>15550</v>
      </c>
      <c r="AJ183" s="13">
        <v>16640</v>
      </c>
      <c r="AK183" s="13">
        <v>16230</v>
      </c>
      <c r="AL183" s="13">
        <v>16310</v>
      </c>
      <c r="AM183" s="13">
        <v>15680</v>
      </c>
      <c r="AN183" s="13">
        <v>14720</v>
      </c>
      <c r="AO183" s="13">
        <v>13740</v>
      </c>
      <c r="AP183" s="13">
        <v>13410</v>
      </c>
      <c r="AQ183" s="13">
        <v>13210</v>
      </c>
      <c r="AR183" s="13">
        <v>13280</v>
      </c>
      <c r="AS183" s="13">
        <v>14230</v>
      </c>
      <c r="AT183" s="13">
        <v>15330</v>
      </c>
      <c r="AU183" s="13">
        <v>15010</v>
      </c>
      <c r="AV183" s="13">
        <v>14010</v>
      </c>
      <c r="AW183" s="13">
        <v>14110</v>
      </c>
      <c r="AX183" s="13">
        <v>13750</v>
      </c>
      <c r="AY183" s="13">
        <v>14140</v>
      </c>
      <c r="AZ183" s="13">
        <v>14660</v>
      </c>
      <c r="BA183" s="13">
        <v>14450</v>
      </c>
      <c r="BB183" s="13">
        <v>13790</v>
      </c>
      <c r="BC183" s="13">
        <v>13600</v>
      </c>
      <c r="BD183" s="13">
        <v>13180</v>
      </c>
      <c r="BE183" s="13">
        <v>13600</v>
      </c>
      <c r="BF183" s="13">
        <v>15030</v>
      </c>
      <c r="BG183" s="13">
        <v>15210</v>
      </c>
      <c r="BH183" s="13">
        <v>15680</v>
      </c>
      <c r="BI183" s="13">
        <v>14720</v>
      </c>
      <c r="BJ183" s="13">
        <v>14780</v>
      </c>
      <c r="BK183" s="13">
        <v>14800</v>
      </c>
      <c r="BL183" s="13">
        <v>14870</v>
      </c>
      <c r="BM183" s="4">
        <v>15040</v>
      </c>
      <c r="BN183" s="4">
        <v>14370</v>
      </c>
      <c r="BO183" s="4">
        <v>14250</v>
      </c>
      <c r="BP183" s="4">
        <v>13960</v>
      </c>
      <c r="BQ183" s="4">
        <v>13670</v>
      </c>
      <c r="BR183" s="4">
        <v>13380</v>
      </c>
      <c r="BS183" s="4">
        <v>13180</v>
      </c>
      <c r="BT183" s="4">
        <v>13270</v>
      </c>
      <c r="BU183" s="4">
        <v>13440</v>
      </c>
      <c r="BV183" s="4">
        <v>13600</v>
      </c>
      <c r="BW183" s="4">
        <v>13440</v>
      </c>
      <c r="BX183" s="4">
        <v>14000</v>
      </c>
      <c r="BY183" s="4">
        <v>13180</v>
      </c>
      <c r="BZ183" s="4">
        <v>13300</v>
      </c>
    </row>
    <row r="184" spans="1:254" ht="15.9" customHeight="1">
      <c r="A184" s="61" t="s">
        <v>362</v>
      </c>
      <c r="B184" s="6" t="s">
        <v>363</v>
      </c>
      <c r="C184" s="15">
        <f>_xll.RssMarket("9022","現在値")</f>
        <v>3847</v>
      </c>
      <c r="D184" s="16">
        <f t="shared" si="5"/>
        <v>0</v>
      </c>
      <c r="E184" s="13">
        <v>3847</v>
      </c>
      <c r="F184" s="13">
        <v>3830</v>
      </c>
      <c r="G184" s="13">
        <v>3820</v>
      </c>
      <c r="H184" s="13">
        <v>3902</v>
      </c>
      <c r="I184" s="13">
        <v>3988</v>
      </c>
      <c r="J184" s="13">
        <v>4174</v>
      </c>
      <c r="K184" s="13">
        <v>4243</v>
      </c>
      <c r="L184" s="13">
        <v>4090</v>
      </c>
      <c r="M184" s="13">
        <v>4023</v>
      </c>
      <c r="N184" s="13">
        <v>3892</v>
      </c>
      <c r="O184" s="13">
        <v>3830</v>
      </c>
      <c r="P184" s="13">
        <v>3796</v>
      </c>
      <c r="Q184" s="13">
        <v>3838</v>
      </c>
      <c r="R184" s="13">
        <v>3766</v>
      </c>
      <c r="S184" s="13">
        <v>3694</v>
      </c>
      <c r="T184" s="13">
        <v>3709</v>
      </c>
      <c r="U184" s="13">
        <v>3657</v>
      </c>
      <c r="V184" s="13">
        <v>3621</v>
      </c>
      <c r="W184" s="13">
        <v>3659</v>
      </c>
      <c r="X184" s="13">
        <v>3664</v>
      </c>
      <c r="Y184" s="13">
        <v>3700</v>
      </c>
      <c r="Z184" s="13">
        <v>3559</v>
      </c>
      <c r="AA184" s="13">
        <v>3514</v>
      </c>
      <c r="AB184" s="13">
        <v>3453</v>
      </c>
      <c r="AC184" s="13">
        <v>3384</v>
      </c>
      <c r="AD184" s="13">
        <v>3469</v>
      </c>
      <c r="AE184" s="13">
        <v>3485</v>
      </c>
      <c r="AF184" s="13">
        <v>3420</v>
      </c>
      <c r="AG184" s="13">
        <v>3341</v>
      </c>
      <c r="AH184" s="13">
        <v>3371</v>
      </c>
      <c r="AI184" s="13">
        <v>3346</v>
      </c>
      <c r="AJ184" s="13">
        <v>3259</v>
      </c>
      <c r="AK184" s="13">
        <v>3256</v>
      </c>
      <c r="AL184" s="13">
        <v>3331</v>
      </c>
      <c r="AM184" s="13">
        <v>3297</v>
      </c>
      <c r="AN184" s="13">
        <v>3351</v>
      </c>
      <c r="AO184" s="13">
        <v>3350</v>
      </c>
      <c r="AP184" s="13">
        <v>3365</v>
      </c>
      <c r="AQ184" s="13">
        <v>3405</v>
      </c>
      <c r="AR184" s="13">
        <v>3507</v>
      </c>
      <c r="AS184" s="13">
        <v>3394</v>
      </c>
      <c r="AT184" s="13">
        <v>3345</v>
      </c>
      <c r="AU184" s="13">
        <v>3297</v>
      </c>
      <c r="AV184" s="13">
        <v>3325</v>
      </c>
      <c r="AW184" s="13">
        <v>3364</v>
      </c>
      <c r="AX184" s="13">
        <v>3479</v>
      </c>
      <c r="AY184" s="13">
        <v>3471</v>
      </c>
      <c r="AZ184" s="13">
        <v>3500</v>
      </c>
      <c r="BA184" s="13">
        <v>3552</v>
      </c>
      <c r="BB184" s="13">
        <v>3553</v>
      </c>
      <c r="BC184" s="13">
        <v>3535</v>
      </c>
      <c r="BD184" s="13">
        <v>3550</v>
      </c>
      <c r="BE184" s="13">
        <v>3609</v>
      </c>
      <c r="BF184" s="13">
        <v>3557</v>
      </c>
      <c r="BG184" s="13">
        <v>3634</v>
      </c>
      <c r="BH184" s="13">
        <v>3618</v>
      </c>
      <c r="BI184" s="13">
        <v>3626</v>
      </c>
      <c r="BJ184" s="13">
        <v>3582</v>
      </c>
      <c r="BK184" s="13">
        <v>3580</v>
      </c>
      <c r="BL184" s="13">
        <v>3579</v>
      </c>
      <c r="BM184" s="4">
        <v>3681</v>
      </c>
      <c r="BN184" s="4">
        <v>3611</v>
      </c>
      <c r="BO184" s="4">
        <v>3744</v>
      </c>
      <c r="BP184" s="4">
        <v>4069</v>
      </c>
      <c r="BQ184" s="4">
        <v>4052</v>
      </c>
      <c r="BR184" s="4">
        <v>4110</v>
      </c>
      <c r="BS184" s="4">
        <v>4039</v>
      </c>
      <c r="BT184" s="4">
        <v>4149</v>
      </c>
      <c r="BU184" s="4">
        <v>4213</v>
      </c>
      <c r="BV184" s="4">
        <v>4253</v>
      </c>
      <c r="BW184" s="4">
        <v>4195</v>
      </c>
      <c r="BX184" s="4">
        <v>4251</v>
      </c>
      <c r="BY184" s="4">
        <v>4325</v>
      </c>
      <c r="BZ184" s="4">
        <v>4193</v>
      </c>
    </row>
    <row r="185" spans="1:254" ht="15.9" customHeight="1">
      <c r="A185" s="61" t="s">
        <v>364</v>
      </c>
      <c r="B185" s="6" t="s">
        <v>365</v>
      </c>
      <c r="C185" s="15">
        <f>_xll.RssMarket("9536","現在値")</f>
        <v>2359</v>
      </c>
      <c r="D185" s="16">
        <f t="shared" si="5"/>
        <v>0</v>
      </c>
      <c r="E185" s="13">
        <v>2359</v>
      </c>
      <c r="F185" s="13">
        <v>2333</v>
      </c>
      <c r="G185" s="13">
        <v>2381</v>
      </c>
      <c r="H185" s="13">
        <v>2419</v>
      </c>
      <c r="I185" s="13">
        <v>2361</v>
      </c>
      <c r="J185" s="13">
        <v>2382</v>
      </c>
      <c r="K185" s="13">
        <v>2369</v>
      </c>
      <c r="L185" s="13">
        <v>2351</v>
      </c>
      <c r="M185" s="13">
        <v>2393</v>
      </c>
      <c r="N185" s="13">
        <v>2361</v>
      </c>
      <c r="O185" s="13">
        <v>2354</v>
      </c>
      <c r="P185" s="13">
        <v>2366</v>
      </c>
      <c r="Q185" s="13">
        <v>2349</v>
      </c>
      <c r="R185" s="13">
        <v>2318</v>
      </c>
      <c r="S185" s="13">
        <v>2333</v>
      </c>
      <c r="T185" s="13">
        <v>2302</v>
      </c>
      <c r="U185" s="13">
        <v>2295</v>
      </c>
      <c r="V185" s="13">
        <v>2328</v>
      </c>
      <c r="W185" s="13">
        <v>2347</v>
      </c>
      <c r="X185" s="13">
        <v>2356</v>
      </c>
      <c r="Y185" s="13">
        <v>2324</v>
      </c>
      <c r="Z185" s="13">
        <v>2303</v>
      </c>
      <c r="AA185" s="13">
        <v>2257</v>
      </c>
      <c r="AB185" s="13">
        <v>2225</v>
      </c>
      <c r="AC185" s="13">
        <v>2225</v>
      </c>
      <c r="AD185" s="13">
        <v>2248</v>
      </c>
      <c r="AE185" s="13">
        <v>2270</v>
      </c>
      <c r="AF185" s="13">
        <v>2246</v>
      </c>
      <c r="AG185" s="13">
        <v>2211</v>
      </c>
      <c r="AH185" s="13">
        <v>2220</v>
      </c>
      <c r="AI185" s="13">
        <v>2213</v>
      </c>
      <c r="AJ185" s="13">
        <v>2213</v>
      </c>
      <c r="AK185" s="13">
        <v>2238</v>
      </c>
      <c r="AL185" s="13">
        <v>2237</v>
      </c>
      <c r="AM185" s="13">
        <v>2240</v>
      </c>
      <c r="AN185" s="13">
        <v>2238</v>
      </c>
      <c r="AO185" s="13">
        <v>2263</v>
      </c>
      <c r="AP185" s="13">
        <v>2243</v>
      </c>
      <c r="AQ185" s="13">
        <v>2232</v>
      </c>
      <c r="AR185" s="13">
        <v>2229</v>
      </c>
      <c r="AS185" s="13">
        <v>2210</v>
      </c>
      <c r="AT185" s="13">
        <v>2201</v>
      </c>
      <c r="AU185" s="13">
        <v>2182</v>
      </c>
      <c r="AV185" s="13">
        <v>2189</v>
      </c>
      <c r="AW185" s="13">
        <v>2154</v>
      </c>
      <c r="AX185" s="13">
        <v>2195</v>
      </c>
      <c r="AY185" s="13">
        <v>2182</v>
      </c>
      <c r="AZ185" s="13">
        <v>2222</v>
      </c>
      <c r="BA185" s="13">
        <v>2198</v>
      </c>
      <c r="BB185" s="13">
        <v>2221</v>
      </c>
      <c r="BC185" s="13">
        <v>2201</v>
      </c>
      <c r="BD185" s="13">
        <v>2208</v>
      </c>
      <c r="BE185" s="13">
        <v>2238</v>
      </c>
      <c r="BF185" s="13">
        <v>2201</v>
      </c>
      <c r="BG185" s="13">
        <v>2261</v>
      </c>
      <c r="BH185" s="13">
        <v>2244</v>
      </c>
      <c r="BI185" s="13">
        <v>2225</v>
      </c>
      <c r="BJ185" s="13">
        <v>2233</v>
      </c>
      <c r="BK185" s="13">
        <v>2241</v>
      </c>
      <c r="BL185" s="13">
        <v>2222</v>
      </c>
      <c r="BM185" s="4">
        <v>2275</v>
      </c>
      <c r="BN185" s="4">
        <v>2208</v>
      </c>
      <c r="BO185" s="4">
        <v>2236</v>
      </c>
      <c r="BP185" s="4">
        <v>2457</v>
      </c>
      <c r="BQ185" s="4">
        <v>2423</v>
      </c>
      <c r="BR185" s="4">
        <v>2470</v>
      </c>
      <c r="BS185" s="4">
        <v>2441</v>
      </c>
      <c r="BT185" s="4">
        <v>2460</v>
      </c>
      <c r="BU185" s="4">
        <v>2529</v>
      </c>
      <c r="BV185" s="4">
        <v>2535</v>
      </c>
      <c r="BW185" s="4">
        <v>2595</v>
      </c>
      <c r="BX185" s="4">
        <v>2615</v>
      </c>
      <c r="BY185" s="4">
        <v>2586</v>
      </c>
      <c r="BZ185" s="4">
        <v>2574</v>
      </c>
    </row>
    <row r="186" spans="1:254" ht="15.9" customHeight="1">
      <c r="A186" s="61" t="s">
        <v>366</v>
      </c>
      <c r="B186" s="6" t="s">
        <v>367</v>
      </c>
      <c r="C186" s="15">
        <f>_xll.RssMarket("9506","現在値")</f>
        <v>1205</v>
      </c>
      <c r="D186" s="16">
        <f t="shared" si="5"/>
        <v>0</v>
      </c>
      <c r="E186" s="13">
        <v>1205</v>
      </c>
      <c r="F186" s="13">
        <v>1183.5</v>
      </c>
      <c r="G186" s="13">
        <v>1186.5</v>
      </c>
      <c r="H186" s="13">
        <v>1190.5</v>
      </c>
      <c r="I186" s="13">
        <v>1180.5</v>
      </c>
      <c r="J186" s="13">
        <v>1179</v>
      </c>
      <c r="K186" s="13">
        <v>1192.5</v>
      </c>
      <c r="L186" s="13">
        <v>1163.5</v>
      </c>
      <c r="M186" s="13">
        <v>1177.5</v>
      </c>
      <c r="N186" s="13">
        <v>1142</v>
      </c>
      <c r="O186" s="13">
        <v>1146.5</v>
      </c>
      <c r="P186" s="13">
        <v>1140.5</v>
      </c>
      <c r="Q186" s="13">
        <v>1146</v>
      </c>
      <c r="R186" s="13">
        <v>1127</v>
      </c>
      <c r="S186" s="13">
        <v>1127.5</v>
      </c>
      <c r="T186" s="13">
        <v>1103</v>
      </c>
      <c r="U186" s="13">
        <v>1088</v>
      </c>
      <c r="V186" s="13">
        <v>1089.5</v>
      </c>
      <c r="W186" s="13">
        <v>1095</v>
      </c>
      <c r="X186" s="13">
        <v>1093</v>
      </c>
      <c r="Y186" s="13">
        <v>1087</v>
      </c>
      <c r="Z186" s="13">
        <v>1097.5</v>
      </c>
      <c r="AA186" s="13">
        <v>1069</v>
      </c>
      <c r="AB186" s="13">
        <v>1063.5</v>
      </c>
      <c r="AC186" s="13">
        <v>1062</v>
      </c>
      <c r="AD186" s="13">
        <v>1064.5</v>
      </c>
      <c r="AE186" s="13">
        <v>1050</v>
      </c>
      <c r="AF186" s="13">
        <v>1042</v>
      </c>
      <c r="AG186" s="13">
        <v>1044</v>
      </c>
      <c r="AH186" s="13">
        <v>1029.5</v>
      </c>
      <c r="AI186" s="13">
        <v>1030.5</v>
      </c>
      <c r="AJ186" s="13">
        <v>1041</v>
      </c>
      <c r="AK186" s="13">
        <v>1049</v>
      </c>
      <c r="AL186" s="13">
        <v>1050</v>
      </c>
      <c r="AM186" s="13">
        <v>1046</v>
      </c>
      <c r="AN186" s="13">
        <v>1043.5</v>
      </c>
      <c r="AO186" s="13">
        <v>1066</v>
      </c>
      <c r="AP186" s="13">
        <v>1019.5</v>
      </c>
      <c r="AQ186" s="13">
        <v>1018.5</v>
      </c>
      <c r="AR186" s="13">
        <v>1015.5</v>
      </c>
      <c r="AS186" s="13">
        <v>1006.5</v>
      </c>
      <c r="AT186" s="13">
        <v>993.3</v>
      </c>
      <c r="AU186" s="13">
        <v>991.4</v>
      </c>
      <c r="AV186" s="13">
        <v>1013.5</v>
      </c>
      <c r="AW186" s="13">
        <v>983.6</v>
      </c>
      <c r="AX186" s="13">
        <v>1006.5</v>
      </c>
      <c r="AY186" s="13">
        <v>996.7</v>
      </c>
      <c r="AZ186" s="13">
        <v>998</v>
      </c>
      <c r="BA186" s="13">
        <v>1009</v>
      </c>
      <c r="BB186" s="13">
        <v>1011</v>
      </c>
      <c r="BC186" s="13">
        <v>1024.5</v>
      </c>
      <c r="BD186" s="13">
        <v>1006</v>
      </c>
      <c r="BE186" s="13">
        <v>1019</v>
      </c>
      <c r="BF186" s="13">
        <v>1006.5</v>
      </c>
      <c r="BG186" s="13">
        <v>1051.5</v>
      </c>
      <c r="BH186" s="13">
        <v>1052.5</v>
      </c>
      <c r="BI186" s="13">
        <v>1064</v>
      </c>
      <c r="BJ186" s="13">
        <v>1064</v>
      </c>
      <c r="BK186" s="13">
        <v>1060</v>
      </c>
      <c r="BL186" s="13">
        <v>1055.5</v>
      </c>
      <c r="BM186" s="4">
        <v>1092.5</v>
      </c>
      <c r="BN186" s="4">
        <v>1064</v>
      </c>
      <c r="BO186" s="4">
        <v>1088.5</v>
      </c>
      <c r="BP186" s="4">
        <v>1157</v>
      </c>
      <c r="BQ186" s="4">
        <v>1122</v>
      </c>
      <c r="BR186" s="4">
        <v>1128.5</v>
      </c>
      <c r="BS186" s="4">
        <v>1117.5</v>
      </c>
      <c r="BT186" s="4">
        <v>1130</v>
      </c>
      <c r="BU186" s="4">
        <v>1144.5</v>
      </c>
      <c r="BV186" s="4">
        <v>1170.5</v>
      </c>
      <c r="BW186" s="4">
        <v>1178</v>
      </c>
      <c r="BX186" s="4">
        <v>1182.5</v>
      </c>
      <c r="BY186" s="4">
        <v>1172</v>
      </c>
      <c r="BZ186" s="4">
        <v>1170.5</v>
      </c>
    </row>
    <row r="187" spans="1:254" ht="15.9" customHeight="1">
      <c r="A187" s="61" t="s">
        <v>368</v>
      </c>
      <c r="B187" s="6" t="s">
        <v>369</v>
      </c>
      <c r="C187" s="15">
        <f>_xll.RssMarket("2127","現在値")</f>
        <v>639</v>
      </c>
      <c r="D187" s="16">
        <f t="shared" si="5"/>
        <v>0</v>
      </c>
      <c r="E187" s="13">
        <v>639</v>
      </c>
      <c r="F187" s="13">
        <v>635.5</v>
      </c>
      <c r="G187" s="13">
        <v>635.20000000000005</v>
      </c>
      <c r="H187" s="13">
        <v>639.29999999999995</v>
      </c>
      <c r="I187" s="13">
        <v>637.6</v>
      </c>
      <c r="J187" s="13">
        <v>701.8</v>
      </c>
      <c r="K187" s="13">
        <v>696.5</v>
      </c>
      <c r="L187" s="13">
        <v>679.9</v>
      </c>
      <c r="M187" s="13">
        <v>681.1</v>
      </c>
      <c r="N187" s="13">
        <v>664</v>
      </c>
      <c r="O187" s="13">
        <v>660.4</v>
      </c>
      <c r="P187" s="13">
        <v>664.4</v>
      </c>
      <c r="Q187" s="13">
        <v>676.5</v>
      </c>
      <c r="R187" s="13">
        <v>672.2</v>
      </c>
      <c r="S187" s="13">
        <v>678.7</v>
      </c>
      <c r="T187" s="13">
        <v>679.4</v>
      </c>
      <c r="U187" s="13">
        <v>671.4</v>
      </c>
      <c r="V187" s="13">
        <v>676.7</v>
      </c>
      <c r="W187" s="13">
        <v>676.5</v>
      </c>
      <c r="X187" s="13">
        <v>682</v>
      </c>
      <c r="Y187" s="13">
        <v>689.9</v>
      </c>
      <c r="Z187" s="13">
        <v>679.5</v>
      </c>
      <c r="AA187" s="13">
        <v>656.5</v>
      </c>
      <c r="AB187" s="13">
        <v>649.4</v>
      </c>
      <c r="AC187" s="13">
        <v>635.29999999999995</v>
      </c>
      <c r="AD187" s="13">
        <v>636.70000000000005</v>
      </c>
      <c r="AE187" s="13">
        <v>634</v>
      </c>
      <c r="AF187" s="13">
        <v>620.20000000000005</v>
      </c>
      <c r="AG187" s="13">
        <v>623.79999999999995</v>
      </c>
      <c r="AH187" s="13">
        <v>629.5</v>
      </c>
      <c r="AI187" s="13">
        <v>628</v>
      </c>
      <c r="AJ187" s="13">
        <v>634.1</v>
      </c>
      <c r="AK187" s="13">
        <v>644.1</v>
      </c>
      <c r="AL187" s="13">
        <v>661.9</v>
      </c>
      <c r="AM187" s="13">
        <v>650.9</v>
      </c>
      <c r="AN187" s="13">
        <v>638.29999999999995</v>
      </c>
      <c r="AO187" s="13">
        <v>643.5</v>
      </c>
      <c r="AP187" s="13">
        <v>636</v>
      </c>
      <c r="AQ187" s="13">
        <v>643.5</v>
      </c>
      <c r="AR187" s="13">
        <v>637.5</v>
      </c>
      <c r="AS187" s="13">
        <v>632.9</v>
      </c>
      <c r="AT187" s="13">
        <v>637.1</v>
      </c>
      <c r="AU187" s="13">
        <v>624</v>
      </c>
      <c r="AV187" s="13">
        <v>645</v>
      </c>
      <c r="AW187" s="13">
        <v>655.8</v>
      </c>
      <c r="AX187" s="13">
        <v>652</v>
      </c>
      <c r="AY187" s="13">
        <v>652.79999999999995</v>
      </c>
      <c r="AZ187" s="13">
        <v>665.5</v>
      </c>
      <c r="BA187" s="13">
        <v>655.1</v>
      </c>
      <c r="BB187" s="13">
        <v>661.9</v>
      </c>
      <c r="BC187" s="13">
        <v>657.2</v>
      </c>
      <c r="BD187" s="13">
        <v>645</v>
      </c>
      <c r="BE187" s="13">
        <v>660.2</v>
      </c>
      <c r="BF187" s="13">
        <v>633.4</v>
      </c>
      <c r="BG187" s="13">
        <v>638.29999999999995</v>
      </c>
      <c r="BH187" s="13">
        <v>638.79999999999995</v>
      </c>
      <c r="BI187" s="13">
        <v>644.70000000000005</v>
      </c>
      <c r="BJ187" s="13">
        <v>639.5</v>
      </c>
      <c r="BK187" s="13">
        <v>658.8</v>
      </c>
      <c r="BL187" s="13">
        <v>656.1</v>
      </c>
      <c r="BM187" s="4">
        <v>652.29999999999995</v>
      </c>
      <c r="BN187" s="4">
        <v>626.9</v>
      </c>
      <c r="BO187" s="4">
        <v>654.5</v>
      </c>
      <c r="BP187" s="4">
        <v>690</v>
      </c>
      <c r="BQ187" s="4">
        <v>677.5</v>
      </c>
      <c r="BR187" s="4">
        <v>668.7</v>
      </c>
      <c r="BS187" s="4">
        <v>683</v>
      </c>
      <c r="BT187" s="4">
        <v>688.8</v>
      </c>
      <c r="BU187" s="4">
        <v>690.3</v>
      </c>
      <c r="BV187" s="4">
        <v>682.3</v>
      </c>
      <c r="BW187" s="4">
        <v>689.8</v>
      </c>
      <c r="BX187" s="4">
        <v>689.8</v>
      </c>
      <c r="BY187" s="4">
        <v>676.5</v>
      </c>
      <c r="BZ187" s="4">
        <v>667.9</v>
      </c>
    </row>
    <row r="188" spans="1:254" ht="15.9" customHeight="1">
      <c r="A188" s="61" t="s">
        <v>370</v>
      </c>
      <c r="B188" s="6" t="s">
        <v>371</v>
      </c>
      <c r="C188" s="15">
        <f>_xll.RssMarket("6753","現在値")</f>
        <v>634.9</v>
      </c>
      <c r="D188" s="16">
        <f t="shared" si="5"/>
        <v>0</v>
      </c>
      <c r="E188" s="13">
        <v>634.9</v>
      </c>
      <c r="F188" s="13">
        <v>621.6</v>
      </c>
      <c r="G188" s="13">
        <v>617.70000000000005</v>
      </c>
      <c r="H188" s="13">
        <v>623.1</v>
      </c>
      <c r="I188" s="13">
        <v>618.4</v>
      </c>
      <c r="J188" s="13">
        <v>632.9</v>
      </c>
      <c r="K188" s="13">
        <v>635.6</v>
      </c>
      <c r="L188" s="13">
        <v>610.20000000000005</v>
      </c>
      <c r="M188" s="13">
        <v>608.70000000000005</v>
      </c>
      <c r="N188" s="13">
        <v>586.79999999999995</v>
      </c>
      <c r="O188" s="13">
        <v>610.29999999999995</v>
      </c>
      <c r="P188" s="13">
        <v>622.20000000000005</v>
      </c>
      <c r="Q188" s="13">
        <v>623.79999999999995</v>
      </c>
      <c r="R188" s="13">
        <v>627.29999999999995</v>
      </c>
      <c r="S188" s="13">
        <v>637</v>
      </c>
      <c r="T188" s="13">
        <v>645</v>
      </c>
      <c r="U188" s="13">
        <v>637.4</v>
      </c>
      <c r="V188" s="13">
        <v>648.29999999999995</v>
      </c>
      <c r="W188" s="13">
        <v>647.1</v>
      </c>
      <c r="X188" s="13">
        <v>643.29999999999995</v>
      </c>
      <c r="Y188" s="13">
        <v>655.8</v>
      </c>
      <c r="Z188" s="13">
        <v>640.5</v>
      </c>
      <c r="AA188" s="13">
        <v>639.1</v>
      </c>
      <c r="AB188" s="13">
        <v>643.6</v>
      </c>
      <c r="AC188" s="13">
        <v>636.20000000000005</v>
      </c>
      <c r="AD188" s="13">
        <v>651.29999999999995</v>
      </c>
      <c r="AE188" s="13">
        <v>633.20000000000005</v>
      </c>
      <c r="AF188" s="13">
        <v>606.20000000000005</v>
      </c>
      <c r="AG188" s="13">
        <v>601</v>
      </c>
      <c r="AH188" s="13">
        <v>665.5</v>
      </c>
      <c r="AI188" s="13">
        <v>578</v>
      </c>
      <c r="AJ188" s="13">
        <v>585</v>
      </c>
      <c r="AK188" s="13">
        <v>573.20000000000005</v>
      </c>
      <c r="AL188" s="13">
        <v>596.29999999999995</v>
      </c>
      <c r="AM188" s="13">
        <v>594.4</v>
      </c>
      <c r="AN188" s="13">
        <v>593.79999999999995</v>
      </c>
      <c r="AO188" s="13">
        <v>614.20000000000005</v>
      </c>
      <c r="AP188" s="13">
        <v>609.20000000000005</v>
      </c>
      <c r="AQ188" s="13">
        <v>620.5</v>
      </c>
      <c r="AR188" s="13">
        <v>636.20000000000005</v>
      </c>
      <c r="AS188" s="13">
        <v>657.2</v>
      </c>
      <c r="AT188" s="13">
        <v>658.1</v>
      </c>
      <c r="AU188" s="13">
        <v>671.6</v>
      </c>
      <c r="AV188" s="13">
        <v>668.5</v>
      </c>
      <c r="AW188" s="13">
        <v>651.9</v>
      </c>
      <c r="AX188" s="13">
        <v>621.5</v>
      </c>
      <c r="AY188" s="13">
        <v>621.6</v>
      </c>
      <c r="AZ188" s="13">
        <v>610.1</v>
      </c>
      <c r="BA188" s="13">
        <v>638.6</v>
      </c>
      <c r="BB188" s="13">
        <v>631.5</v>
      </c>
      <c r="BC188" s="13">
        <v>606.29999999999995</v>
      </c>
      <c r="BD188" s="13">
        <v>601</v>
      </c>
      <c r="BE188" s="13">
        <v>640.20000000000005</v>
      </c>
      <c r="BF188" s="13">
        <v>606.5</v>
      </c>
      <c r="BG188" s="13">
        <v>603.9</v>
      </c>
      <c r="BH188" s="13">
        <v>571.70000000000005</v>
      </c>
      <c r="BI188" s="13">
        <v>591.1</v>
      </c>
      <c r="BJ188" s="13">
        <v>592.79999999999995</v>
      </c>
      <c r="BK188" s="13">
        <v>561</v>
      </c>
      <c r="BL188" s="13">
        <v>564.29999999999995</v>
      </c>
      <c r="BM188" s="4">
        <v>559.4</v>
      </c>
      <c r="BN188" s="4">
        <v>582.4</v>
      </c>
      <c r="BO188" s="4">
        <v>559.5</v>
      </c>
      <c r="BP188" s="4">
        <v>566.1</v>
      </c>
      <c r="BQ188" s="4">
        <v>545.29999999999995</v>
      </c>
      <c r="BR188" s="4">
        <v>555</v>
      </c>
      <c r="BS188" s="4">
        <v>592.6</v>
      </c>
      <c r="BT188" s="4">
        <v>611.29999999999995</v>
      </c>
      <c r="BU188" s="4">
        <v>612</v>
      </c>
      <c r="BV188" s="4">
        <v>613.79999999999995</v>
      </c>
      <c r="BW188" s="4">
        <v>616.1</v>
      </c>
      <c r="BX188" s="4">
        <v>603.6</v>
      </c>
      <c r="BY188" s="4">
        <v>594.70000000000005</v>
      </c>
      <c r="BZ188" s="4">
        <v>589.4</v>
      </c>
    </row>
    <row r="189" spans="1:254" ht="15.9" customHeight="1">
      <c r="A189" s="61" t="s">
        <v>372</v>
      </c>
      <c r="B189" s="6" t="str">
        <f>銘柄管理!C189</f>
        <v>ヤマトホールディングス</v>
      </c>
      <c r="C189" s="15">
        <f>_xll.RssMarket("9064","現在値")</f>
        <v>1892.5</v>
      </c>
      <c r="D189" s="16"/>
      <c r="E189" s="13">
        <v>1892.5</v>
      </c>
      <c r="F189" s="13">
        <v>1880</v>
      </c>
      <c r="G189" s="13">
        <v>1915.5</v>
      </c>
      <c r="H189" s="13">
        <v>2041</v>
      </c>
      <c r="I189" s="13">
        <v>2069.5</v>
      </c>
      <c r="J189" s="13">
        <v>2139</v>
      </c>
      <c r="K189" s="13">
        <v>2180</v>
      </c>
      <c r="L189" s="13">
        <v>2119</v>
      </c>
      <c r="M189" s="13">
        <v>2067.5</v>
      </c>
      <c r="N189" s="13">
        <v>2044.5</v>
      </c>
      <c r="O189" s="13">
        <v>2034</v>
      </c>
      <c r="P189" s="13">
        <v>2017</v>
      </c>
      <c r="Q189" s="13">
        <v>2022</v>
      </c>
      <c r="R189" s="13">
        <v>2003</v>
      </c>
      <c r="S189" s="13">
        <v>1970.5</v>
      </c>
      <c r="T189" s="13">
        <v>1960</v>
      </c>
      <c r="U189" s="13">
        <v>1937.5</v>
      </c>
      <c r="V189" s="13">
        <v>1944</v>
      </c>
      <c r="W189" s="13">
        <v>1953</v>
      </c>
      <c r="X189" s="13">
        <v>1969.5</v>
      </c>
      <c r="Y189" s="13">
        <v>1980</v>
      </c>
      <c r="Z189" s="13">
        <v>1995.5</v>
      </c>
      <c r="AA189" s="13">
        <v>1945.5</v>
      </c>
      <c r="AB189" s="13">
        <v>1909</v>
      </c>
      <c r="AC189" s="13">
        <v>1839.5</v>
      </c>
      <c r="AD189" s="13">
        <v>1834.5</v>
      </c>
      <c r="AE189" s="13">
        <v>1854</v>
      </c>
      <c r="AF189" s="13">
        <v>1819.5</v>
      </c>
      <c r="AG189" s="13">
        <v>1812</v>
      </c>
      <c r="AH189" s="13">
        <v>1756.5</v>
      </c>
      <c r="AI189" s="13">
        <v>1775</v>
      </c>
      <c r="AJ189" s="13">
        <v>1757</v>
      </c>
      <c r="AK189" s="13">
        <v>1770.5</v>
      </c>
      <c r="AL189" s="13">
        <v>1765</v>
      </c>
      <c r="AM189" s="13">
        <v>1769.5</v>
      </c>
      <c r="AN189" s="13">
        <v>1774.5</v>
      </c>
      <c r="AO189" s="13">
        <v>1785</v>
      </c>
      <c r="AP189" s="13">
        <v>1785</v>
      </c>
      <c r="AQ189" s="13">
        <v>1815.5</v>
      </c>
      <c r="AR189" s="13">
        <v>1805</v>
      </c>
      <c r="AS189" s="13">
        <v>1792.5</v>
      </c>
      <c r="AT189" s="13">
        <v>1799</v>
      </c>
      <c r="AU189" s="13">
        <v>1800.5</v>
      </c>
      <c r="AV189" s="13">
        <v>1825.5</v>
      </c>
      <c r="AW189" s="13">
        <v>1800</v>
      </c>
      <c r="AX189" s="13">
        <v>1818</v>
      </c>
      <c r="AY189" s="13">
        <v>1778.5</v>
      </c>
      <c r="AZ189" s="13">
        <v>1763</v>
      </c>
      <c r="BA189" s="13">
        <v>1773.5</v>
      </c>
      <c r="BB189" s="13">
        <v>1771</v>
      </c>
      <c r="BC189" s="13">
        <v>1787</v>
      </c>
      <c r="BD189" s="13">
        <v>1750</v>
      </c>
      <c r="BE189" s="13">
        <v>1780</v>
      </c>
      <c r="BF189" s="13">
        <v>1727</v>
      </c>
      <c r="BG189" s="13">
        <v>1732.5</v>
      </c>
      <c r="BH189" s="13">
        <v>1780</v>
      </c>
      <c r="BI189" s="13">
        <v>1752.5</v>
      </c>
      <c r="BJ189" s="13">
        <v>1745.5</v>
      </c>
      <c r="BK189" s="13">
        <v>1730.5</v>
      </c>
      <c r="BL189" s="13">
        <v>1800</v>
      </c>
      <c r="BM189" s="4">
        <v>1822.5</v>
      </c>
      <c r="BN189" s="4">
        <v>1748.5</v>
      </c>
      <c r="BO189" s="4">
        <v>1764.5</v>
      </c>
      <c r="BP189" s="4">
        <v>1802.5</v>
      </c>
      <c r="BQ189" s="4">
        <v>1774</v>
      </c>
      <c r="BR189" s="4">
        <v>1768</v>
      </c>
      <c r="BS189" s="4">
        <v>1773</v>
      </c>
      <c r="BT189" s="4">
        <v>1809</v>
      </c>
      <c r="BU189" s="4">
        <v>1832.5</v>
      </c>
      <c r="BV189" s="4">
        <v>1821.5</v>
      </c>
      <c r="BW189" s="4">
        <v>1845</v>
      </c>
      <c r="BX189" s="4">
        <v>1862.5</v>
      </c>
      <c r="BY189" s="4">
        <v>1866.5</v>
      </c>
      <c r="BZ189" s="4">
        <v>1861</v>
      </c>
    </row>
    <row r="190" spans="1:254" ht="15.9" customHeight="1">
      <c r="A190" s="61" t="s">
        <v>373</v>
      </c>
      <c r="B190" s="6" t="s">
        <v>374</v>
      </c>
      <c r="C190" s="15">
        <f>_xll.RssMarket("7181","現在値")</f>
        <v>1750.5</v>
      </c>
      <c r="D190" s="16">
        <f>C190-E190</f>
        <v>0</v>
      </c>
      <c r="E190" s="13">
        <v>1750.5</v>
      </c>
      <c r="F190" s="13">
        <v>1721</v>
      </c>
      <c r="G190" s="13">
        <v>1686</v>
      </c>
      <c r="H190" s="13">
        <v>1728</v>
      </c>
      <c r="I190" s="13">
        <v>1771</v>
      </c>
      <c r="J190" s="13">
        <v>1766</v>
      </c>
      <c r="K190" s="13">
        <v>1783.5</v>
      </c>
      <c r="L190" s="13">
        <v>1752.5</v>
      </c>
      <c r="M190" s="13">
        <v>1795.5</v>
      </c>
      <c r="N190" s="13">
        <v>1769</v>
      </c>
      <c r="O190" s="13">
        <v>1749</v>
      </c>
      <c r="P190" s="13">
        <v>1728</v>
      </c>
      <c r="Q190" s="13">
        <v>1686</v>
      </c>
      <c r="R190" s="13">
        <v>1610.5</v>
      </c>
      <c r="S190" s="13">
        <v>1672.5</v>
      </c>
      <c r="T190" s="13">
        <v>1660</v>
      </c>
      <c r="U190" s="13">
        <v>1622.5</v>
      </c>
      <c r="V190" s="13">
        <v>1612.5</v>
      </c>
      <c r="W190" s="13">
        <v>1641.5</v>
      </c>
      <c r="X190" s="13">
        <v>1646</v>
      </c>
      <c r="Y190" s="13">
        <v>1667</v>
      </c>
      <c r="Z190" s="13">
        <v>1654.5</v>
      </c>
      <c r="AA190" s="13">
        <v>1613</v>
      </c>
      <c r="AB190" s="13">
        <v>1581.5</v>
      </c>
      <c r="AC190" s="13">
        <v>1519</v>
      </c>
      <c r="AD190" s="13">
        <v>1526.5</v>
      </c>
      <c r="AE190" s="13">
        <v>1499</v>
      </c>
      <c r="AF190" s="13">
        <v>1491.5</v>
      </c>
      <c r="AG190" s="13">
        <v>1473.5</v>
      </c>
      <c r="AH190" s="13">
        <v>1487</v>
      </c>
      <c r="AI190" s="13">
        <v>1518.5</v>
      </c>
      <c r="AJ190" s="13">
        <v>1524.5</v>
      </c>
      <c r="AK190" s="13">
        <v>1525</v>
      </c>
      <c r="AL190" s="13">
        <v>1550</v>
      </c>
      <c r="AM190" s="13">
        <v>1516</v>
      </c>
      <c r="AN190" s="13">
        <v>1560</v>
      </c>
      <c r="AO190" s="13">
        <v>1564.5</v>
      </c>
      <c r="AP190" s="13">
        <v>1541</v>
      </c>
      <c r="AQ190" s="13">
        <v>1535</v>
      </c>
      <c r="AR190" s="13">
        <v>1568</v>
      </c>
      <c r="AS190" s="13">
        <v>1455</v>
      </c>
      <c r="AT190" s="13">
        <v>1422.5</v>
      </c>
      <c r="AU190" s="13">
        <v>1404.5</v>
      </c>
      <c r="AV190" s="13">
        <v>1429.5</v>
      </c>
      <c r="AW190" s="13">
        <v>1407.5</v>
      </c>
      <c r="AX190" s="13">
        <v>1429.5</v>
      </c>
      <c r="AY190" s="13">
        <v>1413.5</v>
      </c>
      <c r="AZ190" s="13">
        <v>1479</v>
      </c>
      <c r="BA190" s="13">
        <v>1473.5</v>
      </c>
      <c r="BB190" s="13">
        <v>1526.5</v>
      </c>
      <c r="BC190" s="13">
        <v>1543.5</v>
      </c>
      <c r="BD190" s="13">
        <v>1529</v>
      </c>
      <c r="BE190" s="13">
        <v>1525</v>
      </c>
      <c r="BF190" s="13">
        <v>1463.5</v>
      </c>
      <c r="BG190" s="13">
        <v>1648</v>
      </c>
      <c r="BH190" s="13">
        <v>1594.5</v>
      </c>
      <c r="BI190" s="13">
        <v>1618</v>
      </c>
      <c r="BJ190" s="13">
        <v>1554</v>
      </c>
      <c r="BK190" s="13">
        <v>1547.5</v>
      </c>
      <c r="BL190" s="13">
        <v>1558.5</v>
      </c>
      <c r="BM190" s="4">
        <v>1573</v>
      </c>
      <c r="BN190" s="4">
        <v>1531</v>
      </c>
      <c r="BO190" s="4">
        <v>1525.5</v>
      </c>
      <c r="BP190" s="4">
        <v>1525.5</v>
      </c>
      <c r="BQ190" s="4">
        <v>1491</v>
      </c>
      <c r="BR190" s="4">
        <v>1495.5</v>
      </c>
      <c r="BS190" s="4">
        <v>1506</v>
      </c>
      <c r="BT190" s="4">
        <v>1498</v>
      </c>
      <c r="BU190" s="4">
        <v>1542.5</v>
      </c>
      <c r="BV190" s="4">
        <v>1576.5</v>
      </c>
      <c r="BW190" s="4">
        <v>1600.5</v>
      </c>
      <c r="BX190" s="4">
        <v>1670</v>
      </c>
      <c r="BY190" s="4">
        <v>1644.5</v>
      </c>
      <c r="BZ190" s="4">
        <v>1625</v>
      </c>
    </row>
    <row r="191" spans="1:254" ht="15.9" customHeight="1">
      <c r="A191" s="61" t="s">
        <v>375</v>
      </c>
      <c r="B191" s="6" t="str">
        <f>銘柄管理!C191</f>
        <v>前澤給装工業</v>
      </c>
      <c r="C191" s="15">
        <f>_xll.RssMarket("6485","現在値")</f>
        <v>1605</v>
      </c>
      <c r="D191" s="16"/>
      <c r="E191" s="13">
        <v>1605</v>
      </c>
      <c r="F191" s="13">
        <v>1587</v>
      </c>
      <c r="G191" s="13">
        <v>1573</v>
      </c>
      <c r="H191" s="13">
        <v>1569</v>
      </c>
      <c r="I191" s="13">
        <v>1572</v>
      </c>
      <c r="J191" s="13">
        <v>1588</v>
      </c>
      <c r="K191" s="13">
        <v>1595</v>
      </c>
      <c r="L191" s="13">
        <v>1567</v>
      </c>
      <c r="M191" s="13">
        <v>1581</v>
      </c>
      <c r="N191" s="13">
        <v>1544</v>
      </c>
      <c r="O191" s="13">
        <v>1544</v>
      </c>
      <c r="P191" s="13">
        <v>1544</v>
      </c>
      <c r="Q191" s="13">
        <v>1537</v>
      </c>
      <c r="R191" s="13">
        <v>1526</v>
      </c>
      <c r="S191" s="13">
        <v>1554</v>
      </c>
      <c r="T191" s="13">
        <v>1536</v>
      </c>
      <c r="U191" s="13">
        <v>1539</v>
      </c>
      <c r="V191" s="13">
        <v>1572</v>
      </c>
      <c r="W191" s="13">
        <v>1546</v>
      </c>
      <c r="X191" s="13">
        <v>1547</v>
      </c>
      <c r="Y191" s="13">
        <v>1527</v>
      </c>
      <c r="Z191" s="13">
        <v>1524</v>
      </c>
      <c r="AA191" s="13">
        <v>1520</v>
      </c>
      <c r="AB191" s="13">
        <v>1529</v>
      </c>
      <c r="AC191" s="13">
        <v>1519</v>
      </c>
      <c r="AD191" s="13">
        <v>1496</v>
      </c>
      <c r="AE191" s="13">
        <v>1509</v>
      </c>
      <c r="AF191" s="13">
        <v>1501</v>
      </c>
      <c r="AG191" s="13">
        <v>1483</v>
      </c>
      <c r="AH191" s="13">
        <v>1464</v>
      </c>
      <c r="AI191" s="13">
        <v>1464</v>
      </c>
      <c r="AJ191" s="13">
        <v>1482</v>
      </c>
      <c r="AK191" s="13">
        <v>1459</v>
      </c>
      <c r="AL191" s="13">
        <v>1473</v>
      </c>
      <c r="AM191" s="13">
        <v>1454</v>
      </c>
      <c r="AN191" s="13">
        <v>1449</v>
      </c>
      <c r="AO191" s="13">
        <v>1440</v>
      </c>
      <c r="AP191" s="13">
        <v>1424</v>
      </c>
      <c r="AQ191" s="13">
        <v>1411</v>
      </c>
      <c r="AR191" s="13">
        <v>1429</v>
      </c>
      <c r="AS191" s="13">
        <v>1419</v>
      </c>
      <c r="AT191" s="13">
        <v>1435</v>
      </c>
      <c r="AU191" s="13">
        <v>1414</v>
      </c>
      <c r="AV191" s="13">
        <v>1402</v>
      </c>
      <c r="AW191" s="13">
        <v>1376</v>
      </c>
      <c r="AX191" s="13">
        <v>1417</v>
      </c>
      <c r="AY191" s="13">
        <v>1425</v>
      </c>
      <c r="AZ191" s="13">
        <v>1420</v>
      </c>
      <c r="BA191" s="13">
        <v>1411</v>
      </c>
      <c r="BB191" s="13">
        <v>1411</v>
      </c>
      <c r="BC191" s="13">
        <v>1411</v>
      </c>
      <c r="BD191" s="13">
        <v>1428</v>
      </c>
      <c r="BE191" s="13">
        <v>1455</v>
      </c>
      <c r="BF191" s="13">
        <v>1442</v>
      </c>
      <c r="BG191" s="13">
        <v>1497</v>
      </c>
      <c r="BH191" s="13">
        <v>1485</v>
      </c>
      <c r="BI191" s="13">
        <v>1500</v>
      </c>
      <c r="BJ191" s="13">
        <v>1524</v>
      </c>
      <c r="BK191" s="13">
        <v>1508</v>
      </c>
      <c r="BL191" s="13">
        <v>1507</v>
      </c>
      <c r="BM191" s="4">
        <v>1512</v>
      </c>
      <c r="BN191" s="4">
        <v>1503</v>
      </c>
      <c r="BO191" s="4">
        <v>1493</v>
      </c>
      <c r="BP191" s="4">
        <v>1555</v>
      </c>
      <c r="BQ191" s="4">
        <v>1491</v>
      </c>
      <c r="BR191" s="4">
        <v>1498</v>
      </c>
      <c r="BS191" s="4">
        <v>1504</v>
      </c>
      <c r="BT191" s="4">
        <v>1525</v>
      </c>
      <c r="BU191" s="4">
        <v>1554</v>
      </c>
      <c r="BV191" s="4">
        <v>1554</v>
      </c>
      <c r="BW191" s="4">
        <v>1555</v>
      </c>
      <c r="BX191" s="4">
        <v>1567</v>
      </c>
      <c r="BY191" s="4">
        <v>1576</v>
      </c>
      <c r="BZ191" s="4">
        <v>1574</v>
      </c>
    </row>
    <row r="192" spans="1:254" ht="15.9" customHeight="1">
      <c r="A192" s="61" t="s">
        <v>376</v>
      </c>
      <c r="B192" s="6" t="s">
        <v>377</v>
      </c>
      <c r="C192" s="15">
        <f>_xll.RssMarket("4887","現在値")</f>
        <v>1624</v>
      </c>
      <c r="D192" s="16">
        <f t="shared" ref="D192:D208" si="6">C192-E192</f>
        <v>0</v>
      </c>
      <c r="E192" s="13">
        <v>1624</v>
      </c>
      <c r="F192" s="13">
        <v>1599</v>
      </c>
      <c r="G192" s="13">
        <v>1601.5</v>
      </c>
      <c r="H192" s="13">
        <v>1616.5</v>
      </c>
      <c r="I192" s="13">
        <v>1650.5</v>
      </c>
      <c r="J192" s="13">
        <v>1697.5</v>
      </c>
      <c r="K192" s="13">
        <v>1710.5</v>
      </c>
      <c r="L192" s="13">
        <v>1675</v>
      </c>
      <c r="M192" s="13">
        <v>1679</v>
      </c>
      <c r="N192" s="13">
        <v>1659.5</v>
      </c>
      <c r="O192" s="13">
        <v>1662.5</v>
      </c>
      <c r="P192" s="13">
        <v>1680.5</v>
      </c>
      <c r="Q192" s="13">
        <v>1681</v>
      </c>
      <c r="R192" s="13">
        <v>1681</v>
      </c>
      <c r="S192" s="13">
        <v>1693.5</v>
      </c>
      <c r="T192" s="13">
        <v>1675</v>
      </c>
      <c r="U192" s="13">
        <v>1661</v>
      </c>
      <c r="V192" s="13">
        <v>1673</v>
      </c>
      <c r="W192" s="13">
        <v>1690</v>
      </c>
      <c r="X192" s="13">
        <v>1716</v>
      </c>
      <c r="Y192" s="13">
        <v>1740.5</v>
      </c>
      <c r="Z192" s="13">
        <v>1747.5</v>
      </c>
      <c r="AA192" s="13">
        <v>1718</v>
      </c>
      <c r="AB192" s="13">
        <v>1702</v>
      </c>
      <c r="AC192" s="13">
        <v>1675</v>
      </c>
      <c r="AD192" s="13">
        <v>1685</v>
      </c>
      <c r="AE192" s="13">
        <v>1663.5</v>
      </c>
      <c r="AF192" s="13">
        <v>1626</v>
      </c>
      <c r="AG192" s="13">
        <v>1650.5</v>
      </c>
      <c r="AH192" s="13">
        <v>1658</v>
      </c>
      <c r="AI192" s="13">
        <v>1646.5</v>
      </c>
      <c r="AJ192" s="13">
        <v>1633.5</v>
      </c>
      <c r="AK192" s="13">
        <v>1638</v>
      </c>
      <c r="AL192" s="13">
        <v>1652.5</v>
      </c>
      <c r="AM192" s="13">
        <v>1676.5</v>
      </c>
      <c r="AN192" s="13">
        <v>1650.5</v>
      </c>
      <c r="AO192" s="13">
        <v>1674</v>
      </c>
      <c r="AP192" s="13">
        <v>1711</v>
      </c>
      <c r="AQ192" s="13">
        <v>1711</v>
      </c>
      <c r="AR192" s="13">
        <v>1720</v>
      </c>
      <c r="AS192" s="13">
        <v>1688</v>
      </c>
      <c r="AT192" s="13">
        <v>1712.5</v>
      </c>
      <c r="AU192" s="13">
        <v>1717</v>
      </c>
      <c r="AV192" s="13">
        <v>1719.5</v>
      </c>
      <c r="AW192" s="13">
        <v>1707.5</v>
      </c>
      <c r="AX192" s="13">
        <v>1749</v>
      </c>
      <c r="AY192" s="13">
        <v>1734.5</v>
      </c>
      <c r="AZ192" s="13">
        <v>1773.5</v>
      </c>
      <c r="BA192" s="13">
        <v>1788.5</v>
      </c>
      <c r="BB192" s="13">
        <v>1768</v>
      </c>
      <c r="BC192" s="13">
        <v>1757.5</v>
      </c>
      <c r="BD192" s="13">
        <v>1789</v>
      </c>
      <c r="BE192" s="13">
        <v>1805</v>
      </c>
      <c r="BF192" s="13">
        <v>1740</v>
      </c>
      <c r="BG192" s="13">
        <v>2032.5</v>
      </c>
      <c r="BH192" s="13">
        <v>2082.5</v>
      </c>
      <c r="BI192" s="13">
        <v>2080.5</v>
      </c>
      <c r="BJ192" s="13">
        <v>2081</v>
      </c>
      <c r="BK192" s="13">
        <v>2097.5</v>
      </c>
      <c r="BL192" s="13">
        <v>2102</v>
      </c>
      <c r="BM192" s="4">
        <v>2135</v>
      </c>
      <c r="BN192" s="4">
        <v>2066</v>
      </c>
      <c r="BO192" s="4">
        <v>2104.5</v>
      </c>
      <c r="BP192" s="4">
        <v>2098.5</v>
      </c>
      <c r="BQ192" s="4">
        <v>2080.5</v>
      </c>
      <c r="BR192" s="4">
        <v>2121</v>
      </c>
      <c r="BS192" s="4">
        <v>2099</v>
      </c>
      <c r="BT192" s="4">
        <v>2110.5</v>
      </c>
      <c r="BU192" s="4">
        <v>2174</v>
      </c>
      <c r="BV192" s="4">
        <v>2189.5</v>
      </c>
      <c r="BW192" s="4">
        <v>2208</v>
      </c>
      <c r="BX192" s="4">
        <v>2248</v>
      </c>
      <c r="BY192" s="4">
        <v>2222</v>
      </c>
      <c r="BZ192" s="4">
        <v>2177</v>
      </c>
    </row>
    <row r="193" spans="1:254" ht="15.9" customHeight="1">
      <c r="A193" s="61" t="s">
        <v>378</v>
      </c>
      <c r="B193" s="6" t="s">
        <v>379</v>
      </c>
      <c r="C193" s="15">
        <f>_xll.RssMarket("5243","現在値")</f>
        <v>2314</v>
      </c>
      <c r="D193" s="16">
        <f t="shared" si="6"/>
        <v>0</v>
      </c>
      <c r="E193" s="13">
        <v>2314</v>
      </c>
      <c r="F193" s="13">
        <v>2288</v>
      </c>
      <c r="G193" s="13">
        <v>2158</v>
      </c>
      <c r="H193" s="13">
        <v>1984</v>
      </c>
      <c r="I193" s="13">
        <v>2129</v>
      </c>
      <c r="J193" s="13">
        <v>2039</v>
      </c>
      <c r="K193" s="13">
        <v>2065</v>
      </c>
      <c r="L193" s="13">
        <v>2045</v>
      </c>
      <c r="M193" s="13">
        <v>2112</v>
      </c>
      <c r="N193" s="13">
        <v>2025</v>
      </c>
      <c r="O193" s="13">
        <v>2013</v>
      </c>
      <c r="P193" s="13">
        <v>1930</v>
      </c>
      <c r="Q193" s="13">
        <v>2042</v>
      </c>
      <c r="R193" s="13">
        <v>2050</v>
      </c>
      <c r="S193" s="13">
        <v>2144</v>
      </c>
      <c r="T193" s="13">
        <v>2061</v>
      </c>
      <c r="U193" s="13">
        <v>2106</v>
      </c>
      <c r="V193" s="13">
        <v>2258</v>
      </c>
      <c r="W193" s="13">
        <v>2010</v>
      </c>
      <c r="X193" s="13">
        <v>2289</v>
      </c>
      <c r="Y193" s="13">
        <v>2219</v>
      </c>
      <c r="Z193" s="13">
        <v>2250</v>
      </c>
      <c r="AA193" s="13">
        <v>2075</v>
      </c>
      <c r="AB193" s="13">
        <v>2024</v>
      </c>
      <c r="AC193" s="13">
        <v>1920</v>
      </c>
      <c r="AD193" s="13">
        <v>1920</v>
      </c>
      <c r="AE193" s="13">
        <v>1838</v>
      </c>
      <c r="AF193" s="13">
        <v>1745</v>
      </c>
      <c r="AG193" s="13">
        <v>1730</v>
      </c>
      <c r="AH193" s="13">
        <v>1736</v>
      </c>
      <c r="AI193" s="13">
        <v>1741</v>
      </c>
      <c r="AJ193" s="13">
        <v>1800</v>
      </c>
      <c r="AK193" s="13">
        <v>1760</v>
      </c>
      <c r="AL193" s="13">
        <v>1881</v>
      </c>
      <c r="AM193" s="13">
        <v>1821</v>
      </c>
      <c r="AN193" s="13">
        <v>1728</v>
      </c>
      <c r="AO193" s="13">
        <v>1673</v>
      </c>
      <c r="AP193" s="13">
        <v>1655</v>
      </c>
      <c r="AQ193" s="13">
        <v>1683</v>
      </c>
      <c r="AR193" s="13">
        <v>1676</v>
      </c>
      <c r="AS193" s="13">
        <v>1754</v>
      </c>
      <c r="AT193" s="13">
        <v>1848</v>
      </c>
      <c r="AU193" s="13">
        <v>1816</v>
      </c>
      <c r="AV193" s="13">
        <v>1935</v>
      </c>
      <c r="AW193" s="13">
        <v>1901</v>
      </c>
      <c r="AX193" s="13">
        <v>2070</v>
      </c>
      <c r="AY193" s="13">
        <v>2063</v>
      </c>
      <c r="AZ193" s="13">
        <v>2060</v>
      </c>
      <c r="BA193" s="13">
        <v>2191</v>
      </c>
      <c r="BB193" s="13">
        <v>2248</v>
      </c>
      <c r="BC193" s="13">
        <v>2216</v>
      </c>
      <c r="BD193" s="13">
        <v>2147</v>
      </c>
      <c r="BE193" s="13">
        <v>2205</v>
      </c>
      <c r="BF193" s="13">
        <v>2264</v>
      </c>
      <c r="BG193" s="13">
        <v>2255</v>
      </c>
      <c r="BH193" s="13">
        <v>2297</v>
      </c>
      <c r="BI193" s="13">
        <v>2407</v>
      </c>
      <c r="BJ193" s="13">
        <v>2245</v>
      </c>
      <c r="BK193" s="13">
        <v>2135</v>
      </c>
      <c r="BL193" s="13">
        <v>2150</v>
      </c>
      <c r="BM193" s="4">
        <v>2251</v>
      </c>
      <c r="BN193" s="4">
        <v>2363</v>
      </c>
      <c r="BO193" s="4">
        <v>2424</v>
      </c>
      <c r="BP193" s="4">
        <v>2503</v>
      </c>
      <c r="BQ193" s="4">
        <v>2330</v>
      </c>
      <c r="BR193" s="4">
        <v>2449</v>
      </c>
      <c r="BS193" s="4">
        <v>2490</v>
      </c>
      <c r="BT193" s="4">
        <v>2691</v>
      </c>
      <c r="BU193" s="4">
        <v>2571</v>
      </c>
      <c r="BV193" s="4">
        <v>2609</v>
      </c>
      <c r="BW193" s="4">
        <v>2608</v>
      </c>
      <c r="BX193" s="4">
        <v>2769</v>
      </c>
      <c r="BY193" s="4">
        <v>2521</v>
      </c>
      <c r="BZ193" s="4">
        <v>3010</v>
      </c>
    </row>
    <row r="194" spans="1:254" ht="15.9" customHeight="1">
      <c r="A194" s="61" t="s">
        <v>380</v>
      </c>
      <c r="B194" s="6" t="s">
        <v>381</v>
      </c>
      <c r="C194" s="15">
        <f>_xll.RssMarket("2702","現在値")</f>
        <v>8050</v>
      </c>
      <c r="D194" s="16">
        <f t="shared" si="6"/>
        <v>0</v>
      </c>
      <c r="E194" s="13">
        <v>8050</v>
      </c>
      <c r="F194" s="13">
        <v>7990</v>
      </c>
      <c r="G194" s="13">
        <v>8150</v>
      </c>
      <c r="H194" s="13">
        <v>8220</v>
      </c>
      <c r="I194" s="13">
        <v>8080</v>
      </c>
      <c r="J194" s="13">
        <v>8190</v>
      </c>
      <c r="K194" s="13">
        <v>8060</v>
      </c>
      <c r="L194" s="13">
        <v>7910</v>
      </c>
      <c r="M194" s="13">
        <v>7730</v>
      </c>
      <c r="N194" s="13"/>
      <c r="O194" s="13">
        <v>7550</v>
      </c>
      <c r="P194" s="13">
        <v>7540</v>
      </c>
      <c r="Q194" s="13">
        <v>7580</v>
      </c>
      <c r="R194" s="13">
        <v>7630</v>
      </c>
      <c r="S194" s="13">
        <v>7580</v>
      </c>
      <c r="T194" s="13">
        <v>7700</v>
      </c>
      <c r="U194" s="13">
        <v>7730</v>
      </c>
      <c r="V194" s="13">
        <v>7680</v>
      </c>
      <c r="W194" s="13">
        <v>7890</v>
      </c>
      <c r="X194" s="13">
        <v>7750</v>
      </c>
      <c r="Y194" s="13">
        <v>7760</v>
      </c>
      <c r="Z194" s="13">
        <v>7640</v>
      </c>
      <c r="AA194" s="13">
        <v>7650</v>
      </c>
      <c r="AB194" s="13">
        <v>7570</v>
      </c>
      <c r="AC194" s="13">
        <v>7340</v>
      </c>
      <c r="AD194" s="13">
        <v>7480</v>
      </c>
      <c r="AE194" s="13">
        <v>7580</v>
      </c>
      <c r="AF194" s="13">
        <v>7460</v>
      </c>
      <c r="AG194" s="13">
        <v>7400</v>
      </c>
      <c r="AH194" s="13">
        <v>7250</v>
      </c>
      <c r="AI194" s="13">
        <v>7100</v>
      </c>
      <c r="AJ194" s="13">
        <v>7150</v>
      </c>
      <c r="AK194" s="13">
        <v>7240</v>
      </c>
      <c r="AL194" s="13">
        <v>7330</v>
      </c>
      <c r="AM194" s="13">
        <v>7410</v>
      </c>
      <c r="AN194" s="13">
        <v>7380</v>
      </c>
      <c r="AO194" s="13">
        <v>7410</v>
      </c>
      <c r="AP194" s="13">
        <v>7500</v>
      </c>
      <c r="AQ194" s="13">
        <v>7470</v>
      </c>
      <c r="AR194" s="13">
        <v>7280</v>
      </c>
      <c r="AS194" s="13">
        <v>7430</v>
      </c>
      <c r="AT194" s="13">
        <v>7360</v>
      </c>
      <c r="AU194" s="13">
        <v>7310</v>
      </c>
      <c r="AV194" s="13">
        <v>7490</v>
      </c>
      <c r="AW194" s="13">
        <v>7570</v>
      </c>
      <c r="AX194" s="13">
        <v>7790</v>
      </c>
      <c r="AY194" s="13">
        <v>7780</v>
      </c>
      <c r="AZ194" s="13">
        <v>7870</v>
      </c>
      <c r="BA194" s="13">
        <v>8080</v>
      </c>
      <c r="BB194" s="13">
        <v>8130</v>
      </c>
      <c r="BC194" s="13">
        <v>7980</v>
      </c>
      <c r="BD194" s="13">
        <v>8070</v>
      </c>
      <c r="BE194" s="13">
        <v>8000</v>
      </c>
      <c r="BF194" s="13">
        <v>7800</v>
      </c>
      <c r="BG194" s="13">
        <v>8130</v>
      </c>
      <c r="BH194" s="13">
        <v>8330</v>
      </c>
      <c r="BI194" s="13">
        <v>8590</v>
      </c>
      <c r="BJ194" s="13">
        <v>7690</v>
      </c>
      <c r="BK194" s="13">
        <v>7740</v>
      </c>
      <c r="BL194" s="13">
        <v>7870</v>
      </c>
      <c r="BM194" s="4">
        <v>8000</v>
      </c>
      <c r="BN194" s="4">
        <v>8130</v>
      </c>
      <c r="BO194" s="4">
        <v>8120</v>
      </c>
      <c r="BP194" s="4">
        <v>8190</v>
      </c>
      <c r="BQ194" s="4">
        <v>8210</v>
      </c>
      <c r="BR194" s="4">
        <v>8100</v>
      </c>
      <c r="BS194" s="4">
        <v>8120</v>
      </c>
      <c r="BT194" s="4">
        <v>8210</v>
      </c>
      <c r="BU194" s="4">
        <v>8250</v>
      </c>
      <c r="BV194" s="4">
        <v>8260</v>
      </c>
      <c r="BW194" s="4">
        <v>8190</v>
      </c>
      <c r="BX194" s="4">
        <v>8200</v>
      </c>
      <c r="BY194" s="4">
        <v>8240</v>
      </c>
      <c r="BZ194" s="4">
        <v>8030</v>
      </c>
    </row>
    <row r="195" spans="1:254" ht="15.9" customHeight="1">
      <c r="A195" s="61" t="s">
        <v>382</v>
      </c>
      <c r="B195" s="6" t="s">
        <v>383</v>
      </c>
      <c r="C195" s="15">
        <f>_xll.RssMarket("6890","現在値")</f>
        <v>8880</v>
      </c>
      <c r="D195" s="16">
        <f t="shared" si="6"/>
        <v>0</v>
      </c>
      <c r="E195" s="13">
        <v>8880</v>
      </c>
      <c r="F195" s="13">
        <v>9370</v>
      </c>
      <c r="G195" s="13">
        <v>8740</v>
      </c>
      <c r="H195" s="13">
        <v>8190</v>
      </c>
      <c r="I195" s="13">
        <v>8300</v>
      </c>
      <c r="J195" s="13">
        <v>7160</v>
      </c>
      <c r="K195" s="13">
        <v>7250</v>
      </c>
      <c r="L195" s="13">
        <v>7550</v>
      </c>
      <c r="M195" s="13">
        <v>8620</v>
      </c>
      <c r="N195" s="13">
        <v>8920</v>
      </c>
      <c r="O195" s="13">
        <v>8940</v>
      </c>
      <c r="P195" s="13">
        <v>7440</v>
      </c>
      <c r="Q195" s="13">
        <v>7200</v>
      </c>
      <c r="R195" s="13">
        <v>7010</v>
      </c>
      <c r="S195" s="13">
        <v>8260</v>
      </c>
      <c r="T195" s="13">
        <v>8100</v>
      </c>
      <c r="U195" s="13">
        <v>8430</v>
      </c>
      <c r="V195" s="13">
        <v>9090</v>
      </c>
      <c r="W195" s="13">
        <v>8330</v>
      </c>
      <c r="X195" s="13">
        <v>8150</v>
      </c>
      <c r="Y195" s="13">
        <v>8440</v>
      </c>
      <c r="Z195" s="13">
        <v>9060</v>
      </c>
      <c r="AA195" s="13">
        <v>9280</v>
      </c>
      <c r="AB195" s="13">
        <v>8950</v>
      </c>
      <c r="AC195" s="13">
        <v>9720</v>
      </c>
      <c r="AD195" s="13">
        <v>9530</v>
      </c>
      <c r="AE195" s="13">
        <v>9140</v>
      </c>
      <c r="AF195" s="13">
        <v>9460</v>
      </c>
      <c r="AG195" s="13">
        <v>10260</v>
      </c>
      <c r="AH195" s="13">
        <v>9800</v>
      </c>
      <c r="AI195" s="13">
        <v>10590</v>
      </c>
      <c r="AJ195" s="13">
        <v>11590</v>
      </c>
      <c r="AK195" s="13">
        <v>10470</v>
      </c>
      <c r="AL195" s="13">
        <v>10280</v>
      </c>
      <c r="AM195" s="13">
        <v>9440</v>
      </c>
      <c r="AN195" s="13">
        <v>9300</v>
      </c>
      <c r="AO195" s="13">
        <v>9300</v>
      </c>
      <c r="AP195" s="13">
        <v>9100</v>
      </c>
      <c r="AQ195" s="13">
        <v>7940</v>
      </c>
      <c r="AR195" s="13">
        <v>7880</v>
      </c>
      <c r="AS195" s="13">
        <v>8230</v>
      </c>
      <c r="AT195" s="13">
        <v>9100</v>
      </c>
      <c r="AU195" s="13">
        <v>9020</v>
      </c>
      <c r="AV195" s="13">
        <v>7950</v>
      </c>
      <c r="AW195" s="13">
        <v>8010</v>
      </c>
      <c r="AX195" s="13">
        <v>8690</v>
      </c>
      <c r="AY195" s="13">
        <v>8540</v>
      </c>
      <c r="AZ195" s="13">
        <v>8530</v>
      </c>
      <c r="BA195" s="13">
        <v>9220</v>
      </c>
      <c r="BB195" s="13">
        <v>8930</v>
      </c>
      <c r="BC195" s="13">
        <v>8720</v>
      </c>
      <c r="BD195" s="13">
        <v>8760</v>
      </c>
      <c r="BE195" s="13">
        <v>8550</v>
      </c>
      <c r="BF195" s="13">
        <v>9200</v>
      </c>
      <c r="BG195" s="13">
        <v>9460</v>
      </c>
      <c r="BH195" s="13">
        <v>9800</v>
      </c>
      <c r="BI195" s="13">
        <v>9430</v>
      </c>
      <c r="BJ195" s="13">
        <v>9620</v>
      </c>
      <c r="BK195" s="13">
        <v>9610</v>
      </c>
      <c r="BL195" s="13">
        <v>9580</v>
      </c>
      <c r="BM195" s="4">
        <v>9150</v>
      </c>
      <c r="BN195" s="4">
        <v>8090</v>
      </c>
      <c r="BO195" s="4">
        <v>7530</v>
      </c>
      <c r="BP195" s="4">
        <v>7750</v>
      </c>
      <c r="BQ195" s="4">
        <v>7230</v>
      </c>
      <c r="BR195" s="4">
        <v>7480</v>
      </c>
      <c r="BS195" s="4">
        <v>7200</v>
      </c>
      <c r="BT195" s="4">
        <v>7000</v>
      </c>
      <c r="BU195" s="4">
        <v>6810</v>
      </c>
      <c r="BV195" s="4">
        <v>6700</v>
      </c>
      <c r="BW195" s="4">
        <v>6700</v>
      </c>
      <c r="BX195" s="4">
        <v>6760</v>
      </c>
      <c r="BY195" s="4">
        <v>6760</v>
      </c>
      <c r="BZ195" s="4">
        <v>6930</v>
      </c>
    </row>
    <row r="196" spans="1:254" ht="15.9" customHeight="1">
      <c r="A196" s="61" t="s">
        <v>384</v>
      </c>
      <c r="B196" s="6" t="s">
        <v>385</v>
      </c>
      <c r="C196" s="15">
        <f>_xll.RssMarket("4966","現在値")</f>
        <v>24320</v>
      </c>
      <c r="D196" s="16">
        <f t="shared" si="6"/>
        <v>0</v>
      </c>
      <c r="E196" s="13">
        <v>24320</v>
      </c>
      <c r="F196" s="13">
        <v>25500</v>
      </c>
      <c r="G196" s="13">
        <v>23900</v>
      </c>
      <c r="H196" s="13">
        <v>22930</v>
      </c>
      <c r="I196" s="13">
        <v>22380</v>
      </c>
      <c r="J196" s="13">
        <v>20450</v>
      </c>
      <c r="K196" s="13">
        <v>20230</v>
      </c>
      <c r="L196" s="13">
        <v>21630</v>
      </c>
      <c r="M196" s="13">
        <v>23130</v>
      </c>
      <c r="N196" s="13">
        <v>23430</v>
      </c>
      <c r="O196" s="13">
        <v>24130</v>
      </c>
      <c r="P196" s="13">
        <v>23910</v>
      </c>
      <c r="Q196" s="13">
        <v>23980</v>
      </c>
      <c r="R196" s="13">
        <v>23000</v>
      </c>
      <c r="S196" s="13">
        <v>25250</v>
      </c>
      <c r="T196" s="13">
        <v>24020</v>
      </c>
      <c r="U196" s="13">
        <v>23490</v>
      </c>
      <c r="V196" s="13">
        <v>24740</v>
      </c>
      <c r="W196" s="13">
        <v>24250</v>
      </c>
      <c r="X196" s="13">
        <v>23750</v>
      </c>
      <c r="Y196" s="13">
        <v>24150</v>
      </c>
      <c r="Z196" s="13">
        <v>25730</v>
      </c>
      <c r="AA196" s="13">
        <v>26630</v>
      </c>
      <c r="AB196" s="13">
        <v>25750</v>
      </c>
      <c r="AC196" s="13">
        <v>27610</v>
      </c>
      <c r="AD196" s="13">
        <v>27440</v>
      </c>
      <c r="AE196" s="13">
        <v>26830</v>
      </c>
      <c r="AF196" s="13">
        <v>26930</v>
      </c>
      <c r="AG196" s="13">
        <v>27570</v>
      </c>
      <c r="AH196" s="13">
        <v>27190</v>
      </c>
      <c r="AI196" s="13">
        <v>26950</v>
      </c>
      <c r="AJ196" s="13">
        <v>28050</v>
      </c>
      <c r="AK196" s="13">
        <v>27070</v>
      </c>
      <c r="AL196" s="13">
        <v>27070</v>
      </c>
      <c r="AM196" s="13">
        <v>26340</v>
      </c>
      <c r="AN196" s="13">
        <v>26410</v>
      </c>
      <c r="AO196" s="13">
        <v>26190</v>
      </c>
      <c r="AP196" s="13">
        <v>24160</v>
      </c>
      <c r="AQ196" s="13">
        <v>23150</v>
      </c>
      <c r="AR196" s="13">
        <v>22470</v>
      </c>
      <c r="AS196" s="13">
        <v>21800</v>
      </c>
      <c r="AT196" s="13">
        <v>22740</v>
      </c>
      <c r="AU196" s="13">
        <v>23020</v>
      </c>
      <c r="AV196" s="13">
        <v>23580</v>
      </c>
      <c r="AW196" s="13">
        <v>23160</v>
      </c>
      <c r="AX196" s="13">
        <v>23320</v>
      </c>
      <c r="AY196" s="13">
        <v>23470</v>
      </c>
      <c r="AZ196" s="13">
        <v>23780</v>
      </c>
      <c r="BA196" s="13">
        <v>23890</v>
      </c>
      <c r="BB196" s="13">
        <v>24250</v>
      </c>
      <c r="BC196" s="13">
        <v>23440</v>
      </c>
      <c r="BD196" s="13">
        <v>22750</v>
      </c>
      <c r="BE196" s="13">
        <v>22810</v>
      </c>
      <c r="BF196" s="13">
        <v>23800</v>
      </c>
      <c r="BG196" s="13">
        <v>23990</v>
      </c>
      <c r="BH196" s="13">
        <v>25680</v>
      </c>
      <c r="BI196" s="13">
        <v>24970</v>
      </c>
      <c r="BJ196" s="13">
        <v>24600</v>
      </c>
      <c r="BK196" s="13">
        <v>23830</v>
      </c>
      <c r="BL196" s="13">
        <v>23710</v>
      </c>
      <c r="BM196" s="4">
        <v>23800</v>
      </c>
      <c r="BN196" s="4">
        <v>22600</v>
      </c>
      <c r="BO196" s="4">
        <v>23440</v>
      </c>
      <c r="BP196" s="4">
        <v>23320</v>
      </c>
      <c r="BQ196" s="4">
        <v>23270</v>
      </c>
      <c r="BR196" s="4">
        <v>23320</v>
      </c>
      <c r="BS196" s="4">
        <v>23060</v>
      </c>
      <c r="BT196" s="4">
        <v>23410</v>
      </c>
      <c r="BU196" s="4">
        <v>23020</v>
      </c>
      <c r="BV196" s="4">
        <v>22810</v>
      </c>
      <c r="BW196" s="4">
        <v>23140</v>
      </c>
      <c r="BX196" s="4">
        <v>23680</v>
      </c>
      <c r="BY196" s="4">
        <v>23980</v>
      </c>
      <c r="BZ196" s="4">
        <v>24000</v>
      </c>
    </row>
    <row r="197" spans="1:254" ht="15.9" customHeight="1">
      <c r="A197" s="61" t="s">
        <v>386</v>
      </c>
      <c r="B197" s="6" t="s">
        <v>387</v>
      </c>
      <c r="C197" s="15">
        <f>_xll.RssMarket("6146","現在値")</f>
        <v>61590</v>
      </c>
      <c r="D197" s="16">
        <f t="shared" si="6"/>
        <v>0</v>
      </c>
      <c r="E197" s="13">
        <v>61590</v>
      </c>
      <c r="F197" s="13">
        <v>63740</v>
      </c>
      <c r="G197" s="13">
        <v>60890</v>
      </c>
      <c r="H197" s="13">
        <v>60520</v>
      </c>
      <c r="I197" s="13">
        <v>58480</v>
      </c>
      <c r="J197" s="13">
        <v>51870</v>
      </c>
      <c r="K197" s="13">
        <v>51320</v>
      </c>
      <c r="L197" s="13">
        <v>54900</v>
      </c>
      <c r="M197" s="13">
        <v>62650</v>
      </c>
      <c r="N197" s="13">
        <v>60890</v>
      </c>
      <c r="O197" s="13">
        <v>69410</v>
      </c>
      <c r="P197" s="13">
        <v>68590</v>
      </c>
      <c r="Q197" s="13">
        <v>66840</v>
      </c>
      <c r="R197" s="13">
        <v>64780</v>
      </c>
      <c r="S197" s="13">
        <v>73550</v>
      </c>
      <c r="T197" s="13">
        <v>71650</v>
      </c>
      <c r="U197" s="13">
        <v>70870</v>
      </c>
      <c r="V197" s="13">
        <v>72560</v>
      </c>
      <c r="W197" s="13">
        <v>71510</v>
      </c>
      <c r="X197" s="13">
        <v>68230</v>
      </c>
      <c r="Y197" s="13">
        <v>71900</v>
      </c>
      <c r="Z197" s="13">
        <v>78000</v>
      </c>
      <c r="AA197" s="13">
        <v>76590</v>
      </c>
      <c r="AB197" s="13">
        <v>76860</v>
      </c>
      <c r="AC197" s="13">
        <v>84520</v>
      </c>
      <c r="AD197" s="13">
        <v>81260</v>
      </c>
      <c r="AE197" s="13">
        <v>79550</v>
      </c>
      <c r="AF197" s="13">
        <v>78510</v>
      </c>
      <c r="AG197" s="13">
        <v>85970</v>
      </c>
      <c r="AH197" s="13">
        <v>79740</v>
      </c>
      <c r="AI197" s="13">
        <v>82870</v>
      </c>
      <c r="AJ197" s="13">
        <v>88480</v>
      </c>
      <c r="AK197" s="13">
        <v>84900</v>
      </c>
      <c r="AL197" s="13">
        <v>84990</v>
      </c>
      <c r="AM197" s="13">
        <v>83700</v>
      </c>
      <c r="AN197" s="13">
        <v>81550</v>
      </c>
      <c r="AO197" s="13">
        <v>85250</v>
      </c>
      <c r="AP197" s="13">
        <v>79900</v>
      </c>
      <c r="AQ197" s="13">
        <v>70030</v>
      </c>
      <c r="AR197" s="13">
        <v>70060</v>
      </c>
      <c r="AS197" s="13">
        <v>67480</v>
      </c>
      <c r="AT197" s="13">
        <v>72580</v>
      </c>
      <c r="AU197" s="13">
        <v>72210</v>
      </c>
      <c r="AV197" s="13">
        <v>68710</v>
      </c>
      <c r="AW197" s="13">
        <v>64200</v>
      </c>
      <c r="AX197" s="13">
        <v>65090</v>
      </c>
      <c r="AY197" s="13">
        <v>66350</v>
      </c>
      <c r="AZ197" s="13">
        <v>67630</v>
      </c>
      <c r="BA197" s="13">
        <v>69780</v>
      </c>
      <c r="BB197" s="13">
        <v>65860</v>
      </c>
      <c r="BC197" s="13">
        <v>65650</v>
      </c>
      <c r="BD197" s="13">
        <v>61340</v>
      </c>
      <c r="BE197" s="13">
        <v>61600</v>
      </c>
      <c r="BF197" s="13">
        <v>63500</v>
      </c>
      <c r="BG197" s="13">
        <v>64900</v>
      </c>
      <c r="BH197" s="13">
        <v>70000</v>
      </c>
      <c r="BI197" s="13">
        <v>72840</v>
      </c>
      <c r="BJ197" s="13">
        <v>72800</v>
      </c>
      <c r="BK197" s="13">
        <v>73380</v>
      </c>
      <c r="BL197" s="13">
        <v>75000</v>
      </c>
      <c r="BM197" s="4">
        <v>76590</v>
      </c>
      <c r="BN197" s="4">
        <v>72250</v>
      </c>
      <c r="BO197" s="4">
        <v>74010</v>
      </c>
      <c r="BP197" s="4">
        <v>76440</v>
      </c>
      <c r="BQ197" s="4">
        <v>76030</v>
      </c>
      <c r="BR197" s="4">
        <v>71700</v>
      </c>
      <c r="BS197" s="4">
        <v>72000</v>
      </c>
      <c r="BT197" s="4">
        <v>74830</v>
      </c>
      <c r="BU197" s="4">
        <v>74240</v>
      </c>
      <c r="BV197" s="4">
        <v>72950</v>
      </c>
      <c r="BW197" s="4">
        <v>72900</v>
      </c>
      <c r="BX197" s="4">
        <v>73030</v>
      </c>
      <c r="BY197" s="4">
        <v>70580</v>
      </c>
      <c r="BZ197" s="4">
        <v>71630</v>
      </c>
    </row>
    <row r="198" spans="1:254" ht="15.9" customHeight="1">
      <c r="A198" s="61" t="s">
        <v>388</v>
      </c>
      <c r="B198" s="6" t="s">
        <v>389</v>
      </c>
      <c r="C198" s="15">
        <f>_xll.RssMarket("8035","現在値")</f>
        <v>55330</v>
      </c>
      <c r="D198" s="16">
        <f t="shared" si="6"/>
        <v>0</v>
      </c>
      <c r="E198" s="13">
        <v>55330</v>
      </c>
      <c r="F198" s="13">
        <v>58550</v>
      </c>
      <c r="G198" s="13">
        <v>56700</v>
      </c>
      <c r="H198" s="13">
        <v>54990</v>
      </c>
      <c r="I198" s="13">
        <v>55500</v>
      </c>
      <c r="J198" s="13">
        <v>52240</v>
      </c>
      <c r="K198" s="13">
        <v>50000</v>
      </c>
      <c r="L198" s="13">
        <v>55920</v>
      </c>
      <c r="M198" s="13">
        <v>62800</v>
      </c>
      <c r="N198" s="13">
        <v>62660</v>
      </c>
      <c r="O198" s="13">
        <v>65950</v>
      </c>
      <c r="P198" s="13">
        <v>65960</v>
      </c>
      <c r="Q198" s="13">
        <v>66570</v>
      </c>
      <c r="R198" s="13">
        <v>65100</v>
      </c>
      <c r="S198" s="13">
        <v>74240</v>
      </c>
      <c r="T198" s="13">
        <v>71130</v>
      </c>
      <c r="U198" s="13">
        <v>71300</v>
      </c>
      <c r="V198" s="13">
        <v>72940</v>
      </c>
      <c r="W198" s="13">
        <v>71060</v>
      </c>
      <c r="X198" s="13">
        <v>67350</v>
      </c>
      <c r="Y198" s="13">
        <v>69470</v>
      </c>
      <c r="Z198" s="13">
        <v>72320</v>
      </c>
      <c r="AA198" s="13">
        <v>73200</v>
      </c>
      <c r="AB198" s="13">
        <v>72940</v>
      </c>
      <c r="AC198" s="13">
        <v>78800</v>
      </c>
      <c r="AD198" s="13">
        <v>77150</v>
      </c>
      <c r="AE198" s="13">
        <v>74700</v>
      </c>
      <c r="AF198" s="13">
        <v>72920</v>
      </c>
      <c r="AG198" s="13">
        <v>75340</v>
      </c>
      <c r="AH198" s="13">
        <v>69900</v>
      </c>
      <c r="AI198" s="13">
        <v>72960</v>
      </c>
      <c r="AJ198" s="13">
        <v>77800</v>
      </c>
      <c r="AK198" s="13">
        <v>75360</v>
      </c>
      <c r="AL198" s="13">
        <v>76080</v>
      </c>
      <c r="AM198" s="13">
        <v>72640</v>
      </c>
      <c r="AN198" s="13">
        <v>70860</v>
      </c>
      <c r="AO198" s="13">
        <v>72760</v>
      </c>
      <c r="AP198" s="13">
        <v>68000</v>
      </c>
      <c r="AQ198" s="13">
        <v>63400</v>
      </c>
      <c r="AR198" s="13">
        <v>61830</v>
      </c>
      <c r="AS198" s="13">
        <v>55020</v>
      </c>
      <c r="AT198" s="13">
        <v>59450</v>
      </c>
      <c r="AU198" s="13">
        <v>63660</v>
      </c>
      <c r="AV198" s="13">
        <v>60900</v>
      </c>
      <c r="AW198" s="13">
        <v>53710</v>
      </c>
      <c r="AX198" s="13">
        <v>52420</v>
      </c>
      <c r="AY198" s="13">
        <v>52320</v>
      </c>
      <c r="AZ198" s="13">
        <v>52500</v>
      </c>
      <c r="BA198" s="13">
        <v>52180</v>
      </c>
      <c r="BB198" s="13">
        <v>49830</v>
      </c>
      <c r="BC198" s="13">
        <v>48800</v>
      </c>
      <c r="BD198" s="13">
        <v>46100</v>
      </c>
      <c r="BE198" s="13">
        <v>47160</v>
      </c>
      <c r="BF198" s="13">
        <v>49260</v>
      </c>
      <c r="BG198" s="13">
        <v>50290</v>
      </c>
      <c r="BH198" s="13">
        <v>51200</v>
      </c>
      <c r="BI198" s="13">
        <v>51340</v>
      </c>
      <c r="BJ198" s="13">
        <v>52160</v>
      </c>
      <c r="BK198" s="13">
        <v>52080</v>
      </c>
      <c r="BL198" s="13">
        <v>52450</v>
      </c>
      <c r="BM198" s="4">
        <v>51720</v>
      </c>
      <c r="BN198" s="4">
        <v>47450</v>
      </c>
      <c r="BO198" s="4">
        <v>44390</v>
      </c>
      <c r="BP198" s="4">
        <v>45150</v>
      </c>
      <c r="BQ198" s="4">
        <v>47100</v>
      </c>
      <c r="BR198" s="4">
        <v>45850</v>
      </c>
      <c r="BS198" s="4">
        <v>45480</v>
      </c>
      <c r="BT198" s="4">
        <v>45500</v>
      </c>
      <c r="BU198" s="4">
        <v>45780</v>
      </c>
      <c r="BV198" s="4">
        <v>44250</v>
      </c>
      <c r="BW198" s="4">
        <v>44010</v>
      </c>
      <c r="BX198" s="4">
        <v>45820</v>
      </c>
      <c r="BY198" s="4">
        <v>43500</v>
      </c>
      <c r="BZ198" s="4">
        <v>43700</v>
      </c>
    </row>
    <row r="199" spans="1:254" ht="15.9" customHeight="1">
      <c r="A199" s="61" t="s">
        <v>390</v>
      </c>
      <c r="B199" s="6" t="s">
        <v>391</v>
      </c>
      <c r="C199" s="15">
        <f>_xll.RssMarket("6920","現在値")</f>
        <v>43330</v>
      </c>
      <c r="D199" s="16">
        <f t="shared" si="6"/>
        <v>0</v>
      </c>
      <c r="E199" s="13">
        <v>43330</v>
      </c>
      <c r="F199" s="13">
        <v>46680</v>
      </c>
      <c r="G199" s="13">
        <v>44100</v>
      </c>
      <c r="H199" s="13">
        <v>40910</v>
      </c>
      <c r="I199" s="13">
        <v>37910</v>
      </c>
      <c r="J199" s="13">
        <v>33620</v>
      </c>
      <c r="K199" s="13">
        <v>34330</v>
      </c>
      <c r="L199" s="13">
        <v>37440</v>
      </c>
      <c r="M199" s="13">
        <v>43560</v>
      </c>
      <c r="N199" s="13">
        <v>43170</v>
      </c>
      <c r="O199" s="13">
        <v>45130</v>
      </c>
      <c r="P199" s="13">
        <v>42990</v>
      </c>
      <c r="Q199" s="13">
        <v>42670</v>
      </c>
      <c r="R199" s="13">
        <v>41890</v>
      </c>
      <c r="S199" s="13">
        <v>49690</v>
      </c>
      <c r="T199" s="13">
        <v>45100</v>
      </c>
      <c r="U199" s="13">
        <v>44770</v>
      </c>
      <c r="V199" s="13">
        <v>44380</v>
      </c>
      <c r="W199" s="13">
        <v>43020</v>
      </c>
      <c r="X199" s="13">
        <v>42000</v>
      </c>
      <c r="Y199" s="13">
        <v>44050</v>
      </c>
      <c r="Z199" s="13">
        <v>47040</v>
      </c>
      <c r="AA199" s="13">
        <v>47650</v>
      </c>
      <c r="AB199" s="13">
        <v>47740</v>
      </c>
      <c r="AC199" s="13">
        <v>50790</v>
      </c>
      <c r="AD199" s="13">
        <v>49700</v>
      </c>
      <c r="AE199" s="13">
        <v>49200</v>
      </c>
      <c r="AF199" s="13">
        <v>50000</v>
      </c>
      <c r="AG199" s="13">
        <v>53180</v>
      </c>
      <c r="AH199" s="13">
        <v>50610</v>
      </c>
      <c r="AI199" s="13">
        <v>52000</v>
      </c>
      <c r="AJ199" s="13">
        <v>57490</v>
      </c>
      <c r="AK199" s="13">
        <v>55100</v>
      </c>
      <c r="AL199" s="13">
        <v>56450</v>
      </c>
      <c r="AM199" s="13">
        <v>52700</v>
      </c>
      <c r="AN199" s="13">
        <v>46570</v>
      </c>
      <c r="AO199" s="13">
        <v>48300</v>
      </c>
      <c r="AP199" s="13">
        <v>44000</v>
      </c>
      <c r="AQ199" s="13">
        <v>40200</v>
      </c>
      <c r="AR199" s="13">
        <v>40650</v>
      </c>
      <c r="AS199" s="13">
        <v>39100</v>
      </c>
      <c r="AT199" s="13">
        <v>42180</v>
      </c>
      <c r="AU199" s="13">
        <v>42750</v>
      </c>
      <c r="AV199" s="13">
        <v>41770</v>
      </c>
      <c r="AW199" s="13">
        <v>39250</v>
      </c>
      <c r="AX199" s="13">
        <v>40130</v>
      </c>
      <c r="AY199" s="13">
        <v>40110</v>
      </c>
      <c r="AZ199" s="13">
        <v>41530</v>
      </c>
      <c r="BA199" s="13">
        <v>43020</v>
      </c>
      <c r="BB199" s="13">
        <v>38130</v>
      </c>
      <c r="BC199" s="13">
        <v>38060</v>
      </c>
      <c r="BD199" s="13">
        <v>35650</v>
      </c>
      <c r="BE199" s="13">
        <v>36060</v>
      </c>
      <c r="BF199" s="13">
        <v>38190</v>
      </c>
      <c r="BG199" s="13">
        <v>38410</v>
      </c>
      <c r="BH199" s="13">
        <v>40560</v>
      </c>
      <c r="BI199" s="13">
        <v>42490</v>
      </c>
      <c r="BJ199" s="13">
        <v>43490</v>
      </c>
      <c r="BK199" s="13">
        <v>44110</v>
      </c>
      <c r="BL199" s="13">
        <v>43770</v>
      </c>
      <c r="BM199" s="4">
        <v>44920</v>
      </c>
      <c r="BN199" s="4">
        <v>42930</v>
      </c>
      <c r="BO199" s="4">
        <v>42690</v>
      </c>
      <c r="BP199" s="4">
        <v>44330</v>
      </c>
      <c r="BQ199" s="4">
        <v>45770</v>
      </c>
      <c r="BR199" s="4">
        <v>45060</v>
      </c>
      <c r="BS199" s="4">
        <v>43400</v>
      </c>
      <c r="BT199" s="4">
        <v>44800</v>
      </c>
      <c r="BU199" s="4">
        <v>44520</v>
      </c>
      <c r="BV199" s="4">
        <v>42120</v>
      </c>
      <c r="BW199" s="4">
        <v>39950</v>
      </c>
      <c r="BX199" s="4">
        <v>42020</v>
      </c>
      <c r="BY199" s="4">
        <v>41370</v>
      </c>
      <c r="BZ199" s="4">
        <v>42800</v>
      </c>
    </row>
    <row r="200" spans="1:254" ht="15.9" customHeight="1">
      <c r="A200" s="61" t="s">
        <v>392</v>
      </c>
      <c r="B200" s="6" t="s">
        <v>393</v>
      </c>
      <c r="C200" s="15">
        <f>_xll.RssMarket("5801","現在値")</f>
        <v>3909</v>
      </c>
      <c r="D200" s="16">
        <f t="shared" si="6"/>
        <v>0</v>
      </c>
      <c r="E200" s="13">
        <v>3909</v>
      </c>
      <c r="F200" s="13">
        <v>3919</v>
      </c>
      <c r="G200" s="13">
        <v>3566</v>
      </c>
      <c r="H200" s="13">
        <v>3200</v>
      </c>
      <c r="I200" s="13">
        <v>3145</v>
      </c>
      <c r="J200" s="13">
        <v>2777.5</v>
      </c>
      <c r="K200" s="13">
        <v>2772.5</v>
      </c>
      <c r="L200" s="13">
        <v>3008</v>
      </c>
      <c r="M200" s="13">
        <v>3277</v>
      </c>
      <c r="N200" s="13">
        <v>3388</v>
      </c>
      <c r="O200" s="13">
        <v>3513</v>
      </c>
      <c r="P200" s="13">
        <v>3525</v>
      </c>
      <c r="Q200" s="13">
        <v>3419</v>
      </c>
      <c r="R200" s="13">
        <v>3262</v>
      </c>
      <c r="S200" s="13">
        <v>3766</v>
      </c>
      <c r="T200" s="13">
        <v>3520</v>
      </c>
      <c r="U200" s="13">
        <v>3589</v>
      </c>
      <c r="V200" s="13">
        <v>3725</v>
      </c>
      <c r="W200" s="13">
        <v>3543</v>
      </c>
      <c r="X200" s="13">
        <v>3541</v>
      </c>
      <c r="Y200" s="13">
        <v>3674</v>
      </c>
      <c r="Z200" s="13">
        <v>3888</v>
      </c>
      <c r="AA200" s="13">
        <v>4000</v>
      </c>
      <c r="AB200" s="13">
        <v>3976</v>
      </c>
      <c r="AC200" s="13">
        <v>4351</v>
      </c>
      <c r="AD200" s="13">
        <v>4730</v>
      </c>
      <c r="AE200" s="13">
        <v>4419</v>
      </c>
      <c r="AF200" s="13">
        <v>4528</v>
      </c>
      <c r="AG200" s="13">
        <v>4992</v>
      </c>
      <c r="AH200" s="13">
        <v>4803</v>
      </c>
      <c r="AI200" s="13">
        <v>4900</v>
      </c>
      <c r="AJ200" s="13">
        <v>5800</v>
      </c>
      <c r="AK200" s="13">
        <v>5336</v>
      </c>
      <c r="AL200" s="13">
        <v>4636</v>
      </c>
      <c r="AM200" s="13">
        <v>4744</v>
      </c>
      <c r="AN200" s="13">
        <v>4613</v>
      </c>
      <c r="AO200" s="13">
        <v>4397</v>
      </c>
      <c r="AP200" s="13">
        <v>4209</v>
      </c>
      <c r="AQ200" s="13">
        <v>4078</v>
      </c>
      <c r="AR200" s="13">
        <v>4104</v>
      </c>
      <c r="AS200" s="13">
        <v>4526</v>
      </c>
      <c r="AT200" s="13">
        <v>4905</v>
      </c>
      <c r="AU200" s="13">
        <v>5110</v>
      </c>
      <c r="AV200" s="13">
        <v>5310</v>
      </c>
      <c r="AW200" s="13">
        <v>5091</v>
      </c>
      <c r="AX200" s="13">
        <v>5206</v>
      </c>
      <c r="AY200" s="13">
        <v>5200</v>
      </c>
      <c r="AZ200" s="13">
        <v>5611</v>
      </c>
      <c r="BA200" s="13">
        <v>5808</v>
      </c>
      <c r="BB200" s="13">
        <v>5365</v>
      </c>
      <c r="BC200" s="13">
        <v>4928</v>
      </c>
      <c r="BD200" s="13">
        <v>5086</v>
      </c>
      <c r="BE200" s="13">
        <v>5025</v>
      </c>
      <c r="BF200" s="13">
        <v>5484</v>
      </c>
      <c r="BG200" s="13">
        <v>5448</v>
      </c>
      <c r="BH200" s="13">
        <v>5722</v>
      </c>
      <c r="BI200" s="13">
        <v>5813</v>
      </c>
      <c r="BJ200" s="13">
        <v>5043</v>
      </c>
      <c r="BK200" s="13">
        <v>4343</v>
      </c>
      <c r="BL200" s="13">
        <v>4487</v>
      </c>
      <c r="BM200" s="4">
        <v>4630</v>
      </c>
      <c r="BN200" s="4">
        <v>4119</v>
      </c>
      <c r="BO200" s="4">
        <v>4237</v>
      </c>
      <c r="BP200" s="4">
        <v>4290</v>
      </c>
      <c r="BQ200" s="4">
        <v>4262</v>
      </c>
      <c r="BR200" s="4">
        <v>4295</v>
      </c>
      <c r="BS200" s="4">
        <v>4253</v>
      </c>
      <c r="BT200" s="4">
        <v>4405</v>
      </c>
      <c r="BU200" s="4">
        <v>4426</v>
      </c>
      <c r="BV200" s="4">
        <v>4307</v>
      </c>
      <c r="BW200" s="4">
        <v>4496</v>
      </c>
      <c r="BX200" s="4">
        <v>4572</v>
      </c>
      <c r="BY200" s="4">
        <v>4424</v>
      </c>
      <c r="BZ200" s="4">
        <v>4688</v>
      </c>
    </row>
    <row r="201" spans="1:254" ht="15.9" customHeight="1">
      <c r="A201" s="61" t="s">
        <v>394</v>
      </c>
      <c r="B201" s="6" t="s">
        <v>395</v>
      </c>
      <c r="C201" s="15">
        <f>_xll.RssMarket("6506","現在値")</f>
        <v>5255</v>
      </c>
      <c r="D201" s="16">
        <f t="shared" si="6"/>
        <v>0</v>
      </c>
      <c r="E201" s="13">
        <v>5255</v>
      </c>
      <c r="F201" s="13">
        <v>5382</v>
      </c>
      <c r="G201" s="13">
        <v>5133</v>
      </c>
      <c r="H201" s="13">
        <v>4935</v>
      </c>
      <c r="I201" s="13">
        <v>4867</v>
      </c>
      <c r="J201" s="13">
        <v>4544</v>
      </c>
      <c r="K201" s="13">
        <v>4629</v>
      </c>
      <c r="L201" s="13">
        <v>4756</v>
      </c>
      <c r="M201" s="13">
        <v>5257</v>
      </c>
      <c r="N201" s="13">
        <v>5117</v>
      </c>
      <c r="O201" s="13">
        <v>5335</v>
      </c>
      <c r="P201" s="13">
        <v>5213</v>
      </c>
      <c r="Q201" s="13">
        <v>5119</v>
      </c>
      <c r="R201" s="13">
        <v>5116</v>
      </c>
      <c r="S201" s="13">
        <v>5490</v>
      </c>
      <c r="T201" s="13">
        <v>5436</v>
      </c>
      <c r="U201" s="13">
        <v>5972</v>
      </c>
      <c r="V201" s="13">
        <v>6972</v>
      </c>
      <c r="W201" s="13">
        <v>6816</v>
      </c>
      <c r="X201" s="13">
        <v>6636</v>
      </c>
      <c r="Y201" s="13">
        <v>6900</v>
      </c>
      <c r="Z201" s="13">
        <v>7449</v>
      </c>
      <c r="AA201" s="13">
        <v>7479</v>
      </c>
      <c r="AB201" s="13">
        <v>6942</v>
      </c>
      <c r="AC201" s="13">
        <v>7302</v>
      </c>
      <c r="AD201" s="13">
        <v>7027</v>
      </c>
      <c r="AE201" s="13">
        <v>6902</v>
      </c>
      <c r="AF201" s="13">
        <v>6810</v>
      </c>
      <c r="AG201" s="13">
        <v>7223</v>
      </c>
      <c r="AH201" s="13">
        <v>7071</v>
      </c>
      <c r="AI201" s="13">
        <v>7156</v>
      </c>
      <c r="AJ201" s="13">
        <v>7655</v>
      </c>
      <c r="AK201" s="13">
        <v>7128</v>
      </c>
      <c r="AL201" s="13">
        <v>7253</v>
      </c>
      <c r="AM201" s="13">
        <v>7046</v>
      </c>
      <c r="AN201" s="13">
        <v>6845</v>
      </c>
      <c r="AO201" s="13">
        <v>6655</v>
      </c>
      <c r="AP201" s="13">
        <v>6335</v>
      </c>
      <c r="AQ201" s="13">
        <v>6016</v>
      </c>
      <c r="AR201" s="13">
        <v>5988</v>
      </c>
      <c r="AS201" s="13">
        <v>6425</v>
      </c>
      <c r="AT201" s="13">
        <v>6862</v>
      </c>
      <c r="AU201" s="13">
        <v>6942</v>
      </c>
      <c r="AV201" s="13">
        <v>7152</v>
      </c>
      <c r="AW201" s="13">
        <v>6622</v>
      </c>
      <c r="AX201" s="13">
        <v>7208</v>
      </c>
      <c r="AY201" s="13">
        <v>7136</v>
      </c>
      <c r="AZ201" s="13">
        <v>7107</v>
      </c>
      <c r="BA201" s="13">
        <v>7481</v>
      </c>
      <c r="BB201" s="13">
        <v>7052</v>
      </c>
      <c r="BC201" s="13">
        <v>6698</v>
      </c>
      <c r="BD201" s="13">
        <v>6076</v>
      </c>
      <c r="BE201" s="13">
        <v>6338</v>
      </c>
      <c r="BF201" s="13">
        <v>6682</v>
      </c>
      <c r="BG201" s="13">
        <v>6987</v>
      </c>
      <c r="BH201" s="13">
        <v>7006</v>
      </c>
      <c r="BI201" s="13">
        <v>6980</v>
      </c>
      <c r="BJ201" s="13">
        <v>6970</v>
      </c>
      <c r="BK201" s="13">
        <v>6574</v>
      </c>
      <c r="BL201" s="13">
        <v>6367</v>
      </c>
      <c r="BM201" s="4">
        <v>5973</v>
      </c>
      <c r="BN201" s="4">
        <v>5521</v>
      </c>
      <c r="BO201" s="4">
        <v>5520</v>
      </c>
      <c r="BP201" s="4">
        <v>5381</v>
      </c>
      <c r="BQ201" s="4">
        <v>5462</v>
      </c>
      <c r="BR201" s="4">
        <v>5150</v>
      </c>
      <c r="BS201" s="4">
        <v>5151</v>
      </c>
      <c r="BT201" s="4">
        <v>5356</v>
      </c>
      <c r="BU201" s="4">
        <v>5495</v>
      </c>
      <c r="BV201" s="4">
        <v>5420</v>
      </c>
      <c r="BW201" s="4">
        <v>5187</v>
      </c>
      <c r="BX201" s="4">
        <v>5288</v>
      </c>
      <c r="BY201" s="4">
        <v>5277</v>
      </c>
      <c r="BZ201" s="4">
        <v>5151</v>
      </c>
    </row>
    <row r="202" spans="1:254" ht="15.9" customHeight="1">
      <c r="A202" s="61" t="s">
        <v>396</v>
      </c>
      <c r="B202" s="6" t="s">
        <v>397</v>
      </c>
      <c r="C202" s="15">
        <f>_xll.RssMarket("2768","現在値")</f>
        <v>5540</v>
      </c>
      <c r="D202" s="16">
        <f t="shared" si="6"/>
        <v>0</v>
      </c>
      <c r="E202" s="13">
        <v>5540</v>
      </c>
      <c r="F202" s="13">
        <v>5387</v>
      </c>
      <c r="G202" s="13">
        <v>5232</v>
      </c>
      <c r="H202" s="13">
        <v>5193</v>
      </c>
      <c r="I202" s="13">
        <v>5381</v>
      </c>
      <c r="J202" s="13">
        <v>5345</v>
      </c>
      <c r="K202" s="13">
        <v>5338</v>
      </c>
      <c r="L202" s="13">
        <v>5359</v>
      </c>
      <c r="M202" s="13">
        <v>5446</v>
      </c>
      <c r="N202" s="13">
        <v>5390</v>
      </c>
      <c r="O202" s="13">
        <v>5470</v>
      </c>
      <c r="P202" s="13">
        <v>5389</v>
      </c>
      <c r="Q202" s="13">
        <v>5277</v>
      </c>
      <c r="R202" s="13">
        <v>5072</v>
      </c>
      <c r="S202" s="13">
        <v>5220</v>
      </c>
      <c r="T202" s="13">
        <v>5120</v>
      </c>
      <c r="U202" s="13">
        <v>5054</v>
      </c>
      <c r="V202" s="13">
        <v>5100</v>
      </c>
      <c r="W202" s="13">
        <v>5147</v>
      </c>
      <c r="X202" s="13">
        <v>5199</v>
      </c>
      <c r="Y202" s="13">
        <v>5240</v>
      </c>
      <c r="Z202" s="13">
        <v>5326</v>
      </c>
      <c r="AA202" s="13">
        <v>5227</v>
      </c>
      <c r="AB202" s="13">
        <v>5206</v>
      </c>
      <c r="AC202" s="13">
        <v>5159</v>
      </c>
      <c r="AD202" s="13">
        <v>5171</v>
      </c>
      <c r="AE202" s="13">
        <v>5225</v>
      </c>
      <c r="AF202" s="13">
        <v>5283</v>
      </c>
      <c r="AG202" s="13">
        <v>5235</v>
      </c>
      <c r="AH202" s="13">
        <v>5187</v>
      </c>
      <c r="AI202" s="13">
        <v>5187</v>
      </c>
      <c r="AJ202" s="13">
        <v>5296</v>
      </c>
      <c r="AK202" s="13">
        <v>5297</v>
      </c>
      <c r="AL202" s="13">
        <v>5352</v>
      </c>
      <c r="AM202" s="13">
        <v>5296</v>
      </c>
      <c r="AN202" s="13">
        <v>5291</v>
      </c>
      <c r="AO202" s="13">
        <v>5316</v>
      </c>
      <c r="AP202" s="13">
        <v>5081</v>
      </c>
      <c r="AQ202" s="13">
        <v>5028</v>
      </c>
      <c r="AR202" s="13">
        <v>5089</v>
      </c>
      <c r="AS202" s="13">
        <v>5092</v>
      </c>
      <c r="AT202" s="13">
        <v>5191</v>
      </c>
      <c r="AU202" s="13">
        <v>5155</v>
      </c>
      <c r="AV202" s="13">
        <v>5157</v>
      </c>
      <c r="AW202" s="13">
        <v>5121</v>
      </c>
      <c r="AX202" s="13">
        <v>5391</v>
      </c>
      <c r="AY202" s="13">
        <v>5427</v>
      </c>
      <c r="AZ202" s="13">
        <v>5510</v>
      </c>
      <c r="BA202" s="13">
        <v>5594</v>
      </c>
      <c r="BB202" s="13">
        <v>5550</v>
      </c>
      <c r="BC202" s="13">
        <v>5564</v>
      </c>
      <c r="BD202" s="13">
        <v>5533</v>
      </c>
      <c r="BE202" s="13">
        <v>5709</v>
      </c>
      <c r="BF202" s="13">
        <v>5696</v>
      </c>
      <c r="BG202" s="13">
        <v>5914</v>
      </c>
      <c r="BH202" s="13">
        <v>5863</v>
      </c>
      <c r="BI202" s="13">
        <v>5926</v>
      </c>
      <c r="BJ202" s="13">
        <v>5855</v>
      </c>
      <c r="BK202" s="13">
        <v>5726</v>
      </c>
      <c r="BL202" s="13">
        <v>5690</v>
      </c>
      <c r="BM202" s="4">
        <v>5909</v>
      </c>
      <c r="BN202" s="4">
        <v>6218</v>
      </c>
      <c r="BO202" s="4">
        <v>5860</v>
      </c>
      <c r="BP202" s="4">
        <v>5971</v>
      </c>
      <c r="BQ202" s="4">
        <v>5825</v>
      </c>
      <c r="BR202" s="4">
        <v>5914</v>
      </c>
      <c r="BS202" s="4">
        <v>5885</v>
      </c>
      <c r="BT202" s="4">
        <v>5902</v>
      </c>
      <c r="BU202" s="4">
        <v>6070</v>
      </c>
      <c r="BV202" s="4">
        <v>6043</v>
      </c>
      <c r="BW202" s="4">
        <v>6091</v>
      </c>
      <c r="BX202" s="4">
        <v>6254</v>
      </c>
      <c r="BY202" s="4">
        <v>6146</v>
      </c>
      <c r="BZ202" s="4">
        <v>6235</v>
      </c>
    </row>
    <row r="203" spans="1:254" ht="15.9" customHeight="1">
      <c r="A203" s="61" t="s">
        <v>398</v>
      </c>
      <c r="B203" s="6" t="s">
        <v>399</v>
      </c>
      <c r="C203" s="15">
        <f>_xll.RssMarket("6305","現在値")</f>
        <v>5637</v>
      </c>
      <c r="D203" s="16">
        <f t="shared" si="6"/>
        <v>0</v>
      </c>
      <c r="E203" s="13">
        <v>5637</v>
      </c>
      <c r="F203" s="13">
        <v>5481</v>
      </c>
      <c r="G203" s="13">
        <v>5305</v>
      </c>
      <c r="H203" s="13">
        <v>5244</v>
      </c>
      <c r="I203" s="13">
        <v>5394</v>
      </c>
      <c r="J203" s="13">
        <v>5598</v>
      </c>
      <c r="K203" s="13">
        <v>5613</v>
      </c>
      <c r="L203" s="13">
        <v>5438</v>
      </c>
      <c r="M203" s="13">
        <v>5680</v>
      </c>
      <c r="N203" s="13">
        <v>5352</v>
      </c>
      <c r="O203" s="13">
        <v>5415</v>
      </c>
      <c r="P203" s="13">
        <v>5294</v>
      </c>
      <c r="Q203" s="13">
        <v>5207</v>
      </c>
      <c r="R203" s="13">
        <v>5114</v>
      </c>
      <c r="S203" s="13">
        <v>5249</v>
      </c>
      <c r="T203" s="13">
        <v>5229</v>
      </c>
      <c r="U203" s="13">
        <v>5181</v>
      </c>
      <c r="V203" s="13">
        <v>5247</v>
      </c>
      <c r="W203" s="13">
        <v>5228</v>
      </c>
      <c r="X203" s="13">
        <v>5293</v>
      </c>
      <c r="Y203" s="13">
        <v>5405</v>
      </c>
      <c r="Z203" s="13">
        <v>5453</v>
      </c>
      <c r="AA203" s="13">
        <v>5352</v>
      </c>
      <c r="AB203" s="13">
        <v>5206</v>
      </c>
      <c r="AC203" s="13">
        <v>5206</v>
      </c>
      <c r="AD203" s="13">
        <v>5254</v>
      </c>
      <c r="AE203" s="13">
        <v>5271</v>
      </c>
      <c r="AF203" s="13">
        <v>5347</v>
      </c>
      <c r="AG203" s="13">
        <v>5281</v>
      </c>
      <c r="AH203" s="13">
        <v>5287</v>
      </c>
      <c r="AI203" s="13">
        <v>5330</v>
      </c>
      <c r="AJ203" s="13">
        <v>5414</v>
      </c>
      <c r="AK203" s="13">
        <v>5408</v>
      </c>
      <c r="AL203" s="13">
        <v>5439</v>
      </c>
      <c r="AM203" s="13">
        <v>5417</v>
      </c>
      <c r="AN203" s="13">
        <v>5419</v>
      </c>
      <c r="AO203" s="13">
        <v>5559</v>
      </c>
      <c r="AP203" s="13">
        <v>5303</v>
      </c>
      <c r="AQ203" s="13">
        <v>5150</v>
      </c>
      <c r="AR203" s="13">
        <v>5267</v>
      </c>
      <c r="AS203" s="13">
        <v>5247</v>
      </c>
      <c r="AT203" s="13">
        <v>5415</v>
      </c>
      <c r="AU203" s="13">
        <v>5339</v>
      </c>
      <c r="AV203" s="13">
        <v>5385</v>
      </c>
      <c r="AW203" s="13">
        <v>5094</v>
      </c>
      <c r="AX203" s="13">
        <v>5199</v>
      </c>
      <c r="AY203" s="13">
        <v>5228</v>
      </c>
      <c r="AZ203" s="13">
        <v>5222</v>
      </c>
      <c r="BA203" s="13">
        <v>5049</v>
      </c>
      <c r="BB203" s="13">
        <v>4982</v>
      </c>
      <c r="BC203" s="13">
        <v>4987</v>
      </c>
      <c r="BD203" s="13">
        <v>4912</v>
      </c>
      <c r="BE203" s="13">
        <v>5056</v>
      </c>
      <c r="BF203" s="13">
        <v>5052</v>
      </c>
      <c r="BG203" s="13">
        <v>5226</v>
      </c>
      <c r="BH203" s="13">
        <v>5301</v>
      </c>
      <c r="BI203" s="13">
        <v>5290</v>
      </c>
      <c r="BJ203" s="13">
        <v>5443</v>
      </c>
      <c r="BK203" s="13">
        <v>5674</v>
      </c>
      <c r="BL203" s="13">
        <v>5679</v>
      </c>
      <c r="BM203" s="4">
        <v>5521</v>
      </c>
      <c r="BN203" s="4">
        <v>5541</v>
      </c>
      <c r="BO203" s="4">
        <v>5472</v>
      </c>
      <c r="BP203" s="4">
        <v>5644</v>
      </c>
      <c r="BQ203" s="4">
        <v>5432</v>
      </c>
      <c r="BR203" s="4">
        <v>5443</v>
      </c>
      <c r="BS203" s="4">
        <v>5490</v>
      </c>
      <c r="BT203" s="4">
        <v>5388</v>
      </c>
      <c r="BU203" s="4">
        <v>5497</v>
      </c>
      <c r="BV203" s="4">
        <v>5430</v>
      </c>
      <c r="BW203" s="4">
        <v>5365</v>
      </c>
      <c r="BX203" s="4">
        <v>5550</v>
      </c>
      <c r="BY203" s="4">
        <v>5683</v>
      </c>
      <c r="BZ203" s="4">
        <v>5640</v>
      </c>
    </row>
    <row r="204" spans="1:254" ht="15.9" customHeight="1">
      <c r="A204" s="61" t="s">
        <v>400</v>
      </c>
      <c r="B204" s="6" t="s">
        <v>401</v>
      </c>
      <c r="C204" s="15">
        <f>_xll.RssMarket("8015","現在値")</f>
        <v>7460</v>
      </c>
      <c r="D204" s="16">
        <f t="shared" si="6"/>
        <v>0</v>
      </c>
      <c r="E204" s="13">
        <v>7460</v>
      </c>
      <c r="F204" s="13">
        <v>7243</v>
      </c>
      <c r="G204" s="13">
        <v>6804</v>
      </c>
      <c r="H204" s="13">
        <v>6669</v>
      </c>
      <c r="I204" s="13">
        <v>6722</v>
      </c>
      <c r="J204" s="13">
        <v>6625</v>
      </c>
      <c r="K204" s="13">
        <v>6577</v>
      </c>
      <c r="L204" s="13">
        <v>6465</v>
      </c>
      <c r="M204" s="13">
        <v>6558</v>
      </c>
      <c r="N204" s="13">
        <v>6425</v>
      </c>
      <c r="O204" s="13">
        <v>6594</v>
      </c>
      <c r="P204" s="13">
        <v>6454</v>
      </c>
      <c r="Q204" s="13">
        <v>6504</v>
      </c>
      <c r="R204" s="13">
        <v>6076</v>
      </c>
      <c r="S204" s="13">
        <v>6223</v>
      </c>
      <c r="T204" s="13">
        <v>6065</v>
      </c>
      <c r="U204" s="13">
        <v>6054</v>
      </c>
      <c r="V204" s="13">
        <v>6034</v>
      </c>
      <c r="W204" s="13">
        <v>6110</v>
      </c>
      <c r="X204" s="13">
        <v>6142</v>
      </c>
      <c r="Y204" s="13">
        <v>6276</v>
      </c>
      <c r="Z204" s="13">
        <v>6286</v>
      </c>
      <c r="AA204" s="13">
        <v>6216</v>
      </c>
      <c r="AB204" s="13">
        <v>6107</v>
      </c>
      <c r="AC204" s="13">
        <v>6015</v>
      </c>
      <c r="AD204" s="13">
        <v>5978</v>
      </c>
      <c r="AE204" s="13">
        <v>5964</v>
      </c>
      <c r="AF204" s="13">
        <v>5958</v>
      </c>
      <c r="AG204" s="13">
        <v>6000</v>
      </c>
      <c r="AH204" s="13">
        <v>6081</v>
      </c>
      <c r="AI204" s="13">
        <v>6130</v>
      </c>
      <c r="AJ204" s="13">
        <v>6171</v>
      </c>
      <c r="AK204" s="13">
        <v>6191</v>
      </c>
      <c r="AL204" s="13">
        <v>6217</v>
      </c>
      <c r="AM204" s="13">
        <v>6344</v>
      </c>
      <c r="AN204" s="13">
        <v>6416</v>
      </c>
      <c r="AO204" s="13">
        <v>6505</v>
      </c>
      <c r="AP204" s="13">
        <v>6174</v>
      </c>
      <c r="AQ204" s="13">
        <v>5969</v>
      </c>
      <c r="AR204" s="13">
        <v>6092</v>
      </c>
      <c r="AS204" s="13">
        <v>6165</v>
      </c>
      <c r="AT204" s="13">
        <v>6456</v>
      </c>
      <c r="AU204" s="13">
        <v>6436</v>
      </c>
      <c r="AV204" s="13">
        <v>6500</v>
      </c>
      <c r="AW204" s="13">
        <v>6467</v>
      </c>
      <c r="AX204" s="13">
        <v>6930</v>
      </c>
      <c r="AY204" s="13">
        <v>6729</v>
      </c>
      <c r="AZ204" s="13">
        <v>6841</v>
      </c>
      <c r="BA204" s="13">
        <v>7096</v>
      </c>
      <c r="BB204" s="13">
        <v>6974</v>
      </c>
      <c r="BC204" s="13">
        <v>6811</v>
      </c>
      <c r="BD204" s="13">
        <v>6763</v>
      </c>
      <c r="BE204" s="13">
        <v>7056</v>
      </c>
      <c r="BF204" s="13">
        <v>7064</v>
      </c>
      <c r="BG204" s="13">
        <v>7387</v>
      </c>
      <c r="BH204" s="13">
        <v>7370</v>
      </c>
      <c r="BI204" s="13">
        <v>7397</v>
      </c>
      <c r="BJ204" s="13">
        <v>7130</v>
      </c>
      <c r="BK204" s="13">
        <v>6991</v>
      </c>
      <c r="BL204" s="13">
        <v>6743</v>
      </c>
      <c r="BM204" s="4">
        <v>6840</v>
      </c>
      <c r="BN204" s="4">
        <v>6868</v>
      </c>
      <c r="BO204" s="4">
        <v>6101</v>
      </c>
      <c r="BP204" s="4">
        <v>6379</v>
      </c>
      <c r="BQ204" s="4">
        <v>6205</v>
      </c>
      <c r="BR204" s="4">
        <v>6124</v>
      </c>
      <c r="BS204" s="4">
        <v>6154</v>
      </c>
      <c r="BT204" s="4">
        <v>6177</v>
      </c>
      <c r="BU204" s="4">
        <v>6315</v>
      </c>
      <c r="BV204" s="4">
        <v>6284</v>
      </c>
      <c r="BW204" s="4">
        <v>6241</v>
      </c>
      <c r="BX204" s="4">
        <v>6332</v>
      </c>
      <c r="BY204" s="4">
        <v>6255</v>
      </c>
      <c r="BZ204" s="4">
        <v>6386</v>
      </c>
    </row>
    <row r="205" spans="1:254">
      <c r="A205" s="62" t="s">
        <v>402</v>
      </c>
      <c r="B205" s="4" t="s">
        <v>403</v>
      </c>
      <c r="C205" s="55">
        <f>_xll.RssMarket("6758","現在値")</f>
        <v>3626</v>
      </c>
      <c r="D205" s="56">
        <f t="shared" si="6"/>
        <v>0</v>
      </c>
      <c r="E205" s="67">
        <v>3626</v>
      </c>
      <c r="F205" s="67">
        <v>3565</v>
      </c>
      <c r="G205" s="67"/>
      <c r="H205" s="67"/>
      <c r="I205" s="67"/>
      <c r="J205" s="67"/>
      <c r="K205" s="67"/>
      <c r="L205" s="67"/>
      <c r="M205" s="67"/>
      <c r="N205" s="67"/>
      <c r="O205" s="67"/>
      <c r="P205" s="67"/>
      <c r="Q205" s="67"/>
      <c r="R205" s="67"/>
      <c r="S205" s="67"/>
      <c r="T205" s="67"/>
      <c r="U205" s="67"/>
      <c r="V205" s="67"/>
      <c r="W205" s="67"/>
      <c r="X205" s="67"/>
      <c r="Y205" s="67"/>
      <c r="Z205" s="67"/>
      <c r="AA205" s="67"/>
      <c r="AB205" s="67"/>
      <c r="AC205" s="67"/>
      <c r="AD205" s="67"/>
      <c r="AE205" s="67"/>
      <c r="AF205" s="67"/>
      <c r="AG205" s="67"/>
      <c r="AH205" s="67"/>
      <c r="AI205" s="67"/>
      <c r="AJ205" s="67"/>
      <c r="AK205" s="67"/>
      <c r="AL205" s="67"/>
      <c r="AM205" s="67"/>
      <c r="AN205" s="67"/>
      <c r="AO205" s="67"/>
      <c r="AP205" s="67"/>
      <c r="AQ205" s="67"/>
      <c r="AR205" s="67"/>
      <c r="AS205" s="67"/>
      <c r="AT205" s="67"/>
      <c r="AU205" s="67"/>
      <c r="AV205" s="67"/>
      <c r="AW205" s="67"/>
      <c r="AX205" s="67"/>
      <c r="AY205" s="67"/>
      <c r="AZ205" s="67"/>
      <c r="BA205" s="67"/>
      <c r="BB205" s="67"/>
      <c r="BC205" s="67"/>
      <c r="BD205" s="67"/>
      <c r="BE205" s="67"/>
      <c r="BF205" s="67"/>
      <c r="BG205" s="67"/>
      <c r="BH205" s="67"/>
      <c r="BI205" s="67"/>
      <c r="BJ205" s="67"/>
      <c r="BK205" s="67"/>
      <c r="BL205" s="67"/>
    </row>
    <row r="206" spans="1:254">
      <c r="A206" s="62" t="s">
        <v>404</v>
      </c>
      <c r="B206" s="4" t="s">
        <v>405</v>
      </c>
      <c r="C206" s="55">
        <f>_xll.RssMarket("9101","現在値")</f>
        <v>5931</v>
      </c>
      <c r="D206" s="56">
        <f t="shared" si="6"/>
        <v>0</v>
      </c>
      <c r="E206" s="67">
        <v>5931</v>
      </c>
      <c r="F206" s="67">
        <v>5798</v>
      </c>
      <c r="G206" s="67">
        <v>6019</v>
      </c>
      <c r="H206" s="67">
        <v>6042</v>
      </c>
      <c r="I206" s="67">
        <v>6110</v>
      </c>
      <c r="J206" s="67">
        <v>6101</v>
      </c>
      <c r="K206" s="67">
        <v>6141</v>
      </c>
      <c r="L206" s="67">
        <v>6020</v>
      </c>
      <c r="M206" s="67">
        <v>6076</v>
      </c>
      <c r="N206" s="67">
        <v>5946</v>
      </c>
      <c r="O206" s="67">
        <v>5817</v>
      </c>
      <c r="P206" s="67">
        <v>5818</v>
      </c>
      <c r="Q206" s="67">
        <v>5746</v>
      </c>
      <c r="R206" s="67">
        <v>5706</v>
      </c>
      <c r="S206" s="67">
        <v>5614</v>
      </c>
      <c r="T206" s="67">
        <v>5506</v>
      </c>
      <c r="U206" s="67">
        <v>5319</v>
      </c>
      <c r="V206" s="67">
        <v>5286</v>
      </c>
      <c r="W206" s="67">
        <v>5421</v>
      </c>
      <c r="X206" s="67">
        <v>5356</v>
      </c>
      <c r="Y206" s="67">
        <v>5253</v>
      </c>
      <c r="Z206" s="67">
        <v>5370</v>
      </c>
      <c r="AA206" s="67">
        <v>5211</v>
      </c>
      <c r="AB206" s="67">
        <v>5183</v>
      </c>
      <c r="AC206" s="67">
        <v>5080</v>
      </c>
      <c r="AD206" s="67">
        <v>5216</v>
      </c>
      <c r="AE206" s="67">
        <v>5198</v>
      </c>
      <c r="AF206" s="67">
        <v>5265</v>
      </c>
      <c r="AG206" s="67">
        <v>5271</v>
      </c>
      <c r="AH206" s="67">
        <v>5352</v>
      </c>
      <c r="AI206" s="67">
        <v>5272</v>
      </c>
      <c r="AJ206" s="67">
        <v>5203</v>
      </c>
      <c r="AK206" s="67">
        <v>5152</v>
      </c>
      <c r="AL206" s="67">
        <v>5270</v>
      </c>
      <c r="AM206" s="67">
        <v>5348</v>
      </c>
      <c r="AN206" s="67">
        <v>5466</v>
      </c>
      <c r="AO206" s="67">
        <v>5524</v>
      </c>
      <c r="AP206" s="67">
        <v>5630</v>
      </c>
      <c r="AQ206" s="67">
        <v>5660</v>
      </c>
      <c r="AR206" s="67">
        <v>5566</v>
      </c>
      <c r="AS206" s="67">
        <v>5646</v>
      </c>
      <c r="AT206" s="67">
        <v>5609</v>
      </c>
      <c r="AU206" s="67">
        <v>5438</v>
      </c>
      <c r="AV206" s="67">
        <v>5362</v>
      </c>
      <c r="AW206" s="67">
        <v>5319</v>
      </c>
      <c r="AX206" s="67">
        <v>5313</v>
      </c>
      <c r="AY206" s="67">
        <v>5322</v>
      </c>
      <c r="AZ206" s="67">
        <v>5230</v>
      </c>
      <c r="BA206" s="67">
        <v>5321</v>
      </c>
      <c r="BB206" s="67">
        <v>5391</v>
      </c>
      <c r="BC206" s="67">
        <v>5498</v>
      </c>
      <c r="BD206" s="67">
        <v>5610</v>
      </c>
      <c r="BE206" s="67">
        <v>5619</v>
      </c>
      <c r="BF206" s="67">
        <v>5558</v>
      </c>
      <c r="BG206" s="67">
        <v>5498</v>
      </c>
      <c r="BH206" s="67">
        <v>5446</v>
      </c>
      <c r="BI206" s="67">
        <v>5358</v>
      </c>
      <c r="BJ206" s="67">
        <v>5301</v>
      </c>
      <c r="BK206" s="67">
        <v>5471</v>
      </c>
      <c r="BL206" s="67">
        <v>5571</v>
      </c>
      <c r="BM206" s="4">
        <v>5660</v>
      </c>
      <c r="BN206" s="4">
        <v>5629</v>
      </c>
      <c r="BO206" s="4">
        <v>5669</v>
      </c>
      <c r="BP206" s="4">
        <v>5662</v>
      </c>
      <c r="BQ206" s="4">
        <v>5580</v>
      </c>
      <c r="BR206" s="4">
        <v>5874</v>
      </c>
      <c r="BS206" s="4">
        <v>5807</v>
      </c>
      <c r="BT206" s="4">
        <v>5828</v>
      </c>
      <c r="BU206" s="4">
        <v>5872</v>
      </c>
      <c r="BV206" s="4">
        <v>5908</v>
      </c>
      <c r="BW206" s="4">
        <v>6096</v>
      </c>
      <c r="BX206" s="4">
        <v>6053</v>
      </c>
      <c r="BY206" s="4">
        <v>6044</v>
      </c>
      <c r="BZ206" s="4">
        <v>6117</v>
      </c>
    </row>
    <row r="207" spans="1:254">
      <c r="A207" s="62" t="s">
        <v>406</v>
      </c>
      <c r="B207" s="4" t="s">
        <v>407</v>
      </c>
      <c r="C207" s="55">
        <f>_xll.RssMarket("7011","現在値")</f>
        <v>3998</v>
      </c>
      <c r="D207" s="56">
        <f t="shared" si="6"/>
        <v>0</v>
      </c>
      <c r="E207" s="67">
        <v>3998</v>
      </c>
      <c r="F207" s="67">
        <v>4000</v>
      </c>
      <c r="G207" s="67">
        <v>4091</v>
      </c>
      <c r="H207" s="67">
        <v>3799</v>
      </c>
      <c r="I207" s="67">
        <v>3764</v>
      </c>
      <c r="J207" s="67">
        <v>3736</v>
      </c>
      <c r="K207" s="67">
        <v>3740</v>
      </c>
      <c r="L207" s="67">
        <v>3805</v>
      </c>
      <c r="M207" s="67">
        <v>3891</v>
      </c>
      <c r="N207" s="67">
        <v>3945</v>
      </c>
      <c r="O207" s="67">
        <v>3930</v>
      </c>
      <c r="P207" s="67">
        <v>3892</v>
      </c>
      <c r="Q207" s="67">
        <v>3852</v>
      </c>
      <c r="R207" s="67">
        <v>3681</v>
      </c>
      <c r="S207" s="67">
        <v>3828</v>
      </c>
      <c r="T207" s="67">
        <v>3746</v>
      </c>
      <c r="U207" s="67">
        <v>3758</v>
      </c>
      <c r="V207" s="67">
        <v>3818</v>
      </c>
      <c r="W207" s="67">
        <v>3805</v>
      </c>
      <c r="X207" s="67">
        <v>3821</v>
      </c>
      <c r="Y207" s="67">
        <v>4009</v>
      </c>
      <c r="Z207" s="67">
        <v>4110</v>
      </c>
      <c r="AA207" s="67">
        <v>3792</v>
      </c>
      <c r="AB207" s="67">
        <v>3788</v>
      </c>
      <c r="AC207" s="67">
        <v>3736</v>
      </c>
      <c r="AD207" s="67">
        <v>3666</v>
      </c>
      <c r="AE207" s="67">
        <v>3651</v>
      </c>
      <c r="AF207" s="67">
        <v>3567</v>
      </c>
      <c r="AG207" s="67">
        <v>3618</v>
      </c>
      <c r="AH207" s="67">
        <v>3743</v>
      </c>
      <c r="AI207" s="67">
        <v>3742</v>
      </c>
      <c r="AJ207" s="67">
        <v>3909</v>
      </c>
      <c r="AK207" s="67">
        <v>3917</v>
      </c>
      <c r="AL207" s="67">
        <v>3968</v>
      </c>
      <c r="AM207" s="67">
        <v>3860</v>
      </c>
      <c r="AN207" s="67">
        <v>3810</v>
      </c>
      <c r="AO207" s="67">
        <v>3659</v>
      </c>
      <c r="AP207" s="67">
        <v>3540</v>
      </c>
      <c r="AQ207" s="67">
        <v>3494</v>
      </c>
      <c r="AR207" s="67">
        <v>3578</v>
      </c>
      <c r="AS207" s="67">
        <v>3699</v>
      </c>
      <c r="AT207" s="67">
        <v>3790</v>
      </c>
      <c r="AU207" s="67">
        <v>3701</v>
      </c>
      <c r="AV207" s="67">
        <v>3573</v>
      </c>
      <c r="AW207" s="67">
        <v>3516</v>
      </c>
      <c r="AX207" s="67">
        <v>3806</v>
      </c>
      <c r="AY207" s="67">
        <v>3804</v>
      </c>
      <c r="AZ207" s="67">
        <v>3898</v>
      </c>
      <c r="BA207" s="67">
        <v>3908</v>
      </c>
      <c r="BB207" s="67">
        <v>3969</v>
      </c>
      <c r="BC207" s="67">
        <v>3958</v>
      </c>
      <c r="BD207" s="67">
        <v>4024</v>
      </c>
      <c r="BE207" s="67">
        <v>4126</v>
      </c>
      <c r="BF207" s="67">
        <v>4102</v>
      </c>
      <c r="BG207" s="67">
        <v>4080</v>
      </c>
      <c r="BH207" s="67">
        <v>4162</v>
      </c>
      <c r="BI207" s="67">
        <v>4406</v>
      </c>
      <c r="BJ207" s="67">
        <v>4300</v>
      </c>
      <c r="BK207" s="67">
        <v>4384</v>
      </c>
      <c r="BL207" s="67">
        <v>4510</v>
      </c>
      <c r="BM207" s="4">
        <v>4527</v>
      </c>
      <c r="BN207" s="4">
        <v>4586</v>
      </c>
      <c r="BO207" s="4">
        <v>4615</v>
      </c>
      <c r="BP207" s="4">
        <v>4797</v>
      </c>
      <c r="BQ207" s="4">
        <v>4689</v>
      </c>
      <c r="BR207" s="4">
        <v>4738</v>
      </c>
      <c r="BS207" s="4">
        <v>4754</v>
      </c>
      <c r="BT207" s="4">
        <v>4508</v>
      </c>
      <c r="BU207" s="4">
        <v>4522</v>
      </c>
      <c r="BV207" s="4">
        <v>4506</v>
      </c>
      <c r="BW207" s="4">
        <v>4371</v>
      </c>
      <c r="BX207" s="4">
        <v>4571</v>
      </c>
      <c r="BY207" s="4">
        <v>4561</v>
      </c>
      <c r="BZ207" s="4">
        <v>4749</v>
      </c>
    </row>
    <row r="208" spans="1:254">
      <c r="A208" s="62" t="s">
        <v>408</v>
      </c>
      <c r="B208" s="4" t="s">
        <v>409</v>
      </c>
      <c r="C208" s="55">
        <f>_xll.RssMarket("1812","現在値")</f>
        <v>5135</v>
      </c>
      <c r="D208" s="56">
        <f t="shared" si="6"/>
        <v>0</v>
      </c>
      <c r="E208" s="67">
        <v>5135</v>
      </c>
      <c r="F208" s="67">
        <v>5252</v>
      </c>
      <c r="G208" s="67">
        <v>5310</v>
      </c>
      <c r="H208" s="67">
        <v>5255</v>
      </c>
      <c r="I208" s="67">
        <v>5383</v>
      </c>
      <c r="J208" s="67">
        <v>5382</v>
      </c>
      <c r="K208" s="67">
        <v>5397</v>
      </c>
      <c r="L208" s="67">
        <v>5485</v>
      </c>
      <c r="M208" s="67">
        <v>5655</v>
      </c>
      <c r="N208" s="67">
        <v>5580</v>
      </c>
      <c r="O208" s="67">
        <v>5655</v>
      </c>
      <c r="P208" s="67">
        <v>5598</v>
      </c>
      <c r="Q208" s="67">
        <v>5604</v>
      </c>
      <c r="R208" s="67">
        <v>5524</v>
      </c>
      <c r="S208" s="67">
        <v>5715</v>
      </c>
      <c r="T208" s="67">
        <v>5559</v>
      </c>
      <c r="U208" s="67">
        <v>5627</v>
      </c>
      <c r="V208" s="67">
        <v>5760</v>
      </c>
      <c r="W208" s="67">
        <v>5815</v>
      </c>
      <c r="X208" s="67">
        <v>5840</v>
      </c>
      <c r="Y208" s="67">
        <v>6089</v>
      </c>
      <c r="Z208" s="67">
        <v>6227</v>
      </c>
      <c r="AA208" s="67">
        <v>6128</v>
      </c>
      <c r="AB208" s="67">
        <v>5992</v>
      </c>
      <c r="AC208" s="67">
        <v>5958</v>
      </c>
      <c r="AD208" s="67">
        <v>5872</v>
      </c>
      <c r="AE208" s="67">
        <v>5867</v>
      </c>
      <c r="AF208" s="67">
        <v>5769</v>
      </c>
      <c r="AG208" s="67">
        <v>5670</v>
      </c>
      <c r="AH208" s="67">
        <v>5701</v>
      </c>
      <c r="AI208" s="67">
        <v>5725</v>
      </c>
      <c r="AJ208" s="67">
        <v>5970</v>
      </c>
      <c r="AK208" s="67">
        <v>5961</v>
      </c>
      <c r="AL208" s="67">
        <v>6001</v>
      </c>
      <c r="AM208" s="67">
        <v>5920</v>
      </c>
      <c r="AN208" s="67">
        <v>5899</v>
      </c>
      <c r="AO208" s="67">
        <v>6130</v>
      </c>
      <c r="AP208" s="67">
        <v>5521</v>
      </c>
      <c r="AQ208" s="67">
        <v>5450</v>
      </c>
      <c r="AR208" s="67">
        <v>5567</v>
      </c>
      <c r="AS208" s="67">
        <v>5391</v>
      </c>
      <c r="AT208" s="67">
        <v>5559</v>
      </c>
      <c r="AU208" s="67">
        <v>5455</v>
      </c>
      <c r="AV208" s="67">
        <v>5535</v>
      </c>
      <c r="AW208" s="67">
        <v>5521</v>
      </c>
      <c r="AX208" s="67">
        <v>5907</v>
      </c>
      <c r="AY208" s="67">
        <v>5760</v>
      </c>
      <c r="AZ208" s="67">
        <v>5754</v>
      </c>
      <c r="BA208" s="67">
        <v>5656</v>
      </c>
      <c r="BB208" s="67">
        <v>5469</v>
      </c>
      <c r="BC208" s="67">
        <v>5591</v>
      </c>
      <c r="BD208" s="67">
        <v>5567</v>
      </c>
      <c r="BE208" s="67">
        <v>5836</v>
      </c>
      <c r="BF208" s="67">
        <v>5650</v>
      </c>
      <c r="BG208" s="67">
        <v>5843</v>
      </c>
      <c r="BH208" s="67">
        <v>6187</v>
      </c>
      <c r="BI208" s="67">
        <v>6477</v>
      </c>
      <c r="BJ208" s="67">
        <v>6570</v>
      </c>
      <c r="BK208" s="67">
        <v>6257</v>
      </c>
      <c r="BL208" s="67">
        <v>6141</v>
      </c>
      <c r="BM208" s="4">
        <v>6262</v>
      </c>
      <c r="BN208" s="4">
        <v>6077</v>
      </c>
      <c r="BO208" s="4">
        <v>6117</v>
      </c>
      <c r="BP208" s="4">
        <v>6499</v>
      </c>
      <c r="BQ208" s="4">
        <v>5954</v>
      </c>
      <c r="BR208" s="4">
        <v>5907</v>
      </c>
      <c r="BS208" s="4">
        <v>5959</v>
      </c>
      <c r="BT208" s="4">
        <v>5969</v>
      </c>
      <c r="BU208" s="4">
        <v>6045</v>
      </c>
      <c r="BV208" s="4">
        <v>6092</v>
      </c>
      <c r="BW208" s="4">
        <v>5932</v>
      </c>
      <c r="BX208" s="4">
        <v>6175</v>
      </c>
      <c r="BY208" s="4">
        <v>6135</v>
      </c>
      <c r="BZ208" s="4">
        <v>6149</v>
      </c>
    </row>
    <row r="209" spans="1:254">
      <c r="A209" s="62" t="s">
        <v>410</v>
      </c>
      <c r="B209" s="4" t="str">
        <f>銘柄管理!C209</f>
        <v>キーエンス</v>
      </c>
      <c r="C209" s="55">
        <f>_xll.RssMarket("6861","現在値")</f>
        <v>85530</v>
      </c>
      <c r="D209" s="56"/>
      <c r="E209" s="67">
        <v>85530</v>
      </c>
      <c r="F209" s="67">
        <v>87380</v>
      </c>
      <c r="G209" s="67">
        <v>82900</v>
      </c>
      <c r="H209" s="67">
        <v>80610</v>
      </c>
      <c r="I209" s="67">
        <v>81150</v>
      </c>
      <c r="J209" s="67">
        <v>78970</v>
      </c>
      <c r="K209" s="67">
        <v>77590</v>
      </c>
      <c r="L209" s="67">
        <v>70950</v>
      </c>
      <c r="M209" s="67">
        <v>74170</v>
      </c>
      <c r="N209" s="67">
        <v>71820</v>
      </c>
      <c r="O209" s="67">
        <v>72260</v>
      </c>
      <c r="P209" s="67">
        <v>72110</v>
      </c>
      <c r="Q209" s="67">
        <v>71960</v>
      </c>
      <c r="R209" s="67">
        <v>70880</v>
      </c>
      <c r="S209" s="67">
        <v>76620</v>
      </c>
      <c r="T209" s="67">
        <v>75390</v>
      </c>
      <c r="U209" s="67">
        <v>76700</v>
      </c>
      <c r="V209" s="67">
        <v>76970</v>
      </c>
      <c r="W209" s="67">
        <v>75600</v>
      </c>
      <c r="X209" s="67">
        <v>74700</v>
      </c>
      <c r="Y209" s="67">
        <v>78180</v>
      </c>
      <c r="Z209" s="67">
        <v>80910</v>
      </c>
      <c r="AA209" s="67">
        <v>80300</v>
      </c>
      <c r="AB209" s="67">
        <v>80400</v>
      </c>
      <c r="AC209" s="67">
        <v>81630</v>
      </c>
      <c r="AD209" s="67">
        <v>81060</v>
      </c>
      <c r="AE209" s="67">
        <v>78200</v>
      </c>
      <c r="AF209" s="67">
        <v>77100</v>
      </c>
      <c r="AG209" s="67">
        <v>77370</v>
      </c>
      <c r="AH209" s="67">
        <v>76750</v>
      </c>
      <c r="AI209" s="67">
        <v>75680</v>
      </c>
      <c r="AJ209" s="67">
        <v>77990</v>
      </c>
      <c r="AK209" s="67">
        <v>77700</v>
      </c>
      <c r="AL209" s="67">
        <v>77520</v>
      </c>
      <c r="AM209" s="67">
        <v>75600</v>
      </c>
      <c r="AN209" s="67">
        <v>75500</v>
      </c>
      <c r="AO209" s="67">
        <v>75650</v>
      </c>
      <c r="AP209" s="67">
        <v>72620</v>
      </c>
      <c r="AQ209" s="67">
        <v>71270</v>
      </c>
      <c r="AR209" s="67">
        <v>72890</v>
      </c>
      <c r="AS209" s="67">
        <v>74980</v>
      </c>
      <c r="AT209" s="67">
        <v>78070</v>
      </c>
      <c r="AU209" s="67">
        <v>80040</v>
      </c>
      <c r="AV209" s="67">
        <v>80630</v>
      </c>
      <c r="AW209" s="67">
        <v>78340</v>
      </c>
      <c r="AX209" s="67">
        <v>80110</v>
      </c>
      <c r="AY209" s="67">
        <v>75180</v>
      </c>
      <c r="AZ209" s="67">
        <v>75780</v>
      </c>
      <c r="BA209" s="67">
        <v>78860</v>
      </c>
      <c r="BB209" s="67">
        <v>79370</v>
      </c>
      <c r="BC209" s="67">
        <v>76960</v>
      </c>
      <c r="BD209" s="67">
        <v>72910</v>
      </c>
      <c r="BE209" s="67">
        <v>75000</v>
      </c>
      <c r="BF209" s="67">
        <v>76830</v>
      </c>
      <c r="BG209" s="67">
        <v>77180</v>
      </c>
      <c r="BH209" s="67">
        <v>77310</v>
      </c>
      <c r="BI209" s="67">
        <v>79440</v>
      </c>
      <c r="BJ209" s="67">
        <v>79260</v>
      </c>
      <c r="BK209" s="67">
        <v>82300</v>
      </c>
      <c r="BL209" s="67">
        <v>84170</v>
      </c>
      <c r="BM209" s="4">
        <v>79350</v>
      </c>
      <c r="BN209" s="4">
        <v>76460</v>
      </c>
      <c r="BO209" s="4">
        <v>71300</v>
      </c>
      <c r="BP209" s="4">
        <v>73800</v>
      </c>
      <c r="BQ209" s="4">
        <v>73180</v>
      </c>
      <c r="BR209" s="4">
        <v>63180</v>
      </c>
      <c r="BS209" s="4">
        <v>63470</v>
      </c>
      <c r="BT209" s="4">
        <v>63800</v>
      </c>
      <c r="BU209" s="4">
        <v>63170</v>
      </c>
      <c r="BV209" s="4">
        <v>64030</v>
      </c>
      <c r="BW209" s="4">
        <v>62810</v>
      </c>
      <c r="BX209" s="4">
        <v>63030</v>
      </c>
      <c r="BY209" s="4">
        <v>62750</v>
      </c>
      <c r="BZ209" s="4">
        <v>62850</v>
      </c>
    </row>
    <row r="210" spans="1:254">
      <c r="A210" s="62" t="s">
        <v>411</v>
      </c>
      <c r="B210" s="4" t="s">
        <v>412</v>
      </c>
      <c r="C210" s="55">
        <f>_xll.RssMarket("6324","現在値")</f>
        <v>7130</v>
      </c>
      <c r="D210" s="56">
        <f t="shared" ref="D210:D273" si="7">C210-E210</f>
        <v>0</v>
      </c>
      <c r="E210" s="67">
        <v>7130</v>
      </c>
      <c r="F210" s="67">
        <v>7390</v>
      </c>
      <c r="G210" s="67">
        <v>6840</v>
      </c>
      <c r="H210" s="67">
        <v>6330</v>
      </c>
      <c r="I210" s="67">
        <v>6140</v>
      </c>
      <c r="J210" s="67">
        <v>5500</v>
      </c>
      <c r="K210" s="67">
        <v>5440</v>
      </c>
      <c r="L210" s="67">
        <v>5780</v>
      </c>
      <c r="M210" s="67">
        <v>6590</v>
      </c>
      <c r="N210" s="67">
        <v>6560</v>
      </c>
      <c r="O210" s="67">
        <v>6870</v>
      </c>
      <c r="P210" s="67">
        <v>6880</v>
      </c>
      <c r="Q210" s="67">
        <v>6570</v>
      </c>
      <c r="R210" s="67">
        <v>6470</v>
      </c>
      <c r="S210" s="67">
        <v>7430</v>
      </c>
      <c r="T210" s="67">
        <v>7540</v>
      </c>
      <c r="U210" s="67">
        <v>7240</v>
      </c>
      <c r="V210" s="67">
        <v>7880</v>
      </c>
      <c r="W210" s="67">
        <v>7510</v>
      </c>
      <c r="X210" s="67">
        <v>7590</v>
      </c>
      <c r="Y210" s="67">
        <v>7940</v>
      </c>
      <c r="Z210" s="67">
        <v>8890</v>
      </c>
      <c r="AA210" s="67">
        <v>8840</v>
      </c>
      <c r="AB210" s="67">
        <v>8130</v>
      </c>
      <c r="AC210" s="67">
        <v>8010</v>
      </c>
      <c r="AD210" s="67">
        <v>7790</v>
      </c>
      <c r="AE210" s="67">
        <v>7120</v>
      </c>
      <c r="AF210" s="67">
        <v>7100</v>
      </c>
      <c r="AG210" s="67">
        <v>7900</v>
      </c>
      <c r="AH210" s="67">
        <v>7830</v>
      </c>
      <c r="AI210" s="67">
        <v>7700</v>
      </c>
      <c r="AJ210" s="67">
        <v>8710</v>
      </c>
      <c r="AK210" s="67">
        <v>7770</v>
      </c>
      <c r="AL210" s="67">
        <v>7770</v>
      </c>
      <c r="AM210" s="67">
        <v>7850</v>
      </c>
      <c r="AN210" s="67">
        <v>7000</v>
      </c>
      <c r="AO210" s="67">
        <v>6860</v>
      </c>
      <c r="AP210" s="67">
        <v>6550</v>
      </c>
      <c r="AQ210" s="67">
        <v>6280</v>
      </c>
      <c r="AR210" s="67">
        <v>6240</v>
      </c>
      <c r="AS210" s="67">
        <v>7160</v>
      </c>
      <c r="AT210" s="67">
        <v>7090</v>
      </c>
      <c r="AU210" s="67">
        <v>6910</v>
      </c>
      <c r="AV210" s="67">
        <v>7410</v>
      </c>
      <c r="AW210" s="67">
        <v>7110</v>
      </c>
      <c r="AX210" s="67">
        <v>7800</v>
      </c>
      <c r="AY210" s="67">
        <v>7690</v>
      </c>
      <c r="AZ210" s="67">
        <v>7850</v>
      </c>
      <c r="BA210" s="67">
        <v>7660</v>
      </c>
      <c r="BB210" s="67">
        <v>7010</v>
      </c>
      <c r="BC210" s="67">
        <v>6550</v>
      </c>
      <c r="BD210" s="67">
        <v>5920</v>
      </c>
      <c r="BE210" s="67">
        <v>6030</v>
      </c>
      <c r="BF210" s="67">
        <v>6800</v>
      </c>
      <c r="BG210" s="67">
        <v>7100</v>
      </c>
      <c r="BH210" s="67">
        <v>6430</v>
      </c>
      <c r="BI210" s="67">
        <v>6970</v>
      </c>
      <c r="BJ210" s="67">
        <v>6600</v>
      </c>
      <c r="BK210" s="67">
        <v>6400</v>
      </c>
      <c r="BL210" s="67">
        <v>6230</v>
      </c>
      <c r="BM210" s="4">
        <v>5710</v>
      </c>
      <c r="BN210" s="4">
        <v>5150</v>
      </c>
      <c r="BO210" s="4">
        <v>5220</v>
      </c>
      <c r="BP210" s="4">
        <v>4745</v>
      </c>
      <c r="BQ210" s="4">
        <v>4885</v>
      </c>
      <c r="BR210" s="4">
        <v>4195</v>
      </c>
      <c r="BS210" s="4">
        <v>4270</v>
      </c>
      <c r="BT210" s="4">
        <v>4385</v>
      </c>
      <c r="BU210" s="4">
        <v>4490</v>
      </c>
      <c r="BV210" s="4">
        <v>4515</v>
      </c>
      <c r="BW210" s="4">
        <v>4430</v>
      </c>
      <c r="BX210" s="4">
        <v>4695</v>
      </c>
      <c r="BY210" s="4">
        <v>4350</v>
      </c>
      <c r="BZ210" s="4">
        <v>4080</v>
      </c>
    </row>
    <row r="211" spans="1:254">
      <c r="A211" s="62" t="s">
        <v>413</v>
      </c>
      <c r="B211" s="4" t="s">
        <v>414</v>
      </c>
      <c r="C211" s="55">
        <f>_xll.RssMarket("6273","現在値")</f>
        <v>75350</v>
      </c>
      <c r="D211" s="56">
        <f t="shared" si="7"/>
        <v>0</v>
      </c>
      <c r="E211" s="67">
        <v>75350</v>
      </c>
      <c r="F211" s="67">
        <v>75790</v>
      </c>
      <c r="G211" s="67">
        <v>73650</v>
      </c>
      <c r="H211" s="67">
        <v>70980</v>
      </c>
      <c r="I211" s="67">
        <v>70480</v>
      </c>
      <c r="J211" s="67">
        <v>66160</v>
      </c>
      <c r="K211" s="67">
        <v>64930</v>
      </c>
      <c r="L211" s="67">
        <v>65190</v>
      </c>
      <c r="M211" s="67">
        <v>71800</v>
      </c>
      <c r="N211" s="67">
        <v>70970</v>
      </c>
      <c r="O211" s="67">
        <v>72960</v>
      </c>
      <c r="P211" s="67">
        <v>71850</v>
      </c>
      <c r="Q211" s="67">
        <v>70460</v>
      </c>
      <c r="R211" s="67">
        <v>69230</v>
      </c>
      <c r="S211" s="67">
        <v>75000</v>
      </c>
      <c r="T211" s="67">
        <v>72660</v>
      </c>
      <c r="U211" s="67">
        <v>73820</v>
      </c>
      <c r="V211" s="67">
        <v>75570</v>
      </c>
      <c r="W211" s="67">
        <v>72020</v>
      </c>
      <c r="X211" s="67">
        <v>70500</v>
      </c>
      <c r="Y211" s="67">
        <v>72540</v>
      </c>
      <c r="Z211" s="67">
        <v>75790</v>
      </c>
      <c r="AA211" s="67">
        <v>75800</v>
      </c>
      <c r="AB211" s="67">
        <v>72680</v>
      </c>
      <c r="AC211" s="67">
        <v>75190</v>
      </c>
      <c r="AD211" s="67">
        <v>71280</v>
      </c>
      <c r="AE211" s="67">
        <v>70450</v>
      </c>
      <c r="AF211" s="67">
        <v>71630</v>
      </c>
      <c r="AG211" s="67">
        <v>72930</v>
      </c>
      <c r="AH211" s="67">
        <v>69130</v>
      </c>
      <c r="AI211" s="67">
        <v>71330</v>
      </c>
      <c r="AJ211" s="67">
        <v>74240</v>
      </c>
      <c r="AK211" s="67">
        <v>72840</v>
      </c>
      <c r="AL211" s="67">
        <v>72600</v>
      </c>
      <c r="AM211" s="67">
        <v>72600</v>
      </c>
      <c r="AN211" s="67">
        <v>69030</v>
      </c>
      <c r="AO211" s="67">
        <v>70130</v>
      </c>
      <c r="AP211" s="67">
        <v>65510</v>
      </c>
      <c r="AQ211" s="67">
        <v>61920</v>
      </c>
      <c r="AR211" s="67">
        <v>61840</v>
      </c>
      <c r="AS211" s="67">
        <v>62210</v>
      </c>
      <c r="AT211" s="67">
        <v>65260</v>
      </c>
      <c r="AU211" s="67">
        <v>65070</v>
      </c>
      <c r="AV211" s="67">
        <v>64000</v>
      </c>
      <c r="AW211" s="67">
        <v>63680</v>
      </c>
      <c r="AX211" s="67">
        <v>69110</v>
      </c>
      <c r="AY211" s="67">
        <v>67880</v>
      </c>
      <c r="AZ211" s="67">
        <v>66470</v>
      </c>
      <c r="BA211" s="67">
        <v>66930</v>
      </c>
      <c r="BB211" s="67">
        <v>66270</v>
      </c>
      <c r="BC211" s="67">
        <v>64770</v>
      </c>
      <c r="BD211" s="67">
        <v>64820</v>
      </c>
      <c r="BE211" s="67">
        <v>67120</v>
      </c>
      <c r="BF211" s="67">
        <v>66780</v>
      </c>
      <c r="BG211" s="67">
        <v>67880</v>
      </c>
      <c r="BH211" s="67">
        <v>79470</v>
      </c>
      <c r="BI211" s="67">
        <v>84250</v>
      </c>
      <c r="BJ211" s="67">
        <v>84560</v>
      </c>
      <c r="BK211" s="67">
        <v>82320</v>
      </c>
      <c r="BL211" s="67">
        <v>82860</v>
      </c>
      <c r="BM211" s="4">
        <v>78840</v>
      </c>
      <c r="BN211" s="4">
        <v>75230</v>
      </c>
      <c r="BO211" s="4">
        <v>76080</v>
      </c>
      <c r="BP211" s="4">
        <v>77000</v>
      </c>
      <c r="BQ211" s="4">
        <v>75480</v>
      </c>
      <c r="BR211" s="4">
        <v>70470</v>
      </c>
      <c r="BS211" s="4">
        <v>69530</v>
      </c>
      <c r="BT211" s="4">
        <v>70740</v>
      </c>
      <c r="BU211" s="4">
        <v>71630</v>
      </c>
      <c r="BV211" s="4">
        <v>71470</v>
      </c>
      <c r="BW211" s="4">
        <v>70100</v>
      </c>
      <c r="BX211" s="4">
        <v>71940</v>
      </c>
      <c r="BY211" s="4">
        <v>71960</v>
      </c>
      <c r="BZ211" s="4">
        <v>71290</v>
      </c>
    </row>
    <row r="212" spans="1:254">
      <c r="A212" s="62" t="s">
        <v>415</v>
      </c>
      <c r="B212" s="4" t="s">
        <v>416</v>
      </c>
      <c r="C212" s="55">
        <f>_xll.RssMarket("4502","現在値")</f>
        <v>5425</v>
      </c>
      <c r="D212" s="56">
        <f t="shared" si="7"/>
        <v>0</v>
      </c>
      <c r="E212" s="67">
        <v>5425</v>
      </c>
      <c r="F212" s="67">
        <v>5269</v>
      </c>
      <c r="G212" s="67">
        <v>5286</v>
      </c>
      <c r="H212" s="67">
        <v>5408</v>
      </c>
      <c r="I212" s="67">
        <v>5513</v>
      </c>
      <c r="J212" s="67">
        <v>5718</v>
      </c>
      <c r="K212" s="67">
        <v>5847</v>
      </c>
      <c r="L212" s="67">
        <v>5744</v>
      </c>
      <c r="M212" s="67">
        <v>5769</v>
      </c>
      <c r="N212" s="67">
        <v>5648</v>
      </c>
      <c r="O212" s="67">
        <v>5505</v>
      </c>
      <c r="P212" s="67">
        <v>5552</v>
      </c>
      <c r="Q212" s="67">
        <v>5555</v>
      </c>
      <c r="R212" s="67">
        <v>5480</v>
      </c>
      <c r="S212" s="67">
        <v>5288</v>
      </c>
      <c r="T212" s="67">
        <v>5327</v>
      </c>
      <c r="U212" s="67">
        <v>5318</v>
      </c>
      <c r="V212" s="67">
        <v>5359</v>
      </c>
      <c r="W212" s="67">
        <v>5398</v>
      </c>
      <c r="X212" s="67">
        <v>5451</v>
      </c>
      <c r="Y212" s="67">
        <v>5448</v>
      </c>
      <c r="Z212" s="67">
        <v>5517</v>
      </c>
      <c r="AA212" s="67">
        <v>5359</v>
      </c>
      <c r="AB212" s="67">
        <v>5274</v>
      </c>
      <c r="AC212" s="67">
        <v>5150</v>
      </c>
      <c r="AD212" s="67">
        <v>5155</v>
      </c>
      <c r="AE212" s="67">
        <v>5176</v>
      </c>
      <c r="AF212" s="67">
        <v>5087</v>
      </c>
      <c r="AG212" s="67">
        <v>5054</v>
      </c>
      <c r="AH212" s="67">
        <v>5104</v>
      </c>
      <c r="AI212" s="67">
        <v>5011</v>
      </c>
      <c r="AJ212" s="67">
        <v>4975</v>
      </c>
      <c r="AK212" s="67">
        <v>4934</v>
      </c>
      <c r="AL212" s="67">
        <v>5037</v>
      </c>
      <c r="AM212" s="67">
        <v>4938</v>
      </c>
      <c r="AN212" s="67">
        <v>5020</v>
      </c>
      <c r="AO212" s="67">
        <v>5088</v>
      </c>
      <c r="AP212" s="67">
        <v>5082</v>
      </c>
      <c r="AQ212" s="67">
        <v>5033</v>
      </c>
      <c r="AR212" s="67">
        <v>5070</v>
      </c>
      <c r="AS212" s="67">
        <v>5050</v>
      </c>
      <c r="AT212" s="67">
        <v>4926</v>
      </c>
      <c r="AU212" s="67">
        <v>4850</v>
      </c>
      <c r="AV212" s="67">
        <v>4748</v>
      </c>
      <c r="AW212" s="67">
        <v>4850</v>
      </c>
      <c r="AX212" s="67">
        <v>5118</v>
      </c>
      <c r="AY212" s="67">
        <v>5120</v>
      </c>
      <c r="AZ212" s="67">
        <v>5128</v>
      </c>
      <c r="BA212" s="67">
        <v>5104</v>
      </c>
      <c r="BB212" s="67">
        <v>5109</v>
      </c>
      <c r="BC212" s="67">
        <v>5180</v>
      </c>
      <c r="BD212" s="67">
        <v>5255</v>
      </c>
      <c r="BE212" s="67">
        <v>5255</v>
      </c>
      <c r="BF212" s="67">
        <v>5249</v>
      </c>
      <c r="BG212" s="67">
        <v>5277</v>
      </c>
      <c r="BH212" s="67">
        <v>5256</v>
      </c>
      <c r="BI212" s="67">
        <v>5192</v>
      </c>
      <c r="BJ212" s="67">
        <v>5168</v>
      </c>
      <c r="BK212" s="67">
        <v>5162</v>
      </c>
      <c r="BL212" s="67">
        <v>5213</v>
      </c>
      <c r="BM212" s="4">
        <v>5310</v>
      </c>
      <c r="BN212" s="4">
        <v>5239</v>
      </c>
      <c r="BO212" s="4">
        <v>5270</v>
      </c>
      <c r="BP212" s="4">
        <v>5289</v>
      </c>
      <c r="BQ212" s="4">
        <v>5218</v>
      </c>
      <c r="BR212" s="4">
        <v>5335</v>
      </c>
      <c r="BS212" s="4">
        <v>5331</v>
      </c>
      <c r="BT212" s="4">
        <v>5318</v>
      </c>
      <c r="BU212" s="4">
        <v>5488</v>
      </c>
      <c r="BV212" s="4">
        <v>5575</v>
      </c>
      <c r="BW212" s="4">
        <v>5586</v>
      </c>
      <c r="BX212" s="4">
        <v>5646</v>
      </c>
      <c r="BY212" s="4">
        <v>5654</v>
      </c>
      <c r="BZ212" s="4">
        <v>5604</v>
      </c>
    </row>
    <row r="213" spans="1:254">
      <c r="A213" s="62" t="s">
        <v>417</v>
      </c>
      <c r="B213" s="4" t="s">
        <v>418</v>
      </c>
      <c r="C213" s="55">
        <f>_xll.RssMarket("4004","現在値")</f>
        <v>15155</v>
      </c>
      <c r="D213" s="56">
        <f t="shared" si="7"/>
        <v>0</v>
      </c>
      <c r="E213" s="67">
        <v>15155</v>
      </c>
      <c r="F213" s="67">
        <v>16175</v>
      </c>
      <c r="G213" s="67">
        <v>14685</v>
      </c>
      <c r="H213" s="67">
        <v>14060</v>
      </c>
      <c r="I213" s="67">
        <v>13725</v>
      </c>
      <c r="J213" s="67">
        <v>12125</v>
      </c>
      <c r="K213" s="67">
        <v>12245</v>
      </c>
      <c r="L213" s="67">
        <v>12365</v>
      </c>
      <c r="M213" s="67">
        <v>13970</v>
      </c>
      <c r="N213" s="67">
        <v>14505</v>
      </c>
      <c r="O213" s="67">
        <v>15395</v>
      </c>
      <c r="P213" s="67">
        <v>15250</v>
      </c>
      <c r="Q213" s="67">
        <v>14580</v>
      </c>
      <c r="R213" s="67">
        <v>13910</v>
      </c>
      <c r="S213" s="67">
        <v>15950</v>
      </c>
      <c r="T213" s="67">
        <v>15415</v>
      </c>
      <c r="U213" s="67">
        <v>15330</v>
      </c>
      <c r="V213" s="67">
        <v>16150</v>
      </c>
      <c r="W213" s="67">
        <v>15750</v>
      </c>
      <c r="X213" s="67">
        <v>15330</v>
      </c>
      <c r="Y213" s="67">
        <v>15675</v>
      </c>
      <c r="Z213" s="67">
        <v>16750</v>
      </c>
      <c r="AA213" s="67">
        <v>17500</v>
      </c>
      <c r="AB213" s="67">
        <v>17900</v>
      </c>
      <c r="AC213" s="67">
        <v>18680</v>
      </c>
      <c r="AD213" s="67">
        <v>17700</v>
      </c>
      <c r="AE213" s="67">
        <v>17865</v>
      </c>
      <c r="AF213" s="67">
        <v>17330</v>
      </c>
      <c r="AG213" s="67">
        <v>17770</v>
      </c>
      <c r="AH213" s="67">
        <v>17750</v>
      </c>
      <c r="AI213" s="67">
        <v>18350</v>
      </c>
      <c r="AJ213" s="67">
        <v>19325</v>
      </c>
      <c r="AK213" s="67">
        <v>18390</v>
      </c>
      <c r="AL213" s="67">
        <v>18420</v>
      </c>
      <c r="AM213" s="67">
        <v>18520</v>
      </c>
      <c r="AN213" s="67">
        <v>18290</v>
      </c>
      <c r="AO213" s="67">
        <v>18395</v>
      </c>
      <c r="AP213" s="67">
        <v>16950</v>
      </c>
      <c r="AQ213" s="67">
        <v>16375</v>
      </c>
      <c r="AR213" s="67">
        <v>15335</v>
      </c>
      <c r="AS213" s="67">
        <v>15970</v>
      </c>
      <c r="AT213" s="67">
        <v>17315</v>
      </c>
      <c r="AU213" s="67">
        <v>17860</v>
      </c>
      <c r="AV213" s="67">
        <v>18700</v>
      </c>
      <c r="AW213" s="67">
        <v>17825</v>
      </c>
      <c r="AX213" s="67">
        <v>18720</v>
      </c>
      <c r="AY213" s="67">
        <v>18500</v>
      </c>
      <c r="AZ213" s="67">
        <v>19100</v>
      </c>
      <c r="BA213" s="67">
        <v>19450</v>
      </c>
      <c r="BB213" s="67">
        <v>18010</v>
      </c>
      <c r="BC213" s="67">
        <v>17310</v>
      </c>
      <c r="BD213" s="67">
        <v>15910</v>
      </c>
      <c r="BE213" s="67">
        <v>16300</v>
      </c>
      <c r="BF213" s="67">
        <v>16690</v>
      </c>
      <c r="BG213" s="67">
        <v>17200</v>
      </c>
      <c r="BH213" s="67">
        <v>18690</v>
      </c>
      <c r="BI213" s="67">
        <v>17815</v>
      </c>
      <c r="BJ213" s="67">
        <v>17815</v>
      </c>
      <c r="BK213" s="67">
        <v>16850</v>
      </c>
      <c r="BL213" s="67">
        <v>16000</v>
      </c>
      <c r="BM213" s="4">
        <v>15590</v>
      </c>
      <c r="BN213" s="4">
        <v>14045</v>
      </c>
      <c r="BO213" s="4">
        <v>14215</v>
      </c>
      <c r="BP213" s="4">
        <v>14155</v>
      </c>
      <c r="BQ213" s="4">
        <v>13990</v>
      </c>
      <c r="BR213" s="4">
        <v>13770</v>
      </c>
      <c r="BS213" s="4">
        <v>13750</v>
      </c>
      <c r="BT213" s="4">
        <v>14455</v>
      </c>
      <c r="BU213" s="4">
        <v>13330</v>
      </c>
      <c r="BV213" s="4">
        <v>12500</v>
      </c>
      <c r="BW213" s="4">
        <v>12460</v>
      </c>
      <c r="BX213" s="4">
        <v>13200</v>
      </c>
      <c r="BY213" s="4">
        <v>12875</v>
      </c>
      <c r="BZ213" s="4">
        <v>13490</v>
      </c>
    </row>
    <row r="214" spans="1:254">
      <c r="A214" s="62" t="s">
        <v>419</v>
      </c>
      <c r="B214" s="4" t="s">
        <v>420</v>
      </c>
      <c r="C214" s="55">
        <f>_xll.RssMarket("9519","現在値")</f>
        <v>925</v>
      </c>
      <c r="D214" s="56">
        <f t="shared" si="7"/>
        <v>0</v>
      </c>
      <c r="E214" s="67">
        <v>925</v>
      </c>
      <c r="F214" s="67">
        <v>928</v>
      </c>
      <c r="G214" s="67">
        <v>919</v>
      </c>
      <c r="H214" s="67">
        <v>904</v>
      </c>
      <c r="I214" s="67">
        <v>930</v>
      </c>
      <c r="J214" s="67">
        <v>928</v>
      </c>
      <c r="K214" s="67">
        <v>963</v>
      </c>
      <c r="L214" s="67">
        <v>983</v>
      </c>
      <c r="M214" s="67">
        <v>1029</v>
      </c>
      <c r="N214" s="67">
        <v>1005</v>
      </c>
      <c r="O214" s="67">
        <v>977</v>
      </c>
      <c r="P214" s="67">
        <v>997</v>
      </c>
      <c r="Q214" s="67">
        <v>985</v>
      </c>
      <c r="R214" s="67">
        <v>981</v>
      </c>
      <c r="S214" s="67">
        <v>1035</v>
      </c>
      <c r="T214" s="67">
        <v>964</v>
      </c>
      <c r="U214" s="67">
        <v>921</v>
      </c>
      <c r="V214" s="67">
        <v>923</v>
      </c>
      <c r="W214" s="67">
        <v>939</v>
      </c>
      <c r="X214" s="67">
        <v>938</v>
      </c>
      <c r="Y214" s="67">
        <v>978</v>
      </c>
      <c r="Z214" s="67">
        <v>964</v>
      </c>
      <c r="AA214" s="67">
        <v>1000</v>
      </c>
      <c r="AB214" s="67">
        <v>981</v>
      </c>
      <c r="AC214" s="67">
        <v>966</v>
      </c>
      <c r="AD214" s="67">
        <v>985</v>
      </c>
      <c r="AE214" s="67">
        <v>982</v>
      </c>
      <c r="AF214" s="67">
        <v>914</v>
      </c>
      <c r="AG214" s="67">
        <v>883</v>
      </c>
      <c r="AH214" s="67">
        <v>925</v>
      </c>
      <c r="AI214" s="67">
        <v>920</v>
      </c>
      <c r="AJ214" s="67">
        <v>890</v>
      </c>
      <c r="AK214" s="67">
        <v>817</v>
      </c>
      <c r="AL214" s="67">
        <v>831</v>
      </c>
      <c r="AM214" s="67">
        <v>883</v>
      </c>
      <c r="AN214" s="67">
        <v>883</v>
      </c>
      <c r="AO214" s="67">
        <v>895</v>
      </c>
      <c r="AP214" s="67">
        <v>893</v>
      </c>
      <c r="AQ214" s="67">
        <v>901</v>
      </c>
      <c r="AR214" s="67">
        <v>920</v>
      </c>
      <c r="AS214" s="67">
        <v>1003</v>
      </c>
      <c r="AT214" s="67">
        <v>1026</v>
      </c>
      <c r="AU214" s="67">
        <v>984</v>
      </c>
      <c r="AV214" s="67">
        <v>1023</v>
      </c>
      <c r="AW214" s="67">
        <v>1110</v>
      </c>
      <c r="AX214" s="67">
        <v>1203</v>
      </c>
      <c r="AY214" s="67">
        <v>1223</v>
      </c>
      <c r="AZ214" s="67">
        <v>1288</v>
      </c>
      <c r="BA214" s="67">
        <v>1335</v>
      </c>
      <c r="BB214" s="67">
        <v>1350</v>
      </c>
      <c r="BC214" s="67">
        <v>1305</v>
      </c>
      <c r="BD214" s="67">
        <v>1262</v>
      </c>
      <c r="BE214" s="67">
        <v>1375</v>
      </c>
      <c r="BF214" s="67">
        <v>1273</v>
      </c>
      <c r="BG214" s="67">
        <v>1346</v>
      </c>
      <c r="BH214" s="67">
        <v>1302</v>
      </c>
      <c r="BI214" s="67">
        <v>1220</v>
      </c>
      <c r="BJ214" s="67">
        <v>1245</v>
      </c>
      <c r="BK214" s="67">
        <v>1225</v>
      </c>
      <c r="BL214" s="67">
        <v>1160</v>
      </c>
      <c r="BM214" s="4">
        <v>1138</v>
      </c>
      <c r="BN214" s="4">
        <v>1111</v>
      </c>
      <c r="BO214" s="4">
        <v>1111</v>
      </c>
      <c r="BP214" s="4">
        <v>1128</v>
      </c>
      <c r="BQ214" s="4">
        <v>1070</v>
      </c>
      <c r="BR214" s="4">
        <v>1059</v>
      </c>
      <c r="BS214" s="4">
        <v>988</v>
      </c>
      <c r="BT214" s="4">
        <v>949</v>
      </c>
      <c r="BU214" s="4">
        <v>980</v>
      </c>
      <c r="BV214" s="4">
        <v>1033</v>
      </c>
      <c r="BW214" s="4">
        <v>1041</v>
      </c>
      <c r="BX214" s="4">
        <v>1079</v>
      </c>
      <c r="BY214" s="4">
        <v>1060</v>
      </c>
      <c r="BZ214" s="4">
        <v>1009</v>
      </c>
    </row>
    <row r="215" spans="1:254">
      <c r="A215" s="62" t="s">
        <v>421</v>
      </c>
      <c r="B215" s="4" t="s">
        <v>422</v>
      </c>
      <c r="C215" s="55">
        <f>_xll.RssMarket("6752","現在値")</f>
        <v>4413</v>
      </c>
      <c r="D215" s="56">
        <f t="shared" si="7"/>
        <v>0</v>
      </c>
      <c r="E215" s="67">
        <v>4413</v>
      </c>
      <c r="F215" s="67">
        <v>4516</v>
      </c>
      <c r="G215" s="67">
        <v>4235</v>
      </c>
      <c r="H215" s="67">
        <v>4281</v>
      </c>
      <c r="I215" s="67">
        <v>4284</v>
      </c>
      <c r="J215" s="67">
        <v>3584</v>
      </c>
      <c r="K215" s="67">
        <v>3507</v>
      </c>
      <c r="L215" s="67">
        <v>3604</v>
      </c>
      <c r="M215" s="67">
        <v>3886</v>
      </c>
      <c r="N215" s="67">
        <v>3883</v>
      </c>
      <c r="O215" s="67">
        <v>4016</v>
      </c>
      <c r="P215" s="67">
        <v>4095</v>
      </c>
      <c r="Q215" s="67">
        <v>4073</v>
      </c>
      <c r="R215" s="67">
        <v>3993</v>
      </c>
      <c r="S215" s="67">
        <v>4318</v>
      </c>
      <c r="T215" s="67">
        <v>4173</v>
      </c>
      <c r="U215" s="67">
        <v>4419</v>
      </c>
      <c r="V215" s="67">
        <v>4480</v>
      </c>
      <c r="W215" s="67">
        <v>4455</v>
      </c>
      <c r="X215" s="67">
        <v>4333</v>
      </c>
      <c r="Y215" s="67">
        <v>4400</v>
      </c>
      <c r="Z215" s="67">
        <v>4557</v>
      </c>
      <c r="AA215" s="67">
        <v>4522</v>
      </c>
      <c r="AB215" s="67">
        <v>4547</v>
      </c>
      <c r="AC215" s="67">
        <v>4770</v>
      </c>
      <c r="AD215" s="67">
        <v>4502</v>
      </c>
      <c r="AE215" s="67">
        <v>4393</v>
      </c>
      <c r="AF215" s="67">
        <v>4540</v>
      </c>
      <c r="AG215" s="67">
        <v>4610</v>
      </c>
      <c r="AH215" s="67">
        <v>4454</v>
      </c>
      <c r="AI215" s="67">
        <v>4230</v>
      </c>
      <c r="AJ215" s="67">
        <v>4393</v>
      </c>
      <c r="AK215" s="67">
        <v>4419</v>
      </c>
      <c r="AL215" s="67">
        <v>4305</v>
      </c>
      <c r="AM215" s="67">
        <v>4200</v>
      </c>
      <c r="AN215" s="67">
        <v>4079</v>
      </c>
      <c r="AO215" s="67">
        <v>4010</v>
      </c>
      <c r="AP215" s="67">
        <v>3800</v>
      </c>
      <c r="AQ215" s="67">
        <v>3767</v>
      </c>
      <c r="AR215" s="67">
        <v>3756</v>
      </c>
      <c r="AS215" s="67">
        <v>3574</v>
      </c>
      <c r="AT215" s="67">
        <v>3754</v>
      </c>
      <c r="AU215" s="67">
        <v>3800</v>
      </c>
      <c r="AV215" s="67">
        <v>3916</v>
      </c>
      <c r="AW215" s="67">
        <v>3595</v>
      </c>
      <c r="AX215" s="67">
        <v>3700</v>
      </c>
      <c r="AY215" s="67">
        <v>3544</v>
      </c>
      <c r="AZ215" s="67">
        <v>3569</v>
      </c>
      <c r="BA215" s="67">
        <v>3566</v>
      </c>
      <c r="BB215" s="67">
        <v>3507</v>
      </c>
      <c r="BC215" s="67">
        <v>3421</v>
      </c>
      <c r="BD215" s="67">
        <v>3207</v>
      </c>
      <c r="BE215" s="67">
        <v>3353</v>
      </c>
      <c r="BF215" s="67">
        <v>3348</v>
      </c>
      <c r="BG215" s="67">
        <v>3293</v>
      </c>
      <c r="BH215" s="67">
        <v>3377</v>
      </c>
      <c r="BI215" s="67">
        <v>3275</v>
      </c>
      <c r="BJ215" s="67">
        <v>3405</v>
      </c>
      <c r="BK215" s="67">
        <v>3334</v>
      </c>
      <c r="BL215" s="67">
        <v>3318</v>
      </c>
      <c r="BM215" s="4">
        <v>3349</v>
      </c>
      <c r="BN215" s="4">
        <v>3324</v>
      </c>
      <c r="BO215" s="4">
        <v>3203</v>
      </c>
      <c r="BP215" s="4">
        <v>3061</v>
      </c>
      <c r="BQ215" s="4">
        <v>3103</v>
      </c>
      <c r="BR215" s="4">
        <v>2879</v>
      </c>
      <c r="BS215" s="4">
        <v>2904.5</v>
      </c>
      <c r="BT215" s="4">
        <v>2985</v>
      </c>
      <c r="BU215" s="4">
        <v>3019</v>
      </c>
      <c r="BV215" s="4">
        <v>2982.5</v>
      </c>
      <c r="BW215" s="4">
        <v>2897</v>
      </c>
      <c r="BX215" s="4">
        <v>2996</v>
      </c>
      <c r="BY215" s="4">
        <v>2925</v>
      </c>
      <c r="BZ215" s="4">
        <v>2917.5</v>
      </c>
    </row>
    <row r="216" spans="1:254">
      <c r="A216" s="62" t="s">
        <v>423</v>
      </c>
      <c r="B216" s="4" t="s">
        <v>424</v>
      </c>
      <c r="C216" s="55">
        <f>_xll.RssMarket("6622","現在値")</f>
        <v>14130</v>
      </c>
      <c r="D216" s="56">
        <f t="shared" si="7"/>
        <v>0</v>
      </c>
      <c r="E216" s="67">
        <v>14130</v>
      </c>
      <c r="F216" s="67">
        <v>15200</v>
      </c>
      <c r="G216" s="67">
        <v>14780</v>
      </c>
      <c r="H216" s="67">
        <v>13700</v>
      </c>
      <c r="I216" s="67">
        <v>13790</v>
      </c>
      <c r="J216" s="67">
        <v>12250</v>
      </c>
      <c r="K216" s="67">
        <v>11900</v>
      </c>
      <c r="L216" s="67">
        <v>13110</v>
      </c>
      <c r="M216" s="67">
        <v>14620</v>
      </c>
      <c r="N216" s="67">
        <v>14650</v>
      </c>
      <c r="O216" s="67">
        <v>15020</v>
      </c>
      <c r="P216" s="67">
        <v>14850</v>
      </c>
      <c r="Q216" s="67">
        <v>14570</v>
      </c>
      <c r="R216" s="67">
        <v>14040</v>
      </c>
      <c r="S216" s="67">
        <v>15730</v>
      </c>
      <c r="T216" s="67">
        <v>15120</v>
      </c>
      <c r="U216" s="67">
        <v>15070</v>
      </c>
      <c r="V216" s="67">
        <v>15590</v>
      </c>
      <c r="W216" s="67">
        <v>15280</v>
      </c>
      <c r="X216" s="67">
        <v>14790</v>
      </c>
      <c r="Y216" s="67">
        <v>16000</v>
      </c>
      <c r="Z216" s="67">
        <v>17160</v>
      </c>
      <c r="AA216" s="67">
        <v>17000</v>
      </c>
      <c r="AB216" s="67">
        <v>17130</v>
      </c>
      <c r="AC216" s="67">
        <v>18550</v>
      </c>
      <c r="AD216" s="67">
        <v>18050</v>
      </c>
      <c r="AE216" s="67">
        <v>17750</v>
      </c>
      <c r="AF216" s="67">
        <v>18310</v>
      </c>
      <c r="AG216" s="67">
        <v>18930</v>
      </c>
      <c r="AH216" s="67">
        <v>18420</v>
      </c>
      <c r="AI216" s="67">
        <v>18670</v>
      </c>
      <c r="AJ216" s="67">
        <v>19450</v>
      </c>
      <c r="AK216" s="67">
        <v>17840</v>
      </c>
      <c r="AL216" s="67">
        <v>18240</v>
      </c>
      <c r="AM216" s="67">
        <v>16830</v>
      </c>
      <c r="AN216" s="67">
        <v>16230</v>
      </c>
      <c r="AO216" s="67">
        <v>16220</v>
      </c>
      <c r="AP216" s="67">
        <v>14970</v>
      </c>
      <c r="AQ216" s="67">
        <v>14440</v>
      </c>
      <c r="AR216" s="67">
        <v>14730</v>
      </c>
      <c r="AS216" s="67">
        <v>15360</v>
      </c>
      <c r="AT216" s="67">
        <v>16200</v>
      </c>
      <c r="AU216" s="67">
        <v>15760</v>
      </c>
      <c r="AV216" s="67">
        <v>15700</v>
      </c>
      <c r="AW216" s="67">
        <v>15280</v>
      </c>
      <c r="AX216" s="67">
        <v>15850</v>
      </c>
      <c r="AY216" s="67">
        <v>16380</v>
      </c>
      <c r="AZ216" s="67">
        <v>16620</v>
      </c>
      <c r="BA216" s="67">
        <v>16830</v>
      </c>
      <c r="BB216" s="67">
        <v>16340</v>
      </c>
      <c r="BC216" s="67">
        <v>15820</v>
      </c>
      <c r="BD216" s="67">
        <v>15280</v>
      </c>
      <c r="BE216" s="67">
        <v>15840</v>
      </c>
      <c r="BF216" s="67">
        <v>16540</v>
      </c>
      <c r="BG216" s="67">
        <v>16900</v>
      </c>
      <c r="BH216" s="67">
        <v>17330</v>
      </c>
      <c r="BI216" s="67">
        <v>18070</v>
      </c>
      <c r="BJ216" s="67">
        <v>17720</v>
      </c>
      <c r="BK216" s="67">
        <v>17620</v>
      </c>
      <c r="BL216" s="67">
        <v>17280</v>
      </c>
      <c r="BM216" s="4">
        <v>16900</v>
      </c>
      <c r="BN216" s="4">
        <v>15760</v>
      </c>
      <c r="BO216" s="4">
        <v>15380</v>
      </c>
      <c r="BP216" s="4">
        <v>14980</v>
      </c>
      <c r="BQ216" s="4">
        <v>14770</v>
      </c>
      <c r="BR216" s="4">
        <v>13900</v>
      </c>
      <c r="BS216" s="4">
        <v>13720</v>
      </c>
      <c r="BT216" s="4">
        <v>13930</v>
      </c>
      <c r="BU216" s="4">
        <v>14100</v>
      </c>
      <c r="BV216" s="4">
        <v>13950</v>
      </c>
      <c r="BW216" s="4">
        <v>13880</v>
      </c>
      <c r="BX216" s="4">
        <v>14310</v>
      </c>
      <c r="BY216" s="4">
        <v>13970</v>
      </c>
      <c r="BZ216" s="4">
        <v>14380</v>
      </c>
    </row>
    <row r="217" spans="1:254">
      <c r="A217" s="62" t="s">
        <v>425</v>
      </c>
      <c r="B217" s="4" t="s">
        <v>426</v>
      </c>
      <c r="C217" s="55">
        <f>_xll.RssMarket("1407","現在値")</f>
        <v>2704</v>
      </c>
      <c r="D217" s="56">
        <f t="shared" si="7"/>
        <v>0</v>
      </c>
      <c r="E217" s="67">
        <v>2704</v>
      </c>
      <c r="F217" s="67">
        <v>2699</v>
      </c>
      <c r="G217" s="67">
        <v>2730</v>
      </c>
      <c r="H217" s="67">
        <v>2622</v>
      </c>
      <c r="I217" s="67">
        <v>2529</v>
      </c>
      <c r="J217" s="67">
        <v>2475</v>
      </c>
      <c r="K217" s="67">
        <v>2648</v>
      </c>
      <c r="L217" s="67">
        <v>2634</v>
      </c>
      <c r="M217" s="67">
        <v>2783</v>
      </c>
      <c r="N217" s="67">
        <v>2800</v>
      </c>
      <c r="O217" s="67">
        <v>2695</v>
      </c>
      <c r="P217" s="67">
        <v>2641</v>
      </c>
      <c r="Q217" s="67">
        <v>2734</v>
      </c>
      <c r="R217" s="67">
        <v>2835</v>
      </c>
      <c r="S217" s="67">
        <v>2802</v>
      </c>
      <c r="T217" s="67">
        <v>2302</v>
      </c>
      <c r="U217" s="67">
        <v>2179</v>
      </c>
      <c r="V217" s="67">
        <v>2151</v>
      </c>
      <c r="W217" s="67">
        <v>2274</v>
      </c>
      <c r="X217" s="67">
        <v>2237</v>
      </c>
      <c r="Y217" s="67">
        <v>2275</v>
      </c>
      <c r="Z217" s="67">
        <v>2321</v>
      </c>
      <c r="AA217" s="67">
        <v>2389</v>
      </c>
      <c r="AB217" s="67">
        <v>2346</v>
      </c>
      <c r="AC217" s="67">
        <v>2406</v>
      </c>
      <c r="AD217" s="67">
        <v>2383</v>
      </c>
      <c r="AE217" s="67">
        <v>2427</v>
      </c>
      <c r="AF217" s="67">
        <v>2345</v>
      </c>
      <c r="AG217" s="67">
        <v>2291</v>
      </c>
      <c r="AH217" s="67">
        <v>2345</v>
      </c>
      <c r="AI217" s="67">
        <v>2400</v>
      </c>
      <c r="AJ217" s="67">
        <v>2250</v>
      </c>
      <c r="AK217" s="67">
        <v>2216</v>
      </c>
      <c r="AL217" s="67">
        <v>2308</v>
      </c>
      <c r="AM217" s="67">
        <v>2310</v>
      </c>
      <c r="AN217" s="67">
        <v>2256</v>
      </c>
      <c r="AO217" s="67">
        <v>2280</v>
      </c>
      <c r="AP217" s="67">
        <v>2313</v>
      </c>
      <c r="AQ217" s="67">
        <v>2305</v>
      </c>
      <c r="AR217" s="67">
        <v>2297</v>
      </c>
      <c r="AS217" s="67">
        <v>2450</v>
      </c>
      <c r="AT217" s="67">
        <v>2478</v>
      </c>
      <c r="AU217" s="67">
        <v>2436</v>
      </c>
      <c r="AV217" s="67">
        <v>2578</v>
      </c>
      <c r="AW217" s="67">
        <v>2489</v>
      </c>
      <c r="AX217" s="67">
        <v>2695</v>
      </c>
      <c r="AY217" s="67">
        <v>2936</v>
      </c>
      <c r="AZ217" s="67">
        <v>3115</v>
      </c>
      <c r="BA217" s="67">
        <v>2991</v>
      </c>
      <c r="BB217" s="67">
        <v>2891</v>
      </c>
      <c r="BC217" s="67">
        <v>2923</v>
      </c>
      <c r="BD217" s="67">
        <v>3085</v>
      </c>
      <c r="BE217" s="67">
        <v>3040</v>
      </c>
      <c r="BF217" s="67">
        <v>2980</v>
      </c>
      <c r="BG217" s="67">
        <v>3005</v>
      </c>
      <c r="BH217" s="67">
        <v>3070</v>
      </c>
      <c r="BI217" s="67">
        <v>3015</v>
      </c>
      <c r="BJ217" s="67">
        <v>2950</v>
      </c>
      <c r="BK217" s="67">
        <v>3115</v>
      </c>
      <c r="BL217" s="67">
        <v>2980</v>
      </c>
      <c r="BM217" s="4">
        <v>2860</v>
      </c>
      <c r="BN217" s="4">
        <v>2884</v>
      </c>
      <c r="BO217" s="4">
        <v>2877</v>
      </c>
      <c r="BP217" s="4">
        <v>2756</v>
      </c>
      <c r="BQ217" s="4">
        <v>2637</v>
      </c>
      <c r="BR217" s="4">
        <v>2548</v>
      </c>
      <c r="BS217" s="4">
        <v>2356</v>
      </c>
      <c r="BT217" s="4">
        <v>2270</v>
      </c>
      <c r="BU217" s="4">
        <v>2288</v>
      </c>
      <c r="BV217" s="4">
        <v>2279</v>
      </c>
      <c r="BW217" s="4">
        <v>2239</v>
      </c>
      <c r="BX217" s="4">
        <v>2320</v>
      </c>
      <c r="BY217" s="4">
        <v>2122</v>
      </c>
      <c r="BZ217" s="4">
        <v>1947</v>
      </c>
    </row>
    <row r="218" spans="1:254">
      <c r="A218" s="62" t="s">
        <v>427</v>
      </c>
      <c r="B218" s="4" t="s">
        <v>428</v>
      </c>
      <c r="C218" s="55">
        <f>_xll.RssMarket("285A","現在値")</f>
        <v>48740</v>
      </c>
      <c r="D218" s="56">
        <f t="shared" si="7"/>
        <v>0</v>
      </c>
      <c r="E218" s="67">
        <v>48740</v>
      </c>
      <c r="F218" s="67">
        <v>54300</v>
      </c>
      <c r="G218" s="67">
        <v>52090</v>
      </c>
      <c r="H218" s="67">
        <v>49160</v>
      </c>
      <c r="I218" s="67">
        <v>46500</v>
      </c>
      <c r="J218" s="67">
        <v>39500</v>
      </c>
      <c r="K218" s="67">
        <v>38380</v>
      </c>
      <c r="L218" s="67">
        <v>44550</v>
      </c>
      <c r="M218" s="67">
        <v>54550</v>
      </c>
      <c r="N218" s="67">
        <v>56010</v>
      </c>
      <c r="O218" s="67">
        <v>61880</v>
      </c>
      <c r="P218" s="67">
        <v>64270</v>
      </c>
      <c r="Q218" s="67">
        <v>61060</v>
      </c>
      <c r="R218" s="67">
        <v>52110</v>
      </c>
      <c r="S218" s="67">
        <v>73100</v>
      </c>
      <c r="T218" s="67">
        <v>69100</v>
      </c>
      <c r="U218" s="67">
        <v>67100</v>
      </c>
      <c r="V218" s="67">
        <v>77000</v>
      </c>
      <c r="W218" s="67">
        <v>77860</v>
      </c>
      <c r="X218" s="67">
        <v>71870</v>
      </c>
      <c r="Y218" s="67">
        <v>72400</v>
      </c>
      <c r="Z218" s="67">
        <v>81590</v>
      </c>
      <c r="AA218" s="67">
        <v>83300</v>
      </c>
      <c r="AB218" s="67">
        <v>76260</v>
      </c>
      <c r="AC218" s="67">
        <v>88130</v>
      </c>
      <c r="AD218" s="67">
        <v>89680</v>
      </c>
      <c r="AE218" s="67">
        <v>88450</v>
      </c>
      <c r="AF218" s="67">
        <v>92180</v>
      </c>
      <c r="AG218" s="67">
        <v>103850</v>
      </c>
      <c r="AH218" s="67">
        <v>92500</v>
      </c>
      <c r="AI218" s="67">
        <v>92290</v>
      </c>
      <c r="AJ218" s="67">
        <v>108700</v>
      </c>
      <c r="AK218" s="67">
        <v>108600</v>
      </c>
      <c r="AL218" s="67">
        <v>96900</v>
      </c>
      <c r="AM218" s="67">
        <v>96000</v>
      </c>
      <c r="AN218" s="67">
        <v>94720</v>
      </c>
      <c r="AO218" s="67">
        <v>90910</v>
      </c>
      <c r="AP218" s="67">
        <v>81200</v>
      </c>
      <c r="AQ218" s="67">
        <v>75440</v>
      </c>
      <c r="AR218" s="67">
        <v>70500</v>
      </c>
      <c r="AS218" s="67">
        <v>71880</v>
      </c>
      <c r="AT218" s="67">
        <v>78140</v>
      </c>
      <c r="AU218" s="67">
        <v>76920</v>
      </c>
      <c r="AV218" s="67">
        <v>78080</v>
      </c>
      <c r="AW218" s="67">
        <v>77540</v>
      </c>
      <c r="AX218" s="67">
        <v>65850</v>
      </c>
      <c r="AY218" s="67">
        <v>61280</v>
      </c>
      <c r="AZ218" s="67">
        <v>60550</v>
      </c>
      <c r="BA218" s="67">
        <v>65450</v>
      </c>
      <c r="BB218" s="67">
        <v>57400</v>
      </c>
      <c r="BC218" s="67">
        <v>55340</v>
      </c>
      <c r="BD218" s="67">
        <v>51290</v>
      </c>
      <c r="BE218" s="67">
        <v>49770</v>
      </c>
      <c r="BF218" s="67">
        <v>51450</v>
      </c>
      <c r="BG218" s="67">
        <v>44450</v>
      </c>
      <c r="BH218" s="67">
        <v>48460</v>
      </c>
      <c r="BI218" s="67">
        <v>50500</v>
      </c>
      <c r="BJ218" s="67">
        <v>46100</v>
      </c>
      <c r="BK218" s="67">
        <v>45940</v>
      </c>
      <c r="BL218" s="67">
        <v>44490</v>
      </c>
      <c r="BM218" s="4">
        <v>43410</v>
      </c>
      <c r="BN218" s="4">
        <v>36410</v>
      </c>
      <c r="BO218" s="4">
        <v>37560</v>
      </c>
      <c r="BP218" s="4">
        <v>36320</v>
      </c>
      <c r="BQ218" s="4">
        <v>35470</v>
      </c>
      <c r="BR218" s="4">
        <v>34580</v>
      </c>
      <c r="BS218" s="4">
        <v>35380</v>
      </c>
      <c r="BT218" s="4">
        <v>34800</v>
      </c>
      <c r="BU218" s="4">
        <v>32740</v>
      </c>
      <c r="BV218" s="4">
        <v>30510</v>
      </c>
      <c r="BW218" s="4">
        <v>30530</v>
      </c>
      <c r="BX218" s="4">
        <v>33870</v>
      </c>
      <c r="BY218" s="4">
        <v>32410</v>
      </c>
      <c r="BZ218" s="4">
        <v>35000</v>
      </c>
    </row>
    <row r="219" spans="1:254">
      <c r="A219" s="62" t="s">
        <v>429</v>
      </c>
      <c r="B219" s="4" t="s">
        <v>430</v>
      </c>
      <c r="C219" s="55">
        <f>_xll.RssMarket("141A","現在値")</f>
        <v>3200</v>
      </c>
      <c r="D219" s="56">
        <f t="shared" si="7"/>
        <v>0</v>
      </c>
      <c r="E219" s="67">
        <v>3200</v>
      </c>
      <c r="F219" s="67">
        <v>3270</v>
      </c>
      <c r="G219" s="67">
        <v>3250</v>
      </c>
      <c r="H219" s="67">
        <v>3215</v>
      </c>
      <c r="I219" s="67">
        <v>3130</v>
      </c>
      <c r="J219" s="67">
        <v>3085</v>
      </c>
      <c r="K219" s="67">
        <v>3035</v>
      </c>
      <c r="L219" s="67">
        <v>3045</v>
      </c>
      <c r="M219" s="67">
        <v>3025</v>
      </c>
      <c r="N219" s="67"/>
      <c r="O219" s="67">
        <v>2995</v>
      </c>
      <c r="P219" s="67">
        <v>3005</v>
      </c>
      <c r="Q219" s="67">
        <v>3015</v>
      </c>
      <c r="R219" s="67">
        <v>2980</v>
      </c>
      <c r="S219" s="67">
        <v>3005</v>
      </c>
      <c r="T219" s="67">
        <v>3045</v>
      </c>
      <c r="U219" s="67">
        <v>3055</v>
      </c>
      <c r="V219" s="67">
        <v>3040</v>
      </c>
      <c r="W219" s="67">
        <v>3100</v>
      </c>
      <c r="X219" s="67">
        <v>3010</v>
      </c>
      <c r="Y219" s="67">
        <v>3140</v>
      </c>
      <c r="Z219" s="67">
        <v>3035</v>
      </c>
      <c r="AA219" s="67">
        <v>3075</v>
      </c>
      <c r="AB219" s="67">
        <v>2998</v>
      </c>
      <c r="AC219" s="67">
        <v>2889</v>
      </c>
      <c r="AD219" s="67">
        <v>2992</v>
      </c>
      <c r="AE219" s="67">
        <v>3070</v>
      </c>
      <c r="AF219" s="67">
        <v>2952</v>
      </c>
      <c r="AG219" s="67">
        <v>3025</v>
      </c>
      <c r="AH219" s="67">
        <v>3035</v>
      </c>
      <c r="AI219" s="67">
        <v>2803</v>
      </c>
      <c r="AJ219" s="67">
        <v>2743</v>
      </c>
      <c r="AK219" s="67">
        <v>2745</v>
      </c>
      <c r="AL219" s="67">
        <v>2731</v>
      </c>
      <c r="AM219" s="67">
        <v>2803</v>
      </c>
      <c r="AN219" s="67">
        <v>2744</v>
      </c>
      <c r="AO219" s="67">
        <v>2833</v>
      </c>
      <c r="AP219" s="67">
        <v>2789</v>
      </c>
      <c r="AQ219" s="67">
        <v>2850</v>
      </c>
      <c r="AR219" s="67">
        <v>2793</v>
      </c>
      <c r="AS219" s="67">
        <v>2782</v>
      </c>
      <c r="AT219" s="67">
        <v>2774</v>
      </c>
      <c r="AU219" s="67">
        <v>2668</v>
      </c>
      <c r="AV219" s="67">
        <v>2734</v>
      </c>
      <c r="AW219" s="67">
        <v>2570</v>
      </c>
      <c r="AX219" s="67">
        <v>2865</v>
      </c>
      <c r="AY219" s="67">
        <v>2900</v>
      </c>
      <c r="AZ219" s="67">
        <v>2805</v>
      </c>
      <c r="BA219" s="67">
        <v>2878</v>
      </c>
      <c r="BB219" s="67">
        <v>2971</v>
      </c>
      <c r="BC219" s="67">
        <v>3055</v>
      </c>
      <c r="BD219" s="67">
        <v>3105</v>
      </c>
      <c r="BE219" s="67">
        <v>3180</v>
      </c>
      <c r="BF219" s="67">
        <v>2911</v>
      </c>
      <c r="BG219" s="67">
        <v>3570</v>
      </c>
      <c r="BH219" s="67">
        <v>4270</v>
      </c>
      <c r="BI219" s="67">
        <v>4440</v>
      </c>
      <c r="BJ219" s="67">
        <v>4330</v>
      </c>
      <c r="BK219" s="67">
        <v>4225</v>
      </c>
      <c r="BL219" s="67">
        <v>4140</v>
      </c>
      <c r="BM219" s="4">
        <v>4155</v>
      </c>
      <c r="BN219" s="4">
        <v>3885</v>
      </c>
      <c r="BO219" s="4">
        <v>3920</v>
      </c>
      <c r="BP219" s="4">
        <v>4045</v>
      </c>
      <c r="BQ219" s="4">
        <v>3905</v>
      </c>
      <c r="BR219" s="4">
        <v>3985</v>
      </c>
      <c r="BS219" s="4">
        <v>4255</v>
      </c>
      <c r="BT219" s="4">
        <v>4525</v>
      </c>
      <c r="BU219" s="4">
        <v>4745</v>
      </c>
      <c r="BV219" s="4">
        <v>4585</v>
      </c>
      <c r="BW219" s="4">
        <v>4445</v>
      </c>
      <c r="BX219" s="4">
        <v>4495</v>
      </c>
      <c r="BY219" s="4">
        <v>4380</v>
      </c>
      <c r="BZ219" s="4">
        <v>4255</v>
      </c>
    </row>
    <row r="220" spans="1:254">
      <c r="A220" s="62" t="s">
        <v>431</v>
      </c>
      <c r="B220" s="4" t="s">
        <v>432</v>
      </c>
      <c r="C220" s="55">
        <f>_xll.RssMarket("464A","現在値")</f>
        <v>1646</v>
      </c>
      <c r="D220" s="56">
        <f t="shared" si="7"/>
        <v>0</v>
      </c>
      <c r="E220" s="67">
        <v>1646</v>
      </c>
      <c r="F220" s="67">
        <v>1670</v>
      </c>
      <c r="G220" s="67">
        <v>1590</v>
      </c>
      <c r="H220" s="67">
        <v>1528</v>
      </c>
      <c r="I220" s="67">
        <v>1537</v>
      </c>
      <c r="J220" s="67">
        <v>1388</v>
      </c>
      <c r="K220" s="67">
        <v>1371</v>
      </c>
      <c r="L220" s="67">
        <v>1517</v>
      </c>
      <c r="M220" s="67">
        <v>1443</v>
      </c>
      <c r="N220" s="67">
        <v>1509</v>
      </c>
      <c r="O220" s="67">
        <v>1620</v>
      </c>
      <c r="P220" s="67">
        <v>1621</v>
      </c>
      <c r="Q220" s="67">
        <v>1645</v>
      </c>
      <c r="R220" s="67">
        <v>1597</v>
      </c>
      <c r="S220" s="67">
        <v>1886</v>
      </c>
      <c r="T220" s="67">
        <v>1844</v>
      </c>
      <c r="U220" s="67">
        <v>1821</v>
      </c>
      <c r="V220" s="67">
        <v>1833</v>
      </c>
      <c r="W220" s="67">
        <v>1825</v>
      </c>
      <c r="X220" s="67">
        <v>1797</v>
      </c>
      <c r="Y220" s="67">
        <v>1948</v>
      </c>
      <c r="Z220" s="67">
        <v>2054</v>
      </c>
      <c r="AA220" s="67">
        <v>2098</v>
      </c>
      <c r="AB220" s="67">
        <v>1983</v>
      </c>
      <c r="AC220" s="67">
        <v>1908</v>
      </c>
      <c r="AD220" s="67">
        <v>1948</v>
      </c>
      <c r="AE220" s="67">
        <v>1874</v>
      </c>
      <c r="AF220" s="67">
        <v>1866</v>
      </c>
      <c r="AG220" s="67">
        <v>1986</v>
      </c>
      <c r="AH220" s="67">
        <v>1964</v>
      </c>
      <c r="AI220" s="67">
        <v>2011</v>
      </c>
      <c r="AJ220" s="67">
        <v>2277</v>
      </c>
      <c r="AK220" s="67">
        <v>2180</v>
      </c>
      <c r="AL220" s="67">
        <v>2251</v>
      </c>
      <c r="AM220" s="67">
        <v>2202</v>
      </c>
      <c r="AN220" s="67">
        <v>2280</v>
      </c>
      <c r="AO220" s="67">
        <v>2324</v>
      </c>
      <c r="AP220" s="67">
        <v>2792</v>
      </c>
      <c r="AQ220" s="67">
        <v>2607</v>
      </c>
      <c r="AR220" s="67">
        <v>2533</v>
      </c>
      <c r="AS220" s="67">
        <v>2870</v>
      </c>
      <c r="AT220" s="67">
        <v>2919</v>
      </c>
      <c r="AU220" s="67">
        <v>2720</v>
      </c>
      <c r="AV220" s="67">
        <v>2998</v>
      </c>
      <c r="AW220" s="67">
        <v>3080</v>
      </c>
      <c r="AX220" s="67">
        <v>4060</v>
      </c>
      <c r="AY220" s="67">
        <v>4365</v>
      </c>
      <c r="AZ220" s="67">
        <v>4200</v>
      </c>
      <c r="BA220" s="67">
        <v>3930</v>
      </c>
      <c r="BB220" s="67">
        <v>3725</v>
      </c>
      <c r="BC220" s="67">
        <v>3435</v>
      </c>
      <c r="BD220" s="67">
        <v>3240</v>
      </c>
      <c r="BE220" s="67">
        <v>3565</v>
      </c>
      <c r="BF220" s="67">
        <v>3230</v>
      </c>
      <c r="BG220" s="67">
        <v>3300</v>
      </c>
      <c r="BH220" s="67">
        <v>3280</v>
      </c>
      <c r="BI220" s="67">
        <v>3120</v>
      </c>
      <c r="BJ220" s="67">
        <v>2954</v>
      </c>
      <c r="BK220" s="67">
        <v>2990</v>
      </c>
      <c r="BL220" s="67">
        <v>2825</v>
      </c>
      <c r="BM220" s="4">
        <v>2676</v>
      </c>
      <c r="BN220" s="4">
        <v>2530</v>
      </c>
      <c r="BO220" s="4">
        <v>2520</v>
      </c>
      <c r="BP220" s="4">
        <v>2534</v>
      </c>
      <c r="BQ220" s="4">
        <v>2423</v>
      </c>
      <c r="BR220" s="4">
        <v>2580</v>
      </c>
      <c r="BS220" s="4">
        <v>2582</v>
      </c>
      <c r="BT220" s="4">
        <v>2669</v>
      </c>
      <c r="BU220" s="4">
        <v>2750</v>
      </c>
      <c r="BV220" s="4">
        <v>2659</v>
      </c>
      <c r="BW220" s="4">
        <v>2647</v>
      </c>
      <c r="BX220" s="4">
        <v>2630</v>
      </c>
      <c r="BY220" s="4">
        <v>2514</v>
      </c>
      <c r="BZ220" s="4">
        <v>2610</v>
      </c>
    </row>
    <row r="221" spans="1:254">
      <c r="A221" s="62" t="s">
        <v>433</v>
      </c>
      <c r="B221" s="4" t="s">
        <v>434</v>
      </c>
      <c r="C221" s="55">
        <f>_xll.RssMarket("485A","現在値")</f>
        <v>1855</v>
      </c>
      <c r="D221" s="56">
        <f t="shared" si="7"/>
        <v>0</v>
      </c>
      <c r="E221" s="67">
        <v>1855</v>
      </c>
      <c r="F221" s="67">
        <v>1923</v>
      </c>
      <c r="G221" s="67"/>
      <c r="H221" s="67"/>
      <c r="I221" s="67"/>
      <c r="J221" s="67"/>
      <c r="K221" s="67"/>
      <c r="L221" s="67"/>
      <c r="M221" s="67"/>
      <c r="N221" s="67"/>
      <c r="O221" s="67"/>
      <c r="P221" s="67"/>
      <c r="Q221" s="67"/>
      <c r="R221" s="67"/>
      <c r="S221" s="67"/>
      <c r="T221" s="67"/>
      <c r="U221" s="67"/>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67"/>
      <c r="AX221" s="67"/>
      <c r="AY221" s="67"/>
      <c r="AZ221" s="67"/>
      <c r="BA221" s="67"/>
      <c r="BB221" s="67"/>
      <c r="BC221" s="67"/>
      <c r="BD221" s="67"/>
      <c r="BE221" s="67"/>
      <c r="BF221" s="67"/>
      <c r="BG221" s="67"/>
      <c r="BH221" s="67"/>
      <c r="BI221" s="67"/>
      <c r="BJ221" s="67"/>
      <c r="BK221" s="67"/>
      <c r="BL221" s="67"/>
    </row>
    <row r="222" spans="1:254">
      <c r="A222" s="62" t="s">
        <v>435</v>
      </c>
      <c r="B222" s="4" t="str">
        <f>銘柄管理!C222</f>
        <v>ＮＦ日経レバ</v>
      </c>
      <c r="C222" s="55">
        <f>_xll.RssMarket("1570","現在値")</f>
        <v>68540</v>
      </c>
      <c r="D222" s="56">
        <f t="shared" si="7"/>
        <v>0</v>
      </c>
      <c r="E222" s="67">
        <v>68540</v>
      </c>
      <c r="F222" s="67">
        <v>69880</v>
      </c>
      <c r="G222" s="67">
        <v>65180</v>
      </c>
      <c r="H222" s="67">
        <v>64610</v>
      </c>
      <c r="I222" s="67">
        <v>66020</v>
      </c>
      <c r="J222" s="67">
        <v>61170</v>
      </c>
      <c r="K222" s="67">
        <v>60430</v>
      </c>
      <c r="L222" s="67">
        <v>62100</v>
      </c>
      <c r="M222" s="67">
        <v>67590</v>
      </c>
      <c r="N222" s="67">
        <v>66770</v>
      </c>
      <c r="O222" s="67">
        <v>70470</v>
      </c>
      <c r="P222" s="67">
        <v>69780</v>
      </c>
      <c r="Q222" s="67">
        <v>70080</v>
      </c>
      <c r="R222" s="67">
        <v>66090</v>
      </c>
      <c r="S222" s="67">
        <v>75920</v>
      </c>
      <c r="T222" s="67">
        <v>73770</v>
      </c>
      <c r="U222" s="67">
        <v>72730</v>
      </c>
      <c r="V222" s="67">
        <v>75850</v>
      </c>
      <c r="W222" s="67">
        <v>74350</v>
      </c>
      <c r="X222" s="67">
        <v>72500</v>
      </c>
      <c r="Y222" s="67">
        <v>75400</v>
      </c>
      <c r="Z222" s="67">
        <v>78500</v>
      </c>
      <c r="AA222" s="67">
        <v>78680</v>
      </c>
      <c r="AB222" s="67">
        <v>76380</v>
      </c>
      <c r="AC222" s="67">
        <v>80090</v>
      </c>
      <c r="AD222" s="67">
        <v>79510</v>
      </c>
      <c r="AE222" s="67">
        <v>78020</v>
      </c>
      <c r="AF222" s="67">
        <v>77620</v>
      </c>
      <c r="AG222" s="67">
        <v>84770</v>
      </c>
      <c r="AH222" s="67">
        <v>77660</v>
      </c>
      <c r="AI222" s="67">
        <v>79140</v>
      </c>
      <c r="AJ222" s="67">
        <v>85450</v>
      </c>
      <c r="AK222" s="67">
        <v>82660</v>
      </c>
      <c r="AL222" s="67">
        <v>82200</v>
      </c>
      <c r="AM222" s="67">
        <v>79550</v>
      </c>
      <c r="AN222" s="67">
        <v>78180</v>
      </c>
      <c r="AO222" s="67">
        <v>78170</v>
      </c>
      <c r="AP222" s="67">
        <v>71130</v>
      </c>
      <c r="AQ222" s="67">
        <v>67250</v>
      </c>
      <c r="AR222" s="67">
        <v>67450</v>
      </c>
      <c r="AS222" s="67">
        <v>67010</v>
      </c>
      <c r="AT222" s="67">
        <v>72640</v>
      </c>
      <c r="AU222" s="67">
        <v>74620</v>
      </c>
      <c r="AV222" s="67">
        <v>76720</v>
      </c>
      <c r="AW222" s="67">
        <v>72930</v>
      </c>
      <c r="AX222" s="67">
        <v>72090</v>
      </c>
      <c r="AY222" s="67">
        <v>68680</v>
      </c>
      <c r="AZ222" s="67">
        <v>69560</v>
      </c>
      <c r="BA222" s="67">
        <v>70010</v>
      </c>
      <c r="BB222" s="67">
        <v>65880</v>
      </c>
      <c r="BC222" s="67">
        <v>62540</v>
      </c>
      <c r="BD222" s="67">
        <v>59060</v>
      </c>
      <c r="BE222" s="67">
        <v>60530</v>
      </c>
      <c r="BF222" s="67">
        <v>60970</v>
      </c>
      <c r="BG222" s="67">
        <v>62240</v>
      </c>
      <c r="BH222" s="67">
        <v>64770</v>
      </c>
      <c r="BI222" s="67">
        <v>66000</v>
      </c>
      <c r="BJ222" s="67">
        <v>64830</v>
      </c>
      <c r="BK222" s="67">
        <v>64310</v>
      </c>
      <c r="BL222" s="67">
        <v>64800</v>
      </c>
      <c r="BM222" s="4">
        <v>65520</v>
      </c>
      <c r="BN222" s="4">
        <v>58570</v>
      </c>
      <c r="BO222" s="4">
        <v>58070</v>
      </c>
      <c r="BP222" s="4">
        <v>59440</v>
      </c>
      <c r="BQ222" s="4">
        <v>60810</v>
      </c>
      <c r="BR222" s="4">
        <v>59020</v>
      </c>
      <c r="BS222" s="4">
        <v>57970</v>
      </c>
      <c r="BT222" s="4">
        <v>58850</v>
      </c>
      <c r="BU222" s="4">
        <v>58390</v>
      </c>
      <c r="BV222" s="4">
        <v>57370</v>
      </c>
      <c r="BW222" s="4">
        <v>57070</v>
      </c>
      <c r="BX222" s="4">
        <v>59020</v>
      </c>
      <c r="BY222" s="4">
        <v>56180</v>
      </c>
      <c r="BZ222" s="4">
        <v>55560</v>
      </c>
    </row>
    <row r="223" spans="1:254">
      <c r="A223" s="62" t="s">
        <v>436</v>
      </c>
      <c r="B223" s="4" t="str">
        <f>銘柄管理!C223</f>
        <v>牧野フライス</v>
      </c>
      <c r="C223" s="55">
        <f>_xll.RssMarket("6135","現在値")</f>
        <v>15070</v>
      </c>
      <c r="D223" s="56">
        <f t="shared" si="7"/>
        <v>0</v>
      </c>
      <c r="E223" s="67">
        <v>15070</v>
      </c>
      <c r="F223" s="4">
        <v>15230</v>
      </c>
      <c r="G223" s="4">
        <v>14880</v>
      </c>
      <c r="H223" s="4">
        <v>14710</v>
      </c>
      <c r="I223" s="4">
        <v>13920</v>
      </c>
      <c r="J223" s="4">
        <v>14080</v>
      </c>
      <c r="K223" s="4">
        <v>13930</v>
      </c>
      <c r="L223" s="4">
        <v>14270</v>
      </c>
      <c r="M223" s="4">
        <v>14790</v>
      </c>
      <c r="N223" s="4">
        <v>14710</v>
      </c>
      <c r="O223" s="4">
        <v>14860</v>
      </c>
      <c r="P223" s="4">
        <v>14490</v>
      </c>
      <c r="Q223" s="4">
        <v>14410</v>
      </c>
      <c r="R223" s="4">
        <v>14420</v>
      </c>
      <c r="S223" s="4">
        <v>14790</v>
      </c>
      <c r="T223" s="4">
        <v>14790</v>
      </c>
      <c r="U223" s="4">
        <v>14820</v>
      </c>
      <c r="V223" s="4">
        <v>14960</v>
      </c>
      <c r="W223" s="4">
        <v>14810</v>
      </c>
      <c r="X223" s="4">
        <v>14580</v>
      </c>
      <c r="Y223" s="4">
        <v>14830</v>
      </c>
      <c r="Z223" s="4">
        <v>15100</v>
      </c>
      <c r="AA223" s="4">
        <v>15330</v>
      </c>
      <c r="AB223" s="4">
        <v>15200</v>
      </c>
      <c r="AC223" s="4">
        <v>15410</v>
      </c>
      <c r="AD223" s="4">
        <v>15200</v>
      </c>
      <c r="AE223" s="4">
        <v>15130</v>
      </c>
      <c r="AF223" s="4">
        <v>15340</v>
      </c>
      <c r="AG223" s="4">
        <v>15710</v>
      </c>
      <c r="AH223" s="4">
        <v>14310</v>
      </c>
      <c r="AI223" s="4">
        <v>14120</v>
      </c>
      <c r="AJ223" s="4">
        <v>14550</v>
      </c>
      <c r="AK223" s="4">
        <v>14560</v>
      </c>
      <c r="AL223" s="4">
        <v>14320</v>
      </c>
      <c r="AM223" s="4">
        <v>14250</v>
      </c>
      <c r="AN223" s="4">
        <v>14390</v>
      </c>
      <c r="AO223" s="4">
        <v>14170</v>
      </c>
      <c r="AP223" s="4">
        <v>13980</v>
      </c>
      <c r="AQ223" s="4">
        <v>14150</v>
      </c>
      <c r="AR223" s="4">
        <v>14490</v>
      </c>
      <c r="AS223" s="4">
        <v>14190</v>
      </c>
      <c r="AT223" s="4">
        <v>14510</v>
      </c>
      <c r="AU223" s="4">
        <v>14050</v>
      </c>
      <c r="AV223" s="4">
        <v>13990</v>
      </c>
      <c r="AW223" s="4">
        <v>13750</v>
      </c>
      <c r="AX223" s="4">
        <v>13240</v>
      </c>
      <c r="AY223" s="4">
        <v>13210</v>
      </c>
      <c r="AZ223" s="4">
        <v>13220</v>
      </c>
      <c r="BA223" s="4">
        <v>13400</v>
      </c>
      <c r="BB223" s="4">
        <v>13110</v>
      </c>
      <c r="BC223" s="4">
        <v>13290</v>
      </c>
      <c r="BD223" s="4">
        <v>13190</v>
      </c>
      <c r="BE223" s="4">
        <v>13810</v>
      </c>
      <c r="BF223" s="4">
        <v>13680</v>
      </c>
      <c r="BG223" s="4">
        <v>13620</v>
      </c>
      <c r="BH223" s="4">
        <v>13960</v>
      </c>
      <c r="BI223" s="4">
        <v>13610</v>
      </c>
      <c r="BJ223" s="4">
        <v>13750</v>
      </c>
      <c r="BK223" s="4">
        <v>13680</v>
      </c>
      <c r="BL223" s="4">
        <v>13200</v>
      </c>
      <c r="BM223" s="4">
        <v>13650</v>
      </c>
      <c r="BN223" s="4">
        <v>12660</v>
      </c>
      <c r="BO223" s="4">
        <v>11900</v>
      </c>
      <c r="BP223" s="4">
        <v>11800</v>
      </c>
      <c r="BQ223" s="4">
        <v>11800</v>
      </c>
      <c r="BR223" s="4">
        <v>11790</v>
      </c>
      <c r="BS223" s="4">
        <v>10570</v>
      </c>
      <c r="BT223" s="4">
        <v>11590</v>
      </c>
      <c r="BU223" s="4">
        <v>11620</v>
      </c>
      <c r="BV223" s="4">
        <v>11630</v>
      </c>
      <c r="BW223" s="4">
        <v>11630</v>
      </c>
      <c r="BX223" s="4">
        <v>11600</v>
      </c>
      <c r="BY223" s="4">
        <v>11610</v>
      </c>
      <c r="BZ223" s="4">
        <v>11610</v>
      </c>
    </row>
    <row r="224" spans="1:254">
      <c r="A224" s="62" t="s">
        <v>437</v>
      </c>
      <c r="B224" s="4" t="str">
        <f>銘柄管理!C224</f>
        <v>ジャパンマテリアル</v>
      </c>
      <c r="C224" s="55">
        <f>_xll.RssMarket("6055","現在値")</f>
        <v>2367</v>
      </c>
      <c r="D224" s="56">
        <f t="shared" si="7"/>
        <v>0</v>
      </c>
      <c r="E224" s="67">
        <v>2367</v>
      </c>
      <c r="F224" s="4">
        <v>2431</v>
      </c>
      <c r="G224" s="4">
        <v>2327</v>
      </c>
      <c r="H224" s="4">
        <v>2278</v>
      </c>
      <c r="I224" s="4">
        <v>2267</v>
      </c>
      <c r="J224" s="4">
        <v>2019</v>
      </c>
      <c r="K224" s="4">
        <v>1983</v>
      </c>
      <c r="L224" s="4">
        <v>2103</v>
      </c>
      <c r="M224" s="4">
        <v>2300</v>
      </c>
      <c r="N224" s="4">
        <v>2238</v>
      </c>
      <c r="O224" s="4">
        <v>2326</v>
      </c>
      <c r="P224" s="4">
        <v>2313</v>
      </c>
      <c r="Q224" s="4">
        <v>2320</v>
      </c>
      <c r="R224" s="4">
        <v>2253</v>
      </c>
      <c r="S224" s="4">
        <v>2610</v>
      </c>
      <c r="T224" s="4">
        <v>2567</v>
      </c>
      <c r="U224" s="4">
        <v>2623</v>
      </c>
      <c r="V224" s="4">
        <v>2657</v>
      </c>
      <c r="W224" s="4">
        <v>2549</v>
      </c>
      <c r="X224" s="4">
        <v>2474</v>
      </c>
      <c r="Y224" s="4">
        <v>2640</v>
      </c>
      <c r="Z224" s="4">
        <v>2451</v>
      </c>
      <c r="AA224" s="4">
        <v>2500</v>
      </c>
      <c r="AB224" s="4">
        <v>2490</v>
      </c>
      <c r="AC224" s="4">
        <v>2684</v>
      </c>
      <c r="AD224" s="4">
        <v>2570</v>
      </c>
      <c r="AE224" s="4">
        <v>2605</v>
      </c>
      <c r="AF224" s="4">
        <v>2633</v>
      </c>
      <c r="AG224" s="4">
        <v>2718</v>
      </c>
      <c r="AH224" s="4">
        <v>2526</v>
      </c>
      <c r="AI224" s="4">
        <v>2555</v>
      </c>
      <c r="AJ224" s="4">
        <v>2632</v>
      </c>
      <c r="AK224" s="4">
        <v>2454</v>
      </c>
      <c r="AL224" s="4">
        <v>2441</v>
      </c>
      <c r="AM224" s="4">
        <v>2361</v>
      </c>
      <c r="AN224" s="4">
        <v>2396</v>
      </c>
      <c r="AO224" s="4">
        <v>2470</v>
      </c>
      <c r="AP224" s="4">
        <v>2267</v>
      </c>
      <c r="AQ224" s="4">
        <v>2167</v>
      </c>
      <c r="AR224" s="4">
        <v>2118</v>
      </c>
      <c r="AS224" s="4">
        <v>2084</v>
      </c>
      <c r="AT224" s="4">
        <v>2266</v>
      </c>
      <c r="AU224" s="4">
        <v>2422</v>
      </c>
      <c r="AV224" s="4">
        <v>2117</v>
      </c>
      <c r="AW224" s="4">
        <v>2007</v>
      </c>
      <c r="AX224" s="4">
        <v>2053</v>
      </c>
      <c r="AY224" s="4">
        <v>2053</v>
      </c>
      <c r="AZ224" s="4">
        <v>2051</v>
      </c>
      <c r="BA224" s="4">
        <v>2124</v>
      </c>
      <c r="BB224" s="4">
        <v>1993</v>
      </c>
      <c r="BC224" s="4">
        <v>2011</v>
      </c>
      <c r="BD224" s="4">
        <v>1933</v>
      </c>
      <c r="BE224" s="4">
        <v>1972</v>
      </c>
      <c r="BF224" s="4">
        <v>2078</v>
      </c>
      <c r="BG224" s="4">
        <v>1992</v>
      </c>
      <c r="BH224" s="4">
        <v>2012</v>
      </c>
      <c r="BI224" s="4">
        <v>2146</v>
      </c>
      <c r="BJ224" s="4">
        <v>2173</v>
      </c>
      <c r="BK224" s="4">
        <v>2077</v>
      </c>
      <c r="BL224" s="4">
        <v>1953</v>
      </c>
      <c r="BM224" s="4">
        <v>1933</v>
      </c>
      <c r="BN224" s="4">
        <v>1800</v>
      </c>
      <c r="BO224" s="4">
        <v>1778</v>
      </c>
      <c r="BP224" s="4">
        <v>1802</v>
      </c>
      <c r="BQ224" s="4">
        <v>1872</v>
      </c>
      <c r="BR224" s="4">
        <v>1814</v>
      </c>
      <c r="BS224" s="4">
        <v>1786</v>
      </c>
      <c r="BT224" s="4">
        <v>1824</v>
      </c>
      <c r="BU224" s="4">
        <v>1844</v>
      </c>
      <c r="BV224" s="4">
        <v>1847</v>
      </c>
      <c r="BW224" s="4">
        <v>1862</v>
      </c>
      <c r="BX224" s="4">
        <v>1900</v>
      </c>
      <c r="BY224" s="4">
        <v>1900</v>
      </c>
      <c r="BZ224" s="4">
        <v>1905</v>
      </c>
    </row>
    <row r="225" spans="1:254">
      <c r="A225" s="62" t="s">
        <v>438</v>
      </c>
      <c r="B225" s="4" t="str">
        <f>銘柄管理!C225</f>
        <v>ミナトホールディングス</v>
      </c>
      <c r="C225" s="4">
        <f>_xll.RssMarket("6862","現在値")</f>
        <v>2335</v>
      </c>
      <c r="D225" s="4">
        <f t="shared" si="7"/>
        <v>0</v>
      </c>
      <c r="E225" s="67">
        <v>2335</v>
      </c>
      <c r="F225" s="4">
        <v>2331</v>
      </c>
      <c r="G225" s="4">
        <v>2240</v>
      </c>
      <c r="H225" s="4">
        <v>2116</v>
      </c>
      <c r="I225" s="4">
        <v>2022</v>
      </c>
      <c r="J225" s="4">
        <v>1829</v>
      </c>
      <c r="K225" s="4">
        <v>1567</v>
      </c>
      <c r="L225" s="4">
        <v>1677</v>
      </c>
      <c r="M225" s="4">
        <v>1851</v>
      </c>
      <c r="N225" s="4">
        <v>1846</v>
      </c>
      <c r="O225" s="4">
        <v>1919</v>
      </c>
      <c r="P225" s="4">
        <v>1870</v>
      </c>
      <c r="Q225" s="4">
        <v>1863</v>
      </c>
      <c r="R225" s="4">
        <v>1765</v>
      </c>
      <c r="S225" s="4">
        <v>2073</v>
      </c>
      <c r="T225" s="4">
        <v>2009</v>
      </c>
      <c r="U225" s="4">
        <v>1976</v>
      </c>
      <c r="V225" s="4">
        <v>2044</v>
      </c>
      <c r="W225" s="4">
        <v>1972</v>
      </c>
      <c r="X225" s="4">
        <v>1931</v>
      </c>
      <c r="Y225" s="4">
        <v>2000</v>
      </c>
      <c r="Z225" s="4">
        <v>2078</v>
      </c>
      <c r="AA225" s="4">
        <v>2139</v>
      </c>
      <c r="AB225" s="4">
        <v>2125</v>
      </c>
      <c r="AC225" s="4">
        <v>2133</v>
      </c>
      <c r="AD225" s="4">
        <v>2109</v>
      </c>
      <c r="AE225" s="4">
        <v>2117</v>
      </c>
      <c r="AF225" s="4">
        <v>2179</v>
      </c>
      <c r="AG225" s="4">
        <v>2330</v>
      </c>
      <c r="AH225" s="4">
        <v>2233</v>
      </c>
      <c r="AI225" s="4">
        <v>2210</v>
      </c>
      <c r="AJ225" s="4">
        <v>2340</v>
      </c>
      <c r="AK225" s="4">
        <v>2540</v>
      </c>
      <c r="AL225" s="4">
        <v>2215</v>
      </c>
      <c r="AM225" s="4">
        <v>2191</v>
      </c>
      <c r="AN225" s="4">
        <v>2138</v>
      </c>
      <c r="AO225" s="4">
        <v>2034</v>
      </c>
      <c r="AP225" s="4">
        <v>1920</v>
      </c>
      <c r="AQ225" s="4">
        <v>1907</v>
      </c>
      <c r="AR225" s="4">
        <v>1962</v>
      </c>
      <c r="AS225" s="4">
        <v>2099</v>
      </c>
      <c r="AT225" s="4">
        <v>2269</v>
      </c>
      <c r="AU225" s="4">
        <v>2135</v>
      </c>
      <c r="AV225" s="4">
        <v>2260</v>
      </c>
      <c r="AW225" s="4">
        <v>2196</v>
      </c>
      <c r="AX225" s="4">
        <v>2204</v>
      </c>
      <c r="AY225" s="4">
        <v>2192</v>
      </c>
      <c r="AZ225" s="4">
        <v>2260</v>
      </c>
      <c r="BA225" s="4">
        <v>2541</v>
      </c>
      <c r="BB225" s="4">
        <v>2548</v>
      </c>
      <c r="BC225" s="4">
        <v>2417</v>
      </c>
      <c r="BD225" s="4">
        <v>2355</v>
      </c>
      <c r="BE225" s="4">
        <v>2533</v>
      </c>
      <c r="BF225" s="4">
        <v>2743</v>
      </c>
      <c r="BG225" s="4">
        <v>2729</v>
      </c>
      <c r="BH225" s="4">
        <v>2975</v>
      </c>
      <c r="BI225" s="4">
        <v>2930</v>
      </c>
      <c r="BJ225" s="4">
        <v>3630</v>
      </c>
      <c r="BK225" s="4">
        <v>3485</v>
      </c>
      <c r="BL225" s="4">
        <v>3885</v>
      </c>
      <c r="BM225" s="4">
        <v>3760</v>
      </c>
      <c r="BN225" s="4">
        <v>3060</v>
      </c>
      <c r="BO225" s="4">
        <v>2841</v>
      </c>
      <c r="BP225" s="4">
        <v>2622</v>
      </c>
      <c r="BQ225" s="4">
        <v>2696</v>
      </c>
      <c r="BR225" s="4">
        <v>2482</v>
      </c>
      <c r="BS225" s="4">
        <v>2453</v>
      </c>
      <c r="BT225" s="4">
        <v>2480</v>
      </c>
      <c r="BU225" s="4">
        <v>2518</v>
      </c>
      <c r="BV225" s="4">
        <v>2509</v>
      </c>
      <c r="BW225" s="4">
        <v>2372</v>
      </c>
      <c r="BX225" s="4">
        <v>2467</v>
      </c>
      <c r="BY225" s="4">
        <v>2388</v>
      </c>
      <c r="BZ225" s="4">
        <v>2591</v>
      </c>
    </row>
    <row r="226" spans="1:254">
      <c r="A226" s="62" t="s">
        <v>439</v>
      </c>
      <c r="B226" s="4" t="str">
        <f>銘柄管理!C226</f>
        <v>ヤクルト</v>
      </c>
      <c r="C226" s="4">
        <f>_xll.RssMarket("2267","現在値")</f>
        <v>2839</v>
      </c>
      <c r="D226" s="4">
        <f t="shared" si="7"/>
        <v>0</v>
      </c>
      <c r="E226" s="67">
        <v>2839</v>
      </c>
      <c r="F226" s="4">
        <v>2744</v>
      </c>
      <c r="G226" s="4">
        <v>2795.5</v>
      </c>
      <c r="H226" s="4">
        <v>2781.5</v>
      </c>
      <c r="I226" s="4">
        <v>2819</v>
      </c>
      <c r="J226" s="4">
        <v>2903</v>
      </c>
      <c r="K226" s="4">
        <v>2911.5</v>
      </c>
      <c r="L226" s="4">
        <v>2812.5</v>
      </c>
      <c r="M226" s="4">
        <v>2815.5</v>
      </c>
      <c r="N226" s="4">
        <v>2746</v>
      </c>
      <c r="O226" s="4">
        <v>2762.5</v>
      </c>
      <c r="P226" s="4">
        <v>2775.5</v>
      </c>
      <c r="Q226" s="4">
        <v>2792</v>
      </c>
      <c r="R226" s="4">
        <v>2834.5</v>
      </c>
      <c r="S226" s="4">
        <v>2820</v>
      </c>
      <c r="T226" s="4">
        <v>2840</v>
      </c>
      <c r="U226" s="4">
        <v>2850</v>
      </c>
      <c r="V226" s="4">
        <v>2840.5</v>
      </c>
      <c r="W226" s="4">
        <v>2836.5</v>
      </c>
      <c r="X226" s="4">
        <v>2920</v>
      </c>
      <c r="Y226" s="4">
        <v>2889</v>
      </c>
      <c r="Z226" s="4">
        <v>2904</v>
      </c>
      <c r="AA226" s="4">
        <v>2846.5</v>
      </c>
      <c r="AB226" s="4">
        <v>2790.5</v>
      </c>
      <c r="AC226" s="4">
        <v>2703</v>
      </c>
      <c r="AD226" s="4">
        <v>2746</v>
      </c>
      <c r="AE226" s="4">
        <v>2749.5</v>
      </c>
      <c r="AF226" s="4">
        <v>2753</v>
      </c>
      <c r="AG226" s="4">
        <v>2725.5</v>
      </c>
      <c r="AH226" s="4">
        <v>2721.5</v>
      </c>
      <c r="AI226" s="4">
        <v>2700.5</v>
      </c>
      <c r="AJ226" s="4">
        <v>2705</v>
      </c>
      <c r="AK226" s="4">
        <v>2703</v>
      </c>
      <c r="AL226" s="4">
        <v>2686.5</v>
      </c>
      <c r="AM226" s="4">
        <v>2619.5</v>
      </c>
      <c r="AN226" s="4">
        <v>2634.5</v>
      </c>
      <c r="AO226" s="4">
        <v>2645.5</v>
      </c>
      <c r="AP226" s="4">
        <v>2667</v>
      </c>
      <c r="AQ226" s="4">
        <v>2658</v>
      </c>
      <c r="AR226" s="4">
        <v>2682</v>
      </c>
      <c r="AS226" s="4">
        <v>2675</v>
      </c>
      <c r="AT226" s="4">
        <v>2630</v>
      </c>
      <c r="AU226" s="4">
        <v>2684.5</v>
      </c>
      <c r="AV226" s="4">
        <v>2714</v>
      </c>
      <c r="AW226" s="4">
        <v>2683.5</v>
      </c>
      <c r="AX226" s="4">
        <v>2681.5</v>
      </c>
      <c r="AY226" s="4">
        <v>2720.5</v>
      </c>
      <c r="AZ226" s="4">
        <v>2733.5</v>
      </c>
      <c r="BA226" s="4">
        <v>2773.5</v>
      </c>
      <c r="BB226" s="4">
        <v>2806.5</v>
      </c>
      <c r="BC226" s="4">
        <v>2765</v>
      </c>
      <c r="BD226" s="4">
        <v>2772.5</v>
      </c>
      <c r="BE226" s="4">
        <v>2811</v>
      </c>
      <c r="BF226" s="4">
        <v>2713</v>
      </c>
      <c r="BG226" s="4">
        <v>2761.5</v>
      </c>
      <c r="BH226" s="4">
        <v>2784.5</v>
      </c>
      <c r="BI226" s="4">
        <v>2800.5</v>
      </c>
      <c r="BJ226" s="4">
        <v>2620</v>
      </c>
      <c r="BK226" s="4">
        <v>2906</v>
      </c>
      <c r="BL226" s="4">
        <v>2924.5</v>
      </c>
      <c r="BM226" s="4">
        <v>2961.5</v>
      </c>
      <c r="BN226" s="4">
        <v>3087</v>
      </c>
      <c r="BO226" s="4">
        <v>2732.5</v>
      </c>
      <c r="BP226" s="4">
        <v>2722.5</v>
      </c>
      <c r="BQ226" s="4">
        <v>2732.5</v>
      </c>
      <c r="BR226" s="4">
        <v>2768.5</v>
      </c>
      <c r="BS226" s="4">
        <v>2622.5</v>
      </c>
      <c r="BT226" s="4">
        <v>2600</v>
      </c>
      <c r="BU226" s="4">
        <v>2608.5</v>
      </c>
      <c r="BV226" s="4">
        <v>2620.5</v>
      </c>
      <c r="BW226" s="4">
        <v>2644.5</v>
      </c>
      <c r="BX226" s="4">
        <v>2654</v>
      </c>
      <c r="BY226" s="4">
        <v>2720</v>
      </c>
      <c r="BZ226" s="4">
        <v>2628.5</v>
      </c>
    </row>
    <row r="227" spans="1:254">
      <c r="A227" s="62" t="s">
        <v>440</v>
      </c>
      <c r="B227" s="4" t="str">
        <f>銘柄管理!C227</f>
        <v>ＮＦエネ資源Ｔ１７</v>
      </c>
      <c r="C227" s="4">
        <f>_xll.RssMarket("1618","現在値")</f>
        <v>32830</v>
      </c>
      <c r="D227" s="4">
        <f t="shared" si="7"/>
        <v>0</v>
      </c>
      <c r="E227" s="67">
        <v>32830</v>
      </c>
      <c r="F227" s="4">
        <v>32240</v>
      </c>
      <c r="G227" s="4">
        <v>32510</v>
      </c>
      <c r="H227" s="4">
        <v>32980</v>
      </c>
      <c r="I227" s="4">
        <v>33640</v>
      </c>
      <c r="J227" s="4">
        <v>33600</v>
      </c>
      <c r="K227" s="4">
        <v>33750</v>
      </c>
      <c r="L227" s="4">
        <v>33460</v>
      </c>
      <c r="M227" s="4">
        <v>33890</v>
      </c>
      <c r="N227" s="4">
        <v>34210</v>
      </c>
      <c r="O227" s="4">
        <v>34040</v>
      </c>
      <c r="P227" s="4">
        <v>33490</v>
      </c>
      <c r="Q227" s="4">
        <v>33120</v>
      </c>
      <c r="R227" s="4">
        <v>31670</v>
      </c>
      <c r="S227" s="4">
        <v>32490</v>
      </c>
      <c r="T227" s="4">
        <v>32010</v>
      </c>
      <c r="U227" s="4">
        <v>32570</v>
      </c>
      <c r="V227" s="4">
        <v>32590</v>
      </c>
      <c r="W227" s="4">
        <v>32620</v>
      </c>
      <c r="X227" s="4">
        <v>32400</v>
      </c>
      <c r="Y227" s="4">
        <v>32580</v>
      </c>
      <c r="Z227" s="4">
        <v>32500</v>
      </c>
      <c r="AA227" s="4">
        <v>31720</v>
      </c>
      <c r="AB227" s="4">
        <v>31360</v>
      </c>
      <c r="AC227" s="4">
        <v>31120</v>
      </c>
      <c r="AD227" s="4">
        <v>31070</v>
      </c>
      <c r="AE227" s="4">
        <v>31660</v>
      </c>
      <c r="AF227" s="4">
        <v>31330</v>
      </c>
      <c r="AG227" s="4">
        <v>31060</v>
      </c>
      <c r="AH227" s="4">
        <v>31770</v>
      </c>
      <c r="AI227" s="4">
        <v>32250</v>
      </c>
      <c r="AJ227" s="4">
        <v>32520</v>
      </c>
      <c r="AK227" s="4">
        <v>32950</v>
      </c>
      <c r="AL227" s="4">
        <v>32320</v>
      </c>
      <c r="AM227" s="4">
        <v>32410</v>
      </c>
      <c r="AN227" s="4">
        <v>32260</v>
      </c>
      <c r="AO227" s="4">
        <v>32890</v>
      </c>
      <c r="AP227" s="4">
        <v>32420</v>
      </c>
      <c r="AQ227" s="4">
        <v>32910</v>
      </c>
      <c r="AR227" s="4">
        <v>32130</v>
      </c>
      <c r="AS227" s="4">
        <v>33540</v>
      </c>
      <c r="AT227" s="4">
        <v>34010</v>
      </c>
      <c r="AU227" s="4">
        <v>33900</v>
      </c>
      <c r="AV227" s="4">
        <v>34900</v>
      </c>
      <c r="AW227" s="4">
        <v>33640</v>
      </c>
      <c r="AX227" s="4">
        <v>34020</v>
      </c>
      <c r="AY227" s="4">
        <v>34140</v>
      </c>
      <c r="AZ227" s="4">
        <v>34190</v>
      </c>
      <c r="BA227" s="4">
        <v>34050</v>
      </c>
      <c r="BB227" s="4">
        <v>34840</v>
      </c>
      <c r="BC227" s="4">
        <v>35000</v>
      </c>
      <c r="BD227" s="4">
        <v>35570</v>
      </c>
      <c r="BE227" s="4">
        <v>36050</v>
      </c>
      <c r="BF227" s="4">
        <v>35830</v>
      </c>
      <c r="BG227" s="4">
        <v>36390</v>
      </c>
      <c r="BH227" s="4">
        <v>35670</v>
      </c>
      <c r="BI227" s="4">
        <v>36000</v>
      </c>
      <c r="BJ227" s="4">
        <v>36560</v>
      </c>
      <c r="BK227" s="4">
        <v>35330</v>
      </c>
      <c r="BL227" s="4">
        <v>34850</v>
      </c>
      <c r="BM227" s="4">
        <v>35260</v>
      </c>
      <c r="BN227" s="4">
        <v>36430</v>
      </c>
      <c r="BO227" s="4">
        <v>36110</v>
      </c>
      <c r="BP227" s="4">
        <v>36200</v>
      </c>
      <c r="BQ227" s="4">
        <v>35000</v>
      </c>
      <c r="BR227" s="4">
        <v>36020</v>
      </c>
      <c r="BS227" s="4">
        <v>35630</v>
      </c>
      <c r="BT227" s="4">
        <v>35340</v>
      </c>
      <c r="BU227" s="4">
        <v>35700</v>
      </c>
      <c r="BV227" s="4">
        <v>36070</v>
      </c>
      <c r="BW227" s="4">
        <v>37180</v>
      </c>
      <c r="BX227" s="4">
        <v>37580</v>
      </c>
      <c r="BY227" s="4">
        <v>38060</v>
      </c>
      <c r="BZ227" s="4">
        <v>38660</v>
      </c>
    </row>
    <row r="228" spans="1:254">
      <c r="A228" s="62" t="s">
        <v>441</v>
      </c>
      <c r="C228" s="4">
        <f>_xll.RssMarket("3696","現在値")</f>
        <v>2072</v>
      </c>
      <c r="D228" s="4">
        <f t="shared" si="7"/>
        <v>0</v>
      </c>
      <c r="E228" s="67">
        <v>2072</v>
      </c>
      <c r="F228" s="4">
        <v>2057</v>
      </c>
    </row>
    <row r="229" spans="1:254">
      <c r="A229" s="62" t="s">
        <v>442</v>
      </c>
      <c r="B229" s="4" t="str">
        <f>銘柄管理!C229</f>
        <v>児玉化学</v>
      </c>
      <c r="C229" s="4">
        <f>_xll.RssMarket("4222","現在値")</f>
        <v>609</v>
      </c>
      <c r="D229" s="4">
        <f t="shared" si="7"/>
        <v>0</v>
      </c>
      <c r="E229" s="67">
        <v>609</v>
      </c>
      <c r="F229" s="4">
        <v>613</v>
      </c>
      <c r="G229" s="4">
        <v>590</v>
      </c>
      <c r="H229" s="4">
        <v>566</v>
      </c>
      <c r="I229" s="4">
        <v>572</v>
      </c>
      <c r="J229" s="4">
        <v>550</v>
      </c>
      <c r="K229" s="4">
        <v>556</v>
      </c>
      <c r="L229" s="4">
        <v>569</v>
      </c>
      <c r="M229" s="4">
        <v>593</v>
      </c>
      <c r="O229" s="4">
        <v>611</v>
      </c>
      <c r="P229" s="4">
        <v>615</v>
      </c>
      <c r="Q229" s="4">
        <v>610</v>
      </c>
      <c r="R229" s="4">
        <v>601</v>
      </c>
      <c r="S229" s="4">
        <v>650</v>
      </c>
      <c r="T229" s="4">
        <v>650</v>
      </c>
      <c r="U229" s="4">
        <v>649</v>
      </c>
      <c r="V229" s="4">
        <v>661</v>
      </c>
      <c r="W229" s="4">
        <v>646</v>
      </c>
      <c r="X229" s="4">
        <v>645</v>
      </c>
      <c r="Y229" s="4">
        <v>664</v>
      </c>
      <c r="Z229" s="4">
        <v>679</v>
      </c>
      <c r="AA229" s="4">
        <v>681</v>
      </c>
      <c r="AB229" s="4">
        <v>653</v>
      </c>
      <c r="AC229" s="4">
        <v>649</v>
      </c>
      <c r="AD229" s="4">
        <v>641</v>
      </c>
      <c r="AE229" s="4">
        <v>653</v>
      </c>
      <c r="AF229" s="4">
        <v>658</v>
      </c>
      <c r="AG229" s="4">
        <v>666</v>
      </c>
      <c r="AH229" s="4">
        <v>671</v>
      </c>
      <c r="AI229" s="4">
        <v>700</v>
      </c>
      <c r="AJ229" s="4">
        <v>718</v>
      </c>
      <c r="AK229" s="4">
        <v>707</v>
      </c>
      <c r="AL229" s="4">
        <v>701</v>
      </c>
      <c r="AM229" s="4">
        <v>723</v>
      </c>
      <c r="AN229" s="4">
        <v>691</v>
      </c>
      <c r="AO229" s="4">
        <v>697</v>
      </c>
      <c r="AP229" s="4">
        <v>654</v>
      </c>
      <c r="AQ229" s="4">
        <v>660</v>
      </c>
      <c r="AR229" s="4">
        <v>665</v>
      </c>
      <c r="AS229" s="4">
        <v>693</v>
      </c>
      <c r="AT229" s="4">
        <v>714</v>
      </c>
      <c r="AU229" s="4">
        <v>697</v>
      </c>
      <c r="AV229" s="4">
        <v>715</v>
      </c>
      <c r="AW229" s="4">
        <v>688</v>
      </c>
      <c r="AX229" s="4">
        <v>731</v>
      </c>
      <c r="AY229" s="4">
        <v>744</v>
      </c>
      <c r="AZ229" s="4">
        <v>755</v>
      </c>
      <c r="BA229" s="4">
        <v>791</v>
      </c>
      <c r="BB229" s="4">
        <v>788</v>
      </c>
      <c r="BC229" s="4">
        <v>800</v>
      </c>
      <c r="BD229" s="4">
        <v>809</v>
      </c>
      <c r="BE229" s="4">
        <v>855</v>
      </c>
      <c r="BF229" s="4">
        <v>859</v>
      </c>
      <c r="BG229" s="4">
        <v>894</v>
      </c>
      <c r="BH229" s="4">
        <v>1194</v>
      </c>
      <c r="BI229" s="4">
        <v>1235</v>
      </c>
      <c r="BJ229" s="4">
        <v>1266</v>
      </c>
      <c r="BK229" s="4">
        <v>1262</v>
      </c>
      <c r="BL229" s="4">
        <v>1165</v>
      </c>
      <c r="BM229" s="4">
        <v>1146</v>
      </c>
      <c r="BN229" s="4">
        <v>1109</v>
      </c>
      <c r="BO229" s="4">
        <v>1118</v>
      </c>
      <c r="BP229" s="4">
        <v>1124</v>
      </c>
      <c r="BQ229" s="4">
        <v>1140</v>
      </c>
      <c r="BR229" s="4">
        <v>1149</v>
      </c>
      <c r="BS229" s="4">
        <v>1134</v>
      </c>
      <c r="BT229" s="4">
        <v>1159</v>
      </c>
      <c r="BU229" s="4">
        <v>1186</v>
      </c>
      <c r="BV229" s="4">
        <v>1199</v>
      </c>
      <c r="BW229" s="4">
        <v>1151</v>
      </c>
      <c r="BX229" s="4">
        <v>1160</v>
      </c>
      <c r="BY229" s="4">
        <v>1140</v>
      </c>
      <c r="BZ229" s="4">
        <v>1138</v>
      </c>
    </row>
    <row r="230" spans="1:254">
      <c r="A230" s="62" t="s">
        <v>443</v>
      </c>
      <c r="B230" s="4" t="str">
        <f>銘柄管理!C230</f>
        <v>ＦＯＯＤ＆ＬＩＦＥＣＯＭＰＡＮ</v>
      </c>
      <c r="C230" s="4">
        <f>_xll.RssMarket("3563","現在値")</f>
        <v>5820</v>
      </c>
      <c r="D230" s="4">
        <f t="shared" si="7"/>
        <v>0</v>
      </c>
      <c r="E230" s="4">
        <v>5820</v>
      </c>
      <c r="F230" s="4">
        <v>5901</v>
      </c>
    </row>
    <row r="231" spans="1:254">
      <c r="A231" s="62" t="s">
        <v>444</v>
      </c>
      <c r="B231" s="4" t="str">
        <f>銘柄管理!C231</f>
        <v>ＩＨＩ</v>
      </c>
      <c r="C231" s="4">
        <f>_xll.RssMarket("7013","現在値")</f>
        <v>2638.5</v>
      </c>
      <c r="D231" s="4">
        <f t="shared" si="7"/>
        <v>0</v>
      </c>
      <c r="E231" s="4">
        <v>2638.5</v>
      </c>
      <c r="F231" s="4">
        <v>2691.5</v>
      </c>
      <c r="G231" s="4">
        <v>2879.5</v>
      </c>
      <c r="H231" s="4">
        <v>2771</v>
      </c>
      <c r="I231" s="4">
        <v>2827.5</v>
      </c>
      <c r="J231" s="4">
        <v>2771.5</v>
      </c>
      <c r="K231" s="4">
        <v>2755</v>
      </c>
      <c r="L231" s="4">
        <v>2774.5</v>
      </c>
      <c r="M231" s="4">
        <v>2836</v>
      </c>
      <c r="O231" s="4">
        <v>2889</v>
      </c>
      <c r="P231" s="4">
        <v>2779</v>
      </c>
      <c r="Q231" s="4">
        <v>2780</v>
      </c>
      <c r="R231" s="4">
        <v>2666.5</v>
      </c>
      <c r="S231" s="4">
        <v>2811.5</v>
      </c>
      <c r="T231" s="4">
        <v>2815</v>
      </c>
      <c r="U231" s="4">
        <v>2812.5</v>
      </c>
      <c r="V231" s="4">
        <v>2810.5</v>
      </c>
      <c r="W231" s="4">
        <v>2813</v>
      </c>
      <c r="X231" s="4">
        <v>2892</v>
      </c>
      <c r="Y231" s="4">
        <v>2982</v>
      </c>
      <c r="Z231" s="4">
        <v>3071</v>
      </c>
      <c r="AA231" s="4">
        <v>2869.5</v>
      </c>
      <c r="AB231" s="4">
        <v>2801.5</v>
      </c>
      <c r="AC231" s="4">
        <v>2673.5</v>
      </c>
      <c r="AD231" s="4">
        <v>2711.5</v>
      </c>
      <c r="AE231" s="4">
        <v>2675</v>
      </c>
      <c r="AF231" s="4">
        <v>2672.5</v>
      </c>
      <c r="AG231" s="4">
        <v>2719</v>
      </c>
      <c r="AH231" s="4">
        <v>2782.5</v>
      </c>
      <c r="AI231" s="4">
        <v>2717.5</v>
      </c>
      <c r="AJ231" s="4">
        <v>2816.5</v>
      </c>
      <c r="AK231" s="4">
        <v>2817</v>
      </c>
      <c r="AL231" s="4">
        <v>2866</v>
      </c>
      <c r="AM231" s="4">
        <v>2916.5</v>
      </c>
      <c r="AN231" s="4">
        <v>2774.5</v>
      </c>
      <c r="AO231" s="4">
        <v>2705</v>
      </c>
      <c r="AP231" s="4">
        <v>2430</v>
      </c>
      <c r="AQ231" s="4">
        <v>2358</v>
      </c>
      <c r="AR231" s="4">
        <v>2439.5</v>
      </c>
      <c r="AS231" s="4">
        <v>2505</v>
      </c>
      <c r="AT231" s="4">
        <v>2574</v>
      </c>
      <c r="AU231" s="4">
        <v>2538.5</v>
      </c>
      <c r="AV231" s="4">
        <v>2486.5</v>
      </c>
      <c r="AW231" s="4">
        <v>2588.5</v>
      </c>
      <c r="AX231" s="4">
        <v>2766.5</v>
      </c>
      <c r="AY231" s="4">
        <v>2730</v>
      </c>
      <c r="AZ231" s="4">
        <v>2818</v>
      </c>
      <c r="BA231" s="4">
        <v>2839.5</v>
      </c>
      <c r="BB231" s="4">
        <v>2761</v>
      </c>
      <c r="BC231" s="4">
        <v>2675</v>
      </c>
      <c r="BD231" s="4">
        <v>2554.5</v>
      </c>
      <c r="BE231" s="4">
        <v>2561</v>
      </c>
      <c r="BF231" s="4">
        <v>2670.5</v>
      </c>
      <c r="BG231" s="4">
        <v>2685</v>
      </c>
      <c r="BH231" s="4">
        <v>2679.5</v>
      </c>
      <c r="BI231" s="4">
        <v>2832.5</v>
      </c>
      <c r="BJ231" s="4">
        <v>2806</v>
      </c>
      <c r="BK231" s="4">
        <v>2870</v>
      </c>
      <c r="BL231" s="4">
        <v>3059</v>
      </c>
      <c r="BM231" s="4">
        <v>3045</v>
      </c>
      <c r="BN231" s="4">
        <v>2880</v>
      </c>
      <c r="BO231" s="4">
        <v>2853</v>
      </c>
      <c r="BP231" s="4">
        <v>2959.5</v>
      </c>
      <c r="BQ231" s="4">
        <v>2901</v>
      </c>
      <c r="BR231" s="4">
        <v>2995</v>
      </c>
      <c r="BS231" s="4">
        <v>3027</v>
      </c>
      <c r="BT231" s="4">
        <v>3054</v>
      </c>
      <c r="BU231" s="4">
        <v>3087</v>
      </c>
      <c r="BV231" s="4">
        <v>3153</v>
      </c>
      <c r="BW231" s="4">
        <v>3120</v>
      </c>
      <c r="BX231" s="4">
        <v>3210</v>
      </c>
      <c r="BY231" s="4">
        <v>3153</v>
      </c>
      <c r="BZ231" s="4">
        <v>3293</v>
      </c>
    </row>
    <row r="232" spans="1:254">
      <c r="A232" s="62" t="s">
        <v>445</v>
      </c>
      <c r="B232" s="4" t="str">
        <f>銘柄管理!C232</f>
        <v>ＮＥＣキャピタルソリューション</v>
      </c>
      <c r="C232" s="4">
        <f>_xll.RssMarket("8793","現在値")</f>
        <v>4055</v>
      </c>
      <c r="D232" s="4">
        <f t="shared" si="7"/>
        <v>0</v>
      </c>
      <c r="E232" s="4">
        <v>4055</v>
      </c>
      <c r="F232" s="4">
        <v>4025</v>
      </c>
      <c r="G232" s="4">
        <v>4020</v>
      </c>
      <c r="H232" s="4">
        <v>4085</v>
      </c>
      <c r="I232" s="4">
        <v>4150</v>
      </c>
      <c r="J232" s="4">
        <v>4200</v>
      </c>
      <c r="K232" s="4">
        <v>4205</v>
      </c>
      <c r="L232" s="4">
        <v>4110</v>
      </c>
      <c r="M232" s="4">
        <v>4120</v>
      </c>
      <c r="N232" s="4">
        <v>4065</v>
      </c>
      <c r="O232" s="4">
        <v>4110</v>
      </c>
      <c r="P232" s="4">
        <v>4115</v>
      </c>
      <c r="Q232" s="4">
        <v>4085</v>
      </c>
      <c r="R232" s="4">
        <v>4015</v>
      </c>
      <c r="S232" s="4">
        <v>4105</v>
      </c>
      <c r="T232" s="4">
        <v>4130</v>
      </c>
      <c r="U232" s="4">
        <v>4135</v>
      </c>
      <c r="V232" s="4">
        <v>4145</v>
      </c>
      <c r="W232" s="4">
        <v>4120</v>
      </c>
      <c r="X232" s="4">
        <v>4105</v>
      </c>
      <c r="Y232" s="4">
        <v>4090</v>
      </c>
      <c r="Z232" s="4">
        <v>4075</v>
      </c>
      <c r="AA232" s="4">
        <v>3990</v>
      </c>
      <c r="AB232" s="4">
        <v>3970</v>
      </c>
      <c r="AC232" s="4">
        <v>3970</v>
      </c>
      <c r="AD232" s="4">
        <v>3985</v>
      </c>
      <c r="AE232" s="4">
        <v>3980</v>
      </c>
      <c r="AF232" s="4">
        <v>3970</v>
      </c>
      <c r="AG232" s="4">
        <v>4030</v>
      </c>
      <c r="AH232" s="4">
        <v>4010</v>
      </c>
      <c r="AI232" s="4">
        <v>4025</v>
      </c>
      <c r="AJ232" s="4">
        <v>4065</v>
      </c>
      <c r="AK232" s="4">
        <v>4100</v>
      </c>
      <c r="AL232" s="4">
        <v>4095</v>
      </c>
      <c r="AM232" s="4">
        <v>4100</v>
      </c>
      <c r="AN232" s="4">
        <v>4135</v>
      </c>
      <c r="AO232" s="4">
        <v>4145</v>
      </c>
      <c r="AP232" s="4">
        <v>4175</v>
      </c>
      <c r="AQ232" s="4">
        <v>4105</v>
      </c>
      <c r="AR232" s="4">
        <v>4130</v>
      </c>
      <c r="AS232" s="4">
        <v>4025</v>
      </c>
      <c r="AT232" s="4">
        <v>4045</v>
      </c>
      <c r="AU232" s="4">
        <v>3945</v>
      </c>
      <c r="AV232" s="4">
        <v>3930</v>
      </c>
      <c r="AW232" s="4">
        <v>3870</v>
      </c>
      <c r="AX232" s="4">
        <v>3970</v>
      </c>
      <c r="AY232" s="4">
        <v>3960</v>
      </c>
      <c r="AZ232" s="4">
        <v>3940</v>
      </c>
      <c r="BA232" s="4">
        <v>3950</v>
      </c>
      <c r="BB232" s="4">
        <v>3985</v>
      </c>
      <c r="BC232" s="4">
        <v>4010</v>
      </c>
      <c r="BD232" s="4">
        <v>3965</v>
      </c>
      <c r="BE232" s="4">
        <v>3970</v>
      </c>
      <c r="BF232" s="4">
        <v>3910</v>
      </c>
      <c r="BG232" s="4">
        <v>3975</v>
      </c>
      <c r="BH232" s="4">
        <v>3990</v>
      </c>
      <c r="BI232" s="4">
        <v>4015</v>
      </c>
      <c r="BJ232" s="4">
        <v>4020</v>
      </c>
      <c r="BK232" s="4">
        <v>4035</v>
      </c>
      <c r="BL232" s="4">
        <v>4055</v>
      </c>
      <c r="BM232" s="4">
        <v>4040</v>
      </c>
      <c r="BN232" s="4">
        <v>4000</v>
      </c>
      <c r="BO232" s="4">
        <v>4055</v>
      </c>
      <c r="BP232" s="4">
        <v>4265</v>
      </c>
      <c r="BQ232" s="4">
        <v>4165</v>
      </c>
      <c r="BR232" s="4">
        <v>4265</v>
      </c>
      <c r="BS232" s="4">
        <v>4195</v>
      </c>
      <c r="BT232" s="4">
        <v>4215</v>
      </c>
      <c r="BU232" s="4">
        <v>4255</v>
      </c>
      <c r="BV232" s="4">
        <v>4285</v>
      </c>
      <c r="BW232" s="4">
        <v>4265</v>
      </c>
      <c r="BX232" s="4">
        <v>4280</v>
      </c>
      <c r="BY232" s="4">
        <v>4275</v>
      </c>
      <c r="BZ232" s="4">
        <v>4215</v>
      </c>
    </row>
    <row r="233" spans="1:254">
      <c r="A233" s="62" t="s">
        <v>446</v>
      </c>
      <c r="B233" s="4" t="str">
        <f>銘柄管理!C233</f>
        <v>ミスミグループ本社</v>
      </c>
      <c r="C233" s="4">
        <f>_xll.RssMarket("9962","現在値")</f>
        <v>3806</v>
      </c>
      <c r="D233" s="4">
        <f t="shared" si="7"/>
        <v>0</v>
      </c>
      <c r="E233" s="4">
        <v>3806</v>
      </c>
      <c r="F233" s="4">
        <v>3814</v>
      </c>
      <c r="G233" s="4">
        <v>4051</v>
      </c>
      <c r="H233" s="4">
        <v>3952</v>
      </c>
      <c r="I233" s="4">
        <v>3861</v>
      </c>
      <c r="J233" s="4">
        <v>3479</v>
      </c>
      <c r="K233" s="4">
        <v>3518</v>
      </c>
      <c r="L233" s="4">
        <v>3459</v>
      </c>
      <c r="M233" s="4">
        <v>3677</v>
      </c>
      <c r="N233" s="4">
        <v>3583</v>
      </c>
      <c r="O233" s="4">
        <v>3739</v>
      </c>
      <c r="P233" s="4">
        <v>3711</v>
      </c>
      <c r="Q233" s="4">
        <v>3723</v>
      </c>
      <c r="R233" s="4">
        <v>3632</v>
      </c>
      <c r="S233" s="4">
        <v>3854</v>
      </c>
      <c r="T233" s="4">
        <v>3783</v>
      </c>
      <c r="U233" s="4">
        <v>3872</v>
      </c>
      <c r="V233" s="4">
        <v>3994</v>
      </c>
      <c r="W233" s="4">
        <v>3951</v>
      </c>
      <c r="X233" s="4">
        <v>3899</v>
      </c>
      <c r="Y233" s="4">
        <v>3999</v>
      </c>
      <c r="Z233" s="4">
        <v>4150</v>
      </c>
      <c r="AA233" s="4">
        <v>4187</v>
      </c>
      <c r="AB233" s="4">
        <v>4065</v>
      </c>
      <c r="AC233" s="4">
        <v>3981</v>
      </c>
      <c r="AD233" s="4">
        <v>3994</v>
      </c>
      <c r="AE233" s="4">
        <v>3932</v>
      </c>
      <c r="AF233" s="4">
        <v>3814</v>
      </c>
      <c r="AG233" s="4">
        <v>3767</v>
      </c>
      <c r="AH233" s="4">
        <v>3773</v>
      </c>
      <c r="AI233" s="4">
        <v>3684</v>
      </c>
      <c r="AJ233" s="4">
        <v>3860</v>
      </c>
      <c r="AK233" s="4">
        <v>3850</v>
      </c>
      <c r="AL233" s="4">
        <v>3895</v>
      </c>
      <c r="AM233" s="4">
        <v>3859</v>
      </c>
      <c r="AN233" s="4">
        <v>3875</v>
      </c>
      <c r="AO233" s="4">
        <v>3811</v>
      </c>
      <c r="AP233" s="4">
        <v>3705</v>
      </c>
      <c r="AQ233" s="4">
        <v>3645</v>
      </c>
      <c r="AR233" s="4">
        <v>3638</v>
      </c>
      <c r="AS233" s="4">
        <v>3611</v>
      </c>
      <c r="AT233" s="4">
        <v>3742</v>
      </c>
      <c r="AU233" s="4">
        <v>3768</v>
      </c>
      <c r="AV233" s="4">
        <v>3828</v>
      </c>
      <c r="AW233" s="4">
        <v>3627</v>
      </c>
      <c r="AX233" s="4">
        <v>3773</v>
      </c>
      <c r="AY233" s="4">
        <v>3635</v>
      </c>
      <c r="AZ233" s="4">
        <v>3555</v>
      </c>
      <c r="BA233" s="4">
        <v>3509</v>
      </c>
      <c r="BB233" s="4">
        <v>3376</v>
      </c>
      <c r="BC233" s="4">
        <v>3227</v>
      </c>
      <c r="BD233" s="4">
        <v>3129</v>
      </c>
      <c r="BE233" s="4">
        <v>3129</v>
      </c>
      <c r="BF233" s="4">
        <v>3151</v>
      </c>
      <c r="BG233" s="4">
        <v>3229</v>
      </c>
      <c r="BH233" s="4">
        <v>3374</v>
      </c>
      <c r="BI233" s="4">
        <v>3289</v>
      </c>
      <c r="BJ233" s="4">
        <v>3382</v>
      </c>
      <c r="BK233" s="4">
        <v>3426</v>
      </c>
      <c r="BL233" s="4">
        <v>3490</v>
      </c>
      <c r="BM233" s="4">
        <v>3452</v>
      </c>
      <c r="BN233" s="4">
        <v>3428</v>
      </c>
      <c r="BO233" s="4">
        <v>3589</v>
      </c>
      <c r="BP233" s="4">
        <v>3335</v>
      </c>
      <c r="BQ233" s="4">
        <v>3393</v>
      </c>
      <c r="BR233" s="4">
        <v>3042</v>
      </c>
      <c r="BS233" s="4">
        <v>3001</v>
      </c>
      <c r="BT233" s="4">
        <v>3090</v>
      </c>
      <c r="BU233" s="4">
        <v>3111</v>
      </c>
      <c r="BV233" s="4">
        <v>3132</v>
      </c>
      <c r="BW233" s="4">
        <v>3051</v>
      </c>
      <c r="BX233" s="4">
        <v>3049</v>
      </c>
      <c r="BY233" s="4">
        <v>3025</v>
      </c>
      <c r="BZ233" s="4">
        <v>2959</v>
      </c>
    </row>
    <row r="234" spans="1:254">
      <c r="A234" s="62" t="s">
        <v>447</v>
      </c>
      <c r="B234" s="4" t="str">
        <f>銘柄管理!C234</f>
        <v>ＴＤＫ</v>
      </c>
      <c r="C234" s="4">
        <f>_xll.RssMarket("6762","現在値")</f>
        <v>3013</v>
      </c>
      <c r="D234" s="4">
        <f t="shared" si="7"/>
        <v>0</v>
      </c>
      <c r="E234" s="4">
        <v>3013</v>
      </c>
      <c r="F234" s="4">
        <v>3150</v>
      </c>
      <c r="G234" s="4">
        <v>3052</v>
      </c>
      <c r="H234" s="4">
        <v>3092</v>
      </c>
      <c r="I234" s="4">
        <v>3008</v>
      </c>
      <c r="J234" s="4">
        <v>2811.5</v>
      </c>
      <c r="K234" s="4">
        <v>2746</v>
      </c>
      <c r="L234" s="4">
        <v>2927.5</v>
      </c>
      <c r="M234" s="4">
        <v>3012</v>
      </c>
      <c r="N234" s="4">
        <v>3021</v>
      </c>
      <c r="O234" s="4">
        <v>3116</v>
      </c>
      <c r="P234" s="4">
        <v>3107</v>
      </c>
      <c r="Q234" s="4">
        <v>3073</v>
      </c>
      <c r="R234" s="4">
        <v>2968</v>
      </c>
      <c r="S234" s="4">
        <v>3246</v>
      </c>
      <c r="T234" s="4">
        <v>3234</v>
      </c>
      <c r="U234" s="4">
        <v>3203</v>
      </c>
      <c r="V234" s="4">
        <v>3389</v>
      </c>
      <c r="W234" s="4">
        <v>3382</v>
      </c>
      <c r="X234" s="4">
        <v>3298</v>
      </c>
      <c r="Y234" s="4">
        <v>3357</v>
      </c>
      <c r="Z234" s="4">
        <v>3501</v>
      </c>
      <c r="AA234" s="4">
        <v>3699</v>
      </c>
      <c r="AB234" s="4">
        <v>3660</v>
      </c>
      <c r="AC234" s="4">
        <v>3700</v>
      </c>
      <c r="AD234" s="4">
        <v>3570</v>
      </c>
      <c r="AE234" s="4">
        <v>3593</v>
      </c>
      <c r="AF234" s="4">
        <v>3575</v>
      </c>
      <c r="AG234" s="4">
        <v>3908</v>
      </c>
      <c r="AH234" s="4">
        <v>3816</v>
      </c>
      <c r="AI234" s="4">
        <v>3943</v>
      </c>
      <c r="AJ234" s="4">
        <v>4063</v>
      </c>
      <c r="AK234" s="4">
        <v>3909</v>
      </c>
      <c r="AL234" s="4">
        <v>3855</v>
      </c>
      <c r="AM234" s="4">
        <v>3830</v>
      </c>
      <c r="AN234" s="4">
        <v>3802</v>
      </c>
      <c r="AO234" s="4">
        <v>3906</v>
      </c>
      <c r="AP234" s="4">
        <v>3504</v>
      </c>
      <c r="AQ234" s="4">
        <v>3561</v>
      </c>
      <c r="AR234" s="4">
        <v>3640</v>
      </c>
      <c r="AS234" s="4">
        <v>3715</v>
      </c>
      <c r="AT234" s="4">
        <v>4111</v>
      </c>
      <c r="AU234" s="4">
        <v>3950</v>
      </c>
      <c r="AV234" s="4">
        <v>3950</v>
      </c>
      <c r="AW234" s="4">
        <v>3849</v>
      </c>
      <c r="AX234" s="4">
        <v>4108</v>
      </c>
      <c r="AY234" s="4">
        <v>3796</v>
      </c>
      <c r="AZ234" s="4">
        <v>3608</v>
      </c>
      <c r="BA234" s="4">
        <v>3715</v>
      </c>
      <c r="BB234" s="4">
        <v>3370</v>
      </c>
      <c r="BC234" s="4">
        <v>3141</v>
      </c>
      <c r="BD234" s="4">
        <v>2943</v>
      </c>
      <c r="BE234" s="4">
        <v>2985.5</v>
      </c>
      <c r="BF234" s="4">
        <v>2977.5</v>
      </c>
      <c r="BG234" s="4">
        <v>2993</v>
      </c>
      <c r="BH234" s="4">
        <v>3072</v>
      </c>
      <c r="BI234" s="4">
        <v>2916.5</v>
      </c>
      <c r="BJ234" s="4">
        <v>2961</v>
      </c>
      <c r="BK234" s="4">
        <v>2936</v>
      </c>
      <c r="BL234" s="4">
        <v>2923.5</v>
      </c>
      <c r="BM234" s="4">
        <v>2896</v>
      </c>
      <c r="BN234" s="4">
        <v>2775.5</v>
      </c>
      <c r="BO234" s="4">
        <v>2890.5</v>
      </c>
      <c r="BP234" s="4">
        <v>2677</v>
      </c>
      <c r="BQ234" s="4">
        <v>2718</v>
      </c>
      <c r="BR234" s="4">
        <v>2689.5</v>
      </c>
      <c r="BS234" s="4">
        <v>2662</v>
      </c>
      <c r="BT234" s="4">
        <v>2700.5</v>
      </c>
      <c r="BU234" s="4">
        <v>2576</v>
      </c>
      <c r="BV234" s="4">
        <v>2542</v>
      </c>
      <c r="BW234" s="4">
        <v>2616</v>
      </c>
      <c r="BX234" s="4">
        <v>2540</v>
      </c>
      <c r="BY234" s="4">
        <v>2246.5</v>
      </c>
      <c r="BZ234" s="4">
        <v>2273</v>
      </c>
    </row>
    <row r="235" spans="1:254">
      <c r="A235" s="62" t="s">
        <v>448</v>
      </c>
      <c r="B235" s="4" t="str">
        <f>銘柄管理!C235</f>
        <v>ＦＩＧ</v>
      </c>
      <c r="C235" s="4">
        <f>_xll.RssMarket("4392","現在値")</f>
        <v>934</v>
      </c>
      <c r="D235" s="4">
        <f t="shared" si="7"/>
        <v>0</v>
      </c>
      <c r="E235" s="4">
        <v>934</v>
      </c>
      <c r="F235" s="4">
        <v>933</v>
      </c>
      <c r="G235" s="4">
        <v>871</v>
      </c>
      <c r="H235" s="4">
        <v>836</v>
      </c>
      <c r="I235" s="4">
        <v>875</v>
      </c>
      <c r="J235" s="4">
        <v>817</v>
      </c>
      <c r="K235" s="4">
        <v>847</v>
      </c>
      <c r="L235" s="4">
        <v>891</v>
      </c>
      <c r="M235" s="4">
        <v>949</v>
      </c>
      <c r="N235" s="4">
        <v>1015</v>
      </c>
      <c r="O235" s="4">
        <v>1075</v>
      </c>
      <c r="P235" s="4">
        <v>1065</v>
      </c>
      <c r="Q235" s="4">
        <v>1070</v>
      </c>
      <c r="R235" s="4">
        <v>1064</v>
      </c>
      <c r="S235" s="4">
        <v>1108</v>
      </c>
      <c r="T235" s="4">
        <v>1032</v>
      </c>
      <c r="U235" s="4">
        <v>1051</v>
      </c>
      <c r="V235" s="4">
        <v>1090</v>
      </c>
      <c r="W235" s="4">
        <v>1057</v>
      </c>
      <c r="X235" s="4">
        <v>1102</v>
      </c>
      <c r="Y235" s="4">
        <v>1097</v>
      </c>
      <c r="Z235" s="4">
        <v>1137</v>
      </c>
      <c r="AA235" s="4">
        <v>1171</v>
      </c>
      <c r="AB235" s="4">
        <v>1115</v>
      </c>
      <c r="AC235" s="4">
        <v>1100</v>
      </c>
      <c r="AD235" s="4">
        <v>1126</v>
      </c>
      <c r="AE235" s="4">
        <v>1110</v>
      </c>
      <c r="AF235" s="4">
        <v>1115</v>
      </c>
      <c r="AG235" s="4">
        <v>1160</v>
      </c>
      <c r="AH235" s="4">
        <v>1203</v>
      </c>
      <c r="AI235" s="4">
        <v>1125</v>
      </c>
      <c r="AJ235" s="4">
        <v>1197</v>
      </c>
      <c r="AK235" s="4">
        <v>1143</v>
      </c>
      <c r="AL235" s="4">
        <v>1280</v>
      </c>
      <c r="AM235" s="4">
        <v>1270</v>
      </c>
      <c r="AN235" s="4">
        <v>1246</v>
      </c>
      <c r="AO235" s="4">
        <v>1317</v>
      </c>
      <c r="AP235" s="4">
        <v>1347</v>
      </c>
      <c r="AQ235" s="4">
        <v>1421</v>
      </c>
      <c r="AR235" s="4">
        <v>1588</v>
      </c>
      <c r="AS235" s="4">
        <v>1596</v>
      </c>
      <c r="AT235" s="4">
        <v>1360</v>
      </c>
      <c r="AU235" s="4">
        <v>1363</v>
      </c>
      <c r="AV235" s="4">
        <v>1629</v>
      </c>
      <c r="AW235" s="4">
        <v>1705</v>
      </c>
      <c r="AX235" s="4">
        <v>1781</v>
      </c>
      <c r="AY235" s="4">
        <v>2039</v>
      </c>
      <c r="AZ235" s="4">
        <v>2246</v>
      </c>
      <c r="BA235" s="4">
        <v>2185</v>
      </c>
      <c r="BB235" s="4">
        <v>1785</v>
      </c>
      <c r="BC235" s="4">
        <v>1981</v>
      </c>
      <c r="BD235" s="4">
        <v>1581</v>
      </c>
      <c r="BE235" s="4">
        <v>1360</v>
      </c>
      <c r="BF235" s="4">
        <v>1060</v>
      </c>
      <c r="BG235" s="4">
        <v>910</v>
      </c>
      <c r="BH235" s="4">
        <v>760</v>
      </c>
      <c r="BI235" s="4">
        <v>735</v>
      </c>
      <c r="BJ235" s="4">
        <v>870</v>
      </c>
      <c r="BK235" s="4">
        <v>509</v>
      </c>
      <c r="BL235" s="4">
        <v>429</v>
      </c>
      <c r="BM235" s="4">
        <v>349</v>
      </c>
      <c r="BN235" s="4">
        <v>345</v>
      </c>
      <c r="BO235" s="4">
        <v>344</v>
      </c>
      <c r="BP235" s="4">
        <v>353</v>
      </c>
      <c r="BQ235" s="4">
        <v>356</v>
      </c>
      <c r="BR235" s="4">
        <v>348</v>
      </c>
      <c r="BS235" s="4">
        <v>347</v>
      </c>
      <c r="BT235" s="4">
        <v>350</v>
      </c>
      <c r="BU235" s="4">
        <v>347</v>
      </c>
      <c r="BV235" s="4">
        <v>336</v>
      </c>
      <c r="BW235" s="4">
        <v>328</v>
      </c>
      <c r="BX235" s="4">
        <v>329</v>
      </c>
      <c r="BY235" s="4">
        <v>323</v>
      </c>
      <c r="BZ235" s="4">
        <v>322</v>
      </c>
    </row>
    <row r="236" spans="1:254">
      <c r="A236" s="62" t="s">
        <v>449</v>
      </c>
      <c r="B236" s="4" t="str">
        <f>銘柄管理!C236</f>
        <v>スクロール</v>
      </c>
      <c r="C236" s="4">
        <f>_xll.RssMarket("8005","現在値")</f>
        <v>1841</v>
      </c>
      <c r="D236" s="4">
        <f t="shared" si="7"/>
        <v>0</v>
      </c>
      <c r="E236" s="4">
        <v>1841</v>
      </c>
      <c r="F236" s="4">
        <v>1809</v>
      </c>
      <c r="G236" s="4">
        <v>1809</v>
      </c>
      <c r="H236" s="4">
        <v>1814</v>
      </c>
      <c r="I236" s="4">
        <v>1701</v>
      </c>
      <c r="J236" s="4">
        <v>1723</v>
      </c>
      <c r="K236" s="4">
        <v>1725</v>
      </c>
      <c r="L236" s="4">
        <v>1714</v>
      </c>
      <c r="M236" s="4">
        <v>1716</v>
      </c>
      <c r="N236" s="4">
        <v>1695</v>
      </c>
      <c r="O236" s="4">
        <v>1711</v>
      </c>
      <c r="P236" s="4">
        <v>1721</v>
      </c>
      <c r="Q236" s="4">
        <v>1742</v>
      </c>
      <c r="R236" s="4">
        <v>1713</v>
      </c>
      <c r="S236" s="4">
        <v>1743</v>
      </c>
      <c r="T236" s="4">
        <v>1728</v>
      </c>
      <c r="U236" s="4">
        <v>1728</v>
      </c>
      <c r="V236" s="4">
        <v>1715</v>
      </c>
      <c r="W236" s="4">
        <v>1706</v>
      </c>
      <c r="X236" s="4">
        <v>1723</v>
      </c>
      <c r="Y236" s="4">
        <v>1711</v>
      </c>
      <c r="Z236" s="4">
        <v>1706</v>
      </c>
      <c r="AA236" s="4">
        <v>1670</v>
      </c>
      <c r="AB236" s="4">
        <v>1645</v>
      </c>
      <c r="AC236" s="4">
        <v>1618</v>
      </c>
      <c r="AD236" s="4">
        <v>1628</v>
      </c>
      <c r="AE236" s="4">
        <v>1639</v>
      </c>
      <c r="AF236" s="4">
        <v>1631</v>
      </c>
      <c r="AG236" s="4">
        <v>1642</v>
      </c>
      <c r="AH236" s="4">
        <v>1625</v>
      </c>
      <c r="AI236" s="4">
        <v>1640</v>
      </c>
      <c r="AJ236" s="4">
        <v>1644</v>
      </c>
      <c r="AK236" s="4">
        <v>1636</v>
      </c>
      <c r="AL236" s="4">
        <v>1655</v>
      </c>
      <c r="AM236" s="4">
        <v>1643</v>
      </c>
      <c r="AN236" s="4">
        <v>1627</v>
      </c>
      <c r="AO236" s="4">
        <v>1619</v>
      </c>
      <c r="AP236" s="4">
        <v>1615</v>
      </c>
      <c r="AQ236" s="4">
        <v>1634</v>
      </c>
      <c r="AR236" s="4">
        <v>1628</v>
      </c>
      <c r="AS236" s="4">
        <v>1620</v>
      </c>
      <c r="AT236" s="4">
        <v>1637</v>
      </c>
      <c r="AU236" s="4">
        <v>1620</v>
      </c>
      <c r="AV236" s="4">
        <v>1643</v>
      </c>
      <c r="AW236" s="4">
        <v>1638</v>
      </c>
      <c r="AX236" s="4">
        <v>1649</v>
      </c>
      <c r="AY236" s="4">
        <v>1626</v>
      </c>
      <c r="AZ236" s="4">
        <v>1628</v>
      </c>
      <c r="BA236" s="4">
        <v>1642</v>
      </c>
      <c r="BB236" s="4">
        <v>1634</v>
      </c>
      <c r="BC236" s="4">
        <v>1642</v>
      </c>
      <c r="BD236" s="4">
        <v>1657</v>
      </c>
      <c r="BE236" s="4">
        <v>1682</v>
      </c>
      <c r="BF236" s="4">
        <v>1649</v>
      </c>
      <c r="BG236" s="4">
        <v>1618</v>
      </c>
      <c r="BH236" s="4">
        <v>1623</v>
      </c>
      <c r="BI236" s="4">
        <v>1631</v>
      </c>
      <c r="BJ236" s="4">
        <v>1655</v>
      </c>
      <c r="BK236" s="4">
        <v>1705</v>
      </c>
      <c r="BL236" s="4">
        <v>1597</v>
      </c>
      <c r="BM236" s="4">
        <v>1297</v>
      </c>
      <c r="BN236" s="4">
        <v>1305</v>
      </c>
      <c r="BO236" s="4">
        <v>1325</v>
      </c>
      <c r="BP236" s="4">
        <v>1333</v>
      </c>
      <c r="BQ236" s="4">
        <v>1314</v>
      </c>
      <c r="BR236" s="4">
        <v>1322</v>
      </c>
      <c r="BS236" s="4">
        <v>1317</v>
      </c>
      <c r="BT236" s="4">
        <v>1327</v>
      </c>
      <c r="BU236" s="4">
        <v>1347</v>
      </c>
      <c r="BV236" s="4">
        <v>1352</v>
      </c>
      <c r="BW236" s="4">
        <v>1352</v>
      </c>
      <c r="BX236" s="4">
        <v>1355</v>
      </c>
      <c r="BY236" s="4">
        <v>1334</v>
      </c>
      <c r="BZ236" s="4">
        <v>1316</v>
      </c>
    </row>
    <row r="237" spans="1:254">
      <c r="A237" s="62" t="s">
        <v>450</v>
      </c>
      <c r="B237" s="4" t="str">
        <f>銘柄管理!C237</f>
        <v>デジタルアーツ</v>
      </c>
      <c r="C237" s="4">
        <f>_xll.RssMarket("2326","現在値")</f>
        <v>4520</v>
      </c>
      <c r="D237" s="4">
        <f t="shared" si="7"/>
        <v>0</v>
      </c>
      <c r="E237" s="4">
        <v>4520</v>
      </c>
      <c r="F237" s="4">
        <v>4320</v>
      </c>
      <c r="G237" s="4">
        <v>4325</v>
      </c>
      <c r="H237" s="4">
        <v>4205</v>
      </c>
      <c r="I237" s="4">
        <v>4065</v>
      </c>
      <c r="J237" s="4">
        <v>4105</v>
      </c>
      <c r="K237" s="4">
        <v>4165</v>
      </c>
      <c r="L237" s="4">
        <v>4100</v>
      </c>
      <c r="M237" s="4">
        <v>4050</v>
      </c>
      <c r="N237" s="4">
        <v>3935</v>
      </c>
      <c r="O237" s="4">
        <v>4025</v>
      </c>
      <c r="P237" s="4">
        <v>4035</v>
      </c>
      <c r="Q237" s="4">
        <v>4080</v>
      </c>
      <c r="R237" s="4">
        <v>3995</v>
      </c>
      <c r="S237" s="4">
        <v>4035</v>
      </c>
      <c r="T237" s="4">
        <v>4000</v>
      </c>
      <c r="U237" s="4">
        <v>3980</v>
      </c>
      <c r="V237" s="4">
        <v>3965</v>
      </c>
      <c r="W237" s="4">
        <v>3920</v>
      </c>
      <c r="X237" s="4">
        <v>3890</v>
      </c>
      <c r="Y237" s="4">
        <v>3925</v>
      </c>
      <c r="Z237" s="4">
        <v>3880</v>
      </c>
      <c r="AA237" s="4">
        <v>3845</v>
      </c>
      <c r="AB237" s="4">
        <v>3755</v>
      </c>
      <c r="AC237" s="4">
        <v>3655</v>
      </c>
      <c r="AD237" s="4">
        <v>3705</v>
      </c>
      <c r="AE237" s="4">
        <v>3695</v>
      </c>
      <c r="AF237" s="4">
        <v>3625</v>
      </c>
      <c r="AG237" s="4">
        <v>3570</v>
      </c>
      <c r="AH237" s="4">
        <v>3555</v>
      </c>
      <c r="AI237" s="4">
        <v>3530</v>
      </c>
      <c r="AJ237" s="4">
        <v>3605</v>
      </c>
      <c r="AK237" s="4">
        <v>3525</v>
      </c>
      <c r="AL237" s="4">
        <v>3625</v>
      </c>
      <c r="AM237" s="4">
        <v>3610</v>
      </c>
      <c r="AN237" s="4">
        <v>3580</v>
      </c>
      <c r="AO237" s="4">
        <v>3610</v>
      </c>
      <c r="AP237" s="4">
        <v>3565</v>
      </c>
      <c r="AQ237" s="4">
        <v>3610</v>
      </c>
      <c r="AR237" s="4">
        <v>3625</v>
      </c>
      <c r="AS237" s="4">
        <v>3700</v>
      </c>
      <c r="AT237" s="4">
        <v>3830</v>
      </c>
      <c r="AU237" s="4">
        <v>3695</v>
      </c>
      <c r="AV237" s="4">
        <v>3695</v>
      </c>
      <c r="AW237" s="4">
        <v>3745</v>
      </c>
      <c r="AX237" s="4">
        <v>3980</v>
      </c>
      <c r="AY237" s="4">
        <v>4045</v>
      </c>
      <c r="AZ237" s="4">
        <v>4145</v>
      </c>
      <c r="BA237" s="4">
        <v>4100</v>
      </c>
      <c r="BB237" s="4">
        <v>4150</v>
      </c>
      <c r="BC237" s="4">
        <v>4120</v>
      </c>
      <c r="BD237" s="4">
        <v>4145</v>
      </c>
      <c r="BE237" s="4">
        <v>4350</v>
      </c>
      <c r="BF237" s="4">
        <v>4245</v>
      </c>
      <c r="BG237" s="4">
        <v>4240</v>
      </c>
      <c r="BH237" s="4">
        <v>4030</v>
      </c>
      <c r="BI237" s="4">
        <v>4110</v>
      </c>
      <c r="BJ237" s="4">
        <v>4020</v>
      </c>
      <c r="BK237" s="4">
        <v>4240</v>
      </c>
      <c r="BL237" s="4">
        <v>4940</v>
      </c>
      <c r="BM237" s="4">
        <v>5940</v>
      </c>
      <c r="BN237" s="4">
        <v>5590</v>
      </c>
      <c r="BO237" s="4">
        <v>5600</v>
      </c>
      <c r="BP237" s="4">
        <v>5550</v>
      </c>
      <c r="BQ237" s="4">
        <v>5490</v>
      </c>
      <c r="BR237" s="4">
        <v>5510</v>
      </c>
      <c r="BS237" s="4">
        <v>5660</v>
      </c>
      <c r="BT237" s="4">
        <v>6050</v>
      </c>
      <c r="BU237" s="4">
        <v>5910</v>
      </c>
      <c r="BV237" s="4">
        <v>5850</v>
      </c>
      <c r="BW237" s="4">
        <v>5830</v>
      </c>
      <c r="BX237" s="4">
        <v>5770</v>
      </c>
      <c r="BY237" s="4">
        <v>5550</v>
      </c>
      <c r="BZ237" s="4">
        <v>5480</v>
      </c>
    </row>
    <row r="238" spans="1:254">
      <c r="A238" s="62" t="s">
        <v>451</v>
      </c>
      <c r="B238" s="4" t="str">
        <f>銘柄管理!C238</f>
        <v>ＴＯＡ</v>
      </c>
      <c r="C238" s="4">
        <f>_xll.RssMarket("6809","現在値")</f>
        <v>1669</v>
      </c>
      <c r="D238" s="4">
        <f t="shared" si="7"/>
        <v>0</v>
      </c>
      <c r="E238" s="4">
        <v>1669</v>
      </c>
      <c r="F238" s="4">
        <v>1659</v>
      </c>
      <c r="G238" s="4">
        <v>1608</v>
      </c>
      <c r="H238" s="4">
        <v>1602</v>
      </c>
      <c r="I238" s="4">
        <v>1628</v>
      </c>
      <c r="J238" s="4">
        <v>1633</v>
      </c>
      <c r="K238" s="4">
        <v>1639</v>
      </c>
      <c r="L238" s="4">
        <v>1636</v>
      </c>
      <c r="M238" s="4">
        <v>1639</v>
      </c>
      <c r="O238" s="4">
        <v>1619</v>
      </c>
      <c r="P238" s="4">
        <v>1620</v>
      </c>
      <c r="Q238" s="4">
        <v>1615</v>
      </c>
      <c r="R238" s="4">
        <v>1569</v>
      </c>
      <c r="S238" s="4">
        <v>1608</v>
      </c>
      <c r="T238" s="4">
        <v>1600</v>
      </c>
      <c r="U238" s="4">
        <v>1587</v>
      </c>
      <c r="V238" s="4">
        <v>1610</v>
      </c>
      <c r="W238" s="4">
        <v>1615</v>
      </c>
      <c r="X238" s="4">
        <v>1633</v>
      </c>
      <c r="Y238" s="4">
        <v>1640</v>
      </c>
      <c r="Z238" s="4">
        <v>1625</v>
      </c>
      <c r="AA238" s="4">
        <v>1600</v>
      </c>
      <c r="AB238" s="4">
        <v>1566</v>
      </c>
      <c r="AC238" s="4">
        <v>1552</v>
      </c>
      <c r="AD238" s="4">
        <v>1565</v>
      </c>
      <c r="AE238" s="4">
        <v>1576</v>
      </c>
      <c r="AF238" s="4">
        <v>1583</v>
      </c>
      <c r="AG238" s="4">
        <v>1580</v>
      </c>
      <c r="AH238" s="4">
        <v>1554</v>
      </c>
      <c r="AI238" s="4">
        <v>1558</v>
      </c>
      <c r="AJ238" s="4">
        <v>1557</v>
      </c>
      <c r="AK238" s="4">
        <v>1560</v>
      </c>
      <c r="AL238" s="4">
        <v>1571</v>
      </c>
      <c r="AM238" s="4">
        <v>1567</v>
      </c>
      <c r="AN238" s="4">
        <v>1565</v>
      </c>
      <c r="AO238" s="4">
        <v>1571</v>
      </c>
      <c r="AP238" s="4">
        <v>1556</v>
      </c>
      <c r="AQ238" s="4">
        <v>1548</v>
      </c>
      <c r="AR238" s="4">
        <v>1562</v>
      </c>
      <c r="AS238" s="4">
        <v>1549</v>
      </c>
      <c r="AT238" s="4">
        <v>1573</v>
      </c>
      <c r="AU238" s="4">
        <v>1544</v>
      </c>
      <c r="AV238" s="4">
        <v>1540</v>
      </c>
      <c r="AW238" s="4">
        <v>1558</v>
      </c>
      <c r="AX238" s="4">
        <v>1552</v>
      </c>
      <c r="AY238" s="4">
        <v>1544</v>
      </c>
      <c r="AZ238" s="4">
        <v>1537</v>
      </c>
      <c r="BA238" s="4">
        <v>1560</v>
      </c>
      <c r="BB238" s="4">
        <v>1557</v>
      </c>
      <c r="BC238" s="4">
        <v>1535</v>
      </c>
      <c r="BD238" s="4">
        <v>1525</v>
      </c>
      <c r="BE238" s="4">
        <v>1599</v>
      </c>
      <c r="BF238" s="4">
        <v>1577</v>
      </c>
      <c r="BG238" s="4">
        <v>1605</v>
      </c>
      <c r="BH238" s="4">
        <v>1581</v>
      </c>
      <c r="BI238" s="4">
        <v>1573</v>
      </c>
      <c r="BJ238" s="4">
        <v>1558</v>
      </c>
      <c r="BK238" s="4">
        <v>1570</v>
      </c>
      <c r="BL238" s="4">
        <v>1569</v>
      </c>
      <c r="BM238" s="4">
        <v>1780</v>
      </c>
      <c r="BN238" s="4">
        <v>1747</v>
      </c>
      <c r="BO238" s="4">
        <v>1730</v>
      </c>
      <c r="BP238" s="4">
        <v>1744</v>
      </c>
      <c r="BQ238" s="4">
        <v>1707</v>
      </c>
      <c r="BR238" s="4">
        <v>1713</v>
      </c>
      <c r="BS238" s="4">
        <v>1745</v>
      </c>
      <c r="BT238" s="4">
        <v>1761</v>
      </c>
      <c r="BU238" s="4">
        <v>1786</v>
      </c>
      <c r="BV238" s="4">
        <v>1769</v>
      </c>
      <c r="BW238" s="4">
        <v>1791</v>
      </c>
      <c r="BX238" s="4">
        <v>1776</v>
      </c>
      <c r="BY238" s="4">
        <v>1780</v>
      </c>
      <c r="BZ238" s="4">
        <v>1777</v>
      </c>
    </row>
    <row r="239" spans="1:254">
      <c r="A239" s="62" t="s">
        <v>452</v>
      </c>
      <c r="B239" s="4" t="str">
        <f>銘柄管理!C239</f>
        <v>ユーザーローカル</v>
      </c>
      <c r="C239" s="4">
        <f>_xll.RssMarket("3984","現在値")</f>
        <v>1836</v>
      </c>
      <c r="D239" s="4">
        <f t="shared" si="7"/>
        <v>0</v>
      </c>
      <c r="E239" s="4">
        <v>1836</v>
      </c>
      <c r="F239" s="4">
        <v>1842</v>
      </c>
      <c r="G239" s="4">
        <v>1809</v>
      </c>
      <c r="H239" s="4">
        <v>1795</v>
      </c>
      <c r="I239" s="4">
        <v>1816</v>
      </c>
      <c r="J239" s="4">
        <v>1801</v>
      </c>
      <c r="K239" s="4">
        <v>1795</v>
      </c>
      <c r="L239" s="4">
        <v>1791</v>
      </c>
      <c r="M239" s="4">
        <v>1805</v>
      </c>
      <c r="O239" s="4">
        <v>1721</v>
      </c>
      <c r="P239" s="4">
        <v>1774</v>
      </c>
      <c r="Q239" s="4">
        <v>1781</v>
      </c>
      <c r="R239" s="4">
        <v>1797</v>
      </c>
      <c r="S239" s="4">
        <v>1835</v>
      </c>
      <c r="T239" s="4">
        <v>1805</v>
      </c>
      <c r="U239" s="4">
        <v>1794</v>
      </c>
      <c r="V239" s="4">
        <v>1784</v>
      </c>
      <c r="W239" s="4">
        <v>1768</v>
      </c>
      <c r="X239" s="4">
        <v>1771</v>
      </c>
      <c r="Y239" s="4">
        <v>1778</v>
      </c>
      <c r="Z239" s="4">
        <v>1780</v>
      </c>
      <c r="AA239" s="4">
        <v>1793</v>
      </c>
      <c r="AB239" s="4">
        <v>1725</v>
      </c>
      <c r="AC239" s="4">
        <v>1707</v>
      </c>
      <c r="AD239" s="4">
        <v>1644</v>
      </c>
      <c r="AE239" s="4">
        <v>1604</v>
      </c>
      <c r="AF239" s="4">
        <v>1588</v>
      </c>
      <c r="AG239" s="4">
        <v>1655</v>
      </c>
      <c r="AH239" s="4">
        <v>1680</v>
      </c>
      <c r="AI239" s="4">
        <v>1685</v>
      </c>
      <c r="AJ239" s="4">
        <v>1750</v>
      </c>
      <c r="AK239" s="4">
        <v>1735</v>
      </c>
      <c r="AL239" s="4">
        <v>1813</v>
      </c>
      <c r="AM239" s="4">
        <v>1810</v>
      </c>
      <c r="AN239" s="4">
        <v>1773</v>
      </c>
      <c r="AO239" s="4">
        <v>1775</v>
      </c>
      <c r="AP239" s="4">
        <v>1753</v>
      </c>
      <c r="AQ239" s="4">
        <v>1800</v>
      </c>
      <c r="AR239" s="4">
        <v>1791</v>
      </c>
      <c r="AS239" s="4">
        <v>1825</v>
      </c>
      <c r="AT239" s="4">
        <v>1910</v>
      </c>
      <c r="AU239" s="4">
        <v>1807</v>
      </c>
      <c r="AV239" s="4">
        <v>1815</v>
      </c>
      <c r="AW239" s="4">
        <v>1820</v>
      </c>
      <c r="AX239" s="4">
        <v>1720</v>
      </c>
      <c r="AY239" s="4">
        <v>1670</v>
      </c>
      <c r="AZ239" s="4">
        <v>1706</v>
      </c>
      <c r="BA239" s="4">
        <v>1741</v>
      </c>
      <c r="BB239" s="4">
        <v>1791</v>
      </c>
      <c r="BC239" s="4">
        <v>1758</v>
      </c>
      <c r="BD239" s="4">
        <v>1736</v>
      </c>
      <c r="BE239" s="4">
        <v>1729</v>
      </c>
      <c r="BF239" s="4">
        <v>1706</v>
      </c>
      <c r="BG239" s="4">
        <v>1702</v>
      </c>
      <c r="BH239" s="4">
        <v>1700</v>
      </c>
      <c r="BI239" s="4">
        <v>1745</v>
      </c>
      <c r="BJ239" s="4">
        <v>1724</v>
      </c>
      <c r="BK239" s="4">
        <v>1812</v>
      </c>
      <c r="BL239" s="4">
        <v>1793</v>
      </c>
      <c r="BM239" s="4">
        <v>1600</v>
      </c>
      <c r="BN239" s="4">
        <v>1540</v>
      </c>
      <c r="BO239" s="4">
        <v>1544</v>
      </c>
      <c r="BP239" s="4">
        <v>1559</v>
      </c>
      <c r="BQ239" s="4">
        <v>1554</v>
      </c>
      <c r="BR239" s="4">
        <v>1567</v>
      </c>
      <c r="BS239" s="4">
        <v>1577</v>
      </c>
      <c r="BT239" s="4">
        <v>1608</v>
      </c>
      <c r="BU239" s="4">
        <v>1580</v>
      </c>
      <c r="BV239" s="4">
        <v>1565</v>
      </c>
      <c r="BW239" s="4">
        <v>1575</v>
      </c>
      <c r="BX239" s="4">
        <v>1576</v>
      </c>
      <c r="BY239" s="4">
        <v>1508</v>
      </c>
      <c r="BZ239" s="4">
        <v>1468</v>
      </c>
    </row>
    <row r="240" spans="1:254">
      <c r="A240" s="62" t="s">
        <v>453</v>
      </c>
      <c r="B240" s="4" t="str">
        <f>銘柄管理!C240</f>
        <v>ダイトロン</v>
      </c>
      <c r="C240" s="4">
        <f>_xll.RssMarket("7609","現在値")</f>
        <v>4215</v>
      </c>
      <c r="D240" s="4">
        <f t="shared" si="7"/>
        <v>0</v>
      </c>
      <c r="E240" s="4">
        <v>4215</v>
      </c>
      <c r="F240" s="4">
        <v>4325</v>
      </c>
      <c r="G240" s="4">
        <v>4150</v>
      </c>
      <c r="H240" s="4">
        <v>3580</v>
      </c>
      <c r="I240" s="4">
        <v>3320</v>
      </c>
      <c r="J240" s="4">
        <v>3150</v>
      </c>
      <c r="K240" s="4">
        <v>3080</v>
      </c>
      <c r="L240" s="4">
        <v>3285</v>
      </c>
      <c r="M240" s="4">
        <v>3460</v>
      </c>
      <c r="O240" s="4">
        <v>3540</v>
      </c>
      <c r="P240" s="4">
        <v>3520</v>
      </c>
      <c r="Q240" s="4">
        <v>3385</v>
      </c>
      <c r="R240" s="4">
        <v>3300</v>
      </c>
      <c r="S240" s="4">
        <v>3495</v>
      </c>
      <c r="T240" s="4">
        <v>3335</v>
      </c>
      <c r="U240" s="4">
        <v>3385</v>
      </c>
      <c r="V240" s="4">
        <v>3560</v>
      </c>
      <c r="W240" s="4">
        <v>3475</v>
      </c>
      <c r="X240" s="4">
        <v>3410</v>
      </c>
      <c r="Y240" s="4">
        <v>3525</v>
      </c>
      <c r="Z240" s="4">
        <v>3640</v>
      </c>
      <c r="AA240" s="4">
        <v>3670</v>
      </c>
      <c r="AB240" s="4">
        <v>3640</v>
      </c>
      <c r="AC240" s="4">
        <v>3785</v>
      </c>
      <c r="AD240" s="4">
        <v>3675</v>
      </c>
      <c r="AE240" s="4">
        <v>3650</v>
      </c>
      <c r="AF240" s="4">
        <v>3735</v>
      </c>
      <c r="AG240" s="4">
        <v>3815</v>
      </c>
      <c r="AH240" s="4">
        <v>3695</v>
      </c>
      <c r="AI240" s="4">
        <v>3770</v>
      </c>
      <c r="AJ240" s="4">
        <v>3935</v>
      </c>
      <c r="AK240" s="4">
        <v>3900</v>
      </c>
      <c r="AL240" s="4">
        <v>3830</v>
      </c>
      <c r="AM240" s="4">
        <v>3635</v>
      </c>
      <c r="AN240" s="4">
        <v>3565</v>
      </c>
      <c r="AO240" s="4">
        <v>3595</v>
      </c>
      <c r="AP240" s="4">
        <v>3465</v>
      </c>
      <c r="AQ240" s="4">
        <v>3430</v>
      </c>
      <c r="AR240" s="4">
        <v>3435</v>
      </c>
      <c r="AS240" s="4">
        <v>3565</v>
      </c>
      <c r="AT240" s="4">
        <v>3775</v>
      </c>
      <c r="AU240" s="4">
        <v>3725</v>
      </c>
      <c r="AV240" s="4">
        <v>3695</v>
      </c>
      <c r="AW240" s="4">
        <v>3575</v>
      </c>
      <c r="AX240" s="4">
        <v>3570</v>
      </c>
      <c r="AY240" s="4">
        <v>3540</v>
      </c>
      <c r="AZ240" s="4">
        <v>3530</v>
      </c>
      <c r="BA240" s="4">
        <v>3655</v>
      </c>
      <c r="BB240" s="4">
        <v>3615</v>
      </c>
      <c r="BC240" s="4">
        <v>3535</v>
      </c>
      <c r="BD240" s="4">
        <v>3490</v>
      </c>
      <c r="BE240" s="4">
        <v>3575</v>
      </c>
      <c r="BF240" s="4">
        <v>3855</v>
      </c>
      <c r="BG240" s="4">
        <v>3825</v>
      </c>
      <c r="BH240" s="4">
        <v>3930</v>
      </c>
      <c r="BI240" s="4">
        <v>3870</v>
      </c>
      <c r="BJ240" s="4">
        <v>3940</v>
      </c>
      <c r="BK240" s="4">
        <v>3950</v>
      </c>
      <c r="BL240" s="4">
        <v>3840</v>
      </c>
      <c r="BM240" s="4">
        <v>3380</v>
      </c>
      <c r="BN240" s="4">
        <v>3140</v>
      </c>
      <c r="BO240" s="4">
        <v>2909</v>
      </c>
      <c r="BP240" s="4">
        <v>2894</v>
      </c>
      <c r="BQ240" s="4">
        <v>2889</v>
      </c>
      <c r="BR240" s="4">
        <v>2891</v>
      </c>
      <c r="BS240" s="4">
        <v>2862</v>
      </c>
      <c r="BT240" s="4">
        <v>2827</v>
      </c>
      <c r="BU240" s="4">
        <v>2883</v>
      </c>
      <c r="BV240" s="4">
        <v>2883</v>
      </c>
      <c r="BW240" s="4">
        <v>2873</v>
      </c>
      <c r="BX240" s="4">
        <v>2961</v>
      </c>
      <c r="BY240" s="4">
        <v>2870</v>
      </c>
      <c r="BZ240" s="4">
        <v>2930</v>
      </c>
    </row>
    <row r="241" spans="1:254">
      <c r="A241" s="62" t="s">
        <v>454</v>
      </c>
      <c r="B241" s="4" t="str">
        <f>銘柄管理!C241</f>
        <v>イトーキ</v>
      </c>
      <c r="C241" s="4">
        <f>_xll.RssMarket("7972","現在値")</f>
        <v>2923</v>
      </c>
      <c r="D241" s="4">
        <f t="shared" si="7"/>
        <v>0</v>
      </c>
      <c r="E241" s="4">
        <v>2923</v>
      </c>
      <c r="F241" s="4">
        <v>2900</v>
      </c>
      <c r="G241" s="4">
        <v>2894</v>
      </c>
      <c r="H241" s="4">
        <v>2883</v>
      </c>
      <c r="I241" s="4">
        <v>2940</v>
      </c>
      <c r="J241" s="4">
        <v>2901</v>
      </c>
      <c r="K241" s="4">
        <v>2887</v>
      </c>
      <c r="L241" s="4">
        <v>2905</v>
      </c>
      <c r="M241" s="4">
        <v>2938</v>
      </c>
      <c r="N241" s="4">
        <v>2862</v>
      </c>
      <c r="O241" s="4">
        <v>2846</v>
      </c>
      <c r="P241" s="4">
        <v>2856</v>
      </c>
      <c r="Q241" s="4">
        <v>2858</v>
      </c>
      <c r="R241" s="4">
        <v>2720</v>
      </c>
      <c r="S241" s="4">
        <v>2850</v>
      </c>
      <c r="T241" s="4">
        <v>2836</v>
      </c>
      <c r="U241" s="4">
        <v>2760</v>
      </c>
      <c r="V241" s="4">
        <v>2810</v>
      </c>
      <c r="W241" s="4">
        <v>2849</v>
      </c>
      <c r="X241" s="4">
        <v>2857</v>
      </c>
      <c r="Y241" s="4">
        <v>2853</v>
      </c>
      <c r="Z241" s="4">
        <v>2834</v>
      </c>
      <c r="AA241" s="4">
        <v>2730</v>
      </c>
      <c r="AB241" s="4">
        <v>2654</v>
      </c>
      <c r="AC241" s="4">
        <v>2623</v>
      </c>
      <c r="AD241" s="4">
        <v>2643</v>
      </c>
      <c r="AE241" s="4">
        <v>2666</v>
      </c>
      <c r="AF241" s="4">
        <v>2631</v>
      </c>
      <c r="AG241" s="4">
        <v>2571</v>
      </c>
      <c r="AH241" s="4">
        <v>2559</v>
      </c>
      <c r="AI241" s="4">
        <v>2534</v>
      </c>
      <c r="AJ241" s="4">
        <v>2571</v>
      </c>
      <c r="AK241" s="4">
        <v>2515</v>
      </c>
      <c r="AL241" s="4">
        <v>2486</v>
      </c>
      <c r="AM241" s="4">
        <v>2431</v>
      </c>
      <c r="AN241" s="4">
        <v>2455</v>
      </c>
      <c r="AO241" s="4">
        <v>2449</v>
      </c>
      <c r="AP241" s="4">
        <v>2438</v>
      </c>
      <c r="AQ241" s="4">
        <v>2416</v>
      </c>
      <c r="AR241" s="4">
        <v>2408</v>
      </c>
      <c r="AS241" s="4">
        <v>2425</v>
      </c>
      <c r="AT241" s="4">
        <v>2422</v>
      </c>
      <c r="AU241" s="4">
        <v>2369</v>
      </c>
      <c r="AV241" s="4">
        <v>2446</v>
      </c>
      <c r="AW241" s="4">
        <v>2455</v>
      </c>
      <c r="AX241" s="4">
        <v>2567</v>
      </c>
      <c r="AY241" s="4">
        <v>2615</v>
      </c>
      <c r="AZ241" s="4">
        <v>2713</v>
      </c>
      <c r="BA241" s="4">
        <v>2622</v>
      </c>
      <c r="BB241" s="4">
        <v>2625</v>
      </c>
      <c r="BC241" s="4">
        <v>2573</v>
      </c>
      <c r="BD241" s="4">
        <v>2653</v>
      </c>
      <c r="BE241" s="4">
        <v>2704</v>
      </c>
      <c r="BF241" s="4">
        <v>2698</v>
      </c>
      <c r="BG241" s="4">
        <v>2715</v>
      </c>
      <c r="BH241" s="4">
        <v>2789</v>
      </c>
      <c r="BI241" s="4">
        <v>2799</v>
      </c>
      <c r="BJ241" s="4">
        <v>2787</v>
      </c>
      <c r="BK241" s="4">
        <v>2760</v>
      </c>
      <c r="BL241" s="4">
        <v>2893</v>
      </c>
      <c r="BM241" s="4">
        <v>3250</v>
      </c>
      <c r="BN241" s="4">
        <v>3160</v>
      </c>
      <c r="BO241" s="4">
        <v>3165</v>
      </c>
      <c r="BP241" s="4">
        <v>3290</v>
      </c>
      <c r="BQ241" s="4">
        <v>3215</v>
      </c>
      <c r="BR241" s="4">
        <v>3190</v>
      </c>
      <c r="BS241" s="4">
        <v>3235</v>
      </c>
      <c r="BT241" s="4">
        <v>3265</v>
      </c>
      <c r="BU241" s="4">
        <v>3300</v>
      </c>
      <c r="BV241" s="4">
        <v>3285</v>
      </c>
      <c r="BW241" s="4">
        <v>3295</v>
      </c>
      <c r="BX241" s="4">
        <v>3350</v>
      </c>
      <c r="BY241" s="4">
        <v>3365</v>
      </c>
      <c r="BZ241" s="4">
        <v>3535</v>
      </c>
    </row>
    <row r="242" spans="1:254">
      <c r="A242" s="62" t="s">
        <v>455</v>
      </c>
      <c r="B242" s="4" t="str">
        <f>銘柄管理!C242</f>
        <v>オキサイド</v>
      </c>
      <c r="C242" s="4">
        <f>_xll.RssMarket("6521","現在値")</f>
        <v>3210</v>
      </c>
      <c r="D242" s="4">
        <f t="shared" si="7"/>
        <v>0</v>
      </c>
      <c r="E242" s="4">
        <v>3210</v>
      </c>
      <c r="F242" s="4">
        <v>3265</v>
      </c>
      <c r="G242" s="4">
        <v>3085</v>
      </c>
      <c r="H242" s="4">
        <v>2972</v>
      </c>
      <c r="I242" s="4">
        <v>2903</v>
      </c>
      <c r="J242" s="4">
        <v>2698</v>
      </c>
      <c r="K242" s="4">
        <v>2783</v>
      </c>
      <c r="L242" s="4">
        <v>2925</v>
      </c>
      <c r="M242" s="4">
        <v>3180</v>
      </c>
      <c r="N242" s="4">
        <v>3290</v>
      </c>
      <c r="O242" s="4">
        <v>3420</v>
      </c>
      <c r="P242" s="4">
        <v>3340</v>
      </c>
      <c r="Q242" s="4">
        <v>3425</v>
      </c>
      <c r="R242" s="4">
        <v>3385</v>
      </c>
      <c r="S242" s="4">
        <v>3950</v>
      </c>
      <c r="T242" s="4">
        <v>3830</v>
      </c>
      <c r="U242" s="4">
        <v>4185</v>
      </c>
      <c r="V242" s="4">
        <v>4300</v>
      </c>
      <c r="W242" s="4">
        <v>4200</v>
      </c>
      <c r="X242" s="4">
        <v>4070</v>
      </c>
      <c r="Y242" s="4">
        <v>4220</v>
      </c>
      <c r="Z242" s="4">
        <v>4450</v>
      </c>
      <c r="AA242" s="4">
        <v>4585</v>
      </c>
      <c r="AB242" s="4">
        <v>4415</v>
      </c>
      <c r="AC242" s="4">
        <v>4580</v>
      </c>
      <c r="AD242" s="4">
        <v>4710</v>
      </c>
      <c r="AE242" s="4">
        <v>4660</v>
      </c>
      <c r="AF242" s="4">
        <v>4720</v>
      </c>
      <c r="AG242" s="4">
        <v>5140</v>
      </c>
      <c r="AH242" s="4">
        <v>5100</v>
      </c>
      <c r="AI242" s="4">
        <v>4840</v>
      </c>
      <c r="AJ242" s="4">
        <v>5140</v>
      </c>
      <c r="AK242" s="4">
        <v>5060</v>
      </c>
      <c r="AL242" s="4">
        <v>4690</v>
      </c>
      <c r="AM242" s="4">
        <v>4810</v>
      </c>
      <c r="AN242" s="4">
        <v>4680</v>
      </c>
      <c r="AO242" s="4">
        <v>4480</v>
      </c>
      <c r="AP242" s="4">
        <v>4400</v>
      </c>
      <c r="AQ242" s="4">
        <v>4430</v>
      </c>
      <c r="AR242" s="4">
        <v>4495</v>
      </c>
      <c r="AS242" s="4">
        <v>4850</v>
      </c>
      <c r="AT242" s="4">
        <v>5130</v>
      </c>
      <c r="AU242" s="4">
        <v>4915</v>
      </c>
      <c r="AV242" s="4">
        <v>5200</v>
      </c>
      <c r="AW242" s="4">
        <v>5030</v>
      </c>
      <c r="AX242" s="4">
        <v>5420</v>
      </c>
      <c r="AY242" s="4">
        <v>5850</v>
      </c>
      <c r="AZ242" s="4">
        <v>5590</v>
      </c>
      <c r="BA242" s="4">
        <v>6100</v>
      </c>
      <c r="BB242" s="4">
        <v>6410</v>
      </c>
      <c r="BC242" s="4">
        <v>5590</v>
      </c>
      <c r="BD242" s="4">
        <v>5780</v>
      </c>
      <c r="BE242" s="4">
        <v>5820</v>
      </c>
      <c r="BF242" s="4">
        <v>6780</v>
      </c>
      <c r="BG242" s="4">
        <v>6030</v>
      </c>
      <c r="BH242" s="4">
        <v>6460</v>
      </c>
      <c r="BI242" s="4">
        <v>6330</v>
      </c>
      <c r="BJ242" s="4">
        <v>6530</v>
      </c>
      <c r="BK242" s="4">
        <v>6570</v>
      </c>
      <c r="BL242" s="4">
        <v>6210</v>
      </c>
      <c r="BM242" s="4">
        <v>5280</v>
      </c>
      <c r="BN242" s="4">
        <v>4680</v>
      </c>
      <c r="BO242" s="4">
        <v>4595</v>
      </c>
      <c r="BP242" s="4">
        <v>4745</v>
      </c>
      <c r="BQ242" s="4">
        <v>4645</v>
      </c>
      <c r="BR242" s="4">
        <v>4755</v>
      </c>
      <c r="BS242" s="4">
        <v>4600</v>
      </c>
      <c r="BT242" s="4">
        <v>4905</v>
      </c>
      <c r="BU242" s="4">
        <v>5090</v>
      </c>
      <c r="BV242" s="4">
        <v>4385</v>
      </c>
      <c r="BW242" s="4">
        <v>4050</v>
      </c>
      <c r="BX242" s="4">
        <v>4435</v>
      </c>
      <c r="BY242" s="4">
        <v>4350</v>
      </c>
      <c r="BZ242" s="4">
        <v>5010</v>
      </c>
    </row>
    <row r="243" spans="1:254">
      <c r="A243" s="62" t="s">
        <v>456</v>
      </c>
      <c r="B243" s="4" t="str">
        <f>銘柄管理!C243</f>
        <v>クオルテック</v>
      </c>
      <c r="C243" s="4">
        <f>_xll.RssMarket("9165","現在値")</f>
        <v>1770</v>
      </c>
      <c r="D243" s="4">
        <f t="shared" si="7"/>
        <v>0</v>
      </c>
      <c r="E243" s="4">
        <v>1770</v>
      </c>
      <c r="F243" s="4">
        <v>1772</v>
      </c>
      <c r="G243" s="4">
        <v>1756</v>
      </c>
      <c r="H243" s="4">
        <v>1707</v>
      </c>
      <c r="I243" s="4">
        <v>1715</v>
      </c>
      <c r="J243" s="4">
        <v>1742</v>
      </c>
      <c r="K243" s="4">
        <v>1715</v>
      </c>
      <c r="L243" s="4">
        <v>1695</v>
      </c>
      <c r="M243" s="4">
        <v>1715</v>
      </c>
      <c r="N243" s="4">
        <v>1701</v>
      </c>
      <c r="O243" s="4">
        <v>1721</v>
      </c>
      <c r="P243" s="4">
        <v>1736</v>
      </c>
      <c r="Q243" s="4">
        <v>1713</v>
      </c>
      <c r="R243" s="4">
        <v>1702</v>
      </c>
      <c r="S243" s="4">
        <v>1727</v>
      </c>
      <c r="T243" s="4">
        <v>1708</v>
      </c>
      <c r="U243" s="4">
        <v>1746</v>
      </c>
      <c r="V243" s="4">
        <v>1758</v>
      </c>
      <c r="W243" s="4">
        <v>1764</v>
      </c>
      <c r="X243" s="4">
        <v>1718</v>
      </c>
      <c r="Y243" s="4">
        <v>1754</v>
      </c>
      <c r="Z243" s="4">
        <v>1751</v>
      </c>
      <c r="AA243" s="4">
        <v>1777</v>
      </c>
      <c r="AB243" s="4">
        <v>1748</v>
      </c>
      <c r="AC243" s="4">
        <v>1761</v>
      </c>
      <c r="AD243" s="4">
        <v>1695</v>
      </c>
      <c r="AE243" s="4">
        <v>1684</v>
      </c>
      <c r="AF243" s="4">
        <v>1729</v>
      </c>
      <c r="AG243" s="4">
        <v>1741</v>
      </c>
      <c r="AH243" s="4">
        <v>1729</v>
      </c>
      <c r="AI243" s="4">
        <v>1761</v>
      </c>
      <c r="AJ243" s="4">
        <v>1791</v>
      </c>
      <c r="AK243" s="4">
        <v>1694</v>
      </c>
      <c r="AL243" s="4">
        <v>1724</v>
      </c>
      <c r="AM243" s="4">
        <v>1691</v>
      </c>
      <c r="AN243" s="4">
        <v>1708</v>
      </c>
      <c r="AO243" s="4">
        <v>1702</v>
      </c>
      <c r="AP243" s="4">
        <v>1711</v>
      </c>
      <c r="AQ243" s="4">
        <v>1680</v>
      </c>
      <c r="AR243" s="4">
        <v>1707</v>
      </c>
      <c r="AS243" s="4">
        <v>1726</v>
      </c>
      <c r="AT243" s="4">
        <v>1841</v>
      </c>
      <c r="AU243" s="4">
        <v>1801</v>
      </c>
      <c r="AV243" s="4">
        <v>1808</v>
      </c>
      <c r="AW243" s="4">
        <v>1778</v>
      </c>
      <c r="AX243" s="4">
        <v>1873</v>
      </c>
      <c r="AY243" s="4">
        <v>1865</v>
      </c>
      <c r="AZ243" s="4">
        <v>1945</v>
      </c>
      <c r="BA243" s="4">
        <v>2193</v>
      </c>
      <c r="BB243" s="4">
        <v>2005</v>
      </c>
      <c r="BC243" s="4">
        <v>1750</v>
      </c>
      <c r="BD243" s="4">
        <v>1820</v>
      </c>
      <c r="BE243" s="4">
        <v>1838</v>
      </c>
      <c r="BF243" s="4">
        <v>1844</v>
      </c>
      <c r="BG243" s="4">
        <v>1683</v>
      </c>
      <c r="BH243" s="4">
        <v>1724</v>
      </c>
      <c r="BI243" s="4">
        <v>1777</v>
      </c>
      <c r="BJ243" s="4">
        <v>1765</v>
      </c>
      <c r="BK243" s="4">
        <v>1857</v>
      </c>
      <c r="BL243" s="4">
        <v>1800</v>
      </c>
      <c r="BM243" s="4">
        <v>1611</v>
      </c>
      <c r="BN243" s="4">
        <v>1490</v>
      </c>
      <c r="BO243" s="4">
        <v>1479</v>
      </c>
      <c r="BP243" s="4">
        <v>1470</v>
      </c>
      <c r="BQ243" s="4">
        <v>1467</v>
      </c>
      <c r="BR243" s="4">
        <v>1469</v>
      </c>
      <c r="BS243" s="4">
        <v>1468</v>
      </c>
      <c r="BT243" s="4">
        <v>1470</v>
      </c>
      <c r="BU243" s="4">
        <v>1469</v>
      </c>
      <c r="BV243" s="4">
        <v>1449</v>
      </c>
      <c r="BW243" s="4">
        <v>1451</v>
      </c>
      <c r="BX243" s="4">
        <v>1460</v>
      </c>
      <c r="BY243" s="4">
        <v>1457</v>
      </c>
      <c r="BZ243" s="4">
        <v>1440</v>
      </c>
    </row>
    <row r="244" spans="1:254">
      <c r="A244" s="62" t="s">
        <v>457</v>
      </c>
      <c r="B244" s="4" t="str">
        <f>銘柄管理!C244</f>
        <v>デンソー</v>
      </c>
      <c r="C244" s="4">
        <f>_xll.RssMarket("6902","現在値")</f>
        <v>1925</v>
      </c>
      <c r="D244" s="4">
        <f t="shared" si="7"/>
        <v>0</v>
      </c>
      <c r="E244" s="4">
        <v>1925</v>
      </c>
      <c r="F244" s="4">
        <v>1919</v>
      </c>
      <c r="G244" s="4">
        <v>1890.5</v>
      </c>
      <c r="H244" s="4">
        <v>1928</v>
      </c>
      <c r="I244" s="4">
        <v>1967.5</v>
      </c>
      <c r="J244" s="4">
        <v>2197.5</v>
      </c>
      <c r="K244" s="4">
        <v>2208</v>
      </c>
      <c r="L244" s="4">
        <v>2079.5</v>
      </c>
      <c r="M244" s="4">
        <v>2056</v>
      </c>
      <c r="N244" s="4">
        <v>1977</v>
      </c>
      <c r="O244" s="4">
        <v>1993</v>
      </c>
      <c r="P244" s="4">
        <v>1989.5</v>
      </c>
      <c r="Q244" s="4">
        <v>1992.5</v>
      </c>
      <c r="R244" s="4">
        <v>1964</v>
      </c>
      <c r="S244" s="4">
        <v>1953.5</v>
      </c>
      <c r="T244" s="4">
        <v>1941.5</v>
      </c>
      <c r="U244" s="4">
        <v>1925.5</v>
      </c>
      <c r="V244" s="4">
        <v>1933.5</v>
      </c>
      <c r="W244" s="4">
        <v>1928</v>
      </c>
      <c r="X244" s="4">
        <v>1945</v>
      </c>
      <c r="Y244" s="4">
        <v>1985</v>
      </c>
      <c r="Z244" s="4">
        <v>1992</v>
      </c>
      <c r="AA244" s="4">
        <v>1955.5</v>
      </c>
      <c r="AB244" s="4">
        <v>1932.5</v>
      </c>
      <c r="AC244" s="4">
        <v>1870.5</v>
      </c>
      <c r="AD244" s="4">
        <v>1876</v>
      </c>
      <c r="AE244" s="4">
        <v>1888</v>
      </c>
      <c r="AF244" s="4">
        <v>1875</v>
      </c>
      <c r="AG244" s="4">
        <v>1860.5</v>
      </c>
      <c r="AH244" s="4">
        <v>1869.5</v>
      </c>
      <c r="AI244" s="4">
        <v>1885.5</v>
      </c>
      <c r="AJ244" s="4">
        <v>1892</v>
      </c>
      <c r="AK244" s="4">
        <v>1900.5</v>
      </c>
      <c r="AL244" s="4">
        <v>1935</v>
      </c>
      <c r="AM244" s="4">
        <v>1917</v>
      </c>
      <c r="AN244" s="4">
        <v>1893.5</v>
      </c>
      <c r="AO244" s="4">
        <v>1906.5</v>
      </c>
      <c r="AP244" s="4">
        <v>1854</v>
      </c>
      <c r="AQ244" s="4">
        <v>1834.5</v>
      </c>
      <c r="AR244" s="4">
        <v>1882.5</v>
      </c>
      <c r="AS244" s="4">
        <v>1903.5</v>
      </c>
      <c r="AT244" s="4">
        <v>1887</v>
      </c>
      <c r="AU244" s="4">
        <v>1907</v>
      </c>
      <c r="AV244" s="4">
        <v>1926</v>
      </c>
      <c r="AW244" s="4">
        <v>1867.5</v>
      </c>
      <c r="AX244" s="4">
        <v>1908</v>
      </c>
      <c r="AY244" s="4">
        <v>1886</v>
      </c>
      <c r="AZ244" s="4">
        <v>1888.5</v>
      </c>
      <c r="BA244" s="4">
        <v>1837</v>
      </c>
      <c r="BB244" s="4">
        <v>1834.5</v>
      </c>
      <c r="BC244" s="4">
        <v>1850</v>
      </c>
      <c r="BD244" s="4">
        <v>1835.5</v>
      </c>
      <c r="BE244" s="4">
        <v>1859.5</v>
      </c>
      <c r="BF244" s="4">
        <v>1838.5</v>
      </c>
      <c r="BG244" s="4">
        <v>1944</v>
      </c>
      <c r="BH244" s="4">
        <v>1884</v>
      </c>
      <c r="BI244" s="4">
        <v>1917</v>
      </c>
      <c r="BJ244" s="4">
        <v>1878</v>
      </c>
      <c r="BK244" s="4">
        <v>1879</v>
      </c>
      <c r="BL244" s="4">
        <v>1919</v>
      </c>
      <c r="BM244" s="4">
        <v>1914.5</v>
      </c>
      <c r="BN244" s="4">
        <v>1895.5</v>
      </c>
      <c r="BO244" s="4">
        <v>1882.5</v>
      </c>
      <c r="BP244" s="4">
        <v>1846.5</v>
      </c>
      <c r="BQ244" s="4">
        <v>1883.5</v>
      </c>
      <c r="BR244" s="4">
        <v>1868</v>
      </c>
      <c r="BS244" s="4">
        <v>1893.5</v>
      </c>
      <c r="BT244" s="4">
        <v>1925.5</v>
      </c>
      <c r="BU244" s="4">
        <v>1944</v>
      </c>
      <c r="BV244" s="4">
        <v>1962.5</v>
      </c>
      <c r="BW244" s="4">
        <v>1926</v>
      </c>
      <c r="BX244" s="4">
        <v>1917.5</v>
      </c>
      <c r="BY244" s="4">
        <v>1915</v>
      </c>
      <c r="BZ244" s="4">
        <v>1926.5</v>
      </c>
    </row>
    <row r="245" spans="1:254">
      <c r="A245" s="62" t="s">
        <v>458</v>
      </c>
      <c r="B245" s="4" t="str">
        <f>銘柄管理!C245</f>
        <v>グローバルウェイ</v>
      </c>
      <c r="C245" s="4">
        <f>_xll.RssMarket("3936","現在値")</f>
        <v>158</v>
      </c>
      <c r="D245" s="4">
        <f t="shared" si="7"/>
        <v>0</v>
      </c>
      <c r="E245" s="4">
        <v>158</v>
      </c>
      <c r="F245" s="4">
        <v>160</v>
      </c>
    </row>
    <row r="246" spans="1:254">
      <c r="A246" s="62" t="s">
        <v>459</v>
      </c>
      <c r="B246" s="4" t="str">
        <f>銘柄管理!C246</f>
        <v>エノモト</v>
      </c>
      <c r="C246" s="4">
        <f>_xll.RssMarket("6928","現在値")</f>
        <v>2639</v>
      </c>
      <c r="D246" s="4">
        <f t="shared" si="7"/>
        <v>0</v>
      </c>
      <c r="E246" s="4">
        <v>2639</v>
      </c>
      <c r="F246" s="4">
        <v>2657</v>
      </c>
      <c r="G246" s="4">
        <v>2548</v>
      </c>
      <c r="H246" s="4">
        <v>2433</v>
      </c>
      <c r="I246" s="4">
        <v>2361</v>
      </c>
      <c r="J246" s="4">
        <v>2237</v>
      </c>
      <c r="K246" s="4">
        <v>2174</v>
      </c>
      <c r="L246" s="4">
        <v>2339</v>
      </c>
      <c r="M246" s="4">
        <v>2514</v>
      </c>
      <c r="N246" s="4">
        <v>2576</v>
      </c>
      <c r="O246" s="4">
        <v>2572</v>
      </c>
      <c r="P246" s="4">
        <v>2590</v>
      </c>
      <c r="Q246" s="4">
        <v>2606</v>
      </c>
      <c r="R246" s="4">
        <v>2530</v>
      </c>
      <c r="S246" s="4">
        <v>2878</v>
      </c>
      <c r="T246" s="4">
        <v>2850</v>
      </c>
      <c r="U246" s="4">
        <v>2885</v>
      </c>
      <c r="V246" s="4">
        <v>2841</v>
      </c>
      <c r="W246" s="4">
        <v>2858</v>
      </c>
      <c r="X246" s="4">
        <v>2725</v>
      </c>
      <c r="Y246" s="4">
        <v>2823</v>
      </c>
      <c r="Z246" s="4">
        <v>2900</v>
      </c>
      <c r="AA246" s="4">
        <v>2911</v>
      </c>
      <c r="AB246" s="4">
        <v>2921</v>
      </c>
      <c r="AC246" s="4">
        <v>3030</v>
      </c>
      <c r="AD246" s="4">
        <v>3110</v>
      </c>
      <c r="AE246" s="4">
        <v>3115</v>
      </c>
      <c r="AF246" s="4">
        <v>3165</v>
      </c>
      <c r="AG246" s="4">
        <v>3370</v>
      </c>
      <c r="AH246" s="4">
        <v>3375</v>
      </c>
      <c r="AI246" s="4">
        <v>3385</v>
      </c>
      <c r="AJ246" s="4">
        <v>3465</v>
      </c>
      <c r="AK246" s="4">
        <v>3465</v>
      </c>
      <c r="AL246" s="4">
        <v>3500</v>
      </c>
      <c r="AM246" s="4">
        <v>3365</v>
      </c>
      <c r="AN246" s="4">
        <v>3320</v>
      </c>
      <c r="AO246" s="4">
        <v>3355</v>
      </c>
      <c r="AP246" s="4">
        <v>3160</v>
      </c>
      <c r="AQ246" s="4">
        <v>3315</v>
      </c>
      <c r="AR246" s="4">
        <v>3455</v>
      </c>
      <c r="AS246" s="4">
        <v>3430</v>
      </c>
      <c r="AT246" s="4">
        <v>3635</v>
      </c>
      <c r="AU246" s="4">
        <v>3675</v>
      </c>
      <c r="AV246" s="4">
        <v>3700</v>
      </c>
      <c r="AW246" s="4">
        <v>3720</v>
      </c>
      <c r="AX246" s="4">
        <v>3805</v>
      </c>
      <c r="AY246" s="4">
        <v>3735</v>
      </c>
      <c r="AZ246" s="4">
        <v>3530</v>
      </c>
      <c r="BA246" s="4">
        <v>3655</v>
      </c>
      <c r="BB246" s="4">
        <v>3650</v>
      </c>
      <c r="BC246" s="4">
        <v>3485</v>
      </c>
      <c r="BD246" s="4">
        <v>3500</v>
      </c>
      <c r="BE246" s="4">
        <v>3475</v>
      </c>
      <c r="BF246" s="4">
        <v>3510</v>
      </c>
      <c r="BG246" s="4">
        <v>3470</v>
      </c>
      <c r="BH246" s="4">
        <v>3435</v>
      </c>
      <c r="BI246" s="4">
        <v>3505</v>
      </c>
      <c r="BJ246" s="4">
        <v>3440</v>
      </c>
      <c r="BK246" s="4">
        <v>3480</v>
      </c>
      <c r="BL246" s="4">
        <v>3620</v>
      </c>
      <c r="BM246" s="4">
        <v>3600</v>
      </c>
      <c r="BN246" s="4">
        <v>3445</v>
      </c>
      <c r="BO246" s="4">
        <v>3285</v>
      </c>
      <c r="BP246" s="4">
        <v>3220</v>
      </c>
      <c r="BQ246" s="4">
        <v>3120</v>
      </c>
      <c r="BR246" s="4">
        <v>3165</v>
      </c>
      <c r="BS246" s="4">
        <v>3105</v>
      </c>
      <c r="BT246" s="4">
        <v>3200</v>
      </c>
      <c r="BU246" s="4">
        <v>3235</v>
      </c>
      <c r="BV246" s="4">
        <v>3230</v>
      </c>
      <c r="BW246" s="4">
        <v>3230</v>
      </c>
      <c r="BX246" s="4">
        <v>3325</v>
      </c>
      <c r="BY246" s="4">
        <v>3290</v>
      </c>
      <c r="BZ246" s="4">
        <v>3195</v>
      </c>
    </row>
    <row r="247" spans="1:254">
      <c r="A247" s="62" t="s">
        <v>460</v>
      </c>
      <c r="B247" s="4" t="str">
        <f>銘柄管理!C247</f>
        <v>三菱製鋼</v>
      </c>
      <c r="C247" s="4">
        <f>_xll.RssMarket("5632","現在値")</f>
        <v>2307</v>
      </c>
      <c r="D247" s="4">
        <f t="shared" si="7"/>
        <v>0</v>
      </c>
      <c r="E247" s="4">
        <v>2307</v>
      </c>
      <c r="F247" s="4">
        <v>2269</v>
      </c>
      <c r="G247" s="4">
        <v>2176</v>
      </c>
      <c r="H247" s="4">
        <v>2168</v>
      </c>
      <c r="I247" s="4">
        <v>2180</v>
      </c>
      <c r="J247" s="4">
        <v>2137</v>
      </c>
      <c r="K247" s="4">
        <v>2119</v>
      </c>
      <c r="L247" s="4">
        <v>2124</v>
      </c>
      <c r="M247" s="4">
        <v>2186</v>
      </c>
      <c r="O247" s="4">
        <v>2183</v>
      </c>
      <c r="P247" s="4">
        <v>2148</v>
      </c>
      <c r="Q247" s="4">
        <v>2139</v>
      </c>
      <c r="R247" s="4">
        <v>2101</v>
      </c>
      <c r="S247" s="4">
        <v>2181</v>
      </c>
      <c r="T247" s="4">
        <v>2143</v>
      </c>
      <c r="U247" s="4">
        <v>2072</v>
      </c>
      <c r="V247" s="4">
        <v>2107</v>
      </c>
      <c r="W247" s="4">
        <v>2098</v>
      </c>
      <c r="X247" s="4">
        <v>2122</v>
      </c>
      <c r="Y247" s="4">
        <v>2170</v>
      </c>
      <c r="Z247" s="4">
        <v>2188</v>
      </c>
      <c r="AA247" s="4">
        <v>2208</v>
      </c>
      <c r="AB247" s="4">
        <v>2146</v>
      </c>
      <c r="AC247" s="4">
        <v>2140</v>
      </c>
      <c r="AD247" s="4">
        <v>2152</v>
      </c>
      <c r="AE247" s="4">
        <v>2208</v>
      </c>
      <c r="AF247" s="4">
        <v>2177</v>
      </c>
      <c r="AG247" s="4">
        <v>2217</v>
      </c>
      <c r="AH247" s="4">
        <v>2215</v>
      </c>
      <c r="AI247" s="4">
        <v>2258</v>
      </c>
      <c r="AJ247" s="4">
        <v>2425</v>
      </c>
      <c r="AK247" s="4">
        <v>2331</v>
      </c>
      <c r="AL247" s="4">
        <v>2288</v>
      </c>
      <c r="AM247" s="4">
        <v>2141</v>
      </c>
      <c r="AN247" s="4">
        <v>2171</v>
      </c>
      <c r="AO247" s="4">
        <v>2196</v>
      </c>
      <c r="AP247" s="4">
        <v>2139</v>
      </c>
      <c r="AQ247" s="4">
        <v>2111</v>
      </c>
      <c r="AR247" s="4">
        <v>2107</v>
      </c>
      <c r="AS247" s="4">
        <v>2103</v>
      </c>
      <c r="AT247" s="4">
        <v>2150</v>
      </c>
      <c r="AU247" s="4">
        <v>2103</v>
      </c>
      <c r="AV247" s="4">
        <v>2083</v>
      </c>
      <c r="AW247" s="4">
        <v>2076</v>
      </c>
      <c r="AX247" s="4">
        <v>2157</v>
      </c>
      <c r="AY247" s="4">
        <v>2126</v>
      </c>
      <c r="AZ247" s="4">
        <v>2143</v>
      </c>
      <c r="BA247" s="4">
        <v>2135</v>
      </c>
      <c r="BB247" s="4">
        <v>2144</v>
      </c>
      <c r="BC247" s="4">
        <v>2105</v>
      </c>
      <c r="BD247" s="4">
        <v>2015</v>
      </c>
      <c r="BE247" s="4">
        <v>2083</v>
      </c>
      <c r="BF247" s="4">
        <v>2053</v>
      </c>
      <c r="BG247" s="4">
        <v>2169</v>
      </c>
      <c r="BH247" s="4">
        <v>2074</v>
      </c>
      <c r="BI247" s="4">
        <v>1980</v>
      </c>
      <c r="BJ247" s="4">
        <v>1863</v>
      </c>
      <c r="BK247" s="4">
        <v>1892</v>
      </c>
      <c r="BL247" s="4">
        <v>1835</v>
      </c>
      <c r="BM247" s="4">
        <v>1845</v>
      </c>
      <c r="BN247" s="4">
        <v>1812</v>
      </c>
      <c r="BO247" s="4">
        <v>1795</v>
      </c>
      <c r="BP247" s="4">
        <v>1824</v>
      </c>
      <c r="BQ247" s="4">
        <v>1788</v>
      </c>
      <c r="BR247" s="4">
        <v>1789</v>
      </c>
      <c r="BS247" s="4">
        <v>1806</v>
      </c>
      <c r="BT247" s="4">
        <v>1804</v>
      </c>
      <c r="BU247" s="4">
        <v>1833</v>
      </c>
      <c r="BV247" s="4">
        <v>1838</v>
      </c>
      <c r="BW247" s="4">
        <v>1822</v>
      </c>
      <c r="BX247" s="4">
        <v>1837</v>
      </c>
      <c r="BY247" s="4">
        <v>1826</v>
      </c>
      <c r="BZ247" s="4">
        <v>1813</v>
      </c>
    </row>
    <row r="248" spans="1:254">
      <c r="A248" s="62" t="s">
        <v>461</v>
      </c>
      <c r="B248" s="4" t="str">
        <f>銘柄管理!C248</f>
        <v>リクルートホールディングス</v>
      </c>
      <c r="C248" s="4">
        <f>_xll.RssMarket("6098","現在値")</f>
        <v>12845</v>
      </c>
      <c r="D248" s="4">
        <f t="shared" si="7"/>
        <v>0</v>
      </c>
      <c r="E248" s="4">
        <v>12845</v>
      </c>
      <c r="F248" s="4">
        <v>12720</v>
      </c>
      <c r="G248" s="4">
        <v>12415</v>
      </c>
      <c r="H248" s="4">
        <v>12385</v>
      </c>
      <c r="I248" s="4">
        <v>12550</v>
      </c>
      <c r="J248" s="4">
        <v>12915</v>
      </c>
      <c r="K248" s="4">
        <v>13100</v>
      </c>
      <c r="L248" s="4">
        <v>12595</v>
      </c>
      <c r="M248" s="4">
        <v>12510</v>
      </c>
      <c r="N248" s="4">
        <v>12055</v>
      </c>
      <c r="O248" s="4">
        <v>12355</v>
      </c>
      <c r="P248" s="4">
        <v>12305</v>
      </c>
      <c r="Q248" s="4">
        <v>12920</v>
      </c>
      <c r="R248" s="4">
        <v>12820</v>
      </c>
      <c r="S248" s="4">
        <v>12580</v>
      </c>
      <c r="T248" s="4">
        <v>12660</v>
      </c>
      <c r="U248" s="4">
        <v>12350</v>
      </c>
      <c r="V248" s="4">
        <v>12240</v>
      </c>
      <c r="W248" s="4">
        <v>12505</v>
      </c>
      <c r="X248" s="4">
        <v>12180</v>
      </c>
      <c r="Y248" s="4">
        <v>12300</v>
      </c>
      <c r="Z248" s="4">
        <v>11895</v>
      </c>
      <c r="AA248" s="4">
        <v>11920</v>
      </c>
      <c r="AB248" s="4">
        <v>11630</v>
      </c>
      <c r="AC248" s="4">
        <v>11530</v>
      </c>
      <c r="AD248" s="4">
        <v>11330</v>
      </c>
      <c r="AE248" s="4">
        <v>11295</v>
      </c>
      <c r="AF248" s="4">
        <v>11040</v>
      </c>
      <c r="AG248" s="4">
        <v>11240</v>
      </c>
      <c r="AH248" s="4">
        <v>11225</v>
      </c>
      <c r="AI248" s="4">
        <v>11115</v>
      </c>
      <c r="AJ248" s="4">
        <v>11050</v>
      </c>
      <c r="AK248" s="4">
        <v>10865</v>
      </c>
      <c r="AL248" s="4">
        <v>11165</v>
      </c>
      <c r="AM248" s="4">
        <v>10520</v>
      </c>
      <c r="AN248" s="4">
        <v>10750</v>
      </c>
      <c r="AO248" s="4">
        <v>10720</v>
      </c>
      <c r="AP248" s="4">
        <v>10790</v>
      </c>
      <c r="AQ248" s="4">
        <v>11155</v>
      </c>
      <c r="AR248" s="4">
        <v>11380</v>
      </c>
      <c r="AS248" s="4">
        <v>10755</v>
      </c>
      <c r="AT248" s="4">
        <v>10595</v>
      </c>
      <c r="AU248" s="4">
        <v>10615</v>
      </c>
      <c r="AV248" s="4">
        <v>10920</v>
      </c>
      <c r="AW248" s="4">
        <v>10845</v>
      </c>
      <c r="AX248" s="4">
        <v>10570</v>
      </c>
      <c r="AY248" s="4">
        <v>10185</v>
      </c>
      <c r="AZ248" s="4">
        <v>9907</v>
      </c>
      <c r="BA248" s="4">
        <v>9688</v>
      </c>
      <c r="BB248" s="4">
        <v>9789</v>
      </c>
      <c r="BC248" s="4">
        <v>9564</v>
      </c>
      <c r="BD248" s="4">
        <v>9653</v>
      </c>
      <c r="BE248" s="4">
        <v>9846</v>
      </c>
      <c r="BF248" s="4">
        <v>9122</v>
      </c>
      <c r="BG248" s="4">
        <v>7825</v>
      </c>
      <c r="BH248" s="4">
        <v>7780</v>
      </c>
      <c r="BI248" s="4">
        <v>7800</v>
      </c>
      <c r="BJ248" s="4">
        <v>7573</v>
      </c>
      <c r="BK248" s="4">
        <v>7700</v>
      </c>
      <c r="BL248" s="4">
        <v>7822</v>
      </c>
      <c r="BM248" s="4">
        <v>7475</v>
      </c>
      <c r="BN248" s="4">
        <v>7361</v>
      </c>
      <c r="BO248" s="4">
        <v>7303</v>
      </c>
      <c r="BP248" s="4">
        <v>7464</v>
      </c>
      <c r="BQ248" s="4">
        <v>7302</v>
      </c>
      <c r="BR248" s="4">
        <v>7308</v>
      </c>
      <c r="BS248" s="4">
        <v>7561</v>
      </c>
      <c r="BT248" s="4">
        <v>7953</v>
      </c>
      <c r="BU248" s="4">
        <v>7853</v>
      </c>
      <c r="BV248" s="4">
        <v>7625</v>
      </c>
      <c r="BW248" s="4">
        <v>7524</v>
      </c>
      <c r="BX248" s="4">
        <v>7275</v>
      </c>
      <c r="BY248" s="4">
        <v>7163</v>
      </c>
      <c r="BZ248" s="4">
        <v>7030</v>
      </c>
    </row>
    <row r="249" spans="1:254">
      <c r="A249" s="62" t="s">
        <v>462</v>
      </c>
      <c r="B249" s="4" t="str">
        <f>銘柄管理!C249</f>
        <v>荏原製作所</v>
      </c>
      <c r="C249" s="4">
        <f>_xll.RssMarket("6361","現在値")</f>
        <v>5852</v>
      </c>
      <c r="D249" s="4">
        <f t="shared" si="7"/>
        <v>0</v>
      </c>
      <c r="E249" s="4">
        <v>5852</v>
      </c>
      <c r="F249" s="4">
        <v>6019</v>
      </c>
      <c r="G249" s="4">
        <v>5787</v>
      </c>
      <c r="H249" s="4">
        <v>5555</v>
      </c>
      <c r="I249" s="4">
        <v>5558</v>
      </c>
      <c r="J249" s="4">
        <v>4953</v>
      </c>
      <c r="K249" s="4">
        <v>4871</v>
      </c>
      <c r="L249" s="4">
        <v>5151</v>
      </c>
      <c r="M249" s="4">
        <v>5641</v>
      </c>
      <c r="N249" s="4">
        <v>5681</v>
      </c>
      <c r="O249" s="4">
        <v>5752</v>
      </c>
      <c r="P249" s="4">
        <v>5593</v>
      </c>
      <c r="Q249" s="4">
        <v>5587</v>
      </c>
      <c r="R249" s="4">
        <v>5384</v>
      </c>
      <c r="S249" s="4">
        <v>6230</v>
      </c>
      <c r="T249" s="4">
        <v>5881</v>
      </c>
      <c r="U249" s="4">
        <v>5908</v>
      </c>
      <c r="V249" s="4">
        <v>6127</v>
      </c>
      <c r="W249" s="4">
        <v>5859</v>
      </c>
      <c r="X249" s="4">
        <v>5808</v>
      </c>
      <c r="Y249" s="4">
        <v>5923</v>
      </c>
      <c r="Z249" s="4">
        <v>6223</v>
      </c>
      <c r="AA249" s="4">
        <v>6063</v>
      </c>
      <c r="AB249" s="4">
        <v>5989</v>
      </c>
      <c r="AC249" s="4">
        <v>6300</v>
      </c>
      <c r="AD249" s="4">
        <v>6256</v>
      </c>
      <c r="AE249" s="4">
        <v>6164</v>
      </c>
      <c r="AF249" s="4">
        <v>6248</v>
      </c>
      <c r="AG249" s="4">
        <v>6464</v>
      </c>
      <c r="AH249" s="4">
        <v>6279</v>
      </c>
      <c r="AI249" s="4">
        <v>6356</v>
      </c>
      <c r="AJ249" s="4">
        <v>6775</v>
      </c>
      <c r="AK249" s="4">
        <v>6560</v>
      </c>
      <c r="AL249" s="4">
        <v>6694</v>
      </c>
      <c r="AM249" s="4">
        <v>6527</v>
      </c>
      <c r="AN249" s="4">
        <v>6232</v>
      </c>
      <c r="AO249" s="4">
        <v>6204</v>
      </c>
      <c r="AP249" s="4">
        <v>5506</v>
      </c>
      <c r="AQ249" s="4">
        <v>5243</v>
      </c>
      <c r="AR249" s="4">
        <v>5265</v>
      </c>
      <c r="AS249" s="4">
        <v>5030</v>
      </c>
      <c r="AT249" s="4">
        <v>5535</v>
      </c>
      <c r="AU249" s="4">
        <v>5480</v>
      </c>
      <c r="AV249" s="4">
        <v>5626</v>
      </c>
      <c r="AW249" s="4">
        <v>5357</v>
      </c>
      <c r="AX249" s="4">
        <v>5683</v>
      </c>
      <c r="AY249" s="4">
        <v>5499</v>
      </c>
      <c r="AZ249" s="4">
        <v>5472</v>
      </c>
      <c r="BA249" s="4">
        <v>5693</v>
      </c>
      <c r="BB249" s="4">
        <v>5452</v>
      </c>
      <c r="BC249" s="4">
        <v>5036</v>
      </c>
      <c r="BD249" s="4">
        <v>4935</v>
      </c>
      <c r="BE249" s="4">
        <v>5153</v>
      </c>
      <c r="BF249" s="4">
        <v>5349</v>
      </c>
      <c r="BG249" s="4">
        <v>5533</v>
      </c>
      <c r="BH249" s="4">
        <v>5729</v>
      </c>
      <c r="BI249" s="4">
        <v>5740</v>
      </c>
      <c r="BJ249" s="4">
        <v>5841</v>
      </c>
      <c r="BK249" s="4">
        <v>5902</v>
      </c>
      <c r="BL249" s="4">
        <v>5750</v>
      </c>
      <c r="BM249" s="4">
        <v>5763</v>
      </c>
      <c r="BN249" s="4">
        <v>5242</v>
      </c>
      <c r="BO249" s="4">
        <v>5327</v>
      </c>
      <c r="BP249" s="4">
        <v>5423</v>
      </c>
      <c r="BQ249" s="4">
        <v>5446</v>
      </c>
      <c r="BR249" s="4">
        <v>5304</v>
      </c>
      <c r="BS249" s="4">
        <v>5309</v>
      </c>
      <c r="BT249" s="4">
        <v>5471</v>
      </c>
      <c r="BU249" s="4">
        <v>5137</v>
      </c>
      <c r="BV249" s="4">
        <v>5131</v>
      </c>
      <c r="BW249" s="4">
        <v>4933</v>
      </c>
      <c r="BX249" s="4">
        <v>5161</v>
      </c>
      <c r="BY249" s="4">
        <v>5004</v>
      </c>
      <c r="BZ249" s="4">
        <v>5171</v>
      </c>
    </row>
    <row r="250" spans="1:254">
      <c r="A250" s="62" t="s">
        <v>463</v>
      </c>
      <c r="B250" s="4" t="str">
        <f>銘柄管理!C250</f>
        <v>情報戦略テクノロジー</v>
      </c>
      <c r="C250" s="4">
        <f>_xll.RssMarket("155A","現在値")</f>
        <v>863</v>
      </c>
      <c r="D250" s="4">
        <f t="shared" si="7"/>
        <v>0</v>
      </c>
      <c r="E250" s="4">
        <v>863</v>
      </c>
      <c r="F250" s="4">
        <v>854</v>
      </c>
      <c r="G250" s="4">
        <v>833</v>
      </c>
      <c r="H250" s="4">
        <v>833</v>
      </c>
      <c r="I250" s="4">
        <v>831</v>
      </c>
      <c r="J250" s="4">
        <v>828</v>
      </c>
      <c r="K250" s="4">
        <v>814</v>
      </c>
      <c r="L250" s="4">
        <v>832</v>
      </c>
      <c r="M250" s="4">
        <v>852</v>
      </c>
      <c r="O250" s="4">
        <v>859</v>
      </c>
      <c r="P250" s="4">
        <v>860</v>
      </c>
      <c r="Q250" s="4">
        <v>870</v>
      </c>
      <c r="R250" s="4">
        <v>843</v>
      </c>
      <c r="S250" s="4">
        <v>893</v>
      </c>
      <c r="T250" s="4">
        <v>909</v>
      </c>
      <c r="U250" s="4">
        <v>902</v>
      </c>
      <c r="V250" s="4">
        <v>907</v>
      </c>
      <c r="W250" s="4">
        <v>883</v>
      </c>
      <c r="X250" s="4">
        <v>884</v>
      </c>
      <c r="Y250" s="4">
        <v>906</v>
      </c>
      <c r="Z250" s="4">
        <v>917</v>
      </c>
      <c r="AA250" s="4">
        <v>890</v>
      </c>
      <c r="AB250" s="4">
        <v>870</v>
      </c>
      <c r="AC250" s="4">
        <v>878</v>
      </c>
      <c r="AD250" s="4">
        <v>876</v>
      </c>
      <c r="AE250" s="4">
        <v>861</v>
      </c>
      <c r="AF250" s="4">
        <v>840</v>
      </c>
      <c r="AG250" s="4">
        <v>869</v>
      </c>
      <c r="AH250" s="4">
        <v>844</v>
      </c>
      <c r="AI250" s="4">
        <v>896</v>
      </c>
      <c r="AJ250" s="4">
        <v>914</v>
      </c>
      <c r="AK250" s="4">
        <v>883</v>
      </c>
      <c r="AL250" s="4">
        <v>886</v>
      </c>
      <c r="AM250" s="4">
        <v>866</v>
      </c>
      <c r="AN250" s="4">
        <v>820</v>
      </c>
      <c r="AO250" s="4">
        <v>846</v>
      </c>
      <c r="AP250" s="4">
        <v>835</v>
      </c>
      <c r="AQ250" s="4">
        <v>858</v>
      </c>
      <c r="AR250" s="4">
        <v>889</v>
      </c>
      <c r="AS250" s="4">
        <v>839</v>
      </c>
      <c r="AT250" s="4">
        <v>868</v>
      </c>
      <c r="AU250" s="4">
        <v>844</v>
      </c>
      <c r="AV250" s="4">
        <v>833</v>
      </c>
      <c r="AW250" s="4">
        <v>828</v>
      </c>
      <c r="AX250" s="4">
        <v>872</v>
      </c>
      <c r="AY250" s="4">
        <v>860</v>
      </c>
      <c r="AZ250" s="4">
        <v>879</v>
      </c>
      <c r="BA250" s="4">
        <v>880</v>
      </c>
      <c r="BB250" s="4">
        <v>852</v>
      </c>
      <c r="BC250" s="4">
        <v>846</v>
      </c>
      <c r="BD250" s="4">
        <v>835</v>
      </c>
      <c r="BE250" s="4">
        <v>875</v>
      </c>
      <c r="BF250" s="4">
        <v>880</v>
      </c>
      <c r="BG250" s="4">
        <v>889</v>
      </c>
      <c r="BH250" s="4">
        <v>739</v>
      </c>
      <c r="BI250" s="4">
        <v>770</v>
      </c>
      <c r="BJ250" s="4">
        <v>791</v>
      </c>
      <c r="BK250" s="4">
        <v>798</v>
      </c>
      <c r="BL250" s="4">
        <v>815</v>
      </c>
      <c r="BM250" s="4">
        <v>816</v>
      </c>
      <c r="BN250" s="4">
        <v>801</v>
      </c>
      <c r="BO250" s="4">
        <v>801</v>
      </c>
      <c r="BP250" s="4">
        <v>807</v>
      </c>
      <c r="BQ250" s="4">
        <v>813</v>
      </c>
      <c r="BR250" s="4">
        <v>821</v>
      </c>
      <c r="BS250" s="4">
        <v>835</v>
      </c>
      <c r="BT250" s="4">
        <v>860</v>
      </c>
      <c r="BU250" s="4">
        <v>852</v>
      </c>
      <c r="BV250" s="4">
        <v>836</v>
      </c>
      <c r="BW250" s="4">
        <v>842</v>
      </c>
      <c r="BX250" s="4">
        <v>833</v>
      </c>
      <c r="BY250" s="4">
        <v>829</v>
      </c>
      <c r="BZ250" s="4">
        <v>812</v>
      </c>
    </row>
    <row r="251" spans="1:254">
      <c r="A251" s="62" t="s">
        <v>464</v>
      </c>
      <c r="B251" s="4" t="str">
        <f>銘柄管理!C251</f>
        <v>ＴＥＲＲＡＤＲＯＮＥ</v>
      </c>
      <c r="C251" s="4">
        <f>_xll.RssMarket("278A","現在値")</f>
        <v>12910</v>
      </c>
      <c r="D251" s="4">
        <f t="shared" si="7"/>
        <v>0</v>
      </c>
      <c r="E251" s="4">
        <v>12910</v>
      </c>
      <c r="F251" s="4">
        <v>12970</v>
      </c>
      <c r="G251" s="4">
        <v>14360</v>
      </c>
      <c r="H251" s="4">
        <v>12000</v>
      </c>
      <c r="I251" s="4">
        <v>10540</v>
      </c>
      <c r="J251" s="4">
        <v>10270</v>
      </c>
      <c r="K251" s="4">
        <v>10140</v>
      </c>
      <c r="L251" s="4">
        <v>10380</v>
      </c>
      <c r="M251" s="4">
        <v>12920</v>
      </c>
      <c r="N251" s="4">
        <v>12690</v>
      </c>
      <c r="O251" s="4">
        <v>13770</v>
      </c>
      <c r="P251" s="4">
        <v>15550</v>
      </c>
      <c r="Q251" s="4">
        <v>15370</v>
      </c>
      <c r="R251" s="4">
        <v>13770</v>
      </c>
      <c r="S251" s="4">
        <v>13100</v>
      </c>
      <c r="T251" s="4">
        <v>10700</v>
      </c>
      <c r="U251" s="4">
        <v>11400</v>
      </c>
      <c r="V251" s="4">
        <v>10860</v>
      </c>
      <c r="W251" s="4">
        <v>9500</v>
      </c>
      <c r="X251" s="4">
        <v>8750</v>
      </c>
      <c r="Y251" s="4">
        <v>9130</v>
      </c>
      <c r="Z251" s="4">
        <v>9750</v>
      </c>
      <c r="AA251" s="4">
        <v>8410</v>
      </c>
      <c r="AB251" s="4">
        <v>8110</v>
      </c>
      <c r="AC251" s="4">
        <v>7810</v>
      </c>
      <c r="AD251" s="4">
        <v>7700</v>
      </c>
      <c r="AE251" s="4">
        <v>7830</v>
      </c>
      <c r="AF251" s="4">
        <v>7650</v>
      </c>
      <c r="AG251" s="4">
        <v>8000</v>
      </c>
      <c r="AH251" s="4">
        <v>8020</v>
      </c>
      <c r="AI251" s="4">
        <v>7990</v>
      </c>
      <c r="AJ251" s="4">
        <v>9420</v>
      </c>
      <c r="AK251" s="4">
        <v>7920</v>
      </c>
      <c r="AL251" s="4">
        <v>8410</v>
      </c>
      <c r="AM251" s="4">
        <v>8020</v>
      </c>
      <c r="AN251" s="4">
        <v>8750</v>
      </c>
      <c r="AO251" s="4">
        <v>7250</v>
      </c>
      <c r="AP251" s="4">
        <v>8100</v>
      </c>
      <c r="AQ251" s="4">
        <v>8570</v>
      </c>
      <c r="AR251" s="4">
        <v>8990</v>
      </c>
      <c r="AS251" s="4">
        <v>8260</v>
      </c>
      <c r="AT251" s="4">
        <v>8190</v>
      </c>
      <c r="AU251" s="4">
        <v>8050</v>
      </c>
      <c r="AV251" s="4">
        <v>8590</v>
      </c>
      <c r="AW251" s="4">
        <v>8540</v>
      </c>
      <c r="AX251" s="4">
        <v>9690</v>
      </c>
      <c r="AY251" s="4">
        <v>10010</v>
      </c>
      <c r="AZ251" s="4">
        <v>9210</v>
      </c>
      <c r="BA251" s="4">
        <v>10870</v>
      </c>
      <c r="BB251" s="4">
        <v>11320</v>
      </c>
      <c r="BC251" s="4">
        <v>10910</v>
      </c>
      <c r="BD251" s="4">
        <v>11100</v>
      </c>
      <c r="BE251" s="4">
        <v>12560</v>
      </c>
      <c r="BF251" s="4">
        <v>12750</v>
      </c>
      <c r="BG251" s="4">
        <v>12190</v>
      </c>
      <c r="BH251" s="4">
        <v>10740</v>
      </c>
      <c r="BI251" s="4">
        <v>11470</v>
      </c>
      <c r="BJ251" s="4">
        <v>12400</v>
      </c>
      <c r="BK251" s="4">
        <v>16400</v>
      </c>
      <c r="BL251" s="4">
        <v>13400</v>
      </c>
      <c r="BM251" s="4">
        <v>12850</v>
      </c>
      <c r="BN251" s="4">
        <v>10770</v>
      </c>
      <c r="BO251" s="4">
        <v>9270</v>
      </c>
      <c r="BP251" s="4">
        <v>7770</v>
      </c>
      <c r="BQ251" s="4">
        <v>7450</v>
      </c>
      <c r="BR251" s="4">
        <v>7840</v>
      </c>
      <c r="BS251" s="4">
        <v>8260</v>
      </c>
      <c r="BT251" s="4">
        <v>7220</v>
      </c>
      <c r="BU251" s="4">
        <v>6220</v>
      </c>
      <c r="BV251" s="4">
        <v>6550</v>
      </c>
      <c r="BW251" s="4">
        <v>6480</v>
      </c>
      <c r="BX251" s="4">
        <v>6700</v>
      </c>
      <c r="BY251" s="4">
        <v>6000</v>
      </c>
      <c r="BZ251" s="4">
        <v>5660</v>
      </c>
    </row>
    <row r="252" spans="1:254">
      <c r="A252" s="62" t="s">
        <v>465</v>
      </c>
      <c r="B252" s="4" t="str">
        <f>銘柄管理!C252</f>
        <v>ＭＩＣ</v>
      </c>
      <c r="C252" s="4">
        <f>_xll.RssMarket("300A","現在値")</f>
        <v>3070</v>
      </c>
      <c r="D252" s="4">
        <f t="shared" si="7"/>
        <v>0</v>
      </c>
      <c r="E252" s="4">
        <v>3070</v>
      </c>
      <c r="F252" s="4">
        <v>3030</v>
      </c>
      <c r="G252" s="4">
        <v>3000</v>
      </c>
      <c r="H252" s="4">
        <v>2957</v>
      </c>
      <c r="I252" s="4">
        <v>3000</v>
      </c>
      <c r="J252" s="4">
        <v>3000</v>
      </c>
      <c r="K252" s="4">
        <v>2978</v>
      </c>
      <c r="L252" s="4">
        <v>2979</v>
      </c>
      <c r="M252" s="4">
        <v>2946</v>
      </c>
      <c r="O252" s="4">
        <v>2985</v>
      </c>
      <c r="P252" s="4">
        <v>2948</v>
      </c>
      <c r="Q252" s="4">
        <v>2915</v>
      </c>
      <c r="R252" s="4">
        <v>2874</v>
      </c>
      <c r="S252" s="4">
        <v>2880</v>
      </c>
      <c r="T252" s="4">
        <v>2842</v>
      </c>
      <c r="U252" s="4">
        <v>2837</v>
      </c>
      <c r="V252" s="4">
        <v>2908</v>
      </c>
      <c r="W252" s="4">
        <v>2860</v>
      </c>
      <c r="X252" s="4">
        <v>2910</v>
      </c>
      <c r="Y252" s="4">
        <v>2910</v>
      </c>
      <c r="Z252" s="4">
        <v>2912</v>
      </c>
      <c r="AA252" s="4">
        <v>2917</v>
      </c>
      <c r="AB252" s="4">
        <v>2917</v>
      </c>
      <c r="AC252" s="4">
        <v>2971</v>
      </c>
      <c r="AD252" s="4">
        <v>2929</v>
      </c>
      <c r="AE252" s="4">
        <v>2900</v>
      </c>
      <c r="AF252" s="4">
        <v>2824</v>
      </c>
      <c r="AG252" s="4">
        <v>2790</v>
      </c>
      <c r="AH252" s="4">
        <v>2791</v>
      </c>
      <c r="AI252" s="4">
        <v>2801</v>
      </c>
      <c r="AJ252" s="4">
        <v>2800</v>
      </c>
      <c r="AK252" s="4">
        <v>2800</v>
      </c>
      <c r="AL252" s="4">
        <v>2796</v>
      </c>
      <c r="AM252" s="4">
        <v>2847</v>
      </c>
      <c r="AN252" s="4">
        <v>2810</v>
      </c>
      <c r="AO252" s="4">
        <v>2816</v>
      </c>
      <c r="AP252" s="4">
        <v>2867</v>
      </c>
      <c r="AQ252" s="4">
        <v>2780</v>
      </c>
      <c r="AR252" s="4">
        <v>2800</v>
      </c>
      <c r="AS252" s="4">
        <v>2737</v>
      </c>
      <c r="AT252" s="4">
        <v>2804</v>
      </c>
      <c r="AU252" s="4">
        <v>2755</v>
      </c>
      <c r="AV252" s="4">
        <v>2804</v>
      </c>
      <c r="AW252" s="4">
        <v>2844</v>
      </c>
      <c r="AX252" s="4">
        <v>2835</v>
      </c>
      <c r="AY252" s="4">
        <v>2887</v>
      </c>
      <c r="AZ252" s="4">
        <v>2844</v>
      </c>
      <c r="BA252" s="4">
        <v>2869</v>
      </c>
      <c r="BB252" s="4">
        <v>2918</v>
      </c>
      <c r="BC252" s="4">
        <v>2864</v>
      </c>
      <c r="BD252" s="4">
        <v>2891</v>
      </c>
      <c r="BE252" s="4">
        <v>2900</v>
      </c>
      <c r="BF252" s="4">
        <v>2874</v>
      </c>
      <c r="BG252" s="4">
        <v>2950</v>
      </c>
      <c r="BH252" s="4">
        <v>2604</v>
      </c>
      <c r="BI252" s="4">
        <v>2781</v>
      </c>
      <c r="BJ252" s="4">
        <v>2731</v>
      </c>
      <c r="BK252" s="4">
        <v>2802</v>
      </c>
      <c r="BL252" s="4">
        <v>2782</v>
      </c>
      <c r="BM252" s="4">
        <v>2753</v>
      </c>
      <c r="BN252" s="4">
        <v>2795</v>
      </c>
      <c r="BO252" s="4">
        <v>2768</v>
      </c>
      <c r="BP252" s="4">
        <v>2849</v>
      </c>
      <c r="BQ252" s="4">
        <v>2762</v>
      </c>
      <c r="BR252" s="4">
        <v>2879</v>
      </c>
      <c r="BS252" s="4">
        <v>2950</v>
      </c>
      <c r="BT252" s="4">
        <v>3060</v>
      </c>
      <c r="BU252" s="4">
        <v>3075</v>
      </c>
      <c r="BV252" s="4">
        <v>3045</v>
      </c>
      <c r="BW252" s="4">
        <v>2982</v>
      </c>
      <c r="BX252" s="4">
        <v>2998</v>
      </c>
      <c r="BY252" s="4">
        <v>2945</v>
      </c>
      <c r="BZ252" s="4">
        <v>2913</v>
      </c>
    </row>
    <row r="253" spans="1:254">
      <c r="A253" s="62" t="s">
        <v>466</v>
      </c>
      <c r="B253" s="4" t="str">
        <f>銘柄管理!C253</f>
        <v>サイボウズ</v>
      </c>
      <c r="C253" s="4">
        <f>_xll.RssMarket("4776","現在値")</f>
        <v>2699</v>
      </c>
      <c r="D253" s="4">
        <f t="shared" si="7"/>
        <v>0</v>
      </c>
      <c r="E253" s="4">
        <v>2699</v>
      </c>
      <c r="F253" s="4">
        <v>2729</v>
      </c>
      <c r="G253" s="4">
        <v>2677</v>
      </c>
      <c r="H253" s="4">
        <v>2653</v>
      </c>
      <c r="I253" s="4">
        <v>2695</v>
      </c>
      <c r="J253" s="4">
        <v>2749</v>
      </c>
      <c r="K253" s="4">
        <v>2831</v>
      </c>
      <c r="L253" s="4">
        <v>2659</v>
      </c>
      <c r="M253" s="4">
        <v>2625</v>
      </c>
      <c r="N253" s="4">
        <v>2485</v>
      </c>
      <c r="O253" s="4">
        <v>2473</v>
      </c>
      <c r="P253" s="4">
        <v>2532</v>
      </c>
      <c r="Q253" s="4">
        <v>2610</v>
      </c>
      <c r="R253" s="4">
        <v>2566</v>
      </c>
      <c r="S253" s="4">
        <v>2563</v>
      </c>
      <c r="T253" s="4">
        <v>2590</v>
      </c>
      <c r="U253" s="4">
        <v>2571</v>
      </c>
      <c r="V253" s="4">
        <v>2602</v>
      </c>
      <c r="W253" s="4">
        <v>2623</v>
      </c>
      <c r="X253" s="4">
        <v>2623</v>
      </c>
      <c r="Y253" s="4">
        <v>2613</v>
      </c>
      <c r="Z253" s="4">
        <v>2580</v>
      </c>
      <c r="AA253" s="4">
        <v>2533</v>
      </c>
      <c r="AB253" s="4">
        <v>2474</v>
      </c>
      <c r="AC253" s="4">
        <v>2286</v>
      </c>
      <c r="AD253" s="4">
        <v>2259</v>
      </c>
      <c r="AE253" s="4">
        <v>2326</v>
      </c>
      <c r="AF253" s="4">
        <v>2136</v>
      </c>
      <c r="AG253" s="4">
        <v>2165</v>
      </c>
      <c r="AH253" s="4">
        <v>2237</v>
      </c>
      <c r="AI253" s="4">
        <v>2222</v>
      </c>
      <c r="AJ253" s="4">
        <v>2295</v>
      </c>
      <c r="AK253" s="4">
        <v>2317</v>
      </c>
      <c r="AL253" s="4">
        <v>2379</v>
      </c>
      <c r="AM253" s="4">
        <v>2299</v>
      </c>
      <c r="AN253" s="4">
        <v>2297</v>
      </c>
      <c r="AO253" s="4">
        <v>2359</v>
      </c>
      <c r="AP253" s="4">
        <v>2293</v>
      </c>
      <c r="AQ253" s="4">
        <v>2322</v>
      </c>
      <c r="AR253" s="4">
        <v>2339</v>
      </c>
      <c r="AS253" s="4">
        <v>2368</v>
      </c>
      <c r="AT253" s="4">
        <v>2462</v>
      </c>
      <c r="AU253" s="4">
        <v>2400</v>
      </c>
      <c r="AV253" s="4">
        <v>2469</v>
      </c>
      <c r="AW253" s="4">
        <v>2657</v>
      </c>
      <c r="AX253" s="4">
        <v>2539</v>
      </c>
      <c r="AY253" s="4">
        <v>2515</v>
      </c>
      <c r="AZ253" s="4">
        <v>2559</v>
      </c>
      <c r="BA253" s="4">
        <v>2587</v>
      </c>
      <c r="BB253" s="4">
        <v>2513</v>
      </c>
      <c r="BC253" s="4">
        <v>2495</v>
      </c>
      <c r="BD253" s="4">
        <v>2452</v>
      </c>
      <c r="BE253" s="4">
        <v>2449</v>
      </c>
      <c r="BF253" s="4">
        <v>2365</v>
      </c>
      <c r="BG253" s="4">
        <v>2392</v>
      </c>
      <c r="BH253" s="4">
        <v>2124</v>
      </c>
      <c r="BI253" s="4">
        <v>2197</v>
      </c>
      <c r="BJ253" s="4">
        <v>2136</v>
      </c>
      <c r="BK253" s="4">
        <v>2178</v>
      </c>
      <c r="BL253" s="4">
        <v>2185</v>
      </c>
      <c r="BM253" s="4">
        <v>2121</v>
      </c>
      <c r="BN253" s="4">
        <v>2082</v>
      </c>
      <c r="BO253" s="4">
        <v>2078</v>
      </c>
      <c r="BP253" s="4">
        <v>2116</v>
      </c>
      <c r="BQ253" s="4">
        <v>2113</v>
      </c>
      <c r="BR253" s="4">
        <v>2116</v>
      </c>
      <c r="BS253" s="4">
        <v>2116</v>
      </c>
      <c r="BT253" s="4">
        <v>2158</v>
      </c>
      <c r="BU253" s="4">
        <v>2133</v>
      </c>
      <c r="BV253" s="4">
        <v>2180</v>
      </c>
      <c r="BW253" s="4">
        <v>2282</v>
      </c>
      <c r="BX253" s="4">
        <v>2187</v>
      </c>
      <c r="BY253" s="4">
        <v>2113</v>
      </c>
      <c r="BZ253" s="4">
        <v>2041</v>
      </c>
    </row>
    <row r="254" spans="1:254">
      <c r="A254" s="62" t="s">
        <v>467</v>
      </c>
      <c r="B254" s="4" t="str">
        <f>銘柄管理!C254</f>
        <v>トレンドマイクロ</v>
      </c>
      <c r="C254" s="4">
        <f>_xll.RssMarket("4704","現在値")</f>
        <v>6720</v>
      </c>
      <c r="D254" s="4">
        <f t="shared" si="7"/>
        <v>0</v>
      </c>
      <c r="E254" s="4">
        <v>6720</v>
      </c>
      <c r="F254" s="4">
        <v>6467</v>
      </c>
      <c r="G254" s="4">
        <v>6466</v>
      </c>
      <c r="H254" s="4">
        <v>6304</v>
      </c>
      <c r="I254" s="4">
        <v>6341</v>
      </c>
      <c r="J254" s="4">
        <v>6743</v>
      </c>
      <c r="K254" s="4">
        <v>6799</v>
      </c>
      <c r="L254" s="4">
        <v>6574</v>
      </c>
      <c r="M254" s="4">
        <v>6490</v>
      </c>
      <c r="N254" s="4">
        <v>6269</v>
      </c>
      <c r="O254" s="4">
        <v>6165</v>
      </c>
      <c r="P254" s="4">
        <v>6319</v>
      </c>
      <c r="Q254" s="4">
        <v>6364</v>
      </c>
      <c r="R254" s="4">
        <v>6480</v>
      </c>
      <c r="S254" s="4">
        <v>6391</v>
      </c>
      <c r="T254" s="4">
        <v>6335</v>
      </c>
      <c r="U254" s="4">
        <v>6242</v>
      </c>
      <c r="V254" s="4">
        <v>6277</v>
      </c>
      <c r="W254" s="4">
        <v>6257</v>
      </c>
      <c r="X254" s="4">
        <v>6242</v>
      </c>
      <c r="Y254" s="4">
        <v>6382</v>
      </c>
      <c r="Z254" s="4">
        <v>6372</v>
      </c>
      <c r="AA254" s="4">
        <v>6267</v>
      </c>
      <c r="AB254" s="4">
        <v>6261</v>
      </c>
      <c r="AC254" s="4">
        <v>5962</v>
      </c>
      <c r="AD254" s="4">
        <v>5982</v>
      </c>
      <c r="AE254" s="4">
        <v>5973</v>
      </c>
      <c r="AF254" s="4">
        <v>5590</v>
      </c>
      <c r="AG254" s="4">
        <v>5698</v>
      </c>
      <c r="AH254" s="4">
        <v>5643</v>
      </c>
      <c r="AI254" s="4">
        <v>5490</v>
      </c>
      <c r="AJ254" s="4">
        <v>5646</v>
      </c>
      <c r="AK254" s="4">
        <v>5606</v>
      </c>
      <c r="AL254" s="4">
        <v>5909</v>
      </c>
      <c r="AM254" s="4">
        <v>5820</v>
      </c>
      <c r="AN254" s="4">
        <v>5749</v>
      </c>
      <c r="AO254" s="4">
        <v>5865</v>
      </c>
      <c r="AP254" s="4">
        <v>5900</v>
      </c>
      <c r="AQ254" s="4">
        <v>6135</v>
      </c>
      <c r="AR254" s="4">
        <v>6217</v>
      </c>
      <c r="AS254" s="4">
        <v>6328</v>
      </c>
      <c r="AT254" s="4">
        <v>6678</v>
      </c>
      <c r="AU254" s="4">
        <v>6225</v>
      </c>
      <c r="AV254" s="4">
        <v>6333</v>
      </c>
      <c r="AW254" s="4">
        <v>6351</v>
      </c>
      <c r="AX254" s="4">
        <v>6010</v>
      </c>
      <c r="AY254" s="4">
        <v>5880</v>
      </c>
      <c r="AZ254" s="4">
        <v>6065</v>
      </c>
      <c r="BA254" s="4">
        <v>6356</v>
      </c>
      <c r="BB254" s="4">
        <v>6184</v>
      </c>
      <c r="BC254" s="4">
        <v>5990</v>
      </c>
      <c r="BD254" s="4">
        <v>5944</v>
      </c>
      <c r="BE254" s="4">
        <v>6113</v>
      </c>
      <c r="BF254" s="4">
        <v>5905</v>
      </c>
      <c r="BG254" s="4">
        <v>5537</v>
      </c>
      <c r="BH254" s="4">
        <v>5471</v>
      </c>
      <c r="BI254" s="4">
        <v>5607</v>
      </c>
      <c r="BJ254" s="4">
        <v>5594</v>
      </c>
      <c r="BK254" s="4">
        <v>5645</v>
      </c>
      <c r="BL254" s="4">
        <v>5645</v>
      </c>
      <c r="BM254" s="4">
        <v>5535</v>
      </c>
      <c r="BN254" s="4">
        <v>5304</v>
      </c>
      <c r="BO254" s="4">
        <v>5476</v>
      </c>
      <c r="BP254" s="4">
        <v>5611</v>
      </c>
      <c r="BQ254" s="4">
        <v>5476</v>
      </c>
      <c r="BR254" s="4">
        <v>5576</v>
      </c>
      <c r="BS254" s="4">
        <v>5765</v>
      </c>
      <c r="BT254" s="4">
        <v>5879</v>
      </c>
      <c r="BU254" s="4">
        <v>5986</v>
      </c>
      <c r="BV254" s="4">
        <v>5756</v>
      </c>
      <c r="BW254" s="4">
        <v>5978</v>
      </c>
      <c r="BX254" s="4">
        <v>5998</v>
      </c>
      <c r="BY254" s="4">
        <v>5459</v>
      </c>
      <c r="BZ254" s="4">
        <v>5361</v>
      </c>
    </row>
    <row r="255" spans="1:254">
      <c r="A255" s="62" t="s">
        <v>468</v>
      </c>
      <c r="B255" s="4" t="str">
        <f>銘柄管理!C255</f>
        <v>栗田工業</v>
      </c>
      <c r="C255" s="4">
        <f>_xll.RssMarket("6370","現在値")</f>
        <v>8975</v>
      </c>
      <c r="D255" s="4">
        <f t="shared" si="7"/>
        <v>0</v>
      </c>
      <c r="E255" s="4">
        <v>8975</v>
      </c>
      <c r="F255" s="4">
        <v>9186</v>
      </c>
      <c r="G255" s="4">
        <v>8950</v>
      </c>
      <c r="H255" s="4">
        <v>8723</v>
      </c>
      <c r="I255" s="4">
        <v>8742</v>
      </c>
      <c r="J255" s="4">
        <v>8180</v>
      </c>
      <c r="K255" s="4">
        <v>8178</v>
      </c>
      <c r="L255" s="4">
        <v>8301</v>
      </c>
      <c r="M255" s="4">
        <v>8978</v>
      </c>
      <c r="N255" s="4">
        <v>8943</v>
      </c>
      <c r="O255" s="4">
        <v>9043</v>
      </c>
      <c r="P255" s="4">
        <v>8911</v>
      </c>
      <c r="Q255" s="4">
        <v>8806</v>
      </c>
      <c r="R255" s="4">
        <v>8575</v>
      </c>
      <c r="S255" s="4">
        <v>9270</v>
      </c>
      <c r="T255" s="4">
        <v>9065</v>
      </c>
      <c r="U255" s="4">
        <v>9054</v>
      </c>
      <c r="V255" s="4">
        <v>9105</v>
      </c>
      <c r="W255" s="4">
        <v>8947</v>
      </c>
      <c r="X255" s="4">
        <v>8702</v>
      </c>
      <c r="Y255" s="4">
        <v>8939</v>
      </c>
      <c r="Z255" s="4">
        <v>9500</v>
      </c>
      <c r="AA255" s="4">
        <v>9398</v>
      </c>
      <c r="AB255" s="4">
        <v>9100</v>
      </c>
      <c r="AC255" s="4">
        <v>9455</v>
      </c>
      <c r="AD255" s="4">
        <v>9151</v>
      </c>
      <c r="AE255" s="4">
        <v>9071</v>
      </c>
      <c r="AF255" s="4">
        <v>9080</v>
      </c>
      <c r="AG255" s="4">
        <v>9382</v>
      </c>
      <c r="AH255" s="4">
        <v>9239</v>
      </c>
      <c r="AI255" s="4">
        <v>9274</v>
      </c>
      <c r="AJ255" s="4">
        <v>9562</v>
      </c>
      <c r="AK255" s="4">
        <v>9563</v>
      </c>
      <c r="AL255" s="4">
        <v>9537</v>
      </c>
      <c r="AM255" s="4">
        <v>9370</v>
      </c>
      <c r="AN255" s="4">
        <v>9187</v>
      </c>
      <c r="AO255" s="4">
        <v>8696</v>
      </c>
      <c r="AP255" s="4">
        <v>8383</v>
      </c>
      <c r="AQ255" s="4">
        <v>8125</v>
      </c>
      <c r="AR255" s="4">
        <v>8200</v>
      </c>
      <c r="AS255" s="4">
        <v>8279</v>
      </c>
      <c r="AT255" s="4">
        <v>8769</v>
      </c>
      <c r="AU255" s="4">
        <v>8839</v>
      </c>
      <c r="AV255" s="4">
        <v>8856</v>
      </c>
      <c r="AW255" s="4">
        <v>8490</v>
      </c>
      <c r="AX255" s="4">
        <v>8753</v>
      </c>
      <c r="AY255" s="4">
        <v>8691</v>
      </c>
      <c r="AZ255" s="4">
        <v>8819</v>
      </c>
      <c r="BA255" s="4">
        <v>8776</v>
      </c>
      <c r="BB255" s="4">
        <v>8684</v>
      </c>
      <c r="BC255" s="4">
        <v>8563</v>
      </c>
      <c r="BD255" s="4">
        <v>8388</v>
      </c>
      <c r="BE255" s="4">
        <v>8766</v>
      </c>
      <c r="BF255" s="4">
        <v>8720</v>
      </c>
      <c r="BG255" s="4">
        <v>9000</v>
      </c>
      <c r="BH255" s="4">
        <v>8809</v>
      </c>
      <c r="BI255" s="4">
        <v>8917</v>
      </c>
      <c r="BJ255" s="4">
        <v>9036</v>
      </c>
      <c r="BK255" s="4">
        <v>8937</v>
      </c>
      <c r="BL255" s="4">
        <v>8648</v>
      </c>
      <c r="BM255" s="4">
        <v>8358</v>
      </c>
      <c r="BN255" s="4">
        <v>8044</v>
      </c>
      <c r="BO255" s="4">
        <v>8429</v>
      </c>
      <c r="BP255" s="4">
        <v>8477</v>
      </c>
      <c r="BQ255" s="4">
        <v>8303</v>
      </c>
      <c r="BR255" s="4">
        <v>7796</v>
      </c>
      <c r="BS255" s="4">
        <v>7827</v>
      </c>
      <c r="BT255" s="4">
        <v>7818</v>
      </c>
      <c r="BU255" s="4">
        <v>8038</v>
      </c>
      <c r="BV255" s="4">
        <v>8163</v>
      </c>
      <c r="BW255" s="4">
        <v>8080</v>
      </c>
      <c r="BX255" s="4">
        <v>7971</v>
      </c>
      <c r="BY255" s="4">
        <v>7916</v>
      </c>
      <c r="BZ255" s="4">
        <v>7947</v>
      </c>
    </row>
    <row r="256" spans="1:254">
      <c r="A256" s="62" t="s">
        <v>469</v>
      </c>
      <c r="B256" s="4" t="str">
        <f>銘柄管理!C256</f>
        <v>名村造船所</v>
      </c>
      <c r="C256" s="4">
        <f>_xll.RssMarket("7014","現在値")</f>
        <v>4360</v>
      </c>
      <c r="D256" s="4">
        <f t="shared" si="7"/>
        <v>0</v>
      </c>
      <c r="E256" s="4">
        <v>4360</v>
      </c>
      <c r="F256" s="4">
        <v>4300</v>
      </c>
      <c r="G256" s="4">
        <v>4155</v>
      </c>
      <c r="H256" s="4">
        <v>4125</v>
      </c>
      <c r="I256" s="4">
        <v>4340</v>
      </c>
      <c r="J256" s="4">
        <v>4250</v>
      </c>
      <c r="K256" s="4">
        <v>4135</v>
      </c>
      <c r="L256" s="4">
        <v>4375</v>
      </c>
      <c r="M256" s="4">
        <v>4460</v>
      </c>
      <c r="N256" s="4">
        <v>4285</v>
      </c>
      <c r="O256" s="4">
        <v>4240</v>
      </c>
      <c r="P256" s="4">
        <v>4160</v>
      </c>
      <c r="Q256" s="4">
        <v>3895</v>
      </c>
      <c r="R256" s="4">
        <v>3785</v>
      </c>
      <c r="S256" s="4">
        <v>4015</v>
      </c>
      <c r="T256" s="4">
        <v>3880</v>
      </c>
      <c r="U256" s="4">
        <v>3795</v>
      </c>
      <c r="V256" s="4">
        <v>3800</v>
      </c>
      <c r="W256" s="4">
        <v>3760</v>
      </c>
      <c r="X256" s="4">
        <v>3890</v>
      </c>
      <c r="Y256" s="4">
        <v>4200</v>
      </c>
      <c r="Z256" s="4">
        <v>4180</v>
      </c>
      <c r="AA256" s="4">
        <v>3640</v>
      </c>
      <c r="AB256" s="4">
        <v>3570</v>
      </c>
      <c r="AC256" s="4">
        <v>3515</v>
      </c>
      <c r="AD256" s="4">
        <v>3545</v>
      </c>
      <c r="AE256" s="4">
        <v>3590</v>
      </c>
      <c r="AF256" s="4">
        <v>3690</v>
      </c>
      <c r="AG256" s="4">
        <v>3640</v>
      </c>
      <c r="AH256" s="4">
        <v>3660</v>
      </c>
      <c r="AI256" s="4">
        <v>3675</v>
      </c>
      <c r="AJ256" s="4">
        <v>3840</v>
      </c>
      <c r="AK256" s="4">
        <v>3840</v>
      </c>
      <c r="AL256" s="4">
        <v>3840</v>
      </c>
      <c r="AM256" s="4">
        <v>3875</v>
      </c>
      <c r="AN256" s="4">
        <v>3770</v>
      </c>
      <c r="AO256" s="4">
        <v>3765</v>
      </c>
      <c r="AP256" s="4">
        <v>3545</v>
      </c>
      <c r="AQ256" s="4">
        <v>3430</v>
      </c>
      <c r="AR256" s="4">
        <v>3415</v>
      </c>
      <c r="AS256" s="4">
        <v>3590</v>
      </c>
      <c r="AT256" s="4">
        <v>3695</v>
      </c>
      <c r="AU256" s="4">
        <v>3445</v>
      </c>
      <c r="AV256" s="4">
        <v>3555</v>
      </c>
      <c r="AW256" s="4">
        <v>3470</v>
      </c>
      <c r="AX256" s="4">
        <v>3735</v>
      </c>
      <c r="AY256" s="4">
        <v>3800</v>
      </c>
      <c r="AZ256" s="4">
        <v>4075</v>
      </c>
      <c r="BA256" s="4">
        <v>4080</v>
      </c>
      <c r="BB256" s="4">
        <v>3815</v>
      </c>
      <c r="BC256" s="4">
        <v>3755</v>
      </c>
      <c r="BD256" s="4">
        <v>3675</v>
      </c>
      <c r="BE256" s="4">
        <v>3885</v>
      </c>
      <c r="BF256" s="4">
        <v>4150</v>
      </c>
      <c r="BG256" s="4">
        <v>4375</v>
      </c>
      <c r="BH256" s="4">
        <v>3675</v>
      </c>
      <c r="BI256" s="4">
        <v>4030</v>
      </c>
      <c r="BJ256" s="4">
        <v>4020</v>
      </c>
      <c r="BK256" s="4">
        <v>4015</v>
      </c>
      <c r="BL256" s="4">
        <v>3980</v>
      </c>
      <c r="BM256" s="4">
        <v>4055</v>
      </c>
      <c r="BN256" s="4">
        <v>4025</v>
      </c>
      <c r="BO256" s="4">
        <v>4050</v>
      </c>
      <c r="BP256" s="4">
        <v>4145</v>
      </c>
      <c r="BQ256" s="4">
        <v>4130</v>
      </c>
      <c r="BR256" s="4">
        <v>4055</v>
      </c>
      <c r="BS256" s="4">
        <v>4055</v>
      </c>
      <c r="BT256" s="4">
        <v>4390</v>
      </c>
      <c r="BU256" s="4">
        <v>4055</v>
      </c>
      <c r="BV256" s="4">
        <v>4075</v>
      </c>
      <c r="BW256" s="4">
        <v>4055</v>
      </c>
      <c r="BX256" s="4">
        <v>4115</v>
      </c>
      <c r="BY256" s="4">
        <v>4030</v>
      </c>
      <c r="BZ256" s="4">
        <v>4175</v>
      </c>
    </row>
    <row r="257" spans="1:254">
      <c r="A257" s="62" t="s">
        <v>470</v>
      </c>
      <c r="B257" s="4" t="str">
        <f>銘柄管理!C257</f>
        <v>イノテック</v>
      </c>
      <c r="C257" s="4">
        <f>_xll.RssMarket("9880","現在値")</f>
        <v>3730</v>
      </c>
      <c r="D257" s="4">
        <f t="shared" si="7"/>
        <v>0</v>
      </c>
      <c r="E257" s="4">
        <v>3730</v>
      </c>
      <c r="F257" s="4">
        <v>3745</v>
      </c>
      <c r="G257" s="4">
        <v>3600</v>
      </c>
      <c r="H257" s="4">
        <v>3445</v>
      </c>
      <c r="I257" s="4">
        <v>3380</v>
      </c>
      <c r="J257" s="4">
        <v>3105</v>
      </c>
      <c r="K257" s="4">
        <v>3005</v>
      </c>
      <c r="L257" s="4">
        <v>3095</v>
      </c>
      <c r="M257" s="4">
        <v>3310</v>
      </c>
      <c r="N257" s="4">
        <v>3315</v>
      </c>
      <c r="O257" s="4">
        <v>3390</v>
      </c>
      <c r="P257" s="4">
        <v>3390</v>
      </c>
      <c r="Q257" s="4">
        <v>3330</v>
      </c>
      <c r="R257" s="4">
        <v>3230</v>
      </c>
      <c r="S257" s="4">
        <v>3540</v>
      </c>
      <c r="T257" s="4">
        <v>3500</v>
      </c>
      <c r="U257" s="4">
        <v>3490</v>
      </c>
      <c r="V257" s="4">
        <v>3575</v>
      </c>
      <c r="W257" s="4">
        <v>3540</v>
      </c>
      <c r="X257" s="4">
        <v>3535</v>
      </c>
      <c r="Y257" s="4">
        <v>3550</v>
      </c>
      <c r="Z257" s="4">
        <v>3775</v>
      </c>
      <c r="AA257" s="4">
        <v>3820</v>
      </c>
      <c r="AB257" s="4">
        <v>3775</v>
      </c>
      <c r="AC257" s="4">
        <v>3910</v>
      </c>
      <c r="AD257" s="4">
        <v>3980</v>
      </c>
      <c r="AE257" s="4">
        <v>3930</v>
      </c>
      <c r="AF257" s="4">
        <v>4130</v>
      </c>
      <c r="AG257" s="4">
        <v>4285</v>
      </c>
      <c r="AH257" s="4">
        <v>4180</v>
      </c>
      <c r="AI257" s="4">
        <v>4310</v>
      </c>
      <c r="AJ257" s="4">
        <v>4555</v>
      </c>
      <c r="AK257" s="4">
        <v>4260</v>
      </c>
      <c r="AL257" s="4">
        <v>4190</v>
      </c>
      <c r="AM257" s="4">
        <v>4115</v>
      </c>
      <c r="AN257" s="4">
        <v>3955</v>
      </c>
      <c r="AO257" s="4">
        <v>4105</v>
      </c>
      <c r="AP257" s="4">
        <v>4005</v>
      </c>
      <c r="AQ257" s="4">
        <v>4035</v>
      </c>
      <c r="AR257" s="4">
        <v>4100</v>
      </c>
      <c r="AS257" s="4">
        <v>4195</v>
      </c>
      <c r="AT257" s="4">
        <v>4480</v>
      </c>
      <c r="AU257" s="4">
        <v>4530</v>
      </c>
      <c r="AV257" s="4">
        <v>4370</v>
      </c>
      <c r="AW257" s="4">
        <v>4270</v>
      </c>
      <c r="AX257" s="4">
        <v>4185</v>
      </c>
      <c r="AY257" s="4">
        <v>4320</v>
      </c>
      <c r="AZ257" s="4">
        <v>4310</v>
      </c>
      <c r="BA257" s="4">
        <v>4585</v>
      </c>
      <c r="BB257" s="4">
        <v>4345</v>
      </c>
      <c r="BC257" s="4">
        <v>4305</v>
      </c>
      <c r="BD257" s="4">
        <v>4100</v>
      </c>
      <c r="BE257" s="4">
        <v>4280</v>
      </c>
      <c r="BF257" s="4">
        <v>4540</v>
      </c>
      <c r="BG257" s="4">
        <v>3840</v>
      </c>
      <c r="BH257" s="4">
        <v>3345</v>
      </c>
      <c r="BI257" s="4">
        <v>3290</v>
      </c>
      <c r="BJ257" s="4">
        <v>3370</v>
      </c>
      <c r="BK257" s="4">
        <v>3385</v>
      </c>
      <c r="BL257" s="4">
        <v>3220</v>
      </c>
      <c r="BM257" s="4">
        <v>3225</v>
      </c>
      <c r="BN257" s="4">
        <v>2823</v>
      </c>
      <c r="BO257" s="4">
        <v>2859</v>
      </c>
      <c r="BP257" s="4">
        <v>2814</v>
      </c>
      <c r="BQ257" s="4">
        <v>2764</v>
      </c>
      <c r="BR257" s="4">
        <v>2749</v>
      </c>
      <c r="BS257" s="4">
        <v>2633</v>
      </c>
      <c r="BT257" s="4">
        <v>2672</v>
      </c>
      <c r="BU257" s="4">
        <v>2737</v>
      </c>
      <c r="BV257" s="4">
        <v>2755</v>
      </c>
      <c r="BW257" s="4">
        <v>2807</v>
      </c>
      <c r="BX257" s="4">
        <v>2895</v>
      </c>
      <c r="BY257" s="4">
        <v>2852</v>
      </c>
      <c r="BZ257" s="4">
        <v>2678</v>
      </c>
    </row>
    <row r="258" spans="1:254">
      <c r="A258" s="62" t="s">
        <v>471</v>
      </c>
      <c r="B258" s="4" t="str">
        <f>銘柄管理!C258</f>
        <v>カバー</v>
      </c>
      <c r="C258" s="4">
        <f>_xll.RssMarket("5253","現在値")</f>
        <v>1577</v>
      </c>
      <c r="D258" s="4">
        <f t="shared" si="7"/>
        <v>0</v>
      </c>
      <c r="E258" s="4">
        <v>1577</v>
      </c>
      <c r="F258" s="4">
        <v>1531</v>
      </c>
      <c r="G258" s="4">
        <v>1459</v>
      </c>
      <c r="H258" s="4">
        <v>1457</v>
      </c>
      <c r="I258" s="4">
        <v>1460</v>
      </c>
      <c r="J258" s="4">
        <v>1546</v>
      </c>
      <c r="K258" s="4">
        <v>1547</v>
      </c>
      <c r="L258" s="4">
        <v>1608</v>
      </c>
      <c r="M258" s="4">
        <v>1650</v>
      </c>
      <c r="O258" s="4">
        <v>1545</v>
      </c>
      <c r="P258" s="4">
        <v>1692</v>
      </c>
      <c r="Q258" s="4">
        <v>1633</v>
      </c>
      <c r="R258" s="4">
        <v>1640</v>
      </c>
      <c r="S258" s="4">
        <v>1697</v>
      </c>
      <c r="T258" s="4">
        <v>1694</v>
      </c>
      <c r="U258" s="4">
        <v>1641</v>
      </c>
      <c r="V258" s="4">
        <v>1612</v>
      </c>
      <c r="W258" s="4">
        <v>1632</v>
      </c>
      <c r="X258" s="4">
        <v>1618</v>
      </c>
      <c r="Y258" s="4">
        <v>1625</v>
      </c>
      <c r="Z258" s="4">
        <v>1616</v>
      </c>
      <c r="AA258" s="4">
        <v>1548</v>
      </c>
      <c r="AB258" s="4">
        <v>1458</v>
      </c>
      <c r="AC258" s="4">
        <v>1344</v>
      </c>
      <c r="AD258" s="4">
        <v>1371</v>
      </c>
      <c r="AE258" s="4">
        <v>1357</v>
      </c>
      <c r="AF258" s="4">
        <v>1218</v>
      </c>
      <c r="AG258" s="4">
        <v>1165</v>
      </c>
      <c r="AH258" s="4">
        <v>1176</v>
      </c>
      <c r="AI258" s="4">
        <v>1200</v>
      </c>
      <c r="AJ258" s="4">
        <v>1282</v>
      </c>
      <c r="AK258" s="4">
        <v>1301</v>
      </c>
      <c r="AL258" s="4">
        <v>1440</v>
      </c>
      <c r="AM258" s="4">
        <v>1449</v>
      </c>
      <c r="AN258" s="4">
        <v>1415</v>
      </c>
      <c r="AO258" s="4">
        <v>1418</v>
      </c>
      <c r="AP258" s="4">
        <v>1429</v>
      </c>
      <c r="AQ258" s="4">
        <v>1522</v>
      </c>
      <c r="AR258" s="4">
        <v>1520</v>
      </c>
      <c r="AS258" s="4">
        <v>1636</v>
      </c>
      <c r="AT258" s="4">
        <v>1630</v>
      </c>
      <c r="AU258" s="4">
        <v>1600</v>
      </c>
      <c r="AV258" s="4">
        <v>1637</v>
      </c>
      <c r="AW258" s="4">
        <v>1633</v>
      </c>
      <c r="AX258" s="4">
        <v>1600</v>
      </c>
      <c r="AY258" s="4">
        <v>1587</v>
      </c>
      <c r="AZ258" s="4">
        <v>1564</v>
      </c>
      <c r="BA258" s="4">
        <v>1693</v>
      </c>
      <c r="BB258" s="4">
        <v>1760</v>
      </c>
      <c r="BC258" s="4">
        <v>1743</v>
      </c>
      <c r="BD258" s="4">
        <v>1700</v>
      </c>
      <c r="BE258" s="4">
        <v>1671</v>
      </c>
      <c r="BF258" s="4">
        <v>1572</v>
      </c>
      <c r="BG258" s="4">
        <v>1466</v>
      </c>
      <c r="BH258" s="4">
        <v>1433</v>
      </c>
      <c r="BI258" s="4">
        <v>1430</v>
      </c>
      <c r="BJ258" s="4">
        <v>1382</v>
      </c>
      <c r="BK258" s="4">
        <v>1411</v>
      </c>
      <c r="BL258" s="4">
        <v>1418</v>
      </c>
      <c r="BM258" s="4">
        <v>1415</v>
      </c>
      <c r="BN258" s="4">
        <v>1435</v>
      </c>
      <c r="BO258" s="4">
        <v>1372</v>
      </c>
      <c r="BP258" s="4">
        <v>1376</v>
      </c>
      <c r="BQ258" s="4">
        <v>1350</v>
      </c>
      <c r="BR258" s="4">
        <v>1385</v>
      </c>
      <c r="BS258" s="4">
        <v>1419</v>
      </c>
      <c r="BT258" s="4">
        <v>1425</v>
      </c>
      <c r="BU258" s="4">
        <v>1449</v>
      </c>
      <c r="BV258" s="4">
        <v>1450</v>
      </c>
      <c r="BW258" s="4">
        <v>1465</v>
      </c>
      <c r="BX258" s="4">
        <v>1441</v>
      </c>
      <c r="BY258" s="4">
        <v>1470</v>
      </c>
      <c r="BZ258" s="4">
        <v>1441</v>
      </c>
    </row>
    <row r="259" spans="1:254">
      <c r="A259" s="62" t="s">
        <v>472</v>
      </c>
      <c r="B259" s="4" t="str">
        <f>銘柄管理!C259</f>
        <v>商船三井</v>
      </c>
      <c r="C259" s="4">
        <f>_xll.RssMarket("9104","現在値")</f>
        <v>6036</v>
      </c>
      <c r="D259" s="4">
        <f t="shared" si="7"/>
        <v>0</v>
      </c>
      <c r="E259" s="4">
        <v>6036</v>
      </c>
      <c r="F259" s="4">
        <v>5970</v>
      </c>
      <c r="G259" s="4">
        <v>6058</v>
      </c>
      <c r="H259" s="4">
        <v>5801</v>
      </c>
      <c r="I259" s="4">
        <v>5894</v>
      </c>
      <c r="J259" s="4">
        <v>5933</v>
      </c>
      <c r="K259" s="4">
        <v>5953</v>
      </c>
      <c r="L259" s="4">
        <v>5863</v>
      </c>
      <c r="M259" s="4">
        <v>5912</v>
      </c>
      <c r="N259" s="4">
        <v>5843</v>
      </c>
      <c r="O259" s="4">
        <v>5795</v>
      </c>
      <c r="P259" s="4">
        <v>5783</v>
      </c>
      <c r="Q259" s="4">
        <v>5670</v>
      </c>
      <c r="R259" s="4">
        <v>5609</v>
      </c>
      <c r="S259" s="4">
        <v>5605</v>
      </c>
      <c r="T259" s="4">
        <v>5500</v>
      </c>
      <c r="U259" s="4">
        <v>5340</v>
      </c>
      <c r="V259" s="4">
        <v>5324</v>
      </c>
      <c r="W259" s="4">
        <v>5478</v>
      </c>
      <c r="X259" s="4">
        <v>5421</v>
      </c>
      <c r="Y259" s="4">
        <v>5322</v>
      </c>
      <c r="Z259" s="4">
        <v>5379</v>
      </c>
      <c r="AA259" s="4">
        <v>5193</v>
      </c>
      <c r="AB259" s="4">
        <v>5121</v>
      </c>
      <c r="AC259" s="4">
        <v>5031</v>
      </c>
      <c r="AD259" s="4">
        <v>5213</v>
      </c>
      <c r="AE259" s="4">
        <v>5234</v>
      </c>
      <c r="AF259" s="4">
        <v>5219</v>
      </c>
      <c r="AG259" s="4">
        <v>5255</v>
      </c>
      <c r="AH259" s="4">
        <v>5370</v>
      </c>
      <c r="AI259" s="4">
        <v>5328</v>
      </c>
      <c r="AJ259" s="4">
        <v>5293</v>
      </c>
      <c r="AK259" s="4">
        <v>5264</v>
      </c>
      <c r="AL259" s="4">
        <v>5362</v>
      </c>
      <c r="AM259" s="4">
        <v>5438</v>
      </c>
      <c r="AN259" s="4">
        <v>5559</v>
      </c>
      <c r="AO259" s="4">
        <v>5686</v>
      </c>
      <c r="AP259" s="4">
        <v>5765</v>
      </c>
      <c r="AQ259" s="4">
        <v>5712</v>
      </c>
      <c r="AR259" s="4">
        <v>5689</v>
      </c>
      <c r="AS259" s="4">
        <v>5767</v>
      </c>
      <c r="AT259" s="4">
        <v>5801</v>
      </c>
      <c r="AU259" s="4">
        <v>5534</v>
      </c>
      <c r="AV259" s="4">
        <v>5459</v>
      </c>
      <c r="AW259" s="4">
        <v>5500</v>
      </c>
      <c r="AX259" s="4">
        <v>5476</v>
      </c>
      <c r="AY259" s="4">
        <v>5433</v>
      </c>
      <c r="AZ259" s="4">
        <v>5454</v>
      </c>
      <c r="BA259" s="4">
        <v>5560</v>
      </c>
      <c r="BB259" s="4">
        <v>5650</v>
      </c>
      <c r="BC259" s="4">
        <v>5709</v>
      </c>
      <c r="BD259" s="4">
        <v>5795</v>
      </c>
      <c r="BE259" s="4">
        <v>5824</v>
      </c>
      <c r="BF259" s="4">
        <v>5851</v>
      </c>
      <c r="BG259" s="4">
        <v>5863</v>
      </c>
      <c r="BH259" s="4">
        <v>5901</v>
      </c>
      <c r="BI259" s="4">
        <v>5873</v>
      </c>
      <c r="BJ259" s="4">
        <v>5846</v>
      </c>
      <c r="BK259" s="4">
        <v>5802</v>
      </c>
      <c r="BL259" s="4">
        <v>5774</v>
      </c>
      <c r="BM259" s="4">
        <v>5870</v>
      </c>
      <c r="BN259" s="4">
        <v>5917</v>
      </c>
      <c r="BO259" s="4">
        <v>5935</v>
      </c>
      <c r="BP259" s="4">
        <v>5965</v>
      </c>
      <c r="BQ259" s="4">
        <v>5773</v>
      </c>
      <c r="BR259" s="4">
        <v>6122</v>
      </c>
      <c r="BS259" s="4">
        <v>5999</v>
      </c>
      <c r="BT259" s="4">
        <v>6089</v>
      </c>
      <c r="BU259" s="4">
        <v>6088</v>
      </c>
      <c r="BV259" s="4">
        <v>6106</v>
      </c>
      <c r="BW259" s="4">
        <v>6307</v>
      </c>
      <c r="BX259" s="4">
        <v>6380</v>
      </c>
      <c r="BY259" s="4">
        <v>6362</v>
      </c>
      <c r="BZ259" s="4">
        <v>6408</v>
      </c>
    </row>
    <row r="260" spans="1:254">
      <c r="A260" s="62" t="s">
        <v>473</v>
      </c>
      <c r="B260" s="4" t="str">
        <f>銘柄管理!C260</f>
        <v>千代田化工建</v>
      </c>
      <c r="C260" s="4">
        <f>_xll.RssMarket("6366","現在値")</f>
        <v>695</v>
      </c>
      <c r="D260" s="4">
        <f t="shared" si="7"/>
        <v>0</v>
      </c>
      <c r="E260" s="4">
        <v>695</v>
      </c>
      <c r="F260" s="4">
        <v>707</v>
      </c>
      <c r="G260" s="4">
        <v>671</v>
      </c>
      <c r="H260" s="4">
        <v>649</v>
      </c>
      <c r="I260" s="4">
        <v>659</v>
      </c>
      <c r="J260" s="4">
        <v>632</v>
      </c>
      <c r="K260" s="4">
        <v>630</v>
      </c>
      <c r="L260" s="4">
        <v>703</v>
      </c>
      <c r="M260" s="4">
        <v>726</v>
      </c>
      <c r="N260" s="4">
        <v>707</v>
      </c>
      <c r="O260" s="4">
        <v>705</v>
      </c>
      <c r="P260" s="4">
        <v>690</v>
      </c>
      <c r="Q260" s="4">
        <v>690</v>
      </c>
      <c r="R260" s="4">
        <v>636</v>
      </c>
      <c r="S260" s="4">
        <v>702</v>
      </c>
      <c r="T260" s="4">
        <v>672</v>
      </c>
      <c r="U260" s="4">
        <v>654</v>
      </c>
      <c r="V260" s="4">
        <v>685</v>
      </c>
      <c r="W260" s="4">
        <v>692</v>
      </c>
      <c r="X260" s="4">
        <v>704</v>
      </c>
      <c r="Y260" s="4">
        <v>735</v>
      </c>
      <c r="Z260" s="4">
        <v>744</v>
      </c>
      <c r="AA260" s="4">
        <v>694</v>
      </c>
      <c r="AB260" s="4">
        <v>691</v>
      </c>
      <c r="AC260" s="4">
        <v>649</v>
      </c>
      <c r="AD260" s="4">
        <v>670</v>
      </c>
      <c r="AE260" s="4">
        <v>686</v>
      </c>
      <c r="AF260" s="4">
        <v>675</v>
      </c>
      <c r="AG260" s="4">
        <v>687</v>
      </c>
      <c r="AH260" s="4">
        <v>728</v>
      </c>
      <c r="AI260" s="4">
        <v>704</v>
      </c>
      <c r="AJ260" s="4">
        <v>727</v>
      </c>
      <c r="AK260" s="4">
        <v>760</v>
      </c>
      <c r="AL260" s="4">
        <v>776</v>
      </c>
      <c r="AM260" s="4">
        <v>798</v>
      </c>
      <c r="AN260" s="4">
        <v>762</v>
      </c>
      <c r="AO260" s="4">
        <v>763</v>
      </c>
      <c r="AP260" s="4">
        <v>708</v>
      </c>
      <c r="AQ260" s="4">
        <v>668</v>
      </c>
      <c r="AR260" s="4">
        <v>670</v>
      </c>
      <c r="AS260" s="4">
        <v>694</v>
      </c>
      <c r="AT260" s="4">
        <v>732</v>
      </c>
      <c r="AU260" s="4">
        <v>717</v>
      </c>
      <c r="AV260" s="4">
        <v>706</v>
      </c>
      <c r="AW260" s="4">
        <v>722</v>
      </c>
      <c r="AX260" s="4">
        <v>753</v>
      </c>
      <c r="AY260" s="4">
        <v>745</v>
      </c>
      <c r="AZ260" s="4">
        <v>772</v>
      </c>
      <c r="BA260" s="4">
        <v>811</v>
      </c>
      <c r="BB260" s="4">
        <v>747</v>
      </c>
      <c r="BC260" s="4">
        <v>712</v>
      </c>
      <c r="BD260" s="4">
        <v>712</v>
      </c>
      <c r="BE260" s="4">
        <v>771</v>
      </c>
      <c r="BF260" s="4">
        <v>751</v>
      </c>
      <c r="BG260" s="4">
        <v>813</v>
      </c>
      <c r="BH260" s="4">
        <v>821</v>
      </c>
      <c r="BI260" s="4">
        <v>822</v>
      </c>
      <c r="BJ260" s="4">
        <v>794</v>
      </c>
      <c r="BK260" s="4">
        <v>843</v>
      </c>
      <c r="BL260" s="4">
        <v>993</v>
      </c>
      <c r="BM260" s="4">
        <v>1045</v>
      </c>
      <c r="BN260" s="4">
        <v>1023</v>
      </c>
      <c r="BO260" s="4">
        <v>1011</v>
      </c>
      <c r="BP260" s="4">
        <v>1074</v>
      </c>
      <c r="BQ260" s="4">
        <v>1027</v>
      </c>
      <c r="BR260" s="4">
        <v>1027</v>
      </c>
      <c r="BS260" s="4">
        <v>1064</v>
      </c>
      <c r="BT260" s="4">
        <v>1064</v>
      </c>
      <c r="BU260" s="4">
        <v>1091</v>
      </c>
      <c r="BV260" s="4">
        <v>1111</v>
      </c>
      <c r="BW260" s="4">
        <v>1155</v>
      </c>
      <c r="BX260" s="4">
        <v>1173</v>
      </c>
      <c r="BY260" s="4">
        <v>1118</v>
      </c>
      <c r="BZ260" s="4">
        <v>1135</v>
      </c>
    </row>
    <row r="261" spans="1:254">
      <c r="A261" s="62" t="s">
        <v>474</v>
      </c>
      <c r="B261" s="4" t="str">
        <f>銘柄管理!C261</f>
        <v>旭ダイヤモンド</v>
      </c>
      <c r="C261" s="4">
        <f>_xll.RssMarket("6140","現在値")</f>
        <v>1183</v>
      </c>
      <c r="D261" s="4">
        <f t="shared" si="7"/>
        <v>0</v>
      </c>
      <c r="E261" s="4">
        <v>1183</v>
      </c>
      <c r="F261" s="4">
        <v>1210</v>
      </c>
      <c r="G261" s="4">
        <v>1136</v>
      </c>
      <c r="H261" s="4">
        <v>1104</v>
      </c>
      <c r="I261" s="4">
        <v>1103</v>
      </c>
      <c r="J261" s="4">
        <v>1058</v>
      </c>
      <c r="K261" s="4">
        <v>1048</v>
      </c>
      <c r="L261" s="4">
        <v>1073</v>
      </c>
      <c r="M261" s="4">
        <v>1142</v>
      </c>
      <c r="O261" s="4">
        <v>1146</v>
      </c>
      <c r="P261" s="4">
        <v>1149</v>
      </c>
      <c r="Q261" s="4">
        <v>1136</v>
      </c>
      <c r="R261" s="4">
        <v>1153</v>
      </c>
      <c r="S261" s="4">
        <v>1218</v>
      </c>
      <c r="T261" s="4">
        <v>1178</v>
      </c>
      <c r="U261" s="4">
        <v>1157</v>
      </c>
      <c r="V261" s="4">
        <v>1186</v>
      </c>
      <c r="W261" s="4">
        <v>1173</v>
      </c>
      <c r="X261" s="4">
        <v>1183</v>
      </c>
      <c r="Y261" s="4">
        <v>1194</v>
      </c>
      <c r="Z261" s="4">
        <v>1245</v>
      </c>
      <c r="AA261" s="4">
        <v>1249</v>
      </c>
      <c r="AB261" s="4">
        <v>1222</v>
      </c>
      <c r="AC261" s="4">
        <v>1234</v>
      </c>
      <c r="AD261" s="4">
        <v>1213</v>
      </c>
      <c r="AE261" s="4">
        <v>1227</v>
      </c>
      <c r="AF261" s="4">
        <v>1217</v>
      </c>
      <c r="AG261" s="4">
        <v>1230</v>
      </c>
      <c r="AH261" s="4">
        <v>1201</v>
      </c>
      <c r="AI261" s="4">
        <v>1228</v>
      </c>
      <c r="AJ261" s="4">
        <v>1332</v>
      </c>
      <c r="AK261" s="4">
        <v>1305</v>
      </c>
      <c r="AL261" s="4">
        <v>1298</v>
      </c>
      <c r="AM261" s="4">
        <v>1323</v>
      </c>
      <c r="AN261" s="4">
        <v>1283</v>
      </c>
      <c r="AO261" s="4">
        <v>1315</v>
      </c>
      <c r="AP261" s="4">
        <v>1235</v>
      </c>
      <c r="AQ261" s="4">
        <v>1214</v>
      </c>
      <c r="AR261" s="4">
        <v>1226</v>
      </c>
      <c r="AS261" s="4">
        <v>1289</v>
      </c>
      <c r="AT261" s="4">
        <v>1339</v>
      </c>
      <c r="AU261" s="4">
        <v>1315</v>
      </c>
      <c r="AV261" s="4">
        <v>1318</v>
      </c>
      <c r="AW261" s="4">
        <v>1323</v>
      </c>
      <c r="AX261" s="4">
        <v>1343</v>
      </c>
      <c r="AY261" s="4">
        <v>1362</v>
      </c>
      <c r="AZ261" s="4">
        <v>1350</v>
      </c>
      <c r="BA261" s="4">
        <v>1396</v>
      </c>
      <c r="BB261" s="4">
        <v>1362</v>
      </c>
      <c r="BC261" s="4">
        <v>1275</v>
      </c>
      <c r="BD261" s="4">
        <v>1289</v>
      </c>
      <c r="BE261" s="4">
        <v>1296</v>
      </c>
      <c r="BF261" s="4">
        <v>1290</v>
      </c>
      <c r="BG261" s="4">
        <v>1336</v>
      </c>
      <c r="BH261" s="4">
        <v>1356</v>
      </c>
      <c r="BI261" s="4">
        <v>1384</v>
      </c>
      <c r="BJ261" s="4">
        <v>1341</v>
      </c>
      <c r="BK261" s="4">
        <v>1319</v>
      </c>
      <c r="BL261" s="4">
        <v>1330</v>
      </c>
      <c r="BM261" s="4">
        <v>1318</v>
      </c>
      <c r="BN261" s="4">
        <v>1292</v>
      </c>
      <c r="BO261" s="4">
        <v>1291</v>
      </c>
      <c r="BP261" s="4">
        <v>1314</v>
      </c>
      <c r="BQ261" s="4">
        <v>1286</v>
      </c>
      <c r="BR261" s="4">
        <v>1310</v>
      </c>
      <c r="BS261" s="4">
        <v>1272</v>
      </c>
      <c r="BT261" s="4">
        <v>1297</v>
      </c>
      <c r="BU261" s="4">
        <v>1311</v>
      </c>
      <c r="BV261" s="4">
        <v>1312</v>
      </c>
      <c r="BW261" s="4">
        <v>1332</v>
      </c>
      <c r="BX261" s="4">
        <v>1191</v>
      </c>
      <c r="BY261" s="4">
        <v>1164</v>
      </c>
      <c r="BZ261" s="4">
        <v>1176</v>
      </c>
    </row>
    <row r="262" spans="1:254">
      <c r="A262" s="62" t="s">
        <v>475</v>
      </c>
      <c r="B262" s="4" t="str">
        <f>銘柄管理!C262</f>
        <v>住石ホールディングス</v>
      </c>
      <c r="C262" s="4">
        <f>_xll.RssMarket("1514","現在値")</f>
        <v>596</v>
      </c>
      <c r="D262" s="4">
        <f t="shared" si="7"/>
        <v>0</v>
      </c>
      <c r="E262" s="4">
        <v>596</v>
      </c>
      <c r="F262" s="4">
        <v>595</v>
      </c>
      <c r="G262" s="4">
        <v>600</v>
      </c>
      <c r="H262" s="4">
        <v>584</v>
      </c>
      <c r="I262" s="4">
        <v>577</v>
      </c>
      <c r="J262" s="4">
        <v>566</v>
      </c>
      <c r="K262" s="4">
        <v>570</v>
      </c>
      <c r="L262" s="4">
        <v>581</v>
      </c>
      <c r="M262" s="4">
        <v>600</v>
      </c>
      <c r="N262" s="4">
        <v>593</v>
      </c>
      <c r="O262" s="4">
        <v>600</v>
      </c>
      <c r="P262" s="4">
        <v>595</v>
      </c>
      <c r="Q262" s="4">
        <v>582</v>
      </c>
      <c r="R262" s="4">
        <v>560</v>
      </c>
      <c r="S262" s="4">
        <v>593</v>
      </c>
      <c r="T262" s="4">
        <v>584</v>
      </c>
      <c r="U262" s="4">
        <v>571</v>
      </c>
      <c r="V262" s="4">
        <v>577</v>
      </c>
      <c r="W262" s="4">
        <v>560</v>
      </c>
      <c r="X262" s="4">
        <v>555</v>
      </c>
      <c r="Y262" s="4">
        <v>555</v>
      </c>
      <c r="Z262" s="4">
        <v>580</v>
      </c>
      <c r="AA262" s="4">
        <v>546</v>
      </c>
      <c r="AB262" s="4">
        <v>544</v>
      </c>
      <c r="AC262" s="4">
        <v>525</v>
      </c>
      <c r="AD262" s="4">
        <v>526</v>
      </c>
      <c r="AE262" s="4">
        <v>520</v>
      </c>
      <c r="AF262" s="4">
        <v>520</v>
      </c>
      <c r="AG262" s="4">
        <v>526</v>
      </c>
      <c r="AH262" s="4">
        <v>525</v>
      </c>
      <c r="AI262" s="4">
        <v>532</v>
      </c>
      <c r="AJ262" s="4">
        <v>550</v>
      </c>
      <c r="AK262" s="4">
        <v>524</v>
      </c>
      <c r="AL262" s="4">
        <v>537</v>
      </c>
      <c r="AM262" s="4">
        <v>550</v>
      </c>
      <c r="AN262" s="4">
        <v>545</v>
      </c>
      <c r="AO262" s="4">
        <v>551</v>
      </c>
      <c r="AP262" s="4">
        <v>553</v>
      </c>
      <c r="AQ262" s="4">
        <v>548</v>
      </c>
      <c r="AR262" s="4">
        <v>555</v>
      </c>
      <c r="AS262" s="4">
        <v>577</v>
      </c>
      <c r="AT262" s="4">
        <v>579</v>
      </c>
      <c r="AU262" s="4">
        <v>550</v>
      </c>
      <c r="AV262" s="4">
        <v>561</v>
      </c>
      <c r="AW262" s="4">
        <v>569</v>
      </c>
      <c r="AX262" s="4">
        <v>587</v>
      </c>
      <c r="AY262" s="4">
        <v>591</v>
      </c>
      <c r="AZ262" s="4">
        <v>606</v>
      </c>
      <c r="BA262" s="4">
        <v>596</v>
      </c>
      <c r="BB262" s="4">
        <v>603</v>
      </c>
      <c r="BC262" s="4">
        <v>597</v>
      </c>
      <c r="BD262" s="4">
        <v>589</v>
      </c>
      <c r="BE262" s="4">
        <v>617</v>
      </c>
      <c r="BF262" s="4">
        <v>621</v>
      </c>
      <c r="BG262" s="4">
        <v>704</v>
      </c>
      <c r="BH262" s="4">
        <v>708</v>
      </c>
      <c r="BI262" s="4">
        <v>723</v>
      </c>
      <c r="BJ262" s="4">
        <v>730</v>
      </c>
      <c r="BK262" s="4">
        <v>741</v>
      </c>
      <c r="BL262" s="4">
        <v>741</v>
      </c>
      <c r="BM262" s="4">
        <v>753</v>
      </c>
      <c r="BN262" s="4">
        <v>760</v>
      </c>
      <c r="BO262" s="4">
        <v>769</v>
      </c>
      <c r="BP262" s="4">
        <v>783</v>
      </c>
      <c r="BQ262" s="4">
        <v>783</v>
      </c>
      <c r="BR262" s="4">
        <v>791</v>
      </c>
      <c r="BS262" s="4">
        <v>808</v>
      </c>
      <c r="BT262" s="4">
        <v>827</v>
      </c>
      <c r="BU262" s="4">
        <v>854</v>
      </c>
      <c r="BV262" s="4">
        <v>861</v>
      </c>
      <c r="BW262" s="4">
        <v>841</v>
      </c>
      <c r="BX262" s="4">
        <v>873</v>
      </c>
      <c r="BY262" s="4">
        <v>850</v>
      </c>
      <c r="BZ262" s="4">
        <v>856</v>
      </c>
    </row>
    <row r="263" spans="1:254">
      <c r="A263" s="62" t="s">
        <v>476</v>
      </c>
      <c r="B263" s="4" t="str">
        <f>銘柄管理!C263</f>
        <v>日本製鋼所</v>
      </c>
      <c r="C263" s="4">
        <f>_xll.RssMarket("5631","現在値")</f>
        <v>7738</v>
      </c>
      <c r="D263" s="4">
        <f t="shared" si="7"/>
        <v>0</v>
      </c>
      <c r="E263" s="4">
        <v>7738</v>
      </c>
      <c r="F263" s="4">
        <v>7663</v>
      </c>
      <c r="G263" s="4">
        <v>7596</v>
      </c>
      <c r="H263" s="4">
        <v>7491</v>
      </c>
      <c r="I263" s="4">
        <v>7490</v>
      </c>
      <c r="J263" s="4">
        <v>7378</v>
      </c>
      <c r="K263" s="4">
        <v>7223</v>
      </c>
      <c r="L263" s="4">
        <v>7429</v>
      </c>
      <c r="M263" s="4">
        <v>7678</v>
      </c>
      <c r="N263" s="4">
        <v>7756</v>
      </c>
      <c r="O263" s="4">
        <v>7750</v>
      </c>
      <c r="P263" s="4">
        <v>7507</v>
      </c>
      <c r="Q263" s="4">
        <v>7464</v>
      </c>
      <c r="R263" s="4">
        <v>7335</v>
      </c>
      <c r="S263" s="4">
        <v>7821</v>
      </c>
      <c r="T263" s="4">
        <v>7700</v>
      </c>
      <c r="U263" s="4">
        <v>7827</v>
      </c>
      <c r="V263" s="4">
        <v>7815</v>
      </c>
      <c r="W263" s="4">
        <v>7940</v>
      </c>
      <c r="X263" s="4">
        <v>8253</v>
      </c>
      <c r="Y263" s="4">
        <v>8272</v>
      </c>
      <c r="Z263" s="4">
        <v>8550</v>
      </c>
      <c r="AA263" s="4">
        <v>7955</v>
      </c>
      <c r="AB263" s="4">
        <v>7930</v>
      </c>
      <c r="AC263" s="4">
        <v>7833</v>
      </c>
      <c r="AD263" s="4">
        <v>7677</v>
      </c>
      <c r="AE263" s="4">
        <v>7591</v>
      </c>
      <c r="AF263" s="4">
        <v>7724</v>
      </c>
      <c r="AG263" s="4">
        <v>7945</v>
      </c>
      <c r="AH263" s="4">
        <v>8029</v>
      </c>
      <c r="AI263" s="4">
        <v>7755</v>
      </c>
      <c r="AJ263" s="4">
        <v>8163</v>
      </c>
      <c r="AK263" s="4">
        <v>7903</v>
      </c>
      <c r="AL263" s="4">
        <v>8247</v>
      </c>
      <c r="AM263" s="4">
        <v>8295</v>
      </c>
      <c r="AN263" s="4">
        <v>7747</v>
      </c>
      <c r="AO263" s="4">
        <v>7640</v>
      </c>
      <c r="AP263" s="4">
        <v>7549</v>
      </c>
      <c r="AQ263" s="4">
        <v>7114</v>
      </c>
      <c r="AR263" s="4">
        <v>7091</v>
      </c>
      <c r="AS263" s="4">
        <v>7470</v>
      </c>
      <c r="AT263" s="4">
        <v>7930</v>
      </c>
      <c r="AU263" s="4">
        <v>7276</v>
      </c>
      <c r="AV263" s="4">
        <v>7328</v>
      </c>
      <c r="AW263" s="4">
        <v>7266</v>
      </c>
      <c r="AX263" s="4">
        <v>7669</v>
      </c>
      <c r="AY263" s="4">
        <v>7847</v>
      </c>
      <c r="AZ263" s="4">
        <v>8007</v>
      </c>
      <c r="BA263" s="4">
        <v>7889</v>
      </c>
      <c r="BB263" s="4">
        <v>7924</v>
      </c>
      <c r="BC263" s="4">
        <v>7742</v>
      </c>
      <c r="BD263" s="4">
        <v>8094</v>
      </c>
      <c r="BE263" s="4">
        <v>7998</v>
      </c>
      <c r="BF263" s="4">
        <v>7806</v>
      </c>
      <c r="BG263" s="4">
        <v>7863</v>
      </c>
      <c r="BH263" s="4">
        <v>8076</v>
      </c>
      <c r="BI263" s="4">
        <v>8806</v>
      </c>
      <c r="BJ263" s="4">
        <v>8819</v>
      </c>
      <c r="BK263" s="4">
        <v>9069</v>
      </c>
      <c r="BL263" s="4">
        <v>9209</v>
      </c>
      <c r="BM263" s="4">
        <v>9317</v>
      </c>
      <c r="BN263" s="4">
        <v>9283</v>
      </c>
      <c r="BO263" s="4">
        <v>9489</v>
      </c>
      <c r="BP263" s="4">
        <v>9760</v>
      </c>
      <c r="BQ263" s="4">
        <v>9748</v>
      </c>
      <c r="BR263" s="4">
        <v>9872</v>
      </c>
      <c r="BS263" s="4">
        <v>9755</v>
      </c>
      <c r="BT263" s="4">
        <v>9490</v>
      </c>
      <c r="BU263" s="4">
        <v>9425</v>
      </c>
      <c r="BV263" s="4">
        <v>9129</v>
      </c>
      <c r="BW263" s="4">
        <v>9061</v>
      </c>
      <c r="BX263" s="4">
        <v>9300</v>
      </c>
      <c r="BY263" s="4">
        <v>9047</v>
      </c>
      <c r="BZ263" s="4">
        <v>9726</v>
      </c>
    </row>
    <row r="264" spans="1:254">
      <c r="A264" s="62" t="s">
        <v>477</v>
      </c>
      <c r="B264" s="4" t="str">
        <f>銘柄管理!C264</f>
        <v>ジーエス・ユアサコーポ</v>
      </c>
      <c r="C264" s="4">
        <f>_xll.RssMarket("6674","現在値")</f>
        <v>5404</v>
      </c>
      <c r="D264" s="4">
        <f t="shared" si="7"/>
        <v>0</v>
      </c>
      <c r="E264" s="4">
        <v>5404</v>
      </c>
      <c r="F264" s="4">
        <v>6010</v>
      </c>
      <c r="G264" s="4">
        <v>5725</v>
      </c>
      <c r="H264" s="4">
        <v>5499</v>
      </c>
      <c r="I264" s="4">
        <v>5482</v>
      </c>
      <c r="J264" s="4">
        <v>5255</v>
      </c>
      <c r="K264" s="4">
        <v>5178</v>
      </c>
      <c r="L264" s="4">
        <v>5461</v>
      </c>
      <c r="M264" s="4">
        <v>5793</v>
      </c>
      <c r="N264" s="4">
        <v>5850</v>
      </c>
      <c r="O264" s="4">
        <v>6015</v>
      </c>
      <c r="P264" s="4">
        <v>5914</v>
      </c>
      <c r="Q264" s="4">
        <v>5724</v>
      </c>
      <c r="R264" s="4">
        <v>5572</v>
      </c>
      <c r="S264" s="4">
        <v>6080</v>
      </c>
      <c r="T264" s="4">
        <v>5966</v>
      </c>
      <c r="U264" s="4">
        <v>6015</v>
      </c>
      <c r="V264" s="4">
        <v>6178</v>
      </c>
      <c r="W264" s="4">
        <v>6193</v>
      </c>
      <c r="X264" s="4">
        <v>6174</v>
      </c>
      <c r="Y264" s="4">
        <v>6475</v>
      </c>
      <c r="Z264" s="4">
        <v>6656</v>
      </c>
      <c r="AA264" s="4">
        <v>6737</v>
      </c>
      <c r="AB264" s="4">
        <v>6602</v>
      </c>
      <c r="AC264" s="4">
        <v>6667</v>
      </c>
      <c r="AD264" s="4">
        <v>6466</v>
      </c>
      <c r="AE264" s="4">
        <v>6700</v>
      </c>
      <c r="AF264" s="4">
        <v>6766</v>
      </c>
      <c r="AG264" s="4">
        <v>7129</v>
      </c>
      <c r="AH264" s="4">
        <v>7193</v>
      </c>
      <c r="AI264" s="4">
        <v>7088</v>
      </c>
      <c r="AJ264" s="4">
        <v>7517</v>
      </c>
      <c r="AK264" s="4">
        <v>7016</v>
      </c>
      <c r="AL264" s="4">
        <v>6717</v>
      </c>
      <c r="AM264" s="4">
        <v>6718</v>
      </c>
      <c r="AN264" s="4">
        <v>6568</v>
      </c>
      <c r="AO264" s="4">
        <v>6318</v>
      </c>
      <c r="AP264" s="4">
        <v>6197</v>
      </c>
      <c r="AQ264" s="4">
        <v>6297</v>
      </c>
      <c r="AR264" s="4">
        <v>6412</v>
      </c>
      <c r="AS264" s="4">
        <v>6654</v>
      </c>
      <c r="AT264" s="4">
        <v>7280</v>
      </c>
      <c r="AU264" s="4">
        <v>7185</v>
      </c>
      <c r="AV264" s="4">
        <v>7495</v>
      </c>
      <c r="AW264" s="4">
        <v>6861</v>
      </c>
      <c r="AX264" s="4">
        <v>6560</v>
      </c>
      <c r="AY264" s="4">
        <v>6438</v>
      </c>
      <c r="AZ264" s="4">
        <v>6298</v>
      </c>
      <c r="BA264" s="4">
        <v>6320</v>
      </c>
      <c r="BB264" s="4">
        <v>6148</v>
      </c>
      <c r="BC264" s="4">
        <v>6038</v>
      </c>
      <c r="BD264" s="4">
        <v>6118</v>
      </c>
      <c r="BE264" s="4">
        <v>6336</v>
      </c>
      <c r="BF264" s="4">
        <v>6285</v>
      </c>
      <c r="BG264" s="4">
        <v>6450</v>
      </c>
      <c r="BH264" s="4">
        <v>6286</v>
      </c>
      <c r="BI264" s="4">
        <v>6339</v>
      </c>
      <c r="BJ264" s="4">
        <v>6710</v>
      </c>
      <c r="BK264" s="4">
        <v>6565</v>
      </c>
      <c r="BL264" s="4">
        <v>6620</v>
      </c>
      <c r="BM264" s="4">
        <v>6495</v>
      </c>
      <c r="BN264" s="4">
        <v>6278</v>
      </c>
      <c r="BO264" s="4">
        <v>6317</v>
      </c>
      <c r="BP264" s="4">
        <v>6164</v>
      </c>
      <c r="BQ264" s="4">
        <v>6235</v>
      </c>
      <c r="BR264" s="4">
        <v>6250</v>
      </c>
      <c r="BS264" s="4">
        <v>6323</v>
      </c>
      <c r="BT264" s="4">
        <v>6452</v>
      </c>
      <c r="BU264" s="4">
        <v>6669</v>
      </c>
      <c r="BV264" s="4">
        <v>6603</v>
      </c>
      <c r="BW264" s="4">
        <v>6745</v>
      </c>
      <c r="BX264" s="4">
        <v>6778</v>
      </c>
      <c r="BY264" s="4">
        <v>6613</v>
      </c>
      <c r="BZ264" s="4">
        <v>6590</v>
      </c>
    </row>
    <row r="265" spans="1:254">
      <c r="A265" s="62" t="s">
        <v>478</v>
      </c>
      <c r="B265" s="4" t="str">
        <f>銘柄管理!C265</f>
        <v>ＦＤＫ</v>
      </c>
      <c r="C265" s="4">
        <f>_xll.RssMarket("6955","現在値")</f>
        <v>411</v>
      </c>
      <c r="D265" s="4">
        <f t="shared" si="7"/>
        <v>0</v>
      </c>
      <c r="E265" s="4">
        <v>411</v>
      </c>
      <c r="F265" s="4">
        <v>401</v>
      </c>
      <c r="G265" s="4">
        <v>389</v>
      </c>
      <c r="H265" s="4">
        <v>381</v>
      </c>
      <c r="I265" s="4">
        <v>390</v>
      </c>
      <c r="J265" s="4">
        <v>390</v>
      </c>
      <c r="K265" s="4">
        <v>387</v>
      </c>
      <c r="L265" s="4">
        <v>392</v>
      </c>
      <c r="M265" s="4">
        <v>406</v>
      </c>
      <c r="O265" s="4">
        <v>416</v>
      </c>
      <c r="P265" s="4">
        <v>414</v>
      </c>
      <c r="Q265" s="4">
        <v>406</v>
      </c>
      <c r="R265" s="4">
        <v>404</v>
      </c>
      <c r="S265" s="4">
        <v>431</v>
      </c>
      <c r="T265" s="4">
        <v>427</v>
      </c>
      <c r="U265" s="4">
        <v>438</v>
      </c>
      <c r="V265" s="4">
        <v>436</v>
      </c>
      <c r="W265" s="4">
        <v>430</v>
      </c>
      <c r="X265" s="4">
        <v>429</v>
      </c>
      <c r="Y265" s="4">
        <v>451</v>
      </c>
      <c r="Z265" s="4">
        <v>452</v>
      </c>
      <c r="AA265" s="4">
        <v>483</v>
      </c>
      <c r="AB265" s="4">
        <v>498</v>
      </c>
      <c r="AC265" s="4">
        <v>484</v>
      </c>
      <c r="AD265" s="4">
        <v>493</v>
      </c>
      <c r="AE265" s="4">
        <v>499</v>
      </c>
      <c r="AF265" s="4">
        <v>495</v>
      </c>
      <c r="AG265" s="4">
        <v>523</v>
      </c>
      <c r="AH265" s="4">
        <v>518</v>
      </c>
      <c r="AI265" s="4">
        <v>516</v>
      </c>
      <c r="AJ265" s="4">
        <v>545</v>
      </c>
      <c r="AK265" s="4">
        <v>513</v>
      </c>
      <c r="AL265" s="4">
        <v>513</v>
      </c>
      <c r="AM265" s="4">
        <v>513</v>
      </c>
      <c r="AN265" s="4">
        <v>502</v>
      </c>
      <c r="AO265" s="4">
        <v>478</v>
      </c>
      <c r="AP265" s="4">
        <v>499</v>
      </c>
      <c r="AQ265" s="4">
        <v>505</v>
      </c>
      <c r="AR265" s="4">
        <v>525</v>
      </c>
      <c r="AS265" s="4">
        <v>640</v>
      </c>
      <c r="AT265" s="4">
        <v>574</v>
      </c>
      <c r="AU265" s="4">
        <v>494</v>
      </c>
      <c r="AV265" s="4">
        <v>503</v>
      </c>
      <c r="AW265" s="4">
        <v>437</v>
      </c>
      <c r="AX265" s="4">
        <v>422</v>
      </c>
      <c r="AY265" s="4">
        <v>449</v>
      </c>
      <c r="AZ265" s="4">
        <v>432</v>
      </c>
      <c r="BA265" s="4">
        <v>403</v>
      </c>
      <c r="BB265" s="4">
        <v>414</v>
      </c>
      <c r="BC265" s="4">
        <v>406</v>
      </c>
      <c r="BD265" s="4">
        <v>410</v>
      </c>
      <c r="BE265" s="4">
        <v>416</v>
      </c>
      <c r="BF265" s="4">
        <v>415</v>
      </c>
      <c r="BG265" s="4">
        <v>422</v>
      </c>
      <c r="BH265" s="4">
        <v>429</v>
      </c>
      <c r="BI265" s="4">
        <v>426</v>
      </c>
      <c r="BJ265" s="4">
        <v>433</v>
      </c>
      <c r="BK265" s="4">
        <v>432</v>
      </c>
      <c r="BL265" s="4">
        <v>443</v>
      </c>
      <c r="BM265" s="4">
        <v>455</v>
      </c>
      <c r="BN265" s="4">
        <v>428</v>
      </c>
      <c r="BO265" s="4">
        <v>433</v>
      </c>
      <c r="BP265" s="4">
        <v>447</v>
      </c>
      <c r="BQ265" s="4">
        <v>454</v>
      </c>
      <c r="BR265" s="4">
        <v>450</v>
      </c>
      <c r="BS265" s="4">
        <v>450</v>
      </c>
      <c r="BT265" s="4">
        <v>448</v>
      </c>
      <c r="BU265" s="4">
        <v>452</v>
      </c>
      <c r="BV265" s="4">
        <v>456</v>
      </c>
      <c r="BW265" s="4">
        <v>448</v>
      </c>
      <c r="BX265" s="4">
        <v>463</v>
      </c>
      <c r="BY265" s="4">
        <v>446</v>
      </c>
      <c r="BZ265" s="4">
        <v>457</v>
      </c>
    </row>
    <row r="266" spans="1:254">
      <c r="A266" s="62" t="s">
        <v>479</v>
      </c>
      <c r="B266" s="4" t="str">
        <f>銘柄管理!C266</f>
        <v>インフォメティス</v>
      </c>
      <c r="C266" s="4">
        <f>_xll.RssMarket("281A","現在値")</f>
        <v>453</v>
      </c>
      <c r="D266" s="4">
        <f t="shared" si="7"/>
        <v>0</v>
      </c>
      <c r="E266" s="4">
        <v>453</v>
      </c>
      <c r="F266" s="4">
        <v>475</v>
      </c>
      <c r="G266" s="4">
        <v>475</v>
      </c>
      <c r="H266" s="4">
        <v>457</v>
      </c>
      <c r="I266" s="4">
        <v>429</v>
      </c>
      <c r="J266" s="4">
        <v>416</v>
      </c>
      <c r="K266" s="4">
        <v>419</v>
      </c>
      <c r="L266" s="4">
        <v>428</v>
      </c>
      <c r="M266" s="4">
        <v>450</v>
      </c>
      <c r="N266" s="4">
        <v>467</v>
      </c>
      <c r="O266" s="4">
        <v>467</v>
      </c>
      <c r="P266" s="4">
        <v>467</v>
      </c>
      <c r="Q266" s="4">
        <v>472</v>
      </c>
      <c r="R266" s="4">
        <v>455</v>
      </c>
      <c r="S266" s="4">
        <v>515</v>
      </c>
      <c r="T266" s="4">
        <v>509</v>
      </c>
      <c r="U266" s="4">
        <v>530</v>
      </c>
      <c r="V266" s="4">
        <v>514</v>
      </c>
      <c r="W266" s="4">
        <v>489</v>
      </c>
      <c r="X266" s="4">
        <v>519</v>
      </c>
      <c r="Y266" s="4">
        <v>619</v>
      </c>
      <c r="Z266" s="4">
        <v>625</v>
      </c>
      <c r="AA266" s="4">
        <v>626</v>
      </c>
      <c r="AB266" s="4">
        <v>627</v>
      </c>
      <c r="AC266" s="4">
        <v>628</v>
      </c>
      <c r="AD266" s="4">
        <v>670</v>
      </c>
      <c r="AE266" s="4">
        <v>710</v>
      </c>
      <c r="AF266" s="4">
        <v>676</v>
      </c>
      <c r="AG266" s="4">
        <v>753</v>
      </c>
      <c r="AH266" s="4">
        <v>737</v>
      </c>
      <c r="AI266" s="4">
        <v>637</v>
      </c>
      <c r="AJ266" s="4">
        <v>601</v>
      </c>
      <c r="AK266" s="4">
        <v>574</v>
      </c>
      <c r="AL266" s="4">
        <v>623</v>
      </c>
      <c r="AM266" s="4">
        <v>647</v>
      </c>
      <c r="AN266" s="4">
        <v>615</v>
      </c>
      <c r="AO266" s="4">
        <v>634</v>
      </c>
      <c r="AP266" s="4">
        <v>534</v>
      </c>
      <c r="AQ266" s="4">
        <v>548</v>
      </c>
      <c r="AR266" s="4">
        <v>543</v>
      </c>
      <c r="AS266" s="4">
        <v>582</v>
      </c>
      <c r="AT266" s="4">
        <v>613</v>
      </c>
      <c r="AU266" s="4">
        <v>652</v>
      </c>
      <c r="AV266" s="4">
        <v>695</v>
      </c>
      <c r="AW266" s="4">
        <v>689</v>
      </c>
      <c r="AX266" s="4">
        <v>760</v>
      </c>
      <c r="AY266" s="4">
        <v>829</v>
      </c>
      <c r="AZ266" s="4">
        <v>825</v>
      </c>
      <c r="BA266" s="4">
        <v>895</v>
      </c>
      <c r="BB266" s="4">
        <v>805</v>
      </c>
      <c r="BC266" s="4">
        <v>773</v>
      </c>
      <c r="BD266" s="4">
        <v>775</v>
      </c>
      <c r="BE266" s="4">
        <v>842</v>
      </c>
      <c r="BF266" s="4">
        <v>823</v>
      </c>
      <c r="BG266" s="4">
        <v>765</v>
      </c>
      <c r="BH266" s="4">
        <v>716</v>
      </c>
      <c r="BI266" s="4">
        <v>746</v>
      </c>
      <c r="BJ266" s="4">
        <v>756</v>
      </c>
      <c r="BK266" s="4">
        <v>806</v>
      </c>
      <c r="BL266" s="4">
        <v>819</v>
      </c>
      <c r="BM266" s="4">
        <v>757</v>
      </c>
      <c r="BN266" s="4">
        <v>740</v>
      </c>
      <c r="BO266" s="4">
        <v>693</v>
      </c>
      <c r="BP266" s="4">
        <v>712</v>
      </c>
      <c r="BQ266" s="4">
        <v>763</v>
      </c>
      <c r="BR266" s="4">
        <v>763</v>
      </c>
      <c r="BS266" s="4">
        <v>811</v>
      </c>
      <c r="BT266" s="4">
        <v>799</v>
      </c>
      <c r="BU266" s="4">
        <v>895</v>
      </c>
      <c r="BV266" s="4">
        <v>958</v>
      </c>
      <c r="BW266" s="4">
        <v>808</v>
      </c>
      <c r="BX266" s="4">
        <v>757</v>
      </c>
      <c r="BY266" s="4">
        <v>780</v>
      </c>
      <c r="BZ266" s="4">
        <v>680</v>
      </c>
    </row>
    <row r="267" spans="1:254">
      <c r="A267" s="62" t="s">
        <v>480</v>
      </c>
      <c r="B267" s="4" t="str">
        <f>銘柄管理!C267</f>
        <v>日本ギア工業</v>
      </c>
      <c r="C267" s="4">
        <f>_xll.RssMarket("6356","現在値")</f>
        <v>1370</v>
      </c>
      <c r="D267" s="4">
        <f t="shared" si="7"/>
        <v>0</v>
      </c>
      <c r="E267" s="4">
        <v>1370</v>
      </c>
      <c r="F267" s="4">
        <v>1389</v>
      </c>
      <c r="G267" s="4">
        <v>1338</v>
      </c>
      <c r="H267" s="4">
        <v>1284</v>
      </c>
      <c r="I267" s="4">
        <v>1266</v>
      </c>
      <c r="J267" s="4">
        <v>1255</v>
      </c>
      <c r="K267" s="4">
        <v>1250</v>
      </c>
      <c r="L267" s="4">
        <v>1296</v>
      </c>
      <c r="M267" s="4">
        <v>1379</v>
      </c>
      <c r="N267" s="4">
        <v>1362</v>
      </c>
      <c r="O267" s="4">
        <v>1407</v>
      </c>
      <c r="P267" s="4">
        <v>1412</v>
      </c>
      <c r="Q267" s="4">
        <v>1375</v>
      </c>
      <c r="R267" s="4">
        <v>1410</v>
      </c>
      <c r="S267" s="4">
        <v>1578</v>
      </c>
      <c r="T267" s="4">
        <v>1571</v>
      </c>
      <c r="U267" s="4">
        <v>1500</v>
      </c>
      <c r="V267" s="4">
        <v>1500</v>
      </c>
      <c r="W267" s="4">
        <v>1489</v>
      </c>
      <c r="X267" s="4">
        <v>1500</v>
      </c>
      <c r="Y267" s="4">
        <v>1575</v>
      </c>
      <c r="Z267" s="4">
        <v>1747</v>
      </c>
      <c r="AA267" s="4">
        <v>1647</v>
      </c>
      <c r="AB267" s="4">
        <v>1527</v>
      </c>
      <c r="AC267" s="4">
        <v>1480</v>
      </c>
      <c r="AD267" s="4">
        <v>1490</v>
      </c>
      <c r="AE267" s="4">
        <v>1499</v>
      </c>
      <c r="AF267" s="4">
        <v>1460</v>
      </c>
      <c r="AG267" s="4">
        <v>1516</v>
      </c>
      <c r="AH267" s="4">
        <v>1490</v>
      </c>
      <c r="AI267" s="4">
        <v>1452</v>
      </c>
      <c r="AJ267" s="4">
        <v>1585</v>
      </c>
      <c r="AK267" s="4">
        <v>1495</v>
      </c>
      <c r="AL267" s="4">
        <v>1526</v>
      </c>
      <c r="AM267" s="4">
        <v>1630</v>
      </c>
      <c r="AN267" s="4">
        <v>1378</v>
      </c>
      <c r="AO267" s="4">
        <v>1433</v>
      </c>
      <c r="AP267" s="4">
        <v>1416</v>
      </c>
      <c r="AQ267" s="4">
        <v>1378</v>
      </c>
      <c r="AR267" s="4">
        <v>1425</v>
      </c>
      <c r="AS267" s="4">
        <v>1499</v>
      </c>
      <c r="AT267" s="4">
        <v>1604</v>
      </c>
      <c r="AU267" s="4">
        <v>1455</v>
      </c>
      <c r="AV267" s="4">
        <v>1488</v>
      </c>
      <c r="AW267" s="4">
        <v>1457</v>
      </c>
      <c r="AX267" s="4">
        <v>1660</v>
      </c>
      <c r="AY267" s="4">
        <v>1690</v>
      </c>
      <c r="AZ267" s="4">
        <v>1720</v>
      </c>
      <c r="BA267" s="4">
        <v>1560</v>
      </c>
      <c r="BB267" s="4">
        <v>1502</v>
      </c>
      <c r="BC267" s="4">
        <v>1355</v>
      </c>
      <c r="BD267" s="4">
        <v>1373</v>
      </c>
      <c r="BE267" s="4">
        <v>1415</v>
      </c>
      <c r="BF267" s="4">
        <v>1449</v>
      </c>
      <c r="BG267" s="4">
        <v>1410</v>
      </c>
      <c r="BH267" s="4">
        <v>1438</v>
      </c>
      <c r="BI267" s="4">
        <v>1403</v>
      </c>
      <c r="BJ267" s="4">
        <v>1523</v>
      </c>
      <c r="BK267" s="4">
        <v>1517</v>
      </c>
      <c r="BL267" s="4">
        <v>1489</v>
      </c>
      <c r="BM267" s="4">
        <v>1481</v>
      </c>
      <c r="BN267" s="4">
        <v>1501</v>
      </c>
      <c r="BO267" s="4">
        <v>1586</v>
      </c>
      <c r="BP267" s="4">
        <v>1685</v>
      </c>
      <c r="BQ267" s="4">
        <v>1640</v>
      </c>
      <c r="BR267" s="4">
        <v>1666</v>
      </c>
      <c r="BS267" s="4">
        <v>1526</v>
      </c>
      <c r="BT267" s="4">
        <v>1226</v>
      </c>
      <c r="BU267" s="4">
        <v>1277</v>
      </c>
      <c r="BV267" s="4">
        <v>1304</v>
      </c>
      <c r="BW267" s="4">
        <v>1333</v>
      </c>
      <c r="BX267" s="4">
        <v>1328</v>
      </c>
      <c r="BY267" s="4">
        <v>1277</v>
      </c>
      <c r="BZ267" s="4">
        <v>1281</v>
      </c>
    </row>
    <row r="268" spans="1:254">
      <c r="A268" s="62" t="s">
        <v>481</v>
      </c>
      <c r="B268" s="4" t="str">
        <f>銘柄管理!C268</f>
        <v>助川電気工業</v>
      </c>
      <c r="C268" s="4">
        <f>_xll.RssMarket("7711","現在値")</f>
        <v>4500</v>
      </c>
      <c r="D268" s="4">
        <f t="shared" si="7"/>
        <v>0</v>
      </c>
      <c r="E268" s="4">
        <v>4500</v>
      </c>
      <c r="F268" s="4">
        <v>4620</v>
      </c>
      <c r="G268" s="4">
        <v>4475</v>
      </c>
      <c r="H268" s="4">
        <v>4280</v>
      </c>
      <c r="I268" s="4">
        <v>4275</v>
      </c>
      <c r="J268" s="4">
        <v>4140</v>
      </c>
      <c r="K268" s="4">
        <v>4120</v>
      </c>
      <c r="L268" s="4">
        <v>4250</v>
      </c>
      <c r="M268" s="4">
        <v>4510</v>
      </c>
      <c r="O268" s="4">
        <v>4800</v>
      </c>
      <c r="P268" s="4">
        <v>4675</v>
      </c>
      <c r="Q268" s="4">
        <v>4595</v>
      </c>
      <c r="R268" s="4">
        <v>4455</v>
      </c>
      <c r="S268" s="4">
        <v>5130</v>
      </c>
      <c r="T268" s="4">
        <v>5030</v>
      </c>
      <c r="U268" s="4">
        <v>4780</v>
      </c>
      <c r="V268" s="4">
        <v>4730</v>
      </c>
      <c r="W268" s="4">
        <v>4635</v>
      </c>
      <c r="X268" s="4">
        <v>4850</v>
      </c>
      <c r="Y268" s="4">
        <v>4965</v>
      </c>
      <c r="Z268" s="4">
        <v>5150</v>
      </c>
      <c r="AA268" s="4">
        <v>5030</v>
      </c>
      <c r="AB268" s="4">
        <v>4810</v>
      </c>
      <c r="AC268" s="4">
        <v>4840</v>
      </c>
      <c r="AD268" s="4">
        <v>4910</v>
      </c>
      <c r="AE268" s="4">
        <v>4905</v>
      </c>
      <c r="AF268" s="4">
        <v>4905</v>
      </c>
      <c r="AG268" s="4">
        <v>5060</v>
      </c>
      <c r="AH268" s="4">
        <v>5030</v>
      </c>
      <c r="AI268" s="4">
        <v>5050</v>
      </c>
      <c r="AJ268" s="4">
        <v>5500</v>
      </c>
      <c r="AK268" s="4">
        <v>5490</v>
      </c>
      <c r="AL268" s="4">
        <v>5470</v>
      </c>
      <c r="AM268" s="4">
        <v>5650</v>
      </c>
      <c r="AN268" s="4">
        <v>4945</v>
      </c>
      <c r="AO268" s="4">
        <v>4830</v>
      </c>
      <c r="AP268" s="4">
        <v>4825</v>
      </c>
      <c r="AQ268" s="4">
        <v>4635</v>
      </c>
      <c r="AR268" s="4">
        <v>4710</v>
      </c>
      <c r="AS268" s="4">
        <v>5050</v>
      </c>
      <c r="AT268" s="4">
        <v>5490</v>
      </c>
      <c r="AU268" s="4">
        <v>5060</v>
      </c>
      <c r="AV268" s="4">
        <v>5140</v>
      </c>
      <c r="AW268" s="4">
        <v>5200</v>
      </c>
      <c r="AX268" s="4">
        <v>5360</v>
      </c>
      <c r="AY268" s="4">
        <v>5380</v>
      </c>
      <c r="AZ268" s="4">
        <v>5480</v>
      </c>
      <c r="BA268" s="4">
        <v>5420</v>
      </c>
      <c r="BB268" s="4">
        <v>5360</v>
      </c>
      <c r="BC268" s="4">
        <v>5080</v>
      </c>
      <c r="BD268" s="4">
        <v>5020</v>
      </c>
      <c r="BE268" s="4">
        <v>5180</v>
      </c>
      <c r="BF268" s="4">
        <v>5310</v>
      </c>
      <c r="BG268" s="4">
        <v>5420</v>
      </c>
      <c r="BH268" s="4">
        <v>5370</v>
      </c>
      <c r="BI268" s="4">
        <v>5650</v>
      </c>
      <c r="BJ268" s="4">
        <v>5620</v>
      </c>
      <c r="BK268" s="4">
        <v>5820</v>
      </c>
      <c r="BL268" s="4">
        <v>6000</v>
      </c>
      <c r="BM268" s="4">
        <v>6200</v>
      </c>
      <c r="BN268" s="4">
        <v>5920</v>
      </c>
      <c r="BO268" s="4">
        <v>6000</v>
      </c>
      <c r="BP268" s="4">
        <v>6130</v>
      </c>
      <c r="BQ268" s="4">
        <v>6170</v>
      </c>
      <c r="BR268" s="4">
        <v>6350</v>
      </c>
      <c r="BS268" s="4">
        <v>6600</v>
      </c>
      <c r="BT268" s="4">
        <v>6280</v>
      </c>
      <c r="BU268" s="4">
        <v>6320</v>
      </c>
      <c r="BV268" s="4">
        <v>6350</v>
      </c>
      <c r="BW268" s="4">
        <v>6280</v>
      </c>
      <c r="BX268" s="4">
        <v>6340</v>
      </c>
      <c r="BY268" s="4">
        <v>6110</v>
      </c>
      <c r="BZ268" s="4">
        <v>6250</v>
      </c>
    </row>
    <row r="269" spans="1:254">
      <c r="A269" s="62" t="s">
        <v>482</v>
      </c>
      <c r="B269" s="4" t="str">
        <f>銘柄管理!C269</f>
        <v>日機装</v>
      </c>
      <c r="C269" s="4">
        <f>_xll.RssMarket("6376","現在値")</f>
        <v>4095</v>
      </c>
      <c r="D269" s="4">
        <f t="shared" si="7"/>
        <v>0</v>
      </c>
      <c r="E269" s="4">
        <v>4095</v>
      </c>
      <c r="F269" s="4">
        <v>4065</v>
      </c>
      <c r="G269" s="4">
        <v>3975</v>
      </c>
      <c r="H269" s="4">
        <v>3780</v>
      </c>
      <c r="I269" s="4">
        <v>3750</v>
      </c>
      <c r="J269" s="4">
        <v>3525</v>
      </c>
      <c r="K269" s="4">
        <v>3565</v>
      </c>
      <c r="L269" s="4">
        <v>3730</v>
      </c>
      <c r="M269" s="4">
        <v>4060</v>
      </c>
      <c r="N269" s="4">
        <v>4000</v>
      </c>
      <c r="O269" s="4">
        <v>3985</v>
      </c>
      <c r="P269" s="4">
        <v>3965</v>
      </c>
      <c r="Q269" s="4">
        <v>4120</v>
      </c>
      <c r="R269" s="4">
        <v>3820</v>
      </c>
      <c r="S269" s="4">
        <v>3895</v>
      </c>
      <c r="T269" s="4">
        <v>3785</v>
      </c>
      <c r="U269" s="4">
        <v>3605</v>
      </c>
      <c r="V269" s="4">
        <v>3700</v>
      </c>
      <c r="W269" s="4">
        <v>3715</v>
      </c>
      <c r="X269" s="4">
        <v>3730</v>
      </c>
      <c r="Y269" s="4">
        <v>3825</v>
      </c>
      <c r="Z269" s="4">
        <v>4070</v>
      </c>
      <c r="AA269" s="4">
        <v>4060</v>
      </c>
      <c r="AB269" s="4">
        <v>3930</v>
      </c>
      <c r="AC269" s="4">
        <v>3890</v>
      </c>
      <c r="AD269" s="4">
        <v>4050</v>
      </c>
      <c r="AE269" s="4">
        <v>4155</v>
      </c>
      <c r="AF269" s="4">
        <v>4230</v>
      </c>
      <c r="AG269" s="4">
        <v>4160</v>
      </c>
      <c r="AH269" s="4">
        <v>4030</v>
      </c>
      <c r="AI269" s="4">
        <v>4025</v>
      </c>
      <c r="AJ269" s="4">
        <v>4090</v>
      </c>
      <c r="AK269" s="4">
        <v>3880</v>
      </c>
      <c r="AL269" s="4">
        <v>3945</v>
      </c>
      <c r="AM269" s="4">
        <v>3855</v>
      </c>
      <c r="AN269" s="4">
        <v>3715</v>
      </c>
      <c r="AO269" s="4">
        <v>3705</v>
      </c>
      <c r="AP269" s="4">
        <v>3600</v>
      </c>
      <c r="AQ269" s="4">
        <v>3570</v>
      </c>
      <c r="AR269" s="4">
        <v>3570</v>
      </c>
      <c r="AS269" s="4">
        <v>3280</v>
      </c>
      <c r="AT269" s="4">
        <v>3330</v>
      </c>
      <c r="AU269" s="4">
        <v>3195</v>
      </c>
      <c r="AV269" s="4">
        <v>3140</v>
      </c>
      <c r="AW269" s="4">
        <v>3125</v>
      </c>
      <c r="AX269" s="4">
        <v>3105</v>
      </c>
      <c r="AY269" s="4">
        <v>3240</v>
      </c>
      <c r="AZ269" s="4">
        <v>3280</v>
      </c>
      <c r="BA269" s="4">
        <v>3450</v>
      </c>
      <c r="BB269" s="4">
        <v>3205</v>
      </c>
      <c r="BC269" s="4">
        <v>3000</v>
      </c>
      <c r="BD269" s="4">
        <v>2861</v>
      </c>
      <c r="BE269" s="4">
        <v>2887</v>
      </c>
      <c r="BF269" s="4">
        <v>2991</v>
      </c>
      <c r="BG269" s="4">
        <v>2911</v>
      </c>
      <c r="BH269" s="4">
        <v>2682</v>
      </c>
      <c r="BI269" s="4">
        <v>2660</v>
      </c>
      <c r="BJ269" s="4">
        <v>2648</v>
      </c>
      <c r="BK269" s="4">
        <v>2641</v>
      </c>
      <c r="BL269" s="4">
        <v>2650</v>
      </c>
      <c r="BM269" s="4">
        <v>2644</v>
      </c>
      <c r="BN269" s="4">
        <v>2634</v>
      </c>
      <c r="BO269" s="4">
        <v>2658</v>
      </c>
      <c r="BP269" s="4">
        <v>2634</v>
      </c>
      <c r="BQ269" s="4">
        <v>2589</v>
      </c>
      <c r="BR269" s="4">
        <v>2644</v>
      </c>
      <c r="BS269" s="4">
        <v>2576</v>
      </c>
      <c r="BT269" s="4">
        <v>2563</v>
      </c>
      <c r="BU269" s="4">
        <v>2573</v>
      </c>
      <c r="BV269" s="4">
        <v>2629</v>
      </c>
      <c r="BW269" s="4">
        <v>2657</v>
      </c>
      <c r="BX269" s="4">
        <v>2719</v>
      </c>
      <c r="BY269" s="4">
        <v>2773</v>
      </c>
      <c r="BZ269" s="4">
        <v>2816</v>
      </c>
    </row>
    <row r="270" spans="1:254">
      <c r="A270" s="62" t="s">
        <v>483</v>
      </c>
      <c r="B270" s="4" t="str">
        <f>銘柄管理!C270</f>
        <v>明海グループ</v>
      </c>
      <c r="C270" s="4">
        <f>_xll.RssMarket("9115","現在値")</f>
        <v>856</v>
      </c>
      <c r="D270" s="4">
        <f t="shared" si="7"/>
        <v>0</v>
      </c>
      <c r="E270" s="4">
        <v>856</v>
      </c>
      <c r="F270" s="4">
        <v>912</v>
      </c>
      <c r="G270" s="4">
        <v>846</v>
      </c>
      <c r="H270" s="4">
        <v>815</v>
      </c>
      <c r="I270" s="4">
        <v>814</v>
      </c>
      <c r="J270" s="4">
        <v>788</v>
      </c>
      <c r="K270" s="4">
        <v>796</v>
      </c>
      <c r="L270" s="4">
        <v>851</v>
      </c>
      <c r="M270" s="4">
        <v>881</v>
      </c>
      <c r="N270" s="4">
        <v>891</v>
      </c>
      <c r="O270" s="4">
        <v>845</v>
      </c>
      <c r="P270" s="4">
        <v>894</v>
      </c>
      <c r="Q270" s="4">
        <v>829</v>
      </c>
      <c r="R270" s="4">
        <v>821</v>
      </c>
      <c r="S270" s="4">
        <v>853</v>
      </c>
      <c r="T270" s="4">
        <v>834</v>
      </c>
      <c r="U270" s="4">
        <v>811</v>
      </c>
      <c r="V270" s="4">
        <v>809</v>
      </c>
      <c r="W270" s="4">
        <v>845</v>
      </c>
      <c r="X270" s="4">
        <v>819</v>
      </c>
      <c r="Y270" s="4">
        <v>822</v>
      </c>
      <c r="Z270" s="4">
        <v>849</v>
      </c>
      <c r="AA270" s="4">
        <v>839</v>
      </c>
      <c r="AB270" s="4">
        <v>818</v>
      </c>
      <c r="AC270" s="4">
        <v>818</v>
      </c>
      <c r="AD270" s="4">
        <v>801</v>
      </c>
      <c r="AE270" s="4">
        <v>811</v>
      </c>
      <c r="AF270" s="4">
        <v>800</v>
      </c>
      <c r="AG270" s="4">
        <v>798</v>
      </c>
      <c r="AH270" s="4">
        <v>790</v>
      </c>
      <c r="AI270" s="4">
        <v>802</v>
      </c>
      <c r="AJ270" s="4">
        <v>759</v>
      </c>
      <c r="AK270" s="4">
        <v>768</v>
      </c>
      <c r="AL270" s="4">
        <v>781</v>
      </c>
      <c r="AM270" s="4">
        <v>805</v>
      </c>
      <c r="AN270" s="4">
        <v>826</v>
      </c>
      <c r="AO270" s="4">
        <v>835</v>
      </c>
      <c r="AP270" s="4">
        <v>848</v>
      </c>
      <c r="AQ270" s="4">
        <v>899</v>
      </c>
      <c r="AR270" s="4">
        <v>904</v>
      </c>
      <c r="AS270" s="4">
        <v>973</v>
      </c>
      <c r="AT270" s="4">
        <v>981</v>
      </c>
      <c r="AU270" s="4">
        <v>999</v>
      </c>
      <c r="AV270" s="4">
        <v>1020</v>
      </c>
      <c r="AW270" s="4">
        <v>1036</v>
      </c>
      <c r="AX270" s="4">
        <v>1110</v>
      </c>
      <c r="AY270" s="4">
        <v>1137</v>
      </c>
      <c r="AZ270" s="4">
        <v>1143</v>
      </c>
      <c r="BA270" s="4">
        <v>1162</v>
      </c>
      <c r="BB270" s="4">
        <v>1152</v>
      </c>
      <c r="BC270" s="4">
        <v>1130</v>
      </c>
      <c r="BD270" s="4">
        <v>1103</v>
      </c>
      <c r="BE270" s="4">
        <v>1176</v>
      </c>
      <c r="BF270" s="4">
        <v>1218</v>
      </c>
      <c r="BG270" s="4">
        <v>1227</v>
      </c>
      <c r="BH270" s="4">
        <v>1196</v>
      </c>
      <c r="BI270" s="4">
        <v>1208</v>
      </c>
      <c r="BJ270" s="4">
        <v>1216</v>
      </c>
      <c r="BK270" s="4">
        <v>1272</v>
      </c>
      <c r="BL270" s="4">
        <v>1244</v>
      </c>
      <c r="BM270" s="4">
        <v>1329</v>
      </c>
      <c r="BN270" s="4">
        <v>1294</v>
      </c>
      <c r="BO270" s="4">
        <v>1274</v>
      </c>
      <c r="BP270" s="4">
        <v>1249</v>
      </c>
      <c r="BQ270" s="4">
        <v>1180</v>
      </c>
      <c r="BR270" s="4">
        <v>1175</v>
      </c>
      <c r="BS270" s="4">
        <v>1178</v>
      </c>
      <c r="BT270" s="4">
        <v>1214</v>
      </c>
      <c r="BU270" s="4">
        <v>1267</v>
      </c>
      <c r="BV270" s="4">
        <v>1282</v>
      </c>
      <c r="BW270" s="4">
        <v>1241</v>
      </c>
      <c r="BX270" s="4">
        <v>1285</v>
      </c>
      <c r="BY270" s="4">
        <v>1289</v>
      </c>
      <c r="BZ270" s="4">
        <v>1303</v>
      </c>
    </row>
    <row r="271" spans="1:254">
      <c r="A271" s="62" t="s">
        <v>484</v>
      </c>
      <c r="B271" s="4" t="str">
        <f>銘柄管理!C271</f>
        <v>三菱製紙</v>
      </c>
      <c r="C271" s="4">
        <f>_xll.RssMarket("3864","現在値")</f>
        <v>1168</v>
      </c>
      <c r="D271" s="4">
        <f t="shared" si="7"/>
        <v>0</v>
      </c>
      <c r="E271" s="4">
        <v>1168</v>
      </c>
      <c r="F271" s="4">
        <v>1174</v>
      </c>
      <c r="G271" s="4">
        <v>1152</v>
      </c>
      <c r="H271" s="4">
        <v>1117</v>
      </c>
      <c r="I271" s="4">
        <v>1123</v>
      </c>
      <c r="J271" s="4">
        <v>1117</v>
      </c>
      <c r="K271" s="4">
        <v>1122</v>
      </c>
      <c r="L271" s="4">
        <v>1091</v>
      </c>
      <c r="M271" s="4">
        <v>1151</v>
      </c>
      <c r="N271" s="4">
        <v>1133</v>
      </c>
      <c r="O271" s="4">
        <v>1198</v>
      </c>
      <c r="P271" s="4">
        <v>1175</v>
      </c>
      <c r="Q271" s="4">
        <v>1226</v>
      </c>
      <c r="R271" s="4">
        <v>1092</v>
      </c>
      <c r="S271" s="4">
        <v>1108</v>
      </c>
      <c r="T271" s="4">
        <v>1080</v>
      </c>
      <c r="U271" s="4">
        <v>1055</v>
      </c>
      <c r="V271" s="4">
        <v>1001</v>
      </c>
      <c r="W271" s="4">
        <v>1009</v>
      </c>
      <c r="X271" s="4">
        <v>1013</v>
      </c>
      <c r="Y271" s="4">
        <v>999</v>
      </c>
      <c r="Z271" s="4">
        <v>1016</v>
      </c>
      <c r="AA271" s="4">
        <v>1015</v>
      </c>
      <c r="AB271" s="4">
        <v>1008</v>
      </c>
      <c r="AC271" s="4">
        <v>1005</v>
      </c>
      <c r="AD271" s="4">
        <v>1012</v>
      </c>
      <c r="AE271" s="4">
        <v>1015</v>
      </c>
      <c r="AF271" s="4">
        <v>1039</v>
      </c>
      <c r="AG271" s="4">
        <v>1034</v>
      </c>
      <c r="AH271" s="4">
        <v>1034</v>
      </c>
      <c r="AI271" s="4">
        <v>1029</v>
      </c>
      <c r="AJ271" s="4">
        <v>1035</v>
      </c>
      <c r="AK271" s="4">
        <v>1032</v>
      </c>
      <c r="AL271" s="4">
        <v>1030</v>
      </c>
      <c r="AM271" s="4">
        <v>1059</v>
      </c>
      <c r="AN271" s="4">
        <v>1074</v>
      </c>
      <c r="AO271" s="4">
        <v>1104</v>
      </c>
      <c r="AP271" s="4">
        <v>1061</v>
      </c>
      <c r="AQ271" s="4">
        <v>1054</v>
      </c>
      <c r="AR271" s="4">
        <v>1074</v>
      </c>
      <c r="AS271" s="4">
        <v>1052</v>
      </c>
      <c r="AT271" s="4">
        <v>1061</v>
      </c>
      <c r="AU271" s="4">
        <v>1040</v>
      </c>
      <c r="AV271" s="4">
        <v>1060</v>
      </c>
      <c r="AW271" s="4">
        <v>1045</v>
      </c>
      <c r="AX271" s="4">
        <v>1100</v>
      </c>
      <c r="AY271" s="4">
        <v>1131</v>
      </c>
      <c r="AZ271" s="4">
        <v>1096</v>
      </c>
      <c r="BA271" s="4">
        <v>1088</v>
      </c>
      <c r="BB271" s="4">
        <v>1095</v>
      </c>
      <c r="BC271" s="4">
        <v>1090</v>
      </c>
      <c r="BD271" s="4">
        <v>1034</v>
      </c>
      <c r="BE271" s="4">
        <v>1018</v>
      </c>
      <c r="BF271" s="4">
        <v>1036</v>
      </c>
      <c r="BG271" s="4">
        <v>1009</v>
      </c>
      <c r="BH271" s="4">
        <v>928</v>
      </c>
      <c r="BI271" s="4">
        <v>913</v>
      </c>
      <c r="BJ271" s="4">
        <v>916</v>
      </c>
      <c r="BK271" s="4">
        <v>935</v>
      </c>
      <c r="BL271" s="4">
        <v>944</v>
      </c>
      <c r="BM271" s="4">
        <v>934</v>
      </c>
      <c r="BN271" s="4">
        <v>928</v>
      </c>
      <c r="BO271" s="4">
        <v>932</v>
      </c>
      <c r="BP271" s="4">
        <v>937</v>
      </c>
      <c r="BQ271" s="4">
        <v>936</v>
      </c>
      <c r="BR271" s="4">
        <v>959</v>
      </c>
      <c r="BS271" s="4">
        <v>951</v>
      </c>
      <c r="BT271" s="4">
        <v>959</v>
      </c>
      <c r="BU271" s="4">
        <v>978</v>
      </c>
      <c r="BV271" s="4">
        <v>972</v>
      </c>
      <c r="BW271" s="4">
        <v>990</v>
      </c>
      <c r="BX271" s="4">
        <v>982</v>
      </c>
      <c r="BY271" s="4">
        <v>951</v>
      </c>
      <c r="BZ271" s="4">
        <v>927</v>
      </c>
    </row>
    <row r="272" spans="1:254">
      <c r="A272" s="62" t="s">
        <v>485</v>
      </c>
      <c r="B272" s="4" t="str">
        <f>銘柄管理!C272</f>
        <v>日本ケミコン</v>
      </c>
      <c r="C272" s="4">
        <f>_xll.RssMarket("6997","現在値")</f>
        <v>3240</v>
      </c>
      <c r="D272" s="4">
        <f t="shared" si="7"/>
        <v>0</v>
      </c>
      <c r="E272" s="4">
        <v>3240</v>
      </c>
      <c r="F272" s="4">
        <v>3550</v>
      </c>
      <c r="G272" s="4">
        <v>3245</v>
      </c>
      <c r="H272" s="4">
        <v>3210</v>
      </c>
      <c r="I272" s="4">
        <v>3120</v>
      </c>
      <c r="J272" s="4">
        <v>2628</v>
      </c>
      <c r="K272" s="4">
        <v>2570</v>
      </c>
      <c r="L272" s="4">
        <v>2826</v>
      </c>
      <c r="M272" s="4">
        <v>3200</v>
      </c>
      <c r="N272" s="4">
        <v>3240</v>
      </c>
      <c r="O272" s="4">
        <v>3290</v>
      </c>
      <c r="P272" s="4">
        <v>3345</v>
      </c>
      <c r="Q272" s="4">
        <v>3100</v>
      </c>
      <c r="R272" s="4">
        <v>3160</v>
      </c>
      <c r="S272" s="4">
        <v>3700</v>
      </c>
      <c r="T272" s="4">
        <v>3665</v>
      </c>
      <c r="U272" s="4">
        <v>3655</v>
      </c>
      <c r="V272" s="4">
        <v>3965</v>
      </c>
      <c r="W272" s="4">
        <v>3920</v>
      </c>
      <c r="X272" s="4">
        <v>3920</v>
      </c>
      <c r="Y272" s="4">
        <v>4250</v>
      </c>
      <c r="Z272" s="4">
        <v>5020</v>
      </c>
      <c r="AA272" s="4">
        <v>5570</v>
      </c>
      <c r="AB272" s="4">
        <v>5140</v>
      </c>
      <c r="AC272" s="4">
        <v>5790</v>
      </c>
      <c r="AD272" s="4">
        <v>5490</v>
      </c>
      <c r="AE272" s="4">
        <v>5590</v>
      </c>
      <c r="AF272" s="4">
        <v>5590</v>
      </c>
      <c r="AG272" s="4">
        <v>5980</v>
      </c>
      <c r="AH272" s="4">
        <v>5360</v>
      </c>
      <c r="AI272" s="4">
        <v>5340</v>
      </c>
      <c r="AJ272" s="4">
        <v>5810</v>
      </c>
      <c r="AK272" s="4">
        <v>5670</v>
      </c>
      <c r="AL272" s="4">
        <v>5530</v>
      </c>
      <c r="AM272" s="4">
        <v>5240</v>
      </c>
      <c r="AN272" s="4">
        <v>4540</v>
      </c>
      <c r="AO272" s="4">
        <v>4790</v>
      </c>
      <c r="AP272" s="4">
        <v>4175</v>
      </c>
      <c r="AQ272" s="4">
        <v>4110</v>
      </c>
      <c r="AR272" s="4">
        <v>4245</v>
      </c>
      <c r="AS272" s="4">
        <v>4535</v>
      </c>
      <c r="AT272" s="4">
        <v>4980</v>
      </c>
      <c r="AU272" s="4">
        <v>4945</v>
      </c>
      <c r="AV272" s="4">
        <v>4840</v>
      </c>
      <c r="AW272" s="4">
        <v>4785</v>
      </c>
      <c r="AX272" s="4">
        <v>5080</v>
      </c>
      <c r="AY272" s="4">
        <v>4380</v>
      </c>
      <c r="AZ272" s="4">
        <v>3865</v>
      </c>
      <c r="BA272" s="4">
        <v>4065</v>
      </c>
      <c r="BB272" s="4">
        <v>3365</v>
      </c>
      <c r="BC272" s="4">
        <v>2923</v>
      </c>
      <c r="BD272" s="4">
        <v>2991</v>
      </c>
      <c r="BE272" s="4">
        <v>3055</v>
      </c>
      <c r="BF272" s="4">
        <v>2944</v>
      </c>
      <c r="BG272" s="4">
        <v>2996</v>
      </c>
      <c r="BH272" s="4">
        <v>3415</v>
      </c>
      <c r="BI272" s="4">
        <v>3180</v>
      </c>
      <c r="BJ272" s="4">
        <v>3200</v>
      </c>
      <c r="BK272" s="4">
        <v>3170</v>
      </c>
      <c r="BL272" s="4">
        <v>3160</v>
      </c>
      <c r="BM272" s="4">
        <v>2960</v>
      </c>
      <c r="BN272" s="4">
        <v>2651</v>
      </c>
      <c r="BO272" s="4">
        <v>2660</v>
      </c>
      <c r="BP272" s="4">
        <v>2462</v>
      </c>
      <c r="BQ272" s="4">
        <v>2321</v>
      </c>
      <c r="BR272" s="4">
        <v>2295</v>
      </c>
      <c r="BS272" s="4">
        <v>2243</v>
      </c>
      <c r="BT272" s="4">
        <v>2450</v>
      </c>
      <c r="BU272" s="4">
        <v>2354</v>
      </c>
      <c r="BV272" s="4">
        <v>2384</v>
      </c>
      <c r="BW272" s="4">
        <v>2243</v>
      </c>
      <c r="BX272" s="4">
        <v>2265</v>
      </c>
      <c r="BY272" s="4">
        <v>2055</v>
      </c>
      <c r="BZ272" s="4">
        <v>1942</v>
      </c>
    </row>
    <row r="273" spans="1:254">
      <c r="A273" s="62" t="s">
        <v>486</v>
      </c>
      <c r="B273" s="4" t="str">
        <f>銘柄管理!C273</f>
        <v>ＨＵグループＨＤ</v>
      </c>
      <c r="C273" s="4">
        <f>_xll.RssMarket("4544","現在値")</f>
        <v>3380</v>
      </c>
      <c r="D273" s="4">
        <f t="shared" si="7"/>
        <v>0</v>
      </c>
      <c r="E273" s="4">
        <v>3380</v>
      </c>
      <c r="F273" s="4">
        <v>3331</v>
      </c>
      <c r="G273" s="4">
        <v>3346</v>
      </c>
      <c r="H273" s="4">
        <v>3360</v>
      </c>
      <c r="I273" s="4">
        <v>3411</v>
      </c>
      <c r="J273" s="4">
        <v>3478</v>
      </c>
      <c r="K273" s="4">
        <v>3595</v>
      </c>
      <c r="L273" s="4">
        <v>3472</v>
      </c>
      <c r="M273" s="4">
        <v>3434</v>
      </c>
      <c r="N273" s="4">
        <v>3347</v>
      </c>
      <c r="O273" s="4">
        <v>3313</v>
      </c>
      <c r="P273" s="4">
        <v>3344</v>
      </c>
      <c r="Q273" s="4">
        <v>3376</v>
      </c>
      <c r="R273" s="4">
        <v>3388</v>
      </c>
      <c r="S273" s="4">
        <v>3375</v>
      </c>
      <c r="T273" s="4">
        <v>3352</v>
      </c>
      <c r="U273" s="4">
        <v>3344</v>
      </c>
      <c r="V273" s="4">
        <v>3381</v>
      </c>
      <c r="W273" s="4">
        <v>3347</v>
      </c>
      <c r="X273" s="4">
        <v>3478</v>
      </c>
      <c r="Y273" s="4">
        <v>3470</v>
      </c>
      <c r="Z273" s="4">
        <v>3436</v>
      </c>
      <c r="AA273" s="4">
        <v>3391</v>
      </c>
      <c r="AB273" s="4">
        <v>3389</v>
      </c>
      <c r="AC273" s="4">
        <v>3258</v>
      </c>
      <c r="AD273" s="4">
        <v>3295</v>
      </c>
      <c r="AE273" s="4">
        <v>3288</v>
      </c>
      <c r="AF273" s="4">
        <v>3244</v>
      </c>
      <c r="AG273" s="4">
        <v>3198</v>
      </c>
      <c r="AH273" s="4">
        <v>3157</v>
      </c>
      <c r="AI273" s="4">
        <v>3148</v>
      </c>
      <c r="AJ273" s="4">
        <v>3173</v>
      </c>
      <c r="AK273" s="4">
        <v>3136</v>
      </c>
      <c r="AL273" s="4">
        <v>3165</v>
      </c>
      <c r="AM273" s="4">
        <v>3190</v>
      </c>
      <c r="AN273" s="4">
        <v>3251</v>
      </c>
      <c r="AO273" s="4">
        <v>3244</v>
      </c>
      <c r="AP273" s="4">
        <v>3392</v>
      </c>
      <c r="AQ273" s="4">
        <v>3411</v>
      </c>
      <c r="AR273" s="4">
        <v>3462</v>
      </c>
      <c r="AS273" s="4">
        <v>3343</v>
      </c>
      <c r="AT273" s="4">
        <v>3357</v>
      </c>
      <c r="AU273" s="4">
        <v>3298</v>
      </c>
      <c r="AV273" s="4">
        <v>3302</v>
      </c>
      <c r="AW273" s="4">
        <v>3139</v>
      </c>
      <c r="AX273" s="4">
        <v>3117</v>
      </c>
      <c r="AY273" s="4">
        <v>3146</v>
      </c>
      <c r="AZ273" s="4">
        <v>3140</v>
      </c>
      <c r="BA273" s="4">
        <v>3195</v>
      </c>
      <c r="BB273" s="4">
        <v>3193</v>
      </c>
      <c r="BC273" s="4">
        <v>3168</v>
      </c>
      <c r="BD273" s="4">
        <v>3240</v>
      </c>
      <c r="BE273" s="4">
        <v>3226</v>
      </c>
      <c r="BF273" s="4">
        <v>3174</v>
      </c>
      <c r="BG273" s="4">
        <v>3228</v>
      </c>
      <c r="BH273" s="4">
        <v>3228</v>
      </c>
      <c r="BI273" s="4">
        <v>3135</v>
      </c>
      <c r="BJ273" s="4">
        <v>3093</v>
      </c>
      <c r="BK273" s="4">
        <v>3112</v>
      </c>
      <c r="BL273" s="4">
        <v>3122</v>
      </c>
      <c r="BM273" s="4">
        <v>3134</v>
      </c>
      <c r="BN273" s="4">
        <v>3100</v>
      </c>
      <c r="BO273" s="4">
        <v>3111</v>
      </c>
      <c r="BP273" s="4">
        <v>3192</v>
      </c>
      <c r="BQ273" s="4">
        <v>3258</v>
      </c>
      <c r="BR273" s="4">
        <v>3190</v>
      </c>
      <c r="BS273" s="4">
        <v>3176</v>
      </c>
      <c r="BT273" s="4">
        <v>3169</v>
      </c>
      <c r="BU273" s="4">
        <v>3121</v>
      </c>
      <c r="BV273" s="4">
        <v>3170</v>
      </c>
      <c r="BW273" s="4">
        <v>3147</v>
      </c>
      <c r="BX273" s="4">
        <v>3183</v>
      </c>
      <c r="BY273" s="4">
        <v>3166</v>
      </c>
      <c r="BZ273" s="4">
        <v>3133</v>
      </c>
    </row>
    <row r="274" spans="1:254">
      <c r="A274" s="62" t="s">
        <v>487</v>
      </c>
      <c r="B274" s="4" t="str">
        <f>銘柄管理!C274</f>
        <v>東亜ディーケーケー</v>
      </c>
      <c r="C274" s="4">
        <f>_xll.RssMarket("6848","現在値")</f>
        <v>862</v>
      </c>
      <c r="D274" s="4">
        <f t="shared" ref="D274:D305" si="8">C274-E274</f>
        <v>0</v>
      </c>
      <c r="E274" s="4">
        <v>862</v>
      </c>
      <c r="F274" s="4">
        <v>859</v>
      </c>
      <c r="G274" s="4">
        <v>854</v>
      </c>
      <c r="H274" s="4">
        <v>854</v>
      </c>
      <c r="I274" s="4">
        <v>858</v>
      </c>
      <c r="J274" s="4">
        <v>854</v>
      </c>
      <c r="K274" s="4">
        <v>854</v>
      </c>
      <c r="L274" s="4">
        <v>852</v>
      </c>
      <c r="M274" s="4">
        <v>854</v>
      </c>
      <c r="O274" s="4">
        <v>851</v>
      </c>
      <c r="P274" s="4">
        <v>858</v>
      </c>
      <c r="Q274" s="4">
        <v>856</v>
      </c>
      <c r="R274" s="4">
        <v>851</v>
      </c>
      <c r="S274" s="4">
        <v>855</v>
      </c>
      <c r="T274" s="4">
        <v>854</v>
      </c>
      <c r="U274" s="4">
        <v>859</v>
      </c>
      <c r="V274" s="4">
        <v>851</v>
      </c>
      <c r="W274" s="4">
        <v>850</v>
      </c>
      <c r="X274" s="4">
        <v>854</v>
      </c>
      <c r="Y274" s="4">
        <v>860</v>
      </c>
      <c r="Z274" s="4">
        <v>866</v>
      </c>
      <c r="AA274" s="4">
        <v>864</v>
      </c>
      <c r="AB274" s="4">
        <v>851</v>
      </c>
      <c r="AC274" s="4">
        <v>854</v>
      </c>
      <c r="AD274" s="4">
        <v>873</v>
      </c>
      <c r="AE274" s="4">
        <v>859</v>
      </c>
      <c r="AF274" s="4">
        <v>858</v>
      </c>
      <c r="AG274" s="4">
        <v>856</v>
      </c>
      <c r="AH274" s="4">
        <v>857</v>
      </c>
      <c r="AI274" s="4">
        <v>864</v>
      </c>
      <c r="AJ274" s="4">
        <v>885</v>
      </c>
      <c r="AK274" s="4">
        <v>852</v>
      </c>
      <c r="AL274" s="4">
        <v>857</v>
      </c>
      <c r="AM274" s="4">
        <v>864</v>
      </c>
      <c r="AN274" s="4">
        <v>855</v>
      </c>
      <c r="AO274" s="4">
        <v>857</v>
      </c>
      <c r="AP274" s="4">
        <v>851</v>
      </c>
      <c r="AQ274" s="4">
        <v>878</v>
      </c>
      <c r="AR274" s="4">
        <v>850</v>
      </c>
      <c r="AS274" s="4">
        <v>854</v>
      </c>
      <c r="AT274" s="4">
        <v>871</v>
      </c>
      <c r="AU274" s="4">
        <v>852</v>
      </c>
      <c r="AV274" s="4">
        <v>861</v>
      </c>
      <c r="AW274" s="4">
        <v>869</v>
      </c>
      <c r="AX274" s="4">
        <v>855</v>
      </c>
      <c r="AY274" s="4">
        <v>854</v>
      </c>
      <c r="AZ274" s="4">
        <v>853</v>
      </c>
      <c r="BA274" s="4">
        <v>864</v>
      </c>
      <c r="BB274" s="4">
        <v>864</v>
      </c>
      <c r="BC274" s="4">
        <v>862</v>
      </c>
      <c r="BD274" s="4">
        <v>843</v>
      </c>
      <c r="BE274" s="4">
        <v>869</v>
      </c>
      <c r="BF274" s="4">
        <v>873</v>
      </c>
      <c r="BG274" s="4">
        <v>858</v>
      </c>
      <c r="BH274" s="4">
        <v>870</v>
      </c>
      <c r="BI274" s="4">
        <v>877</v>
      </c>
      <c r="BJ274" s="4">
        <v>869</v>
      </c>
      <c r="BK274" s="4">
        <v>869</v>
      </c>
      <c r="BL274" s="4">
        <v>872</v>
      </c>
      <c r="BM274" s="4">
        <v>870</v>
      </c>
      <c r="BN274" s="4">
        <v>862</v>
      </c>
      <c r="BO274" s="4">
        <v>871</v>
      </c>
      <c r="BP274" s="4">
        <v>876</v>
      </c>
      <c r="BQ274" s="4">
        <v>870</v>
      </c>
      <c r="BR274" s="4">
        <v>881</v>
      </c>
      <c r="BS274" s="4">
        <v>874</v>
      </c>
      <c r="BT274" s="4">
        <v>878</v>
      </c>
      <c r="BU274" s="4">
        <v>879</v>
      </c>
      <c r="BV274" s="4">
        <v>879</v>
      </c>
      <c r="BW274" s="4">
        <v>877</v>
      </c>
      <c r="BX274" s="4">
        <v>869</v>
      </c>
      <c r="BY274" s="4">
        <v>870</v>
      </c>
      <c r="BZ274" s="4">
        <v>873</v>
      </c>
    </row>
    <row r="275" spans="1:254">
      <c r="A275" s="62" t="s">
        <v>488</v>
      </c>
      <c r="B275" s="4" t="str">
        <f>銘柄管理!C275</f>
        <v>大紀アルミニウム</v>
      </c>
      <c r="C275" s="4">
        <f>_xll.RssMarket("5702","現在値")</f>
        <v>1808</v>
      </c>
      <c r="D275" s="4">
        <f t="shared" si="8"/>
        <v>0</v>
      </c>
      <c r="E275" s="4">
        <v>1808</v>
      </c>
      <c r="F275" s="4">
        <v>1765</v>
      </c>
      <c r="G275" s="4">
        <v>1527</v>
      </c>
      <c r="H275" s="4">
        <v>1531</v>
      </c>
      <c r="I275" s="4">
        <v>1481</v>
      </c>
      <c r="J275" s="4">
        <v>1448</v>
      </c>
      <c r="K275" s="4">
        <v>1453</v>
      </c>
      <c r="L275" s="4">
        <v>1455</v>
      </c>
      <c r="M275" s="4">
        <v>1498</v>
      </c>
      <c r="N275" s="4">
        <v>1482</v>
      </c>
      <c r="O275" s="4">
        <v>1512</v>
      </c>
      <c r="P275" s="4">
        <v>1486</v>
      </c>
      <c r="Q275" s="4">
        <v>1483</v>
      </c>
      <c r="R275" s="4">
        <v>1445</v>
      </c>
      <c r="S275" s="4">
        <v>1508</v>
      </c>
      <c r="T275" s="4">
        <v>1511</v>
      </c>
      <c r="U275" s="4">
        <v>1461</v>
      </c>
      <c r="V275" s="4">
        <v>1472</v>
      </c>
      <c r="W275" s="4">
        <v>1472</v>
      </c>
      <c r="X275" s="4">
        <v>1456</v>
      </c>
      <c r="Y275" s="4">
        <v>1485</v>
      </c>
      <c r="Z275" s="4">
        <v>1511</v>
      </c>
      <c r="AA275" s="4">
        <v>1514</v>
      </c>
      <c r="AB275" s="4">
        <v>1485</v>
      </c>
      <c r="AC275" s="4">
        <v>1500</v>
      </c>
      <c r="AD275" s="4">
        <v>1483</v>
      </c>
      <c r="AE275" s="4">
        <v>1494</v>
      </c>
      <c r="AF275" s="4">
        <v>1511</v>
      </c>
      <c r="AG275" s="4">
        <v>1526</v>
      </c>
      <c r="AH275" s="4">
        <v>1589</v>
      </c>
      <c r="AI275" s="4">
        <v>1600</v>
      </c>
      <c r="AJ275" s="4">
        <v>1653</v>
      </c>
      <c r="AK275" s="4">
        <v>1660</v>
      </c>
      <c r="AL275" s="4">
        <v>1702</v>
      </c>
      <c r="AM275" s="4">
        <v>1704</v>
      </c>
      <c r="AN275" s="4">
        <v>1732</v>
      </c>
      <c r="AO275" s="4">
        <v>1829</v>
      </c>
      <c r="AP275" s="4">
        <v>1825</v>
      </c>
      <c r="AQ275" s="4">
        <v>1816</v>
      </c>
      <c r="AR275" s="4">
        <v>1831</v>
      </c>
      <c r="AS275" s="4">
        <v>1858</v>
      </c>
      <c r="AT275" s="4">
        <v>1931</v>
      </c>
      <c r="AU275" s="4">
        <v>1905</v>
      </c>
      <c r="AV275" s="4">
        <v>2007</v>
      </c>
      <c r="AW275" s="4">
        <v>1956</v>
      </c>
      <c r="AX275" s="4">
        <v>1923</v>
      </c>
      <c r="AY275" s="4">
        <v>1966</v>
      </c>
      <c r="AZ275" s="4">
        <v>1973</v>
      </c>
      <c r="BA275" s="4">
        <v>1967</v>
      </c>
      <c r="BB275" s="4">
        <v>1906</v>
      </c>
      <c r="BC275" s="4">
        <v>1857</v>
      </c>
      <c r="BD275" s="4">
        <v>1797</v>
      </c>
      <c r="BE275" s="4">
        <v>1828</v>
      </c>
      <c r="BF275" s="4">
        <v>1796</v>
      </c>
      <c r="BG275" s="4">
        <v>1848</v>
      </c>
      <c r="BH275" s="4">
        <v>1787</v>
      </c>
      <c r="BI275" s="4">
        <v>1603</v>
      </c>
      <c r="BJ275" s="4">
        <v>1587</v>
      </c>
      <c r="BK275" s="4">
        <v>1596</v>
      </c>
      <c r="BL275" s="4">
        <v>1613</v>
      </c>
      <c r="BM275" s="4">
        <v>1543</v>
      </c>
      <c r="BN275" s="4">
        <v>1496</v>
      </c>
      <c r="BO275" s="4">
        <v>1465</v>
      </c>
      <c r="BP275" s="4">
        <v>1491</v>
      </c>
      <c r="BQ275" s="4">
        <v>1459</v>
      </c>
      <c r="BR275" s="4">
        <v>1447</v>
      </c>
      <c r="BS275" s="4">
        <v>1462</v>
      </c>
      <c r="BT275" s="4">
        <v>1476</v>
      </c>
      <c r="BU275" s="4">
        <v>1495</v>
      </c>
      <c r="BV275" s="4">
        <v>1474</v>
      </c>
      <c r="BW275" s="4">
        <v>1521</v>
      </c>
      <c r="BX275" s="4">
        <v>1556</v>
      </c>
      <c r="BY275" s="4">
        <v>1559</v>
      </c>
      <c r="BZ275" s="4">
        <v>1595</v>
      </c>
    </row>
    <row r="276" spans="1:254">
      <c r="A276" s="62" t="s">
        <v>489</v>
      </c>
      <c r="B276" s="4" t="str">
        <f>銘柄管理!C276</f>
        <v>河合楽器</v>
      </c>
      <c r="C276" s="4">
        <f>_xll.RssMarket("7952","現在値")</f>
        <v>3530</v>
      </c>
      <c r="D276" s="4">
        <f t="shared" si="8"/>
        <v>0</v>
      </c>
      <c r="E276" s="4">
        <v>3530</v>
      </c>
      <c r="F276" s="4">
        <v>3515</v>
      </c>
      <c r="G276" s="4">
        <v>3565</v>
      </c>
      <c r="H276" s="4">
        <v>3545</v>
      </c>
      <c r="I276" s="4">
        <v>3480</v>
      </c>
      <c r="J276" s="4">
        <v>3390</v>
      </c>
      <c r="K276" s="4">
        <v>3365</v>
      </c>
      <c r="L276" s="4">
        <v>3200</v>
      </c>
      <c r="M276" s="4">
        <v>3285</v>
      </c>
      <c r="N276" s="4">
        <v>3265</v>
      </c>
      <c r="O276" s="4">
        <v>3300</v>
      </c>
      <c r="P276" s="4">
        <v>3280</v>
      </c>
      <c r="Q276" s="4">
        <v>3300</v>
      </c>
      <c r="R276" s="4">
        <v>3205</v>
      </c>
      <c r="S276" s="4">
        <v>3195</v>
      </c>
      <c r="T276" s="4">
        <v>3200</v>
      </c>
      <c r="U276" s="4">
        <v>3170</v>
      </c>
      <c r="V276" s="4">
        <v>3205</v>
      </c>
      <c r="W276" s="4">
        <v>3210</v>
      </c>
      <c r="X276" s="4">
        <v>3215</v>
      </c>
      <c r="Y276" s="4">
        <v>3285</v>
      </c>
      <c r="Z276" s="4">
        <v>3300</v>
      </c>
      <c r="AA276" s="4">
        <v>3265</v>
      </c>
      <c r="AB276" s="4">
        <v>3215</v>
      </c>
      <c r="AC276" s="4">
        <v>3170</v>
      </c>
      <c r="AD276" s="4">
        <v>3215</v>
      </c>
      <c r="AE276" s="4">
        <v>3210</v>
      </c>
      <c r="AF276" s="4">
        <v>3320</v>
      </c>
      <c r="AG276" s="4">
        <v>3350</v>
      </c>
      <c r="AH276" s="4">
        <v>3265</v>
      </c>
      <c r="AI276" s="4">
        <v>3275</v>
      </c>
      <c r="AJ276" s="4">
        <v>3340</v>
      </c>
      <c r="AK276" s="4">
        <v>3295</v>
      </c>
      <c r="AL276" s="4">
        <v>3275</v>
      </c>
      <c r="AM276" s="4">
        <v>3245</v>
      </c>
      <c r="AN276" s="4">
        <v>3250</v>
      </c>
      <c r="AO276" s="4">
        <v>3150</v>
      </c>
      <c r="AP276" s="4">
        <v>3020</v>
      </c>
      <c r="AQ276" s="4">
        <v>3010</v>
      </c>
      <c r="AR276" s="4">
        <v>3095</v>
      </c>
      <c r="AS276" s="4">
        <v>3145</v>
      </c>
      <c r="AT276" s="4">
        <v>3140</v>
      </c>
      <c r="AU276" s="4">
        <v>3195</v>
      </c>
      <c r="AV276" s="4">
        <v>3215</v>
      </c>
      <c r="AW276" s="4">
        <v>3135</v>
      </c>
      <c r="AX276" s="4">
        <v>3300</v>
      </c>
      <c r="AY276" s="4">
        <v>3210</v>
      </c>
      <c r="AZ276" s="4">
        <v>3055</v>
      </c>
      <c r="BA276" s="4">
        <v>3035</v>
      </c>
      <c r="BB276" s="4">
        <v>2950</v>
      </c>
      <c r="BC276" s="4">
        <v>2961</v>
      </c>
      <c r="BD276" s="4">
        <v>2930</v>
      </c>
      <c r="BE276" s="4">
        <v>3100</v>
      </c>
      <c r="BF276" s="4">
        <v>3080</v>
      </c>
      <c r="BG276" s="4">
        <v>3120</v>
      </c>
      <c r="BH276" s="4">
        <v>3005</v>
      </c>
      <c r="BI276" s="4">
        <v>2981</v>
      </c>
      <c r="BJ276" s="4">
        <v>2937</v>
      </c>
      <c r="BK276" s="4">
        <v>2812</v>
      </c>
      <c r="BL276" s="4">
        <v>2740</v>
      </c>
      <c r="BM276" s="4">
        <v>2825</v>
      </c>
      <c r="BN276" s="4">
        <v>2769</v>
      </c>
      <c r="BO276" s="4">
        <v>2745</v>
      </c>
      <c r="BP276" s="4">
        <v>2839</v>
      </c>
      <c r="BQ276" s="4">
        <v>2829</v>
      </c>
      <c r="BR276" s="4">
        <v>2786</v>
      </c>
      <c r="BS276" s="4">
        <v>2868</v>
      </c>
      <c r="BT276" s="4">
        <v>3025</v>
      </c>
      <c r="BU276" s="4">
        <v>3065</v>
      </c>
      <c r="BV276" s="4">
        <v>3050</v>
      </c>
      <c r="BW276" s="4">
        <v>3050</v>
      </c>
      <c r="BX276" s="4">
        <v>3135</v>
      </c>
      <c r="BY276" s="4">
        <v>3070</v>
      </c>
      <c r="BZ276" s="4">
        <v>3020</v>
      </c>
    </row>
    <row r="277" spans="1:254">
      <c r="A277" s="62" t="s">
        <v>490</v>
      </c>
      <c r="B277" s="4" t="str">
        <f>銘柄管理!C277</f>
        <v>グンゼ</v>
      </c>
      <c r="C277" s="4">
        <f>_xll.RssMarket("3002","現在値")</f>
        <v>4170</v>
      </c>
      <c r="D277" s="4">
        <f t="shared" si="8"/>
        <v>0</v>
      </c>
      <c r="E277" s="4">
        <v>4170</v>
      </c>
      <c r="F277" s="4">
        <v>4080</v>
      </c>
      <c r="G277" s="4">
        <v>4000</v>
      </c>
      <c r="H277" s="4">
        <v>3990</v>
      </c>
      <c r="I277" s="4">
        <v>4020</v>
      </c>
      <c r="J277" s="4">
        <v>4070</v>
      </c>
      <c r="K277" s="4">
        <v>4060</v>
      </c>
      <c r="L277" s="4">
        <v>4065</v>
      </c>
      <c r="M277" s="4">
        <v>4065</v>
      </c>
      <c r="O277" s="4">
        <v>3960</v>
      </c>
      <c r="P277" s="4">
        <v>3980</v>
      </c>
      <c r="Q277" s="4">
        <v>3975</v>
      </c>
      <c r="R277" s="4">
        <v>3935</v>
      </c>
      <c r="S277" s="4">
        <v>3995</v>
      </c>
      <c r="T277" s="4">
        <v>3980</v>
      </c>
      <c r="U277" s="4">
        <v>3970</v>
      </c>
      <c r="V277" s="4">
        <v>3980</v>
      </c>
      <c r="W277" s="4">
        <v>4035</v>
      </c>
      <c r="X277" s="4">
        <v>4020</v>
      </c>
      <c r="Y277" s="4">
        <v>4040</v>
      </c>
      <c r="Z277" s="4">
        <v>4040</v>
      </c>
      <c r="AA277" s="4">
        <v>4000</v>
      </c>
      <c r="AB277" s="4">
        <v>3935</v>
      </c>
      <c r="AC277" s="4">
        <v>3855</v>
      </c>
      <c r="AD277" s="4">
        <v>3865</v>
      </c>
      <c r="AE277" s="4">
        <v>3865</v>
      </c>
      <c r="AF277" s="4">
        <v>3845</v>
      </c>
      <c r="AG277" s="4">
        <v>3870</v>
      </c>
      <c r="AH277" s="4">
        <v>3800</v>
      </c>
      <c r="AI277" s="4">
        <v>3820</v>
      </c>
      <c r="AJ277" s="4">
        <v>3850</v>
      </c>
      <c r="AK277" s="4">
        <v>3810</v>
      </c>
      <c r="AL277" s="4">
        <v>3845</v>
      </c>
      <c r="AM277" s="4">
        <v>3820</v>
      </c>
      <c r="AN277" s="4">
        <v>3815</v>
      </c>
      <c r="AO277" s="4">
        <v>3815</v>
      </c>
      <c r="AP277" s="4">
        <v>3845</v>
      </c>
      <c r="AQ277" s="4">
        <v>3725</v>
      </c>
      <c r="AR277" s="4">
        <v>3740</v>
      </c>
      <c r="AS277" s="4">
        <v>3665</v>
      </c>
      <c r="AT277" s="4">
        <v>3715</v>
      </c>
      <c r="AU277" s="4">
        <v>3680</v>
      </c>
      <c r="AV277" s="4">
        <v>3700</v>
      </c>
      <c r="AW277" s="4">
        <v>3660</v>
      </c>
      <c r="AX277" s="4">
        <v>3725</v>
      </c>
      <c r="AY277" s="4">
        <v>3700</v>
      </c>
      <c r="AZ277" s="4">
        <v>3725</v>
      </c>
      <c r="BA277" s="4">
        <v>3660</v>
      </c>
      <c r="BB277" s="4">
        <v>3655</v>
      </c>
      <c r="BC277" s="4">
        <v>3695</v>
      </c>
      <c r="BD277" s="4">
        <v>3650</v>
      </c>
      <c r="BE277" s="4">
        <v>3725</v>
      </c>
      <c r="BF277" s="4">
        <v>3715</v>
      </c>
      <c r="BG277" s="4">
        <v>3735</v>
      </c>
      <c r="BH277" s="4">
        <v>3815</v>
      </c>
      <c r="BI277" s="4">
        <v>3585</v>
      </c>
      <c r="BJ277" s="4">
        <v>3595</v>
      </c>
      <c r="BK277" s="4">
        <v>3620</v>
      </c>
      <c r="BL277" s="4">
        <v>3620</v>
      </c>
      <c r="BM277" s="4">
        <v>3640</v>
      </c>
      <c r="BN277" s="4">
        <v>3595</v>
      </c>
      <c r="BO277" s="4">
        <v>3610</v>
      </c>
      <c r="BP277" s="4">
        <v>3710</v>
      </c>
      <c r="BQ277" s="4">
        <v>3660</v>
      </c>
      <c r="BR277" s="4">
        <v>3670</v>
      </c>
      <c r="BS277" s="4">
        <v>3700</v>
      </c>
      <c r="BT277" s="4">
        <v>3750</v>
      </c>
      <c r="BU277" s="4">
        <v>3840</v>
      </c>
      <c r="BV277" s="4">
        <v>3945</v>
      </c>
      <c r="BW277" s="4">
        <v>3910</v>
      </c>
      <c r="BX277" s="4">
        <v>3925</v>
      </c>
      <c r="BY277" s="4">
        <v>3860</v>
      </c>
      <c r="BZ277" s="4">
        <v>3890</v>
      </c>
    </row>
    <row r="278" spans="1:254">
      <c r="A278" s="62" t="s">
        <v>491</v>
      </c>
      <c r="B278" s="4" t="str">
        <f>銘柄管理!C278</f>
        <v>ゴールドクレスト</v>
      </c>
      <c r="C278" s="4">
        <f>_xll.RssMarket("8871","現在値")</f>
        <v>3235</v>
      </c>
      <c r="D278" s="4">
        <f t="shared" si="8"/>
        <v>0</v>
      </c>
      <c r="E278" s="4">
        <v>3235</v>
      </c>
      <c r="F278" s="4">
        <v>3240</v>
      </c>
      <c r="G278" s="4">
        <v>3200</v>
      </c>
      <c r="H278" s="4">
        <v>3255</v>
      </c>
      <c r="I278" s="4">
        <v>3245</v>
      </c>
      <c r="J278" s="4">
        <v>3325</v>
      </c>
      <c r="K278" s="4">
        <v>3400</v>
      </c>
      <c r="L278" s="4">
        <v>3360</v>
      </c>
      <c r="M278" s="4">
        <v>3375</v>
      </c>
      <c r="O278" s="4">
        <v>3355</v>
      </c>
      <c r="P278" s="4">
        <v>3365</v>
      </c>
      <c r="Q278" s="4">
        <v>3365</v>
      </c>
      <c r="R278" s="4">
        <v>3300</v>
      </c>
      <c r="S278" s="4">
        <v>3380</v>
      </c>
      <c r="T278" s="4">
        <v>3360</v>
      </c>
      <c r="U278" s="4">
        <v>3330</v>
      </c>
      <c r="V278" s="4">
        <v>3345</v>
      </c>
      <c r="W278" s="4">
        <v>3365</v>
      </c>
      <c r="X278" s="4">
        <v>3390</v>
      </c>
      <c r="Y278" s="4">
        <v>3355</v>
      </c>
      <c r="Z278" s="4">
        <v>3330</v>
      </c>
      <c r="AA278" s="4">
        <v>3280</v>
      </c>
      <c r="AB278" s="4">
        <v>3280</v>
      </c>
      <c r="AC278" s="4">
        <v>3250</v>
      </c>
      <c r="AD278" s="4">
        <v>3255</v>
      </c>
      <c r="AE278" s="4">
        <v>3325</v>
      </c>
      <c r="AF278" s="4">
        <v>3270</v>
      </c>
      <c r="AG278" s="4">
        <v>3215</v>
      </c>
      <c r="AH278" s="4">
        <v>3225</v>
      </c>
      <c r="AI278" s="4">
        <v>3230</v>
      </c>
      <c r="AJ278" s="4">
        <v>3230</v>
      </c>
      <c r="AK278" s="4">
        <v>3290</v>
      </c>
      <c r="AL278" s="4">
        <v>3230</v>
      </c>
      <c r="AM278" s="4">
        <v>3245</v>
      </c>
      <c r="AN278" s="4">
        <v>3305</v>
      </c>
      <c r="AO278" s="4">
        <v>3340</v>
      </c>
      <c r="AP278" s="4">
        <v>3355</v>
      </c>
      <c r="AQ278" s="4">
        <v>3325</v>
      </c>
      <c r="AR278" s="4">
        <v>3330</v>
      </c>
      <c r="AS278" s="4">
        <v>3265</v>
      </c>
      <c r="AT278" s="4">
        <v>3265</v>
      </c>
      <c r="AU278" s="4">
        <v>3220</v>
      </c>
      <c r="AV278" s="4">
        <v>3305</v>
      </c>
      <c r="AW278" s="4">
        <v>3415</v>
      </c>
      <c r="AX278" s="4">
        <v>3575</v>
      </c>
      <c r="AY278" s="4">
        <v>3570</v>
      </c>
      <c r="AZ278" s="4">
        <v>3540</v>
      </c>
      <c r="BA278" s="4">
        <v>3500</v>
      </c>
      <c r="BB278" s="4">
        <v>3520</v>
      </c>
      <c r="BC278" s="4">
        <v>3585</v>
      </c>
      <c r="BD278" s="4">
        <v>3560</v>
      </c>
      <c r="BE278" s="4">
        <v>3660</v>
      </c>
      <c r="BF278" s="4">
        <v>3700</v>
      </c>
      <c r="BG278" s="4">
        <v>3650</v>
      </c>
      <c r="BH278" s="4">
        <v>3290</v>
      </c>
      <c r="BI278" s="4">
        <v>3305</v>
      </c>
      <c r="BJ278" s="4">
        <v>3345</v>
      </c>
      <c r="BK278" s="4">
        <v>3320</v>
      </c>
      <c r="BL278" s="4">
        <v>3320</v>
      </c>
      <c r="BM278" s="4">
        <v>3330</v>
      </c>
      <c r="BN278" s="4">
        <v>3325</v>
      </c>
      <c r="BO278" s="4">
        <v>3340</v>
      </c>
      <c r="BP278" s="4">
        <v>3355</v>
      </c>
      <c r="BQ278" s="4">
        <v>3335</v>
      </c>
      <c r="BR278" s="4">
        <v>3310</v>
      </c>
      <c r="BS278" s="4">
        <v>3320</v>
      </c>
      <c r="BT278" s="4">
        <v>3310</v>
      </c>
      <c r="BU278" s="4">
        <v>3405</v>
      </c>
      <c r="BV278" s="4">
        <v>3420</v>
      </c>
      <c r="BW278" s="4">
        <v>3420</v>
      </c>
      <c r="BX278" s="4">
        <v>3465</v>
      </c>
      <c r="BY278" s="4">
        <v>3480</v>
      </c>
      <c r="BZ278" s="4">
        <v>3465</v>
      </c>
    </row>
    <row r="279" spans="1:254">
      <c r="A279" s="62" t="s">
        <v>492</v>
      </c>
      <c r="B279" s="4" t="str">
        <f>銘柄管理!C279</f>
        <v>アバールデータ</v>
      </c>
      <c r="C279" s="4">
        <f>_xll.RssMarket("6918","現在値")</f>
        <v>3315</v>
      </c>
      <c r="D279" s="4">
        <f t="shared" si="8"/>
        <v>0</v>
      </c>
      <c r="E279" s="4">
        <v>3315</v>
      </c>
      <c r="F279" s="4">
        <v>3345</v>
      </c>
      <c r="G279" s="4">
        <v>3210</v>
      </c>
      <c r="H279" s="4">
        <v>3095</v>
      </c>
      <c r="I279" s="4">
        <v>3120</v>
      </c>
      <c r="J279" s="4">
        <v>2949</v>
      </c>
      <c r="K279" s="4">
        <v>2916</v>
      </c>
      <c r="L279" s="4">
        <v>3100</v>
      </c>
      <c r="M279" s="4">
        <v>3180</v>
      </c>
      <c r="O279" s="4">
        <v>3275</v>
      </c>
      <c r="P279" s="4">
        <v>3260</v>
      </c>
      <c r="Q279" s="4">
        <v>3200</v>
      </c>
      <c r="R279" s="4">
        <v>3025</v>
      </c>
      <c r="S279" s="4">
        <v>3330</v>
      </c>
      <c r="T279" s="4">
        <v>3240</v>
      </c>
      <c r="U279" s="4">
        <v>3230</v>
      </c>
      <c r="V279" s="4">
        <v>3280</v>
      </c>
      <c r="W279" s="4">
        <v>3190</v>
      </c>
      <c r="X279" s="4">
        <v>3120</v>
      </c>
      <c r="Y279" s="4">
        <v>3230</v>
      </c>
      <c r="Z279" s="4">
        <v>3355</v>
      </c>
      <c r="AA279" s="4">
        <v>3375</v>
      </c>
      <c r="AB279" s="4">
        <v>3350</v>
      </c>
      <c r="AC279" s="4">
        <v>3380</v>
      </c>
      <c r="AD279" s="4">
        <v>3300</v>
      </c>
      <c r="AE279" s="4">
        <v>3265</v>
      </c>
      <c r="AF279" s="4">
        <v>3270</v>
      </c>
      <c r="AG279" s="4">
        <v>3410</v>
      </c>
      <c r="AH279" s="4">
        <v>3340</v>
      </c>
      <c r="AI279" s="4">
        <v>3390</v>
      </c>
      <c r="AJ279" s="4">
        <v>3540</v>
      </c>
      <c r="AK279" s="4">
        <v>3365</v>
      </c>
      <c r="AL279" s="4">
        <v>3450</v>
      </c>
      <c r="AM279" s="4">
        <v>3335</v>
      </c>
      <c r="AN279" s="4">
        <v>3270</v>
      </c>
      <c r="AO279" s="4">
        <v>3200</v>
      </c>
      <c r="AP279" s="4">
        <v>3055</v>
      </c>
      <c r="AQ279" s="4">
        <v>2975</v>
      </c>
      <c r="AR279" s="4">
        <v>2900</v>
      </c>
      <c r="AS279" s="4">
        <v>3060</v>
      </c>
      <c r="AT279" s="4">
        <v>3255</v>
      </c>
      <c r="AU279" s="4">
        <v>3285</v>
      </c>
      <c r="AV279" s="4">
        <v>3305</v>
      </c>
      <c r="AW279" s="4">
        <v>3415</v>
      </c>
      <c r="AX279" s="4">
        <v>3525</v>
      </c>
      <c r="AY279" s="4">
        <v>3490</v>
      </c>
      <c r="AZ279" s="4">
        <v>3315</v>
      </c>
      <c r="BA279" s="4">
        <v>3470</v>
      </c>
      <c r="BB279" s="4">
        <v>3400</v>
      </c>
      <c r="BC279" s="4">
        <v>3435</v>
      </c>
      <c r="BD279" s="4">
        <v>3310</v>
      </c>
      <c r="BE279" s="4">
        <v>3570</v>
      </c>
      <c r="BF279" s="4">
        <v>3760</v>
      </c>
      <c r="BG279" s="4">
        <v>3520</v>
      </c>
      <c r="BH279" s="4">
        <v>3535</v>
      </c>
      <c r="BI279" s="4">
        <v>3645</v>
      </c>
      <c r="BJ279" s="4">
        <v>3670</v>
      </c>
      <c r="BK279" s="4">
        <v>3685</v>
      </c>
      <c r="BL279" s="4">
        <v>3325</v>
      </c>
      <c r="BM279" s="4">
        <v>3295</v>
      </c>
      <c r="BN279" s="4">
        <v>3105</v>
      </c>
      <c r="BO279" s="4">
        <v>2933</v>
      </c>
      <c r="BP279" s="4">
        <v>2899</v>
      </c>
      <c r="BQ279" s="4">
        <v>2969</v>
      </c>
      <c r="BR279" s="4">
        <v>3030</v>
      </c>
      <c r="BS279" s="4">
        <v>3005</v>
      </c>
      <c r="BT279" s="4">
        <v>3060</v>
      </c>
      <c r="BU279" s="4">
        <v>3055</v>
      </c>
      <c r="BV279" s="4">
        <v>2957</v>
      </c>
      <c r="BW279" s="4">
        <v>2801</v>
      </c>
      <c r="BX279" s="4">
        <v>2854</v>
      </c>
      <c r="BY279" s="4">
        <v>2834</v>
      </c>
      <c r="BZ279" s="4">
        <v>2852</v>
      </c>
    </row>
    <row r="280" spans="1:254">
      <c r="A280" s="62" t="s">
        <v>493</v>
      </c>
      <c r="B280" s="4" t="str">
        <f>銘柄管理!C280</f>
        <v>ヨシタケ</v>
      </c>
      <c r="C280" s="4">
        <f>_xll.RssMarket("6488","現在値")</f>
        <v>985</v>
      </c>
      <c r="D280" s="4">
        <f t="shared" si="8"/>
        <v>0</v>
      </c>
      <c r="E280" s="4">
        <v>985</v>
      </c>
      <c r="F280" s="4">
        <v>990</v>
      </c>
      <c r="G280" s="4">
        <v>990</v>
      </c>
      <c r="H280" s="4">
        <v>983</v>
      </c>
      <c r="I280" s="4">
        <v>980</v>
      </c>
      <c r="J280" s="4">
        <v>990</v>
      </c>
      <c r="K280" s="4">
        <v>986</v>
      </c>
      <c r="L280" s="4">
        <v>980</v>
      </c>
      <c r="M280" s="4">
        <v>980</v>
      </c>
      <c r="N280" s="4">
        <v>984</v>
      </c>
      <c r="O280" s="4">
        <v>977</v>
      </c>
      <c r="P280" s="4">
        <v>984</v>
      </c>
      <c r="Q280" s="4">
        <v>979</v>
      </c>
      <c r="R280" s="4">
        <v>971</v>
      </c>
      <c r="S280" s="4">
        <v>978</v>
      </c>
      <c r="T280" s="4">
        <v>979</v>
      </c>
      <c r="U280" s="4">
        <v>976</v>
      </c>
      <c r="V280" s="4">
        <v>966</v>
      </c>
      <c r="W280" s="4">
        <v>963</v>
      </c>
      <c r="X280" s="4">
        <v>960</v>
      </c>
      <c r="Y280" s="4">
        <v>961</v>
      </c>
      <c r="Z280" s="4">
        <v>966</v>
      </c>
      <c r="AA280" s="4">
        <v>965</v>
      </c>
      <c r="AB280" s="4">
        <v>968</v>
      </c>
      <c r="AC280" s="4">
        <v>939</v>
      </c>
      <c r="AD280" s="4">
        <v>940</v>
      </c>
      <c r="AE280" s="4">
        <v>939</v>
      </c>
      <c r="AF280" s="4">
        <v>934</v>
      </c>
      <c r="AG280" s="4">
        <v>935</v>
      </c>
      <c r="AH280" s="4">
        <v>937</v>
      </c>
      <c r="AI280" s="4">
        <v>942</v>
      </c>
      <c r="AJ280" s="4">
        <v>942</v>
      </c>
      <c r="AK280" s="4">
        <v>935</v>
      </c>
      <c r="AL280" s="4">
        <v>923</v>
      </c>
      <c r="AM280" s="4">
        <v>924</v>
      </c>
      <c r="AN280" s="4">
        <v>918</v>
      </c>
      <c r="AO280" s="4">
        <v>920</v>
      </c>
      <c r="AP280" s="4">
        <v>913</v>
      </c>
      <c r="AQ280" s="4">
        <v>915</v>
      </c>
      <c r="AR280" s="4">
        <v>921</v>
      </c>
      <c r="AS280" s="4">
        <v>933</v>
      </c>
      <c r="AT280" s="4">
        <v>936</v>
      </c>
      <c r="AU280" s="4">
        <v>934</v>
      </c>
      <c r="AV280" s="4">
        <v>931</v>
      </c>
      <c r="AW280" s="4">
        <v>931</v>
      </c>
      <c r="AX280" s="4">
        <v>932</v>
      </c>
      <c r="AY280" s="4">
        <v>926</v>
      </c>
      <c r="AZ280" s="4">
        <v>932</v>
      </c>
      <c r="BA280" s="4">
        <v>950</v>
      </c>
      <c r="BB280" s="4">
        <v>951</v>
      </c>
      <c r="BC280" s="4">
        <v>961</v>
      </c>
      <c r="BD280" s="4">
        <v>953</v>
      </c>
      <c r="BE280" s="4">
        <v>972</v>
      </c>
      <c r="BF280" s="4">
        <v>955</v>
      </c>
      <c r="BG280" s="4">
        <v>958</v>
      </c>
      <c r="BH280" s="4">
        <v>980</v>
      </c>
      <c r="BI280" s="4">
        <v>933</v>
      </c>
      <c r="BJ280" s="4">
        <v>932</v>
      </c>
      <c r="BK280" s="4">
        <v>937</v>
      </c>
      <c r="BL280" s="4">
        <v>936</v>
      </c>
      <c r="BM280" s="4">
        <v>935</v>
      </c>
      <c r="BN280" s="4">
        <v>935</v>
      </c>
      <c r="BO280" s="4">
        <v>943</v>
      </c>
      <c r="BP280" s="4">
        <v>944</v>
      </c>
      <c r="BQ280" s="4">
        <v>937</v>
      </c>
      <c r="BR280" s="4">
        <v>934</v>
      </c>
      <c r="BS280" s="4">
        <v>934</v>
      </c>
      <c r="BT280" s="4">
        <v>934</v>
      </c>
      <c r="BU280" s="4">
        <v>940</v>
      </c>
      <c r="BV280" s="4">
        <v>953</v>
      </c>
      <c r="BW280" s="4">
        <v>956</v>
      </c>
      <c r="BX280" s="4">
        <v>952</v>
      </c>
      <c r="BY280" s="4">
        <v>940</v>
      </c>
      <c r="BZ280" s="4">
        <v>940</v>
      </c>
    </row>
    <row r="281" spans="1:254">
      <c r="A281" s="62" t="s">
        <v>494</v>
      </c>
      <c r="B281" s="4" t="str">
        <f>銘柄管理!C281</f>
        <v>高島</v>
      </c>
      <c r="C281" s="4">
        <f>_xll.RssMarket("8007","現在値")</f>
        <v>785</v>
      </c>
      <c r="D281" s="4">
        <f t="shared" si="8"/>
        <v>0</v>
      </c>
      <c r="E281" s="4">
        <v>785</v>
      </c>
      <c r="F281" s="4">
        <v>796</v>
      </c>
      <c r="G281" s="4">
        <v>793</v>
      </c>
      <c r="H281" s="4">
        <v>797</v>
      </c>
      <c r="I281" s="4">
        <v>812</v>
      </c>
      <c r="J281" s="4">
        <v>814</v>
      </c>
      <c r="K281" s="4">
        <v>811</v>
      </c>
      <c r="L281" s="4">
        <v>805</v>
      </c>
      <c r="M281" s="4">
        <v>804</v>
      </c>
      <c r="N281" s="4">
        <v>795</v>
      </c>
      <c r="O281" s="4">
        <v>798</v>
      </c>
      <c r="P281" s="4">
        <v>792</v>
      </c>
      <c r="Q281" s="4">
        <v>785</v>
      </c>
      <c r="R281" s="4">
        <v>778</v>
      </c>
      <c r="S281" s="4">
        <v>790</v>
      </c>
      <c r="T281" s="4">
        <v>782</v>
      </c>
      <c r="U281" s="4">
        <v>776</v>
      </c>
      <c r="V281" s="4">
        <v>780</v>
      </c>
      <c r="W281" s="4">
        <v>772</v>
      </c>
      <c r="X281" s="4">
        <v>770</v>
      </c>
      <c r="Y281" s="4">
        <v>770</v>
      </c>
      <c r="Z281" s="4">
        <v>771</v>
      </c>
      <c r="AA281" s="4">
        <v>764</v>
      </c>
      <c r="AB281" s="4">
        <v>755</v>
      </c>
      <c r="AC281" s="4">
        <v>754</v>
      </c>
      <c r="AD281" s="4">
        <v>765</v>
      </c>
      <c r="AE281" s="4">
        <v>758</v>
      </c>
      <c r="AF281" s="4">
        <v>751</v>
      </c>
      <c r="AG281" s="4">
        <v>745</v>
      </c>
      <c r="AH281" s="4">
        <v>742</v>
      </c>
      <c r="AI281" s="4">
        <v>738</v>
      </c>
      <c r="AJ281" s="4">
        <v>748</v>
      </c>
      <c r="AK281" s="4">
        <v>741</v>
      </c>
      <c r="AL281" s="4">
        <v>747</v>
      </c>
      <c r="AM281" s="4">
        <v>749</v>
      </c>
      <c r="AN281" s="4">
        <v>746</v>
      </c>
      <c r="AO281" s="4">
        <v>763</v>
      </c>
      <c r="AP281" s="4">
        <v>740</v>
      </c>
      <c r="AQ281" s="4">
        <v>736</v>
      </c>
      <c r="AR281" s="4">
        <v>741</v>
      </c>
      <c r="AS281" s="4">
        <v>740</v>
      </c>
      <c r="AT281" s="4">
        <v>736</v>
      </c>
      <c r="AU281" s="4">
        <v>729</v>
      </c>
      <c r="AV281" s="4">
        <v>731</v>
      </c>
      <c r="AW281" s="4">
        <v>725</v>
      </c>
      <c r="AX281" s="4">
        <v>766</v>
      </c>
      <c r="AY281" s="4">
        <v>763</v>
      </c>
      <c r="AZ281" s="4">
        <v>753</v>
      </c>
      <c r="BA281" s="4">
        <v>745</v>
      </c>
      <c r="BB281" s="4">
        <v>736</v>
      </c>
      <c r="BC281" s="4">
        <v>741</v>
      </c>
      <c r="BD281" s="4">
        <v>728</v>
      </c>
      <c r="BE281" s="4">
        <v>744</v>
      </c>
      <c r="BF281" s="4">
        <v>754</v>
      </c>
      <c r="BG281" s="4">
        <v>764</v>
      </c>
      <c r="BH281" s="4">
        <v>773</v>
      </c>
      <c r="BI281" s="4">
        <v>689</v>
      </c>
      <c r="BJ281" s="4">
        <v>768</v>
      </c>
      <c r="BK281" s="4">
        <v>769</v>
      </c>
      <c r="BL281" s="4">
        <v>782</v>
      </c>
      <c r="BM281" s="4">
        <v>793</v>
      </c>
      <c r="BN281" s="4">
        <v>794</v>
      </c>
      <c r="BO281" s="4">
        <v>784</v>
      </c>
      <c r="BP281" s="4">
        <v>798</v>
      </c>
      <c r="BQ281" s="4">
        <v>772</v>
      </c>
      <c r="BR281" s="4">
        <v>768</v>
      </c>
      <c r="BS281" s="4">
        <v>775</v>
      </c>
      <c r="BT281" s="4">
        <v>776</v>
      </c>
      <c r="BU281" s="4">
        <v>786</v>
      </c>
      <c r="BV281" s="4">
        <v>794</v>
      </c>
      <c r="BW281" s="4">
        <v>806</v>
      </c>
      <c r="BX281" s="4">
        <v>812</v>
      </c>
      <c r="BY281" s="4">
        <v>810</v>
      </c>
      <c r="BZ281" s="4">
        <v>810</v>
      </c>
    </row>
    <row r="282" spans="1:254">
      <c r="A282" s="62" t="s">
        <v>495</v>
      </c>
      <c r="B282" s="4" t="str">
        <f>銘柄管理!C282</f>
        <v>ニチバン</v>
      </c>
      <c r="C282" s="4">
        <f>_xll.RssMarket("4218","現在値")</f>
        <v>1962</v>
      </c>
      <c r="D282" s="4">
        <f t="shared" si="8"/>
        <v>0</v>
      </c>
      <c r="E282" s="4">
        <v>1962</v>
      </c>
      <c r="F282" s="4">
        <v>1942</v>
      </c>
      <c r="G282" s="4">
        <v>1941</v>
      </c>
      <c r="H282" s="4">
        <v>1928</v>
      </c>
      <c r="I282" s="4">
        <v>1947</v>
      </c>
      <c r="J282" s="4">
        <v>1961</v>
      </c>
      <c r="K282" s="4">
        <v>1974</v>
      </c>
      <c r="L282" s="4">
        <v>1942</v>
      </c>
      <c r="M282" s="4">
        <v>1932</v>
      </c>
      <c r="N282" s="4">
        <v>1910</v>
      </c>
      <c r="O282" s="4">
        <v>1910</v>
      </c>
      <c r="P282" s="4">
        <v>1913</v>
      </c>
      <c r="Q282" s="4">
        <v>1913</v>
      </c>
      <c r="R282" s="4">
        <v>1934</v>
      </c>
      <c r="S282" s="4">
        <v>1912</v>
      </c>
      <c r="T282" s="4">
        <v>1912</v>
      </c>
      <c r="U282" s="4">
        <v>1894</v>
      </c>
      <c r="V282" s="4">
        <v>1897</v>
      </c>
      <c r="W282" s="4">
        <v>1906</v>
      </c>
      <c r="X282" s="4">
        <v>1913</v>
      </c>
      <c r="Y282" s="4">
        <v>1903</v>
      </c>
      <c r="Z282" s="4">
        <v>1886</v>
      </c>
      <c r="AA282" s="4">
        <v>1895</v>
      </c>
      <c r="AB282" s="4">
        <v>1895</v>
      </c>
      <c r="AC282" s="4">
        <v>1875</v>
      </c>
      <c r="AD282" s="4">
        <v>1873</v>
      </c>
      <c r="AE282" s="4">
        <v>1894</v>
      </c>
      <c r="AF282" s="4">
        <v>1867</v>
      </c>
      <c r="AG282" s="4">
        <v>1849</v>
      </c>
      <c r="AH282" s="4">
        <v>1844</v>
      </c>
      <c r="AI282" s="4">
        <v>1842</v>
      </c>
      <c r="AJ282" s="4">
        <v>1828</v>
      </c>
      <c r="AK282" s="4">
        <v>1829</v>
      </c>
      <c r="AL282" s="4">
        <v>1847</v>
      </c>
      <c r="AM282" s="4">
        <v>1834</v>
      </c>
      <c r="AN282" s="4">
        <v>1835</v>
      </c>
      <c r="AO282" s="4">
        <v>1841</v>
      </c>
      <c r="AP282" s="4">
        <v>1837</v>
      </c>
      <c r="AQ282" s="4">
        <v>1835</v>
      </c>
      <c r="AR282" s="4">
        <v>1826</v>
      </c>
      <c r="AS282" s="4">
        <v>1800</v>
      </c>
      <c r="AT282" s="4">
        <v>1805</v>
      </c>
      <c r="AU282" s="4">
        <v>1792</v>
      </c>
      <c r="AV282" s="4">
        <v>1813</v>
      </c>
      <c r="AW282" s="4">
        <v>1792</v>
      </c>
      <c r="AX282" s="4">
        <v>1825</v>
      </c>
      <c r="AY282" s="4">
        <v>1849</v>
      </c>
      <c r="AZ282" s="4">
        <v>1863</v>
      </c>
      <c r="BA282" s="4">
        <v>1866</v>
      </c>
      <c r="BB282" s="4">
        <v>1869</v>
      </c>
      <c r="BC282" s="4">
        <v>1859</v>
      </c>
      <c r="BD282" s="4">
        <v>1863</v>
      </c>
      <c r="BE282" s="4">
        <v>1880</v>
      </c>
      <c r="BF282" s="4">
        <v>1866</v>
      </c>
      <c r="BG282" s="4">
        <v>1902</v>
      </c>
      <c r="BH282" s="4">
        <v>1897</v>
      </c>
      <c r="BI282" s="4">
        <v>1849</v>
      </c>
      <c r="BJ282" s="4">
        <v>1830</v>
      </c>
      <c r="BK282" s="4">
        <v>1821</v>
      </c>
      <c r="BL282" s="4">
        <v>1836</v>
      </c>
      <c r="BM282" s="4">
        <v>1849</v>
      </c>
      <c r="BN282" s="4">
        <v>1833</v>
      </c>
      <c r="BO282" s="4">
        <v>1817</v>
      </c>
      <c r="BP282" s="4">
        <v>1825</v>
      </c>
      <c r="BQ282" s="4">
        <v>1818</v>
      </c>
      <c r="BR282" s="4">
        <v>1824</v>
      </c>
      <c r="BS282" s="4">
        <v>1842</v>
      </c>
      <c r="BT282" s="4">
        <v>1856</v>
      </c>
      <c r="BU282" s="4">
        <v>1872</v>
      </c>
      <c r="BV282" s="4">
        <v>1885</v>
      </c>
      <c r="BW282" s="4">
        <v>1889</v>
      </c>
      <c r="BX282" s="4">
        <v>1884</v>
      </c>
      <c r="BY282" s="4">
        <v>1887</v>
      </c>
      <c r="BZ282" s="4">
        <v>1882</v>
      </c>
    </row>
    <row r="283" spans="1:254">
      <c r="A283" s="62" t="s">
        <v>496</v>
      </c>
      <c r="B283" s="4" t="str">
        <f>銘柄管理!C283</f>
        <v>ＳＣＲＥＥＮホールディングス</v>
      </c>
      <c r="C283" s="4">
        <f>_xll.RssMarket("7735","現在値")</f>
        <v>13690</v>
      </c>
      <c r="D283" s="4">
        <f t="shared" si="8"/>
        <v>0</v>
      </c>
      <c r="E283" s="4">
        <v>13690</v>
      </c>
      <c r="F283" s="4">
        <v>13690</v>
      </c>
      <c r="G283" s="4">
        <v>13070</v>
      </c>
      <c r="H283" s="4">
        <v>12350</v>
      </c>
      <c r="I283" s="4">
        <v>12600</v>
      </c>
      <c r="J283" s="4">
        <v>11980</v>
      </c>
      <c r="K283" s="4">
        <v>11730</v>
      </c>
      <c r="L283" s="4">
        <v>14175</v>
      </c>
      <c r="M283" s="4">
        <v>15895</v>
      </c>
      <c r="N283" s="4">
        <v>15850</v>
      </c>
      <c r="O283" s="4">
        <v>16650</v>
      </c>
      <c r="P283" s="4">
        <v>16500</v>
      </c>
      <c r="Q283" s="4">
        <v>16980</v>
      </c>
      <c r="R283" s="4">
        <v>16510</v>
      </c>
      <c r="S283" s="4">
        <v>18930</v>
      </c>
      <c r="T283" s="4">
        <v>18160</v>
      </c>
      <c r="U283" s="4">
        <v>17755</v>
      </c>
      <c r="V283" s="4">
        <v>18150</v>
      </c>
      <c r="W283" s="4">
        <v>17750</v>
      </c>
      <c r="X283" s="4">
        <v>16890</v>
      </c>
      <c r="Y283" s="4">
        <v>17090</v>
      </c>
      <c r="Z283" s="4">
        <v>17860</v>
      </c>
      <c r="AA283" s="4">
        <v>18940</v>
      </c>
      <c r="AB283" s="4">
        <v>18055</v>
      </c>
      <c r="AC283" s="4">
        <v>19490</v>
      </c>
      <c r="AD283" s="4">
        <v>17805</v>
      </c>
      <c r="AE283" s="4">
        <v>16765</v>
      </c>
      <c r="AF283" s="4">
        <v>16535</v>
      </c>
      <c r="AG283" s="4">
        <v>17625</v>
      </c>
      <c r="AH283" s="4">
        <v>16130</v>
      </c>
      <c r="AI283" s="4">
        <v>16150</v>
      </c>
      <c r="AJ283" s="4">
        <v>17010</v>
      </c>
      <c r="AK283" s="4">
        <v>16745</v>
      </c>
      <c r="AL283" s="4">
        <v>16425</v>
      </c>
      <c r="AM283" s="4">
        <v>15320</v>
      </c>
      <c r="AN283" s="4">
        <v>14970</v>
      </c>
      <c r="AO283" s="4">
        <v>14860</v>
      </c>
      <c r="AP283" s="4">
        <v>13945</v>
      </c>
      <c r="AQ283" s="4">
        <v>12990</v>
      </c>
      <c r="AR283" s="4">
        <v>12980</v>
      </c>
      <c r="AS283" s="4">
        <v>11760</v>
      </c>
      <c r="AT283" s="4">
        <v>12630</v>
      </c>
      <c r="AU283" s="4">
        <v>13440</v>
      </c>
      <c r="AV283" s="4">
        <v>13345</v>
      </c>
      <c r="AW283" s="4">
        <v>11315</v>
      </c>
      <c r="AX283" s="4">
        <v>11120</v>
      </c>
      <c r="AY283" s="4">
        <v>11030</v>
      </c>
      <c r="AZ283" s="4">
        <v>11220</v>
      </c>
      <c r="BA283" s="4">
        <v>11035</v>
      </c>
      <c r="BB283" s="4">
        <v>10765</v>
      </c>
      <c r="BC283" s="4">
        <v>10730</v>
      </c>
      <c r="BD283" s="4">
        <v>10545</v>
      </c>
      <c r="BE283" s="4">
        <v>10520</v>
      </c>
      <c r="BF283" s="4">
        <v>10885</v>
      </c>
      <c r="BG283" s="4">
        <v>11335</v>
      </c>
      <c r="BH283" s="4">
        <v>12205</v>
      </c>
      <c r="BI283" s="4">
        <v>11215</v>
      </c>
      <c r="BJ283" s="4">
        <v>11430</v>
      </c>
      <c r="BK283" s="4">
        <v>11410</v>
      </c>
      <c r="BL283" s="4">
        <v>11380</v>
      </c>
      <c r="BM283" s="4">
        <v>11300</v>
      </c>
      <c r="BN283" s="4">
        <v>10390</v>
      </c>
      <c r="BO283" s="4">
        <v>10230</v>
      </c>
      <c r="BP283" s="4">
        <v>10445</v>
      </c>
      <c r="BQ283" s="4">
        <v>10805</v>
      </c>
      <c r="BR283" s="4">
        <v>10610</v>
      </c>
      <c r="BS283" s="4">
        <v>10335</v>
      </c>
      <c r="BT283" s="4">
        <v>10435</v>
      </c>
      <c r="BU283" s="4">
        <v>10700</v>
      </c>
      <c r="BV283" s="4">
        <v>10575</v>
      </c>
      <c r="BW283" s="4">
        <v>10510</v>
      </c>
      <c r="BX283" s="4">
        <v>11280</v>
      </c>
      <c r="BY283" s="4">
        <v>10930</v>
      </c>
      <c r="BZ283" s="4">
        <v>11200</v>
      </c>
    </row>
    <row r="284" spans="1:254">
      <c r="A284" s="62" t="s">
        <v>497</v>
      </c>
      <c r="B284" s="4" t="str">
        <f>銘柄管理!C284</f>
        <v>データセクション</v>
      </c>
      <c r="C284" s="4">
        <f>_xll.RssMarket("3905","現在値")</f>
        <v>1910</v>
      </c>
      <c r="D284" s="4">
        <f t="shared" si="8"/>
        <v>0</v>
      </c>
      <c r="E284" s="4">
        <v>1910</v>
      </c>
      <c r="F284" s="4">
        <v>2260</v>
      </c>
      <c r="G284" s="4">
        <v>2155</v>
      </c>
      <c r="H284" s="4">
        <v>2200</v>
      </c>
      <c r="I284" s="4">
        <v>2134</v>
      </c>
      <c r="J284" s="4">
        <v>1876</v>
      </c>
      <c r="K284" s="4">
        <v>1930</v>
      </c>
      <c r="L284" s="4">
        <v>2094</v>
      </c>
      <c r="M284" s="4">
        <v>2323</v>
      </c>
      <c r="N284" s="4">
        <v>2328</v>
      </c>
      <c r="O284" s="4">
        <v>2435</v>
      </c>
      <c r="P284" s="4">
        <v>2419</v>
      </c>
      <c r="Q284" s="4">
        <v>2511</v>
      </c>
      <c r="R284" s="4">
        <v>2527</v>
      </c>
      <c r="S284" s="4">
        <v>2994</v>
      </c>
      <c r="T284" s="4">
        <v>2845</v>
      </c>
      <c r="U284" s="4">
        <v>2840</v>
      </c>
      <c r="V284" s="4">
        <v>2871</v>
      </c>
      <c r="W284" s="4">
        <v>2925</v>
      </c>
      <c r="X284" s="4">
        <v>2734</v>
      </c>
      <c r="Y284" s="4">
        <v>2795</v>
      </c>
      <c r="Z284" s="4">
        <v>2999</v>
      </c>
      <c r="AA284" s="4">
        <v>3160</v>
      </c>
      <c r="AB284" s="4">
        <v>3105</v>
      </c>
      <c r="AC284" s="4">
        <v>3420</v>
      </c>
      <c r="AD284" s="4">
        <v>3465</v>
      </c>
      <c r="AE284" s="4">
        <v>3595</v>
      </c>
      <c r="AF284" s="4">
        <v>4180</v>
      </c>
      <c r="AG284" s="4">
        <v>4860</v>
      </c>
      <c r="AH284" s="4">
        <v>4640</v>
      </c>
      <c r="AI284" s="4">
        <v>4520</v>
      </c>
      <c r="AJ284" s="4">
        <v>5030</v>
      </c>
      <c r="AK284" s="4">
        <v>5270</v>
      </c>
      <c r="AL284" s="4">
        <v>5110</v>
      </c>
      <c r="AM284" s="4">
        <v>4915</v>
      </c>
      <c r="AN284" s="4">
        <v>5200</v>
      </c>
      <c r="AO284" s="4">
        <v>4845</v>
      </c>
      <c r="AP284" s="4">
        <v>4580</v>
      </c>
      <c r="AQ284" s="4">
        <v>4340</v>
      </c>
      <c r="AR284" s="4">
        <v>4315</v>
      </c>
      <c r="AS284" s="4">
        <v>4940</v>
      </c>
      <c r="AT284" s="4">
        <v>4900</v>
      </c>
      <c r="AU284" s="4">
        <v>5690</v>
      </c>
      <c r="AV284" s="4">
        <v>5060</v>
      </c>
      <c r="AW284" s="4">
        <v>4360</v>
      </c>
      <c r="AX284" s="4">
        <v>6140</v>
      </c>
      <c r="AY284" s="4">
        <v>5140</v>
      </c>
      <c r="AZ284" s="4">
        <v>4435</v>
      </c>
      <c r="BA284" s="4">
        <v>4490</v>
      </c>
      <c r="BB284" s="4">
        <v>4800</v>
      </c>
      <c r="BC284" s="4">
        <v>4100</v>
      </c>
      <c r="BD284" s="4">
        <v>3400</v>
      </c>
      <c r="BE284" s="4">
        <v>3345</v>
      </c>
      <c r="BF284" s="4">
        <v>2843</v>
      </c>
      <c r="BG284" s="4">
        <v>2343</v>
      </c>
      <c r="BH284" s="4">
        <v>2149</v>
      </c>
      <c r="BI284" s="4">
        <v>2279</v>
      </c>
      <c r="BJ284" s="4">
        <v>2250</v>
      </c>
      <c r="BK284" s="4">
        <v>2360</v>
      </c>
      <c r="BL284" s="4">
        <v>2089</v>
      </c>
      <c r="BM284" s="4">
        <v>1689</v>
      </c>
      <c r="BN284" s="4">
        <v>1474</v>
      </c>
      <c r="BO284" s="4">
        <v>1487</v>
      </c>
      <c r="BP284" s="4">
        <v>1503</v>
      </c>
      <c r="BQ284" s="4">
        <v>1467</v>
      </c>
      <c r="BR284" s="4">
        <v>1479</v>
      </c>
      <c r="BS284" s="4">
        <v>1504</v>
      </c>
      <c r="BT284" s="4">
        <v>1526</v>
      </c>
      <c r="BU284" s="4">
        <v>1589</v>
      </c>
      <c r="BV284" s="4">
        <v>1590</v>
      </c>
      <c r="BW284" s="4">
        <v>1602</v>
      </c>
      <c r="BX284" s="4">
        <v>1547</v>
      </c>
      <c r="BY284" s="4">
        <v>1473</v>
      </c>
      <c r="BZ284" s="4">
        <v>1447</v>
      </c>
    </row>
    <row r="285" spans="1:254">
      <c r="A285" s="62" t="s">
        <v>498</v>
      </c>
      <c r="B285" s="4" t="str">
        <f>銘柄管理!C285</f>
        <v>トリドールホールディングス</v>
      </c>
      <c r="C285" s="4">
        <f>_xll.RssMarket("3397","現在値")</f>
        <v>4187</v>
      </c>
      <c r="D285" s="4">
        <f t="shared" si="8"/>
        <v>0</v>
      </c>
      <c r="E285" s="4">
        <v>4187</v>
      </c>
      <c r="F285" s="4">
        <v>4130</v>
      </c>
      <c r="G285" s="4">
        <v>4155</v>
      </c>
      <c r="H285" s="4">
        <v>4305</v>
      </c>
      <c r="I285" s="4">
        <v>4345</v>
      </c>
      <c r="J285" s="4">
        <v>4509</v>
      </c>
      <c r="K285" s="4">
        <v>4584</v>
      </c>
      <c r="L285" s="4">
        <v>4307</v>
      </c>
      <c r="M285" s="4">
        <v>4185</v>
      </c>
      <c r="N285" s="4">
        <v>4070</v>
      </c>
      <c r="O285" s="4">
        <v>4036</v>
      </c>
      <c r="P285" s="4">
        <v>4065</v>
      </c>
      <c r="Q285" s="4">
        <v>4171</v>
      </c>
      <c r="R285" s="4">
        <v>4150</v>
      </c>
      <c r="S285" s="4">
        <v>4067</v>
      </c>
      <c r="T285" s="4">
        <v>4109</v>
      </c>
      <c r="U285" s="4">
        <v>4019</v>
      </c>
      <c r="V285" s="4">
        <v>3968</v>
      </c>
      <c r="W285" s="4">
        <v>4025</v>
      </c>
      <c r="X285" s="4">
        <v>4026</v>
      </c>
      <c r="Y285" s="4">
        <v>3983</v>
      </c>
      <c r="Z285" s="4">
        <v>3900</v>
      </c>
      <c r="AA285" s="4">
        <v>3840</v>
      </c>
      <c r="AB285" s="4">
        <v>3892</v>
      </c>
      <c r="AC285" s="4">
        <v>3794</v>
      </c>
      <c r="AD285" s="4">
        <v>3845</v>
      </c>
      <c r="AE285" s="4">
        <v>3886</v>
      </c>
      <c r="AF285" s="4">
        <v>3736</v>
      </c>
      <c r="AG285" s="4">
        <v>3764</v>
      </c>
      <c r="AH285" s="4">
        <v>3654</v>
      </c>
      <c r="AI285" s="4">
        <v>3600</v>
      </c>
      <c r="AJ285" s="4">
        <v>3598</v>
      </c>
      <c r="AK285" s="4">
        <v>3569</v>
      </c>
      <c r="AL285" s="4">
        <v>3574</v>
      </c>
      <c r="AM285" s="4">
        <v>3653</v>
      </c>
      <c r="AN285" s="4">
        <v>3733</v>
      </c>
      <c r="AO285" s="4">
        <v>3740</v>
      </c>
      <c r="AP285" s="4">
        <v>3821</v>
      </c>
      <c r="AQ285" s="4">
        <v>3905</v>
      </c>
      <c r="AR285" s="4">
        <v>3856</v>
      </c>
      <c r="AS285" s="4">
        <v>3775</v>
      </c>
      <c r="AT285" s="4">
        <v>3676</v>
      </c>
      <c r="AU285" s="4">
        <v>3731</v>
      </c>
      <c r="AV285" s="4">
        <v>3824</v>
      </c>
      <c r="AW285" s="4">
        <v>3831</v>
      </c>
      <c r="AX285" s="4">
        <v>3783</v>
      </c>
      <c r="AY285" s="4">
        <v>3789</v>
      </c>
      <c r="AZ285" s="4">
        <v>3739</v>
      </c>
      <c r="BA285" s="4">
        <v>3895</v>
      </c>
      <c r="BB285" s="4">
        <v>3855</v>
      </c>
      <c r="BC285" s="4">
        <v>3800</v>
      </c>
      <c r="BD285" s="4">
        <v>3895</v>
      </c>
      <c r="BE285" s="4">
        <v>3856</v>
      </c>
      <c r="BF285" s="4">
        <v>3750</v>
      </c>
      <c r="BG285" s="4">
        <v>3758</v>
      </c>
      <c r="BH285" s="4">
        <v>3886</v>
      </c>
      <c r="BI285" s="4">
        <v>3995</v>
      </c>
      <c r="BJ285" s="4">
        <v>3930</v>
      </c>
      <c r="BK285" s="4">
        <v>3960</v>
      </c>
      <c r="BL285" s="4">
        <v>3965</v>
      </c>
      <c r="BM285" s="4">
        <v>3995</v>
      </c>
      <c r="BN285" s="4">
        <v>4008</v>
      </c>
      <c r="BO285" s="4">
        <v>4045</v>
      </c>
      <c r="BP285" s="4">
        <v>4108</v>
      </c>
      <c r="BQ285" s="4">
        <v>4055</v>
      </c>
      <c r="BR285" s="4">
        <v>4072</v>
      </c>
      <c r="BS285" s="4">
        <v>4111</v>
      </c>
      <c r="BT285" s="4">
        <v>4155</v>
      </c>
      <c r="BU285" s="4">
        <v>4157</v>
      </c>
      <c r="BV285" s="4">
        <v>4215</v>
      </c>
      <c r="BW285" s="4">
        <v>4180</v>
      </c>
      <c r="BX285" s="4">
        <v>4215</v>
      </c>
      <c r="BY285" s="4">
        <v>4272</v>
      </c>
      <c r="BZ285" s="4">
        <v>4225</v>
      </c>
    </row>
    <row r="286" spans="1:254">
      <c r="A286" s="62" t="s">
        <v>499</v>
      </c>
      <c r="B286" s="4" t="str">
        <f>銘柄管理!C286</f>
        <v>ＳＵＢＡＲＵ</v>
      </c>
      <c r="C286" s="4">
        <f>_xll.RssMarket("7270","現在値")</f>
        <v>2515</v>
      </c>
      <c r="D286" s="4">
        <f t="shared" si="8"/>
        <v>0</v>
      </c>
      <c r="E286" s="4">
        <v>2515</v>
      </c>
      <c r="F286" s="4">
        <v>2475.5</v>
      </c>
      <c r="G286" s="4">
        <v>2584</v>
      </c>
      <c r="H286" s="4">
        <v>2618</v>
      </c>
      <c r="I286" s="4">
        <v>2715.5</v>
      </c>
      <c r="J286" s="4">
        <v>2823</v>
      </c>
      <c r="K286" s="4">
        <v>2848.5</v>
      </c>
      <c r="L286" s="4">
        <v>2680</v>
      </c>
      <c r="M286" s="4">
        <v>2663.5</v>
      </c>
      <c r="N286" s="4">
        <v>2557</v>
      </c>
      <c r="O286" s="4">
        <v>2611.5</v>
      </c>
      <c r="P286" s="4">
        <v>2583</v>
      </c>
      <c r="Q286" s="4">
        <v>2591</v>
      </c>
      <c r="R286" s="4">
        <v>2534</v>
      </c>
      <c r="S286" s="4">
        <v>2499.5</v>
      </c>
      <c r="T286" s="4">
        <v>2485.5</v>
      </c>
      <c r="U286" s="4">
        <v>2475</v>
      </c>
      <c r="V286" s="4">
        <v>2492.5</v>
      </c>
      <c r="W286" s="4">
        <v>2488.5</v>
      </c>
      <c r="X286" s="4">
        <v>2525</v>
      </c>
      <c r="Y286" s="4">
        <v>2573.5</v>
      </c>
      <c r="Z286" s="4">
        <v>2589.5</v>
      </c>
      <c r="AA286" s="4">
        <v>2515.5</v>
      </c>
      <c r="AB286" s="4">
        <v>2501.5</v>
      </c>
      <c r="AC286" s="4">
        <v>2406</v>
      </c>
      <c r="AD286" s="4">
        <v>2390</v>
      </c>
      <c r="AE286" s="4">
        <v>2401.5</v>
      </c>
      <c r="AF286" s="4">
        <v>2401</v>
      </c>
      <c r="AG286" s="4">
        <v>2401.5</v>
      </c>
      <c r="AH286" s="4">
        <v>2375</v>
      </c>
      <c r="AI286" s="4">
        <v>2391.5</v>
      </c>
      <c r="AJ286" s="4">
        <v>2427.5</v>
      </c>
      <c r="AK286" s="4">
        <v>2440.5</v>
      </c>
      <c r="AL286" s="4">
        <v>2577</v>
      </c>
      <c r="AM286" s="4">
        <v>2582.5</v>
      </c>
      <c r="AN286" s="4">
        <v>2564.5</v>
      </c>
      <c r="AO286" s="4">
        <v>2568</v>
      </c>
      <c r="AP286" s="4">
        <v>2474</v>
      </c>
      <c r="AQ286" s="4">
        <v>2480</v>
      </c>
      <c r="AR286" s="4">
        <v>2535.5</v>
      </c>
      <c r="AS286" s="4">
        <v>2493</v>
      </c>
      <c r="AT286" s="4">
        <v>2454.5</v>
      </c>
      <c r="AU286" s="4">
        <v>2474.5</v>
      </c>
      <c r="AV286" s="4">
        <v>2471</v>
      </c>
      <c r="AW286" s="4">
        <v>2438.5</v>
      </c>
      <c r="AX286" s="4">
        <v>2442</v>
      </c>
      <c r="AY286" s="4">
        <v>2465.5</v>
      </c>
      <c r="AZ286" s="4">
        <v>2437</v>
      </c>
      <c r="BA286" s="4">
        <v>2464.5</v>
      </c>
      <c r="BB286" s="4">
        <v>2441</v>
      </c>
      <c r="BC286" s="4">
        <v>2493</v>
      </c>
      <c r="BD286" s="4">
        <v>2437</v>
      </c>
      <c r="BE286" s="4">
        <v>2450</v>
      </c>
      <c r="BF286" s="4">
        <v>2385</v>
      </c>
      <c r="BG286" s="4">
        <v>2567.5</v>
      </c>
      <c r="BH286" s="4">
        <v>2402</v>
      </c>
      <c r="BI286" s="4">
        <v>2346</v>
      </c>
      <c r="BJ286" s="4">
        <v>2288</v>
      </c>
      <c r="BK286" s="4">
        <v>2319.5</v>
      </c>
      <c r="BL286" s="4">
        <v>2358</v>
      </c>
      <c r="BM286" s="4">
        <v>2343</v>
      </c>
      <c r="BN286" s="4">
        <v>2369.5</v>
      </c>
      <c r="BO286" s="4">
        <v>2349.5</v>
      </c>
      <c r="BP286" s="4">
        <v>2438.5</v>
      </c>
      <c r="BQ286" s="4">
        <v>2440</v>
      </c>
      <c r="BR286" s="4">
        <v>2447.5</v>
      </c>
      <c r="BS286" s="4">
        <v>2501</v>
      </c>
      <c r="BT286" s="4">
        <v>2500.5</v>
      </c>
      <c r="BU286" s="4">
        <v>2570.5</v>
      </c>
      <c r="BV286" s="4">
        <v>2569</v>
      </c>
      <c r="BW286" s="4">
        <v>2537.5</v>
      </c>
      <c r="BX286" s="4">
        <v>2548</v>
      </c>
      <c r="BY286" s="4">
        <v>2506</v>
      </c>
      <c r="BZ286" s="4">
        <v>2539</v>
      </c>
    </row>
    <row r="287" spans="1:254">
      <c r="A287" s="62" t="s">
        <v>500</v>
      </c>
      <c r="B287" s="4" t="str">
        <f>銘柄管理!C287</f>
        <v>サン電子</v>
      </c>
      <c r="C287" s="4">
        <f>_xll.RssMarket("6736","現在値")</f>
        <v>10810</v>
      </c>
      <c r="D287" s="4">
        <f t="shared" si="8"/>
        <v>0</v>
      </c>
      <c r="E287" s="4">
        <v>10810</v>
      </c>
      <c r="F287" s="4">
        <v>10580</v>
      </c>
      <c r="G287" s="4">
        <v>10660</v>
      </c>
      <c r="H287" s="4">
        <v>9670</v>
      </c>
      <c r="I287" s="4">
        <v>9760</v>
      </c>
      <c r="J287" s="4">
        <v>9180</v>
      </c>
      <c r="K287" s="4">
        <v>9130</v>
      </c>
      <c r="L287" s="4">
        <v>9340</v>
      </c>
      <c r="M287" s="4">
        <v>9860</v>
      </c>
      <c r="N287" s="4">
        <v>9260</v>
      </c>
      <c r="O287" s="4">
        <v>8990</v>
      </c>
      <c r="P287" s="4">
        <v>8990</v>
      </c>
      <c r="Q287" s="4">
        <v>9280</v>
      </c>
      <c r="R287" s="4">
        <v>8870</v>
      </c>
      <c r="S287" s="4">
        <v>9050</v>
      </c>
      <c r="T287" s="4">
        <v>9200</v>
      </c>
      <c r="U287" s="4">
        <v>9510</v>
      </c>
      <c r="V287" s="4">
        <v>9870</v>
      </c>
      <c r="W287" s="4">
        <v>10850</v>
      </c>
      <c r="X287" s="4">
        <v>10520</v>
      </c>
      <c r="Y287" s="4">
        <v>11340</v>
      </c>
      <c r="Z287" s="4">
        <v>10810</v>
      </c>
      <c r="AA287" s="4">
        <v>9390</v>
      </c>
      <c r="AB287" s="4">
        <v>9680</v>
      </c>
      <c r="AC287" s="4">
        <v>8790</v>
      </c>
      <c r="AD287" s="4">
        <v>8580</v>
      </c>
      <c r="AE287" s="4">
        <v>8670</v>
      </c>
      <c r="AF287" s="4">
        <v>9030</v>
      </c>
      <c r="AG287" s="4">
        <v>8840</v>
      </c>
      <c r="AH287" s="4">
        <v>8490</v>
      </c>
      <c r="AI287" s="4">
        <v>8970</v>
      </c>
      <c r="AJ287" s="4">
        <v>9060</v>
      </c>
      <c r="AK287" s="4">
        <v>9010</v>
      </c>
      <c r="AL287" s="4">
        <v>9170</v>
      </c>
      <c r="AM287" s="4">
        <v>9100</v>
      </c>
      <c r="AN287" s="4">
        <v>9100</v>
      </c>
      <c r="AO287" s="4">
        <v>9110</v>
      </c>
      <c r="AP287" s="4">
        <v>8780</v>
      </c>
      <c r="AQ287" s="4">
        <v>8690</v>
      </c>
      <c r="AR287" s="4">
        <v>9030</v>
      </c>
      <c r="AS287" s="4">
        <v>8690</v>
      </c>
      <c r="AT287" s="4">
        <v>8610</v>
      </c>
      <c r="AU287" s="4">
        <v>8670</v>
      </c>
      <c r="AV287" s="4">
        <v>8940</v>
      </c>
      <c r="AW287" s="4">
        <v>9100</v>
      </c>
      <c r="AX287" s="4">
        <v>9230</v>
      </c>
      <c r="AY287" s="4">
        <v>9230</v>
      </c>
      <c r="AZ287" s="4">
        <v>9060</v>
      </c>
      <c r="BA287" s="4">
        <v>9150</v>
      </c>
      <c r="BB287" s="4">
        <v>9180</v>
      </c>
      <c r="BC287" s="4">
        <v>9430</v>
      </c>
      <c r="BD287" s="4">
        <v>8900</v>
      </c>
      <c r="BE287" s="4">
        <v>8640</v>
      </c>
      <c r="BF287" s="4">
        <v>9680</v>
      </c>
      <c r="BG287" s="4">
        <v>9120</v>
      </c>
      <c r="BH287" s="4">
        <v>8760</v>
      </c>
      <c r="BI287" s="4">
        <v>8500</v>
      </c>
      <c r="BJ287" s="4">
        <v>8480</v>
      </c>
      <c r="BK287" s="4">
        <v>9070</v>
      </c>
      <c r="BL287" s="4">
        <v>8660</v>
      </c>
      <c r="BM287" s="4">
        <v>8590</v>
      </c>
      <c r="BN287" s="4">
        <v>8610</v>
      </c>
      <c r="BO287" s="4">
        <v>8670</v>
      </c>
      <c r="BP287" s="4">
        <v>8300</v>
      </c>
      <c r="BQ287" s="4">
        <v>8190</v>
      </c>
      <c r="BR287" s="4">
        <v>7980</v>
      </c>
      <c r="BS287" s="4">
        <v>8100</v>
      </c>
      <c r="BT287" s="4">
        <v>8290</v>
      </c>
      <c r="BU287" s="4">
        <v>7990</v>
      </c>
      <c r="BV287" s="4">
        <v>7980</v>
      </c>
      <c r="BW287" s="4">
        <v>7970</v>
      </c>
      <c r="BX287" s="4">
        <v>7860</v>
      </c>
      <c r="BY287" s="4">
        <v>7840</v>
      </c>
      <c r="BZ287" s="4">
        <v>7260</v>
      </c>
    </row>
    <row r="288" spans="1:254">
      <c r="A288" s="62" t="s">
        <v>501</v>
      </c>
      <c r="B288" s="4" t="str">
        <f>銘柄管理!C288</f>
        <v>紀文食品</v>
      </c>
      <c r="C288" s="4">
        <f>_xll.RssMarket("2933","現在値")</f>
        <v>1105</v>
      </c>
      <c r="D288" s="4">
        <f t="shared" si="8"/>
        <v>0</v>
      </c>
      <c r="E288" s="4">
        <v>1105</v>
      </c>
      <c r="F288" s="4">
        <v>1085</v>
      </c>
      <c r="G288" s="4">
        <v>1092</v>
      </c>
      <c r="H288" s="4">
        <v>1103</v>
      </c>
      <c r="I288" s="4">
        <v>1088</v>
      </c>
      <c r="J288" s="4">
        <v>1107</v>
      </c>
      <c r="K288" s="4">
        <v>1117</v>
      </c>
      <c r="L288" s="4">
        <v>1097</v>
      </c>
      <c r="M288" s="4">
        <v>1091</v>
      </c>
      <c r="O288" s="4">
        <v>1083</v>
      </c>
      <c r="P288" s="4">
        <v>1082</v>
      </c>
      <c r="Q288" s="4">
        <v>1080</v>
      </c>
      <c r="R288" s="4">
        <v>1090</v>
      </c>
      <c r="S288" s="4">
        <v>1078</v>
      </c>
      <c r="T288" s="4">
        <v>1076</v>
      </c>
      <c r="U288" s="4">
        <v>1075</v>
      </c>
      <c r="V288" s="4">
        <v>1079</v>
      </c>
      <c r="W288" s="4">
        <v>1075</v>
      </c>
      <c r="X288" s="4">
        <v>1080</v>
      </c>
      <c r="Y288" s="4">
        <v>1075</v>
      </c>
      <c r="Z288" s="4">
        <v>1066</v>
      </c>
      <c r="AA288" s="4">
        <v>1065</v>
      </c>
      <c r="AB288" s="4">
        <v>1064</v>
      </c>
      <c r="AC288" s="4">
        <v>1058</v>
      </c>
      <c r="AD288" s="4">
        <v>1055</v>
      </c>
      <c r="AE288" s="4">
        <v>1065</v>
      </c>
      <c r="AF288" s="4">
        <v>1062</v>
      </c>
      <c r="AG288" s="4">
        <v>1055</v>
      </c>
      <c r="AH288" s="4">
        <v>1053</v>
      </c>
      <c r="AI288" s="4">
        <v>1061</v>
      </c>
      <c r="AJ288" s="4">
        <v>1058</v>
      </c>
      <c r="AK288" s="4">
        <v>1065</v>
      </c>
      <c r="AL288" s="4">
        <v>1056</v>
      </c>
      <c r="AM288" s="4">
        <v>1050</v>
      </c>
      <c r="AN288" s="4">
        <v>1044</v>
      </c>
      <c r="AO288" s="4">
        <v>1045</v>
      </c>
      <c r="AP288" s="4">
        <v>1044</v>
      </c>
      <c r="AQ288" s="4">
        <v>1050</v>
      </c>
      <c r="AR288" s="4">
        <v>1048</v>
      </c>
      <c r="AS288" s="4">
        <v>1035</v>
      </c>
      <c r="AT288" s="4">
        <v>1030</v>
      </c>
      <c r="AU288" s="4">
        <v>1022</v>
      </c>
      <c r="AV288" s="4">
        <v>1028</v>
      </c>
      <c r="AW288" s="4">
        <v>1018</v>
      </c>
      <c r="AX288" s="4">
        <v>1036</v>
      </c>
      <c r="AY288" s="4">
        <v>1044</v>
      </c>
      <c r="AZ288" s="4">
        <v>1036</v>
      </c>
      <c r="BA288" s="4">
        <v>1038</v>
      </c>
      <c r="BB288" s="4">
        <v>1040</v>
      </c>
      <c r="BC288" s="4">
        <v>1040</v>
      </c>
      <c r="BD288" s="4">
        <v>1043</v>
      </c>
      <c r="BE288" s="4">
        <v>1042</v>
      </c>
      <c r="BF288" s="4">
        <v>1035</v>
      </c>
      <c r="BG288" s="4">
        <v>1040</v>
      </c>
      <c r="BH288" s="4">
        <v>1030</v>
      </c>
      <c r="BI288" s="4">
        <v>1030</v>
      </c>
      <c r="BJ288" s="4">
        <v>1031</v>
      </c>
      <c r="BK288" s="4">
        <v>1025</v>
      </c>
      <c r="BL288" s="4">
        <v>1024</v>
      </c>
      <c r="BM288" s="4">
        <v>1032</v>
      </c>
      <c r="BN288" s="4">
        <v>1031</v>
      </c>
      <c r="BO288" s="4">
        <v>1032</v>
      </c>
      <c r="BP288" s="4">
        <v>1028</v>
      </c>
      <c r="BQ288" s="4">
        <v>1026</v>
      </c>
      <c r="BR288" s="4">
        <v>1030</v>
      </c>
      <c r="BS288" s="4">
        <v>1034</v>
      </c>
      <c r="BT288" s="4">
        <v>1040</v>
      </c>
      <c r="BU288" s="4">
        <v>1052</v>
      </c>
      <c r="BV288" s="4">
        <v>1061</v>
      </c>
      <c r="BW288" s="4">
        <v>1062</v>
      </c>
      <c r="BX288" s="4">
        <v>1058</v>
      </c>
      <c r="BY288" s="4">
        <v>1058</v>
      </c>
      <c r="BZ288" s="4">
        <v>1051</v>
      </c>
    </row>
    <row r="289" spans="1:254">
      <c r="A289" s="62" t="s">
        <v>502</v>
      </c>
      <c r="B289" s="4" t="str">
        <f>銘柄管理!C289</f>
        <v>関東電化</v>
      </c>
      <c r="C289" s="4">
        <f>_xll.RssMarket("4047","現在値")</f>
        <v>2877</v>
      </c>
      <c r="D289" s="4">
        <f t="shared" si="8"/>
        <v>0</v>
      </c>
      <c r="E289" s="4">
        <v>2877</v>
      </c>
      <c r="F289" s="4">
        <v>3080</v>
      </c>
      <c r="G289" s="4">
        <v>2837</v>
      </c>
      <c r="H289" s="4">
        <v>2777</v>
      </c>
      <c r="I289" s="4">
        <v>2669</v>
      </c>
      <c r="J289" s="4">
        <v>2426</v>
      </c>
      <c r="K289" s="4">
        <v>2420</v>
      </c>
      <c r="L289" s="4">
        <v>2521</v>
      </c>
      <c r="M289" s="4">
        <v>2782</v>
      </c>
      <c r="N289" s="4">
        <v>2790</v>
      </c>
      <c r="O289" s="4">
        <v>2938</v>
      </c>
      <c r="P289" s="4">
        <v>2914</v>
      </c>
      <c r="Q289" s="4">
        <v>2795</v>
      </c>
      <c r="R289" s="4">
        <v>2701</v>
      </c>
      <c r="S289" s="4">
        <v>3055</v>
      </c>
      <c r="T289" s="4">
        <v>3035</v>
      </c>
      <c r="U289" s="4">
        <v>2935</v>
      </c>
      <c r="V289" s="4">
        <v>3070</v>
      </c>
      <c r="W289" s="4">
        <v>3075</v>
      </c>
      <c r="X289" s="4">
        <v>3055</v>
      </c>
      <c r="Y289" s="4">
        <v>3175</v>
      </c>
      <c r="Z289" s="4">
        <v>3355</v>
      </c>
      <c r="AA289" s="4">
        <v>3480</v>
      </c>
      <c r="AB289" s="4">
        <v>3345</v>
      </c>
      <c r="AC289" s="4">
        <v>3570</v>
      </c>
      <c r="AD289" s="4">
        <v>3555</v>
      </c>
      <c r="AE289" s="4">
        <v>3630</v>
      </c>
      <c r="AF289" s="4">
        <v>3700</v>
      </c>
      <c r="AG289" s="4">
        <v>4055</v>
      </c>
      <c r="AH289" s="4">
        <v>3880</v>
      </c>
      <c r="AI289" s="4">
        <v>3670</v>
      </c>
      <c r="AJ289" s="4">
        <v>3895</v>
      </c>
      <c r="AK289" s="4">
        <v>4015</v>
      </c>
      <c r="AL289" s="4">
        <v>3845</v>
      </c>
      <c r="AM289" s="4">
        <v>3895</v>
      </c>
      <c r="AN289" s="4">
        <v>3760</v>
      </c>
      <c r="AO289" s="4">
        <v>3885</v>
      </c>
      <c r="AP289" s="4">
        <v>3750</v>
      </c>
      <c r="AQ289" s="4">
        <v>4020</v>
      </c>
      <c r="AR289" s="4">
        <v>3860</v>
      </c>
      <c r="AS289" s="4">
        <v>3905</v>
      </c>
      <c r="AT289" s="4">
        <v>4095</v>
      </c>
      <c r="AU289" s="4">
        <v>4405</v>
      </c>
      <c r="AV289" s="4">
        <v>3705</v>
      </c>
      <c r="AW289" s="4">
        <v>3530</v>
      </c>
      <c r="AX289" s="4">
        <v>3625</v>
      </c>
      <c r="AY289" s="4">
        <v>3455</v>
      </c>
      <c r="AZ289" s="4">
        <v>3330</v>
      </c>
      <c r="BA289" s="4">
        <v>3305</v>
      </c>
      <c r="BB289" s="4">
        <v>3040</v>
      </c>
      <c r="BC289" s="4">
        <v>2870</v>
      </c>
      <c r="BD289" s="4">
        <v>2666</v>
      </c>
      <c r="BE289" s="4">
        <v>2770</v>
      </c>
      <c r="BF289" s="4">
        <v>2550</v>
      </c>
      <c r="BG289" s="4">
        <v>2050</v>
      </c>
      <c r="BH289" s="4">
        <v>2175</v>
      </c>
      <c r="BI289" s="4">
        <v>2112</v>
      </c>
      <c r="BJ289" s="4">
        <v>1971</v>
      </c>
      <c r="BK289" s="4">
        <v>1909</v>
      </c>
      <c r="BL289" s="4">
        <v>1856</v>
      </c>
      <c r="BM289" s="4">
        <v>1813</v>
      </c>
      <c r="BN289" s="4">
        <v>1706</v>
      </c>
      <c r="BO289" s="4">
        <v>1671</v>
      </c>
      <c r="BP289" s="4">
        <v>1700</v>
      </c>
      <c r="BQ289" s="4">
        <v>1649</v>
      </c>
      <c r="BR289" s="4">
        <v>1646</v>
      </c>
      <c r="BS289" s="4">
        <v>1632</v>
      </c>
      <c r="BT289" s="4">
        <v>1657</v>
      </c>
      <c r="BU289" s="4">
        <v>1671</v>
      </c>
      <c r="BV289" s="4">
        <v>1632</v>
      </c>
      <c r="BW289" s="4">
        <v>1632</v>
      </c>
      <c r="BX289" s="4">
        <v>1671</v>
      </c>
      <c r="BY289" s="4">
        <v>1659</v>
      </c>
      <c r="BZ289" s="4">
        <v>1700</v>
      </c>
    </row>
    <row r="290" spans="1:254">
      <c r="A290" s="62" t="s">
        <v>503</v>
      </c>
      <c r="B290" s="4" t="str">
        <f>銘柄管理!C290</f>
        <v>ＹＵＳＨＩＮ</v>
      </c>
      <c r="C290" s="4">
        <f>_xll.RssMarket("6482","現在値")</f>
        <v>682</v>
      </c>
      <c r="D290" s="4">
        <f t="shared" si="8"/>
        <v>0</v>
      </c>
      <c r="E290" s="4">
        <v>682</v>
      </c>
      <c r="F290" s="4">
        <v>684</v>
      </c>
      <c r="G290" s="4">
        <v>679</v>
      </c>
      <c r="H290" s="4">
        <v>663</v>
      </c>
      <c r="I290" s="4">
        <v>668</v>
      </c>
      <c r="J290" s="4">
        <v>674</v>
      </c>
      <c r="K290" s="4">
        <v>666</v>
      </c>
      <c r="L290" s="4">
        <v>669</v>
      </c>
      <c r="M290" s="4">
        <v>695</v>
      </c>
      <c r="N290" s="4">
        <v>688</v>
      </c>
      <c r="O290" s="4">
        <v>691</v>
      </c>
      <c r="P290" s="4">
        <v>682</v>
      </c>
      <c r="Q290" s="4">
        <v>689</v>
      </c>
      <c r="R290" s="4">
        <v>676</v>
      </c>
      <c r="S290" s="4">
        <v>669</v>
      </c>
      <c r="T290" s="4">
        <v>664</v>
      </c>
      <c r="U290" s="4">
        <v>671</v>
      </c>
      <c r="V290" s="4">
        <v>681</v>
      </c>
      <c r="W290" s="4">
        <v>675</v>
      </c>
      <c r="X290" s="4">
        <v>691</v>
      </c>
      <c r="Y290" s="4">
        <v>698</v>
      </c>
      <c r="Z290" s="4">
        <v>700</v>
      </c>
      <c r="AA290" s="4">
        <v>686</v>
      </c>
      <c r="AB290" s="4">
        <v>693</v>
      </c>
      <c r="AC290" s="4">
        <v>698</v>
      </c>
      <c r="AD290" s="4">
        <v>688</v>
      </c>
      <c r="AE290" s="4">
        <v>703</v>
      </c>
      <c r="AF290" s="4">
        <v>705</v>
      </c>
      <c r="AG290" s="4">
        <v>715</v>
      </c>
      <c r="AH290" s="4">
        <v>706</v>
      </c>
      <c r="AI290" s="4">
        <v>736</v>
      </c>
      <c r="AJ290" s="4">
        <v>740</v>
      </c>
      <c r="AK290" s="4">
        <v>734</v>
      </c>
      <c r="AL290" s="4">
        <v>741</v>
      </c>
      <c r="AM290" s="4">
        <v>770</v>
      </c>
      <c r="AN290" s="4">
        <v>713</v>
      </c>
      <c r="AO290" s="4">
        <v>700</v>
      </c>
      <c r="AP290" s="4">
        <v>677</v>
      </c>
      <c r="AQ290" s="4">
        <v>672</v>
      </c>
      <c r="AR290" s="4">
        <v>668</v>
      </c>
      <c r="AS290" s="4">
        <v>659</v>
      </c>
      <c r="AT290" s="4">
        <v>672</v>
      </c>
      <c r="AU290" s="4">
        <v>665</v>
      </c>
      <c r="AV290" s="4">
        <v>658</v>
      </c>
      <c r="AW290" s="4">
        <v>646</v>
      </c>
      <c r="AX290" s="4">
        <v>667</v>
      </c>
      <c r="AY290" s="4">
        <v>677</v>
      </c>
      <c r="AZ290" s="4">
        <v>670</v>
      </c>
      <c r="BA290" s="4">
        <v>710</v>
      </c>
      <c r="BB290" s="4">
        <v>721</v>
      </c>
      <c r="BC290" s="4">
        <v>707</v>
      </c>
      <c r="BD290" s="4">
        <v>708</v>
      </c>
      <c r="BE290" s="4">
        <v>712</v>
      </c>
      <c r="BF290" s="4">
        <v>720</v>
      </c>
      <c r="BG290" s="4">
        <v>734</v>
      </c>
      <c r="BH290" s="4">
        <v>754</v>
      </c>
      <c r="BI290" s="4">
        <v>731</v>
      </c>
      <c r="BJ290" s="4">
        <v>724</v>
      </c>
      <c r="BK290" s="4">
        <v>701</v>
      </c>
      <c r="BL290" s="4">
        <v>683</v>
      </c>
      <c r="BM290" s="4">
        <v>690</v>
      </c>
      <c r="BN290" s="4">
        <v>681</v>
      </c>
      <c r="BO290" s="4">
        <v>667</v>
      </c>
      <c r="BP290" s="4">
        <v>669</v>
      </c>
      <c r="BQ290" s="4">
        <v>658</v>
      </c>
      <c r="BR290" s="4">
        <v>659</v>
      </c>
      <c r="BS290" s="4">
        <v>659</v>
      </c>
      <c r="BT290" s="4">
        <v>671</v>
      </c>
      <c r="BU290" s="4">
        <v>678</v>
      </c>
      <c r="BV290" s="4">
        <v>676</v>
      </c>
      <c r="BW290" s="4">
        <v>671</v>
      </c>
      <c r="BX290" s="4">
        <v>678</v>
      </c>
      <c r="BY290" s="4">
        <v>680</v>
      </c>
      <c r="BZ290" s="4">
        <v>679</v>
      </c>
    </row>
    <row r="291" spans="1:254">
      <c r="A291" s="62" t="s">
        <v>504</v>
      </c>
      <c r="B291" s="4" t="str">
        <f>銘柄管理!C291</f>
        <v>電気興業</v>
      </c>
      <c r="C291" s="4">
        <f>_xll.RssMarket("6706","現在値")</f>
        <v>3220</v>
      </c>
      <c r="D291" s="4">
        <f t="shared" si="8"/>
        <v>0</v>
      </c>
      <c r="E291" s="4">
        <v>3220</v>
      </c>
      <c r="F291" s="4">
        <v>3170</v>
      </c>
      <c r="G291" s="4">
        <v>3085</v>
      </c>
      <c r="H291" s="4">
        <v>3065</v>
      </c>
      <c r="I291" s="4">
        <v>3085</v>
      </c>
      <c r="J291" s="4">
        <v>3055</v>
      </c>
      <c r="K291" s="4">
        <v>3005</v>
      </c>
      <c r="L291" s="4">
        <v>2991</v>
      </c>
      <c r="M291" s="4">
        <v>3020</v>
      </c>
      <c r="O291" s="4">
        <v>3015</v>
      </c>
      <c r="P291" s="4">
        <v>3010</v>
      </c>
      <c r="Q291" s="4">
        <v>2929</v>
      </c>
      <c r="R291" s="4">
        <v>2875</v>
      </c>
      <c r="S291" s="4">
        <v>3030</v>
      </c>
      <c r="T291" s="4">
        <v>3000</v>
      </c>
      <c r="U291" s="4">
        <v>2988</v>
      </c>
      <c r="V291" s="4">
        <v>3020</v>
      </c>
      <c r="W291" s="4">
        <v>3080</v>
      </c>
      <c r="X291" s="4">
        <v>2930</v>
      </c>
      <c r="Y291" s="4">
        <v>2972</v>
      </c>
      <c r="Z291" s="4">
        <v>3010</v>
      </c>
      <c r="AA291" s="4">
        <v>3035</v>
      </c>
      <c r="AB291" s="4">
        <v>3045</v>
      </c>
      <c r="AC291" s="4">
        <v>3060</v>
      </c>
      <c r="AD291" s="4">
        <v>3040</v>
      </c>
      <c r="AE291" s="4">
        <v>3125</v>
      </c>
      <c r="AF291" s="4">
        <v>3085</v>
      </c>
      <c r="AG291" s="4">
        <v>3130</v>
      </c>
      <c r="AH291" s="4">
        <v>3120</v>
      </c>
      <c r="AI291" s="4">
        <v>3100</v>
      </c>
      <c r="AJ291" s="4">
        <v>3135</v>
      </c>
      <c r="AK291" s="4">
        <v>3175</v>
      </c>
      <c r="AL291" s="4">
        <v>3155</v>
      </c>
      <c r="AM291" s="4">
        <v>3155</v>
      </c>
      <c r="AN291" s="4">
        <v>3180</v>
      </c>
      <c r="AO291" s="4">
        <v>3285</v>
      </c>
      <c r="AP291" s="4">
        <v>3180</v>
      </c>
      <c r="AQ291" s="4">
        <v>3175</v>
      </c>
      <c r="AR291" s="4">
        <v>3290</v>
      </c>
      <c r="AS291" s="4">
        <v>3390</v>
      </c>
      <c r="AT291" s="4">
        <v>3465</v>
      </c>
      <c r="AU291" s="4">
        <v>3475</v>
      </c>
      <c r="AV291" s="4">
        <v>3510</v>
      </c>
      <c r="AW291" s="4">
        <v>3475</v>
      </c>
      <c r="AX291" s="4">
        <v>3510</v>
      </c>
      <c r="AY291" s="4">
        <v>3520</v>
      </c>
      <c r="AZ291" s="4">
        <v>3480</v>
      </c>
      <c r="BA291" s="4">
        <v>3470</v>
      </c>
      <c r="BB291" s="4">
        <v>3405</v>
      </c>
      <c r="BC291" s="4">
        <v>3415</v>
      </c>
      <c r="BD291" s="4">
        <v>3415</v>
      </c>
      <c r="BE291" s="4">
        <v>3415</v>
      </c>
      <c r="BF291" s="4">
        <v>3445</v>
      </c>
      <c r="BG291" s="4">
        <v>3460</v>
      </c>
      <c r="BH291" s="4">
        <v>3470</v>
      </c>
      <c r="BI291" s="4">
        <v>3485</v>
      </c>
      <c r="BJ291" s="4">
        <v>3465</v>
      </c>
      <c r="BK291" s="4">
        <v>3425</v>
      </c>
      <c r="BL291" s="4">
        <v>3410</v>
      </c>
      <c r="BM291" s="4">
        <v>3415</v>
      </c>
      <c r="BN291" s="4">
        <v>3335</v>
      </c>
      <c r="BO291" s="4">
        <v>3315</v>
      </c>
      <c r="BP291" s="4">
        <v>3345</v>
      </c>
      <c r="BQ291" s="4">
        <v>3295</v>
      </c>
      <c r="BR291" s="4">
        <v>3325</v>
      </c>
      <c r="BS291" s="4">
        <v>3330</v>
      </c>
      <c r="BT291" s="4">
        <v>3280</v>
      </c>
      <c r="BU291" s="4">
        <v>3300</v>
      </c>
      <c r="BV291" s="4">
        <v>3310</v>
      </c>
      <c r="BW291" s="4">
        <v>3275</v>
      </c>
      <c r="BX291" s="4">
        <v>3295</v>
      </c>
      <c r="BY291" s="4">
        <v>3255</v>
      </c>
      <c r="BZ291" s="4">
        <v>3220</v>
      </c>
    </row>
    <row r="292" spans="1:254">
      <c r="A292" s="62" t="s">
        <v>505</v>
      </c>
      <c r="B292" s="4" t="str">
        <f>銘柄管理!C292</f>
        <v>新光商事</v>
      </c>
      <c r="C292" s="4">
        <f>_xll.RssMarket("8141","現在値")</f>
        <v>1566</v>
      </c>
      <c r="D292" s="4">
        <f t="shared" si="8"/>
        <v>0</v>
      </c>
      <c r="E292" s="4">
        <v>1566</v>
      </c>
      <c r="F292" s="4">
        <v>1566</v>
      </c>
      <c r="G292" s="4">
        <v>1579</v>
      </c>
      <c r="H292" s="4">
        <v>1569</v>
      </c>
      <c r="I292" s="4">
        <v>1556</v>
      </c>
      <c r="J292" s="4">
        <v>1560</v>
      </c>
      <c r="K292" s="4">
        <v>1572</v>
      </c>
      <c r="L292" s="4">
        <v>1580</v>
      </c>
      <c r="M292" s="4">
        <v>1579</v>
      </c>
      <c r="O292" s="4">
        <v>1587</v>
      </c>
      <c r="P292" s="4">
        <v>1590</v>
      </c>
      <c r="Q292" s="4">
        <v>1581</v>
      </c>
      <c r="R292" s="4">
        <v>1605</v>
      </c>
      <c r="S292" s="4">
        <v>1622</v>
      </c>
      <c r="T292" s="4">
        <v>1588</v>
      </c>
      <c r="U292" s="4">
        <v>1586</v>
      </c>
      <c r="V292" s="4">
        <v>1588</v>
      </c>
      <c r="W292" s="4">
        <v>1588</v>
      </c>
      <c r="X292" s="4">
        <v>1590</v>
      </c>
      <c r="Y292" s="4">
        <v>1588</v>
      </c>
      <c r="Z292" s="4">
        <v>1589</v>
      </c>
      <c r="AA292" s="4">
        <v>1587</v>
      </c>
      <c r="AB292" s="4">
        <v>1588</v>
      </c>
      <c r="AC292" s="4">
        <v>1588</v>
      </c>
      <c r="AD292" s="4">
        <v>1590</v>
      </c>
      <c r="AE292" s="4">
        <v>1583</v>
      </c>
      <c r="AF292" s="4">
        <v>1565</v>
      </c>
      <c r="AG292" s="4">
        <v>1574</v>
      </c>
      <c r="AH292" s="4">
        <v>1577</v>
      </c>
      <c r="AI292" s="4">
        <v>1579</v>
      </c>
      <c r="AJ292" s="4">
        <v>1599</v>
      </c>
      <c r="AK292" s="4">
        <v>1580</v>
      </c>
      <c r="AL292" s="4">
        <v>1583</v>
      </c>
      <c r="AM292" s="4">
        <v>1581</v>
      </c>
      <c r="AN292" s="4">
        <v>1580</v>
      </c>
      <c r="AO292" s="4">
        <v>1577</v>
      </c>
      <c r="AP292" s="4">
        <v>1580</v>
      </c>
      <c r="AQ292" s="4">
        <v>1579</v>
      </c>
      <c r="AR292" s="4">
        <v>1578</v>
      </c>
      <c r="AS292" s="4">
        <v>1583</v>
      </c>
      <c r="AT292" s="4">
        <v>1585</v>
      </c>
      <c r="AU292" s="4">
        <v>1584</v>
      </c>
      <c r="AV292" s="4">
        <v>1579</v>
      </c>
      <c r="AW292" s="4">
        <v>1579</v>
      </c>
      <c r="AX292" s="4">
        <v>1575</v>
      </c>
      <c r="AY292" s="4">
        <v>1579</v>
      </c>
      <c r="AZ292" s="4">
        <v>1595</v>
      </c>
      <c r="BA292" s="4">
        <v>1600</v>
      </c>
      <c r="BB292" s="4">
        <v>1603</v>
      </c>
      <c r="BC292" s="4">
        <v>1613</v>
      </c>
      <c r="BD292" s="4">
        <v>1606</v>
      </c>
      <c r="BE292" s="4">
        <v>1613</v>
      </c>
      <c r="BF292" s="4">
        <v>1595</v>
      </c>
      <c r="BG292" s="4">
        <v>1525</v>
      </c>
      <c r="BH292" s="4">
        <v>1485</v>
      </c>
      <c r="BI292" s="4">
        <v>1575</v>
      </c>
      <c r="BJ292" s="4">
        <v>1665</v>
      </c>
      <c r="BK292" s="4">
        <v>1662</v>
      </c>
      <c r="BL292" s="4">
        <v>1714</v>
      </c>
      <c r="BM292" s="4">
        <v>1740</v>
      </c>
      <c r="BN292" s="4">
        <v>1668</v>
      </c>
      <c r="BO292" s="4">
        <v>1631</v>
      </c>
      <c r="BP292" s="4">
        <v>1601</v>
      </c>
      <c r="BQ292" s="4">
        <v>1540</v>
      </c>
      <c r="BR292" s="4">
        <v>1517</v>
      </c>
      <c r="BS292" s="4">
        <v>1539</v>
      </c>
      <c r="BT292" s="4">
        <v>1577</v>
      </c>
      <c r="BU292" s="4">
        <v>1550</v>
      </c>
      <c r="BV292" s="4">
        <v>1539</v>
      </c>
      <c r="BW292" s="4">
        <v>1490</v>
      </c>
      <c r="BX292" s="4">
        <v>1450</v>
      </c>
      <c r="BY292" s="4">
        <v>1419</v>
      </c>
      <c r="BZ292" s="4">
        <v>1371</v>
      </c>
    </row>
    <row r="293" spans="1:254">
      <c r="A293" s="62" t="s">
        <v>506</v>
      </c>
      <c r="B293" s="4" t="str">
        <f>銘柄管理!C293</f>
        <v>山形銀行</v>
      </c>
      <c r="C293" s="4">
        <f>_xll.RssMarket("8344","現在値")</f>
        <v>4235</v>
      </c>
      <c r="D293" s="4">
        <f t="shared" si="8"/>
        <v>0</v>
      </c>
      <c r="E293" s="4">
        <v>4235</v>
      </c>
      <c r="F293" s="4">
        <v>4025</v>
      </c>
      <c r="G293" s="4">
        <v>3900</v>
      </c>
      <c r="H293" s="4">
        <v>3780</v>
      </c>
      <c r="I293" s="4">
        <v>3740</v>
      </c>
      <c r="J293" s="4">
        <v>3700</v>
      </c>
      <c r="K293" s="4">
        <v>3865</v>
      </c>
      <c r="L293" s="4">
        <v>4020</v>
      </c>
      <c r="M293" s="4">
        <v>4195</v>
      </c>
      <c r="N293" s="4">
        <v>4000</v>
      </c>
      <c r="O293" s="4">
        <v>3935</v>
      </c>
      <c r="P293" s="4">
        <v>3875</v>
      </c>
      <c r="Q293" s="4">
        <v>3760</v>
      </c>
      <c r="R293" s="4">
        <v>3615</v>
      </c>
      <c r="S293" s="4">
        <v>3930</v>
      </c>
      <c r="T293" s="4">
        <v>3765</v>
      </c>
      <c r="U293" s="4">
        <v>3690</v>
      </c>
      <c r="V293" s="4">
        <v>3690</v>
      </c>
      <c r="W293" s="4">
        <v>3785</v>
      </c>
      <c r="X293" s="4">
        <v>3865</v>
      </c>
      <c r="Y293" s="4">
        <v>3875</v>
      </c>
      <c r="Z293" s="4">
        <v>4015</v>
      </c>
      <c r="AA293" s="4">
        <v>3965</v>
      </c>
      <c r="AB293" s="4">
        <v>3825</v>
      </c>
      <c r="AC293" s="4">
        <v>3600</v>
      </c>
      <c r="AD293" s="4">
        <v>3525</v>
      </c>
      <c r="AE293" s="4">
        <v>3455</v>
      </c>
      <c r="AF293" s="4">
        <v>3365</v>
      </c>
      <c r="AG293" s="4">
        <v>3285</v>
      </c>
      <c r="AH293" s="4">
        <v>3250</v>
      </c>
      <c r="AI293" s="4">
        <v>3335</v>
      </c>
      <c r="AJ293" s="4">
        <v>3355</v>
      </c>
      <c r="AK293" s="4">
        <v>3370</v>
      </c>
      <c r="AL293" s="4">
        <v>3480</v>
      </c>
      <c r="AM293" s="4">
        <v>3465</v>
      </c>
      <c r="AN293" s="4">
        <v>3560</v>
      </c>
      <c r="AO293" s="4">
        <v>3550</v>
      </c>
      <c r="AP293" s="4">
        <v>3495</v>
      </c>
      <c r="AQ293" s="4">
        <v>3370</v>
      </c>
      <c r="AR293" s="4">
        <v>3350</v>
      </c>
      <c r="AS293" s="4">
        <v>3075</v>
      </c>
      <c r="AT293" s="4">
        <v>3075</v>
      </c>
      <c r="AU293" s="4">
        <v>3035</v>
      </c>
      <c r="AV293" s="4">
        <v>2975</v>
      </c>
      <c r="AW293" s="4">
        <v>3055</v>
      </c>
      <c r="AX293" s="4">
        <v>3095</v>
      </c>
      <c r="AY293" s="4">
        <v>3095</v>
      </c>
      <c r="AZ293" s="4">
        <v>3080</v>
      </c>
      <c r="BA293" s="4">
        <v>2991</v>
      </c>
      <c r="BB293" s="4">
        <v>3055</v>
      </c>
      <c r="BC293" s="4">
        <v>3035</v>
      </c>
      <c r="BD293" s="4">
        <v>2994</v>
      </c>
      <c r="BE293" s="4">
        <v>2940</v>
      </c>
      <c r="BF293" s="4">
        <v>2876</v>
      </c>
      <c r="BG293" s="4">
        <v>2655</v>
      </c>
      <c r="BH293" s="4">
        <v>2636</v>
      </c>
      <c r="BI293" s="4">
        <v>2616</v>
      </c>
      <c r="BJ293" s="4">
        <v>2548</v>
      </c>
      <c r="BK293" s="4">
        <v>2535</v>
      </c>
      <c r="BL293" s="4">
        <v>2515</v>
      </c>
      <c r="BM293" s="4">
        <v>2595</v>
      </c>
      <c r="BN293" s="4">
        <v>2503</v>
      </c>
      <c r="BO293" s="4">
        <v>2537</v>
      </c>
      <c r="BP293" s="4">
        <v>2563</v>
      </c>
      <c r="BQ293" s="4">
        <v>2396</v>
      </c>
      <c r="BR293" s="4">
        <v>2415</v>
      </c>
      <c r="BS293" s="4">
        <v>2477</v>
      </c>
      <c r="BT293" s="4">
        <v>2538</v>
      </c>
      <c r="BU293" s="4">
        <v>2638</v>
      </c>
      <c r="BV293" s="4">
        <v>2726</v>
      </c>
      <c r="BW293" s="4">
        <v>2786</v>
      </c>
      <c r="BX293" s="4">
        <v>2780</v>
      </c>
      <c r="BY293" s="4">
        <v>2740</v>
      </c>
      <c r="BZ293" s="4">
        <v>2688</v>
      </c>
    </row>
    <row r="294" spans="1:254">
      <c r="A294" s="62" t="s">
        <v>507</v>
      </c>
      <c r="B294" s="4" t="str">
        <f>銘柄管理!C294</f>
        <v>小野建</v>
      </c>
      <c r="C294" s="4">
        <f>_xll.RssMarket("7414","現在値")</f>
        <v>1416</v>
      </c>
      <c r="D294" s="4">
        <f t="shared" si="8"/>
        <v>0</v>
      </c>
      <c r="E294" s="4">
        <v>1416</v>
      </c>
      <c r="F294" s="4">
        <v>1409</v>
      </c>
      <c r="G294" s="4">
        <v>1405</v>
      </c>
      <c r="H294" s="4">
        <v>1416</v>
      </c>
      <c r="I294" s="4">
        <v>1438</v>
      </c>
      <c r="J294" s="4">
        <v>1462</v>
      </c>
      <c r="K294" s="4">
        <v>1465</v>
      </c>
      <c r="L294" s="4">
        <v>1438</v>
      </c>
      <c r="M294" s="4">
        <v>1447</v>
      </c>
      <c r="O294" s="4">
        <v>1435</v>
      </c>
      <c r="P294" s="4">
        <v>1430</v>
      </c>
      <c r="Q294" s="4">
        <v>1411</v>
      </c>
      <c r="R294" s="4">
        <v>1405</v>
      </c>
      <c r="S294" s="4">
        <v>1422</v>
      </c>
      <c r="T294" s="4">
        <v>1382</v>
      </c>
      <c r="U294" s="4">
        <v>1380</v>
      </c>
      <c r="V294" s="4">
        <v>1385</v>
      </c>
      <c r="W294" s="4">
        <v>1374</v>
      </c>
      <c r="X294" s="4">
        <v>1377</v>
      </c>
      <c r="Y294" s="4">
        <v>1371</v>
      </c>
      <c r="Z294" s="4">
        <v>1364</v>
      </c>
      <c r="AA294" s="4">
        <v>1357</v>
      </c>
      <c r="AB294" s="4">
        <v>1342</v>
      </c>
      <c r="AC294" s="4">
        <v>1323</v>
      </c>
      <c r="AD294" s="4">
        <v>1334</v>
      </c>
      <c r="AE294" s="4">
        <v>1336</v>
      </c>
      <c r="AF294" s="4">
        <v>1326</v>
      </c>
      <c r="AG294" s="4">
        <v>1321</v>
      </c>
      <c r="AH294" s="4">
        <v>1322</v>
      </c>
      <c r="AI294" s="4">
        <v>1324</v>
      </c>
      <c r="AJ294" s="4">
        <v>1331</v>
      </c>
      <c r="AK294" s="4">
        <v>1319</v>
      </c>
      <c r="AL294" s="4">
        <v>1336</v>
      </c>
      <c r="AM294" s="4">
        <v>1330</v>
      </c>
      <c r="AN294" s="4">
        <v>1324</v>
      </c>
      <c r="AO294" s="4">
        <v>1325</v>
      </c>
      <c r="AP294" s="4">
        <v>1318</v>
      </c>
      <c r="AQ294" s="4">
        <v>1309</v>
      </c>
      <c r="AR294" s="4">
        <v>1311</v>
      </c>
      <c r="AS294" s="4">
        <v>1310</v>
      </c>
      <c r="AT294" s="4">
        <v>1330</v>
      </c>
      <c r="AU294" s="4">
        <v>1308</v>
      </c>
      <c r="AV294" s="4">
        <v>1313</v>
      </c>
      <c r="AW294" s="4">
        <v>1301</v>
      </c>
      <c r="AX294" s="4">
        <v>1347</v>
      </c>
      <c r="AY294" s="4">
        <v>1344</v>
      </c>
      <c r="AZ294" s="4">
        <v>1338</v>
      </c>
      <c r="BA294" s="4">
        <v>1318</v>
      </c>
      <c r="BB294" s="4">
        <v>1326</v>
      </c>
      <c r="BC294" s="4">
        <v>1329</v>
      </c>
      <c r="BD294" s="4">
        <v>1322</v>
      </c>
      <c r="BE294" s="4">
        <v>1344</v>
      </c>
      <c r="BF294" s="4">
        <v>1339</v>
      </c>
      <c r="BG294" s="4">
        <v>1366</v>
      </c>
      <c r="BH294" s="4">
        <v>1440</v>
      </c>
      <c r="BI294" s="4">
        <v>1428</v>
      </c>
      <c r="BJ294" s="4">
        <v>1440</v>
      </c>
      <c r="BK294" s="4">
        <v>1435</v>
      </c>
      <c r="BL294" s="4">
        <v>1424</v>
      </c>
      <c r="BM294" s="4">
        <v>1447</v>
      </c>
      <c r="BN294" s="4">
        <v>1413</v>
      </c>
      <c r="BO294" s="4">
        <v>1394</v>
      </c>
      <c r="BP294" s="4">
        <v>1402</v>
      </c>
      <c r="BQ294" s="4">
        <v>1375</v>
      </c>
      <c r="BR294" s="4">
        <v>1382</v>
      </c>
      <c r="BS294" s="4">
        <v>1376</v>
      </c>
      <c r="BT294" s="4">
        <v>1380</v>
      </c>
      <c r="BU294" s="4">
        <v>1394</v>
      </c>
      <c r="BV294" s="4">
        <v>1406</v>
      </c>
      <c r="BW294" s="4">
        <v>1396</v>
      </c>
      <c r="BX294" s="4">
        <v>1400</v>
      </c>
      <c r="BY294" s="4">
        <v>1407</v>
      </c>
      <c r="BZ294" s="4">
        <v>1406</v>
      </c>
    </row>
    <row r="295" spans="1:254">
      <c r="A295" s="62" t="s">
        <v>508</v>
      </c>
      <c r="B295" s="4" t="str">
        <f>銘柄管理!C295</f>
        <v>ＣＫＤ</v>
      </c>
      <c r="C295" s="4">
        <f>_xll.RssMarket("6407","現在値")</f>
        <v>6500</v>
      </c>
      <c r="D295" s="4">
        <f t="shared" si="8"/>
        <v>0</v>
      </c>
      <c r="E295" s="4">
        <v>6500</v>
      </c>
      <c r="F295" s="4">
        <v>6750</v>
      </c>
      <c r="G295" s="4">
        <v>6330</v>
      </c>
      <c r="H295" s="4">
        <v>5870</v>
      </c>
      <c r="I295" s="4">
        <v>6000</v>
      </c>
      <c r="J295" s="4">
        <v>5250</v>
      </c>
      <c r="K295" s="4">
        <v>5130</v>
      </c>
      <c r="L295" s="4">
        <v>5560</v>
      </c>
      <c r="M295" s="4">
        <v>6340</v>
      </c>
      <c r="O295" s="4">
        <v>6720</v>
      </c>
      <c r="P295" s="4">
        <v>6570</v>
      </c>
      <c r="Q295" s="4">
        <v>6600</v>
      </c>
      <c r="R295" s="4">
        <v>6280</v>
      </c>
      <c r="S295" s="4">
        <v>7210</v>
      </c>
      <c r="T295" s="4">
        <v>6730</v>
      </c>
      <c r="U295" s="4">
        <v>6850</v>
      </c>
      <c r="V295" s="4">
        <v>7230</v>
      </c>
      <c r="W295" s="4">
        <v>6860</v>
      </c>
      <c r="X295" s="4">
        <v>6720</v>
      </c>
      <c r="Y295" s="4">
        <v>6880</v>
      </c>
      <c r="Z295" s="4">
        <v>7480</v>
      </c>
      <c r="AA295" s="4">
        <v>7490</v>
      </c>
      <c r="AB295" s="4">
        <v>7460</v>
      </c>
      <c r="AC295" s="4">
        <v>7860</v>
      </c>
      <c r="AD295" s="4">
        <v>7470</v>
      </c>
      <c r="AE295" s="4">
        <v>7450</v>
      </c>
      <c r="AF295" s="4">
        <v>7380</v>
      </c>
      <c r="AG295" s="4">
        <v>7840</v>
      </c>
      <c r="AH295" s="4">
        <v>7450</v>
      </c>
      <c r="AI295" s="4">
        <v>7610</v>
      </c>
      <c r="AJ295" s="4">
        <v>8180</v>
      </c>
      <c r="AK295" s="4">
        <v>7760</v>
      </c>
      <c r="AL295" s="4">
        <v>7840</v>
      </c>
      <c r="AM295" s="4">
        <v>7450</v>
      </c>
      <c r="AN295" s="4">
        <v>7470</v>
      </c>
      <c r="AO295" s="4">
        <v>7390</v>
      </c>
      <c r="AP295" s="4">
        <v>6640</v>
      </c>
      <c r="AQ295" s="4">
        <v>6150</v>
      </c>
      <c r="AR295" s="4">
        <v>6190</v>
      </c>
      <c r="AS295" s="4">
        <v>5830</v>
      </c>
      <c r="AT295" s="4">
        <v>6260</v>
      </c>
      <c r="AU295" s="4">
        <v>6300</v>
      </c>
      <c r="AV295" s="4">
        <v>6480</v>
      </c>
      <c r="AW295" s="4">
        <v>6330</v>
      </c>
      <c r="AX295" s="4">
        <v>6560</v>
      </c>
      <c r="AY295" s="4">
        <v>6800</v>
      </c>
      <c r="AZ295" s="4">
        <v>6730</v>
      </c>
      <c r="BA295" s="4">
        <v>6890</v>
      </c>
      <c r="BB295" s="4">
        <v>6740</v>
      </c>
      <c r="BC295" s="4">
        <v>6360</v>
      </c>
      <c r="BD295" s="4">
        <v>5920</v>
      </c>
      <c r="BE295" s="4">
        <v>5970</v>
      </c>
      <c r="BF295" s="4">
        <v>6230</v>
      </c>
      <c r="BG295" s="4">
        <v>6790</v>
      </c>
      <c r="BH295" s="4">
        <v>7000</v>
      </c>
      <c r="BI295" s="4">
        <v>6870</v>
      </c>
      <c r="BJ295" s="4">
        <v>6810</v>
      </c>
      <c r="BK295" s="4">
        <v>6680</v>
      </c>
      <c r="BL295" s="4">
        <v>6650</v>
      </c>
      <c r="BM295" s="4">
        <v>6470</v>
      </c>
      <c r="BN295" s="4">
        <v>6030</v>
      </c>
      <c r="BO295" s="4">
        <v>6040</v>
      </c>
      <c r="BP295" s="4">
        <v>5870</v>
      </c>
      <c r="BQ295" s="4">
        <v>5830</v>
      </c>
      <c r="BR295" s="4">
        <v>5520</v>
      </c>
      <c r="BS295" s="4">
        <v>5490</v>
      </c>
      <c r="BT295" s="4">
        <v>5780</v>
      </c>
      <c r="BU295" s="4">
        <v>5630</v>
      </c>
      <c r="BV295" s="4">
        <v>5670</v>
      </c>
      <c r="BW295" s="4">
        <v>5540</v>
      </c>
      <c r="BX295" s="4">
        <v>5760</v>
      </c>
      <c r="BY295" s="4">
        <v>5600</v>
      </c>
      <c r="BZ295" s="4">
        <v>5740</v>
      </c>
    </row>
    <row r="296" spans="1:254">
      <c r="A296" s="62" t="s">
        <v>509</v>
      </c>
      <c r="B296" s="4" t="str">
        <f>銘柄管理!C296</f>
        <v>ベルトラ</v>
      </c>
      <c r="C296" s="4">
        <f>_xll.RssMarket("7048","現在値")</f>
        <v>159</v>
      </c>
      <c r="D296" s="4">
        <f t="shared" si="8"/>
        <v>0</v>
      </c>
      <c r="E296" s="4">
        <v>159</v>
      </c>
      <c r="F296" s="4">
        <v>159</v>
      </c>
      <c r="G296" s="4">
        <v>157</v>
      </c>
      <c r="H296" s="4">
        <v>159</v>
      </c>
      <c r="I296" s="4">
        <v>158</v>
      </c>
      <c r="J296" s="4">
        <v>157</v>
      </c>
      <c r="K296" s="4">
        <v>157</v>
      </c>
      <c r="L296" s="4">
        <v>156</v>
      </c>
      <c r="M296" s="4">
        <v>160</v>
      </c>
      <c r="O296" s="4">
        <v>154</v>
      </c>
      <c r="P296" s="4">
        <v>160</v>
      </c>
      <c r="Q296" s="4">
        <v>166</v>
      </c>
      <c r="R296" s="4">
        <v>178</v>
      </c>
      <c r="S296" s="4">
        <v>183</v>
      </c>
      <c r="T296" s="4">
        <v>177</v>
      </c>
      <c r="U296" s="4">
        <v>171</v>
      </c>
      <c r="V296" s="4">
        <v>173</v>
      </c>
      <c r="W296" s="4">
        <v>163</v>
      </c>
      <c r="X296" s="4">
        <v>163</v>
      </c>
      <c r="Y296" s="4">
        <v>163</v>
      </c>
      <c r="Z296" s="4">
        <v>169</v>
      </c>
      <c r="AA296" s="4">
        <v>172</v>
      </c>
      <c r="AB296" s="4">
        <v>171</v>
      </c>
      <c r="AC296" s="4">
        <v>163</v>
      </c>
      <c r="AD296" s="4">
        <v>164</v>
      </c>
      <c r="AE296" s="4">
        <v>164</v>
      </c>
      <c r="AF296" s="4">
        <v>162</v>
      </c>
      <c r="AG296" s="4">
        <v>163</v>
      </c>
      <c r="AH296" s="4">
        <v>176</v>
      </c>
      <c r="AI296" s="4">
        <v>197</v>
      </c>
      <c r="AJ296" s="4">
        <v>171</v>
      </c>
      <c r="AK296" s="4">
        <v>152</v>
      </c>
      <c r="AL296" s="4">
        <v>150</v>
      </c>
      <c r="AM296" s="4">
        <v>133</v>
      </c>
      <c r="AN296" s="4">
        <v>126</v>
      </c>
      <c r="AO296" s="4">
        <v>130</v>
      </c>
      <c r="AP296" s="4">
        <v>119</v>
      </c>
      <c r="AQ296" s="4">
        <v>116</v>
      </c>
      <c r="AR296" s="4">
        <v>124</v>
      </c>
      <c r="AS296" s="4">
        <v>126</v>
      </c>
      <c r="AT296" s="4">
        <v>130</v>
      </c>
      <c r="AU296" s="4">
        <v>128</v>
      </c>
      <c r="AV296" s="4">
        <v>129</v>
      </c>
      <c r="AW296" s="4">
        <v>130</v>
      </c>
      <c r="AX296" s="4">
        <v>133</v>
      </c>
      <c r="AY296" s="4">
        <v>131</v>
      </c>
      <c r="AZ296" s="4">
        <v>133</v>
      </c>
      <c r="BA296" s="4">
        <v>137</v>
      </c>
      <c r="BB296" s="4">
        <v>143</v>
      </c>
      <c r="BC296" s="4">
        <v>143</v>
      </c>
      <c r="BD296" s="4">
        <v>144</v>
      </c>
      <c r="BE296" s="4">
        <v>147</v>
      </c>
      <c r="BF296" s="4">
        <v>145</v>
      </c>
      <c r="BG296" s="4">
        <v>148</v>
      </c>
      <c r="BH296" s="4">
        <v>159</v>
      </c>
      <c r="BI296" s="4">
        <v>165</v>
      </c>
      <c r="BJ296" s="4">
        <v>163</v>
      </c>
      <c r="BK296" s="4">
        <v>164</v>
      </c>
      <c r="BL296" s="4">
        <v>164</v>
      </c>
      <c r="BM296" s="4">
        <v>163</v>
      </c>
      <c r="BN296" s="4">
        <v>162</v>
      </c>
      <c r="BO296" s="4">
        <v>160</v>
      </c>
      <c r="BP296" s="4">
        <v>164</v>
      </c>
      <c r="BQ296" s="4">
        <v>161</v>
      </c>
      <c r="BR296" s="4">
        <v>163</v>
      </c>
      <c r="BS296" s="4">
        <v>169</v>
      </c>
      <c r="BT296" s="4">
        <v>173</v>
      </c>
      <c r="BU296" s="4">
        <v>179</v>
      </c>
      <c r="BV296" s="4">
        <v>184</v>
      </c>
      <c r="BW296" s="4">
        <v>189</v>
      </c>
      <c r="BX296" s="4">
        <v>179</v>
      </c>
      <c r="BY296" s="4">
        <v>178</v>
      </c>
      <c r="BZ296" s="4">
        <v>175</v>
      </c>
    </row>
    <row r="297" spans="1:254">
      <c r="A297" s="62" t="s">
        <v>510</v>
      </c>
      <c r="B297" s="4" t="str">
        <f>銘柄管理!C297</f>
        <v>長谷工コーポレーシヨン</v>
      </c>
      <c r="C297" s="4">
        <f>_xll.RssMarket("1808","現在値")</f>
        <v>2688.5</v>
      </c>
      <c r="D297" s="4">
        <f t="shared" si="8"/>
        <v>0</v>
      </c>
      <c r="E297" s="4">
        <v>2688.5</v>
      </c>
      <c r="F297" s="4">
        <v>2659.5</v>
      </c>
      <c r="G297" s="4">
        <v>2656</v>
      </c>
      <c r="H297" s="4">
        <v>2704.5</v>
      </c>
      <c r="I297" s="4">
        <v>2780</v>
      </c>
      <c r="J297" s="4">
        <v>2833</v>
      </c>
      <c r="K297" s="4">
        <v>2902.5</v>
      </c>
      <c r="L297" s="4">
        <v>2843</v>
      </c>
      <c r="M297" s="4">
        <v>2851</v>
      </c>
      <c r="N297" s="4">
        <v>2760</v>
      </c>
      <c r="O297" s="4">
        <v>2767</v>
      </c>
      <c r="P297" s="4">
        <v>2811.5</v>
      </c>
      <c r="Q297" s="4">
        <v>2829</v>
      </c>
      <c r="R297" s="4">
        <v>2812.5</v>
      </c>
      <c r="S297" s="4">
        <v>2809.5</v>
      </c>
      <c r="T297" s="4">
        <v>2809</v>
      </c>
      <c r="U297" s="4">
        <v>2772.5</v>
      </c>
      <c r="V297" s="4">
        <v>2788.5</v>
      </c>
      <c r="W297" s="4">
        <v>2781</v>
      </c>
      <c r="X297" s="4">
        <v>2836</v>
      </c>
      <c r="Y297" s="4">
        <v>2868.5</v>
      </c>
      <c r="Z297" s="4">
        <v>2869.5</v>
      </c>
      <c r="AA297" s="4">
        <v>2825</v>
      </c>
      <c r="AB297" s="4">
        <v>2800</v>
      </c>
      <c r="AC297" s="4">
        <v>2774</v>
      </c>
      <c r="AD297" s="4">
        <v>2843.5</v>
      </c>
      <c r="AE297" s="4">
        <v>2841.5</v>
      </c>
      <c r="AF297" s="4">
        <v>2852.5</v>
      </c>
      <c r="AG297" s="4">
        <v>2761</v>
      </c>
      <c r="AH297" s="4">
        <v>2714</v>
      </c>
      <c r="AI297" s="4">
        <v>2720</v>
      </c>
      <c r="AJ297" s="4">
        <v>2718</v>
      </c>
      <c r="AK297" s="4">
        <v>2730</v>
      </c>
      <c r="AL297" s="4">
        <v>2667</v>
      </c>
      <c r="AM297" s="4">
        <v>2706.5</v>
      </c>
      <c r="AN297" s="4">
        <v>2690</v>
      </c>
      <c r="AO297" s="4">
        <v>2706.5</v>
      </c>
      <c r="AP297" s="4">
        <v>2691</v>
      </c>
      <c r="AQ297" s="4">
        <v>2731</v>
      </c>
      <c r="AR297" s="4">
        <v>2727.5</v>
      </c>
      <c r="AS297" s="4">
        <v>2647</v>
      </c>
      <c r="AT297" s="4">
        <v>2654</v>
      </c>
      <c r="AU297" s="4">
        <v>2626.5</v>
      </c>
      <c r="AV297" s="4">
        <v>2630</v>
      </c>
      <c r="AW297" s="4">
        <v>2617.5</v>
      </c>
      <c r="AX297" s="4">
        <v>2712.5</v>
      </c>
      <c r="AY297" s="4">
        <v>2695.5</v>
      </c>
      <c r="AZ297" s="4">
        <v>2696.5</v>
      </c>
      <c r="BA297" s="4">
        <v>2676.5</v>
      </c>
      <c r="BB297" s="4">
        <v>2695</v>
      </c>
      <c r="BC297" s="4">
        <v>2719</v>
      </c>
      <c r="BD297" s="4">
        <v>2714.5</v>
      </c>
      <c r="BE297" s="4">
        <v>2790.5</v>
      </c>
      <c r="BF297" s="4">
        <v>2844</v>
      </c>
      <c r="BG297" s="4">
        <v>2684</v>
      </c>
      <c r="BH297" s="4">
        <v>2689</v>
      </c>
      <c r="BI297" s="4">
        <v>2790.5</v>
      </c>
      <c r="BJ297" s="4">
        <v>2803.5</v>
      </c>
      <c r="BK297" s="4">
        <v>2767</v>
      </c>
      <c r="BL297" s="4">
        <v>2758</v>
      </c>
      <c r="BM297" s="4">
        <v>2755</v>
      </c>
      <c r="BN297" s="4">
        <v>2744</v>
      </c>
      <c r="BO297" s="4">
        <v>2709</v>
      </c>
      <c r="BP297" s="4">
        <v>2818</v>
      </c>
      <c r="BQ297" s="4">
        <v>2723.5</v>
      </c>
      <c r="BR297" s="4">
        <v>2684</v>
      </c>
      <c r="BS297" s="4">
        <v>2724.5</v>
      </c>
      <c r="BT297" s="4">
        <v>2762.5</v>
      </c>
      <c r="BU297" s="4">
        <v>2764</v>
      </c>
      <c r="BV297" s="4">
        <v>2821</v>
      </c>
      <c r="BW297" s="4">
        <v>2766.5</v>
      </c>
      <c r="BX297" s="4">
        <v>2770.5</v>
      </c>
      <c r="BY297" s="4">
        <v>2757</v>
      </c>
      <c r="BZ297" s="4">
        <v>2722</v>
      </c>
    </row>
    <row r="298" spans="1:254">
      <c r="A298" s="62" t="s">
        <v>511</v>
      </c>
      <c r="B298" s="4" t="str">
        <f>銘柄管理!C298</f>
        <v>ＵＢＥ</v>
      </c>
      <c r="C298" s="4">
        <f>_xll.RssMarket("4208","現在値")</f>
        <v>3280</v>
      </c>
      <c r="D298" s="4">
        <f t="shared" si="8"/>
        <v>0</v>
      </c>
      <c r="E298" s="4">
        <v>3280</v>
      </c>
      <c r="F298" s="4">
        <v>3219</v>
      </c>
      <c r="G298" s="4">
        <v>3147</v>
      </c>
      <c r="H298" s="4">
        <v>3149</v>
      </c>
      <c r="I298" s="4">
        <v>3183</v>
      </c>
      <c r="J298" s="4">
        <v>3165</v>
      </c>
      <c r="K298" s="4">
        <v>3185</v>
      </c>
      <c r="L298" s="4">
        <v>3213</v>
      </c>
      <c r="M298" s="4">
        <v>3326</v>
      </c>
      <c r="O298" s="4">
        <v>3275</v>
      </c>
      <c r="P298" s="4">
        <v>3241</v>
      </c>
      <c r="Q298" s="4">
        <v>3233</v>
      </c>
      <c r="R298" s="4">
        <v>3208</v>
      </c>
      <c r="S298" s="4">
        <v>3273</v>
      </c>
      <c r="T298" s="4">
        <v>3216</v>
      </c>
      <c r="U298" s="4">
        <v>3100</v>
      </c>
      <c r="V298" s="4">
        <v>3147</v>
      </c>
      <c r="W298" s="4">
        <v>3165</v>
      </c>
      <c r="X298" s="4">
        <v>3172</v>
      </c>
      <c r="Y298" s="4">
        <v>3212</v>
      </c>
      <c r="Z298" s="4">
        <v>3261</v>
      </c>
      <c r="AA298" s="4">
        <v>3243</v>
      </c>
      <c r="AB298" s="4">
        <v>3202</v>
      </c>
      <c r="AC298" s="4">
        <v>3157</v>
      </c>
      <c r="AD298" s="4">
        <v>3180</v>
      </c>
      <c r="AE298" s="4">
        <v>3159</v>
      </c>
      <c r="AF298" s="4">
        <v>3142</v>
      </c>
      <c r="AG298" s="4">
        <v>3181</v>
      </c>
      <c r="AH298" s="4">
        <v>3108</v>
      </c>
      <c r="AI298" s="4">
        <v>3129</v>
      </c>
      <c r="AJ298" s="4">
        <v>3222</v>
      </c>
      <c r="AK298" s="4">
        <v>3205</v>
      </c>
      <c r="AL298" s="4">
        <v>3290</v>
      </c>
      <c r="AM298" s="4">
        <v>3163</v>
      </c>
      <c r="AN298" s="4">
        <v>3196</v>
      </c>
      <c r="AO298" s="4">
        <v>3203</v>
      </c>
      <c r="AP298" s="4">
        <v>3068</v>
      </c>
      <c r="AQ298" s="4">
        <v>2999.5</v>
      </c>
      <c r="AR298" s="4">
        <v>3018</v>
      </c>
      <c r="AS298" s="4">
        <v>2921</v>
      </c>
      <c r="AT298" s="4">
        <v>2955</v>
      </c>
      <c r="AU298" s="4">
        <v>2941</v>
      </c>
      <c r="AV298" s="4">
        <v>2992</v>
      </c>
      <c r="AW298" s="4">
        <v>2941</v>
      </c>
      <c r="AX298" s="4">
        <v>2952.5</v>
      </c>
      <c r="AY298" s="4">
        <v>2930.5</v>
      </c>
      <c r="AZ298" s="4">
        <v>2975.5</v>
      </c>
      <c r="BA298" s="4">
        <v>2970</v>
      </c>
      <c r="BB298" s="4">
        <v>2992</v>
      </c>
      <c r="BC298" s="4">
        <v>3046</v>
      </c>
      <c r="BD298" s="4">
        <v>2890.5</v>
      </c>
      <c r="BE298" s="4">
        <v>2390.5</v>
      </c>
      <c r="BF298" s="4">
        <v>2400.5</v>
      </c>
      <c r="BG298" s="4">
        <v>2384</v>
      </c>
      <c r="BH298" s="4">
        <v>2459</v>
      </c>
      <c r="BI298" s="4">
        <v>2350.5</v>
      </c>
      <c r="BJ298" s="4">
        <v>2321.5</v>
      </c>
      <c r="BK298" s="4">
        <v>2387</v>
      </c>
      <c r="BL298" s="4">
        <v>2388</v>
      </c>
      <c r="BM298" s="4">
        <v>2398</v>
      </c>
      <c r="BN298" s="4">
        <v>2378.5</v>
      </c>
      <c r="BO298" s="4">
        <v>2366.5</v>
      </c>
      <c r="BP298" s="4">
        <v>2391</v>
      </c>
      <c r="BQ298" s="4">
        <v>2360.5</v>
      </c>
      <c r="BR298" s="4">
        <v>2351</v>
      </c>
      <c r="BS298" s="4">
        <v>2349</v>
      </c>
      <c r="BT298" s="4">
        <v>2375.5</v>
      </c>
      <c r="BU298" s="4">
        <v>2413</v>
      </c>
      <c r="BV298" s="4">
        <v>2412.5</v>
      </c>
      <c r="BW298" s="4">
        <v>2447.5</v>
      </c>
      <c r="BX298" s="4">
        <v>2432</v>
      </c>
      <c r="BY298" s="4">
        <v>2425.5</v>
      </c>
      <c r="BZ298" s="4">
        <v>2408.5</v>
      </c>
    </row>
    <row r="299" spans="1:254">
      <c r="A299" s="62" t="s">
        <v>512</v>
      </c>
      <c r="B299" s="4" t="str">
        <f>銘柄管理!C299</f>
        <v>アストロスケールホールディンク</v>
      </c>
      <c r="C299" s="4">
        <f>_xll.RssMarket("186A","現在値")</f>
        <v>1176</v>
      </c>
      <c r="D299" s="4">
        <f t="shared" si="8"/>
        <v>0</v>
      </c>
      <c r="E299" s="4">
        <v>1176</v>
      </c>
      <c r="F299" s="4">
        <v>1189</v>
      </c>
      <c r="G299" s="4">
        <v>1135</v>
      </c>
      <c r="H299" s="4">
        <v>1040</v>
      </c>
      <c r="I299" s="4">
        <v>1012</v>
      </c>
      <c r="J299" s="4">
        <v>955</v>
      </c>
      <c r="K299" s="4">
        <v>906</v>
      </c>
      <c r="L299" s="4">
        <v>1004</v>
      </c>
      <c r="M299" s="4">
        <v>1025</v>
      </c>
      <c r="N299" s="4">
        <v>1026</v>
      </c>
      <c r="O299" s="4">
        <v>1041</v>
      </c>
      <c r="P299" s="4">
        <v>1014</v>
      </c>
      <c r="Q299" s="4">
        <v>995</v>
      </c>
      <c r="R299" s="4">
        <v>981</v>
      </c>
      <c r="S299" s="4">
        <v>1102</v>
      </c>
      <c r="T299" s="4">
        <v>1064</v>
      </c>
      <c r="U299" s="4">
        <v>1096</v>
      </c>
      <c r="V299" s="4">
        <v>1095</v>
      </c>
      <c r="W299" s="4">
        <v>1096</v>
      </c>
      <c r="X299" s="4">
        <v>1073</v>
      </c>
      <c r="Y299" s="4">
        <v>1141</v>
      </c>
      <c r="Z299" s="4">
        <v>1231</v>
      </c>
      <c r="AA299" s="4">
        <v>1218</v>
      </c>
      <c r="AB299" s="4">
        <v>1124</v>
      </c>
      <c r="AC299" s="4">
        <v>1138</v>
      </c>
      <c r="AD299" s="4">
        <v>1176</v>
      </c>
      <c r="AE299" s="4">
        <v>1140</v>
      </c>
      <c r="AF299" s="4">
        <v>1095</v>
      </c>
      <c r="AG299" s="4">
        <v>1162</v>
      </c>
      <c r="AH299" s="4">
        <v>1156</v>
      </c>
      <c r="AI299" s="4">
        <v>1150</v>
      </c>
      <c r="AJ299" s="4">
        <v>1320</v>
      </c>
      <c r="AK299" s="4">
        <v>1198</v>
      </c>
      <c r="AL299" s="4">
        <v>1331</v>
      </c>
      <c r="AM299" s="4">
        <v>1348</v>
      </c>
      <c r="AN299" s="4">
        <v>1375</v>
      </c>
      <c r="AO299" s="4">
        <v>1505</v>
      </c>
      <c r="AP299" s="4">
        <v>1905</v>
      </c>
      <c r="AQ299" s="4">
        <v>1810</v>
      </c>
      <c r="AR299" s="4">
        <v>1749</v>
      </c>
      <c r="AS299" s="4">
        <v>2089</v>
      </c>
      <c r="AT299" s="4">
        <v>2090</v>
      </c>
      <c r="AU299" s="4">
        <v>1955</v>
      </c>
      <c r="AV299" s="4">
        <v>2065</v>
      </c>
      <c r="AW299" s="4">
        <v>2145</v>
      </c>
      <c r="AX299" s="4">
        <v>2739</v>
      </c>
      <c r="AY299" s="4">
        <v>2868</v>
      </c>
      <c r="AZ299" s="4">
        <v>2694</v>
      </c>
      <c r="BA299" s="4">
        <v>2696</v>
      </c>
      <c r="BB299" s="4">
        <v>2352</v>
      </c>
      <c r="BC299" s="4">
        <v>1952</v>
      </c>
      <c r="BD299" s="4">
        <v>1920</v>
      </c>
      <c r="BE299" s="4">
        <v>2115</v>
      </c>
      <c r="BF299" s="4">
        <v>1892</v>
      </c>
      <c r="BG299" s="4">
        <v>1932</v>
      </c>
      <c r="BH299" s="4">
        <v>1860</v>
      </c>
      <c r="BI299" s="4">
        <v>1824</v>
      </c>
      <c r="BJ299" s="4">
        <v>1838</v>
      </c>
      <c r="BK299" s="4">
        <v>1779</v>
      </c>
      <c r="BL299" s="4">
        <v>1570</v>
      </c>
      <c r="BM299" s="4">
        <v>1413</v>
      </c>
      <c r="BN299" s="4">
        <v>1310</v>
      </c>
      <c r="BO299" s="4">
        <v>1286</v>
      </c>
      <c r="BP299" s="4">
        <v>1312</v>
      </c>
      <c r="BQ299" s="4">
        <v>1240</v>
      </c>
      <c r="BR299" s="4">
        <v>1323</v>
      </c>
      <c r="BS299" s="4">
        <v>1409</v>
      </c>
      <c r="BT299" s="4">
        <v>1450</v>
      </c>
      <c r="BU299" s="4">
        <v>1452</v>
      </c>
      <c r="BV299" s="4">
        <v>1454</v>
      </c>
      <c r="BW299" s="4">
        <v>1345</v>
      </c>
      <c r="BX299" s="4">
        <v>1384</v>
      </c>
      <c r="BY299" s="4">
        <v>1367</v>
      </c>
      <c r="BZ299" s="4">
        <v>1389</v>
      </c>
    </row>
    <row r="300" spans="1:254">
      <c r="A300" s="62" t="s">
        <v>513</v>
      </c>
      <c r="B300" s="4" t="str">
        <f>銘柄管理!C300</f>
        <v>浜松ホトニクス</v>
      </c>
      <c r="C300" s="4">
        <f>_xll.RssMarket("6965","現在値")</f>
        <v>2505.5</v>
      </c>
      <c r="D300" s="4">
        <f t="shared" si="8"/>
        <v>0</v>
      </c>
      <c r="E300" s="4">
        <v>2505.5</v>
      </c>
      <c r="F300" s="4">
        <v>2550</v>
      </c>
      <c r="G300" s="4">
        <v>2408</v>
      </c>
      <c r="H300" s="4">
        <v>2321</v>
      </c>
      <c r="I300" s="4">
        <v>2323</v>
      </c>
      <c r="J300" s="4">
        <v>2152.5</v>
      </c>
      <c r="K300" s="4">
        <v>2153.5</v>
      </c>
      <c r="L300" s="4">
        <v>2198</v>
      </c>
      <c r="M300" s="4">
        <v>2367.5</v>
      </c>
      <c r="O300" s="4">
        <v>2423.5</v>
      </c>
      <c r="P300" s="4">
        <v>2402</v>
      </c>
      <c r="Q300" s="4">
        <v>2335.5</v>
      </c>
      <c r="R300" s="4">
        <v>2302</v>
      </c>
      <c r="S300" s="4">
        <v>2509.5</v>
      </c>
      <c r="T300" s="4">
        <v>2437</v>
      </c>
      <c r="U300" s="4">
        <v>2453</v>
      </c>
      <c r="V300" s="4">
        <v>2508.5</v>
      </c>
      <c r="W300" s="4">
        <v>2421.5</v>
      </c>
      <c r="X300" s="4">
        <v>2424</v>
      </c>
      <c r="Y300" s="4">
        <v>2477.5</v>
      </c>
      <c r="Z300" s="4">
        <v>2590</v>
      </c>
      <c r="AA300" s="4">
        <v>2669</v>
      </c>
      <c r="AB300" s="4">
        <v>2648.5</v>
      </c>
      <c r="AC300" s="4">
        <v>2749.5</v>
      </c>
      <c r="AD300" s="4">
        <v>2671</v>
      </c>
      <c r="AE300" s="4">
        <v>2661</v>
      </c>
      <c r="AF300" s="4">
        <v>2625</v>
      </c>
      <c r="AG300" s="4">
        <v>2739.5</v>
      </c>
      <c r="AH300" s="4">
        <v>2670</v>
      </c>
      <c r="AI300" s="4">
        <v>2659.5</v>
      </c>
      <c r="AJ300" s="4">
        <v>2825.5</v>
      </c>
      <c r="AK300" s="4">
        <v>2797.5</v>
      </c>
      <c r="AL300" s="4">
        <v>2770.5</v>
      </c>
      <c r="AM300" s="4">
        <v>2777.5</v>
      </c>
      <c r="AN300" s="4">
        <v>2648</v>
      </c>
      <c r="AO300" s="4">
        <v>2635.5</v>
      </c>
      <c r="AP300" s="4">
        <v>2495.5</v>
      </c>
      <c r="AQ300" s="4">
        <v>2427.5</v>
      </c>
      <c r="AR300" s="4">
        <v>2368.5</v>
      </c>
      <c r="AS300" s="4">
        <v>2630</v>
      </c>
      <c r="AT300" s="4">
        <v>2864</v>
      </c>
      <c r="AU300" s="4">
        <v>2920.5</v>
      </c>
      <c r="AV300" s="4">
        <v>2877.5</v>
      </c>
      <c r="AW300" s="4">
        <v>2732</v>
      </c>
      <c r="AX300" s="4">
        <v>2863</v>
      </c>
      <c r="AY300" s="4">
        <v>2823</v>
      </c>
      <c r="AZ300" s="4">
        <v>2700</v>
      </c>
      <c r="BA300" s="4">
        <v>2973.5</v>
      </c>
      <c r="BB300" s="4">
        <v>2910.5</v>
      </c>
      <c r="BC300" s="4">
        <v>2673.5</v>
      </c>
      <c r="BD300" s="4">
        <v>2633.5</v>
      </c>
      <c r="BE300" s="4">
        <v>2685.5</v>
      </c>
      <c r="BF300" s="4">
        <v>2867</v>
      </c>
      <c r="BG300" s="4">
        <v>2657</v>
      </c>
      <c r="BH300" s="4">
        <v>2157</v>
      </c>
      <c r="BI300" s="4">
        <v>2162.5</v>
      </c>
      <c r="BJ300" s="4">
        <v>2177</v>
      </c>
      <c r="BK300" s="4">
        <v>2162</v>
      </c>
      <c r="BL300" s="4">
        <v>2193.5</v>
      </c>
      <c r="BM300" s="4">
        <v>2140</v>
      </c>
      <c r="BN300" s="4">
        <v>2006</v>
      </c>
      <c r="BO300" s="4">
        <v>2023</v>
      </c>
      <c r="BP300" s="4">
        <v>2002.5</v>
      </c>
      <c r="BQ300" s="4">
        <v>2053.5</v>
      </c>
      <c r="BR300" s="4">
        <v>1921.5</v>
      </c>
      <c r="BS300" s="4">
        <v>1913.5</v>
      </c>
      <c r="BT300" s="4">
        <v>1944.5</v>
      </c>
      <c r="BU300" s="4">
        <v>1945.5</v>
      </c>
      <c r="BV300" s="4">
        <v>1952</v>
      </c>
      <c r="BW300" s="4">
        <v>1937</v>
      </c>
      <c r="BX300" s="4">
        <v>1960</v>
      </c>
      <c r="BY300" s="4">
        <v>1902</v>
      </c>
      <c r="BZ300" s="4">
        <v>1936</v>
      </c>
    </row>
    <row r="301" spans="1:254">
      <c r="A301" s="62" t="s">
        <v>514</v>
      </c>
      <c r="B301" s="4" t="str">
        <f>銘柄管理!C301</f>
        <v>三菱化工機</v>
      </c>
      <c r="C301" s="4">
        <f>_xll.RssMarket("6331","現在値")</f>
        <v>3270</v>
      </c>
      <c r="D301" s="4">
        <f t="shared" si="8"/>
        <v>0</v>
      </c>
      <c r="E301" s="4">
        <v>3270</v>
      </c>
      <c r="F301" s="4">
        <v>3255</v>
      </c>
      <c r="G301" s="4">
        <v>3150</v>
      </c>
      <c r="H301" s="4">
        <v>3090</v>
      </c>
      <c r="I301" s="4">
        <v>3155</v>
      </c>
      <c r="J301" s="4">
        <v>3110</v>
      </c>
      <c r="K301" s="4">
        <v>3070</v>
      </c>
      <c r="L301" s="4">
        <v>3235</v>
      </c>
      <c r="M301" s="4">
        <v>3400</v>
      </c>
      <c r="N301" s="4">
        <v>3395</v>
      </c>
      <c r="O301" s="4">
        <v>3400</v>
      </c>
      <c r="P301" s="4">
        <v>3300</v>
      </c>
      <c r="Q301" s="4">
        <v>3255</v>
      </c>
      <c r="R301" s="4">
        <v>3175</v>
      </c>
      <c r="S301" s="4">
        <v>3465</v>
      </c>
      <c r="T301" s="4">
        <v>3415</v>
      </c>
      <c r="U301" s="4">
        <v>3430</v>
      </c>
      <c r="V301" s="4">
        <v>3555</v>
      </c>
      <c r="W301" s="4">
        <v>3490</v>
      </c>
      <c r="X301" s="4">
        <v>3600</v>
      </c>
      <c r="Y301" s="4">
        <v>3880</v>
      </c>
      <c r="Z301" s="4">
        <v>3955</v>
      </c>
      <c r="AA301" s="4">
        <v>3820</v>
      </c>
      <c r="AB301" s="4">
        <v>3715</v>
      </c>
      <c r="AC301" s="4">
        <v>3700</v>
      </c>
      <c r="AD301" s="4">
        <v>3650</v>
      </c>
      <c r="AE301" s="4">
        <v>3755</v>
      </c>
      <c r="AF301" s="4">
        <v>3830</v>
      </c>
      <c r="AG301" s="4">
        <v>3930</v>
      </c>
      <c r="AH301" s="4">
        <v>3840</v>
      </c>
      <c r="AI301" s="4">
        <v>3880</v>
      </c>
      <c r="AJ301" s="4">
        <v>4145</v>
      </c>
      <c r="AK301" s="4">
        <v>3995</v>
      </c>
      <c r="AL301" s="4">
        <v>4010</v>
      </c>
      <c r="AM301" s="4">
        <v>4100</v>
      </c>
      <c r="AN301" s="4">
        <v>3910</v>
      </c>
      <c r="AO301" s="4">
        <v>3840</v>
      </c>
      <c r="AP301" s="4">
        <v>3660</v>
      </c>
      <c r="AQ301" s="4">
        <v>3615</v>
      </c>
      <c r="AR301" s="4">
        <v>3615</v>
      </c>
      <c r="AS301" s="4">
        <v>3500</v>
      </c>
      <c r="AT301" s="4">
        <v>3610</v>
      </c>
      <c r="AU301" s="4">
        <v>3460</v>
      </c>
      <c r="AV301" s="4">
        <v>3640</v>
      </c>
      <c r="AW301" s="4">
        <v>3425</v>
      </c>
      <c r="AX301" s="4">
        <v>3590</v>
      </c>
      <c r="AY301" s="4">
        <v>3660</v>
      </c>
      <c r="AZ301" s="4">
        <v>3665</v>
      </c>
      <c r="BA301" s="4">
        <v>3490</v>
      </c>
      <c r="BB301" s="4">
        <v>3400</v>
      </c>
      <c r="BC301" s="4">
        <v>3495</v>
      </c>
      <c r="BD301" s="4">
        <v>3440</v>
      </c>
      <c r="BE301" s="4">
        <v>3625</v>
      </c>
      <c r="BF301" s="4">
        <v>3845</v>
      </c>
      <c r="BG301" s="4">
        <v>3660</v>
      </c>
      <c r="BH301" s="4">
        <v>3305</v>
      </c>
      <c r="BI301" s="4">
        <v>3320</v>
      </c>
      <c r="BJ301" s="4">
        <v>3310</v>
      </c>
      <c r="BK301" s="4">
        <v>3285</v>
      </c>
      <c r="BL301" s="4">
        <v>3275</v>
      </c>
      <c r="BM301" s="4">
        <v>3285</v>
      </c>
      <c r="BN301" s="4">
        <v>3260</v>
      </c>
      <c r="BO301" s="4">
        <v>3180</v>
      </c>
      <c r="BP301" s="4">
        <v>3205</v>
      </c>
      <c r="BQ301" s="4">
        <v>3285</v>
      </c>
      <c r="BR301" s="4">
        <v>3210</v>
      </c>
      <c r="BS301" s="4">
        <v>3180</v>
      </c>
      <c r="BT301" s="4">
        <v>3055</v>
      </c>
      <c r="BU301" s="4">
        <v>3035</v>
      </c>
      <c r="BV301" s="4">
        <v>3045</v>
      </c>
      <c r="BW301" s="4">
        <v>3030</v>
      </c>
      <c r="BX301" s="4">
        <v>3075</v>
      </c>
      <c r="BY301" s="4">
        <v>3045</v>
      </c>
      <c r="BZ301" s="4">
        <v>3090</v>
      </c>
    </row>
    <row r="302" spans="1:254">
      <c r="A302" s="62" t="s">
        <v>515</v>
      </c>
      <c r="B302" s="4" t="str">
        <f>銘柄管理!C302</f>
        <v>ＨＯＹＡ</v>
      </c>
      <c r="C302" s="4">
        <f>_xll.RssMarket("7741","現在値")</f>
        <v>25475</v>
      </c>
      <c r="D302" s="4">
        <f t="shared" si="8"/>
        <v>0</v>
      </c>
      <c r="E302" s="4">
        <v>25475</v>
      </c>
      <c r="F302" s="4">
        <v>25900</v>
      </c>
      <c r="G302" s="4">
        <v>25925</v>
      </c>
      <c r="H302" s="4">
        <v>25260</v>
      </c>
      <c r="I302" s="4">
        <v>24675</v>
      </c>
      <c r="J302" s="4">
        <v>23840</v>
      </c>
      <c r="K302" s="4">
        <v>23765</v>
      </c>
      <c r="L302" s="4">
        <v>23685</v>
      </c>
      <c r="M302" s="4">
        <v>24725</v>
      </c>
      <c r="N302" s="4">
        <v>24560</v>
      </c>
      <c r="O302" s="4">
        <v>24840</v>
      </c>
      <c r="P302" s="4">
        <v>25045</v>
      </c>
      <c r="Q302" s="4">
        <v>25450</v>
      </c>
      <c r="R302" s="4">
        <v>25215</v>
      </c>
      <c r="S302" s="4">
        <v>25330</v>
      </c>
      <c r="T302" s="4">
        <v>25570</v>
      </c>
      <c r="U302" s="4">
        <v>25480</v>
      </c>
      <c r="V302" s="4">
        <v>24975</v>
      </c>
      <c r="W302" s="4">
        <v>24780</v>
      </c>
      <c r="X302" s="4">
        <v>23910</v>
      </c>
      <c r="Y302" s="4">
        <v>25645</v>
      </c>
      <c r="Z302" s="4">
        <v>25575</v>
      </c>
      <c r="AA302" s="4">
        <v>25930</v>
      </c>
      <c r="AB302" s="4">
        <v>25590</v>
      </c>
      <c r="AC302" s="4">
        <v>25905</v>
      </c>
      <c r="AD302" s="4">
        <v>25950</v>
      </c>
      <c r="AE302" s="4">
        <v>25805</v>
      </c>
      <c r="AF302" s="4">
        <v>25575</v>
      </c>
      <c r="AG302" s="4">
        <v>26120</v>
      </c>
      <c r="AH302" s="4">
        <v>26350</v>
      </c>
      <c r="AI302" s="4">
        <v>26485</v>
      </c>
      <c r="AJ302" s="4">
        <v>26975</v>
      </c>
      <c r="AK302" s="4">
        <v>27245</v>
      </c>
      <c r="AL302" s="4">
        <v>28515</v>
      </c>
      <c r="AM302" s="4">
        <v>27620</v>
      </c>
      <c r="AN302" s="4">
        <v>27065</v>
      </c>
      <c r="AO302" s="4">
        <v>26630</v>
      </c>
      <c r="AP302" s="4">
        <v>26420</v>
      </c>
      <c r="AQ302" s="4">
        <v>25650</v>
      </c>
      <c r="AR302" s="4">
        <v>25710</v>
      </c>
      <c r="AS302" s="4">
        <v>25280</v>
      </c>
      <c r="AT302" s="4">
        <v>26340</v>
      </c>
      <c r="AU302" s="4">
        <v>26430</v>
      </c>
      <c r="AV302" s="4">
        <v>27495</v>
      </c>
      <c r="AW302" s="4">
        <v>26305</v>
      </c>
      <c r="AX302" s="4">
        <v>27080</v>
      </c>
      <c r="AY302" s="4">
        <v>26970</v>
      </c>
      <c r="AZ302" s="4">
        <v>27195</v>
      </c>
      <c r="BA302" s="4">
        <v>26300</v>
      </c>
      <c r="BB302" s="4">
        <v>26225</v>
      </c>
      <c r="BC302" s="4">
        <v>26580</v>
      </c>
      <c r="BD302" s="4">
        <v>26500</v>
      </c>
      <c r="BE302" s="4">
        <v>26895</v>
      </c>
      <c r="BF302" s="4">
        <v>27725</v>
      </c>
      <c r="BG302" s="4">
        <v>28005</v>
      </c>
      <c r="BH302" s="4">
        <v>27670</v>
      </c>
      <c r="BI302" s="4">
        <v>27680</v>
      </c>
      <c r="BJ302" s="4">
        <v>27285</v>
      </c>
      <c r="BK302" s="4">
        <v>27235</v>
      </c>
      <c r="BL302" s="4">
        <v>27470</v>
      </c>
      <c r="BM302" s="4">
        <v>27510</v>
      </c>
      <c r="BN302" s="4">
        <v>27830</v>
      </c>
      <c r="BO302" s="4">
        <v>29100</v>
      </c>
      <c r="BP302" s="4">
        <v>29305</v>
      </c>
      <c r="BQ302" s="4">
        <v>28940</v>
      </c>
      <c r="BR302" s="4">
        <v>28590</v>
      </c>
      <c r="BS302" s="4">
        <v>28495</v>
      </c>
      <c r="BT302" s="4">
        <v>28675</v>
      </c>
      <c r="BU302" s="4">
        <v>28970</v>
      </c>
      <c r="BV302" s="4">
        <v>29645</v>
      </c>
      <c r="BW302" s="4">
        <v>28995</v>
      </c>
      <c r="BX302" s="4">
        <v>30000</v>
      </c>
      <c r="BY302" s="4">
        <v>30030</v>
      </c>
      <c r="BZ302" s="4">
        <v>29400</v>
      </c>
    </row>
    <row r="303" spans="1:254">
      <c r="A303" s="62" t="s">
        <v>876</v>
      </c>
      <c r="B303" s="4" t="str">
        <f>銘柄管理!C303</f>
        <v>ＮＦ日経２２５</v>
      </c>
      <c r="C303" s="4">
        <f>_xll.RssMarket("1321","現在値")</f>
        <v>67990</v>
      </c>
      <c r="D303" s="4">
        <f t="shared" si="8"/>
        <v>0</v>
      </c>
      <c r="E303" s="4">
        <v>67990</v>
      </c>
      <c r="F303" s="4">
        <v>68550</v>
      </c>
      <c r="G303" s="4">
        <v>66090</v>
      </c>
      <c r="H303" s="4">
        <v>65850</v>
      </c>
      <c r="I303" s="4">
        <v>66560</v>
      </c>
      <c r="J303" s="4">
        <v>64080</v>
      </c>
      <c r="K303" s="4">
        <v>63680</v>
      </c>
      <c r="L303" s="4">
        <v>64570</v>
      </c>
      <c r="M303" s="4">
        <v>67280</v>
      </c>
      <c r="N303" s="4">
        <v>66880</v>
      </c>
      <c r="O303" s="4">
        <v>68700</v>
      </c>
      <c r="P303" s="4">
        <v>68310</v>
      </c>
      <c r="Q303" s="4">
        <v>68450</v>
      </c>
      <c r="R303" s="4">
        <v>66960</v>
      </c>
      <c r="S303" s="4">
        <v>71140</v>
      </c>
      <c r="T303" s="4">
        <v>70050</v>
      </c>
      <c r="U303" s="4">
        <v>69510</v>
      </c>
      <c r="V303" s="4">
        <v>71120</v>
      </c>
      <c r="W303" s="4">
        <v>70280</v>
      </c>
      <c r="X303" s="4">
        <v>69640</v>
      </c>
      <c r="Y303" s="4">
        <v>71060</v>
      </c>
      <c r="Z303" s="4">
        <v>72980</v>
      </c>
      <c r="AA303" s="4">
        <v>73140</v>
      </c>
      <c r="AB303" s="4">
        <v>72000</v>
      </c>
      <c r="AC303" s="4">
        <v>73700</v>
      </c>
      <c r="AD303" s="4">
        <v>73510</v>
      </c>
      <c r="AE303" s="4">
        <v>72800</v>
      </c>
      <c r="AF303" s="4">
        <v>72560</v>
      </c>
      <c r="AG303" s="4">
        <v>75730</v>
      </c>
      <c r="AH303" s="4">
        <v>72460</v>
      </c>
      <c r="AI303" s="4">
        <v>73150</v>
      </c>
      <c r="AJ303" s="4">
        <v>75970</v>
      </c>
      <c r="AK303" s="4">
        <v>74630</v>
      </c>
      <c r="AL303" s="4">
        <v>74380</v>
      </c>
      <c r="AM303" s="4">
        <v>73190</v>
      </c>
      <c r="AN303" s="4">
        <v>72570</v>
      </c>
      <c r="AO303" s="4">
        <v>72620</v>
      </c>
      <c r="AP303" s="4">
        <v>69090</v>
      </c>
      <c r="AQ303" s="4">
        <v>67210</v>
      </c>
      <c r="AR303" s="4">
        <v>67270</v>
      </c>
      <c r="AS303" s="4">
        <v>67030</v>
      </c>
      <c r="AT303" s="4">
        <v>69700</v>
      </c>
      <c r="AU303" s="4">
        <v>70570</v>
      </c>
      <c r="AV303" s="4">
        <v>71580</v>
      </c>
      <c r="AW303" s="4">
        <v>69830</v>
      </c>
      <c r="AX303" s="4">
        <v>69310</v>
      </c>
      <c r="AY303" s="4">
        <v>67640</v>
      </c>
      <c r="AZ303" s="4">
        <v>68120</v>
      </c>
      <c r="BA303" s="4">
        <v>68330</v>
      </c>
      <c r="BB303" s="4">
        <v>66210</v>
      </c>
      <c r="BC303" s="4">
        <v>64530</v>
      </c>
      <c r="BD303" s="4">
        <v>62720</v>
      </c>
      <c r="BE303" s="4">
        <v>63470</v>
      </c>
      <c r="BF303" s="4">
        <v>63740</v>
      </c>
      <c r="BG303" s="4">
        <v>64280</v>
      </c>
      <c r="BH303" s="4">
        <v>65610</v>
      </c>
      <c r="BI303" s="4">
        <v>66200</v>
      </c>
      <c r="BJ303" s="4">
        <v>65590</v>
      </c>
      <c r="BK303" s="4">
        <v>65370</v>
      </c>
      <c r="BL303" s="4">
        <v>65600</v>
      </c>
      <c r="BM303" s="4">
        <v>65880</v>
      </c>
      <c r="BN303" s="4">
        <v>62230</v>
      </c>
      <c r="BO303" s="4">
        <v>61990</v>
      </c>
      <c r="BP303" s="4">
        <v>62650</v>
      </c>
      <c r="BQ303" s="4">
        <v>63400</v>
      </c>
      <c r="BR303" s="4">
        <v>62390</v>
      </c>
      <c r="BS303" s="4">
        <v>61870</v>
      </c>
      <c r="BT303" s="4">
        <v>62320</v>
      </c>
      <c r="BU303" s="4">
        <v>62070</v>
      </c>
      <c r="BV303" s="4">
        <v>61530</v>
      </c>
      <c r="BW303" s="4">
        <v>61360</v>
      </c>
      <c r="BX303" s="4">
        <v>62390</v>
      </c>
      <c r="BY303" s="4">
        <v>60860</v>
      </c>
      <c r="BZ303" s="4">
        <v>60480</v>
      </c>
    </row>
    <row r="304" spans="1:254">
      <c r="A304" s="62" t="s">
        <v>878</v>
      </c>
      <c r="B304" s="4" t="str">
        <f>銘柄管理!C304</f>
        <v>きんでん</v>
      </c>
      <c r="C304" s="4">
        <f>_xll.RssMarket("1944","現在値")</f>
        <v>7202</v>
      </c>
      <c r="D304" s="4">
        <f t="shared" si="8"/>
        <v>0</v>
      </c>
      <c r="E304" s="4">
        <v>7202</v>
      </c>
      <c r="F304" s="4">
        <v>7320</v>
      </c>
      <c r="G304" s="4">
        <v>7158</v>
      </c>
      <c r="H304" s="4">
        <v>6963</v>
      </c>
      <c r="I304" s="4">
        <v>7090</v>
      </c>
      <c r="J304" s="4">
        <v>7203</v>
      </c>
      <c r="K304" s="4">
        <v>7202</v>
      </c>
      <c r="L304" s="4">
        <v>7696</v>
      </c>
      <c r="M304" s="4">
        <v>7795</v>
      </c>
      <c r="N304" s="4">
        <v>7474</v>
      </c>
      <c r="O304" s="4">
        <v>7395</v>
      </c>
      <c r="P304" s="4">
        <v>7340</v>
      </c>
      <c r="Q304" s="4">
        <v>7216</v>
      </c>
      <c r="R304" s="4">
        <v>7084</v>
      </c>
      <c r="S304" s="4">
        <v>7553</v>
      </c>
      <c r="T304" s="4">
        <v>7374</v>
      </c>
      <c r="U304" s="4">
        <v>7387</v>
      </c>
      <c r="V304" s="4">
        <v>7634</v>
      </c>
      <c r="W304" s="4">
        <v>7702</v>
      </c>
      <c r="X304" s="4">
        <v>7792</v>
      </c>
      <c r="Y304" s="4">
        <v>8142</v>
      </c>
      <c r="Z304" s="4">
        <v>8038</v>
      </c>
      <c r="AA304" s="4">
        <v>7936</v>
      </c>
      <c r="AB304" s="4">
        <v>7837</v>
      </c>
      <c r="AC304" s="4">
        <v>7809</v>
      </c>
      <c r="AD304" s="4">
        <v>7946</v>
      </c>
      <c r="AE304" s="4">
        <v>8030</v>
      </c>
      <c r="AF304" s="4">
        <v>8095</v>
      </c>
      <c r="AG304" s="4">
        <v>8162</v>
      </c>
      <c r="AH304" s="4">
        <v>8209</v>
      </c>
      <c r="AI304" s="4">
        <v>8073</v>
      </c>
      <c r="AJ304" s="4">
        <v>8367</v>
      </c>
      <c r="AK304" s="4">
        <v>8272</v>
      </c>
      <c r="AL304" s="4">
        <v>7964</v>
      </c>
      <c r="AM304" s="4">
        <v>7737</v>
      </c>
      <c r="AN304" s="4">
        <v>7295</v>
      </c>
      <c r="AO304" s="4">
        <v>7304</v>
      </c>
      <c r="AP304" s="4">
        <v>6780</v>
      </c>
      <c r="AQ304" s="4">
        <v>6831</v>
      </c>
      <c r="AR304" s="4">
        <v>6916</v>
      </c>
      <c r="AS304" s="4">
        <v>6762</v>
      </c>
      <c r="AT304" s="4">
        <v>6621</v>
      </c>
      <c r="AU304" s="4">
        <v>6563</v>
      </c>
      <c r="AV304" s="4">
        <v>6533</v>
      </c>
      <c r="AW304" s="4">
        <v>6777</v>
      </c>
      <c r="AX304" s="4">
        <v>7179</v>
      </c>
      <c r="AY304" s="4">
        <v>7235</v>
      </c>
      <c r="AZ304" s="4">
        <v>7050</v>
      </c>
      <c r="BA304" s="4">
        <v>7197</v>
      </c>
      <c r="BB304" s="4">
        <v>6798</v>
      </c>
      <c r="BC304" s="4">
        <v>6819</v>
      </c>
      <c r="BD304" s="4">
        <v>6728</v>
      </c>
      <c r="BE304" s="4">
        <v>7050</v>
      </c>
      <c r="BF304" s="4">
        <v>6916</v>
      </c>
      <c r="BG304" s="4">
        <v>7458</v>
      </c>
      <c r="BH304" s="4">
        <v>7722</v>
      </c>
      <c r="BI304" s="4">
        <v>7995</v>
      </c>
      <c r="BJ304" s="4">
        <v>8133</v>
      </c>
      <c r="BK304" s="4">
        <v>8226</v>
      </c>
      <c r="BL304" s="4">
        <v>8310</v>
      </c>
      <c r="BM304" s="4">
        <v>8525</v>
      </c>
      <c r="BN304" s="4">
        <v>8140</v>
      </c>
      <c r="BO304" s="4">
        <v>8382</v>
      </c>
      <c r="BP304" s="4">
        <v>7932</v>
      </c>
      <c r="BQ304" s="4">
        <v>6932</v>
      </c>
      <c r="BR304" s="4">
        <v>7213</v>
      </c>
      <c r="BS304" s="4">
        <v>7135</v>
      </c>
      <c r="BT304" s="4">
        <v>7001</v>
      </c>
      <c r="BU304" s="4">
        <v>7014</v>
      </c>
      <c r="BV304" s="4">
        <v>7099</v>
      </c>
      <c r="BW304" s="4">
        <v>7056</v>
      </c>
      <c r="BX304" s="4">
        <v>7113</v>
      </c>
      <c r="BY304" s="4">
        <v>6903</v>
      </c>
      <c r="BZ304" s="4">
        <v>7325</v>
      </c>
    </row>
    <row r="305" spans="1:254">
      <c r="A305" s="62" t="s">
        <v>1039</v>
      </c>
      <c r="B305" s="4" t="str">
        <f>銘柄管理!C305</f>
        <v>パンパシフィックＨＤ</v>
      </c>
      <c r="C305" s="4">
        <f>_xll.RssMarket("7532","現在値")</f>
        <v>896</v>
      </c>
      <c r="D305" s="4">
        <f t="shared" si="8"/>
        <v>0</v>
      </c>
      <c r="E305" s="4">
        <v>896</v>
      </c>
      <c r="F305" s="4">
        <v>883.5</v>
      </c>
      <c r="G305" s="4">
        <v>889.1</v>
      </c>
      <c r="H305" s="4">
        <v>896.6</v>
      </c>
      <c r="I305" s="4">
        <v>902.2</v>
      </c>
      <c r="J305" s="4">
        <v>941.4</v>
      </c>
      <c r="K305" s="4">
        <v>964.6</v>
      </c>
      <c r="L305" s="4">
        <v>923.8</v>
      </c>
      <c r="M305" s="4">
        <v>894</v>
      </c>
      <c r="N305" s="4">
        <v>862.7</v>
      </c>
      <c r="O305" s="4">
        <v>856.2</v>
      </c>
      <c r="P305" s="4">
        <v>866.3</v>
      </c>
      <c r="Q305" s="4">
        <v>880.9</v>
      </c>
      <c r="R305" s="4">
        <v>889</v>
      </c>
      <c r="S305" s="4">
        <v>858.5</v>
      </c>
      <c r="T305" s="4">
        <v>874</v>
      </c>
      <c r="U305" s="4">
        <v>872.7</v>
      </c>
      <c r="V305" s="4">
        <v>850.4</v>
      </c>
      <c r="W305" s="4">
        <v>870.9</v>
      </c>
      <c r="X305" s="4">
        <v>873.2</v>
      </c>
      <c r="Y305" s="4">
        <v>866.7</v>
      </c>
      <c r="Z305" s="4">
        <v>852.7</v>
      </c>
      <c r="AA305" s="4">
        <v>818.3</v>
      </c>
      <c r="AB305" s="4">
        <v>820.7</v>
      </c>
      <c r="AC305" s="4">
        <v>793.6</v>
      </c>
      <c r="AD305" s="4">
        <v>823</v>
      </c>
      <c r="AE305" s="4">
        <v>826.4</v>
      </c>
      <c r="AF305" s="4">
        <v>823</v>
      </c>
      <c r="AG305" s="4">
        <v>820.7</v>
      </c>
      <c r="AH305" s="4">
        <v>818.5</v>
      </c>
      <c r="AI305" s="4">
        <v>813.4</v>
      </c>
      <c r="AJ305" s="4">
        <v>816.4</v>
      </c>
      <c r="AK305" s="4">
        <v>819</v>
      </c>
      <c r="AL305" s="4">
        <v>835.3</v>
      </c>
      <c r="AM305" s="4">
        <v>835.6</v>
      </c>
      <c r="AN305" s="4">
        <v>834.6</v>
      </c>
      <c r="AO305" s="4">
        <v>837.2</v>
      </c>
      <c r="AP305" s="4">
        <v>855.3</v>
      </c>
      <c r="AQ305" s="4">
        <v>867.8</v>
      </c>
      <c r="AR305" s="4">
        <v>849</v>
      </c>
      <c r="AS305" s="4">
        <v>839.3</v>
      </c>
      <c r="AT305" s="4">
        <v>831.9</v>
      </c>
      <c r="AU305" s="4">
        <v>826.1</v>
      </c>
      <c r="AV305" s="4">
        <v>824.6</v>
      </c>
      <c r="AW305" s="4">
        <v>826.7</v>
      </c>
      <c r="AX305" s="4">
        <v>878.2</v>
      </c>
      <c r="AY305" s="4">
        <v>858.5</v>
      </c>
      <c r="AZ305" s="4">
        <v>819</v>
      </c>
      <c r="BA305" s="4">
        <v>824.6</v>
      </c>
      <c r="BB305" s="4">
        <v>866.9</v>
      </c>
      <c r="BC305" s="4">
        <v>867.1</v>
      </c>
      <c r="BD305" s="4">
        <v>872.1</v>
      </c>
      <c r="BE305" s="4">
        <v>884.8</v>
      </c>
      <c r="BF305" s="4">
        <v>871.3</v>
      </c>
      <c r="BG305" s="4">
        <v>871.3</v>
      </c>
      <c r="BH305" s="4">
        <v>858</v>
      </c>
      <c r="BI305" s="4">
        <v>883.6</v>
      </c>
      <c r="BJ305" s="4">
        <v>893.8</v>
      </c>
      <c r="BK305" s="4">
        <v>907.3</v>
      </c>
      <c r="BL305" s="4">
        <v>883.5</v>
      </c>
      <c r="BM305" s="4">
        <v>887.3</v>
      </c>
      <c r="BN305" s="4">
        <v>888</v>
      </c>
      <c r="BO305" s="4">
        <v>889.4</v>
      </c>
      <c r="BP305" s="4">
        <v>900.7</v>
      </c>
      <c r="BQ305" s="4">
        <v>914.6</v>
      </c>
      <c r="BR305" s="4">
        <v>918.4</v>
      </c>
      <c r="BS305" s="4">
        <v>922</v>
      </c>
      <c r="BT305" s="4">
        <v>949.4</v>
      </c>
      <c r="BU305" s="4">
        <v>942</v>
      </c>
      <c r="BV305" s="4">
        <v>959.3</v>
      </c>
      <c r="BW305" s="4">
        <v>940</v>
      </c>
      <c r="BX305" s="4">
        <v>963.2</v>
      </c>
      <c r="BY305" s="4">
        <v>961.5</v>
      </c>
      <c r="BZ305" s="4">
        <v>962.6</v>
      </c>
    </row>
    <row r="306" spans="1:254">
      <c r="A306" s="63"/>
    </row>
    <row r="307" spans="1:254">
      <c r="A307" s="63"/>
    </row>
    <row r="308" spans="1:254">
      <c r="A308" s="63"/>
    </row>
    <row r="309" spans="1:254">
      <c r="A309" s="63"/>
    </row>
    <row r="310" spans="1:254">
      <c r="A310" s="63"/>
    </row>
    <row r="311" spans="1:254">
      <c r="A311" s="63"/>
    </row>
    <row r="312" spans="1:254">
      <c r="A312" s="63"/>
    </row>
    <row r="313" spans="1:254">
      <c r="A313" s="63"/>
    </row>
    <row r="314" spans="1:254">
      <c r="A314" s="63"/>
    </row>
    <row r="315" spans="1:254">
      <c r="A315" s="63"/>
    </row>
    <row r="316" spans="1:254">
      <c r="A316" s="63"/>
    </row>
    <row r="317" spans="1:254">
      <c r="A317" s="63"/>
    </row>
    <row r="318" spans="1:254">
      <c r="A318" s="63"/>
    </row>
    <row r="319" spans="1:254">
      <c r="A319" s="63"/>
    </row>
    <row r="320" spans="1:254">
      <c r="A320" s="63"/>
    </row>
    <row r="321" spans="1:254">
      <c r="A321" s="63"/>
    </row>
    <row r="322" spans="1:254">
      <c r="A322" s="63"/>
    </row>
    <row r="323" spans="1:254">
      <c r="A323" s="63"/>
    </row>
    <row r="324" spans="1:254">
      <c r="A324" s="63"/>
    </row>
    <row r="325" spans="1:254">
      <c r="A325" s="63"/>
    </row>
    <row r="326" spans="1:254">
      <c r="A326" s="63"/>
    </row>
    <row r="327" spans="1:254">
      <c r="A327" s="63"/>
    </row>
    <row r="328" spans="1:254">
      <c r="A328" s="63"/>
    </row>
    <row r="329" spans="1:254">
      <c r="A329" s="63"/>
    </row>
    <row r="330" spans="1:254">
      <c r="A330" s="63"/>
    </row>
    <row r="331" spans="1:254">
      <c r="A331" s="63"/>
    </row>
    <row r="332" spans="1:254">
      <c r="A332" s="63"/>
    </row>
    <row r="333" spans="1:254">
      <c r="A333" s="63"/>
    </row>
    <row r="334" spans="1:254">
      <c r="A334" s="63"/>
    </row>
    <row r="335" spans="1:254">
      <c r="A335" s="63"/>
    </row>
    <row r="336" spans="1:254">
      <c r="A336" s="63"/>
    </row>
    <row r="337" spans="1:254">
      <c r="A337" s="63"/>
    </row>
    <row r="338" spans="1:254">
      <c r="A338" s="63"/>
    </row>
    <row r="339" spans="1:254">
      <c r="A339" s="63"/>
    </row>
    <row r="340" spans="1:254">
      <c r="A340" s="63"/>
    </row>
    <row r="341" spans="1:254">
      <c r="A341" s="63"/>
    </row>
    <row r="342" spans="1:254">
      <c r="A342" s="63"/>
    </row>
    <row r="343" spans="1:254">
      <c r="A343" s="63"/>
    </row>
    <row r="344" spans="1:254">
      <c r="A344" s="63"/>
    </row>
    <row r="345" spans="1:254">
      <c r="A345" s="63"/>
    </row>
    <row r="346" spans="1:254">
      <c r="A346" s="63"/>
    </row>
    <row r="347" spans="1:254">
      <c r="A347" s="63"/>
    </row>
    <row r="348" spans="1:254">
      <c r="A348" s="63"/>
    </row>
    <row r="349" spans="1:254">
      <c r="A349" s="63"/>
    </row>
    <row r="350" spans="1:254">
      <c r="A350" s="63"/>
    </row>
    <row r="351" spans="1:254">
      <c r="A351" s="63"/>
    </row>
    <row r="352" spans="1:254">
      <c r="A352" s="63"/>
    </row>
    <row r="353" spans="1:254">
      <c r="A353" s="63"/>
    </row>
    <row r="354" spans="1:254">
      <c r="A354" s="63"/>
    </row>
    <row r="355" spans="1:254">
      <c r="A355" s="63"/>
    </row>
    <row r="356" spans="1:254">
      <c r="A356" s="63"/>
    </row>
    <row r="357" spans="1:254">
      <c r="A357" s="63"/>
    </row>
    <row r="358" spans="1:254">
      <c r="A358" s="63"/>
    </row>
    <row r="359" spans="1:254">
      <c r="A359" s="63"/>
    </row>
    <row r="360" spans="1:254">
      <c r="A360" s="63"/>
    </row>
    <row r="361" spans="1:254">
      <c r="A361" s="63"/>
    </row>
    <row r="362" spans="1:254">
      <c r="A362" s="63"/>
    </row>
    <row r="363" spans="1:254">
      <c r="A363" s="63"/>
    </row>
    <row r="364" spans="1:254">
      <c r="A364" s="63"/>
    </row>
    <row r="365" spans="1:254">
      <c r="A365" s="63"/>
    </row>
    <row r="366" spans="1:254">
      <c r="A366" s="63"/>
    </row>
    <row r="367" spans="1:254">
      <c r="A367" s="63"/>
    </row>
    <row r="368" spans="1:254">
      <c r="A368" s="63"/>
    </row>
    <row r="369" spans="1:254">
      <c r="A369" s="63"/>
    </row>
    <row r="370" spans="1:254">
      <c r="A370" s="63"/>
    </row>
    <row r="371" spans="1:254">
      <c r="A371" s="63"/>
    </row>
    <row r="372" spans="1:254">
      <c r="A372" s="63"/>
    </row>
    <row r="373" spans="1:254">
      <c r="A373" s="63"/>
    </row>
    <row r="374" spans="1:254">
      <c r="A374" s="63"/>
    </row>
    <row r="375" spans="1:254">
      <c r="A375" s="63"/>
    </row>
    <row r="376" spans="1:254">
      <c r="A376" s="63"/>
    </row>
    <row r="377" spans="1:254">
      <c r="A377" s="63"/>
    </row>
    <row r="378" spans="1:254">
      <c r="A378" s="63"/>
    </row>
    <row r="379" spans="1:254">
      <c r="A379" s="63"/>
    </row>
    <row r="380" spans="1:254">
      <c r="A380" s="63"/>
    </row>
    <row r="381" spans="1:254">
      <c r="A381" s="63"/>
    </row>
    <row r="382" spans="1:254">
      <c r="A382" s="63"/>
    </row>
    <row r="383" spans="1:254">
      <c r="A383" s="63"/>
    </row>
    <row r="384" spans="1:254">
      <c r="A384" s="63"/>
    </row>
    <row r="385" spans="1:254">
      <c r="A385" s="63"/>
    </row>
    <row r="386" spans="1:254">
      <c r="A386" s="63"/>
    </row>
    <row r="387" spans="1:254">
      <c r="A387" s="63"/>
    </row>
    <row r="388" spans="1:254">
      <c r="A388" s="63"/>
    </row>
    <row r="389" spans="1:254">
      <c r="A389" s="63"/>
    </row>
    <row r="390" spans="1:254">
      <c r="A390" s="63"/>
    </row>
    <row r="391" spans="1:254">
      <c r="A391" s="63"/>
    </row>
    <row r="392" spans="1:254">
      <c r="A392" s="63"/>
    </row>
    <row r="393" spans="1:254">
      <c r="A393" s="63"/>
    </row>
    <row r="394" spans="1:254">
      <c r="A394" s="63"/>
    </row>
    <row r="395" spans="1:254">
      <c r="A395" s="63"/>
    </row>
    <row r="396" spans="1:254">
      <c r="A396" s="63"/>
    </row>
    <row r="397" spans="1:254">
      <c r="A397" s="63"/>
    </row>
    <row r="398" spans="1:254">
      <c r="A398" s="63"/>
    </row>
    <row r="399" spans="1:254">
      <c r="A399" s="63"/>
    </row>
    <row r="400" spans="1:254">
      <c r="A400" s="63"/>
    </row>
    <row r="401" spans="1:254">
      <c r="A401" s="63"/>
    </row>
    <row r="402" spans="1:254">
      <c r="A402" s="63"/>
    </row>
    <row r="403" spans="1:254">
      <c r="A403" s="63"/>
    </row>
    <row r="404" spans="1:254">
      <c r="A404" s="63"/>
    </row>
    <row r="405" spans="1:254">
      <c r="A405" s="63"/>
    </row>
    <row r="406" spans="1:254">
      <c r="A406" s="63"/>
    </row>
    <row r="407" spans="1:254">
      <c r="A407" s="63"/>
    </row>
    <row r="408" spans="1:254">
      <c r="A408" s="63"/>
    </row>
    <row r="409" spans="1:254">
      <c r="A409" s="63"/>
    </row>
    <row r="410" spans="1:254">
      <c r="A410" s="63"/>
    </row>
    <row r="411" spans="1:254">
      <c r="A411" s="63"/>
    </row>
    <row r="412" spans="1:254">
      <c r="A412" s="63"/>
    </row>
    <row r="413" spans="1:254">
      <c r="A413" s="63"/>
    </row>
    <row r="414" spans="1:254">
      <c r="A414" s="63"/>
    </row>
    <row r="415" spans="1:254">
      <c r="A415" s="63"/>
    </row>
    <row r="416" spans="1:254">
      <c r="A416" s="63"/>
    </row>
    <row r="417" spans="1:254">
      <c r="A417" s="63"/>
    </row>
    <row r="418" spans="1:254">
      <c r="A418" s="63"/>
    </row>
    <row r="419" spans="1:254">
      <c r="A419" s="63"/>
    </row>
    <row r="420" spans="1:254">
      <c r="A420" s="63"/>
    </row>
    <row r="421" spans="1:254">
      <c r="A421" s="63"/>
    </row>
    <row r="422" spans="1:254">
      <c r="A422" s="63"/>
    </row>
    <row r="423" spans="1:254">
      <c r="A423" s="63"/>
    </row>
    <row r="424" spans="1:254">
      <c r="A424" s="63"/>
    </row>
    <row r="425" spans="1:254">
      <c r="A425" s="63"/>
    </row>
    <row r="426" spans="1:254">
      <c r="A426" s="63"/>
    </row>
    <row r="427" spans="1:254">
      <c r="A427" s="63"/>
    </row>
    <row r="428" spans="1:254">
      <c r="A428" s="63"/>
    </row>
    <row r="429" spans="1:254">
      <c r="A429" s="63"/>
    </row>
    <row r="430" spans="1:254">
      <c r="A430" s="63"/>
    </row>
    <row r="431" spans="1:254">
      <c r="A431" s="63"/>
    </row>
    <row r="432" spans="1:254">
      <c r="A432" s="63"/>
    </row>
    <row r="433" spans="1:254">
      <c r="A433" s="63"/>
    </row>
    <row r="434" spans="1:254">
      <c r="A434" s="63"/>
    </row>
    <row r="435" spans="1:254">
      <c r="A435" s="63"/>
    </row>
    <row r="436" spans="1:254">
      <c r="A436" s="63"/>
    </row>
    <row r="437" spans="1:254">
      <c r="A437" s="63"/>
    </row>
    <row r="438" spans="1:254">
      <c r="A438" s="63"/>
    </row>
    <row r="439" spans="1:254">
      <c r="A439" s="63"/>
    </row>
    <row r="440" spans="1:254">
      <c r="A440" s="63"/>
    </row>
    <row r="441" spans="1:254">
      <c r="A441" s="63"/>
    </row>
    <row r="442" spans="1:254">
      <c r="A442" s="63"/>
    </row>
    <row r="443" spans="1:254">
      <c r="A443" s="63"/>
    </row>
    <row r="444" spans="1:254">
      <c r="A444" s="63"/>
    </row>
    <row r="445" spans="1:254">
      <c r="A445" s="63"/>
    </row>
    <row r="446" spans="1:254">
      <c r="A446" s="63"/>
    </row>
    <row r="447" spans="1:254">
      <c r="A447" s="63"/>
    </row>
    <row r="448" spans="1:254">
      <c r="A448" s="63"/>
    </row>
    <row r="449" spans="1:254">
      <c r="A449" s="63"/>
    </row>
    <row r="450" spans="1:254">
      <c r="A450" s="63"/>
    </row>
    <row r="451" spans="1:254">
      <c r="A451" s="63"/>
    </row>
    <row r="452" spans="1:254">
      <c r="A452" s="63"/>
    </row>
    <row r="453" spans="1:254">
      <c r="A453" s="63"/>
    </row>
    <row r="454" spans="1:254">
      <c r="A454" s="63"/>
    </row>
    <row r="455" spans="1:254">
      <c r="A455" s="63"/>
    </row>
    <row r="456" spans="1:254">
      <c r="A456" s="63"/>
    </row>
    <row r="457" spans="1:254">
      <c r="A457" s="63"/>
    </row>
    <row r="458" spans="1:254">
      <c r="A458" s="63"/>
    </row>
    <row r="459" spans="1:254">
      <c r="A459" s="63"/>
    </row>
    <row r="460" spans="1:254">
      <c r="A460" s="63"/>
    </row>
    <row r="461" spans="1:254">
      <c r="A461" s="63"/>
    </row>
    <row r="462" spans="1:254">
      <c r="A462" s="63"/>
    </row>
    <row r="463" spans="1:254">
      <c r="A463" s="63"/>
    </row>
    <row r="464" spans="1:254">
      <c r="A464" s="63"/>
    </row>
    <row r="465" spans="1:254">
      <c r="A465" s="63"/>
    </row>
    <row r="466" spans="1:254">
      <c r="A466" s="63"/>
    </row>
    <row r="467" spans="1:254">
      <c r="A467" s="63"/>
    </row>
    <row r="468" spans="1:254">
      <c r="A468" s="63"/>
    </row>
    <row r="469" spans="1:254">
      <c r="A469" s="63"/>
    </row>
    <row r="470" spans="1:254">
      <c r="A470" s="63"/>
    </row>
    <row r="471" spans="1:254">
      <c r="A471" s="63"/>
    </row>
    <row r="472" spans="1:254">
      <c r="A472" s="63"/>
    </row>
    <row r="473" spans="1:254">
      <c r="A473" s="63"/>
    </row>
    <row r="474" spans="1:254">
      <c r="A474" s="63"/>
    </row>
    <row r="475" spans="1:254">
      <c r="A475" s="63"/>
    </row>
    <row r="476" spans="1:254">
      <c r="A476" s="63"/>
    </row>
    <row r="477" spans="1:254">
      <c r="A477" s="63"/>
    </row>
    <row r="478" spans="1:254">
      <c r="A478" s="63"/>
    </row>
    <row r="479" spans="1:254">
      <c r="A479" s="63"/>
    </row>
    <row r="480" spans="1:254">
      <c r="A480" s="63"/>
    </row>
    <row r="481" spans="1:254">
      <c r="A481" s="63"/>
    </row>
    <row r="482" spans="1:254">
      <c r="A482" s="63"/>
    </row>
    <row r="483" spans="1:254">
      <c r="A483" s="63"/>
    </row>
    <row r="484" spans="1:254">
      <c r="A484" s="63"/>
    </row>
    <row r="485" spans="1:254">
      <c r="A485" s="63"/>
    </row>
    <row r="486" spans="1:254">
      <c r="A486" s="63"/>
    </row>
    <row r="487" spans="1:254">
      <c r="A487" s="63"/>
    </row>
    <row r="488" spans="1:254">
      <c r="A488" s="63"/>
    </row>
    <row r="489" spans="1:254">
      <c r="A489" s="63"/>
    </row>
    <row r="490" spans="1:254">
      <c r="A490" s="63"/>
    </row>
    <row r="491" spans="1:254">
      <c r="A491" s="63"/>
    </row>
    <row r="492" spans="1:254">
      <c r="A492" s="63"/>
    </row>
    <row r="493" spans="1:254">
      <c r="A493" s="63"/>
    </row>
    <row r="494" spans="1:254">
      <c r="A494" s="63"/>
    </row>
    <row r="495" spans="1:254">
      <c r="A495" s="63"/>
    </row>
    <row r="496" spans="1:254">
      <c r="A496" s="63"/>
    </row>
    <row r="497" spans="1:254">
      <c r="A497" s="63"/>
    </row>
    <row r="498" spans="1:254">
      <c r="A498" s="63"/>
    </row>
    <row r="499" spans="1:254">
      <c r="A499" s="63"/>
    </row>
    <row r="500" spans="1:254">
      <c r="A500" s="63"/>
    </row>
    <row r="501" spans="1:254">
      <c r="A501" s="63"/>
    </row>
    <row r="502" spans="1:254">
      <c r="A502" s="63"/>
    </row>
    <row r="503" spans="1:254">
      <c r="A503" s="63"/>
    </row>
    <row r="504" spans="1:254">
      <c r="A504" s="63"/>
    </row>
    <row r="505" spans="1:254">
      <c r="A505" s="63"/>
    </row>
  </sheetData>
  <sheetProtection algorithmName="SHA-512" hashValue="YcvpKxtFSlBYRohyi22CbtCMxTU/QN7f0r2h+cDpzYutWZ2/GpW8I+7C3riuHBLm4jCeipp35NwHoichwvZy/g==" saltValue="4U2I82f6JwwCoFPPyLzYgQ=="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IT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R54" sqref="R54"/>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 min="105" max="254" width="7" style="1" customWidth="1"/>
  </cols>
  <sheetData>
    <row r="1" spans="1:254" ht="30" customHeight="1">
      <c r="A1" s="771" t="s">
        <v>584</v>
      </c>
      <c r="B1" s="743"/>
      <c r="C1" s="743"/>
      <c r="D1" s="743"/>
      <c r="E1" s="743"/>
      <c r="F1" s="743"/>
      <c r="G1" s="743"/>
      <c r="H1" s="743"/>
      <c r="I1" s="743"/>
      <c r="J1" s="743"/>
      <c r="K1" s="743"/>
      <c r="L1" s="743"/>
      <c r="M1" s="743"/>
      <c r="N1" s="743"/>
      <c r="O1" s="743"/>
      <c r="P1" s="743"/>
      <c r="Q1" s="743"/>
      <c r="R1" s="743"/>
      <c r="S1" s="743"/>
      <c r="T1" s="743"/>
      <c r="U1" s="743"/>
      <c r="V1" s="743"/>
      <c r="W1" s="743"/>
      <c r="X1" s="743"/>
      <c r="Y1" s="743"/>
      <c r="Z1" s="743"/>
      <c r="AA1" s="743"/>
      <c r="AB1" s="743"/>
      <c r="AC1" s="743"/>
      <c r="AD1" s="743"/>
      <c r="AE1" s="743"/>
      <c r="AF1" s="743"/>
      <c r="AG1" s="743"/>
      <c r="AH1" s="743"/>
      <c r="AI1" s="743"/>
      <c r="AJ1" s="743"/>
      <c r="AK1" s="743"/>
      <c r="AL1" s="743"/>
      <c r="AM1" s="743"/>
      <c r="AN1" s="743"/>
      <c r="AO1" s="743"/>
      <c r="AP1" s="743"/>
      <c r="AQ1" s="743"/>
      <c r="AR1" s="743"/>
      <c r="AS1" s="743"/>
      <c r="AT1" s="743"/>
      <c r="AU1" s="743"/>
      <c r="AV1" s="743"/>
      <c r="AW1" s="743"/>
      <c r="AX1" s="743"/>
      <c r="AY1" s="743"/>
      <c r="AZ1" s="743"/>
      <c r="BA1" s="743"/>
      <c r="BB1" s="743"/>
      <c r="BC1" s="743"/>
      <c r="BD1" s="743"/>
      <c r="BE1" s="743"/>
      <c r="BF1" s="743"/>
      <c r="BG1" s="743"/>
      <c r="BH1" s="743"/>
      <c r="BI1" s="743"/>
      <c r="BJ1" s="743"/>
      <c r="BK1" s="743"/>
      <c r="BL1" s="743"/>
    </row>
    <row r="2" spans="1:254"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254" ht="14.1" customHeight="1">
      <c r="A3" s="391" t="s">
        <v>5</v>
      </c>
      <c r="B3" s="194"/>
      <c r="C3" s="194" t="s">
        <v>6</v>
      </c>
      <c r="D3" s="196"/>
      <c r="E3" s="197">
        <v>46240</v>
      </c>
      <c r="F3" s="179">
        <v>46239</v>
      </c>
      <c r="G3" s="179">
        <v>46238</v>
      </c>
      <c r="H3" s="179">
        <v>46237</v>
      </c>
      <c r="I3" s="179">
        <v>46234</v>
      </c>
      <c r="J3" s="179">
        <v>46233</v>
      </c>
      <c r="K3" s="179">
        <v>46232</v>
      </c>
      <c r="L3" s="179">
        <v>46231</v>
      </c>
      <c r="M3" s="179">
        <v>46230</v>
      </c>
      <c r="N3" s="179">
        <v>46227</v>
      </c>
      <c r="O3" s="179">
        <v>46226</v>
      </c>
      <c r="P3" s="179">
        <v>46225</v>
      </c>
      <c r="Q3" s="179">
        <v>46224</v>
      </c>
      <c r="R3" s="179">
        <v>46220</v>
      </c>
      <c r="S3" s="179">
        <v>46218</v>
      </c>
      <c r="T3" s="179">
        <v>46217</v>
      </c>
      <c r="U3" s="179">
        <v>46216</v>
      </c>
      <c r="V3" s="179">
        <v>46213</v>
      </c>
      <c r="W3" s="179">
        <v>46212</v>
      </c>
      <c r="X3" s="179">
        <v>46211</v>
      </c>
      <c r="Y3" s="179">
        <v>46210</v>
      </c>
      <c r="Z3" s="179">
        <v>46209</v>
      </c>
      <c r="AA3" s="179">
        <v>46206</v>
      </c>
      <c r="AB3" s="179">
        <v>46205</v>
      </c>
      <c r="AC3" s="179">
        <v>46204</v>
      </c>
      <c r="AD3" s="179">
        <v>46203</v>
      </c>
      <c r="AE3" s="179">
        <v>46202</v>
      </c>
      <c r="AF3" s="179">
        <v>46199</v>
      </c>
      <c r="AG3" s="179">
        <v>46198</v>
      </c>
      <c r="AH3" s="179">
        <v>46197</v>
      </c>
      <c r="AI3" s="179">
        <v>46196</v>
      </c>
      <c r="AJ3" s="179">
        <v>46195</v>
      </c>
      <c r="AK3" s="179">
        <v>46192</v>
      </c>
      <c r="AL3" s="179">
        <v>46191</v>
      </c>
      <c r="AM3" s="179">
        <v>46190</v>
      </c>
      <c r="AN3" s="179">
        <v>46189</v>
      </c>
      <c r="AO3" s="179">
        <v>46188</v>
      </c>
      <c r="AP3" s="179">
        <v>46185</v>
      </c>
      <c r="AQ3" s="179">
        <v>46184</v>
      </c>
      <c r="AR3" s="179">
        <v>46183</v>
      </c>
      <c r="AS3" s="179">
        <v>46181</v>
      </c>
      <c r="AT3" s="179">
        <v>46178</v>
      </c>
      <c r="AU3" s="179">
        <v>46177</v>
      </c>
      <c r="AV3" s="179">
        <v>46176</v>
      </c>
      <c r="AW3" s="179">
        <v>46175</v>
      </c>
      <c r="AX3" s="179">
        <v>46171</v>
      </c>
      <c r="AY3" s="179">
        <v>46170</v>
      </c>
      <c r="AZ3" s="179">
        <v>46169</v>
      </c>
      <c r="BA3" s="179">
        <v>46167</v>
      </c>
      <c r="BB3" s="179">
        <v>46164</v>
      </c>
      <c r="BC3" s="179">
        <v>46163</v>
      </c>
      <c r="BD3" s="179">
        <v>46162</v>
      </c>
      <c r="BE3" s="179">
        <v>46161</v>
      </c>
      <c r="BF3" s="179">
        <v>46160</v>
      </c>
      <c r="BG3" s="179">
        <v>46157</v>
      </c>
      <c r="BH3" s="179">
        <v>46156</v>
      </c>
      <c r="BI3" s="179">
        <v>46155</v>
      </c>
      <c r="BJ3" s="179">
        <v>46154</v>
      </c>
      <c r="BK3" s="179">
        <v>46153</v>
      </c>
      <c r="BL3" s="179">
        <v>46150</v>
      </c>
      <c r="BM3" s="735">
        <v>46149</v>
      </c>
      <c r="BN3" s="735">
        <v>46143</v>
      </c>
      <c r="BO3" s="735">
        <v>46142</v>
      </c>
      <c r="BP3" s="735">
        <v>46140</v>
      </c>
      <c r="BQ3" s="735">
        <v>46139</v>
      </c>
      <c r="BR3" s="735">
        <v>46136</v>
      </c>
      <c r="BS3" s="735">
        <v>46135</v>
      </c>
      <c r="BT3" s="735">
        <v>46134</v>
      </c>
      <c r="BU3" s="735">
        <v>46133</v>
      </c>
      <c r="BV3" s="735">
        <v>46132</v>
      </c>
      <c r="BW3" s="735">
        <v>46129</v>
      </c>
      <c r="BX3" s="735">
        <v>46128</v>
      </c>
      <c r="BY3" s="735">
        <v>46127</v>
      </c>
      <c r="BZ3" s="735">
        <v>46126</v>
      </c>
      <c r="CA3" s="735"/>
      <c r="CB3" s="735"/>
      <c r="CC3" s="735"/>
      <c r="CD3" s="735"/>
      <c r="CE3" s="735"/>
      <c r="CF3" s="735"/>
      <c r="CG3" s="735"/>
      <c r="CH3" s="735"/>
      <c r="CI3" s="735"/>
      <c r="CJ3" s="735"/>
      <c r="CK3" s="735"/>
      <c r="CL3" s="735"/>
      <c r="CM3" s="735"/>
      <c r="CN3" s="735"/>
      <c r="CO3" s="735"/>
      <c r="CP3" s="735"/>
      <c r="CQ3" s="735"/>
      <c r="CR3" s="735"/>
      <c r="CS3" s="735"/>
      <c r="CT3" s="735"/>
      <c r="CU3" s="735"/>
      <c r="CV3" s="735"/>
      <c r="CW3" s="735"/>
      <c r="CX3" s="735"/>
      <c r="CY3" s="735"/>
      <c r="CZ3" s="735"/>
    </row>
    <row r="4" spans="1:254"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254" ht="22.5" customHeight="1">
      <c r="A5" s="392" t="str">
        <f>IF(銘柄管理!B5="","",銘柄管理!B5)</f>
        <v>TOPX</v>
      </c>
      <c r="B5" s="46">
        <f>IF(銘柄管理!C5="","",銘柄管理!C5)</f>
        <v>4055.85</v>
      </c>
      <c r="C5" s="47">
        <f t="array" ref="C5">_xll.RssIndexMarket("TOPX", "出来高")</f>
        <v>299730</v>
      </c>
      <c r="D5" s="198"/>
      <c r="E5" s="199">
        <v>299730</v>
      </c>
      <c r="F5" s="48">
        <v>310165</v>
      </c>
      <c r="G5" s="48">
        <v>289346</v>
      </c>
      <c r="H5" s="48">
        <v>313793</v>
      </c>
      <c r="I5" s="48">
        <v>351757</v>
      </c>
      <c r="J5" s="48">
        <v>333124</v>
      </c>
      <c r="K5" s="48">
        <v>392002</v>
      </c>
      <c r="L5" s="48">
        <v>290219</v>
      </c>
      <c r="M5" s="49">
        <v>258320</v>
      </c>
      <c r="N5" s="49">
        <v>223948</v>
      </c>
      <c r="O5" s="49">
        <v>224358</v>
      </c>
      <c r="P5" s="49">
        <v>213760</v>
      </c>
      <c r="Q5" s="49">
        <v>265763</v>
      </c>
      <c r="R5" s="49">
        <v>311322</v>
      </c>
      <c r="S5" s="49">
        <v>247594</v>
      </c>
      <c r="T5" s="49">
        <v>273879</v>
      </c>
      <c r="U5" s="49">
        <v>231632</v>
      </c>
      <c r="V5" s="49">
        <v>257413</v>
      </c>
      <c r="W5" s="49">
        <v>231271</v>
      </c>
      <c r="X5" s="49">
        <v>272267</v>
      </c>
      <c r="Y5" s="49">
        <v>283069</v>
      </c>
      <c r="Z5" s="49">
        <v>239328</v>
      </c>
      <c r="AA5" s="49">
        <v>257931</v>
      </c>
      <c r="AB5" s="49">
        <v>273146</v>
      </c>
      <c r="AC5" s="49">
        <v>259489</v>
      </c>
      <c r="AD5" s="49">
        <v>264711</v>
      </c>
      <c r="AE5" s="49">
        <v>299540</v>
      </c>
      <c r="AF5" s="49">
        <v>270124</v>
      </c>
      <c r="AG5" s="49">
        <v>265728</v>
      </c>
      <c r="AH5" s="49">
        <v>269575</v>
      </c>
      <c r="AI5" s="49">
        <v>284296</v>
      </c>
      <c r="AJ5" s="49">
        <v>237206</v>
      </c>
      <c r="AK5" s="49">
        <v>339753</v>
      </c>
      <c r="AL5" s="49">
        <v>255563</v>
      </c>
      <c r="AM5" s="49">
        <v>234920</v>
      </c>
      <c r="AN5" s="49">
        <v>248987</v>
      </c>
      <c r="AO5" s="49">
        <v>298924</v>
      </c>
      <c r="AP5" s="1">
        <v>262899</v>
      </c>
      <c r="AQ5" s="48">
        <v>275419</v>
      </c>
      <c r="AR5" s="48">
        <v>286208</v>
      </c>
      <c r="AS5" s="48">
        <v>242344</v>
      </c>
      <c r="AT5" s="48">
        <v>254015</v>
      </c>
      <c r="AU5" s="48">
        <v>280706</v>
      </c>
      <c r="AV5" s="48">
        <v>297219</v>
      </c>
      <c r="AW5" s="48">
        <v>483567</v>
      </c>
      <c r="AX5" s="48">
        <v>281296</v>
      </c>
      <c r="AY5" s="48">
        <v>267824</v>
      </c>
      <c r="AZ5" s="48">
        <v>268512</v>
      </c>
      <c r="BA5" s="48">
        <v>260652</v>
      </c>
      <c r="BB5" s="48">
        <v>270037</v>
      </c>
      <c r="BC5" s="48">
        <v>295563</v>
      </c>
      <c r="BD5" s="48">
        <v>292537</v>
      </c>
      <c r="BE5" s="48">
        <v>293326</v>
      </c>
      <c r="BF5" s="48">
        <v>341267</v>
      </c>
      <c r="BG5" s="48">
        <v>335971</v>
      </c>
      <c r="BH5" s="48"/>
      <c r="BI5" s="48"/>
      <c r="BJ5" s="48"/>
      <c r="BK5" s="48"/>
      <c r="BL5" s="48"/>
    </row>
    <row r="6" spans="1:254" ht="22.5" customHeight="1">
      <c r="A6" s="393" t="s">
        <v>7</v>
      </c>
      <c r="B6" s="46" t="s">
        <v>8</v>
      </c>
      <c r="C6" s="50">
        <f>_xll.RssMarket("5706","出来高")</f>
        <v>1367900</v>
      </c>
      <c r="D6" s="202">
        <f t="shared" ref="D6:D69" si="0">C6-E6</f>
        <v>0</v>
      </c>
      <c r="E6" s="203">
        <v>1367900</v>
      </c>
      <c r="F6" s="51">
        <v>1505500</v>
      </c>
      <c r="G6" s="51">
        <v>1064200</v>
      </c>
      <c r="H6" s="51">
        <v>976100</v>
      </c>
      <c r="I6" s="51">
        <v>2125900</v>
      </c>
      <c r="J6" s="51">
        <v>1614000</v>
      </c>
      <c r="K6" s="51">
        <v>1456900</v>
      </c>
      <c r="L6" s="51">
        <v>1116400</v>
      </c>
      <c r="M6" s="51">
        <v>944100</v>
      </c>
      <c r="N6" s="51">
        <v>722900</v>
      </c>
      <c r="O6" s="51">
        <v>792100</v>
      </c>
      <c r="P6" s="51">
        <v>1665600</v>
      </c>
      <c r="Q6" s="51">
        <v>1096100</v>
      </c>
      <c r="R6" s="52">
        <v>1534300</v>
      </c>
      <c r="S6" s="52">
        <v>940800</v>
      </c>
      <c r="T6" s="52">
        <v>1385700</v>
      </c>
      <c r="U6" s="52">
        <v>779800</v>
      </c>
      <c r="V6" s="52">
        <v>1292200</v>
      </c>
      <c r="W6" s="52">
        <v>1421900</v>
      </c>
      <c r="X6" s="52">
        <v>1701100</v>
      </c>
      <c r="Y6" s="52">
        <v>1199300</v>
      </c>
      <c r="Z6" s="52">
        <v>843200</v>
      </c>
      <c r="AA6" s="52">
        <v>2185000</v>
      </c>
      <c r="AB6" s="52">
        <v>1595100</v>
      </c>
      <c r="AC6" s="52">
        <v>1573700</v>
      </c>
      <c r="AD6" s="52">
        <v>1211500</v>
      </c>
      <c r="AE6" s="52">
        <v>2242000</v>
      </c>
      <c r="AF6" s="52">
        <v>1324100</v>
      </c>
      <c r="AG6" s="52">
        <v>1154800</v>
      </c>
      <c r="AH6" s="52">
        <v>1646900</v>
      </c>
      <c r="AI6" s="52">
        <v>2327400</v>
      </c>
      <c r="AJ6" s="52">
        <v>1789600</v>
      </c>
      <c r="AK6" s="52">
        <v>2142500</v>
      </c>
      <c r="AL6" s="52">
        <v>1972400</v>
      </c>
      <c r="AM6" s="52">
        <v>1716800</v>
      </c>
      <c r="AN6" s="20">
        <v>2735900</v>
      </c>
      <c r="AO6" s="20">
        <v>2434000</v>
      </c>
      <c r="AP6" s="21">
        <v>3868100</v>
      </c>
      <c r="AQ6" s="21">
        <v>1698900</v>
      </c>
      <c r="AR6" s="21">
        <v>1978700</v>
      </c>
      <c r="AS6" s="21">
        <v>1514600</v>
      </c>
      <c r="AT6" s="21">
        <v>1702400</v>
      </c>
      <c r="AU6" s="21">
        <v>1783000</v>
      </c>
      <c r="AV6" s="21">
        <v>2308800</v>
      </c>
      <c r="AW6" s="21">
        <v>2287800</v>
      </c>
      <c r="AX6" s="21">
        <v>5244100</v>
      </c>
      <c r="AY6" s="21">
        <v>2149400</v>
      </c>
      <c r="AZ6" s="21">
        <v>1891300</v>
      </c>
      <c r="BA6" s="21">
        <v>1847400</v>
      </c>
      <c r="BB6" s="21">
        <v>1964800</v>
      </c>
      <c r="BC6" s="21">
        <v>1979200</v>
      </c>
      <c r="BD6" s="21">
        <v>1759900</v>
      </c>
      <c r="BE6" s="21">
        <v>2104800</v>
      </c>
      <c r="BF6" s="21">
        <v>2872900</v>
      </c>
      <c r="BG6" s="21">
        <v>2997400</v>
      </c>
      <c r="BH6" s="21">
        <v>6185500</v>
      </c>
      <c r="BI6" s="21">
        <v>3317800</v>
      </c>
      <c r="BJ6" s="21">
        <v>2098100</v>
      </c>
      <c r="BK6" s="21">
        <v>2551400</v>
      </c>
      <c r="BL6" s="21">
        <v>2582600</v>
      </c>
      <c r="BM6" s="1">
        <v>2151900</v>
      </c>
      <c r="BN6" s="1">
        <v>1669300</v>
      </c>
      <c r="BO6" s="1">
        <v>2464100</v>
      </c>
      <c r="BP6" s="1">
        <v>2386800</v>
      </c>
      <c r="BQ6" s="1">
        <v>2156100</v>
      </c>
      <c r="BR6" s="1">
        <v>1570700</v>
      </c>
      <c r="BS6" s="1">
        <v>1560100</v>
      </c>
      <c r="BT6" s="1">
        <v>1696700</v>
      </c>
      <c r="BU6" s="1">
        <v>1472900</v>
      </c>
      <c r="BV6" s="1">
        <v>1023500</v>
      </c>
      <c r="BW6" s="1">
        <v>1262900</v>
      </c>
      <c r="BX6" s="1">
        <v>2234300</v>
      </c>
      <c r="BY6" s="1">
        <v>2707000</v>
      </c>
      <c r="BZ6" s="1">
        <v>1787000</v>
      </c>
    </row>
    <row r="7" spans="1:254" ht="15.9" customHeight="1">
      <c r="A7" s="393" t="s">
        <v>9</v>
      </c>
      <c r="B7" s="46" t="s">
        <v>10</v>
      </c>
      <c r="C7" s="50">
        <f>_xll.RssMarket("5423","出来高")</f>
        <v>406000</v>
      </c>
      <c r="D7" s="202">
        <f t="shared" si="0"/>
        <v>0</v>
      </c>
      <c r="E7" s="203">
        <v>406000</v>
      </c>
      <c r="F7" s="52">
        <v>293400</v>
      </c>
      <c r="G7" s="52">
        <v>335100</v>
      </c>
      <c r="H7" s="52">
        <v>486200</v>
      </c>
      <c r="I7" s="52">
        <v>421800</v>
      </c>
      <c r="J7" s="52">
        <v>399300</v>
      </c>
      <c r="K7" s="52">
        <v>409900</v>
      </c>
      <c r="L7" s="52">
        <v>528400</v>
      </c>
      <c r="M7" s="52">
        <v>280800</v>
      </c>
      <c r="N7" s="52">
        <v>308700</v>
      </c>
      <c r="O7" s="52">
        <v>311300</v>
      </c>
      <c r="P7" s="52">
        <v>478000</v>
      </c>
      <c r="Q7" s="52">
        <v>751300</v>
      </c>
      <c r="R7" s="52">
        <v>1407800</v>
      </c>
      <c r="S7" s="52">
        <v>304700</v>
      </c>
      <c r="T7" s="52">
        <v>391800</v>
      </c>
      <c r="U7" s="52">
        <v>272200</v>
      </c>
      <c r="V7" s="52">
        <v>279100</v>
      </c>
      <c r="W7" s="52">
        <v>194900</v>
      </c>
      <c r="X7" s="52">
        <v>269100</v>
      </c>
      <c r="Y7" s="52">
        <v>318500</v>
      </c>
      <c r="Z7" s="52">
        <v>256200</v>
      </c>
      <c r="AA7" s="52">
        <v>232100</v>
      </c>
      <c r="AB7" s="52">
        <v>268500</v>
      </c>
      <c r="AC7" s="52">
        <v>303000</v>
      </c>
      <c r="AD7" s="52">
        <v>218300</v>
      </c>
      <c r="AE7" s="52">
        <v>204700</v>
      </c>
      <c r="AF7" s="52">
        <v>220300</v>
      </c>
      <c r="AG7" s="52">
        <v>283100</v>
      </c>
      <c r="AH7" s="52">
        <v>218400</v>
      </c>
      <c r="AI7" s="52">
        <v>277200</v>
      </c>
      <c r="AJ7" s="52">
        <v>238800</v>
      </c>
      <c r="AK7" s="52">
        <v>394300</v>
      </c>
      <c r="AL7" s="52">
        <v>229800</v>
      </c>
      <c r="AM7" s="52">
        <v>385700</v>
      </c>
      <c r="AN7" s="52">
        <v>266000</v>
      </c>
      <c r="AO7" s="52">
        <v>246900</v>
      </c>
      <c r="AP7" s="52">
        <v>538200</v>
      </c>
      <c r="AQ7" s="21">
        <v>289100</v>
      </c>
      <c r="AR7" s="21">
        <v>225000</v>
      </c>
      <c r="AS7" s="21">
        <v>430800</v>
      </c>
      <c r="AT7" s="21">
        <v>190600</v>
      </c>
      <c r="AU7" s="21">
        <v>271900</v>
      </c>
      <c r="AV7" s="21">
        <v>340800</v>
      </c>
      <c r="AW7" s="21">
        <v>323000</v>
      </c>
      <c r="AX7" s="21">
        <v>496800</v>
      </c>
      <c r="AY7" s="21">
        <v>290400</v>
      </c>
      <c r="AZ7" s="21">
        <v>390000</v>
      </c>
      <c r="BA7" s="21">
        <v>325400</v>
      </c>
      <c r="BB7" s="21">
        <v>269500</v>
      </c>
      <c r="BC7" s="21">
        <v>349400</v>
      </c>
      <c r="BD7" s="21">
        <v>311700</v>
      </c>
      <c r="BE7" s="21">
        <v>394200</v>
      </c>
      <c r="BF7" s="21">
        <v>489200</v>
      </c>
      <c r="BG7" s="21">
        <v>729700</v>
      </c>
      <c r="BH7" s="21">
        <v>1307500</v>
      </c>
      <c r="BI7" s="21">
        <v>510200</v>
      </c>
      <c r="BJ7" s="21">
        <v>393600</v>
      </c>
      <c r="BK7" s="21">
        <v>502600</v>
      </c>
      <c r="BL7" s="21">
        <v>670800</v>
      </c>
      <c r="BM7" s="1">
        <v>503300</v>
      </c>
      <c r="BN7" s="1">
        <v>442900</v>
      </c>
      <c r="BO7" s="1">
        <v>509400</v>
      </c>
      <c r="BP7" s="1">
        <v>573900</v>
      </c>
      <c r="BQ7" s="1">
        <v>1287300</v>
      </c>
      <c r="BR7" s="1">
        <v>1953600</v>
      </c>
      <c r="BS7" s="1">
        <v>576200</v>
      </c>
      <c r="BT7" s="1">
        <v>561600</v>
      </c>
      <c r="BU7" s="1">
        <v>568300</v>
      </c>
      <c r="BV7" s="1">
        <v>557900</v>
      </c>
      <c r="BW7" s="1">
        <v>489200</v>
      </c>
      <c r="BX7" s="1">
        <v>572900</v>
      </c>
      <c r="BY7" s="1">
        <v>368500</v>
      </c>
      <c r="BZ7" s="1">
        <v>333100</v>
      </c>
    </row>
    <row r="8" spans="1:254" ht="15.9" customHeight="1">
      <c r="A8" s="393" t="s">
        <v>11</v>
      </c>
      <c r="B8" s="46" t="s">
        <v>12</v>
      </c>
      <c r="C8" s="50">
        <f>_xll.RssMarket("5713","出来高")</f>
        <v>4906500</v>
      </c>
      <c r="D8" s="202">
        <f t="shared" si="0"/>
        <v>0</v>
      </c>
      <c r="E8" s="203">
        <v>4906500</v>
      </c>
      <c r="F8" s="53">
        <v>3102900</v>
      </c>
      <c r="G8" s="53">
        <v>2408800</v>
      </c>
      <c r="H8" s="53">
        <v>3132800</v>
      </c>
      <c r="I8" s="53">
        <v>5112600</v>
      </c>
      <c r="J8" s="53">
        <v>2781900</v>
      </c>
      <c r="K8" s="53">
        <v>3262500</v>
      </c>
      <c r="L8" s="53">
        <v>2329600</v>
      </c>
      <c r="M8" s="53">
        <v>2906500</v>
      </c>
      <c r="N8" s="53">
        <v>2824800</v>
      </c>
      <c r="O8" s="53">
        <v>3238300</v>
      </c>
      <c r="P8" s="53">
        <v>3587800</v>
      </c>
      <c r="Q8" s="53">
        <v>3275000</v>
      </c>
      <c r="R8" s="53">
        <v>4694300</v>
      </c>
      <c r="S8" s="53">
        <v>2084200</v>
      </c>
      <c r="T8" s="53">
        <v>2981100</v>
      </c>
      <c r="U8" s="53">
        <v>1612700</v>
      </c>
      <c r="V8" s="53">
        <v>2142600</v>
      </c>
      <c r="W8" s="53">
        <v>3272700</v>
      </c>
      <c r="X8" s="53">
        <v>3272500</v>
      </c>
      <c r="Y8" s="53">
        <v>2793700</v>
      </c>
      <c r="Z8" s="53">
        <v>2240200</v>
      </c>
      <c r="AA8" s="53">
        <v>3730000</v>
      </c>
      <c r="AB8" s="53">
        <v>2866400</v>
      </c>
      <c r="AC8" s="53">
        <v>1962000</v>
      </c>
      <c r="AD8" s="53">
        <v>2680500</v>
      </c>
      <c r="AE8" s="53">
        <v>2630900</v>
      </c>
      <c r="AF8" s="53">
        <v>2936400</v>
      </c>
      <c r="AG8" s="53">
        <v>3459500</v>
      </c>
      <c r="AH8" s="53">
        <v>3127800</v>
      </c>
      <c r="AI8" s="53">
        <v>3010000</v>
      </c>
      <c r="AJ8" s="53">
        <v>2386800</v>
      </c>
      <c r="AK8" s="53">
        <v>3982200</v>
      </c>
      <c r="AL8" s="53">
        <v>2589500</v>
      </c>
      <c r="AM8" s="53">
        <v>2551700</v>
      </c>
      <c r="AN8" s="22">
        <v>2641400</v>
      </c>
      <c r="AO8" s="22">
        <v>3071400</v>
      </c>
      <c r="AP8" s="21">
        <v>4556800</v>
      </c>
      <c r="AQ8" s="21">
        <v>3142400</v>
      </c>
      <c r="AR8" s="21">
        <v>3560800</v>
      </c>
      <c r="AS8" s="21">
        <v>3843300</v>
      </c>
      <c r="AT8" s="21">
        <v>2594500</v>
      </c>
      <c r="AU8" s="21">
        <v>2081000</v>
      </c>
      <c r="AV8" s="21">
        <v>2542500</v>
      </c>
      <c r="AW8" s="21">
        <v>2932000</v>
      </c>
      <c r="AX8" s="21">
        <v>4027100</v>
      </c>
      <c r="AY8" s="21">
        <v>4084200</v>
      </c>
      <c r="AZ8" s="21">
        <v>2595000</v>
      </c>
      <c r="BA8" s="21">
        <v>2050500</v>
      </c>
      <c r="BB8" s="21">
        <v>2228600</v>
      </c>
      <c r="BC8" s="21">
        <v>2640900</v>
      </c>
      <c r="BD8" s="21">
        <v>3138100</v>
      </c>
      <c r="BE8" s="21">
        <v>2982700</v>
      </c>
      <c r="BF8" s="21">
        <v>3759600</v>
      </c>
      <c r="BG8" s="21">
        <v>4067900</v>
      </c>
      <c r="BH8" s="21">
        <v>3379600</v>
      </c>
      <c r="BI8" s="21">
        <v>3612200</v>
      </c>
      <c r="BJ8" s="21">
        <v>4429700</v>
      </c>
      <c r="BK8" s="21">
        <v>8245000</v>
      </c>
      <c r="BL8" s="21">
        <v>3684000</v>
      </c>
      <c r="BM8" s="1">
        <v>3693100</v>
      </c>
      <c r="BN8" s="1">
        <v>1976400</v>
      </c>
      <c r="BO8" s="1">
        <v>3637600</v>
      </c>
      <c r="BP8" s="1">
        <v>3034900</v>
      </c>
      <c r="BQ8" s="1">
        <v>2689000</v>
      </c>
      <c r="BR8" s="1">
        <v>2050300</v>
      </c>
      <c r="BS8" s="1">
        <v>2954900</v>
      </c>
      <c r="BT8" s="1">
        <v>2835900</v>
      </c>
      <c r="BU8" s="1">
        <v>1576200</v>
      </c>
      <c r="BV8" s="1">
        <v>1726400</v>
      </c>
      <c r="BW8" s="1">
        <v>3352800</v>
      </c>
      <c r="BX8" s="1">
        <v>2892200</v>
      </c>
      <c r="BY8" s="1">
        <v>5526000</v>
      </c>
      <c r="BZ8" s="1">
        <v>2866300</v>
      </c>
    </row>
    <row r="9" spans="1:254" ht="15.9" customHeight="1">
      <c r="A9" s="393" t="s">
        <v>13</v>
      </c>
      <c r="B9" s="46" t="s">
        <v>14</v>
      </c>
      <c r="C9" s="50">
        <f>_xll.RssMarket("5711","出来高")</f>
        <v>1388100</v>
      </c>
      <c r="D9" s="202">
        <f t="shared" si="0"/>
        <v>0</v>
      </c>
      <c r="E9" s="200">
        <v>1388100</v>
      </c>
      <c r="F9" s="21">
        <v>1497700</v>
      </c>
      <c r="G9" s="21">
        <v>941100</v>
      </c>
      <c r="H9" s="21">
        <v>1167500</v>
      </c>
      <c r="I9" s="21">
        <v>1626200</v>
      </c>
      <c r="J9" s="21">
        <v>1074300</v>
      </c>
      <c r="K9" s="21">
        <v>1515100</v>
      </c>
      <c r="L9" s="21">
        <v>1079100</v>
      </c>
      <c r="M9" s="21">
        <v>847900</v>
      </c>
      <c r="N9" s="21">
        <v>917200</v>
      </c>
      <c r="O9" s="21">
        <v>725000</v>
      </c>
      <c r="P9" s="21">
        <v>2156200</v>
      </c>
      <c r="Q9" s="21">
        <v>1249500</v>
      </c>
      <c r="R9" s="21">
        <v>1757500</v>
      </c>
      <c r="S9" s="21">
        <v>1544800</v>
      </c>
      <c r="T9" s="21">
        <v>2835700</v>
      </c>
      <c r="U9" s="21">
        <v>1402600</v>
      </c>
      <c r="V9" s="21">
        <v>2463200</v>
      </c>
      <c r="W9" s="21">
        <v>3782200</v>
      </c>
      <c r="X9" s="21">
        <v>891300</v>
      </c>
      <c r="Y9" s="21">
        <v>1037900</v>
      </c>
      <c r="Z9" s="21">
        <v>984400</v>
      </c>
      <c r="AA9" s="21">
        <v>1089600</v>
      </c>
      <c r="AB9" s="21">
        <v>917500</v>
      </c>
      <c r="AC9" s="21">
        <v>1160400</v>
      </c>
      <c r="AD9" s="21">
        <v>1064900</v>
      </c>
      <c r="AE9" s="21">
        <v>1549600</v>
      </c>
      <c r="AF9" s="21">
        <v>1119600</v>
      </c>
      <c r="AG9" s="21">
        <v>1275000</v>
      </c>
      <c r="AH9" s="21">
        <v>766300</v>
      </c>
      <c r="AI9" s="21">
        <v>1147400</v>
      </c>
      <c r="AJ9" s="21">
        <v>1290700</v>
      </c>
      <c r="AK9" s="21">
        <v>956200</v>
      </c>
      <c r="AL9" s="21">
        <v>675400</v>
      </c>
      <c r="AM9" s="21">
        <v>659400</v>
      </c>
      <c r="AN9" s="21">
        <v>906800</v>
      </c>
      <c r="AO9" s="21">
        <v>968800</v>
      </c>
      <c r="AP9" s="21">
        <v>1201900</v>
      </c>
      <c r="AQ9" s="21">
        <v>885100</v>
      </c>
      <c r="AR9" s="21">
        <v>951900</v>
      </c>
      <c r="AS9" s="21">
        <v>1382600</v>
      </c>
      <c r="AT9" s="21">
        <v>745200</v>
      </c>
      <c r="AU9" s="21">
        <v>871200</v>
      </c>
      <c r="AV9" s="21">
        <v>1127900</v>
      </c>
      <c r="AW9" s="21">
        <v>968200</v>
      </c>
      <c r="AX9" s="21">
        <v>1620700</v>
      </c>
      <c r="AY9" s="21">
        <v>1032600</v>
      </c>
      <c r="AZ9" s="21">
        <v>1015000</v>
      </c>
      <c r="BA9" s="21">
        <v>858000</v>
      </c>
      <c r="BB9" s="21">
        <v>1242700</v>
      </c>
      <c r="BC9" s="21">
        <v>1055000</v>
      </c>
      <c r="BD9" s="21">
        <v>1708500</v>
      </c>
      <c r="BE9" s="21">
        <v>1473300</v>
      </c>
      <c r="BF9" s="21">
        <v>1722400</v>
      </c>
      <c r="BG9" s="21">
        <v>1744000</v>
      </c>
      <c r="BH9" s="21">
        <v>3907200</v>
      </c>
      <c r="BI9" s="21">
        <v>2487800</v>
      </c>
      <c r="BJ9" s="21">
        <v>1799900</v>
      </c>
      <c r="BK9" s="21">
        <v>1709900</v>
      </c>
      <c r="BL9" s="21">
        <v>1250200</v>
      </c>
      <c r="BM9" s="1">
        <v>1200800</v>
      </c>
      <c r="BN9" s="1">
        <v>701600</v>
      </c>
      <c r="BO9" s="1">
        <v>1003800</v>
      </c>
      <c r="BP9" s="1">
        <v>958100</v>
      </c>
      <c r="BQ9" s="1">
        <v>838200</v>
      </c>
      <c r="BR9" s="1">
        <v>642800</v>
      </c>
      <c r="BS9" s="1">
        <v>935400</v>
      </c>
      <c r="BT9" s="1">
        <v>879300</v>
      </c>
      <c r="BU9" s="1">
        <v>602500</v>
      </c>
      <c r="BV9" s="1">
        <v>649000</v>
      </c>
      <c r="BW9" s="1">
        <v>1068700</v>
      </c>
      <c r="BX9" s="1">
        <v>943200</v>
      </c>
      <c r="BY9" s="1">
        <v>1522000</v>
      </c>
      <c r="BZ9" s="1">
        <v>1418200</v>
      </c>
    </row>
    <row r="10" spans="1:254" ht="15.9" customHeight="1">
      <c r="A10" s="393" t="s">
        <v>15</v>
      </c>
      <c r="B10" s="46" t="s">
        <v>16</v>
      </c>
      <c r="C10" s="50">
        <f>_xll.RssMarket("5714","出来高")</f>
        <v>894700</v>
      </c>
      <c r="D10" s="202">
        <f t="shared" si="0"/>
        <v>0</v>
      </c>
      <c r="E10" s="200">
        <v>894700</v>
      </c>
      <c r="F10" s="21">
        <v>566800</v>
      </c>
      <c r="G10" s="21">
        <v>322100</v>
      </c>
      <c r="H10" s="21">
        <v>452100</v>
      </c>
      <c r="I10" s="21">
        <v>641000</v>
      </c>
      <c r="J10" s="21">
        <v>414100</v>
      </c>
      <c r="K10" s="21">
        <v>714300</v>
      </c>
      <c r="L10" s="21">
        <v>544300</v>
      </c>
      <c r="M10" s="21">
        <v>480800</v>
      </c>
      <c r="N10" s="21">
        <v>431900</v>
      </c>
      <c r="O10" s="21">
        <v>429900</v>
      </c>
      <c r="P10" s="21">
        <v>540400</v>
      </c>
      <c r="Q10" s="21">
        <v>564300</v>
      </c>
      <c r="R10" s="21">
        <v>540300</v>
      </c>
      <c r="S10" s="21">
        <v>361600</v>
      </c>
      <c r="T10" s="21">
        <v>446700</v>
      </c>
      <c r="U10" s="21">
        <v>358400</v>
      </c>
      <c r="V10" s="21">
        <v>427400</v>
      </c>
      <c r="W10" s="21">
        <v>456500</v>
      </c>
      <c r="X10" s="21">
        <v>454300</v>
      </c>
      <c r="Y10" s="21">
        <v>520700</v>
      </c>
      <c r="Z10" s="21">
        <v>317300</v>
      </c>
      <c r="AA10" s="21">
        <v>473600</v>
      </c>
      <c r="AB10" s="21">
        <v>429400</v>
      </c>
      <c r="AC10" s="21">
        <v>499800</v>
      </c>
      <c r="AD10" s="21">
        <v>472900</v>
      </c>
      <c r="AE10" s="21">
        <v>546000</v>
      </c>
      <c r="AF10" s="21">
        <v>387500</v>
      </c>
      <c r="AG10" s="21">
        <v>422300</v>
      </c>
      <c r="AH10" s="21">
        <v>484500</v>
      </c>
      <c r="AI10" s="21">
        <v>495400</v>
      </c>
      <c r="AJ10" s="21">
        <v>275000</v>
      </c>
      <c r="AK10" s="21">
        <v>388500</v>
      </c>
      <c r="AL10" s="21">
        <v>297300</v>
      </c>
      <c r="AM10" s="21">
        <v>365500</v>
      </c>
      <c r="AN10" s="21">
        <v>371200</v>
      </c>
      <c r="AO10" s="21">
        <v>404700</v>
      </c>
      <c r="AP10" s="21">
        <v>515700</v>
      </c>
      <c r="AQ10" s="21">
        <v>552800</v>
      </c>
      <c r="AR10" s="21">
        <v>420500</v>
      </c>
      <c r="AS10" s="21">
        <v>757100</v>
      </c>
      <c r="AT10" s="21">
        <v>451500</v>
      </c>
      <c r="AU10" s="21">
        <v>511300</v>
      </c>
      <c r="AV10" s="21">
        <v>333400</v>
      </c>
      <c r="AW10" s="21">
        <v>453000</v>
      </c>
      <c r="AX10" s="21">
        <v>585200</v>
      </c>
      <c r="AY10" s="21">
        <v>568800</v>
      </c>
      <c r="AZ10" s="21">
        <v>517800</v>
      </c>
      <c r="BA10" s="21">
        <v>456800</v>
      </c>
      <c r="BB10" s="21">
        <v>462700</v>
      </c>
      <c r="BC10" s="21">
        <v>394900</v>
      </c>
      <c r="BD10" s="21">
        <v>477900</v>
      </c>
      <c r="BE10" s="21">
        <v>542400</v>
      </c>
      <c r="BF10" s="21">
        <v>550400</v>
      </c>
      <c r="BG10" s="21">
        <v>1539600</v>
      </c>
      <c r="BH10" s="21">
        <v>618700</v>
      </c>
      <c r="BI10" s="21">
        <v>411000</v>
      </c>
      <c r="BJ10" s="21">
        <v>453500</v>
      </c>
      <c r="BK10" s="21">
        <v>672000</v>
      </c>
      <c r="BL10" s="21">
        <v>592300</v>
      </c>
      <c r="BM10" s="1">
        <v>522000</v>
      </c>
      <c r="BN10" s="1">
        <v>234200</v>
      </c>
      <c r="BO10" s="1">
        <v>356500</v>
      </c>
      <c r="BP10" s="1">
        <v>434400</v>
      </c>
      <c r="BQ10" s="1">
        <v>465500</v>
      </c>
      <c r="BR10" s="1">
        <v>331300</v>
      </c>
      <c r="BS10" s="1">
        <v>279900</v>
      </c>
      <c r="BT10" s="1">
        <v>294700</v>
      </c>
      <c r="BU10" s="1">
        <v>348200</v>
      </c>
      <c r="BV10" s="1">
        <v>339600</v>
      </c>
      <c r="BW10" s="1">
        <v>348900</v>
      </c>
      <c r="BX10" s="1">
        <v>349700</v>
      </c>
      <c r="BY10" s="1">
        <v>407600</v>
      </c>
      <c r="BZ10" s="1">
        <v>386100</v>
      </c>
    </row>
    <row r="11" spans="1:254" ht="15.9" customHeight="1">
      <c r="A11" s="393" t="s">
        <v>17</v>
      </c>
      <c r="B11" s="46" t="s">
        <v>18</v>
      </c>
      <c r="C11" s="50">
        <f>_xll.RssMarket("6701","出来高")</f>
        <v>5467900</v>
      </c>
      <c r="D11" s="202">
        <f t="shared" si="0"/>
        <v>0</v>
      </c>
      <c r="E11" s="200">
        <v>5467900</v>
      </c>
      <c r="F11" s="21">
        <v>5785700</v>
      </c>
      <c r="G11" s="21">
        <v>7141800</v>
      </c>
      <c r="H11" s="21">
        <v>6344100</v>
      </c>
      <c r="I11" s="21">
        <v>11240600</v>
      </c>
      <c r="J11" s="21">
        <v>18437800</v>
      </c>
      <c r="K11" s="21">
        <v>11279600</v>
      </c>
      <c r="L11" s="21">
        <v>6861500</v>
      </c>
      <c r="M11" s="21">
        <v>5765000</v>
      </c>
      <c r="N11" s="21">
        <v>3270800</v>
      </c>
      <c r="O11" s="21">
        <v>5850900</v>
      </c>
      <c r="P11" s="21">
        <v>4401600</v>
      </c>
      <c r="Q11" s="21">
        <v>4606000</v>
      </c>
      <c r="R11" s="21">
        <v>9935600</v>
      </c>
      <c r="S11" s="21">
        <v>7197200</v>
      </c>
      <c r="T11" s="21">
        <v>8095500</v>
      </c>
      <c r="U11" s="21">
        <v>3383800</v>
      </c>
      <c r="V11" s="21">
        <v>5387700</v>
      </c>
      <c r="W11" s="21">
        <v>4375000</v>
      </c>
      <c r="X11" s="21">
        <v>6806200</v>
      </c>
      <c r="Y11" s="21">
        <v>8349200</v>
      </c>
      <c r="Z11" s="21">
        <v>6678800</v>
      </c>
      <c r="AA11" s="21">
        <v>7247900</v>
      </c>
      <c r="AB11" s="21">
        <v>9290900</v>
      </c>
      <c r="AC11" s="21">
        <v>4165700</v>
      </c>
      <c r="AD11" s="21">
        <v>6823100</v>
      </c>
      <c r="AE11" s="21">
        <v>11450500</v>
      </c>
      <c r="AF11" s="21">
        <v>6287300</v>
      </c>
      <c r="AG11" s="21">
        <v>6305300</v>
      </c>
      <c r="AH11" s="21">
        <v>10311500</v>
      </c>
      <c r="AI11" s="21">
        <v>7814500</v>
      </c>
      <c r="AJ11" s="21">
        <v>6333600</v>
      </c>
      <c r="AK11" s="21">
        <v>13183200</v>
      </c>
      <c r="AL11" s="21">
        <v>7205000</v>
      </c>
      <c r="AM11" s="21">
        <v>5022300</v>
      </c>
      <c r="AN11" s="21">
        <v>6248800</v>
      </c>
      <c r="AO11" s="21">
        <v>9073400</v>
      </c>
      <c r="AP11" s="21">
        <v>9142000</v>
      </c>
      <c r="AQ11" s="21">
        <v>5710100</v>
      </c>
      <c r="AR11" s="21">
        <v>6012200</v>
      </c>
      <c r="AS11" s="21">
        <v>6718600</v>
      </c>
      <c r="AT11" s="21">
        <v>5135700</v>
      </c>
      <c r="AU11" s="21">
        <v>6944800</v>
      </c>
      <c r="AV11" s="21">
        <v>7730700</v>
      </c>
      <c r="AW11" s="21">
        <v>9485400</v>
      </c>
      <c r="AX11" s="21">
        <v>16563200</v>
      </c>
      <c r="AY11" s="21">
        <v>5581400</v>
      </c>
      <c r="AZ11" s="21">
        <v>8303000</v>
      </c>
      <c r="BA11" s="21">
        <v>6498500</v>
      </c>
      <c r="BB11" s="21">
        <v>4948800</v>
      </c>
      <c r="BC11" s="21">
        <v>5967600</v>
      </c>
      <c r="BD11" s="21">
        <v>7263800</v>
      </c>
      <c r="BE11" s="21">
        <v>9282600</v>
      </c>
      <c r="BF11" s="21">
        <v>6347700</v>
      </c>
      <c r="BG11" s="21">
        <v>8545500</v>
      </c>
      <c r="BH11" s="21">
        <v>7773700</v>
      </c>
      <c r="BI11" s="21">
        <v>7433400</v>
      </c>
      <c r="BJ11" s="21">
        <v>4828200</v>
      </c>
      <c r="BK11" s="21">
        <v>8014100</v>
      </c>
      <c r="BL11" s="21">
        <v>10515600</v>
      </c>
      <c r="BM11" s="1">
        <v>10880800</v>
      </c>
      <c r="BN11" s="1">
        <v>11361500</v>
      </c>
      <c r="BO11" s="1">
        <v>21434400</v>
      </c>
      <c r="BP11" s="1">
        <v>12322800</v>
      </c>
      <c r="BQ11" s="1">
        <v>13579200</v>
      </c>
      <c r="BR11" s="1">
        <v>20656900</v>
      </c>
      <c r="BS11" s="1">
        <v>8635400</v>
      </c>
      <c r="BT11" s="1">
        <v>7058500</v>
      </c>
      <c r="BU11" s="1">
        <v>8708100</v>
      </c>
      <c r="BV11" s="1">
        <v>4965000</v>
      </c>
      <c r="BW11" s="1">
        <v>7056900</v>
      </c>
      <c r="BX11" s="1">
        <v>9060800</v>
      </c>
      <c r="BY11" s="1">
        <v>12938300</v>
      </c>
      <c r="BZ11" s="1">
        <v>10135100</v>
      </c>
    </row>
    <row r="12" spans="1:254" ht="15.9" customHeight="1">
      <c r="A12" s="393" t="s">
        <v>19</v>
      </c>
      <c r="B12" s="46" t="s">
        <v>20</v>
      </c>
      <c r="C12" s="50">
        <f>_xll.RssMarket("1605","出来高")</f>
        <v>3566500</v>
      </c>
      <c r="D12" s="202">
        <f t="shared" si="0"/>
        <v>0</v>
      </c>
      <c r="E12" s="200">
        <v>3566500</v>
      </c>
      <c r="F12" s="21">
        <v>4662800</v>
      </c>
      <c r="G12" s="21">
        <v>3085500</v>
      </c>
      <c r="H12" s="21">
        <v>4281000</v>
      </c>
      <c r="I12" s="21">
        <v>3219500</v>
      </c>
      <c r="J12" s="21">
        <v>3741500</v>
      </c>
      <c r="K12" s="21">
        <v>4149600</v>
      </c>
      <c r="L12" s="21">
        <v>4170000</v>
      </c>
      <c r="M12" s="21">
        <v>6330600</v>
      </c>
      <c r="N12" s="21">
        <v>6774300</v>
      </c>
      <c r="O12" s="21">
        <v>4803200</v>
      </c>
      <c r="P12" s="21">
        <v>4007500</v>
      </c>
      <c r="Q12" s="21">
        <v>5933000</v>
      </c>
      <c r="R12" s="21">
        <v>3813400</v>
      </c>
      <c r="S12" s="21">
        <v>4976000</v>
      </c>
      <c r="T12" s="21">
        <v>6930300</v>
      </c>
      <c r="U12" s="21">
        <v>3123300</v>
      </c>
      <c r="V12" s="21">
        <v>4012600</v>
      </c>
      <c r="W12" s="21">
        <v>5051800</v>
      </c>
      <c r="X12" s="21">
        <v>6251700</v>
      </c>
      <c r="Y12" s="21">
        <v>4370300</v>
      </c>
      <c r="Z12" s="21">
        <v>2810900</v>
      </c>
      <c r="AA12" s="21">
        <v>3551900</v>
      </c>
      <c r="AB12" s="21">
        <v>4501300</v>
      </c>
      <c r="AC12" s="21">
        <v>3772600</v>
      </c>
      <c r="AD12" s="21">
        <v>4977600</v>
      </c>
      <c r="AE12" s="21">
        <v>5371500</v>
      </c>
      <c r="AF12" s="21">
        <v>5818800</v>
      </c>
      <c r="AG12" s="21">
        <v>6161500</v>
      </c>
      <c r="AH12" s="21">
        <v>4381600</v>
      </c>
      <c r="AI12" s="21">
        <v>3912400</v>
      </c>
      <c r="AJ12" s="21">
        <v>3710300</v>
      </c>
      <c r="AK12" s="21">
        <v>6833200</v>
      </c>
      <c r="AL12" s="21">
        <v>5375100</v>
      </c>
      <c r="AM12" s="21">
        <v>7587200</v>
      </c>
      <c r="AN12" s="21">
        <v>6864700</v>
      </c>
      <c r="AO12" s="21">
        <v>7143700</v>
      </c>
      <c r="AP12" s="21">
        <v>5425200</v>
      </c>
      <c r="AQ12" s="21">
        <v>5556700</v>
      </c>
      <c r="AR12" s="21">
        <v>4697200</v>
      </c>
      <c r="AS12" s="21">
        <v>4637600</v>
      </c>
      <c r="AT12" s="21">
        <v>3111500</v>
      </c>
      <c r="AU12" s="21">
        <v>3446600</v>
      </c>
      <c r="AV12" s="21">
        <v>4739100</v>
      </c>
      <c r="AW12" s="21">
        <v>7383900</v>
      </c>
      <c r="AX12" s="21">
        <v>12569800</v>
      </c>
      <c r="AY12" s="21">
        <v>6084900</v>
      </c>
      <c r="AZ12" s="21">
        <v>4290700</v>
      </c>
      <c r="BA12" s="21">
        <v>6971200</v>
      </c>
      <c r="BB12" s="21">
        <v>4170500</v>
      </c>
      <c r="BC12" s="21">
        <v>5198800</v>
      </c>
      <c r="BD12" s="21">
        <v>6209900</v>
      </c>
      <c r="BE12" s="21">
        <v>5379500</v>
      </c>
      <c r="BF12" s="21">
        <v>5790500</v>
      </c>
      <c r="BG12" s="21">
        <v>6169800</v>
      </c>
      <c r="BH12" s="21">
        <v>7215000</v>
      </c>
      <c r="BI12" s="21">
        <v>6330200</v>
      </c>
      <c r="BJ12" s="21">
        <v>4919900</v>
      </c>
      <c r="BK12" s="21">
        <v>5603100</v>
      </c>
      <c r="BL12" s="21">
        <v>7428100</v>
      </c>
      <c r="BM12" s="1">
        <v>12599300</v>
      </c>
      <c r="BN12" s="1">
        <v>4706100</v>
      </c>
      <c r="BO12" s="1">
        <v>9521700</v>
      </c>
      <c r="BP12" s="1">
        <v>5972600</v>
      </c>
      <c r="BQ12" s="1">
        <v>7017200</v>
      </c>
      <c r="BR12" s="1">
        <v>9212900</v>
      </c>
      <c r="BS12" s="1">
        <v>11234600</v>
      </c>
      <c r="BT12" s="1">
        <v>7335600</v>
      </c>
      <c r="BU12" s="1">
        <v>7801500</v>
      </c>
      <c r="BV12" s="1">
        <v>9948100</v>
      </c>
      <c r="BW12" s="1">
        <v>8819000</v>
      </c>
      <c r="BX12" s="1">
        <v>8358100</v>
      </c>
      <c r="BY12" s="1">
        <v>11571700</v>
      </c>
      <c r="BZ12" s="1">
        <v>8566200</v>
      </c>
    </row>
    <row r="13" spans="1:254" ht="15.9" customHeight="1">
      <c r="A13" s="393" t="s">
        <v>21</v>
      </c>
      <c r="B13" s="46" t="s">
        <v>22</v>
      </c>
      <c r="C13" s="50">
        <f>_xll.RssMarket("5703","出来高")</f>
        <v>281400</v>
      </c>
      <c r="D13" s="202">
        <f t="shared" si="0"/>
        <v>0</v>
      </c>
      <c r="E13" s="200">
        <v>281400</v>
      </c>
      <c r="F13" s="21">
        <v>372700</v>
      </c>
      <c r="G13" s="21">
        <v>709200</v>
      </c>
      <c r="H13" s="21">
        <v>1122900</v>
      </c>
      <c r="I13" s="21">
        <v>623800</v>
      </c>
      <c r="J13" s="21">
        <v>346600</v>
      </c>
      <c r="K13" s="21">
        <v>449400</v>
      </c>
      <c r="L13" s="21">
        <v>368500</v>
      </c>
      <c r="M13" s="21">
        <v>344800</v>
      </c>
      <c r="N13" s="21">
        <v>313100</v>
      </c>
      <c r="O13" s="21">
        <v>261200</v>
      </c>
      <c r="P13" s="21">
        <v>283900</v>
      </c>
      <c r="Q13" s="21">
        <v>282500</v>
      </c>
      <c r="R13" s="21">
        <v>373000</v>
      </c>
      <c r="S13" s="21">
        <v>266200</v>
      </c>
      <c r="T13" s="21">
        <v>361200</v>
      </c>
      <c r="U13" s="21">
        <v>267400</v>
      </c>
      <c r="V13" s="21">
        <v>493000</v>
      </c>
      <c r="W13" s="21">
        <v>347000</v>
      </c>
      <c r="X13" s="21">
        <v>396700</v>
      </c>
      <c r="Y13" s="21">
        <v>321700</v>
      </c>
      <c r="Z13" s="21">
        <v>228800</v>
      </c>
      <c r="AA13" s="21">
        <v>247700</v>
      </c>
      <c r="AB13" s="21">
        <v>285900</v>
      </c>
      <c r="AC13" s="21">
        <v>402900</v>
      </c>
      <c r="AD13" s="21">
        <v>420500</v>
      </c>
      <c r="AE13" s="21">
        <v>352500</v>
      </c>
      <c r="AF13" s="21">
        <v>341100</v>
      </c>
      <c r="AG13" s="21">
        <v>328600</v>
      </c>
      <c r="AH13" s="21">
        <v>279000</v>
      </c>
      <c r="AI13" s="21">
        <v>254900</v>
      </c>
      <c r="AJ13" s="21">
        <v>189600</v>
      </c>
      <c r="AK13" s="21">
        <v>297500</v>
      </c>
      <c r="AL13" s="21">
        <v>386400</v>
      </c>
      <c r="AM13" s="21">
        <v>315700</v>
      </c>
      <c r="AN13" s="21">
        <v>263200</v>
      </c>
      <c r="AO13" s="21">
        <v>268200</v>
      </c>
      <c r="AP13" s="21">
        <v>286000</v>
      </c>
      <c r="AQ13" s="21">
        <v>406300</v>
      </c>
      <c r="AR13" s="21">
        <v>273400</v>
      </c>
      <c r="AS13" s="21">
        <v>309300</v>
      </c>
      <c r="AT13" s="21">
        <v>319100</v>
      </c>
      <c r="AU13" s="21">
        <v>226700</v>
      </c>
      <c r="AV13" s="21">
        <v>269500</v>
      </c>
      <c r="AW13" s="21">
        <v>278200</v>
      </c>
      <c r="AX13" s="21">
        <v>372100</v>
      </c>
      <c r="AY13" s="21">
        <v>352000</v>
      </c>
      <c r="AZ13" s="21">
        <v>279800</v>
      </c>
      <c r="BA13" s="21">
        <v>388000</v>
      </c>
      <c r="BB13" s="21">
        <v>243300</v>
      </c>
      <c r="BC13" s="21">
        <v>342400</v>
      </c>
      <c r="BD13" s="21">
        <v>301100</v>
      </c>
      <c r="BE13" s="21">
        <v>366100</v>
      </c>
      <c r="BF13" s="21">
        <v>476200</v>
      </c>
      <c r="BG13" s="21">
        <v>824000</v>
      </c>
      <c r="BH13" s="21">
        <v>551900</v>
      </c>
      <c r="BI13" s="21">
        <v>310800</v>
      </c>
      <c r="BJ13" s="21">
        <v>235900</v>
      </c>
      <c r="BK13" s="21">
        <v>269300</v>
      </c>
      <c r="BL13" s="21">
        <v>327600</v>
      </c>
      <c r="BM13" s="1">
        <v>352700</v>
      </c>
      <c r="BN13" s="1">
        <v>279100</v>
      </c>
      <c r="BO13" s="1">
        <v>210900</v>
      </c>
      <c r="BP13" s="1">
        <v>167000</v>
      </c>
      <c r="BQ13" s="1">
        <v>197500</v>
      </c>
      <c r="BR13" s="1">
        <v>162700</v>
      </c>
      <c r="BS13" s="1">
        <v>232800</v>
      </c>
      <c r="BT13" s="1">
        <v>151800</v>
      </c>
      <c r="BU13" s="1">
        <v>178300</v>
      </c>
      <c r="BV13" s="1">
        <v>158200</v>
      </c>
      <c r="BW13" s="1">
        <v>180700</v>
      </c>
      <c r="BX13" s="1">
        <v>144800</v>
      </c>
      <c r="BY13" s="1">
        <v>194200</v>
      </c>
      <c r="BZ13" s="1">
        <v>190900</v>
      </c>
    </row>
    <row r="14" spans="1:254" ht="15.9" customHeight="1">
      <c r="A14" s="393" t="s">
        <v>23</v>
      </c>
      <c r="B14" s="46" t="s">
        <v>24</v>
      </c>
      <c r="C14" s="50">
        <f>_xll.RssMarket("8002","出来高")</f>
        <v>5635700</v>
      </c>
      <c r="D14" s="202">
        <f t="shared" si="0"/>
        <v>0</v>
      </c>
      <c r="E14" s="200">
        <v>5635700</v>
      </c>
      <c r="F14" s="21">
        <v>8477500</v>
      </c>
      <c r="G14" s="21">
        <v>9422500</v>
      </c>
      <c r="H14" s="21">
        <v>11847400</v>
      </c>
      <c r="I14" s="21">
        <v>4669900</v>
      </c>
      <c r="J14" s="21">
        <v>3551300</v>
      </c>
      <c r="K14" s="21">
        <v>6707000</v>
      </c>
      <c r="L14" s="21">
        <v>4616700</v>
      </c>
      <c r="M14" s="21">
        <v>4210700</v>
      </c>
      <c r="N14" s="21">
        <v>3407200</v>
      </c>
      <c r="O14" s="21">
        <v>4058400</v>
      </c>
      <c r="P14" s="21">
        <v>3747800</v>
      </c>
      <c r="Q14" s="21">
        <v>4567600</v>
      </c>
      <c r="R14" s="21">
        <v>5592300</v>
      </c>
      <c r="S14" s="21">
        <v>4239300</v>
      </c>
      <c r="T14" s="21">
        <v>2631500</v>
      </c>
      <c r="U14" s="21">
        <v>2955600</v>
      </c>
      <c r="V14" s="21">
        <v>3599000</v>
      </c>
      <c r="W14" s="21">
        <v>2676300</v>
      </c>
      <c r="X14" s="21">
        <v>4602400</v>
      </c>
      <c r="Y14" s="21">
        <v>6195100</v>
      </c>
      <c r="Z14" s="21">
        <v>6131300</v>
      </c>
      <c r="AA14" s="21">
        <v>6310500</v>
      </c>
      <c r="AB14" s="21">
        <v>4952800</v>
      </c>
      <c r="AC14" s="21">
        <v>3446100</v>
      </c>
      <c r="AD14" s="21">
        <v>3696200</v>
      </c>
      <c r="AE14" s="21">
        <v>3798800</v>
      </c>
      <c r="AF14" s="21">
        <v>5292500</v>
      </c>
      <c r="AG14" s="21">
        <v>5115700</v>
      </c>
      <c r="AH14" s="21">
        <v>4766500</v>
      </c>
      <c r="AI14" s="21">
        <v>4376300</v>
      </c>
      <c r="AJ14" s="21">
        <v>2346800</v>
      </c>
      <c r="AK14" s="21">
        <v>4858000</v>
      </c>
      <c r="AL14" s="21">
        <v>3362100</v>
      </c>
      <c r="AM14" s="21">
        <v>3994600</v>
      </c>
      <c r="AN14" s="21">
        <v>3653000</v>
      </c>
      <c r="AO14" s="21">
        <v>4310700</v>
      </c>
      <c r="AP14" s="21">
        <v>5513700</v>
      </c>
      <c r="AQ14" s="21">
        <v>3907200</v>
      </c>
      <c r="AR14" s="21">
        <v>4912100</v>
      </c>
      <c r="AS14" s="21">
        <v>4973100</v>
      </c>
      <c r="AT14" s="21">
        <v>3343800</v>
      </c>
      <c r="AU14" s="21">
        <v>3271700</v>
      </c>
      <c r="AV14" s="21">
        <v>4772000</v>
      </c>
      <c r="AW14" s="21">
        <v>5020200</v>
      </c>
      <c r="AX14" s="21">
        <v>10715100</v>
      </c>
      <c r="AY14" s="21">
        <v>4813500</v>
      </c>
      <c r="AZ14" s="21">
        <v>4638300</v>
      </c>
      <c r="BA14" s="21">
        <v>3987700</v>
      </c>
      <c r="BB14" s="21">
        <v>4239600</v>
      </c>
      <c r="BC14" s="21">
        <v>4102500</v>
      </c>
      <c r="BD14" s="21">
        <v>5603600</v>
      </c>
      <c r="BE14" s="21">
        <v>4049800</v>
      </c>
      <c r="BF14" s="21">
        <v>3827200</v>
      </c>
      <c r="BG14" s="21">
        <v>5929200</v>
      </c>
      <c r="BH14" s="21">
        <v>5671100</v>
      </c>
      <c r="BI14" s="21">
        <v>4925800</v>
      </c>
      <c r="BJ14" s="21">
        <v>5564100</v>
      </c>
      <c r="BK14" s="21">
        <v>5517900</v>
      </c>
      <c r="BL14" s="21">
        <v>8414100</v>
      </c>
      <c r="BM14" s="1">
        <v>19526800</v>
      </c>
      <c r="BN14" s="1">
        <v>15975800</v>
      </c>
      <c r="BO14" s="1">
        <v>4607700</v>
      </c>
      <c r="BP14" s="1">
        <v>3970900</v>
      </c>
      <c r="BQ14" s="1">
        <v>3064200</v>
      </c>
      <c r="BR14" s="1">
        <v>2982300</v>
      </c>
      <c r="BS14" s="1">
        <v>3732700</v>
      </c>
      <c r="BT14" s="1">
        <v>3702700</v>
      </c>
      <c r="BU14" s="1">
        <v>2998900</v>
      </c>
      <c r="BV14" s="1">
        <v>2787800</v>
      </c>
      <c r="BW14" s="1">
        <v>4098700</v>
      </c>
      <c r="BX14" s="1">
        <v>4164500</v>
      </c>
      <c r="BY14" s="1">
        <v>4862900</v>
      </c>
      <c r="BZ14" s="1">
        <v>3869300</v>
      </c>
    </row>
    <row r="15" spans="1:254" ht="15.9" customHeight="1">
      <c r="A15" s="393" t="s">
        <v>25</v>
      </c>
      <c r="B15" s="46" t="s">
        <v>26</v>
      </c>
      <c r="C15" s="50">
        <f>_xll.RssMarket("5021","出来高")</f>
        <v>422700</v>
      </c>
      <c r="D15" s="202">
        <f t="shared" si="0"/>
        <v>0</v>
      </c>
      <c r="E15" s="200">
        <v>422700</v>
      </c>
      <c r="F15" s="21">
        <v>387300</v>
      </c>
      <c r="G15" s="21">
        <v>411800</v>
      </c>
      <c r="H15" s="21">
        <v>608500</v>
      </c>
      <c r="I15" s="21">
        <v>947100</v>
      </c>
      <c r="J15" s="21">
        <v>522300</v>
      </c>
      <c r="K15" s="21">
        <v>470100</v>
      </c>
      <c r="L15" s="21">
        <v>489300</v>
      </c>
      <c r="M15" s="21">
        <v>560500</v>
      </c>
      <c r="N15" s="21">
        <v>391400</v>
      </c>
      <c r="O15" s="21">
        <v>431900</v>
      </c>
      <c r="P15" s="21">
        <v>576900</v>
      </c>
      <c r="Q15" s="21">
        <v>785800</v>
      </c>
      <c r="R15" s="21">
        <v>989600</v>
      </c>
      <c r="S15" s="21">
        <v>630700</v>
      </c>
      <c r="T15" s="21">
        <v>744500</v>
      </c>
      <c r="U15" s="21">
        <v>716300</v>
      </c>
      <c r="V15" s="21">
        <v>520100</v>
      </c>
      <c r="W15" s="21">
        <v>551900</v>
      </c>
      <c r="X15" s="21">
        <v>792000</v>
      </c>
      <c r="Y15" s="21">
        <v>519200</v>
      </c>
      <c r="Z15" s="21">
        <v>435600</v>
      </c>
      <c r="AA15" s="21">
        <v>338000</v>
      </c>
      <c r="AB15" s="21">
        <v>542500</v>
      </c>
      <c r="AC15" s="21">
        <v>744400</v>
      </c>
      <c r="AD15" s="21">
        <v>844100</v>
      </c>
      <c r="AE15" s="21">
        <v>1143000</v>
      </c>
      <c r="AF15" s="21">
        <v>608200</v>
      </c>
      <c r="AG15" s="21">
        <v>726400</v>
      </c>
      <c r="AH15" s="21">
        <v>577300</v>
      </c>
      <c r="AI15" s="21">
        <v>431200</v>
      </c>
      <c r="AJ15" s="21">
        <v>611700</v>
      </c>
      <c r="AK15" s="21">
        <v>1282800</v>
      </c>
      <c r="AL15" s="21">
        <v>809800</v>
      </c>
      <c r="AM15" s="21">
        <v>524700</v>
      </c>
      <c r="AN15" s="21">
        <v>752800</v>
      </c>
      <c r="AO15" s="21">
        <v>893500</v>
      </c>
      <c r="AP15" s="21">
        <v>1040300</v>
      </c>
      <c r="AQ15" s="21">
        <v>537500</v>
      </c>
      <c r="AR15" s="21">
        <v>684000</v>
      </c>
      <c r="AS15" s="21">
        <v>523400</v>
      </c>
      <c r="AT15" s="21">
        <v>486500</v>
      </c>
      <c r="AU15" s="21">
        <v>728600</v>
      </c>
      <c r="AV15" s="21">
        <v>727800</v>
      </c>
      <c r="AW15" s="21">
        <v>666600</v>
      </c>
      <c r="AX15" s="21">
        <v>1097100</v>
      </c>
      <c r="AY15" s="21">
        <v>555800</v>
      </c>
      <c r="AZ15" s="21">
        <v>490100</v>
      </c>
      <c r="BA15" s="21">
        <v>522000</v>
      </c>
      <c r="BB15" s="21">
        <v>473200</v>
      </c>
      <c r="BC15" s="21">
        <v>412100</v>
      </c>
      <c r="BD15" s="21">
        <v>543000</v>
      </c>
      <c r="BE15" s="21">
        <v>547900</v>
      </c>
      <c r="BF15" s="21">
        <v>757400</v>
      </c>
      <c r="BG15" s="21">
        <v>655100</v>
      </c>
      <c r="BH15" s="21">
        <v>939500</v>
      </c>
      <c r="BI15" s="21">
        <v>1405500</v>
      </c>
      <c r="BJ15" s="21">
        <v>682300</v>
      </c>
      <c r="BK15" s="21">
        <v>751700</v>
      </c>
      <c r="BL15" s="21">
        <v>813100</v>
      </c>
      <c r="BM15" s="1">
        <v>1077300</v>
      </c>
      <c r="BN15" s="1">
        <v>445500</v>
      </c>
      <c r="BO15" s="1">
        <v>841200</v>
      </c>
      <c r="BP15" s="1">
        <v>720800</v>
      </c>
      <c r="BQ15" s="1">
        <v>646500</v>
      </c>
      <c r="BR15" s="1">
        <v>693900</v>
      </c>
      <c r="BS15" s="1">
        <v>1073800</v>
      </c>
      <c r="BT15" s="1">
        <v>691100</v>
      </c>
      <c r="BU15" s="1">
        <v>462300</v>
      </c>
      <c r="BV15" s="1">
        <v>489800</v>
      </c>
      <c r="BW15" s="1">
        <v>446400</v>
      </c>
      <c r="BX15" s="1">
        <v>457900</v>
      </c>
      <c r="BY15" s="1">
        <v>427700</v>
      </c>
      <c r="BZ15" s="1">
        <v>488500</v>
      </c>
    </row>
    <row r="16" spans="1:254" ht="15.9" customHeight="1">
      <c r="A16" s="393" t="s">
        <v>27</v>
      </c>
      <c r="B16" s="46" t="s">
        <v>28</v>
      </c>
      <c r="C16" s="50">
        <f>_xll.RssMarket("8058","出来高")</f>
        <v>6019000</v>
      </c>
      <c r="D16" s="202">
        <f t="shared" si="0"/>
        <v>0</v>
      </c>
      <c r="E16" s="200">
        <v>6019000</v>
      </c>
      <c r="F16" s="21">
        <v>8335400</v>
      </c>
      <c r="G16" s="21">
        <v>8779000</v>
      </c>
      <c r="H16" s="21">
        <v>17245000</v>
      </c>
      <c r="I16" s="21">
        <v>9120900</v>
      </c>
      <c r="J16" s="21">
        <v>7187300</v>
      </c>
      <c r="K16" s="21">
        <v>8119300</v>
      </c>
      <c r="L16" s="21">
        <v>7208100</v>
      </c>
      <c r="M16" s="21">
        <v>6760100</v>
      </c>
      <c r="N16" s="21">
        <v>7225200</v>
      </c>
      <c r="O16" s="21">
        <v>7903600</v>
      </c>
      <c r="P16" s="21">
        <v>12371100</v>
      </c>
      <c r="Q16" s="21">
        <v>9956500</v>
      </c>
      <c r="R16" s="21">
        <v>8314500</v>
      </c>
      <c r="S16" s="21">
        <v>7472100</v>
      </c>
      <c r="T16" s="21">
        <v>5998100</v>
      </c>
      <c r="U16" s="21">
        <v>6197500</v>
      </c>
      <c r="V16" s="21">
        <v>7058000</v>
      </c>
      <c r="W16" s="21">
        <v>7110300</v>
      </c>
      <c r="X16" s="21">
        <v>9729300</v>
      </c>
      <c r="Y16" s="21">
        <v>11064300</v>
      </c>
      <c r="Z16" s="21">
        <v>6155200</v>
      </c>
      <c r="AA16" s="21">
        <v>7471500</v>
      </c>
      <c r="AB16" s="21">
        <v>8436000</v>
      </c>
      <c r="AC16" s="21">
        <v>7890100</v>
      </c>
      <c r="AD16" s="21">
        <v>8781200</v>
      </c>
      <c r="AE16" s="21">
        <v>11880600</v>
      </c>
      <c r="AF16" s="21">
        <v>9415700</v>
      </c>
      <c r="AG16" s="21">
        <v>10521500</v>
      </c>
      <c r="AH16" s="21">
        <v>7881300</v>
      </c>
      <c r="AI16" s="21">
        <v>9070000</v>
      </c>
      <c r="AJ16" s="21">
        <v>6645200</v>
      </c>
      <c r="AK16" s="21">
        <v>18848500</v>
      </c>
      <c r="AL16" s="21">
        <v>7457000</v>
      </c>
      <c r="AM16" s="21">
        <v>7426100</v>
      </c>
      <c r="AN16" s="21">
        <v>7796200</v>
      </c>
      <c r="AO16" s="21">
        <v>8624000</v>
      </c>
      <c r="AP16" s="21">
        <v>11085600</v>
      </c>
      <c r="AQ16" s="21">
        <v>6907100</v>
      </c>
      <c r="AR16" s="21">
        <v>10613300</v>
      </c>
      <c r="AS16" s="21">
        <v>9103700</v>
      </c>
      <c r="AT16" s="21">
        <v>6647000</v>
      </c>
      <c r="AU16" s="21">
        <v>6381700</v>
      </c>
      <c r="AV16" s="21">
        <v>6640600</v>
      </c>
      <c r="AW16" s="21">
        <v>10546100</v>
      </c>
      <c r="AX16" s="21">
        <v>23956500</v>
      </c>
      <c r="AY16" s="21">
        <v>40475700</v>
      </c>
      <c r="AZ16" s="21">
        <v>10092200</v>
      </c>
      <c r="BA16" s="21">
        <v>8281500</v>
      </c>
      <c r="BB16" s="21">
        <v>7695500</v>
      </c>
      <c r="BC16" s="21">
        <v>7353700</v>
      </c>
      <c r="BD16" s="21">
        <v>7464700</v>
      </c>
      <c r="BE16" s="21">
        <v>7798600</v>
      </c>
      <c r="BF16" s="21">
        <v>8787900</v>
      </c>
      <c r="BG16" s="21">
        <v>9795100</v>
      </c>
      <c r="BH16" s="21">
        <v>9361000</v>
      </c>
      <c r="BI16" s="21">
        <v>16943100</v>
      </c>
      <c r="BJ16" s="21">
        <v>12392700</v>
      </c>
      <c r="BK16" s="21">
        <v>9987800</v>
      </c>
      <c r="BL16" s="21">
        <v>13304600</v>
      </c>
      <c r="BM16" s="1">
        <v>22555700</v>
      </c>
      <c r="BN16" s="1">
        <v>46978900</v>
      </c>
      <c r="BO16" s="1">
        <v>16646400</v>
      </c>
      <c r="BP16" s="1">
        <v>8775500</v>
      </c>
      <c r="BQ16" s="1">
        <v>10204500</v>
      </c>
      <c r="BR16" s="1">
        <v>10913900</v>
      </c>
      <c r="BS16" s="1">
        <v>10952800</v>
      </c>
      <c r="BT16" s="1">
        <v>9339900</v>
      </c>
      <c r="BU16" s="1">
        <v>7277300</v>
      </c>
      <c r="BV16" s="1">
        <v>8032000</v>
      </c>
      <c r="BW16" s="1">
        <v>8716300</v>
      </c>
      <c r="BX16" s="1">
        <v>9443600</v>
      </c>
      <c r="BY16" s="1">
        <v>13794100</v>
      </c>
      <c r="BZ16" s="1">
        <v>8428000</v>
      </c>
    </row>
    <row r="17" spans="1:254" ht="15.9" customHeight="1">
      <c r="A17" s="393" t="s">
        <v>29</v>
      </c>
      <c r="B17" s="46" t="s">
        <v>30</v>
      </c>
      <c r="C17" s="50">
        <f>_xll.RssMarket("5333","出来高")</f>
        <v>1655000</v>
      </c>
      <c r="D17" s="202">
        <f t="shared" si="0"/>
        <v>0</v>
      </c>
      <c r="E17" s="200">
        <v>1655000</v>
      </c>
      <c r="F17" s="21">
        <v>2016300</v>
      </c>
      <c r="G17" s="21">
        <v>1734300</v>
      </c>
      <c r="H17" s="21">
        <v>2430100</v>
      </c>
      <c r="I17" s="21">
        <v>3301400</v>
      </c>
      <c r="J17" s="21">
        <v>2918900</v>
      </c>
      <c r="K17" s="21">
        <v>2705900</v>
      </c>
      <c r="L17" s="21">
        <v>2037300</v>
      </c>
      <c r="M17" s="21">
        <v>1817900</v>
      </c>
      <c r="N17" s="21">
        <v>1013100</v>
      </c>
      <c r="O17" s="21">
        <v>1226300</v>
      </c>
      <c r="P17" s="21">
        <v>1545500</v>
      </c>
      <c r="Q17" s="21">
        <v>2014000</v>
      </c>
      <c r="R17" s="21">
        <v>2453700</v>
      </c>
      <c r="S17" s="21">
        <v>1212200</v>
      </c>
      <c r="T17" s="21">
        <v>1815100</v>
      </c>
      <c r="U17" s="21">
        <v>1732600</v>
      </c>
      <c r="V17" s="21">
        <v>1845700</v>
      </c>
      <c r="W17" s="21">
        <v>1711500</v>
      </c>
      <c r="X17" s="21">
        <v>2109900</v>
      </c>
      <c r="Y17" s="21">
        <v>1822500</v>
      </c>
      <c r="Z17" s="21">
        <v>1504800</v>
      </c>
      <c r="AA17" s="21">
        <v>1842400</v>
      </c>
      <c r="AB17" s="21">
        <v>1818600</v>
      </c>
      <c r="AC17" s="21">
        <v>1482200</v>
      </c>
      <c r="AD17" s="21">
        <v>1817600</v>
      </c>
      <c r="AE17" s="21">
        <v>1990100</v>
      </c>
      <c r="AF17" s="21">
        <v>2936700</v>
      </c>
      <c r="AG17" s="21">
        <v>2211800</v>
      </c>
      <c r="AH17" s="21">
        <v>1690700</v>
      </c>
      <c r="AI17" s="21">
        <v>2054100</v>
      </c>
      <c r="AJ17" s="21">
        <v>1737600</v>
      </c>
      <c r="AK17" s="21">
        <v>3532200</v>
      </c>
      <c r="AL17" s="21">
        <v>2138400</v>
      </c>
      <c r="AM17" s="21">
        <v>1474400</v>
      </c>
      <c r="AN17" s="21">
        <v>1678900</v>
      </c>
      <c r="AO17" s="21">
        <v>1780700</v>
      </c>
      <c r="AP17" s="21">
        <v>1789800</v>
      </c>
      <c r="AQ17" s="21">
        <v>1795000</v>
      </c>
      <c r="AR17" s="21">
        <v>1838700</v>
      </c>
      <c r="AS17" s="21">
        <v>2589900</v>
      </c>
      <c r="AT17" s="21">
        <v>2408700</v>
      </c>
      <c r="AU17" s="21">
        <v>1489200</v>
      </c>
      <c r="AV17" s="21">
        <v>1646400</v>
      </c>
      <c r="AW17" s="21">
        <v>2521200</v>
      </c>
      <c r="AX17" s="21">
        <v>2446600</v>
      </c>
      <c r="AY17" s="21">
        <v>1858200</v>
      </c>
      <c r="AZ17" s="21">
        <v>1770600</v>
      </c>
      <c r="BA17" s="21">
        <v>1356400</v>
      </c>
      <c r="BB17" s="21">
        <v>1421600</v>
      </c>
      <c r="BC17" s="21">
        <v>1334400</v>
      </c>
      <c r="BD17" s="21">
        <v>1787300</v>
      </c>
      <c r="BE17" s="21">
        <v>1654500</v>
      </c>
      <c r="BF17" s="21">
        <v>1248600</v>
      </c>
      <c r="BG17" s="21">
        <v>2140600</v>
      </c>
      <c r="BH17" s="21">
        <v>1649100</v>
      </c>
      <c r="BI17" s="21">
        <v>1776800</v>
      </c>
      <c r="BJ17" s="21">
        <v>1621100</v>
      </c>
      <c r="BK17" s="21">
        <v>1998100</v>
      </c>
      <c r="BL17" s="21">
        <v>2118200</v>
      </c>
      <c r="BM17" s="1">
        <v>2855100</v>
      </c>
      <c r="BN17" s="1">
        <v>2150700</v>
      </c>
      <c r="BO17" s="1">
        <v>4866100</v>
      </c>
      <c r="BP17" s="1">
        <v>1203200</v>
      </c>
      <c r="BQ17" s="1">
        <v>1435800</v>
      </c>
      <c r="BR17" s="1">
        <v>885800</v>
      </c>
      <c r="BS17" s="1">
        <v>1318400</v>
      </c>
      <c r="BT17" s="1">
        <v>714900</v>
      </c>
      <c r="BU17" s="1">
        <v>723700</v>
      </c>
      <c r="BV17" s="1">
        <v>716500</v>
      </c>
      <c r="BW17" s="1">
        <v>739000</v>
      </c>
      <c r="BX17" s="1">
        <v>1166900</v>
      </c>
      <c r="BY17" s="1">
        <v>1087600</v>
      </c>
      <c r="BZ17" s="1">
        <v>652200</v>
      </c>
    </row>
    <row r="18" spans="1:254" ht="15.9" customHeight="1">
      <c r="A18" s="393" t="s">
        <v>31</v>
      </c>
      <c r="B18" s="46" t="s">
        <v>32</v>
      </c>
      <c r="C18" s="50">
        <f>_xll.RssMarket("1662","出来高")</f>
        <v>2647000</v>
      </c>
      <c r="D18" s="202">
        <f t="shared" si="0"/>
        <v>0</v>
      </c>
      <c r="E18" s="200">
        <v>2647000</v>
      </c>
      <c r="F18" s="21">
        <v>1666500</v>
      </c>
      <c r="G18" s="21">
        <v>1002800</v>
      </c>
      <c r="H18" s="21">
        <v>1404600</v>
      </c>
      <c r="I18" s="21">
        <v>1333500</v>
      </c>
      <c r="J18" s="21">
        <v>1369900</v>
      </c>
      <c r="K18" s="21">
        <v>1226400</v>
      </c>
      <c r="L18" s="21">
        <v>1126000</v>
      </c>
      <c r="M18" s="21">
        <v>1946200</v>
      </c>
      <c r="N18" s="21"/>
      <c r="O18" s="21">
        <v>1163800</v>
      </c>
      <c r="P18" s="21">
        <v>1334700</v>
      </c>
      <c r="Q18" s="21">
        <v>1083200</v>
      </c>
      <c r="R18" s="21">
        <v>1217100</v>
      </c>
      <c r="S18" s="21">
        <v>1425100</v>
      </c>
      <c r="T18" s="21">
        <v>2214300</v>
      </c>
      <c r="U18" s="21">
        <v>1262600</v>
      </c>
      <c r="V18" s="21">
        <v>1271600</v>
      </c>
      <c r="W18" s="21">
        <v>1596100</v>
      </c>
      <c r="X18" s="21">
        <v>1553200</v>
      </c>
      <c r="Y18" s="21">
        <v>1667800</v>
      </c>
      <c r="Z18" s="21">
        <v>1180400</v>
      </c>
      <c r="AA18" s="21">
        <v>1006200</v>
      </c>
      <c r="AB18" s="21">
        <v>1012700</v>
      </c>
      <c r="AC18" s="21">
        <v>1805000</v>
      </c>
      <c r="AD18" s="21">
        <v>1004800</v>
      </c>
      <c r="AE18" s="21">
        <v>1069800</v>
      </c>
      <c r="AF18" s="21">
        <v>1411100</v>
      </c>
      <c r="AG18" s="21">
        <v>1540700</v>
      </c>
      <c r="AH18" s="21">
        <v>1256300</v>
      </c>
      <c r="AI18" s="21">
        <v>838900</v>
      </c>
      <c r="AJ18" s="21">
        <v>905000</v>
      </c>
      <c r="AK18" s="21">
        <v>1705400</v>
      </c>
      <c r="AL18" s="21">
        <v>1400300</v>
      </c>
      <c r="AM18" s="21">
        <v>1154600</v>
      </c>
      <c r="AN18" s="21">
        <v>1305200</v>
      </c>
      <c r="AO18" s="21">
        <v>1666500</v>
      </c>
      <c r="AP18" s="21">
        <v>1517300</v>
      </c>
      <c r="AQ18" s="21">
        <v>1719700</v>
      </c>
      <c r="AR18" s="21">
        <v>1743500</v>
      </c>
      <c r="AS18" s="21">
        <v>1707000</v>
      </c>
      <c r="AT18" s="21">
        <v>1577700</v>
      </c>
      <c r="AU18" s="21">
        <v>1874500</v>
      </c>
      <c r="AV18" s="21">
        <v>2445000</v>
      </c>
      <c r="AW18" s="21">
        <v>1812600</v>
      </c>
      <c r="AX18" s="21">
        <v>1828000</v>
      </c>
      <c r="AY18" s="21">
        <v>2101700</v>
      </c>
      <c r="AZ18" s="21">
        <v>1838300</v>
      </c>
      <c r="BA18" s="21">
        <v>1692100</v>
      </c>
      <c r="BB18" s="21">
        <v>1483500</v>
      </c>
      <c r="BC18" s="21">
        <v>2359600</v>
      </c>
      <c r="BD18" s="21">
        <v>2506600</v>
      </c>
      <c r="BE18" s="21">
        <v>1282700</v>
      </c>
      <c r="BF18" s="21">
        <v>1948000</v>
      </c>
      <c r="BG18" s="21">
        <v>2191500</v>
      </c>
      <c r="BH18" s="21">
        <v>2657500</v>
      </c>
      <c r="BI18" s="21">
        <v>5240000</v>
      </c>
      <c r="BJ18" s="21">
        <v>1668200</v>
      </c>
      <c r="BK18" s="21">
        <v>2013700</v>
      </c>
      <c r="BL18" s="21">
        <v>1993000</v>
      </c>
      <c r="BM18" s="1">
        <v>3022900</v>
      </c>
      <c r="BN18" s="1">
        <v>1114100</v>
      </c>
      <c r="BO18" s="1">
        <v>1939100</v>
      </c>
      <c r="BP18" s="1">
        <v>1682900</v>
      </c>
      <c r="BQ18" s="1">
        <v>1397500</v>
      </c>
      <c r="BR18" s="1">
        <v>2479600</v>
      </c>
      <c r="BS18" s="1">
        <v>4870100</v>
      </c>
      <c r="BT18" s="1">
        <v>3549200</v>
      </c>
      <c r="BU18" s="1">
        <v>3568200</v>
      </c>
      <c r="BV18" s="1">
        <v>5294900</v>
      </c>
      <c r="BW18" s="1">
        <v>2743800</v>
      </c>
      <c r="BX18" s="1">
        <v>1638200</v>
      </c>
      <c r="BY18" s="1">
        <v>1919600</v>
      </c>
      <c r="BZ18" s="1">
        <v>2468500</v>
      </c>
    </row>
    <row r="19" spans="1:254" ht="15.9" customHeight="1">
      <c r="A19" s="393" t="s">
        <v>33</v>
      </c>
      <c r="B19" s="46" t="s">
        <v>34</v>
      </c>
      <c r="C19" s="50">
        <f>_xll.RssMarket("8411","出来高")</f>
        <v>9317000</v>
      </c>
      <c r="D19" s="202">
        <f t="shared" si="0"/>
        <v>0</v>
      </c>
      <c r="E19" s="200">
        <v>9317000</v>
      </c>
      <c r="F19" s="21">
        <v>10224900</v>
      </c>
      <c r="G19" s="21">
        <v>7714600</v>
      </c>
      <c r="H19" s="21">
        <v>10847200</v>
      </c>
      <c r="I19" s="21">
        <v>13976600</v>
      </c>
      <c r="J19" s="21">
        <v>11805100</v>
      </c>
      <c r="K19" s="21">
        <v>12779000</v>
      </c>
      <c r="L19" s="21">
        <v>11809100</v>
      </c>
      <c r="M19" s="21">
        <v>9501000</v>
      </c>
      <c r="N19" s="21">
        <v>9693400</v>
      </c>
      <c r="O19" s="21">
        <v>12807600</v>
      </c>
      <c r="P19" s="21">
        <v>11822600</v>
      </c>
      <c r="Q19" s="21">
        <v>9797400</v>
      </c>
      <c r="R19" s="21">
        <v>14432200</v>
      </c>
      <c r="S19" s="21">
        <v>10893000</v>
      </c>
      <c r="T19" s="21">
        <v>8874200</v>
      </c>
      <c r="U19" s="21">
        <v>7327600</v>
      </c>
      <c r="V19" s="21">
        <v>7342800</v>
      </c>
      <c r="W19" s="21">
        <v>6615200</v>
      </c>
      <c r="X19" s="21">
        <v>7916300</v>
      </c>
      <c r="Y19" s="21">
        <v>11405900</v>
      </c>
      <c r="Z19" s="21">
        <v>6572200</v>
      </c>
      <c r="AA19" s="21">
        <v>6936500</v>
      </c>
      <c r="AB19" s="21">
        <v>9670300</v>
      </c>
      <c r="AC19" s="21">
        <v>5951800</v>
      </c>
      <c r="AD19" s="21">
        <v>7867000</v>
      </c>
      <c r="AE19" s="21">
        <v>10747300</v>
      </c>
      <c r="AF19" s="21">
        <v>7865800</v>
      </c>
      <c r="AG19" s="21">
        <v>6244600</v>
      </c>
      <c r="AH19" s="21">
        <v>7033300</v>
      </c>
      <c r="AI19" s="21">
        <v>8956900</v>
      </c>
      <c r="AJ19" s="21">
        <v>6803400</v>
      </c>
      <c r="AK19" s="21">
        <v>14725900</v>
      </c>
      <c r="AL19" s="21">
        <v>11516700</v>
      </c>
      <c r="AM19" s="21">
        <v>12922600</v>
      </c>
      <c r="AN19" s="21">
        <v>9797300</v>
      </c>
      <c r="AO19" s="21">
        <v>11061200</v>
      </c>
      <c r="AP19" s="21">
        <v>13140500</v>
      </c>
      <c r="AQ19" s="21">
        <v>11181800</v>
      </c>
      <c r="AR19" s="21">
        <v>12418200</v>
      </c>
      <c r="AS19" s="21">
        <v>9646600</v>
      </c>
      <c r="AT19" s="21">
        <v>10044100</v>
      </c>
      <c r="AU19" s="21">
        <v>11569200</v>
      </c>
      <c r="AV19" s="21">
        <v>12383200</v>
      </c>
      <c r="AW19" s="21">
        <v>10005100</v>
      </c>
      <c r="AX19" s="21">
        <v>16581900</v>
      </c>
      <c r="AY19" s="21">
        <v>14467400</v>
      </c>
      <c r="AZ19" s="21">
        <v>10262300</v>
      </c>
      <c r="BA19" s="21">
        <v>11943500</v>
      </c>
      <c r="BB19" s="21">
        <v>12090500</v>
      </c>
      <c r="BC19" s="21">
        <v>16998300</v>
      </c>
      <c r="BD19" s="21">
        <v>15514300</v>
      </c>
      <c r="BE19" s="21">
        <v>13730800</v>
      </c>
      <c r="BF19" s="21">
        <v>21432700</v>
      </c>
      <c r="BG19" s="21">
        <v>10413100</v>
      </c>
      <c r="BH19" s="21">
        <v>8531800</v>
      </c>
      <c r="BI19" s="21">
        <v>7008000</v>
      </c>
      <c r="BJ19" s="21">
        <v>8952100</v>
      </c>
      <c r="BK19" s="21">
        <v>9143400</v>
      </c>
      <c r="BL19" s="21">
        <v>10189400</v>
      </c>
      <c r="BM19" s="1">
        <v>11688900</v>
      </c>
      <c r="BN19" s="1">
        <v>7112700</v>
      </c>
      <c r="BO19" s="1">
        <v>10641200</v>
      </c>
      <c r="BP19" s="1">
        <v>13923800</v>
      </c>
      <c r="BQ19" s="1">
        <v>9071000</v>
      </c>
      <c r="BR19" s="1">
        <v>6579700</v>
      </c>
      <c r="BS19" s="1">
        <v>7429300</v>
      </c>
      <c r="BT19" s="1">
        <v>7751100</v>
      </c>
      <c r="BU19" s="1">
        <v>7503700</v>
      </c>
      <c r="BV19" s="1">
        <v>6356700</v>
      </c>
      <c r="BW19" s="1">
        <v>9186000</v>
      </c>
      <c r="BX19" s="1">
        <v>9620500</v>
      </c>
      <c r="BY19" s="1">
        <v>10748300</v>
      </c>
      <c r="BZ19" s="1">
        <v>7541600</v>
      </c>
    </row>
    <row r="20" spans="1:254" ht="15.9" customHeight="1">
      <c r="A20" s="393" t="s">
        <v>35</v>
      </c>
      <c r="B20" s="46" t="s">
        <v>36</v>
      </c>
      <c r="C20" s="50">
        <f>_xll.RssMarket("5541","出来高")</f>
        <v>489900</v>
      </c>
      <c r="D20" s="202">
        <f t="shared" si="0"/>
        <v>0</v>
      </c>
      <c r="E20" s="200">
        <v>489900</v>
      </c>
      <c r="F20" s="21">
        <v>451100</v>
      </c>
      <c r="G20" s="21">
        <v>269300</v>
      </c>
      <c r="H20" s="21">
        <v>179900</v>
      </c>
      <c r="I20" s="21">
        <v>236700</v>
      </c>
      <c r="J20" s="21">
        <v>200000</v>
      </c>
      <c r="K20" s="21">
        <v>334400</v>
      </c>
      <c r="L20" s="21">
        <v>422800</v>
      </c>
      <c r="M20" s="21">
        <v>208600</v>
      </c>
      <c r="N20" s="21"/>
      <c r="O20" s="21">
        <v>118800</v>
      </c>
      <c r="P20" s="21">
        <v>168100</v>
      </c>
      <c r="Q20" s="21">
        <v>210500</v>
      </c>
      <c r="R20" s="21">
        <v>231900</v>
      </c>
      <c r="S20" s="21">
        <v>120200</v>
      </c>
      <c r="T20" s="21">
        <v>162000</v>
      </c>
      <c r="U20" s="21">
        <v>178400</v>
      </c>
      <c r="V20" s="21">
        <v>166700</v>
      </c>
      <c r="W20" s="21">
        <v>138100</v>
      </c>
      <c r="X20" s="21">
        <v>215700</v>
      </c>
      <c r="Y20" s="21">
        <v>233900</v>
      </c>
      <c r="Z20" s="21">
        <v>221700</v>
      </c>
      <c r="AA20" s="21">
        <v>174600</v>
      </c>
      <c r="AB20" s="21">
        <v>247700</v>
      </c>
      <c r="AC20" s="21">
        <v>227200</v>
      </c>
      <c r="AD20" s="21">
        <v>146300</v>
      </c>
      <c r="AE20" s="21">
        <v>183500</v>
      </c>
      <c r="AF20" s="21">
        <v>138400</v>
      </c>
      <c r="AG20" s="21">
        <v>194700</v>
      </c>
      <c r="AH20" s="21">
        <v>182500</v>
      </c>
      <c r="AI20" s="21">
        <v>232300</v>
      </c>
      <c r="AJ20" s="21">
        <v>149000</v>
      </c>
      <c r="AK20" s="21">
        <v>141800</v>
      </c>
      <c r="AL20" s="21">
        <v>186000</v>
      </c>
      <c r="AM20" s="21">
        <v>138100</v>
      </c>
      <c r="AN20" s="21">
        <v>248700</v>
      </c>
      <c r="AO20" s="21">
        <v>335000</v>
      </c>
      <c r="AP20" s="21">
        <v>308200</v>
      </c>
      <c r="AQ20" s="21">
        <v>285100</v>
      </c>
      <c r="AR20" s="21">
        <v>280500</v>
      </c>
      <c r="AS20" s="21">
        <v>427600</v>
      </c>
      <c r="AT20" s="21">
        <v>326000</v>
      </c>
      <c r="AU20" s="21">
        <v>194800</v>
      </c>
      <c r="AV20" s="21">
        <v>323900</v>
      </c>
      <c r="AW20" s="21">
        <v>245700</v>
      </c>
      <c r="AX20" s="21">
        <v>241600</v>
      </c>
      <c r="AY20" s="21">
        <v>296900</v>
      </c>
      <c r="AZ20" s="21">
        <v>298400</v>
      </c>
      <c r="BA20" s="21">
        <v>406700</v>
      </c>
      <c r="BB20" s="21">
        <v>463600</v>
      </c>
      <c r="BC20" s="21">
        <v>367100</v>
      </c>
      <c r="BD20" s="21">
        <v>453400</v>
      </c>
      <c r="BE20" s="21">
        <v>551500</v>
      </c>
      <c r="BF20" s="21">
        <v>485100</v>
      </c>
      <c r="BG20" s="21">
        <v>369300</v>
      </c>
      <c r="BH20" s="21">
        <v>485300</v>
      </c>
      <c r="BI20" s="21">
        <v>677400</v>
      </c>
      <c r="BJ20" s="21">
        <v>719600</v>
      </c>
      <c r="BK20" s="21">
        <v>292300</v>
      </c>
      <c r="BL20" s="21">
        <v>252100</v>
      </c>
      <c r="BM20" s="1">
        <v>427200</v>
      </c>
      <c r="BN20" s="1">
        <v>451300</v>
      </c>
      <c r="BO20" s="1">
        <v>603100</v>
      </c>
      <c r="BP20" s="1">
        <v>692900</v>
      </c>
      <c r="BQ20" s="1">
        <v>424300</v>
      </c>
      <c r="BR20" s="1">
        <v>242800</v>
      </c>
      <c r="BS20" s="1">
        <v>364900</v>
      </c>
      <c r="BT20" s="1">
        <v>281400</v>
      </c>
      <c r="BU20" s="1">
        <v>266800</v>
      </c>
      <c r="BV20" s="1">
        <v>431200</v>
      </c>
      <c r="BW20" s="1">
        <v>538200</v>
      </c>
      <c r="BX20" s="1">
        <v>331600</v>
      </c>
      <c r="BY20" s="1">
        <v>383000</v>
      </c>
      <c r="BZ20" s="1">
        <v>402700</v>
      </c>
    </row>
    <row r="21" spans="1:254" ht="15.9" customHeight="1">
      <c r="A21" s="393" t="s">
        <v>37</v>
      </c>
      <c r="B21" s="46" t="s">
        <v>38</v>
      </c>
      <c r="C21" s="50">
        <f>_xll.RssMarket("5332","出来高")</f>
        <v>1524700</v>
      </c>
      <c r="D21" s="202">
        <f t="shared" si="0"/>
        <v>0</v>
      </c>
      <c r="E21" s="200">
        <v>1524700</v>
      </c>
      <c r="F21" s="21">
        <v>1398200</v>
      </c>
      <c r="G21" s="21">
        <v>1924300</v>
      </c>
      <c r="H21" s="21">
        <v>3460300</v>
      </c>
      <c r="I21" s="21">
        <v>2258900</v>
      </c>
      <c r="J21" s="21">
        <v>1200600</v>
      </c>
      <c r="K21" s="21">
        <v>1649700</v>
      </c>
      <c r="L21" s="21">
        <v>1401100</v>
      </c>
      <c r="M21" s="21">
        <v>1097100</v>
      </c>
      <c r="N21" s="21"/>
      <c r="O21" s="21">
        <v>863500</v>
      </c>
      <c r="P21" s="21">
        <v>1130300</v>
      </c>
      <c r="Q21" s="21">
        <v>1104400</v>
      </c>
      <c r="R21" s="21">
        <v>1479300</v>
      </c>
      <c r="S21" s="21">
        <v>1272000</v>
      </c>
      <c r="T21" s="21">
        <v>1264100</v>
      </c>
      <c r="U21" s="21">
        <v>1115900</v>
      </c>
      <c r="V21" s="21">
        <v>1018200</v>
      </c>
      <c r="W21" s="21">
        <v>1004700</v>
      </c>
      <c r="X21" s="21">
        <v>1352900</v>
      </c>
      <c r="Y21" s="21">
        <v>1029300</v>
      </c>
      <c r="Z21" s="21">
        <v>804200</v>
      </c>
      <c r="AA21" s="21">
        <v>1032500</v>
      </c>
      <c r="AB21" s="21">
        <v>1385200</v>
      </c>
      <c r="AC21" s="21">
        <v>1623500</v>
      </c>
      <c r="AD21" s="21">
        <v>1159700</v>
      </c>
      <c r="AE21" s="21">
        <v>1166000</v>
      </c>
      <c r="AF21" s="21">
        <v>1456800</v>
      </c>
      <c r="AG21" s="21">
        <v>1581200</v>
      </c>
      <c r="AH21" s="21">
        <v>1864200</v>
      </c>
      <c r="AI21" s="21">
        <v>2135500</v>
      </c>
      <c r="AJ21" s="21">
        <v>3085400</v>
      </c>
      <c r="AK21" s="21">
        <v>1028200</v>
      </c>
      <c r="AL21" s="21">
        <v>1079700</v>
      </c>
      <c r="AM21" s="21">
        <v>1293200</v>
      </c>
      <c r="AN21" s="21">
        <v>1278600</v>
      </c>
      <c r="AO21" s="21">
        <v>1996200</v>
      </c>
      <c r="AP21" s="21">
        <v>1679300</v>
      </c>
      <c r="AQ21" s="21">
        <v>1658800</v>
      </c>
      <c r="AR21" s="21">
        <v>1143000</v>
      </c>
      <c r="AS21" s="21">
        <v>2109800</v>
      </c>
      <c r="AT21" s="21">
        <v>1685500</v>
      </c>
      <c r="AU21" s="21">
        <v>3165600</v>
      </c>
      <c r="AV21" s="21">
        <v>2695800</v>
      </c>
      <c r="AW21" s="21">
        <v>1561900</v>
      </c>
      <c r="AX21" s="21">
        <v>1879700</v>
      </c>
      <c r="AY21" s="21">
        <v>1239600</v>
      </c>
      <c r="AZ21" s="21">
        <v>1821000</v>
      </c>
      <c r="BA21" s="21">
        <v>986300</v>
      </c>
      <c r="BB21" s="21">
        <v>1151600</v>
      </c>
      <c r="BC21" s="21">
        <v>918300</v>
      </c>
      <c r="BD21" s="21">
        <v>1278500</v>
      </c>
      <c r="BE21" s="21">
        <v>1038100</v>
      </c>
      <c r="BF21" s="21">
        <v>921200</v>
      </c>
      <c r="BG21" s="21">
        <v>1517200</v>
      </c>
      <c r="BH21" s="21">
        <v>1886400</v>
      </c>
      <c r="BI21" s="21">
        <v>795100</v>
      </c>
      <c r="BJ21" s="21">
        <v>1763500</v>
      </c>
      <c r="BK21" s="21">
        <v>1926500</v>
      </c>
      <c r="BL21" s="21">
        <v>2574300</v>
      </c>
      <c r="BM21" s="1">
        <v>4349000</v>
      </c>
      <c r="BN21" s="1">
        <v>3169300</v>
      </c>
      <c r="BO21" s="1">
        <v>1425200</v>
      </c>
      <c r="BP21" s="1">
        <v>683400</v>
      </c>
      <c r="BQ21" s="1">
        <v>914800</v>
      </c>
      <c r="BR21" s="1">
        <v>1000500</v>
      </c>
      <c r="BS21" s="1">
        <v>1002600</v>
      </c>
      <c r="BT21" s="1">
        <v>990300</v>
      </c>
      <c r="BU21" s="1">
        <v>818600</v>
      </c>
      <c r="BV21" s="1">
        <v>418700</v>
      </c>
      <c r="BW21" s="1">
        <v>807100</v>
      </c>
      <c r="BX21" s="1">
        <v>2224500</v>
      </c>
      <c r="BY21" s="1">
        <v>1232200</v>
      </c>
      <c r="BZ21" s="1">
        <v>2693100</v>
      </c>
    </row>
    <row r="22" spans="1:254" ht="15.9" customHeight="1">
      <c r="A22" s="393" t="s">
        <v>39</v>
      </c>
      <c r="B22" s="46" t="s">
        <v>40</v>
      </c>
      <c r="C22" s="50">
        <f>_xll.RssMarket("8725","出来高")</f>
        <v>3283600</v>
      </c>
      <c r="D22" s="202">
        <f t="shared" si="0"/>
        <v>0</v>
      </c>
      <c r="E22" s="200">
        <v>3283600</v>
      </c>
      <c r="F22" s="21">
        <v>3723300</v>
      </c>
      <c r="G22" s="21">
        <v>4260100</v>
      </c>
      <c r="H22" s="21">
        <v>4692000</v>
      </c>
      <c r="I22" s="21">
        <v>4614100</v>
      </c>
      <c r="J22" s="21">
        <v>4658600</v>
      </c>
      <c r="K22" s="21">
        <v>5364200</v>
      </c>
      <c r="L22" s="21">
        <v>4544500</v>
      </c>
      <c r="M22" s="21">
        <v>4742600</v>
      </c>
      <c r="N22" s="21">
        <v>4857900</v>
      </c>
      <c r="O22" s="21">
        <v>4195200</v>
      </c>
      <c r="P22" s="21">
        <v>5351800</v>
      </c>
      <c r="Q22" s="21">
        <v>7151600</v>
      </c>
      <c r="R22" s="21">
        <v>4616300</v>
      </c>
      <c r="S22" s="21">
        <v>3969800</v>
      </c>
      <c r="T22" s="21">
        <v>3352200</v>
      </c>
      <c r="U22" s="21">
        <v>2859100</v>
      </c>
      <c r="V22" s="21">
        <v>4374500</v>
      </c>
      <c r="W22" s="21">
        <v>4504100</v>
      </c>
      <c r="X22" s="21">
        <v>4542700</v>
      </c>
      <c r="Y22" s="21">
        <v>5176400</v>
      </c>
      <c r="Z22" s="21">
        <v>5245600</v>
      </c>
      <c r="AA22" s="21">
        <v>5164700</v>
      </c>
      <c r="AB22" s="21">
        <v>6095600</v>
      </c>
      <c r="AC22" s="21">
        <v>6011100</v>
      </c>
      <c r="AD22" s="21">
        <v>5413800</v>
      </c>
      <c r="AE22" s="21">
        <v>7673400</v>
      </c>
      <c r="AF22" s="21">
        <v>6194800</v>
      </c>
      <c r="AG22" s="21">
        <v>7937600</v>
      </c>
      <c r="AH22" s="21">
        <v>5076400</v>
      </c>
      <c r="AI22" s="21">
        <v>3862000</v>
      </c>
      <c r="AJ22" s="21">
        <v>2452700</v>
      </c>
      <c r="AK22" s="21">
        <v>5609000</v>
      </c>
      <c r="AL22" s="21">
        <v>4416600</v>
      </c>
      <c r="AM22" s="21">
        <v>3959300</v>
      </c>
      <c r="AN22" s="21">
        <v>3133600</v>
      </c>
      <c r="AO22" s="21">
        <v>3446400</v>
      </c>
      <c r="AP22" s="21">
        <v>5475200</v>
      </c>
      <c r="AQ22" s="21">
        <v>3444800</v>
      </c>
      <c r="AR22" s="21">
        <v>4882400</v>
      </c>
      <c r="AS22" s="21">
        <v>4078900</v>
      </c>
      <c r="AT22" s="21">
        <v>2749500</v>
      </c>
      <c r="AU22" s="21">
        <v>3729600</v>
      </c>
      <c r="AV22" s="21">
        <v>4192300</v>
      </c>
      <c r="AW22" s="21">
        <v>4316300</v>
      </c>
      <c r="AX22" s="21">
        <v>21947600</v>
      </c>
      <c r="AY22" s="21">
        <v>4163600</v>
      </c>
      <c r="AZ22" s="21">
        <v>4362800</v>
      </c>
      <c r="BA22" s="21">
        <v>3443400</v>
      </c>
      <c r="BB22" s="21">
        <v>4505700</v>
      </c>
      <c r="BC22" s="21">
        <v>6554700</v>
      </c>
      <c r="BD22" s="21">
        <v>5183200</v>
      </c>
      <c r="BE22" s="21">
        <v>5100200</v>
      </c>
      <c r="BF22" s="21">
        <v>3963700</v>
      </c>
      <c r="BG22" s="21">
        <v>3998500</v>
      </c>
      <c r="BH22" s="21">
        <v>3569100</v>
      </c>
      <c r="BI22" s="21">
        <v>4277700</v>
      </c>
      <c r="BJ22" s="21">
        <v>6882200</v>
      </c>
      <c r="BK22" s="21">
        <v>3290300</v>
      </c>
      <c r="BL22" s="21">
        <v>4823000</v>
      </c>
      <c r="BM22" s="1">
        <v>4535200</v>
      </c>
      <c r="BN22" s="1">
        <v>2605900</v>
      </c>
      <c r="BO22" s="1">
        <v>4050400</v>
      </c>
      <c r="BP22" s="1">
        <v>2895400</v>
      </c>
      <c r="BQ22" s="1">
        <v>2940800</v>
      </c>
      <c r="BR22" s="1">
        <v>2257500</v>
      </c>
      <c r="BS22" s="1">
        <v>3230500</v>
      </c>
      <c r="BT22" s="1">
        <v>2525600</v>
      </c>
      <c r="BU22" s="1">
        <v>2710200</v>
      </c>
      <c r="BV22" s="1">
        <v>2132400</v>
      </c>
      <c r="BW22" s="1">
        <v>2839800</v>
      </c>
      <c r="BX22" s="1">
        <v>2705400</v>
      </c>
      <c r="BY22" s="1">
        <v>3169100</v>
      </c>
      <c r="BZ22" s="1">
        <v>2703800</v>
      </c>
    </row>
    <row r="23" spans="1:254" ht="15.9" customHeight="1">
      <c r="A23" s="393" t="s">
        <v>41</v>
      </c>
      <c r="B23" s="46" t="s">
        <v>42</v>
      </c>
      <c r="C23" s="50">
        <f>_xll.RssMarket("8795","出来高")</f>
        <v>2230100</v>
      </c>
      <c r="D23" s="202">
        <f t="shared" si="0"/>
        <v>0</v>
      </c>
      <c r="E23" s="200">
        <v>2230100</v>
      </c>
      <c r="F23" s="21">
        <v>1190700</v>
      </c>
      <c r="G23" s="21">
        <v>1222000</v>
      </c>
      <c r="H23" s="21">
        <v>1262000</v>
      </c>
      <c r="I23" s="21">
        <v>1677500</v>
      </c>
      <c r="J23" s="21">
        <v>1362000</v>
      </c>
      <c r="K23" s="21">
        <v>2027300</v>
      </c>
      <c r="L23" s="21">
        <v>1647400</v>
      </c>
      <c r="M23" s="21">
        <v>1134600</v>
      </c>
      <c r="N23" s="21"/>
      <c r="O23" s="21">
        <v>928400</v>
      </c>
      <c r="P23" s="21">
        <v>1294000</v>
      </c>
      <c r="Q23" s="21">
        <v>1616500</v>
      </c>
      <c r="R23" s="21">
        <v>1693200</v>
      </c>
      <c r="S23" s="21">
        <v>1086700</v>
      </c>
      <c r="T23" s="21">
        <v>1204700</v>
      </c>
      <c r="U23" s="21">
        <v>1077500</v>
      </c>
      <c r="V23" s="21">
        <v>1050800</v>
      </c>
      <c r="W23" s="21">
        <v>1359200</v>
      </c>
      <c r="X23" s="21">
        <v>1819500</v>
      </c>
      <c r="Y23" s="21">
        <v>2973000</v>
      </c>
      <c r="Z23" s="21">
        <v>1887700</v>
      </c>
      <c r="AA23" s="21">
        <v>1682700</v>
      </c>
      <c r="AB23" s="21">
        <v>1814200</v>
      </c>
      <c r="AC23" s="21">
        <v>2324300</v>
      </c>
      <c r="AD23" s="21">
        <v>2402900</v>
      </c>
      <c r="AE23" s="21">
        <v>3843500</v>
      </c>
      <c r="AF23" s="21">
        <v>1611800</v>
      </c>
      <c r="AG23" s="21">
        <v>1985300</v>
      </c>
      <c r="AH23" s="21">
        <v>2951300</v>
      </c>
      <c r="AI23" s="21">
        <v>1652500</v>
      </c>
      <c r="AJ23" s="21">
        <v>1584300</v>
      </c>
      <c r="AK23" s="21">
        <v>2101900</v>
      </c>
      <c r="AL23" s="21">
        <v>1752800</v>
      </c>
      <c r="AM23" s="21">
        <v>2140500</v>
      </c>
      <c r="AN23" s="21">
        <v>2237600</v>
      </c>
      <c r="AO23" s="21">
        <v>2172900</v>
      </c>
      <c r="AP23" s="21">
        <v>2429300</v>
      </c>
      <c r="AQ23" s="21">
        <v>1909300</v>
      </c>
      <c r="AR23" s="21">
        <v>3640400</v>
      </c>
      <c r="AS23" s="21">
        <v>2067100</v>
      </c>
      <c r="AT23" s="21">
        <v>3356300</v>
      </c>
      <c r="AU23" s="21">
        <v>2187000</v>
      </c>
      <c r="AV23" s="21">
        <v>2422000</v>
      </c>
      <c r="AW23" s="21">
        <v>2299000</v>
      </c>
      <c r="AX23" s="21">
        <v>6363200</v>
      </c>
      <c r="AY23" s="21">
        <v>1641500</v>
      </c>
      <c r="AZ23" s="21">
        <v>1694500</v>
      </c>
      <c r="BA23" s="21">
        <v>1880900</v>
      </c>
      <c r="BB23" s="21">
        <v>2480400</v>
      </c>
      <c r="BC23" s="21">
        <v>2184200</v>
      </c>
      <c r="BD23" s="21">
        <v>1907700</v>
      </c>
      <c r="BE23" s="21">
        <v>2646700</v>
      </c>
      <c r="BF23" s="21">
        <v>1908800</v>
      </c>
      <c r="BG23" s="21">
        <v>2306000</v>
      </c>
      <c r="BH23" s="21">
        <v>1399500</v>
      </c>
      <c r="BI23" s="21">
        <v>1303000</v>
      </c>
      <c r="BJ23" s="21">
        <v>1675300</v>
      </c>
      <c r="BK23" s="21">
        <v>1454700</v>
      </c>
      <c r="BL23" s="21">
        <v>1796600</v>
      </c>
      <c r="BM23" s="1">
        <v>2571300</v>
      </c>
      <c r="BN23" s="1">
        <v>1250400</v>
      </c>
      <c r="BO23" s="1">
        <v>2027600</v>
      </c>
      <c r="BP23" s="1">
        <v>2276000</v>
      </c>
      <c r="BQ23" s="1">
        <v>1688900</v>
      </c>
      <c r="BR23" s="1">
        <v>1701400</v>
      </c>
      <c r="BS23" s="1">
        <v>2772300</v>
      </c>
      <c r="BT23" s="1">
        <v>2000800</v>
      </c>
      <c r="BU23" s="1">
        <v>1822300</v>
      </c>
      <c r="BV23" s="1">
        <v>1642300</v>
      </c>
      <c r="BW23" s="1">
        <v>1879600</v>
      </c>
      <c r="BX23" s="1">
        <v>1551000</v>
      </c>
      <c r="BY23" s="1">
        <v>1532900</v>
      </c>
      <c r="BZ23" s="1">
        <v>1758700</v>
      </c>
    </row>
    <row r="24" spans="1:254" ht="15.9" customHeight="1">
      <c r="A24" s="393" t="s">
        <v>43</v>
      </c>
      <c r="B24" s="46" t="s">
        <v>44</v>
      </c>
      <c r="C24" s="50">
        <f>_xll.RssMarket("5019","出来高")</f>
        <v>3226200</v>
      </c>
      <c r="D24" s="202">
        <f t="shared" si="0"/>
        <v>0</v>
      </c>
      <c r="E24" s="200">
        <v>3226200</v>
      </c>
      <c r="F24" s="21">
        <v>4679600</v>
      </c>
      <c r="G24" s="21">
        <v>2757300</v>
      </c>
      <c r="H24" s="21">
        <v>3348400</v>
      </c>
      <c r="I24" s="21">
        <v>3884800</v>
      </c>
      <c r="J24" s="21">
        <v>2876400</v>
      </c>
      <c r="K24" s="21">
        <v>3923000</v>
      </c>
      <c r="L24" s="21">
        <v>3468500</v>
      </c>
      <c r="M24" s="21">
        <v>3559900</v>
      </c>
      <c r="N24" s="21">
        <v>4190100</v>
      </c>
      <c r="O24" s="21">
        <v>3147300</v>
      </c>
      <c r="P24" s="21">
        <v>3542300</v>
      </c>
      <c r="Q24" s="21">
        <v>4311600</v>
      </c>
      <c r="R24" s="21">
        <v>3461200</v>
      </c>
      <c r="S24" s="21">
        <v>3514400</v>
      </c>
      <c r="T24" s="21">
        <v>3089700</v>
      </c>
      <c r="U24" s="21">
        <v>3061500</v>
      </c>
      <c r="V24" s="21">
        <v>3528500</v>
      </c>
      <c r="W24" s="21">
        <v>3617500</v>
      </c>
      <c r="X24" s="21">
        <v>3527500</v>
      </c>
      <c r="Y24" s="21">
        <v>3805100</v>
      </c>
      <c r="Z24" s="21">
        <v>2549500</v>
      </c>
      <c r="AA24" s="21">
        <v>3590400</v>
      </c>
      <c r="AB24" s="21">
        <v>3373700</v>
      </c>
      <c r="AC24" s="21">
        <v>3475400</v>
      </c>
      <c r="AD24" s="21">
        <v>5390200</v>
      </c>
      <c r="AE24" s="21">
        <v>6808700</v>
      </c>
      <c r="AF24" s="21">
        <v>3458300</v>
      </c>
      <c r="AG24" s="21">
        <v>4715400</v>
      </c>
      <c r="AH24" s="21">
        <v>3508600</v>
      </c>
      <c r="AI24" s="21">
        <v>4558800</v>
      </c>
      <c r="AJ24" s="21">
        <v>3371900</v>
      </c>
      <c r="AK24" s="21">
        <v>10404900</v>
      </c>
      <c r="AL24" s="21">
        <v>4125300</v>
      </c>
      <c r="AM24" s="21">
        <v>4040400</v>
      </c>
      <c r="AN24" s="21">
        <v>3618200</v>
      </c>
      <c r="AO24" s="21">
        <v>3327700</v>
      </c>
      <c r="AP24" s="21">
        <v>5523600</v>
      </c>
      <c r="AQ24" s="21">
        <v>3531900</v>
      </c>
      <c r="AR24" s="21">
        <v>3746500</v>
      </c>
      <c r="AS24" s="21">
        <v>4287600</v>
      </c>
      <c r="AT24" s="21">
        <v>3641300</v>
      </c>
      <c r="AU24" s="21">
        <v>3359600</v>
      </c>
      <c r="AV24" s="21">
        <v>5315700</v>
      </c>
      <c r="AW24" s="21">
        <v>5527800</v>
      </c>
      <c r="AX24" s="21">
        <v>11955600</v>
      </c>
      <c r="AY24" s="21">
        <v>8683900</v>
      </c>
      <c r="AZ24" s="21">
        <v>4124300</v>
      </c>
      <c r="BA24" s="21">
        <v>3597500</v>
      </c>
      <c r="BB24" s="21">
        <v>4180400</v>
      </c>
      <c r="BC24" s="21">
        <v>3702000</v>
      </c>
      <c r="BD24" s="21">
        <v>4665700</v>
      </c>
      <c r="BE24" s="21">
        <v>4699300</v>
      </c>
      <c r="BF24" s="21">
        <v>5863400</v>
      </c>
      <c r="BG24" s="21">
        <v>6853600</v>
      </c>
      <c r="BH24" s="21">
        <v>6963600</v>
      </c>
      <c r="BI24" s="21">
        <v>8769600</v>
      </c>
      <c r="BJ24" s="21">
        <v>4718800</v>
      </c>
      <c r="BK24" s="21">
        <v>3701300</v>
      </c>
      <c r="BL24" s="21">
        <v>5627400</v>
      </c>
      <c r="BM24" s="1">
        <v>6407600</v>
      </c>
      <c r="BN24" s="1">
        <v>4688500</v>
      </c>
      <c r="BO24" s="1">
        <v>8432600</v>
      </c>
      <c r="BP24" s="1">
        <v>3745900</v>
      </c>
      <c r="BQ24" s="1">
        <v>3600600</v>
      </c>
      <c r="BR24" s="1">
        <v>4462900</v>
      </c>
      <c r="BS24" s="1">
        <v>5735900</v>
      </c>
      <c r="BT24" s="1">
        <v>4936300</v>
      </c>
      <c r="BU24" s="1">
        <v>4973500</v>
      </c>
      <c r="BV24" s="1">
        <v>4176900</v>
      </c>
      <c r="BW24" s="1">
        <v>3527000</v>
      </c>
      <c r="BX24" s="1">
        <v>3094200</v>
      </c>
      <c r="BY24" s="1">
        <v>4061100</v>
      </c>
      <c r="BZ24" s="1">
        <v>3772800</v>
      </c>
    </row>
    <row r="25" spans="1:254" ht="15.9" customHeight="1">
      <c r="A25" s="393" t="s">
        <v>45</v>
      </c>
      <c r="B25" s="46" t="s">
        <v>46</v>
      </c>
      <c r="C25" s="50">
        <f>_xll.RssMarket("8053","出来高")</f>
        <v>10099400</v>
      </c>
      <c r="D25" s="202">
        <f t="shared" si="0"/>
        <v>0</v>
      </c>
      <c r="E25" s="200">
        <v>10099400</v>
      </c>
      <c r="F25" s="21">
        <v>11472700</v>
      </c>
      <c r="G25" s="21">
        <v>12877300</v>
      </c>
      <c r="H25" s="21">
        <v>16927700</v>
      </c>
      <c r="I25" s="21">
        <v>32725000</v>
      </c>
      <c r="J25" s="21">
        <v>11190000</v>
      </c>
      <c r="K25" s="21">
        <v>13470400</v>
      </c>
      <c r="L25" s="21">
        <v>12686400</v>
      </c>
      <c r="M25" s="21">
        <v>7766000</v>
      </c>
      <c r="N25" s="21">
        <v>8791200</v>
      </c>
      <c r="O25" s="21">
        <v>8899900</v>
      </c>
      <c r="P25" s="21">
        <v>10381300</v>
      </c>
      <c r="Q25" s="21">
        <v>9996100</v>
      </c>
      <c r="R25" s="21">
        <v>15185600</v>
      </c>
      <c r="S25" s="21">
        <v>9465100</v>
      </c>
      <c r="T25" s="21">
        <v>11497000</v>
      </c>
      <c r="U25" s="21">
        <v>11103600</v>
      </c>
      <c r="V25" s="21">
        <v>11196800</v>
      </c>
      <c r="W25" s="21">
        <v>7670200</v>
      </c>
      <c r="X25" s="21">
        <v>13968700</v>
      </c>
      <c r="Y25" s="21">
        <v>14751200</v>
      </c>
      <c r="Z25" s="21">
        <v>8014500</v>
      </c>
      <c r="AA25" s="21">
        <v>9399700</v>
      </c>
      <c r="AB25" s="21">
        <v>14840700</v>
      </c>
      <c r="AC25" s="21">
        <v>9863200</v>
      </c>
      <c r="AD25" s="21">
        <v>13056500</v>
      </c>
      <c r="AE25" s="21">
        <v>18273500</v>
      </c>
      <c r="AF25" s="21">
        <v>2751600</v>
      </c>
      <c r="AG25" s="21">
        <v>3356900</v>
      </c>
      <c r="AH25" s="21">
        <v>2804900</v>
      </c>
      <c r="AI25" s="21">
        <v>3004700</v>
      </c>
      <c r="AJ25" s="21">
        <v>1697700</v>
      </c>
      <c r="AK25" s="21">
        <v>5625200</v>
      </c>
      <c r="AL25" s="21">
        <v>2054200</v>
      </c>
      <c r="AM25" s="21">
        <v>2278500</v>
      </c>
      <c r="AN25" s="21">
        <v>2412200</v>
      </c>
      <c r="AO25" s="21">
        <v>3316600</v>
      </c>
      <c r="AP25" s="21">
        <v>4570300</v>
      </c>
      <c r="AQ25" s="21">
        <v>4708300</v>
      </c>
      <c r="AR25" s="21">
        <v>4365900</v>
      </c>
      <c r="AS25" s="21">
        <v>3290600</v>
      </c>
      <c r="AT25" s="21">
        <v>1919700</v>
      </c>
      <c r="AU25" s="21">
        <v>2552300</v>
      </c>
      <c r="AV25" s="21">
        <v>2636000</v>
      </c>
      <c r="AW25" s="21">
        <v>3123400</v>
      </c>
      <c r="AX25" s="21">
        <v>10796100</v>
      </c>
      <c r="AY25" s="21">
        <v>4614600</v>
      </c>
      <c r="AZ25" s="21">
        <v>3034800</v>
      </c>
      <c r="BA25" s="21">
        <v>2557700</v>
      </c>
      <c r="BB25" s="21">
        <v>2040400</v>
      </c>
      <c r="BC25" s="21">
        <v>1953600</v>
      </c>
      <c r="BD25" s="21">
        <v>4191600</v>
      </c>
      <c r="BE25" s="21">
        <v>2331200</v>
      </c>
      <c r="BF25" s="21">
        <v>2584500</v>
      </c>
      <c r="BG25" s="21">
        <v>2812200</v>
      </c>
      <c r="BH25" s="21">
        <v>3789200</v>
      </c>
      <c r="BI25" s="21">
        <v>4103900</v>
      </c>
      <c r="BJ25" s="21">
        <v>3488200</v>
      </c>
      <c r="BK25" s="21">
        <v>4338400</v>
      </c>
      <c r="BL25" s="21">
        <v>7294300</v>
      </c>
      <c r="BM25" s="1">
        <v>19773700</v>
      </c>
      <c r="BN25" s="1">
        <v>17136600</v>
      </c>
      <c r="BO25" s="1">
        <v>4493700</v>
      </c>
      <c r="BP25" s="1">
        <v>3535200</v>
      </c>
      <c r="BQ25" s="1">
        <v>2792800</v>
      </c>
      <c r="BR25" s="1">
        <v>2194800</v>
      </c>
      <c r="BS25" s="1">
        <v>3219600</v>
      </c>
      <c r="BT25" s="1">
        <v>2920900</v>
      </c>
      <c r="BU25" s="1">
        <v>1970200</v>
      </c>
      <c r="BV25" s="1">
        <v>2184800</v>
      </c>
      <c r="BW25" s="1">
        <v>2693300</v>
      </c>
      <c r="BX25" s="1">
        <v>2867200</v>
      </c>
      <c r="BY25" s="1">
        <v>2476800</v>
      </c>
      <c r="BZ25" s="1">
        <v>2083700</v>
      </c>
    </row>
    <row r="26" spans="1:254" ht="15.9" customHeight="1">
      <c r="A26" s="393" t="s">
        <v>47</v>
      </c>
      <c r="B26" s="46" t="s">
        <v>48</v>
      </c>
      <c r="C26" s="50">
        <f>_xll.RssMarket("8591","出来高")</f>
        <v>2873500</v>
      </c>
      <c r="D26" s="202">
        <f t="shared" si="0"/>
        <v>0</v>
      </c>
      <c r="E26" s="200">
        <v>2873500</v>
      </c>
      <c r="F26" s="21">
        <v>3197700</v>
      </c>
      <c r="G26" s="21">
        <v>2954200</v>
      </c>
      <c r="H26" s="21">
        <v>3641200</v>
      </c>
      <c r="I26" s="21">
        <v>3900700</v>
      </c>
      <c r="J26" s="21">
        <v>4361000</v>
      </c>
      <c r="K26" s="21">
        <v>4434700</v>
      </c>
      <c r="L26" s="21">
        <v>4200700</v>
      </c>
      <c r="M26" s="21">
        <v>2955900</v>
      </c>
      <c r="N26" s="21">
        <v>2486900</v>
      </c>
      <c r="O26" s="21">
        <v>2738100</v>
      </c>
      <c r="P26" s="21">
        <v>3138200</v>
      </c>
      <c r="Q26" s="21">
        <v>3598900</v>
      </c>
      <c r="R26" s="21">
        <v>4639700</v>
      </c>
      <c r="S26" s="21">
        <v>2436800</v>
      </c>
      <c r="T26" s="21">
        <v>2358600</v>
      </c>
      <c r="U26" s="21">
        <v>2391800</v>
      </c>
      <c r="V26" s="21">
        <v>2832000</v>
      </c>
      <c r="W26" s="21">
        <v>2652900</v>
      </c>
      <c r="X26" s="21">
        <v>3304800</v>
      </c>
      <c r="Y26" s="21">
        <v>3389200</v>
      </c>
      <c r="Z26" s="21">
        <v>1702900</v>
      </c>
      <c r="AA26" s="21">
        <v>2361500</v>
      </c>
      <c r="AB26" s="21">
        <v>3281100</v>
      </c>
      <c r="AC26" s="21">
        <v>2784200</v>
      </c>
      <c r="AD26" s="21">
        <v>3502200</v>
      </c>
      <c r="AE26" s="21">
        <v>2698000</v>
      </c>
      <c r="AF26" s="21">
        <v>2677700</v>
      </c>
      <c r="AG26" s="21">
        <v>3437100</v>
      </c>
      <c r="AH26" s="21">
        <v>3424300</v>
      </c>
      <c r="AI26" s="21">
        <v>3533600</v>
      </c>
      <c r="AJ26" s="21">
        <v>3306600</v>
      </c>
      <c r="AK26" s="21">
        <v>6392700</v>
      </c>
      <c r="AL26" s="21">
        <v>4239900</v>
      </c>
      <c r="AM26" s="21">
        <v>3297700</v>
      </c>
      <c r="AN26" s="21">
        <v>3277700</v>
      </c>
      <c r="AO26" s="21">
        <v>3380200</v>
      </c>
      <c r="AP26" s="21">
        <v>4689200</v>
      </c>
      <c r="AQ26" s="21">
        <v>3440000</v>
      </c>
      <c r="AR26" s="21">
        <v>3177200</v>
      </c>
      <c r="AS26" s="21">
        <v>4282200</v>
      </c>
      <c r="AT26" s="21">
        <v>4106200</v>
      </c>
      <c r="AU26" s="21">
        <v>3631000</v>
      </c>
      <c r="AV26" s="21">
        <v>4230200</v>
      </c>
      <c r="AW26" s="21">
        <v>3439000</v>
      </c>
      <c r="AX26" s="21">
        <v>11231300</v>
      </c>
      <c r="AY26" s="21">
        <v>4034600</v>
      </c>
      <c r="AZ26" s="21">
        <v>4177600</v>
      </c>
      <c r="BA26" s="21">
        <v>2862600</v>
      </c>
      <c r="BB26" s="21">
        <v>2962300</v>
      </c>
      <c r="BC26" s="21">
        <v>5566600</v>
      </c>
      <c r="BD26" s="21">
        <v>5382800</v>
      </c>
      <c r="BE26" s="21">
        <v>3428300</v>
      </c>
      <c r="BF26" s="21">
        <v>3498200</v>
      </c>
      <c r="BG26" s="21">
        <v>3566600</v>
      </c>
      <c r="BH26" s="21">
        <v>3688600</v>
      </c>
      <c r="BI26" s="21">
        <v>4551800</v>
      </c>
      <c r="BJ26" s="21">
        <v>9097900</v>
      </c>
      <c r="BK26" s="21">
        <v>5492700</v>
      </c>
      <c r="BL26" s="21">
        <v>3962300</v>
      </c>
      <c r="BM26" s="1">
        <v>5074900</v>
      </c>
      <c r="BN26" s="1">
        <v>2638400</v>
      </c>
      <c r="BO26" s="1">
        <v>5308400</v>
      </c>
      <c r="BP26" s="1">
        <v>10949800</v>
      </c>
      <c r="BQ26" s="1">
        <v>2361900</v>
      </c>
      <c r="BR26" s="1">
        <v>2283400</v>
      </c>
      <c r="BS26" s="1">
        <v>2706600</v>
      </c>
      <c r="BT26" s="1">
        <v>2370200</v>
      </c>
      <c r="BU26" s="1">
        <v>2138000</v>
      </c>
      <c r="BV26" s="1">
        <v>2533100</v>
      </c>
      <c r="BW26" s="1">
        <v>3148300</v>
      </c>
      <c r="BX26" s="1">
        <v>2494000</v>
      </c>
      <c r="BY26" s="1">
        <v>3474800</v>
      </c>
      <c r="BZ26" s="1">
        <v>4153800</v>
      </c>
    </row>
    <row r="27" spans="1:254" ht="15.9" customHeight="1">
      <c r="A27" s="393" t="s">
        <v>49</v>
      </c>
      <c r="B27" s="46" t="s">
        <v>50</v>
      </c>
      <c r="C27" s="50">
        <f>_xll.RssMarket("3401","出来高")</f>
        <v>1208500</v>
      </c>
      <c r="D27" s="202">
        <f t="shared" si="0"/>
        <v>0</v>
      </c>
      <c r="E27" s="200">
        <v>1208500</v>
      </c>
      <c r="F27" s="21">
        <v>1020900</v>
      </c>
      <c r="G27" s="21">
        <v>1921600</v>
      </c>
      <c r="H27" s="21">
        <v>1200100</v>
      </c>
      <c r="I27" s="21">
        <v>955200</v>
      </c>
      <c r="J27" s="21">
        <v>707600</v>
      </c>
      <c r="K27" s="21">
        <v>776900</v>
      </c>
      <c r="L27" s="21">
        <v>697500</v>
      </c>
      <c r="M27" s="21">
        <v>739500</v>
      </c>
      <c r="N27" s="21">
        <v>423700</v>
      </c>
      <c r="O27" s="21">
        <v>465700</v>
      </c>
      <c r="P27" s="21">
        <v>482600</v>
      </c>
      <c r="Q27" s="21">
        <v>688400</v>
      </c>
      <c r="R27" s="21">
        <v>861200</v>
      </c>
      <c r="S27" s="21">
        <v>969700</v>
      </c>
      <c r="T27" s="21">
        <v>651500</v>
      </c>
      <c r="U27" s="21">
        <v>677100</v>
      </c>
      <c r="V27" s="21">
        <v>726100</v>
      </c>
      <c r="W27" s="21">
        <v>637900</v>
      </c>
      <c r="X27" s="21">
        <v>614300</v>
      </c>
      <c r="Y27" s="21">
        <v>867800</v>
      </c>
      <c r="Z27" s="21">
        <v>1015600</v>
      </c>
      <c r="AA27" s="21">
        <v>1585500</v>
      </c>
      <c r="AB27" s="21">
        <v>715200</v>
      </c>
      <c r="AC27" s="21">
        <v>614000</v>
      </c>
      <c r="AD27" s="21">
        <v>737900</v>
      </c>
      <c r="AE27" s="21">
        <v>659800</v>
      </c>
      <c r="AF27" s="21">
        <v>792100</v>
      </c>
      <c r="AG27" s="21">
        <v>845800</v>
      </c>
      <c r="AH27" s="21">
        <v>693600</v>
      </c>
      <c r="AI27" s="21">
        <v>694300</v>
      </c>
      <c r="AJ27" s="21">
        <v>596800</v>
      </c>
      <c r="AK27" s="21">
        <v>1097600</v>
      </c>
      <c r="AL27" s="21">
        <v>781600</v>
      </c>
      <c r="AM27" s="21">
        <v>982500</v>
      </c>
      <c r="AN27" s="21">
        <v>558900</v>
      </c>
      <c r="AO27" s="21">
        <v>959100</v>
      </c>
      <c r="AP27" s="21">
        <v>881200</v>
      </c>
      <c r="AQ27" s="21">
        <v>791900</v>
      </c>
      <c r="AR27" s="21">
        <v>808300</v>
      </c>
      <c r="AS27" s="21">
        <v>964800</v>
      </c>
      <c r="AT27" s="21">
        <v>696700</v>
      </c>
      <c r="AU27" s="21">
        <v>655000</v>
      </c>
      <c r="AV27" s="21">
        <v>623900</v>
      </c>
      <c r="AW27" s="21">
        <v>684600</v>
      </c>
      <c r="AX27" s="21">
        <v>1120200</v>
      </c>
      <c r="AY27" s="21">
        <v>600300</v>
      </c>
      <c r="AZ27" s="21">
        <v>874400</v>
      </c>
      <c r="BA27" s="21">
        <v>1037200</v>
      </c>
      <c r="BB27" s="21">
        <v>863900</v>
      </c>
      <c r="BC27" s="21">
        <v>563600</v>
      </c>
      <c r="BD27" s="21">
        <v>747600</v>
      </c>
      <c r="BE27" s="21">
        <v>1256700</v>
      </c>
      <c r="BF27" s="21">
        <v>981000</v>
      </c>
      <c r="BG27" s="21">
        <v>1284600</v>
      </c>
      <c r="BH27" s="21">
        <v>1066700</v>
      </c>
      <c r="BI27" s="21">
        <v>1800800</v>
      </c>
      <c r="BJ27" s="21">
        <v>2496400</v>
      </c>
      <c r="BK27" s="21">
        <v>3170200</v>
      </c>
      <c r="BL27" s="21">
        <v>1291100</v>
      </c>
      <c r="BM27" s="1">
        <v>1258400</v>
      </c>
      <c r="BN27" s="1">
        <v>585200</v>
      </c>
      <c r="BO27" s="1">
        <v>884600</v>
      </c>
      <c r="BP27" s="1">
        <v>561400</v>
      </c>
      <c r="BQ27" s="1">
        <v>809400</v>
      </c>
      <c r="BR27" s="1">
        <v>850300</v>
      </c>
      <c r="BS27" s="1">
        <v>1498400</v>
      </c>
      <c r="BT27" s="1">
        <v>777200</v>
      </c>
      <c r="BU27" s="1">
        <v>883800</v>
      </c>
      <c r="BV27" s="1">
        <v>1031400</v>
      </c>
      <c r="BW27" s="1">
        <v>890800</v>
      </c>
      <c r="BX27" s="1">
        <v>918300</v>
      </c>
      <c r="BY27" s="1">
        <v>1652500</v>
      </c>
      <c r="BZ27" s="1">
        <v>11799400</v>
      </c>
    </row>
    <row r="28" spans="1:254" ht="15.9" customHeight="1">
      <c r="A28" s="393" t="s">
        <v>51</v>
      </c>
      <c r="B28" s="46" t="s">
        <v>52</v>
      </c>
      <c r="C28" s="50">
        <f>_xll.RssMarket("3436","出来高")</f>
        <v>15463900</v>
      </c>
      <c r="D28" s="202">
        <f t="shared" si="0"/>
        <v>0</v>
      </c>
      <c r="E28" s="200">
        <v>15463900</v>
      </c>
      <c r="F28" s="21">
        <v>13261600</v>
      </c>
      <c r="G28" s="21">
        <v>2954200</v>
      </c>
      <c r="H28" s="21">
        <v>3641200</v>
      </c>
      <c r="I28" s="21">
        <v>3900700</v>
      </c>
      <c r="J28" s="21">
        <v>4361000</v>
      </c>
      <c r="K28" s="21">
        <v>4434700</v>
      </c>
      <c r="L28" s="21">
        <v>4200700</v>
      </c>
      <c r="M28" s="21">
        <v>2955900</v>
      </c>
      <c r="N28" s="21">
        <v>17366400</v>
      </c>
      <c r="O28" s="21">
        <v>2738100</v>
      </c>
      <c r="P28" s="21">
        <v>3138200</v>
      </c>
      <c r="Q28" s="21">
        <v>3598900</v>
      </c>
      <c r="R28" s="21">
        <v>4639700</v>
      </c>
      <c r="S28" s="21">
        <v>2436800</v>
      </c>
      <c r="T28" s="21">
        <v>2358600</v>
      </c>
      <c r="U28" s="21">
        <v>2391800</v>
      </c>
      <c r="V28" s="21">
        <v>2832000</v>
      </c>
      <c r="W28" s="21">
        <v>2652900</v>
      </c>
      <c r="X28" s="21">
        <v>3304800</v>
      </c>
      <c r="Y28" s="21">
        <v>3389200</v>
      </c>
      <c r="Z28" s="21">
        <v>1702900</v>
      </c>
      <c r="AA28" s="21">
        <v>2361500</v>
      </c>
      <c r="AB28" s="21">
        <v>3281100</v>
      </c>
      <c r="AC28" s="21">
        <v>2784200</v>
      </c>
      <c r="AD28" s="21">
        <v>3502200</v>
      </c>
      <c r="AE28" s="21">
        <v>2698000</v>
      </c>
      <c r="AF28" s="21">
        <v>2677700</v>
      </c>
      <c r="AG28" s="21">
        <v>3437100</v>
      </c>
      <c r="AH28" s="21">
        <v>3424300</v>
      </c>
      <c r="AI28" s="21">
        <v>3533600</v>
      </c>
      <c r="AJ28" s="21">
        <v>3306600</v>
      </c>
      <c r="AK28" s="21">
        <v>6392700</v>
      </c>
      <c r="AL28" s="21">
        <v>4239900</v>
      </c>
      <c r="AM28" s="21">
        <v>3297700</v>
      </c>
      <c r="AN28" s="21">
        <v>3277700</v>
      </c>
      <c r="AO28" s="21">
        <v>3380200</v>
      </c>
      <c r="AP28" s="21">
        <v>4689200</v>
      </c>
      <c r="AQ28" s="21">
        <v>3440000</v>
      </c>
      <c r="AR28" s="21">
        <v>3177200</v>
      </c>
      <c r="AS28" s="21">
        <v>4282200</v>
      </c>
      <c r="AT28" s="21">
        <v>4106200</v>
      </c>
      <c r="AU28" s="21">
        <v>3631000</v>
      </c>
      <c r="AV28" s="21">
        <v>4230200</v>
      </c>
      <c r="AW28" s="21">
        <v>3439000</v>
      </c>
      <c r="AX28" s="21">
        <v>11231300</v>
      </c>
      <c r="AY28" s="21">
        <v>4034600</v>
      </c>
      <c r="AZ28" s="21">
        <v>4177600</v>
      </c>
      <c r="BA28" s="21">
        <v>2862600</v>
      </c>
      <c r="BB28" s="21">
        <v>2962300</v>
      </c>
      <c r="BC28" s="21">
        <v>5566600</v>
      </c>
      <c r="BD28" s="21">
        <v>5382800</v>
      </c>
      <c r="BE28" s="21">
        <v>3428300</v>
      </c>
      <c r="BF28" s="21">
        <v>3498200</v>
      </c>
      <c r="BG28" s="21">
        <v>3566600</v>
      </c>
      <c r="BH28" s="21">
        <v>3688600</v>
      </c>
      <c r="BI28" s="21">
        <v>4551800</v>
      </c>
      <c r="BJ28" s="21">
        <v>9097900</v>
      </c>
      <c r="BK28" s="21">
        <v>5492700</v>
      </c>
      <c r="BL28" s="21">
        <v>3962300</v>
      </c>
      <c r="BM28" s="1">
        <v>5074900</v>
      </c>
      <c r="BN28" s="1">
        <v>2638400</v>
      </c>
      <c r="BO28" s="1">
        <v>5308400</v>
      </c>
      <c r="BP28" s="1">
        <v>10949800</v>
      </c>
      <c r="BQ28" s="1">
        <v>2361900</v>
      </c>
      <c r="BR28" s="1">
        <v>2283400</v>
      </c>
      <c r="BS28" s="1">
        <v>2706600</v>
      </c>
      <c r="BT28" s="1">
        <v>2370200</v>
      </c>
      <c r="BU28" s="1">
        <v>2138000</v>
      </c>
      <c r="BV28" s="1">
        <v>2533100</v>
      </c>
      <c r="BW28" s="1">
        <v>3148300</v>
      </c>
      <c r="BX28" s="1">
        <v>2494000</v>
      </c>
      <c r="BY28" s="1">
        <v>3474800</v>
      </c>
      <c r="BZ28" s="1">
        <v>4153800</v>
      </c>
    </row>
    <row r="29" spans="1:254" ht="15.9" customHeight="1">
      <c r="A29" s="393" t="s">
        <v>53</v>
      </c>
      <c r="B29" s="46" t="s">
        <v>54</v>
      </c>
      <c r="C29" s="50">
        <f>_xll.RssMarket("5020","出来高")</f>
        <v>6473400</v>
      </c>
      <c r="D29" s="202">
        <f t="shared" si="0"/>
        <v>0</v>
      </c>
      <c r="E29" s="200">
        <v>6473400</v>
      </c>
      <c r="F29" s="21">
        <v>7055100</v>
      </c>
      <c r="G29" s="21">
        <v>5198300</v>
      </c>
      <c r="H29" s="21">
        <v>7301000</v>
      </c>
      <c r="I29" s="21">
        <v>9821800</v>
      </c>
      <c r="J29" s="21">
        <v>7203900</v>
      </c>
      <c r="K29" s="21">
        <v>7072300</v>
      </c>
      <c r="L29" s="21">
        <v>7393700</v>
      </c>
      <c r="M29" s="21">
        <v>5950400</v>
      </c>
      <c r="N29" s="21">
        <v>8033300</v>
      </c>
      <c r="O29" s="21">
        <v>6950000</v>
      </c>
      <c r="P29" s="21">
        <v>7386500</v>
      </c>
      <c r="Q29" s="21">
        <v>8556300</v>
      </c>
      <c r="R29" s="21">
        <v>8254100</v>
      </c>
      <c r="S29" s="21">
        <v>6894900</v>
      </c>
      <c r="T29" s="21">
        <v>5010500</v>
      </c>
      <c r="U29" s="21">
        <v>4477900</v>
      </c>
      <c r="V29" s="21">
        <v>5866900</v>
      </c>
      <c r="W29" s="21">
        <v>6169200</v>
      </c>
      <c r="X29" s="21">
        <v>6832800</v>
      </c>
      <c r="Y29" s="21">
        <v>6384900</v>
      </c>
      <c r="Z29" s="21">
        <v>5844800</v>
      </c>
      <c r="AA29" s="21">
        <v>4827900</v>
      </c>
      <c r="AB29" s="21">
        <v>6904700</v>
      </c>
      <c r="AC29" s="21">
        <v>7240600</v>
      </c>
      <c r="AD29" s="21">
        <v>8630400</v>
      </c>
      <c r="AE29" s="21">
        <v>8192500</v>
      </c>
      <c r="AF29" s="21">
        <v>6329700</v>
      </c>
      <c r="AG29" s="21">
        <v>8691900</v>
      </c>
      <c r="AH29" s="21">
        <v>7298200</v>
      </c>
      <c r="AI29" s="21">
        <v>7973600</v>
      </c>
      <c r="AJ29" s="21">
        <v>5697400</v>
      </c>
      <c r="AK29" s="21">
        <v>20621100</v>
      </c>
      <c r="AL29" s="21">
        <v>10530000</v>
      </c>
      <c r="AM29" s="21">
        <v>6788300</v>
      </c>
      <c r="AN29" s="21">
        <v>8109600</v>
      </c>
      <c r="AO29" s="21">
        <v>7632000</v>
      </c>
      <c r="AP29" s="21">
        <v>10122700</v>
      </c>
      <c r="AQ29" s="21">
        <v>7540000</v>
      </c>
      <c r="AR29" s="21">
        <v>10371000</v>
      </c>
      <c r="AS29" s="21">
        <v>9352700</v>
      </c>
      <c r="AT29" s="21">
        <v>7151700</v>
      </c>
      <c r="AU29" s="21">
        <v>6795500</v>
      </c>
      <c r="AV29" s="21">
        <v>9637100</v>
      </c>
      <c r="AW29" s="21">
        <v>8600200</v>
      </c>
      <c r="AX29" s="21">
        <v>16776800</v>
      </c>
      <c r="AY29" s="21">
        <v>7804300</v>
      </c>
      <c r="AZ29" s="21">
        <v>5327700</v>
      </c>
      <c r="BA29" s="21">
        <v>7709800</v>
      </c>
      <c r="BB29" s="21">
        <v>7813700</v>
      </c>
      <c r="BC29" s="21">
        <v>7634400</v>
      </c>
      <c r="BD29" s="21">
        <v>8484900</v>
      </c>
      <c r="BE29" s="21">
        <v>9436800</v>
      </c>
      <c r="BF29" s="21">
        <v>9521800</v>
      </c>
      <c r="BG29" s="21">
        <v>12202500</v>
      </c>
      <c r="BH29" s="21">
        <v>20291300</v>
      </c>
      <c r="BI29" s="21">
        <v>8703600</v>
      </c>
      <c r="BJ29" s="21">
        <v>11062800</v>
      </c>
      <c r="BK29" s="21">
        <v>6914000</v>
      </c>
      <c r="BL29" s="21">
        <v>9943600</v>
      </c>
      <c r="BM29" s="1">
        <v>11850400</v>
      </c>
      <c r="BN29" s="1">
        <v>7852500</v>
      </c>
      <c r="BO29" s="1">
        <v>13650300</v>
      </c>
      <c r="BP29" s="1">
        <v>7276900</v>
      </c>
      <c r="BQ29" s="1">
        <v>5581800</v>
      </c>
      <c r="BR29" s="1">
        <v>5771200</v>
      </c>
      <c r="BS29" s="1">
        <v>7812700</v>
      </c>
      <c r="BT29" s="1">
        <v>6805400</v>
      </c>
      <c r="BU29" s="1">
        <v>7127700</v>
      </c>
      <c r="BV29" s="1">
        <v>7077200</v>
      </c>
      <c r="BW29" s="1">
        <v>9142200</v>
      </c>
      <c r="BX29" s="1">
        <v>8629400</v>
      </c>
      <c r="BY29" s="1">
        <v>8113700</v>
      </c>
      <c r="BZ29" s="1">
        <v>7867700</v>
      </c>
    </row>
    <row r="30" spans="1:254" ht="15.9" customHeight="1">
      <c r="A30" s="393" t="s">
        <v>55</v>
      </c>
      <c r="B30" s="46" t="s">
        <v>56</v>
      </c>
      <c r="C30" s="50">
        <f>_xll.RssMarket("6254","出来高")</f>
        <v>749500</v>
      </c>
      <c r="D30" s="202">
        <f t="shared" si="0"/>
        <v>0</v>
      </c>
      <c r="E30" s="200">
        <v>749500</v>
      </c>
      <c r="F30" s="21">
        <v>1146400</v>
      </c>
      <c r="G30" s="21">
        <v>942600</v>
      </c>
      <c r="H30" s="21">
        <v>997300</v>
      </c>
      <c r="I30" s="21">
        <v>1493400</v>
      </c>
      <c r="J30" s="21">
        <v>807700</v>
      </c>
      <c r="K30" s="21">
        <v>1005700</v>
      </c>
      <c r="L30" s="21">
        <v>1172100</v>
      </c>
      <c r="M30" s="21">
        <v>728000</v>
      </c>
      <c r="N30" s="21">
        <v>661700</v>
      </c>
      <c r="O30" s="21">
        <v>745500</v>
      </c>
      <c r="P30" s="21">
        <v>884400</v>
      </c>
      <c r="Q30" s="21">
        <v>748000</v>
      </c>
      <c r="R30" s="21">
        <v>1288100</v>
      </c>
      <c r="S30" s="21">
        <v>801100</v>
      </c>
      <c r="T30" s="21">
        <v>808200</v>
      </c>
      <c r="U30" s="21">
        <v>616300</v>
      </c>
      <c r="V30" s="21">
        <v>826100</v>
      </c>
      <c r="W30" s="21">
        <v>594600</v>
      </c>
      <c r="X30" s="21">
        <v>921600</v>
      </c>
      <c r="Y30" s="21">
        <v>1080200</v>
      </c>
      <c r="Z30" s="21">
        <v>817400</v>
      </c>
      <c r="AA30" s="21">
        <v>1097300</v>
      </c>
      <c r="AB30" s="21">
        <v>1307500</v>
      </c>
      <c r="AC30" s="21">
        <v>916200</v>
      </c>
      <c r="AD30" s="21">
        <v>1063900</v>
      </c>
      <c r="AE30" s="21">
        <v>1938700</v>
      </c>
      <c r="AF30" s="21">
        <v>748900</v>
      </c>
      <c r="AG30" s="21">
        <v>682100</v>
      </c>
      <c r="AH30" s="21">
        <v>933000</v>
      </c>
      <c r="AI30" s="21">
        <v>1072200</v>
      </c>
      <c r="AJ30" s="21">
        <v>1401700</v>
      </c>
      <c r="AK30" s="21">
        <v>946400</v>
      </c>
      <c r="AL30" s="21">
        <v>1177000</v>
      </c>
      <c r="AM30" s="21">
        <v>1015700</v>
      </c>
      <c r="AN30" s="21">
        <v>649800</v>
      </c>
      <c r="AO30" s="21">
        <v>1420100</v>
      </c>
      <c r="AP30" s="21">
        <v>981300</v>
      </c>
      <c r="AQ30" s="21">
        <v>694400</v>
      </c>
      <c r="AR30" s="21">
        <v>597700</v>
      </c>
      <c r="AS30" s="21">
        <v>895700</v>
      </c>
      <c r="AT30" s="21">
        <v>520600</v>
      </c>
      <c r="AU30" s="21">
        <v>672900</v>
      </c>
      <c r="AV30" s="21">
        <v>1053800</v>
      </c>
      <c r="AW30" s="21">
        <v>867000</v>
      </c>
      <c r="AX30" s="21">
        <v>680800</v>
      </c>
      <c r="AY30" s="21">
        <v>763400</v>
      </c>
      <c r="AZ30" s="21">
        <v>1079800</v>
      </c>
      <c r="BA30" s="21">
        <v>819500</v>
      </c>
      <c r="BB30" s="21">
        <v>1324800</v>
      </c>
      <c r="BC30" s="21">
        <v>753700</v>
      </c>
      <c r="BD30" s="21">
        <v>743700</v>
      </c>
      <c r="BE30" s="21">
        <v>919900</v>
      </c>
      <c r="BF30" s="21">
        <v>1628000</v>
      </c>
      <c r="BG30" s="21">
        <v>3298800</v>
      </c>
      <c r="BH30" s="21">
        <v>853200</v>
      </c>
      <c r="BI30" s="21">
        <v>1135600</v>
      </c>
      <c r="BJ30" s="21">
        <v>963800</v>
      </c>
      <c r="BK30" s="21">
        <v>1073500</v>
      </c>
      <c r="BL30" s="21">
        <v>1346700</v>
      </c>
      <c r="BM30" s="1">
        <v>1466100</v>
      </c>
      <c r="BN30" s="1">
        <v>364000</v>
      </c>
      <c r="BO30" s="1">
        <v>385300</v>
      </c>
      <c r="BP30" s="1">
        <v>417000</v>
      </c>
      <c r="BQ30" s="1">
        <v>564800</v>
      </c>
      <c r="BR30" s="1">
        <v>447300</v>
      </c>
      <c r="BS30" s="1">
        <v>686500</v>
      </c>
      <c r="BT30" s="1">
        <v>732600</v>
      </c>
      <c r="BU30" s="1">
        <v>939200</v>
      </c>
      <c r="BV30" s="1">
        <v>831300</v>
      </c>
      <c r="BW30" s="1">
        <v>540100</v>
      </c>
      <c r="BX30" s="1">
        <v>735200</v>
      </c>
      <c r="BY30" s="1">
        <v>671800</v>
      </c>
      <c r="BZ30" s="1">
        <v>1029900</v>
      </c>
    </row>
    <row r="31" spans="1:254" ht="15.9" customHeight="1">
      <c r="A31" s="393" t="s">
        <v>57</v>
      </c>
      <c r="B31" s="46" t="s">
        <v>58</v>
      </c>
      <c r="C31" s="50">
        <f>_xll.RssMarket("8309","出来高")</f>
        <v>7699800</v>
      </c>
      <c r="D31" s="202">
        <f t="shared" si="0"/>
        <v>0</v>
      </c>
      <c r="E31" s="200">
        <v>7699800</v>
      </c>
      <c r="F31" s="21">
        <v>7751500</v>
      </c>
      <c r="G31" s="21">
        <v>10397500</v>
      </c>
      <c r="H31" s="21">
        <v>13354300</v>
      </c>
      <c r="I31" s="21">
        <v>16815400</v>
      </c>
      <c r="J31" s="21">
        <v>10329000</v>
      </c>
      <c r="K31" s="21">
        <v>3502500</v>
      </c>
      <c r="L31" s="21">
        <v>3324500</v>
      </c>
      <c r="M31" s="21">
        <v>2860600</v>
      </c>
      <c r="N31" s="21">
        <v>2255400</v>
      </c>
      <c r="O31" s="21">
        <v>3083100</v>
      </c>
      <c r="P31" s="21">
        <v>2118800</v>
      </c>
      <c r="Q31" s="21">
        <v>2569600</v>
      </c>
      <c r="R31" s="21">
        <v>2737800</v>
      </c>
      <c r="S31" s="21">
        <v>2248300</v>
      </c>
      <c r="T31" s="21">
        <v>2115200</v>
      </c>
      <c r="U31" s="21">
        <v>1636600</v>
      </c>
      <c r="V31" s="21">
        <v>2299200</v>
      </c>
      <c r="W31" s="21">
        <v>2339600</v>
      </c>
      <c r="X31" s="21">
        <v>3026700</v>
      </c>
      <c r="Y31" s="21">
        <v>4077900</v>
      </c>
      <c r="Z31" s="21">
        <v>2777800</v>
      </c>
      <c r="AA31" s="21">
        <v>1973100</v>
      </c>
      <c r="AB31" s="21">
        <v>2595000</v>
      </c>
      <c r="AC31" s="21">
        <v>2332500</v>
      </c>
      <c r="AD31" s="21">
        <v>3113200</v>
      </c>
      <c r="AE31" s="21">
        <v>3003400</v>
      </c>
      <c r="AF31" s="21">
        <v>1969100</v>
      </c>
      <c r="AG31" s="21">
        <v>2336500</v>
      </c>
      <c r="AH31" s="21">
        <v>2656700</v>
      </c>
      <c r="AI31" s="21">
        <v>3168400</v>
      </c>
      <c r="AJ31" s="21">
        <v>2043100</v>
      </c>
      <c r="AK31" s="21">
        <v>3950000</v>
      </c>
      <c r="AL31" s="21">
        <v>2857100</v>
      </c>
      <c r="AM31" s="21">
        <v>2691100</v>
      </c>
      <c r="AN31" s="21">
        <v>3081000</v>
      </c>
      <c r="AO31" s="21">
        <v>3670400</v>
      </c>
      <c r="AP31" s="21">
        <v>4252000</v>
      </c>
      <c r="AQ31" s="21">
        <v>5125900</v>
      </c>
      <c r="AR31" s="21">
        <v>3968400</v>
      </c>
      <c r="AS31" s="21">
        <v>4151000</v>
      </c>
      <c r="AT31" s="21">
        <v>2500700</v>
      </c>
      <c r="AU31" s="21">
        <v>2703700</v>
      </c>
      <c r="AV31" s="21">
        <v>2874700</v>
      </c>
      <c r="AW31" s="21">
        <v>2296200</v>
      </c>
      <c r="AX31" s="21">
        <v>5401000</v>
      </c>
      <c r="AY31" s="21">
        <v>2347600</v>
      </c>
      <c r="AZ31" s="21">
        <v>2045500</v>
      </c>
      <c r="BA31" s="21">
        <v>2226400</v>
      </c>
      <c r="BB31" s="21">
        <v>3554400</v>
      </c>
      <c r="BC31" s="21">
        <v>2594000</v>
      </c>
      <c r="BD31" s="21">
        <v>3805700</v>
      </c>
      <c r="BE31" s="21">
        <v>3417200</v>
      </c>
      <c r="BF31" s="21">
        <v>4260800</v>
      </c>
      <c r="BG31" s="21">
        <v>3861900</v>
      </c>
      <c r="BH31" s="21">
        <v>2454000</v>
      </c>
      <c r="BI31" s="21">
        <v>1593600</v>
      </c>
      <c r="BJ31" s="21">
        <v>2087700</v>
      </c>
      <c r="BK31" s="21">
        <v>1912900</v>
      </c>
      <c r="BL31" s="21">
        <v>2738200</v>
      </c>
      <c r="BM31" s="1">
        <v>4461200</v>
      </c>
      <c r="BN31" s="1">
        <v>2035000</v>
      </c>
      <c r="BO31" s="1">
        <v>2965200</v>
      </c>
      <c r="BP31" s="1">
        <v>3150000</v>
      </c>
      <c r="BQ31" s="1">
        <v>2045200</v>
      </c>
      <c r="BR31" s="1">
        <v>1093700</v>
      </c>
      <c r="BS31" s="1">
        <v>1516200</v>
      </c>
      <c r="BT31" s="1">
        <v>1622100</v>
      </c>
      <c r="BU31" s="1">
        <v>1950000</v>
      </c>
      <c r="BV31" s="1">
        <v>1562900</v>
      </c>
      <c r="BW31" s="1">
        <v>2059300</v>
      </c>
      <c r="BX31" s="1">
        <v>1995400</v>
      </c>
      <c r="BY31" s="1">
        <v>2074300</v>
      </c>
      <c r="BZ31" s="1">
        <v>1917300</v>
      </c>
    </row>
    <row r="32" spans="1:254" ht="15.9" customHeight="1">
      <c r="A32" s="393" t="s">
        <v>59</v>
      </c>
      <c r="B32" s="46" t="s">
        <v>60</v>
      </c>
      <c r="C32" s="50">
        <f>_xll.RssMarket("3863","出来高")</f>
        <v>1601200</v>
      </c>
      <c r="D32" s="202">
        <f t="shared" si="0"/>
        <v>0</v>
      </c>
      <c r="E32" s="200">
        <v>1601200</v>
      </c>
      <c r="F32" s="21">
        <v>1543700</v>
      </c>
      <c r="G32" s="21">
        <v>630200</v>
      </c>
      <c r="H32" s="21">
        <v>1627900</v>
      </c>
      <c r="I32" s="21">
        <v>985800</v>
      </c>
      <c r="J32" s="21">
        <v>1677800</v>
      </c>
      <c r="K32" s="21">
        <v>1749000</v>
      </c>
      <c r="L32" s="21">
        <v>728600</v>
      </c>
      <c r="M32" s="21">
        <v>785100</v>
      </c>
      <c r="N32" s="21">
        <v>1090800</v>
      </c>
      <c r="O32" s="21">
        <v>1079700</v>
      </c>
      <c r="P32" s="21">
        <v>1024600</v>
      </c>
      <c r="Q32" s="21">
        <v>714200</v>
      </c>
      <c r="R32" s="21">
        <v>946500</v>
      </c>
      <c r="S32" s="21">
        <v>614000</v>
      </c>
      <c r="T32" s="21">
        <v>359700</v>
      </c>
      <c r="U32" s="21">
        <v>698300</v>
      </c>
      <c r="V32" s="21">
        <v>726200</v>
      </c>
      <c r="W32" s="21">
        <v>593200</v>
      </c>
      <c r="X32" s="21">
        <v>551100</v>
      </c>
      <c r="Y32" s="21">
        <v>660900</v>
      </c>
      <c r="Z32" s="21">
        <v>458500</v>
      </c>
      <c r="AA32" s="21">
        <v>659100</v>
      </c>
      <c r="AB32" s="21">
        <v>849200</v>
      </c>
      <c r="AC32" s="21">
        <v>856900</v>
      </c>
      <c r="AD32" s="21">
        <v>1923600</v>
      </c>
      <c r="AE32" s="21">
        <v>632200</v>
      </c>
      <c r="AF32" s="21">
        <v>714500</v>
      </c>
      <c r="AG32" s="21">
        <v>924900</v>
      </c>
      <c r="AH32" s="21">
        <v>668300</v>
      </c>
      <c r="AI32" s="21">
        <v>806500</v>
      </c>
      <c r="AJ32" s="21">
        <v>702800</v>
      </c>
      <c r="AK32" s="21">
        <v>1421200</v>
      </c>
      <c r="AL32" s="21">
        <v>1064600</v>
      </c>
      <c r="AM32" s="21">
        <v>606200</v>
      </c>
      <c r="AN32" s="21">
        <v>732100</v>
      </c>
      <c r="AO32" s="21">
        <v>674400</v>
      </c>
      <c r="AP32" s="21">
        <v>872700</v>
      </c>
      <c r="AQ32" s="21">
        <v>652800</v>
      </c>
      <c r="AR32" s="21">
        <v>980600</v>
      </c>
      <c r="AS32" s="21">
        <v>1824900</v>
      </c>
      <c r="AT32" s="21">
        <v>1528600</v>
      </c>
      <c r="AU32" s="21">
        <v>1617800</v>
      </c>
      <c r="AV32" s="21">
        <v>2471900</v>
      </c>
      <c r="AW32" s="21">
        <v>1396200</v>
      </c>
      <c r="AX32" s="21">
        <v>2523400</v>
      </c>
      <c r="AY32" s="21">
        <v>1788300</v>
      </c>
      <c r="AZ32" s="21">
        <v>2122300</v>
      </c>
      <c r="BA32" s="21">
        <v>582000</v>
      </c>
      <c r="BB32" s="21">
        <v>676300</v>
      </c>
      <c r="BC32" s="21">
        <v>799900</v>
      </c>
      <c r="BD32" s="21">
        <v>1236600</v>
      </c>
      <c r="BE32" s="21">
        <v>1086600</v>
      </c>
      <c r="BF32" s="21">
        <v>1487600</v>
      </c>
      <c r="BG32" s="21">
        <v>1738300</v>
      </c>
      <c r="BH32" s="21">
        <v>912500</v>
      </c>
      <c r="BI32" s="21">
        <v>2236200</v>
      </c>
      <c r="BJ32" s="21">
        <v>1048000</v>
      </c>
      <c r="BK32" s="21">
        <v>1359100</v>
      </c>
      <c r="BL32" s="21">
        <v>1211900</v>
      </c>
      <c r="BM32" s="1">
        <v>1761900</v>
      </c>
      <c r="BN32" s="1">
        <v>1512800</v>
      </c>
      <c r="BO32" s="1">
        <v>1657300</v>
      </c>
      <c r="BP32" s="1">
        <v>1133000</v>
      </c>
      <c r="BQ32" s="1">
        <v>1885400</v>
      </c>
      <c r="BR32" s="1">
        <v>979200</v>
      </c>
      <c r="BS32" s="1">
        <v>2324300</v>
      </c>
      <c r="BT32" s="1">
        <v>1412000</v>
      </c>
      <c r="BU32" s="1">
        <v>1410400</v>
      </c>
      <c r="BV32" s="1">
        <v>1414000</v>
      </c>
      <c r="BW32" s="1">
        <v>1241200</v>
      </c>
      <c r="BX32" s="1">
        <v>1287200</v>
      </c>
      <c r="BY32" s="1">
        <v>2021400</v>
      </c>
      <c r="BZ32" s="1">
        <v>695300</v>
      </c>
    </row>
    <row r="33" spans="1:254" ht="15.9" customHeight="1">
      <c r="A33" s="393" t="s">
        <v>61</v>
      </c>
      <c r="B33" s="46" t="s">
        <v>62</v>
      </c>
      <c r="C33" s="50">
        <f>_xll.RssMarket("8601","出来高")</f>
        <v>3642300</v>
      </c>
      <c r="D33" s="202">
        <f t="shared" si="0"/>
        <v>0</v>
      </c>
      <c r="E33" s="200">
        <v>3642300</v>
      </c>
      <c r="F33" s="21">
        <v>4474200</v>
      </c>
      <c r="G33" s="21">
        <v>6053400</v>
      </c>
      <c r="H33" s="21">
        <v>7156300</v>
      </c>
      <c r="I33" s="21">
        <v>7658600</v>
      </c>
      <c r="J33" s="21">
        <v>5507400</v>
      </c>
      <c r="K33" s="21">
        <v>6916000</v>
      </c>
      <c r="L33" s="21">
        <v>4527900</v>
      </c>
      <c r="M33" s="21">
        <v>3250300</v>
      </c>
      <c r="N33" s="21">
        <v>3000100</v>
      </c>
      <c r="O33" s="21">
        <v>3316700</v>
      </c>
      <c r="P33" s="21">
        <v>4567500</v>
      </c>
      <c r="Q33" s="21">
        <v>4293200</v>
      </c>
      <c r="R33" s="21">
        <v>5969800</v>
      </c>
      <c r="S33" s="21">
        <v>6357900</v>
      </c>
      <c r="T33" s="21">
        <v>4224200</v>
      </c>
      <c r="U33" s="21">
        <v>3512600</v>
      </c>
      <c r="V33" s="21">
        <v>4541100</v>
      </c>
      <c r="W33" s="21">
        <v>5076500</v>
      </c>
      <c r="X33" s="21">
        <v>5192200</v>
      </c>
      <c r="Y33" s="21">
        <v>6051900</v>
      </c>
      <c r="Z33" s="21">
        <v>3826400</v>
      </c>
      <c r="AA33" s="21">
        <v>4158900</v>
      </c>
      <c r="AB33" s="21">
        <v>5103100</v>
      </c>
      <c r="AC33" s="21">
        <v>5349700</v>
      </c>
      <c r="AD33" s="21">
        <v>5457100</v>
      </c>
      <c r="AE33" s="21">
        <v>10541400</v>
      </c>
      <c r="AF33" s="21">
        <v>3528400</v>
      </c>
      <c r="AG33" s="21">
        <v>3374800</v>
      </c>
      <c r="AH33" s="21">
        <v>4567200</v>
      </c>
      <c r="AI33" s="21">
        <v>4314500</v>
      </c>
      <c r="AJ33" s="21">
        <v>3805800</v>
      </c>
      <c r="AK33" s="21">
        <v>6389300</v>
      </c>
      <c r="AL33" s="21">
        <v>4353300</v>
      </c>
      <c r="AM33" s="21">
        <v>4357200</v>
      </c>
      <c r="AN33" s="21">
        <v>4022300</v>
      </c>
      <c r="AO33" s="21">
        <v>5528200</v>
      </c>
      <c r="AP33" s="21">
        <v>5437300</v>
      </c>
      <c r="AQ33" s="21">
        <v>3030000</v>
      </c>
      <c r="AR33" s="21">
        <v>4167700</v>
      </c>
      <c r="AS33" s="21">
        <v>4322400</v>
      </c>
      <c r="AT33" s="21">
        <v>4149000</v>
      </c>
      <c r="AU33" s="21">
        <v>3463400</v>
      </c>
      <c r="AV33" s="21">
        <v>3870400</v>
      </c>
      <c r="AW33" s="21">
        <v>3797700</v>
      </c>
      <c r="AX33" s="21">
        <v>8997000</v>
      </c>
      <c r="AY33" s="21">
        <v>4196500</v>
      </c>
      <c r="AZ33" s="21">
        <v>5081300</v>
      </c>
      <c r="BA33" s="21">
        <v>3631600</v>
      </c>
      <c r="BB33" s="21">
        <v>4164800</v>
      </c>
      <c r="BC33" s="21">
        <v>3890200</v>
      </c>
      <c r="BD33" s="21">
        <v>4533600</v>
      </c>
      <c r="BE33" s="21">
        <v>3479900</v>
      </c>
      <c r="BF33" s="21">
        <v>3496800</v>
      </c>
      <c r="BG33" s="21">
        <v>4189800</v>
      </c>
      <c r="BH33" s="21">
        <v>4109400</v>
      </c>
      <c r="BI33" s="21">
        <v>3881500</v>
      </c>
      <c r="BJ33" s="21">
        <v>4032100</v>
      </c>
      <c r="BK33" s="21">
        <v>4199000</v>
      </c>
      <c r="BL33" s="21">
        <v>7216100</v>
      </c>
      <c r="BM33" s="1">
        <v>9013600</v>
      </c>
      <c r="BN33" s="1">
        <v>5777300</v>
      </c>
      <c r="BO33" s="1">
        <v>8593100</v>
      </c>
      <c r="BP33" s="1">
        <v>12085100</v>
      </c>
      <c r="BQ33" s="1">
        <v>6612300</v>
      </c>
      <c r="BR33" s="1">
        <v>4046500</v>
      </c>
      <c r="BS33" s="1">
        <v>4241200</v>
      </c>
      <c r="BT33" s="1">
        <v>3293200</v>
      </c>
      <c r="BU33" s="1">
        <v>3396500</v>
      </c>
      <c r="BV33" s="1">
        <v>3208200</v>
      </c>
      <c r="BW33" s="1">
        <v>3596600</v>
      </c>
      <c r="BX33" s="1">
        <v>4904000</v>
      </c>
      <c r="BY33" s="1">
        <v>3977300</v>
      </c>
      <c r="BZ33" s="1">
        <v>3826600</v>
      </c>
    </row>
    <row r="34" spans="1:254" ht="15.9" customHeight="1">
      <c r="A34" s="393" t="s">
        <v>63</v>
      </c>
      <c r="B34" s="46" t="s">
        <v>64</v>
      </c>
      <c r="C34" s="50">
        <f>_xll.RssMarket("5233","出来高")</f>
        <v>1155500</v>
      </c>
      <c r="D34" s="202">
        <f t="shared" si="0"/>
        <v>0</v>
      </c>
      <c r="E34" s="200">
        <v>1155500</v>
      </c>
      <c r="F34" s="21">
        <v>432900</v>
      </c>
      <c r="G34" s="21">
        <v>605600</v>
      </c>
      <c r="H34" s="21">
        <v>559600</v>
      </c>
      <c r="I34" s="21">
        <v>775700</v>
      </c>
      <c r="J34" s="21">
        <v>601300</v>
      </c>
      <c r="K34" s="21">
        <v>809900</v>
      </c>
      <c r="L34" s="21">
        <v>453100</v>
      </c>
      <c r="M34" s="21">
        <v>648000</v>
      </c>
      <c r="N34" s="21">
        <v>572900</v>
      </c>
      <c r="O34" s="21">
        <v>579900</v>
      </c>
      <c r="P34" s="21">
        <v>833400</v>
      </c>
      <c r="Q34" s="21">
        <v>1078100</v>
      </c>
      <c r="R34" s="21">
        <v>646000</v>
      </c>
      <c r="S34" s="21">
        <v>386000</v>
      </c>
      <c r="T34" s="21">
        <v>416400</v>
      </c>
      <c r="U34" s="21">
        <v>563400</v>
      </c>
      <c r="V34" s="21">
        <v>436400</v>
      </c>
      <c r="W34" s="21">
        <v>487200</v>
      </c>
      <c r="X34" s="21">
        <v>379300</v>
      </c>
      <c r="Y34" s="21">
        <v>561100</v>
      </c>
      <c r="Z34" s="21">
        <v>567900</v>
      </c>
      <c r="AA34" s="21">
        <v>446200</v>
      </c>
      <c r="AB34" s="21">
        <v>460700</v>
      </c>
      <c r="AC34" s="21">
        <v>730800</v>
      </c>
      <c r="AD34" s="21">
        <v>898500</v>
      </c>
      <c r="AE34" s="21">
        <v>814700</v>
      </c>
      <c r="AF34" s="21">
        <v>543000</v>
      </c>
      <c r="AG34" s="21">
        <v>620200</v>
      </c>
      <c r="AH34" s="21">
        <v>536400</v>
      </c>
      <c r="AI34" s="21">
        <v>558200</v>
      </c>
      <c r="AJ34" s="21">
        <v>735500</v>
      </c>
      <c r="AK34" s="21">
        <v>700900</v>
      </c>
      <c r="AL34" s="21">
        <v>705900</v>
      </c>
      <c r="AM34" s="21">
        <v>606300</v>
      </c>
      <c r="AN34" s="21">
        <v>503700</v>
      </c>
      <c r="AO34" s="21">
        <v>1122000</v>
      </c>
      <c r="AP34" s="21">
        <v>909000</v>
      </c>
      <c r="AQ34" s="21">
        <v>728500</v>
      </c>
      <c r="AR34" s="21">
        <v>779900</v>
      </c>
      <c r="AS34" s="21">
        <v>610100</v>
      </c>
      <c r="AT34" s="21">
        <v>456500</v>
      </c>
      <c r="AU34" s="21">
        <v>408700</v>
      </c>
      <c r="AV34" s="21">
        <v>453900</v>
      </c>
      <c r="AW34" s="21">
        <v>583600</v>
      </c>
      <c r="AX34" s="21">
        <v>1436900</v>
      </c>
      <c r="AY34" s="21">
        <v>865000</v>
      </c>
      <c r="AZ34" s="21">
        <v>563600</v>
      </c>
      <c r="BA34" s="21">
        <v>533400</v>
      </c>
      <c r="BB34" s="21">
        <v>585000</v>
      </c>
      <c r="BC34" s="21">
        <v>574900</v>
      </c>
      <c r="BD34" s="21">
        <v>660200</v>
      </c>
      <c r="BE34" s="21">
        <v>623400</v>
      </c>
      <c r="BF34" s="21">
        <v>914900</v>
      </c>
      <c r="BG34" s="21">
        <v>1020100</v>
      </c>
      <c r="BH34" s="21">
        <v>1157600</v>
      </c>
      <c r="BI34" s="21">
        <v>2078500</v>
      </c>
      <c r="BJ34" s="21">
        <v>2207100</v>
      </c>
      <c r="BK34" s="21">
        <v>766600</v>
      </c>
      <c r="BL34" s="21">
        <v>588200</v>
      </c>
      <c r="BM34" s="1">
        <v>764800</v>
      </c>
      <c r="BN34" s="1">
        <v>404700</v>
      </c>
      <c r="BO34" s="1">
        <v>633900</v>
      </c>
      <c r="BP34" s="1">
        <v>500100</v>
      </c>
      <c r="BQ34" s="1">
        <v>639300</v>
      </c>
      <c r="BR34" s="1">
        <v>455200</v>
      </c>
      <c r="BS34" s="1">
        <v>627400</v>
      </c>
      <c r="BT34" s="1">
        <v>336900</v>
      </c>
      <c r="BU34" s="1">
        <v>343900</v>
      </c>
      <c r="BV34" s="1">
        <v>548800</v>
      </c>
      <c r="BW34" s="1">
        <v>410400</v>
      </c>
      <c r="BX34" s="1">
        <v>502700</v>
      </c>
      <c r="BY34" s="1">
        <v>569200</v>
      </c>
      <c r="BZ34" s="1">
        <v>401800</v>
      </c>
    </row>
    <row r="35" spans="1:254" ht="15.9" customHeight="1">
      <c r="A35" s="393" t="s">
        <v>65</v>
      </c>
      <c r="B35" s="46" t="s">
        <v>66</v>
      </c>
      <c r="C35" s="50">
        <f>_xll.RssMarket("8308","出来高")</f>
        <v>10474300</v>
      </c>
      <c r="D35" s="202">
        <f t="shared" si="0"/>
        <v>0</v>
      </c>
      <c r="E35" s="200">
        <v>10474300</v>
      </c>
      <c r="F35" s="21">
        <v>9987300</v>
      </c>
      <c r="G35" s="21">
        <v>10969500</v>
      </c>
      <c r="H35" s="21">
        <v>16504700</v>
      </c>
      <c r="I35" s="21">
        <v>12573100</v>
      </c>
      <c r="J35" s="21">
        <v>20453200</v>
      </c>
      <c r="K35" s="21">
        <v>13055900</v>
      </c>
      <c r="L35" s="21">
        <v>12507100</v>
      </c>
      <c r="M35" s="21">
        <v>9342600</v>
      </c>
      <c r="N35" s="21">
        <v>9381700</v>
      </c>
      <c r="O35" s="21">
        <v>10263800</v>
      </c>
      <c r="P35" s="21">
        <v>7836200</v>
      </c>
      <c r="Q35" s="21">
        <v>9832900</v>
      </c>
      <c r="R35" s="21">
        <v>9857100</v>
      </c>
      <c r="S35" s="21">
        <v>8911000</v>
      </c>
      <c r="T35" s="21">
        <v>7226100</v>
      </c>
      <c r="U35" s="21">
        <v>7426900</v>
      </c>
      <c r="V35" s="21">
        <v>7334900</v>
      </c>
      <c r="W35" s="21">
        <v>10020500</v>
      </c>
      <c r="X35" s="21">
        <v>9889300</v>
      </c>
      <c r="Y35" s="21">
        <v>13396200</v>
      </c>
      <c r="Z35" s="21">
        <v>6617300</v>
      </c>
      <c r="AA35" s="21">
        <v>8456200</v>
      </c>
      <c r="AB35" s="21">
        <v>10956300</v>
      </c>
      <c r="AC35" s="21">
        <v>7527200</v>
      </c>
      <c r="AD35" s="21">
        <v>6570900</v>
      </c>
      <c r="AE35" s="21">
        <v>7327500</v>
      </c>
      <c r="AF35" s="21">
        <v>6949600</v>
      </c>
      <c r="AG35" s="21">
        <v>8404300</v>
      </c>
      <c r="AH35" s="21">
        <v>7015000</v>
      </c>
      <c r="AI35" s="21">
        <v>9423000</v>
      </c>
      <c r="AJ35" s="21">
        <v>7169400</v>
      </c>
      <c r="AK35" s="21">
        <v>14315100</v>
      </c>
      <c r="AL35" s="21">
        <v>12098800</v>
      </c>
      <c r="AM35" s="21">
        <v>10336500</v>
      </c>
      <c r="AN35" s="21">
        <v>11756200</v>
      </c>
      <c r="AO35" s="21">
        <v>9965300</v>
      </c>
      <c r="AP35" s="21">
        <v>11972000</v>
      </c>
      <c r="AQ35" s="21">
        <v>14673600</v>
      </c>
      <c r="AR35" s="21">
        <v>11797200</v>
      </c>
      <c r="AS35" s="21">
        <v>9733400</v>
      </c>
      <c r="AT35" s="21">
        <v>8793900</v>
      </c>
      <c r="AU35" s="21">
        <v>10316900</v>
      </c>
      <c r="AV35" s="21">
        <v>7162100</v>
      </c>
      <c r="AW35" s="21">
        <v>8197400</v>
      </c>
      <c r="AX35" s="21">
        <v>9765600</v>
      </c>
      <c r="AY35" s="21">
        <v>8129700</v>
      </c>
      <c r="AZ35" s="21">
        <v>9183700</v>
      </c>
      <c r="BA35" s="21">
        <v>6534900</v>
      </c>
      <c r="BB35" s="21">
        <v>7337300</v>
      </c>
      <c r="BC35" s="21">
        <v>11942000</v>
      </c>
      <c r="BD35" s="21">
        <v>12149200</v>
      </c>
      <c r="BE35" s="21">
        <v>8930900</v>
      </c>
      <c r="BF35" s="21">
        <v>8484200</v>
      </c>
      <c r="BG35" s="21">
        <v>10223500</v>
      </c>
      <c r="BH35" s="21">
        <v>8320400</v>
      </c>
      <c r="BI35" s="21">
        <v>10331200</v>
      </c>
      <c r="BJ35" s="21">
        <v>9667900</v>
      </c>
      <c r="BK35" s="21">
        <v>9074400</v>
      </c>
      <c r="BL35" s="21">
        <v>9329900</v>
      </c>
      <c r="BM35" s="1">
        <v>12362900</v>
      </c>
      <c r="BN35" s="1">
        <v>5900900</v>
      </c>
      <c r="BO35" s="1">
        <v>12810700</v>
      </c>
      <c r="BP35" s="1">
        <v>16843800</v>
      </c>
      <c r="BQ35" s="1">
        <v>5059300</v>
      </c>
      <c r="BR35" s="1">
        <v>7046400</v>
      </c>
      <c r="BS35" s="1">
        <v>18447300</v>
      </c>
      <c r="BT35" s="1">
        <v>8762100</v>
      </c>
      <c r="BU35" s="1">
        <v>6738400</v>
      </c>
      <c r="BV35" s="1">
        <v>10064200</v>
      </c>
      <c r="BW35" s="1">
        <v>15280900</v>
      </c>
      <c r="BX35" s="1">
        <v>8546700</v>
      </c>
      <c r="BY35" s="1">
        <v>10257900</v>
      </c>
      <c r="BZ35" s="1">
        <v>6005200</v>
      </c>
    </row>
    <row r="36" spans="1:254" ht="15.9" customHeight="1">
      <c r="A36" s="393" t="s">
        <v>67</v>
      </c>
      <c r="B36" s="46" t="s">
        <v>68</v>
      </c>
      <c r="C36" s="50">
        <f>_xll.RssMarket("5938","出来高")</f>
        <v>2367100</v>
      </c>
      <c r="D36" s="202">
        <f t="shared" si="0"/>
        <v>0</v>
      </c>
      <c r="E36" s="200">
        <v>2367100</v>
      </c>
      <c r="F36" s="21">
        <v>2557200</v>
      </c>
      <c r="G36" s="21">
        <v>2656800</v>
      </c>
      <c r="H36" s="21">
        <v>4137600</v>
      </c>
      <c r="I36" s="21">
        <v>6437700</v>
      </c>
      <c r="J36" s="21">
        <v>2101700</v>
      </c>
      <c r="K36" s="21">
        <v>3262900</v>
      </c>
      <c r="L36" s="21">
        <v>1748300</v>
      </c>
      <c r="M36" s="21">
        <v>2583800</v>
      </c>
      <c r="N36" s="21">
        <v>1668600</v>
      </c>
      <c r="O36" s="21">
        <v>1403300</v>
      </c>
      <c r="P36" s="21">
        <v>2233200</v>
      </c>
      <c r="Q36" s="21">
        <v>1524200</v>
      </c>
      <c r="R36" s="21">
        <v>1601600</v>
      </c>
      <c r="S36" s="21">
        <v>1545400</v>
      </c>
      <c r="T36" s="21">
        <v>1801500</v>
      </c>
      <c r="U36" s="21">
        <v>1195000</v>
      </c>
      <c r="V36" s="21">
        <v>1954000</v>
      </c>
      <c r="W36" s="21">
        <v>1945400</v>
      </c>
      <c r="X36" s="21">
        <v>2765900</v>
      </c>
      <c r="Y36" s="21">
        <v>2424600</v>
      </c>
      <c r="Z36" s="21">
        <v>1843100</v>
      </c>
      <c r="AA36" s="21">
        <v>2903800</v>
      </c>
      <c r="AB36" s="21">
        <v>2368600</v>
      </c>
      <c r="AC36" s="21">
        <v>1685800</v>
      </c>
      <c r="AD36" s="21">
        <v>2362300</v>
      </c>
      <c r="AE36" s="21">
        <v>2481300</v>
      </c>
      <c r="AF36" s="21">
        <v>2502900</v>
      </c>
      <c r="AG36" s="21">
        <v>3344500</v>
      </c>
      <c r="AH36" s="21">
        <v>2102500</v>
      </c>
      <c r="AI36" s="21">
        <v>1393200</v>
      </c>
      <c r="AJ36" s="21">
        <v>1520600</v>
      </c>
      <c r="AK36" s="21">
        <v>2075500</v>
      </c>
      <c r="AL36" s="21">
        <v>1652000</v>
      </c>
      <c r="AM36" s="21">
        <v>1721200</v>
      </c>
      <c r="AN36" s="21">
        <v>1328400</v>
      </c>
      <c r="AO36" s="21">
        <v>1653200</v>
      </c>
      <c r="AP36" s="21">
        <v>2242600</v>
      </c>
      <c r="AQ36" s="21">
        <v>1681600</v>
      </c>
      <c r="AR36" s="21">
        <v>2358400</v>
      </c>
      <c r="AS36" s="21">
        <v>2417400</v>
      </c>
      <c r="AT36" s="21">
        <v>1383200</v>
      </c>
      <c r="AU36" s="21">
        <v>1465300</v>
      </c>
      <c r="AV36" s="21">
        <v>1888000</v>
      </c>
      <c r="AW36" s="21">
        <v>2042200</v>
      </c>
      <c r="AX36" s="21">
        <v>2790900</v>
      </c>
      <c r="AY36" s="21">
        <v>1810900</v>
      </c>
      <c r="AZ36" s="21">
        <v>1659800</v>
      </c>
      <c r="BA36" s="21">
        <v>1394200</v>
      </c>
      <c r="BB36" s="21">
        <v>1022700</v>
      </c>
      <c r="BC36" s="21">
        <v>1297000</v>
      </c>
      <c r="BD36" s="21">
        <v>2376800</v>
      </c>
      <c r="BE36" s="21">
        <v>1383200</v>
      </c>
      <c r="BF36" s="21">
        <v>1636800</v>
      </c>
      <c r="BG36" s="21">
        <v>1694000</v>
      </c>
      <c r="BH36" s="21">
        <v>1620100</v>
      </c>
      <c r="BI36" s="21">
        <v>1285300</v>
      </c>
      <c r="BJ36" s="21">
        <v>1666400</v>
      </c>
      <c r="BK36" s="21">
        <v>2120800</v>
      </c>
      <c r="BL36" s="21">
        <v>2687500</v>
      </c>
      <c r="BM36" s="1">
        <v>3711700</v>
      </c>
      <c r="BN36" s="1">
        <v>3850200</v>
      </c>
      <c r="BO36" s="1">
        <v>5742500</v>
      </c>
      <c r="BP36" s="1">
        <v>1792400</v>
      </c>
      <c r="BQ36" s="1">
        <v>1477000</v>
      </c>
      <c r="BR36" s="1">
        <v>1173700</v>
      </c>
      <c r="BS36" s="1">
        <v>4119200</v>
      </c>
      <c r="BT36" s="1">
        <v>1646600</v>
      </c>
      <c r="BU36" s="1">
        <v>1471100</v>
      </c>
      <c r="BV36" s="1">
        <v>1838100</v>
      </c>
      <c r="BW36" s="1">
        <v>2059200</v>
      </c>
      <c r="BX36" s="1">
        <v>2624400</v>
      </c>
      <c r="BY36" s="1">
        <v>1958200</v>
      </c>
      <c r="BZ36" s="1">
        <v>3155000</v>
      </c>
    </row>
    <row r="37" spans="1:254" ht="15.9" customHeight="1">
      <c r="A37" s="393" t="s">
        <v>69</v>
      </c>
      <c r="B37" s="46" t="s">
        <v>70</v>
      </c>
      <c r="C37" s="50">
        <f>_xll.RssMarket("8570","出来高")</f>
        <v>891700</v>
      </c>
      <c r="D37" s="202">
        <f t="shared" si="0"/>
        <v>0</v>
      </c>
      <c r="E37" s="200">
        <v>891700</v>
      </c>
      <c r="F37" s="21">
        <v>338800</v>
      </c>
      <c r="G37" s="21">
        <v>489200</v>
      </c>
      <c r="H37" s="21">
        <v>607300</v>
      </c>
      <c r="I37" s="21">
        <v>664800</v>
      </c>
      <c r="J37" s="21">
        <v>439300</v>
      </c>
      <c r="K37" s="21">
        <v>511000</v>
      </c>
      <c r="L37" s="21">
        <v>343600</v>
      </c>
      <c r="M37" s="21">
        <v>381600</v>
      </c>
      <c r="N37" s="21">
        <v>377800</v>
      </c>
      <c r="O37" s="21">
        <v>269800</v>
      </c>
      <c r="P37" s="21">
        <v>471100</v>
      </c>
      <c r="Q37" s="21">
        <v>529300</v>
      </c>
      <c r="R37" s="21">
        <v>486400</v>
      </c>
      <c r="S37" s="21">
        <v>512300</v>
      </c>
      <c r="T37" s="21">
        <v>390300</v>
      </c>
      <c r="U37" s="21">
        <v>561300</v>
      </c>
      <c r="V37" s="21">
        <v>1263000</v>
      </c>
      <c r="W37" s="21">
        <v>921200</v>
      </c>
      <c r="X37" s="21">
        <v>685900</v>
      </c>
      <c r="Y37" s="21">
        <v>395500</v>
      </c>
      <c r="Z37" s="21">
        <v>315600</v>
      </c>
      <c r="AA37" s="21">
        <v>497000</v>
      </c>
      <c r="AB37" s="21">
        <v>560900</v>
      </c>
      <c r="AC37" s="21">
        <v>719200</v>
      </c>
      <c r="AD37" s="21">
        <v>366300</v>
      </c>
      <c r="AE37" s="21">
        <v>351200</v>
      </c>
      <c r="AF37" s="21">
        <v>396400</v>
      </c>
      <c r="AG37" s="21">
        <v>369000</v>
      </c>
      <c r="AH37" s="21">
        <v>436800</v>
      </c>
      <c r="AI37" s="21">
        <v>416100</v>
      </c>
      <c r="AJ37" s="21">
        <v>578900</v>
      </c>
      <c r="AK37" s="21">
        <v>947400</v>
      </c>
      <c r="AL37" s="21">
        <v>524100</v>
      </c>
      <c r="AM37" s="21">
        <v>338900</v>
      </c>
      <c r="AN37" s="21">
        <v>326000</v>
      </c>
      <c r="AO37" s="21">
        <v>367500</v>
      </c>
      <c r="AP37" s="21">
        <v>595600</v>
      </c>
      <c r="AQ37" s="21">
        <v>448600</v>
      </c>
      <c r="AR37" s="21">
        <v>787900</v>
      </c>
      <c r="AS37" s="21">
        <v>552000</v>
      </c>
      <c r="AT37" s="21">
        <v>589600</v>
      </c>
      <c r="AU37" s="21">
        <v>577500</v>
      </c>
      <c r="AV37" s="21">
        <v>523100</v>
      </c>
      <c r="AW37" s="21">
        <v>539600</v>
      </c>
      <c r="AX37" s="21">
        <v>785000</v>
      </c>
      <c r="AY37" s="21">
        <v>689200</v>
      </c>
      <c r="AZ37" s="21">
        <v>517300</v>
      </c>
      <c r="BA37" s="21">
        <v>568400</v>
      </c>
      <c r="BB37" s="21">
        <v>474000</v>
      </c>
      <c r="BC37" s="21">
        <v>609400</v>
      </c>
      <c r="BD37" s="21">
        <v>731900</v>
      </c>
      <c r="BE37" s="21">
        <v>865400</v>
      </c>
      <c r="BF37" s="21">
        <v>714400</v>
      </c>
      <c r="BG37" s="21">
        <v>744700</v>
      </c>
      <c r="BH37" s="21">
        <v>571700</v>
      </c>
      <c r="BI37" s="21">
        <v>503200</v>
      </c>
      <c r="BJ37" s="21">
        <v>435100</v>
      </c>
      <c r="BK37" s="21">
        <v>600700</v>
      </c>
      <c r="BL37" s="21">
        <v>1122500</v>
      </c>
      <c r="BM37" s="1">
        <v>837400</v>
      </c>
      <c r="BN37" s="1">
        <v>539300</v>
      </c>
      <c r="BO37" s="1">
        <v>749300</v>
      </c>
      <c r="BP37" s="1">
        <v>465500</v>
      </c>
      <c r="BQ37" s="1">
        <v>471100</v>
      </c>
      <c r="BR37" s="1">
        <v>508100</v>
      </c>
      <c r="BS37" s="1">
        <v>575900</v>
      </c>
      <c r="BT37" s="1">
        <v>816800</v>
      </c>
      <c r="BU37" s="1">
        <v>574800</v>
      </c>
      <c r="BV37" s="1">
        <v>460700</v>
      </c>
      <c r="BW37" s="1">
        <v>553600</v>
      </c>
      <c r="BX37" s="1">
        <v>583700</v>
      </c>
      <c r="BY37" s="1">
        <v>521200</v>
      </c>
      <c r="BZ37" s="1">
        <v>733000</v>
      </c>
    </row>
    <row r="38" spans="1:254" ht="15.9" customHeight="1">
      <c r="A38" s="393" t="s">
        <v>71</v>
      </c>
      <c r="B38" s="46" t="s">
        <v>72</v>
      </c>
      <c r="C38" s="50">
        <f>_xll.RssMarket("5406","出来高")</f>
        <v>2994700</v>
      </c>
      <c r="D38" s="202">
        <f t="shared" si="0"/>
        <v>0</v>
      </c>
      <c r="E38" s="200">
        <v>2994700</v>
      </c>
      <c r="F38" s="21">
        <v>7671300</v>
      </c>
      <c r="G38" s="21">
        <v>1710700</v>
      </c>
      <c r="H38" s="21">
        <v>2175300</v>
      </c>
      <c r="I38" s="21">
        <v>2486300</v>
      </c>
      <c r="J38" s="21">
        <v>2329900</v>
      </c>
      <c r="K38" s="21">
        <v>3488400</v>
      </c>
      <c r="L38" s="21">
        <v>2491500</v>
      </c>
      <c r="M38" s="21">
        <v>2335700</v>
      </c>
      <c r="N38" s="21">
        <v>1569300</v>
      </c>
      <c r="O38" s="21">
        <v>1632700</v>
      </c>
      <c r="P38" s="21">
        <v>1801000</v>
      </c>
      <c r="Q38" s="21">
        <v>2071700</v>
      </c>
      <c r="R38" s="21">
        <v>2209000</v>
      </c>
      <c r="S38" s="21">
        <v>1543200</v>
      </c>
      <c r="T38" s="21">
        <v>3107300</v>
      </c>
      <c r="U38" s="21">
        <v>2132400</v>
      </c>
      <c r="V38" s="21">
        <v>1814200</v>
      </c>
      <c r="W38" s="21">
        <v>1680300</v>
      </c>
      <c r="X38" s="21">
        <v>1773000</v>
      </c>
      <c r="Y38" s="21">
        <v>1963800</v>
      </c>
      <c r="Z38" s="21">
        <v>2172100</v>
      </c>
      <c r="AA38" s="21">
        <v>1797200</v>
      </c>
      <c r="AB38" s="21">
        <v>3717200</v>
      </c>
      <c r="AC38" s="21">
        <v>1622100</v>
      </c>
      <c r="AD38" s="21">
        <v>1857400</v>
      </c>
      <c r="AE38" s="21">
        <v>3330000</v>
      </c>
      <c r="AF38" s="21">
        <v>1587200</v>
      </c>
      <c r="AG38" s="21">
        <v>1181200</v>
      </c>
      <c r="AH38" s="21">
        <v>1369000</v>
      </c>
      <c r="AI38" s="21">
        <v>1882500</v>
      </c>
      <c r="AJ38" s="21">
        <v>1377000</v>
      </c>
      <c r="AK38" s="21">
        <v>2797700</v>
      </c>
      <c r="AL38" s="21">
        <v>1646200</v>
      </c>
      <c r="AM38" s="21">
        <v>1310000</v>
      </c>
      <c r="AN38" s="21">
        <v>1124000</v>
      </c>
      <c r="AO38" s="21">
        <v>2501500</v>
      </c>
      <c r="AP38" s="21">
        <v>2761200</v>
      </c>
      <c r="AQ38" s="21">
        <v>1777900</v>
      </c>
      <c r="AR38" s="21">
        <v>1619400</v>
      </c>
      <c r="AS38" s="21">
        <v>2268500</v>
      </c>
      <c r="AT38" s="21">
        <v>1724300</v>
      </c>
      <c r="AU38" s="21">
        <v>1785000</v>
      </c>
      <c r="AV38" s="21">
        <v>1379700</v>
      </c>
      <c r="AW38" s="21">
        <v>1761500</v>
      </c>
      <c r="AX38" s="21">
        <v>2512100</v>
      </c>
      <c r="AY38" s="21">
        <v>1853000</v>
      </c>
      <c r="AZ38" s="21">
        <v>2515400</v>
      </c>
      <c r="BA38" s="21">
        <v>1639900</v>
      </c>
      <c r="BB38" s="21">
        <v>1886300</v>
      </c>
      <c r="BC38" s="21">
        <v>1894000</v>
      </c>
      <c r="BD38" s="21">
        <v>2091100</v>
      </c>
      <c r="BE38" s="21">
        <v>2464500</v>
      </c>
      <c r="BF38" s="21">
        <v>2079800</v>
      </c>
      <c r="BG38" s="21">
        <v>1834800</v>
      </c>
      <c r="BH38" s="21">
        <v>2061400</v>
      </c>
      <c r="BI38" s="21">
        <v>2340700</v>
      </c>
      <c r="BJ38" s="21">
        <v>3805000</v>
      </c>
      <c r="BK38" s="21">
        <v>9319400</v>
      </c>
      <c r="BL38" s="21">
        <v>3010900</v>
      </c>
      <c r="BM38" s="1">
        <v>4574800</v>
      </c>
      <c r="BN38" s="1">
        <v>2241100</v>
      </c>
      <c r="BO38" s="1">
        <v>3457100</v>
      </c>
      <c r="BP38" s="1">
        <v>1905900</v>
      </c>
      <c r="BQ38" s="1">
        <v>1833800</v>
      </c>
      <c r="BR38" s="1">
        <v>1590600</v>
      </c>
      <c r="BS38" s="1">
        <v>2007300</v>
      </c>
      <c r="BT38" s="1">
        <v>1732700</v>
      </c>
      <c r="BU38" s="1">
        <v>1367300</v>
      </c>
      <c r="BV38" s="1">
        <v>1582300</v>
      </c>
      <c r="BW38" s="1">
        <v>1626400</v>
      </c>
      <c r="BX38" s="1">
        <v>1222600</v>
      </c>
      <c r="BY38" s="1">
        <v>1654400</v>
      </c>
      <c r="BZ38" s="1">
        <v>1364900</v>
      </c>
    </row>
    <row r="39" spans="1:254" ht="15.9" customHeight="1">
      <c r="A39" s="393" t="s">
        <v>73</v>
      </c>
      <c r="B39" s="46" t="s">
        <v>74</v>
      </c>
      <c r="C39" s="50">
        <f>_xll.RssMarket("8593","出来高")</f>
        <v>3802100</v>
      </c>
      <c r="D39" s="202">
        <f t="shared" si="0"/>
        <v>0</v>
      </c>
      <c r="E39" s="200">
        <v>3802100</v>
      </c>
      <c r="F39" s="21">
        <v>4072700</v>
      </c>
      <c r="G39" s="21">
        <v>4216500</v>
      </c>
      <c r="H39" s="21">
        <v>6409500</v>
      </c>
      <c r="I39" s="21">
        <v>6968600</v>
      </c>
      <c r="J39" s="21">
        <v>4587300</v>
      </c>
      <c r="K39" s="21">
        <v>7645500</v>
      </c>
      <c r="L39" s="21">
        <v>3562100</v>
      </c>
      <c r="M39" s="21">
        <v>4148000</v>
      </c>
      <c r="N39" s="21">
        <v>3189500</v>
      </c>
      <c r="O39" s="21">
        <v>3086100</v>
      </c>
      <c r="P39" s="21">
        <v>4159900</v>
      </c>
      <c r="Q39" s="21">
        <v>4888900</v>
      </c>
      <c r="R39" s="21">
        <v>5151200</v>
      </c>
      <c r="S39" s="21">
        <v>3392200</v>
      </c>
      <c r="T39" s="21">
        <v>4764000</v>
      </c>
      <c r="U39" s="21">
        <v>3054700</v>
      </c>
      <c r="V39" s="21">
        <v>3446600</v>
      </c>
      <c r="W39" s="21">
        <v>3725600</v>
      </c>
      <c r="X39" s="21">
        <v>4145400</v>
      </c>
      <c r="Y39" s="21">
        <v>3736000</v>
      </c>
      <c r="Z39" s="21">
        <v>3748100</v>
      </c>
      <c r="AA39" s="21">
        <v>4308600</v>
      </c>
      <c r="AB39" s="21">
        <v>4069700</v>
      </c>
      <c r="AC39" s="21">
        <v>3984700</v>
      </c>
      <c r="AD39" s="21">
        <v>3560600</v>
      </c>
      <c r="AE39" s="21">
        <v>4385300</v>
      </c>
      <c r="AF39" s="21">
        <v>3474800</v>
      </c>
      <c r="AG39" s="21">
        <v>3068800</v>
      </c>
      <c r="AH39" s="21">
        <v>3805300</v>
      </c>
      <c r="AI39" s="21">
        <v>6159800</v>
      </c>
      <c r="AJ39" s="21">
        <v>3865000</v>
      </c>
      <c r="AK39" s="21">
        <v>4213100</v>
      </c>
      <c r="AL39" s="21">
        <v>5279700</v>
      </c>
      <c r="AM39" s="21">
        <v>3327500</v>
      </c>
      <c r="AN39" s="21">
        <v>4749600</v>
      </c>
      <c r="AO39" s="21">
        <v>4458000</v>
      </c>
      <c r="AP39" s="21">
        <v>5116300</v>
      </c>
      <c r="AQ39" s="21">
        <v>5220600</v>
      </c>
      <c r="AR39" s="21">
        <v>5799200</v>
      </c>
      <c r="AS39" s="21">
        <v>7062800</v>
      </c>
      <c r="AT39" s="21">
        <v>5135100</v>
      </c>
      <c r="AU39" s="21">
        <v>5191100</v>
      </c>
      <c r="AV39" s="21">
        <v>5407100</v>
      </c>
      <c r="AW39" s="21">
        <v>7450800</v>
      </c>
      <c r="AX39" s="21">
        <v>9865400</v>
      </c>
      <c r="AY39" s="21">
        <v>4673600</v>
      </c>
      <c r="AZ39" s="21">
        <v>6031000</v>
      </c>
      <c r="BA39" s="21">
        <v>6336100</v>
      </c>
      <c r="BB39" s="21">
        <v>6875400</v>
      </c>
      <c r="BC39" s="21">
        <v>5670200</v>
      </c>
      <c r="BD39" s="21">
        <v>6771200</v>
      </c>
      <c r="BE39" s="21">
        <v>7851100</v>
      </c>
      <c r="BF39" s="21">
        <v>16020200</v>
      </c>
      <c r="BG39" s="21">
        <v>4716600</v>
      </c>
      <c r="BH39" s="21">
        <v>3255300</v>
      </c>
      <c r="BI39" s="21">
        <v>3582500</v>
      </c>
      <c r="BJ39" s="21">
        <v>3990700</v>
      </c>
      <c r="BK39" s="21">
        <v>2973000</v>
      </c>
      <c r="BL39" s="21">
        <v>3753900</v>
      </c>
      <c r="BM39" s="1">
        <v>5815300</v>
      </c>
      <c r="BN39" s="1">
        <v>3110200</v>
      </c>
      <c r="BO39" s="1">
        <v>3725000</v>
      </c>
      <c r="BP39" s="1">
        <v>3212200</v>
      </c>
      <c r="BQ39" s="1">
        <v>3319400</v>
      </c>
      <c r="BR39" s="1">
        <v>2614200</v>
      </c>
      <c r="BS39" s="1">
        <v>3759500</v>
      </c>
      <c r="BT39" s="1">
        <v>2728700</v>
      </c>
      <c r="BU39" s="1">
        <v>3886000</v>
      </c>
      <c r="BV39" s="1">
        <v>3404200</v>
      </c>
      <c r="BW39" s="1">
        <v>2123000</v>
      </c>
      <c r="BX39" s="1">
        <v>3934300</v>
      </c>
      <c r="BY39" s="1">
        <v>3088100</v>
      </c>
      <c r="BZ39" s="1">
        <v>2722900</v>
      </c>
    </row>
    <row r="40" spans="1:254" ht="15.9" customHeight="1">
      <c r="A40" s="393" t="s">
        <v>75</v>
      </c>
      <c r="B40" s="46" t="s">
        <v>76</v>
      </c>
      <c r="C40" s="50">
        <f>_xll.RssMarket("8604","出来高")</f>
        <v>8448700</v>
      </c>
      <c r="D40" s="202">
        <f t="shared" si="0"/>
        <v>0</v>
      </c>
      <c r="E40" s="200">
        <v>8448700</v>
      </c>
      <c r="F40" s="21">
        <v>9075900</v>
      </c>
      <c r="G40" s="21">
        <v>9147400</v>
      </c>
      <c r="H40" s="21">
        <v>12762100</v>
      </c>
      <c r="I40" s="21">
        <v>21164100</v>
      </c>
      <c r="J40" s="21">
        <v>20006600</v>
      </c>
      <c r="K40" s="21">
        <v>13171500</v>
      </c>
      <c r="L40" s="21">
        <v>9565300</v>
      </c>
      <c r="M40" s="21">
        <v>9076500</v>
      </c>
      <c r="N40" s="21">
        <v>9472200</v>
      </c>
      <c r="O40" s="21">
        <v>9924300</v>
      </c>
      <c r="P40" s="21">
        <v>9271000</v>
      </c>
      <c r="Q40" s="21">
        <v>11177700</v>
      </c>
      <c r="R40" s="21">
        <v>15093000</v>
      </c>
      <c r="S40" s="21">
        <v>14545600</v>
      </c>
      <c r="T40" s="21">
        <v>7219400</v>
      </c>
      <c r="U40" s="21">
        <v>8545500</v>
      </c>
      <c r="V40" s="21">
        <v>8748900</v>
      </c>
      <c r="W40" s="21">
        <v>9318900</v>
      </c>
      <c r="X40" s="21">
        <v>11322700</v>
      </c>
      <c r="Y40" s="21">
        <v>17154400</v>
      </c>
      <c r="Z40" s="21">
        <v>7782800</v>
      </c>
      <c r="AA40" s="21">
        <v>7889300</v>
      </c>
      <c r="AB40" s="21">
        <v>8388500</v>
      </c>
      <c r="AC40" s="21">
        <v>10436300</v>
      </c>
      <c r="AD40" s="21">
        <v>9562400</v>
      </c>
      <c r="AE40" s="21">
        <v>9621900</v>
      </c>
      <c r="AF40" s="21">
        <v>10827500</v>
      </c>
      <c r="AG40" s="21">
        <v>9474400</v>
      </c>
      <c r="AH40" s="21">
        <v>11416600</v>
      </c>
      <c r="AI40" s="21">
        <v>8901400</v>
      </c>
      <c r="AJ40" s="21">
        <v>8371300</v>
      </c>
      <c r="AK40" s="21">
        <v>12442600</v>
      </c>
      <c r="AL40" s="21">
        <v>12710100</v>
      </c>
      <c r="AM40" s="21">
        <v>14384100</v>
      </c>
      <c r="AN40" s="21">
        <v>7963300</v>
      </c>
      <c r="AO40" s="21">
        <v>10446400</v>
      </c>
      <c r="AP40" s="21">
        <v>9797400</v>
      </c>
      <c r="AQ40" s="21">
        <v>7003100</v>
      </c>
      <c r="AR40" s="21">
        <v>8660800</v>
      </c>
      <c r="AS40" s="21">
        <v>12836900</v>
      </c>
      <c r="AT40" s="21">
        <v>11799500</v>
      </c>
      <c r="AU40" s="21">
        <v>8917400</v>
      </c>
      <c r="AV40" s="21">
        <v>13692100</v>
      </c>
      <c r="AW40" s="21">
        <v>11946000</v>
      </c>
      <c r="AX40" s="21">
        <v>29233700</v>
      </c>
      <c r="AY40" s="21">
        <v>11733700</v>
      </c>
      <c r="AZ40" s="21">
        <v>8483800</v>
      </c>
      <c r="BA40" s="21">
        <v>8148600</v>
      </c>
      <c r="BB40" s="21">
        <v>8912800</v>
      </c>
      <c r="BC40" s="21">
        <v>9575300</v>
      </c>
      <c r="BD40" s="21">
        <v>8852000</v>
      </c>
      <c r="BE40" s="21">
        <v>7838300</v>
      </c>
      <c r="BF40" s="21">
        <v>6858500</v>
      </c>
      <c r="BG40" s="21">
        <v>7345900</v>
      </c>
      <c r="BH40" s="21">
        <v>10564100</v>
      </c>
      <c r="BI40" s="21">
        <v>9756900</v>
      </c>
      <c r="BJ40" s="21">
        <v>10219100</v>
      </c>
      <c r="BK40" s="21">
        <v>9077100</v>
      </c>
      <c r="BL40" s="21">
        <v>13871000</v>
      </c>
      <c r="BM40" s="1">
        <v>22906700</v>
      </c>
      <c r="BN40" s="1">
        <v>11373000</v>
      </c>
      <c r="BO40" s="1">
        <v>17254600</v>
      </c>
      <c r="BP40" s="1">
        <v>23120300</v>
      </c>
      <c r="BQ40" s="1">
        <v>21603700</v>
      </c>
      <c r="BR40" s="1">
        <v>8661500</v>
      </c>
      <c r="BS40" s="1">
        <v>9157800</v>
      </c>
      <c r="BT40" s="1">
        <v>7073400</v>
      </c>
      <c r="BU40" s="1">
        <v>6874500</v>
      </c>
      <c r="BV40" s="1">
        <v>6905300</v>
      </c>
      <c r="BW40" s="1">
        <v>10668900</v>
      </c>
      <c r="BX40" s="1">
        <v>15801200</v>
      </c>
      <c r="BY40" s="1">
        <v>15002200</v>
      </c>
      <c r="BZ40" s="1">
        <v>10036000</v>
      </c>
    </row>
    <row r="41" spans="1:254" ht="15.9" customHeight="1">
      <c r="A41" s="393" t="s">
        <v>77</v>
      </c>
      <c r="B41" s="46" t="s">
        <v>78</v>
      </c>
      <c r="C41" s="50">
        <f>_xll.RssMarket("3861","出来高")</f>
        <v>4520900</v>
      </c>
      <c r="D41" s="202">
        <f t="shared" si="0"/>
        <v>0</v>
      </c>
      <c r="E41" s="200">
        <v>4520900</v>
      </c>
      <c r="F41" s="21">
        <v>6806200</v>
      </c>
      <c r="G41" s="21">
        <v>4281600</v>
      </c>
      <c r="H41" s="21">
        <v>4591200</v>
      </c>
      <c r="I41" s="21">
        <v>7998400</v>
      </c>
      <c r="J41" s="21">
        <v>3777900</v>
      </c>
      <c r="K41" s="21">
        <v>5007100</v>
      </c>
      <c r="L41" s="21">
        <v>3117300</v>
      </c>
      <c r="M41" s="21">
        <v>3711600</v>
      </c>
      <c r="N41" s="21">
        <v>3132100</v>
      </c>
      <c r="O41" s="21">
        <v>3706300</v>
      </c>
      <c r="P41" s="21">
        <v>3034400</v>
      </c>
      <c r="Q41" s="21">
        <v>3472500</v>
      </c>
      <c r="R41" s="21">
        <v>3567400</v>
      </c>
      <c r="S41" s="21">
        <v>3102100</v>
      </c>
      <c r="T41" s="21">
        <v>2698600</v>
      </c>
      <c r="U41" s="21">
        <v>2471000</v>
      </c>
      <c r="V41" s="21">
        <v>2565900</v>
      </c>
      <c r="W41" s="21">
        <v>2779900</v>
      </c>
      <c r="X41" s="21">
        <v>2568700</v>
      </c>
      <c r="Y41" s="21">
        <v>3978600</v>
      </c>
      <c r="Z41" s="21">
        <v>2789400</v>
      </c>
      <c r="AA41" s="21">
        <v>4214500</v>
      </c>
      <c r="AB41" s="21">
        <v>3648100</v>
      </c>
      <c r="AC41" s="21">
        <v>2893500</v>
      </c>
      <c r="AD41" s="21">
        <v>5662800</v>
      </c>
      <c r="AE41" s="21">
        <v>12804100</v>
      </c>
      <c r="AF41" s="21">
        <v>4279000</v>
      </c>
      <c r="AG41" s="21">
        <v>3103100</v>
      </c>
      <c r="AH41" s="21">
        <v>3912800</v>
      </c>
      <c r="AI41" s="21">
        <v>3506400</v>
      </c>
      <c r="AJ41" s="21">
        <v>3210200</v>
      </c>
      <c r="AK41" s="21">
        <v>11473100</v>
      </c>
      <c r="AL41" s="21">
        <v>3285700</v>
      </c>
      <c r="AM41" s="21">
        <v>3088900</v>
      </c>
      <c r="AN41" s="21">
        <v>3324800</v>
      </c>
      <c r="AO41" s="21">
        <v>4182000</v>
      </c>
      <c r="AP41" s="21">
        <v>3915300</v>
      </c>
      <c r="AQ41" s="21">
        <v>3235000</v>
      </c>
      <c r="AR41" s="21">
        <v>5631600</v>
      </c>
      <c r="AS41" s="21">
        <v>3445300</v>
      </c>
      <c r="AT41" s="21">
        <v>3980500</v>
      </c>
      <c r="AU41" s="21">
        <v>2974900</v>
      </c>
      <c r="AV41" s="21">
        <v>3552900</v>
      </c>
      <c r="AW41" s="21">
        <v>4386700</v>
      </c>
      <c r="AX41" s="21">
        <v>5235200</v>
      </c>
      <c r="AY41" s="21">
        <v>4485400</v>
      </c>
      <c r="AZ41" s="21">
        <v>4917500</v>
      </c>
      <c r="BA41" s="21">
        <v>4363400</v>
      </c>
      <c r="BB41" s="21">
        <v>5529200</v>
      </c>
      <c r="BC41" s="21">
        <v>5327100</v>
      </c>
      <c r="BD41" s="21">
        <v>5082400</v>
      </c>
      <c r="BE41" s="21">
        <v>6241200</v>
      </c>
      <c r="BF41" s="21">
        <v>7101000</v>
      </c>
      <c r="BG41" s="21">
        <v>9304700</v>
      </c>
      <c r="BH41" s="21">
        <v>5319700</v>
      </c>
      <c r="BI41" s="21">
        <v>3422600</v>
      </c>
      <c r="BJ41" s="21">
        <v>3739000</v>
      </c>
      <c r="BK41" s="21">
        <v>3546700</v>
      </c>
      <c r="BL41" s="21">
        <v>4290700</v>
      </c>
      <c r="BM41" s="1">
        <v>5218600</v>
      </c>
      <c r="BN41" s="1">
        <v>3194600</v>
      </c>
      <c r="BO41" s="1">
        <v>4309500</v>
      </c>
      <c r="BP41" s="1">
        <v>3851900</v>
      </c>
      <c r="BQ41" s="1">
        <v>3970300</v>
      </c>
      <c r="BR41" s="1">
        <v>3016400</v>
      </c>
      <c r="BS41" s="1">
        <v>5059400</v>
      </c>
      <c r="BT41" s="1">
        <v>2990500</v>
      </c>
      <c r="BU41" s="1">
        <v>3921200</v>
      </c>
      <c r="BV41" s="1">
        <v>4718400</v>
      </c>
      <c r="BW41" s="1">
        <v>4314900</v>
      </c>
      <c r="BX41" s="1">
        <v>4812500</v>
      </c>
      <c r="BY41" s="1">
        <v>3932300</v>
      </c>
      <c r="BZ41" s="1">
        <v>3473200</v>
      </c>
    </row>
    <row r="42" spans="1:254" ht="15.9" customHeight="1">
      <c r="A42" s="393" t="s">
        <v>79</v>
      </c>
      <c r="B42" s="46" t="s">
        <v>80</v>
      </c>
      <c r="C42" s="50">
        <f>_xll.RssMarket("5947","出来高")</f>
        <v>721400</v>
      </c>
      <c r="D42" s="202">
        <f t="shared" si="0"/>
        <v>0</v>
      </c>
      <c r="E42" s="200">
        <v>721400</v>
      </c>
      <c r="F42" s="21">
        <v>302100</v>
      </c>
      <c r="G42" s="21">
        <v>388200</v>
      </c>
      <c r="H42" s="21">
        <v>297300</v>
      </c>
      <c r="I42" s="21">
        <v>425100</v>
      </c>
      <c r="J42" s="21">
        <v>399700</v>
      </c>
      <c r="K42" s="21">
        <v>519300</v>
      </c>
      <c r="L42" s="21">
        <v>360900</v>
      </c>
      <c r="M42" s="21">
        <v>380000</v>
      </c>
      <c r="N42" s="21">
        <v>302800</v>
      </c>
      <c r="O42" s="21">
        <v>305900</v>
      </c>
      <c r="P42" s="21">
        <v>307300</v>
      </c>
      <c r="Q42" s="21">
        <v>274100</v>
      </c>
      <c r="R42" s="21">
        <v>350000</v>
      </c>
      <c r="S42" s="21">
        <v>335000</v>
      </c>
      <c r="T42" s="21">
        <v>214100</v>
      </c>
      <c r="U42" s="21">
        <v>226800</v>
      </c>
      <c r="V42" s="21">
        <v>270400</v>
      </c>
      <c r="W42" s="21">
        <v>292800</v>
      </c>
      <c r="X42" s="21">
        <v>373100</v>
      </c>
      <c r="Y42" s="21">
        <v>362500</v>
      </c>
      <c r="Z42" s="21">
        <v>193400</v>
      </c>
      <c r="AA42" s="21">
        <v>190500</v>
      </c>
      <c r="AB42" s="21">
        <v>242200</v>
      </c>
      <c r="AC42" s="21">
        <v>273600</v>
      </c>
      <c r="AD42" s="21">
        <v>303600</v>
      </c>
      <c r="AE42" s="21">
        <v>443100</v>
      </c>
      <c r="AF42" s="21">
        <v>320000</v>
      </c>
      <c r="AG42" s="21">
        <v>262900</v>
      </c>
      <c r="AH42" s="21">
        <v>399100</v>
      </c>
      <c r="AI42" s="21">
        <v>375900</v>
      </c>
      <c r="AJ42" s="21">
        <v>463500</v>
      </c>
      <c r="AK42" s="21">
        <v>867600</v>
      </c>
      <c r="AL42" s="21">
        <v>506400</v>
      </c>
      <c r="AM42" s="21">
        <v>423300</v>
      </c>
      <c r="AN42" s="21">
        <v>528600</v>
      </c>
      <c r="AO42" s="21">
        <v>415600</v>
      </c>
      <c r="AP42" s="21">
        <v>551600</v>
      </c>
      <c r="AQ42" s="21">
        <v>229900</v>
      </c>
      <c r="AR42" s="21">
        <v>385400</v>
      </c>
      <c r="AS42" s="21">
        <v>463400</v>
      </c>
      <c r="AT42" s="21">
        <v>498600</v>
      </c>
      <c r="AU42" s="21">
        <v>467400</v>
      </c>
      <c r="AV42" s="21">
        <v>389200</v>
      </c>
      <c r="AW42" s="21">
        <v>410200</v>
      </c>
      <c r="AX42" s="21">
        <v>462500</v>
      </c>
      <c r="AY42" s="21">
        <v>353700</v>
      </c>
      <c r="AZ42" s="21">
        <v>484700</v>
      </c>
      <c r="BA42" s="21">
        <v>363800</v>
      </c>
      <c r="BB42" s="21">
        <v>375300</v>
      </c>
      <c r="BC42" s="21">
        <v>337100</v>
      </c>
      <c r="BD42" s="21">
        <v>444600</v>
      </c>
      <c r="BE42" s="21">
        <v>677500</v>
      </c>
      <c r="BF42" s="21">
        <v>522000</v>
      </c>
      <c r="BG42" s="21">
        <v>624200</v>
      </c>
      <c r="BH42" s="21">
        <v>603300</v>
      </c>
      <c r="BI42" s="21">
        <v>955200</v>
      </c>
      <c r="BJ42" s="21">
        <v>1975200</v>
      </c>
      <c r="BK42" s="21">
        <v>426800</v>
      </c>
      <c r="BL42" s="21">
        <v>499300</v>
      </c>
      <c r="BM42" s="1">
        <v>673900</v>
      </c>
      <c r="BN42" s="1">
        <v>277900</v>
      </c>
      <c r="BO42" s="1">
        <v>333600</v>
      </c>
      <c r="BP42" s="1">
        <v>417900</v>
      </c>
      <c r="BQ42" s="1">
        <v>288300</v>
      </c>
      <c r="BR42" s="1">
        <v>266200</v>
      </c>
      <c r="BS42" s="1">
        <v>338100</v>
      </c>
      <c r="BT42" s="1">
        <v>440700</v>
      </c>
      <c r="BU42" s="1">
        <v>329800</v>
      </c>
      <c r="BV42" s="1">
        <v>259200</v>
      </c>
      <c r="BW42" s="1">
        <v>482200</v>
      </c>
      <c r="BX42" s="1">
        <v>630800</v>
      </c>
      <c r="BY42" s="1">
        <v>411800</v>
      </c>
      <c r="BZ42" s="1">
        <v>530300</v>
      </c>
    </row>
    <row r="43" spans="1:254" ht="15.9" customHeight="1">
      <c r="A43" s="393" t="s">
        <v>81</v>
      </c>
      <c r="B43" s="46" t="s">
        <v>82</v>
      </c>
      <c r="C43" s="50">
        <f>_xll.RssMarket("8750","出来高")</f>
        <v>7537800</v>
      </c>
      <c r="D43" s="202">
        <f t="shared" si="0"/>
        <v>0</v>
      </c>
      <c r="E43" s="200">
        <v>7537800</v>
      </c>
      <c r="F43" s="21">
        <v>8195100</v>
      </c>
      <c r="G43" s="21">
        <v>7510700</v>
      </c>
      <c r="H43" s="21">
        <v>9330200</v>
      </c>
      <c r="I43" s="21">
        <v>9008700</v>
      </c>
      <c r="J43" s="21">
        <v>11409000</v>
      </c>
      <c r="K43" s="21">
        <v>12566600</v>
      </c>
      <c r="L43" s="21">
        <v>13645000</v>
      </c>
      <c r="M43" s="21">
        <v>13893300</v>
      </c>
      <c r="N43" s="21"/>
      <c r="O43" s="21">
        <v>12536900</v>
      </c>
      <c r="P43" s="21">
        <v>10968100</v>
      </c>
      <c r="Q43" s="21">
        <v>11598800</v>
      </c>
      <c r="R43" s="21">
        <v>13386100</v>
      </c>
      <c r="S43" s="21">
        <v>8809800</v>
      </c>
      <c r="T43" s="21">
        <v>10701600</v>
      </c>
      <c r="U43" s="21">
        <v>8565700</v>
      </c>
      <c r="V43" s="21">
        <v>8649400</v>
      </c>
      <c r="W43" s="21">
        <v>6665200</v>
      </c>
      <c r="X43" s="21">
        <v>7633100</v>
      </c>
      <c r="Y43" s="21">
        <v>9225000</v>
      </c>
      <c r="Z43" s="21">
        <v>7354200</v>
      </c>
      <c r="AA43" s="21">
        <v>8334300</v>
      </c>
      <c r="AB43" s="21">
        <v>10389700</v>
      </c>
      <c r="AC43" s="21">
        <v>9619900</v>
      </c>
      <c r="AD43" s="21">
        <v>12767300</v>
      </c>
      <c r="AE43" s="21">
        <v>21184300</v>
      </c>
      <c r="AF43" s="21">
        <v>8833800</v>
      </c>
      <c r="AG43" s="21">
        <v>12949100</v>
      </c>
      <c r="AH43" s="21">
        <v>15768300</v>
      </c>
      <c r="AI43" s="21">
        <v>8299800</v>
      </c>
      <c r="AJ43" s="21">
        <v>6096100</v>
      </c>
      <c r="AK43" s="21">
        <v>9190700</v>
      </c>
      <c r="AL43" s="21">
        <v>10134300</v>
      </c>
      <c r="AM43" s="21">
        <v>7912400</v>
      </c>
      <c r="AN43" s="21">
        <v>7976800</v>
      </c>
      <c r="AO43" s="21">
        <v>9102900</v>
      </c>
      <c r="AP43" s="21">
        <v>13913200</v>
      </c>
      <c r="AQ43" s="21">
        <v>11898400</v>
      </c>
      <c r="AR43" s="21">
        <v>11528200</v>
      </c>
      <c r="AS43" s="21">
        <v>8437200</v>
      </c>
      <c r="AT43" s="21">
        <v>7078800</v>
      </c>
      <c r="AU43" s="21">
        <v>7555700</v>
      </c>
      <c r="AV43" s="21">
        <v>6635000</v>
      </c>
      <c r="AW43" s="21">
        <v>8481000</v>
      </c>
      <c r="AX43" s="21">
        <v>15798700</v>
      </c>
      <c r="AY43" s="21">
        <v>8358500</v>
      </c>
      <c r="AZ43" s="21">
        <v>6468500</v>
      </c>
      <c r="BA43" s="21">
        <v>6876300</v>
      </c>
      <c r="BB43" s="21">
        <v>7082000</v>
      </c>
      <c r="BC43" s="21">
        <v>8171500</v>
      </c>
      <c r="BD43" s="21">
        <v>9910000</v>
      </c>
      <c r="BE43" s="21">
        <v>12716700</v>
      </c>
      <c r="BF43" s="21">
        <v>12818600</v>
      </c>
      <c r="BG43" s="21">
        <v>19665600</v>
      </c>
      <c r="BH43" s="21">
        <v>5398100</v>
      </c>
      <c r="BI43" s="21">
        <v>5699100</v>
      </c>
      <c r="BJ43" s="21">
        <v>7143700</v>
      </c>
      <c r="BK43" s="21">
        <v>5386700</v>
      </c>
      <c r="BL43" s="21">
        <v>7859000</v>
      </c>
      <c r="BM43" s="1">
        <v>10883000</v>
      </c>
      <c r="BN43" s="1">
        <v>5876800</v>
      </c>
      <c r="BO43" s="1">
        <v>10343800</v>
      </c>
      <c r="BP43" s="1">
        <v>16390000</v>
      </c>
      <c r="BQ43" s="1">
        <v>7455500</v>
      </c>
      <c r="BR43" s="1">
        <v>5906500</v>
      </c>
      <c r="BS43" s="1">
        <v>10780500</v>
      </c>
      <c r="BT43" s="1">
        <v>6118500</v>
      </c>
      <c r="BU43" s="1">
        <v>6099000</v>
      </c>
      <c r="BV43" s="1">
        <v>6089900</v>
      </c>
      <c r="BW43" s="1">
        <v>8475400</v>
      </c>
      <c r="BX43" s="1">
        <v>6269400</v>
      </c>
      <c r="BY43" s="1">
        <v>6671200</v>
      </c>
      <c r="BZ43" s="1">
        <v>6928700</v>
      </c>
    </row>
    <row r="44" spans="1:254" ht="15.9" customHeight="1">
      <c r="A44" s="393" t="s">
        <v>83</v>
      </c>
      <c r="B44" s="46" t="s">
        <v>84</v>
      </c>
      <c r="C44" s="50">
        <f>_xll.RssMarket("3402","出来高")</f>
        <v>18064200</v>
      </c>
      <c r="D44" s="202">
        <f t="shared" si="0"/>
        <v>0</v>
      </c>
      <c r="E44" s="200">
        <v>18064200</v>
      </c>
      <c r="F44" s="21">
        <v>5944000</v>
      </c>
      <c r="G44" s="21">
        <v>4424400</v>
      </c>
      <c r="H44" s="21">
        <v>4348400</v>
      </c>
      <c r="I44" s="21">
        <v>4680300</v>
      </c>
      <c r="J44" s="21">
        <v>4124700</v>
      </c>
      <c r="K44" s="21">
        <v>5221800</v>
      </c>
      <c r="L44" s="21">
        <v>4253200</v>
      </c>
      <c r="M44" s="21">
        <v>3398200</v>
      </c>
      <c r="N44" s="21">
        <v>2547600</v>
      </c>
      <c r="O44" s="21">
        <v>3072400</v>
      </c>
      <c r="P44" s="21">
        <v>2963600</v>
      </c>
      <c r="Q44" s="21">
        <v>2842200</v>
      </c>
      <c r="R44" s="21">
        <v>3667700</v>
      </c>
      <c r="S44" s="21">
        <v>3338000</v>
      </c>
      <c r="T44" s="21">
        <v>5094800</v>
      </c>
      <c r="U44" s="21">
        <v>4490600</v>
      </c>
      <c r="V44" s="21">
        <v>5743900</v>
      </c>
      <c r="W44" s="21">
        <v>3801300</v>
      </c>
      <c r="X44" s="21">
        <v>3603900</v>
      </c>
      <c r="Y44" s="21">
        <v>8986800</v>
      </c>
      <c r="Z44" s="21">
        <v>4604700</v>
      </c>
      <c r="AA44" s="21">
        <v>4144500</v>
      </c>
      <c r="AB44" s="21">
        <v>3827300</v>
      </c>
      <c r="AC44" s="21">
        <v>5982600</v>
      </c>
      <c r="AD44" s="21">
        <v>4720200</v>
      </c>
      <c r="AE44" s="21">
        <v>4211800</v>
      </c>
      <c r="AF44" s="21">
        <v>3964800</v>
      </c>
      <c r="AG44" s="21">
        <v>2996600</v>
      </c>
      <c r="AH44" s="21">
        <v>4068800</v>
      </c>
      <c r="AI44" s="21">
        <v>3487400</v>
      </c>
      <c r="AJ44" s="21">
        <v>2476900</v>
      </c>
      <c r="AK44" s="21">
        <v>6838400</v>
      </c>
      <c r="AL44" s="21">
        <v>3498500</v>
      </c>
      <c r="AM44" s="21">
        <v>2949300</v>
      </c>
      <c r="AN44" s="21">
        <v>3937500</v>
      </c>
      <c r="AO44" s="21">
        <v>5296100</v>
      </c>
      <c r="AP44" s="21">
        <v>4808200</v>
      </c>
      <c r="AQ44" s="21">
        <v>4144200</v>
      </c>
      <c r="AR44" s="21">
        <v>4143700</v>
      </c>
      <c r="AS44" s="21">
        <v>4746100</v>
      </c>
      <c r="AT44" s="21">
        <v>4232400</v>
      </c>
      <c r="AU44" s="21">
        <v>3980900</v>
      </c>
      <c r="AV44" s="21">
        <v>4798200</v>
      </c>
      <c r="AW44" s="21">
        <v>5880000</v>
      </c>
      <c r="AX44" s="21">
        <v>14393000</v>
      </c>
      <c r="AY44" s="21">
        <v>4435400</v>
      </c>
      <c r="AZ44" s="21">
        <v>4856800</v>
      </c>
      <c r="BA44" s="21">
        <v>5208000</v>
      </c>
      <c r="BB44" s="21">
        <v>3723800</v>
      </c>
      <c r="BC44" s="21">
        <v>3639000</v>
      </c>
      <c r="BD44" s="21">
        <v>4727600</v>
      </c>
      <c r="BE44" s="21">
        <v>5977400</v>
      </c>
      <c r="BF44" s="21">
        <v>6357200</v>
      </c>
      <c r="BG44" s="21">
        <v>5128200</v>
      </c>
      <c r="BH44" s="21">
        <v>7980600</v>
      </c>
      <c r="BI44" s="21">
        <v>15095100</v>
      </c>
      <c r="BJ44" s="21">
        <v>3594000</v>
      </c>
      <c r="BK44" s="21">
        <v>3779400</v>
      </c>
      <c r="BL44" s="21">
        <v>4860500</v>
      </c>
      <c r="BM44" s="1">
        <v>7519900</v>
      </c>
      <c r="BN44" s="1">
        <v>4965500</v>
      </c>
      <c r="BO44" s="1">
        <v>5290100</v>
      </c>
      <c r="BP44" s="1">
        <v>3625800</v>
      </c>
      <c r="BQ44" s="1">
        <v>3880400</v>
      </c>
      <c r="BR44" s="1">
        <v>3206100</v>
      </c>
      <c r="BS44" s="1">
        <v>3777000</v>
      </c>
      <c r="BT44" s="1">
        <v>4119200</v>
      </c>
      <c r="BU44" s="1">
        <v>3464100</v>
      </c>
      <c r="BV44" s="1">
        <v>4620200</v>
      </c>
      <c r="BW44" s="1">
        <v>4211700</v>
      </c>
      <c r="BX44" s="1">
        <v>5388300</v>
      </c>
      <c r="BY44" s="1">
        <v>5035600</v>
      </c>
      <c r="BZ44" s="1">
        <v>5488700</v>
      </c>
    </row>
    <row r="45" spans="1:254" ht="15.9" customHeight="1">
      <c r="A45" s="393" t="s">
        <v>85</v>
      </c>
      <c r="B45" s="46" t="s">
        <v>86</v>
      </c>
      <c r="C45" s="50">
        <f>_xll.RssMarket("8306","出来高")</f>
        <v>35721200</v>
      </c>
      <c r="D45" s="202">
        <f t="shared" si="0"/>
        <v>0</v>
      </c>
      <c r="E45" s="200">
        <v>35721200</v>
      </c>
      <c r="F45" s="21">
        <v>41588500</v>
      </c>
      <c r="G45" s="21">
        <v>49373000</v>
      </c>
      <c r="H45" s="21">
        <v>53159300</v>
      </c>
      <c r="I45" s="21">
        <v>50098300</v>
      </c>
      <c r="J45" s="21">
        <v>46700500</v>
      </c>
      <c r="K45" s="21">
        <v>47015600</v>
      </c>
      <c r="L45" s="21">
        <v>58207600</v>
      </c>
      <c r="M45" s="21">
        <v>46560000</v>
      </c>
      <c r="N45" s="21">
        <v>43056500</v>
      </c>
      <c r="O45" s="21">
        <v>58063100</v>
      </c>
      <c r="P45" s="21">
        <v>40200900</v>
      </c>
      <c r="Q45" s="21">
        <v>48029100</v>
      </c>
      <c r="R45" s="21">
        <v>59061500</v>
      </c>
      <c r="S45" s="21">
        <v>51178000</v>
      </c>
      <c r="T45" s="21">
        <v>53200600</v>
      </c>
      <c r="U45" s="21">
        <v>43079600</v>
      </c>
      <c r="V45" s="21">
        <v>35147200</v>
      </c>
      <c r="W45" s="21">
        <v>26333100</v>
      </c>
      <c r="X45" s="21">
        <v>35858100</v>
      </c>
      <c r="Y45" s="21">
        <v>53306500</v>
      </c>
      <c r="Z45" s="21">
        <v>25810800</v>
      </c>
      <c r="AA45" s="21">
        <v>24679200</v>
      </c>
      <c r="AB45" s="21">
        <v>34768500</v>
      </c>
      <c r="AC45" s="21">
        <v>21862400</v>
      </c>
      <c r="AD45" s="21">
        <v>28320000</v>
      </c>
      <c r="AE45" s="21">
        <v>30642500</v>
      </c>
      <c r="AF45" s="21">
        <v>27483000</v>
      </c>
      <c r="AG45" s="21">
        <v>26463100</v>
      </c>
      <c r="AH45" s="21">
        <v>28539300</v>
      </c>
      <c r="AI45" s="21">
        <v>31972100</v>
      </c>
      <c r="AJ45" s="21">
        <v>26077100</v>
      </c>
      <c r="AK45" s="21">
        <v>53414800</v>
      </c>
      <c r="AL45" s="21">
        <v>49472400</v>
      </c>
      <c r="AM45" s="21">
        <v>42080800</v>
      </c>
      <c r="AN45" s="21">
        <v>38818500</v>
      </c>
      <c r="AO45" s="21">
        <v>56006100</v>
      </c>
      <c r="AP45" s="21">
        <v>54083500</v>
      </c>
      <c r="AQ45" s="21">
        <v>43885600</v>
      </c>
      <c r="AR45" s="21">
        <v>60312600</v>
      </c>
      <c r="AS45" s="21">
        <v>43619100</v>
      </c>
      <c r="AT45" s="21">
        <v>42730200</v>
      </c>
      <c r="AU45" s="21">
        <v>57793900</v>
      </c>
      <c r="AV45" s="21">
        <v>46784900</v>
      </c>
      <c r="AW45" s="21">
        <v>37371200</v>
      </c>
      <c r="AX45" s="21">
        <v>69856600</v>
      </c>
      <c r="AY45" s="21">
        <v>41665800</v>
      </c>
      <c r="AZ45" s="21">
        <v>34986500</v>
      </c>
      <c r="BA45" s="21">
        <v>32348200</v>
      </c>
      <c r="BB45" s="21">
        <v>40421700</v>
      </c>
      <c r="BC45" s="21">
        <v>52123700</v>
      </c>
      <c r="BD45" s="21">
        <v>51809100</v>
      </c>
      <c r="BE45" s="21">
        <v>55685600</v>
      </c>
      <c r="BF45" s="21">
        <v>66978500</v>
      </c>
      <c r="BG45" s="21">
        <v>47220900</v>
      </c>
      <c r="BH45" s="21">
        <v>34334700</v>
      </c>
      <c r="BI45" s="21">
        <v>34802100</v>
      </c>
      <c r="BJ45" s="21">
        <v>28562100</v>
      </c>
      <c r="BK45" s="21">
        <v>29713600</v>
      </c>
      <c r="BL45" s="21">
        <v>37166700</v>
      </c>
      <c r="BM45" s="1">
        <v>53805900</v>
      </c>
      <c r="BN45" s="1">
        <v>28643100</v>
      </c>
      <c r="BO45" s="1">
        <v>39443000</v>
      </c>
      <c r="BP45" s="1">
        <v>45635600</v>
      </c>
      <c r="BQ45" s="1">
        <v>29320200</v>
      </c>
      <c r="BR45" s="1">
        <v>22067000</v>
      </c>
      <c r="BS45" s="1">
        <v>35144800</v>
      </c>
      <c r="BT45" s="1">
        <v>38846200</v>
      </c>
      <c r="BU45" s="1">
        <v>30217100</v>
      </c>
      <c r="BV45" s="1">
        <v>24113800</v>
      </c>
      <c r="BW45" s="1">
        <v>40793100</v>
      </c>
      <c r="BX45" s="1">
        <v>42419100</v>
      </c>
      <c r="BY45" s="1">
        <v>48273800</v>
      </c>
      <c r="BZ45" s="1">
        <v>38689000</v>
      </c>
    </row>
    <row r="46" spans="1:254" ht="15.9" customHeight="1">
      <c r="A46" s="393" t="s">
        <v>87</v>
      </c>
      <c r="B46" s="46" t="s">
        <v>88</v>
      </c>
      <c r="C46" s="50">
        <f>_xll.RssMarket("5401","出来高")</f>
        <v>53136500</v>
      </c>
      <c r="D46" s="202">
        <f t="shared" si="0"/>
        <v>0</v>
      </c>
      <c r="E46" s="200">
        <v>53136500</v>
      </c>
      <c r="F46" s="21">
        <v>81922100</v>
      </c>
      <c r="G46" s="21">
        <v>39849600</v>
      </c>
      <c r="H46" s="21">
        <v>44246400</v>
      </c>
      <c r="I46" s="21">
        <v>46837400</v>
      </c>
      <c r="J46" s="21">
        <v>53982100</v>
      </c>
      <c r="K46" s="21">
        <v>91249500</v>
      </c>
      <c r="L46" s="21">
        <v>89226600</v>
      </c>
      <c r="M46" s="21">
        <v>50639100</v>
      </c>
      <c r="N46" s="21"/>
      <c r="O46" s="21">
        <v>43422300</v>
      </c>
      <c r="P46" s="21">
        <v>38651100</v>
      </c>
      <c r="Q46" s="21">
        <v>43134100</v>
      </c>
      <c r="R46" s="21">
        <v>42824000</v>
      </c>
      <c r="S46" s="21">
        <v>31939800</v>
      </c>
      <c r="T46" s="21">
        <v>33837800</v>
      </c>
      <c r="U46" s="21">
        <v>26236400</v>
      </c>
      <c r="V46" s="21">
        <v>25181800</v>
      </c>
      <c r="W46" s="21">
        <v>19003000</v>
      </c>
      <c r="X46" s="21">
        <v>23729000</v>
      </c>
      <c r="Y46" s="21">
        <v>27470900</v>
      </c>
      <c r="Z46" s="21">
        <v>25485200</v>
      </c>
      <c r="AA46" s="21">
        <v>25990400</v>
      </c>
      <c r="AB46" s="21">
        <v>35748000</v>
      </c>
      <c r="AC46" s="21">
        <v>29551100</v>
      </c>
      <c r="AD46" s="21">
        <v>38459000</v>
      </c>
      <c r="AE46" s="21">
        <v>33114700</v>
      </c>
      <c r="AF46" s="21">
        <v>24184200</v>
      </c>
      <c r="AG46" s="21">
        <v>23683100</v>
      </c>
      <c r="AH46" s="21">
        <v>23841500</v>
      </c>
      <c r="AI46" s="21">
        <v>25552800</v>
      </c>
      <c r="AJ46" s="21">
        <v>24865600</v>
      </c>
      <c r="AK46" s="21">
        <v>24951000</v>
      </c>
      <c r="AL46" s="21">
        <v>22412800</v>
      </c>
      <c r="AM46" s="21">
        <v>23078200</v>
      </c>
      <c r="AN46" s="21">
        <v>21855000</v>
      </c>
      <c r="AO46" s="21">
        <v>37239700</v>
      </c>
      <c r="AP46" s="21">
        <v>35530200</v>
      </c>
      <c r="AQ46" s="21">
        <v>30230800</v>
      </c>
      <c r="AR46" s="21">
        <v>23320500</v>
      </c>
      <c r="AS46" s="21">
        <v>36773100</v>
      </c>
      <c r="AT46" s="21">
        <v>21297800</v>
      </c>
      <c r="AU46" s="21">
        <v>25638500</v>
      </c>
      <c r="AV46" s="21">
        <v>27280200</v>
      </c>
      <c r="AW46" s="21">
        <v>46353800</v>
      </c>
      <c r="AX46" s="21">
        <v>50632500</v>
      </c>
      <c r="AY46" s="21">
        <v>26020600</v>
      </c>
      <c r="AZ46" s="21">
        <v>26864800</v>
      </c>
      <c r="BA46" s="21">
        <v>29250200</v>
      </c>
      <c r="BB46" s="21">
        <v>21985700</v>
      </c>
      <c r="BC46" s="21">
        <v>28759200</v>
      </c>
      <c r="BD46" s="21">
        <v>40808400</v>
      </c>
      <c r="BE46" s="21">
        <v>32513200</v>
      </c>
      <c r="BF46" s="21">
        <v>32786700</v>
      </c>
      <c r="BG46" s="21">
        <v>37792300</v>
      </c>
      <c r="BH46" s="21">
        <v>54796900</v>
      </c>
      <c r="BI46" s="21">
        <v>34062700</v>
      </c>
      <c r="BJ46" s="21">
        <v>36770900</v>
      </c>
      <c r="BK46" s="21">
        <v>47352200</v>
      </c>
      <c r="BL46" s="21">
        <v>36330900</v>
      </c>
      <c r="BM46" s="1">
        <v>39379900</v>
      </c>
      <c r="BN46" s="1">
        <v>24588800</v>
      </c>
      <c r="BO46" s="1">
        <v>27367000</v>
      </c>
      <c r="BP46" s="1">
        <v>26538800</v>
      </c>
      <c r="BQ46" s="1">
        <v>29570100</v>
      </c>
      <c r="BR46" s="1">
        <v>28096800</v>
      </c>
      <c r="BS46" s="1">
        <v>24893900</v>
      </c>
      <c r="BT46" s="1">
        <v>18514900</v>
      </c>
      <c r="BU46" s="1">
        <v>17409500</v>
      </c>
      <c r="BV46" s="1">
        <v>19779100</v>
      </c>
      <c r="BW46" s="1">
        <v>18544700</v>
      </c>
      <c r="BX46" s="1">
        <v>18976400</v>
      </c>
      <c r="BY46" s="1">
        <v>20939500</v>
      </c>
      <c r="BZ46" s="1">
        <v>18859800</v>
      </c>
    </row>
    <row r="47" spans="1:254" ht="15.9" customHeight="1">
      <c r="A47" s="393" t="s">
        <v>89</v>
      </c>
      <c r="B47" s="46" t="s">
        <v>90</v>
      </c>
      <c r="C47" s="50">
        <f>_xll.RssMarket("8572","出来高")</f>
        <v>1116200</v>
      </c>
      <c r="D47" s="202">
        <f t="shared" si="0"/>
        <v>0</v>
      </c>
      <c r="E47" s="200">
        <v>1116200</v>
      </c>
      <c r="F47" s="21">
        <v>1168900</v>
      </c>
      <c r="G47" s="21">
        <v>1392300</v>
      </c>
      <c r="H47" s="21">
        <v>2016300</v>
      </c>
      <c r="I47" s="21">
        <v>1833000</v>
      </c>
      <c r="J47" s="21">
        <v>1870600</v>
      </c>
      <c r="K47" s="21">
        <v>1802200</v>
      </c>
      <c r="L47" s="21">
        <v>1466500</v>
      </c>
      <c r="M47" s="21">
        <v>2064700</v>
      </c>
      <c r="N47" s="21">
        <v>1691900</v>
      </c>
      <c r="O47" s="21">
        <v>1193500</v>
      </c>
      <c r="P47" s="21">
        <v>1205600</v>
      </c>
      <c r="Q47" s="21">
        <v>1076000</v>
      </c>
      <c r="R47" s="21">
        <v>1362200</v>
      </c>
      <c r="S47" s="21">
        <v>757400</v>
      </c>
      <c r="T47" s="21">
        <v>850100</v>
      </c>
      <c r="U47" s="21">
        <v>890800</v>
      </c>
      <c r="V47" s="21">
        <v>1210100</v>
      </c>
      <c r="W47" s="21">
        <v>965900</v>
      </c>
      <c r="X47" s="21">
        <v>1058700</v>
      </c>
      <c r="Y47" s="21">
        <v>1558400</v>
      </c>
      <c r="Z47" s="21">
        <v>1946500</v>
      </c>
      <c r="AA47" s="21">
        <v>1507300</v>
      </c>
      <c r="AB47" s="21">
        <v>1661800</v>
      </c>
      <c r="AC47" s="21">
        <v>1336200</v>
      </c>
      <c r="AD47" s="21">
        <v>1415000</v>
      </c>
      <c r="AE47" s="21">
        <v>1723600</v>
      </c>
      <c r="AF47" s="21">
        <v>1295200</v>
      </c>
      <c r="AG47" s="21">
        <v>914500</v>
      </c>
      <c r="AH47" s="21">
        <v>1880100</v>
      </c>
      <c r="AI47" s="21">
        <v>1292100</v>
      </c>
      <c r="AJ47" s="21">
        <v>1287900</v>
      </c>
      <c r="AK47" s="21">
        <v>1781700</v>
      </c>
      <c r="AL47" s="21">
        <v>1683300</v>
      </c>
      <c r="AM47" s="21">
        <v>1330300</v>
      </c>
      <c r="AN47" s="21">
        <v>1491100</v>
      </c>
      <c r="AO47" s="21">
        <v>1565900</v>
      </c>
      <c r="AP47" s="21">
        <v>1186300</v>
      </c>
      <c r="AQ47" s="21">
        <v>835200</v>
      </c>
      <c r="AR47" s="21">
        <v>1105600</v>
      </c>
      <c r="AS47" s="21">
        <v>2252300</v>
      </c>
      <c r="AT47" s="21">
        <v>1495600</v>
      </c>
      <c r="AU47" s="21">
        <v>1724500</v>
      </c>
      <c r="AV47" s="21">
        <v>1447800</v>
      </c>
      <c r="AW47" s="21">
        <v>2024500</v>
      </c>
      <c r="AX47" s="21">
        <v>1402000</v>
      </c>
      <c r="AY47" s="21">
        <v>1320700</v>
      </c>
      <c r="AZ47" s="21">
        <v>1889200</v>
      </c>
      <c r="BA47" s="21">
        <v>1586100</v>
      </c>
      <c r="BB47" s="21">
        <v>1422300</v>
      </c>
      <c r="BC47" s="21">
        <v>1757500</v>
      </c>
      <c r="BD47" s="21">
        <v>1740200</v>
      </c>
      <c r="BE47" s="21">
        <v>2037500</v>
      </c>
      <c r="BF47" s="21">
        <v>1827300</v>
      </c>
      <c r="BG47" s="21">
        <v>1806000</v>
      </c>
      <c r="BH47" s="21">
        <v>2576200</v>
      </c>
      <c r="BI47" s="21">
        <v>6227100</v>
      </c>
      <c r="BJ47" s="21">
        <v>1774200</v>
      </c>
      <c r="BK47" s="21">
        <v>1384600</v>
      </c>
      <c r="BL47" s="21">
        <v>1482500</v>
      </c>
      <c r="BM47" s="1">
        <v>1491100</v>
      </c>
      <c r="BN47" s="1">
        <v>1117500</v>
      </c>
      <c r="BO47" s="1">
        <v>1145500</v>
      </c>
      <c r="BP47" s="1">
        <v>1695400</v>
      </c>
      <c r="BQ47" s="1">
        <v>1617200</v>
      </c>
      <c r="BR47" s="1">
        <v>1460200</v>
      </c>
      <c r="BS47" s="1">
        <v>1951600</v>
      </c>
      <c r="BT47" s="1">
        <v>2414100</v>
      </c>
      <c r="BU47" s="1">
        <v>4591900</v>
      </c>
      <c r="BV47" s="1">
        <v>1529700</v>
      </c>
      <c r="BW47" s="1">
        <v>1450000</v>
      </c>
      <c r="BX47" s="1">
        <v>1765000</v>
      </c>
      <c r="BY47" s="1">
        <v>1772800</v>
      </c>
      <c r="BZ47" s="1">
        <v>1407600</v>
      </c>
    </row>
    <row r="48" spans="1:254" ht="15.9" customHeight="1">
      <c r="A48" s="393" t="s">
        <v>91</v>
      </c>
      <c r="B48" s="46" t="s">
        <v>92</v>
      </c>
      <c r="C48" s="50">
        <f>_xll.RssMarket("3941","出来高")</f>
        <v>1820200</v>
      </c>
      <c r="D48" s="202">
        <f t="shared" si="0"/>
        <v>0</v>
      </c>
      <c r="E48" s="200">
        <v>1820200</v>
      </c>
      <c r="F48" s="21">
        <v>2348600</v>
      </c>
      <c r="G48" s="21">
        <v>1072400</v>
      </c>
      <c r="H48" s="21">
        <v>867300</v>
      </c>
      <c r="I48" s="21">
        <v>1006500</v>
      </c>
      <c r="J48" s="21">
        <v>1013600</v>
      </c>
      <c r="K48" s="21">
        <v>1665400</v>
      </c>
      <c r="L48" s="21">
        <v>1726800</v>
      </c>
      <c r="M48" s="21">
        <v>1211100</v>
      </c>
      <c r="N48" s="21">
        <v>1022700</v>
      </c>
      <c r="O48" s="21">
        <v>914000</v>
      </c>
      <c r="P48" s="21">
        <v>874300</v>
      </c>
      <c r="Q48" s="21">
        <v>1076800</v>
      </c>
      <c r="R48" s="21">
        <v>1096400</v>
      </c>
      <c r="S48" s="21">
        <v>832600</v>
      </c>
      <c r="T48" s="21">
        <v>856900</v>
      </c>
      <c r="U48" s="21">
        <v>857000</v>
      </c>
      <c r="V48" s="21">
        <v>706200</v>
      </c>
      <c r="W48" s="21">
        <v>1173100</v>
      </c>
      <c r="X48" s="21">
        <v>1015400</v>
      </c>
      <c r="Y48" s="21">
        <v>666100</v>
      </c>
      <c r="Z48" s="21">
        <v>778900</v>
      </c>
      <c r="AA48" s="21">
        <v>759000</v>
      </c>
      <c r="AB48" s="21">
        <v>781600</v>
      </c>
      <c r="AC48" s="21">
        <v>592100</v>
      </c>
      <c r="AD48" s="21">
        <v>1041000</v>
      </c>
      <c r="AE48" s="21">
        <v>938000</v>
      </c>
      <c r="AF48" s="21">
        <v>965700</v>
      </c>
      <c r="AG48" s="21">
        <v>599900</v>
      </c>
      <c r="AH48" s="21">
        <v>557000</v>
      </c>
      <c r="AI48" s="21">
        <v>909000</v>
      </c>
      <c r="AJ48" s="21">
        <v>876600</v>
      </c>
      <c r="AK48" s="21">
        <v>1439300</v>
      </c>
      <c r="AL48" s="21">
        <v>1005100</v>
      </c>
      <c r="AM48" s="21">
        <v>825300</v>
      </c>
      <c r="AN48" s="21">
        <v>560900</v>
      </c>
      <c r="AO48" s="21">
        <v>863300</v>
      </c>
      <c r="AP48" s="21">
        <v>874300</v>
      </c>
      <c r="AQ48" s="21">
        <v>825900</v>
      </c>
      <c r="AR48" s="21">
        <v>928400</v>
      </c>
      <c r="AS48" s="21">
        <v>987800</v>
      </c>
      <c r="AT48" s="21">
        <v>752200</v>
      </c>
      <c r="AU48" s="21">
        <v>821900</v>
      </c>
      <c r="AV48" s="21">
        <v>661000</v>
      </c>
      <c r="AW48" s="21">
        <v>857500</v>
      </c>
      <c r="AX48" s="21">
        <v>1467400</v>
      </c>
      <c r="AY48" s="21">
        <v>1084500</v>
      </c>
      <c r="AZ48" s="21">
        <v>929300</v>
      </c>
      <c r="BA48" s="21">
        <v>774200</v>
      </c>
      <c r="BB48" s="21">
        <v>816000</v>
      </c>
      <c r="BC48" s="21">
        <v>903100</v>
      </c>
      <c r="BD48" s="21">
        <v>1237500</v>
      </c>
      <c r="BE48" s="21">
        <v>1505900</v>
      </c>
      <c r="BF48" s="21">
        <v>1676300</v>
      </c>
      <c r="BG48" s="21">
        <v>2035700</v>
      </c>
      <c r="BH48" s="21">
        <v>4157000</v>
      </c>
      <c r="BI48" s="21">
        <v>1058000</v>
      </c>
      <c r="BJ48" s="21">
        <v>1147100</v>
      </c>
      <c r="BK48" s="21">
        <v>1402800</v>
      </c>
      <c r="BL48" s="21">
        <v>1278800</v>
      </c>
      <c r="BM48" s="1">
        <v>1757400</v>
      </c>
      <c r="BN48" s="1">
        <v>1092200</v>
      </c>
      <c r="BO48" s="1">
        <v>1710300</v>
      </c>
      <c r="BP48" s="1">
        <v>1291800</v>
      </c>
      <c r="BQ48" s="1">
        <v>2566600</v>
      </c>
      <c r="BR48" s="1">
        <v>558300</v>
      </c>
      <c r="BS48" s="1">
        <v>732300</v>
      </c>
      <c r="BT48" s="1">
        <v>699000</v>
      </c>
      <c r="BU48" s="1">
        <v>1085200</v>
      </c>
      <c r="BV48" s="1">
        <v>891600</v>
      </c>
      <c r="BW48" s="1">
        <v>626200</v>
      </c>
      <c r="BX48" s="1">
        <v>582100</v>
      </c>
      <c r="BY48" s="1">
        <v>558300</v>
      </c>
      <c r="BZ48" s="1">
        <v>551500</v>
      </c>
    </row>
    <row r="49" spans="1:254" ht="15.9" customHeight="1">
      <c r="A49" s="393" t="s">
        <v>93</v>
      </c>
      <c r="B49" s="46" t="s">
        <v>94</v>
      </c>
      <c r="C49" s="50">
        <f>_xll.RssMarket("5929","出来高")</f>
        <v>617900</v>
      </c>
      <c r="D49" s="202">
        <f t="shared" si="0"/>
        <v>0</v>
      </c>
      <c r="E49" s="200">
        <v>617900</v>
      </c>
      <c r="F49" s="21">
        <v>793300</v>
      </c>
      <c r="G49" s="21">
        <v>749300</v>
      </c>
      <c r="H49" s="21">
        <v>1057900</v>
      </c>
      <c r="I49" s="21">
        <v>2208600</v>
      </c>
      <c r="J49" s="21">
        <v>697100</v>
      </c>
      <c r="K49" s="21">
        <v>844400</v>
      </c>
      <c r="L49" s="21">
        <v>662000</v>
      </c>
      <c r="M49" s="21">
        <v>490200</v>
      </c>
      <c r="N49" s="21"/>
      <c r="O49" s="21">
        <v>392400</v>
      </c>
      <c r="P49" s="21">
        <v>489400</v>
      </c>
      <c r="Q49" s="21">
        <v>668600</v>
      </c>
      <c r="R49" s="21">
        <v>725700</v>
      </c>
      <c r="S49" s="21">
        <v>370700</v>
      </c>
      <c r="T49" s="21">
        <v>371600</v>
      </c>
      <c r="U49" s="21">
        <v>647000</v>
      </c>
      <c r="V49" s="21">
        <v>531800</v>
      </c>
      <c r="W49" s="21">
        <v>437600</v>
      </c>
      <c r="X49" s="21">
        <v>545400</v>
      </c>
      <c r="Y49" s="21">
        <v>661200</v>
      </c>
      <c r="Z49" s="21">
        <v>346300</v>
      </c>
      <c r="AA49" s="21">
        <v>531100</v>
      </c>
      <c r="AB49" s="21">
        <v>404400</v>
      </c>
      <c r="AC49" s="21">
        <v>839300</v>
      </c>
      <c r="AD49" s="21">
        <v>531100</v>
      </c>
      <c r="AE49" s="21">
        <v>839000</v>
      </c>
      <c r="AF49" s="21">
        <v>598800</v>
      </c>
      <c r="AG49" s="21">
        <v>605600</v>
      </c>
      <c r="AH49" s="21">
        <v>776700</v>
      </c>
      <c r="AI49" s="21">
        <v>521700</v>
      </c>
      <c r="AJ49" s="21">
        <v>556800</v>
      </c>
      <c r="AK49" s="21">
        <v>900600</v>
      </c>
      <c r="AL49" s="21">
        <v>929800</v>
      </c>
      <c r="AM49" s="21">
        <v>424400</v>
      </c>
      <c r="AN49" s="21">
        <v>555700</v>
      </c>
      <c r="AO49" s="21">
        <v>602900</v>
      </c>
      <c r="AP49" s="21">
        <v>703100</v>
      </c>
      <c r="AQ49" s="21">
        <v>687000</v>
      </c>
      <c r="AR49" s="21">
        <v>860200</v>
      </c>
      <c r="AS49" s="21">
        <v>1242200</v>
      </c>
      <c r="AT49" s="21">
        <v>1423300</v>
      </c>
      <c r="AU49" s="21">
        <v>886200</v>
      </c>
      <c r="AV49" s="21">
        <v>872800</v>
      </c>
      <c r="AW49" s="21">
        <v>1247900</v>
      </c>
      <c r="AX49" s="21">
        <v>1600300</v>
      </c>
      <c r="AY49" s="21">
        <v>1016800</v>
      </c>
      <c r="AZ49" s="21">
        <v>1130500</v>
      </c>
      <c r="BA49" s="21">
        <v>649100</v>
      </c>
      <c r="BB49" s="21">
        <v>561900</v>
      </c>
      <c r="BC49" s="21">
        <v>681800</v>
      </c>
      <c r="BD49" s="21">
        <v>1088900</v>
      </c>
      <c r="BE49" s="21">
        <v>696100</v>
      </c>
      <c r="BF49" s="21">
        <v>777600</v>
      </c>
      <c r="BG49" s="21">
        <v>874500</v>
      </c>
      <c r="BH49" s="21">
        <v>1190400</v>
      </c>
      <c r="BI49" s="21">
        <v>1002900</v>
      </c>
      <c r="BJ49" s="21">
        <v>1023800</v>
      </c>
      <c r="BK49" s="21">
        <v>819800</v>
      </c>
      <c r="BL49" s="21">
        <v>706100</v>
      </c>
      <c r="BM49" s="1">
        <v>978400</v>
      </c>
      <c r="BN49" s="1">
        <v>622300</v>
      </c>
      <c r="BO49" s="1">
        <v>801700</v>
      </c>
      <c r="BP49" s="1">
        <v>480400</v>
      </c>
      <c r="BQ49" s="1">
        <v>252800</v>
      </c>
      <c r="BR49" s="1">
        <v>330000</v>
      </c>
      <c r="BS49" s="1">
        <v>457000</v>
      </c>
      <c r="BT49" s="1">
        <v>410700</v>
      </c>
      <c r="BU49" s="1">
        <v>577000</v>
      </c>
      <c r="BV49" s="1">
        <v>632900</v>
      </c>
      <c r="BW49" s="1">
        <v>732800</v>
      </c>
      <c r="BX49" s="1">
        <v>870600</v>
      </c>
      <c r="BY49" s="1">
        <v>426600</v>
      </c>
      <c r="BZ49" s="1">
        <v>491000</v>
      </c>
    </row>
    <row r="50" spans="1:254" ht="15.9" customHeight="1">
      <c r="A50" s="393" t="s">
        <v>95</v>
      </c>
      <c r="B50" s="46" t="s">
        <v>96</v>
      </c>
      <c r="C50" s="50">
        <f>_xll.RssMarket("8316","出来高")</f>
        <v>10686000</v>
      </c>
      <c r="D50" s="202">
        <f t="shared" si="0"/>
        <v>0</v>
      </c>
      <c r="E50" s="200">
        <v>10686000</v>
      </c>
      <c r="F50" s="21">
        <v>11937400</v>
      </c>
      <c r="G50" s="21">
        <v>11936400</v>
      </c>
      <c r="H50" s="21">
        <v>21080600</v>
      </c>
      <c r="I50" s="21">
        <v>15724400</v>
      </c>
      <c r="J50" s="21">
        <v>15888200</v>
      </c>
      <c r="K50" s="21">
        <v>16584800</v>
      </c>
      <c r="L50" s="21">
        <v>14821600</v>
      </c>
      <c r="M50" s="21">
        <v>11641800</v>
      </c>
      <c r="N50" s="21">
        <v>9570300</v>
      </c>
      <c r="O50" s="21">
        <v>13222700</v>
      </c>
      <c r="P50" s="21">
        <v>13171600</v>
      </c>
      <c r="Q50" s="21">
        <v>13806900</v>
      </c>
      <c r="R50" s="21">
        <v>17726200</v>
      </c>
      <c r="S50" s="21">
        <v>14262800</v>
      </c>
      <c r="T50" s="21">
        <v>11804700</v>
      </c>
      <c r="U50" s="21">
        <v>12981600</v>
      </c>
      <c r="V50" s="21">
        <v>10340500</v>
      </c>
      <c r="W50" s="21">
        <v>8263500</v>
      </c>
      <c r="X50" s="21">
        <v>12344000</v>
      </c>
      <c r="Y50" s="21">
        <v>15527100</v>
      </c>
      <c r="Z50" s="21">
        <v>10412500</v>
      </c>
      <c r="AA50" s="21">
        <v>9409100</v>
      </c>
      <c r="AB50" s="21">
        <v>11873800</v>
      </c>
      <c r="AC50" s="21">
        <v>8768500</v>
      </c>
      <c r="AD50" s="21">
        <v>9707100</v>
      </c>
      <c r="AE50" s="21">
        <v>10881500</v>
      </c>
      <c r="AF50" s="21">
        <v>11097300</v>
      </c>
      <c r="AG50" s="21">
        <v>10470900</v>
      </c>
      <c r="AH50" s="21">
        <v>11902900</v>
      </c>
      <c r="AI50" s="21">
        <v>11863400</v>
      </c>
      <c r="AJ50" s="21">
        <v>12138700</v>
      </c>
      <c r="AK50" s="21">
        <v>20049100</v>
      </c>
      <c r="AL50" s="21">
        <v>14838400</v>
      </c>
      <c r="AM50" s="21">
        <v>12405700</v>
      </c>
      <c r="AN50" s="21">
        <v>13563400</v>
      </c>
      <c r="AO50" s="21">
        <v>18028200</v>
      </c>
      <c r="AP50" s="21">
        <v>23960700</v>
      </c>
      <c r="AQ50" s="21">
        <v>16707100</v>
      </c>
      <c r="AR50" s="21">
        <v>21813600</v>
      </c>
      <c r="AS50" s="21">
        <v>15126700</v>
      </c>
      <c r="AT50" s="21">
        <v>14349800</v>
      </c>
      <c r="AU50" s="21">
        <v>13395700</v>
      </c>
      <c r="AV50" s="21">
        <v>15691600</v>
      </c>
      <c r="AW50" s="21">
        <v>12902800</v>
      </c>
      <c r="AX50" s="21">
        <v>17617000</v>
      </c>
      <c r="AY50" s="21">
        <v>15094100</v>
      </c>
      <c r="AZ50" s="21">
        <v>13219300</v>
      </c>
      <c r="BA50" s="21">
        <v>13205000</v>
      </c>
      <c r="BB50" s="21">
        <v>12376300</v>
      </c>
      <c r="BC50" s="21">
        <v>18212600</v>
      </c>
      <c r="BD50" s="21">
        <v>18145400</v>
      </c>
      <c r="BE50" s="21">
        <v>21178400</v>
      </c>
      <c r="BF50" s="21">
        <v>14734800</v>
      </c>
      <c r="BG50" s="21">
        <v>15463800</v>
      </c>
      <c r="BH50" s="21">
        <v>18642900</v>
      </c>
      <c r="BI50" s="21">
        <v>12087700</v>
      </c>
      <c r="BJ50" s="21">
        <v>12206700</v>
      </c>
      <c r="BK50" s="21">
        <v>12531400</v>
      </c>
      <c r="BL50" s="21">
        <v>12481400</v>
      </c>
      <c r="BM50" s="1">
        <v>17149500</v>
      </c>
      <c r="BN50" s="1">
        <v>8711900</v>
      </c>
      <c r="BO50" s="1">
        <v>15242200</v>
      </c>
      <c r="BP50" s="1">
        <v>15541200</v>
      </c>
      <c r="BQ50" s="1">
        <v>9422700</v>
      </c>
      <c r="BR50" s="1">
        <v>7882600</v>
      </c>
      <c r="BS50" s="1">
        <v>12947200</v>
      </c>
      <c r="BT50" s="1">
        <v>9352200</v>
      </c>
      <c r="BU50" s="1">
        <v>9134200</v>
      </c>
      <c r="BV50" s="1">
        <v>7598100</v>
      </c>
      <c r="BW50" s="1">
        <v>11391100</v>
      </c>
      <c r="BX50" s="1">
        <v>11580100</v>
      </c>
      <c r="BY50" s="1">
        <v>12554000</v>
      </c>
      <c r="BZ50" s="1">
        <v>10812000</v>
      </c>
    </row>
    <row r="51" spans="1:254" ht="15.9" customHeight="1">
      <c r="A51" s="393" t="s">
        <v>97</v>
      </c>
      <c r="B51" s="46" t="s">
        <v>98</v>
      </c>
      <c r="C51" s="50">
        <f>_xll.RssMarket("5449","出来高")</f>
        <v>64200</v>
      </c>
      <c r="D51" s="202">
        <f t="shared" si="0"/>
        <v>0</v>
      </c>
      <c r="E51" s="200">
        <v>64200</v>
      </c>
      <c r="F51" s="21">
        <v>63700</v>
      </c>
      <c r="G51" s="21">
        <v>62100</v>
      </c>
      <c r="H51" s="21">
        <v>86100</v>
      </c>
      <c r="I51" s="21">
        <v>126000</v>
      </c>
      <c r="J51" s="21">
        <v>71300</v>
      </c>
      <c r="K51" s="21">
        <v>59000</v>
      </c>
      <c r="L51" s="21">
        <v>36200</v>
      </c>
      <c r="M51" s="21">
        <v>45800</v>
      </c>
      <c r="N51" s="21">
        <v>23400</v>
      </c>
      <c r="O51" s="21">
        <v>18100</v>
      </c>
      <c r="P51" s="21">
        <v>18000</v>
      </c>
      <c r="Q51" s="21">
        <v>35300</v>
      </c>
      <c r="R51" s="21">
        <v>19100</v>
      </c>
      <c r="S51" s="21">
        <v>19000</v>
      </c>
      <c r="T51" s="21">
        <v>19100</v>
      </c>
      <c r="U51" s="21">
        <v>36100</v>
      </c>
      <c r="V51" s="21">
        <v>29600</v>
      </c>
      <c r="W51" s="21">
        <v>22900</v>
      </c>
      <c r="X51" s="21">
        <v>28500</v>
      </c>
      <c r="Y51" s="21">
        <v>35100</v>
      </c>
      <c r="Z51" s="21">
        <v>38900</v>
      </c>
      <c r="AA51" s="21">
        <v>40500</v>
      </c>
      <c r="AB51" s="21">
        <v>35900</v>
      </c>
      <c r="AC51" s="21">
        <v>25800</v>
      </c>
      <c r="AD51" s="21">
        <v>58900</v>
      </c>
      <c r="AE51" s="21">
        <v>87900</v>
      </c>
      <c r="AF51" s="21">
        <v>26600</v>
      </c>
      <c r="AG51" s="21">
        <v>19900</v>
      </c>
      <c r="AH51" s="21">
        <v>28700</v>
      </c>
      <c r="AI51" s="21">
        <v>29000</v>
      </c>
      <c r="AJ51" s="21">
        <v>19200</v>
      </c>
      <c r="AK51" s="21">
        <v>43200</v>
      </c>
      <c r="AL51" s="21">
        <v>99200</v>
      </c>
      <c r="AM51" s="21">
        <v>91100</v>
      </c>
      <c r="AN51" s="21">
        <v>35700</v>
      </c>
      <c r="AO51" s="21">
        <v>72700</v>
      </c>
      <c r="AP51" s="21">
        <v>35400</v>
      </c>
      <c r="AQ51" s="21">
        <v>48800</v>
      </c>
      <c r="AR51" s="21">
        <v>30600</v>
      </c>
      <c r="AS51" s="21">
        <v>86400</v>
      </c>
      <c r="AT51" s="21">
        <v>58600</v>
      </c>
      <c r="AU51" s="21">
        <v>82500</v>
      </c>
      <c r="AV51" s="21">
        <v>115900</v>
      </c>
      <c r="AW51" s="21">
        <v>66300</v>
      </c>
      <c r="AX51" s="21">
        <v>385300</v>
      </c>
      <c r="AY51" s="21">
        <v>33300</v>
      </c>
      <c r="AZ51" s="21">
        <v>54200</v>
      </c>
      <c r="BA51" s="21">
        <v>53200</v>
      </c>
      <c r="BB51" s="21">
        <v>73500</v>
      </c>
      <c r="BC51" s="21">
        <v>30000</v>
      </c>
      <c r="BD51" s="21">
        <v>34200</v>
      </c>
      <c r="BE51" s="21">
        <v>70200</v>
      </c>
      <c r="BF51" s="21">
        <v>58800</v>
      </c>
      <c r="BG51" s="21">
        <v>34100</v>
      </c>
      <c r="BH51" s="21">
        <v>69700</v>
      </c>
      <c r="BI51" s="21">
        <v>138600</v>
      </c>
      <c r="BJ51" s="21">
        <v>57300</v>
      </c>
      <c r="BK51" s="21">
        <v>42300</v>
      </c>
      <c r="BL51" s="21">
        <v>79900</v>
      </c>
      <c r="BM51" s="1">
        <v>65300</v>
      </c>
      <c r="BN51" s="1">
        <v>74600</v>
      </c>
      <c r="BO51" s="1">
        <v>58900</v>
      </c>
      <c r="BP51" s="1">
        <v>103000</v>
      </c>
      <c r="BQ51" s="1">
        <v>53500</v>
      </c>
      <c r="BR51" s="1">
        <v>41200</v>
      </c>
      <c r="BS51" s="1">
        <v>51700</v>
      </c>
      <c r="BT51" s="1">
        <v>49600</v>
      </c>
      <c r="BU51" s="1">
        <v>57500</v>
      </c>
      <c r="BV51" s="1">
        <v>72600</v>
      </c>
      <c r="BW51" s="1">
        <v>47800</v>
      </c>
      <c r="BX51" s="1">
        <v>47800</v>
      </c>
      <c r="BY51" s="1">
        <v>40300</v>
      </c>
      <c r="BZ51" s="1">
        <v>53500</v>
      </c>
    </row>
    <row r="52" spans="1:254" ht="15.9" customHeight="1">
      <c r="A52" s="393" t="s">
        <v>99</v>
      </c>
      <c r="B52" s="46" t="s">
        <v>100</v>
      </c>
      <c r="C52" s="50">
        <f>_xll.RssMarket("8766","出来高")</f>
        <v>3609900</v>
      </c>
      <c r="D52" s="202">
        <f t="shared" si="0"/>
        <v>0</v>
      </c>
      <c r="E52" s="200">
        <v>3609900</v>
      </c>
      <c r="F52" s="21">
        <v>3213800</v>
      </c>
      <c r="G52" s="21">
        <v>4054100</v>
      </c>
      <c r="H52" s="21">
        <v>5208300</v>
      </c>
      <c r="I52" s="21">
        <v>4956200</v>
      </c>
      <c r="J52" s="21">
        <v>5200000</v>
      </c>
      <c r="K52" s="21">
        <v>6163100</v>
      </c>
      <c r="L52" s="21">
        <v>4666200</v>
      </c>
      <c r="M52" s="21">
        <v>4704600</v>
      </c>
      <c r="N52" s="21">
        <v>4747500</v>
      </c>
      <c r="O52" s="21">
        <v>4456900</v>
      </c>
      <c r="P52" s="21">
        <v>5007000</v>
      </c>
      <c r="Q52" s="21">
        <v>5639100</v>
      </c>
      <c r="R52" s="21">
        <v>4881300</v>
      </c>
      <c r="S52" s="21">
        <v>4179300</v>
      </c>
      <c r="T52" s="21">
        <v>3684600</v>
      </c>
      <c r="U52" s="21">
        <v>3871800</v>
      </c>
      <c r="V52" s="21">
        <v>6868900</v>
      </c>
      <c r="W52" s="21">
        <v>5696500</v>
      </c>
      <c r="X52" s="21">
        <v>6850400</v>
      </c>
      <c r="Y52" s="21">
        <v>5357400</v>
      </c>
      <c r="Z52" s="21">
        <v>4990200</v>
      </c>
      <c r="AA52" s="21">
        <v>4994400</v>
      </c>
      <c r="AB52" s="21">
        <v>8398100</v>
      </c>
      <c r="AC52" s="21">
        <v>5270800</v>
      </c>
      <c r="AD52" s="21">
        <v>4805700</v>
      </c>
      <c r="AE52" s="21">
        <v>8025000</v>
      </c>
      <c r="AF52" s="21">
        <v>6194700</v>
      </c>
      <c r="AG52" s="21">
        <v>7192100</v>
      </c>
      <c r="AH52" s="21">
        <v>7721000</v>
      </c>
      <c r="AI52" s="21">
        <v>5801000</v>
      </c>
      <c r="AJ52" s="21">
        <v>3390300</v>
      </c>
      <c r="AK52" s="21">
        <v>8663500</v>
      </c>
      <c r="AL52" s="21">
        <v>4485700</v>
      </c>
      <c r="AM52" s="21">
        <v>4299600</v>
      </c>
      <c r="AN52" s="21">
        <v>4487400</v>
      </c>
      <c r="AO52" s="21">
        <v>5530200</v>
      </c>
      <c r="AP52" s="21">
        <v>7968200</v>
      </c>
      <c r="AQ52" s="21">
        <v>6270700</v>
      </c>
      <c r="AR52" s="21">
        <v>5719700</v>
      </c>
      <c r="AS52" s="21">
        <v>8411600</v>
      </c>
      <c r="AT52" s="21">
        <v>5687500</v>
      </c>
      <c r="AU52" s="21">
        <v>5719800</v>
      </c>
      <c r="AV52" s="21">
        <v>4571900</v>
      </c>
      <c r="AW52" s="21">
        <v>5323900</v>
      </c>
      <c r="AX52" s="21">
        <v>10833400</v>
      </c>
      <c r="AY52" s="21">
        <v>6330700</v>
      </c>
      <c r="AZ52" s="21">
        <v>5245100</v>
      </c>
      <c r="BA52" s="21">
        <v>5595400</v>
      </c>
      <c r="BB52" s="21">
        <v>7819300</v>
      </c>
      <c r="BC52" s="21">
        <v>11696800</v>
      </c>
      <c r="BD52" s="21">
        <v>7978900</v>
      </c>
      <c r="BE52" s="21">
        <v>7192800</v>
      </c>
      <c r="BF52" s="21">
        <v>5383800</v>
      </c>
      <c r="BG52" s="21">
        <v>7584600</v>
      </c>
      <c r="BH52" s="21">
        <v>3937400</v>
      </c>
      <c r="BI52" s="21">
        <v>5780900</v>
      </c>
      <c r="BJ52" s="21">
        <v>5391600</v>
      </c>
      <c r="BK52" s="21">
        <v>5271300</v>
      </c>
      <c r="BL52" s="21">
        <v>6464400</v>
      </c>
      <c r="BM52" s="1">
        <v>8016100</v>
      </c>
      <c r="BN52" s="1">
        <v>3972600</v>
      </c>
      <c r="BO52" s="1">
        <v>5962600</v>
      </c>
      <c r="BP52" s="1">
        <v>6157300</v>
      </c>
      <c r="BQ52" s="1">
        <v>4891400</v>
      </c>
      <c r="BR52" s="1">
        <v>5287100</v>
      </c>
      <c r="BS52" s="1">
        <v>6495500</v>
      </c>
      <c r="BT52" s="1">
        <v>5334100</v>
      </c>
      <c r="BU52" s="1">
        <v>6031100</v>
      </c>
      <c r="BV52" s="1">
        <v>7277100</v>
      </c>
      <c r="BW52" s="1">
        <v>7249700</v>
      </c>
      <c r="BX52" s="1">
        <v>5576800</v>
      </c>
      <c r="BY52" s="1">
        <v>6326300</v>
      </c>
      <c r="BZ52" s="1">
        <v>5402100</v>
      </c>
    </row>
    <row r="53" spans="1:254" ht="15.9" customHeight="1">
      <c r="A53" s="393" t="s">
        <v>101</v>
      </c>
      <c r="B53" s="46" t="s">
        <v>102</v>
      </c>
      <c r="C53" s="50">
        <f>_xll.RssMarket("5201","出来高")</f>
        <v>1626100</v>
      </c>
      <c r="D53" s="202">
        <f t="shared" si="0"/>
        <v>0</v>
      </c>
      <c r="E53" s="200">
        <v>1626100</v>
      </c>
      <c r="F53" s="21">
        <v>2969500</v>
      </c>
      <c r="G53" s="21">
        <v>5294100</v>
      </c>
      <c r="H53" s="21">
        <v>2239900</v>
      </c>
      <c r="I53" s="21">
        <v>1569600</v>
      </c>
      <c r="J53" s="21">
        <v>2888800</v>
      </c>
      <c r="K53" s="21">
        <v>1589500</v>
      </c>
      <c r="L53" s="21">
        <v>1573300</v>
      </c>
      <c r="M53" s="21">
        <v>997000</v>
      </c>
      <c r="N53" s="21">
        <v>911000</v>
      </c>
      <c r="O53" s="21">
        <v>904200</v>
      </c>
      <c r="P53" s="21">
        <v>1157800</v>
      </c>
      <c r="Q53" s="21">
        <v>1132800</v>
      </c>
      <c r="R53" s="21">
        <v>1310900</v>
      </c>
      <c r="S53" s="21">
        <v>862500</v>
      </c>
      <c r="T53" s="21">
        <v>1919900</v>
      </c>
      <c r="U53" s="21">
        <v>1094500</v>
      </c>
      <c r="V53" s="21">
        <v>1272200</v>
      </c>
      <c r="W53" s="21">
        <v>1210900</v>
      </c>
      <c r="X53" s="21">
        <v>1423100</v>
      </c>
      <c r="Y53" s="21">
        <v>1589700</v>
      </c>
      <c r="Z53" s="21">
        <v>986300</v>
      </c>
      <c r="AA53" s="21">
        <v>954300</v>
      </c>
      <c r="AB53" s="21">
        <v>979000</v>
      </c>
      <c r="AC53" s="21">
        <v>969700</v>
      </c>
      <c r="AD53" s="21">
        <v>1257900</v>
      </c>
      <c r="AE53" s="21">
        <v>2016000</v>
      </c>
      <c r="AF53" s="21">
        <v>1083200</v>
      </c>
      <c r="AG53" s="21">
        <v>951400</v>
      </c>
      <c r="AH53" s="21">
        <v>1191200</v>
      </c>
      <c r="AI53" s="21">
        <v>1528800</v>
      </c>
      <c r="AJ53" s="21">
        <v>1225900</v>
      </c>
      <c r="AK53" s="21">
        <v>1530700</v>
      </c>
      <c r="AL53" s="21">
        <v>1822000</v>
      </c>
      <c r="AM53" s="21">
        <v>1363900</v>
      </c>
      <c r="AN53" s="21">
        <v>1508000</v>
      </c>
      <c r="AO53" s="21">
        <v>1401300</v>
      </c>
      <c r="AP53" s="21">
        <v>1525000</v>
      </c>
      <c r="AQ53" s="21">
        <v>1356100</v>
      </c>
      <c r="AR53" s="21">
        <v>1716600</v>
      </c>
      <c r="AS53" s="21">
        <v>2738200</v>
      </c>
      <c r="AT53" s="21">
        <v>2499400</v>
      </c>
      <c r="AU53" s="21">
        <v>2514500</v>
      </c>
      <c r="AV53" s="21">
        <v>4727500</v>
      </c>
      <c r="AW53" s="21">
        <v>6108200</v>
      </c>
      <c r="AX53" s="21">
        <v>2647100</v>
      </c>
      <c r="AY53" s="21">
        <v>1498500</v>
      </c>
      <c r="AZ53" s="21">
        <v>1695500</v>
      </c>
      <c r="BA53" s="21">
        <v>1772800</v>
      </c>
      <c r="BB53" s="21">
        <v>2117200</v>
      </c>
      <c r="BC53" s="21">
        <v>1567000</v>
      </c>
      <c r="BD53" s="21">
        <v>2177100</v>
      </c>
      <c r="BE53" s="21">
        <v>2186700</v>
      </c>
      <c r="BF53" s="21">
        <v>1471300</v>
      </c>
      <c r="BG53" s="21">
        <v>1385200</v>
      </c>
      <c r="BH53" s="21">
        <v>1372100</v>
      </c>
      <c r="BI53" s="21">
        <v>2017500</v>
      </c>
      <c r="BJ53" s="21">
        <v>8329200</v>
      </c>
      <c r="BK53" s="21">
        <v>1080000</v>
      </c>
      <c r="BL53" s="21">
        <v>1626700</v>
      </c>
      <c r="BM53" s="1">
        <v>2084600</v>
      </c>
      <c r="BN53" s="1">
        <v>857400</v>
      </c>
      <c r="BO53" s="1">
        <v>1401900</v>
      </c>
      <c r="BP53" s="1">
        <v>971900</v>
      </c>
      <c r="BQ53" s="1">
        <v>621100</v>
      </c>
      <c r="BR53" s="1">
        <v>777200</v>
      </c>
      <c r="BS53" s="1">
        <v>1002700</v>
      </c>
      <c r="BT53" s="1">
        <v>757800</v>
      </c>
      <c r="BU53" s="1">
        <v>846900</v>
      </c>
      <c r="BV53" s="1">
        <v>601400</v>
      </c>
      <c r="BW53" s="1">
        <v>1032200</v>
      </c>
      <c r="BX53" s="1">
        <v>1344200</v>
      </c>
      <c r="BY53" s="1">
        <v>1062700</v>
      </c>
      <c r="BZ53" s="1">
        <v>1166700</v>
      </c>
    </row>
    <row r="54" spans="1:254" ht="15.9" customHeight="1">
      <c r="A54" s="393" t="s">
        <v>103</v>
      </c>
      <c r="B54" s="46" t="s">
        <v>104</v>
      </c>
      <c r="C54" s="50">
        <f>_xll.RssMarket("8630","出来高")</f>
        <v>2132600</v>
      </c>
      <c r="D54" s="202">
        <f t="shared" si="0"/>
        <v>0</v>
      </c>
      <c r="E54" s="200">
        <v>2132600</v>
      </c>
      <c r="F54" s="21">
        <v>1635000</v>
      </c>
      <c r="G54" s="21">
        <v>2585500</v>
      </c>
      <c r="H54" s="21">
        <v>3274200</v>
      </c>
      <c r="I54" s="21">
        <v>3011300</v>
      </c>
      <c r="J54" s="21">
        <v>2797000</v>
      </c>
      <c r="K54" s="21">
        <v>2936500</v>
      </c>
      <c r="L54" s="21">
        <v>2053700</v>
      </c>
      <c r="M54" s="21">
        <v>1986400</v>
      </c>
      <c r="N54" s="21">
        <v>2304800</v>
      </c>
      <c r="O54" s="21">
        <v>2463400</v>
      </c>
      <c r="P54" s="21">
        <v>3027900</v>
      </c>
      <c r="Q54" s="21">
        <v>3122000</v>
      </c>
      <c r="R54" s="21">
        <v>3770500</v>
      </c>
      <c r="S54" s="21">
        <v>2336700</v>
      </c>
      <c r="T54" s="21">
        <v>2318100</v>
      </c>
      <c r="U54" s="21">
        <v>2615800</v>
      </c>
      <c r="V54" s="21">
        <v>3138600</v>
      </c>
      <c r="W54" s="21">
        <v>2338500</v>
      </c>
      <c r="X54" s="21">
        <v>2542000</v>
      </c>
      <c r="Y54" s="21">
        <v>3323200</v>
      </c>
      <c r="Z54" s="21">
        <v>1735800</v>
      </c>
      <c r="AA54" s="21">
        <v>2511100</v>
      </c>
      <c r="AB54" s="21">
        <v>2470600</v>
      </c>
      <c r="AC54" s="21">
        <v>2520700</v>
      </c>
      <c r="AD54" s="21">
        <v>2687300</v>
      </c>
      <c r="AE54" s="21">
        <v>2647500</v>
      </c>
      <c r="AF54" s="21">
        <v>2058300</v>
      </c>
      <c r="AG54" s="21">
        <v>2945400</v>
      </c>
      <c r="AH54" s="21">
        <v>3176200</v>
      </c>
      <c r="AI54" s="21">
        <v>2755800</v>
      </c>
      <c r="AJ54" s="21">
        <v>1629300</v>
      </c>
      <c r="AK54" s="21">
        <v>2403400</v>
      </c>
      <c r="AL54" s="21">
        <v>2359700</v>
      </c>
      <c r="AM54" s="21">
        <v>1584400</v>
      </c>
      <c r="AN54" s="21">
        <v>1636300</v>
      </c>
      <c r="AO54" s="21">
        <v>2104600</v>
      </c>
      <c r="AP54" s="21">
        <v>2988000</v>
      </c>
      <c r="AQ54" s="21">
        <v>3041900</v>
      </c>
      <c r="AR54" s="21">
        <v>2671600</v>
      </c>
      <c r="AS54" s="21">
        <v>3622000</v>
      </c>
      <c r="AT54" s="21">
        <v>2221700</v>
      </c>
      <c r="AU54" s="21">
        <v>2905900</v>
      </c>
      <c r="AV54" s="21">
        <v>2946900</v>
      </c>
      <c r="AW54" s="21">
        <v>3262800</v>
      </c>
      <c r="AX54" s="21">
        <v>10049500</v>
      </c>
      <c r="AY54" s="21">
        <v>2832400</v>
      </c>
      <c r="AZ54" s="21">
        <v>4562100</v>
      </c>
      <c r="BA54" s="21">
        <v>4181600</v>
      </c>
      <c r="BB54" s="21">
        <v>5931000</v>
      </c>
      <c r="BC54" s="21">
        <v>10013600</v>
      </c>
      <c r="BD54" s="21">
        <v>3556800</v>
      </c>
      <c r="BE54" s="21">
        <v>3707800</v>
      </c>
      <c r="BF54" s="21">
        <v>2206900</v>
      </c>
      <c r="BG54" s="21">
        <v>2241700</v>
      </c>
      <c r="BH54" s="21">
        <v>2712200</v>
      </c>
      <c r="BI54" s="21">
        <v>2480500</v>
      </c>
      <c r="BJ54" s="21">
        <v>1923700</v>
      </c>
      <c r="BK54" s="21">
        <v>1806200</v>
      </c>
      <c r="BL54" s="21">
        <v>2815000</v>
      </c>
      <c r="BM54" s="1">
        <v>3500500</v>
      </c>
      <c r="BN54" s="1">
        <v>1581400</v>
      </c>
      <c r="BO54" s="1">
        <v>3008100</v>
      </c>
      <c r="BP54" s="1">
        <v>2563900</v>
      </c>
      <c r="BQ54" s="1">
        <v>2237200</v>
      </c>
      <c r="BR54" s="1">
        <v>1999000</v>
      </c>
      <c r="BS54" s="1">
        <v>2974900</v>
      </c>
      <c r="BT54" s="1">
        <v>1832200</v>
      </c>
      <c r="BU54" s="1">
        <v>1752400</v>
      </c>
      <c r="BV54" s="1">
        <v>1671700</v>
      </c>
      <c r="BW54" s="1">
        <v>1656900</v>
      </c>
      <c r="BX54" s="1">
        <v>2046800</v>
      </c>
      <c r="BY54" s="1">
        <v>1735200</v>
      </c>
      <c r="BZ54" s="1">
        <v>1639900</v>
      </c>
    </row>
    <row r="55" spans="1:254" ht="15.9" customHeight="1">
      <c r="A55" s="393" t="s">
        <v>105</v>
      </c>
      <c r="B55" s="46" t="s">
        <v>106</v>
      </c>
      <c r="C55" s="50">
        <f>_xll.RssMarket("5901","出来高")</f>
        <v>383400</v>
      </c>
      <c r="D55" s="202">
        <f t="shared" si="0"/>
        <v>0</v>
      </c>
      <c r="E55" s="200">
        <v>383400</v>
      </c>
      <c r="F55" s="21">
        <v>343500</v>
      </c>
      <c r="G55" s="21">
        <v>201300</v>
      </c>
      <c r="H55" s="21">
        <v>173800</v>
      </c>
      <c r="I55" s="21">
        <v>351800</v>
      </c>
      <c r="J55" s="21">
        <v>211900</v>
      </c>
      <c r="K55" s="21">
        <v>274100</v>
      </c>
      <c r="L55" s="21">
        <v>210500</v>
      </c>
      <c r="M55" s="21">
        <v>190700</v>
      </c>
      <c r="N55" s="21">
        <v>265300</v>
      </c>
      <c r="O55" s="21">
        <v>229600</v>
      </c>
      <c r="P55" s="21">
        <v>193800</v>
      </c>
      <c r="Q55" s="21">
        <v>286400</v>
      </c>
      <c r="R55" s="21">
        <v>278600</v>
      </c>
      <c r="S55" s="21">
        <v>150900</v>
      </c>
      <c r="T55" s="21">
        <v>176600</v>
      </c>
      <c r="U55" s="21">
        <v>198400</v>
      </c>
      <c r="V55" s="21">
        <v>193900</v>
      </c>
      <c r="W55" s="21">
        <v>201200</v>
      </c>
      <c r="X55" s="21">
        <v>165200</v>
      </c>
      <c r="Y55" s="21">
        <v>224900</v>
      </c>
      <c r="Z55" s="21">
        <v>164500</v>
      </c>
      <c r="AA55" s="21">
        <v>145400</v>
      </c>
      <c r="AB55" s="21">
        <v>186500</v>
      </c>
      <c r="AC55" s="21">
        <v>237000</v>
      </c>
      <c r="AD55" s="21">
        <v>355700</v>
      </c>
      <c r="AE55" s="21">
        <v>311700</v>
      </c>
      <c r="AF55" s="21">
        <v>238200</v>
      </c>
      <c r="AG55" s="21">
        <v>292400</v>
      </c>
      <c r="AH55" s="21">
        <v>240600</v>
      </c>
      <c r="AI55" s="21">
        <v>199100</v>
      </c>
      <c r="AJ55" s="21">
        <v>172600</v>
      </c>
      <c r="AK55" s="21">
        <v>542700</v>
      </c>
      <c r="AL55" s="21">
        <v>243400</v>
      </c>
      <c r="AM55" s="21">
        <v>249600</v>
      </c>
      <c r="AN55" s="21">
        <v>217000</v>
      </c>
      <c r="AO55" s="21">
        <v>251100</v>
      </c>
      <c r="AP55" s="21">
        <v>346600</v>
      </c>
      <c r="AQ55" s="21">
        <v>199500</v>
      </c>
      <c r="AR55" s="21">
        <v>318300</v>
      </c>
      <c r="AS55" s="21">
        <v>408800</v>
      </c>
      <c r="AT55" s="21">
        <v>254300</v>
      </c>
      <c r="AU55" s="21">
        <v>275200</v>
      </c>
      <c r="AV55" s="21">
        <v>313100</v>
      </c>
      <c r="AW55" s="21">
        <v>292700</v>
      </c>
      <c r="AX55" s="21">
        <v>550000</v>
      </c>
      <c r="AY55" s="21">
        <v>370400</v>
      </c>
      <c r="AZ55" s="21">
        <v>432800</v>
      </c>
      <c r="BA55" s="21">
        <v>452300</v>
      </c>
      <c r="BB55" s="21">
        <v>742200</v>
      </c>
      <c r="BC55" s="21">
        <v>1135700</v>
      </c>
      <c r="BD55" s="21">
        <v>829800</v>
      </c>
      <c r="BE55" s="21">
        <v>827200</v>
      </c>
      <c r="BF55" s="21">
        <v>1047500</v>
      </c>
      <c r="BG55" s="21">
        <v>856400</v>
      </c>
      <c r="BH55" s="21">
        <v>338000</v>
      </c>
      <c r="BI55" s="21">
        <v>467900</v>
      </c>
      <c r="BJ55" s="21">
        <v>372700</v>
      </c>
      <c r="BK55" s="21">
        <v>443100</v>
      </c>
      <c r="BL55" s="21">
        <v>783700</v>
      </c>
      <c r="BM55" s="1">
        <v>896500</v>
      </c>
      <c r="BN55" s="1">
        <v>966600</v>
      </c>
      <c r="BO55" s="1">
        <v>642900</v>
      </c>
      <c r="BP55" s="1">
        <v>391800</v>
      </c>
      <c r="BQ55" s="1">
        <v>467600</v>
      </c>
      <c r="BR55" s="1">
        <v>302900</v>
      </c>
      <c r="BS55" s="1">
        <v>352100</v>
      </c>
      <c r="BT55" s="1">
        <v>360800</v>
      </c>
      <c r="BU55" s="1">
        <v>231200</v>
      </c>
      <c r="BV55" s="1">
        <v>263400</v>
      </c>
      <c r="BW55" s="1">
        <v>409200</v>
      </c>
      <c r="BX55" s="1">
        <v>290200</v>
      </c>
      <c r="BY55" s="1">
        <v>426000</v>
      </c>
      <c r="BZ55" s="1">
        <v>616900</v>
      </c>
    </row>
    <row r="56" spans="1:254" ht="15.9" customHeight="1">
      <c r="A56" s="393" t="s">
        <v>107</v>
      </c>
      <c r="B56" s="46" t="s">
        <v>108</v>
      </c>
      <c r="C56" s="50">
        <f>_xll.RssMarket("9412","出来高")</f>
        <v>4532400</v>
      </c>
      <c r="D56" s="202">
        <f t="shared" si="0"/>
        <v>0</v>
      </c>
      <c r="E56" s="200">
        <v>4532400</v>
      </c>
      <c r="F56" s="21">
        <v>9236600</v>
      </c>
      <c r="G56" s="21">
        <v>2524700</v>
      </c>
      <c r="H56" s="21">
        <v>2489200</v>
      </c>
      <c r="I56" s="21">
        <v>2421400</v>
      </c>
      <c r="J56" s="21">
        <v>1472600</v>
      </c>
      <c r="K56" s="21">
        <v>2480900</v>
      </c>
      <c r="L56" s="21">
        <v>2307800</v>
      </c>
      <c r="M56" s="21">
        <v>1373600</v>
      </c>
      <c r="N56" s="21">
        <v>1847100</v>
      </c>
      <c r="O56" s="21">
        <v>1789100</v>
      </c>
      <c r="P56" s="21">
        <v>1433500</v>
      </c>
      <c r="Q56" s="21">
        <v>1546600</v>
      </c>
      <c r="R56" s="21">
        <v>2579000</v>
      </c>
      <c r="S56" s="21">
        <v>1957400</v>
      </c>
      <c r="T56" s="21">
        <v>1861100</v>
      </c>
      <c r="U56" s="21">
        <v>2271100</v>
      </c>
      <c r="V56" s="21">
        <v>1874600</v>
      </c>
      <c r="W56" s="21">
        <v>2203300</v>
      </c>
      <c r="X56" s="21">
        <v>4309700</v>
      </c>
      <c r="Y56" s="21">
        <v>4294600</v>
      </c>
      <c r="Z56" s="21">
        <v>3819400</v>
      </c>
      <c r="AA56" s="21">
        <v>3303900</v>
      </c>
      <c r="AB56" s="21">
        <v>2530200</v>
      </c>
      <c r="AC56" s="21">
        <v>3911400</v>
      </c>
      <c r="AD56" s="21">
        <v>4725600</v>
      </c>
      <c r="AE56" s="21">
        <v>3779900</v>
      </c>
      <c r="AF56" s="21">
        <v>7888900</v>
      </c>
      <c r="AG56" s="21">
        <v>6630500</v>
      </c>
      <c r="AH56" s="21">
        <v>5135400</v>
      </c>
      <c r="AI56" s="21">
        <v>5203700</v>
      </c>
      <c r="AJ56" s="21">
        <v>1808700</v>
      </c>
      <c r="AK56" s="21">
        <v>2437000</v>
      </c>
      <c r="AL56" s="21">
        <v>5562100</v>
      </c>
      <c r="AM56" s="21">
        <v>1970700</v>
      </c>
      <c r="AN56" s="21">
        <v>3425800</v>
      </c>
      <c r="AO56" s="21">
        <v>4231600</v>
      </c>
      <c r="AP56" s="21">
        <v>3443500</v>
      </c>
      <c r="AQ56" s="21">
        <v>2984600</v>
      </c>
      <c r="AR56" s="21">
        <v>3799500</v>
      </c>
      <c r="AS56" s="21">
        <v>2672000</v>
      </c>
      <c r="AT56" s="21">
        <v>3142500</v>
      </c>
      <c r="AU56" s="21">
        <v>5760800</v>
      </c>
      <c r="AV56" s="21">
        <v>3329800</v>
      </c>
      <c r="AW56" s="21">
        <v>6144300</v>
      </c>
      <c r="AX56" s="21">
        <v>4559100</v>
      </c>
      <c r="AY56" s="21">
        <v>3136300</v>
      </c>
      <c r="AZ56" s="21">
        <v>4040700</v>
      </c>
      <c r="BA56" s="21">
        <v>2687000</v>
      </c>
      <c r="BB56" s="21">
        <v>2135900</v>
      </c>
      <c r="BC56" s="21">
        <v>2721500</v>
      </c>
      <c r="BD56" s="21">
        <v>3876400</v>
      </c>
      <c r="BE56" s="21">
        <v>2249400</v>
      </c>
      <c r="BF56" s="21">
        <v>2381800</v>
      </c>
      <c r="BG56" s="21">
        <v>2897500</v>
      </c>
      <c r="BH56" s="21">
        <v>4393500</v>
      </c>
      <c r="BI56" s="21">
        <v>3162100</v>
      </c>
      <c r="BJ56" s="21">
        <v>3347000</v>
      </c>
      <c r="BK56" s="21">
        <v>2527900</v>
      </c>
      <c r="BL56" s="21">
        <v>2740100</v>
      </c>
      <c r="BM56" s="1">
        <v>4437300</v>
      </c>
      <c r="BN56" s="1">
        <v>3303900</v>
      </c>
      <c r="BO56" s="1">
        <v>2790600</v>
      </c>
      <c r="BP56" s="1">
        <v>3326300</v>
      </c>
      <c r="BQ56" s="1">
        <v>1820200</v>
      </c>
      <c r="BR56" s="1">
        <v>1442800</v>
      </c>
      <c r="BS56" s="1">
        <v>1650400</v>
      </c>
      <c r="BT56" s="1">
        <v>2017800</v>
      </c>
      <c r="BU56" s="1">
        <v>1360000</v>
      </c>
      <c r="BV56" s="1">
        <v>1204900</v>
      </c>
      <c r="BW56" s="1">
        <v>1570000</v>
      </c>
      <c r="BX56" s="1">
        <v>1300700</v>
      </c>
      <c r="BY56" s="1">
        <v>948200</v>
      </c>
      <c r="BZ56" s="1">
        <v>1066300</v>
      </c>
    </row>
    <row r="57" spans="1:254" ht="15.9" customHeight="1">
      <c r="A57" s="393" t="s">
        <v>109</v>
      </c>
      <c r="B57" s="46" t="s">
        <v>110</v>
      </c>
      <c r="C57" s="50">
        <f>_xll.RssMarket("6203","出来高")</f>
        <v>424400</v>
      </c>
      <c r="D57" s="202">
        <f t="shared" si="0"/>
        <v>0</v>
      </c>
      <c r="E57" s="200">
        <v>424400</v>
      </c>
      <c r="F57" s="21">
        <v>317100</v>
      </c>
      <c r="G57" s="21">
        <v>172800</v>
      </c>
      <c r="H57" s="21">
        <v>160400</v>
      </c>
      <c r="I57" s="21">
        <v>291500</v>
      </c>
      <c r="J57" s="21">
        <v>253800</v>
      </c>
      <c r="K57" s="21">
        <v>340300</v>
      </c>
      <c r="L57" s="21">
        <v>329000</v>
      </c>
      <c r="M57" s="21">
        <v>170700</v>
      </c>
      <c r="N57" s="21">
        <v>166600</v>
      </c>
      <c r="O57" s="21">
        <v>143500</v>
      </c>
      <c r="P57" s="21">
        <v>180600</v>
      </c>
      <c r="Q57" s="21">
        <v>289900</v>
      </c>
      <c r="R57" s="21">
        <v>537000</v>
      </c>
      <c r="S57" s="21">
        <v>494100</v>
      </c>
      <c r="T57" s="21">
        <v>233300</v>
      </c>
      <c r="U57" s="21">
        <v>378100</v>
      </c>
      <c r="V57" s="21">
        <v>468300</v>
      </c>
      <c r="W57" s="21">
        <v>270100</v>
      </c>
      <c r="X57" s="21">
        <v>392100</v>
      </c>
      <c r="Y57" s="21">
        <v>1172700</v>
      </c>
      <c r="Z57" s="21">
        <v>668600</v>
      </c>
      <c r="AA57" s="21">
        <v>217100</v>
      </c>
      <c r="AB57" s="21">
        <v>236500</v>
      </c>
      <c r="AC57" s="21">
        <v>159500</v>
      </c>
      <c r="AD57" s="21">
        <v>248500</v>
      </c>
      <c r="AE57" s="21">
        <v>363200</v>
      </c>
      <c r="AF57" s="21">
        <v>766700</v>
      </c>
      <c r="AG57" s="21">
        <v>202000</v>
      </c>
      <c r="AH57" s="21">
        <v>189400</v>
      </c>
      <c r="AI57" s="21">
        <v>326200</v>
      </c>
      <c r="AJ57" s="21">
        <v>296800</v>
      </c>
      <c r="AK57" s="21">
        <v>355100</v>
      </c>
      <c r="AL57" s="21">
        <v>546500</v>
      </c>
      <c r="AM57" s="21">
        <v>533500</v>
      </c>
      <c r="AN57" s="21">
        <v>456800</v>
      </c>
      <c r="AO57" s="21">
        <v>403500</v>
      </c>
      <c r="AP57" s="21">
        <v>571900</v>
      </c>
      <c r="AQ57" s="21">
        <v>663000</v>
      </c>
      <c r="AR57" s="21">
        <v>952400</v>
      </c>
      <c r="AS57" s="21">
        <v>1275000</v>
      </c>
      <c r="AT57" s="21">
        <v>1126800</v>
      </c>
      <c r="AU57" s="21">
        <v>1811400</v>
      </c>
      <c r="AV57" s="21">
        <v>2705900</v>
      </c>
      <c r="AW57" s="21">
        <v>6712800</v>
      </c>
      <c r="AX57" s="21">
        <v>6707600</v>
      </c>
      <c r="AY57" s="21">
        <v>1544900</v>
      </c>
      <c r="AZ57" s="21">
        <v>196500</v>
      </c>
      <c r="BA57" s="21">
        <v>110800</v>
      </c>
      <c r="BB57" s="21">
        <v>140800</v>
      </c>
      <c r="BC57" s="21">
        <v>198400</v>
      </c>
      <c r="BD57" s="21">
        <v>255300</v>
      </c>
      <c r="BE57" s="21">
        <v>238900</v>
      </c>
      <c r="BF57" s="21">
        <v>691500</v>
      </c>
      <c r="BG57" s="21">
        <v>594500</v>
      </c>
      <c r="BH57" s="21">
        <v>342700</v>
      </c>
      <c r="BI57" s="21">
        <v>186900</v>
      </c>
      <c r="BJ57" s="21">
        <v>235400</v>
      </c>
      <c r="BK57" s="21">
        <v>223400</v>
      </c>
      <c r="BL57" s="21">
        <v>240400</v>
      </c>
      <c r="BM57" s="1">
        <v>212300</v>
      </c>
      <c r="BN57" s="1">
        <v>104400</v>
      </c>
      <c r="BO57" s="1">
        <v>220400</v>
      </c>
      <c r="BP57" s="1">
        <v>265200</v>
      </c>
      <c r="BQ57" s="1">
        <v>243100</v>
      </c>
      <c r="BR57" s="1">
        <v>296000</v>
      </c>
      <c r="BS57" s="1">
        <v>811900</v>
      </c>
      <c r="BT57" s="1">
        <v>891200</v>
      </c>
      <c r="BU57" s="1">
        <v>545900</v>
      </c>
      <c r="BV57" s="1">
        <v>126300</v>
      </c>
      <c r="BW57" s="1">
        <v>188400</v>
      </c>
      <c r="BX57" s="1">
        <v>398400</v>
      </c>
      <c r="BY57" s="1">
        <v>334300</v>
      </c>
      <c r="BZ57" s="1">
        <v>129900</v>
      </c>
    </row>
    <row r="58" spans="1:254" ht="15.9" customHeight="1">
      <c r="A58" s="393" t="s">
        <v>111</v>
      </c>
      <c r="B58" s="46" t="s">
        <v>112</v>
      </c>
      <c r="C58" s="50">
        <f>_xll.RssMarket("4676","出来高")</f>
        <v>618300</v>
      </c>
      <c r="D58" s="202">
        <f t="shared" si="0"/>
        <v>0</v>
      </c>
      <c r="E58" s="200">
        <v>618300</v>
      </c>
      <c r="F58" s="21">
        <v>1099400</v>
      </c>
      <c r="G58" s="21">
        <v>590900</v>
      </c>
      <c r="H58" s="21">
        <v>741700</v>
      </c>
      <c r="I58" s="21">
        <v>826700</v>
      </c>
      <c r="J58" s="21">
        <v>548500</v>
      </c>
      <c r="K58" s="21">
        <v>682800</v>
      </c>
      <c r="L58" s="21">
        <v>507000</v>
      </c>
      <c r="M58" s="21">
        <v>374000</v>
      </c>
      <c r="N58" s="21">
        <v>344700</v>
      </c>
      <c r="O58" s="21">
        <v>423100</v>
      </c>
      <c r="P58" s="21">
        <v>409800</v>
      </c>
      <c r="Q58" s="21">
        <v>497900</v>
      </c>
      <c r="R58" s="21">
        <v>721100</v>
      </c>
      <c r="S58" s="21">
        <v>508800</v>
      </c>
      <c r="T58" s="21">
        <v>699900</v>
      </c>
      <c r="U58" s="21">
        <v>441100</v>
      </c>
      <c r="V58" s="21">
        <v>503100</v>
      </c>
      <c r="W58" s="21">
        <v>512400</v>
      </c>
      <c r="X58" s="21">
        <v>509400</v>
      </c>
      <c r="Y58" s="21">
        <v>513700</v>
      </c>
      <c r="Z58" s="21">
        <v>591500</v>
      </c>
      <c r="AA58" s="21">
        <v>362300</v>
      </c>
      <c r="AB58" s="21">
        <v>579400</v>
      </c>
      <c r="AC58" s="21">
        <v>898600</v>
      </c>
      <c r="AD58" s="21">
        <v>634100</v>
      </c>
      <c r="AE58" s="21">
        <v>637700</v>
      </c>
      <c r="AF58" s="21">
        <v>805300</v>
      </c>
      <c r="AG58" s="21">
        <v>1815100</v>
      </c>
      <c r="AH58" s="21">
        <v>485000</v>
      </c>
      <c r="AI58" s="21">
        <v>674600</v>
      </c>
      <c r="AJ58" s="21">
        <v>660000</v>
      </c>
      <c r="AK58" s="21">
        <v>1388300</v>
      </c>
      <c r="AL58" s="21">
        <v>405000</v>
      </c>
      <c r="AM58" s="21">
        <v>435200</v>
      </c>
      <c r="AN58" s="21">
        <v>371900</v>
      </c>
      <c r="AO58" s="21">
        <v>480600</v>
      </c>
      <c r="AP58" s="21">
        <v>571200</v>
      </c>
      <c r="AQ58" s="21">
        <v>597900</v>
      </c>
      <c r="AR58" s="21">
        <v>543200</v>
      </c>
      <c r="AS58" s="21">
        <v>835200</v>
      </c>
      <c r="AT58" s="21">
        <v>2456800</v>
      </c>
      <c r="AU58" s="21">
        <v>512200</v>
      </c>
      <c r="AV58" s="21">
        <v>496400</v>
      </c>
      <c r="AW58" s="21">
        <v>708200</v>
      </c>
      <c r="AX58" s="21">
        <v>631700</v>
      </c>
      <c r="AY58" s="21">
        <v>258100</v>
      </c>
      <c r="AZ58" s="21">
        <v>467300</v>
      </c>
      <c r="BA58" s="21">
        <v>602900</v>
      </c>
      <c r="BB58" s="21">
        <v>297600</v>
      </c>
      <c r="BC58" s="21">
        <v>302800</v>
      </c>
      <c r="BD58" s="21">
        <v>420700</v>
      </c>
      <c r="BE58" s="21">
        <v>424900</v>
      </c>
      <c r="BF58" s="21">
        <v>818700</v>
      </c>
      <c r="BG58" s="21">
        <v>466900</v>
      </c>
      <c r="BH58" s="21">
        <v>505700</v>
      </c>
      <c r="BI58" s="21">
        <v>1028200</v>
      </c>
      <c r="BJ58" s="21">
        <v>279900</v>
      </c>
      <c r="BK58" s="21">
        <v>810100</v>
      </c>
      <c r="BL58" s="21">
        <v>489400</v>
      </c>
      <c r="BM58" s="1">
        <v>540900</v>
      </c>
      <c r="BN58" s="1">
        <v>464000</v>
      </c>
      <c r="BO58" s="1">
        <v>698100</v>
      </c>
      <c r="BP58" s="1">
        <v>790300</v>
      </c>
      <c r="BQ58" s="1">
        <v>366700</v>
      </c>
      <c r="BR58" s="1">
        <v>497500</v>
      </c>
      <c r="BS58" s="1">
        <v>479000</v>
      </c>
      <c r="BT58" s="1">
        <v>616800</v>
      </c>
      <c r="BU58" s="1">
        <v>479900</v>
      </c>
      <c r="BV58" s="1">
        <v>1756100</v>
      </c>
      <c r="BW58" s="1">
        <v>1675300</v>
      </c>
      <c r="BX58" s="1">
        <v>2938600</v>
      </c>
      <c r="BY58" s="1">
        <v>1374500</v>
      </c>
      <c r="BZ58" s="1">
        <v>530400</v>
      </c>
    </row>
    <row r="59" spans="1:254" ht="15.9" customHeight="1">
      <c r="A59" s="393" t="s">
        <v>113</v>
      </c>
      <c r="B59" s="46" t="s">
        <v>114</v>
      </c>
      <c r="C59" s="50">
        <f>_xll.RssMarket("1961","出来高")</f>
        <v>956100</v>
      </c>
      <c r="D59" s="202">
        <f t="shared" si="0"/>
        <v>0</v>
      </c>
      <c r="E59" s="200">
        <v>956100</v>
      </c>
      <c r="F59" s="21">
        <v>1128400</v>
      </c>
      <c r="G59" s="21">
        <v>721200</v>
      </c>
      <c r="H59" s="21">
        <v>751200</v>
      </c>
      <c r="I59" s="21">
        <v>1673100</v>
      </c>
      <c r="J59" s="21">
        <v>1172400</v>
      </c>
      <c r="K59" s="21">
        <v>1034000</v>
      </c>
      <c r="L59" s="21">
        <v>628600</v>
      </c>
      <c r="M59" s="21">
        <v>940700</v>
      </c>
      <c r="N59" s="21">
        <v>838900</v>
      </c>
      <c r="O59" s="21">
        <v>402300</v>
      </c>
      <c r="P59" s="21">
        <v>519300</v>
      </c>
      <c r="Q59" s="21">
        <v>607300</v>
      </c>
      <c r="R59" s="21">
        <v>685100</v>
      </c>
      <c r="S59" s="21">
        <v>531700</v>
      </c>
      <c r="T59" s="21">
        <v>1009300</v>
      </c>
      <c r="U59" s="21">
        <v>704400</v>
      </c>
      <c r="V59" s="21">
        <v>810000</v>
      </c>
      <c r="W59" s="21">
        <v>788400</v>
      </c>
      <c r="X59" s="21">
        <v>584900</v>
      </c>
      <c r="Y59" s="21">
        <v>614100</v>
      </c>
      <c r="Z59" s="21">
        <v>659700</v>
      </c>
      <c r="AA59" s="21">
        <v>669800</v>
      </c>
      <c r="AB59" s="21">
        <v>486200</v>
      </c>
      <c r="AC59" s="21">
        <v>589800</v>
      </c>
      <c r="AD59" s="21">
        <v>656600</v>
      </c>
      <c r="AE59" s="21">
        <v>480500</v>
      </c>
      <c r="AF59" s="21">
        <v>533900</v>
      </c>
      <c r="AG59" s="21">
        <v>554400</v>
      </c>
      <c r="AH59" s="21">
        <v>362000</v>
      </c>
      <c r="AI59" s="21">
        <v>1014200</v>
      </c>
      <c r="AJ59" s="21">
        <v>472000</v>
      </c>
      <c r="AK59" s="21">
        <v>1117300</v>
      </c>
      <c r="AL59" s="21">
        <v>971300</v>
      </c>
      <c r="AM59" s="21">
        <v>376500</v>
      </c>
      <c r="AN59" s="21">
        <v>448800</v>
      </c>
      <c r="AO59" s="21">
        <v>737700</v>
      </c>
      <c r="AP59" s="21">
        <v>635000</v>
      </c>
      <c r="AQ59" s="21">
        <v>721300</v>
      </c>
      <c r="AR59" s="21">
        <v>890400</v>
      </c>
      <c r="AS59" s="21">
        <v>684000</v>
      </c>
      <c r="AT59" s="21">
        <v>677600</v>
      </c>
      <c r="AU59" s="21">
        <v>715100</v>
      </c>
      <c r="AV59" s="21">
        <v>339000</v>
      </c>
      <c r="AW59" s="21">
        <v>536600</v>
      </c>
      <c r="AX59" s="21">
        <v>878500</v>
      </c>
      <c r="AY59" s="21">
        <v>484800</v>
      </c>
      <c r="AZ59" s="21">
        <v>497500</v>
      </c>
      <c r="BA59" s="21">
        <v>705900</v>
      </c>
      <c r="BB59" s="21">
        <v>518400</v>
      </c>
      <c r="BC59" s="21">
        <v>797200</v>
      </c>
      <c r="BD59" s="21">
        <v>915600</v>
      </c>
      <c r="BE59" s="21">
        <v>594300</v>
      </c>
      <c r="BF59" s="21">
        <v>648200</v>
      </c>
      <c r="BG59" s="21">
        <v>708900</v>
      </c>
      <c r="BH59" s="21">
        <v>822200</v>
      </c>
      <c r="BI59" s="21">
        <v>393500</v>
      </c>
      <c r="BJ59" s="21">
        <v>595100</v>
      </c>
      <c r="BK59" s="21">
        <v>575000</v>
      </c>
      <c r="BL59" s="21">
        <v>821200</v>
      </c>
      <c r="BM59" s="1">
        <v>1140200</v>
      </c>
      <c r="BN59" s="1">
        <v>574900</v>
      </c>
      <c r="BO59" s="1">
        <v>963700</v>
      </c>
      <c r="BP59" s="1">
        <v>710300</v>
      </c>
      <c r="BQ59" s="1">
        <v>184200</v>
      </c>
      <c r="BR59" s="1">
        <v>182700</v>
      </c>
      <c r="BS59" s="1">
        <v>194900</v>
      </c>
      <c r="BT59" s="1">
        <v>138700</v>
      </c>
      <c r="BU59" s="1">
        <v>150900</v>
      </c>
      <c r="BV59" s="1">
        <v>167900</v>
      </c>
      <c r="BW59" s="1">
        <v>328600</v>
      </c>
      <c r="BX59" s="1">
        <v>644400</v>
      </c>
      <c r="BY59" s="1">
        <v>507600</v>
      </c>
      <c r="BZ59" s="1">
        <v>333200</v>
      </c>
    </row>
    <row r="60" spans="1:254" ht="15.9" customHeight="1">
      <c r="A60" s="393" t="s">
        <v>115</v>
      </c>
      <c r="B60" s="46" t="s">
        <v>116</v>
      </c>
      <c r="C60" s="50">
        <f>_xll.RssMarket("3107","出来高")</f>
        <v>323900</v>
      </c>
      <c r="D60" s="202">
        <f t="shared" si="0"/>
        <v>0</v>
      </c>
      <c r="E60" s="200">
        <v>323900</v>
      </c>
      <c r="F60" s="21">
        <v>395700</v>
      </c>
      <c r="G60" s="21">
        <v>268800</v>
      </c>
      <c r="H60" s="21">
        <v>271600</v>
      </c>
      <c r="I60" s="21">
        <v>294300</v>
      </c>
      <c r="J60" s="21">
        <v>328600</v>
      </c>
      <c r="K60" s="21">
        <v>290200</v>
      </c>
      <c r="L60" s="21">
        <v>302500</v>
      </c>
      <c r="M60" s="21">
        <v>327100</v>
      </c>
      <c r="N60" s="21">
        <v>211200</v>
      </c>
      <c r="O60" s="21">
        <v>208500</v>
      </c>
      <c r="P60" s="21">
        <v>229600</v>
      </c>
      <c r="Q60" s="21">
        <v>250700</v>
      </c>
      <c r="R60" s="21">
        <v>267400</v>
      </c>
      <c r="S60" s="21">
        <v>241300</v>
      </c>
      <c r="T60" s="21">
        <v>356200</v>
      </c>
      <c r="U60" s="21">
        <v>310500</v>
      </c>
      <c r="V60" s="21">
        <v>419100</v>
      </c>
      <c r="W60" s="21">
        <v>288400</v>
      </c>
      <c r="X60" s="21">
        <v>303600</v>
      </c>
      <c r="Y60" s="21">
        <v>242600</v>
      </c>
      <c r="Z60" s="21">
        <v>267500</v>
      </c>
      <c r="AA60" s="21">
        <v>356800</v>
      </c>
      <c r="AB60" s="21">
        <v>391000</v>
      </c>
      <c r="AC60" s="21">
        <v>264500</v>
      </c>
      <c r="AD60" s="21">
        <v>326200</v>
      </c>
      <c r="AE60" s="21">
        <v>418300</v>
      </c>
      <c r="AF60" s="21">
        <v>282000</v>
      </c>
      <c r="AG60" s="21">
        <v>264500</v>
      </c>
      <c r="AH60" s="21">
        <v>212700</v>
      </c>
      <c r="AI60" s="21">
        <v>264600</v>
      </c>
      <c r="AJ60" s="21">
        <v>221300</v>
      </c>
      <c r="AK60" s="21">
        <v>398500</v>
      </c>
      <c r="AL60" s="21">
        <v>282400</v>
      </c>
      <c r="AM60" s="21">
        <v>294100</v>
      </c>
      <c r="AN60" s="21">
        <v>227600</v>
      </c>
      <c r="AO60" s="21">
        <v>261100</v>
      </c>
      <c r="AP60" s="21">
        <v>308000</v>
      </c>
      <c r="AQ60" s="21">
        <v>300000</v>
      </c>
      <c r="AR60" s="21">
        <v>502900</v>
      </c>
      <c r="AS60" s="21">
        <v>291200</v>
      </c>
      <c r="AT60" s="21">
        <v>196200</v>
      </c>
      <c r="AU60" s="21">
        <v>252600</v>
      </c>
      <c r="AV60" s="21">
        <v>321800</v>
      </c>
      <c r="AW60" s="21">
        <v>461400</v>
      </c>
      <c r="AX60" s="21">
        <v>394300</v>
      </c>
      <c r="AY60" s="21">
        <v>268600</v>
      </c>
      <c r="AZ60" s="21">
        <v>261400</v>
      </c>
      <c r="BA60" s="21">
        <v>383500</v>
      </c>
      <c r="BB60" s="21">
        <v>181600</v>
      </c>
      <c r="BC60" s="21">
        <v>177200</v>
      </c>
      <c r="BD60" s="21">
        <v>324900</v>
      </c>
      <c r="BE60" s="21">
        <v>284300</v>
      </c>
      <c r="BF60" s="21">
        <v>338600</v>
      </c>
      <c r="BG60" s="21">
        <v>443600</v>
      </c>
      <c r="BH60" s="21">
        <v>499700</v>
      </c>
      <c r="BI60" s="21">
        <v>246100</v>
      </c>
      <c r="BJ60" s="21">
        <v>239600</v>
      </c>
      <c r="BK60" s="21">
        <v>306800</v>
      </c>
      <c r="BL60" s="21">
        <v>475700</v>
      </c>
      <c r="BM60" s="1">
        <v>429100</v>
      </c>
      <c r="BN60" s="1">
        <v>230800</v>
      </c>
      <c r="BO60" s="1">
        <v>226600</v>
      </c>
      <c r="BP60" s="1">
        <v>314600</v>
      </c>
      <c r="BQ60" s="1">
        <v>236100</v>
      </c>
      <c r="BR60" s="1">
        <v>210900</v>
      </c>
      <c r="BS60" s="1">
        <v>330400</v>
      </c>
      <c r="BT60" s="1">
        <v>238100</v>
      </c>
      <c r="BU60" s="1">
        <v>297900</v>
      </c>
      <c r="BV60" s="1">
        <v>300900</v>
      </c>
      <c r="BW60" s="1">
        <v>267300</v>
      </c>
      <c r="BX60" s="1">
        <v>301600</v>
      </c>
      <c r="BY60" s="1">
        <v>205700</v>
      </c>
      <c r="BZ60" s="1">
        <v>308400</v>
      </c>
    </row>
    <row r="61" spans="1:254" ht="15.9" customHeight="1">
      <c r="A61" s="393" t="s">
        <v>117</v>
      </c>
      <c r="B61" s="46" t="s">
        <v>118</v>
      </c>
      <c r="C61" s="50">
        <f>_xll.RssMarket("4045","出来高")</f>
        <v>316300</v>
      </c>
      <c r="D61" s="202">
        <f t="shared" si="0"/>
        <v>0</v>
      </c>
      <c r="E61" s="200">
        <v>316300</v>
      </c>
      <c r="F61" s="21">
        <v>259000</v>
      </c>
      <c r="G61" s="21">
        <v>291800</v>
      </c>
      <c r="H61" s="21">
        <v>467400</v>
      </c>
      <c r="I61" s="21">
        <v>479500</v>
      </c>
      <c r="J61" s="21">
        <v>918100</v>
      </c>
      <c r="K61" s="21">
        <v>287600</v>
      </c>
      <c r="L61" s="21">
        <v>348200</v>
      </c>
      <c r="M61" s="21">
        <v>343200</v>
      </c>
      <c r="N61" s="21">
        <v>273400</v>
      </c>
      <c r="O61" s="21">
        <v>223100</v>
      </c>
      <c r="P61" s="21">
        <v>399900</v>
      </c>
      <c r="Q61" s="21">
        <v>223000</v>
      </c>
      <c r="R61" s="21">
        <v>234500</v>
      </c>
      <c r="S61" s="21">
        <v>162300</v>
      </c>
      <c r="T61" s="21">
        <v>215300</v>
      </c>
      <c r="U61" s="21">
        <v>221200</v>
      </c>
      <c r="V61" s="21">
        <v>254500</v>
      </c>
      <c r="W61" s="21">
        <v>207200</v>
      </c>
      <c r="X61" s="21">
        <v>216300</v>
      </c>
      <c r="Y61" s="21">
        <v>331400</v>
      </c>
      <c r="Z61" s="21">
        <v>241300</v>
      </c>
      <c r="AA61" s="21">
        <v>499000</v>
      </c>
      <c r="AB61" s="21">
        <v>266700</v>
      </c>
      <c r="AC61" s="21">
        <v>230100</v>
      </c>
      <c r="AD61" s="21">
        <v>219900</v>
      </c>
      <c r="AE61" s="21">
        <v>329900</v>
      </c>
      <c r="AF61" s="21">
        <v>370100</v>
      </c>
      <c r="AG61" s="21">
        <v>333400</v>
      </c>
      <c r="AH61" s="21">
        <v>259600</v>
      </c>
      <c r="AI61" s="21">
        <v>289000</v>
      </c>
      <c r="AJ61" s="21">
        <v>181600</v>
      </c>
      <c r="AK61" s="21">
        <v>255600</v>
      </c>
      <c r="AL61" s="21">
        <v>295800</v>
      </c>
      <c r="AM61" s="21">
        <v>170600</v>
      </c>
      <c r="AN61" s="21">
        <v>185200</v>
      </c>
      <c r="AO61" s="21">
        <v>230300</v>
      </c>
      <c r="AP61" s="21">
        <v>260000</v>
      </c>
      <c r="AQ61" s="21">
        <v>237100</v>
      </c>
      <c r="AR61" s="21">
        <v>335700</v>
      </c>
      <c r="AS61" s="21">
        <v>381000</v>
      </c>
      <c r="AT61" s="21">
        <v>289100</v>
      </c>
      <c r="AU61" s="21">
        <v>248800</v>
      </c>
      <c r="AV61" s="21">
        <v>267600</v>
      </c>
      <c r="AW61" s="21">
        <v>386300</v>
      </c>
      <c r="AX61" s="21">
        <v>353800</v>
      </c>
      <c r="AY61" s="21">
        <v>216900</v>
      </c>
      <c r="AZ61" s="21">
        <v>247500</v>
      </c>
      <c r="BA61" s="21">
        <v>185900</v>
      </c>
      <c r="BB61" s="21">
        <v>138200</v>
      </c>
      <c r="BC61" s="21">
        <v>227300</v>
      </c>
      <c r="BD61" s="21">
        <v>452400</v>
      </c>
      <c r="BE61" s="21">
        <v>366200</v>
      </c>
      <c r="BF61" s="21">
        <v>244600</v>
      </c>
      <c r="BG61" s="21">
        <v>266600</v>
      </c>
      <c r="BH61" s="21">
        <v>208300</v>
      </c>
      <c r="BI61" s="21">
        <v>170900</v>
      </c>
      <c r="BJ61" s="21">
        <v>254100</v>
      </c>
      <c r="BK61" s="21">
        <v>239000</v>
      </c>
      <c r="BL61" s="21">
        <v>283700</v>
      </c>
      <c r="BM61" s="1">
        <v>437300</v>
      </c>
      <c r="BN61" s="1">
        <v>356200</v>
      </c>
      <c r="BO61" s="1">
        <v>608200</v>
      </c>
      <c r="BP61" s="1">
        <v>517400</v>
      </c>
      <c r="BQ61" s="1">
        <v>355600</v>
      </c>
      <c r="BR61" s="1">
        <v>319200</v>
      </c>
      <c r="BS61" s="1">
        <v>445700</v>
      </c>
      <c r="BT61" s="1">
        <v>229900</v>
      </c>
      <c r="BU61" s="1">
        <v>189100</v>
      </c>
      <c r="BV61" s="1">
        <v>225900</v>
      </c>
      <c r="BW61" s="1">
        <v>259800</v>
      </c>
      <c r="BX61" s="1">
        <v>258700</v>
      </c>
      <c r="BY61" s="1">
        <v>211400</v>
      </c>
      <c r="BZ61" s="1">
        <v>209600</v>
      </c>
    </row>
    <row r="62" spans="1:254" ht="15.9" customHeight="1">
      <c r="A62" s="393" t="s">
        <v>119</v>
      </c>
      <c r="B62" s="46" t="s">
        <v>120</v>
      </c>
      <c r="C62" s="50">
        <f>_xll.RssMarket("5857","出来高")</f>
        <v>1265700</v>
      </c>
      <c r="D62" s="202">
        <f t="shared" si="0"/>
        <v>0</v>
      </c>
      <c r="E62" s="200">
        <v>1265700</v>
      </c>
      <c r="F62" s="21">
        <v>1366700</v>
      </c>
      <c r="G62" s="21">
        <v>640900</v>
      </c>
      <c r="H62" s="21">
        <v>700000</v>
      </c>
      <c r="I62" s="21">
        <v>604500</v>
      </c>
      <c r="J62" s="21">
        <v>602000</v>
      </c>
      <c r="K62" s="21">
        <v>832600</v>
      </c>
      <c r="L62" s="21">
        <v>605800</v>
      </c>
      <c r="M62" s="21">
        <v>494300</v>
      </c>
      <c r="N62" s="21">
        <v>543900</v>
      </c>
      <c r="O62" s="21">
        <v>575000</v>
      </c>
      <c r="P62" s="21">
        <v>510900</v>
      </c>
      <c r="Q62" s="21">
        <v>645100</v>
      </c>
      <c r="R62" s="21">
        <v>955100</v>
      </c>
      <c r="S62" s="21">
        <v>710200</v>
      </c>
      <c r="T62" s="21">
        <v>711900</v>
      </c>
      <c r="U62" s="21">
        <v>742200</v>
      </c>
      <c r="V62" s="21">
        <v>723700</v>
      </c>
      <c r="W62" s="21">
        <v>555800</v>
      </c>
      <c r="X62" s="21">
        <v>675200</v>
      </c>
      <c r="Y62" s="21">
        <v>569700</v>
      </c>
      <c r="Z62" s="21">
        <v>490700</v>
      </c>
      <c r="AA62" s="21">
        <v>612300</v>
      </c>
      <c r="AB62" s="21">
        <v>670200</v>
      </c>
      <c r="AC62" s="21">
        <v>656200</v>
      </c>
      <c r="AD62" s="21">
        <v>638400</v>
      </c>
      <c r="AE62" s="21">
        <v>621000</v>
      </c>
      <c r="AF62" s="21">
        <v>1000700</v>
      </c>
      <c r="AG62" s="21">
        <v>1369600</v>
      </c>
      <c r="AH62" s="21">
        <v>827200</v>
      </c>
      <c r="AI62" s="21">
        <v>436200</v>
      </c>
      <c r="AJ62" s="21">
        <v>290700</v>
      </c>
      <c r="AK62" s="21">
        <v>809400</v>
      </c>
      <c r="AL62" s="21">
        <v>582400</v>
      </c>
      <c r="AM62" s="21">
        <v>574600</v>
      </c>
      <c r="AN62" s="21">
        <v>405000</v>
      </c>
      <c r="AO62" s="21">
        <v>525000</v>
      </c>
      <c r="AP62" s="21">
        <v>816600</v>
      </c>
      <c r="AQ62" s="21">
        <v>691300</v>
      </c>
      <c r="AR62" s="21">
        <v>624200</v>
      </c>
      <c r="AS62" s="21">
        <v>818900</v>
      </c>
      <c r="AT62" s="21">
        <v>498700</v>
      </c>
      <c r="AU62" s="21">
        <v>509400</v>
      </c>
      <c r="AV62" s="21">
        <v>503100</v>
      </c>
      <c r="AW62" s="21">
        <v>813800</v>
      </c>
      <c r="AX62" s="21">
        <v>957800</v>
      </c>
      <c r="AY62" s="21">
        <v>832300</v>
      </c>
      <c r="AZ62" s="21">
        <v>804600</v>
      </c>
      <c r="BA62" s="21">
        <v>668800</v>
      </c>
      <c r="BB62" s="21">
        <v>614200</v>
      </c>
      <c r="BC62" s="21">
        <v>732300</v>
      </c>
      <c r="BD62" s="21">
        <v>751000</v>
      </c>
      <c r="BE62" s="21">
        <v>477400</v>
      </c>
      <c r="BF62" s="21">
        <v>727500</v>
      </c>
      <c r="BG62" s="21">
        <v>765000</v>
      </c>
      <c r="BH62" s="21">
        <v>659100</v>
      </c>
      <c r="BI62" s="21">
        <v>749500</v>
      </c>
      <c r="BJ62" s="21">
        <v>692900</v>
      </c>
      <c r="BK62" s="21">
        <v>1011500</v>
      </c>
      <c r="BL62" s="21">
        <v>1248700</v>
      </c>
      <c r="BM62" s="1">
        <v>2068300</v>
      </c>
      <c r="BN62" s="1">
        <v>626400</v>
      </c>
      <c r="BO62" s="1">
        <v>599500</v>
      </c>
      <c r="BP62" s="1">
        <v>851400</v>
      </c>
      <c r="BQ62" s="1">
        <v>381200</v>
      </c>
      <c r="BR62" s="1">
        <v>405800</v>
      </c>
      <c r="BS62" s="1">
        <v>727500</v>
      </c>
      <c r="BT62" s="1">
        <v>709700</v>
      </c>
      <c r="BU62" s="1">
        <v>1034000</v>
      </c>
      <c r="BV62" s="1">
        <v>319500</v>
      </c>
      <c r="BW62" s="1">
        <v>353500</v>
      </c>
      <c r="BX62" s="1">
        <v>459100</v>
      </c>
      <c r="BY62" s="1">
        <v>460500</v>
      </c>
      <c r="BZ62" s="1">
        <v>311700</v>
      </c>
    </row>
    <row r="63" spans="1:254" ht="15.9" customHeight="1">
      <c r="A63" s="393" t="s">
        <v>121</v>
      </c>
      <c r="B63" s="46" t="s">
        <v>122</v>
      </c>
      <c r="C63" s="50">
        <f>_xll.RssMarket("8281","出来高")</f>
        <v>57800</v>
      </c>
      <c r="D63" s="202">
        <f t="shared" si="0"/>
        <v>0</v>
      </c>
      <c r="E63" s="200">
        <v>57800</v>
      </c>
      <c r="F63" s="21">
        <v>64400</v>
      </c>
      <c r="G63" s="21">
        <v>83700</v>
      </c>
      <c r="H63" s="21">
        <v>104200</v>
      </c>
      <c r="I63" s="21">
        <v>86200</v>
      </c>
      <c r="J63" s="21">
        <v>119700</v>
      </c>
      <c r="K63" s="21">
        <v>123200</v>
      </c>
      <c r="L63" s="21">
        <v>68400</v>
      </c>
      <c r="M63" s="21">
        <v>72800</v>
      </c>
      <c r="N63" s="21"/>
      <c r="O63" s="21">
        <v>40500</v>
      </c>
      <c r="P63" s="21">
        <v>71800</v>
      </c>
      <c r="Q63" s="21">
        <v>96800</v>
      </c>
      <c r="R63" s="21">
        <v>131500</v>
      </c>
      <c r="S63" s="21">
        <v>41900</v>
      </c>
      <c r="T63" s="21">
        <v>77000</v>
      </c>
      <c r="U63" s="21">
        <v>70000</v>
      </c>
      <c r="V63" s="21">
        <v>71100</v>
      </c>
      <c r="W63" s="21">
        <v>76300</v>
      </c>
      <c r="X63" s="21">
        <v>59400</v>
      </c>
      <c r="Y63" s="21">
        <v>133300</v>
      </c>
      <c r="Z63" s="21">
        <v>117700</v>
      </c>
      <c r="AA63" s="21">
        <v>93800</v>
      </c>
      <c r="AB63" s="21">
        <v>79100</v>
      </c>
      <c r="AC63" s="21">
        <v>58600</v>
      </c>
      <c r="AD63" s="21">
        <v>70000</v>
      </c>
      <c r="AE63" s="21">
        <v>106000</v>
      </c>
      <c r="AF63" s="21">
        <v>108500</v>
      </c>
      <c r="AG63" s="21">
        <v>63500</v>
      </c>
      <c r="AH63" s="21">
        <v>59700</v>
      </c>
      <c r="AI63" s="21">
        <v>112100</v>
      </c>
      <c r="AJ63" s="21">
        <v>74400</v>
      </c>
      <c r="AK63" s="21">
        <v>59300</v>
      </c>
      <c r="AL63" s="21">
        <v>61400</v>
      </c>
      <c r="AM63" s="21">
        <v>86700</v>
      </c>
      <c r="AN63" s="21">
        <v>100500</v>
      </c>
      <c r="AO63" s="21">
        <v>93400</v>
      </c>
      <c r="AP63" s="21">
        <v>209900</v>
      </c>
      <c r="AQ63" s="21">
        <v>66900</v>
      </c>
      <c r="AR63" s="21">
        <v>133300</v>
      </c>
      <c r="AS63" s="21">
        <v>95500</v>
      </c>
      <c r="AT63" s="21">
        <v>70300</v>
      </c>
      <c r="AU63" s="21">
        <v>94100</v>
      </c>
      <c r="AV63" s="21">
        <v>256800</v>
      </c>
      <c r="AW63" s="21">
        <v>155600</v>
      </c>
      <c r="AX63" s="21">
        <v>96000</v>
      </c>
      <c r="AY63" s="21">
        <v>76000</v>
      </c>
      <c r="AZ63" s="21">
        <v>77600</v>
      </c>
      <c r="BA63" s="21">
        <v>141100</v>
      </c>
      <c r="BB63" s="21">
        <v>84500</v>
      </c>
      <c r="BC63" s="21">
        <v>121000</v>
      </c>
      <c r="BD63" s="21">
        <v>172200</v>
      </c>
      <c r="BE63" s="21">
        <v>173700</v>
      </c>
      <c r="BF63" s="21">
        <v>243600</v>
      </c>
      <c r="BG63" s="21">
        <v>502700</v>
      </c>
      <c r="BH63" s="21">
        <v>120000</v>
      </c>
      <c r="BI63" s="21">
        <v>219100</v>
      </c>
      <c r="BJ63" s="21">
        <v>111700</v>
      </c>
      <c r="BK63" s="21">
        <v>96300</v>
      </c>
      <c r="BL63" s="21">
        <v>119900</v>
      </c>
      <c r="BM63" s="1">
        <v>344100</v>
      </c>
      <c r="BN63" s="1">
        <v>100200</v>
      </c>
      <c r="BO63" s="1">
        <v>109100</v>
      </c>
      <c r="BP63" s="1">
        <v>92400</v>
      </c>
      <c r="BQ63" s="1">
        <v>95200</v>
      </c>
      <c r="BR63" s="1">
        <v>86300</v>
      </c>
      <c r="BS63" s="1">
        <v>101400</v>
      </c>
      <c r="BT63" s="1">
        <v>108400</v>
      </c>
      <c r="BU63" s="1">
        <v>78000</v>
      </c>
      <c r="BV63" s="1">
        <v>142100</v>
      </c>
      <c r="BW63" s="1">
        <v>54100</v>
      </c>
      <c r="BX63" s="1">
        <v>78300</v>
      </c>
      <c r="BY63" s="1">
        <v>75700</v>
      </c>
      <c r="BZ63" s="1">
        <v>96600</v>
      </c>
    </row>
    <row r="64" spans="1:254" ht="15.9" customHeight="1">
      <c r="A64" s="393" t="s">
        <v>123</v>
      </c>
      <c r="B64" s="46" t="s">
        <v>124</v>
      </c>
      <c r="C64" s="50">
        <f>_xll.RssMarket("4540","出来高")</f>
        <v>521500</v>
      </c>
      <c r="D64" s="202">
        <f t="shared" si="0"/>
        <v>0</v>
      </c>
      <c r="E64" s="200">
        <v>521500</v>
      </c>
      <c r="F64" s="21">
        <v>382400</v>
      </c>
      <c r="G64" s="21">
        <v>253200</v>
      </c>
      <c r="H64" s="21">
        <v>477800</v>
      </c>
      <c r="I64" s="21">
        <v>550100</v>
      </c>
      <c r="J64" s="21">
        <v>356300</v>
      </c>
      <c r="K64" s="21">
        <v>686300</v>
      </c>
      <c r="L64" s="21">
        <v>521600</v>
      </c>
      <c r="M64" s="21">
        <v>641000</v>
      </c>
      <c r="N64" s="21">
        <v>300100</v>
      </c>
      <c r="O64" s="21">
        <v>294200</v>
      </c>
      <c r="P64" s="21">
        <v>262200</v>
      </c>
      <c r="Q64" s="21">
        <v>354900</v>
      </c>
      <c r="R64" s="21">
        <v>342800</v>
      </c>
      <c r="S64" s="21">
        <v>330000</v>
      </c>
      <c r="T64" s="21">
        <v>430500</v>
      </c>
      <c r="U64" s="21">
        <v>243500</v>
      </c>
      <c r="V64" s="21">
        <v>336400</v>
      </c>
      <c r="W64" s="21">
        <v>281100</v>
      </c>
      <c r="X64" s="21">
        <v>183900</v>
      </c>
      <c r="Y64" s="21">
        <v>396100</v>
      </c>
      <c r="Z64" s="21">
        <v>185700</v>
      </c>
      <c r="AA64" s="21">
        <v>237000</v>
      </c>
      <c r="AB64" s="21">
        <v>254000</v>
      </c>
      <c r="AC64" s="21">
        <v>328800</v>
      </c>
      <c r="AD64" s="21">
        <v>471500</v>
      </c>
      <c r="AE64" s="21">
        <v>387800</v>
      </c>
      <c r="AF64" s="21">
        <v>232200</v>
      </c>
      <c r="AG64" s="21">
        <v>343000</v>
      </c>
      <c r="AH64" s="21">
        <v>398200</v>
      </c>
      <c r="AI64" s="21">
        <v>302600</v>
      </c>
      <c r="AJ64" s="21">
        <v>218200</v>
      </c>
      <c r="AK64" s="21">
        <v>352500</v>
      </c>
      <c r="AL64" s="21">
        <v>210600</v>
      </c>
      <c r="AM64" s="21">
        <v>162100</v>
      </c>
      <c r="AN64" s="21">
        <v>254900</v>
      </c>
      <c r="AO64" s="21">
        <v>177300</v>
      </c>
      <c r="AP64" s="21">
        <v>280500</v>
      </c>
      <c r="AQ64" s="21">
        <v>189400</v>
      </c>
      <c r="AR64" s="21">
        <v>176100</v>
      </c>
      <c r="AS64" s="21">
        <v>286900</v>
      </c>
      <c r="AT64" s="21">
        <v>187500</v>
      </c>
      <c r="AU64" s="21">
        <v>211300</v>
      </c>
      <c r="AV64" s="21">
        <v>194300</v>
      </c>
      <c r="AW64" s="21">
        <v>293100</v>
      </c>
      <c r="AX64" s="21">
        <v>390700</v>
      </c>
      <c r="AY64" s="21">
        <v>334400</v>
      </c>
      <c r="AZ64" s="21">
        <v>365900</v>
      </c>
      <c r="BA64" s="21">
        <v>291400</v>
      </c>
      <c r="BB64" s="21">
        <v>302100</v>
      </c>
      <c r="BC64" s="21">
        <v>283800</v>
      </c>
      <c r="BD64" s="21">
        <v>575700</v>
      </c>
      <c r="BE64" s="21">
        <v>598300</v>
      </c>
      <c r="BF64" s="21">
        <v>408500</v>
      </c>
      <c r="BG64" s="21">
        <v>527500</v>
      </c>
      <c r="BH64" s="21">
        <v>459700</v>
      </c>
      <c r="BI64" s="21">
        <v>803800</v>
      </c>
      <c r="BJ64" s="21">
        <v>350100</v>
      </c>
      <c r="BK64" s="21">
        <v>324900</v>
      </c>
      <c r="BL64" s="21">
        <v>376300</v>
      </c>
      <c r="BM64" s="1">
        <v>355900</v>
      </c>
      <c r="BN64" s="1">
        <v>203000</v>
      </c>
      <c r="BO64" s="1">
        <v>358000</v>
      </c>
      <c r="BP64" s="1">
        <v>350500</v>
      </c>
      <c r="BQ64" s="1">
        <v>187800</v>
      </c>
      <c r="BR64" s="1">
        <v>191300</v>
      </c>
      <c r="BS64" s="1">
        <v>309600</v>
      </c>
      <c r="BT64" s="1">
        <v>397500</v>
      </c>
      <c r="BU64" s="1">
        <v>327600</v>
      </c>
      <c r="BV64" s="1">
        <v>145200</v>
      </c>
      <c r="BW64" s="1">
        <v>175800</v>
      </c>
      <c r="BX64" s="1">
        <v>176400</v>
      </c>
      <c r="BY64" s="1">
        <v>161600</v>
      </c>
      <c r="BZ64" s="1">
        <v>165100</v>
      </c>
    </row>
    <row r="65" spans="1:254" ht="15.9" customHeight="1">
      <c r="A65" s="393" t="s">
        <v>125</v>
      </c>
      <c r="B65" s="46" t="s">
        <v>126</v>
      </c>
      <c r="C65" s="50">
        <f>_xll.RssMarket("9984","出来高")</f>
        <v>46955700</v>
      </c>
      <c r="D65" s="202">
        <f t="shared" si="0"/>
        <v>0</v>
      </c>
      <c r="E65" s="200">
        <v>46955700</v>
      </c>
      <c r="F65" s="21">
        <v>59361000</v>
      </c>
      <c r="G65" s="21">
        <v>51829100</v>
      </c>
      <c r="H65" s="21">
        <v>53749700</v>
      </c>
      <c r="I65" s="21">
        <v>55655400</v>
      </c>
      <c r="J65" s="21">
        <v>55968200</v>
      </c>
      <c r="K65" s="21">
        <v>69277000</v>
      </c>
      <c r="L65" s="21">
        <v>59274300</v>
      </c>
      <c r="M65" s="21">
        <v>50264400</v>
      </c>
      <c r="N65" s="21">
        <v>43229200</v>
      </c>
      <c r="O65" s="21">
        <v>38653800</v>
      </c>
      <c r="P65" s="21">
        <v>41519000</v>
      </c>
      <c r="Q65" s="21">
        <v>51208900</v>
      </c>
      <c r="R65" s="21">
        <v>70204200</v>
      </c>
      <c r="S65" s="21">
        <v>47455200</v>
      </c>
      <c r="T65" s="21">
        <v>62130200</v>
      </c>
      <c r="U65" s="21">
        <v>47113500</v>
      </c>
      <c r="V65" s="21">
        <v>72262000</v>
      </c>
      <c r="W65" s="21">
        <v>41571500</v>
      </c>
      <c r="X65" s="21">
        <v>41852300</v>
      </c>
      <c r="Y65" s="21">
        <v>45979200</v>
      </c>
      <c r="Z65" s="21">
        <v>33669700</v>
      </c>
      <c r="AA65" s="21">
        <v>52377700</v>
      </c>
      <c r="AB65" s="21">
        <v>73627900</v>
      </c>
      <c r="AC65" s="21">
        <v>40040700</v>
      </c>
      <c r="AD65" s="21">
        <v>59812900</v>
      </c>
      <c r="AE65" s="21">
        <v>61184900</v>
      </c>
      <c r="AF65" s="21">
        <v>71837400</v>
      </c>
      <c r="AG65" s="21">
        <v>83407000</v>
      </c>
      <c r="AH65" s="21">
        <v>45870800</v>
      </c>
      <c r="AI65" s="21">
        <v>52827500</v>
      </c>
      <c r="AJ65" s="21">
        <v>44993100</v>
      </c>
      <c r="AK65" s="21">
        <v>79507100</v>
      </c>
      <c r="AL65" s="21">
        <v>64308700</v>
      </c>
      <c r="AM65" s="21">
        <v>48833800</v>
      </c>
      <c r="AN65" s="21">
        <v>61595400</v>
      </c>
      <c r="AO65" s="21">
        <v>71003100</v>
      </c>
      <c r="AP65" s="21">
        <v>75320600</v>
      </c>
      <c r="AQ65" s="21">
        <v>65531700</v>
      </c>
      <c r="AR65" s="21">
        <v>65333800</v>
      </c>
      <c r="AS65" s="21">
        <v>64167800</v>
      </c>
      <c r="AT65" s="21">
        <v>62899400</v>
      </c>
      <c r="AU65" s="21">
        <v>76525600</v>
      </c>
      <c r="AV65" s="21">
        <v>73007300</v>
      </c>
      <c r="AW65" s="21">
        <v>132031000</v>
      </c>
      <c r="AX65" s="21">
        <v>81180100</v>
      </c>
      <c r="AY65" s="21">
        <v>79058300</v>
      </c>
      <c r="AZ65" s="21">
        <v>103217400</v>
      </c>
      <c r="BA65" s="21">
        <v>91615400</v>
      </c>
      <c r="BB65" s="21">
        <v>103280800</v>
      </c>
      <c r="BC65" s="21">
        <v>73094900</v>
      </c>
      <c r="BD65" s="21">
        <v>71784000</v>
      </c>
      <c r="BE65" s="21">
        <v>53762700</v>
      </c>
      <c r="BF65" s="21">
        <v>48158000</v>
      </c>
      <c r="BG65" s="21">
        <v>69924000</v>
      </c>
      <c r="BH65" s="21">
        <v>69800200</v>
      </c>
      <c r="BI65" s="21">
        <v>46400500</v>
      </c>
      <c r="BJ65" s="21">
        <v>57247600</v>
      </c>
      <c r="BK65" s="21">
        <v>83351500</v>
      </c>
      <c r="BL65" s="21">
        <v>80654100</v>
      </c>
      <c r="BM65" s="1">
        <v>119003600</v>
      </c>
      <c r="BN65" s="1">
        <v>72065400</v>
      </c>
      <c r="BO65" s="1">
        <v>101484400</v>
      </c>
      <c r="BP65" s="1">
        <v>97208200</v>
      </c>
      <c r="BQ65" s="1">
        <v>99651700</v>
      </c>
      <c r="BR65" s="1">
        <v>87686800</v>
      </c>
      <c r="BS65" s="1">
        <v>136536800</v>
      </c>
      <c r="BT65" s="1">
        <v>154144000</v>
      </c>
      <c r="BU65" s="1">
        <v>96285800</v>
      </c>
      <c r="BV65" s="1">
        <v>60475300</v>
      </c>
      <c r="BW65" s="1">
        <v>47876600</v>
      </c>
      <c r="BX65" s="1">
        <v>95147700</v>
      </c>
      <c r="BY65" s="1">
        <v>91516800</v>
      </c>
      <c r="BZ65" s="1">
        <v>93692500</v>
      </c>
    </row>
    <row r="66" spans="1:254" ht="15.9" customHeight="1">
      <c r="A66" s="393" t="s">
        <v>127</v>
      </c>
      <c r="B66" s="46" t="s">
        <v>877</v>
      </c>
      <c r="C66" s="50">
        <f>_xll.RssMarket("4063","出来高")</f>
        <v>6777500</v>
      </c>
      <c r="D66" s="202">
        <f t="shared" si="0"/>
        <v>0</v>
      </c>
      <c r="E66" s="200">
        <v>6777500</v>
      </c>
      <c r="F66" s="21">
        <v>8860900</v>
      </c>
      <c r="G66" s="21">
        <v>6864900</v>
      </c>
      <c r="H66" s="21">
        <v>9143400</v>
      </c>
      <c r="I66" s="21">
        <v>18785700</v>
      </c>
      <c r="J66" s="21">
        <v>10102300</v>
      </c>
      <c r="K66" s="21">
        <v>12006700</v>
      </c>
      <c r="L66" s="21">
        <v>15490100</v>
      </c>
      <c r="M66" s="21">
        <v>14869000</v>
      </c>
      <c r="N66" s="21">
        <v>7678900</v>
      </c>
      <c r="O66" s="21">
        <v>8507400</v>
      </c>
      <c r="P66" s="21">
        <v>6291800</v>
      </c>
      <c r="Q66" s="21">
        <v>5261900</v>
      </c>
      <c r="R66" s="21">
        <v>7502200</v>
      </c>
      <c r="S66" s="21">
        <v>6309000</v>
      </c>
      <c r="T66" s="21">
        <v>5958400</v>
      </c>
      <c r="U66" s="21">
        <v>8068800</v>
      </c>
      <c r="V66" s="21">
        <v>8345700</v>
      </c>
      <c r="W66" s="21">
        <v>6080200</v>
      </c>
      <c r="X66" s="21">
        <v>6562800</v>
      </c>
      <c r="Y66" s="21">
        <v>7655100</v>
      </c>
      <c r="Z66" s="21">
        <v>11929500</v>
      </c>
      <c r="AA66" s="21">
        <v>6711900</v>
      </c>
      <c r="AB66" s="21">
        <v>7304400</v>
      </c>
      <c r="AC66" s="21">
        <v>9180400</v>
      </c>
      <c r="AD66" s="21">
        <v>5376100</v>
      </c>
      <c r="AE66" s="21">
        <v>5772100</v>
      </c>
      <c r="AF66" s="21">
        <v>8927500</v>
      </c>
      <c r="AG66" s="21">
        <v>5954800</v>
      </c>
      <c r="AH66" s="21">
        <v>6914900</v>
      </c>
      <c r="AI66" s="21">
        <v>8613500</v>
      </c>
      <c r="AJ66" s="21">
        <v>7060600</v>
      </c>
      <c r="AK66" s="21">
        <v>8258600</v>
      </c>
      <c r="AL66" s="21">
        <v>6479100</v>
      </c>
      <c r="AM66" s="21">
        <v>4866300</v>
      </c>
      <c r="AN66" s="21">
        <v>5285700</v>
      </c>
      <c r="AO66" s="21">
        <v>6699500</v>
      </c>
      <c r="AP66" s="21">
        <v>9888800</v>
      </c>
      <c r="AQ66" s="21">
        <v>8104400</v>
      </c>
      <c r="AR66" s="21">
        <v>7626000</v>
      </c>
      <c r="AS66" s="21">
        <v>7427500</v>
      </c>
      <c r="AT66" s="21">
        <v>6100000</v>
      </c>
      <c r="AU66" s="21">
        <v>6730800</v>
      </c>
      <c r="AV66" s="21">
        <v>8189400</v>
      </c>
      <c r="AW66" s="21">
        <v>8746700</v>
      </c>
      <c r="AX66" s="21">
        <v>15831800</v>
      </c>
      <c r="AY66" s="21">
        <v>7618800</v>
      </c>
      <c r="AZ66" s="21">
        <v>11120800</v>
      </c>
      <c r="BA66" s="21">
        <v>7333900</v>
      </c>
      <c r="BB66" s="21">
        <v>7917200</v>
      </c>
      <c r="BC66" s="21">
        <v>6503700</v>
      </c>
      <c r="BD66" s="21">
        <v>5117500</v>
      </c>
      <c r="BE66" s="21">
        <v>5504100</v>
      </c>
      <c r="BF66" s="21">
        <v>5254300</v>
      </c>
      <c r="BG66" s="21">
        <v>7528300</v>
      </c>
      <c r="BH66" s="21">
        <v>6194100</v>
      </c>
      <c r="BI66" s="21">
        <v>6777500</v>
      </c>
      <c r="BJ66" s="21">
        <v>5350500</v>
      </c>
      <c r="BK66" s="21">
        <v>8717000</v>
      </c>
      <c r="BL66" s="21">
        <v>10411800</v>
      </c>
      <c r="BM66" s="1">
        <v>16438600</v>
      </c>
      <c r="BN66" s="1">
        <v>8745000</v>
      </c>
      <c r="BO66" s="1">
        <v>17278400</v>
      </c>
      <c r="BP66" s="1">
        <v>8604800</v>
      </c>
      <c r="BQ66" s="1">
        <v>8365900</v>
      </c>
      <c r="BR66" s="1">
        <v>5016200</v>
      </c>
      <c r="BS66" s="1">
        <v>5907500</v>
      </c>
      <c r="BT66" s="1">
        <v>6503000</v>
      </c>
      <c r="BU66" s="1">
        <v>8190200</v>
      </c>
      <c r="BV66" s="1">
        <v>9389000</v>
      </c>
      <c r="BW66" s="1">
        <v>8437800</v>
      </c>
      <c r="BX66" s="1">
        <v>8265500</v>
      </c>
      <c r="BY66" s="1">
        <v>10556400</v>
      </c>
      <c r="BZ66" s="1">
        <v>6472300</v>
      </c>
    </row>
    <row r="67" spans="1:254" ht="15.9" customHeight="1">
      <c r="A67" s="393" t="s">
        <v>129</v>
      </c>
      <c r="B67" s="46" t="s">
        <v>130</v>
      </c>
      <c r="C67" s="50">
        <f>_xll.RssMarket("4536","出来高")</f>
        <v>903500</v>
      </c>
      <c r="D67" s="202">
        <f t="shared" si="0"/>
        <v>0</v>
      </c>
      <c r="E67" s="200">
        <v>903500</v>
      </c>
      <c r="F67" s="21">
        <v>700700</v>
      </c>
      <c r="G67" s="21">
        <v>926200</v>
      </c>
      <c r="H67" s="21">
        <v>1050400</v>
      </c>
      <c r="I67" s="21">
        <v>1465900</v>
      </c>
      <c r="J67" s="21">
        <v>1306900</v>
      </c>
      <c r="K67" s="21">
        <v>1591300</v>
      </c>
      <c r="L67" s="21">
        <v>1009900</v>
      </c>
      <c r="M67" s="21">
        <v>1008300</v>
      </c>
      <c r="N67" s="21"/>
      <c r="O67" s="21">
        <v>1441200</v>
      </c>
      <c r="P67" s="21">
        <v>1054100</v>
      </c>
      <c r="Q67" s="21">
        <v>1430000</v>
      </c>
      <c r="R67" s="21">
        <v>1340700</v>
      </c>
      <c r="S67" s="21">
        <v>910700</v>
      </c>
      <c r="T67" s="21">
        <v>1072800</v>
      </c>
      <c r="U67" s="21">
        <v>1347800</v>
      </c>
      <c r="V67" s="21">
        <v>987000</v>
      </c>
      <c r="W67" s="21">
        <v>1160600</v>
      </c>
      <c r="X67" s="21">
        <v>1522600</v>
      </c>
      <c r="Y67" s="21">
        <v>1491200</v>
      </c>
      <c r="Z67" s="21">
        <v>1037200</v>
      </c>
      <c r="AA67" s="21">
        <v>1266000</v>
      </c>
      <c r="AB67" s="21">
        <v>1047300</v>
      </c>
      <c r="AC67" s="21">
        <v>914000</v>
      </c>
      <c r="AD67" s="21">
        <v>1515800</v>
      </c>
      <c r="AE67" s="21">
        <v>1753500</v>
      </c>
      <c r="AF67" s="21">
        <v>1418000</v>
      </c>
      <c r="AG67" s="21">
        <v>2119400</v>
      </c>
      <c r="AH67" s="21">
        <v>1500200</v>
      </c>
      <c r="AI67" s="21">
        <v>1453400</v>
      </c>
      <c r="AJ67" s="21">
        <v>882000</v>
      </c>
      <c r="AK67" s="21">
        <v>1511700</v>
      </c>
      <c r="AL67" s="21">
        <v>672700</v>
      </c>
      <c r="AM67" s="21">
        <v>896900</v>
      </c>
      <c r="AN67" s="21">
        <v>867000</v>
      </c>
      <c r="AO67" s="21">
        <v>908700</v>
      </c>
      <c r="AP67" s="21">
        <v>1152400</v>
      </c>
      <c r="AQ67" s="21">
        <v>1201100</v>
      </c>
      <c r="AR67" s="21">
        <v>983900</v>
      </c>
      <c r="AS67" s="21">
        <v>1478800</v>
      </c>
      <c r="AT67" s="21">
        <v>1254200</v>
      </c>
      <c r="AU67" s="21">
        <v>926800</v>
      </c>
      <c r="AV67" s="21">
        <v>1012600</v>
      </c>
      <c r="AW67" s="21">
        <v>939300</v>
      </c>
      <c r="AX67" s="21">
        <v>1092300</v>
      </c>
      <c r="AY67" s="21">
        <v>1216000</v>
      </c>
      <c r="AZ67" s="21">
        <v>1167900</v>
      </c>
      <c r="BA67" s="21">
        <v>1113800</v>
      </c>
      <c r="BB67" s="21">
        <v>968500</v>
      </c>
      <c r="BC67" s="21">
        <v>1160000</v>
      </c>
      <c r="BD67" s="21">
        <v>1325500</v>
      </c>
      <c r="BE67" s="21">
        <v>1340400</v>
      </c>
      <c r="BF67" s="21">
        <v>951700</v>
      </c>
      <c r="BG67" s="21">
        <v>1531000</v>
      </c>
      <c r="BH67" s="21">
        <v>2302000</v>
      </c>
      <c r="BI67" s="21">
        <v>3528600</v>
      </c>
      <c r="BJ67" s="21">
        <v>1607900</v>
      </c>
      <c r="BK67" s="21">
        <v>1070900</v>
      </c>
      <c r="BL67" s="21">
        <v>1155800</v>
      </c>
      <c r="BM67" s="1">
        <v>1152500</v>
      </c>
      <c r="BN67" s="1">
        <v>792700</v>
      </c>
      <c r="BO67" s="1">
        <v>979500</v>
      </c>
      <c r="BP67" s="1">
        <v>656000</v>
      </c>
      <c r="BQ67" s="1">
        <v>569400</v>
      </c>
      <c r="BR67" s="1">
        <v>804600</v>
      </c>
      <c r="BS67" s="1">
        <v>713500</v>
      </c>
      <c r="BT67" s="1">
        <v>903300</v>
      </c>
      <c r="BU67" s="1">
        <v>676700</v>
      </c>
      <c r="BV67" s="1">
        <v>690900</v>
      </c>
      <c r="BW67" s="1">
        <v>973800</v>
      </c>
      <c r="BX67" s="1">
        <v>836400</v>
      </c>
      <c r="BY67" s="1">
        <v>781600</v>
      </c>
      <c r="BZ67" s="1">
        <v>1024700</v>
      </c>
    </row>
    <row r="68" spans="1:254" ht="15.9" customHeight="1">
      <c r="A68" s="393" t="s">
        <v>131</v>
      </c>
      <c r="B68" s="46" t="s">
        <v>132</v>
      </c>
      <c r="C68" s="50">
        <f>_xll.RssMarket("6503","出来高")</f>
        <v>7307800</v>
      </c>
      <c r="D68" s="202">
        <f t="shared" si="0"/>
        <v>0</v>
      </c>
      <c r="E68" s="200">
        <v>7307800</v>
      </c>
      <c r="F68" s="21">
        <v>6634100</v>
      </c>
      <c r="G68" s="21">
        <v>7340000</v>
      </c>
      <c r="H68" s="21">
        <v>13219500</v>
      </c>
      <c r="I68" s="21">
        <v>10558100</v>
      </c>
      <c r="J68" s="21">
        <v>8047800</v>
      </c>
      <c r="K68" s="21">
        <v>8659200</v>
      </c>
      <c r="L68" s="21">
        <v>6391900</v>
      </c>
      <c r="M68" s="21">
        <v>5310700</v>
      </c>
      <c r="N68" s="21">
        <v>3355200</v>
      </c>
      <c r="O68" s="21">
        <v>4022600</v>
      </c>
      <c r="P68" s="21">
        <v>5262700</v>
      </c>
      <c r="Q68" s="21">
        <v>6347000</v>
      </c>
      <c r="R68" s="21">
        <v>7417200</v>
      </c>
      <c r="S68" s="21">
        <v>4745000</v>
      </c>
      <c r="T68" s="21">
        <v>5256900</v>
      </c>
      <c r="U68" s="21">
        <v>4924600</v>
      </c>
      <c r="V68" s="21">
        <v>3949600</v>
      </c>
      <c r="W68" s="21">
        <v>3365800</v>
      </c>
      <c r="X68" s="21">
        <v>6314100</v>
      </c>
      <c r="Y68" s="21">
        <v>5447100</v>
      </c>
      <c r="Z68" s="21">
        <v>4086700</v>
      </c>
      <c r="AA68" s="21">
        <v>4126300</v>
      </c>
      <c r="AB68" s="21">
        <v>5264200</v>
      </c>
      <c r="AC68" s="21">
        <v>5406300</v>
      </c>
      <c r="AD68" s="21">
        <v>4773000</v>
      </c>
      <c r="AE68" s="21">
        <v>5025400</v>
      </c>
      <c r="AF68" s="21">
        <v>4893500</v>
      </c>
      <c r="AG68" s="21">
        <v>5408200</v>
      </c>
      <c r="AH68" s="21">
        <v>6046300</v>
      </c>
      <c r="AI68" s="21">
        <v>6378500</v>
      </c>
      <c r="AJ68" s="21">
        <v>4105900</v>
      </c>
      <c r="AK68" s="21">
        <v>6589200</v>
      </c>
      <c r="AL68" s="21">
        <v>6755700</v>
      </c>
      <c r="AM68" s="21">
        <v>4255000</v>
      </c>
      <c r="AN68" s="21">
        <v>6728200</v>
      </c>
      <c r="AO68" s="21">
        <v>6107400</v>
      </c>
      <c r="AP68" s="21">
        <v>8209700</v>
      </c>
      <c r="AQ68" s="21">
        <v>7318500</v>
      </c>
      <c r="AR68" s="21">
        <v>9152600</v>
      </c>
      <c r="AS68" s="21">
        <v>7398800</v>
      </c>
      <c r="AT68" s="21">
        <v>5707800</v>
      </c>
      <c r="AU68" s="21">
        <v>6699000</v>
      </c>
      <c r="AV68" s="21">
        <v>5455800</v>
      </c>
      <c r="AW68" s="21">
        <v>9193900</v>
      </c>
      <c r="AX68" s="21">
        <v>14852400</v>
      </c>
      <c r="AY68" s="21">
        <v>7953400</v>
      </c>
      <c r="AZ68" s="21">
        <v>5960900</v>
      </c>
      <c r="BA68" s="21">
        <v>5608300</v>
      </c>
      <c r="BB68" s="21">
        <v>6834800</v>
      </c>
      <c r="BC68" s="21">
        <v>8500900</v>
      </c>
      <c r="BD68" s="21">
        <v>10679400</v>
      </c>
      <c r="BE68" s="21">
        <v>9166700</v>
      </c>
      <c r="BF68" s="21">
        <v>6997100</v>
      </c>
      <c r="BG68" s="21">
        <v>8906700</v>
      </c>
      <c r="BH68" s="21">
        <v>6838400</v>
      </c>
      <c r="BI68" s="21">
        <v>4512200</v>
      </c>
      <c r="BJ68" s="21">
        <v>5642700</v>
      </c>
      <c r="BK68" s="21">
        <v>7418200</v>
      </c>
      <c r="BL68" s="21">
        <v>8585500</v>
      </c>
      <c r="BM68" s="1">
        <v>12043300</v>
      </c>
      <c r="BN68" s="1">
        <v>6295700</v>
      </c>
      <c r="BO68" s="1">
        <v>13025200</v>
      </c>
      <c r="BP68" s="1">
        <v>9526000</v>
      </c>
      <c r="BQ68" s="1">
        <v>7729900</v>
      </c>
      <c r="BR68" s="1">
        <v>4219000</v>
      </c>
      <c r="BS68" s="1">
        <v>7685300</v>
      </c>
      <c r="BT68" s="1">
        <v>4450800</v>
      </c>
      <c r="BU68" s="1">
        <v>5315200</v>
      </c>
      <c r="BV68" s="1">
        <v>5914100</v>
      </c>
      <c r="BW68" s="1">
        <v>5511200</v>
      </c>
      <c r="BX68" s="1">
        <v>4956600</v>
      </c>
      <c r="BY68" s="1">
        <v>5117500</v>
      </c>
      <c r="BZ68" s="1">
        <v>5422000</v>
      </c>
    </row>
    <row r="69" spans="1:254" ht="15.9" customHeight="1">
      <c r="A69" s="393" t="s">
        <v>133</v>
      </c>
      <c r="B69" s="46" t="s">
        <v>134</v>
      </c>
      <c r="C69" s="50">
        <f>_xll.RssMarket("4980","出来高")</f>
        <v>3146400</v>
      </c>
      <c r="D69" s="202">
        <f t="shared" si="0"/>
        <v>0</v>
      </c>
      <c r="E69" s="200">
        <v>3146400</v>
      </c>
      <c r="F69" s="21">
        <v>4552500</v>
      </c>
      <c r="G69" s="21">
        <v>2460800</v>
      </c>
      <c r="H69" s="21">
        <v>1558200</v>
      </c>
      <c r="I69" s="21">
        <v>2843400</v>
      </c>
      <c r="J69" s="21">
        <v>2196400</v>
      </c>
      <c r="K69" s="21">
        <v>2174100</v>
      </c>
      <c r="L69" s="21">
        <v>1501700</v>
      </c>
      <c r="M69" s="21">
        <v>1279000</v>
      </c>
      <c r="N69" s="21">
        <v>1141100</v>
      </c>
      <c r="O69" s="21">
        <v>1089100</v>
      </c>
      <c r="P69" s="21">
        <v>1309400</v>
      </c>
      <c r="Q69" s="21">
        <v>1421400</v>
      </c>
      <c r="R69" s="21">
        <v>2530900</v>
      </c>
      <c r="S69" s="21">
        <v>1000700</v>
      </c>
      <c r="T69" s="21">
        <v>1006000</v>
      </c>
      <c r="U69" s="21">
        <v>1070700</v>
      </c>
      <c r="V69" s="21">
        <v>1659700</v>
      </c>
      <c r="W69" s="21">
        <v>1251100</v>
      </c>
      <c r="X69" s="21">
        <v>1672400</v>
      </c>
      <c r="Y69" s="21">
        <v>1985800</v>
      </c>
      <c r="Z69" s="21">
        <v>1976600</v>
      </c>
      <c r="AA69" s="21">
        <v>2429300</v>
      </c>
      <c r="AB69" s="21">
        <v>1906700</v>
      </c>
      <c r="AC69" s="21">
        <v>2246000</v>
      </c>
      <c r="AD69" s="21">
        <v>2846400</v>
      </c>
      <c r="AE69" s="21">
        <v>2781300</v>
      </c>
      <c r="AF69" s="21">
        <v>4572400</v>
      </c>
      <c r="AG69" s="21">
        <v>2584200</v>
      </c>
      <c r="AH69" s="21">
        <v>3371000</v>
      </c>
      <c r="AI69" s="21">
        <v>2340200</v>
      </c>
      <c r="AJ69" s="21">
        <v>1976600</v>
      </c>
      <c r="AK69" s="21">
        <v>3421300</v>
      </c>
      <c r="AL69" s="21">
        <v>1855000</v>
      </c>
      <c r="AM69" s="21">
        <v>2442300</v>
      </c>
      <c r="AN69" s="21">
        <v>2858100</v>
      </c>
      <c r="AO69" s="21">
        <v>2043600</v>
      </c>
      <c r="AP69" s="21">
        <v>2617000</v>
      </c>
      <c r="AQ69" s="21">
        <v>2593300</v>
      </c>
      <c r="AR69" s="21">
        <v>2935000</v>
      </c>
      <c r="AS69" s="21">
        <v>2851100</v>
      </c>
      <c r="AT69" s="21">
        <v>1894400</v>
      </c>
      <c r="AU69" s="21">
        <v>1851000</v>
      </c>
      <c r="AV69" s="21">
        <v>4259700</v>
      </c>
      <c r="AW69" s="21">
        <v>3075500</v>
      </c>
      <c r="AX69" s="21">
        <v>2230100</v>
      </c>
      <c r="AY69" s="21">
        <v>2659800</v>
      </c>
      <c r="AZ69" s="21">
        <v>2510200</v>
      </c>
      <c r="BA69" s="21">
        <v>2788600</v>
      </c>
      <c r="BB69" s="21">
        <v>3090200</v>
      </c>
      <c r="BC69" s="21">
        <v>5139000</v>
      </c>
      <c r="BD69" s="21">
        <v>9140000</v>
      </c>
      <c r="BE69" s="21">
        <v>6417700</v>
      </c>
      <c r="BF69" s="21">
        <v>12340900</v>
      </c>
      <c r="BG69" s="21">
        <v>1252400</v>
      </c>
      <c r="BH69" s="21">
        <v>668100</v>
      </c>
      <c r="BI69" s="21">
        <v>2317200</v>
      </c>
      <c r="BJ69" s="21">
        <v>1701300</v>
      </c>
      <c r="BK69" s="21">
        <v>2406700</v>
      </c>
      <c r="BL69" s="21">
        <v>1970800</v>
      </c>
      <c r="BM69" s="1">
        <v>2383900</v>
      </c>
      <c r="BN69" s="1">
        <v>913500</v>
      </c>
      <c r="BO69" s="1">
        <v>1292500</v>
      </c>
      <c r="BP69" s="1">
        <v>1300000</v>
      </c>
      <c r="BQ69" s="1">
        <v>1811000</v>
      </c>
      <c r="BR69" s="1">
        <v>1050800</v>
      </c>
      <c r="BS69" s="1">
        <v>1253500</v>
      </c>
      <c r="BT69" s="1">
        <v>901700</v>
      </c>
      <c r="BU69" s="1">
        <v>1155000</v>
      </c>
      <c r="BV69" s="1">
        <v>1718300</v>
      </c>
      <c r="BW69" s="1">
        <v>1680200</v>
      </c>
      <c r="BX69" s="1">
        <v>1446600</v>
      </c>
      <c r="BY69" s="1">
        <v>1129100</v>
      </c>
      <c r="BZ69" s="1">
        <v>1543300</v>
      </c>
    </row>
    <row r="70" spans="1:254" ht="15.9" customHeight="1">
      <c r="A70" s="393" t="s">
        <v>135</v>
      </c>
      <c r="B70" s="46" t="s">
        <v>136</v>
      </c>
      <c r="C70" s="50">
        <f>_xll.RssMarket("9424","出来高")</f>
        <v>2428600</v>
      </c>
      <c r="D70" s="202">
        <f t="shared" ref="D70:D133" si="1">C70-E70</f>
        <v>0</v>
      </c>
      <c r="E70" s="200">
        <v>2428600</v>
      </c>
      <c r="F70" s="21">
        <v>1466700</v>
      </c>
      <c r="G70" s="21">
        <v>821800</v>
      </c>
      <c r="H70" s="21">
        <v>1571000</v>
      </c>
      <c r="I70" s="21">
        <v>1264000</v>
      </c>
      <c r="J70" s="21">
        <v>1549200</v>
      </c>
      <c r="K70" s="21">
        <v>2400400</v>
      </c>
      <c r="L70" s="21">
        <v>1105400</v>
      </c>
      <c r="M70" s="21">
        <v>1102800</v>
      </c>
      <c r="N70" s="21"/>
      <c r="O70" s="21">
        <v>1295800</v>
      </c>
      <c r="P70" s="21">
        <v>1417900</v>
      </c>
      <c r="Q70" s="21">
        <v>1399000</v>
      </c>
      <c r="R70" s="21">
        <v>1312900</v>
      </c>
      <c r="S70" s="21">
        <v>790500</v>
      </c>
      <c r="T70" s="21">
        <v>1359600</v>
      </c>
      <c r="U70" s="21">
        <v>1233800</v>
      </c>
      <c r="V70" s="21">
        <v>1712200</v>
      </c>
      <c r="W70" s="21">
        <v>798800</v>
      </c>
      <c r="X70" s="21">
        <v>912300</v>
      </c>
      <c r="Y70" s="21">
        <v>621200</v>
      </c>
      <c r="Z70" s="21">
        <v>1613600</v>
      </c>
      <c r="AA70" s="21">
        <v>2402500</v>
      </c>
      <c r="AB70" s="21">
        <v>2365100</v>
      </c>
      <c r="AC70" s="21">
        <v>2037600</v>
      </c>
      <c r="AD70" s="21">
        <v>2047600</v>
      </c>
      <c r="AE70" s="21">
        <v>1505500</v>
      </c>
      <c r="AF70" s="21">
        <v>1183800</v>
      </c>
      <c r="AG70" s="21">
        <v>1454200</v>
      </c>
      <c r="AH70" s="21">
        <v>1801300</v>
      </c>
      <c r="AI70" s="21">
        <v>3392500</v>
      </c>
      <c r="AJ70" s="21">
        <v>1083000</v>
      </c>
      <c r="AK70" s="21">
        <v>935800</v>
      </c>
      <c r="AL70" s="21">
        <v>1636500</v>
      </c>
      <c r="AM70" s="21">
        <v>1549700</v>
      </c>
      <c r="AN70" s="21">
        <v>1243700</v>
      </c>
      <c r="AO70" s="21">
        <v>1854200</v>
      </c>
      <c r="AP70" s="21">
        <v>1948100</v>
      </c>
      <c r="AQ70" s="21">
        <v>1954300</v>
      </c>
      <c r="AR70" s="21">
        <v>1847900</v>
      </c>
      <c r="AS70" s="21">
        <v>2346400</v>
      </c>
      <c r="AT70" s="21">
        <v>1967500</v>
      </c>
      <c r="AU70" s="21">
        <v>2191100</v>
      </c>
      <c r="AV70" s="21">
        <v>1802700</v>
      </c>
      <c r="AW70" s="21">
        <v>2161300</v>
      </c>
      <c r="AX70" s="21">
        <v>1861400</v>
      </c>
      <c r="AY70" s="21">
        <v>1968100</v>
      </c>
      <c r="AZ70" s="21">
        <v>3788900</v>
      </c>
      <c r="BA70" s="21">
        <v>3766700</v>
      </c>
      <c r="BB70" s="21">
        <v>2547800</v>
      </c>
      <c r="BC70" s="21">
        <v>2954700</v>
      </c>
      <c r="BD70" s="21">
        <v>2232000</v>
      </c>
      <c r="BE70" s="21">
        <v>2186300</v>
      </c>
      <c r="BF70" s="21">
        <v>2907700</v>
      </c>
      <c r="BG70" s="21">
        <v>1185600</v>
      </c>
      <c r="BH70" s="21">
        <v>1363600</v>
      </c>
      <c r="BI70" s="21">
        <v>1561100</v>
      </c>
      <c r="BJ70" s="21">
        <v>1656500</v>
      </c>
      <c r="BK70" s="21">
        <v>2645300</v>
      </c>
      <c r="BL70" s="21">
        <v>5397500</v>
      </c>
      <c r="BM70" s="1">
        <v>2114500</v>
      </c>
      <c r="BN70" s="1">
        <v>1516900</v>
      </c>
      <c r="BO70" s="1">
        <v>1300000</v>
      </c>
      <c r="BP70" s="1">
        <v>2124800</v>
      </c>
      <c r="BQ70" s="1">
        <v>1221400</v>
      </c>
      <c r="BR70" s="1">
        <v>1689400</v>
      </c>
      <c r="BS70" s="1">
        <v>3172000</v>
      </c>
      <c r="BT70" s="1">
        <v>1378300</v>
      </c>
      <c r="BU70" s="1">
        <v>1356700</v>
      </c>
      <c r="BV70" s="1">
        <v>1442900</v>
      </c>
      <c r="BW70" s="1">
        <v>1703700</v>
      </c>
      <c r="BX70" s="1">
        <v>1137600</v>
      </c>
      <c r="BY70" s="1">
        <v>3070100</v>
      </c>
      <c r="BZ70" s="1">
        <v>1134400</v>
      </c>
    </row>
    <row r="71" spans="1:254" ht="15.9" customHeight="1">
      <c r="A71" s="393" t="s">
        <v>137</v>
      </c>
      <c r="B71" s="46" t="s">
        <v>138</v>
      </c>
      <c r="C71" s="50">
        <f>_xll.RssMarket("3854","出来高")</f>
        <v>64500</v>
      </c>
      <c r="D71" s="202">
        <f t="shared" si="1"/>
        <v>0</v>
      </c>
      <c r="E71" s="200">
        <v>64500</v>
      </c>
      <c r="F71" s="21">
        <v>60100</v>
      </c>
      <c r="G71" s="21">
        <v>77000</v>
      </c>
      <c r="H71" s="21">
        <v>94000</v>
      </c>
      <c r="I71" s="21">
        <v>99300</v>
      </c>
      <c r="J71" s="21">
        <v>149400</v>
      </c>
      <c r="K71" s="21">
        <v>181100</v>
      </c>
      <c r="L71" s="21">
        <v>119300</v>
      </c>
      <c r="M71" s="21">
        <v>99100</v>
      </c>
      <c r="N71" s="21">
        <v>97500</v>
      </c>
      <c r="O71" s="21">
        <v>58600</v>
      </c>
      <c r="P71" s="21">
        <v>76200</v>
      </c>
      <c r="Q71" s="21">
        <v>69400</v>
      </c>
      <c r="R71" s="21">
        <v>76900</v>
      </c>
      <c r="S71" s="21">
        <v>93600</v>
      </c>
      <c r="T71" s="21">
        <v>65300</v>
      </c>
      <c r="U71" s="21">
        <v>78100</v>
      </c>
      <c r="V71" s="21">
        <v>60700</v>
      </c>
      <c r="W71" s="21">
        <v>62600</v>
      </c>
      <c r="X71" s="21">
        <v>156900</v>
      </c>
      <c r="Y71" s="21">
        <v>165900</v>
      </c>
      <c r="Z71" s="21">
        <v>60100</v>
      </c>
      <c r="AA71" s="21">
        <v>90900</v>
      </c>
      <c r="AB71" s="21">
        <v>110400</v>
      </c>
      <c r="AC71" s="21">
        <v>52200</v>
      </c>
      <c r="AD71" s="21">
        <v>61800</v>
      </c>
      <c r="AE71" s="21">
        <v>91400</v>
      </c>
      <c r="AF71" s="21">
        <v>62100</v>
      </c>
      <c r="AG71" s="21">
        <v>87500</v>
      </c>
      <c r="AH71" s="21">
        <v>73300</v>
      </c>
      <c r="AI71" s="21">
        <v>66900</v>
      </c>
      <c r="AJ71" s="21">
        <v>79000</v>
      </c>
      <c r="AK71" s="21">
        <v>78400</v>
      </c>
      <c r="AL71" s="21">
        <v>54800</v>
      </c>
      <c r="AM71" s="21">
        <v>125700</v>
      </c>
      <c r="AN71" s="21">
        <v>71600</v>
      </c>
      <c r="AO71" s="21">
        <v>112900</v>
      </c>
      <c r="AP71" s="21">
        <v>152200</v>
      </c>
      <c r="AQ71" s="21">
        <v>112200</v>
      </c>
      <c r="AR71" s="21">
        <v>88700</v>
      </c>
      <c r="AS71" s="21">
        <v>217500</v>
      </c>
      <c r="AT71" s="21">
        <v>105100</v>
      </c>
      <c r="AU71" s="21">
        <v>100800</v>
      </c>
      <c r="AV71" s="21">
        <v>102300</v>
      </c>
      <c r="AW71" s="21">
        <v>66600</v>
      </c>
      <c r="AX71" s="21">
        <v>97200</v>
      </c>
      <c r="AY71" s="21">
        <v>98400</v>
      </c>
      <c r="AZ71" s="21">
        <v>45900</v>
      </c>
      <c r="BA71" s="21">
        <v>114200</v>
      </c>
      <c r="BB71" s="21">
        <v>87600</v>
      </c>
      <c r="BC71" s="21">
        <v>49400</v>
      </c>
      <c r="BD71" s="21">
        <v>65200</v>
      </c>
      <c r="BE71" s="21">
        <v>52500</v>
      </c>
      <c r="BF71" s="21">
        <v>75300</v>
      </c>
      <c r="BG71" s="21">
        <v>41300</v>
      </c>
      <c r="BH71" s="21">
        <v>50900</v>
      </c>
      <c r="BI71" s="21">
        <v>36300</v>
      </c>
      <c r="BJ71" s="21">
        <v>47700</v>
      </c>
      <c r="BK71" s="21">
        <v>49000</v>
      </c>
      <c r="BL71" s="21">
        <v>71600</v>
      </c>
      <c r="BM71" s="1">
        <v>51300</v>
      </c>
      <c r="BN71" s="1">
        <v>57300</v>
      </c>
      <c r="BO71" s="1">
        <v>75700</v>
      </c>
      <c r="BP71" s="1">
        <v>182200</v>
      </c>
      <c r="BQ71" s="1">
        <v>52000</v>
      </c>
      <c r="BR71" s="1">
        <v>46600</v>
      </c>
      <c r="BS71" s="1">
        <v>62800</v>
      </c>
      <c r="BT71" s="1">
        <v>55600</v>
      </c>
      <c r="BU71" s="1">
        <v>52600</v>
      </c>
      <c r="BV71" s="1">
        <v>56400</v>
      </c>
      <c r="BW71" s="1">
        <v>66600</v>
      </c>
      <c r="BX71" s="1">
        <v>50400</v>
      </c>
      <c r="BY71" s="1">
        <v>54300</v>
      </c>
      <c r="BZ71" s="1">
        <v>46600</v>
      </c>
    </row>
    <row r="72" spans="1:254" ht="15.9" customHeight="1">
      <c r="A72" s="393" t="s">
        <v>139</v>
      </c>
      <c r="B72" s="46" t="s">
        <v>140</v>
      </c>
      <c r="C72" s="50">
        <f>_xll.RssMarket("6027","出来高")</f>
        <v>60500</v>
      </c>
      <c r="D72" s="202">
        <f t="shared" si="1"/>
        <v>0</v>
      </c>
      <c r="E72" s="200">
        <v>60500</v>
      </c>
      <c r="F72" s="21">
        <v>49800</v>
      </c>
      <c r="G72" s="21">
        <v>51100</v>
      </c>
      <c r="H72" s="21">
        <v>48900</v>
      </c>
      <c r="I72" s="21">
        <v>39200</v>
      </c>
      <c r="J72" s="21">
        <v>75500</v>
      </c>
      <c r="K72" s="21">
        <v>120500</v>
      </c>
      <c r="L72" s="21">
        <v>82100</v>
      </c>
      <c r="M72" s="21">
        <v>92800</v>
      </c>
      <c r="N72" s="21">
        <v>69400</v>
      </c>
      <c r="O72" s="21">
        <v>81600</v>
      </c>
      <c r="P72" s="21">
        <v>47900</v>
      </c>
      <c r="Q72" s="21">
        <v>59100</v>
      </c>
      <c r="R72" s="21">
        <v>118800</v>
      </c>
      <c r="S72" s="21">
        <v>21400</v>
      </c>
      <c r="T72" s="21">
        <v>88100</v>
      </c>
      <c r="U72" s="21">
        <v>28500</v>
      </c>
      <c r="V72" s="21">
        <v>64500</v>
      </c>
      <c r="W72" s="21">
        <v>62500</v>
      </c>
      <c r="X72" s="21">
        <v>42000</v>
      </c>
      <c r="Y72" s="21">
        <v>38100</v>
      </c>
      <c r="Z72" s="21">
        <v>44200</v>
      </c>
      <c r="AA72" s="21">
        <v>77700</v>
      </c>
      <c r="AB72" s="21">
        <v>162300</v>
      </c>
      <c r="AC72" s="21">
        <v>168800</v>
      </c>
      <c r="AD72" s="21">
        <v>68400</v>
      </c>
      <c r="AE72" s="21">
        <v>165100</v>
      </c>
      <c r="AF72" s="21">
        <v>78000</v>
      </c>
      <c r="AG72" s="21">
        <v>208300</v>
      </c>
      <c r="AH72" s="21">
        <v>82300</v>
      </c>
      <c r="AI72" s="21">
        <v>138100</v>
      </c>
      <c r="AJ72" s="21">
        <v>86400</v>
      </c>
      <c r="AK72" s="21">
        <v>104700</v>
      </c>
      <c r="AL72" s="21">
        <v>80500</v>
      </c>
      <c r="AM72" s="21">
        <v>110400</v>
      </c>
      <c r="AN72" s="21">
        <v>91300</v>
      </c>
      <c r="AO72" s="21">
        <v>164500</v>
      </c>
      <c r="AP72" s="21">
        <v>115300</v>
      </c>
      <c r="AQ72" s="21">
        <v>99100</v>
      </c>
      <c r="AR72" s="21">
        <v>89100</v>
      </c>
      <c r="AS72" s="21">
        <v>104500</v>
      </c>
      <c r="AT72" s="21">
        <v>80900</v>
      </c>
      <c r="AU72" s="21">
        <v>106700</v>
      </c>
      <c r="AV72" s="21">
        <v>114200</v>
      </c>
      <c r="AW72" s="21">
        <v>119200</v>
      </c>
      <c r="AX72" s="21">
        <v>67700</v>
      </c>
      <c r="AY72" s="21">
        <v>98800</v>
      </c>
      <c r="AZ72" s="21">
        <v>101400</v>
      </c>
      <c r="BA72" s="21">
        <v>84400</v>
      </c>
      <c r="BB72" s="21">
        <v>68500</v>
      </c>
      <c r="BC72" s="21">
        <v>42600</v>
      </c>
      <c r="BD72" s="21">
        <v>119700</v>
      </c>
      <c r="BE72" s="21">
        <v>101500</v>
      </c>
      <c r="BF72" s="21">
        <v>160200</v>
      </c>
      <c r="BG72" s="21">
        <v>147300</v>
      </c>
      <c r="BH72" s="21">
        <v>202000</v>
      </c>
      <c r="BI72" s="21">
        <v>113900</v>
      </c>
      <c r="BJ72" s="21">
        <v>49300</v>
      </c>
      <c r="BK72" s="21">
        <v>77300</v>
      </c>
      <c r="BL72" s="21">
        <v>88300</v>
      </c>
      <c r="BM72" s="1">
        <v>105900</v>
      </c>
      <c r="BN72" s="1">
        <v>51000</v>
      </c>
      <c r="BO72" s="1">
        <v>45300</v>
      </c>
      <c r="BP72" s="1">
        <v>258800</v>
      </c>
      <c r="BQ72" s="1">
        <v>142000</v>
      </c>
      <c r="BR72" s="1">
        <v>87600</v>
      </c>
      <c r="BS72" s="1">
        <v>51900</v>
      </c>
      <c r="BT72" s="1">
        <v>60300</v>
      </c>
      <c r="BU72" s="1">
        <v>51000</v>
      </c>
      <c r="BV72" s="1">
        <v>55400</v>
      </c>
      <c r="BW72" s="1">
        <v>106900</v>
      </c>
      <c r="BX72" s="1">
        <v>137700</v>
      </c>
      <c r="BY72" s="1">
        <v>161500</v>
      </c>
      <c r="BZ72" s="1">
        <v>108800</v>
      </c>
    </row>
    <row r="73" spans="1:254" ht="15.9" customHeight="1">
      <c r="A73" s="393" t="s">
        <v>141</v>
      </c>
      <c r="B73" s="46" t="s">
        <v>142</v>
      </c>
      <c r="C73" s="50">
        <f>_xll.RssMarket("7806","出来高")</f>
        <v>273500</v>
      </c>
      <c r="D73" s="202">
        <f t="shared" si="1"/>
        <v>0</v>
      </c>
      <c r="E73" s="200">
        <v>273500</v>
      </c>
      <c r="F73" s="21">
        <v>407200</v>
      </c>
      <c r="G73" s="21">
        <v>194600</v>
      </c>
      <c r="H73" s="21">
        <v>105800</v>
      </c>
      <c r="I73" s="21">
        <v>133800</v>
      </c>
      <c r="J73" s="21">
        <v>105700</v>
      </c>
      <c r="K73" s="21">
        <v>158500</v>
      </c>
      <c r="L73" s="21">
        <v>62600</v>
      </c>
      <c r="M73" s="21">
        <v>89900</v>
      </c>
      <c r="N73" s="21">
        <v>71500</v>
      </c>
      <c r="O73" s="21">
        <v>90300</v>
      </c>
      <c r="P73" s="21">
        <v>74400</v>
      </c>
      <c r="Q73" s="21">
        <v>122700</v>
      </c>
      <c r="R73" s="21">
        <v>183900</v>
      </c>
      <c r="S73" s="21">
        <v>126000</v>
      </c>
      <c r="T73" s="21">
        <v>82000</v>
      </c>
      <c r="U73" s="21">
        <v>136700</v>
      </c>
      <c r="V73" s="21">
        <v>128000</v>
      </c>
      <c r="W73" s="21">
        <v>183900</v>
      </c>
      <c r="X73" s="21">
        <v>79600</v>
      </c>
      <c r="Y73" s="21">
        <v>59500</v>
      </c>
      <c r="Z73" s="21">
        <v>68300</v>
      </c>
      <c r="AA73" s="21">
        <v>218100</v>
      </c>
      <c r="AB73" s="21">
        <v>135400</v>
      </c>
      <c r="AC73" s="21">
        <v>92900</v>
      </c>
      <c r="AD73" s="21">
        <v>104500</v>
      </c>
      <c r="AE73" s="21">
        <v>75800</v>
      </c>
      <c r="AF73" s="21">
        <v>103500</v>
      </c>
      <c r="AG73" s="21">
        <v>64600</v>
      </c>
      <c r="AH73" s="21">
        <v>56600</v>
      </c>
      <c r="AI73" s="21">
        <v>105700</v>
      </c>
      <c r="AJ73" s="21">
        <v>70600</v>
      </c>
      <c r="AK73" s="21">
        <v>100700</v>
      </c>
      <c r="AL73" s="21">
        <v>149800</v>
      </c>
      <c r="AM73" s="21">
        <v>101100</v>
      </c>
      <c r="AN73" s="21">
        <v>70700</v>
      </c>
      <c r="AO73" s="21">
        <v>81300</v>
      </c>
      <c r="AP73" s="21">
        <v>76100</v>
      </c>
      <c r="AQ73" s="21">
        <v>123300</v>
      </c>
      <c r="AR73" s="21">
        <v>81800</v>
      </c>
      <c r="AS73" s="21">
        <v>94500</v>
      </c>
      <c r="AT73" s="21">
        <v>98400</v>
      </c>
      <c r="AU73" s="21">
        <v>179500</v>
      </c>
      <c r="AV73" s="21">
        <v>148300</v>
      </c>
      <c r="AW73" s="21">
        <v>138500</v>
      </c>
      <c r="AX73" s="21">
        <v>187100</v>
      </c>
      <c r="AY73" s="21">
        <v>210800</v>
      </c>
      <c r="AZ73" s="21">
        <v>159600</v>
      </c>
      <c r="BA73" s="21">
        <v>93500</v>
      </c>
      <c r="BB73" s="21">
        <v>116000</v>
      </c>
      <c r="BC73" s="21">
        <v>78400</v>
      </c>
      <c r="BD73" s="21">
        <v>143600</v>
      </c>
      <c r="BE73" s="21">
        <v>172400</v>
      </c>
      <c r="BF73" s="21">
        <v>156700</v>
      </c>
      <c r="BG73" s="21">
        <v>202300</v>
      </c>
      <c r="BH73" s="21">
        <v>335000</v>
      </c>
      <c r="BI73" s="21">
        <v>335500</v>
      </c>
      <c r="BJ73" s="21">
        <v>641700</v>
      </c>
      <c r="BK73" s="21">
        <v>261500</v>
      </c>
      <c r="BL73" s="21">
        <v>99300</v>
      </c>
      <c r="BM73" s="1">
        <v>173800</v>
      </c>
      <c r="BN73" s="1">
        <v>124500</v>
      </c>
      <c r="BO73" s="1">
        <v>114900</v>
      </c>
      <c r="BP73" s="1">
        <v>76700</v>
      </c>
      <c r="BQ73" s="1">
        <v>127600</v>
      </c>
      <c r="BR73" s="1">
        <v>86300</v>
      </c>
      <c r="BS73" s="1">
        <v>110000</v>
      </c>
      <c r="BT73" s="1">
        <v>92900</v>
      </c>
      <c r="BU73" s="1">
        <v>105000</v>
      </c>
      <c r="BV73" s="1">
        <v>100600</v>
      </c>
      <c r="BW73" s="1">
        <v>142100</v>
      </c>
      <c r="BX73" s="1">
        <v>76500</v>
      </c>
      <c r="BY73" s="1">
        <v>145900</v>
      </c>
      <c r="BZ73" s="1">
        <v>97600</v>
      </c>
    </row>
    <row r="74" spans="1:254" ht="15.9" customHeight="1">
      <c r="A74" s="393" t="s">
        <v>143</v>
      </c>
      <c r="B74" s="46" t="s">
        <v>144</v>
      </c>
      <c r="C74" s="50">
        <f>_xll.RssMarket("9202","出来高")</f>
        <v>1596700</v>
      </c>
      <c r="D74" s="202">
        <f t="shared" si="1"/>
        <v>0</v>
      </c>
      <c r="E74" s="200">
        <v>1596700</v>
      </c>
      <c r="F74" s="21">
        <v>2622500</v>
      </c>
      <c r="G74" s="21">
        <v>2092200</v>
      </c>
      <c r="H74" s="21">
        <v>3654300</v>
      </c>
      <c r="I74" s="21">
        <v>2619100</v>
      </c>
      <c r="J74" s="21">
        <v>4941700</v>
      </c>
      <c r="K74" s="21">
        <v>5156500</v>
      </c>
      <c r="L74" s="21">
        <v>3154200</v>
      </c>
      <c r="M74" s="21">
        <v>3338700</v>
      </c>
      <c r="N74" s="21">
        <v>3206700</v>
      </c>
      <c r="O74" s="21">
        <v>1582500</v>
      </c>
      <c r="P74" s="21">
        <v>2043300</v>
      </c>
      <c r="Q74" s="21">
        <v>2052300</v>
      </c>
      <c r="R74" s="21">
        <v>2452800</v>
      </c>
      <c r="S74" s="21">
        <v>1720800</v>
      </c>
      <c r="T74" s="21">
        <v>1735200</v>
      </c>
      <c r="U74" s="21">
        <v>1879000</v>
      </c>
      <c r="V74" s="21">
        <v>2260600</v>
      </c>
      <c r="W74" s="21">
        <v>2203800</v>
      </c>
      <c r="X74" s="21">
        <v>2751000</v>
      </c>
      <c r="Y74" s="21">
        <v>2295600</v>
      </c>
      <c r="Z74" s="21">
        <v>2507700</v>
      </c>
      <c r="AA74" s="21">
        <v>3278800</v>
      </c>
      <c r="AB74" s="21">
        <v>4148400</v>
      </c>
      <c r="AC74" s="21">
        <v>2241000</v>
      </c>
      <c r="AD74" s="21">
        <v>1849700</v>
      </c>
      <c r="AE74" s="21">
        <v>1782400</v>
      </c>
      <c r="AF74" s="21">
        <v>1851300</v>
      </c>
      <c r="AG74" s="21">
        <v>2005300</v>
      </c>
      <c r="AH74" s="21">
        <v>1973900</v>
      </c>
      <c r="AI74" s="21">
        <v>2569500</v>
      </c>
      <c r="AJ74" s="21">
        <v>2308900</v>
      </c>
      <c r="AK74" s="21">
        <v>2725600</v>
      </c>
      <c r="AL74" s="21">
        <v>1930700</v>
      </c>
      <c r="AM74" s="21">
        <v>2230900</v>
      </c>
      <c r="AN74" s="21">
        <v>2985100</v>
      </c>
      <c r="AO74" s="21">
        <v>4307400</v>
      </c>
      <c r="AP74" s="21">
        <v>3164000</v>
      </c>
      <c r="AQ74" s="21">
        <v>2135800</v>
      </c>
      <c r="AR74" s="21">
        <v>2158900</v>
      </c>
      <c r="AS74" s="21">
        <v>2434400</v>
      </c>
      <c r="AT74" s="21">
        <v>2216800</v>
      </c>
      <c r="AU74" s="21">
        <v>2215600</v>
      </c>
      <c r="AV74" s="21">
        <v>1983200</v>
      </c>
      <c r="AW74" s="21">
        <v>3201700</v>
      </c>
      <c r="AX74" s="21">
        <v>5406800</v>
      </c>
      <c r="AY74" s="21">
        <v>2120400</v>
      </c>
      <c r="AZ74" s="21">
        <v>2501400</v>
      </c>
      <c r="BA74" s="21">
        <v>3620800</v>
      </c>
      <c r="BB74" s="21">
        <v>2126500</v>
      </c>
      <c r="BC74" s="21">
        <v>2315200</v>
      </c>
      <c r="BD74" s="21">
        <v>2264400</v>
      </c>
      <c r="BE74" s="21">
        <v>2421000</v>
      </c>
      <c r="BF74" s="21">
        <v>2950300</v>
      </c>
      <c r="BG74" s="21">
        <v>2781900</v>
      </c>
      <c r="BH74" s="21">
        <v>2105800</v>
      </c>
      <c r="BI74" s="21">
        <v>2618100</v>
      </c>
      <c r="BJ74" s="21">
        <v>2907100</v>
      </c>
      <c r="BK74" s="21">
        <v>3306500</v>
      </c>
      <c r="BL74" s="21">
        <v>4390900</v>
      </c>
      <c r="BM74" s="1">
        <v>7110200</v>
      </c>
      <c r="BN74" s="1">
        <v>4982900</v>
      </c>
      <c r="BO74" s="1">
        <v>5649400</v>
      </c>
      <c r="BP74" s="1">
        <v>5415500</v>
      </c>
      <c r="BQ74" s="1">
        <v>3159100</v>
      </c>
      <c r="BR74" s="1">
        <v>3437600</v>
      </c>
      <c r="BS74" s="1">
        <v>5078700</v>
      </c>
      <c r="BT74" s="1">
        <v>2943400</v>
      </c>
      <c r="BU74" s="1">
        <v>2482900</v>
      </c>
      <c r="BV74" s="1">
        <v>2734200</v>
      </c>
      <c r="BW74" s="1">
        <v>3397600</v>
      </c>
      <c r="BX74" s="1">
        <v>2877400</v>
      </c>
      <c r="BY74" s="1">
        <v>3416900</v>
      </c>
      <c r="BZ74" s="1">
        <v>1974800</v>
      </c>
    </row>
    <row r="75" spans="1:254" ht="15.9" customHeight="1">
      <c r="A75" s="393" t="s">
        <v>145</v>
      </c>
      <c r="B75" s="46" t="s">
        <v>146</v>
      </c>
      <c r="C75" s="50">
        <f>_xll.RssMarket("7846","出来高")</f>
        <v>248900</v>
      </c>
      <c r="D75" s="202">
        <f t="shared" si="1"/>
        <v>0</v>
      </c>
      <c r="E75" s="200">
        <v>248900</v>
      </c>
      <c r="F75" s="21">
        <v>209300</v>
      </c>
      <c r="G75" s="21">
        <v>193400</v>
      </c>
      <c r="H75" s="21">
        <v>192000</v>
      </c>
      <c r="I75" s="21">
        <v>265900</v>
      </c>
      <c r="J75" s="21">
        <v>241600</v>
      </c>
      <c r="K75" s="21">
        <v>221800</v>
      </c>
      <c r="L75" s="21">
        <v>168400</v>
      </c>
      <c r="M75" s="21">
        <v>159200</v>
      </c>
      <c r="N75" s="21">
        <v>159900</v>
      </c>
      <c r="O75" s="21">
        <v>139600</v>
      </c>
      <c r="P75" s="21">
        <v>206100</v>
      </c>
      <c r="Q75" s="21">
        <v>185700</v>
      </c>
      <c r="R75" s="21">
        <v>161600</v>
      </c>
      <c r="S75" s="21">
        <v>178700</v>
      </c>
      <c r="T75" s="21">
        <v>195200</v>
      </c>
      <c r="U75" s="21">
        <v>195600</v>
      </c>
      <c r="V75" s="21">
        <v>190400</v>
      </c>
      <c r="W75" s="21">
        <v>228900</v>
      </c>
      <c r="X75" s="21">
        <v>206300</v>
      </c>
      <c r="Y75" s="21">
        <v>212200</v>
      </c>
      <c r="Z75" s="21">
        <v>212900</v>
      </c>
      <c r="AA75" s="21">
        <v>206300</v>
      </c>
      <c r="AB75" s="21">
        <v>265500</v>
      </c>
      <c r="AC75" s="21">
        <v>218700</v>
      </c>
      <c r="AD75" s="21">
        <v>304100</v>
      </c>
      <c r="AE75" s="21">
        <v>283500</v>
      </c>
      <c r="AF75" s="21">
        <v>94300</v>
      </c>
      <c r="AG75" s="21">
        <v>89900</v>
      </c>
      <c r="AH75" s="21">
        <v>66000</v>
      </c>
      <c r="AI75" s="21">
        <v>83200</v>
      </c>
      <c r="AJ75" s="21">
        <v>63800</v>
      </c>
      <c r="AK75" s="21">
        <v>115500</v>
      </c>
      <c r="AL75" s="21">
        <v>84600</v>
      </c>
      <c r="AM75" s="21">
        <v>66000</v>
      </c>
      <c r="AN75" s="21">
        <v>67200</v>
      </c>
      <c r="AO75" s="21">
        <v>54000</v>
      </c>
      <c r="AP75" s="21">
        <v>95600</v>
      </c>
      <c r="AQ75" s="21">
        <v>61900</v>
      </c>
      <c r="AR75" s="21">
        <v>67800</v>
      </c>
      <c r="AS75" s="21">
        <v>101800</v>
      </c>
      <c r="AT75" s="21">
        <v>52500</v>
      </c>
      <c r="AU75" s="21">
        <v>80500</v>
      </c>
      <c r="AV75" s="21">
        <v>66300</v>
      </c>
      <c r="AW75" s="21">
        <v>75200</v>
      </c>
      <c r="AX75" s="21">
        <v>118300</v>
      </c>
      <c r="AY75" s="21">
        <v>82900</v>
      </c>
      <c r="AZ75" s="21">
        <v>82500</v>
      </c>
      <c r="BA75" s="21">
        <v>109800</v>
      </c>
      <c r="BB75" s="21">
        <v>91700</v>
      </c>
      <c r="BC75" s="21">
        <v>95700</v>
      </c>
      <c r="BD75" s="21">
        <v>148800</v>
      </c>
      <c r="BE75" s="21">
        <v>106900</v>
      </c>
      <c r="BF75" s="21">
        <v>89200</v>
      </c>
      <c r="BG75" s="21">
        <v>97400</v>
      </c>
      <c r="BH75" s="21">
        <v>75900</v>
      </c>
      <c r="BI75" s="21">
        <v>88800</v>
      </c>
      <c r="BJ75" s="21">
        <v>164300</v>
      </c>
      <c r="BK75" s="21">
        <v>111600</v>
      </c>
      <c r="BL75" s="21">
        <v>99700</v>
      </c>
      <c r="BM75" s="1">
        <v>94300</v>
      </c>
      <c r="BN75" s="1">
        <v>93200</v>
      </c>
      <c r="BO75" s="1">
        <v>136700</v>
      </c>
      <c r="BP75" s="1">
        <v>294400</v>
      </c>
      <c r="BQ75" s="1">
        <v>85900</v>
      </c>
      <c r="BR75" s="1">
        <v>119500</v>
      </c>
      <c r="BS75" s="1">
        <v>104500</v>
      </c>
      <c r="BT75" s="1">
        <v>67400</v>
      </c>
      <c r="BU75" s="1">
        <v>94900</v>
      </c>
      <c r="BV75" s="1">
        <v>73200</v>
      </c>
      <c r="BW75" s="1">
        <v>73800</v>
      </c>
      <c r="BX75" s="1">
        <v>73400</v>
      </c>
      <c r="BY75" s="1">
        <v>87900</v>
      </c>
      <c r="BZ75" s="1">
        <v>70200</v>
      </c>
    </row>
    <row r="76" spans="1:254" ht="15.9" customHeight="1">
      <c r="A76" s="393" t="s">
        <v>147</v>
      </c>
      <c r="B76" s="46" t="s">
        <v>148</v>
      </c>
      <c r="C76" s="50">
        <f>_xll.RssMarket("2802","出来高")</f>
        <v>5499400</v>
      </c>
      <c r="D76" s="202">
        <f t="shared" si="1"/>
        <v>0</v>
      </c>
      <c r="E76" s="200">
        <v>5499400</v>
      </c>
      <c r="F76" s="21">
        <v>6316000</v>
      </c>
      <c r="G76" s="21">
        <v>3217000</v>
      </c>
      <c r="H76" s="21">
        <v>3457300</v>
      </c>
      <c r="I76" s="21">
        <v>6792600</v>
      </c>
      <c r="J76" s="21">
        <v>3380100</v>
      </c>
      <c r="K76" s="21">
        <v>5208900</v>
      </c>
      <c r="L76" s="21">
        <v>5081400</v>
      </c>
      <c r="M76" s="21">
        <v>3261500</v>
      </c>
      <c r="N76" s="21">
        <v>3313400</v>
      </c>
      <c r="O76" s="21">
        <v>3647900</v>
      </c>
      <c r="P76" s="21">
        <v>3917200</v>
      </c>
      <c r="Q76" s="21">
        <v>3521400</v>
      </c>
      <c r="R76" s="21">
        <v>4971500</v>
      </c>
      <c r="S76" s="21">
        <v>2345400</v>
      </c>
      <c r="T76" s="21">
        <v>2829000</v>
      </c>
      <c r="U76" s="21">
        <v>3241400</v>
      </c>
      <c r="V76" s="21">
        <v>3796900</v>
      </c>
      <c r="W76" s="21">
        <v>3484700</v>
      </c>
      <c r="X76" s="21">
        <v>4481500</v>
      </c>
      <c r="Y76" s="21">
        <v>4052300</v>
      </c>
      <c r="Z76" s="21">
        <v>3818600</v>
      </c>
      <c r="AA76" s="21">
        <v>3851300</v>
      </c>
      <c r="AB76" s="21">
        <v>5376600</v>
      </c>
      <c r="AC76" s="21">
        <v>6849800</v>
      </c>
      <c r="AD76" s="21">
        <v>3929700</v>
      </c>
      <c r="AE76" s="21">
        <v>3094100</v>
      </c>
      <c r="AF76" s="21">
        <v>4592800</v>
      </c>
      <c r="AG76" s="21">
        <v>4071800</v>
      </c>
      <c r="AH76" s="21">
        <v>5228800</v>
      </c>
      <c r="AI76" s="21">
        <v>6481900</v>
      </c>
      <c r="AJ76" s="21">
        <v>7787100</v>
      </c>
      <c r="AK76" s="21">
        <v>9507900</v>
      </c>
      <c r="AL76" s="21">
        <v>11123900</v>
      </c>
      <c r="AM76" s="21">
        <v>7021300</v>
      </c>
      <c r="AN76" s="21">
        <v>3452600</v>
      </c>
      <c r="AO76" s="21">
        <v>5178500</v>
      </c>
      <c r="AP76" s="21">
        <v>7566800</v>
      </c>
      <c r="AQ76" s="21">
        <v>9098500</v>
      </c>
      <c r="AR76" s="21">
        <v>3146800</v>
      </c>
      <c r="AS76" s="21">
        <v>5597000</v>
      </c>
      <c r="AT76" s="21">
        <v>4289000</v>
      </c>
      <c r="AU76" s="21">
        <v>3057000</v>
      </c>
      <c r="AV76" s="21">
        <v>3504900</v>
      </c>
      <c r="AW76" s="21">
        <v>4996400</v>
      </c>
      <c r="AX76" s="21">
        <v>9185600</v>
      </c>
      <c r="AY76" s="21">
        <v>4114000</v>
      </c>
      <c r="AZ76" s="21">
        <v>3869800</v>
      </c>
      <c r="BA76" s="21">
        <v>5159900</v>
      </c>
      <c r="BB76" s="21">
        <v>3827500</v>
      </c>
      <c r="BC76" s="21">
        <v>5087100</v>
      </c>
      <c r="BD76" s="21">
        <v>4275700</v>
      </c>
      <c r="BE76" s="21">
        <v>4920400</v>
      </c>
      <c r="BF76" s="21">
        <v>4332700</v>
      </c>
      <c r="BG76" s="21">
        <v>4499600</v>
      </c>
      <c r="BH76" s="21">
        <v>5720800</v>
      </c>
      <c r="BI76" s="21">
        <v>4630900</v>
      </c>
      <c r="BJ76" s="21">
        <v>7590600</v>
      </c>
      <c r="BK76" s="21">
        <v>12969600</v>
      </c>
      <c r="BL76" s="21">
        <v>10223100</v>
      </c>
      <c r="BM76" s="1">
        <v>10744000</v>
      </c>
      <c r="BN76" s="1">
        <v>3912900</v>
      </c>
      <c r="BO76" s="1">
        <v>7469200</v>
      </c>
      <c r="BP76" s="1">
        <v>2409700</v>
      </c>
      <c r="BQ76" s="1">
        <v>3147200</v>
      </c>
      <c r="BR76" s="1">
        <v>4191800</v>
      </c>
      <c r="BS76" s="1">
        <v>3034700</v>
      </c>
      <c r="BT76" s="1">
        <v>2492000</v>
      </c>
      <c r="BU76" s="1">
        <v>3564700</v>
      </c>
      <c r="BV76" s="1">
        <v>2451100</v>
      </c>
      <c r="BW76" s="1">
        <v>1922800</v>
      </c>
      <c r="BX76" s="1">
        <v>2181900</v>
      </c>
      <c r="BY76" s="1">
        <v>2250300</v>
      </c>
      <c r="BZ76" s="1">
        <v>2515800</v>
      </c>
    </row>
    <row r="77" spans="1:254" ht="15.9" customHeight="1">
      <c r="A77" s="393" t="s">
        <v>149</v>
      </c>
      <c r="B77" s="46" t="s">
        <v>150</v>
      </c>
      <c r="C77" s="50">
        <f>_xll.RssMarket("7203","出来高")</f>
        <v>31969900</v>
      </c>
      <c r="D77" s="202">
        <f t="shared" si="1"/>
        <v>0</v>
      </c>
      <c r="E77" s="200">
        <v>31969900</v>
      </c>
      <c r="F77" s="21">
        <v>48003400</v>
      </c>
      <c r="G77" s="21">
        <v>70011500</v>
      </c>
      <c r="H77" s="21">
        <v>43659400</v>
      </c>
      <c r="I77" s="21">
        <v>37342500</v>
      </c>
      <c r="J77" s="21">
        <v>102087800</v>
      </c>
      <c r="K77" s="21">
        <v>61406300</v>
      </c>
      <c r="L77" s="21">
        <v>30618100</v>
      </c>
      <c r="M77" s="21">
        <v>26894200</v>
      </c>
      <c r="N77" s="21">
        <v>23007200</v>
      </c>
      <c r="O77" s="21">
        <v>24503500</v>
      </c>
      <c r="P77" s="21">
        <v>24733500</v>
      </c>
      <c r="Q77" s="21">
        <v>31065300</v>
      </c>
      <c r="R77" s="21">
        <v>35779500</v>
      </c>
      <c r="S77" s="21">
        <v>21157100</v>
      </c>
      <c r="T77" s="21">
        <v>20459300</v>
      </c>
      <c r="U77" s="21">
        <v>19932600</v>
      </c>
      <c r="V77" s="21">
        <v>26668000</v>
      </c>
      <c r="W77" s="21">
        <v>24949800</v>
      </c>
      <c r="X77" s="21">
        <v>28465700</v>
      </c>
      <c r="Y77" s="21">
        <v>36408300</v>
      </c>
      <c r="Z77" s="21">
        <v>26728000</v>
      </c>
      <c r="AA77" s="21">
        <v>23428700</v>
      </c>
      <c r="AB77" s="21">
        <v>30358500</v>
      </c>
      <c r="AC77" s="21">
        <v>21882700</v>
      </c>
      <c r="AD77" s="21">
        <v>32958300</v>
      </c>
      <c r="AE77" s="21">
        <v>31780500</v>
      </c>
      <c r="AF77" s="21">
        <v>32537200</v>
      </c>
      <c r="AG77" s="21">
        <v>20706600</v>
      </c>
      <c r="AH77" s="21">
        <v>25725300</v>
      </c>
      <c r="AI77" s="21">
        <v>22693000</v>
      </c>
      <c r="AJ77" s="21">
        <v>22063700</v>
      </c>
      <c r="AK77" s="21">
        <v>28789700</v>
      </c>
      <c r="AL77" s="21">
        <v>27620900</v>
      </c>
      <c r="AM77" s="21">
        <v>26726100</v>
      </c>
      <c r="AN77" s="21">
        <v>20615100</v>
      </c>
      <c r="AO77" s="21">
        <v>29688600</v>
      </c>
      <c r="AP77" s="21">
        <v>29442600</v>
      </c>
      <c r="AQ77" s="21">
        <v>27541100</v>
      </c>
      <c r="AR77" s="21">
        <v>25839700</v>
      </c>
      <c r="AS77" s="21">
        <v>30734900</v>
      </c>
      <c r="AT77" s="21">
        <v>18955400</v>
      </c>
      <c r="AU77" s="21">
        <v>19751600</v>
      </c>
      <c r="AV77" s="21">
        <v>27875500</v>
      </c>
      <c r="AW77" s="21">
        <v>37933000</v>
      </c>
      <c r="AX77" s="21">
        <v>39820000</v>
      </c>
      <c r="AY77" s="21">
        <v>25312200</v>
      </c>
      <c r="AZ77" s="21">
        <v>17980500</v>
      </c>
      <c r="BA77" s="21">
        <v>22249700</v>
      </c>
      <c r="BB77" s="21">
        <v>16498800</v>
      </c>
      <c r="BC77" s="21">
        <v>21798100</v>
      </c>
      <c r="BD77" s="21">
        <v>26030500</v>
      </c>
      <c r="BE77" s="21">
        <v>23002200</v>
      </c>
      <c r="BF77" s="21">
        <v>30946400</v>
      </c>
      <c r="BG77" s="21">
        <v>43178700</v>
      </c>
      <c r="BH77" s="21">
        <v>31564100</v>
      </c>
      <c r="BI77" s="21">
        <v>29534100</v>
      </c>
      <c r="BJ77" s="21">
        <v>29055900</v>
      </c>
      <c r="BK77" s="21">
        <v>43038000</v>
      </c>
      <c r="BL77" s="21">
        <v>75083900</v>
      </c>
      <c r="BM77" s="1">
        <v>37816000</v>
      </c>
      <c r="BN77" s="1">
        <v>21904100</v>
      </c>
      <c r="BO77" s="1">
        <v>32130400</v>
      </c>
      <c r="BP77" s="1">
        <v>21920800</v>
      </c>
      <c r="BQ77" s="1">
        <v>19390900</v>
      </c>
      <c r="BR77" s="1">
        <v>22659400</v>
      </c>
      <c r="BS77" s="1">
        <v>23206300</v>
      </c>
      <c r="BT77" s="1">
        <v>20463800</v>
      </c>
      <c r="BU77" s="1">
        <v>19345300</v>
      </c>
      <c r="BV77" s="1">
        <v>14589600</v>
      </c>
      <c r="BW77" s="1">
        <v>14251500</v>
      </c>
      <c r="BX77" s="1">
        <v>20154600</v>
      </c>
      <c r="BY77" s="1">
        <v>20317000</v>
      </c>
      <c r="BZ77" s="1">
        <v>15920200</v>
      </c>
    </row>
    <row r="78" spans="1:254" ht="15.9" customHeight="1">
      <c r="A78" s="393" t="s">
        <v>151</v>
      </c>
      <c r="B78" s="46" t="s">
        <v>152</v>
      </c>
      <c r="C78" s="50">
        <f>_xll.RssMarket("6954","出来高")</f>
        <v>6885700</v>
      </c>
      <c r="D78" s="202">
        <f t="shared" si="1"/>
        <v>0</v>
      </c>
      <c r="E78" s="200">
        <v>6885700</v>
      </c>
      <c r="F78" s="21">
        <v>8569100</v>
      </c>
      <c r="G78" s="21">
        <v>11268600</v>
      </c>
      <c r="H78" s="21">
        <v>21706000</v>
      </c>
      <c r="I78" s="21">
        <v>9476000</v>
      </c>
      <c r="J78" s="21">
        <v>7958800</v>
      </c>
      <c r="K78" s="21">
        <v>9585200</v>
      </c>
      <c r="L78" s="21">
        <v>6478600</v>
      </c>
      <c r="M78" s="21">
        <v>5712300</v>
      </c>
      <c r="N78" s="21">
        <v>4740900</v>
      </c>
      <c r="O78" s="21">
        <v>3445500</v>
      </c>
      <c r="P78" s="21">
        <v>7494800</v>
      </c>
      <c r="Q78" s="21">
        <v>6301600</v>
      </c>
      <c r="R78" s="21">
        <v>7839600</v>
      </c>
      <c r="S78" s="21">
        <v>3773900</v>
      </c>
      <c r="T78" s="21">
        <v>5016300</v>
      </c>
      <c r="U78" s="21">
        <v>5036400</v>
      </c>
      <c r="V78" s="21">
        <v>6055500</v>
      </c>
      <c r="W78" s="21">
        <v>4478800</v>
      </c>
      <c r="X78" s="21">
        <v>7987400</v>
      </c>
      <c r="Y78" s="21">
        <v>6370600</v>
      </c>
      <c r="Z78" s="21">
        <v>4083900</v>
      </c>
      <c r="AA78" s="21">
        <v>4447400</v>
      </c>
      <c r="AB78" s="21">
        <v>3966700</v>
      </c>
      <c r="AC78" s="21">
        <v>4489400</v>
      </c>
      <c r="AD78" s="21">
        <v>5841600</v>
      </c>
      <c r="AE78" s="21">
        <v>3974700</v>
      </c>
      <c r="AF78" s="21">
        <v>6268300</v>
      </c>
      <c r="AG78" s="21">
        <v>4730000</v>
      </c>
      <c r="AH78" s="21">
        <v>4991800</v>
      </c>
      <c r="AI78" s="21">
        <v>7283200</v>
      </c>
      <c r="AJ78" s="21">
        <v>9748200</v>
      </c>
      <c r="AK78" s="21">
        <v>5994600</v>
      </c>
      <c r="AL78" s="21">
        <v>5923100</v>
      </c>
      <c r="AM78" s="21">
        <v>5209500</v>
      </c>
      <c r="AN78" s="21">
        <v>5451900</v>
      </c>
      <c r="AO78" s="21">
        <v>5811400</v>
      </c>
      <c r="AP78" s="21">
        <v>7191600</v>
      </c>
      <c r="AQ78" s="21">
        <v>7393100</v>
      </c>
      <c r="AR78" s="21">
        <v>6944300</v>
      </c>
      <c r="AS78" s="21">
        <v>7184200</v>
      </c>
      <c r="AT78" s="21">
        <v>5280700</v>
      </c>
      <c r="AU78" s="21">
        <v>4661100</v>
      </c>
      <c r="AV78" s="21">
        <v>6182500</v>
      </c>
      <c r="AW78" s="21">
        <v>7795300</v>
      </c>
      <c r="AX78" s="21">
        <v>8214300</v>
      </c>
      <c r="AY78" s="21">
        <v>6951500</v>
      </c>
      <c r="AZ78" s="21">
        <v>5836500</v>
      </c>
      <c r="BA78" s="21">
        <v>6752400</v>
      </c>
      <c r="BB78" s="21">
        <v>8458800</v>
      </c>
      <c r="BC78" s="21">
        <v>7741100</v>
      </c>
      <c r="BD78" s="21">
        <v>7749300</v>
      </c>
      <c r="BE78" s="21">
        <v>6393300</v>
      </c>
      <c r="BF78" s="21">
        <v>7397500</v>
      </c>
      <c r="BG78" s="21">
        <v>14410600</v>
      </c>
      <c r="BH78" s="21">
        <v>16737500</v>
      </c>
      <c r="BI78" s="21">
        <v>5749400</v>
      </c>
      <c r="BJ78" s="21">
        <v>8351500</v>
      </c>
      <c r="BK78" s="21">
        <v>8889100</v>
      </c>
      <c r="BL78" s="21">
        <v>12964500</v>
      </c>
      <c r="BM78" s="1">
        <v>9370000</v>
      </c>
      <c r="BN78" s="1">
        <v>4880600</v>
      </c>
      <c r="BO78" s="1">
        <v>10775600</v>
      </c>
      <c r="BP78" s="1">
        <v>12809200</v>
      </c>
      <c r="BQ78" s="1">
        <v>17662700</v>
      </c>
      <c r="BR78" s="1">
        <v>6099800</v>
      </c>
      <c r="BS78" s="1">
        <v>6293400</v>
      </c>
      <c r="BT78" s="1">
        <v>5444200</v>
      </c>
      <c r="BU78" s="1">
        <v>5311400</v>
      </c>
      <c r="BV78" s="1">
        <v>5984100</v>
      </c>
      <c r="BW78" s="1">
        <v>3654100</v>
      </c>
      <c r="BX78" s="1">
        <v>4599900</v>
      </c>
      <c r="BY78" s="1">
        <v>4550300</v>
      </c>
      <c r="BZ78" s="1">
        <v>4601900</v>
      </c>
    </row>
    <row r="79" spans="1:254" ht="15.9" customHeight="1">
      <c r="A79" s="393" t="s">
        <v>153</v>
      </c>
      <c r="B79" s="46" t="s">
        <v>154</v>
      </c>
      <c r="C79" s="50">
        <f>_xll.RssMarket("6479","出来高")</f>
        <v>6490100</v>
      </c>
      <c r="D79" s="202">
        <f t="shared" si="1"/>
        <v>0</v>
      </c>
      <c r="E79" s="200">
        <v>6490100</v>
      </c>
      <c r="F79" s="21">
        <v>4708700</v>
      </c>
      <c r="G79" s="21">
        <v>2285800</v>
      </c>
      <c r="H79" s="21">
        <v>3449100</v>
      </c>
      <c r="I79" s="21">
        <v>4227700</v>
      </c>
      <c r="J79" s="21">
        <v>2929000</v>
      </c>
      <c r="K79" s="21">
        <v>3543700</v>
      </c>
      <c r="L79" s="21">
        <v>3258600</v>
      </c>
      <c r="M79" s="21">
        <v>2310900</v>
      </c>
      <c r="N79" s="21">
        <v>1994000</v>
      </c>
      <c r="O79" s="21">
        <v>2080200</v>
      </c>
      <c r="P79" s="21">
        <v>2882200</v>
      </c>
      <c r="Q79" s="21">
        <v>2723900</v>
      </c>
      <c r="R79" s="21">
        <v>4373500</v>
      </c>
      <c r="S79" s="21">
        <v>1909100</v>
      </c>
      <c r="T79" s="21">
        <v>3393800</v>
      </c>
      <c r="U79" s="21">
        <v>3713200</v>
      </c>
      <c r="V79" s="21">
        <v>2995100</v>
      </c>
      <c r="W79" s="21">
        <v>3138400</v>
      </c>
      <c r="X79" s="21">
        <v>4635500</v>
      </c>
      <c r="Y79" s="21">
        <v>5217800</v>
      </c>
      <c r="Z79" s="21">
        <v>5090800</v>
      </c>
      <c r="AA79" s="21">
        <v>2946700</v>
      </c>
      <c r="AB79" s="21">
        <v>3382500</v>
      </c>
      <c r="AC79" s="21">
        <v>4337400</v>
      </c>
      <c r="AD79" s="21">
        <v>2944000</v>
      </c>
      <c r="AE79" s="21">
        <v>2684400</v>
      </c>
      <c r="AF79" s="21">
        <v>4154600</v>
      </c>
      <c r="AG79" s="21">
        <v>4180100</v>
      </c>
      <c r="AH79" s="21">
        <v>4720500</v>
      </c>
      <c r="AI79" s="21">
        <v>5314900</v>
      </c>
      <c r="AJ79" s="21">
        <v>5082000</v>
      </c>
      <c r="AK79" s="21">
        <v>4611300</v>
      </c>
      <c r="AL79" s="21">
        <v>4161100</v>
      </c>
      <c r="AM79" s="21">
        <v>3190800</v>
      </c>
      <c r="AN79" s="21">
        <v>4167100</v>
      </c>
      <c r="AO79" s="21">
        <v>3572000</v>
      </c>
      <c r="AP79" s="21">
        <v>4112800</v>
      </c>
      <c r="AQ79" s="21">
        <v>3900000</v>
      </c>
      <c r="AR79" s="21">
        <v>3205000</v>
      </c>
      <c r="AS79" s="21">
        <v>4165100</v>
      </c>
      <c r="AT79" s="21">
        <v>4271400</v>
      </c>
      <c r="AU79" s="21">
        <v>2769600</v>
      </c>
      <c r="AV79" s="21">
        <v>3795400</v>
      </c>
      <c r="AW79" s="21">
        <v>3912700</v>
      </c>
      <c r="AX79" s="21">
        <v>5338600</v>
      </c>
      <c r="AY79" s="21">
        <v>2061300</v>
      </c>
      <c r="AZ79" s="21">
        <v>2314900</v>
      </c>
      <c r="BA79" s="21">
        <v>2539800</v>
      </c>
      <c r="BB79" s="21">
        <v>2298900</v>
      </c>
      <c r="BC79" s="21">
        <v>2440900</v>
      </c>
      <c r="BD79" s="21">
        <v>2528700</v>
      </c>
      <c r="BE79" s="21">
        <v>2137400</v>
      </c>
      <c r="BF79" s="21">
        <v>3076500</v>
      </c>
      <c r="BG79" s="21">
        <v>3164100</v>
      </c>
      <c r="BH79" s="21">
        <v>4083300</v>
      </c>
      <c r="BI79" s="21">
        <v>5903700</v>
      </c>
      <c r="BJ79" s="21">
        <v>4164300</v>
      </c>
      <c r="BK79" s="21">
        <v>2485800</v>
      </c>
      <c r="BL79" s="21">
        <v>3109800</v>
      </c>
      <c r="BM79" s="1">
        <v>3393700</v>
      </c>
      <c r="BN79" s="1">
        <v>1751000</v>
      </c>
      <c r="BO79" s="1">
        <v>2720400</v>
      </c>
      <c r="BP79" s="1">
        <v>1935600</v>
      </c>
      <c r="BQ79" s="1">
        <v>2073000</v>
      </c>
      <c r="BR79" s="1">
        <v>1633500</v>
      </c>
      <c r="BS79" s="1">
        <v>1851200</v>
      </c>
      <c r="BT79" s="1">
        <v>1569700</v>
      </c>
      <c r="BU79" s="1">
        <v>1614700</v>
      </c>
      <c r="BV79" s="1">
        <v>2611900</v>
      </c>
      <c r="BW79" s="1">
        <v>2005700</v>
      </c>
      <c r="BX79" s="1">
        <v>3963000</v>
      </c>
      <c r="BY79" s="1">
        <v>1918900</v>
      </c>
      <c r="BZ79" s="1">
        <v>2206500</v>
      </c>
    </row>
    <row r="80" spans="1:254" ht="15.9" customHeight="1">
      <c r="A80" s="393" t="s">
        <v>155</v>
      </c>
      <c r="B80" s="46" t="s">
        <v>156</v>
      </c>
      <c r="C80" s="50">
        <f>_xll.RssMarket("1833","出来高")</f>
        <v>121400</v>
      </c>
      <c r="D80" s="202">
        <f t="shared" si="1"/>
        <v>0</v>
      </c>
      <c r="E80" s="200">
        <v>121400</v>
      </c>
      <c r="F80" s="21">
        <v>78000</v>
      </c>
      <c r="G80" s="21">
        <v>78200</v>
      </c>
      <c r="H80" s="21">
        <v>134900</v>
      </c>
      <c r="I80" s="21">
        <v>94500</v>
      </c>
      <c r="J80" s="21">
        <v>120900</v>
      </c>
      <c r="K80" s="21">
        <v>174300</v>
      </c>
      <c r="L80" s="21">
        <v>117000</v>
      </c>
      <c r="M80" s="21">
        <v>120300</v>
      </c>
      <c r="N80" s="21"/>
      <c r="O80" s="21">
        <v>102600</v>
      </c>
      <c r="P80" s="21">
        <v>109100</v>
      </c>
      <c r="Q80" s="21">
        <v>95700</v>
      </c>
      <c r="R80" s="21">
        <v>135800</v>
      </c>
      <c r="S80" s="21">
        <v>108600</v>
      </c>
      <c r="T80" s="21">
        <v>66000</v>
      </c>
      <c r="U80" s="21">
        <v>100000</v>
      </c>
      <c r="V80" s="21">
        <v>100800</v>
      </c>
      <c r="W80" s="21">
        <v>87100</v>
      </c>
      <c r="X80" s="21">
        <v>103700</v>
      </c>
      <c r="Y80" s="21">
        <v>105300</v>
      </c>
      <c r="Z80" s="21">
        <v>66800</v>
      </c>
      <c r="AA80" s="21">
        <v>75100</v>
      </c>
      <c r="AB80" s="21">
        <v>85400</v>
      </c>
      <c r="AC80" s="21">
        <v>96800</v>
      </c>
      <c r="AD80" s="21">
        <v>108500</v>
      </c>
      <c r="AE80" s="21">
        <v>95900</v>
      </c>
      <c r="AF80" s="21">
        <v>61400</v>
      </c>
      <c r="AG80" s="21">
        <v>85900</v>
      </c>
      <c r="AH80" s="21">
        <v>68100</v>
      </c>
      <c r="AI80" s="21">
        <v>70500</v>
      </c>
      <c r="AJ80" s="21">
        <v>57600</v>
      </c>
      <c r="AK80" s="21">
        <v>142100</v>
      </c>
      <c r="AL80" s="21">
        <v>103500</v>
      </c>
      <c r="AM80" s="21">
        <v>53400</v>
      </c>
      <c r="AN80" s="21">
        <v>82800</v>
      </c>
      <c r="AO80" s="21">
        <v>104300</v>
      </c>
      <c r="AP80" s="21">
        <v>137700</v>
      </c>
      <c r="AQ80" s="21">
        <v>116400</v>
      </c>
      <c r="AR80" s="21">
        <v>91000</v>
      </c>
      <c r="AS80" s="21">
        <v>122500</v>
      </c>
      <c r="AT80" s="21">
        <v>73300</v>
      </c>
      <c r="AU80" s="21">
        <v>127500</v>
      </c>
      <c r="AV80" s="21">
        <v>100000</v>
      </c>
      <c r="AW80" s="21">
        <v>137800</v>
      </c>
      <c r="AX80" s="21">
        <v>142200</v>
      </c>
      <c r="AY80" s="21">
        <v>140100</v>
      </c>
      <c r="AZ80" s="21">
        <v>139700</v>
      </c>
      <c r="BA80" s="21">
        <v>102400</v>
      </c>
      <c r="BB80" s="21">
        <v>153500</v>
      </c>
      <c r="BC80" s="21">
        <v>82500</v>
      </c>
      <c r="BD80" s="21">
        <v>147000</v>
      </c>
      <c r="BE80" s="21">
        <v>120000</v>
      </c>
      <c r="BF80" s="21">
        <v>258100</v>
      </c>
      <c r="BG80" s="21">
        <v>120700</v>
      </c>
      <c r="BH80" s="21">
        <v>105600</v>
      </c>
      <c r="BI80" s="21">
        <v>112700</v>
      </c>
      <c r="BJ80" s="21">
        <v>189600</v>
      </c>
      <c r="BK80" s="21">
        <v>223400</v>
      </c>
      <c r="BL80" s="21">
        <v>102600</v>
      </c>
      <c r="BM80" s="1">
        <v>139500</v>
      </c>
      <c r="BN80" s="1">
        <v>71100</v>
      </c>
      <c r="BO80" s="1">
        <v>97700</v>
      </c>
      <c r="BP80" s="1">
        <v>117100</v>
      </c>
      <c r="BQ80" s="1">
        <v>83800</v>
      </c>
      <c r="BR80" s="1">
        <v>97200</v>
      </c>
      <c r="BS80" s="1">
        <v>173000</v>
      </c>
      <c r="BT80" s="1">
        <v>83200</v>
      </c>
      <c r="BU80" s="1">
        <v>48100</v>
      </c>
      <c r="BV80" s="1">
        <v>62600</v>
      </c>
      <c r="BW80" s="1">
        <v>76400</v>
      </c>
      <c r="BX80" s="1">
        <v>76900</v>
      </c>
      <c r="BY80" s="1">
        <v>66600</v>
      </c>
      <c r="BZ80" s="1">
        <v>59500</v>
      </c>
    </row>
    <row r="81" spans="1:254" ht="15.9" customHeight="1">
      <c r="A81" s="393" t="s">
        <v>157</v>
      </c>
      <c r="B81" s="46" t="s">
        <v>158</v>
      </c>
      <c r="C81" s="50">
        <f>_xll.RssMarket("6841","出来高")</f>
        <v>2820200</v>
      </c>
      <c r="D81" s="202">
        <f t="shared" si="1"/>
        <v>0</v>
      </c>
      <c r="E81" s="200">
        <v>2820200</v>
      </c>
      <c r="F81" s="21">
        <v>2979100</v>
      </c>
      <c r="G81" s="21">
        <v>1545400</v>
      </c>
      <c r="H81" s="21">
        <v>1126500</v>
      </c>
      <c r="I81" s="21">
        <v>1135700</v>
      </c>
      <c r="J81" s="21">
        <v>995500</v>
      </c>
      <c r="K81" s="21">
        <v>1420400</v>
      </c>
      <c r="L81" s="21">
        <v>1070300</v>
      </c>
      <c r="M81" s="21">
        <v>1162400</v>
      </c>
      <c r="N81" s="21">
        <v>801900</v>
      </c>
      <c r="O81" s="21">
        <v>698800</v>
      </c>
      <c r="P81" s="21">
        <v>943300</v>
      </c>
      <c r="Q81" s="21">
        <v>1518400</v>
      </c>
      <c r="R81" s="21">
        <v>1176200</v>
      </c>
      <c r="S81" s="21">
        <v>1187900</v>
      </c>
      <c r="T81" s="21">
        <v>928200</v>
      </c>
      <c r="U81" s="21">
        <v>982300</v>
      </c>
      <c r="V81" s="21">
        <v>1411400</v>
      </c>
      <c r="W81" s="21">
        <v>1030800</v>
      </c>
      <c r="X81" s="21">
        <v>1031300</v>
      </c>
      <c r="Y81" s="21">
        <v>1264400</v>
      </c>
      <c r="Z81" s="21">
        <v>542600</v>
      </c>
      <c r="AA81" s="21">
        <v>986600</v>
      </c>
      <c r="AB81" s="21">
        <v>1179100</v>
      </c>
      <c r="AC81" s="21">
        <v>753900</v>
      </c>
      <c r="AD81" s="21">
        <v>1006800</v>
      </c>
      <c r="AE81" s="21">
        <v>1206000</v>
      </c>
      <c r="AF81" s="21">
        <v>1012200</v>
      </c>
      <c r="AG81" s="21">
        <v>953600</v>
      </c>
      <c r="AH81" s="21">
        <v>986100</v>
      </c>
      <c r="AI81" s="21">
        <v>1558800</v>
      </c>
      <c r="AJ81" s="21">
        <v>1471400</v>
      </c>
      <c r="AK81" s="21">
        <v>1404400</v>
      </c>
      <c r="AL81" s="21">
        <v>1500600</v>
      </c>
      <c r="AM81" s="21">
        <v>1378800</v>
      </c>
      <c r="AN81" s="21">
        <v>1208500</v>
      </c>
      <c r="AO81" s="21">
        <v>1012300</v>
      </c>
      <c r="AP81" s="21">
        <v>2067500</v>
      </c>
      <c r="AQ81" s="21">
        <v>1381700</v>
      </c>
      <c r="AR81" s="21">
        <v>1238500</v>
      </c>
      <c r="AS81" s="21">
        <v>1439100</v>
      </c>
      <c r="AT81" s="21">
        <v>1101800</v>
      </c>
      <c r="AU81" s="21">
        <v>1120200</v>
      </c>
      <c r="AV81" s="21">
        <v>1828000</v>
      </c>
      <c r="AW81" s="21">
        <v>1704500</v>
      </c>
      <c r="AX81" s="21">
        <v>2284700</v>
      </c>
      <c r="AY81" s="21">
        <v>1054800</v>
      </c>
      <c r="AZ81" s="21">
        <v>1788100</v>
      </c>
      <c r="BA81" s="21">
        <v>1144000</v>
      </c>
      <c r="BB81" s="21">
        <v>1273900</v>
      </c>
      <c r="BC81" s="21">
        <v>1695700</v>
      </c>
      <c r="BD81" s="21">
        <v>2295100</v>
      </c>
      <c r="BE81" s="21">
        <v>1400400</v>
      </c>
      <c r="BF81" s="21">
        <v>1367400</v>
      </c>
      <c r="BG81" s="21">
        <v>1323900</v>
      </c>
      <c r="BH81" s="21">
        <v>1551700</v>
      </c>
      <c r="BI81" s="21">
        <v>1625900</v>
      </c>
      <c r="BJ81" s="21">
        <v>1966400</v>
      </c>
      <c r="BK81" s="21">
        <v>2119200</v>
      </c>
      <c r="BL81" s="21">
        <v>4183400</v>
      </c>
      <c r="BM81" s="1">
        <v>2628100</v>
      </c>
      <c r="BN81" s="1">
        <v>820600</v>
      </c>
      <c r="BO81" s="1">
        <v>1379400</v>
      </c>
      <c r="BP81" s="1">
        <v>1894600</v>
      </c>
      <c r="BQ81" s="1">
        <v>1079800</v>
      </c>
      <c r="BR81" s="1">
        <v>776800</v>
      </c>
      <c r="BS81" s="1">
        <v>925100</v>
      </c>
      <c r="BT81" s="1">
        <v>857500</v>
      </c>
      <c r="BU81" s="1">
        <v>918900</v>
      </c>
      <c r="BV81" s="1">
        <v>761600</v>
      </c>
      <c r="BW81" s="1">
        <v>825700</v>
      </c>
      <c r="BX81" s="1">
        <v>868900</v>
      </c>
      <c r="BY81" s="1">
        <v>1024200</v>
      </c>
      <c r="BZ81" s="1">
        <v>803200</v>
      </c>
    </row>
    <row r="82" spans="1:254" ht="15.9" customHeight="1">
      <c r="A82" s="393" t="s">
        <v>159</v>
      </c>
      <c r="B82" s="46" t="s">
        <v>160</v>
      </c>
      <c r="C82" s="50">
        <f>_xll.RssMarket("7167","出来高")</f>
        <v>4771400</v>
      </c>
      <c r="D82" s="202">
        <f t="shared" si="1"/>
        <v>0</v>
      </c>
      <c r="E82" s="200">
        <v>4771400</v>
      </c>
      <c r="F82" s="21">
        <v>3318200</v>
      </c>
      <c r="G82" s="21">
        <v>2316400</v>
      </c>
      <c r="H82" s="21">
        <v>2527300</v>
      </c>
      <c r="I82" s="21">
        <v>4818800</v>
      </c>
      <c r="J82" s="21">
        <v>2303200</v>
      </c>
      <c r="K82" s="21">
        <v>3258700</v>
      </c>
      <c r="L82" s="21">
        <v>3210000</v>
      </c>
      <c r="M82" s="21">
        <v>1774600</v>
      </c>
      <c r="N82" s="21">
        <v>2418700</v>
      </c>
      <c r="O82" s="21">
        <v>2070300</v>
      </c>
      <c r="P82" s="21">
        <v>3459900</v>
      </c>
      <c r="Q82" s="21">
        <v>4643900</v>
      </c>
      <c r="R82" s="21">
        <v>3591800</v>
      </c>
      <c r="S82" s="21">
        <v>4657800</v>
      </c>
      <c r="T82" s="21">
        <v>3091500</v>
      </c>
      <c r="U82" s="21">
        <v>3062600</v>
      </c>
      <c r="V82" s="21">
        <v>3091600</v>
      </c>
      <c r="W82" s="21">
        <v>3110200</v>
      </c>
      <c r="X82" s="21">
        <v>3030300</v>
      </c>
      <c r="Y82" s="21">
        <v>2855400</v>
      </c>
      <c r="Z82" s="21">
        <v>2349700</v>
      </c>
      <c r="AA82" s="21">
        <v>2474500</v>
      </c>
      <c r="AB82" s="21">
        <v>2971700</v>
      </c>
      <c r="AC82" s="21">
        <v>2591700</v>
      </c>
      <c r="AD82" s="21">
        <v>2749300</v>
      </c>
      <c r="AE82" s="21">
        <v>2402500</v>
      </c>
      <c r="AF82" s="21">
        <v>2456700</v>
      </c>
      <c r="AG82" s="21">
        <v>2066000</v>
      </c>
      <c r="AH82" s="21">
        <v>2827300</v>
      </c>
      <c r="AI82" s="21">
        <v>1754500</v>
      </c>
      <c r="AJ82" s="21">
        <v>1308500</v>
      </c>
      <c r="AK82" s="21">
        <v>3168900</v>
      </c>
      <c r="AL82" s="21">
        <v>2756400</v>
      </c>
      <c r="AM82" s="21">
        <v>2240800</v>
      </c>
      <c r="AN82" s="21">
        <v>2781800</v>
      </c>
      <c r="AO82" s="21">
        <v>3451900</v>
      </c>
      <c r="AP82" s="21">
        <v>3586800</v>
      </c>
      <c r="AQ82" s="21">
        <v>2414800</v>
      </c>
      <c r="AR82" s="21">
        <v>3483900</v>
      </c>
      <c r="AS82" s="21">
        <v>2237600</v>
      </c>
      <c r="AT82" s="21">
        <v>2129900</v>
      </c>
      <c r="AU82" s="21">
        <v>2651100</v>
      </c>
      <c r="AV82" s="21">
        <v>2638500</v>
      </c>
      <c r="AW82" s="21">
        <v>2606100</v>
      </c>
      <c r="AX82" s="21">
        <v>3941700</v>
      </c>
      <c r="AY82" s="21">
        <v>3132200</v>
      </c>
      <c r="AZ82" s="21">
        <v>2292900</v>
      </c>
      <c r="BA82" s="21">
        <v>1587100</v>
      </c>
      <c r="BB82" s="21">
        <v>1883200</v>
      </c>
      <c r="BC82" s="21">
        <v>2030200</v>
      </c>
      <c r="BD82" s="21">
        <v>2293300</v>
      </c>
      <c r="BE82" s="21">
        <v>2100100</v>
      </c>
      <c r="BF82" s="21">
        <v>2254100</v>
      </c>
      <c r="BG82" s="21">
        <v>2181400</v>
      </c>
      <c r="BH82" s="21">
        <v>2772200</v>
      </c>
      <c r="BI82" s="21">
        <v>3722500</v>
      </c>
      <c r="BJ82" s="21">
        <v>2010300</v>
      </c>
      <c r="BK82" s="21">
        <v>2011400</v>
      </c>
      <c r="BL82" s="21">
        <v>2637100</v>
      </c>
      <c r="BM82" s="1">
        <v>4728000</v>
      </c>
      <c r="BN82" s="1">
        <v>2171400</v>
      </c>
      <c r="BO82" s="1">
        <v>2560300</v>
      </c>
      <c r="BP82" s="1">
        <v>2983200</v>
      </c>
      <c r="BQ82" s="1">
        <v>2242900</v>
      </c>
      <c r="BR82" s="1">
        <v>2976800</v>
      </c>
      <c r="BS82" s="1">
        <v>2492700</v>
      </c>
      <c r="BT82" s="1">
        <v>2903300</v>
      </c>
      <c r="BU82" s="1">
        <v>2316100</v>
      </c>
      <c r="BV82" s="1">
        <v>1435500</v>
      </c>
      <c r="BW82" s="1">
        <v>1505100</v>
      </c>
      <c r="BX82" s="1">
        <v>1456000</v>
      </c>
      <c r="BY82" s="1">
        <v>1765400</v>
      </c>
      <c r="BZ82" s="1">
        <v>1404200</v>
      </c>
    </row>
    <row r="83" spans="1:254" ht="15.9" customHeight="1">
      <c r="A83" s="393" t="s">
        <v>161</v>
      </c>
      <c r="B83" s="46" t="s">
        <v>162</v>
      </c>
      <c r="C83" s="50">
        <f>_xll.RssMarket("1925","出来高")</f>
        <v>2432300</v>
      </c>
      <c r="D83" s="202">
        <f t="shared" si="1"/>
        <v>0</v>
      </c>
      <c r="E83" s="200">
        <v>2432300</v>
      </c>
      <c r="F83" s="21">
        <v>2284900</v>
      </c>
      <c r="G83" s="21">
        <v>1647500</v>
      </c>
      <c r="H83" s="21">
        <v>2135800</v>
      </c>
      <c r="I83" s="21">
        <v>3177200</v>
      </c>
      <c r="J83" s="21">
        <v>2207200</v>
      </c>
      <c r="K83" s="21">
        <v>3020200</v>
      </c>
      <c r="L83" s="21">
        <v>1966300</v>
      </c>
      <c r="M83" s="21">
        <v>3182700</v>
      </c>
      <c r="N83" s="21">
        <v>1504000</v>
      </c>
      <c r="O83" s="21">
        <v>1822100</v>
      </c>
      <c r="P83" s="21">
        <v>1925800</v>
      </c>
      <c r="Q83" s="21">
        <v>1876400</v>
      </c>
      <c r="R83" s="21">
        <v>2201200</v>
      </c>
      <c r="S83" s="21">
        <v>1844700</v>
      </c>
      <c r="T83" s="21">
        <v>1898400</v>
      </c>
      <c r="U83" s="21">
        <v>1862600</v>
      </c>
      <c r="V83" s="21">
        <v>1587000</v>
      </c>
      <c r="W83" s="21">
        <v>1401300</v>
      </c>
      <c r="X83" s="21">
        <v>1904000</v>
      </c>
      <c r="Y83" s="21">
        <v>2617100</v>
      </c>
      <c r="Z83" s="21">
        <v>1999500</v>
      </c>
      <c r="AA83" s="21">
        <v>1833600</v>
      </c>
      <c r="AB83" s="21">
        <v>1870700</v>
      </c>
      <c r="AC83" s="21">
        <v>2086800</v>
      </c>
      <c r="AD83" s="21">
        <v>3123700</v>
      </c>
      <c r="AE83" s="21">
        <v>5055800</v>
      </c>
      <c r="AF83" s="21">
        <v>1909100</v>
      </c>
      <c r="AG83" s="21">
        <v>1993100</v>
      </c>
      <c r="AH83" s="21">
        <v>1622500</v>
      </c>
      <c r="AI83" s="21">
        <v>1909000</v>
      </c>
      <c r="AJ83" s="21">
        <v>1754600</v>
      </c>
      <c r="AK83" s="21">
        <v>2402500</v>
      </c>
      <c r="AL83" s="21">
        <v>1947400</v>
      </c>
      <c r="AM83" s="21">
        <v>2281300</v>
      </c>
      <c r="AN83" s="21">
        <v>1832900</v>
      </c>
      <c r="AO83" s="21">
        <v>2442100</v>
      </c>
      <c r="AP83" s="21">
        <v>2675400</v>
      </c>
      <c r="AQ83" s="21">
        <v>2081800</v>
      </c>
      <c r="AR83" s="21">
        <v>3086400</v>
      </c>
      <c r="AS83" s="21">
        <v>2577200</v>
      </c>
      <c r="AT83" s="21">
        <v>2200100</v>
      </c>
      <c r="AU83" s="21">
        <v>2674200</v>
      </c>
      <c r="AV83" s="21">
        <v>2592100</v>
      </c>
      <c r="AW83" s="21">
        <v>3914800</v>
      </c>
      <c r="AX83" s="21">
        <v>4883800</v>
      </c>
      <c r="AY83" s="21">
        <v>2323300</v>
      </c>
      <c r="AZ83" s="21">
        <v>1988400</v>
      </c>
      <c r="BA83" s="21">
        <v>1670200</v>
      </c>
      <c r="BB83" s="21">
        <v>2101400</v>
      </c>
      <c r="BC83" s="21">
        <v>2173400</v>
      </c>
      <c r="BD83" s="21">
        <v>2477700</v>
      </c>
      <c r="BE83" s="21">
        <v>2614600</v>
      </c>
      <c r="BF83" s="21">
        <v>2449900</v>
      </c>
      <c r="BG83" s="21">
        <v>3148900</v>
      </c>
      <c r="BH83" s="21">
        <v>3938800</v>
      </c>
      <c r="BI83" s="21">
        <v>2161000</v>
      </c>
      <c r="BJ83" s="21">
        <v>1692500</v>
      </c>
      <c r="BK83" s="21">
        <v>1610200</v>
      </c>
      <c r="BL83" s="21">
        <v>2179700</v>
      </c>
      <c r="BM83" s="1">
        <v>2782200</v>
      </c>
      <c r="BN83" s="1">
        <v>1346800</v>
      </c>
      <c r="BO83" s="1">
        <v>2579100</v>
      </c>
      <c r="BP83" s="1">
        <v>1997400</v>
      </c>
      <c r="BQ83" s="1">
        <v>1433800</v>
      </c>
      <c r="BR83" s="1">
        <v>1278800</v>
      </c>
      <c r="BS83" s="1">
        <v>1476200</v>
      </c>
      <c r="BT83" s="1">
        <v>1418500</v>
      </c>
      <c r="BU83" s="1">
        <v>1307900</v>
      </c>
      <c r="BV83" s="1">
        <v>1799900</v>
      </c>
      <c r="BW83" s="1">
        <v>1823600</v>
      </c>
      <c r="BX83" s="1">
        <v>1694700</v>
      </c>
      <c r="BY83" s="1">
        <v>2309800</v>
      </c>
      <c r="BZ83" s="1">
        <v>2371600</v>
      </c>
    </row>
    <row r="84" spans="1:254" ht="15.9" customHeight="1">
      <c r="A84" s="393" t="s">
        <v>163</v>
      </c>
      <c r="B84" s="46" t="s">
        <v>164</v>
      </c>
      <c r="C84" s="50">
        <f>_xll.RssMarket("5411","出来高")</f>
        <v>7346400</v>
      </c>
      <c r="D84" s="202">
        <f t="shared" si="1"/>
        <v>0</v>
      </c>
      <c r="E84" s="200">
        <v>7346400</v>
      </c>
      <c r="F84" s="21">
        <v>14345000</v>
      </c>
      <c r="G84" s="21">
        <v>4765300</v>
      </c>
      <c r="H84" s="21">
        <v>5236700</v>
      </c>
      <c r="I84" s="21">
        <v>7846100</v>
      </c>
      <c r="J84" s="21">
        <v>5906200</v>
      </c>
      <c r="K84" s="21">
        <v>9999100</v>
      </c>
      <c r="L84" s="21">
        <v>6704500</v>
      </c>
      <c r="M84" s="21">
        <v>6931800</v>
      </c>
      <c r="N84" s="21">
        <v>4645100</v>
      </c>
      <c r="O84" s="21">
        <v>4206200</v>
      </c>
      <c r="P84" s="21">
        <v>6336100</v>
      </c>
      <c r="Q84" s="21">
        <v>4887000</v>
      </c>
      <c r="R84" s="21">
        <v>5284100</v>
      </c>
      <c r="S84" s="21">
        <v>3651100</v>
      </c>
      <c r="T84" s="21">
        <v>5135900</v>
      </c>
      <c r="U84" s="21">
        <v>3691700</v>
      </c>
      <c r="V84" s="21">
        <v>4298900</v>
      </c>
      <c r="W84" s="21">
        <v>4297400</v>
      </c>
      <c r="X84" s="21">
        <v>4604000</v>
      </c>
      <c r="Y84" s="21">
        <v>5634300</v>
      </c>
      <c r="Z84" s="21">
        <v>6081600</v>
      </c>
      <c r="AA84" s="21">
        <v>6429800</v>
      </c>
      <c r="AB84" s="21">
        <v>5976000</v>
      </c>
      <c r="AC84" s="21">
        <v>4136000</v>
      </c>
      <c r="AD84" s="21">
        <v>5443500</v>
      </c>
      <c r="AE84" s="21">
        <v>7413600</v>
      </c>
      <c r="AF84" s="21">
        <v>5388100</v>
      </c>
      <c r="AG84" s="21">
        <v>5012100</v>
      </c>
      <c r="AH84" s="21">
        <v>4379400</v>
      </c>
      <c r="AI84" s="21">
        <v>5249000</v>
      </c>
      <c r="AJ84" s="21">
        <v>4134000</v>
      </c>
      <c r="AK84" s="21">
        <v>5121600</v>
      </c>
      <c r="AL84" s="21">
        <v>3383200</v>
      </c>
      <c r="AM84" s="21">
        <v>2749000</v>
      </c>
      <c r="AN84" s="21">
        <v>3995200</v>
      </c>
      <c r="AO84" s="21">
        <v>6372800</v>
      </c>
      <c r="AP84" s="21">
        <v>6191900</v>
      </c>
      <c r="AQ84" s="21">
        <v>5167700</v>
      </c>
      <c r="AR84" s="21">
        <v>6356700</v>
      </c>
      <c r="AS84" s="21">
        <v>9822900</v>
      </c>
      <c r="AT84" s="21">
        <v>4205200</v>
      </c>
      <c r="AU84" s="21">
        <v>5194100</v>
      </c>
      <c r="AV84" s="21">
        <v>6015400</v>
      </c>
      <c r="AW84" s="21">
        <v>6408500</v>
      </c>
      <c r="AX84" s="21">
        <v>9400900</v>
      </c>
      <c r="AY84" s="21">
        <v>4189400</v>
      </c>
      <c r="AZ84" s="21">
        <v>5916700</v>
      </c>
      <c r="BA84" s="21">
        <v>3723400</v>
      </c>
      <c r="BB84" s="21">
        <v>4347000</v>
      </c>
      <c r="BC84" s="21">
        <v>3901700</v>
      </c>
      <c r="BD84" s="21">
        <v>4961000</v>
      </c>
      <c r="BE84" s="21">
        <v>3753600</v>
      </c>
      <c r="BF84" s="21">
        <v>4155300</v>
      </c>
      <c r="BG84" s="21">
        <v>4992100</v>
      </c>
      <c r="BH84" s="21">
        <v>4579800</v>
      </c>
      <c r="BI84" s="21">
        <v>5780000</v>
      </c>
      <c r="BJ84" s="21">
        <v>5041400</v>
      </c>
      <c r="BK84" s="21">
        <v>11984800</v>
      </c>
      <c r="BL84" s="21">
        <v>12245600</v>
      </c>
      <c r="BM84" s="1">
        <v>6483700</v>
      </c>
      <c r="BN84" s="1">
        <v>3020900</v>
      </c>
      <c r="BO84" s="1">
        <v>5512200</v>
      </c>
      <c r="BP84" s="1">
        <v>3706400</v>
      </c>
      <c r="BQ84" s="1">
        <v>3584700</v>
      </c>
      <c r="BR84" s="1">
        <v>5236500</v>
      </c>
      <c r="BS84" s="1">
        <v>5381200</v>
      </c>
      <c r="BT84" s="1">
        <v>4505900</v>
      </c>
      <c r="BU84" s="1">
        <v>5046900</v>
      </c>
      <c r="BV84" s="1">
        <v>5431700</v>
      </c>
      <c r="BW84" s="1">
        <v>3244200</v>
      </c>
      <c r="BX84" s="1">
        <v>3236600</v>
      </c>
      <c r="BY84" s="1">
        <v>2754600</v>
      </c>
      <c r="BZ84" s="1">
        <v>2895700</v>
      </c>
    </row>
    <row r="85" spans="1:254" ht="15.9" customHeight="1">
      <c r="A85" s="393" t="s">
        <v>165</v>
      </c>
      <c r="B85" s="46" t="s">
        <v>166</v>
      </c>
      <c r="C85" s="50">
        <f>_xll.RssMarket("7182","出来高")</f>
        <v>5230400</v>
      </c>
      <c r="D85" s="202">
        <f t="shared" si="1"/>
        <v>0</v>
      </c>
      <c r="E85" s="200">
        <v>5230400</v>
      </c>
      <c r="F85" s="21">
        <v>6618400</v>
      </c>
      <c r="G85" s="21">
        <v>5670900</v>
      </c>
      <c r="H85" s="21">
        <v>8088500</v>
      </c>
      <c r="I85" s="21">
        <v>11005300</v>
      </c>
      <c r="J85" s="21">
        <v>8152600</v>
      </c>
      <c r="K85" s="21">
        <v>10464300</v>
      </c>
      <c r="L85" s="21">
        <v>7305300</v>
      </c>
      <c r="M85" s="21">
        <v>5735700</v>
      </c>
      <c r="N85" s="21">
        <v>5613000</v>
      </c>
      <c r="O85" s="21">
        <v>6325900</v>
      </c>
      <c r="P85" s="21">
        <v>7786700</v>
      </c>
      <c r="Q85" s="21">
        <v>9700900</v>
      </c>
      <c r="R85" s="21">
        <v>6727800</v>
      </c>
      <c r="S85" s="21">
        <v>6865600</v>
      </c>
      <c r="T85" s="21">
        <v>5916400</v>
      </c>
      <c r="U85" s="21">
        <v>4707400</v>
      </c>
      <c r="V85" s="21">
        <v>4898400</v>
      </c>
      <c r="W85" s="21">
        <v>4393100</v>
      </c>
      <c r="X85" s="21">
        <v>5381800</v>
      </c>
      <c r="Y85" s="21">
        <v>8416200</v>
      </c>
      <c r="Z85" s="21">
        <v>4298700</v>
      </c>
      <c r="AA85" s="21">
        <v>5814900</v>
      </c>
      <c r="AB85" s="21">
        <v>4817700</v>
      </c>
      <c r="AC85" s="21">
        <v>4252700</v>
      </c>
      <c r="AD85" s="21">
        <v>4938300</v>
      </c>
      <c r="AE85" s="21">
        <v>5252300</v>
      </c>
      <c r="AF85" s="21">
        <v>6799100</v>
      </c>
      <c r="AG85" s="21">
        <v>7012300</v>
      </c>
      <c r="AH85" s="21">
        <v>6660300</v>
      </c>
      <c r="AI85" s="21">
        <v>5299900</v>
      </c>
      <c r="AJ85" s="21">
        <v>4310800</v>
      </c>
      <c r="AK85" s="21">
        <v>7403100</v>
      </c>
      <c r="AL85" s="21">
        <v>8672100</v>
      </c>
      <c r="AM85" s="21">
        <v>6055800</v>
      </c>
      <c r="AN85" s="21">
        <v>6960200</v>
      </c>
      <c r="AO85" s="21">
        <v>6274400</v>
      </c>
      <c r="AP85" s="21">
        <v>10026900</v>
      </c>
      <c r="AQ85" s="21">
        <v>7855800</v>
      </c>
      <c r="AR85" s="21">
        <v>7149700</v>
      </c>
      <c r="AS85" s="21">
        <v>6145400</v>
      </c>
      <c r="AT85" s="21">
        <v>7309400</v>
      </c>
      <c r="AU85" s="21">
        <v>10161600</v>
      </c>
      <c r="AV85" s="21">
        <v>6992900</v>
      </c>
      <c r="AW85" s="21">
        <v>5149400</v>
      </c>
      <c r="AX85" s="21">
        <v>13344700</v>
      </c>
      <c r="AY85" s="21">
        <v>6364200</v>
      </c>
      <c r="AZ85" s="21">
        <v>6409500</v>
      </c>
      <c r="BA85" s="21">
        <v>6814000</v>
      </c>
      <c r="BB85" s="21">
        <v>7640800</v>
      </c>
      <c r="BC85" s="21">
        <v>11469000</v>
      </c>
      <c r="BD85" s="21">
        <v>9882300</v>
      </c>
      <c r="BE85" s="21">
        <v>8942700</v>
      </c>
      <c r="BF85" s="21">
        <v>13114800</v>
      </c>
      <c r="BG85" s="21">
        <v>8438700</v>
      </c>
      <c r="BH85" s="21">
        <v>4593500</v>
      </c>
      <c r="BI85" s="21">
        <v>4953500</v>
      </c>
      <c r="BJ85" s="21">
        <v>6765400</v>
      </c>
      <c r="BK85" s="21">
        <v>8126100</v>
      </c>
      <c r="BL85" s="21">
        <v>7521200</v>
      </c>
      <c r="BM85" s="1">
        <v>12403000</v>
      </c>
      <c r="BN85" s="1">
        <v>4522800</v>
      </c>
      <c r="BO85" s="1">
        <v>10746900</v>
      </c>
      <c r="BP85" s="1">
        <v>7988500</v>
      </c>
      <c r="BQ85" s="1">
        <v>5819400</v>
      </c>
      <c r="BR85" s="1">
        <v>5596500</v>
      </c>
      <c r="BS85" s="1">
        <v>5926200</v>
      </c>
      <c r="BT85" s="1">
        <v>7408100</v>
      </c>
      <c r="BU85" s="1">
        <v>7654600</v>
      </c>
      <c r="BV85" s="1">
        <v>6160000</v>
      </c>
      <c r="BW85" s="1">
        <v>6059900</v>
      </c>
      <c r="BX85" s="1">
        <v>5899900</v>
      </c>
      <c r="BY85" s="1">
        <v>5963700</v>
      </c>
      <c r="BZ85" s="1">
        <v>4272300</v>
      </c>
    </row>
    <row r="86" spans="1:254" ht="15.9" customHeight="1">
      <c r="A86" s="393" t="s">
        <v>167</v>
      </c>
      <c r="B86" s="46" t="s">
        <v>168</v>
      </c>
      <c r="C86" s="50">
        <f>_xll.RssMarket("1963","出来高")</f>
        <v>975600</v>
      </c>
      <c r="D86" s="202">
        <f t="shared" si="1"/>
        <v>0</v>
      </c>
      <c r="E86" s="200">
        <v>975600</v>
      </c>
      <c r="F86" s="21">
        <v>1314200</v>
      </c>
      <c r="G86" s="21">
        <v>1196600</v>
      </c>
      <c r="H86" s="21">
        <v>1741500</v>
      </c>
      <c r="I86" s="21">
        <v>1436200</v>
      </c>
      <c r="J86" s="21">
        <v>1869500</v>
      </c>
      <c r="K86" s="21">
        <v>2283100</v>
      </c>
      <c r="L86" s="21">
        <v>2103800</v>
      </c>
      <c r="M86" s="21">
        <v>2192200</v>
      </c>
      <c r="N86" s="21"/>
      <c r="O86" s="21">
        <v>1346400</v>
      </c>
      <c r="P86" s="21">
        <v>1241000</v>
      </c>
      <c r="Q86" s="21">
        <v>1571500</v>
      </c>
      <c r="R86" s="21">
        <v>2120800</v>
      </c>
      <c r="S86" s="21">
        <v>1446700</v>
      </c>
      <c r="T86" s="21">
        <v>1422000</v>
      </c>
      <c r="U86" s="21">
        <v>1746500</v>
      </c>
      <c r="V86" s="21">
        <v>2042500</v>
      </c>
      <c r="W86" s="21">
        <v>2066100</v>
      </c>
      <c r="X86" s="21">
        <v>2219400</v>
      </c>
      <c r="Y86" s="21">
        <v>1783200</v>
      </c>
      <c r="Z86" s="21">
        <v>1322300</v>
      </c>
      <c r="AA86" s="21">
        <v>1470500</v>
      </c>
      <c r="AB86" s="21">
        <v>1111900</v>
      </c>
      <c r="AC86" s="21">
        <v>1093200</v>
      </c>
      <c r="AD86" s="21">
        <v>1486500</v>
      </c>
      <c r="AE86" s="21">
        <v>1814800</v>
      </c>
      <c r="AF86" s="21">
        <v>2087700</v>
      </c>
      <c r="AG86" s="21">
        <v>1419000</v>
      </c>
      <c r="AH86" s="21">
        <v>1033600</v>
      </c>
      <c r="AI86" s="21">
        <v>1596000</v>
      </c>
      <c r="AJ86" s="21">
        <v>2733400</v>
      </c>
      <c r="AK86" s="21">
        <v>2207200</v>
      </c>
      <c r="AL86" s="21">
        <v>1477400</v>
      </c>
      <c r="AM86" s="21">
        <v>1864000</v>
      </c>
      <c r="AN86" s="21">
        <v>1373900</v>
      </c>
      <c r="AO86" s="21">
        <v>2969100</v>
      </c>
      <c r="AP86" s="21">
        <v>1460000</v>
      </c>
      <c r="AQ86" s="21">
        <v>1467300</v>
      </c>
      <c r="AR86" s="21">
        <v>1394100</v>
      </c>
      <c r="AS86" s="21">
        <v>1732900</v>
      </c>
      <c r="AT86" s="21">
        <v>1449000</v>
      </c>
      <c r="AU86" s="21">
        <v>1013900</v>
      </c>
      <c r="AV86" s="21">
        <v>1911500</v>
      </c>
      <c r="AW86" s="21">
        <v>1527300</v>
      </c>
      <c r="AX86" s="21">
        <v>2804000</v>
      </c>
      <c r="AY86" s="21">
        <v>2054500</v>
      </c>
      <c r="AZ86" s="21">
        <v>1832300</v>
      </c>
      <c r="BA86" s="21">
        <v>2968800</v>
      </c>
      <c r="BB86" s="21">
        <v>3418300</v>
      </c>
      <c r="BC86" s="21">
        <v>2669700</v>
      </c>
      <c r="BD86" s="21">
        <v>3286900</v>
      </c>
      <c r="BE86" s="21">
        <v>1889600</v>
      </c>
      <c r="BF86" s="21">
        <v>3296500</v>
      </c>
      <c r="BG86" s="21">
        <v>6228100</v>
      </c>
      <c r="BH86" s="21">
        <v>1875100</v>
      </c>
      <c r="BI86" s="21">
        <v>2617400</v>
      </c>
      <c r="BJ86" s="21">
        <v>2664400</v>
      </c>
      <c r="BK86" s="21">
        <v>3104800</v>
      </c>
      <c r="BL86" s="21">
        <v>2213900</v>
      </c>
      <c r="BM86" s="1">
        <v>2393100</v>
      </c>
      <c r="BN86" s="1">
        <v>1192600</v>
      </c>
      <c r="BO86" s="1">
        <v>2116500</v>
      </c>
      <c r="BP86" s="1">
        <v>2436700</v>
      </c>
      <c r="BQ86" s="1">
        <v>2495200</v>
      </c>
      <c r="BR86" s="1">
        <v>2041700</v>
      </c>
      <c r="BS86" s="1">
        <v>3002500</v>
      </c>
      <c r="BT86" s="1">
        <v>2721100</v>
      </c>
      <c r="BU86" s="1">
        <v>2709400</v>
      </c>
      <c r="BV86" s="1">
        <v>2749000</v>
      </c>
      <c r="BW86" s="1">
        <v>1962700</v>
      </c>
      <c r="BX86" s="1">
        <v>2822800</v>
      </c>
      <c r="BY86" s="1">
        <v>3177000</v>
      </c>
      <c r="BZ86" s="1">
        <v>3566600</v>
      </c>
    </row>
    <row r="87" spans="1:254" ht="15.9" customHeight="1">
      <c r="A87" s="393" t="s">
        <v>169</v>
      </c>
      <c r="B87" s="46" t="s">
        <v>170</v>
      </c>
      <c r="C87" s="50">
        <f>_xll.RssMarket("2914","出来高")</f>
        <v>4858200</v>
      </c>
      <c r="D87" s="202">
        <f t="shared" si="1"/>
        <v>0</v>
      </c>
      <c r="E87" s="200">
        <v>4858200</v>
      </c>
      <c r="F87" s="21">
        <v>4605000</v>
      </c>
      <c r="G87" s="21">
        <v>4545700</v>
      </c>
      <c r="H87" s="21">
        <v>5695500</v>
      </c>
      <c r="I87" s="21">
        <v>12526600</v>
      </c>
      <c r="J87" s="21">
        <v>5773400</v>
      </c>
      <c r="K87" s="21">
        <v>6434100</v>
      </c>
      <c r="L87" s="21">
        <v>4414600</v>
      </c>
      <c r="M87" s="21">
        <v>4299800</v>
      </c>
      <c r="N87" s="21">
        <v>4635700</v>
      </c>
      <c r="O87" s="21">
        <v>5393800</v>
      </c>
      <c r="P87" s="21">
        <v>4251500</v>
      </c>
      <c r="Q87" s="21">
        <v>6242100</v>
      </c>
      <c r="R87" s="21">
        <v>6986400</v>
      </c>
      <c r="S87" s="21">
        <v>2876300</v>
      </c>
      <c r="T87" s="21">
        <v>3467000</v>
      </c>
      <c r="U87" s="21">
        <v>3223400</v>
      </c>
      <c r="V87" s="21">
        <v>3599100</v>
      </c>
      <c r="W87" s="21">
        <v>3066100</v>
      </c>
      <c r="X87" s="21">
        <v>5637500</v>
      </c>
      <c r="Y87" s="21">
        <v>5656800</v>
      </c>
      <c r="Z87" s="21">
        <v>3372400</v>
      </c>
      <c r="AA87" s="21">
        <v>5202300</v>
      </c>
      <c r="AB87" s="21">
        <v>4939200</v>
      </c>
      <c r="AC87" s="21">
        <v>3580600</v>
      </c>
      <c r="AD87" s="21">
        <v>5487800</v>
      </c>
      <c r="AE87" s="21">
        <v>7377800</v>
      </c>
      <c r="AF87" s="21">
        <v>8185500</v>
      </c>
      <c r="AG87" s="21">
        <v>4729000</v>
      </c>
      <c r="AH87" s="21">
        <v>4656100</v>
      </c>
      <c r="AI87" s="21">
        <v>4722300</v>
      </c>
      <c r="AJ87" s="21">
        <v>6847900</v>
      </c>
      <c r="AK87" s="21">
        <v>4598600</v>
      </c>
      <c r="AL87" s="21">
        <v>2771600</v>
      </c>
      <c r="AM87" s="21">
        <v>3469400</v>
      </c>
      <c r="AN87" s="21">
        <v>3155000</v>
      </c>
      <c r="AO87" s="21">
        <v>6586400</v>
      </c>
      <c r="AP87" s="21">
        <v>7746000</v>
      </c>
      <c r="AQ87" s="21">
        <v>6014400</v>
      </c>
      <c r="AR87" s="21">
        <v>3626400</v>
      </c>
      <c r="AS87" s="21">
        <v>4375600</v>
      </c>
      <c r="AT87" s="21">
        <v>3970300</v>
      </c>
      <c r="AU87" s="21">
        <v>3724400</v>
      </c>
      <c r="AV87" s="21">
        <v>3002800</v>
      </c>
      <c r="AW87" s="21">
        <v>3956700</v>
      </c>
      <c r="AX87" s="21">
        <v>10724600</v>
      </c>
      <c r="AY87" s="21">
        <v>3448400</v>
      </c>
      <c r="AZ87" s="21">
        <v>3071700</v>
      </c>
      <c r="BA87" s="21">
        <v>3270200</v>
      </c>
      <c r="BB87" s="21">
        <v>3680600</v>
      </c>
      <c r="BC87" s="21">
        <v>3821600</v>
      </c>
      <c r="BD87" s="21">
        <v>3702100</v>
      </c>
      <c r="BE87" s="21">
        <v>3702100</v>
      </c>
      <c r="BF87" s="21">
        <v>3259100</v>
      </c>
      <c r="BG87" s="21">
        <v>3712200</v>
      </c>
      <c r="BH87" s="21">
        <v>3704200</v>
      </c>
      <c r="BI87" s="21">
        <v>4356700</v>
      </c>
      <c r="BJ87" s="21">
        <v>4003600</v>
      </c>
      <c r="BK87" s="21">
        <v>11863100</v>
      </c>
      <c r="BL87" s="21">
        <v>5770200</v>
      </c>
      <c r="BM87" s="1">
        <v>4456100</v>
      </c>
      <c r="BN87" s="1">
        <v>3174400</v>
      </c>
      <c r="BO87" s="1">
        <v>4136000</v>
      </c>
      <c r="BP87" s="1">
        <v>4445200</v>
      </c>
      <c r="BQ87" s="1">
        <v>3211200</v>
      </c>
      <c r="BR87" s="1">
        <v>3201700</v>
      </c>
      <c r="BS87" s="1">
        <v>6374600</v>
      </c>
      <c r="BT87" s="1">
        <v>3852800</v>
      </c>
      <c r="BU87" s="1">
        <v>2480100</v>
      </c>
      <c r="BV87" s="1">
        <v>2465000</v>
      </c>
      <c r="BW87" s="1">
        <v>3226000</v>
      </c>
      <c r="BX87" s="1">
        <v>3684400</v>
      </c>
      <c r="BY87" s="1">
        <v>3677700</v>
      </c>
      <c r="BZ87" s="1">
        <v>4085900</v>
      </c>
    </row>
    <row r="88" spans="1:254" ht="15.9" customHeight="1">
      <c r="A88" s="393" t="s">
        <v>171</v>
      </c>
      <c r="B88" s="46" t="s">
        <v>172</v>
      </c>
      <c r="C88" s="50">
        <f>_xll.RssMarket("3003","出来高")</f>
        <v>2276800</v>
      </c>
      <c r="D88" s="202">
        <f t="shared" si="1"/>
        <v>0</v>
      </c>
      <c r="E88" s="200">
        <v>2276800</v>
      </c>
      <c r="F88" s="21">
        <v>2652000</v>
      </c>
      <c r="G88" s="21">
        <v>2441200</v>
      </c>
      <c r="H88" s="21">
        <v>3529800</v>
      </c>
      <c r="I88" s="21">
        <v>4368100</v>
      </c>
      <c r="J88" s="21">
        <v>3926000</v>
      </c>
      <c r="K88" s="21">
        <v>4790400</v>
      </c>
      <c r="L88" s="21">
        <v>4261500</v>
      </c>
      <c r="M88" s="21">
        <v>3147500</v>
      </c>
      <c r="N88" s="21">
        <v>1619500</v>
      </c>
      <c r="O88" s="21">
        <v>1847400</v>
      </c>
      <c r="P88" s="21">
        <v>1929300</v>
      </c>
      <c r="Q88" s="21">
        <v>2608100</v>
      </c>
      <c r="R88" s="21">
        <v>2721500</v>
      </c>
      <c r="S88" s="21">
        <v>2528200</v>
      </c>
      <c r="T88" s="21">
        <v>3337500</v>
      </c>
      <c r="U88" s="21">
        <v>1829200</v>
      </c>
      <c r="V88" s="21">
        <v>2054000</v>
      </c>
      <c r="W88" s="21">
        <v>2065700</v>
      </c>
      <c r="X88" s="21">
        <v>3245400</v>
      </c>
      <c r="Y88" s="21">
        <v>2894300</v>
      </c>
      <c r="Z88" s="21">
        <v>2134700</v>
      </c>
      <c r="AA88" s="21">
        <v>2226600</v>
      </c>
      <c r="AB88" s="21">
        <v>4112400</v>
      </c>
      <c r="AC88" s="21">
        <v>2690700</v>
      </c>
      <c r="AD88" s="21">
        <v>3735700</v>
      </c>
      <c r="AE88" s="21">
        <v>3603400</v>
      </c>
      <c r="AF88" s="21">
        <v>3279300</v>
      </c>
      <c r="AG88" s="21">
        <v>2466800</v>
      </c>
      <c r="AH88" s="21">
        <v>2137200</v>
      </c>
      <c r="AI88" s="21">
        <v>2798300</v>
      </c>
      <c r="AJ88" s="21">
        <v>2520300</v>
      </c>
      <c r="AK88" s="21">
        <v>2593800</v>
      </c>
      <c r="AL88" s="21">
        <v>1819400</v>
      </c>
      <c r="AM88" s="21">
        <v>1869700</v>
      </c>
      <c r="AN88" s="21">
        <v>2423000</v>
      </c>
      <c r="AO88" s="21">
        <v>2364000</v>
      </c>
      <c r="AP88" s="21">
        <v>3906900</v>
      </c>
      <c r="AQ88" s="21">
        <v>3257100</v>
      </c>
      <c r="AR88" s="21">
        <v>4265000</v>
      </c>
      <c r="AS88" s="21">
        <v>3733600</v>
      </c>
      <c r="AT88" s="21">
        <v>2105800</v>
      </c>
      <c r="AU88" s="21">
        <v>3286700</v>
      </c>
      <c r="AV88" s="21">
        <v>2449400</v>
      </c>
      <c r="AW88" s="21">
        <v>2997100</v>
      </c>
      <c r="AX88" s="21">
        <v>9900200</v>
      </c>
      <c r="AY88" s="21">
        <v>2948700</v>
      </c>
      <c r="AZ88" s="21">
        <v>3716200</v>
      </c>
      <c r="BA88" s="21">
        <v>4468400</v>
      </c>
      <c r="BB88" s="21">
        <v>9466700</v>
      </c>
      <c r="BC88" s="21">
        <v>1675900</v>
      </c>
      <c r="BD88" s="21">
        <v>2099200</v>
      </c>
      <c r="BE88" s="21">
        <v>1897300</v>
      </c>
      <c r="BF88" s="21">
        <v>2668400</v>
      </c>
      <c r="BG88" s="21">
        <v>2477700</v>
      </c>
      <c r="BH88" s="21">
        <v>3073500</v>
      </c>
      <c r="BI88" s="21">
        <v>1300800</v>
      </c>
      <c r="BJ88" s="21">
        <v>1398700</v>
      </c>
      <c r="BK88" s="21">
        <v>2252600</v>
      </c>
      <c r="BL88" s="21">
        <v>2518900</v>
      </c>
      <c r="BM88" s="1">
        <v>3594600</v>
      </c>
      <c r="BN88" s="1">
        <v>2500000</v>
      </c>
      <c r="BO88" s="1">
        <v>3831400</v>
      </c>
      <c r="BP88" s="1">
        <v>3969400</v>
      </c>
      <c r="BQ88" s="1">
        <v>5587600</v>
      </c>
      <c r="BR88" s="1">
        <v>1766500</v>
      </c>
      <c r="BS88" s="1">
        <v>1676600</v>
      </c>
      <c r="BT88" s="1">
        <v>1737600</v>
      </c>
      <c r="BU88" s="1">
        <v>1495500</v>
      </c>
      <c r="BV88" s="1">
        <v>994000</v>
      </c>
      <c r="BW88" s="1">
        <v>1441100</v>
      </c>
      <c r="BX88" s="1">
        <v>1731500</v>
      </c>
      <c r="BY88" s="1">
        <v>1684900</v>
      </c>
      <c r="BZ88" s="1">
        <v>1861900</v>
      </c>
    </row>
    <row r="89" spans="1:254" ht="15.9" customHeight="1">
      <c r="A89" s="393" t="s">
        <v>173</v>
      </c>
      <c r="B89" s="46" t="s">
        <v>174</v>
      </c>
      <c r="C89" s="50">
        <f>_xll.RssMarket("5892","出来高")</f>
        <v>27900</v>
      </c>
      <c r="D89" s="202">
        <f t="shared" si="1"/>
        <v>0</v>
      </c>
      <c r="E89" s="200">
        <v>27900</v>
      </c>
      <c r="F89" s="21">
        <v>45400</v>
      </c>
      <c r="G89" s="21">
        <v>28600</v>
      </c>
      <c r="H89" s="21">
        <v>29600</v>
      </c>
      <c r="I89" s="21">
        <v>35700</v>
      </c>
      <c r="J89" s="21">
        <v>51900</v>
      </c>
      <c r="K89" s="21">
        <v>31300</v>
      </c>
      <c r="L89" s="21">
        <v>18000</v>
      </c>
      <c r="M89" s="21">
        <v>62100</v>
      </c>
      <c r="N89" s="21">
        <v>68400</v>
      </c>
      <c r="O89" s="21">
        <v>109100</v>
      </c>
      <c r="P89" s="21">
        <v>43700</v>
      </c>
      <c r="Q89" s="21">
        <v>32900</v>
      </c>
      <c r="R89" s="21">
        <v>106400</v>
      </c>
      <c r="S89" s="21">
        <v>80600</v>
      </c>
      <c r="T89" s="21">
        <v>44200</v>
      </c>
      <c r="U89" s="21">
        <v>49400</v>
      </c>
      <c r="V89" s="21">
        <v>48700</v>
      </c>
      <c r="W89" s="21">
        <v>38900</v>
      </c>
      <c r="X89" s="21">
        <v>31900</v>
      </c>
      <c r="Y89" s="21">
        <v>33000</v>
      </c>
      <c r="Z89" s="21">
        <v>36800</v>
      </c>
      <c r="AA89" s="21">
        <v>43300</v>
      </c>
      <c r="AB89" s="21">
        <v>32300</v>
      </c>
      <c r="AC89" s="21">
        <v>25600</v>
      </c>
      <c r="AD89" s="21">
        <v>31000</v>
      </c>
      <c r="AE89" s="21">
        <v>68700</v>
      </c>
      <c r="AF89" s="21">
        <v>38700</v>
      </c>
      <c r="AG89" s="21">
        <v>43700</v>
      </c>
      <c r="AH89" s="21">
        <v>61500</v>
      </c>
      <c r="AI89" s="21">
        <v>25600</v>
      </c>
      <c r="AJ89" s="21">
        <v>57300</v>
      </c>
      <c r="AK89" s="21">
        <v>62100</v>
      </c>
      <c r="AL89" s="21">
        <v>66300</v>
      </c>
      <c r="AM89" s="21">
        <v>109600</v>
      </c>
      <c r="AN89" s="21">
        <v>91100</v>
      </c>
      <c r="AO89" s="21">
        <v>72600</v>
      </c>
      <c r="AP89" s="21">
        <v>154900</v>
      </c>
      <c r="AQ89" s="21">
        <v>40900</v>
      </c>
      <c r="AR89" s="21">
        <v>50900</v>
      </c>
      <c r="AS89" s="21">
        <v>72600</v>
      </c>
      <c r="AT89" s="21">
        <v>113400</v>
      </c>
      <c r="AU89" s="21">
        <v>52000</v>
      </c>
      <c r="AV89" s="21">
        <v>55700</v>
      </c>
      <c r="AW89" s="21">
        <v>42300</v>
      </c>
      <c r="AX89" s="21">
        <v>50900</v>
      </c>
      <c r="AY89" s="21">
        <v>68300</v>
      </c>
      <c r="AZ89" s="21">
        <v>79600</v>
      </c>
      <c r="BA89" s="21">
        <v>90300</v>
      </c>
      <c r="BB89" s="21">
        <v>87800</v>
      </c>
      <c r="BC89" s="21">
        <v>91100</v>
      </c>
      <c r="BD89" s="21">
        <v>63900</v>
      </c>
      <c r="BE89" s="21">
        <v>150600</v>
      </c>
      <c r="BF89" s="21">
        <v>260400</v>
      </c>
      <c r="BG89" s="21">
        <v>28700</v>
      </c>
      <c r="BH89" s="21">
        <v>105100</v>
      </c>
      <c r="BI89" s="21">
        <v>101000</v>
      </c>
      <c r="BJ89" s="21">
        <v>90600</v>
      </c>
      <c r="BK89" s="21">
        <v>143600</v>
      </c>
      <c r="BL89" s="21">
        <v>127400</v>
      </c>
      <c r="BM89" s="1">
        <v>52900</v>
      </c>
      <c r="BN89" s="1">
        <v>31300</v>
      </c>
      <c r="BO89" s="1">
        <v>77400</v>
      </c>
      <c r="BP89" s="1">
        <v>47100</v>
      </c>
      <c r="BQ89" s="1">
        <v>24000</v>
      </c>
      <c r="BR89" s="1">
        <v>31500</v>
      </c>
      <c r="BS89" s="1">
        <v>54600</v>
      </c>
      <c r="BT89" s="1">
        <v>35300</v>
      </c>
      <c r="BU89" s="1">
        <v>33400</v>
      </c>
      <c r="BV89" s="1">
        <v>40400</v>
      </c>
      <c r="BW89" s="1">
        <v>29900</v>
      </c>
      <c r="BX89" s="1">
        <v>30900</v>
      </c>
      <c r="BY89" s="1">
        <v>57100</v>
      </c>
      <c r="BZ89" s="1">
        <v>185900</v>
      </c>
    </row>
    <row r="90" spans="1:254" ht="15.9" customHeight="1">
      <c r="A90" s="393" t="s">
        <v>175</v>
      </c>
      <c r="B90" s="46" t="s">
        <v>176</v>
      </c>
      <c r="C90" s="50">
        <f>_xll.RssMarket("6323","出来高")</f>
        <v>1988400</v>
      </c>
      <c r="D90" s="202">
        <f t="shared" si="1"/>
        <v>0</v>
      </c>
      <c r="E90" s="200">
        <v>1988400</v>
      </c>
      <c r="F90" s="21">
        <v>2816700</v>
      </c>
      <c r="G90" s="21">
        <v>3329700</v>
      </c>
      <c r="H90" s="21">
        <v>4282500</v>
      </c>
      <c r="I90" s="21">
        <v>4484400</v>
      </c>
      <c r="J90" s="21">
        <v>3558600</v>
      </c>
      <c r="K90" s="21">
        <v>5160600</v>
      </c>
      <c r="L90" s="21">
        <v>3205000</v>
      </c>
      <c r="M90" s="21">
        <v>2164800</v>
      </c>
      <c r="N90" s="21">
        <v>2366500</v>
      </c>
      <c r="O90" s="21">
        <v>2811100</v>
      </c>
      <c r="P90" s="21">
        <v>4023700</v>
      </c>
      <c r="Q90" s="21">
        <v>2713500</v>
      </c>
      <c r="R90" s="21">
        <v>3780800</v>
      </c>
      <c r="S90" s="21">
        <v>5518300</v>
      </c>
      <c r="T90" s="21">
        <v>3398000</v>
      </c>
      <c r="U90" s="21">
        <v>3992900</v>
      </c>
      <c r="V90" s="21">
        <v>9136100</v>
      </c>
      <c r="W90" s="21">
        <v>2997600</v>
      </c>
      <c r="X90" s="21">
        <v>1886300</v>
      </c>
      <c r="Y90" s="21">
        <v>1921200</v>
      </c>
      <c r="Z90" s="21">
        <v>1651100</v>
      </c>
      <c r="AA90" s="21">
        <v>2099200</v>
      </c>
      <c r="AB90" s="21">
        <v>1728900</v>
      </c>
      <c r="AC90" s="21">
        <v>2262800</v>
      </c>
      <c r="AD90" s="21">
        <v>1998200</v>
      </c>
      <c r="AE90" s="21">
        <v>1408600</v>
      </c>
      <c r="AF90" s="21">
        <v>1486400</v>
      </c>
      <c r="AG90" s="21">
        <v>2067500</v>
      </c>
      <c r="AH90" s="21">
        <v>1646000</v>
      </c>
      <c r="AI90" s="21">
        <v>1491600</v>
      </c>
      <c r="AJ90" s="21">
        <v>1548900</v>
      </c>
      <c r="AK90" s="21">
        <v>2181600</v>
      </c>
      <c r="AL90" s="21">
        <v>2578900</v>
      </c>
      <c r="AM90" s="21">
        <v>1602600</v>
      </c>
      <c r="AN90" s="21">
        <v>1658600</v>
      </c>
      <c r="AO90" s="21">
        <v>1768000</v>
      </c>
      <c r="AP90" s="21">
        <v>1870900</v>
      </c>
      <c r="AQ90" s="21">
        <v>1342600</v>
      </c>
      <c r="AR90" s="21">
        <v>1331900</v>
      </c>
      <c r="AS90" s="21">
        <v>2269300</v>
      </c>
      <c r="AT90" s="21">
        <v>2018400</v>
      </c>
      <c r="AU90" s="21">
        <v>3089500</v>
      </c>
      <c r="AV90" s="21">
        <v>3050000</v>
      </c>
      <c r="AW90" s="21">
        <v>1132800</v>
      </c>
      <c r="AX90" s="21">
        <v>2132700</v>
      </c>
      <c r="AY90" s="21">
        <v>1285800</v>
      </c>
      <c r="AZ90" s="21">
        <v>1290700</v>
      </c>
      <c r="BA90" s="21">
        <v>1431600</v>
      </c>
      <c r="BB90" s="21">
        <v>1043700</v>
      </c>
      <c r="BC90" s="21">
        <v>1600400</v>
      </c>
      <c r="BD90" s="21">
        <v>1162700</v>
      </c>
      <c r="BE90" s="21">
        <v>1663600</v>
      </c>
      <c r="BF90" s="21">
        <v>1168500</v>
      </c>
      <c r="BG90" s="21">
        <v>1938700</v>
      </c>
      <c r="BH90" s="21">
        <v>1479100</v>
      </c>
      <c r="BI90" s="21">
        <v>2075600</v>
      </c>
      <c r="BJ90" s="21">
        <v>2166900</v>
      </c>
      <c r="BK90" s="21">
        <v>2289300</v>
      </c>
      <c r="BL90" s="21">
        <v>2998600</v>
      </c>
      <c r="BM90" s="1">
        <v>2913700</v>
      </c>
      <c r="BN90" s="1">
        <v>1548100</v>
      </c>
      <c r="BO90" s="1">
        <v>1706100</v>
      </c>
      <c r="BP90" s="1">
        <v>2107600</v>
      </c>
      <c r="BQ90" s="1">
        <v>3075200</v>
      </c>
      <c r="BR90" s="1">
        <v>1308900</v>
      </c>
      <c r="BS90" s="1">
        <v>1735800</v>
      </c>
      <c r="BT90" s="1">
        <v>2284400</v>
      </c>
      <c r="BU90" s="1">
        <v>2777600</v>
      </c>
      <c r="BV90" s="1">
        <v>1764400</v>
      </c>
      <c r="BW90" s="1">
        <v>1901100</v>
      </c>
      <c r="BX90" s="1">
        <v>3031600</v>
      </c>
      <c r="BY90" s="1">
        <v>2849500</v>
      </c>
      <c r="BZ90" s="1">
        <v>4561300</v>
      </c>
    </row>
    <row r="91" spans="1:254" ht="15.9" customHeight="1">
      <c r="A91" s="393" t="s">
        <v>177</v>
      </c>
      <c r="B91" s="46" t="s">
        <v>178</v>
      </c>
      <c r="C91" s="50">
        <f>_xll.RssMarket("6501","出来高")</f>
        <v>11584500</v>
      </c>
      <c r="D91" s="202">
        <f t="shared" si="1"/>
        <v>0</v>
      </c>
      <c r="E91" s="200">
        <v>11584500</v>
      </c>
      <c r="F91" s="21">
        <v>14031000</v>
      </c>
      <c r="G91" s="21">
        <v>15277700</v>
      </c>
      <c r="H91" s="21">
        <v>14071300</v>
      </c>
      <c r="I91" s="21">
        <v>19901100</v>
      </c>
      <c r="J91" s="21">
        <v>24607900</v>
      </c>
      <c r="K91" s="21">
        <v>13881100</v>
      </c>
      <c r="L91" s="21">
        <v>12339000</v>
      </c>
      <c r="M91" s="21">
        <v>11712100</v>
      </c>
      <c r="N91" s="21">
        <v>7130900</v>
      </c>
      <c r="O91" s="21">
        <v>8471800</v>
      </c>
      <c r="P91" s="21">
        <v>9137700</v>
      </c>
      <c r="Q91" s="21">
        <v>11059300</v>
      </c>
      <c r="R91" s="21">
        <v>12028800</v>
      </c>
      <c r="S91" s="21">
        <v>13914900</v>
      </c>
      <c r="T91" s="21">
        <v>8776800</v>
      </c>
      <c r="U91" s="21">
        <v>9347200</v>
      </c>
      <c r="V91" s="21">
        <v>11624900</v>
      </c>
      <c r="W91" s="21">
        <v>7238600</v>
      </c>
      <c r="X91" s="21">
        <v>11272800</v>
      </c>
      <c r="Y91" s="21">
        <v>20014200</v>
      </c>
      <c r="Z91" s="21">
        <v>11352800</v>
      </c>
      <c r="AA91" s="21">
        <v>9892300</v>
      </c>
      <c r="AB91" s="21">
        <v>16571400</v>
      </c>
      <c r="AC91" s="21">
        <v>11138200</v>
      </c>
      <c r="AD91" s="21">
        <v>12297000</v>
      </c>
      <c r="AE91" s="21">
        <v>11492800</v>
      </c>
      <c r="AF91" s="21">
        <v>13899700</v>
      </c>
      <c r="AG91" s="21">
        <v>12236600</v>
      </c>
      <c r="AH91" s="21">
        <v>11616300</v>
      </c>
      <c r="AI91" s="21">
        <v>12304900</v>
      </c>
      <c r="AJ91" s="21">
        <v>10220000</v>
      </c>
      <c r="AK91" s="21">
        <v>18577100</v>
      </c>
      <c r="AL91" s="21">
        <v>13329600</v>
      </c>
      <c r="AM91" s="21">
        <v>11385900</v>
      </c>
      <c r="AN91" s="21">
        <v>11238700</v>
      </c>
      <c r="AO91" s="21">
        <v>13258100</v>
      </c>
      <c r="AP91" s="21">
        <v>18882700</v>
      </c>
      <c r="AQ91" s="21">
        <v>15175900</v>
      </c>
      <c r="AR91" s="21">
        <v>15252700</v>
      </c>
      <c r="AS91" s="21">
        <v>14584100</v>
      </c>
      <c r="AT91" s="21">
        <v>11799100</v>
      </c>
      <c r="AU91" s="21">
        <v>8401300</v>
      </c>
      <c r="AV91" s="21">
        <v>15132500</v>
      </c>
      <c r="AW91" s="21">
        <v>10393900</v>
      </c>
      <c r="AX91" s="21">
        <v>27362800</v>
      </c>
      <c r="AY91" s="21">
        <v>17942700</v>
      </c>
      <c r="AZ91" s="21">
        <v>10796000</v>
      </c>
      <c r="BA91" s="21">
        <v>9871700</v>
      </c>
      <c r="BB91" s="21">
        <v>13406000</v>
      </c>
      <c r="BC91" s="21">
        <v>17823800</v>
      </c>
      <c r="BD91" s="21">
        <v>13438800</v>
      </c>
      <c r="BE91" s="21">
        <v>17371300</v>
      </c>
      <c r="BF91" s="21">
        <v>9951800</v>
      </c>
      <c r="BG91" s="21">
        <v>15316500</v>
      </c>
      <c r="BH91" s="21">
        <v>14167400</v>
      </c>
      <c r="BI91" s="21">
        <v>14259600</v>
      </c>
      <c r="BJ91" s="21">
        <v>11607400</v>
      </c>
      <c r="BK91" s="21">
        <v>15801200</v>
      </c>
      <c r="BL91" s="21">
        <v>16696700</v>
      </c>
      <c r="BM91" s="1">
        <v>25537000</v>
      </c>
      <c r="BN91" s="1">
        <v>11393000</v>
      </c>
      <c r="BO91" s="1">
        <v>22771900</v>
      </c>
      <c r="BP91" s="1">
        <v>29820000</v>
      </c>
      <c r="BQ91" s="1">
        <v>18121800</v>
      </c>
      <c r="BR91" s="1">
        <v>10572600</v>
      </c>
      <c r="BS91" s="1">
        <v>18639900</v>
      </c>
      <c r="BT91" s="1">
        <v>11183900</v>
      </c>
      <c r="BU91" s="1">
        <v>8784900</v>
      </c>
      <c r="BV91" s="1">
        <v>8848200</v>
      </c>
      <c r="BW91" s="1">
        <v>10437400</v>
      </c>
      <c r="BX91" s="1">
        <v>15083400</v>
      </c>
      <c r="BY91" s="1">
        <v>22050700</v>
      </c>
      <c r="BZ91" s="1">
        <v>12203300</v>
      </c>
    </row>
    <row r="92" spans="1:254" ht="15.9" customHeight="1">
      <c r="A92" s="393" t="s">
        <v>179</v>
      </c>
      <c r="B92" s="46" t="s">
        <v>180</v>
      </c>
      <c r="C92" s="50">
        <f>_xll.RssMarket("6134","出来高")</f>
        <v>1592700</v>
      </c>
      <c r="D92" s="202">
        <f t="shared" si="1"/>
        <v>0</v>
      </c>
      <c r="E92" s="200">
        <v>1592700</v>
      </c>
      <c r="F92" s="21">
        <v>1975400</v>
      </c>
      <c r="G92" s="21">
        <v>3658400</v>
      </c>
      <c r="H92" s="21">
        <v>1490300</v>
      </c>
      <c r="I92" s="21">
        <v>1269100</v>
      </c>
      <c r="J92" s="21">
        <v>796900</v>
      </c>
      <c r="K92" s="21">
        <v>1450300</v>
      </c>
      <c r="L92" s="21">
        <v>1030100</v>
      </c>
      <c r="M92" s="21">
        <v>503100</v>
      </c>
      <c r="N92" s="21">
        <v>437900</v>
      </c>
      <c r="O92" s="21">
        <v>477200</v>
      </c>
      <c r="P92" s="21">
        <v>603500</v>
      </c>
      <c r="Q92" s="21">
        <v>790400</v>
      </c>
      <c r="R92" s="21">
        <v>1268300</v>
      </c>
      <c r="S92" s="21">
        <v>483500</v>
      </c>
      <c r="T92" s="21">
        <v>929200</v>
      </c>
      <c r="U92" s="21">
        <v>830100</v>
      </c>
      <c r="V92" s="21">
        <v>827100</v>
      </c>
      <c r="W92" s="21">
        <v>807900</v>
      </c>
      <c r="X92" s="21">
        <v>633900</v>
      </c>
      <c r="Y92" s="21">
        <v>1154000</v>
      </c>
      <c r="Z92" s="21">
        <v>771600</v>
      </c>
      <c r="AA92" s="21">
        <v>682300</v>
      </c>
      <c r="AB92" s="21">
        <v>996900</v>
      </c>
      <c r="AC92" s="21">
        <v>1054000</v>
      </c>
      <c r="AD92" s="21">
        <v>901600</v>
      </c>
      <c r="AE92" s="21">
        <v>471800</v>
      </c>
      <c r="AF92" s="21">
        <v>617300</v>
      </c>
      <c r="AG92" s="21">
        <v>513500</v>
      </c>
      <c r="AH92" s="21">
        <v>485100</v>
      </c>
      <c r="AI92" s="21">
        <v>637700</v>
      </c>
      <c r="AJ92" s="21">
        <v>667100</v>
      </c>
      <c r="AK92" s="21">
        <v>992600</v>
      </c>
      <c r="AL92" s="21">
        <v>948900</v>
      </c>
      <c r="AM92" s="21">
        <v>460000</v>
      </c>
      <c r="AN92" s="21">
        <v>577400</v>
      </c>
      <c r="AO92" s="21">
        <v>701600</v>
      </c>
      <c r="AP92" s="21">
        <v>728500</v>
      </c>
      <c r="AQ92" s="21">
        <v>644300</v>
      </c>
      <c r="AR92" s="21">
        <v>765100</v>
      </c>
      <c r="AS92" s="21">
        <v>1480300</v>
      </c>
      <c r="AT92" s="21">
        <v>505400</v>
      </c>
      <c r="AU92" s="21">
        <v>813900</v>
      </c>
      <c r="AV92" s="21">
        <v>933300</v>
      </c>
      <c r="AW92" s="21">
        <v>912700</v>
      </c>
      <c r="AX92" s="21">
        <v>886500</v>
      </c>
      <c r="AY92" s="21">
        <v>877700</v>
      </c>
      <c r="AZ92" s="21">
        <v>920800</v>
      </c>
      <c r="BA92" s="21">
        <v>1103300</v>
      </c>
      <c r="BB92" s="21">
        <v>1037800</v>
      </c>
      <c r="BC92" s="21">
        <v>1041100</v>
      </c>
      <c r="BD92" s="21">
        <v>1571000</v>
      </c>
      <c r="BE92" s="21">
        <v>1103200</v>
      </c>
      <c r="BF92" s="21">
        <v>1476700</v>
      </c>
      <c r="BG92" s="21">
        <v>2780000</v>
      </c>
      <c r="BH92" s="21">
        <v>1532400</v>
      </c>
      <c r="BI92" s="21">
        <v>522000</v>
      </c>
      <c r="BJ92" s="21">
        <v>503300</v>
      </c>
      <c r="BK92" s="21">
        <v>611200</v>
      </c>
      <c r="BL92" s="21">
        <v>572900</v>
      </c>
      <c r="BM92" s="1">
        <v>789700</v>
      </c>
      <c r="BN92" s="1">
        <v>519000</v>
      </c>
      <c r="BO92" s="1">
        <v>475300</v>
      </c>
      <c r="BP92" s="1">
        <v>509700</v>
      </c>
      <c r="BQ92" s="1">
        <v>605600</v>
      </c>
      <c r="BR92" s="1">
        <v>334000</v>
      </c>
      <c r="BS92" s="1">
        <v>433900</v>
      </c>
      <c r="BT92" s="1">
        <v>419400</v>
      </c>
      <c r="BU92" s="1">
        <v>587000</v>
      </c>
      <c r="BV92" s="1">
        <v>359300</v>
      </c>
      <c r="BW92" s="1">
        <v>436400</v>
      </c>
      <c r="BX92" s="1">
        <v>389800</v>
      </c>
      <c r="BY92" s="1">
        <v>531700</v>
      </c>
      <c r="BZ92" s="1">
        <v>698000</v>
      </c>
    </row>
    <row r="93" spans="1:254" ht="15.9" customHeight="1">
      <c r="A93" s="393" t="s">
        <v>181</v>
      </c>
      <c r="B93" s="46" t="s">
        <v>182</v>
      </c>
      <c r="C93" s="50">
        <f>_xll.RssMarket("7746","出来高")</f>
        <v>223700</v>
      </c>
      <c r="D93" s="202">
        <f t="shared" si="1"/>
        <v>0</v>
      </c>
      <c r="E93" s="200">
        <v>223700</v>
      </c>
      <c r="F93" s="21">
        <v>368600</v>
      </c>
      <c r="G93" s="21">
        <v>283100</v>
      </c>
      <c r="H93" s="21">
        <v>181100</v>
      </c>
      <c r="I93" s="21">
        <v>289500</v>
      </c>
      <c r="J93" s="21">
        <v>249500</v>
      </c>
      <c r="K93" s="21">
        <v>490800</v>
      </c>
      <c r="L93" s="21">
        <v>348300</v>
      </c>
      <c r="M93" s="21">
        <v>463700</v>
      </c>
      <c r="N93" s="21">
        <v>937900</v>
      </c>
      <c r="O93" s="21">
        <v>167200</v>
      </c>
      <c r="P93" s="21">
        <v>571800</v>
      </c>
      <c r="Q93" s="21">
        <v>1284300</v>
      </c>
      <c r="R93" s="21">
        <v>1000100</v>
      </c>
      <c r="S93" s="21">
        <v>197700</v>
      </c>
      <c r="T93" s="21">
        <v>197100</v>
      </c>
      <c r="U93" s="21">
        <v>238400</v>
      </c>
      <c r="V93" s="21">
        <v>341600</v>
      </c>
      <c r="W93" s="21">
        <v>714100</v>
      </c>
      <c r="X93" s="21">
        <v>440300</v>
      </c>
      <c r="Y93" s="21">
        <v>426400</v>
      </c>
      <c r="Z93" s="21">
        <v>438400</v>
      </c>
      <c r="AA93" s="21">
        <v>569400</v>
      </c>
      <c r="AB93" s="21">
        <v>995000</v>
      </c>
      <c r="AC93" s="21">
        <v>1024800</v>
      </c>
      <c r="AD93" s="21">
        <v>3449600</v>
      </c>
      <c r="AE93" s="21">
        <v>9572400</v>
      </c>
      <c r="AF93" s="21">
        <v>8558400</v>
      </c>
      <c r="AG93" s="21">
        <v>156300</v>
      </c>
      <c r="AH93" s="21">
        <v>154000</v>
      </c>
      <c r="AI93" s="21">
        <v>252100</v>
      </c>
      <c r="AJ93" s="21">
        <v>420300</v>
      </c>
      <c r="AK93" s="21">
        <v>407200</v>
      </c>
      <c r="AL93" s="21">
        <v>526800</v>
      </c>
      <c r="AM93" s="21">
        <v>1408400</v>
      </c>
      <c r="AN93" s="21">
        <v>6711800</v>
      </c>
      <c r="AO93" s="21">
        <v>1566600</v>
      </c>
      <c r="AP93" s="21">
        <v>552700</v>
      </c>
      <c r="AQ93" s="21">
        <v>2857000</v>
      </c>
      <c r="AR93" s="21">
        <v>618400</v>
      </c>
      <c r="AS93" s="21">
        <v>550500</v>
      </c>
      <c r="AT93" s="21">
        <v>388700</v>
      </c>
      <c r="AU93" s="21">
        <v>327800</v>
      </c>
      <c r="AV93" s="21">
        <v>692200</v>
      </c>
      <c r="AW93" s="21">
        <v>459300</v>
      </c>
      <c r="AX93" s="21">
        <v>837200</v>
      </c>
      <c r="AY93" s="21">
        <v>417800</v>
      </c>
      <c r="AZ93" s="21">
        <v>626700</v>
      </c>
      <c r="BA93" s="21">
        <v>806100</v>
      </c>
      <c r="BB93" s="21">
        <v>951700</v>
      </c>
      <c r="BC93" s="21">
        <v>1758400</v>
      </c>
      <c r="BD93" s="21">
        <v>3566200</v>
      </c>
      <c r="BE93" s="21">
        <v>4638000</v>
      </c>
      <c r="BF93" s="21">
        <v>1841700</v>
      </c>
      <c r="BG93" s="21">
        <v>870500</v>
      </c>
      <c r="BH93" s="21">
        <v>818000</v>
      </c>
      <c r="BI93" s="21">
        <v>946300</v>
      </c>
      <c r="BJ93" s="21">
        <v>1301100</v>
      </c>
      <c r="BK93" s="21">
        <v>607800</v>
      </c>
      <c r="BL93" s="21">
        <v>602000</v>
      </c>
      <c r="BM93" s="1">
        <v>721700</v>
      </c>
      <c r="BN93" s="1">
        <v>1534300</v>
      </c>
      <c r="BO93" s="1">
        <v>1154300</v>
      </c>
      <c r="BP93" s="1">
        <v>503500</v>
      </c>
      <c r="BQ93" s="1">
        <v>609100</v>
      </c>
      <c r="BR93" s="1">
        <v>511800</v>
      </c>
      <c r="BS93" s="1">
        <v>728200</v>
      </c>
      <c r="BT93" s="1">
        <v>606400</v>
      </c>
      <c r="BU93" s="1">
        <v>1272800</v>
      </c>
      <c r="BV93" s="1">
        <v>4409000</v>
      </c>
      <c r="BW93" s="1">
        <v>795600</v>
      </c>
      <c r="BX93" s="1">
        <v>1612200</v>
      </c>
      <c r="BY93" s="1">
        <v>853000</v>
      </c>
      <c r="BZ93" s="1">
        <v>953800</v>
      </c>
    </row>
    <row r="94" spans="1:254" ht="15.9" customHeight="1">
      <c r="A94" s="393" t="s">
        <v>183</v>
      </c>
      <c r="B94" s="46" t="s">
        <v>184</v>
      </c>
      <c r="C94" s="50">
        <f>_xll.RssMarket("3407","出来高")</f>
        <v>6477200</v>
      </c>
      <c r="D94" s="202">
        <f t="shared" si="1"/>
        <v>0</v>
      </c>
      <c r="E94" s="200">
        <v>6477200</v>
      </c>
      <c r="F94" s="21">
        <v>9027500</v>
      </c>
      <c r="G94" s="21">
        <v>16057600</v>
      </c>
      <c r="H94" s="21">
        <v>9491200</v>
      </c>
      <c r="I94" s="21">
        <v>12615000</v>
      </c>
      <c r="J94" s="21">
        <v>5964200</v>
      </c>
      <c r="K94" s="21">
        <v>6071600</v>
      </c>
      <c r="L94" s="21">
        <v>4931400</v>
      </c>
      <c r="M94" s="21">
        <v>4749600</v>
      </c>
      <c r="N94" s="21">
        <v>3414300</v>
      </c>
      <c r="O94" s="21">
        <v>3023900</v>
      </c>
      <c r="P94" s="21">
        <v>3723600</v>
      </c>
      <c r="Q94" s="21">
        <v>4029000</v>
      </c>
      <c r="R94" s="21">
        <v>4536900</v>
      </c>
      <c r="S94" s="21">
        <v>5013700</v>
      </c>
      <c r="T94" s="21">
        <v>5972800</v>
      </c>
      <c r="U94" s="21">
        <v>3763900</v>
      </c>
      <c r="V94" s="21">
        <v>3755500</v>
      </c>
      <c r="W94" s="21">
        <v>4844400</v>
      </c>
      <c r="X94" s="21">
        <v>5100800</v>
      </c>
      <c r="Y94" s="21">
        <v>4251400</v>
      </c>
      <c r="Z94" s="21">
        <v>4625200</v>
      </c>
      <c r="AA94" s="21">
        <v>4990500</v>
      </c>
      <c r="AB94" s="21">
        <v>4101200</v>
      </c>
      <c r="AC94" s="21">
        <v>3844400</v>
      </c>
      <c r="AD94" s="21">
        <v>4216700</v>
      </c>
      <c r="AE94" s="21">
        <v>3864700</v>
      </c>
      <c r="AF94" s="21">
        <v>3593700</v>
      </c>
      <c r="AG94" s="21">
        <v>4540400</v>
      </c>
      <c r="AH94" s="21">
        <v>4680500</v>
      </c>
      <c r="AI94" s="21">
        <v>5350300</v>
      </c>
      <c r="AJ94" s="21">
        <v>5950700</v>
      </c>
      <c r="AK94" s="21">
        <v>7466200</v>
      </c>
      <c r="AL94" s="21">
        <v>3926500</v>
      </c>
      <c r="AM94" s="21">
        <v>3657500</v>
      </c>
      <c r="AN94" s="21">
        <v>4547400</v>
      </c>
      <c r="AO94" s="21">
        <v>7362800</v>
      </c>
      <c r="AP94" s="21">
        <v>6489400</v>
      </c>
      <c r="AQ94" s="21">
        <v>4133600</v>
      </c>
      <c r="AR94" s="21">
        <v>5735300</v>
      </c>
      <c r="AS94" s="21">
        <v>6015600</v>
      </c>
      <c r="AT94" s="21">
        <v>3738100</v>
      </c>
      <c r="AU94" s="21">
        <v>4546500</v>
      </c>
      <c r="AV94" s="21">
        <v>5186800</v>
      </c>
      <c r="AW94" s="21">
        <v>4955100</v>
      </c>
      <c r="AX94" s="21">
        <v>10221700</v>
      </c>
      <c r="AY94" s="21">
        <v>5566900</v>
      </c>
      <c r="AZ94" s="21">
        <v>4877600</v>
      </c>
      <c r="BA94" s="21">
        <v>4317300</v>
      </c>
      <c r="BB94" s="21">
        <v>3770800</v>
      </c>
      <c r="BC94" s="21">
        <v>4570700</v>
      </c>
      <c r="BD94" s="21">
        <v>5936600</v>
      </c>
      <c r="BE94" s="21">
        <v>5626100</v>
      </c>
      <c r="BF94" s="21">
        <v>4533300</v>
      </c>
      <c r="BG94" s="21">
        <v>6129300</v>
      </c>
      <c r="BH94" s="21">
        <v>6255300</v>
      </c>
      <c r="BI94" s="21">
        <v>10306000</v>
      </c>
      <c r="BJ94" s="21">
        <v>13151800</v>
      </c>
      <c r="BK94" s="21">
        <v>4652500</v>
      </c>
      <c r="BL94" s="21">
        <v>5504700</v>
      </c>
      <c r="BM94" s="1">
        <v>6643100</v>
      </c>
      <c r="BN94" s="1">
        <v>3442200</v>
      </c>
      <c r="BO94" s="1">
        <v>5477800</v>
      </c>
      <c r="BP94" s="1">
        <v>3348100</v>
      </c>
      <c r="BQ94" s="1">
        <v>2929300</v>
      </c>
      <c r="BR94" s="1">
        <v>3198300</v>
      </c>
      <c r="BS94" s="1">
        <v>4912400</v>
      </c>
      <c r="BT94" s="1">
        <v>4113900</v>
      </c>
      <c r="BU94" s="1">
        <v>2982900</v>
      </c>
      <c r="BV94" s="1">
        <v>3815900</v>
      </c>
      <c r="BW94" s="1">
        <v>4380700</v>
      </c>
      <c r="BX94" s="1">
        <v>5905000</v>
      </c>
      <c r="BY94" s="1">
        <v>10197600</v>
      </c>
      <c r="BZ94" s="1">
        <v>6362200</v>
      </c>
    </row>
    <row r="95" spans="1:254" ht="15.9" customHeight="1">
      <c r="A95" s="393" t="s">
        <v>185</v>
      </c>
      <c r="B95" s="46" t="s">
        <v>186</v>
      </c>
      <c r="C95" s="50">
        <f>_xll.RssMarket("4008","出来高")</f>
        <v>1206100</v>
      </c>
      <c r="D95" s="202">
        <f t="shared" si="1"/>
        <v>0</v>
      </c>
      <c r="E95" s="200">
        <v>1206100</v>
      </c>
      <c r="F95" s="21">
        <v>147400</v>
      </c>
      <c r="G95" s="21">
        <v>176200</v>
      </c>
      <c r="H95" s="21">
        <v>198700</v>
      </c>
      <c r="I95" s="21">
        <v>157700</v>
      </c>
      <c r="J95" s="21">
        <v>160800</v>
      </c>
      <c r="K95" s="21">
        <v>234800</v>
      </c>
      <c r="L95" s="21">
        <v>204400</v>
      </c>
      <c r="M95" s="21">
        <v>153100</v>
      </c>
      <c r="N95" s="21"/>
      <c r="O95" s="21">
        <v>126800</v>
      </c>
      <c r="P95" s="21">
        <v>107400</v>
      </c>
      <c r="Q95" s="21">
        <v>193600</v>
      </c>
      <c r="R95" s="21">
        <v>227200</v>
      </c>
      <c r="S95" s="21">
        <v>119200</v>
      </c>
      <c r="T95" s="21">
        <v>131200</v>
      </c>
      <c r="U95" s="21">
        <v>172000</v>
      </c>
      <c r="V95" s="21">
        <v>138400</v>
      </c>
      <c r="W95" s="21">
        <v>111200</v>
      </c>
      <c r="X95" s="21">
        <v>134200</v>
      </c>
      <c r="Y95" s="21">
        <v>156600</v>
      </c>
      <c r="Z95" s="21">
        <v>269700</v>
      </c>
      <c r="AA95" s="21">
        <v>289600</v>
      </c>
      <c r="AB95" s="21">
        <v>173600</v>
      </c>
      <c r="AC95" s="21">
        <v>111400</v>
      </c>
      <c r="AD95" s="21">
        <v>162600</v>
      </c>
      <c r="AE95" s="21">
        <v>338700</v>
      </c>
      <c r="AF95" s="21">
        <v>151300</v>
      </c>
      <c r="AG95" s="21">
        <v>212300</v>
      </c>
      <c r="AH95" s="21">
        <v>143800</v>
      </c>
      <c r="AI95" s="21">
        <v>161900</v>
      </c>
      <c r="AJ95" s="21">
        <v>181800</v>
      </c>
      <c r="AK95" s="21">
        <v>171100</v>
      </c>
      <c r="AL95" s="21">
        <v>257100</v>
      </c>
      <c r="AM95" s="21">
        <v>131300</v>
      </c>
      <c r="AN95" s="21">
        <v>131100</v>
      </c>
      <c r="AO95" s="21">
        <v>185300</v>
      </c>
      <c r="AP95" s="21">
        <v>163900</v>
      </c>
      <c r="AQ95" s="21">
        <v>137600</v>
      </c>
      <c r="AR95" s="21">
        <v>102600</v>
      </c>
      <c r="AS95" s="21">
        <v>194000</v>
      </c>
      <c r="AT95" s="21">
        <v>157000</v>
      </c>
      <c r="AU95" s="21">
        <v>150100</v>
      </c>
      <c r="AV95" s="21">
        <v>202300</v>
      </c>
      <c r="AW95" s="21">
        <v>234400</v>
      </c>
      <c r="AX95" s="21">
        <v>247100</v>
      </c>
      <c r="AY95" s="21">
        <v>231600</v>
      </c>
      <c r="AZ95" s="21">
        <v>297600</v>
      </c>
      <c r="BA95" s="21">
        <v>190900</v>
      </c>
      <c r="BB95" s="21">
        <v>171800</v>
      </c>
      <c r="BC95" s="21">
        <v>160000</v>
      </c>
      <c r="BD95" s="21">
        <v>191300</v>
      </c>
      <c r="BE95" s="21">
        <v>135800</v>
      </c>
      <c r="BF95" s="21">
        <v>187500</v>
      </c>
      <c r="BG95" s="21">
        <v>217600</v>
      </c>
      <c r="BH95" s="21">
        <v>218400</v>
      </c>
      <c r="BI95" s="21">
        <v>318800</v>
      </c>
      <c r="BJ95" s="21">
        <v>391000</v>
      </c>
      <c r="BK95" s="21">
        <v>139300</v>
      </c>
      <c r="BL95" s="21">
        <v>131100</v>
      </c>
      <c r="BM95" s="1">
        <v>129500</v>
      </c>
      <c r="BN95" s="1">
        <v>88400</v>
      </c>
      <c r="BO95" s="1">
        <v>113300</v>
      </c>
      <c r="BP95" s="1">
        <v>99300</v>
      </c>
      <c r="BQ95" s="1">
        <v>105600</v>
      </c>
      <c r="BR95" s="1">
        <v>84800</v>
      </c>
      <c r="BS95" s="1">
        <v>111500</v>
      </c>
      <c r="BT95" s="1">
        <v>160300</v>
      </c>
      <c r="BU95" s="1">
        <v>109800</v>
      </c>
      <c r="BV95" s="1">
        <v>76200</v>
      </c>
      <c r="BW95" s="1">
        <v>97800</v>
      </c>
      <c r="BX95" s="1">
        <v>83400</v>
      </c>
      <c r="BY95" s="1">
        <v>166800</v>
      </c>
      <c r="BZ95" s="1">
        <v>132700</v>
      </c>
    </row>
    <row r="96" spans="1:254" ht="15.9" customHeight="1">
      <c r="A96" s="393" t="s">
        <v>187</v>
      </c>
      <c r="B96" s="46" t="s">
        <v>188</v>
      </c>
      <c r="C96" s="50">
        <f>_xll.RssMarket("4062","出来高")</f>
        <v>12684800</v>
      </c>
      <c r="D96" s="202">
        <f t="shared" si="1"/>
        <v>0</v>
      </c>
      <c r="E96" s="200">
        <v>12684800</v>
      </c>
      <c r="F96" s="21">
        <v>9010900</v>
      </c>
      <c r="G96" s="21">
        <v>10104000</v>
      </c>
      <c r="H96" s="21">
        <v>8105600</v>
      </c>
      <c r="I96" s="21">
        <v>1063700</v>
      </c>
      <c r="J96" s="21">
        <v>10002100</v>
      </c>
      <c r="K96" s="21">
        <v>9390200</v>
      </c>
      <c r="L96" s="21">
        <v>7885000</v>
      </c>
      <c r="M96" s="21">
        <v>7023300</v>
      </c>
      <c r="N96" s="21">
        <v>9492600</v>
      </c>
      <c r="O96" s="21">
        <v>7103200</v>
      </c>
      <c r="P96" s="21">
        <v>10290600</v>
      </c>
      <c r="Q96" s="21">
        <v>9174200</v>
      </c>
      <c r="R96" s="21">
        <v>12103300</v>
      </c>
      <c r="S96" s="21">
        <v>8657500</v>
      </c>
      <c r="T96" s="21">
        <v>10398900</v>
      </c>
      <c r="U96" s="21">
        <v>7667300</v>
      </c>
      <c r="V96" s="21">
        <v>6297800</v>
      </c>
      <c r="W96" s="21">
        <v>7892700</v>
      </c>
      <c r="X96" s="21">
        <v>8950100</v>
      </c>
      <c r="Y96" s="21">
        <v>7742500</v>
      </c>
      <c r="Z96" s="21">
        <v>6724300</v>
      </c>
      <c r="AA96" s="21">
        <v>8723400</v>
      </c>
      <c r="AB96" s="21">
        <v>7721400</v>
      </c>
      <c r="AC96" s="21">
        <v>11603100</v>
      </c>
      <c r="AD96" s="21">
        <v>7492100</v>
      </c>
      <c r="AE96" s="21">
        <v>10291800</v>
      </c>
      <c r="AF96" s="21">
        <v>10358400</v>
      </c>
      <c r="AG96" s="21">
        <v>8567000</v>
      </c>
      <c r="AH96" s="21">
        <v>10669900</v>
      </c>
      <c r="AI96" s="21">
        <v>10093200</v>
      </c>
      <c r="AJ96" s="21">
        <v>10705800</v>
      </c>
      <c r="AK96" s="21">
        <v>11198800</v>
      </c>
      <c r="AL96" s="21">
        <v>11491700</v>
      </c>
      <c r="AM96" s="21">
        <v>9058100</v>
      </c>
      <c r="AN96" s="21">
        <v>9339500</v>
      </c>
      <c r="AO96" s="21">
        <v>9816600</v>
      </c>
      <c r="AP96" s="21">
        <v>9550400</v>
      </c>
      <c r="AQ96" s="21">
        <v>8447800</v>
      </c>
      <c r="AR96" s="21">
        <v>8111500</v>
      </c>
      <c r="AS96" s="21">
        <v>7707800</v>
      </c>
      <c r="AT96" s="21">
        <v>8165500</v>
      </c>
      <c r="AU96" s="21">
        <v>6317800</v>
      </c>
      <c r="AV96" s="21">
        <v>6878300</v>
      </c>
      <c r="AW96" s="21">
        <v>8084800</v>
      </c>
      <c r="AX96" s="21">
        <v>10164100</v>
      </c>
      <c r="AY96" s="21">
        <v>8387100</v>
      </c>
      <c r="AZ96" s="21">
        <v>7490400</v>
      </c>
      <c r="BA96" s="21">
        <v>7628200</v>
      </c>
      <c r="BB96" s="21">
        <v>8690500</v>
      </c>
      <c r="BC96" s="21">
        <v>9124900</v>
      </c>
      <c r="BD96" s="21">
        <v>6862800</v>
      </c>
      <c r="BE96" s="21">
        <v>6685700</v>
      </c>
      <c r="BF96" s="21">
        <v>6760300</v>
      </c>
      <c r="BG96" s="21">
        <v>8307900</v>
      </c>
      <c r="BH96" s="21">
        <v>8973700</v>
      </c>
      <c r="BI96" s="21">
        <v>8687100</v>
      </c>
      <c r="BJ96" s="21">
        <v>22293100</v>
      </c>
      <c r="BK96" s="21">
        <v>8544200</v>
      </c>
      <c r="BL96" s="21">
        <v>10684700</v>
      </c>
      <c r="BM96" s="1">
        <v>11586800</v>
      </c>
      <c r="BN96" s="1">
        <v>5100600</v>
      </c>
      <c r="BO96" s="1">
        <v>8434800</v>
      </c>
      <c r="BP96" s="1">
        <v>5813900</v>
      </c>
      <c r="BQ96" s="1">
        <v>9124800</v>
      </c>
      <c r="BR96" s="1">
        <v>11078600</v>
      </c>
      <c r="BS96" s="1">
        <v>6416700</v>
      </c>
      <c r="BT96" s="1">
        <v>7596200</v>
      </c>
      <c r="BU96" s="1">
        <v>8109100</v>
      </c>
      <c r="BV96" s="1">
        <v>4249200</v>
      </c>
      <c r="BW96" s="1">
        <v>3714000</v>
      </c>
      <c r="BX96" s="1">
        <v>4460400</v>
      </c>
      <c r="BY96" s="1">
        <v>7591600</v>
      </c>
      <c r="BZ96" s="1">
        <v>5618000</v>
      </c>
    </row>
    <row r="97" spans="1:254" ht="15.9" customHeight="1">
      <c r="A97" s="393" t="s">
        <v>189</v>
      </c>
      <c r="B97" s="46" t="s">
        <v>190</v>
      </c>
      <c r="C97" s="50">
        <f>_xll.RssMarket("4182","出来高")</f>
        <v>1050400</v>
      </c>
      <c r="D97" s="202">
        <f t="shared" si="1"/>
        <v>0</v>
      </c>
      <c r="E97" s="200">
        <v>1050400</v>
      </c>
      <c r="F97" s="21">
        <v>1484700</v>
      </c>
      <c r="G97" s="21">
        <v>967300</v>
      </c>
      <c r="H97" s="21">
        <v>1067400</v>
      </c>
      <c r="I97" s="21">
        <v>2746100</v>
      </c>
      <c r="J97" s="21">
        <v>1232300</v>
      </c>
      <c r="K97" s="21">
        <v>1443100</v>
      </c>
      <c r="L97" s="21">
        <v>1152600</v>
      </c>
      <c r="M97" s="21">
        <v>1122600</v>
      </c>
      <c r="N97" s="21">
        <v>806600</v>
      </c>
      <c r="O97" s="21">
        <v>552700</v>
      </c>
      <c r="P97" s="21">
        <v>840400</v>
      </c>
      <c r="Q97" s="21">
        <v>799700</v>
      </c>
      <c r="R97" s="21">
        <v>1216800</v>
      </c>
      <c r="S97" s="21">
        <v>875300</v>
      </c>
      <c r="T97" s="21">
        <v>912800</v>
      </c>
      <c r="U97" s="21">
        <v>1042100</v>
      </c>
      <c r="V97" s="21">
        <v>750900</v>
      </c>
      <c r="W97" s="21">
        <v>1224500</v>
      </c>
      <c r="X97" s="21">
        <v>910200</v>
      </c>
      <c r="Y97" s="21">
        <v>1055900</v>
      </c>
      <c r="Z97" s="21">
        <v>956500</v>
      </c>
      <c r="AA97" s="21">
        <v>892600</v>
      </c>
      <c r="AB97" s="21">
        <v>1862900</v>
      </c>
      <c r="AC97" s="21">
        <v>911300</v>
      </c>
      <c r="AD97" s="21">
        <v>922000</v>
      </c>
      <c r="AE97" s="21">
        <v>1021500</v>
      </c>
      <c r="AF97" s="21">
        <v>1158000</v>
      </c>
      <c r="AG97" s="21">
        <v>931300</v>
      </c>
      <c r="AH97" s="21">
        <v>933100</v>
      </c>
      <c r="AI97" s="21">
        <v>1316300</v>
      </c>
      <c r="AJ97" s="21">
        <v>1178000</v>
      </c>
      <c r="AK97" s="21">
        <v>1960800</v>
      </c>
      <c r="AL97" s="21">
        <v>1617200</v>
      </c>
      <c r="AM97" s="21">
        <v>1114200</v>
      </c>
      <c r="AN97" s="21">
        <v>1221900</v>
      </c>
      <c r="AO97" s="21">
        <v>1278400</v>
      </c>
      <c r="AP97" s="21">
        <v>2602400</v>
      </c>
      <c r="AQ97" s="21">
        <v>971600</v>
      </c>
      <c r="AR97" s="21">
        <v>1491700</v>
      </c>
      <c r="AS97" s="21">
        <v>2430500</v>
      </c>
      <c r="AT97" s="21">
        <v>1245100</v>
      </c>
      <c r="AU97" s="21">
        <v>830500</v>
      </c>
      <c r="AV97" s="21">
        <v>1232800</v>
      </c>
      <c r="AW97" s="21">
        <v>1400800</v>
      </c>
      <c r="AX97" s="21">
        <v>1292400</v>
      </c>
      <c r="AY97" s="21">
        <v>1150000</v>
      </c>
      <c r="AZ97" s="21">
        <v>1064900</v>
      </c>
      <c r="BA97" s="21">
        <v>1654400</v>
      </c>
      <c r="BB97" s="21">
        <v>1675800</v>
      </c>
      <c r="BC97" s="21">
        <v>2042100</v>
      </c>
      <c r="BD97" s="21">
        <v>1754100</v>
      </c>
      <c r="BE97" s="21">
        <v>1709200</v>
      </c>
      <c r="BF97" s="21">
        <v>2564300</v>
      </c>
      <c r="BG97" s="21">
        <v>2780200</v>
      </c>
      <c r="BH97" s="21">
        <v>3574400</v>
      </c>
      <c r="BI97" s="21">
        <v>1754000</v>
      </c>
      <c r="BJ97" s="21">
        <v>1648500</v>
      </c>
      <c r="BK97" s="21">
        <v>1397900</v>
      </c>
      <c r="BL97" s="21">
        <v>1352800</v>
      </c>
      <c r="BM97" s="1">
        <v>1614200</v>
      </c>
      <c r="BN97" s="1">
        <v>697500</v>
      </c>
      <c r="BO97" s="1">
        <v>1287400</v>
      </c>
      <c r="BP97" s="1">
        <v>1135200</v>
      </c>
      <c r="BQ97" s="1">
        <v>1139000</v>
      </c>
      <c r="BR97" s="1">
        <v>1335900</v>
      </c>
      <c r="BS97" s="1">
        <v>1199800</v>
      </c>
      <c r="BT97" s="1">
        <v>1084900</v>
      </c>
      <c r="BU97" s="1">
        <v>1453800</v>
      </c>
      <c r="BV97" s="1">
        <v>1012100</v>
      </c>
      <c r="BW97" s="1">
        <v>933000</v>
      </c>
      <c r="BX97" s="1">
        <v>930400</v>
      </c>
      <c r="BY97" s="1">
        <v>1472400</v>
      </c>
      <c r="BZ97" s="1">
        <v>1254800</v>
      </c>
    </row>
    <row r="98" spans="1:254" ht="15.9" customHeight="1">
      <c r="A98" s="393" t="s">
        <v>191</v>
      </c>
      <c r="B98" s="46" t="s">
        <v>192</v>
      </c>
      <c r="C98" s="50">
        <f>_xll.RssMarket("4188","出来高")</f>
        <v>4918000</v>
      </c>
      <c r="D98" s="202">
        <f t="shared" si="1"/>
        <v>0</v>
      </c>
      <c r="E98" s="200">
        <v>4918000</v>
      </c>
      <c r="F98" s="21">
        <v>6498800</v>
      </c>
      <c r="G98" s="21">
        <v>7091700</v>
      </c>
      <c r="H98" s="21">
        <v>9770500</v>
      </c>
      <c r="I98" s="21">
        <v>14425300</v>
      </c>
      <c r="J98" s="21">
        <v>6749200</v>
      </c>
      <c r="K98" s="21">
        <v>7450700</v>
      </c>
      <c r="L98" s="21">
        <v>6240800</v>
      </c>
      <c r="M98" s="21">
        <v>5951000</v>
      </c>
      <c r="N98" s="21"/>
      <c r="O98" s="21">
        <v>4535000</v>
      </c>
      <c r="P98" s="21">
        <v>7349100</v>
      </c>
      <c r="Q98" s="21">
        <v>6827700</v>
      </c>
      <c r="R98" s="21">
        <v>6704900</v>
      </c>
      <c r="S98" s="21">
        <v>4726400</v>
      </c>
      <c r="T98" s="21">
        <v>5534200</v>
      </c>
      <c r="U98" s="21">
        <v>4077700</v>
      </c>
      <c r="V98" s="21">
        <v>4997500</v>
      </c>
      <c r="W98" s="21">
        <v>5338100</v>
      </c>
      <c r="X98" s="21">
        <v>7222000</v>
      </c>
      <c r="Y98" s="21">
        <v>6774500</v>
      </c>
      <c r="Z98" s="21">
        <v>6039100</v>
      </c>
      <c r="AA98" s="21">
        <v>5744300</v>
      </c>
      <c r="AB98" s="21">
        <v>4771600</v>
      </c>
      <c r="AC98" s="21">
        <v>5998300</v>
      </c>
      <c r="AD98" s="21">
        <v>8022600</v>
      </c>
      <c r="AE98" s="21">
        <v>9806100</v>
      </c>
      <c r="AF98" s="21">
        <v>5538600</v>
      </c>
      <c r="AG98" s="21">
        <v>5407700</v>
      </c>
      <c r="AH98" s="21">
        <v>5624300</v>
      </c>
      <c r="AI98" s="21">
        <v>6530000</v>
      </c>
      <c r="AJ98" s="21">
        <v>5573400</v>
      </c>
      <c r="AK98" s="21">
        <v>7390400</v>
      </c>
      <c r="AL98" s="21">
        <v>9149900</v>
      </c>
      <c r="AM98" s="21">
        <v>7563000</v>
      </c>
      <c r="AN98" s="21">
        <v>4768100</v>
      </c>
      <c r="AO98" s="21">
        <v>5928900</v>
      </c>
      <c r="AP98" s="21">
        <v>7848100</v>
      </c>
      <c r="AQ98" s="21">
        <v>6138900</v>
      </c>
      <c r="AR98" s="21">
        <v>4932200</v>
      </c>
      <c r="AS98" s="21">
        <v>5371000</v>
      </c>
      <c r="AT98" s="21">
        <v>5688000</v>
      </c>
      <c r="AU98" s="21">
        <v>4724200</v>
      </c>
      <c r="AV98" s="21">
        <v>5952200</v>
      </c>
      <c r="AW98" s="21">
        <v>5391500</v>
      </c>
      <c r="AX98" s="21">
        <v>10577300</v>
      </c>
      <c r="AY98" s="21">
        <v>7865100</v>
      </c>
      <c r="AZ98" s="21">
        <v>6782700</v>
      </c>
      <c r="BA98" s="21">
        <v>10479300</v>
      </c>
      <c r="BB98" s="21">
        <v>5108300</v>
      </c>
      <c r="BC98" s="21">
        <v>7807500</v>
      </c>
      <c r="BD98" s="21">
        <v>7176100</v>
      </c>
      <c r="BE98" s="21">
        <v>6773900</v>
      </c>
      <c r="BF98" s="21">
        <v>5269400</v>
      </c>
      <c r="BG98" s="21">
        <v>10576800</v>
      </c>
      <c r="BH98" s="21">
        <v>15257100</v>
      </c>
      <c r="BI98" s="21">
        <v>27241500</v>
      </c>
      <c r="BJ98" s="21">
        <v>5823200</v>
      </c>
      <c r="BK98" s="21">
        <v>7365700</v>
      </c>
      <c r="BL98" s="21">
        <v>7575100</v>
      </c>
      <c r="BM98" s="1">
        <v>10686600</v>
      </c>
      <c r="BN98" s="1">
        <v>4518500</v>
      </c>
      <c r="BO98" s="1">
        <v>7575100</v>
      </c>
      <c r="BP98" s="1">
        <v>6184100</v>
      </c>
      <c r="BQ98" s="1">
        <v>5186600</v>
      </c>
      <c r="BR98" s="1">
        <v>3611200</v>
      </c>
      <c r="BS98" s="1">
        <v>6537700</v>
      </c>
      <c r="BT98" s="1">
        <v>4788500</v>
      </c>
      <c r="BU98" s="1">
        <v>5791800</v>
      </c>
      <c r="BV98" s="1">
        <v>6322400</v>
      </c>
      <c r="BW98" s="1">
        <v>4825800</v>
      </c>
      <c r="BX98" s="1">
        <v>4911100</v>
      </c>
      <c r="BY98" s="1">
        <v>8840100</v>
      </c>
      <c r="BZ98" s="1">
        <v>5158600</v>
      </c>
    </row>
    <row r="99" spans="1:254" ht="15.9" customHeight="1">
      <c r="A99" s="393" t="s">
        <v>193</v>
      </c>
      <c r="B99" s="46" t="s">
        <v>194</v>
      </c>
      <c r="C99" s="50">
        <f>_xll.RssMarket("4523","出来高")</f>
        <v>1421600</v>
      </c>
      <c r="D99" s="202">
        <f t="shared" si="1"/>
        <v>0</v>
      </c>
      <c r="E99" s="200">
        <v>1421600</v>
      </c>
      <c r="F99" s="21">
        <v>1748500</v>
      </c>
      <c r="G99" s="21">
        <v>1806700</v>
      </c>
      <c r="H99" s="21">
        <v>2274700</v>
      </c>
      <c r="I99" s="21">
        <v>2497600</v>
      </c>
      <c r="J99" s="21">
        <v>2428300</v>
      </c>
      <c r="K99" s="21">
        <v>3429200</v>
      </c>
      <c r="L99" s="21">
        <v>1836300</v>
      </c>
      <c r="M99" s="21">
        <v>2045100</v>
      </c>
      <c r="N99" s="21">
        <v>1441600</v>
      </c>
      <c r="O99" s="21">
        <v>1202400</v>
      </c>
      <c r="P99" s="21">
        <v>1564000</v>
      </c>
      <c r="Q99" s="21">
        <v>1884600</v>
      </c>
      <c r="R99" s="21">
        <v>1934700</v>
      </c>
      <c r="S99" s="21">
        <v>1765700</v>
      </c>
      <c r="T99" s="21">
        <v>2570300</v>
      </c>
      <c r="U99" s="21">
        <v>1196800</v>
      </c>
      <c r="V99" s="21">
        <v>1513100</v>
      </c>
      <c r="W99" s="21">
        <v>1640200</v>
      </c>
      <c r="X99" s="21">
        <v>1395300</v>
      </c>
      <c r="Y99" s="21">
        <v>1633400</v>
      </c>
      <c r="Z99" s="21">
        <v>1289000</v>
      </c>
      <c r="AA99" s="21">
        <v>1598200</v>
      </c>
      <c r="AB99" s="21">
        <v>1778100</v>
      </c>
      <c r="AC99" s="21">
        <v>1072700</v>
      </c>
      <c r="AD99" s="21">
        <v>1818900</v>
      </c>
      <c r="AE99" s="21">
        <v>4170300</v>
      </c>
      <c r="AF99" s="21">
        <v>1620500</v>
      </c>
      <c r="AG99" s="21">
        <v>1437000</v>
      </c>
      <c r="AH99" s="21">
        <v>1345500</v>
      </c>
      <c r="AI99" s="21">
        <v>1736100</v>
      </c>
      <c r="AJ99" s="21">
        <v>1395000</v>
      </c>
      <c r="AK99" s="21">
        <v>2438200</v>
      </c>
      <c r="AL99" s="21">
        <v>2448700</v>
      </c>
      <c r="AM99" s="21">
        <v>1988700</v>
      </c>
      <c r="AN99" s="21">
        <v>1702600</v>
      </c>
      <c r="AO99" s="21">
        <v>1728800</v>
      </c>
      <c r="AP99" s="21">
        <v>1735600</v>
      </c>
      <c r="AQ99" s="21">
        <v>1960900</v>
      </c>
      <c r="AR99" s="21">
        <v>1955700</v>
      </c>
      <c r="AS99" s="21">
        <v>1696200</v>
      </c>
      <c r="AT99" s="21">
        <v>1769400</v>
      </c>
      <c r="AU99" s="21">
        <v>1753400</v>
      </c>
      <c r="AV99" s="21">
        <v>2179400</v>
      </c>
      <c r="AW99" s="21">
        <v>2323400</v>
      </c>
      <c r="AX99" s="21">
        <v>3394200</v>
      </c>
      <c r="AY99" s="21">
        <v>2698800</v>
      </c>
      <c r="AZ99" s="21">
        <v>2164800</v>
      </c>
      <c r="BA99" s="21">
        <v>1783500</v>
      </c>
      <c r="BB99" s="21">
        <v>2045300</v>
      </c>
      <c r="BC99" s="21">
        <v>1851200</v>
      </c>
      <c r="BD99" s="21">
        <v>2678300</v>
      </c>
      <c r="BE99" s="21">
        <v>1727000</v>
      </c>
      <c r="BF99" s="21">
        <v>2716800</v>
      </c>
      <c r="BG99" s="21">
        <v>1652100</v>
      </c>
      <c r="BH99" s="21">
        <v>1216700</v>
      </c>
      <c r="BI99" s="21">
        <v>1116100</v>
      </c>
      <c r="BJ99" s="21">
        <v>964500</v>
      </c>
      <c r="BK99" s="21">
        <v>1495000</v>
      </c>
      <c r="BL99" s="21">
        <v>1542100</v>
      </c>
      <c r="BM99" s="1">
        <v>1336600</v>
      </c>
      <c r="BN99" s="1">
        <v>875000</v>
      </c>
      <c r="BO99" s="1">
        <v>1690500</v>
      </c>
      <c r="BP99" s="1">
        <v>1147300</v>
      </c>
      <c r="BQ99" s="1">
        <v>1335800</v>
      </c>
      <c r="BR99" s="1">
        <v>727400</v>
      </c>
      <c r="BS99" s="1">
        <v>861600</v>
      </c>
      <c r="BT99" s="1">
        <v>1188600</v>
      </c>
      <c r="BU99" s="1">
        <v>843600</v>
      </c>
      <c r="BV99" s="1">
        <v>763000</v>
      </c>
      <c r="BW99" s="1">
        <v>812800</v>
      </c>
      <c r="BX99" s="1">
        <v>776700</v>
      </c>
      <c r="BY99" s="1">
        <v>1180400</v>
      </c>
      <c r="BZ99" s="1">
        <v>1069000</v>
      </c>
    </row>
    <row r="100" spans="1:254" ht="15.9" customHeight="1">
      <c r="A100" s="393" t="s">
        <v>195</v>
      </c>
      <c r="B100" s="46" t="s">
        <v>196</v>
      </c>
      <c r="C100" s="50">
        <f>_xll.RssMarket("4528","出来高")</f>
        <v>1513200</v>
      </c>
      <c r="D100" s="202">
        <f t="shared" si="1"/>
        <v>0</v>
      </c>
      <c r="E100" s="200">
        <v>1513200</v>
      </c>
      <c r="F100" s="21">
        <v>1636100</v>
      </c>
      <c r="G100" s="21">
        <v>2047600</v>
      </c>
      <c r="H100" s="21">
        <v>1775600</v>
      </c>
      <c r="I100" s="21">
        <v>3274400</v>
      </c>
      <c r="J100" s="21">
        <v>1852100</v>
      </c>
      <c r="K100" s="21">
        <v>2326700</v>
      </c>
      <c r="L100" s="21">
        <v>1462400</v>
      </c>
      <c r="M100" s="21">
        <v>1568600</v>
      </c>
      <c r="N100" s="21"/>
      <c r="O100" s="21">
        <v>1081400</v>
      </c>
      <c r="P100" s="21">
        <v>1236400</v>
      </c>
      <c r="Q100" s="21">
        <v>1492300</v>
      </c>
      <c r="R100" s="21">
        <v>2057200</v>
      </c>
      <c r="S100" s="21">
        <v>1516100</v>
      </c>
      <c r="T100" s="21">
        <v>1327200</v>
      </c>
      <c r="U100" s="21">
        <v>1072800</v>
      </c>
      <c r="V100" s="21">
        <v>1422400</v>
      </c>
      <c r="W100" s="21">
        <v>1131700</v>
      </c>
      <c r="X100" s="21">
        <v>1453500</v>
      </c>
      <c r="Y100" s="21">
        <v>1280500</v>
      </c>
      <c r="Z100" s="21">
        <v>1202300</v>
      </c>
      <c r="AA100" s="21">
        <v>1067000</v>
      </c>
      <c r="AB100" s="21">
        <v>1440100</v>
      </c>
      <c r="AC100" s="21">
        <v>1547900</v>
      </c>
      <c r="AD100" s="21">
        <v>1925000</v>
      </c>
      <c r="AE100" s="21">
        <v>1926200</v>
      </c>
      <c r="AF100" s="21">
        <v>1384000</v>
      </c>
      <c r="AG100" s="21">
        <v>1145000</v>
      </c>
      <c r="AH100" s="21">
        <v>1427500</v>
      </c>
      <c r="AI100" s="21">
        <v>1735400</v>
      </c>
      <c r="AJ100" s="21">
        <v>1832500</v>
      </c>
      <c r="AK100" s="21">
        <v>2238300</v>
      </c>
      <c r="AL100" s="21">
        <v>1411600</v>
      </c>
      <c r="AM100" s="21">
        <v>1121900</v>
      </c>
      <c r="AN100" s="21">
        <v>1555000</v>
      </c>
      <c r="AO100" s="21">
        <v>1880800</v>
      </c>
      <c r="AP100" s="21">
        <v>1938800</v>
      </c>
      <c r="AQ100" s="21">
        <v>1702500</v>
      </c>
      <c r="AR100" s="21">
        <v>1727700</v>
      </c>
      <c r="AS100" s="21">
        <v>1828100</v>
      </c>
      <c r="AT100" s="21">
        <v>1647400</v>
      </c>
      <c r="AU100" s="21">
        <v>2306700</v>
      </c>
      <c r="AV100" s="21">
        <v>3190200</v>
      </c>
      <c r="AW100" s="21">
        <v>2742900</v>
      </c>
      <c r="AX100" s="21">
        <v>1997700</v>
      </c>
      <c r="AY100" s="21">
        <v>1638000</v>
      </c>
      <c r="AZ100" s="21">
        <v>2270800</v>
      </c>
      <c r="BA100" s="21">
        <v>1470700</v>
      </c>
      <c r="BB100" s="21">
        <v>2447800</v>
      </c>
      <c r="BC100" s="21">
        <v>1856600</v>
      </c>
      <c r="BD100" s="21">
        <v>1860400</v>
      </c>
      <c r="BE100" s="21">
        <v>1908300</v>
      </c>
      <c r="BF100" s="21">
        <v>1545800</v>
      </c>
      <c r="BG100" s="21">
        <v>1470500</v>
      </c>
      <c r="BH100" s="21">
        <v>1412300</v>
      </c>
      <c r="BI100" s="21">
        <v>2630000</v>
      </c>
      <c r="BJ100" s="21">
        <v>1518900</v>
      </c>
      <c r="BK100" s="21">
        <v>2647600</v>
      </c>
      <c r="BL100" s="21">
        <v>5080800</v>
      </c>
      <c r="BM100" s="1">
        <v>2830800</v>
      </c>
      <c r="BN100" s="1">
        <v>1496900</v>
      </c>
      <c r="BO100" s="1">
        <v>1916700</v>
      </c>
      <c r="BP100" s="1">
        <v>1766800</v>
      </c>
      <c r="BQ100" s="1">
        <v>1169200</v>
      </c>
      <c r="BR100" s="1">
        <v>1461100</v>
      </c>
      <c r="BS100" s="1">
        <v>1770400</v>
      </c>
      <c r="BT100" s="1">
        <v>2105000</v>
      </c>
      <c r="BU100" s="1">
        <v>1464700</v>
      </c>
      <c r="BV100" s="1">
        <v>1318800</v>
      </c>
      <c r="BW100" s="1">
        <v>1886100</v>
      </c>
      <c r="BX100" s="1">
        <v>1465800</v>
      </c>
      <c r="BY100" s="1">
        <v>2050200</v>
      </c>
      <c r="BZ100" s="1">
        <v>1496100</v>
      </c>
    </row>
    <row r="101" spans="1:254" ht="15.9" customHeight="1">
      <c r="A101" s="393" t="s">
        <v>197</v>
      </c>
      <c r="B101" s="46" t="s">
        <v>198</v>
      </c>
      <c r="C101" s="50">
        <f>_xll.RssMarket("4661","出来高")</f>
        <v>6257700</v>
      </c>
      <c r="D101" s="202">
        <f t="shared" si="1"/>
        <v>0</v>
      </c>
      <c r="E101" s="200">
        <v>6257700</v>
      </c>
      <c r="F101" s="21">
        <v>6441700</v>
      </c>
      <c r="G101" s="21">
        <v>7951800</v>
      </c>
      <c r="H101" s="21">
        <v>9944700</v>
      </c>
      <c r="I101" s="21">
        <v>21555500</v>
      </c>
      <c r="J101" s="21">
        <v>10626000</v>
      </c>
      <c r="K101" s="21">
        <v>11912800</v>
      </c>
      <c r="L101" s="21">
        <v>8157800</v>
      </c>
      <c r="M101" s="21">
        <v>7732300</v>
      </c>
      <c r="N101" s="21"/>
      <c r="O101" s="21">
        <v>4446600</v>
      </c>
      <c r="P101" s="21">
        <v>8433900</v>
      </c>
      <c r="Q101" s="21">
        <v>6534700</v>
      </c>
      <c r="R101" s="21">
        <v>6591600</v>
      </c>
      <c r="S101" s="21">
        <v>8770200</v>
      </c>
      <c r="T101" s="21">
        <v>11927900</v>
      </c>
      <c r="U101" s="21">
        <v>3837200</v>
      </c>
      <c r="V101" s="21">
        <v>4206100</v>
      </c>
      <c r="W101" s="21">
        <v>4386200</v>
      </c>
      <c r="X101" s="21">
        <v>5529800</v>
      </c>
      <c r="Y101" s="21">
        <v>6120900</v>
      </c>
      <c r="Z101" s="21">
        <v>4290300</v>
      </c>
      <c r="AA101" s="21">
        <v>4980300</v>
      </c>
      <c r="AB101" s="21">
        <v>4709600</v>
      </c>
      <c r="AC101" s="21">
        <v>4823700</v>
      </c>
      <c r="AD101" s="21">
        <v>4998500</v>
      </c>
      <c r="AE101" s="21">
        <v>7379500</v>
      </c>
      <c r="AF101" s="21">
        <v>4114100</v>
      </c>
      <c r="AG101" s="21">
        <v>5148500</v>
      </c>
      <c r="AH101" s="21">
        <v>6627100</v>
      </c>
      <c r="AI101" s="21">
        <v>6554600</v>
      </c>
      <c r="AJ101" s="21">
        <v>4243200</v>
      </c>
      <c r="AK101" s="21">
        <v>7179300</v>
      </c>
      <c r="AL101" s="21">
        <v>5093300</v>
      </c>
      <c r="AM101" s="21">
        <v>4234100</v>
      </c>
      <c r="AN101" s="21">
        <v>4418000</v>
      </c>
      <c r="AO101" s="21">
        <v>5004700</v>
      </c>
      <c r="AP101" s="21">
        <v>6707300</v>
      </c>
      <c r="AQ101" s="21">
        <v>5696300</v>
      </c>
      <c r="AR101" s="21">
        <v>7004500</v>
      </c>
      <c r="AS101" s="21">
        <v>6141000</v>
      </c>
      <c r="AT101" s="21">
        <v>4043200</v>
      </c>
      <c r="AU101" s="21">
        <v>4070600</v>
      </c>
      <c r="AV101" s="21">
        <v>5882900</v>
      </c>
      <c r="AW101" s="21">
        <v>7497600</v>
      </c>
      <c r="AX101" s="21">
        <v>11732400</v>
      </c>
      <c r="AY101" s="21">
        <v>7737900</v>
      </c>
      <c r="AZ101" s="21">
        <v>5631100</v>
      </c>
      <c r="BA101" s="21">
        <v>4427600</v>
      </c>
      <c r="BB101" s="21">
        <v>5488800</v>
      </c>
      <c r="BC101" s="21">
        <v>7407400</v>
      </c>
      <c r="BD101" s="21">
        <v>5918400</v>
      </c>
      <c r="BE101" s="21">
        <v>6635400</v>
      </c>
      <c r="BF101" s="21">
        <v>5753000</v>
      </c>
      <c r="BG101" s="21">
        <v>4894400</v>
      </c>
      <c r="BH101" s="21">
        <v>5794000</v>
      </c>
      <c r="BI101" s="21">
        <v>5341200</v>
      </c>
      <c r="BJ101" s="21">
        <v>4889200</v>
      </c>
      <c r="BK101" s="21">
        <v>6984800</v>
      </c>
      <c r="BL101" s="21">
        <v>8435400</v>
      </c>
      <c r="BM101" s="1">
        <v>14737900</v>
      </c>
      <c r="BN101" s="1">
        <v>9239000</v>
      </c>
      <c r="BO101" s="1">
        <v>23914700</v>
      </c>
      <c r="BP101" s="1">
        <v>6665100</v>
      </c>
      <c r="BQ101" s="1">
        <v>7915300</v>
      </c>
      <c r="BR101" s="1">
        <v>8297100</v>
      </c>
      <c r="BS101" s="1">
        <v>7872200</v>
      </c>
      <c r="BT101" s="1">
        <v>3559600</v>
      </c>
      <c r="BU101" s="1">
        <v>2835000</v>
      </c>
      <c r="BV101" s="1">
        <v>2678200</v>
      </c>
      <c r="BW101" s="1">
        <v>3100700</v>
      </c>
      <c r="BX101" s="1">
        <v>4044400</v>
      </c>
      <c r="BY101" s="1">
        <v>5357000</v>
      </c>
      <c r="BZ101" s="1">
        <v>4294600</v>
      </c>
    </row>
    <row r="102" spans="1:254" ht="15.9" customHeight="1">
      <c r="A102" s="393" t="s">
        <v>199</v>
      </c>
      <c r="B102" s="46" t="s">
        <v>200</v>
      </c>
      <c r="C102" s="50">
        <f>_xll.RssMarket("5802","出来高")</f>
        <v>31968400</v>
      </c>
      <c r="D102" s="202">
        <f t="shared" si="1"/>
        <v>0</v>
      </c>
      <c r="E102" s="200">
        <v>31968400</v>
      </c>
      <c r="F102" s="21">
        <v>30948900</v>
      </c>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1"/>
      <c r="BB102" s="21"/>
      <c r="BC102" s="21"/>
      <c r="BD102" s="21"/>
      <c r="BE102" s="21"/>
      <c r="BF102" s="21"/>
      <c r="BG102" s="21"/>
      <c r="BH102" s="21"/>
      <c r="BI102" s="21"/>
      <c r="BJ102" s="21"/>
      <c r="BK102" s="21"/>
      <c r="BL102" s="21"/>
    </row>
    <row r="103" spans="1:254" ht="15.9" customHeight="1">
      <c r="A103" s="393" t="s">
        <v>201</v>
      </c>
      <c r="B103" s="46" t="s">
        <v>202</v>
      </c>
      <c r="C103" s="50">
        <f>_xll.RssMarket("5803","出来高")</f>
        <v>57561600</v>
      </c>
      <c r="D103" s="202">
        <f t="shared" si="1"/>
        <v>0</v>
      </c>
      <c r="E103" s="200">
        <v>57561600</v>
      </c>
      <c r="F103" s="21">
        <v>48207800</v>
      </c>
      <c r="G103" s="21">
        <v>54429600</v>
      </c>
      <c r="H103" s="21">
        <v>38401200</v>
      </c>
      <c r="I103" s="21">
        <v>73627300</v>
      </c>
      <c r="J103" s="21">
        <v>48318100</v>
      </c>
      <c r="K103" s="21">
        <v>53924500</v>
      </c>
      <c r="L103" s="21">
        <v>39640100</v>
      </c>
      <c r="M103" s="21">
        <v>41066100</v>
      </c>
      <c r="N103" s="21">
        <v>28103100</v>
      </c>
      <c r="O103" s="21">
        <v>31624200</v>
      </c>
      <c r="P103" s="21">
        <v>38205300</v>
      </c>
      <c r="Q103" s="21">
        <v>29986600</v>
      </c>
      <c r="R103" s="21">
        <v>47075400</v>
      </c>
      <c r="S103" s="21">
        <v>32782500</v>
      </c>
      <c r="T103" s="21">
        <v>44664300</v>
      </c>
      <c r="U103" s="21">
        <v>40749200</v>
      </c>
      <c r="V103" s="21">
        <v>42643000</v>
      </c>
      <c r="W103" s="21">
        <v>45092500</v>
      </c>
      <c r="X103" s="21">
        <v>40311200</v>
      </c>
      <c r="Y103" s="21">
        <v>35968500</v>
      </c>
      <c r="Z103" s="21">
        <v>32123000</v>
      </c>
      <c r="AA103" s="21">
        <v>42677500</v>
      </c>
      <c r="AB103" s="21">
        <v>34213100</v>
      </c>
      <c r="AC103" s="21">
        <v>39659300</v>
      </c>
      <c r="AD103" s="21">
        <v>46151000</v>
      </c>
      <c r="AE103" s="21">
        <v>56572900</v>
      </c>
      <c r="AF103" s="21">
        <v>61307100</v>
      </c>
      <c r="AG103" s="21">
        <v>50848200</v>
      </c>
      <c r="AH103" s="21">
        <v>80829900</v>
      </c>
      <c r="AI103" s="21">
        <v>154230200</v>
      </c>
      <c r="AJ103" s="21">
        <v>2675400</v>
      </c>
      <c r="AK103" s="21">
        <v>3131200</v>
      </c>
      <c r="AL103" s="21">
        <v>48865900</v>
      </c>
      <c r="AM103" s="21">
        <v>35504300</v>
      </c>
      <c r="AN103" s="21">
        <v>68142600</v>
      </c>
      <c r="AO103" s="21">
        <v>37526700</v>
      </c>
      <c r="AP103" s="21">
        <v>45471600</v>
      </c>
      <c r="AQ103" s="21">
        <v>51253400</v>
      </c>
      <c r="AR103" s="21">
        <v>54543200</v>
      </c>
      <c r="AS103" s="21">
        <v>45195300</v>
      </c>
      <c r="AT103" s="21">
        <v>46983000</v>
      </c>
      <c r="AU103" s="21">
        <v>45052400</v>
      </c>
      <c r="AV103" s="21">
        <v>82340200</v>
      </c>
      <c r="AW103" s="21">
        <v>48742800</v>
      </c>
      <c r="AX103" s="21">
        <v>71394000</v>
      </c>
      <c r="AY103" s="21">
        <v>66629900</v>
      </c>
      <c r="AZ103" s="21">
        <v>71871700</v>
      </c>
      <c r="BA103" s="21">
        <v>60516700</v>
      </c>
      <c r="BB103" s="21">
        <v>105386700</v>
      </c>
      <c r="BC103" s="21">
        <v>98432700</v>
      </c>
      <c r="BD103" s="21">
        <v>116069900</v>
      </c>
      <c r="BE103" s="21">
        <v>124339100</v>
      </c>
      <c r="BF103" s="21">
        <v>86555100</v>
      </c>
      <c r="BG103" s="21">
        <v>128904500</v>
      </c>
      <c r="BH103" s="21">
        <v>57118100</v>
      </c>
      <c r="BI103" s="21">
        <v>62691200</v>
      </c>
      <c r="BJ103" s="21">
        <v>90480800</v>
      </c>
      <c r="BK103" s="21">
        <v>40738700</v>
      </c>
      <c r="BL103" s="21">
        <v>43386200</v>
      </c>
      <c r="BM103" s="1">
        <v>49010500</v>
      </c>
      <c r="BN103" s="1">
        <v>28397000</v>
      </c>
      <c r="BO103" s="1">
        <v>39274600</v>
      </c>
      <c r="BP103" s="1">
        <v>46167300</v>
      </c>
      <c r="BQ103" s="1">
        <v>52739100</v>
      </c>
      <c r="BR103" s="1">
        <v>40846300</v>
      </c>
      <c r="BS103" s="1">
        <v>57099000</v>
      </c>
      <c r="BT103" s="1">
        <v>42928800</v>
      </c>
      <c r="BU103" s="1">
        <v>49306000</v>
      </c>
      <c r="BV103" s="1">
        <v>49029200</v>
      </c>
      <c r="BW103" s="1">
        <v>49543600</v>
      </c>
      <c r="BX103" s="1">
        <v>53271700</v>
      </c>
      <c r="BY103" s="1">
        <v>57485900</v>
      </c>
      <c r="BZ103" s="1">
        <v>63357200</v>
      </c>
    </row>
    <row r="104" spans="1:254" ht="15.9" customHeight="1">
      <c r="A104" s="393" t="s">
        <v>203</v>
      </c>
      <c r="B104" s="46" t="s">
        <v>204</v>
      </c>
      <c r="C104" s="50">
        <f>_xll.RssMarket("6178","出来高")</f>
        <v>3921800</v>
      </c>
      <c r="D104" s="202">
        <f t="shared" si="1"/>
        <v>0</v>
      </c>
      <c r="E104" s="200">
        <v>3921800</v>
      </c>
      <c r="F104" s="21">
        <v>4097900</v>
      </c>
      <c r="G104" s="21">
        <v>5100300</v>
      </c>
      <c r="H104" s="21">
        <v>5983400</v>
      </c>
      <c r="I104" s="21">
        <v>6692700</v>
      </c>
      <c r="J104" s="21">
        <v>5753000</v>
      </c>
      <c r="K104" s="21">
        <v>6922100</v>
      </c>
      <c r="L104" s="21">
        <v>5153000</v>
      </c>
      <c r="M104" s="21">
        <v>5707000</v>
      </c>
      <c r="N104" s="21">
        <v>6080900</v>
      </c>
      <c r="O104" s="21">
        <v>5502900</v>
      </c>
      <c r="P104" s="21">
        <v>4927400</v>
      </c>
      <c r="Q104" s="21">
        <v>5770500</v>
      </c>
      <c r="R104" s="21">
        <v>6553400</v>
      </c>
      <c r="S104" s="21">
        <v>6605300</v>
      </c>
      <c r="T104" s="21">
        <v>4752500</v>
      </c>
      <c r="U104" s="21">
        <v>4787100</v>
      </c>
      <c r="V104" s="21">
        <v>5427300</v>
      </c>
      <c r="W104" s="21">
        <v>5833800</v>
      </c>
      <c r="X104" s="21">
        <v>6253300</v>
      </c>
      <c r="Y104" s="21">
        <v>7757400</v>
      </c>
      <c r="Z104" s="21">
        <v>4107100</v>
      </c>
      <c r="AA104" s="21">
        <v>4037800</v>
      </c>
      <c r="AB104" s="21">
        <v>4825100</v>
      </c>
      <c r="AC104" s="21">
        <v>5231700</v>
      </c>
      <c r="AD104" s="21">
        <v>5022600</v>
      </c>
      <c r="AE104" s="21">
        <v>5144000</v>
      </c>
      <c r="AF104" s="21">
        <v>5143200</v>
      </c>
      <c r="AG104" s="21">
        <v>5306200</v>
      </c>
      <c r="AH104" s="21">
        <v>7296900</v>
      </c>
      <c r="AI104" s="21">
        <v>4550200</v>
      </c>
      <c r="AJ104" s="21">
        <v>3687900</v>
      </c>
      <c r="AK104" s="21">
        <v>6401400</v>
      </c>
      <c r="AL104" s="21">
        <v>5385900</v>
      </c>
      <c r="AM104" s="21">
        <v>5707300</v>
      </c>
      <c r="AN104" s="21">
        <v>4930800</v>
      </c>
      <c r="AO104" s="21">
        <v>5298900</v>
      </c>
      <c r="AP104" s="21">
        <v>11509700</v>
      </c>
      <c r="AQ104" s="21">
        <v>7369600</v>
      </c>
      <c r="AR104" s="21">
        <v>7432300</v>
      </c>
      <c r="AS104" s="21">
        <v>5719500</v>
      </c>
      <c r="AT104" s="21">
        <v>4225500</v>
      </c>
      <c r="AU104" s="21">
        <v>5974500</v>
      </c>
      <c r="AV104" s="21">
        <v>6170100</v>
      </c>
      <c r="AW104" s="21">
        <v>5438700</v>
      </c>
      <c r="AX104" s="21">
        <v>12417400</v>
      </c>
      <c r="AY104" s="21">
        <v>23062400</v>
      </c>
      <c r="AZ104" s="21">
        <v>6485500</v>
      </c>
      <c r="BA104" s="21">
        <v>6223700</v>
      </c>
      <c r="BB104" s="21">
        <v>4791000</v>
      </c>
      <c r="BC104" s="21">
        <v>8548200</v>
      </c>
      <c r="BD104" s="21">
        <v>8577200</v>
      </c>
      <c r="BE104" s="21">
        <v>7908500</v>
      </c>
      <c r="BF104" s="21">
        <v>12590600</v>
      </c>
      <c r="BG104" s="21">
        <v>5957200</v>
      </c>
      <c r="BH104" s="21">
        <v>4668100</v>
      </c>
      <c r="BI104" s="21">
        <v>4964600</v>
      </c>
      <c r="BJ104" s="21">
        <v>4918200</v>
      </c>
      <c r="BK104" s="21">
        <v>3628400</v>
      </c>
      <c r="BL104" s="21">
        <v>5490100</v>
      </c>
      <c r="BM104" s="1">
        <v>5991100</v>
      </c>
      <c r="BN104" s="1">
        <v>3642000</v>
      </c>
      <c r="BO104" s="1">
        <v>6341300</v>
      </c>
      <c r="BP104" s="1">
        <v>5140500</v>
      </c>
      <c r="BQ104" s="1">
        <v>6389000</v>
      </c>
      <c r="BR104" s="1">
        <v>4120100</v>
      </c>
      <c r="BS104" s="1">
        <v>6404700</v>
      </c>
      <c r="BT104" s="1">
        <v>4093600</v>
      </c>
      <c r="BU104" s="1">
        <v>4614300</v>
      </c>
      <c r="BV104" s="1">
        <v>3288600</v>
      </c>
      <c r="BW104" s="1">
        <v>4178500</v>
      </c>
      <c r="BX104" s="1">
        <v>3591700</v>
      </c>
      <c r="BY104" s="1">
        <v>3346500</v>
      </c>
      <c r="BZ104" s="1">
        <v>3070900</v>
      </c>
    </row>
    <row r="105" spans="1:254" ht="15.9" customHeight="1">
      <c r="A105" s="393" t="s">
        <v>205</v>
      </c>
      <c r="B105" s="46" t="s">
        <v>206</v>
      </c>
      <c r="C105" s="50">
        <f>_xll.RssMarket("6925","出来高")</f>
        <v>644000</v>
      </c>
      <c r="D105" s="202">
        <f t="shared" si="1"/>
        <v>0</v>
      </c>
      <c r="E105" s="200">
        <v>644000</v>
      </c>
      <c r="F105" s="21">
        <v>1360400</v>
      </c>
      <c r="G105" s="21">
        <v>719200</v>
      </c>
      <c r="H105" s="21">
        <v>373000</v>
      </c>
      <c r="I105" s="21">
        <v>422400</v>
      </c>
      <c r="J105" s="21">
        <v>400100</v>
      </c>
      <c r="K105" s="21">
        <v>516900</v>
      </c>
      <c r="L105" s="21">
        <v>435600</v>
      </c>
      <c r="M105" s="21">
        <v>256300</v>
      </c>
      <c r="N105" s="21">
        <v>395200</v>
      </c>
      <c r="O105" s="21">
        <v>360600</v>
      </c>
      <c r="P105" s="21">
        <v>338900</v>
      </c>
      <c r="Q105" s="21">
        <v>376200</v>
      </c>
      <c r="R105" s="21">
        <v>416100</v>
      </c>
      <c r="S105" s="21">
        <v>317200</v>
      </c>
      <c r="T105" s="21">
        <v>697500</v>
      </c>
      <c r="U105" s="21">
        <v>254100</v>
      </c>
      <c r="V105" s="21">
        <v>460800</v>
      </c>
      <c r="W105" s="21">
        <v>423100</v>
      </c>
      <c r="X105" s="21">
        <v>497700</v>
      </c>
      <c r="Y105" s="21">
        <v>432600</v>
      </c>
      <c r="Z105" s="21">
        <v>605100</v>
      </c>
      <c r="AA105" s="21">
        <v>534800</v>
      </c>
      <c r="AB105" s="21">
        <v>755100</v>
      </c>
      <c r="AC105" s="21">
        <v>1058100</v>
      </c>
      <c r="AD105" s="21">
        <v>477500</v>
      </c>
      <c r="AE105" s="21">
        <v>349700</v>
      </c>
      <c r="AF105" s="21">
        <v>355600</v>
      </c>
      <c r="AG105" s="21">
        <v>370000</v>
      </c>
      <c r="AH105" s="21">
        <v>451000</v>
      </c>
      <c r="AI105" s="21">
        <v>368600</v>
      </c>
      <c r="AJ105" s="21">
        <v>402800</v>
      </c>
      <c r="AK105" s="21">
        <v>580800</v>
      </c>
      <c r="AL105" s="21">
        <v>573400</v>
      </c>
      <c r="AM105" s="21">
        <v>591100</v>
      </c>
      <c r="AN105" s="21">
        <v>314800</v>
      </c>
      <c r="AO105" s="21">
        <v>473500</v>
      </c>
      <c r="AP105" s="21">
        <v>621800</v>
      </c>
      <c r="AQ105" s="21">
        <v>367800</v>
      </c>
      <c r="AR105" s="21">
        <v>360200</v>
      </c>
      <c r="AS105" s="21">
        <v>439800</v>
      </c>
      <c r="AT105" s="21">
        <v>417200</v>
      </c>
      <c r="AU105" s="21">
        <v>476600</v>
      </c>
      <c r="AV105" s="21">
        <v>666400</v>
      </c>
      <c r="AW105" s="21">
        <v>517700</v>
      </c>
      <c r="AX105" s="21">
        <v>537000</v>
      </c>
      <c r="AY105" s="21">
        <v>482600</v>
      </c>
      <c r="AZ105" s="21">
        <v>476700</v>
      </c>
      <c r="BA105" s="21">
        <v>770100</v>
      </c>
      <c r="BB105" s="21">
        <v>559000</v>
      </c>
      <c r="BC105" s="21">
        <v>1024000</v>
      </c>
      <c r="BD105" s="21">
        <v>495500</v>
      </c>
      <c r="BE105" s="21">
        <v>723700</v>
      </c>
      <c r="BF105" s="21">
        <v>1328700</v>
      </c>
      <c r="BG105" s="21">
        <v>236500</v>
      </c>
      <c r="BH105" s="21">
        <v>482500</v>
      </c>
      <c r="BI105" s="21">
        <v>551700</v>
      </c>
      <c r="BJ105" s="21">
        <v>551400</v>
      </c>
      <c r="BK105" s="21">
        <v>449800</v>
      </c>
      <c r="BL105" s="21">
        <v>515800</v>
      </c>
      <c r="BM105" s="1">
        <v>765000</v>
      </c>
      <c r="BN105" s="1">
        <v>440000</v>
      </c>
      <c r="BO105" s="1">
        <v>1032100</v>
      </c>
      <c r="BP105" s="1">
        <v>1443500</v>
      </c>
      <c r="BQ105" s="1">
        <v>382300</v>
      </c>
      <c r="BR105" s="1">
        <v>499300</v>
      </c>
      <c r="BS105" s="1">
        <v>544700</v>
      </c>
      <c r="BT105" s="1">
        <v>284500</v>
      </c>
      <c r="BU105" s="1">
        <v>229400</v>
      </c>
      <c r="BV105" s="1">
        <v>416600</v>
      </c>
      <c r="BW105" s="1">
        <v>518400</v>
      </c>
      <c r="BX105" s="1">
        <v>209000</v>
      </c>
      <c r="BY105" s="1">
        <v>229500</v>
      </c>
      <c r="BZ105" s="1">
        <v>267800</v>
      </c>
    </row>
    <row r="106" spans="1:254" ht="15.9" customHeight="1">
      <c r="A106" s="393" t="s">
        <v>207</v>
      </c>
      <c r="B106" s="46" t="s">
        <v>208</v>
      </c>
      <c r="C106" s="50">
        <f>_xll.RssMarket("7021","出来高")</f>
        <v>1400</v>
      </c>
      <c r="D106" s="202">
        <f t="shared" si="1"/>
        <v>0</v>
      </c>
      <c r="E106" s="200">
        <v>1400</v>
      </c>
      <c r="F106" s="21">
        <v>2600</v>
      </c>
      <c r="G106" s="21">
        <v>800</v>
      </c>
      <c r="H106" s="21">
        <v>800</v>
      </c>
      <c r="I106" s="21">
        <v>1800</v>
      </c>
      <c r="J106" s="21">
        <v>1200</v>
      </c>
      <c r="K106" s="21">
        <v>3000</v>
      </c>
      <c r="L106" s="21">
        <v>500</v>
      </c>
      <c r="M106" s="21">
        <v>2400</v>
      </c>
      <c r="N106" s="21">
        <v>2000</v>
      </c>
      <c r="O106" s="21">
        <v>2000</v>
      </c>
      <c r="P106" s="21">
        <v>900</v>
      </c>
      <c r="Q106" s="21">
        <v>1900</v>
      </c>
      <c r="R106" s="21">
        <v>2800</v>
      </c>
      <c r="S106" s="21">
        <v>1400</v>
      </c>
      <c r="T106" s="21">
        <v>200</v>
      </c>
      <c r="U106" s="21">
        <v>1200</v>
      </c>
      <c r="V106" s="21">
        <v>1800</v>
      </c>
      <c r="W106" s="21">
        <v>800</v>
      </c>
      <c r="X106" s="21">
        <v>1400</v>
      </c>
      <c r="Y106" s="21">
        <v>2000</v>
      </c>
      <c r="Z106" s="21">
        <v>2600</v>
      </c>
      <c r="AA106" s="21">
        <v>2100</v>
      </c>
      <c r="AB106" s="21">
        <v>600</v>
      </c>
      <c r="AC106" s="21">
        <v>700</v>
      </c>
      <c r="AD106" s="21">
        <v>1100</v>
      </c>
      <c r="AE106" s="21">
        <v>1000</v>
      </c>
      <c r="AF106" s="21">
        <v>900</v>
      </c>
      <c r="AG106" s="21">
        <v>2000</v>
      </c>
      <c r="AH106" s="21">
        <v>400</v>
      </c>
      <c r="AI106" s="21">
        <v>600</v>
      </c>
      <c r="AJ106" s="21">
        <v>3500</v>
      </c>
      <c r="AK106" s="21">
        <v>2900</v>
      </c>
      <c r="AL106" s="21">
        <v>1400</v>
      </c>
      <c r="AM106" s="21">
        <v>800</v>
      </c>
      <c r="AN106" s="21">
        <v>200</v>
      </c>
      <c r="AO106" s="21">
        <v>1100</v>
      </c>
      <c r="AP106" s="21">
        <v>400</v>
      </c>
      <c r="AQ106" s="21">
        <v>1400</v>
      </c>
      <c r="AR106" s="21">
        <v>1000</v>
      </c>
      <c r="AS106" s="21">
        <v>500</v>
      </c>
      <c r="AT106" s="21">
        <v>800</v>
      </c>
      <c r="AU106" s="21">
        <v>2000</v>
      </c>
      <c r="AV106" s="21">
        <v>1700</v>
      </c>
      <c r="AW106" s="21">
        <v>400</v>
      </c>
      <c r="AX106" s="21">
        <v>100</v>
      </c>
      <c r="AY106" s="21">
        <v>100</v>
      </c>
      <c r="AZ106" s="21">
        <v>900</v>
      </c>
      <c r="BA106" s="21">
        <v>4000</v>
      </c>
      <c r="BB106" s="21">
        <v>1400</v>
      </c>
      <c r="BC106" s="21">
        <v>8500</v>
      </c>
      <c r="BD106" s="21">
        <v>4300</v>
      </c>
      <c r="BE106" s="21">
        <v>4000</v>
      </c>
      <c r="BF106" s="21">
        <v>8700</v>
      </c>
      <c r="BG106" s="21">
        <v>11400</v>
      </c>
      <c r="BH106" s="21">
        <v>2100</v>
      </c>
      <c r="BI106" s="21">
        <v>2400</v>
      </c>
      <c r="BJ106" s="21">
        <v>2500</v>
      </c>
      <c r="BK106" s="21">
        <v>1700</v>
      </c>
      <c r="BL106" s="21">
        <v>6300</v>
      </c>
      <c r="BM106" s="1">
        <v>1400</v>
      </c>
      <c r="BN106" s="1">
        <v>1400</v>
      </c>
      <c r="BO106" s="1">
        <v>1700</v>
      </c>
      <c r="BP106" s="1">
        <v>6400</v>
      </c>
      <c r="BQ106" s="1">
        <v>1800</v>
      </c>
      <c r="BR106" s="1">
        <v>1700</v>
      </c>
      <c r="BS106" s="1">
        <v>3900</v>
      </c>
      <c r="BT106" s="1">
        <v>2200</v>
      </c>
      <c r="BU106" s="1">
        <v>1500</v>
      </c>
      <c r="BV106" s="1">
        <v>1900</v>
      </c>
      <c r="BW106" s="1">
        <v>2500</v>
      </c>
      <c r="BX106" s="1">
        <v>2900</v>
      </c>
      <c r="BY106" s="1">
        <v>1400</v>
      </c>
      <c r="BZ106" s="1">
        <v>1700</v>
      </c>
    </row>
    <row r="107" spans="1:254" ht="15.9" customHeight="1">
      <c r="A107" s="393" t="s">
        <v>209</v>
      </c>
      <c r="B107" s="46" t="s">
        <v>210</v>
      </c>
      <c r="C107" s="50">
        <f>_xll.RssMarket("7729","出来高")</f>
        <v>580500</v>
      </c>
      <c r="D107" s="202">
        <f t="shared" si="1"/>
        <v>0</v>
      </c>
      <c r="E107" s="200">
        <v>580500</v>
      </c>
      <c r="F107" s="21">
        <v>1096700</v>
      </c>
      <c r="G107" s="21">
        <v>584600</v>
      </c>
      <c r="H107" s="21">
        <v>450200</v>
      </c>
      <c r="I107" s="21">
        <v>703100</v>
      </c>
      <c r="J107" s="21">
        <v>743200</v>
      </c>
      <c r="K107" s="21">
        <v>701800</v>
      </c>
      <c r="L107" s="21">
        <v>726700</v>
      </c>
      <c r="M107" s="21">
        <v>366300</v>
      </c>
      <c r="N107" s="21">
        <v>375800</v>
      </c>
      <c r="O107" s="21">
        <v>329000</v>
      </c>
      <c r="P107" s="21">
        <v>438200</v>
      </c>
      <c r="Q107" s="21">
        <v>577200</v>
      </c>
      <c r="R107" s="21">
        <v>660000</v>
      </c>
      <c r="S107" s="21">
        <v>412600</v>
      </c>
      <c r="T107" s="21">
        <v>427600</v>
      </c>
      <c r="U107" s="21">
        <v>453800</v>
      </c>
      <c r="V107" s="21">
        <v>629800</v>
      </c>
      <c r="W107" s="21">
        <v>380500</v>
      </c>
      <c r="X107" s="21">
        <v>559700</v>
      </c>
      <c r="Y107" s="21">
        <v>592300</v>
      </c>
      <c r="Z107" s="21">
        <v>589100</v>
      </c>
      <c r="AA107" s="21">
        <v>855300</v>
      </c>
      <c r="AB107" s="21">
        <v>638400</v>
      </c>
      <c r="AC107" s="21">
        <v>522000</v>
      </c>
      <c r="AD107" s="21">
        <v>366500</v>
      </c>
      <c r="AE107" s="21">
        <v>300700</v>
      </c>
      <c r="AF107" s="21">
        <v>319900</v>
      </c>
      <c r="AG107" s="21">
        <v>395500</v>
      </c>
      <c r="AH107" s="21">
        <v>327300</v>
      </c>
      <c r="AI107" s="21">
        <v>349700</v>
      </c>
      <c r="AJ107" s="21">
        <v>281300</v>
      </c>
      <c r="AK107" s="21">
        <v>435200</v>
      </c>
      <c r="AL107" s="21">
        <v>439500</v>
      </c>
      <c r="AM107" s="21">
        <v>346200</v>
      </c>
      <c r="AN107" s="21">
        <v>442100</v>
      </c>
      <c r="AO107" s="21">
        <v>528600</v>
      </c>
      <c r="AP107" s="21">
        <v>489500</v>
      </c>
      <c r="AQ107" s="21">
        <v>496100</v>
      </c>
      <c r="AR107" s="21">
        <v>585400</v>
      </c>
      <c r="AS107" s="21">
        <v>396900</v>
      </c>
      <c r="AT107" s="21">
        <v>301700</v>
      </c>
      <c r="AU107" s="21">
        <v>382400</v>
      </c>
      <c r="AV107" s="21">
        <v>552200</v>
      </c>
      <c r="AW107" s="21">
        <v>340100</v>
      </c>
      <c r="AX107" s="21">
        <v>498200</v>
      </c>
      <c r="AY107" s="21">
        <v>315700</v>
      </c>
      <c r="AZ107" s="21">
        <v>318800</v>
      </c>
      <c r="BA107" s="21">
        <v>561400</v>
      </c>
      <c r="BB107" s="21">
        <v>313500</v>
      </c>
      <c r="BC107" s="21">
        <v>380400</v>
      </c>
      <c r="BD107" s="21">
        <v>449600</v>
      </c>
      <c r="BE107" s="21">
        <v>513000</v>
      </c>
      <c r="BF107" s="21">
        <v>366700</v>
      </c>
      <c r="BG107" s="21">
        <v>719700</v>
      </c>
      <c r="BH107" s="21">
        <v>986600</v>
      </c>
      <c r="BI107" s="21">
        <v>434800</v>
      </c>
      <c r="BJ107" s="21">
        <v>342100</v>
      </c>
      <c r="BK107" s="21">
        <v>422100</v>
      </c>
      <c r="BL107" s="21">
        <v>444600</v>
      </c>
      <c r="BM107" s="1">
        <v>477100</v>
      </c>
      <c r="BN107" s="1">
        <v>262400</v>
      </c>
      <c r="BO107" s="1">
        <v>488100</v>
      </c>
      <c r="BP107" s="1">
        <v>409700</v>
      </c>
      <c r="BQ107" s="1">
        <v>247100</v>
      </c>
      <c r="BR107" s="1">
        <v>348600</v>
      </c>
      <c r="BS107" s="1">
        <v>435600</v>
      </c>
      <c r="BT107" s="1">
        <v>429100</v>
      </c>
      <c r="BU107" s="1">
        <v>280600</v>
      </c>
      <c r="BV107" s="1">
        <v>206100</v>
      </c>
      <c r="BW107" s="1">
        <v>214500</v>
      </c>
      <c r="BX107" s="1">
        <v>323600</v>
      </c>
      <c r="BY107" s="1">
        <v>482600</v>
      </c>
      <c r="BZ107" s="1">
        <v>339000</v>
      </c>
    </row>
    <row r="108" spans="1:254" ht="15.9" customHeight="1">
      <c r="A108" s="393" t="s">
        <v>211</v>
      </c>
      <c r="B108" s="46" t="s">
        <v>212</v>
      </c>
      <c r="C108" s="50">
        <f>_xll.RssMarket("8424","出来高")</f>
        <v>130900</v>
      </c>
      <c r="D108" s="202">
        <f t="shared" si="1"/>
        <v>0</v>
      </c>
      <c r="E108" s="200">
        <v>130900</v>
      </c>
      <c r="F108" s="21">
        <v>133400</v>
      </c>
      <c r="G108" s="21">
        <v>248600</v>
      </c>
      <c r="H108" s="21">
        <v>223200</v>
      </c>
      <c r="I108" s="21">
        <v>384200</v>
      </c>
      <c r="J108" s="21">
        <v>280400</v>
      </c>
      <c r="K108" s="21">
        <v>264100</v>
      </c>
      <c r="L108" s="21">
        <v>181300</v>
      </c>
      <c r="M108" s="21">
        <v>204800</v>
      </c>
      <c r="N108" s="21">
        <v>103000</v>
      </c>
      <c r="O108" s="21">
        <v>129000</v>
      </c>
      <c r="P108" s="21">
        <v>135200</v>
      </c>
      <c r="Q108" s="21">
        <v>173900</v>
      </c>
      <c r="R108" s="21">
        <v>157200</v>
      </c>
      <c r="S108" s="21">
        <v>96800</v>
      </c>
      <c r="T108" s="21">
        <v>113100</v>
      </c>
      <c r="U108" s="21">
        <v>107100</v>
      </c>
      <c r="V108" s="21">
        <v>166400</v>
      </c>
      <c r="W108" s="21">
        <v>163300</v>
      </c>
      <c r="X108" s="21">
        <v>117700</v>
      </c>
      <c r="Y108" s="21">
        <v>117200</v>
      </c>
      <c r="Z108" s="21">
        <v>402700</v>
      </c>
      <c r="AA108" s="21">
        <v>235000</v>
      </c>
      <c r="AB108" s="21">
        <v>179700</v>
      </c>
      <c r="AC108" s="21">
        <v>123700</v>
      </c>
      <c r="AD108" s="21">
        <v>138300</v>
      </c>
      <c r="AE108" s="21">
        <v>153400</v>
      </c>
      <c r="AF108" s="21">
        <v>163200</v>
      </c>
      <c r="AG108" s="21">
        <v>134200</v>
      </c>
      <c r="AH108" s="21">
        <v>125900</v>
      </c>
      <c r="AI108" s="21">
        <v>179600</v>
      </c>
      <c r="AJ108" s="21">
        <v>160000</v>
      </c>
      <c r="AK108" s="21">
        <v>226400</v>
      </c>
      <c r="AL108" s="21">
        <v>154400</v>
      </c>
      <c r="AM108" s="21">
        <v>168700</v>
      </c>
      <c r="AN108" s="21">
        <v>131100</v>
      </c>
      <c r="AO108" s="21">
        <v>138200</v>
      </c>
      <c r="AP108" s="21">
        <v>188500</v>
      </c>
      <c r="AQ108" s="21">
        <v>113400</v>
      </c>
      <c r="AR108" s="21">
        <v>170800</v>
      </c>
      <c r="AS108" s="21">
        <v>202100</v>
      </c>
      <c r="AT108" s="21">
        <v>174000</v>
      </c>
      <c r="AU108" s="21">
        <v>172100</v>
      </c>
      <c r="AV108" s="21">
        <v>190400</v>
      </c>
      <c r="AW108" s="21">
        <v>143800</v>
      </c>
      <c r="AX108" s="21">
        <v>223700</v>
      </c>
      <c r="AY108" s="21">
        <v>133700</v>
      </c>
      <c r="AZ108" s="21">
        <v>190400</v>
      </c>
      <c r="BA108" s="21">
        <v>190600</v>
      </c>
      <c r="BB108" s="21">
        <v>182400</v>
      </c>
      <c r="BC108" s="21">
        <v>138500</v>
      </c>
      <c r="BD108" s="21">
        <v>149300</v>
      </c>
      <c r="BE108" s="21">
        <v>178900</v>
      </c>
      <c r="BF108" s="21">
        <v>188400</v>
      </c>
      <c r="BG108" s="21">
        <v>186300</v>
      </c>
      <c r="BH108" s="21">
        <v>159900</v>
      </c>
      <c r="BI108" s="21">
        <v>347000</v>
      </c>
      <c r="BJ108" s="21">
        <v>379600</v>
      </c>
      <c r="BK108" s="21">
        <v>183900</v>
      </c>
      <c r="BL108" s="21">
        <v>195500</v>
      </c>
      <c r="BM108" s="1">
        <v>199400</v>
      </c>
      <c r="BN108" s="1">
        <v>202600</v>
      </c>
      <c r="BO108" s="1">
        <v>159800</v>
      </c>
      <c r="BP108" s="1">
        <v>179900</v>
      </c>
      <c r="BQ108" s="1">
        <v>132200</v>
      </c>
      <c r="BR108" s="1">
        <v>105100</v>
      </c>
      <c r="BS108" s="1">
        <v>135300</v>
      </c>
      <c r="BT108" s="1">
        <v>154200</v>
      </c>
      <c r="BU108" s="1">
        <v>122800</v>
      </c>
      <c r="BV108" s="1">
        <v>139400</v>
      </c>
      <c r="BW108" s="1">
        <v>158000</v>
      </c>
      <c r="BX108" s="1">
        <v>159200</v>
      </c>
      <c r="BY108" s="1">
        <v>132100</v>
      </c>
      <c r="BZ108" s="1">
        <v>127600</v>
      </c>
    </row>
    <row r="109" spans="1:254" ht="15.9" customHeight="1">
      <c r="A109" s="393" t="s">
        <v>213</v>
      </c>
      <c r="B109" s="46" t="s">
        <v>214</v>
      </c>
      <c r="C109" s="50">
        <f>_xll.RssMarket("9020","出来高")</f>
        <v>3821800</v>
      </c>
      <c r="D109" s="202">
        <f t="shared" si="1"/>
        <v>0</v>
      </c>
      <c r="E109" s="200">
        <v>3821800</v>
      </c>
      <c r="F109" s="21">
        <v>3379100</v>
      </c>
      <c r="G109" s="21">
        <v>4351400</v>
      </c>
      <c r="H109" s="21">
        <v>6811400</v>
      </c>
      <c r="I109" s="21">
        <v>4152800</v>
      </c>
      <c r="J109" s="21">
        <v>3505800</v>
      </c>
      <c r="K109" s="21">
        <v>4520700</v>
      </c>
      <c r="L109" s="21">
        <v>3772800</v>
      </c>
      <c r="M109" s="21">
        <v>4003600</v>
      </c>
      <c r="N109" s="21">
        <v>2596000</v>
      </c>
      <c r="O109" s="21">
        <v>2337100</v>
      </c>
      <c r="P109" s="21">
        <v>3051700</v>
      </c>
      <c r="Q109" s="21">
        <v>4061800</v>
      </c>
      <c r="R109" s="21">
        <v>3173800</v>
      </c>
      <c r="S109" s="21">
        <v>2791300</v>
      </c>
      <c r="T109" s="21">
        <v>2749800</v>
      </c>
      <c r="U109" s="21">
        <v>2533800</v>
      </c>
      <c r="V109" s="21">
        <v>3108900</v>
      </c>
      <c r="W109" s="21">
        <v>2610500</v>
      </c>
      <c r="X109" s="21">
        <v>2392700</v>
      </c>
      <c r="Y109" s="21">
        <v>2685000</v>
      </c>
      <c r="Z109" s="21">
        <v>1699000</v>
      </c>
      <c r="AA109" s="21">
        <v>2205300</v>
      </c>
      <c r="AB109" s="21">
        <v>3174500</v>
      </c>
      <c r="AC109" s="21">
        <v>2506800</v>
      </c>
      <c r="AD109" s="21">
        <v>3405000</v>
      </c>
      <c r="AE109" s="21">
        <v>3240000</v>
      </c>
      <c r="AF109" s="21">
        <v>1957000</v>
      </c>
      <c r="AG109" s="21">
        <v>1989500</v>
      </c>
      <c r="AH109" s="21">
        <v>2475400</v>
      </c>
      <c r="AI109" s="21">
        <v>2944600</v>
      </c>
      <c r="AJ109" s="21">
        <v>2438900</v>
      </c>
      <c r="AK109" s="21">
        <v>6408600</v>
      </c>
      <c r="AL109" s="21">
        <v>3116600</v>
      </c>
      <c r="AM109" s="21">
        <v>2698700</v>
      </c>
      <c r="AN109" s="21">
        <v>2510800</v>
      </c>
      <c r="AO109" s="21">
        <v>2912600</v>
      </c>
      <c r="AP109" s="21">
        <v>3564300</v>
      </c>
      <c r="AQ109" s="21">
        <v>5537400</v>
      </c>
      <c r="AR109" s="21">
        <v>3237900</v>
      </c>
      <c r="AS109" s="21">
        <v>3307600</v>
      </c>
      <c r="AT109" s="21">
        <v>5454000</v>
      </c>
      <c r="AU109" s="21">
        <v>3704900</v>
      </c>
      <c r="AV109" s="21">
        <v>4419400</v>
      </c>
      <c r="AW109" s="21">
        <v>2977100</v>
      </c>
      <c r="AX109" s="21">
        <v>6800400</v>
      </c>
      <c r="AY109" s="21">
        <v>4076100</v>
      </c>
      <c r="AZ109" s="21">
        <v>3600500</v>
      </c>
      <c r="BA109" s="21">
        <v>2398500</v>
      </c>
      <c r="BB109" s="21">
        <v>3017100</v>
      </c>
      <c r="BC109" s="21">
        <v>2559800</v>
      </c>
      <c r="BD109" s="21">
        <v>2407700</v>
      </c>
      <c r="BE109" s="21">
        <v>2606100</v>
      </c>
      <c r="BF109" s="21">
        <v>2981900</v>
      </c>
      <c r="BG109" s="21">
        <v>5927800</v>
      </c>
      <c r="BH109" s="21">
        <v>2981900</v>
      </c>
      <c r="BI109" s="21">
        <v>3644200</v>
      </c>
      <c r="BJ109" s="21">
        <v>3630000</v>
      </c>
      <c r="BK109" s="21">
        <v>3352900</v>
      </c>
      <c r="BL109" s="21">
        <v>6176200</v>
      </c>
      <c r="BM109" s="1">
        <v>6540600</v>
      </c>
      <c r="BN109" s="1">
        <v>8824700</v>
      </c>
      <c r="BO109" s="1">
        <v>7890400</v>
      </c>
      <c r="BP109" s="1">
        <v>2637900</v>
      </c>
      <c r="BQ109" s="1">
        <v>2458400</v>
      </c>
      <c r="BR109" s="1">
        <v>2823300</v>
      </c>
      <c r="BS109" s="1">
        <v>2867300</v>
      </c>
      <c r="BT109" s="1">
        <v>2783900</v>
      </c>
      <c r="BU109" s="1">
        <v>3282400</v>
      </c>
      <c r="BV109" s="1">
        <v>2200200</v>
      </c>
      <c r="BW109" s="1">
        <v>2905800</v>
      </c>
      <c r="BX109" s="1">
        <v>2488400</v>
      </c>
      <c r="BY109" s="1">
        <v>2776800</v>
      </c>
      <c r="BZ109" s="1">
        <v>2934700</v>
      </c>
    </row>
    <row r="110" spans="1:254" ht="15.9" customHeight="1">
      <c r="A110" s="393" t="s">
        <v>215</v>
      </c>
      <c r="B110" s="46" t="s">
        <v>216</v>
      </c>
      <c r="C110" s="50">
        <f>_xll.RssMarket("9069","出来高")</f>
        <v>552000</v>
      </c>
      <c r="D110" s="202">
        <f t="shared" si="1"/>
        <v>0</v>
      </c>
      <c r="E110" s="200">
        <v>552000</v>
      </c>
      <c r="F110" s="21">
        <v>431900</v>
      </c>
      <c r="G110" s="21">
        <v>516600</v>
      </c>
      <c r="H110" s="21">
        <v>719200</v>
      </c>
      <c r="I110" s="21">
        <v>327600</v>
      </c>
      <c r="J110" s="21">
        <v>435600</v>
      </c>
      <c r="K110" s="21">
        <v>515200</v>
      </c>
      <c r="L110" s="21">
        <v>310600</v>
      </c>
      <c r="M110" s="21">
        <v>331400</v>
      </c>
      <c r="N110" s="21">
        <v>289900</v>
      </c>
      <c r="O110" s="21">
        <v>273300</v>
      </c>
      <c r="P110" s="21">
        <v>240500</v>
      </c>
      <c r="Q110" s="21">
        <v>449900</v>
      </c>
      <c r="R110" s="21">
        <v>512900</v>
      </c>
      <c r="S110" s="21">
        <v>246500</v>
      </c>
      <c r="T110" s="21">
        <v>482200</v>
      </c>
      <c r="U110" s="21">
        <v>415400</v>
      </c>
      <c r="V110" s="21">
        <v>487200</v>
      </c>
      <c r="W110" s="21">
        <v>456200</v>
      </c>
      <c r="X110" s="21">
        <v>391000</v>
      </c>
      <c r="Y110" s="21">
        <v>373000</v>
      </c>
      <c r="Z110" s="21">
        <v>255600</v>
      </c>
      <c r="AA110" s="21">
        <v>425000</v>
      </c>
      <c r="AB110" s="21">
        <v>513500</v>
      </c>
      <c r="AC110" s="21">
        <v>319200</v>
      </c>
      <c r="AD110" s="21">
        <v>365200</v>
      </c>
      <c r="AE110" s="21">
        <v>301500</v>
      </c>
      <c r="AF110" s="21">
        <v>268000</v>
      </c>
      <c r="AG110" s="21">
        <v>250700</v>
      </c>
      <c r="AH110" s="21">
        <v>301300</v>
      </c>
      <c r="AI110" s="21">
        <v>388200</v>
      </c>
      <c r="AJ110" s="21">
        <v>240700</v>
      </c>
      <c r="AK110" s="21">
        <v>534100</v>
      </c>
      <c r="AL110" s="21">
        <v>306700</v>
      </c>
      <c r="AM110" s="21">
        <v>267400</v>
      </c>
      <c r="AN110" s="21">
        <v>245600</v>
      </c>
      <c r="AO110" s="21">
        <v>524100</v>
      </c>
      <c r="AP110" s="21">
        <v>412100</v>
      </c>
      <c r="AQ110" s="21">
        <v>409500</v>
      </c>
      <c r="AR110" s="21">
        <v>301300</v>
      </c>
      <c r="AS110" s="21">
        <v>809400</v>
      </c>
      <c r="AT110" s="21">
        <v>431500</v>
      </c>
      <c r="AU110" s="21">
        <v>417900</v>
      </c>
      <c r="AV110" s="21">
        <v>523600</v>
      </c>
      <c r="AW110" s="21">
        <v>378500</v>
      </c>
      <c r="AX110" s="21">
        <v>628300</v>
      </c>
      <c r="AY110" s="21">
        <v>483000</v>
      </c>
      <c r="AZ110" s="21">
        <v>563200</v>
      </c>
      <c r="BA110" s="21">
        <v>430700</v>
      </c>
      <c r="BB110" s="21">
        <v>399300</v>
      </c>
      <c r="BC110" s="21">
        <v>247700</v>
      </c>
      <c r="BD110" s="21">
        <v>302700</v>
      </c>
      <c r="BE110" s="21">
        <v>289700</v>
      </c>
      <c r="BF110" s="21">
        <v>330000</v>
      </c>
      <c r="BG110" s="21">
        <v>501900</v>
      </c>
      <c r="BH110" s="21">
        <v>701300</v>
      </c>
      <c r="BI110" s="21">
        <v>303600</v>
      </c>
      <c r="BJ110" s="21">
        <v>477800</v>
      </c>
      <c r="BK110" s="21">
        <v>229500</v>
      </c>
      <c r="BL110" s="21">
        <v>336500</v>
      </c>
      <c r="BM110" s="1">
        <v>375900</v>
      </c>
      <c r="BN110" s="1">
        <v>269100</v>
      </c>
      <c r="BO110" s="1">
        <v>336800</v>
      </c>
      <c r="BP110" s="1">
        <v>328700</v>
      </c>
      <c r="BQ110" s="1">
        <v>282600</v>
      </c>
      <c r="BR110" s="1">
        <v>297500</v>
      </c>
      <c r="BS110" s="1">
        <v>396000</v>
      </c>
      <c r="BT110" s="1">
        <v>289000</v>
      </c>
      <c r="BU110" s="1">
        <v>318100</v>
      </c>
      <c r="BV110" s="1">
        <v>257000</v>
      </c>
      <c r="BW110" s="1">
        <v>166000</v>
      </c>
      <c r="BX110" s="1">
        <v>430100</v>
      </c>
      <c r="BY110" s="1">
        <v>281300</v>
      </c>
      <c r="BZ110" s="1">
        <v>201500</v>
      </c>
    </row>
    <row r="111" spans="1:254" ht="15.9" customHeight="1">
      <c r="A111" s="393" t="s">
        <v>217</v>
      </c>
      <c r="B111" s="46" t="s">
        <v>218</v>
      </c>
      <c r="C111" s="50">
        <f>_xll.RssMarket("9227","出来高")</f>
        <v>149700</v>
      </c>
      <c r="D111" s="202">
        <f t="shared" si="1"/>
        <v>0</v>
      </c>
      <c r="E111" s="200">
        <v>149700</v>
      </c>
      <c r="F111" s="21">
        <v>176700</v>
      </c>
      <c r="G111" s="21">
        <v>225700</v>
      </c>
      <c r="H111" s="21">
        <v>173600</v>
      </c>
      <c r="I111" s="21">
        <v>556200</v>
      </c>
      <c r="J111" s="21">
        <v>2260700</v>
      </c>
      <c r="K111" s="21">
        <v>3410400</v>
      </c>
      <c r="L111" s="21">
        <v>101600</v>
      </c>
      <c r="M111" s="21">
        <v>70200</v>
      </c>
      <c r="N111" s="21"/>
      <c r="O111" s="21">
        <v>150100</v>
      </c>
      <c r="P111" s="21">
        <v>109900</v>
      </c>
      <c r="Q111" s="21">
        <v>110500</v>
      </c>
      <c r="R111" s="21">
        <v>361300</v>
      </c>
      <c r="S111" s="21">
        <v>109500</v>
      </c>
      <c r="T111" s="21">
        <v>108900</v>
      </c>
      <c r="U111" s="21">
        <v>189300</v>
      </c>
      <c r="V111" s="21">
        <v>76500</v>
      </c>
      <c r="W111" s="21">
        <v>207500</v>
      </c>
      <c r="X111" s="21">
        <v>113500</v>
      </c>
      <c r="Y111" s="21">
        <v>167700</v>
      </c>
      <c r="Z111" s="21">
        <v>106000</v>
      </c>
      <c r="AA111" s="21">
        <v>89400</v>
      </c>
      <c r="AB111" s="21">
        <v>150400</v>
      </c>
      <c r="AC111" s="21">
        <v>333600</v>
      </c>
      <c r="AD111" s="21">
        <v>115900</v>
      </c>
      <c r="AE111" s="21">
        <v>90300</v>
      </c>
      <c r="AF111" s="21">
        <v>96500</v>
      </c>
      <c r="AG111" s="21">
        <v>61500</v>
      </c>
      <c r="AH111" s="21">
        <v>71800</v>
      </c>
      <c r="AI111" s="21">
        <v>199600</v>
      </c>
      <c r="AJ111" s="21">
        <v>276300</v>
      </c>
      <c r="AK111" s="21">
        <v>120100</v>
      </c>
      <c r="AL111" s="21">
        <v>157900</v>
      </c>
      <c r="AM111" s="21">
        <v>110100</v>
      </c>
      <c r="AN111" s="21">
        <v>172200</v>
      </c>
      <c r="AO111" s="21">
        <v>245600</v>
      </c>
      <c r="AP111" s="21">
        <v>127600</v>
      </c>
      <c r="AQ111" s="21">
        <v>177100</v>
      </c>
      <c r="AR111" s="21">
        <v>302700</v>
      </c>
      <c r="AS111" s="21">
        <v>208700</v>
      </c>
      <c r="AT111" s="21">
        <v>254400</v>
      </c>
      <c r="AU111" s="21">
        <v>224700</v>
      </c>
      <c r="AV111" s="21">
        <v>307300</v>
      </c>
      <c r="AW111" s="21">
        <v>635100</v>
      </c>
      <c r="AX111" s="21">
        <v>805900</v>
      </c>
      <c r="AY111" s="21">
        <v>1982000</v>
      </c>
      <c r="AZ111" s="21">
        <v>9484400</v>
      </c>
      <c r="BA111" s="21">
        <v>88200</v>
      </c>
      <c r="BB111" s="21">
        <v>63400</v>
      </c>
      <c r="BC111" s="21">
        <v>225200</v>
      </c>
      <c r="BD111" s="21">
        <v>284600</v>
      </c>
      <c r="BE111" s="21">
        <v>305200</v>
      </c>
      <c r="BF111" s="21">
        <v>231200</v>
      </c>
      <c r="BG111" s="21">
        <v>356600</v>
      </c>
      <c r="BH111" s="21">
        <v>590800</v>
      </c>
      <c r="BI111" s="21">
        <v>485500</v>
      </c>
      <c r="BJ111" s="21">
        <v>198900</v>
      </c>
      <c r="BK111" s="21">
        <v>226800</v>
      </c>
      <c r="BL111" s="21">
        <v>170900</v>
      </c>
      <c r="BM111" s="1">
        <v>183500</v>
      </c>
      <c r="BN111" s="1">
        <v>159400</v>
      </c>
      <c r="BO111" s="1">
        <v>342000</v>
      </c>
      <c r="BP111" s="1">
        <v>350400</v>
      </c>
      <c r="BQ111" s="1">
        <v>216200</v>
      </c>
      <c r="BR111" s="1">
        <v>250100</v>
      </c>
      <c r="BS111" s="1">
        <v>363200</v>
      </c>
      <c r="BT111" s="1">
        <v>515300</v>
      </c>
      <c r="BU111" s="1">
        <v>1492800</v>
      </c>
      <c r="BV111" s="1">
        <v>2568000</v>
      </c>
      <c r="BW111" s="1">
        <v>297900</v>
      </c>
      <c r="BX111" s="1">
        <v>326300</v>
      </c>
      <c r="BY111" s="1">
        <v>288300</v>
      </c>
      <c r="BZ111" s="1">
        <v>324800</v>
      </c>
    </row>
    <row r="112" spans="1:254" ht="15.9" customHeight="1">
      <c r="A112" s="393" t="s">
        <v>219</v>
      </c>
      <c r="B112" s="46" t="s">
        <v>220</v>
      </c>
      <c r="C112" s="50">
        <f>_xll.RssMarket("9348","出来高")</f>
        <v>495800</v>
      </c>
      <c r="D112" s="202">
        <f t="shared" si="1"/>
        <v>0</v>
      </c>
      <c r="E112" s="200">
        <v>495800</v>
      </c>
      <c r="F112" s="21">
        <v>956800</v>
      </c>
      <c r="G112" s="21">
        <v>847800</v>
      </c>
      <c r="H112" s="21">
        <v>1037600</v>
      </c>
      <c r="I112" s="21">
        <v>874400</v>
      </c>
      <c r="J112" s="21">
        <v>1371900</v>
      </c>
      <c r="K112" s="21">
        <v>2239300</v>
      </c>
      <c r="L112" s="21">
        <v>1579200</v>
      </c>
      <c r="M112" s="21">
        <v>758100</v>
      </c>
      <c r="N112" s="21"/>
      <c r="O112" s="21">
        <v>475400</v>
      </c>
      <c r="P112" s="21">
        <v>986000</v>
      </c>
      <c r="Q112" s="21">
        <v>1182700</v>
      </c>
      <c r="R112" s="21">
        <v>2870000</v>
      </c>
      <c r="S112" s="21">
        <v>1448100</v>
      </c>
      <c r="T112" s="21">
        <v>1212100</v>
      </c>
      <c r="U112" s="21">
        <v>3276000</v>
      </c>
      <c r="V112" s="21">
        <v>9789000</v>
      </c>
      <c r="W112" s="21">
        <v>614000</v>
      </c>
      <c r="X112" s="21">
        <v>1523300</v>
      </c>
      <c r="Y112" s="21">
        <v>867300</v>
      </c>
      <c r="Z112" s="21">
        <v>633200</v>
      </c>
      <c r="AA112" s="21">
        <v>1117200</v>
      </c>
      <c r="AB112" s="21">
        <v>942700</v>
      </c>
      <c r="AC112" s="21">
        <v>961200</v>
      </c>
      <c r="AD112" s="21">
        <v>1197900</v>
      </c>
      <c r="AE112" s="21">
        <v>933500</v>
      </c>
      <c r="AF112" s="21">
        <v>1457500</v>
      </c>
      <c r="AG112" s="21">
        <v>1141100</v>
      </c>
      <c r="AH112" s="21">
        <v>1025800</v>
      </c>
      <c r="AI112" s="21">
        <v>2021300</v>
      </c>
      <c r="AJ112" s="21">
        <v>2163100</v>
      </c>
      <c r="AK112" s="21">
        <v>6756700</v>
      </c>
      <c r="AL112" s="21">
        <v>1762100</v>
      </c>
      <c r="AM112" s="21">
        <v>2625000</v>
      </c>
      <c r="AN112" s="21">
        <v>4609200</v>
      </c>
      <c r="AO112" s="21">
        <v>4673400</v>
      </c>
      <c r="AP112" s="21">
        <v>4442300</v>
      </c>
      <c r="AQ112" s="21">
        <v>1601000</v>
      </c>
      <c r="AR112" s="21">
        <v>1418700</v>
      </c>
      <c r="AS112" s="21">
        <v>2424700</v>
      </c>
      <c r="AT112" s="21">
        <v>5247100</v>
      </c>
      <c r="AU112" s="21">
        <v>1877000</v>
      </c>
      <c r="AV112" s="21">
        <v>2527200</v>
      </c>
      <c r="AW112" s="21">
        <v>2047800</v>
      </c>
      <c r="AX112" s="21">
        <v>7145100</v>
      </c>
      <c r="AY112" s="21">
        <v>13839800</v>
      </c>
      <c r="AZ112" s="21">
        <v>10776300</v>
      </c>
      <c r="BA112" s="21">
        <v>6345000</v>
      </c>
      <c r="BB112" s="21">
        <v>5129500</v>
      </c>
      <c r="BC112" s="21">
        <v>1631700</v>
      </c>
      <c r="BD112" s="21">
        <v>1799800</v>
      </c>
      <c r="BE112" s="21">
        <v>2449700</v>
      </c>
      <c r="BF112" s="21">
        <v>1024800</v>
      </c>
      <c r="BG112" s="21">
        <v>1245000</v>
      </c>
      <c r="BH112" s="21">
        <v>1244200</v>
      </c>
      <c r="BI112" s="21">
        <v>978400</v>
      </c>
      <c r="BJ112" s="21">
        <v>1210600</v>
      </c>
      <c r="BK112" s="21">
        <v>1378000</v>
      </c>
      <c r="BL112" s="21">
        <v>1372100</v>
      </c>
      <c r="BM112" s="1">
        <v>855400</v>
      </c>
      <c r="BN112" s="1">
        <v>520600</v>
      </c>
      <c r="BO112" s="1">
        <v>553400</v>
      </c>
      <c r="BP112" s="1">
        <v>755900</v>
      </c>
      <c r="BQ112" s="1">
        <v>852900</v>
      </c>
      <c r="BR112" s="1">
        <v>768100</v>
      </c>
      <c r="BS112" s="1">
        <v>1109600</v>
      </c>
      <c r="BT112" s="1">
        <v>954200</v>
      </c>
      <c r="BU112" s="1">
        <v>1690000</v>
      </c>
      <c r="BV112" s="1">
        <v>1327400</v>
      </c>
      <c r="BW112" s="1">
        <v>1316600</v>
      </c>
      <c r="BX112" s="1">
        <v>2116700</v>
      </c>
      <c r="BY112" s="1">
        <v>2529000</v>
      </c>
      <c r="BZ112" s="1">
        <v>1710700</v>
      </c>
    </row>
    <row r="113" spans="1:254" ht="15.9" customHeight="1">
      <c r="A113" s="393" t="s">
        <v>221</v>
      </c>
      <c r="B113" s="46" t="s">
        <v>222</v>
      </c>
      <c r="C113" s="50">
        <f>_xll.RssMarket("9449","出来高")</f>
        <v>373600</v>
      </c>
      <c r="D113" s="202">
        <f t="shared" si="1"/>
        <v>0</v>
      </c>
      <c r="E113" s="200">
        <v>373600</v>
      </c>
      <c r="F113" s="21">
        <v>328200</v>
      </c>
      <c r="G113" s="21">
        <v>401700</v>
      </c>
      <c r="H113" s="21">
        <v>550100</v>
      </c>
      <c r="I113" s="21">
        <v>668000</v>
      </c>
      <c r="J113" s="21">
        <v>1341100</v>
      </c>
      <c r="K113" s="21">
        <v>531600</v>
      </c>
      <c r="L113" s="21">
        <v>698100</v>
      </c>
      <c r="M113" s="21">
        <v>496300</v>
      </c>
      <c r="N113" s="21">
        <v>183300</v>
      </c>
      <c r="O113" s="21">
        <v>317500</v>
      </c>
      <c r="P113" s="21">
        <v>501100</v>
      </c>
      <c r="Q113" s="21">
        <v>429700</v>
      </c>
      <c r="R113" s="21">
        <v>409400</v>
      </c>
      <c r="S113" s="21">
        <v>454900</v>
      </c>
      <c r="T113" s="21">
        <v>530300</v>
      </c>
      <c r="U113" s="21">
        <v>412600</v>
      </c>
      <c r="V113" s="21">
        <v>665200</v>
      </c>
      <c r="W113" s="21">
        <v>498700</v>
      </c>
      <c r="X113" s="21">
        <v>1018700</v>
      </c>
      <c r="Y113" s="21">
        <v>364400</v>
      </c>
      <c r="Z113" s="21">
        <v>258400</v>
      </c>
      <c r="AA113" s="21">
        <v>362300</v>
      </c>
      <c r="AB113" s="21">
        <v>627300</v>
      </c>
      <c r="AC113" s="21">
        <v>325100</v>
      </c>
      <c r="AD113" s="21">
        <v>364600</v>
      </c>
      <c r="AE113" s="21">
        <v>587500</v>
      </c>
      <c r="AF113" s="21">
        <v>434100</v>
      </c>
      <c r="AG113" s="21">
        <v>295200</v>
      </c>
      <c r="AH113" s="21">
        <v>530800</v>
      </c>
      <c r="AI113" s="21">
        <v>896500</v>
      </c>
      <c r="AJ113" s="21">
        <v>1729300</v>
      </c>
      <c r="AK113" s="21">
        <v>618100</v>
      </c>
      <c r="AL113" s="21">
        <v>310600</v>
      </c>
      <c r="AM113" s="21">
        <v>248200</v>
      </c>
      <c r="AN113" s="21">
        <v>266700</v>
      </c>
      <c r="AO113" s="21">
        <v>233300</v>
      </c>
      <c r="AP113" s="21">
        <v>394800</v>
      </c>
      <c r="AQ113" s="21">
        <v>250300</v>
      </c>
      <c r="AR113" s="21">
        <v>259200</v>
      </c>
      <c r="AS113" s="21">
        <v>357600</v>
      </c>
      <c r="AT113" s="21">
        <v>229500</v>
      </c>
      <c r="AU113" s="21">
        <v>429500</v>
      </c>
      <c r="AV113" s="21">
        <v>487200</v>
      </c>
      <c r="AW113" s="21">
        <v>294600</v>
      </c>
      <c r="AX113" s="21">
        <v>617000</v>
      </c>
      <c r="AY113" s="21">
        <v>310600</v>
      </c>
      <c r="AZ113" s="21">
        <v>441900</v>
      </c>
      <c r="BA113" s="21">
        <v>618700</v>
      </c>
      <c r="BB113" s="21">
        <v>523000</v>
      </c>
      <c r="BC113" s="21">
        <v>308200</v>
      </c>
      <c r="BD113" s="21">
        <v>416700</v>
      </c>
      <c r="BE113" s="21">
        <v>675300</v>
      </c>
      <c r="BF113" s="21">
        <v>678200</v>
      </c>
      <c r="BG113" s="21">
        <v>374700</v>
      </c>
      <c r="BH113" s="21">
        <v>364400</v>
      </c>
      <c r="BI113" s="21">
        <v>282400</v>
      </c>
      <c r="BJ113" s="21">
        <v>377400</v>
      </c>
      <c r="BK113" s="21">
        <v>518400</v>
      </c>
      <c r="BL113" s="21">
        <v>554000</v>
      </c>
      <c r="BM113" s="1">
        <v>462600</v>
      </c>
      <c r="BN113" s="1">
        <v>255800</v>
      </c>
      <c r="BO113" s="1">
        <v>556400</v>
      </c>
      <c r="BP113" s="1">
        <v>368400</v>
      </c>
      <c r="BQ113" s="1">
        <v>330600</v>
      </c>
      <c r="BR113" s="1">
        <v>317200</v>
      </c>
      <c r="BS113" s="1">
        <v>395200</v>
      </c>
      <c r="BT113" s="1">
        <v>352500</v>
      </c>
      <c r="BU113" s="1">
        <v>562900</v>
      </c>
      <c r="BV113" s="1">
        <v>327500</v>
      </c>
      <c r="BW113" s="1">
        <v>430000</v>
      </c>
      <c r="BX113" s="1">
        <v>795500</v>
      </c>
      <c r="BY113" s="1">
        <v>272800</v>
      </c>
      <c r="BZ113" s="1">
        <v>319900</v>
      </c>
    </row>
    <row r="114" spans="1:254" ht="15.9" customHeight="1">
      <c r="A114" s="393" t="s">
        <v>223</v>
      </c>
      <c r="B114" s="46" t="s">
        <v>224</v>
      </c>
      <c r="C114" s="50">
        <f>_xll.RssMarket("9501","出来高")</f>
        <v>32319200</v>
      </c>
      <c r="D114" s="202">
        <f t="shared" si="1"/>
        <v>0</v>
      </c>
      <c r="E114" s="200">
        <v>32319200</v>
      </c>
      <c r="F114" s="21">
        <v>26520500</v>
      </c>
      <c r="G114" s="21">
        <v>32126400</v>
      </c>
      <c r="H114" s="21">
        <v>44444000</v>
      </c>
      <c r="I114" s="21">
        <v>50038100</v>
      </c>
      <c r="J114" s="21">
        <v>61471000</v>
      </c>
      <c r="K114" s="21">
        <v>39840000</v>
      </c>
      <c r="L114" s="21">
        <v>47242300</v>
      </c>
      <c r="M114" s="21">
        <v>35878500</v>
      </c>
      <c r="N114" s="21">
        <v>28624300</v>
      </c>
      <c r="O114" s="21">
        <v>33282800</v>
      </c>
      <c r="P114" s="21">
        <v>29743300</v>
      </c>
      <c r="Q114" s="21">
        <v>31471300</v>
      </c>
      <c r="R114" s="21">
        <v>42140900</v>
      </c>
      <c r="S114" s="21">
        <v>30120600</v>
      </c>
      <c r="T114" s="21">
        <v>41878600</v>
      </c>
      <c r="U114" s="21">
        <v>26889200</v>
      </c>
      <c r="V114" s="21">
        <v>33551800</v>
      </c>
      <c r="W114" s="21">
        <v>33095900</v>
      </c>
      <c r="X114" s="21">
        <v>39644500</v>
      </c>
      <c r="Y114" s="21">
        <v>28725500</v>
      </c>
      <c r="Z114" s="21">
        <v>24111500</v>
      </c>
      <c r="AA114" s="21">
        <v>29269100</v>
      </c>
      <c r="AB114" s="21">
        <v>24127200</v>
      </c>
      <c r="AC114" s="21">
        <v>35745000</v>
      </c>
      <c r="AD114" s="21">
        <v>26801100</v>
      </c>
      <c r="AE114" s="21">
        <v>27328200</v>
      </c>
      <c r="AF114" s="21">
        <v>46173600</v>
      </c>
      <c r="AG114" s="21">
        <v>37968400</v>
      </c>
      <c r="AH114" s="21">
        <v>58711800</v>
      </c>
      <c r="AI114" s="21">
        <v>43400500</v>
      </c>
      <c r="AJ114" s="21">
        <v>73392900</v>
      </c>
      <c r="AK114" s="21">
        <v>36082100</v>
      </c>
      <c r="AL114" s="21">
        <v>27192100</v>
      </c>
      <c r="AM114" s="21">
        <v>21276700</v>
      </c>
      <c r="AN114" s="21">
        <v>24988500</v>
      </c>
      <c r="AO114" s="21">
        <v>37661900</v>
      </c>
      <c r="AP114" s="21">
        <v>33012400</v>
      </c>
      <c r="AQ114" s="21">
        <v>42385200</v>
      </c>
      <c r="AR114" s="21">
        <v>26553800</v>
      </c>
      <c r="AS114" s="21">
        <v>32766800</v>
      </c>
      <c r="AT114" s="21">
        <v>37231000</v>
      </c>
      <c r="AU114" s="21">
        <v>40639800</v>
      </c>
      <c r="AV114" s="21">
        <v>34358500</v>
      </c>
      <c r="AW114" s="21">
        <v>42210000</v>
      </c>
      <c r="AX114" s="21">
        <v>25544000</v>
      </c>
      <c r="AY114" s="21">
        <v>25852800</v>
      </c>
      <c r="AZ114" s="21">
        <v>31146600</v>
      </c>
      <c r="BA114" s="21">
        <v>33384600</v>
      </c>
      <c r="BB114" s="21">
        <v>32758000</v>
      </c>
      <c r="BC114" s="21">
        <v>30470500</v>
      </c>
      <c r="BD114" s="21">
        <v>51937900</v>
      </c>
      <c r="BE114" s="21">
        <v>42880100</v>
      </c>
      <c r="BF114" s="21">
        <v>58803900</v>
      </c>
      <c r="BG114" s="21">
        <v>46892500</v>
      </c>
      <c r="BH114" s="21">
        <v>43827200</v>
      </c>
      <c r="BI114" s="21">
        <v>44350100</v>
      </c>
      <c r="BJ114" s="21">
        <v>45523100</v>
      </c>
      <c r="BK114" s="21">
        <v>53169400</v>
      </c>
      <c r="BL114" s="21">
        <v>49861100</v>
      </c>
      <c r="BM114" s="1">
        <v>75841900</v>
      </c>
      <c r="BN114" s="1">
        <v>72810900</v>
      </c>
      <c r="BO114" s="1">
        <v>53614000</v>
      </c>
      <c r="BP114" s="1">
        <v>68403700</v>
      </c>
      <c r="BQ114" s="1">
        <v>37490400</v>
      </c>
      <c r="BR114" s="1">
        <v>46400600</v>
      </c>
      <c r="BS114" s="1">
        <v>72424100</v>
      </c>
      <c r="BT114" s="1">
        <v>79827900</v>
      </c>
      <c r="BU114" s="1">
        <v>48826900</v>
      </c>
      <c r="BV114" s="1">
        <v>41382600</v>
      </c>
      <c r="BW114" s="1">
        <v>53950200</v>
      </c>
      <c r="BX114" s="1">
        <v>39936400</v>
      </c>
      <c r="BY114" s="1">
        <v>59078700</v>
      </c>
      <c r="BZ114" s="1">
        <v>55894900</v>
      </c>
    </row>
    <row r="115" spans="1:254" ht="15.9" customHeight="1">
      <c r="A115" s="393" t="s">
        <v>225</v>
      </c>
      <c r="B115" s="46" t="s">
        <v>226</v>
      </c>
      <c r="C115" s="50">
        <f>_xll.RssMarket("9531","出来高")</f>
        <v>862300</v>
      </c>
      <c r="D115" s="202">
        <f t="shared" si="1"/>
        <v>0</v>
      </c>
      <c r="E115" s="200">
        <v>862300</v>
      </c>
      <c r="F115" s="21">
        <v>956200</v>
      </c>
      <c r="G115" s="21">
        <v>854500</v>
      </c>
      <c r="H115" s="21">
        <v>1207700</v>
      </c>
      <c r="I115" s="21">
        <v>1219200</v>
      </c>
      <c r="J115" s="21">
        <v>1886500</v>
      </c>
      <c r="K115" s="21">
        <v>1117700</v>
      </c>
      <c r="L115" s="21">
        <v>897700</v>
      </c>
      <c r="M115" s="21">
        <v>924000</v>
      </c>
      <c r="N115" s="21">
        <v>923900</v>
      </c>
      <c r="O115" s="21">
        <v>720700</v>
      </c>
      <c r="P115" s="21">
        <v>1118600</v>
      </c>
      <c r="Q115" s="21">
        <v>1156400</v>
      </c>
      <c r="R115" s="21">
        <v>1436000</v>
      </c>
      <c r="S115" s="21">
        <v>896200</v>
      </c>
      <c r="T115" s="21">
        <v>1017900</v>
      </c>
      <c r="U115" s="21">
        <v>970900</v>
      </c>
      <c r="V115" s="21">
        <v>1068800</v>
      </c>
      <c r="W115" s="21">
        <v>1039100</v>
      </c>
      <c r="X115" s="21">
        <v>1278500</v>
      </c>
      <c r="Y115" s="21">
        <v>991800</v>
      </c>
      <c r="Z115" s="21">
        <v>736600</v>
      </c>
      <c r="AA115" s="21">
        <v>730100</v>
      </c>
      <c r="AB115" s="21">
        <v>811300</v>
      </c>
      <c r="AC115" s="21">
        <v>1021700</v>
      </c>
      <c r="AD115" s="21">
        <v>1016400</v>
      </c>
      <c r="AE115" s="21">
        <v>1085700</v>
      </c>
      <c r="AF115" s="21">
        <v>1319300</v>
      </c>
      <c r="AG115" s="21">
        <v>737900</v>
      </c>
      <c r="AH115" s="21">
        <v>891400</v>
      </c>
      <c r="AI115" s="21">
        <v>1024200</v>
      </c>
      <c r="AJ115" s="21">
        <v>767500</v>
      </c>
      <c r="AK115" s="21">
        <v>1797600</v>
      </c>
      <c r="AL115" s="21">
        <v>1023400</v>
      </c>
      <c r="AM115" s="21">
        <v>833700</v>
      </c>
      <c r="AN115" s="21">
        <v>970800</v>
      </c>
      <c r="AO115" s="21">
        <v>915600</v>
      </c>
      <c r="AP115" s="21">
        <v>1140000</v>
      </c>
      <c r="AQ115" s="21">
        <v>1215200</v>
      </c>
      <c r="AR115" s="21">
        <v>1001000</v>
      </c>
      <c r="AS115" s="21">
        <v>1162100</v>
      </c>
      <c r="AT115" s="21">
        <v>1020100</v>
      </c>
      <c r="AU115" s="21">
        <v>1038800</v>
      </c>
      <c r="AV115" s="21">
        <v>1096400</v>
      </c>
      <c r="AW115" s="21">
        <v>1162500</v>
      </c>
      <c r="AX115" s="21">
        <v>2978500</v>
      </c>
      <c r="AY115" s="21">
        <v>5312400</v>
      </c>
      <c r="AZ115" s="21">
        <v>1067600</v>
      </c>
      <c r="BA115" s="21">
        <v>1029100</v>
      </c>
      <c r="BB115" s="21">
        <v>898300</v>
      </c>
      <c r="BC115" s="21">
        <v>850300</v>
      </c>
      <c r="BD115" s="21">
        <v>1440300</v>
      </c>
      <c r="BE115" s="21">
        <v>1261400</v>
      </c>
      <c r="BF115" s="21">
        <v>1144400</v>
      </c>
      <c r="BG115" s="21">
        <v>1180700</v>
      </c>
      <c r="BH115" s="21">
        <v>809900</v>
      </c>
      <c r="BI115" s="21">
        <v>1104600</v>
      </c>
      <c r="BJ115" s="21">
        <v>1350300</v>
      </c>
      <c r="BK115" s="21">
        <v>1292900</v>
      </c>
      <c r="BL115" s="21">
        <v>1984100</v>
      </c>
      <c r="BM115" s="1">
        <v>2162200</v>
      </c>
      <c r="BN115" s="1">
        <v>1293900</v>
      </c>
      <c r="BO115" s="1">
        <v>3393000</v>
      </c>
      <c r="BP115" s="1">
        <v>2877500</v>
      </c>
      <c r="BQ115" s="1">
        <v>959900</v>
      </c>
      <c r="BR115" s="1">
        <v>1167300</v>
      </c>
      <c r="BS115" s="1">
        <v>1552900</v>
      </c>
      <c r="BT115" s="1">
        <v>1117500</v>
      </c>
      <c r="BU115" s="1">
        <v>1126400</v>
      </c>
      <c r="BV115" s="1">
        <v>1309100</v>
      </c>
      <c r="BW115" s="1">
        <v>905000</v>
      </c>
      <c r="BX115" s="1">
        <v>1088100</v>
      </c>
      <c r="BY115" s="1">
        <v>1092000</v>
      </c>
      <c r="BZ115" s="1">
        <v>1369300</v>
      </c>
    </row>
    <row r="116" spans="1:254" ht="15.9" customHeight="1">
      <c r="A116" s="393" t="s">
        <v>227</v>
      </c>
      <c r="B116" s="46" t="s">
        <v>228</v>
      </c>
      <c r="C116" s="50">
        <f>_xll.RssMarket("9882","出来高")</f>
        <v>175300</v>
      </c>
      <c r="D116" s="202">
        <f t="shared" si="1"/>
        <v>0</v>
      </c>
      <c r="E116" s="200">
        <v>175300</v>
      </c>
      <c r="F116" s="21">
        <v>183900</v>
      </c>
      <c r="G116" s="21">
        <v>213000</v>
      </c>
      <c r="H116" s="21">
        <v>370900</v>
      </c>
      <c r="I116" s="21">
        <v>209600</v>
      </c>
      <c r="J116" s="21">
        <v>189400</v>
      </c>
      <c r="K116" s="21">
        <v>303800</v>
      </c>
      <c r="L116" s="21">
        <v>209400</v>
      </c>
      <c r="M116" s="21">
        <v>181400</v>
      </c>
      <c r="N116" s="21">
        <v>133200</v>
      </c>
      <c r="O116" s="21">
        <v>148600</v>
      </c>
      <c r="P116" s="21">
        <v>163900</v>
      </c>
      <c r="Q116" s="21">
        <v>192500</v>
      </c>
      <c r="R116" s="21">
        <v>185200</v>
      </c>
      <c r="S116" s="21">
        <v>196500</v>
      </c>
      <c r="T116" s="21">
        <v>250200</v>
      </c>
      <c r="U116" s="21">
        <v>170600</v>
      </c>
      <c r="V116" s="21">
        <v>186600</v>
      </c>
      <c r="W116" s="21">
        <v>188000</v>
      </c>
      <c r="X116" s="21">
        <v>243400</v>
      </c>
      <c r="Y116" s="21">
        <v>165800</v>
      </c>
      <c r="Z116" s="21">
        <v>210400</v>
      </c>
      <c r="AA116" s="21">
        <v>143900</v>
      </c>
      <c r="AB116" s="21">
        <v>168900</v>
      </c>
      <c r="AC116" s="21">
        <v>152400</v>
      </c>
      <c r="AD116" s="21">
        <v>201000</v>
      </c>
      <c r="AE116" s="21">
        <v>144800</v>
      </c>
      <c r="AF116" s="21">
        <v>217800</v>
      </c>
      <c r="AG116" s="21">
        <v>211800</v>
      </c>
      <c r="AH116" s="21">
        <v>206100</v>
      </c>
      <c r="AI116" s="21">
        <v>204700</v>
      </c>
      <c r="AJ116" s="21">
        <v>386500</v>
      </c>
      <c r="AK116" s="21">
        <v>220700</v>
      </c>
      <c r="AL116" s="21">
        <v>211700</v>
      </c>
      <c r="AM116" s="21">
        <v>140600</v>
      </c>
      <c r="AN116" s="21">
        <v>145200</v>
      </c>
      <c r="AO116" s="21">
        <v>125700</v>
      </c>
      <c r="AP116" s="21">
        <v>208200</v>
      </c>
      <c r="AQ116" s="21">
        <v>153600</v>
      </c>
      <c r="AR116" s="21">
        <v>176400</v>
      </c>
      <c r="AS116" s="21">
        <v>166200</v>
      </c>
      <c r="AT116" s="21">
        <v>122200</v>
      </c>
      <c r="AU116" s="21">
        <v>211400</v>
      </c>
      <c r="AV116" s="21">
        <v>265700</v>
      </c>
      <c r="AW116" s="21">
        <v>192500</v>
      </c>
      <c r="AX116" s="21">
        <v>177600</v>
      </c>
      <c r="AY116" s="21">
        <v>114000</v>
      </c>
      <c r="AZ116" s="21">
        <v>125400</v>
      </c>
      <c r="BA116" s="21">
        <v>123100</v>
      </c>
      <c r="BB116" s="21">
        <v>107700</v>
      </c>
      <c r="BC116" s="21">
        <v>120000</v>
      </c>
      <c r="BD116" s="21">
        <v>145600</v>
      </c>
      <c r="BE116" s="21">
        <v>197200</v>
      </c>
      <c r="BF116" s="21">
        <v>169600</v>
      </c>
      <c r="BG116" s="21">
        <v>170500</v>
      </c>
      <c r="BH116" s="21">
        <v>169300</v>
      </c>
      <c r="BI116" s="21">
        <v>171500</v>
      </c>
      <c r="BJ116" s="21">
        <v>245600</v>
      </c>
      <c r="BK116" s="21">
        <v>562900</v>
      </c>
      <c r="BL116" s="21">
        <v>250100</v>
      </c>
      <c r="BM116" s="1">
        <v>199400</v>
      </c>
      <c r="BN116" s="1">
        <v>91400</v>
      </c>
      <c r="BO116" s="1">
        <v>162800</v>
      </c>
      <c r="BP116" s="1">
        <v>154800</v>
      </c>
      <c r="BQ116" s="1">
        <v>111000</v>
      </c>
      <c r="BR116" s="1">
        <v>138600</v>
      </c>
      <c r="BS116" s="1">
        <v>131200</v>
      </c>
      <c r="BT116" s="1">
        <v>122700</v>
      </c>
      <c r="BU116" s="1">
        <v>162100</v>
      </c>
      <c r="BV116" s="1">
        <v>109600</v>
      </c>
      <c r="BW116" s="1">
        <v>90500</v>
      </c>
      <c r="BX116" s="1">
        <v>158200</v>
      </c>
      <c r="BY116" s="1">
        <v>84500</v>
      </c>
      <c r="BZ116" s="1">
        <v>76000</v>
      </c>
    </row>
    <row r="117" spans="1:254" ht="15.9" customHeight="1">
      <c r="A117" s="393" t="s">
        <v>229</v>
      </c>
      <c r="B117" s="46" t="s">
        <v>230</v>
      </c>
      <c r="C117" s="50">
        <f>_xll.RssMarket("5838","出来高")</f>
        <v>1183400</v>
      </c>
      <c r="D117" s="202">
        <f t="shared" si="1"/>
        <v>0</v>
      </c>
      <c r="E117" s="200">
        <v>1183400</v>
      </c>
      <c r="F117" s="21">
        <v>1056900</v>
      </c>
      <c r="G117" s="21">
        <v>791000</v>
      </c>
      <c r="H117" s="21">
        <v>740100</v>
      </c>
      <c r="I117" s="21">
        <v>1513600</v>
      </c>
      <c r="J117" s="21">
        <v>1178300</v>
      </c>
      <c r="K117" s="21">
        <v>937300</v>
      </c>
      <c r="L117" s="21">
        <v>677100</v>
      </c>
      <c r="M117" s="21">
        <v>718400</v>
      </c>
      <c r="N117" s="21">
        <v>847000</v>
      </c>
      <c r="O117" s="21">
        <v>1331900</v>
      </c>
      <c r="P117" s="21">
        <v>791000</v>
      </c>
      <c r="Q117" s="21">
        <v>1143200</v>
      </c>
      <c r="R117" s="21">
        <v>1095800</v>
      </c>
      <c r="S117" s="21">
        <v>1398900</v>
      </c>
      <c r="T117" s="21">
        <v>873800</v>
      </c>
      <c r="U117" s="21">
        <v>1067700</v>
      </c>
      <c r="V117" s="21">
        <v>1070100</v>
      </c>
      <c r="W117" s="21">
        <v>1116400</v>
      </c>
      <c r="X117" s="21">
        <v>2005600</v>
      </c>
      <c r="Y117" s="21">
        <v>2441400</v>
      </c>
      <c r="Z117" s="21">
        <v>888900</v>
      </c>
      <c r="AA117" s="21">
        <v>969800</v>
      </c>
      <c r="AB117" s="21">
        <v>1166100</v>
      </c>
      <c r="AC117" s="21">
        <v>589600</v>
      </c>
      <c r="AD117" s="21">
        <v>1278100</v>
      </c>
      <c r="AE117" s="21">
        <v>684700</v>
      </c>
      <c r="AF117" s="21">
        <v>853200</v>
      </c>
      <c r="AG117" s="21">
        <v>1075700</v>
      </c>
      <c r="AH117" s="21">
        <v>927600</v>
      </c>
      <c r="AI117" s="21">
        <v>1424600</v>
      </c>
      <c r="AJ117" s="21">
        <v>1383800</v>
      </c>
      <c r="AK117" s="21">
        <v>1294400</v>
      </c>
      <c r="AL117" s="21">
        <v>1131900</v>
      </c>
      <c r="AM117" s="21">
        <v>1008700</v>
      </c>
      <c r="AN117" s="21">
        <v>1797300</v>
      </c>
      <c r="AO117" s="21">
        <v>2209600</v>
      </c>
      <c r="AP117" s="21">
        <v>2338200</v>
      </c>
      <c r="AQ117" s="21">
        <v>3158800</v>
      </c>
      <c r="AR117" s="21">
        <v>3572000</v>
      </c>
      <c r="AS117" s="21">
        <v>1615200</v>
      </c>
      <c r="AT117" s="21">
        <v>1916500</v>
      </c>
      <c r="AU117" s="21">
        <v>2661700</v>
      </c>
      <c r="AV117" s="21">
        <v>3226800</v>
      </c>
      <c r="AW117" s="21">
        <v>3499900</v>
      </c>
      <c r="AX117" s="21">
        <v>3965300</v>
      </c>
      <c r="AY117" s="21">
        <v>1799500</v>
      </c>
      <c r="AZ117" s="21">
        <v>2822000</v>
      </c>
      <c r="BA117" s="21">
        <v>4208700</v>
      </c>
      <c r="BB117" s="21">
        <v>12468500</v>
      </c>
      <c r="BC117" s="21">
        <v>3644500</v>
      </c>
      <c r="BD117" s="21">
        <v>2295100</v>
      </c>
      <c r="BE117" s="21">
        <v>2770900</v>
      </c>
      <c r="BF117" s="21">
        <v>3792600</v>
      </c>
      <c r="BG117" s="21">
        <v>1346200</v>
      </c>
      <c r="BH117" s="21">
        <v>1427600</v>
      </c>
      <c r="BI117" s="21">
        <v>2524200</v>
      </c>
      <c r="BJ117" s="21">
        <v>1537500</v>
      </c>
      <c r="BK117" s="21">
        <v>1049100</v>
      </c>
      <c r="BL117" s="21">
        <v>1493100</v>
      </c>
      <c r="BM117" s="1">
        <v>1506000</v>
      </c>
      <c r="BN117" s="1">
        <v>680000</v>
      </c>
      <c r="BO117" s="1">
        <v>1075700</v>
      </c>
      <c r="BP117" s="1">
        <v>1564900</v>
      </c>
      <c r="BQ117" s="1">
        <v>709300</v>
      </c>
      <c r="BR117" s="1">
        <v>984100</v>
      </c>
      <c r="BS117" s="1">
        <v>1759500</v>
      </c>
      <c r="BT117" s="1">
        <v>1451400</v>
      </c>
      <c r="BU117" s="1">
        <v>1082000</v>
      </c>
      <c r="BV117" s="1">
        <v>686000</v>
      </c>
      <c r="BW117" s="1">
        <v>886600</v>
      </c>
      <c r="BX117" s="1">
        <v>986500</v>
      </c>
      <c r="BY117" s="1">
        <v>901700</v>
      </c>
      <c r="BZ117" s="1">
        <v>807900</v>
      </c>
    </row>
    <row r="118" spans="1:254" ht="15.9" customHeight="1">
      <c r="A118" s="393" t="s">
        <v>231</v>
      </c>
      <c r="B118" s="46" t="s">
        <v>232</v>
      </c>
      <c r="C118" s="50">
        <f>_xll.RssMarket("5844","出来高")</f>
        <v>905100</v>
      </c>
      <c r="D118" s="202">
        <f t="shared" si="1"/>
        <v>0</v>
      </c>
      <c r="E118" s="200">
        <v>905100</v>
      </c>
      <c r="F118" s="21">
        <v>942300</v>
      </c>
      <c r="G118" s="21">
        <v>818400</v>
      </c>
      <c r="H118" s="21">
        <v>1789600</v>
      </c>
      <c r="I118" s="21">
        <v>1205500</v>
      </c>
      <c r="J118" s="21">
        <v>1058400</v>
      </c>
      <c r="K118" s="21">
        <v>1095800</v>
      </c>
      <c r="L118" s="21">
        <v>1186100</v>
      </c>
      <c r="M118" s="21">
        <v>846800</v>
      </c>
      <c r="N118" s="21">
        <v>965700</v>
      </c>
      <c r="O118" s="21">
        <v>632100</v>
      </c>
      <c r="P118" s="21">
        <v>673800</v>
      </c>
      <c r="Q118" s="21">
        <v>875100</v>
      </c>
      <c r="R118" s="21">
        <v>1299400</v>
      </c>
      <c r="S118" s="21">
        <v>789700</v>
      </c>
      <c r="T118" s="21">
        <v>466800</v>
      </c>
      <c r="U118" s="21">
        <v>537400</v>
      </c>
      <c r="V118" s="21">
        <v>896900</v>
      </c>
      <c r="W118" s="21">
        <v>896700</v>
      </c>
      <c r="X118" s="21">
        <v>853900</v>
      </c>
      <c r="Y118" s="21">
        <v>880300</v>
      </c>
      <c r="Z118" s="21">
        <v>1319900</v>
      </c>
      <c r="AA118" s="21">
        <v>1034900</v>
      </c>
      <c r="AB118" s="21">
        <v>1202900</v>
      </c>
      <c r="AC118" s="21">
        <v>1145800</v>
      </c>
      <c r="AD118" s="21">
        <v>1455700</v>
      </c>
      <c r="AE118" s="21">
        <v>1205300</v>
      </c>
      <c r="AF118" s="21">
        <v>904800</v>
      </c>
      <c r="AG118" s="21">
        <v>1114100</v>
      </c>
      <c r="AH118" s="21">
        <v>786500</v>
      </c>
      <c r="AI118" s="21">
        <v>1052500</v>
      </c>
      <c r="AJ118" s="21">
        <v>1295500</v>
      </c>
      <c r="AK118" s="21">
        <v>2496400</v>
      </c>
      <c r="AL118" s="21">
        <v>1461200</v>
      </c>
      <c r="AM118" s="21">
        <v>1291700</v>
      </c>
      <c r="AN118" s="21">
        <v>1685300</v>
      </c>
      <c r="AO118" s="21">
        <v>1317000</v>
      </c>
      <c r="AP118" s="21">
        <v>1120300</v>
      </c>
      <c r="AQ118" s="21">
        <v>707600</v>
      </c>
      <c r="AR118" s="21">
        <v>1378800</v>
      </c>
      <c r="AS118" s="21">
        <v>1363900</v>
      </c>
      <c r="AT118" s="21">
        <v>1321100</v>
      </c>
      <c r="AU118" s="21">
        <v>1246000</v>
      </c>
      <c r="AV118" s="21">
        <v>964800</v>
      </c>
      <c r="AW118" s="21">
        <v>845300</v>
      </c>
      <c r="AX118" s="21">
        <v>2498400</v>
      </c>
      <c r="AY118" s="21">
        <v>847900</v>
      </c>
      <c r="AZ118" s="21">
        <v>923100</v>
      </c>
      <c r="BA118" s="21">
        <v>904000</v>
      </c>
      <c r="BB118" s="21">
        <v>675000</v>
      </c>
      <c r="BC118" s="21">
        <v>1403800</v>
      </c>
      <c r="BD118" s="21">
        <v>1557500</v>
      </c>
      <c r="BE118" s="21">
        <v>921400</v>
      </c>
      <c r="BF118" s="21">
        <v>1044500</v>
      </c>
      <c r="BG118" s="21">
        <v>2254500</v>
      </c>
      <c r="BH118" s="21">
        <v>946800</v>
      </c>
      <c r="BI118" s="21">
        <v>823400</v>
      </c>
      <c r="BJ118" s="21">
        <v>760200</v>
      </c>
      <c r="BK118" s="21">
        <v>826400</v>
      </c>
      <c r="BL118" s="21">
        <v>910200</v>
      </c>
      <c r="BM118" s="1">
        <v>1203200</v>
      </c>
      <c r="BN118" s="1">
        <v>761000</v>
      </c>
      <c r="BO118" s="1">
        <v>953800</v>
      </c>
      <c r="BP118" s="1">
        <v>1090700</v>
      </c>
      <c r="BQ118" s="1">
        <v>1131600</v>
      </c>
      <c r="BR118" s="1">
        <v>636800</v>
      </c>
      <c r="BS118" s="1">
        <v>1110600</v>
      </c>
      <c r="BT118" s="1">
        <v>735500</v>
      </c>
      <c r="BU118" s="1">
        <v>1112300</v>
      </c>
      <c r="BV118" s="1">
        <v>945900</v>
      </c>
      <c r="BW118" s="1">
        <v>979500</v>
      </c>
      <c r="BX118" s="1">
        <v>861100</v>
      </c>
      <c r="BY118" s="1">
        <v>713600</v>
      </c>
      <c r="BZ118" s="1">
        <v>818100</v>
      </c>
    </row>
    <row r="119" spans="1:254" ht="15.9" customHeight="1">
      <c r="A119" s="393" t="s">
        <v>233</v>
      </c>
      <c r="B119" s="46" t="s">
        <v>234</v>
      </c>
      <c r="C119" s="50">
        <f>_xll.RssMarket("9404","出来高")</f>
        <v>602900</v>
      </c>
      <c r="D119" s="202">
        <f t="shared" si="1"/>
        <v>0</v>
      </c>
      <c r="E119" s="200">
        <v>602900</v>
      </c>
      <c r="F119" s="21">
        <v>547000</v>
      </c>
      <c r="G119" s="21">
        <v>813100</v>
      </c>
      <c r="H119" s="21">
        <v>836100</v>
      </c>
      <c r="I119" s="21">
        <v>574900</v>
      </c>
      <c r="J119" s="21">
        <v>489600</v>
      </c>
      <c r="K119" s="21">
        <v>653100</v>
      </c>
      <c r="L119" s="21">
        <v>435500</v>
      </c>
      <c r="M119" s="21">
        <v>399500</v>
      </c>
      <c r="N119" s="21">
        <v>266800</v>
      </c>
      <c r="O119" s="21">
        <v>393600</v>
      </c>
      <c r="P119" s="21">
        <v>467600</v>
      </c>
      <c r="Q119" s="21">
        <v>512700</v>
      </c>
      <c r="R119" s="21">
        <v>868700</v>
      </c>
      <c r="S119" s="21">
        <v>414700</v>
      </c>
      <c r="T119" s="21">
        <v>337700</v>
      </c>
      <c r="U119" s="21">
        <v>374900</v>
      </c>
      <c r="V119" s="21">
        <v>452100</v>
      </c>
      <c r="W119" s="21">
        <v>315400</v>
      </c>
      <c r="X119" s="21">
        <v>601800</v>
      </c>
      <c r="Y119" s="21">
        <v>452800</v>
      </c>
      <c r="Z119" s="21">
        <v>474100</v>
      </c>
      <c r="AA119" s="21">
        <v>570100</v>
      </c>
      <c r="AB119" s="21">
        <v>484800</v>
      </c>
      <c r="AC119" s="21">
        <v>428800</v>
      </c>
      <c r="AD119" s="21">
        <v>863200</v>
      </c>
      <c r="AE119" s="21">
        <v>817300</v>
      </c>
      <c r="AF119" s="21">
        <v>575400</v>
      </c>
      <c r="AG119" s="21">
        <v>578200</v>
      </c>
      <c r="AH119" s="21">
        <v>410000</v>
      </c>
      <c r="AI119" s="21">
        <v>757000</v>
      </c>
      <c r="AJ119" s="21">
        <v>372800</v>
      </c>
      <c r="AK119" s="21">
        <v>499400</v>
      </c>
      <c r="AL119" s="21">
        <v>466200</v>
      </c>
      <c r="AM119" s="21">
        <v>431500</v>
      </c>
      <c r="AN119" s="21">
        <v>602400</v>
      </c>
      <c r="AO119" s="21">
        <v>551000</v>
      </c>
      <c r="AP119" s="21">
        <v>640100</v>
      </c>
      <c r="AQ119" s="21">
        <v>583200</v>
      </c>
      <c r="AR119" s="21">
        <v>649500</v>
      </c>
      <c r="AS119" s="21">
        <v>639200</v>
      </c>
      <c r="AT119" s="21">
        <v>1303100</v>
      </c>
      <c r="AU119" s="21">
        <v>551300</v>
      </c>
      <c r="AV119" s="21">
        <v>616000</v>
      </c>
      <c r="AW119" s="21">
        <v>643000</v>
      </c>
      <c r="AX119" s="21">
        <v>933700</v>
      </c>
      <c r="AY119" s="21">
        <v>641600</v>
      </c>
      <c r="AZ119" s="21">
        <v>591300</v>
      </c>
      <c r="BA119" s="21">
        <v>532800</v>
      </c>
      <c r="BB119" s="21">
        <v>456600</v>
      </c>
      <c r="BC119" s="21">
        <v>587100</v>
      </c>
      <c r="BD119" s="21">
        <v>666900</v>
      </c>
      <c r="BE119" s="21">
        <v>772200</v>
      </c>
      <c r="BF119" s="21">
        <v>549100</v>
      </c>
      <c r="BG119" s="21">
        <v>878700</v>
      </c>
      <c r="BH119" s="21">
        <v>516800</v>
      </c>
      <c r="BI119" s="21">
        <v>578600</v>
      </c>
      <c r="BJ119" s="21">
        <v>322200</v>
      </c>
      <c r="BK119" s="21">
        <v>742500</v>
      </c>
      <c r="BL119" s="21">
        <v>497700</v>
      </c>
      <c r="BM119" s="1">
        <v>472500</v>
      </c>
      <c r="BN119" s="1">
        <v>388500</v>
      </c>
      <c r="BO119" s="1">
        <v>625000</v>
      </c>
      <c r="BP119" s="1">
        <v>402500</v>
      </c>
      <c r="BQ119" s="1">
        <v>371400</v>
      </c>
      <c r="BR119" s="1">
        <v>545800</v>
      </c>
      <c r="BS119" s="1">
        <v>604000</v>
      </c>
      <c r="BT119" s="1">
        <v>622600</v>
      </c>
      <c r="BU119" s="1">
        <v>371700</v>
      </c>
      <c r="BV119" s="1">
        <v>296700</v>
      </c>
      <c r="BW119" s="1">
        <v>306000</v>
      </c>
      <c r="BX119" s="1">
        <v>305000</v>
      </c>
      <c r="BY119" s="1">
        <v>210000</v>
      </c>
      <c r="BZ119" s="1">
        <v>214600</v>
      </c>
    </row>
    <row r="120" spans="1:254" ht="15.9" customHeight="1">
      <c r="A120" s="393" t="s">
        <v>235</v>
      </c>
      <c r="B120" s="46" t="s">
        <v>236</v>
      </c>
      <c r="C120" s="50">
        <f>_xll.RssMarket("6744","出来高")</f>
        <v>116100</v>
      </c>
      <c r="D120" s="202">
        <f t="shared" si="1"/>
        <v>0</v>
      </c>
      <c r="E120" s="200">
        <v>116100</v>
      </c>
      <c r="F120" s="21">
        <v>73100</v>
      </c>
      <c r="G120" s="21">
        <v>105000</v>
      </c>
      <c r="H120" s="21">
        <v>116000</v>
      </c>
      <c r="I120" s="21">
        <v>90600</v>
      </c>
      <c r="J120" s="21">
        <v>67800</v>
      </c>
      <c r="K120" s="21">
        <v>127100</v>
      </c>
      <c r="L120" s="21">
        <v>79700</v>
      </c>
      <c r="M120" s="21">
        <v>95800</v>
      </c>
      <c r="N120" s="21"/>
      <c r="O120" s="21">
        <v>49300</v>
      </c>
      <c r="P120" s="21">
        <v>58000</v>
      </c>
      <c r="Q120" s="21">
        <v>78100</v>
      </c>
      <c r="R120" s="21">
        <v>89400</v>
      </c>
      <c r="S120" s="21">
        <v>75900</v>
      </c>
      <c r="T120" s="21">
        <v>55700</v>
      </c>
      <c r="U120" s="21">
        <v>67000</v>
      </c>
      <c r="V120" s="21">
        <v>67400</v>
      </c>
      <c r="W120" s="21">
        <v>41500</v>
      </c>
      <c r="X120" s="21">
        <v>66300</v>
      </c>
      <c r="Y120" s="21">
        <v>107300</v>
      </c>
      <c r="Z120" s="21">
        <v>54800</v>
      </c>
      <c r="AA120" s="21">
        <v>145600</v>
      </c>
      <c r="AB120" s="21">
        <v>73800</v>
      </c>
      <c r="AC120" s="21">
        <v>56300</v>
      </c>
      <c r="AD120" s="21">
        <v>56000</v>
      </c>
      <c r="AE120" s="21">
        <v>81400</v>
      </c>
      <c r="AF120" s="21">
        <v>79100</v>
      </c>
      <c r="AG120" s="21">
        <v>103200</v>
      </c>
      <c r="AH120" s="21">
        <v>61000</v>
      </c>
      <c r="AI120" s="21">
        <v>171500</v>
      </c>
      <c r="AJ120" s="21">
        <v>86900</v>
      </c>
      <c r="AK120" s="21">
        <v>76500</v>
      </c>
      <c r="AL120" s="21">
        <v>66100</v>
      </c>
      <c r="AM120" s="21">
        <v>65600</v>
      </c>
      <c r="AN120" s="21">
        <v>41800</v>
      </c>
      <c r="AO120" s="21">
        <v>49200</v>
      </c>
      <c r="AP120" s="21">
        <v>81500</v>
      </c>
      <c r="AQ120" s="21">
        <v>88200</v>
      </c>
      <c r="AR120" s="21">
        <v>71300</v>
      </c>
      <c r="AS120" s="21">
        <v>104200</v>
      </c>
      <c r="AT120" s="21">
        <v>54600</v>
      </c>
      <c r="AU120" s="21">
        <v>69000</v>
      </c>
      <c r="AV120" s="21">
        <v>121700</v>
      </c>
      <c r="AW120" s="21">
        <v>154000</v>
      </c>
      <c r="AX120" s="21">
        <v>155900</v>
      </c>
      <c r="AY120" s="21">
        <v>126400</v>
      </c>
      <c r="AZ120" s="21">
        <v>137100</v>
      </c>
      <c r="BA120" s="21">
        <v>162900</v>
      </c>
      <c r="BB120" s="21">
        <v>113400</v>
      </c>
      <c r="BC120" s="21">
        <v>104400</v>
      </c>
      <c r="BD120" s="21">
        <v>141500</v>
      </c>
      <c r="BE120" s="21">
        <v>168400</v>
      </c>
      <c r="BF120" s="21">
        <v>173300</v>
      </c>
      <c r="BG120" s="21">
        <v>215500</v>
      </c>
      <c r="BH120" s="21">
        <v>206500</v>
      </c>
      <c r="BI120" s="21">
        <v>138400</v>
      </c>
      <c r="BJ120" s="21">
        <v>187500</v>
      </c>
      <c r="BK120" s="21">
        <v>167000</v>
      </c>
      <c r="BL120" s="21">
        <v>116400</v>
      </c>
      <c r="BM120" s="1">
        <v>134700</v>
      </c>
      <c r="BN120" s="1">
        <v>213900</v>
      </c>
      <c r="BO120" s="1">
        <v>142400</v>
      </c>
      <c r="BP120" s="1">
        <v>162800</v>
      </c>
      <c r="BQ120" s="1">
        <v>75400</v>
      </c>
      <c r="BR120" s="1">
        <v>54900</v>
      </c>
      <c r="BS120" s="1">
        <v>61400</v>
      </c>
      <c r="BT120" s="1">
        <v>63800</v>
      </c>
      <c r="BU120" s="1">
        <v>87100</v>
      </c>
      <c r="BV120" s="1">
        <v>77700</v>
      </c>
      <c r="BW120" s="1">
        <v>91800</v>
      </c>
      <c r="BX120" s="1">
        <v>71800</v>
      </c>
      <c r="BY120" s="1">
        <v>94300</v>
      </c>
      <c r="BZ120" s="1">
        <v>60700</v>
      </c>
    </row>
    <row r="121" spans="1:254" ht="15.9" customHeight="1">
      <c r="A121" s="393" t="s">
        <v>237</v>
      </c>
      <c r="B121" s="46" t="s">
        <v>238</v>
      </c>
      <c r="C121" s="50">
        <f>_xll.RssMarket("7685","出来高")</f>
        <v>345300</v>
      </c>
      <c r="D121" s="202">
        <f t="shared" si="1"/>
        <v>0</v>
      </c>
      <c r="E121" s="200">
        <v>345300</v>
      </c>
      <c r="F121" s="21">
        <v>215800</v>
      </c>
      <c r="G121" s="21">
        <v>233600</v>
      </c>
      <c r="H121" s="21">
        <v>238600</v>
      </c>
      <c r="I121" s="21">
        <v>449700</v>
      </c>
      <c r="J121" s="21">
        <v>355400</v>
      </c>
      <c r="K121" s="21">
        <v>319800</v>
      </c>
      <c r="L121" s="21">
        <v>251500</v>
      </c>
      <c r="M121" s="21">
        <v>324600</v>
      </c>
      <c r="N121" s="21"/>
      <c r="O121" s="21">
        <v>425200</v>
      </c>
      <c r="P121" s="21">
        <v>436600</v>
      </c>
      <c r="Q121" s="21">
        <v>916100</v>
      </c>
      <c r="R121" s="21">
        <v>284600</v>
      </c>
      <c r="S121" s="21">
        <v>250600</v>
      </c>
      <c r="T121" s="21">
        <v>209400</v>
      </c>
      <c r="U121" s="21">
        <v>179500</v>
      </c>
      <c r="V121" s="21">
        <v>301300</v>
      </c>
      <c r="W121" s="21">
        <v>260400</v>
      </c>
      <c r="X121" s="21">
        <v>424900</v>
      </c>
      <c r="Y121" s="21">
        <v>360500</v>
      </c>
      <c r="Z121" s="21">
        <v>475200</v>
      </c>
      <c r="AA121" s="21">
        <v>320900</v>
      </c>
      <c r="AB121" s="21">
        <v>317100</v>
      </c>
      <c r="AC121" s="21">
        <v>270600</v>
      </c>
      <c r="AD121" s="21">
        <v>266200</v>
      </c>
      <c r="AE121" s="21">
        <v>404700</v>
      </c>
      <c r="AF121" s="21">
        <v>562500</v>
      </c>
      <c r="AG121" s="21">
        <v>462400</v>
      </c>
      <c r="AH121" s="21">
        <v>271000</v>
      </c>
      <c r="AI121" s="21">
        <v>520500</v>
      </c>
      <c r="AJ121" s="21">
        <v>231800</v>
      </c>
      <c r="AK121" s="21">
        <v>415600</v>
      </c>
      <c r="AL121" s="21">
        <v>284400</v>
      </c>
      <c r="AM121" s="21">
        <v>236400</v>
      </c>
      <c r="AN121" s="21">
        <v>288700</v>
      </c>
      <c r="AO121" s="21">
        <v>457300</v>
      </c>
      <c r="AP121" s="21">
        <v>299300</v>
      </c>
      <c r="AQ121" s="21">
        <v>278000</v>
      </c>
      <c r="AR121" s="21">
        <v>449700</v>
      </c>
      <c r="AS121" s="21">
        <v>405100</v>
      </c>
      <c r="AT121" s="21">
        <v>171700</v>
      </c>
      <c r="AU121" s="21">
        <v>276800</v>
      </c>
      <c r="AV121" s="21">
        <v>202100</v>
      </c>
      <c r="AW121" s="21">
        <v>280700</v>
      </c>
      <c r="AX121" s="21">
        <v>357400</v>
      </c>
      <c r="AY121" s="21">
        <v>376600</v>
      </c>
      <c r="AZ121" s="21">
        <v>403300</v>
      </c>
      <c r="BA121" s="21">
        <v>261400</v>
      </c>
      <c r="BB121" s="21">
        <v>254300</v>
      </c>
      <c r="BC121" s="21">
        <v>359000</v>
      </c>
      <c r="BD121" s="21">
        <v>373200</v>
      </c>
      <c r="BE121" s="21">
        <v>639000</v>
      </c>
      <c r="BF121" s="21">
        <v>660800</v>
      </c>
      <c r="BG121" s="21">
        <v>1530000</v>
      </c>
      <c r="BH121" s="21">
        <v>681300</v>
      </c>
      <c r="BI121" s="21">
        <v>588700</v>
      </c>
      <c r="BJ121" s="21">
        <v>398900</v>
      </c>
      <c r="BK121" s="21">
        <v>268000</v>
      </c>
      <c r="BL121" s="21">
        <v>205600</v>
      </c>
      <c r="BM121" s="1">
        <v>278700</v>
      </c>
      <c r="BN121" s="1">
        <v>294600</v>
      </c>
      <c r="BO121" s="1">
        <v>410400</v>
      </c>
      <c r="BP121" s="1">
        <v>317800</v>
      </c>
      <c r="BQ121" s="1">
        <v>272100</v>
      </c>
      <c r="BR121" s="1">
        <v>362300</v>
      </c>
      <c r="BS121" s="1">
        <v>202100</v>
      </c>
      <c r="BT121" s="1">
        <v>423900</v>
      </c>
      <c r="BU121" s="1">
        <v>337900</v>
      </c>
      <c r="BV121" s="1">
        <v>408500</v>
      </c>
      <c r="BW121" s="1">
        <v>162600</v>
      </c>
      <c r="BX121" s="1">
        <v>180900</v>
      </c>
      <c r="BY121" s="1">
        <v>365200</v>
      </c>
      <c r="BZ121" s="1">
        <v>312500</v>
      </c>
    </row>
    <row r="122" spans="1:254" ht="15.9" customHeight="1">
      <c r="A122" s="393" t="s">
        <v>239</v>
      </c>
      <c r="B122" s="46" t="s">
        <v>240</v>
      </c>
      <c r="C122" s="50">
        <f>_xll.RssMarket("8334","出来高")</f>
        <v>1183300</v>
      </c>
      <c r="D122" s="202">
        <f t="shared" si="1"/>
        <v>0</v>
      </c>
      <c r="E122" s="200">
        <v>1183300</v>
      </c>
      <c r="F122" s="21">
        <v>944700</v>
      </c>
      <c r="G122" s="21">
        <v>1032700</v>
      </c>
      <c r="H122" s="21">
        <v>1479800</v>
      </c>
      <c r="I122" s="21">
        <v>962400</v>
      </c>
      <c r="J122" s="21">
        <v>990900</v>
      </c>
      <c r="K122" s="21">
        <v>1053100</v>
      </c>
      <c r="L122" s="21">
        <v>1131000</v>
      </c>
      <c r="M122" s="21">
        <v>1054600</v>
      </c>
      <c r="N122" s="21">
        <v>787400</v>
      </c>
      <c r="O122" s="21">
        <v>890300</v>
      </c>
      <c r="P122" s="21">
        <v>1059800</v>
      </c>
      <c r="Q122" s="21">
        <v>981700</v>
      </c>
      <c r="R122" s="21">
        <v>1141600</v>
      </c>
      <c r="S122" s="21">
        <v>868700</v>
      </c>
      <c r="T122" s="21">
        <v>1255200</v>
      </c>
      <c r="U122" s="21">
        <v>722500</v>
      </c>
      <c r="V122" s="21">
        <v>907100</v>
      </c>
      <c r="W122" s="21">
        <v>795800</v>
      </c>
      <c r="X122" s="21">
        <v>888200</v>
      </c>
      <c r="Y122" s="21">
        <v>1084500</v>
      </c>
      <c r="Z122" s="21">
        <v>622300</v>
      </c>
      <c r="AA122" s="21">
        <v>903900</v>
      </c>
      <c r="AB122" s="21">
        <v>865400</v>
      </c>
      <c r="AC122" s="21">
        <v>663600</v>
      </c>
      <c r="AD122" s="21">
        <v>970700</v>
      </c>
      <c r="AE122" s="21">
        <v>878900</v>
      </c>
      <c r="AF122" s="21">
        <v>714000</v>
      </c>
      <c r="AG122" s="21">
        <v>751900</v>
      </c>
      <c r="AH122" s="21">
        <v>642200</v>
      </c>
      <c r="AI122" s="21">
        <v>946900</v>
      </c>
      <c r="AJ122" s="21">
        <v>559700</v>
      </c>
      <c r="AK122" s="21">
        <v>1100100</v>
      </c>
      <c r="AL122" s="21">
        <v>915500</v>
      </c>
      <c r="AM122" s="21">
        <v>881500</v>
      </c>
      <c r="AN122" s="21">
        <v>1076500</v>
      </c>
      <c r="AO122" s="21">
        <v>1022700</v>
      </c>
      <c r="AP122" s="21">
        <v>1288200</v>
      </c>
      <c r="AQ122" s="21">
        <v>740700</v>
      </c>
      <c r="AR122" s="21">
        <v>1216500</v>
      </c>
      <c r="AS122" s="21">
        <v>893000</v>
      </c>
      <c r="AT122" s="21">
        <v>817600</v>
      </c>
      <c r="AU122" s="21">
        <v>829500</v>
      </c>
      <c r="AV122" s="21">
        <v>715400</v>
      </c>
      <c r="AW122" s="21">
        <v>941000</v>
      </c>
      <c r="AX122" s="21">
        <v>1152600</v>
      </c>
      <c r="AY122" s="21">
        <v>1029300</v>
      </c>
      <c r="AZ122" s="21">
        <v>1015700</v>
      </c>
      <c r="BA122" s="21">
        <v>848400</v>
      </c>
      <c r="BB122" s="21">
        <v>873400</v>
      </c>
      <c r="BC122" s="21">
        <v>1365600</v>
      </c>
      <c r="BD122" s="21">
        <v>1242000</v>
      </c>
      <c r="BE122" s="21">
        <v>1163800</v>
      </c>
      <c r="BF122" s="21">
        <v>1052800</v>
      </c>
      <c r="BG122" s="21">
        <v>1025100</v>
      </c>
      <c r="BH122" s="21">
        <v>869400</v>
      </c>
      <c r="BI122" s="21">
        <v>1202700</v>
      </c>
      <c r="BJ122" s="21">
        <v>1674400</v>
      </c>
      <c r="BK122" s="21">
        <v>1971300</v>
      </c>
      <c r="BL122" s="21">
        <v>1276700</v>
      </c>
      <c r="BM122" s="1">
        <v>1331300</v>
      </c>
      <c r="BN122" s="1">
        <v>859800</v>
      </c>
      <c r="BO122" s="1">
        <v>1440900</v>
      </c>
      <c r="BP122" s="1">
        <v>2104300</v>
      </c>
      <c r="BQ122" s="1">
        <v>1564000</v>
      </c>
      <c r="BR122" s="1">
        <v>724500</v>
      </c>
      <c r="BS122" s="1">
        <v>1684300</v>
      </c>
      <c r="BT122" s="1">
        <v>2170400</v>
      </c>
      <c r="BU122" s="1">
        <v>1178100</v>
      </c>
      <c r="BV122" s="1">
        <v>977500</v>
      </c>
      <c r="BW122" s="1">
        <v>1006700</v>
      </c>
      <c r="BX122" s="1">
        <v>699500</v>
      </c>
      <c r="BY122" s="1">
        <v>847200</v>
      </c>
      <c r="BZ122" s="1">
        <v>770300</v>
      </c>
    </row>
    <row r="123" spans="1:254" ht="15.9" customHeight="1">
      <c r="A123" s="393" t="s">
        <v>241</v>
      </c>
      <c r="B123" s="46" t="s">
        <v>242</v>
      </c>
      <c r="C123" s="50">
        <f>_xll.RssMarket("8359","出来高")</f>
        <v>2501400</v>
      </c>
      <c r="D123" s="202">
        <f t="shared" si="1"/>
        <v>0</v>
      </c>
      <c r="E123" s="200">
        <v>2501400</v>
      </c>
      <c r="F123" s="21">
        <v>1328500</v>
      </c>
      <c r="G123" s="21">
        <v>1777900</v>
      </c>
      <c r="H123" s="21">
        <v>1768400</v>
      </c>
      <c r="I123" s="21">
        <v>2199600</v>
      </c>
      <c r="J123" s="21">
        <v>1548200</v>
      </c>
      <c r="K123" s="21">
        <v>1707800</v>
      </c>
      <c r="L123" s="21">
        <v>1925100</v>
      </c>
      <c r="M123" s="21">
        <v>1535700</v>
      </c>
      <c r="N123" s="21">
        <v>1258800</v>
      </c>
      <c r="O123" s="21">
        <v>1283000</v>
      </c>
      <c r="P123" s="21">
        <v>1433700</v>
      </c>
      <c r="Q123" s="21">
        <v>1521900</v>
      </c>
      <c r="R123" s="21">
        <v>1622800</v>
      </c>
      <c r="S123" s="21">
        <v>1586300</v>
      </c>
      <c r="T123" s="21">
        <v>1479500</v>
      </c>
      <c r="U123" s="21">
        <v>862800</v>
      </c>
      <c r="V123" s="21">
        <v>1477300</v>
      </c>
      <c r="W123" s="21">
        <v>818600</v>
      </c>
      <c r="X123" s="21">
        <v>1309300</v>
      </c>
      <c r="Y123" s="21">
        <v>1162000</v>
      </c>
      <c r="Z123" s="21">
        <v>796600</v>
      </c>
      <c r="AA123" s="21">
        <v>1176400</v>
      </c>
      <c r="AB123" s="21">
        <v>1455700</v>
      </c>
      <c r="AC123" s="21">
        <v>1374600</v>
      </c>
      <c r="AD123" s="21">
        <v>1503700</v>
      </c>
      <c r="AE123" s="21">
        <v>1238000</v>
      </c>
      <c r="AF123" s="21">
        <v>935600</v>
      </c>
      <c r="AG123" s="21">
        <v>1071900</v>
      </c>
      <c r="AH123" s="21">
        <v>988000</v>
      </c>
      <c r="AI123" s="21">
        <v>1171800</v>
      </c>
      <c r="AJ123" s="21">
        <v>1060700</v>
      </c>
      <c r="AK123" s="21">
        <v>4094500</v>
      </c>
      <c r="AL123" s="21">
        <v>1541000</v>
      </c>
      <c r="AM123" s="21">
        <v>1905900</v>
      </c>
      <c r="AN123" s="21">
        <v>1498000</v>
      </c>
      <c r="AO123" s="21">
        <v>1821400</v>
      </c>
      <c r="AP123" s="21">
        <v>1879700</v>
      </c>
      <c r="AQ123" s="21">
        <v>1406600</v>
      </c>
      <c r="AR123" s="21">
        <v>1861500</v>
      </c>
      <c r="AS123" s="21">
        <v>1330700</v>
      </c>
      <c r="AT123" s="21">
        <v>1636900</v>
      </c>
      <c r="AU123" s="21">
        <v>1304300</v>
      </c>
      <c r="AV123" s="21">
        <v>1428400</v>
      </c>
      <c r="AW123" s="21">
        <v>1337600</v>
      </c>
      <c r="AX123" s="21">
        <v>2196000</v>
      </c>
      <c r="AY123" s="21">
        <v>1116600</v>
      </c>
      <c r="AZ123" s="21">
        <v>974000</v>
      </c>
      <c r="BA123" s="21">
        <v>1134000</v>
      </c>
      <c r="BB123" s="21">
        <v>1241600</v>
      </c>
      <c r="BC123" s="21">
        <v>1384900</v>
      </c>
      <c r="BD123" s="21">
        <v>1463800</v>
      </c>
      <c r="BE123" s="21">
        <v>1422900</v>
      </c>
      <c r="BF123" s="21">
        <v>2370100</v>
      </c>
      <c r="BG123" s="21">
        <v>1960900</v>
      </c>
      <c r="BH123" s="21">
        <v>1445200</v>
      </c>
      <c r="BI123" s="21">
        <v>1821500</v>
      </c>
      <c r="BJ123" s="21">
        <v>1412900</v>
      </c>
      <c r="BK123" s="21">
        <v>1802400</v>
      </c>
      <c r="BL123" s="21">
        <v>2525200</v>
      </c>
      <c r="BM123" s="1">
        <v>3119400</v>
      </c>
      <c r="BN123" s="1">
        <v>967000</v>
      </c>
      <c r="BO123" s="1">
        <v>1250200</v>
      </c>
      <c r="BP123" s="1">
        <v>1709000</v>
      </c>
      <c r="BQ123" s="1">
        <v>1064200</v>
      </c>
      <c r="BR123" s="1">
        <v>932400</v>
      </c>
      <c r="BS123" s="1">
        <v>1606200</v>
      </c>
      <c r="BT123" s="1">
        <v>1743200</v>
      </c>
      <c r="BU123" s="1">
        <v>1295300</v>
      </c>
      <c r="BV123" s="1">
        <v>986900</v>
      </c>
      <c r="BW123" s="1">
        <v>937700</v>
      </c>
      <c r="BX123" s="1">
        <v>954200</v>
      </c>
      <c r="BY123" s="1">
        <v>1343700</v>
      </c>
      <c r="BZ123" s="1">
        <v>1576900</v>
      </c>
    </row>
    <row r="124" spans="1:254" ht="15.9" customHeight="1">
      <c r="A124" s="393" t="s">
        <v>243</v>
      </c>
      <c r="B124" s="46" t="s">
        <v>244</v>
      </c>
      <c r="C124" s="50">
        <f>_xll.RssMarket("8801","出来高")</f>
        <v>9906200</v>
      </c>
      <c r="D124" s="202">
        <f t="shared" si="1"/>
        <v>0</v>
      </c>
      <c r="E124" s="200">
        <v>9906200</v>
      </c>
      <c r="F124" s="21">
        <v>9206900</v>
      </c>
      <c r="G124" s="21">
        <v>8791100</v>
      </c>
      <c r="H124" s="21">
        <v>14067600</v>
      </c>
      <c r="I124" s="21">
        <v>10723900</v>
      </c>
      <c r="J124" s="21">
        <v>10828600</v>
      </c>
      <c r="K124" s="21">
        <v>13660100</v>
      </c>
      <c r="L124" s="21">
        <v>9688100</v>
      </c>
      <c r="M124" s="21">
        <v>6867500</v>
      </c>
      <c r="N124" s="21">
        <v>6189300</v>
      </c>
      <c r="O124" s="21">
        <v>8035600</v>
      </c>
      <c r="P124" s="21">
        <v>6251100</v>
      </c>
      <c r="Q124" s="21">
        <v>9620300</v>
      </c>
      <c r="R124" s="21">
        <v>9356300</v>
      </c>
      <c r="S124" s="21">
        <v>6380500</v>
      </c>
      <c r="T124" s="21">
        <v>7707400</v>
      </c>
      <c r="U124" s="21">
        <v>5441500</v>
      </c>
      <c r="V124" s="21">
        <v>6529000</v>
      </c>
      <c r="W124" s="21">
        <v>7751700</v>
      </c>
      <c r="X124" s="21">
        <v>7886000</v>
      </c>
      <c r="Y124" s="21">
        <v>9424500</v>
      </c>
      <c r="Z124" s="21">
        <v>6343100</v>
      </c>
      <c r="AA124" s="21">
        <v>9168000</v>
      </c>
      <c r="AB124" s="21">
        <v>9257700</v>
      </c>
      <c r="AC124" s="21">
        <v>9488000</v>
      </c>
      <c r="AD124" s="21">
        <v>12517300</v>
      </c>
      <c r="AE124" s="21">
        <v>15325400</v>
      </c>
      <c r="AF124" s="21">
        <v>16359000</v>
      </c>
      <c r="AG124" s="21">
        <v>9836400</v>
      </c>
      <c r="AH124" s="21">
        <v>13493700</v>
      </c>
      <c r="AI124" s="21">
        <v>16004200</v>
      </c>
      <c r="AJ124" s="21">
        <v>9673000</v>
      </c>
      <c r="AK124" s="21">
        <v>14467000</v>
      </c>
      <c r="AL124" s="21">
        <v>10721100</v>
      </c>
      <c r="AM124" s="21">
        <v>9010400</v>
      </c>
      <c r="AN124" s="21">
        <v>9741600</v>
      </c>
      <c r="AO124" s="21">
        <v>12128800</v>
      </c>
      <c r="AP124" s="21">
        <v>13173200</v>
      </c>
      <c r="AQ124" s="21">
        <v>18916700</v>
      </c>
      <c r="AR124" s="21">
        <v>14131200</v>
      </c>
      <c r="AS124" s="21">
        <v>11385300</v>
      </c>
      <c r="AT124" s="21">
        <v>8640800</v>
      </c>
      <c r="AU124" s="21">
        <v>10006200</v>
      </c>
      <c r="AV124" s="21">
        <v>8128100</v>
      </c>
      <c r="AW124" s="21">
        <v>14964600</v>
      </c>
      <c r="AX124" s="21">
        <v>23942000</v>
      </c>
      <c r="AY124" s="21">
        <v>8693900</v>
      </c>
      <c r="AZ124" s="21">
        <v>15297600</v>
      </c>
      <c r="BA124" s="21">
        <v>12823100</v>
      </c>
      <c r="BB124" s="21">
        <v>16564400</v>
      </c>
      <c r="BC124" s="21">
        <v>13420100</v>
      </c>
      <c r="BD124" s="21">
        <v>14973800</v>
      </c>
      <c r="BE124" s="21">
        <v>16575000</v>
      </c>
      <c r="BF124" s="21">
        <v>15163200</v>
      </c>
      <c r="BG124" s="21">
        <v>17988500</v>
      </c>
      <c r="BH124" s="21">
        <v>21882500</v>
      </c>
      <c r="BI124" s="21">
        <v>7973500</v>
      </c>
      <c r="BJ124" s="21">
        <v>7657000</v>
      </c>
      <c r="BK124" s="21">
        <v>6435200</v>
      </c>
      <c r="BL124" s="21">
        <v>11016900</v>
      </c>
      <c r="BM124" s="1">
        <v>11882300</v>
      </c>
      <c r="BN124" s="1">
        <v>5387600</v>
      </c>
      <c r="BO124" s="1">
        <v>12002700</v>
      </c>
      <c r="BP124" s="1">
        <v>7913300</v>
      </c>
      <c r="BQ124" s="1">
        <v>6371000</v>
      </c>
      <c r="BR124" s="1">
        <v>5470500</v>
      </c>
      <c r="BS124" s="1">
        <v>7328800</v>
      </c>
      <c r="BT124" s="1">
        <v>6632900</v>
      </c>
      <c r="BU124" s="1">
        <v>6538700</v>
      </c>
      <c r="BV124" s="1">
        <v>8780400</v>
      </c>
      <c r="BW124" s="1">
        <v>8041900</v>
      </c>
      <c r="BX124" s="1">
        <v>9612200</v>
      </c>
      <c r="BY124" s="1">
        <v>10788400</v>
      </c>
      <c r="BZ124" s="1">
        <v>12977400</v>
      </c>
    </row>
    <row r="125" spans="1:254" ht="15.9" customHeight="1">
      <c r="A125" s="393" t="s">
        <v>245</v>
      </c>
      <c r="B125" s="46" t="s">
        <v>246</v>
      </c>
      <c r="C125" s="50">
        <f>_xll.RssMarket("8934","出来高")</f>
        <v>118900</v>
      </c>
      <c r="D125" s="202">
        <f t="shared" si="1"/>
        <v>0</v>
      </c>
      <c r="E125" s="200">
        <v>118900</v>
      </c>
      <c r="F125" s="21">
        <v>76800</v>
      </c>
      <c r="G125" s="21">
        <v>83100</v>
      </c>
      <c r="H125" s="21">
        <v>159300</v>
      </c>
      <c r="I125" s="21">
        <v>95900</v>
      </c>
      <c r="J125" s="21">
        <v>126700</v>
      </c>
      <c r="K125" s="21">
        <v>176000</v>
      </c>
      <c r="L125" s="21">
        <v>78900</v>
      </c>
      <c r="M125" s="21">
        <v>153500</v>
      </c>
      <c r="N125" s="21">
        <v>98300</v>
      </c>
      <c r="O125" s="21">
        <v>103300</v>
      </c>
      <c r="P125" s="21">
        <v>97600</v>
      </c>
      <c r="Q125" s="21">
        <v>138800</v>
      </c>
      <c r="R125" s="21">
        <v>135800</v>
      </c>
      <c r="S125" s="21">
        <v>119700</v>
      </c>
      <c r="T125" s="21">
        <v>127100</v>
      </c>
      <c r="U125" s="21">
        <v>82000</v>
      </c>
      <c r="V125" s="21">
        <v>92400</v>
      </c>
      <c r="W125" s="21">
        <v>110600</v>
      </c>
      <c r="X125" s="21">
        <v>99500</v>
      </c>
      <c r="Y125" s="21">
        <v>161800</v>
      </c>
      <c r="Z125" s="21">
        <v>148600</v>
      </c>
      <c r="AA125" s="21">
        <v>116800</v>
      </c>
      <c r="AB125" s="21">
        <v>95800</v>
      </c>
      <c r="AC125" s="21">
        <v>91500</v>
      </c>
      <c r="AD125" s="21">
        <v>99700</v>
      </c>
      <c r="AE125" s="21">
        <v>118300</v>
      </c>
      <c r="AF125" s="21">
        <v>111600</v>
      </c>
      <c r="AG125" s="21">
        <v>97700</v>
      </c>
      <c r="AH125" s="21">
        <v>98000</v>
      </c>
      <c r="AI125" s="21">
        <v>103900</v>
      </c>
      <c r="AJ125" s="21">
        <v>93600</v>
      </c>
      <c r="AK125" s="21">
        <v>297000</v>
      </c>
      <c r="AL125" s="21">
        <v>144400</v>
      </c>
      <c r="AM125" s="21">
        <v>100500</v>
      </c>
      <c r="AN125" s="21">
        <v>139700</v>
      </c>
      <c r="AO125" s="21">
        <v>133000</v>
      </c>
      <c r="AP125" s="21">
        <v>134300</v>
      </c>
      <c r="AQ125" s="21">
        <v>150900</v>
      </c>
      <c r="AR125" s="21">
        <v>125100</v>
      </c>
      <c r="AS125" s="21">
        <v>112100</v>
      </c>
      <c r="AT125" s="21">
        <v>163200</v>
      </c>
      <c r="AU125" s="21">
        <v>192200</v>
      </c>
      <c r="AV125" s="21">
        <v>129800</v>
      </c>
      <c r="AW125" s="21">
        <v>164100</v>
      </c>
      <c r="AX125" s="21">
        <v>244800</v>
      </c>
      <c r="AY125" s="21">
        <v>145800</v>
      </c>
      <c r="AZ125" s="21">
        <v>129200</v>
      </c>
      <c r="BA125" s="21">
        <v>105300</v>
      </c>
      <c r="BB125" s="21">
        <v>206100</v>
      </c>
      <c r="BC125" s="21">
        <v>141600</v>
      </c>
      <c r="BD125" s="21">
        <v>185300</v>
      </c>
      <c r="BE125" s="21">
        <v>129000</v>
      </c>
      <c r="BF125" s="21">
        <v>197200</v>
      </c>
      <c r="BG125" s="21">
        <v>175700</v>
      </c>
      <c r="BH125" s="21">
        <v>180000</v>
      </c>
      <c r="BI125" s="21">
        <v>209700</v>
      </c>
      <c r="BJ125" s="21">
        <v>411900</v>
      </c>
      <c r="BK125" s="21">
        <v>253500</v>
      </c>
      <c r="BL125" s="21">
        <v>170900</v>
      </c>
      <c r="BM125" s="1">
        <v>183700</v>
      </c>
      <c r="BN125" s="1">
        <v>130300</v>
      </c>
      <c r="BO125" s="1">
        <v>194200</v>
      </c>
      <c r="BP125" s="1">
        <v>266600</v>
      </c>
      <c r="BQ125" s="1">
        <v>132500</v>
      </c>
      <c r="BR125" s="1">
        <v>186200</v>
      </c>
      <c r="BS125" s="1">
        <v>246800</v>
      </c>
      <c r="BT125" s="1">
        <v>161300</v>
      </c>
      <c r="BU125" s="1">
        <v>181800</v>
      </c>
      <c r="BV125" s="1">
        <v>190900</v>
      </c>
      <c r="BW125" s="1">
        <v>164300</v>
      </c>
      <c r="BX125" s="1">
        <v>212200</v>
      </c>
      <c r="BY125" s="1">
        <v>208000</v>
      </c>
      <c r="BZ125" s="1">
        <v>222100</v>
      </c>
    </row>
    <row r="126" spans="1:254" ht="15.9" customHeight="1">
      <c r="A126" s="393" t="s">
        <v>247</v>
      </c>
      <c r="B126" s="46" t="s">
        <v>248</v>
      </c>
      <c r="C126" s="50">
        <f>_xll.RssMarket("9416","出来高")</f>
        <v>166200</v>
      </c>
      <c r="D126" s="202">
        <f t="shared" si="1"/>
        <v>0</v>
      </c>
      <c r="E126" s="200">
        <v>166200</v>
      </c>
      <c r="F126" s="21">
        <v>169000</v>
      </c>
      <c r="G126" s="21">
        <v>186000</v>
      </c>
      <c r="H126" s="21">
        <v>273800</v>
      </c>
      <c r="I126" s="21">
        <v>294000</v>
      </c>
      <c r="J126" s="21">
        <v>577100</v>
      </c>
      <c r="K126" s="21">
        <v>478300</v>
      </c>
      <c r="L126" s="21">
        <v>276600</v>
      </c>
      <c r="M126" s="21">
        <v>338800</v>
      </c>
      <c r="N126" s="21">
        <v>376800</v>
      </c>
      <c r="O126" s="21">
        <v>394300</v>
      </c>
      <c r="P126" s="21">
        <v>334800</v>
      </c>
      <c r="Q126" s="21">
        <v>291800</v>
      </c>
      <c r="R126" s="21">
        <v>281100</v>
      </c>
      <c r="S126" s="21">
        <v>261900</v>
      </c>
      <c r="T126" s="21">
        <v>279300</v>
      </c>
      <c r="U126" s="21">
        <v>187100</v>
      </c>
      <c r="V126" s="21">
        <v>250700</v>
      </c>
      <c r="W126" s="21">
        <v>330800</v>
      </c>
      <c r="X126" s="21">
        <v>402200</v>
      </c>
      <c r="Y126" s="21">
        <v>287700</v>
      </c>
      <c r="Z126" s="21">
        <v>329100</v>
      </c>
      <c r="AA126" s="21">
        <v>408100</v>
      </c>
      <c r="AB126" s="21">
        <v>509500</v>
      </c>
      <c r="AC126" s="21">
        <v>598900</v>
      </c>
      <c r="AD126" s="21">
        <v>359800</v>
      </c>
      <c r="AE126" s="21">
        <v>636600</v>
      </c>
      <c r="AF126" s="21">
        <v>1108900</v>
      </c>
      <c r="AG126" s="21">
        <v>614500</v>
      </c>
      <c r="AH126" s="21">
        <v>578800</v>
      </c>
      <c r="AI126" s="21">
        <v>861200</v>
      </c>
      <c r="AJ126" s="21">
        <v>482100</v>
      </c>
      <c r="AK126" s="21">
        <v>392700</v>
      </c>
      <c r="AL126" s="21">
        <v>353500</v>
      </c>
      <c r="AM126" s="21">
        <v>504700</v>
      </c>
      <c r="AN126" s="21">
        <v>333200</v>
      </c>
      <c r="AO126" s="21">
        <v>426900</v>
      </c>
      <c r="AP126" s="21">
        <v>412900</v>
      </c>
      <c r="AQ126" s="21">
        <v>415200</v>
      </c>
      <c r="AR126" s="21">
        <v>337200</v>
      </c>
      <c r="AS126" s="21">
        <v>318100</v>
      </c>
      <c r="AT126" s="21">
        <v>352000</v>
      </c>
      <c r="AU126" s="21">
        <v>463900</v>
      </c>
      <c r="AV126" s="21">
        <v>353500</v>
      </c>
      <c r="AW126" s="21">
        <v>368400</v>
      </c>
      <c r="AX126" s="21">
        <v>345100</v>
      </c>
      <c r="AY126" s="21">
        <v>336400</v>
      </c>
      <c r="AZ126" s="21">
        <v>402700</v>
      </c>
      <c r="BA126" s="21">
        <v>1019500</v>
      </c>
      <c r="BB126" s="21">
        <v>454100</v>
      </c>
      <c r="BC126" s="21">
        <v>284600</v>
      </c>
      <c r="BD126" s="21">
        <v>464500</v>
      </c>
      <c r="BE126" s="21">
        <v>422100</v>
      </c>
      <c r="BF126" s="21">
        <v>659600</v>
      </c>
      <c r="BG126" s="21">
        <v>961800</v>
      </c>
      <c r="BH126" s="21">
        <v>255000</v>
      </c>
      <c r="BI126" s="21">
        <v>198500</v>
      </c>
      <c r="BJ126" s="21">
        <v>148500</v>
      </c>
      <c r="BK126" s="21">
        <v>153800</v>
      </c>
      <c r="BL126" s="21">
        <v>151700</v>
      </c>
      <c r="BM126" s="1">
        <v>173300</v>
      </c>
      <c r="BN126" s="1">
        <v>150900</v>
      </c>
      <c r="BO126" s="1">
        <v>219500</v>
      </c>
      <c r="BP126" s="1">
        <v>181800</v>
      </c>
      <c r="BQ126" s="1">
        <v>206700</v>
      </c>
      <c r="BR126" s="1">
        <v>339200</v>
      </c>
      <c r="BS126" s="1">
        <v>339300</v>
      </c>
      <c r="BT126" s="1">
        <v>300600</v>
      </c>
      <c r="BU126" s="1">
        <v>337200</v>
      </c>
      <c r="BV126" s="1">
        <v>255600</v>
      </c>
      <c r="BW126" s="1">
        <v>188700</v>
      </c>
      <c r="BX126" s="1">
        <v>183900</v>
      </c>
      <c r="BY126" s="1">
        <v>214800</v>
      </c>
      <c r="BZ126" s="1">
        <v>142500</v>
      </c>
    </row>
    <row r="127" spans="1:254" ht="15.9" customHeight="1">
      <c r="A127" s="393" t="s">
        <v>249</v>
      </c>
      <c r="B127" s="46" t="s">
        <v>250</v>
      </c>
      <c r="C127" s="50">
        <f>_xll.RssMarket("9532","出来高")</f>
        <v>1009000</v>
      </c>
      <c r="D127" s="202">
        <f t="shared" si="1"/>
        <v>0</v>
      </c>
      <c r="E127" s="200">
        <v>1009000</v>
      </c>
      <c r="F127" s="21">
        <v>894000</v>
      </c>
      <c r="G127" s="21">
        <v>800500</v>
      </c>
      <c r="H127" s="21">
        <v>987800</v>
      </c>
      <c r="I127" s="21">
        <v>1367100</v>
      </c>
      <c r="J127" s="21">
        <v>2964400</v>
      </c>
      <c r="K127" s="21">
        <v>995000</v>
      </c>
      <c r="L127" s="21">
        <v>857500</v>
      </c>
      <c r="M127" s="21">
        <v>837900</v>
      </c>
      <c r="N127" s="21">
        <v>641300</v>
      </c>
      <c r="O127" s="21">
        <v>832600</v>
      </c>
      <c r="P127" s="21">
        <v>873800</v>
      </c>
      <c r="Q127" s="21">
        <v>824400</v>
      </c>
      <c r="R127" s="21">
        <v>869200</v>
      </c>
      <c r="S127" s="21">
        <v>606800</v>
      </c>
      <c r="T127" s="21">
        <v>595700</v>
      </c>
      <c r="U127" s="21">
        <v>693900</v>
      </c>
      <c r="V127" s="21">
        <v>849100</v>
      </c>
      <c r="W127" s="21">
        <v>895500</v>
      </c>
      <c r="X127" s="21">
        <v>850600</v>
      </c>
      <c r="Y127" s="21">
        <v>846600</v>
      </c>
      <c r="Z127" s="21">
        <v>602700</v>
      </c>
      <c r="AA127" s="21">
        <v>688800</v>
      </c>
      <c r="AB127" s="21">
        <v>756200</v>
      </c>
      <c r="AC127" s="21">
        <v>1024500</v>
      </c>
      <c r="AD127" s="21">
        <v>1088500</v>
      </c>
      <c r="AE127" s="21">
        <v>792700</v>
      </c>
      <c r="AF127" s="21">
        <v>560600</v>
      </c>
      <c r="AG127" s="21">
        <v>624100</v>
      </c>
      <c r="AH127" s="21">
        <v>601500</v>
      </c>
      <c r="AI127" s="21">
        <v>803400</v>
      </c>
      <c r="AJ127" s="21">
        <v>660900</v>
      </c>
      <c r="AK127" s="21">
        <v>1592500</v>
      </c>
      <c r="AL127" s="21">
        <v>668000</v>
      </c>
      <c r="AM127" s="21">
        <v>723500</v>
      </c>
      <c r="AN127" s="21">
        <v>832500</v>
      </c>
      <c r="AO127" s="21">
        <v>1027900</v>
      </c>
      <c r="AP127" s="21">
        <v>1453600</v>
      </c>
      <c r="AQ127" s="21">
        <v>1226400</v>
      </c>
      <c r="AR127" s="21">
        <v>1014400</v>
      </c>
      <c r="AS127" s="21">
        <v>905300</v>
      </c>
      <c r="AT127" s="21">
        <v>937400</v>
      </c>
      <c r="AU127" s="21">
        <v>932500</v>
      </c>
      <c r="AV127" s="21">
        <v>1413400</v>
      </c>
      <c r="AW127" s="21">
        <v>1277500</v>
      </c>
      <c r="AX127" s="21">
        <v>4161400</v>
      </c>
      <c r="AY127" s="21">
        <v>1339000</v>
      </c>
      <c r="AZ127" s="21">
        <v>1454500</v>
      </c>
      <c r="BA127" s="21">
        <v>874800</v>
      </c>
      <c r="BB127" s="21">
        <v>748600</v>
      </c>
      <c r="BC127" s="21">
        <v>932400</v>
      </c>
      <c r="BD127" s="21">
        <v>813400</v>
      </c>
      <c r="BE127" s="21">
        <v>983600</v>
      </c>
      <c r="BF127" s="21">
        <v>956900</v>
      </c>
      <c r="BG127" s="21">
        <v>829800</v>
      </c>
      <c r="BH127" s="21">
        <v>684300</v>
      </c>
      <c r="BI127" s="21">
        <v>861400</v>
      </c>
      <c r="BJ127" s="21">
        <v>1699300</v>
      </c>
      <c r="BK127" s="21">
        <v>1649200</v>
      </c>
      <c r="BL127" s="21">
        <v>2354200</v>
      </c>
      <c r="BM127" s="1">
        <v>1479400</v>
      </c>
      <c r="BN127" s="1">
        <v>1004000</v>
      </c>
      <c r="BO127" s="1">
        <v>2041600</v>
      </c>
      <c r="BP127" s="1">
        <v>1121500</v>
      </c>
      <c r="BQ127" s="1">
        <v>756600</v>
      </c>
      <c r="BR127" s="1">
        <v>936500</v>
      </c>
      <c r="BS127" s="1">
        <v>1086600</v>
      </c>
      <c r="BT127" s="1">
        <v>799500</v>
      </c>
      <c r="BU127" s="1">
        <v>1155800</v>
      </c>
      <c r="BV127" s="1">
        <v>1217700</v>
      </c>
      <c r="BW127" s="1">
        <v>1008700</v>
      </c>
      <c r="BX127" s="1">
        <v>832500</v>
      </c>
      <c r="BY127" s="1">
        <v>825600</v>
      </c>
      <c r="BZ127" s="1">
        <v>871200</v>
      </c>
    </row>
    <row r="128" spans="1:254" ht="15.9" customHeight="1">
      <c r="A128" s="393" t="s">
        <v>251</v>
      </c>
      <c r="B128" s="46" t="s">
        <v>252</v>
      </c>
      <c r="C128" s="50">
        <f>_xll.RssMarket("6330","出来高")</f>
        <v>1312000</v>
      </c>
      <c r="D128" s="202">
        <f t="shared" si="1"/>
        <v>0</v>
      </c>
      <c r="E128" s="200">
        <v>1312000</v>
      </c>
      <c r="F128" s="21">
        <v>1773900</v>
      </c>
      <c r="G128" s="21">
        <v>1791900</v>
      </c>
      <c r="H128" s="21">
        <v>1414100</v>
      </c>
      <c r="I128" s="21">
        <v>1672900</v>
      </c>
      <c r="J128" s="21">
        <v>1839600</v>
      </c>
      <c r="K128" s="21">
        <v>2677300</v>
      </c>
      <c r="L128" s="21">
        <v>3461300</v>
      </c>
      <c r="M128" s="21">
        <v>6172400</v>
      </c>
      <c r="N128" s="21"/>
      <c r="O128" s="21">
        <v>1254600</v>
      </c>
      <c r="P128" s="21">
        <v>2626900</v>
      </c>
      <c r="Q128" s="21">
        <v>2451800</v>
      </c>
      <c r="R128" s="21">
        <v>2867300</v>
      </c>
      <c r="S128" s="21">
        <v>1346500</v>
      </c>
      <c r="T128" s="21">
        <v>1179200</v>
      </c>
      <c r="U128" s="21">
        <v>897100</v>
      </c>
      <c r="V128" s="21">
        <v>992100</v>
      </c>
      <c r="W128" s="21">
        <v>754500</v>
      </c>
      <c r="X128" s="21">
        <v>1185500</v>
      </c>
      <c r="Y128" s="21">
        <v>1377000</v>
      </c>
      <c r="Z128" s="21">
        <v>1767100</v>
      </c>
      <c r="AA128" s="21">
        <v>1102800</v>
      </c>
      <c r="AB128" s="21">
        <v>1798400</v>
      </c>
      <c r="AC128" s="21">
        <v>1792300</v>
      </c>
      <c r="AD128" s="21">
        <v>4022900</v>
      </c>
      <c r="AE128" s="21">
        <v>3054000</v>
      </c>
      <c r="AF128" s="21">
        <v>915900</v>
      </c>
      <c r="AG128" s="21">
        <v>941100</v>
      </c>
      <c r="AH128" s="21">
        <v>867200</v>
      </c>
      <c r="AI128" s="21">
        <v>1111600</v>
      </c>
      <c r="AJ128" s="21">
        <v>847000</v>
      </c>
      <c r="AK128" s="21">
        <v>1868500</v>
      </c>
      <c r="AL128" s="21">
        <v>1787600</v>
      </c>
      <c r="AM128" s="21">
        <v>1837600</v>
      </c>
      <c r="AN128" s="21">
        <v>1268200</v>
      </c>
      <c r="AO128" s="21">
        <v>2039700</v>
      </c>
      <c r="AP128" s="21">
        <v>949100</v>
      </c>
      <c r="AQ128" s="21">
        <v>1203900</v>
      </c>
      <c r="AR128" s="21">
        <v>1040300</v>
      </c>
      <c r="AS128" s="21">
        <v>1183700</v>
      </c>
      <c r="AT128" s="21">
        <v>1427900</v>
      </c>
      <c r="AU128" s="21">
        <v>780600</v>
      </c>
      <c r="AV128" s="21">
        <v>1792600</v>
      </c>
      <c r="AW128" s="21">
        <v>1533200</v>
      </c>
      <c r="AX128" s="21">
        <v>1253300</v>
      </c>
      <c r="AY128" s="21">
        <v>1341100</v>
      </c>
      <c r="AZ128" s="21">
        <v>1312600</v>
      </c>
      <c r="BA128" s="21">
        <v>1601100</v>
      </c>
      <c r="BB128" s="21">
        <v>1797800</v>
      </c>
      <c r="BC128" s="21">
        <v>1007100</v>
      </c>
      <c r="BD128" s="21">
        <v>1997300</v>
      </c>
      <c r="BE128" s="21">
        <v>1768600</v>
      </c>
      <c r="BF128" s="21">
        <v>1519100</v>
      </c>
      <c r="BG128" s="21">
        <v>3032800</v>
      </c>
      <c r="BH128" s="21">
        <v>8663900</v>
      </c>
      <c r="BI128" s="21">
        <v>1241700</v>
      </c>
      <c r="BJ128" s="21">
        <v>1514900</v>
      </c>
      <c r="BK128" s="21">
        <v>1535900</v>
      </c>
      <c r="BL128" s="21">
        <v>1278200</v>
      </c>
      <c r="BM128" s="1">
        <v>1391600</v>
      </c>
      <c r="BN128" s="1">
        <v>1327900</v>
      </c>
      <c r="BO128" s="1">
        <v>1554600</v>
      </c>
      <c r="BP128" s="1">
        <v>1799200</v>
      </c>
      <c r="BQ128" s="1">
        <v>1393200</v>
      </c>
      <c r="BR128" s="1">
        <v>1420500</v>
      </c>
      <c r="BS128" s="1">
        <v>2048800</v>
      </c>
      <c r="BT128" s="1">
        <v>2023100</v>
      </c>
      <c r="BU128" s="1">
        <v>2951600</v>
      </c>
      <c r="BV128" s="1">
        <v>6094400</v>
      </c>
      <c r="BW128" s="1">
        <v>5076900</v>
      </c>
      <c r="BX128" s="1">
        <v>2832800</v>
      </c>
      <c r="BY128" s="1">
        <v>2740200</v>
      </c>
      <c r="BZ128" s="1">
        <v>4463600</v>
      </c>
    </row>
    <row r="129" spans="1:254" ht="15.9" customHeight="1">
      <c r="A129" s="393" t="s">
        <v>253</v>
      </c>
      <c r="B129" s="46" t="s">
        <v>254</v>
      </c>
      <c r="C129" s="50">
        <f>_xll.RssMarket("4082","出来高")</f>
        <v>162100</v>
      </c>
      <c r="D129" s="202">
        <f t="shared" si="1"/>
        <v>0</v>
      </c>
      <c r="E129" s="200">
        <v>162100</v>
      </c>
      <c r="F129" s="21">
        <v>314500</v>
      </c>
      <c r="G129" s="21">
        <v>181600</v>
      </c>
      <c r="H129" s="21">
        <v>218500</v>
      </c>
      <c r="I129" s="21">
        <v>135500</v>
      </c>
      <c r="J129" s="21">
        <v>184000</v>
      </c>
      <c r="K129" s="21">
        <v>306300</v>
      </c>
      <c r="L129" s="21">
        <v>149900</v>
      </c>
      <c r="M129" s="21">
        <v>124100</v>
      </c>
      <c r="N129" s="21">
        <v>140500</v>
      </c>
      <c r="O129" s="21">
        <v>148600</v>
      </c>
      <c r="P129" s="21">
        <v>167300</v>
      </c>
      <c r="Q129" s="21">
        <v>273800</v>
      </c>
      <c r="R129" s="21">
        <v>381600</v>
      </c>
      <c r="S129" s="21">
        <v>121000</v>
      </c>
      <c r="T129" s="21">
        <v>133400</v>
      </c>
      <c r="U129" s="21">
        <v>157400</v>
      </c>
      <c r="V129" s="21">
        <v>141100</v>
      </c>
      <c r="W129" s="21">
        <v>162900</v>
      </c>
      <c r="X129" s="21">
        <v>215000</v>
      </c>
      <c r="Y129" s="21">
        <v>140700</v>
      </c>
      <c r="Z129" s="21">
        <v>119900</v>
      </c>
      <c r="AA129" s="21">
        <v>151800</v>
      </c>
      <c r="AB129" s="21">
        <v>138600</v>
      </c>
      <c r="AC129" s="21">
        <v>123100</v>
      </c>
      <c r="AD129" s="21">
        <v>151000</v>
      </c>
      <c r="AE129" s="21">
        <v>237100</v>
      </c>
      <c r="AF129" s="21">
        <v>193200</v>
      </c>
      <c r="AG129" s="21">
        <v>457500</v>
      </c>
      <c r="AH129" s="21">
        <v>185800</v>
      </c>
      <c r="AI129" s="21">
        <v>286000</v>
      </c>
      <c r="AJ129" s="21">
        <v>291900</v>
      </c>
      <c r="AK129" s="21">
        <v>246300</v>
      </c>
      <c r="AL129" s="21">
        <v>307900</v>
      </c>
      <c r="AM129" s="21">
        <v>270500</v>
      </c>
      <c r="AN129" s="21">
        <v>251500</v>
      </c>
      <c r="AO129" s="21">
        <v>267700</v>
      </c>
      <c r="AP129" s="21">
        <v>246100</v>
      </c>
      <c r="AQ129" s="21">
        <v>300800</v>
      </c>
      <c r="AR129" s="21">
        <v>378400</v>
      </c>
      <c r="AS129" s="21">
        <v>394900</v>
      </c>
      <c r="AT129" s="21">
        <v>222900</v>
      </c>
      <c r="AU129" s="21">
        <v>271500</v>
      </c>
      <c r="AV129" s="21">
        <v>337500</v>
      </c>
      <c r="AW129" s="21">
        <v>391600</v>
      </c>
      <c r="AX129" s="21">
        <v>902100</v>
      </c>
      <c r="AY129" s="21">
        <v>354900</v>
      </c>
      <c r="AZ129" s="21">
        <v>486800</v>
      </c>
      <c r="BA129" s="21">
        <v>375500</v>
      </c>
      <c r="BB129" s="21">
        <v>254200</v>
      </c>
      <c r="BC129" s="21">
        <v>313200</v>
      </c>
      <c r="BD129" s="21">
        <v>496400</v>
      </c>
      <c r="BE129" s="21">
        <v>282500</v>
      </c>
      <c r="BF129" s="21">
        <v>394100</v>
      </c>
      <c r="BG129" s="21">
        <v>1182400</v>
      </c>
      <c r="BH129" s="21">
        <v>441900</v>
      </c>
      <c r="BI129" s="21">
        <v>654500</v>
      </c>
      <c r="BJ129" s="21">
        <v>577300</v>
      </c>
      <c r="BK129" s="21">
        <v>936600</v>
      </c>
      <c r="BL129" s="21">
        <v>750000</v>
      </c>
      <c r="BM129" s="1">
        <v>317100</v>
      </c>
      <c r="BN129" s="1">
        <v>192600</v>
      </c>
      <c r="BO129" s="1">
        <v>254500</v>
      </c>
      <c r="BP129" s="1">
        <v>191000</v>
      </c>
      <c r="BQ129" s="1">
        <v>301400</v>
      </c>
      <c r="BR129" s="1">
        <v>841000</v>
      </c>
      <c r="BS129" s="1">
        <v>283300</v>
      </c>
      <c r="BT129" s="1">
        <v>286100</v>
      </c>
      <c r="BU129" s="1">
        <v>1001100</v>
      </c>
      <c r="BV129" s="1">
        <v>1438600</v>
      </c>
      <c r="BW129" s="1">
        <v>723100</v>
      </c>
      <c r="BX129" s="1">
        <v>583600</v>
      </c>
      <c r="BY129" s="1">
        <v>281800</v>
      </c>
      <c r="BZ129" s="1">
        <v>244000</v>
      </c>
    </row>
    <row r="130" spans="1:254" ht="15.9" customHeight="1">
      <c r="A130" s="393" t="s">
        <v>255</v>
      </c>
      <c r="B130" s="46" t="s">
        <v>256</v>
      </c>
      <c r="C130" s="50">
        <f>_xll.RssMarket("4519","出来高")</f>
        <v>3147300</v>
      </c>
      <c r="D130" s="202">
        <f t="shared" si="1"/>
        <v>0</v>
      </c>
      <c r="E130" s="200">
        <v>3147300</v>
      </c>
      <c r="F130" s="21">
        <v>2782100</v>
      </c>
      <c r="G130" s="21">
        <v>3013700</v>
      </c>
      <c r="H130" s="21">
        <v>3532400</v>
      </c>
      <c r="I130" s="21">
        <v>2876800</v>
      </c>
      <c r="J130" s="21">
        <v>2701800</v>
      </c>
      <c r="K130" s="21">
        <v>2859900</v>
      </c>
      <c r="L130" s="21">
        <v>4135500</v>
      </c>
      <c r="M130" s="21">
        <v>6311000</v>
      </c>
      <c r="N130" s="21"/>
      <c r="O130" s="21">
        <v>2609800</v>
      </c>
      <c r="P130" s="21">
        <v>2064700</v>
      </c>
      <c r="Q130" s="21">
        <v>3264000</v>
      </c>
      <c r="R130" s="21">
        <v>2964200</v>
      </c>
      <c r="S130" s="21">
        <v>2330400</v>
      </c>
      <c r="T130" s="21">
        <v>1973600</v>
      </c>
      <c r="U130" s="21">
        <v>2054100</v>
      </c>
      <c r="V130" s="21">
        <v>2663200</v>
      </c>
      <c r="W130" s="21">
        <v>2213200</v>
      </c>
      <c r="X130" s="21">
        <v>3515600</v>
      </c>
      <c r="Y130" s="21">
        <v>2451200</v>
      </c>
      <c r="Z130" s="21">
        <v>1563600</v>
      </c>
      <c r="AA130" s="21">
        <v>2754300</v>
      </c>
      <c r="AB130" s="21">
        <v>2366800</v>
      </c>
      <c r="AC130" s="21">
        <v>2245500</v>
      </c>
      <c r="AD130" s="21">
        <v>2303800</v>
      </c>
      <c r="AE130" s="21">
        <v>2809400</v>
      </c>
      <c r="AF130" s="21">
        <v>2058200</v>
      </c>
      <c r="AG130" s="21">
        <v>1882900</v>
      </c>
      <c r="AH130" s="21">
        <v>1977300</v>
      </c>
      <c r="AI130" s="21">
        <v>2411300</v>
      </c>
      <c r="AJ130" s="21">
        <v>1238100</v>
      </c>
      <c r="AK130" s="21">
        <v>3697700</v>
      </c>
      <c r="AL130" s="21">
        <v>1954000</v>
      </c>
      <c r="AM130" s="21">
        <v>1745000</v>
      </c>
      <c r="AN130" s="21">
        <v>2083200</v>
      </c>
      <c r="AO130" s="21">
        <v>1824000</v>
      </c>
      <c r="AP130" s="21">
        <v>2581900</v>
      </c>
      <c r="AQ130" s="21">
        <v>2164800</v>
      </c>
      <c r="AR130" s="21">
        <v>2962000</v>
      </c>
      <c r="AS130" s="21">
        <v>2319900</v>
      </c>
      <c r="AT130" s="21">
        <v>2116500</v>
      </c>
      <c r="AU130" s="21">
        <v>2311000</v>
      </c>
      <c r="AV130" s="21">
        <v>2654400</v>
      </c>
      <c r="AW130" s="21">
        <v>2597400</v>
      </c>
      <c r="AX130" s="21">
        <v>5543000</v>
      </c>
      <c r="AY130" s="21">
        <v>1962700</v>
      </c>
      <c r="AZ130" s="21">
        <v>3277400</v>
      </c>
      <c r="BA130" s="21">
        <v>1670400</v>
      </c>
      <c r="BB130" s="21">
        <v>1924300</v>
      </c>
      <c r="BC130" s="21">
        <v>2152600</v>
      </c>
      <c r="BD130" s="21">
        <v>2507400</v>
      </c>
      <c r="BE130" s="21">
        <v>2367900</v>
      </c>
      <c r="BF130" s="21">
        <v>1512400</v>
      </c>
      <c r="BG130" s="21">
        <v>2260800</v>
      </c>
      <c r="BH130" s="21">
        <v>2811500</v>
      </c>
      <c r="BI130" s="21">
        <v>2385200</v>
      </c>
      <c r="BJ130" s="21">
        <v>2123700</v>
      </c>
      <c r="BK130" s="21">
        <v>3038800</v>
      </c>
      <c r="BL130" s="21">
        <v>4228200</v>
      </c>
      <c r="BM130" s="1">
        <v>6790800</v>
      </c>
      <c r="BN130" s="1">
        <v>5927700</v>
      </c>
      <c r="BO130" s="1">
        <v>6603000</v>
      </c>
      <c r="BP130" s="1">
        <v>5707500</v>
      </c>
      <c r="BQ130" s="1">
        <v>10085300</v>
      </c>
      <c r="BR130" s="1">
        <v>4079800</v>
      </c>
      <c r="BS130" s="1">
        <v>2796800</v>
      </c>
      <c r="BT130" s="1">
        <v>2860500</v>
      </c>
      <c r="BU130" s="1">
        <v>2248400</v>
      </c>
      <c r="BV130" s="1">
        <v>3234900</v>
      </c>
      <c r="BW130" s="1">
        <v>2446500</v>
      </c>
      <c r="BX130" s="1">
        <v>2218700</v>
      </c>
      <c r="BY130" s="1">
        <v>1925400</v>
      </c>
      <c r="BZ130" s="1">
        <v>1975400</v>
      </c>
    </row>
    <row r="131" spans="1:254" ht="15.9" customHeight="1">
      <c r="A131" s="393" t="s">
        <v>257</v>
      </c>
      <c r="B131" s="46" t="s">
        <v>258</v>
      </c>
      <c r="C131" s="50">
        <f>_xll.RssMarket("2160","出来高")</f>
        <v>1129200</v>
      </c>
      <c r="D131" s="202">
        <f t="shared" si="1"/>
        <v>0</v>
      </c>
      <c r="E131" s="200">
        <v>1129200</v>
      </c>
      <c r="F131" s="21">
        <v>809100</v>
      </c>
      <c r="G131" s="21">
        <v>553800</v>
      </c>
      <c r="H131" s="21">
        <v>673700</v>
      </c>
      <c r="I131" s="21">
        <v>996200</v>
      </c>
      <c r="J131" s="21">
        <v>1025200</v>
      </c>
      <c r="K131" s="21">
        <v>2109500</v>
      </c>
      <c r="L131" s="21">
        <v>1217300</v>
      </c>
      <c r="M131" s="21">
        <v>685000</v>
      </c>
      <c r="N131" s="21">
        <v>516900</v>
      </c>
      <c r="O131" s="21">
        <v>864900</v>
      </c>
      <c r="P131" s="21">
        <v>527300</v>
      </c>
      <c r="Q131" s="21">
        <v>770900</v>
      </c>
      <c r="R131" s="21">
        <v>1307000</v>
      </c>
      <c r="S131" s="21">
        <v>560700</v>
      </c>
      <c r="T131" s="21">
        <v>474700</v>
      </c>
      <c r="U131" s="21">
        <v>438700</v>
      </c>
      <c r="V131" s="21">
        <v>429300</v>
      </c>
      <c r="W131" s="21">
        <v>750100</v>
      </c>
      <c r="X131" s="21">
        <v>1320700</v>
      </c>
      <c r="Y131" s="21">
        <v>735900</v>
      </c>
      <c r="Z131" s="21">
        <v>881000</v>
      </c>
      <c r="AA131" s="21">
        <v>900200</v>
      </c>
      <c r="AB131" s="21">
        <v>971900</v>
      </c>
      <c r="AC131" s="21">
        <v>867500</v>
      </c>
      <c r="AD131" s="21">
        <v>1082500</v>
      </c>
      <c r="AE131" s="21">
        <v>1299100</v>
      </c>
      <c r="AF131" s="21">
        <v>680600</v>
      </c>
      <c r="AG131" s="21">
        <v>543800</v>
      </c>
      <c r="AH131" s="21">
        <v>463200</v>
      </c>
      <c r="AI131" s="21">
        <v>639600</v>
      </c>
      <c r="AJ131" s="21">
        <v>949300</v>
      </c>
      <c r="AK131" s="21">
        <v>1189100</v>
      </c>
      <c r="AL131" s="21">
        <v>954900</v>
      </c>
      <c r="AM131" s="21">
        <v>850200</v>
      </c>
      <c r="AN131" s="21">
        <v>1242800</v>
      </c>
      <c r="AO131" s="21">
        <v>1265600</v>
      </c>
      <c r="AP131" s="21">
        <v>1907600</v>
      </c>
      <c r="AQ131" s="21">
        <v>1518500</v>
      </c>
      <c r="AR131" s="21">
        <v>1407600</v>
      </c>
      <c r="AS131" s="21">
        <v>3745100</v>
      </c>
      <c r="AT131" s="21">
        <v>1398100</v>
      </c>
      <c r="AU131" s="21">
        <v>988600</v>
      </c>
      <c r="AV131" s="21">
        <v>1109900</v>
      </c>
      <c r="AW131" s="21">
        <v>1177000</v>
      </c>
      <c r="AX131" s="21">
        <v>1068600</v>
      </c>
      <c r="AY131" s="21">
        <v>1641100</v>
      </c>
      <c r="AZ131" s="21">
        <v>1147400</v>
      </c>
      <c r="BA131" s="21">
        <v>709500</v>
      </c>
      <c r="BB131" s="21">
        <v>827600</v>
      </c>
      <c r="BC131" s="21">
        <v>969800</v>
      </c>
      <c r="BD131" s="21">
        <v>1241200</v>
      </c>
      <c r="BE131" s="21">
        <v>1559900</v>
      </c>
      <c r="BF131" s="21">
        <v>2804300</v>
      </c>
      <c r="BG131" s="21">
        <v>1188700</v>
      </c>
      <c r="BH131" s="21">
        <v>1266500</v>
      </c>
      <c r="BI131" s="21">
        <v>2154700</v>
      </c>
      <c r="BJ131" s="21">
        <v>620100</v>
      </c>
      <c r="BK131" s="21">
        <v>600900</v>
      </c>
      <c r="BL131" s="21">
        <v>947300</v>
      </c>
      <c r="BM131" s="1">
        <v>602300</v>
      </c>
      <c r="BN131" s="1">
        <v>938800</v>
      </c>
      <c r="BO131" s="1">
        <v>1695800</v>
      </c>
      <c r="BP131" s="1">
        <v>389100</v>
      </c>
      <c r="BQ131" s="1">
        <v>426400</v>
      </c>
      <c r="BR131" s="1">
        <v>801200</v>
      </c>
      <c r="BS131" s="1">
        <v>1160700</v>
      </c>
      <c r="BT131" s="1">
        <v>880800</v>
      </c>
      <c r="BU131" s="1">
        <v>997500</v>
      </c>
      <c r="BV131" s="1">
        <v>1171300</v>
      </c>
      <c r="BW131" s="1">
        <v>641500</v>
      </c>
      <c r="BX131" s="1">
        <v>714800</v>
      </c>
      <c r="BY131" s="1">
        <v>1279600</v>
      </c>
      <c r="BZ131" s="1">
        <v>623500</v>
      </c>
    </row>
    <row r="132" spans="1:254" ht="15.9" customHeight="1">
      <c r="A132" s="393" t="s">
        <v>259</v>
      </c>
      <c r="B132" s="46" t="s">
        <v>260</v>
      </c>
      <c r="C132" s="50">
        <f>_xll.RssMarket("6227","出来高")</f>
        <v>895500</v>
      </c>
      <c r="D132" s="202">
        <f t="shared" si="1"/>
        <v>0</v>
      </c>
      <c r="E132" s="200">
        <v>895500</v>
      </c>
      <c r="F132" s="21">
        <v>1385800</v>
      </c>
      <c r="G132" s="21">
        <v>819500</v>
      </c>
      <c r="H132" s="21">
        <v>781900</v>
      </c>
      <c r="I132" s="21">
        <v>1550300</v>
      </c>
      <c r="J132" s="21">
        <v>1199300</v>
      </c>
      <c r="K132" s="21">
        <v>1386800</v>
      </c>
      <c r="L132" s="21">
        <v>1078000</v>
      </c>
      <c r="M132" s="21">
        <v>805200</v>
      </c>
      <c r="N132" s="21"/>
      <c r="O132" s="21">
        <v>2648000</v>
      </c>
      <c r="P132" s="21">
        <v>2407600</v>
      </c>
      <c r="Q132" s="21">
        <v>1464700</v>
      </c>
      <c r="R132" s="21">
        <v>1843000</v>
      </c>
      <c r="S132" s="21">
        <v>1908000</v>
      </c>
      <c r="T132" s="21">
        <v>2402500</v>
      </c>
      <c r="U132" s="21">
        <v>4280900</v>
      </c>
      <c r="V132" s="21">
        <v>69800</v>
      </c>
      <c r="W132" s="21">
        <v>904400</v>
      </c>
      <c r="X132" s="21">
        <v>1072700</v>
      </c>
      <c r="Y132" s="21">
        <v>1379300</v>
      </c>
      <c r="Z132" s="21">
        <v>1269500</v>
      </c>
      <c r="AA132" s="21">
        <v>1040100</v>
      </c>
      <c r="AB132" s="21">
        <v>1219300</v>
      </c>
      <c r="AC132" s="21">
        <v>1709100</v>
      </c>
      <c r="AD132" s="21">
        <v>952900</v>
      </c>
      <c r="AE132" s="21">
        <v>876200</v>
      </c>
      <c r="AF132" s="21">
        <v>1625500</v>
      </c>
      <c r="AG132" s="21">
        <v>1310400</v>
      </c>
      <c r="AH132" s="21">
        <v>1165500</v>
      </c>
      <c r="AI132" s="21">
        <v>1282000</v>
      </c>
      <c r="AJ132" s="21">
        <v>1776700</v>
      </c>
      <c r="AK132" s="21">
        <v>1346800</v>
      </c>
      <c r="AL132" s="21">
        <v>2292200</v>
      </c>
      <c r="AM132" s="21">
        <v>1363100</v>
      </c>
      <c r="AN132" s="21">
        <v>1607600</v>
      </c>
      <c r="AO132" s="21">
        <v>2551200</v>
      </c>
      <c r="AP132" s="21">
        <v>1744300</v>
      </c>
      <c r="AQ132" s="21">
        <v>1288600</v>
      </c>
      <c r="AR132" s="21">
        <v>1698900</v>
      </c>
      <c r="AS132" s="21">
        <v>2869100</v>
      </c>
      <c r="AT132" s="21">
        <v>2426200</v>
      </c>
      <c r="AU132" s="21">
        <v>1733900</v>
      </c>
      <c r="AV132" s="21">
        <v>1304800</v>
      </c>
      <c r="AW132" s="21">
        <v>1180700</v>
      </c>
      <c r="AX132" s="21">
        <v>771600</v>
      </c>
      <c r="AY132" s="21">
        <v>1051000</v>
      </c>
      <c r="AZ132" s="21">
        <v>1493600</v>
      </c>
      <c r="BA132" s="21">
        <v>1344400</v>
      </c>
      <c r="BB132" s="21">
        <v>2369300</v>
      </c>
      <c r="BC132" s="21">
        <v>2233700</v>
      </c>
      <c r="BD132" s="21">
        <v>1396300</v>
      </c>
      <c r="BE132" s="21">
        <v>2189500</v>
      </c>
      <c r="BF132" s="21">
        <v>708600</v>
      </c>
      <c r="BG132" s="21">
        <v>1208800</v>
      </c>
      <c r="BH132" s="21">
        <v>1163500</v>
      </c>
      <c r="BI132" s="21">
        <v>686300</v>
      </c>
      <c r="BJ132" s="21">
        <v>1315800</v>
      </c>
      <c r="BK132" s="21">
        <v>841100</v>
      </c>
      <c r="BL132" s="21">
        <v>685500</v>
      </c>
      <c r="BM132" s="1">
        <v>1027000</v>
      </c>
      <c r="BN132" s="1">
        <v>503200</v>
      </c>
      <c r="BO132" s="1">
        <v>1002100</v>
      </c>
      <c r="BP132" s="1">
        <v>796600</v>
      </c>
      <c r="BQ132" s="1">
        <v>823500</v>
      </c>
      <c r="BR132" s="1">
        <v>920000</v>
      </c>
      <c r="BS132" s="1">
        <v>1696400</v>
      </c>
      <c r="BT132" s="1">
        <v>1002700</v>
      </c>
      <c r="BU132" s="1">
        <v>1369500</v>
      </c>
      <c r="BV132" s="1">
        <v>1120200</v>
      </c>
      <c r="BW132" s="1">
        <v>865900</v>
      </c>
      <c r="BX132" s="1">
        <v>1604600</v>
      </c>
      <c r="BY132" s="1">
        <v>4718900</v>
      </c>
      <c r="BZ132" s="1">
        <v>1385400</v>
      </c>
    </row>
    <row r="133" spans="1:254" ht="15.9" customHeight="1">
      <c r="A133" s="393" t="s">
        <v>261</v>
      </c>
      <c r="B133" s="46" t="s">
        <v>262</v>
      </c>
      <c r="C133" s="50">
        <f>_xll.RssMarket("6327","出来高")</f>
        <v>447400</v>
      </c>
      <c r="D133" s="202">
        <f t="shared" si="1"/>
        <v>0</v>
      </c>
      <c r="E133" s="200">
        <v>447400</v>
      </c>
      <c r="F133" s="21">
        <v>893200</v>
      </c>
      <c r="G133" s="21">
        <v>510000</v>
      </c>
      <c r="H133" s="21">
        <v>478800</v>
      </c>
      <c r="I133" s="21">
        <v>1309100</v>
      </c>
      <c r="J133" s="21">
        <v>1074500</v>
      </c>
      <c r="K133" s="21">
        <v>731800</v>
      </c>
      <c r="L133" s="21">
        <v>801600</v>
      </c>
      <c r="M133" s="21">
        <v>435200</v>
      </c>
      <c r="N133" s="21"/>
      <c r="O133" s="21">
        <v>443400</v>
      </c>
      <c r="P133" s="21">
        <v>1043400</v>
      </c>
      <c r="Q133" s="21">
        <v>805200</v>
      </c>
      <c r="R133" s="21">
        <v>1170600</v>
      </c>
      <c r="S133" s="21">
        <v>621100</v>
      </c>
      <c r="T133" s="21">
        <v>651300</v>
      </c>
      <c r="U133" s="21">
        <v>1174000</v>
      </c>
      <c r="V133" s="21">
        <v>1057100</v>
      </c>
      <c r="W133" s="21">
        <v>826100</v>
      </c>
      <c r="X133" s="21">
        <v>842500</v>
      </c>
      <c r="Y133" s="21">
        <v>628900</v>
      </c>
      <c r="Z133" s="21">
        <v>795300</v>
      </c>
      <c r="AA133" s="21">
        <v>1312200</v>
      </c>
      <c r="AB133" s="21">
        <v>1613800</v>
      </c>
      <c r="AC133" s="21">
        <v>1165300</v>
      </c>
      <c r="AD133" s="21">
        <v>835800</v>
      </c>
      <c r="AE133" s="21">
        <v>648300</v>
      </c>
      <c r="AF133" s="21">
        <v>938600</v>
      </c>
      <c r="AG133" s="21">
        <v>1078100</v>
      </c>
      <c r="AH133" s="21">
        <v>1122900</v>
      </c>
      <c r="AI133" s="21">
        <v>1804700</v>
      </c>
      <c r="AJ133" s="21">
        <v>920600</v>
      </c>
      <c r="AK133" s="21">
        <v>1942000</v>
      </c>
      <c r="AL133" s="21">
        <v>510200</v>
      </c>
      <c r="AM133" s="21">
        <v>918200</v>
      </c>
      <c r="AN133" s="21">
        <v>1048100</v>
      </c>
      <c r="AO133" s="21">
        <v>550600</v>
      </c>
      <c r="AP133" s="21">
        <v>610800</v>
      </c>
      <c r="AQ133" s="21">
        <v>503400</v>
      </c>
      <c r="AR133" s="21">
        <v>536400</v>
      </c>
      <c r="AS133" s="21">
        <v>834800</v>
      </c>
      <c r="AT133" s="21">
        <v>646800</v>
      </c>
      <c r="AU133" s="21">
        <v>928100</v>
      </c>
      <c r="AV133" s="21">
        <v>1186700</v>
      </c>
      <c r="AW133" s="21">
        <v>1239600</v>
      </c>
      <c r="AX133" s="21">
        <v>2346700</v>
      </c>
      <c r="AY133" s="21">
        <v>1309500</v>
      </c>
      <c r="AZ133" s="21">
        <v>1310400</v>
      </c>
      <c r="BA133" s="21">
        <v>867700</v>
      </c>
      <c r="BB133" s="21">
        <v>592400</v>
      </c>
      <c r="BC133" s="21">
        <v>254100</v>
      </c>
      <c r="BD133" s="21">
        <v>182800</v>
      </c>
      <c r="BE133" s="21">
        <v>209200</v>
      </c>
      <c r="BF133" s="21">
        <v>210800</v>
      </c>
      <c r="BG133" s="21">
        <v>193900</v>
      </c>
      <c r="BH133" s="21">
        <v>653300</v>
      </c>
      <c r="BI133" s="21">
        <v>686900</v>
      </c>
      <c r="BJ133" s="21">
        <v>718800</v>
      </c>
      <c r="BK133" s="21">
        <v>778400</v>
      </c>
      <c r="BL133" s="21">
        <v>853700</v>
      </c>
      <c r="BM133" s="1">
        <v>953500</v>
      </c>
      <c r="BN133" s="1">
        <v>584300</v>
      </c>
      <c r="BO133" s="1">
        <v>1570100</v>
      </c>
      <c r="BP133" s="1">
        <v>1523500</v>
      </c>
      <c r="BQ133" s="1">
        <v>205800</v>
      </c>
      <c r="BR133" s="1">
        <v>142300</v>
      </c>
      <c r="BS133" s="1">
        <v>175400</v>
      </c>
      <c r="BT133" s="1">
        <v>281100</v>
      </c>
      <c r="BU133" s="1">
        <v>452300</v>
      </c>
      <c r="BV133" s="1">
        <v>207800</v>
      </c>
      <c r="BW133" s="1">
        <v>250200</v>
      </c>
      <c r="BX133" s="1">
        <v>221700</v>
      </c>
      <c r="BY133" s="1">
        <v>439500</v>
      </c>
      <c r="BZ133" s="1">
        <v>446900</v>
      </c>
    </row>
    <row r="134" spans="1:254" ht="15.9" customHeight="1">
      <c r="A134" s="393" t="s">
        <v>263</v>
      </c>
      <c r="B134" s="46" t="s">
        <v>264</v>
      </c>
      <c r="C134" s="50">
        <f>_xll.RssMarket("3110","出来高")</f>
        <v>21267600</v>
      </c>
      <c r="D134" s="202">
        <f t="shared" ref="D134:D197" si="2">C134-E134</f>
        <v>0</v>
      </c>
      <c r="E134" s="200">
        <v>21267600</v>
      </c>
      <c r="F134" s="21">
        <v>11175700</v>
      </c>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1"/>
      <c r="BB134" s="21"/>
      <c r="BC134" s="21"/>
      <c r="BD134" s="21"/>
      <c r="BE134" s="21"/>
      <c r="BF134" s="21"/>
      <c r="BG134" s="21"/>
      <c r="BH134" s="21"/>
      <c r="BI134" s="21"/>
      <c r="BJ134" s="21"/>
      <c r="BK134" s="21"/>
      <c r="BL134" s="21"/>
    </row>
    <row r="135" spans="1:254" ht="15.9" customHeight="1">
      <c r="A135" s="393" t="s">
        <v>265</v>
      </c>
      <c r="B135" s="46" t="s">
        <v>266</v>
      </c>
      <c r="C135" s="50">
        <f>_xll.RssMarket("6232","出来高")</f>
        <v>433700</v>
      </c>
      <c r="D135" s="202">
        <f t="shared" si="2"/>
        <v>0</v>
      </c>
      <c r="E135" s="200">
        <v>433700</v>
      </c>
      <c r="F135" s="21">
        <v>619500</v>
      </c>
      <c r="G135" s="21">
        <v>510000</v>
      </c>
      <c r="H135" s="21">
        <v>478800</v>
      </c>
      <c r="I135" s="21">
        <v>1309100</v>
      </c>
      <c r="J135" s="21">
        <v>1074500</v>
      </c>
      <c r="K135" s="21">
        <v>731800</v>
      </c>
      <c r="L135" s="21">
        <v>801600</v>
      </c>
      <c r="M135" s="21">
        <v>435200</v>
      </c>
      <c r="N135" s="21">
        <v>480700</v>
      </c>
      <c r="O135" s="21">
        <v>443400</v>
      </c>
      <c r="P135" s="21">
        <v>1043400</v>
      </c>
      <c r="Q135" s="21">
        <v>805200</v>
      </c>
      <c r="R135" s="21">
        <v>1170600</v>
      </c>
      <c r="S135" s="21">
        <v>621100</v>
      </c>
      <c r="T135" s="21">
        <v>651300</v>
      </c>
      <c r="U135" s="21">
        <v>1174000</v>
      </c>
      <c r="V135" s="21">
        <v>1057100</v>
      </c>
      <c r="W135" s="21">
        <v>826100</v>
      </c>
      <c r="X135" s="21">
        <v>842500</v>
      </c>
      <c r="Y135" s="21">
        <v>628900</v>
      </c>
      <c r="Z135" s="21">
        <v>795300</v>
      </c>
      <c r="AA135" s="21">
        <v>1312200</v>
      </c>
      <c r="AB135" s="21">
        <v>1613800</v>
      </c>
      <c r="AC135" s="21">
        <v>1165300</v>
      </c>
      <c r="AD135" s="21">
        <v>835800</v>
      </c>
      <c r="AE135" s="21">
        <v>648300</v>
      </c>
      <c r="AF135" s="21">
        <v>938600</v>
      </c>
      <c r="AG135" s="21">
        <v>1078100</v>
      </c>
      <c r="AH135" s="21">
        <v>1122900</v>
      </c>
      <c r="AI135" s="21">
        <v>1804700</v>
      </c>
      <c r="AJ135" s="21">
        <v>920600</v>
      </c>
      <c r="AK135" s="21">
        <v>1942000</v>
      </c>
      <c r="AL135" s="21">
        <v>510200</v>
      </c>
      <c r="AM135" s="21">
        <v>918200</v>
      </c>
      <c r="AN135" s="21">
        <v>1048100</v>
      </c>
      <c r="AO135" s="21">
        <v>550600</v>
      </c>
      <c r="AP135" s="21">
        <v>610800</v>
      </c>
      <c r="AQ135" s="21">
        <v>503400</v>
      </c>
      <c r="AR135" s="21">
        <v>536400</v>
      </c>
      <c r="AS135" s="21">
        <v>834800</v>
      </c>
      <c r="AT135" s="21">
        <v>646800</v>
      </c>
      <c r="AU135" s="21">
        <v>928100</v>
      </c>
      <c r="AV135" s="21">
        <v>1186700</v>
      </c>
      <c r="AW135" s="21">
        <v>1239600</v>
      </c>
      <c r="AX135" s="21">
        <v>2346700</v>
      </c>
      <c r="AY135" s="21">
        <v>1309500</v>
      </c>
      <c r="AZ135" s="21">
        <v>1310400</v>
      </c>
      <c r="BA135" s="21">
        <v>867700</v>
      </c>
      <c r="BB135" s="21">
        <v>592400</v>
      </c>
      <c r="BC135" s="21">
        <v>254100</v>
      </c>
      <c r="BD135" s="21">
        <v>182800</v>
      </c>
      <c r="BE135" s="21">
        <v>209200</v>
      </c>
      <c r="BF135" s="21">
        <v>210800</v>
      </c>
      <c r="BG135" s="21">
        <v>193900</v>
      </c>
      <c r="BH135" s="21">
        <v>653300</v>
      </c>
      <c r="BI135" s="21">
        <v>686900</v>
      </c>
      <c r="BJ135" s="21">
        <v>718800</v>
      </c>
      <c r="BK135" s="21">
        <v>778400</v>
      </c>
      <c r="BL135" s="21">
        <v>853700</v>
      </c>
      <c r="BM135" s="1">
        <v>953500</v>
      </c>
      <c r="BN135" s="1">
        <v>584300</v>
      </c>
      <c r="BO135" s="1">
        <v>1570100</v>
      </c>
      <c r="BP135" s="1">
        <v>1523500</v>
      </c>
      <c r="BQ135" s="1">
        <v>205800</v>
      </c>
      <c r="BR135" s="1">
        <v>142300</v>
      </c>
      <c r="BS135" s="1">
        <v>175400</v>
      </c>
      <c r="BT135" s="1">
        <v>281100</v>
      </c>
      <c r="BU135" s="1">
        <v>452300</v>
      </c>
      <c r="BV135" s="1">
        <v>207800</v>
      </c>
      <c r="BW135" s="1">
        <v>250200</v>
      </c>
      <c r="BX135" s="1">
        <v>221700</v>
      </c>
      <c r="BY135" s="1">
        <v>439500</v>
      </c>
      <c r="BZ135" s="1">
        <v>446900</v>
      </c>
    </row>
    <row r="136" spans="1:254" ht="15.9" customHeight="1">
      <c r="A136" s="393" t="s">
        <v>267</v>
      </c>
      <c r="B136" s="46" t="s">
        <v>268</v>
      </c>
      <c r="C136" s="50">
        <f>_xll.RssMarket("7794","出来高")</f>
        <v>209600</v>
      </c>
      <c r="D136" s="202">
        <f t="shared" si="2"/>
        <v>0</v>
      </c>
      <c r="E136" s="200">
        <v>209600</v>
      </c>
      <c r="F136" s="21">
        <v>336300</v>
      </c>
      <c r="G136" s="21">
        <v>276100</v>
      </c>
      <c r="H136" s="21">
        <v>255700</v>
      </c>
      <c r="I136" s="21">
        <v>640200</v>
      </c>
      <c r="J136" s="21">
        <v>344000</v>
      </c>
      <c r="K136" s="21">
        <v>504000</v>
      </c>
      <c r="L136" s="21">
        <v>358700</v>
      </c>
      <c r="M136" s="21">
        <v>309200</v>
      </c>
      <c r="N136" s="21"/>
      <c r="O136" s="21">
        <v>333900</v>
      </c>
      <c r="P136" s="21">
        <v>309800</v>
      </c>
      <c r="Q136" s="21">
        <v>305200</v>
      </c>
      <c r="R136" s="21">
        <v>472900</v>
      </c>
      <c r="S136" s="21">
        <v>250900</v>
      </c>
      <c r="T136" s="21">
        <v>351600</v>
      </c>
      <c r="U136" s="21">
        <v>354000</v>
      </c>
      <c r="V136" s="21">
        <v>243500</v>
      </c>
      <c r="W136" s="21">
        <v>242200</v>
      </c>
      <c r="X136" s="21">
        <v>222800</v>
      </c>
      <c r="Y136" s="21">
        <v>326700</v>
      </c>
      <c r="Z136" s="21">
        <v>421400</v>
      </c>
      <c r="AA136" s="21">
        <v>279000</v>
      </c>
      <c r="AB136" s="21">
        <v>364600</v>
      </c>
      <c r="AC136" s="21">
        <v>483600</v>
      </c>
      <c r="AD136" s="21">
        <v>896600</v>
      </c>
      <c r="AE136" s="21">
        <v>1070100</v>
      </c>
      <c r="AF136" s="21">
        <v>184000</v>
      </c>
      <c r="AG136" s="21">
        <v>238100</v>
      </c>
      <c r="AH136" s="21">
        <v>324600</v>
      </c>
      <c r="AI136" s="21">
        <v>322200</v>
      </c>
      <c r="AJ136" s="21">
        <v>768700</v>
      </c>
      <c r="AK136" s="21">
        <v>249900</v>
      </c>
      <c r="AL136" s="21">
        <v>239500</v>
      </c>
      <c r="AM136" s="21">
        <v>237400</v>
      </c>
      <c r="AN136" s="21">
        <v>154800</v>
      </c>
      <c r="AO136" s="21">
        <v>246100</v>
      </c>
      <c r="AP136" s="21">
        <v>191400</v>
      </c>
      <c r="AQ136" s="21">
        <v>216800</v>
      </c>
      <c r="AR136" s="21">
        <v>252200</v>
      </c>
      <c r="AS136" s="21">
        <v>672800</v>
      </c>
      <c r="AT136" s="21">
        <v>537700</v>
      </c>
      <c r="AU136" s="21">
        <v>718500</v>
      </c>
      <c r="AV136" s="21">
        <v>559200</v>
      </c>
      <c r="AW136" s="21">
        <v>600500</v>
      </c>
      <c r="AX136" s="21">
        <v>1514100</v>
      </c>
      <c r="AY136" s="21">
        <v>5140300</v>
      </c>
      <c r="AZ136" s="21">
        <v>168400</v>
      </c>
      <c r="BA136" s="21">
        <v>268000</v>
      </c>
      <c r="BB136" s="21">
        <v>191500</v>
      </c>
      <c r="BC136" s="21">
        <v>208500</v>
      </c>
      <c r="BD136" s="21">
        <v>280700</v>
      </c>
      <c r="BE136" s="21">
        <v>231200</v>
      </c>
      <c r="BF136" s="21">
        <v>316000</v>
      </c>
      <c r="BG136" s="21">
        <v>386400</v>
      </c>
      <c r="BH136" s="21">
        <v>1142100</v>
      </c>
      <c r="BI136" s="21">
        <v>320900</v>
      </c>
      <c r="BJ136" s="21">
        <v>401100</v>
      </c>
      <c r="BK136" s="21">
        <v>549300</v>
      </c>
      <c r="BL136" s="21">
        <v>597200</v>
      </c>
      <c r="BM136" s="1">
        <v>317600</v>
      </c>
      <c r="BN136" s="1">
        <v>446300</v>
      </c>
      <c r="BO136" s="1">
        <v>441500</v>
      </c>
      <c r="BP136" s="1">
        <v>255000</v>
      </c>
      <c r="BQ136" s="1">
        <v>578400</v>
      </c>
      <c r="BR136" s="1">
        <v>715700</v>
      </c>
      <c r="BS136" s="1">
        <v>884300</v>
      </c>
      <c r="BT136" s="1">
        <v>2651800</v>
      </c>
      <c r="BU136" s="1">
        <v>3163100</v>
      </c>
      <c r="BV136" s="1">
        <v>1875100</v>
      </c>
      <c r="BW136" s="1">
        <v>728700</v>
      </c>
      <c r="BX136" s="1">
        <v>481800</v>
      </c>
      <c r="BY136" s="1">
        <v>366300</v>
      </c>
      <c r="BZ136" s="1">
        <v>303600</v>
      </c>
    </row>
    <row r="137" spans="1:254" ht="15.9" customHeight="1">
      <c r="A137" s="393" t="s">
        <v>269</v>
      </c>
      <c r="B137" s="46" t="s">
        <v>270</v>
      </c>
      <c r="C137" s="50">
        <f>_xll.RssMarket("6085","出来高")</f>
        <v>1367600</v>
      </c>
      <c r="D137" s="202">
        <f t="shared" si="2"/>
        <v>0</v>
      </c>
      <c r="E137" s="200">
        <v>1367600</v>
      </c>
      <c r="F137" s="21">
        <v>2153100</v>
      </c>
      <c r="G137" s="21">
        <v>3896900</v>
      </c>
      <c r="H137" s="21">
        <v>6517200</v>
      </c>
      <c r="I137" s="21">
        <v>5069500</v>
      </c>
      <c r="J137" s="21">
        <v>4032800</v>
      </c>
      <c r="K137" s="21">
        <v>6036600</v>
      </c>
      <c r="L137" s="21">
        <v>4530400</v>
      </c>
      <c r="M137" s="21">
        <v>3444100</v>
      </c>
      <c r="N137" s="21"/>
      <c r="O137" s="21">
        <v>5989800</v>
      </c>
      <c r="P137" s="21">
        <v>6703400</v>
      </c>
      <c r="Q137" s="21">
        <v>4416800</v>
      </c>
      <c r="R137" s="21">
        <v>3927800</v>
      </c>
      <c r="S137" s="21">
        <v>3055700</v>
      </c>
      <c r="T137" s="21">
        <v>1478300</v>
      </c>
      <c r="U137" s="21">
        <v>4029300</v>
      </c>
      <c r="V137" s="21">
        <v>1554200</v>
      </c>
      <c r="W137" s="21">
        <v>2547600</v>
      </c>
      <c r="X137" s="21">
        <v>3543000</v>
      </c>
      <c r="Y137" s="21">
        <v>5095200</v>
      </c>
      <c r="Z137" s="21">
        <v>4881800</v>
      </c>
      <c r="AA137" s="21">
        <v>3675900</v>
      </c>
      <c r="AB137" s="21">
        <v>1890600</v>
      </c>
      <c r="AC137" s="21">
        <v>2877900</v>
      </c>
      <c r="AD137" s="21">
        <v>1661200</v>
      </c>
      <c r="AE137" s="21">
        <v>2602600</v>
      </c>
      <c r="AF137" s="21">
        <v>1398900</v>
      </c>
      <c r="AG137" s="21">
        <v>1751700</v>
      </c>
      <c r="AH137" s="21">
        <v>2968000</v>
      </c>
      <c r="AI137" s="21">
        <v>6338500</v>
      </c>
      <c r="AJ137" s="21">
        <v>5699400</v>
      </c>
      <c r="AK137" s="21">
        <v>2117900</v>
      </c>
      <c r="AL137" s="21">
        <v>2541000</v>
      </c>
      <c r="AM137" s="21">
        <v>1747900</v>
      </c>
      <c r="AN137" s="21">
        <v>2216900</v>
      </c>
      <c r="AO137" s="21">
        <v>3367400</v>
      </c>
      <c r="AP137" s="21">
        <v>6084900</v>
      </c>
      <c r="AQ137" s="21">
        <v>2333800</v>
      </c>
      <c r="AR137" s="21">
        <v>8186700</v>
      </c>
      <c r="AS137" s="21">
        <v>3742700</v>
      </c>
      <c r="AT137" s="21">
        <v>5772500</v>
      </c>
      <c r="AU137" s="21">
        <v>3686000</v>
      </c>
      <c r="AV137" s="21">
        <v>6303200</v>
      </c>
      <c r="AW137" s="21">
        <v>7411900</v>
      </c>
      <c r="AX137" s="21">
        <v>4206200</v>
      </c>
      <c r="AY137" s="21">
        <v>6103400</v>
      </c>
      <c r="AZ137" s="21">
        <v>6345100</v>
      </c>
      <c r="BA137" s="21">
        <v>3575200</v>
      </c>
      <c r="BB137" s="21">
        <v>2850800</v>
      </c>
      <c r="BC137" s="21">
        <v>3262400</v>
      </c>
      <c r="BD137" s="21">
        <v>3479500</v>
      </c>
      <c r="BE137" s="21">
        <v>9027300</v>
      </c>
      <c r="BF137" s="21">
        <v>6048100</v>
      </c>
      <c r="BG137" s="21">
        <v>3280400</v>
      </c>
      <c r="BH137" s="21">
        <v>4924100</v>
      </c>
      <c r="BI137" s="21">
        <v>3642000</v>
      </c>
      <c r="BJ137" s="21">
        <v>2040500</v>
      </c>
      <c r="BK137" s="21">
        <v>6384100</v>
      </c>
      <c r="BL137" s="21">
        <v>7590600</v>
      </c>
      <c r="BM137" s="1">
        <v>11750600</v>
      </c>
      <c r="BN137" s="1">
        <v>9487800</v>
      </c>
      <c r="BO137" s="1">
        <v>15236600</v>
      </c>
      <c r="BP137" s="1">
        <v>12643700</v>
      </c>
      <c r="BQ137" s="1">
        <v>14044400</v>
      </c>
      <c r="BR137" s="1">
        <v>11925200</v>
      </c>
      <c r="BS137" s="1">
        <v>6019600</v>
      </c>
      <c r="BT137" s="1">
        <v>8562600</v>
      </c>
      <c r="BU137" s="1">
        <v>380600</v>
      </c>
      <c r="BV137" s="1">
        <v>730000</v>
      </c>
      <c r="BW137" s="1">
        <v>769500</v>
      </c>
      <c r="BX137" s="1">
        <v>693800</v>
      </c>
      <c r="BY137" s="1">
        <v>143700</v>
      </c>
      <c r="BZ137" s="1">
        <v>338100</v>
      </c>
    </row>
    <row r="138" spans="1:254" ht="15.9" customHeight="1">
      <c r="A138" s="393" t="s">
        <v>271</v>
      </c>
      <c r="B138" s="46" t="s">
        <v>272</v>
      </c>
      <c r="C138" s="50">
        <f>_xll.RssMarket("3103","出来高")</f>
        <v>29708900</v>
      </c>
      <c r="D138" s="202">
        <f t="shared" si="2"/>
        <v>0</v>
      </c>
      <c r="E138" s="200">
        <v>29708900</v>
      </c>
      <c r="F138" s="21">
        <v>6107300</v>
      </c>
      <c r="G138" s="21">
        <v>2407000</v>
      </c>
      <c r="H138" s="21">
        <v>1670900</v>
      </c>
      <c r="I138" s="21">
        <v>2713700</v>
      </c>
      <c r="J138" s="21">
        <v>1812400</v>
      </c>
      <c r="K138" s="21">
        <v>3334500</v>
      </c>
      <c r="L138" s="21">
        <v>2013600</v>
      </c>
      <c r="M138" s="21">
        <v>1603100</v>
      </c>
      <c r="N138" s="21">
        <v>2725000</v>
      </c>
      <c r="O138" s="21">
        <v>1525500</v>
      </c>
      <c r="P138" s="21">
        <v>2256400</v>
      </c>
      <c r="Q138" s="21">
        <v>2014100</v>
      </c>
      <c r="R138" s="21">
        <v>3636800</v>
      </c>
      <c r="S138" s="21">
        <v>2317200</v>
      </c>
      <c r="T138" s="21">
        <v>3186300</v>
      </c>
      <c r="U138" s="21">
        <v>2897400</v>
      </c>
      <c r="V138" s="21">
        <v>2309300</v>
      </c>
      <c r="W138" s="21">
        <v>2792000</v>
      </c>
      <c r="X138" s="21">
        <v>3267600</v>
      </c>
      <c r="Y138" s="21">
        <v>3728200</v>
      </c>
      <c r="Z138" s="21">
        <v>1541400</v>
      </c>
      <c r="AA138" s="21">
        <v>2498300</v>
      </c>
      <c r="AB138" s="21">
        <v>1724500</v>
      </c>
      <c r="AC138" s="21">
        <v>3354300</v>
      </c>
      <c r="AD138" s="21">
        <v>1761600</v>
      </c>
      <c r="AE138" s="21">
        <v>2275500</v>
      </c>
      <c r="AF138" s="21">
        <v>2439800</v>
      </c>
      <c r="AG138" s="21">
        <v>2867600</v>
      </c>
      <c r="AH138" s="21">
        <v>3512400</v>
      </c>
      <c r="AI138" s="21">
        <v>5480300</v>
      </c>
      <c r="AJ138" s="21">
        <v>12259500</v>
      </c>
      <c r="AK138" s="21">
        <v>3655900</v>
      </c>
      <c r="AL138" s="21">
        <v>7264100</v>
      </c>
      <c r="AM138" s="21">
        <v>6382500</v>
      </c>
      <c r="AN138" s="21">
        <v>2951600</v>
      </c>
      <c r="AO138" s="21">
        <v>3330100</v>
      </c>
      <c r="AP138" s="21">
        <v>7665500</v>
      </c>
      <c r="AQ138" s="21">
        <v>3294400</v>
      </c>
      <c r="AR138" s="21">
        <v>2638100</v>
      </c>
      <c r="AS138" s="21">
        <v>3395900</v>
      </c>
      <c r="AT138" s="21">
        <v>3851200</v>
      </c>
      <c r="AU138" s="21">
        <v>3632100</v>
      </c>
      <c r="AV138" s="21">
        <v>5666600</v>
      </c>
      <c r="AW138" s="21">
        <v>4078200</v>
      </c>
      <c r="AX138" s="21">
        <v>5487000</v>
      </c>
      <c r="AY138" s="21">
        <v>4299900</v>
      </c>
      <c r="AZ138" s="21">
        <v>9322600</v>
      </c>
      <c r="BA138" s="21">
        <v>15160400</v>
      </c>
      <c r="BB138" s="21">
        <v>10056900</v>
      </c>
      <c r="BC138" s="21">
        <v>6802800</v>
      </c>
      <c r="BD138" s="21">
        <v>5444200</v>
      </c>
      <c r="BE138" s="21">
        <v>10701100</v>
      </c>
      <c r="BF138" s="21">
        <v>23615800</v>
      </c>
      <c r="BG138" s="21">
        <v>635700</v>
      </c>
      <c r="BH138" s="21">
        <v>4604100</v>
      </c>
      <c r="BI138" s="21">
        <v>6142400</v>
      </c>
      <c r="BJ138" s="21">
        <v>4007100</v>
      </c>
      <c r="BK138" s="21">
        <v>8345300</v>
      </c>
      <c r="BL138" s="21">
        <v>12981500</v>
      </c>
      <c r="BM138" s="1">
        <v>16543800</v>
      </c>
      <c r="BN138" s="1">
        <v>10667900</v>
      </c>
      <c r="BO138" s="1">
        <v>17314000</v>
      </c>
      <c r="BP138" s="1">
        <v>15773900</v>
      </c>
      <c r="BQ138" s="1">
        <v>14220200</v>
      </c>
      <c r="BR138" s="1">
        <v>15986000</v>
      </c>
      <c r="BS138" s="1">
        <v>22597900</v>
      </c>
      <c r="BT138" s="1">
        <v>29411100</v>
      </c>
      <c r="BU138" s="1">
        <v>3514600</v>
      </c>
      <c r="BV138" s="1">
        <v>14402100</v>
      </c>
      <c r="BW138" s="1">
        <v>38468100</v>
      </c>
      <c r="BX138" s="1">
        <v>22762100</v>
      </c>
      <c r="BY138" s="1">
        <v>56226400</v>
      </c>
      <c r="BZ138" s="1">
        <v>19606200</v>
      </c>
    </row>
    <row r="139" spans="1:254" ht="15.9" customHeight="1">
      <c r="A139" s="393" t="s">
        <v>273</v>
      </c>
      <c r="B139" s="46" t="s">
        <v>274</v>
      </c>
      <c r="C139" s="50">
        <f>_xll.RssMarket("4422","出来高")</f>
        <v>20600</v>
      </c>
      <c r="D139" s="202">
        <f t="shared" si="2"/>
        <v>0</v>
      </c>
      <c r="E139" s="200">
        <v>20600</v>
      </c>
      <c r="F139" s="21">
        <v>53900</v>
      </c>
      <c r="G139" s="21">
        <v>91600</v>
      </c>
      <c r="H139" s="21">
        <v>45400</v>
      </c>
      <c r="I139" s="21">
        <v>79100</v>
      </c>
      <c r="J139" s="21">
        <v>53400</v>
      </c>
      <c r="K139" s="21">
        <v>143800</v>
      </c>
      <c r="L139" s="21">
        <v>38900</v>
      </c>
      <c r="M139" s="21">
        <v>21700</v>
      </c>
      <c r="N139" s="21">
        <v>46100</v>
      </c>
      <c r="O139" s="21">
        <v>34700</v>
      </c>
      <c r="P139" s="21">
        <v>32900</v>
      </c>
      <c r="Q139" s="21">
        <v>58000</v>
      </c>
      <c r="R139" s="21">
        <v>105900</v>
      </c>
      <c r="S139" s="21">
        <v>66500</v>
      </c>
      <c r="T139" s="21">
        <v>41900</v>
      </c>
      <c r="U139" s="21">
        <v>87400</v>
      </c>
      <c r="V139" s="21">
        <v>39500</v>
      </c>
      <c r="W139" s="21">
        <v>77900</v>
      </c>
      <c r="X139" s="21">
        <v>79200</v>
      </c>
      <c r="Y139" s="21">
        <v>163800</v>
      </c>
      <c r="Z139" s="21">
        <v>91800</v>
      </c>
      <c r="AA139" s="21">
        <v>66300</v>
      </c>
      <c r="AB139" s="21">
        <v>58600</v>
      </c>
      <c r="AC139" s="21">
        <v>80500</v>
      </c>
      <c r="AD139" s="21">
        <v>56800</v>
      </c>
      <c r="AE139" s="21">
        <v>144000</v>
      </c>
      <c r="AF139" s="21">
        <v>118700</v>
      </c>
      <c r="AG139" s="21">
        <v>126300</v>
      </c>
      <c r="AH139" s="21">
        <v>140600</v>
      </c>
      <c r="AI139" s="21">
        <v>90700</v>
      </c>
      <c r="AJ139" s="21">
        <v>82900</v>
      </c>
      <c r="AK139" s="21">
        <v>111100</v>
      </c>
      <c r="AL139" s="21">
        <v>137000</v>
      </c>
      <c r="AM139" s="21">
        <v>243000</v>
      </c>
      <c r="AN139" s="21">
        <v>158400</v>
      </c>
      <c r="AO139" s="21">
        <v>339100</v>
      </c>
      <c r="AP139" s="21">
        <v>647000</v>
      </c>
      <c r="AQ139" s="21">
        <v>641000</v>
      </c>
      <c r="AR139" s="21">
        <v>408100</v>
      </c>
      <c r="AS139" s="21">
        <v>1285400</v>
      </c>
      <c r="AT139" s="21">
        <v>185500</v>
      </c>
      <c r="AU139" s="21">
        <v>75200</v>
      </c>
      <c r="AV139" s="21">
        <v>73100</v>
      </c>
      <c r="AW139" s="21">
        <v>78500</v>
      </c>
      <c r="AX139" s="21">
        <v>114300</v>
      </c>
      <c r="AY139" s="21">
        <v>112700</v>
      </c>
      <c r="AZ139" s="21">
        <v>158700</v>
      </c>
      <c r="BA139" s="21">
        <v>266100</v>
      </c>
      <c r="BB139" s="21">
        <v>139400</v>
      </c>
      <c r="BC139" s="21">
        <v>297300</v>
      </c>
      <c r="BD139" s="21">
        <v>225500</v>
      </c>
      <c r="BE139" s="21">
        <v>161700</v>
      </c>
      <c r="BF139" s="21">
        <v>169000</v>
      </c>
      <c r="BG139" s="21">
        <v>233700</v>
      </c>
      <c r="BH139" s="21">
        <v>293300</v>
      </c>
      <c r="BI139" s="21">
        <v>578400</v>
      </c>
      <c r="BJ139" s="21">
        <v>343000</v>
      </c>
      <c r="BK139" s="21">
        <v>429800</v>
      </c>
      <c r="BL139" s="21">
        <v>293200</v>
      </c>
      <c r="BM139" s="1">
        <v>434700</v>
      </c>
      <c r="BN139" s="1">
        <v>598700</v>
      </c>
      <c r="BO139" s="1">
        <v>371300</v>
      </c>
      <c r="BP139" s="1">
        <v>534500</v>
      </c>
      <c r="BQ139" s="1">
        <v>1336300</v>
      </c>
      <c r="BR139" s="1">
        <v>4025000</v>
      </c>
      <c r="BS139" s="1">
        <v>2677000</v>
      </c>
      <c r="BT139" s="1">
        <v>1272300</v>
      </c>
      <c r="BU139" s="1">
        <v>2627000</v>
      </c>
      <c r="BV139" s="1">
        <v>4029000</v>
      </c>
      <c r="BW139" s="1">
        <v>3731800</v>
      </c>
      <c r="BX139" s="1">
        <v>572000</v>
      </c>
      <c r="BY139" s="1">
        <v>1949600</v>
      </c>
      <c r="BZ139" s="1">
        <v>3452900</v>
      </c>
    </row>
    <row r="140" spans="1:254" ht="15.9" customHeight="1">
      <c r="A140" s="393" t="s">
        <v>275</v>
      </c>
      <c r="B140" s="46" t="s">
        <v>276</v>
      </c>
      <c r="C140" s="50">
        <f>_xll.RssMarket("6740","出来高")</f>
        <v>13294400</v>
      </c>
      <c r="D140" s="202">
        <f t="shared" si="2"/>
        <v>0</v>
      </c>
      <c r="E140" s="200">
        <v>13294400</v>
      </c>
      <c r="F140" s="21">
        <v>14680500</v>
      </c>
      <c r="G140" s="21">
        <v>11086100</v>
      </c>
      <c r="H140" s="21">
        <v>6675800</v>
      </c>
      <c r="I140" s="21">
        <v>12254900</v>
      </c>
      <c r="J140" s="21">
        <v>30320900</v>
      </c>
      <c r="K140" s="21">
        <v>18349800</v>
      </c>
      <c r="L140" s="21">
        <v>9001700</v>
      </c>
      <c r="M140" s="21">
        <v>15737400</v>
      </c>
      <c r="N140" s="21"/>
      <c r="O140" s="21">
        <v>12403800</v>
      </c>
      <c r="P140" s="21">
        <v>17878000</v>
      </c>
      <c r="Q140" s="21">
        <v>14741500</v>
      </c>
      <c r="R140" s="21">
        <v>33377400</v>
      </c>
      <c r="S140" s="21">
        <v>14627300</v>
      </c>
      <c r="T140" s="21">
        <v>20550900</v>
      </c>
      <c r="U140" s="21">
        <v>20807200</v>
      </c>
      <c r="V140" s="21">
        <v>49186900</v>
      </c>
      <c r="W140" s="21">
        <v>35542700</v>
      </c>
      <c r="X140" s="21">
        <v>30689000</v>
      </c>
      <c r="Y140" s="21">
        <v>33247600</v>
      </c>
      <c r="Z140" s="21">
        <v>56564100</v>
      </c>
      <c r="AA140" s="21">
        <v>32992500</v>
      </c>
      <c r="AB140" s="21">
        <v>38938800</v>
      </c>
      <c r="AC140" s="21">
        <v>14280700</v>
      </c>
      <c r="AD140" s="21">
        <v>72380100</v>
      </c>
      <c r="AE140" s="21">
        <v>92256300</v>
      </c>
      <c r="AF140" s="21">
        <v>82725600</v>
      </c>
      <c r="AG140" s="21">
        <v>126015700</v>
      </c>
      <c r="AH140" s="21">
        <v>88839700</v>
      </c>
      <c r="AI140" s="21">
        <v>101924000</v>
      </c>
      <c r="AJ140" s="21">
        <v>122272500</v>
      </c>
      <c r="AK140" s="21">
        <v>94641300</v>
      </c>
      <c r="AL140" s="21">
        <v>88962200</v>
      </c>
      <c r="AM140" s="21">
        <v>38359900</v>
      </c>
      <c r="AN140" s="21">
        <v>81570400</v>
      </c>
      <c r="AO140" s="21">
        <v>95131300</v>
      </c>
      <c r="AP140" s="21">
        <v>83888000</v>
      </c>
      <c r="AQ140" s="21">
        <v>21777300</v>
      </c>
      <c r="AR140" s="21">
        <v>81595000</v>
      </c>
      <c r="AS140" s="21">
        <v>70580100</v>
      </c>
      <c r="AT140" s="21">
        <v>88068300</v>
      </c>
      <c r="AU140" s="21">
        <v>71927400</v>
      </c>
      <c r="AV140" s="21">
        <v>73229600</v>
      </c>
      <c r="AW140" s="21">
        <v>30508500</v>
      </c>
      <c r="AX140" s="21">
        <v>85703300</v>
      </c>
      <c r="AY140" s="21">
        <v>71762100</v>
      </c>
      <c r="AZ140" s="21">
        <v>29733900</v>
      </c>
      <c r="BA140" s="21">
        <v>59768300</v>
      </c>
      <c r="BB140" s="21">
        <v>72733800</v>
      </c>
      <c r="BC140" s="21">
        <v>74578500</v>
      </c>
      <c r="BD140" s="21">
        <v>65535900</v>
      </c>
      <c r="BE140" s="21">
        <v>56814500</v>
      </c>
      <c r="BF140" s="21">
        <v>60043300</v>
      </c>
      <c r="BG140" s="21">
        <v>105673800</v>
      </c>
      <c r="BH140" s="21">
        <v>58783800</v>
      </c>
      <c r="BI140" s="21">
        <v>59422600</v>
      </c>
      <c r="BJ140" s="21">
        <v>49363400</v>
      </c>
      <c r="BK140" s="21">
        <v>31333900</v>
      </c>
      <c r="BL140" s="21">
        <v>64516200</v>
      </c>
      <c r="BM140" s="1">
        <v>35449100</v>
      </c>
      <c r="BN140" s="1">
        <v>120637600</v>
      </c>
      <c r="BO140" s="1">
        <v>286306400</v>
      </c>
      <c r="BP140" s="1">
        <v>42542100</v>
      </c>
      <c r="BQ140" s="1">
        <v>57519300</v>
      </c>
      <c r="BR140" s="1">
        <v>54684500</v>
      </c>
      <c r="BS140" s="1">
        <v>60890200</v>
      </c>
      <c r="BT140" s="1">
        <v>51605500</v>
      </c>
      <c r="BU140" s="1">
        <v>101220300</v>
      </c>
      <c r="BV140" s="1">
        <v>117693100</v>
      </c>
      <c r="BW140" s="1">
        <v>113528900</v>
      </c>
      <c r="BX140" s="1">
        <v>139485900</v>
      </c>
      <c r="BY140" s="1">
        <v>89688100</v>
      </c>
      <c r="BZ140" s="1">
        <v>92525400</v>
      </c>
    </row>
    <row r="141" spans="1:254" ht="15.9" customHeight="1">
      <c r="A141" s="393" t="s">
        <v>277</v>
      </c>
      <c r="B141" s="46" t="s">
        <v>278</v>
      </c>
      <c r="C141" s="50">
        <f>_xll.RssMarket("6613","出来高")</f>
        <v>1587700</v>
      </c>
      <c r="D141" s="202">
        <f t="shared" si="2"/>
        <v>0</v>
      </c>
      <c r="E141" s="200">
        <v>1587700</v>
      </c>
      <c r="F141" s="21">
        <v>3860400</v>
      </c>
      <c r="G141" s="21">
        <v>2502200</v>
      </c>
      <c r="H141" s="21">
        <v>1889200</v>
      </c>
      <c r="I141" s="21">
        <v>4526000</v>
      </c>
      <c r="J141" s="21">
        <v>3061600</v>
      </c>
      <c r="K141" s="21">
        <v>3647200</v>
      </c>
      <c r="L141" s="21">
        <v>2293900</v>
      </c>
      <c r="M141" s="21">
        <v>2092200</v>
      </c>
      <c r="N141" s="21">
        <v>1816300</v>
      </c>
      <c r="O141" s="21">
        <v>4041700</v>
      </c>
      <c r="P141" s="21">
        <v>3105700</v>
      </c>
      <c r="Q141" s="21">
        <v>3180900</v>
      </c>
      <c r="R141" s="21">
        <v>6741400</v>
      </c>
      <c r="S141" s="21">
        <v>1055900</v>
      </c>
      <c r="T141" s="21">
        <v>1834200</v>
      </c>
      <c r="U141" s="21">
        <v>5622800</v>
      </c>
      <c r="V141" s="21">
        <v>1232100</v>
      </c>
      <c r="W141" s="21">
        <v>1263400</v>
      </c>
      <c r="X141" s="21">
        <v>1938400</v>
      </c>
      <c r="Y141" s="21">
        <v>1684300</v>
      </c>
      <c r="Z141" s="21">
        <v>4010100</v>
      </c>
      <c r="AA141" s="21">
        <v>3256100</v>
      </c>
      <c r="AB141" s="21">
        <v>2303000</v>
      </c>
      <c r="AC141" s="21">
        <v>2044300</v>
      </c>
      <c r="AD141" s="21">
        <v>2559700</v>
      </c>
      <c r="AE141" s="21">
        <v>4119000</v>
      </c>
      <c r="AF141" s="21">
        <v>7652200</v>
      </c>
      <c r="AG141" s="21">
        <v>7253000</v>
      </c>
      <c r="AH141" s="21">
        <v>6174200</v>
      </c>
      <c r="AI141" s="21">
        <v>10261400</v>
      </c>
      <c r="AJ141" s="21">
        <v>1676400</v>
      </c>
      <c r="AK141" s="21">
        <v>4760200</v>
      </c>
      <c r="AL141" s="21">
        <v>4778100</v>
      </c>
      <c r="AM141" s="21">
        <v>4464000</v>
      </c>
      <c r="AN141" s="21">
        <v>3641400</v>
      </c>
      <c r="AO141" s="21">
        <v>5823400</v>
      </c>
      <c r="AP141" s="21">
        <v>7206800</v>
      </c>
      <c r="AQ141" s="21">
        <v>5654700</v>
      </c>
      <c r="AR141" s="21">
        <v>4275000</v>
      </c>
      <c r="AS141" s="21">
        <v>3703900</v>
      </c>
      <c r="AT141" s="21">
        <v>2707400</v>
      </c>
      <c r="AU141" s="21">
        <v>2977900</v>
      </c>
      <c r="AV141" s="21">
        <v>5276300</v>
      </c>
      <c r="AW141" s="21">
        <v>9333700</v>
      </c>
      <c r="AX141" s="21">
        <v>6206100</v>
      </c>
      <c r="AY141" s="21">
        <v>10123800</v>
      </c>
      <c r="AZ141" s="21">
        <v>8264500</v>
      </c>
      <c r="BA141" s="21">
        <v>10945800</v>
      </c>
      <c r="BB141" s="21">
        <v>22249700</v>
      </c>
      <c r="BC141" s="21">
        <v>28238900</v>
      </c>
      <c r="BD141" s="21">
        <v>28690800</v>
      </c>
      <c r="BE141" s="21">
        <v>31866100</v>
      </c>
      <c r="BF141" s="21">
        <v>14634700</v>
      </c>
      <c r="BG141" s="21">
        <v>13178900</v>
      </c>
      <c r="BH141" s="21">
        <v>3773000</v>
      </c>
      <c r="BI141" s="21">
        <v>3198400</v>
      </c>
      <c r="BJ141" s="21">
        <v>7128600</v>
      </c>
      <c r="BK141" s="21">
        <v>12306600</v>
      </c>
      <c r="BL141" s="21">
        <v>21634400</v>
      </c>
      <c r="BM141" s="1">
        <v>6866100</v>
      </c>
      <c r="BN141" s="1">
        <v>6150200</v>
      </c>
      <c r="BO141" s="1">
        <v>4011900</v>
      </c>
      <c r="BP141" s="1">
        <v>4160600</v>
      </c>
      <c r="BQ141" s="1">
        <v>9398000</v>
      </c>
      <c r="BR141" s="1">
        <v>5229600</v>
      </c>
      <c r="BS141" s="1">
        <v>15724700</v>
      </c>
      <c r="BT141" s="1">
        <v>10711900</v>
      </c>
      <c r="BU141" s="1">
        <v>23584500</v>
      </c>
      <c r="BV141" s="1">
        <v>10246600</v>
      </c>
      <c r="BW141" s="1">
        <v>5674400</v>
      </c>
      <c r="BX141" s="1">
        <v>12719600</v>
      </c>
      <c r="BY141" s="1">
        <v>12781300</v>
      </c>
      <c r="BZ141" s="1">
        <v>27264300</v>
      </c>
    </row>
    <row r="142" spans="1:254" ht="15.9" customHeight="1">
      <c r="A142" s="393" t="s">
        <v>279</v>
      </c>
      <c r="B142" s="46" t="str">
        <f>銘柄管理!C142</f>
        <v>第一三共</v>
      </c>
      <c r="C142" s="50">
        <f>_xll.RssMarket("4568","出来高")</f>
        <v>6881900</v>
      </c>
      <c r="D142" s="202">
        <f t="shared" si="2"/>
        <v>0</v>
      </c>
      <c r="E142" s="21">
        <v>6881900</v>
      </c>
      <c r="F142" s="21">
        <v>6793900</v>
      </c>
      <c r="G142" s="21">
        <v>8590700</v>
      </c>
      <c r="H142" s="21">
        <v>9426700</v>
      </c>
      <c r="I142" s="21">
        <v>18478700</v>
      </c>
      <c r="J142" s="21">
        <v>8119600</v>
      </c>
      <c r="K142" s="21">
        <v>5987900</v>
      </c>
      <c r="L142" s="21">
        <v>6996900</v>
      </c>
      <c r="M142" s="21">
        <v>5250200</v>
      </c>
      <c r="N142" s="21">
        <v>4708200</v>
      </c>
      <c r="O142" s="21">
        <v>3912300</v>
      </c>
      <c r="P142" s="21">
        <v>5301200</v>
      </c>
      <c r="Q142" s="21">
        <v>7221200</v>
      </c>
      <c r="R142" s="21">
        <v>7631200</v>
      </c>
      <c r="S142" s="21">
        <v>4674100</v>
      </c>
      <c r="T142" s="21">
        <v>5049200</v>
      </c>
      <c r="U142" s="21">
        <v>4511500</v>
      </c>
      <c r="V142" s="21">
        <v>6031100</v>
      </c>
      <c r="W142" s="21">
        <v>4418900</v>
      </c>
      <c r="X142" s="21">
        <v>6159900</v>
      </c>
      <c r="Y142" s="21">
        <v>7719700</v>
      </c>
      <c r="Z142" s="21">
        <v>11572800</v>
      </c>
      <c r="AA142" s="21">
        <v>13927700</v>
      </c>
      <c r="AB142" s="21">
        <v>4718800</v>
      </c>
      <c r="AC142" s="21">
        <v>3948600</v>
      </c>
      <c r="AD142" s="21">
        <v>6414200</v>
      </c>
      <c r="AE142" s="21">
        <v>6823900</v>
      </c>
      <c r="AF142" s="21">
        <v>3877100</v>
      </c>
      <c r="AG142" s="21">
        <v>4569200</v>
      </c>
      <c r="AH142" s="21">
        <v>5119400</v>
      </c>
      <c r="AI142" s="21">
        <v>4870400</v>
      </c>
      <c r="AJ142" s="21">
        <v>4584300</v>
      </c>
      <c r="AK142" s="21">
        <v>12977700</v>
      </c>
      <c r="AL142" s="21">
        <v>8994100</v>
      </c>
      <c r="AM142" s="21">
        <v>7992100</v>
      </c>
      <c r="AN142" s="21">
        <v>5513800</v>
      </c>
      <c r="AO142" s="21">
        <v>6168200</v>
      </c>
      <c r="AP142" s="21">
        <v>7587700</v>
      </c>
      <c r="AQ142" s="21">
        <v>6121800</v>
      </c>
      <c r="AR142" s="21">
        <v>8162700</v>
      </c>
      <c r="AS142" s="21">
        <v>7893600</v>
      </c>
      <c r="AT142" s="21">
        <v>12276100</v>
      </c>
      <c r="AU142" s="21">
        <v>13801100</v>
      </c>
      <c r="AV142" s="21">
        <v>7367200</v>
      </c>
      <c r="AW142" s="21">
        <v>7108300</v>
      </c>
      <c r="AX142" s="21">
        <v>19725400</v>
      </c>
      <c r="AY142" s="21">
        <v>6353800</v>
      </c>
      <c r="AZ142" s="21">
        <v>6112300</v>
      </c>
      <c r="BA142" s="21">
        <v>7149800</v>
      </c>
      <c r="BB142" s="21">
        <v>5618500</v>
      </c>
      <c r="BC142" s="21">
        <v>6512900</v>
      </c>
      <c r="BD142" s="21">
        <v>8039200</v>
      </c>
      <c r="BE142" s="21">
        <v>8106600</v>
      </c>
      <c r="BF142" s="21">
        <v>5616100</v>
      </c>
      <c r="BG142" s="21">
        <v>8793800</v>
      </c>
      <c r="BH142" s="21">
        <v>10516700</v>
      </c>
      <c r="BI142" s="21">
        <v>7061800</v>
      </c>
      <c r="BJ142" s="21">
        <v>13241500</v>
      </c>
      <c r="BK142" s="21">
        <v>11532500</v>
      </c>
      <c r="BL142" s="21">
        <v>12477400</v>
      </c>
      <c r="BM142" s="1">
        <v>14251700</v>
      </c>
      <c r="BN142" s="1">
        <v>7940900</v>
      </c>
      <c r="BO142" s="1">
        <v>10441900</v>
      </c>
      <c r="BP142" s="1">
        <v>13321300</v>
      </c>
      <c r="BQ142" s="1">
        <v>16617200</v>
      </c>
      <c r="BR142" s="1">
        <v>25238300</v>
      </c>
      <c r="BS142" s="1">
        <v>6290000</v>
      </c>
      <c r="BT142" s="1">
        <v>6375400</v>
      </c>
      <c r="BU142" s="1">
        <v>5436700</v>
      </c>
      <c r="BV142" s="1">
        <v>7280300</v>
      </c>
      <c r="BW142" s="1">
        <v>7592100</v>
      </c>
      <c r="BX142" s="1">
        <v>11121300</v>
      </c>
      <c r="BY142" s="1">
        <v>13364600</v>
      </c>
      <c r="BZ142" s="1">
        <v>7573500</v>
      </c>
    </row>
    <row r="143" spans="1:254" ht="15.9" customHeight="1">
      <c r="A143" s="393" t="s">
        <v>280</v>
      </c>
      <c r="B143" s="46" t="s">
        <v>281</v>
      </c>
      <c r="C143" s="50">
        <f>_xll.RssMarket("6522","出来高")</f>
        <v>772100</v>
      </c>
      <c r="D143" s="16">
        <f t="shared" si="2"/>
        <v>0</v>
      </c>
      <c r="E143" s="21">
        <v>772100</v>
      </c>
      <c r="F143" s="21">
        <v>1488500</v>
      </c>
      <c r="G143" s="21">
        <v>3090000</v>
      </c>
      <c r="H143" s="21">
        <v>411900</v>
      </c>
      <c r="I143" s="21">
        <v>1061100</v>
      </c>
      <c r="J143" s="21">
        <v>674100</v>
      </c>
      <c r="K143" s="21">
        <v>1647200</v>
      </c>
      <c r="L143" s="21">
        <v>931900</v>
      </c>
      <c r="M143" s="21">
        <v>1379200</v>
      </c>
      <c r="N143" s="21">
        <v>4618600</v>
      </c>
      <c r="O143" s="21">
        <v>1631000</v>
      </c>
      <c r="P143" s="21">
        <v>1225100</v>
      </c>
      <c r="Q143" s="21">
        <v>580200</v>
      </c>
      <c r="R143" s="21">
        <v>1174100</v>
      </c>
      <c r="S143" s="21">
        <v>1125500</v>
      </c>
      <c r="T143" s="21">
        <v>981000</v>
      </c>
      <c r="U143" s="21">
        <v>2539700</v>
      </c>
      <c r="V143" s="21">
        <v>3006600</v>
      </c>
      <c r="W143" s="21">
        <v>4077200</v>
      </c>
      <c r="X143" s="21">
        <v>10815000</v>
      </c>
      <c r="Y143" s="21">
        <v>68000</v>
      </c>
      <c r="Z143" s="21">
        <v>2898900</v>
      </c>
      <c r="AA143" s="21">
        <v>9809500</v>
      </c>
      <c r="AB143" s="21">
        <v>3872600</v>
      </c>
      <c r="AC143" s="21">
        <v>7011100</v>
      </c>
      <c r="AD143" s="21">
        <v>538400</v>
      </c>
      <c r="AE143" s="21">
        <v>296900</v>
      </c>
      <c r="AF143" s="21">
        <v>1267600</v>
      </c>
      <c r="AG143" s="21">
        <v>731400</v>
      </c>
      <c r="AH143" s="21">
        <v>2738300</v>
      </c>
      <c r="AI143" s="21">
        <v>2693500</v>
      </c>
      <c r="AJ143" s="21">
        <v>6497200</v>
      </c>
      <c r="AK143" s="21">
        <v>3902000</v>
      </c>
      <c r="AL143" s="21">
        <v>875500</v>
      </c>
      <c r="AM143" s="21">
        <v>95600</v>
      </c>
      <c r="AN143" s="21">
        <v>98600</v>
      </c>
      <c r="AO143" s="21">
        <v>283000</v>
      </c>
      <c r="AP143" s="21">
        <v>292100</v>
      </c>
      <c r="AQ143" s="21">
        <v>117000</v>
      </c>
      <c r="AR143" s="21">
        <v>132300</v>
      </c>
      <c r="AS143" s="21">
        <v>184600</v>
      </c>
      <c r="AT143" s="21">
        <v>237200</v>
      </c>
      <c r="AU143" s="21">
        <v>259100</v>
      </c>
      <c r="AV143" s="21">
        <v>392400</v>
      </c>
      <c r="AW143" s="21">
        <v>1195400</v>
      </c>
      <c r="AX143" s="21">
        <v>368200</v>
      </c>
      <c r="AY143" s="21">
        <v>493700</v>
      </c>
      <c r="AZ143" s="21">
        <v>648400</v>
      </c>
      <c r="BA143" s="21">
        <v>236400</v>
      </c>
      <c r="BB143" s="21">
        <v>262800</v>
      </c>
      <c r="BC143" s="21">
        <v>340800</v>
      </c>
      <c r="BD143" s="21">
        <v>267100</v>
      </c>
      <c r="BE143" s="21">
        <v>271800</v>
      </c>
      <c r="BF143" s="21">
        <v>332700</v>
      </c>
      <c r="BG143" s="21">
        <v>278800</v>
      </c>
      <c r="BH143" s="21">
        <v>353200</v>
      </c>
      <c r="BI143" s="21">
        <v>387200</v>
      </c>
      <c r="BJ143" s="21">
        <v>475500</v>
      </c>
      <c r="BK143" s="21">
        <v>466900</v>
      </c>
      <c r="BL143" s="21">
        <v>503500</v>
      </c>
      <c r="BM143" s="1">
        <v>661200</v>
      </c>
      <c r="BN143" s="1">
        <v>982300</v>
      </c>
      <c r="BO143" s="1">
        <v>649500</v>
      </c>
      <c r="BP143" s="1">
        <v>715400</v>
      </c>
      <c r="BQ143" s="1">
        <v>1380800</v>
      </c>
      <c r="BR143" s="1">
        <v>2718900</v>
      </c>
      <c r="BS143" s="1">
        <v>1585600</v>
      </c>
      <c r="BT143" s="1">
        <v>6125400</v>
      </c>
      <c r="BU143" s="1">
        <v>6645200</v>
      </c>
      <c r="BV143" s="1">
        <v>1375000</v>
      </c>
      <c r="BW143" s="1">
        <v>1326200</v>
      </c>
      <c r="BX143" s="1">
        <v>1251800</v>
      </c>
      <c r="BY143" s="1">
        <v>2360100</v>
      </c>
      <c r="BZ143" s="1">
        <v>524600</v>
      </c>
    </row>
    <row r="144" spans="1:254" ht="15.9" customHeight="1">
      <c r="A144" s="393" t="s">
        <v>282</v>
      </c>
      <c r="B144" s="46" t="s">
        <v>283</v>
      </c>
      <c r="C144" s="50">
        <f>_xll.RssMarket("6777","出来高")</f>
        <v>202200</v>
      </c>
      <c r="D144" s="16">
        <f t="shared" si="2"/>
        <v>0</v>
      </c>
      <c r="E144" s="21">
        <v>202200</v>
      </c>
      <c r="F144" s="21">
        <v>205700</v>
      </c>
      <c r="G144" s="21">
        <v>164500</v>
      </c>
      <c r="H144" s="21">
        <v>131500</v>
      </c>
      <c r="I144" s="21">
        <v>211300</v>
      </c>
      <c r="J144" s="21">
        <v>120000</v>
      </c>
      <c r="K144" s="21">
        <v>185000</v>
      </c>
      <c r="L144" s="21">
        <v>119900</v>
      </c>
      <c r="M144" s="21">
        <v>109700</v>
      </c>
      <c r="N144" s="21"/>
      <c r="O144" s="21">
        <v>105800</v>
      </c>
      <c r="P144" s="21">
        <v>196900</v>
      </c>
      <c r="Q144" s="21">
        <v>197000</v>
      </c>
      <c r="R144" s="21">
        <v>175500</v>
      </c>
      <c r="S144" s="21">
        <v>125000</v>
      </c>
      <c r="T144" s="21">
        <v>115300</v>
      </c>
      <c r="U144" s="21">
        <v>140100</v>
      </c>
      <c r="V144" s="21">
        <v>82200</v>
      </c>
      <c r="W144" s="21">
        <v>95000</v>
      </c>
      <c r="X144" s="21">
        <v>239400</v>
      </c>
      <c r="Y144" s="21">
        <v>146300</v>
      </c>
      <c r="Z144" s="21">
        <v>116400</v>
      </c>
      <c r="AA144" s="21">
        <v>153900</v>
      </c>
      <c r="AB144" s="21">
        <v>116900</v>
      </c>
      <c r="AC144" s="21">
        <v>103400</v>
      </c>
      <c r="AD144" s="21">
        <v>62300</v>
      </c>
      <c r="AE144" s="21">
        <v>149700</v>
      </c>
      <c r="AF144" s="21">
        <v>112100</v>
      </c>
      <c r="AG144" s="21">
        <v>121400</v>
      </c>
      <c r="AH144" s="21">
        <v>129600</v>
      </c>
      <c r="AI144" s="21">
        <v>138400</v>
      </c>
      <c r="AJ144" s="21">
        <v>195800</v>
      </c>
      <c r="AK144" s="21">
        <v>261600</v>
      </c>
      <c r="AL144" s="21">
        <v>161800</v>
      </c>
      <c r="AM144" s="21">
        <v>118600</v>
      </c>
      <c r="AN144" s="21">
        <v>196200</v>
      </c>
      <c r="AO144" s="21">
        <v>170500</v>
      </c>
      <c r="AP144" s="21">
        <v>164700</v>
      </c>
      <c r="AQ144" s="21">
        <v>104700</v>
      </c>
      <c r="AR144" s="21">
        <v>171500</v>
      </c>
      <c r="AS144" s="21">
        <v>208400</v>
      </c>
      <c r="AT144" s="21">
        <v>90900</v>
      </c>
      <c r="AU144" s="21">
        <v>119300</v>
      </c>
      <c r="AV144" s="21">
        <v>276300</v>
      </c>
      <c r="AW144" s="21">
        <v>175000</v>
      </c>
      <c r="AX144" s="21">
        <v>344300</v>
      </c>
      <c r="AY144" s="21">
        <v>158900</v>
      </c>
      <c r="AZ144" s="21">
        <v>223200</v>
      </c>
      <c r="BA144" s="21">
        <v>217500</v>
      </c>
      <c r="BB144" s="21">
        <v>153800</v>
      </c>
      <c r="BC144" s="21">
        <v>210200</v>
      </c>
      <c r="BD144" s="21">
        <v>205600</v>
      </c>
      <c r="BE144" s="21">
        <v>338700</v>
      </c>
      <c r="BF144" s="21">
        <v>478000</v>
      </c>
      <c r="BG144" s="21">
        <v>231900</v>
      </c>
      <c r="BH144" s="21">
        <v>274700</v>
      </c>
      <c r="BI144" s="21">
        <v>266800</v>
      </c>
      <c r="BJ144" s="21">
        <v>503200</v>
      </c>
      <c r="BK144" s="21">
        <v>177700</v>
      </c>
      <c r="BL144" s="21">
        <v>220700</v>
      </c>
      <c r="BM144" s="1">
        <v>265500</v>
      </c>
      <c r="BN144" s="1">
        <v>128100</v>
      </c>
      <c r="BO144" s="1">
        <v>138700</v>
      </c>
      <c r="BP144" s="1">
        <v>168700</v>
      </c>
      <c r="BQ144" s="1">
        <v>276800</v>
      </c>
      <c r="BR144" s="1">
        <v>442400</v>
      </c>
      <c r="BS144" s="1">
        <v>676100</v>
      </c>
      <c r="BT144" s="1">
        <v>297500</v>
      </c>
      <c r="BU144" s="1">
        <v>358200</v>
      </c>
      <c r="BV144" s="1">
        <v>614900</v>
      </c>
      <c r="BW144" s="1">
        <v>321500</v>
      </c>
      <c r="BX144" s="1">
        <v>203700</v>
      </c>
      <c r="BY144" s="1">
        <v>303100</v>
      </c>
      <c r="BZ144" s="1">
        <v>254200</v>
      </c>
    </row>
    <row r="145" spans="1:254" ht="15.9" customHeight="1">
      <c r="A145" s="393" t="s">
        <v>284</v>
      </c>
      <c r="B145" s="46" t="s">
        <v>285</v>
      </c>
      <c r="C145" s="50">
        <f>_xll.RssMarket("6787","出来高")</f>
        <v>592100</v>
      </c>
      <c r="D145" s="16">
        <f t="shared" si="2"/>
        <v>0</v>
      </c>
      <c r="E145" s="21">
        <v>592100</v>
      </c>
      <c r="F145" s="21">
        <v>752900</v>
      </c>
      <c r="G145" s="21">
        <v>471100</v>
      </c>
      <c r="H145" s="21">
        <v>340300</v>
      </c>
      <c r="I145" s="21">
        <v>497000</v>
      </c>
      <c r="J145" s="21">
        <v>542300</v>
      </c>
      <c r="K145" s="21">
        <v>659300</v>
      </c>
      <c r="L145" s="21">
        <v>333200</v>
      </c>
      <c r="M145" s="21">
        <v>280700</v>
      </c>
      <c r="N145" s="21">
        <v>357200</v>
      </c>
      <c r="O145" s="21">
        <v>225500</v>
      </c>
      <c r="P145" s="21">
        <v>354100</v>
      </c>
      <c r="Q145" s="21">
        <v>356200</v>
      </c>
      <c r="R145" s="21">
        <v>588700</v>
      </c>
      <c r="S145" s="21">
        <v>314400</v>
      </c>
      <c r="T145" s="21">
        <v>358500</v>
      </c>
      <c r="U145" s="21">
        <v>415100</v>
      </c>
      <c r="V145" s="21">
        <v>423100</v>
      </c>
      <c r="W145" s="21">
        <v>487200</v>
      </c>
      <c r="X145" s="21">
        <v>554400</v>
      </c>
      <c r="Y145" s="21">
        <v>614600</v>
      </c>
      <c r="Z145" s="21">
        <v>507600</v>
      </c>
      <c r="AA145" s="21">
        <v>499700</v>
      </c>
      <c r="AB145" s="21">
        <v>365600</v>
      </c>
      <c r="AC145" s="21">
        <v>611600</v>
      </c>
      <c r="AD145" s="21">
        <v>399500</v>
      </c>
      <c r="AE145" s="21">
        <v>516200</v>
      </c>
      <c r="AF145" s="21">
        <v>711400</v>
      </c>
      <c r="AG145" s="21">
        <v>494300</v>
      </c>
      <c r="AH145" s="21">
        <v>506900</v>
      </c>
      <c r="AI145" s="21">
        <v>748500</v>
      </c>
      <c r="AJ145" s="21">
        <v>556300</v>
      </c>
      <c r="AK145" s="21">
        <v>916100</v>
      </c>
      <c r="AL145" s="21">
        <v>439200</v>
      </c>
      <c r="AM145" s="21">
        <v>512700</v>
      </c>
      <c r="AN145" s="21">
        <v>1004800</v>
      </c>
      <c r="AO145" s="21">
        <v>548800</v>
      </c>
      <c r="AP145" s="21">
        <v>525400</v>
      </c>
      <c r="AQ145" s="21">
        <v>614900</v>
      </c>
      <c r="AR145" s="21">
        <v>392400</v>
      </c>
      <c r="AS145" s="21">
        <v>347600</v>
      </c>
      <c r="AT145" s="21">
        <v>418600</v>
      </c>
      <c r="AU145" s="21">
        <v>423200</v>
      </c>
      <c r="AV145" s="21">
        <v>370800</v>
      </c>
      <c r="AW145" s="21">
        <v>539200</v>
      </c>
      <c r="AX145" s="21">
        <v>660800</v>
      </c>
      <c r="AY145" s="21">
        <v>469000</v>
      </c>
      <c r="AZ145" s="21">
        <v>573300</v>
      </c>
      <c r="BA145" s="21">
        <v>922200</v>
      </c>
      <c r="BB145" s="21">
        <v>560800</v>
      </c>
      <c r="BC145" s="21">
        <v>717600</v>
      </c>
      <c r="BD145" s="21">
        <v>412700</v>
      </c>
      <c r="BE145" s="21">
        <v>462800</v>
      </c>
      <c r="BF145" s="21">
        <v>713300</v>
      </c>
      <c r="BG145" s="21">
        <v>1154400</v>
      </c>
      <c r="BH145" s="21">
        <v>154600</v>
      </c>
      <c r="BI145" s="21">
        <v>438300</v>
      </c>
      <c r="BJ145" s="21">
        <v>467100</v>
      </c>
      <c r="BK145" s="21">
        <v>368600</v>
      </c>
      <c r="BL145" s="21">
        <v>443300</v>
      </c>
      <c r="BM145" s="1">
        <v>473700</v>
      </c>
      <c r="BN145" s="1">
        <v>310500</v>
      </c>
      <c r="BO145" s="1">
        <v>359900</v>
      </c>
      <c r="BP145" s="1">
        <v>604600</v>
      </c>
      <c r="BQ145" s="1">
        <v>461300</v>
      </c>
      <c r="BR145" s="1">
        <v>399800</v>
      </c>
      <c r="BS145" s="1">
        <v>419300</v>
      </c>
      <c r="BT145" s="1">
        <v>499100</v>
      </c>
      <c r="BU145" s="1">
        <v>401700</v>
      </c>
      <c r="BV145" s="1">
        <v>472600</v>
      </c>
      <c r="BW145" s="1">
        <v>347000</v>
      </c>
      <c r="BX145" s="1">
        <v>348500</v>
      </c>
      <c r="BY145" s="1">
        <v>497700</v>
      </c>
      <c r="BZ145" s="1">
        <v>820600</v>
      </c>
    </row>
    <row r="146" spans="1:254" ht="15.9" customHeight="1">
      <c r="A146" s="393" t="s">
        <v>286</v>
      </c>
      <c r="B146" s="46" t="s">
        <v>287</v>
      </c>
      <c r="C146" s="50">
        <f>_xll.RssMarket("4888","出来高")</f>
        <v>80900</v>
      </c>
      <c r="D146" s="16">
        <f t="shared" si="2"/>
        <v>0</v>
      </c>
      <c r="E146" s="21">
        <v>80900</v>
      </c>
      <c r="F146" s="21">
        <v>123500</v>
      </c>
      <c r="G146" s="21">
        <v>177900</v>
      </c>
      <c r="H146" s="21">
        <v>252400</v>
      </c>
      <c r="I146" s="21">
        <v>176400</v>
      </c>
      <c r="J146" s="21">
        <v>195100</v>
      </c>
      <c r="K146" s="21">
        <v>354500</v>
      </c>
      <c r="L146" s="21">
        <v>208300</v>
      </c>
      <c r="M146" s="21">
        <v>311500</v>
      </c>
      <c r="N146" s="21">
        <v>144500</v>
      </c>
      <c r="O146" s="21">
        <v>116600</v>
      </c>
      <c r="P146" s="21">
        <v>156600</v>
      </c>
      <c r="Q146" s="21">
        <v>125000</v>
      </c>
      <c r="R146" s="21">
        <v>566600</v>
      </c>
      <c r="S146" s="21">
        <v>157800</v>
      </c>
      <c r="T146" s="21">
        <v>120200</v>
      </c>
      <c r="U146" s="21">
        <v>240500</v>
      </c>
      <c r="V146" s="21">
        <v>311600</v>
      </c>
      <c r="W146" s="21">
        <v>95500</v>
      </c>
      <c r="X146" s="21">
        <v>244600</v>
      </c>
      <c r="Y146" s="21">
        <v>135800</v>
      </c>
      <c r="Z146" s="21">
        <v>265200</v>
      </c>
      <c r="AA146" s="21">
        <v>279800</v>
      </c>
      <c r="AB146" s="21">
        <v>332600</v>
      </c>
      <c r="AC146" s="21">
        <v>348500</v>
      </c>
      <c r="AD146" s="21">
        <v>484300</v>
      </c>
      <c r="AE146" s="21">
        <v>226400</v>
      </c>
      <c r="AF146" s="21">
        <v>441200</v>
      </c>
      <c r="AG146" s="21">
        <v>245100</v>
      </c>
      <c r="AH146" s="21">
        <v>193200</v>
      </c>
      <c r="AI146" s="21">
        <v>465900</v>
      </c>
      <c r="AJ146" s="21">
        <v>734800</v>
      </c>
      <c r="AK146" s="21">
        <v>1217900</v>
      </c>
      <c r="AL146" s="21">
        <v>2239700</v>
      </c>
      <c r="AM146" s="21">
        <v>331200</v>
      </c>
      <c r="AN146" s="21">
        <v>211100</v>
      </c>
      <c r="AO146" s="21">
        <v>238800</v>
      </c>
      <c r="AP146" s="21">
        <v>270500</v>
      </c>
      <c r="AQ146" s="21">
        <v>382100</v>
      </c>
      <c r="AR146" s="21">
        <v>336500</v>
      </c>
      <c r="AS146" s="21">
        <v>839500</v>
      </c>
      <c r="AT146" s="21">
        <v>180600</v>
      </c>
      <c r="AU146" s="21">
        <v>222100</v>
      </c>
      <c r="AV146" s="21">
        <v>307700</v>
      </c>
      <c r="AW146" s="21">
        <v>423000</v>
      </c>
      <c r="AX146" s="21">
        <v>749300</v>
      </c>
      <c r="AY146" s="21">
        <v>303800</v>
      </c>
      <c r="AZ146" s="21">
        <v>1469800</v>
      </c>
      <c r="BA146" s="21">
        <v>395600</v>
      </c>
      <c r="BB146" s="21">
        <v>673200</v>
      </c>
      <c r="BC146" s="21">
        <v>822600</v>
      </c>
      <c r="BD146" s="21">
        <v>581600</v>
      </c>
      <c r="BE146" s="21">
        <v>751400</v>
      </c>
      <c r="BF146" s="21">
        <v>2726100</v>
      </c>
      <c r="BG146" s="21">
        <v>860100</v>
      </c>
      <c r="BH146" s="21">
        <v>2031100</v>
      </c>
      <c r="BI146" s="21">
        <v>521800</v>
      </c>
      <c r="BJ146" s="21">
        <v>602900</v>
      </c>
      <c r="BK146" s="21">
        <v>1100100</v>
      </c>
      <c r="BL146" s="21">
        <v>345600</v>
      </c>
      <c r="BM146" s="1">
        <v>616700</v>
      </c>
      <c r="BN146" s="1">
        <v>631800</v>
      </c>
      <c r="BO146" s="1">
        <v>423800</v>
      </c>
      <c r="BP146" s="1">
        <v>754500</v>
      </c>
      <c r="BQ146" s="1">
        <v>663000</v>
      </c>
      <c r="BR146" s="1">
        <v>1486000</v>
      </c>
      <c r="BS146" s="1">
        <v>1805200</v>
      </c>
      <c r="BT146" s="1">
        <v>2214400</v>
      </c>
      <c r="BU146" s="1">
        <v>2130400</v>
      </c>
      <c r="BV146" s="1">
        <v>1277500</v>
      </c>
      <c r="BW146" s="1">
        <v>2219600</v>
      </c>
      <c r="BX146" s="1">
        <v>2740000</v>
      </c>
      <c r="BY146" s="1">
        <v>1390700</v>
      </c>
      <c r="BZ146" s="1">
        <v>1327800</v>
      </c>
    </row>
    <row r="147" spans="1:254" ht="15.9" customHeight="1">
      <c r="A147" s="393" t="s">
        <v>288</v>
      </c>
      <c r="B147" s="46" t="s">
        <v>289</v>
      </c>
      <c r="C147" s="50">
        <f>_xll.RssMarket("6387","出来高")</f>
        <v>92600</v>
      </c>
      <c r="D147" s="16">
        <f t="shared" si="2"/>
        <v>0</v>
      </c>
      <c r="E147" s="21">
        <v>92600</v>
      </c>
      <c r="F147" s="21">
        <v>156400</v>
      </c>
      <c r="G147" s="21">
        <v>118900</v>
      </c>
      <c r="H147" s="21">
        <v>93200</v>
      </c>
      <c r="I147" s="21">
        <v>314100</v>
      </c>
      <c r="J147" s="21">
        <v>178700</v>
      </c>
      <c r="K147" s="21">
        <v>128700</v>
      </c>
      <c r="L147" s="21">
        <v>92700</v>
      </c>
      <c r="M147" s="21">
        <v>98600</v>
      </c>
      <c r="N147" s="21"/>
      <c r="O147" s="21">
        <v>49700</v>
      </c>
      <c r="P147" s="21">
        <v>70700</v>
      </c>
      <c r="Q147" s="21">
        <v>71000</v>
      </c>
      <c r="R147" s="21">
        <v>133200</v>
      </c>
      <c r="S147" s="21">
        <v>72100</v>
      </c>
      <c r="T147" s="21">
        <v>116500</v>
      </c>
      <c r="U147" s="21">
        <v>94400</v>
      </c>
      <c r="V147" s="21">
        <v>190000</v>
      </c>
      <c r="W147" s="21">
        <v>79600</v>
      </c>
      <c r="X147" s="21">
        <v>83700</v>
      </c>
      <c r="Y147" s="21">
        <v>132500</v>
      </c>
      <c r="Z147" s="21">
        <v>114300</v>
      </c>
      <c r="AA147" s="21">
        <v>103600</v>
      </c>
      <c r="AB147" s="21">
        <v>92200</v>
      </c>
      <c r="AC147" s="21">
        <v>78000</v>
      </c>
      <c r="AD147" s="21">
        <v>66200</v>
      </c>
      <c r="AE147" s="21">
        <v>68700</v>
      </c>
      <c r="AF147" s="21">
        <v>71300</v>
      </c>
      <c r="AG147" s="21">
        <v>89800</v>
      </c>
      <c r="AH147" s="21">
        <v>110100</v>
      </c>
      <c r="AI147" s="21">
        <v>135700</v>
      </c>
      <c r="AJ147" s="21">
        <v>221500</v>
      </c>
      <c r="AK147" s="21">
        <v>166200</v>
      </c>
      <c r="AL147" s="21">
        <v>236300</v>
      </c>
      <c r="AM147" s="21">
        <v>321300</v>
      </c>
      <c r="AN147" s="21">
        <v>381200</v>
      </c>
      <c r="AO147" s="21">
        <v>480600</v>
      </c>
      <c r="AP147" s="21">
        <v>151900</v>
      </c>
      <c r="AQ147" s="21">
        <v>158900</v>
      </c>
      <c r="AR147" s="21">
        <v>84700</v>
      </c>
      <c r="AS147" s="21">
        <v>137700</v>
      </c>
      <c r="AT147" s="21">
        <v>97900</v>
      </c>
      <c r="AU147" s="21">
        <v>129100</v>
      </c>
      <c r="AV147" s="21">
        <v>228700</v>
      </c>
      <c r="AW147" s="21">
        <v>222000</v>
      </c>
      <c r="AX147" s="21">
        <v>74200</v>
      </c>
      <c r="AY147" s="21">
        <v>88300</v>
      </c>
      <c r="AZ147" s="21">
        <v>129800</v>
      </c>
      <c r="BA147" s="21">
        <v>144700</v>
      </c>
      <c r="BB147" s="21">
        <v>143100</v>
      </c>
      <c r="BC147" s="21">
        <v>133100</v>
      </c>
      <c r="BD147" s="21">
        <v>118100</v>
      </c>
      <c r="BE147" s="21">
        <v>132500</v>
      </c>
      <c r="BF147" s="21">
        <v>88000</v>
      </c>
      <c r="BG147" s="21">
        <v>130200</v>
      </c>
      <c r="BH147" s="21">
        <v>163300</v>
      </c>
      <c r="BI147" s="21">
        <v>111400</v>
      </c>
      <c r="BJ147" s="21">
        <v>159300</v>
      </c>
      <c r="BK147" s="21">
        <v>150600</v>
      </c>
      <c r="BL147" s="21">
        <v>274200</v>
      </c>
      <c r="BM147" s="1">
        <v>327900</v>
      </c>
      <c r="BN147" s="1">
        <v>134500</v>
      </c>
      <c r="BO147" s="1">
        <v>152100</v>
      </c>
      <c r="BP147" s="1">
        <v>165100</v>
      </c>
      <c r="BQ147" s="1">
        <v>217900</v>
      </c>
      <c r="BR147" s="1">
        <v>339700</v>
      </c>
      <c r="BS147" s="1">
        <v>371200</v>
      </c>
      <c r="BT147" s="1">
        <v>224900</v>
      </c>
      <c r="BU147" s="1">
        <v>98500</v>
      </c>
      <c r="BV147" s="1">
        <v>111100</v>
      </c>
      <c r="BW147" s="1">
        <v>142500</v>
      </c>
      <c r="BX147" s="1">
        <v>230100</v>
      </c>
      <c r="BY147" s="1">
        <v>200700</v>
      </c>
      <c r="BZ147" s="1">
        <v>284600</v>
      </c>
    </row>
    <row r="148" spans="1:254" ht="15.9" customHeight="1">
      <c r="A148" s="393" t="s">
        <v>290</v>
      </c>
      <c r="B148" s="46" t="s">
        <v>291</v>
      </c>
      <c r="C148" s="50">
        <f>_xll.RssMarket("6838","出来高")</f>
        <v>162700</v>
      </c>
      <c r="D148" s="16">
        <f t="shared" si="2"/>
        <v>0</v>
      </c>
      <c r="E148" s="21">
        <v>162700</v>
      </c>
      <c r="F148" s="21">
        <v>220000</v>
      </c>
      <c r="G148" s="21">
        <v>268500</v>
      </c>
      <c r="H148" s="21">
        <v>316000</v>
      </c>
      <c r="I148" s="21">
        <v>268000</v>
      </c>
      <c r="J148" s="21">
        <v>268100</v>
      </c>
      <c r="K148" s="21">
        <v>420400</v>
      </c>
      <c r="L148" s="21">
        <v>291800</v>
      </c>
      <c r="M148" s="21">
        <v>197900</v>
      </c>
      <c r="N148" s="21">
        <v>168100</v>
      </c>
      <c r="O148" s="21">
        <v>117600</v>
      </c>
      <c r="P148" s="21">
        <v>302100</v>
      </c>
      <c r="Q148" s="21">
        <v>259600</v>
      </c>
      <c r="R148" s="21">
        <v>446100</v>
      </c>
      <c r="S148" s="21">
        <v>200300</v>
      </c>
      <c r="T148" s="21">
        <v>361300</v>
      </c>
      <c r="U148" s="21">
        <v>287300</v>
      </c>
      <c r="V148" s="21">
        <v>184900</v>
      </c>
      <c r="W148" s="21">
        <v>271900</v>
      </c>
      <c r="X148" s="21">
        <v>380900</v>
      </c>
      <c r="Y148" s="21">
        <v>334600</v>
      </c>
      <c r="Z148" s="21">
        <v>231700</v>
      </c>
      <c r="AA148" s="21">
        <v>292700</v>
      </c>
      <c r="AB148" s="21">
        <v>265800</v>
      </c>
      <c r="AC148" s="21">
        <v>397600</v>
      </c>
      <c r="AD148" s="21">
        <v>270300</v>
      </c>
      <c r="AE148" s="21">
        <v>433700</v>
      </c>
      <c r="AF148" s="21">
        <v>391000</v>
      </c>
      <c r="AG148" s="21">
        <v>660600</v>
      </c>
      <c r="AH148" s="21">
        <v>418800</v>
      </c>
      <c r="AI148" s="21">
        <v>340300</v>
      </c>
      <c r="AJ148" s="21">
        <v>341900</v>
      </c>
      <c r="AK148" s="21">
        <v>785400</v>
      </c>
      <c r="AL148" s="21">
        <v>690400</v>
      </c>
      <c r="AM148" s="21">
        <v>1705200</v>
      </c>
      <c r="AN148" s="21">
        <v>27400</v>
      </c>
      <c r="AO148" s="21">
        <v>479300</v>
      </c>
      <c r="AP148" s="21">
        <v>311400</v>
      </c>
      <c r="AQ148" s="21">
        <v>437400</v>
      </c>
      <c r="AR148" s="21">
        <v>574900</v>
      </c>
      <c r="AS148" s="21">
        <v>588300</v>
      </c>
      <c r="AT148" s="21">
        <v>292700</v>
      </c>
      <c r="AU148" s="21">
        <v>333000</v>
      </c>
      <c r="AV148" s="21">
        <v>379500</v>
      </c>
      <c r="AW148" s="21">
        <v>478800</v>
      </c>
      <c r="AX148" s="21">
        <v>331600</v>
      </c>
      <c r="AY148" s="21">
        <v>268000</v>
      </c>
      <c r="AZ148" s="21">
        <v>486600</v>
      </c>
      <c r="BA148" s="21">
        <v>468300</v>
      </c>
      <c r="BB148" s="21">
        <v>383300</v>
      </c>
      <c r="BC148" s="21">
        <v>485100</v>
      </c>
      <c r="BD148" s="21">
        <v>497500</v>
      </c>
      <c r="BE148" s="21">
        <v>817000</v>
      </c>
      <c r="BF148" s="21">
        <v>600600</v>
      </c>
      <c r="BG148" s="21">
        <v>438700</v>
      </c>
      <c r="BH148" s="21">
        <v>406800</v>
      </c>
      <c r="BI148" s="21">
        <v>474400</v>
      </c>
      <c r="BJ148" s="21">
        <v>640700</v>
      </c>
      <c r="BK148" s="21">
        <v>1706600</v>
      </c>
      <c r="BL148" s="21">
        <v>485200</v>
      </c>
      <c r="BM148" s="1">
        <v>379100</v>
      </c>
      <c r="BN148" s="1">
        <v>186100</v>
      </c>
      <c r="BO148" s="1">
        <v>334600</v>
      </c>
      <c r="BP148" s="1">
        <v>232100</v>
      </c>
      <c r="BQ148" s="1">
        <v>546200</v>
      </c>
      <c r="BR148" s="1">
        <v>466500</v>
      </c>
      <c r="BS148" s="1">
        <v>813500</v>
      </c>
      <c r="BT148" s="1">
        <v>483800</v>
      </c>
      <c r="BU148" s="1">
        <v>1369200</v>
      </c>
      <c r="BV148" s="1">
        <v>2102000</v>
      </c>
      <c r="BW148" s="1">
        <v>1228500</v>
      </c>
      <c r="BX148" s="1">
        <v>485200</v>
      </c>
      <c r="BY148" s="1">
        <v>302900</v>
      </c>
      <c r="BZ148" s="1">
        <v>249600</v>
      </c>
    </row>
    <row r="149" spans="1:254" ht="15.9" customHeight="1">
      <c r="A149" s="393" t="s">
        <v>292</v>
      </c>
      <c r="B149" s="46" t="s">
        <v>293</v>
      </c>
      <c r="C149" s="50">
        <f>_xll.RssMarket("7375","出来高")</f>
        <v>9300</v>
      </c>
      <c r="D149" s="16">
        <f t="shared" si="2"/>
        <v>0</v>
      </c>
      <c r="E149" s="21">
        <v>9300</v>
      </c>
      <c r="F149" s="21">
        <v>13900</v>
      </c>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1"/>
      <c r="BB149" s="21"/>
      <c r="BC149" s="21"/>
      <c r="BD149" s="21"/>
      <c r="BE149" s="21"/>
      <c r="BF149" s="21"/>
      <c r="BG149" s="21"/>
      <c r="BH149" s="21"/>
      <c r="BI149" s="21"/>
      <c r="BJ149" s="21"/>
      <c r="BK149" s="21"/>
      <c r="BL149" s="21"/>
    </row>
    <row r="150" spans="1:254" ht="15.9" customHeight="1">
      <c r="A150" s="393" t="s">
        <v>294</v>
      </c>
      <c r="B150" s="46" t="s">
        <v>295</v>
      </c>
      <c r="C150" s="50">
        <f>_xll.RssMarket("4307","出来高")</f>
        <v>3127100</v>
      </c>
      <c r="D150" s="16">
        <f t="shared" si="2"/>
        <v>0</v>
      </c>
      <c r="E150" s="21">
        <v>3127100</v>
      </c>
      <c r="F150" s="21">
        <v>4646600</v>
      </c>
      <c r="G150" s="21">
        <v>3931600</v>
      </c>
      <c r="H150" s="21">
        <v>3778000</v>
      </c>
      <c r="I150" s="21">
        <v>7155600</v>
      </c>
      <c r="J150" s="21">
        <v>5114300</v>
      </c>
      <c r="K150" s="21">
        <v>4074000</v>
      </c>
      <c r="L150" s="21">
        <v>3545900</v>
      </c>
      <c r="M150" s="21">
        <v>2345900</v>
      </c>
      <c r="N150" s="21">
        <v>1476500</v>
      </c>
      <c r="O150" s="21">
        <v>1778100</v>
      </c>
      <c r="P150" s="21">
        <v>2623100</v>
      </c>
      <c r="Q150" s="21">
        <v>2365700</v>
      </c>
      <c r="R150" s="21">
        <v>3134600</v>
      </c>
      <c r="S150" s="21">
        <v>3545500</v>
      </c>
      <c r="T150" s="21">
        <v>2749100</v>
      </c>
      <c r="U150" s="21">
        <v>1698500</v>
      </c>
      <c r="V150" s="21">
        <v>2073400</v>
      </c>
      <c r="W150" s="21">
        <v>2117400</v>
      </c>
      <c r="X150" s="21">
        <v>2502700</v>
      </c>
      <c r="Y150" s="21">
        <v>2212700</v>
      </c>
      <c r="Z150" s="21">
        <v>2345700</v>
      </c>
      <c r="AA150" s="21">
        <v>2999000</v>
      </c>
      <c r="AB150" s="21">
        <v>3019000</v>
      </c>
      <c r="AC150" s="21">
        <v>1985600</v>
      </c>
      <c r="AD150" s="21">
        <v>2373400</v>
      </c>
      <c r="AE150" s="21">
        <v>3756500</v>
      </c>
      <c r="AF150" s="21">
        <v>2113200</v>
      </c>
      <c r="AG150" s="21">
        <v>2267200</v>
      </c>
      <c r="AH150" s="21">
        <v>2621200</v>
      </c>
      <c r="AI150" s="21">
        <v>2595600</v>
      </c>
      <c r="AJ150" s="21">
        <v>2276100</v>
      </c>
      <c r="AK150" s="21">
        <v>4234100</v>
      </c>
      <c r="AL150" s="21">
        <v>2364500</v>
      </c>
      <c r="AM150" s="21">
        <v>1885500</v>
      </c>
      <c r="AN150" s="21">
        <v>2822700</v>
      </c>
      <c r="AO150" s="21">
        <v>1767800</v>
      </c>
      <c r="AP150" s="21">
        <v>2122200</v>
      </c>
      <c r="AQ150" s="21">
        <v>1775500</v>
      </c>
      <c r="AR150" s="21">
        <v>2062200</v>
      </c>
      <c r="AS150" s="21">
        <v>1982800</v>
      </c>
      <c r="AT150" s="21">
        <v>1948500</v>
      </c>
      <c r="AU150" s="21">
        <v>2554500</v>
      </c>
      <c r="AV150" s="21">
        <v>2766400</v>
      </c>
      <c r="AW150" s="21">
        <v>3778000</v>
      </c>
      <c r="AX150" s="21">
        <v>8861600</v>
      </c>
      <c r="AY150" s="21">
        <v>4128500</v>
      </c>
      <c r="AZ150" s="21">
        <v>3351800</v>
      </c>
      <c r="BA150" s="21">
        <v>2705400</v>
      </c>
      <c r="BB150" s="21">
        <v>3120600</v>
      </c>
      <c r="BC150" s="21">
        <v>2921100</v>
      </c>
      <c r="BD150" s="21">
        <v>4761400</v>
      </c>
      <c r="BE150" s="21">
        <v>5627600</v>
      </c>
      <c r="BF150" s="21">
        <v>5692100</v>
      </c>
      <c r="BG150" s="21">
        <v>4777000</v>
      </c>
      <c r="BH150" s="21">
        <v>3878000</v>
      </c>
      <c r="BI150" s="21">
        <v>2250600</v>
      </c>
      <c r="BJ150" s="21">
        <v>3870100</v>
      </c>
      <c r="BK150" s="21">
        <v>4311900</v>
      </c>
      <c r="BL150" s="21">
        <v>4184000</v>
      </c>
      <c r="BM150" s="1">
        <v>5056300</v>
      </c>
      <c r="BN150" s="1">
        <v>3854800</v>
      </c>
      <c r="BO150" s="1">
        <v>6816100</v>
      </c>
      <c r="BP150" s="1">
        <v>8727100</v>
      </c>
      <c r="BQ150" s="1">
        <v>9837700</v>
      </c>
      <c r="BR150" s="1">
        <v>7613500</v>
      </c>
      <c r="BS150" s="1">
        <v>5256500</v>
      </c>
      <c r="BT150" s="1">
        <v>3795500</v>
      </c>
      <c r="BU150" s="1">
        <v>3355300</v>
      </c>
      <c r="BV150" s="1">
        <v>2862800</v>
      </c>
      <c r="BW150" s="1">
        <v>3725400</v>
      </c>
      <c r="BX150" s="1">
        <v>4892600</v>
      </c>
      <c r="BY150" s="1">
        <v>4884100</v>
      </c>
      <c r="BZ150" s="1">
        <v>3775900</v>
      </c>
    </row>
    <row r="151" spans="1:254" ht="15.9" customHeight="1">
      <c r="A151" s="393" t="s">
        <v>296</v>
      </c>
      <c r="B151" s="46" t="s">
        <v>297</v>
      </c>
      <c r="C151" s="50">
        <f>_xll.RssMarket("6516","出来高")</f>
        <v>175900</v>
      </c>
      <c r="D151" s="16">
        <f t="shared" si="2"/>
        <v>0</v>
      </c>
      <c r="E151" s="21">
        <v>175900</v>
      </c>
      <c r="F151" s="21">
        <v>237400</v>
      </c>
      <c r="G151" s="21">
        <v>115300</v>
      </c>
      <c r="H151" s="21">
        <v>165700</v>
      </c>
      <c r="I151" s="21">
        <v>461100</v>
      </c>
      <c r="J151" s="21">
        <v>976000</v>
      </c>
      <c r="K151" s="21">
        <v>217400</v>
      </c>
      <c r="L151" s="21">
        <v>209300</v>
      </c>
      <c r="M151" s="21">
        <v>152600</v>
      </c>
      <c r="N151" s="21"/>
      <c r="O151" s="21">
        <v>99400</v>
      </c>
      <c r="P151" s="21">
        <v>112800</v>
      </c>
      <c r="Q151" s="21">
        <v>153600</v>
      </c>
      <c r="R151" s="21">
        <v>159100</v>
      </c>
      <c r="S151" s="21">
        <v>100100</v>
      </c>
      <c r="T151" s="21">
        <v>134600</v>
      </c>
      <c r="U151" s="21">
        <v>81900</v>
      </c>
      <c r="V151" s="21">
        <v>97300</v>
      </c>
      <c r="W151" s="21">
        <v>101800</v>
      </c>
      <c r="X151" s="21">
        <v>97800</v>
      </c>
      <c r="Y151" s="21">
        <v>113800</v>
      </c>
      <c r="Z151" s="21">
        <v>91200</v>
      </c>
      <c r="AA151" s="21">
        <v>173800</v>
      </c>
      <c r="AB151" s="21">
        <v>187300</v>
      </c>
      <c r="AC151" s="21">
        <v>131600</v>
      </c>
      <c r="AD151" s="21">
        <v>172900</v>
      </c>
      <c r="AE151" s="21">
        <v>192100</v>
      </c>
      <c r="AF151" s="21">
        <v>132700</v>
      </c>
      <c r="AG151" s="21">
        <v>160000</v>
      </c>
      <c r="AH151" s="21">
        <v>191100</v>
      </c>
      <c r="AI151" s="21">
        <v>282600</v>
      </c>
      <c r="AJ151" s="21">
        <v>154200</v>
      </c>
      <c r="AK151" s="21">
        <v>243600</v>
      </c>
      <c r="AL151" s="21">
        <v>118700</v>
      </c>
      <c r="AM151" s="21">
        <v>107700</v>
      </c>
      <c r="AN151" s="21">
        <v>103500</v>
      </c>
      <c r="AO151" s="21">
        <v>88700</v>
      </c>
      <c r="AP151" s="21">
        <v>123000</v>
      </c>
      <c r="AQ151" s="21">
        <v>118400</v>
      </c>
      <c r="AR151" s="21">
        <v>119300</v>
      </c>
      <c r="AS151" s="21">
        <v>136500</v>
      </c>
      <c r="AT151" s="21">
        <v>112700</v>
      </c>
      <c r="AU151" s="21">
        <v>160100</v>
      </c>
      <c r="AV151" s="21">
        <v>257900</v>
      </c>
      <c r="AW151" s="21">
        <v>331500</v>
      </c>
      <c r="AX151" s="21">
        <v>209900</v>
      </c>
      <c r="AY151" s="21">
        <v>126600</v>
      </c>
      <c r="AZ151" s="21">
        <v>142000</v>
      </c>
      <c r="BA151" s="21">
        <v>181300</v>
      </c>
      <c r="BB151" s="21">
        <v>130800</v>
      </c>
      <c r="BC151" s="21">
        <v>187400</v>
      </c>
      <c r="BD151" s="21">
        <v>159500</v>
      </c>
      <c r="BE151" s="21">
        <v>219400</v>
      </c>
      <c r="BF151" s="21">
        <v>133000</v>
      </c>
      <c r="BG151" s="21">
        <v>185400</v>
      </c>
      <c r="BH151" s="21">
        <v>150200</v>
      </c>
      <c r="BI151" s="21">
        <v>100100</v>
      </c>
      <c r="BJ151" s="21">
        <v>214000</v>
      </c>
      <c r="BK151" s="21">
        <v>229500</v>
      </c>
      <c r="BL151" s="21">
        <v>184000</v>
      </c>
      <c r="BM151" s="1">
        <v>233700</v>
      </c>
      <c r="BN151" s="1">
        <v>169100</v>
      </c>
      <c r="BO151" s="1">
        <v>255300</v>
      </c>
      <c r="BP151" s="1">
        <v>801500</v>
      </c>
      <c r="BQ151" s="1">
        <v>437500</v>
      </c>
      <c r="BR151" s="1">
        <v>288200</v>
      </c>
      <c r="BS151" s="1">
        <v>150200</v>
      </c>
      <c r="BT151" s="1">
        <v>126900</v>
      </c>
      <c r="BU151" s="1">
        <v>54700</v>
      </c>
      <c r="BV151" s="1">
        <v>37200</v>
      </c>
      <c r="BW151" s="1">
        <v>49500</v>
      </c>
      <c r="BX151" s="1">
        <v>61400</v>
      </c>
      <c r="BY151" s="1">
        <v>72400</v>
      </c>
      <c r="BZ151" s="1">
        <v>110600</v>
      </c>
    </row>
    <row r="152" spans="1:254" ht="15.9" customHeight="1">
      <c r="A152" s="393" t="s">
        <v>298</v>
      </c>
      <c r="B152" s="46" t="s">
        <v>299</v>
      </c>
      <c r="C152" s="50">
        <f>_xll.RssMarket("7381","出来高")</f>
        <v>575800</v>
      </c>
      <c r="D152" s="16">
        <f t="shared" si="2"/>
        <v>0</v>
      </c>
      <c r="E152" s="21">
        <v>575800</v>
      </c>
      <c r="F152" s="21">
        <v>645200</v>
      </c>
      <c r="G152" s="21">
        <v>503600</v>
      </c>
      <c r="H152" s="21">
        <v>706300</v>
      </c>
      <c r="I152" s="21">
        <v>768800</v>
      </c>
      <c r="J152" s="21">
        <v>889500</v>
      </c>
      <c r="K152" s="21">
        <v>843400</v>
      </c>
      <c r="L152" s="21">
        <v>574900</v>
      </c>
      <c r="M152" s="21">
        <v>545500</v>
      </c>
      <c r="N152" s="21">
        <v>398400</v>
      </c>
      <c r="O152" s="21">
        <v>401900</v>
      </c>
      <c r="P152" s="21">
        <v>478300</v>
      </c>
      <c r="Q152" s="21">
        <v>680600</v>
      </c>
      <c r="R152" s="21">
        <v>932600</v>
      </c>
      <c r="S152" s="21">
        <v>594700</v>
      </c>
      <c r="T152" s="21">
        <v>600400</v>
      </c>
      <c r="U152" s="21">
        <v>297400</v>
      </c>
      <c r="V152" s="21">
        <v>492900</v>
      </c>
      <c r="W152" s="21">
        <v>418200</v>
      </c>
      <c r="X152" s="21">
        <v>500800</v>
      </c>
      <c r="Y152" s="21">
        <v>320000</v>
      </c>
      <c r="Z152" s="21">
        <v>291200</v>
      </c>
      <c r="AA152" s="21">
        <v>342800</v>
      </c>
      <c r="AB152" s="21">
        <v>359800</v>
      </c>
      <c r="AC152" s="21">
        <v>412500</v>
      </c>
      <c r="AD152" s="21">
        <v>657100</v>
      </c>
      <c r="AE152" s="21">
        <v>688600</v>
      </c>
      <c r="AF152" s="21">
        <v>437600</v>
      </c>
      <c r="AG152" s="21">
        <v>500500</v>
      </c>
      <c r="AH152" s="21">
        <v>334400</v>
      </c>
      <c r="AI152" s="21">
        <v>622000</v>
      </c>
      <c r="AJ152" s="21">
        <v>446000</v>
      </c>
      <c r="AK152" s="21">
        <v>683100</v>
      </c>
      <c r="AL152" s="21">
        <v>325900</v>
      </c>
      <c r="AM152" s="21">
        <v>444200</v>
      </c>
      <c r="AN152" s="21">
        <v>413400</v>
      </c>
      <c r="AO152" s="21">
        <v>390600</v>
      </c>
      <c r="AP152" s="21">
        <v>823600</v>
      </c>
      <c r="AQ152" s="21">
        <v>527000</v>
      </c>
      <c r="AR152" s="21">
        <v>659400</v>
      </c>
      <c r="AS152" s="21">
        <v>781900</v>
      </c>
      <c r="AT152" s="21">
        <v>356100</v>
      </c>
      <c r="AU152" s="21">
        <v>429300</v>
      </c>
      <c r="AV152" s="21">
        <v>822300</v>
      </c>
      <c r="AW152" s="21">
        <v>632000</v>
      </c>
      <c r="AX152" s="21">
        <v>513300</v>
      </c>
      <c r="AY152" s="21">
        <v>619200</v>
      </c>
      <c r="AZ152" s="21">
        <v>497400</v>
      </c>
      <c r="BA152" s="21">
        <v>436200</v>
      </c>
      <c r="BB152" s="21">
        <v>452400</v>
      </c>
      <c r="BC152" s="21">
        <v>898600</v>
      </c>
      <c r="BD152" s="21">
        <v>467800</v>
      </c>
      <c r="BE152" s="21">
        <v>758600</v>
      </c>
      <c r="BF152" s="21">
        <v>650700</v>
      </c>
      <c r="BG152" s="21">
        <v>826100</v>
      </c>
      <c r="BH152" s="21">
        <v>531000</v>
      </c>
      <c r="BI152" s="21">
        <v>391200</v>
      </c>
      <c r="BJ152" s="21">
        <v>479100</v>
      </c>
      <c r="BK152" s="21">
        <v>890100</v>
      </c>
      <c r="BL152" s="21">
        <v>947100</v>
      </c>
      <c r="BM152" s="1">
        <v>1553800</v>
      </c>
      <c r="BN152" s="1">
        <v>849900</v>
      </c>
      <c r="BO152" s="1">
        <v>937700</v>
      </c>
      <c r="BP152" s="1">
        <v>1000900</v>
      </c>
      <c r="BQ152" s="1">
        <v>443900</v>
      </c>
      <c r="BR152" s="1">
        <v>391300</v>
      </c>
      <c r="BS152" s="1">
        <v>441400</v>
      </c>
      <c r="BT152" s="1">
        <v>546100</v>
      </c>
      <c r="BU152" s="1">
        <v>485800</v>
      </c>
      <c r="BV152" s="1">
        <v>308200</v>
      </c>
      <c r="BW152" s="1">
        <v>433500</v>
      </c>
      <c r="BX152" s="1">
        <v>321900</v>
      </c>
      <c r="BY152" s="1">
        <v>337000</v>
      </c>
      <c r="BZ152" s="1">
        <v>256400</v>
      </c>
    </row>
    <row r="153" spans="1:254" ht="15.9" customHeight="1">
      <c r="A153" s="393" t="s">
        <v>300</v>
      </c>
      <c r="B153" s="46" t="s">
        <v>301</v>
      </c>
      <c r="C153" s="50">
        <f>_xll.RssMarket("4417","出来高")</f>
        <v>57300</v>
      </c>
      <c r="D153" s="16">
        <f t="shared" si="2"/>
        <v>0</v>
      </c>
      <c r="E153" s="21">
        <v>57300</v>
      </c>
      <c r="F153" s="21">
        <v>35900</v>
      </c>
      <c r="G153" s="21">
        <v>59100</v>
      </c>
      <c r="H153" s="21">
        <v>97600</v>
      </c>
      <c r="I153" s="21">
        <v>100100</v>
      </c>
      <c r="J153" s="21">
        <v>48900</v>
      </c>
      <c r="K153" s="21">
        <v>63700</v>
      </c>
      <c r="L153" s="21">
        <v>48800</v>
      </c>
      <c r="M153" s="21">
        <v>35300</v>
      </c>
      <c r="N153" s="21">
        <v>33000</v>
      </c>
      <c r="O153" s="21">
        <v>47100</v>
      </c>
      <c r="P153" s="21">
        <v>47400</v>
      </c>
      <c r="Q153" s="21">
        <v>59100</v>
      </c>
      <c r="R153" s="21">
        <v>117500</v>
      </c>
      <c r="S153" s="21">
        <v>61000</v>
      </c>
      <c r="T153" s="21">
        <v>93600</v>
      </c>
      <c r="U153" s="21">
        <v>35100</v>
      </c>
      <c r="V153" s="21">
        <v>31700</v>
      </c>
      <c r="W153" s="21">
        <v>26700</v>
      </c>
      <c r="X153" s="21">
        <v>61300</v>
      </c>
      <c r="Y153" s="21">
        <v>125300</v>
      </c>
      <c r="Z153" s="21">
        <v>83000</v>
      </c>
      <c r="AA153" s="21">
        <v>141800</v>
      </c>
      <c r="AB153" s="21">
        <v>178400</v>
      </c>
      <c r="AC153" s="21">
        <v>63300</v>
      </c>
      <c r="AD153" s="21">
        <v>170600</v>
      </c>
      <c r="AE153" s="21">
        <v>218000</v>
      </c>
      <c r="AF153" s="21">
        <v>60700</v>
      </c>
      <c r="AG153" s="21">
        <v>40400</v>
      </c>
      <c r="AH153" s="21">
        <v>29500</v>
      </c>
      <c r="AI153" s="21">
        <v>53700</v>
      </c>
      <c r="AJ153" s="21">
        <v>56500</v>
      </c>
      <c r="AK153" s="21">
        <v>40500</v>
      </c>
      <c r="AL153" s="21">
        <v>52100</v>
      </c>
      <c r="AM153" s="21">
        <v>49100</v>
      </c>
      <c r="AN153" s="21">
        <v>34600</v>
      </c>
      <c r="AO153" s="21">
        <v>65800</v>
      </c>
      <c r="AP153" s="21">
        <v>41600</v>
      </c>
      <c r="AQ153" s="21">
        <v>46300</v>
      </c>
      <c r="AR153" s="21">
        <v>37300</v>
      </c>
      <c r="AS153" s="21">
        <v>99100</v>
      </c>
      <c r="AT153" s="21">
        <v>63500</v>
      </c>
      <c r="AU153" s="21">
        <v>65800</v>
      </c>
      <c r="AV153" s="21">
        <v>116400</v>
      </c>
      <c r="AW153" s="21">
        <v>91900</v>
      </c>
      <c r="AX153" s="21">
        <v>169100</v>
      </c>
      <c r="AY153" s="21">
        <v>74100</v>
      </c>
      <c r="AZ153" s="21">
        <v>82900</v>
      </c>
      <c r="BA153" s="21">
        <v>118100</v>
      </c>
      <c r="BB153" s="21">
        <v>131000</v>
      </c>
      <c r="BC153" s="21">
        <v>158700</v>
      </c>
      <c r="BD153" s="21">
        <v>82900</v>
      </c>
      <c r="BE153" s="21">
        <v>68200</v>
      </c>
      <c r="BF153" s="21">
        <v>41200</v>
      </c>
      <c r="BG153" s="21">
        <v>63100</v>
      </c>
      <c r="BH153" s="21">
        <v>107000</v>
      </c>
      <c r="BI153" s="21">
        <v>85800</v>
      </c>
      <c r="BJ153" s="21">
        <v>157500</v>
      </c>
      <c r="BK153" s="21">
        <v>94100</v>
      </c>
      <c r="BL153" s="21">
        <v>171000</v>
      </c>
      <c r="BM153" s="1">
        <v>182400</v>
      </c>
      <c r="BN153" s="1">
        <v>450100</v>
      </c>
      <c r="BO153" s="1">
        <v>118600</v>
      </c>
      <c r="BP153" s="1">
        <v>75200</v>
      </c>
      <c r="BQ153" s="1">
        <v>57500</v>
      </c>
      <c r="BR153" s="1">
        <v>49100</v>
      </c>
      <c r="BS153" s="1">
        <v>59100</v>
      </c>
      <c r="BT153" s="1">
        <v>54600</v>
      </c>
      <c r="BU153" s="1">
        <v>62700</v>
      </c>
      <c r="BV153" s="1">
        <v>37700</v>
      </c>
      <c r="BW153" s="1">
        <v>67100</v>
      </c>
      <c r="BX153" s="1">
        <v>115500</v>
      </c>
      <c r="BY153" s="1">
        <v>101600</v>
      </c>
      <c r="BZ153" s="1">
        <v>116200</v>
      </c>
    </row>
    <row r="154" spans="1:254" ht="15.9" customHeight="1">
      <c r="A154" s="393" t="s">
        <v>302</v>
      </c>
      <c r="B154" s="46" t="s">
        <v>303</v>
      </c>
      <c r="C154" s="50">
        <f>_xll.RssMarket("6981","出来高")</f>
        <v>36253800</v>
      </c>
      <c r="D154" s="16">
        <f t="shared" si="2"/>
        <v>0</v>
      </c>
      <c r="E154" s="21">
        <v>36253800</v>
      </c>
      <c r="F154" s="21">
        <v>39073300</v>
      </c>
      <c r="G154" s="21">
        <v>27158200</v>
      </c>
      <c r="H154" s="21">
        <v>41411700</v>
      </c>
      <c r="I154" s="21">
        <v>2959500</v>
      </c>
      <c r="J154" s="21">
        <v>43111700</v>
      </c>
      <c r="K154" s="21">
        <v>47757600</v>
      </c>
      <c r="L154" s="21">
        <v>31110900</v>
      </c>
      <c r="M154" s="21">
        <v>20700300</v>
      </c>
      <c r="N154" s="21">
        <v>22737700</v>
      </c>
      <c r="O154" s="21">
        <v>28657300</v>
      </c>
      <c r="P154" s="21">
        <v>31932300</v>
      </c>
      <c r="Q154" s="21">
        <v>34312600</v>
      </c>
      <c r="R154" s="21">
        <v>43867400</v>
      </c>
      <c r="S154" s="21">
        <v>26579800</v>
      </c>
      <c r="T154" s="21">
        <v>37725100</v>
      </c>
      <c r="U154" s="21">
        <v>36642900</v>
      </c>
      <c r="V154" s="21">
        <v>32667200</v>
      </c>
      <c r="W154" s="21">
        <v>29495100</v>
      </c>
      <c r="X154" s="21">
        <v>41610500</v>
      </c>
      <c r="Y154" s="21">
        <v>43829700</v>
      </c>
      <c r="Z154" s="21">
        <v>20945500</v>
      </c>
      <c r="AA154" s="21">
        <v>24232500</v>
      </c>
      <c r="AB154" s="21">
        <v>21447000</v>
      </c>
      <c r="AC154" s="21">
        <v>27495200</v>
      </c>
      <c r="AD154" s="21">
        <v>22104900</v>
      </c>
      <c r="AE154" s="21">
        <v>21412600</v>
      </c>
      <c r="AF154" s="21">
        <v>21939600</v>
      </c>
      <c r="AG154" s="21">
        <v>21595200</v>
      </c>
      <c r="AH154" s="21">
        <v>23298600</v>
      </c>
      <c r="AI154" s="21">
        <v>27617500</v>
      </c>
      <c r="AJ154" s="21">
        <v>26689000</v>
      </c>
      <c r="AK154" s="21">
        <v>47359300</v>
      </c>
      <c r="AL154" s="21">
        <v>37329500</v>
      </c>
      <c r="AM154" s="21">
        <v>31784100</v>
      </c>
      <c r="AN154" s="21">
        <v>37241100</v>
      </c>
      <c r="AO154" s="21">
        <v>28135700</v>
      </c>
      <c r="AP154" s="21">
        <v>59245900</v>
      </c>
      <c r="AQ154" s="21">
        <v>42888400</v>
      </c>
      <c r="AR154" s="21">
        <v>53014000</v>
      </c>
      <c r="AS154" s="21">
        <v>47646200</v>
      </c>
      <c r="AT154" s="21">
        <v>34362300</v>
      </c>
      <c r="AU154" s="21">
        <v>25651100</v>
      </c>
      <c r="AV154" s="21">
        <v>40139600</v>
      </c>
      <c r="AW154" s="21">
        <v>50853300</v>
      </c>
      <c r="AX154" s="21">
        <v>75663400</v>
      </c>
      <c r="AY154" s="21">
        <v>46383100</v>
      </c>
      <c r="AZ154" s="21">
        <v>24621300</v>
      </c>
      <c r="BA154" s="21">
        <v>36000700</v>
      </c>
      <c r="BB154" s="21">
        <v>20915700</v>
      </c>
      <c r="BC154" s="21">
        <v>15850200</v>
      </c>
      <c r="BD154" s="21">
        <v>11512000</v>
      </c>
      <c r="BE154" s="21">
        <v>10166800</v>
      </c>
      <c r="BF154" s="21">
        <v>11319900</v>
      </c>
      <c r="BG154" s="21">
        <v>13040900</v>
      </c>
      <c r="BH154" s="21">
        <v>11802500</v>
      </c>
      <c r="BI154" s="21">
        <v>12340800</v>
      </c>
      <c r="BJ154" s="21">
        <v>12364000</v>
      </c>
      <c r="BK154" s="21">
        <v>14052700</v>
      </c>
      <c r="BL154" s="21">
        <v>15418500</v>
      </c>
      <c r="BM154" s="1">
        <v>24938000</v>
      </c>
      <c r="BN154" s="1">
        <v>18404600</v>
      </c>
      <c r="BO154" s="1">
        <v>30704800</v>
      </c>
      <c r="BP154" s="1">
        <v>10341000</v>
      </c>
      <c r="BQ154" s="1">
        <v>8040200</v>
      </c>
      <c r="BR154" s="1">
        <v>8895700</v>
      </c>
      <c r="BS154" s="1">
        <v>10948000</v>
      </c>
      <c r="BT154" s="1">
        <v>7750500</v>
      </c>
      <c r="BU154" s="1">
        <v>7758000</v>
      </c>
      <c r="BV154" s="1">
        <v>10084000</v>
      </c>
      <c r="BW154" s="1">
        <v>13592000</v>
      </c>
      <c r="BX154" s="1">
        <v>15342100</v>
      </c>
      <c r="BY154" s="1">
        <v>13431600</v>
      </c>
      <c r="BZ154" s="1">
        <v>9262400</v>
      </c>
    </row>
    <row r="155" spans="1:254" ht="15.9" customHeight="1">
      <c r="A155" s="393" t="s">
        <v>304</v>
      </c>
      <c r="B155" s="46" t="s">
        <v>305</v>
      </c>
      <c r="C155" s="50">
        <f>_xll.RssMarket("6754","出来高")</f>
        <v>2090900</v>
      </c>
      <c r="D155" s="16">
        <f t="shared" si="2"/>
        <v>0</v>
      </c>
      <c r="E155" s="21">
        <v>2090900</v>
      </c>
      <c r="F155" s="21">
        <v>2533600</v>
      </c>
      <c r="G155" s="21">
        <v>1700900</v>
      </c>
      <c r="H155" s="21">
        <v>2220600</v>
      </c>
      <c r="I155" s="21">
        <v>5054300</v>
      </c>
      <c r="J155" s="21">
        <v>2119400</v>
      </c>
      <c r="K155" s="21">
        <v>1753600</v>
      </c>
      <c r="L155" s="21">
        <v>965100</v>
      </c>
      <c r="M155" s="21">
        <v>1048900</v>
      </c>
      <c r="N155" s="21"/>
      <c r="O155" s="21">
        <v>1391000</v>
      </c>
      <c r="P155" s="21">
        <v>1543500</v>
      </c>
      <c r="Q155" s="21">
        <v>1850700</v>
      </c>
      <c r="R155" s="21">
        <v>1832400</v>
      </c>
      <c r="S155" s="21">
        <v>848000</v>
      </c>
      <c r="T155" s="21">
        <v>951700</v>
      </c>
      <c r="U155" s="21">
        <v>1069600</v>
      </c>
      <c r="V155" s="21">
        <v>1291700</v>
      </c>
      <c r="W155" s="21">
        <v>1106500</v>
      </c>
      <c r="X155" s="21">
        <v>1792400</v>
      </c>
      <c r="Y155" s="21">
        <v>1380800</v>
      </c>
      <c r="Z155" s="21">
        <v>2380700</v>
      </c>
      <c r="AA155" s="21">
        <v>1501900</v>
      </c>
      <c r="AB155" s="21">
        <v>1660200</v>
      </c>
      <c r="AC155" s="21">
        <v>1720300</v>
      </c>
      <c r="AD155" s="21">
        <v>1344800</v>
      </c>
      <c r="AE155" s="21">
        <v>1648700</v>
      </c>
      <c r="AF155" s="21">
        <v>1894900</v>
      </c>
      <c r="AG155" s="21">
        <v>1546800</v>
      </c>
      <c r="AH155" s="21">
        <v>1581500</v>
      </c>
      <c r="AI155" s="21">
        <v>2624000</v>
      </c>
      <c r="AJ155" s="21">
        <v>1201800</v>
      </c>
      <c r="AK155" s="21">
        <v>2632600</v>
      </c>
      <c r="AL155" s="21">
        <v>1535900</v>
      </c>
      <c r="AM155" s="21">
        <v>1091000</v>
      </c>
      <c r="AN155" s="21">
        <v>1671600</v>
      </c>
      <c r="AO155" s="21">
        <v>1432700</v>
      </c>
      <c r="AP155" s="21">
        <v>1649300</v>
      </c>
      <c r="AQ155" s="21">
        <v>1695500</v>
      </c>
      <c r="AR155" s="21">
        <v>3653900</v>
      </c>
      <c r="AS155" s="21">
        <v>2565500</v>
      </c>
      <c r="AT155" s="21">
        <v>1745400</v>
      </c>
      <c r="AU155" s="21">
        <v>1128900</v>
      </c>
      <c r="AV155" s="21">
        <v>1890400</v>
      </c>
      <c r="AW155" s="21">
        <v>1520800</v>
      </c>
      <c r="AX155" s="21">
        <v>1644800</v>
      </c>
      <c r="AY155" s="21">
        <v>1358700</v>
      </c>
      <c r="AZ155" s="21">
        <v>1749500</v>
      </c>
      <c r="BA155" s="21">
        <v>2323900</v>
      </c>
      <c r="BB155" s="21">
        <v>1844300</v>
      </c>
      <c r="BC155" s="21">
        <v>2474600</v>
      </c>
      <c r="BD155" s="21">
        <v>3148600</v>
      </c>
      <c r="BE155" s="21">
        <v>1429900</v>
      </c>
      <c r="BF155" s="21">
        <v>1634700</v>
      </c>
      <c r="BG155" s="21">
        <v>2351200</v>
      </c>
      <c r="BH155" s="21">
        <v>1471700</v>
      </c>
      <c r="BI155" s="21">
        <v>1283300</v>
      </c>
      <c r="BJ155" s="21">
        <v>2888600</v>
      </c>
      <c r="BK155" s="21">
        <v>1779800</v>
      </c>
      <c r="BL155" s="21">
        <v>1709900</v>
      </c>
      <c r="BM155" s="1">
        <v>3034800</v>
      </c>
      <c r="BN155" s="1">
        <v>2390200</v>
      </c>
      <c r="BO155" s="1">
        <v>3721200</v>
      </c>
      <c r="BP155" s="1">
        <v>7904000</v>
      </c>
      <c r="BQ155" s="1">
        <v>3154400</v>
      </c>
      <c r="BR155" s="1">
        <v>1272900</v>
      </c>
      <c r="BS155" s="1">
        <v>1155400</v>
      </c>
      <c r="BT155" s="1">
        <v>1462400</v>
      </c>
      <c r="BU155" s="1">
        <v>2052500</v>
      </c>
      <c r="BV155" s="1">
        <v>1078400</v>
      </c>
      <c r="BW155" s="1">
        <v>1136300</v>
      </c>
      <c r="BX155" s="1">
        <v>1050800</v>
      </c>
      <c r="BY155" s="1">
        <v>1286200</v>
      </c>
      <c r="BZ155" s="1">
        <v>867900</v>
      </c>
    </row>
    <row r="156" spans="1:254" ht="15.9" customHeight="1">
      <c r="A156" s="393" t="s">
        <v>306</v>
      </c>
      <c r="B156" s="46" t="s">
        <v>307</v>
      </c>
      <c r="C156" s="50">
        <f>_xll.RssMarket("4088","出来高")</f>
        <v>1440300</v>
      </c>
      <c r="D156" s="16">
        <f t="shared" si="2"/>
        <v>0</v>
      </c>
      <c r="E156" s="21">
        <v>1440300</v>
      </c>
      <c r="F156" s="21">
        <v>931200</v>
      </c>
      <c r="G156" s="21">
        <v>1952100</v>
      </c>
      <c r="H156" s="21">
        <v>2085100</v>
      </c>
      <c r="I156" s="21">
        <v>885800</v>
      </c>
      <c r="J156" s="21">
        <v>1064800</v>
      </c>
      <c r="K156" s="21">
        <v>1092900</v>
      </c>
      <c r="L156" s="21">
        <v>1316900</v>
      </c>
      <c r="M156" s="21">
        <v>655100</v>
      </c>
      <c r="N156" s="21">
        <v>847800</v>
      </c>
      <c r="O156" s="21">
        <v>920700</v>
      </c>
      <c r="P156" s="21">
        <v>665700</v>
      </c>
      <c r="Q156" s="21">
        <v>914400</v>
      </c>
      <c r="R156" s="21">
        <v>896400</v>
      </c>
      <c r="S156" s="21">
        <v>695300</v>
      </c>
      <c r="T156" s="21">
        <v>958700</v>
      </c>
      <c r="U156" s="21">
        <v>529500</v>
      </c>
      <c r="V156" s="21">
        <v>604700</v>
      </c>
      <c r="W156" s="21">
        <v>465900</v>
      </c>
      <c r="X156" s="21">
        <v>508400</v>
      </c>
      <c r="Y156" s="21">
        <v>1054800</v>
      </c>
      <c r="Z156" s="21">
        <v>656900</v>
      </c>
      <c r="AA156" s="21">
        <v>1453900</v>
      </c>
      <c r="AB156" s="21">
        <v>840700</v>
      </c>
      <c r="AC156" s="21">
        <v>1068100</v>
      </c>
      <c r="AD156" s="21">
        <v>1226500</v>
      </c>
      <c r="AE156" s="21">
        <v>853900</v>
      </c>
      <c r="AF156" s="21">
        <v>1372100</v>
      </c>
      <c r="AG156" s="21">
        <v>2449400</v>
      </c>
      <c r="AH156" s="21">
        <v>1791900</v>
      </c>
      <c r="AI156" s="21">
        <v>3912000</v>
      </c>
      <c r="AJ156" s="21">
        <v>561600</v>
      </c>
      <c r="AK156" s="21">
        <v>1086700</v>
      </c>
      <c r="AL156" s="21">
        <v>818300</v>
      </c>
      <c r="AM156" s="21">
        <v>546500</v>
      </c>
      <c r="AN156" s="21">
        <v>1084200</v>
      </c>
      <c r="AO156" s="21">
        <v>902100</v>
      </c>
      <c r="AP156" s="21">
        <v>964600</v>
      </c>
      <c r="AQ156" s="21">
        <v>829200</v>
      </c>
      <c r="AR156" s="21">
        <v>980100</v>
      </c>
      <c r="AS156" s="21">
        <v>947500</v>
      </c>
      <c r="AT156" s="21">
        <v>473500</v>
      </c>
      <c r="AU156" s="21">
        <v>907400</v>
      </c>
      <c r="AV156" s="21">
        <v>1205200</v>
      </c>
      <c r="AW156" s="21">
        <v>1213000</v>
      </c>
      <c r="AX156" s="21">
        <v>2391200</v>
      </c>
      <c r="AY156" s="21">
        <v>1683400</v>
      </c>
      <c r="AZ156" s="21">
        <v>2133200</v>
      </c>
      <c r="BA156" s="21">
        <v>1614600</v>
      </c>
      <c r="BB156" s="21">
        <v>1914400</v>
      </c>
      <c r="BC156" s="21">
        <v>1948500</v>
      </c>
      <c r="BD156" s="21">
        <v>3429800</v>
      </c>
      <c r="BE156" s="21">
        <v>6991900</v>
      </c>
      <c r="BF156" s="21">
        <v>3109400</v>
      </c>
      <c r="BG156" s="21">
        <v>3475800</v>
      </c>
      <c r="BH156" s="21">
        <v>2152400</v>
      </c>
      <c r="BI156" s="21">
        <v>2406600</v>
      </c>
      <c r="BJ156" s="21">
        <v>3269100</v>
      </c>
      <c r="BK156" s="21">
        <v>21611100</v>
      </c>
      <c r="BL156" s="21">
        <v>3841500</v>
      </c>
      <c r="BM156" s="1">
        <v>7184000</v>
      </c>
      <c r="BN156" s="1">
        <v>19920400</v>
      </c>
      <c r="BO156" s="1">
        <v>738100</v>
      </c>
      <c r="BP156" s="1">
        <v>501300</v>
      </c>
      <c r="BQ156" s="1">
        <v>517500</v>
      </c>
      <c r="BR156" s="1">
        <v>523000</v>
      </c>
      <c r="BS156" s="1">
        <v>592400</v>
      </c>
      <c r="BT156" s="1">
        <v>524800</v>
      </c>
      <c r="BU156" s="1">
        <v>572800</v>
      </c>
      <c r="BV156" s="1">
        <v>644500</v>
      </c>
      <c r="BW156" s="1">
        <v>621500</v>
      </c>
      <c r="BX156" s="1">
        <v>815500</v>
      </c>
      <c r="BY156" s="1">
        <v>1298000</v>
      </c>
      <c r="BZ156" s="1">
        <v>950200</v>
      </c>
    </row>
    <row r="157" spans="1:254" ht="15.9" customHeight="1">
      <c r="A157" s="393" t="s">
        <v>308</v>
      </c>
      <c r="B157" s="46" t="s">
        <v>309</v>
      </c>
      <c r="C157" s="50">
        <f>_xll.RssMarket("4091","出来高")</f>
        <v>440800</v>
      </c>
      <c r="D157" s="16">
        <f t="shared" si="2"/>
        <v>0</v>
      </c>
      <c r="E157" s="21">
        <v>440800</v>
      </c>
      <c r="F157" s="21">
        <v>492400</v>
      </c>
      <c r="G157" s="21">
        <v>478900</v>
      </c>
      <c r="H157" s="21">
        <v>618500</v>
      </c>
      <c r="I157" s="21">
        <v>822500</v>
      </c>
      <c r="J157" s="21">
        <v>773400</v>
      </c>
      <c r="K157" s="21">
        <v>1061000</v>
      </c>
      <c r="L157" s="21">
        <v>388300</v>
      </c>
      <c r="M157" s="21">
        <v>494000</v>
      </c>
      <c r="N157" s="21">
        <v>397100</v>
      </c>
      <c r="O157" s="21">
        <v>476900</v>
      </c>
      <c r="P157" s="21">
        <v>440500</v>
      </c>
      <c r="Q157" s="21">
        <v>685900</v>
      </c>
      <c r="R157" s="21">
        <v>518700</v>
      </c>
      <c r="S157" s="21">
        <v>434900</v>
      </c>
      <c r="T157" s="21">
        <v>506000</v>
      </c>
      <c r="U157" s="21">
        <v>279500</v>
      </c>
      <c r="V157" s="21">
        <v>476400</v>
      </c>
      <c r="W157" s="21">
        <v>467800</v>
      </c>
      <c r="X157" s="21">
        <v>322500</v>
      </c>
      <c r="Y157" s="21">
        <v>413700</v>
      </c>
      <c r="Z157" s="21">
        <v>706100</v>
      </c>
      <c r="AA157" s="21">
        <v>425300</v>
      </c>
      <c r="AB157" s="21">
        <v>780300</v>
      </c>
      <c r="AC157" s="21">
        <v>539500</v>
      </c>
      <c r="AD157" s="21">
        <v>680200</v>
      </c>
      <c r="AE157" s="21">
        <v>590700</v>
      </c>
      <c r="AF157" s="21">
        <v>753500</v>
      </c>
      <c r="AG157" s="21">
        <v>633200</v>
      </c>
      <c r="AH157" s="21">
        <v>502000</v>
      </c>
      <c r="AI157" s="21">
        <v>927600</v>
      </c>
      <c r="AJ157" s="21">
        <v>381400</v>
      </c>
      <c r="AK157" s="21">
        <v>537200</v>
      </c>
      <c r="AL157" s="21">
        <v>401300</v>
      </c>
      <c r="AM157" s="21">
        <v>375300</v>
      </c>
      <c r="AN157" s="21">
        <v>474400</v>
      </c>
      <c r="AO157" s="21">
        <v>563300</v>
      </c>
      <c r="AP157" s="21">
        <v>858200</v>
      </c>
      <c r="AQ157" s="21">
        <v>400400</v>
      </c>
      <c r="AR157" s="21">
        <v>511900</v>
      </c>
      <c r="AS157" s="21">
        <v>599300</v>
      </c>
      <c r="AT157" s="21">
        <v>483500</v>
      </c>
      <c r="AU157" s="21">
        <v>462800</v>
      </c>
      <c r="AV157" s="21">
        <v>653900</v>
      </c>
      <c r="AW157" s="21">
        <v>688000</v>
      </c>
      <c r="AX157" s="21">
        <v>1490700</v>
      </c>
      <c r="AY157" s="21">
        <v>633100</v>
      </c>
      <c r="AZ157" s="21">
        <v>517800</v>
      </c>
      <c r="BA157" s="21">
        <v>917300</v>
      </c>
      <c r="BB157" s="21">
        <v>975900</v>
      </c>
      <c r="BC157" s="21">
        <v>462000</v>
      </c>
      <c r="BD157" s="21">
        <v>605300</v>
      </c>
      <c r="BE157" s="21">
        <v>507300</v>
      </c>
      <c r="BF157" s="21">
        <v>776800</v>
      </c>
      <c r="BG157" s="21">
        <v>875100</v>
      </c>
      <c r="BH157" s="21">
        <v>865200</v>
      </c>
      <c r="BI157" s="21">
        <v>1059800</v>
      </c>
      <c r="BJ157" s="21">
        <v>2298400</v>
      </c>
      <c r="BK157" s="21">
        <v>2340700</v>
      </c>
      <c r="BL157" s="21">
        <v>895500</v>
      </c>
      <c r="BM157" s="1">
        <v>1653600</v>
      </c>
      <c r="BN157" s="1">
        <v>588800</v>
      </c>
      <c r="BO157" s="1">
        <v>892900</v>
      </c>
      <c r="BP157" s="1">
        <v>598700</v>
      </c>
      <c r="BQ157" s="1">
        <v>539400</v>
      </c>
      <c r="BR157" s="1">
        <v>711600</v>
      </c>
      <c r="BS157" s="1">
        <v>944000</v>
      </c>
      <c r="BT157" s="1">
        <v>535300</v>
      </c>
      <c r="BU157" s="1">
        <v>616600</v>
      </c>
      <c r="BV157" s="1">
        <v>499000</v>
      </c>
      <c r="BW157" s="1">
        <v>497600</v>
      </c>
      <c r="BX157" s="1">
        <v>537300</v>
      </c>
      <c r="BY157" s="1">
        <v>745000</v>
      </c>
      <c r="BZ157" s="1">
        <v>636600</v>
      </c>
    </row>
    <row r="158" spans="1:254" ht="15.9" customHeight="1">
      <c r="A158" s="393" t="s">
        <v>310</v>
      </c>
      <c r="B158" s="46" t="s">
        <v>311</v>
      </c>
      <c r="C158" s="50">
        <f>_xll.RssMarket("6857","出来高")</f>
        <v>7818100</v>
      </c>
      <c r="D158" s="16">
        <f t="shared" si="2"/>
        <v>0</v>
      </c>
      <c r="E158" s="21">
        <v>7818100</v>
      </c>
      <c r="F158" s="21">
        <v>9461000</v>
      </c>
      <c r="G158" s="21">
        <v>10006300</v>
      </c>
      <c r="H158" s="21">
        <v>9793800</v>
      </c>
      <c r="I158" s="21">
        <v>18131300</v>
      </c>
      <c r="J158" s="21">
        <v>16409100</v>
      </c>
      <c r="K158" s="21">
        <v>14777000</v>
      </c>
      <c r="L158" s="21">
        <v>10348000</v>
      </c>
      <c r="M158" s="21">
        <v>7722800</v>
      </c>
      <c r="N158" s="21">
        <v>8849300</v>
      </c>
      <c r="O158" s="21">
        <v>7493200</v>
      </c>
      <c r="P158" s="21">
        <v>9245200</v>
      </c>
      <c r="Q158" s="21">
        <v>10348200</v>
      </c>
      <c r="R158" s="21">
        <v>13442000</v>
      </c>
      <c r="S158" s="21">
        <v>7789700</v>
      </c>
      <c r="T158" s="21">
        <v>8956100</v>
      </c>
      <c r="U158" s="21">
        <v>6766700</v>
      </c>
      <c r="V158" s="21">
        <v>7330900</v>
      </c>
      <c r="W158" s="21">
        <v>8863600</v>
      </c>
      <c r="X158" s="21">
        <v>10152200</v>
      </c>
      <c r="Y158" s="21">
        <v>7803900</v>
      </c>
      <c r="Z158" s="21">
        <v>6649300</v>
      </c>
      <c r="AA158" s="21">
        <v>7931300</v>
      </c>
      <c r="AB158" s="21">
        <v>9115500</v>
      </c>
      <c r="AC158" s="21">
        <v>6204600</v>
      </c>
      <c r="AD158" s="21">
        <v>7822200</v>
      </c>
      <c r="AE158" s="21">
        <v>7261600</v>
      </c>
      <c r="AF158" s="21">
        <v>11040100</v>
      </c>
      <c r="AG158" s="21">
        <v>12921900</v>
      </c>
      <c r="AH158" s="21">
        <v>7695200</v>
      </c>
      <c r="AI158" s="21">
        <v>10134300</v>
      </c>
      <c r="AJ158" s="21">
        <v>5949900</v>
      </c>
      <c r="AK158" s="21">
        <v>9887400</v>
      </c>
      <c r="AL158" s="21">
        <v>7501800</v>
      </c>
      <c r="AM158" s="21">
        <v>7837500</v>
      </c>
      <c r="AN158" s="21">
        <v>12037500</v>
      </c>
      <c r="AO158" s="21">
        <v>9988500</v>
      </c>
      <c r="AP158" s="21">
        <v>10241000</v>
      </c>
      <c r="AQ158" s="21">
        <v>7237400</v>
      </c>
      <c r="AR158" s="21">
        <v>8322300</v>
      </c>
      <c r="AS158" s="21">
        <v>10067400</v>
      </c>
      <c r="AT158" s="21">
        <v>7157600</v>
      </c>
      <c r="AU158" s="21">
        <v>7606900</v>
      </c>
      <c r="AV158" s="21">
        <v>8806800</v>
      </c>
      <c r="AW158" s="21">
        <v>8218300</v>
      </c>
      <c r="AX158" s="21">
        <v>9408700</v>
      </c>
      <c r="AY158" s="21">
        <v>7244100</v>
      </c>
      <c r="AZ158" s="21">
        <v>9423800</v>
      </c>
      <c r="BA158" s="21">
        <v>7936500</v>
      </c>
      <c r="BB158" s="21">
        <v>7253600</v>
      </c>
      <c r="BC158" s="21">
        <v>9851300</v>
      </c>
      <c r="BD158" s="21">
        <v>8881700</v>
      </c>
      <c r="BE158" s="21">
        <v>9174200</v>
      </c>
      <c r="BF158" s="21">
        <v>8750700</v>
      </c>
      <c r="BG158" s="21">
        <v>9938400</v>
      </c>
      <c r="BH158" s="21">
        <v>9547900</v>
      </c>
      <c r="BI158" s="21">
        <v>5799400</v>
      </c>
      <c r="BJ158" s="21">
        <v>7971200</v>
      </c>
      <c r="BK158" s="21">
        <v>8727700</v>
      </c>
      <c r="BL158" s="21">
        <v>8963400</v>
      </c>
      <c r="BM158" s="1">
        <v>11005100</v>
      </c>
      <c r="BN158" s="1">
        <v>7144100</v>
      </c>
      <c r="BO158" s="1">
        <v>13127400</v>
      </c>
      <c r="BP158" s="1">
        <v>19894900</v>
      </c>
      <c r="BQ158" s="1">
        <v>18594000</v>
      </c>
      <c r="BR158" s="1">
        <v>15405700</v>
      </c>
      <c r="BS158" s="1">
        <v>10679900</v>
      </c>
      <c r="BT158" s="1">
        <v>9077500</v>
      </c>
      <c r="BU158" s="1">
        <v>6400300</v>
      </c>
      <c r="BV158" s="1">
        <v>7633600</v>
      </c>
      <c r="BW158" s="1">
        <v>9985300</v>
      </c>
      <c r="BX158" s="1">
        <v>10852600</v>
      </c>
      <c r="BY158" s="1">
        <v>12810000</v>
      </c>
      <c r="BZ158" s="1">
        <v>11460300</v>
      </c>
    </row>
    <row r="159" spans="1:254" ht="15.9" customHeight="1">
      <c r="A159" s="393" t="s">
        <v>312</v>
      </c>
      <c r="B159" s="46" t="s">
        <v>313</v>
      </c>
      <c r="C159" s="50">
        <f>_xll.RssMarket("3891","出来高")</f>
        <v>210000</v>
      </c>
      <c r="D159" s="16">
        <f t="shared" si="2"/>
        <v>0</v>
      </c>
      <c r="E159" s="21">
        <v>210000</v>
      </c>
      <c r="F159" s="21">
        <v>321000</v>
      </c>
      <c r="G159" s="21">
        <v>309400</v>
      </c>
      <c r="H159" s="21">
        <v>644300</v>
      </c>
      <c r="I159" s="21">
        <v>444000</v>
      </c>
      <c r="J159" s="21">
        <v>258300</v>
      </c>
      <c r="K159" s="21">
        <v>255300</v>
      </c>
      <c r="L159" s="21">
        <v>207300</v>
      </c>
      <c r="M159" s="21">
        <v>143500</v>
      </c>
      <c r="N159" s="21">
        <v>91000</v>
      </c>
      <c r="O159" s="21">
        <v>75600</v>
      </c>
      <c r="P159" s="21">
        <v>162000</v>
      </c>
      <c r="Q159" s="21">
        <v>162800</v>
      </c>
      <c r="R159" s="21">
        <v>187300</v>
      </c>
      <c r="S159" s="21">
        <v>140800</v>
      </c>
      <c r="T159" s="21">
        <v>139300</v>
      </c>
      <c r="U159" s="21">
        <v>192000</v>
      </c>
      <c r="V159" s="21">
        <v>161500</v>
      </c>
      <c r="W159" s="21">
        <v>238500</v>
      </c>
      <c r="X159" s="21">
        <v>184400</v>
      </c>
      <c r="Y159" s="21">
        <v>227900</v>
      </c>
      <c r="Z159" s="21">
        <v>148200</v>
      </c>
      <c r="AA159" s="21">
        <v>246500</v>
      </c>
      <c r="AB159" s="21">
        <v>216000</v>
      </c>
      <c r="AC159" s="21">
        <v>170000</v>
      </c>
      <c r="AD159" s="21">
        <v>128900</v>
      </c>
      <c r="AE159" s="21">
        <v>137500</v>
      </c>
      <c r="AF159" s="21">
        <v>167100</v>
      </c>
      <c r="AG159" s="21">
        <v>255200</v>
      </c>
      <c r="AH159" s="21">
        <v>281600</v>
      </c>
      <c r="AI159" s="21">
        <v>314300</v>
      </c>
      <c r="AJ159" s="21">
        <v>282900</v>
      </c>
      <c r="AK159" s="21">
        <v>231400</v>
      </c>
      <c r="AL159" s="21">
        <v>411800</v>
      </c>
      <c r="AM159" s="21">
        <v>456000</v>
      </c>
      <c r="AN159" s="21">
        <v>189000</v>
      </c>
      <c r="AO159" s="21">
        <v>381500</v>
      </c>
      <c r="AP159" s="21">
        <v>438800</v>
      </c>
      <c r="AQ159" s="21">
        <v>475900</v>
      </c>
      <c r="AR159" s="21">
        <v>640400</v>
      </c>
      <c r="AS159" s="21">
        <v>433600</v>
      </c>
      <c r="AT159" s="21">
        <v>372500</v>
      </c>
      <c r="AU159" s="21">
        <v>192700</v>
      </c>
      <c r="AV159" s="21">
        <v>394200</v>
      </c>
      <c r="AW159" s="21">
        <v>359800</v>
      </c>
      <c r="AX159" s="21">
        <v>206700</v>
      </c>
      <c r="AY159" s="21">
        <v>192300</v>
      </c>
      <c r="AZ159" s="21">
        <v>184700</v>
      </c>
      <c r="BA159" s="21">
        <v>249700</v>
      </c>
      <c r="BB159" s="21">
        <v>235500</v>
      </c>
      <c r="BC159" s="21">
        <v>161200</v>
      </c>
      <c r="BD159" s="21">
        <v>208200</v>
      </c>
      <c r="BE159" s="21">
        <v>148700</v>
      </c>
      <c r="BF159" s="21">
        <v>164600</v>
      </c>
      <c r="BG159" s="21">
        <v>118600</v>
      </c>
      <c r="BH159" s="21">
        <v>99100</v>
      </c>
      <c r="BI159" s="21">
        <v>108600</v>
      </c>
      <c r="BJ159" s="21">
        <v>97600</v>
      </c>
      <c r="BK159" s="21">
        <v>119000</v>
      </c>
      <c r="BL159" s="21">
        <v>160400</v>
      </c>
      <c r="BM159" s="1">
        <v>197500</v>
      </c>
      <c r="BN159" s="1">
        <v>169200</v>
      </c>
      <c r="BO159" s="1">
        <v>242400</v>
      </c>
      <c r="BP159" s="1">
        <v>605400</v>
      </c>
      <c r="BQ159" s="1">
        <v>484000</v>
      </c>
      <c r="BR159" s="1">
        <v>333700</v>
      </c>
      <c r="BS159" s="1">
        <v>127500</v>
      </c>
      <c r="BT159" s="1">
        <v>156400</v>
      </c>
      <c r="BU159" s="1">
        <v>182500</v>
      </c>
      <c r="BV159" s="1">
        <v>117200</v>
      </c>
      <c r="BW159" s="1">
        <v>54600</v>
      </c>
      <c r="BX159" s="1">
        <v>98100</v>
      </c>
      <c r="BY159" s="1">
        <v>143900</v>
      </c>
      <c r="BZ159" s="1">
        <v>86400</v>
      </c>
    </row>
    <row r="160" spans="1:254" ht="15.9" customHeight="1">
      <c r="A160" s="393" t="s">
        <v>314</v>
      </c>
      <c r="B160" s="46" t="s">
        <v>315</v>
      </c>
      <c r="C160" s="50">
        <f>_xll.RssMarket("4373","出来高")</f>
        <v>1123900</v>
      </c>
      <c r="D160" s="16">
        <f t="shared" si="2"/>
        <v>0</v>
      </c>
      <c r="E160" s="21">
        <v>1123900</v>
      </c>
      <c r="F160" s="21">
        <v>1188400</v>
      </c>
      <c r="G160" s="21">
        <v>954500</v>
      </c>
      <c r="H160" s="21">
        <v>1055000</v>
      </c>
      <c r="I160" s="21">
        <v>1555800</v>
      </c>
      <c r="J160" s="21">
        <v>978300</v>
      </c>
      <c r="K160" s="21">
        <v>1420700</v>
      </c>
      <c r="L160" s="21">
        <v>2659300</v>
      </c>
      <c r="M160" s="21">
        <v>1856900</v>
      </c>
      <c r="N160" s="21">
        <v>1082700</v>
      </c>
      <c r="O160" s="21">
        <v>1042000</v>
      </c>
      <c r="P160" s="21">
        <v>1161900</v>
      </c>
      <c r="Q160" s="21">
        <v>987500</v>
      </c>
      <c r="R160" s="21">
        <v>1410100</v>
      </c>
      <c r="S160" s="21">
        <v>630700</v>
      </c>
      <c r="T160" s="21">
        <v>764200</v>
      </c>
      <c r="U160" s="21">
        <v>586100</v>
      </c>
      <c r="V160" s="21">
        <v>613400</v>
      </c>
      <c r="W160" s="21">
        <v>794700</v>
      </c>
      <c r="X160" s="21">
        <v>1565600</v>
      </c>
      <c r="Y160" s="21">
        <v>1742700</v>
      </c>
      <c r="Z160" s="21">
        <v>855700</v>
      </c>
      <c r="AA160" s="21">
        <v>1022100</v>
      </c>
      <c r="AB160" s="21">
        <v>985800</v>
      </c>
      <c r="AC160" s="21">
        <v>701000</v>
      </c>
      <c r="AD160" s="21">
        <v>794100</v>
      </c>
      <c r="AE160" s="21">
        <v>1125200</v>
      </c>
      <c r="AF160" s="21">
        <v>801200</v>
      </c>
      <c r="AG160" s="21">
        <v>566900</v>
      </c>
      <c r="AH160" s="21">
        <v>1178000</v>
      </c>
      <c r="AI160" s="21">
        <v>1163000</v>
      </c>
      <c r="AJ160" s="21">
        <v>1111300</v>
      </c>
      <c r="AK160" s="21">
        <v>1647600</v>
      </c>
      <c r="AL160" s="21">
        <v>829300</v>
      </c>
      <c r="AM160" s="21">
        <v>621300</v>
      </c>
      <c r="AN160" s="21">
        <v>829400</v>
      </c>
      <c r="AO160" s="21">
        <v>1172100</v>
      </c>
      <c r="AP160" s="21">
        <v>1476300</v>
      </c>
      <c r="AQ160" s="21">
        <v>763400</v>
      </c>
      <c r="AR160" s="21">
        <v>912900</v>
      </c>
      <c r="AS160" s="21">
        <v>494900</v>
      </c>
      <c r="AT160" s="21">
        <v>656700</v>
      </c>
      <c r="AU160" s="21">
        <v>1032700</v>
      </c>
      <c r="AV160" s="21">
        <v>1030100</v>
      </c>
      <c r="AW160" s="21">
        <v>1269400</v>
      </c>
      <c r="AX160" s="21">
        <v>1583600</v>
      </c>
      <c r="AY160" s="21">
        <v>1088100</v>
      </c>
      <c r="AZ160" s="21">
        <v>1056800</v>
      </c>
      <c r="BA160" s="21">
        <v>1059800</v>
      </c>
      <c r="BB160" s="21">
        <v>1295100</v>
      </c>
      <c r="BC160" s="21">
        <v>1180500</v>
      </c>
      <c r="BD160" s="21">
        <v>1409700</v>
      </c>
      <c r="BE160" s="21">
        <v>1908400</v>
      </c>
      <c r="BF160" s="21">
        <v>523300</v>
      </c>
      <c r="BG160" s="21">
        <v>752200</v>
      </c>
      <c r="BH160" s="21">
        <v>666900</v>
      </c>
      <c r="BI160" s="21">
        <v>735600</v>
      </c>
      <c r="BJ160" s="21">
        <v>888600</v>
      </c>
      <c r="BK160" s="21">
        <v>870200</v>
      </c>
      <c r="BL160" s="21">
        <v>855200</v>
      </c>
      <c r="BM160" s="1">
        <v>1354000</v>
      </c>
      <c r="BN160" s="1">
        <v>2461000</v>
      </c>
      <c r="BO160" s="1">
        <v>1172800</v>
      </c>
      <c r="BP160" s="1">
        <v>624100</v>
      </c>
      <c r="BQ160" s="1">
        <v>1467300</v>
      </c>
      <c r="BR160" s="1">
        <v>480400</v>
      </c>
      <c r="BS160" s="1">
        <v>656600</v>
      </c>
      <c r="BT160" s="1">
        <v>802600</v>
      </c>
      <c r="BU160" s="1">
        <v>650400</v>
      </c>
      <c r="BV160" s="1">
        <v>813200</v>
      </c>
      <c r="BW160" s="1">
        <v>1412700</v>
      </c>
      <c r="BX160" s="1">
        <v>770500</v>
      </c>
      <c r="BY160" s="1">
        <v>1466100</v>
      </c>
      <c r="BZ160" s="1">
        <v>574800</v>
      </c>
    </row>
    <row r="161" spans="1:254" ht="15.9" customHeight="1">
      <c r="A161" s="393" t="s">
        <v>316</v>
      </c>
      <c r="B161" s="46" t="s">
        <v>317</v>
      </c>
      <c r="C161" s="50">
        <f>_xll.RssMarket("8892","出来高")</f>
        <v>104000</v>
      </c>
      <c r="D161" s="16">
        <f t="shared" si="2"/>
        <v>0</v>
      </c>
      <c r="E161" s="21">
        <v>104000</v>
      </c>
      <c r="F161" s="21">
        <v>176700</v>
      </c>
      <c r="G161" s="21">
        <v>183500</v>
      </c>
      <c r="H161" s="21">
        <v>364000</v>
      </c>
      <c r="I161" s="21">
        <v>322900</v>
      </c>
      <c r="J161" s="21">
        <v>305300</v>
      </c>
      <c r="K161" s="21">
        <v>546000</v>
      </c>
      <c r="L161" s="21">
        <v>231500</v>
      </c>
      <c r="M161" s="21">
        <v>227700</v>
      </c>
      <c r="N161" s="21"/>
      <c r="O161" s="21">
        <v>188800</v>
      </c>
      <c r="P161" s="21">
        <v>160100</v>
      </c>
      <c r="Q161" s="21">
        <v>152500</v>
      </c>
      <c r="R161" s="21">
        <v>151400</v>
      </c>
      <c r="S161" s="21">
        <v>110500</v>
      </c>
      <c r="T161" s="21">
        <v>130000</v>
      </c>
      <c r="U161" s="21">
        <v>135000</v>
      </c>
      <c r="V161" s="21">
        <v>138100</v>
      </c>
      <c r="W161" s="21">
        <v>125200</v>
      </c>
      <c r="X161" s="21">
        <v>98700</v>
      </c>
      <c r="Y161" s="21">
        <v>127200</v>
      </c>
      <c r="Z161" s="21">
        <v>104000</v>
      </c>
      <c r="AA161" s="21">
        <v>124700</v>
      </c>
      <c r="AB161" s="21">
        <v>127700</v>
      </c>
      <c r="AC161" s="21">
        <v>122100</v>
      </c>
      <c r="AD161" s="21">
        <v>200200</v>
      </c>
      <c r="AE161" s="21">
        <v>280500</v>
      </c>
      <c r="AF161" s="21">
        <v>138300</v>
      </c>
      <c r="AG161" s="21">
        <v>104000</v>
      </c>
      <c r="AH161" s="21">
        <v>157200</v>
      </c>
      <c r="AI161" s="21">
        <v>189900</v>
      </c>
      <c r="AJ161" s="21">
        <v>195300</v>
      </c>
      <c r="AK161" s="21">
        <v>200500</v>
      </c>
      <c r="AL161" s="21">
        <v>143900</v>
      </c>
      <c r="AM161" s="21">
        <v>181300</v>
      </c>
      <c r="AN161" s="21">
        <v>168800</v>
      </c>
      <c r="AO161" s="21">
        <v>116800</v>
      </c>
      <c r="AP161" s="21">
        <v>231200</v>
      </c>
      <c r="AQ161" s="21">
        <v>144500</v>
      </c>
      <c r="AR161" s="21">
        <v>148900</v>
      </c>
      <c r="AS161" s="21">
        <v>165000</v>
      </c>
      <c r="AT161" s="21">
        <v>153800</v>
      </c>
      <c r="AU161" s="21">
        <v>157900</v>
      </c>
      <c r="AV161" s="21">
        <v>159400</v>
      </c>
      <c r="AW161" s="21">
        <v>164100</v>
      </c>
      <c r="AX161" s="21">
        <v>286700</v>
      </c>
      <c r="AY161" s="21">
        <v>216400</v>
      </c>
      <c r="AZ161" s="21">
        <v>157100</v>
      </c>
      <c r="BA161" s="21">
        <v>207500</v>
      </c>
      <c r="BB161" s="21">
        <v>209200</v>
      </c>
      <c r="BC161" s="21">
        <v>216700</v>
      </c>
      <c r="BD161" s="21">
        <v>310200</v>
      </c>
      <c r="BE161" s="21">
        <v>295700</v>
      </c>
      <c r="BF161" s="21">
        <v>338200</v>
      </c>
      <c r="BG161" s="21">
        <v>246400</v>
      </c>
      <c r="BH161" s="21">
        <v>220200</v>
      </c>
      <c r="BI161" s="21">
        <v>172500</v>
      </c>
      <c r="BJ161" s="21">
        <v>194800</v>
      </c>
      <c r="BK161" s="21">
        <v>168500</v>
      </c>
      <c r="BL161" s="21">
        <v>170200</v>
      </c>
      <c r="BM161" s="1">
        <v>253100</v>
      </c>
      <c r="BN161" s="1">
        <v>277400</v>
      </c>
      <c r="BO161" s="1">
        <v>292800</v>
      </c>
      <c r="BP161" s="1">
        <v>397900</v>
      </c>
      <c r="BQ161" s="1">
        <v>1087000</v>
      </c>
      <c r="BR161" s="1">
        <v>241900</v>
      </c>
      <c r="BS161" s="1">
        <v>144100</v>
      </c>
      <c r="BT161" s="1">
        <v>164900</v>
      </c>
      <c r="BU161" s="1">
        <v>283000</v>
      </c>
      <c r="BV161" s="1">
        <v>219700</v>
      </c>
      <c r="BW161" s="1">
        <v>121200</v>
      </c>
      <c r="BX161" s="1">
        <v>135100</v>
      </c>
      <c r="BY161" s="1">
        <v>162000</v>
      </c>
      <c r="BZ161" s="1">
        <v>192700</v>
      </c>
    </row>
    <row r="162" spans="1:254" ht="15.9" customHeight="1">
      <c r="A162" s="393" t="s">
        <v>318</v>
      </c>
      <c r="B162" s="46" t="s">
        <v>319</v>
      </c>
      <c r="C162" s="50">
        <f>_xll.RssMarket("9687","出来高")</f>
        <v>500</v>
      </c>
      <c r="D162" s="16">
        <f t="shared" si="2"/>
        <v>0</v>
      </c>
      <c r="E162" s="21">
        <v>500</v>
      </c>
      <c r="F162" s="21">
        <v>300</v>
      </c>
      <c r="G162" s="21">
        <v>1400</v>
      </c>
      <c r="H162" s="21">
        <v>1200</v>
      </c>
      <c r="I162" s="21">
        <v>500</v>
      </c>
      <c r="J162" s="21">
        <v>900</v>
      </c>
      <c r="K162" s="21">
        <v>2200</v>
      </c>
      <c r="L162" s="21">
        <v>800</v>
      </c>
      <c r="M162" s="21">
        <v>5100</v>
      </c>
      <c r="N162" s="21"/>
      <c r="O162" s="21">
        <v>2600</v>
      </c>
      <c r="P162" s="21">
        <v>800</v>
      </c>
      <c r="Q162" s="21">
        <v>1400</v>
      </c>
      <c r="R162" s="21">
        <v>3400</v>
      </c>
      <c r="S162" s="21">
        <v>1600</v>
      </c>
      <c r="T162" s="21">
        <v>1100</v>
      </c>
      <c r="U162" s="21">
        <v>1400</v>
      </c>
      <c r="V162" s="21">
        <v>200</v>
      </c>
      <c r="W162" s="21">
        <v>400</v>
      </c>
      <c r="X162" s="21">
        <v>900</v>
      </c>
      <c r="Y162" s="21">
        <v>1300</v>
      </c>
      <c r="Z162" s="21">
        <v>900</v>
      </c>
      <c r="AA162" s="21">
        <v>300</v>
      </c>
      <c r="AB162" s="21">
        <v>600</v>
      </c>
      <c r="AC162" s="21">
        <v>700</v>
      </c>
      <c r="AD162" s="21">
        <v>300</v>
      </c>
      <c r="AE162" s="21">
        <v>700</v>
      </c>
      <c r="AF162" s="21">
        <v>2400</v>
      </c>
      <c r="AG162" s="21">
        <v>1700</v>
      </c>
      <c r="AH162" s="21">
        <v>1300</v>
      </c>
      <c r="AI162" s="21">
        <v>1900</v>
      </c>
      <c r="AJ162" s="21">
        <v>2000</v>
      </c>
      <c r="AK162" s="21">
        <v>2100</v>
      </c>
      <c r="AL162" s="21">
        <v>1500</v>
      </c>
      <c r="AM162" s="21">
        <v>1700</v>
      </c>
      <c r="AN162" s="21">
        <v>3800</v>
      </c>
      <c r="AO162" s="21">
        <v>1900</v>
      </c>
      <c r="AP162" s="21">
        <v>600</v>
      </c>
      <c r="AQ162" s="21">
        <v>800</v>
      </c>
      <c r="AR162" s="21">
        <v>600</v>
      </c>
      <c r="AS162" s="21">
        <v>1800</v>
      </c>
      <c r="AT162" s="21">
        <v>300</v>
      </c>
      <c r="AU162" s="21">
        <v>700</v>
      </c>
      <c r="AV162" s="21">
        <v>300</v>
      </c>
      <c r="AW162" s="21">
        <v>1200</v>
      </c>
      <c r="AX162" s="21">
        <v>2100</v>
      </c>
      <c r="AY162" s="21">
        <v>3400</v>
      </c>
      <c r="AZ162" s="21">
        <v>1900</v>
      </c>
      <c r="BA162" s="21">
        <v>3100</v>
      </c>
      <c r="BB162" s="21">
        <v>1600</v>
      </c>
      <c r="BC162" s="21">
        <v>2800</v>
      </c>
      <c r="BD162" s="21">
        <v>1900</v>
      </c>
      <c r="BE162" s="21">
        <v>1600</v>
      </c>
      <c r="BF162" s="21">
        <v>2200</v>
      </c>
      <c r="BG162" s="21">
        <v>2500</v>
      </c>
      <c r="BH162" s="21">
        <v>1700</v>
      </c>
      <c r="BI162" s="21">
        <v>1100</v>
      </c>
      <c r="BJ162" s="21">
        <v>1000</v>
      </c>
      <c r="BK162" s="21">
        <v>1500</v>
      </c>
      <c r="BL162" s="21">
        <v>1700</v>
      </c>
      <c r="BM162" s="1">
        <v>2100</v>
      </c>
      <c r="BN162" s="1">
        <v>8000</v>
      </c>
      <c r="BO162" s="1">
        <v>17200</v>
      </c>
      <c r="BP162" s="1">
        <v>1500</v>
      </c>
      <c r="BQ162" s="1">
        <v>1900</v>
      </c>
      <c r="BR162" s="1">
        <v>4200</v>
      </c>
      <c r="BS162" s="1">
        <v>1600</v>
      </c>
      <c r="BT162" s="1">
        <v>1900</v>
      </c>
      <c r="BU162" s="1">
        <v>900</v>
      </c>
      <c r="BV162" s="1">
        <v>700</v>
      </c>
      <c r="BW162" s="1">
        <v>300</v>
      </c>
      <c r="BX162" s="1">
        <v>1200</v>
      </c>
      <c r="BY162" s="1">
        <v>4900</v>
      </c>
      <c r="BZ162" s="1">
        <v>4500</v>
      </c>
    </row>
    <row r="163" spans="1:254" ht="15.9" customHeight="1">
      <c r="A163" s="393" t="s">
        <v>320</v>
      </c>
      <c r="B163" s="46" t="s">
        <v>321</v>
      </c>
      <c r="C163" s="50">
        <f>_xll.RssMarket("1930","出来高")</f>
        <v>59900</v>
      </c>
      <c r="D163" s="16">
        <f t="shared" si="2"/>
        <v>0</v>
      </c>
      <c r="E163" s="21">
        <v>59900</v>
      </c>
      <c r="F163" s="21">
        <v>90500</v>
      </c>
      <c r="G163" s="21">
        <v>68800</v>
      </c>
      <c r="H163" s="21">
        <v>155600</v>
      </c>
      <c r="I163" s="21">
        <v>119600</v>
      </c>
      <c r="J163" s="21">
        <v>197600</v>
      </c>
      <c r="K163" s="21">
        <v>271600</v>
      </c>
      <c r="L163" s="21">
        <v>931500</v>
      </c>
      <c r="M163" s="21">
        <v>90800</v>
      </c>
      <c r="N163" s="21">
        <v>45800</v>
      </c>
      <c r="O163" s="21">
        <v>39200</v>
      </c>
      <c r="P163" s="21">
        <v>49200</v>
      </c>
      <c r="Q163" s="21">
        <v>94400</v>
      </c>
      <c r="R163" s="21">
        <v>86700</v>
      </c>
      <c r="S163" s="21">
        <v>49200</v>
      </c>
      <c r="T163" s="21">
        <v>74200</v>
      </c>
      <c r="U163" s="21">
        <v>56400</v>
      </c>
      <c r="V163" s="21">
        <v>35400</v>
      </c>
      <c r="W163" s="21">
        <v>41300</v>
      </c>
      <c r="X163" s="21">
        <v>43100</v>
      </c>
      <c r="Y163" s="21">
        <v>42700</v>
      </c>
      <c r="Z163" s="21">
        <v>34000</v>
      </c>
      <c r="AA163" s="21">
        <v>40900</v>
      </c>
      <c r="AB163" s="21">
        <v>38300</v>
      </c>
      <c r="AC163" s="21">
        <v>41300</v>
      </c>
      <c r="AD163" s="21">
        <v>35900</v>
      </c>
      <c r="AE163" s="21">
        <v>56600</v>
      </c>
      <c r="AF163" s="21">
        <v>36500</v>
      </c>
      <c r="AG163" s="21">
        <v>48900</v>
      </c>
      <c r="AH163" s="21">
        <v>68300</v>
      </c>
      <c r="AI163" s="21">
        <v>62200</v>
      </c>
      <c r="AJ163" s="21">
        <v>106300</v>
      </c>
      <c r="AK163" s="21">
        <v>57200</v>
      </c>
      <c r="AL163" s="21">
        <v>64400</v>
      </c>
      <c r="AM163" s="21">
        <v>65400</v>
      </c>
      <c r="AN163" s="21">
        <v>52700</v>
      </c>
      <c r="AO163" s="21">
        <v>60700</v>
      </c>
      <c r="AP163" s="21">
        <v>89200</v>
      </c>
      <c r="AQ163" s="21">
        <v>68400</v>
      </c>
      <c r="AR163" s="21">
        <v>44000</v>
      </c>
      <c r="AS163" s="21">
        <v>65000</v>
      </c>
      <c r="AT163" s="21">
        <v>75100</v>
      </c>
      <c r="AU163" s="21">
        <v>40900</v>
      </c>
      <c r="AV163" s="21">
        <v>56600</v>
      </c>
      <c r="AW163" s="21">
        <v>111100</v>
      </c>
      <c r="AX163" s="21">
        <v>53400</v>
      </c>
      <c r="AY163" s="21">
        <v>60000</v>
      </c>
      <c r="AZ163" s="21">
        <v>67300</v>
      </c>
      <c r="BA163" s="21">
        <v>86000</v>
      </c>
      <c r="BB163" s="21">
        <v>36200</v>
      </c>
      <c r="BC163" s="21">
        <v>46500</v>
      </c>
      <c r="BD163" s="21">
        <v>89600</v>
      </c>
      <c r="BE163" s="21">
        <v>81200</v>
      </c>
      <c r="BF163" s="21">
        <v>94500</v>
      </c>
      <c r="BG163" s="21">
        <v>48800</v>
      </c>
      <c r="BH163" s="21">
        <v>51000</v>
      </c>
      <c r="BI163" s="21">
        <v>62100</v>
      </c>
      <c r="BJ163" s="21">
        <v>119500</v>
      </c>
      <c r="BK163" s="21">
        <v>95500</v>
      </c>
      <c r="BL163" s="21">
        <v>84300</v>
      </c>
      <c r="BM163" s="1">
        <v>164500</v>
      </c>
      <c r="BN163" s="1">
        <v>265700</v>
      </c>
      <c r="BO163" s="1">
        <v>1081300</v>
      </c>
      <c r="BP163" s="1">
        <v>401700</v>
      </c>
      <c r="BQ163" s="1">
        <v>90000</v>
      </c>
      <c r="BR163" s="1">
        <v>62100</v>
      </c>
      <c r="BS163" s="1">
        <v>45900</v>
      </c>
      <c r="BT163" s="1">
        <v>60400</v>
      </c>
      <c r="BU163" s="1">
        <v>52900</v>
      </c>
      <c r="BV163" s="1">
        <v>29700</v>
      </c>
      <c r="BW163" s="1">
        <v>27600</v>
      </c>
      <c r="BX163" s="1">
        <v>44700</v>
      </c>
      <c r="BY163" s="1">
        <v>68700</v>
      </c>
      <c r="BZ163" s="1">
        <v>46000</v>
      </c>
    </row>
    <row r="164" spans="1:254" ht="15.9" customHeight="1">
      <c r="A164" s="393" t="s">
        <v>322</v>
      </c>
      <c r="B164" s="46" t="s">
        <v>323</v>
      </c>
      <c r="C164" s="50">
        <f>_xll.RssMarket("8704","出来高")</f>
        <v>48600</v>
      </c>
      <c r="D164" s="16">
        <f t="shared" si="2"/>
        <v>0</v>
      </c>
      <c r="E164" s="21">
        <v>48600</v>
      </c>
      <c r="F164" s="21">
        <v>70700</v>
      </c>
      <c r="G164" s="21">
        <v>102900</v>
      </c>
      <c r="H164" s="21">
        <v>284800</v>
      </c>
      <c r="I164" s="21">
        <v>137900</v>
      </c>
      <c r="J164" s="21">
        <v>100900</v>
      </c>
      <c r="K164" s="21">
        <v>98000</v>
      </c>
      <c r="L164" s="21">
        <v>82800</v>
      </c>
      <c r="M164" s="21">
        <v>81700</v>
      </c>
      <c r="N164" s="21">
        <v>60300</v>
      </c>
      <c r="O164" s="21">
        <v>98600</v>
      </c>
      <c r="P164" s="21">
        <v>99500</v>
      </c>
      <c r="Q164" s="21">
        <v>70800</v>
      </c>
      <c r="R164" s="21">
        <v>151900</v>
      </c>
      <c r="S164" s="21">
        <v>123100</v>
      </c>
      <c r="T164" s="21">
        <v>100000</v>
      </c>
      <c r="U164" s="21">
        <v>47200</v>
      </c>
      <c r="V164" s="21">
        <v>32900</v>
      </c>
      <c r="W164" s="21">
        <v>30500</v>
      </c>
      <c r="X164" s="21">
        <v>76900</v>
      </c>
      <c r="Y164" s="21">
        <v>117500</v>
      </c>
      <c r="Z164" s="21">
        <v>76200</v>
      </c>
      <c r="AA164" s="21">
        <v>104500</v>
      </c>
      <c r="AB164" s="21">
        <v>118400</v>
      </c>
      <c r="AC164" s="21">
        <v>80300</v>
      </c>
      <c r="AD164" s="21">
        <v>94300</v>
      </c>
      <c r="AE164" s="21">
        <v>99600</v>
      </c>
      <c r="AF164" s="21">
        <v>62300</v>
      </c>
      <c r="AG164" s="21">
        <v>56000</v>
      </c>
      <c r="AH164" s="21">
        <v>100200</v>
      </c>
      <c r="AI164" s="21">
        <v>86000</v>
      </c>
      <c r="AJ164" s="21">
        <v>130500</v>
      </c>
      <c r="AK164" s="21">
        <v>94700</v>
      </c>
      <c r="AL164" s="21">
        <v>116400</v>
      </c>
      <c r="AM164" s="21">
        <v>87800</v>
      </c>
      <c r="AN164" s="21">
        <v>69200</v>
      </c>
      <c r="AO164" s="21">
        <v>145000</v>
      </c>
      <c r="AP164" s="21">
        <v>124700</v>
      </c>
      <c r="AQ164" s="21">
        <v>144700</v>
      </c>
      <c r="AR164" s="21">
        <v>107300</v>
      </c>
      <c r="AS164" s="21">
        <v>97100</v>
      </c>
      <c r="AT164" s="21">
        <v>111300</v>
      </c>
      <c r="AU164" s="21">
        <v>132100</v>
      </c>
      <c r="AV164" s="21">
        <v>69100</v>
      </c>
      <c r="AW164" s="21">
        <v>99800</v>
      </c>
      <c r="AX164" s="21">
        <v>121400</v>
      </c>
      <c r="AY164" s="21">
        <v>50100</v>
      </c>
      <c r="AZ164" s="21">
        <v>80000</v>
      </c>
      <c r="BA164" s="21">
        <v>47300</v>
      </c>
      <c r="BB164" s="21">
        <v>52300</v>
      </c>
      <c r="BC164" s="21">
        <v>76000</v>
      </c>
      <c r="BD164" s="21">
        <v>123000</v>
      </c>
      <c r="BE164" s="21">
        <v>76200</v>
      </c>
      <c r="BF164" s="21">
        <v>97700</v>
      </c>
      <c r="BG164" s="21">
        <v>139200</v>
      </c>
      <c r="BH164" s="21">
        <v>114500</v>
      </c>
      <c r="BI164" s="21">
        <v>160400</v>
      </c>
      <c r="BJ164" s="21">
        <v>110700</v>
      </c>
      <c r="BK164" s="21">
        <v>213000</v>
      </c>
      <c r="BL164" s="21">
        <v>359300</v>
      </c>
      <c r="BM164" s="1">
        <v>243200</v>
      </c>
      <c r="BN164" s="1">
        <v>801800</v>
      </c>
      <c r="BO164" s="1">
        <v>117800</v>
      </c>
      <c r="BP164" s="1">
        <v>96800</v>
      </c>
      <c r="BQ164" s="1">
        <v>89100</v>
      </c>
      <c r="BR164" s="1">
        <v>68700</v>
      </c>
      <c r="BS164" s="1">
        <v>46700</v>
      </c>
      <c r="BT164" s="1">
        <v>76400</v>
      </c>
      <c r="BU164" s="1">
        <v>115700</v>
      </c>
      <c r="BV164" s="1">
        <v>82500</v>
      </c>
      <c r="BW164" s="1">
        <v>26800</v>
      </c>
      <c r="BX164" s="1">
        <v>67500</v>
      </c>
      <c r="BY164" s="1">
        <v>44700</v>
      </c>
      <c r="BZ164" s="1">
        <v>67600</v>
      </c>
    </row>
    <row r="165" spans="1:254" ht="15.9" customHeight="1">
      <c r="A165" s="393" t="s">
        <v>324</v>
      </c>
      <c r="B165" s="46" t="s">
        <v>325</v>
      </c>
      <c r="C165" s="50">
        <f>_xll.RssMarket("4733","出来高")</f>
        <v>169400</v>
      </c>
      <c r="D165" s="16">
        <f t="shared" si="2"/>
        <v>0</v>
      </c>
      <c r="E165" s="21">
        <v>169400</v>
      </c>
      <c r="F165" s="21">
        <v>285300</v>
      </c>
      <c r="G165" s="21">
        <v>223000</v>
      </c>
      <c r="H165" s="21">
        <v>213900</v>
      </c>
      <c r="I165" s="21">
        <v>306400</v>
      </c>
      <c r="J165" s="21">
        <v>302100</v>
      </c>
      <c r="K165" s="21">
        <v>655200</v>
      </c>
      <c r="L165" s="21">
        <v>335400</v>
      </c>
      <c r="M165" s="21">
        <v>604400</v>
      </c>
      <c r="N165" s="21">
        <v>927400</v>
      </c>
      <c r="O165" s="21">
        <v>893500</v>
      </c>
      <c r="P165" s="21">
        <v>1145700</v>
      </c>
      <c r="Q165" s="21">
        <v>269500</v>
      </c>
      <c r="R165" s="21">
        <v>160500</v>
      </c>
      <c r="S165" s="21">
        <v>168200</v>
      </c>
      <c r="T165" s="21">
        <v>160200</v>
      </c>
      <c r="U165" s="21">
        <v>134800</v>
      </c>
      <c r="V165" s="21">
        <v>173700</v>
      </c>
      <c r="W165" s="21">
        <v>142800</v>
      </c>
      <c r="X165" s="21">
        <v>112100</v>
      </c>
      <c r="Y165" s="21">
        <v>162200</v>
      </c>
      <c r="Z165" s="21">
        <v>191500</v>
      </c>
      <c r="AA165" s="21">
        <v>266300</v>
      </c>
      <c r="AB165" s="21">
        <v>245800</v>
      </c>
      <c r="AC165" s="21">
        <v>201400</v>
      </c>
      <c r="AD165" s="21">
        <v>315000</v>
      </c>
      <c r="AE165" s="21">
        <v>301800</v>
      </c>
      <c r="AF165" s="21">
        <v>264000</v>
      </c>
      <c r="AG165" s="21">
        <v>279000</v>
      </c>
      <c r="AH165" s="21">
        <v>418300</v>
      </c>
      <c r="AI165" s="21">
        <v>262900</v>
      </c>
      <c r="AJ165" s="21">
        <v>148800</v>
      </c>
      <c r="AK165" s="21">
        <v>257400</v>
      </c>
      <c r="AL165" s="21">
        <v>125000</v>
      </c>
      <c r="AM165" s="21">
        <v>292500</v>
      </c>
      <c r="AN165" s="21">
        <v>200700</v>
      </c>
      <c r="AO165" s="21">
        <v>177800</v>
      </c>
      <c r="AP165" s="21">
        <v>272800</v>
      </c>
      <c r="AQ165" s="21">
        <v>241900</v>
      </c>
      <c r="AR165" s="21">
        <v>210200</v>
      </c>
      <c r="AS165" s="21">
        <v>162200</v>
      </c>
      <c r="AT165" s="21">
        <v>177900</v>
      </c>
      <c r="AU165" s="21">
        <v>239700</v>
      </c>
      <c r="AV165" s="21">
        <v>197500</v>
      </c>
      <c r="AW165" s="21">
        <v>243400</v>
      </c>
      <c r="AX165" s="21">
        <v>271900</v>
      </c>
      <c r="AY165" s="21">
        <v>178200</v>
      </c>
      <c r="AZ165" s="21">
        <v>180700</v>
      </c>
      <c r="BA165" s="21">
        <v>187400</v>
      </c>
      <c r="BB165" s="21">
        <v>233000</v>
      </c>
      <c r="BC165" s="21">
        <v>166600</v>
      </c>
      <c r="BD165" s="21">
        <v>123600</v>
      </c>
      <c r="BE165" s="21">
        <v>271700</v>
      </c>
      <c r="BF165" s="21">
        <v>234600</v>
      </c>
      <c r="BG165" s="21">
        <v>275100</v>
      </c>
      <c r="BH165" s="21">
        <v>403500</v>
      </c>
      <c r="BI165" s="21">
        <v>192200</v>
      </c>
      <c r="BJ165" s="21">
        <v>315800</v>
      </c>
      <c r="BK165" s="21">
        <v>262600</v>
      </c>
      <c r="BL165" s="21">
        <v>309700</v>
      </c>
      <c r="BM165" s="1">
        <v>470900</v>
      </c>
      <c r="BN165" s="1">
        <v>383000</v>
      </c>
      <c r="BO165" s="1">
        <v>498100</v>
      </c>
      <c r="BP165" s="1">
        <v>256600</v>
      </c>
      <c r="BQ165" s="1">
        <v>501100</v>
      </c>
      <c r="BR165" s="1">
        <v>411800</v>
      </c>
      <c r="BS165" s="1">
        <v>618900</v>
      </c>
      <c r="BT165" s="1">
        <v>660200</v>
      </c>
      <c r="BU165" s="1">
        <v>1498900</v>
      </c>
      <c r="BV165" s="1">
        <v>355400</v>
      </c>
      <c r="BW165" s="1">
        <v>435500</v>
      </c>
      <c r="BX165" s="1">
        <v>380900</v>
      </c>
      <c r="BY165" s="1">
        <v>323100</v>
      </c>
      <c r="BZ165" s="1">
        <v>290000</v>
      </c>
    </row>
    <row r="166" spans="1:254" ht="15.9" customHeight="1">
      <c r="A166" s="393" t="s">
        <v>326</v>
      </c>
      <c r="B166" s="46" t="s">
        <v>327</v>
      </c>
      <c r="C166" s="50">
        <f>_xll.RssMarket("9733","出来高")</f>
        <v>6800</v>
      </c>
      <c r="D166" s="16">
        <f t="shared" si="2"/>
        <v>0</v>
      </c>
      <c r="E166" s="21">
        <v>6800</v>
      </c>
      <c r="F166" s="21">
        <v>14800</v>
      </c>
      <c r="G166" s="21">
        <v>22100</v>
      </c>
      <c r="H166" s="21">
        <v>21600</v>
      </c>
      <c r="I166" s="21">
        <v>22800</v>
      </c>
      <c r="J166" s="21">
        <v>29900</v>
      </c>
      <c r="K166" s="21">
        <v>31300</v>
      </c>
      <c r="L166" s="21">
        <v>31000</v>
      </c>
      <c r="M166" s="21">
        <v>24400</v>
      </c>
      <c r="N166" s="21">
        <v>80400</v>
      </c>
      <c r="O166" s="21">
        <v>53400</v>
      </c>
      <c r="P166" s="21">
        <v>59500</v>
      </c>
      <c r="Q166" s="21">
        <v>16400</v>
      </c>
      <c r="R166" s="21">
        <v>20700</v>
      </c>
      <c r="S166" s="21">
        <v>12700</v>
      </c>
      <c r="T166" s="21">
        <v>21500</v>
      </c>
      <c r="U166" s="21">
        <v>10600</v>
      </c>
      <c r="V166" s="21">
        <v>9900</v>
      </c>
      <c r="W166" s="21">
        <v>15900</v>
      </c>
      <c r="X166" s="21">
        <v>13800</v>
      </c>
      <c r="Y166" s="21">
        <v>17200</v>
      </c>
      <c r="Z166" s="21">
        <v>21300</v>
      </c>
      <c r="AA166" s="21">
        <v>31800</v>
      </c>
      <c r="AB166" s="21">
        <v>29100</v>
      </c>
      <c r="AC166" s="21">
        <v>11900</v>
      </c>
      <c r="AD166" s="21">
        <v>73300</v>
      </c>
      <c r="AE166" s="21">
        <v>32400</v>
      </c>
      <c r="AF166" s="21">
        <v>30700</v>
      </c>
      <c r="AG166" s="21">
        <v>24800</v>
      </c>
      <c r="AH166" s="21">
        <v>34600</v>
      </c>
      <c r="AI166" s="21">
        <v>21600</v>
      </c>
      <c r="AJ166" s="21">
        <v>40800</v>
      </c>
      <c r="AK166" s="21">
        <v>32400</v>
      </c>
      <c r="AL166" s="21">
        <v>26700</v>
      </c>
      <c r="AM166" s="21">
        <v>27000</v>
      </c>
      <c r="AN166" s="21">
        <v>25900</v>
      </c>
      <c r="AO166" s="21">
        <v>23200</v>
      </c>
      <c r="AP166" s="21">
        <v>16300</v>
      </c>
      <c r="AQ166" s="21">
        <v>30600</v>
      </c>
      <c r="AR166" s="21">
        <v>20400</v>
      </c>
      <c r="AS166" s="21">
        <v>23700</v>
      </c>
      <c r="AT166" s="21">
        <v>13700</v>
      </c>
      <c r="AU166" s="21">
        <v>21400</v>
      </c>
      <c r="AV166" s="21">
        <v>25700</v>
      </c>
      <c r="AW166" s="21">
        <v>27000</v>
      </c>
      <c r="AX166" s="21">
        <v>17500</v>
      </c>
      <c r="AY166" s="21">
        <v>9700</v>
      </c>
      <c r="AZ166" s="21">
        <v>20600</v>
      </c>
      <c r="BA166" s="21">
        <v>28500</v>
      </c>
      <c r="BB166" s="21">
        <v>15700</v>
      </c>
      <c r="BC166" s="21">
        <v>23100</v>
      </c>
      <c r="BD166" s="21">
        <v>25200</v>
      </c>
      <c r="BE166" s="21">
        <v>35500</v>
      </c>
      <c r="BF166" s="21">
        <v>25300</v>
      </c>
      <c r="BG166" s="21">
        <v>30200</v>
      </c>
      <c r="BH166" s="21">
        <v>37800</v>
      </c>
      <c r="BI166" s="21">
        <v>18700</v>
      </c>
      <c r="BJ166" s="21">
        <v>29500</v>
      </c>
      <c r="BK166" s="21">
        <v>19000</v>
      </c>
      <c r="BL166" s="21">
        <v>27800</v>
      </c>
      <c r="BM166" s="1">
        <v>43600</v>
      </c>
      <c r="BN166" s="1">
        <v>73400</v>
      </c>
      <c r="BO166" s="1">
        <v>44500</v>
      </c>
      <c r="BP166" s="1">
        <v>23200</v>
      </c>
      <c r="BQ166" s="1">
        <v>43000</v>
      </c>
      <c r="BR166" s="1">
        <v>24900</v>
      </c>
      <c r="BS166" s="1">
        <v>24300</v>
      </c>
      <c r="BT166" s="1">
        <v>25400</v>
      </c>
      <c r="BU166" s="1">
        <v>36500</v>
      </c>
      <c r="BV166" s="1">
        <v>30600</v>
      </c>
      <c r="BW166" s="1">
        <v>18200</v>
      </c>
      <c r="BX166" s="1">
        <v>28800</v>
      </c>
      <c r="BY166" s="1">
        <v>40700</v>
      </c>
      <c r="BZ166" s="1">
        <v>18800</v>
      </c>
    </row>
    <row r="167" spans="1:254" ht="15.9" customHeight="1">
      <c r="A167" s="393" t="s">
        <v>328</v>
      </c>
      <c r="B167" s="46" t="s">
        <v>329</v>
      </c>
      <c r="C167" s="50">
        <f>_xll.RssMarket("9551","出来高")</f>
        <v>94100</v>
      </c>
      <c r="D167" s="16">
        <f t="shared" si="2"/>
        <v>0</v>
      </c>
      <c r="E167" s="21">
        <v>94100</v>
      </c>
      <c r="F167" s="21">
        <v>126300</v>
      </c>
      <c r="G167" s="21">
        <v>213000</v>
      </c>
      <c r="H167" s="21">
        <v>180500</v>
      </c>
      <c r="I167" s="21">
        <v>190400</v>
      </c>
      <c r="J167" s="21">
        <v>507300</v>
      </c>
      <c r="K167" s="21">
        <v>268200</v>
      </c>
      <c r="L167" s="21">
        <v>175600</v>
      </c>
      <c r="M167" s="21">
        <v>124500</v>
      </c>
      <c r="N167" s="21"/>
      <c r="O167" s="21">
        <v>84300</v>
      </c>
      <c r="P167" s="21">
        <v>105200</v>
      </c>
      <c r="Q167" s="21">
        <v>108400</v>
      </c>
      <c r="R167" s="21">
        <v>158900</v>
      </c>
      <c r="S167" s="21">
        <v>83600</v>
      </c>
      <c r="T167" s="21">
        <v>104900</v>
      </c>
      <c r="U167" s="21">
        <v>72800</v>
      </c>
      <c r="V167" s="21">
        <v>91100</v>
      </c>
      <c r="W167" s="21">
        <v>158700</v>
      </c>
      <c r="X167" s="21">
        <v>105300</v>
      </c>
      <c r="Y167" s="21">
        <v>119800</v>
      </c>
      <c r="Z167" s="21">
        <v>96900</v>
      </c>
      <c r="AA167" s="21">
        <v>82700</v>
      </c>
      <c r="AB167" s="21">
        <v>96600</v>
      </c>
      <c r="AC167" s="21">
        <v>95800</v>
      </c>
      <c r="AD167" s="21">
        <v>112900</v>
      </c>
      <c r="AE167" s="21">
        <v>168400</v>
      </c>
      <c r="AF167" s="21">
        <v>118700</v>
      </c>
      <c r="AG167" s="21">
        <v>142600</v>
      </c>
      <c r="AH167" s="21">
        <v>146700</v>
      </c>
      <c r="AI167" s="21">
        <v>123400</v>
      </c>
      <c r="AJ167" s="21">
        <v>109600</v>
      </c>
      <c r="AK167" s="21">
        <v>130900</v>
      </c>
      <c r="AL167" s="21">
        <v>95300</v>
      </c>
      <c r="AM167" s="21">
        <v>90900</v>
      </c>
      <c r="AN167" s="21">
        <v>69800</v>
      </c>
      <c r="AO167" s="21">
        <v>128000</v>
      </c>
      <c r="AP167" s="21">
        <v>118400</v>
      </c>
      <c r="AQ167" s="21">
        <v>105300</v>
      </c>
      <c r="AR167" s="21">
        <v>162000</v>
      </c>
      <c r="AS167" s="21">
        <v>139600</v>
      </c>
      <c r="AT167" s="21">
        <v>65400</v>
      </c>
      <c r="AU167" s="21">
        <v>71200</v>
      </c>
      <c r="AV167" s="21">
        <v>89800</v>
      </c>
      <c r="AW167" s="21">
        <v>216800</v>
      </c>
      <c r="AX167" s="21">
        <v>376000</v>
      </c>
      <c r="AY167" s="21">
        <v>128000</v>
      </c>
      <c r="AZ167" s="21">
        <v>79000</v>
      </c>
      <c r="BA167" s="21">
        <v>107500</v>
      </c>
      <c r="BB167" s="21">
        <v>109700</v>
      </c>
      <c r="BC167" s="21">
        <v>80700</v>
      </c>
      <c r="BD167" s="21">
        <v>157300</v>
      </c>
      <c r="BE167" s="21">
        <v>152200</v>
      </c>
      <c r="BF167" s="21">
        <v>137800</v>
      </c>
      <c r="BG167" s="21">
        <v>152600</v>
      </c>
      <c r="BH167" s="21">
        <v>81000</v>
      </c>
      <c r="BI167" s="21">
        <v>113900</v>
      </c>
      <c r="BJ167" s="21">
        <v>204500</v>
      </c>
      <c r="BK167" s="21">
        <v>146800</v>
      </c>
      <c r="BL167" s="21">
        <v>186900</v>
      </c>
      <c r="BM167" s="1">
        <v>166200</v>
      </c>
      <c r="BN167" s="1">
        <v>261100</v>
      </c>
      <c r="BO167" s="1">
        <v>216900</v>
      </c>
      <c r="BP167" s="1">
        <v>296300</v>
      </c>
      <c r="BQ167" s="1">
        <v>601500</v>
      </c>
      <c r="BR167" s="1">
        <v>223400</v>
      </c>
      <c r="BS167" s="1">
        <v>109500</v>
      </c>
      <c r="BT167" s="1">
        <v>84800</v>
      </c>
      <c r="BU167" s="1">
        <v>87700</v>
      </c>
      <c r="BV167" s="1">
        <v>85800</v>
      </c>
      <c r="BW167" s="1">
        <v>104900</v>
      </c>
      <c r="BX167" s="1">
        <v>125800</v>
      </c>
      <c r="BY167" s="1">
        <v>133100</v>
      </c>
      <c r="BZ167" s="1">
        <v>93400</v>
      </c>
    </row>
    <row r="168" spans="1:254" ht="15.9" customHeight="1">
      <c r="A168" s="393" t="s">
        <v>330</v>
      </c>
      <c r="B168" s="46" t="s">
        <v>331</v>
      </c>
      <c r="C168" s="50">
        <f>_xll.RssMarket("2359","出来高")</f>
        <v>22400</v>
      </c>
      <c r="D168" s="16">
        <f t="shared" si="2"/>
        <v>0</v>
      </c>
      <c r="E168" s="21">
        <v>22400</v>
      </c>
      <c r="F168" s="21">
        <v>37700</v>
      </c>
      <c r="G168" s="21">
        <v>18400</v>
      </c>
      <c r="H168" s="21">
        <v>28700</v>
      </c>
      <c r="I168" s="21">
        <v>17700</v>
      </c>
      <c r="J168" s="21">
        <v>63500</v>
      </c>
      <c r="K168" s="21">
        <v>47100</v>
      </c>
      <c r="L168" s="21">
        <v>17300</v>
      </c>
      <c r="M168" s="21">
        <v>31100</v>
      </c>
      <c r="N168" s="21"/>
      <c r="O168" s="21">
        <v>20400</v>
      </c>
      <c r="P168" s="21">
        <v>14900</v>
      </c>
      <c r="Q168" s="21">
        <v>12200</v>
      </c>
      <c r="R168" s="21">
        <v>14300</v>
      </c>
      <c r="S168" s="21">
        <v>13300</v>
      </c>
      <c r="T168" s="21">
        <v>14000</v>
      </c>
      <c r="U168" s="21">
        <v>16100</v>
      </c>
      <c r="V168" s="21">
        <v>37700</v>
      </c>
      <c r="W168" s="21">
        <v>14700</v>
      </c>
      <c r="X168" s="21">
        <v>17600</v>
      </c>
      <c r="Y168" s="21">
        <v>18200</v>
      </c>
      <c r="Z168" s="21">
        <v>20200</v>
      </c>
      <c r="AA168" s="21">
        <v>17300</v>
      </c>
      <c r="AB168" s="21">
        <v>26300</v>
      </c>
      <c r="AC168" s="21">
        <v>42000</v>
      </c>
      <c r="AD168" s="21">
        <v>45200</v>
      </c>
      <c r="AE168" s="21">
        <v>38200</v>
      </c>
      <c r="AF168" s="21">
        <v>14000</v>
      </c>
      <c r="AG168" s="21">
        <v>33900</v>
      </c>
      <c r="AH168" s="21">
        <v>14300</v>
      </c>
      <c r="AI168" s="21">
        <v>18000</v>
      </c>
      <c r="AJ168" s="21">
        <v>16100</v>
      </c>
      <c r="AK168" s="21">
        <v>16700</v>
      </c>
      <c r="AL168" s="21">
        <v>11000</v>
      </c>
      <c r="AM168" s="21">
        <v>13800</v>
      </c>
      <c r="AN168" s="21">
        <v>28500</v>
      </c>
      <c r="AO168" s="21">
        <v>12200</v>
      </c>
      <c r="AP168" s="21">
        <v>23100</v>
      </c>
      <c r="AQ168" s="21">
        <v>15000</v>
      </c>
      <c r="AR168" s="21">
        <v>15500</v>
      </c>
      <c r="AS168" s="21">
        <v>22800</v>
      </c>
      <c r="AT168" s="21">
        <v>13900</v>
      </c>
      <c r="AU168" s="21">
        <v>40900</v>
      </c>
      <c r="AV168" s="21">
        <v>14800</v>
      </c>
      <c r="AW168" s="21">
        <v>20100</v>
      </c>
      <c r="AX168" s="21">
        <v>28100</v>
      </c>
      <c r="AY168" s="21">
        <v>34200</v>
      </c>
      <c r="AZ168" s="21">
        <v>44000</v>
      </c>
      <c r="BA168" s="21">
        <v>52800</v>
      </c>
      <c r="BB168" s="21">
        <v>21300</v>
      </c>
      <c r="BC168" s="21">
        <v>11600</v>
      </c>
      <c r="BD168" s="21">
        <v>31400</v>
      </c>
      <c r="BE168" s="21">
        <v>29100</v>
      </c>
      <c r="BF168" s="21">
        <v>18100</v>
      </c>
      <c r="BG168" s="21">
        <v>18600</v>
      </c>
      <c r="BH168" s="21">
        <v>20400</v>
      </c>
      <c r="BI168" s="21">
        <v>26900</v>
      </c>
      <c r="BJ168" s="21">
        <v>19400</v>
      </c>
      <c r="BK168" s="21">
        <v>26400</v>
      </c>
      <c r="BL168" s="21">
        <v>46200</v>
      </c>
      <c r="BM168" s="1">
        <v>52200</v>
      </c>
      <c r="BN168" s="1">
        <v>66800</v>
      </c>
      <c r="BO168" s="1">
        <v>158000</v>
      </c>
      <c r="BP168" s="1">
        <v>53200</v>
      </c>
      <c r="BQ168" s="1">
        <v>63800</v>
      </c>
      <c r="BR168" s="1">
        <v>12600</v>
      </c>
      <c r="BS168" s="1">
        <v>19500</v>
      </c>
      <c r="BT168" s="1">
        <v>14300</v>
      </c>
      <c r="BU168" s="1">
        <v>14100</v>
      </c>
      <c r="BV168" s="1">
        <v>12400</v>
      </c>
      <c r="BW168" s="1">
        <v>9900</v>
      </c>
      <c r="BX168" s="1">
        <v>6900</v>
      </c>
      <c r="BY168" s="1">
        <v>17300</v>
      </c>
      <c r="BZ168" s="1">
        <v>15300</v>
      </c>
    </row>
    <row r="169" spans="1:254" ht="15.9" customHeight="1">
      <c r="A169" s="393" t="s">
        <v>332</v>
      </c>
      <c r="B169" s="46" t="s">
        <v>333</v>
      </c>
      <c r="C169" s="50">
        <f>_xll.RssMarket("8103","出来高")</f>
        <v>104300</v>
      </c>
      <c r="D169" s="16">
        <f t="shared" si="2"/>
        <v>0</v>
      </c>
      <c r="E169" s="21">
        <v>104300</v>
      </c>
      <c r="F169" s="21">
        <v>171200</v>
      </c>
      <c r="G169" s="21">
        <v>178400</v>
      </c>
      <c r="H169" s="21">
        <v>283900</v>
      </c>
      <c r="I169" s="21">
        <v>313800</v>
      </c>
      <c r="J169" s="21">
        <v>206000</v>
      </c>
      <c r="K169" s="21">
        <v>215900</v>
      </c>
      <c r="L169" s="21">
        <v>217200</v>
      </c>
      <c r="M169" s="21">
        <v>185400</v>
      </c>
      <c r="N169" s="21">
        <v>156000</v>
      </c>
      <c r="O169" s="21">
        <v>125500</v>
      </c>
      <c r="P169" s="21">
        <v>176100</v>
      </c>
      <c r="Q169" s="21">
        <v>199500</v>
      </c>
      <c r="R169" s="21">
        <v>212100</v>
      </c>
      <c r="S169" s="21">
        <v>143800</v>
      </c>
      <c r="T169" s="21">
        <v>134600</v>
      </c>
      <c r="U169" s="21">
        <v>216600</v>
      </c>
      <c r="V169" s="21">
        <v>142300</v>
      </c>
      <c r="W169" s="21">
        <v>156100</v>
      </c>
      <c r="X169" s="21">
        <v>134000</v>
      </c>
      <c r="Y169" s="21">
        <v>187100</v>
      </c>
      <c r="Z169" s="21">
        <v>200800</v>
      </c>
      <c r="AA169" s="21">
        <v>199200</v>
      </c>
      <c r="AB169" s="21">
        <v>177700</v>
      </c>
      <c r="AC169" s="21">
        <v>178700</v>
      </c>
      <c r="AD169" s="21">
        <v>160700</v>
      </c>
      <c r="AE169" s="21">
        <v>188900</v>
      </c>
      <c r="AF169" s="21">
        <v>206500</v>
      </c>
      <c r="AG169" s="21">
        <v>189600</v>
      </c>
      <c r="AH169" s="21">
        <v>177300</v>
      </c>
      <c r="AI169" s="21">
        <v>189900</v>
      </c>
      <c r="AJ169" s="21">
        <v>174200</v>
      </c>
      <c r="AK169" s="21">
        <v>185400</v>
      </c>
      <c r="AL169" s="21">
        <v>173200</v>
      </c>
      <c r="AM169" s="21">
        <v>141300</v>
      </c>
      <c r="AN169" s="21">
        <v>200300</v>
      </c>
      <c r="AO169" s="21">
        <v>205600</v>
      </c>
      <c r="AP169" s="21">
        <v>241000</v>
      </c>
      <c r="AQ169" s="21">
        <v>268000</v>
      </c>
      <c r="AR169" s="21">
        <v>400800</v>
      </c>
      <c r="AS169" s="21">
        <v>392700</v>
      </c>
      <c r="AT169" s="21">
        <v>191500</v>
      </c>
      <c r="AU169" s="21">
        <v>197700</v>
      </c>
      <c r="AV169" s="21">
        <v>238800</v>
      </c>
      <c r="AW169" s="21">
        <v>343100</v>
      </c>
      <c r="AX169" s="21">
        <v>227000</v>
      </c>
      <c r="AY169" s="21">
        <v>231800</v>
      </c>
      <c r="AZ169" s="21">
        <v>315800</v>
      </c>
      <c r="BA169" s="21">
        <v>216500</v>
      </c>
      <c r="BB169" s="21">
        <v>302500</v>
      </c>
      <c r="BC169" s="21">
        <v>256200</v>
      </c>
      <c r="BD169" s="21">
        <v>372900</v>
      </c>
      <c r="BE169" s="21">
        <v>298300</v>
      </c>
      <c r="BF169" s="21">
        <v>257000</v>
      </c>
      <c r="BG169" s="21">
        <v>394400</v>
      </c>
      <c r="BH169" s="21">
        <v>531600</v>
      </c>
      <c r="BI169" s="21">
        <v>439400</v>
      </c>
      <c r="BJ169" s="21">
        <v>230200</v>
      </c>
      <c r="BK169" s="21">
        <v>368100</v>
      </c>
      <c r="BL169" s="21">
        <v>604600</v>
      </c>
      <c r="BM169" s="1">
        <v>1317300</v>
      </c>
      <c r="BN169" s="1">
        <v>1503800</v>
      </c>
      <c r="BO169" s="1">
        <v>1894300</v>
      </c>
      <c r="BP169" s="1">
        <v>202800</v>
      </c>
      <c r="BQ169" s="1">
        <v>251600</v>
      </c>
      <c r="BR169" s="1">
        <v>296300</v>
      </c>
      <c r="BS169" s="1">
        <v>279600</v>
      </c>
      <c r="BT169" s="1">
        <v>293400</v>
      </c>
      <c r="BU169" s="1">
        <v>230700</v>
      </c>
      <c r="BV169" s="1">
        <v>181500</v>
      </c>
      <c r="BW169" s="1">
        <v>193200</v>
      </c>
      <c r="BX169" s="1">
        <v>320200</v>
      </c>
      <c r="BY169" s="1">
        <v>403700</v>
      </c>
      <c r="BZ169" s="1">
        <v>356400</v>
      </c>
    </row>
    <row r="170" spans="1:254" ht="15.9" customHeight="1">
      <c r="A170" s="393" t="s">
        <v>334</v>
      </c>
      <c r="B170" s="46" t="s">
        <v>335</v>
      </c>
      <c r="C170" s="50">
        <f>_xll.RssMarket("4709","出来高")</f>
        <v>46700</v>
      </c>
      <c r="D170" s="16">
        <f t="shared" si="2"/>
        <v>0</v>
      </c>
      <c r="E170" s="21">
        <v>46700</v>
      </c>
      <c r="F170" s="21">
        <v>60300</v>
      </c>
      <c r="G170" s="21">
        <v>96600</v>
      </c>
      <c r="H170" s="21">
        <v>160700</v>
      </c>
      <c r="I170" s="21">
        <v>242800</v>
      </c>
      <c r="J170" s="21">
        <v>76000</v>
      </c>
      <c r="K170" s="21">
        <v>75800</v>
      </c>
      <c r="L170" s="21">
        <v>36200</v>
      </c>
      <c r="M170" s="21">
        <v>81900</v>
      </c>
      <c r="N170" s="21">
        <v>46300</v>
      </c>
      <c r="O170" s="21">
        <v>46900</v>
      </c>
      <c r="P170" s="21">
        <v>43200</v>
      </c>
      <c r="Q170" s="21">
        <v>62800</v>
      </c>
      <c r="R170" s="21">
        <v>54000</v>
      </c>
      <c r="S170" s="21">
        <v>78100</v>
      </c>
      <c r="T170" s="21">
        <v>57500</v>
      </c>
      <c r="U170" s="21">
        <v>38000</v>
      </c>
      <c r="V170" s="21">
        <v>62700</v>
      </c>
      <c r="W170" s="21">
        <v>48000</v>
      </c>
      <c r="X170" s="21">
        <v>99100</v>
      </c>
      <c r="Y170" s="21">
        <v>61100</v>
      </c>
      <c r="Z170" s="21">
        <v>56200</v>
      </c>
      <c r="AA170" s="21">
        <v>33600</v>
      </c>
      <c r="AB170" s="21">
        <v>42200</v>
      </c>
      <c r="AC170" s="21">
        <v>34800</v>
      </c>
      <c r="AD170" s="21">
        <v>44900</v>
      </c>
      <c r="AE170" s="21">
        <v>63300</v>
      </c>
      <c r="AF170" s="21">
        <v>59000</v>
      </c>
      <c r="AG170" s="21">
        <v>41800</v>
      </c>
      <c r="AH170" s="21">
        <v>54100</v>
      </c>
      <c r="AI170" s="21">
        <v>49900</v>
      </c>
      <c r="AJ170" s="21">
        <v>55000</v>
      </c>
      <c r="AK170" s="21">
        <v>58800</v>
      </c>
      <c r="AL170" s="21">
        <v>63500</v>
      </c>
      <c r="AM170" s="21">
        <v>132900</v>
      </c>
      <c r="AN170" s="21">
        <v>140900</v>
      </c>
      <c r="AO170" s="21">
        <v>114400</v>
      </c>
      <c r="AP170" s="21">
        <v>99900</v>
      </c>
      <c r="AQ170" s="21">
        <v>99800</v>
      </c>
      <c r="AR170" s="21">
        <v>150800</v>
      </c>
      <c r="AS170" s="21">
        <v>112200</v>
      </c>
      <c r="AT170" s="21">
        <v>34600</v>
      </c>
      <c r="AU170" s="21">
        <v>72000</v>
      </c>
      <c r="AV170" s="21">
        <v>83300</v>
      </c>
      <c r="AW170" s="21">
        <v>44400</v>
      </c>
      <c r="AX170" s="21">
        <v>88700</v>
      </c>
      <c r="AY170" s="21">
        <v>94800</v>
      </c>
      <c r="AZ170" s="21">
        <v>73600</v>
      </c>
      <c r="BA170" s="21">
        <v>68200</v>
      </c>
      <c r="BB170" s="21">
        <v>45100</v>
      </c>
      <c r="BC170" s="21">
        <v>63800</v>
      </c>
      <c r="BD170" s="21">
        <v>87500</v>
      </c>
      <c r="BE170" s="21">
        <v>106000</v>
      </c>
      <c r="BF170" s="21">
        <v>89600</v>
      </c>
      <c r="BG170" s="21">
        <v>79800</v>
      </c>
      <c r="BH170" s="21">
        <v>131900</v>
      </c>
      <c r="BI170" s="21">
        <v>144400</v>
      </c>
      <c r="BJ170" s="21">
        <v>82000</v>
      </c>
      <c r="BK170" s="21">
        <v>173800</v>
      </c>
      <c r="BL170" s="21">
        <v>89000</v>
      </c>
      <c r="BM170" s="1">
        <v>131300</v>
      </c>
      <c r="BN170" s="1">
        <v>409100</v>
      </c>
      <c r="BO170" s="1">
        <v>433600</v>
      </c>
      <c r="BP170" s="1">
        <v>73000</v>
      </c>
      <c r="BQ170" s="1">
        <v>86000</v>
      </c>
      <c r="BR170" s="1">
        <v>81000</v>
      </c>
      <c r="BS170" s="1">
        <v>150900</v>
      </c>
      <c r="BT170" s="1">
        <v>65900</v>
      </c>
      <c r="BU170" s="1">
        <v>48700</v>
      </c>
      <c r="BV170" s="1">
        <v>47800</v>
      </c>
      <c r="BW170" s="1">
        <v>40900</v>
      </c>
      <c r="BX170" s="1">
        <v>55900</v>
      </c>
      <c r="BY170" s="1">
        <v>48000</v>
      </c>
      <c r="BZ170" s="1">
        <v>35500</v>
      </c>
    </row>
    <row r="171" spans="1:254" ht="15.9" customHeight="1">
      <c r="A171" s="393" t="s">
        <v>336</v>
      </c>
      <c r="B171" s="46" t="s">
        <v>337</v>
      </c>
      <c r="C171" s="50">
        <f>_xll.RssMarket("7981","出来高")</f>
        <v>101500</v>
      </c>
      <c r="D171" s="16">
        <f t="shared" si="2"/>
        <v>0</v>
      </c>
      <c r="E171" s="21">
        <v>101500</v>
      </c>
      <c r="F171" s="21">
        <v>106900</v>
      </c>
      <c r="G171" s="21">
        <v>123800</v>
      </c>
      <c r="H171" s="21">
        <v>182400</v>
      </c>
      <c r="I171" s="21">
        <v>691100</v>
      </c>
      <c r="J171" s="21">
        <v>351600</v>
      </c>
      <c r="K171" s="21">
        <v>153000</v>
      </c>
      <c r="L171" s="21">
        <v>145700</v>
      </c>
      <c r="M171" s="21">
        <v>209400</v>
      </c>
      <c r="N171" s="21">
        <v>121300</v>
      </c>
      <c r="O171" s="21">
        <v>104000</v>
      </c>
      <c r="P171" s="21">
        <v>80900</v>
      </c>
      <c r="Q171" s="21">
        <v>86400</v>
      </c>
      <c r="R171" s="21">
        <v>115800</v>
      </c>
      <c r="S171" s="21">
        <v>127500</v>
      </c>
      <c r="T171" s="21">
        <v>110800</v>
      </c>
      <c r="U171" s="21">
        <v>116500</v>
      </c>
      <c r="V171" s="21">
        <v>101500</v>
      </c>
      <c r="W171" s="21">
        <v>80600</v>
      </c>
      <c r="X171" s="21">
        <v>76000</v>
      </c>
      <c r="Y171" s="21">
        <v>86400</v>
      </c>
      <c r="Z171" s="21">
        <v>62800</v>
      </c>
      <c r="AA171" s="21">
        <v>59300</v>
      </c>
      <c r="AB171" s="21">
        <v>106600</v>
      </c>
      <c r="AC171" s="21">
        <v>103000</v>
      </c>
      <c r="AD171" s="21">
        <v>154300</v>
      </c>
      <c r="AE171" s="21">
        <v>121100</v>
      </c>
      <c r="AF171" s="21">
        <v>140700</v>
      </c>
      <c r="AG171" s="21">
        <v>161900</v>
      </c>
      <c r="AH171" s="21">
        <v>110200</v>
      </c>
      <c r="AI171" s="21">
        <v>120300</v>
      </c>
      <c r="AJ171" s="21">
        <v>69500</v>
      </c>
      <c r="AK171" s="21">
        <v>132500</v>
      </c>
      <c r="AL171" s="21">
        <v>106300</v>
      </c>
      <c r="AM171" s="21">
        <v>47900</v>
      </c>
      <c r="AN171" s="21">
        <v>83900</v>
      </c>
      <c r="AO171" s="21">
        <v>107900</v>
      </c>
      <c r="AP171" s="21">
        <v>124400</v>
      </c>
      <c r="AQ171" s="21">
        <v>102500</v>
      </c>
      <c r="AR171" s="21">
        <v>112600</v>
      </c>
      <c r="AS171" s="21">
        <v>85900</v>
      </c>
      <c r="AT171" s="21">
        <v>75200</v>
      </c>
      <c r="AU171" s="21">
        <v>92200</v>
      </c>
      <c r="AV171" s="21">
        <v>107100</v>
      </c>
      <c r="AW171" s="21">
        <v>123300</v>
      </c>
      <c r="AX171" s="21">
        <v>139800</v>
      </c>
      <c r="AY171" s="21">
        <v>90800</v>
      </c>
      <c r="AZ171" s="21">
        <v>132500</v>
      </c>
      <c r="BA171" s="21">
        <v>171200</v>
      </c>
      <c r="BB171" s="21">
        <v>85900</v>
      </c>
      <c r="BC171" s="21">
        <v>92500</v>
      </c>
      <c r="BD171" s="21">
        <v>123600</v>
      </c>
      <c r="BE171" s="21">
        <v>96500</v>
      </c>
      <c r="BF171" s="21">
        <v>143700</v>
      </c>
      <c r="BG171" s="21">
        <v>89400</v>
      </c>
      <c r="BH171" s="21">
        <v>124100</v>
      </c>
      <c r="BI171" s="21">
        <v>150700</v>
      </c>
      <c r="BJ171" s="21">
        <v>148900</v>
      </c>
      <c r="BK171" s="21">
        <v>144700</v>
      </c>
      <c r="BL171" s="21">
        <v>239600</v>
      </c>
      <c r="BM171" s="1">
        <v>337500</v>
      </c>
      <c r="BN171" s="1">
        <v>349200</v>
      </c>
      <c r="BO171" s="1">
        <v>889200</v>
      </c>
      <c r="BP171" s="1">
        <v>378600</v>
      </c>
      <c r="BQ171" s="1">
        <v>204400</v>
      </c>
      <c r="BR171" s="1">
        <v>109600</v>
      </c>
      <c r="BS171" s="1">
        <v>140800</v>
      </c>
      <c r="BT171" s="1">
        <v>80500</v>
      </c>
      <c r="BU171" s="1">
        <v>98600</v>
      </c>
      <c r="BV171" s="1">
        <v>61600</v>
      </c>
      <c r="BW171" s="1">
        <v>127100</v>
      </c>
      <c r="BX171" s="1">
        <v>139800</v>
      </c>
      <c r="BY171" s="1">
        <v>185300</v>
      </c>
      <c r="BZ171" s="1">
        <v>298000</v>
      </c>
    </row>
    <row r="172" spans="1:254" ht="15.9" customHeight="1">
      <c r="A172" s="393" t="s">
        <v>338</v>
      </c>
      <c r="B172" s="46" t="s">
        <v>339</v>
      </c>
      <c r="C172" s="50">
        <f>_xll.RssMarket("8303","出来高")</f>
        <v>8499700</v>
      </c>
      <c r="D172" s="16">
        <f t="shared" si="2"/>
        <v>0</v>
      </c>
      <c r="E172" s="21">
        <v>8499700</v>
      </c>
      <c r="F172" s="21">
        <v>6281900</v>
      </c>
      <c r="G172" s="21">
        <v>3817600</v>
      </c>
      <c r="H172" s="21">
        <v>4945800</v>
      </c>
      <c r="I172" s="21">
        <v>12815200</v>
      </c>
      <c r="J172" s="21">
        <v>3256500</v>
      </c>
      <c r="K172" s="21">
        <v>5082300</v>
      </c>
      <c r="L172" s="21">
        <v>3389000</v>
      </c>
      <c r="M172" s="21">
        <v>2434000</v>
      </c>
      <c r="N172" s="21">
        <v>2807000</v>
      </c>
      <c r="O172" s="21">
        <v>1919000</v>
      </c>
      <c r="P172" s="21">
        <v>2306900</v>
      </c>
      <c r="Q172" s="21">
        <v>2953700</v>
      </c>
      <c r="R172" s="21">
        <v>5049300</v>
      </c>
      <c r="S172" s="21">
        <v>2501600</v>
      </c>
      <c r="T172" s="21">
        <v>2401000</v>
      </c>
      <c r="U172" s="21">
        <v>1745000</v>
      </c>
      <c r="V172" s="21">
        <v>2145400</v>
      </c>
      <c r="W172" s="21">
        <v>2597300</v>
      </c>
      <c r="X172" s="21">
        <v>4141500</v>
      </c>
      <c r="Y172" s="21">
        <v>5157100</v>
      </c>
      <c r="Z172" s="21">
        <v>3193800</v>
      </c>
      <c r="AA172" s="21">
        <v>2934700</v>
      </c>
      <c r="AB172" s="21">
        <v>3997000</v>
      </c>
      <c r="AC172" s="21">
        <v>3386400</v>
      </c>
      <c r="AD172" s="21">
        <v>3400600</v>
      </c>
      <c r="AE172" s="21">
        <v>2364700</v>
      </c>
      <c r="AF172" s="21">
        <v>3380400</v>
      </c>
      <c r="AG172" s="21">
        <v>2973100</v>
      </c>
      <c r="AH172" s="21">
        <v>2844300</v>
      </c>
      <c r="AI172" s="21">
        <v>3004500</v>
      </c>
      <c r="AJ172" s="21">
        <v>3285000</v>
      </c>
      <c r="AK172" s="21">
        <v>17936200</v>
      </c>
      <c r="AL172" s="21">
        <v>4222200</v>
      </c>
      <c r="AM172" s="21">
        <v>5468800</v>
      </c>
      <c r="AN172" s="21">
        <v>6082500</v>
      </c>
      <c r="AO172" s="21">
        <v>5226800</v>
      </c>
      <c r="AP172" s="21">
        <v>9096100</v>
      </c>
      <c r="AQ172" s="21">
        <v>3807000</v>
      </c>
      <c r="AR172" s="21">
        <v>10033100</v>
      </c>
      <c r="AS172" s="21">
        <v>3729700</v>
      </c>
      <c r="AT172" s="21">
        <v>6477200</v>
      </c>
      <c r="AU172" s="21">
        <v>7740300</v>
      </c>
      <c r="AV172" s="21">
        <v>7833600</v>
      </c>
      <c r="AW172" s="21">
        <v>5477600</v>
      </c>
      <c r="AX172" s="21">
        <v>8612300</v>
      </c>
      <c r="AY172" s="21">
        <v>7493700</v>
      </c>
      <c r="AZ172" s="21">
        <v>11956600</v>
      </c>
      <c r="BA172" s="21">
        <v>5735300</v>
      </c>
      <c r="BB172" s="21">
        <v>7995000</v>
      </c>
      <c r="BC172" s="21">
        <v>12444200</v>
      </c>
      <c r="BD172" s="21">
        <v>7575100</v>
      </c>
      <c r="BE172" s="21">
        <v>6968400</v>
      </c>
      <c r="BF172" s="21">
        <v>3089000</v>
      </c>
      <c r="BG172" s="21">
        <v>3415400</v>
      </c>
      <c r="BH172" s="21">
        <v>5926200</v>
      </c>
      <c r="BI172" s="21">
        <v>2505100</v>
      </c>
      <c r="BJ172" s="21">
        <v>3521600</v>
      </c>
      <c r="BK172" s="21">
        <v>5132100</v>
      </c>
      <c r="BL172" s="21">
        <v>3737800</v>
      </c>
      <c r="BM172" s="1">
        <v>7619800</v>
      </c>
      <c r="BN172" s="1">
        <v>12861000</v>
      </c>
      <c r="BO172" s="1">
        <v>5059200</v>
      </c>
      <c r="BP172" s="1">
        <v>17287000</v>
      </c>
      <c r="BQ172" s="1">
        <v>3559000</v>
      </c>
      <c r="BR172" s="1">
        <v>4957700</v>
      </c>
      <c r="BS172" s="1">
        <v>11445100</v>
      </c>
      <c r="BT172" s="1">
        <v>5367000</v>
      </c>
      <c r="BU172" s="1">
        <v>2986500</v>
      </c>
      <c r="BV172" s="1">
        <v>2053700</v>
      </c>
      <c r="BW172" s="1">
        <v>2152900</v>
      </c>
      <c r="BX172" s="1">
        <v>2438100</v>
      </c>
      <c r="BY172" s="1">
        <v>2736000</v>
      </c>
      <c r="BZ172" s="1">
        <v>2690300</v>
      </c>
    </row>
    <row r="173" spans="1:254" ht="15.9" customHeight="1">
      <c r="A173" s="393" t="s">
        <v>340</v>
      </c>
      <c r="B173" s="46" t="s">
        <v>341</v>
      </c>
      <c r="C173" s="50">
        <f>_xll.RssMarket("4382","出来高")</f>
        <v>36200</v>
      </c>
      <c r="D173" s="16">
        <f t="shared" si="2"/>
        <v>0</v>
      </c>
      <c r="E173" s="21">
        <v>36200</v>
      </c>
      <c r="F173" s="21">
        <v>37800</v>
      </c>
      <c r="G173" s="21">
        <v>28400</v>
      </c>
      <c r="H173" s="21">
        <v>48800</v>
      </c>
      <c r="I173" s="21">
        <v>35400</v>
      </c>
      <c r="J173" s="21">
        <v>36600</v>
      </c>
      <c r="K173" s="21">
        <v>36800</v>
      </c>
      <c r="L173" s="21">
        <v>65900</v>
      </c>
      <c r="M173" s="21">
        <v>32000</v>
      </c>
      <c r="N173" s="21"/>
      <c r="O173" s="21">
        <v>25600</v>
      </c>
      <c r="P173" s="21">
        <v>29100</v>
      </c>
      <c r="Q173" s="21">
        <v>21600</v>
      </c>
      <c r="R173" s="21">
        <v>68700</v>
      </c>
      <c r="S173" s="21">
        <v>69000</v>
      </c>
      <c r="T173" s="21">
        <v>69800</v>
      </c>
      <c r="U173" s="21">
        <v>67800</v>
      </c>
      <c r="V173" s="21">
        <v>94800</v>
      </c>
      <c r="W173" s="21">
        <v>169300</v>
      </c>
      <c r="X173" s="21">
        <v>35900</v>
      </c>
      <c r="Y173" s="21">
        <v>37200</v>
      </c>
      <c r="Z173" s="21">
        <v>47700</v>
      </c>
      <c r="AA173" s="21">
        <v>33500</v>
      </c>
      <c r="AB173" s="21">
        <v>49400</v>
      </c>
      <c r="AC173" s="21">
        <v>57900</v>
      </c>
      <c r="AD173" s="21">
        <v>119000</v>
      </c>
      <c r="AE173" s="21">
        <v>65200</v>
      </c>
      <c r="AF173" s="21">
        <v>17200</v>
      </c>
      <c r="AG173" s="21">
        <v>14400</v>
      </c>
      <c r="AH173" s="21">
        <v>17600</v>
      </c>
      <c r="AI173" s="21">
        <v>44300</v>
      </c>
      <c r="AJ173" s="21">
        <v>36800</v>
      </c>
      <c r="AK173" s="21">
        <v>102600</v>
      </c>
      <c r="AL173" s="21">
        <v>16800</v>
      </c>
      <c r="AM173" s="21">
        <v>27300</v>
      </c>
      <c r="AN173" s="21">
        <v>52800</v>
      </c>
      <c r="AO173" s="21">
        <v>128800</v>
      </c>
      <c r="AP173" s="21">
        <v>105200</v>
      </c>
      <c r="AQ173" s="21">
        <v>40200</v>
      </c>
      <c r="AR173" s="21">
        <v>106200</v>
      </c>
      <c r="AS173" s="21">
        <v>31100</v>
      </c>
      <c r="AT173" s="21">
        <v>18700</v>
      </c>
      <c r="AU173" s="21">
        <v>51700</v>
      </c>
      <c r="AV173" s="21">
        <v>36500</v>
      </c>
      <c r="AW173" s="21">
        <v>26200</v>
      </c>
      <c r="AX173" s="21">
        <v>62300</v>
      </c>
      <c r="AY173" s="21">
        <v>75500</v>
      </c>
      <c r="AZ173" s="21">
        <v>41500</v>
      </c>
      <c r="BA173" s="21">
        <v>46800</v>
      </c>
      <c r="BB173" s="21">
        <v>26300</v>
      </c>
      <c r="BC173" s="21">
        <v>23700</v>
      </c>
      <c r="BD173" s="21">
        <v>19500</v>
      </c>
      <c r="BE173" s="21">
        <v>28300</v>
      </c>
      <c r="BF173" s="21">
        <v>35000</v>
      </c>
      <c r="BG173" s="21">
        <v>37600</v>
      </c>
      <c r="BH173" s="21">
        <v>47900</v>
      </c>
      <c r="BI173" s="21">
        <v>21500</v>
      </c>
      <c r="BJ173" s="21">
        <v>26300</v>
      </c>
      <c r="BK173" s="21">
        <v>79600</v>
      </c>
      <c r="BL173" s="21">
        <v>36600</v>
      </c>
      <c r="BM173" s="1">
        <v>31500</v>
      </c>
      <c r="BN173" s="1">
        <v>22600</v>
      </c>
      <c r="BO173" s="1">
        <v>46300</v>
      </c>
      <c r="BP173" s="1">
        <v>74600</v>
      </c>
      <c r="BQ173" s="1">
        <v>61800</v>
      </c>
      <c r="BR173" s="1">
        <v>53300</v>
      </c>
      <c r="BS173" s="1">
        <v>25800</v>
      </c>
      <c r="BT173" s="1">
        <v>12100</v>
      </c>
      <c r="BU173" s="1">
        <v>31000</v>
      </c>
      <c r="BV173" s="1">
        <v>20700</v>
      </c>
      <c r="BW173" s="1">
        <v>36000</v>
      </c>
      <c r="BX173" s="1">
        <v>54700</v>
      </c>
      <c r="BY173" s="1">
        <v>79900</v>
      </c>
      <c r="BZ173" s="1">
        <v>25400</v>
      </c>
    </row>
    <row r="174" spans="1:254" ht="15.9" customHeight="1">
      <c r="A174" s="393" t="s">
        <v>342</v>
      </c>
      <c r="B174" s="46" t="s">
        <v>343</v>
      </c>
      <c r="C174" s="50">
        <f>_xll.RssMarket("2327","出来高")</f>
        <v>196300</v>
      </c>
      <c r="D174" s="16">
        <f t="shared" si="2"/>
        <v>0</v>
      </c>
      <c r="E174" s="21">
        <v>196300</v>
      </c>
      <c r="F174" s="21">
        <v>237700</v>
      </c>
      <c r="G174" s="21">
        <v>295000</v>
      </c>
      <c r="H174" s="21">
        <v>400700</v>
      </c>
      <c r="I174" s="21">
        <v>501000</v>
      </c>
      <c r="J174" s="21">
        <v>510600</v>
      </c>
      <c r="K174" s="21">
        <v>372700</v>
      </c>
      <c r="L174" s="21">
        <v>260200</v>
      </c>
      <c r="M174" s="21">
        <v>318800</v>
      </c>
      <c r="N174" s="21">
        <v>213700</v>
      </c>
      <c r="O174" s="21">
        <v>244100</v>
      </c>
      <c r="P174" s="21">
        <v>199500</v>
      </c>
      <c r="Q174" s="21">
        <v>241500</v>
      </c>
      <c r="R174" s="21">
        <v>276700</v>
      </c>
      <c r="S174" s="21">
        <v>220600</v>
      </c>
      <c r="T174" s="21">
        <v>200400</v>
      </c>
      <c r="U174" s="21">
        <v>181100</v>
      </c>
      <c r="V174" s="21">
        <v>296000</v>
      </c>
      <c r="W174" s="21">
        <v>209000</v>
      </c>
      <c r="X174" s="21">
        <v>252000</v>
      </c>
      <c r="Y174" s="21">
        <v>336400</v>
      </c>
      <c r="Z174" s="21">
        <v>197900</v>
      </c>
      <c r="AA174" s="21">
        <v>372500</v>
      </c>
      <c r="AB174" s="21">
        <v>472200</v>
      </c>
      <c r="AC174" s="21">
        <v>286300</v>
      </c>
      <c r="AD174" s="21">
        <v>469300</v>
      </c>
      <c r="AE174" s="21">
        <v>394000</v>
      </c>
      <c r="AF174" s="21">
        <v>243800</v>
      </c>
      <c r="AG174" s="21">
        <v>290400</v>
      </c>
      <c r="AH174" s="21">
        <v>313700</v>
      </c>
      <c r="AI174" s="21">
        <v>342600</v>
      </c>
      <c r="AJ174" s="21">
        <v>507100</v>
      </c>
      <c r="AK174" s="21">
        <v>791100</v>
      </c>
      <c r="AL174" s="21">
        <v>226600</v>
      </c>
      <c r="AM174" s="21">
        <v>325900</v>
      </c>
      <c r="AN174" s="21">
        <v>379700</v>
      </c>
      <c r="AO174" s="21">
        <v>241000</v>
      </c>
      <c r="AP174" s="21">
        <v>253000</v>
      </c>
      <c r="AQ174" s="21">
        <v>191100</v>
      </c>
      <c r="AR174" s="21">
        <v>190700</v>
      </c>
      <c r="AS174" s="21">
        <v>134800</v>
      </c>
      <c r="AT174" s="21">
        <v>178700</v>
      </c>
      <c r="AU174" s="21">
        <v>246700</v>
      </c>
      <c r="AV174" s="21">
        <v>352900</v>
      </c>
      <c r="AW174" s="21">
        <v>210500</v>
      </c>
      <c r="AX174" s="21">
        <v>281800</v>
      </c>
      <c r="AY174" s="21">
        <v>247100</v>
      </c>
      <c r="AZ174" s="21">
        <v>242200</v>
      </c>
      <c r="BA174" s="21">
        <v>245600</v>
      </c>
      <c r="BB174" s="21">
        <v>158600</v>
      </c>
      <c r="BC174" s="21">
        <v>107700</v>
      </c>
      <c r="BD174" s="21">
        <v>168400</v>
      </c>
      <c r="BE174" s="21">
        <v>295500</v>
      </c>
      <c r="BF174" s="21">
        <v>366900</v>
      </c>
      <c r="BG174" s="21">
        <v>294500</v>
      </c>
      <c r="BH174" s="21">
        <v>257700</v>
      </c>
      <c r="BI174" s="21">
        <v>340700</v>
      </c>
      <c r="BJ174" s="21">
        <v>296500</v>
      </c>
      <c r="BK174" s="21">
        <v>241900</v>
      </c>
      <c r="BL174" s="21">
        <v>353500</v>
      </c>
      <c r="BM174" s="1">
        <v>323900</v>
      </c>
      <c r="BN174" s="1">
        <v>382500</v>
      </c>
      <c r="BO174" s="1">
        <v>361700</v>
      </c>
      <c r="BP174" s="1">
        <v>529800</v>
      </c>
      <c r="BQ174" s="1">
        <v>365100</v>
      </c>
      <c r="BR174" s="1">
        <v>218800</v>
      </c>
      <c r="BS174" s="1">
        <v>235900</v>
      </c>
      <c r="BT174" s="1">
        <v>167600</v>
      </c>
      <c r="BU174" s="1">
        <v>133000</v>
      </c>
      <c r="BV174" s="1">
        <v>128800</v>
      </c>
      <c r="BW174" s="1">
        <v>270900</v>
      </c>
      <c r="BX174" s="1">
        <v>183600</v>
      </c>
      <c r="BY174" s="1">
        <v>217400</v>
      </c>
      <c r="BZ174" s="1">
        <v>190800</v>
      </c>
    </row>
    <row r="175" spans="1:254" ht="15.9" customHeight="1">
      <c r="A175" s="393" t="s">
        <v>344</v>
      </c>
      <c r="B175" s="46" t="s">
        <v>345</v>
      </c>
      <c r="C175" s="50">
        <f>_xll.RssMarket("1942","出来高")</f>
        <v>1490600</v>
      </c>
      <c r="D175" s="16">
        <f t="shared" si="2"/>
        <v>0</v>
      </c>
      <c r="E175" s="21">
        <v>1490600</v>
      </c>
      <c r="F175" s="21">
        <v>1322200</v>
      </c>
      <c r="G175" s="21">
        <v>1116500</v>
      </c>
      <c r="H175" s="21">
        <v>1732200</v>
      </c>
      <c r="I175" s="21">
        <v>6796200</v>
      </c>
      <c r="J175" s="21">
        <v>1645400</v>
      </c>
      <c r="K175" s="21">
        <v>2398500</v>
      </c>
      <c r="L175" s="21">
        <v>1062500</v>
      </c>
      <c r="M175" s="21">
        <v>942100</v>
      </c>
      <c r="N175" s="21">
        <v>757400</v>
      </c>
      <c r="O175" s="21">
        <v>750600</v>
      </c>
      <c r="P175" s="21">
        <v>826800</v>
      </c>
      <c r="Q175" s="21">
        <v>717400</v>
      </c>
      <c r="R175" s="21">
        <v>1519900</v>
      </c>
      <c r="S175" s="21">
        <v>970200</v>
      </c>
      <c r="T175" s="21">
        <v>824500</v>
      </c>
      <c r="U175" s="21">
        <v>735100</v>
      </c>
      <c r="V175" s="21">
        <v>770600</v>
      </c>
      <c r="W175" s="21">
        <v>855500</v>
      </c>
      <c r="X175" s="21">
        <v>851400</v>
      </c>
      <c r="Y175" s="21">
        <v>987200</v>
      </c>
      <c r="Z175" s="21">
        <v>513100</v>
      </c>
      <c r="AA175" s="21">
        <v>763200</v>
      </c>
      <c r="AB175" s="21">
        <v>928000</v>
      </c>
      <c r="AC175" s="21">
        <v>655200</v>
      </c>
      <c r="AD175" s="21">
        <v>731000</v>
      </c>
      <c r="AE175" s="21">
        <v>840400</v>
      </c>
      <c r="AF175" s="21">
        <v>805700</v>
      </c>
      <c r="AG175" s="21">
        <v>762900</v>
      </c>
      <c r="AH175" s="21">
        <v>942700</v>
      </c>
      <c r="AI175" s="21">
        <v>916300</v>
      </c>
      <c r="AJ175" s="21">
        <v>1069300</v>
      </c>
      <c r="AK175" s="21">
        <v>2033200</v>
      </c>
      <c r="AL175" s="21">
        <v>759400</v>
      </c>
      <c r="AM175" s="21">
        <v>836500</v>
      </c>
      <c r="AN175" s="21">
        <v>920800</v>
      </c>
      <c r="AO175" s="21">
        <v>1390100</v>
      </c>
      <c r="AP175" s="21">
        <v>1376000</v>
      </c>
      <c r="AQ175" s="21">
        <v>778200</v>
      </c>
      <c r="AR175" s="21">
        <v>969800</v>
      </c>
      <c r="AS175" s="21">
        <v>889300</v>
      </c>
      <c r="AT175" s="21">
        <v>747600</v>
      </c>
      <c r="AU175" s="21">
        <v>1104600</v>
      </c>
      <c r="AV175" s="21">
        <v>2413900</v>
      </c>
      <c r="AW175" s="21">
        <v>958800</v>
      </c>
      <c r="AX175" s="21">
        <v>1430500</v>
      </c>
      <c r="AY175" s="21">
        <v>782800</v>
      </c>
      <c r="AZ175" s="21">
        <v>783000</v>
      </c>
      <c r="BA175" s="21">
        <v>1278200</v>
      </c>
      <c r="BB175" s="21">
        <v>1276300</v>
      </c>
      <c r="BC175" s="21">
        <v>1103700</v>
      </c>
      <c r="BD175" s="21">
        <v>1166500</v>
      </c>
      <c r="BE175" s="21">
        <v>1076500</v>
      </c>
      <c r="BF175" s="21">
        <v>1318600</v>
      </c>
      <c r="BG175" s="21">
        <v>999100</v>
      </c>
      <c r="BH175" s="21">
        <v>1185500</v>
      </c>
      <c r="BI175" s="21">
        <v>898200</v>
      </c>
      <c r="BJ175" s="21">
        <v>1450100</v>
      </c>
      <c r="BK175" s="21">
        <v>1230500</v>
      </c>
      <c r="BL175" s="21">
        <v>1397700</v>
      </c>
      <c r="BM175" s="1">
        <v>1967000</v>
      </c>
      <c r="BN175" s="1">
        <v>1585800</v>
      </c>
      <c r="BO175" s="1">
        <v>2659900</v>
      </c>
      <c r="BP175" s="1">
        <v>9927100</v>
      </c>
      <c r="BQ175" s="1">
        <v>1078500</v>
      </c>
      <c r="BR175" s="1">
        <v>738400</v>
      </c>
      <c r="BS175" s="1">
        <v>1031900</v>
      </c>
      <c r="BT175" s="1">
        <v>808400</v>
      </c>
      <c r="BU175" s="1">
        <v>709200</v>
      </c>
      <c r="BV175" s="1">
        <v>372400</v>
      </c>
      <c r="BW175" s="1">
        <v>499600</v>
      </c>
      <c r="BX175" s="1">
        <v>918500</v>
      </c>
      <c r="BY175" s="1">
        <v>849500</v>
      </c>
      <c r="BZ175" s="1">
        <v>591700</v>
      </c>
    </row>
    <row r="176" spans="1:254" ht="15.9" customHeight="1">
      <c r="A176" s="393" t="s">
        <v>346</v>
      </c>
      <c r="B176" s="46" t="s">
        <v>347</v>
      </c>
      <c r="C176" s="50">
        <f>_xll.RssMarket("1938","出来高")</f>
        <v>240800</v>
      </c>
      <c r="D176" s="16">
        <f t="shared" si="2"/>
        <v>0</v>
      </c>
      <c r="E176" s="21">
        <v>240800</v>
      </c>
      <c r="F176" s="21">
        <v>121800</v>
      </c>
      <c r="G176" s="21">
        <v>112200</v>
      </c>
      <c r="H176" s="21">
        <v>130100</v>
      </c>
      <c r="I176" s="21">
        <v>112100</v>
      </c>
      <c r="J176" s="21">
        <v>92200</v>
      </c>
      <c r="K176" s="21">
        <v>109400</v>
      </c>
      <c r="L176" s="21">
        <v>99500</v>
      </c>
      <c r="M176" s="21">
        <v>82400</v>
      </c>
      <c r="N176" s="21">
        <v>77000</v>
      </c>
      <c r="O176" s="21">
        <v>125100</v>
      </c>
      <c r="P176" s="21">
        <v>69900</v>
      </c>
      <c r="Q176" s="21">
        <v>86500</v>
      </c>
      <c r="R176" s="21">
        <v>130500</v>
      </c>
      <c r="S176" s="21">
        <v>92900</v>
      </c>
      <c r="T176" s="21">
        <v>64600</v>
      </c>
      <c r="U176" s="21">
        <v>80900</v>
      </c>
      <c r="V176" s="21">
        <v>56000</v>
      </c>
      <c r="W176" s="21">
        <v>69300</v>
      </c>
      <c r="X176" s="21">
        <v>68900</v>
      </c>
      <c r="Y176" s="21">
        <v>49800</v>
      </c>
      <c r="Z176" s="21">
        <v>67600</v>
      </c>
      <c r="AA176" s="21">
        <v>82400</v>
      </c>
      <c r="AB176" s="21">
        <v>75700</v>
      </c>
      <c r="AC176" s="21">
        <v>46400</v>
      </c>
      <c r="AD176" s="21">
        <v>58000</v>
      </c>
      <c r="AE176" s="21">
        <v>60900</v>
      </c>
      <c r="AF176" s="21">
        <v>55800</v>
      </c>
      <c r="AG176" s="21">
        <v>45400</v>
      </c>
      <c r="AH176" s="21">
        <v>35700</v>
      </c>
      <c r="AI176" s="21">
        <v>62300</v>
      </c>
      <c r="AJ176" s="21">
        <v>38900</v>
      </c>
      <c r="AK176" s="21">
        <v>52700</v>
      </c>
      <c r="AL176" s="21">
        <v>68900</v>
      </c>
      <c r="AM176" s="21">
        <v>67700</v>
      </c>
      <c r="AN176" s="21">
        <v>48000</v>
      </c>
      <c r="AO176" s="21">
        <v>75400</v>
      </c>
      <c r="AP176" s="21">
        <v>88800</v>
      </c>
      <c r="AQ176" s="21">
        <v>95000</v>
      </c>
      <c r="AR176" s="21">
        <v>72900</v>
      </c>
      <c r="AS176" s="21">
        <v>98000</v>
      </c>
      <c r="AT176" s="21">
        <v>74100</v>
      </c>
      <c r="AU176" s="21">
        <v>149700</v>
      </c>
      <c r="AV176" s="21">
        <v>99400</v>
      </c>
      <c r="AW176" s="21">
        <v>117100</v>
      </c>
      <c r="AX176" s="21">
        <v>84300</v>
      </c>
      <c r="AY176" s="21">
        <v>96000</v>
      </c>
      <c r="AZ176" s="21">
        <v>110200</v>
      </c>
      <c r="BA176" s="21">
        <v>127900</v>
      </c>
      <c r="BB176" s="21">
        <v>116300</v>
      </c>
      <c r="BC176" s="21">
        <v>146800</v>
      </c>
      <c r="BD176" s="21">
        <v>130100</v>
      </c>
      <c r="BE176" s="21">
        <v>107600</v>
      </c>
      <c r="BF176" s="21">
        <v>184900</v>
      </c>
      <c r="BG176" s="21">
        <v>203000</v>
      </c>
      <c r="BH176" s="21">
        <v>158000</v>
      </c>
      <c r="BI176" s="21">
        <v>265400</v>
      </c>
      <c r="BJ176" s="21">
        <v>403100</v>
      </c>
      <c r="BK176" s="21">
        <v>245800</v>
      </c>
      <c r="BL176" s="21">
        <v>156500</v>
      </c>
      <c r="BM176" s="1">
        <v>152000</v>
      </c>
      <c r="BN176" s="1">
        <v>170300</v>
      </c>
      <c r="BO176" s="1">
        <v>98600</v>
      </c>
      <c r="BP176" s="1">
        <v>189900</v>
      </c>
      <c r="BQ176" s="1">
        <v>95100</v>
      </c>
      <c r="BR176" s="1">
        <v>98600</v>
      </c>
      <c r="BS176" s="1">
        <v>99900</v>
      </c>
      <c r="BT176" s="1">
        <v>106700</v>
      </c>
      <c r="BU176" s="1">
        <v>108500</v>
      </c>
      <c r="BV176" s="1">
        <v>96800</v>
      </c>
      <c r="BW176" s="1">
        <v>76800</v>
      </c>
      <c r="BX176" s="1">
        <v>94200</v>
      </c>
      <c r="BY176" s="1">
        <v>80000</v>
      </c>
      <c r="BZ176" s="1">
        <v>99500</v>
      </c>
    </row>
    <row r="177" spans="1:254" ht="15.9" customHeight="1">
      <c r="A177" s="393" t="s">
        <v>348</v>
      </c>
      <c r="B177" s="46" t="s">
        <v>349</v>
      </c>
      <c r="C177" s="50">
        <f>_xll.RssMarket("7236","出来高")</f>
        <v>455900</v>
      </c>
      <c r="D177" s="16">
        <f t="shared" si="2"/>
        <v>0</v>
      </c>
      <c r="E177" s="21">
        <v>455900</v>
      </c>
      <c r="F177" s="21">
        <v>651300</v>
      </c>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21"/>
      <c r="AS177" s="21"/>
      <c r="AT177" s="21"/>
      <c r="AU177" s="21"/>
      <c r="AV177" s="21"/>
      <c r="AW177" s="21"/>
      <c r="AX177" s="21"/>
      <c r="AY177" s="21"/>
      <c r="AZ177" s="21"/>
      <c r="BA177" s="21"/>
      <c r="BB177" s="21"/>
      <c r="BC177" s="21"/>
      <c r="BD177" s="21"/>
      <c r="BE177" s="21"/>
      <c r="BF177" s="21"/>
      <c r="BG177" s="21"/>
      <c r="BH177" s="21"/>
      <c r="BI177" s="21"/>
      <c r="BJ177" s="21"/>
      <c r="BK177" s="21"/>
      <c r="BL177" s="21"/>
    </row>
    <row r="178" spans="1:254" ht="15.9" customHeight="1">
      <c r="A178" s="393" t="s">
        <v>350</v>
      </c>
      <c r="B178" s="46" t="s">
        <v>351</v>
      </c>
      <c r="C178" s="50">
        <f>_xll.RssMarket("6436","出来高")</f>
        <v>198300</v>
      </c>
      <c r="D178" s="16">
        <f t="shared" si="2"/>
        <v>0</v>
      </c>
      <c r="E178" s="21">
        <v>198300</v>
      </c>
      <c r="F178" s="21">
        <v>306300</v>
      </c>
      <c r="G178" s="21">
        <v>277100</v>
      </c>
      <c r="H178" s="21">
        <v>564500</v>
      </c>
      <c r="I178" s="21">
        <v>748400</v>
      </c>
      <c r="J178" s="21">
        <v>391000</v>
      </c>
      <c r="K178" s="21">
        <v>634500</v>
      </c>
      <c r="L178" s="21">
        <v>730300</v>
      </c>
      <c r="M178" s="21">
        <v>511200</v>
      </c>
      <c r="N178" s="21"/>
      <c r="O178" s="21">
        <v>202700</v>
      </c>
      <c r="P178" s="21">
        <v>191400</v>
      </c>
      <c r="Q178" s="21">
        <v>273900</v>
      </c>
      <c r="R178" s="21">
        <v>284600</v>
      </c>
      <c r="S178" s="21">
        <v>279500</v>
      </c>
      <c r="T178" s="21">
        <v>201700</v>
      </c>
      <c r="U178" s="21">
        <v>202100</v>
      </c>
      <c r="V178" s="21">
        <v>268800</v>
      </c>
      <c r="W178" s="21">
        <v>204400</v>
      </c>
      <c r="X178" s="21">
        <v>272700</v>
      </c>
      <c r="Y178" s="21">
        <v>284500</v>
      </c>
      <c r="Z178" s="21">
        <v>242400</v>
      </c>
      <c r="AA178" s="21">
        <v>198300</v>
      </c>
      <c r="AB178" s="21">
        <v>171900</v>
      </c>
      <c r="AC178" s="21">
        <v>246500</v>
      </c>
      <c r="AD178" s="21">
        <v>235600</v>
      </c>
      <c r="AE178" s="21">
        <v>249300</v>
      </c>
      <c r="AF178" s="21">
        <v>163100</v>
      </c>
      <c r="AG178" s="21">
        <v>138800</v>
      </c>
      <c r="AH178" s="21">
        <v>170600</v>
      </c>
      <c r="AI178" s="21">
        <v>256900</v>
      </c>
      <c r="AJ178" s="21">
        <v>173600</v>
      </c>
      <c r="AK178" s="21">
        <v>322300</v>
      </c>
      <c r="AL178" s="21">
        <v>197100</v>
      </c>
      <c r="AM178" s="21">
        <v>212400</v>
      </c>
      <c r="AN178" s="21">
        <v>214200</v>
      </c>
      <c r="AO178" s="21">
        <v>152700</v>
      </c>
      <c r="AP178" s="21">
        <v>213300</v>
      </c>
      <c r="AQ178" s="21">
        <v>170200</v>
      </c>
      <c r="AR178" s="21">
        <v>229400</v>
      </c>
      <c r="AS178" s="21">
        <v>313200</v>
      </c>
      <c r="AT178" s="21">
        <v>165700</v>
      </c>
      <c r="AU178" s="21">
        <v>217300</v>
      </c>
      <c r="AV178" s="21">
        <v>168400</v>
      </c>
      <c r="AW178" s="21">
        <v>246900</v>
      </c>
      <c r="AX178" s="21">
        <v>280400</v>
      </c>
      <c r="AY178" s="21">
        <v>206900</v>
      </c>
      <c r="AZ178" s="21">
        <v>217600</v>
      </c>
      <c r="BA178" s="21">
        <v>205200</v>
      </c>
      <c r="BB178" s="21">
        <v>204200</v>
      </c>
      <c r="BC178" s="21">
        <v>156900</v>
      </c>
      <c r="BD178" s="21">
        <v>286600</v>
      </c>
      <c r="BE178" s="21">
        <v>234600</v>
      </c>
      <c r="BF178" s="21">
        <v>209900</v>
      </c>
      <c r="BG178" s="21">
        <v>287100</v>
      </c>
      <c r="BH178" s="21">
        <v>293400</v>
      </c>
      <c r="BI178" s="21">
        <v>231500</v>
      </c>
      <c r="BJ178" s="21">
        <v>269000</v>
      </c>
      <c r="BK178" s="21">
        <v>313000</v>
      </c>
      <c r="BL178" s="21">
        <v>346300</v>
      </c>
      <c r="BM178" s="1">
        <v>507600</v>
      </c>
      <c r="BN178" s="1">
        <v>401500</v>
      </c>
      <c r="BO178" s="1">
        <v>572800</v>
      </c>
      <c r="BP178" s="1">
        <v>727700</v>
      </c>
      <c r="BQ178" s="1">
        <v>780400</v>
      </c>
      <c r="BR178" s="1">
        <v>226600</v>
      </c>
      <c r="BS178" s="1">
        <v>302400</v>
      </c>
      <c r="BT178" s="1">
        <v>283900</v>
      </c>
      <c r="BU178" s="1">
        <v>237400</v>
      </c>
      <c r="BV178" s="1">
        <v>133800</v>
      </c>
      <c r="BW178" s="1">
        <v>548200</v>
      </c>
      <c r="BX178" s="1">
        <v>211900</v>
      </c>
      <c r="BY178" s="1">
        <v>136200</v>
      </c>
      <c r="BZ178" s="1">
        <v>176300</v>
      </c>
    </row>
    <row r="179" spans="1:254" ht="15.9" customHeight="1">
      <c r="A179" s="393" t="s">
        <v>352</v>
      </c>
      <c r="B179" s="46" t="s">
        <v>353</v>
      </c>
      <c r="C179" s="50">
        <f>_xll.RssMarket("5410","出来高")</f>
        <v>109700</v>
      </c>
      <c r="D179" s="16">
        <f t="shared" si="2"/>
        <v>0</v>
      </c>
      <c r="E179" s="21">
        <v>109700</v>
      </c>
      <c r="F179" s="21">
        <v>123100</v>
      </c>
      <c r="G179" s="21">
        <v>92700</v>
      </c>
      <c r="H179" s="21">
        <v>135100</v>
      </c>
      <c r="I179" s="21">
        <v>172500</v>
      </c>
      <c r="J179" s="21">
        <v>112100</v>
      </c>
      <c r="K179" s="21">
        <v>152800</v>
      </c>
      <c r="L179" s="21">
        <v>96200</v>
      </c>
      <c r="M179" s="21">
        <v>100100</v>
      </c>
      <c r="N179" s="21">
        <v>53500</v>
      </c>
      <c r="O179" s="21">
        <v>67700</v>
      </c>
      <c r="P179" s="21">
        <v>74400</v>
      </c>
      <c r="Q179" s="21">
        <v>128700</v>
      </c>
      <c r="R179" s="21">
        <v>98300</v>
      </c>
      <c r="S179" s="21">
        <v>63700</v>
      </c>
      <c r="T179" s="21">
        <v>92300</v>
      </c>
      <c r="U179" s="21">
        <v>97900</v>
      </c>
      <c r="V179" s="21">
        <v>80800</v>
      </c>
      <c r="W179" s="21">
        <v>69200</v>
      </c>
      <c r="X179" s="21">
        <v>67500</v>
      </c>
      <c r="Y179" s="21">
        <v>121600</v>
      </c>
      <c r="Z179" s="21">
        <v>75500</v>
      </c>
      <c r="AA179" s="21">
        <v>109100</v>
      </c>
      <c r="AB179" s="21">
        <v>243400</v>
      </c>
      <c r="AC179" s="21">
        <v>83400</v>
      </c>
      <c r="AD179" s="21">
        <v>62700</v>
      </c>
      <c r="AE179" s="21">
        <v>83800</v>
      </c>
      <c r="AF179" s="21">
        <v>71800</v>
      </c>
      <c r="AG179" s="21">
        <v>115800</v>
      </c>
      <c r="AH179" s="21">
        <v>75300</v>
      </c>
      <c r="AI179" s="21">
        <v>79500</v>
      </c>
      <c r="AJ179" s="21">
        <v>99100</v>
      </c>
      <c r="AK179" s="21">
        <v>132200</v>
      </c>
      <c r="AL179" s="21">
        <v>117900</v>
      </c>
      <c r="AM179" s="21">
        <v>101300</v>
      </c>
      <c r="AN179" s="21">
        <v>82100</v>
      </c>
      <c r="AO179" s="21">
        <v>124400</v>
      </c>
      <c r="AP179" s="21">
        <v>100900</v>
      </c>
      <c r="AQ179" s="21">
        <v>98900</v>
      </c>
      <c r="AR179" s="21">
        <v>164900</v>
      </c>
      <c r="AS179" s="21">
        <v>157900</v>
      </c>
      <c r="AT179" s="21">
        <v>112600</v>
      </c>
      <c r="AU179" s="21">
        <v>128900</v>
      </c>
      <c r="AV179" s="21">
        <v>206700</v>
      </c>
      <c r="AW179" s="21">
        <v>164200</v>
      </c>
      <c r="AX179" s="21">
        <v>130000</v>
      </c>
      <c r="AY179" s="21">
        <v>210300</v>
      </c>
      <c r="AZ179" s="21">
        <v>210700</v>
      </c>
      <c r="BA179" s="21">
        <v>156400</v>
      </c>
      <c r="BB179" s="21">
        <v>147300</v>
      </c>
      <c r="BC179" s="21">
        <v>174700</v>
      </c>
      <c r="BD179" s="21">
        <v>241400</v>
      </c>
      <c r="BE179" s="21">
        <v>115800</v>
      </c>
      <c r="BF179" s="21">
        <v>166600</v>
      </c>
      <c r="BG179" s="21">
        <v>120200</v>
      </c>
      <c r="BH179" s="21">
        <v>125900</v>
      </c>
      <c r="BI179" s="21">
        <v>134700</v>
      </c>
      <c r="BJ179" s="21">
        <v>129500</v>
      </c>
      <c r="BK179" s="21">
        <v>120200</v>
      </c>
      <c r="BL179" s="21">
        <v>189100</v>
      </c>
      <c r="BM179" s="1">
        <v>201300</v>
      </c>
      <c r="BN179" s="1">
        <v>238900</v>
      </c>
      <c r="BO179" s="1">
        <v>353200</v>
      </c>
      <c r="BP179" s="1">
        <v>473700</v>
      </c>
      <c r="BQ179" s="1">
        <v>779300</v>
      </c>
      <c r="BR179" s="1">
        <v>76500</v>
      </c>
      <c r="BS179" s="1">
        <v>86400</v>
      </c>
      <c r="BT179" s="1">
        <v>105800</v>
      </c>
      <c r="BU179" s="1">
        <v>60300</v>
      </c>
      <c r="BV179" s="1">
        <v>53700</v>
      </c>
      <c r="BW179" s="1">
        <v>76100</v>
      </c>
      <c r="BX179" s="1">
        <v>57500</v>
      </c>
      <c r="BY179" s="1">
        <v>65000</v>
      </c>
      <c r="BZ179" s="1">
        <v>51200</v>
      </c>
    </row>
    <row r="180" spans="1:254" ht="15.9" customHeight="1">
      <c r="A180" s="393" t="s">
        <v>354</v>
      </c>
      <c r="B180" s="46" t="s">
        <v>355</v>
      </c>
      <c r="C180" s="50">
        <f>_xll.RssMarket("5440","出来高")</f>
        <v>132800</v>
      </c>
      <c r="D180" s="16">
        <f t="shared" si="2"/>
        <v>0</v>
      </c>
      <c r="E180" s="21">
        <v>132800</v>
      </c>
      <c r="F180" s="21">
        <v>116000</v>
      </c>
      <c r="G180" s="21">
        <v>151400</v>
      </c>
      <c r="H180" s="21">
        <v>249100</v>
      </c>
      <c r="I180" s="21">
        <v>190300</v>
      </c>
      <c r="J180" s="21">
        <v>180100</v>
      </c>
      <c r="K180" s="21">
        <v>168800</v>
      </c>
      <c r="L180" s="21">
        <v>122600</v>
      </c>
      <c r="M180" s="21">
        <v>113700</v>
      </c>
      <c r="N180" s="21"/>
      <c r="O180" s="21">
        <v>93400</v>
      </c>
      <c r="P180" s="21">
        <v>74400</v>
      </c>
      <c r="Q180" s="21">
        <v>120200</v>
      </c>
      <c r="R180" s="21">
        <v>112300</v>
      </c>
      <c r="S180" s="21">
        <v>75700</v>
      </c>
      <c r="T180" s="21">
        <v>99600</v>
      </c>
      <c r="U180" s="21">
        <v>85100</v>
      </c>
      <c r="V180" s="21">
        <v>93000</v>
      </c>
      <c r="W180" s="21">
        <v>79700</v>
      </c>
      <c r="X180" s="21">
        <v>94500</v>
      </c>
      <c r="Y180" s="21">
        <v>144500</v>
      </c>
      <c r="Z180" s="21">
        <v>81300</v>
      </c>
      <c r="AA180" s="21">
        <v>129500</v>
      </c>
      <c r="AB180" s="21">
        <v>160700</v>
      </c>
      <c r="AC180" s="21">
        <v>148400</v>
      </c>
      <c r="AD180" s="21">
        <v>238000</v>
      </c>
      <c r="AE180" s="21">
        <v>171500</v>
      </c>
      <c r="AF180" s="21">
        <v>196300</v>
      </c>
      <c r="AG180" s="21">
        <v>152300</v>
      </c>
      <c r="AH180" s="21">
        <v>127900</v>
      </c>
      <c r="AI180" s="21">
        <v>156700</v>
      </c>
      <c r="AJ180" s="21">
        <v>170600</v>
      </c>
      <c r="AK180" s="21">
        <v>151300</v>
      </c>
      <c r="AL180" s="21">
        <v>114900</v>
      </c>
      <c r="AM180" s="21">
        <v>113000</v>
      </c>
      <c r="AN180" s="21">
        <v>109200</v>
      </c>
      <c r="AO180" s="21">
        <v>114800</v>
      </c>
      <c r="AP180" s="21">
        <v>98400</v>
      </c>
      <c r="AQ180" s="21">
        <v>103600</v>
      </c>
      <c r="AR180" s="21">
        <v>120200</v>
      </c>
      <c r="AS180" s="21">
        <v>128300</v>
      </c>
      <c r="AT180" s="21">
        <v>84100</v>
      </c>
      <c r="AU180" s="21">
        <v>92800</v>
      </c>
      <c r="AV180" s="21">
        <v>169900</v>
      </c>
      <c r="AW180" s="21">
        <v>159800</v>
      </c>
      <c r="AX180" s="21">
        <v>185600</v>
      </c>
      <c r="AY180" s="21">
        <v>102100</v>
      </c>
      <c r="AZ180" s="21">
        <v>122500</v>
      </c>
      <c r="BA180" s="21">
        <v>203900</v>
      </c>
      <c r="BB180" s="21">
        <v>113400</v>
      </c>
      <c r="BC180" s="21">
        <v>178600</v>
      </c>
      <c r="BD180" s="21">
        <v>185600</v>
      </c>
      <c r="BE180" s="21">
        <v>158000</v>
      </c>
      <c r="BF180" s="21">
        <v>135400</v>
      </c>
      <c r="BG180" s="21">
        <v>136600</v>
      </c>
      <c r="BH180" s="21">
        <v>238300</v>
      </c>
      <c r="BI180" s="21">
        <v>190300</v>
      </c>
      <c r="BJ180" s="21">
        <v>133300</v>
      </c>
      <c r="BK180" s="21">
        <v>220300</v>
      </c>
      <c r="BL180" s="21">
        <v>264300</v>
      </c>
      <c r="BM180" s="1">
        <v>348300</v>
      </c>
      <c r="BN180" s="1">
        <v>365100</v>
      </c>
      <c r="BO180" s="1">
        <v>608300</v>
      </c>
      <c r="BP180" s="1">
        <v>137300</v>
      </c>
      <c r="BQ180" s="1">
        <v>148900</v>
      </c>
      <c r="BR180" s="1">
        <v>99000</v>
      </c>
      <c r="BS180" s="1">
        <v>90500</v>
      </c>
      <c r="BT180" s="1">
        <v>87000</v>
      </c>
      <c r="BU180" s="1">
        <v>99600</v>
      </c>
      <c r="BV180" s="1">
        <v>122200</v>
      </c>
      <c r="BW180" s="1">
        <v>56700</v>
      </c>
      <c r="BX180" s="1">
        <v>68600</v>
      </c>
      <c r="BY180" s="1">
        <v>69600</v>
      </c>
      <c r="BZ180" s="1">
        <v>73500</v>
      </c>
    </row>
    <row r="181" spans="1:254" ht="15.9" customHeight="1">
      <c r="A181" s="393" t="s">
        <v>356</v>
      </c>
      <c r="B181" s="46" t="s">
        <v>357</v>
      </c>
      <c r="C181" s="50">
        <f>_xll.RssMarket("9505","出来高")</f>
        <v>932100</v>
      </c>
      <c r="D181" s="16">
        <f t="shared" si="2"/>
        <v>0</v>
      </c>
      <c r="E181" s="21">
        <v>932100</v>
      </c>
      <c r="F181" s="21">
        <v>915000</v>
      </c>
      <c r="G181" s="21">
        <v>936000</v>
      </c>
      <c r="H181" s="21">
        <v>972600</v>
      </c>
      <c r="I181" s="21">
        <v>1360000</v>
      </c>
      <c r="J181" s="21">
        <v>1538200</v>
      </c>
      <c r="K181" s="21">
        <v>1843100</v>
      </c>
      <c r="L181" s="21">
        <v>1064200</v>
      </c>
      <c r="M181" s="21">
        <v>997300</v>
      </c>
      <c r="N181" s="21">
        <v>742600</v>
      </c>
      <c r="O181" s="21">
        <v>704700</v>
      </c>
      <c r="P181" s="21">
        <v>698900</v>
      </c>
      <c r="Q181" s="21">
        <v>1122200</v>
      </c>
      <c r="R181" s="21">
        <v>1173800</v>
      </c>
      <c r="S181" s="21">
        <v>799500</v>
      </c>
      <c r="T181" s="21">
        <v>561900</v>
      </c>
      <c r="U181" s="21">
        <v>699500</v>
      </c>
      <c r="V181" s="21">
        <v>776800</v>
      </c>
      <c r="W181" s="21">
        <v>698000</v>
      </c>
      <c r="X181" s="21">
        <v>644200</v>
      </c>
      <c r="Y181" s="21">
        <v>964600</v>
      </c>
      <c r="Z181" s="21">
        <v>1101000</v>
      </c>
      <c r="AA181" s="21">
        <v>568000</v>
      </c>
      <c r="AB181" s="21">
        <v>761900</v>
      </c>
      <c r="AC181" s="21">
        <v>748000</v>
      </c>
      <c r="AD181" s="21">
        <v>707000</v>
      </c>
      <c r="AE181" s="21">
        <v>784300</v>
      </c>
      <c r="AF181" s="21">
        <v>541300</v>
      </c>
      <c r="AG181" s="21">
        <v>610900</v>
      </c>
      <c r="AH181" s="21">
        <v>926100</v>
      </c>
      <c r="AI181" s="21">
        <v>678000</v>
      </c>
      <c r="AJ181" s="21">
        <v>585200</v>
      </c>
      <c r="AK181" s="21">
        <v>1118500</v>
      </c>
      <c r="AL181" s="21">
        <v>818000</v>
      </c>
      <c r="AM181" s="21">
        <v>883400</v>
      </c>
      <c r="AN181" s="21">
        <v>914900</v>
      </c>
      <c r="AO181" s="21">
        <v>1278300</v>
      </c>
      <c r="AP181" s="21">
        <v>990500</v>
      </c>
      <c r="AQ181" s="21">
        <v>1134800</v>
      </c>
      <c r="AR181" s="21">
        <v>800900</v>
      </c>
      <c r="AS181" s="21">
        <v>1386100</v>
      </c>
      <c r="AT181" s="21">
        <v>885500</v>
      </c>
      <c r="AU181" s="21">
        <v>945900</v>
      </c>
      <c r="AV181" s="21">
        <v>940400</v>
      </c>
      <c r="AW181" s="21">
        <v>1213200</v>
      </c>
      <c r="AX181" s="21">
        <v>1473600</v>
      </c>
      <c r="AY181" s="21">
        <v>1557100</v>
      </c>
      <c r="AZ181" s="21">
        <v>691100</v>
      </c>
      <c r="BA181" s="21">
        <v>728000</v>
      </c>
      <c r="BB181" s="21">
        <v>780900</v>
      </c>
      <c r="BC181" s="21">
        <v>743100</v>
      </c>
      <c r="BD181" s="21">
        <v>709700</v>
      </c>
      <c r="BE181" s="21">
        <v>868000</v>
      </c>
      <c r="BF181" s="21">
        <v>1159800</v>
      </c>
      <c r="BG181" s="21">
        <v>721500</v>
      </c>
      <c r="BH181" s="21">
        <v>654100</v>
      </c>
      <c r="BI181" s="21">
        <v>947400</v>
      </c>
      <c r="BJ181" s="21">
        <v>954700</v>
      </c>
      <c r="BK181" s="21">
        <v>1513200</v>
      </c>
      <c r="BL181" s="21">
        <v>1633000</v>
      </c>
      <c r="BM181" s="1">
        <v>3913800</v>
      </c>
      <c r="BN181" s="1">
        <v>2544600</v>
      </c>
      <c r="BO181" s="1">
        <v>5515700</v>
      </c>
      <c r="BP181" s="1">
        <v>737700</v>
      </c>
      <c r="BQ181" s="1">
        <v>1273900</v>
      </c>
      <c r="BR181" s="1">
        <v>712500</v>
      </c>
      <c r="BS181" s="1">
        <v>1085700</v>
      </c>
      <c r="BT181" s="1">
        <v>795200</v>
      </c>
      <c r="BU181" s="1">
        <v>676300</v>
      </c>
      <c r="BV181" s="1">
        <v>668100</v>
      </c>
      <c r="BW181" s="1">
        <v>570200</v>
      </c>
      <c r="BX181" s="1">
        <v>615400</v>
      </c>
      <c r="BY181" s="1">
        <v>704600</v>
      </c>
      <c r="BZ181" s="1">
        <v>587800</v>
      </c>
    </row>
    <row r="182" spans="1:254" ht="15.9" customHeight="1">
      <c r="A182" s="393" t="s">
        <v>358</v>
      </c>
      <c r="B182" s="46" t="s">
        <v>359</v>
      </c>
      <c r="C182" s="50">
        <f>_xll.RssMarket("8091","出来高")</f>
        <v>7700</v>
      </c>
      <c r="D182" s="16">
        <f t="shared" si="2"/>
        <v>0</v>
      </c>
      <c r="E182" s="21">
        <v>7700</v>
      </c>
      <c r="F182" s="21">
        <v>9900</v>
      </c>
      <c r="G182" s="21">
        <v>5700</v>
      </c>
      <c r="H182" s="21">
        <v>12100</v>
      </c>
      <c r="I182" s="21">
        <v>24400</v>
      </c>
      <c r="J182" s="21">
        <v>12200</v>
      </c>
      <c r="K182" s="21">
        <v>32200</v>
      </c>
      <c r="L182" s="21">
        <v>11000</v>
      </c>
      <c r="M182" s="21">
        <v>18900</v>
      </c>
      <c r="N182" s="21">
        <v>9500</v>
      </c>
      <c r="O182" s="21">
        <v>6700</v>
      </c>
      <c r="P182" s="21">
        <v>8500</v>
      </c>
      <c r="Q182" s="21">
        <v>20700</v>
      </c>
      <c r="R182" s="21">
        <v>18000</v>
      </c>
      <c r="S182" s="21">
        <v>13200</v>
      </c>
      <c r="T182" s="21">
        <v>9000</v>
      </c>
      <c r="U182" s="21">
        <v>13500</v>
      </c>
      <c r="V182" s="21">
        <v>18900</v>
      </c>
      <c r="W182" s="21">
        <v>15300</v>
      </c>
      <c r="X182" s="21">
        <v>22600</v>
      </c>
      <c r="Y182" s="21">
        <v>12600</v>
      </c>
      <c r="Z182" s="21">
        <v>13000</v>
      </c>
      <c r="AA182" s="21">
        <v>10900</v>
      </c>
      <c r="AB182" s="21">
        <v>17600</v>
      </c>
      <c r="AC182" s="21">
        <v>10500</v>
      </c>
      <c r="AD182" s="21">
        <v>6300</v>
      </c>
      <c r="AE182" s="21">
        <v>16600</v>
      </c>
      <c r="AF182" s="21">
        <v>11000</v>
      </c>
      <c r="AG182" s="21">
        <v>34500</v>
      </c>
      <c r="AH182" s="21">
        <v>15400</v>
      </c>
      <c r="AI182" s="21">
        <v>15800</v>
      </c>
      <c r="AJ182" s="21">
        <v>25100</v>
      </c>
      <c r="AK182" s="21">
        <v>29900</v>
      </c>
      <c r="AL182" s="21">
        <v>39200</v>
      </c>
      <c r="AM182" s="21">
        <v>13300</v>
      </c>
      <c r="AN182" s="21">
        <v>9700</v>
      </c>
      <c r="AO182" s="21">
        <v>25300</v>
      </c>
      <c r="AP182" s="21">
        <v>18900</v>
      </c>
      <c r="AQ182" s="21">
        <v>14400</v>
      </c>
      <c r="AR182" s="21">
        <v>8100</v>
      </c>
      <c r="AS182" s="21">
        <v>24600</v>
      </c>
      <c r="AT182" s="21">
        <v>27400</v>
      </c>
      <c r="AU182" s="21">
        <v>30000</v>
      </c>
      <c r="AV182" s="21">
        <v>41800</v>
      </c>
      <c r="AW182" s="21">
        <v>26200</v>
      </c>
      <c r="AX182" s="21">
        <v>18700</v>
      </c>
      <c r="AY182" s="21">
        <v>16300</v>
      </c>
      <c r="AZ182" s="21">
        <v>13200</v>
      </c>
      <c r="BA182" s="21">
        <v>36800</v>
      </c>
      <c r="BB182" s="21">
        <v>37800</v>
      </c>
      <c r="BC182" s="21">
        <v>25700</v>
      </c>
      <c r="BD182" s="21">
        <v>40900</v>
      </c>
      <c r="BE182" s="21">
        <v>48700</v>
      </c>
      <c r="BF182" s="21">
        <v>134600</v>
      </c>
      <c r="BG182" s="21">
        <v>34600</v>
      </c>
      <c r="BH182" s="21">
        <v>13800</v>
      </c>
      <c r="BI182" s="21">
        <v>15700</v>
      </c>
      <c r="BJ182" s="21">
        <v>16600</v>
      </c>
      <c r="BK182" s="21">
        <v>25300</v>
      </c>
      <c r="BL182" s="21">
        <v>31100</v>
      </c>
      <c r="BM182" s="1">
        <v>32300</v>
      </c>
      <c r="BN182" s="1">
        <v>44100</v>
      </c>
      <c r="BO182" s="1">
        <v>48500</v>
      </c>
      <c r="BP182" s="1">
        <v>37300</v>
      </c>
      <c r="BQ182" s="1">
        <v>132800</v>
      </c>
      <c r="BR182" s="1">
        <v>11300</v>
      </c>
      <c r="BS182" s="1">
        <v>15300</v>
      </c>
      <c r="BT182" s="1">
        <v>15100</v>
      </c>
      <c r="BU182" s="1">
        <v>10700</v>
      </c>
      <c r="BV182" s="1">
        <v>9300</v>
      </c>
      <c r="BW182" s="1">
        <v>7300</v>
      </c>
      <c r="BX182" s="1">
        <v>7000</v>
      </c>
      <c r="BY182" s="1">
        <v>8200</v>
      </c>
      <c r="BZ182" s="1">
        <v>14700</v>
      </c>
    </row>
    <row r="183" spans="1:254" ht="15.9" customHeight="1">
      <c r="A183" s="393" t="s">
        <v>360</v>
      </c>
      <c r="B183" s="46" t="s">
        <v>361</v>
      </c>
      <c r="C183" s="50">
        <f>_xll.RssMarket("6507","出来高")</f>
        <v>150800</v>
      </c>
      <c r="D183" s="16">
        <f t="shared" si="2"/>
        <v>0</v>
      </c>
      <c r="E183" s="21">
        <v>150800</v>
      </c>
      <c r="F183" s="21">
        <v>236700</v>
      </c>
      <c r="G183" s="21">
        <v>234200</v>
      </c>
      <c r="H183" s="21">
        <v>144300</v>
      </c>
      <c r="I183" s="21">
        <v>232300</v>
      </c>
      <c r="J183" s="21">
        <v>172000</v>
      </c>
      <c r="K183" s="21">
        <v>233300</v>
      </c>
      <c r="L183" s="21">
        <v>159100</v>
      </c>
      <c r="M183" s="21">
        <v>143300</v>
      </c>
      <c r="N183" s="21">
        <v>106800</v>
      </c>
      <c r="O183" s="21">
        <v>102800</v>
      </c>
      <c r="P183" s="21">
        <v>110800</v>
      </c>
      <c r="Q183" s="21">
        <v>129400</v>
      </c>
      <c r="R183" s="21">
        <v>224500</v>
      </c>
      <c r="S183" s="21">
        <v>118200</v>
      </c>
      <c r="T183" s="21">
        <v>101000</v>
      </c>
      <c r="U183" s="21">
        <v>126900</v>
      </c>
      <c r="V183" s="21">
        <v>132000</v>
      </c>
      <c r="W183" s="21">
        <v>121600</v>
      </c>
      <c r="X183" s="21">
        <v>192900</v>
      </c>
      <c r="Y183" s="21">
        <v>177600</v>
      </c>
      <c r="Z183" s="21">
        <v>199300</v>
      </c>
      <c r="AA183" s="21">
        <v>128100</v>
      </c>
      <c r="AB183" s="21">
        <v>138700</v>
      </c>
      <c r="AC183" s="21">
        <v>152900</v>
      </c>
      <c r="AD183" s="21">
        <v>169100</v>
      </c>
      <c r="AE183" s="21">
        <v>104600</v>
      </c>
      <c r="AF183" s="21">
        <v>121500</v>
      </c>
      <c r="AG183" s="21">
        <v>150400</v>
      </c>
      <c r="AH183" s="21">
        <v>120400</v>
      </c>
      <c r="AI183" s="21">
        <v>136400</v>
      </c>
      <c r="AJ183" s="21">
        <v>188300</v>
      </c>
      <c r="AK183" s="21">
        <v>225100</v>
      </c>
      <c r="AL183" s="21">
        <v>250500</v>
      </c>
      <c r="AM183" s="21">
        <v>248900</v>
      </c>
      <c r="AN183" s="21">
        <v>176200</v>
      </c>
      <c r="AO183" s="21">
        <v>143900</v>
      </c>
      <c r="AP183" s="21">
        <v>187400</v>
      </c>
      <c r="AQ183" s="21">
        <v>217200</v>
      </c>
      <c r="AR183" s="21">
        <v>154500</v>
      </c>
      <c r="AS183" s="21">
        <v>209900</v>
      </c>
      <c r="AT183" s="21">
        <v>218000</v>
      </c>
      <c r="AU183" s="21">
        <v>340900</v>
      </c>
      <c r="AV183" s="21">
        <v>204200</v>
      </c>
      <c r="AW183" s="21">
        <v>370200</v>
      </c>
      <c r="AX183" s="21">
        <v>317700</v>
      </c>
      <c r="AY183" s="21">
        <v>231400</v>
      </c>
      <c r="AZ183" s="21">
        <v>154200</v>
      </c>
      <c r="BA183" s="21">
        <v>174900</v>
      </c>
      <c r="BB183" s="21">
        <v>155800</v>
      </c>
      <c r="BC183" s="21">
        <v>205600</v>
      </c>
      <c r="BD183" s="21">
        <v>311700</v>
      </c>
      <c r="BE183" s="21">
        <v>295100</v>
      </c>
      <c r="BF183" s="21">
        <v>143100</v>
      </c>
      <c r="BG183" s="21">
        <v>303100</v>
      </c>
      <c r="BH183" s="21">
        <v>649600</v>
      </c>
      <c r="BI183" s="21">
        <v>165100</v>
      </c>
      <c r="BJ183" s="21">
        <v>163400</v>
      </c>
      <c r="BK183" s="21">
        <v>174600</v>
      </c>
      <c r="BL183" s="21">
        <v>150400</v>
      </c>
      <c r="BM183" s="1">
        <v>291400</v>
      </c>
      <c r="BN183" s="1">
        <v>198200</v>
      </c>
      <c r="BO183" s="1">
        <v>175600</v>
      </c>
      <c r="BP183" s="1">
        <v>165100</v>
      </c>
      <c r="BQ183" s="1">
        <v>98300</v>
      </c>
      <c r="BR183" s="1">
        <v>77100</v>
      </c>
      <c r="BS183" s="1">
        <v>140600</v>
      </c>
      <c r="BT183" s="1">
        <v>174700</v>
      </c>
      <c r="BU183" s="1">
        <v>114000</v>
      </c>
      <c r="BV183" s="1">
        <v>114300</v>
      </c>
      <c r="BW183" s="1">
        <v>122900</v>
      </c>
      <c r="BX183" s="1">
        <v>260100</v>
      </c>
      <c r="BY183" s="1">
        <v>195900</v>
      </c>
      <c r="BZ183" s="1">
        <v>121800</v>
      </c>
    </row>
    <row r="184" spans="1:254" ht="15.9" customHeight="1">
      <c r="A184" s="393" t="s">
        <v>362</v>
      </c>
      <c r="B184" s="46" t="s">
        <v>363</v>
      </c>
      <c r="C184" s="50">
        <f>_xll.RssMarket("9022","出来高")</f>
        <v>2156300</v>
      </c>
      <c r="D184" s="16">
        <f t="shared" si="2"/>
        <v>0</v>
      </c>
      <c r="E184" s="21">
        <v>2156300</v>
      </c>
      <c r="F184" s="21">
        <v>2518500</v>
      </c>
      <c r="G184" s="21">
        <v>3808600</v>
      </c>
      <c r="H184" s="21">
        <v>4205800</v>
      </c>
      <c r="I184" s="21">
        <v>4408300</v>
      </c>
      <c r="J184" s="21">
        <v>3270900</v>
      </c>
      <c r="K184" s="21">
        <v>4516500</v>
      </c>
      <c r="L184" s="21">
        <v>2777700</v>
      </c>
      <c r="M184" s="21">
        <v>2928300</v>
      </c>
      <c r="N184" s="21">
        <v>3037400</v>
      </c>
      <c r="O184" s="21">
        <v>2560300</v>
      </c>
      <c r="P184" s="21">
        <v>2532700</v>
      </c>
      <c r="Q184" s="21">
        <v>3903400</v>
      </c>
      <c r="R184" s="21">
        <v>3012200</v>
      </c>
      <c r="S184" s="21">
        <v>3232700</v>
      </c>
      <c r="T184" s="21">
        <v>3602500</v>
      </c>
      <c r="U184" s="21">
        <v>1960200</v>
      </c>
      <c r="V184" s="21">
        <v>2264500</v>
      </c>
      <c r="W184" s="21">
        <v>3001600</v>
      </c>
      <c r="X184" s="21">
        <v>3720900</v>
      </c>
      <c r="Y184" s="21">
        <v>4949900</v>
      </c>
      <c r="Z184" s="21">
        <v>2034000</v>
      </c>
      <c r="AA184" s="21">
        <v>3111100</v>
      </c>
      <c r="AB184" s="21">
        <v>2448300</v>
      </c>
      <c r="AC184" s="21">
        <v>2489900</v>
      </c>
      <c r="AD184" s="21">
        <v>4226200</v>
      </c>
      <c r="AE184" s="21">
        <v>3489800</v>
      </c>
      <c r="AF184" s="21">
        <v>3077700</v>
      </c>
      <c r="AG184" s="21">
        <v>2765100</v>
      </c>
      <c r="AH184" s="21">
        <v>3089400</v>
      </c>
      <c r="AI184" s="21">
        <v>3734500</v>
      </c>
      <c r="AJ184" s="21">
        <v>2116300</v>
      </c>
      <c r="AK184" s="21">
        <v>5672000</v>
      </c>
      <c r="AL184" s="21">
        <v>3769400</v>
      </c>
      <c r="AM184" s="21">
        <v>3410000</v>
      </c>
      <c r="AN184" s="21">
        <v>4201800</v>
      </c>
      <c r="AO184" s="21">
        <v>4772400</v>
      </c>
      <c r="AP184" s="21">
        <v>3929200</v>
      </c>
      <c r="AQ184" s="21">
        <v>3340700</v>
      </c>
      <c r="AR184" s="21">
        <v>3640600</v>
      </c>
      <c r="AS184" s="21">
        <v>3521100</v>
      </c>
      <c r="AT184" s="21">
        <v>2342400</v>
      </c>
      <c r="AU184" s="21">
        <v>2570600</v>
      </c>
      <c r="AV184" s="21">
        <v>2842000</v>
      </c>
      <c r="AW184" s="21">
        <v>2876100</v>
      </c>
      <c r="AX184" s="21">
        <v>5172400</v>
      </c>
      <c r="AY184" s="21">
        <v>2430400</v>
      </c>
      <c r="AZ184" s="21">
        <v>2385200</v>
      </c>
      <c r="BA184" s="21">
        <v>2264600</v>
      </c>
      <c r="BB184" s="21">
        <v>2768700</v>
      </c>
      <c r="BC184" s="21">
        <v>2349300</v>
      </c>
      <c r="BD184" s="21">
        <v>2895400</v>
      </c>
      <c r="BE184" s="21">
        <v>2568200</v>
      </c>
      <c r="BF184" s="21">
        <v>2609100</v>
      </c>
      <c r="BG184" s="21">
        <v>3211200</v>
      </c>
      <c r="BH184" s="21">
        <v>2469100</v>
      </c>
      <c r="BI184" s="21">
        <v>2442600</v>
      </c>
      <c r="BJ184" s="21">
        <v>2408300</v>
      </c>
      <c r="BK184" s="21">
        <v>3195300</v>
      </c>
      <c r="BL184" s="21">
        <v>3953200</v>
      </c>
      <c r="BM184" s="1">
        <v>4824200</v>
      </c>
      <c r="BN184" s="1">
        <v>5579600</v>
      </c>
      <c r="BO184" s="1">
        <v>7976700</v>
      </c>
      <c r="BP184" s="1">
        <v>5280800</v>
      </c>
      <c r="BQ184" s="1">
        <v>2248900</v>
      </c>
      <c r="BR184" s="1">
        <v>1967900</v>
      </c>
      <c r="BS184" s="1">
        <v>2725400</v>
      </c>
      <c r="BT184" s="1">
        <v>2063800</v>
      </c>
      <c r="BU184" s="1">
        <v>2349200</v>
      </c>
      <c r="BV184" s="1">
        <v>1851300</v>
      </c>
      <c r="BW184" s="1">
        <v>2082300</v>
      </c>
      <c r="BX184" s="1">
        <v>2481900</v>
      </c>
      <c r="BY184" s="1">
        <v>3961900</v>
      </c>
      <c r="BZ184" s="1">
        <v>2643700</v>
      </c>
    </row>
    <row r="185" spans="1:254" ht="15.9" customHeight="1">
      <c r="A185" s="393" t="s">
        <v>364</v>
      </c>
      <c r="B185" s="46" t="s">
        <v>365</v>
      </c>
      <c r="C185" s="50">
        <f>_xll.RssMarket("9536","出来高")</f>
        <v>71200</v>
      </c>
      <c r="D185" s="16">
        <f t="shared" si="2"/>
        <v>0</v>
      </c>
      <c r="E185" s="21">
        <v>71200</v>
      </c>
      <c r="F185" s="21">
        <v>80600</v>
      </c>
      <c r="G185" s="21">
        <v>96900</v>
      </c>
      <c r="H185" s="21">
        <v>92900</v>
      </c>
      <c r="I185" s="21">
        <v>93000</v>
      </c>
      <c r="J185" s="21">
        <v>96700</v>
      </c>
      <c r="K185" s="21">
        <v>107200</v>
      </c>
      <c r="L185" s="21">
        <v>61100</v>
      </c>
      <c r="M185" s="21">
        <v>53400</v>
      </c>
      <c r="N185" s="21">
        <v>64800</v>
      </c>
      <c r="O185" s="21">
        <v>41100</v>
      </c>
      <c r="P185" s="21">
        <v>62000</v>
      </c>
      <c r="Q185" s="21">
        <v>66700</v>
      </c>
      <c r="R185" s="21">
        <v>67700</v>
      </c>
      <c r="S185" s="21">
        <v>44900</v>
      </c>
      <c r="T185" s="21">
        <v>38700</v>
      </c>
      <c r="U185" s="21">
        <v>61400</v>
      </c>
      <c r="V185" s="21">
        <v>99500</v>
      </c>
      <c r="W185" s="21">
        <v>93700</v>
      </c>
      <c r="X185" s="21">
        <v>73700</v>
      </c>
      <c r="Y185" s="21">
        <v>98800</v>
      </c>
      <c r="Z185" s="21">
        <v>95100</v>
      </c>
      <c r="AA185" s="21">
        <v>73500</v>
      </c>
      <c r="AB185" s="21">
        <v>73400</v>
      </c>
      <c r="AC185" s="21">
        <v>86900</v>
      </c>
      <c r="AD185" s="21">
        <v>73300</v>
      </c>
      <c r="AE185" s="21">
        <v>83500</v>
      </c>
      <c r="AF185" s="21">
        <v>48600</v>
      </c>
      <c r="AG185" s="21">
        <v>54300</v>
      </c>
      <c r="AH185" s="21">
        <v>55100</v>
      </c>
      <c r="AI185" s="21">
        <v>58500</v>
      </c>
      <c r="AJ185" s="21">
        <v>77400</v>
      </c>
      <c r="AK185" s="21">
        <v>96400</v>
      </c>
      <c r="AL185" s="21">
        <v>59300</v>
      </c>
      <c r="AM185" s="21">
        <v>55900</v>
      </c>
      <c r="AN185" s="21">
        <v>62500</v>
      </c>
      <c r="AO185" s="21">
        <v>60200</v>
      </c>
      <c r="AP185" s="21">
        <v>77100</v>
      </c>
      <c r="AQ185" s="21">
        <v>56200</v>
      </c>
      <c r="AR185" s="21">
        <v>68900</v>
      </c>
      <c r="AS185" s="21">
        <v>73100</v>
      </c>
      <c r="AT185" s="21">
        <v>56200</v>
      </c>
      <c r="AU185" s="21">
        <v>67600</v>
      </c>
      <c r="AV185" s="21">
        <v>71000</v>
      </c>
      <c r="AW185" s="21">
        <v>111600</v>
      </c>
      <c r="AX185" s="21">
        <v>88700</v>
      </c>
      <c r="AY185" s="21">
        <v>99600</v>
      </c>
      <c r="AZ185" s="21">
        <v>70500</v>
      </c>
      <c r="BA185" s="21">
        <v>67700</v>
      </c>
      <c r="BB185" s="21">
        <v>53800</v>
      </c>
      <c r="BC185" s="21">
        <v>43500</v>
      </c>
      <c r="BD185" s="21">
        <v>61700</v>
      </c>
      <c r="BE185" s="21">
        <v>60100</v>
      </c>
      <c r="BF185" s="21">
        <v>96400</v>
      </c>
      <c r="BG185" s="21">
        <v>41400</v>
      </c>
      <c r="BH185" s="21">
        <v>45300</v>
      </c>
      <c r="BI185" s="21">
        <v>58700</v>
      </c>
      <c r="BJ185" s="21">
        <v>66700</v>
      </c>
      <c r="BK185" s="21">
        <v>79500</v>
      </c>
      <c r="BL185" s="21">
        <v>85000</v>
      </c>
      <c r="BM185" s="1">
        <v>112400</v>
      </c>
      <c r="BN185" s="1">
        <v>183300</v>
      </c>
      <c r="BO185" s="1">
        <v>311300</v>
      </c>
      <c r="BP185" s="1">
        <v>64400</v>
      </c>
      <c r="BQ185" s="1">
        <v>59400</v>
      </c>
      <c r="BR185" s="1">
        <v>44600</v>
      </c>
      <c r="BS185" s="1">
        <v>64100</v>
      </c>
      <c r="BT185" s="1">
        <v>66000</v>
      </c>
      <c r="BU185" s="1">
        <v>69100</v>
      </c>
      <c r="BV185" s="1">
        <v>61300</v>
      </c>
      <c r="BW185" s="1">
        <v>41900</v>
      </c>
      <c r="BX185" s="1">
        <v>49500</v>
      </c>
      <c r="BY185" s="1">
        <v>53500</v>
      </c>
      <c r="BZ185" s="1">
        <v>44400</v>
      </c>
    </row>
    <row r="186" spans="1:254" ht="15.9" customHeight="1">
      <c r="A186" s="393" t="s">
        <v>366</v>
      </c>
      <c r="B186" s="46" t="s">
        <v>367</v>
      </c>
      <c r="C186" s="50">
        <f>_xll.RssMarket("9506","出来高")</f>
        <v>3154500</v>
      </c>
      <c r="D186" s="16">
        <f t="shared" si="2"/>
        <v>0</v>
      </c>
      <c r="E186" s="21">
        <v>3154500</v>
      </c>
      <c r="F186" s="21">
        <v>2287600</v>
      </c>
      <c r="G186" s="21">
        <v>3307200</v>
      </c>
      <c r="H186" s="21">
        <v>4527600</v>
      </c>
      <c r="I186" s="21">
        <v>3642200</v>
      </c>
      <c r="J186" s="21">
        <v>4552700</v>
      </c>
      <c r="K186" s="21">
        <v>3882700</v>
      </c>
      <c r="L186" s="21">
        <v>2468500</v>
      </c>
      <c r="M186" s="21">
        <v>2483700</v>
      </c>
      <c r="N186" s="21">
        <v>1801100</v>
      </c>
      <c r="O186" s="21">
        <v>2183100</v>
      </c>
      <c r="P186" s="21">
        <v>2621900</v>
      </c>
      <c r="Q186" s="21">
        <v>2880000</v>
      </c>
      <c r="R186" s="21">
        <v>3457000</v>
      </c>
      <c r="S186" s="21">
        <v>2907300</v>
      </c>
      <c r="T186" s="21">
        <v>2181100</v>
      </c>
      <c r="U186" s="21">
        <v>1641000</v>
      </c>
      <c r="V186" s="21">
        <v>2069300</v>
      </c>
      <c r="W186" s="21">
        <v>2485100</v>
      </c>
      <c r="X186" s="21">
        <v>1907500</v>
      </c>
      <c r="Y186" s="21">
        <v>2430700</v>
      </c>
      <c r="Z186" s="21">
        <v>2552800</v>
      </c>
      <c r="AA186" s="21">
        <v>2817400</v>
      </c>
      <c r="AB186" s="21">
        <v>1949700</v>
      </c>
      <c r="AC186" s="21">
        <v>2103900</v>
      </c>
      <c r="AD186" s="21">
        <v>2862600</v>
      </c>
      <c r="AE186" s="21">
        <v>2353800</v>
      </c>
      <c r="AF186" s="21">
        <v>1805100</v>
      </c>
      <c r="AG186" s="21">
        <v>2095600</v>
      </c>
      <c r="AH186" s="21">
        <v>1653000</v>
      </c>
      <c r="AI186" s="21">
        <v>1678300</v>
      </c>
      <c r="AJ186" s="21">
        <v>1663900</v>
      </c>
      <c r="AK186" s="21">
        <v>1762900</v>
      </c>
      <c r="AL186" s="21">
        <v>1393500</v>
      </c>
      <c r="AM186" s="21">
        <v>1967700</v>
      </c>
      <c r="AN186" s="21">
        <v>1926100</v>
      </c>
      <c r="AO186" s="21">
        <v>3314900</v>
      </c>
      <c r="AP186" s="21">
        <v>2277600</v>
      </c>
      <c r="AQ186" s="21">
        <v>2742000</v>
      </c>
      <c r="AR186" s="21">
        <v>1721000</v>
      </c>
      <c r="AS186" s="21">
        <v>2547900</v>
      </c>
      <c r="AT186" s="21">
        <v>1860900</v>
      </c>
      <c r="AU186" s="21">
        <v>2763700</v>
      </c>
      <c r="AV186" s="21">
        <v>2761800</v>
      </c>
      <c r="AW186" s="21">
        <v>2757600</v>
      </c>
      <c r="AX186" s="21">
        <v>6022300</v>
      </c>
      <c r="AY186" s="21">
        <v>3141000</v>
      </c>
      <c r="AZ186" s="21">
        <v>3922300</v>
      </c>
      <c r="BA186" s="21">
        <v>2098600</v>
      </c>
      <c r="BB186" s="21">
        <v>2775300</v>
      </c>
      <c r="BC186" s="21">
        <v>2738300</v>
      </c>
      <c r="BD186" s="21">
        <v>2807400</v>
      </c>
      <c r="BE186" s="21">
        <v>1942700</v>
      </c>
      <c r="BF186" s="21">
        <v>2835400</v>
      </c>
      <c r="BG186" s="21">
        <v>2067300</v>
      </c>
      <c r="BH186" s="21">
        <v>1797900</v>
      </c>
      <c r="BI186" s="21">
        <v>2202200</v>
      </c>
      <c r="BJ186" s="21">
        <v>1681900</v>
      </c>
      <c r="BK186" s="21">
        <v>3031000</v>
      </c>
      <c r="BL186" s="21">
        <v>3157800</v>
      </c>
      <c r="BM186" s="1">
        <v>4570100</v>
      </c>
      <c r="BN186" s="1">
        <v>5321900</v>
      </c>
      <c r="BO186" s="1">
        <v>4600700</v>
      </c>
      <c r="BP186" s="1">
        <v>2428600</v>
      </c>
      <c r="BQ186" s="1">
        <v>1406900</v>
      </c>
      <c r="BR186" s="1">
        <v>1505400</v>
      </c>
      <c r="BS186" s="1">
        <v>1706800</v>
      </c>
      <c r="BT186" s="1">
        <v>1772400</v>
      </c>
      <c r="BU186" s="1">
        <v>2511800</v>
      </c>
      <c r="BV186" s="1">
        <v>2524400</v>
      </c>
      <c r="BW186" s="1">
        <v>1683300</v>
      </c>
      <c r="BX186" s="1">
        <v>1406600</v>
      </c>
      <c r="BY186" s="1">
        <v>1844300</v>
      </c>
      <c r="BZ186" s="1">
        <v>2277300</v>
      </c>
    </row>
    <row r="187" spans="1:254" ht="15.9" customHeight="1">
      <c r="A187" s="393" t="s">
        <v>368</v>
      </c>
      <c r="B187" s="46" t="s">
        <v>369</v>
      </c>
      <c r="C187" s="50">
        <f>_xll.RssMarket("2127","出来高")</f>
        <v>1470100</v>
      </c>
      <c r="D187" s="16">
        <f t="shared" si="2"/>
        <v>0</v>
      </c>
      <c r="E187" s="21">
        <v>1470100</v>
      </c>
      <c r="F187" s="21">
        <v>2059100</v>
      </c>
      <c r="G187" s="21">
        <v>2417800</v>
      </c>
      <c r="H187" s="21">
        <v>3881800</v>
      </c>
      <c r="I187" s="21">
        <v>9352100</v>
      </c>
      <c r="J187" s="21">
        <v>4555900</v>
      </c>
      <c r="K187" s="21">
        <v>2513500</v>
      </c>
      <c r="L187" s="21">
        <v>1828500</v>
      </c>
      <c r="M187" s="21">
        <v>1865400</v>
      </c>
      <c r="N187" s="21">
        <v>2178900</v>
      </c>
      <c r="O187" s="21">
        <v>1543000</v>
      </c>
      <c r="P187" s="21">
        <v>1321900</v>
      </c>
      <c r="Q187" s="21">
        <v>1249200</v>
      </c>
      <c r="R187" s="21">
        <v>1308600</v>
      </c>
      <c r="S187" s="21">
        <v>807100</v>
      </c>
      <c r="T187" s="21">
        <v>1066600</v>
      </c>
      <c r="U187" s="21">
        <v>783100</v>
      </c>
      <c r="V187" s="21">
        <v>1294500</v>
      </c>
      <c r="W187" s="21">
        <v>1296100</v>
      </c>
      <c r="X187" s="21">
        <v>1540800</v>
      </c>
      <c r="Y187" s="21">
        <v>2033300</v>
      </c>
      <c r="Z187" s="21">
        <v>2714900</v>
      </c>
      <c r="AA187" s="21">
        <v>1270300</v>
      </c>
      <c r="AB187" s="21">
        <v>1676300</v>
      </c>
      <c r="AC187" s="21">
        <v>1332700</v>
      </c>
      <c r="AD187" s="21">
        <v>2073400</v>
      </c>
      <c r="AE187" s="21">
        <v>2692600</v>
      </c>
      <c r="AF187" s="21">
        <v>2128700</v>
      </c>
      <c r="AG187" s="21">
        <v>1480500</v>
      </c>
      <c r="AH187" s="21">
        <v>1409000</v>
      </c>
      <c r="AI187" s="21">
        <v>1850400</v>
      </c>
      <c r="AJ187" s="21">
        <v>1629900</v>
      </c>
      <c r="AK187" s="21">
        <v>2094300</v>
      </c>
      <c r="AL187" s="21">
        <v>1766400</v>
      </c>
      <c r="AM187" s="21">
        <v>1269200</v>
      </c>
      <c r="AN187" s="21">
        <v>1153100</v>
      </c>
      <c r="AO187" s="21">
        <v>1274900</v>
      </c>
      <c r="AP187" s="21">
        <v>1965600</v>
      </c>
      <c r="AQ187" s="21">
        <v>1298900</v>
      </c>
      <c r="AR187" s="21">
        <v>1527700</v>
      </c>
      <c r="AS187" s="21">
        <v>1386600</v>
      </c>
      <c r="AT187" s="21">
        <v>1599000</v>
      </c>
      <c r="AU187" s="21">
        <v>1686900</v>
      </c>
      <c r="AV187" s="21">
        <v>1802800</v>
      </c>
      <c r="AW187" s="21">
        <v>1659800</v>
      </c>
      <c r="AX187" s="21">
        <v>1496400</v>
      </c>
      <c r="AY187" s="21">
        <v>2011200</v>
      </c>
      <c r="AZ187" s="21">
        <v>2472200</v>
      </c>
      <c r="BA187" s="21">
        <v>1361300</v>
      </c>
      <c r="BB187" s="21">
        <v>1227400</v>
      </c>
      <c r="BC187" s="21">
        <v>1292200</v>
      </c>
      <c r="BD187" s="21">
        <v>1998300</v>
      </c>
      <c r="BE187" s="21">
        <v>1661400</v>
      </c>
      <c r="BF187" s="21">
        <v>1625600</v>
      </c>
      <c r="BG187" s="21">
        <v>1420700</v>
      </c>
      <c r="BH187" s="21">
        <v>1645400</v>
      </c>
      <c r="BI187" s="21">
        <v>1222100</v>
      </c>
      <c r="BJ187" s="21">
        <v>1989600</v>
      </c>
      <c r="BK187" s="21">
        <v>1906700</v>
      </c>
      <c r="BL187" s="21">
        <v>2950000</v>
      </c>
      <c r="BM187" s="1">
        <v>5176300</v>
      </c>
      <c r="BN187" s="1">
        <v>4926900</v>
      </c>
      <c r="BO187" s="1">
        <v>3770800</v>
      </c>
      <c r="BP187" s="1">
        <v>2614600</v>
      </c>
      <c r="BQ187" s="1">
        <v>1776000</v>
      </c>
      <c r="BR187" s="1">
        <v>2430000</v>
      </c>
      <c r="BS187" s="1">
        <v>2039000</v>
      </c>
      <c r="BT187" s="1">
        <v>1680900</v>
      </c>
      <c r="BU187" s="1">
        <v>2328800</v>
      </c>
      <c r="BV187" s="1">
        <v>1519500</v>
      </c>
      <c r="BW187" s="1">
        <v>1577200</v>
      </c>
      <c r="BX187" s="1">
        <v>1950300</v>
      </c>
      <c r="BY187" s="1">
        <v>1380400</v>
      </c>
      <c r="BZ187" s="1">
        <v>945900</v>
      </c>
    </row>
    <row r="188" spans="1:254" ht="15.9" customHeight="1">
      <c r="A188" s="393" t="s">
        <v>370</v>
      </c>
      <c r="B188" s="46" t="s">
        <v>371</v>
      </c>
      <c r="C188" s="50">
        <f>_xll.RssMarket("6753","出来高")</f>
        <v>3164500</v>
      </c>
      <c r="D188" s="16">
        <f t="shared" si="2"/>
        <v>0</v>
      </c>
      <c r="E188" s="21">
        <v>3164500</v>
      </c>
      <c r="F188" s="21">
        <v>3300800</v>
      </c>
      <c r="G188" s="21">
        <v>2798700</v>
      </c>
      <c r="H188" s="21">
        <v>3816500</v>
      </c>
      <c r="I188" s="21">
        <v>3430300</v>
      </c>
      <c r="J188" s="21">
        <v>2562500</v>
      </c>
      <c r="K188" s="21">
        <v>6074300</v>
      </c>
      <c r="L188" s="21">
        <v>3513000</v>
      </c>
      <c r="M188" s="21">
        <v>3646000</v>
      </c>
      <c r="N188" s="21">
        <v>4402600</v>
      </c>
      <c r="O188" s="21">
        <v>2572800</v>
      </c>
      <c r="P188" s="21">
        <v>2477900</v>
      </c>
      <c r="Q188" s="21">
        <v>3694400</v>
      </c>
      <c r="R188" s="21">
        <v>3247500</v>
      </c>
      <c r="S188" s="21">
        <v>2107100</v>
      </c>
      <c r="T188" s="21">
        <v>2506300</v>
      </c>
      <c r="U188" s="21">
        <v>3024900</v>
      </c>
      <c r="V188" s="21">
        <v>2876900</v>
      </c>
      <c r="W188" s="21">
        <v>2681600</v>
      </c>
      <c r="X188" s="21">
        <v>3315000</v>
      </c>
      <c r="Y188" s="21">
        <v>4165900</v>
      </c>
      <c r="Z188" s="21">
        <v>2414900</v>
      </c>
      <c r="AA188" s="21">
        <v>2840300</v>
      </c>
      <c r="AB188" s="21">
        <v>3556000</v>
      </c>
      <c r="AC188" s="21">
        <v>4593700</v>
      </c>
      <c r="AD188" s="21">
        <v>7375700</v>
      </c>
      <c r="AE188" s="21">
        <v>4599200</v>
      </c>
      <c r="AF188" s="21">
        <v>4674700</v>
      </c>
      <c r="AG188" s="21">
        <v>16373100</v>
      </c>
      <c r="AH188" s="21">
        <v>11892500</v>
      </c>
      <c r="AI188" s="21">
        <v>2646100</v>
      </c>
      <c r="AJ188" s="21">
        <v>3363900</v>
      </c>
      <c r="AK188" s="21">
        <v>5709500</v>
      </c>
      <c r="AL188" s="21">
        <v>2829200</v>
      </c>
      <c r="AM188" s="21">
        <v>2353100</v>
      </c>
      <c r="AN188" s="21">
        <v>3151400</v>
      </c>
      <c r="AO188" s="21">
        <v>2643300</v>
      </c>
      <c r="AP188" s="21">
        <v>3103900</v>
      </c>
      <c r="AQ188" s="21">
        <v>3530400</v>
      </c>
      <c r="AR188" s="21">
        <v>4039500</v>
      </c>
      <c r="AS188" s="21">
        <v>4816400</v>
      </c>
      <c r="AT188" s="21">
        <v>3247900</v>
      </c>
      <c r="AU188" s="21">
        <v>3776300</v>
      </c>
      <c r="AV188" s="21">
        <v>4830400</v>
      </c>
      <c r="AW188" s="21">
        <v>5366700</v>
      </c>
      <c r="AX188" s="21">
        <v>4595800</v>
      </c>
      <c r="AY188" s="21">
        <v>3081600</v>
      </c>
      <c r="AZ188" s="21">
        <v>4278300</v>
      </c>
      <c r="BA188" s="21">
        <v>4749400</v>
      </c>
      <c r="BB188" s="21">
        <v>6306800</v>
      </c>
      <c r="BC188" s="21">
        <v>3614800</v>
      </c>
      <c r="BD188" s="21">
        <v>4040300</v>
      </c>
      <c r="BE188" s="21">
        <v>6038400</v>
      </c>
      <c r="BF188" s="21">
        <v>5034400</v>
      </c>
      <c r="BG188" s="21">
        <v>5889300</v>
      </c>
      <c r="BH188" s="21">
        <v>5881100</v>
      </c>
      <c r="BI188" s="21">
        <v>10113200</v>
      </c>
      <c r="BJ188" s="21">
        <v>5895900</v>
      </c>
      <c r="BK188" s="21">
        <v>4612500</v>
      </c>
      <c r="BL188" s="21">
        <v>5707400</v>
      </c>
      <c r="BM188" s="1">
        <v>7741400</v>
      </c>
      <c r="BN188" s="1">
        <v>3565100</v>
      </c>
      <c r="BO188" s="1">
        <v>2632800</v>
      </c>
      <c r="BP188" s="1">
        <v>2650300</v>
      </c>
      <c r="BQ188" s="1">
        <v>5150100</v>
      </c>
      <c r="BR188" s="1">
        <v>5950000</v>
      </c>
      <c r="BS188" s="1">
        <v>2865800</v>
      </c>
      <c r="BT188" s="1">
        <v>1688700</v>
      </c>
      <c r="BU188" s="1">
        <v>2007300</v>
      </c>
      <c r="BV188" s="1">
        <v>1775400</v>
      </c>
      <c r="BW188" s="1">
        <v>3268300</v>
      </c>
      <c r="BX188" s="1">
        <v>3007600</v>
      </c>
      <c r="BY188" s="1">
        <v>2633200</v>
      </c>
      <c r="BZ188" s="1">
        <v>2979200</v>
      </c>
    </row>
    <row r="189" spans="1:254" ht="15.9" customHeight="1">
      <c r="A189" s="393" t="s">
        <v>372</v>
      </c>
      <c r="B189" s="46" t="str">
        <f>銘柄管理!C189</f>
        <v>ヤマトホールディングス</v>
      </c>
      <c r="C189" s="50">
        <f>_xll.RssMarket("9064","出来高")</f>
        <v>2459100</v>
      </c>
      <c r="D189" s="16">
        <f t="shared" si="2"/>
        <v>0</v>
      </c>
      <c r="E189" s="21">
        <v>2459100</v>
      </c>
      <c r="F189" s="21">
        <v>1569000</v>
      </c>
      <c r="G189" s="21">
        <v>2884900</v>
      </c>
      <c r="H189" s="21">
        <v>1782000</v>
      </c>
      <c r="I189" s="21">
        <v>1771300</v>
      </c>
      <c r="J189" s="21">
        <v>1259000</v>
      </c>
      <c r="K189" s="21">
        <v>1998500</v>
      </c>
      <c r="L189" s="21">
        <v>1716700</v>
      </c>
      <c r="M189" s="21">
        <v>1781000</v>
      </c>
      <c r="N189" s="21">
        <v>1092400</v>
      </c>
      <c r="O189" s="21">
        <v>1171400</v>
      </c>
      <c r="P189" s="21">
        <v>1152300</v>
      </c>
      <c r="Q189" s="21">
        <v>1383200</v>
      </c>
      <c r="R189" s="21">
        <v>1636700</v>
      </c>
      <c r="S189" s="21">
        <v>550700</v>
      </c>
      <c r="T189" s="21">
        <v>1057200</v>
      </c>
      <c r="U189" s="21">
        <v>751700</v>
      </c>
      <c r="V189" s="21">
        <v>1095200</v>
      </c>
      <c r="W189" s="21">
        <v>770200</v>
      </c>
      <c r="X189" s="21">
        <v>1174600</v>
      </c>
      <c r="Y189" s="21">
        <v>1319600</v>
      </c>
      <c r="Z189" s="21">
        <v>1923900</v>
      </c>
      <c r="AA189" s="21">
        <v>1914000</v>
      </c>
      <c r="AB189" s="21">
        <v>1371500</v>
      </c>
      <c r="AC189" s="21">
        <v>1134800</v>
      </c>
      <c r="AD189" s="21">
        <v>996700</v>
      </c>
      <c r="AE189" s="21">
        <v>1175100</v>
      </c>
      <c r="AF189" s="21">
        <v>960800</v>
      </c>
      <c r="AG189" s="21">
        <v>1772000</v>
      </c>
      <c r="AH189" s="21">
        <v>1370800</v>
      </c>
      <c r="AI189" s="21">
        <v>996800</v>
      </c>
      <c r="AJ189" s="21">
        <v>841800</v>
      </c>
      <c r="AK189" s="21">
        <v>2128900</v>
      </c>
      <c r="AL189" s="21">
        <v>988300</v>
      </c>
      <c r="AM189" s="21">
        <v>830300</v>
      </c>
      <c r="AN189" s="21">
        <v>1237400</v>
      </c>
      <c r="AO189" s="21">
        <v>1220300</v>
      </c>
      <c r="AP189" s="21">
        <v>1338400</v>
      </c>
      <c r="AQ189" s="21">
        <v>1193100</v>
      </c>
      <c r="AR189" s="21">
        <v>1015500</v>
      </c>
      <c r="AS189" s="21">
        <v>1136900</v>
      </c>
      <c r="AT189" s="21">
        <v>811200</v>
      </c>
      <c r="AU189" s="21">
        <v>704500</v>
      </c>
      <c r="AV189" s="21">
        <v>1110800</v>
      </c>
      <c r="AW189" s="21">
        <v>1229400</v>
      </c>
      <c r="AX189" s="21">
        <v>2201000</v>
      </c>
      <c r="AY189" s="21">
        <v>825300</v>
      </c>
      <c r="AZ189" s="21">
        <v>1015700</v>
      </c>
      <c r="BA189" s="21">
        <v>1580000</v>
      </c>
      <c r="BB189" s="21">
        <v>841100</v>
      </c>
      <c r="BC189" s="21">
        <v>1391400</v>
      </c>
      <c r="BD189" s="21">
        <v>985200</v>
      </c>
      <c r="BE189" s="21">
        <v>1231800</v>
      </c>
      <c r="BF189" s="21">
        <v>940700</v>
      </c>
      <c r="BG189" s="21">
        <v>1469800</v>
      </c>
      <c r="BH189" s="21">
        <v>954000</v>
      </c>
      <c r="BI189" s="21">
        <v>914400</v>
      </c>
      <c r="BJ189" s="21">
        <v>1104800</v>
      </c>
      <c r="BK189" s="21">
        <v>2066200</v>
      </c>
      <c r="BL189" s="21">
        <v>1682800</v>
      </c>
      <c r="BM189" s="1">
        <v>2173800</v>
      </c>
      <c r="BN189" s="1">
        <v>1378800</v>
      </c>
      <c r="BO189" s="1">
        <v>1664900</v>
      </c>
      <c r="BP189" s="1">
        <v>1226400</v>
      </c>
      <c r="BQ189" s="1">
        <v>1562800</v>
      </c>
      <c r="BR189" s="1">
        <v>931700</v>
      </c>
      <c r="BS189" s="1">
        <v>1059600</v>
      </c>
      <c r="BT189" s="1">
        <v>653200</v>
      </c>
      <c r="BU189" s="1">
        <v>713000</v>
      </c>
      <c r="BV189" s="1">
        <v>1070300</v>
      </c>
      <c r="BW189" s="1">
        <v>892800</v>
      </c>
      <c r="BX189" s="1">
        <v>1314800</v>
      </c>
      <c r="BY189" s="1">
        <v>1145900</v>
      </c>
      <c r="BZ189" s="1">
        <v>954800</v>
      </c>
    </row>
    <row r="190" spans="1:254" ht="15.9" customHeight="1">
      <c r="A190" s="393" t="s">
        <v>373</v>
      </c>
      <c r="B190" s="46" t="s">
        <v>374</v>
      </c>
      <c r="C190" s="50">
        <f>_xll.RssMarket("7181","出来高")</f>
        <v>1888700</v>
      </c>
      <c r="D190" s="16">
        <f t="shared" si="2"/>
        <v>0</v>
      </c>
      <c r="E190" s="21">
        <v>1888700</v>
      </c>
      <c r="F190" s="21">
        <v>2222400</v>
      </c>
      <c r="G190" s="21">
        <v>1873900</v>
      </c>
      <c r="H190" s="21">
        <v>2354200</v>
      </c>
      <c r="I190" s="21">
        <v>2305400</v>
      </c>
      <c r="J190" s="21">
        <v>3703800</v>
      </c>
      <c r="K190" s="21">
        <v>2814600</v>
      </c>
      <c r="L190" s="21">
        <v>2327500</v>
      </c>
      <c r="M190" s="21">
        <v>2262800</v>
      </c>
      <c r="N190" s="21">
        <v>2383700</v>
      </c>
      <c r="O190" s="21">
        <v>2936500</v>
      </c>
      <c r="P190" s="21">
        <v>2945400</v>
      </c>
      <c r="Q190" s="21">
        <v>2421800</v>
      </c>
      <c r="R190" s="21">
        <v>2082200</v>
      </c>
      <c r="S190" s="21">
        <v>2053100</v>
      </c>
      <c r="T190" s="21">
        <v>1585100</v>
      </c>
      <c r="U190" s="21">
        <v>1551500</v>
      </c>
      <c r="V190" s="21">
        <v>1744200</v>
      </c>
      <c r="W190" s="21">
        <v>1791200</v>
      </c>
      <c r="X190" s="21">
        <v>3615700</v>
      </c>
      <c r="Y190" s="21">
        <v>2424700</v>
      </c>
      <c r="Z190" s="21">
        <v>1864100</v>
      </c>
      <c r="AA190" s="21">
        <v>2081400</v>
      </c>
      <c r="AB190" s="21">
        <v>2319000</v>
      </c>
      <c r="AC190" s="21">
        <v>2363900</v>
      </c>
      <c r="AD190" s="21">
        <v>3486000</v>
      </c>
      <c r="AE190" s="21">
        <v>2461300</v>
      </c>
      <c r="AF190" s="21">
        <v>2028900</v>
      </c>
      <c r="AG190" s="21">
        <v>2194900</v>
      </c>
      <c r="AH190" s="21">
        <v>3354400</v>
      </c>
      <c r="AI190" s="21">
        <v>2046800</v>
      </c>
      <c r="AJ190" s="21">
        <v>1842700</v>
      </c>
      <c r="AK190" s="21">
        <v>2366200</v>
      </c>
      <c r="AL190" s="21">
        <v>1937900</v>
      </c>
      <c r="AM190" s="21">
        <v>1669300</v>
      </c>
      <c r="AN190" s="21">
        <v>1595600</v>
      </c>
      <c r="AO190" s="21">
        <v>1853000</v>
      </c>
      <c r="AP190" s="21">
        <v>3388500</v>
      </c>
      <c r="AQ190" s="21">
        <v>2324000</v>
      </c>
      <c r="AR190" s="21">
        <v>4057700</v>
      </c>
      <c r="AS190" s="21">
        <v>2788700</v>
      </c>
      <c r="AT190" s="21">
        <v>2638600</v>
      </c>
      <c r="AU190" s="21">
        <v>1908600</v>
      </c>
      <c r="AV190" s="21">
        <v>3246600</v>
      </c>
      <c r="AW190" s="21">
        <v>2243900</v>
      </c>
      <c r="AX190" s="21">
        <v>6682400</v>
      </c>
      <c r="AY190" s="21">
        <v>3211400</v>
      </c>
      <c r="AZ190" s="21">
        <v>2426500</v>
      </c>
      <c r="BA190" s="21">
        <v>2491400</v>
      </c>
      <c r="BB190" s="21">
        <v>2381800</v>
      </c>
      <c r="BC190" s="21">
        <v>2416500</v>
      </c>
      <c r="BD190" s="21">
        <v>3038800</v>
      </c>
      <c r="BE190" s="21">
        <v>3973700</v>
      </c>
      <c r="BF190" s="21">
        <v>6689000</v>
      </c>
      <c r="BG190" s="21">
        <v>3197800</v>
      </c>
      <c r="BH190" s="21">
        <v>1451800</v>
      </c>
      <c r="BI190" s="21">
        <v>2506300</v>
      </c>
      <c r="BJ190" s="21">
        <v>1467900</v>
      </c>
      <c r="BK190" s="21">
        <v>1692900</v>
      </c>
      <c r="BL190" s="21">
        <v>2248300</v>
      </c>
      <c r="BM190" s="1">
        <v>2658100</v>
      </c>
      <c r="BN190" s="1">
        <v>1966200</v>
      </c>
      <c r="BO190" s="1">
        <v>2438600</v>
      </c>
      <c r="BP190" s="1">
        <v>2206100</v>
      </c>
      <c r="BQ190" s="1">
        <v>1582000</v>
      </c>
      <c r="BR190" s="1">
        <v>1562300</v>
      </c>
      <c r="BS190" s="1">
        <v>2535100</v>
      </c>
      <c r="BT190" s="1">
        <v>2303300</v>
      </c>
      <c r="BU190" s="1">
        <v>2341600</v>
      </c>
      <c r="BV190" s="1">
        <v>1268700</v>
      </c>
      <c r="BW190" s="1">
        <v>2388400</v>
      </c>
      <c r="BX190" s="1">
        <v>2005300</v>
      </c>
      <c r="BY190" s="1">
        <v>2605700</v>
      </c>
      <c r="BZ190" s="1">
        <v>2380300</v>
      </c>
    </row>
    <row r="191" spans="1:254" ht="15.9" customHeight="1">
      <c r="A191" s="393" t="s">
        <v>375</v>
      </c>
      <c r="B191" s="46" t="str">
        <f>銘柄管理!C191</f>
        <v>前澤給装工業</v>
      </c>
      <c r="C191" s="50">
        <f>_xll.RssMarket("6485","出来高")</f>
        <v>27500</v>
      </c>
      <c r="D191" s="16">
        <f t="shared" si="2"/>
        <v>0</v>
      </c>
      <c r="E191" s="21">
        <v>27500</v>
      </c>
      <c r="F191" s="21">
        <v>16900</v>
      </c>
      <c r="G191" s="21">
        <v>18800</v>
      </c>
      <c r="H191" s="21">
        <v>26200</v>
      </c>
      <c r="I191" s="21">
        <v>28300</v>
      </c>
      <c r="J191" s="21">
        <v>24600</v>
      </c>
      <c r="K191" s="21">
        <v>32100</v>
      </c>
      <c r="L191" s="21">
        <v>15000</v>
      </c>
      <c r="M191" s="21">
        <v>39400</v>
      </c>
      <c r="N191" s="21">
        <v>16500</v>
      </c>
      <c r="O191" s="21">
        <v>9600</v>
      </c>
      <c r="P191" s="21">
        <v>23500</v>
      </c>
      <c r="Q191" s="21">
        <v>24300</v>
      </c>
      <c r="R191" s="21">
        <v>27700</v>
      </c>
      <c r="S191" s="21">
        <v>17200</v>
      </c>
      <c r="T191" s="21">
        <v>11600</v>
      </c>
      <c r="U191" s="21">
        <v>40200</v>
      </c>
      <c r="V191" s="21">
        <v>28400</v>
      </c>
      <c r="W191" s="21">
        <v>18600</v>
      </c>
      <c r="X191" s="21">
        <v>52300</v>
      </c>
      <c r="Y191" s="21">
        <v>13700</v>
      </c>
      <c r="Z191" s="21">
        <v>14700</v>
      </c>
      <c r="AA191" s="21">
        <v>21300</v>
      </c>
      <c r="AB191" s="21">
        <v>22400</v>
      </c>
      <c r="AC191" s="21">
        <v>15000</v>
      </c>
      <c r="AD191" s="21">
        <v>11900</v>
      </c>
      <c r="AE191" s="21">
        <v>20200</v>
      </c>
      <c r="AF191" s="21">
        <v>19800</v>
      </c>
      <c r="AG191" s="21">
        <v>14500</v>
      </c>
      <c r="AH191" s="21">
        <v>11500</v>
      </c>
      <c r="AI191" s="21">
        <v>21300</v>
      </c>
      <c r="AJ191" s="21">
        <v>27500</v>
      </c>
      <c r="AK191" s="21">
        <v>60700</v>
      </c>
      <c r="AL191" s="21">
        <v>23200</v>
      </c>
      <c r="AM191" s="21">
        <v>17700</v>
      </c>
      <c r="AN191" s="21">
        <v>13900</v>
      </c>
      <c r="AO191" s="21">
        <v>11800</v>
      </c>
      <c r="AP191" s="21">
        <v>23400</v>
      </c>
      <c r="AQ191" s="21">
        <v>15300</v>
      </c>
      <c r="AR191" s="21">
        <v>25800</v>
      </c>
      <c r="AS191" s="21">
        <v>27400</v>
      </c>
      <c r="AT191" s="21">
        <v>11400</v>
      </c>
      <c r="AU191" s="21">
        <v>17500</v>
      </c>
      <c r="AV191" s="21">
        <v>19300</v>
      </c>
      <c r="AW191" s="21">
        <v>47300</v>
      </c>
      <c r="AX191" s="21">
        <v>15500</v>
      </c>
      <c r="AY191" s="21">
        <v>21800</v>
      </c>
      <c r="AZ191" s="21">
        <v>21300</v>
      </c>
      <c r="BA191" s="21">
        <v>24400</v>
      </c>
      <c r="BB191" s="21">
        <v>17100</v>
      </c>
      <c r="BC191" s="21">
        <v>27400</v>
      </c>
      <c r="BD191" s="21">
        <v>38600</v>
      </c>
      <c r="BE191" s="21">
        <v>21500</v>
      </c>
      <c r="BF191" s="21">
        <v>31500</v>
      </c>
      <c r="BG191" s="21">
        <v>12800</v>
      </c>
      <c r="BH191" s="21">
        <v>48000</v>
      </c>
      <c r="BI191" s="21">
        <v>29400</v>
      </c>
      <c r="BJ191" s="21">
        <v>9400</v>
      </c>
      <c r="BK191" s="21">
        <v>16500</v>
      </c>
      <c r="BL191" s="21">
        <v>20700</v>
      </c>
      <c r="BM191" s="1">
        <v>18000</v>
      </c>
      <c r="BN191" s="1">
        <v>17300</v>
      </c>
      <c r="BO191" s="1">
        <v>37400</v>
      </c>
      <c r="BP191" s="1">
        <v>25900</v>
      </c>
      <c r="BQ191" s="1">
        <v>39800</v>
      </c>
      <c r="BR191" s="1">
        <v>31900</v>
      </c>
      <c r="BS191" s="1">
        <v>28700</v>
      </c>
      <c r="BT191" s="1">
        <v>30100</v>
      </c>
      <c r="BU191" s="1">
        <v>14600</v>
      </c>
      <c r="BV191" s="1">
        <v>18000</v>
      </c>
      <c r="BW191" s="1">
        <v>15400</v>
      </c>
      <c r="BX191" s="1">
        <v>14400</v>
      </c>
      <c r="BY191" s="1">
        <v>25600</v>
      </c>
      <c r="BZ191" s="1">
        <v>16900</v>
      </c>
    </row>
    <row r="192" spans="1:254" ht="15.9" customHeight="1">
      <c r="A192" s="393" t="s">
        <v>376</v>
      </c>
      <c r="B192" s="46" t="s">
        <v>377</v>
      </c>
      <c r="C192" s="50">
        <f>_xll.RssMarket("4887","出来高")</f>
        <v>390500</v>
      </c>
      <c r="D192" s="16">
        <f t="shared" si="2"/>
        <v>0</v>
      </c>
      <c r="E192" s="21">
        <v>390500</v>
      </c>
      <c r="F192" s="21">
        <v>442700</v>
      </c>
      <c r="G192" s="21">
        <v>516700</v>
      </c>
      <c r="H192" s="21">
        <v>495900</v>
      </c>
      <c r="I192" s="21">
        <v>572900</v>
      </c>
      <c r="J192" s="21">
        <v>430700</v>
      </c>
      <c r="K192" s="21">
        <v>669300</v>
      </c>
      <c r="L192" s="21">
        <v>426500</v>
      </c>
      <c r="M192" s="21">
        <v>644100</v>
      </c>
      <c r="N192" s="21">
        <v>293000</v>
      </c>
      <c r="O192" s="21">
        <v>310400</v>
      </c>
      <c r="P192" s="21">
        <v>472800</v>
      </c>
      <c r="Q192" s="21">
        <v>438300</v>
      </c>
      <c r="R192" s="21">
        <v>523600</v>
      </c>
      <c r="S192" s="21">
        <v>410600</v>
      </c>
      <c r="T192" s="21">
        <v>347400</v>
      </c>
      <c r="U192" s="21">
        <v>327400</v>
      </c>
      <c r="V192" s="21">
        <v>403100</v>
      </c>
      <c r="W192" s="21">
        <v>310100</v>
      </c>
      <c r="X192" s="21">
        <v>332000</v>
      </c>
      <c r="Y192" s="21">
        <v>261900</v>
      </c>
      <c r="Z192" s="21">
        <v>356400</v>
      </c>
      <c r="AA192" s="21">
        <v>301800</v>
      </c>
      <c r="AB192" s="21">
        <v>458700</v>
      </c>
      <c r="AC192" s="21">
        <v>499400</v>
      </c>
      <c r="AD192" s="21">
        <v>669900</v>
      </c>
      <c r="AE192" s="21">
        <v>534400</v>
      </c>
      <c r="AF192" s="21">
        <v>829300</v>
      </c>
      <c r="AG192" s="21">
        <v>481100</v>
      </c>
      <c r="AH192" s="21">
        <v>509900</v>
      </c>
      <c r="AI192" s="21">
        <v>768000</v>
      </c>
      <c r="AJ192" s="21">
        <v>608000</v>
      </c>
      <c r="AK192" s="21">
        <v>1124400</v>
      </c>
      <c r="AL192" s="21">
        <v>785000</v>
      </c>
      <c r="AM192" s="21">
        <v>653900</v>
      </c>
      <c r="AN192" s="21">
        <v>644200</v>
      </c>
      <c r="AO192" s="21">
        <v>808600</v>
      </c>
      <c r="AP192" s="21">
        <v>450900</v>
      </c>
      <c r="AQ192" s="21">
        <v>346200</v>
      </c>
      <c r="AR192" s="21">
        <v>302100</v>
      </c>
      <c r="AS192" s="21">
        <v>501700</v>
      </c>
      <c r="AT192" s="21">
        <v>406500</v>
      </c>
      <c r="AU192" s="21">
        <v>476100</v>
      </c>
      <c r="AV192" s="21">
        <v>574300</v>
      </c>
      <c r="AW192" s="21">
        <v>444500</v>
      </c>
      <c r="AX192" s="21">
        <v>569500</v>
      </c>
      <c r="AY192" s="21">
        <v>613900</v>
      </c>
      <c r="AZ192" s="21">
        <v>499300</v>
      </c>
      <c r="BA192" s="21">
        <v>705800</v>
      </c>
      <c r="BB192" s="21">
        <v>556600</v>
      </c>
      <c r="BC192" s="21">
        <v>466700</v>
      </c>
      <c r="BD192" s="21">
        <v>579000</v>
      </c>
      <c r="BE192" s="21">
        <v>1102400</v>
      </c>
      <c r="BF192" s="21">
        <v>2362900</v>
      </c>
      <c r="BG192" s="21">
        <v>908000</v>
      </c>
      <c r="BH192" s="21">
        <v>257900</v>
      </c>
      <c r="BI192" s="21">
        <v>218100</v>
      </c>
      <c r="BJ192" s="21">
        <v>397700</v>
      </c>
      <c r="BK192" s="21">
        <v>437300</v>
      </c>
      <c r="BL192" s="21">
        <v>586900</v>
      </c>
      <c r="BM192" s="1">
        <v>378800</v>
      </c>
      <c r="BN192" s="1">
        <v>233900</v>
      </c>
      <c r="BO192" s="1">
        <v>421000</v>
      </c>
      <c r="BP192" s="1">
        <v>476700</v>
      </c>
      <c r="BQ192" s="1">
        <v>233900</v>
      </c>
      <c r="BR192" s="1">
        <v>244900</v>
      </c>
      <c r="BS192" s="1">
        <v>380300</v>
      </c>
      <c r="BT192" s="1">
        <v>294800</v>
      </c>
      <c r="BU192" s="1">
        <v>236800</v>
      </c>
      <c r="BV192" s="1">
        <v>174500</v>
      </c>
      <c r="BW192" s="1">
        <v>151400</v>
      </c>
      <c r="BX192" s="1">
        <v>214900</v>
      </c>
      <c r="BY192" s="1">
        <v>255100</v>
      </c>
      <c r="BZ192" s="1">
        <v>201200</v>
      </c>
    </row>
    <row r="193" spans="1:254" ht="15.9" customHeight="1">
      <c r="A193" s="393" t="s">
        <v>378</v>
      </c>
      <c r="B193" s="46" t="s">
        <v>379</v>
      </c>
      <c r="C193" s="50">
        <f>_xll.RssMarket("5243","出来高")</f>
        <v>492700</v>
      </c>
      <c r="D193" s="16">
        <f t="shared" si="2"/>
        <v>0</v>
      </c>
      <c r="E193" s="21">
        <v>492700</v>
      </c>
      <c r="F193" s="21">
        <v>419900</v>
      </c>
      <c r="G193" s="21">
        <v>470200</v>
      </c>
      <c r="H193" s="21">
        <v>350200</v>
      </c>
      <c r="I193" s="21">
        <v>359800</v>
      </c>
      <c r="J193" s="21">
        <v>248900</v>
      </c>
      <c r="K193" s="21">
        <v>212000</v>
      </c>
      <c r="L193" s="21">
        <v>258700</v>
      </c>
      <c r="M193" s="21">
        <v>205900</v>
      </c>
      <c r="N193" s="21">
        <v>336600</v>
      </c>
      <c r="O193" s="21">
        <v>341100</v>
      </c>
      <c r="P193" s="21">
        <v>574800</v>
      </c>
      <c r="Q193" s="21">
        <v>205200</v>
      </c>
      <c r="R193" s="21">
        <v>672300</v>
      </c>
      <c r="S193" s="21">
        <v>238100</v>
      </c>
      <c r="T193" s="21">
        <v>335000</v>
      </c>
      <c r="U193" s="21">
        <v>492300</v>
      </c>
      <c r="V193" s="21">
        <v>1359900</v>
      </c>
      <c r="W193" s="21">
        <v>1512800</v>
      </c>
      <c r="X193" s="21">
        <v>3714200</v>
      </c>
      <c r="Y193" s="21">
        <v>963000</v>
      </c>
      <c r="Z193" s="21">
        <v>578100</v>
      </c>
      <c r="AA193" s="21">
        <v>389300</v>
      </c>
      <c r="AB193" s="21">
        <v>514100</v>
      </c>
      <c r="AC193" s="21">
        <v>249700</v>
      </c>
      <c r="AD193" s="21">
        <v>381100</v>
      </c>
      <c r="AE193" s="21">
        <v>259600</v>
      </c>
      <c r="AF193" s="21">
        <v>166900</v>
      </c>
      <c r="AG193" s="21">
        <v>109700</v>
      </c>
      <c r="AH193" s="21">
        <v>110100</v>
      </c>
      <c r="AI193" s="21">
        <v>138600</v>
      </c>
      <c r="AJ193" s="21">
        <v>126800</v>
      </c>
      <c r="AK193" s="21">
        <v>271200</v>
      </c>
      <c r="AL193" s="21">
        <v>310700</v>
      </c>
      <c r="AM193" s="21">
        <v>265800</v>
      </c>
      <c r="AN193" s="21">
        <v>191900</v>
      </c>
      <c r="AO193" s="21">
        <v>123000</v>
      </c>
      <c r="AP193" s="21">
        <v>117800</v>
      </c>
      <c r="AQ193" s="21">
        <v>161700</v>
      </c>
      <c r="AR193" s="21">
        <v>273200</v>
      </c>
      <c r="AS193" s="21">
        <v>271400</v>
      </c>
      <c r="AT193" s="21">
        <v>155500</v>
      </c>
      <c r="AU193" s="21">
        <v>311800</v>
      </c>
      <c r="AV193" s="21">
        <v>267200</v>
      </c>
      <c r="AW193" s="21">
        <v>542000</v>
      </c>
      <c r="AX193" s="21">
        <v>161500</v>
      </c>
      <c r="AY193" s="21">
        <v>184800</v>
      </c>
      <c r="AZ193" s="21">
        <v>225800</v>
      </c>
      <c r="BA193" s="21">
        <v>152100</v>
      </c>
      <c r="BB193" s="21">
        <v>137100</v>
      </c>
      <c r="BC193" s="21">
        <v>100400</v>
      </c>
      <c r="BD193" s="21">
        <v>128000</v>
      </c>
      <c r="BE193" s="21">
        <v>236400</v>
      </c>
      <c r="BF193" s="21">
        <v>151600</v>
      </c>
      <c r="BG193" s="21">
        <v>184600</v>
      </c>
      <c r="BH193" s="21">
        <v>276900</v>
      </c>
      <c r="BI193" s="21">
        <v>326900</v>
      </c>
      <c r="BJ193" s="21">
        <v>413400</v>
      </c>
      <c r="BK193" s="21">
        <v>451000</v>
      </c>
      <c r="BL193" s="21">
        <v>578500</v>
      </c>
      <c r="BM193" s="1">
        <v>427400</v>
      </c>
      <c r="BN193" s="1">
        <v>204000</v>
      </c>
      <c r="BO193" s="1">
        <v>217500</v>
      </c>
      <c r="BP193" s="1">
        <v>603000</v>
      </c>
      <c r="BQ193" s="1">
        <v>900400</v>
      </c>
      <c r="BR193" s="1">
        <v>630200</v>
      </c>
      <c r="BS193" s="1">
        <v>1607600</v>
      </c>
      <c r="BT193" s="1">
        <v>2203100</v>
      </c>
      <c r="BU193" s="1">
        <v>1699200</v>
      </c>
      <c r="BV193" s="1">
        <v>1218500</v>
      </c>
      <c r="BW193" s="1">
        <v>1295500</v>
      </c>
      <c r="BX193" s="1">
        <v>4575800</v>
      </c>
      <c r="BY193" s="1">
        <v>6309500</v>
      </c>
      <c r="BZ193" s="1">
        <v>1048400</v>
      </c>
    </row>
    <row r="194" spans="1:254" ht="15.9" customHeight="1">
      <c r="A194" s="393" t="s">
        <v>380</v>
      </c>
      <c r="B194" s="46" t="s">
        <v>381</v>
      </c>
      <c r="C194" s="50">
        <f>_xll.RssMarket("2702","出来高")</f>
        <v>613600</v>
      </c>
      <c r="D194" s="16">
        <f t="shared" si="2"/>
        <v>0</v>
      </c>
      <c r="E194" s="21">
        <v>613600</v>
      </c>
      <c r="F194" s="21">
        <v>496800</v>
      </c>
      <c r="G194" s="21">
        <v>415700</v>
      </c>
      <c r="H194" s="21">
        <v>702200</v>
      </c>
      <c r="I194" s="21">
        <v>872500</v>
      </c>
      <c r="J194" s="21">
        <v>793200</v>
      </c>
      <c r="K194" s="21">
        <v>1084000</v>
      </c>
      <c r="L194" s="21">
        <v>554300</v>
      </c>
      <c r="M194" s="21">
        <v>402600</v>
      </c>
      <c r="N194" s="21"/>
      <c r="O194" s="21">
        <v>463800</v>
      </c>
      <c r="P194" s="21">
        <v>539600</v>
      </c>
      <c r="Q194" s="21">
        <v>563000</v>
      </c>
      <c r="R194" s="21">
        <v>509600</v>
      </c>
      <c r="S194" s="21">
        <v>570700</v>
      </c>
      <c r="T194" s="21">
        <v>465400</v>
      </c>
      <c r="U194" s="21">
        <v>314100</v>
      </c>
      <c r="V194" s="21">
        <v>597000</v>
      </c>
      <c r="W194" s="21">
        <v>765200</v>
      </c>
      <c r="X194" s="21">
        <v>575300</v>
      </c>
      <c r="Y194" s="21">
        <v>413500</v>
      </c>
      <c r="Z194" s="21">
        <v>429400</v>
      </c>
      <c r="AA194" s="21">
        <v>755800</v>
      </c>
      <c r="AB194" s="21">
        <v>564200</v>
      </c>
      <c r="AC194" s="21">
        <v>687100</v>
      </c>
      <c r="AD194" s="21">
        <v>1094400</v>
      </c>
      <c r="AE194" s="21">
        <v>2078300</v>
      </c>
      <c r="AF194" s="21">
        <v>3176800</v>
      </c>
      <c r="AG194" s="21">
        <v>1087200</v>
      </c>
      <c r="AH194" s="21">
        <v>764500</v>
      </c>
      <c r="AI194" s="21">
        <v>785400</v>
      </c>
      <c r="AJ194" s="21">
        <v>1422500</v>
      </c>
      <c r="AK194" s="21">
        <v>930400</v>
      </c>
      <c r="AL194" s="21">
        <v>1437200</v>
      </c>
      <c r="AM194" s="21">
        <v>918600</v>
      </c>
      <c r="AN194" s="21">
        <v>885900</v>
      </c>
      <c r="AO194" s="21">
        <v>904300</v>
      </c>
      <c r="AP194" s="21">
        <v>802100</v>
      </c>
      <c r="AQ194" s="21">
        <v>911200</v>
      </c>
      <c r="AR194" s="21">
        <v>728200</v>
      </c>
      <c r="AS194" s="21">
        <v>834300</v>
      </c>
      <c r="AT194" s="21">
        <v>690000</v>
      </c>
      <c r="AU194" s="21">
        <v>1102300</v>
      </c>
      <c r="AV194" s="21">
        <v>717800</v>
      </c>
      <c r="AW194" s="21">
        <v>729600</v>
      </c>
      <c r="AX194" s="21">
        <v>871200</v>
      </c>
      <c r="AY194" s="21">
        <v>631800</v>
      </c>
      <c r="AZ194" s="21">
        <v>823900</v>
      </c>
      <c r="BA194" s="21">
        <v>397000</v>
      </c>
      <c r="BB194" s="21">
        <v>251900</v>
      </c>
      <c r="BC194" s="21">
        <v>452000</v>
      </c>
      <c r="BD194" s="21">
        <v>428000</v>
      </c>
      <c r="BE194" s="21">
        <v>659000</v>
      </c>
      <c r="BF194" s="21">
        <v>634500</v>
      </c>
      <c r="BG194" s="21">
        <v>488500</v>
      </c>
      <c r="BH194" s="21">
        <v>654800</v>
      </c>
      <c r="BI194" s="21">
        <v>1395700</v>
      </c>
      <c r="BJ194" s="21">
        <v>651200</v>
      </c>
      <c r="BK194" s="21">
        <v>511900</v>
      </c>
      <c r="BL194" s="21">
        <v>440800</v>
      </c>
      <c r="BM194" s="1">
        <v>543800</v>
      </c>
      <c r="BN194" s="1">
        <v>216300</v>
      </c>
      <c r="BO194" s="1">
        <v>290300</v>
      </c>
      <c r="BP194" s="1">
        <v>231200</v>
      </c>
      <c r="BQ194" s="1">
        <v>335200</v>
      </c>
      <c r="BR194" s="1">
        <v>270000</v>
      </c>
      <c r="BS194" s="1">
        <v>371900</v>
      </c>
      <c r="BT194" s="1">
        <v>345700</v>
      </c>
      <c r="BU194" s="1">
        <v>279400</v>
      </c>
      <c r="BV194" s="1">
        <v>314800</v>
      </c>
      <c r="BW194" s="1">
        <v>295200</v>
      </c>
      <c r="BX194" s="1">
        <v>380700</v>
      </c>
      <c r="BY194" s="1">
        <v>438700</v>
      </c>
      <c r="BZ194" s="1">
        <v>456400</v>
      </c>
    </row>
    <row r="195" spans="1:254" ht="15.9" customHeight="1">
      <c r="A195" s="393" t="s">
        <v>382</v>
      </c>
      <c r="B195" s="46" t="s">
        <v>383</v>
      </c>
      <c r="C195" s="50">
        <f>_xll.RssMarket("6890","出来高")</f>
        <v>1357700</v>
      </c>
      <c r="D195" s="16">
        <f t="shared" si="2"/>
        <v>0</v>
      </c>
      <c r="E195" s="21">
        <v>1357700</v>
      </c>
      <c r="F195" s="21">
        <v>1448600</v>
      </c>
      <c r="G195" s="21">
        <v>1525100</v>
      </c>
      <c r="H195" s="21">
        <v>1390800</v>
      </c>
      <c r="I195" s="21">
        <v>2559700</v>
      </c>
      <c r="J195" s="21">
        <v>2181100</v>
      </c>
      <c r="K195" s="21">
        <v>2268500</v>
      </c>
      <c r="L195" s="21">
        <v>3225500</v>
      </c>
      <c r="M195" s="21">
        <v>2229100</v>
      </c>
      <c r="N195" s="21">
        <v>6071000</v>
      </c>
      <c r="O195" s="21">
        <v>147700</v>
      </c>
      <c r="P195" s="21">
        <v>1232800</v>
      </c>
      <c r="Q195" s="21">
        <v>956400</v>
      </c>
      <c r="R195" s="21">
        <v>2565400</v>
      </c>
      <c r="S195" s="21">
        <v>891300</v>
      </c>
      <c r="T195" s="21">
        <v>1807800</v>
      </c>
      <c r="U195" s="21">
        <v>938400</v>
      </c>
      <c r="V195" s="21">
        <v>1429500</v>
      </c>
      <c r="W195" s="21">
        <v>550200</v>
      </c>
      <c r="X195" s="21">
        <v>754200</v>
      </c>
      <c r="Y195" s="21">
        <v>914600</v>
      </c>
      <c r="Z195" s="21">
        <v>1003900</v>
      </c>
      <c r="AA195" s="21">
        <v>1253400</v>
      </c>
      <c r="AB195" s="21">
        <v>1055200</v>
      </c>
      <c r="AC195" s="21">
        <v>1095900</v>
      </c>
      <c r="AD195" s="21">
        <v>988500</v>
      </c>
      <c r="AE195" s="21">
        <v>1195500</v>
      </c>
      <c r="AF195" s="21">
        <v>1658700</v>
      </c>
      <c r="AG195" s="21">
        <v>954300</v>
      </c>
      <c r="AH195" s="21">
        <v>1423900</v>
      </c>
      <c r="AI195" s="21">
        <v>1074700</v>
      </c>
      <c r="AJ195" s="21">
        <v>1397000</v>
      </c>
      <c r="AK195" s="21">
        <v>1282100</v>
      </c>
      <c r="AL195" s="21">
        <v>1223800</v>
      </c>
      <c r="AM195" s="21">
        <v>602200</v>
      </c>
      <c r="AN195" s="21">
        <v>763200</v>
      </c>
      <c r="AO195" s="21">
        <v>1152400</v>
      </c>
      <c r="AP195" s="21">
        <v>1510700</v>
      </c>
      <c r="AQ195" s="21">
        <v>606400</v>
      </c>
      <c r="AR195" s="21">
        <v>695300</v>
      </c>
      <c r="AS195" s="21">
        <v>904700</v>
      </c>
      <c r="AT195" s="21">
        <v>1039600</v>
      </c>
      <c r="AU195" s="21">
        <v>1696400</v>
      </c>
      <c r="AV195" s="21">
        <v>898800</v>
      </c>
      <c r="AW195" s="21">
        <v>928100</v>
      </c>
      <c r="AX195" s="21">
        <v>1403300</v>
      </c>
      <c r="AY195" s="21">
        <v>531000</v>
      </c>
      <c r="AZ195" s="21">
        <v>754500</v>
      </c>
      <c r="BA195" s="21">
        <v>801300</v>
      </c>
      <c r="BB195" s="21">
        <v>624500</v>
      </c>
      <c r="BC195" s="21">
        <v>948500</v>
      </c>
      <c r="BD195" s="21">
        <v>1491400</v>
      </c>
      <c r="BE195" s="21">
        <v>1181700</v>
      </c>
      <c r="BF195" s="21">
        <v>1612500</v>
      </c>
      <c r="BG195" s="21">
        <v>2302900</v>
      </c>
      <c r="BH195" s="21">
        <v>1927400</v>
      </c>
      <c r="BI195" s="21">
        <v>1176400</v>
      </c>
      <c r="BJ195" s="21">
        <v>1740400</v>
      </c>
      <c r="BK195" s="21">
        <v>1518500</v>
      </c>
      <c r="BL195" s="21">
        <v>1752700</v>
      </c>
      <c r="BM195" s="1">
        <v>2695000</v>
      </c>
      <c r="BN195" s="1">
        <v>1432200</v>
      </c>
      <c r="BO195" s="1">
        <v>1190300</v>
      </c>
      <c r="BP195" s="1">
        <v>1868500</v>
      </c>
      <c r="BQ195" s="1">
        <v>804100</v>
      </c>
      <c r="BR195" s="1">
        <v>1001900</v>
      </c>
      <c r="BS195" s="1">
        <v>1490700</v>
      </c>
      <c r="BT195" s="1">
        <v>681900</v>
      </c>
      <c r="BU195" s="1">
        <v>631600</v>
      </c>
      <c r="BV195" s="1">
        <v>471800</v>
      </c>
      <c r="BW195" s="1">
        <v>483900</v>
      </c>
      <c r="BX195" s="1">
        <v>525100</v>
      </c>
      <c r="BY195" s="1">
        <v>843600</v>
      </c>
      <c r="BZ195" s="1">
        <v>455000</v>
      </c>
    </row>
    <row r="196" spans="1:254" ht="15.9" customHeight="1">
      <c r="A196" s="393" t="s">
        <v>384</v>
      </c>
      <c r="B196" s="46" t="s">
        <v>385</v>
      </c>
      <c r="C196" s="50">
        <f>_xll.RssMarket("4966","出来高")</f>
        <v>106500</v>
      </c>
      <c r="D196" s="16">
        <f t="shared" si="2"/>
        <v>0</v>
      </c>
      <c r="E196" s="21">
        <v>106500</v>
      </c>
      <c r="F196" s="21">
        <v>97400</v>
      </c>
      <c r="G196" s="21">
        <v>87200</v>
      </c>
      <c r="H196" s="21">
        <v>85400</v>
      </c>
      <c r="I196" s="21">
        <v>136200</v>
      </c>
      <c r="J196" s="21">
        <v>81400</v>
      </c>
      <c r="K196" s="21">
        <v>168900</v>
      </c>
      <c r="L196" s="21">
        <v>108100</v>
      </c>
      <c r="M196" s="21">
        <v>87300</v>
      </c>
      <c r="N196" s="21">
        <v>103700</v>
      </c>
      <c r="O196" s="21">
        <v>38100</v>
      </c>
      <c r="P196" s="21">
        <v>44300</v>
      </c>
      <c r="Q196" s="21">
        <v>84900</v>
      </c>
      <c r="R196" s="21">
        <v>113100</v>
      </c>
      <c r="S196" s="21">
        <v>56800</v>
      </c>
      <c r="T196" s="21">
        <v>68100</v>
      </c>
      <c r="U196" s="21">
        <v>53900</v>
      </c>
      <c r="V196" s="21">
        <v>54000</v>
      </c>
      <c r="W196" s="21">
        <v>45500</v>
      </c>
      <c r="X196" s="21">
        <v>89000</v>
      </c>
      <c r="Y196" s="21">
        <v>126600</v>
      </c>
      <c r="Z196" s="21">
        <v>94200</v>
      </c>
      <c r="AA196" s="21">
        <v>44500</v>
      </c>
      <c r="AB196" s="21">
        <v>126000</v>
      </c>
      <c r="AC196" s="21">
        <v>26500</v>
      </c>
      <c r="AD196" s="21">
        <v>40400</v>
      </c>
      <c r="AE196" s="21">
        <v>80000</v>
      </c>
      <c r="AF196" s="21">
        <v>45300</v>
      </c>
      <c r="AG196" s="21">
        <v>39600</v>
      </c>
      <c r="AH196" s="21">
        <v>34400</v>
      </c>
      <c r="AI196" s="21">
        <v>41600</v>
      </c>
      <c r="AJ196" s="21">
        <v>67900</v>
      </c>
      <c r="AK196" s="21">
        <v>67200</v>
      </c>
      <c r="AL196" s="21">
        <v>55800</v>
      </c>
      <c r="AM196" s="21">
        <v>32600</v>
      </c>
      <c r="AN196" s="21">
        <v>48800</v>
      </c>
      <c r="AO196" s="21">
        <v>58200</v>
      </c>
      <c r="AP196" s="21">
        <v>47300</v>
      </c>
      <c r="AQ196" s="21">
        <v>46000</v>
      </c>
      <c r="AR196" s="21">
        <v>38600</v>
      </c>
      <c r="AS196" s="21">
        <v>98300</v>
      </c>
      <c r="AT196" s="21">
        <v>27700</v>
      </c>
      <c r="AU196" s="21">
        <v>31200</v>
      </c>
      <c r="AV196" s="21">
        <v>42300</v>
      </c>
      <c r="AW196" s="21">
        <v>62200</v>
      </c>
      <c r="AX196" s="21">
        <v>54600</v>
      </c>
      <c r="AY196" s="21">
        <v>30200</v>
      </c>
      <c r="AZ196" s="21">
        <v>28300</v>
      </c>
      <c r="BA196" s="21">
        <v>47000</v>
      </c>
      <c r="BB196" s="21">
        <v>43100</v>
      </c>
      <c r="BC196" s="21">
        <v>40500</v>
      </c>
      <c r="BD196" s="21">
        <v>73300</v>
      </c>
      <c r="BE196" s="21">
        <v>70000</v>
      </c>
      <c r="BF196" s="21">
        <v>46200</v>
      </c>
      <c r="BG196" s="21">
        <v>73700</v>
      </c>
      <c r="BH196" s="21">
        <v>60700</v>
      </c>
      <c r="BI196" s="21">
        <v>166000</v>
      </c>
      <c r="BJ196" s="21">
        <v>81100</v>
      </c>
      <c r="BK196" s="21">
        <v>42100</v>
      </c>
      <c r="BL196" s="21">
        <v>52800</v>
      </c>
      <c r="BM196" s="1">
        <v>103000</v>
      </c>
      <c r="BN196" s="1">
        <v>54300</v>
      </c>
      <c r="BO196" s="1">
        <v>48800</v>
      </c>
      <c r="BP196" s="1">
        <v>31100</v>
      </c>
      <c r="BQ196" s="1">
        <v>51000</v>
      </c>
      <c r="BR196" s="1">
        <v>49400</v>
      </c>
      <c r="BS196" s="1">
        <v>39400</v>
      </c>
      <c r="BT196" s="1">
        <v>51600</v>
      </c>
      <c r="BU196" s="1">
        <v>48700</v>
      </c>
      <c r="BV196" s="1">
        <v>51500</v>
      </c>
      <c r="BW196" s="1">
        <v>61500</v>
      </c>
      <c r="BX196" s="1">
        <v>48900</v>
      </c>
      <c r="BY196" s="1">
        <v>47800</v>
      </c>
      <c r="BZ196" s="1">
        <v>57800</v>
      </c>
    </row>
    <row r="197" spans="1:254" ht="15.9" customHeight="1">
      <c r="A197" s="393" t="s">
        <v>386</v>
      </c>
      <c r="B197" s="46" t="s">
        <v>387</v>
      </c>
      <c r="C197" s="50">
        <f>_xll.RssMarket("6146","出来高")</f>
        <v>1569200</v>
      </c>
      <c r="D197" s="16">
        <f t="shared" si="2"/>
        <v>0</v>
      </c>
      <c r="E197" s="21">
        <v>1569200</v>
      </c>
      <c r="F197" s="21">
        <v>1514500</v>
      </c>
      <c r="G197" s="21">
        <v>1719000</v>
      </c>
      <c r="H197" s="21">
        <v>2512700</v>
      </c>
      <c r="I197" s="21">
        <v>4260400</v>
      </c>
      <c r="J197" s="21">
        <v>2480800</v>
      </c>
      <c r="K197" s="21">
        <v>2650500</v>
      </c>
      <c r="L197" s="21">
        <v>2110800</v>
      </c>
      <c r="M197" s="21">
        <v>1849700</v>
      </c>
      <c r="N197" s="21">
        <v>4862000</v>
      </c>
      <c r="O197" s="21">
        <v>1869000</v>
      </c>
      <c r="P197" s="21">
        <v>2309800</v>
      </c>
      <c r="Q197" s="21">
        <v>1686400</v>
      </c>
      <c r="R197" s="21">
        <v>1766400</v>
      </c>
      <c r="S197" s="21">
        <v>1136100</v>
      </c>
      <c r="T197" s="21">
        <v>1109100</v>
      </c>
      <c r="U197" s="21">
        <v>1183300</v>
      </c>
      <c r="V197" s="21">
        <v>1346000</v>
      </c>
      <c r="W197" s="21">
        <v>1420100</v>
      </c>
      <c r="X197" s="21">
        <v>1732600</v>
      </c>
      <c r="Y197" s="21">
        <v>1745600</v>
      </c>
      <c r="Z197" s="21">
        <v>1409400</v>
      </c>
      <c r="AA197" s="21">
        <v>1572400</v>
      </c>
      <c r="AB197" s="21">
        <v>1368500</v>
      </c>
      <c r="AC197" s="21">
        <v>1755600</v>
      </c>
      <c r="AD197" s="21">
        <v>1308100</v>
      </c>
      <c r="AE197" s="21">
        <v>1142500</v>
      </c>
      <c r="AF197" s="21">
        <v>1648500</v>
      </c>
      <c r="AG197" s="21">
        <v>1774600</v>
      </c>
      <c r="AH197" s="21">
        <v>1804400</v>
      </c>
      <c r="AI197" s="21">
        <v>1904200</v>
      </c>
      <c r="AJ197" s="21">
        <v>1334300</v>
      </c>
      <c r="AK197" s="21">
        <v>2064700</v>
      </c>
      <c r="AL197" s="21">
        <v>1984800</v>
      </c>
      <c r="AM197" s="21">
        <v>2169600</v>
      </c>
      <c r="AN197" s="21">
        <v>2029000</v>
      </c>
      <c r="AO197" s="21">
        <v>4361400</v>
      </c>
      <c r="AP197" s="21">
        <v>3648100</v>
      </c>
      <c r="AQ197" s="21">
        <v>1639000</v>
      </c>
      <c r="AR197" s="21">
        <v>1496600</v>
      </c>
      <c r="AS197" s="21">
        <v>1918000</v>
      </c>
      <c r="AT197" s="21">
        <v>2016700</v>
      </c>
      <c r="AU197" s="21">
        <v>2278300</v>
      </c>
      <c r="AV197" s="21">
        <v>1693800</v>
      </c>
      <c r="AW197" s="21">
        <v>1625200</v>
      </c>
      <c r="AX197" s="21">
        <v>2123100</v>
      </c>
      <c r="AY197" s="21">
        <v>1452600</v>
      </c>
      <c r="AZ197" s="21">
        <v>1531900</v>
      </c>
      <c r="BA197" s="21">
        <v>1374100</v>
      </c>
      <c r="BB197" s="21">
        <v>1537500</v>
      </c>
      <c r="BC197" s="21">
        <v>2084200</v>
      </c>
      <c r="BD197" s="21">
        <v>1743500</v>
      </c>
      <c r="BE197" s="21">
        <v>1517000</v>
      </c>
      <c r="BF197" s="21">
        <v>2108200</v>
      </c>
      <c r="BG197" s="21">
        <v>2544600</v>
      </c>
      <c r="BH197" s="21">
        <v>1714400</v>
      </c>
      <c r="BI197" s="21">
        <v>1272800</v>
      </c>
      <c r="BJ197" s="21">
        <v>1262500</v>
      </c>
      <c r="BK197" s="21">
        <v>1577900</v>
      </c>
      <c r="BL197" s="21">
        <v>1519200</v>
      </c>
      <c r="BM197" s="1">
        <v>2502700</v>
      </c>
      <c r="BN197" s="1">
        <v>1636400</v>
      </c>
      <c r="BO197" s="1">
        <v>2488500</v>
      </c>
      <c r="BP197" s="1">
        <v>2920700</v>
      </c>
      <c r="BQ197" s="1">
        <v>3125800</v>
      </c>
      <c r="BR197" s="1">
        <v>2782200</v>
      </c>
      <c r="BS197" s="1">
        <v>4570700</v>
      </c>
      <c r="BT197" s="1">
        <v>2794300</v>
      </c>
      <c r="BU197" s="1">
        <v>1848000</v>
      </c>
      <c r="BV197" s="1">
        <v>2600200</v>
      </c>
      <c r="BW197" s="1">
        <v>1807100</v>
      </c>
      <c r="BX197" s="1">
        <v>2319700</v>
      </c>
      <c r="BY197" s="1">
        <v>2433000</v>
      </c>
      <c r="BZ197" s="1">
        <v>2425900</v>
      </c>
    </row>
    <row r="198" spans="1:254" ht="15.9" customHeight="1">
      <c r="A198" s="393" t="s">
        <v>388</v>
      </c>
      <c r="B198" s="46" t="s">
        <v>389</v>
      </c>
      <c r="C198" s="50">
        <f>_xll.RssMarket("8035","出来高")</f>
        <v>3602900</v>
      </c>
      <c r="D198" s="16">
        <f t="shared" ref="D198:D261" si="3">C198-E198</f>
        <v>0</v>
      </c>
      <c r="E198" s="21">
        <v>3602900</v>
      </c>
      <c r="F198" s="21">
        <v>3342100</v>
      </c>
      <c r="G198" s="21">
        <v>3777200</v>
      </c>
      <c r="H198" s="21">
        <v>4585200</v>
      </c>
      <c r="I198" s="21">
        <v>14096600</v>
      </c>
      <c r="J198" s="21">
        <v>6356300</v>
      </c>
      <c r="K198" s="21">
        <v>7362500</v>
      </c>
      <c r="L198" s="21">
        <v>4363800</v>
      </c>
      <c r="M198" s="21">
        <v>2720800</v>
      </c>
      <c r="N198" s="21">
        <v>3871900</v>
      </c>
      <c r="O198" s="21">
        <v>3554800</v>
      </c>
      <c r="P198" s="21">
        <v>4060500</v>
      </c>
      <c r="Q198" s="21">
        <v>3621900</v>
      </c>
      <c r="R198" s="21">
        <v>6335500</v>
      </c>
      <c r="S198" s="21">
        <v>3909100</v>
      </c>
      <c r="T198" s="21">
        <v>4029300</v>
      </c>
      <c r="U198" s="21">
        <v>3645000</v>
      </c>
      <c r="V198" s="21">
        <v>3910500</v>
      </c>
      <c r="W198" s="21">
        <v>3695600</v>
      </c>
      <c r="X198" s="21">
        <v>4276100</v>
      </c>
      <c r="Y198" s="21">
        <v>3890000</v>
      </c>
      <c r="Z198" s="21">
        <v>2846600</v>
      </c>
      <c r="AA198" s="21">
        <v>4678700</v>
      </c>
      <c r="AB198" s="21">
        <v>4530000</v>
      </c>
      <c r="AC198" s="21">
        <v>5596400</v>
      </c>
      <c r="AD198" s="21">
        <v>5168500</v>
      </c>
      <c r="AE198" s="21">
        <v>4216000</v>
      </c>
      <c r="AF198" s="21">
        <v>4533200</v>
      </c>
      <c r="AG198" s="21">
        <v>4988300</v>
      </c>
      <c r="AH198" s="21">
        <v>5275300</v>
      </c>
      <c r="AI198" s="21">
        <v>4737500</v>
      </c>
      <c r="AJ198" s="21">
        <v>3105600</v>
      </c>
      <c r="AK198" s="21">
        <v>6107100</v>
      </c>
      <c r="AL198" s="21">
        <v>5806900</v>
      </c>
      <c r="AM198" s="21">
        <v>4608500</v>
      </c>
      <c r="AN198" s="21">
        <v>4828900</v>
      </c>
      <c r="AO198" s="21">
        <v>4611000</v>
      </c>
      <c r="AP198" s="21">
        <v>7102200</v>
      </c>
      <c r="AQ198" s="21">
        <v>5585800</v>
      </c>
      <c r="AR198" s="21">
        <v>7924500</v>
      </c>
      <c r="AS198" s="21">
        <v>3961100</v>
      </c>
      <c r="AT198" s="21">
        <v>4460100</v>
      </c>
      <c r="AU198" s="21">
        <v>4805100</v>
      </c>
      <c r="AV198" s="21">
        <v>5433400</v>
      </c>
      <c r="AW198" s="21">
        <v>2681900</v>
      </c>
      <c r="AX198" s="21">
        <v>3555800</v>
      </c>
      <c r="AY198" s="21">
        <v>3146300</v>
      </c>
      <c r="AZ198" s="21">
        <v>3857400</v>
      </c>
      <c r="BA198" s="21">
        <v>2671900</v>
      </c>
      <c r="BB198" s="21">
        <v>2776900</v>
      </c>
      <c r="BC198" s="21">
        <v>2745800</v>
      </c>
      <c r="BD198" s="21">
        <v>3042100</v>
      </c>
      <c r="BE198" s="21">
        <v>2645700</v>
      </c>
      <c r="BF198" s="21">
        <v>2434000</v>
      </c>
      <c r="BG198" s="21">
        <v>2986000</v>
      </c>
      <c r="BH198" s="21">
        <v>2051400</v>
      </c>
      <c r="BI198" s="21">
        <v>2301000</v>
      </c>
      <c r="BJ198" s="21">
        <v>1931800</v>
      </c>
      <c r="BK198" s="21">
        <v>2998700</v>
      </c>
      <c r="BL198" s="21">
        <v>3644900</v>
      </c>
      <c r="BM198" s="1">
        <v>4695700</v>
      </c>
      <c r="BN198" s="1">
        <v>5915900</v>
      </c>
      <c r="BO198" s="1">
        <v>4081000</v>
      </c>
      <c r="BP198" s="1">
        <v>3291600</v>
      </c>
      <c r="BQ198" s="1">
        <v>3605000</v>
      </c>
      <c r="BR198" s="1">
        <v>2312400</v>
      </c>
      <c r="BS198" s="1">
        <v>2968500</v>
      </c>
      <c r="BT198" s="1">
        <v>2047100</v>
      </c>
      <c r="BU198" s="1">
        <v>3182100</v>
      </c>
      <c r="BV198" s="1">
        <v>2017800</v>
      </c>
      <c r="BW198" s="1">
        <v>2974800</v>
      </c>
      <c r="BX198" s="1">
        <v>4808800</v>
      </c>
      <c r="BY198" s="1">
        <v>3635500</v>
      </c>
      <c r="BZ198" s="1">
        <v>3521700</v>
      </c>
    </row>
    <row r="199" spans="1:254" ht="15.9" customHeight="1">
      <c r="A199" s="393" t="s">
        <v>390</v>
      </c>
      <c r="B199" s="46" t="s">
        <v>391</v>
      </c>
      <c r="C199" s="50">
        <f>_xll.RssMarket("6920","出来高")</f>
        <v>2765700</v>
      </c>
      <c r="D199" s="16">
        <f t="shared" si="3"/>
        <v>0</v>
      </c>
      <c r="E199" s="21">
        <v>2765700</v>
      </c>
      <c r="F199" s="21">
        <v>3877600</v>
      </c>
      <c r="G199" s="21">
        <v>3829600</v>
      </c>
      <c r="H199" s="21">
        <v>4519100</v>
      </c>
      <c r="I199" s="21">
        <v>6540800</v>
      </c>
      <c r="J199" s="21">
        <v>3153200</v>
      </c>
      <c r="K199" s="21">
        <v>3890100</v>
      </c>
      <c r="L199" s="21">
        <v>3252000</v>
      </c>
      <c r="M199" s="21">
        <v>2325700</v>
      </c>
      <c r="N199" s="21">
        <v>2812600</v>
      </c>
      <c r="O199" s="21">
        <v>3640900</v>
      </c>
      <c r="P199" s="21">
        <v>3179700</v>
      </c>
      <c r="Q199" s="21">
        <v>3355800</v>
      </c>
      <c r="R199" s="21">
        <v>5093900</v>
      </c>
      <c r="S199" s="21">
        <v>7100400</v>
      </c>
      <c r="T199" s="21">
        <v>2991800</v>
      </c>
      <c r="U199" s="21">
        <v>4618300</v>
      </c>
      <c r="V199" s="21">
        <v>2422000</v>
      </c>
      <c r="W199" s="21">
        <v>2680700</v>
      </c>
      <c r="X199" s="21">
        <v>2887000</v>
      </c>
      <c r="Y199" s="21">
        <v>3011600</v>
      </c>
      <c r="Z199" s="21">
        <v>2133900</v>
      </c>
      <c r="AA199" s="21">
        <v>2970300</v>
      </c>
      <c r="AB199" s="21">
        <v>2350700</v>
      </c>
      <c r="AC199" s="21">
        <v>3058300</v>
      </c>
      <c r="AD199" s="21">
        <v>2473000</v>
      </c>
      <c r="AE199" s="21">
        <v>2747100</v>
      </c>
      <c r="AF199" s="21">
        <v>2794300</v>
      </c>
      <c r="AG199" s="21">
        <v>3644400</v>
      </c>
      <c r="AH199" s="21">
        <v>3819200</v>
      </c>
      <c r="AI199" s="21">
        <v>4136800</v>
      </c>
      <c r="AJ199" s="21">
        <v>3638300</v>
      </c>
      <c r="AK199" s="21">
        <v>5372300</v>
      </c>
      <c r="AL199" s="21">
        <v>7836200</v>
      </c>
      <c r="AM199" s="21">
        <v>7716500</v>
      </c>
      <c r="AN199" s="21">
        <v>3085500</v>
      </c>
      <c r="AO199" s="21">
        <v>4483200</v>
      </c>
      <c r="AP199" s="21">
        <v>3785800</v>
      </c>
      <c r="AQ199" s="21">
        <v>2648100</v>
      </c>
      <c r="AR199" s="21">
        <v>3439100</v>
      </c>
      <c r="AS199" s="21">
        <v>2353600</v>
      </c>
      <c r="AT199" s="21">
        <v>2495600</v>
      </c>
      <c r="AU199" s="21">
        <v>2772700</v>
      </c>
      <c r="AV199" s="21">
        <v>3365400</v>
      </c>
      <c r="AW199" s="21">
        <v>2388900</v>
      </c>
      <c r="AX199" s="21">
        <v>2244300</v>
      </c>
      <c r="AY199" s="21">
        <v>2900200</v>
      </c>
      <c r="AZ199" s="21">
        <v>3055900</v>
      </c>
      <c r="BA199" s="21">
        <v>4173500</v>
      </c>
      <c r="BB199" s="21">
        <v>2685100</v>
      </c>
      <c r="BC199" s="21">
        <v>3426700</v>
      </c>
      <c r="BD199" s="21">
        <v>3099400</v>
      </c>
      <c r="BE199" s="21">
        <v>2762200</v>
      </c>
      <c r="BF199" s="21">
        <v>3128200</v>
      </c>
      <c r="BG199" s="21">
        <v>3328000</v>
      </c>
      <c r="BH199" s="21">
        <v>3049700</v>
      </c>
      <c r="BI199" s="21">
        <v>2977300</v>
      </c>
      <c r="BJ199" s="21">
        <v>3176900</v>
      </c>
      <c r="BK199" s="21">
        <v>3933100</v>
      </c>
      <c r="BL199" s="21">
        <v>3810400</v>
      </c>
      <c r="BM199" s="1">
        <v>5720200</v>
      </c>
      <c r="BN199" s="1">
        <v>7701500</v>
      </c>
      <c r="BO199" s="1">
        <v>3092200</v>
      </c>
      <c r="BP199" s="1">
        <v>3858100</v>
      </c>
      <c r="BQ199" s="1">
        <v>4078300</v>
      </c>
      <c r="BR199" s="1">
        <v>4801300</v>
      </c>
      <c r="BS199" s="1">
        <v>5153500</v>
      </c>
      <c r="BT199" s="1">
        <v>4291700</v>
      </c>
      <c r="BU199" s="1">
        <v>3987500</v>
      </c>
      <c r="BV199" s="1">
        <v>3647800</v>
      </c>
      <c r="BW199" s="1">
        <v>3765300</v>
      </c>
      <c r="BX199" s="1">
        <v>5658900</v>
      </c>
      <c r="BY199" s="1">
        <v>9334600</v>
      </c>
      <c r="BZ199" s="1">
        <v>4931100</v>
      </c>
    </row>
    <row r="200" spans="1:254" ht="15.9" customHeight="1">
      <c r="A200" s="393" t="s">
        <v>392</v>
      </c>
      <c r="B200" s="46" t="s">
        <v>393</v>
      </c>
      <c r="C200" s="50">
        <f>_xll.RssMarket("5801","出来高")</f>
        <v>72354600</v>
      </c>
      <c r="D200" s="16">
        <f t="shared" si="3"/>
        <v>0</v>
      </c>
      <c r="E200" s="21">
        <v>72354600</v>
      </c>
      <c r="F200" s="21">
        <v>28889200</v>
      </c>
      <c r="G200" s="21">
        <v>30259200</v>
      </c>
      <c r="H200" s="21">
        <v>15709100</v>
      </c>
      <c r="I200" s="21">
        <v>39342900</v>
      </c>
      <c r="J200" s="21">
        <v>16868300</v>
      </c>
      <c r="K200" s="21">
        <v>22152000</v>
      </c>
      <c r="L200" s="21">
        <v>19009200</v>
      </c>
      <c r="M200" s="21">
        <v>10701100</v>
      </c>
      <c r="N200" s="21">
        <v>10763100</v>
      </c>
      <c r="O200" s="21">
        <v>10401200</v>
      </c>
      <c r="P200" s="21">
        <v>17372500</v>
      </c>
      <c r="Q200" s="21">
        <v>15270000</v>
      </c>
      <c r="R200" s="21">
        <v>23584700</v>
      </c>
      <c r="S200" s="21">
        <v>16573600</v>
      </c>
      <c r="T200" s="21">
        <v>20118000</v>
      </c>
      <c r="U200" s="21">
        <v>16349600</v>
      </c>
      <c r="V200" s="21">
        <v>16901100</v>
      </c>
      <c r="W200" s="21">
        <v>15748900</v>
      </c>
      <c r="X200" s="21">
        <v>19410900</v>
      </c>
      <c r="Y200" s="21">
        <v>15860500</v>
      </c>
      <c r="Z200" s="21">
        <v>18637000</v>
      </c>
      <c r="AA200" s="21">
        <v>23593000</v>
      </c>
      <c r="AB200" s="21">
        <v>26552800</v>
      </c>
      <c r="AC200" s="21">
        <v>28131000</v>
      </c>
      <c r="AD200" s="21">
        <v>20063900</v>
      </c>
      <c r="AE200" s="21">
        <v>14919400</v>
      </c>
      <c r="AF200" s="21">
        <v>2992000</v>
      </c>
      <c r="AG200" s="21">
        <v>3296800</v>
      </c>
      <c r="AH200" s="21">
        <v>4085300</v>
      </c>
      <c r="AI200" s="21">
        <v>6496100</v>
      </c>
      <c r="AJ200" s="21">
        <v>6108300</v>
      </c>
      <c r="AK200" s="21">
        <v>1455100</v>
      </c>
      <c r="AL200" s="21">
        <v>2700200</v>
      </c>
      <c r="AM200" s="21">
        <v>2674600</v>
      </c>
      <c r="AN200" s="21">
        <v>4207400</v>
      </c>
      <c r="AO200" s="21">
        <v>2330600</v>
      </c>
      <c r="AP200" s="21">
        <v>3507500</v>
      </c>
      <c r="AQ200" s="21">
        <v>3374700</v>
      </c>
      <c r="AR200" s="21">
        <v>4182300</v>
      </c>
      <c r="AS200" s="21">
        <v>3207900</v>
      </c>
      <c r="AT200" s="21">
        <v>3419500</v>
      </c>
      <c r="AU200" s="21">
        <v>3007600</v>
      </c>
      <c r="AV200" s="21">
        <v>4785700</v>
      </c>
      <c r="AW200" s="21">
        <v>4460000</v>
      </c>
      <c r="AX200" s="21">
        <v>8510100</v>
      </c>
      <c r="AY200" s="21">
        <v>5229200</v>
      </c>
      <c r="AZ200" s="21">
        <v>4660400</v>
      </c>
      <c r="BA200" s="21">
        <v>4214900</v>
      </c>
      <c r="BB200" s="21">
        <v>4380900</v>
      </c>
      <c r="BC200" s="21">
        <v>4704200</v>
      </c>
      <c r="BD200" s="21">
        <v>8837900</v>
      </c>
      <c r="BE200" s="21">
        <v>5244400</v>
      </c>
      <c r="BF200" s="21">
        <v>7286300</v>
      </c>
      <c r="BG200" s="21">
        <v>6507600</v>
      </c>
      <c r="BH200" s="21">
        <v>7181700</v>
      </c>
      <c r="BI200" s="21">
        <v>12098100</v>
      </c>
      <c r="BJ200" s="21">
        <v>7139800</v>
      </c>
      <c r="BK200" s="21">
        <v>3737100</v>
      </c>
      <c r="BL200" s="21">
        <v>4847500</v>
      </c>
      <c r="BM200" s="1">
        <v>5132900</v>
      </c>
      <c r="BN200" s="1">
        <v>2534500</v>
      </c>
      <c r="BO200" s="1">
        <v>3259100</v>
      </c>
      <c r="BP200" s="1">
        <v>4178900</v>
      </c>
      <c r="BQ200" s="1">
        <v>3141200</v>
      </c>
      <c r="BR200" s="1">
        <v>2946900</v>
      </c>
      <c r="BS200" s="1">
        <v>4730100</v>
      </c>
      <c r="BT200" s="1">
        <v>3642700</v>
      </c>
      <c r="BU200" s="1">
        <v>4770700</v>
      </c>
      <c r="BV200" s="1">
        <v>4669600</v>
      </c>
      <c r="BW200" s="1">
        <v>5629300</v>
      </c>
      <c r="BX200" s="1">
        <v>6181000</v>
      </c>
      <c r="BY200" s="1">
        <v>6674100</v>
      </c>
      <c r="BZ200" s="1">
        <v>7978700</v>
      </c>
    </row>
    <row r="201" spans="1:254" ht="15.9" customHeight="1">
      <c r="A201" s="393" t="s">
        <v>394</v>
      </c>
      <c r="B201" s="46" t="s">
        <v>395</v>
      </c>
      <c r="C201" s="50">
        <f>_xll.RssMarket("6506","出来高")</f>
        <v>4722700</v>
      </c>
      <c r="D201" s="16">
        <f t="shared" si="3"/>
        <v>0</v>
      </c>
      <c r="E201" s="21">
        <v>4722700</v>
      </c>
      <c r="F201" s="21">
        <v>6724500</v>
      </c>
      <c r="G201" s="21">
        <v>5126500</v>
      </c>
      <c r="H201" s="21">
        <v>6023500</v>
      </c>
      <c r="I201" s="21">
        <v>8452600</v>
      </c>
      <c r="J201" s="21">
        <v>6731200</v>
      </c>
      <c r="K201" s="21">
        <v>8862900</v>
      </c>
      <c r="L201" s="21">
        <v>9637000</v>
      </c>
      <c r="M201" s="21">
        <v>7074600</v>
      </c>
      <c r="N201" s="21">
        <v>6000400</v>
      </c>
      <c r="O201" s="21">
        <v>6236600</v>
      </c>
      <c r="P201" s="21">
        <v>9465700</v>
      </c>
      <c r="Q201" s="21">
        <v>8574900</v>
      </c>
      <c r="R201" s="21">
        <v>12549600</v>
      </c>
      <c r="S201" s="21">
        <v>12782800</v>
      </c>
      <c r="T201" s="21">
        <v>25491900</v>
      </c>
      <c r="U201" s="21">
        <v>10815700</v>
      </c>
      <c r="V201" s="21">
        <v>5898300</v>
      </c>
      <c r="W201" s="21">
        <v>5393000</v>
      </c>
      <c r="X201" s="21">
        <v>5721100</v>
      </c>
      <c r="Y201" s="21">
        <v>4994800</v>
      </c>
      <c r="Z201" s="21">
        <v>6123700</v>
      </c>
      <c r="AA201" s="21">
        <v>5230400</v>
      </c>
      <c r="AB201" s="21">
        <v>4322500</v>
      </c>
      <c r="AC201" s="21">
        <v>4643900</v>
      </c>
      <c r="AD201" s="21">
        <v>4444100</v>
      </c>
      <c r="AE201" s="21">
        <v>4071800</v>
      </c>
      <c r="AF201" s="21">
        <v>4960200</v>
      </c>
      <c r="AG201" s="21">
        <v>3685300</v>
      </c>
      <c r="AH201" s="21">
        <v>4910200</v>
      </c>
      <c r="AI201" s="21">
        <v>5160000</v>
      </c>
      <c r="AJ201" s="21">
        <v>7748400</v>
      </c>
      <c r="AK201" s="21">
        <v>4267300</v>
      </c>
      <c r="AL201" s="21">
        <v>5466400</v>
      </c>
      <c r="AM201" s="21">
        <v>3737200</v>
      </c>
      <c r="AN201" s="21">
        <v>3809000</v>
      </c>
      <c r="AO201" s="21">
        <v>3660700</v>
      </c>
      <c r="AP201" s="21">
        <v>5692100</v>
      </c>
      <c r="AQ201" s="21">
        <v>4916300</v>
      </c>
      <c r="AR201" s="21">
        <v>5702100</v>
      </c>
      <c r="AS201" s="21">
        <v>5556000</v>
      </c>
      <c r="AT201" s="21">
        <v>3216000</v>
      </c>
      <c r="AU201" s="21">
        <v>3867000</v>
      </c>
      <c r="AV201" s="21">
        <v>5348300</v>
      </c>
      <c r="AW201" s="21">
        <v>6224500</v>
      </c>
      <c r="AX201" s="21">
        <v>5006500</v>
      </c>
      <c r="AY201" s="21">
        <v>4257400</v>
      </c>
      <c r="AZ201" s="21">
        <v>4518800</v>
      </c>
      <c r="BA201" s="21">
        <v>6412300</v>
      </c>
      <c r="BB201" s="21">
        <v>5793800</v>
      </c>
      <c r="BC201" s="21">
        <v>6346300</v>
      </c>
      <c r="BD201" s="21">
        <v>5051900</v>
      </c>
      <c r="BE201" s="21">
        <v>5789600</v>
      </c>
      <c r="BF201" s="21">
        <v>5649200</v>
      </c>
      <c r="BG201" s="21">
        <v>6836600</v>
      </c>
      <c r="BH201" s="21">
        <v>7171200</v>
      </c>
      <c r="BI201" s="21">
        <v>4650800</v>
      </c>
      <c r="BJ201" s="21">
        <v>7924400</v>
      </c>
      <c r="BK201" s="21">
        <v>6630500</v>
      </c>
      <c r="BL201" s="21">
        <v>6573200</v>
      </c>
      <c r="BM201" s="1">
        <v>5212500</v>
      </c>
      <c r="BN201" s="1">
        <v>3308100</v>
      </c>
      <c r="BO201" s="1">
        <v>5521200</v>
      </c>
      <c r="BP201" s="1">
        <v>4048200</v>
      </c>
      <c r="BQ201" s="1">
        <v>6906800</v>
      </c>
      <c r="BR201" s="1">
        <v>2579300</v>
      </c>
      <c r="BS201" s="1">
        <v>3738500</v>
      </c>
      <c r="BT201" s="1">
        <v>3711700</v>
      </c>
      <c r="BU201" s="1">
        <v>5182700</v>
      </c>
      <c r="BV201" s="1">
        <v>5490400</v>
      </c>
      <c r="BW201" s="1">
        <v>3829100</v>
      </c>
      <c r="BX201" s="1">
        <v>3929700</v>
      </c>
      <c r="BY201" s="1">
        <v>4705900</v>
      </c>
      <c r="BZ201" s="1">
        <v>5694400</v>
      </c>
    </row>
    <row r="202" spans="1:254" ht="15.9" customHeight="1">
      <c r="A202" s="393" t="s">
        <v>396</v>
      </c>
      <c r="B202" s="46" t="s">
        <v>397</v>
      </c>
      <c r="C202" s="50">
        <f>_xll.RssMarket("2768","出来高")</f>
        <v>1442700</v>
      </c>
      <c r="D202" s="16">
        <f t="shared" si="3"/>
        <v>0</v>
      </c>
      <c r="E202" s="21">
        <v>1442700</v>
      </c>
      <c r="F202" s="21">
        <v>1029000</v>
      </c>
      <c r="G202" s="21">
        <v>1306900</v>
      </c>
      <c r="H202" s="21">
        <v>2112000</v>
      </c>
      <c r="I202" s="21">
        <v>2408200</v>
      </c>
      <c r="J202" s="21">
        <v>1174200</v>
      </c>
      <c r="K202" s="21">
        <v>1475600</v>
      </c>
      <c r="L202" s="21">
        <v>922900</v>
      </c>
      <c r="M202" s="21">
        <v>1035900</v>
      </c>
      <c r="N202" s="21">
        <v>912400</v>
      </c>
      <c r="O202" s="21">
        <v>1089400</v>
      </c>
      <c r="P202" s="21">
        <v>1368700</v>
      </c>
      <c r="Q202" s="21">
        <v>1290600</v>
      </c>
      <c r="R202" s="21">
        <v>1396700</v>
      </c>
      <c r="S202" s="21">
        <v>1081900</v>
      </c>
      <c r="T202" s="21">
        <v>1133700</v>
      </c>
      <c r="U202" s="21">
        <v>1755500</v>
      </c>
      <c r="V202" s="21">
        <v>1134700</v>
      </c>
      <c r="W202" s="21">
        <v>920100</v>
      </c>
      <c r="X202" s="21">
        <v>1173800</v>
      </c>
      <c r="Y202" s="21">
        <v>1612000</v>
      </c>
      <c r="Z202" s="21">
        <v>1035400</v>
      </c>
      <c r="AA202" s="21">
        <v>829700</v>
      </c>
      <c r="AB202" s="21">
        <v>1035100</v>
      </c>
      <c r="AC202" s="21">
        <v>795600</v>
      </c>
      <c r="AD202" s="21">
        <v>1167800</v>
      </c>
      <c r="AE202" s="21">
        <v>1048600</v>
      </c>
      <c r="AF202" s="21">
        <v>1027100</v>
      </c>
      <c r="AG202" s="21">
        <v>1175700</v>
      </c>
      <c r="AH202" s="21">
        <v>904000</v>
      </c>
      <c r="AI202" s="21">
        <v>942700</v>
      </c>
      <c r="AJ202" s="21">
        <v>742700</v>
      </c>
      <c r="AK202" s="21">
        <v>1566800</v>
      </c>
      <c r="AL202" s="21">
        <v>846800</v>
      </c>
      <c r="AM202" s="21">
        <v>845400</v>
      </c>
      <c r="AN202" s="21">
        <v>1211900</v>
      </c>
      <c r="AO202" s="21">
        <v>1405900</v>
      </c>
      <c r="AP202" s="21">
        <v>1287100</v>
      </c>
      <c r="AQ202" s="21">
        <v>1453000</v>
      </c>
      <c r="AR202" s="21">
        <v>1037600</v>
      </c>
      <c r="AS202" s="21">
        <v>1187000</v>
      </c>
      <c r="AT202" s="21">
        <v>916900</v>
      </c>
      <c r="AU202" s="21">
        <v>1060700</v>
      </c>
      <c r="AV202" s="21">
        <v>1413900</v>
      </c>
      <c r="AW202" s="21">
        <v>1401900</v>
      </c>
      <c r="AX202" s="21">
        <v>1601300</v>
      </c>
      <c r="AY202" s="21">
        <v>1528000</v>
      </c>
      <c r="AZ202" s="21">
        <v>932400</v>
      </c>
      <c r="BA202" s="21">
        <v>1000400</v>
      </c>
      <c r="BB202" s="21">
        <v>1130300</v>
      </c>
      <c r="BC202" s="21">
        <v>1158300</v>
      </c>
      <c r="BD202" s="21">
        <v>1392100</v>
      </c>
      <c r="BE202" s="21">
        <v>1117500</v>
      </c>
      <c r="BF202" s="21">
        <v>1064200</v>
      </c>
      <c r="BG202" s="21">
        <v>1102500</v>
      </c>
      <c r="BH202" s="21">
        <v>1326600</v>
      </c>
      <c r="BI202" s="21">
        <v>1639100</v>
      </c>
      <c r="BJ202" s="21">
        <v>1426400</v>
      </c>
      <c r="BK202" s="21">
        <v>1635800</v>
      </c>
      <c r="BL202" s="21">
        <v>3723800</v>
      </c>
      <c r="BM202" s="1">
        <v>5461800</v>
      </c>
      <c r="BN202" s="1">
        <v>9120400</v>
      </c>
      <c r="BO202" s="1">
        <v>1335200</v>
      </c>
      <c r="BP202" s="1">
        <v>1091700</v>
      </c>
      <c r="BQ202" s="1">
        <v>1010000</v>
      </c>
      <c r="BR202" s="1">
        <v>721700</v>
      </c>
      <c r="BS202" s="1">
        <v>1027500</v>
      </c>
      <c r="BT202" s="1">
        <v>1037200</v>
      </c>
      <c r="BU202" s="1">
        <v>744000</v>
      </c>
      <c r="BV202" s="1">
        <v>994000</v>
      </c>
      <c r="BW202" s="1">
        <v>1128400</v>
      </c>
      <c r="BX202" s="1">
        <v>930300</v>
      </c>
      <c r="BY202" s="1">
        <v>1463700</v>
      </c>
      <c r="BZ202" s="1">
        <v>1679800</v>
      </c>
    </row>
    <row r="203" spans="1:254" ht="15.9" customHeight="1">
      <c r="A203" s="393" t="s">
        <v>398</v>
      </c>
      <c r="B203" s="46" t="s">
        <v>399</v>
      </c>
      <c r="C203" s="50">
        <f>_xll.RssMarket("6305","出来高")</f>
        <v>1146400</v>
      </c>
      <c r="D203" s="16">
        <f t="shared" si="3"/>
        <v>0</v>
      </c>
      <c r="E203" s="21">
        <v>1146400</v>
      </c>
      <c r="F203" s="21">
        <v>1761500</v>
      </c>
      <c r="G203" s="21">
        <v>1844400</v>
      </c>
      <c r="H203" s="21">
        <v>2607600</v>
      </c>
      <c r="I203" s="21">
        <v>3270300</v>
      </c>
      <c r="J203" s="21">
        <v>1425400</v>
      </c>
      <c r="K203" s="21">
        <v>2626700</v>
      </c>
      <c r="L203" s="21">
        <v>1106400</v>
      </c>
      <c r="M203" s="21">
        <v>1424600</v>
      </c>
      <c r="N203" s="21">
        <v>824900</v>
      </c>
      <c r="O203" s="21">
        <v>831600</v>
      </c>
      <c r="P203" s="21">
        <v>1162600</v>
      </c>
      <c r="Q203" s="21">
        <v>698700</v>
      </c>
      <c r="R203" s="21">
        <v>845400</v>
      </c>
      <c r="S203" s="21">
        <v>648100</v>
      </c>
      <c r="T203" s="21">
        <v>687500</v>
      </c>
      <c r="U203" s="21">
        <v>583900</v>
      </c>
      <c r="V203" s="21">
        <v>677100</v>
      </c>
      <c r="W203" s="21">
        <v>675500</v>
      </c>
      <c r="X203" s="21">
        <v>826000</v>
      </c>
      <c r="Y203" s="21">
        <v>812200</v>
      </c>
      <c r="Z203" s="21">
        <v>586700</v>
      </c>
      <c r="AA203" s="21">
        <v>753900</v>
      </c>
      <c r="AB203" s="21">
        <v>1111500</v>
      </c>
      <c r="AC203" s="21">
        <v>776600</v>
      </c>
      <c r="AD203" s="21">
        <v>909500</v>
      </c>
      <c r="AE203" s="21">
        <v>831300</v>
      </c>
      <c r="AF203" s="21">
        <v>645900</v>
      </c>
      <c r="AG203" s="21">
        <v>762000</v>
      </c>
      <c r="AH203" s="21">
        <v>569300</v>
      </c>
      <c r="AI203" s="21">
        <v>821000</v>
      </c>
      <c r="AJ203" s="21">
        <v>699800</v>
      </c>
      <c r="AK203" s="21">
        <v>958700</v>
      </c>
      <c r="AL203" s="21">
        <v>978800</v>
      </c>
      <c r="AM203" s="21">
        <v>1061100</v>
      </c>
      <c r="AN203" s="21">
        <v>546300</v>
      </c>
      <c r="AO203" s="21">
        <v>816700</v>
      </c>
      <c r="AP203" s="21">
        <v>1125300</v>
      </c>
      <c r="AQ203" s="21">
        <v>968000</v>
      </c>
      <c r="AR203" s="21">
        <v>1117000</v>
      </c>
      <c r="AS203" s="21">
        <v>959500</v>
      </c>
      <c r="AT203" s="21">
        <v>1076700</v>
      </c>
      <c r="AU203" s="21">
        <v>713000</v>
      </c>
      <c r="AV203" s="21">
        <v>1194600</v>
      </c>
      <c r="AW203" s="21">
        <v>1222500</v>
      </c>
      <c r="AX203" s="21">
        <v>1575900</v>
      </c>
      <c r="AY203" s="21">
        <v>1163100</v>
      </c>
      <c r="AZ203" s="21">
        <v>2016800</v>
      </c>
      <c r="BA203" s="21">
        <v>1999200</v>
      </c>
      <c r="BB203" s="21">
        <v>1186500</v>
      </c>
      <c r="BC203" s="21">
        <v>944400</v>
      </c>
      <c r="BD203" s="21">
        <v>1732000</v>
      </c>
      <c r="BE203" s="21">
        <v>1085100</v>
      </c>
      <c r="BF203" s="21">
        <v>2053400</v>
      </c>
      <c r="BG203" s="21">
        <v>1570800</v>
      </c>
      <c r="BH203" s="21">
        <v>2341200</v>
      </c>
      <c r="BI203" s="21">
        <v>4500300</v>
      </c>
      <c r="BJ203" s="21">
        <v>1624900</v>
      </c>
      <c r="BK203" s="21">
        <v>940900</v>
      </c>
      <c r="BL203" s="21">
        <v>1532800</v>
      </c>
      <c r="BM203" s="1">
        <v>1493800</v>
      </c>
      <c r="BN203" s="1">
        <v>751400</v>
      </c>
      <c r="BO203" s="1">
        <v>1517800</v>
      </c>
      <c r="BP203" s="1">
        <v>1474700</v>
      </c>
      <c r="BQ203" s="1">
        <v>1690900</v>
      </c>
      <c r="BR203" s="1">
        <v>1031600</v>
      </c>
      <c r="BS203" s="1">
        <v>1166000</v>
      </c>
      <c r="BT203" s="1">
        <v>572900</v>
      </c>
      <c r="BU203" s="1">
        <v>690100</v>
      </c>
      <c r="BV203" s="1">
        <v>760600</v>
      </c>
      <c r="BW203" s="1">
        <v>1311700</v>
      </c>
      <c r="BX203" s="1">
        <v>807300</v>
      </c>
      <c r="BY203" s="1">
        <v>688800</v>
      </c>
      <c r="BZ203" s="1">
        <v>730500</v>
      </c>
    </row>
    <row r="204" spans="1:254" ht="15.9" customHeight="1">
      <c r="A204" s="393" t="s">
        <v>400</v>
      </c>
      <c r="B204" s="46" t="s">
        <v>401</v>
      </c>
      <c r="C204" s="50">
        <f>_xll.RssMarket("8015","出来高")</f>
        <v>3211000</v>
      </c>
      <c r="D204" s="16">
        <f t="shared" si="3"/>
        <v>0</v>
      </c>
      <c r="E204" s="21">
        <v>3211000</v>
      </c>
      <c r="F204" s="21">
        <v>3568800</v>
      </c>
      <c r="G204" s="21">
        <v>2883700</v>
      </c>
      <c r="H204" s="21">
        <v>3437900</v>
      </c>
      <c r="I204" s="21">
        <v>5575400</v>
      </c>
      <c r="J204" s="21">
        <v>10299700</v>
      </c>
      <c r="K204" s="21">
        <v>3050400</v>
      </c>
      <c r="L204" s="21">
        <v>3089000</v>
      </c>
      <c r="M204" s="21">
        <v>2433700</v>
      </c>
      <c r="N204" s="21">
        <v>2035700</v>
      </c>
      <c r="O204" s="21">
        <v>1975900</v>
      </c>
      <c r="P204" s="21">
        <v>2255000</v>
      </c>
      <c r="Q204" s="21">
        <v>3515500</v>
      </c>
      <c r="R204" s="21">
        <v>3073500</v>
      </c>
      <c r="S204" s="21">
        <v>2015500</v>
      </c>
      <c r="T204" s="21">
        <v>1696000</v>
      </c>
      <c r="U204" s="21">
        <v>1611800</v>
      </c>
      <c r="V204" s="21">
        <v>2679800</v>
      </c>
      <c r="W204" s="21">
        <v>1794700</v>
      </c>
      <c r="X204" s="21">
        <v>2417400</v>
      </c>
      <c r="Y204" s="21">
        <v>2593500</v>
      </c>
      <c r="Z204" s="21">
        <v>1349900</v>
      </c>
      <c r="AA204" s="21">
        <v>2089600</v>
      </c>
      <c r="AB204" s="21">
        <v>3315900</v>
      </c>
      <c r="AC204" s="21">
        <v>1931500</v>
      </c>
      <c r="AD204" s="21">
        <v>3042600</v>
      </c>
      <c r="AE204" s="21">
        <v>2127900</v>
      </c>
      <c r="AF204" s="21">
        <v>2531000</v>
      </c>
      <c r="AG204" s="21">
        <v>2062400</v>
      </c>
      <c r="AH204" s="21">
        <v>1839800</v>
      </c>
      <c r="AI204" s="21">
        <v>2437700</v>
      </c>
      <c r="AJ204" s="21">
        <v>1641500</v>
      </c>
      <c r="AK204" s="21">
        <v>2509400</v>
      </c>
      <c r="AL204" s="21">
        <v>1730500</v>
      </c>
      <c r="AM204" s="21">
        <v>1409400</v>
      </c>
      <c r="AN204" s="21">
        <v>1549700</v>
      </c>
      <c r="AO204" s="21">
        <v>1944300</v>
      </c>
      <c r="AP204" s="21">
        <v>3366300</v>
      </c>
      <c r="AQ204" s="21">
        <v>1943300</v>
      </c>
      <c r="AR204" s="21">
        <v>2496400</v>
      </c>
      <c r="AS204" s="21">
        <v>2198000</v>
      </c>
      <c r="AT204" s="21">
        <v>1620600</v>
      </c>
      <c r="AU204" s="21">
        <v>1785300</v>
      </c>
      <c r="AV204" s="21">
        <v>1733200</v>
      </c>
      <c r="AW204" s="21">
        <v>2229200</v>
      </c>
      <c r="AX204" s="21">
        <v>8257400</v>
      </c>
      <c r="AY204" s="21">
        <v>2614500</v>
      </c>
      <c r="AZ204" s="21">
        <v>2807700</v>
      </c>
      <c r="BA204" s="21">
        <v>2000800</v>
      </c>
      <c r="BB204" s="21">
        <v>2521300</v>
      </c>
      <c r="BC204" s="21">
        <v>2172800</v>
      </c>
      <c r="BD204" s="21">
        <v>2307500</v>
      </c>
      <c r="BE204" s="21">
        <v>2265200</v>
      </c>
      <c r="BF204" s="21">
        <v>2132700</v>
      </c>
      <c r="BG204" s="21">
        <v>2944300</v>
      </c>
      <c r="BH204" s="21">
        <v>2687000</v>
      </c>
      <c r="BI204" s="21">
        <v>2832700</v>
      </c>
      <c r="BJ204" s="21">
        <v>3005900</v>
      </c>
      <c r="BK204" s="21">
        <v>3050300</v>
      </c>
      <c r="BL204" s="21">
        <v>3476600</v>
      </c>
      <c r="BM204" s="1">
        <v>4626500</v>
      </c>
      <c r="BN204" s="1">
        <v>7293200</v>
      </c>
      <c r="BO204" s="1">
        <v>6712000</v>
      </c>
      <c r="BP204" s="1">
        <v>2281700</v>
      </c>
      <c r="BQ204" s="1">
        <v>2062800</v>
      </c>
      <c r="BR204" s="1">
        <v>1419500</v>
      </c>
      <c r="BS204" s="1">
        <v>1791800</v>
      </c>
      <c r="BT204" s="1">
        <v>2524100</v>
      </c>
      <c r="BU204" s="1">
        <v>1322400</v>
      </c>
      <c r="BV204" s="1">
        <v>1530300</v>
      </c>
      <c r="BW204" s="1">
        <v>1847800</v>
      </c>
      <c r="BX204" s="1">
        <v>1756500</v>
      </c>
      <c r="BY204" s="1">
        <v>2235200</v>
      </c>
      <c r="BZ204" s="1">
        <v>1442300</v>
      </c>
    </row>
    <row r="205" spans="1:254" ht="19.5" customHeight="1">
      <c r="A205" s="393" t="s">
        <v>402</v>
      </c>
      <c r="B205" s="46" t="s">
        <v>403</v>
      </c>
      <c r="C205" s="50">
        <f>_xll.RssMarket("6758","出来高")</f>
        <v>17528500</v>
      </c>
      <c r="D205" s="16">
        <f t="shared" si="3"/>
        <v>0</v>
      </c>
      <c r="E205" s="2">
        <v>17528500</v>
      </c>
      <c r="F205" s="2">
        <v>16765700</v>
      </c>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row>
    <row r="206" spans="1:254" ht="19.5" customHeight="1">
      <c r="A206" s="393" t="s">
        <v>404</v>
      </c>
      <c r="B206" s="46" t="s">
        <v>405</v>
      </c>
      <c r="C206" s="50">
        <f>_xll.RssMarket("9101","出来高")</f>
        <v>3270400</v>
      </c>
      <c r="D206" s="16">
        <f t="shared" si="3"/>
        <v>0</v>
      </c>
      <c r="E206" s="2">
        <v>3270400</v>
      </c>
      <c r="F206" s="2">
        <v>5813100</v>
      </c>
      <c r="G206" s="2">
        <v>3551700</v>
      </c>
      <c r="H206" s="2">
        <v>3756300</v>
      </c>
      <c r="I206" s="2">
        <v>3780600</v>
      </c>
      <c r="J206" s="2">
        <v>1712400</v>
      </c>
      <c r="K206" s="2">
        <v>2852100</v>
      </c>
      <c r="L206" s="2">
        <v>2465700</v>
      </c>
      <c r="M206" s="2">
        <v>3857100</v>
      </c>
      <c r="N206" s="2">
        <v>3281200</v>
      </c>
      <c r="O206" s="2">
        <v>2134200</v>
      </c>
      <c r="P206" s="2">
        <v>2407100</v>
      </c>
      <c r="Q206" s="2">
        <v>3613400</v>
      </c>
      <c r="R206" s="2">
        <v>4456700</v>
      </c>
      <c r="S206" s="2">
        <v>2438800</v>
      </c>
      <c r="T206" s="2">
        <v>2731100</v>
      </c>
      <c r="U206" s="2">
        <v>1504900</v>
      </c>
      <c r="V206" s="2">
        <v>2600300</v>
      </c>
      <c r="W206" s="2">
        <v>2678400</v>
      </c>
      <c r="X206" s="2">
        <v>2561200</v>
      </c>
      <c r="Y206" s="2">
        <v>3831100</v>
      </c>
      <c r="Z206" s="2">
        <v>2082600</v>
      </c>
      <c r="AA206" s="2">
        <v>1943500</v>
      </c>
      <c r="AB206" s="2">
        <v>2848600</v>
      </c>
      <c r="AC206" s="2">
        <v>2616700</v>
      </c>
      <c r="AD206" s="2">
        <v>2601300</v>
      </c>
      <c r="AE206" s="2">
        <v>2478000</v>
      </c>
      <c r="AF206" s="2">
        <v>3015800</v>
      </c>
      <c r="AG206" s="2">
        <v>2940100</v>
      </c>
      <c r="AH206" s="2">
        <v>2869700</v>
      </c>
      <c r="AI206" s="2">
        <v>3091100</v>
      </c>
      <c r="AJ206" s="2">
        <v>2243400</v>
      </c>
      <c r="AK206" s="2">
        <v>4390700</v>
      </c>
      <c r="AL206" s="2">
        <v>4016600</v>
      </c>
      <c r="AM206" s="2">
        <v>3087700</v>
      </c>
      <c r="AN206" s="2">
        <v>2759500</v>
      </c>
      <c r="AO206" s="2">
        <v>3531000</v>
      </c>
      <c r="AP206" s="2">
        <v>2897900</v>
      </c>
      <c r="AQ206" s="2">
        <v>3087500</v>
      </c>
      <c r="AR206" s="2">
        <v>3425200</v>
      </c>
      <c r="AS206" s="2">
        <v>3590500</v>
      </c>
      <c r="AT206" s="2">
        <v>3669900</v>
      </c>
      <c r="AU206" s="2">
        <v>3586500</v>
      </c>
      <c r="AV206" s="2">
        <v>2636200</v>
      </c>
      <c r="AW206" s="2">
        <v>3293100</v>
      </c>
      <c r="AX206" s="2">
        <v>5564400</v>
      </c>
      <c r="AY206" s="2">
        <v>3047300</v>
      </c>
      <c r="AZ206" s="2">
        <v>2536000</v>
      </c>
      <c r="BA206" s="2">
        <v>1536100</v>
      </c>
      <c r="BB206" s="2">
        <v>2306300</v>
      </c>
      <c r="BC206" s="2">
        <v>2756900</v>
      </c>
      <c r="BD206" s="2">
        <v>3547300</v>
      </c>
      <c r="BE206" s="2">
        <v>2940400</v>
      </c>
      <c r="BF206" s="2">
        <v>3399800</v>
      </c>
      <c r="BG206" s="2">
        <v>2941000</v>
      </c>
      <c r="BH206" s="2">
        <v>3425900</v>
      </c>
      <c r="BI206" s="2">
        <v>3088100</v>
      </c>
      <c r="BJ206" s="2">
        <v>3697600</v>
      </c>
      <c r="BK206" s="2">
        <v>5919900</v>
      </c>
      <c r="BL206" s="2">
        <v>3219800</v>
      </c>
      <c r="BM206" s="1">
        <v>3463300</v>
      </c>
      <c r="BN206" s="1">
        <v>2028700</v>
      </c>
      <c r="BO206" s="1">
        <v>4249800</v>
      </c>
      <c r="BP206" s="1">
        <v>5034800</v>
      </c>
      <c r="BQ206" s="1">
        <v>3251700</v>
      </c>
      <c r="BR206" s="1">
        <v>2105000</v>
      </c>
      <c r="BS206" s="1">
        <v>2030600</v>
      </c>
      <c r="BT206" s="1">
        <v>1926500</v>
      </c>
      <c r="BU206" s="1">
        <v>2083700</v>
      </c>
      <c r="BV206" s="1">
        <v>2926200</v>
      </c>
      <c r="BW206" s="1">
        <v>2475000</v>
      </c>
      <c r="BX206" s="1">
        <v>2748200</v>
      </c>
      <c r="BY206" s="1">
        <v>3255600</v>
      </c>
      <c r="BZ206" s="1">
        <v>2896500</v>
      </c>
    </row>
    <row r="207" spans="1:254" s="80" customFormat="1" ht="18.75" customHeight="1">
      <c r="A207" s="394" t="s">
        <v>406</v>
      </c>
      <c r="B207" s="80" t="s">
        <v>407</v>
      </c>
      <c r="C207" s="81">
        <f>_xll.RssMarket("7011","出来高")</f>
        <v>19815300</v>
      </c>
      <c r="D207" s="82">
        <f t="shared" si="3"/>
        <v>0</v>
      </c>
      <c r="E207" s="81">
        <v>19815300</v>
      </c>
      <c r="F207" s="81">
        <v>29142000</v>
      </c>
      <c r="G207" s="81">
        <v>55863900</v>
      </c>
      <c r="H207" s="81">
        <v>21809900</v>
      </c>
      <c r="I207" s="81">
        <v>22424900</v>
      </c>
      <c r="J207" s="81">
        <v>15217200</v>
      </c>
      <c r="K207" s="81">
        <v>16746900</v>
      </c>
      <c r="L207" s="81">
        <v>14730900</v>
      </c>
      <c r="M207" s="81">
        <v>13481200</v>
      </c>
      <c r="N207" s="81">
        <v>14576400</v>
      </c>
      <c r="O207" s="81">
        <v>15068100</v>
      </c>
      <c r="P207" s="81">
        <v>13718100</v>
      </c>
      <c r="Q207" s="81">
        <v>21670300</v>
      </c>
      <c r="R207" s="81">
        <v>21441300</v>
      </c>
      <c r="S207" s="81">
        <v>19491400</v>
      </c>
      <c r="T207" s="81">
        <v>12709500</v>
      </c>
      <c r="U207" s="81">
        <v>13530900</v>
      </c>
      <c r="V207" s="81">
        <v>14270300</v>
      </c>
      <c r="W207" s="81">
        <v>16150000</v>
      </c>
      <c r="X207" s="81">
        <v>25815800</v>
      </c>
      <c r="Y207" s="81">
        <v>24665400</v>
      </c>
      <c r="Z207" s="81">
        <v>35898600</v>
      </c>
      <c r="AA207" s="81">
        <v>15350400</v>
      </c>
      <c r="AB207" s="81">
        <v>17061600</v>
      </c>
      <c r="AC207" s="81">
        <v>19764700</v>
      </c>
      <c r="AD207" s="81">
        <v>19004300</v>
      </c>
      <c r="AE207" s="81">
        <v>23060300</v>
      </c>
      <c r="AF207" s="81">
        <v>16993000</v>
      </c>
      <c r="AG207" s="81">
        <v>19664300</v>
      </c>
      <c r="AH207" s="81">
        <v>14242700</v>
      </c>
      <c r="AI207" s="81">
        <v>20051900</v>
      </c>
      <c r="AJ207" s="81">
        <v>13192000</v>
      </c>
      <c r="AK207" s="81">
        <v>23852400</v>
      </c>
      <c r="AL207" s="81">
        <v>31233200</v>
      </c>
      <c r="AM207" s="81">
        <v>23776900</v>
      </c>
      <c r="AN207" s="81">
        <v>27316000</v>
      </c>
      <c r="AO207" s="81">
        <v>21245700</v>
      </c>
      <c r="AP207" s="81">
        <v>19580500</v>
      </c>
      <c r="AQ207" s="81">
        <v>18083000</v>
      </c>
      <c r="AR207" s="81">
        <v>17683400</v>
      </c>
      <c r="AS207" s="81">
        <v>23310400</v>
      </c>
      <c r="AT207" s="81">
        <v>23427800</v>
      </c>
      <c r="AU207" s="81">
        <v>28144900</v>
      </c>
      <c r="AV207" s="81">
        <v>30658500</v>
      </c>
      <c r="AW207" s="81">
        <v>35355900</v>
      </c>
      <c r="AX207" s="81">
        <v>34158900</v>
      </c>
      <c r="AY207" s="81">
        <v>25450500</v>
      </c>
      <c r="AZ207" s="81">
        <v>19574600</v>
      </c>
      <c r="BA207" s="81">
        <v>25805000</v>
      </c>
      <c r="BB207" s="81">
        <v>22773500</v>
      </c>
      <c r="BC207" s="81">
        <v>28538600</v>
      </c>
      <c r="BD207" s="81">
        <v>20144300</v>
      </c>
      <c r="BE207" s="81">
        <v>20535500</v>
      </c>
      <c r="BF207" s="81">
        <v>21740700</v>
      </c>
      <c r="BG207" s="81">
        <v>26236100</v>
      </c>
      <c r="BH207" s="81">
        <v>38699900</v>
      </c>
      <c r="BI207" s="81">
        <v>33182600</v>
      </c>
      <c r="BJ207" s="81">
        <v>57855600</v>
      </c>
      <c r="BK207" s="81">
        <v>23392400</v>
      </c>
      <c r="BL207" s="81">
        <v>25209200</v>
      </c>
      <c r="BM207" s="80">
        <v>32023200</v>
      </c>
      <c r="BN207" s="80">
        <v>13366800</v>
      </c>
      <c r="BO207" s="80">
        <v>26836400</v>
      </c>
      <c r="BP207" s="80">
        <v>19210500</v>
      </c>
      <c r="BQ207" s="80">
        <v>18063900</v>
      </c>
      <c r="BR207" s="80">
        <v>18264500</v>
      </c>
      <c r="BS207" s="80">
        <v>32997300</v>
      </c>
      <c r="BT207" s="80">
        <v>20727400</v>
      </c>
      <c r="BU207" s="80">
        <v>21954100</v>
      </c>
      <c r="BV207" s="80">
        <v>22506500</v>
      </c>
      <c r="BW207" s="80">
        <v>24317700</v>
      </c>
      <c r="BX207" s="80">
        <v>23321000</v>
      </c>
      <c r="BY207" s="80">
        <v>27484500</v>
      </c>
      <c r="BZ207" s="80">
        <v>16995600</v>
      </c>
    </row>
    <row r="208" spans="1:254" s="80" customFormat="1" ht="18.75" customHeight="1">
      <c r="A208" s="394" t="s">
        <v>408</v>
      </c>
      <c r="B208" s="80" t="s">
        <v>409</v>
      </c>
      <c r="C208" s="81">
        <f>_xll.RssMarket("1812","出来高")</f>
        <v>2747900</v>
      </c>
      <c r="D208" s="82">
        <f t="shared" si="3"/>
        <v>0</v>
      </c>
      <c r="E208" s="81">
        <v>2747900</v>
      </c>
      <c r="F208" s="81">
        <v>3666800</v>
      </c>
      <c r="G208" s="81">
        <v>1751300</v>
      </c>
      <c r="H208" s="81">
        <v>2024900</v>
      </c>
      <c r="I208" s="81">
        <v>1505300</v>
      </c>
      <c r="J208" s="81">
        <v>2170600</v>
      </c>
      <c r="K208" s="81">
        <v>2127600</v>
      </c>
      <c r="L208" s="81">
        <v>1498700</v>
      </c>
      <c r="M208" s="81">
        <v>994800</v>
      </c>
      <c r="N208" s="81">
        <v>885600</v>
      </c>
      <c r="O208" s="81">
        <v>721900</v>
      </c>
      <c r="P208" s="81">
        <v>975600</v>
      </c>
      <c r="Q208" s="81">
        <v>1372200</v>
      </c>
      <c r="R208" s="81">
        <v>1701600</v>
      </c>
      <c r="S208" s="81">
        <v>1600700</v>
      </c>
      <c r="T208" s="81">
        <v>1611400</v>
      </c>
      <c r="U208" s="81">
        <v>1353900</v>
      </c>
      <c r="V208" s="81">
        <v>1709400</v>
      </c>
      <c r="W208" s="81">
        <v>1205500</v>
      </c>
      <c r="X208" s="81">
        <v>1803900</v>
      </c>
      <c r="Y208" s="81">
        <v>2123100</v>
      </c>
      <c r="Z208" s="81">
        <v>1892700</v>
      </c>
      <c r="AA208" s="81">
        <v>1830400</v>
      </c>
      <c r="AB208" s="81">
        <v>2130200</v>
      </c>
      <c r="AC208" s="81">
        <v>2622200</v>
      </c>
      <c r="AD208" s="81">
        <v>2069500</v>
      </c>
      <c r="AE208" s="81">
        <v>1747500</v>
      </c>
      <c r="AF208" s="81">
        <v>1447000</v>
      </c>
      <c r="AG208" s="81">
        <v>1378800</v>
      </c>
      <c r="AH208" s="81">
        <v>1384900</v>
      </c>
      <c r="AI208" s="81">
        <v>2020000</v>
      </c>
      <c r="AJ208" s="81">
        <v>1417300</v>
      </c>
      <c r="AK208" s="81">
        <v>1831600</v>
      </c>
      <c r="AL208" s="81">
        <v>2241600</v>
      </c>
      <c r="AM208" s="81">
        <v>2120900</v>
      </c>
      <c r="AN208" s="81">
        <v>3189500</v>
      </c>
      <c r="AO208" s="81">
        <v>3437600</v>
      </c>
      <c r="AP208" s="81">
        <v>2249700</v>
      </c>
      <c r="AQ208" s="81">
        <v>1707200</v>
      </c>
      <c r="AR208" s="81">
        <v>1766400</v>
      </c>
      <c r="AS208" s="81">
        <v>1937100</v>
      </c>
      <c r="AT208" s="81">
        <v>1611200</v>
      </c>
      <c r="AU208" s="81">
        <v>2037700</v>
      </c>
      <c r="AV208" s="81">
        <v>2219400</v>
      </c>
      <c r="AW208" s="81">
        <v>2511600</v>
      </c>
      <c r="AX208" s="81">
        <v>4340100</v>
      </c>
      <c r="AY208" s="81">
        <v>1567000</v>
      </c>
      <c r="AZ208" s="81">
        <v>2389000</v>
      </c>
      <c r="BA208" s="81">
        <v>2011400</v>
      </c>
      <c r="BB208" s="81">
        <v>2021800</v>
      </c>
      <c r="BC208" s="81">
        <v>1547000</v>
      </c>
      <c r="BD208" s="81">
        <v>2811700</v>
      </c>
      <c r="BE208" s="81">
        <v>2571800</v>
      </c>
      <c r="BF208" s="81">
        <v>3416400</v>
      </c>
      <c r="BG208" s="81">
        <v>3296500</v>
      </c>
      <c r="BH208" s="81">
        <v>4741300</v>
      </c>
      <c r="BI208" s="81">
        <v>3133000</v>
      </c>
      <c r="BJ208" s="81">
        <v>4706400</v>
      </c>
      <c r="BK208" s="81">
        <v>2150900</v>
      </c>
      <c r="BL208" s="81">
        <v>2296300</v>
      </c>
      <c r="BM208" s="80">
        <v>2648400</v>
      </c>
      <c r="BN208" s="80">
        <v>1719800</v>
      </c>
      <c r="BO208" s="80">
        <v>3756200</v>
      </c>
      <c r="BP208" s="80">
        <v>3609800</v>
      </c>
      <c r="BQ208" s="80">
        <v>1799400</v>
      </c>
      <c r="BR208" s="80">
        <v>1594000</v>
      </c>
      <c r="BS208" s="80">
        <v>2224800</v>
      </c>
      <c r="BT208" s="80">
        <v>2241400</v>
      </c>
      <c r="BU208" s="80">
        <v>1798800</v>
      </c>
      <c r="BV208" s="80">
        <v>1861100</v>
      </c>
      <c r="BW208" s="80">
        <v>2574400</v>
      </c>
      <c r="BX208" s="80">
        <v>1720600</v>
      </c>
      <c r="BY208" s="80">
        <v>1275400</v>
      </c>
      <c r="BZ208" s="80">
        <v>1198200</v>
      </c>
    </row>
    <row r="209" spans="1:254" s="80" customFormat="1" ht="18.75" customHeight="1">
      <c r="A209" s="394" t="s">
        <v>410</v>
      </c>
      <c r="B209" s="80" t="str">
        <f>銘柄管理!C209</f>
        <v>キーエンス</v>
      </c>
      <c r="C209" s="81">
        <f>_xll.RssMarket("6861","出来高")</f>
        <v>798200</v>
      </c>
      <c r="D209" s="82">
        <f t="shared" si="3"/>
        <v>0</v>
      </c>
      <c r="E209" s="81">
        <v>798200</v>
      </c>
      <c r="F209" s="81">
        <v>1068000</v>
      </c>
      <c r="G209" s="81">
        <v>787300</v>
      </c>
      <c r="H209" s="81">
        <v>744000</v>
      </c>
      <c r="I209" s="81">
        <v>1256200</v>
      </c>
      <c r="J209" s="81">
        <v>1095900</v>
      </c>
      <c r="K209" s="81">
        <v>1893900</v>
      </c>
      <c r="L209" s="81">
        <v>833000</v>
      </c>
      <c r="M209" s="81">
        <v>675900</v>
      </c>
      <c r="N209" s="81">
        <v>618000</v>
      </c>
      <c r="O209" s="81">
        <v>496200</v>
      </c>
      <c r="P209" s="81">
        <v>716400</v>
      </c>
      <c r="Q209" s="81">
        <v>610700</v>
      </c>
      <c r="R209" s="81">
        <v>905400</v>
      </c>
      <c r="S209" s="81">
        <v>442200</v>
      </c>
      <c r="T209" s="81">
        <v>470500</v>
      </c>
      <c r="U209" s="81">
        <v>626500</v>
      </c>
      <c r="V209" s="81">
        <v>760000</v>
      </c>
      <c r="W209" s="81">
        <v>450500</v>
      </c>
      <c r="X209" s="81">
        <v>602200</v>
      </c>
      <c r="Y209" s="81">
        <v>561600</v>
      </c>
      <c r="Z209" s="81">
        <v>413300</v>
      </c>
      <c r="AA209" s="81">
        <v>468100</v>
      </c>
      <c r="AB209" s="81">
        <v>461300</v>
      </c>
      <c r="AC209" s="81">
        <v>491300</v>
      </c>
      <c r="AD209" s="81">
        <v>995800</v>
      </c>
      <c r="AE209" s="81">
        <v>509900</v>
      </c>
      <c r="AF209" s="81">
        <v>575500</v>
      </c>
      <c r="AG209" s="81">
        <v>510400</v>
      </c>
      <c r="AH209" s="81">
        <v>564500</v>
      </c>
      <c r="AI209" s="81">
        <v>531300</v>
      </c>
      <c r="AJ209" s="81">
        <v>463200</v>
      </c>
      <c r="AK209" s="81">
        <v>984900</v>
      </c>
      <c r="AL209" s="81">
        <v>597500</v>
      </c>
      <c r="AM209" s="81">
        <v>659800</v>
      </c>
      <c r="AN209" s="81">
        <v>492400</v>
      </c>
      <c r="AO209" s="81">
        <v>595600</v>
      </c>
      <c r="AP209" s="81">
        <v>836300</v>
      </c>
      <c r="AQ209" s="81">
        <v>626100</v>
      </c>
      <c r="AR209" s="81">
        <v>612800</v>
      </c>
      <c r="AS209" s="81">
        <v>727500</v>
      </c>
      <c r="AT209" s="81">
        <v>417000</v>
      </c>
      <c r="AU209" s="81">
        <v>529600</v>
      </c>
      <c r="AV209" s="81">
        <v>546400</v>
      </c>
      <c r="AW209" s="81">
        <v>592800</v>
      </c>
      <c r="AX209" s="81">
        <v>1485600</v>
      </c>
      <c r="AY209" s="81">
        <v>637100</v>
      </c>
      <c r="AZ209" s="81">
        <v>766700</v>
      </c>
      <c r="BA209" s="81">
        <v>578600</v>
      </c>
      <c r="BB209" s="81">
        <v>869400</v>
      </c>
      <c r="BC209" s="81">
        <v>783100</v>
      </c>
      <c r="BD209" s="81">
        <v>964400</v>
      </c>
      <c r="BE209" s="81">
        <v>543000</v>
      </c>
      <c r="BF209" s="81">
        <v>612500</v>
      </c>
      <c r="BG209" s="81">
        <v>666600</v>
      </c>
      <c r="BH209" s="81">
        <v>866400</v>
      </c>
      <c r="BI209" s="81">
        <v>642400</v>
      </c>
      <c r="BJ209" s="81">
        <v>1113700</v>
      </c>
      <c r="BK209" s="81">
        <v>1114000</v>
      </c>
      <c r="BL209" s="81">
        <v>1695500</v>
      </c>
      <c r="BM209" s="80">
        <v>2252600</v>
      </c>
      <c r="BN209" s="80">
        <v>1667000</v>
      </c>
      <c r="BO209" s="80">
        <v>1491600</v>
      </c>
      <c r="BP209" s="80">
        <v>2805500</v>
      </c>
      <c r="BQ209" s="80">
        <v>1157900</v>
      </c>
      <c r="BR209" s="80">
        <v>735200</v>
      </c>
      <c r="BS209" s="80">
        <v>759800</v>
      </c>
      <c r="BT209" s="80">
        <v>746600</v>
      </c>
      <c r="BU209" s="80">
        <v>876300</v>
      </c>
      <c r="BV209" s="80">
        <v>692100</v>
      </c>
      <c r="BW209" s="80">
        <v>525100</v>
      </c>
      <c r="BX209" s="80">
        <v>536900</v>
      </c>
      <c r="BY209" s="80">
        <v>695500</v>
      </c>
      <c r="BZ209" s="80">
        <v>751900</v>
      </c>
    </row>
    <row r="210" spans="1:254" s="80" customFormat="1" ht="18.75" customHeight="1">
      <c r="A210" s="394" t="s">
        <v>411</v>
      </c>
      <c r="B210" s="80" t="s">
        <v>412</v>
      </c>
      <c r="C210" s="81">
        <f>_xll.RssMarket("6324","出来高")</f>
        <v>1543600</v>
      </c>
      <c r="D210" s="82">
        <f t="shared" si="3"/>
        <v>0</v>
      </c>
      <c r="E210" s="81">
        <v>1543600</v>
      </c>
      <c r="F210" s="81">
        <v>1729900</v>
      </c>
      <c r="G210" s="81">
        <v>1903200</v>
      </c>
      <c r="H210" s="81">
        <v>1592300</v>
      </c>
      <c r="I210" s="81">
        <v>1957700</v>
      </c>
      <c r="J210" s="81">
        <v>1843700</v>
      </c>
      <c r="K210" s="81">
        <v>2131400</v>
      </c>
      <c r="L210" s="81">
        <v>2057600</v>
      </c>
      <c r="M210" s="81">
        <v>1276500</v>
      </c>
      <c r="N210" s="81">
        <v>918000</v>
      </c>
      <c r="O210" s="81">
        <v>1075800</v>
      </c>
      <c r="P210" s="81">
        <v>1683000</v>
      </c>
      <c r="Q210" s="81">
        <v>1489000</v>
      </c>
      <c r="R210" s="81">
        <v>2014400</v>
      </c>
      <c r="S210" s="81">
        <v>1285400</v>
      </c>
      <c r="T210" s="81">
        <v>2312400</v>
      </c>
      <c r="U210" s="81">
        <v>1968500</v>
      </c>
      <c r="V210" s="81">
        <v>1638100</v>
      </c>
      <c r="W210" s="81">
        <v>1489700</v>
      </c>
      <c r="X210" s="81">
        <v>2271200</v>
      </c>
      <c r="Y210" s="81">
        <v>2481700</v>
      </c>
      <c r="Z210" s="81">
        <v>2883200</v>
      </c>
      <c r="AA210" s="81">
        <v>4155900</v>
      </c>
      <c r="AB210" s="81">
        <v>2363700</v>
      </c>
      <c r="AC210" s="81">
        <v>1619600</v>
      </c>
      <c r="AD210" s="81">
        <v>1892200</v>
      </c>
      <c r="AE210" s="81">
        <v>1471200</v>
      </c>
      <c r="AF210" s="81">
        <v>1548200</v>
      </c>
      <c r="AG210" s="81">
        <v>1401400</v>
      </c>
      <c r="AH210" s="81">
        <v>2023600</v>
      </c>
      <c r="AI210" s="81">
        <v>2282200</v>
      </c>
      <c r="AJ210" s="81">
        <v>2503800</v>
      </c>
      <c r="AK210" s="81">
        <v>1420100</v>
      </c>
      <c r="AL210" s="81">
        <v>2523400</v>
      </c>
      <c r="AM210" s="81">
        <v>1930000</v>
      </c>
      <c r="AN210" s="81">
        <v>1234800</v>
      </c>
      <c r="AO210" s="81">
        <v>883100</v>
      </c>
      <c r="AP210" s="81">
        <v>1375700</v>
      </c>
      <c r="AQ210" s="81">
        <v>1320000</v>
      </c>
      <c r="AR210" s="81">
        <v>2016000</v>
      </c>
      <c r="AS210" s="81">
        <v>2627000</v>
      </c>
      <c r="AT210" s="81">
        <v>1708900</v>
      </c>
      <c r="AU210" s="81">
        <v>1989400</v>
      </c>
      <c r="AV210" s="81">
        <v>1616200</v>
      </c>
      <c r="AW210" s="81">
        <v>2729400</v>
      </c>
      <c r="AX210" s="81">
        <v>1663800</v>
      </c>
      <c r="AY210" s="81">
        <v>1654400</v>
      </c>
      <c r="AZ210" s="81">
        <v>1817400</v>
      </c>
      <c r="BA210" s="81">
        <v>1849300</v>
      </c>
      <c r="BB210" s="81">
        <v>1907200</v>
      </c>
      <c r="BC210" s="81">
        <v>1534900</v>
      </c>
      <c r="BD210" s="81">
        <v>1680400</v>
      </c>
      <c r="BE210" s="81">
        <v>3468300</v>
      </c>
      <c r="BF210" s="81">
        <v>1684000</v>
      </c>
      <c r="BG210" s="81">
        <v>3213500</v>
      </c>
      <c r="BH210" s="81">
        <v>5545500</v>
      </c>
      <c r="BI210" s="81">
        <v>3123000</v>
      </c>
      <c r="BJ210" s="81">
        <v>1716200</v>
      </c>
      <c r="BK210" s="81">
        <v>1981700</v>
      </c>
      <c r="BL210" s="81">
        <v>2170200</v>
      </c>
      <c r="BM210" s="80">
        <v>1617200</v>
      </c>
      <c r="BN210" s="80">
        <v>1245100</v>
      </c>
      <c r="BO210" s="80">
        <v>2526800</v>
      </c>
      <c r="BP210" s="80">
        <v>1778700</v>
      </c>
      <c r="BQ210" s="80">
        <v>3690800</v>
      </c>
      <c r="BR210" s="80">
        <v>667900</v>
      </c>
      <c r="BS210" s="80">
        <v>979000</v>
      </c>
      <c r="BT210" s="80">
        <v>972800</v>
      </c>
      <c r="BU210" s="80">
        <v>1114800</v>
      </c>
      <c r="BV210" s="80">
        <v>1151600</v>
      </c>
      <c r="BW210" s="80">
        <v>1368200</v>
      </c>
      <c r="BX210" s="80">
        <v>3199400</v>
      </c>
      <c r="BY210" s="80">
        <v>1790000</v>
      </c>
      <c r="BZ210" s="80">
        <v>1070600</v>
      </c>
    </row>
    <row r="211" spans="1:254" s="80" customFormat="1" ht="18.75" customHeight="1">
      <c r="A211" s="394" t="s">
        <v>413</v>
      </c>
      <c r="B211" s="80" t="s">
        <v>414</v>
      </c>
      <c r="C211" s="81">
        <f>_xll.RssMarket("6273","出来高")</f>
        <v>309800</v>
      </c>
      <c r="D211" s="82">
        <f t="shared" si="3"/>
        <v>0</v>
      </c>
      <c r="E211" s="81">
        <v>309800</v>
      </c>
      <c r="F211" s="81">
        <v>257400</v>
      </c>
      <c r="G211" s="81">
        <v>287700</v>
      </c>
      <c r="H211" s="81">
        <v>262100</v>
      </c>
      <c r="I211" s="81">
        <v>330300</v>
      </c>
      <c r="J211" s="81">
        <v>194700</v>
      </c>
      <c r="K211" s="81">
        <v>341500</v>
      </c>
      <c r="L211" s="81">
        <v>326900</v>
      </c>
      <c r="M211" s="81">
        <v>189300</v>
      </c>
      <c r="N211" s="81">
        <v>213600</v>
      </c>
      <c r="O211" s="81">
        <v>196600</v>
      </c>
      <c r="P211" s="81">
        <v>242100</v>
      </c>
      <c r="Q211" s="81">
        <v>253400</v>
      </c>
      <c r="R211" s="81">
        <v>427200</v>
      </c>
      <c r="S211" s="81">
        <v>205000</v>
      </c>
      <c r="T211" s="81">
        <v>358200</v>
      </c>
      <c r="U211" s="81">
        <v>299500</v>
      </c>
      <c r="V211" s="81">
        <v>366400</v>
      </c>
      <c r="W211" s="81">
        <v>241400</v>
      </c>
      <c r="X211" s="81">
        <v>287200</v>
      </c>
      <c r="Y211" s="81">
        <v>297200</v>
      </c>
      <c r="Z211" s="81">
        <v>273700</v>
      </c>
      <c r="AA211" s="81">
        <v>438900</v>
      </c>
      <c r="AB211" s="81">
        <v>407800</v>
      </c>
      <c r="AC211" s="81">
        <v>270600</v>
      </c>
      <c r="AD211" s="81">
        <v>253700</v>
      </c>
      <c r="AE211" s="81">
        <v>205100</v>
      </c>
      <c r="AF211" s="81">
        <v>258700</v>
      </c>
      <c r="AG211" s="81">
        <v>250400</v>
      </c>
      <c r="AH211" s="81">
        <v>280500</v>
      </c>
      <c r="AI211" s="81">
        <v>301100</v>
      </c>
      <c r="AJ211" s="81">
        <v>222800</v>
      </c>
      <c r="AK211" s="81">
        <v>543900</v>
      </c>
      <c r="AL211" s="81">
        <v>317800</v>
      </c>
      <c r="AM211" s="81">
        <v>330200</v>
      </c>
      <c r="AN211" s="81">
        <v>275900</v>
      </c>
      <c r="AO211" s="81">
        <v>355700</v>
      </c>
      <c r="AP211" s="81">
        <v>429200</v>
      </c>
      <c r="AQ211" s="81">
        <v>362200</v>
      </c>
      <c r="AR211" s="81">
        <v>252700</v>
      </c>
      <c r="AS211" s="81">
        <v>315700</v>
      </c>
      <c r="AT211" s="81">
        <v>253800</v>
      </c>
      <c r="AU211" s="81">
        <v>274600</v>
      </c>
      <c r="AV211" s="81">
        <v>331900</v>
      </c>
      <c r="AW211" s="81">
        <v>300300</v>
      </c>
      <c r="AX211" s="81">
        <v>731100</v>
      </c>
      <c r="AY211" s="81">
        <v>465100</v>
      </c>
      <c r="AZ211" s="81">
        <v>379000</v>
      </c>
      <c r="BA211" s="81">
        <v>499800</v>
      </c>
      <c r="BB211" s="81">
        <v>510000</v>
      </c>
      <c r="BC211" s="81">
        <v>348300</v>
      </c>
      <c r="BD211" s="81">
        <v>533300</v>
      </c>
      <c r="BE211" s="81">
        <v>434500</v>
      </c>
      <c r="BF211" s="81">
        <v>539400</v>
      </c>
      <c r="BG211" s="81">
        <v>1165400</v>
      </c>
      <c r="BH211" s="81">
        <v>768900</v>
      </c>
      <c r="BI211" s="81">
        <v>285800</v>
      </c>
      <c r="BJ211" s="81">
        <v>333000</v>
      </c>
      <c r="BK211" s="81">
        <v>381900</v>
      </c>
      <c r="BL211" s="81">
        <v>491200</v>
      </c>
      <c r="BM211" s="80">
        <v>594200</v>
      </c>
      <c r="BN211" s="80">
        <v>386500</v>
      </c>
      <c r="BO211" s="80">
        <v>595700</v>
      </c>
      <c r="BP211" s="80">
        <v>553000</v>
      </c>
      <c r="BQ211" s="80">
        <v>676600</v>
      </c>
      <c r="BR211" s="80">
        <v>212400</v>
      </c>
      <c r="BS211" s="80">
        <v>222200</v>
      </c>
      <c r="BT211" s="80">
        <v>203200</v>
      </c>
      <c r="BU211" s="80">
        <v>144800</v>
      </c>
      <c r="BV211" s="80">
        <v>192600</v>
      </c>
      <c r="BW211" s="80">
        <v>299600</v>
      </c>
      <c r="BX211" s="80">
        <v>291900</v>
      </c>
      <c r="BY211" s="80">
        <v>248400</v>
      </c>
      <c r="BZ211" s="80">
        <v>223400</v>
      </c>
    </row>
    <row r="212" spans="1:254" s="80" customFormat="1" ht="18.75" customHeight="1">
      <c r="A212" s="394" t="s">
        <v>415</v>
      </c>
      <c r="B212" s="80" t="s">
        <v>416</v>
      </c>
      <c r="C212" s="81">
        <f>_xll.RssMarket("4502","出来高")</f>
        <v>4077000</v>
      </c>
      <c r="D212" s="82">
        <f t="shared" si="3"/>
        <v>0</v>
      </c>
      <c r="E212" s="81">
        <v>4077000</v>
      </c>
      <c r="F212" s="81">
        <v>3470800</v>
      </c>
      <c r="G212" s="81">
        <v>3851800</v>
      </c>
      <c r="H212" s="81">
        <v>4750600</v>
      </c>
      <c r="I212" s="81">
        <v>7218600</v>
      </c>
      <c r="J212" s="81">
        <v>4859800</v>
      </c>
      <c r="K212" s="81">
        <v>5289600</v>
      </c>
      <c r="L212" s="81">
        <v>3918100</v>
      </c>
      <c r="M212" s="81">
        <v>4647600</v>
      </c>
      <c r="N212" s="81">
        <v>3633100</v>
      </c>
      <c r="O212" s="81">
        <v>2920500</v>
      </c>
      <c r="P212" s="81">
        <v>4253200</v>
      </c>
      <c r="Q212" s="81">
        <v>5394200</v>
      </c>
      <c r="R212" s="81">
        <v>5074900</v>
      </c>
      <c r="S212" s="81">
        <v>2986600</v>
      </c>
      <c r="T212" s="81">
        <v>3586400</v>
      </c>
      <c r="U212" s="81">
        <v>2451900</v>
      </c>
      <c r="V212" s="81">
        <v>3123700</v>
      </c>
      <c r="W212" s="81">
        <v>2773800</v>
      </c>
      <c r="X212" s="81">
        <v>3668900</v>
      </c>
      <c r="Y212" s="81">
        <v>3488200</v>
      </c>
      <c r="Z212" s="81">
        <v>3686800</v>
      </c>
      <c r="AA212" s="81">
        <v>4074200</v>
      </c>
      <c r="AB212" s="81">
        <v>3538100</v>
      </c>
      <c r="AC212" s="81">
        <v>4177200</v>
      </c>
      <c r="AD212" s="81">
        <v>4329100</v>
      </c>
      <c r="AE212" s="81">
        <v>7388100</v>
      </c>
      <c r="AF212" s="81">
        <v>4148100</v>
      </c>
      <c r="AG212" s="81">
        <v>2958200</v>
      </c>
      <c r="AH212" s="81">
        <v>3983400</v>
      </c>
      <c r="AI212" s="81">
        <v>3723100</v>
      </c>
      <c r="AJ212" s="81">
        <v>2503900</v>
      </c>
      <c r="AK212" s="81">
        <v>3916500</v>
      </c>
      <c r="AL212" s="81">
        <v>3465300</v>
      </c>
      <c r="AM212" s="81">
        <v>3890400</v>
      </c>
      <c r="AN212" s="81">
        <v>3072600</v>
      </c>
      <c r="AO212" s="81">
        <v>3450400</v>
      </c>
      <c r="AP212" s="81">
        <v>4711800</v>
      </c>
      <c r="AQ212" s="81">
        <v>2623200</v>
      </c>
      <c r="AR212" s="81">
        <v>4145900</v>
      </c>
      <c r="AS212" s="81">
        <v>4621900</v>
      </c>
      <c r="AT212" s="81">
        <v>4448200</v>
      </c>
      <c r="AU212" s="81">
        <v>4360600</v>
      </c>
      <c r="AV212" s="81">
        <v>5041600</v>
      </c>
      <c r="AW212" s="81">
        <v>5212500</v>
      </c>
      <c r="AX212" s="81">
        <v>7712000</v>
      </c>
      <c r="AY212" s="81">
        <v>3797500</v>
      </c>
      <c r="AZ212" s="81">
        <v>3687000</v>
      </c>
      <c r="BA212" s="81">
        <v>3811800</v>
      </c>
      <c r="BB212" s="81">
        <v>3742400</v>
      </c>
      <c r="BC212" s="81">
        <v>3251600</v>
      </c>
      <c r="BD212" s="81">
        <v>4328700</v>
      </c>
      <c r="BE212" s="81">
        <v>4414600</v>
      </c>
      <c r="BF212" s="81">
        <v>3372900</v>
      </c>
      <c r="BG212" s="81">
        <v>5258600</v>
      </c>
      <c r="BH212" s="81">
        <v>5453200</v>
      </c>
      <c r="BI212" s="81">
        <v>3887700</v>
      </c>
      <c r="BJ212" s="81">
        <v>3103900</v>
      </c>
      <c r="BK212" s="81">
        <v>4684400</v>
      </c>
      <c r="BL212" s="81">
        <v>5448900</v>
      </c>
      <c r="BM212" s="80">
        <v>6380200</v>
      </c>
      <c r="BN212" s="80">
        <v>2628900</v>
      </c>
      <c r="BO212" s="80">
        <v>5930400</v>
      </c>
      <c r="BP212" s="80">
        <v>3363300</v>
      </c>
      <c r="BQ212" s="80">
        <v>3749900</v>
      </c>
      <c r="BR212" s="80">
        <v>2389900</v>
      </c>
      <c r="BS212" s="80">
        <v>3932200</v>
      </c>
      <c r="BT212" s="80">
        <v>4930100</v>
      </c>
      <c r="BU212" s="80">
        <v>3375600</v>
      </c>
      <c r="BV212" s="80">
        <v>3105300</v>
      </c>
      <c r="BW212" s="80">
        <v>5111600</v>
      </c>
      <c r="BX212" s="80">
        <v>3812900</v>
      </c>
      <c r="BY212" s="80">
        <v>3779900</v>
      </c>
      <c r="BZ212" s="80">
        <v>3179400</v>
      </c>
    </row>
    <row r="213" spans="1:254" s="80" customFormat="1" ht="18.75" customHeight="1">
      <c r="A213" s="394" t="s">
        <v>417</v>
      </c>
      <c r="B213" s="80" t="s">
        <v>418</v>
      </c>
      <c r="C213" s="81">
        <f>_xll.RssMarket("4004","出来高")</f>
        <v>3044200</v>
      </c>
      <c r="D213" s="82">
        <f t="shared" si="3"/>
        <v>0</v>
      </c>
      <c r="E213" s="81">
        <v>3044200</v>
      </c>
      <c r="F213" s="81">
        <v>3792000</v>
      </c>
      <c r="G213" s="81">
        <v>2999400</v>
      </c>
      <c r="H213" s="81">
        <v>2346900</v>
      </c>
      <c r="I213" s="81">
        <v>4295100</v>
      </c>
      <c r="J213" s="81">
        <v>3479900</v>
      </c>
      <c r="K213" s="81">
        <v>4257700</v>
      </c>
      <c r="L213" s="81">
        <v>3088500</v>
      </c>
      <c r="M213" s="81">
        <v>2078700</v>
      </c>
      <c r="N213" s="81">
        <v>1455100</v>
      </c>
      <c r="O213" s="81">
        <v>1371000</v>
      </c>
      <c r="P213" s="81">
        <v>2499600</v>
      </c>
      <c r="Q213" s="81">
        <v>2123200</v>
      </c>
      <c r="R213" s="81">
        <v>3120500</v>
      </c>
      <c r="S213" s="81">
        <v>1550900</v>
      </c>
      <c r="T213" s="81">
        <v>1895300</v>
      </c>
      <c r="U213" s="81">
        <v>2204200</v>
      </c>
      <c r="V213" s="81">
        <v>1814000</v>
      </c>
      <c r="W213" s="81">
        <v>2001400</v>
      </c>
      <c r="X213" s="81">
        <v>2461400</v>
      </c>
      <c r="Y213" s="81">
        <v>3044900</v>
      </c>
      <c r="Z213" s="81">
        <v>2339600</v>
      </c>
      <c r="AA213" s="81">
        <v>3191200</v>
      </c>
      <c r="AB213" s="81">
        <v>2591200</v>
      </c>
      <c r="AC213" s="81">
        <v>2895400</v>
      </c>
      <c r="AD213" s="81">
        <v>1849000</v>
      </c>
      <c r="AE213" s="81">
        <v>2319000</v>
      </c>
      <c r="AF213" s="81">
        <v>3130000</v>
      </c>
      <c r="AG213" s="81">
        <v>2622700</v>
      </c>
      <c r="AH213" s="81">
        <v>2726400</v>
      </c>
      <c r="AI213" s="81">
        <v>3320700</v>
      </c>
      <c r="AJ213" s="81">
        <v>2531900</v>
      </c>
      <c r="AK213" s="81">
        <v>3844400</v>
      </c>
      <c r="AL213" s="81">
        <v>2873600</v>
      </c>
      <c r="AM213" s="81">
        <v>2611900</v>
      </c>
      <c r="AN213" s="81">
        <v>4365600</v>
      </c>
      <c r="AO213" s="81">
        <v>4237800</v>
      </c>
      <c r="AP213" s="81">
        <v>4261100</v>
      </c>
      <c r="AQ213" s="81">
        <v>3786500</v>
      </c>
      <c r="AR213" s="81">
        <v>2931600</v>
      </c>
      <c r="AS213" s="81">
        <v>3666000</v>
      </c>
      <c r="AT213" s="81">
        <v>2100000</v>
      </c>
      <c r="AU213" s="81">
        <v>2720300</v>
      </c>
      <c r="AV213" s="81">
        <v>3537100</v>
      </c>
      <c r="AW213" s="81">
        <v>3219800</v>
      </c>
      <c r="AX213" s="81">
        <v>14244600</v>
      </c>
      <c r="AY213" s="81">
        <v>4344800</v>
      </c>
      <c r="AZ213" s="81">
        <v>3310100</v>
      </c>
      <c r="BA213" s="81">
        <v>4334200</v>
      </c>
      <c r="BB213" s="81">
        <v>4156900</v>
      </c>
      <c r="BC213" s="81">
        <v>4153300</v>
      </c>
      <c r="BD213" s="81">
        <v>2929800</v>
      </c>
      <c r="BE213" s="81">
        <v>3039700</v>
      </c>
      <c r="BF213" s="81">
        <v>3620100</v>
      </c>
      <c r="BG213" s="81">
        <v>4930400</v>
      </c>
      <c r="BH213" s="81">
        <v>7539400</v>
      </c>
      <c r="BI213" s="81">
        <v>4870500</v>
      </c>
      <c r="BJ213" s="81">
        <v>4272400</v>
      </c>
      <c r="BK213" s="81">
        <v>3987800</v>
      </c>
      <c r="BL213" s="81">
        <v>2827400</v>
      </c>
      <c r="BM213" s="80">
        <v>4158600</v>
      </c>
      <c r="BN213" s="80">
        <v>1771800</v>
      </c>
      <c r="BO213" s="80">
        <v>2221600</v>
      </c>
      <c r="BP213" s="80">
        <v>2085700</v>
      </c>
      <c r="BQ213" s="80">
        <v>2354700</v>
      </c>
      <c r="BR213" s="80">
        <v>3952800</v>
      </c>
      <c r="BS213" s="80">
        <v>3961500</v>
      </c>
      <c r="BT213" s="80">
        <v>5223800</v>
      </c>
      <c r="BU213" s="80">
        <v>2825800</v>
      </c>
      <c r="BV213" s="80">
        <v>1539300</v>
      </c>
      <c r="BW213" s="80">
        <v>2094100</v>
      </c>
      <c r="BX213" s="80">
        <v>1422700</v>
      </c>
      <c r="BY213" s="80">
        <v>2680600</v>
      </c>
      <c r="BZ213" s="80">
        <v>2121800</v>
      </c>
    </row>
    <row r="214" spans="1:254" s="80" customFormat="1" ht="18.75" customHeight="1">
      <c r="A214" s="394" t="s">
        <v>419</v>
      </c>
      <c r="B214" s="80" t="s">
        <v>420</v>
      </c>
      <c r="C214" s="81">
        <f>_xll.RssMarket("9519","出来高")</f>
        <v>571100</v>
      </c>
      <c r="D214" s="82">
        <f t="shared" si="3"/>
        <v>0</v>
      </c>
      <c r="E214" s="81">
        <v>571100</v>
      </c>
      <c r="F214" s="81">
        <v>555100</v>
      </c>
      <c r="G214" s="81">
        <v>553300</v>
      </c>
      <c r="H214" s="81">
        <v>636900</v>
      </c>
      <c r="I214" s="81">
        <v>740200</v>
      </c>
      <c r="J214" s="81">
        <v>904200</v>
      </c>
      <c r="K214" s="81">
        <v>685700</v>
      </c>
      <c r="L214" s="81">
        <v>767300</v>
      </c>
      <c r="M214" s="81">
        <v>796400</v>
      </c>
      <c r="N214" s="81">
        <v>811400</v>
      </c>
      <c r="O214" s="81">
        <v>673600</v>
      </c>
      <c r="P214" s="81">
        <v>673400</v>
      </c>
      <c r="Q214" s="81">
        <v>769300</v>
      </c>
      <c r="R214" s="81">
        <v>1404900</v>
      </c>
      <c r="S214" s="81">
        <v>1167300</v>
      </c>
      <c r="T214" s="81">
        <v>788100</v>
      </c>
      <c r="U214" s="81">
        <v>632400</v>
      </c>
      <c r="V214" s="81">
        <v>566800</v>
      </c>
      <c r="W214" s="81">
        <v>568200</v>
      </c>
      <c r="X214" s="81">
        <v>745300</v>
      </c>
      <c r="Y214" s="81">
        <v>596200</v>
      </c>
      <c r="Z214" s="81">
        <v>921400</v>
      </c>
      <c r="AA214" s="81">
        <v>667900</v>
      </c>
      <c r="AB214" s="81">
        <v>764000</v>
      </c>
      <c r="AC214" s="81">
        <v>776800</v>
      </c>
      <c r="AD214" s="81">
        <v>1778000</v>
      </c>
      <c r="AE214" s="81">
        <v>1417400</v>
      </c>
      <c r="AF214" s="81">
        <v>1221800</v>
      </c>
      <c r="AG214" s="81">
        <v>1354100</v>
      </c>
      <c r="AH214" s="81">
        <v>1873000</v>
      </c>
      <c r="AI214" s="81">
        <v>2340500</v>
      </c>
      <c r="AJ214" s="81">
        <v>1432600</v>
      </c>
      <c r="AK214" s="81">
        <v>956000</v>
      </c>
      <c r="AL214" s="81">
        <v>1032500</v>
      </c>
      <c r="AM214" s="81">
        <v>787600</v>
      </c>
      <c r="AN214" s="81">
        <v>692700</v>
      </c>
      <c r="AO214" s="81">
        <v>1087900</v>
      </c>
      <c r="AP214" s="81">
        <v>573300</v>
      </c>
      <c r="AQ214" s="81">
        <v>821600</v>
      </c>
      <c r="AR214" s="81">
        <v>1269200</v>
      </c>
      <c r="AS214" s="81">
        <v>1475800</v>
      </c>
      <c r="AT214" s="81">
        <v>1880600</v>
      </c>
      <c r="AU214" s="81">
        <v>1440100</v>
      </c>
      <c r="AV214" s="81">
        <v>1713400</v>
      </c>
      <c r="AW214" s="81">
        <v>1749500</v>
      </c>
      <c r="AX214" s="81">
        <v>1557800</v>
      </c>
      <c r="AY214" s="81">
        <v>1330100</v>
      </c>
      <c r="AZ214" s="81">
        <v>996700</v>
      </c>
      <c r="BA214" s="81">
        <v>1204700</v>
      </c>
      <c r="BB214" s="81">
        <v>1344500</v>
      </c>
      <c r="BC214" s="81">
        <v>1505700</v>
      </c>
      <c r="BD214" s="81">
        <v>1943400</v>
      </c>
      <c r="BE214" s="81">
        <v>2372800</v>
      </c>
      <c r="BF214" s="81">
        <v>1436000</v>
      </c>
      <c r="BG214" s="81">
        <v>1571100</v>
      </c>
      <c r="BH214" s="81">
        <v>3271700</v>
      </c>
      <c r="BI214" s="81">
        <v>1402800</v>
      </c>
      <c r="BJ214" s="81">
        <v>1475100</v>
      </c>
      <c r="BK214" s="81">
        <v>1555200</v>
      </c>
      <c r="BL214" s="81">
        <v>1523600</v>
      </c>
      <c r="BM214" s="80">
        <v>1249500</v>
      </c>
      <c r="BN214" s="80">
        <v>1396500</v>
      </c>
      <c r="BO214" s="80">
        <v>1578200</v>
      </c>
      <c r="BP214" s="80">
        <v>1958200</v>
      </c>
      <c r="BQ214" s="80">
        <v>1730500</v>
      </c>
      <c r="BR214" s="80">
        <v>2671100</v>
      </c>
      <c r="BS214" s="80">
        <v>1792400</v>
      </c>
      <c r="BT214" s="80">
        <v>1174700</v>
      </c>
      <c r="BU214" s="80">
        <v>1252800</v>
      </c>
      <c r="BV214" s="80">
        <v>2028900</v>
      </c>
      <c r="BW214" s="80">
        <v>2816500</v>
      </c>
      <c r="BX214" s="80">
        <v>2176400</v>
      </c>
      <c r="BY214" s="80">
        <v>1621300</v>
      </c>
      <c r="BZ214" s="80">
        <v>1829200</v>
      </c>
    </row>
    <row r="215" spans="1:254" s="80" customFormat="1" ht="18.75" customHeight="1">
      <c r="A215" s="394" t="s">
        <v>421</v>
      </c>
      <c r="B215" s="80" t="s">
        <v>422</v>
      </c>
      <c r="C215" s="81">
        <f>_xll.RssMarket("6752","出来高")</f>
        <v>6765900</v>
      </c>
      <c r="D215" s="82">
        <f t="shared" si="3"/>
        <v>0</v>
      </c>
      <c r="E215" s="81">
        <v>6765900</v>
      </c>
      <c r="F215" s="81">
        <v>10315000</v>
      </c>
      <c r="G215" s="81">
        <v>11196600</v>
      </c>
      <c r="H215" s="81">
        <v>20470200</v>
      </c>
      <c r="I215" s="81">
        <v>3715000</v>
      </c>
      <c r="J215" s="81">
        <v>14208400</v>
      </c>
      <c r="K215" s="81">
        <v>13158400</v>
      </c>
      <c r="L215" s="81">
        <v>10584600</v>
      </c>
      <c r="M215" s="81">
        <v>6117600</v>
      </c>
      <c r="N215" s="81">
        <v>8822800</v>
      </c>
      <c r="O215" s="81">
        <v>8184700</v>
      </c>
      <c r="P215" s="81">
        <v>11203300</v>
      </c>
      <c r="Q215" s="81">
        <v>11240100</v>
      </c>
      <c r="R215" s="81">
        <v>11689200</v>
      </c>
      <c r="S215" s="81">
        <v>8823300</v>
      </c>
      <c r="T215" s="81">
        <v>13282000</v>
      </c>
      <c r="U215" s="81">
        <v>9452700</v>
      </c>
      <c r="V215" s="81">
        <v>9336700</v>
      </c>
      <c r="W215" s="81">
        <v>10477400</v>
      </c>
      <c r="X215" s="81">
        <v>13708200</v>
      </c>
      <c r="Y215" s="81">
        <v>14299000</v>
      </c>
      <c r="Z215" s="81">
        <v>11643300</v>
      </c>
      <c r="AA215" s="81">
        <v>16061700</v>
      </c>
      <c r="AB215" s="81">
        <v>18343300</v>
      </c>
      <c r="AC215" s="81">
        <v>16448300</v>
      </c>
      <c r="AD215" s="81">
        <v>12658800</v>
      </c>
      <c r="AE215" s="81">
        <v>17869700</v>
      </c>
      <c r="AF215" s="81">
        <v>14190200</v>
      </c>
      <c r="AG215" s="81">
        <v>16212100</v>
      </c>
      <c r="AH215" s="81">
        <v>24122900</v>
      </c>
      <c r="AI215" s="81">
        <v>12373700</v>
      </c>
      <c r="AJ215" s="81">
        <v>13849300</v>
      </c>
      <c r="AK215" s="81">
        <v>16565200</v>
      </c>
      <c r="AL215" s="81">
        <v>14399900</v>
      </c>
      <c r="AM215" s="81">
        <v>12296100</v>
      </c>
      <c r="AN215" s="81">
        <v>12023600</v>
      </c>
      <c r="AO215" s="81">
        <v>11714100</v>
      </c>
      <c r="AP215" s="81">
        <v>16282100</v>
      </c>
      <c r="AQ215" s="81">
        <v>9323500</v>
      </c>
      <c r="AR215" s="81">
        <v>14321600</v>
      </c>
      <c r="AS215" s="81">
        <v>13293300</v>
      </c>
      <c r="AT215" s="81">
        <v>10487900</v>
      </c>
      <c r="AU215" s="81">
        <v>13402400</v>
      </c>
      <c r="AV215" s="81">
        <v>16005500</v>
      </c>
      <c r="AW215" s="81">
        <v>11490500</v>
      </c>
      <c r="AX215" s="81">
        <v>22141600</v>
      </c>
      <c r="AY215" s="81">
        <v>10582200</v>
      </c>
      <c r="AZ215" s="81">
        <v>10089200</v>
      </c>
      <c r="BA215" s="81">
        <v>11042100</v>
      </c>
      <c r="BB215" s="81">
        <v>10734700</v>
      </c>
      <c r="BC215" s="81">
        <v>9240900</v>
      </c>
      <c r="BD215" s="81">
        <v>8845800</v>
      </c>
      <c r="BE215" s="81">
        <v>6087000</v>
      </c>
      <c r="BF215" s="81">
        <v>7607300</v>
      </c>
      <c r="BG215" s="81">
        <v>14918100</v>
      </c>
      <c r="BH215" s="81">
        <v>13884900</v>
      </c>
      <c r="BI215" s="81">
        <v>14747200</v>
      </c>
      <c r="BJ215" s="81">
        <v>11139600</v>
      </c>
      <c r="BK215" s="81">
        <v>11236300</v>
      </c>
      <c r="BL215" s="81">
        <v>11707600</v>
      </c>
      <c r="BM215" s="80">
        <v>17088700</v>
      </c>
      <c r="BN215" s="80">
        <v>12213500</v>
      </c>
      <c r="BO215" s="80">
        <v>14720800</v>
      </c>
      <c r="BP215" s="80">
        <v>7892400</v>
      </c>
      <c r="BQ215" s="80">
        <v>13460700</v>
      </c>
      <c r="BR215" s="80">
        <v>8440700</v>
      </c>
      <c r="BS215" s="80">
        <v>9092000</v>
      </c>
      <c r="BT215" s="80">
        <v>6724200</v>
      </c>
      <c r="BU215" s="80">
        <v>9019000</v>
      </c>
      <c r="BV215" s="80">
        <v>8048600</v>
      </c>
      <c r="BW215" s="80">
        <v>8182500</v>
      </c>
      <c r="BX215" s="80">
        <v>8106200</v>
      </c>
      <c r="BY215" s="80">
        <v>7239700</v>
      </c>
      <c r="BZ215" s="80">
        <v>8035400</v>
      </c>
    </row>
    <row r="216" spans="1:254" s="80" customFormat="1" ht="18.75" customHeight="1">
      <c r="A216" s="394" t="s">
        <v>423</v>
      </c>
      <c r="B216" s="80" t="s">
        <v>424</v>
      </c>
      <c r="C216" s="81">
        <f>_xll.RssMarket("6622","出来高")</f>
        <v>540400</v>
      </c>
      <c r="D216" s="82">
        <f t="shared" si="3"/>
        <v>0</v>
      </c>
      <c r="E216" s="81">
        <v>540400</v>
      </c>
      <c r="F216" s="81">
        <v>726800</v>
      </c>
      <c r="G216" s="81">
        <v>593000</v>
      </c>
      <c r="H216" s="81">
        <v>370600</v>
      </c>
      <c r="I216" s="81">
        <v>366500</v>
      </c>
      <c r="J216" s="81">
        <v>312300</v>
      </c>
      <c r="K216" s="81">
        <v>368800</v>
      </c>
      <c r="L216" s="81">
        <v>513100</v>
      </c>
      <c r="M216" s="81">
        <v>245300</v>
      </c>
      <c r="N216" s="81">
        <v>120300</v>
      </c>
      <c r="O216" s="81">
        <v>110400</v>
      </c>
      <c r="P216" s="81">
        <v>203200</v>
      </c>
      <c r="Q216" s="81">
        <v>203200</v>
      </c>
      <c r="R216" s="81">
        <v>475800</v>
      </c>
      <c r="S216" s="81">
        <v>177200</v>
      </c>
      <c r="T216" s="81">
        <v>280100</v>
      </c>
      <c r="U216" s="81">
        <v>186200</v>
      </c>
      <c r="V216" s="81">
        <v>229200</v>
      </c>
      <c r="W216" s="81">
        <v>217500</v>
      </c>
      <c r="X216" s="81">
        <v>481000</v>
      </c>
      <c r="Y216" s="81">
        <v>268400</v>
      </c>
      <c r="Z216" s="81">
        <v>200200</v>
      </c>
      <c r="AA216" s="81">
        <v>219500</v>
      </c>
      <c r="AB216" s="81">
        <v>277000</v>
      </c>
      <c r="AC216" s="81">
        <v>147000</v>
      </c>
      <c r="AD216" s="81">
        <v>191600</v>
      </c>
      <c r="AE216" s="81">
        <v>250600</v>
      </c>
      <c r="AF216" s="81">
        <v>186700</v>
      </c>
      <c r="AG216" s="81">
        <v>167400</v>
      </c>
      <c r="AH216" s="81">
        <v>215900</v>
      </c>
      <c r="AI216" s="81">
        <v>283200</v>
      </c>
      <c r="AJ216" s="81">
        <v>283800</v>
      </c>
      <c r="AK216" s="81">
        <v>358200</v>
      </c>
      <c r="AL216" s="81">
        <v>510500</v>
      </c>
      <c r="AM216" s="81">
        <v>210700</v>
      </c>
      <c r="AN216" s="81">
        <v>185400</v>
      </c>
      <c r="AO216" s="81">
        <v>220300</v>
      </c>
      <c r="AP216" s="81">
        <v>193400</v>
      </c>
      <c r="AQ216" s="81">
        <v>221800</v>
      </c>
      <c r="AR216" s="81">
        <v>229700</v>
      </c>
      <c r="AS216" s="81">
        <v>395800</v>
      </c>
      <c r="AT216" s="81">
        <v>267200</v>
      </c>
      <c r="AU216" s="81">
        <v>186700</v>
      </c>
      <c r="AV216" s="81">
        <v>183800</v>
      </c>
      <c r="AW216" s="81">
        <v>245500</v>
      </c>
      <c r="AX216" s="81">
        <v>240800</v>
      </c>
      <c r="AY216" s="81">
        <v>170400</v>
      </c>
      <c r="AZ216" s="81">
        <v>172000</v>
      </c>
      <c r="BA216" s="81">
        <v>222600</v>
      </c>
      <c r="BB216" s="81">
        <v>198000</v>
      </c>
      <c r="BC216" s="81">
        <v>207100</v>
      </c>
      <c r="BD216" s="81">
        <v>275100</v>
      </c>
      <c r="BE216" s="81">
        <v>231000</v>
      </c>
      <c r="BF216" s="81">
        <v>154600</v>
      </c>
      <c r="BG216" s="81">
        <v>237300</v>
      </c>
      <c r="BH216" s="81">
        <v>264100</v>
      </c>
      <c r="BI216" s="81">
        <v>268300</v>
      </c>
      <c r="BJ216" s="81">
        <v>587900</v>
      </c>
      <c r="BK216" s="81">
        <v>423200</v>
      </c>
      <c r="BL216" s="81">
        <v>272100</v>
      </c>
      <c r="BM216" s="80">
        <v>423200</v>
      </c>
      <c r="BN216" s="80">
        <v>366200</v>
      </c>
      <c r="BO216" s="80">
        <v>378400</v>
      </c>
      <c r="BP216" s="80">
        <v>188900</v>
      </c>
      <c r="BQ216" s="80">
        <v>314200</v>
      </c>
      <c r="BR216" s="80">
        <v>117300</v>
      </c>
      <c r="BS216" s="80">
        <v>152200</v>
      </c>
      <c r="BT216" s="80">
        <v>104600</v>
      </c>
      <c r="BU216" s="80">
        <v>76400</v>
      </c>
      <c r="BV216" s="80">
        <v>69900</v>
      </c>
      <c r="BW216" s="80">
        <v>97100</v>
      </c>
      <c r="BX216" s="80">
        <v>141500</v>
      </c>
      <c r="BY216" s="80">
        <v>160200</v>
      </c>
      <c r="BZ216" s="80">
        <v>160800</v>
      </c>
    </row>
    <row r="217" spans="1:254" s="80" customFormat="1" ht="18.75" customHeight="1">
      <c r="A217" s="394" t="s">
        <v>425</v>
      </c>
      <c r="B217" s="80" t="s">
        <v>426</v>
      </c>
      <c r="C217" s="81">
        <f>_xll.RssMarket("1407","出来高")</f>
        <v>450000</v>
      </c>
      <c r="D217" s="82">
        <f t="shared" si="3"/>
        <v>0</v>
      </c>
      <c r="E217" s="81">
        <v>450000</v>
      </c>
      <c r="F217" s="81">
        <v>356000</v>
      </c>
      <c r="G217" s="81">
        <v>546500</v>
      </c>
      <c r="H217" s="81">
        <v>400500</v>
      </c>
      <c r="I217" s="81">
        <v>550300</v>
      </c>
      <c r="J217" s="81">
        <v>705200</v>
      </c>
      <c r="K217" s="81">
        <v>469400</v>
      </c>
      <c r="L217" s="81">
        <v>592700</v>
      </c>
      <c r="M217" s="81">
        <v>611900</v>
      </c>
      <c r="N217" s="81">
        <v>667900</v>
      </c>
      <c r="O217" s="81">
        <v>516600</v>
      </c>
      <c r="P217" s="81">
        <v>985300</v>
      </c>
      <c r="Q217" s="81">
        <v>1261800</v>
      </c>
      <c r="R217" s="81">
        <v>1063300</v>
      </c>
      <c r="S217" s="81">
        <v>2288300</v>
      </c>
      <c r="T217" s="81">
        <v>588100</v>
      </c>
      <c r="U217" s="81">
        <v>547000</v>
      </c>
      <c r="V217" s="81">
        <v>789500</v>
      </c>
      <c r="W217" s="81">
        <v>277100</v>
      </c>
      <c r="X217" s="81">
        <v>327300</v>
      </c>
      <c r="Y217" s="81">
        <v>463900</v>
      </c>
      <c r="Z217" s="81">
        <v>358100</v>
      </c>
      <c r="AA217" s="81">
        <v>261800</v>
      </c>
      <c r="AB217" s="81">
        <v>446400</v>
      </c>
      <c r="AC217" s="81">
        <v>340200</v>
      </c>
      <c r="AD217" s="81">
        <v>323400</v>
      </c>
      <c r="AE217" s="81">
        <v>339200</v>
      </c>
      <c r="AF217" s="81">
        <v>365400</v>
      </c>
      <c r="AG217" s="81">
        <v>417400</v>
      </c>
      <c r="AH217" s="81">
        <v>796700</v>
      </c>
      <c r="AI217" s="81">
        <v>1153400</v>
      </c>
      <c r="AJ217" s="81">
        <v>373000</v>
      </c>
      <c r="AK217" s="81">
        <v>545300</v>
      </c>
      <c r="AL217" s="81">
        <v>301300</v>
      </c>
      <c r="AM217" s="81">
        <v>332800</v>
      </c>
      <c r="AN217" s="81">
        <v>408800</v>
      </c>
      <c r="AO217" s="81">
        <v>541100</v>
      </c>
      <c r="AP217" s="81">
        <v>450200</v>
      </c>
      <c r="AQ217" s="81">
        <v>663600</v>
      </c>
      <c r="AR217" s="81">
        <v>639900</v>
      </c>
      <c r="AS217" s="81">
        <v>458000</v>
      </c>
      <c r="AT217" s="81">
        <v>735100</v>
      </c>
      <c r="AU217" s="81">
        <v>596600</v>
      </c>
      <c r="AV217" s="81">
        <v>632200</v>
      </c>
      <c r="AW217" s="81">
        <v>857000</v>
      </c>
      <c r="AX217" s="81">
        <v>1122600</v>
      </c>
      <c r="AY217" s="81">
        <v>644200</v>
      </c>
      <c r="AZ217" s="81">
        <v>661300</v>
      </c>
      <c r="BA217" s="81">
        <v>511800</v>
      </c>
      <c r="BB217" s="81">
        <v>733800</v>
      </c>
      <c r="BC217" s="81">
        <v>907200</v>
      </c>
      <c r="BD217" s="81">
        <v>794500</v>
      </c>
      <c r="BE217" s="81">
        <v>684400</v>
      </c>
      <c r="BF217" s="81">
        <v>467800</v>
      </c>
      <c r="BG217" s="81">
        <v>609400</v>
      </c>
      <c r="BH217" s="81">
        <v>714300</v>
      </c>
      <c r="BI217" s="81">
        <v>694600</v>
      </c>
      <c r="BJ217" s="81">
        <v>1153700</v>
      </c>
      <c r="BK217" s="81">
        <v>746600</v>
      </c>
      <c r="BL217" s="81">
        <v>708400</v>
      </c>
      <c r="BM217" s="80">
        <v>1297000</v>
      </c>
      <c r="BN217" s="80">
        <v>1520300</v>
      </c>
      <c r="BO217" s="80">
        <v>1548900</v>
      </c>
      <c r="BP217" s="80">
        <v>885400</v>
      </c>
      <c r="BQ217" s="80">
        <v>1610400</v>
      </c>
      <c r="BR217" s="80">
        <v>1391900</v>
      </c>
      <c r="BS217" s="80">
        <v>1043700</v>
      </c>
      <c r="BT217" s="80">
        <v>549000</v>
      </c>
      <c r="BU217" s="80">
        <v>923400</v>
      </c>
      <c r="BV217" s="80">
        <v>996600</v>
      </c>
      <c r="BW217" s="80">
        <v>1357400</v>
      </c>
      <c r="BX217" s="80">
        <v>1902000</v>
      </c>
      <c r="BY217" s="80">
        <v>2113400</v>
      </c>
      <c r="BZ217" s="80">
        <v>1755400</v>
      </c>
    </row>
    <row r="218" spans="1:254" s="80" customFormat="1" ht="18.75" customHeight="1">
      <c r="A218" s="394" t="s">
        <v>427</v>
      </c>
      <c r="B218" s="80" t="s">
        <v>428</v>
      </c>
      <c r="C218" s="81">
        <f>_xll.RssMarket("285A","出来高")</f>
        <v>34510800</v>
      </c>
      <c r="D218" s="82">
        <f t="shared" si="3"/>
        <v>0</v>
      </c>
      <c r="E218" s="81">
        <v>34510800</v>
      </c>
      <c r="F218" s="81">
        <v>47687100</v>
      </c>
      <c r="G218" s="81">
        <v>51812500</v>
      </c>
      <c r="H218" s="81">
        <v>69465900</v>
      </c>
      <c r="I218" s="81">
        <v>1179600</v>
      </c>
      <c r="J218" s="81">
        <v>91539100</v>
      </c>
      <c r="K218" s="81">
        <v>86230700</v>
      </c>
      <c r="L218" s="81">
        <v>39856200</v>
      </c>
      <c r="M218" s="81">
        <v>55872700</v>
      </c>
      <c r="N218" s="81">
        <v>42385500</v>
      </c>
      <c r="O218" s="81">
        <v>39277100</v>
      </c>
      <c r="P218" s="81">
        <v>50463800</v>
      </c>
      <c r="Q218" s="81">
        <v>50881700</v>
      </c>
      <c r="R218" s="81">
        <v>41502000</v>
      </c>
      <c r="S218" s="81">
        <v>37223200</v>
      </c>
      <c r="T218" s="81">
        <v>53216900</v>
      </c>
      <c r="U218" s="81">
        <v>48704800</v>
      </c>
      <c r="V218" s="81">
        <v>39973100</v>
      </c>
      <c r="W218" s="81">
        <v>40044800</v>
      </c>
      <c r="X218" s="81">
        <v>48348100</v>
      </c>
      <c r="Y218" s="81">
        <v>46495000</v>
      </c>
      <c r="Z218" s="81">
        <v>40153200</v>
      </c>
      <c r="AA218" s="81">
        <v>56815500</v>
      </c>
      <c r="AB218" s="81">
        <v>44758400</v>
      </c>
      <c r="AC218" s="81">
        <v>29322300</v>
      </c>
      <c r="AD218" s="81">
        <v>36393600</v>
      </c>
      <c r="AE218" s="81">
        <v>44715800</v>
      </c>
      <c r="AF218" s="81">
        <v>43906600</v>
      </c>
      <c r="AG218" s="81">
        <v>29128700</v>
      </c>
      <c r="AH218" s="81">
        <v>50209300</v>
      </c>
      <c r="AI218" s="81">
        <v>43844900</v>
      </c>
      <c r="AJ218" s="81">
        <v>23790200</v>
      </c>
      <c r="AK218" s="81">
        <v>34871100</v>
      </c>
      <c r="AL218" s="81">
        <v>30706700</v>
      </c>
      <c r="AM218" s="81">
        <v>28043300</v>
      </c>
      <c r="AN218" s="81">
        <v>36218300</v>
      </c>
      <c r="AO218" s="81">
        <v>33746100</v>
      </c>
      <c r="AP218" s="81">
        <v>38142700</v>
      </c>
      <c r="AQ218" s="81">
        <v>50578100</v>
      </c>
      <c r="AR218" s="81">
        <v>39377200</v>
      </c>
      <c r="AS218" s="81">
        <v>44666500</v>
      </c>
      <c r="AT218" s="81">
        <v>36522900</v>
      </c>
      <c r="AU218" s="81">
        <v>34757400</v>
      </c>
      <c r="AV218" s="81">
        <v>43609900</v>
      </c>
      <c r="AW218" s="81">
        <v>43759900</v>
      </c>
      <c r="AX218" s="81">
        <v>42526500</v>
      </c>
      <c r="AY218" s="81">
        <v>41659000</v>
      </c>
      <c r="AZ218" s="81">
        <v>44939300</v>
      </c>
      <c r="BA218" s="81">
        <v>38801400</v>
      </c>
      <c r="BB218" s="81">
        <v>25359700</v>
      </c>
      <c r="BC218" s="81">
        <v>55514600</v>
      </c>
      <c r="BD218" s="81">
        <v>31479300</v>
      </c>
      <c r="BE218" s="81">
        <v>50094200</v>
      </c>
      <c r="BF218" s="81">
        <v>822500</v>
      </c>
      <c r="BG218" s="81">
        <v>37961800</v>
      </c>
      <c r="BH218" s="81">
        <v>47858500</v>
      </c>
      <c r="BI218" s="81">
        <v>29747400</v>
      </c>
      <c r="BJ218" s="81">
        <v>28465500</v>
      </c>
      <c r="BK218" s="81">
        <v>38790300</v>
      </c>
      <c r="BL218" s="81">
        <v>41407500</v>
      </c>
      <c r="BM218" s="80">
        <v>1272600</v>
      </c>
      <c r="BN218" s="80">
        <v>19165800</v>
      </c>
      <c r="BO218" s="80">
        <v>29168400</v>
      </c>
      <c r="BP218" s="80">
        <v>25822100</v>
      </c>
      <c r="BQ218" s="80">
        <v>23623700</v>
      </c>
      <c r="BR218" s="80">
        <v>26027500</v>
      </c>
      <c r="BS218" s="80">
        <v>37506500</v>
      </c>
      <c r="BT218" s="80">
        <v>33385900</v>
      </c>
      <c r="BU218" s="80">
        <v>25308700</v>
      </c>
      <c r="BV218" s="80">
        <v>34333100</v>
      </c>
      <c r="BW218" s="80">
        <v>43942400</v>
      </c>
      <c r="BX218" s="80">
        <v>46786500</v>
      </c>
      <c r="BY218" s="80">
        <v>40950200</v>
      </c>
      <c r="BZ218" s="80">
        <v>46069600</v>
      </c>
    </row>
    <row r="219" spans="1:254" s="80" customFormat="1" ht="18.75" customHeight="1">
      <c r="A219" s="394" t="s">
        <v>429</v>
      </c>
      <c r="B219" s="80" t="s">
        <v>430</v>
      </c>
      <c r="C219" s="81">
        <f>_xll.RssMarket("141A","出来高")</f>
        <v>459000</v>
      </c>
      <c r="D219" s="82">
        <f t="shared" si="3"/>
        <v>0</v>
      </c>
      <c r="E219" s="81">
        <v>459000</v>
      </c>
      <c r="F219" s="81">
        <v>319500</v>
      </c>
      <c r="G219" s="81">
        <v>666200</v>
      </c>
      <c r="H219" s="81">
        <v>539000</v>
      </c>
      <c r="I219" s="81">
        <v>399700</v>
      </c>
      <c r="J219" s="81">
        <v>454600</v>
      </c>
      <c r="K219" s="81">
        <v>526600</v>
      </c>
      <c r="L219" s="81">
        <v>514300</v>
      </c>
      <c r="M219" s="81">
        <v>292400</v>
      </c>
      <c r="N219" s="81"/>
      <c r="O219" s="81">
        <v>346400</v>
      </c>
      <c r="P219" s="81">
        <v>398100</v>
      </c>
      <c r="Q219" s="81">
        <v>268500</v>
      </c>
      <c r="R219" s="81">
        <v>731500</v>
      </c>
      <c r="S219" s="81">
        <v>330300</v>
      </c>
      <c r="T219" s="81">
        <v>473000</v>
      </c>
      <c r="U219" s="81">
        <v>838000</v>
      </c>
      <c r="V219" s="81">
        <v>370100</v>
      </c>
      <c r="W219" s="81">
        <v>423500</v>
      </c>
      <c r="X219" s="81">
        <v>923100</v>
      </c>
      <c r="Y219" s="81">
        <v>1027000</v>
      </c>
      <c r="Z219" s="81">
        <v>660900</v>
      </c>
      <c r="AA219" s="81">
        <v>624800</v>
      </c>
      <c r="AB219" s="81">
        <v>771900</v>
      </c>
      <c r="AC219" s="81">
        <v>802900</v>
      </c>
      <c r="AD219" s="81">
        <v>671000</v>
      </c>
      <c r="AE219" s="81">
        <v>700900</v>
      </c>
      <c r="AF219" s="81">
        <v>843500</v>
      </c>
      <c r="AG219" s="81">
        <v>2054500</v>
      </c>
      <c r="AH219" s="81">
        <v>1854100</v>
      </c>
      <c r="AI219" s="81">
        <v>667900</v>
      </c>
      <c r="AJ219" s="81">
        <v>561000</v>
      </c>
      <c r="AK219" s="81">
        <v>644700</v>
      </c>
      <c r="AL219" s="81">
        <v>719200</v>
      </c>
      <c r="AM219" s="81">
        <v>725000</v>
      </c>
      <c r="AN219" s="81">
        <v>708300</v>
      </c>
      <c r="AO219" s="81">
        <v>794600</v>
      </c>
      <c r="AP219" s="81">
        <v>789200</v>
      </c>
      <c r="AQ219" s="81">
        <v>1139800</v>
      </c>
      <c r="AR219" s="81">
        <v>716100</v>
      </c>
      <c r="AS219" s="81">
        <v>948300</v>
      </c>
      <c r="AT219" s="81">
        <v>1158000</v>
      </c>
      <c r="AU219" s="81">
        <v>1114100</v>
      </c>
      <c r="AV219" s="81">
        <v>2080500</v>
      </c>
      <c r="AW219" s="81">
        <v>1351600</v>
      </c>
      <c r="AX219" s="81">
        <v>1052700</v>
      </c>
      <c r="AY219" s="81">
        <v>2342800</v>
      </c>
      <c r="AZ219" s="81">
        <v>3547100</v>
      </c>
      <c r="BA219" s="81">
        <v>2116700</v>
      </c>
      <c r="BB219" s="81">
        <v>1224100</v>
      </c>
      <c r="BC219" s="81">
        <v>2077000</v>
      </c>
      <c r="BD219" s="81">
        <v>2380200</v>
      </c>
      <c r="BE219" s="81">
        <v>3530000</v>
      </c>
      <c r="BF219" s="81">
        <v>6921200</v>
      </c>
      <c r="BG219" s="81">
        <v>2195000</v>
      </c>
      <c r="BH219" s="81">
        <v>1118900</v>
      </c>
      <c r="BI219" s="81">
        <v>768600</v>
      </c>
      <c r="BJ219" s="81">
        <v>863800</v>
      </c>
      <c r="BK219" s="81">
        <v>616500</v>
      </c>
      <c r="BL219" s="81">
        <v>715300</v>
      </c>
      <c r="BM219" s="80">
        <v>1285300</v>
      </c>
      <c r="BN219" s="80">
        <v>658800</v>
      </c>
      <c r="BO219" s="80">
        <v>876900</v>
      </c>
      <c r="BP219" s="80">
        <v>861200</v>
      </c>
      <c r="BQ219" s="80">
        <v>975700</v>
      </c>
      <c r="BR219" s="80">
        <v>1418800</v>
      </c>
      <c r="BS219" s="80">
        <v>1583300</v>
      </c>
      <c r="BT219" s="80">
        <v>742700</v>
      </c>
      <c r="BU219" s="80">
        <v>805400</v>
      </c>
      <c r="BV219" s="80">
        <v>696400</v>
      </c>
      <c r="BW219" s="80">
        <v>517800</v>
      </c>
      <c r="BX219" s="80">
        <v>723500</v>
      </c>
      <c r="BY219" s="80">
        <v>703400</v>
      </c>
      <c r="BZ219" s="80">
        <v>802600</v>
      </c>
    </row>
    <row r="220" spans="1:254" s="80" customFormat="1" ht="18.75" customHeight="1">
      <c r="A220" s="394" t="s">
        <v>431</v>
      </c>
      <c r="B220" s="80" t="s">
        <v>432</v>
      </c>
      <c r="C220" s="81">
        <f>_xll.RssMarket("464A","出来高")</f>
        <v>1050700</v>
      </c>
      <c r="D220" s="82">
        <f t="shared" si="3"/>
        <v>0</v>
      </c>
      <c r="E220" s="81">
        <v>1050700</v>
      </c>
      <c r="F220" s="81">
        <v>1501300</v>
      </c>
      <c r="G220" s="81">
        <v>1294700</v>
      </c>
      <c r="H220" s="81">
        <v>1013700</v>
      </c>
      <c r="I220" s="81">
        <v>1754700</v>
      </c>
      <c r="J220" s="81">
        <v>1315200</v>
      </c>
      <c r="K220" s="81">
        <v>2379800</v>
      </c>
      <c r="L220" s="81">
        <v>2723400</v>
      </c>
      <c r="M220" s="81">
        <v>2089100</v>
      </c>
      <c r="N220" s="81">
        <v>2223400</v>
      </c>
      <c r="O220" s="81">
        <v>844400</v>
      </c>
      <c r="P220" s="81">
        <v>1780800</v>
      </c>
      <c r="Q220" s="81">
        <v>1073700</v>
      </c>
      <c r="R220" s="81">
        <v>2776400</v>
      </c>
      <c r="S220" s="81">
        <v>2237300</v>
      </c>
      <c r="T220" s="81">
        <v>1375300</v>
      </c>
      <c r="U220" s="81">
        <v>1283800</v>
      </c>
      <c r="V220" s="81">
        <v>848600</v>
      </c>
      <c r="W220" s="81">
        <v>1378700</v>
      </c>
      <c r="X220" s="81">
        <v>2121700</v>
      </c>
      <c r="Y220" s="81">
        <v>1311100</v>
      </c>
      <c r="Z220" s="81">
        <v>1372400</v>
      </c>
      <c r="AA220" s="81">
        <v>1696900</v>
      </c>
      <c r="AB220" s="81">
        <v>2522900</v>
      </c>
      <c r="AC220" s="81">
        <v>1232500</v>
      </c>
      <c r="AD220" s="81">
        <v>1549500</v>
      </c>
      <c r="AE220" s="81">
        <v>1730000</v>
      </c>
      <c r="AF220" s="81">
        <v>2150600</v>
      </c>
      <c r="AG220" s="81">
        <v>1653400</v>
      </c>
      <c r="AH220" s="81">
        <v>1828500</v>
      </c>
      <c r="AI220" s="81">
        <v>2661500</v>
      </c>
      <c r="AJ220" s="81">
        <v>1737000</v>
      </c>
      <c r="AK220" s="81">
        <v>1497500</v>
      </c>
      <c r="AL220" s="81">
        <v>1841200</v>
      </c>
      <c r="AM220" s="81">
        <v>2611600</v>
      </c>
      <c r="AN220" s="81">
        <v>2807700</v>
      </c>
      <c r="AO220" s="81">
        <v>5799400</v>
      </c>
      <c r="AP220" s="81">
        <v>2837500</v>
      </c>
      <c r="AQ220" s="81">
        <v>2251600</v>
      </c>
      <c r="AR220" s="81">
        <v>2352800</v>
      </c>
      <c r="AS220" s="81">
        <v>2974500</v>
      </c>
      <c r="AT220" s="81">
        <v>3751100</v>
      </c>
      <c r="AU220" s="81">
        <v>3895500</v>
      </c>
      <c r="AV220" s="81">
        <v>2733500</v>
      </c>
      <c r="AW220" s="81">
        <v>4760900</v>
      </c>
      <c r="AX220" s="81">
        <v>4229900</v>
      </c>
      <c r="AY220" s="81">
        <v>3051500</v>
      </c>
      <c r="AZ220" s="81">
        <v>3649100</v>
      </c>
      <c r="BA220" s="81">
        <v>3788800</v>
      </c>
      <c r="BB220" s="81">
        <v>3413500</v>
      </c>
      <c r="BC220" s="81">
        <v>1954800</v>
      </c>
      <c r="BD220" s="81">
        <v>2315600</v>
      </c>
      <c r="BE220" s="81">
        <v>3505600</v>
      </c>
      <c r="BF220" s="81">
        <v>1295100</v>
      </c>
      <c r="BG220" s="81">
        <v>2389500</v>
      </c>
      <c r="BH220" s="81">
        <v>3181800</v>
      </c>
      <c r="BI220" s="81">
        <v>1943400</v>
      </c>
      <c r="BJ220" s="81">
        <v>2640800</v>
      </c>
      <c r="BK220" s="81">
        <v>2663400</v>
      </c>
      <c r="BL220" s="81">
        <v>2611600</v>
      </c>
      <c r="BM220" s="80">
        <v>1827800</v>
      </c>
      <c r="BN220" s="80">
        <v>1381400</v>
      </c>
      <c r="BO220" s="80">
        <v>1937800</v>
      </c>
      <c r="BP220" s="80">
        <v>1767500</v>
      </c>
      <c r="BQ220" s="80">
        <v>1962000</v>
      </c>
      <c r="BR220" s="80">
        <v>2251800</v>
      </c>
      <c r="BS220" s="80">
        <v>2098400</v>
      </c>
      <c r="BT220" s="80">
        <v>2316600</v>
      </c>
      <c r="BU220" s="80">
        <v>2367700</v>
      </c>
      <c r="BV220" s="80">
        <v>2674500</v>
      </c>
      <c r="BW220" s="80">
        <v>2059500</v>
      </c>
      <c r="BX220" s="80">
        <v>2197200</v>
      </c>
      <c r="BY220" s="80">
        <v>3758500</v>
      </c>
      <c r="BZ220" s="80">
        <v>5579800</v>
      </c>
    </row>
    <row r="221" spans="1:254" s="80" customFormat="1" ht="18.75" customHeight="1">
      <c r="A221" s="394" t="s">
        <v>433</v>
      </c>
      <c r="B221" s="80" t="s">
        <v>434</v>
      </c>
      <c r="C221" s="81">
        <f>_xll.RssMarket("485A","出来高")</f>
        <v>2817700</v>
      </c>
      <c r="D221" s="82">
        <f t="shared" si="3"/>
        <v>0</v>
      </c>
      <c r="E221" s="81">
        <v>2817700</v>
      </c>
      <c r="F221" s="81">
        <v>4647400</v>
      </c>
      <c r="G221" s="81"/>
      <c r="H221" s="81"/>
      <c r="I221" s="81"/>
      <c r="J221" s="81"/>
      <c r="K221" s="81"/>
      <c r="L221" s="81"/>
      <c r="M221" s="81"/>
      <c r="N221" s="81"/>
      <c r="O221" s="81"/>
      <c r="P221" s="81"/>
      <c r="Q221" s="81"/>
      <c r="R221" s="81"/>
      <c r="S221" s="81"/>
      <c r="T221" s="81"/>
      <c r="U221" s="81"/>
      <c r="V221" s="81"/>
      <c r="W221" s="81"/>
      <c r="X221" s="81"/>
      <c r="Y221" s="81"/>
      <c r="Z221" s="81"/>
      <c r="AA221" s="81"/>
      <c r="AB221" s="81"/>
      <c r="AC221" s="81"/>
      <c r="AD221" s="81"/>
      <c r="AE221" s="81"/>
      <c r="AF221" s="81"/>
      <c r="AG221" s="81"/>
      <c r="AH221" s="81"/>
      <c r="AI221" s="81"/>
      <c r="AJ221" s="81"/>
      <c r="AK221" s="81"/>
      <c r="AL221" s="81"/>
      <c r="AM221" s="81"/>
      <c r="AN221" s="81"/>
      <c r="AO221" s="81"/>
      <c r="AP221" s="81"/>
      <c r="AQ221" s="81"/>
      <c r="AR221" s="81"/>
      <c r="AS221" s="81"/>
      <c r="AT221" s="81"/>
      <c r="AU221" s="81"/>
      <c r="AV221" s="81"/>
      <c r="AW221" s="81"/>
      <c r="AX221" s="81"/>
      <c r="AY221" s="81"/>
      <c r="AZ221" s="81"/>
      <c r="BA221" s="81"/>
      <c r="BB221" s="81"/>
      <c r="BC221" s="81"/>
      <c r="BD221" s="81"/>
      <c r="BE221" s="81"/>
      <c r="BF221" s="81"/>
      <c r="BG221" s="81"/>
      <c r="BH221" s="81"/>
      <c r="BI221" s="81"/>
      <c r="BJ221" s="81"/>
      <c r="BK221" s="81"/>
      <c r="BL221" s="81"/>
    </row>
    <row r="222" spans="1:254" s="80" customFormat="1" ht="18.75" customHeight="1">
      <c r="A222" s="394" t="s">
        <v>435</v>
      </c>
      <c r="B222" s="80" t="str">
        <f>銘柄管理!C222</f>
        <v>ＮＦ日経レバ</v>
      </c>
      <c r="C222" s="81">
        <f>_xll.RssMarket("1570","出来高")</f>
        <v>2617379</v>
      </c>
      <c r="D222" s="82">
        <f t="shared" si="3"/>
        <v>0</v>
      </c>
      <c r="E222" s="81">
        <v>2617379</v>
      </c>
      <c r="F222" s="81">
        <v>2968783</v>
      </c>
      <c r="G222" s="81">
        <v>2830774</v>
      </c>
      <c r="H222" s="81">
        <v>2805563</v>
      </c>
      <c r="I222" s="81">
        <v>3944571</v>
      </c>
      <c r="J222" s="81">
        <v>3700637</v>
      </c>
      <c r="K222" s="81">
        <v>4061304</v>
      </c>
      <c r="L222" s="81">
        <v>3804587</v>
      </c>
      <c r="M222" s="81">
        <v>2519478</v>
      </c>
      <c r="N222" s="81">
        <v>2937074</v>
      </c>
      <c r="O222" s="81">
        <v>1959786</v>
      </c>
      <c r="P222" s="81">
        <v>2935264</v>
      </c>
      <c r="Q222" s="81">
        <v>2845780</v>
      </c>
      <c r="R222" s="81">
        <v>5785171</v>
      </c>
      <c r="S222" s="81">
        <v>2483889</v>
      </c>
      <c r="T222" s="81">
        <v>3193964</v>
      </c>
      <c r="U222" s="81">
        <v>3548099</v>
      </c>
      <c r="V222" s="81">
        <v>3151703</v>
      </c>
      <c r="W222" s="81">
        <v>2918345</v>
      </c>
      <c r="X222" s="81">
        <v>4345135</v>
      </c>
      <c r="Y222" s="81">
        <v>3724712</v>
      </c>
      <c r="Z222" s="81">
        <v>3237592</v>
      </c>
      <c r="AA222" s="81">
        <v>4376198</v>
      </c>
      <c r="AB222" s="81">
        <v>3546128</v>
      </c>
      <c r="AC222" s="81">
        <v>3597173</v>
      </c>
      <c r="AD222" s="81">
        <v>3069049</v>
      </c>
      <c r="AE222" s="81">
        <v>2895710</v>
      </c>
      <c r="AF222" s="81">
        <v>4319608</v>
      </c>
      <c r="AG222" s="81">
        <v>4696548</v>
      </c>
      <c r="AH222" s="81">
        <v>4611043</v>
      </c>
      <c r="AI222" s="81">
        <v>4573991</v>
      </c>
      <c r="AJ222" s="81">
        <v>4225193</v>
      </c>
      <c r="AK222" s="81">
        <v>4000312</v>
      </c>
      <c r="AL222" s="81">
        <v>4327118</v>
      </c>
      <c r="AM222" s="81">
        <v>3531747</v>
      </c>
      <c r="AN222" s="81">
        <v>3727403</v>
      </c>
      <c r="AO222" s="81">
        <v>4699146</v>
      </c>
      <c r="AP222" s="81">
        <v>4334803</v>
      </c>
      <c r="AQ222" s="81">
        <v>3628212</v>
      </c>
      <c r="AR222" s="81">
        <v>3611391</v>
      </c>
      <c r="AS222" s="81">
        <v>5626645</v>
      </c>
      <c r="AT222" s="81">
        <v>3457954</v>
      </c>
      <c r="AU222" s="81">
        <v>3110829</v>
      </c>
      <c r="AV222" s="81">
        <v>4783958</v>
      </c>
      <c r="AW222" s="81">
        <v>3756634</v>
      </c>
      <c r="AX222" s="81">
        <v>3451225</v>
      </c>
      <c r="AY222" s="81">
        <v>3466505</v>
      </c>
      <c r="AZ222" s="81">
        <v>3259131</v>
      </c>
      <c r="BA222" s="81">
        <v>4388850</v>
      </c>
      <c r="BB222" s="81">
        <v>3558512</v>
      </c>
      <c r="BC222" s="81">
        <v>3343225</v>
      </c>
      <c r="BD222" s="81">
        <v>4064774</v>
      </c>
      <c r="BE222" s="81">
        <v>2741343</v>
      </c>
      <c r="BF222" s="81">
        <v>3636380</v>
      </c>
      <c r="BG222" s="81">
        <v>3845451</v>
      </c>
      <c r="BH222" s="81">
        <v>3399824</v>
      </c>
      <c r="BI222" s="81">
        <v>3004232</v>
      </c>
      <c r="BJ222" s="81">
        <v>3193001</v>
      </c>
      <c r="BK222" s="81">
        <v>2909766</v>
      </c>
      <c r="BL222" s="81">
        <v>3474800</v>
      </c>
      <c r="BM222" s="80">
        <v>5277286</v>
      </c>
      <c r="BN222" s="80">
        <v>2557450</v>
      </c>
      <c r="BO222" s="80">
        <v>3686395</v>
      </c>
      <c r="BP222" s="80">
        <v>3421994</v>
      </c>
      <c r="BQ222" s="80">
        <v>4911486</v>
      </c>
      <c r="BR222" s="80">
        <v>3329257</v>
      </c>
      <c r="BS222" s="80">
        <v>4975193</v>
      </c>
      <c r="BT222" s="80">
        <v>3203745</v>
      </c>
      <c r="BU222" s="80">
        <v>3306574</v>
      </c>
      <c r="BV222" s="80">
        <v>2502653</v>
      </c>
      <c r="BW222" s="80">
        <v>2842084</v>
      </c>
      <c r="BX222" s="80">
        <v>5218611</v>
      </c>
      <c r="BY222" s="80">
        <v>3257142</v>
      </c>
      <c r="BZ222" s="80">
        <v>3780037</v>
      </c>
    </row>
    <row r="223" spans="1:254" s="80" customFormat="1" ht="18.75" customHeight="1">
      <c r="A223" s="394" t="s">
        <v>436</v>
      </c>
      <c r="B223" s="80" t="str">
        <f>銘柄管理!C223</f>
        <v>牧野フライス</v>
      </c>
      <c r="C223" s="81">
        <f>_xll.RssMarket("6135","出来高")</f>
        <v>157200</v>
      </c>
      <c r="D223" s="82">
        <f t="shared" si="3"/>
        <v>0</v>
      </c>
      <c r="E223" s="81">
        <v>157200</v>
      </c>
      <c r="F223" s="80">
        <v>299800</v>
      </c>
      <c r="G223" s="80">
        <v>273500</v>
      </c>
      <c r="H223" s="80">
        <v>1002700</v>
      </c>
      <c r="I223" s="80">
        <v>601500</v>
      </c>
      <c r="J223" s="80">
        <v>176500</v>
      </c>
      <c r="K223" s="80">
        <v>354200</v>
      </c>
      <c r="L223" s="80">
        <v>306800</v>
      </c>
      <c r="M223" s="80">
        <v>194300</v>
      </c>
      <c r="N223" s="80">
        <v>141800</v>
      </c>
      <c r="O223" s="80">
        <v>281000</v>
      </c>
      <c r="P223" s="80">
        <v>116600</v>
      </c>
      <c r="Q223" s="80">
        <v>157200</v>
      </c>
      <c r="R223" s="80">
        <v>334200</v>
      </c>
      <c r="S223" s="80">
        <v>183100</v>
      </c>
      <c r="T223" s="80">
        <v>110800</v>
      </c>
      <c r="U223" s="80">
        <v>172600</v>
      </c>
      <c r="V223" s="80">
        <v>144200</v>
      </c>
      <c r="W223" s="80">
        <v>153200</v>
      </c>
      <c r="X223" s="80">
        <v>184300</v>
      </c>
      <c r="Y223" s="80">
        <v>276000</v>
      </c>
      <c r="Z223" s="80">
        <v>107700</v>
      </c>
      <c r="AA223" s="80">
        <v>136300</v>
      </c>
      <c r="AB223" s="80">
        <v>149300</v>
      </c>
      <c r="AC223" s="80">
        <v>149600</v>
      </c>
      <c r="AD223" s="80">
        <v>99300</v>
      </c>
      <c r="AE223" s="80">
        <v>162000</v>
      </c>
      <c r="AF223" s="80">
        <v>223500</v>
      </c>
      <c r="AG223" s="80">
        <v>541000</v>
      </c>
      <c r="AH223" s="80">
        <v>116700</v>
      </c>
      <c r="AI223" s="80">
        <v>95600</v>
      </c>
      <c r="AJ223" s="80">
        <v>64700</v>
      </c>
      <c r="AK223" s="80">
        <v>168700</v>
      </c>
      <c r="AL223" s="80">
        <v>118500</v>
      </c>
      <c r="AM223" s="80">
        <v>117000</v>
      </c>
      <c r="AN223" s="80">
        <v>136300</v>
      </c>
      <c r="AO223" s="80">
        <v>131200</v>
      </c>
      <c r="AP223" s="80">
        <v>190200</v>
      </c>
      <c r="AQ223" s="80">
        <v>190000</v>
      </c>
      <c r="AR223" s="80">
        <v>267000</v>
      </c>
      <c r="AS223" s="80">
        <v>255500</v>
      </c>
      <c r="AT223" s="80">
        <v>313900</v>
      </c>
      <c r="AU223" s="80">
        <v>200400</v>
      </c>
      <c r="AV223" s="80">
        <v>141400</v>
      </c>
      <c r="AW223" s="80">
        <v>273100</v>
      </c>
      <c r="AX223" s="80">
        <v>139700</v>
      </c>
      <c r="AY223" s="80">
        <v>209500</v>
      </c>
      <c r="AZ223" s="80">
        <v>149500</v>
      </c>
      <c r="BA223" s="80">
        <v>187300</v>
      </c>
      <c r="BB223" s="80">
        <v>202600</v>
      </c>
      <c r="BC223" s="80">
        <v>164200</v>
      </c>
      <c r="BD223" s="80">
        <v>280800</v>
      </c>
      <c r="BE223" s="80">
        <v>375700</v>
      </c>
      <c r="BF223" s="80">
        <v>219500</v>
      </c>
      <c r="BG223" s="80">
        <v>226400</v>
      </c>
      <c r="BH223" s="80">
        <v>597000</v>
      </c>
      <c r="BI223" s="80">
        <v>154700</v>
      </c>
      <c r="BJ223" s="80">
        <v>196200</v>
      </c>
      <c r="BK223" s="80">
        <v>658600</v>
      </c>
      <c r="BL223" s="80">
        <v>745300</v>
      </c>
      <c r="BM223" s="80">
        <v>1015100</v>
      </c>
      <c r="BN223" s="80">
        <v>671600</v>
      </c>
      <c r="BO223" s="80">
        <v>182700</v>
      </c>
      <c r="BP223" s="80">
        <v>231300</v>
      </c>
      <c r="BQ223" s="80">
        <v>301100</v>
      </c>
      <c r="BR223" s="80">
        <v>982900</v>
      </c>
      <c r="BS223" s="80">
        <v>1918400</v>
      </c>
      <c r="BT223" s="80">
        <v>37200</v>
      </c>
      <c r="BU223" s="80">
        <v>58600</v>
      </c>
      <c r="BV223" s="80">
        <v>104900</v>
      </c>
      <c r="BW223" s="80">
        <v>87600</v>
      </c>
      <c r="BX223" s="80">
        <v>43000</v>
      </c>
      <c r="BY223" s="80">
        <v>166700</v>
      </c>
      <c r="BZ223" s="80">
        <v>81600</v>
      </c>
    </row>
    <row r="224" spans="1:254" s="80" customFormat="1" ht="18.75" customHeight="1">
      <c r="A224" s="394" t="s">
        <v>437</v>
      </c>
      <c r="B224" s="80" t="str">
        <f>銘柄管理!C224</f>
        <v>ジャパンマテリアル</v>
      </c>
      <c r="C224" s="81">
        <f>_xll.RssMarket("6055","出来高")</f>
        <v>525700</v>
      </c>
      <c r="D224" s="82">
        <f t="shared" si="3"/>
        <v>0</v>
      </c>
      <c r="E224" s="81">
        <v>525700</v>
      </c>
      <c r="F224" s="80">
        <v>586800</v>
      </c>
      <c r="G224" s="80">
        <v>588200</v>
      </c>
      <c r="H224" s="80">
        <v>830100</v>
      </c>
      <c r="I224" s="80">
        <v>1216800</v>
      </c>
      <c r="J224" s="80">
        <v>752900</v>
      </c>
      <c r="K224" s="80">
        <v>1048000</v>
      </c>
      <c r="L224" s="80">
        <v>741600</v>
      </c>
      <c r="M224" s="80">
        <v>527800</v>
      </c>
      <c r="N224" s="80">
        <v>535100</v>
      </c>
      <c r="O224" s="80">
        <v>664500</v>
      </c>
      <c r="P224" s="80">
        <v>651100</v>
      </c>
      <c r="Q224" s="80">
        <v>656600</v>
      </c>
      <c r="R224" s="80">
        <v>1072100</v>
      </c>
      <c r="S224" s="80">
        <v>671300</v>
      </c>
      <c r="T224" s="80">
        <v>1016700</v>
      </c>
      <c r="U224" s="80">
        <v>907600</v>
      </c>
      <c r="V224" s="80">
        <v>1186000</v>
      </c>
      <c r="W224" s="80">
        <v>907100</v>
      </c>
      <c r="X224" s="80">
        <v>1672500</v>
      </c>
      <c r="Y224" s="80">
        <v>2493500</v>
      </c>
      <c r="Z224" s="80">
        <v>754500</v>
      </c>
      <c r="AA224" s="80">
        <v>1071300</v>
      </c>
      <c r="AB224" s="80">
        <v>835000</v>
      </c>
      <c r="AC224" s="80">
        <v>900800</v>
      </c>
      <c r="AD224" s="80">
        <v>749500</v>
      </c>
      <c r="AE224" s="80">
        <v>913700</v>
      </c>
      <c r="AF224" s="80">
        <v>1158300</v>
      </c>
      <c r="AG224" s="80">
        <v>1250200</v>
      </c>
      <c r="AH224" s="80">
        <v>1048900</v>
      </c>
      <c r="AI224" s="80">
        <v>1411100</v>
      </c>
      <c r="AJ224" s="80">
        <v>1241500</v>
      </c>
      <c r="AK224" s="80">
        <v>714600</v>
      </c>
      <c r="AL224" s="80">
        <v>853100</v>
      </c>
      <c r="AM224" s="80">
        <v>721200</v>
      </c>
      <c r="AN224" s="80">
        <v>1154700</v>
      </c>
      <c r="AO224" s="80">
        <v>1216200</v>
      </c>
      <c r="AP224" s="80">
        <v>937500</v>
      </c>
      <c r="AQ224" s="80">
        <v>669700</v>
      </c>
      <c r="AR224" s="80">
        <v>935100</v>
      </c>
      <c r="AS224" s="80">
        <v>1110700</v>
      </c>
      <c r="AT224" s="80">
        <v>2016900</v>
      </c>
      <c r="AU224" s="80">
        <v>2493100</v>
      </c>
      <c r="AV224" s="80">
        <v>1079200</v>
      </c>
      <c r="AW224" s="80">
        <v>855600</v>
      </c>
      <c r="AX224" s="80">
        <v>662600</v>
      </c>
      <c r="AY224" s="80">
        <v>655200</v>
      </c>
      <c r="AZ224" s="80">
        <v>780400</v>
      </c>
      <c r="BA224" s="80">
        <v>939200</v>
      </c>
      <c r="BB224" s="80">
        <v>625300</v>
      </c>
      <c r="BC224" s="80">
        <v>715300</v>
      </c>
      <c r="BD224" s="80">
        <v>689100</v>
      </c>
      <c r="BE224" s="80">
        <v>1158900</v>
      </c>
      <c r="BF224" s="80">
        <v>1183600</v>
      </c>
      <c r="BG224" s="80">
        <v>948300</v>
      </c>
      <c r="BH224" s="80">
        <v>1529800</v>
      </c>
      <c r="BI224" s="80">
        <v>1436600</v>
      </c>
      <c r="BJ224" s="80">
        <v>1565800</v>
      </c>
      <c r="BK224" s="80">
        <v>1322900</v>
      </c>
      <c r="BL224" s="80">
        <v>841900</v>
      </c>
      <c r="BM224" s="80">
        <v>1164800</v>
      </c>
      <c r="BN224" s="80">
        <v>467000</v>
      </c>
      <c r="BO224" s="80">
        <v>543900</v>
      </c>
      <c r="BP224" s="80">
        <v>630200</v>
      </c>
      <c r="BQ224" s="80">
        <v>522900</v>
      </c>
      <c r="BR224" s="80">
        <v>449300</v>
      </c>
      <c r="BS224" s="80">
        <v>817600</v>
      </c>
      <c r="BT224" s="80">
        <v>359500</v>
      </c>
      <c r="BU224" s="80">
        <v>302500</v>
      </c>
      <c r="BV224" s="80">
        <v>402600</v>
      </c>
      <c r="BW224" s="80">
        <v>374100</v>
      </c>
      <c r="BX224" s="80">
        <v>497500</v>
      </c>
      <c r="BY224" s="80">
        <v>677100</v>
      </c>
      <c r="BZ224" s="80">
        <v>1025700</v>
      </c>
    </row>
    <row r="225" spans="1:254" s="80" customFormat="1" ht="18.75" customHeight="1">
      <c r="A225" s="394" t="s">
        <v>438</v>
      </c>
      <c r="B225" s="80" t="str">
        <f>銘柄管理!C225</f>
        <v>ミナトホールディングス</v>
      </c>
      <c r="C225" s="80">
        <f>_xll.RssMarket("6862","出来高")</f>
        <v>234500</v>
      </c>
      <c r="D225" s="82">
        <f t="shared" si="3"/>
        <v>0</v>
      </c>
      <c r="E225" s="81">
        <v>234500</v>
      </c>
      <c r="F225" s="80">
        <v>271200</v>
      </c>
      <c r="G225" s="80">
        <v>311800</v>
      </c>
      <c r="H225" s="80">
        <v>257500</v>
      </c>
      <c r="I225" s="80">
        <v>586400</v>
      </c>
      <c r="J225" s="80">
        <v>1135400</v>
      </c>
      <c r="K225" s="80">
        <v>357600</v>
      </c>
      <c r="L225" s="80">
        <v>297000</v>
      </c>
      <c r="M225" s="80">
        <v>112000</v>
      </c>
      <c r="N225" s="80">
        <v>109600</v>
      </c>
      <c r="O225" s="80">
        <v>118400</v>
      </c>
      <c r="P225" s="80">
        <v>198100</v>
      </c>
      <c r="Q225" s="80">
        <v>155500</v>
      </c>
      <c r="R225" s="80">
        <v>465600</v>
      </c>
      <c r="S225" s="80">
        <v>79600</v>
      </c>
      <c r="T225" s="80">
        <v>81300</v>
      </c>
      <c r="U225" s="80">
        <v>87800</v>
      </c>
      <c r="V225" s="80">
        <v>99900</v>
      </c>
      <c r="W225" s="80">
        <v>79900</v>
      </c>
      <c r="X225" s="80">
        <v>193500</v>
      </c>
      <c r="Y225" s="80">
        <v>166800</v>
      </c>
      <c r="Z225" s="80">
        <v>111000</v>
      </c>
      <c r="AA225" s="80">
        <v>171500</v>
      </c>
      <c r="AB225" s="80">
        <v>168300</v>
      </c>
      <c r="AC225" s="80">
        <v>129600</v>
      </c>
      <c r="AD225" s="80">
        <v>135200</v>
      </c>
      <c r="AE225" s="80">
        <v>252500</v>
      </c>
      <c r="AF225" s="80">
        <v>297200</v>
      </c>
      <c r="AG225" s="80">
        <v>506200</v>
      </c>
      <c r="AH225" s="80">
        <v>379600</v>
      </c>
      <c r="AI225" s="80">
        <v>711000</v>
      </c>
      <c r="AJ225" s="80">
        <v>1227300</v>
      </c>
      <c r="AK225" s="80">
        <v>1402000</v>
      </c>
      <c r="AL225" s="80">
        <v>360000</v>
      </c>
      <c r="AM225" s="80">
        <v>393000</v>
      </c>
      <c r="AN225" s="80">
        <v>347400</v>
      </c>
      <c r="AO225" s="80">
        <v>234700</v>
      </c>
      <c r="AP225" s="80">
        <v>215100</v>
      </c>
      <c r="AQ225" s="80">
        <v>332900</v>
      </c>
      <c r="AR225" s="80">
        <v>508300</v>
      </c>
      <c r="AS225" s="80">
        <v>416000</v>
      </c>
      <c r="AT225" s="80">
        <v>273500</v>
      </c>
      <c r="AU225" s="80">
        <v>327400</v>
      </c>
      <c r="AV225" s="80">
        <v>399300</v>
      </c>
      <c r="AW225" s="80">
        <v>487400</v>
      </c>
      <c r="AX225" s="80">
        <v>385200</v>
      </c>
      <c r="AY225" s="80">
        <v>551700</v>
      </c>
      <c r="AZ225" s="80">
        <v>661900</v>
      </c>
      <c r="BA225" s="80">
        <v>534100</v>
      </c>
      <c r="BB225" s="80">
        <v>386300</v>
      </c>
      <c r="BC225" s="80">
        <v>607900</v>
      </c>
      <c r="BD225" s="80">
        <v>566000</v>
      </c>
      <c r="BE225" s="80">
        <v>659200</v>
      </c>
      <c r="BF225" s="80">
        <v>671100</v>
      </c>
      <c r="BG225" s="80">
        <v>952900</v>
      </c>
      <c r="BH225" s="80">
        <v>2008500</v>
      </c>
      <c r="BI225" s="80">
        <v>45200</v>
      </c>
      <c r="BJ225" s="80">
        <v>992200</v>
      </c>
      <c r="BK225" s="80">
        <v>1432200</v>
      </c>
      <c r="BL225" s="80">
        <v>914500</v>
      </c>
      <c r="BM225" s="80">
        <v>1237800</v>
      </c>
      <c r="BN225" s="80">
        <v>825100</v>
      </c>
      <c r="BO225" s="80">
        <v>879400</v>
      </c>
      <c r="BP225" s="80">
        <v>321900</v>
      </c>
      <c r="BQ225" s="80">
        <v>784400</v>
      </c>
      <c r="BR225" s="80">
        <v>441100</v>
      </c>
      <c r="BS225" s="80">
        <v>268500</v>
      </c>
      <c r="BT225" s="80">
        <v>267700</v>
      </c>
      <c r="BU225" s="80">
        <v>210100</v>
      </c>
      <c r="BV225" s="80">
        <v>491200</v>
      </c>
      <c r="BW225" s="80">
        <v>213700</v>
      </c>
      <c r="BX225" s="80">
        <v>291500</v>
      </c>
      <c r="BY225" s="80">
        <v>714200</v>
      </c>
      <c r="BZ225" s="80">
        <v>817000</v>
      </c>
    </row>
    <row r="226" spans="1:254" s="80" customFormat="1" ht="18.75" customHeight="1">
      <c r="A226" s="394" t="s">
        <v>439</v>
      </c>
      <c r="B226" s="80" t="str">
        <f>銘柄管理!C226</f>
        <v>ヤクルト</v>
      </c>
      <c r="C226" s="80">
        <f>_xll.RssMarket("2267","出来高")</f>
        <v>1237700</v>
      </c>
      <c r="D226" s="82">
        <f t="shared" si="3"/>
        <v>0</v>
      </c>
      <c r="E226" s="81">
        <v>1237700</v>
      </c>
      <c r="F226" s="80">
        <v>1481600</v>
      </c>
      <c r="G226" s="80">
        <v>1273700</v>
      </c>
      <c r="H226" s="80">
        <v>1703200</v>
      </c>
      <c r="I226" s="80">
        <v>4328100</v>
      </c>
      <c r="J226" s="80">
        <v>2031400</v>
      </c>
      <c r="K226" s="80">
        <v>1647900</v>
      </c>
      <c r="L226" s="80">
        <v>850600</v>
      </c>
      <c r="M226" s="80">
        <v>1074600</v>
      </c>
      <c r="N226" s="80">
        <v>1368300</v>
      </c>
      <c r="O226" s="80">
        <v>965100</v>
      </c>
      <c r="P226" s="80">
        <v>1027300</v>
      </c>
      <c r="Q226" s="80">
        <v>1075400</v>
      </c>
      <c r="R226" s="80">
        <v>1429400</v>
      </c>
      <c r="S226" s="80">
        <v>778200</v>
      </c>
      <c r="T226" s="80">
        <v>1684500</v>
      </c>
      <c r="U226" s="80">
        <v>819800</v>
      </c>
      <c r="V226" s="80">
        <v>815700</v>
      </c>
      <c r="W226" s="80">
        <v>940600</v>
      </c>
      <c r="X226" s="80">
        <v>1090600</v>
      </c>
      <c r="Y226" s="80">
        <v>914900</v>
      </c>
      <c r="Z226" s="80">
        <v>832000</v>
      </c>
      <c r="AA226" s="80">
        <v>1042800</v>
      </c>
      <c r="AB226" s="80">
        <v>941000</v>
      </c>
      <c r="AC226" s="80">
        <v>853000</v>
      </c>
      <c r="AD226" s="80">
        <v>911500</v>
      </c>
      <c r="AE226" s="80">
        <v>801100</v>
      </c>
      <c r="AF226" s="80">
        <v>830000</v>
      </c>
      <c r="AG226" s="80">
        <v>749600</v>
      </c>
      <c r="AH226" s="80">
        <v>808600</v>
      </c>
      <c r="AI226" s="80">
        <v>1013500</v>
      </c>
      <c r="AJ226" s="80">
        <v>946500</v>
      </c>
      <c r="AK226" s="80">
        <v>1271400</v>
      </c>
      <c r="AL226" s="80">
        <v>1202300</v>
      </c>
      <c r="AM226" s="80">
        <v>1082900</v>
      </c>
      <c r="AN226" s="80">
        <v>889300</v>
      </c>
      <c r="AO226" s="80">
        <v>790300</v>
      </c>
      <c r="AP226" s="80">
        <v>1450200</v>
      </c>
      <c r="AQ226" s="80">
        <v>778400</v>
      </c>
      <c r="AR226" s="80">
        <v>1324200</v>
      </c>
      <c r="AS226" s="80">
        <v>1104100</v>
      </c>
      <c r="AT226" s="80">
        <v>1123400</v>
      </c>
      <c r="AU226" s="80">
        <v>1102200</v>
      </c>
      <c r="AV226" s="80">
        <v>800300</v>
      </c>
      <c r="AW226" s="80">
        <v>1387900</v>
      </c>
      <c r="AX226" s="80">
        <v>1532600</v>
      </c>
      <c r="AY226" s="80">
        <v>1153700</v>
      </c>
      <c r="AZ226" s="80">
        <v>1150600</v>
      </c>
      <c r="BA226" s="80">
        <v>1175800</v>
      </c>
      <c r="BB226" s="80">
        <v>1293600</v>
      </c>
      <c r="BC226" s="80">
        <v>831800</v>
      </c>
      <c r="BD226" s="80">
        <v>978600</v>
      </c>
      <c r="BE226" s="80">
        <v>1137500</v>
      </c>
      <c r="BF226" s="80">
        <v>1387100</v>
      </c>
      <c r="BG226" s="80">
        <v>1514400</v>
      </c>
      <c r="BH226" s="80">
        <v>1391500</v>
      </c>
      <c r="BI226" s="80">
        <v>2639800</v>
      </c>
      <c r="BJ226" s="80">
        <v>4652000</v>
      </c>
      <c r="BK226" s="80">
        <v>1974000</v>
      </c>
      <c r="BL226" s="80">
        <v>2212000</v>
      </c>
      <c r="BM226" s="80">
        <v>3267500</v>
      </c>
      <c r="BN226" s="80">
        <v>9656600</v>
      </c>
      <c r="BO226" s="80">
        <v>1359900</v>
      </c>
      <c r="BP226" s="80">
        <v>1032200</v>
      </c>
      <c r="BQ226" s="80">
        <v>1699000</v>
      </c>
      <c r="BR226" s="80">
        <v>10606000</v>
      </c>
      <c r="BS226" s="80">
        <v>1277800</v>
      </c>
      <c r="BT226" s="80">
        <v>1065000</v>
      </c>
      <c r="BU226" s="80">
        <v>811600</v>
      </c>
      <c r="BV226" s="80">
        <v>1165000</v>
      </c>
      <c r="BW226" s="80">
        <v>1042000</v>
      </c>
      <c r="BX226" s="80">
        <v>1106400</v>
      </c>
      <c r="BY226" s="80">
        <v>1062100</v>
      </c>
      <c r="BZ226" s="80">
        <v>837400</v>
      </c>
    </row>
    <row r="227" spans="1:254" s="80" customFormat="1" ht="18.75" customHeight="1">
      <c r="A227" s="394" t="s">
        <v>440</v>
      </c>
      <c r="B227" s="80" t="str">
        <f>銘柄管理!C227</f>
        <v>ＮＦエネ資源Ｔ１７</v>
      </c>
      <c r="C227" s="80">
        <f>_xll.RssMarket("1618","出来高")</f>
        <v>269</v>
      </c>
      <c r="D227" s="82">
        <f t="shared" si="3"/>
        <v>0</v>
      </c>
      <c r="E227" s="81">
        <v>269</v>
      </c>
      <c r="F227" s="80">
        <v>809</v>
      </c>
      <c r="G227" s="80">
        <v>749</v>
      </c>
      <c r="H227" s="80">
        <v>1685</v>
      </c>
      <c r="I227" s="80">
        <v>972</v>
      </c>
      <c r="J227" s="80">
        <v>2602</v>
      </c>
      <c r="K227" s="80">
        <v>1041</v>
      </c>
      <c r="L227" s="80">
        <v>1011</v>
      </c>
      <c r="M227" s="80">
        <v>1253</v>
      </c>
      <c r="N227" s="80">
        <v>1462</v>
      </c>
      <c r="O227" s="80">
        <v>1133</v>
      </c>
      <c r="P227" s="80">
        <v>682</v>
      </c>
      <c r="Q227" s="80">
        <v>1128</v>
      </c>
      <c r="R227" s="80">
        <v>1478</v>
      </c>
      <c r="S227" s="80">
        <v>1070</v>
      </c>
      <c r="T227" s="80">
        <v>1405</v>
      </c>
      <c r="U227" s="80">
        <v>1046</v>
      </c>
      <c r="V227" s="80">
        <v>362</v>
      </c>
      <c r="W227" s="80">
        <v>1362</v>
      </c>
      <c r="X227" s="80">
        <v>1695</v>
      </c>
      <c r="Y227" s="80">
        <v>3332</v>
      </c>
      <c r="Z227" s="80">
        <v>1302</v>
      </c>
      <c r="AA227" s="80">
        <v>3366</v>
      </c>
      <c r="AB227" s="80">
        <v>694</v>
      </c>
      <c r="AC227" s="80">
        <v>449</v>
      </c>
      <c r="AD227" s="80">
        <v>620</v>
      </c>
      <c r="AE227" s="80">
        <v>1130</v>
      </c>
      <c r="AF227" s="80">
        <v>803</v>
      </c>
      <c r="AG227" s="80">
        <v>976</v>
      </c>
      <c r="AH227" s="80">
        <v>545</v>
      </c>
      <c r="AI227" s="80">
        <v>1238</v>
      </c>
      <c r="AJ227" s="80">
        <v>577</v>
      </c>
      <c r="AK227" s="80">
        <v>1087</v>
      </c>
      <c r="AL227" s="80">
        <v>639</v>
      </c>
      <c r="AM227" s="80">
        <v>968</v>
      </c>
      <c r="AN227" s="80">
        <v>2516</v>
      </c>
      <c r="AO227" s="80">
        <v>3584</v>
      </c>
      <c r="AP227" s="80">
        <v>2989</v>
      </c>
      <c r="AQ227" s="80">
        <v>1228</v>
      </c>
      <c r="AR227" s="80">
        <v>871</v>
      </c>
      <c r="AS227" s="80">
        <v>580</v>
      </c>
      <c r="AT227" s="80">
        <v>445</v>
      </c>
      <c r="AU227" s="80">
        <v>390</v>
      </c>
      <c r="AV227" s="80">
        <v>1200</v>
      </c>
      <c r="AW227" s="80">
        <v>1162</v>
      </c>
      <c r="AX227" s="80">
        <v>1622</v>
      </c>
      <c r="AY227" s="80">
        <v>879</v>
      </c>
      <c r="AZ227" s="80">
        <v>700</v>
      </c>
      <c r="BA227" s="80">
        <v>1831</v>
      </c>
      <c r="BB227" s="80">
        <v>685</v>
      </c>
      <c r="BC227" s="80">
        <v>2047</v>
      </c>
      <c r="BD227" s="80">
        <v>987</v>
      </c>
      <c r="BE227" s="80">
        <v>1465</v>
      </c>
      <c r="BF227" s="80">
        <v>1336</v>
      </c>
      <c r="BG227" s="80">
        <v>1892</v>
      </c>
      <c r="BH227" s="80">
        <v>3278</v>
      </c>
      <c r="BI227" s="80">
        <v>3590</v>
      </c>
      <c r="BJ227" s="80">
        <v>2844</v>
      </c>
      <c r="BK227" s="80">
        <v>2228</v>
      </c>
      <c r="BL227" s="80">
        <v>1558</v>
      </c>
      <c r="BM227" s="80">
        <v>4479</v>
      </c>
      <c r="BN227" s="80">
        <v>1259</v>
      </c>
      <c r="BO227" s="80">
        <v>2215</v>
      </c>
      <c r="BP227" s="80">
        <v>2442</v>
      </c>
      <c r="BQ227" s="80">
        <v>3201</v>
      </c>
      <c r="BR227" s="80">
        <v>2376</v>
      </c>
      <c r="BS227" s="80">
        <v>4246</v>
      </c>
      <c r="BT227" s="80">
        <v>2099</v>
      </c>
      <c r="BU227" s="80">
        <v>2321</v>
      </c>
      <c r="BV227" s="80">
        <v>3096</v>
      </c>
      <c r="BW227" s="80">
        <v>1987</v>
      </c>
      <c r="BX227" s="80">
        <v>1577</v>
      </c>
      <c r="BY227" s="80">
        <v>1982</v>
      </c>
      <c r="BZ227" s="80">
        <v>3528</v>
      </c>
    </row>
    <row r="228" spans="1:254" s="80" customFormat="1" ht="18.75" customHeight="1">
      <c r="A228" s="394" t="s">
        <v>441</v>
      </c>
      <c r="B228" s="80" t="str">
        <f>銘柄管理!C228</f>
        <v>セレス</v>
      </c>
      <c r="C228" s="80">
        <f>_xll.RssMarket("3696","出来高")</f>
        <v>103400</v>
      </c>
      <c r="D228" s="82">
        <f t="shared" si="3"/>
        <v>0</v>
      </c>
      <c r="E228" s="81">
        <v>103400</v>
      </c>
      <c r="F228" s="80">
        <v>103100</v>
      </c>
    </row>
    <row r="229" spans="1:254" s="80" customFormat="1" ht="18.75" customHeight="1">
      <c r="A229" s="394" t="s">
        <v>442</v>
      </c>
      <c r="B229" s="80" t="str">
        <f>銘柄管理!C229</f>
        <v>児玉化学</v>
      </c>
      <c r="C229" s="80">
        <f>_xll.RssMarket("4222","出来高")</f>
        <v>118700</v>
      </c>
      <c r="D229" s="82">
        <f t="shared" si="3"/>
        <v>0</v>
      </c>
      <c r="E229" s="81">
        <v>118700</v>
      </c>
      <c r="F229" s="80">
        <v>247900</v>
      </c>
      <c r="G229" s="80">
        <v>190500</v>
      </c>
      <c r="H229" s="80">
        <v>200900</v>
      </c>
      <c r="I229" s="80">
        <v>220900</v>
      </c>
      <c r="J229" s="80">
        <v>190900</v>
      </c>
      <c r="K229" s="80">
        <v>351500</v>
      </c>
      <c r="L229" s="80">
        <v>287800</v>
      </c>
      <c r="M229" s="80">
        <v>178500</v>
      </c>
      <c r="O229" s="80">
        <v>95700</v>
      </c>
      <c r="P229" s="80">
        <v>140500</v>
      </c>
      <c r="Q229" s="80">
        <v>184200</v>
      </c>
      <c r="R229" s="80">
        <v>383500</v>
      </c>
      <c r="S229" s="80">
        <v>197000</v>
      </c>
      <c r="T229" s="80">
        <v>147200</v>
      </c>
      <c r="U229" s="80">
        <v>194600</v>
      </c>
      <c r="V229" s="80">
        <v>145700</v>
      </c>
      <c r="W229" s="80">
        <v>112300</v>
      </c>
      <c r="X229" s="80">
        <v>214200</v>
      </c>
      <c r="Y229" s="80">
        <v>171100</v>
      </c>
      <c r="Z229" s="80">
        <v>146800</v>
      </c>
      <c r="AA229" s="80">
        <v>141600</v>
      </c>
      <c r="AB229" s="80">
        <v>240600</v>
      </c>
      <c r="AC229" s="80">
        <v>82000</v>
      </c>
      <c r="AD229" s="80">
        <v>173700</v>
      </c>
      <c r="AE229" s="80">
        <v>155900</v>
      </c>
      <c r="AF229" s="80">
        <v>131300</v>
      </c>
      <c r="AG229" s="80">
        <v>145700</v>
      </c>
      <c r="AH229" s="80">
        <v>196100</v>
      </c>
      <c r="AI229" s="80">
        <v>252300</v>
      </c>
      <c r="AJ229" s="80">
        <v>313700</v>
      </c>
      <c r="AK229" s="80">
        <v>120500</v>
      </c>
      <c r="AL229" s="80">
        <v>243900</v>
      </c>
      <c r="AM229" s="80">
        <v>197200</v>
      </c>
      <c r="AN229" s="80">
        <v>198200</v>
      </c>
      <c r="AO229" s="80">
        <v>334700</v>
      </c>
      <c r="AP229" s="80">
        <v>231600</v>
      </c>
      <c r="AQ229" s="80">
        <v>298300</v>
      </c>
      <c r="AR229" s="80">
        <v>383600</v>
      </c>
      <c r="AS229" s="80">
        <v>255800</v>
      </c>
      <c r="AT229" s="80">
        <v>140800</v>
      </c>
      <c r="AU229" s="80">
        <v>153800</v>
      </c>
      <c r="AV229" s="80">
        <v>221400</v>
      </c>
      <c r="AW229" s="80">
        <v>356700</v>
      </c>
      <c r="AX229" s="80">
        <v>147700</v>
      </c>
      <c r="AY229" s="80">
        <v>174100</v>
      </c>
      <c r="AZ229" s="80">
        <v>248600</v>
      </c>
      <c r="BA229" s="80">
        <v>204600</v>
      </c>
      <c r="BB229" s="80">
        <v>309800</v>
      </c>
      <c r="BC229" s="80">
        <v>232500</v>
      </c>
      <c r="BD229" s="80">
        <v>535800</v>
      </c>
      <c r="BE229" s="80">
        <v>502700</v>
      </c>
      <c r="BF229" s="80">
        <v>977600</v>
      </c>
      <c r="BG229" s="80">
        <v>1565300</v>
      </c>
      <c r="BH229" s="80">
        <v>501500</v>
      </c>
      <c r="BI229" s="80">
        <v>359500</v>
      </c>
      <c r="BJ229" s="80">
        <v>1022100</v>
      </c>
      <c r="BK229" s="80">
        <v>466800</v>
      </c>
      <c r="BL229" s="80">
        <v>175000</v>
      </c>
      <c r="BM229" s="80">
        <v>217400</v>
      </c>
      <c r="BN229" s="80">
        <v>213800</v>
      </c>
      <c r="BO229" s="80">
        <v>144800</v>
      </c>
      <c r="BP229" s="80">
        <v>195600</v>
      </c>
      <c r="BQ229" s="80">
        <v>185400</v>
      </c>
      <c r="BR229" s="80">
        <v>280400</v>
      </c>
      <c r="BS229" s="80">
        <v>210000</v>
      </c>
      <c r="BT229" s="80">
        <v>271400</v>
      </c>
      <c r="BU229" s="80">
        <v>245900</v>
      </c>
      <c r="BV229" s="80">
        <v>364700</v>
      </c>
      <c r="BW229" s="80">
        <v>261400</v>
      </c>
      <c r="BX229" s="80">
        <v>242300</v>
      </c>
      <c r="BY229" s="80">
        <v>349700</v>
      </c>
      <c r="BZ229" s="80">
        <v>293000</v>
      </c>
    </row>
    <row r="230" spans="1:254" s="80" customFormat="1" ht="18.75" customHeight="1">
      <c r="A230" s="394" t="s">
        <v>443</v>
      </c>
      <c r="B230" s="80" t="str">
        <f>銘柄管理!C230</f>
        <v>ＦＯＯＤ＆ＬＩＦＥＣＯＭＰＡＮ</v>
      </c>
      <c r="C230" s="80">
        <f>_xll.RssMarket("3563","出来高")</f>
        <v>2415500</v>
      </c>
      <c r="D230" s="82">
        <f t="shared" si="3"/>
        <v>0</v>
      </c>
      <c r="E230" s="80">
        <v>2415500</v>
      </c>
      <c r="F230" s="80">
        <v>2169800</v>
      </c>
    </row>
    <row r="231" spans="1:254" s="80" customFormat="1" ht="18.75" customHeight="1">
      <c r="A231" s="394" t="s">
        <v>444</v>
      </c>
      <c r="B231" s="80" t="str">
        <f>銘柄管理!C231</f>
        <v>ＩＨＩ</v>
      </c>
      <c r="C231" s="80">
        <f>_xll.RssMarket("7013","出来高")</f>
        <v>19993500</v>
      </c>
      <c r="D231" s="82">
        <f t="shared" si="3"/>
        <v>0</v>
      </c>
      <c r="E231" s="80">
        <v>19993500</v>
      </c>
      <c r="F231" s="80">
        <v>49018900</v>
      </c>
      <c r="G231" s="80">
        <v>16390100</v>
      </c>
      <c r="H231" s="80">
        <v>12140600</v>
      </c>
      <c r="I231" s="80">
        <v>15271700</v>
      </c>
      <c r="J231" s="80">
        <v>9782300</v>
      </c>
      <c r="K231" s="80">
        <v>11865500</v>
      </c>
      <c r="L231" s="80">
        <v>8790800</v>
      </c>
      <c r="M231" s="80">
        <v>8878200</v>
      </c>
      <c r="O231" s="80">
        <v>12137600</v>
      </c>
      <c r="P231" s="80">
        <v>9040300</v>
      </c>
      <c r="Q231" s="80">
        <v>12349200</v>
      </c>
      <c r="R231" s="80">
        <v>14372100</v>
      </c>
      <c r="S231" s="80">
        <v>10935500</v>
      </c>
      <c r="T231" s="80">
        <v>8653900</v>
      </c>
      <c r="U231" s="80">
        <v>13028600</v>
      </c>
      <c r="V231" s="80">
        <v>8812100</v>
      </c>
      <c r="W231" s="80">
        <v>11074300</v>
      </c>
      <c r="X231" s="80">
        <v>14543700</v>
      </c>
      <c r="Y231" s="80">
        <v>18813600</v>
      </c>
      <c r="Z231" s="80">
        <v>22035100</v>
      </c>
      <c r="AA231" s="80">
        <v>13751600</v>
      </c>
      <c r="AB231" s="80">
        <v>14849100</v>
      </c>
      <c r="AC231" s="80">
        <v>12172300</v>
      </c>
      <c r="AD231" s="80">
        <v>11127200</v>
      </c>
      <c r="AE231" s="80">
        <v>9232100</v>
      </c>
      <c r="AF231" s="80">
        <v>10656000</v>
      </c>
      <c r="AG231" s="80">
        <v>11688000</v>
      </c>
      <c r="AH231" s="80">
        <v>14352000</v>
      </c>
      <c r="AI231" s="80">
        <v>14681100</v>
      </c>
      <c r="AJ231" s="80">
        <v>9808800</v>
      </c>
      <c r="AK231" s="80">
        <v>16515300</v>
      </c>
      <c r="AL231" s="80">
        <v>18210400</v>
      </c>
      <c r="AM231" s="80">
        <v>19151000</v>
      </c>
      <c r="AN231" s="80">
        <v>22736900</v>
      </c>
      <c r="AO231" s="80">
        <v>21248100</v>
      </c>
      <c r="AP231" s="80">
        <v>15452000</v>
      </c>
      <c r="AQ231" s="80">
        <v>16053100</v>
      </c>
      <c r="AR231" s="80">
        <v>16867900</v>
      </c>
      <c r="AS231" s="80">
        <v>13512700</v>
      </c>
      <c r="AT231" s="80">
        <v>11346800</v>
      </c>
      <c r="AU231" s="80">
        <v>17891400</v>
      </c>
      <c r="AV231" s="80">
        <v>30379200</v>
      </c>
      <c r="AW231" s="80">
        <v>15719200</v>
      </c>
      <c r="AX231" s="80">
        <v>15591900</v>
      </c>
      <c r="AY231" s="80">
        <v>15132300</v>
      </c>
      <c r="AZ231" s="80">
        <v>17678100</v>
      </c>
      <c r="BA231" s="80">
        <v>14069300</v>
      </c>
      <c r="BB231" s="80">
        <v>19705900</v>
      </c>
      <c r="BC231" s="80">
        <v>21342900</v>
      </c>
      <c r="BD231" s="80">
        <v>19995200</v>
      </c>
      <c r="BE231" s="80">
        <v>20962200</v>
      </c>
      <c r="BF231" s="80">
        <v>16221200</v>
      </c>
      <c r="BG231" s="80">
        <v>21303400</v>
      </c>
      <c r="BH231" s="80">
        <v>26350700</v>
      </c>
      <c r="BI231" s="80">
        <v>20584400</v>
      </c>
      <c r="BJ231" s="80">
        <v>28393100</v>
      </c>
      <c r="BK231" s="80">
        <v>42420100</v>
      </c>
      <c r="BL231" s="80">
        <v>69373000</v>
      </c>
      <c r="BM231" s="80">
        <v>25106600</v>
      </c>
      <c r="BN231" s="80">
        <v>15600000</v>
      </c>
      <c r="BO231" s="80">
        <v>21212200</v>
      </c>
      <c r="BP231" s="80">
        <v>18091200</v>
      </c>
      <c r="BQ231" s="80">
        <v>21920300</v>
      </c>
      <c r="BR231" s="80">
        <v>14535100</v>
      </c>
      <c r="BS231" s="80">
        <v>16998300</v>
      </c>
      <c r="BT231" s="80">
        <v>21936800</v>
      </c>
      <c r="BU231" s="80">
        <v>15800100</v>
      </c>
      <c r="BV231" s="80">
        <v>12843400</v>
      </c>
      <c r="BW231" s="80">
        <v>15677700</v>
      </c>
      <c r="BX231" s="80">
        <v>16676300</v>
      </c>
      <c r="BY231" s="80">
        <v>22129800</v>
      </c>
      <c r="BZ231" s="80">
        <v>13505200</v>
      </c>
    </row>
    <row r="232" spans="1:254" s="80" customFormat="1" ht="18.75" customHeight="1">
      <c r="A232" s="394" t="s">
        <v>445</v>
      </c>
      <c r="B232" s="80" t="str">
        <f>銘柄管理!C232</f>
        <v>ＮＥＣキャピタルソリューション</v>
      </c>
      <c r="C232" s="80">
        <f>_xll.RssMarket("8793","出来高")</f>
        <v>11500</v>
      </c>
      <c r="D232" s="82">
        <f t="shared" si="3"/>
        <v>0</v>
      </c>
      <c r="E232" s="80">
        <v>11500</v>
      </c>
      <c r="F232" s="80">
        <v>17700</v>
      </c>
      <c r="G232" s="80">
        <v>21900</v>
      </c>
      <c r="H232" s="80">
        <v>39800</v>
      </c>
      <c r="I232" s="80">
        <v>22400</v>
      </c>
      <c r="J232" s="80">
        <v>34000</v>
      </c>
      <c r="K232" s="80">
        <v>30500</v>
      </c>
      <c r="L232" s="80">
        <v>17700</v>
      </c>
      <c r="M232" s="80">
        <v>14300</v>
      </c>
      <c r="N232" s="80">
        <v>10500</v>
      </c>
      <c r="O232" s="80">
        <v>8100</v>
      </c>
      <c r="P232" s="80">
        <v>13900</v>
      </c>
      <c r="Q232" s="80">
        <v>16800</v>
      </c>
      <c r="R232" s="80">
        <v>22400</v>
      </c>
      <c r="S232" s="80">
        <v>17100</v>
      </c>
      <c r="T232" s="80">
        <v>12000</v>
      </c>
      <c r="U232" s="80">
        <v>18800</v>
      </c>
      <c r="V232" s="80">
        <v>23000</v>
      </c>
      <c r="W232" s="80">
        <v>20500</v>
      </c>
      <c r="X232" s="80">
        <v>16700</v>
      </c>
      <c r="Y232" s="80">
        <v>16300</v>
      </c>
      <c r="Z232" s="80">
        <v>19500</v>
      </c>
      <c r="AA232" s="80">
        <v>19400</v>
      </c>
      <c r="AB232" s="80">
        <v>23300</v>
      </c>
      <c r="AC232" s="80">
        <v>13300</v>
      </c>
      <c r="AD232" s="80">
        <v>18800</v>
      </c>
      <c r="AE232" s="80">
        <v>34300</v>
      </c>
      <c r="AF232" s="80">
        <v>21100</v>
      </c>
      <c r="AG232" s="80">
        <v>15800</v>
      </c>
      <c r="AH232" s="80">
        <v>16400</v>
      </c>
      <c r="AI232" s="80">
        <v>16100</v>
      </c>
      <c r="AJ232" s="80">
        <v>15700</v>
      </c>
      <c r="AK232" s="80">
        <v>22200</v>
      </c>
      <c r="AL232" s="80">
        <v>19200</v>
      </c>
      <c r="AM232" s="80">
        <v>14000</v>
      </c>
      <c r="AN232" s="80">
        <v>19600</v>
      </c>
      <c r="AO232" s="80">
        <v>29600</v>
      </c>
      <c r="AP232" s="80">
        <v>39500</v>
      </c>
      <c r="AQ232" s="80">
        <v>23300</v>
      </c>
      <c r="AR232" s="80">
        <v>38100</v>
      </c>
      <c r="AS232" s="80">
        <v>42400</v>
      </c>
      <c r="AT232" s="80">
        <v>31100</v>
      </c>
      <c r="AU232" s="80">
        <v>36600</v>
      </c>
      <c r="AV232" s="80">
        <v>26100</v>
      </c>
      <c r="AW232" s="80">
        <v>42900</v>
      </c>
      <c r="AX232" s="80">
        <v>22400</v>
      </c>
      <c r="AY232" s="80">
        <v>34300</v>
      </c>
      <c r="AZ232" s="80">
        <v>20600</v>
      </c>
      <c r="BA232" s="80">
        <v>26900</v>
      </c>
      <c r="BB232" s="80">
        <v>26400</v>
      </c>
      <c r="BC232" s="80">
        <v>39400</v>
      </c>
      <c r="BD232" s="80">
        <v>33700</v>
      </c>
      <c r="BE232" s="80">
        <v>29500</v>
      </c>
      <c r="BF232" s="80">
        <v>36000</v>
      </c>
      <c r="BG232" s="80">
        <v>33700</v>
      </c>
      <c r="BH232" s="80">
        <v>27800</v>
      </c>
      <c r="BI232" s="80">
        <v>19400</v>
      </c>
      <c r="BJ232" s="80">
        <v>21100</v>
      </c>
      <c r="BK232" s="80">
        <v>28000</v>
      </c>
      <c r="BL232" s="80">
        <v>26700</v>
      </c>
      <c r="BM232" s="80">
        <v>51500</v>
      </c>
      <c r="BN232" s="80">
        <v>57700</v>
      </c>
      <c r="BO232" s="80">
        <v>116000</v>
      </c>
      <c r="BP232" s="80">
        <v>50300</v>
      </c>
      <c r="BQ232" s="80">
        <v>25500</v>
      </c>
      <c r="BR232" s="80">
        <v>33300</v>
      </c>
      <c r="BS232" s="80">
        <v>18300</v>
      </c>
      <c r="BT232" s="80">
        <v>19100</v>
      </c>
      <c r="BU232" s="80">
        <v>21400</v>
      </c>
      <c r="BV232" s="80">
        <v>16300</v>
      </c>
      <c r="BW232" s="80">
        <v>17200</v>
      </c>
      <c r="BX232" s="80">
        <v>26300</v>
      </c>
      <c r="BY232" s="80">
        <v>26400</v>
      </c>
      <c r="BZ232" s="80">
        <v>20700</v>
      </c>
    </row>
    <row r="233" spans="1:254">
      <c r="A233" s="394" t="s">
        <v>446</v>
      </c>
      <c r="B233" s="1" t="str">
        <f>銘柄管理!C233</f>
        <v>ミスミグループ本社</v>
      </c>
      <c r="C233" s="1">
        <f>_xll.RssMarket("9962","出来高")</f>
        <v>1555300</v>
      </c>
      <c r="D233" s="82">
        <f t="shared" si="3"/>
        <v>0</v>
      </c>
      <c r="E233" s="1">
        <v>1555300</v>
      </c>
      <c r="F233" s="1">
        <v>4052700</v>
      </c>
      <c r="G233" s="1">
        <v>1954000</v>
      </c>
      <c r="H233" s="1">
        <v>3726500</v>
      </c>
      <c r="I233" s="1">
        <v>3530500</v>
      </c>
      <c r="J233" s="1">
        <v>1647600</v>
      </c>
      <c r="K233" s="1">
        <v>2011600</v>
      </c>
      <c r="L233" s="1">
        <v>1604000</v>
      </c>
      <c r="M233" s="1">
        <v>1182100</v>
      </c>
      <c r="N233" s="1">
        <v>1101800</v>
      </c>
      <c r="O233" s="1">
        <v>1033900</v>
      </c>
      <c r="P233" s="1">
        <v>1071500</v>
      </c>
      <c r="Q233" s="1">
        <v>1302800</v>
      </c>
      <c r="R233" s="1">
        <v>1413000</v>
      </c>
      <c r="S233" s="1">
        <v>861600</v>
      </c>
      <c r="T233" s="1">
        <v>1220700</v>
      </c>
      <c r="U233" s="1">
        <v>1043500</v>
      </c>
      <c r="V233" s="1">
        <v>1313000</v>
      </c>
      <c r="W233" s="1">
        <v>1214800</v>
      </c>
      <c r="X233" s="1">
        <v>1824400</v>
      </c>
      <c r="Y233" s="1">
        <v>871600</v>
      </c>
      <c r="Z233" s="1">
        <v>742600</v>
      </c>
      <c r="AA233" s="1">
        <v>1001800</v>
      </c>
      <c r="AB233" s="1">
        <v>1373900</v>
      </c>
      <c r="AC233" s="1">
        <v>1054000</v>
      </c>
      <c r="AD233" s="1">
        <v>1597400</v>
      </c>
      <c r="AE233" s="1">
        <v>1775600</v>
      </c>
      <c r="AF233" s="1">
        <v>2068300</v>
      </c>
      <c r="AG233" s="1">
        <v>1102900</v>
      </c>
      <c r="AH233" s="1">
        <v>1411800</v>
      </c>
      <c r="AI233" s="1">
        <v>1012600</v>
      </c>
      <c r="AJ233" s="1">
        <v>1041900</v>
      </c>
      <c r="AK233" s="1">
        <v>1476000</v>
      </c>
      <c r="AL233" s="1">
        <v>827800</v>
      </c>
      <c r="AM233" s="1">
        <v>969900</v>
      </c>
      <c r="AN233" s="1">
        <v>1520200</v>
      </c>
      <c r="AO233" s="1">
        <v>1267600</v>
      </c>
      <c r="AP233" s="1">
        <v>2025400</v>
      </c>
      <c r="AQ233" s="1">
        <v>1165700</v>
      </c>
      <c r="AR233" s="1">
        <v>1682000</v>
      </c>
      <c r="AS233" s="1">
        <v>1667500</v>
      </c>
      <c r="AT233" s="1">
        <v>911300</v>
      </c>
      <c r="AU233" s="1">
        <v>1113100</v>
      </c>
      <c r="AV233" s="1">
        <v>1634000</v>
      </c>
      <c r="AW233" s="1">
        <v>1597000</v>
      </c>
      <c r="AX233" s="1">
        <v>1677900</v>
      </c>
      <c r="AY233" s="1">
        <v>1603600</v>
      </c>
      <c r="AZ233" s="1">
        <v>1484100</v>
      </c>
      <c r="BA233" s="1">
        <v>1260400</v>
      </c>
      <c r="BB233" s="1">
        <v>1692800</v>
      </c>
      <c r="BC233" s="1">
        <v>958000</v>
      </c>
      <c r="BD233" s="1">
        <v>1271300</v>
      </c>
      <c r="BE233" s="1">
        <v>960500</v>
      </c>
      <c r="BF233" s="1">
        <v>1357400</v>
      </c>
      <c r="BG233" s="1">
        <v>1634000</v>
      </c>
      <c r="BH233" s="1">
        <v>1507500</v>
      </c>
      <c r="BI233" s="1">
        <v>1800900</v>
      </c>
      <c r="BJ233" s="1">
        <v>1816000</v>
      </c>
      <c r="BK233" s="1">
        <v>2169000</v>
      </c>
      <c r="BL233" s="1">
        <v>2019000</v>
      </c>
      <c r="BM233" s="1">
        <v>3730100</v>
      </c>
      <c r="BN233" s="1">
        <v>2736400</v>
      </c>
      <c r="BO233" s="1">
        <v>4346700</v>
      </c>
      <c r="BP233" s="1">
        <v>2452300</v>
      </c>
      <c r="BQ233" s="1">
        <v>2863900</v>
      </c>
      <c r="BR233" s="1">
        <v>776100</v>
      </c>
      <c r="BS233" s="1">
        <v>1106400</v>
      </c>
      <c r="BT233" s="1">
        <v>927300</v>
      </c>
      <c r="BU233" s="1">
        <v>769300</v>
      </c>
      <c r="BV233" s="1">
        <v>1124200</v>
      </c>
      <c r="BW233" s="1">
        <v>1075300</v>
      </c>
      <c r="BX233" s="1">
        <v>975700</v>
      </c>
      <c r="BY233" s="1">
        <v>1014100</v>
      </c>
      <c r="BZ233" s="1">
        <v>776900</v>
      </c>
    </row>
    <row r="234" spans="1:254">
      <c r="A234" s="394" t="s">
        <v>447</v>
      </c>
      <c r="B234" s="1" t="str">
        <f>銘柄管理!C234</f>
        <v>ＴＤＫ</v>
      </c>
      <c r="C234" s="1">
        <f>_xll.RssMarket("6762","出来高")</f>
        <v>13592600</v>
      </c>
      <c r="D234" s="82">
        <f t="shared" si="3"/>
        <v>0</v>
      </c>
      <c r="E234" s="1">
        <v>13592600</v>
      </c>
      <c r="F234" s="1">
        <v>12572700</v>
      </c>
      <c r="G234" s="1">
        <v>16370500</v>
      </c>
      <c r="H234" s="1">
        <v>23068600</v>
      </c>
      <c r="I234" s="1">
        <v>20004700</v>
      </c>
      <c r="J234" s="1">
        <v>16024600</v>
      </c>
      <c r="K234" s="1">
        <v>20984300</v>
      </c>
      <c r="L234" s="1">
        <v>14855900</v>
      </c>
      <c r="M234" s="1">
        <v>8845200</v>
      </c>
      <c r="N234" s="1">
        <v>7571700</v>
      </c>
      <c r="O234" s="1">
        <v>6368500</v>
      </c>
      <c r="P234" s="1">
        <v>9808700</v>
      </c>
      <c r="Q234" s="1">
        <v>13019600</v>
      </c>
      <c r="R234" s="1">
        <v>17751500</v>
      </c>
      <c r="S234" s="1">
        <v>8621900</v>
      </c>
      <c r="T234" s="1">
        <v>12888800</v>
      </c>
      <c r="U234" s="1">
        <v>13836900</v>
      </c>
      <c r="V234" s="1">
        <v>12263000</v>
      </c>
      <c r="W234" s="1">
        <v>10738400</v>
      </c>
      <c r="X234" s="1">
        <v>16252200</v>
      </c>
      <c r="Y234" s="1">
        <v>15859800</v>
      </c>
      <c r="Z234" s="1">
        <v>14040500</v>
      </c>
      <c r="AA234" s="1">
        <v>11208700</v>
      </c>
      <c r="AB234" s="1">
        <v>14570500</v>
      </c>
      <c r="AC234" s="1">
        <v>15482900</v>
      </c>
      <c r="AD234" s="1">
        <v>14854000</v>
      </c>
      <c r="AE234" s="1">
        <v>12141700</v>
      </c>
      <c r="AF234" s="1">
        <v>18063900</v>
      </c>
      <c r="AG234" s="1">
        <v>10937400</v>
      </c>
      <c r="AH234" s="1">
        <v>14683100</v>
      </c>
      <c r="AI234" s="1">
        <v>18739900</v>
      </c>
      <c r="AJ234" s="1">
        <v>14902600</v>
      </c>
      <c r="AK234" s="1">
        <v>18006600</v>
      </c>
      <c r="AL234" s="1">
        <v>13359700</v>
      </c>
      <c r="AM234" s="1">
        <v>11642300</v>
      </c>
      <c r="AN234" s="1">
        <v>17479000</v>
      </c>
      <c r="AO234" s="1">
        <v>18771500</v>
      </c>
      <c r="AP234" s="1">
        <v>19550000</v>
      </c>
      <c r="AQ234" s="1">
        <v>14430600</v>
      </c>
      <c r="AR234" s="1">
        <v>15871800</v>
      </c>
      <c r="AS234" s="1">
        <v>17890100</v>
      </c>
      <c r="AT234" s="1">
        <v>18532200</v>
      </c>
      <c r="AU234" s="1">
        <v>12099400</v>
      </c>
      <c r="AV234" s="1">
        <v>17825900</v>
      </c>
      <c r="AW234" s="1">
        <v>23686700</v>
      </c>
      <c r="AX234" s="1">
        <v>28286900</v>
      </c>
      <c r="AY234" s="1">
        <v>24725800</v>
      </c>
      <c r="AZ234" s="1">
        <v>15673600</v>
      </c>
      <c r="BA234" s="1">
        <v>20639200</v>
      </c>
      <c r="BB234" s="1">
        <v>14032900</v>
      </c>
      <c r="BC234" s="1">
        <v>11989200</v>
      </c>
      <c r="BD234" s="1">
        <v>11053200</v>
      </c>
      <c r="BE234" s="1">
        <v>10503400</v>
      </c>
      <c r="BF234" s="1">
        <v>8178800</v>
      </c>
      <c r="BG234" s="1">
        <v>13723700</v>
      </c>
      <c r="BH234" s="1">
        <v>13646200</v>
      </c>
      <c r="BI234" s="1">
        <v>9120600</v>
      </c>
      <c r="BJ234" s="1">
        <v>10967100</v>
      </c>
      <c r="BK234" s="1">
        <v>10494200</v>
      </c>
      <c r="BL234" s="1">
        <v>14299700</v>
      </c>
      <c r="BM234" s="1">
        <v>20251700</v>
      </c>
      <c r="BN234" s="1">
        <v>14435800</v>
      </c>
      <c r="BO234" s="1">
        <v>33512200</v>
      </c>
      <c r="BP234" s="1">
        <v>14100800</v>
      </c>
      <c r="BQ234" s="1">
        <v>14080800</v>
      </c>
      <c r="BR234" s="1">
        <v>13275300</v>
      </c>
      <c r="BS234" s="1">
        <v>12840800</v>
      </c>
      <c r="BT234" s="1">
        <v>17013700</v>
      </c>
      <c r="BU234" s="1">
        <v>10460000</v>
      </c>
      <c r="BV234" s="1">
        <v>14363800</v>
      </c>
      <c r="BW234" s="1">
        <v>21676400</v>
      </c>
      <c r="BX234" s="1">
        <v>23937900</v>
      </c>
      <c r="BY234" s="1">
        <v>12784200</v>
      </c>
      <c r="BZ234" s="1">
        <v>7334800</v>
      </c>
    </row>
    <row r="235" spans="1:254">
      <c r="A235" s="394" t="s">
        <v>448</v>
      </c>
      <c r="B235" s="1" t="str">
        <f>銘柄管理!C235</f>
        <v>ＦＩＧ</v>
      </c>
      <c r="C235" s="1">
        <f>_xll.RssMarket("4392","出来高")</f>
        <v>1221100</v>
      </c>
      <c r="D235" s="82">
        <f t="shared" si="3"/>
        <v>0</v>
      </c>
      <c r="E235" s="1">
        <v>1221100</v>
      </c>
      <c r="F235" s="1">
        <v>1287400</v>
      </c>
      <c r="G235" s="1">
        <v>719400</v>
      </c>
      <c r="H235" s="1">
        <v>702600</v>
      </c>
      <c r="I235" s="1">
        <v>1505300</v>
      </c>
      <c r="J235" s="1">
        <v>982300</v>
      </c>
      <c r="K235" s="1">
        <v>1560800</v>
      </c>
      <c r="L235" s="1">
        <v>1375500</v>
      </c>
      <c r="M235" s="1">
        <v>1287600</v>
      </c>
      <c r="N235" s="1">
        <v>1189200</v>
      </c>
      <c r="O235" s="1">
        <v>455700</v>
      </c>
      <c r="P235" s="1">
        <v>1054800</v>
      </c>
      <c r="Q235" s="1">
        <v>742100</v>
      </c>
      <c r="R235" s="1">
        <v>1624400</v>
      </c>
      <c r="S235" s="1">
        <v>1788200</v>
      </c>
      <c r="T235" s="1">
        <v>689700</v>
      </c>
      <c r="U235" s="1">
        <v>1195200</v>
      </c>
      <c r="V235" s="1">
        <v>1073100</v>
      </c>
      <c r="W235" s="1">
        <v>939400</v>
      </c>
      <c r="X235" s="1">
        <v>954500</v>
      </c>
      <c r="Y235" s="1">
        <v>892100</v>
      </c>
      <c r="Z235" s="1">
        <v>1352400</v>
      </c>
      <c r="AA235" s="1">
        <v>1002900</v>
      </c>
      <c r="AB235" s="1">
        <v>977900</v>
      </c>
      <c r="AC235" s="1">
        <v>1047500</v>
      </c>
      <c r="AD235" s="1">
        <v>1151000</v>
      </c>
      <c r="AE235" s="1">
        <v>1016500</v>
      </c>
      <c r="AF235" s="1">
        <v>1335400</v>
      </c>
      <c r="AG235" s="1">
        <v>2141700</v>
      </c>
      <c r="AH235" s="1">
        <v>2069600</v>
      </c>
      <c r="AI235" s="1">
        <v>1465900</v>
      </c>
      <c r="AJ235" s="1">
        <v>3046700</v>
      </c>
      <c r="AK235" s="1">
        <v>3014900</v>
      </c>
      <c r="AL235" s="1">
        <v>1816100</v>
      </c>
      <c r="AM235" s="1">
        <v>2463300</v>
      </c>
      <c r="AN235" s="1">
        <v>2611900</v>
      </c>
      <c r="AO235" s="1">
        <v>3254300</v>
      </c>
      <c r="AP235" s="1">
        <v>4106700</v>
      </c>
      <c r="AQ235" s="1">
        <v>9416900</v>
      </c>
      <c r="AR235" s="1">
        <v>7369800</v>
      </c>
      <c r="AS235" s="1">
        <v>9059000</v>
      </c>
      <c r="AT235" s="1">
        <v>8577400</v>
      </c>
      <c r="AU235" s="1">
        <v>5238300</v>
      </c>
      <c r="AV235" s="1">
        <v>6133500</v>
      </c>
      <c r="AW235" s="1">
        <v>5097100</v>
      </c>
      <c r="AX235" s="1">
        <v>12995800</v>
      </c>
      <c r="AY235" s="1">
        <v>15066400</v>
      </c>
      <c r="AZ235" s="1">
        <v>30141100</v>
      </c>
      <c r="BA235" s="1">
        <v>2155600</v>
      </c>
      <c r="BB235" s="1">
        <v>16191700</v>
      </c>
      <c r="BC235" s="1">
        <v>10311300</v>
      </c>
      <c r="BD235" s="1">
        <v>40920100</v>
      </c>
      <c r="BE235" s="1">
        <v>216000</v>
      </c>
      <c r="BF235" s="1">
        <v>155200</v>
      </c>
      <c r="BG235" s="1">
        <v>1215800</v>
      </c>
      <c r="BH235" s="1">
        <v>20723200</v>
      </c>
      <c r="BI235" s="1">
        <v>15030000</v>
      </c>
      <c r="BJ235" s="1">
        <v>28146000</v>
      </c>
      <c r="BK235" s="1">
        <v>182900</v>
      </c>
      <c r="BL235" s="1">
        <v>263500</v>
      </c>
      <c r="BM235" s="1">
        <v>127800</v>
      </c>
      <c r="BN235" s="1">
        <v>147800</v>
      </c>
      <c r="BO235" s="1">
        <v>251600</v>
      </c>
      <c r="BP235" s="1">
        <v>313500</v>
      </c>
      <c r="BQ235" s="1">
        <v>386700</v>
      </c>
      <c r="BR235" s="1">
        <v>288200</v>
      </c>
      <c r="BS235" s="1">
        <v>560900</v>
      </c>
      <c r="BT235" s="1">
        <v>510000</v>
      </c>
      <c r="BU235" s="1">
        <v>617600</v>
      </c>
      <c r="BV235" s="1">
        <v>330300</v>
      </c>
      <c r="BW235" s="1">
        <v>64600</v>
      </c>
      <c r="BX235" s="1">
        <v>120100</v>
      </c>
      <c r="BY235" s="1">
        <v>125300</v>
      </c>
      <c r="BZ235" s="1">
        <v>88900</v>
      </c>
    </row>
    <row r="236" spans="1:254">
      <c r="A236" s="394" t="s">
        <v>449</v>
      </c>
      <c r="B236" s="1" t="str">
        <f>銘柄管理!C236</f>
        <v>スクロール</v>
      </c>
      <c r="C236" s="1">
        <f>_xll.RssMarket("8005","出来高")</f>
        <v>230400</v>
      </c>
      <c r="D236" s="82">
        <f t="shared" si="3"/>
        <v>0</v>
      </c>
      <c r="E236" s="1">
        <v>230400</v>
      </c>
      <c r="F236" s="1">
        <v>253700</v>
      </c>
      <c r="G236" s="1">
        <v>461100</v>
      </c>
      <c r="H236" s="1">
        <v>637800</v>
      </c>
      <c r="I236" s="1">
        <v>223700</v>
      </c>
      <c r="J236" s="1">
        <v>169400</v>
      </c>
      <c r="K236" s="1">
        <v>155000</v>
      </c>
      <c r="L236" s="1">
        <v>84400</v>
      </c>
      <c r="M236" s="1">
        <v>138500</v>
      </c>
      <c r="N236" s="1">
        <v>178700</v>
      </c>
      <c r="O236" s="1">
        <v>114500</v>
      </c>
      <c r="P236" s="1">
        <v>160200</v>
      </c>
      <c r="Q236" s="1">
        <v>120300</v>
      </c>
      <c r="R236" s="1">
        <v>166400</v>
      </c>
      <c r="S236" s="1">
        <v>131100</v>
      </c>
      <c r="T236" s="1">
        <v>129700</v>
      </c>
      <c r="U236" s="1">
        <v>193400</v>
      </c>
      <c r="V236" s="1">
        <v>124100</v>
      </c>
      <c r="W236" s="1">
        <v>164600</v>
      </c>
      <c r="X236" s="1">
        <v>160700</v>
      </c>
      <c r="Y236" s="1">
        <v>123800</v>
      </c>
      <c r="Z236" s="1">
        <v>188200</v>
      </c>
      <c r="AA236" s="1">
        <v>293600</v>
      </c>
      <c r="AB236" s="1">
        <v>142500</v>
      </c>
      <c r="AC236" s="1">
        <v>215200</v>
      </c>
      <c r="AD236" s="1">
        <v>196100</v>
      </c>
      <c r="AE236" s="1">
        <v>167400</v>
      </c>
      <c r="AF236" s="1">
        <v>97700</v>
      </c>
      <c r="AG236" s="1">
        <v>132100</v>
      </c>
      <c r="AH236" s="1">
        <v>146100</v>
      </c>
      <c r="AI236" s="1">
        <v>160700</v>
      </c>
      <c r="AJ236" s="1">
        <v>156300</v>
      </c>
      <c r="AK236" s="1">
        <v>145900</v>
      </c>
      <c r="AL236" s="1">
        <v>196800</v>
      </c>
      <c r="AM236" s="1">
        <v>199300</v>
      </c>
      <c r="AN236" s="1">
        <v>216400</v>
      </c>
      <c r="AO236" s="1">
        <v>162800</v>
      </c>
      <c r="AP236" s="1">
        <v>222700</v>
      </c>
      <c r="AQ236" s="1">
        <v>168300</v>
      </c>
      <c r="AR236" s="1">
        <v>288200</v>
      </c>
      <c r="AS236" s="1">
        <v>217500</v>
      </c>
      <c r="AT236" s="1">
        <v>152600</v>
      </c>
      <c r="AU236" s="1">
        <v>180300</v>
      </c>
      <c r="AV236" s="1">
        <v>203800</v>
      </c>
      <c r="AW236" s="1">
        <v>297000</v>
      </c>
      <c r="AX236" s="1">
        <v>267400</v>
      </c>
      <c r="AY236" s="1">
        <v>198700</v>
      </c>
      <c r="AZ236" s="1">
        <v>172800</v>
      </c>
      <c r="BA236" s="1">
        <v>199100</v>
      </c>
      <c r="BB236" s="1">
        <v>135600</v>
      </c>
      <c r="BC236" s="1">
        <v>187200</v>
      </c>
      <c r="BD236" s="1">
        <v>318400</v>
      </c>
      <c r="BE236" s="1">
        <v>285900</v>
      </c>
      <c r="BF236" s="1">
        <v>402300</v>
      </c>
      <c r="BG236" s="1">
        <v>337000</v>
      </c>
      <c r="BH236" s="1">
        <v>263000</v>
      </c>
      <c r="BI236" s="1">
        <v>425400</v>
      </c>
      <c r="BJ236" s="1">
        <v>677500</v>
      </c>
      <c r="BK236" s="1">
        <v>1515500</v>
      </c>
      <c r="BL236" s="1">
        <v>106100</v>
      </c>
      <c r="BM236" s="1">
        <v>182500</v>
      </c>
      <c r="BN236" s="1">
        <v>150600</v>
      </c>
      <c r="BO236" s="1">
        <v>96900</v>
      </c>
      <c r="BP236" s="1">
        <v>135500</v>
      </c>
      <c r="BQ236" s="1">
        <v>75700</v>
      </c>
      <c r="BR236" s="1">
        <v>72600</v>
      </c>
      <c r="BS236" s="1">
        <v>76800</v>
      </c>
      <c r="BT236" s="1">
        <v>70100</v>
      </c>
      <c r="BU236" s="1">
        <v>78800</v>
      </c>
      <c r="BV236" s="1">
        <v>64800</v>
      </c>
      <c r="BW236" s="1">
        <v>66100</v>
      </c>
      <c r="BX236" s="1">
        <v>105100</v>
      </c>
      <c r="BY236" s="1">
        <v>102300</v>
      </c>
      <c r="BZ236" s="1">
        <v>88800</v>
      </c>
    </row>
    <row r="237" spans="1:254">
      <c r="A237" s="394" t="s">
        <v>450</v>
      </c>
      <c r="B237" s="1" t="str">
        <f>銘柄管理!C237</f>
        <v>デジタルアーツ</v>
      </c>
      <c r="C237" s="1">
        <f>_xll.RssMarket("2326","出来高")</f>
        <v>256000</v>
      </c>
      <c r="D237" s="82">
        <f t="shared" si="3"/>
        <v>0</v>
      </c>
      <c r="E237" s="1">
        <v>256000</v>
      </c>
      <c r="F237" s="1">
        <v>175900</v>
      </c>
      <c r="G237" s="1">
        <v>355100</v>
      </c>
      <c r="H237" s="1">
        <v>313200</v>
      </c>
      <c r="I237" s="1">
        <v>127400</v>
      </c>
      <c r="J237" s="1">
        <v>123700</v>
      </c>
      <c r="K237" s="1">
        <v>157300</v>
      </c>
      <c r="L237" s="1">
        <v>130700</v>
      </c>
      <c r="M237" s="1">
        <v>108200</v>
      </c>
      <c r="N237" s="1">
        <v>156600</v>
      </c>
      <c r="O237" s="1">
        <v>91600</v>
      </c>
      <c r="P237" s="1">
        <v>210000</v>
      </c>
      <c r="Q237" s="1">
        <v>134100</v>
      </c>
      <c r="R237" s="1">
        <v>957900</v>
      </c>
      <c r="S237" s="1">
        <v>129400</v>
      </c>
      <c r="T237" s="1">
        <v>134400</v>
      </c>
      <c r="U237" s="1">
        <v>152400</v>
      </c>
      <c r="V237" s="1">
        <v>102800</v>
      </c>
      <c r="W237" s="1">
        <v>81700</v>
      </c>
      <c r="X237" s="1">
        <v>96900</v>
      </c>
      <c r="Y237" s="1">
        <v>97800</v>
      </c>
      <c r="Z237" s="1">
        <v>83500</v>
      </c>
      <c r="AA237" s="1">
        <v>116000</v>
      </c>
      <c r="AB237" s="1">
        <v>139100</v>
      </c>
      <c r="AC237" s="1">
        <v>119000</v>
      </c>
      <c r="AD237" s="1">
        <v>103000</v>
      </c>
      <c r="AE237" s="1">
        <v>156700</v>
      </c>
      <c r="AF237" s="1">
        <v>148200</v>
      </c>
      <c r="AG237" s="1">
        <v>120800</v>
      </c>
      <c r="AH237" s="1">
        <v>163400</v>
      </c>
      <c r="AI237" s="1">
        <v>125400</v>
      </c>
      <c r="AJ237" s="1">
        <v>177700</v>
      </c>
      <c r="AK237" s="1">
        <v>324800</v>
      </c>
      <c r="AL237" s="1">
        <v>126000</v>
      </c>
      <c r="AM237" s="1">
        <v>139200</v>
      </c>
      <c r="AN237" s="1">
        <v>143900</v>
      </c>
      <c r="AO237" s="1">
        <v>151000</v>
      </c>
      <c r="AP237" s="1">
        <v>206000</v>
      </c>
      <c r="AQ237" s="1">
        <v>136600</v>
      </c>
      <c r="AR237" s="1">
        <v>195000</v>
      </c>
      <c r="AS237" s="1">
        <v>168400</v>
      </c>
      <c r="AT237" s="1">
        <v>190300</v>
      </c>
      <c r="AU237" s="1">
        <v>177400</v>
      </c>
      <c r="AV237" s="1">
        <v>357900</v>
      </c>
      <c r="AW237" s="1">
        <v>362100</v>
      </c>
      <c r="AX237" s="1">
        <v>564300</v>
      </c>
      <c r="AY237" s="1">
        <v>196100</v>
      </c>
      <c r="AZ237" s="1">
        <v>176100</v>
      </c>
      <c r="BA237" s="1">
        <v>165900</v>
      </c>
      <c r="BB237" s="1">
        <v>234000</v>
      </c>
      <c r="BC237" s="1">
        <v>159400</v>
      </c>
      <c r="BD237" s="1">
        <v>201000</v>
      </c>
      <c r="BE237" s="1">
        <v>260000</v>
      </c>
      <c r="BF237" s="1">
        <v>345800</v>
      </c>
      <c r="BG237" s="1">
        <v>376800</v>
      </c>
      <c r="BH237" s="1">
        <v>306200</v>
      </c>
      <c r="BI237" s="1">
        <v>343500</v>
      </c>
      <c r="BJ237" s="1">
        <v>620400</v>
      </c>
      <c r="BK237" s="1">
        <v>1083200</v>
      </c>
      <c r="BL237" s="1">
        <v>61200</v>
      </c>
      <c r="BM237" s="1">
        <v>317100</v>
      </c>
      <c r="BN237" s="1">
        <v>94100</v>
      </c>
      <c r="BO237" s="1">
        <v>98300</v>
      </c>
      <c r="BP237" s="1">
        <v>73700</v>
      </c>
      <c r="BQ237" s="1">
        <v>158400</v>
      </c>
      <c r="BR237" s="1">
        <v>84400</v>
      </c>
      <c r="BS237" s="1">
        <v>146700</v>
      </c>
      <c r="BT237" s="1">
        <v>141200</v>
      </c>
      <c r="BU237" s="1">
        <v>90800</v>
      </c>
      <c r="BV237" s="1">
        <v>146800</v>
      </c>
      <c r="BW237" s="1">
        <v>157700</v>
      </c>
      <c r="BX237" s="1">
        <v>113100</v>
      </c>
      <c r="BY237" s="1">
        <v>85500</v>
      </c>
      <c r="BZ237" s="1">
        <v>90200</v>
      </c>
    </row>
    <row r="238" spans="1:254">
      <c r="A238" s="394" t="s">
        <v>451</v>
      </c>
      <c r="B238" s="1" t="str">
        <f>銘柄管理!C238</f>
        <v>ＴＯＡ</v>
      </c>
      <c r="C238" s="1">
        <f>_xll.RssMarket("6809","出来高")</f>
        <v>97900</v>
      </c>
      <c r="D238" s="82">
        <f t="shared" si="3"/>
        <v>0</v>
      </c>
      <c r="E238" s="1">
        <v>97900</v>
      </c>
      <c r="F238" s="1">
        <v>164800</v>
      </c>
      <c r="G238" s="1">
        <v>101100</v>
      </c>
      <c r="H238" s="1">
        <v>144700</v>
      </c>
      <c r="I238" s="1">
        <v>65000</v>
      </c>
      <c r="J238" s="1">
        <v>67600</v>
      </c>
      <c r="K238" s="1">
        <v>81900</v>
      </c>
      <c r="L238" s="1">
        <v>71000</v>
      </c>
      <c r="M238" s="1">
        <v>94200</v>
      </c>
      <c r="O238" s="1">
        <v>61300</v>
      </c>
      <c r="P238" s="1">
        <v>137800</v>
      </c>
      <c r="Q238" s="1">
        <v>142600</v>
      </c>
      <c r="R238" s="1">
        <v>77100</v>
      </c>
      <c r="S238" s="1">
        <v>62000</v>
      </c>
      <c r="T238" s="1">
        <v>60200</v>
      </c>
      <c r="U238" s="1">
        <v>66100</v>
      </c>
      <c r="V238" s="1">
        <v>58700</v>
      </c>
      <c r="W238" s="1">
        <v>83100</v>
      </c>
      <c r="X238" s="1">
        <v>53500</v>
      </c>
      <c r="Y238" s="1">
        <v>83900</v>
      </c>
      <c r="Z238" s="1">
        <v>89100</v>
      </c>
      <c r="AA238" s="1">
        <v>95600</v>
      </c>
      <c r="AB238" s="1">
        <v>83200</v>
      </c>
      <c r="AC238" s="1">
        <v>89000</v>
      </c>
      <c r="AD238" s="1">
        <v>77200</v>
      </c>
      <c r="AE238" s="1">
        <v>118400</v>
      </c>
      <c r="AF238" s="1">
        <v>68700</v>
      </c>
      <c r="AG238" s="1">
        <v>70000</v>
      </c>
      <c r="AH238" s="1">
        <v>87900</v>
      </c>
      <c r="AI238" s="1">
        <v>55600</v>
      </c>
      <c r="AJ238" s="1">
        <v>65500</v>
      </c>
      <c r="AK238" s="1">
        <v>108000</v>
      </c>
      <c r="AL238" s="1">
        <v>63000</v>
      </c>
      <c r="AM238" s="1">
        <v>78500</v>
      </c>
      <c r="AN238" s="1">
        <v>68400</v>
      </c>
      <c r="AO238" s="1">
        <v>69100</v>
      </c>
      <c r="AP238" s="1">
        <v>90100</v>
      </c>
      <c r="AQ238" s="1">
        <v>79200</v>
      </c>
      <c r="AR238" s="1">
        <v>103700</v>
      </c>
      <c r="AS238" s="1">
        <v>112300</v>
      </c>
      <c r="AT238" s="1">
        <v>97600</v>
      </c>
      <c r="AU238" s="1">
        <v>80500</v>
      </c>
      <c r="AV238" s="1">
        <v>134700</v>
      </c>
      <c r="AW238" s="1">
        <v>135400</v>
      </c>
      <c r="AX238" s="1">
        <v>118100</v>
      </c>
      <c r="AY238" s="1">
        <v>183400</v>
      </c>
      <c r="AZ238" s="1">
        <v>134700</v>
      </c>
      <c r="BA238" s="1">
        <v>118700</v>
      </c>
      <c r="BB238" s="1">
        <v>170100</v>
      </c>
      <c r="BC238" s="1">
        <v>153500</v>
      </c>
      <c r="BD238" s="1">
        <v>295600</v>
      </c>
      <c r="BE238" s="1">
        <v>112500</v>
      </c>
      <c r="BF238" s="1">
        <v>94500</v>
      </c>
      <c r="BG238" s="1">
        <v>155200</v>
      </c>
      <c r="BH238" s="1">
        <v>116400</v>
      </c>
      <c r="BI238" s="1">
        <v>146700</v>
      </c>
      <c r="BJ238" s="1">
        <v>228900</v>
      </c>
      <c r="BK238" s="1">
        <v>468800</v>
      </c>
      <c r="BL238" s="1">
        <v>922300</v>
      </c>
      <c r="BM238" s="1">
        <v>349700</v>
      </c>
      <c r="BN238" s="1">
        <v>176200</v>
      </c>
      <c r="BO238" s="1">
        <v>74400</v>
      </c>
      <c r="BP238" s="1">
        <v>142200</v>
      </c>
      <c r="BQ238" s="1">
        <v>121000</v>
      </c>
      <c r="BR238" s="1">
        <v>91700</v>
      </c>
      <c r="BS238" s="1">
        <v>86600</v>
      </c>
      <c r="BT238" s="1">
        <v>66600</v>
      </c>
      <c r="BU238" s="1">
        <v>100800</v>
      </c>
      <c r="BV238" s="1">
        <v>67200</v>
      </c>
      <c r="BW238" s="1">
        <v>99000</v>
      </c>
      <c r="BX238" s="1">
        <v>55500</v>
      </c>
      <c r="BY238" s="1">
        <v>116400</v>
      </c>
      <c r="BZ238" s="1">
        <v>57300</v>
      </c>
    </row>
    <row r="239" spans="1:254">
      <c r="A239" s="394" t="s">
        <v>452</v>
      </c>
      <c r="B239" s="1" t="str">
        <f>銘柄管理!C239</f>
        <v>ユーザーローカル</v>
      </c>
      <c r="C239" s="1">
        <f>_xll.RssMarket("3984","出来高")</f>
        <v>103700</v>
      </c>
      <c r="D239" s="82">
        <f t="shared" si="3"/>
        <v>0</v>
      </c>
      <c r="E239" s="1">
        <v>103700</v>
      </c>
      <c r="F239" s="1">
        <v>64800</v>
      </c>
      <c r="G239" s="1">
        <v>63300</v>
      </c>
      <c r="H239" s="1">
        <v>62300</v>
      </c>
      <c r="I239" s="1">
        <v>66100</v>
      </c>
      <c r="J239" s="1">
        <v>41400</v>
      </c>
      <c r="K239" s="1">
        <v>49500</v>
      </c>
      <c r="L239" s="1">
        <v>70600</v>
      </c>
      <c r="M239" s="1">
        <v>73300</v>
      </c>
      <c r="O239" s="1">
        <v>87700</v>
      </c>
      <c r="P239" s="1">
        <v>58300</v>
      </c>
      <c r="Q239" s="1">
        <v>46400</v>
      </c>
      <c r="R239" s="1">
        <v>58600</v>
      </c>
      <c r="S239" s="1">
        <v>58400</v>
      </c>
      <c r="T239" s="1">
        <v>64000</v>
      </c>
      <c r="U239" s="1">
        <v>82800</v>
      </c>
      <c r="V239" s="1">
        <v>73400</v>
      </c>
      <c r="W239" s="1">
        <v>67200</v>
      </c>
      <c r="X239" s="1">
        <v>70400</v>
      </c>
      <c r="Y239" s="1">
        <v>100200</v>
      </c>
      <c r="Z239" s="1">
        <v>89000</v>
      </c>
      <c r="AA239" s="1">
        <v>170500</v>
      </c>
      <c r="AB239" s="1">
        <v>96800</v>
      </c>
      <c r="AC239" s="1">
        <v>137600</v>
      </c>
      <c r="AD239" s="1">
        <v>92900</v>
      </c>
      <c r="AE239" s="1">
        <v>280400</v>
      </c>
      <c r="AF239" s="1">
        <v>235000</v>
      </c>
      <c r="AG239" s="1">
        <v>134900</v>
      </c>
      <c r="AH239" s="1">
        <v>60600</v>
      </c>
      <c r="AI239" s="1">
        <v>123400</v>
      </c>
      <c r="AJ239" s="1">
        <v>95400</v>
      </c>
      <c r="AK239" s="1">
        <v>120600</v>
      </c>
      <c r="AL239" s="1">
        <v>61400</v>
      </c>
      <c r="AM239" s="1">
        <v>73600</v>
      </c>
      <c r="AN239" s="1">
        <v>51300</v>
      </c>
      <c r="AO239" s="1">
        <v>68400</v>
      </c>
      <c r="AP239" s="1">
        <v>117400</v>
      </c>
      <c r="AQ239" s="1">
        <v>137900</v>
      </c>
      <c r="AR239" s="1">
        <v>135900</v>
      </c>
      <c r="AS239" s="1">
        <v>282000</v>
      </c>
      <c r="AT239" s="1">
        <v>208700</v>
      </c>
      <c r="AU239" s="1">
        <v>135000</v>
      </c>
      <c r="AV239" s="1">
        <v>175500</v>
      </c>
      <c r="AW239" s="1">
        <v>145100</v>
      </c>
      <c r="AX239" s="1">
        <v>109200</v>
      </c>
      <c r="AY239" s="1">
        <v>104300</v>
      </c>
      <c r="AZ239" s="1">
        <v>156300</v>
      </c>
      <c r="BA239" s="1">
        <v>128400</v>
      </c>
      <c r="BB239" s="1">
        <v>70800</v>
      </c>
      <c r="BC239" s="1">
        <v>96400</v>
      </c>
      <c r="BD239" s="1">
        <v>156200</v>
      </c>
      <c r="BE239" s="1">
        <v>70200</v>
      </c>
      <c r="BF239" s="1">
        <v>96000</v>
      </c>
      <c r="BG239" s="1">
        <v>96400</v>
      </c>
      <c r="BH239" s="1">
        <v>162900</v>
      </c>
      <c r="BI239" s="1">
        <v>193200</v>
      </c>
      <c r="BJ239" s="1">
        <v>227500</v>
      </c>
      <c r="BK239" s="1">
        <v>228700</v>
      </c>
      <c r="BL239" s="1">
        <v>659700</v>
      </c>
      <c r="BM239" s="1">
        <v>141500</v>
      </c>
      <c r="BN239" s="1">
        <v>48700</v>
      </c>
      <c r="BO239" s="1">
        <v>70100</v>
      </c>
      <c r="BP239" s="1">
        <v>63600</v>
      </c>
      <c r="BQ239" s="1">
        <v>59600</v>
      </c>
      <c r="BR239" s="1">
        <v>80800</v>
      </c>
      <c r="BS239" s="1">
        <v>96700</v>
      </c>
      <c r="BT239" s="1">
        <v>74900</v>
      </c>
      <c r="BU239" s="1">
        <v>53500</v>
      </c>
      <c r="BV239" s="1">
        <v>81400</v>
      </c>
      <c r="BW239" s="1">
        <v>73600</v>
      </c>
      <c r="BX239" s="1">
        <v>143100</v>
      </c>
      <c r="BY239" s="1">
        <v>80400</v>
      </c>
      <c r="BZ239" s="1">
        <v>76500</v>
      </c>
    </row>
    <row r="240" spans="1:254">
      <c r="A240" s="394" t="s">
        <v>453</v>
      </c>
      <c r="B240" s="1" t="str">
        <f>銘柄管理!C240</f>
        <v>ダイトロン</v>
      </c>
      <c r="C240" s="1">
        <f>_xll.RssMarket("7609","出来高")</f>
        <v>220900</v>
      </c>
      <c r="D240" s="82">
        <f t="shared" si="3"/>
        <v>0</v>
      </c>
      <c r="E240" s="1">
        <v>220900</v>
      </c>
      <c r="F240" s="1">
        <v>482300</v>
      </c>
      <c r="G240" s="1">
        <v>980200</v>
      </c>
      <c r="H240" s="1">
        <v>356800</v>
      </c>
      <c r="I240" s="1">
        <v>161000</v>
      </c>
      <c r="J240" s="1">
        <v>249800</v>
      </c>
      <c r="K240" s="1">
        <v>149900</v>
      </c>
      <c r="L240" s="1">
        <v>126900</v>
      </c>
      <c r="M240" s="1">
        <v>113200</v>
      </c>
      <c r="O240" s="1">
        <v>70300</v>
      </c>
      <c r="P240" s="1">
        <v>95600</v>
      </c>
      <c r="Q240" s="1">
        <v>106000</v>
      </c>
      <c r="R240" s="1">
        <v>118100</v>
      </c>
      <c r="S240" s="1">
        <v>73500</v>
      </c>
      <c r="T240" s="1">
        <v>93000</v>
      </c>
      <c r="U240" s="1">
        <v>104400</v>
      </c>
      <c r="V240" s="1">
        <v>97900</v>
      </c>
      <c r="W240" s="1">
        <v>61300</v>
      </c>
      <c r="X240" s="1">
        <v>101400</v>
      </c>
      <c r="Y240" s="1">
        <v>94000</v>
      </c>
      <c r="Z240" s="1">
        <v>72600</v>
      </c>
      <c r="AA240" s="1">
        <v>58600</v>
      </c>
      <c r="AB240" s="1">
        <v>97900</v>
      </c>
      <c r="AC240" s="1">
        <v>81600</v>
      </c>
      <c r="AD240" s="1">
        <v>82500</v>
      </c>
      <c r="AE240" s="1">
        <v>97800</v>
      </c>
      <c r="AF240" s="1">
        <v>90100</v>
      </c>
      <c r="AG240" s="1">
        <v>62000</v>
      </c>
      <c r="AH240" s="1">
        <v>64500</v>
      </c>
      <c r="AI240" s="1">
        <v>88500</v>
      </c>
      <c r="AJ240" s="1">
        <v>85000</v>
      </c>
      <c r="AK240" s="1">
        <v>93500</v>
      </c>
      <c r="AL240" s="1">
        <v>119700</v>
      </c>
      <c r="AM240" s="1">
        <v>53900</v>
      </c>
      <c r="AN240" s="1">
        <v>42100</v>
      </c>
      <c r="AO240" s="1">
        <v>54000</v>
      </c>
      <c r="AP240" s="1">
        <v>113900</v>
      </c>
      <c r="AQ240" s="1">
        <v>115400</v>
      </c>
      <c r="AR240" s="1">
        <v>149300</v>
      </c>
      <c r="AS240" s="1">
        <v>156700</v>
      </c>
      <c r="AT240" s="1">
        <v>123500</v>
      </c>
      <c r="AU240" s="1">
        <v>82200</v>
      </c>
      <c r="AV240" s="1">
        <v>99000</v>
      </c>
      <c r="AW240" s="1">
        <v>112300</v>
      </c>
      <c r="AX240" s="1">
        <v>86100</v>
      </c>
      <c r="AY240" s="1">
        <v>111000</v>
      </c>
      <c r="AZ240" s="1">
        <v>142500</v>
      </c>
      <c r="BA240" s="1">
        <v>111300</v>
      </c>
      <c r="BB240" s="1">
        <v>117000</v>
      </c>
      <c r="BC240" s="1">
        <v>130600</v>
      </c>
      <c r="BD240" s="1">
        <v>140000</v>
      </c>
      <c r="BE240" s="1">
        <v>207100</v>
      </c>
      <c r="BF240" s="1">
        <v>106000</v>
      </c>
      <c r="BG240" s="1">
        <v>166300</v>
      </c>
      <c r="BH240" s="1">
        <v>120100</v>
      </c>
      <c r="BI240" s="1">
        <v>119000</v>
      </c>
      <c r="BJ240" s="1">
        <v>135800</v>
      </c>
      <c r="BK240" s="1">
        <v>266000</v>
      </c>
      <c r="BL240" s="1">
        <v>694400</v>
      </c>
      <c r="BM240" s="1">
        <v>275800</v>
      </c>
      <c r="BN240" s="1">
        <v>263200</v>
      </c>
      <c r="BO240" s="1">
        <v>106200</v>
      </c>
      <c r="BP240" s="1">
        <v>85600</v>
      </c>
      <c r="BQ240" s="1">
        <v>98000</v>
      </c>
      <c r="BR240" s="1">
        <v>70400</v>
      </c>
      <c r="BS240" s="1">
        <v>75900</v>
      </c>
      <c r="BT240" s="1">
        <v>47700</v>
      </c>
      <c r="BU240" s="1">
        <v>57800</v>
      </c>
      <c r="BV240" s="1">
        <v>60300</v>
      </c>
      <c r="BW240" s="1">
        <v>66700</v>
      </c>
      <c r="BX240" s="1">
        <v>154700</v>
      </c>
      <c r="BY240" s="1">
        <v>125500</v>
      </c>
      <c r="BZ240" s="1">
        <v>79300</v>
      </c>
    </row>
    <row r="241" spans="1:254">
      <c r="A241" s="394" t="s">
        <v>454</v>
      </c>
      <c r="B241" s="1" t="str">
        <f>銘柄管理!C241</f>
        <v>イトーキ</v>
      </c>
      <c r="C241" s="1">
        <f>_xll.RssMarket("7972","出来高")</f>
        <v>188300</v>
      </c>
      <c r="D241" s="82">
        <f t="shared" si="3"/>
        <v>0</v>
      </c>
      <c r="E241" s="1">
        <v>188300</v>
      </c>
      <c r="F241" s="1">
        <v>157800</v>
      </c>
      <c r="G241" s="1">
        <v>133100</v>
      </c>
      <c r="H241" s="1">
        <v>230300</v>
      </c>
      <c r="I241" s="1">
        <v>201200</v>
      </c>
      <c r="J241" s="1">
        <v>234600</v>
      </c>
      <c r="K241" s="1">
        <v>227900</v>
      </c>
      <c r="L241" s="1">
        <v>177500</v>
      </c>
      <c r="M241" s="1">
        <v>138300</v>
      </c>
      <c r="N241" s="1">
        <v>96900</v>
      </c>
      <c r="O241" s="1">
        <v>183700</v>
      </c>
      <c r="P241" s="1">
        <v>136300</v>
      </c>
      <c r="Q241" s="1">
        <v>416100</v>
      </c>
      <c r="R241" s="1">
        <v>215400</v>
      </c>
      <c r="S241" s="1">
        <v>203900</v>
      </c>
      <c r="T241" s="1">
        <v>236200</v>
      </c>
      <c r="U241" s="1">
        <v>149000</v>
      </c>
      <c r="V241" s="1">
        <v>154200</v>
      </c>
      <c r="W241" s="1">
        <v>149900</v>
      </c>
      <c r="X241" s="1">
        <v>413900</v>
      </c>
      <c r="Y241" s="1">
        <v>278300</v>
      </c>
      <c r="Z241" s="1">
        <v>260700</v>
      </c>
      <c r="AA241" s="1">
        <v>234200</v>
      </c>
      <c r="AB241" s="1">
        <v>211600</v>
      </c>
      <c r="AC241" s="1">
        <v>198500</v>
      </c>
      <c r="AD241" s="1">
        <v>210400</v>
      </c>
      <c r="AE241" s="1">
        <v>416300</v>
      </c>
      <c r="AF241" s="1">
        <v>920400</v>
      </c>
      <c r="AG241" s="1">
        <v>579100</v>
      </c>
      <c r="AH241" s="1">
        <v>302400</v>
      </c>
      <c r="AI241" s="1">
        <v>265200</v>
      </c>
      <c r="AJ241" s="1">
        <v>262800</v>
      </c>
      <c r="AK241" s="1">
        <v>229900</v>
      </c>
      <c r="AL241" s="1">
        <v>279900</v>
      </c>
      <c r="AM241" s="1">
        <v>146300</v>
      </c>
      <c r="AN241" s="1">
        <v>203100</v>
      </c>
      <c r="AO241" s="1">
        <v>196900</v>
      </c>
      <c r="AP241" s="1">
        <v>207300</v>
      </c>
      <c r="AQ241" s="1">
        <v>187200</v>
      </c>
      <c r="AR241" s="1">
        <v>154800</v>
      </c>
      <c r="AS241" s="1">
        <v>191400</v>
      </c>
      <c r="AT241" s="1">
        <v>189300</v>
      </c>
      <c r="AU241" s="1">
        <v>339600</v>
      </c>
      <c r="AV241" s="1">
        <v>437100</v>
      </c>
      <c r="AW241" s="1">
        <v>378200</v>
      </c>
      <c r="AX241" s="1">
        <v>447200</v>
      </c>
      <c r="AY241" s="1">
        <v>377800</v>
      </c>
      <c r="AZ241" s="1">
        <v>384500</v>
      </c>
      <c r="BA241" s="1">
        <v>169400</v>
      </c>
      <c r="BB241" s="1">
        <v>262100</v>
      </c>
      <c r="BC241" s="1">
        <v>241200</v>
      </c>
      <c r="BD241" s="1">
        <v>201800</v>
      </c>
      <c r="BE241" s="1">
        <v>202400</v>
      </c>
      <c r="BF241" s="1">
        <v>212400</v>
      </c>
      <c r="BG241" s="1">
        <v>255100</v>
      </c>
      <c r="BH241" s="1">
        <v>222600</v>
      </c>
      <c r="BI241" s="1">
        <v>335100</v>
      </c>
      <c r="BJ241" s="1">
        <v>441500</v>
      </c>
      <c r="BK241" s="1">
        <v>487600</v>
      </c>
      <c r="BL241" s="1">
        <v>1111000</v>
      </c>
      <c r="BM241" s="1">
        <v>363000</v>
      </c>
      <c r="BN241" s="1">
        <v>132100</v>
      </c>
      <c r="BO241" s="1">
        <v>277900</v>
      </c>
      <c r="BP241" s="1">
        <v>124400</v>
      </c>
      <c r="BQ241" s="1">
        <v>218600</v>
      </c>
      <c r="BR241" s="1">
        <v>135600</v>
      </c>
      <c r="BS241" s="1">
        <v>108200</v>
      </c>
      <c r="BT241" s="1">
        <v>102300</v>
      </c>
      <c r="BU241" s="1">
        <v>111200</v>
      </c>
      <c r="BV241" s="1">
        <v>176300</v>
      </c>
      <c r="BW241" s="1">
        <v>135500</v>
      </c>
      <c r="BX241" s="1">
        <v>144900</v>
      </c>
      <c r="BY241" s="1">
        <v>199400</v>
      </c>
      <c r="BZ241" s="1">
        <v>132300</v>
      </c>
    </row>
    <row r="242" spans="1:254">
      <c r="A242" s="394" t="s">
        <v>455</v>
      </c>
      <c r="B242" s="1" t="str">
        <f>銘柄管理!C242</f>
        <v>オキサイド</v>
      </c>
      <c r="C242" s="1">
        <f>_xll.RssMarket("6521","出来高")</f>
        <v>142200</v>
      </c>
      <c r="D242" s="82">
        <f t="shared" si="3"/>
        <v>0</v>
      </c>
      <c r="E242" s="1">
        <v>142200</v>
      </c>
      <c r="F242" s="1">
        <v>201800</v>
      </c>
      <c r="G242" s="1">
        <v>175300</v>
      </c>
      <c r="H242" s="1">
        <v>196300</v>
      </c>
      <c r="I242" s="1">
        <v>226900</v>
      </c>
      <c r="J242" s="1">
        <v>474500</v>
      </c>
      <c r="K242" s="1">
        <v>236000</v>
      </c>
      <c r="L242" s="1">
        <v>220800</v>
      </c>
      <c r="M242" s="1">
        <v>207100</v>
      </c>
      <c r="N242" s="1">
        <v>124700</v>
      </c>
      <c r="O242" s="1">
        <v>119100</v>
      </c>
      <c r="P242" s="1">
        <v>218400</v>
      </c>
      <c r="Q242" s="1">
        <v>213900</v>
      </c>
      <c r="R242" s="1">
        <v>426300</v>
      </c>
      <c r="S242" s="1">
        <v>261600</v>
      </c>
      <c r="T242" s="1">
        <v>700300</v>
      </c>
      <c r="U242" s="1">
        <v>263100</v>
      </c>
      <c r="V242" s="1">
        <v>154100</v>
      </c>
      <c r="W242" s="1">
        <v>222400</v>
      </c>
      <c r="X242" s="1">
        <v>187800</v>
      </c>
      <c r="Y242" s="1">
        <v>215000</v>
      </c>
      <c r="Z242" s="1">
        <v>142900</v>
      </c>
      <c r="AA242" s="1">
        <v>209100</v>
      </c>
      <c r="AB242" s="1">
        <v>181500</v>
      </c>
      <c r="AC242" s="1">
        <v>215200</v>
      </c>
      <c r="AD242" s="1">
        <v>187200</v>
      </c>
      <c r="AE242" s="1">
        <v>254400</v>
      </c>
      <c r="AF242" s="1">
        <v>446300</v>
      </c>
      <c r="AG242" s="1">
        <v>255900</v>
      </c>
      <c r="AH242" s="1">
        <v>427800</v>
      </c>
      <c r="AI242" s="1">
        <v>388600</v>
      </c>
      <c r="AJ242" s="1">
        <v>405300</v>
      </c>
      <c r="AK242" s="1">
        <v>612600</v>
      </c>
      <c r="AL242" s="1">
        <v>248700</v>
      </c>
      <c r="AM242" s="1">
        <v>346300</v>
      </c>
      <c r="AN242" s="1">
        <v>340300</v>
      </c>
      <c r="AO242" s="1">
        <v>255700</v>
      </c>
      <c r="AP242" s="1">
        <v>318600</v>
      </c>
      <c r="AQ242" s="1">
        <v>340500</v>
      </c>
      <c r="AR242" s="1">
        <v>673900</v>
      </c>
      <c r="AS242" s="1">
        <v>391000</v>
      </c>
      <c r="AT242" s="1">
        <v>317400</v>
      </c>
      <c r="AU242" s="1">
        <v>344500</v>
      </c>
      <c r="AV242" s="1">
        <v>453300</v>
      </c>
      <c r="AW242" s="1">
        <v>548800</v>
      </c>
      <c r="AX242" s="1">
        <v>603000</v>
      </c>
      <c r="AY242" s="1">
        <v>739900</v>
      </c>
      <c r="AZ242" s="1">
        <v>473900</v>
      </c>
      <c r="BA242" s="1">
        <v>766100</v>
      </c>
      <c r="BB242" s="1">
        <v>738000</v>
      </c>
      <c r="BC242" s="1">
        <v>492400</v>
      </c>
      <c r="BD242" s="1">
        <v>516300</v>
      </c>
      <c r="BE242" s="1">
        <v>1073000</v>
      </c>
      <c r="BF242" s="1">
        <v>723000</v>
      </c>
      <c r="BG242" s="1">
        <v>649600</v>
      </c>
      <c r="BH242" s="1">
        <v>643500</v>
      </c>
      <c r="BI242" s="1">
        <v>592700</v>
      </c>
      <c r="BJ242" s="1">
        <v>1160100</v>
      </c>
      <c r="BK242" s="1">
        <v>1248900</v>
      </c>
      <c r="BL242" s="1">
        <v>1383100</v>
      </c>
      <c r="BM242" s="1">
        <v>802300</v>
      </c>
      <c r="BN242" s="1">
        <v>277900</v>
      </c>
      <c r="BO242" s="1">
        <v>275700</v>
      </c>
      <c r="BP242" s="1">
        <v>308100</v>
      </c>
      <c r="BQ242" s="1">
        <v>628700</v>
      </c>
      <c r="BR242" s="1">
        <v>445700</v>
      </c>
      <c r="BS242" s="1">
        <v>567900</v>
      </c>
      <c r="BT242" s="1">
        <v>969500</v>
      </c>
      <c r="BU242" s="1">
        <v>1835800</v>
      </c>
      <c r="BV242" s="1">
        <v>760800</v>
      </c>
      <c r="BW242" s="1">
        <v>585700</v>
      </c>
      <c r="BX242" s="1">
        <v>729100</v>
      </c>
      <c r="BY242" s="1">
        <v>1782400</v>
      </c>
      <c r="BZ242" s="1">
        <v>2964800</v>
      </c>
    </row>
    <row r="243" spans="1:254">
      <c r="A243" s="394" t="s">
        <v>456</v>
      </c>
      <c r="B243" s="1" t="str">
        <f>銘柄管理!C243</f>
        <v>クオルテック</v>
      </c>
      <c r="C243" s="1">
        <f>_xll.RssMarket("9165","出来高")</f>
        <v>10200</v>
      </c>
      <c r="D243" s="82">
        <f t="shared" si="3"/>
        <v>0</v>
      </c>
      <c r="E243" s="1">
        <v>10200</v>
      </c>
      <c r="F243" s="1">
        <v>10600</v>
      </c>
      <c r="G243" s="1">
        <v>9300</v>
      </c>
      <c r="H243" s="1">
        <v>18500</v>
      </c>
      <c r="I243" s="1">
        <v>9000</v>
      </c>
      <c r="J243" s="1">
        <v>5000</v>
      </c>
      <c r="K243" s="1">
        <v>8200</v>
      </c>
      <c r="L243" s="1">
        <v>5800</v>
      </c>
      <c r="M243" s="1">
        <v>4400</v>
      </c>
      <c r="N243" s="1">
        <v>7900</v>
      </c>
      <c r="O243" s="1">
        <v>4000</v>
      </c>
      <c r="P243" s="1">
        <v>7100</v>
      </c>
      <c r="Q243" s="1">
        <v>5400</v>
      </c>
      <c r="R243" s="1">
        <v>18100</v>
      </c>
      <c r="S243" s="1">
        <v>3100</v>
      </c>
      <c r="T243" s="1">
        <v>9600</v>
      </c>
      <c r="U243" s="1">
        <v>7600</v>
      </c>
      <c r="V243" s="1">
        <v>7700</v>
      </c>
      <c r="W243" s="1">
        <v>6800</v>
      </c>
      <c r="X243" s="1">
        <v>7800</v>
      </c>
      <c r="Y243" s="1">
        <v>10900</v>
      </c>
      <c r="Z243" s="1">
        <v>14300</v>
      </c>
      <c r="AA243" s="1">
        <v>22900</v>
      </c>
      <c r="AB243" s="1">
        <v>17000</v>
      </c>
      <c r="AC243" s="1">
        <v>21700</v>
      </c>
      <c r="AD243" s="1">
        <v>46500</v>
      </c>
      <c r="AE243" s="1">
        <v>23300</v>
      </c>
      <c r="AF243" s="1">
        <v>11900</v>
      </c>
      <c r="AG243" s="1">
        <v>12900</v>
      </c>
      <c r="AH243" s="1">
        <v>17400</v>
      </c>
      <c r="AI243" s="1">
        <v>32300</v>
      </c>
      <c r="AJ243" s="1">
        <v>31000</v>
      </c>
      <c r="AK243" s="1">
        <v>23500</v>
      </c>
      <c r="AL243" s="1">
        <v>18700</v>
      </c>
      <c r="AM243" s="1">
        <v>14800</v>
      </c>
      <c r="AN243" s="1">
        <v>12400</v>
      </c>
      <c r="AO243" s="1">
        <v>12200</v>
      </c>
      <c r="AP243" s="1">
        <v>19500</v>
      </c>
      <c r="AQ243" s="1">
        <v>20700</v>
      </c>
      <c r="AR243" s="1">
        <v>35400</v>
      </c>
      <c r="AS243" s="1">
        <v>42400</v>
      </c>
      <c r="AT243" s="1">
        <v>21000</v>
      </c>
      <c r="AU243" s="1">
        <v>45000</v>
      </c>
      <c r="AV243" s="1">
        <v>38200</v>
      </c>
      <c r="AW243" s="1">
        <v>49700</v>
      </c>
      <c r="AX243" s="1">
        <v>41900</v>
      </c>
      <c r="AY243" s="1">
        <v>118900</v>
      </c>
      <c r="AZ243" s="1">
        <v>93700</v>
      </c>
      <c r="BA243" s="1">
        <v>158800</v>
      </c>
      <c r="BB243" s="1">
        <v>93000</v>
      </c>
      <c r="BC243" s="1">
        <v>25900</v>
      </c>
      <c r="BD243" s="1">
        <v>65800</v>
      </c>
      <c r="BE243" s="1">
        <v>32100</v>
      </c>
      <c r="BF243" s="1">
        <v>41800</v>
      </c>
      <c r="BG243" s="1">
        <v>39200</v>
      </c>
      <c r="BH243" s="1">
        <v>18500</v>
      </c>
      <c r="BI243" s="1">
        <v>21700</v>
      </c>
      <c r="BJ243" s="1">
        <v>59500</v>
      </c>
      <c r="BK243" s="1">
        <v>97100</v>
      </c>
      <c r="BL243" s="1">
        <v>277100</v>
      </c>
      <c r="BM243" s="1">
        <v>35500</v>
      </c>
      <c r="BN243" s="1">
        <v>9600</v>
      </c>
      <c r="BO243" s="1">
        <v>4000</v>
      </c>
      <c r="BP243" s="1">
        <v>8000</v>
      </c>
      <c r="BQ243" s="1">
        <v>8700</v>
      </c>
      <c r="BR243" s="1">
        <v>3100</v>
      </c>
      <c r="BS243" s="1">
        <v>8800</v>
      </c>
      <c r="BT243" s="1">
        <v>10200</v>
      </c>
      <c r="BU243" s="1">
        <v>3900</v>
      </c>
      <c r="BV243" s="1">
        <v>8500</v>
      </c>
      <c r="BW243" s="1">
        <v>2300</v>
      </c>
      <c r="BX243" s="1">
        <v>12600</v>
      </c>
      <c r="BY243" s="1">
        <v>6100</v>
      </c>
      <c r="BZ243" s="1">
        <v>12300</v>
      </c>
    </row>
    <row r="244" spans="1:254">
      <c r="A244" s="394" t="s">
        <v>457</v>
      </c>
      <c r="B244" s="1" t="str">
        <f>銘柄管理!C244</f>
        <v>デンソー</v>
      </c>
      <c r="C244" s="1">
        <f>_xll.RssMarket("6902","出来高")</f>
        <v>6687800</v>
      </c>
      <c r="D244" s="82">
        <f t="shared" si="3"/>
        <v>0</v>
      </c>
      <c r="E244" s="1">
        <v>6687800</v>
      </c>
      <c r="F244" s="1">
        <v>8751600</v>
      </c>
      <c r="G244" s="1">
        <v>9155100</v>
      </c>
      <c r="H244" s="1">
        <v>12369700</v>
      </c>
      <c r="I244" s="1">
        <v>24785700</v>
      </c>
      <c r="J244" s="1">
        <v>10346100</v>
      </c>
      <c r="K244" s="1">
        <v>16382000</v>
      </c>
      <c r="L244" s="1">
        <v>8698300</v>
      </c>
      <c r="M244" s="1">
        <v>9471600</v>
      </c>
      <c r="N244" s="1">
        <v>5223600</v>
      </c>
      <c r="O244" s="1">
        <v>5257000</v>
      </c>
      <c r="P244" s="1">
        <v>5778100</v>
      </c>
      <c r="Q244" s="1">
        <v>6563300</v>
      </c>
      <c r="R244" s="1">
        <v>6893300</v>
      </c>
      <c r="S244" s="1">
        <v>5965800</v>
      </c>
      <c r="T244" s="1">
        <v>7499700</v>
      </c>
      <c r="U244" s="1">
        <v>5393400</v>
      </c>
      <c r="V244" s="1">
        <v>5592400</v>
      </c>
      <c r="W244" s="1">
        <v>5283300</v>
      </c>
      <c r="X244" s="1">
        <v>6662400</v>
      </c>
      <c r="Y244" s="1">
        <v>8806000</v>
      </c>
      <c r="Z244" s="1">
        <v>6256200</v>
      </c>
      <c r="AA244" s="1">
        <v>6387800</v>
      </c>
      <c r="AB244" s="1">
        <v>8038400</v>
      </c>
      <c r="AC244" s="1">
        <v>9162700</v>
      </c>
      <c r="AD244" s="1">
        <v>9201100</v>
      </c>
      <c r="AE244" s="1">
        <v>16027300</v>
      </c>
      <c r="AF244" s="1">
        <v>6364700</v>
      </c>
      <c r="AG244" s="1">
        <v>5827600</v>
      </c>
      <c r="AH244" s="1">
        <v>6647500</v>
      </c>
      <c r="AI244" s="1">
        <v>8471500</v>
      </c>
      <c r="AJ244" s="1">
        <v>5402400</v>
      </c>
      <c r="AK244" s="1">
        <v>14131300</v>
      </c>
      <c r="AL244" s="1">
        <v>8346200</v>
      </c>
      <c r="AM244" s="1">
        <v>7011600</v>
      </c>
      <c r="AN244" s="1">
        <v>4906500</v>
      </c>
      <c r="AO244" s="1">
        <v>8140000</v>
      </c>
      <c r="AP244" s="1">
        <v>9110900</v>
      </c>
      <c r="AQ244" s="1">
        <v>11073000</v>
      </c>
      <c r="AR244" s="1">
        <v>7457200</v>
      </c>
      <c r="AS244" s="1">
        <v>9215000</v>
      </c>
      <c r="AT244" s="1">
        <v>10318600</v>
      </c>
      <c r="AU244" s="1">
        <v>6624500</v>
      </c>
      <c r="AV244" s="1">
        <v>8136900</v>
      </c>
      <c r="AW244" s="1">
        <v>7086000</v>
      </c>
      <c r="AX244" s="1">
        <v>15164500</v>
      </c>
      <c r="AY244" s="1">
        <v>6752200</v>
      </c>
      <c r="AZ244" s="1">
        <v>8515000</v>
      </c>
      <c r="BA244" s="1">
        <v>8828900</v>
      </c>
      <c r="BB244" s="1">
        <v>7670100</v>
      </c>
      <c r="BC244" s="1">
        <v>5200800</v>
      </c>
      <c r="BD244" s="1">
        <v>6774500</v>
      </c>
      <c r="BE244" s="1">
        <v>6452700</v>
      </c>
      <c r="BF244" s="1">
        <v>8048500</v>
      </c>
      <c r="BG244" s="1">
        <v>9868300</v>
      </c>
      <c r="BH244" s="1">
        <v>9570500</v>
      </c>
      <c r="BI244" s="1">
        <v>6720900</v>
      </c>
      <c r="BJ244" s="1">
        <v>6711000</v>
      </c>
      <c r="BK244" s="1">
        <v>7043400</v>
      </c>
      <c r="BL244" s="1">
        <v>9299300</v>
      </c>
      <c r="BM244" s="1">
        <v>12597500</v>
      </c>
      <c r="BN244" s="1">
        <v>7821900</v>
      </c>
      <c r="BO244" s="1">
        <v>18844900</v>
      </c>
      <c r="BP244" s="1">
        <v>25897700</v>
      </c>
      <c r="BQ244" s="1">
        <v>11689500</v>
      </c>
      <c r="BR244" s="1">
        <v>5990900</v>
      </c>
      <c r="BS244" s="1">
        <v>6515500</v>
      </c>
      <c r="BT244" s="1">
        <v>4384100</v>
      </c>
      <c r="BU244" s="1">
        <v>5127700</v>
      </c>
      <c r="BV244" s="1">
        <v>6926600</v>
      </c>
      <c r="BW244" s="1">
        <v>6138500</v>
      </c>
      <c r="BX244" s="1">
        <v>9172600</v>
      </c>
      <c r="BY244" s="1">
        <v>9168200</v>
      </c>
      <c r="BZ244" s="1">
        <v>5753500</v>
      </c>
    </row>
    <row r="245" spans="1:254">
      <c r="A245" s="394" t="s">
        <v>458</v>
      </c>
      <c r="B245" s="1" t="str">
        <f>銘柄管理!C245</f>
        <v>グローバルウェイ</v>
      </c>
      <c r="C245" s="1">
        <f>_xll.RssMarket("3936","出来高")</f>
        <v>96800</v>
      </c>
      <c r="D245" s="82">
        <f t="shared" si="3"/>
        <v>0</v>
      </c>
      <c r="E245" s="1">
        <v>96800</v>
      </c>
      <c r="F245" s="1">
        <v>236500</v>
      </c>
    </row>
    <row r="246" spans="1:254">
      <c r="A246" s="394" t="s">
        <v>459</v>
      </c>
      <c r="B246" s="1" t="str">
        <f>銘柄管理!C246</f>
        <v>エノモト</v>
      </c>
      <c r="C246" s="1">
        <f>_xll.RssMarket("6928","出来高")</f>
        <v>37700</v>
      </c>
      <c r="D246" s="82">
        <f t="shared" si="3"/>
        <v>0</v>
      </c>
      <c r="E246" s="1">
        <v>37700</v>
      </c>
      <c r="F246" s="1">
        <v>68200</v>
      </c>
      <c r="G246" s="1">
        <v>52300</v>
      </c>
      <c r="H246" s="1">
        <v>43000</v>
      </c>
      <c r="I246" s="1">
        <v>54900</v>
      </c>
      <c r="J246" s="1">
        <v>52900</v>
      </c>
      <c r="K246" s="1">
        <v>113100</v>
      </c>
      <c r="L246" s="1">
        <v>65500</v>
      </c>
      <c r="M246" s="1">
        <v>43100</v>
      </c>
      <c r="N246" s="1">
        <v>39500</v>
      </c>
      <c r="O246" s="1">
        <v>42500</v>
      </c>
      <c r="P246" s="1">
        <v>35300</v>
      </c>
      <c r="Q246" s="1">
        <v>50900</v>
      </c>
      <c r="R246" s="1">
        <v>51400</v>
      </c>
      <c r="S246" s="1">
        <v>9500</v>
      </c>
      <c r="T246" s="1">
        <v>29500</v>
      </c>
      <c r="U246" s="1">
        <v>41400</v>
      </c>
      <c r="V246" s="1">
        <v>35200</v>
      </c>
      <c r="W246" s="1">
        <v>31800</v>
      </c>
      <c r="X246" s="1">
        <v>52800</v>
      </c>
      <c r="Y246" s="1">
        <v>54700</v>
      </c>
      <c r="Z246" s="1">
        <v>36300</v>
      </c>
      <c r="AA246" s="1">
        <v>40300</v>
      </c>
      <c r="AB246" s="1">
        <v>46400</v>
      </c>
      <c r="AC246" s="1">
        <v>33700</v>
      </c>
      <c r="AD246" s="1">
        <v>24000</v>
      </c>
      <c r="AE246" s="1">
        <v>29200</v>
      </c>
      <c r="AF246" s="1">
        <v>30300</v>
      </c>
      <c r="AG246" s="1">
        <v>23200</v>
      </c>
      <c r="AH246" s="1">
        <v>26000</v>
      </c>
      <c r="AI246" s="1">
        <v>32600</v>
      </c>
      <c r="AJ246" s="1">
        <v>27400</v>
      </c>
      <c r="AK246" s="1">
        <v>23000</v>
      </c>
      <c r="AL246" s="1">
        <v>25000</v>
      </c>
      <c r="AM246" s="1">
        <v>15200</v>
      </c>
      <c r="AN246" s="1">
        <v>31200</v>
      </c>
      <c r="AO246" s="1">
        <v>32800</v>
      </c>
      <c r="AP246" s="1">
        <v>55600</v>
      </c>
      <c r="AQ246" s="1">
        <v>32000</v>
      </c>
      <c r="AR246" s="1">
        <v>49600</v>
      </c>
      <c r="AS246" s="1">
        <v>45600</v>
      </c>
      <c r="AT246" s="1">
        <v>25700</v>
      </c>
      <c r="AU246" s="1">
        <v>28400</v>
      </c>
      <c r="AV246" s="1">
        <v>33800</v>
      </c>
      <c r="AW246" s="1">
        <v>42900</v>
      </c>
      <c r="AX246" s="1">
        <v>53400</v>
      </c>
      <c r="AY246" s="1">
        <v>52900</v>
      </c>
      <c r="AZ246" s="1">
        <v>38800</v>
      </c>
      <c r="BA246" s="1">
        <v>30400</v>
      </c>
      <c r="BB246" s="1">
        <v>50700</v>
      </c>
      <c r="BC246" s="1">
        <v>28800</v>
      </c>
      <c r="BD246" s="1">
        <v>65400</v>
      </c>
      <c r="BE246" s="1">
        <v>68200</v>
      </c>
      <c r="BF246" s="1">
        <v>32300</v>
      </c>
      <c r="BG246" s="1">
        <v>47700</v>
      </c>
      <c r="BH246" s="1">
        <v>36400</v>
      </c>
      <c r="BI246" s="1">
        <v>50800</v>
      </c>
      <c r="BJ246" s="1">
        <v>115900</v>
      </c>
      <c r="BK246" s="1">
        <v>308400</v>
      </c>
      <c r="BL246" s="1">
        <v>48000</v>
      </c>
      <c r="BM246" s="1">
        <v>57800</v>
      </c>
      <c r="BN246" s="1">
        <v>66100</v>
      </c>
      <c r="BO246" s="1">
        <v>54100</v>
      </c>
      <c r="BP246" s="1">
        <v>22900</v>
      </c>
      <c r="BQ246" s="1">
        <v>17800</v>
      </c>
      <c r="BR246" s="1">
        <v>20900</v>
      </c>
      <c r="BS246" s="1">
        <v>26800</v>
      </c>
      <c r="BT246" s="1">
        <v>22600</v>
      </c>
      <c r="BU246" s="1">
        <v>17600</v>
      </c>
      <c r="BV246" s="1">
        <v>18900</v>
      </c>
      <c r="BW246" s="1">
        <v>24600</v>
      </c>
      <c r="BX246" s="1">
        <v>28200</v>
      </c>
      <c r="BY246" s="1">
        <v>50100</v>
      </c>
      <c r="BZ246" s="1">
        <v>31300</v>
      </c>
    </row>
    <row r="247" spans="1:254">
      <c r="A247" s="394" t="s">
        <v>460</v>
      </c>
      <c r="B247" s="1" t="str">
        <f>銘柄管理!C247</f>
        <v>三菱製鋼</v>
      </c>
      <c r="C247" s="1">
        <f>_xll.RssMarket("5632","出来高")</f>
        <v>130200</v>
      </c>
      <c r="D247" s="82">
        <f t="shared" si="3"/>
        <v>0</v>
      </c>
      <c r="E247" s="1">
        <v>130200</v>
      </c>
      <c r="F247" s="1">
        <v>108000</v>
      </c>
      <c r="G247" s="1">
        <v>55700</v>
      </c>
      <c r="H247" s="1">
        <v>90900</v>
      </c>
      <c r="I247" s="1">
        <v>88900</v>
      </c>
      <c r="J247" s="1">
        <v>88700</v>
      </c>
      <c r="K247" s="1">
        <v>127600</v>
      </c>
      <c r="L247" s="1">
        <v>76200</v>
      </c>
      <c r="M247" s="1">
        <v>46900</v>
      </c>
      <c r="O247" s="1">
        <v>42300</v>
      </c>
      <c r="P247" s="1">
        <v>36400</v>
      </c>
      <c r="Q247" s="1">
        <v>60900</v>
      </c>
      <c r="R247" s="1">
        <v>98300</v>
      </c>
      <c r="S247" s="1">
        <v>53300</v>
      </c>
      <c r="T247" s="1">
        <v>80400</v>
      </c>
      <c r="U247" s="1">
        <v>57700</v>
      </c>
      <c r="V247" s="1">
        <v>56400</v>
      </c>
      <c r="W247" s="1">
        <v>48900</v>
      </c>
      <c r="X247" s="1">
        <v>84400</v>
      </c>
      <c r="Y247" s="1">
        <v>56700</v>
      </c>
      <c r="Z247" s="1">
        <v>59200</v>
      </c>
      <c r="AA247" s="1">
        <v>65600</v>
      </c>
      <c r="AB247" s="1">
        <v>89300</v>
      </c>
      <c r="AC247" s="1">
        <v>57600</v>
      </c>
      <c r="AD247" s="1">
        <v>104400</v>
      </c>
      <c r="AE247" s="1">
        <v>88100</v>
      </c>
      <c r="AF247" s="1">
        <v>66600</v>
      </c>
      <c r="AG247" s="1">
        <v>61500</v>
      </c>
      <c r="AH247" s="1">
        <v>82700</v>
      </c>
      <c r="AI247" s="1">
        <v>153500</v>
      </c>
      <c r="AJ247" s="1">
        <v>125100</v>
      </c>
      <c r="AK247" s="1">
        <v>126600</v>
      </c>
      <c r="AL247" s="1">
        <v>133800</v>
      </c>
      <c r="AM247" s="1">
        <v>28900</v>
      </c>
      <c r="AN247" s="1">
        <v>35300</v>
      </c>
      <c r="AO247" s="1">
        <v>67300</v>
      </c>
      <c r="AP247" s="1">
        <v>83400</v>
      </c>
      <c r="AQ247" s="1">
        <v>58300</v>
      </c>
      <c r="AR247" s="1">
        <v>71500</v>
      </c>
      <c r="AS247" s="1">
        <v>113000</v>
      </c>
      <c r="AT247" s="1">
        <v>77300</v>
      </c>
      <c r="AU247" s="1">
        <v>98900</v>
      </c>
      <c r="AV247" s="1">
        <v>100300</v>
      </c>
      <c r="AW247" s="1">
        <v>100600</v>
      </c>
      <c r="AX247" s="1">
        <v>103400</v>
      </c>
      <c r="AY247" s="1">
        <v>113800</v>
      </c>
      <c r="AZ247" s="1">
        <v>154200</v>
      </c>
      <c r="BA247" s="1">
        <v>108500</v>
      </c>
      <c r="BB247" s="1">
        <v>101500</v>
      </c>
      <c r="BC247" s="1">
        <v>133600</v>
      </c>
      <c r="BD247" s="1">
        <v>105200</v>
      </c>
      <c r="BE247" s="1">
        <v>118500</v>
      </c>
      <c r="BF247" s="1">
        <v>205100</v>
      </c>
      <c r="BG247" s="1">
        <v>370700</v>
      </c>
      <c r="BH247" s="1">
        <v>335400</v>
      </c>
      <c r="BI247" s="1">
        <v>252400</v>
      </c>
      <c r="BJ247" s="1">
        <v>108000</v>
      </c>
      <c r="BK247" s="1">
        <v>213900</v>
      </c>
      <c r="BL247" s="1">
        <v>67500</v>
      </c>
      <c r="BM247" s="1">
        <v>72200</v>
      </c>
      <c r="BN247" s="1">
        <v>73600</v>
      </c>
      <c r="BO247" s="1">
        <v>80000</v>
      </c>
      <c r="BP247" s="1">
        <v>70600</v>
      </c>
      <c r="BQ247" s="1">
        <v>69200</v>
      </c>
      <c r="BR247" s="1">
        <v>72700</v>
      </c>
      <c r="BS247" s="1">
        <v>62100</v>
      </c>
      <c r="BT247" s="1">
        <v>63700</v>
      </c>
      <c r="BU247" s="1">
        <v>48200</v>
      </c>
      <c r="BV247" s="1">
        <v>54700</v>
      </c>
      <c r="BW247" s="1">
        <v>50000</v>
      </c>
      <c r="BX247" s="1">
        <v>60300</v>
      </c>
      <c r="BY247" s="1">
        <v>68700</v>
      </c>
      <c r="BZ247" s="1">
        <v>63800</v>
      </c>
    </row>
    <row r="248" spans="1:254">
      <c r="A248" s="394" t="s">
        <v>461</v>
      </c>
      <c r="B248" s="1" t="str">
        <f>銘柄管理!C248</f>
        <v>リクルートホールディングス</v>
      </c>
      <c r="C248" s="1">
        <f>_xll.RssMarket("6098","出来高")</f>
        <v>3746900</v>
      </c>
      <c r="D248" s="82">
        <f t="shared" si="3"/>
        <v>0</v>
      </c>
      <c r="E248" s="1">
        <v>3746900</v>
      </c>
      <c r="F248" s="1">
        <v>3245400</v>
      </c>
      <c r="G248" s="1">
        <v>3354300</v>
      </c>
      <c r="H248" s="1">
        <v>3639900</v>
      </c>
      <c r="I248" s="1">
        <v>5277600</v>
      </c>
      <c r="J248" s="1">
        <v>4406500</v>
      </c>
      <c r="K248" s="1">
        <v>5734800</v>
      </c>
      <c r="L248" s="1">
        <v>4814500</v>
      </c>
      <c r="M248" s="1">
        <v>3937600</v>
      </c>
      <c r="N248" s="1">
        <v>4119800</v>
      </c>
      <c r="O248" s="1">
        <v>3322700</v>
      </c>
      <c r="P248" s="1">
        <v>4886100</v>
      </c>
      <c r="Q248" s="1">
        <v>4766200</v>
      </c>
      <c r="R248" s="1">
        <v>3748400</v>
      </c>
      <c r="S248" s="1">
        <v>3138700</v>
      </c>
      <c r="T248" s="1">
        <v>3951800</v>
      </c>
      <c r="U248" s="1">
        <v>2485900</v>
      </c>
      <c r="V248" s="1">
        <v>5272800</v>
      </c>
      <c r="W248" s="1">
        <v>5074700</v>
      </c>
      <c r="X248" s="1">
        <v>4395900</v>
      </c>
      <c r="Y248" s="1">
        <v>4937000</v>
      </c>
      <c r="Z248" s="1">
        <v>2763900</v>
      </c>
      <c r="AA248" s="1">
        <v>3942800</v>
      </c>
      <c r="AB248" s="1">
        <v>5231300</v>
      </c>
      <c r="AC248" s="1">
        <v>4344900</v>
      </c>
      <c r="AD248" s="1">
        <v>3968600</v>
      </c>
      <c r="AE248" s="1">
        <v>3469700</v>
      </c>
      <c r="AF248" s="1">
        <v>4029100</v>
      </c>
      <c r="AG248" s="1">
        <v>3424200</v>
      </c>
      <c r="AH248" s="1">
        <v>3668000</v>
      </c>
      <c r="AI248" s="1">
        <v>4265900</v>
      </c>
      <c r="AJ248" s="1">
        <v>2822700</v>
      </c>
      <c r="AK248" s="1">
        <v>4637000</v>
      </c>
      <c r="AL248" s="1">
        <v>5207500</v>
      </c>
      <c r="AM248" s="1">
        <v>3628100</v>
      </c>
      <c r="AN248" s="1">
        <v>2743600</v>
      </c>
      <c r="AO248" s="1">
        <v>3258800</v>
      </c>
      <c r="AP248" s="1">
        <v>7113000</v>
      </c>
      <c r="AQ248" s="1">
        <v>4717800</v>
      </c>
      <c r="AR248" s="1">
        <v>6072500</v>
      </c>
      <c r="AS248" s="1">
        <v>4476500</v>
      </c>
      <c r="AT248" s="1">
        <v>3111400</v>
      </c>
      <c r="AU248" s="1">
        <v>3122600</v>
      </c>
      <c r="AV248" s="1">
        <v>4746500</v>
      </c>
      <c r="AW248" s="1">
        <v>7506200</v>
      </c>
      <c r="AX248" s="1">
        <v>17460900</v>
      </c>
      <c r="AY248" s="1">
        <v>7644100</v>
      </c>
      <c r="AZ248" s="1">
        <v>5574200</v>
      </c>
      <c r="BA248" s="1">
        <v>3397800</v>
      </c>
      <c r="BB248" s="1">
        <v>5224200</v>
      </c>
      <c r="BC248" s="1">
        <v>4791900</v>
      </c>
      <c r="BD248" s="1">
        <v>8907400</v>
      </c>
      <c r="BE248" s="1">
        <v>16251100</v>
      </c>
      <c r="BF248" s="1">
        <v>21985000</v>
      </c>
      <c r="BG248" s="1">
        <v>8557900</v>
      </c>
      <c r="BH248" s="1">
        <v>7107100</v>
      </c>
      <c r="BI248" s="1">
        <v>4579200</v>
      </c>
      <c r="BJ248" s="1">
        <v>4143200</v>
      </c>
      <c r="BK248" s="1">
        <v>4240800</v>
      </c>
      <c r="BL248" s="1">
        <v>7525500</v>
      </c>
      <c r="BM248" s="1">
        <v>8411200</v>
      </c>
      <c r="BN248" s="1">
        <v>3535400</v>
      </c>
      <c r="BO248" s="1">
        <v>7038100</v>
      </c>
      <c r="BP248" s="1">
        <v>11715500</v>
      </c>
      <c r="BQ248" s="1">
        <v>3826700</v>
      </c>
      <c r="BR248" s="1">
        <v>5591600</v>
      </c>
      <c r="BS248" s="1">
        <v>8410200</v>
      </c>
      <c r="BT248" s="1">
        <v>6754900</v>
      </c>
      <c r="BU248" s="1">
        <v>5620900</v>
      </c>
      <c r="BV248" s="1">
        <v>4445700</v>
      </c>
      <c r="BW248" s="1">
        <v>6301300</v>
      </c>
      <c r="BX248" s="1">
        <v>3896400</v>
      </c>
      <c r="BY248" s="1">
        <v>4604200</v>
      </c>
      <c r="BZ248" s="1">
        <v>4450500</v>
      </c>
    </row>
    <row r="249" spans="1:254">
      <c r="A249" s="394" t="s">
        <v>462</v>
      </c>
      <c r="B249" s="1" t="str">
        <f>銘柄管理!C249</f>
        <v>荏原製作所</v>
      </c>
      <c r="C249" s="1">
        <f>_xll.RssMarket("6361","出来高")</f>
        <v>2905900</v>
      </c>
      <c r="D249" s="82">
        <f t="shared" si="3"/>
        <v>0</v>
      </c>
      <c r="E249" s="1">
        <v>2905900</v>
      </c>
      <c r="F249" s="1">
        <v>4250100</v>
      </c>
      <c r="G249" s="1">
        <v>3221500</v>
      </c>
      <c r="H249" s="1">
        <v>2045800</v>
      </c>
      <c r="I249" s="1">
        <v>4341900</v>
      </c>
      <c r="J249" s="1">
        <v>12021400</v>
      </c>
      <c r="K249" s="1">
        <v>4739000</v>
      </c>
      <c r="L249" s="1">
        <v>3626300</v>
      </c>
      <c r="M249" s="1">
        <v>2275300</v>
      </c>
      <c r="N249" s="1">
        <v>2188200</v>
      </c>
      <c r="O249" s="1">
        <v>2799000</v>
      </c>
      <c r="P249" s="1">
        <v>3771800</v>
      </c>
      <c r="Q249" s="1">
        <v>3711600</v>
      </c>
      <c r="R249" s="1">
        <v>4306500</v>
      </c>
      <c r="S249" s="1">
        <v>3240700</v>
      </c>
      <c r="T249" s="1">
        <v>3364700</v>
      </c>
      <c r="U249" s="1">
        <v>2081700</v>
      </c>
      <c r="V249" s="1">
        <v>2703900</v>
      </c>
      <c r="W249" s="1">
        <v>3088300</v>
      </c>
      <c r="X249" s="1">
        <v>4263800</v>
      </c>
      <c r="Y249" s="1">
        <v>2923400</v>
      </c>
      <c r="Z249" s="1">
        <v>3531200</v>
      </c>
      <c r="AA249" s="1">
        <v>3285600</v>
      </c>
      <c r="AB249" s="1">
        <v>2787200</v>
      </c>
      <c r="AC249" s="1">
        <v>3763100</v>
      </c>
      <c r="AD249" s="1">
        <v>3817600</v>
      </c>
      <c r="AE249" s="1">
        <v>3048200</v>
      </c>
      <c r="AF249" s="1">
        <v>4188600</v>
      </c>
      <c r="AG249" s="1">
        <v>4059600</v>
      </c>
      <c r="AH249" s="1">
        <v>2646800</v>
      </c>
      <c r="AI249" s="1">
        <v>3439500</v>
      </c>
      <c r="AJ249" s="1">
        <v>1870200</v>
      </c>
      <c r="AK249" s="1">
        <v>5643000</v>
      </c>
      <c r="AL249" s="1">
        <v>3696000</v>
      </c>
      <c r="AM249" s="1">
        <v>3437000</v>
      </c>
      <c r="AN249" s="1">
        <v>3206000</v>
      </c>
      <c r="AO249" s="1">
        <v>4425200</v>
      </c>
      <c r="AP249" s="1">
        <v>2920300</v>
      </c>
      <c r="AQ249" s="1">
        <v>2568200</v>
      </c>
      <c r="AR249" s="1">
        <v>3427500</v>
      </c>
      <c r="AS249" s="1">
        <v>3192900</v>
      </c>
      <c r="AT249" s="1">
        <v>1687900</v>
      </c>
      <c r="AU249" s="1">
        <v>2272900</v>
      </c>
      <c r="AV249" s="1">
        <v>2891700</v>
      </c>
      <c r="AW249" s="1">
        <v>4060800</v>
      </c>
      <c r="AX249" s="1">
        <v>4360300</v>
      </c>
      <c r="AY249" s="1">
        <v>3110500</v>
      </c>
      <c r="AZ249" s="1">
        <v>3544400</v>
      </c>
      <c r="BA249" s="1">
        <v>3711800</v>
      </c>
      <c r="BB249" s="1">
        <v>4302300</v>
      </c>
      <c r="BC249" s="1">
        <v>3248800</v>
      </c>
      <c r="BD249" s="1">
        <v>4155100</v>
      </c>
      <c r="BE249" s="1">
        <v>3194200</v>
      </c>
      <c r="BF249" s="1">
        <v>4428300</v>
      </c>
      <c r="BG249" s="1">
        <v>5374800</v>
      </c>
      <c r="BH249" s="1">
        <v>3227300</v>
      </c>
      <c r="BI249" s="1">
        <v>2217500</v>
      </c>
      <c r="BJ249" s="1">
        <v>2567100</v>
      </c>
      <c r="BK249" s="1">
        <v>3410800</v>
      </c>
      <c r="BL249" s="1">
        <v>3325300</v>
      </c>
      <c r="BM249" s="1">
        <v>6871600</v>
      </c>
      <c r="BN249" s="1">
        <v>1790600</v>
      </c>
      <c r="BO249" s="1">
        <v>3556400</v>
      </c>
      <c r="BP249" s="1">
        <v>4089500</v>
      </c>
      <c r="BQ249" s="1">
        <v>2855200</v>
      </c>
      <c r="BR249" s="1">
        <v>2647100</v>
      </c>
      <c r="BS249" s="1">
        <v>3450000</v>
      </c>
      <c r="BT249" s="1">
        <v>4481500</v>
      </c>
      <c r="BU249" s="1">
        <v>1813400</v>
      </c>
      <c r="BV249" s="1">
        <v>2190600</v>
      </c>
      <c r="BW249" s="1">
        <v>2076600</v>
      </c>
      <c r="BX249" s="1">
        <v>2920800</v>
      </c>
      <c r="BY249" s="1">
        <v>2891900</v>
      </c>
      <c r="BZ249" s="1">
        <v>2357100</v>
      </c>
    </row>
    <row r="250" spans="1:254">
      <c r="A250" s="394" t="s">
        <v>463</v>
      </c>
      <c r="B250" s="1" t="str">
        <f>銘柄管理!C250</f>
        <v>情報戦略テクノロジー</v>
      </c>
      <c r="C250" s="1">
        <f>_xll.RssMarket("155A","出来高")</f>
        <v>23100</v>
      </c>
      <c r="D250" s="82">
        <f t="shared" si="3"/>
        <v>0</v>
      </c>
      <c r="E250" s="1">
        <v>23100</v>
      </c>
      <c r="F250" s="1">
        <v>21200</v>
      </c>
      <c r="G250" s="1">
        <v>13200</v>
      </c>
      <c r="H250" s="1">
        <v>35800</v>
      </c>
      <c r="I250" s="1">
        <v>24700</v>
      </c>
      <c r="J250" s="1">
        <v>22700</v>
      </c>
      <c r="K250" s="1">
        <v>36500</v>
      </c>
      <c r="L250" s="1">
        <v>39800</v>
      </c>
      <c r="M250" s="1">
        <v>15300</v>
      </c>
      <c r="O250" s="1">
        <v>17500</v>
      </c>
      <c r="P250" s="1">
        <v>15700</v>
      </c>
      <c r="Q250" s="1">
        <v>30500</v>
      </c>
      <c r="R250" s="1">
        <v>97600</v>
      </c>
      <c r="S250" s="1">
        <v>58400</v>
      </c>
      <c r="T250" s="1">
        <v>30500</v>
      </c>
      <c r="U250" s="1">
        <v>30000</v>
      </c>
      <c r="V250" s="1">
        <v>22600</v>
      </c>
      <c r="W250" s="1">
        <v>29700</v>
      </c>
      <c r="X250" s="1">
        <v>38500</v>
      </c>
      <c r="Y250" s="1">
        <v>29200</v>
      </c>
      <c r="Z250" s="1">
        <v>32800</v>
      </c>
      <c r="AA250" s="1">
        <v>33600</v>
      </c>
      <c r="AB250" s="1">
        <v>53800</v>
      </c>
      <c r="AC250" s="1">
        <v>27000</v>
      </c>
      <c r="AD250" s="1">
        <v>27700</v>
      </c>
      <c r="AE250" s="1">
        <v>20600</v>
      </c>
      <c r="AF250" s="1">
        <v>59100</v>
      </c>
      <c r="AG250" s="1">
        <v>46700</v>
      </c>
      <c r="AH250" s="1">
        <v>228900</v>
      </c>
      <c r="AI250" s="1">
        <v>48700</v>
      </c>
      <c r="AJ250" s="1">
        <v>103400</v>
      </c>
      <c r="AK250" s="1">
        <v>54900</v>
      </c>
      <c r="AL250" s="1">
        <v>45100</v>
      </c>
      <c r="AM250" s="1">
        <v>58200</v>
      </c>
      <c r="AN250" s="1">
        <v>29200</v>
      </c>
      <c r="AO250" s="1">
        <v>34100</v>
      </c>
      <c r="AP250" s="1">
        <v>35200</v>
      </c>
      <c r="AQ250" s="1">
        <v>39500</v>
      </c>
      <c r="AR250" s="1">
        <v>45900</v>
      </c>
      <c r="AS250" s="1">
        <v>84000</v>
      </c>
      <c r="AT250" s="1">
        <v>61600</v>
      </c>
      <c r="AU250" s="1">
        <v>67600</v>
      </c>
      <c r="AV250" s="1">
        <v>115500</v>
      </c>
      <c r="AW250" s="1">
        <v>33400</v>
      </c>
      <c r="AX250" s="1">
        <v>90300</v>
      </c>
      <c r="AY250" s="1">
        <v>40000</v>
      </c>
      <c r="AZ250" s="1">
        <v>61700</v>
      </c>
      <c r="BA250" s="1">
        <v>47800</v>
      </c>
      <c r="BB250" s="1">
        <v>38200</v>
      </c>
      <c r="BC250" s="1">
        <v>45800</v>
      </c>
      <c r="BD250" s="1">
        <v>106000</v>
      </c>
      <c r="BE250" s="1">
        <v>183800</v>
      </c>
      <c r="BF250" s="1">
        <v>344400</v>
      </c>
      <c r="BG250" s="1">
        <v>217900</v>
      </c>
      <c r="BH250" s="1">
        <v>87900</v>
      </c>
      <c r="BI250" s="1">
        <v>61800</v>
      </c>
      <c r="BJ250" s="1">
        <v>28100</v>
      </c>
      <c r="BK250" s="1">
        <v>28400</v>
      </c>
      <c r="BL250" s="1">
        <v>25600</v>
      </c>
      <c r="BM250" s="1">
        <v>22900</v>
      </c>
      <c r="BN250" s="1">
        <v>23100</v>
      </c>
      <c r="BO250" s="1">
        <v>34400</v>
      </c>
      <c r="BP250" s="1">
        <v>30900</v>
      </c>
      <c r="BQ250" s="1">
        <v>34100</v>
      </c>
      <c r="BR250" s="1">
        <v>17500</v>
      </c>
      <c r="BS250" s="1">
        <v>22500</v>
      </c>
      <c r="BT250" s="1">
        <v>25100</v>
      </c>
      <c r="BU250" s="1">
        <v>28700</v>
      </c>
      <c r="BV250" s="1">
        <v>24000</v>
      </c>
      <c r="BW250" s="1">
        <v>25300</v>
      </c>
      <c r="BX250" s="1">
        <v>33100</v>
      </c>
      <c r="BY250" s="1">
        <v>54400</v>
      </c>
      <c r="BZ250" s="1">
        <v>33700</v>
      </c>
    </row>
    <row r="251" spans="1:254">
      <c r="A251" s="394" t="s">
        <v>464</v>
      </c>
      <c r="B251" s="1" t="str">
        <f>銘柄管理!C251</f>
        <v>ＴＥＲＲＡＤＲＯＮＥ</v>
      </c>
      <c r="C251" s="1">
        <f>_xll.RssMarket("278A","出来高")</f>
        <v>1087700</v>
      </c>
      <c r="D251" s="82">
        <f t="shared" si="3"/>
        <v>0</v>
      </c>
      <c r="E251" s="1">
        <v>1087700</v>
      </c>
      <c r="F251" s="1">
        <v>1491200</v>
      </c>
      <c r="G251" s="1">
        <v>2114600</v>
      </c>
      <c r="H251" s="1">
        <v>781700</v>
      </c>
      <c r="I251" s="1">
        <v>1202700</v>
      </c>
      <c r="J251" s="1">
        <v>469300</v>
      </c>
      <c r="K251" s="1">
        <v>947500</v>
      </c>
      <c r="L251" s="1">
        <v>1351000</v>
      </c>
      <c r="M251" s="1">
        <v>897800</v>
      </c>
      <c r="N251" s="1">
        <v>1593100</v>
      </c>
      <c r="O251" s="1">
        <v>1834800</v>
      </c>
      <c r="P251" s="1">
        <v>2125600</v>
      </c>
      <c r="Q251" s="1">
        <v>3579000</v>
      </c>
      <c r="R251" s="1">
        <v>4024700</v>
      </c>
      <c r="S251" s="1">
        <v>3747900</v>
      </c>
      <c r="T251" s="1">
        <v>976100</v>
      </c>
      <c r="U251" s="1">
        <v>1809100</v>
      </c>
      <c r="V251" s="1">
        <v>1877800</v>
      </c>
      <c r="W251" s="1">
        <v>1308400</v>
      </c>
      <c r="X251" s="1">
        <v>308200</v>
      </c>
      <c r="Y251" s="1">
        <v>874100</v>
      </c>
      <c r="Z251" s="1">
        <v>1155200</v>
      </c>
      <c r="AA251" s="1">
        <v>420400</v>
      </c>
      <c r="AB251" s="1">
        <v>299900</v>
      </c>
      <c r="AC251" s="1">
        <v>169900</v>
      </c>
      <c r="AD251" s="1">
        <v>182600</v>
      </c>
      <c r="AE251" s="1">
        <v>197000</v>
      </c>
      <c r="AF251" s="1">
        <v>258300</v>
      </c>
      <c r="AG251" s="1">
        <v>262700</v>
      </c>
      <c r="AH251" s="1">
        <v>437200</v>
      </c>
      <c r="AI251" s="1">
        <v>1138100</v>
      </c>
      <c r="AJ251" s="1">
        <v>1121300</v>
      </c>
      <c r="AK251" s="1">
        <v>455000</v>
      </c>
      <c r="AL251" s="1">
        <v>906800</v>
      </c>
      <c r="AM251" s="1">
        <v>2099300</v>
      </c>
      <c r="AN251" s="1">
        <v>689500</v>
      </c>
      <c r="AO251" s="1">
        <v>810300</v>
      </c>
      <c r="AP251" s="1">
        <v>559500</v>
      </c>
      <c r="AQ251" s="1">
        <v>630800</v>
      </c>
      <c r="AR251" s="1">
        <v>1250900</v>
      </c>
      <c r="AS251" s="1">
        <v>1781800</v>
      </c>
      <c r="AT251" s="1">
        <v>430500</v>
      </c>
      <c r="AU251" s="1">
        <v>418800</v>
      </c>
      <c r="AV251" s="1">
        <v>391800</v>
      </c>
      <c r="AW251" s="1">
        <v>423300</v>
      </c>
      <c r="AX251" s="1">
        <v>633600</v>
      </c>
      <c r="AY251" s="1">
        <v>1051000</v>
      </c>
      <c r="AZ251" s="1">
        <v>956500</v>
      </c>
      <c r="BA251" s="1">
        <v>643500</v>
      </c>
      <c r="BB251" s="1">
        <v>521900</v>
      </c>
      <c r="BC251" s="1">
        <v>720600</v>
      </c>
      <c r="BD251" s="1">
        <v>750600</v>
      </c>
      <c r="BE251" s="1">
        <v>1680900</v>
      </c>
      <c r="BF251" s="1">
        <v>1220200</v>
      </c>
      <c r="BG251" s="1">
        <v>2123900</v>
      </c>
      <c r="BH251" s="1">
        <v>1887300</v>
      </c>
      <c r="BI251" s="1">
        <v>4134500</v>
      </c>
      <c r="BJ251" s="1">
        <v>1320900</v>
      </c>
      <c r="BK251" s="1">
        <v>1134000</v>
      </c>
      <c r="BL251" s="1">
        <v>2416200</v>
      </c>
      <c r="BM251" s="1">
        <v>2877500</v>
      </c>
      <c r="BN251" s="1">
        <v>1631300</v>
      </c>
      <c r="BO251" s="1">
        <v>2508400</v>
      </c>
      <c r="BP251" s="1">
        <v>927900</v>
      </c>
      <c r="BQ251" s="1">
        <v>846600</v>
      </c>
      <c r="BR251" s="1">
        <v>1400400</v>
      </c>
      <c r="BS251" s="1">
        <v>2371600</v>
      </c>
      <c r="BT251" s="1">
        <v>1257400</v>
      </c>
      <c r="BU251" s="1">
        <v>662900</v>
      </c>
      <c r="BV251" s="1">
        <v>744800</v>
      </c>
      <c r="BW251" s="1">
        <v>904700</v>
      </c>
      <c r="BX251" s="1">
        <v>1875500</v>
      </c>
      <c r="BY251" s="1">
        <v>849100</v>
      </c>
      <c r="BZ251" s="1">
        <v>1877000</v>
      </c>
    </row>
    <row r="252" spans="1:254">
      <c r="A252" s="394" t="s">
        <v>465</v>
      </c>
      <c r="B252" s="1" t="str">
        <f>銘柄管理!C252</f>
        <v>ＭＩＣ</v>
      </c>
      <c r="C252" s="1">
        <f>_xll.RssMarket("300A","出来高")</f>
        <v>22100</v>
      </c>
      <c r="D252" s="82">
        <f t="shared" si="3"/>
        <v>0</v>
      </c>
      <c r="E252" s="1">
        <v>22100</v>
      </c>
      <c r="F252" s="1">
        <v>18400</v>
      </c>
      <c r="G252" s="1">
        <v>3500</v>
      </c>
      <c r="H252" s="1">
        <v>8800</v>
      </c>
      <c r="I252" s="1">
        <v>14400</v>
      </c>
      <c r="J252" s="1">
        <v>10400</v>
      </c>
      <c r="K252" s="1">
        <v>13600</v>
      </c>
      <c r="L252" s="1">
        <v>9400</v>
      </c>
      <c r="M252" s="1">
        <v>12100</v>
      </c>
      <c r="O252" s="1">
        <v>13800</v>
      </c>
      <c r="P252" s="1">
        <v>10700</v>
      </c>
      <c r="Q252" s="1">
        <v>7100</v>
      </c>
      <c r="R252" s="1">
        <v>12800</v>
      </c>
      <c r="S252" s="1">
        <v>9500</v>
      </c>
      <c r="T252" s="1">
        <v>7500</v>
      </c>
      <c r="U252" s="1">
        <v>12700</v>
      </c>
      <c r="V252" s="1">
        <v>4700</v>
      </c>
      <c r="W252" s="1">
        <v>7000</v>
      </c>
      <c r="X252" s="1">
        <v>3400</v>
      </c>
      <c r="Y252" s="1">
        <v>11300</v>
      </c>
      <c r="Z252" s="1">
        <v>5400</v>
      </c>
      <c r="AA252" s="1">
        <v>4500</v>
      </c>
      <c r="AB252" s="1">
        <v>8500</v>
      </c>
      <c r="AC252" s="1">
        <v>11800</v>
      </c>
      <c r="AD252" s="1">
        <v>5000</v>
      </c>
      <c r="AE252" s="1">
        <v>11100</v>
      </c>
      <c r="AF252" s="1">
        <v>8000</v>
      </c>
      <c r="AG252" s="1">
        <v>8400</v>
      </c>
      <c r="AH252" s="1">
        <v>11900</v>
      </c>
      <c r="AI252" s="1">
        <v>7700</v>
      </c>
      <c r="AJ252" s="1">
        <v>3100</v>
      </c>
      <c r="AK252" s="1">
        <v>13000</v>
      </c>
      <c r="AL252" s="1">
        <v>18700</v>
      </c>
      <c r="AM252" s="1">
        <v>5400</v>
      </c>
      <c r="AN252" s="1">
        <v>10000</v>
      </c>
      <c r="AO252" s="1">
        <v>17500</v>
      </c>
      <c r="AP252" s="1">
        <v>22400</v>
      </c>
      <c r="AQ252" s="1">
        <v>19000</v>
      </c>
      <c r="AR252" s="1">
        <v>7000</v>
      </c>
      <c r="AS252" s="1">
        <v>12400</v>
      </c>
      <c r="AT252" s="1">
        <v>7300</v>
      </c>
      <c r="AU252" s="1">
        <v>16000</v>
      </c>
      <c r="AV252" s="1">
        <v>9500</v>
      </c>
      <c r="AW252" s="1">
        <v>17300</v>
      </c>
      <c r="AX252" s="1">
        <v>15900</v>
      </c>
      <c r="AY252" s="1">
        <v>6300</v>
      </c>
      <c r="AZ252" s="1">
        <v>8200</v>
      </c>
      <c r="BA252" s="1">
        <v>13200</v>
      </c>
      <c r="BB252" s="1">
        <v>13900</v>
      </c>
      <c r="BC252" s="1">
        <v>9900</v>
      </c>
      <c r="BD252" s="1">
        <v>17700</v>
      </c>
      <c r="BE252" s="1">
        <v>18200</v>
      </c>
      <c r="BF252" s="1">
        <v>68300</v>
      </c>
      <c r="BG252" s="1">
        <v>101600</v>
      </c>
      <c r="BH252" s="1">
        <v>35800</v>
      </c>
      <c r="BI252" s="1">
        <v>17800</v>
      </c>
      <c r="BJ252" s="1">
        <v>24600</v>
      </c>
      <c r="BK252" s="1">
        <v>19300</v>
      </c>
      <c r="BL252" s="1">
        <v>13900</v>
      </c>
      <c r="BM252" s="1">
        <v>26000</v>
      </c>
      <c r="BN252" s="1">
        <v>23600</v>
      </c>
      <c r="BO252" s="1">
        <v>24400</v>
      </c>
      <c r="BP252" s="1">
        <v>15100</v>
      </c>
      <c r="BQ252" s="1">
        <v>40400</v>
      </c>
      <c r="BR252" s="1">
        <v>20300</v>
      </c>
      <c r="BS252" s="1">
        <v>24400</v>
      </c>
      <c r="BT252" s="1">
        <v>20400</v>
      </c>
      <c r="BU252" s="1">
        <v>14000</v>
      </c>
      <c r="BV252" s="1">
        <v>12600</v>
      </c>
      <c r="BW252" s="1">
        <v>19600</v>
      </c>
      <c r="BX252" s="1">
        <v>21000</v>
      </c>
      <c r="BY252" s="1">
        <v>27800</v>
      </c>
      <c r="BZ252" s="1">
        <v>28000</v>
      </c>
    </row>
    <row r="253" spans="1:254">
      <c r="A253" s="394" t="s">
        <v>466</v>
      </c>
      <c r="B253" s="1" t="str">
        <f>銘柄管理!C253</f>
        <v>サイボウズ</v>
      </c>
      <c r="C253" s="1">
        <f>_xll.RssMarket("4776","出来高")</f>
        <v>163000</v>
      </c>
      <c r="D253" s="82">
        <f t="shared" si="3"/>
        <v>0</v>
      </c>
      <c r="E253" s="1">
        <v>163000</v>
      </c>
      <c r="F253" s="1">
        <v>169700</v>
      </c>
      <c r="G253" s="1">
        <v>169200</v>
      </c>
      <c r="H253" s="1">
        <v>276800</v>
      </c>
      <c r="I253" s="1">
        <v>215100</v>
      </c>
      <c r="J253" s="1">
        <v>356900</v>
      </c>
      <c r="K253" s="1">
        <v>843000</v>
      </c>
      <c r="L253" s="1">
        <v>427900</v>
      </c>
      <c r="M253" s="1">
        <v>312300</v>
      </c>
      <c r="N253" s="1">
        <v>231100</v>
      </c>
      <c r="O253" s="1">
        <v>290400</v>
      </c>
      <c r="P253" s="1">
        <v>229900</v>
      </c>
      <c r="Q253" s="1">
        <v>228200</v>
      </c>
      <c r="R253" s="1">
        <v>211700</v>
      </c>
      <c r="S253" s="1">
        <v>230500</v>
      </c>
      <c r="T253" s="1">
        <v>212600</v>
      </c>
      <c r="U253" s="1">
        <v>249500</v>
      </c>
      <c r="V253" s="1">
        <v>276200</v>
      </c>
      <c r="W253" s="1">
        <v>337500</v>
      </c>
      <c r="X253" s="1">
        <v>327200</v>
      </c>
      <c r="Y253" s="1">
        <v>336100</v>
      </c>
      <c r="Z253" s="1">
        <v>367200</v>
      </c>
      <c r="AA253" s="1">
        <v>438100</v>
      </c>
      <c r="AB253" s="1">
        <v>651100</v>
      </c>
      <c r="AC253" s="1">
        <v>263500</v>
      </c>
      <c r="AD253" s="1">
        <v>375600</v>
      </c>
      <c r="AE253" s="1">
        <v>630200</v>
      </c>
      <c r="AF253" s="1">
        <v>413600</v>
      </c>
      <c r="AG253" s="1">
        <v>482000</v>
      </c>
      <c r="AH253" s="1">
        <v>485200</v>
      </c>
      <c r="AI253" s="1">
        <v>520000</v>
      </c>
      <c r="AJ253" s="1">
        <v>267700</v>
      </c>
      <c r="AK253" s="1">
        <v>340500</v>
      </c>
      <c r="AL253" s="1">
        <v>311500</v>
      </c>
      <c r="AM253" s="1">
        <v>294200</v>
      </c>
      <c r="AN253" s="1">
        <v>327000</v>
      </c>
      <c r="AO253" s="1">
        <v>274800</v>
      </c>
      <c r="AP253" s="1">
        <v>615300</v>
      </c>
      <c r="AQ253" s="1">
        <v>393900</v>
      </c>
      <c r="AR253" s="1">
        <v>282700</v>
      </c>
      <c r="AS253" s="1">
        <v>360900</v>
      </c>
      <c r="AT253" s="1">
        <v>404600</v>
      </c>
      <c r="AU253" s="1">
        <v>486700</v>
      </c>
      <c r="AV253" s="1">
        <v>756200</v>
      </c>
      <c r="AW253" s="1">
        <v>746600</v>
      </c>
      <c r="AX253" s="1">
        <v>586400</v>
      </c>
      <c r="AY253" s="1">
        <v>336200</v>
      </c>
      <c r="AZ253" s="1">
        <v>332500</v>
      </c>
      <c r="BA253" s="1">
        <v>617500</v>
      </c>
      <c r="BB253" s="1">
        <v>427400</v>
      </c>
      <c r="BC253" s="1">
        <v>727700</v>
      </c>
      <c r="BD253" s="1">
        <v>614500</v>
      </c>
      <c r="BE253" s="1">
        <v>697500</v>
      </c>
      <c r="BF253" s="1">
        <v>774600</v>
      </c>
      <c r="BG253" s="1">
        <v>1779700</v>
      </c>
      <c r="BH253" s="1">
        <v>996400</v>
      </c>
      <c r="BI253" s="1">
        <v>555900</v>
      </c>
      <c r="BJ253" s="1">
        <v>540800</v>
      </c>
      <c r="BK253" s="1">
        <v>621600</v>
      </c>
      <c r="BL253" s="1">
        <v>721200</v>
      </c>
      <c r="BM253" s="1">
        <v>741200</v>
      </c>
      <c r="BN253" s="1">
        <v>348000</v>
      </c>
      <c r="BO253" s="1">
        <v>1118600</v>
      </c>
      <c r="BP253" s="1">
        <v>598300</v>
      </c>
      <c r="BQ253" s="1">
        <v>372700</v>
      </c>
      <c r="BR253" s="1">
        <v>400100</v>
      </c>
      <c r="BS253" s="1">
        <v>646200</v>
      </c>
      <c r="BT253" s="1">
        <v>300800</v>
      </c>
      <c r="BU253" s="1">
        <v>539700</v>
      </c>
      <c r="BV253" s="1">
        <v>569400</v>
      </c>
      <c r="BW253" s="1">
        <v>1129300</v>
      </c>
      <c r="BX253" s="1">
        <v>782200</v>
      </c>
      <c r="BY253" s="1">
        <v>689800</v>
      </c>
      <c r="BZ253" s="1">
        <v>652800</v>
      </c>
    </row>
    <row r="254" spans="1:254">
      <c r="A254" s="394" t="s">
        <v>467</v>
      </c>
      <c r="B254" s="1" t="str">
        <f>銘柄管理!C254</f>
        <v>トレンドマイクロ</v>
      </c>
      <c r="C254" s="1">
        <f>_xll.RssMarket("4704","出来高")</f>
        <v>746300</v>
      </c>
      <c r="D254" s="82">
        <f t="shared" si="3"/>
        <v>0</v>
      </c>
      <c r="E254" s="1">
        <v>746300</v>
      </c>
      <c r="F254" s="1">
        <v>673600</v>
      </c>
      <c r="G254" s="1">
        <v>844700</v>
      </c>
      <c r="H254" s="1">
        <v>633400</v>
      </c>
      <c r="I254" s="1">
        <v>904200</v>
      </c>
      <c r="J254" s="1">
        <v>2023900</v>
      </c>
      <c r="K254" s="1">
        <v>1383400</v>
      </c>
      <c r="L254" s="1">
        <v>893900</v>
      </c>
      <c r="M254" s="1">
        <v>895100</v>
      </c>
      <c r="N254" s="1">
        <v>826600</v>
      </c>
      <c r="O254" s="1">
        <v>624800</v>
      </c>
      <c r="P254" s="1">
        <v>764300</v>
      </c>
      <c r="Q254" s="1">
        <v>930600</v>
      </c>
      <c r="R254" s="1">
        <v>2450000</v>
      </c>
      <c r="S254" s="1">
        <v>892100</v>
      </c>
      <c r="T254" s="1">
        <v>847800</v>
      </c>
      <c r="U254" s="1">
        <v>577200</v>
      </c>
      <c r="V254" s="1">
        <v>779900</v>
      </c>
      <c r="W254" s="1">
        <v>764400</v>
      </c>
      <c r="X254" s="1">
        <v>957900</v>
      </c>
      <c r="Y254" s="1">
        <v>877300</v>
      </c>
      <c r="Z254" s="1">
        <v>667300</v>
      </c>
      <c r="AA254" s="1">
        <v>854600</v>
      </c>
      <c r="AB254" s="1">
        <v>1102100</v>
      </c>
      <c r="AC254" s="1">
        <v>661000</v>
      </c>
      <c r="AD254" s="1">
        <v>1003200</v>
      </c>
      <c r="AE254" s="1">
        <v>1028300</v>
      </c>
      <c r="AF254" s="1">
        <v>642600</v>
      </c>
      <c r="AG254" s="1">
        <v>728200</v>
      </c>
      <c r="AH254" s="1">
        <v>825500</v>
      </c>
      <c r="AI254" s="1">
        <v>967300</v>
      </c>
      <c r="AJ254" s="1">
        <v>614900</v>
      </c>
      <c r="AK254" s="1">
        <v>1762100</v>
      </c>
      <c r="AL254" s="1">
        <v>849200</v>
      </c>
      <c r="AM254" s="1">
        <v>914000</v>
      </c>
      <c r="AN254" s="1">
        <v>831800</v>
      </c>
      <c r="AO254" s="1">
        <v>844000</v>
      </c>
      <c r="AP254" s="1">
        <v>1214800</v>
      </c>
      <c r="AQ254" s="1">
        <v>695700</v>
      </c>
      <c r="AR254" s="1">
        <v>828400</v>
      </c>
      <c r="AS254" s="1">
        <v>1157200</v>
      </c>
      <c r="AT254" s="1">
        <v>2647200</v>
      </c>
      <c r="AU254" s="1">
        <v>1217300</v>
      </c>
      <c r="AV254" s="1">
        <v>1063300</v>
      </c>
      <c r="AW254" s="1">
        <v>1131900</v>
      </c>
      <c r="AX254" s="1">
        <v>1228900</v>
      </c>
      <c r="AY254" s="1">
        <v>842400</v>
      </c>
      <c r="AZ254" s="1">
        <v>1074600</v>
      </c>
      <c r="BA254" s="1">
        <v>1342600</v>
      </c>
      <c r="BB254" s="1">
        <v>1094200</v>
      </c>
      <c r="BC254" s="1">
        <v>738700</v>
      </c>
      <c r="BD254" s="1">
        <v>1028500</v>
      </c>
      <c r="BE254" s="1">
        <v>1367200</v>
      </c>
      <c r="BF254" s="1">
        <v>1233800</v>
      </c>
      <c r="BG254" s="1">
        <v>1500300</v>
      </c>
      <c r="BH254" s="1">
        <v>757900</v>
      </c>
      <c r="BI254" s="1">
        <v>525800</v>
      </c>
      <c r="BJ254" s="1">
        <v>601400</v>
      </c>
      <c r="BK254" s="1">
        <v>686400</v>
      </c>
      <c r="BL254" s="1">
        <v>1374200</v>
      </c>
      <c r="BM254" s="1">
        <v>1178000</v>
      </c>
      <c r="BN254" s="1">
        <v>893500</v>
      </c>
      <c r="BO254" s="1">
        <v>1219300</v>
      </c>
      <c r="BP254" s="1">
        <v>848300</v>
      </c>
      <c r="BQ254" s="1">
        <v>1033200</v>
      </c>
      <c r="BR254" s="1">
        <v>959000</v>
      </c>
      <c r="BS254" s="1">
        <v>1158800</v>
      </c>
      <c r="BT254" s="1">
        <v>1031000</v>
      </c>
      <c r="BU254" s="1">
        <v>1436500</v>
      </c>
      <c r="BV254" s="1">
        <v>1741300</v>
      </c>
      <c r="BW254" s="1">
        <v>2337100</v>
      </c>
      <c r="BX254" s="1">
        <v>5516300</v>
      </c>
      <c r="BY254" s="1">
        <v>1065600</v>
      </c>
      <c r="BZ254" s="1">
        <v>911800</v>
      </c>
    </row>
    <row r="255" spans="1:254">
      <c r="A255" s="394" t="s">
        <v>468</v>
      </c>
      <c r="B255" s="1" t="str">
        <f>銘柄管理!C255</f>
        <v>栗田工業</v>
      </c>
      <c r="C255" s="1">
        <f>_xll.RssMarket("6370","出来高")</f>
        <v>799900</v>
      </c>
      <c r="D255" s="82">
        <f t="shared" si="3"/>
        <v>0</v>
      </c>
      <c r="E255" s="1">
        <v>799900</v>
      </c>
      <c r="F255" s="1">
        <v>619800</v>
      </c>
      <c r="G255" s="1">
        <v>498600</v>
      </c>
      <c r="H255" s="1">
        <v>509900</v>
      </c>
      <c r="I255" s="1">
        <v>832300</v>
      </c>
      <c r="J255" s="1">
        <v>632300</v>
      </c>
      <c r="K255" s="1">
        <v>721300</v>
      </c>
      <c r="L255" s="1">
        <v>778700</v>
      </c>
      <c r="M255" s="1">
        <v>342500</v>
      </c>
      <c r="N255" s="1">
        <v>416900</v>
      </c>
      <c r="O255" s="1">
        <v>281600</v>
      </c>
      <c r="P255" s="1">
        <v>489500</v>
      </c>
      <c r="Q255" s="1">
        <v>466400</v>
      </c>
      <c r="R255" s="1">
        <v>712200</v>
      </c>
      <c r="S255" s="1">
        <v>237100</v>
      </c>
      <c r="T255" s="1">
        <v>427200</v>
      </c>
      <c r="U255" s="1">
        <v>381900</v>
      </c>
      <c r="V255" s="1">
        <v>361400</v>
      </c>
      <c r="W255" s="1">
        <v>458300</v>
      </c>
      <c r="X255" s="1">
        <v>390100</v>
      </c>
      <c r="Y255" s="1">
        <v>410000</v>
      </c>
      <c r="Z255" s="1">
        <v>451800</v>
      </c>
      <c r="AA255" s="1">
        <v>495200</v>
      </c>
      <c r="AB255" s="1">
        <v>413800</v>
      </c>
      <c r="AC255" s="1">
        <v>414800</v>
      </c>
      <c r="AD255" s="1">
        <v>507700</v>
      </c>
      <c r="AE255" s="1">
        <v>751300</v>
      </c>
      <c r="AF255" s="1">
        <v>458600</v>
      </c>
      <c r="AG255" s="1">
        <v>503000</v>
      </c>
      <c r="AH255" s="1">
        <v>337300</v>
      </c>
      <c r="AI255" s="1">
        <v>430900</v>
      </c>
      <c r="AJ255" s="1">
        <v>532200</v>
      </c>
      <c r="AK255" s="1">
        <v>684900</v>
      </c>
      <c r="AL255" s="1">
        <v>511700</v>
      </c>
      <c r="AM255" s="1">
        <v>701100</v>
      </c>
      <c r="AN255" s="1">
        <v>709000</v>
      </c>
      <c r="AO255" s="1">
        <v>498800</v>
      </c>
      <c r="AP255" s="1">
        <v>561900</v>
      </c>
      <c r="AQ255" s="1">
        <v>504000</v>
      </c>
      <c r="AR255" s="1">
        <v>368600</v>
      </c>
      <c r="AS255" s="1">
        <v>725300</v>
      </c>
      <c r="AT255" s="1">
        <v>401900</v>
      </c>
      <c r="AU255" s="1">
        <v>348100</v>
      </c>
      <c r="AV255" s="1">
        <v>502500</v>
      </c>
      <c r="AW255" s="1">
        <v>377300</v>
      </c>
      <c r="AX255" s="1">
        <v>556400</v>
      </c>
      <c r="AY255" s="1">
        <v>493800</v>
      </c>
      <c r="AZ255" s="1">
        <v>473600</v>
      </c>
      <c r="BA255" s="1">
        <v>489100</v>
      </c>
      <c r="BB255" s="1">
        <v>444600</v>
      </c>
      <c r="BC255" s="1">
        <v>492500</v>
      </c>
      <c r="BD255" s="1">
        <v>791300</v>
      </c>
      <c r="BE255" s="1">
        <v>815700</v>
      </c>
      <c r="BF255" s="1">
        <v>815800</v>
      </c>
      <c r="BG255" s="1">
        <v>1030400</v>
      </c>
      <c r="BH255" s="1">
        <v>845700</v>
      </c>
      <c r="BI255" s="1">
        <v>426700</v>
      </c>
      <c r="BJ255" s="1">
        <v>611800</v>
      </c>
      <c r="BK255" s="1">
        <v>837400</v>
      </c>
      <c r="BL255" s="1">
        <v>914000</v>
      </c>
      <c r="BM255" s="1">
        <v>795900</v>
      </c>
      <c r="BN255" s="1">
        <v>653800</v>
      </c>
      <c r="BO255" s="1">
        <v>827500</v>
      </c>
      <c r="BP255" s="1">
        <v>661400</v>
      </c>
      <c r="BQ255" s="1">
        <v>766300</v>
      </c>
      <c r="BR255" s="1">
        <v>582900</v>
      </c>
      <c r="BS255" s="1">
        <v>534400</v>
      </c>
      <c r="BT255" s="1">
        <v>577300</v>
      </c>
      <c r="BU255" s="1">
        <v>421700</v>
      </c>
      <c r="BV255" s="1">
        <v>368500</v>
      </c>
      <c r="BW255" s="1">
        <v>662400</v>
      </c>
      <c r="BX255" s="1">
        <v>566800</v>
      </c>
      <c r="BY255" s="1">
        <v>461700</v>
      </c>
      <c r="BZ255" s="1">
        <v>627200</v>
      </c>
    </row>
    <row r="256" spans="1:254">
      <c r="A256" s="394" t="s">
        <v>469</v>
      </c>
      <c r="B256" s="1" t="str">
        <f>銘柄管理!C256</f>
        <v>名村造船所</v>
      </c>
      <c r="C256" s="1">
        <f>_xll.RssMarket("7014","出来高")</f>
        <v>1063900</v>
      </c>
      <c r="D256" s="82">
        <f t="shared" si="3"/>
        <v>0</v>
      </c>
      <c r="E256" s="1">
        <v>1063900</v>
      </c>
      <c r="F256" s="1">
        <v>1044800</v>
      </c>
      <c r="G256" s="1">
        <v>1085900</v>
      </c>
      <c r="H256" s="1">
        <v>1970000</v>
      </c>
      <c r="I256" s="1">
        <v>1471400</v>
      </c>
      <c r="J256" s="1">
        <v>1116000</v>
      </c>
      <c r="K256" s="1">
        <v>1851700</v>
      </c>
      <c r="L256" s="1">
        <v>1748900</v>
      </c>
      <c r="M256" s="1">
        <v>1417500</v>
      </c>
      <c r="N256" s="1">
        <v>1717800</v>
      </c>
      <c r="O256" s="1">
        <v>1197800</v>
      </c>
      <c r="P256" s="1">
        <v>1664700</v>
      </c>
      <c r="Q256" s="1">
        <v>761700</v>
      </c>
      <c r="R256" s="1">
        <v>1395500</v>
      </c>
      <c r="S256" s="1">
        <v>1343300</v>
      </c>
      <c r="T256" s="1">
        <v>1218100</v>
      </c>
      <c r="U256" s="1">
        <v>827200</v>
      </c>
      <c r="V256" s="1">
        <v>702400</v>
      </c>
      <c r="W256" s="1">
        <v>1197500</v>
      </c>
      <c r="X256" s="1">
        <v>1629300</v>
      </c>
      <c r="Y256" s="1">
        <v>2796400</v>
      </c>
      <c r="Z256" s="1">
        <v>2436500</v>
      </c>
      <c r="AA256" s="1">
        <v>970400</v>
      </c>
      <c r="AB256" s="1">
        <v>1166500</v>
      </c>
      <c r="AC256" s="1">
        <v>775900</v>
      </c>
      <c r="AD256" s="1">
        <v>578700</v>
      </c>
      <c r="AE256" s="1">
        <v>960900</v>
      </c>
      <c r="AF256" s="1">
        <v>892100</v>
      </c>
      <c r="AG256" s="1">
        <v>420600</v>
      </c>
      <c r="AH256" s="1">
        <v>506900</v>
      </c>
      <c r="AI256" s="1">
        <v>1041100</v>
      </c>
      <c r="AJ256" s="1">
        <v>884700</v>
      </c>
      <c r="AK256" s="1">
        <v>959700</v>
      </c>
      <c r="AL256" s="1">
        <v>803900</v>
      </c>
      <c r="AM256" s="1">
        <v>1283000</v>
      </c>
      <c r="AN256" s="1">
        <v>1306100</v>
      </c>
      <c r="AO256" s="1">
        <v>1842100</v>
      </c>
      <c r="AP256" s="1">
        <v>1123200</v>
      </c>
      <c r="AQ256" s="1">
        <v>1591100</v>
      </c>
      <c r="AR256" s="1">
        <v>903000</v>
      </c>
      <c r="AS256" s="1">
        <v>1128800</v>
      </c>
      <c r="AT256" s="1">
        <v>1314900</v>
      </c>
      <c r="AU256" s="1">
        <v>1325000</v>
      </c>
      <c r="AV256" s="1">
        <v>1314400</v>
      </c>
      <c r="AW256" s="1">
        <v>1615200</v>
      </c>
      <c r="AX256" s="1">
        <v>1763900</v>
      </c>
      <c r="AY256" s="1">
        <v>1352400</v>
      </c>
      <c r="AZ256" s="1">
        <v>903400</v>
      </c>
      <c r="BA256" s="1">
        <v>1040400</v>
      </c>
      <c r="BB256" s="1">
        <v>999800</v>
      </c>
      <c r="BC256" s="1">
        <v>1049700</v>
      </c>
      <c r="BD256" s="1">
        <v>1110900</v>
      </c>
      <c r="BE256" s="1">
        <v>1733300</v>
      </c>
      <c r="BF256" s="1">
        <v>2957200</v>
      </c>
      <c r="BG256" s="1">
        <v>3007100</v>
      </c>
      <c r="BH256" s="1">
        <v>2677200</v>
      </c>
      <c r="BI256" s="1">
        <v>1590500</v>
      </c>
      <c r="BJ256" s="1">
        <v>1341800</v>
      </c>
      <c r="BK256" s="1">
        <v>1082800</v>
      </c>
      <c r="BL256" s="1">
        <v>1312000</v>
      </c>
      <c r="BM256" s="1">
        <v>1634000</v>
      </c>
      <c r="BN256" s="1">
        <v>794000</v>
      </c>
      <c r="BO256" s="1">
        <v>928100</v>
      </c>
      <c r="BP256" s="1">
        <v>924000</v>
      </c>
      <c r="BQ256" s="1">
        <v>1509300</v>
      </c>
      <c r="BR256" s="1">
        <v>1114100</v>
      </c>
      <c r="BS256" s="1">
        <v>2179100</v>
      </c>
      <c r="BT256" s="1">
        <v>3014700</v>
      </c>
      <c r="BU256" s="1">
        <v>1432800</v>
      </c>
      <c r="BV256" s="1">
        <v>1011600</v>
      </c>
      <c r="BW256" s="1">
        <v>849800</v>
      </c>
      <c r="BX256" s="1">
        <v>1421900</v>
      </c>
      <c r="BY256" s="1">
        <v>1260400</v>
      </c>
      <c r="BZ256" s="1">
        <v>779500</v>
      </c>
    </row>
    <row r="257" spans="1:254">
      <c r="A257" s="394" t="s">
        <v>470</v>
      </c>
      <c r="B257" s="1" t="str">
        <f>銘柄管理!C257</f>
        <v>イノテック</v>
      </c>
      <c r="C257" s="1">
        <f>_xll.RssMarket("9880","出来高")</f>
        <v>167800</v>
      </c>
      <c r="D257" s="82">
        <f t="shared" si="3"/>
        <v>0</v>
      </c>
      <c r="E257" s="1">
        <v>167800</v>
      </c>
      <c r="F257" s="1">
        <v>188100</v>
      </c>
      <c r="G257" s="1">
        <v>174300</v>
      </c>
      <c r="H257" s="1">
        <v>160800</v>
      </c>
      <c r="I257" s="1">
        <v>209200</v>
      </c>
      <c r="J257" s="1">
        <v>187300</v>
      </c>
      <c r="K257" s="1">
        <v>230600</v>
      </c>
      <c r="L257" s="1">
        <v>135100</v>
      </c>
      <c r="M257" s="1">
        <v>130600</v>
      </c>
      <c r="N257" s="1">
        <v>87700</v>
      </c>
      <c r="O257" s="1">
        <v>72800</v>
      </c>
      <c r="P257" s="1">
        <v>98100</v>
      </c>
      <c r="Q257" s="1">
        <v>154700</v>
      </c>
      <c r="R257" s="1">
        <v>221500</v>
      </c>
      <c r="S257" s="1">
        <v>78700</v>
      </c>
      <c r="T257" s="1">
        <v>115100</v>
      </c>
      <c r="U257" s="1">
        <v>95400</v>
      </c>
      <c r="V257" s="1">
        <v>92700</v>
      </c>
      <c r="W257" s="1">
        <v>111900</v>
      </c>
      <c r="X257" s="1">
        <v>166900</v>
      </c>
      <c r="Y257" s="1">
        <v>139500</v>
      </c>
      <c r="Z257" s="1">
        <v>83000</v>
      </c>
      <c r="AA257" s="1">
        <v>148400</v>
      </c>
      <c r="AB257" s="1">
        <v>136600</v>
      </c>
      <c r="AC257" s="1">
        <v>126700</v>
      </c>
      <c r="AD257" s="1">
        <v>136800</v>
      </c>
      <c r="AE257" s="1">
        <v>144600</v>
      </c>
      <c r="AF257" s="1">
        <v>131700</v>
      </c>
      <c r="AG257" s="1">
        <v>138300</v>
      </c>
      <c r="AH257" s="1">
        <v>99300</v>
      </c>
      <c r="AI257" s="1">
        <v>179900</v>
      </c>
      <c r="AJ257" s="1">
        <v>241500</v>
      </c>
      <c r="AK257" s="1">
        <v>135300</v>
      </c>
      <c r="AL257" s="1">
        <v>151200</v>
      </c>
      <c r="AM257" s="1">
        <v>176800</v>
      </c>
      <c r="AN257" s="1">
        <v>165600</v>
      </c>
      <c r="AO257" s="1">
        <v>154100</v>
      </c>
      <c r="AP257" s="1">
        <v>165600</v>
      </c>
      <c r="AQ257" s="1">
        <v>141400</v>
      </c>
      <c r="AR257" s="1">
        <v>134400</v>
      </c>
      <c r="AS257" s="1">
        <v>205100</v>
      </c>
      <c r="AT257" s="1">
        <v>194400</v>
      </c>
      <c r="AU257" s="1">
        <v>192800</v>
      </c>
      <c r="AV257" s="1">
        <v>213800</v>
      </c>
      <c r="AW257" s="1">
        <v>202100</v>
      </c>
      <c r="AX257" s="1">
        <v>181100</v>
      </c>
      <c r="AY257" s="1">
        <v>222600</v>
      </c>
      <c r="AZ257" s="1">
        <v>248200</v>
      </c>
      <c r="BA257" s="1">
        <v>304900</v>
      </c>
      <c r="BB257" s="1">
        <v>289800</v>
      </c>
      <c r="BC257" s="1">
        <v>370600</v>
      </c>
      <c r="BD257" s="1">
        <v>513400</v>
      </c>
      <c r="BE257" s="1">
        <v>678700</v>
      </c>
      <c r="BF257" s="1">
        <v>575900</v>
      </c>
      <c r="BG257" s="1">
        <v>809200</v>
      </c>
      <c r="BH257" s="1">
        <v>292500</v>
      </c>
      <c r="BI257" s="1">
        <v>179300</v>
      </c>
      <c r="BJ257" s="1">
        <v>310600</v>
      </c>
      <c r="BK257" s="1">
        <v>365800</v>
      </c>
      <c r="BL257" s="1">
        <v>226700</v>
      </c>
      <c r="BM257" s="1">
        <v>578800</v>
      </c>
      <c r="BN257" s="1">
        <v>130600</v>
      </c>
      <c r="BO257" s="1">
        <v>122100</v>
      </c>
      <c r="BP257" s="1">
        <v>105200</v>
      </c>
      <c r="BQ257" s="1">
        <v>148200</v>
      </c>
      <c r="BR257" s="1">
        <v>103600</v>
      </c>
      <c r="BS257" s="1">
        <v>86400</v>
      </c>
      <c r="BT257" s="1">
        <v>113300</v>
      </c>
      <c r="BU257" s="1">
        <v>86300</v>
      </c>
      <c r="BV257" s="1">
        <v>94600</v>
      </c>
      <c r="BW257" s="1">
        <v>89700</v>
      </c>
      <c r="BX257" s="1">
        <v>176900</v>
      </c>
      <c r="BY257" s="1">
        <v>315500</v>
      </c>
      <c r="BZ257" s="1">
        <v>128500</v>
      </c>
    </row>
    <row r="258" spans="1:254">
      <c r="A258" s="394" t="s">
        <v>471</v>
      </c>
      <c r="B258" s="1" t="str">
        <f>銘柄管理!C258</f>
        <v>カバー</v>
      </c>
      <c r="C258" s="1">
        <f>_xll.RssMarket("5253","出来高")</f>
        <v>987500</v>
      </c>
      <c r="D258" s="82">
        <f t="shared" si="3"/>
        <v>0</v>
      </c>
      <c r="E258" s="1">
        <v>987500</v>
      </c>
      <c r="F258" s="1">
        <v>1313000</v>
      </c>
      <c r="G258" s="1">
        <v>1050600</v>
      </c>
      <c r="H258" s="1">
        <v>1789000</v>
      </c>
      <c r="I258" s="1">
        <v>1829100</v>
      </c>
      <c r="J258" s="1">
        <v>1923600</v>
      </c>
      <c r="K258" s="1">
        <v>4186500</v>
      </c>
      <c r="L258" s="1">
        <v>5686400</v>
      </c>
      <c r="M258" s="1">
        <v>6710300</v>
      </c>
      <c r="O258" s="1">
        <v>7130600</v>
      </c>
      <c r="P258" s="1">
        <v>2059500</v>
      </c>
      <c r="Q258" s="1">
        <v>2019600</v>
      </c>
      <c r="R258" s="1">
        <v>1180600</v>
      </c>
      <c r="S258" s="1">
        <v>888800</v>
      </c>
      <c r="T258" s="1">
        <v>1105000</v>
      </c>
      <c r="U258" s="1">
        <v>1044300</v>
      </c>
      <c r="V258" s="1">
        <v>913300</v>
      </c>
      <c r="W258" s="1">
        <v>1762900</v>
      </c>
      <c r="X258" s="1">
        <v>1793500</v>
      </c>
      <c r="Y258" s="1">
        <v>1556000</v>
      </c>
      <c r="Z258" s="1">
        <v>2174600</v>
      </c>
      <c r="AA258" s="1">
        <v>2033800</v>
      </c>
      <c r="AB258" s="1">
        <v>1463500</v>
      </c>
      <c r="AC258" s="1">
        <v>880400</v>
      </c>
      <c r="AD258" s="1">
        <v>1483900</v>
      </c>
      <c r="AE258" s="1">
        <v>2234400</v>
      </c>
      <c r="AF258" s="1">
        <v>1474200</v>
      </c>
      <c r="AG258" s="1">
        <v>750300</v>
      </c>
      <c r="AH258" s="1">
        <v>1467100</v>
      </c>
      <c r="AI258" s="1">
        <v>1492300</v>
      </c>
      <c r="AJ258" s="1">
        <v>1447200</v>
      </c>
      <c r="AK258" s="1">
        <v>2579100</v>
      </c>
      <c r="AL258" s="1">
        <v>553200</v>
      </c>
      <c r="AM258" s="1">
        <v>639100</v>
      </c>
      <c r="AN258" s="1">
        <v>846500</v>
      </c>
      <c r="AO258" s="1">
        <v>841800</v>
      </c>
      <c r="AP258" s="1">
        <v>1937900</v>
      </c>
      <c r="AQ258" s="1">
        <v>1688700</v>
      </c>
      <c r="AR258" s="1">
        <v>1560300</v>
      </c>
      <c r="AS258" s="1">
        <v>913500</v>
      </c>
      <c r="AT258" s="1">
        <v>1461700</v>
      </c>
      <c r="AU258" s="1">
        <v>842800</v>
      </c>
      <c r="AV258" s="1">
        <v>1012000</v>
      </c>
      <c r="AW258" s="1">
        <v>1599500</v>
      </c>
      <c r="AX258" s="1">
        <v>1198400</v>
      </c>
      <c r="AY258" s="1">
        <v>1500000</v>
      </c>
      <c r="AZ258" s="1">
        <v>1658700</v>
      </c>
      <c r="BA258" s="1">
        <v>1873000</v>
      </c>
      <c r="BB258" s="1">
        <v>2190200</v>
      </c>
      <c r="BC258" s="1">
        <v>2305900</v>
      </c>
      <c r="BD258" s="1">
        <v>1624400</v>
      </c>
      <c r="BE258" s="1">
        <v>2444700</v>
      </c>
      <c r="BF258" s="1">
        <v>2661900</v>
      </c>
      <c r="BG258" s="1">
        <v>6319700</v>
      </c>
      <c r="BH258" s="1">
        <v>1537700</v>
      </c>
      <c r="BI258" s="1">
        <v>1169500</v>
      </c>
      <c r="BJ258" s="1">
        <v>764900</v>
      </c>
      <c r="BK258" s="1">
        <v>852700</v>
      </c>
      <c r="BL258" s="1">
        <v>759400</v>
      </c>
      <c r="BM258" s="1">
        <v>1156100</v>
      </c>
      <c r="BN258" s="1">
        <v>712100</v>
      </c>
      <c r="BO258" s="1">
        <v>520000</v>
      </c>
      <c r="BP258" s="1">
        <v>658500</v>
      </c>
      <c r="BQ258" s="1">
        <v>666200</v>
      </c>
      <c r="BR258" s="1">
        <v>676100</v>
      </c>
      <c r="BS258" s="1">
        <v>620100</v>
      </c>
      <c r="BT258" s="1">
        <v>531200</v>
      </c>
      <c r="BU258" s="1">
        <v>373500</v>
      </c>
      <c r="BV258" s="1">
        <v>609600</v>
      </c>
      <c r="BW258" s="1">
        <v>709000</v>
      </c>
      <c r="BX258" s="1">
        <v>872000</v>
      </c>
      <c r="BY258" s="1">
        <v>463700</v>
      </c>
      <c r="BZ258" s="1">
        <v>596000</v>
      </c>
    </row>
    <row r="259" spans="1:254">
      <c r="A259" s="394" t="s">
        <v>472</v>
      </c>
      <c r="B259" s="1" t="str">
        <f>銘柄管理!C259</f>
        <v>商船三井</v>
      </c>
      <c r="C259" s="1">
        <f>_xll.RssMarket("9104","出来高")</f>
        <v>2756300</v>
      </c>
      <c r="D259" s="82">
        <f t="shared" si="3"/>
        <v>0</v>
      </c>
      <c r="E259" s="1">
        <v>2756300</v>
      </c>
      <c r="F259" s="1">
        <v>3218900</v>
      </c>
      <c r="G259" s="1">
        <v>5016900</v>
      </c>
      <c r="H259" s="1">
        <v>2976000</v>
      </c>
      <c r="I259" s="1">
        <v>2683900</v>
      </c>
      <c r="J259" s="1">
        <v>1951100</v>
      </c>
      <c r="K259" s="1">
        <v>2913000</v>
      </c>
      <c r="L259" s="1">
        <v>1910600</v>
      </c>
      <c r="M259" s="1">
        <v>3032100</v>
      </c>
      <c r="N259" s="1">
        <v>1943800</v>
      </c>
      <c r="O259" s="1">
        <v>1618700</v>
      </c>
      <c r="P259" s="1">
        <v>2304900</v>
      </c>
      <c r="Q259" s="1">
        <v>1967600</v>
      </c>
      <c r="R259" s="1">
        <v>2570000</v>
      </c>
      <c r="S259" s="1">
        <v>2238300</v>
      </c>
      <c r="T259" s="1">
        <v>2358400</v>
      </c>
      <c r="U259" s="1">
        <v>1602500</v>
      </c>
      <c r="V259" s="1">
        <v>2650600</v>
      </c>
      <c r="W259" s="1">
        <v>2080700</v>
      </c>
      <c r="X259" s="1">
        <v>2819900</v>
      </c>
      <c r="Y259" s="1">
        <v>3707700</v>
      </c>
      <c r="Z259" s="1">
        <v>2442600</v>
      </c>
      <c r="AA259" s="1">
        <v>2025300</v>
      </c>
      <c r="AB259" s="1">
        <v>2629600</v>
      </c>
      <c r="AC259" s="1">
        <v>3466500</v>
      </c>
      <c r="AD259" s="1">
        <v>2545800</v>
      </c>
      <c r="AE259" s="1">
        <v>2820200</v>
      </c>
      <c r="AF259" s="1">
        <v>2617600</v>
      </c>
      <c r="AG259" s="1">
        <v>3199300</v>
      </c>
      <c r="AH259" s="1">
        <v>2223000</v>
      </c>
      <c r="AI259" s="1">
        <v>3014900</v>
      </c>
      <c r="AJ259" s="1">
        <v>2490100</v>
      </c>
      <c r="AK259" s="1">
        <v>4248600</v>
      </c>
      <c r="AL259" s="1">
        <v>3703400</v>
      </c>
      <c r="AM259" s="1">
        <v>3724500</v>
      </c>
      <c r="AN259" s="1">
        <v>3239900</v>
      </c>
      <c r="AO259" s="1">
        <v>3213300</v>
      </c>
      <c r="AP259" s="1">
        <v>2554800</v>
      </c>
      <c r="AQ259" s="1">
        <v>2397100</v>
      </c>
      <c r="AR259" s="1">
        <v>2711600</v>
      </c>
      <c r="AS259" s="1">
        <v>3257400</v>
      </c>
      <c r="AT259" s="1">
        <v>3680300</v>
      </c>
      <c r="AU259" s="1">
        <v>2829200</v>
      </c>
      <c r="AV259" s="1">
        <v>2569800</v>
      </c>
      <c r="AW259" s="1">
        <v>3334700</v>
      </c>
      <c r="AX259" s="1">
        <v>4613300</v>
      </c>
      <c r="AY259" s="1">
        <v>2584400</v>
      </c>
      <c r="AZ259" s="1">
        <v>2733700</v>
      </c>
      <c r="BA259" s="1">
        <v>3054400</v>
      </c>
      <c r="BB259" s="1">
        <v>2208700</v>
      </c>
      <c r="BC259" s="1">
        <v>2182800</v>
      </c>
      <c r="BD259" s="1">
        <v>2967900</v>
      </c>
      <c r="BE259" s="1">
        <v>2194000</v>
      </c>
      <c r="BF259" s="1">
        <v>2312700</v>
      </c>
      <c r="BG259" s="1">
        <v>2388400</v>
      </c>
      <c r="BH259" s="1">
        <v>2998100</v>
      </c>
      <c r="BI259" s="1">
        <v>2542200</v>
      </c>
      <c r="BJ259" s="1">
        <v>2624200</v>
      </c>
      <c r="BK259" s="1">
        <v>3547900</v>
      </c>
      <c r="BL259" s="1">
        <v>3681700</v>
      </c>
      <c r="BM259" s="1">
        <v>4481600</v>
      </c>
      <c r="BN259" s="1">
        <v>3181100</v>
      </c>
      <c r="BO259" s="1">
        <v>7661200</v>
      </c>
      <c r="BP259" s="1">
        <v>4200100</v>
      </c>
      <c r="BQ259" s="1">
        <v>4504600</v>
      </c>
      <c r="BR259" s="1">
        <v>2819100</v>
      </c>
      <c r="BS259" s="1">
        <v>2752600</v>
      </c>
      <c r="BT259" s="1">
        <v>2322000</v>
      </c>
      <c r="BU259" s="1">
        <v>2305800</v>
      </c>
      <c r="BV259" s="1">
        <v>3467600</v>
      </c>
      <c r="BW259" s="1">
        <v>2317900</v>
      </c>
      <c r="BX259" s="1">
        <v>3442200</v>
      </c>
      <c r="BY259" s="1">
        <v>4716800</v>
      </c>
      <c r="BZ259" s="1">
        <v>3725600</v>
      </c>
    </row>
    <row r="260" spans="1:254">
      <c r="A260" s="394" t="s">
        <v>473</v>
      </c>
      <c r="B260" s="1" t="str">
        <f>銘柄管理!C260</f>
        <v>千代田化工建</v>
      </c>
      <c r="C260" s="1">
        <f>_xll.RssMarket("6366","出来高")</f>
        <v>2401000</v>
      </c>
      <c r="D260" s="82">
        <f t="shared" si="3"/>
        <v>0</v>
      </c>
      <c r="E260" s="1">
        <v>2401000</v>
      </c>
      <c r="F260" s="1">
        <v>2387300</v>
      </c>
      <c r="G260" s="1">
        <v>2988300</v>
      </c>
      <c r="H260" s="1">
        <v>2956700</v>
      </c>
      <c r="I260" s="1">
        <v>2478000</v>
      </c>
      <c r="J260" s="1">
        <v>2245000</v>
      </c>
      <c r="K260" s="1">
        <v>5032200</v>
      </c>
      <c r="L260" s="1">
        <v>3944800</v>
      </c>
      <c r="M260" s="1">
        <v>3394000</v>
      </c>
      <c r="N260" s="1">
        <v>2560900</v>
      </c>
      <c r="O260" s="1">
        <v>1580300</v>
      </c>
      <c r="P260" s="1">
        <v>2342000</v>
      </c>
      <c r="Q260" s="1">
        <v>3286200</v>
      </c>
      <c r="R260" s="1">
        <v>4687200</v>
      </c>
      <c r="S260" s="1">
        <v>1824400</v>
      </c>
      <c r="T260" s="1">
        <v>2101800</v>
      </c>
      <c r="U260" s="1">
        <v>2908900</v>
      </c>
      <c r="V260" s="1">
        <v>2034400</v>
      </c>
      <c r="W260" s="1">
        <v>2014700</v>
      </c>
      <c r="X260" s="1">
        <v>3001000</v>
      </c>
      <c r="Y260" s="1">
        <v>4033500</v>
      </c>
      <c r="Z260" s="1">
        <v>4267400</v>
      </c>
      <c r="AA260" s="1">
        <v>3708400</v>
      </c>
      <c r="AB260" s="1">
        <v>3972700</v>
      </c>
      <c r="AC260" s="1">
        <v>3342100</v>
      </c>
      <c r="AD260" s="1">
        <v>2108000</v>
      </c>
      <c r="AE260" s="1">
        <v>3081800</v>
      </c>
      <c r="AF260" s="1">
        <v>2729600</v>
      </c>
      <c r="AG260" s="1">
        <v>3596500</v>
      </c>
      <c r="AH260" s="1">
        <v>4773700</v>
      </c>
      <c r="AI260" s="1">
        <v>2771200</v>
      </c>
      <c r="AJ260" s="1">
        <v>4536900</v>
      </c>
      <c r="AK260" s="1">
        <v>3674900</v>
      </c>
      <c r="AL260" s="1">
        <v>4742500</v>
      </c>
      <c r="AM260" s="1">
        <v>6059600</v>
      </c>
      <c r="AN260" s="1">
        <v>3773400</v>
      </c>
      <c r="AO260" s="1">
        <v>10543200</v>
      </c>
      <c r="AP260" s="1">
        <v>6198200</v>
      </c>
      <c r="AQ260" s="1">
        <v>3403200</v>
      </c>
      <c r="AR260" s="1">
        <v>4588200</v>
      </c>
      <c r="AS260" s="1">
        <v>3887800</v>
      </c>
      <c r="AT260" s="1">
        <v>3119800</v>
      </c>
      <c r="AU260" s="1">
        <v>4870800</v>
      </c>
      <c r="AV260" s="1">
        <v>4486900</v>
      </c>
      <c r="AW260" s="1">
        <v>3871000</v>
      </c>
      <c r="AX260" s="1">
        <v>5356800</v>
      </c>
      <c r="AY260" s="1">
        <v>5182000</v>
      </c>
      <c r="AZ260" s="1">
        <v>6148200</v>
      </c>
      <c r="BA260" s="1">
        <v>8265700</v>
      </c>
      <c r="BB260" s="1">
        <v>5960400</v>
      </c>
      <c r="BC260" s="1">
        <v>4243700</v>
      </c>
      <c r="BD260" s="1">
        <v>6685800</v>
      </c>
      <c r="BE260" s="1">
        <v>3519700</v>
      </c>
      <c r="BF260" s="1">
        <v>5242400</v>
      </c>
      <c r="BG260" s="1">
        <v>4850200</v>
      </c>
      <c r="BH260" s="1">
        <v>9155600</v>
      </c>
      <c r="BI260" s="1">
        <v>7739300</v>
      </c>
      <c r="BJ260" s="1">
        <v>23452600</v>
      </c>
      <c r="BK260" s="1">
        <v>7876800</v>
      </c>
      <c r="BL260" s="1">
        <v>5003100</v>
      </c>
      <c r="BM260" s="1">
        <v>4266200</v>
      </c>
      <c r="BN260" s="1">
        <v>2600400</v>
      </c>
      <c r="BO260" s="1">
        <v>3912500</v>
      </c>
      <c r="BP260" s="1">
        <v>3595300</v>
      </c>
      <c r="BQ260" s="1">
        <v>5289900</v>
      </c>
      <c r="BR260" s="1">
        <v>3957600</v>
      </c>
      <c r="BS260" s="1">
        <v>4411800</v>
      </c>
      <c r="BT260" s="1">
        <v>5195100</v>
      </c>
      <c r="BU260" s="1">
        <v>7011400</v>
      </c>
      <c r="BV260" s="1">
        <v>6931500</v>
      </c>
      <c r="BW260" s="1">
        <v>6651200</v>
      </c>
      <c r="BX260" s="1">
        <v>7639800</v>
      </c>
      <c r="BY260" s="1">
        <v>8219100</v>
      </c>
      <c r="BZ260" s="1">
        <v>7141500</v>
      </c>
    </row>
    <row r="261" spans="1:254">
      <c r="A261" s="394" t="s">
        <v>474</v>
      </c>
      <c r="B261" s="1" t="str">
        <f>銘柄管理!C261</f>
        <v>旭ダイヤモンド</v>
      </c>
      <c r="C261" s="1">
        <f>_xll.RssMarket("6140","出来高")</f>
        <v>530200</v>
      </c>
      <c r="D261" s="82">
        <f t="shared" si="3"/>
        <v>0</v>
      </c>
      <c r="E261" s="1">
        <v>530200</v>
      </c>
      <c r="F261" s="1">
        <v>825600</v>
      </c>
      <c r="G261" s="1">
        <v>445600</v>
      </c>
      <c r="H261" s="1">
        <v>430100</v>
      </c>
      <c r="I261" s="1">
        <v>681100</v>
      </c>
      <c r="J261" s="1">
        <v>476000</v>
      </c>
      <c r="K261" s="1">
        <v>876000</v>
      </c>
      <c r="L261" s="1">
        <v>764300</v>
      </c>
      <c r="M261" s="1">
        <v>456400</v>
      </c>
      <c r="O261" s="1">
        <v>332500</v>
      </c>
      <c r="P261" s="1">
        <v>457200</v>
      </c>
      <c r="Q261" s="1">
        <v>718900</v>
      </c>
      <c r="R261" s="1">
        <v>891600</v>
      </c>
      <c r="S261" s="1">
        <v>827900</v>
      </c>
      <c r="T261" s="1">
        <v>686500</v>
      </c>
      <c r="U261" s="1">
        <v>347600</v>
      </c>
      <c r="V261" s="1">
        <v>362100</v>
      </c>
      <c r="W261" s="1">
        <v>307400</v>
      </c>
      <c r="X261" s="1">
        <v>821700</v>
      </c>
      <c r="Y261" s="1">
        <v>541400</v>
      </c>
      <c r="Z261" s="1">
        <v>354700</v>
      </c>
      <c r="AA261" s="1">
        <v>468000</v>
      </c>
      <c r="AB261" s="1">
        <v>330800</v>
      </c>
      <c r="AC261" s="1">
        <v>522400</v>
      </c>
      <c r="AD261" s="1">
        <v>474000</v>
      </c>
      <c r="AE261" s="1">
        <v>668100</v>
      </c>
      <c r="AF261" s="1">
        <v>468600</v>
      </c>
      <c r="AG261" s="1">
        <v>437600</v>
      </c>
      <c r="AH261" s="1">
        <v>592600</v>
      </c>
      <c r="AI261" s="1">
        <v>854700</v>
      </c>
      <c r="AJ261" s="1">
        <v>590300</v>
      </c>
      <c r="AK261" s="1">
        <v>563700</v>
      </c>
      <c r="AL261" s="1">
        <v>498300</v>
      </c>
      <c r="AM261" s="1">
        <v>524100</v>
      </c>
      <c r="AN261" s="1">
        <v>500400</v>
      </c>
      <c r="AO261" s="1">
        <v>650500</v>
      </c>
      <c r="AP261" s="1">
        <v>479300</v>
      </c>
      <c r="AQ261" s="1">
        <v>539100</v>
      </c>
      <c r="AR261" s="1">
        <v>640100</v>
      </c>
      <c r="AS261" s="1">
        <v>744700</v>
      </c>
      <c r="AT261" s="1">
        <v>606900</v>
      </c>
      <c r="AU261" s="1">
        <v>413600</v>
      </c>
      <c r="AV261" s="1">
        <v>558100</v>
      </c>
      <c r="AW261" s="1">
        <v>781500</v>
      </c>
      <c r="AX261" s="1">
        <v>653500</v>
      </c>
      <c r="AY261" s="1">
        <v>861200</v>
      </c>
      <c r="AZ261" s="1">
        <v>1000500</v>
      </c>
      <c r="BA261" s="1">
        <v>855800</v>
      </c>
      <c r="BB261" s="1">
        <v>1172400</v>
      </c>
      <c r="BC261" s="1">
        <v>704400</v>
      </c>
      <c r="BD261" s="1">
        <v>848900</v>
      </c>
      <c r="BE261" s="1">
        <v>1253300</v>
      </c>
      <c r="BF261" s="1">
        <v>1618700</v>
      </c>
      <c r="BG261" s="1">
        <v>1384200</v>
      </c>
      <c r="BH261" s="1">
        <v>1036700</v>
      </c>
      <c r="BI261" s="1">
        <v>1266000</v>
      </c>
      <c r="BJ261" s="1">
        <v>1239600</v>
      </c>
      <c r="BK261" s="1">
        <v>901200</v>
      </c>
      <c r="BL261" s="1">
        <v>951100</v>
      </c>
      <c r="BM261" s="1">
        <v>963300</v>
      </c>
      <c r="BN261" s="1">
        <v>643700</v>
      </c>
      <c r="BO261" s="1">
        <v>758100</v>
      </c>
      <c r="BP261" s="1">
        <v>725100</v>
      </c>
      <c r="BQ261" s="1">
        <v>1009100</v>
      </c>
      <c r="BR261" s="1">
        <v>2147000</v>
      </c>
      <c r="BS261" s="1">
        <v>1437400</v>
      </c>
      <c r="BT261" s="1">
        <v>1531600</v>
      </c>
      <c r="BU261" s="1">
        <v>2301500</v>
      </c>
      <c r="BV261" s="1">
        <v>6632400</v>
      </c>
      <c r="BW261" s="1">
        <v>6091500</v>
      </c>
      <c r="BX261" s="1">
        <v>714800</v>
      </c>
      <c r="BY261" s="1">
        <v>870000</v>
      </c>
      <c r="BZ261" s="1">
        <v>657200</v>
      </c>
    </row>
    <row r="262" spans="1:254">
      <c r="A262" s="394" t="s">
        <v>475</v>
      </c>
      <c r="B262" s="1" t="str">
        <f>銘柄管理!C262</f>
        <v>住石ホールディングス</v>
      </c>
      <c r="C262" s="1">
        <f>_xll.RssMarket("1514","出来高")</f>
        <v>284900</v>
      </c>
      <c r="D262" s="82">
        <f t="shared" ref="D262:D304" si="4">C262-E262</f>
        <v>0</v>
      </c>
      <c r="E262" s="1">
        <v>284900</v>
      </c>
      <c r="F262" s="1">
        <v>278700</v>
      </c>
      <c r="G262" s="1">
        <v>392000</v>
      </c>
      <c r="H262" s="1">
        <v>444500</v>
      </c>
      <c r="I262" s="1">
        <v>224300</v>
      </c>
      <c r="J262" s="1">
        <v>203500</v>
      </c>
      <c r="K262" s="1">
        <v>264200</v>
      </c>
      <c r="L262" s="1">
        <v>233500</v>
      </c>
      <c r="M262" s="1">
        <v>242700</v>
      </c>
      <c r="N262" s="1">
        <v>230000</v>
      </c>
      <c r="O262" s="1">
        <v>230800</v>
      </c>
      <c r="P262" s="1">
        <v>323200</v>
      </c>
      <c r="Q262" s="1">
        <v>284200</v>
      </c>
      <c r="R262" s="1">
        <v>416400</v>
      </c>
      <c r="S262" s="1">
        <v>272100</v>
      </c>
      <c r="T262" s="1">
        <v>331700</v>
      </c>
      <c r="U262" s="1">
        <v>281600</v>
      </c>
      <c r="V262" s="1">
        <v>290900</v>
      </c>
      <c r="W262" s="1">
        <v>260000</v>
      </c>
      <c r="X262" s="1">
        <v>230200</v>
      </c>
      <c r="Y262" s="1">
        <v>540100</v>
      </c>
      <c r="Z262" s="1">
        <v>560100</v>
      </c>
      <c r="AA262" s="1">
        <v>302800</v>
      </c>
      <c r="AB262" s="1">
        <v>341600</v>
      </c>
      <c r="AC262" s="1">
        <v>203700</v>
      </c>
      <c r="AD262" s="1">
        <v>277600</v>
      </c>
      <c r="AE262" s="1">
        <v>295100</v>
      </c>
      <c r="AF262" s="1">
        <v>218600</v>
      </c>
      <c r="AG262" s="1">
        <v>287800</v>
      </c>
      <c r="AH262" s="1">
        <v>250400</v>
      </c>
      <c r="AI262" s="1">
        <v>398700</v>
      </c>
      <c r="AJ262" s="1">
        <v>575900</v>
      </c>
      <c r="AK262" s="1">
        <v>529100</v>
      </c>
      <c r="AL262" s="1">
        <v>527200</v>
      </c>
      <c r="AM262" s="1">
        <v>445300</v>
      </c>
      <c r="AN262" s="1">
        <v>202400</v>
      </c>
      <c r="AO262" s="1">
        <v>292500</v>
      </c>
      <c r="AP262" s="1">
        <v>260900</v>
      </c>
      <c r="AQ262" s="1">
        <v>280000</v>
      </c>
      <c r="AR262" s="1">
        <v>316200</v>
      </c>
      <c r="AS262" s="1">
        <v>418900</v>
      </c>
      <c r="AT262" s="1">
        <v>522600</v>
      </c>
      <c r="AU262" s="1">
        <v>441900</v>
      </c>
      <c r="AV262" s="1">
        <v>332800</v>
      </c>
      <c r="AW262" s="1">
        <v>433500</v>
      </c>
      <c r="AX262" s="1">
        <v>394800</v>
      </c>
      <c r="AY262" s="1">
        <v>541100</v>
      </c>
      <c r="AZ262" s="1">
        <v>658900</v>
      </c>
      <c r="BA262" s="1">
        <v>704600</v>
      </c>
      <c r="BB262" s="1">
        <v>505600</v>
      </c>
      <c r="BC262" s="1">
        <v>598100</v>
      </c>
      <c r="BD262" s="1">
        <v>858000</v>
      </c>
      <c r="BE262" s="1">
        <v>603000</v>
      </c>
      <c r="BF262" s="1">
        <v>1650800</v>
      </c>
      <c r="BG262" s="1">
        <v>520300</v>
      </c>
      <c r="BH262" s="1">
        <v>555600</v>
      </c>
      <c r="BI262" s="1">
        <v>376900</v>
      </c>
      <c r="BJ262" s="1">
        <v>504600</v>
      </c>
      <c r="BK262" s="1">
        <v>448700</v>
      </c>
      <c r="BL262" s="1">
        <v>428300</v>
      </c>
      <c r="BM262" s="1">
        <v>555600</v>
      </c>
      <c r="BN262" s="1">
        <v>476200</v>
      </c>
      <c r="BO262" s="1">
        <v>530800</v>
      </c>
      <c r="BP262" s="1">
        <v>407500</v>
      </c>
      <c r="BQ262" s="1">
        <v>673100</v>
      </c>
      <c r="BR262" s="1">
        <v>796400</v>
      </c>
      <c r="BS262" s="1">
        <v>1209800</v>
      </c>
      <c r="BT262" s="1">
        <v>994300</v>
      </c>
      <c r="BU262" s="1">
        <v>637900</v>
      </c>
      <c r="BV262" s="1">
        <v>1601200</v>
      </c>
      <c r="BW262" s="1">
        <v>962100</v>
      </c>
      <c r="BX262" s="1">
        <v>2748900</v>
      </c>
      <c r="BY262" s="1">
        <v>708700</v>
      </c>
      <c r="BZ262" s="1">
        <v>837300</v>
      </c>
    </row>
    <row r="263" spans="1:254">
      <c r="A263" s="394" t="s">
        <v>476</v>
      </c>
      <c r="B263" s="1" t="str">
        <f>銘柄管理!C263</f>
        <v>日本製鋼所</v>
      </c>
      <c r="C263" s="1">
        <f>_xll.RssMarket("5631","出来高")</f>
        <v>579400</v>
      </c>
      <c r="D263" s="82">
        <f t="shared" si="4"/>
        <v>0</v>
      </c>
      <c r="E263" s="1">
        <v>579400</v>
      </c>
      <c r="F263" s="1">
        <v>813000</v>
      </c>
      <c r="G263" s="1">
        <v>1289500</v>
      </c>
      <c r="H263" s="1">
        <v>1266700</v>
      </c>
      <c r="I263" s="1">
        <v>755000</v>
      </c>
      <c r="J263" s="1">
        <v>637900</v>
      </c>
      <c r="K263" s="1">
        <v>1107800</v>
      </c>
      <c r="L263" s="1">
        <v>601800</v>
      </c>
      <c r="M263" s="1">
        <v>592600</v>
      </c>
      <c r="N263" s="1">
        <v>529800</v>
      </c>
      <c r="O263" s="1">
        <v>923100</v>
      </c>
      <c r="P263" s="1">
        <v>669000</v>
      </c>
      <c r="Q263" s="1">
        <v>773600</v>
      </c>
      <c r="R263" s="1">
        <v>1305400</v>
      </c>
      <c r="S263" s="1">
        <v>632600</v>
      </c>
      <c r="T263" s="1">
        <v>1113500</v>
      </c>
      <c r="U263" s="1">
        <v>755800</v>
      </c>
      <c r="V263" s="1">
        <v>835600</v>
      </c>
      <c r="W263" s="1">
        <v>908300</v>
      </c>
      <c r="X263" s="1">
        <v>1644600</v>
      </c>
      <c r="Y263" s="1">
        <v>957700</v>
      </c>
      <c r="Z263" s="1">
        <v>1454000</v>
      </c>
      <c r="AA263" s="1">
        <v>761700</v>
      </c>
      <c r="AB263" s="1">
        <v>829200</v>
      </c>
      <c r="AC263" s="1">
        <v>1053900</v>
      </c>
      <c r="AD263" s="1">
        <v>692500</v>
      </c>
      <c r="AE263" s="1">
        <v>870100</v>
      </c>
      <c r="AF263" s="1">
        <v>925300</v>
      </c>
      <c r="AG263" s="1">
        <v>1062300</v>
      </c>
      <c r="AH263" s="1">
        <v>1275200</v>
      </c>
      <c r="AI263" s="1">
        <v>749200</v>
      </c>
      <c r="AJ263" s="1">
        <v>730500</v>
      </c>
      <c r="AK263" s="1">
        <v>1411100</v>
      </c>
      <c r="AL263" s="1">
        <v>1000800</v>
      </c>
      <c r="AM263" s="1">
        <v>1676600</v>
      </c>
      <c r="AN263" s="1">
        <v>731700</v>
      </c>
      <c r="AO263" s="1">
        <v>913600</v>
      </c>
      <c r="AP263" s="1">
        <v>1130800</v>
      </c>
      <c r="AQ263" s="1">
        <v>1364000</v>
      </c>
      <c r="AR263" s="1">
        <v>810600</v>
      </c>
      <c r="AS263" s="1">
        <v>1267800</v>
      </c>
      <c r="AT263" s="1">
        <v>2113400</v>
      </c>
      <c r="AU263" s="1">
        <v>787700</v>
      </c>
      <c r="AV263" s="1">
        <v>861300</v>
      </c>
      <c r="AW263" s="1">
        <v>1142900</v>
      </c>
      <c r="AX263" s="1">
        <v>1344900</v>
      </c>
      <c r="AY263" s="1">
        <v>1101300</v>
      </c>
      <c r="AZ263" s="1">
        <v>1042700</v>
      </c>
      <c r="BA263" s="1">
        <v>765800</v>
      </c>
      <c r="BB263" s="1">
        <v>1052100</v>
      </c>
      <c r="BC263" s="1">
        <v>1611100</v>
      </c>
      <c r="BD263" s="1">
        <v>1624600</v>
      </c>
      <c r="BE263" s="1">
        <v>1521200</v>
      </c>
      <c r="BF263" s="1">
        <v>1217400</v>
      </c>
      <c r="BG263" s="1">
        <v>1557000</v>
      </c>
      <c r="BH263" s="1">
        <v>2817500</v>
      </c>
      <c r="BI263" s="1">
        <v>1064500</v>
      </c>
      <c r="BJ263" s="1">
        <v>1029200</v>
      </c>
      <c r="BK263" s="1">
        <v>977100</v>
      </c>
      <c r="BL263" s="1">
        <v>1299400</v>
      </c>
      <c r="BM263" s="1">
        <v>888700</v>
      </c>
      <c r="BN263" s="1">
        <v>946400</v>
      </c>
      <c r="BO263" s="1">
        <v>709100</v>
      </c>
      <c r="BP263" s="1">
        <v>554100</v>
      </c>
      <c r="BQ263" s="1">
        <v>714100</v>
      </c>
      <c r="BR263" s="1">
        <v>1211600</v>
      </c>
      <c r="BS263" s="1">
        <v>1134800</v>
      </c>
      <c r="BT263" s="1">
        <v>892700</v>
      </c>
      <c r="BU263" s="1">
        <v>1240800</v>
      </c>
      <c r="BV263" s="1">
        <v>571100</v>
      </c>
      <c r="BW263" s="1">
        <v>686600</v>
      </c>
      <c r="BX263" s="1">
        <v>763500</v>
      </c>
      <c r="BY263" s="1">
        <v>1564600</v>
      </c>
      <c r="BZ263" s="1">
        <v>604400</v>
      </c>
    </row>
    <row r="264" spans="1:254">
      <c r="A264" s="394" t="s">
        <v>477</v>
      </c>
      <c r="B264" s="1" t="str">
        <f>銘柄管理!C264</f>
        <v>ジーエス・ユアサコーポ</v>
      </c>
      <c r="C264" s="1">
        <f>_xll.RssMarket("6674","出来高")</f>
        <v>2121700</v>
      </c>
      <c r="D264" s="82">
        <f t="shared" si="4"/>
        <v>0</v>
      </c>
      <c r="E264" s="1">
        <v>2121700</v>
      </c>
      <c r="F264" s="1">
        <v>4140600</v>
      </c>
      <c r="G264" s="1">
        <v>739400</v>
      </c>
      <c r="H264" s="1">
        <v>659700</v>
      </c>
      <c r="I264" s="1">
        <v>768400</v>
      </c>
      <c r="J264" s="1">
        <v>896100</v>
      </c>
      <c r="K264" s="1">
        <v>1026800</v>
      </c>
      <c r="L264" s="1">
        <v>942600</v>
      </c>
      <c r="M264" s="1">
        <v>683400</v>
      </c>
      <c r="N264" s="1">
        <v>632300</v>
      </c>
      <c r="O264" s="1">
        <v>786500</v>
      </c>
      <c r="P264" s="1">
        <v>1114400</v>
      </c>
      <c r="Q264" s="1">
        <v>865600</v>
      </c>
      <c r="R264" s="1">
        <v>923800</v>
      </c>
      <c r="S264" s="1">
        <v>798600</v>
      </c>
      <c r="T264" s="1">
        <v>824700</v>
      </c>
      <c r="U264" s="1">
        <v>756300</v>
      </c>
      <c r="V264" s="1">
        <v>551800</v>
      </c>
      <c r="W264" s="1">
        <v>689600</v>
      </c>
      <c r="X264" s="1">
        <v>846000</v>
      </c>
      <c r="Y264" s="1">
        <v>693900</v>
      </c>
      <c r="Z264" s="1">
        <v>728200</v>
      </c>
      <c r="AA264" s="1">
        <v>587000</v>
      </c>
      <c r="AB264" s="1">
        <v>742000</v>
      </c>
      <c r="AC264" s="1">
        <v>762300</v>
      </c>
      <c r="AD264" s="1">
        <v>1157700</v>
      </c>
      <c r="AE264" s="1">
        <v>832800</v>
      </c>
      <c r="AF264" s="1">
        <v>938200</v>
      </c>
      <c r="AG264" s="1">
        <v>715600</v>
      </c>
      <c r="AH264" s="1">
        <v>699700</v>
      </c>
      <c r="AI264" s="1">
        <v>669600</v>
      </c>
      <c r="AJ264" s="1">
        <v>1647300</v>
      </c>
      <c r="AK264" s="1">
        <v>1210900</v>
      </c>
      <c r="AL264" s="1">
        <v>619300</v>
      </c>
      <c r="AM264" s="1">
        <v>766500</v>
      </c>
      <c r="AN264" s="1">
        <v>802200</v>
      </c>
      <c r="AO264" s="1">
        <v>784500</v>
      </c>
      <c r="AP264" s="1">
        <v>891800</v>
      </c>
      <c r="AQ264" s="1">
        <v>733900</v>
      </c>
      <c r="AR264" s="1">
        <v>979000</v>
      </c>
      <c r="AS264" s="1">
        <v>1202100</v>
      </c>
      <c r="AT264" s="1">
        <v>981600</v>
      </c>
      <c r="AU264" s="1">
        <v>1541300</v>
      </c>
      <c r="AV264" s="1">
        <v>1825100</v>
      </c>
      <c r="AW264" s="1">
        <v>1817000</v>
      </c>
      <c r="AX264" s="1">
        <v>977000</v>
      </c>
      <c r="AY264" s="1">
        <v>733700</v>
      </c>
      <c r="AZ264" s="1">
        <v>736500</v>
      </c>
      <c r="BA264" s="1">
        <v>506600</v>
      </c>
      <c r="BB264" s="1">
        <v>738900</v>
      </c>
      <c r="BC264" s="1">
        <v>759500</v>
      </c>
      <c r="BD264" s="1">
        <v>800700</v>
      </c>
      <c r="BE264" s="1">
        <v>787000</v>
      </c>
      <c r="BF264" s="1">
        <v>880500</v>
      </c>
      <c r="BG264" s="1">
        <v>1301000</v>
      </c>
      <c r="BH264" s="1">
        <v>1883500</v>
      </c>
      <c r="BI264" s="1">
        <v>2288300</v>
      </c>
      <c r="BJ264" s="1">
        <v>1017100</v>
      </c>
      <c r="BK264" s="1">
        <v>1039500</v>
      </c>
      <c r="BL264" s="1">
        <v>959200</v>
      </c>
      <c r="BM264" s="1">
        <v>1308400</v>
      </c>
      <c r="BN264" s="1">
        <v>905900</v>
      </c>
      <c r="BO264" s="1">
        <v>1050300</v>
      </c>
      <c r="BP264" s="1">
        <v>963300</v>
      </c>
      <c r="BQ264" s="1">
        <v>965100</v>
      </c>
      <c r="BR264" s="1">
        <v>1113900</v>
      </c>
      <c r="BS264" s="1">
        <v>1317700</v>
      </c>
      <c r="BT264" s="1">
        <v>1334900</v>
      </c>
      <c r="BU264" s="1">
        <v>1483500</v>
      </c>
      <c r="BV264" s="1">
        <v>1012600</v>
      </c>
      <c r="BW264" s="1">
        <v>962700</v>
      </c>
      <c r="BX264" s="1">
        <v>971500</v>
      </c>
      <c r="BY264" s="1">
        <v>1143800</v>
      </c>
      <c r="BZ264" s="1">
        <v>860300</v>
      </c>
    </row>
    <row r="265" spans="1:254">
      <c r="A265" s="394" t="s">
        <v>478</v>
      </c>
      <c r="B265" s="1" t="str">
        <f>銘柄管理!C265</f>
        <v>ＦＤＫ</v>
      </c>
      <c r="C265" s="1">
        <f>_xll.RssMarket("6955","出来高")</f>
        <v>101600</v>
      </c>
      <c r="D265" s="82">
        <f t="shared" si="4"/>
        <v>0</v>
      </c>
      <c r="E265" s="1">
        <v>101600</v>
      </c>
      <c r="F265" s="1">
        <v>80900</v>
      </c>
      <c r="G265" s="1">
        <v>91300</v>
      </c>
      <c r="H265" s="1">
        <v>141500</v>
      </c>
      <c r="I265" s="1">
        <v>306400</v>
      </c>
      <c r="J265" s="1">
        <v>217900</v>
      </c>
      <c r="K265" s="1">
        <v>209000</v>
      </c>
      <c r="L265" s="1">
        <v>178700</v>
      </c>
      <c r="M265" s="1">
        <v>114200</v>
      </c>
      <c r="O265" s="1">
        <v>105000</v>
      </c>
      <c r="P265" s="1">
        <v>130200</v>
      </c>
      <c r="Q265" s="1">
        <v>91700</v>
      </c>
      <c r="R265" s="1">
        <v>274900</v>
      </c>
      <c r="S265" s="1">
        <v>74500</v>
      </c>
      <c r="T265" s="1">
        <v>123300</v>
      </c>
      <c r="U265" s="1">
        <v>86400</v>
      </c>
      <c r="V265" s="1">
        <v>123000</v>
      </c>
      <c r="W265" s="1">
        <v>78200</v>
      </c>
      <c r="X265" s="1">
        <v>163400</v>
      </c>
      <c r="Y265" s="1">
        <v>142500</v>
      </c>
      <c r="Z265" s="1">
        <v>300700</v>
      </c>
      <c r="AA265" s="1">
        <v>174300</v>
      </c>
      <c r="AB265" s="1">
        <v>161700</v>
      </c>
      <c r="AC265" s="1">
        <v>85000</v>
      </c>
      <c r="AD265" s="1">
        <v>194700</v>
      </c>
      <c r="AE265" s="1">
        <v>114300</v>
      </c>
      <c r="AF265" s="1">
        <v>193200</v>
      </c>
      <c r="AG265" s="1">
        <v>137500</v>
      </c>
      <c r="AH265" s="1">
        <v>179600</v>
      </c>
      <c r="AI265" s="1">
        <v>466100</v>
      </c>
      <c r="AJ265" s="1">
        <v>427700</v>
      </c>
      <c r="AK265" s="1">
        <v>184000</v>
      </c>
      <c r="AL265" s="1">
        <v>227800</v>
      </c>
      <c r="AM265" s="1">
        <v>397100</v>
      </c>
      <c r="AN265" s="1">
        <v>438000</v>
      </c>
      <c r="AO265" s="1">
        <v>394700</v>
      </c>
      <c r="AP265" s="1">
        <v>391700</v>
      </c>
      <c r="AQ265" s="1">
        <v>407300</v>
      </c>
      <c r="AR265" s="1">
        <v>1225900</v>
      </c>
      <c r="AS265" s="1">
        <v>4575900</v>
      </c>
      <c r="AT265" s="1">
        <v>979300</v>
      </c>
      <c r="AU265" s="1">
        <v>1712300</v>
      </c>
      <c r="AV265" s="1">
        <v>1925800</v>
      </c>
      <c r="AW265" s="1">
        <v>625300</v>
      </c>
      <c r="AX265" s="1">
        <v>133500</v>
      </c>
      <c r="AY265" s="1">
        <v>178600</v>
      </c>
      <c r="AZ265" s="1">
        <v>95000</v>
      </c>
      <c r="BA265" s="1">
        <v>71300</v>
      </c>
      <c r="BB265" s="1">
        <v>48000</v>
      </c>
      <c r="BC265" s="1">
        <v>46200</v>
      </c>
      <c r="BD265" s="1">
        <v>68100</v>
      </c>
      <c r="BE265" s="1">
        <v>36300</v>
      </c>
      <c r="BF265" s="1">
        <v>40300</v>
      </c>
      <c r="BG265" s="1">
        <v>78800</v>
      </c>
      <c r="BH265" s="1">
        <v>60900</v>
      </c>
      <c r="BI265" s="1">
        <v>33100</v>
      </c>
      <c r="BJ265" s="1">
        <v>55200</v>
      </c>
      <c r="BK265" s="1">
        <v>186800</v>
      </c>
      <c r="BL265" s="1">
        <v>209000</v>
      </c>
      <c r="BM265" s="1">
        <v>298400</v>
      </c>
      <c r="BN265" s="1">
        <v>45000</v>
      </c>
      <c r="BO265" s="1">
        <v>243900</v>
      </c>
      <c r="BP265" s="1">
        <v>57500</v>
      </c>
      <c r="BQ265" s="1">
        <v>69100</v>
      </c>
      <c r="BR265" s="1">
        <v>32900</v>
      </c>
      <c r="BS265" s="1">
        <v>91500</v>
      </c>
      <c r="BT265" s="1">
        <v>51900</v>
      </c>
      <c r="BU265" s="1">
        <v>77200</v>
      </c>
      <c r="BV265" s="1">
        <v>60700</v>
      </c>
      <c r="BW265" s="1">
        <v>83600</v>
      </c>
      <c r="BX265" s="1">
        <v>77100</v>
      </c>
      <c r="BY265" s="1">
        <v>109700</v>
      </c>
      <c r="BZ265" s="1">
        <v>73800</v>
      </c>
    </row>
    <row r="266" spans="1:254">
      <c r="A266" s="394" t="s">
        <v>479</v>
      </c>
      <c r="B266" s="1" t="str">
        <f>銘柄管理!C266</f>
        <v>インフォメティス</v>
      </c>
      <c r="C266" s="1">
        <f>_xll.RssMarket("281A","出来高")</f>
        <v>76700</v>
      </c>
      <c r="D266" s="82">
        <f t="shared" si="4"/>
        <v>0</v>
      </c>
      <c r="E266" s="1">
        <v>76700</v>
      </c>
      <c r="F266" s="1">
        <v>72500</v>
      </c>
      <c r="G266" s="1">
        <v>122900</v>
      </c>
      <c r="H266" s="1">
        <v>134500</v>
      </c>
      <c r="I266" s="1">
        <v>81200</v>
      </c>
      <c r="J266" s="1">
        <v>78200</v>
      </c>
      <c r="K266" s="1">
        <v>145200</v>
      </c>
      <c r="L266" s="1">
        <v>203300</v>
      </c>
      <c r="M266" s="1">
        <v>101600</v>
      </c>
      <c r="N266" s="1">
        <v>1225500</v>
      </c>
      <c r="O266" s="1">
        <v>53400</v>
      </c>
      <c r="P266" s="1">
        <v>115000</v>
      </c>
      <c r="Q266" s="1">
        <v>96500</v>
      </c>
      <c r="R266" s="1">
        <v>287400</v>
      </c>
      <c r="S266" s="1">
        <v>175000</v>
      </c>
      <c r="T266" s="1">
        <v>220900</v>
      </c>
      <c r="U266" s="1">
        <v>148400</v>
      </c>
      <c r="V266" s="1">
        <v>418800</v>
      </c>
      <c r="W266" s="1">
        <v>683200</v>
      </c>
      <c r="X266" s="1">
        <v>30100</v>
      </c>
      <c r="Y266" s="1">
        <v>183000</v>
      </c>
      <c r="Z266" s="1">
        <v>262900</v>
      </c>
      <c r="AA266" s="1">
        <v>193100</v>
      </c>
      <c r="AB266" s="1">
        <v>1009300</v>
      </c>
      <c r="AC266" s="1">
        <v>303000</v>
      </c>
      <c r="AD266" s="1">
        <v>293700</v>
      </c>
      <c r="AE266" s="1">
        <v>556100</v>
      </c>
      <c r="AF266" s="1">
        <v>473700</v>
      </c>
      <c r="AG266" s="1">
        <v>2230500</v>
      </c>
      <c r="AH266" s="1">
        <v>475900</v>
      </c>
      <c r="AI266" s="1">
        <v>1037800</v>
      </c>
      <c r="AJ266" s="1">
        <v>300900</v>
      </c>
      <c r="AK266" s="1">
        <v>352000</v>
      </c>
      <c r="AL266" s="1">
        <v>439900</v>
      </c>
      <c r="AM266" s="1">
        <v>614500</v>
      </c>
      <c r="AN266" s="1">
        <v>3411400</v>
      </c>
      <c r="AO266" s="1">
        <v>27200</v>
      </c>
      <c r="AP266" s="1">
        <v>212900</v>
      </c>
      <c r="AQ266" s="1">
        <v>227200</v>
      </c>
      <c r="AR266" s="1">
        <v>246100</v>
      </c>
      <c r="AS266" s="1">
        <v>306400</v>
      </c>
      <c r="AT266" s="1">
        <v>437800</v>
      </c>
      <c r="AU266" s="1">
        <v>273100</v>
      </c>
      <c r="AV266" s="1">
        <v>265100</v>
      </c>
      <c r="AW266" s="1">
        <v>519300</v>
      </c>
      <c r="AX266" s="1">
        <v>510200</v>
      </c>
      <c r="AY266" s="1">
        <v>477700</v>
      </c>
      <c r="AZ266" s="1">
        <v>717900</v>
      </c>
      <c r="BA266" s="1">
        <v>1158600</v>
      </c>
      <c r="BB266" s="1">
        <v>556100</v>
      </c>
      <c r="BC266" s="1">
        <v>568900</v>
      </c>
      <c r="BD266" s="1">
        <v>662600</v>
      </c>
      <c r="BE266" s="1">
        <v>1884700</v>
      </c>
      <c r="BF266" s="1">
        <v>933800</v>
      </c>
      <c r="BG266" s="1">
        <v>831600</v>
      </c>
      <c r="BH266" s="1">
        <v>354100</v>
      </c>
      <c r="BI266" s="1">
        <v>375600</v>
      </c>
      <c r="BJ266" s="1">
        <v>1037400</v>
      </c>
      <c r="BK266" s="1">
        <v>575900</v>
      </c>
      <c r="BL266" s="1">
        <v>614300</v>
      </c>
      <c r="BM266" s="1">
        <v>552000</v>
      </c>
      <c r="BN266" s="1">
        <v>570100</v>
      </c>
      <c r="BO266" s="1">
        <v>350400</v>
      </c>
      <c r="BP266" s="1">
        <v>467900</v>
      </c>
      <c r="BQ266" s="1">
        <v>1207800</v>
      </c>
      <c r="BR266" s="1">
        <v>656900</v>
      </c>
      <c r="BS266" s="1">
        <v>781200</v>
      </c>
      <c r="BT266" s="1">
        <v>1310100</v>
      </c>
      <c r="BU266" s="1">
        <v>2374900</v>
      </c>
      <c r="BV266" s="1">
        <v>2644500</v>
      </c>
      <c r="BW266" s="1">
        <v>3003900</v>
      </c>
      <c r="BX266" s="1">
        <v>3726700</v>
      </c>
      <c r="BY266" s="1">
        <v>6250000</v>
      </c>
      <c r="BZ266" s="1">
        <v>5625300</v>
      </c>
    </row>
    <row r="267" spans="1:254">
      <c r="A267" s="394" t="s">
        <v>480</v>
      </c>
      <c r="B267" s="1" t="str">
        <f>銘柄管理!C267</f>
        <v>日本ギア工業</v>
      </c>
      <c r="C267" s="1">
        <f>_xll.RssMarket("6356","出来高")</f>
        <v>79900</v>
      </c>
      <c r="D267" s="82">
        <f t="shared" si="4"/>
        <v>0</v>
      </c>
      <c r="E267" s="1">
        <v>79900</v>
      </c>
      <c r="F267" s="1">
        <v>88200</v>
      </c>
      <c r="G267" s="1">
        <v>89000</v>
      </c>
      <c r="H267" s="1">
        <v>82600</v>
      </c>
      <c r="I267" s="1">
        <v>439400</v>
      </c>
      <c r="J267" s="1">
        <v>134300</v>
      </c>
      <c r="K267" s="1">
        <v>163800</v>
      </c>
      <c r="L267" s="1">
        <v>158000</v>
      </c>
      <c r="M267" s="1">
        <v>195400</v>
      </c>
      <c r="N267" s="1">
        <v>164600</v>
      </c>
      <c r="O267" s="1">
        <v>84400</v>
      </c>
      <c r="P267" s="1">
        <v>182000</v>
      </c>
      <c r="Q267" s="1">
        <v>391900</v>
      </c>
      <c r="R267" s="1">
        <v>360300</v>
      </c>
      <c r="S267" s="1">
        <v>135100</v>
      </c>
      <c r="T267" s="1">
        <v>273600</v>
      </c>
      <c r="U267" s="1">
        <v>235600</v>
      </c>
      <c r="V267" s="1">
        <v>244500</v>
      </c>
      <c r="W267" s="1">
        <v>620000</v>
      </c>
      <c r="X267" s="1">
        <v>369500</v>
      </c>
      <c r="Y267" s="1">
        <v>454800</v>
      </c>
      <c r="Z267" s="1">
        <v>903600</v>
      </c>
      <c r="AA267" s="1">
        <v>487000</v>
      </c>
      <c r="AB267" s="1">
        <v>261500</v>
      </c>
      <c r="AC267" s="1">
        <v>111200</v>
      </c>
      <c r="AD267" s="1">
        <v>130500</v>
      </c>
      <c r="AE267" s="1">
        <v>273500</v>
      </c>
      <c r="AF267" s="1">
        <v>140100</v>
      </c>
      <c r="AG267" s="1">
        <v>182500</v>
      </c>
      <c r="AH267" s="1">
        <v>299600</v>
      </c>
      <c r="AI267" s="1">
        <v>303700</v>
      </c>
      <c r="AJ267" s="1">
        <v>282800</v>
      </c>
      <c r="AK267" s="1">
        <v>261300</v>
      </c>
      <c r="AL267" s="1">
        <v>362700</v>
      </c>
      <c r="AM267" s="1">
        <v>1265900</v>
      </c>
      <c r="AN267" s="1">
        <v>198600</v>
      </c>
      <c r="AO267" s="1">
        <v>174400</v>
      </c>
      <c r="AP267" s="1">
        <v>284300</v>
      </c>
      <c r="AQ267" s="1">
        <v>265400</v>
      </c>
      <c r="AR267" s="1">
        <v>288100</v>
      </c>
      <c r="AS267" s="1">
        <v>467300</v>
      </c>
      <c r="AT267" s="1">
        <v>421800</v>
      </c>
      <c r="AU267" s="1">
        <v>167000</v>
      </c>
      <c r="AV267" s="1">
        <v>178300</v>
      </c>
      <c r="AW267" s="1">
        <v>220600</v>
      </c>
      <c r="AX267" s="1">
        <v>232100</v>
      </c>
      <c r="AY267" s="1">
        <v>311400</v>
      </c>
      <c r="AZ267" s="1">
        <v>516200</v>
      </c>
      <c r="BA267" s="1">
        <v>291500</v>
      </c>
      <c r="BB267" s="1">
        <v>315300</v>
      </c>
      <c r="BC267" s="1">
        <v>153900</v>
      </c>
      <c r="BD267" s="1">
        <v>183600</v>
      </c>
      <c r="BE267" s="1">
        <v>201800</v>
      </c>
      <c r="BF267" s="1">
        <v>369000</v>
      </c>
      <c r="BG267" s="1">
        <v>379900</v>
      </c>
      <c r="BH267" s="1">
        <v>572700</v>
      </c>
      <c r="BI267" s="1">
        <v>1067700</v>
      </c>
      <c r="BJ267" s="1">
        <v>349200</v>
      </c>
      <c r="BK267" s="1">
        <v>267400</v>
      </c>
      <c r="BL267" s="1">
        <v>338400</v>
      </c>
      <c r="BM267" s="1">
        <v>293000</v>
      </c>
      <c r="BN267" s="1">
        <v>540800</v>
      </c>
      <c r="BO267" s="1">
        <v>714900</v>
      </c>
      <c r="BP267" s="1">
        <v>1184700</v>
      </c>
      <c r="BQ267" s="1">
        <v>1159400</v>
      </c>
      <c r="BR267" s="1">
        <v>6561000</v>
      </c>
      <c r="BS267" s="1">
        <v>3361100</v>
      </c>
      <c r="BT267" s="1">
        <v>292000</v>
      </c>
      <c r="BU267" s="1">
        <v>383900</v>
      </c>
      <c r="BV267" s="1">
        <v>647500</v>
      </c>
      <c r="BW267" s="1">
        <v>495600</v>
      </c>
      <c r="BX267" s="1">
        <v>1331700</v>
      </c>
      <c r="BY267" s="1">
        <v>1287600</v>
      </c>
      <c r="BZ267" s="1">
        <v>787800</v>
      </c>
    </row>
    <row r="268" spans="1:254">
      <c r="A268" s="394" t="s">
        <v>481</v>
      </c>
      <c r="B268" s="1" t="str">
        <f>銘柄管理!C268</f>
        <v>助川電気工業</v>
      </c>
      <c r="C268" s="1">
        <f>_xll.RssMarket("7711","出来高")</f>
        <v>221000</v>
      </c>
      <c r="D268" s="82">
        <f t="shared" si="4"/>
        <v>0</v>
      </c>
      <c r="E268" s="1">
        <v>221000</v>
      </c>
      <c r="F268" s="1">
        <v>77300</v>
      </c>
      <c r="G268" s="1">
        <v>56800</v>
      </c>
      <c r="H268" s="1">
        <v>60800</v>
      </c>
      <c r="I268" s="1">
        <v>116800</v>
      </c>
      <c r="J268" s="1">
        <v>56100</v>
      </c>
      <c r="K268" s="1">
        <v>62900</v>
      </c>
      <c r="L268" s="1">
        <v>80500</v>
      </c>
      <c r="M268" s="1">
        <v>70100</v>
      </c>
      <c r="O268" s="1">
        <v>39500</v>
      </c>
      <c r="P268" s="1">
        <v>49600</v>
      </c>
      <c r="Q268" s="1">
        <v>67700</v>
      </c>
      <c r="R268" s="1">
        <v>162200</v>
      </c>
      <c r="S268" s="1">
        <v>76300</v>
      </c>
      <c r="T268" s="1">
        <v>136800</v>
      </c>
      <c r="U268" s="1">
        <v>40600</v>
      </c>
      <c r="V268" s="1">
        <v>59300</v>
      </c>
      <c r="W268" s="1">
        <v>84400</v>
      </c>
      <c r="X268" s="1">
        <v>43800</v>
      </c>
      <c r="Y268" s="1">
        <v>45700</v>
      </c>
      <c r="Z268" s="1">
        <v>50700</v>
      </c>
      <c r="AA268" s="1">
        <v>45800</v>
      </c>
      <c r="AB268" s="1">
        <v>46600</v>
      </c>
      <c r="AC268" s="1">
        <v>24600</v>
      </c>
      <c r="AD268" s="1">
        <v>28600</v>
      </c>
      <c r="AE268" s="1">
        <v>46700</v>
      </c>
      <c r="AF268" s="1">
        <v>32300</v>
      </c>
      <c r="AG268" s="1">
        <v>34900</v>
      </c>
      <c r="AH268" s="1">
        <v>27700</v>
      </c>
      <c r="AI268" s="1">
        <v>64000</v>
      </c>
      <c r="AJ268" s="1">
        <v>143700</v>
      </c>
      <c r="AK268" s="1">
        <v>195100</v>
      </c>
      <c r="AL268" s="1">
        <v>180200</v>
      </c>
      <c r="AM268" s="1">
        <v>121900</v>
      </c>
      <c r="AN268" s="1">
        <v>76600</v>
      </c>
      <c r="AO268" s="1">
        <v>54900</v>
      </c>
      <c r="AP268" s="1">
        <v>74600</v>
      </c>
      <c r="AQ268" s="1">
        <v>66200</v>
      </c>
      <c r="AR268" s="1">
        <v>91100</v>
      </c>
      <c r="AS268" s="1">
        <v>90800</v>
      </c>
      <c r="AT268" s="1">
        <v>244500</v>
      </c>
      <c r="AU268" s="1">
        <v>49500</v>
      </c>
      <c r="AV268" s="1">
        <v>64400</v>
      </c>
      <c r="AW268" s="1">
        <v>75500</v>
      </c>
      <c r="AX268" s="1">
        <v>39500</v>
      </c>
      <c r="AY268" s="1">
        <v>73600</v>
      </c>
      <c r="AZ268" s="1">
        <v>161900</v>
      </c>
      <c r="BA268" s="1">
        <v>102400</v>
      </c>
      <c r="BB268" s="1">
        <v>72800</v>
      </c>
      <c r="BC268" s="1">
        <v>45200</v>
      </c>
      <c r="BD268" s="1">
        <v>115000</v>
      </c>
      <c r="BE268" s="1">
        <v>88300</v>
      </c>
      <c r="BF268" s="1">
        <v>74800</v>
      </c>
      <c r="BG268" s="1">
        <v>65800</v>
      </c>
      <c r="BH268" s="1">
        <v>101300</v>
      </c>
      <c r="BI268" s="1">
        <v>50200</v>
      </c>
      <c r="BJ268" s="1">
        <v>88400</v>
      </c>
      <c r="BK268" s="1">
        <v>100800</v>
      </c>
      <c r="BL268" s="1">
        <v>136800</v>
      </c>
      <c r="BM268" s="1">
        <v>857800</v>
      </c>
      <c r="BN268" s="1">
        <v>69800</v>
      </c>
      <c r="BO268" s="1">
        <v>78100</v>
      </c>
      <c r="BP268" s="1">
        <v>59000</v>
      </c>
      <c r="BQ268" s="1">
        <v>101200</v>
      </c>
      <c r="BR268" s="1">
        <v>103200</v>
      </c>
      <c r="BS268" s="1">
        <v>263800</v>
      </c>
      <c r="BT268" s="1">
        <v>142300</v>
      </c>
      <c r="BU268" s="1">
        <v>134800</v>
      </c>
      <c r="BV268" s="1">
        <v>81300</v>
      </c>
      <c r="BW268" s="1">
        <v>43800</v>
      </c>
      <c r="BX268" s="1">
        <v>132700</v>
      </c>
      <c r="BY268" s="1">
        <v>91300</v>
      </c>
      <c r="BZ268" s="1">
        <v>66000</v>
      </c>
    </row>
    <row r="269" spans="1:254">
      <c r="A269" s="394" t="s">
        <v>482</v>
      </c>
      <c r="B269" s="1" t="str">
        <f>銘柄管理!C269</f>
        <v>日機装</v>
      </c>
      <c r="C269" s="1">
        <f>_xll.RssMarket("6376","出来高")</f>
        <v>313600</v>
      </c>
      <c r="D269" s="82">
        <f t="shared" si="4"/>
        <v>0</v>
      </c>
      <c r="E269" s="1">
        <v>313600</v>
      </c>
      <c r="F269" s="1">
        <v>294500</v>
      </c>
      <c r="G269" s="1">
        <v>268300</v>
      </c>
      <c r="H269" s="1">
        <v>257700</v>
      </c>
      <c r="I269" s="1">
        <v>316000</v>
      </c>
      <c r="J269" s="1">
        <v>267800</v>
      </c>
      <c r="K269" s="1">
        <v>849000</v>
      </c>
      <c r="L269" s="1">
        <v>530100</v>
      </c>
      <c r="M269" s="1">
        <v>282000</v>
      </c>
      <c r="N269" s="1">
        <v>264000</v>
      </c>
      <c r="O269" s="1">
        <v>272100</v>
      </c>
      <c r="P269" s="1">
        <v>529400</v>
      </c>
      <c r="Q269" s="1">
        <v>607600</v>
      </c>
      <c r="R269" s="1">
        <v>783300</v>
      </c>
      <c r="S269" s="1">
        <v>303800</v>
      </c>
      <c r="T269" s="1">
        <v>359400</v>
      </c>
      <c r="U269" s="1">
        <v>331900</v>
      </c>
      <c r="V269" s="1">
        <v>451700</v>
      </c>
      <c r="W269" s="1">
        <v>397100</v>
      </c>
      <c r="X269" s="1">
        <v>482800</v>
      </c>
      <c r="Y269" s="1">
        <v>462400</v>
      </c>
      <c r="Z269" s="1">
        <v>304300</v>
      </c>
      <c r="AA269" s="1">
        <v>335700</v>
      </c>
      <c r="AB269" s="1">
        <v>355200</v>
      </c>
      <c r="AC269" s="1">
        <v>657500</v>
      </c>
      <c r="AD269" s="1">
        <v>608400</v>
      </c>
      <c r="AE269" s="1">
        <v>716900</v>
      </c>
      <c r="AF269" s="1">
        <v>692300</v>
      </c>
      <c r="AG269" s="1">
        <v>499000</v>
      </c>
      <c r="AH269" s="1">
        <v>368300</v>
      </c>
      <c r="AI269" s="1">
        <v>560200</v>
      </c>
      <c r="AJ269" s="1">
        <v>379600</v>
      </c>
      <c r="AK269" s="1">
        <v>743300</v>
      </c>
      <c r="AL269" s="1">
        <v>549200</v>
      </c>
      <c r="AM269" s="1">
        <v>723000</v>
      </c>
      <c r="AN269" s="1">
        <v>704000</v>
      </c>
      <c r="AO269" s="1">
        <v>703300</v>
      </c>
      <c r="AP269" s="1">
        <v>670000</v>
      </c>
      <c r="AQ269" s="1">
        <v>451200</v>
      </c>
      <c r="AR269" s="1">
        <v>828700</v>
      </c>
      <c r="AS269" s="1">
        <v>682700</v>
      </c>
      <c r="AT269" s="1">
        <v>372400</v>
      </c>
      <c r="AU269" s="1">
        <v>382300</v>
      </c>
      <c r="AV269" s="1">
        <v>524200</v>
      </c>
      <c r="AW269" s="1">
        <v>386900</v>
      </c>
      <c r="AX269" s="1">
        <v>1444700</v>
      </c>
      <c r="AY269" s="1">
        <v>364400</v>
      </c>
      <c r="AZ269" s="1">
        <v>502000</v>
      </c>
      <c r="BA269" s="1">
        <v>851000</v>
      </c>
      <c r="BB269" s="1">
        <v>506700</v>
      </c>
      <c r="BC269" s="1">
        <v>446100</v>
      </c>
      <c r="BD269" s="1">
        <v>407700</v>
      </c>
      <c r="BE269" s="1">
        <v>514000</v>
      </c>
      <c r="BF269" s="1">
        <v>1019800</v>
      </c>
      <c r="BG269" s="1">
        <v>677400</v>
      </c>
      <c r="BH269" s="1">
        <v>275500</v>
      </c>
      <c r="BI269" s="1">
        <v>178300</v>
      </c>
      <c r="BJ269" s="1">
        <v>253200</v>
      </c>
      <c r="BK269" s="1">
        <v>232700</v>
      </c>
      <c r="BL269" s="1">
        <v>289900</v>
      </c>
      <c r="BM269" s="1">
        <v>344100</v>
      </c>
      <c r="BN269" s="1">
        <v>216900</v>
      </c>
      <c r="BO269" s="1">
        <v>226300</v>
      </c>
      <c r="BP269" s="1">
        <v>307700</v>
      </c>
      <c r="BQ269" s="1">
        <v>456600</v>
      </c>
      <c r="BR269" s="1">
        <v>508300</v>
      </c>
      <c r="BS269" s="1">
        <v>233000</v>
      </c>
      <c r="BT269" s="1">
        <v>562100</v>
      </c>
      <c r="BU269" s="1">
        <v>299500</v>
      </c>
      <c r="BV269" s="1">
        <v>193900</v>
      </c>
      <c r="BW269" s="1">
        <v>282800</v>
      </c>
      <c r="BX269" s="1">
        <v>289500</v>
      </c>
      <c r="BY269" s="1">
        <v>252500</v>
      </c>
      <c r="BZ269" s="1">
        <v>296800</v>
      </c>
    </row>
    <row r="270" spans="1:254">
      <c r="A270" s="394" t="s">
        <v>483</v>
      </c>
      <c r="B270" s="1" t="str">
        <f>銘柄管理!C270</f>
        <v>明海グループ</v>
      </c>
      <c r="C270" s="1">
        <f>_xll.RssMarket("9115","出来高")</f>
        <v>38500</v>
      </c>
      <c r="D270" s="82">
        <f t="shared" si="4"/>
        <v>0</v>
      </c>
      <c r="E270" s="1">
        <v>38500</v>
      </c>
      <c r="F270" s="1">
        <v>47000</v>
      </c>
      <c r="G270" s="1">
        <v>35000</v>
      </c>
      <c r="H270" s="1">
        <v>16000</v>
      </c>
      <c r="I270" s="1">
        <v>23300</v>
      </c>
      <c r="J270" s="1">
        <v>43100</v>
      </c>
      <c r="K270" s="1">
        <v>108500</v>
      </c>
      <c r="L270" s="1">
        <v>44500</v>
      </c>
      <c r="M270" s="1">
        <v>63200</v>
      </c>
      <c r="N270" s="1">
        <v>67200</v>
      </c>
      <c r="O270" s="1">
        <v>59400</v>
      </c>
      <c r="P270" s="1">
        <v>37400</v>
      </c>
      <c r="Q270" s="1">
        <v>17400</v>
      </c>
      <c r="R270" s="1">
        <v>68700</v>
      </c>
      <c r="S270" s="1">
        <v>28500</v>
      </c>
      <c r="T270" s="1">
        <v>18200</v>
      </c>
      <c r="U270" s="1">
        <v>10400</v>
      </c>
      <c r="V270" s="1">
        <v>16100</v>
      </c>
      <c r="W270" s="1">
        <v>16100</v>
      </c>
      <c r="X270" s="1">
        <v>10000</v>
      </c>
      <c r="Y270" s="1">
        <v>18300</v>
      </c>
      <c r="Z270" s="1">
        <v>24400</v>
      </c>
      <c r="AA270" s="1">
        <v>21100</v>
      </c>
      <c r="AB270" s="1">
        <v>17700</v>
      </c>
      <c r="AC270" s="1">
        <v>30200</v>
      </c>
      <c r="AD270" s="1">
        <v>16200</v>
      </c>
      <c r="AE270" s="1">
        <v>26100</v>
      </c>
      <c r="AF270" s="1">
        <v>11600</v>
      </c>
      <c r="AG270" s="1">
        <v>19000</v>
      </c>
      <c r="AH270" s="1">
        <v>38500</v>
      </c>
      <c r="AI270" s="1">
        <v>137000</v>
      </c>
      <c r="AJ270" s="1">
        <v>36900</v>
      </c>
      <c r="AK270" s="1">
        <v>32800</v>
      </c>
      <c r="AL270" s="1">
        <v>47000</v>
      </c>
      <c r="AM270" s="1">
        <v>49000</v>
      </c>
      <c r="AN270" s="1">
        <v>35400</v>
      </c>
      <c r="AO270" s="1">
        <v>58500</v>
      </c>
      <c r="AP270" s="1">
        <v>55800</v>
      </c>
      <c r="AQ270" s="1">
        <v>37600</v>
      </c>
      <c r="AR270" s="1">
        <v>31000</v>
      </c>
      <c r="AS270" s="1">
        <v>30100</v>
      </c>
      <c r="AT270" s="1">
        <v>39400</v>
      </c>
      <c r="AU270" s="1">
        <v>76800</v>
      </c>
      <c r="AV270" s="1">
        <v>33100</v>
      </c>
      <c r="AW270" s="1">
        <v>40300</v>
      </c>
      <c r="AX270" s="1">
        <v>20700</v>
      </c>
      <c r="AY270" s="1">
        <v>31100</v>
      </c>
      <c r="AZ270" s="1">
        <v>11000</v>
      </c>
      <c r="BA270" s="1">
        <v>29300</v>
      </c>
      <c r="BB270" s="1">
        <v>25900</v>
      </c>
      <c r="BC270" s="1">
        <v>18100</v>
      </c>
      <c r="BD270" s="1">
        <v>20900</v>
      </c>
      <c r="BE270" s="1">
        <v>81000</v>
      </c>
      <c r="BF270" s="1">
        <v>14100</v>
      </c>
      <c r="BG270" s="1">
        <v>45500</v>
      </c>
      <c r="BH270" s="1">
        <v>38400</v>
      </c>
      <c r="BI270" s="1">
        <v>39000</v>
      </c>
      <c r="BJ270" s="1">
        <v>20600</v>
      </c>
      <c r="BK270" s="1">
        <v>33100</v>
      </c>
      <c r="BL270" s="1">
        <v>61100</v>
      </c>
      <c r="BM270" s="1">
        <v>111800</v>
      </c>
      <c r="BN270" s="1">
        <v>93600</v>
      </c>
      <c r="BO270" s="1">
        <v>55300</v>
      </c>
      <c r="BP270" s="1">
        <v>159900</v>
      </c>
      <c r="BQ270" s="1">
        <v>70100</v>
      </c>
      <c r="BR270" s="1">
        <v>120900</v>
      </c>
      <c r="BS270" s="1">
        <v>72700</v>
      </c>
      <c r="BT270" s="1">
        <v>56800</v>
      </c>
      <c r="BU270" s="1">
        <v>73300</v>
      </c>
      <c r="BV270" s="1">
        <v>130700</v>
      </c>
      <c r="BW270" s="1">
        <v>66700</v>
      </c>
      <c r="BX270" s="1">
        <v>82800</v>
      </c>
      <c r="BY270" s="1">
        <v>187400</v>
      </c>
      <c r="BZ270" s="1">
        <v>238800</v>
      </c>
    </row>
    <row r="271" spans="1:254">
      <c r="A271" s="394" t="s">
        <v>484</v>
      </c>
      <c r="B271" s="1" t="str">
        <f>銘柄管理!C271</f>
        <v>三菱製紙</v>
      </c>
      <c r="C271" s="1">
        <f>_xll.RssMarket("3864","出来高")</f>
        <v>173800</v>
      </c>
      <c r="D271" s="82">
        <f t="shared" si="4"/>
        <v>0</v>
      </c>
      <c r="E271" s="1">
        <v>173800</v>
      </c>
      <c r="F271" s="1">
        <v>323000</v>
      </c>
      <c r="G271" s="1">
        <v>183200</v>
      </c>
      <c r="H271" s="1">
        <v>263800</v>
      </c>
      <c r="I271" s="1">
        <v>215800</v>
      </c>
      <c r="J271" s="1">
        <v>175800</v>
      </c>
      <c r="K271" s="1">
        <v>208900</v>
      </c>
      <c r="L271" s="1">
        <v>247400</v>
      </c>
      <c r="M271" s="1">
        <v>186400</v>
      </c>
      <c r="N271" s="1">
        <v>305700</v>
      </c>
      <c r="O271" s="1">
        <v>332300</v>
      </c>
      <c r="P271" s="1">
        <v>992000</v>
      </c>
      <c r="Q271" s="1">
        <v>581900</v>
      </c>
      <c r="R271" s="1">
        <v>144200</v>
      </c>
      <c r="S271" s="1">
        <v>312100</v>
      </c>
      <c r="T271" s="1">
        <v>210000</v>
      </c>
      <c r="U271" s="1">
        <v>262900</v>
      </c>
      <c r="V271" s="1">
        <v>117500</v>
      </c>
      <c r="W271" s="1">
        <v>304200</v>
      </c>
      <c r="X271" s="1">
        <v>118200</v>
      </c>
      <c r="Y271" s="1">
        <v>136900</v>
      </c>
      <c r="Z271" s="1">
        <v>114200</v>
      </c>
      <c r="AA271" s="1">
        <v>57200</v>
      </c>
      <c r="AB271" s="1">
        <v>144100</v>
      </c>
      <c r="AC271" s="1">
        <v>144300</v>
      </c>
      <c r="AD271" s="1">
        <v>307200</v>
      </c>
      <c r="AE271" s="1">
        <v>161500</v>
      </c>
      <c r="AF271" s="1">
        <v>121300</v>
      </c>
      <c r="AG271" s="1">
        <v>131100</v>
      </c>
      <c r="AH271" s="1">
        <v>117100</v>
      </c>
      <c r="AI271" s="1">
        <v>106900</v>
      </c>
      <c r="AJ271" s="1">
        <v>118100</v>
      </c>
      <c r="AK271" s="1">
        <v>152400</v>
      </c>
      <c r="AL271" s="1">
        <v>253100</v>
      </c>
      <c r="AM271" s="1">
        <v>126500</v>
      </c>
      <c r="AN271" s="1">
        <v>150500</v>
      </c>
      <c r="AO271" s="1">
        <v>169000</v>
      </c>
      <c r="AP271" s="1">
        <v>129500</v>
      </c>
      <c r="AQ271" s="1">
        <v>187800</v>
      </c>
      <c r="AR271" s="1">
        <v>186900</v>
      </c>
      <c r="AS271" s="1">
        <v>239900</v>
      </c>
      <c r="AT271" s="1">
        <v>103000</v>
      </c>
      <c r="AU271" s="1">
        <v>194100</v>
      </c>
      <c r="AV271" s="1">
        <v>197600</v>
      </c>
      <c r="AW271" s="1">
        <v>181600</v>
      </c>
      <c r="AX271" s="1">
        <v>177600</v>
      </c>
      <c r="AY271" s="1">
        <v>203300</v>
      </c>
      <c r="AZ271" s="1">
        <v>344200</v>
      </c>
      <c r="BA271" s="1">
        <v>402800</v>
      </c>
      <c r="BB271" s="1">
        <v>418100</v>
      </c>
      <c r="BC271" s="1">
        <v>288500</v>
      </c>
      <c r="BD271" s="1">
        <v>165700</v>
      </c>
      <c r="BE271" s="1">
        <v>365800</v>
      </c>
      <c r="BF271" s="1">
        <v>368900</v>
      </c>
      <c r="BG271" s="1">
        <v>730100</v>
      </c>
      <c r="BH271" s="1">
        <v>252700</v>
      </c>
      <c r="BI271" s="1">
        <v>118200</v>
      </c>
      <c r="BJ271" s="1">
        <v>216000</v>
      </c>
      <c r="BK271" s="1">
        <v>161300</v>
      </c>
      <c r="BL271" s="1">
        <v>271600</v>
      </c>
      <c r="BM271" s="1">
        <v>208900</v>
      </c>
      <c r="BN271" s="1">
        <v>168200</v>
      </c>
      <c r="BO271" s="1">
        <v>205800</v>
      </c>
      <c r="BP271" s="1">
        <v>221000</v>
      </c>
      <c r="BQ271" s="1">
        <v>656700</v>
      </c>
      <c r="BR271" s="1">
        <v>260300</v>
      </c>
      <c r="BS271" s="1">
        <v>223600</v>
      </c>
      <c r="BT271" s="1">
        <v>245600</v>
      </c>
      <c r="BU271" s="1">
        <v>282800</v>
      </c>
      <c r="BV271" s="1">
        <v>378400</v>
      </c>
      <c r="BW271" s="1">
        <v>351200</v>
      </c>
      <c r="BX271" s="1">
        <v>385600</v>
      </c>
      <c r="BY271" s="1">
        <v>283600</v>
      </c>
      <c r="BZ271" s="1">
        <v>124000</v>
      </c>
    </row>
    <row r="272" spans="1:254">
      <c r="A272" s="394" t="s">
        <v>485</v>
      </c>
      <c r="B272" s="1" t="str">
        <f>銘柄管理!C272</f>
        <v>日本ケミコン</v>
      </c>
      <c r="C272" s="1">
        <f>_xll.RssMarket("6997","出来高")</f>
        <v>922200</v>
      </c>
      <c r="D272" s="82">
        <f t="shared" si="4"/>
        <v>0</v>
      </c>
      <c r="E272" s="1">
        <v>922200</v>
      </c>
      <c r="F272" s="1">
        <v>1009200</v>
      </c>
      <c r="G272" s="1">
        <v>812600</v>
      </c>
      <c r="H272" s="1">
        <v>1272400</v>
      </c>
      <c r="I272" s="1">
        <v>2390400</v>
      </c>
      <c r="J272" s="1">
        <v>1686700</v>
      </c>
      <c r="K272" s="1">
        <v>1494000</v>
      </c>
      <c r="L272" s="1">
        <v>1108400</v>
      </c>
      <c r="M272" s="1">
        <v>616400</v>
      </c>
      <c r="N272" s="1">
        <v>715000</v>
      </c>
      <c r="O272" s="1">
        <v>549000</v>
      </c>
      <c r="P272" s="1">
        <v>1045200</v>
      </c>
      <c r="Q272" s="1">
        <v>1251400</v>
      </c>
      <c r="R272" s="1">
        <v>1454800</v>
      </c>
      <c r="S272" s="1">
        <v>1091700</v>
      </c>
      <c r="T272" s="1">
        <v>1453400</v>
      </c>
      <c r="U272" s="1">
        <v>1261900</v>
      </c>
      <c r="V272" s="1">
        <v>1029900</v>
      </c>
      <c r="W272" s="1">
        <v>1026900</v>
      </c>
      <c r="X272" s="1">
        <v>2126200</v>
      </c>
      <c r="Y272" s="1">
        <v>1956100</v>
      </c>
      <c r="Z272" s="1">
        <v>1365000</v>
      </c>
      <c r="AA272" s="1">
        <v>1361300</v>
      </c>
      <c r="AB272" s="1">
        <v>1062600</v>
      </c>
      <c r="AC272" s="1">
        <v>1057600</v>
      </c>
      <c r="AD272" s="1">
        <v>776400</v>
      </c>
      <c r="AE272" s="1">
        <v>1593600</v>
      </c>
      <c r="AF272" s="1">
        <v>1147300</v>
      </c>
      <c r="AG272" s="1">
        <v>1974600</v>
      </c>
      <c r="AH272" s="1">
        <v>1651500</v>
      </c>
      <c r="AI272" s="1">
        <v>1038900</v>
      </c>
      <c r="AJ272" s="1">
        <v>1595400</v>
      </c>
      <c r="AK272" s="1">
        <v>1553000</v>
      </c>
      <c r="AL272" s="1">
        <v>2435500</v>
      </c>
      <c r="AM272" s="1">
        <v>1138700</v>
      </c>
      <c r="AN272" s="1">
        <v>1247100</v>
      </c>
      <c r="AO272" s="1">
        <v>1541200</v>
      </c>
      <c r="AP272" s="1">
        <v>1795700</v>
      </c>
      <c r="AQ272" s="1">
        <v>1649100</v>
      </c>
      <c r="AR272" s="1">
        <v>1359000</v>
      </c>
      <c r="AS272" s="1">
        <v>1804100</v>
      </c>
      <c r="AT272" s="1">
        <v>1442800</v>
      </c>
      <c r="AU272" s="1">
        <v>1291200</v>
      </c>
      <c r="AV272" s="1">
        <v>2333100</v>
      </c>
      <c r="AW272" s="1">
        <v>3239900</v>
      </c>
      <c r="AX272" s="1">
        <v>2453900</v>
      </c>
      <c r="AY272" s="1">
        <v>2223900</v>
      </c>
      <c r="AZ272" s="1">
        <v>1714800</v>
      </c>
      <c r="BA272" s="1">
        <v>1168700</v>
      </c>
      <c r="BB272" s="1">
        <v>2192100</v>
      </c>
      <c r="BC272" s="1">
        <v>841800</v>
      </c>
      <c r="BD272" s="1">
        <v>717100</v>
      </c>
      <c r="BE272" s="1">
        <v>1164000</v>
      </c>
      <c r="BF272" s="1">
        <v>1004100</v>
      </c>
      <c r="BG272" s="1">
        <v>1608000</v>
      </c>
      <c r="BH272" s="1">
        <v>1043000</v>
      </c>
      <c r="BI272" s="1">
        <v>548800</v>
      </c>
      <c r="BJ272" s="1">
        <v>540600</v>
      </c>
      <c r="BK272" s="1">
        <v>970400</v>
      </c>
      <c r="BL272" s="1">
        <v>1252600</v>
      </c>
      <c r="BM272" s="1">
        <v>1097100</v>
      </c>
      <c r="BN272" s="1">
        <v>619700</v>
      </c>
      <c r="BO272" s="1">
        <v>1261600</v>
      </c>
      <c r="BP272" s="1">
        <v>724800</v>
      </c>
      <c r="BQ272" s="1">
        <v>996100</v>
      </c>
      <c r="BR272" s="1">
        <v>971400</v>
      </c>
      <c r="BS272" s="1">
        <v>1177100</v>
      </c>
      <c r="BT272" s="1">
        <v>754500</v>
      </c>
      <c r="BU272" s="1">
        <v>1045000</v>
      </c>
      <c r="BV272" s="1">
        <v>1301900</v>
      </c>
      <c r="BW272" s="1">
        <v>1257900</v>
      </c>
      <c r="BX272" s="1">
        <v>1142300</v>
      </c>
      <c r="BY272" s="1">
        <v>947900</v>
      </c>
      <c r="BZ272" s="1">
        <v>896900</v>
      </c>
    </row>
    <row r="273" spans="1:254">
      <c r="A273" s="394" t="s">
        <v>486</v>
      </c>
      <c r="B273" s="1" t="str">
        <f>銘柄管理!C273</f>
        <v>ＨＵグループＨＤ</v>
      </c>
      <c r="C273" s="1">
        <f>_xll.RssMarket("4544","出来高")</f>
        <v>175900</v>
      </c>
      <c r="D273" s="82">
        <f t="shared" si="4"/>
        <v>0</v>
      </c>
      <c r="E273" s="1">
        <v>175900</v>
      </c>
      <c r="F273" s="1">
        <v>154800</v>
      </c>
      <c r="G273" s="1">
        <v>267500</v>
      </c>
      <c r="H273" s="1">
        <v>287000</v>
      </c>
      <c r="I273" s="1">
        <v>243200</v>
      </c>
      <c r="J273" s="1">
        <v>373400</v>
      </c>
      <c r="K273" s="1">
        <v>376700</v>
      </c>
      <c r="L273" s="1">
        <v>264700</v>
      </c>
      <c r="M273" s="1">
        <v>188200</v>
      </c>
      <c r="N273" s="1">
        <v>121900</v>
      </c>
      <c r="O273" s="1">
        <v>129700</v>
      </c>
      <c r="P273" s="1">
        <v>200000</v>
      </c>
      <c r="Q273" s="1">
        <v>159200</v>
      </c>
      <c r="R273" s="1">
        <v>167900</v>
      </c>
      <c r="S273" s="1">
        <v>218800</v>
      </c>
      <c r="T273" s="1">
        <v>169900</v>
      </c>
      <c r="U273" s="1">
        <v>190700</v>
      </c>
      <c r="V273" s="1">
        <v>236900</v>
      </c>
      <c r="W273" s="1">
        <v>293500</v>
      </c>
      <c r="X273" s="1">
        <v>295500</v>
      </c>
      <c r="Y273" s="1">
        <v>223700</v>
      </c>
      <c r="Z273" s="1">
        <v>197000</v>
      </c>
      <c r="AA273" s="1">
        <v>242600</v>
      </c>
      <c r="AB273" s="1">
        <v>256900</v>
      </c>
      <c r="AC273" s="1">
        <v>221900</v>
      </c>
      <c r="AD273" s="1">
        <v>377500</v>
      </c>
      <c r="AE273" s="1">
        <v>252200</v>
      </c>
      <c r="AF273" s="1">
        <v>217100</v>
      </c>
      <c r="AG273" s="1">
        <v>433400</v>
      </c>
      <c r="AH273" s="1">
        <v>305300</v>
      </c>
      <c r="AI273" s="1">
        <v>215300</v>
      </c>
      <c r="AJ273" s="1">
        <v>191900</v>
      </c>
      <c r="AK273" s="1">
        <v>195800</v>
      </c>
      <c r="AL273" s="1">
        <v>388800</v>
      </c>
      <c r="AM273" s="1">
        <v>302800</v>
      </c>
      <c r="AN273" s="1">
        <v>210200</v>
      </c>
      <c r="AO273" s="1">
        <v>409900</v>
      </c>
      <c r="AP273" s="1">
        <v>347900</v>
      </c>
      <c r="AQ273" s="1">
        <v>221700</v>
      </c>
      <c r="AR273" s="1">
        <v>353100</v>
      </c>
      <c r="AS273" s="1">
        <v>223600</v>
      </c>
      <c r="AT273" s="1">
        <v>240700</v>
      </c>
      <c r="AU273" s="1">
        <v>288600</v>
      </c>
      <c r="AV273" s="1">
        <v>469100</v>
      </c>
      <c r="AW273" s="1">
        <v>278300</v>
      </c>
      <c r="AX273" s="1">
        <v>403800</v>
      </c>
      <c r="AY273" s="1">
        <v>262300</v>
      </c>
      <c r="AZ273" s="1">
        <v>245800</v>
      </c>
      <c r="BA273" s="1">
        <v>204300</v>
      </c>
      <c r="BB273" s="1">
        <v>185000</v>
      </c>
      <c r="BC273" s="1">
        <v>332000</v>
      </c>
      <c r="BD273" s="1">
        <v>258400</v>
      </c>
      <c r="BE273" s="1">
        <v>307700</v>
      </c>
      <c r="BF273" s="1">
        <v>308600</v>
      </c>
      <c r="BG273" s="1">
        <v>412500</v>
      </c>
      <c r="BH273" s="1">
        <v>421800</v>
      </c>
      <c r="BI273" s="1">
        <v>276200</v>
      </c>
      <c r="BJ273" s="1">
        <v>188900</v>
      </c>
      <c r="BK273" s="1">
        <v>194600</v>
      </c>
      <c r="BL273" s="1">
        <v>263300</v>
      </c>
      <c r="BM273" s="1">
        <v>259300</v>
      </c>
      <c r="BN273" s="1">
        <v>121500</v>
      </c>
      <c r="BO273" s="1">
        <v>246900</v>
      </c>
      <c r="BP273" s="1">
        <v>446500</v>
      </c>
      <c r="BQ273" s="1">
        <v>363500</v>
      </c>
      <c r="BR273" s="1">
        <v>305500</v>
      </c>
      <c r="BS273" s="1">
        <v>309200</v>
      </c>
      <c r="BT273" s="1">
        <v>347900</v>
      </c>
      <c r="BU273" s="1">
        <v>210200</v>
      </c>
      <c r="BV273" s="1">
        <v>97500</v>
      </c>
      <c r="BW273" s="1">
        <v>170100</v>
      </c>
      <c r="BX273" s="1">
        <v>164200</v>
      </c>
      <c r="BY273" s="1">
        <v>190100</v>
      </c>
      <c r="BZ273" s="1">
        <v>212900</v>
      </c>
    </row>
    <row r="274" spans="1:254">
      <c r="A274" s="394" t="s">
        <v>487</v>
      </c>
      <c r="B274" s="1" t="str">
        <f>銘柄管理!C274</f>
        <v>東亜ディーケーケー</v>
      </c>
      <c r="C274" s="1">
        <f>_xll.RssMarket("6848","出来高")</f>
        <v>2400</v>
      </c>
      <c r="D274" s="82">
        <f t="shared" si="4"/>
        <v>0</v>
      </c>
      <c r="E274" s="1">
        <v>2400</v>
      </c>
      <c r="F274" s="1">
        <v>2400</v>
      </c>
      <c r="G274" s="1">
        <v>1500</v>
      </c>
      <c r="H274" s="1">
        <v>4900</v>
      </c>
      <c r="I274" s="1">
        <v>2800</v>
      </c>
      <c r="J274" s="1">
        <v>1400</v>
      </c>
      <c r="K274" s="1">
        <v>4400</v>
      </c>
      <c r="L274" s="1">
        <v>1100</v>
      </c>
      <c r="M274" s="1">
        <v>5500</v>
      </c>
      <c r="O274" s="1">
        <v>5800</v>
      </c>
      <c r="P274" s="1">
        <v>1700</v>
      </c>
      <c r="Q274" s="1">
        <v>300</v>
      </c>
      <c r="R274" s="1">
        <v>5100</v>
      </c>
      <c r="S274" s="1">
        <v>7000</v>
      </c>
      <c r="T274" s="1">
        <v>2700</v>
      </c>
      <c r="U274" s="1">
        <v>4300</v>
      </c>
      <c r="V274" s="1">
        <v>1600</v>
      </c>
      <c r="W274" s="1">
        <v>5300</v>
      </c>
      <c r="X274" s="1">
        <v>3800</v>
      </c>
      <c r="Y274" s="1">
        <v>2300</v>
      </c>
      <c r="Z274" s="1">
        <v>3200</v>
      </c>
      <c r="AA274" s="1">
        <v>3400</v>
      </c>
      <c r="AB274" s="1">
        <v>4200</v>
      </c>
      <c r="AC274" s="1">
        <v>15500</v>
      </c>
      <c r="AD274" s="1">
        <v>4100</v>
      </c>
      <c r="AE274" s="1">
        <v>3700</v>
      </c>
      <c r="AF274" s="1">
        <v>3800</v>
      </c>
      <c r="AG274" s="1">
        <v>8200</v>
      </c>
      <c r="AH274" s="1">
        <v>5000</v>
      </c>
      <c r="AI274" s="1">
        <v>8500</v>
      </c>
      <c r="AJ274" s="1">
        <v>12500</v>
      </c>
      <c r="AK274" s="1">
        <v>3200</v>
      </c>
      <c r="AL274" s="1">
        <v>6000</v>
      </c>
      <c r="AM274" s="1">
        <v>3800</v>
      </c>
      <c r="AN274" s="1">
        <v>2700</v>
      </c>
      <c r="AO274" s="1">
        <v>3000</v>
      </c>
      <c r="AP274" s="1">
        <v>4800</v>
      </c>
      <c r="AQ274" s="1">
        <v>5500</v>
      </c>
      <c r="AR274" s="1">
        <v>11400</v>
      </c>
      <c r="AS274" s="1">
        <v>3500</v>
      </c>
      <c r="AT274" s="1">
        <v>2800</v>
      </c>
      <c r="AU274" s="1">
        <v>5800</v>
      </c>
      <c r="AV274" s="1">
        <v>5600</v>
      </c>
      <c r="AW274" s="1">
        <v>3800</v>
      </c>
      <c r="AX274" s="1">
        <v>2600</v>
      </c>
      <c r="AY274" s="1">
        <v>2500</v>
      </c>
      <c r="AZ274" s="1">
        <v>2900</v>
      </c>
      <c r="BA274" s="1">
        <v>6100</v>
      </c>
      <c r="BB274" s="1">
        <v>5500</v>
      </c>
      <c r="BC274" s="1">
        <v>4900</v>
      </c>
      <c r="BD274" s="1">
        <v>11400</v>
      </c>
      <c r="BE274" s="1">
        <v>800</v>
      </c>
      <c r="BF274" s="1">
        <v>6600</v>
      </c>
      <c r="BG274" s="1">
        <v>7100</v>
      </c>
      <c r="BH274" s="1">
        <v>3600</v>
      </c>
      <c r="BI274" s="1">
        <v>1700</v>
      </c>
      <c r="BJ274" s="1">
        <v>4100</v>
      </c>
      <c r="BK274" s="1">
        <v>4300</v>
      </c>
      <c r="BL274" s="1">
        <v>2100</v>
      </c>
      <c r="BM274" s="1">
        <v>3300</v>
      </c>
      <c r="BN274" s="1">
        <v>3100</v>
      </c>
      <c r="BO274" s="1">
        <v>3000</v>
      </c>
      <c r="BP274" s="1">
        <v>1500</v>
      </c>
      <c r="BQ274" s="1">
        <v>3000</v>
      </c>
      <c r="BR274" s="1">
        <v>6200</v>
      </c>
      <c r="BS274" s="1">
        <v>4300</v>
      </c>
      <c r="BT274" s="1">
        <v>2200</v>
      </c>
      <c r="BU274" s="1">
        <v>1700</v>
      </c>
      <c r="BV274" s="1">
        <v>4200</v>
      </c>
      <c r="BW274" s="1">
        <v>1500</v>
      </c>
      <c r="BX274" s="1">
        <v>5200</v>
      </c>
      <c r="BY274" s="1">
        <v>2600</v>
      </c>
      <c r="BZ274" s="1">
        <v>1500</v>
      </c>
    </row>
    <row r="275" spans="1:254">
      <c r="A275" s="394" t="s">
        <v>488</v>
      </c>
      <c r="B275" s="1" t="str">
        <f>銘柄管理!C275</f>
        <v>大紀アルミニウム</v>
      </c>
      <c r="C275" s="1">
        <f>_xll.RssMarket("5702","出来高")</f>
        <v>992800</v>
      </c>
      <c r="D275" s="82">
        <f t="shared" si="4"/>
        <v>0</v>
      </c>
      <c r="E275" s="1">
        <v>992800</v>
      </c>
      <c r="F275" s="1">
        <v>1168500</v>
      </c>
      <c r="G275" s="1">
        <v>265200</v>
      </c>
      <c r="H275" s="1">
        <v>455800</v>
      </c>
      <c r="I275" s="1">
        <v>384900</v>
      </c>
      <c r="J275" s="1">
        <v>246100</v>
      </c>
      <c r="K275" s="1">
        <v>374100</v>
      </c>
      <c r="L275" s="1">
        <v>383200</v>
      </c>
      <c r="M275" s="1">
        <v>364700</v>
      </c>
      <c r="N275" s="1">
        <v>216300</v>
      </c>
      <c r="O275" s="1">
        <v>181700</v>
      </c>
      <c r="P275" s="1">
        <v>234000</v>
      </c>
      <c r="Q275" s="1">
        <v>200100</v>
      </c>
      <c r="R275" s="1">
        <v>474800</v>
      </c>
      <c r="S275" s="1">
        <v>148200</v>
      </c>
      <c r="T275" s="1">
        <v>283000</v>
      </c>
      <c r="U275" s="1">
        <v>236200</v>
      </c>
      <c r="V275" s="1">
        <v>230300</v>
      </c>
      <c r="W275" s="1">
        <v>258300</v>
      </c>
      <c r="X275" s="1">
        <v>339600</v>
      </c>
      <c r="Y275" s="1">
        <v>345900</v>
      </c>
      <c r="Z275" s="1">
        <v>219100</v>
      </c>
      <c r="AA275" s="1">
        <v>250500</v>
      </c>
      <c r="AB275" s="1">
        <v>215100</v>
      </c>
      <c r="AC275" s="1">
        <v>212100</v>
      </c>
      <c r="AD275" s="1">
        <v>213500</v>
      </c>
      <c r="AE275" s="1">
        <v>355800</v>
      </c>
      <c r="AF275" s="1">
        <v>259300</v>
      </c>
      <c r="AG275" s="1">
        <v>338400</v>
      </c>
      <c r="AH275" s="1">
        <v>263600</v>
      </c>
      <c r="AI275" s="1">
        <v>284500</v>
      </c>
      <c r="AJ275" s="1">
        <v>200000</v>
      </c>
      <c r="AK275" s="1">
        <v>302800</v>
      </c>
      <c r="AL275" s="1">
        <v>187000</v>
      </c>
      <c r="AM275" s="1">
        <v>308800</v>
      </c>
      <c r="AN275" s="1">
        <v>341400</v>
      </c>
      <c r="AO275" s="1">
        <v>189500</v>
      </c>
      <c r="AP275" s="1">
        <v>220700</v>
      </c>
      <c r="AQ275" s="1">
        <v>210500</v>
      </c>
      <c r="AR275" s="1">
        <v>290500</v>
      </c>
      <c r="AS275" s="1">
        <v>337200</v>
      </c>
      <c r="AT275" s="1">
        <v>242300</v>
      </c>
      <c r="AU275" s="1">
        <v>234100</v>
      </c>
      <c r="AV275" s="1">
        <v>304900</v>
      </c>
      <c r="AW275" s="1">
        <v>279200</v>
      </c>
      <c r="AX275" s="1">
        <v>262200</v>
      </c>
      <c r="AY275" s="1">
        <v>285000</v>
      </c>
      <c r="AZ275" s="1">
        <v>347600</v>
      </c>
      <c r="BA275" s="1">
        <v>295400</v>
      </c>
      <c r="BB275" s="1">
        <v>380200</v>
      </c>
      <c r="BC275" s="1">
        <v>320500</v>
      </c>
      <c r="BD275" s="1">
        <v>281300</v>
      </c>
      <c r="BE275" s="1">
        <v>384800</v>
      </c>
      <c r="BF275" s="1">
        <v>410800</v>
      </c>
      <c r="BG275" s="1">
        <v>611800</v>
      </c>
      <c r="BH275" s="1">
        <v>1315400</v>
      </c>
      <c r="BI275" s="1">
        <v>208000</v>
      </c>
      <c r="BJ275" s="1">
        <v>253300</v>
      </c>
      <c r="BK275" s="1">
        <v>209400</v>
      </c>
      <c r="BL275" s="1">
        <v>396600</v>
      </c>
      <c r="BM275" s="1">
        <v>264500</v>
      </c>
      <c r="BN275" s="1">
        <v>250700</v>
      </c>
      <c r="BO275" s="1">
        <v>350600</v>
      </c>
      <c r="BP275" s="1">
        <v>210600</v>
      </c>
      <c r="BQ275" s="1">
        <v>161500</v>
      </c>
      <c r="BR275" s="1">
        <v>164300</v>
      </c>
      <c r="BS275" s="1">
        <v>200200</v>
      </c>
      <c r="BT275" s="1">
        <v>179400</v>
      </c>
      <c r="BU275" s="1">
        <v>220300</v>
      </c>
      <c r="BV275" s="1">
        <v>152300</v>
      </c>
      <c r="BW275" s="1">
        <v>138500</v>
      </c>
      <c r="BX275" s="1">
        <v>165800</v>
      </c>
      <c r="BY275" s="1">
        <v>238100</v>
      </c>
      <c r="BZ275" s="1">
        <v>435900</v>
      </c>
    </row>
    <row r="276" spans="1:254">
      <c r="A276" s="394" t="s">
        <v>489</v>
      </c>
      <c r="B276" s="1" t="str">
        <f>銘柄管理!C276</f>
        <v>河合楽器</v>
      </c>
      <c r="C276" s="1">
        <f>_xll.RssMarket("7952","出来高")</f>
        <v>12500</v>
      </c>
      <c r="D276" s="82">
        <f t="shared" si="4"/>
        <v>0</v>
      </c>
      <c r="E276" s="1">
        <v>12500</v>
      </c>
      <c r="F276" s="1">
        <v>18100</v>
      </c>
      <c r="G276" s="1">
        <v>21400</v>
      </c>
      <c r="H276" s="1">
        <v>36900</v>
      </c>
      <c r="I276" s="1">
        <v>17100</v>
      </c>
      <c r="J276" s="1">
        <v>19700</v>
      </c>
      <c r="K276" s="1">
        <v>27200</v>
      </c>
      <c r="L276" s="1">
        <v>51400</v>
      </c>
      <c r="M276" s="1">
        <v>19300</v>
      </c>
      <c r="N276" s="1">
        <v>5100</v>
      </c>
      <c r="O276" s="1">
        <v>9000</v>
      </c>
      <c r="P276" s="1">
        <v>18000</v>
      </c>
      <c r="Q276" s="1">
        <v>19400</v>
      </c>
      <c r="R276" s="1">
        <v>62100</v>
      </c>
      <c r="S276" s="1">
        <v>10000</v>
      </c>
      <c r="T276" s="1">
        <v>11100</v>
      </c>
      <c r="U276" s="1">
        <v>22100</v>
      </c>
      <c r="V276" s="1">
        <v>15300</v>
      </c>
      <c r="W276" s="1">
        <v>6400</v>
      </c>
      <c r="X276" s="1">
        <v>11200</v>
      </c>
      <c r="Y276" s="1">
        <v>9000</v>
      </c>
      <c r="Z276" s="1">
        <v>26000</v>
      </c>
      <c r="AA276" s="1">
        <v>18400</v>
      </c>
      <c r="AB276" s="1">
        <v>23300</v>
      </c>
      <c r="AC276" s="1">
        <v>45500</v>
      </c>
      <c r="AD276" s="1">
        <v>44400</v>
      </c>
      <c r="AE276" s="1">
        <v>44100</v>
      </c>
      <c r="AF276" s="1">
        <v>19800</v>
      </c>
      <c r="AG276" s="1">
        <v>16000</v>
      </c>
      <c r="AH276" s="1">
        <v>12400</v>
      </c>
      <c r="AI276" s="1">
        <v>19500</v>
      </c>
      <c r="AJ276" s="1">
        <v>10200</v>
      </c>
      <c r="AK276" s="1">
        <v>54600</v>
      </c>
      <c r="AL276" s="1">
        <v>27800</v>
      </c>
      <c r="AM276" s="1">
        <v>38900</v>
      </c>
      <c r="AN276" s="1">
        <v>22600</v>
      </c>
      <c r="AO276" s="1">
        <v>25900</v>
      </c>
      <c r="AP276" s="1">
        <v>13500</v>
      </c>
      <c r="AQ276" s="1">
        <v>32600</v>
      </c>
      <c r="AR276" s="1">
        <v>21000</v>
      </c>
      <c r="AS276" s="1">
        <v>60000</v>
      </c>
      <c r="AT276" s="1">
        <v>14700</v>
      </c>
      <c r="AU276" s="1">
        <v>29700</v>
      </c>
      <c r="AV276" s="1">
        <v>10600</v>
      </c>
      <c r="AW276" s="1">
        <v>29400</v>
      </c>
      <c r="AX276" s="1">
        <v>27800</v>
      </c>
      <c r="AY276" s="1">
        <v>44500</v>
      </c>
      <c r="AZ276" s="1">
        <v>13500</v>
      </c>
      <c r="BA276" s="1">
        <v>17600</v>
      </c>
      <c r="BB276" s="1">
        <v>8700</v>
      </c>
      <c r="BC276" s="1">
        <v>17900</v>
      </c>
      <c r="BD276" s="1">
        <v>39500</v>
      </c>
      <c r="BE276" s="1">
        <v>19800</v>
      </c>
      <c r="BF276" s="1">
        <v>31000</v>
      </c>
      <c r="BG276" s="1">
        <v>77300</v>
      </c>
      <c r="BH276" s="1">
        <v>22500</v>
      </c>
      <c r="BI276" s="1">
        <v>27900</v>
      </c>
      <c r="BJ276" s="1">
        <v>42500</v>
      </c>
      <c r="BK276" s="1">
        <v>30700</v>
      </c>
      <c r="BL276" s="1">
        <v>28300</v>
      </c>
      <c r="BM276" s="1">
        <v>9700</v>
      </c>
      <c r="BN276" s="1">
        <v>19300</v>
      </c>
      <c r="BO276" s="1">
        <v>19400</v>
      </c>
      <c r="BP276" s="1">
        <v>7300</v>
      </c>
      <c r="BQ276" s="1">
        <v>14200</v>
      </c>
      <c r="BR276" s="1">
        <v>18000</v>
      </c>
      <c r="BS276" s="1">
        <v>19900</v>
      </c>
      <c r="BT276" s="1">
        <v>15300</v>
      </c>
      <c r="BU276" s="1">
        <v>6800</v>
      </c>
      <c r="BV276" s="1">
        <v>6500</v>
      </c>
      <c r="BW276" s="1">
        <v>17600</v>
      </c>
      <c r="BX276" s="1">
        <v>42700</v>
      </c>
      <c r="BY276" s="1">
        <v>12500</v>
      </c>
      <c r="BZ276" s="1">
        <v>11300</v>
      </c>
    </row>
    <row r="277" spans="1:254">
      <c r="A277" s="394" t="s">
        <v>490</v>
      </c>
      <c r="B277" s="1" t="str">
        <f>銘柄管理!C277</f>
        <v>グンゼ</v>
      </c>
      <c r="C277" s="1">
        <f>_xll.RssMarket("3002","出来高")</f>
        <v>307900</v>
      </c>
      <c r="D277" s="82">
        <f t="shared" si="4"/>
        <v>0</v>
      </c>
      <c r="E277" s="1">
        <v>307900</v>
      </c>
      <c r="F277" s="1">
        <v>177600</v>
      </c>
      <c r="G277" s="1">
        <v>122700</v>
      </c>
      <c r="H277" s="1">
        <v>183600</v>
      </c>
      <c r="I277" s="1">
        <v>535600</v>
      </c>
      <c r="J277" s="1">
        <v>200200</v>
      </c>
      <c r="K277" s="1">
        <v>245100</v>
      </c>
      <c r="L277" s="1">
        <v>205100</v>
      </c>
      <c r="M277" s="1">
        <v>233100</v>
      </c>
      <c r="O277" s="1">
        <v>95500</v>
      </c>
      <c r="P277" s="1">
        <v>96300</v>
      </c>
      <c r="Q277" s="1">
        <v>100600</v>
      </c>
      <c r="R277" s="1">
        <v>128300</v>
      </c>
      <c r="S277" s="1">
        <v>111600</v>
      </c>
      <c r="T277" s="1">
        <v>96200</v>
      </c>
      <c r="U277" s="1">
        <v>144100</v>
      </c>
      <c r="V277" s="1">
        <v>223700</v>
      </c>
      <c r="W277" s="1">
        <v>103300</v>
      </c>
      <c r="X277" s="1">
        <v>113200</v>
      </c>
      <c r="Y277" s="1">
        <v>165200</v>
      </c>
      <c r="Z277" s="1">
        <v>169400</v>
      </c>
      <c r="AA277" s="1">
        <v>200300</v>
      </c>
      <c r="AB277" s="1">
        <v>209200</v>
      </c>
      <c r="AC277" s="1">
        <v>95900</v>
      </c>
      <c r="AD277" s="1">
        <v>144400</v>
      </c>
      <c r="AE277" s="1">
        <v>167400</v>
      </c>
      <c r="AF277" s="1">
        <v>140600</v>
      </c>
      <c r="AG277" s="1">
        <v>167000</v>
      </c>
      <c r="AH277" s="1">
        <v>114600</v>
      </c>
      <c r="AI277" s="1">
        <v>121600</v>
      </c>
      <c r="AJ277" s="1">
        <v>120200</v>
      </c>
      <c r="AK277" s="1">
        <v>150200</v>
      </c>
      <c r="AL277" s="1">
        <v>154600</v>
      </c>
      <c r="AM277" s="1">
        <v>150300</v>
      </c>
      <c r="AN277" s="1">
        <v>120900</v>
      </c>
      <c r="AO277" s="1">
        <v>136200</v>
      </c>
      <c r="AP277" s="1">
        <v>394200</v>
      </c>
      <c r="AQ277" s="1">
        <v>142000</v>
      </c>
      <c r="AR277" s="1">
        <v>260200</v>
      </c>
      <c r="AS277" s="1">
        <v>199500</v>
      </c>
      <c r="AT277" s="1">
        <v>118500</v>
      </c>
      <c r="AU277" s="1">
        <v>103100</v>
      </c>
      <c r="AV277" s="1">
        <v>128000</v>
      </c>
      <c r="AW277" s="1">
        <v>208600</v>
      </c>
      <c r="AX277" s="1">
        <v>202700</v>
      </c>
      <c r="AY277" s="1">
        <v>192700</v>
      </c>
      <c r="AZ277" s="1">
        <v>230500</v>
      </c>
      <c r="BA277" s="1">
        <v>146200</v>
      </c>
      <c r="BB277" s="1">
        <v>156400</v>
      </c>
      <c r="BC277" s="1">
        <v>142000</v>
      </c>
      <c r="BD277" s="1">
        <v>251300</v>
      </c>
      <c r="BE277" s="1">
        <v>314300</v>
      </c>
      <c r="BF277" s="1">
        <v>303500</v>
      </c>
      <c r="BG277" s="1">
        <v>347900</v>
      </c>
      <c r="BH277" s="1">
        <v>569600</v>
      </c>
      <c r="BI277" s="1">
        <v>202200</v>
      </c>
      <c r="BJ277" s="1">
        <v>218800</v>
      </c>
      <c r="BK277" s="1">
        <v>127400</v>
      </c>
      <c r="BL277" s="1">
        <v>305300</v>
      </c>
      <c r="BM277" s="1">
        <v>234500</v>
      </c>
      <c r="BN277" s="1">
        <v>259100</v>
      </c>
      <c r="BO277" s="1">
        <v>312500</v>
      </c>
      <c r="BP277" s="1">
        <v>361000</v>
      </c>
      <c r="BQ277" s="1">
        <v>229100</v>
      </c>
      <c r="BR277" s="1">
        <v>155700</v>
      </c>
      <c r="BS277" s="1">
        <v>275400</v>
      </c>
      <c r="BT277" s="1">
        <v>265800</v>
      </c>
      <c r="BU277" s="1">
        <v>283500</v>
      </c>
      <c r="BV277" s="1">
        <v>137000</v>
      </c>
      <c r="BW277" s="1">
        <v>196400</v>
      </c>
      <c r="BX277" s="1">
        <v>167500</v>
      </c>
      <c r="BY277" s="1">
        <v>220300</v>
      </c>
      <c r="BZ277" s="1">
        <v>162800</v>
      </c>
    </row>
    <row r="278" spans="1:254">
      <c r="A278" s="394" t="s">
        <v>491</v>
      </c>
      <c r="B278" s="1" t="str">
        <f>銘柄管理!C278</f>
        <v>ゴールドクレスト</v>
      </c>
      <c r="C278" s="1">
        <f>_xll.RssMarket("8871","出来高")</f>
        <v>50400</v>
      </c>
      <c r="D278" s="82">
        <f t="shared" si="4"/>
        <v>0</v>
      </c>
      <c r="E278" s="1">
        <v>50400</v>
      </c>
      <c r="F278" s="1">
        <v>50900</v>
      </c>
      <c r="G278" s="1">
        <v>69500</v>
      </c>
      <c r="H278" s="1">
        <v>92900</v>
      </c>
      <c r="I278" s="1">
        <v>96600</v>
      </c>
      <c r="J278" s="1">
        <v>68700</v>
      </c>
      <c r="K278" s="1">
        <v>63600</v>
      </c>
      <c r="L278" s="1">
        <v>70200</v>
      </c>
      <c r="M278" s="1">
        <v>45300</v>
      </c>
      <c r="O278" s="1">
        <v>45200</v>
      </c>
      <c r="P278" s="1">
        <v>46400</v>
      </c>
      <c r="Q278" s="1">
        <v>38900</v>
      </c>
      <c r="R278" s="1">
        <v>123800</v>
      </c>
      <c r="S278" s="1">
        <v>27000</v>
      </c>
      <c r="T278" s="1">
        <v>25800</v>
      </c>
      <c r="U278" s="1">
        <v>24000</v>
      </c>
      <c r="V278" s="1">
        <v>31900</v>
      </c>
      <c r="W278" s="1">
        <v>21700</v>
      </c>
      <c r="X278" s="1">
        <v>51500</v>
      </c>
      <c r="Y278" s="1">
        <v>22100</v>
      </c>
      <c r="Z278" s="1">
        <v>27000</v>
      </c>
      <c r="AA278" s="1">
        <v>28100</v>
      </c>
      <c r="AB278" s="1">
        <v>37500</v>
      </c>
      <c r="AC278" s="1">
        <v>57500</v>
      </c>
      <c r="AD278" s="1">
        <v>38700</v>
      </c>
      <c r="AE278" s="1">
        <v>24900</v>
      </c>
      <c r="AF278" s="1">
        <v>30000</v>
      </c>
      <c r="AG278" s="1">
        <v>23200</v>
      </c>
      <c r="AH278" s="1">
        <v>28400</v>
      </c>
      <c r="AI278" s="1">
        <v>41400</v>
      </c>
      <c r="AJ278" s="1">
        <v>37500</v>
      </c>
      <c r="AK278" s="1">
        <v>48200</v>
      </c>
      <c r="AL278" s="1">
        <v>37200</v>
      </c>
      <c r="AM278" s="1">
        <v>23900</v>
      </c>
      <c r="AN278" s="1">
        <v>33600</v>
      </c>
      <c r="AO278" s="1">
        <v>30500</v>
      </c>
      <c r="AP278" s="1">
        <v>30300</v>
      </c>
      <c r="AQ278" s="1">
        <v>35300</v>
      </c>
      <c r="AR278" s="1">
        <v>32900</v>
      </c>
      <c r="AS278" s="1">
        <v>53000</v>
      </c>
      <c r="AT278" s="1">
        <v>60500</v>
      </c>
      <c r="AU278" s="1">
        <v>52900</v>
      </c>
      <c r="AV278" s="1">
        <v>43800</v>
      </c>
      <c r="AW278" s="1">
        <v>54200</v>
      </c>
      <c r="AX278" s="1">
        <v>54900</v>
      </c>
      <c r="AY278" s="1">
        <v>38700</v>
      </c>
      <c r="AZ278" s="1">
        <v>43800</v>
      </c>
      <c r="BA278" s="1">
        <v>40400</v>
      </c>
      <c r="BB278" s="1">
        <v>37700</v>
      </c>
      <c r="BC278" s="1">
        <v>56700</v>
      </c>
      <c r="BD278" s="1">
        <v>36900</v>
      </c>
      <c r="BE278" s="1">
        <v>90400</v>
      </c>
      <c r="BF278" s="1">
        <v>86000</v>
      </c>
      <c r="BG278" s="1">
        <v>147400</v>
      </c>
      <c r="BH278" s="1">
        <v>46800</v>
      </c>
      <c r="BI278" s="1">
        <v>35600</v>
      </c>
      <c r="BJ278" s="1">
        <v>14000</v>
      </c>
      <c r="BK278" s="1">
        <v>14700</v>
      </c>
      <c r="BL278" s="1">
        <v>17600</v>
      </c>
      <c r="BM278" s="1">
        <v>17500</v>
      </c>
      <c r="BN278" s="1">
        <v>20000</v>
      </c>
      <c r="BO278" s="1">
        <v>25900</v>
      </c>
      <c r="BP278" s="1">
        <v>36200</v>
      </c>
      <c r="BQ278" s="1">
        <v>66200</v>
      </c>
      <c r="BR278" s="1">
        <v>15800</v>
      </c>
      <c r="BS278" s="1">
        <v>22600</v>
      </c>
      <c r="BT278" s="1">
        <v>34600</v>
      </c>
      <c r="BU278" s="1">
        <v>13900</v>
      </c>
      <c r="BV278" s="1">
        <v>18800</v>
      </c>
      <c r="BW278" s="1">
        <v>31400</v>
      </c>
      <c r="BX278" s="1">
        <v>22700</v>
      </c>
      <c r="BY278" s="1">
        <v>18100</v>
      </c>
      <c r="BZ278" s="1">
        <v>20600</v>
      </c>
    </row>
    <row r="279" spans="1:254">
      <c r="A279" s="394" t="s">
        <v>492</v>
      </c>
      <c r="B279" s="1" t="str">
        <f>銘柄管理!C279</f>
        <v>アバールデータ</v>
      </c>
      <c r="C279" s="1">
        <f>_xll.RssMarket("6918","出来高")</f>
        <v>39900</v>
      </c>
      <c r="D279" s="82">
        <f t="shared" si="4"/>
        <v>0</v>
      </c>
      <c r="E279" s="1">
        <v>39900</v>
      </c>
      <c r="F279" s="1">
        <v>78900</v>
      </c>
      <c r="G279" s="1">
        <v>48000</v>
      </c>
      <c r="H279" s="1">
        <v>47500</v>
      </c>
      <c r="I279" s="1">
        <v>46800</v>
      </c>
      <c r="J279" s="1">
        <v>20100</v>
      </c>
      <c r="K279" s="1">
        <v>79500</v>
      </c>
      <c r="L279" s="1">
        <v>25300</v>
      </c>
      <c r="M279" s="1">
        <v>21100</v>
      </c>
      <c r="O279" s="1">
        <v>13700</v>
      </c>
      <c r="P279" s="1">
        <v>24200</v>
      </c>
      <c r="Q279" s="1">
        <v>37500</v>
      </c>
      <c r="R279" s="1">
        <v>69700</v>
      </c>
      <c r="S279" s="1">
        <v>10600</v>
      </c>
      <c r="T279" s="1">
        <v>15400</v>
      </c>
      <c r="U279" s="1">
        <v>20200</v>
      </c>
      <c r="V279" s="1">
        <v>23000</v>
      </c>
      <c r="W279" s="1">
        <v>15100</v>
      </c>
      <c r="X279" s="1">
        <v>24400</v>
      </c>
      <c r="Y279" s="1">
        <v>12600</v>
      </c>
      <c r="Z279" s="1">
        <v>21700</v>
      </c>
      <c r="AA279" s="1">
        <v>23400</v>
      </c>
      <c r="AB279" s="1">
        <v>21500</v>
      </c>
      <c r="AC279" s="1">
        <v>38500</v>
      </c>
      <c r="AD279" s="1">
        <v>12300</v>
      </c>
      <c r="AE279" s="1">
        <v>26500</v>
      </c>
      <c r="AF279" s="1">
        <v>22100</v>
      </c>
      <c r="AG279" s="1">
        <v>27100</v>
      </c>
      <c r="AH279" s="1">
        <v>22300</v>
      </c>
      <c r="AI279" s="1">
        <v>27200</v>
      </c>
      <c r="AJ279" s="1">
        <v>35600</v>
      </c>
      <c r="AK279" s="1">
        <v>26800</v>
      </c>
      <c r="AL279" s="1">
        <v>39500</v>
      </c>
      <c r="AM279" s="1">
        <v>26700</v>
      </c>
      <c r="AN279" s="1">
        <v>22200</v>
      </c>
      <c r="AO279" s="1">
        <v>21000</v>
      </c>
      <c r="AP279" s="1">
        <v>29800</v>
      </c>
      <c r="AQ279" s="1">
        <v>27800</v>
      </c>
      <c r="AR279" s="1">
        <v>46900</v>
      </c>
      <c r="AS279" s="1">
        <v>39500</v>
      </c>
      <c r="AT279" s="1">
        <v>25000</v>
      </c>
      <c r="AU279" s="1">
        <v>34100</v>
      </c>
      <c r="AV279" s="1">
        <v>35200</v>
      </c>
      <c r="AW279" s="1">
        <v>25900</v>
      </c>
      <c r="AX279" s="1">
        <v>19100</v>
      </c>
      <c r="AY279" s="1">
        <v>42800</v>
      </c>
      <c r="AZ279" s="1">
        <v>19500</v>
      </c>
      <c r="BA279" s="1">
        <v>16300</v>
      </c>
      <c r="BB279" s="1">
        <v>29800</v>
      </c>
      <c r="BC279" s="1">
        <v>14100</v>
      </c>
      <c r="BD279" s="1">
        <v>19700</v>
      </c>
      <c r="BE279" s="1">
        <v>45900</v>
      </c>
      <c r="BF279" s="1">
        <v>53100</v>
      </c>
      <c r="BG279" s="1">
        <v>76800</v>
      </c>
      <c r="BH279" s="1">
        <v>60400</v>
      </c>
      <c r="BI279" s="1">
        <v>24500</v>
      </c>
      <c r="BJ279" s="1">
        <v>47800</v>
      </c>
      <c r="BK279" s="1">
        <v>93600</v>
      </c>
      <c r="BL279" s="1">
        <v>23800</v>
      </c>
      <c r="BM279" s="1">
        <v>60400</v>
      </c>
      <c r="BN279" s="1">
        <v>38900</v>
      </c>
      <c r="BO279" s="1">
        <v>12000</v>
      </c>
      <c r="BP279" s="1">
        <v>17200</v>
      </c>
      <c r="BQ279" s="1">
        <v>47000</v>
      </c>
      <c r="BR279" s="1">
        <v>18500</v>
      </c>
      <c r="BS279" s="1">
        <v>20000</v>
      </c>
      <c r="BT279" s="1">
        <v>41600</v>
      </c>
      <c r="BU279" s="1">
        <v>36100</v>
      </c>
      <c r="BV279" s="1">
        <v>30000</v>
      </c>
      <c r="BW279" s="1">
        <v>21600</v>
      </c>
      <c r="BX279" s="1">
        <v>5500</v>
      </c>
      <c r="BY279" s="1">
        <v>19000</v>
      </c>
      <c r="BZ279" s="1">
        <v>26200</v>
      </c>
    </row>
    <row r="280" spans="1:254">
      <c r="A280" s="394" t="s">
        <v>493</v>
      </c>
      <c r="B280" s="1" t="str">
        <f>銘柄管理!C280</f>
        <v>ヨシタケ</v>
      </c>
      <c r="C280" s="1">
        <f>_xll.RssMarket("6488","出来高")</f>
        <v>700</v>
      </c>
      <c r="D280" s="82">
        <f t="shared" si="4"/>
        <v>0</v>
      </c>
      <c r="E280" s="1">
        <v>700</v>
      </c>
      <c r="F280" s="1">
        <v>3400</v>
      </c>
      <c r="G280" s="1">
        <v>6300</v>
      </c>
      <c r="H280" s="1">
        <v>8400</v>
      </c>
      <c r="I280" s="1">
        <v>22600</v>
      </c>
      <c r="J280" s="1">
        <v>3100</v>
      </c>
      <c r="K280" s="1">
        <v>3500</v>
      </c>
      <c r="L280" s="1">
        <v>2600</v>
      </c>
      <c r="M280" s="1">
        <v>2000</v>
      </c>
      <c r="N280" s="1">
        <v>4900</v>
      </c>
      <c r="O280" s="1">
        <v>4600</v>
      </c>
      <c r="P280" s="1">
        <v>10100</v>
      </c>
      <c r="Q280" s="1">
        <v>2200</v>
      </c>
      <c r="R280" s="1">
        <v>7800</v>
      </c>
      <c r="S280" s="1">
        <v>4800</v>
      </c>
      <c r="T280" s="1">
        <v>4700</v>
      </c>
      <c r="U280" s="1">
        <v>6500</v>
      </c>
      <c r="V280" s="1">
        <v>9200</v>
      </c>
      <c r="W280" s="1">
        <v>10000</v>
      </c>
      <c r="X280" s="1">
        <v>5700</v>
      </c>
      <c r="Y280" s="1">
        <v>10500</v>
      </c>
      <c r="Z280" s="1">
        <v>2800</v>
      </c>
      <c r="AA280" s="1">
        <v>12200</v>
      </c>
      <c r="AB280" s="1">
        <v>12300</v>
      </c>
      <c r="AC280" s="1">
        <v>4700</v>
      </c>
      <c r="AD280" s="1">
        <v>1500</v>
      </c>
      <c r="AE280" s="1">
        <v>3800</v>
      </c>
      <c r="AF280" s="1">
        <v>9100</v>
      </c>
      <c r="AG280" s="1">
        <v>5700</v>
      </c>
      <c r="AH280" s="1">
        <v>6000</v>
      </c>
      <c r="AI280" s="1">
        <v>10200</v>
      </c>
      <c r="AJ280" s="1">
        <v>8700</v>
      </c>
      <c r="AK280" s="1">
        <v>7100</v>
      </c>
      <c r="AL280" s="1">
        <v>5300</v>
      </c>
      <c r="AM280" s="1">
        <v>1400</v>
      </c>
      <c r="AN280" s="1">
        <v>4000</v>
      </c>
      <c r="AO280" s="1">
        <v>6000</v>
      </c>
      <c r="AP280" s="1">
        <v>5300</v>
      </c>
      <c r="AQ280" s="1">
        <v>5400</v>
      </c>
      <c r="AR280" s="1">
        <v>9100</v>
      </c>
      <c r="AS280" s="1">
        <v>1700</v>
      </c>
      <c r="AT280" s="1">
        <v>2900</v>
      </c>
      <c r="AU280" s="1">
        <v>3800</v>
      </c>
      <c r="AV280" s="1">
        <v>3200</v>
      </c>
      <c r="AW280" s="1">
        <v>5600</v>
      </c>
      <c r="AX280" s="1">
        <v>3600</v>
      </c>
      <c r="AY280" s="1">
        <v>14700</v>
      </c>
      <c r="AZ280" s="1">
        <v>2100</v>
      </c>
      <c r="BA280" s="1">
        <v>4000</v>
      </c>
      <c r="BB280" s="1">
        <v>6700</v>
      </c>
      <c r="BC280" s="1">
        <v>3300</v>
      </c>
      <c r="BD280" s="1">
        <v>3600</v>
      </c>
      <c r="BE280" s="1">
        <v>7100</v>
      </c>
      <c r="BF280" s="1">
        <v>13400</v>
      </c>
      <c r="BG280" s="1">
        <v>17400</v>
      </c>
      <c r="BH280" s="1">
        <v>12700</v>
      </c>
      <c r="BI280" s="1">
        <v>800</v>
      </c>
      <c r="BJ280" s="1">
        <v>1900</v>
      </c>
      <c r="BK280" s="1">
        <v>2900</v>
      </c>
      <c r="BL280" s="1">
        <v>3500</v>
      </c>
      <c r="BM280" s="1">
        <v>4400</v>
      </c>
      <c r="BN280" s="1">
        <v>4600</v>
      </c>
      <c r="BO280" s="1">
        <v>400</v>
      </c>
      <c r="BP280" s="1">
        <v>1200</v>
      </c>
      <c r="BQ280" s="1">
        <v>5300</v>
      </c>
      <c r="BR280" s="1">
        <v>2800</v>
      </c>
      <c r="BS280" s="1">
        <v>600</v>
      </c>
      <c r="BT280" s="1">
        <v>8900</v>
      </c>
      <c r="BU280" s="1">
        <v>800</v>
      </c>
      <c r="BV280" s="1">
        <v>2100</v>
      </c>
      <c r="BW280" s="1">
        <v>3000</v>
      </c>
      <c r="BX280" s="1">
        <v>18600</v>
      </c>
      <c r="BY280" s="1">
        <v>800</v>
      </c>
      <c r="BZ280" s="1">
        <v>2000</v>
      </c>
    </row>
    <row r="281" spans="1:254">
      <c r="A281" s="394" t="s">
        <v>494</v>
      </c>
      <c r="B281" s="1" t="str">
        <f>銘柄管理!C281</f>
        <v>高島</v>
      </c>
      <c r="C281" s="1">
        <f>_xll.RssMarket("8007","出来高")</f>
        <v>358900</v>
      </c>
      <c r="D281" s="82">
        <f t="shared" si="4"/>
        <v>0</v>
      </c>
      <c r="E281" s="1">
        <v>358900</v>
      </c>
      <c r="F281" s="1">
        <v>82600</v>
      </c>
      <c r="G281" s="1">
        <v>101000</v>
      </c>
      <c r="H281" s="1">
        <v>137700</v>
      </c>
      <c r="I281" s="1">
        <v>112100</v>
      </c>
      <c r="J281" s="1">
        <v>100900</v>
      </c>
      <c r="K281" s="1">
        <v>113600</v>
      </c>
      <c r="L281" s="1">
        <v>153100</v>
      </c>
      <c r="M281" s="1">
        <v>111300</v>
      </c>
      <c r="N281" s="1">
        <v>66400</v>
      </c>
      <c r="O281" s="1">
        <v>52600</v>
      </c>
      <c r="P281" s="1">
        <v>72900</v>
      </c>
      <c r="Q281" s="1">
        <v>71400</v>
      </c>
      <c r="R281" s="1">
        <v>123200</v>
      </c>
      <c r="S281" s="1">
        <v>89900</v>
      </c>
      <c r="T281" s="1">
        <v>75100</v>
      </c>
      <c r="U281" s="1">
        <v>127600</v>
      </c>
      <c r="V281" s="1">
        <v>74000</v>
      </c>
      <c r="W281" s="1">
        <v>80300</v>
      </c>
      <c r="X281" s="1">
        <v>74200</v>
      </c>
      <c r="Y281" s="1">
        <v>150200</v>
      </c>
      <c r="Z281" s="1">
        <v>154000</v>
      </c>
      <c r="AA281" s="1">
        <v>85400</v>
      </c>
      <c r="AB281" s="1">
        <v>124000</v>
      </c>
      <c r="AC281" s="1">
        <v>108500</v>
      </c>
      <c r="AD281" s="1">
        <v>93000</v>
      </c>
      <c r="AE281" s="1">
        <v>97300</v>
      </c>
      <c r="AF281" s="1">
        <v>51800</v>
      </c>
      <c r="AG281" s="1">
        <v>117200</v>
      </c>
      <c r="AH281" s="1">
        <v>67700</v>
      </c>
      <c r="AI281" s="1">
        <v>84700</v>
      </c>
      <c r="AJ281" s="1">
        <v>93200</v>
      </c>
      <c r="AK281" s="1">
        <v>99000</v>
      </c>
      <c r="AL281" s="1">
        <v>92600</v>
      </c>
      <c r="AM281" s="1">
        <v>208400</v>
      </c>
      <c r="AN281" s="1">
        <v>184600</v>
      </c>
      <c r="AO281" s="1">
        <v>203600</v>
      </c>
      <c r="AP281" s="1">
        <v>78500</v>
      </c>
      <c r="AQ281" s="1">
        <v>94300</v>
      </c>
      <c r="AR281" s="1">
        <v>84600</v>
      </c>
      <c r="AS281" s="1">
        <v>119100</v>
      </c>
      <c r="AT281" s="1">
        <v>110100</v>
      </c>
      <c r="AU281" s="1">
        <v>97200</v>
      </c>
      <c r="AV281" s="1">
        <v>166700</v>
      </c>
      <c r="AW281" s="1">
        <v>213600</v>
      </c>
      <c r="AX281" s="1">
        <v>95000</v>
      </c>
      <c r="AY281" s="1">
        <v>92400</v>
      </c>
      <c r="AZ281" s="1">
        <v>77500</v>
      </c>
      <c r="BA281" s="1">
        <v>149800</v>
      </c>
      <c r="BB281" s="1">
        <v>93800</v>
      </c>
      <c r="BC281" s="1">
        <v>111400</v>
      </c>
      <c r="BD281" s="1">
        <v>225900</v>
      </c>
      <c r="BE281" s="1">
        <v>253700</v>
      </c>
      <c r="BF281" s="1">
        <v>260500</v>
      </c>
      <c r="BG281" s="1">
        <v>504500</v>
      </c>
      <c r="BH281" s="1">
        <v>995500</v>
      </c>
      <c r="BI281" s="1">
        <v>670900</v>
      </c>
      <c r="BJ281" s="1">
        <v>141100</v>
      </c>
      <c r="BK281" s="1">
        <v>127000</v>
      </c>
      <c r="BL281" s="1">
        <v>79700</v>
      </c>
      <c r="BM281" s="1">
        <v>65800</v>
      </c>
      <c r="BN281" s="1">
        <v>63800</v>
      </c>
      <c r="BO281" s="1">
        <v>86600</v>
      </c>
      <c r="BP281" s="1">
        <v>97500</v>
      </c>
      <c r="BQ281" s="1">
        <v>139400</v>
      </c>
      <c r="BR281" s="1">
        <v>110300</v>
      </c>
      <c r="BS281" s="1">
        <v>130000</v>
      </c>
      <c r="BT281" s="1">
        <v>192000</v>
      </c>
      <c r="BU281" s="1">
        <v>164800</v>
      </c>
      <c r="BV281" s="1">
        <v>214200</v>
      </c>
      <c r="BW281" s="1">
        <v>83900</v>
      </c>
      <c r="BX281" s="1">
        <v>63900</v>
      </c>
      <c r="BY281" s="1">
        <v>72100</v>
      </c>
      <c r="BZ281" s="1">
        <v>79300</v>
      </c>
    </row>
    <row r="282" spans="1:254">
      <c r="A282" s="394" t="s">
        <v>495</v>
      </c>
      <c r="B282" s="1" t="str">
        <f>銘柄管理!C282</f>
        <v>ニチバン</v>
      </c>
      <c r="C282" s="1">
        <f>_xll.RssMarket("4218","出来高")</f>
        <v>14100</v>
      </c>
      <c r="D282" s="82">
        <f t="shared" si="4"/>
        <v>0</v>
      </c>
      <c r="E282" s="1">
        <v>14100</v>
      </c>
      <c r="F282" s="1">
        <v>9000</v>
      </c>
      <c r="G282" s="1">
        <v>13000</v>
      </c>
      <c r="H282" s="1">
        <v>32500</v>
      </c>
      <c r="I282" s="1">
        <v>31200</v>
      </c>
      <c r="J282" s="1">
        <v>21600</v>
      </c>
      <c r="K282" s="1">
        <v>28400</v>
      </c>
      <c r="L282" s="1">
        <v>16700</v>
      </c>
      <c r="M282" s="1">
        <v>15200</v>
      </c>
      <c r="N282" s="1">
        <v>9500</v>
      </c>
      <c r="O282" s="1">
        <v>12300</v>
      </c>
      <c r="P282" s="1">
        <v>14700</v>
      </c>
      <c r="Q282" s="1">
        <v>43700</v>
      </c>
      <c r="R282" s="1">
        <v>18100</v>
      </c>
      <c r="S282" s="1">
        <v>9700</v>
      </c>
      <c r="T282" s="1">
        <v>17800</v>
      </c>
      <c r="U282" s="1">
        <v>10500</v>
      </c>
      <c r="V282" s="1">
        <v>14300</v>
      </c>
      <c r="W282" s="1">
        <v>11700</v>
      </c>
      <c r="X282" s="1">
        <v>22600</v>
      </c>
      <c r="Y282" s="1">
        <v>13100</v>
      </c>
      <c r="Z282" s="1">
        <v>12400</v>
      </c>
      <c r="AA282" s="1">
        <v>24000</v>
      </c>
      <c r="AB282" s="1">
        <v>23400</v>
      </c>
      <c r="AC282" s="1">
        <v>19600</v>
      </c>
      <c r="AD282" s="1">
        <v>12400</v>
      </c>
      <c r="AE282" s="1">
        <v>22900</v>
      </c>
      <c r="AF282" s="1">
        <v>10900</v>
      </c>
      <c r="AG282" s="1">
        <v>19800</v>
      </c>
      <c r="AH282" s="1">
        <v>20600</v>
      </c>
      <c r="AI282" s="1">
        <v>15500</v>
      </c>
      <c r="AJ282" s="1">
        <v>21700</v>
      </c>
      <c r="AK282" s="1">
        <v>52300</v>
      </c>
      <c r="AL282" s="1">
        <v>16900</v>
      </c>
      <c r="AM282" s="1">
        <v>13500</v>
      </c>
      <c r="AN282" s="1">
        <v>10700</v>
      </c>
      <c r="AO282" s="1">
        <v>14100</v>
      </c>
      <c r="AP282" s="1">
        <v>21200</v>
      </c>
      <c r="AQ282" s="1">
        <v>18500</v>
      </c>
      <c r="AR282" s="1">
        <v>18900</v>
      </c>
      <c r="AS282" s="1">
        <v>28700</v>
      </c>
      <c r="AT282" s="1">
        <v>10400</v>
      </c>
      <c r="AU282" s="1">
        <v>20300</v>
      </c>
      <c r="AV282" s="1">
        <v>22500</v>
      </c>
      <c r="AW282" s="1">
        <v>33000</v>
      </c>
      <c r="AX282" s="1">
        <v>16000</v>
      </c>
      <c r="AY282" s="1">
        <v>20800</v>
      </c>
      <c r="AZ282" s="1">
        <v>9900</v>
      </c>
      <c r="BA282" s="1">
        <v>16200</v>
      </c>
      <c r="BB282" s="1">
        <v>9400</v>
      </c>
      <c r="BC282" s="1">
        <v>8800</v>
      </c>
      <c r="BD282" s="1">
        <v>20700</v>
      </c>
      <c r="BE282" s="1">
        <v>32400</v>
      </c>
      <c r="BF282" s="1">
        <v>36000</v>
      </c>
      <c r="BG282" s="1">
        <v>33000</v>
      </c>
      <c r="BH282" s="1">
        <v>42000</v>
      </c>
      <c r="BI282" s="1">
        <v>12400</v>
      </c>
      <c r="BJ282" s="1">
        <v>8700</v>
      </c>
      <c r="BK282" s="1">
        <v>14500</v>
      </c>
      <c r="BL282" s="1">
        <v>25000</v>
      </c>
      <c r="BM282" s="1">
        <v>12200</v>
      </c>
      <c r="BN282" s="1">
        <v>16700</v>
      </c>
      <c r="BO282" s="1">
        <v>21000</v>
      </c>
      <c r="BP282" s="1">
        <v>20500</v>
      </c>
      <c r="BQ282" s="1">
        <v>29000</v>
      </c>
      <c r="BR282" s="1">
        <v>29700</v>
      </c>
      <c r="BS282" s="1">
        <v>27000</v>
      </c>
      <c r="BT282" s="1">
        <v>22600</v>
      </c>
      <c r="BU282" s="1">
        <v>18200</v>
      </c>
      <c r="BV282" s="1">
        <v>13700</v>
      </c>
      <c r="BW282" s="1">
        <v>9700</v>
      </c>
      <c r="BX282" s="1">
        <v>14500</v>
      </c>
      <c r="BY282" s="1">
        <v>14900</v>
      </c>
      <c r="BZ282" s="1">
        <v>17800</v>
      </c>
    </row>
    <row r="283" spans="1:254">
      <c r="A283" s="394" t="s">
        <v>496</v>
      </c>
      <c r="B283" s="1" t="str">
        <f>銘柄管理!C283</f>
        <v>ＳＣＲＥＥＮホールディングス</v>
      </c>
      <c r="C283" s="1">
        <f>_xll.RssMarket("7735","出来高")</f>
        <v>4083100</v>
      </c>
      <c r="D283" s="82">
        <f t="shared" si="4"/>
        <v>0</v>
      </c>
      <c r="E283" s="1">
        <v>4083100</v>
      </c>
      <c r="F283" s="1">
        <v>3206600</v>
      </c>
      <c r="G283" s="1">
        <v>4379000</v>
      </c>
      <c r="H283" s="1">
        <v>4234600</v>
      </c>
      <c r="I283" s="1">
        <v>8553700</v>
      </c>
      <c r="J283" s="1">
        <v>5993400</v>
      </c>
      <c r="K283" s="1">
        <v>7092300</v>
      </c>
      <c r="L283" s="1">
        <v>3249100</v>
      </c>
      <c r="M283" s="1">
        <v>2458300</v>
      </c>
      <c r="N283" s="1">
        <v>3455400</v>
      </c>
      <c r="O283" s="1">
        <v>2716900</v>
      </c>
      <c r="P283" s="1">
        <v>3615300</v>
      </c>
      <c r="Q283" s="1">
        <v>2953000</v>
      </c>
      <c r="R283" s="1">
        <v>5140900</v>
      </c>
      <c r="S283" s="1">
        <v>3531000</v>
      </c>
      <c r="T283" s="1">
        <v>3155500</v>
      </c>
      <c r="U283" s="1">
        <v>2505600</v>
      </c>
      <c r="V283" s="1">
        <v>3056300</v>
      </c>
      <c r="W283" s="1">
        <v>3076600</v>
      </c>
      <c r="X283" s="1">
        <v>3515900</v>
      </c>
      <c r="Y283" s="1">
        <v>3336700</v>
      </c>
      <c r="Z283" s="1">
        <v>3715700</v>
      </c>
      <c r="AA283" s="1">
        <v>4140700</v>
      </c>
      <c r="AB283" s="1">
        <v>4075500</v>
      </c>
      <c r="AC283" s="1">
        <v>5837300</v>
      </c>
      <c r="AD283" s="1">
        <v>4417400</v>
      </c>
      <c r="AE283" s="1">
        <v>2517400</v>
      </c>
      <c r="AF283" s="1">
        <v>3561100</v>
      </c>
      <c r="AG283" s="1">
        <v>3684200</v>
      </c>
      <c r="AH283" s="1">
        <v>2819900</v>
      </c>
      <c r="AI283" s="1">
        <v>2801800</v>
      </c>
      <c r="AJ283" s="1">
        <v>2544200</v>
      </c>
      <c r="AK283" s="1">
        <v>3777500</v>
      </c>
      <c r="AL283" s="1">
        <v>4061800</v>
      </c>
      <c r="AM283" s="1">
        <v>2431400</v>
      </c>
      <c r="AN283" s="1">
        <v>3407300</v>
      </c>
      <c r="AO283" s="1">
        <v>3138900</v>
      </c>
      <c r="AP283" s="1">
        <v>3457600</v>
      </c>
      <c r="AQ283" s="1">
        <v>2463400</v>
      </c>
      <c r="AR283" s="1">
        <v>4607000</v>
      </c>
      <c r="AS283" s="1">
        <v>2387100</v>
      </c>
      <c r="AT283" s="1">
        <v>2322300</v>
      </c>
      <c r="AU283" s="1">
        <v>2664200</v>
      </c>
      <c r="AV283" s="1">
        <v>4984700</v>
      </c>
      <c r="AW283" s="1">
        <v>2562700</v>
      </c>
      <c r="AX283" s="1">
        <v>3399100</v>
      </c>
      <c r="AY283" s="1">
        <v>1835200</v>
      </c>
      <c r="AZ283" s="1">
        <v>3065000</v>
      </c>
      <c r="BA283" s="1">
        <v>2190400</v>
      </c>
      <c r="BB283" s="1">
        <v>1935200</v>
      </c>
      <c r="BC283" s="1">
        <v>2575000</v>
      </c>
      <c r="BD283" s="1">
        <v>2035000</v>
      </c>
      <c r="BE283" s="1">
        <v>2201300</v>
      </c>
      <c r="BF283" s="1">
        <v>2438400</v>
      </c>
      <c r="BG283" s="1">
        <v>3181900</v>
      </c>
      <c r="BH283" s="1">
        <v>6055300</v>
      </c>
      <c r="BI283" s="1">
        <v>2359000</v>
      </c>
      <c r="BJ283" s="1">
        <v>1566300</v>
      </c>
      <c r="BK283" s="1">
        <v>1802900</v>
      </c>
      <c r="BL283" s="1">
        <v>2098900</v>
      </c>
      <c r="BM283" s="1">
        <v>2915500</v>
      </c>
      <c r="BN283" s="1">
        <v>1902200</v>
      </c>
      <c r="BO283" s="1">
        <v>1565000</v>
      </c>
      <c r="BP283" s="1">
        <v>1906400</v>
      </c>
      <c r="BQ283" s="1">
        <v>1991900</v>
      </c>
      <c r="BR283" s="1">
        <v>1634000</v>
      </c>
      <c r="BS283" s="1">
        <v>2201900</v>
      </c>
      <c r="BT283" s="1">
        <v>2212500</v>
      </c>
      <c r="BU283" s="1">
        <v>1531300</v>
      </c>
      <c r="BV283" s="1">
        <v>1700400</v>
      </c>
      <c r="BW283" s="1">
        <v>2542600</v>
      </c>
      <c r="BX283" s="1">
        <v>2684200</v>
      </c>
      <c r="BY283" s="1">
        <v>2390200</v>
      </c>
      <c r="BZ283" s="1">
        <v>2226400</v>
      </c>
    </row>
    <row r="284" spans="1:254">
      <c r="A284" s="394" t="s">
        <v>497</v>
      </c>
      <c r="B284" s="1" t="str">
        <f>銘柄管理!C284</f>
        <v>データセクション</v>
      </c>
      <c r="C284" s="1">
        <f>_xll.RssMarket("3905","出来高")</f>
        <v>6001600</v>
      </c>
      <c r="D284" s="82">
        <f t="shared" si="4"/>
        <v>0</v>
      </c>
      <c r="E284" s="1">
        <v>6001600</v>
      </c>
      <c r="F284" s="1">
        <v>3484200</v>
      </c>
      <c r="G284" s="1">
        <v>4969800</v>
      </c>
      <c r="H284" s="1">
        <v>2144700</v>
      </c>
      <c r="I284" s="1">
        <v>3770000</v>
      </c>
      <c r="J284" s="1">
        <v>1764400</v>
      </c>
      <c r="K284" s="1">
        <v>2191500</v>
      </c>
      <c r="L284" s="1">
        <v>1464600</v>
      </c>
      <c r="M284" s="1">
        <v>1184500</v>
      </c>
      <c r="N284" s="1">
        <v>1429500</v>
      </c>
      <c r="O284" s="1">
        <v>1401300</v>
      </c>
      <c r="P284" s="1">
        <v>1917300</v>
      </c>
      <c r="Q284" s="1">
        <v>1280800</v>
      </c>
      <c r="R284" s="1">
        <v>2018100</v>
      </c>
      <c r="S284" s="1">
        <v>1299100</v>
      </c>
      <c r="T284" s="1">
        <v>1131800</v>
      </c>
      <c r="U284" s="1">
        <v>1933800</v>
      </c>
      <c r="V284" s="1">
        <v>2870200</v>
      </c>
      <c r="W284" s="1">
        <v>1879700</v>
      </c>
      <c r="X284" s="1">
        <v>1914100</v>
      </c>
      <c r="Y284" s="1">
        <v>2391200</v>
      </c>
      <c r="Z284" s="1">
        <v>2293500</v>
      </c>
      <c r="AA284" s="1">
        <v>1832100</v>
      </c>
      <c r="AB284" s="1">
        <v>2069500</v>
      </c>
      <c r="AC284" s="1">
        <v>1107800</v>
      </c>
      <c r="AD284" s="1">
        <v>2501600</v>
      </c>
      <c r="AE284" s="1">
        <v>3664600</v>
      </c>
      <c r="AF284" s="1">
        <v>2849400</v>
      </c>
      <c r="AG284" s="1">
        <v>2064200</v>
      </c>
      <c r="AH284" s="1">
        <v>2340500</v>
      </c>
      <c r="AI284" s="1">
        <v>1929300</v>
      </c>
      <c r="AJ284" s="1">
        <v>2336800</v>
      </c>
      <c r="AK284" s="1">
        <v>3950300</v>
      </c>
      <c r="AL284" s="1">
        <v>2076400</v>
      </c>
      <c r="AM284" s="1">
        <v>1545200</v>
      </c>
      <c r="AN284" s="1">
        <v>2267300</v>
      </c>
      <c r="AO284" s="1">
        <v>3244700</v>
      </c>
      <c r="AP284" s="1">
        <v>1771100</v>
      </c>
      <c r="AQ284" s="1">
        <v>2285700</v>
      </c>
      <c r="AR284" s="1">
        <v>2153700</v>
      </c>
      <c r="AS284" s="1">
        <v>4368600</v>
      </c>
      <c r="AT284" s="1">
        <v>4374300</v>
      </c>
      <c r="AU284" s="1">
        <v>10269200</v>
      </c>
      <c r="AV284" s="1">
        <v>810000</v>
      </c>
      <c r="AW284" s="1">
        <v>3431100</v>
      </c>
      <c r="AX284" s="1">
        <v>3273500</v>
      </c>
      <c r="AY284" s="1">
        <v>5679600</v>
      </c>
      <c r="AZ284" s="1">
        <v>3305100</v>
      </c>
      <c r="BA284" s="1">
        <v>10639300</v>
      </c>
      <c r="BB284" s="1">
        <v>5125700</v>
      </c>
      <c r="BC284" s="1">
        <v>4489500</v>
      </c>
      <c r="BD284" s="1">
        <v>5101700</v>
      </c>
      <c r="BE284" s="1">
        <v>1262000</v>
      </c>
      <c r="BF284" s="1">
        <v>208200</v>
      </c>
      <c r="BG284" s="1">
        <v>2238800</v>
      </c>
      <c r="BH284" s="1">
        <v>1153000</v>
      </c>
      <c r="BI284" s="1">
        <v>1438900</v>
      </c>
      <c r="BJ284" s="1">
        <v>3375500</v>
      </c>
      <c r="BK284" s="1">
        <v>10237600</v>
      </c>
      <c r="BL284" s="1">
        <v>4014200</v>
      </c>
      <c r="BM284" s="1">
        <v>1407100</v>
      </c>
      <c r="BN284" s="1">
        <v>414200</v>
      </c>
      <c r="BO284" s="1">
        <v>264200</v>
      </c>
      <c r="BP284" s="1">
        <v>205100</v>
      </c>
      <c r="BQ284" s="1">
        <v>317600</v>
      </c>
      <c r="BR284" s="1">
        <v>323900</v>
      </c>
      <c r="BS284" s="1">
        <v>456700</v>
      </c>
      <c r="BT284" s="1">
        <v>686200</v>
      </c>
      <c r="BU284" s="1">
        <v>1372400</v>
      </c>
      <c r="BV284" s="1">
        <v>1527700</v>
      </c>
      <c r="BW284" s="1">
        <v>1587400</v>
      </c>
      <c r="BX284" s="1">
        <v>4128900</v>
      </c>
      <c r="BY284" s="1">
        <v>534000</v>
      </c>
      <c r="BZ284" s="1">
        <v>488700</v>
      </c>
    </row>
    <row r="285" spans="1:254">
      <c r="A285" s="394" t="s">
        <v>498</v>
      </c>
      <c r="B285" s="1" t="str">
        <f>銘柄管理!C285</f>
        <v>トリドールホールディングス</v>
      </c>
      <c r="C285" s="1">
        <f>_xll.RssMarket("3397","出来高")</f>
        <v>222800</v>
      </c>
      <c r="D285" s="82">
        <f t="shared" si="4"/>
        <v>0</v>
      </c>
      <c r="E285" s="1">
        <v>222800</v>
      </c>
      <c r="F285" s="1">
        <v>219400</v>
      </c>
      <c r="G285" s="1">
        <v>309700</v>
      </c>
      <c r="H285" s="1">
        <v>297600</v>
      </c>
      <c r="I285" s="1">
        <v>350900</v>
      </c>
      <c r="J285" s="1">
        <v>607000</v>
      </c>
      <c r="K285" s="1">
        <v>910900</v>
      </c>
      <c r="L285" s="1">
        <v>491000</v>
      </c>
      <c r="M285" s="1">
        <v>296800</v>
      </c>
      <c r="N285" s="1">
        <v>190400</v>
      </c>
      <c r="O285" s="1">
        <v>190500</v>
      </c>
      <c r="P285" s="1">
        <v>283000</v>
      </c>
      <c r="Q285" s="1">
        <v>302700</v>
      </c>
      <c r="R285" s="1">
        <v>364100</v>
      </c>
      <c r="S285" s="1">
        <v>229500</v>
      </c>
      <c r="T285" s="1">
        <v>411400</v>
      </c>
      <c r="U285" s="1">
        <v>227600</v>
      </c>
      <c r="V285" s="1">
        <v>251100</v>
      </c>
      <c r="W285" s="1">
        <v>316800</v>
      </c>
      <c r="X285" s="1">
        <v>356700</v>
      </c>
      <c r="Y285" s="1">
        <v>339600</v>
      </c>
      <c r="Z285" s="1">
        <v>253000</v>
      </c>
      <c r="AA285" s="1">
        <v>343200</v>
      </c>
      <c r="AB285" s="1">
        <v>318900</v>
      </c>
      <c r="AC285" s="1">
        <v>265800</v>
      </c>
      <c r="AD285" s="1">
        <v>344600</v>
      </c>
      <c r="AE285" s="1">
        <v>551300</v>
      </c>
      <c r="AF285" s="1">
        <v>284700</v>
      </c>
      <c r="AG285" s="1">
        <v>535300</v>
      </c>
      <c r="AH285" s="1">
        <v>328500</v>
      </c>
      <c r="AI285" s="1">
        <v>706900</v>
      </c>
      <c r="AJ285" s="1">
        <v>453100</v>
      </c>
      <c r="AK285" s="1">
        <v>547700</v>
      </c>
      <c r="AL285" s="1">
        <v>907400</v>
      </c>
      <c r="AM285" s="1">
        <v>688400</v>
      </c>
      <c r="AN285" s="1">
        <v>358900</v>
      </c>
      <c r="AO285" s="1">
        <v>436700</v>
      </c>
      <c r="AP285" s="1">
        <v>493500</v>
      </c>
      <c r="AQ285" s="1">
        <v>340900</v>
      </c>
      <c r="AR285" s="1">
        <v>315600</v>
      </c>
      <c r="AS285" s="1">
        <v>390100</v>
      </c>
      <c r="AT285" s="1">
        <v>319700</v>
      </c>
      <c r="AU285" s="1">
        <v>302800</v>
      </c>
      <c r="AV285" s="1">
        <v>290800</v>
      </c>
      <c r="AW285" s="1">
        <v>384800</v>
      </c>
      <c r="AX285" s="1">
        <v>386800</v>
      </c>
      <c r="AY285" s="1">
        <v>286500</v>
      </c>
      <c r="AZ285" s="1">
        <v>497800</v>
      </c>
      <c r="BA285" s="1">
        <v>310600</v>
      </c>
      <c r="BB285" s="1">
        <v>221100</v>
      </c>
      <c r="BC285" s="1">
        <v>358900</v>
      </c>
      <c r="BD285" s="1">
        <v>296300</v>
      </c>
      <c r="BE285" s="1">
        <v>315700</v>
      </c>
      <c r="BF285" s="1">
        <v>484600</v>
      </c>
      <c r="BG285" s="1">
        <v>1221800</v>
      </c>
      <c r="BH285" s="1">
        <v>421800</v>
      </c>
      <c r="BI285" s="1">
        <v>261600</v>
      </c>
      <c r="BJ285" s="1">
        <v>276400</v>
      </c>
      <c r="BK285" s="1">
        <v>315600</v>
      </c>
      <c r="BL285" s="1">
        <v>315100</v>
      </c>
      <c r="BM285" s="1">
        <v>358800</v>
      </c>
      <c r="BN285" s="1">
        <v>303500</v>
      </c>
      <c r="BO285" s="1">
        <v>371300</v>
      </c>
      <c r="BP285" s="1">
        <v>208200</v>
      </c>
      <c r="BQ285" s="1">
        <v>242600</v>
      </c>
      <c r="BR285" s="1">
        <v>262200</v>
      </c>
      <c r="BS285" s="1">
        <v>220400</v>
      </c>
      <c r="BT285" s="1">
        <v>184400</v>
      </c>
      <c r="BU285" s="1">
        <v>199400</v>
      </c>
      <c r="BV285" s="1">
        <v>165700</v>
      </c>
      <c r="BW285" s="1">
        <v>302400</v>
      </c>
      <c r="BX285" s="1">
        <v>264200</v>
      </c>
      <c r="BY285" s="1">
        <v>225700</v>
      </c>
      <c r="BZ285" s="1">
        <v>258400</v>
      </c>
    </row>
    <row r="286" spans="1:254">
      <c r="A286" s="394" t="s">
        <v>499</v>
      </c>
      <c r="B286" s="1" t="str">
        <f>銘柄管理!C286</f>
        <v>ＳＵＢＡＲＵ</v>
      </c>
      <c r="C286" s="1">
        <f>_xll.RssMarket("7270","出来高")</f>
        <v>8242000</v>
      </c>
      <c r="D286" s="82">
        <f t="shared" si="4"/>
        <v>0</v>
      </c>
      <c r="E286" s="1">
        <v>8242000</v>
      </c>
      <c r="F286" s="1">
        <v>11544300</v>
      </c>
      <c r="G286" s="1">
        <v>3979600</v>
      </c>
      <c r="H286" s="1">
        <v>5392100</v>
      </c>
      <c r="I286" s="1">
        <v>6220800</v>
      </c>
      <c r="J286" s="1">
        <v>4919300</v>
      </c>
      <c r="K286" s="1">
        <v>7866200</v>
      </c>
      <c r="L286" s="1">
        <v>5583900</v>
      </c>
      <c r="M286" s="1">
        <v>4649900</v>
      </c>
      <c r="N286" s="1">
        <v>3741700</v>
      </c>
      <c r="O286" s="1">
        <v>2843400</v>
      </c>
      <c r="P286" s="1">
        <v>3729500</v>
      </c>
      <c r="Q286" s="1">
        <v>3650800</v>
      </c>
      <c r="R286" s="1">
        <v>3810700</v>
      </c>
      <c r="S286" s="1">
        <v>1988900</v>
      </c>
      <c r="T286" s="1">
        <v>2371100</v>
      </c>
      <c r="U286" s="1">
        <v>1745100</v>
      </c>
      <c r="V286" s="1">
        <v>3320300</v>
      </c>
      <c r="W286" s="1">
        <v>2877200</v>
      </c>
      <c r="X286" s="1">
        <v>3327600</v>
      </c>
      <c r="Y286" s="1">
        <v>3556000</v>
      </c>
      <c r="Z286" s="1">
        <v>4076900</v>
      </c>
      <c r="AA286" s="1">
        <v>2899900</v>
      </c>
      <c r="AB286" s="1">
        <v>4179900</v>
      </c>
      <c r="AC286" s="1">
        <v>3400900</v>
      </c>
      <c r="AD286" s="1">
        <v>3811000</v>
      </c>
      <c r="AE286" s="1">
        <v>8785900</v>
      </c>
      <c r="AF286" s="1">
        <v>3103100</v>
      </c>
      <c r="AG286" s="1">
        <v>3209100</v>
      </c>
      <c r="AH286" s="1">
        <v>3163600</v>
      </c>
      <c r="AI286" s="1">
        <v>4161400</v>
      </c>
      <c r="AJ286" s="1">
        <v>3960600</v>
      </c>
      <c r="AK286" s="1">
        <v>8465900</v>
      </c>
      <c r="AL286" s="1">
        <v>4006800</v>
      </c>
      <c r="AM286" s="1">
        <v>4323900</v>
      </c>
      <c r="AN286" s="1">
        <v>3742900</v>
      </c>
      <c r="AO286" s="1">
        <v>3616600</v>
      </c>
      <c r="AP286" s="1">
        <v>4481200</v>
      </c>
      <c r="AQ286" s="1">
        <v>4194500</v>
      </c>
      <c r="AR286" s="1">
        <v>4577600</v>
      </c>
      <c r="AS286" s="1">
        <v>5206600</v>
      </c>
      <c r="AT286" s="1">
        <v>3541800</v>
      </c>
      <c r="AU286" s="1">
        <v>3891200</v>
      </c>
      <c r="AV286" s="1">
        <v>4327100</v>
      </c>
      <c r="AW286" s="1">
        <v>5157700</v>
      </c>
      <c r="AX286" s="1">
        <v>12101700</v>
      </c>
      <c r="AY286" s="1">
        <v>4350700</v>
      </c>
      <c r="AZ286" s="1">
        <v>4428600</v>
      </c>
      <c r="BA286" s="1">
        <v>2865500</v>
      </c>
      <c r="BB286" s="1">
        <v>4287200</v>
      </c>
      <c r="BC286" s="1">
        <v>4250900</v>
      </c>
      <c r="BD286" s="1">
        <v>3676600</v>
      </c>
      <c r="BE286" s="1">
        <v>4511300</v>
      </c>
      <c r="BF286" s="1">
        <v>7555900</v>
      </c>
      <c r="BG286" s="1">
        <v>18708400</v>
      </c>
      <c r="BH286" s="1">
        <v>5088500</v>
      </c>
      <c r="BI286" s="1">
        <v>4376700</v>
      </c>
      <c r="BJ286" s="1">
        <v>4789700</v>
      </c>
      <c r="BK286" s="1">
        <v>7079200</v>
      </c>
      <c r="BL286" s="1">
        <v>4523700</v>
      </c>
      <c r="BM286" s="1">
        <v>5656100</v>
      </c>
      <c r="BN286" s="1">
        <v>3566700</v>
      </c>
      <c r="BO286" s="1">
        <v>5538800</v>
      </c>
      <c r="BP286" s="1">
        <v>3912000</v>
      </c>
      <c r="BQ286" s="1">
        <v>3259800</v>
      </c>
      <c r="BR286" s="1">
        <v>3520800</v>
      </c>
      <c r="BS286" s="1">
        <v>3638400</v>
      </c>
      <c r="BT286" s="1">
        <v>2997300</v>
      </c>
      <c r="BU286" s="1">
        <v>3468200</v>
      </c>
      <c r="BV286" s="1">
        <v>3149000</v>
      </c>
      <c r="BW286" s="1">
        <v>2905900</v>
      </c>
      <c r="BX286" s="1">
        <v>3507400</v>
      </c>
      <c r="BY286" s="1">
        <v>3732800</v>
      </c>
      <c r="BZ286" s="1">
        <v>3070700</v>
      </c>
    </row>
    <row r="287" spans="1:254">
      <c r="A287" s="394" t="s">
        <v>500</v>
      </c>
      <c r="B287" s="1" t="str">
        <f>銘柄管理!C287</f>
        <v>サン電子</v>
      </c>
      <c r="C287" s="1">
        <f>_xll.RssMarket("6736","出来高")</f>
        <v>37400</v>
      </c>
      <c r="D287" s="82">
        <f t="shared" si="4"/>
        <v>0</v>
      </c>
      <c r="E287" s="1">
        <v>37400</v>
      </c>
      <c r="F287" s="1">
        <v>51400</v>
      </c>
      <c r="G287" s="1">
        <v>22200</v>
      </c>
      <c r="H287" s="1">
        <v>17000</v>
      </c>
      <c r="I287" s="1">
        <v>18900</v>
      </c>
      <c r="J287" s="1">
        <v>18900</v>
      </c>
      <c r="K287" s="1">
        <v>15800</v>
      </c>
      <c r="L287" s="1">
        <v>29200</v>
      </c>
      <c r="M287" s="1">
        <v>21500</v>
      </c>
      <c r="N287" s="1">
        <v>15600</v>
      </c>
      <c r="O287" s="1">
        <v>15600</v>
      </c>
      <c r="P287" s="1">
        <v>15200</v>
      </c>
      <c r="Q287" s="1">
        <v>24600</v>
      </c>
      <c r="R287" s="1">
        <v>11600</v>
      </c>
      <c r="S287" s="1">
        <v>25800</v>
      </c>
      <c r="T287" s="1">
        <v>30500</v>
      </c>
      <c r="U287" s="1">
        <v>20500</v>
      </c>
      <c r="V287" s="1">
        <v>36100</v>
      </c>
      <c r="W287" s="1">
        <v>22600</v>
      </c>
      <c r="X287" s="1">
        <v>62200</v>
      </c>
      <c r="Y287" s="1">
        <v>126900</v>
      </c>
      <c r="Z287" s="1">
        <v>108900</v>
      </c>
      <c r="AA287" s="1">
        <v>29100</v>
      </c>
      <c r="AB287" s="1">
        <v>36600</v>
      </c>
      <c r="AC287" s="1">
        <v>21200</v>
      </c>
      <c r="AD287" s="1">
        <v>20700</v>
      </c>
      <c r="AE287" s="1">
        <v>30700</v>
      </c>
      <c r="AF287" s="1">
        <v>28100</v>
      </c>
      <c r="AG287" s="1">
        <v>13900</v>
      </c>
      <c r="AH287" s="1">
        <v>31200</v>
      </c>
      <c r="AI287" s="1">
        <v>14100</v>
      </c>
      <c r="AJ287" s="1">
        <v>15200</v>
      </c>
      <c r="AK287" s="1">
        <v>22200</v>
      </c>
      <c r="AL287" s="1">
        <v>18600</v>
      </c>
      <c r="AM287" s="1">
        <v>15500</v>
      </c>
      <c r="AN287" s="1">
        <v>15900</v>
      </c>
      <c r="AO287" s="1">
        <v>14300</v>
      </c>
      <c r="AP287" s="1">
        <v>16300</v>
      </c>
      <c r="AQ287" s="1">
        <v>26700</v>
      </c>
      <c r="AR287" s="1">
        <v>38300</v>
      </c>
      <c r="AS287" s="1">
        <v>22900</v>
      </c>
      <c r="AT287" s="1">
        <v>17100</v>
      </c>
      <c r="AU287" s="1">
        <v>25000</v>
      </c>
      <c r="AV287" s="1">
        <v>16100</v>
      </c>
      <c r="AW287" s="1">
        <v>42200</v>
      </c>
      <c r="AX287" s="1">
        <v>44000</v>
      </c>
      <c r="AY287" s="1">
        <v>36400</v>
      </c>
      <c r="AZ287" s="1">
        <v>25900</v>
      </c>
      <c r="BA287" s="1">
        <v>20200</v>
      </c>
      <c r="BB287" s="1">
        <v>32100</v>
      </c>
      <c r="BC287" s="1">
        <v>60800</v>
      </c>
      <c r="BD287" s="1">
        <v>52300</v>
      </c>
      <c r="BE287" s="1">
        <v>83400</v>
      </c>
      <c r="BF287" s="1">
        <v>60000</v>
      </c>
      <c r="BG287" s="1">
        <v>26500</v>
      </c>
      <c r="BH287" s="1">
        <v>19400</v>
      </c>
      <c r="BI287" s="1">
        <v>40800</v>
      </c>
      <c r="BJ287" s="1">
        <v>63900</v>
      </c>
      <c r="BK287" s="1">
        <v>17200</v>
      </c>
      <c r="BL287" s="1">
        <v>27100</v>
      </c>
      <c r="BM287" s="1">
        <v>14800</v>
      </c>
      <c r="BN287" s="1">
        <v>26400</v>
      </c>
      <c r="BO287" s="1">
        <v>59600</v>
      </c>
      <c r="BP287" s="1">
        <v>31500</v>
      </c>
      <c r="BQ287" s="1">
        <v>48100</v>
      </c>
      <c r="BR287" s="1">
        <v>27100</v>
      </c>
      <c r="BS287" s="1">
        <v>36100</v>
      </c>
      <c r="BT287" s="1">
        <v>70300</v>
      </c>
      <c r="BU287" s="1">
        <v>26500</v>
      </c>
      <c r="BV287" s="1">
        <v>47300</v>
      </c>
      <c r="BW287" s="1">
        <v>91700</v>
      </c>
      <c r="BX287" s="1">
        <v>58300</v>
      </c>
      <c r="BY287" s="1">
        <v>112100</v>
      </c>
      <c r="BZ287" s="1">
        <v>78600</v>
      </c>
    </row>
    <row r="288" spans="1:254">
      <c r="A288" s="394" t="s">
        <v>501</v>
      </c>
      <c r="B288" s="1" t="str">
        <f>銘柄管理!C288</f>
        <v>紀文食品</v>
      </c>
      <c r="C288" s="1">
        <f>_xll.RssMarket("2933","出来高")</f>
        <v>34100</v>
      </c>
      <c r="D288" s="82">
        <f t="shared" si="4"/>
        <v>0</v>
      </c>
      <c r="E288" s="1">
        <v>34100</v>
      </c>
      <c r="F288" s="1">
        <v>25700</v>
      </c>
      <c r="G288" s="1">
        <v>55400</v>
      </c>
      <c r="H288" s="1">
        <v>80400</v>
      </c>
      <c r="I288" s="1">
        <v>41800</v>
      </c>
      <c r="J288" s="1">
        <v>44800</v>
      </c>
      <c r="K288" s="1">
        <v>57200</v>
      </c>
      <c r="L288" s="1">
        <v>27300</v>
      </c>
      <c r="M288" s="1">
        <v>23000</v>
      </c>
      <c r="O288" s="1">
        <v>15800</v>
      </c>
      <c r="P288" s="1">
        <v>32600</v>
      </c>
      <c r="Q288" s="1">
        <v>25800</v>
      </c>
      <c r="R288" s="1">
        <v>38800</v>
      </c>
      <c r="S288" s="1">
        <v>19800</v>
      </c>
      <c r="T288" s="1">
        <v>18500</v>
      </c>
      <c r="U288" s="1">
        <v>15800</v>
      </c>
      <c r="V288" s="1">
        <v>20700</v>
      </c>
      <c r="W288" s="1">
        <v>18400</v>
      </c>
      <c r="X288" s="1">
        <v>23300</v>
      </c>
      <c r="Y288" s="1">
        <v>17400</v>
      </c>
      <c r="Z288" s="1">
        <v>17400</v>
      </c>
      <c r="AA288" s="1">
        <v>20000</v>
      </c>
      <c r="AB288" s="1">
        <v>22100</v>
      </c>
      <c r="AC288" s="1">
        <v>22900</v>
      </c>
      <c r="AD288" s="1">
        <v>21800</v>
      </c>
      <c r="AE288" s="1">
        <v>41300</v>
      </c>
      <c r="AF288" s="1">
        <v>18400</v>
      </c>
      <c r="AG288" s="1">
        <v>22500</v>
      </c>
      <c r="AH288" s="1">
        <v>23600</v>
      </c>
      <c r="AI288" s="1">
        <v>23100</v>
      </c>
      <c r="AJ288" s="1">
        <v>22200</v>
      </c>
      <c r="AK288" s="1">
        <v>33800</v>
      </c>
      <c r="AL288" s="1">
        <v>24700</v>
      </c>
      <c r="AM288" s="1">
        <v>24600</v>
      </c>
      <c r="AN288" s="1">
        <v>13400</v>
      </c>
      <c r="AO288" s="1">
        <v>17100</v>
      </c>
      <c r="AP288" s="1">
        <v>35700</v>
      </c>
      <c r="AQ288" s="1">
        <v>21700</v>
      </c>
      <c r="AR288" s="1">
        <v>27300</v>
      </c>
      <c r="AS288" s="1">
        <v>33800</v>
      </c>
      <c r="AT288" s="1">
        <v>21500</v>
      </c>
      <c r="AU288" s="1">
        <v>15700</v>
      </c>
      <c r="AV288" s="1">
        <v>29300</v>
      </c>
      <c r="AW288" s="1">
        <v>45600</v>
      </c>
      <c r="AX288" s="1">
        <v>17400</v>
      </c>
      <c r="AY288" s="1">
        <v>26200</v>
      </c>
      <c r="AZ288" s="1">
        <v>17900</v>
      </c>
      <c r="BA288" s="1">
        <v>23000</v>
      </c>
      <c r="BB288" s="1">
        <v>17300</v>
      </c>
      <c r="BC288" s="1">
        <v>16800</v>
      </c>
      <c r="BD288" s="1">
        <v>22100</v>
      </c>
      <c r="BE288" s="1">
        <v>20800</v>
      </c>
      <c r="BF288" s="1">
        <v>48000</v>
      </c>
      <c r="BG288" s="1">
        <v>23800</v>
      </c>
      <c r="BH288" s="1">
        <v>12400</v>
      </c>
      <c r="BI288" s="1">
        <v>13900</v>
      </c>
      <c r="BJ288" s="1">
        <v>12200</v>
      </c>
      <c r="BK288" s="1">
        <v>21500</v>
      </c>
      <c r="BL288" s="1">
        <v>36900</v>
      </c>
      <c r="BM288" s="1">
        <v>14700</v>
      </c>
      <c r="BN288" s="1">
        <v>19700</v>
      </c>
      <c r="BO288" s="1">
        <v>26800</v>
      </c>
      <c r="BP288" s="1">
        <v>27900</v>
      </c>
      <c r="BQ288" s="1">
        <v>36200</v>
      </c>
      <c r="BR288" s="1">
        <v>18000</v>
      </c>
      <c r="BS288" s="1">
        <v>37400</v>
      </c>
      <c r="BT288" s="1">
        <v>29300</v>
      </c>
      <c r="BU288" s="1">
        <v>21400</v>
      </c>
      <c r="BV288" s="1">
        <v>18000</v>
      </c>
      <c r="BW288" s="1">
        <v>16700</v>
      </c>
      <c r="BX288" s="1">
        <v>15700</v>
      </c>
      <c r="BY288" s="1">
        <v>16700</v>
      </c>
      <c r="BZ288" s="1">
        <v>17500</v>
      </c>
    </row>
    <row r="289" spans="1:254">
      <c r="A289" s="394" t="s">
        <v>502</v>
      </c>
      <c r="B289" s="1" t="str">
        <f>銘柄管理!C289</f>
        <v>関東電化</v>
      </c>
      <c r="C289" s="1">
        <f>_xll.RssMarket("4047","出来高")</f>
        <v>600500</v>
      </c>
      <c r="D289" s="82">
        <f t="shared" si="4"/>
        <v>0</v>
      </c>
      <c r="E289" s="1">
        <v>600500</v>
      </c>
      <c r="F289" s="1">
        <v>571700</v>
      </c>
      <c r="G289" s="1">
        <v>627200</v>
      </c>
      <c r="H289" s="1">
        <v>719300</v>
      </c>
      <c r="I289" s="1">
        <v>881300</v>
      </c>
      <c r="J289" s="1">
        <v>582300</v>
      </c>
      <c r="K289" s="1">
        <v>762800</v>
      </c>
      <c r="L289" s="1">
        <v>615500</v>
      </c>
      <c r="M289" s="1">
        <v>408900</v>
      </c>
      <c r="N289" s="1">
        <v>488300</v>
      </c>
      <c r="O289" s="1">
        <v>396900</v>
      </c>
      <c r="P289" s="1">
        <v>791500</v>
      </c>
      <c r="Q289" s="1">
        <v>508600</v>
      </c>
      <c r="R289" s="1">
        <v>989300</v>
      </c>
      <c r="S289" s="1">
        <v>281700</v>
      </c>
      <c r="T289" s="1">
        <v>531600</v>
      </c>
      <c r="U289" s="1">
        <v>518200</v>
      </c>
      <c r="V289" s="1">
        <v>458400</v>
      </c>
      <c r="W289" s="1">
        <v>453000</v>
      </c>
      <c r="X289" s="1">
        <v>601800</v>
      </c>
      <c r="Y289" s="1">
        <v>710800</v>
      </c>
      <c r="Z289" s="1">
        <v>602800</v>
      </c>
      <c r="AA289" s="1">
        <v>613600</v>
      </c>
      <c r="AB289" s="1">
        <v>628000</v>
      </c>
      <c r="AC289" s="1">
        <v>508100</v>
      </c>
      <c r="AD289" s="1">
        <v>639200</v>
      </c>
      <c r="AE289" s="1">
        <v>790400</v>
      </c>
      <c r="AF289" s="1">
        <v>901000</v>
      </c>
      <c r="AG289" s="1">
        <v>954600</v>
      </c>
      <c r="AH289" s="1">
        <v>888200</v>
      </c>
      <c r="AI289" s="1">
        <v>685900</v>
      </c>
      <c r="AJ289" s="1">
        <v>1059700</v>
      </c>
      <c r="AK289" s="1">
        <v>944300</v>
      </c>
      <c r="AL289" s="1">
        <v>678400</v>
      </c>
      <c r="AM289" s="1">
        <v>953400</v>
      </c>
      <c r="AN289" s="1">
        <v>916000</v>
      </c>
      <c r="AO289" s="1">
        <v>1537800</v>
      </c>
      <c r="AP289" s="1">
        <v>1633300</v>
      </c>
      <c r="AQ289" s="1">
        <v>1146900</v>
      </c>
      <c r="AR289" s="1">
        <v>1639900</v>
      </c>
      <c r="AS289" s="1">
        <v>1629200</v>
      </c>
      <c r="AT289" s="1">
        <v>2697600</v>
      </c>
      <c r="AU289" s="1">
        <v>1784000</v>
      </c>
      <c r="AV289" s="1">
        <v>953900</v>
      </c>
      <c r="AW289" s="1">
        <v>836000</v>
      </c>
      <c r="AX289" s="1">
        <v>956800</v>
      </c>
      <c r="AY289" s="1">
        <v>919400</v>
      </c>
      <c r="AZ289" s="1">
        <v>1331700</v>
      </c>
      <c r="BA289" s="1">
        <v>1463500</v>
      </c>
      <c r="BB289" s="1">
        <v>1172600</v>
      </c>
      <c r="BC289" s="1">
        <v>1184100</v>
      </c>
      <c r="BD289" s="1">
        <v>1156400</v>
      </c>
      <c r="BE289" s="1">
        <v>3289100</v>
      </c>
      <c r="BF289" s="1">
        <v>202100</v>
      </c>
      <c r="BG289" s="1">
        <v>906100</v>
      </c>
      <c r="BH289" s="1">
        <v>583500</v>
      </c>
      <c r="BI289" s="1">
        <v>721900</v>
      </c>
      <c r="BJ289" s="1">
        <v>537800</v>
      </c>
      <c r="BK289" s="1">
        <v>453700</v>
      </c>
      <c r="BL289" s="1">
        <v>380500</v>
      </c>
      <c r="BM289" s="1">
        <v>453300</v>
      </c>
      <c r="BN289" s="1">
        <v>182500</v>
      </c>
      <c r="BO289" s="1">
        <v>164100</v>
      </c>
      <c r="BP289" s="1">
        <v>205200</v>
      </c>
      <c r="BQ289" s="1">
        <v>154900</v>
      </c>
      <c r="BR289" s="1">
        <v>129600</v>
      </c>
      <c r="BS289" s="1">
        <v>260800</v>
      </c>
      <c r="BT289" s="1">
        <v>169100</v>
      </c>
      <c r="BU289" s="1">
        <v>185100</v>
      </c>
      <c r="BV289" s="1">
        <v>160800</v>
      </c>
      <c r="BW289" s="1">
        <v>161200</v>
      </c>
      <c r="BX289" s="1">
        <v>230100</v>
      </c>
      <c r="BY289" s="1">
        <v>371000</v>
      </c>
      <c r="BZ289" s="1">
        <v>445800</v>
      </c>
    </row>
    <row r="290" spans="1:254">
      <c r="A290" s="394" t="s">
        <v>503</v>
      </c>
      <c r="B290" s="1" t="str">
        <f>銘柄管理!C290</f>
        <v>ＹＵＳＨＩＮ</v>
      </c>
      <c r="C290" s="1">
        <f>_xll.RssMarket("6482","出来高")</f>
        <v>43100</v>
      </c>
      <c r="D290" s="82">
        <f t="shared" si="4"/>
        <v>0</v>
      </c>
      <c r="E290" s="1">
        <v>43100</v>
      </c>
      <c r="F290" s="1">
        <v>54500</v>
      </c>
      <c r="G290" s="1">
        <v>79800</v>
      </c>
      <c r="H290" s="1">
        <v>58100</v>
      </c>
      <c r="I290" s="1">
        <v>101600</v>
      </c>
      <c r="J290" s="1">
        <v>71500</v>
      </c>
      <c r="K290" s="1">
        <v>64200</v>
      </c>
      <c r="L290" s="1">
        <v>84100</v>
      </c>
      <c r="M290" s="1">
        <v>50900</v>
      </c>
      <c r="N290" s="1">
        <v>63300</v>
      </c>
      <c r="O290" s="1">
        <v>23400</v>
      </c>
      <c r="P290" s="1">
        <v>40200</v>
      </c>
      <c r="Q290" s="1">
        <v>66200</v>
      </c>
      <c r="R290" s="1">
        <v>98600</v>
      </c>
      <c r="S290" s="1">
        <v>41600</v>
      </c>
      <c r="T290" s="1">
        <v>91500</v>
      </c>
      <c r="U290" s="1">
        <v>51600</v>
      </c>
      <c r="V290" s="1">
        <v>51300</v>
      </c>
      <c r="W290" s="1">
        <v>74800</v>
      </c>
      <c r="X290" s="1">
        <v>36900</v>
      </c>
      <c r="Y290" s="1">
        <v>40200</v>
      </c>
      <c r="Z290" s="1">
        <v>73400</v>
      </c>
      <c r="AA290" s="1">
        <v>73400</v>
      </c>
      <c r="AB290" s="1">
        <v>117900</v>
      </c>
      <c r="AC290" s="1">
        <v>73500</v>
      </c>
      <c r="AD290" s="1">
        <v>64700</v>
      </c>
      <c r="AE290" s="1">
        <v>85300</v>
      </c>
      <c r="AF290" s="1">
        <v>66000</v>
      </c>
      <c r="AG290" s="1">
        <v>28100</v>
      </c>
      <c r="AH290" s="1">
        <v>45000</v>
      </c>
      <c r="AI290" s="1">
        <v>27600</v>
      </c>
      <c r="AJ290" s="1">
        <v>56800</v>
      </c>
      <c r="AK290" s="1">
        <v>45300</v>
      </c>
      <c r="AL290" s="1">
        <v>69700</v>
      </c>
      <c r="AM290" s="1">
        <v>155300</v>
      </c>
      <c r="AN290" s="1">
        <v>83600</v>
      </c>
      <c r="AO290" s="1">
        <v>48700</v>
      </c>
      <c r="AP290" s="1">
        <v>52000</v>
      </c>
      <c r="AQ290" s="1">
        <v>64400</v>
      </c>
      <c r="AR290" s="1">
        <v>53500</v>
      </c>
      <c r="AS290" s="1">
        <v>76000</v>
      </c>
      <c r="AT290" s="1">
        <v>54000</v>
      </c>
      <c r="AU290" s="1">
        <v>77800</v>
      </c>
      <c r="AV290" s="1">
        <v>62800</v>
      </c>
      <c r="AW290" s="1">
        <v>118300</v>
      </c>
      <c r="AX290" s="1">
        <v>86300</v>
      </c>
      <c r="AY290" s="1">
        <v>120700</v>
      </c>
      <c r="AZ290" s="1">
        <v>145300</v>
      </c>
      <c r="BA290" s="1">
        <v>50700</v>
      </c>
      <c r="BB290" s="1">
        <v>94600</v>
      </c>
      <c r="BC290" s="1">
        <v>40700</v>
      </c>
      <c r="BD290" s="1">
        <v>110300</v>
      </c>
      <c r="BE290" s="1">
        <v>99100</v>
      </c>
      <c r="BF290" s="1">
        <v>77200</v>
      </c>
      <c r="BG290" s="1">
        <v>57900</v>
      </c>
      <c r="BH290" s="1">
        <v>82400</v>
      </c>
      <c r="BI290" s="1">
        <v>50300</v>
      </c>
      <c r="BJ290" s="1">
        <v>154200</v>
      </c>
      <c r="BK290" s="1">
        <v>103600</v>
      </c>
      <c r="BL290" s="1">
        <v>47200</v>
      </c>
      <c r="BM290" s="1">
        <v>74100</v>
      </c>
      <c r="BN290" s="1">
        <v>68900</v>
      </c>
      <c r="BO290" s="1">
        <v>53200</v>
      </c>
      <c r="BP290" s="1">
        <v>59500</v>
      </c>
      <c r="BQ290" s="1">
        <v>104400</v>
      </c>
      <c r="BR290" s="1">
        <v>40500</v>
      </c>
      <c r="BS290" s="1">
        <v>65500</v>
      </c>
      <c r="BT290" s="1">
        <v>35500</v>
      </c>
      <c r="BU290" s="1">
        <v>41300</v>
      </c>
      <c r="BV290" s="1">
        <v>28200</v>
      </c>
      <c r="BW290" s="1">
        <v>40200</v>
      </c>
      <c r="BX290" s="1">
        <v>33900</v>
      </c>
      <c r="BY290" s="1">
        <v>32400</v>
      </c>
      <c r="BZ290" s="1">
        <v>41900</v>
      </c>
    </row>
    <row r="291" spans="1:254">
      <c r="A291" s="394" t="s">
        <v>504</v>
      </c>
      <c r="B291" s="1" t="str">
        <f>銘柄管理!C291</f>
        <v>電気興業</v>
      </c>
      <c r="C291" s="1">
        <f>_xll.RssMarket("6706","出来高")</f>
        <v>35800</v>
      </c>
      <c r="D291" s="82">
        <f t="shared" si="4"/>
        <v>0</v>
      </c>
      <c r="E291" s="1">
        <v>35800</v>
      </c>
      <c r="F291" s="1">
        <v>23400</v>
      </c>
      <c r="G291" s="1">
        <v>28700</v>
      </c>
      <c r="H291" s="1">
        <v>28300</v>
      </c>
      <c r="I291" s="1">
        <v>28100</v>
      </c>
      <c r="J291" s="1">
        <v>53400</v>
      </c>
      <c r="K291" s="1">
        <v>56100</v>
      </c>
      <c r="L291" s="1">
        <v>50100</v>
      </c>
      <c r="M291" s="1">
        <v>64400</v>
      </c>
      <c r="O291" s="1">
        <v>20900</v>
      </c>
      <c r="P291" s="1">
        <v>38900</v>
      </c>
      <c r="Q291" s="1">
        <v>19400</v>
      </c>
      <c r="R291" s="1">
        <v>36100</v>
      </c>
      <c r="S291" s="1">
        <v>12100</v>
      </c>
      <c r="T291" s="1">
        <v>17200</v>
      </c>
      <c r="U291" s="1">
        <v>49500</v>
      </c>
      <c r="V291" s="1">
        <v>30500</v>
      </c>
      <c r="W291" s="1">
        <v>46800</v>
      </c>
      <c r="X291" s="1">
        <v>38800</v>
      </c>
      <c r="Y291" s="1">
        <v>20300</v>
      </c>
      <c r="Z291" s="1">
        <v>55300</v>
      </c>
      <c r="AA291" s="1">
        <v>44800</v>
      </c>
      <c r="AB291" s="1">
        <v>29000</v>
      </c>
      <c r="AC291" s="1">
        <v>19300</v>
      </c>
      <c r="AD291" s="1">
        <v>38800</v>
      </c>
      <c r="AE291" s="1">
        <v>26400</v>
      </c>
      <c r="AF291" s="1">
        <v>23300</v>
      </c>
      <c r="AG291" s="1">
        <v>13300</v>
      </c>
      <c r="AH291" s="1">
        <v>30800</v>
      </c>
      <c r="AI291" s="1">
        <v>32400</v>
      </c>
      <c r="AJ291" s="1">
        <v>43600</v>
      </c>
      <c r="AK291" s="1">
        <v>23900</v>
      </c>
      <c r="AL291" s="1">
        <v>25900</v>
      </c>
      <c r="AM291" s="1">
        <v>34000</v>
      </c>
      <c r="AN291" s="1">
        <v>30000</v>
      </c>
      <c r="AO291" s="1">
        <v>27400</v>
      </c>
      <c r="AP291" s="1">
        <v>30100</v>
      </c>
      <c r="AQ291" s="1">
        <v>121100</v>
      </c>
      <c r="AR291" s="1">
        <v>58400</v>
      </c>
      <c r="AS291" s="1">
        <v>49500</v>
      </c>
      <c r="AT291" s="1">
        <v>22900</v>
      </c>
      <c r="AU291" s="1">
        <v>19400</v>
      </c>
      <c r="AV291" s="1">
        <v>28000</v>
      </c>
      <c r="AW291" s="1">
        <v>25900</v>
      </c>
      <c r="AX291" s="1">
        <v>25500</v>
      </c>
      <c r="AY291" s="1">
        <v>26800</v>
      </c>
      <c r="AZ291" s="1">
        <v>18800</v>
      </c>
      <c r="BA291" s="1">
        <v>28700</v>
      </c>
      <c r="BB291" s="1">
        <v>20700</v>
      </c>
      <c r="BC291" s="1">
        <v>16600</v>
      </c>
      <c r="BD291" s="1">
        <v>54000</v>
      </c>
      <c r="BE291" s="1">
        <v>78600</v>
      </c>
      <c r="BF291" s="1">
        <v>68600</v>
      </c>
      <c r="BG291" s="1">
        <v>61900</v>
      </c>
      <c r="BH291" s="1">
        <v>28100</v>
      </c>
      <c r="BI291" s="1">
        <v>19400</v>
      </c>
      <c r="BJ291" s="1">
        <v>32500</v>
      </c>
      <c r="BK291" s="1">
        <v>31800</v>
      </c>
      <c r="BL291" s="1">
        <v>23900</v>
      </c>
      <c r="BM291" s="1">
        <v>46700</v>
      </c>
      <c r="BN291" s="1">
        <v>51800</v>
      </c>
      <c r="BO291" s="1">
        <v>22900</v>
      </c>
      <c r="BP291" s="1">
        <v>30000</v>
      </c>
      <c r="BQ291" s="1">
        <v>15700</v>
      </c>
      <c r="BR291" s="1">
        <v>16900</v>
      </c>
      <c r="BS291" s="1">
        <v>38700</v>
      </c>
      <c r="BT291" s="1">
        <v>44400</v>
      </c>
      <c r="BU291" s="1">
        <v>31300</v>
      </c>
      <c r="BV291" s="1">
        <v>31400</v>
      </c>
      <c r="BW291" s="1">
        <v>26400</v>
      </c>
      <c r="BX291" s="1">
        <v>22200</v>
      </c>
      <c r="BY291" s="1">
        <v>28900</v>
      </c>
      <c r="BZ291" s="1">
        <v>50300</v>
      </c>
    </row>
    <row r="292" spans="1:254">
      <c r="A292" s="394" t="s">
        <v>505</v>
      </c>
      <c r="B292" s="1" t="str">
        <f>銘柄管理!C292</f>
        <v>新光商事</v>
      </c>
      <c r="C292" s="1">
        <f>_xll.RssMarket("8141","出来高")</f>
        <v>79200</v>
      </c>
      <c r="D292" s="82">
        <f t="shared" si="4"/>
        <v>0</v>
      </c>
      <c r="E292" s="1">
        <v>79200</v>
      </c>
      <c r="F292" s="1">
        <v>60800</v>
      </c>
      <c r="G292" s="1">
        <v>43000</v>
      </c>
      <c r="H292" s="1">
        <v>88400</v>
      </c>
      <c r="I292" s="1">
        <v>20100</v>
      </c>
      <c r="J292" s="1">
        <v>604100</v>
      </c>
      <c r="K292" s="1">
        <v>156800</v>
      </c>
      <c r="L292" s="1">
        <v>57400</v>
      </c>
      <c r="M292" s="1">
        <v>50700</v>
      </c>
      <c r="O292" s="1">
        <v>75100</v>
      </c>
      <c r="P292" s="1">
        <v>93000</v>
      </c>
      <c r="Q292" s="1">
        <v>424100</v>
      </c>
      <c r="R292" s="1">
        <v>139400</v>
      </c>
      <c r="S292" s="1">
        <v>104500</v>
      </c>
      <c r="T292" s="1">
        <v>121200</v>
      </c>
      <c r="U292" s="1">
        <v>81400</v>
      </c>
      <c r="V292" s="1">
        <v>130600</v>
      </c>
      <c r="W292" s="1">
        <v>40300</v>
      </c>
      <c r="X292" s="1">
        <v>167500</v>
      </c>
      <c r="Y292" s="1">
        <v>27800</v>
      </c>
      <c r="Z292" s="1">
        <v>63000</v>
      </c>
      <c r="AA292" s="1">
        <v>63900</v>
      </c>
      <c r="AB292" s="1">
        <v>49500</v>
      </c>
      <c r="AC292" s="1">
        <v>72300</v>
      </c>
      <c r="AD292" s="1">
        <v>107000</v>
      </c>
      <c r="AE292" s="1">
        <v>158600</v>
      </c>
      <c r="AF292" s="1">
        <v>83600</v>
      </c>
      <c r="AG292" s="1">
        <v>181700</v>
      </c>
      <c r="AH292" s="1">
        <v>277700</v>
      </c>
      <c r="AI292" s="1">
        <v>617100</v>
      </c>
      <c r="AJ292" s="1">
        <v>200500</v>
      </c>
      <c r="AK292" s="1">
        <v>331200</v>
      </c>
      <c r="AL292" s="1">
        <v>217800</v>
      </c>
      <c r="AM292" s="1">
        <v>280500</v>
      </c>
      <c r="AN292" s="1">
        <v>254200</v>
      </c>
      <c r="AO292" s="1">
        <v>728200</v>
      </c>
      <c r="AP292" s="1">
        <v>233900</v>
      </c>
      <c r="AQ292" s="1">
        <v>175100</v>
      </c>
      <c r="AR292" s="1">
        <v>659800</v>
      </c>
      <c r="AS292" s="1">
        <v>485100</v>
      </c>
      <c r="AT292" s="1">
        <v>327500</v>
      </c>
      <c r="AU292" s="1">
        <v>441900</v>
      </c>
      <c r="AV292" s="1">
        <v>722600</v>
      </c>
      <c r="AW292" s="1">
        <v>910500</v>
      </c>
      <c r="AX292" s="1">
        <v>810400</v>
      </c>
      <c r="AY292" s="1">
        <v>923500</v>
      </c>
      <c r="AZ292" s="1">
        <v>1593800</v>
      </c>
      <c r="BA292" s="1">
        <v>1206200</v>
      </c>
      <c r="BB292" s="1">
        <v>747200</v>
      </c>
      <c r="BC292" s="1">
        <v>991700</v>
      </c>
      <c r="BD292" s="1">
        <v>1032900</v>
      </c>
      <c r="BE292" s="1">
        <v>1057000</v>
      </c>
      <c r="BF292" s="1">
        <v>2677200</v>
      </c>
      <c r="BG292" s="1">
        <v>391000</v>
      </c>
      <c r="BH292" s="1">
        <v>328500</v>
      </c>
      <c r="BI292" s="1">
        <v>929500</v>
      </c>
      <c r="BJ292" s="1">
        <v>221400</v>
      </c>
      <c r="BK292" s="1">
        <v>372600</v>
      </c>
      <c r="BL292" s="1">
        <v>289800</v>
      </c>
      <c r="BM292" s="1">
        <v>341500</v>
      </c>
      <c r="BN292" s="1">
        <v>215600</v>
      </c>
      <c r="BO292" s="1">
        <v>397900</v>
      </c>
      <c r="BP292" s="1">
        <v>198200</v>
      </c>
      <c r="BQ292" s="1">
        <v>147000</v>
      </c>
      <c r="BR292" s="1">
        <v>152600</v>
      </c>
      <c r="BS292" s="1">
        <v>283100</v>
      </c>
      <c r="BT292" s="1">
        <v>296700</v>
      </c>
      <c r="BU292" s="1">
        <v>243000</v>
      </c>
      <c r="BV292" s="1">
        <v>444500</v>
      </c>
      <c r="BW292" s="1">
        <v>223800</v>
      </c>
      <c r="BX292" s="1">
        <v>228900</v>
      </c>
      <c r="BY292" s="1">
        <v>271300</v>
      </c>
      <c r="BZ292" s="1">
        <v>432700</v>
      </c>
    </row>
    <row r="293" spans="1:254">
      <c r="A293" s="394" t="s">
        <v>506</v>
      </c>
      <c r="B293" s="1" t="str">
        <f>銘柄管理!C293</f>
        <v>山形銀行</v>
      </c>
      <c r="C293" s="1">
        <f>_xll.RssMarket("8344","出来高")</f>
        <v>213500</v>
      </c>
      <c r="D293" s="82">
        <f t="shared" si="4"/>
        <v>0</v>
      </c>
      <c r="E293" s="1">
        <v>213500</v>
      </c>
      <c r="F293" s="1">
        <v>120100</v>
      </c>
      <c r="G293" s="1">
        <v>190300</v>
      </c>
      <c r="H293" s="1">
        <v>176500</v>
      </c>
      <c r="I293" s="1">
        <v>124100</v>
      </c>
      <c r="J293" s="1">
        <v>143500</v>
      </c>
      <c r="K293" s="1">
        <v>186900</v>
      </c>
      <c r="L293" s="1">
        <v>155000</v>
      </c>
      <c r="M293" s="1">
        <v>207400</v>
      </c>
      <c r="N293" s="1">
        <v>108300</v>
      </c>
      <c r="O293" s="1">
        <v>190900</v>
      </c>
      <c r="P293" s="1">
        <v>93600</v>
      </c>
      <c r="Q293" s="1">
        <v>138100</v>
      </c>
      <c r="R293" s="1">
        <v>173100</v>
      </c>
      <c r="S293" s="1">
        <v>123600</v>
      </c>
      <c r="T293" s="1">
        <v>95700</v>
      </c>
      <c r="U293" s="1">
        <v>100300</v>
      </c>
      <c r="V293" s="1">
        <v>99700</v>
      </c>
      <c r="W293" s="1">
        <v>108500</v>
      </c>
      <c r="X293" s="1">
        <v>105100</v>
      </c>
      <c r="Y293" s="1">
        <v>274800</v>
      </c>
      <c r="Z293" s="1">
        <v>140500</v>
      </c>
      <c r="AA293" s="1">
        <v>234100</v>
      </c>
      <c r="AB293" s="1">
        <v>212200</v>
      </c>
      <c r="AC293" s="1">
        <v>83800</v>
      </c>
      <c r="AD293" s="1">
        <v>112700</v>
      </c>
      <c r="AE293" s="1">
        <v>92700</v>
      </c>
      <c r="AF293" s="1">
        <v>77500</v>
      </c>
      <c r="AG293" s="1">
        <v>60500</v>
      </c>
      <c r="AH293" s="1">
        <v>102900</v>
      </c>
      <c r="AI293" s="1">
        <v>65900</v>
      </c>
      <c r="AJ293" s="1">
        <v>84700</v>
      </c>
      <c r="AK293" s="1">
        <v>172400</v>
      </c>
      <c r="AL293" s="1">
        <v>112400</v>
      </c>
      <c r="AM293" s="1">
        <v>143900</v>
      </c>
      <c r="AN293" s="1">
        <v>104600</v>
      </c>
      <c r="AO293" s="1">
        <v>105400</v>
      </c>
      <c r="AP293" s="1">
        <v>207100</v>
      </c>
      <c r="AQ293" s="1">
        <v>146300</v>
      </c>
      <c r="AR293" s="1">
        <v>234500</v>
      </c>
      <c r="AS293" s="1">
        <v>100100</v>
      </c>
      <c r="AT293" s="1">
        <v>60600</v>
      </c>
      <c r="AU293" s="1">
        <v>99600</v>
      </c>
      <c r="AV293" s="1">
        <v>91700</v>
      </c>
      <c r="AW293" s="1">
        <v>102700</v>
      </c>
      <c r="AX293" s="1">
        <v>101000</v>
      </c>
      <c r="AY293" s="1">
        <v>112100</v>
      </c>
      <c r="AZ293" s="1">
        <v>125500</v>
      </c>
      <c r="BA293" s="1">
        <v>123600</v>
      </c>
      <c r="BB293" s="1">
        <v>124000</v>
      </c>
      <c r="BC293" s="1">
        <v>121000</v>
      </c>
      <c r="BD293" s="1">
        <v>162600</v>
      </c>
      <c r="BE293" s="1">
        <v>216600</v>
      </c>
      <c r="BF293" s="1">
        <v>397800</v>
      </c>
      <c r="BG293" s="1">
        <v>144000</v>
      </c>
      <c r="BH293" s="1">
        <v>136900</v>
      </c>
      <c r="BI293" s="1">
        <v>105100</v>
      </c>
      <c r="BJ293" s="1">
        <v>84500</v>
      </c>
      <c r="BK293" s="1">
        <v>79800</v>
      </c>
      <c r="BL293" s="1">
        <v>142100</v>
      </c>
      <c r="BM293" s="1">
        <v>126500</v>
      </c>
      <c r="BN293" s="1">
        <v>69800</v>
      </c>
      <c r="BO293" s="1">
        <v>96100</v>
      </c>
      <c r="BP293" s="1">
        <v>109400</v>
      </c>
      <c r="BQ293" s="1">
        <v>86700</v>
      </c>
      <c r="BR293" s="1">
        <v>81500</v>
      </c>
      <c r="BS293" s="1">
        <v>91100</v>
      </c>
      <c r="BT293" s="1">
        <v>105400</v>
      </c>
      <c r="BU293" s="1">
        <v>78600</v>
      </c>
      <c r="BV293" s="1">
        <v>121500</v>
      </c>
      <c r="BW293" s="1">
        <v>149300</v>
      </c>
      <c r="BX293" s="1">
        <v>86900</v>
      </c>
      <c r="BY293" s="1">
        <v>97200</v>
      </c>
      <c r="BZ293" s="1">
        <v>69900</v>
      </c>
    </row>
    <row r="294" spans="1:254">
      <c r="A294" s="394" t="s">
        <v>507</v>
      </c>
      <c r="B294" s="1" t="str">
        <f>銘柄管理!C294</f>
        <v>小野建</v>
      </c>
      <c r="C294" s="1">
        <f>_xll.RssMarket("7414","出来高")</f>
        <v>45700</v>
      </c>
      <c r="D294" s="82">
        <f t="shared" si="4"/>
        <v>0</v>
      </c>
      <c r="E294" s="1">
        <v>45700</v>
      </c>
      <c r="F294" s="1">
        <v>25900</v>
      </c>
      <c r="G294" s="1">
        <v>38300</v>
      </c>
      <c r="H294" s="1">
        <v>51400</v>
      </c>
      <c r="I294" s="1">
        <v>39000</v>
      </c>
      <c r="J294" s="1">
        <v>52800</v>
      </c>
      <c r="K294" s="1">
        <v>94400</v>
      </c>
      <c r="L294" s="1">
        <v>38700</v>
      </c>
      <c r="M294" s="1">
        <v>49900</v>
      </c>
      <c r="O294" s="1">
        <v>49300</v>
      </c>
      <c r="P294" s="1">
        <v>62300</v>
      </c>
      <c r="Q294" s="1">
        <v>64900</v>
      </c>
      <c r="R294" s="1">
        <v>65100</v>
      </c>
      <c r="S294" s="1">
        <v>142600</v>
      </c>
      <c r="T294" s="1">
        <v>39600</v>
      </c>
      <c r="U294" s="1">
        <v>32500</v>
      </c>
      <c r="V294" s="1">
        <v>50500</v>
      </c>
      <c r="W294" s="1">
        <v>42500</v>
      </c>
      <c r="X294" s="1">
        <v>67700</v>
      </c>
      <c r="Y294" s="1">
        <v>47500</v>
      </c>
      <c r="Z294" s="1">
        <v>50300</v>
      </c>
      <c r="AA294" s="1">
        <v>52300</v>
      </c>
      <c r="AB294" s="1">
        <v>48500</v>
      </c>
      <c r="AC294" s="1">
        <v>48300</v>
      </c>
      <c r="AD294" s="1">
        <v>52300</v>
      </c>
      <c r="AE294" s="1">
        <v>79300</v>
      </c>
      <c r="AF294" s="1">
        <v>35900</v>
      </c>
      <c r="AG294" s="1">
        <v>41800</v>
      </c>
      <c r="AH294" s="1">
        <v>40000</v>
      </c>
      <c r="AI294" s="1">
        <v>34200</v>
      </c>
      <c r="AJ294" s="1">
        <v>70900</v>
      </c>
      <c r="AK294" s="1">
        <v>105700</v>
      </c>
      <c r="AL294" s="1">
        <v>39000</v>
      </c>
      <c r="AM294" s="1">
        <v>49200</v>
      </c>
      <c r="AN294" s="1">
        <v>33100</v>
      </c>
      <c r="AO294" s="1">
        <v>54900</v>
      </c>
      <c r="AP294" s="1">
        <v>79300</v>
      </c>
      <c r="AQ294" s="1">
        <v>71000</v>
      </c>
      <c r="AR294" s="1">
        <v>72100</v>
      </c>
      <c r="AS294" s="1">
        <v>49800</v>
      </c>
      <c r="AT294" s="1">
        <v>59700</v>
      </c>
      <c r="AU294" s="1">
        <v>57000</v>
      </c>
      <c r="AV294" s="1">
        <v>108700</v>
      </c>
      <c r="AW294" s="1">
        <v>310700</v>
      </c>
      <c r="AX294" s="1">
        <v>56000</v>
      </c>
      <c r="AY294" s="1">
        <v>62800</v>
      </c>
      <c r="AZ294" s="1">
        <v>65000</v>
      </c>
      <c r="BA294" s="1">
        <v>108600</v>
      </c>
      <c r="BB294" s="1">
        <v>73700</v>
      </c>
      <c r="BC294" s="1">
        <v>79000</v>
      </c>
      <c r="BD294" s="1">
        <v>117200</v>
      </c>
      <c r="BE294" s="1">
        <v>74100</v>
      </c>
      <c r="BF294" s="1">
        <v>152300</v>
      </c>
      <c r="BG294" s="1">
        <v>158500</v>
      </c>
      <c r="BH294" s="1">
        <v>108800</v>
      </c>
      <c r="BI294" s="1">
        <v>27100</v>
      </c>
      <c r="BJ294" s="1">
        <v>55400</v>
      </c>
      <c r="BK294" s="1">
        <v>42600</v>
      </c>
      <c r="BL294" s="1">
        <v>35000</v>
      </c>
      <c r="BM294" s="1">
        <v>67800</v>
      </c>
      <c r="BN294" s="1">
        <v>40600</v>
      </c>
      <c r="BO294" s="1">
        <v>53300</v>
      </c>
      <c r="BP294" s="1">
        <v>54300</v>
      </c>
      <c r="BQ294" s="1">
        <v>52600</v>
      </c>
      <c r="BR294" s="1">
        <v>62400</v>
      </c>
      <c r="BS294" s="1">
        <v>55600</v>
      </c>
      <c r="BT294" s="1">
        <v>31500</v>
      </c>
      <c r="BU294" s="1">
        <v>37000</v>
      </c>
      <c r="BV294" s="1">
        <v>58100</v>
      </c>
      <c r="BW294" s="1">
        <v>29200</v>
      </c>
      <c r="BX294" s="1">
        <v>49800</v>
      </c>
      <c r="BY294" s="1">
        <v>45800</v>
      </c>
      <c r="BZ294" s="1">
        <v>27600</v>
      </c>
    </row>
    <row r="295" spans="1:254">
      <c r="A295" s="394" t="s">
        <v>508</v>
      </c>
      <c r="B295" s="1" t="str">
        <f>銘柄管理!C295</f>
        <v>ＣＫＤ</v>
      </c>
      <c r="C295" s="1">
        <f>_xll.RssMarket("6407","出来高")</f>
        <v>863100</v>
      </c>
      <c r="D295" s="82">
        <f t="shared" si="4"/>
        <v>0</v>
      </c>
      <c r="E295" s="1">
        <v>863100</v>
      </c>
      <c r="F295" s="1">
        <v>982000</v>
      </c>
      <c r="G295" s="1">
        <v>989700</v>
      </c>
      <c r="H295" s="1">
        <v>876600</v>
      </c>
      <c r="I295" s="1">
        <v>1415400</v>
      </c>
      <c r="J295" s="1">
        <v>710500</v>
      </c>
      <c r="K295" s="1">
        <v>1229400</v>
      </c>
      <c r="L295" s="1">
        <v>1142200</v>
      </c>
      <c r="M295" s="1">
        <v>735600</v>
      </c>
      <c r="O295" s="1">
        <v>415900</v>
      </c>
      <c r="P295" s="1">
        <v>696400</v>
      </c>
      <c r="Q295" s="1">
        <v>654400</v>
      </c>
      <c r="R295" s="1">
        <v>809700</v>
      </c>
      <c r="S295" s="1">
        <v>722300</v>
      </c>
      <c r="T295" s="1">
        <v>581400</v>
      </c>
      <c r="U295" s="1">
        <v>370400</v>
      </c>
      <c r="V295" s="1">
        <v>786600</v>
      </c>
      <c r="W295" s="1">
        <v>455600</v>
      </c>
      <c r="X295" s="1">
        <v>359000</v>
      </c>
      <c r="Y295" s="1">
        <v>762500</v>
      </c>
      <c r="Z295" s="1">
        <v>837200</v>
      </c>
      <c r="AA295" s="1">
        <v>1435900</v>
      </c>
      <c r="AB295" s="1">
        <v>726300</v>
      </c>
      <c r="AC295" s="1">
        <v>586600</v>
      </c>
      <c r="AD295" s="1">
        <v>449800</v>
      </c>
      <c r="AE295" s="1">
        <v>500500</v>
      </c>
      <c r="AF295" s="1">
        <v>619100</v>
      </c>
      <c r="AG295" s="1">
        <v>958000</v>
      </c>
      <c r="AH295" s="1">
        <v>562900</v>
      </c>
      <c r="AI295" s="1">
        <v>829000</v>
      </c>
      <c r="AJ295" s="1">
        <v>670900</v>
      </c>
      <c r="AK295" s="1">
        <v>1041100</v>
      </c>
      <c r="AL295" s="1">
        <v>1038000</v>
      </c>
      <c r="AM295" s="1">
        <v>460000</v>
      </c>
      <c r="AN295" s="1">
        <v>845300</v>
      </c>
      <c r="AO295" s="1">
        <v>1322600</v>
      </c>
      <c r="AP295" s="1">
        <v>1169400</v>
      </c>
      <c r="AQ295" s="1">
        <v>634400</v>
      </c>
      <c r="AR295" s="1">
        <v>891700</v>
      </c>
      <c r="AS295" s="1">
        <v>722200</v>
      </c>
      <c r="AT295" s="1">
        <v>534600</v>
      </c>
      <c r="AU295" s="1">
        <v>550600</v>
      </c>
      <c r="AV295" s="1">
        <v>889900</v>
      </c>
      <c r="AW295" s="1">
        <v>655200</v>
      </c>
      <c r="AX295" s="1">
        <v>951800</v>
      </c>
      <c r="AY295" s="1">
        <v>463000</v>
      </c>
      <c r="AZ295" s="1">
        <v>432800</v>
      </c>
      <c r="BA295" s="1">
        <v>1132100</v>
      </c>
      <c r="BB295" s="1">
        <v>1395200</v>
      </c>
      <c r="BC295" s="1">
        <v>810100</v>
      </c>
      <c r="BD295" s="1">
        <v>1148500</v>
      </c>
      <c r="BE295" s="1">
        <v>1125600</v>
      </c>
      <c r="BF295" s="1">
        <v>1627400</v>
      </c>
      <c r="BG295" s="1">
        <v>1024100</v>
      </c>
      <c r="BH295" s="1">
        <v>778800</v>
      </c>
      <c r="BI295" s="1">
        <v>574900</v>
      </c>
      <c r="BJ295" s="1">
        <v>713100</v>
      </c>
      <c r="BK295" s="1">
        <v>619700</v>
      </c>
      <c r="BL295" s="1">
        <v>572000</v>
      </c>
      <c r="BM295" s="1">
        <v>881100</v>
      </c>
      <c r="BN295" s="1">
        <v>226900</v>
      </c>
      <c r="BO295" s="1">
        <v>768200</v>
      </c>
      <c r="BP295" s="1">
        <v>411400</v>
      </c>
      <c r="BQ295" s="1">
        <v>587000</v>
      </c>
      <c r="BR295" s="1">
        <v>267200</v>
      </c>
      <c r="BS295" s="1">
        <v>462900</v>
      </c>
      <c r="BT295" s="1">
        <v>543300</v>
      </c>
      <c r="BU295" s="1">
        <v>355900</v>
      </c>
      <c r="BV295" s="1">
        <v>264300</v>
      </c>
      <c r="BW295" s="1">
        <v>346000</v>
      </c>
      <c r="BX295" s="1">
        <v>534800</v>
      </c>
      <c r="BY295" s="1">
        <v>602200</v>
      </c>
      <c r="BZ295" s="1">
        <v>457300</v>
      </c>
    </row>
    <row r="296" spans="1:254">
      <c r="A296" s="394" t="s">
        <v>509</v>
      </c>
      <c r="B296" s="1" t="str">
        <f>銘柄管理!C296</f>
        <v>ベルトラ</v>
      </c>
      <c r="C296" s="1">
        <f>_xll.RssMarket("7048","出来高")</f>
        <v>130500</v>
      </c>
      <c r="D296" s="82">
        <f t="shared" si="4"/>
        <v>0</v>
      </c>
      <c r="E296" s="1">
        <v>130500</v>
      </c>
      <c r="F296" s="1">
        <v>72200</v>
      </c>
      <c r="G296" s="1">
        <v>86300</v>
      </c>
      <c r="H296" s="1">
        <v>201800</v>
      </c>
      <c r="I296" s="1">
        <v>265500</v>
      </c>
      <c r="J296" s="1">
        <v>124200</v>
      </c>
      <c r="K296" s="1">
        <v>39400</v>
      </c>
      <c r="L296" s="1">
        <v>170900</v>
      </c>
      <c r="M296" s="1">
        <v>210500</v>
      </c>
      <c r="O296" s="1">
        <v>326100</v>
      </c>
      <c r="P296" s="1">
        <v>260900</v>
      </c>
      <c r="Q296" s="1">
        <v>457900</v>
      </c>
      <c r="R296" s="1">
        <v>208800</v>
      </c>
      <c r="S296" s="1">
        <v>276200</v>
      </c>
      <c r="T296" s="1">
        <v>325200</v>
      </c>
      <c r="U296" s="1">
        <v>214400</v>
      </c>
      <c r="V296" s="1">
        <v>348700</v>
      </c>
      <c r="W296" s="1">
        <v>402500</v>
      </c>
      <c r="X296" s="1">
        <v>604800</v>
      </c>
      <c r="Y296" s="1">
        <v>269000</v>
      </c>
      <c r="Z296" s="1">
        <v>230200</v>
      </c>
      <c r="AA296" s="1">
        <v>525700</v>
      </c>
      <c r="AB296" s="1">
        <v>224000</v>
      </c>
      <c r="AC296" s="1">
        <v>86300</v>
      </c>
      <c r="AD296" s="1">
        <v>113100</v>
      </c>
      <c r="AE296" s="1">
        <v>143900</v>
      </c>
      <c r="AF296" s="1">
        <v>563100</v>
      </c>
      <c r="AG296" s="1">
        <v>1040100</v>
      </c>
      <c r="AH296" s="1">
        <v>1531000</v>
      </c>
      <c r="AI296" s="1">
        <v>5519900</v>
      </c>
      <c r="AJ296" s="1">
        <v>1223400</v>
      </c>
      <c r="AK296" s="1">
        <v>883500</v>
      </c>
      <c r="AL296" s="1">
        <v>1377600</v>
      </c>
      <c r="AM296" s="1">
        <v>234600</v>
      </c>
      <c r="AN296" s="1">
        <v>674300</v>
      </c>
      <c r="AO296" s="1">
        <v>4208000</v>
      </c>
      <c r="AP296" s="1">
        <v>143300</v>
      </c>
      <c r="AQ296" s="1">
        <v>149100</v>
      </c>
      <c r="AR296" s="1">
        <v>262900</v>
      </c>
      <c r="AS296" s="1">
        <v>98200</v>
      </c>
      <c r="AT296" s="1">
        <v>204600</v>
      </c>
      <c r="AU296" s="1">
        <v>162300</v>
      </c>
      <c r="AV296" s="1">
        <v>94400</v>
      </c>
      <c r="AW296" s="1">
        <v>115000</v>
      </c>
      <c r="AX296" s="1">
        <v>94800</v>
      </c>
      <c r="AY296" s="1">
        <v>111500</v>
      </c>
      <c r="AZ296" s="1">
        <v>144700</v>
      </c>
      <c r="BA296" s="1">
        <v>322300</v>
      </c>
      <c r="BB296" s="1">
        <v>103900</v>
      </c>
      <c r="BC296" s="1">
        <v>59400</v>
      </c>
      <c r="BD296" s="1">
        <v>247100</v>
      </c>
      <c r="BE296" s="1">
        <v>134500</v>
      </c>
      <c r="BF296" s="1">
        <v>226800</v>
      </c>
      <c r="BG296" s="1">
        <v>535400</v>
      </c>
      <c r="BH296" s="1">
        <v>131500</v>
      </c>
      <c r="BI296" s="1">
        <v>96700</v>
      </c>
      <c r="BJ296" s="1">
        <v>140900</v>
      </c>
      <c r="BK296" s="1">
        <v>112500</v>
      </c>
      <c r="BL296" s="1">
        <v>41100</v>
      </c>
      <c r="BM296" s="1">
        <v>57500</v>
      </c>
      <c r="BN296" s="1">
        <v>75600</v>
      </c>
      <c r="BO296" s="1">
        <v>100200</v>
      </c>
      <c r="BP296" s="1">
        <v>126200</v>
      </c>
      <c r="BQ296" s="1">
        <v>150000</v>
      </c>
      <c r="BR296" s="1">
        <v>218600</v>
      </c>
      <c r="BS296" s="1">
        <v>262300</v>
      </c>
      <c r="BT296" s="1">
        <v>179100</v>
      </c>
      <c r="BU296" s="1">
        <v>168700</v>
      </c>
      <c r="BV296" s="1">
        <v>162200</v>
      </c>
      <c r="BW296" s="1">
        <v>432800</v>
      </c>
      <c r="BX296" s="1">
        <v>93600</v>
      </c>
      <c r="BY296" s="1">
        <v>204500</v>
      </c>
      <c r="BZ296" s="1">
        <v>151000</v>
      </c>
    </row>
    <row r="297" spans="1:254">
      <c r="A297" s="394" t="s">
        <v>510</v>
      </c>
      <c r="B297" s="1" t="str">
        <f>銘柄管理!C297</f>
        <v>長谷工コーポレーシヨン</v>
      </c>
      <c r="C297" s="1">
        <f>_xll.RssMarket("1808","出来高")</f>
        <v>802600</v>
      </c>
      <c r="D297" s="82">
        <f t="shared" si="4"/>
        <v>0</v>
      </c>
      <c r="E297" s="1">
        <v>802600</v>
      </c>
      <c r="F297" s="1">
        <v>784800</v>
      </c>
      <c r="G297" s="1">
        <v>929200</v>
      </c>
      <c r="H297" s="1">
        <v>1077200</v>
      </c>
      <c r="I297" s="1">
        <v>1234900</v>
      </c>
      <c r="J297" s="1">
        <v>899400</v>
      </c>
      <c r="K297" s="1">
        <v>1072600</v>
      </c>
      <c r="L297" s="1">
        <v>661900</v>
      </c>
      <c r="M297" s="1">
        <v>894400</v>
      </c>
      <c r="N297" s="1">
        <v>1251700</v>
      </c>
      <c r="O297" s="1">
        <v>1704100</v>
      </c>
      <c r="P297" s="1">
        <v>828000</v>
      </c>
      <c r="Q297" s="1">
        <v>819500</v>
      </c>
      <c r="R297" s="1">
        <v>829700</v>
      </c>
      <c r="S297" s="1">
        <v>628800</v>
      </c>
      <c r="T297" s="1">
        <v>752100</v>
      </c>
      <c r="U297" s="1">
        <v>1337600</v>
      </c>
      <c r="V297" s="1">
        <v>1055100</v>
      </c>
      <c r="W297" s="1">
        <v>790800</v>
      </c>
      <c r="X297" s="1">
        <v>611400</v>
      </c>
      <c r="Y297" s="1">
        <v>793200</v>
      </c>
      <c r="Z297" s="1">
        <v>587700</v>
      </c>
      <c r="AA297" s="1">
        <v>698500</v>
      </c>
      <c r="AB297" s="1">
        <v>561500</v>
      </c>
      <c r="AC297" s="1">
        <v>775000</v>
      </c>
      <c r="AD297" s="1">
        <v>971900</v>
      </c>
      <c r="AE297" s="1">
        <v>1294400</v>
      </c>
      <c r="AF297" s="1">
        <v>1231300</v>
      </c>
      <c r="AG297" s="1">
        <v>1051600</v>
      </c>
      <c r="AH297" s="1">
        <v>756000</v>
      </c>
      <c r="AI297" s="1">
        <v>1272200</v>
      </c>
      <c r="AJ297" s="1">
        <v>1200300</v>
      </c>
      <c r="AK297" s="1">
        <v>3079200</v>
      </c>
      <c r="AL297" s="1">
        <v>1067600</v>
      </c>
      <c r="AM297" s="1">
        <v>1091500</v>
      </c>
      <c r="AN297" s="1">
        <v>947300</v>
      </c>
      <c r="AO297" s="1">
        <v>861000</v>
      </c>
      <c r="AP297" s="1">
        <v>1777300</v>
      </c>
      <c r="AQ297" s="1">
        <v>1167600</v>
      </c>
      <c r="AR297" s="1">
        <v>1261800</v>
      </c>
      <c r="AS297" s="1">
        <v>843500</v>
      </c>
      <c r="AT297" s="1">
        <v>710000</v>
      </c>
      <c r="AU297" s="1">
        <v>643300</v>
      </c>
      <c r="AV297" s="1">
        <v>661400</v>
      </c>
      <c r="AW297" s="1">
        <v>868400</v>
      </c>
      <c r="AX297" s="1">
        <v>1193600</v>
      </c>
      <c r="AY297" s="1">
        <v>653800</v>
      </c>
      <c r="AZ297" s="1">
        <v>696200</v>
      </c>
      <c r="BA297" s="1">
        <v>1051400</v>
      </c>
      <c r="BB297" s="1">
        <v>932100</v>
      </c>
      <c r="BC297" s="1">
        <v>1082200</v>
      </c>
      <c r="BD297" s="1">
        <v>1708300</v>
      </c>
      <c r="BE297" s="1">
        <v>1560500</v>
      </c>
      <c r="BF297" s="1">
        <v>2216100</v>
      </c>
      <c r="BG297" s="1">
        <v>1224400</v>
      </c>
      <c r="BH297" s="1">
        <v>1122900</v>
      </c>
      <c r="BI297" s="1">
        <v>955400</v>
      </c>
      <c r="BJ297" s="1">
        <v>1199500</v>
      </c>
      <c r="BK297" s="1">
        <v>978100</v>
      </c>
      <c r="BL297" s="1">
        <v>864800</v>
      </c>
      <c r="BM297" s="1">
        <v>1639300</v>
      </c>
      <c r="BN297" s="1">
        <v>788300</v>
      </c>
      <c r="BO297" s="1">
        <v>1640200</v>
      </c>
      <c r="BP297" s="1">
        <v>1110300</v>
      </c>
      <c r="BQ297" s="1">
        <v>1015100</v>
      </c>
      <c r="BR297" s="1">
        <v>825900</v>
      </c>
      <c r="BS297" s="1">
        <v>644500</v>
      </c>
      <c r="BT297" s="1">
        <v>966800</v>
      </c>
      <c r="BU297" s="1">
        <v>1241200</v>
      </c>
      <c r="BV297" s="1">
        <v>1160400</v>
      </c>
      <c r="BW297" s="1">
        <v>943300</v>
      </c>
      <c r="BX297" s="1">
        <v>1448700</v>
      </c>
      <c r="BY297" s="1">
        <v>1502500</v>
      </c>
      <c r="BZ297" s="1">
        <v>2441900</v>
      </c>
    </row>
    <row r="298" spans="1:254">
      <c r="A298" s="394" t="s">
        <v>511</v>
      </c>
      <c r="B298" s="1" t="str">
        <f>銘柄管理!C298</f>
        <v>ＵＢＥ</v>
      </c>
      <c r="C298" s="1">
        <f>_xll.RssMarket("4208","出来高")</f>
        <v>879000</v>
      </c>
      <c r="D298" s="82">
        <f t="shared" si="4"/>
        <v>0</v>
      </c>
      <c r="E298" s="1">
        <v>879000</v>
      </c>
      <c r="F298" s="1">
        <v>922700</v>
      </c>
      <c r="G298" s="1">
        <v>837800</v>
      </c>
      <c r="H298" s="1">
        <v>1256100</v>
      </c>
      <c r="I298" s="1">
        <v>893200</v>
      </c>
      <c r="J298" s="1">
        <v>826800</v>
      </c>
      <c r="K298" s="1">
        <v>1197100</v>
      </c>
      <c r="L298" s="1">
        <v>1143700</v>
      </c>
      <c r="M298" s="1">
        <v>840700</v>
      </c>
      <c r="O298" s="1">
        <v>778600</v>
      </c>
      <c r="P298" s="1">
        <v>705300</v>
      </c>
      <c r="Q298" s="1">
        <v>771200</v>
      </c>
      <c r="R298" s="1">
        <v>1039100</v>
      </c>
      <c r="S298" s="1">
        <v>673300</v>
      </c>
      <c r="T298" s="1">
        <v>1033000</v>
      </c>
      <c r="U298" s="1">
        <v>918300</v>
      </c>
      <c r="V298" s="1">
        <v>756600</v>
      </c>
      <c r="W298" s="1">
        <v>794900</v>
      </c>
      <c r="X298" s="1">
        <v>703400</v>
      </c>
      <c r="Y298" s="1">
        <v>970300</v>
      </c>
      <c r="Z298" s="1">
        <v>510500</v>
      </c>
      <c r="AA298" s="1">
        <v>585400</v>
      </c>
      <c r="AB298" s="1">
        <v>790800</v>
      </c>
      <c r="AC298" s="1">
        <v>693500</v>
      </c>
      <c r="AD298" s="1">
        <v>747500</v>
      </c>
      <c r="AE298" s="1">
        <v>983700</v>
      </c>
      <c r="AF298" s="1">
        <v>803800</v>
      </c>
      <c r="AG298" s="1">
        <v>588200</v>
      </c>
      <c r="AH298" s="1">
        <v>707000</v>
      </c>
      <c r="AI298" s="1">
        <v>885300</v>
      </c>
      <c r="AJ298" s="1">
        <v>727300</v>
      </c>
      <c r="AK298" s="1">
        <v>1425300</v>
      </c>
      <c r="AL298" s="1">
        <v>1298600</v>
      </c>
      <c r="AM298" s="1">
        <v>582200</v>
      </c>
      <c r="AN298" s="1">
        <v>871300</v>
      </c>
      <c r="AO298" s="1">
        <v>1205000</v>
      </c>
      <c r="AP298" s="1">
        <v>963600</v>
      </c>
      <c r="AQ298" s="1">
        <v>858100</v>
      </c>
      <c r="AR298" s="1">
        <v>1180000</v>
      </c>
      <c r="AS298" s="1">
        <v>1332500</v>
      </c>
      <c r="AT298" s="1">
        <v>1015700</v>
      </c>
      <c r="AU298" s="1">
        <v>788500</v>
      </c>
      <c r="AV298" s="1">
        <v>1035600</v>
      </c>
      <c r="AW298" s="1">
        <v>1217200</v>
      </c>
      <c r="AX298" s="1">
        <v>1325300</v>
      </c>
      <c r="AY298" s="1">
        <v>1572200</v>
      </c>
      <c r="AZ298" s="1">
        <v>1298900</v>
      </c>
      <c r="BA298" s="1">
        <v>1424500</v>
      </c>
      <c r="BB298" s="1">
        <v>1791400</v>
      </c>
      <c r="BC298" s="1">
        <v>4846200</v>
      </c>
      <c r="BD298" s="1">
        <v>7261500</v>
      </c>
      <c r="BE298" s="1">
        <v>1305200</v>
      </c>
      <c r="BF298" s="1">
        <v>1224000</v>
      </c>
      <c r="BG298" s="1">
        <v>1569300</v>
      </c>
      <c r="BH298" s="1">
        <v>2259100</v>
      </c>
      <c r="BI298" s="1">
        <v>1280900</v>
      </c>
      <c r="BJ298" s="1">
        <v>1188600</v>
      </c>
      <c r="BK298" s="1">
        <v>622000</v>
      </c>
      <c r="BL298" s="1">
        <v>767900</v>
      </c>
      <c r="BM298" s="1">
        <v>757500</v>
      </c>
      <c r="BN298" s="1">
        <v>702000</v>
      </c>
      <c r="BO298" s="1">
        <v>827000</v>
      </c>
      <c r="BP298" s="1">
        <v>600000</v>
      </c>
      <c r="BQ298" s="1">
        <v>623200</v>
      </c>
      <c r="BR298" s="1">
        <v>671900</v>
      </c>
      <c r="BS298" s="1">
        <v>1058300</v>
      </c>
      <c r="BT298" s="1">
        <v>798300</v>
      </c>
      <c r="BU298" s="1">
        <v>547300</v>
      </c>
      <c r="BV298" s="1">
        <v>631900</v>
      </c>
      <c r="BW298" s="1">
        <v>540000</v>
      </c>
      <c r="BX298" s="1">
        <v>489000</v>
      </c>
      <c r="BY298" s="1">
        <v>572500</v>
      </c>
      <c r="BZ298" s="1">
        <v>785600</v>
      </c>
    </row>
    <row r="299" spans="1:254">
      <c r="A299" s="394" t="s">
        <v>512</v>
      </c>
      <c r="B299" s="1" t="str">
        <f>銘柄管理!C299</f>
        <v>アストロスケールホールディンク</v>
      </c>
      <c r="C299" s="1">
        <f>_xll.RssMarket("186A","出来高")</f>
        <v>2878200</v>
      </c>
      <c r="D299" s="82">
        <f t="shared" si="4"/>
        <v>0</v>
      </c>
      <c r="E299" s="1">
        <v>2878200</v>
      </c>
      <c r="F299" s="1">
        <v>4426200</v>
      </c>
      <c r="G299" s="1">
        <v>4766000</v>
      </c>
      <c r="H299" s="1">
        <v>3152900</v>
      </c>
      <c r="I299" s="1">
        <v>4113800</v>
      </c>
      <c r="J299" s="1">
        <v>5423200</v>
      </c>
      <c r="K299" s="1">
        <v>6630400</v>
      </c>
      <c r="L299" s="1">
        <v>3930000</v>
      </c>
      <c r="M299" s="1">
        <v>2763200</v>
      </c>
      <c r="N299" s="1">
        <v>3628800</v>
      </c>
      <c r="O299" s="1">
        <v>5270600</v>
      </c>
      <c r="P299" s="1">
        <v>5253100</v>
      </c>
      <c r="Q299" s="1">
        <v>3586600</v>
      </c>
      <c r="R299" s="1">
        <v>5846900</v>
      </c>
      <c r="S299" s="1">
        <v>3714900</v>
      </c>
      <c r="T299" s="1">
        <v>4171400</v>
      </c>
      <c r="U299" s="1">
        <v>5542900</v>
      </c>
      <c r="V299" s="1">
        <v>3637800</v>
      </c>
      <c r="W299" s="1">
        <v>4074100</v>
      </c>
      <c r="X299" s="1">
        <v>4537000</v>
      </c>
      <c r="Y299" s="1">
        <v>4696400</v>
      </c>
      <c r="Z299" s="1">
        <v>5374000</v>
      </c>
      <c r="AA299" s="1">
        <v>4762300</v>
      </c>
      <c r="AB299" s="1">
        <v>4048000</v>
      </c>
      <c r="AC299" s="1">
        <v>5302800</v>
      </c>
      <c r="AD299" s="1">
        <v>5852300</v>
      </c>
      <c r="AE299" s="1">
        <v>5324500</v>
      </c>
      <c r="AF299" s="1">
        <v>6237500</v>
      </c>
      <c r="AG299" s="1">
        <v>6824700</v>
      </c>
      <c r="AH299" s="1">
        <v>5065700</v>
      </c>
      <c r="AI299" s="1">
        <v>8499600</v>
      </c>
      <c r="AJ299" s="1">
        <v>9996100</v>
      </c>
      <c r="AK299" s="1">
        <v>12934700</v>
      </c>
      <c r="AL299" s="1">
        <v>8716800</v>
      </c>
      <c r="AM299" s="1">
        <v>13573100</v>
      </c>
      <c r="AN299" s="1">
        <v>20516900</v>
      </c>
      <c r="AO299" s="1">
        <v>7225700</v>
      </c>
      <c r="AP299" s="1">
        <v>12034200</v>
      </c>
      <c r="AQ299" s="1">
        <v>8562000</v>
      </c>
      <c r="AR299" s="1">
        <v>11702800</v>
      </c>
      <c r="AS299" s="1">
        <v>14903700</v>
      </c>
      <c r="AT299" s="1">
        <v>18113200</v>
      </c>
      <c r="AU299" s="1">
        <v>15820200</v>
      </c>
      <c r="AV299" s="1">
        <v>16856200</v>
      </c>
      <c r="AW299" s="1">
        <v>19546400</v>
      </c>
      <c r="AX299" s="1">
        <v>26320900</v>
      </c>
      <c r="AY299" s="1">
        <v>37132000</v>
      </c>
      <c r="AZ299" s="1">
        <v>30912200</v>
      </c>
      <c r="BA299" s="1">
        <v>32097300</v>
      </c>
      <c r="BB299" s="1">
        <v>13576500</v>
      </c>
      <c r="BC299" s="1">
        <v>14630200</v>
      </c>
      <c r="BD299" s="1">
        <v>23922500</v>
      </c>
      <c r="BE299" s="1">
        <v>18431300</v>
      </c>
      <c r="BF299" s="1">
        <v>12315100</v>
      </c>
      <c r="BG299" s="1">
        <v>16135100</v>
      </c>
      <c r="BH299" s="1">
        <v>10892700</v>
      </c>
      <c r="BI299" s="1">
        <v>9776600</v>
      </c>
      <c r="BJ299" s="1">
        <v>14351300</v>
      </c>
      <c r="BK299" s="1">
        <v>12917900</v>
      </c>
      <c r="BL299" s="1">
        <v>10202200</v>
      </c>
      <c r="BM299" s="1">
        <v>6010300</v>
      </c>
      <c r="BN299" s="1">
        <v>4738600</v>
      </c>
      <c r="BO299" s="1">
        <v>4196300</v>
      </c>
      <c r="BP299" s="1">
        <v>5328400</v>
      </c>
      <c r="BQ299" s="1">
        <v>5469400</v>
      </c>
      <c r="BR299" s="1">
        <v>6888600</v>
      </c>
      <c r="BS299" s="1">
        <v>6121700</v>
      </c>
      <c r="BT299" s="1">
        <v>6547800</v>
      </c>
      <c r="BU299" s="1">
        <v>9052500</v>
      </c>
      <c r="BV299" s="1">
        <v>12110300</v>
      </c>
      <c r="BW299" s="1">
        <v>6477600</v>
      </c>
      <c r="BX299" s="1">
        <v>7380400</v>
      </c>
      <c r="BY299" s="1">
        <v>10235400</v>
      </c>
      <c r="BZ299" s="1">
        <v>14518100</v>
      </c>
    </row>
    <row r="300" spans="1:254">
      <c r="A300" s="394" t="s">
        <v>513</v>
      </c>
      <c r="B300" s="1" t="str">
        <f>銘柄管理!C300</f>
        <v>浜松ホトニクス</v>
      </c>
      <c r="C300" s="1">
        <f>_xll.RssMarket("6965","出来高")</f>
        <v>4105100</v>
      </c>
      <c r="D300" s="82">
        <f t="shared" si="4"/>
        <v>0</v>
      </c>
      <c r="E300" s="1">
        <v>4105100</v>
      </c>
      <c r="F300" s="1">
        <v>3912000</v>
      </c>
      <c r="G300" s="1">
        <v>2663200</v>
      </c>
      <c r="H300" s="1">
        <v>2382500</v>
      </c>
      <c r="I300" s="1">
        <v>4356400</v>
      </c>
      <c r="J300" s="1">
        <v>3341400</v>
      </c>
      <c r="K300" s="1">
        <v>4650400</v>
      </c>
      <c r="L300" s="1">
        <v>3681000</v>
      </c>
      <c r="M300" s="1">
        <v>2102500</v>
      </c>
      <c r="O300" s="1">
        <v>2190500</v>
      </c>
      <c r="P300" s="1">
        <v>2655400</v>
      </c>
      <c r="Q300" s="1">
        <v>2531200</v>
      </c>
      <c r="R300" s="1">
        <v>4718700</v>
      </c>
      <c r="S300" s="1">
        <v>2323000</v>
      </c>
      <c r="T300" s="1">
        <v>2887800</v>
      </c>
      <c r="U300" s="1">
        <v>3155200</v>
      </c>
      <c r="V300" s="1">
        <v>2852000</v>
      </c>
      <c r="W300" s="1">
        <v>2363600</v>
      </c>
      <c r="X300" s="1">
        <v>3426200</v>
      </c>
      <c r="Y300" s="1">
        <v>4095200</v>
      </c>
      <c r="Z300" s="1">
        <v>3877800</v>
      </c>
      <c r="AA300" s="1">
        <v>3390000</v>
      </c>
      <c r="AB300" s="1">
        <v>3037000</v>
      </c>
      <c r="AC300" s="1">
        <v>2792800</v>
      </c>
      <c r="AD300" s="1">
        <v>2326800</v>
      </c>
      <c r="AE300" s="1">
        <v>3595700</v>
      </c>
      <c r="AF300" s="1">
        <v>3495000</v>
      </c>
      <c r="AG300" s="1">
        <v>3076800</v>
      </c>
      <c r="AH300" s="1">
        <v>3489100</v>
      </c>
      <c r="AI300" s="1">
        <v>4261500</v>
      </c>
      <c r="AJ300" s="1">
        <v>3516600</v>
      </c>
      <c r="AK300" s="1">
        <v>3891900</v>
      </c>
      <c r="AL300" s="1">
        <v>3875000</v>
      </c>
      <c r="AM300" s="1">
        <v>4570500</v>
      </c>
      <c r="AN300" s="1">
        <v>4325400</v>
      </c>
      <c r="AO300" s="1">
        <v>5393900</v>
      </c>
      <c r="AP300" s="1">
        <v>5982700</v>
      </c>
      <c r="AQ300" s="1">
        <v>5388600</v>
      </c>
      <c r="AR300" s="1">
        <v>8846200</v>
      </c>
      <c r="AS300" s="1">
        <v>7028700</v>
      </c>
      <c r="AT300" s="1">
        <v>4571500</v>
      </c>
      <c r="AU300" s="1">
        <v>4202200</v>
      </c>
      <c r="AV300" s="1">
        <v>4671500</v>
      </c>
      <c r="AW300" s="1">
        <v>6016300</v>
      </c>
      <c r="AX300" s="1">
        <v>7291600</v>
      </c>
      <c r="AY300" s="1">
        <v>5710400</v>
      </c>
      <c r="AZ300" s="1">
        <v>8443200</v>
      </c>
      <c r="BA300" s="1">
        <v>6394400</v>
      </c>
      <c r="BB300" s="1">
        <v>6305900</v>
      </c>
      <c r="BC300" s="1">
        <v>5097200</v>
      </c>
      <c r="BD300" s="1">
        <v>5349500</v>
      </c>
      <c r="BE300" s="1">
        <v>8911300</v>
      </c>
      <c r="BF300" s="1">
        <v>15774000</v>
      </c>
      <c r="BG300" s="1">
        <v>7842200</v>
      </c>
      <c r="BH300" s="1">
        <v>4349300</v>
      </c>
      <c r="BI300" s="1">
        <v>4178000</v>
      </c>
      <c r="BJ300" s="1">
        <v>3855200</v>
      </c>
      <c r="BK300" s="1">
        <v>3925900</v>
      </c>
      <c r="BL300" s="1">
        <v>4758200</v>
      </c>
      <c r="BM300" s="1">
        <v>6268100</v>
      </c>
      <c r="BN300" s="1">
        <v>1991100</v>
      </c>
      <c r="BO300" s="1">
        <v>2942400</v>
      </c>
      <c r="BP300" s="1">
        <v>5456200</v>
      </c>
      <c r="BQ300" s="1">
        <v>5309500</v>
      </c>
      <c r="BR300" s="1">
        <v>1762100</v>
      </c>
      <c r="BS300" s="1">
        <v>2384500</v>
      </c>
      <c r="BT300" s="1">
        <v>1767900</v>
      </c>
      <c r="BU300" s="1">
        <v>1789000</v>
      </c>
      <c r="BV300" s="1">
        <v>2093700</v>
      </c>
      <c r="BW300" s="1">
        <v>2087400</v>
      </c>
      <c r="BX300" s="1">
        <v>2878300</v>
      </c>
      <c r="BY300" s="1">
        <v>3100100</v>
      </c>
      <c r="BZ300" s="1">
        <v>2515900</v>
      </c>
    </row>
    <row r="301" spans="1:254">
      <c r="A301" s="394" t="s">
        <v>514</v>
      </c>
      <c r="B301" s="1" t="str">
        <f>銘柄管理!C301</f>
        <v>三菱化工機</v>
      </c>
      <c r="C301" s="1">
        <f>_xll.RssMarket("6331","出来高")</f>
        <v>210300</v>
      </c>
      <c r="D301" s="82">
        <f t="shared" si="4"/>
        <v>0</v>
      </c>
      <c r="E301" s="1">
        <v>210300</v>
      </c>
      <c r="F301" s="1">
        <v>190600</v>
      </c>
      <c r="G301" s="1">
        <v>203000</v>
      </c>
      <c r="H301" s="1">
        <v>513600</v>
      </c>
      <c r="I301" s="1">
        <v>359500</v>
      </c>
      <c r="J301" s="1">
        <v>249200</v>
      </c>
      <c r="K301" s="1">
        <v>371900</v>
      </c>
      <c r="L301" s="1">
        <v>178800</v>
      </c>
      <c r="M301" s="1">
        <v>165900</v>
      </c>
      <c r="N301" s="1">
        <v>187500</v>
      </c>
      <c r="O301" s="1">
        <v>184300</v>
      </c>
      <c r="P301" s="1">
        <v>202200</v>
      </c>
      <c r="Q301" s="1">
        <v>152600</v>
      </c>
      <c r="R301" s="1">
        <v>313500</v>
      </c>
      <c r="S301" s="1">
        <v>101500</v>
      </c>
      <c r="T301" s="1">
        <v>177900</v>
      </c>
      <c r="U301" s="1">
        <v>210300</v>
      </c>
      <c r="V301" s="1">
        <v>135200</v>
      </c>
      <c r="W301" s="1">
        <v>184800</v>
      </c>
      <c r="X301" s="1">
        <v>243400</v>
      </c>
      <c r="Y301" s="1">
        <v>282800</v>
      </c>
      <c r="Z301" s="1">
        <v>208300</v>
      </c>
      <c r="AA301" s="1">
        <v>133600</v>
      </c>
      <c r="AB301" s="1">
        <v>161500</v>
      </c>
      <c r="AC301" s="1">
        <v>138500</v>
      </c>
      <c r="AD301" s="1">
        <v>137300</v>
      </c>
      <c r="AE301" s="1">
        <v>175800</v>
      </c>
      <c r="AF301" s="1">
        <v>188200</v>
      </c>
      <c r="AG301" s="1">
        <v>118000</v>
      </c>
      <c r="AH301" s="1">
        <v>164600</v>
      </c>
      <c r="AI301" s="1">
        <v>166500</v>
      </c>
      <c r="AJ301" s="1">
        <v>163600</v>
      </c>
      <c r="AK301" s="1">
        <v>110400</v>
      </c>
      <c r="AL301" s="1">
        <v>154000</v>
      </c>
      <c r="AM301" s="1">
        <v>266000</v>
      </c>
      <c r="AN301" s="1">
        <v>187500</v>
      </c>
      <c r="AO301" s="1">
        <v>176200</v>
      </c>
      <c r="AP301" s="1">
        <v>180800</v>
      </c>
      <c r="AQ301" s="1">
        <v>189100</v>
      </c>
      <c r="AR301" s="1">
        <v>304700</v>
      </c>
      <c r="AS301" s="1">
        <v>189900</v>
      </c>
      <c r="AT301" s="1">
        <v>329800</v>
      </c>
      <c r="AU301" s="1">
        <v>470800</v>
      </c>
      <c r="AV301" s="1">
        <v>498700</v>
      </c>
      <c r="AW301" s="1">
        <v>252100</v>
      </c>
      <c r="AX301" s="1">
        <v>152200</v>
      </c>
      <c r="AY301" s="1">
        <v>282400</v>
      </c>
      <c r="AZ301" s="1">
        <v>259000</v>
      </c>
      <c r="BA301" s="1">
        <v>198000</v>
      </c>
      <c r="BB301" s="1">
        <v>219000</v>
      </c>
      <c r="BC301" s="1">
        <v>273600</v>
      </c>
      <c r="BD301" s="1">
        <v>357500</v>
      </c>
      <c r="BE301" s="1">
        <v>426100</v>
      </c>
      <c r="BF301" s="1">
        <v>945300</v>
      </c>
      <c r="BG301" s="1">
        <v>816000</v>
      </c>
      <c r="BH301" s="1">
        <v>219700</v>
      </c>
      <c r="BI301" s="1">
        <v>187100</v>
      </c>
      <c r="BJ301" s="1">
        <v>239700</v>
      </c>
      <c r="BK301" s="1">
        <v>121700</v>
      </c>
      <c r="BL301" s="1">
        <v>178800</v>
      </c>
      <c r="BM301" s="1">
        <v>197000</v>
      </c>
      <c r="BN301" s="1">
        <v>280000</v>
      </c>
      <c r="BO301" s="1">
        <v>222700</v>
      </c>
      <c r="BP301" s="1">
        <v>205200</v>
      </c>
      <c r="BQ301" s="1">
        <v>315400</v>
      </c>
      <c r="BR301" s="1">
        <v>261300</v>
      </c>
      <c r="BS301" s="1">
        <v>346100</v>
      </c>
      <c r="BT301" s="1">
        <v>205000</v>
      </c>
      <c r="BU301" s="1">
        <v>134600</v>
      </c>
      <c r="BV301" s="1">
        <v>122100</v>
      </c>
      <c r="BW301" s="1">
        <v>146900</v>
      </c>
      <c r="BX301" s="1">
        <v>190200</v>
      </c>
      <c r="BY301" s="1">
        <v>241600</v>
      </c>
      <c r="BZ301" s="1">
        <v>206300</v>
      </c>
    </row>
    <row r="302" spans="1:254">
      <c r="A302" s="394" t="s">
        <v>515</v>
      </c>
      <c r="B302" s="1" t="str">
        <f>銘柄管理!C302</f>
        <v>ＨＯＹＡ</v>
      </c>
      <c r="C302" s="1">
        <f>_xll.RssMarket("7741","出来高")</f>
        <v>1135500</v>
      </c>
      <c r="D302" s="82">
        <f t="shared" si="4"/>
        <v>0</v>
      </c>
      <c r="E302" s="1">
        <v>1135500</v>
      </c>
      <c r="F302" s="1">
        <v>1293800</v>
      </c>
      <c r="G302" s="1">
        <v>1384400</v>
      </c>
      <c r="H302" s="1">
        <v>1538600</v>
      </c>
      <c r="I302" s="1">
        <v>2127000</v>
      </c>
      <c r="J302" s="1">
        <v>1126700</v>
      </c>
      <c r="K302" s="1">
        <v>1083600</v>
      </c>
      <c r="L302" s="1">
        <v>1044300</v>
      </c>
      <c r="M302" s="1">
        <v>685100</v>
      </c>
      <c r="N302" s="1">
        <v>602200</v>
      </c>
      <c r="O302" s="1">
        <v>760000</v>
      </c>
      <c r="P302" s="1">
        <v>832800</v>
      </c>
      <c r="Q302" s="1">
        <v>1057300</v>
      </c>
      <c r="R302" s="1">
        <v>1065900</v>
      </c>
      <c r="S302" s="1">
        <v>813700</v>
      </c>
      <c r="T302" s="1">
        <v>936200</v>
      </c>
      <c r="U302" s="1">
        <v>772000</v>
      </c>
      <c r="V302" s="1">
        <v>992600</v>
      </c>
      <c r="W302" s="1">
        <v>1841900</v>
      </c>
      <c r="X302" s="1">
        <v>1700600</v>
      </c>
      <c r="Y302" s="1">
        <v>1301800</v>
      </c>
      <c r="Z302" s="1">
        <v>784100</v>
      </c>
      <c r="AA302" s="1">
        <v>991500</v>
      </c>
      <c r="AB302" s="1">
        <v>1068900</v>
      </c>
      <c r="AC302" s="1">
        <v>1073900</v>
      </c>
      <c r="AD302" s="1">
        <v>1221100</v>
      </c>
      <c r="AE302" s="1">
        <v>1387700</v>
      </c>
      <c r="AF302" s="1">
        <v>1331600</v>
      </c>
      <c r="AG302" s="1">
        <v>1037600</v>
      </c>
      <c r="AH302" s="1">
        <v>1042700</v>
      </c>
      <c r="AI302" s="1">
        <v>919300</v>
      </c>
      <c r="AJ302" s="1">
        <v>718700</v>
      </c>
      <c r="AK302" s="1">
        <v>1231700</v>
      </c>
      <c r="AL302" s="1">
        <v>1113200</v>
      </c>
      <c r="AM302" s="1">
        <v>833200</v>
      </c>
      <c r="AN302" s="1">
        <v>964700</v>
      </c>
      <c r="AO302" s="1">
        <v>652900</v>
      </c>
      <c r="AP302" s="1">
        <v>1790900</v>
      </c>
      <c r="AQ302" s="1">
        <v>936500</v>
      </c>
      <c r="AR302" s="1">
        <v>894600</v>
      </c>
      <c r="AS302" s="1">
        <v>936500</v>
      </c>
      <c r="AT302" s="1">
        <v>714800</v>
      </c>
      <c r="AU302" s="1">
        <v>1078800</v>
      </c>
      <c r="AV302" s="1">
        <v>1092900</v>
      </c>
      <c r="AW302" s="1">
        <v>894500</v>
      </c>
      <c r="AX302" s="1">
        <v>1751300</v>
      </c>
      <c r="AY302" s="1">
        <v>930100</v>
      </c>
      <c r="AZ302" s="1">
        <v>1399000</v>
      </c>
      <c r="BA302" s="1">
        <v>956600</v>
      </c>
      <c r="BB302" s="1">
        <v>1071500</v>
      </c>
      <c r="BC302" s="1">
        <v>744300</v>
      </c>
      <c r="BD302" s="1">
        <v>976100</v>
      </c>
      <c r="BE302" s="1">
        <v>1029300</v>
      </c>
      <c r="BF302" s="1">
        <v>677600</v>
      </c>
      <c r="BG302" s="1">
        <v>1111800</v>
      </c>
      <c r="BH302" s="1">
        <v>934500</v>
      </c>
      <c r="BI302" s="1">
        <v>814400</v>
      </c>
      <c r="BJ302" s="1">
        <v>1110000</v>
      </c>
      <c r="BK302" s="1">
        <v>1231300</v>
      </c>
      <c r="BL302" s="1">
        <v>1207200</v>
      </c>
      <c r="BM302" s="1">
        <v>2802900</v>
      </c>
      <c r="BN302" s="1">
        <v>1140500</v>
      </c>
      <c r="BO302" s="1">
        <v>3573900</v>
      </c>
      <c r="BP302" s="1">
        <v>952900</v>
      </c>
      <c r="BQ302" s="1">
        <v>950500</v>
      </c>
      <c r="BR302" s="1">
        <v>772600</v>
      </c>
      <c r="BS302" s="1">
        <v>899100</v>
      </c>
      <c r="BT302" s="1">
        <v>914500</v>
      </c>
      <c r="BU302" s="1">
        <v>1089700</v>
      </c>
      <c r="BV302" s="1">
        <v>897300</v>
      </c>
      <c r="BW302" s="1">
        <v>1161300</v>
      </c>
      <c r="BX302" s="1">
        <v>1130400</v>
      </c>
      <c r="BY302" s="1">
        <v>1094200</v>
      </c>
      <c r="BZ302" s="1">
        <v>733200</v>
      </c>
    </row>
    <row r="303" spans="1:254">
      <c r="A303" s="394" t="s">
        <v>876</v>
      </c>
      <c r="B303" s="1" t="str">
        <f>銘柄管理!C303</f>
        <v>ＮＦ日経２２５</v>
      </c>
      <c r="C303" s="1">
        <f>_xll.RssMarket("1321","出来高")</f>
        <v>215206</v>
      </c>
      <c r="D303" s="82">
        <f t="shared" si="4"/>
        <v>0</v>
      </c>
      <c r="E303" s="1">
        <v>215206</v>
      </c>
      <c r="F303" s="1">
        <v>407319</v>
      </c>
      <c r="G303" s="1">
        <v>257102</v>
      </c>
      <c r="H303" s="1">
        <v>267374</v>
      </c>
      <c r="I303" s="1">
        <v>455776</v>
      </c>
      <c r="J303" s="1">
        <v>393959</v>
      </c>
      <c r="K303" s="1">
        <v>412230</v>
      </c>
      <c r="L303" s="1">
        <v>414393</v>
      </c>
      <c r="M303" s="1">
        <v>297036</v>
      </c>
      <c r="N303" s="1">
        <v>320042</v>
      </c>
      <c r="O303" s="1">
        <v>200405</v>
      </c>
      <c r="P303" s="1">
        <v>331180</v>
      </c>
      <c r="Q303" s="1">
        <v>376904</v>
      </c>
      <c r="R303" s="1">
        <v>833236</v>
      </c>
      <c r="S303" s="1">
        <v>247387</v>
      </c>
      <c r="T303" s="1">
        <v>304920</v>
      </c>
      <c r="U303" s="1">
        <v>375693</v>
      </c>
      <c r="V303" s="1">
        <v>359471</v>
      </c>
      <c r="W303" s="1">
        <v>397136</v>
      </c>
      <c r="X303" s="1">
        <v>361390</v>
      </c>
      <c r="Y303" s="1">
        <v>496428</v>
      </c>
      <c r="Z303" s="1">
        <v>311251</v>
      </c>
      <c r="AA303" s="1">
        <v>384612</v>
      </c>
      <c r="AB303" s="1">
        <v>472770</v>
      </c>
      <c r="AC303" s="1">
        <v>306600</v>
      </c>
      <c r="AD303" s="1">
        <v>419420</v>
      </c>
      <c r="AE303" s="1">
        <v>371068</v>
      </c>
      <c r="AF303" s="1">
        <v>642689</v>
      </c>
      <c r="AG303" s="1">
        <v>535006</v>
      </c>
      <c r="AH303" s="1">
        <v>713336</v>
      </c>
      <c r="AI303" s="1">
        <v>608062</v>
      </c>
      <c r="AJ303" s="1">
        <v>340824</v>
      </c>
      <c r="AK303" s="1">
        <v>449694</v>
      </c>
      <c r="AL303" s="1">
        <v>488172</v>
      </c>
      <c r="AM303" s="1">
        <v>342064</v>
      </c>
      <c r="AN303" s="1">
        <v>436528</v>
      </c>
      <c r="AO303" s="1">
        <v>747852</v>
      </c>
      <c r="AP303" s="1">
        <v>563517</v>
      </c>
      <c r="AQ303" s="1">
        <v>709015</v>
      </c>
      <c r="AR303" s="1">
        <v>637032</v>
      </c>
      <c r="AS303" s="1">
        <v>783978</v>
      </c>
      <c r="AT303" s="1">
        <v>377415</v>
      </c>
      <c r="AU303" s="1">
        <v>323314</v>
      </c>
      <c r="AV303" s="1">
        <v>598336</v>
      </c>
      <c r="AW303" s="1">
        <v>417601</v>
      </c>
      <c r="AX303" s="1">
        <v>303836</v>
      </c>
      <c r="AY303" s="1">
        <v>387287</v>
      </c>
      <c r="AZ303" s="1">
        <v>355358</v>
      </c>
      <c r="BA303" s="1">
        <v>679448</v>
      </c>
      <c r="BB303" s="1">
        <v>433565</v>
      </c>
      <c r="BC303" s="1">
        <v>407574</v>
      </c>
      <c r="BD303" s="1">
        <v>488890</v>
      </c>
      <c r="BE303" s="1">
        <v>313297</v>
      </c>
      <c r="BF303" s="1">
        <v>423660</v>
      </c>
      <c r="BG303" s="1">
        <v>714753</v>
      </c>
      <c r="BH303" s="1">
        <v>278547</v>
      </c>
      <c r="BI303" s="1">
        <v>201654</v>
      </c>
      <c r="BJ303" s="1">
        <v>256886</v>
      </c>
      <c r="BK303" s="1">
        <v>208275</v>
      </c>
      <c r="BL303" s="1">
        <v>279514</v>
      </c>
      <c r="BM303" s="1">
        <v>551506</v>
      </c>
      <c r="BN303" s="1">
        <v>164405</v>
      </c>
      <c r="BO303" s="1">
        <v>421289</v>
      </c>
      <c r="BP303" s="1">
        <v>286475</v>
      </c>
      <c r="BQ303" s="1">
        <v>523967</v>
      </c>
      <c r="BR303" s="1">
        <v>234459</v>
      </c>
      <c r="BS303" s="1">
        <v>591905</v>
      </c>
      <c r="BT303" s="1">
        <v>283209</v>
      </c>
      <c r="BU303" s="1">
        <v>230340</v>
      </c>
      <c r="BV303" s="1">
        <v>253158</v>
      </c>
      <c r="BW303" s="1">
        <v>272088</v>
      </c>
      <c r="BX303" s="1">
        <v>494500</v>
      </c>
      <c r="BY303" s="1">
        <v>284953</v>
      </c>
      <c r="BZ303" s="1">
        <v>394311</v>
      </c>
    </row>
    <row r="304" spans="1:254">
      <c r="A304" s="394" t="s">
        <v>878</v>
      </c>
      <c r="B304" s="1" t="str">
        <f>銘柄管理!C304</f>
        <v>きんでん</v>
      </c>
      <c r="C304" s="1">
        <f>_xll.RssMarket("1944","出来高")</f>
        <v>782100</v>
      </c>
      <c r="D304" s="82">
        <f t="shared" si="4"/>
        <v>0</v>
      </c>
      <c r="E304" s="1">
        <v>782100</v>
      </c>
      <c r="F304" s="1">
        <v>715500</v>
      </c>
      <c r="G304" s="1">
        <v>686000</v>
      </c>
      <c r="H304" s="1">
        <v>992600</v>
      </c>
      <c r="I304" s="1">
        <v>1541600</v>
      </c>
      <c r="J304" s="1">
        <v>3924000</v>
      </c>
      <c r="K304" s="1">
        <v>1803400</v>
      </c>
      <c r="L304" s="1">
        <v>1649000</v>
      </c>
      <c r="M304" s="1">
        <v>1175200</v>
      </c>
      <c r="N304" s="1">
        <v>649900</v>
      </c>
      <c r="O304" s="1">
        <v>684200</v>
      </c>
      <c r="P304" s="1">
        <v>659500</v>
      </c>
      <c r="Q304" s="1">
        <v>770200</v>
      </c>
      <c r="R304" s="1">
        <v>750600</v>
      </c>
      <c r="S304" s="1">
        <v>420700</v>
      </c>
      <c r="T304" s="1">
        <v>460700</v>
      </c>
      <c r="U304" s="1">
        <v>526300</v>
      </c>
      <c r="V304" s="1">
        <v>462200</v>
      </c>
      <c r="W304" s="1">
        <v>445500</v>
      </c>
      <c r="X304" s="1">
        <v>809300</v>
      </c>
      <c r="Y304" s="1">
        <v>624200</v>
      </c>
      <c r="Z304" s="1">
        <v>570300</v>
      </c>
      <c r="AA304" s="1">
        <v>612500</v>
      </c>
      <c r="AB304" s="1">
        <v>558600</v>
      </c>
      <c r="AC304" s="1">
        <v>409100</v>
      </c>
      <c r="AD304" s="1">
        <v>467000</v>
      </c>
      <c r="AE304" s="1">
        <v>487500</v>
      </c>
      <c r="AF304" s="1">
        <v>722300</v>
      </c>
      <c r="AG304" s="1">
        <v>873000</v>
      </c>
      <c r="AH304" s="1">
        <v>837100</v>
      </c>
      <c r="AI304" s="1">
        <v>1026000</v>
      </c>
      <c r="AJ304" s="1">
        <v>924600</v>
      </c>
      <c r="AK304" s="1">
        <v>2174500</v>
      </c>
      <c r="AL304" s="1">
        <v>1013300</v>
      </c>
      <c r="AM304" s="1">
        <v>1222400</v>
      </c>
      <c r="AN304" s="1">
        <v>799100</v>
      </c>
      <c r="AO304" s="1">
        <v>842500</v>
      </c>
      <c r="AP304" s="1">
        <v>566200</v>
      </c>
      <c r="AQ304" s="1">
        <v>688000</v>
      </c>
      <c r="AR304" s="1">
        <v>839500</v>
      </c>
      <c r="AS304" s="1">
        <v>994600</v>
      </c>
      <c r="AT304" s="1">
        <v>860000</v>
      </c>
      <c r="AU304" s="1">
        <v>771200</v>
      </c>
      <c r="AV304" s="1">
        <v>1067000</v>
      </c>
      <c r="AW304" s="1">
        <v>709800</v>
      </c>
      <c r="AX304" s="1">
        <v>1122700</v>
      </c>
      <c r="AY304" s="1">
        <v>837100</v>
      </c>
      <c r="AZ304" s="1">
        <v>528200</v>
      </c>
      <c r="BA304" s="1">
        <v>780200</v>
      </c>
      <c r="BB304" s="1">
        <v>704100</v>
      </c>
      <c r="BC304" s="1">
        <v>638800</v>
      </c>
      <c r="BD304" s="1">
        <v>1007200</v>
      </c>
      <c r="BE304" s="1">
        <v>806000</v>
      </c>
      <c r="BF304" s="1">
        <v>910100</v>
      </c>
      <c r="BG304" s="1">
        <v>761700</v>
      </c>
      <c r="BH304" s="1">
        <v>664500</v>
      </c>
      <c r="BI304" s="1">
        <v>818700</v>
      </c>
      <c r="BJ304" s="1">
        <v>705800</v>
      </c>
      <c r="BK304" s="1">
        <v>702000</v>
      </c>
      <c r="BL304" s="1">
        <v>880100</v>
      </c>
      <c r="BM304" s="1">
        <v>1596700</v>
      </c>
      <c r="BN304" s="1">
        <v>1274000</v>
      </c>
      <c r="BO304" s="1">
        <v>3084200</v>
      </c>
      <c r="BP304" s="1">
        <v>279100</v>
      </c>
      <c r="BQ304" s="1">
        <v>1689400</v>
      </c>
      <c r="BR304" s="1">
        <v>548900</v>
      </c>
      <c r="BS304" s="1">
        <v>722400</v>
      </c>
      <c r="BT304" s="1">
        <v>479700</v>
      </c>
      <c r="BU304" s="1">
        <v>471300</v>
      </c>
      <c r="BV304" s="1">
        <v>300300</v>
      </c>
      <c r="BW304" s="1">
        <v>660000</v>
      </c>
      <c r="BX304" s="1">
        <v>755800</v>
      </c>
      <c r="BY304" s="1">
        <v>1116300</v>
      </c>
      <c r="BZ304" s="1">
        <v>418400</v>
      </c>
    </row>
    <row r="305" spans="1:254">
      <c r="A305" s="394" t="s">
        <v>1039</v>
      </c>
      <c r="B305" s="1" t="str">
        <f>銘柄管理!C305</f>
        <v>パンパシフィックＨＤ</v>
      </c>
      <c r="C305" s="1">
        <f>_xll.RssMarket("7532","出来高")</f>
        <v>5026700</v>
      </c>
      <c r="D305" s="82">
        <f t="shared" ref="D305:D366" si="5">C305-E305</f>
        <v>0</v>
      </c>
      <c r="E305" s="1">
        <v>5026700</v>
      </c>
      <c r="F305" s="1">
        <v>7225500</v>
      </c>
      <c r="G305" s="1">
        <v>5504300</v>
      </c>
      <c r="H305" s="1">
        <v>7666700</v>
      </c>
      <c r="I305" s="1">
        <v>13335800</v>
      </c>
      <c r="J305" s="1">
        <v>12683900</v>
      </c>
      <c r="K305" s="1">
        <v>20441100</v>
      </c>
      <c r="L305" s="1">
        <v>11826600</v>
      </c>
      <c r="M305" s="1">
        <v>8374100</v>
      </c>
      <c r="N305" s="1">
        <v>6927400</v>
      </c>
      <c r="O305" s="1">
        <v>6045000</v>
      </c>
      <c r="P305" s="1">
        <v>7010800</v>
      </c>
      <c r="Q305" s="1">
        <v>9065700</v>
      </c>
      <c r="R305" s="1">
        <v>13238300</v>
      </c>
      <c r="S305" s="1">
        <v>8447400</v>
      </c>
      <c r="T305" s="1">
        <v>7420500</v>
      </c>
      <c r="U305" s="1">
        <v>7961100</v>
      </c>
      <c r="V305" s="1">
        <v>9319000</v>
      </c>
      <c r="W305" s="1">
        <v>10620300</v>
      </c>
      <c r="X305" s="1">
        <v>14734400</v>
      </c>
      <c r="Y305" s="1">
        <v>13886200</v>
      </c>
      <c r="Z305" s="1">
        <v>8826900</v>
      </c>
      <c r="AA305" s="1">
        <v>8524900</v>
      </c>
      <c r="AB305" s="1">
        <v>8356400</v>
      </c>
      <c r="AC305" s="1">
        <v>10371000</v>
      </c>
      <c r="AD305" s="1">
        <v>12157200</v>
      </c>
      <c r="AE305" s="1">
        <v>11480100</v>
      </c>
      <c r="AF305" s="1">
        <v>11977400</v>
      </c>
      <c r="AG305" s="1">
        <v>10826200</v>
      </c>
      <c r="AH305" s="1">
        <v>10505100</v>
      </c>
      <c r="AI305" s="1">
        <v>10696300</v>
      </c>
      <c r="AJ305" s="1">
        <v>8875500</v>
      </c>
      <c r="AK305" s="1">
        <v>13115400</v>
      </c>
      <c r="AL305" s="1">
        <v>7911200</v>
      </c>
      <c r="AM305" s="1">
        <v>7820900</v>
      </c>
      <c r="AN305" s="1">
        <v>10168000</v>
      </c>
      <c r="AO305" s="1">
        <v>10026400</v>
      </c>
      <c r="AP305" s="1">
        <v>11446700</v>
      </c>
      <c r="AQ305" s="1">
        <v>13632800</v>
      </c>
      <c r="AR305" s="1">
        <v>8280200</v>
      </c>
      <c r="AS305" s="1">
        <v>10968100</v>
      </c>
      <c r="AT305" s="1">
        <v>6266300</v>
      </c>
      <c r="AU305" s="1">
        <v>9390800</v>
      </c>
      <c r="AV305" s="1">
        <v>9425900</v>
      </c>
      <c r="AW305" s="1">
        <v>9167400</v>
      </c>
      <c r="AX305" s="1">
        <v>24956100</v>
      </c>
      <c r="AY305" s="1">
        <v>16167200</v>
      </c>
      <c r="AZ305" s="1">
        <v>13791600</v>
      </c>
      <c r="BA305" s="1">
        <v>13279300</v>
      </c>
      <c r="BB305" s="1">
        <v>9405200</v>
      </c>
      <c r="BC305" s="1">
        <v>10250600</v>
      </c>
      <c r="BD305" s="1">
        <v>9807500</v>
      </c>
      <c r="BE305" s="1">
        <v>8372100</v>
      </c>
      <c r="BF305" s="1">
        <v>9284700</v>
      </c>
      <c r="BG305" s="1">
        <v>9131900</v>
      </c>
      <c r="BH305" s="1">
        <v>15717300</v>
      </c>
      <c r="BI305" s="1">
        <v>11563500</v>
      </c>
      <c r="BJ305" s="1">
        <v>6062600</v>
      </c>
      <c r="BK305" s="1">
        <v>8683900</v>
      </c>
      <c r="BL305" s="1">
        <v>8199800</v>
      </c>
      <c r="BM305" s="1">
        <v>12605500</v>
      </c>
      <c r="BN305" s="1">
        <v>6483500</v>
      </c>
      <c r="BO305" s="1">
        <v>11175700</v>
      </c>
      <c r="BP305" s="1">
        <v>11586100</v>
      </c>
      <c r="BQ305" s="1">
        <v>6641100</v>
      </c>
      <c r="BR305" s="1">
        <v>5115300</v>
      </c>
      <c r="BS305" s="1">
        <v>8867300</v>
      </c>
      <c r="BT305" s="1">
        <v>6811900</v>
      </c>
      <c r="BU305" s="1">
        <v>4821700</v>
      </c>
      <c r="BV305" s="1">
        <v>5711800</v>
      </c>
      <c r="BW305" s="1">
        <v>6870200</v>
      </c>
      <c r="BX305" s="1">
        <v>6233100</v>
      </c>
      <c r="BY305" s="1">
        <v>8479500</v>
      </c>
      <c r="BZ305" s="1">
        <v>7832900</v>
      </c>
    </row>
    <row r="306" spans="1:254">
      <c r="A306" s="396"/>
      <c r="D306" s="82">
        <f t="shared" si="5"/>
        <v>0</v>
      </c>
    </row>
    <row r="307" spans="1:254">
      <c r="A307" s="396"/>
      <c r="D307" s="82">
        <f t="shared" si="5"/>
        <v>0</v>
      </c>
    </row>
    <row r="308" spans="1:254">
      <c r="A308" s="396"/>
      <c r="D308" s="82">
        <f t="shared" si="5"/>
        <v>0</v>
      </c>
    </row>
    <row r="309" spans="1:254">
      <c r="A309" s="396"/>
      <c r="D309" s="82">
        <f t="shared" si="5"/>
        <v>0</v>
      </c>
    </row>
    <row r="310" spans="1:254">
      <c r="A310" s="396"/>
      <c r="D310" s="82">
        <f t="shared" si="5"/>
        <v>0</v>
      </c>
    </row>
    <row r="311" spans="1:254">
      <c r="A311" s="396"/>
      <c r="D311" s="82">
        <f t="shared" si="5"/>
        <v>0</v>
      </c>
    </row>
    <row r="312" spans="1:254">
      <c r="A312" s="396"/>
      <c r="D312" s="82">
        <f t="shared" si="5"/>
        <v>0</v>
      </c>
    </row>
    <row r="313" spans="1:254">
      <c r="A313" s="396"/>
      <c r="D313" s="82">
        <f t="shared" si="5"/>
        <v>0</v>
      </c>
    </row>
    <row r="314" spans="1:254">
      <c r="A314" s="396"/>
      <c r="D314" s="82">
        <f t="shared" si="5"/>
        <v>0</v>
      </c>
    </row>
    <row r="315" spans="1:254">
      <c r="A315" s="396"/>
      <c r="D315" s="82">
        <f t="shared" si="5"/>
        <v>0</v>
      </c>
    </row>
    <row r="316" spans="1:254">
      <c r="A316" s="396"/>
      <c r="D316" s="82">
        <f t="shared" si="5"/>
        <v>0</v>
      </c>
    </row>
    <row r="317" spans="1:254">
      <c r="A317" s="396"/>
      <c r="D317" s="82">
        <f t="shared" si="5"/>
        <v>0</v>
      </c>
    </row>
    <row r="318" spans="1:254">
      <c r="A318" s="396"/>
      <c r="D318" s="82">
        <f t="shared" si="5"/>
        <v>0</v>
      </c>
    </row>
    <row r="319" spans="1:254">
      <c r="A319" s="396"/>
      <c r="D319" s="82">
        <f t="shared" si="5"/>
        <v>0</v>
      </c>
    </row>
    <row r="320" spans="1:254">
      <c r="A320" s="396"/>
      <c r="D320" s="82">
        <f t="shared" si="5"/>
        <v>0</v>
      </c>
    </row>
    <row r="321" spans="1:254">
      <c r="A321" s="396"/>
      <c r="D321" s="82">
        <f t="shared" si="5"/>
        <v>0</v>
      </c>
    </row>
    <row r="322" spans="1:254">
      <c r="A322" s="396"/>
      <c r="D322" s="82">
        <f t="shared" si="5"/>
        <v>0</v>
      </c>
    </row>
    <row r="323" spans="1:254">
      <c r="A323" s="396"/>
      <c r="D323" s="82">
        <f t="shared" si="5"/>
        <v>0</v>
      </c>
    </row>
    <row r="324" spans="1:254">
      <c r="A324" s="396"/>
      <c r="D324" s="82">
        <f t="shared" si="5"/>
        <v>0</v>
      </c>
    </row>
    <row r="325" spans="1:254">
      <c r="A325" s="396"/>
      <c r="D325" s="82">
        <f t="shared" si="5"/>
        <v>0</v>
      </c>
    </row>
    <row r="326" spans="1:254">
      <c r="A326" s="396"/>
      <c r="D326" s="82">
        <f t="shared" si="5"/>
        <v>0</v>
      </c>
    </row>
    <row r="327" spans="1:254">
      <c r="A327" s="396"/>
      <c r="D327" s="82">
        <f t="shared" si="5"/>
        <v>0</v>
      </c>
    </row>
    <row r="328" spans="1:254">
      <c r="A328" s="396"/>
      <c r="D328" s="82">
        <f t="shared" si="5"/>
        <v>0</v>
      </c>
    </row>
    <row r="329" spans="1:254">
      <c r="A329" s="396"/>
      <c r="D329" s="82">
        <f t="shared" si="5"/>
        <v>0</v>
      </c>
    </row>
    <row r="330" spans="1:254">
      <c r="A330" s="396"/>
      <c r="D330" s="82">
        <f t="shared" si="5"/>
        <v>0</v>
      </c>
    </row>
    <row r="331" spans="1:254">
      <c r="A331" s="396"/>
      <c r="D331" s="82">
        <f t="shared" si="5"/>
        <v>0</v>
      </c>
    </row>
    <row r="332" spans="1:254">
      <c r="A332" s="396"/>
      <c r="D332" s="82">
        <f t="shared" si="5"/>
        <v>0</v>
      </c>
    </row>
    <row r="333" spans="1:254">
      <c r="A333" s="396"/>
      <c r="D333" s="82">
        <f t="shared" si="5"/>
        <v>0</v>
      </c>
    </row>
    <row r="334" spans="1:254">
      <c r="A334" s="396"/>
      <c r="D334" s="82">
        <f t="shared" si="5"/>
        <v>0</v>
      </c>
    </row>
    <row r="335" spans="1:254">
      <c r="A335" s="396"/>
      <c r="D335" s="82">
        <f t="shared" si="5"/>
        <v>0</v>
      </c>
    </row>
    <row r="336" spans="1:254">
      <c r="A336" s="396"/>
      <c r="D336" s="82">
        <f t="shared" si="5"/>
        <v>0</v>
      </c>
    </row>
    <row r="337" spans="1:254">
      <c r="A337" s="396"/>
      <c r="D337" s="82">
        <f t="shared" si="5"/>
        <v>0</v>
      </c>
    </row>
    <row r="338" spans="1:254">
      <c r="A338" s="396"/>
      <c r="D338" s="82">
        <f t="shared" si="5"/>
        <v>0</v>
      </c>
    </row>
    <row r="339" spans="1:254">
      <c r="A339" s="396"/>
      <c r="D339" s="82">
        <f t="shared" si="5"/>
        <v>0</v>
      </c>
    </row>
    <row r="340" spans="1:254">
      <c r="A340" s="396"/>
      <c r="D340" s="82">
        <f t="shared" si="5"/>
        <v>0</v>
      </c>
    </row>
    <row r="341" spans="1:254">
      <c r="A341" s="396"/>
      <c r="D341" s="82">
        <f t="shared" si="5"/>
        <v>0</v>
      </c>
    </row>
    <row r="342" spans="1:254">
      <c r="A342" s="396"/>
      <c r="D342" s="82">
        <f t="shared" si="5"/>
        <v>0</v>
      </c>
    </row>
    <row r="343" spans="1:254">
      <c r="A343" s="396"/>
      <c r="D343" s="82">
        <f t="shared" si="5"/>
        <v>0</v>
      </c>
    </row>
    <row r="344" spans="1:254">
      <c r="A344" s="396"/>
      <c r="D344" s="82">
        <f t="shared" si="5"/>
        <v>0</v>
      </c>
    </row>
    <row r="345" spans="1:254">
      <c r="A345" s="396"/>
      <c r="D345" s="82">
        <f t="shared" si="5"/>
        <v>0</v>
      </c>
    </row>
    <row r="346" spans="1:254">
      <c r="A346" s="396"/>
      <c r="D346" s="82">
        <f t="shared" si="5"/>
        <v>0</v>
      </c>
    </row>
    <row r="347" spans="1:254">
      <c r="A347" s="396"/>
      <c r="D347" s="82">
        <f t="shared" si="5"/>
        <v>0</v>
      </c>
    </row>
    <row r="348" spans="1:254">
      <c r="A348" s="396"/>
      <c r="D348" s="82">
        <f t="shared" si="5"/>
        <v>0</v>
      </c>
    </row>
    <row r="349" spans="1:254">
      <c r="A349" s="396"/>
      <c r="D349" s="82">
        <f t="shared" si="5"/>
        <v>0</v>
      </c>
    </row>
    <row r="350" spans="1:254">
      <c r="A350" s="396"/>
      <c r="D350" s="82">
        <f t="shared" si="5"/>
        <v>0</v>
      </c>
    </row>
    <row r="351" spans="1:254">
      <c r="A351" s="396"/>
      <c r="D351" s="82">
        <f t="shared" si="5"/>
        <v>0</v>
      </c>
    </row>
    <row r="352" spans="1:254">
      <c r="A352" s="396"/>
      <c r="D352" s="82">
        <f t="shared" si="5"/>
        <v>0</v>
      </c>
    </row>
    <row r="353" spans="1:254">
      <c r="A353" s="396"/>
      <c r="D353" s="82">
        <f t="shared" si="5"/>
        <v>0</v>
      </c>
    </row>
    <row r="354" spans="1:254">
      <c r="A354" s="396"/>
      <c r="D354" s="82">
        <f t="shared" si="5"/>
        <v>0</v>
      </c>
    </row>
    <row r="355" spans="1:254">
      <c r="A355" s="396"/>
      <c r="D355" s="82">
        <f t="shared" si="5"/>
        <v>0</v>
      </c>
    </row>
    <row r="356" spans="1:254">
      <c r="A356" s="396"/>
      <c r="D356" s="82">
        <f t="shared" si="5"/>
        <v>0</v>
      </c>
    </row>
    <row r="357" spans="1:254">
      <c r="A357" s="396"/>
      <c r="D357" s="82">
        <f t="shared" si="5"/>
        <v>0</v>
      </c>
    </row>
    <row r="358" spans="1:254">
      <c r="A358" s="396"/>
      <c r="D358" s="82">
        <f t="shared" si="5"/>
        <v>0</v>
      </c>
    </row>
    <row r="359" spans="1:254">
      <c r="A359" s="396"/>
      <c r="D359" s="82">
        <f t="shared" si="5"/>
        <v>0</v>
      </c>
    </row>
    <row r="360" spans="1:254">
      <c r="A360" s="396"/>
      <c r="D360" s="82">
        <f t="shared" si="5"/>
        <v>0</v>
      </c>
    </row>
    <row r="361" spans="1:254">
      <c r="A361" s="396"/>
      <c r="D361" s="82">
        <f t="shared" si="5"/>
        <v>0</v>
      </c>
    </row>
    <row r="362" spans="1:254">
      <c r="A362" s="396"/>
      <c r="D362" s="82">
        <f t="shared" si="5"/>
        <v>0</v>
      </c>
    </row>
    <row r="363" spans="1:254">
      <c r="A363" s="396"/>
      <c r="D363" s="82">
        <f t="shared" si="5"/>
        <v>0</v>
      </c>
    </row>
    <row r="364" spans="1:254">
      <c r="A364" s="396"/>
      <c r="D364" s="82">
        <f t="shared" si="5"/>
        <v>0</v>
      </c>
    </row>
    <row r="365" spans="1:254">
      <c r="A365" s="396"/>
      <c r="D365" s="82">
        <f t="shared" si="5"/>
        <v>0</v>
      </c>
    </row>
    <row r="366" spans="1:254">
      <c r="A366" s="396"/>
      <c r="D366" s="82">
        <f t="shared" si="5"/>
        <v>0</v>
      </c>
    </row>
    <row r="367" spans="1:254">
      <c r="A367" s="396"/>
      <c r="D367" s="82">
        <f t="shared" ref="D367:D430" si="6">C367-E367</f>
        <v>0</v>
      </c>
    </row>
    <row r="368" spans="1:254">
      <c r="A368" s="396"/>
      <c r="D368" s="82">
        <f t="shared" si="6"/>
        <v>0</v>
      </c>
    </row>
    <row r="369" spans="1:254">
      <c r="A369" s="396"/>
      <c r="D369" s="82">
        <f t="shared" si="6"/>
        <v>0</v>
      </c>
    </row>
    <row r="370" spans="1:254">
      <c r="A370" s="396"/>
      <c r="D370" s="82">
        <f t="shared" si="6"/>
        <v>0</v>
      </c>
    </row>
    <row r="371" spans="1:254">
      <c r="A371" s="396"/>
      <c r="D371" s="82">
        <f t="shared" si="6"/>
        <v>0</v>
      </c>
    </row>
    <row r="372" spans="1:254">
      <c r="A372" s="396"/>
      <c r="D372" s="82">
        <f t="shared" si="6"/>
        <v>0</v>
      </c>
    </row>
    <row r="373" spans="1:254">
      <c r="A373" s="396"/>
      <c r="D373" s="82">
        <f t="shared" si="6"/>
        <v>0</v>
      </c>
    </row>
    <row r="374" spans="1:254">
      <c r="A374" s="396"/>
      <c r="D374" s="82">
        <f t="shared" si="6"/>
        <v>0</v>
      </c>
    </row>
    <row r="375" spans="1:254">
      <c r="A375" s="396"/>
      <c r="D375" s="82">
        <f t="shared" si="6"/>
        <v>0</v>
      </c>
    </row>
    <row r="376" spans="1:254">
      <c r="A376" s="396"/>
      <c r="D376" s="82">
        <f t="shared" si="6"/>
        <v>0</v>
      </c>
    </row>
    <row r="377" spans="1:254">
      <c r="A377" s="396"/>
      <c r="D377" s="82">
        <f t="shared" si="6"/>
        <v>0</v>
      </c>
    </row>
    <row r="378" spans="1:254">
      <c r="A378" s="396"/>
      <c r="D378" s="82">
        <f t="shared" si="6"/>
        <v>0</v>
      </c>
    </row>
    <row r="379" spans="1:254">
      <c r="A379" s="396"/>
      <c r="D379" s="82">
        <f t="shared" si="6"/>
        <v>0</v>
      </c>
    </row>
    <row r="380" spans="1:254">
      <c r="A380" s="396"/>
      <c r="D380" s="82">
        <f t="shared" si="6"/>
        <v>0</v>
      </c>
    </row>
    <row r="381" spans="1:254">
      <c r="A381" s="396"/>
      <c r="D381" s="82">
        <f t="shared" si="6"/>
        <v>0</v>
      </c>
    </row>
    <row r="382" spans="1:254">
      <c r="A382" s="396"/>
      <c r="D382" s="82">
        <f t="shared" si="6"/>
        <v>0</v>
      </c>
    </row>
    <row r="383" spans="1:254">
      <c r="A383" s="396"/>
      <c r="D383" s="82">
        <f t="shared" si="6"/>
        <v>0</v>
      </c>
    </row>
    <row r="384" spans="1:254">
      <c r="A384" s="396"/>
      <c r="D384" s="82">
        <f t="shared" si="6"/>
        <v>0</v>
      </c>
    </row>
    <row r="385" spans="1:254">
      <c r="A385" s="396"/>
      <c r="D385" s="82">
        <f t="shared" si="6"/>
        <v>0</v>
      </c>
    </row>
    <row r="386" spans="1:254">
      <c r="A386" s="396"/>
      <c r="D386" s="82">
        <f t="shared" si="6"/>
        <v>0</v>
      </c>
    </row>
    <row r="387" spans="1:254">
      <c r="A387" s="396"/>
      <c r="D387" s="82">
        <f t="shared" si="6"/>
        <v>0</v>
      </c>
    </row>
    <row r="388" spans="1:254">
      <c r="A388" s="396"/>
      <c r="D388" s="82">
        <f t="shared" si="6"/>
        <v>0</v>
      </c>
    </row>
    <row r="389" spans="1:254">
      <c r="A389" s="396"/>
      <c r="D389" s="82">
        <f t="shared" si="6"/>
        <v>0</v>
      </c>
    </row>
    <row r="390" spans="1:254">
      <c r="A390" s="396"/>
      <c r="D390" s="82">
        <f t="shared" si="6"/>
        <v>0</v>
      </c>
    </row>
    <row r="391" spans="1:254">
      <c r="A391" s="396"/>
      <c r="D391" s="82">
        <f t="shared" si="6"/>
        <v>0</v>
      </c>
    </row>
    <row r="392" spans="1:254">
      <c r="A392" s="396"/>
      <c r="D392" s="82">
        <f t="shared" si="6"/>
        <v>0</v>
      </c>
    </row>
    <row r="393" spans="1:254">
      <c r="A393" s="396"/>
      <c r="D393" s="82">
        <f t="shared" si="6"/>
        <v>0</v>
      </c>
    </row>
    <row r="394" spans="1:254">
      <c r="A394" s="396"/>
      <c r="D394" s="82">
        <f t="shared" si="6"/>
        <v>0</v>
      </c>
    </row>
    <row r="395" spans="1:254">
      <c r="A395" s="396"/>
      <c r="D395" s="82">
        <f t="shared" si="6"/>
        <v>0</v>
      </c>
    </row>
    <row r="396" spans="1:254">
      <c r="A396" s="396"/>
      <c r="D396" s="82">
        <f t="shared" si="6"/>
        <v>0</v>
      </c>
    </row>
    <row r="397" spans="1:254">
      <c r="A397" s="396"/>
      <c r="D397" s="82">
        <f t="shared" si="6"/>
        <v>0</v>
      </c>
    </row>
    <row r="398" spans="1:254">
      <c r="A398" s="396"/>
      <c r="D398" s="82">
        <f t="shared" si="6"/>
        <v>0</v>
      </c>
    </row>
    <row r="399" spans="1:254">
      <c r="A399" s="396"/>
      <c r="D399" s="82">
        <f t="shared" si="6"/>
        <v>0</v>
      </c>
    </row>
    <row r="400" spans="1:254">
      <c r="A400" s="396"/>
      <c r="D400" s="82">
        <f t="shared" si="6"/>
        <v>0</v>
      </c>
    </row>
    <row r="401" spans="1:254">
      <c r="A401" s="396"/>
      <c r="D401" s="82">
        <f t="shared" si="6"/>
        <v>0</v>
      </c>
    </row>
    <row r="402" spans="1:254">
      <c r="A402" s="396"/>
      <c r="D402" s="82">
        <f t="shared" si="6"/>
        <v>0</v>
      </c>
    </row>
    <row r="403" spans="1:254">
      <c r="A403" s="396"/>
      <c r="D403" s="82">
        <f t="shared" si="6"/>
        <v>0</v>
      </c>
    </row>
    <row r="404" spans="1:254">
      <c r="A404" s="396"/>
      <c r="D404" s="82">
        <f t="shared" si="6"/>
        <v>0</v>
      </c>
    </row>
    <row r="405" spans="1:254">
      <c r="A405" s="396"/>
      <c r="D405" s="82">
        <f t="shared" si="6"/>
        <v>0</v>
      </c>
    </row>
    <row r="406" spans="1:254">
      <c r="A406" s="396"/>
      <c r="D406" s="82">
        <f t="shared" si="6"/>
        <v>0</v>
      </c>
    </row>
    <row r="407" spans="1:254">
      <c r="A407" s="396"/>
      <c r="D407" s="82">
        <f t="shared" si="6"/>
        <v>0</v>
      </c>
    </row>
    <row r="408" spans="1:254">
      <c r="A408" s="396"/>
      <c r="D408" s="82">
        <f t="shared" si="6"/>
        <v>0</v>
      </c>
    </row>
    <row r="409" spans="1:254">
      <c r="A409" s="396"/>
      <c r="D409" s="82">
        <f t="shared" si="6"/>
        <v>0</v>
      </c>
    </row>
    <row r="410" spans="1:254">
      <c r="A410" s="396"/>
      <c r="D410" s="82">
        <f t="shared" si="6"/>
        <v>0</v>
      </c>
    </row>
    <row r="411" spans="1:254">
      <c r="A411" s="396"/>
      <c r="D411" s="82">
        <f t="shared" si="6"/>
        <v>0</v>
      </c>
    </row>
    <row r="412" spans="1:254">
      <c r="A412" s="396"/>
      <c r="D412" s="82">
        <f t="shared" si="6"/>
        <v>0</v>
      </c>
    </row>
    <row r="413" spans="1:254">
      <c r="A413" s="396"/>
      <c r="D413" s="82">
        <f t="shared" si="6"/>
        <v>0</v>
      </c>
    </row>
    <row r="414" spans="1:254">
      <c r="A414" s="396"/>
      <c r="D414" s="82">
        <f t="shared" si="6"/>
        <v>0</v>
      </c>
    </row>
    <row r="415" spans="1:254">
      <c r="A415" s="396"/>
      <c r="D415" s="82">
        <f t="shared" si="6"/>
        <v>0</v>
      </c>
    </row>
    <row r="416" spans="1:254">
      <c r="A416" s="396"/>
      <c r="D416" s="82">
        <f t="shared" si="6"/>
        <v>0</v>
      </c>
    </row>
    <row r="417" spans="1:254">
      <c r="A417" s="396"/>
      <c r="D417" s="82">
        <f t="shared" si="6"/>
        <v>0</v>
      </c>
    </row>
    <row r="418" spans="1:254">
      <c r="A418" s="396"/>
      <c r="D418" s="82">
        <f t="shared" si="6"/>
        <v>0</v>
      </c>
    </row>
    <row r="419" spans="1:254">
      <c r="A419" s="396"/>
      <c r="D419" s="82">
        <f t="shared" si="6"/>
        <v>0</v>
      </c>
    </row>
    <row r="420" spans="1:254">
      <c r="A420" s="396"/>
      <c r="D420" s="82">
        <f t="shared" si="6"/>
        <v>0</v>
      </c>
    </row>
    <row r="421" spans="1:254">
      <c r="A421" s="396"/>
      <c r="D421" s="82">
        <f t="shared" si="6"/>
        <v>0</v>
      </c>
    </row>
    <row r="422" spans="1:254">
      <c r="A422" s="396"/>
      <c r="D422" s="82">
        <f t="shared" si="6"/>
        <v>0</v>
      </c>
    </row>
    <row r="423" spans="1:254">
      <c r="A423" s="396"/>
      <c r="D423" s="82">
        <f t="shared" si="6"/>
        <v>0</v>
      </c>
    </row>
    <row r="424" spans="1:254">
      <c r="A424" s="396"/>
      <c r="D424" s="82">
        <f t="shared" si="6"/>
        <v>0</v>
      </c>
    </row>
    <row r="425" spans="1:254">
      <c r="A425" s="396"/>
      <c r="D425" s="82">
        <f t="shared" si="6"/>
        <v>0</v>
      </c>
    </row>
    <row r="426" spans="1:254">
      <c r="A426" s="396"/>
      <c r="D426" s="82">
        <f t="shared" si="6"/>
        <v>0</v>
      </c>
    </row>
    <row r="427" spans="1:254">
      <c r="A427" s="396"/>
      <c r="D427" s="82">
        <f t="shared" si="6"/>
        <v>0</v>
      </c>
    </row>
    <row r="428" spans="1:254">
      <c r="A428" s="396"/>
      <c r="D428" s="82">
        <f t="shared" si="6"/>
        <v>0</v>
      </c>
    </row>
    <row r="429" spans="1:254">
      <c r="A429" s="396"/>
      <c r="D429" s="82">
        <f t="shared" si="6"/>
        <v>0</v>
      </c>
    </row>
    <row r="430" spans="1:254">
      <c r="A430" s="396"/>
      <c r="D430" s="82">
        <f t="shared" si="6"/>
        <v>0</v>
      </c>
    </row>
    <row r="431" spans="1:254">
      <c r="A431" s="396"/>
      <c r="D431" s="82">
        <f t="shared" ref="D431:D494" si="7">C431-E431</f>
        <v>0</v>
      </c>
    </row>
    <row r="432" spans="1:254">
      <c r="A432" s="396"/>
      <c r="D432" s="82">
        <f t="shared" si="7"/>
        <v>0</v>
      </c>
    </row>
    <row r="433" spans="1:254">
      <c r="A433" s="396"/>
      <c r="D433" s="82">
        <f t="shared" si="7"/>
        <v>0</v>
      </c>
    </row>
    <row r="434" spans="1:254">
      <c r="A434" s="396"/>
      <c r="D434" s="82">
        <f t="shared" si="7"/>
        <v>0</v>
      </c>
    </row>
    <row r="435" spans="1:254">
      <c r="A435" s="396"/>
      <c r="D435" s="82">
        <f t="shared" si="7"/>
        <v>0</v>
      </c>
    </row>
    <row r="436" spans="1:254">
      <c r="A436" s="396"/>
      <c r="D436" s="82">
        <f t="shared" si="7"/>
        <v>0</v>
      </c>
    </row>
    <row r="437" spans="1:254">
      <c r="A437" s="396"/>
      <c r="D437" s="82">
        <f t="shared" si="7"/>
        <v>0</v>
      </c>
    </row>
    <row r="438" spans="1:254">
      <c r="A438" s="396"/>
      <c r="D438" s="82">
        <f t="shared" si="7"/>
        <v>0</v>
      </c>
    </row>
    <row r="439" spans="1:254">
      <c r="A439" s="396"/>
      <c r="D439" s="82">
        <f t="shared" si="7"/>
        <v>0</v>
      </c>
    </row>
    <row r="440" spans="1:254">
      <c r="A440" s="396"/>
      <c r="D440" s="82">
        <f t="shared" si="7"/>
        <v>0</v>
      </c>
    </row>
    <row r="441" spans="1:254">
      <c r="A441" s="396"/>
      <c r="D441" s="82">
        <f t="shared" si="7"/>
        <v>0</v>
      </c>
    </row>
    <row r="442" spans="1:254">
      <c r="A442" s="396"/>
      <c r="D442" s="82">
        <f t="shared" si="7"/>
        <v>0</v>
      </c>
    </row>
    <row r="443" spans="1:254">
      <c r="A443" s="396"/>
      <c r="D443" s="82">
        <f t="shared" si="7"/>
        <v>0</v>
      </c>
    </row>
    <row r="444" spans="1:254">
      <c r="A444" s="396"/>
      <c r="D444" s="82">
        <f t="shared" si="7"/>
        <v>0</v>
      </c>
    </row>
    <row r="445" spans="1:254">
      <c r="A445" s="396"/>
      <c r="D445" s="82">
        <f t="shared" si="7"/>
        <v>0</v>
      </c>
    </row>
    <row r="446" spans="1:254">
      <c r="A446" s="396"/>
      <c r="D446" s="82">
        <f t="shared" si="7"/>
        <v>0</v>
      </c>
    </row>
    <row r="447" spans="1:254">
      <c r="A447" s="396"/>
      <c r="D447" s="82">
        <f t="shared" si="7"/>
        <v>0</v>
      </c>
    </row>
    <row r="448" spans="1:254">
      <c r="A448" s="396"/>
      <c r="D448" s="82">
        <f t="shared" si="7"/>
        <v>0</v>
      </c>
    </row>
    <row r="449" spans="1:254">
      <c r="A449" s="396"/>
      <c r="D449" s="82">
        <f t="shared" si="7"/>
        <v>0</v>
      </c>
    </row>
    <row r="450" spans="1:254">
      <c r="A450" s="396"/>
      <c r="D450" s="82">
        <f t="shared" si="7"/>
        <v>0</v>
      </c>
    </row>
    <row r="451" spans="1:254">
      <c r="A451" s="396"/>
      <c r="D451" s="82">
        <f t="shared" si="7"/>
        <v>0</v>
      </c>
    </row>
    <row r="452" spans="1:254">
      <c r="A452" s="396"/>
      <c r="D452" s="82">
        <f t="shared" si="7"/>
        <v>0</v>
      </c>
    </row>
    <row r="453" spans="1:254">
      <c r="A453" s="396"/>
      <c r="D453" s="82">
        <f t="shared" si="7"/>
        <v>0</v>
      </c>
    </row>
    <row r="454" spans="1:254">
      <c r="A454" s="396"/>
      <c r="D454" s="82">
        <f t="shared" si="7"/>
        <v>0</v>
      </c>
    </row>
    <row r="455" spans="1:254">
      <c r="A455" s="396"/>
      <c r="D455" s="82">
        <f t="shared" si="7"/>
        <v>0</v>
      </c>
    </row>
    <row r="456" spans="1:254">
      <c r="A456" s="396"/>
      <c r="D456" s="82">
        <f t="shared" si="7"/>
        <v>0</v>
      </c>
    </row>
    <row r="457" spans="1:254">
      <c r="A457" s="396"/>
      <c r="D457" s="82">
        <f t="shared" si="7"/>
        <v>0</v>
      </c>
    </row>
    <row r="458" spans="1:254">
      <c r="A458" s="396"/>
      <c r="D458" s="82">
        <f t="shared" si="7"/>
        <v>0</v>
      </c>
    </row>
    <row r="459" spans="1:254">
      <c r="A459" s="396"/>
      <c r="D459" s="82">
        <f t="shared" si="7"/>
        <v>0</v>
      </c>
    </row>
    <row r="460" spans="1:254">
      <c r="A460" s="396"/>
      <c r="D460" s="82">
        <f t="shared" si="7"/>
        <v>0</v>
      </c>
    </row>
    <row r="461" spans="1:254">
      <c r="A461" s="396"/>
      <c r="D461" s="82">
        <f t="shared" si="7"/>
        <v>0</v>
      </c>
    </row>
    <row r="462" spans="1:254">
      <c r="A462" s="396"/>
      <c r="D462" s="82">
        <f t="shared" si="7"/>
        <v>0</v>
      </c>
    </row>
    <row r="463" spans="1:254">
      <c r="A463" s="396"/>
      <c r="D463" s="82">
        <f t="shared" si="7"/>
        <v>0</v>
      </c>
    </row>
    <row r="464" spans="1:254">
      <c r="A464" s="396"/>
      <c r="D464" s="82">
        <f t="shared" si="7"/>
        <v>0</v>
      </c>
    </row>
    <row r="465" spans="1:254">
      <c r="A465" s="396"/>
      <c r="D465" s="82">
        <f t="shared" si="7"/>
        <v>0</v>
      </c>
    </row>
    <row r="466" spans="1:254">
      <c r="A466" s="396"/>
      <c r="D466" s="82">
        <f t="shared" si="7"/>
        <v>0</v>
      </c>
    </row>
    <row r="467" spans="1:254">
      <c r="A467" s="396"/>
      <c r="D467" s="82">
        <f t="shared" si="7"/>
        <v>0</v>
      </c>
    </row>
    <row r="468" spans="1:254">
      <c r="A468" s="396"/>
      <c r="D468" s="82">
        <f t="shared" si="7"/>
        <v>0</v>
      </c>
    </row>
    <row r="469" spans="1:254">
      <c r="A469" s="396"/>
      <c r="D469" s="82">
        <f t="shared" si="7"/>
        <v>0</v>
      </c>
    </row>
    <row r="470" spans="1:254">
      <c r="A470" s="396"/>
      <c r="D470" s="82">
        <f t="shared" si="7"/>
        <v>0</v>
      </c>
    </row>
    <row r="471" spans="1:254">
      <c r="A471" s="396"/>
      <c r="D471" s="82">
        <f t="shared" si="7"/>
        <v>0</v>
      </c>
    </row>
    <row r="472" spans="1:254">
      <c r="A472" s="396"/>
      <c r="D472" s="82">
        <f t="shared" si="7"/>
        <v>0</v>
      </c>
    </row>
    <row r="473" spans="1:254">
      <c r="A473" s="396"/>
      <c r="D473" s="82">
        <f t="shared" si="7"/>
        <v>0</v>
      </c>
    </row>
    <row r="474" spans="1:254">
      <c r="A474" s="396"/>
      <c r="D474" s="82">
        <f t="shared" si="7"/>
        <v>0</v>
      </c>
    </row>
    <row r="475" spans="1:254">
      <c r="A475" s="396"/>
      <c r="D475" s="82">
        <f t="shared" si="7"/>
        <v>0</v>
      </c>
    </row>
    <row r="476" spans="1:254">
      <c r="A476" s="396"/>
      <c r="D476" s="82">
        <f t="shared" si="7"/>
        <v>0</v>
      </c>
    </row>
    <row r="477" spans="1:254">
      <c r="A477" s="396"/>
      <c r="D477" s="82">
        <f t="shared" si="7"/>
        <v>0</v>
      </c>
    </row>
    <row r="478" spans="1:254">
      <c r="A478" s="396"/>
      <c r="D478" s="82">
        <f t="shared" si="7"/>
        <v>0</v>
      </c>
    </row>
    <row r="479" spans="1:254">
      <c r="A479" s="396"/>
      <c r="D479" s="82">
        <f t="shared" si="7"/>
        <v>0</v>
      </c>
    </row>
    <row r="480" spans="1:254">
      <c r="A480" s="396"/>
      <c r="D480" s="82">
        <f t="shared" si="7"/>
        <v>0</v>
      </c>
    </row>
    <row r="481" spans="1:254">
      <c r="A481" s="396"/>
      <c r="D481" s="82">
        <f t="shared" si="7"/>
        <v>0</v>
      </c>
    </row>
    <row r="482" spans="1:254">
      <c r="A482" s="396"/>
      <c r="D482" s="82">
        <f t="shared" si="7"/>
        <v>0</v>
      </c>
    </row>
    <row r="483" spans="1:254">
      <c r="A483" s="396"/>
      <c r="D483" s="82">
        <f t="shared" si="7"/>
        <v>0</v>
      </c>
    </row>
    <row r="484" spans="1:254">
      <c r="A484" s="396"/>
      <c r="D484" s="82">
        <f t="shared" si="7"/>
        <v>0</v>
      </c>
    </row>
    <row r="485" spans="1:254">
      <c r="A485" s="396"/>
      <c r="D485" s="82">
        <f t="shared" si="7"/>
        <v>0</v>
      </c>
    </row>
    <row r="486" spans="1:254">
      <c r="A486" s="396"/>
      <c r="D486" s="82">
        <f t="shared" si="7"/>
        <v>0</v>
      </c>
    </row>
    <row r="487" spans="1:254">
      <c r="A487" s="396"/>
      <c r="D487" s="82">
        <f t="shared" si="7"/>
        <v>0</v>
      </c>
    </row>
    <row r="488" spans="1:254">
      <c r="A488" s="396"/>
      <c r="D488" s="82">
        <f t="shared" si="7"/>
        <v>0</v>
      </c>
    </row>
    <row r="489" spans="1:254">
      <c r="A489" s="396"/>
      <c r="D489" s="82">
        <f t="shared" si="7"/>
        <v>0</v>
      </c>
    </row>
    <row r="490" spans="1:254">
      <c r="A490" s="396"/>
      <c r="D490" s="82">
        <f t="shared" si="7"/>
        <v>0</v>
      </c>
    </row>
    <row r="491" spans="1:254">
      <c r="A491" s="396"/>
      <c r="D491" s="82">
        <f t="shared" si="7"/>
        <v>0</v>
      </c>
    </row>
    <row r="492" spans="1:254">
      <c r="A492" s="396"/>
      <c r="D492" s="82">
        <f t="shared" si="7"/>
        <v>0</v>
      </c>
    </row>
    <row r="493" spans="1:254">
      <c r="A493" s="396"/>
      <c r="D493" s="82">
        <f t="shared" si="7"/>
        <v>0</v>
      </c>
    </row>
    <row r="494" spans="1:254">
      <c r="A494" s="396"/>
      <c r="D494" s="82">
        <f t="shared" si="7"/>
        <v>0</v>
      </c>
    </row>
    <row r="495" spans="1:254">
      <c r="A495" s="396"/>
      <c r="D495" s="82">
        <f t="shared" ref="D495:D506" si="8">C495-E495</f>
        <v>0</v>
      </c>
    </row>
    <row r="496" spans="1:254">
      <c r="A496" s="396"/>
      <c r="D496" s="82">
        <f t="shared" si="8"/>
        <v>0</v>
      </c>
    </row>
    <row r="497" spans="1:254">
      <c r="A497" s="396"/>
      <c r="D497" s="82">
        <f t="shared" si="8"/>
        <v>0</v>
      </c>
    </row>
    <row r="498" spans="1:254">
      <c r="A498" s="396"/>
      <c r="D498" s="82">
        <f t="shared" si="8"/>
        <v>0</v>
      </c>
    </row>
    <row r="499" spans="1:254">
      <c r="A499" s="396"/>
      <c r="D499" s="82">
        <f t="shared" si="8"/>
        <v>0</v>
      </c>
    </row>
    <row r="500" spans="1:254">
      <c r="A500" s="396"/>
      <c r="D500" s="82">
        <f t="shared" si="8"/>
        <v>0</v>
      </c>
    </row>
    <row r="501" spans="1:254">
      <c r="A501" s="396"/>
      <c r="D501" s="82">
        <f t="shared" si="8"/>
        <v>0</v>
      </c>
    </row>
    <row r="502" spans="1:254">
      <c r="A502" s="396"/>
      <c r="D502" s="82">
        <f t="shared" si="8"/>
        <v>0</v>
      </c>
    </row>
    <row r="503" spans="1:254">
      <c r="A503" s="396"/>
      <c r="D503" s="82">
        <f t="shared" si="8"/>
        <v>0</v>
      </c>
    </row>
    <row r="504" spans="1:254">
      <c r="A504" s="396"/>
      <c r="D504" s="82">
        <f t="shared" si="8"/>
        <v>0</v>
      </c>
    </row>
    <row r="505" spans="1:254">
      <c r="A505" s="396"/>
      <c r="D505" s="82">
        <f t="shared" si="8"/>
        <v>0</v>
      </c>
    </row>
    <row r="506" spans="1:254">
      <c r="D506" s="82">
        <f t="shared" si="8"/>
        <v>0</v>
      </c>
    </row>
  </sheetData>
  <sheetProtection algorithmName="SHA-512" hashValue="PahOqqeN6icaQ8IyBD+g8hymid3q1OqzAi/hBYoNH/liiXlluAu+kYAUCLbhcSaRvR0BApCAXjFoyt5ErGDYSQ==" saltValue="b6OdNQJi28S7owlqUsNaIA==" spinCount="100000" sheet="1" objects="1" scenarios="1"/>
  <mergeCells count="1">
    <mergeCell ref="A1:BL1"/>
  </mergeCells>
  <phoneticPr fontId="16"/>
  <pageMargins left="0.75" right="0.75" top="1" bottom="1" header="0.5" footer="0.5"/>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B2" sqref="B2"/>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1492</v>
      </c>
      <c r="C1" s="315" t="str">
        <f t="array" ref="C1">IF(B1="","",_xll.RssMarket(B1,"銘柄名称"))</f>
        <v>帝人</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1493</v>
      </c>
      <c r="C3" s="310" t="s">
        <v>1494</v>
      </c>
      <c r="D3" s="231" t="s">
        <v>1495</v>
      </c>
      <c r="E3" s="215" t="s">
        <v>819</v>
      </c>
      <c r="F3" s="215">
        <v>1121200</v>
      </c>
      <c r="G3" s="215">
        <v>1713.5</v>
      </c>
      <c r="H3" s="215">
        <v>1742.5</v>
      </c>
      <c r="I3" s="215">
        <v>1676</v>
      </c>
      <c r="J3" s="216">
        <v>1687</v>
      </c>
    </row>
    <row r="4" spans="1:21" ht="17.25" customHeight="1">
      <c r="B4" s="313"/>
      <c r="C4" s="232"/>
      <c r="D4" s="232" t="s">
        <v>1496</v>
      </c>
      <c r="E4" s="217" t="s">
        <v>819</v>
      </c>
      <c r="F4" s="217">
        <v>1593600</v>
      </c>
      <c r="G4" s="217">
        <v>1629</v>
      </c>
      <c r="H4" s="217">
        <v>1655.5</v>
      </c>
      <c r="I4" s="217">
        <v>1604.5</v>
      </c>
      <c r="J4" s="218">
        <v>1625.5</v>
      </c>
    </row>
    <row r="5" spans="1:21" ht="17.25" customHeight="1">
      <c r="B5" s="236"/>
      <c r="C5" s="231"/>
      <c r="D5" s="231" t="s">
        <v>1497</v>
      </c>
      <c r="E5" s="215" t="s">
        <v>819</v>
      </c>
      <c r="F5" s="215">
        <v>1029200</v>
      </c>
      <c r="G5" s="215">
        <v>1700</v>
      </c>
      <c r="H5" s="215">
        <v>1702</v>
      </c>
      <c r="I5" s="215">
        <v>1647</v>
      </c>
      <c r="J5" s="216">
        <v>1654.5</v>
      </c>
      <c r="L5" s="2"/>
      <c r="M5" s="2"/>
      <c r="N5" s="3"/>
      <c r="O5" s="3"/>
      <c r="P5" s="3"/>
      <c r="Q5" s="3"/>
      <c r="R5" s="3"/>
      <c r="S5" s="2"/>
      <c r="T5" s="2"/>
      <c r="U5" s="2"/>
    </row>
    <row r="6" spans="1:21" ht="17.25" customHeight="1">
      <c r="B6" s="237"/>
      <c r="C6" s="232"/>
      <c r="D6" s="232" t="s">
        <v>1498</v>
      </c>
      <c r="E6" s="217" t="s">
        <v>819</v>
      </c>
      <c r="F6" s="217">
        <v>788500</v>
      </c>
      <c r="G6" s="217">
        <v>1627</v>
      </c>
      <c r="H6" s="217">
        <v>1656.5</v>
      </c>
      <c r="I6" s="217">
        <v>1622</v>
      </c>
      <c r="J6" s="218">
        <v>1647</v>
      </c>
      <c r="L6" s="2"/>
      <c r="M6" s="2"/>
      <c r="N6" s="3"/>
      <c r="O6" s="3"/>
      <c r="P6" s="3"/>
      <c r="Q6" s="3"/>
      <c r="R6" s="3"/>
      <c r="S6" s="2"/>
      <c r="T6" s="2"/>
      <c r="U6" s="2"/>
    </row>
    <row r="7" spans="1:21" ht="17.25" customHeight="1">
      <c r="B7" s="236"/>
      <c r="C7" s="231"/>
      <c r="D7" s="231" t="s">
        <v>1499</v>
      </c>
      <c r="E7" s="215" t="s">
        <v>819</v>
      </c>
      <c r="F7" s="215">
        <v>1522300</v>
      </c>
      <c r="G7" s="215">
        <v>1547</v>
      </c>
      <c r="H7" s="215">
        <v>1567</v>
      </c>
      <c r="I7" s="215">
        <v>1524</v>
      </c>
      <c r="J7" s="216">
        <v>1540</v>
      </c>
      <c r="L7" s="2"/>
      <c r="M7" s="2"/>
      <c r="N7" s="3"/>
      <c r="O7" s="3"/>
      <c r="P7" s="3"/>
      <c r="Q7" s="3"/>
      <c r="R7" s="3"/>
      <c r="S7" s="2"/>
      <c r="T7" s="2"/>
      <c r="U7" s="2"/>
    </row>
    <row r="8" spans="1:21" ht="17.25" customHeight="1">
      <c r="B8" s="237"/>
      <c r="C8" s="232"/>
      <c r="D8" s="232" t="s">
        <v>1390</v>
      </c>
      <c r="E8" s="217" t="s">
        <v>819</v>
      </c>
      <c r="F8" s="217">
        <v>920900</v>
      </c>
      <c r="G8" s="217">
        <v>1573</v>
      </c>
      <c r="H8" s="217">
        <v>1578</v>
      </c>
      <c r="I8" s="217">
        <v>1559</v>
      </c>
      <c r="J8" s="218">
        <v>1573.5</v>
      </c>
      <c r="L8" s="2"/>
      <c r="M8" s="2"/>
      <c r="N8" s="3"/>
      <c r="O8" s="3"/>
      <c r="P8" s="3"/>
      <c r="Q8" s="3"/>
      <c r="R8" s="3"/>
      <c r="S8" s="2"/>
      <c r="T8" s="2"/>
      <c r="U8" s="2"/>
    </row>
    <row r="9" spans="1:21" ht="17.25" customHeight="1">
      <c r="B9" s="236"/>
      <c r="C9" s="231"/>
      <c r="D9" s="231" t="s">
        <v>1391</v>
      </c>
      <c r="E9" s="215" t="s">
        <v>819</v>
      </c>
      <c r="F9" s="215">
        <v>787100</v>
      </c>
      <c r="G9" s="215">
        <v>1597</v>
      </c>
      <c r="H9" s="215">
        <v>1610</v>
      </c>
      <c r="I9" s="215">
        <v>1585</v>
      </c>
      <c r="J9" s="216">
        <v>1593.5</v>
      </c>
      <c r="L9" s="2"/>
      <c r="M9" s="2"/>
      <c r="N9" s="3"/>
      <c r="O9" s="3"/>
      <c r="P9" s="3"/>
      <c r="Q9" s="3"/>
      <c r="R9" s="3"/>
      <c r="S9" s="2"/>
      <c r="T9" s="2"/>
      <c r="U9" s="2"/>
    </row>
    <row r="10" spans="1:21" ht="17.25" customHeight="1">
      <c r="B10" s="237"/>
      <c r="C10" s="232"/>
      <c r="D10" s="232" t="s">
        <v>1392</v>
      </c>
      <c r="E10" s="217" t="s">
        <v>819</v>
      </c>
      <c r="F10" s="217">
        <v>1057500</v>
      </c>
      <c r="G10" s="217">
        <v>1580.5</v>
      </c>
      <c r="H10" s="217">
        <v>1590.5</v>
      </c>
      <c r="I10" s="217">
        <v>1562</v>
      </c>
      <c r="J10" s="218">
        <v>1575.5</v>
      </c>
      <c r="M10" s="3"/>
      <c r="N10" s="3"/>
      <c r="O10" s="3"/>
      <c r="P10" s="3"/>
      <c r="Q10" s="3"/>
      <c r="R10" s="2"/>
      <c r="S10" s="2"/>
      <c r="T10" s="2"/>
      <c r="U10" s="2"/>
    </row>
    <row r="11" spans="1:21" ht="17.25" customHeight="1">
      <c r="B11" s="236"/>
      <c r="C11" s="231"/>
      <c r="D11" s="231" t="s">
        <v>1393</v>
      </c>
      <c r="E11" s="215" t="s">
        <v>819</v>
      </c>
      <c r="F11" s="215">
        <v>1146500</v>
      </c>
      <c r="G11" s="215">
        <v>1550</v>
      </c>
      <c r="H11" s="215">
        <v>1577</v>
      </c>
      <c r="I11" s="215">
        <v>1549.5</v>
      </c>
      <c r="J11" s="216">
        <v>1560.5</v>
      </c>
      <c r="M11" s="3"/>
      <c r="N11" s="3"/>
      <c r="O11" s="3"/>
      <c r="P11" s="3"/>
      <c r="Q11" s="3"/>
      <c r="R11" s="2"/>
      <c r="S11" s="2"/>
      <c r="T11" s="2"/>
      <c r="U11" s="2"/>
    </row>
    <row r="12" spans="1:21" ht="17.25" customHeight="1">
      <c r="B12" s="237"/>
      <c r="C12" s="232"/>
      <c r="D12" s="232" t="s">
        <v>1394</v>
      </c>
      <c r="E12" s="217" t="s">
        <v>819</v>
      </c>
      <c r="F12" s="217">
        <v>896400</v>
      </c>
      <c r="G12" s="217">
        <v>1550.5</v>
      </c>
      <c r="H12" s="217">
        <v>1558.5</v>
      </c>
      <c r="I12" s="217">
        <v>1536</v>
      </c>
      <c r="J12" s="218">
        <v>1548</v>
      </c>
      <c r="M12" s="3"/>
      <c r="N12" s="3"/>
      <c r="O12" s="3"/>
      <c r="P12" s="3"/>
      <c r="Q12" s="3"/>
      <c r="R12" s="2"/>
      <c r="S12" s="2"/>
      <c r="T12" s="2"/>
      <c r="U12" s="2"/>
    </row>
    <row r="13" spans="1:21" ht="17.25" customHeight="1">
      <c r="B13" s="236"/>
      <c r="C13" s="231"/>
      <c r="D13" s="231" t="s">
        <v>1395</v>
      </c>
      <c r="E13" s="215" t="s">
        <v>819</v>
      </c>
      <c r="F13" s="215">
        <v>904700</v>
      </c>
      <c r="G13" s="215">
        <v>1581</v>
      </c>
      <c r="H13" s="215">
        <v>1593</v>
      </c>
      <c r="I13" s="215">
        <v>1568</v>
      </c>
      <c r="J13" s="216">
        <v>1570.5</v>
      </c>
      <c r="M13" s="3"/>
      <c r="N13" s="3"/>
      <c r="O13" s="3"/>
      <c r="P13" s="3"/>
      <c r="Q13" s="3"/>
      <c r="R13" s="2"/>
      <c r="S13" s="2"/>
      <c r="T13" s="2"/>
      <c r="U13" s="2"/>
    </row>
    <row r="14" spans="1:21" ht="17.25" customHeight="1">
      <c r="B14" s="237"/>
      <c r="C14" s="232"/>
      <c r="D14" s="232" t="s">
        <v>1396</v>
      </c>
      <c r="E14" s="217" t="s">
        <v>819</v>
      </c>
      <c r="F14" s="217">
        <v>591500</v>
      </c>
      <c r="G14" s="217">
        <v>1589</v>
      </c>
      <c r="H14" s="217">
        <v>1610</v>
      </c>
      <c r="I14" s="217">
        <v>1580</v>
      </c>
      <c r="J14" s="218">
        <v>1610</v>
      </c>
      <c r="M14" s="3"/>
      <c r="N14" s="3"/>
      <c r="O14" s="3"/>
      <c r="P14" s="3"/>
      <c r="Q14" s="3"/>
      <c r="R14" s="2"/>
      <c r="S14" s="2"/>
      <c r="T14" s="2"/>
      <c r="U14" s="2"/>
    </row>
    <row r="15" spans="1:21" ht="17.25" customHeight="1">
      <c r="A15" s="209"/>
      <c r="B15" s="238"/>
      <c r="C15" s="233"/>
      <c r="D15" s="233" t="s">
        <v>1397</v>
      </c>
      <c r="E15" s="219" t="s">
        <v>819</v>
      </c>
      <c r="F15" s="219">
        <v>1735800</v>
      </c>
      <c r="G15" s="220">
        <v>1577</v>
      </c>
      <c r="H15" s="220">
        <v>1579</v>
      </c>
      <c r="I15" s="220">
        <v>1547</v>
      </c>
      <c r="J15" s="221">
        <v>1568</v>
      </c>
      <c r="K15" s="211"/>
      <c r="M15" s="3"/>
      <c r="N15" s="3"/>
      <c r="O15" s="3"/>
      <c r="P15" s="3"/>
      <c r="Q15" s="3"/>
      <c r="R15" s="2"/>
      <c r="S15" s="2"/>
      <c r="T15" s="2"/>
      <c r="U15" s="2"/>
    </row>
    <row r="16" spans="1:21" ht="17.25" customHeight="1">
      <c r="A16" s="209"/>
      <c r="B16" s="239"/>
      <c r="C16" s="234"/>
      <c r="D16" s="234" t="s">
        <v>1398</v>
      </c>
      <c r="E16" s="222" t="s">
        <v>819</v>
      </c>
      <c r="F16" s="222">
        <v>1524400</v>
      </c>
      <c r="G16" s="223">
        <v>1528</v>
      </c>
      <c r="H16" s="223">
        <v>1528</v>
      </c>
      <c r="I16" s="223">
        <v>1502</v>
      </c>
      <c r="J16" s="224">
        <v>1511.5</v>
      </c>
      <c r="K16" s="210"/>
      <c r="M16" s="3"/>
      <c r="N16" s="3"/>
      <c r="O16" s="3"/>
      <c r="P16" s="3"/>
      <c r="Q16" s="3"/>
      <c r="R16" s="2"/>
      <c r="S16" s="2"/>
      <c r="T16" s="2"/>
      <c r="U16" s="2"/>
    </row>
    <row r="17" spans="1:21" ht="17.25" customHeight="1">
      <c r="A17" s="209"/>
      <c r="B17" s="238"/>
      <c r="C17" s="233"/>
      <c r="D17" s="233" t="s">
        <v>1399</v>
      </c>
      <c r="E17" s="219" t="s">
        <v>819</v>
      </c>
      <c r="F17" s="219">
        <v>967700</v>
      </c>
      <c r="G17" s="220">
        <v>1551.5</v>
      </c>
      <c r="H17" s="220">
        <v>1559</v>
      </c>
      <c r="I17" s="220">
        <v>1539</v>
      </c>
      <c r="J17" s="221">
        <v>1549</v>
      </c>
      <c r="K17" s="211"/>
      <c r="M17" s="3"/>
      <c r="N17" s="3"/>
      <c r="O17" s="3"/>
      <c r="P17" s="3"/>
      <c r="Q17" s="3"/>
      <c r="R17" s="2"/>
      <c r="S17" s="2"/>
      <c r="T17" s="2"/>
      <c r="U17" s="2"/>
    </row>
    <row r="18" spans="1:21" ht="17.25" customHeight="1">
      <c r="A18" s="68"/>
      <c r="B18" s="239"/>
      <c r="C18" s="234"/>
      <c r="D18" s="234" t="s">
        <v>1400</v>
      </c>
      <c r="E18" s="222" t="s">
        <v>819</v>
      </c>
      <c r="F18" s="222">
        <v>966000</v>
      </c>
      <c r="G18" s="223">
        <v>1589</v>
      </c>
      <c r="H18" s="223">
        <v>1607.5</v>
      </c>
      <c r="I18" s="223">
        <v>1583.5</v>
      </c>
      <c r="J18" s="224">
        <v>1597.5</v>
      </c>
      <c r="M18" s="3"/>
      <c r="N18" s="3"/>
      <c r="O18" s="3"/>
      <c r="P18" s="3"/>
      <c r="Q18" s="3"/>
      <c r="R18" s="2"/>
      <c r="S18" s="2"/>
      <c r="T18" s="2"/>
      <c r="U18" s="2"/>
    </row>
    <row r="19" spans="1:21" ht="17.25" customHeight="1">
      <c r="A19" s="68"/>
      <c r="B19" s="238"/>
      <c r="C19" s="233"/>
      <c r="D19" s="233" t="s">
        <v>1401</v>
      </c>
      <c r="E19" s="219" t="s">
        <v>819</v>
      </c>
      <c r="F19" s="219">
        <v>1146300</v>
      </c>
      <c r="G19" s="220">
        <v>1610</v>
      </c>
      <c r="H19" s="220">
        <v>1623.5</v>
      </c>
      <c r="I19" s="220">
        <v>1591</v>
      </c>
      <c r="J19" s="221">
        <v>1604</v>
      </c>
      <c r="M19" s="3"/>
      <c r="N19" s="3"/>
      <c r="O19" s="3"/>
      <c r="P19" s="3"/>
      <c r="Q19" s="3"/>
      <c r="R19" s="2"/>
      <c r="S19" s="2"/>
      <c r="T19" s="2"/>
      <c r="U19" s="2"/>
    </row>
    <row r="20" spans="1:21" ht="17.25" customHeight="1">
      <c r="A20" s="68"/>
      <c r="B20" s="239"/>
      <c r="C20" s="234"/>
      <c r="D20" s="234" t="s">
        <v>1402</v>
      </c>
      <c r="E20" s="222" t="s">
        <v>819</v>
      </c>
      <c r="F20" s="222">
        <v>1109200</v>
      </c>
      <c r="G20" s="223">
        <v>1603.5</v>
      </c>
      <c r="H20" s="223">
        <v>1640.5</v>
      </c>
      <c r="I20" s="223">
        <v>1603.5</v>
      </c>
      <c r="J20" s="224">
        <v>1609</v>
      </c>
      <c r="M20" s="3"/>
      <c r="N20" s="3"/>
      <c r="O20" s="3"/>
      <c r="P20" s="3"/>
      <c r="Q20" s="3"/>
      <c r="R20" s="2"/>
      <c r="S20" s="2"/>
      <c r="T20" s="2"/>
      <c r="U20" s="2"/>
    </row>
    <row r="21" spans="1:21" ht="17.25" customHeight="1">
      <c r="A21" s="66"/>
      <c r="B21" s="238"/>
      <c r="C21" s="233"/>
      <c r="D21" s="233" t="s">
        <v>1403</v>
      </c>
      <c r="E21" s="219" t="s">
        <v>819</v>
      </c>
      <c r="F21" s="219">
        <v>1012500</v>
      </c>
      <c r="G21" s="220">
        <v>1515.5</v>
      </c>
      <c r="H21" s="220">
        <v>1579</v>
      </c>
      <c r="I21" s="220">
        <v>1512</v>
      </c>
      <c r="J21" s="221">
        <v>1579</v>
      </c>
      <c r="M21" s="3"/>
      <c r="N21" s="3"/>
      <c r="O21" s="3"/>
      <c r="P21" s="3"/>
      <c r="Q21" s="3"/>
      <c r="R21" s="2"/>
      <c r="S21" s="2"/>
      <c r="T21" s="2"/>
      <c r="U21" s="2"/>
    </row>
    <row r="22" spans="1:21" ht="17.25" customHeight="1">
      <c r="A22" s="66"/>
      <c r="B22" s="239"/>
      <c r="C22" s="234"/>
      <c r="D22" s="234" t="s">
        <v>1404</v>
      </c>
      <c r="E22" s="222" t="s">
        <v>819</v>
      </c>
      <c r="F22" s="222">
        <v>1514000</v>
      </c>
      <c r="G22" s="223">
        <v>1571</v>
      </c>
      <c r="H22" s="223">
        <v>1654</v>
      </c>
      <c r="I22" s="223">
        <v>1571</v>
      </c>
      <c r="J22" s="224">
        <v>1632</v>
      </c>
      <c r="M22" s="3"/>
      <c r="O22" s="3"/>
      <c r="P22" s="3"/>
      <c r="Q22" s="3"/>
      <c r="R22" s="2"/>
      <c r="S22" s="2"/>
      <c r="T22" s="2"/>
      <c r="U22" s="2"/>
    </row>
    <row r="23" spans="1:21" ht="17.25" customHeight="1">
      <c r="A23" s="66"/>
      <c r="B23" s="238"/>
      <c r="C23" s="233"/>
      <c r="D23" s="233" t="s">
        <v>1405</v>
      </c>
      <c r="E23" s="219" t="s">
        <v>819</v>
      </c>
      <c r="F23" s="225">
        <v>1800500</v>
      </c>
      <c r="G23" s="220">
        <v>1632</v>
      </c>
      <c r="H23" s="220">
        <v>1709.5</v>
      </c>
      <c r="I23" s="220">
        <v>1628.5</v>
      </c>
      <c r="J23" s="221">
        <v>1691</v>
      </c>
      <c r="M23" s="3"/>
      <c r="N23" s="3"/>
      <c r="O23" s="3"/>
      <c r="P23" s="3"/>
      <c r="Q23" s="3"/>
      <c r="R23" s="2"/>
      <c r="S23" s="2"/>
      <c r="T23" s="2"/>
      <c r="U23" s="2"/>
    </row>
    <row r="24" spans="1:21" ht="17.25" customHeight="1">
      <c r="A24" s="66"/>
      <c r="B24" s="239"/>
      <c r="C24" s="234"/>
      <c r="D24" s="234" t="s">
        <v>1406</v>
      </c>
      <c r="E24" s="222" t="s">
        <v>819</v>
      </c>
      <c r="F24" s="226">
        <v>1316700</v>
      </c>
      <c r="G24" s="223">
        <v>1700</v>
      </c>
      <c r="H24" s="223">
        <v>1715</v>
      </c>
      <c r="I24" s="223">
        <v>1650.5</v>
      </c>
      <c r="J24" s="224">
        <v>1660.5</v>
      </c>
      <c r="M24" s="3"/>
      <c r="N24" s="3"/>
      <c r="O24" s="3"/>
      <c r="P24" s="3"/>
      <c r="Q24" s="3"/>
      <c r="R24" s="2"/>
      <c r="S24" s="2"/>
      <c r="T24" s="2"/>
      <c r="U24" s="2"/>
    </row>
    <row r="25" spans="1:21" ht="17.25" customHeight="1">
      <c r="A25" s="66"/>
      <c r="B25" s="238"/>
      <c r="C25" s="233"/>
      <c r="D25" s="233" t="s">
        <v>1500</v>
      </c>
      <c r="E25" s="219" t="s">
        <v>819</v>
      </c>
      <c r="F25" s="219">
        <v>860500</v>
      </c>
      <c r="G25" s="220">
        <v>1665</v>
      </c>
      <c r="H25" s="220">
        <v>1687</v>
      </c>
      <c r="I25" s="220">
        <v>1662</v>
      </c>
      <c r="J25" s="221">
        <v>1685</v>
      </c>
      <c r="M25" s="3"/>
      <c r="N25" s="3"/>
      <c r="O25" s="3"/>
      <c r="P25" s="3"/>
      <c r="Q25" s="3"/>
      <c r="R25" s="2"/>
      <c r="S25" s="2"/>
      <c r="T25" s="2"/>
      <c r="U25" s="2"/>
    </row>
    <row r="26" spans="1:21" ht="17.25" customHeight="1">
      <c r="A26" s="66"/>
      <c r="B26" s="239"/>
      <c r="C26" s="234"/>
      <c r="D26" s="234" t="s">
        <v>1407</v>
      </c>
      <c r="E26" s="222" t="s">
        <v>819</v>
      </c>
      <c r="F26" s="226">
        <v>945000</v>
      </c>
      <c r="G26" s="223">
        <v>1685</v>
      </c>
      <c r="H26" s="223">
        <v>1686</v>
      </c>
      <c r="I26" s="223">
        <v>1655</v>
      </c>
      <c r="J26" s="224">
        <v>1663.5</v>
      </c>
      <c r="M26" s="3"/>
      <c r="N26" s="3"/>
      <c r="O26" s="208"/>
      <c r="P26" s="3"/>
      <c r="Q26" s="3"/>
      <c r="R26" s="2"/>
      <c r="S26" s="2"/>
      <c r="T26" s="2"/>
      <c r="U26" s="2"/>
    </row>
    <row r="27" spans="1:21" ht="17.25" customHeight="1">
      <c r="A27" s="66"/>
      <c r="B27" s="238"/>
      <c r="C27" s="233"/>
      <c r="D27" s="233" t="s">
        <v>1408</v>
      </c>
      <c r="E27" s="219" t="s">
        <v>819</v>
      </c>
      <c r="F27" s="225">
        <v>1254200</v>
      </c>
      <c r="G27" s="220">
        <v>1667.5</v>
      </c>
      <c r="H27" s="220">
        <v>1685</v>
      </c>
      <c r="I27" s="220">
        <v>1660.5</v>
      </c>
      <c r="J27" s="221">
        <v>1679</v>
      </c>
      <c r="M27" s="3"/>
      <c r="N27" s="3"/>
      <c r="O27" s="3"/>
      <c r="P27" s="3"/>
      <c r="Q27" s="3"/>
      <c r="R27" s="2"/>
      <c r="S27" s="2"/>
      <c r="T27" s="2"/>
      <c r="U27" s="2"/>
    </row>
    <row r="28" spans="1:21" ht="17.25" customHeight="1">
      <c r="A28" s="66"/>
      <c r="B28" s="239"/>
      <c r="C28" s="234"/>
      <c r="D28" s="234" t="s">
        <v>1409</v>
      </c>
      <c r="E28" s="222" t="s">
        <v>819</v>
      </c>
      <c r="F28" s="226">
        <v>1410700</v>
      </c>
      <c r="G28" s="223">
        <v>1710</v>
      </c>
      <c r="H28" s="223">
        <v>1729.5</v>
      </c>
      <c r="I28" s="223">
        <v>1700.5</v>
      </c>
      <c r="J28" s="224">
        <v>1726</v>
      </c>
      <c r="M28" s="3"/>
      <c r="N28" s="3"/>
      <c r="O28" s="3"/>
      <c r="P28" s="3"/>
      <c r="Q28" s="3"/>
      <c r="R28" s="2"/>
      <c r="S28" s="2"/>
      <c r="T28" s="2"/>
      <c r="U28" s="2"/>
    </row>
    <row r="29" spans="1:21" ht="17.25" customHeight="1">
      <c r="A29" s="66"/>
      <c r="B29" s="238"/>
      <c r="C29" s="233"/>
      <c r="D29" s="233" t="s">
        <v>1410</v>
      </c>
      <c r="E29" s="219" t="s">
        <v>819</v>
      </c>
      <c r="F29" s="219">
        <v>1054400</v>
      </c>
      <c r="G29" s="220">
        <v>1726</v>
      </c>
      <c r="H29" s="220">
        <v>1742</v>
      </c>
      <c r="I29" s="220">
        <v>1715.5</v>
      </c>
      <c r="J29" s="221">
        <v>1715.5</v>
      </c>
      <c r="M29" s="3"/>
      <c r="N29" s="3"/>
      <c r="O29" s="3"/>
      <c r="P29" s="3"/>
      <c r="Q29" s="3"/>
      <c r="R29" s="2"/>
      <c r="S29" s="2"/>
      <c r="T29" s="2"/>
      <c r="U29" s="2"/>
    </row>
    <row r="30" spans="1:21" ht="17.25" customHeight="1">
      <c r="A30" s="66"/>
      <c r="B30" s="239"/>
      <c r="C30" s="234"/>
      <c r="D30" s="234" t="s">
        <v>1411</v>
      </c>
      <c r="E30" s="222" t="s">
        <v>819</v>
      </c>
      <c r="F30" s="222">
        <v>1240300</v>
      </c>
      <c r="G30" s="223">
        <v>1720</v>
      </c>
      <c r="H30" s="223">
        <v>1747</v>
      </c>
      <c r="I30" s="223">
        <v>1713</v>
      </c>
      <c r="J30" s="224">
        <v>1713.5</v>
      </c>
      <c r="M30" s="3"/>
      <c r="N30" s="3"/>
      <c r="O30" s="3"/>
      <c r="P30" s="3"/>
      <c r="Q30" s="3"/>
      <c r="R30" s="2"/>
      <c r="S30" s="2"/>
      <c r="T30" s="2"/>
      <c r="U30" s="2"/>
    </row>
    <row r="31" spans="1:21" ht="17.25" customHeight="1">
      <c r="A31" s="66"/>
      <c r="B31" s="238"/>
      <c r="C31" s="233"/>
      <c r="D31" s="233" t="s">
        <v>1412</v>
      </c>
      <c r="E31" s="219" t="s">
        <v>819</v>
      </c>
      <c r="F31" s="225">
        <v>893800</v>
      </c>
      <c r="G31" s="220">
        <v>1703</v>
      </c>
      <c r="H31" s="220">
        <v>1718</v>
      </c>
      <c r="I31" s="220">
        <v>1693.5</v>
      </c>
      <c r="J31" s="221">
        <v>1701.5</v>
      </c>
      <c r="M31" s="3"/>
      <c r="N31" s="3"/>
      <c r="O31" s="3"/>
      <c r="P31" s="3"/>
      <c r="Q31" s="3"/>
      <c r="R31" s="2"/>
      <c r="S31" s="2"/>
      <c r="T31" s="2"/>
      <c r="U31" s="2"/>
    </row>
    <row r="32" spans="1:21" ht="17.25" customHeight="1">
      <c r="A32" s="66"/>
      <c r="B32" s="239"/>
      <c r="C32" s="234"/>
      <c r="D32" s="234" t="s">
        <v>1413</v>
      </c>
      <c r="E32" s="222" t="s">
        <v>819</v>
      </c>
      <c r="F32" s="226">
        <v>11799400</v>
      </c>
      <c r="G32" s="223">
        <v>1708</v>
      </c>
      <c r="H32" s="223">
        <v>1719.5</v>
      </c>
      <c r="I32" s="223">
        <v>1603</v>
      </c>
      <c r="J32" s="224">
        <v>1650.5</v>
      </c>
      <c r="N32" s="3"/>
      <c r="O32" s="3"/>
      <c r="P32" s="3"/>
      <c r="Q32" s="3"/>
      <c r="R32" s="3"/>
      <c r="S32" s="2"/>
      <c r="T32" s="2"/>
      <c r="U32" s="2"/>
    </row>
    <row r="33" spans="1:21" ht="17.25" customHeight="1">
      <c r="A33" s="66"/>
      <c r="B33" s="238"/>
      <c r="C33" s="233"/>
      <c r="D33" s="233" t="s">
        <v>1414</v>
      </c>
      <c r="E33" s="219" t="s">
        <v>819</v>
      </c>
      <c r="F33" s="225">
        <v>1652500</v>
      </c>
      <c r="G33" s="220">
        <v>1653.5</v>
      </c>
      <c r="H33" s="220">
        <v>1679</v>
      </c>
      <c r="I33" s="220">
        <v>1623</v>
      </c>
      <c r="J33" s="221">
        <v>1632.5</v>
      </c>
      <c r="N33" s="3"/>
      <c r="O33" s="3"/>
      <c r="P33" s="3"/>
      <c r="Q33" s="3"/>
      <c r="R33" s="3"/>
      <c r="S33" s="2"/>
      <c r="T33" s="2"/>
      <c r="U33" s="2"/>
    </row>
    <row r="34" spans="1:21" ht="17.25" customHeight="1">
      <c r="A34" s="66"/>
      <c r="B34" s="239"/>
      <c r="C34" s="234"/>
      <c r="D34" s="234" t="s">
        <v>1415</v>
      </c>
      <c r="E34" s="222" t="s">
        <v>819</v>
      </c>
      <c r="F34" s="222">
        <v>918300</v>
      </c>
      <c r="G34" s="223">
        <v>1631.5</v>
      </c>
      <c r="H34" s="223">
        <v>1655</v>
      </c>
      <c r="I34" s="223">
        <v>1621</v>
      </c>
      <c r="J34" s="224">
        <v>1647</v>
      </c>
      <c r="N34" s="3"/>
      <c r="O34" s="3"/>
      <c r="P34" s="3"/>
      <c r="Q34" s="3"/>
      <c r="R34" s="3"/>
      <c r="S34" s="2"/>
      <c r="T34" s="2"/>
      <c r="U34" s="2"/>
    </row>
    <row r="35" spans="1:21" ht="17.25" customHeight="1">
      <c r="A35" s="66"/>
      <c r="B35" s="238"/>
      <c r="C35" s="233"/>
      <c r="D35" s="233" t="s">
        <v>1416</v>
      </c>
      <c r="E35" s="219" t="s">
        <v>819</v>
      </c>
      <c r="F35" s="219">
        <v>890800</v>
      </c>
      <c r="G35" s="220">
        <v>1649</v>
      </c>
      <c r="H35" s="220">
        <v>1668</v>
      </c>
      <c r="I35" s="220">
        <v>1639.5</v>
      </c>
      <c r="J35" s="221">
        <v>1639.5</v>
      </c>
      <c r="N35" s="3"/>
      <c r="O35" s="3"/>
      <c r="P35" s="3"/>
      <c r="Q35" s="3"/>
      <c r="R35" s="3"/>
      <c r="S35" s="2"/>
      <c r="T35" s="2"/>
      <c r="U35" s="2"/>
    </row>
    <row r="36" spans="1:21" ht="17.25" customHeight="1">
      <c r="A36" s="66"/>
      <c r="B36" s="239"/>
      <c r="C36" s="234"/>
      <c r="D36" s="234" t="s">
        <v>1417</v>
      </c>
      <c r="E36" s="222" t="s">
        <v>819</v>
      </c>
      <c r="F36" s="226">
        <v>1031400</v>
      </c>
      <c r="G36" s="223">
        <v>1646.5</v>
      </c>
      <c r="H36" s="223">
        <v>1646.5</v>
      </c>
      <c r="I36" s="223">
        <v>1626.5</v>
      </c>
      <c r="J36" s="224">
        <v>1631</v>
      </c>
      <c r="N36" s="3"/>
      <c r="O36" s="3"/>
      <c r="P36" s="3"/>
      <c r="Q36" s="3"/>
      <c r="R36" s="3"/>
      <c r="S36" s="2"/>
      <c r="T36" s="2"/>
      <c r="U36" s="2"/>
    </row>
    <row r="37" spans="1:21" ht="17.25" customHeight="1">
      <c r="A37" s="66"/>
      <c r="B37" s="238"/>
      <c r="C37" s="233"/>
      <c r="D37" s="233" t="s">
        <v>1418</v>
      </c>
      <c r="E37" s="219" t="s">
        <v>819</v>
      </c>
      <c r="F37" s="225">
        <v>883800</v>
      </c>
      <c r="G37" s="220">
        <v>1643.5</v>
      </c>
      <c r="H37" s="220">
        <v>1644</v>
      </c>
      <c r="I37" s="220">
        <v>1604</v>
      </c>
      <c r="J37" s="221">
        <v>1604</v>
      </c>
      <c r="N37" s="3"/>
      <c r="O37" s="3"/>
      <c r="P37" s="3"/>
      <c r="Q37" s="3"/>
      <c r="R37" s="3"/>
      <c r="S37" s="2"/>
      <c r="T37" s="2"/>
      <c r="U37" s="2"/>
    </row>
    <row r="38" spans="1:21" ht="17.25" customHeight="1">
      <c r="A38" s="66"/>
      <c r="B38" s="239"/>
      <c r="C38" s="234"/>
      <c r="D38" s="234" t="s">
        <v>1419</v>
      </c>
      <c r="E38" s="222" t="s">
        <v>819</v>
      </c>
      <c r="F38" s="226">
        <v>777200</v>
      </c>
      <c r="G38" s="223">
        <v>1615.5</v>
      </c>
      <c r="H38" s="223">
        <v>1623</v>
      </c>
      <c r="I38" s="223">
        <v>1576</v>
      </c>
      <c r="J38" s="224">
        <v>1583</v>
      </c>
      <c r="N38" s="3"/>
      <c r="O38" s="3"/>
      <c r="P38" s="3"/>
      <c r="Q38" s="3"/>
      <c r="R38" s="3"/>
      <c r="S38" s="2"/>
      <c r="T38" s="2"/>
      <c r="U38" s="2"/>
    </row>
    <row r="39" spans="1:21" ht="17.25" customHeight="1">
      <c r="A39" s="66"/>
      <c r="B39" s="238"/>
      <c r="C39" s="233"/>
      <c r="D39" s="233" t="s">
        <v>1420</v>
      </c>
      <c r="E39" s="219" t="s">
        <v>819</v>
      </c>
      <c r="F39" s="219">
        <v>1498400</v>
      </c>
      <c r="G39" s="220">
        <v>1567.5</v>
      </c>
      <c r="H39" s="220">
        <v>1568.5</v>
      </c>
      <c r="I39" s="220">
        <v>1516.5</v>
      </c>
      <c r="J39" s="221">
        <v>1536.5</v>
      </c>
      <c r="N39" s="3"/>
      <c r="O39" s="3"/>
      <c r="P39" s="3"/>
      <c r="Q39" s="3"/>
      <c r="R39" s="3"/>
      <c r="S39" s="2"/>
      <c r="T39" s="2"/>
      <c r="U39" s="2"/>
    </row>
    <row r="40" spans="1:21" ht="17.25" customHeight="1">
      <c r="A40" s="66"/>
      <c r="B40" s="239"/>
      <c r="C40" s="234"/>
      <c r="D40" s="234" t="s">
        <v>1421</v>
      </c>
      <c r="E40" s="222" t="s">
        <v>819</v>
      </c>
      <c r="F40" s="226">
        <v>850300</v>
      </c>
      <c r="G40" s="223">
        <v>1544</v>
      </c>
      <c r="H40" s="223">
        <v>1557.5</v>
      </c>
      <c r="I40" s="223">
        <v>1531.5</v>
      </c>
      <c r="J40" s="224">
        <v>1542.5</v>
      </c>
      <c r="N40" s="3"/>
      <c r="O40" s="3"/>
      <c r="P40" s="3"/>
      <c r="Q40" s="3"/>
      <c r="R40" s="3"/>
      <c r="S40" s="2"/>
      <c r="T40" s="2"/>
      <c r="U40" s="2"/>
    </row>
    <row r="41" spans="1:21" ht="17.25" customHeight="1">
      <c r="A41" s="66"/>
      <c r="B41" s="238"/>
      <c r="C41" s="233"/>
      <c r="D41" s="233" t="s">
        <v>1422</v>
      </c>
      <c r="E41" s="219" t="s">
        <v>819</v>
      </c>
      <c r="F41" s="225">
        <v>809400</v>
      </c>
      <c r="G41" s="220">
        <v>1537</v>
      </c>
      <c r="H41" s="220">
        <v>1574</v>
      </c>
      <c r="I41" s="220">
        <v>1522.5</v>
      </c>
      <c r="J41" s="221">
        <v>1562</v>
      </c>
      <c r="N41" s="3"/>
      <c r="O41" s="3"/>
      <c r="P41" s="3"/>
      <c r="Q41" s="3"/>
      <c r="R41" s="3"/>
      <c r="S41" s="2"/>
      <c r="T41" s="2"/>
      <c r="U41" s="2"/>
    </row>
    <row r="42" spans="1:21" ht="17.25" customHeight="1">
      <c r="A42" s="66"/>
      <c r="B42" s="239"/>
      <c r="C42" s="234"/>
      <c r="D42" s="234" t="s">
        <v>1423</v>
      </c>
      <c r="E42" s="222" t="s">
        <v>819</v>
      </c>
      <c r="F42" s="226">
        <v>561400</v>
      </c>
      <c r="G42" s="223">
        <v>1560</v>
      </c>
      <c r="H42" s="223">
        <v>1571.5</v>
      </c>
      <c r="I42" s="223">
        <v>1555.5</v>
      </c>
      <c r="J42" s="224">
        <v>1570</v>
      </c>
      <c r="N42" s="3"/>
      <c r="O42" s="3"/>
      <c r="P42" s="3"/>
      <c r="Q42" s="3"/>
      <c r="R42" s="3"/>
      <c r="S42" s="2"/>
      <c r="T42" s="2"/>
      <c r="U42" s="2"/>
    </row>
    <row r="43" spans="1:21" ht="17.25" customHeight="1">
      <c r="A43" s="66"/>
      <c r="B43" s="238"/>
      <c r="C43" s="233"/>
      <c r="D43" s="233" t="s">
        <v>1424</v>
      </c>
      <c r="E43" s="219" t="s">
        <v>819</v>
      </c>
      <c r="F43" s="219">
        <v>884600</v>
      </c>
      <c r="G43" s="220">
        <v>1555</v>
      </c>
      <c r="H43" s="220">
        <v>1575.5</v>
      </c>
      <c r="I43" s="220">
        <v>1543</v>
      </c>
      <c r="J43" s="221">
        <v>1574.5</v>
      </c>
      <c r="N43" s="3"/>
      <c r="O43" s="3"/>
      <c r="P43" s="3"/>
      <c r="Q43" s="3"/>
      <c r="R43" s="3"/>
      <c r="S43" s="2"/>
      <c r="T43" s="2"/>
      <c r="U43" s="2"/>
    </row>
    <row r="44" spans="1:21" ht="17.25" customHeight="1">
      <c r="A44" s="66"/>
      <c r="B44" s="239"/>
      <c r="C44" s="234"/>
      <c r="D44" s="234" t="s">
        <v>1425</v>
      </c>
      <c r="E44" s="222" t="s">
        <v>819</v>
      </c>
      <c r="F44" s="222">
        <v>585200</v>
      </c>
      <c r="G44" s="223">
        <v>1566.5</v>
      </c>
      <c r="H44" s="223">
        <v>1574</v>
      </c>
      <c r="I44" s="223">
        <v>1545.5</v>
      </c>
      <c r="J44" s="224">
        <v>1563</v>
      </c>
      <c r="N44" s="3"/>
      <c r="O44" s="3"/>
      <c r="P44" s="3"/>
      <c r="Q44" s="3"/>
      <c r="R44" s="3"/>
      <c r="S44" s="2"/>
      <c r="T44" s="2"/>
      <c r="U44" s="2"/>
    </row>
    <row r="45" spans="1:21" ht="15.75" customHeight="1">
      <c r="A45" s="66"/>
      <c r="B45" s="238"/>
      <c r="C45" s="233"/>
      <c r="D45" s="233" t="s">
        <v>1426</v>
      </c>
      <c r="E45" s="219" t="s">
        <v>819</v>
      </c>
      <c r="F45" s="225">
        <v>1258400</v>
      </c>
      <c r="G45" s="220">
        <v>1592</v>
      </c>
      <c r="H45" s="220">
        <v>1612.5</v>
      </c>
      <c r="I45" s="220">
        <v>1573.5</v>
      </c>
      <c r="J45" s="221">
        <v>1596</v>
      </c>
      <c r="N45" s="3"/>
      <c r="O45" s="3"/>
      <c r="P45" s="3"/>
      <c r="Q45" s="3"/>
      <c r="R45" s="3"/>
      <c r="S45" s="2"/>
      <c r="T45" s="2"/>
      <c r="U45" s="2"/>
    </row>
    <row r="46" spans="1:21" ht="15.75" customHeight="1">
      <c r="A46" s="66"/>
      <c r="B46" s="239"/>
      <c r="C46" s="234"/>
      <c r="D46" s="234" t="s">
        <v>1427</v>
      </c>
      <c r="E46" s="222" t="s">
        <v>819</v>
      </c>
      <c r="F46" s="226">
        <v>1291100</v>
      </c>
      <c r="G46" s="223">
        <v>1608</v>
      </c>
      <c r="H46" s="223">
        <v>1608</v>
      </c>
      <c r="I46" s="223">
        <v>1550</v>
      </c>
      <c r="J46" s="224">
        <v>1567</v>
      </c>
      <c r="N46" s="3"/>
      <c r="O46" s="3"/>
      <c r="P46" s="3"/>
      <c r="Q46" s="3"/>
      <c r="R46" s="3"/>
      <c r="S46" s="2"/>
      <c r="T46" s="2"/>
      <c r="U46" s="2"/>
    </row>
    <row r="47" spans="1:21" ht="15.75" customHeight="1">
      <c r="A47" s="66"/>
      <c r="B47" s="238"/>
      <c r="C47" s="233"/>
      <c r="D47" s="233" t="s">
        <v>1428</v>
      </c>
      <c r="E47" s="219" t="s">
        <v>819</v>
      </c>
      <c r="F47" s="225">
        <v>3170200</v>
      </c>
      <c r="G47" s="220">
        <v>1587.5</v>
      </c>
      <c r="H47" s="220">
        <v>1706</v>
      </c>
      <c r="I47" s="220">
        <v>1556.5</v>
      </c>
      <c r="J47" s="221">
        <v>1569.5</v>
      </c>
      <c r="N47" s="3"/>
      <c r="O47" s="3"/>
      <c r="P47" s="3"/>
      <c r="Q47" s="3"/>
      <c r="R47" s="3"/>
      <c r="S47" s="2"/>
      <c r="T47" s="2"/>
      <c r="U47" s="2"/>
    </row>
    <row r="48" spans="1:21" ht="15.75" customHeight="1">
      <c r="A48" s="66"/>
      <c r="B48" s="239"/>
      <c r="C48" s="234"/>
      <c r="D48" s="234" t="s">
        <v>1429</v>
      </c>
      <c r="E48" s="222" t="s">
        <v>819</v>
      </c>
      <c r="F48" s="222">
        <v>2496400</v>
      </c>
      <c r="G48" s="223">
        <v>1620</v>
      </c>
      <c r="H48" s="223">
        <v>1713</v>
      </c>
      <c r="I48" s="223">
        <v>1599</v>
      </c>
      <c r="J48" s="224">
        <v>1711.5</v>
      </c>
      <c r="N48" s="3"/>
      <c r="O48" s="3"/>
      <c r="P48" s="3"/>
      <c r="Q48" s="3"/>
      <c r="R48" s="3"/>
      <c r="S48" s="2"/>
      <c r="T48" s="2"/>
      <c r="U48" s="2"/>
    </row>
    <row r="49" spans="1:21" ht="15.75" customHeight="1">
      <c r="A49" s="66"/>
      <c r="B49" s="238"/>
      <c r="C49" s="233"/>
      <c r="D49" s="233" t="s">
        <v>1430</v>
      </c>
      <c r="E49" s="219" t="s">
        <v>819</v>
      </c>
      <c r="F49" s="225">
        <v>1800800</v>
      </c>
      <c r="G49" s="220">
        <v>1671.5</v>
      </c>
      <c r="H49" s="220">
        <v>1742</v>
      </c>
      <c r="I49" s="220">
        <v>1653</v>
      </c>
      <c r="J49" s="221">
        <v>1737</v>
      </c>
      <c r="N49" s="3"/>
      <c r="O49" s="3"/>
      <c r="P49" s="3"/>
      <c r="Q49" s="3"/>
      <c r="R49" s="3"/>
      <c r="S49" s="2"/>
      <c r="T49" s="2"/>
      <c r="U49" s="2"/>
    </row>
    <row r="50" spans="1:21" ht="15.75" customHeight="1">
      <c r="A50" s="66"/>
      <c r="B50" s="239"/>
      <c r="C50" s="234"/>
      <c r="D50" s="234" t="s">
        <v>1431</v>
      </c>
      <c r="E50" s="222" t="s">
        <v>819</v>
      </c>
      <c r="F50" s="222">
        <v>1066700</v>
      </c>
      <c r="G50" s="223">
        <v>1747</v>
      </c>
      <c r="H50" s="223">
        <v>1773</v>
      </c>
      <c r="I50" s="223">
        <v>1717</v>
      </c>
      <c r="J50" s="224">
        <v>1717</v>
      </c>
      <c r="N50" s="3"/>
      <c r="O50" s="3"/>
      <c r="P50" s="3"/>
      <c r="Q50" s="3"/>
      <c r="R50" s="3"/>
      <c r="S50" s="2"/>
      <c r="T50" s="2"/>
      <c r="U50" s="2"/>
    </row>
    <row r="51" spans="1:21" ht="15.75" customHeight="1">
      <c r="A51" s="66"/>
      <c r="B51" s="238"/>
      <c r="C51" s="233"/>
      <c r="D51" s="233" t="s">
        <v>1432</v>
      </c>
      <c r="E51" s="219" t="s">
        <v>819</v>
      </c>
      <c r="F51" s="225">
        <v>1284600</v>
      </c>
      <c r="G51" s="220">
        <v>1705.5</v>
      </c>
      <c r="H51" s="220">
        <v>1706</v>
      </c>
      <c r="I51" s="220">
        <v>1642.5</v>
      </c>
      <c r="J51" s="221">
        <v>1681.5</v>
      </c>
      <c r="N51" s="3"/>
      <c r="O51" s="3"/>
      <c r="P51" s="3"/>
      <c r="Q51" s="3"/>
      <c r="R51" s="3"/>
      <c r="S51" s="2"/>
      <c r="T51" s="2"/>
      <c r="U51" s="2"/>
    </row>
    <row r="52" spans="1:21" ht="15.75" customHeight="1">
      <c r="A52" s="66"/>
      <c r="B52" s="239"/>
      <c r="C52" s="234"/>
      <c r="D52" s="234" t="s">
        <v>1433</v>
      </c>
      <c r="E52" s="222" t="s">
        <v>819</v>
      </c>
      <c r="F52" s="226">
        <v>981000</v>
      </c>
      <c r="G52" s="223">
        <v>1677.5</v>
      </c>
      <c r="H52" s="223">
        <v>1677.5</v>
      </c>
      <c r="I52" s="223">
        <v>1611</v>
      </c>
      <c r="J52" s="224">
        <v>1615.5</v>
      </c>
      <c r="N52" s="3"/>
      <c r="O52" s="3"/>
      <c r="P52" s="3"/>
      <c r="Q52" s="3"/>
      <c r="R52" s="3"/>
      <c r="S52" s="2"/>
      <c r="T52" s="2"/>
      <c r="U52" s="2"/>
    </row>
    <row r="53" spans="1:21" ht="15.75" customHeight="1">
      <c r="A53" s="66"/>
      <c r="B53" s="238"/>
      <c r="C53" s="233"/>
      <c r="D53" s="233" t="s">
        <v>1434</v>
      </c>
      <c r="E53" s="219" t="s">
        <v>819</v>
      </c>
      <c r="F53" s="225">
        <v>1256700</v>
      </c>
      <c r="G53" s="220">
        <v>1635</v>
      </c>
      <c r="H53" s="220">
        <v>1669</v>
      </c>
      <c r="I53" s="220">
        <v>1626</v>
      </c>
      <c r="J53" s="221">
        <v>1644.5</v>
      </c>
      <c r="N53" s="3"/>
      <c r="O53" s="3"/>
      <c r="P53" s="3"/>
      <c r="Q53" s="3"/>
      <c r="R53" s="3"/>
      <c r="S53" s="2"/>
      <c r="T53" s="2"/>
      <c r="U53" s="2"/>
    </row>
    <row r="54" spans="1:21" ht="15.75" customHeight="1">
      <c r="A54" s="66"/>
      <c r="B54" s="239"/>
      <c r="C54" s="234"/>
      <c r="D54" s="234" t="s">
        <v>1435</v>
      </c>
      <c r="E54" s="222" t="s">
        <v>819</v>
      </c>
      <c r="F54" s="226">
        <v>747600</v>
      </c>
      <c r="G54" s="223">
        <v>1632</v>
      </c>
      <c r="H54" s="223">
        <v>1641</v>
      </c>
      <c r="I54" s="223">
        <v>1594</v>
      </c>
      <c r="J54" s="224">
        <v>1602.5</v>
      </c>
      <c r="N54" s="3"/>
      <c r="O54" s="3"/>
      <c r="P54" s="3"/>
      <c r="Q54" s="3"/>
      <c r="R54" s="3"/>
      <c r="S54" s="2"/>
      <c r="T54" s="2"/>
      <c r="U54" s="2"/>
    </row>
    <row r="55" spans="1:21" ht="15.75" customHeight="1">
      <c r="A55" s="66"/>
      <c r="B55" s="238"/>
      <c r="C55" s="233"/>
      <c r="D55" s="233" t="s">
        <v>1436</v>
      </c>
      <c r="E55" s="219" t="s">
        <v>819</v>
      </c>
      <c r="F55" s="225">
        <v>563600</v>
      </c>
      <c r="G55" s="220">
        <v>1629</v>
      </c>
      <c r="H55" s="220">
        <v>1635</v>
      </c>
      <c r="I55" s="220">
        <v>1596.5</v>
      </c>
      <c r="J55" s="221">
        <v>1606</v>
      </c>
      <c r="N55" s="3"/>
      <c r="O55" s="3"/>
      <c r="P55" s="3"/>
      <c r="Q55" s="3"/>
      <c r="R55" s="3"/>
      <c r="S55" s="2"/>
      <c r="T55" s="2"/>
      <c r="U55" s="2"/>
    </row>
    <row r="56" spans="1:21" ht="15.75" customHeight="1">
      <c r="A56" s="66"/>
      <c r="B56" s="239"/>
      <c r="C56" s="234"/>
      <c r="D56" s="234" t="s">
        <v>1437</v>
      </c>
      <c r="E56" s="222" t="s">
        <v>819</v>
      </c>
      <c r="F56" s="226">
        <v>863900</v>
      </c>
      <c r="G56" s="223">
        <v>1605</v>
      </c>
      <c r="H56" s="223">
        <v>1605</v>
      </c>
      <c r="I56" s="223">
        <v>1561.5</v>
      </c>
      <c r="J56" s="224">
        <v>1572.5</v>
      </c>
      <c r="N56" s="3"/>
      <c r="O56" s="3"/>
      <c r="P56" s="3"/>
      <c r="Q56" s="3"/>
      <c r="R56" s="3"/>
      <c r="S56" s="2"/>
      <c r="T56" s="2"/>
      <c r="U56" s="2"/>
    </row>
    <row r="57" spans="1:21" ht="15.75" customHeight="1">
      <c r="A57" s="66"/>
      <c r="B57" s="238"/>
      <c r="C57" s="233"/>
      <c r="D57" s="233" t="s">
        <v>1501</v>
      </c>
      <c r="E57" s="219" t="s">
        <v>819</v>
      </c>
      <c r="F57" s="225">
        <v>1037200</v>
      </c>
      <c r="G57" s="220">
        <v>1608</v>
      </c>
      <c r="H57" s="220">
        <v>1667</v>
      </c>
      <c r="I57" s="220">
        <v>1601.5</v>
      </c>
      <c r="J57" s="221">
        <v>1630</v>
      </c>
      <c r="N57" s="3"/>
      <c r="O57" s="3"/>
      <c r="P57" s="3"/>
      <c r="Q57" s="3"/>
      <c r="R57" s="3"/>
      <c r="S57" s="2"/>
      <c r="T57" s="2"/>
      <c r="U57" s="2"/>
    </row>
    <row r="58" spans="1:21" ht="15.75" customHeight="1">
      <c r="A58" s="66"/>
      <c r="B58" s="239"/>
      <c r="C58" s="234"/>
      <c r="D58" s="234" t="s">
        <v>1438</v>
      </c>
      <c r="E58" s="222" t="s">
        <v>819</v>
      </c>
      <c r="F58" s="226">
        <v>794200</v>
      </c>
      <c r="G58" s="223">
        <v>1641</v>
      </c>
      <c r="H58" s="223">
        <v>1648.5</v>
      </c>
      <c r="I58" s="223">
        <v>1597</v>
      </c>
      <c r="J58" s="224">
        <v>1600</v>
      </c>
      <c r="N58" s="3"/>
      <c r="O58" s="3"/>
      <c r="P58" s="3"/>
      <c r="Q58" s="3"/>
      <c r="R58" s="3"/>
      <c r="S58" s="2"/>
      <c r="T58" s="2"/>
      <c r="U58" s="2"/>
    </row>
    <row r="59" spans="1:21" ht="15.75" customHeight="1">
      <c r="A59" s="66"/>
      <c r="B59" s="238"/>
      <c r="C59" s="233"/>
      <c r="D59" s="233" t="s">
        <v>1439</v>
      </c>
      <c r="E59" s="219" t="s">
        <v>819</v>
      </c>
      <c r="F59" s="225">
        <v>874400</v>
      </c>
      <c r="G59" s="220">
        <v>1635</v>
      </c>
      <c r="H59" s="220">
        <v>1658</v>
      </c>
      <c r="I59" s="220">
        <v>1601.5</v>
      </c>
      <c r="J59" s="221">
        <v>1603.5</v>
      </c>
      <c r="N59" s="3"/>
      <c r="O59" s="3"/>
      <c r="P59" s="3"/>
      <c r="Q59" s="3"/>
      <c r="R59" s="3"/>
      <c r="S59" s="2"/>
      <c r="T59" s="2"/>
      <c r="U59" s="2"/>
    </row>
    <row r="60" spans="1:21" ht="15.75" customHeight="1">
      <c r="A60" s="66"/>
      <c r="B60" s="239"/>
      <c r="C60" s="234"/>
      <c r="D60" s="234" t="s">
        <v>1440</v>
      </c>
      <c r="E60" s="222" t="s">
        <v>819</v>
      </c>
      <c r="F60" s="226">
        <v>600300</v>
      </c>
      <c r="G60" s="223">
        <v>1613</v>
      </c>
      <c r="H60" s="223">
        <v>1616.5</v>
      </c>
      <c r="I60" s="223">
        <v>1585.5</v>
      </c>
      <c r="J60" s="224">
        <v>1607</v>
      </c>
      <c r="N60" s="3"/>
      <c r="O60" s="3"/>
      <c r="P60" s="3"/>
      <c r="Q60" s="3"/>
      <c r="R60" s="3"/>
      <c r="S60" s="2"/>
      <c r="T60" s="2"/>
      <c r="U60" s="2"/>
    </row>
    <row r="61" spans="1:21" ht="15.75" customHeight="1">
      <c r="A61" s="66"/>
      <c r="B61" s="238"/>
      <c r="C61" s="233"/>
      <c r="D61" s="233" t="s">
        <v>1441</v>
      </c>
      <c r="E61" s="219" t="s">
        <v>819</v>
      </c>
      <c r="F61" s="225">
        <v>1120200</v>
      </c>
      <c r="G61" s="220">
        <v>1612</v>
      </c>
      <c r="H61" s="220">
        <v>1656.5</v>
      </c>
      <c r="I61" s="220">
        <v>1607.5</v>
      </c>
      <c r="J61" s="221">
        <v>1651.5</v>
      </c>
      <c r="N61" s="3"/>
      <c r="O61" s="3"/>
      <c r="P61" s="3"/>
      <c r="Q61" s="3"/>
      <c r="R61" s="3"/>
      <c r="S61" s="2"/>
      <c r="T61" s="2"/>
      <c r="U61" s="2"/>
    </row>
    <row r="62" spans="1:21" ht="15.75" customHeight="1">
      <c r="A62" s="66"/>
      <c r="B62" s="239"/>
      <c r="C62" s="234"/>
      <c r="D62" s="234" t="s">
        <v>1442</v>
      </c>
      <c r="E62" s="222" t="s">
        <v>819</v>
      </c>
      <c r="F62" s="226">
        <v>823100</v>
      </c>
      <c r="G62" s="223">
        <v>1628</v>
      </c>
      <c r="H62" s="223">
        <v>1651.5</v>
      </c>
      <c r="I62" s="223">
        <v>1587.5</v>
      </c>
      <c r="J62" s="224">
        <v>1617</v>
      </c>
      <c r="N62" s="3"/>
      <c r="O62" s="3"/>
      <c r="P62" s="3"/>
      <c r="Q62" s="3"/>
      <c r="R62" s="3"/>
      <c r="S62" s="2"/>
      <c r="T62" s="2"/>
      <c r="U62" s="2"/>
    </row>
    <row r="63" spans="1:21" ht="15.75" customHeight="1">
      <c r="A63" s="66"/>
      <c r="B63" s="240"/>
      <c r="C63" s="235"/>
      <c r="D63" s="235" t="s">
        <v>1443</v>
      </c>
      <c r="E63" s="227" t="s">
        <v>819</v>
      </c>
      <c r="F63" s="228">
        <v>684600</v>
      </c>
      <c r="G63" s="229">
        <v>1598</v>
      </c>
      <c r="H63" s="229">
        <v>1625</v>
      </c>
      <c r="I63" s="229">
        <v>1590</v>
      </c>
      <c r="J63" s="230">
        <v>1612</v>
      </c>
      <c r="N63" s="3"/>
      <c r="O63" s="3"/>
      <c r="P63" s="3"/>
      <c r="Q63" s="3"/>
      <c r="R63" s="3"/>
      <c r="S63" s="2"/>
      <c r="T63" s="2"/>
      <c r="U63" s="2"/>
    </row>
    <row r="64" spans="1:21">
      <c r="A64" s="66"/>
      <c r="B64" s="3"/>
      <c r="C64" s="3"/>
      <c r="D64" s="3" t="s">
        <v>1444</v>
      </c>
      <c r="E64" s="3" t="s">
        <v>819</v>
      </c>
      <c r="F64" s="1">
        <v>623900</v>
      </c>
      <c r="G64" s="2">
        <v>1630</v>
      </c>
      <c r="H64" s="2">
        <v>1649</v>
      </c>
      <c r="I64" s="2">
        <v>1608</v>
      </c>
      <c r="J64" s="2">
        <v>1642</v>
      </c>
      <c r="N64" s="3"/>
      <c r="O64" s="3"/>
      <c r="P64" s="3"/>
      <c r="Q64" s="3"/>
      <c r="R64" s="3"/>
      <c r="S64" s="2"/>
      <c r="T64" s="2"/>
      <c r="U64" s="2"/>
    </row>
    <row r="65" spans="1:21">
      <c r="A65" s="66"/>
      <c r="B65" s="3"/>
      <c r="C65" s="3"/>
      <c r="D65" s="3" t="s">
        <v>1445</v>
      </c>
      <c r="E65" s="3" t="s">
        <v>819</v>
      </c>
      <c r="F65" s="1">
        <v>655000</v>
      </c>
      <c r="G65" s="2">
        <v>1635</v>
      </c>
      <c r="H65" s="2">
        <v>1640.5</v>
      </c>
      <c r="I65" s="2">
        <v>1601.5</v>
      </c>
      <c r="J65" s="2">
        <v>1626</v>
      </c>
      <c r="N65" s="3"/>
      <c r="O65" s="3"/>
      <c r="P65" s="3"/>
      <c r="Q65" s="3"/>
      <c r="R65" s="3"/>
      <c r="S65" s="2"/>
      <c r="T65" s="2"/>
      <c r="U65" s="2"/>
    </row>
    <row r="66" spans="1:21">
      <c r="A66" s="66"/>
      <c r="B66" s="3"/>
      <c r="C66" s="3"/>
      <c r="D66" s="3" t="s">
        <v>1446</v>
      </c>
      <c r="E66" s="3" t="s">
        <v>819</v>
      </c>
      <c r="F66" s="1">
        <v>696700</v>
      </c>
      <c r="G66" s="2">
        <v>1624.5</v>
      </c>
      <c r="H66" s="2">
        <v>1636.5</v>
      </c>
      <c r="I66" s="2">
        <v>1605</v>
      </c>
      <c r="J66" s="2">
        <v>1623</v>
      </c>
      <c r="N66" s="3"/>
      <c r="O66" s="3"/>
      <c r="P66" s="3"/>
      <c r="Q66" s="3"/>
      <c r="R66" s="3"/>
      <c r="S66" s="2"/>
      <c r="T66" s="2"/>
      <c r="U66" s="2"/>
    </row>
    <row r="67" spans="1:21">
      <c r="A67" s="66"/>
      <c r="B67" s="3"/>
      <c r="C67" s="3"/>
      <c r="D67" s="3" t="s">
        <v>1447</v>
      </c>
      <c r="E67" s="3" t="s">
        <v>819</v>
      </c>
      <c r="F67" s="1">
        <v>964800</v>
      </c>
      <c r="G67" s="2">
        <v>1583</v>
      </c>
      <c r="H67" s="2">
        <v>1618</v>
      </c>
      <c r="I67" s="2">
        <v>1564.5</v>
      </c>
      <c r="J67" s="2">
        <v>1600.5</v>
      </c>
      <c r="N67" s="3"/>
      <c r="O67" s="3"/>
      <c r="P67" s="3"/>
      <c r="Q67" s="3"/>
      <c r="R67" s="3"/>
      <c r="S67" s="2"/>
      <c r="T67" s="2"/>
      <c r="U67" s="2"/>
    </row>
    <row r="68" spans="1:21">
      <c r="A68" s="66"/>
      <c r="B68" s="3"/>
      <c r="C68" s="3"/>
      <c r="D68" s="3" t="s">
        <v>1448</v>
      </c>
      <c r="E68" s="3" t="s">
        <v>819</v>
      </c>
      <c r="F68" s="1">
        <v>1271600</v>
      </c>
      <c r="G68" s="2">
        <v>1630</v>
      </c>
      <c r="H68" s="2">
        <v>1653.5</v>
      </c>
      <c r="I68" s="2">
        <v>1596</v>
      </c>
      <c r="J68" s="2">
        <v>1610.5</v>
      </c>
      <c r="N68" s="3"/>
      <c r="O68" s="3"/>
      <c r="P68" s="3"/>
      <c r="Q68" s="3"/>
      <c r="R68" s="3"/>
      <c r="S68" s="2"/>
      <c r="T68" s="2"/>
      <c r="U68" s="2"/>
    </row>
    <row r="69" spans="1:21">
      <c r="A69" s="66"/>
      <c r="B69" s="3"/>
      <c r="C69" s="3"/>
      <c r="D69" s="3" t="s">
        <v>1449</v>
      </c>
      <c r="E69" s="3" t="s">
        <v>819</v>
      </c>
      <c r="F69" s="1">
        <v>808300</v>
      </c>
      <c r="G69" s="2">
        <v>1630</v>
      </c>
      <c r="H69" s="2">
        <v>1634</v>
      </c>
      <c r="I69" s="2">
        <v>1612</v>
      </c>
      <c r="J69" s="2">
        <v>1619.5</v>
      </c>
      <c r="N69" s="3"/>
      <c r="O69" s="3"/>
      <c r="P69" s="3"/>
      <c r="Q69" s="3"/>
      <c r="R69" s="3"/>
      <c r="S69" s="2"/>
      <c r="T69" s="2"/>
      <c r="U69" s="2"/>
    </row>
    <row r="70" spans="1:21">
      <c r="A70" s="66"/>
      <c r="B70" s="306"/>
      <c r="C70" s="306"/>
      <c r="D70" s="306" t="s">
        <v>1450</v>
      </c>
      <c r="E70" s="306" t="s">
        <v>819</v>
      </c>
      <c r="F70" s="307">
        <v>791900</v>
      </c>
      <c r="G70" s="308">
        <v>1614</v>
      </c>
      <c r="H70" s="308">
        <v>1614.5</v>
      </c>
      <c r="I70" s="308">
        <v>1581.5</v>
      </c>
      <c r="J70" s="308">
        <v>1607.5</v>
      </c>
      <c r="N70" s="3"/>
      <c r="O70" s="3"/>
      <c r="P70" s="3"/>
      <c r="Q70" s="3"/>
      <c r="R70" s="3"/>
      <c r="S70" s="2"/>
      <c r="T70" s="2"/>
      <c r="U70" s="2"/>
    </row>
    <row r="71" spans="1:21">
      <c r="A71" s="66"/>
      <c r="B71" s="306"/>
      <c r="C71" s="306"/>
      <c r="D71" s="306" t="s">
        <v>1451</v>
      </c>
      <c r="E71" s="306" t="s">
        <v>819</v>
      </c>
      <c r="F71" s="307">
        <v>881200</v>
      </c>
      <c r="G71" s="308">
        <v>1647.5</v>
      </c>
      <c r="H71" s="308">
        <v>1656.5</v>
      </c>
      <c r="I71" s="308">
        <v>1625</v>
      </c>
      <c r="J71" s="308">
        <v>1638.5</v>
      </c>
      <c r="N71" s="3"/>
      <c r="O71" s="3"/>
      <c r="P71" s="3"/>
      <c r="Q71" s="3"/>
      <c r="R71" s="3"/>
      <c r="S71" s="2"/>
      <c r="T71" s="2"/>
      <c r="U71" s="2"/>
    </row>
    <row r="72" spans="1:21">
      <c r="A72" s="66"/>
      <c r="B72" s="306"/>
      <c r="C72" s="306"/>
      <c r="D72" s="306" t="s">
        <v>1452</v>
      </c>
      <c r="E72" s="306" t="s">
        <v>819</v>
      </c>
      <c r="F72" s="307">
        <v>959100</v>
      </c>
      <c r="G72" s="308">
        <v>1681.5</v>
      </c>
      <c r="H72" s="308">
        <v>1683.5</v>
      </c>
      <c r="I72" s="308">
        <v>1654.5</v>
      </c>
      <c r="J72" s="308">
        <v>1654.5</v>
      </c>
      <c r="N72" s="3"/>
      <c r="O72" s="3"/>
      <c r="P72" s="3"/>
      <c r="Q72" s="3"/>
      <c r="R72" s="3"/>
      <c r="S72" s="2"/>
      <c r="T72" s="2"/>
      <c r="U72" s="2"/>
    </row>
    <row r="73" spans="1:21">
      <c r="A73" s="66"/>
      <c r="B73" s="306"/>
      <c r="C73" s="306"/>
      <c r="D73" s="306" t="s">
        <v>1453</v>
      </c>
      <c r="E73" s="306" t="s">
        <v>819</v>
      </c>
      <c r="F73" s="307">
        <v>558900</v>
      </c>
      <c r="G73" s="308">
        <v>1635</v>
      </c>
      <c r="H73" s="308">
        <v>1645.5</v>
      </c>
      <c r="I73" s="308">
        <v>1625.5</v>
      </c>
      <c r="J73" s="308">
        <v>1641</v>
      </c>
      <c r="N73" s="3"/>
      <c r="O73" s="3"/>
      <c r="P73" s="3"/>
      <c r="Q73" s="3"/>
      <c r="R73" s="3"/>
      <c r="S73" s="2"/>
      <c r="T73" s="2"/>
      <c r="U73" s="2"/>
    </row>
    <row r="74" spans="1:21">
      <c r="A74" s="66"/>
      <c r="B74" s="306"/>
      <c r="C74" s="306"/>
      <c r="D74" s="306" t="s">
        <v>1454</v>
      </c>
      <c r="E74" s="306" t="s">
        <v>819</v>
      </c>
      <c r="F74" s="307">
        <v>982500</v>
      </c>
      <c r="G74" s="308">
        <v>1648.5</v>
      </c>
      <c r="H74" s="308">
        <v>1675</v>
      </c>
      <c r="I74" s="308">
        <v>1628</v>
      </c>
      <c r="J74" s="308">
        <v>1648</v>
      </c>
      <c r="N74" s="3"/>
      <c r="O74" s="3"/>
      <c r="P74" s="3"/>
      <c r="Q74" s="3"/>
      <c r="R74" s="3"/>
      <c r="S74" s="2"/>
      <c r="T74" s="2"/>
      <c r="U74" s="2"/>
    </row>
    <row r="75" spans="1:21">
      <c r="A75" s="66"/>
      <c r="B75" s="306"/>
      <c r="C75" s="306"/>
      <c r="D75" s="306" t="s">
        <v>1455</v>
      </c>
      <c r="E75" s="306" t="s">
        <v>819</v>
      </c>
      <c r="F75" s="307">
        <v>781600</v>
      </c>
      <c r="G75" s="308">
        <v>1622</v>
      </c>
      <c r="H75" s="308">
        <v>1660</v>
      </c>
      <c r="I75" s="308">
        <v>1620.5</v>
      </c>
      <c r="J75" s="308">
        <v>1650</v>
      </c>
      <c r="N75" s="3"/>
      <c r="O75" s="3"/>
      <c r="P75" s="3"/>
      <c r="Q75" s="3"/>
      <c r="R75" s="3"/>
      <c r="S75" s="2"/>
      <c r="T75" s="2"/>
      <c r="U75" s="2"/>
    </row>
    <row r="76" spans="1:21">
      <c r="A76" s="66"/>
      <c r="B76" s="306"/>
      <c r="C76" s="306"/>
      <c r="D76" s="306" t="s">
        <v>1502</v>
      </c>
      <c r="E76" s="306" t="s">
        <v>819</v>
      </c>
      <c r="F76" s="307">
        <v>1097600</v>
      </c>
      <c r="G76" s="308">
        <v>1643.5</v>
      </c>
      <c r="H76" s="308">
        <v>1644.5</v>
      </c>
      <c r="I76" s="308">
        <v>1594.5</v>
      </c>
      <c r="J76" s="308">
        <v>1594.5</v>
      </c>
      <c r="N76" s="3"/>
      <c r="O76" s="3"/>
      <c r="P76" s="3"/>
      <c r="Q76" s="3"/>
      <c r="R76" s="3"/>
      <c r="S76" s="2"/>
      <c r="T76" s="2"/>
      <c r="U76" s="2"/>
    </row>
    <row r="77" spans="1:21">
      <c r="A77" s="66"/>
      <c r="B77" s="306"/>
      <c r="C77" s="306"/>
      <c r="D77" s="306" t="s">
        <v>1456</v>
      </c>
      <c r="E77" s="306" t="s">
        <v>819</v>
      </c>
      <c r="F77" s="306">
        <v>596800</v>
      </c>
      <c r="G77" s="308">
        <v>1597.5</v>
      </c>
      <c r="H77" s="308">
        <v>1618</v>
      </c>
      <c r="I77" s="308">
        <v>1591</v>
      </c>
      <c r="J77" s="308">
        <v>1610</v>
      </c>
      <c r="N77" s="3"/>
      <c r="O77" s="3"/>
      <c r="P77" s="3"/>
      <c r="Q77" s="3"/>
      <c r="R77" s="3"/>
      <c r="S77" s="2"/>
      <c r="T77" s="2"/>
      <c r="U77" s="2"/>
    </row>
    <row r="78" spans="1:21">
      <c r="A78" s="66"/>
      <c r="B78" s="306"/>
      <c r="C78" s="306"/>
      <c r="D78" s="306" t="s">
        <v>1457</v>
      </c>
      <c r="E78" s="306" t="s">
        <v>819</v>
      </c>
      <c r="F78" s="307">
        <v>694300</v>
      </c>
      <c r="G78" s="308">
        <v>1619</v>
      </c>
      <c r="H78" s="308">
        <v>1620.5</v>
      </c>
      <c r="I78" s="308">
        <v>1587.5</v>
      </c>
      <c r="J78" s="308">
        <v>1591</v>
      </c>
      <c r="N78" s="3"/>
      <c r="O78" s="3"/>
      <c r="P78" s="3"/>
      <c r="Q78" s="3"/>
      <c r="R78" s="3"/>
      <c r="S78" s="2"/>
      <c r="T78" s="2"/>
      <c r="U78" s="2"/>
    </row>
    <row r="79" spans="1:21">
      <c r="A79" s="66"/>
      <c r="B79" s="306"/>
      <c r="C79" s="306"/>
      <c r="D79" s="306" t="s">
        <v>1458</v>
      </c>
      <c r="E79" s="306" t="s">
        <v>819</v>
      </c>
      <c r="F79" s="307">
        <v>693600</v>
      </c>
      <c r="G79" s="308">
        <v>1591</v>
      </c>
      <c r="H79" s="308">
        <v>1599</v>
      </c>
      <c r="I79" s="308">
        <v>1578.5</v>
      </c>
      <c r="J79" s="308">
        <v>1593.5</v>
      </c>
      <c r="N79" s="3"/>
      <c r="O79" s="3"/>
      <c r="P79" s="3"/>
      <c r="Q79" s="3"/>
      <c r="R79" s="3"/>
      <c r="S79" s="2"/>
      <c r="T79" s="2"/>
      <c r="U79" s="2"/>
    </row>
    <row r="80" spans="1:21">
      <c r="A80" s="66"/>
      <c r="B80" s="306"/>
      <c r="C80" s="306"/>
      <c r="D80" s="306" t="s">
        <v>1459</v>
      </c>
      <c r="E80" s="306" t="s">
        <v>819</v>
      </c>
      <c r="F80" s="307">
        <v>845800</v>
      </c>
      <c r="G80" s="308">
        <v>1623.5</v>
      </c>
      <c r="H80" s="308">
        <v>1633</v>
      </c>
      <c r="I80" s="308">
        <v>1600</v>
      </c>
      <c r="J80" s="308">
        <v>1631</v>
      </c>
      <c r="N80" s="3"/>
      <c r="O80" s="3"/>
      <c r="P80" s="3"/>
      <c r="Q80" s="3"/>
      <c r="R80" s="3"/>
      <c r="S80" s="2"/>
      <c r="T80" s="2"/>
      <c r="U80" s="2"/>
    </row>
    <row r="81" spans="1:21">
      <c r="A81" s="66"/>
      <c r="B81" s="306"/>
      <c r="C81" s="306"/>
      <c r="D81" s="306" t="s">
        <v>1460</v>
      </c>
      <c r="E81" s="306" t="s">
        <v>819</v>
      </c>
      <c r="F81" s="307">
        <v>792100</v>
      </c>
      <c r="G81" s="308">
        <v>1630</v>
      </c>
      <c r="H81" s="308">
        <v>1662</v>
      </c>
      <c r="I81" s="308">
        <v>1621.5</v>
      </c>
      <c r="J81" s="308">
        <v>1639.5</v>
      </c>
      <c r="N81" s="3"/>
      <c r="O81" s="3"/>
      <c r="P81" s="3"/>
      <c r="Q81" s="3"/>
      <c r="R81" s="3"/>
      <c r="S81" s="2"/>
      <c r="T81" s="2"/>
      <c r="U81" s="2"/>
    </row>
    <row r="82" spans="1:21">
      <c r="A82" s="66"/>
      <c r="B82" s="306"/>
      <c r="C82" s="306"/>
      <c r="D82" s="306" t="s">
        <v>1461</v>
      </c>
      <c r="E82" s="306" t="s">
        <v>819</v>
      </c>
      <c r="F82" s="307">
        <v>659800</v>
      </c>
      <c r="G82" s="308">
        <v>1650</v>
      </c>
      <c r="H82" s="308">
        <v>1652.5</v>
      </c>
      <c r="I82" s="308">
        <v>1617.5</v>
      </c>
      <c r="J82" s="308">
        <v>1627</v>
      </c>
      <c r="N82" s="3"/>
      <c r="O82" s="3"/>
      <c r="P82" s="3"/>
      <c r="Q82" s="3"/>
      <c r="R82" s="3"/>
      <c r="S82" s="2"/>
      <c r="T82" s="2"/>
      <c r="U82" s="2"/>
    </row>
    <row r="83" spans="1:21">
      <c r="A83" s="66"/>
      <c r="B83" s="306"/>
      <c r="C83" s="306"/>
      <c r="D83" s="306" t="s">
        <v>1462</v>
      </c>
      <c r="E83" s="306" t="s">
        <v>819</v>
      </c>
      <c r="F83" s="306">
        <v>737900</v>
      </c>
      <c r="G83" s="308">
        <v>1640.5</v>
      </c>
      <c r="H83" s="308">
        <v>1648.5</v>
      </c>
      <c r="I83" s="308">
        <v>1615.5</v>
      </c>
      <c r="J83" s="308">
        <v>1626</v>
      </c>
      <c r="N83" s="3"/>
      <c r="O83" s="3"/>
      <c r="P83" s="3"/>
      <c r="Q83" s="3"/>
      <c r="R83" s="3"/>
      <c r="S83" s="2"/>
      <c r="T83" s="2"/>
      <c r="U83" s="2"/>
    </row>
    <row r="84" spans="1:21">
      <c r="A84" s="66"/>
      <c r="B84" s="3"/>
      <c r="C84" s="3"/>
      <c r="D84" s="3" t="s">
        <v>1463</v>
      </c>
      <c r="E84" s="3" t="s">
        <v>819</v>
      </c>
      <c r="F84" s="1">
        <v>614000</v>
      </c>
      <c r="G84" s="2">
        <v>1630</v>
      </c>
      <c r="H84" s="2">
        <v>1636.5</v>
      </c>
      <c r="I84" s="2">
        <v>1615.5</v>
      </c>
      <c r="J84" s="2">
        <v>1622.5</v>
      </c>
      <c r="N84" s="3"/>
      <c r="O84" s="3"/>
      <c r="P84" s="3"/>
      <c r="Q84" s="3"/>
      <c r="R84" s="3"/>
      <c r="S84" s="2"/>
      <c r="T84" s="2"/>
      <c r="U84" s="2"/>
    </row>
    <row r="85" spans="1:21">
      <c r="A85" s="66"/>
      <c r="B85" s="3"/>
      <c r="C85" s="3"/>
      <c r="D85" s="3" t="s">
        <v>1464</v>
      </c>
      <c r="E85" s="3" t="s">
        <v>819</v>
      </c>
      <c r="F85" s="1">
        <v>715200</v>
      </c>
      <c r="G85" s="2">
        <v>1643</v>
      </c>
      <c r="H85" s="2">
        <v>1659.5</v>
      </c>
      <c r="I85" s="2">
        <v>1628</v>
      </c>
      <c r="J85" s="2">
        <v>1639.5</v>
      </c>
      <c r="N85" s="3"/>
      <c r="O85" s="3"/>
      <c r="P85" s="3"/>
      <c r="Q85" s="3"/>
      <c r="R85" s="3"/>
      <c r="S85" s="2"/>
      <c r="T85" s="2"/>
      <c r="U85" s="2"/>
    </row>
    <row r="86" spans="1:21">
      <c r="A86" s="66"/>
      <c r="B86" s="3"/>
      <c r="C86" s="3"/>
      <c r="D86" s="3" t="s">
        <v>1503</v>
      </c>
      <c r="E86" s="3" t="s">
        <v>819</v>
      </c>
      <c r="F86" s="3">
        <v>1585500</v>
      </c>
      <c r="G86" s="2">
        <v>1668</v>
      </c>
      <c r="H86" s="2">
        <v>1734</v>
      </c>
      <c r="I86" s="2">
        <v>1654.5</v>
      </c>
      <c r="J86" s="2">
        <v>1718.5</v>
      </c>
      <c r="N86" s="3"/>
      <c r="O86" s="3"/>
      <c r="P86" s="3"/>
      <c r="Q86" s="3"/>
      <c r="R86" s="3"/>
      <c r="S86" s="2"/>
      <c r="T86" s="2"/>
      <c r="U86" s="2"/>
    </row>
    <row r="87" spans="1:21">
      <c r="A87" s="66"/>
      <c r="B87" s="306"/>
      <c r="C87" s="306"/>
      <c r="D87" s="306" t="s">
        <v>1465</v>
      </c>
      <c r="E87" s="306" t="s">
        <v>819</v>
      </c>
      <c r="F87" s="306">
        <v>1015600</v>
      </c>
      <c r="G87" s="308">
        <v>1720.5</v>
      </c>
      <c r="H87" s="308">
        <v>1772</v>
      </c>
      <c r="I87" s="308">
        <v>1715.5</v>
      </c>
      <c r="J87" s="308">
        <v>1742</v>
      </c>
      <c r="N87" s="3"/>
      <c r="O87" s="3"/>
      <c r="P87" s="3"/>
      <c r="Q87" s="3"/>
      <c r="R87" s="3"/>
      <c r="S87" s="2"/>
      <c r="T87" s="2"/>
      <c r="U87" s="2"/>
    </row>
    <row r="88" spans="1:21">
      <c r="A88" s="66"/>
      <c r="B88" s="306"/>
      <c r="C88" s="306"/>
      <c r="D88" s="306" t="s">
        <v>1466</v>
      </c>
      <c r="E88" s="306" t="s">
        <v>819</v>
      </c>
      <c r="F88" s="307">
        <v>867800</v>
      </c>
      <c r="G88" s="308">
        <v>1748</v>
      </c>
      <c r="H88" s="308">
        <v>1750</v>
      </c>
      <c r="I88" s="308">
        <v>1710.5</v>
      </c>
      <c r="J88" s="308">
        <v>1731.5</v>
      </c>
      <c r="N88" s="3"/>
      <c r="O88" s="3"/>
      <c r="P88" s="3"/>
      <c r="Q88" s="3"/>
      <c r="R88" s="3"/>
      <c r="S88" s="2"/>
      <c r="T88" s="2"/>
      <c r="U88" s="2"/>
    </row>
    <row r="89" spans="1:21">
      <c r="A89" s="66"/>
      <c r="B89" s="3"/>
      <c r="C89" s="3"/>
      <c r="D89" s="3" t="s">
        <v>1467</v>
      </c>
      <c r="E89" s="3" t="s">
        <v>819</v>
      </c>
      <c r="F89" s="1">
        <v>614300</v>
      </c>
      <c r="G89" s="2">
        <v>1735</v>
      </c>
      <c r="H89" s="2">
        <v>1744.5</v>
      </c>
      <c r="I89" s="2">
        <v>1717</v>
      </c>
      <c r="J89" s="2">
        <v>1718.5</v>
      </c>
      <c r="N89" s="3"/>
      <c r="O89" s="3"/>
      <c r="P89" s="3"/>
      <c r="Q89" s="3"/>
      <c r="R89" s="3"/>
      <c r="S89" s="2"/>
      <c r="T89" s="2"/>
      <c r="U89" s="2"/>
    </row>
    <row r="90" spans="1:21">
      <c r="A90" s="66"/>
      <c r="B90" s="306"/>
      <c r="C90" s="306"/>
      <c r="D90" s="306" t="s">
        <v>1468</v>
      </c>
      <c r="E90" s="306" t="s">
        <v>819</v>
      </c>
      <c r="F90" s="306">
        <v>637900</v>
      </c>
      <c r="G90" s="308">
        <v>1730</v>
      </c>
      <c r="H90" s="308">
        <v>1732.5</v>
      </c>
      <c r="I90" s="308">
        <v>1677</v>
      </c>
      <c r="J90" s="308">
        <v>1681.5</v>
      </c>
      <c r="N90" s="3"/>
      <c r="O90" s="3"/>
      <c r="P90" s="3"/>
      <c r="Q90" s="3"/>
      <c r="R90" s="3"/>
      <c r="S90" s="2"/>
      <c r="T90" s="2"/>
      <c r="U90" s="2"/>
    </row>
    <row r="91" spans="1:21">
      <c r="A91" s="66"/>
      <c r="B91" s="306"/>
      <c r="C91" s="306"/>
      <c r="D91" s="306" t="s">
        <v>1469</v>
      </c>
      <c r="E91" s="306" t="s">
        <v>819</v>
      </c>
      <c r="F91" s="307">
        <v>726100</v>
      </c>
      <c r="G91" s="308">
        <v>1685</v>
      </c>
      <c r="H91" s="308">
        <v>1687.5</v>
      </c>
      <c r="I91" s="308">
        <v>1655</v>
      </c>
      <c r="J91" s="308">
        <v>1662.5</v>
      </c>
      <c r="N91" s="3"/>
      <c r="O91" s="3"/>
      <c r="P91" s="3"/>
      <c r="Q91" s="3"/>
      <c r="R91" s="3"/>
      <c r="S91" s="2"/>
      <c r="T91" s="2"/>
      <c r="U91" s="2"/>
    </row>
    <row r="92" spans="1:21">
      <c r="A92" s="66"/>
      <c r="B92" s="306"/>
      <c r="C92" s="306"/>
      <c r="D92" s="306" t="s">
        <v>1470</v>
      </c>
      <c r="E92" s="306" t="s">
        <v>819</v>
      </c>
      <c r="F92" s="307">
        <v>677100</v>
      </c>
      <c r="G92" s="308">
        <v>1680</v>
      </c>
      <c r="H92" s="308">
        <v>1680</v>
      </c>
      <c r="I92" s="308">
        <v>1641</v>
      </c>
      <c r="J92" s="308">
        <v>1655</v>
      </c>
      <c r="N92" s="3"/>
      <c r="O92" s="3"/>
      <c r="P92" s="3"/>
      <c r="Q92" s="3"/>
      <c r="R92" s="3"/>
      <c r="S92" s="2"/>
      <c r="T92" s="2"/>
      <c r="U92" s="2"/>
    </row>
    <row r="93" spans="1:21">
      <c r="A93" s="66"/>
      <c r="B93" s="306"/>
      <c r="C93" s="306"/>
      <c r="D93" s="306" t="s">
        <v>1471</v>
      </c>
      <c r="E93" s="306" t="s">
        <v>819</v>
      </c>
      <c r="F93" s="306">
        <v>651500</v>
      </c>
      <c r="G93" s="308">
        <v>1663.5</v>
      </c>
      <c r="H93" s="308">
        <v>1699.5</v>
      </c>
      <c r="I93" s="308">
        <v>1654</v>
      </c>
      <c r="J93" s="308">
        <v>1683</v>
      </c>
      <c r="N93" s="3"/>
      <c r="O93" s="3"/>
      <c r="P93" s="3"/>
      <c r="Q93" s="3"/>
      <c r="R93" s="3"/>
      <c r="S93" s="2"/>
      <c r="T93" s="2"/>
      <c r="U93" s="2"/>
    </row>
    <row r="94" spans="1:21">
      <c r="A94" s="66"/>
      <c r="B94" s="306"/>
      <c r="C94" s="306"/>
      <c r="D94" s="306" t="s">
        <v>1472</v>
      </c>
      <c r="E94" s="306" t="s">
        <v>819</v>
      </c>
      <c r="F94" s="306">
        <v>969700</v>
      </c>
      <c r="G94" s="308">
        <v>1693</v>
      </c>
      <c r="H94" s="308">
        <v>1722</v>
      </c>
      <c r="I94" s="308">
        <v>1672</v>
      </c>
      <c r="J94" s="308">
        <v>1722</v>
      </c>
      <c r="N94" s="3"/>
      <c r="O94" s="3"/>
      <c r="P94" s="3"/>
      <c r="Q94" s="3"/>
      <c r="R94" s="3"/>
      <c r="S94" s="2"/>
      <c r="T94" s="2"/>
      <c r="U94" s="2"/>
    </row>
    <row r="95" spans="1:21">
      <c r="A95" s="66"/>
      <c r="B95" s="306"/>
      <c r="C95" s="306"/>
      <c r="D95" s="306" t="s">
        <v>1473</v>
      </c>
      <c r="E95" s="306" t="s">
        <v>819</v>
      </c>
      <c r="F95" s="306">
        <v>698100</v>
      </c>
      <c r="G95" s="308">
        <v>1730</v>
      </c>
      <c r="H95" s="308">
        <v>1738</v>
      </c>
      <c r="I95" s="308">
        <v>1709.5</v>
      </c>
      <c r="J95" s="308">
        <v>1732.5</v>
      </c>
      <c r="N95" s="3"/>
      <c r="O95" s="3"/>
      <c r="P95" s="3"/>
      <c r="Q95" s="3"/>
      <c r="R95" s="3"/>
      <c r="S95" s="2"/>
      <c r="T95" s="2"/>
      <c r="U95" s="2"/>
    </row>
    <row r="96" spans="1:21">
      <c r="A96" s="66"/>
      <c r="B96" s="306"/>
      <c r="C96" s="306"/>
      <c r="D96" s="306" t="s">
        <v>1474</v>
      </c>
      <c r="E96" s="306" t="s">
        <v>819</v>
      </c>
      <c r="F96" s="307">
        <v>861200</v>
      </c>
      <c r="G96" s="308">
        <v>1741</v>
      </c>
      <c r="H96" s="308">
        <v>1768</v>
      </c>
      <c r="I96" s="308">
        <v>1666</v>
      </c>
      <c r="J96" s="308">
        <v>1688.5</v>
      </c>
      <c r="N96" s="3"/>
      <c r="O96" s="3"/>
      <c r="P96" s="3"/>
      <c r="Q96" s="3"/>
      <c r="R96" s="3"/>
      <c r="S96" s="2"/>
      <c r="T96" s="2"/>
      <c r="U96" s="2"/>
    </row>
    <row r="97" spans="1:21">
      <c r="A97" s="66"/>
      <c r="B97" s="306"/>
      <c r="C97" s="306"/>
      <c r="D97" s="306" t="s">
        <v>1475</v>
      </c>
      <c r="E97" s="306" t="s">
        <v>819</v>
      </c>
      <c r="F97" s="306">
        <v>688400</v>
      </c>
      <c r="G97" s="308">
        <v>1718</v>
      </c>
      <c r="H97" s="308">
        <v>1724</v>
      </c>
      <c r="I97" s="308">
        <v>1698.5</v>
      </c>
      <c r="J97" s="308">
        <v>1709.5</v>
      </c>
      <c r="N97" s="3"/>
      <c r="O97" s="3"/>
      <c r="P97" s="3"/>
      <c r="Q97" s="3"/>
      <c r="R97" s="3"/>
      <c r="S97" s="2"/>
      <c r="T97" s="2"/>
      <c r="U97" s="2"/>
    </row>
    <row r="98" spans="1:21">
      <c r="A98" s="66"/>
      <c r="B98" s="306"/>
      <c r="C98" s="306"/>
      <c r="D98" s="306" t="s">
        <v>1476</v>
      </c>
      <c r="E98" s="306" t="s">
        <v>819</v>
      </c>
      <c r="F98" s="307">
        <v>482600</v>
      </c>
      <c r="G98" s="308">
        <v>1709.5</v>
      </c>
      <c r="H98" s="308">
        <v>1723</v>
      </c>
      <c r="I98" s="308">
        <v>1699</v>
      </c>
      <c r="J98" s="308">
        <v>1710.5</v>
      </c>
      <c r="N98" s="3"/>
      <c r="O98" s="3"/>
      <c r="P98" s="3"/>
      <c r="Q98" s="3"/>
      <c r="R98" s="3"/>
      <c r="S98" s="2"/>
      <c r="T98" s="2"/>
      <c r="U98" s="2"/>
    </row>
    <row r="99" spans="1:21">
      <c r="A99" s="66"/>
      <c r="B99" s="306"/>
      <c r="C99" s="306"/>
      <c r="D99" s="306" t="s">
        <v>1477</v>
      </c>
      <c r="E99" s="306" t="s">
        <v>819</v>
      </c>
      <c r="F99" s="307">
        <v>465700</v>
      </c>
      <c r="G99" s="308">
        <v>1715</v>
      </c>
      <c r="H99" s="308">
        <v>1723</v>
      </c>
      <c r="I99" s="308">
        <v>1701</v>
      </c>
      <c r="J99" s="308">
        <v>1711</v>
      </c>
      <c r="N99" s="3"/>
      <c r="O99" s="3"/>
      <c r="P99" s="3"/>
      <c r="Q99" s="3"/>
      <c r="R99" s="3"/>
      <c r="S99" s="2"/>
      <c r="T99" s="2"/>
      <c r="U99" s="2"/>
    </row>
    <row r="100" spans="1:21">
      <c r="A100" s="66"/>
      <c r="B100" s="306"/>
      <c r="C100" s="306"/>
      <c r="D100" s="306" t="s">
        <v>1478</v>
      </c>
      <c r="E100" s="306" t="s">
        <v>819</v>
      </c>
      <c r="F100" s="307">
        <v>423700</v>
      </c>
      <c r="G100" s="308">
        <v>1698</v>
      </c>
      <c r="H100" s="308">
        <v>1707.5</v>
      </c>
      <c r="I100" s="308">
        <v>1682.5</v>
      </c>
      <c r="J100" s="308">
        <v>1696</v>
      </c>
      <c r="N100" s="3"/>
      <c r="O100" s="3"/>
      <c r="P100" s="3"/>
      <c r="Q100" s="3"/>
      <c r="R100" s="3"/>
      <c r="S100" s="2"/>
      <c r="T100" s="2"/>
      <c r="U100" s="2"/>
    </row>
    <row r="101" spans="1:21">
      <c r="A101" s="66"/>
      <c r="B101" s="306"/>
      <c r="C101" s="306"/>
      <c r="D101" s="306" t="s">
        <v>1479</v>
      </c>
      <c r="E101" s="306" t="s">
        <v>819</v>
      </c>
      <c r="F101" s="306">
        <v>739500</v>
      </c>
      <c r="G101" s="308">
        <v>1710</v>
      </c>
      <c r="H101" s="308">
        <v>1739.5</v>
      </c>
      <c r="I101" s="308">
        <v>1707</v>
      </c>
      <c r="J101" s="308">
        <v>1733.5</v>
      </c>
      <c r="N101" s="3"/>
      <c r="O101" s="3"/>
      <c r="P101" s="3"/>
      <c r="Q101" s="3"/>
      <c r="R101" s="3"/>
      <c r="S101" s="2"/>
      <c r="T101" s="2"/>
      <c r="U101" s="2"/>
    </row>
    <row r="102" spans="1:21">
      <c r="A102" s="66"/>
      <c r="B102" s="306"/>
      <c r="C102" s="306"/>
      <c r="D102" s="306" t="s">
        <v>1480</v>
      </c>
      <c r="E102" s="306" t="s">
        <v>819</v>
      </c>
      <c r="F102" s="306">
        <v>697500</v>
      </c>
      <c r="G102" s="308">
        <v>1725</v>
      </c>
      <c r="H102" s="308">
        <v>1735</v>
      </c>
      <c r="I102" s="308">
        <v>1681</v>
      </c>
      <c r="J102" s="308">
        <v>1681</v>
      </c>
      <c r="N102" s="3"/>
      <c r="O102" s="3"/>
      <c r="P102" s="3"/>
      <c r="Q102" s="3"/>
      <c r="R102" s="3"/>
      <c r="S102" s="2"/>
      <c r="T102" s="2"/>
      <c r="U102" s="2"/>
    </row>
    <row r="103" spans="1:21">
      <c r="A103" s="66"/>
      <c r="B103" s="306"/>
      <c r="C103" s="306"/>
      <c r="D103" s="306" t="s">
        <v>1481</v>
      </c>
      <c r="E103" s="306" t="s">
        <v>819</v>
      </c>
      <c r="F103" s="307">
        <v>776900</v>
      </c>
      <c r="G103" s="308">
        <v>1701</v>
      </c>
      <c r="H103" s="308">
        <v>1705</v>
      </c>
      <c r="I103" s="308">
        <v>1656.5</v>
      </c>
      <c r="J103" s="308">
        <v>1679</v>
      </c>
      <c r="N103" s="3"/>
      <c r="O103" s="3"/>
      <c r="P103" s="3"/>
      <c r="Q103" s="3"/>
      <c r="R103" s="3"/>
      <c r="S103" s="2"/>
      <c r="T103" s="2"/>
      <c r="U103" s="2"/>
    </row>
    <row r="104" spans="1:21">
      <c r="A104" s="66"/>
      <c r="B104" s="306"/>
      <c r="C104" s="306"/>
      <c r="D104" s="306" t="s">
        <v>1489</v>
      </c>
      <c r="E104" s="306" t="s">
        <v>819</v>
      </c>
      <c r="F104" s="307">
        <v>707600</v>
      </c>
      <c r="G104" s="308">
        <v>1676</v>
      </c>
      <c r="H104" s="308">
        <v>1682</v>
      </c>
      <c r="I104" s="308">
        <v>1652</v>
      </c>
      <c r="J104" s="308">
        <v>1654</v>
      </c>
      <c r="N104" s="3"/>
      <c r="O104" s="3"/>
      <c r="P104" s="3"/>
      <c r="Q104" s="3"/>
      <c r="R104" s="3"/>
      <c r="S104" s="2"/>
      <c r="T104" s="2"/>
      <c r="U104" s="2"/>
    </row>
    <row r="105" spans="1:21">
      <c r="A105" s="66"/>
      <c r="B105" s="306"/>
      <c r="C105" s="306"/>
      <c r="D105" s="306" t="s">
        <v>1491</v>
      </c>
      <c r="E105" s="306" t="s">
        <v>819</v>
      </c>
      <c r="F105" s="307">
        <v>955200</v>
      </c>
      <c r="G105" s="308">
        <v>1658.5</v>
      </c>
      <c r="H105" s="308">
        <v>1662</v>
      </c>
      <c r="I105" s="308">
        <v>1627</v>
      </c>
      <c r="J105" s="308">
        <v>1637</v>
      </c>
      <c r="N105" s="3"/>
      <c r="O105" s="3"/>
      <c r="P105" s="3"/>
      <c r="Q105" s="3"/>
      <c r="R105" s="3"/>
      <c r="S105" s="2"/>
      <c r="T105" s="2"/>
      <c r="U105" s="2"/>
    </row>
    <row r="106" spans="1:21">
      <c r="A106" s="66"/>
      <c r="B106" s="306"/>
      <c r="C106" s="306"/>
      <c r="D106" s="306" t="s">
        <v>1504</v>
      </c>
      <c r="E106" s="306" t="s">
        <v>819</v>
      </c>
      <c r="F106" s="307">
        <v>1200100</v>
      </c>
      <c r="G106" s="308">
        <v>1618</v>
      </c>
      <c r="H106" s="308">
        <v>1618</v>
      </c>
      <c r="I106" s="308">
        <v>1567</v>
      </c>
      <c r="J106" s="308">
        <v>1618</v>
      </c>
      <c r="N106" s="3"/>
      <c r="O106" s="3"/>
      <c r="P106" s="3"/>
      <c r="Q106" s="3"/>
      <c r="R106" s="3"/>
      <c r="S106" s="2"/>
      <c r="T106" s="2"/>
      <c r="U106" s="2"/>
    </row>
    <row r="107" spans="1:21">
      <c r="A107" s="66"/>
      <c r="B107" s="306"/>
      <c r="C107" s="306"/>
      <c r="D107" s="306" t="s">
        <v>1505</v>
      </c>
      <c r="E107" s="306" t="s">
        <v>819</v>
      </c>
      <c r="F107" s="307">
        <v>1921600</v>
      </c>
      <c r="G107" s="308">
        <v>1601.5</v>
      </c>
      <c r="H107" s="308">
        <v>1680.5</v>
      </c>
      <c r="I107" s="308">
        <v>1600</v>
      </c>
      <c r="J107" s="308">
        <v>1638.5</v>
      </c>
      <c r="N107" s="3"/>
      <c r="O107" s="3"/>
      <c r="P107" s="3"/>
      <c r="Q107" s="3"/>
      <c r="R107" s="3"/>
      <c r="S107" s="2"/>
      <c r="T107" s="2"/>
      <c r="U107" s="2"/>
    </row>
    <row r="108" spans="1:21">
      <c r="A108" s="66"/>
      <c r="B108" s="306"/>
      <c r="C108" s="306"/>
      <c r="D108" s="306" t="s">
        <v>1508</v>
      </c>
      <c r="E108" s="306" t="s">
        <v>819</v>
      </c>
      <c r="F108" s="306">
        <v>1020900</v>
      </c>
      <c r="G108" s="308">
        <v>1628.5</v>
      </c>
      <c r="H108" s="308">
        <v>1659</v>
      </c>
      <c r="I108" s="308">
        <v>1612</v>
      </c>
      <c r="J108" s="308">
        <v>1631</v>
      </c>
      <c r="N108" s="3"/>
      <c r="O108" s="3"/>
      <c r="P108" s="3"/>
      <c r="Q108" s="3"/>
      <c r="R108" s="3"/>
      <c r="S108" s="2"/>
      <c r="T108" s="2"/>
      <c r="U108" s="2"/>
    </row>
    <row r="109" spans="1:21">
      <c r="A109" s="66"/>
      <c r="B109" s="306" t="s">
        <v>1507</v>
      </c>
      <c r="C109" s="306" t="s">
        <v>1507</v>
      </c>
      <c r="D109" s="306" t="s">
        <v>1507</v>
      </c>
      <c r="E109" s="306" t="s">
        <v>1507</v>
      </c>
      <c r="F109" s="307" t="s">
        <v>1507</v>
      </c>
      <c r="G109" s="308" t="s">
        <v>1507</v>
      </c>
      <c r="H109" s="308" t="s">
        <v>1507</v>
      </c>
      <c r="I109" s="308" t="s">
        <v>1507</v>
      </c>
      <c r="J109" s="308" t="s">
        <v>1507</v>
      </c>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8344</v>
      </c>
      <c r="G4" s="304" t="s">
        <v>1347</v>
      </c>
      <c r="H4" s="304">
        <v>100</v>
      </c>
      <c r="I4" s="304">
        <v>4150</v>
      </c>
      <c r="J4" s="304">
        <v>210</v>
      </c>
      <c r="K4" s="304" t="s">
        <v>1040</v>
      </c>
      <c r="L4" s="304" t="s">
        <v>1041</v>
      </c>
      <c r="M4" s="304"/>
      <c r="N4" s="304"/>
      <c r="O4" s="304"/>
      <c r="P4" s="304"/>
      <c r="Q4" s="304"/>
      <c r="R4" s="304"/>
      <c r="S4" s="304"/>
    </row>
    <row r="5" spans="1:19">
      <c r="B5" s="247" t="s">
        <v>613</v>
      </c>
      <c r="C5" s="248" t="str">
        <f t="array" ref="C5">_xll.RssMarket(C3,"市場部名称")</f>
        <v/>
      </c>
      <c r="D5" s="249" t="s">
        <v>611</v>
      </c>
      <c r="F5" s="304" t="s">
        <v>875</v>
      </c>
      <c r="G5" s="304" t="s">
        <v>875</v>
      </c>
      <c r="H5" s="304" t="s">
        <v>875</v>
      </c>
      <c r="I5" s="304" t="s">
        <v>875</v>
      </c>
      <c r="J5" s="304" t="s">
        <v>875</v>
      </c>
      <c r="K5" s="304" t="s">
        <v>875</v>
      </c>
      <c r="L5" s="304" t="s">
        <v>875</v>
      </c>
      <c r="M5" s="304" t="s">
        <v>875</v>
      </c>
      <c r="N5" s="304" t="s">
        <v>875</v>
      </c>
      <c r="O5" s="304"/>
      <c r="P5" s="304"/>
      <c r="Q5" s="304"/>
      <c r="R5" s="304"/>
      <c r="S5" s="304"/>
    </row>
    <row r="6" spans="1:19">
      <c r="B6" s="247" t="s">
        <v>607</v>
      </c>
      <c r="C6" s="250">
        <v>0</v>
      </c>
      <c r="D6" s="249" t="s">
        <v>614</v>
      </c>
      <c r="F6" s="304"/>
      <c r="G6" s="304"/>
      <c r="H6" s="304"/>
      <c r="I6" s="304"/>
      <c r="J6" s="304"/>
      <c r="K6" s="304"/>
      <c r="L6" s="304"/>
      <c r="M6" s="304"/>
      <c r="N6" s="304"/>
      <c r="O6" s="304"/>
      <c r="P6" s="304"/>
      <c r="Q6" s="304"/>
      <c r="R6" s="304"/>
      <c r="S6" s="304"/>
    </row>
    <row r="7" spans="1:19">
      <c r="B7" s="247" t="s">
        <v>615</v>
      </c>
      <c r="C7" s="250">
        <v>100</v>
      </c>
      <c r="D7" s="249" t="s">
        <v>616</v>
      </c>
      <c r="F7" s="304"/>
      <c r="G7" s="304"/>
      <c r="H7" s="304"/>
      <c r="I7" s="304"/>
      <c r="J7" s="304"/>
      <c r="K7" s="304"/>
      <c r="L7" s="304"/>
      <c r="M7" s="304"/>
      <c r="N7" s="304"/>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08061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08061</v>
      </c>
    </row>
    <row r="65" spans="5:5">
      <c r="E65" s="242" t="s">
        <v>701</v>
      </c>
    </row>
    <row r="66" spans="5:5">
      <c r="E66" s="242" t="s">
        <v>702</v>
      </c>
    </row>
  </sheetData>
  <phoneticPr fontId="16"/>
  <conditionalFormatting sqref="C34">
    <cfRule type="containsText" dxfId="1" priority="1" operator="containsText" text="エントリー可">
      <formula>NOT(ISERROR(SEARCH("エントリー可",C34)))</formula>
    </cfRule>
    <cfRule type="containsText" dxfId="0"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codeName="Sheet28">
    <tabColor rgb="FFFFC000"/>
  </sheetPr>
  <dimension ref="A1:I40"/>
  <sheetViews>
    <sheetView workbookViewId="0">
      <selection activeCell="T26" sqref="T26"/>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81" t="s">
        <v>1372</v>
      </c>
      <c r="B1" s="781"/>
      <c r="C1" s="781"/>
      <c r="D1" s="781"/>
      <c r="E1" s="781"/>
      <c r="G1" s="690" t="s">
        <v>1389</v>
      </c>
      <c r="H1" s="691"/>
      <c r="I1" s="691"/>
    </row>
    <row r="2" spans="1:9" ht="13.8">
      <c r="G2" s="692" t="s">
        <v>1381</v>
      </c>
      <c r="H2" s="692"/>
      <c r="I2" s="691"/>
    </row>
    <row r="3" spans="1:9" ht="34.049999999999997" customHeight="1">
      <c r="A3" s="664" t="s">
        <v>1373</v>
      </c>
      <c r="B3" s="665">
        <v>6488</v>
      </c>
      <c r="C3" s="711" t="str">
        <f>IF($B$3="","",HYPERLINK("https://kabutan.jp/stock/?code="&amp;TEXT($B$3,"0000"),"株探"))</f>
        <v>株探</v>
      </c>
      <c r="D3" s="666" t="str" cm="1">
        <f t="array" ref="D3">IFERROR(INDEX(買抽出v13!$D$4:$D$78,$H$3),IFERROR(INDEX(管理!$D$4:$D$120,$H$4),"—"))</f>
        <v>ヨシタケ</v>
      </c>
      <c r="G3" s="693" t="s">
        <v>1374</v>
      </c>
      <c r="H3" s="694" t="str">
        <f>IFERROR(MATCH($B$3,買抽出v13!$C$4:$C$78,0),"")</f>
        <v/>
      </c>
      <c r="I3" s="691"/>
    </row>
    <row r="4" spans="1:9" ht="13.8">
      <c r="A4" s="667"/>
      <c r="B4" s="668" t="str">
        <f>IF($B$3="","",HYPERLINK("https://kabutan.jp/stock/?code="&amp;TEXT($B$3,"0000"),"株探"))</f>
        <v>株探</v>
      </c>
      <c r="D4" s="667"/>
      <c r="E4" s="668"/>
      <c r="G4" s="693" t="s">
        <v>1375</v>
      </c>
      <c r="H4" s="694">
        <f>IFERROR(MATCH($B$3,管理!$B$4:$B$120,0),"")</f>
        <v>31</v>
      </c>
      <c r="I4" s="691"/>
    </row>
    <row r="5" spans="1:9" ht="13.8">
      <c r="G5" s="693" t="s">
        <v>1382</v>
      </c>
      <c r="H5" s="694" t="str">
        <f>IFERROR(MATCH($B$3,分析!$C$3:$C$206,0)+2,"")</f>
        <v/>
      </c>
      <c r="I5" s="691"/>
    </row>
    <row r="6" spans="1:9" ht="25.8" customHeight="1" thickBot="1">
      <c r="A6" s="782" t="s">
        <v>1384</v>
      </c>
      <c r="B6" s="782"/>
      <c r="D6" s="783" t="s">
        <v>1376</v>
      </c>
      <c r="E6" s="783"/>
      <c r="G6" s="691"/>
      <c r="H6" s="691"/>
      <c r="I6" s="691"/>
    </row>
    <row r="7" spans="1:9" ht="25.8" customHeight="1" thickTop="1">
      <c r="A7" s="669" t="s">
        <v>525</v>
      </c>
      <c r="B7" s="679" t="str" cm="1">
        <f t="array" ref="B7">IF($H$3&lt;&gt;"",INDEX(買抽出v13!E$4:E$78,$H$3),IF($H$5&lt;&gt;"",INDEX(分析!$E:$E,$H$5),"データなし"))</f>
        <v>データなし</v>
      </c>
      <c r="C7" s="680"/>
      <c r="D7" s="669" t="s">
        <v>783</v>
      </c>
      <c r="E7" s="681" t="str" cm="1">
        <f t="array" ref="E7">IF($H$4="","管理未登録",INDEX(管理!C$4:C$120,$H$4))</f>
        <v>買</v>
      </c>
      <c r="G7" s="695" t="s">
        <v>1386</v>
      </c>
      <c r="H7" s="696">
        <v>26</v>
      </c>
      <c r="I7" s="691"/>
    </row>
    <row r="8" spans="1:9" ht="25.8" customHeight="1">
      <c r="A8" s="670" t="s">
        <v>526</v>
      </c>
      <c r="B8" s="682" t="str" cm="1">
        <f t="array" ref="B8">IF($H$3&lt;&gt;"",INDEX(買抽出v13!F$4:F$78,$H$3),IF($H$5&lt;&gt;"",INDEX(分析!$H:$H,$H$5),"データなし"))</f>
        <v>データなし</v>
      </c>
      <c r="C8" s="680"/>
      <c r="D8" s="670" t="s">
        <v>785</v>
      </c>
      <c r="E8" s="683" cm="1">
        <f t="array" ref="E8">IF($H$4="","管理未登録",INDEX(管理!E$4:E$120,$H$4))</f>
        <v>46233</v>
      </c>
      <c r="G8" s="695" t="s">
        <v>1387</v>
      </c>
      <c r="H8" s="697">
        <v>0.06</v>
      </c>
      <c r="I8" s="691"/>
    </row>
    <row r="9" spans="1:9" ht="25.8" customHeight="1">
      <c r="A9" s="670" t="s">
        <v>527</v>
      </c>
      <c r="B9" s="682" t="str" cm="1">
        <f t="array" ref="B9">IF($H$3&lt;&gt;"",INDEX(買抽出v13!G$4:G$78,$H$3),IF($H$5&lt;&gt;"",INDEX(分析!$I:$I,$H$5),"データなし"))</f>
        <v>データなし</v>
      </c>
      <c r="C9" s="680"/>
      <c r="D9" s="670" t="s">
        <v>786</v>
      </c>
      <c r="E9" s="682" cm="1">
        <f t="array" aca="1" ref="E9" ca="1">IF($H$4="","管理未登録",INDEX(管理!F$4:F$120,$H$4))</f>
        <v>989</v>
      </c>
      <c r="G9" s="695" t="s">
        <v>1388</v>
      </c>
      <c r="H9" s="697">
        <v>0.04</v>
      </c>
      <c r="I9" s="691"/>
    </row>
    <row r="10" spans="1:9" ht="25.8" customHeight="1">
      <c r="A10" s="670" t="s">
        <v>528</v>
      </c>
      <c r="B10" s="682" t="str" cm="1">
        <f t="array" ref="B10">IF($H$3&lt;&gt;"",INDEX(買抽出v13!H$4:H$78,$H$3),IF($H$5&lt;&gt;"",INDEX(分析!$J:$J,$H$5),"データなし"))</f>
        <v>データなし</v>
      </c>
      <c r="C10" s="680"/>
      <c r="D10" s="670" t="s">
        <v>787</v>
      </c>
      <c r="E10" s="682" cm="1">
        <f t="array" ref="E10">IF($H$4="","管理未登録",INDEX(管理!G$4:G$120,$H$4))</f>
        <v>100</v>
      </c>
    </row>
    <row r="11" spans="1:9" ht="25.8" customHeight="1">
      <c r="A11" s="670" t="s">
        <v>529</v>
      </c>
      <c r="B11" s="684" t="str" cm="1">
        <f t="array" ref="B11">IF($H$3&lt;&gt;"",INDEX(買抽出v13!I$4:I$78,$H$3),IF($H$5&lt;&gt;"",INDEX(分析!$W:$W,$H$5),"データなし"))</f>
        <v>データなし</v>
      </c>
      <c r="C11" s="680"/>
      <c r="D11" s="670" t="s">
        <v>525</v>
      </c>
      <c r="E11" s="682" cm="1">
        <f t="array" ref="E11">IF($H$4="","管理未登録",INDEX(管理!H$4:H$120,$H$4))</f>
        <v>985</v>
      </c>
    </row>
    <row r="12" spans="1:9" ht="25.8" customHeight="1">
      <c r="A12" s="670" t="s">
        <v>530</v>
      </c>
      <c r="B12" s="673" t="str" cm="1">
        <f t="array" ref="B12">IF($H$3&lt;&gt;"",INDEX(買抽出v13!J$4:J$78,$H$3),IF($H$5&lt;&gt;"",INDEX(分析!$AD:$AD,$H$5),"データなし"))</f>
        <v>データなし</v>
      </c>
      <c r="C12" s="680"/>
      <c r="D12" s="670" t="s">
        <v>788</v>
      </c>
      <c r="E12" s="671" cm="1">
        <f t="array" ref="E12">IF($H$4="","管理未登録",INDEX(管理!J$4:J$120,$H$4))</f>
        <v>-5</v>
      </c>
    </row>
    <row r="13" spans="1:9" ht="25.8" customHeight="1">
      <c r="A13" s="670" t="s">
        <v>531</v>
      </c>
      <c r="B13" s="673" t="str" cm="1">
        <f t="array" ref="B13">IF($H$3&lt;&gt;"",INDEX(買抽出v13!K$4:K$78,$H$3),IF($H$5&lt;&gt;"",INDEX(分析!$AE:$AE,$H$5),"データなし"))</f>
        <v>データなし</v>
      </c>
      <c r="C13" s="680"/>
      <c r="D13" s="670" t="s">
        <v>1377</v>
      </c>
      <c r="E13" s="671" cm="1">
        <f t="array" aca="1" ref="E13" ca="1">IF($H$4="","管理未登録",INDEX(管理!K$4:K$120,$H$4))</f>
        <v>-400</v>
      </c>
    </row>
    <row r="14" spans="1:9" ht="25.8" customHeight="1">
      <c r="A14" s="670" t="s">
        <v>532</v>
      </c>
      <c r="B14" s="685" t="str" cm="1">
        <f t="array" ref="B14">IF($H$3&lt;&gt;"",INDEX(買抽出v13!L$4:L$78,$H$3),IF($H$5&lt;&gt;"",INDEX(分析!$O:$O,$H$5),"データなし"))</f>
        <v>データなし</v>
      </c>
      <c r="C14" s="680"/>
      <c r="D14" s="670" t="s">
        <v>790</v>
      </c>
      <c r="E14" s="672" cm="1">
        <f t="array" aca="1" ref="E14" ca="1">IF($H$4="","管理未登録",INDEX(管理!L$4:L$120,$H$4))</f>
        <v>-4.0444893832153692E-3</v>
      </c>
    </row>
    <row r="15" spans="1:9" ht="25.8" customHeight="1">
      <c r="A15" s="670" t="s">
        <v>533</v>
      </c>
      <c r="B15" s="686" t="str" cm="1">
        <f t="array" ref="B15">IF($H$3&lt;&gt;"",INDEX(買抽出v13!M$4:M$78,$H$3),IF($H$5&lt;&gt;"",INDEX(分析!$X:$X,$H$5),"データなし"))</f>
        <v>データなし</v>
      </c>
      <c r="C15" s="680"/>
      <c r="D15" s="670" t="s">
        <v>1378</v>
      </c>
      <c r="E15" s="682" cm="1">
        <f t="array" aca="1" ref="E15" ca="1">IF($H$4="","管理未登録",INDEX(管理!M$4:M$120,$H$4))</f>
        <v>1048</v>
      </c>
    </row>
    <row r="16" spans="1:9" ht="25.8" customHeight="1">
      <c r="A16" s="670" t="s">
        <v>534</v>
      </c>
      <c r="B16" s="673" t="str" cm="1">
        <f t="array" ref="B16">IF($H$3&lt;&gt;"",INDEX(買抽出v13!N$4:N$78,$H$3),IF($H$5&lt;&gt;"",INDEX(分析!$V:$V,$H$5),"データなし"))</f>
        <v>データなし</v>
      </c>
      <c r="C16" s="680"/>
      <c r="D16" s="670" t="s">
        <v>1379</v>
      </c>
      <c r="E16" s="682" cm="1">
        <f t="array" aca="1" ref="E16" ca="1">IF($H$4="","管理未登録",INDEX(管理!N$4:N$120,$H$4))</f>
        <v>949</v>
      </c>
    </row>
    <row r="17" spans="1:5" ht="25.8" customHeight="1">
      <c r="A17" s="670" t="s">
        <v>535</v>
      </c>
      <c r="B17" s="682" t="str" cm="1">
        <f t="array" ref="B17">IF($H$3&lt;&gt;"",INDEX(買抽出v13!O$4:O$78,$H$3),IF($H$5&lt;&gt;"",INDEX(分析!$R:$R,$H$5),"データなし"))</f>
        <v>データなし</v>
      </c>
      <c r="C17" s="680"/>
      <c r="D17" s="670" t="s">
        <v>793</v>
      </c>
      <c r="E17" s="673" t="str" cm="1">
        <f t="array" aca="1" ref="E17" ca="1">IF($H$4="","管理未登録",INDEX(管理!O$4:O$120,$H$4))</f>
        <v>保持継続</v>
      </c>
    </row>
    <row r="18" spans="1:5" ht="25.8" customHeight="1">
      <c r="A18" s="670" t="s">
        <v>536</v>
      </c>
      <c r="B18" s="682" t="str" cm="1">
        <f t="array" ref="B18">IF($H$3&lt;&gt;"",INDEX(買抽出v13!P$4:P$78,$H$3),IF($H$5&lt;&gt;"",INDEX(分析!$S:$S,$H$5),"データなし"))</f>
        <v>データなし</v>
      </c>
      <c r="C18" s="680"/>
      <c r="D18" s="670" t="s">
        <v>796</v>
      </c>
      <c r="E18" s="682" cm="1">
        <f t="array" aca="1" ref="E18" ca="1">IF($H$4="","管理未登録",INDEX(管理!R$4:R$120,$H$4))</f>
        <v>970</v>
      </c>
    </row>
    <row r="19" spans="1:5" ht="25.8" customHeight="1">
      <c r="A19" s="670" t="s">
        <v>537</v>
      </c>
      <c r="B19" s="674" t="str" cm="1">
        <f t="array" ref="B19">IF($H$3&lt;&gt;"",INDEX(買抽出v13!Q$4:Q$78,$H$3)&amp;" / "&amp;TEXT($H$7,"0")&amp;"点",IF($H$5&lt;&gt;"",INDEX(分析!$T:$T,$H$5)&amp;" / "&amp;TEXT($H$7,"0")&amp;"点","データなし"))</f>
        <v>データなし</v>
      </c>
      <c r="C19" s="680"/>
      <c r="D19" s="670" t="s">
        <v>549</v>
      </c>
      <c r="E19" s="673" t="str" cm="1">
        <f t="array" aca="1" ref="E19" ca="1">IF($H$4="","管理未登録",INDEX(管理!S$4:S$120,$H$4))</f>
        <v>📌保有中</v>
      </c>
    </row>
    <row r="20" spans="1:5" ht="25.8" customHeight="1">
      <c r="A20" s="670" t="s">
        <v>1383</v>
      </c>
      <c r="B20" s="673" t="str">
        <f>IF($H$3&lt;&gt;"","買抽出v13",IF($H$5&lt;&gt;"","分析シート","該当なし"))</f>
        <v>該当なし</v>
      </c>
      <c r="C20" s="680"/>
      <c r="D20" s="670" t="s">
        <v>652</v>
      </c>
      <c r="E20" s="687" cm="1">
        <f t="array" aca="1" ref="E20" ca="1">IF($H$4="","管理未登録",INDEX(管理!W$4:W$120,$H$4))</f>
        <v>8</v>
      </c>
    </row>
    <row r="21" spans="1:5" ht="25.8" customHeight="1">
      <c r="A21" s="670" t="s">
        <v>1270</v>
      </c>
      <c r="B21" s="673" t="str">
        <f>IFERROR("買い 第"&amp;MATCH($B$3,厳選TOP2!$B$18:$B$22,0)&amp;"位",IFERROR("売り 第"&amp;MATCH($B$3,厳選TOP2!$B$26:$B$30,0)&amp;"位","対象外"))</f>
        <v>対象外</v>
      </c>
      <c r="C21" s="680"/>
      <c r="D21" s="670" t="s">
        <v>1259</v>
      </c>
      <c r="E21" s="673" t="str" cm="1">
        <f t="array" ref="E21">IF($H$4="","管理未登録",INDEX(管理!AD$4:AD$120,$H$4))</f>
        <v>v13買</v>
      </c>
    </row>
    <row r="22" spans="1:5" ht="25.8" customHeight="1">
      <c r="A22" s="675" t="str">
        <f>"売（逆）利確ライン -"&amp;TEXT($H$8,"0%")</f>
        <v>売（逆）利確ライン -6%</v>
      </c>
      <c r="B22" s="688" t="str">
        <f>IF(N($B$7)=0,"データなし",ROUND($B$7*(1-$H$8),0))</f>
        <v>データなし</v>
      </c>
      <c r="C22" s="680"/>
      <c r="D22" s="670" t="s">
        <v>1260</v>
      </c>
      <c r="E22" s="683" cm="1">
        <f t="array" ref="E22">IF($H$4="","管理未登録",INDEX(管理!AE$4:AE$120,$H$4))</f>
        <v>46251</v>
      </c>
    </row>
    <row r="23" spans="1:5" ht="25.8" customHeight="1" thickBot="1">
      <c r="A23" s="676" t="str">
        <f>"売（逆）損切ライン +"&amp;TEXT($H$9,"0%")</f>
        <v>売（逆）損切ライン +4%</v>
      </c>
      <c r="B23" s="689" t="str">
        <f>IF(N($B$7)=0,"データなし",ROUND($B$7*(1+$H$9),0))</f>
        <v>データなし</v>
      </c>
      <c r="C23" s="680"/>
      <c r="D23" s="670" t="s">
        <v>797</v>
      </c>
      <c r="E23" s="683" t="str" cm="1">
        <f t="array" aca="1" ref="E23" ca="1">IF($H$4="","管理未登録",INDEX(管理!T$4:T$120,$H$4))</f>
        <v/>
      </c>
    </row>
    <row r="24" spans="1:5" ht="25.8" customHeight="1" thickTop="1">
      <c r="A24" s="680"/>
      <c r="B24" s="680"/>
      <c r="C24" s="680"/>
      <c r="D24" s="670" t="s">
        <v>798</v>
      </c>
      <c r="E24" s="682" t="str" cm="1">
        <f t="array" aca="1" ref="E24" ca="1">IF($H$4="","管理未登録",INDEX(管理!U$4:U$120,$H$4))</f>
        <v/>
      </c>
    </row>
    <row r="25" spans="1:5" ht="25.8" customHeight="1">
      <c r="A25" s="680"/>
      <c r="B25" s="680"/>
      <c r="C25" s="680"/>
      <c r="D25" s="670" t="s">
        <v>799</v>
      </c>
      <c r="E25" s="671" t="str" cm="1">
        <f t="array" aca="1" ref="E25" ca="1">IF($H$4="","管理未登録",INDEX(管理!V$4:V$120,$H$4))</f>
        <v/>
      </c>
    </row>
    <row r="26" spans="1:5" ht="25.8" customHeight="1">
      <c r="A26" s="680"/>
      <c r="B26" s="680"/>
      <c r="C26" s="680"/>
      <c r="D26" s="670" t="s">
        <v>1264</v>
      </c>
      <c r="E26" s="672" t="str" cm="1">
        <f t="array" aca="1" ref="E26" ca="1">IF($H$4="","管理未登録",INDEX(管理!AJ$4:AJ$120,$H$4))</f>
        <v/>
      </c>
    </row>
    <row r="27" spans="1:5" ht="25.8" customHeight="1">
      <c r="A27" s="680"/>
      <c r="B27" s="680"/>
      <c r="C27" s="680"/>
      <c r="D27" s="670" t="s">
        <v>860</v>
      </c>
      <c r="E27" s="673" t="str" cm="1">
        <f t="array" aca="1" ref="E27" ca="1">IF($H$4="","管理未登録",INDEX(管理!AH$4:AH$120,$H$4))</f>
        <v>保有中</v>
      </c>
    </row>
    <row r="28" spans="1:5" ht="25.8" customHeight="1" thickBot="1">
      <c r="A28" s="680"/>
      <c r="B28" s="680"/>
      <c r="C28" s="680"/>
      <c r="D28" s="677" t="s">
        <v>1265</v>
      </c>
      <c r="E28" s="678" t="str" cm="1">
        <f t="array" aca="1" ref="E28" ca="1">IF($H$4="","管理未登録",INDEX(管理!AK$4:AK$120,$H$4))</f>
        <v/>
      </c>
    </row>
    <row r="29" spans="1:5" ht="25.8" customHeight="1" thickTop="1">
      <c r="A29" s="680"/>
      <c r="B29" s="680"/>
      <c r="C29" s="680"/>
      <c r="D29" s="680"/>
      <c r="E29" s="680"/>
    </row>
    <row r="30" spans="1:5" ht="25.8" customHeight="1">
      <c r="A30" s="784" t="s">
        <v>1385</v>
      </c>
      <c r="B30" s="784"/>
      <c r="C30" s="784"/>
      <c r="D30" s="784"/>
      <c r="E30" s="784"/>
    </row>
    <row r="31" spans="1:5" ht="25.8" customHeight="1">
      <c r="A31" s="772" t="str" cm="1">
        <f t="array" ref="A31">IF($H$3&lt;&gt;"",INDEX(買抽出v13!R$4:R$78,$H$3),IF($H$5&lt;&gt;"",INDEX(分析!$Y:$Y,$H$5),"この銘柄は分析シートにもありません"))</f>
        <v>この銘柄は分析シートにもありません</v>
      </c>
      <c r="B31" s="773"/>
      <c r="C31" s="773"/>
      <c r="D31" s="773"/>
      <c r="E31" s="774"/>
    </row>
    <row r="32" spans="1:5" ht="25.8" customHeight="1">
      <c r="A32" s="775"/>
      <c r="B32" s="776"/>
      <c r="C32" s="776"/>
      <c r="D32" s="776"/>
      <c r="E32" s="777"/>
    </row>
    <row r="33" spans="1:5" ht="25.8" customHeight="1">
      <c r="A33" s="775"/>
      <c r="B33" s="776"/>
      <c r="C33" s="776"/>
      <c r="D33" s="776"/>
      <c r="E33" s="777"/>
    </row>
    <row r="34" spans="1:5" ht="25.8" customHeight="1">
      <c r="A34" s="778"/>
      <c r="B34" s="779"/>
      <c r="C34" s="779"/>
      <c r="D34" s="779"/>
      <c r="E34" s="780"/>
    </row>
    <row r="35" spans="1:5" ht="25.8" customHeight="1">
      <c r="A35" s="680"/>
      <c r="B35" s="680"/>
      <c r="C35" s="680"/>
      <c r="D35" s="680"/>
      <c r="E35" s="680"/>
    </row>
    <row r="36" spans="1:5" ht="25.8" customHeight="1">
      <c r="A36" s="785" t="s">
        <v>1380</v>
      </c>
      <c r="B36" s="785"/>
      <c r="C36" s="785"/>
      <c r="D36" s="785"/>
      <c r="E36" s="785"/>
    </row>
    <row r="37" spans="1:5" ht="25.8" customHeight="1">
      <c r="A37" s="772" t="str" cm="1">
        <f t="array" ref="A37">IF($H$4="","この銘柄は管理シートに登録されていません","スコア "&amp;INDEX(管理!Z$4:Z$120,$H$4)&amp;" ｜ "&amp;INDEX(管理!AA$4:AA$120,$H$4))</f>
        <v xml:space="preserve">スコア 18 ｜ </v>
      </c>
      <c r="B37" s="773"/>
      <c r="C37" s="773"/>
      <c r="D37" s="773"/>
      <c r="E37" s="774"/>
    </row>
    <row r="38" spans="1:5" ht="25.8" customHeight="1">
      <c r="A38" s="775"/>
      <c r="B38" s="776"/>
      <c r="C38" s="776"/>
      <c r="D38" s="776"/>
      <c r="E38" s="777"/>
    </row>
    <row r="39" spans="1:5" ht="25.8" customHeight="1">
      <c r="A39" s="775"/>
      <c r="B39" s="776"/>
      <c r="C39" s="776"/>
      <c r="D39" s="776"/>
      <c r="E39" s="777"/>
    </row>
    <row r="40" spans="1:5" ht="25.8" customHeight="1">
      <c r="A40" s="778"/>
      <c r="B40" s="779"/>
      <c r="C40" s="779"/>
      <c r="D40" s="779"/>
      <c r="E40" s="780"/>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6"/>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54349.120000000003</v>
      </c>
      <c r="C3" s="418">
        <f t="array" ref="C3">_xll.RssIndexMarket("DJIA", "前日比率")</f>
        <v>0.49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1390</v>
      </c>
      <c r="J6">
        <v>47706.51</v>
      </c>
    </row>
    <row r="7" spans="1:64" ht="26.25" customHeight="1">
      <c r="A7" s="417" t="s">
        <v>807</v>
      </c>
      <c r="B7" s="418"/>
      <c r="C7" s="418"/>
      <c r="I7" t="s">
        <v>1391</v>
      </c>
      <c r="J7">
        <v>47417.27</v>
      </c>
    </row>
    <row r="8" spans="1:64" ht="26.25" customHeight="1">
      <c r="A8" s="419" t="s">
        <v>808</v>
      </c>
      <c r="B8" s="420"/>
      <c r="C8" s="420"/>
      <c r="I8" t="s">
        <v>1392</v>
      </c>
      <c r="J8">
        <v>46677.85</v>
      </c>
    </row>
    <row r="9" spans="1:64" ht="26.25" customHeight="1">
      <c r="A9" s="417" t="s">
        <v>809</v>
      </c>
      <c r="B9" s="418"/>
      <c r="C9" s="418"/>
      <c r="I9" t="s">
        <v>1393</v>
      </c>
      <c r="J9">
        <v>46558.47</v>
      </c>
    </row>
    <row r="10" spans="1:64" ht="26.25" customHeight="1">
      <c r="I10" t="s">
        <v>1394</v>
      </c>
      <c r="J10">
        <v>46946.41</v>
      </c>
    </row>
    <row r="11" spans="1:64" ht="26.25" customHeight="1">
      <c r="A11" s="409" t="s">
        <v>810</v>
      </c>
      <c r="B11" s="421"/>
      <c r="C11" s="421"/>
      <c r="D11" s="421"/>
      <c r="I11" t="s">
        <v>1395</v>
      </c>
      <c r="J11">
        <v>46993.26</v>
      </c>
    </row>
    <row r="12" spans="1:64" ht="26.25" customHeight="1">
      <c r="A12" s="410" t="s">
        <v>811</v>
      </c>
      <c r="I12" t="s">
        <v>1396</v>
      </c>
      <c r="J12">
        <v>46225.15</v>
      </c>
    </row>
    <row r="13" spans="1:64" ht="26.25" customHeight="1">
      <c r="A13" s="411" t="s">
        <v>812</v>
      </c>
      <c r="I13" t="s">
        <v>1397</v>
      </c>
      <c r="J13">
        <v>46021.43</v>
      </c>
    </row>
    <row r="14" spans="1:64" ht="26.25" customHeight="1">
      <c r="A14" s="412" t="s">
        <v>813</v>
      </c>
      <c r="I14" t="s">
        <v>1482</v>
      </c>
      <c r="J14">
        <v>45577.47</v>
      </c>
    </row>
    <row r="15" spans="1:64" ht="26.25" customHeight="1">
      <c r="A15" s="413" t="s">
        <v>814</v>
      </c>
      <c r="I15" t="s">
        <v>1398</v>
      </c>
      <c r="J15">
        <v>46208.47</v>
      </c>
    </row>
    <row r="16" spans="1:64" ht="26.25" customHeight="1">
      <c r="I16" t="s">
        <v>1399</v>
      </c>
      <c r="J16">
        <v>46124.06</v>
      </c>
    </row>
    <row r="17" spans="1:10" ht="26.25" customHeight="1">
      <c r="A17" s="414" t="s">
        <v>815</v>
      </c>
      <c r="B17" s="422"/>
      <c r="C17" s="422"/>
      <c r="D17" s="422"/>
      <c r="I17" t="s">
        <v>1400</v>
      </c>
      <c r="J17">
        <v>46429.49</v>
      </c>
    </row>
    <row r="18" spans="1:10" ht="26.25" customHeight="1">
      <c r="A18" t="s">
        <v>816</v>
      </c>
      <c r="I18" t="s">
        <v>1401</v>
      </c>
      <c r="J18">
        <v>45960.11</v>
      </c>
    </row>
    <row r="19" spans="1:10" ht="26.25" customHeight="1">
      <c r="A19" t="s">
        <v>817</v>
      </c>
      <c r="I19" t="s">
        <v>1402</v>
      </c>
      <c r="J19">
        <v>45166.64</v>
      </c>
    </row>
    <row r="20" spans="1:10" ht="26.25" customHeight="1">
      <c r="A20" t="s">
        <v>818</v>
      </c>
      <c r="I20" t="s">
        <v>1403</v>
      </c>
      <c r="J20">
        <v>45216.14</v>
      </c>
    </row>
    <row r="21" spans="1:10" ht="26.25" customHeight="1">
      <c r="I21" t="s">
        <v>1404</v>
      </c>
      <c r="J21">
        <v>46341.51</v>
      </c>
    </row>
    <row r="22" spans="1:10" ht="26.25" customHeight="1">
      <c r="I22" t="s">
        <v>1405</v>
      </c>
      <c r="J22">
        <v>46565.74</v>
      </c>
    </row>
    <row r="23" spans="1:10">
      <c r="I23" t="s">
        <v>1406</v>
      </c>
      <c r="J23">
        <v>46504.67</v>
      </c>
    </row>
    <row r="24" spans="1:10">
      <c r="I24" t="s">
        <v>1407</v>
      </c>
      <c r="J24">
        <v>46669.88</v>
      </c>
    </row>
    <row r="25" spans="1:10">
      <c r="I25" t="s">
        <v>1408</v>
      </c>
      <c r="J25">
        <v>46584.46</v>
      </c>
    </row>
    <row r="26" spans="1:10">
      <c r="I26" t="s">
        <v>1409</v>
      </c>
      <c r="J26">
        <v>47909.919999999998</v>
      </c>
    </row>
    <row r="27" spans="1:10">
      <c r="I27" t="s">
        <v>1410</v>
      </c>
      <c r="J27">
        <v>48185.8</v>
      </c>
    </row>
    <row r="28" spans="1:10">
      <c r="I28" t="s">
        <v>1411</v>
      </c>
      <c r="J28">
        <v>47916.57</v>
      </c>
    </row>
    <row r="29" spans="1:10">
      <c r="I29" t="s">
        <v>1412</v>
      </c>
      <c r="J29">
        <v>48218.25</v>
      </c>
    </row>
    <row r="30" spans="1:10">
      <c r="I30" t="s">
        <v>1413</v>
      </c>
      <c r="J30">
        <v>48535.99</v>
      </c>
    </row>
    <row r="31" spans="1:10">
      <c r="I31" t="s">
        <v>1414</v>
      </c>
      <c r="J31">
        <v>48463.72</v>
      </c>
    </row>
    <row r="32" spans="1:10">
      <c r="I32" t="s">
        <v>1415</v>
      </c>
      <c r="J32">
        <v>48578.720000000001</v>
      </c>
    </row>
    <row r="33" spans="9:10">
      <c r="I33" t="s">
        <v>1416</v>
      </c>
      <c r="J33">
        <v>49447.43</v>
      </c>
    </row>
    <row r="34" spans="9:10">
      <c r="I34" t="s">
        <v>1417</v>
      </c>
      <c r="J34">
        <v>49442.559999999998</v>
      </c>
    </row>
    <row r="35" spans="9:10">
      <c r="I35" t="s">
        <v>1418</v>
      </c>
      <c r="J35">
        <v>49149.38</v>
      </c>
    </row>
    <row r="36" spans="9:10">
      <c r="I36" t="s">
        <v>1419</v>
      </c>
      <c r="J36">
        <v>49490.03</v>
      </c>
    </row>
    <row r="37" spans="9:10">
      <c r="I37" t="s">
        <v>1420</v>
      </c>
      <c r="J37">
        <v>49310.32</v>
      </c>
    </row>
    <row r="38" spans="9:10">
      <c r="I38" t="s">
        <v>1421</v>
      </c>
      <c r="J38">
        <v>49230.71</v>
      </c>
    </row>
    <row r="39" spans="9:10">
      <c r="I39" t="s">
        <v>1422</v>
      </c>
      <c r="J39">
        <v>49167.79</v>
      </c>
    </row>
    <row r="40" spans="9:10">
      <c r="I40" t="s">
        <v>1423</v>
      </c>
      <c r="J40">
        <v>49141.93</v>
      </c>
    </row>
    <row r="41" spans="9:10">
      <c r="I41" t="s">
        <v>1483</v>
      </c>
      <c r="J41">
        <v>48861.81</v>
      </c>
    </row>
    <row r="42" spans="9:10">
      <c r="I42" t="s">
        <v>1424</v>
      </c>
      <c r="J42">
        <v>49652.14</v>
      </c>
    </row>
    <row r="43" spans="9:10">
      <c r="I43" t="s">
        <v>1425</v>
      </c>
      <c r="J43">
        <v>49499.27</v>
      </c>
    </row>
    <row r="44" spans="9:10">
      <c r="I44" t="s">
        <v>1484</v>
      </c>
      <c r="J44">
        <v>48941.9</v>
      </c>
    </row>
    <row r="45" spans="9:10">
      <c r="I45" t="s">
        <v>1485</v>
      </c>
      <c r="J45">
        <v>49298.25</v>
      </c>
    </row>
    <row r="46" spans="9:10">
      <c r="I46" t="s">
        <v>1486</v>
      </c>
      <c r="J46">
        <v>49910.59</v>
      </c>
    </row>
    <row r="47" spans="9:10">
      <c r="I47" t="s">
        <v>1426</v>
      </c>
      <c r="J47">
        <v>49596.97</v>
      </c>
    </row>
    <row r="48" spans="9:10">
      <c r="I48" t="s">
        <v>1427</v>
      </c>
      <c r="J48">
        <v>49609.16</v>
      </c>
    </row>
    <row r="49" spans="9:10">
      <c r="I49" t="s">
        <v>1428</v>
      </c>
      <c r="J49">
        <v>49704.47</v>
      </c>
    </row>
    <row r="50" spans="9:10">
      <c r="I50" t="s">
        <v>1429</v>
      </c>
      <c r="J50">
        <v>49760.56</v>
      </c>
    </row>
    <row r="51" spans="9:10">
      <c r="I51" t="s">
        <v>1430</v>
      </c>
      <c r="J51">
        <v>49693.2</v>
      </c>
    </row>
    <row r="52" spans="9:10">
      <c r="I52" t="s">
        <v>1431</v>
      </c>
      <c r="J52">
        <v>50063.46</v>
      </c>
    </row>
    <row r="53" spans="9:10">
      <c r="I53" t="s">
        <v>1432</v>
      </c>
      <c r="J53">
        <v>49526.17</v>
      </c>
    </row>
    <row r="54" spans="9:10">
      <c r="I54" t="s">
        <v>1433</v>
      </c>
      <c r="J54">
        <v>49686.12</v>
      </c>
    </row>
    <row r="55" spans="9:10">
      <c r="I55" t="s">
        <v>1434</v>
      </c>
      <c r="J55">
        <v>49363.88</v>
      </c>
    </row>
    <row r="56" spans="9:10">
      <c r="I56" t="s">
        <v>1435</v>
      </c>
      <c r="J56">
        <v>50009.35</v>
      </c>
    </row>
    <row r="57" spans="9:10">
      <c r="I57" t="s">
        <v>1436</v>
      </c>
      <c r="J57">
        <v>50285.66</v>
      </c>
    </row>
    <row r="58" spans="9:10">
      <c r="I58" t="s">
        <v>1437</v>
      </c>
      <c r="J58">
        <v>50579.7</v>
      </c>
    </row>
    <row r="59" spans="9:10">
      <c r="I59" t="s">
        <v>1438</v>
      </c>
      <c r="J59">
        <v>50461.68</v>
      </c>
    </row>
    <row r="60" spans="9:10">
      <c r="I60" t="s">
        <v>1439</v>
      </c>
      <c r="J60">
        <v>50644.28</v>
      </c>
    </row>
    <row r="61" spans="9:10">
      <c r="I61" t="s">
        <v>1440</v>
      </c>
      <c r="J61">
        <v>50668.97</v>
      </c>
    </row>
    <row r="62" spans="9:10">
      <c r="I62" t="s">
        <v>1441</v>
      </c>
      <c r="J62">
        <v>51032.46</v>
      </c>
    </row>
    <row r="63" spans="9:10">
      <c r="I63" t="s">
        <v>1442</v>
      </c>
      <c r="J63">
        <v>51078.879999999997</v>
      </c>
    </row>
    <row r="64" spans="9:10">
      <c r="I64" t="s">
        <v>1443</v>
      </c>
      <c r="J64">
        <v>51307.79</v>
      </c>
    </row>
    <row r="65" spans="9:10">
      <c r="I65" t="s">
        <v>1444</v>
      </c>
      <c r="J65">
        <v>50687.07</v>
      </c>
    </row>
    <row r="66" spans="9:10">
      <c r="I66" t="s">
        <v>1445</v>
      </c>
      <c r="J66">
        <v>51561.93</v>
      </c>
    </row>
    <row r="67" spans="9:10">
      <c r="I67" t="s">
        <v>1446</v>
      </c>
      <c r="J67">
        <v>50866.78</v>
      </c>
    </row>
    <row r="68" spans="9:10">
      <c r="I68" t="s">
        <v>1447</v>
      </c>
      <c r="J68">
        <v>50786.01</v>
      </c>
    </row>
    <row r="69" spans="9:10">
      <c r="I69" t="s">
        <v>1448</v>
      </c>
      <c r="J69">
        <v>50872.11</v>
      </c>
    </row>
    <row r="70" spans="9:10">
      <c r="I70" t="s">
        <v>1449</v>
      </c>
      <c r="J70">
        <v>49918.78</v>
      </c>
    </row>
    <row r="71" spans="9:10">
      <c r="I71" t="s">
        <v>1450</v>
      </c>
      <c r="J71">
        <v>50848.75</v>
      </c>
    </row>
    <row r="72" spans="9:10">
      <c r="I72" t="s">
        <v>1451</v>
      </c>
      <c r="J72">
        <v>51202.26</v>
      </c>
    </row>
    <row r="73" spans="9:10">
      <c r="I73" s="423" t="s">
        <v>1452</v>
      </c>
      <c r="J73" s="423">
        <v>51671.03</v>
      </c>
    </row>
    <row r="74" spans="9:10">
      <c r="I74" s="423" t="s">
        <v>1453</v>
      </c>
      <c r="J74" s="423">
        <v>51999.67</v>
      </c>
    </row>
    <row r="75" spans="9:10">
      <c r="I75" s="423" t="s">
        <v>1454</v>
      </c>
      <c r="J75" s="423">
        <v>51492.55</v>
      </c>
    </row>
    <row r="76" spans="9:10">
      <c r="I76" s="423" t="s">
        <v>1455</v>
      </c>
      <c r="J76" s="423">
        <v>51564.7</v>
      </c>
    </row>
    <row r="77" spans="9:10">
      <c r="I77" s="423" t="s">
        <v>1456</v>
      </c>
      <c r="J77" s="423">
        <v>51712.71</v>
      </c>
    </row>
    <row r="78" spans="9:10">
      <c r="I78" s="423" t="s">
        <v>1457</v>
      </c>
      <c r="J78" s="423">
        <v>51666.84</v>
      </c>
    </row>
    <row r="79" spans="9:10">
      <c r="I79" s="423" t="s">
        <v>1458</v>
      </c>
      <c r="J79" s="423">
        <v>51848.9</v>
      </c>
    </row>
    <row r="80" spans="9:10">
      <c r="I80" s="423" t="s">
        <v>1459</v>
      </c>
      <c r="J80" s="423">
        <v>51920.62</v>
      </c>
    </row>
    <row r="81" spans="9:10">
      <c r="I81" s="423" t="s">
        <v>1460</v>
      </c>
      <c r="J81" s="423">
        <v>51876.11</v>
      </c>
    </row>
    <row r="82" spans="9:10">
      <c r="I82" s="423" t="s">
        <v>1461</v>
      </c>
      <c r="J82" s="423">
        <v>52182.74</v>
      </c>
    </row>
    <row r="83" spans="9:10">
      <c r="I83" s="423" t="s">
        <v>1462</v>
      </c>
      <c r="J83" s="423">
        <v>52319.199999999997</v>
      </c>
    </row>
    <row r="84" spans="9:10">
      <c r="I84" t="s">
        <v>1463</v>
      </c>
      <c r="J84">
        <v>52305.24</v>
      </c>
    </row>
    <row r="85" spans="9:10">
      <c r="I85" s="423" t="s">
        <v>1464</v>
      </c>
      <c r="J85" s="423">
        <v>52900.07</v>
      </c>
    </row>
    <row r="86" spans="9:10">
      <c r="I86" s="423" t="s">
        <v>1465</v>
      </c>
      <c r="J86" s="423">
        <v>53055.91</v>
      </c>
    </row>
    <row r="87" spans="9:10">
      <c r="I87" s="423" t="s">
        <v>1466</v>
      </c>
      <c r="J87" s="423">
        <v>52925.15</v>
      </c>
    </row>
    <row r="88" spans="9:10">
      <c r="I88" s="423" t="s">
        <v>1467</v>
      </c>
      <c r="J88" s="423">
        <v>52348.39</v>
      </c>
    </row>
    <row r="89" spans="9:10">
      <c r="I89" s="423" t="s">
        <v>1468</v>
      </c>
      <c r="J89" s="423">
        <v>52487.41</v>
      </c>
    </row>
    <row r="90" spans="9:10">
      <c r="I90" s="423" t="s">
        <v>1469</v>
      </c>
      <c r="J90" s="423">
        <v>52637.01</v>
      </c>
    </row>
    <row r="91" spans="9:10">
      <c r="I91" s="423" t="s">
        <v>1470</v>
      </c>
      <c r="J91" s="423">
        <v>52498.64</v>
      </c>
    </row>
    <row r="92" spans="9:10">
      <c r="I92" s="423" t="s">
        <v>1471</v>
      </c>
      <c r="J92" s="423">
        <v>52508.27</v>
      </c>
    </row>
    <row r="93" spans="9:10">
      <c r="I93" s="423" t="s">
        <v>1472</v>
      </c>
      <c r="J93" s="423">
        <v>52658.64</v>
      </c>
    </row>
    <row r="94" spans="9:10">
      <c r="I94" s="423" t="s">
        <v>1473</v>
      </c>
      <c r="J94" s="423">
        <v>52552.97</v>
      </c>
    </row>
    <row r="95" spans="9:10">
      <c r="I95" s="423" t="s">
        <v>1474</v>
      </c>
      <c r="J95" s="423">
        <v>52146.42</v>
      </c>
    </row>
    <row r="96" spans="9:10">
      <c r="I96" s="423" t="s">
        <v>1487</v>
      </c>
      <c r="J96" s="423">
        <v>51839.26</v>
      </c>
    </row>
    <row r="97" spans="9:10">
      <c r="I97" s="423" t="s">
        <v>1475</v>
      </c>
      <c r="J97" s="423">
        <v>52224.639999999999</v>
      </c>
    </row>
    <row r="98" spans="9:10">
      <c r="I98" s="423" t="s">
        <v>1476</v>
      </c>
      <c r="J98" s="423">
        <v>52218.58</v>
      </c>
    </row>
    <row r="99" spans="9:10">
      <c r="I99" s="423" t="s">
        <v>1477</v>
      </c>
      <c r="J99" s="423">
        <v>51711.65</v>
      </c>
    </row>
    <row r="100" spans="9:10">
      <c r="I100" t="s">
        <v>1478</v>
      </c>
      <c r="J100">
        <v>51947.25</v>
      </c>
    </row>
    <row r="101" spans="9:10">
      <c r="I101" s="423" t="s">
        <v>1479</v>
      </c>
      <c r="J101" s="423">
        <v>52210.080000000002</v>
      </c>
    </row>
    <row r="102" spans="9:10">
      <c r="I102" s="423" t="s">
        <v>1480</v>
      </c>
      <c r="J102" s="423">
        <v>52747.32</v>
      </c>
    </row>
    <row r="103" spans="9:10">
      <c r="I103" s="423" t="s">
        <v>1481</v>
      </c>
      <c r="J103" s="423">
        <v>51594.14</v>
      </c>
    </row>
    <row r="104" spans="9:10">
      <c r="I104" s="423" t="s">
        <v>1489</v>
      </c>
      <c r="J104" s="423">
        <v>52208.06</v>
      </c>
    </row>
    <row r="105" spans="9:10">
      <c r="I105" s="423" t="s">
        <v>1491</v>
      </c>
      <c r="J105" s="423">
        <v>52485.03</v>
      </c>
    </row>
    <row r="106" spans="9:10">
      <c r="I106" s="423" t="s">
        <v>875</v>
      </c>
      <c r="J106" s="423" t="s">
        <v>875</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90" t="s">
        <v>1042</v>
      </c>
      <c r="C1" s="787"/>
      <c r="D1" s="787"/>
      <c r="E1" s="787"/>
      <c r="F1" s="787"/>
      <c r="G1" s="787"/>
    </row>
    <row r="2" spans="2:7" ht="34.799999999999997" customHeight="1">
      <c r="B2" s="786" t="s">
        <v>1043</v>
      </c>
      <c r="C2" s="787"/>
      <c r="D2" s="787"/>
      <c r="E2" s="787"/>
      <c r="F2" s="787"/>
      <c r="G2" s="787"/>
    </row>
    <row r="3" spans="2:7" ht="34.799999999999997" customHeight="1">
      <c r="B3" s="786" t="s">
        <v>1044</v>
      </c>
      <c r="C3" s="787"/>
      <c r="D3" s="787"/>
      <c r="E3" s="787"/>
      <c r="F3" s="787"/>
      <c r="G3" s="787"/>
    </row>
    <row r="5" spans="2:7" ht="34.799999999999997" customHeight="1">
      <c r="B5" s="788" t="s">
        <v>1045</v>
      </c>
      <c r="C5" s="787"/>
      <c r="D5" s="787"/>
      <c r="E5" s="787"/>
      <c r="F5" s="787"/>
      <c r="G5" s="787"/>
    </row>
    <row r="6" spans="2:7" ht="34.799999999999997" customHeight="1">
      <c r="B6" s="789" t="s">
        <v>1046</v>
      </c>
      <c r="C6" s="787"/>
      <c r="D6" s="787"/>
      <c r="E6" s="787"/>
      <c r="F6" s="787"/>
      <c r="G6" s="787"/>
    </row>
    <row r="7" spans="2:7" ht="34.799999999999997" customHeight="1">
      <c r="B7" s="789" t="s">
        <v>1047</v>
      </c>
      <c r="C7" s="787"/>
      <c r="D7" s="787"/>
      <c r="E7" s="787"/>
      <c r="F7" s="787"/>
      <c r="G7" s="787"/>
    </row>
    <row r="8" spans="2:7" ht="34.799999999999997" customHeight="1">
      <c r="B8" s="789" t="s">
        <v>1048</v>
      </c>
      <c r="C8" s="787"/>
      <c r="D8" s="787"/>
      <c r="E8" s="787"/>
      <c r="F8" s="787"/>
      <c r="G8" s="787"/>
    </row>
    <row r="9" spans="2:7" ht="34.799999999999997" customHeight="1">
      <c r="B9" s="789" t="s">
        <v>1049</v>
      </c>
      <c r="C9" s="787"/>
      <c r="D9" s="787"/>
      <c r="E9" s="787"/>
      <c r="F9" s="787"/>
      <c r="G9" s="787"/>
    </row>
    <row r="10" spans="2:7" ht="34.799999999999997" customHeight="1">
      <c r="B10" s="789" t="s">
        <v>1050</v>
      </c>
      <c r="C10" s="787"/>
      <c r="D10" s="787"/>
      <c r="E10" s="787"/>
      <c r="F10" s="787"/>
      <c r="G10" s="787"/>
    </row>
    <row r="11" spans="2:7" ht="34.799999999999997" customHeight="1">
      <c r="B11" s="789" t="s">
        <v>1051</v>
      </c>
      <c r="C11" s="787"/>
      <c r="D11" s="787"/>
      <c r="E11" s="787"/>
      <c r="F11" s="787"/>
      <c r="G11" s="787"/>
    </row>
    <row r="13" spans="2:7" ht="34.799999999999997" customHeight="1">
      <c r="B13" s="788" t="s">
        <v>1052</v>
      </c>
      <c r="C13" s="787"/>
      <c r="D13" s="787"/>
      <c r="E13" s="787"/>
      <c r="F13" s="787"/>
      <c r="G13" s="787"/>
    </row>
    <row r="14" spans="2:7" ht="34.799999999999997" customHeight="1">
      <c r="B14" s="511" t="s">
        <v>1053</v>
      </c>
      <c r="C14" s="511" t="s">
        <v>1054</v>
      </c>
      <c r="D14" s="511" t="s">
        <v>1055</v>
      </c>
      <c r="E14" s="511" t="s">
        <v>1056</v>
      </c>
      <c r="F14" s="511" t="s">
        <v>1057</v>
      </c>
      <c r="G14" s="511" t="s">
        <v>1058</v>
      </c>
    </row>
    <row r="15" spans="2:7" ht="34.799999999999997" customHeight="1">
      <c r="B15" s="514" t="s">
        <v>1059</v>
      </c>
      <c r="C15" s="514" t="s">
        <v>1060</v>
      </c>
      <c r="D15" s="514" t="s">
        <v>1061</v>
      </c>
      <c r="E15" s="514" t="s">
        <v>1062</v>
      </c>
      <c r="F15" s="514" t="s">
        <v>1063</v>
      </c>
      <c r="G15" s="514" t="s">
        <v>1064</v>
      </c>
    </row>
    <row r="16" spans="2:7" ht="34.799999999999997" customHeight="1">
      <c r="B16" s="514" t="s">
        <v>1065</v>
      </c>
      <c r="C16" s="514" t="s">
        <v>1066</v>
      </c>
      <c r="D16" s="514" t="s">
        <v>1067</v>
      </c>
      <c r="E16" s="514" t="s">
        <v>1068</v>
      </c>
      <c r="F16" s="514" t="s">
        <v>1069</v>
      </c>
      <c r="G16" s="514" t="s">
        <v>1070</v>
      </c>
    </row>
    <row r="17" spans="2:7" ht="34.799999999999997" customHeight="1">
      <c r="B17" s="514" t="s">
        <v>1071</v>
      </c>
      <c r="C17" s="514" t="s">
        <v>1072</v>
      </c>
      <c r="D17" s="514" t="s">
        <v>1073</v>
      </c>
      <c r="E17" s="514" t="s">
        <v>1074</v>
      </c>
      <c r="F17" s="514" t="s">
        <v>1075</v>
      </c>
      <c r="G17" s="514" t="s">
        <v>1076</v>
      </c>
    </row>
    <row r="18" spans="2:7" ht="34.799999999999997" customHeight="1">
      <c r="B18" s="514" t="s">
        <v>1077</v>
      </c>
      <c r="C18" s="514" t="s">
        <v>1078</v>
      </c>
      <c r="D18" s="514" t="s">
        <v>1079</v>
      </c>
      <c r="E18" s="514" t="s">
        <v>1080</v>
      </c>
      <c r="F18" s="514" t="s">
        <v>1075</v>
      </c>
      <c r="G18" s="514" t="s">
        <v>1081</v>
      </c>
    </row>
    <row r="19" spans="2:7" ht="34.799999999999997" customHeight="1">
      <c r="B19" s="514" t="s">
        <v>1082</v>
      </c>
      <c r="C19" s="514" t="s">
        <v>1083</v>
      </c>
      <c r="D19" s="514" t="s">
        <v>1084</v>
      </c>
      <c r="E19" s="514" t="s">
        <v>1085</v>
      </c>
      <c r="F19" s="514" t="s">
        <v>1086</v>
      </c>
      <c r="G19" s="514" t="s">
        <v>1087</v>
      </c>
    </row>
    <row r="21" spans="2:7" ht="34.799999999999997" customHeight="1">
      <c r="B21" s="786" t="s">
        <v>1088</v>
      </c>
      <c r="C21" s="787"/>
      <c r="D21" s="787"/>
      <c r="E21" s="787"/>
      <c r="F21" s="787"/>
      <c r="G21" s="787"/>
    </row>
    <row r="22" spans="2:7" ht="34.799999999999997" customHeight="1">
      <c r="B22" s="786" t="s">
        <v>1089</v>
      </c>
      <c r="C22" s="787"/>
      <c r="D22" s="787"/>
      <c r="E22" s="787"/>
      <c r="F22" s="787"/>
      <c r="G22" s="787"/>
    </row>
    <row r="23" spans="2:7" ht="34.799999999999997" customHeight="1">
      <c r="B23" s="786" t="s">
        <v>1090</v>
      </c>
      <c r="C23" s="787"/>
      <c r="D23" s="787"/>
      <c r="E23" s="787"/>
      <c r="F23" s="787"/>
      <c r="G23" s="787"/>
    </row>
    <row r="24" spans="2:7" ht="34.799999999999997" customHeight="1">
      <c r="B24" s="786" t="s">
        <v>1091</v>
      </c>
      <c r="C24" s="787"/>
      <c r="D24" s="787"/>
      <c r="E24" s="787"/>
      <c r="F24" s="787"/>
      <c r="G24" s="787"/>
    </row>
    <row r="25" spans="2:7" ht="34.799999999999997" customHeight="1">
      <c r="B25" s="786" t="s">
        <v>1092</v>
      </c>
      <c r="C25" s="787"/>
      <c r="D25" s="787"/>
      <c r="E25" s="787"/>
      <c r="F25" s="787"/>
      <c r="G25" s="787"/>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topLeftCell="A7" workbookViewId="0">
      <selection sqref="A1:C1"/>
    </sheetView>
  </sheetViews>
  <sheetFormatPr defaultRowHeight="13.2"/>
  <cols>
    <col min="1" max="1" width="26" customWidth="1"/>
    <col min="2" max="2" width="10" customWidth="1"/>
    <col min="3" max="3" width="52" customWidth="1"/>
  </cols>
  <sheetData>
    <row r="1" spans="1:3" ht="16.2">
      <c r="A1" s="791" t="s">
        <v>1093</v>
      </c>
      <c r="B1" s="755"/>
      <c r="C1" s="755"/>
    </row>
    <row r="3" spans="1:3">
      <c r="A3" s="496" t="s">
        <v>598</v>
      </c>
      <c r="B3" s="496" t="s">
        <v>1094</v>
      </c>
      <c r="C3" s="496" t="s">
        <v>600</v>
      </c>
    </row>
    <row r="4" spans="1:3">
      <c r="A4" s="510" t="s">
        <v>1095</v>
      </c>
      <c r="B4" s="497">
        <v>2</v>
      </c>
      <c r="C4" s="499" t="s">
        <v>1096</v>
      </c>
    </row>
    <row r="5" spans="1:3">
      <c r="A5" s="510" t="s">
        <v>1097</v>
      </c>
      <c r="B5" s="497">
        <v>1</v>
      </c>
      <c r="C5" s="499" t="s">
        <v>1098</v>
      </c>
    </row>
    <row r="6" spans="1:3">
      <c r="A6" s="510" t="s">
        <v>1099</v>
      </c>
      <c r="B6" s="500">
        <v>20</v>
      </c>
      <c r="C6" s="499" t="s">
        <v>1100</v>
      </c>
    </row>
    <row r="7" spans="1:3">
      <c r="A7" s="510" t="s">
        <v>1101</v>
      </c>
      <c r="B7" s="497">
        <v>1.1000000000000001</v>
      </c>
      <c r="C7" s="499" t="s">
        <v>1102</v>
      </c>
    </row>
    <row r="8" spans="1:3">
      <c r="A8" s="510" t="s">
        <v>1103</v>
      </c>
      <c r="B8" s="500">
        <v>40</v>
      </c>
      <c r="C8" s="499" t="s">
        <v>1104</v>
      </c>
    </row>
    <row r="9" spans="1:3">
      <c r="A9" s="510" t="s">
        <v>1105</v>
      </c>
      <c r="B9" s="500">
        <v>14</v>
      </c>
      <c r="C9" s="499" t="s">
        <v>1106</v>
      </c>
    </row>
    <row r="10" spans="1:3">
      <c r="A10" s="510" t="s">
        <v>1107</v>
      </c>
      <c r="B10" s="497">
        <v>80</v>
      </c>
      <c r="C10" s="499" t="s">
        <v>1108</v>
      </c>
    </row>
    <row r="11" spans="1:3" ht="24">
      <c r="A11" s="510" t="s">
        <v>1109</v>
      </c>
      <c r="B11" s="500">
        <v>10</v>
      </c>
      <c r="C11" s="499" t="s">
        <v>1110</v>
      </c>
    </row>
    <row r="12" spans="1:3">
      <c r="A12" s="510" t="s">
        <v>1111</v>
      </c>
      <c r="B12" s="497">
        <v>0.05</v>
      </c>
      <c r="C12" s="499" t="s">
        <v>1112</v>
      </c>
    </row>
    <row r="13" spans="1:3">
      <c r="A13" s="510" t="s">
        <v>1113</v>
      </c>
      <c r="B13" s="497">
        <v>0.03</v>
      </c>
      <c r="C13" s="499" t="s">
        <v>1114</v>
      </c>
    </row>
    <row r="15" spans="1:3">
      <c r="A15" s="792" t="s">
        <v>1115</v>
      </c>
      <c r="B15" s="755"/>
      <c r="C15" s="755"/>
    </row>
    <row r="16" spans="1:3" ht="24">
      <c r="A16" s="509" t="s">
        <v>1116</v>
      </c>
      <c r="B16" s="500" t="s">
        <v>588</v>
      </c>
      <c r="C16" s="499" t="s">
        <v>1215</v>
      </c>
    </row>
    <row r="17" spans="1:3">
      <c r="A17" s="509" t="s">
        <v>1117</v>
      </c>
      <c r="B17" s="500" t="s">
        <v>588</v>
      </c>
      <c r="C17" s="499" t="s">
        <v>1118</v>
      </c>
    </row>
    <row r="18" spans="1:3">
      <c r="A18" s="509" t="s">
        <v>1119</v>
      </c>
      <c r="B18" s="500" t="s">
        <v>588</v>
      </c>
      <c r="C18" s="499" t="s">
        <v>1216</v>
      </c>
    </row>
    <row r="19" spans="1:3" ht="24">
      <c r="A19" s="509" t="s">
        <v>1120</v>
      </c>
      <c r="B19" s="500" t="s">
        <v>588</v>
      </c>
      <c r="C19" s="499" t="s">
        <v>1121</v>
      </c>
    </row>
    <row r="20" spans="1:3">
      <c r="A20" s="509" t="s">
        <v>1122</v>
      </c>
      <c r="B20" s="500" t="s">
        <v>588</v>
      </c>
      <c r="C20" s="499" t="s">
        <v>1123</v>
      </c>
    </row>
    <row r="21" spans="1:3">
      <c r="A21" s="509" t="s">
        <v>1124</v>
      </c>
      <c r="B21" s="500" t="s">
        <v>588</v>
      </c>
      <c r="C21" s="499" t="s">
        <v>1125</v>
      </c>
    </row>
    <row r="22" spans="1:3">
      <c r="A22" s="509" t="s">
        <v>1126</v>
      </c>
      <c r="B22" s="500" t="s">
        <v>588</v>
      </c>
      <c r="C22" s="499" t="s">
        <v>1127</v>
      </c>
    </row>
    <row r="23" spans="1:3">
      <c r="A23" s="509" t="s">
        <v>1128</v>
      </c>
      <c r="B23" s="500" t="s">
        <v>588</v>
      </c>
      <c r="C23" s="499" t="s">
        <v>1129</v>
      </c>
    </row>
    <row r="24" spans="1:3">
      <c r="A24" s="522" t="s">
        <v>1214</v>
      </c>
      <c r="B24" s="523" t="s">
        <v>588</v>
      </c>
      <c r="C24" s="524" t="s">
        <v>1217</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91" t="s">
        <v>1130</v>
      </c>
      <c r="B1" s="755"/>
      <c r="C1" s="755"/>
      <c r="D1" s="755"/>
      <c r="E1" s="755"/>
      <c r="F1" s="755"/>
      <c r="G1" s="755"/>
      <c r="H1" s="755"/>
      <c r="I1" s="755"/>
      <c r="J1" s="755"/>
      <c r="K1" s="755"/>
      <c r="L1" s="755"/>
      <c r="M1" s="755"/>
      <c r="N1" s="755"/>
      <c r="O1" s="755"/>
      <c r="P1" s="755"/>
      <c r="Q1" s="755"/>
      <c r="R1" s="755"/>
      <c r="S1" s="755"/>
      <c r="T1" s="755"/>
      <c r="U1" s="755"/>
      <c r="V1" s="755"/>
      <c r="W1" s="755"/>
      <c r="X1" s="755"/>
      <c r="Y1" s="755"/>
      <c r="Z1" s="755"/>
      <c r="AA1" s="755"/>
      <c r="AB1" s="755"/>
      <c r="AC1" s="755"/>
      <c r="AD1" s="755"/>
    </row>
    <row r="2" spans="1:31">
      <c r="A2" s="793" t="s">
        <v>1131</v>
      </c>
      <c r="B2" s="755"/>
      <c r="C2" s="755"/>
      <c r="D2" s="755"/>
      <c r="E2" s="755"/>
      <c r="F2" s="755"/>
      <c r="G2" s="755"/>
      <c r="H2" s="755"/>
      <c r="I2" s="755"/>
      <c r="J2" s="755"/>
      <c r="K2" s="755"/>
      <c r="L2" s="755"/>
      <c r="M2" s="755"/>
      <c r="N2" s="755"/>
      <c r="O2" s="755"/>
      <c r="P2" s="755"/>
      <c r="Q2" s="755"/>
      <c r="R2" s="755"/>
      <c r="S2" s="755"/>
      <c r="T2" s="755"/>
      <c r="U2" s="755"/>
      <c r="V2" s="755"/>
      <c r="W2" s="755"/>
      <c r="X2" s="755"/>
      <c r="Y2" s="755"/>
      <c r="Z2" s="755"/>
      <c r="AA2" s="755"/>
      <c r="AB2" s="755"/>
      <c r="AC2" s="755"/>
      <c r="AD2" s="755"/>
    </row>
    <row r="3" spans="1:31">
      <c r="A3" s="793" t="s">
        <v>1132</v>
      </c>
      <c r="B3" s="755"/>
      <c r="C3" s="755"/>
      <c r="D3" s="755"/>
      <c r="E3" s="755"/>
      <c r="F3" s="755"/>
      <c r="G3" s="755"/>
      <c r="H3" s="755"/>
      <c r="I3" s="755"/>
      <c r="J3" s="755"/>
      <c r="K3" s="755"/>
      <c r="L3" s="755"/>
      <c r="M3" s="755"/>
      <c r="N3" s="755"/>
      <c r="O3" s="755"/>
      <c r="P3" s="755"/>
      <c r="Q3" s="755"/>
      <c r="R3" s="755"/>
      <c r="S3" s="755"/>
      <c r="T3" s="755"/>
      <c r="U3" s="755"/>
      <c r="V3" s="755"/>
      <c r="W3" s="755"/>
      <c r="X3" s="755"/>
      <c r="Y3" s="755"/>
      <c r="Z3" s="755"/>
      <c r="AA3" s="755"/>
      <c r="AB3" s="755"/>
      <c r="AC3" s="755"/>
      <c r="AD3" s="755"/>
    </row>
    <row r="5" spans="1:31" ht="36">
      <c r="A5" s="496" t="s">
        <v>1133</v>
      </c>
      <c r="B5" s="496" t="s">
        <v>1</v>
      </c>
      <c r="C5" s="496" t="s">
        <v>610</v>
      </c>
      <c r="D5" s="496" t="s">
        <v>525</v>
      </c>
      <c r="E5" s="496" t="s">
        <v>1134</v>
      </c>
      <c r="F5" s="496" t="s">
        <v>1135</v>
      </c>
      <c r="G5" s="496" t="s">
        <v>1136</v>
      </c>
      <c r="H5" s="496" t="s">
        <v>1137</v>
      </c>
      <c r="I5" s="496" t="s">
        <v>1138</v>
      </c>
      <c r="J5" s="496" t="s">
        <v>1139</v>
      </c>
      <c r="K5" s="496" t="s">
        <v>1140</v>
      </c>
      <c r="L5" s="496" t="s">
        <v>1141</v>
      </c>
      <c r="M5" s="496" t="s">
        <v>1142</v>
      </c>
      <c r="N5" s="496" t="s">
        <v>1143</v>
      </c>
      <c r="O5" s="496" t="s">
        <v>1144</v>
      </c>
      <c r="P5" s="496" t="s">
        <v>1145</v>
      </c>
      <c r="Q5" s="496" t="s">
        <v>1146</v>
      </c>
      <c r="R5" s="496" t="s">
        <v>1147</v>
      </c>
      <c r="S5" s="496" t="s">
        <v>1148</v>
      </c>
      <c r="T5" s="496" t="s">
        <v>1149</v>
      </c>
      <c r="U5" s="496" t="s">
        <v>1150</v>
      </c>
      <c r="V5" s="496" t="s">
        <v>1151</v>
      </c>
      <c r="W5" s="496" t="s">
        <v>1152</v>
      </c>
      <c r="X5" s="496" t="s">
        <v>537</v>
      </c>
      <c r="Y5" s="496" t="s">
        <v>1153</v>
      </c>
      <c r="Z5" s="496" t="s">
        <v>1154</v>
      </c>
      <c r="AA5" s="496" t="s">
        <v>1155</v>
      </c>
      <c r="AB5" s="496" t="s">
        <v>1156</v>
      </c>
      <c r="AC5" s="496" t="s">
        <v>1157</v>
      </c>
      <c r="AD5" s="496" t="s">
        <v>1158</v>
      </c>
      <c r="AE5" s="496" t="s">
        <v>1159</v>
      </c>
    </row>
    <row r="6" spans="1:31">
      <c r="A6" s="500" t="str">
        <f>IF(終値!A6="","",HYPERLINK("https://kabutan.jp/stock/?code="&amp;終値!A6,"📈"))</f>
        <v>📈</v>
      </c>
      <c r="B6" s="500" t="str">
        <f>IF(終値!A6="","",終値!A6)</f>
        <v>5706</v>
      </c>
      <c r="C6" s="499" t="str">
        <f>IF(終値!A6="","",終値!B6)</f>
        <v>三井金属</v>
      </c>
      <c r="D6" s="501">
        <f>IF(終値!A6="","",終値!E6)</f>
        <v>31970</v>
      </c>
      <c r="E6" s="501">
        <f>IF($D6="","",AVERAGE(終値!E6:X6))</f>
        <v>32185</v>
      </c>
      <c r="F6" s="502">
        <f>IF($D6="","",STDEVP(終値!E6:X6))</f>
        <v>2848.9976307466454</v>
      </c>
      <c r="G6" s="501">
        <f>IF($D6="","",$E6+BB設定!$B$4*$F6)</f>
        <v>37882.995261493292</v>
      </c>
      <c r="H6" s="501">
        <f>IF($D6="","",$E6+BB設定!$B$5*$F6)</f>
        <v>35033.997630746642</v>
      </c>
      <c r="I6" s="501">
        <f>IF($D6="","",$E6-BB設定!$B$5*$F6)</f>
        <v>29336.002369253354</v>
      </c>
      <c r="J6" s="501">
        <f>IF($D6="","",$E6-BB設定!$B$4*$F6)</f>
        <v>26487.004738506708</v>
      </c>
      <c r="K6" s="506">
        <f t="shared" ref="K6:K69" si="0">IF($D6="","",IFERROR(($D6-$J6)/($G6-$J6),""))</f>
        <v>0.48113371544436367</v>
      </c>
      <c r="L6" s="505">
        <f t="shared" ref="L6:L69" si="1">IF($D6="","",IFERROR(($G6-$J6)/$E6*100,""))</f>
        <v>35.407769218538398</v>
      </c>
      <c r="M6" s="505">
        <f>IF($D6="","",IFERROR(MIN(BB_帯幅!B6:AP6)*100,""))</f>
        <v>27.331218175934168</v>
      </c>
      <c r="N6" s="500" t="str">
        <f>IF($L6="","",IF($L6&lt;=$M6*BB設定!$B$7,"スクイーズ★",IF($L6&lt;=$M6*1.3,"収縮","－")))</f>
        <v>収縮</v>
      </c>
      <c r="O6" s="500" t="str">
        <f>IF($D6="","",IF(AND(BB_帯幅!B6&gt;BB_帯幅!C6,BB_帯幅!C6&gt;BB_帯幅!D6),"拡大↑","縮小↓"))</f>
        <v>縮小↓</v>
      </c>
      <c r="P6" s="500" t="str">
        <f t="shared" ref="P6:P69" si="2">IF($D6="","",IF($D6&gt;$G6,"↑+2σ突破",IF($D6&lt;$J6,"↓-2σ割れ",IF($D6&gt;$H6,"+1σ上",IF($D6&lt;$I6,"-1σ下","バンド内")))))</f>
        <v>バンド内</v>
      </c>
      <c r="Q6" s="503">
        <f>IF($D6="","",IFERROR(100-100/(1+SUMPRODUCT((終値!E6:R6&gt;終値!F6:S6)*(終値!E6:R6-終値!F6:S6))/SUMPRODUCT((終値!E6:R6&lt;終値!F6:S6)*(終値!F6:S6-終値!E6:R6))),100))</f>
        <v>45.049342105263158</v>
      </c>
      <c r="R6" s="503">
        <f>IF($D6="","",IFERROR(100-100/(1+SUMPRODUCT((((高値!E6:R6+安値!E6:R6+終値!E6:R6)/3)&gt;((高値!F6:S6+安値!F6:S6+終値!F6:S6)/3))*((高値!E6:R6+安値!E6:R6+終値!E6:R6)/3)*出来高!E6:R6)/SUMPRODUCT((((高値!E6:R6+安値!E6:R6+終値!E6:R6)/3)&lt;((高値!F6:S6+安値!F6:S6+終値!F6:S6)/3))*((高値!E6:R6+安値!E6:R6+終値!E6:R6)/3)*出来高!E6:R6)),50))</f>
        <v>56.16537850560659</v>
      </c>
      <c r="S6" s="500"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強気div▲</v>
      </c>
      <c r="T6" s="500" t="str">
        <f t="shared" ref="T6:T69" si="3">IF($D6="","",IF($D6&gt;=$H6,"上walk▲",IF($D6&lt;=$I6,"下walk▼","－")))</f>
        <v>－</v>
      </c>
      <c r="U6" s="500" t="str">
        <f>IF(終値!A6="","",BB_スイング!BT6)</f>
        <v>－</v>
      </c>
      <c r="V6" s="508">
        <f>IF($D6="","",IFERROR(出来高!E6/AVERAGE(出来高!E6:I6),""))</f>
        <v>0.97157508949372129</v>
      </c>
      <c r="W6" s="509"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○反発(ダイバ)買</v>
      </c>
      <c r="X6" s="504">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25</v>
      </c>
      <c r="Y6" s="501">
        <f t="shared" ref="Y6:Y69" si="4">IF($D6="","",$D6)</f>
        <v>31970</v>
      </c>
      <c r="Z6" s="501">
        <f t="shared" ref="Z6:Z69" si="5">IF($D6="","",$H6)</f>
        <v>35033.997630746642</v>
      </c>
      <c r="AA6" s="501">
        <f t="shared" ref="AA6:AA69" si="6">IF($D6="","",IF($D6&gt;$E6,$E6,$AD6))</f>
        <v>30890</v>
      </c>
      <c r="AB6" s="501">
        <f>IF($D6="","",IF($D6&gt;$G6,$E6+3*$F6,$G6))</f>
        <v>37882.995261493292</v>
      </c>
      <c r="AC6" s="507">
        <f t="shared" ref="AC6:AC69" si="7">IF($D6="","",IF(($Y6-$AA6)&lt;=0,"－",IFERROR(ROUND(MIN(20,($AB6-$Y6)/($Y6-$AA6)),2),"－")))</f>
        <v>5.47</v>
      </c>
      <c r="AD6" s="501">
        <f>IF($D6="","",MIN(終値!E6:I6))</f>
        <v>30890</v>
      </c>
      <c r="AE6" s="503">
        <f t="shared" ref="AE6:AE69" si="8">IF($D6="","",$X6+(10000-ROW())/100000)</f>
        <v>25.09994</v>
      </c>
    </row>
    <row r="7" spans="1:31">
      <c r="A7" s="500" t="str">
        <f>IF(終値!A7="","",HYPERLINK("https://kabutan.jp/stock/?code="&amp;終値!A7,"📈"))</f>
        <v>📈</v>
      </c>
      <c r="B7" s="500" t="str">
        <f>IF(終値!A7="","",終値!A7)</f>
        <v>5423</v>
      </c>
      <c r="C7" s="499" t="str">
        <f>IF(終値!A7="","",終値!B7)</f>
        <v>東京製鐵</v>
      </c>
      <c r="D7" s="501">
        <f>IF(終値!A7="","",終値!E7)</f>
        <v>1752</v>
      </c>
      <c r="E7" s="501">
        <f>IF($D7="","",AVERAGE(終値!E7:X7))</f>
        <v>1735.9</v>
      </c>
      <c r="F7" s="502">
        <f>IF($D7="","",STDEVP(終値!E7:X7))</f>
        <v>29.238502013612116</v>
      </c>
      <c r="G7" s="501">
        <f>IF($D7="","",$E7+BB設定!$B$4*$F7)</f>
        <v>1794.3770040272243</v>
      </c>
      <c r="H7" s="501">
        <f>IF($D7="","",$E7+BB設定!$B$5*$F7)</f>
        <v>1765.1385020136122</v>
      </c>
      <c r="I7" s="501">
        <f>IF($D7="","",$E7-BB設定!$B$5*$F7)</f>
        <v>1706.661497986388</v>
      </c>
      <c r="J7" s="501">
        <f>IF($D7="","",$E7-BB設定!$B$4*$F7)</f>
        <v>1677.4229959727759</v>
      </c>
      <c r="K7" s="506">
        <f t="shared" si="0"/>
        <v>0.63766095123909294</v>
      </c>
      <c r="L7" s="505">
        <f t="shared" si="1"/>
        <v>6.7373701281438114</v>
      </c>
      <c r="M7" s="505">
        <f>IF($D7="","",IFERROR(MIN(BB_帯幅!B7:AP7)*100,""))</f>
        <v>5.9261741620259727</v>
      </c>
      <c r="N7" s="500" t="str">
        <f>IF($L7="","",IF($L7&lt;=$M7*BB設定!$B$7,"スクイーズ★",IF($L7&lt;=$M7*1.3,"収縮","－")))</f>
        <v>収縮</v>
      </c>
      <c r="O7" s="500" t="str">
        <f>IF($D7="","",IF(AND(BB_帯幅!B7&gt;BB_帯幅!C7,BB_帯幅!C7&gt;BB_帯幅!D7),"拡大↑","縮小↓"))</f>
        <v>拡大↑</v>
      </c>
      <c r="P7" s="500" t="str">
        <f t="shared" si="2"/>
        <v>バンド内</v>
      </c>
      <c r="Q7" s="503">
        <f>IF($D7="","",IFERROR(100-100/(1+SUMPRODUCT((終値!E7:R7&gt;終値!F7:S7)*(終値!E7:R7-終値!F7:S7))/SUMPRODUCT((終値!E7:R7&lt;終値!F7:S7)*(終値!F7:S7-終値!E7:R7))),100))</f>
        <v>47.978436657681939</v>
      </c>
      <c r="R7" s="503">
        <f>IF($D7="","",IFERROR(100-100/(1+SUMPRODUCT((((高値!E7:R7+安値!E7:R7+終値!E7:R7)/3)&gt;((高値!F7:S7+安値!F7:S7+終値!F7:S7)/3))*((高値!E7:R7+安値!E7:R7+終値!E7:R7)/3)*出来高!E7:R7)/SUMPRODUCT((((高値!E7:R7+安値!E7:R7+終値!E7:R7)/3)&lt;((高値!F7:S7+安値!F7:S7+終値!F7:S7)/3))*((高値!E7:R7+安値!E7:R7+終値!E7:R7)/3)*出来高!E7:R7)),50))</f>
        <v>50.386123984449902</v>
      </c>
      <c r="S7" s="500"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弱気div▼</v>
      </c>
      <c r="T7" s="500" t="str">
        <f t="shared" si="3"/>
        <v>－</v>
      </c>
      <c r="U7" s="500" t="str">
        <f>IF(終値!A7="","",BB_スイング!BT7)</f>
        <v>二番底W形成</v>
      </c>
      <c r="V7" s="508">
        <f>IF($D7="","",IFERROR(出来高!E7/AVERAGE(出来高!E7:I7),""))</f>
        <v>1.045045045045045</v>
      </c>
      <c r="W7" s="509"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△二番底形成</v>
      </c>
      <c r="X7" s="504">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45</v>
      </c>
      <c r="Y7" s="501">
        <f t="shared" si="4"/>
        <v>1752</v>
      </c>
      <c r="Z7" s="501">
        <f t="shared" si="5"/>
        <v>1765.1385020136122</v>
      </c>
      <c r="AA7" s="501">
        <f t="shared" si="6"/>
        <v>1735.9</v>
      </c>
      <c r="AB7" s="501">
        <f t="shared" ref="AB7:AB70" si="10">IF($D7="","",IF($D7&gt;$G7,$E7+3*$F7,$G7))</f>
        <v>1794.3770040272243</v>
      </c>
      <c r="AC7" s="507">
        <f t="shared" si="7"/>
        <v>2.63</v>
      </c>
      <c r="AD7" s="501">
        <f>IF($D7="","",MIN(終値!E7:I7))</f>
        <v>1689</v>
      </c>
      <c r="AE7" s="503">
        <f t="shared" si="8"/>
        <v>45.099930000000001</v>
      </c>
    </row>
    <row r="8" spans="1:31">
      <c r="A8" s="500" t="str">
        <f>IF(終値!A8="","",HYPERLINK("https://kabutan.jp/stock/?code="&amp;終値!A8,"📈"))</f>
        <v>📈</v>
      </c>
      <c r="B8" s="500" t="str">
        <f>IF(終値!A8="","",終値!A8)</f>
        <v>5713</v>
      </c>
      <c r="C8" s="499" t="str">
        <f>IF(終値!A8="","",終値!B8)</f>
        <v>住友鉱山</v>
      </c>
      <c r="D8" s="501">
        <f>IF(終値!A8="","",終値!E8)</f>
        <v>9088</v>
      </c>
      <c r="E8" s="501">
        <f>IF($D8="","",AVERAGE(終値!E8:X8))</f>
        <v>7620.1</v>
      </c>
      <c r="F8" s="502">
        <f>IF($D8="","",STDEVP(終値!E8:X8))</f>
        <v>525.94209757348767</v>
      </c>
      <c r="G8" s="501">
        <f>IF($D8="","",$E8+BB設定!$B$4*$F8)</f>
        <v>8671.9841951469753</v>
      </c>
      <c r="H8" s="501">
        <f>IF($D8="","",$E8+BB設定!$B$5*$F8)</f>
        <v>8146.0420975734878</v>
      </c>
      <c r="I8" s="501">
        <f>IF($D8="","",$E8-BB設定!$B$5*$F8)</f>
        <v>7094.1579024265129</v>
      </c>
      <c r="J8" s="501">
        <f>IF($D8="","",$E8-BB設定!$B$4*$F8)</f>
        <v>6568.2158048530255</v>
      </c>
      <c r="K8" s="506">
        <f t="shared" si="0"/>
        <v>1.1977479112113176</v>
      </c>
      <c r="L8" s="505">
        <f t="shared" si="1"/>
        <v>27.608146747338612</v>
      </c>
      <c r="M8" s="505">
        <f>IF($D8="","",IFERROR(MIN(BB_帯幅!B8:AP8)*100,""))</f>
        <v>14.351793291565571</v>
      </c>
      <c r="N8" s="500" t="str">
        <f>IF($L8="","",IF($L8&lt;=$M8*BB設定!$B$7,"スクイーズ★",IF($L8&lt;=$M8*1.3,"収縮","－")))</f>
        <v>－</v>
      </c>
      <c r="O8" s="500" t="str">
        <f>IF($D8="","",IF(AND(BB_帯幅!B8&gt;BB_帯幅!C8,BB_帯幅!C8&gt;BB_帯幅!D8),"拡大↑","縮小↓"))</f>
        <v>拡大↑</v>
      </c>
      <c r="P8" s="500" t="str">
        <f t="shared" si="2"/>
        <v>↑+2σ突破</v>
      </c>
      <c r="Q8" s="503">
        <f>IF($D8="","",IFERROR(100-100/(1+SUMPRODUCT((終値!E8:R8&gt;終値!F8:S8)*(終値!E8:R8-終値!F8:S8))/SUMPRODUCT((終値!E8:R8&lt;終値!F8:S8)*(終値!F8:S8-終値!E8:R8))),100))</f>
        <v>66.267387944358575</v>
      </c>
      <c r="R8" s="503">
        <f>IF($D8="","",IFERROR(100-100/(1+SUMPRODUCT((((高値!E8:R8+安値!E8:R8+終値!E8:R8)/3)&gt;((高値!F8:S8+安値!F8:S8+終値!F8:S8)/3))*((高値!E8:R8+安値!E8:R8+終値!E8:R8)/3)*出来高!E8:R8)/SUMPRODUCT((((高値!E8:R8+安値!E8:R8+終値!E8:R8)/3)&lt;((高値!F8:S8+安値!F8:S8+終値!F8:S8)/3))*((高値!E8:R8+安値!E8:R8+終値!E8:R8)/3)*出来高!E8:R8)),50))</f>
        <v>67.781042291604322</v>
      </c>
      <c r="S8" s="500"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0" t="str">
        <f t="shared" si="3"/>
        <v>上walk▲</v>
      </c>
      <c r="U8" s="500" t="str">
        <f>IF(終値!A8="","",BB_スイング!BT8)</f>
        <v>－</v>
      </c>
      <c r="V8" s="508">
        <f>IF($D8="","",IFERROR(出来高!E8/AVERAGE(出来高!E8:I8),""))</f>
        <v>1.3144570179386614</v>
      </c>
      <c r="W8" s="509"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様子見</v>
      </c>
      <c r="X8" s="504">
        <f t="shared" si="9"/>
        <v>55</v>
      </c>
      <c r="Y8" s="501">
        <f t="shared" si="4"/>
        <v>9088</v>
      </c>
      <c r="Z8" s="501">
        <f t="shared" si="5"/>
        <v>8146.0420975734878</v>
      </c>
      <c r="AA8" s="501">
        <f t="shared" si="6"/>
        <v>7620.1</v>
      </c>
      <c r="AB8" s="501">
        <f t="shared" si="10"/>
        <v>9197.9262927204636</v>
      </c>
      <c r="AC8" s="507">
        <f t="shared" si="7"/>
        <v>7.0000000000000007E-2</v>
      </c>
      <c r="AD8" s="501">
        <f>IF($D8="","",MIN(終値!E8:I8))</f>
        <v>7961</v>
      </c>
      <c r="AE8" s="503">
        <f t="shared" si="8"/>
        <v>55.099919999999997</v>
      </c>
    </row>
    <row r="9" spans="1:31">
      <c r="A9" s="500" t="str">
        <f>IF(終値!A9="","",HYPERLINK("https://kabutan.jp/stock/?code="&amp;終値!A9,"📈"))</f>
        <v>📈</v>
      </c>
      <c r="B9" s="500" t="str">
        <f>IF(終値!A9="","",終値!A9)</f>
        <v>5711</v>
      </c>
      <c r="C9" s="499" t="str">
        <f>IF(終値!A9="","",終値!B9)</f>
        <v>三菱マテリアル</v>
      </c>
      <c r="D9" s="501">
        <f>IF(終値!A9="","",終値!E9)</f>
        <v>4457</v>
      </c>
      <c r="E9" s="501">
        <f>IF($D9="","",AVERAGE(終値!E9:X9))</f>
        <v>4150.3999999999996</v>
      </c>
      <c r="F9" s="502">
        <f>IF($D9="","",STDEVP(終値!E9:X9))</f>
        <v>136.08945587370096</v>
      </c>
      <c r="G9" s="501">
        <f>IF($D9="","",$E9+BB設定!$B$4*$F9)</f>
        <v>4422.5789117474014</v>
      </c>
      <c r="H9" s="501">
        <f>IF($D9="","",$E9+BB設定!$B$5*$F9)</f>
        <v>4286.4894558737005</v>
      </c>
      <c r="I9" s="501">
        <f>IF($D9="","",$E9-BB設定!$B$5*$F9)</f>
        <v>4014.3105441262987</v>
      </c>
      <c r="J9" s="501">
        <f>IF($D9="","",$E9-BB設定!$B$4*$F9)</f>
        <v>3878.2210882525978</v>
      </c>
      <c r="K9" s="506">
        <f t="shared" si="0"/>
        <v>1.0632324672613567</v>
      </c>
      <c r="L9" s="505">
        <f t="shared" si="1"/>
        <v>13.115791815121522</v>
      </c>
      <c r="M9" s="505">
        <f>IF($D9="","",IFERROR(MIN(BB_帯幅!B9:AP9)*100,""))</f>
        <v>12.194406925667728</v>
      </c>
      <c r="N9" s="500" t="str">
        <f>IF($L9="","",IF($L9&lt;=$M9*BB設定!$B$7,"スクイーズ★",IF($L9&lt;=$M9*1.3,"収縮","－")))</f>
        <v>スクイーズ★</v>
      </c>
      <c r="O9" s="500" t="str">
        <f>IF($D9="","",IF(AND(BB_帯幅!B9&gt;BB_帯幅!C9,BB_帯幅!C9&gt;BB_帯幅!D9),"拡大↑","縮小↓"))</f>
        <v>縮小↓</v>
      </c>
      <c r="P9" s="500" t="str">
        <f t="shared" si="2"/>
        <v>↑+2σ突破</v>
      </c>
      <c r="Q9" s="503">
        <f>IF($D9="","",IFERROR(100-100/(1+SUMPRODUCT((終値!E9:R9&gt;終値!F9:S9)*(終値!E9:R9-終値!F9:S9))/SUMPRODUCT((終値!E9:R9&lt;終値!F9:S9)*(終値!F9:S9-終値!E9:R9))),100))</f>
        <v>56.425582785415422</v>
      </c>
      <c r="R9" s="503">
        <f>IF($D9="","",IFERROR(100-100/(1+SUMPRODUCT((((高値!E9:R9+安値!E9:R9+終値!E9:R9)/3)&gt;((高値!F9:S9+安値!F9:S9+終値!F9:S9)/3))*((高値!E9:R9+安値!E9:R9+終値!E9:R9)/3)*出来高!E9:R9)/SUMPRODUCT((((高値!E9:R9+安値!E9:R9+終値!E9:R9)/3)&lt;((高値!F9:S9+安値!F9:S9+終値!F9:S9)/3))*((高値!E9:R9+安値!E9:R9+終値!E9:R9)/3)*出来高!E9:R9)),50))</f>
        <v>65.117568781043929</v>
      </c>
      <c r="S9" s="500"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v>
      </c>
      <c r="T9" s="500" t="str">
        <f t="shared" si="3"/>
        <v>上walk▲</v>
      </c>
      <c r="U9" s="500" t="str">
        <f>IF(終値!A9="","",BB_スイング!BT9)</f>
        <v>二番底W▲</v>
      </c>
      <c r="V9" s="508">
        <f>IF($D9="","",IFERROR(出来高!E9/AVERAGE(出来高!E9:I9),""))</f>
        <v>1.0483188834848804</v>
      </c>
      <c r="W9" s="509"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4">
        <f t="shared" si="9"/>
        <v>65</v>
      </c>
      <c r="Y9" s="501">
        <f t="shared" si="4"/>
        <v>4457</v>
      </c>
      <c r="Z9" s="501">
        <f t="shared" si="5"/>
        <v>4286.4894558737005</v>
      </c>
      <c r="AA9" s="501">
        <f t="shared" si="6"/>
        <v>4150.3999999999996</v>
      </c>
      <c r="AB9" s="501">
        <f t="shared" si="10"/>
        <v>4558.6683676211023</v>
      </c>
      <c r="AC9" s="507">
        <f t="shared" si="7"/>
        <v>0.33</v>
      </c>
      <c r="AD9" s="501">
        <f>IF($D9="","",MIN(終値!E9:I9))</f>
        <v>4144</v>
      </c>
      <c r="AE9" s="503">
        <f t="shared" si="8"/>
        <v>65.099909999999994</v>
      </c>
    </row>
    <row r="10" spans="1:31" ht="24">
      <c r="A10" s="500" t="str">
        <f>IF(終値!A10="","",HYPERLINK("https://kabutan.jp/stock/?code="&amp;終値!A10,"📈"))</f>
        <v>📈</v>
      </c>
      <c r="B10" s="500" t="str">
        <f>IF(終値!A10="","",終値!A10)</f>
        <v>5714</v>
      </c>
      <c r="C10" s="499" t="str">
        <f>IF(終値!A10="","",終値!B10)</f>
        <v>ＤＯＷＡホールディングス</v>
      </c>
      <c r="D10" s="501">
        <f>IF(終値!A10="","",終値!E10)</f>
        <v>8907</v>
      </c>
      <c r="E10" s="501">
        <f>IF($D10="","",AVERAGE(終値!E10:X10))</f>
        <v>8305.85</v>
      </c>
      <c r="F10" s="502">
        <f>IF($D10="","",STDEVP(終値!E10:X10))</f>
        <v>228.12940954642389</v>
      </c>
      <c r="G10" s="501">
        <f>IF($D10="","",$E10+BB設定!$B$4*$F10)</f>
        <v>8762.1088190928476</v>
      </c>
      <c r="H10" s="501">
        <f>IF($D10="","",$E10+BB設定!$B$5*$F10)</f>
        <v>8533.979409546424</v>
      </c>
      <c r="I10" s="501">
        <f>IF($D10="","",$E10-BB設定!$B$5*$F10)</f>
        <v>8077.7205904535767</v>
      </c>
      <c r="J10" s="501">
        <f>IF($D10="","",$E10-BB設定!$B$4*$F10)</f>
        <v>7849.5911809071522</v>
      </c>
      <c r="K10" s="506">
        <f t="shared" si="0"/>
        <v>1.1587817866131671</v>
      </c>
      <c r="L10" s="505">
        <f t="shared" si="1"/>
        <v>10.986444953685599</v>
      </c>
      <c r="M10" s="505">
        <f>IF($D10="","",IFERROR(MIN(BB_帯幅!B10:AP10)*100,""))</f>
        <v>9.3614684176387311</v>
      </c>
      <c r="N10" s="500" t="str">
        <f>IF($L10="","",IF($L10&lt;=$M10*BB設定!$B$7,"スクイーズ★",IF($L10&lt;=$M10*1.3,"収縮","－")))</f>
        <v>収縮</v>
      </c>
      <c r="O10" s="500" t="str">
        <f>IF($D10="","",IF(AND(BB_帯幅!B10&gt;BB_帯幅!C10,BB_帯幅!C10&gt;BB_帯幅!D10),"拡大↑","縮小↓"))</f>
        <v>縮小↓</v>
      </c>
      <c r="P10" s="500" t="str">
        <f t="shared" si="2"/>
        <v>↑+2σ突破</v>
      </c>
      <c r="Q10" s="503">
        <f>IF($D10="","",IFERROR(100-100/(1+SUMPRODUCT((終値!E10:R10&gt;終値!F10:S10)*(終値!E10:R10-終値!F10:S10))/SUMPRODUCT((終値!E10:R10&lt;終値!F10:S10)*(終値!F10:S10-終値!E10:R10))),100))</f>
        <v>57.268170426065154</v>
      </c>
      <c r="R10" s="503">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65.398996119804792</v>
      </c>
      <c r="S10" s="500"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v>
      </c>
      <c r="T10" s="500" t="str">
        <f t="shared" si="3"/>
        <v>上walk▲</v>
      </c>
      <c r="U10" s="500" t="str">
        <f>IF(終値!A10="","",BB_スイング!BT10)</f>
        <v>二番底W▲</v>
      </c>
      <c r="V10" s="508">
        <f>IF($D10="","",IFERROR(出来高!E10/AVERAGE(出来高!E10:I10),""))</f>
        <v>1.5550804741544131</v>
      </c>
      <c r="W10" s="509"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△二番底買(確)</v>
      </c>
      <c r="X10" s="504">
        <f t="shared" si="9"/>
        <v>58</v>
      </c>
      <c r="Y10" s="501">
        <f t="shared" si="4"/>
        <v>8907</v>
      </c>
      <c r="Z10" s="501">
        <f t="shared" si="5"/>
        <v>8533.979409546424</v>
      </c>
      <c r="AA10" s="501">
        <f t="shared" si="6"/>
        <v>8305.85</v>
      </c>
      <c r="AB10" s="501">
        <f t="shared" si="10"/>
        <v>8990.2382286392713</v>
      </c>
      <c r="AC10" s="507">
        <f t="shared" si="7"/>
        <v>0.14000000000000001</v>
      </c>
      <c r="AD10" s="501">
        <f>IF($D10="","",MIN(終値!E10:I10))</f>
        <v>8159</v>
      </c>
      <c r="AE10" s="503">
        <f t="shared" si="8"/>
        <v>58.099899999999998</v>
      </c>
    </row>
    <row r="11" spans="1:31">
      <c r="A11" s="500" t="str">
        <f>IF(終値!A11="","",HYPERLINK("https://kabutan.jp/stock/?code="&amp;終値!A11,"📈"))</f>
        <v>📈</v>
      </c>
      <c r="B11" s="500" t="str">
        <f>IF(終値!A11="","",終値!A11)</f>
        <v>6701</v>
      </c>
      <c r="C11" s="499" t="str">
        <f>IF(終値!A11="","",終値!B11)</f>
        <v>日本電気</v>
      </c>
      <c r="D11" s="501">
        <f>IF(終値!A11="","",終値!E11)</f>
        <v>4690</v>
      </c>
      <c r="E11" s="501">
        <f>IF($D11="","",AVERAGE(終値!E11:X11))</f>
        <v>4484.2</v>
      </c>
      <c r="F11" s="502">
        <f>IF($D11="","",STDEVP(終値!E11:X11))</f>
        <v>195.44886799365199</v>
      </c>
      <c r="G11" s="501">
        <f>IF($D11="","",$E11+BB設定!$B$4*$F11)</f>
        <v>4875.0977359873041</v>
      </c>
      <c r="H11" s="501">
        <f>IF($D11="","",$E11+BB設定!$B$5*$F11)</f>
        <v>4679.6488679936519</v>
      </c>
      <c r="I11" s="501">
        <f>IF($D11="","",$E11-BB設定!$B$5*$F11)</f>
        <v>4288.7511320063477</v>
      </c>
      <c r="J11" s="501">
        <f>IF($D11="","",$E11-BB設定!$B$4*$F11)</f>
        <v>4093.302264012696</v>
      </c>
      <c r="K11" s="506">
        <f t="shared" si="0"/>
        <v>0.76324020460262287</v>
      </c>
      <c r="L11" s="505">
        <f t="shared" si="1"/>
        <v>17.434446991093353</v>
      </c>
      <c r="M11" s="505">
        <f>IF($D11="","",IFERROR(MIN(BB_帯幅!B11:AP11)*100,""))</f>
        <v>9.206433421586274</v>
      </c>
      <c r="N11" s="500" t="str">
        <f>IF($L11="","",IF($L11&lt;=$M11*BB設定!$B$7,"スクイーズ★",IF($L11&lt;=$M11*1.3,"収縮","－")))</f>
        <v>－</v>
      </c>
      <c r="O11" s="500" t="str">
        <f>IF($D11="","",IF(AND(BB_帯幅!B11&gt;BB_帯幅!C11,BB_帯幅!C11&gt;BB_帯幅!D11),"拡大↑","縮小↓"))</f>
        <v>拡大↑</v>
      </c>
      <c r="P11" s="500" t="str">
        <f t="shared" si="2"/>
        <v>+1σ上</v>
      </c>
      <c r="Q11" s="503">
        <f>IF($D11="","",IFERROR(100-100/(1+SUMPRODUCT((終値!E11:R11&gt;終値!F11:S11)*(終値!E11:R11-終値!F11:S11))/SUMPRODUCT((終値!E11:R11&lt;終値!F11:S11)*(終値!F11:S11-終値!E11:R11))),100))</f>
        <v>63.444302176696539</v>
      </c>
      <c r="R11" s="503">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64.391845381534694</v>
      </c>
      <c r="S11" s="500"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v>
      </c>
      <c r="T11" s="500" t="str">
        <f t="shared" si="3"/>
        <v>上walk▲</v>
      </c>
      <c r="U11" s="500" t="str">
        <f>IF(終値!A11="","",BB_スイング!BT11)</f>
        <v>－</v>
      </c>
      <c r="V11" s="508">
        <f>IF($D11="","",IFERROR(出来高!E11/AVERAGE(出来高!E11:I11),""))</f>
        <v>0.75985058407286254</v>
      </c>
      <c r="W11" s="509"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様子見</v>
      </c>
      <c r="X11" s="504">
        <f t="shared" si="9"/>
        <v>47</v>
      </c>
      <c r="Y11" s="501">
        <f t="shared" si="4"/>
        <v>4690</v>
      </c>
      <c r="Z11" s="501">
        <f t="shared" si="5"/>
        <v>4679.6488679936519</v>
      </c>
      <c r="AA11" s="501">
        <f t="shared" si="6"/>
        <v>4484.2</v>
      </c>
      <c r="AB11" s="501">
        <f t="shared" si="10"/>
        <v>4875.0977359873041</v>
      </c>
      <c r="AC11" s="507">
        <f t="shared" si="7"/>
        <v>0.9</v>
      </c>
      <c r="AD11" s="501">
        <f>IF($D11="","",MIN(終値!E11:I11))</f>
        <v>4598</v>
      </c>
      <c r="AE11" s="503">
        <f t="shared" si="8"/>
        <v>47.099890000000002</v>
      </c>
    </row>
    <row r="12" spans="1:31">
      <c r="A12" s="500" t="str">
        <f>IF(終値!A12="","",HYPERLINK("https://kabutan.jp/stock/?code="&amp;終値!A12,"📈"))</f>
        <v>📈</v>
      </c>
      <c r="B12" s="500" t="str">
        <f>IF(終値!A12="","",終値!A12)</f>
        <v>1605</v>
      </c>
      <c r="C12" s="499" t="str">
        <f>IF(終値!A12="","",終値!B12)</f>
        <v>ＩＮＰＥＸ</v>
      </c>
      <c r="D12" s="501">
        <f>IF(終値!A12="","",終値!E12)</f>
        <v>3460</v>
      </c>
      <c r="E12" s="501">
        <f>IF($D12="","",AVERAGE(終値!E12:X12))</f>
        <v>3527.45</v>
      </c>
      <c r="F12" s="502">
        <f>IF($D12="","",STDEVP(終値!E12:X12))</f>
        <v>114.04537474181056</v>
      </c>
      <c r="G12" s="501">
        <f>IF($D12="","",$E12+BB設定!$B$4*$F12)</f>
        <v>3755.5407494836209</v>
      </c>
      <c r="H12" s="501">
        <f>IF($D12="","",$E12+BB設定!$B$5*$F12)</f>
        <v>3641.4953747418103</v>
      </c>
      <c r="I12" s="501">
        <f>IF($D12="","",$E12-BB設定!$B$5*$F12)</f>
        <v>3413.4046252581893</v>
      </c>
      <c r="J12" s="501">
        <f>IF($D12="","",$E12-BB設定!$B$4*$F12)</f>
        <v>3299.3592505163788</v>
      </c>
      <c r="K12" s="506">
        <f t="shared" si="0"/>
        <v>0.35214218430010608</v>
      </c>
      <c r="L12" s="505">
        <f t="shared" si="1"/>
        <v>12.932330691214391</v>
      </c>
      <c r="M12" s="505">
        <f>IF($D12="","",IFERROR(MIN(BB_帯幅!B12:AP12)*100,""))</f>
        <v>10.063584422694696</v>
      </c>
      <c r="N12" s="500" t="str">
        <f>IF($L12="","",IF($L12&lt;=$M12*BB設定!$B$7,"スクイーズ★",IF($L12&lt;=$M12*1.3,"収縮","－")))</f>
        <v>収縮</v>
      </c>
      <c r="O12" s="500" t="str">
        <f>IF($D12="","",IF(AND(BB_帯幅!B12&gt;BB_帯幅!C12,BB_帯幅!C12&gt;BB_帯幅!D12),"拡大↑","縮小↓"))</f>
        <v>縮小↓</v>
      </c>
      <c r="P12" s="500" t="str">
        <f t="shared" si="2"/>
        <v>バンド内</v>
      </c>
      <c r="Q12" s="503">
        <f>IF($D12="","",IFERROR(100-100/(1+SUMPRODUCT((終値!E12:R12&gt;終値!F12:S12)*(終値!E12:R12-終値!F12:S12))/SUMPRODUCT((終値!E12:R12&lt;終値!F12:S12)*(終値!F12:S12-終値!E12:R12))),100))</f>
        <v>50.517598343685293</v>
      </c>
      <c r="R12" s="503">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53.276342577970681</v>
      </c>
      <c r="S12" s="500"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0" t="str">
        <f t="shared" si="3"/>
        <v>－</v>
      </c>
      <c r="U12" s="500" t="str">
        <f>IF(終値!A12="","",BB_スイング!BT12)</f>
        <v>二番天井M▼</v>
      </c>
      <c r="V12" s="508">
        <f>IF($D12="","",IFERROR(出来高!E12/AVERAGE(出来高!E12:I12),""))</f>
        <v>0.9477659139104877</v>
      </c>
      <c r="W12" s="509"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▼二番天井警戒</v>
      </c>
      <c r="X12" s="504">
        <f t="shared" si="9"/>
        <v>0</v>
      </c>
      <c r="Y12" s="501">
        <f t="shared" si="4"/>
        <v>3460</v>
      </c>
      <c r="Z12" s="501">
        <f t="shared" si="5"/>
        <v>3641.4953747418103</v>
      </c>
      <c r="AA12" s="501">
        <f t="shared" si="6"/>
        <v>3394</v>
      </c>
      <c r="AB12" s="501">
        <f t="shared" si="10"/>
        <v>3755.5407494836209</v>
      </c>
      <c r="AC12" s="507">
        <f t="shared" si="7"/>
        <v>4.4800000000000004</v>
      </c>
      <c r="AD12" s="501">
        <f>IF($D12="","",MIN(終値!E12:I12))</f>
        <v>3394</v>
      </c>
      <c r="AE12" s="503">
        <f t="shared" si="8"/>
        <v>9.9879999999999997E-2</v>
      </c>
    </row>
    <row r="13" spans="1:31">
      <c r="A13" s="500" t="str">
        <f>IF(終値!A13="","",HYPERLINK("https://kabutan.jp/stock/?code="&amp;終値!A13,"📈"))</f>
        <v>📈</v>
      </c>
      <c r="B13" s="500" t="str">
        <f>IF(終値!A13="","",終値!A13)</f>
        <v>5703</v>
      </c>
      <c r="C13" s="499" t="str">
        <f>IF(終値!A13="","",終値!B13)</f>
        <v>日本軽金属ＨＤ</v>
      </c>
      <c r="D13" s="501">
        <f>IF(終値!A13="","",終値!E13)</f>
        <v>2936</v>
      </c>
      <c r="E13" s="501">
        <f>IF($D13="","",AVERAGE(終値!E13:X13))</f>
        <v>2711.7</v>
      </c>
      <c r="F13" s="502">
        <f>IF($D13="","",STDEVP(終値!E13:X13))</f>
        <v>95.604445503334205</v>
      </c>
      <c r="G13" s="501">
        <f>IF($D13="","",$E13+BB設定!$B$4*$F13)</f>
        <v>2902.9088910066685</v>
      </c>
      <c r="H13" s="501">
        <f>IF($D13="","",$E13+BB設定!$B$5*$F13)</f>
        <v>2807.3044455033341</v>
      </c>
      <c r="I13" s="501">
        <f>IF($D13="","",$E13-BB設定!$B$5*$F13)</f>
        <v>2616.0955544966655</v>
      </c>
      <c r="J13" s="501">
        <f>IF($D13="","",$E13-BB設定!$B$4*$F13)</f>
        <v>2520.4911089933312</v>
      </c>
      <c r="K13" s="506">
        <f t="shared" si="0"/>
        <v>1.0865313030662822</v>
      </c>
      <c r="L13" s="505">
        <f t="shared" si="1"/>
        <v>14.102510676451574</v>
      </c>
      <c r="M13" s="505">
        <f>IF($D13="","",IFERROR(MIN(BB_帯幅!B13:AP13)*100,""))</f>
        <v>7.2852031849559644</v>
      </c>
      <c r="N13" s="500" t="str">
        <f>IF($L13="","",IF($L13&lt;=$M13*BB設定!$B$7,"スクイーズ★",IF($L13&lt;=$M13*1.3,"収縮","－")))</f>
        <v>－</v>
      </c>
      <c r="O13" s="500" t="str">
        <f>IF($D13="","",IF(AND(BB_帯幅!B13&gt;BB_帯幅!C13,BB_帯幅!C13&gt;BB_帯幅!D13),"拡大↑","縮小↓"))</f>
        <v>拡大↑</v>
      </c>
      <c r="P13" s="500" t="str">
        <f t="shared" si="2"/>
        <v>↑+2σ突破</v>
      </c>
      <c r="Q13" s="503">
        <f>IF($D13="","",IFERROR(100-100/(1+SUMPRODUCT((終値!E13:R13&gt;終値!F13:S13)*(終値!E13:R13-終値!F13:S13))/SUMPRODUCT((終値!E13:R13&lt;終値!F13:S13)*(終値!F13:S13-終値!E13:R13))),100))</f>
        <v>60.966981132075475</v>
      </c>
      <c r="R13" s="503">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60.29002725346934</v>
      </c>
      <c r="S13" s="500"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v>
      </c>
      <c r="T13" s="500" t="str">
        <f t="shared" si="3"/>
        <v>上walk▲</v>
      </c>
      <c r="U13" s="500" t="str">
        <f>IF(終値!A13="","",BB_スイング!BT13)</f>
        <v>二番底W▲</v>
      </c>
      <c r="V13" s="508">
        <f>IF($D13="","",IFERROR(出来高!E13/AVERAGE(出来高!E13:I13),""))</f>
        <v>0.45241157556270095</v>
      </c>
      <c r="W13" s="509"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△二番底買(確)</v>
      </c>
      <c r="X13" s="504">
        <f t="shared" si="9"/>
        <v>55</v>
      </c>
      <c r="Y13" s="501">
        <f t="shared" si="4"/>
        <v>2936</v>
      </c>
      <c r="Z13" s="501">
        <f t="shared" si="5"/>
        <v>2807.3044455033341</v>
      </c>
      <c r="AA13" s="501">
        <f t="shared" si="6"/>
        <v>2711.7</v>
      </c>
      <c r="AB13" s="501">
        <f t="shared" si="10"/>
        <v>2998.5133365100023</v>
      </c>
      <c r="AC13" s="507">
        <f t="shared" si="7"/>
        <v>0.28000000000000003</v>
      </c>
      <c r="AD13" s="501">
        <f>IF($D13="","",MIN(終値!E13:I13))</f>
        <v>2715</v>
      </c>
      <c r="AE13" s="503">
        <f t="shared" si="8"/>
        <v>55.099870000000003</v>
      </c>
    </row>
    <row r="14" spans="1:31">
      <c r="A14" s="500" t="str">
        <f>IF(終値!A14="","",HYPERLINK("https://kabutan.jp/stock/?code="&amp;終値!A14,"📈"))</f>
        <v>📈</v>
      </c>
      <c r="B14" s="500" t="str">
        <f>IF(終値!A14="","",終値!A14)</f>
        <v>8002</v>
      </c>
      <c r="C14" s="499" t="str">
        <f>IF(終値!A14="","",終値!B14)</f>
        <v>丸紅</v>
      </c>
      <c r="D14" s="501">
        <f>IF(終値!A14="","",終値!E14)</f>
        <v>4936</v>
      </c>
      <c r="E14" s="501">
        <f>IF($D14="","",AVERAGE(終値!E14:X14))</f>
        <v>5102.1499999999996</v>
      </c>
      <c r="F14" s="502">
        <f>IF($D14="","",STDEVP(終値!E14:X14))</f>
        <v>184.71390716456625</v>
      </c>
      <c r="G14" s="501">
        <f>IF($D14="","",$E14+BB設定!$B$4*$F14)</f>
        <v>5471.5778143291318</v>
      </c>
      <c r="H14" s="501">
        <f>IF($D14="","",$E14+BB設定!$B$5*$F14)</f>
        <v>5286.8639071645657</v>
      </c>
      <c r="I14" s="501">
        <f>IF($D14="","",$E14-BB設定!$B$5*$F14)</f>
        <v>4917.4360928354336</v>
      </c>
      <c r="J14" s="501">
        <f>IF($D14="","",$E14-BB設定!$B$4*$F14)</f>
        <v>4732.7221856708675</v>
      </c>
      <c r="K14" s="506">
        <f t="shared" si="0"/>
        <v>0.27512521586697236</v>
      </c>
      <c r="L14" s="505">
        <f t="shared" si="1"/>
        <v>14.481260422728937</v>
      </c>
      <c r="M14" s="505">
        <f>IF($D14="","",IFERROR(MIN(BB_帯幅!B14:AP14)*100,""))</f>
        <v>10.119594564710161</v>
      </c>
      <c r="N14" s="500" t="str">
        <f>IF($L14="","",IF($L14&lt;=$M14*BB設定!$B$7,"スクイーズ★",IF($L14&lt;=$M14*1.3,"収縮","－")))</f>
        <v>－</v>
      </c>
      <c r="O14" s="500" t="str">
        <f>IF($D14="","",IF(AND(BB_帯幅!B14&gt;BB_帯幅!C14,BB_帯幅!C14&gt;BB_帯幅!D14),"拡大↑","縮小↓"))</f>
        <v>拡大↑</v>
      </c>
      <c r="P14" s="500" t="str">
        <f t="shared" si="2"/>
        <v>バンド内</v>
      </c>
      <c r="Q14" s="503">
        <f>IF($D14="","",IFERROR(100-100/(1+SUMPRODUCT((終値!E14:R14&gt;終値!F14:S14)*(終値!E14:R14-終値!F14:S14))/SUMPRODUCT((終値!E14:R14&lt;終値!F14:S14)*(終値!F14:S14-終値!E14:R14))),100))</f>
        <v>43.22429906542056</v>
      </c>
      <c r="R14" s="503">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38.268575513594499</v>
      </c>
      <c r="S14" s="500"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0" t="str">
        <f t="shared" si="3"/>
        <v>－</v>
      </c>
      <c r="U14" s="500" t="str">
        <f>IF(終値!A14="","",BB_スイング!BT14)</f>
        <v>二番底W形成</v>
      </c>
      <c r="V14" s="508">
        <f>IF($D14="","",IFERROR(出来高!E14/AVERAGE(出来高!E14:I14),""))</f>
        <v>0.70353032232292212</v>
      </c>
      <c r="W14" s="509"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△二番底形成</v>
      </c>
      <c r="X14" s="504">
        <f t="shared" si="9"/>
        <v>5</v>
      </c>
      <c r="Y14" s="501">
        <f t="shared" si="4"/>
        <v>4936</v>
      </c>
      <c r="Z14" s="501">
        <f t="shared" si="5"/>
        <v>5286.8639071645657</v>
      </c>
      <c r="AA14" s="501">
        <f t="shared" si="6"/>
        <v>4862</v>
      </c>
      <c r="AB14" s="501">
        <f t="shared" si="10"/>
        <v>5471.5778143291318</v>
      </c>
      <c r="AC14" s="507">
        <f t="shared" si="7"/>
        <v>7.24</v>
      </c>
      <c r="AD14" s="501">
        <f>IF($D14="","",MIN(終値!E14:I14))</f>
        <v>4862</v>
      </c>
      <c r="AE14" s="503">
        <f t="shared" si="8"/>
        <v>5.0998599999999996</v>
      </c>
    </row>
    <row r="15" spans="1:31" ht="24">
      <c r="A15" s="500" t="str">
        <f>IF(終値!A15="","",HYPERLINK("https://kabutan.jp/stock/?code="&amp;終値!A15,"📈"))</f>
        <v>📈</v>
      </c>
      <c r="B15" s="500" t="str">
        <f>IF(終値!A15="","",終値!A15)</f>
        <v>5021</v>
      </c>
      <c r="C15" s="499" t="str">
        <f>IF(終値!A15="","",終値!B15)</f>
        <v>コスモエネルギーＨＬＤＧＳ</v>
      </c>
      <c r="D15" s="501">
        <f>IF(終値!A15="","",終値!E15)</f>
        <v>3811</v>
      </c>
      <c r="E15" s="501">
        <f>IF($D15="","",AVERAGE(終値!E15:X15))</f>
        <v>3894.15</v>
      </c>
      <c r="F15" s="502">
        <f>IF($D15="","",STDEVP(終値!E15:X15))</f>
        <v>75.354014491598249</v>
      </c>
      <c r="G15" s="501">
        <f>IF($D15="","",$E15+BB設定!$B$4*$F15)</f>
        <v>4044.8580289831966</v>
      </c>
      <c r="H15" s="501">
        <f>IF($D15="","",$E15+BB設定!$B$5*$F15)</f>
        <v>3969.5040144915984</v>
      </c>
      <c r="I15" s="501">
        <f>IF($D15="","",$E15-BB設定!$B$5*$F15)</f>
        <v>3818.7959855084018</v>
      </c>
      <c r="J15" s="501">
        <f>IF($D15="","",$E15-BB設定!$B$4*$F15)</f>
        <v>3743.4419710168036</v>
      </c>
      <c r="K15" s="506">
        <f t="shared" si="0"/>
        <v>0.2241354672309096</v>
      </c>
      <c r="L15" s="505">
        <f t="shared" si="1"/>
        <v>7.7402272117507813</v>
      </c>
      <c r="M15" s="505">
        <f>IF($D15="","",IFERROR(MIN(BB_帯幅!B15:AP15)*100,""))</f>
        <v>5.9519252870835988</v>
      </c>
      <c r="N15" s="500" t="str">
        <f>IF($L15="","",IF($L15&lt;=$M15*BB設定!$B$7,"スクイーズ★",IF($L15&lt;=$M15*1.3,"収縮","－")))</f>
        <v>－</v>
      </c>
      <c r="O15" s="500" t="str">
        <f>IF($D15="","",IF(AND(BB_帯幅!B15&gt;BB_帯幅!C15,BB_帯幅!C15&gt;BB_帯幅!D15),"拡大↑","縮小↓"))</f>
        <v>拡大↑</v>
      </c>
      <c r="P15" s="500" t="str">
        <f t="shared" si="2"/>
        <v>-1σ下</v>
      </c>
      <c r="Q15" s="503">
        <f>IF($D15="","",IFERROR(100-100/(1+SUMPRODUCT((終値!E15:R15&gt;終値!F15:S15)*(終値!E15:R15-終値!F15:S15))/SUMPRODUCT((終値!E15:R15&lt;終値!F15:S15)*(終値!F15:S15-終値!E15:R15))),100))</f>
        <v>45.718654434250766</v>
      </c>
      <c r="R15" s="503">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52.492766716385539</v>
      </c>
      <c r="S15" s="500"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v>
      </c>
      <c r="T15" s="500" t="str">
        <f t="shared" si="3"/>
        <v>下walk▼</v>
      </c>
      <c r="U15" s="500" t="str">
        <f>IF(終値!A15="","",BB_スイング!BT15)</f>
        <v>二番底W形成</v>
      </c>
      <c r="V15" s="508">
        <f>IF($D15="","",IFERROR(出来高!E15/AVERAGE(出来高!E15:I15),""))</f>
        <v>0.76096349103478078</v>
      </c>
      <c r="W15" s="509"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△二番底形成</v>
      </c>
      <c r="X15" s="504">
        <f t="shared" si="9"/>
        <v>10</v>
      </c>
      <c r="Y15" s="501">
        <f t="shared" si="4"/>
        <v>3811</v>
      </c>
      <c r="Z15" s="501">
        <f t="shared" si="5"/>
        <v>3969.5040144915984</v>
      </c>
      <c r="AA15" s="501">
        <f t="shared" si="6"/>
        <v>3753</v>
      </c>
      <c r="AB15" s="501">
        <f t="shared" si="10"/>
        <v>4044.8580289831966</v>
      </c>
      <c r="AC15" s="507">
        <f t="shared" si="7"/>
        <v>4.03</v>
      </c>
      <c r="AD15" s="501">
        <f>IF($D15="","",MIN(終値!E15:I15))</f>
        <v>3753</v>
      </c>
      <c r="AE15" s="503">
        <f t="shared" si="8"/>
        <v>10.09985</v>
      </c>
    </row>
    <row r="16" spans="1:31">
      <c r="A16" s="500" t="str">
        <f>IF(終値!A16="","",HYPERLINK("https://kabutan.jp/stock/?code="&amp;終値!A16,"📈"))</f>
        <v>📈</v>
      </c>
      <c r="B16" s="500" t="str">
        <f>IF(終値!A16="","",終値!A16)</f>
        <v>8058</v>
      </c>
      <c r="C16" s="499" t="str">
        <f>IF(終値!A16="","",終値!B16)</f>
        <v>三菱商事</v>
      </c>
      <c r="D16" s="501">
        <f>IF(終値!A16="","",終値!E16)</f>
        <v>4748</v>
      </c>
      <c r="E16" s="501">
        <f>IF($D16="","",AVERAGE(終値!E16:X16))</f>
        <v>4677.3500000000004</v>
      </c>
      <c r="F16" s="502">
        <f>IF($D16="","",STDEVP(終値!E16:X16))</f>
        <v>173.05440618487586</v>
      </c>
      <c r="G16" s="501">
        <f>IF($D16="","",$E16+BB設定!$B$4*$F16)</f>
        <v>5023.4588123697522</v>
      </c>
      <c r="H16" s="501">
        <f>IF($D16="","",$E16+BB設定!$B$5*$F16)</f>
        <v>4850.4044061848763</v>
      </c>
      <c r="I16" s="501">
        <f>IF($D16="","",$E16-BB設定!$B$5*$F16)</f>
        <v>4504.2955938151244</v>
      </c>
      <c r="J16" s="501">
        <f>IF($D16="","",$E16-BB設定!$B$4*$F16)</f>
        <v>4331.2411876302485</v>
      </c>
      <c r="K16" s="506">
        <f t="shared" si="0"/>
        <v>0.60206327818738614</v>
      </c>
      <c r="L16" s="505">
        <f t="shared" si="1"/>
        <v>14.799354864175305</v>
      </c>
      <c r="M16" s="505">
        <f>IF($D16="","",IFERROR(MIN(BB_帯幅!B16:AP16)*100,""))</f>
        <v>6.8679619388576629</v>
      </c>
      <c r="N16" s="500" t="str">
        <f>IF($L16="","",IF($L16&lt;=$M16*BB設定!$B$7,"スクイーズ★",IF($L16&lt;=$M16*1.3,"収縮","－")))</f>
        <v>－</v>
      </c>
      <c r="O16" s="500" t="str">
        <f>IF($D16="","",IF(AND(BB_帯幅!B16&gt;BB_帯幅!C16,BB_帯幅!C16&gt;BB_帯幅!D16),"拡大↑","縮小↓"))</f>
        <v>縮小↓</v>
      </c>
      <c r="P16" s="500" t="str">
        <f t="shared" si="2"/>
        <v>バンド内</v>
      </c>
      <c r="Q16" s="503">
        <f>IF($D16="","",IFERROR(100-100/(1+SUMPRODUCT((終値!E16:R16&gt;終値!F16:S16)*(終値!E16:R16-終値!F16:S16))/SUMPRODUCT((終値!E16:R16&lt;終値!F16:S16)*(終値!F16:S16-終値!E16:R16))),100))</f>
        <v>57.402361489554956</v>
      </c>
      <c r="R16" s="503">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49.198092614712252</v>
      </c>
      <c r="S16" s="500"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0" t="str">
        <f t="shared" si="3"/>
        <v>－</v>
      </c>
      <c r="U16" s="500" t="str">
        <f>IF(終値!A16="","",BB_スイング!BT16)</f>
        <v>－</v>
      </c>
      <c r="V16" s="508">
        <f>IF($D16="","",IFERROR(出来高!E16/AVERAGE(出来高!E16:I16),""))</f>
        <v>0.60798839579549613</v>
      </c>
      <c r="W16" s="509"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4">
        <f t="shared" si="9"/>
        <v>15</v>
      </c>
      <c r="Y16" s="501">
        <f t="shared" si="4"/>
        <v>4748</v>
      </c>
      <c r="Z16" s="501">
        <f t="shared" si="5"/>
        <v>4850.4044061848763</v>
      </c>
      <c r="AA16" s="501">
        <f t="shared" si="6"/>
        <v>4677.3500000000004</v>
      </c>
      <c r="AB16" s="501">
        <f t="shared" si="10"/>
        <v>5023.4588123697522</v>
      </c>
      <c r="AC16" s="507">
        <f t="shared" si="7"/>
        <v>3.9</v>
      </c>
      <c r="AD16" s="501">
        <f>IF($D16="","",MIN(終値!E16:I16))</f>
        <v>4641</v>
      </c>
      <c r="AE16" s="503">
        <f t="shared" si="8"/>
        <v>15.09984</v>
      </c>
    </row>
    <row r="17" spans="1:31">
      <c r="A17" s="500" t="str">
        <f>IF(終値!A17="","",HYPERLINK("https://kabutan.jp/stock/?code="&amp;終値!A17,"📈"))</f>
        <v>📈</v>
      </c>
      <c r="B17" s="500" t="str">
        <f>IF(終値!A17="","",終値!A17)</f>
        <v>5333</v>
      </c>
      <c r="C17" s="499" t="str">
        <f>IF(終値!A17="","",終値!B17)</f>
        <v>ＮＧＫ</v>
      </c>
      <c r="D17" s="501">
        <f>IF(終値!A17="","",終値!E17)</f>
        <v>5772</v>
      </c>
      <c r="E17" s="501">
        <f>IF($D17="","",AVERAGE(終値!E17:X17))</f>
        <v>6104.7</v>
      </c>
      <c r="F17" s="502">
        <f>IF($D17="","",STDEVP(終値!E17:X17))</f>
        <v>561.80148629208884</v>
      </c>
      <c r="G17" s="501">
        <f>IF($D17="","",$E17+BB設定!$B$4*$F17)</f>
        <v>7228.302972584177</v>
      </c>
      <c r="H17" s="501">
        <f>IF($D17="","",$E17+BB設定!$B$5*$F17)</f>
        <v>6666.5014862920889</v>
      </c>
      <c r="I17" s="501">
        <f>IF($D17="","",$E17-BB設定!$B$5*$F17)</f>
        <v>5542.8985137079108</v>
      </c>
      <c r="J17" s="501">
        <f>IF($D17="","",$E17-BB設定!$B$4*$F17)</f>
        <v>4981.0970274158226</v>
      </c>
      <c r="K17" s="506">
        <f t="shared" si="0"/>
        <v>0.35194948388449782</v>
      </c>
      <c r="L17" s="505">
        <f t="shared" si="1"/>
        <v>36.811079089363183</v>
      </c>
      <c r="M17" s="505">
        <f>IF($D17="","",IFERROR(MIN(BB_帯幅!B17:AP17)*100,""))</f>
        <v>17.194133995574539</v>
      </c>
      <c r="N17" s="500" t="str">
        <f>IF($L17="","",IF($L17&lt;=$M17*BB設定!$B$7,"スクイーズ★",IF($L17&lt;=$M17*1.3,"収縮","－")))</f>
        <v>－</v>
      </c>
      <c r="O17" s="500" t="str">
        <f>IF($D17="","",IF(AND(BB_帯幅!B17&gt;BB_帯幅!C17,BB_帯幅!C17&gt;BB_帯幅!D17),"拡大↑","縮小↓"))</f>
        <v>縮小↓</v>
      </c>
      <c r="P17" s="500" t="str">
        <f t="shared" si="2"/>
        <v>バンド内</v>
      </c>
      <c r="Q17" s="503">
        <f>IF($D17="","",IFERROR(100-100/(1+SUMPRODUCT((終値!E17:R17&gt;終値!F17:S17)*(終値!E17:R17-終値!F17:S17))/SUMPRODUCT((終値!E17:R17&lt;終値!F17:S17)*(終値!F17:S17-終値!E17:R17))),100))</f>
        <v>33.739703459637568</v>
      </c>
      <c r="R17" s="503">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30.183447884396074</v>
      </c>
      <c r="S17" s="500"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強気div▲</v>
      </c>
      <c r="T17" s="500" t="str">
        <f t="shared" si="3"/>
        <v>－</v>
      </c>
      <c r="U17" s="500" t="str">
        <f>IF(終値!A17="","",BB_スイング!BT17)</f>
        <v>－</v>
      </c>
      <c r="V17" s="508">
        <f>IF($D17="","",IFERROR(出来高!E17/AVERAGE(出来高!E17:I17),""))</f>
        <v>0.74301209471047225</v>
      </c>
      <c r="W17" s="509"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○反発(ダイバ)買</v>
      </c>
      <c r="X17" s="504">
        <f t="shared" si="9"/>
        <v>5</v>
      </c>
      <c r="Y17" s="501">
        <f t="shared" si="4"/>
        <v>5772</v>
      </c>
      <c r="Z17" s="501">
        <f t="shared" si="5"/>
        <v>6666.5014862920889</v>
      </c>
      <c r="AA17" s="501">
        <f t="shared" si="6"/>
        <v>5532</v>
      </c>
      <c r="AB17" s="501">
        <f t="shared" si="10"/>
        <v>7228.302972584177</v>
      </c>
      <c r="AC17" s="507">
        <f t="shared" si="7"/>
        <v>6.07</v>
      </c>
      <c r="AD17" s="501">
        <f>IF($D17="","",MIN(終値!E17:I17))</f>
        <v>5532</v>
      </c>
      <c r="AE17" s="503">
        <f t="shared" si="8"/>
        <v>5.0998299999999999</v>
      </c>
    </row>
    <row r="18" spans="1:31">
      <c r="A18" s="500" t="str">
        <f>IF(終値!A18="","",HYPERLINK("https://kabutan.jp/stock/?code="&amp;終値!A18,"📈"))</f>
        <v>📈</v>
      </c>
      <c r="B18" s="500" t="str">
        <f>IF(終値!A18="","",終値!A18)</f>
        <v>1662</v>
      </c>
      <c r="C18" s="499" t="str">
        <f>IF(終値!A18="","",終値!B18)</f>
        <v>石油資源開発</v>
      </c>
      <c r="D18" s="501">
        <f>IF(終値!A18="","",終値!E18)</f>
        <v>1718</v>
      </c>
      <c r="E18" s="501">
        <f>IF($D18="","",AVERAGE(終値!E18:X18))</f>
        <v>1715.6315789473683</v>
      </c>
      <c r="F18" s="502">
        <f>IF($D18="","",STDEVP(終値!E18:X18))</f>
        <v>35.641800601800469</v>
      </c>
      <c r="G18" s="501">
        <f>IF($D18="","",$E18+BB設定!$B$4*$F18)</f>
        <v>1786.9151801509693</v>
      </c>
      <c r="H18" s="501">
        <f>IF($D18="","",$E18+BB設定!$B$5*$F18)</f>
        <v>1751.2733795491688</v>
      </c>
      <c r="I18" s="501">
        <f>IF($D18="","",$E18-BB設定!$B$5*$F18)</f>
        <v>1679.9897783455679</v>
      </c>
      <c r="J18" s="501">
        <f>IF($D18="","",$E18-BB設定!$B$4*$F18)</f>
        <v>1644.3479777437674</v>
      </c>
      <c r="K18" s="506">
        <f t="shared" si="0"/>
        <v>0.51661266415165363</v>
      </c>
      <c r="L18" s="505">
        <f t="shared" si="1"/>
        <v>8.3098961430095883</v>
      </c>
      <c r="M18" s="505">
        <f>IF($D18="","",IFERROR(MIN(BB_帯幅!B18:AP18)*100,""))</f>
        <v>6.9163206300637396</v>
      </c>
      <c r="N18" s="500" t="str">
        <f>IF($L18="","",IF($L18&lt;=$M18*BB設定!$B$7,"スクイーズ★",IF($L18&lt;=$M18*1.3,"収縮","－")))</f>
        <v>収縮</v>
      </c>
      <c r="O18" s="500" t="str">
        <f>IF($D18="","",IF(AND(BB_帯幅!B18&gt;BB_帯幅!C18,BB_帯幅!C18&gt;BB_帯幅!D18),"拡大↑","縮小↓"))</f>
        <v>縮小↓</v>
      </c>
      <c r="P18" s="500" t="str">
        <f t="shared" si="2"/>
        <v>バンド内</v>
      </c>
      <c r="Q18" s="503">
        <f>IF($D18="","",IFERROR(100-100/(1+SUMPRODUCT((終値!E18:R18&gt;終値!F18:S18)*(終値!E18:R18-終値!F18:S18))/SUMPRODUCT((終値!E18:R18&lt;終値!F18:S18)*(終値!F18:S18-終値!E18:R18))),100))</f>
        <v>50.170469446629951</v>
      </c>
      <c r="R18" s="503">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51.803334250632474</v>
      </c>
      <c r="S18" s="500"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v>
      </c>
      <c r="T18" s="500" t="str">
        <f t="shared" si="3"/>
        <v>－</v>
      </c>
      <c r="U18" s="500" t="str">
        <f>IF(終値!A18="","",BB_スイング!BT18)</f>
        <v>－</v>
      </c>
      <c r="V18" s="508">
        <f>IF($D18="","",IFERROR(出来高!E18/AVERAGE(出来高!E18:I18),""))</f>
        <v>1.6432012316249502</v>
      </c>
      <c r="W18" s="509"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・押し目注目</v>
      </c>
      <c r="X18" s="504">
        <f t="shared" si="9"/>
        <v>33</v>
      </c>
      <c r="Y18" s="501">
        <f t="shared" si="4"/>
        <v>1718</v>
      </c>
      <c r="Z18" s="501">
        <f t="shared" si="5"/>
        <v>1751.2733795491688</v>
      </c>
      <c r="AA18" s="501">
        <f t="shared" si="6"/>
        <v>1715.6315789473683</v>
      </c>
      <c r="AB18" s="501">
        <f t="shared" si="10"/>
        <v>1786.9151801509693</v>
      </c>
      <c r="AC18" s="507">
        <f t="shared" si="7"/>
        <v>20</v>
      </c>
      <c r="AD18" s="501">
        <f>IF($D18="","",MIN(終値!E18:I18))</f>
        <v>1691</v>
      </c>
      <c r="AE18" s="503">
        <f t="shared" si="8"/>
        <v>33.099820000000001</v>
      </c>
    </row>
    <row r="19" spans="1:31" ht="24">
      <c r="A19" s="500" t="str">
        <f>IF(終値!A19="","",HYPERLINK("https://kabutan.jp/stock/?code="&amp;終値!A19,"📈"))</f>
        <v>📈</v>
      </c>
      <c r="B19" s="500" t="str">
        <f>IF(終値!A19="","",終値!A19)</f>
        <v>8411</v>
      </c>
      <c r="C19" s="499" t="str">
        <f>IF(終値!A19="","",終値!B19)</f>
        <v>みずほフィナンシャルＧ</v>
      </c>
      <c r="D19" s="501">
        <f>IF(終値!A19="","",終値!E19)</f>
        <v>8499</v>
      </c>
      <c r="E19" s="501">
        <f>IF($D19="","",AVERAGE(終値!E19:X19))</f>
        <v>8330.15</v>
      </c>
      <c r="F19" s="502">
        <f>IF($D19="","",STDEVP(終値!E19:X19))</f>
        <v>246.55126748812305</v>
      </c>
      <c r="G19" s="501">
        <f>IF($D19="","",$E19+BB設定!$B$4*$F19)</f>
        <v>8823.2525349762454</v>
      </c>
      <c r="H19" s="501">
        <f>IF($D19="","",$E19+BB設定!$B$5*$F19)</f>
        <v>8576.7012674881225</v>
      </c>
      <c r="I19" s="501">
        <f>IF($D19="","",$E19-BB設定!$B$5*$F19)</f>
        <v>8083.5987325118767</v>
      </c>
      <c r="J19" s="501">
        <f>IF($D19="","",$E19-BB設定!$B$4*$F19)</f>
        <v>7837.0474650237538</v>
      </c>
      <c r="K19" s="506">
        <f t="shared" si="0"/>
        <v>0.67121185557090512</v>
      </c>
      <c r="L19" s="505">
        <f t="shared" si="1"/>
        <v>11.838983331062366</v>
      </c>
      <c r="M19" s="505">
        <f>IF($D19="","",IFERROR(MIN(BB_帯幅!B19:AP19)*100,""))</f>
        <v>9.5287107288350441</v>
      </c>
      <c r="N19" s="500" t="str">
        <f>IF($L19="","",IF($L19&lt;=$M19*BB設定!$B$7,"スクイーズ★",IF($L19&lt;=$M19*1.3,"収縮","－")))</f>
        <v>収縮</v>
      </c>
      <c r="O19" s="500" t="str">
        <f>IF($D19="","",IF(AND(BB_帯幅!B19&gt;BB_帯幅!C19,BB_帯幅!C19&gt;BB_帯幅!D19),"拡大↑","縮小↓"))</f>
        <v>拡大↑</v>
      </c>
      <c r="P19" s="500" t="str">
        <f t="shared" si="2"/>
        <v>バンド内</v>
      </c>
      <c r="Q19" s="503">
        <f>IF($D19="","",IFERROR(100-100/(1+SUMPRODUCT((終値!E19:R19&gt;終値!F19:S19)*(終値!E19:R19-終値!F19:S19))/SUMPRODUCT((終値!E19:R19&lt;終値!F19:S19)*(終値!F19:S19-終値!E19:R19))),100))</f>
        <v>48.108925869894101</v>
      </c>
      <c r="R19" s="503">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48.878447275770043</v>
      </c>
      <c r="S19" s="500"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0" t="str">
        <f t="shared" si="3"/>
        <v>－</v>
      </c>
      <c r="U19" s="500" t="str">
        <f>IF(終値!A19="","",BB_スイング!BT19)</f>
        <v>二番底W形成</v>
      </c>
      <c r="V19" s="508">
        <f>IF($D19="","",IFERROR(出来高!E19/AVERAGE(出来高!E19:I19),""))</f>
        <v>0.8944840947536784</v>
      </c>
      <c r="W19" s="509"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4">
        <f t="shared" si="9"/>
        <v>30</v>
      </c>
      <c r="Y19" s="501">
        <f t="shared" si="4"/>
        <v>8499</v>
      </c>
      <c r="Z19" s="501">
        <f t="shared" si="5"/>
        <v>8576.7012674881225</v>
      </c>
      <c r="AA19" s="501">
        <f t="shared" si="6"/>
        <v>8330.15</v>
      </c>
      <c r="AB19" s="501">
        <f t="shared" si="10"/>
        <v>8823.2525349762454</v>
      </c>
      <c r="AC19" s="507">
        <f t="shared" si="7"/>
        <v>1.92</v>
      </c>
      <c r="AD19" s="501">
        <f>IF($D19="","",MIN(終値!E19:I19))</f>
        <v>8094</v>
      </c>
      <c r="AE19" s="503">
        <f t="shared" si="8"/>
        <v>30.099810000000002</v>
      </c>
    </row>
    <row r="20" spans="1:31">
      <c r="A20" s="500" t="str">
        <f>IF(終値!A20="","",HYPERLINK("https://kabutan.jp/stock/?code="&amp;終値!A20,"📈"))</f>
        <v>📈</v>
      </c>
      <c r="B20" s="500" t="str">
        <f>IF(終値!A20="","",終値!A20)</f>
        <v>5541</v>
      </c>
      <c r="C20" s="499" t="str">
        <f>IF(終値!A20="","",終値!B20)</f>
        <v>大平洋金属</v>
      </c>
      <c r="D20" s="501">
        <f>IF(終値!A20="","",終値!E20)</f>
        <v>2538</v>
      </c>
      <c r="E20" s="501">
        <f>IF($D20="","",AVERAGE(終値!E20:X20))</f>
        <v>2351.8421052631579</v>
      </c>
      <c r="F20" s="502">
        <f>IF($D20="","",STDEVP(終値!E20:X20))</f>
        <v>101.97536501161483</v>
      </c>
      <c r="G20" s="501">
        <f>IF($D20="","",$E20+BB設定!$B$4*$F20)</f>
        <v>2555.7928352863873</v>
      </c>
      <c r="H20" s="501">
        <f>IF($D20="","",$E20+BB設定!$B$5*$F20)</f>
        <v>2453.8174702747729</v>
      </c>
      <c r="I20" s="501">
        <f>IF($D20="","",$E20-BB設定!$B$5*$F20)</f>
        <v>2249.866740251543</v>
      </c>
      <c r="J20" s="501">
        <f>IF($D20="","",$E20-BB設定!$B$4*$F20)</f>
        <v>2147.8913752399285</v>
      </c>
      <c r="K20" s="506">
        <f t="shared" si="0"/>
        <v>0.95637957440907229</v>
      </c>
      <c r="L20" s="505">
        <f t="shared" si="1"/>
        <v>17.343913485247214</v>
      </c>
      <c r="M20" s="505">
        <f>IF($D20="","",IFERROR(MIN(BB_帯幅!B20:AP20)*100,""))</f>
        <v>9.4777510537993876</v>
      </c>
      <c r="N20" s="500" t="str">
        <f>IF($L20="","",IF($L20&lt;=$M20*BB設定!$B$7,"スクイーズ★",IF($L20&lt;=$M20*1.3,"収縮","－")))</f>
        <v>－</v>
      </c>
      <c r="O20" s="500" t="str">
        <f>IF($D20="","",IF(AND(BB_帯幅!B20&gt;BB_帯幅!C20,BB_帯幅!C20&gt;BB_帯幅!D20),"拡大↑","縮小↓"))</f>
        <v>拡大↑</v>
      </c>
      <c r="P20" s="500" t="str">
        <f t="shared" si="2"/>
        <v>+1σ上</v>
      </c>
      <c r="Q20" s="503">
        <f>IF($D20="","",IFERROR(100-100/(1+SUMPRODUCT((終値!E20:R20&gt;終値!F20:S20)*(終値!E20:R20-終値!F20:S20))/SUMPRODUCT((終値!E20:R20&lt;終値!F20:S20)*(終値!F20:S20-終値!E20:R20))),100))</f>
        <v>52.356935014548981</v>
      </c>
      <c r="R20" s="503">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62.36011395530717</v>
      </c>
      <c r="S20" s="500"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弱気div▼</v>
      </c>
      <c r="T20" s="500" t="str">
        <f t="shared" si="3"/>
        <v>上walk▲</v>
      </c>
      <c r="U20" s="500" t="str">
        <f>IF(終値!A20="","",BB_スイング!BT20)</f>
        <v>－</v>
      </c>
      <c r="V20" s="508">
        <f>IF($D20="","",IFERROR(出来高!E20/AVERAGE(出来高!E20:I20),""))</f>
        <v>1.5056241932509682</v>
      </c>
      <c r="W20" s="509"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様子見</v>
      </c>
      <c r="X20" s="504">
        <f t="shared" si="9"/>
        <v>50</v>
      </c>
      <c r="Y20" s="501">
        <f t="shared" si="4"/>
        <v>2538</v>
      </c>
      <c r="Z20" s="501">
        <f t="shared" si="5"/>
        <v>2453.8174702747729</v>
      </c>
      <c r="AA20" s="501">
        <f t="shared" si="6"/>
        <v>2351.8421052631579</v>
      </c>
      <c r="AB20" s="501">
        <f t="shared" si="10"/>
        <v>2555.7928352863873</v>
      </c>
      <c r="AC20" s="507">
        <f t="shared" si="7"/>
        <v>0.1</v>
      </c>
      <c r="AD20" s="501">
        <f>IF($D20="","",MIN(終値!E20:I20))</f>
        <v>2430</v>
      </c>
      <c r="AE20" s="503">
        <f t="shared" si="8"/>
        <v>50.099800000000002</v>
      </c>
    </row>
    <row r="21" spans="1:31">
      <c r="A21" s="500" t="str">
        <f>IF(終値!A21="","",HYPERLINK("https://kabutan.jp/stock/?code="&amp;終値!A21,"📈"))</f>
        <v>📈</v>
      </c>
      <c r="B21" s="500" t="str">
        <f>IF(終値!A21="","",終値!A21)</f>
        <v>5332</v>
      </c>
      <c r="C21" s="499" t="str">
        <f>IF(終値!A21="","",終値!B21)</f>
        <v>ＴＯＴＯ</v>
      </c>
      <c r="D21" s="501">
        <f>IF(終値!A21="","",終値!E21)</f>
        <v>6528</v>
      </c>
      <c r="E21" s="501">
        <f>IF($D21="","",AVERAGE(終値!E21:X21))</f>
        <v>7298.6315789473683</v>
      </c>
      <c r="F21" s="502">
        <f>IF($D21="","",STDEVP(終値!E21:X21))</f>
        <v>630.18879464610188</v>
      </c>
      <c r="G21" s="501">
        <f>IF($D21="","",$E21+BB設定!$B$4*$F21)</f>
        <v>8559.0091682395723</v>
      </c>
      <c r="H21" s="501">
        <f>IF($D21="","",$E21+BB設定!$B$5*$F21)</f>
        <v>7928.8203735934703</v>
      </c>
      <c r="I21" s="501">
        <f>IF($D21="","",$E21-BB設定!$B$5*$F21)</f>
        <v>6668.4427843012663</v>
      </c>
      <c r="J21" s="501">
        <f>IF($D21="","",$E21-BB設定!$B$4*$F21)</f>
        <v>6038.2539896551643</v>
      </c>
      <c r="K21" s="506">
        <f t="shared" si="0"/>
        <v>0.19428543259796638</v>
      </c>
      <c r="L21" s="505">
        <f t="shared" si="1"/>
        <v>34.537367057345826</v>
      </c>
      <c r="M21" s="505">
        <f>IF($D21="","",IFERROR(MIN(BB_帯幅!B21:AP21)*100,""))</f>
        <v>14.459579532758502</v>
      </c>
      <c r="N21" s="500" t="str">
        <f>IF($L21="","",IF($L21&lt;=$M21*BB設定!$B$7,"スクイーズ★",IF($L21&lt;=$M21*1.3,"収縮","－")))</f>
        <v>－</v>
      </c>
      <c r="O21" s="500" t="str">
        <f>IF($D21="","",IF(AND(BB_帯幅!B21&gt;BB_帯幅!C21,BB_帯幅!C21&gt;BB_帯幅!D21),"拡大↑","縮小↓"))</f>
        <v>縮小↓</v>
      </c>
      <c r="P21" s="500" t="str">
        <f t="shared" si="2"/>
        <v>-1σ下</v>
      </c>
      <c r="Q21" s="503">
        <f>IF($D21="","",IFERROR(100-100/(1+SUMPRODUCT((終値!E21:R21&gt;終値!F21:S21)*(終値!E21:R21-終値!F21:S21))/SUMPRODUCT((終値!E21:R21&lt;終値!F21:S21)*(終値!F21:S21-終値!E21:R21))),100))</f>
        <v>46.101396678763884</v>
      </c>
      <c r="R21" s="503">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42.849062317078811</v>
      </c>
      <c r="S21" s="500"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強気div▲</v>
      </c>
      <c r="T21" s="500" t="str">
        <f t="shared" si="3"/>
        <v>下walk▼</v>
      </c>
      <c r="U21" s="500" t="str">
        <f>IF(終値!A21="","",BB_スイング!BT21)</f>
        <v>－</v>
      </c>
      <c r="V21" s="508">
        <f>IF($D21="","",IFERROR(出来高!E21/AVERAGE(出来高!E21:I21),""))</f>
        <v>0.72148508479709272</v>
      </c>
      <c r="W21" s="509"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4">
        <f t="shared" si="9"/>
        <v>0</v>
      </c>
      <c r="Y21" s="501">
        <f t="shared" si="4"/>
        <v>6528</v>
      </c>
      <c r="Z21" s="501">
        <f t="shared" si="5"/>
        <v>7928.8203735934703</v>
      </c>
      <c r="AA21" s="501">
        <f t="shared" si="6"/>
        <v>6171</v>
      </c>
      <c r="AB21" s="501">
        <f t="shared" si="10"/>
        <v>8559.0091682395723</v>
      </c>
      <c r="AC21" s="507">
        <f t="shared" si="7"/>
        <v>5.69</v>
      </c>
      <c r="AD21" s="501">
        <f>IF($D21="","",MIN(終値!E21:I21))</f>
        <v>6171</v>
      </c>
      <c r="AE21" s="503">
        <f t="shared" si="8"/>
        <v>9.9790000000000004E-2</v>
      </c>
    </row>
    <row r="22" spans="1:31">
      <c r="A22" s="500" t="str">
        <f>IF(終値!A22="","",HYPERLINK("https://kabutan.jp/stock/?code="&amp;終値!A22,"📈"))</f>
        <v>📈</v>
      </c>
      <c r="B22" s="500" t="str">
        <f>IF(終値!A22="","",終値!A22)</f>
        <v>8725</v>
      </c>
      <c r="C22" s="499" t="str">
        <f>IF(終値!A22="","",終値!B22)</f>
        <v>ＭＳ＆ＡＤ</v>
      </c>
      <c r="D22" s="501">
        <f>IF(終値!A22="","",終値!E22)</f>
        <v>4827</v>
      </c>
      <c r="E22" s="501">
        <f>IF($D22="","",AVERAGE(終値!E22:X22))</f>
        <v>4748.2</v>
      </c>
      <c r="F22" s="502">
        <f>IF($D22="","",STDEVP(終値!E22:X22))</f>
        <v>208.1452857981655</v>
      </c>
      <c r="G22" s="501">
        <f>IF($D22="","",$E22+BB設定!$B$4*$F22)</f>
        <v>5164.4905715963305</v>
      </c>
      <c r="H22" s="501">
        <f>IF($D22="","",$E22+BB設定!$B$5*$F22)</f>
        <v>4956.3452857981656</v>
      </c>
      <c r="I22" s="501">
        <f>IF($D22="","",$E22-BB設定!$B$5*$F22)</f>
        <v>4540.054714201834</v>
      </c>
      <c r="J22" s="501">
        <f>IF($D22="","",$E22-BB設定!$B$4*$F22)</f>
        <v>4331.9094284036692</v>
      </c>
      <c r="K22" s="506">
        <f t="shared" si="0"/>
        <v>0.59464542963083378</v>
      </c>
      <c r="L22" s="505">
        <f t="shared" si="1"/>
        <v>17.534668783805682</v>
      </c>
      <c r="M22" s="505">
        <f>IF($D22="","",IFERROR(MIN(BB_帯幅!B22:AP22)*100,""))</f>
        <v>9.5847429976825111</v>
      </c>
      <c r="N22" s="500" t="str">
        <f>IF($L22="","",IF($L22&lt;=$M22*BB設定!$B$7,"スクイーズ★",IF($L22&lt;=$M22*1.3,"収縮","－")))</f>
        <v>－</v>
      </c>
      <c r="O22" s="500" t="str">
        <f>IF($D22="","",IF(AND(BB_帯幅!B22&gt;BB_帯幅!C22,BB_帯幅!C22&gt;BB_帯幅!D22),"拡大↑","縮小↓"))</f>
        <v>縮小↓</v>
      </c>
      <c r="P22" s="500" t="str">
        <f t="shared" si="2"/>
        <v>バンド内</v>
      </c>
      <c r="Q22" s="503">
        <f>IF($D22="","",IFERROR(100-100/(1+SUMPRODUCT((終値!E22:R22&gt;終値!F22:S22)*(終値!E22:R22-終値!F22:S22))/SUMPRODUCT((終値!E22:R22&lt;終値!F22:S22)*(終値!F22:S22-終値!E22:R22))),100))</f>
        <v>62.036156041864892</v>
      </c>
      <c r="R22" s="503">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57.297965343343087</v>
      </c>
      <c r="S22" s="500"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0" t="str">
        <f t="shared" si="3"/>
        <v>－</v>
      </c>
      <c r="U22" s="500" t="str">
        <f>IF(終値!A22="","",BB_スイング!BT22)</f>
        <v>－</v>
      </c>
      <c r="V22" s="508">
        <f>IF($D22="","",IFERROR(出来高!E22/AVERAGE(出来高!E22:I22),""))</f>
        <v>0.79803238209117733</v>
      </c>
      <c r="W22" s="509"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・押し目注目</v>
      </c>
      <c r="X22" s="504">
        <f t="shared" si="9"/>
        <v>20</v>
      </c>
      <c r="Y22" s="501">
        <f t="shared" si="4"/>
        <v>4827</v>
      </c>
      <c r="Z22" s="501">
        <f t="shared" si="5"/>
        <v>4956.3452857981656</v>
      </c>
      <c r="AA22" s="501">
        <f t="shared" si="6"/>
        <v>4748.2</v>
      </c>
      <c r="AB22" s="501">
        <f t="shared" si="10"/>
        <v>5164.4905715963305</v>
      </c>
      <c r="AC22" s="507">
        <f t="shared" si="7"/>
        <v>4.28</v>
      </c>
      <c r="AD22" s="501">
        <f>IF($D22="","",MIN(終値!E22:I22))</f>
        <v>4742</v>
      </c>
      <c r="AE22" s="503">
        <f t="shared" si="8"/>
        <v>20.099779999999999</v>
      </c>
    </row>
    <row r="23" spans="1:31" ht="24">
      <c r="A23" s="500" t="str">
        <f>IF(終値!A23="","",HYPERLINK("https://kabutan.jp/stock/?code="&amp;終値!A23,"📈"))</f>
        <v>📈</v>
      </c>
      <c r="B23" s="500" t="str">
        <f>IF(終値!A23="","",終値!A23)</f>
        <v>8795</v>
      </c>
      <c r="C23" s="499" t="str">
        <f>IF(終値!A23="","",終値!B23)</f>
        <v>Ｔ＆Ｄホールディングス</v>
      </c>
      <c r="D23" s="501">
        <f>IF(終値!A23="","",終値!E23)</f>
        <v>4962</v>
      </c>
      <c r="E23" s="501">
        <f>IF($D23="","",AVERAGE(終値!E23:X23))</f>
        <v>4997.9473684210525</v>
      </c>
      <c r="F23" s="502">
        <f>IF($D23="","",STDEVP(終値!E23:X23))</f>
        <v>81.095443238984913</v>
      </c>
      <c r="G23" s="501">
        <f>IF($D23="","",$E23+BB設定!$B$4*$F23)</f>
        <v>5160.1382548990223</v>
      </c>
      <c r="H23" s="501">
        <f>IF($D23="","",$E23+BB設定!$B$5*$F23)</f>
        <v>5079.0428116600378</v>
      </c>
      <c r="I23" s="501">
        <f>IF($D23="","",$E23-BB設定!$B$5*$F23)</f>
        <v>4916.8519251820671</v>
      </c>
      <c r="J23" s="501">
        <f>IF($D23="","",$E23-BB設定!$B$4*$F23)</f>
        <v>4835.7564819430827</v>
      </c>
      <c r="K23" s="506">
        <f t="shared" si="0"/>
        <v>0.38918191027356158</v>
      </c>
      <c r="L23" s="505">
        <f t="shared" si="1"/>
        <v>6.490299898024297</v>
      </c>
      <c r="M23" s="505">
        <f>IF($D23="","",IFERROR(MIN(BB_帯幅!B23:AP23)*100,""))</f>
        <v>6.490299898024297</v>
      </c>
      <c r="N23" s="500" t="str">
        <f>IF($L23="","",IF($L23&lt;=$M23*BB設定!$B$7,"スクイーズ★",IF($L23&lt;=$M23*1.3,"収縮","－")))</f>
        <v>スクイーズ★</v>
      </c>
      <c r="O23" s="500" t="str">
        <f>IF($D23="","",IF(AND(BB_帯幅!B23&gt;BB_帯幅!C23,BB_帯幅!C23&gt;BB_帯幅!D23),"拡大↑","縮小↓"))</f>
        <v>縮小↓</v>
      </c>
      <c r="P23" s="500" t="str">
        <f t="shared" si="2"/>
        <v>バンド内</v>
      </c>
      <c r="Q23" s="503">
        <f>IF($D23="","",IFERROR(100-100/(1+SUMPRODUCT((終値!E23:R23&gt;終値!F23:S23)*(終値!E23:R23-終値!F23:S23))/SUMPRODUCT((終値!E23:R23&lt;終値!F23:S23)*(終値!F23:S23-終値!E23:R23))),100))</f>
        <v>49.612266478674655</v>
      </c>
      <c r="R23" s="503">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47.27738184464954</v>
      </c>
      <c r="S23" s="500"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0" t="str">
        <f t="shared" si="3"/>
        <v>－</v>
      </c>
      <c r="U23" s="500" t="str">
        <f>IF(終値!A23="","",BB_スイング!BT23)</f>
        <v>－</v>
      </c>
      <c r="V23" s="508">
        <f>IF($D23="","",IFERROR(出来高!E23/AVERAGE(出来高!E23:I23),""))</f>
        <v>1.470595993300186</v>
      </c>
      <c r="W23" s="509"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☆スクイーズ監視</v>
      </c>
      <c r="X23" s="504">
        <f t="shared" si="9"/>
        <v>15</v>
      </c>
      <c r="Y23" s="501">
        <f t="shared" si="4"/>
        <v>4962</v>
      </c>
      <c r="Z23" s="501">
        <f t="shared" si="5"/>
        <v>5079.0428116600378</v>
      </c>
      <c r="AA23" s="501">
        <f t="shared" si="6"/>
        <v>4962</v>
      </c>
      <c r="AB23" s="501">
        <f t="shared" si="10"/>
        <v>5160.1382548990223</v>
      </c>
      <c r="AC23" s="507" t="str">
        <f t="shared" si="7"/>
        <v>－</v>
      </c>
      <c r="AD23" s="501">
        <f>IF($D23="","",MIN(終値!E23:I23))</f>
        <v>4962</v>
      </c>
      <c r="AE23" s="503">
        <f t="shared" si="8"/>
        <v>15.099769999999999</v>
      </c>
    </row>
    <row r="24" spans="1:31">
      <c r="A24" s="500" t="str">
        <f>IF(終値!A24="","",HYPERLINK("https://kabutan.jp/stock/?code="&amp;終値!A24,"📈"))</f>
        <v>📈</v>
      </c>
      <c r="B24" s="500" t="str">
        <f>IF(終値!A24="","",終値!A24)</f>
        <v>5019</v>
      </c>
      <c r="C24" s="499" t="str">
        <f>IF(終値!A24="","",終値!B24)</f>
        <v>出光興産</v>
      </c>
      <c r="D24" s="501">
        <f>IF(終値!A24="","",終値!E24)</f>
        <v>1258.5</v>
      </c>
      <c r="E24" s="501">
        <f>IF($D24="","",AVERAGE(終値!E24:X24))</f>
        <v>1280.075</v>
      </c>
      <c r="F24" s="502">
        <f>IF($D24="","",STDEVP(終値!E24:X24))</f>
        <v>33.433618933642229</v>
      </c>
      <c r="G24" s="501">
        <f>IF($D24="","",$E24+BB設定!$B$4*$F24)</f>
        <v>1346.9422378672846</v>
      </c>
      <c r="H24" s="501">
        <f>IF($D24="","",$E24+BB設定!$B$5*$F24)</f>
        <v>1313.5086189336423</v>
      </c>
      <c r="I24" s="501">
        <f>IF($D24="","",$E24-BB設定!$B$5*$F24)</f>
        <v>1246.6413810663578</v>
      </c>
      <c r="J24" s="501">
        <f>IF($D24="","",$E24-BB設定!$B$4*$F24)</f>
        <v>1213.2077621327155</v>
      </c>
      <c r="K24" s="506">
        <f t="shared" si="0"/>
        <v>0.33867286366141475</v>
      </c>
      <c r="L24" s="505">
        <f t="shared" si="1"/>
        <v>10.447393764784801</v>
      </c>
      <c r="M24" s="505">
        <f>IF($D24="","",IFERROR(MIN(BB_帯幅!B24:AP24)*100,""))</f>
        <v>7.7710610986017041</v>
      </c>
      <c r="N24" s="500" t="str">
        <f>IF($L24="","",IF($L24&lt;=$M24*BB設定!$B$7,"スクイーズ★",IF($L24&lt;=$M24*1.3,"収縮","－")))</f>
        <v>－</v>
      </c>
      <c r="O24" s="500" t="str">
        <f>IF($D24="","",IF(AND(BB_帯幅!B24&gt;BB_帯幅!C24,BB_帯幅!C24&gt;BB_帯幅!D24),"拡大↑","縮小↓"))</f>
        <v>縮小↓</v>
      </c>
      <c r="P24" s="500" t="str">
        <f t="shared" si="2"/>
        <v>バンド内</v>
      </c>
      <c r="Q24" s="503">
        <f>IF($D24="","",IFERROR(100-100/(1+SUMPRODUCT((終値!E24:R24&gt;終値!F24:S24)*(終値!E24:R24-終値!F24:S24))/SUMPRODUCT((終値!E24:R24&lt;終値!F24:S24)*(終値!F24:S24-終値!E24:R24))),100))</f>
        <v>46.167883211678834</v>
      </c>
      <c r="R24" s="503">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44.780005575159919</v>
      </c>
      <c r="S24" s="500"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0" t="str">
        <f t="shared" si="3"/>
        <v>－</v>
      </c>
      <c r="U24" s="500" t="str">
        <f>IF(終値!A24="","",BB_スイング!BT24)</f>
        <v>－</v>
      </c>
      <c r="V24" s="508">
        <f>IF($D24="","",IFERROR(出来高!E24/AVERAGE(出来高!E24:I24),""))</f>
        <v>0.90135949889083222</v>
      </c>
      <c r="W24" s="509"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様子見</v>
      </c>
      <c r="X24" s="504">
        <f t="shared" si="9"/>
        <v>5</v>
      </c>
      <c r="Y24" s="501">
        <f t="shared" si="4"/>
        <v>1258.5</v>
      </c>
      <c r="Z24" s="501">
        <f t="shared" si="5"/>
        <v>1313.5086189336423</v>
      </c>
      <c r="AA24" s="501">
        <f t="shared" si="6"/>
        <v>1241</v>
      </c>
      <c r="AB24" s="501">
        <f t="shared" si="10"/>
        <v>1346.9422378672846</v>
      </c>
      <c r="AC24" s="507">
        <f t="shared" si="7"/>
        <v>5.05</v>
      </c>
      <c r="AD24" s="501">
        <f>IF($D24="","",MIN(終値!E24:I24))</f>
        <v>1241</v>
      </c>
      <c r="AE24" s="503">
        <f t="shared" si="8"/>
        <v>5.0997599999999998</v>
      </c>
    </row>
    <row r="25" spans="1:31">
      <c r="A25" s="500" t="str">
        <f>IF(終値!A25="","",HYPERLINK("https://kabutan.jp/stock/?code="&amp;終値!A25,"📈"))</f>
        <v>📈</v>
      </c>
      <c r="B25" s="500" t="str">
        <f>IF(終値!A25="","",終値!A25)</f>
        <v>8053</v>
      </c>
      <c r="C25" s="499" t="str">
        <f>IF(終値!A25="","",終値!B25)</f>
        <v>住友商事</v>
      </c>
      <c r="D25" s="501">
        <f>IF(終値!A25="","",終値!E25)</f>
        <v>1748.5</v>
      </c>
      <c r="E25" s="501">
        <f>IF($D25="","",AVERAGE(終値!E25:X25))</f>
        <v>1608.7249999999999</v>
      </c>
      <c r="F25" s="502">
        <f>IF($D25="","",STDEVP(終値!E25:X25))</f>
        <v>56.849466796092287</v>
      </c>
      <c r="G25" s="501">
        <f>IF($D25="","",$E25+BB設定!$B$4*$F25)</f>
        <v>1722.4239335921845</v>
      </c>
      <c r="H25" s="501">
        <f>IF($D25="","",$E25+BB設定!$B$5*$F25)</f>
        <v>1665.5744667960921</v>
      </c>
      <c r="I25" s="501">
        <f>IF($D25="","",$E25-BB設定!$B$5*$F25)</f>
        <v>1551.8755332039077</v>
      </c>
      <c r="J25" s="501">
        <f>IF($D25="","",$E25-BB設定!$B$4*$F25)</f>
        <v>1495.0260664078153</v>
      </c>
      <c r="K25" s="506">
        <f t="shared" si="0"/>
        <v>1.1146715522475572</v>
      </c>
      <c r="L25" s="505">
        <f t="shared" si="1"/>
        <v>14.135285221797963</v>
      </c>
      <c r="M25" s="505">
        <f>IF($D25="","",IFERROR(MIN(BB_帯幅!B25:AP25)*100,""))</f>
        <v>6.1334543730153319</v>
      </c>
      <c r="N25" s="500" t="str">
        <f>IF($L25="","",IF($L25&lt;=$M25*BB設定!$B$7,"スクイーズ★",IF($L25&lt;=$M25*1.3,"収縮","－")))</f>
        <v>－</v>
      </c>
      <c r="O25" s="500" t="str">
        <f>IF($D25="","",IF(AND(BB_帯幅!B25&gt;BB_帯幅!C25,BB_帯幅!C25&gt;BB_帯幅!D25),"拡大↑","縮小↓"))</f>
        <v>拡大↑</v>
      </c>
      <c r="P25" s="500" t="str">
        <f t="shared" si="2"/>
        <v>↑+2σ突破</v>
      </c>
      <c r="Q25" s="503">
        <f>IF($D25="","",IFERROR(100-100/(1+SUMPRODUCT((終値!E25:R25&gt;終値!F25:S25)*(終値!E25:R25-終値!F25:S25))/SUMPRODUCT((終値!E25:R25&lt;終値!F25:S25)*(終値!F25:S25-終値!E25:R25))),100))</f>
        <v>68.281430219146486</v>
      </c>
      <c r="R25" s="503">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74.553490427341501</v>
      </c>
      <c r="S25" s="500"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0" t="str">
        <f t="shared" si="3"/>
        <v>上walk▲</v>
      </c>
      <c r="U25" s="500" t="str">
        <f>IF(終値!A25="","",BB_スイング!BT25)</f>
        <v>二番底W▲</v>
      </c>
      <c r="V25" s="508">
        <f>IF($D25="","",IFERROR(出来高!E25/AVERAGE(出来高!E25:I25),""))</f>
        <v>0.60042495966212495</v>
      </c>
      <c r="W25" s="509"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△二番底買(確)</v>
      </c>
      <c r="X25" s="504">
        <f t="shared" si="9"/>
        <v>55</v>
      </c>
      <c r="Y25" s="501">
        <f t="shared" si="4"/>
        <v>1748.5</v>
      </c>
      <c r="Z25" s="501">
        <f t="shared" si="5"/>
        <v>1665.5744667960921</v>
      </c>
      <c r="AA25" s="501">
        <f t="shared" si="6"/>
        <v>1608.7249999999999</v>
      </c>
      <c r="AB25" s="501">
        <f t="shared" si="10"/>
        <v>1779.2734003882767</v>
      </c>
      <c r="AC25" s="507">
        <f t="shared" si="7"/>
        <v>0.22</v>
      </c>
      <c r="AD25" s="501">
        <f>IF($D25="","",MIN(終値!E25:I25))</f>
        <v>1660.5</v>
      </c>
      <c r="AE25" s="503">
        <f t="shared" si="8"/>
        <v>55.09975</v>
      </c>
    </row>
    <row r="26" spans="1:31">
      <c r="A26" s="500" t="str">
        <f>IF(終値!A26="","",HYPERLINK("https://kabutan.jp/stock/?code="&amp;終値!A26,"📈"))</f>
        <v>📈</v>
      </c>
      <c r="B26" s="500" t="str">
        <f>IF(終値!A26="","",終値!A26)</f>
        <v>8591</v>
      </c>
      <c r="C26" s="499" t="str">
        <f>IF(終値!A26="","",終値!B26)</f>
        <v>オリックス</v>
      </c>
      <c r="D26" s="501">
        <f>IF(終値!A26="","",終値!E26)</f>
        <v>6513</v>
      </c>
      <c r="E26" s="501">
        <f>IF($D26="","",AVERAGE(終値!E26:X26))</f>
        <v>6458.9</v>
      </c>
      <c r="F26" s="502">
        <f>IF($D26="","",STDEVP(終値!E26:X26))</f>
        <v>113.47330082446707</v>
      </c>
      <c r="G26" s="501">
        <f>IF($D26="","",$E26+BB設定!$B$4*$F26)</f>
        <v>6685.8466016489338</v>
      </c>
      <c r="H26" s="501">
        <f>IF($D26="","",$E26+BB設定!$B$5*$F26)</f>
        <v>6572.3733008244672</v>
      </c>
      <c r="I26" s="501">
        <f>IF($D26="","",$E26-BB設定!$B$5*$F26)</f>
        <v>6345.4266991755321</v>
      </c>
      <c r="J26" s="501">
        <f>IF($D26="","",$E26-BB設定!$B$4*$F26)</f>
        <v>6231.9533983510655</v>
      </c>
      <c r="K26" s="506">
        <f t="shared" si="0"/>
        <v>0.61919103350066496</v>
      </c>
      <c r="L26" s="505">
        <f t="shared" si="1"/>
        <v>7.0274071946905545</v>
      </c>
      <c r="M26" s="505">
        <f>IF($D26="","",IFERROR(MIN(BB_帯幅!B26:AP26)*100,""))</f>
        <v>6.7365572591759042</v>
      </c>
      <c r="N26" s="500" t="str">
        <f>IF($L26="","",IF($L26&lt;=$M26*BB設定!$B$7,"スクイーズ★",IF($L26&lt;=$M26*1.3,"収縮","－")))</f>
        <v>スクイーズ★</v>
      </c>
      <c r="O26" s="500" t="str">
        <f>IF($D26="","",IF(AND(BB_帯幅!B26&gt;BB_帯幅!C26,BB_帯幅!C26&gt;BB_帯幅!D26),"拡大↑","縮小↓"))</f>
        <v>拡大↑</v>
      </c>
      <c r="P26" s="500" t="str">
        <f t="shared" si="2"/>
        <v>バンド内</v>
      </c>
      <c r="Q26" s="503">
        <f>IF($D26="","",IFERROR(100-100/(1+SUMPRODUCT((終値!E26:R26&gt;終値!F26:S26)*(終値!E26:R26-終値!F26:S26))/SUMPRODUCT((終値!E26:R26&lt;終値!F26:S26)*(終値!F26:S26-終値!E26:R26))),100))</f>
        <v>48.003992015968066</v>
      </c>
      <c r="R26" s="503">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52.032162815891773</v>
      </c>
      <c r="S26" s="500"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0" t="str">
        <f t="shared" si="3"/>
        <v>－</v>
      </c>
      <c r="U26" s="500" t="str">
        <f>IF(終値!A26="","",BB_スイング!BT26)</f>
        <v>二番底W形成</v>
      </c>
      <c r="V26" s="508">
        <f>IF($D26="","",IFERROR(出来高!E26/AVERAGE(出来高!E26:I26),""))</f>
        <v>0.86722036783302048</v>
      </c>
      <c r="W26" s="509"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4">
        <f t="shared" si="9"/>
        <v>45</v>
      </c>
      <c r="Y26" s="501">
        <f t="shared" si="4"/>
        <v>6513</v>
      </c>
      <c r="Z26" s="501">
        <f t="shared" si="5"/>
        <v>6572.3733008244672</v>
      </c>
      <c r="AA26" s="501">
        <f t="shared" si="6"/>
        <v>6458.9</v>
      </c>
      <c r="AB26" s="501">
        <f t="shared" si="10"/>
        <v>6685.8466016489338</v>
      </c>
      <c r="AC26" s="507">
        <f t="shared" si="7"/>
        <v>3.19</v>
      </c>
      <c r="AD26" s="501">
        <f>IF($D26="","",MIN(終値!E26:I26))</f>
        <v>6328</v>
      </c>
      <c r="AE26" s="503">
        <f t="shared" si="8"/>
        <v>45.099739999999997</v>
      </c>
    </row>
    <row r="27" spans="1:31">
      <c r="A27" s="500" t="str">
        <f>IF(終値!A27="","",HYPERLINK("https://kabutan.jp/stock/?code="&amp;終値!A27,"📈"))</f>
        <v>📈</v>
      </c>
      <c r="B27" s="500" t="str">
        <f>IF(終値!A27="","",終値!A27)</f>
        <v>3401</v>
      </c>
      <c r="C27" s="499" t="str">
        <f>IF(終値!A27="","",終値!B27)</f>
        <v>帝人</v>
      </c>
      <c r="D27" s="501">
        <f>IF(終値!A27="","",終値!E27)</f>
        <v>1682.5</v>
      </c>
      <c r="E27" s="501">
        <f>IF($D27="","",AVERAGE(終値!E27:X27))</f>
        <v>1679.625</v>
      </c>
      <c r="F27" s="502">
        <f>IF($D27="","",STDEVP(終値!E27:X27))</f>
        <v>32.123540822891862</v>
      </c>
      <c r="G27" s="501">
        <f>IF($D27="","",$E27+BB設定!$B$4*$F27)</f>
        <v>1743.8720816457837</v>
      </c>
      <c r="H27" s="501">
        <f>IF($D27="","",$E27+BB設定!$B$5*$F27)</f>
        <v>1711.7485408228918</v>
      </c>
      <c r="I27" s="501">
        <f>IF($D27="","",$E27-BB設定!$B$5*$F27)</f>
        <v>1647.5014591771082</v>
      </c>
      <c r="J27" s="501">
        <f>IF($D27="","",$E27-BB設定!$B$4*$F27)</f>
        <v>1615.3779183542163</v>
      </c>
      <c r="K27" s="506">
        <f t="shared" si="0"/>
        <v>0.52237455714993297</v>
      </c>
      <c r="L27" s="505">
        <f t="shared" si="1"/>
        <v>7.6501697278599377</v>
      </c>
      <c r="M27" s="505">
        <f>IF($D27="","",IFERROR(MIN(BB_帯幅!B27:AP27)*100,""))</f>
        <v>4.6602284846040725</v>
      </c>
      <c r="N27" s="500" t="str">
        <f>IF($L27="","",IF($L27&lt;=$M27*BB設定!$B$7,"スクイーズ★",IF($L27&lt;=$M27*1.3,"収縮","－")))</f>
        <v>－</v>
      </c>
      <c r="O27" s="500" t="str">
        <f>IF($D27="","",IF(AND(BB_帯幅!B27&gt;BB_帯幅!C27,BB_帯幅!C27&gt;BB_帯幅!D27),"拡大↑","縮小↓"))</f>
        <v>縮小↓</v>
      </c>
      <c r="P27" s="500" t="str">
        <f t="shared" si="2"/>
        <v>バンド内</v>
      </c>
      <c r="Q27" s="503">
        <f>IF($D27="","",IFERROR(100-100/(1+SUMPRODUCT((終値!E27:R27&gt;終値!F27:S27)*(終値!E27:R27-終値!F27:S27))/SUMPRODUCT((終値!E27:R27&lt;終値!F27:S27)*(終値!F27:S27-終値!E27:R27))),100))</f>
        <v>43.492586490939047</v>
      </c>
      <c r="R27" s="503">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52.886067345108565</v>
      </c>
      <c r="S27" s="500"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0" t="str">
        <f t="shared" si="3"/>
        <v>－</v>
      </c>
      <c r="U27" s="500" t="str">
        <f>IF(終値!A27="","",BB_スイング!BT27)</f>
        <v>二番底W形成</v>
      </c>
      <c r="V27" s="508">
        <f>IF($D27="","",IFERROR(出来高!E27/AVERAGE(出来高!E27:I27),""))</f>
        <v>0.95816881531167242</v>
      </c>
      <c r="W27" s="509"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4">
        <f t="shared" si="9"/>
        <v>15</v>
      </c>
      <c r="Y27" s="501">
        <f t="shared" si="4"/>
        <v>1682.5</v>
      </c>
      <c r="Z27" s="501">
        <f t="shared" si="5"/>
        <v>1711.7485408228918</v>
      </c>
      <c r="AA27" s="501">
        <f t="shared" si="6"/>
        <v>1679.625</v>
      </c>
      <c r="AB27" s="501">
        <f t="shared" si="10"/>
        <v>1743.8720816457837</v>
      </c>
      <c r="AC27" s="507">
        <f t="shared" si="7"/>
        <v>20</v>
      </c>
      <c r="AD27" s="501">
        <f>IF($D27="","",MIN(終値!E27:I27))</f>
        <v>1618</v>
      </c>
      <c r="AE27" s="503">
        <f t="shared" si="8"/>
        <v>15.099729999999999</v>
      </c>
    </row>
    <row r="28" spans="1:31">
      <c r="A28" s="500" t="str">
        <f>IF(終値!A28="","",HYPERLINK("https://kabutan.jp/stock/?code="&amp;終値!A28,"📈"))</f>
        <v>📈</v>
      </c>
      <c r="B28" s="500" t="str">
        <f>IF(終値!A28="","",終値!A28)</f>
        <v>3436</v>
      </c>
      <c r="C28" s="499" t="str">
        <f>IF(終値!A28="","",終値!B28)</f>
        <v>ＳＵＭＣＯ</v>
      </c>
      <c r="D28" s="501">
        <f>IF(終値!A28="","",終値!E28)</f>
        <v>3544</v>
      </c>
      <c r="E28" s="501">
        <f>IF($D28="","",AVERAGE(終値!E28:X28))</f>
        <v>6025.3</v>
      </c>
      <c r="F28" s="502">
        <f>IF($D28="","",STDEVP(終値!E28:X28))</f>
        <v>1008.1047614211531</v>
      </c>
      <c r="G28" s="501">
        <f>IF($D28="","",$E28+BB設定!$B$4*$F28)</f>
        <v>8041.5095228423061</v>
      </c>
      <c r="H28" s="501">
        <f>IF($D28="","",$E28+BB設定!$B$5*$F28)</f>
        <v>7033.4047614211531</v>
      </c>
      <c r="I28" s="501">
        <f>IF($D28="","",$E28-BB設定!$B$5*$F28)</f>
        <v>5017.1952385788472</v>
      </c>
      <c r="J28" s="501">
        <f>IF($D28="","",$E28-BB設定!$B$4*$F28)</f>
        <v>4009.0904771576943</v>
      </c>
      <c r="K28" s="506">
        <f t="shared" si="0"/>
        <v>-0.11533783366473825</v>
      </c>
      <c r="L28" s="505">
        <f t="shared" si="1"/>
        <v>66.924784586404186</v>
      </c>
      <c r="M28" s="505">
        <f>IF($D28="","",IFERROR(MIN(BB_帯幅!B28:AP28)*100,""))</f>
        <v>6.7365572591759042</v>
      </c>
      <c r="N28" s="500" t="str">
        <f>IF($L28="","",IF($L28&lt;=$M28*BB設定!$B$7,"スクイーズ★",IF($L28&lt;=$M28*1.3,"収縮","－")))</f>
        <v>－</v>
      </c>
      <c r="O28" s="500" t="str">
        <f>IF($D28="","",IF(AND(BB_帯幅!B28&gt;BB_帯幅!C28,BB_帯幅!C28&gt;BB_帯幅!D28),"拡大↑","縮小↓"))</f>
        <v>拡大↑</v>
      </c>
      <c r="P28" s="500" t="str">
        <f t="shared" si="2"/>
        <v>↓-2σ割れ</v>
      </c>
      <c r="Q28" s="503">
        <f>IF($D28="","",IFERROR(100-100/(1+SUMPRODUCT((終値!E28:R28&gt;終値!F28:S28)*(終値!E28:R28-終値!F28:S28))/SUMPRODUCT((終値!E28:R28&lt;終値!F28:S28)*(終値!F28:S28-終値!E28:R28))),100))</f>
        <v>35.283328506612605</v>
      </c>
      <c r="R28" s="503">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29.148461982434981</v>
      </c>
      <c r="S28" s="500"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0" t="str">
        <f t="shared" si="3"/>
        <v>下walk▼</v>
      </c>
      <c r="U28" s="500" t="str">
        <f>IF(終値!A28="","",BB_スイング!BT28)</f>
        <v>二番天井M▼</v>
      </c>
      <c r="V28" s="508">
        <f>IF($D28="","",IFERROR(出来高!E28/AVERAGE(出来高!E28:I28),""))</f>
        <v>1.9713499704244599</v>
      </c>
      <c r="W28" s="509"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▼二番天井警戒</v>
      </c>
      <c r="X28" s="504">
        <f t="shared" si="9"/>
        <v>0</v>
      </c>
      <c r="Y28" s="501">
        <f t="shared" si="4"/>
        <v>3544</v>
      </c>
      <c r="Z28" s="501">
        <f t="shared" si="5"/>
        <v>7033.4047614211531</v>
      </c>
      <c r="AA28" s="501">
        <f t="shared" si="6"/>
        <v>3544</v>
      </c>
      <c r="AB28" s="501">
        <f t="shared" si="10"/>
        <v>8041.5095228423061</v>
      </c>
      <c r="AC28" s="507" t="str">
        <f t="shared" si="7"/>
        <v>－</v>
      </c>
      <c r="AD28" s="501">
        <f>IF($D28="","",MIN(終値!E28:I28))</f>
        <v>3544</v>
      </c>
      <c r="AE28" s="503">
        <f t="shared" si="8"/>
        <v>9.9720000000000003E-2</v>
      </c>
    </row>
    <row r="29" spans="1:31" ht="24">
      <c r="A29" s="500" t="str">
        <f>IF(終値!A29="","",HYPERLINK("https://kabutan.jp/stock/?code="&amp;終値!A29,"📈"))</f>
        <v>📈</v>
      </c>
      <c r="B29" s="500" t="str">
        <f>IF(終値!A29="","",終値!A29)</f>
        <v>5020</v>
      </c>
      <c r="C29" s="499" t="str">
        <f>IF(終値!A29="","",終値!B29)</f>
        <v>ＥＮＥＯＳホールディングス</v>
      </c>
      <c r="D29" s="501">
        <f>IF(終値!A29="","",終値!E29)</f>
        <v>1300</v>
      </c>
      <c r="E29" s="501">
        <f>IF($D29="","",AVERAGE(終値!E29:X29))</f>
        <v>1289.7249999999999</v>
      </c>
      <c r="F29" s="502">
        <f>IF($D29="","",STDEVP(終値!E29:X29))</f>
        <v>28.652868530044252</v>
      </c>
      <c r="G29" s="501">
        <f>IF($D29="","",$E29+BB設定!$B$4*$F29)</f>
        <v>1347.0307370600883</v>
      </c>
      <c r="H29" s="501">
        <f>IF($D29="","",$E29+BB設定!$B$5*$F29)</f>
        <v>1318.3778685300442</v>
      </c>
      <c r="I29" s="501">
        <f>IF($D29="","",$E29-BB設定!$B$5*$F29)</f>
        <v>1261.0721314699556</v>
      </c>
      <c r="J29" s="501">
        <f>IF($D29="","",$E29-BB設定!$B$4*$F29)</f>
        <v>1232.4192629399115</v>
      </c>
      <c r="K29" s="506">
        <f t="shared" si="0"/>
        <v>0.58965070974679334</v>
      </c>
      <c r="L29" s="505">
        <f t="shared" si="1"/>
        <v>8.8865048068523773</v>
      </c>
      <c r="M29" s="505">
        <f>IF($D29="","",IFERROR(MIN(BB_帯幅!B29:AP29)*100,""))</f>
        <v>6.9048195629834153</v>
      </c>
      <c r="N29" s="500" t="str">
        <f>IF($L29="","",IF($L29&lt;=$M29*BB設定!$B$7,"スクイーズ★",IF($L29&lt;=$M29*1.3,"収縮","－")))</f>
        <v>収縮</v>
      </c>
      <c r="O29" s="500" t="str">
        <f>IF($D29="","",IF(AND(BB_帯幅!B29&gt;BB_帯幅!C29,BB_帯幅!C29&gt;BB_帯幅!D29),"拡大↑","縮小↓"))</f>
        <v>縮小↓</v>
      </c>
      <c r="P29" s="500" t="str">
        <f t="shared" si="2"/>
        <v>バンド内</v>
      </c>
      <c r="Q29" s="503">
        <f>IF($D29="","",IFERROR(100-100/(1+SUMPRODUCT((終値!E29:R29&gt;終値!F29:S29)*(終値!E29:R29-終値!F29:S29))/SUMPRODUCT((終値!E29:R29&lt;終値!F29:S29)*(終値!F29:S29-終値!E29:R29))),100))</f>
        <v>52.931034482758619</v>
      </c>
      <c r="R29" s="503">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52.387573061510544</v>
      </c>
      <c r="S29" s="500"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v>
      </c>
      <c r="T29" s="500" t="str">
        <f t="shared" si="3"/>
        <v>－</v>
      </c>
      <c r="U29" s="500" t="str">
        <f>IF(終値!A29="","",BB_スイング!BT29)</f>
        <v>二番底W形成</v>
      </c>
      <c r="V29" s="508">
        <f>IF($D29="","",IFERROR(出来高!E29/AVERAGE(出来高!E29:I29),""))</f>
        <v>0.90285526198339727</v>
      </c>
      <c r="W29" s="509"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4">
        <f t="shared" si="9"/>
        <v>30</v>
      </c>
      <c r="Y29" s="501">
        <f t="shared" si="4"/>
        <v>1300</v>
      </c>
      <c r="Z29" s="501">
        <f t="shared" si="5"/>
        <v>1318.3778685300442</v>
      </c>
      <c r="AA29" s="501">
        <f t="shared" si="6"/>
        <v>1289.7249999999999</v>
      </c>
      <c r="AB29" s="501">
        <f t="shared" si="10"/>
        <v>1347.0307370600883</v>
      </c>
      <c r="AC29" s="507">
        <f t="shared" si="7"/>
        <v>4.58</v>
      </c>
      <c r="AD29" s="501">
        <f>IF($D29="","",MIN(終値!E29:I29))</f>
        <v>1281.5</v>
      </c>
      <c r="AE29" s="503">
        <f t="shared" si="8"/>
        <v>30.099710000000002</v>
      </c>
    </row>
    <row r="30" spans="1:31" ht="24">
      <c r="A30" s="500" t="str">
        <f>IF(終値!A30="","",HYPERLINK("https://kabutan.jp/stock/?code="&amp;終値!A30,"📈"))</f>
        <v>📈</v>
      </c>
      <c r="B30" s="500" t="str">
        <f>IF(終値!A30="","",終値!A30)</f>
        <v>6254</v>
      </c>
      <c r="C30" s="499" t="str">
        <f>IF(終値!A30="","",終値!B30)</f>
        <v>野村マイクロ・サイエンス</v>
      </c>
      <c r="D30" s="501">
        <f>IF(終値!A30="","",終値!E30)</f>
        <v>4415</v>
      </c>
      <c r="E30" s="501">
        <f>IF($D30="","",AVERAGE(終値!E30:X30))</f>
        <v>4139.25</v>
      </c>
      <c r="F30" s="502">
        <f>IF($D30="","",STDEVP(終値!E30:X30))</f>
        <v>311.40518219836997</v>
      </c>
      <c r="G30" s="501">
        <f>IF($D30="","",$E30+BB設定!$B$4*$F30)</f>
        <v>4762.0603643967397</v>
      </c>
      <c r="H30" s="501">
        <f>IF($D30="","",$E30+BB設定!$B$5*$F30)</f>
        <v>4450.6551821983703</v>
      </c>
      <c r="I30" s="501">
        <f>IF($D30="","",$E30-BB設定!$B$5*$F30)</f>
        <v>3827.8448178016301</v>
      </c>
      <c r="J30" s="501">
        <f>IF($D30="","",$E30-BB設定!$B$4*$F30)</f>
        <v>3516.4396356032603</v>
      </c>
      <c r="K30" s="506">
        <f t="shared" si="0"/>
        <v>0.72137557093088378</v>
      </c>
      <c r="L30" s="505">
        <f t="shared" si="1"/>
        <v>30.092908831152489</v>
      </c>
      <c r="M30" s="505">
        <f>IF($D30="","",IFERROR(MIN(BB_帯幅!B30:AP30)*100,""))</f>
        <v>23.239804084211517</v>
      </c>
      <c r="N30" s="500" t="str">
        <f>IF($L30="","",IF($L30&lt;=$M30*BB設定!$B$7,"スクイーズ★",IF($L30&lt;=$M30*1.3,"収縮","－")))</f>
        <v>収縮</v>
      </c>
      <c r="O30" s="500" t="str">
        <f>IF($D30="","",IF(AND(BB_帯幅!B30&gt;BB_帯幅!C30,BB_帯幅!C30&gt;BB_帯幅!D30),"拡大↑","縮小↓"))</f>
        <v>縮小↓</v>
      </c>
      <c r="P30" s="500" t="str">
        <f t="shared" si="2"/>
        <v>バンド内</v>
      </c>
      <c r="Q30" s="503">
        <f>IF($D30="","",IFERROR(100-100/(1+SUMPRODUCT((終値!E30:R30&gt;終値!F30:S30)*(終値!E30:R30-終値!F30:S30))/SUMPRODUCT((終値!E30:R30&lt;終値!F30:S30)*(終値!F30:S30-終値!E30:R30))),100))</f>
        <v>50.447761194029859</v>
      </c>
      <c r="R30" s="503">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51.484747321384795</v>
      </c>
      <c r="S30" s="500"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0" t="str">
        <f t="shared" si="3"/>
        <v>－</v>
      </c>
      <c r="U30" s="500" t="str">
        <f>IF(終値!A30="","",BB_スイング!BT30)</f>
        <v>－</v>
      </c>
      <c r="V30" s="508">
        <f>IF($D30="","",IFERROR(出来高!E30/AVERAGE(出来高!E30:I30),""))</f>
        <v>0.70320123095398934</v>
      </c>
      <c r="W30" s="509"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4">
        <f t="shared" si="9"/>
        <v>30</v>
      </c>
      <c r="Y30" s="501">
        <f t="shared" si="4"/>
        <v>4415</v>
      </c>
      <c r="Z30" s="501">
        <f t="shared" si="5"/>
        <v>4450.6551821983703</v>
      </c>
      <c r="AA30" s="501">
        <f t="shared" si="6"/>
        <v>4139.25</v>
      </c>
      <c r="AB30" s="501">
        <f t="shared" si="10"/>
        <v>4762.0603643967397</v>
      </c>
      <c r="AC30" s="507">
        <f t="shared" si="7"/>
        <v>1.26</v>
      </c>
      <c r="AD30" s="501">
        <f>IF($D30="","",MIN(終値!E30:I30))</f>
        <v>3970</v>
      </c>
      <c r="AE30" s="503">
        <f t="shared" si="8"/>
        <v>30.099699999999999</v>
      </c>
    </row>
    <row r="31" spans="1:31" ht="24">
      <c r="A31" s="500" t="str">
        <f>IF(終値!A31="","",HYPERLINK("https://kabutan.jp/stock/?code="&amp;終値!A31,"📈"))</f>
        <v>📈</v>
      </c>
      <c r="B31" s="500" t="str">
        <f>IF(終値!A31="","",終値!A31)</f>
        <v>8309</v>
      </c>
      <c r="C31" s="499" t="str">
        <f>IF(終値!A31="","",終値!B31)</f>
        <v>三井住友トラストグルー</v>
      </c>
      <c r="D31" s="501">
        <f>IF(終値!A31="","",終値!E31)</f>
        <v>1679</v>
      </c>
      <c r="E31" s="501">
        <f>IF($D31="","",AVERAGE(終値!E31:X31))</f>
        <v>1670.35</v>
      </c>
      <c r="F31" s="502">
        <f>IF($D31="","",STDEVP(終値!E31:X31))</f>
        <v>31.01687040950457</v>
      </c>
      <c r="G31" s="501">
        <f>IF($D31="","",$E31+BB設定!$B$4*$F31)</f>
        <v>1732.3837408190091</v>
      </c>
      <c r="H31" s="501">
        <f>IF($D31="","",$E31+BB設定!$B$5*$F31)</f>
        <v>1701.3668704095044</v>
      </c>
      <c r="I31" s="501">
        <f>IF($D31="","",$E31-BB設定!$B$5*$F31)</f>
        <v>1639.3331295904954</v>
      </c>
      <c r="J31" s="501">
        <f>IF($D31="","",$E31-BB設定!$B$4*$F31)</f>
        <v>1608.3162591809908</v>
      </c>
      <c r="K31" s="506">
        <f t="shared" si="0"/>
        <v>0.56972012235436109</v>
      </c>
      <c r="L31" s="505">
        <f t="shared" si="1"/>
        <v>7.4276338275222749</v>
      </c>
      <c r="M31" s="505">
        <f>IF($D31="","",IFERROR(MIN(BB_帯幅!B31:AP31)*100,""))</f>
        <v>7.4276338275222731</v>
      </c>
      <c r="N31" s="500" t="str">
        <f>IF($L31="","",IF($L31&lt;=$M31*BB設定!$B$7,"スクイーズ★",IF($L31&lt;=$M31*1.3,"収縮","－")))</f>
        <v>スクイーズ★</v>
      </c>
      <c r="O31" s="500" t="str">
        <f>IF($D31="","",IF(AND(BB_帯幅!B31&gt;BB_帯幅!C31,BB_帯幅!C31&gt;BB_帯幅!D31),"拡大↑","縮小↓"))</f>
        <v>縮小↓</v>
      </c>
      <c r="P31" s="500" t="str">
        <f t="shared" si="2"/>
        <v>バンド内</v>
      </c>
      <c r="Q31" s="503">
        <f>IF($D31="","",IFERROR(100-100/(1+SUMPRODUCT((終値!E31:R31&gt;終値!F31:S31)*(終値!E31:R31-終値!F31:S31))/SUMPRODUCT((終値!E31:R31&lt;終値!F31:S31)*(終値!F31:S31-終値!E31:R31))),100))</f>
        <v>48.664495114006513</v>
      </c>
      <c r="R31" s="503">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41.15283641416945</v>
      </c>
      <c r="S31" s="500"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0" t="str">
        <f t="shared" si="3"/>
        <v>－</v>
      </c>
      <c r="U31" s="500" t="str">
        <f>IF(終値!A31="","",BB_スイング!BT31)</f>
        <v>二番底W形成</v>
      </c>
      <c r="V31" s="508">
        <f>IF($D31="","",IFERROR(出来高!E31/AVERAGE(出来高!E31:I31),""))</f>
        <v>0.68725510322482752</v>
      </c>
      <c r="W31" s="509"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△二番底形成</v>
      </c>
      <c r="X31" s="504">
        <f t="shared" si="9"/>
        <v>30</v>
      </c>
      <c r="Y31" s="501">
        <f t="shared" si="4"/>
        <v>1679</v>
      </c>
      <c r="Z31" s="501">
        <f t="shared" si="5"/>
        <v>1701.3668704095044</v>
      </c>
      <c r="AA31" s="501">
        <f t="shared" si="6"/>
        <v>1670.35</v>
      </c>
      <c r="AB31" s="501">
        <f t="shared" si="10"/>
        <v>1732.3837408190091</v>
      </c>
      <c r="AC31" s="507">
        <f t="shared" si="7"/>
        <v>6.17</v>
      </c>
      <c r="AD31" s="501">
        <f>IF($D31="","",MIN(終値!E31:I31))</f>
        <v>1626.5</v>
      </c>
      <c r="AE31" s="503">
        <f t="shared" si="8"/>
        <v>30.099689999999999</v>
      </c>
    </row>
    <row r="32" spans="1:31">
      <c r="A32" s="500" t="str">
        <f>IF(終値!A32="","",HYPERLINK("https://kabutan.jp/stock/?code="&amp;終値!A32,"📈"))</f>
        <v>📈</v>
      </c>
      <c r="B32" s="500" t="str">
        <f>IF(終値!A32="","",終値!A32)</f>
        <v>3863</v>
      </c>
      <c r="C32" s="499" t="str">
        <f>IF(終値!A32="","",終値!B32)</f>
        <v>日本製紙</v>
      </c>
      <c r="D32" s="501">
        <f>IF(終値!A32="","",終値!E32)</f>
        <v>1365</v>
      </c>
      <c r="E32" s="501">
        <f>IF($D32="","",AVERAGE(終値!E32:X32))</f>
        <v>1417.2</v>
      </c>
      <c r="F32" s="502">
        <f>IF($D32="","",STDEVP(終値!E32:X32))</f>
        <v>83.848434690219477</v>
      </c>
      <c r="G32" s="501">
        <f>IF($D32="","",$E32+BB設定!$B$4*$F32)</f>
        <v>1584.8968693804391</v>
      </c>
      <c r="H32" s="501">
        <f>IF($D32="","",$E32+BB設定!$B$5*$F32)</f>
        <v>1501.0484346902194</v>
      </c>
      <c r="I32" s="501">
        <f>IF($D32="","",$E32-BB設定!$B$5*$F32)</f>
        <v>1333.3515653097807</v>
      </c>
      <c r="J32" s="501">
        <f>IF($D32="","",$E32-BB設定!$B$4*$F32)</f>
        <v>1249.503130619561</v>
      </c>
      <c r="K32" s="506">
        <f t="shared" si="0"/>
        <v>0.34436203194235387</v>
      </c>
      <c r="L32" s="505">
        <f t="shared" si="1"/>
        <v>23.66594261648871</v>
      </c>
      <c r="M32" s="505">
        <f>IF($D32="","",IFERROR(MIN(BB_帯幅!B32:AP32)*100,""))</f>
        <v>7.9983958053641935</v>
      </c>
      <c r="N32" s="500" t="str">
        <f>IF($L32="","",IF($L32&lt;=$M32*BB設定!$B$7,"スクイーズ★",IF($L32&lt;=$M32*1.3,"収縮","－")))</f>
        <v>－</v>
      </c>
      <c r="O32" s="500" t="str">
        <f>IF($D32="","",IF(AND(BB_帯幅!B32&gt;BB_帯幅!C32,BB_帯幅!C32&gt;BB_帯幅!D32),"拡大↑","縮小↓"))</f>
        <v>縮小↓</v>
      </c>
      <c r="P32" s="500" t="str">
        <f t="shared" si="2"/>
        <v>バンド内</v>
      </c>
      <c r="Q32" s="503">
        <f>IF($D32="","",IFERROR(100-100/(1+SUMPRODUCT((終値!E32:R32&gt;終値!F32:S32)*(終値!E32:R32-終値!F32:S32))/SUMPRODUCT((終値!E32:R32&lt;終値!F32:S32)*(終値!F32:S32-終値!E32:R32))),100))</f>
        <v>46.494464944649444</v>
      </c>
      <c r="R32" s="503">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42.063930292425539</v>
      </c>
      <c r="S32" s="500"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v>
      </c>
      <c r="T32" s="500" t="str">
        <f t="shared" si="3"/>
        <v>－</v>
      </c>
      <c r="U32" s="500" t="str">
        <f>IF(終値!A32="","",BB_スイング!BT32)</f>
        <v>－</v>
      </c>
      <c r="V32" s="508">
        <f>IF($D32="","",IFERROR(出来高!E32/AVERAGE(出来高!E32:I32),""))</f>
        <v>1.25313047833709</v>
      </c>
      <c r="W32" s="509"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4">
        <f t="shared" si="9"/>
        <v>0</v>
      </c>
      <c r="Y32" s="501">
        <f t="shared" si="4"/>
        <v>1365</v>
      </c>
      <c r="Z32" s="501">
        <f t="shared" si="5"/>
        <v>1501.0484346902194</v>
      </c>
      <c r="AA32" s="501">
        <f t="shared" si="6"/>
        <v>1303</v>
      </c>
      <c r="AB32" s="501">
        <f t="shared" si="10"/>
        <v>1584.8968693804391</v>
      </c>
      <c r="AC32" s="507">
        <f t="shared" si="7"/>
        <v>3.55</v>
      </c>
      <c r="AD32" s="501">
        <f>IF($D32="","",MIN(終値!E32:I32))</f>
        <v>1303</v>
      </c>
      <c r="AE32" s="503">
        <f t="shared" si="8"/>
        <v>9.9680000000000005E-2</v>
      </c>
    </row>
    <row r="33" spans="1:31">
      <c r="A33" s="500" t="str">
        <f>IF(終値!A33="","",HYPERLINK("https://kabutan.jp/stock/?code="&amp;終値!A33,"📈"))</f>
        <v>📈</v>
      </c>
      <c r="B33" s="500" t="str">
        <f>IF(終値!A33="","",終値!A33)</f>
        <v>8601</v>
      </c>
      <c r="C33" s="499" t="str">
        <f>IF(終値!A33="","",終値!B33)</f>
        <v>大和証券Ｇ本社</v>
      </c>
      <c r="D33" s="501">
        <f>IF(終値!A33="","",終値!E33)</f>
        <v>1825.5</v>
      </c>
      <c r="E33" s="501">
        <f>IF($D33="","",AVERAGE(終値!E33:X33))</f>
        <v>1815.325</v>
      </c>
      <c r="F33" s="502">
        <f>IF($D33="","",STDEVP(終値!E33:X33))</f>
        <v>39.068937469555024</v>
      </c>
      <c r="G33" s="501">
        <f>IF($D33="","",$E33+BB設定!$B$4*$F33)</f>
        <v>1893.4628749391102</v>
      </c>
      <c r="H33" s="501">
        <f>IF($D33="","",$E33+BB設定!$B$5*$F33)</f>
        <v>1854.3939374695551</v>
      </c>
      <c r="I33" s="501">
        <f>IF($D33="","",$E33-BB設定!$B$5*$F33)</f>
        <v>1776.256062530445</v>
      </c>
      <c r="J33" s="501">
        <f>IF($D33="","",$E33-BB設定!$B$4*$F33)</f>
        <v>1737.1871250608899</v>
      </c>
      <c r="K33" s="506">
        <f t="shared" si="0"/>
        <v>0.56510927004304212</v>
      </c>
      <c r="L33" s="505">
        <f t="shared" si="1"/>
        <v>8.6086926516309887</v>
      </c>
      <c r="M33" s="505">
        <f>IF($D33="","",IFERROR(MIN(BB_帯幅!B33:AP33)*100,""))</f>
        <v>7.6409937947933857</v>
      </c>
      <c r="N33" s="500" t="str">
        <f>IF($L33="","",IF($L33&lt;=$M33*BB設定!$B$7,"スクイーズ★",IF($L33&lt;=$M33*1.3,"収縮","－")))</f>
        <v>収縮</v>
      </c>
      <c r="O33" s="500" t="str">
        <f>IF($D33="","",IF(AND(BB_帯幅!B33&gt;BB_帯幅!C33,BB_帯幅!C33&gt;BB_帯幅!D33),"拡大↑","縮小↓"))</f>
        <v>縮小↓</v>
      </c>
      <c r="P33" s="500" t="str">
        <f t="shared" si="2"/>
        <v>バンド内</v>
      </c>
      <c r="Q33" s="503">
        <f>IF($D33="","",IFERROR(100-100/(1+SUMPRODUCT((終値!E33:R33&gt;終値!F33:S33)*(終値!E33:R33-終値!F33:S33))/SUMPRODUCT((終値!E33:R33&lt;終値!F33:S33)*(終値!F33:S33-終値!E33:R33))),100))</f>
        <v>43.668639053254438</v>
      </c>
      <c r="R33" s="503">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44.643348929195206</v>
      </c>
      <c r="S33" s="500"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0" t="str">
        <f t="shared" si="3"/>
        <v>－</v>
      </c>
      <c r="U33" s="500" t="str">
        <f>IF(終値!A33="","",BB_スイング!BT33)</f>
        <v>二番底W形成</v>
      </c>
      <c r="V33" s="508">
        <f>IF($D33="","",IFERROR(出来高!E33/AVERAGE(出来高!E33:I33),""))</f>
        <v>0.62831208081477186</v>
      </c>
      <c r="W33" s="509"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4">
        <f t="shared" si="9"/>
        <v>30</v>
      </c>
      <c r="Y33" s="501">
        <f t="shared" si="4"/>
        <v>1825.5</v>
      </c>
      <c r="Z33" s="501">
        <f t="shared" si="5"/>
        <v>1854.3939374695551</v>
      </c>
      <c r="AA33" s="501">
        <f t="shared" si="6"/>
        <v>1815.325</v>
      </c>
      <c r="AB33" s="501">
        <f t="shared" si="10"/>
        <v>1893.4628749391102</v>
      </c>
      <c r="AC33" s="507">
        <f t="shared" si="7"/>
        <v>6.68</v>
      </c>
      <c r="AD33" s="501">
        <f>IF($D33="","",MIN(終値!E33:I33))</f>
        <v>1765.5</v>
      </c>
      <c r="AE33" s="503">
        <f t="shared" si="8"/>
        <v>30.09967</v>
      </c>
    </row>
    <row r="34" spans="1:31">
      <c r="A34" s="500" t="str">
        <f>IF(終値!A34="","",HYPERLINK("https://kabutan.jp/stock/?code="&amp;終値!A34,"📈"))</f>
        <v>📈</v>
      </c>
      <c r="B34" s="500" t="str">
        <f>IF(終値!A34="","",終値!A34)</f>
        <v>5233</v>
      </c>
      <c r="C34" s="499" t="str">
        <f>IF(終値!A34="","",終値!B34)</f>
        <v>太平洋セメント</v>
      </c>
      <c r="D34" s="501">
        <f>IF(終値!A34="","",終値!E34)</f>
        <v>4333</v>
      </c>
      <c r="E34" s="501">
        <f>IF($D34="","",AVERAGE(終値!E34:X34))</f>
        <v>4072.45</v>
      </c>
      <c r="F34" s="502">
        <f>IF($D34="","",STDEVP(終値!E34:X34))</f>
        <v>127.03246632259014</v>
      </c>
      <c r="G34" s="501">
        <f>IF($D34="","",$E34+BB設定!$B$4*$F34)</f>
        <v>4326.5149326451801</v>
      </c>
      <c r="H34" s="501">
        <f>IF($D34="","",$E34+BB設定!$B$5*$F34)</f>
        <v>4199.48246632259</v>
      </c>
      <c r="I34" s="501">
        <f>IF($D34="","",$E34-BB設定!$B$5*$F34)</f>
        <v>3945.4175336774097</v>
      </c>
      <c r="J34" s="501">
        <f>IF($D34="","",$E34-BB設定!$B$4*$F34)</f>
        <v>3818.3850673548195</v>
      </c>
      <c r="K34" s="506">
        <f t="shared" si="0"/>
        <v>1.0127626179797837</v>
      </c>
      <c r="L34" s="505">
        <f t="shared" si="1"/>
        <v>12.477252398196677</v>
      </c>
      <c r="M34" s="505">
        <f>IF($D34="","",IFERROR(MIN(BB_帯幅!B34:AP34)*100,""))</f>
        <v>9.4815417186154747</v>
      </c>
      <c r="N34" s="500" t="str">
        <f>IF($L34="","",IF($L34&lt;=$M34*BB設定!$B$7,"スクイーズ★",IF($L34&lt;=$M34*1.3,"収縮","－")))</f>
        <v>－</v>
      </c>
      <c r="O34" s="500" t="str">
        <f>IF($D34="","",IF(AND(BB_帯幅!B34&gt;BB_帯幅!C34,BB_帯幅!C34&gt;BB_帯幅!D34),"拡大↑","縮小↓"))</f>
        <v>縮小↓</v>
      </c>
      <c r="P34" s="500" t="str">
        <f t="shared" si="2"/>
        <v>↑+2σ突破</v>
      </c>
      <c r="Q34" s="503">
        <f>IF($D34="","",IFERROR(100-100/(1+SUMPRODUCT((終値!E34:R34&gt;終値!F34:S34)*(終値!E34:R34-終値!F34:S34))/SUMPRODUCT((終値!E34:R34&lt;終値!F34:S34)*(終値!F34:S34-終値!E34:R34))),100))</f>
        <v>64.927288280581706</v>
      </c>
      <c r="R34" s="503">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62.099913409281093</v>
      </c>
      <c r="S34" s="500"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0" t="str">
        <f t="shared" si="3"/>
        <v>上walk▲</v>
      </c>
      <c r="U34" s="500" t="str">
        <f>IF(終値!A34="","",BB_スイング!BT34)</f>
        <v>二番底W▲</v>
      </c>
      <c r="V34" s="508">
        <f>IF($D34="","",IFERROR(出来高!E34/AVERAGE(出来高!E34:I34),""))</f>
        <v>1.6370101719887797</v>
      </c>
      <c r="W34" s="509"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△二番底買(確)</v>
      </c>
      <c r="X34" s="504">
        <f t="shared" si="9"/>
        <v>58</v>
      </c>
      <c r="Y34" s="501">
        <f t="shared" si="4"/>
        <v>4333</v>
      </c>
      <c r="Z34" s="501">
        <f t="shared" si="5"/>
        <v>4199.48246632259</v>
      </c>
      <c r="AA34" s="501">
        <f t="shared" si="6"/>
        <v>4072.45</v>
      </c>
      <c r="AB34" s="501">
        <f t="shared" si="10"/>
        <v>4453.5473989677703</v>
      </c>
      <c r="AC34" s="507">
        <f t="shared" si="7"/>
        <v>0.46</v>
      </c>
      <c r="AD34" s="501">
        <f>IF($D34="","",MIN(終値!E34:I34))</f>
        <v>3959</v>
      </c>
      <c r="AE34" s="503">
        <f t="shared" si="8"/>
        <v>58.09966</v>
      </c>
    </row>
    <row r="35" spans="1:31" ht="24">
      <c r="A35" s="500" t="str">
        <f>IF(終値!A35="","",HYPERLINK("https://kabutan.jp/stock/?code="&amp;終値!A35,"📈"))</f>
        <v>📈</v>
      </c>
      <c r="B35" s="500" t="str">
        <f>IF(終値!A35="","",終値!A35)</f>
        <v>8308</v>
      </c>
      <c r="C35" s="499" t="str">
        <f>IF(終値!A35="","",終値!B35)</f>
        <v>りそなホールディングス</v>
      </c>
      <c r="D35" s="501">
        <f>IF(終値!A35="","",終値!E35)</f>
        <v>2342</v>
      </c>
      <c r="E35" s="501">
        <f>IF($D35="","",AVERAGE(終値!E35:X35))</f>
        <v>2302.7249999999999</v>
      </c>
      <c r="F35" s="502">
        <f>IF($D35="","",STDEVP(終値!E35:X35))</f>
        <v>68.269406581572113</v>
      </c>
      <c r="G35" s="501">
        <f>IF($D35="","",$E35+BB設定!$B$4*$F35)</f>
        <v>2439.2638131631443</v>
      </c>
      <c r="H35" s="501">
        <f>IF($D35="","",$E35+BB設定!$B$5*$F35)</f>
        <v>2370.9944065815721</v>
      </c>
      <c r="I35" s="501">
        <f>IF($D35="","",$E35-BB設定!$B$5*$F35)</f>
        <v>2234.4555934184277</v>
      </c>
      <c r="J35" s="501">
        <f>IF($D35="","",$E35-BB設定!$B$4*$F35)</f>
        <v>2166.1861868368555</v>
      </c>
      <c r="K35" s="506">
        <f t="shared" si="0"/>
        <v>0.64382357327609141</v>
      </c>
      <c r="L35" s="505">
        <f t="shared" si="1"/>
        <v>11.858890068344625</v>
      </c>
      <c r="M35" s="505">
        <f>IF($D35="","",IFERROR(MIN(BB_帯幅!B35:AP35)*100,""))</f>
        <v>7.6327660063117158</v>
      </c>
      <c r="N35" s="500" t="str">
        <f>IF($L35="","",IF($L35&lt;=$M35*BB設定!$B$7,"スクイーズ★",IF($L35&lt;=$M35*1.3,"収縮","－")))</f>
        <v>－</v>
      </c>
      <c r="O35" s="500" t="str">
        <f>IF($D35="","",IF(AND(BB_帯幅!B35&gt;BB_帯幅!C35,BB_帯幅!C35&gt;BB_帯幅!D35),"拡大↑","縮小↓"))</f>
        <v>縮小↓</v>
      </c>
      <c r="P35" s="500" t="str">
        <f t="shared" si="2"/>
        <v>バンド内</v>
      </c>
      <c r="Q35" s="503">
        <f>IF($D35="","",IFERROR(100-100/(1+SUMPRODUCT((終値!E35:R35&gt;終値!F35:S35)*(終値!E35:R35-終値!F35:S35))/SUMPRODUCT((終値!E35:R35&lt;終値!F35:S35)*(終値!F35:S35-終値!E35:R35))),100))</f>
        <v>47.695144437615241</v>
      </c>
      <c r="R35" s="503">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59.662298202822946</v>
      </c>
      <c r="S35" s="500"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0" t="str">
        <f t="shared" si="3"/>
        <v>－</v>
      </c>
      <c r="U35" s="500" t="str">
        <f>IF(終値!A35="","",BB_スイング!BT35)</f>
        <v>二番底W形成</v>
      </c>
      <c r="V35" s="508">
        <f>IF($D35="","",IFERROR(出来高!E35/AVERAGE(出来高!E35:I35),""))</f>
        <v>0.86551730406601346</v>
      </c>
      <c r="W35" s="509"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△二番底形成</v>
      </c>
      <c r="X35" s="504">
        <f t="shared" si="9"/>
        <v>15</v>
      </c>
      <c r="Y35" s="501">
        <f t="shared" si="4"/>
        <v>2342</v>
      </c>
      <c r="Z35" s="501">
        <f t="shared" si="5"/>
        <v>2370.9944065815721</v>
      </c>
      <c r="AA35" s="501">
        <f t="shared" si="6"/>
        <v>2302.7249999999999</v>
      </c>
      <c r="AB35" s="501">
        <f t="shared" si="10"/>
        <v>2439.2638131631443</v>
      </c>
      <c r="AC35" s="507">
        <f t="shared" si="7"/>
        <v>2.48</v>
      </c>
      <c r="AD35" s="501">
        <f>IF($D35="","",MIN(終値!E35:I35))</f>
        <v>2191.5</v>
      </c>
      <c r="AE35" s="503">
        <f t="shared" si="8"/>
        <v>15.09965</v>
      </c>
    </row>
    <row r="36" spans="1:31">
      <c r="A36" s="500" t="str">
        <f>IF(終値!A36="","",HYPERLINK("https://kabutan.jp/stock/?code="&amp;終値!A36,"📈"))</f>
        <v>📈</v>
      </c>
      <c r="B36" s="500" t="str">
        <f>IF(終値!A36="","",終値!A36)</f>
        <v>5938</v>
      </c>
      <c r="C36" s="499" t="str">
        <f>IF(終値!A36="","",終値!B36)</f>
        <v>ＬＩＸＩＬ</v>
      </c>
      <c r="D36" s="501">
        <f>IF(終値!A36="","",終値!E36)</f>
        <v>1782.5</v>
      </c>
      <c r="E36" s="501">
        <f>IF($D36="","",AVERAGE(終値!E36:X36))</f>
        <v>1837.675</v>
      </c>
      <c r="F36" s="502">
        <f>IF($D36="","",STDEVP(終値!E36:X36))</f>
        <v>62.255376273860868</v>
      </c>
      <c r="G36" s="501">
        <f>IF($D36="","",$E36+BB設定!$B$4*$F36)</f>
        <v>1962.1857525477217</v>
      </c>
      <c r="H36" s="501">
        <f>IF($D36="","",$E36+BB設定!$B$5*$F36)</f>
        <v>1899.9303762738609</v>
      </c>
      <c r="I36" s="501">
        <f>IF($D36="","",$E36-BB設定!$B$5*$F36)</f>
        <v>1775.419623726139</v>
      </c>
      <c r="J36" s="501">
        <f>IF($D36="","",$E36-BB設定!$B$4*$F36)</f>
        <v>1713.1642474522782</v>
      </c>
      <c r="K36" s="506">
        <f t="shared" si="0"/>
        <v>0.27843279045778468</v>
      </c>
      <c r="L36" s="505">
        <f t="shared" si="1"/>
        <v>13.550900191570515</v>
      </c>
      <c r="M36" s="505">
        <f>IF($D36="","",IFERROR(MIN(BB_帯幅!B36:AP36)*100,""))</f>
        <v>5.0041615401308244</v>
      </c>
      <c r="N36" s="500" t="str">
        <f>IF($L36="","",IF($L36&lt;=$M36*BB設定!$B$7,"スクイーズ★",IF($L36&lt;=$M36*1.3,"収縮","－")))</f>
        <v>－</v>
      </c>
      <c r="O36" s="500" t="str">
        <f>IF($D36="","",IF(AND(BB_帯幅!B36&gt;BB_帯幅!C36,BB_帯幅!C36&gt;BB_帯幅!D36),"拡大↑","縮小↓"))</f>
        <v>拡大↑</v>
      </c>
      <c r="P36" s="500" t="str">
        <f t="shared" si="2"/>
        <v>バンド内</v>
      </c>
      <c r="Q36" s="503">
        <f>IF($D36="","",IFERROR(100-100/(1+SUMPRODUCT((終値!E36:R36&gt;終値!F36:S36)*(終値!E36:R36-終値!F36:S36))/SUMPRODUCT((終値!E36:R36&lt;終値!F36:S36)*(終値!F36:S36-終値!E36:R36))),100))</f>
        <v>39.528023598820063</v>
      </c>
      <c r="R36" s="503">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46.043899439045248</v>
      </c>
      <c r="S36" s="500"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v>
      </c>
      <c r="T36" s="500" t="str">
        <f t="shared" si="3"/>
        <v>－</v>
      </c>
      <c r="U36" s="500" t="str">
        <f>IF(終値!A36="","",BB_スイング!BT36)</f>
        <v>二番天井M▼</v>
      </c>
      <c r="V36" s="508">
        <f>IF($D36="","",IFERROR(出来高!E36/AVERAGE(出来高!E36:I36),""))</f>
        <v>0.65186380560022916</v>
      </c>
      <c r="W36" s="509"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▼二番天井警戒</v>
      </c>
      <c r="X36" s="504">
        <f t="shared" si="9"/>
        <v>0</v>
      </c>
      <c r="Y36" s="501">
        <f t="shared" si="4"/>
        <v>1782.5</v>
      </c>
      <c r="Z36" s="501">
        <f t="shared" si="5"/>
        <v>1899.9303762738609</v>
      </c>
      <c r="AA36" s="501">
        <f t="shared" si="6"/>
        <v>1719</v>
      </c>
      <c r="AB36" s="501">
        <f t="shared" si="10"/>
        <v>1962.1857525477217</v>
      </c>
      <c r="AC36" s="507">
        <f t="shared" si="7"/>
        <v>2.83</v>
      </c>
      <c r="AD36" s="501">
        <f>IF($D36="","",MIN(終値!E36:I36))</f>
        <v>1719</v>
      </c>
      <c r="AE36" s="503">
        <f t="shared" si="8"/>
        <v>9.9640000000000006E-2</v>
      </c>
    </row>
    <row r="37" spans="1:31" ht="24">
      <c r="A37" s="500" t="str">
        <f>IF(終値!A37="","",HYPERLINK("https://kabutan.jp/stock/?code="&amp;終値!A37,"📈"))</f>
        <v>📈</v>
      </c>
      <c r="B37" s="500" t="str">
        <f>IF(終値!A37="","",終値!A37)</f>
        <v>8570</v>
      </c>
      <c r="C37" s="499" t="str">
        <f>IF(終値!A37="","",終値!B37)</f>
        <v>イオンフィナンシャルサービス</v>
      </c>
      <c r="D37" s="501">
        <f>IF(終値!A37="","",終値!E37)</f>
        <v>1594.5</v>
      </c>
      <c r="E37" s="501">
        <f>IF($D37="","",AVERAGE(終値!E37:X37))</f>
        <v>1555.9</v>
      </c>
      <c r="F37" s="502">
        <f>IF($D37="","",STDEVP(終値!E37:X37))</f>
        <v>21.268286249719321</v>
      </c>
      <c r="G37" s="501">
        <f>IF($D37="","",$E37+BB設定!$B$4*$F37)</f>
        <v>1598.4365724994386</v>
      </c>
      <c r="H37" s="501">
        <f>IF($D37="","",$E37+BB設定!$B$5*$F37)</f>
        <v>1577.1682862497194</v>
      </c>
      <c r="I37" s="501">
        <f>IF($D37="","",$E37-BB設定!$B$5*$F37)</f>
        <v>1534.6317137502808</v>
      </c>
      <c r="J37" s="501">
        <f>IF($D37="","",$E37-BB設定!$B$4*$F37)</f>
        <v>1513.3634275005616</v>
      </c>
      <c r="K37" s="506">
        <f t="shared" si="0"/>
        <v>0.95372720146304002</v>
      </c>
      <c r="L37" s="505">
        <f t="shared" si="1"/>
        <v>5.4677771706971567</v>
      </c>
      <c r="M37" s="505">
        <f>IF($D37="","",IFERROR(MIN(BB_帯幅!B37:AP37)*100,""))</f>
        <v>5.2573262268744161</v>
      </c>
      <c r="N37" s="500" t="str">
        <f>IF($L37="","",IF($L37&lt;=$M37*BB設定!$B$7,"スクイーズ★",IF($L37&lt;=$M37*1.3,"収縮","－")))</f>
        <v>スクイーズ★</v>
      </c>
      <c r="O37" s="500" t="str">
        <f>IF($D37="","",IF(AND(BB_帯幅!B37&gt;BB_帯幅!C37,BB_帯幅!C37&gt;BB_帯幅!D37),"拡大↑","縮小↓"))</f>
        <v>縮小↓</v>
      </c>
      <c r="P37" s="500" t="str">
        <f t="shared" si="2"/>
        <v>+1σ上</v>
      </c>
      <c r="Q37" s="503">
        <f>IF($D37="","",IFERROR(100-100/(1+SUMPRODUCT((終値!E37:R37&gt;終値!F37:S37)*(終値!E37:R37-終値!F37:S37))/SUMPRODUCT((終値!E37:R37&lt;終値!F37:S37)*(終値!F37:S37-終値!E37:R37))),100))</f>
        <v>60.236220472440948</v>
      </c>
      <c r="R37" s="503">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61.095421383173097</v>
      </c>
      <c r="S37" s="500"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0" t="str">
        <f t="shared" si="3"/>
        <v>上walk▲</v>
      </c>
      <c r="U37" s="500" t="str">
        <f>IF(終値!A37="","",BB_スイング!BT37)</f>
        <v>－</v>
      </c>
      <c r="V37" s="508">
        <f>IF($D37="","",IFERROR(出来高!E37/AVERAGE(出来高!E37:I37),""))</f>
        <v>1.4902399893040978</v>
      </c>
      <c r="W37" s="509"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☆スクイーズ監視</v>
      </c>
      <c r="X37" s="504">
        <f t="shared" si="9"/>
        <v>57</v>
      </c>
      <c r="Y37" s="501">
        <f t="shared" si="4"/>
        <v>1594.5</v>
      </c>
      <c r="Z37" s="501">
        <f t="shared" si="5"/>
        <v>1577.1682862497194</v>
      </c>
      <c r="AA37" s="501">
        <f t="shared" si="6"/>
        <v>1555.9</v>
      </c>
      <c r="AB37" s="501">
        <f t="shared" si="10"/>
        <v>1598.4365724994386</v>
      </c>
      <c r="AC37" s="507">
        <f t="shared" si="7"/>
        <v>0.1</v>
      </c>
      <c r="AD37" s="501">
        <f>IF($D37="","",MIN(終値!E37:I37))</f>
        <v>1528</v>
      </c>
      <c r="AE37" s="503">
        <f t="shared" si="8"/>
        <v>57.099629999999998</v>
      </c>
    </row>
    <row r="38" spans="1:31">
      <c r="A38" s="500" t="str">
        <f>IF(終値!A38="","",HYPERLINK("https://kabutan.jp/stock/?code="&amp;終値!A38,"📈"))</f>
        <v>📈</v>
      </c>
      <c r="B38" s="500" t="str">
        <f>IF(終値!A38="","",終値!A38)</f>
        <v>5406</v>
      </c>
      <c r="C38" s="499" t="str">
        <f>IF(終値!A38="","",終値!B38)</f>
        <v>神戸製鋼所</v>
      </c>
      <c r="D38" s="501">
        <f>IF(終値!A38="","",終値!E38)</f>
        <v>2016.5</v>
      </c>
      <c r="E38" s="501">
        <f>IF($D38="","",AVERAGE(終値!E38:X38))</f>
        <v>1978.675</v>
      </c>
      <c r="F38" s="502">
        <f>IF($D38="","",STDEVP(終値!E38:X38))</f>
        <v>72.565707293459226</v>
      </c>
      <c r="G38" s="501">
        <f>IF($D38="","",$E38+BB設定!$B$4*$F38)</f>
        <v>2123.8064145869184</v>
      </c>
      <c r="H38" s="501">
        <f>IF($D38="","",$E38+BB設定!$B$5*$F38)</f>
        <v>2051.2407072934593</v>
      </c>
      <c r="I38" s="501">
        <f>IF($D38="","",$E38-BB設定!$B$5*$F38)</f>
        <v>1906.1092927065408</v>
      </c>
      <c r="J38" s="501">
        <f>IF($D38="","",$E38-BB設定!$B$4*$F38)</f>
        <v>1833.5435854130815</v>
      </c>
      <c r="K38" s="506">
        <f t="shared" si="0"/>
        <v>0.63031293089666274</v>
      </c>
      <c r="L38" s="505">
        <f t="shared" si="1"/>
        <v>14.669555595225944</v>
      </c>
      <c r="M38" s="505">
        <f>IF($D38="","",IFERROR(MIN(BB_帯幅!B38:AP38)*100,""))</f>
        <v>5.9581100938607907</v>
      </c>
      <c r="N38" s="500" t="str">
        <f>IF($L38="","",IF($L38&lt;=$M38*BB設定!$B$7,"スクイーズ★",IF($L38&lt;=$M38*1.3,"収縮","－")))</f>
        <v>－</v>
      </c>
      <c r="O38" s="500" t="str">
        <f>IF($D38="","",IF(AND(BB_帯幅!B38&gt;BB_帯幅!C38,BB_帯幅!C38&gt;BB_帯幅!D38),"拡大↑","縮小↓"))</f>
        <v>縮小↓</v>
      </c>
      <c r="P38" s="500" t="str">
        <f t="shared" si="2"/>
        <v>バンド内</v>
      </c>
      <c r="Q38" s="503">
        <f>IF($D38="","",IFERROR(100-100/(1+SUMPRODUCT((終値!E38:R38&gt;終値!F38:S38)*(終値!E38:R38-終値!F38:S38))/SUMPRODUCT((終値!E38:R38&lt;終値!F38:S38)*(終値!F38:S38-終値!E38:R38))),100))</f>
        <v>60.389610389610382</v>
      </c>
      <c r="R38" s="503">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54.517732803442954</v>
      </c>
      <c r="S38" s="500"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弱気div▼</v>
      </c>
      <c r="T38" s="500" t="str">
        <f t="shared" si="3"/>
        <v>－</v>
      </c>
      <c r="U38" s="500" t="str">
        <f>IF(終値!A38="","",BB_スイング!BT38)</f>
        <v>二番底W▲</v>
      </c>
      <c r="V38" s="508">
        <f>IF($D38="","",IFERROR(出来高!E38/AVERAGE(出来高!E38:I38),""))</f>
        <v>0.87881420094727758</v>
      </c>
      <c r="W38" s="509"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4">
        <f t="shared" si="9"/>
        <v>20</v>
      </c>
      <c r="Y38" s="501">
        <f t="shared" si="4"/>
        <v>2016.5</v>
      </c>
      <c r="Z38" s="501">
        <f t="shared" si="5"/>
        <v>2051.2407072934593</v>
      </c>
      <c r="AA38" s="501">
        <f t="shared" si="6"/>
        <v>1978.675</v>
      </c>
      <c r="AB38" s="501">
        <f t="shared" si="10"/>
        <v>2123.8064145869184</v>
      </c>
      <c r="AC38" s="507">
        <f t="shared" si="7"/>
        <v>2.84</v>
      </c>
      <c r="AD38" s="501">
        <f>IF($D38="","",MIN(終値!E38:I38))</f>
        <v>1972</v>
      </c>
      <c r="AE38" s="503">
        <f t="shared" si="8"/>
        <v>20.099620000000002</v>
      </c>
    </row>
    <row r="39" spans="1:31" ht="24">
      <c r="A39" s="500" t="str">
        <f>IF(終値!A39="","",HYPERLINK("https://kabutan.jp/stock/?code="&amp;終値!A39,"📈"))</f>
        <v>📈</v>
      </c>
      <c r="B39" s="500" t="str">
        <f>IF(終値!A39="","",終値!A39)</f>
        <v>8593</v>
      </c>
      <c r="C39" s="499" t="str">
        <f>IF(終値!A39="","",終値!B39)</f>
        <v>三菱ＨＣキャピタル</v>
      </c>
      <c r="D39" s="501">
        <f>IF(終値!A39="","",終値!E39)</f>
        <v>1427.5</v>
      </c>
      <c r="E39" s="501">
        <f>IF($D39="","",AVERAGE(終値!E39:X39))</f>
        <v>1428.0250000000001</v>
      </c>
      <c r="F39" s="502">
        <f>IF($D39="","",STDEVP(終値!E39:X39))</f>
        <v>40.170721614130855</v>
      </c>
      <c r="G39" s="501">
        <f>IF($D39="","",$E39+BB設定!$B$4*$F39)</f>
        <v>1508.3664432282617</v>
      </c>
      <c r="H39" s="501">
        <f>IF($D39="","",$E39+BB設定!$B$5*$F39)</f>
        <v>1468.1957216141309</v>
      </c>
      <c r="I39" s="501">
        <f>IF($D39="","",$E39-BB設定!$B$5*$F39)</f>
        <v>1387.8542783858693</v>
      </c>
      <c r="J39" s="501">
        <f>IF($D39="","",$E39-BB設定!$B$4*$F39)</f>
        <v>1347.6835567717385</v>
      </c>
      <c r="K39" s="506">
        <f t="shared" si="0"/>
        <v>0.49673269498963013</v>
      </c>
      <c r="L39" s="505">
        <f t="shared" si="1"/>
        <v>11.252105982494927</v>
      </c>
      <c r="M39" s="505">
        <f>IF($D39="","",IFERROR(MIN(BB_帯幅!B39:AP39)*100,""))</f>
        <v>5.0752904750439214</v>
      </c>
      <c r="N39" s="500" t="str">
        <f>IF($L39="","",IF($L39&lt;=$M39*BB設定!$B$7,"スクイーズ★",IF($L39&lt;=$M39*1.3,"収縮","－")))</f>
        <v>－</v>
      </c>
      <c r="O39" s="500" t="str">
        <f>IF($D39="","",IF(AND(BB_帯幅!B39&gt;BB_帯幅!C39,BB_帯幅!C39&gt;BB_帯幅!D39),"拡大↑","縮小↓"))</f>
        <v>縮小↓</v>
      </c>
      <c r="P39" s="500" t="str">
        <f t="shared" si="2"/>
        <v>バンド内</v>
      </c>
      <c r="Q39" s="503">
        <f>IF($D39="","",IFERROR(100-100/(1+SUMPRODUCT((終値!E39:R39&gt;終値!F39:S39)*(終値!E39:R39-終値!F39:S39))/SUMPRODUCT((終値!E39:R39&lt;終値!F39:S39)*(終値!F39:S39-終値!E39:R39))),100))</f>
        <v>52.315608919382498</v>
      </c>
      <c r="R39" s="503">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47.802779712217806</v>
      </c>
      <c r="S39" s="500"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v>
      </c>
      <c r="T39" s="500" t="str">
        <f t="shared" si="3"/>
        <v>－</v>
      </c>
      <c r="U39" s="500" t="str">
        <f>IF(終値!A39="","",BB_スイング!BT39)</f>
        <v>二番底W形成</v>
      </c>
      <c r="V39" s="508">
        <f>IF($D39="","",IFERROR(出来高!E39/AVERAGE(出来高!E39:I39),""))</f>
        <v>0.74640549051018079</v>
      </c>
      <c r="W39" s="509"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△二番底形成</v>
      </c>
      <c r="X39" s="504">
        <f t="shared" si="9"/>
        <v>0</v>
      </c>
      <c r="Y39" s="501">
        <f t="shared" si="4"/>
        <v>1427.5</v>
      </c>
      <c r="Z39" s="501">
        <f t="shared" si="5"/>
        <v>1468.1957216141309</v>
      </c>
      <c r="AA39" s="501">
        <f t="shared" si="6"/>
        <v>1409.5</v>
      </c>
      <c r="AB39" s="501">
        <f t="shared" si="10"/>
        <v>1508.3664432282617</v>
      </c>
      <c r="AC39" s="507">
        <f t="shared" si="7"/>
        <v>4.49</v>
      </c>
      <c r="AD39" s="501">
        <f>IF($D39="","",MIN(終値!E39:I39))</f>
        <v>1409.5</v>
      </c>
      <c r="AE39" s="503">
        <f t="shared" si="8"/>
        <v>9.9610000000000004E-2</v>
      </c>
    </row>
    <row r="40" spans="1:31" ht="24">
      <c r="A40" s="500" t="str">
        <f>IF(終値!A40="","",HYPERLINK("https://kabutan.jp/stock/?code="&amp;終値!A40,"📈"))</f>
        <v>📈</v>
      </c>
      <c r="B40" s="500" t="str">
        <f>IF(終値!A40="","",終値!A40)</f>
        <v>8604</v>
      </c>
      <c r="C40" s="499" t="str">
        <f>IF(終値!A40="","",終値!B40)</f>
        <v>野村ホールディングス</v>
      </c>
      <c r="D40" s="501">
        <f>IF(終値!A40="","",終値!E40)</f>
        <v>1577</v>
      </c>
      <c r="E40" s="501">
        <f>IF($D40="","",AVERAGE(終値!E40:X40))</f>
        <v>1558.125</v>
      </c>
      <c r="F40" s="502">
        <f>IF($D40="","",STDEVP(終値!E40:X40))</f>
        <v>41.000266767424819</v>
      </c>
      <c r="G40" s="501">
        <f>IF($D40="","",$E40+BB設定!$B$4*$F40)</f>
        <v>1640.1255335348496</v>
      </c>
      <c r="H40" s="501">
        <f>IF($D40="","",$E40+BB設定!$B$5*$F40)</f>
        <v>1599.1252667674248</v>
      </c>
      <c r="I40" s="501">
        <f>IF($D40="","",$E40-BB設定!$B$5*$F40)</f>
        <v>1517.1247332325752</v>
      </c>
      <c r="J40" s="501">
        <f>IF($D40="","",$E40-BB設定!$B$4*$F40)</f>
        <v>1476.1244664651504</v>
      </c>
      <c r="K40" s="506">
        <f t="shared" si="0"/>
        <v>0.61509071457430375</v>
      </c>
      <c r="L40" s="505">
        <f t="shared" si="1"/>
        <v>10.525539803911705</v>
      </c>
      <c r="M40" s="505">
        <f>IF($D40="","",IFERROR(MIN(BB_帯幅!B40:AP40)*100,""))</f>
        <v>9.0922829206896782</v>
      </c>
      <c r="N40" s="500" t="str">
        <f>IF($L40="","",IF($L40&lt;=$M40*BB設定!$B$7,"スクイーズ★",IF($L40&lt;=$M40*1.3,"収縮","－")))</f>
        <v>収縮</v>
      </c>
      <c r="O40" s="500" t="str">
        <f>IF($D40="","",IF(AND(BB_帯幅!B40&gt;BB_帯幅!C40,BB_帯幅!C40&gt;BB_帯幅!D40),"拡大↑","縮小↓"))</f>
        <v>縮小↓</v>
      </c>
      <c r="P40" s="500" t="str">
        <f t="shared" si="2"/>
        <v>バンド内</v>
      </c>
      <c r="Q40" s="503">
        <f>IF($D40="","",IFERROR(100-100/(1+SUMPRODUCT((終値!E40:R40&gt;終値!F40:S40)*(終値!E40:R40-終値!F40:S40))/SUMPRODUCT((終値!E40:R40&lt;終値!F40:S40)*(終値!F40:S40-終値!E40:R40))),100))</f>
        <v>45.242718446601941</v>
      </c>
      <c r="R40" s="503">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52.637802567159326</v>
      </c>
      <c r="S40" s="500"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0" t="str">
        <f t="shared" si="3"/>
        <v>－</v>
      </c>
      <c r="U40" s="500" t="str">
        <f>IF(終値!A40="","",BB_スイング!BT40)</f>
        <v>二番底W形成</v>
      </c>
      <c r="V40" s="508">
        <f>IF($D40="","",IFERROR(出来高!E40/AVERAGE(出来高!E40:I40),""))</f>
        <v>0.6971081649289913</v>
      </c>
      <c r="W40" s="509"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△二番底形成</v>
      </c>
      <c r="X40" s="504">
        <f t="shared" si="9"/>
        <v>25</v>
      </c>
      <c r="Y40" s="501">
        <f t="shared" si="4"/>
        <v>1577</v>
      </c>
      <c r="Z40" s="501">
        <f t="shared" si="5"/>
        <v>1599.1252667674248</v>
      </c>
      <c r="AA40" s="501">
        <f t="shared" si="6"/>
        <v>1558.125</v>
      </c>
      <c r="AB40" s="501">
        <f t="shared" si="10"/>
        <v>1640.1255335348496</v>
      </c>
      <c r="AC40" s="507">
        <f t="shared" si="7"/>
        <v>3.34</v>
      </c>
      <c r="AD40" s="501">
        <f>IF($D40="","",MIN(終値!E40:I40))</f>
        <v>1505.5</v>
      </c>
      <c r="AE40" s="503">
        <f t="shared" si="8"/>
        <v>25.099599999999999</v>
      </c>
    </row>
    <row r="41" spans="1:31" ht="24">
      <c r="A41" s="500" t="str">
        <f>IF(終値!A41="","",HYPERLINK("https://kabutan.jp/stock/?code="&amp;終値!A41,"📈"))</f>
        <v>📈</v>
      </c>
      <c r="B41" s="500" t="str">
        <f>IF(終値!A41="","",終値!A41)</f>
        <v>3861</v>
      </c>
      <c r="C41" s="499" t="str">
        <f>IF(終値!A41="","",終値!B41)</f>
        <v>王子ホールディングス</v>
      </c>
      <c r="D41" s="501">
        <f>IF(終値!A41="","",終値!E41)</f>
        <v>873.8</v>
      </c>
      <c r="E41" s="501">
        <f>IF($D41="","",AVERAGE(終値!E41:X41))</f>
        <v>856.3499999999998</v>
      </c>
      <c r="F41" s="502">
        <f>IF($D41="","",STDEVP(終値!E41:X41))</f>
        <v>25.722840045376021</v>
      </c>
      <c r="G41" s="501">
        <f>IF($D41="","",$E41+BB設定!$B$4*$F41)</f>
        <v>907.79568009075183</v>
      </c>
      <c r="H41" s="501">
        <f>IF($D41="","",$E41+BB設定!$B$5*$F41)</f>
        <v>882.07284004537587</v>
      </c>
      <c r="I41" s="501">
        <f>IF($D41="","",$E41-BB設定!$B$5*$F41)</f>
        <v>830.62715995462372</v>
      </c>
      <c r="J41" s="501">
        <f>IF($D41="","",$E41-BB設定!$B$4*$F41)</f>
        <v>804.90431990924776</v>
      </c>
      <c r="K41" s="506">
        <f t="shared" si="0"/>
        <v>0.66959635842327025</v>
      </c>
      <c r="L41" s="505">
        <f t="shared" si="1"/>
        <v>12.01510599422013</v>
      </c>
      <c r="M41" s="505">
        <f>IF($D41="","",IFERROR(MIN(BB_帯幅!B41:AP41)*100,""))</f>
        <v>4.7643539726420121</v>
      </c>
      <c r="N41" s="500" t="str">
        <f>IF($L41="","",IF($L41&lt;=$M41*BB設定!$B$7,"スクイーズ★",IF($L41&lt;=$M41*1.3,"収縮","－")))</f>
        <v>－</v>
      </c>
      <c r="O41" s="500" t="str">
        <f>IF($D41="","",IF(AND(BB_帯幅!B41&gt;BB_帯幅!C41,BB_帯幅!C41&gt;BB_帯幅!D41),"拡大↑","縮小↓"))</f>
        <v>縮小↓</v>
      </c>
      <c r="P41" s="500" t="str">
        <f t="shared" si="2"/>
        <v>バンド内</v>
      </c>
      <c r="Q41" s="503">
        <f>IF($D41="","",IFERROR(100-100/(1+SUMPRODUCT((終値!E41:R41&gt;終値!F41:S41)*(終値!E41:R41-終値!F41:S41))/SUMPRODUCT((終値!E41:R41&lt;終値!F41:S41)*(終値!F41:S41-終値!E41:R41))),100))</f>
        <v>65.300727032385964</v>
      </c>
      <c r="R41" s="503">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56.602412635128246</v>
      </c>
      <c r="S41" s="500"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弱気div▼</v>
      </c>
      <c r="T41" s="500" t="str">
        <f t="shared" si="3"/>
        <v>－</v>
      </c>
      <c r="U41" s="500" t="str">
        <f>IF(終値!A41="","",BB_スイング!BT41)</f>
        <v>－</v>
      </c>
      <c r="V41" s="508">
        <f>IF($D41="","",IFERROR(出来高!E41/AVERAGE(出来高!E41:I41),""))</f>
        <v>0.80162633917647519</v>
      </c>
      <c r="W41" s="509"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4">
        <f t="shared" si="9"/>
        <v>20</v>
      </c>
      <c r="Y41" s="501">
        <f t="shared" si="4"/>
        <v>873.8</v>
      </c>
      <c r="Z41" s="501">
        <f t="shared" si="5"/>
        <v>882.07284004537587</v>
      </c>
      <c r="AA41" s="501">
        <f t="shared" si="6"/>
        <v>856.3499999999998</v>
      </c>
      <c r="AB41" s="501">
        <f t="shared" si="10"/>
        <v>907.79568009075183</v>
      </c>
      <c r="AC41" s="507">
        <f t="shared" si="7"/>
        <v>1.95</v>
      </c>
      <c r="AD41" s="501">
        <f>IF($D41="","",MIN(終値!E41:I41))</f>
        <v>852.3</v>
      </c>
      <c r="AE41" s="503">
        <f t="shared" si="8"/>
        <v>20.099589999999999</v>
      </c>
    </row>
    <row r="42" spans="1:31">
      <c r="A42" s="500" t="str">
        <f>IF(終値!A42="","",HYPERLINK("https://kabutan.jp/stock/?code="&amp;終値!A42,"📈"))</f>
        <v>📈</v>
      </c>
      <c r="B42" s="500" t="str">
        <f>IF(終値!A42="","",終値!A42)</f>
        <v>5947</v>
      </c>
      <c r="C42" s="499" t="str">
        <f>IF(終値!A42="","",終値!B42)</f>
        <v>リンナイ</v>
      </c>
      <c r="D42" s="501">
        <f>IF(終値!A42="","",終値!E42)</f>
        <v>3596</v>
      </c>
      <c r="E42" s="501">
        <f>IF($D42="","",AVERAGE(終値!E42:X42))</f>
        <v>3604.1</v>
      </c>
      <c r="F42" s="502">
        <f>IF($D42="","",STDEVP(終値!E42:X42))</f>
        <v>70.250195729264689</v>
      </c>
      <c r="G42" s="501">
        <f>IF($D42="","",$E42+BB設定!$B$4*$F42)</f>
        <v>3744.6003914585294</v>
      </c>
      <c r="H42" s="501">
        <f>IF($D42="","",$E42+BB設定!$B$5*$F42)</f>
        <v>3674.3501957292647</v>
      </c>
      <c r="I42" s="501">
        <f>IF($D42="","",$E42-BB設定!$B$5*$F42)</f>
        <v>3533.8498042707351</v>
      </c>
      <c r="J42" s="501">
        <f>IF($D42="","",$E42-BB設定!$B$4*$F42)</f>
        <v>3463.5996085414704</v>
      </c>
      <c r="K42" s="506">
        <f t="shared" si="0"/>
        <v>0.47117445753739867</v>
      </c>
      <c r="L42" s="505">
        <f t="shared" si="1"/>
        <v>7.796697730835966</v>
      </c>
      <c r="M42" s="505">
        <f>IF($D42="","",IFERROR(MIN(BB_帯幅!B42:AP42)*100,""))</f>
        <v>3.341506870209157</v>
      </c>
      <c r="N42" s="500" t="str">
        <f>IF($L42="","",IF($L42&lt;=$M42*BB設定!$B$7,"スクイーズ★",IF($L42&lt;=$M42*1.3,"収縮","－")))</f>
        <v>－</v>
      </c>
      <c r="O42" s="500" t="str">
        <f>IF($D42="","",IF(AND(BB_帯幅!B42&gt;BB_帯幅!C42,BB_帯幅!C42&gt;BB_帯幅!D42),"拡大↑","縮小↓"))</f>
        <v>縮小↓</v>
      </c>
      <c r="P42" s="500" t="str">
        <f t="shared" si="2"/>
        <v>バンド内</v>
      </c>
      <c r="Q42" s="503">
        <f>IF($D42="","",IFERROR(100-100/(1+SUMPRODUCT((終値!E42:R42&gt;終値!F42:S42)*(終値!E42:R42-終値!F42:S42))/SUMPRODUCT((終値!E42:R42&lt;終値!F42:S42)*(終値!F42:S42-終値!E42:R42))),100))</f>
        <v>50.271739130434781</v>
      </c>
      <c r="R42" s="503">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49.304388321827801</v>
      </c>
      <c r="S42" s="500"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0" t="str">
        <f t="shared" si="3"/>
        <v>－</v>
      </c>
      <c r="U42" s="500" t="str">
        <f>IF(終値!A42="","",BB_スイング!BT42)</f>
        <v>二番底W形成</v>
      </c>
      <c r="V42" s="508">
        <f>IF($D42="","",IFERROR(出来高!E42/AVERAGE(出来高!E42:I42),""))</f>
        <v>1.6901738437748934</v>
      </c>
      <c r="W42" s="509"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△二番底形成</v>
      </c>
      <c r="X42" s="504">
        <f t="shared" si="9"/>
        <v>3</v>
      </c>
      <c r="Y42" s="501">
        <f t="shared" si="4"/>
        <v>3596</v>
      </c>
      <c r="Z42" s="501">
        <f t="shared" si="5"/>
        <v>3674.3501957292647</v>
      </c>
      <c r="AA42" s="501">
        <f t="shared" si="6"/>
        <v>3486</v>
      </c>
      <c r="AB42" s="501">
        <f t="shared" si="10"/>
        <v>3744.6003914585294</v>
      </c>
      <c r="AC42" s="507">
        <f t="shared" si="7"/>
        <v>1.35</v>
      </c>
      <c r="AD42" s="501">
        <f>IF($D42="","",MIN(終値!E42:I42))</f>
        <v>3486</v>
      </c>
      <c r="AE42" s="503">
        <f t="shared" si="8"/>
        <v>3.09958</v>
      </c>
    </row>
    <row r="43" spans="1:31" ht="24">
      <c r="A43" s="500" t="str">
        <f>IF(終値!A43="","",HYPERLINK("https://kabutan.jp/stock/?code="&amp;終値!A43,"📈"))</f>
        <v>📈</v>
      </c>
      <c r="B43" s="500" t="str">
        <f>IF(終値!A43="","",終値!A43)</f>
        <v>8750</v>
      </c>
      <c r="C43" s="499" t="str">
        <f>IF(終値!A43="","",終値!B43)</f>
        <v>第一ライフグループ</v>
      </c>
      <c r="D43" s="501">
        <f>IF(終値!A43="","",終値!E43)</f>
        <v>1921</v>
      </c>
      <c r="E43" s="501">
        <f>IF($D43="","",AVERAGE(終値!E43:X43))</f>
        <v>1887.7368421052631</v>
      </c>
      <c r="F43" s="502">
        <f>IF($D43="","",STDEVP(終値!E43:X43))</f>
        <v>36.170054647257523</v>
      </c>
      <c r="G43" s="501">
        <f>IF($D43="","",$E43+BB設定!$B$4*$F43)</f>
        <v>1960.0769513997782</v>
      </c>
      <c r="H43" s="501">
        <f>IF($D43="","",$E43+BB設定!$B$5*$F43)</f>
        <v>1923.9068967525207</v>
      </c>
      <c r="I43" s="501">
        <f>IF($D43="","",$E43-BB設定!$B$5*$F43)</f>
        <v>1851.5667874580056</v>
      </c>
      <c r="J43" s="501">
        <f>IF($D43="","",$E43-BB設定!$B$4*$F43)</f>
        <v>1815.3967328107481</v>
      </c>
      <c r="K43" s="506">
        <f t="shared" si="0"/>
        <v>0.72990812579031406</v>
      </c>
      <c r="L43" s="505">
        <f t="shared" si="1"/>
        <v>7.6642154436991445</v>
      </c>
      <c r="M43" s="505">
        <f>IF($D43="","",IFERROR(MIN(BB_帯幅!B43:AP43)*100,""))</f>
        <v>7.4748456272046182</v>
      </c>
      <c r="N43" s="500" t="str">
        <f>IF($L43="","",IF($L43&lt;=$M43*BB設定!$B$7,"スクイーズ★",IF($L43&lt;=$M43*1.3,"収縮","－")))</f>
        <v>スクイーズ★</v>
      </c>
      <c r="O43" s="500" t="str">
        <f>IF($D43="","",IF(AND(BB_帯幅!B43&gt;BB_帯幅!C43,BB_帯幅!C43&gt;BB_帯幅!D43),"拡大↑","縮小↓"))</f>
        <v>拡大↑</v>
      </c>
      <c r="P43" s="500" t="str">
        <f t="shared" si="2"/>
        <v>バンド内</v>
      </c>
      <c r="Q43" s="503">
        <f>IF($D43="","",IFERROR(100-100/(1+SUMPRODUCT((終値!E43:R43&gt;終値!F43:S43)*(終値!E43:R43-終値!F43:S43))/SUMPRODUCT((終値!E43:R43&lt;終値!F43:S43)*(終値!F43:S43-終値!E43:R43))),100))</f>
        <v>50.432041102288643</v>
      </c>
      <c r="R43" s="503">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66.636206941424234</v>
      </c>
      <c r="S43" s="500"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0" t="str">
        <f t="shared" si="3"/>
        <v>－</v>
      </c>
      <c r="U43" s="500" t="str">
        <f>IF(終値!A43="","",BB_スイング!BT43)</f>
        <v>－</v>
      </c>
      <c r="V43" s="508">
        <f>IF($D43="","",IFERROR(出来高!E43/AVERAGE(出来高!E43:I43),""))</f>
        <v>0.90636686105933983</v>
      </c>
      <c r="W43" s="509"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☆スクイーズ監視</v>
      </c>
      <c r="X43" s="504">
        <f t="shared" si="9"/>
        <v>55</v>
      </c>
      <c r="Y43" s="501">
        <f t="shared" si="4"/>
        <v>1921</v>
      </c>
      <c r="Z43" s="501">
        <f t="shared" si="5"/>
        <v>1923.9068967525207</v>
      </c>
      <c r="AA43" s="501">
        <f t="shared" si="6"/>
        <v>1887.7368421052631</v>
      </c>
      <c r="AB43" s="501">
        <f t="shared" si="10"/>
        <v>1960.0769513997782</v>
      </c>
      <c r="AC43" s="507">
        <f t="shared" si="7"/>
        <v>1.17</v>
      </c>
      <c r="AD43" s="501">
        <f>IF($D43="","",MIN(終値!E43:I43))</f>
        <v>1881</v>
      </c>
      <c r="AE43" s="503">
        <f t="shared" si="8"/>
        <v>55.09957</v>
      </c>
    </row>
    <row r="44" spans="1:31">
      <c r="A44" s="500" t="str">
        <f>IF(終値!A44="","",HYPERLINK("https://kabutan.jp/stock/?code="&amp;終値!A44,"📈"))</f>
        <v>📈</v>
      </c>
      <c r="B44" s="500" t="str">
        <f>IF(終値!A44="","",終値!A44)</f>
        <v>3402</v>
      </c>
      <c r="C44" s="499" t="str">
        <f>IF(終値!A44="","",終値!B44)</f>
        <v>東レ</v>
      </c>
      <c r="D44" s="501">
        <f>IF(終値!A44="","",終値!E44)</f>
        <v>1299.5</v>
      </c>
      <c r="E44" s="501">
        <f>IF($D44="","",AVERAGE(終値!E44:X44))</f>
        <v>1165.2249999999999</v>
      </c>
      <c r="F44" s="502">
        <f>IF($D44="","",STDEVP(終値!E44:X44))</f>
        <v>34.040224367650687</v>
      </c>
      <c r="G44" s="501">
        <f>IF($D44="","",$E44+BB設定!$B$4*$F44)</f>
        <v>1233.3054487353013</v>
      </c>
      <c r="H44" s="501">
        <f>IF($D44="","",$E44+BB設定!$B$5*$F44)</f>
        <v>1199.2652243676505</v>
      </c>
      <c r="I44" s="501">
        <f>IF($D44="","",$E44-BB設定!$B$5*$F44)</f>
        <v>1131.1847756323493</v>
      </c>
      <c r="J44" s="501">
        <f>IF($D44="","",$E44-BB設定!$B$4*$F44)</f>
        <v>1097.1445512646985</v>
      </c>
      <c r="K44" s="506">
        <f t="shared" si="0"/>
        <v>1.4861494929481509</v>
      </c>
      <c r="L44" s="505">
        <f t="shared" si="1"/>
        <v>11.685373852312024</v>
      </c>
      <c r="M44" s="505">
        <f>IF($D44="","",IFERROR(MIN(BB_帯幅!B44:AP44)*100,""))</f>
        <v>4.6146080115106241</v>
      </c>
      <c r="N44" s="500" t="str">
        <f>IF($L44="","",IF($L44&lt;=$M44*BB設定!$B$7,"スクイーズ★",IF($L44&lt;=$M44*1.3,"収縮","－")))</f>
        <v>－</v>
      </c>
      <c r="O44" s="500" t="str">
        <f>IF($D44="","",IF(AND(BB_帯幅!B44&gt;BB_帯幅!C44,BB_帯幅!C44&gt;BB_帯幅!D44),"拡大↑","縮小↓"))</f>
        <v>拡大↑</v>
      </c>
      <c r="P44" s="500" t="str">
        <f t="shared" si="2"/>
        <v>↑+2σ突破</v>
      </c>
      <c r="Q44" s="503">
        <f>IF($D44="","",IFERROR(100-100/(1+SUMPRODUCT((終値!E44:R44&gt;終値!F44:S44)*(終値!E44:R44-終値!F44:S44))/SUMPRODUCT((終値!E44:R44&lt;終値!F44:S44)*(終値!F44:S44-終値!E44:R44))),100))</f>
        <v>67.983074753173483</v>
      </c>
      <c r="R44" s="503">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67.017970165097012</v>
      </c>
      <c r="S44" s="500"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0" t="str">
        <f t="shared" si="3"/>
        <v>上walk▲</v>
      </c>
      <c r="U44" s="500" t="str">
        <f>IF(終値!A44="","",BB_スイング!BT44)</f>
        <v>二番底W▲</v>
      </c>
      <c r="V44" s="508">
        <f>IF($D44="","",IFERROR(出来高!E44/AVERAGE(出来高!E44:I44),""))</f>
        <v>2.4110482017442001</v>
      </c>
      <c r="W44" s="509"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△二番底買(確)</v>
      </c>
      <c r="X44" s="504">
        <f t="shared" si="9"/>
        <v>60</v>
      </c>
      <c r="Y44" s="501">
        <f t="shared" si="4"/>
        <v>1299.5</v>
      </c>
      <c r="Z44" s="501">
        <f t="shared" si="5"/>
        <v>1199.2652243676505</v>
      </c>
      <c r="AA44" s="501">
        <f t="shared" si="6"/>
        <v>1165.2249999999999</v>
      </c>
      <c r="AB44" s="501">
        <f t="shared" si="10"/>
        <v>1267.3456731029519</v>
      </c>
      <c r="AC44" s="507">
        <f t="shared" si="7"/>
        <v>-0.24</v>
      </c>
      <c r="AD44" s="501">
        <f>IF($D44="","",MIN(終値!E44:I44))</f>
        <v>1129.5</v>
      </c>
      <c r="AE44" s="503">
        <f t="shared" si="8"/>
        <v>60.099559999999997</v>
      </c>
    </row>
    <row r="45" spans="1:31" ht="24">
      <c r="A45" s="500" t="str">
        <f>IF(終値!A45="","",HYPERLINK("https://kabutan.jp/stock/?code="&amp;終値!A45,"📈"))</f>
        <v>📈</v>
      </c>
      <c r="B45" s="500" t="str">
        <f>IF(終値!A45="","",終値!A45)</f>
        <v>8306</v>
      </c>
      <c r="C45" s="499" t="str">
        <f>IF(終値!A45="","",終値!B45)</f>
        <v>三菱ＵＦＪフィナンシャルＧ</v>
      </c>
      <c r="D45" s="501">
        <f>IF(終値!A45="","",終値!E45)</f>
        <v>3574</v>
      </c>
      <c r="E45" s="501">
        <f>IF($D45="","",AVERAGE(終値!E45:X45))</f>
        <v>3586.3</v>
      </c>
      <c r="F45" s="502">
        <f>IF($D45="","",STDEVP(終値!E45:X45))</f>
        <v>107.80867312048693</v>
      </c>
      <c r="G45" s="501">
        <f>IF($D45="","",$E45+BB設定!$B$4*$F45)</f>
        <v>3801.917346240974</v>
      </c>
      <c r="H45" s="501">
        <f>IF($D45="","",$E45+BB設定!$B$5*$F45)</f>
        <v>3694.1086731204873</v>
      </c>
      <c r="I45" s="501">
        <f>IF($D45="","",$E45-BB設定!$B$5*$F45)</f>
        <v>3478.4913268795131</v>
      </c>
      <c r="J45" s="501">
        <f>IF($D45="","",$E45-BB設定!$B$4*$F45)</f>
        <v>3370.6826537590264</v>
      </c>
      <c r="K45" s="506">
        <f t="shared" si="0"/>
        <v>0.47147724843470223</v>
      </c>
      <c r="L45" s="505">
        <f t="shared" si="1"/>
        <v>12.024501365807311</v>
      </c>
      <c r="M45" s="505">
        <f>IF($D45="","",IFERROR(MIN(BB_帯幅!B45:AP45)*100,""))</f>
        <v>7.145914138945157</v>
      </c>
      <c r="N45" s="500" t="str">
        <f>IF($L45="","",IF($L45&lt;=$M45*BB設定!$B$7,"スクイーズ★",IF($L45&lt;=$M45*1.3,"収縮","－")))</f>
        <v>－</v>
      </c>
      <c r="O45" s="500" t="str">
        <f>IF($D45="","",IF(AND(BB_帯幅!B45&gt;BB_帯幅!C45,BB_帯幅!C45&gt;BB_帯幅!D45),"拡大↑","縮小↓"))</f>
        <v>縮小↓</v>
      </c>
      <c r="P45" s="500" t="str">
        <f t="shared" si="2"/>
        <v>バンド内</v>
      </c>
      <c r="Q45" s="503">
        <f>IF($D45="","",IFERROR(100-100/(1+SUMPRODUCT((終値!E45:R45&gt;終値!F45:S45)*(終値!E45:R45-終値!F45:S45))/SUMPRODUCT((終値!E45:R45&lt;終値!F45:S45)*(終値!F45:S45-終値!E45:R45))),100))</f>
        <v>44.279069767441861</v>
      </c>
      <c r="R45" s="503">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54.226613386835851</v>
      </c>
      <c r="S45" s="500"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0" t="str">
        <f t="shared" si="3"/>
        <v>－</v>
      </c>
      <c r="U45" s="500" t="str">
        <f>IF(終値!A45="","",BB_スイング!BT45)</f>
        <v>二番底W形成</v>
      </c>
      <c r="V45" s="508">
        <f>IF($D45="","",IFERROR(出来高!E45/AVERAGE(出来高!E45:I45),""))</f>
        <v>0.7767494432250458</v>
      </c>
      <c r="W45" s="509"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4">
        <f t="shared" si="9"/>
        <v>0</v>
      </c>
      <c r="Y45" s="501">
        <f t="shared" si="4"/>
        <v>3574</v>
      </c>
      <c r="Z45" s="501">
        <f t="shared" si="5"/>
        <v>3694.1086731204873</v>
      </c>
      <c r="AA45" s="501">
        <f t="shared" si="6"/>
        <v>3470</v>
      </c>
      <c r="AB45" s="501">
        <f t="shared" si="10"/>
        <v>3801.917346240974</v>
      </c>
      <c r="AC45" s="507">
        <f t="shared" si="7"/>
        <v>2.19</v>
      </c>
      <c r="AD45" s="501">
        <f>IF($D45="","",MIN(終値!E45:I45))</f>
        <v>3470</v>
      </c>
      <c r="AE45" s="503">
        <f t="shared" si="8"/>
        <v>9.955E-2</v>
      </c>
    </row>
    <row r="46" spans="1:31">
      <c r="A46" s="500" t="str">
        <f>IF(終値!A46="","",HYPERLINK("https://kabutan.jp/stock/?code="&amp;終値!A46,"📈"))</f>
        <v>📈</v>
      </c>
      <c r="B46" s="500" t="str">
        <f>IF(終値!A46="","",終値!A46)</f>
        <v>5401</v>
      </c>
      <c r="C46" s="499" t="str">
        <f>IF(終値!A46="","",終値!B46)</f>
        <v>日本製鉄</v>
      </c>
      <c r="D46" s="501">
        <f>IF(終値!A46="","",終値!E46)</f>
        <v>683.5</v>
      </c>
      <c r="E46" s="501">
        <f>IF($D46="","",AVERAGE(終値!E46:X46))</f>
        <v>614.57368421052627</v>
      </c>
      <c r="F46" s="502">
        <f>IF($D46="","",STDEVP(終値!E46:X46))</f>
        <v>44.731277672519766</v>
      </c>
      <c r="G46" s="501">
        <f>IF($D46="","",$E46+BB設定!$B$4*$F46)</f>
        <v>704.03623955556577</v>
      </c>
      <c r="H46" s="501">
        <f>IF($D46="","",$E46+BB設定!$B$5*$F46)</f>
        <v>659.30496188304608</v>
      </c>
      <c r="I46" s="501">
        <f>IF($D46="","",$E46-BB設定!$B$5*$F46)</f>
        <v>569.84240653800646</v>
      </c>
      <c r="J46" s="501">
        <f>IF($D46="","",$E46-BB設定!$B$4*$F46)</f>
        <v>525.11112886548676</v>
      </c>
      <c r="K46" s="506">
        <f t="shared" si="0"/>
        <v>0.88522438535115877</v>
      </c>
      <c r="L46" s="505">
        <f t="shared" si="1"/>
        <v>29.113695442381982</v>
      </c>
      <c r="M46" s="505">
        <f>IF($D46="","",IFERROR(MIN(BB_帯幅!B46:AP46)*100,""))</f>
        <v>6.5486197888283124</v>
      </c>
      <c r="N46" s="500" t="str">
        <f>IF($L46="","",IF($L46&lt;=$M46*BB設定!$B$7,"スクイーズ★",IF($L46&lt;=$M46*1.3,"収縮","－")))</f>
        <v>－</v>
      </c>
      <c r="O46" s="500" t="str">
        <f>IF($D46="","",IF(AND(BB_帯幅!B46&gt;BB_帯幅!C46,BB_帯幅!C46&gt;BB_帯幅!D46),"拡大↑","縮小↓"))</f>
        <v>拡大↑</v>
      </c>
      <c r="P46" s="500" t="str">
        <f t="shared" si="2"/>
        <v>+1σ上</v>
      </c>
      <c r="Q46" s="503">
        <f>IF($D46="","",IFERROR(100-100/(1+SUMPRODUCT((終値!E46:R46&gt;終値!F46:S46)*(終値!E46:R46-終値!F46:S46))/SUMPRODUCT((終値!E46:R46&lt;終値!F46:S46)*(終値!F46:S46-終値!E46:R46))),100))</f>
        <v>53.961114335461403</v>
      </c>
      <c r="R46" s="503">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79.552906971842148</v>
      </c>
      <c r="S46" s="500"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弱気div▼</v>
      </c>
      <c r="T46" s="500" t="str">
        <f t="shared" si="3"/>
        <v>上walk▲</v>
      </c>
      <c r="U46" s="500" t="str">
        <f>IF(終値!A46="","",BB_スイング!BT46)</f>
        <v>－</v>
      </c>
      <c r="V46" s="508">
        <f>IF($D46="","",IFERROR(出来高!E46/AVERAGE(出来高!E46:I46),""))</f>
        <v>0.99883643117086229</v>
      </c>
      <c r="W46" s="509"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様子見</v>
      </c>
      <c r="X46" s="504">
        <f t="shared" si="9"/>
        <v>47</v>
      </c>
      <c r="Y46" s="501">
        <f t="shared" si="4"/>
        <v>683.5</v>
      </c>
      <c r="Z46" s="501">
        <f t="shared" si="5"/>
        <v>659.30496188304608</v>
      </c>
      <c r="AA46" s="501">
        <f t="shared" si="6"/>
        <v>614.57368421052627</v>
      </c>
      <c r="AB46" s="501">
        <f t="shared" si="10"/>
        <v>704.03623955556577</v>
      </c>
      <c r="AC46" s="507">
        <f t="shared" si="7"/>
        <v>0.3</v>
      </c>
      <c r="AD46" s="501">
        <f>IF($D46="","",MIN(終値!E46:I46))</f>
        <v>646</v>
      </c>
      <c r="AE46" s="503">
        <f t="shared" si="8"/>
        <v>47.099539999999998</v>
      </c>
    </row>
    <row r="47" spans="1:31">
      <c r="A47" s="500" t="str">
        <f>IF(終値!A47="","",HYPERLINK("https://kabutan.jp/stock/?code="&amp;終値!A47,"📈"))</f>
        <v>📈</v>
      </c>
      <c r="B47" s="500" t="str">
        <f>IF(終値!A47="","",終値!A47)</f>
        <v>8572</v>
      </c>
      <c r="C47" s="499" t="str">
        <f>IF(終値!A47="","",終値!B47)</f>
        <v>アコム</v>
      </c>
      <c r="D47" s="501">
        <f>IF(終値!A47="","",終値!E47)</f>
        <v>480.6</v>
      </c>
      <c r="E47" s="501">
        <f>IF($D47="","",AVERAGE(終値!E47:X47))</f>
        <v>484.375</v>
      </c>
      <c r="F47" s="502">
        <f>IF($D47="","",STDEVP(終値!E47:X47))</f>
        <v>6.5029128088880332</v>
      </c>
      <c r="G47" s="501">
        <f>IF($D47="","",$E47+BB設定!$B$4*$F47)</f>
        <v>497.38082561777605</v>
      </c>
      <c r="H47" s="501">
        <f>IF($D47="","",$E47+BB設定!$B$5*$F47)</f>
        <v>490.87791280888803</v>
      </c>
      <c r="I47" s="501">
        <f>IF($D47="","",$E47-BB設定!$B$5*$F47)</f>
        <v>477.87208719111197</v>
      </c>
      <c r="J47" s="501">
        <f>IF($D47="","",$E47-BB設定!$B$4*$F47)</f>
        <v>471.36917438222395</v>
      </c>
      <c r="K47" s="506">
        <f t="shared" si="0"/>
        <v>0.35487272738608777</v>
      </c>
      <c r="L47" s="505">
        <f t="shared" si="1"/>
        <v>5.3701473518559188</v>
      </c>
      <c r="M47" s="505">
        <f>IF($D47="","",IFERROR(MIN(BB_帯幅!B47:AP47)*100,""))</f>
        <v>2.8642737931539664</v>
      </c>
      <c r="N47" s="500" t="str">
        <f>IF($L47="","",IF($L47&lt;=$M47*BB設定!$B$7,"スクイーズ★",IF($L47&lt;=$M47*1.3,"収縮","－")))</f>
        <v>－</v>
      </c>
      <c r="O47" s="500" t="str">
        <f>IF($D47="","",IF(AND(BB_帯幅!B47&gt;BB_帯幅!C47,BB_帯幅!C47&gt;BB_帯幅!D47),"拡大↑","縮小↓"))</f>
        <v>拡大↑</v>
      </c>
      <c r="P47" s="500" t="str">
        <f t="shared" si="2"/>
        <v>バンド内</v>
      </c>
      <c r="Q47" s="503">
        <f>IF($D47="","",IFERROR(100-100/(1+SUMPRODUCT((終値!E47:R47&gt;終値!F47:S47)*(終値!E47:R47-終値!F47:S47))/SUMPRODUCT((終値!E47:R47&lt;終値!F47:S47)*(終値!F47:S47-終値!E47:R47))),100))</f>
        <v>44.581618655692743</v>
      </c>
      <c r="R47" s="503">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46.851769021870261</v>
      </c>
      <c r="S47" s="500"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v>
      </c>
      <c r="T47" s="500" t="str">
        <f t="shared" si="3"/>
        <v>－</v>
      </c>
      <c r="U47" s="500" t="str">
        <f>IF(終値!A47="","",BB_スイング!BT47)</f>
        <v>－</v>
      </c>
      <c r="V47" s="508">
        <f>IF($D47="","",IFERROR(出来高!E47/AVERAGE(出来高!E47:I47),""))</f>
        <v>0.74149361606015918</v>
      </c>
      <c r="W47" s="509"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4">
        <f t="shared" si="9"/>
        <v>5</v>
      </c>
      <c r="Y47" s="501">
        <f t="shared" si="4"/>
        <v>480.6</v>
      </c>
      <c r="Z47" s="501">
        <f t="shared" si="5"/>
        <v>490.87791280888803</v>
      </c>
      <c r="AA47" s="501">
        <f t="shared" si="6"/>
        <v>469.8</v>
      </c>
      <c r="AB47" s="501">
        <f t="shared" si="10"/>
        <v>497.38082561777605</v>
      </c>
      <c r="AC47" s="507">
        <f t="shared" si="7"/>
        <v>1.55</v>
      </c>
      <c r="AD47" s="501">
        <f>IF($D47="","",MIN(終値!E47:I47))</f>
        <v>469.8</v>
      </c>
      <c r="AE47" s="503">
        <f t="shared" si="8"/>
        <v>5.0995299999999997</v>
      </c>
    </row>
    <row r="48" spans="1:31">
      <c r="A48" s="500" t="str">
        <f>IF(終値!A48="","",HYPERLINK("https://kabutan.jp/stock/?code="&amp;終値!A48,"📈"))</f>
        <v>📈</v>
      </c>
      <c r="B48" s="500" t="str">
        <f>IF(終値!A48="","",終値!A48)</f>
        <v>3941</v>
      </c>
      <c r="C48" s="499" t="str">
        <f>IF(終値!A48="","",終値!B48)</f>
        <v>レンゴー</v>
      </c>
      <c r="D48" s="501">
        <f>IF(終値!A48="","",終値!E48)</f>
        <v>1595.5</v>
      </c>
      <c r="E48" s="501">
        <f>IF($D48="","",AVERAGE(終値!E48:X48))</f>
        <v>1480.9</v>
      </c>
      <c r="F48" s="502">
        <f>IF($D48="","",STDEVP(終値!E48:X48))</f>
        <v>57.103546299682648</v>
      </c>
      <c r="G48" s="501">
        <f>IF($D48="","",$E48+BB設定!$B$4*$F48)</f>
        <v>1595.1070925993654</v>
      </c>
      <c r="H48" s="501">
        <f>IF($D48="","",$E48+BB設定!$B$5*$F48)</f>
        <v>1538.0035462996827</v>
      </c>
      <c r="I48" s="501">
        <f>IF($D48="","",$E48-BB設定!$B$5*$F48)</f>
        <v>1423.7964537003174</v>
      </c>
      <c r="J48" s="501">
        <f>IF($D48="","",$E48-BB設定!$B$4*$F48)</f>
        <v>1366.6929074006348</v>
      </c>
      <c r="K48" s="506">
        <f t="shared" si="0"/>
        <v>1.0017201532395756</v>
      </c>
      <c r="L48" s="505">
        <f t="shared" si="1"/>
        <v>15.424011425398785</v>
      </c>
      <c r="M48" s="505">
        <f>IF($D48="","",IFERROR(MIN(BB_帯幅!B48:AP48)*100,""))</f>
        <v>3.7290300719615073</v>
      </c>
      <c r="N48" s="500" t="str">
        <f>IF($L48="","",IF($L48&lt;=$M48*BB設定!$B$7,"スクイーズ★",IF($L48&lt;=$M48*1.3,"収縮","－")))</f>
        <v>－</v>
      </c>
      <c r="O48" s="500" t="str">
        <f>IF($D48="","",IF(AND(BB_帯幅!B48&gt;BB_帯幅!C48,BB_帯幅!C48&gt;BB_帯幅!D48),"拡大↑","縮小↓"))</f>
        <v>拡大↑</v>
      </c>
      <c r="P48" s="500" t="str">
        <f t="shared" si="2"/>
        <v>↑+2σ突破</v>
      </c>
      <c r="Q48" s="503">
        <f>IF($D48="","",IFERROR(100-100/(1+SUMPRODUCT((終値!E48:R48&gt;終値!F48:S48)*(終値!E48:R48-終値!F48:S48))/SUMPRODUCT((終値!E48:R48&lt;終値!F48:S48)*(終値!F48:S48-終値!E48:R48))),100))</f>
        <v>72.792022792022792</v>
      </c>
      <c r="R48" s="503">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68.700000549620697</v>
      </c>
      <c r="S48" s="500"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0" t="str">
        <f t="shared" si="3"/>
        <v>上walk▲</v>
      </c>
      <c r="U48" s="500" t="str">
        <f>IF(終値!A48="","",BB_スイング!BT48)</f>
        <v>二番底W▲</v>
      </c>
      <c r="V48" s="508">
        <f>IF($D48="","",IFERROR(出来高!E48/AVERAGE(出来高!E48:I48),""))</f>
        <v>1.2791286015460295</v>
      </c>
      <c r="W48" s="509"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△二番底買(確)</v>
      </c>
      <c r="X48" s="504">
        <f t="shared" si="9"/>
        <v>48</v>
      </c>
      <c r="Y48" s="501">
        <f t="shared" si="4"/>
        <v>1595.5</v>
      </c>
      <c r="Z48" s="501">
        <f t="shared" si="5"/>
        <v>1538.0035462996827</v>
      </c>
      <c r="AA48" s="501">
        <f t="shared" si="6"/>
        <v>1480.9</v>
      </c>
      <c r="AB48" s="501">
        <f t="shared" si="10"/>
        <v>1652.210638899048</v>
      </c>
      <c r="AC48" s="507">
        <f t="shared" si="7"/>
        <v>0.49</v>
      </c>
      <c r="AD48" s="501">
        <f>IF($D48="","",MIN(終値!E48:I48))</f>
        <v>1490</v>
      </c>
      <c r="AE48" s="503">
        <f t="shared" si="8"/>
        <v>48.099519999999998</v>
      </c>
    </row>
    <row r="49" spans="1:31" ht="24">
      <c r="A49" s="500" t="str">
        <f>IF(終値!A49="","",HYPERLINK("https://kabutan.jp/stock/?code="&amp;終値!A49,"📈"))</f>
        <v>📈</v>
      </c>
      <c r="B49" s="500" t="str">
        <f>IF(終値!A49="","",終値!A49)</f>
        <v>5929</v>
      </c>
      <c r="C49" s="499" t="str">
        <f>IF(終値!A49="","",終値!B49)</f>
        <v>三和ホールディングス</v>
      </c>
      <c r="D49" s="501">
        <f>IF(終値!A49="","",終値!E49)</f>
        <v>3635</v>
      </c>
      <c r="E49" s="501">
        <f>IF($D49="","",AVERAGE(終値!E49:X49))</f>
        <v>3722.2631578947367</v>
      </c>
      <c r="F49" s="502">
        <f>IF($D49="","",STDEVP(終値!E49:X49))</f>
        <v>143.72372697397898</v>
      </c>
      <c r="G49" s="501">
        <f>IF($D49="","",$E49+BB設定!$B$4*$F49)</f>
        <v>4009.7106118426946</v>
      </c>
      <c r="H49" s="501">
        <f>IF($D49="","",$E49+BB設定!$B$5*$F49)</f>
        <v>3865.9868848687156</v>
      </c>
      <c r="I49" s="501">
        <f>IF($D49="","",$E49-BB設定!$B$5*$F49)</f>
        <v>3578.5394309207577</v>
      </c>
      <c r="J49" s="501">
        <f>IF($D49="","",$E49-BB設定!$B$4*$F49)</f>
        <v>3434.8157039467787</v>
      </c>
      <c r="K49" s="506">
        <f t="shared" si="0"/>
        <v>0.34821024382679772</v>
      </c>
      <c r="L49" s="505">
        <f t="shared" si="1"/>
        <v>15.444767968019457</v>
      </c>
      <c r="M49" s="505">
        <f>IF($D49="","",IFERROR(MIN(BB_帯幅!B49:AP49)*100,""))</f>
        <v>6.419372084920524</v>
      </c>
      <c r="N49" s="500" t="str">
        <f>IF($L49="","",IF($L49&lt;=$M49*BB設定!$B$7,"スクイーズ★",IF($L49&lt;=$M49*1.3,"収縮","－")))</f>
        <v>－</v>
      </c>
      <c r="O49" s="500" t="str">
        <f>IF($D49="","",IF(AND(BB_帯幅!B49&gt;BB_帯幅!C49,BB_帯幅!C49&gt;BB_帯幅!D49),"拡大↑","縮小↓"))</f>
        <v>縮小↓</v>
      </c>
      <c r="P49" s="500" t="str">
        <f t="shared" si="2"/>
        <v>バンド内</v>
      </c>
      <c r="Q49" s="503">
        <f>IF($D49="","",IFERROR(100-100/(1+SUMPRODUCT((終値!E49:R49&gt;終値!F49:S49)*(終値!E49:R49-終値!F49:S49))/SUMPRODUCT((終値!E49:R49&lt;終値!F49:S49)*(終値!F49:S49-終値!E49:R49))),100))</f>
        <v>49.576516997331481</v>
      </c>
      <c r="R49" s="503">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51.195370013802901</v>
      </c>
      <c r="S49" s="500"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0" t="str">
        <f t="shared" si="3"/>
        <v>－</v>
      </c>
      <c r="U49" s="500" t="str">
        <f>IF(終値!A49="","",BB_スイング!BT49)</f>
        <v>－</v>
      </c>
      <c r="V49" s="508">
        <f>IF($D49="","",IFERROR(出来高!E49/AVERAGE(出来高!E49:I49),""))</f>
        <v>0.56928321356182054</v>
      </c>
      <c r="W49" s="509"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4">
        <f t="shared" si="9"/>
        <v>0</v>
      </c>
      <c r="Y49" s="501">
        <f t="shared" si="4"/>
        <v>3635</v>
      </c>
      <c r="Z49" s="501">
        <f t="shared" si="5"/>
        <v>3865.9868848687156</v>
      </c>
      <c r="AA49" s="501">
        <f t="shared" si="6"/>
        <v>3442</v>
      </c>
      <c r="AB49" s="501">
        <f t="shared" si="10"/>
        <v>4009.7106118426946</v>
      </c>
      <c r="AC49" s="507">
        <f t="shared" si="7"/>
        <v>1.94</v>
      </c>
      <c r="AD49" s="501">
        <f>IF($D49="","",MIN(終値!E49:I49))</f>
        <v>3442</v>
      </c>
      <c r="AE49" s="503">
        <f t="shared" si="8"/>
        <v>9.9510000000000001E-2</v>
      </c>
    </row>
    <row r="50" spans="1:31" ht="24">
      <c r="A50" s="500" t="str">
        <f>IF(終値!A50="","",HYPERLINK("https://kabutan.jp/stock/?code="&amp;終値!A50,"📈"))</f>
        <v>📈</v>
      </c>
      <c r="B50" s="500" t="str">
        <f>IF(終値!A50="","",終値!A50)</f>
        <v>8316</v>
      </c>
      <c r="C50" s="499" t="str">
        <f>IF(終値!A50="","",終値!B50)</f>
        <v>三井住友フィナンシャルＧ</v>
      </c>
      <c r="D50" s="501">
        <f>IF(終値!A50="","",終値!E50)</f>
        <v>6781</v>
      </c>
      <c r="E50" s="501">
        <f>IF($D50="","",AVERAGE(終値!E50:X50))</f>
        <v>6880.3</v>
      </c>
      <c r="F50" s="502">
        <f>IF($D50="","",STDEVP(終値!E50:X50))</f>
        <v>191.52287069694833</v>
      </c>
      <c r="G50" s="501">
        <f>IF($D50="","",$E50+BB設定!$B$4*$F50)</f>
        <v>7263.3457413938968</v>
      </c>
      <c r="H50" s="501">
        <f>IF($D50="","",$E50+BB設定!$B$5*$F50)</f>
        <v>7071.8228706969485</v>
      </c>
      <c r="I50" s="501">
        <f>IF($D50="","",$E50-BB設定!$B$5*$F50)</f>
        <v>6688.7771293030519</v>
      </c>
      <c r="J50" s="501">
        <f>IF($D50="","",$E50-BB設定!$B$4*$F50)</f>
        <v>6497.2542586061036</v>
      </c>
      <c r="K50" s="506">
        <f t="shared" si="0"/>
        <v>0.37038101554314473</v>
      </c>
      <c r="L50" s="505">
        <f t="shared" si="1"/>
        <v>11.134565103088429</v>
      </c>
      <c r="M50" s="505">
        <f>IF($D50="","",IFERROR(MIN(BB_帯幅!B50:AP50)*100,""))</f>
        <v>9.7664388013525123</v>
      </c>
      <c r="N50" s="500" t="str">
        <f>IF($L50="","",IF($L50&lt;=$M50*BB設定!$B$7,"スクイーズ★",IF($L50&lt;=$M50*1.3,"収縮","－")))</f>
        <v>収縮</v>
      </c>
      <c r="O50" s="500" t="str">
        <f>IF($D50="","",IF(AND(BB_帯幅!B50&gt;BB_帯幅!C50,BB_帯幅!C50&gt;BB_帯幅!D50),"拡大↑","縮小↓"))</f>
        <v>拡大↑</v>
      </c>
      <c r="P50" s="500" t="str">
        <f t="shared" si="2"/>
        <v>バンド内</v>
      </c>
      <c r="Q50" s="503">
        <f>IF($D50="","",IFERROR(100-100/(1+SUMPRODUCT((終値!E50:R50&gt;終値!F50:S50)*(終値!E50:R50-終値!F50:S50))/SUMPRODUCT((終値!E50:R50&lt;終値!F50:S50)*(終値!F50:S50-終値!E50:R50))),100))</f>
        <v>42.151431209602954</v>
      </c>
      <c r="R50" s="503">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51.168003621441066</v>
      </c>
      <c r="S50" s="500"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0" t="str">
        <f t="shared" si="3"/>
        <v>－</v>
      </c>
      <c r="U50" s="500" t="str">
        <f>IF(終値!A50="","",BB_スイング!BT50)</f>
        <v>二番底W形成</v>
      </c>
      <c r="V50" s="508">
        <f>IF($D50="","",IFERROR(出来高!E50/AVERAGE(出来高!E50:I50),""))</f>
        <v>0.74868842902943744</v>
      </c>
      <c r="W50" s="509"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4">
        <f t="shared" si="9"/>
        <v>30</v>
      </c>
      <c r="Y50" s="501">
        <f t="shared" si="4"/>
        <v>6781</v>
      </c>
      <c r="Z50" s="501">
        <f t="shared" si="5"/>
        <v>7071.8228706969485</v>
      </c>
      <c r="AA50" s="501">
        <f t="shared" si="6"/>
        <v>6515</v>
      </c>
      <c r="AB50" s="501">
        <f t="shared" si="10"/>
        <v>7263.3457413938968</v>
      </c>
      <c r="AC50" s="507">
        <f t="shared" si="7"/>
        <v>1.81</v>
      </c>
      <c r="AD50" s="501">
        <f>IF($D50="","",MIN(終値!E50:I50))</f>
        <v>6515</v>
      </c>
      <c r="AE50" s="503">
        <f t="shared" si="8"/>
        <v>30.099499999999999</v>
      </c>
    </row>
    <row r="51" spans="1:31">
      <c r="A51" s="500" t="str">
        <f>IF(終値!A51="","",HYPERLINK("https://kabutan.jp/stock/?code="&amp;終値!A51,"📈"))</f>
        <v>📈</v>
      </c>
      <c r="B51" s="500" t="str">
        <f>IF(終値!A51="","",終値!A51)</f>
        <v>5449</v>
      </c>
      <c r="C51" s="499" t="str">
        <f>IF(終値!A51="","",終値!B51)</f>
        <v>大阪製鐵</v>
      </c>
      <c r="D51" s="501">
        <f>IF(終値!A51="","",終値!E51)</f>
        <v>2777</v>
      </c>
      <c r="E51" s="501">
        <f>IF($D51="","",AVERAGE(終値!E51:X51))</f>
        <v>2602.15</v>
      </c>
      <c r="F51" s="502">
        <f>IF($D51="","",STDEVP(終値!E51:X51))</f>
        <v>134.04785526072396</v>
      </c>
      <c r="G51" s="501">
        <f>IF($D51="","",$E51+BB設定!$B$4*$F51)</f>
        <v>2870.245710521448</v>
      </c>
      <c r="H51" s="501">
        <f>IF($D51="","",$E51+BB設定!$B$5*$F51)</f>
        <v>2736.1978552607243</v>
      </c>
      <c r="I51" s="501">
        <f>IF($D51="","",$E51-BB設定!$B$5*$F51)</f>
        <v>2468.1021447392759</v>
      </c>
      <c r="J51" s="501">
        <f>IF($D51="","",$E51-BB設定!$B$4*$F51)</f>
        <v>2334.0542894785522</v>
      </c>
      <c r="K51" s="506">
        <f t="shared" si="0"/>
        <v>0.82609622820879058</v>
      </c>
      <c r="L51" s="505">
        <f t="shared" si="1"/>
        <v>20.605707628034349</v>
      </c>
      <c r="M51" s="505">
        <f>IF($D51="","",IFERROR(MIN(BB_帯幅!B51:AP51)*100,""))</f>
        <v>7.6465682372082986</v>
      </c>
      <c r="N51" s="500" t="str">
        <f>IF($L51="","",IF($L51&lt;=$M51*BB設定!$B$7,"スクイーズ★",IF($L51&lt;=$M51*1.3,"収縮","－")))</f>
        <v>－</v>
      </c>
      <c r="O51" s="500" t="str">
        <f>IF($D51="","",IF(AND(BB_帯幅!B51&gt;BB_帯幅!C51,BB_帯幅!C51&gt;BB_帯幅!D51),"拡大↑","縮小↓"))</f>
        <v>縮小↓</v>
      </c>
      <c r="P51" s="500" t="str">
        <f t="shared" si="2"/>
        <v>+1σ上</v>
      </c>
      <c r="Q51" s="503">
        <f>IF($D51="","",IFERROR(100-100/(1+SUMPRODUCT((終値!E51:R51&gt;終値!F51:S51)*(終値!E51:R51-終値!F51:S51))/SUMPRODUCT((終値!E51:R51&lt;終値!F51:S51)*(終値!F51:S51-終値!E51:R51))),100))</f>
        <v>59.375</v>
      </c>
      <c r="R51" s="503">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70.167310435225914</v>
      </c>
      <c r="S51" s="500"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弱気div▼</v>
      </c>
      <c r="T51" s="500" t="str">
        <f t="shared" si="3"/>
        <v>上walk▲</v>
      </c>
      <c r="U51" s="500" t="str">
        <f>IF(終値!A51="","",BB_スイング!BT51)</f>
        <v>－</v>
      </c>
      <c r="V51" s="508">
        <f>IF($D51="","",IFERROR(出来高!E51/AVERAGE(出来高!E51:I51),""))</f>
        <v>0.79830887838846054</v>
      </c>
      <c r="W51" s="509"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様子見</v>
      </c>
      <c r="X51" s="504">
        <f t="shared" si="9"/>
        <v>37</v>
      </c>
      <c r="Y51" s="501">
        <f t="shared" si="4"/>
        <v>2777</v>
      </c>
      <c r="Z51" s="501">
        <f t="shared" si="5"/>
        <v>2736.1978552607243</v>
      </c>
      <c r="AA51" s="501">
        <f t="shared" si="6"/>
        <v>2602.15</v>
      </c>
      <c r="AB51" s="501">
        <f t="shared" si="10"/>
        <v>2870.245710521448</v>
      </c>
      <c r="AC51" s="507">
        <f t="shared" si="7"/>
        <v>0.53</v>
      </c>
      <c r="AD51" s="501">
        <f>IF($D51="","",MIN(終値!E51:I51))</f>
        <v>2368</v>
      </c>
      <c r="AE51" s="503">
        <f t="shared" si="8"/>
        <v>37.099490000000003</v>
      </c>
    </row>
    <row r="52" spans="1:31">
      <c r="A52" s="500" t="str">
        <f>IF(終値!A52="","",HYPERLINK("https://kabutan.jp/stock/?code="&amp;終値!A52,"📈"))</f>
        <v>📈</v>
      </c>
      <c r="B52" s="500" t="str">
        <f>IF(終値!A52="","",終値!A52)</f>
        <v>8766</v>
      </c>
      <c r="C52" s="499" t="str">
        <f>IF(終値!A52="","",終値!B52)</f>
        <v>東京海上ＨＤ</v>
      </c>
      <c r="D52" s="501">
        <f>IF(終値!A52="","",終値!E52)</f>
        <v>7817</v>
      </c>
      <c r="E52" s="501">
        <f>IF($D52="","",AVERAGE(終値!E52:X52))</f>
        <v>7903.4</v>
      </c>
      <c r="F52" s="502">
        <f>IF($D52="","",STDEVP(終値!E52:X52))</f>
        <v>237.68979784584781</v>
      </c>
      <c r="G52" s="501">
        <f>IF($D52="","",$E52+BB設定!$B$4*$F52)</f>
        <v>8378.7795956916962</v>
      </c>
      <c r="H52" s="501">
        <f>IF($D52="","",$E52+BB設定!$B$5*$F52)</f>
        <v>8141.089797845847</v>
      </c>
      <c r="I52" s="501">
        <f>IF($D52="","",$E52-BB設定!$B$5*$F52)</f>
        <v>7665.7102021541523</v>
      </c>
      <c r="J52" s="501">
        <f>IF($D52="","",$E52-BB設定!$B$4*$F52)</f>
        <v>7428.020404308304</v>
      </c>
      <c r="K52" s="506">
        <f t="shared" si="0"/>
        <v>0.40912525402538086</v>
      </c>
      <c r="L52" s="505">
        <f t="shared" si="1"/>
        <v>12.029749112829823</v>
      </c>
      <c r="M52" s="505">
        <f>IF($D52="","",IFERROR(MIN(BB_帯幅!B52:AP52)*100,""))</f>
        <v>7.4817906902265028</v>
      </c>
      <c r="N52" s="500" t="str">
        <f>IF($L52="","",IF($L52&lt;=$M52*BB設定!$B$7,"スクイーズ★",IF($L52&lt;=$M52*1.3,"収縮","－")))</f>
        <v>－</v>
      </c>
      <c r="O52" s="500" t="str">
        <f>IF($D52="","",IF(AND(BB_帯幅!B52&gt;BB_帯幅!C52,BB_帯幅!C52&gt;BB_帯幅!D52),"拡大↑","縮小↓"))</f>
        <v>縮小↓</v>
      </c>
      <c r="P52" s="500" t="str">
        <f t="shared" si="2"/>
        <v>バンド内</v>
      </c>
      <c r="Q52" s="503">
        <f>IF($D52="","",IFERROR(100-100/(1+SUMPRODUCT((終値!E52:R52&gt;終値!F52:S52)*(終値!E52:R52-終値!F52:S52))/SUMPRODUCT((終値!E52:R52&lt;終値!F52:S52)*(終値!F52:S52-終値!E52:R52))),100))</f>
        <v>51.154438173422271</v>
      </c>
      <c r="R52" s="503">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59.133657583814966</v>
      </c>
      <c r="S52" s="500"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0" t="str">
        <f t="shared" si="3"/>
        <v>－</v>
      </c>
      <c r="U52" s="500" t="str">
        <f>IF(終値!A52="","",BB_スイング!BT52)</f>
        <v>二番底W形成</v>
      </c>
      <c r="V52" s="508">
        <f>IF($D52="","",IFERROR(出来高!E52/AVERAGE(出来高!E52:I52),""))</f>
        <v>0.85777220170798818</v>
      </c>
      <c r="W52" s="509"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△二番底形成</v>
      </c>
      <c r="X52" s="504">
        <f t="shared" si="9"/>
        <v>5</v>
      </c>
      <c r="Y52" s="501">
        <f t="shared" si="4"/>
        <v>7817</v>
      </c>
      <c r="Z52" s="501">
        <f t="shared" si="5"/>
        <v>8141.089797845847</v>
      </c>
      <c r="AA52" s="501">
        <f t="shared" si="6"/>
        <v>7709</v>
      </c>
      <c r="AB52" s="501">
        <f t="shared" si="10"/>
        <v>8378.7795956916962</v>
      </c>
      <c r="AC52" s="507">
        <f t="shared" si="7"/>
        <v>5.2</v>
      </c>
      <c r="AD52" s="501">
        <f>IF($D52="","",MIN(終値!E52:I52))</f>
        <v>7709</v>
      </c>
      <c r="AE52" s="503">
        <f t="shared" si="8"/>
        <v>5.0994799999999998</v>
      </c>
    </row>
    <row r="53" spans="1:31">
      <c r="A53" s="500" t="str">
        <f>IF(終値!A53="","",HYPERLINK("https://kabutan.jp/stock/?code="&amp;終値!A53,"📈"))</f>
        <v>📈</v>
      </c>
      <c r="B53" s="500" t="str">
        <f>IF(終値!A53="","",終値!A53)</f>
        <v>5201</v>
      </c>
      <c r="C53" s="499" t="str">
        <f>IF(終値!A53="","",終値!B53)</f>
        <v>ＡＧＣ</v>
      </c>
      <c r="D53" s="501">
        <f>IF(終値!A53="","",終値!E53)</f>
        <v>5786</v>
      </c>
      <c r="E53" s="501">
        <f>IF($D53="","",AVERAGE(終値!E53:X53))</f>
        <v>6178.95</v>
      </c>
      <c r="F53" s="502">
        <f>IF($D53="","",STDEVP(終値!E53:X53))</f>
        <v>247.46201223622182</v>
      </c>
      <c r="G53" s="501">
        <f>IF($D53="","",$E53+BB設定!$B$4*$F53)</f>
        <v>6673.8740244724431</v>
      </c>
      <c r="H53" s="501">
        <f>IF($D53="","",$E53+BB設定!$B$5*$F53)</f>
        <v>6426.4120122362219</v>
      </c>
      <c r="I53" s="501">
        <f>IF($D53="","",$E53-BB設定!$B$5*$F53)</f>
        <v>5931.4879877637777</v>
      </c>
      <c r="J53" s="501">
        <f>IF($D53="","",$E53-BB設定!$B$4*$F53)</f>
        <v>5684.0259755275565</v>
      </c>
      <c r="K53" s="506">
        <f t="shared" si="0"/>
        <v>0.10301987722372251</v>
      </c>
      <c r="L53" s="505">
        <f t="shared" si="1"/>
        <v>16.019680511169156</v>
      </c>
      <c r="M53" s="505">
        <f>IF($D53="","",IFERROR(MIN(BB_帯幅!B53:AP53)*100,""))</f>
        <v>14.360035540116552</v>
      </c>
      <c r="N53" s="500" t="str">
        <f>IF($L53="","",IF($L53&lt;=$M53*BB設定!$B$7,"スクイーズ★",IF($L53&lt;=$M53*1.3,"収縮","－")))</f>
        <v>収縮</v>
      </c>
      <c r="O53" s="500" t="str">
        <f>IF($D53="","",IF(AND(BB_帯幅!B53&gt;BB_帯幅!C53,BB_帯幅!C53&gt;BB_帯幅!D53),"拡大↑","縮小↓"))</f>
        <v>拡大↑</v>
      </c>
      <c r="P53" s="500" t="str">
        <f t="shared" si="2"/>
        <v>-1σ下</v>
      </c>
      <c r="Q53" s="503">
        <f>IF($D53="","",IFERROR(100-100/(1+SUMPRODUCT((終値!E53:R53&gt;終値!F53:S53)*(終値!E53:R53-終値!F53:S53))/SUMPRODUCT((終値!E53:R53&lt;終値!F53:S53)*(終値!F53:S53-終値!E53:R53))),100))</f>
        <v>30.829831932773104</v>
      </c>
      <c r="R53" s="503">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25.243075976183945</v>
      </c>
      <c r="S53" s="500"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v>
      </c>
      <c r="T53" s="500" t="str">
        <f t="shared" si="3"/>
        <v>下walk▼</v>
      </c>
      <c r="U53" s="500" t="str">
        <f>IF(終値!A53="","",BB_スイング!BT53)</f>
        <v>二番天井M形成</v>
      </c>
      <c r="V53" s="508">
        <f>IF($D53="","",IFERROR(出来高!E53/AVERAGE(出来高!E53:I53),""))</f>
        <v>0.59350181032469052</v>
      </c>
      <c r="W53" s="509"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▼二番天井警戒</v>
      </c>
      <c r="X53" s="504">
        <f t="shared" si="9"/>
        <v>0</v>
      </c>
      <c r="Y53" s="501">
        <f t="shared" si="4"/>
        <v>5786</v>
      </c>
      <c r="Z53" s="501">
        <f t="shared" si="5"/>
        <v>6426.4120122362219</v>
      </c>
      <c r="AA53" s="501">
        <f t="shared" si="6"/>
        <v>5585</v>
      </c>
      <c r="AB53" s="501">
        <f t="shared" si="10"/>
        <v>6673.8740244724431</v>
      </c>
      <c r="AC53" s="507">
        <f t="shared" si="7"/>
        <v>4.42</v>
      </c>
      <c r="AD53" s="501">
        <f>IF($D53="","",MIN(終値!E53:I53))</f>
        <v>5585</v>
      </c>
      <c r="AE53" s="503">
        <f t="shared" si="8"/>
        <v>9.9470000000000003E-2</v>
      </c>
    </row>
    <row r="54" spans="1:31" ht="24">
      <c r="A54" s="500" t="str">
        <f>IF(終値!A54="","",HYPERLINK("https://kabutan.jp/stock/?code="&amp;終値!A54,"📈"))</f>
        <v>📈</v>
      </c>
      <c r="B54" s="500" t="str">
        <f>IF(終値!A54="","",終値!A54)</f>
        <v>8630</v>
      </c>
      <c r="C54" s="499" t="str">
        <f>IF(終値!A54="","",終値!B54)</f>
        <v>ＳＯＭＰＯホールディングス</v>
      </c>
      <c r="D54" s="501">
        <f>IF(終値!A54="","",終値!E54)</f>
        <v>6997</v>
      </c>
      <c r="E54" s="501">
        <f>IF($D54="","",AVERAGE(終値!E54:X54))</f>
        <v>6895.5</v>
      </c>
      <c r="F54" s="502">
        <f>IF($D54="","",STDEVP(終値!E54:X54))</f>
        <v>258.89080709828227</v>
      </c>
      <c r="G54" s="501">
        <f>IF($D54="","",$E54+BB設定!$B$4*$F54)</f>
        <v>7413.281614196565</v>
      </c>
      <c r="H54" s="501">
        <f>IF($D54="","",$E54+BB設定!$B$5*$F54)</f>
        <v>7154.3908070982825</v>
      </c>
      <c r="I54" s="501">
        <f>IF($D54="","",$E54-BB設定!$B$5*$F54)</f>
        <v>6636.6091929017175</v>
      </c>
      <c r="J54" s="501">
        <f>IF($D54="","",$E54-BB設定!$B$4*$F54)</f>
        <v>6377.718385803435</v>
      </c>
      <c r="K54" s="506">
        <f t="shared" si="0"/>
        <v>0.59801429523284277</v>
      </c>
      <c r="L54" s="505">
        <f t="shared" si="1"/>
        <v>15.017957050150532</v>
      </c>
      <c r="M54" s="505">
        <f>IF($D54="","",IFERROR(MIN(BB_帯幅!B54:AP54)*100,""))</f>
        <v>10.622920337217815</v>
      </c>
      <c r="N54" s="500" t="str">
        <f>IF($L54="","",IF($L54&lt;=$M54*BB設定!$B$7,"スクイーズ★",IF($L54&lt;=$M54*1.3,"収縮","－")))</f>
        <v>－</v>
      </c>
      <c r="O54" s="500" t="str">
        <f>IF($D54="","",IF(AND(BB_帯幅!B54&gt;BB_帯幅!C54,BB_帯幅!C54&gt;BB_帯幅!D54),"拡大↑","縮小↓"))</f>
        <v>縮小↓</v>
      </c>
      <c r="P54" s="500" t="str">
        <f t="shared" si="2"/>
        <v>バンド内</v>
      </c>
      <c r="Q54" s="503">
        <f>IF($D54="","",IFERROR(100-100/(1+SUMPRODUCT((終値!E54:R54&gt;終値!F54:S54)*(終値!E54:R54-終値!F54:S54))/SUMPRODUCT((終値!E54:R54&lt;終値!F54:S54)*(終値!F54:S54-終値!E54:R54))),100))</f>
        <v>61.583011583011583</v>
      </c>
      <c r="R54" s="503">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50.748713956821355</v>
      </c>
      <c r="S54" s="500"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弱気div▼</v>
      </c>
      <c r="T54" s="500" t="str">
        <f t="shared" si="3"/>
        <v>－</v>
      </c>
      <c r="U54" s="500" t="str">
        <f>IF(終値!A54="","",BB_スイング!BT54)</f>
        <v>二番底W形成</v>
      </c>
      <c r="V54" s="508">
        <f>IF($D54="","",IFERROR(出来高!E54/AVERAGE(出来高!E54:I54),""))</f>
        <v>0.84368521829949517</v>
      </c>
      <c r="W54" s="509"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△二番底形成</v>
      </c>
      <c r="X54" s="504">
        <f t="shared" si="9"/>
        <v>20</v>
      </c>
      <c r="Y54" s="501">
        <f t="shared" si="4"/>
        <v>6997</v>
      </c>
      <c r="Z54" s="501">
        <f t="shared" si="5"/>
        <v>7154.3908070982825</v>
      </c>
      <c r="AA54" s="501">
        <f t="shared" si="6"/>
        <v>6895.5</v>
      </c>
      <c r="AB54" s="501">
        <f t="shared" si="10"/>
        <v>7413.281614196565</v>
      </c>
      <c r="AC54" s="507">
        <f t="shared" si="7"/>
        <v>4.0999999999999996</v>
      </c>
      <c r="AD54" s="501">
        <f>IF($D54="","",MIN(終値!E54:I54))</f>
        <v>6811</v>
      </c>
      <c r="AE54" s="503">
        <f t="shared" si="8"/>
        <v>20.099460000000001</v>
      </c>
    </row>
    <row r="55" spans="1:31" ht="24">
      <c r="A55" s="500" t="str">
        <f>IF(終値!A55="","",HYPERLINK("https://kabutan.jp/stock/?code="&amp;終値!A55,"📈"))</f>
        <v>📈</v>
      </c>
      <c r="B55" s="500" t="str">
        <f>IF(終値!A55="","",終値!A55)</f>
        <v>5901</v>
      </c>
      <c r="C55" s="499" t="str">
        <f>IF(終値!A55="","",終値!B55)</f>
        <v>東洋製罐グループＨＤ</v>
      </c>
      <c r="D55" s="501">
        <f>IF(終値!A55="","",終値!E55)</f>
        <v>4250</v>
      </c>
      <c r="E55" s="501">
        <f>IF($D55="","",AVERAGE(終値!E55:X55))</f>
        <v>4090.5</v>
      </c>
      <c r="F55" s="502">
        <f>IF($D55="","",STDEVP(終値!E55:X55))</f>
        <v>74.110390634512243</v>
      </c>
      <c r="G55" s="501">
        <f>IF($D55="","",$E55+BB設定!$B$4*$F55)</f>
        <v>4238.7207812690249</v>
      </c>
      <c r="H55" s="501">
        <f>IF($D55="","",$E55+BB設定!$B$5*$F55)</f>
        <v>4164.6103906345124</v>
      </c>
      <c r="I55" s="501">
        <f>IF($D55="","",$E55-BB設定!$B$5*$F55)</f>
        <v>4016.3896093654876</v>
      </c>
      <c r="J55" s="501">
        <f>IF($D55="","",$E55-BB設定!$B$4*$F55)</f>
        <v>3942.2792187309756</v>
      </c>
      <c r="K55" s="506">
        <f t="shared" si="0"/>
        <v>1.0380487089408301</v>
      </c>
      <c r="L55" s="505">
        <f t="shared" si="1"/>
        <v>7.2470740138870378</v>
      </c>
      <c r="M55" s="505">
        <f>IF($D55="","",IFERROR(MIN(BB_帯幅!B55:AP55)*100,""))</f>
        <v>4.5476506426549514</v>
      </c>
      <c r="N55" s="500" t="str">
        <f>IF($L55="","",IF($L55&lt;=$M55*BB設定!$B$7,"スクイーズ★",IF($L55&lt;=$M55*1.3,"収縮","－")))</f>
        <v>－</v>
      </c>
      <c r="O55" s="500" t="str">
        <f>IF($D55="","",IF(AND(BB_帯幅!B55&gt;BB_帯幅!C55,BB_帯幅!C55&gt;BB_帯幅!D55),"拡大↑","縮小↓"))</f>
        <v>拡大↑</v>
      </c>
      <c r="P55" s="500" t="str">
        <f t="shared" si="2"/>
        <v>↑+2σ突破</v>
      </c>
      <c r="Q55" s="503">
        <f>IF($D55="","",IFERROR(100-100/(1+SUMPRODUCT((終値!E55:R55&gt;終値!F55:S55)*(終値!E55:R55-終値!F55:S55))/SUMPRODUCT((終値!E55:R55&lt;終値!F55:S55)*(終値!F55:S55-終値!E55:R55))),100))</f>
        <v>65.421853388658377</v>
      </c>
      <c r="R55" s="503">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67.946219582397561</v>
      </c>
      <c r="S55" s="500"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0" t="str">
        <f t="shared" si="3"/>
        <v>上walk▲</v>
      </c>
      <c r="U55" s="500" t="str">
        <f>IF(終値!A55="","",BB_スイング!BT55)</f>
        <v>二番底W▲</v>
      </c>
      <c r="V55" s="508">
        <f>IF($D55="","",IFERROR(出来高!E55/AVERAGE(出来高!E55:I55),""))</f>
        <v>1.3186132893107718</v>
      </c>
      <c r="W55" s="509"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△二番底買(確)</v>
      </c>
      <c r="X55" s="504">
        <f t="shared" si="9"/>
        <v>55</v>
      </c>
      <c r="Y55" s="501">
        <f t="shared" si="4"/>
        <v>4250</v>
      </c>
      <c r="Z55" s="501">
        <f t="shared" si="5"/>
        <v>4164.6103906345124</v>
      </c>
      <c r="AA55" s="501">
        <f t="shared" si="6"/>
        <v>4090.5</v>
      </c>
      <c r="AB55" s="501">
        <f t="shared" si="10"/>
        <v>4312.8311719035364</v>
      </c>
      <c r="AC55" s="507">
        <f t="shared" si="7"/>
        <v>0.39</v>
      </c>
      <c r="AD55" s="501">
        <f>IF($D55="","",MIN(終値!E55:I55))</f>
        <v>3995</v>
      </c>
      <c r="AE55" s="503">
        <f t="shared" si="8"/>
        <v>55.099449999999997</v>
      </c>
    </row>
    <row r="56" spans="1:31">
      <c r="A56" s="500" t="str">
        <f>IF(終値!A56="","",HYPERLINK("https://kabutan.jp/stock/?code="&amp;終値!A56,"📈"))</f>
        <v>📈</v>
      </c>
      <c r="B56" s="500" t="str">
        <f>IF(終値!A56="","",終値!A56)</f>
        <v>9412</v>
      </c>
      <c r="C56" s="499" t="str">
        <f>IF(終値!A56="","",終値!B56)</f>
        <v>スカパーＪＳＡＴ</v>
      </c>
      <c r="D56" s="501">
        <f>IF(終値!A56="","",終値!E56)</f>
        <v>2242</v>
      </c>
      <c r="E56" s="501">
        <f>IF($D56="","",AVERAGE(終値!E56:X56))</f>
        <v>2304.5</v>
      </c>
      <c r="F56" s="502">
        <f>IF($D56="","",STDEVP(終値!E56:X56))</f>
        <v>166.59456773856704</v>
      </c>
      <c r="G56" s="501">
        <f>IF($D56="","",$E56+BB設定!$B$4*$F56)</f>
        <v>2637.6891354771342</v>
      </c>
      <c r="H56" s="501">
        <f>IF($D56="","",$E56+BB設定!$B$5*$F56)</f>
        <v>2471.0945677385671</v>
      </c>
      <c r="I56" s="501">
        <f>IF($D56="","",$E56-BB設定!$B$5*$F56)</f>
        <v>2137.9054322614329</v>
      </c>
      <c r="J56" s="501">
        <f>IF($D56="","",$E56-BB設定!$B$4*$F56)</f>
        <v>1971.3108645228658</v>
      </c>
      <c r="K56" s="506">
        <f t="shared" si="0"/>
        <v>0.40620942680123917</v>
      </c>
      <c r="L56" s="505">
        <f t="shared" si="1"/>
        <v>28.916392751324295</v>
      </c>
      <c r="M56" s="505">
        <f>IF($D56="","",IFERROR(MIN(BB_帯幅!B56:AP56)*100,""))</f>
        <v>24.11533918340238</v>
      </c>
      <c r="N56" s="500" t="str">
        <f>IF($L56="","",IF($L56&lt;=$M56*BB設定!$B$7,"スクイーズ★",IF($L56&lt;=$M56*1.3,"収縮","－")))</f>
        <v>収縮</v>
      </c>
      <c r="O56" s="500" t="str">
        <f>IF($D56="","",IF(AND(BB_帯幅!B56&gt;BB_帯幅!C56,BB_帯幅!C56&gt;BB_帯幅!D56),"拡大↑","縮小↓"))</f>
        <v>縮小↓</v>
      </c>
      <c r="P56" s="500" t="str">
        <f t="shared" si="2"/>
        <v>バンド内</v>
      </c>
      <c r="Q56" s="503">
        <f>IF($D56="","",IFERROR(100-100/(1+SUMPRODUCT((終値!E56:R56&gt;終値!F56:S56)*(終値!E56:R56-終値!F56:S56))/SUMPRODUCT((終値!E56:R56&lt;終値!F56:S56)*(終値!F56:S56-終値!E56:R56))),100))</f>
        <v>41.702493551160792</v>
      </c>
      <c r="R56" s="503">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48.503682644144135</v>
      </c>
      <c r="S56" s="500"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強気div▲</v>
      </c>
      <c r="T56" s="500" t="str">
        <f t="shared" si="3"/>
        <v>－</v>
      </c>
      <c r="U56" s="500" t="str">
        <f>IF(終値!A56="","",BB_スイング!BT56)</f>
        <v>－</v>
      </c>
      <c r="V56" s="508">
        <f>IF($D56="","",IFERROR(出来高!E56/AVERAGE(出来高!E56:I56),""))</f>
        <v>1.0687454903014955</v>
      </c>
      <c r="W56" s="509"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○反発(ダイバ)買</v>
      </c>
      <c r="X56" s="504">
        <f t="shared" si="9"/>
        <v>20</v>
      </c>
      <c r="Y56" s="501">
        <f t="shared" si="4"/>
        <v>2242</v>
      </c>
      <c r="Z56" s="501">
        <f t="shared" si="5"/>
        <v>2471.0945677385671</v>
      </c>
      <c r="AA56" s="501">
        <f t="shared" si="6"/>
        <v>2102</v>
      </c>
      <c r="AB56" s="501">
        <f t="shared" si="10"/>
        <v>2637.6891354771342</v>
      </c>
      <c r="AC56" s="507">
        <f t="shared" si="7"/>
        <v>2.83</v>
      </c>
      <c r="AD56" s="501">
        <f>IF($D56="","",MIN(終値!E56:I56))</f>
        <v>2102</v>
      </c>
      <c r="AE56" s="503">
        <f t="shared" si="8"/>
        <v>20.099440000000001</v>
      </c>
    </row>
    <row r="57" spans="1:31">
      <c r="A57" s="500" t="str">
        <f>IF(終値!A57="","",HYPERLINK("https://kabutan.jp/stock/?code="&amp;終値!A57,"📈"))</f>
        <v>📈</v>
      </c>
      <c r="B57" s="500" t="str">
        <f>IF(終値!A57="","",終値!A57)</f>
        <v>6203</v>
      </c>
      <c r="C57" s="499" t="str">
        <f>IF(終値!A57="","",終値!B57)</f>
        <v>豊和工業</v>
      </c>
      <c r="D57" s="501">
        <f>IF(終値!A57="","",終値!E57)</f>
        <v>1459</v>
      </c>
      <c r="E57" s="501">
        <f>IF($D57="","",AVERAGE(終値!E57:X57))</f>
        <v>1471</v>
      </c>
      <c r="F57" s="502">
        <f>IF($D57="","",STDEVP(終値!E57:X57))</f>
        <v>100.68366302434572</v>
      </c>
      <c r="G57" s="501">
        <f>IF($D57="","",$E57+BB設定!$B$4*$F57)</f>
        <v>1672.3673260486914</v>
      </c>
      <c r="H57" s="501">
        <f>IF($D57="","",$E57+BB設定!$B$5*$F57)</f>
        <v>1571.6836630243456</v>
      </c>
      <c r="I57" s="501">
        <f>IF($D57="","",$E57-BB設定!$B$5*$F57)</f>
        <v>1370.3163369756544</v>
      </c>
      <c r="J57" s="501">
        <f>IF($D57="","",$E57-BB設定!$B$4*$F57)</f>
        <v>1269.6326739513086</v>
      </c>
      <c r="K57" s="506">
        <f t="shared" si="0"/>
        <v>0.47020370624304175</v>
      </c>
      <c r="L57" s="505">
        <f t="shared" si="1"/>
        <v>27.378290421304069</v>
      </c>
      <c r="M57" s="505">
        <f>IF($D57="","",IFERROR(MIN(BB_帯幅!B57:AP57)*100,""))</f>
        <v>13.248921184841336</v>
      </c>
      <c r="N57" s="500" t="str">
        <f>IF($L57="","",IF($L57&lt;=$M57*BB設定!$B$7,"スクイーズ★",IF($L57&lt;=$M57*1.3,"収縮","－")))</f>
        <v>－</v>
      </c>
      <c r="O57" s="500" t="str">
        <f>IF($D57="","",IF(AND(BB_帯幅!B57&gt;BB_帯幅!C57,BB_帯幅!C57&gt;BB_帯幅!D57),"拡大↑","縮小↓"))</f>
        <v>縮小↓</v>
      </c>
      <c r="P57" s="500" t="str">
        <f t="shared" si="2"/>
        <v>バンド内</v>
      </c>
      <c r="Q57" s="503">
        <f>IF($D57="","",IFERROR(100-100/(1+SUMPRODUCT((終値!E57:R57&gt;終値!F57:S57)*(終値!E57:R57-終値!F57:S57))/SUMPRODUCT((終値!E57:R57&lt;終値!F57:S57)*(終値!F57:S57-終値!E57:R57))),100))</f>
        <v>34.571890145395798</v>
      </c>
      <c r="R57" s="503">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51.449372583661592</v>
      </c>
      <c r="S57" s="500"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弱気div▼</v>
      </c>
      <c r="T57" s="500" t="str">
        <f t="shared" si="3"/>
        <v>－</v>
      </c>
      <c r="U57" s="500" t="str">
        <f>IF(終値!A57="","",BB_スイング!BT57)</f>
        <v>－</v>
      </c>
      <c r="V57" s="508">
        <f>IF($D57="","",IFERROR(出来高!E57/AVERAGE(出来高!E57:I57),""))</f>
        <v>1.5532132923437272</v>
      </c>
      <c r="W57" s="509"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様子見</v>
      </c>
      <c r="X57" s="504">
        <f t="shared" si="9"/>
        <v>0</v>
      </c>
      <c r="Y57" s="501">
        <f t="shared" si="4"/>
        <v>1459</v>
      </c>
      <c r="Z57" s="501">
        <f t="shared" si="5"/>
        <v>1571.6836630243456</v>
      </c>
      <c r="AA57" s="501">
        <f t="shared" si="6"/>
        <v>1360</v>
      </c>
      <c r="AB57" s="501">
        <f t="shared" si="10"/>
        <v>1672.3673260486914</v>
      </c>
      <c r="AC57" s="507">
        <f t="shared" si="7"/>
        <v>2.16</v>
      </c>
      <c r="AD57" s="501">
        <f>IF($D57="","",MIN(終値!E57:I57))</f>
        <v>1360</v>
      </c>
      <c r="AE57" s="503">
        <f t="shared" si="8"/>
        <v>9.9430000000000004E-2</v>
      </c>
    </row>
    <row r="58" spans="1:31" ht="24">
      <c r="A58" s="500" t="str">
        <f>IF(終値!A58="","",HYPERLINK("https://kabutan.jp/stock/?code="&amp;終値!A58,"📈"))</f>
        <v>📈</v>
      </c>
      <c r="B58" s="500" t="str">
        <f>IF(終値!A58="","",終値!A58)</f>
        <v>4676</v>
      </c>
      <c r="C58" s="499" t="str">
        <f>IF(終値!A58="","",終値!B58)</f>
        <v>フジ・メディア・ＨＤ</v>
      </c>
      <c r="D58" s="501">
        <f>IF(終値!A58="","",終値!E58)</f>
        <v>4051</v>
      </c>
      <c r="E58" s="501">
        <f>IF($D58="","",AVERAGE(終値!E58:X58))</f>
        <v>4089.2</v>
      </c>
      <c r="F58" s="502">
        <f>IF($D58="","",STDEVP(終値!E58:X58))</f>
        <v>93.049771627876652</v>
      </c>
      <c r="G58" s="501">
        <f>IF($D58="","",$E58+BB設定!$B$4*$F58)</f>
        <v>4275.2995432557527</v>
      </c>
      <c r="H58" s="501">
        <f>IF($D58="","",$E58+BB設定!$B$5*$F58)</f>
        <v>4182.2497716278767</v>
      </c>
      <c r="I58" s="501">
        <f>IF($D58="","",$E58-BB設定!$B$5*$F58)</f>
        <v>3996.1502283721234</v>
      </c>
      <c r="J58" s="501">
        <f>IF($D58="","",$E58-BB設定!$B$4*$F58)</f>
        <v>3903.1004567442465</v>
      </c>
      <c r="K58" s="506">
        <f t="shared" si="0"/>
        <v>0.39736675509326197</v>
      </c>
      <c r="L58" s="505">
        <f t="shared" si="1"/>
        <v>9.1020025068841406</v>
      </c>
      <c r="M58" s="505">
        <f>IF($D58="","",IFERROR(MIN(BB_帯幅!B58:AP58)*100,""))</f>
        <v>7.5469152478513477</v>
      </c>
      <c r="N58" s="500" t="str">
        <f>IF($L58="","",IF($L58&lt;=$M58*BB設定!$B$7,"スクイーズ★",IF($L58&lt;=$M58*1.3,"収縮","－")))</f>
        <v>収縮</v>
      </c>
      <c r="O58" s="500" t="str">
        <f>IF($D58="","",IF(AND(BB_帯幅!B58&gt;BB_帯幅!C58,BB_帯幅!C58&gt;BB_帯幅!D58),"拡大↑","縮小↓"))</f>
        <v>縮小↓</v>
      </c>
      <c r="P58" s="500" t="str">
        <f t="shared" si="2"/>
        <v>バンド内</v>
      </c>
      <c r="Q58" s="503">
        <f>IF($D58="","",IFERROR(100-100/(1+SUMPRODUCT((終値!E58:R58&gt;終値!F58:S58)*(終値!E58:R58-終値!F58:S58))/SUMPRODUCT((終値!E58:R58&lt;終値!F58:S58)*(終値!F58:S58-終値!E58:R58))),100))</f>
        <v>44.370308590492073</v>
      </c>
      <c r="R58" s="503">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49.716061027181951</v>
      </c>
      <c r="S58" s="500"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弱気div▼</v>
      </c>
      <c r="T58" s="500" t="str">
        <f t="shared" si="3"/>
        <v>－</v>
      </c>
      <c r="U58" s="500" t="str">
        <f>IF(終値!A58="","",BB_スイング!BT58)</f>
        <v>二番底W形成</v>
      </c>
      <c r="V58" s="508">
        <f>IF($D58="","",IFERROR(出来高!E58/AVERAGE(出来高!E58:I58),""))</f>
        <v>0.7973948929584731</v>
      </c>
      <c r="W58" s="509"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△二番底形成</v>
      </c>
      <c r="X58" s="504">
        <f t="shared" si="9"/>
        <v>5</v>
      </c>
      <c r="Y58" s="501">
        <f t="shared" si="4"/>
        <v>4051</v>
      </c>
      <c r="Z58" s="501">
        <f t="shared" si="5"/>
        <v>4182.2497716278767</v>
      </c>
      <c r="AA58" s="501">
        <f t="shared" si="6"/>
        <v>3876</v>
      </c>
      <c r="AB58" s="501">
        <f t="shared" si="10"/>
        <v>4275.2995432557527</v>
      </c>
      <c r="AC58" s="507">
        <f t="shared" si="7"/>
        <v>1.28</v>
      </c>
      <c r="AD58" s="501">
        <f>IF($D58="","",MIN(終値!E58:I58))</f>
        <v>3876</v>
      </c>
      <c r="AE58" s="503">
        <f t="shared" si="8"/>
        <v>5.0994200000000003</v>
      </c>
    </row>
    <row r="59" spans="1:31">
      <c r="A59" s="500" t="str">
        <f>IF(終値!A59="","",HYPERLINK("https://kabutan.jp/stock/?code="&amp;終値!A59,"📈"))</f>
        <v>📈</v>
      </c>
      <c r="B59" s="500" t="str">
        <f>IF(終値!A59="","",終値!A59)</f>
        <v>1961</v>
      </c>
      <c r="C59" s="499" t="str">
        <f>IF(終値!A59="","",終値!B59)</f>
        <v>三機工業</v>
      </c>
      <c r="D59" s="501">
        <f>IF(終値!A59="","",終値!E59)</f>
        <v>2394</v>
      </c>
      <c r="E59" s="501">
        <f>IF($D59="","",AVERAGE(終値!E59:X59))</f>
        <v>2446.75</v>
      </c>
      <c r="F59" s="502">
        <f>IF($D59="","",STDEVP(終値!E59:X59))</f>
        <v>140.7277069379019</v>
      </c>
      <c r="G59" s="501">
        <f>IF($D59="","",$E59+BB設定!$B$4*$F59)</f>
        <v>2728.205413875804</v>
      </c>
      <c r="H59" s="501">
        <f>IF($D59="","",$E59+BB設定!$B$5*$F59)</f>
        <v>2587.477706937902</v>
      </c>
      <c r="I59" s="501">
        <f>IF($D59="","",$E59-BB設定!$B$5*$F59)</f>
        <v>2306.022293062098</v>
      </c>
      <c r="J59" s="501">
        <f>IF($D59="","",$E59-BB設定!$B$4*$F59)</f>
        <v>2165.294586124196</v>
      </c>
      <c r="K59" s="506">
        <f t="shared" si="0"/>
        <v>0.40629066381491485</v>
      </c>
      <c r="L59" s="505">
        <f t="shared" si="1"/>
        <v>23.00647094110996</v>
      </c>
      <c r="M59" s="505">
        <f>IF($D59="","",IFERROR(MIN(BB_帯幅!B59:AP59)*100,""))</f>
        <v>23.006470941109946</v>
      </c>
      <c r="N59" s="500" t="str">
        <f>IF($L59="","",IF($L59&lt;=$M59*BB設定!$B$7,"スクイーズ★",IF($L59&lt;=$M59*1.3,"収縮","－")))</f>
        <v>スクイーズ★</v>
      </c>
      <c r="O59" s="500" t="str">
        <f>IF($D59="","",IF(AND(BB_帯幅!B59&gt;BB_帯幅!C59,BB_帯幅!C59&gt;BB_帯幅!D59),"拡大↑","縮小↓"))</f>
        <v>縮小↓</v>
      </c>
      <c r="P59" s="500" t="str">
        <f t="shared" si="2"/>
        <v>バンド内</v>
      </c>
      <c r="Q59" s="503">
        <f>IF($D59="","",IFERROR(100-100/(1+SUMPRODUCT((終値!E59:R59&gt;終値!F59:S59)*(終値!E59:R59-終値!F59:S59))/SUMPRODUCT((終値!E59:R59&lt;終値!F59:S59)*(終値!F59:S59-終値!E59:R59))),100))</f>
        <v>38.529411764705884</v>
      </c>
      <c r="R59" s="503">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49.826913511046882</v>
      </c>
      <c r="S59" s="500"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強気div▲</v>
      </c>
      <c r="T59" s="500" t="str">
        <f t="shared" si="3"/>
        <v>－</v>
      </c>
      <c r="U59" s="500" t="str">
        <f>IF(終値!A59="","",BB_スイング!BT59)</f>
        <v>－</v>
      </c>
      <c r="V59" s="508">
        <f>IF($D59="","",IFERROR(出来高!E59/AVERAGE(出来高!E59:I59),""))</f>
        <v>0.9140535372848948</v>
      </c>
      <c r="W59" s="509"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○反発(ダイバ)買</v>
      </c>
      <c r="X59" s="504">
        <f t="shared" si="9"/>
        <v>25</v>
      </c>
      <c r="Y59" s="501">
        <f t="shared" si="4"/>
        <v>2394</v>
      </c>
      <c r="Z59" s="501">
        <f t="shared" si="5"/>
        <v>2587.477706937902</v>
      </c>
      <c r="AA59" s="501">
        <f t="shared" si="6"/>
        <v>2222</v>
      </c>
      <c r="AB59" s="501">
        <f t="shared" si="10"/>
        <v>2728.205413875804</v>
      </c>
      <c r="AC59" s="507">
        <f t="shared" si="7"/>
        <v>1.94</v>
      </c>
      <c r="AD59" s="501">
        <f>IF($D59="","",MIN(終値!E59:I59))</f>
        <v>2222</v>
      </c>
      <c r="AE59" s="503">
        <f t="shared" si="8"/>
        <v>25.099409999999999</v>
      </c>
    </row>
    <row r="60" spans="1:31">
      <c r="A60" s="500" t="str">
        <f>IF(終値!A60="","",HYPERLINK("https://kabutan.jp/stock/?code="&amp;終値!A60,"📈"))</f>
        <v>📈</v>
      </c>
      <c r="B60" s="500" t="str">
        <f>IF(終値!A60="","",終値!A60)</f>
        <v>3107</v>
      </c>
      <c r="C60" s="499" t="str">
        <f>IF(終値!A60="","",終値!B60)</f>
        <v>ダイワボウＨＤ</v>
      </c>
      <c r="D60" s="501">
        <f>IF(終値!A60="","",終値!E60)</f>
        <v>3735</v>
      </c>
      <c r="E60" s="501">
        <f>IF($D60="","",AVERAGE(終値!E60:X60))</f>
        <v>3518.8</v>
      </c>
      <c r="F60" s="502">
        <f>IF($D60="","",STDEVP(終値!E60:X60))</f>
        <v>114.40961498056009</v>
      </c>
      <c r="G60" s="501">
        <f>IF($D60="","",$E60+BB設定!$B$4*$F60)</f>
        <v>3747.6192299611203</v>
      </c>
      <c r="H60" s="501">
        <f>IF($D60="","",$E60+BB設定!$B$5*$F60)</f>
        <v>3633.2096149805602</v>
      </c>
      <c r="I60" s="501">
        <f>IF($D60="","",$E60-BB設定!$B$5*$F60)</f>
        <v>3404.3903850194401</v>
      </c>
      <c r="J60" s="501">
        <f>IF($D60="","",$E60-BB設定!$B$4*$F60)</f>
        <v>3289.9807700388801</v>
      </c>
      <c r="K60" s="506">
        <f t="shared" si="0"/>
        <v>0.97242532901787915</v>
      </c>
      <c r="L60" s="505">
        <f t="shared" si="1"/>
        <v>13.005526313579633</v>
      </c>
      <c r="M60" s="505">
        <f>IF($D60="","",IFERROR(MIN(BB_帯幅!B60:AP60)*100,""))</f>
        <v>5.543850753379024</v>
      </c>
      <c r="N60" s="500" t="str">
        <f>IF($L60="","",IF($L60&lt;=$M60*BB設定!$B$7,"スクイーズ★",IF($L60&lt;=$M60*1.3,"収縮","－")))</f>
        <v>－</v>
      </c>
      <c r="O60" s="500" t="str">
        <f>IF($D60="","",IF(AND(BB_帯幅!B60&gt;BB_帯幅!C60,BB_帯幅!C60&gt;BB_帯幅!D60),"拡大↑","縮小↓"))</f>
        <v>拡大↑</v>
      </c>
      <c r="P60" s="500" t="str">
        <f t="shared" si="2"/>
        <v>+1σ上</v>
      </c>
      <c r="Q60" s="503">
        <f>IF($D60="","",IFERROR(100-100/(1+SUMPRODUCT((終値!E60:R60&gt;終値!F60:S60)*(終値!E60:R60-終値!F60:S60))/SUMPRODUCT((終値!E60:R60&lt;終値!F60:S60)*(終値!F60:S60-終値!E60:R60))),100))</f>
        <v>69.81664315937941</v>
      </c>
      <c r="R60" s="503">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65.955117647500131</v>
      </c>
      <c r="S60" s="500"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0" t="str">
        <f t="shared" si="3"/>
        <v>上walk▲</v>
      </c>
      <c r="U60" s="500" t="str">
        <f>IF(終値!A60="","",BB_スイング!BT60)</f>
        <v>二番底W▲</v>
      </c>
      <c r="V60" s="508">
        <f>IF($D60="","",IFERROR(出来高!E60/AVERAGE(出来高!E60:I60),""))</f>
        <v>1.0419481438589719</v>
      </c>
      <c r="W60" s="509"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△二番底買(確)</v>
      </c>
      <c r="X60" s="504">
        <f t="shared" si="9"/>
        <v>47</v>
      </c>
      <c r="Y60" s="501">
        <f t="shared" si="4"/>
        <v>3735</v>
      </c>
      <c r="Z60" s="501">
        <f t="shared" si="5"/>
        <v>3633.2096149805602</v>
      </c>
      <c r="AA60" s="501">
        <f t="shared" si="6"/>
        <v>3518.8</v>
      </c>
      <c r="AB60" s="501">
        <f t="shared" si="10"/>
        <v>3747.6192299611203</v>
      </c>
      <c r="AC60" s="507">
        <f t="shared" si="7"/>
        <v>0.06</v>
      </c>
      <c r="AD60" s="501">
        <f>IF($D60="","",MIN(終値!E60:I60))</f>
        <v>3535</v>
      </c>
      <c r="AE60" s="503">
        <f t="shared" si="8"/>
        <v>47.099400000000003</v>
      </c>
    </row>
    <row r="61" spans="1:31">
      <c r="A61" s="500" t="str">
        <f>IF(終値!A61="","",HYPERLINK("https://kabutan.jp/stock/?code="&amp;終値!A61,"📈"))</f>
        <v>📈</v>
      </c>
      <c r="B61" s="500" t="str">
        <f>IF(終値!A61="","",終値!A61)</f>
        <v>4045</v>
      </c>
      <c r="C61" s="499" t="str">
        <f>IF(終値!A61="","",終値!B61)</f>
        <v>東亞合成</v>
      </c>
      <c r="D61" s="501">
        <f>IF(終値!A61="","",終値!E61)</f>
        <v>1848</v>
      </c>
      <c r="E61" s="501">
        <f>IF($D61="","",AVERAGE(終値!E61:X61))</f>
        <v>1774.075</v>
      </c>
      <c r="F61" s="502">
        <f>IF($D61="","",STDEVP(終値!E61:X61))</f>
        <v>41.055534036229517</v>
      </c>
      <c r="G61" s="501">
        <f>IF($D61="","",$E61+BB設定!$B$4*$F61)</f>
        <v>1856.186068072459</v>
      </c>
      <c r="H61" s="501">
        <f>IF($D61="","",$E61+BB設定!$B$5*$F61)</f>
        <v>1815.1305340362296</v>
      </c>
      <c r="I61" s="501">
        <f>IF($D61="","",$E61-BB設定!$B$5*$F61)</f>
        <v>1733.0194659637705</v>
      </c>
      <c r="J61" s="501">
        <f>IF($D61="","",$E61-BB設定!$B$4*$F61)</f>
        <v>1691.9639319275411</v>
      </c>
      <c r="K61" s="506">
        <f t="shared" si="0"/>
        <v>0.9501524686949927</v>
      </c>
      <c r="L61" s="505">
        <f t="shared" si="1"/>
        <v>9.256775285425805</v>
      </c>
      <c r="M61" s="505">
        <f>IF($D61="","",IFERROR(MIN(BB_帯幅!B61:AP61)*100,""))</f>
        <v>3.6459089262730906</v>
      </c>
      <c r="N61" s="500" t="str">
        <f>IF($L61="","",IF($L61&lt;=$M61*BB設定!$B$7,"スクイーズ★",IF($L61&lt;=$M61*1.3,"収縮","－")))</f>
        <v>－</v>
      </c>
      <c r="O61" s="500" t="str">
        <f>IF($D61="","",IF(AND(BB_帯幅!B61&gt;BB_帯幅!C61,BB_帯幅!C61&gt;BB_帯幅!D61),"拡大↑","縮小↓"))</f>
        <v>拡大↑</v>
      </c>
      <c r="P61" s="500" t="str">
        <f t="shared" si="2"/>
        <v>+1σ上</v>
      </c>
      <c r="Q61" s="503">
        <f>IF($D61="","",IFERROR(100-100/(1+SUMPRODUCT((終値!E61:R61&gt;終値!F61:S61)*(終値!E61:R61-終値!F61:S61))/SUMPRODUCT((終値!E61:R61&lt;終値!F61:S61)*(終値!F61:S61-終値!E61:R61))),100))</f>
        <v>75.245098039215691</v>
      </c>
      <c r="R61" s="503">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55.290125643290388</v>
      </c>
      <c r="S61" s="500"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0" t="str">
        <f t="shared" si="3"/>
        <v>上walk▲</v>
      </c>
      <c r="U61" s="500" t="str">
        <f>IF(終値!A61="","",BB_スイング!BT61)</f>
        <v>二番底W▲</v>
      </c>
      <c r="V61" s="508">
        <f>IF($D61="","",IFERROR(出来高!E61/AVERAGE(出来高!E61:I61),""))</f>
        <v>0.87183020948180812</v>
      </c>
      <c r="W61" s="509"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△二番底買(確)</v>
      </c>
      <c r="X61" s="504">
        <f t="shared" si="9"/>
        <v>35</v>
      </c>
      <c r="Y61" s="501">
        <f t="shared" si="4"/>
        <v>1848</v>
      </c>
      <c r="Z61" s="501">
        <f t="shared" si="5"/>
        <v>1815.1305340362296</v>
      </c>
      <c r="AA61" s="501">
        <f t="shared" si="6"/>
        <v>1774.075</v>
      </c>
      <c r="AB61" s="501">
        <f t="shared" si="10"/>
        <v>1856.186068072459</v>
      </c>
      <c r="AC61" s="507">
        <f t="shared" si="7"/>
        <v>0.11</v>
      </c>
      <c r="AD61" s="501">
        <f>IF($D61="","",MIN(終値!E61:I61))</f>
        <v>1796</v>
      </c>
      <c r="AE61" s="503">
        <f t="shared" si="8"/>
        <v>35.09939</v>
      </c>
    </row>
    <row r="62" spans="1:31" ht="24">
      <c r="A62" s="500" t="str">
        <f>IF(終値!A62="","",HYPERLINK("https://kabutan.jp/stock/?code="&amp;終値!A62,"📈"))</f>
        <v>📈</v>
      </c>
      <c r="B62" s="500" t="str">
        <f>IF(終値!A62="","",終値!A62)</f>
        <v>5857</v>
      </c>
      <c r="C62" s="499" t="str">
        <f>IF(終値!A62="","",終値!B62)</f>
        <v>ＡＲＥホールディングス</v>
      </c>
      <c r="D62" s="501">
        <f>IF(終値!A62="","",終値!E62)</f>
        <v>3460</v>
      </c>
      <c r="E62" s="501">
        <f>IF($D62="","",AVERAGE(終値!E62:X62))</f>
        <v>3069.35</v>
      </c>
      <c r="F62" s="502">
        <f>IF($D62="","",STDEVP(終値!E62:X62))</f>
        <v>121.46451127798603</v>
      </c>
      <c r="G62" s="501">
        <f>IF($D62="","",$E62+BB設定!$B$4*$F62)</f>
        <v>3312.279022555972</v>
      </c>
      <c r="H62" s="501">
        <f>IF($D62="","",$E62+BB設定!$B$5*$F62)</f>
        <v>3190.8145112779857</v>
      </c>
      <c r="I62" s="501">
        <f>IF($D62="","",$E62-BB設定!$B$5*$F62)</f>
        <v>2947.8854887220141</v>
      </c>
      <c r="J62" s="501">
        <f>IF($D62="","",$E62-BB設定!$B$4*$F62)</f>
        <v>2826.4209774440278</v>
      </c>
      <c r="K62" s="506">
        <f t="shared" si="0"/>
        <v>1.3040414354155487</v>
      </c>
      <c r="L62" s="505">
        <f t="shared" si="1"/>
        <v>15.829346445076132</v>
      </c>
      <c r="M62" s="505">
        <f>IF($D62="","",IFERROR(MIN(BB_帯幅!B62:AP62)*100,""))</f>
        <v>7.9855873929494257</v>
      </c>
      <c r="N62" s="500" t="str">
        <f>IF($L62="","",IF($L62&lt;=$M62*BB設定!$B$7,"スクイーズ★",IF($L62&lt;=$M62*1.3,"収縮","－")))</f>
        <v>－</v>
      </c>
      <c r="O62" s="500" t="str">
        <f>IF($D62="","",IF(AND(BB_帯幅!B62&gt;BB_帯幅!C62,BB_帯幅!C62&gt;BB_帯幅!D62),"拡大↑","縮小↓"))</f>
        <v>拡大↑</v>
      </c>
      <c r="P62" s="500" t="str">
        <f t="shared" si="2"/>
        <v>↑+2σ突破</v>
      </c>
      <c r="Q62" s="503">
        <f>IF($D62="","",IFERROR(100-100/(1+SUMPRODUCT((終値!E62:R62&gt;終値!F62:S62)*(終値!E62:R62-終値!F62:S62))/SUMPRODUCT((終値!E62:R62&lt;終値!F62:S62)*(終値!F62:S62-終値!E62:R62))),100))</f>
        <v>65.611990008326387</v>
      </c>
      <c r="R62" s="503">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60.433011908195496</v>
      </c>
      <c r="S62" s="500"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v>
      </c>
      <c r="T62" s="500" t="str">
        <f t="shared" si="3"/>
        <v>上walk▲</v>
      </c>
      <c r="U62" s="500" t="str">
        <f>IF(終値!A62="","",BB_スイング!BT62)</f>
        <v>二番底W▲</v>
      </c>
      <c r="V62" s="508">
        <f>IF($D62="","",IFERROR(出来高!E62/AVERAGE(出来高!E62:I62),""))</f>
        <v>1.3824326095504391</v>
      </c>
      <c r="W62" s="509"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△二番底買(確)</v>
      </c>
      <c r="X62" s="504">
        <f t="shared" si="9"/>
        <v>55</v>
      </c>
      <c r="Y62" s="501">
        <f t="shared" si="4"/>
        <v>3460</v>
      </c>
      <c r="Z62" s="501">
        <f t="shared" si="5"/>
        <v>3190.8145112779857</v>
      </c>
      <c r="AA62" s="501">
        <f t="shared" si="6"/>
        <v>3069.35</v>
      </c>
      <c r="AB62" s="501">
        <f t="shared" si="10"/>
        <v>3433.7435338339578</v>
      </c>
      <c r="AC62" s="507">
        <f t="shared" si="7"/>
        <v>-7.0000000000000007E-2</v>
      </c>
      <c r="AD62" s="501">
        <f>IF($D62="","",MIN(終値!E62:I62))</f>
        <v>3050</v>
      </c>
      <c r="AE62" s="503">
        <f t="shared" si="8"/>
        <v>55.099379999999996</v>
      </c>
    </row>
    <row r="63" spans="1:31" ht="24">
      <c r="A63" s="500" t="str">
        <f>IF(終値!A63="","",HYPERLINK("https://kabutan.jp/stock/?code="&amp;終値!A63,"📈"))</f>
        <v>📈</v>
      </c>
      <c r="B63" s="500" t="str">
        <f>IF(終値!A63="","",終値!A63)</f>
        <v>8281</v>
      </c>
      <c r="C63" s="499" t="str">
        <f>IF(終値!A63="","",終値!B63)</f>
        <v>ゼビオホールディングス</v>
      </c>
      <c r="D63" s="501">
        <f>IF(終値!A63="","",終値!E63)</f>
        <v>1085</v>
      </c>
      <c r="E63" s="501">
        <f>IF($D63="","",AVERAGE(終値!E63:X63))</f>
        <v>1099.5263157894738</v>
      </c>
      <c r="F63" s="502">
        <f>IF($D63="","",STDEVP(終値!E63:X63))</f>
        <v>16.844078831736415</v>
      </c>
      <c r="G63" s="501">
        <f>IF($D63="","",$E63+BB設定!$B$4*$F63)</f>
        <v>1133.2144734529465</v>
      </c>
      <c r="H63" s="501">
        <f>IF($D63="","",$E63+BB設定!$B$5*$F63)</f>
        <v>1116.3703946212102</v>
      </c>
      <c r="I63" s="501">
        <f>IF($D63="","",$E63-BB設定!$B$5*$F63)</f>
        <v>1082.6822369577374</v>
      </c>
      <c r="J63" s="501">
        <f>IF($D63="","",$E63-BB設定!$B$4*$F63)</f>
        <v>1065.838158126001</v>
      </c>
      <c r="K63" s="506">
        <f t="shared" si="0"/>
        <v>0.28440026411381547</v>
      </c>
      <c r="L63" s="505">
        <f t="shared" si="1"/>
        <v>6.1277583227799823</v>
      </c>
      <c r="M63" s="505">
        <f>IF($D63="","",IFERROR(MIN(BB_帯幅!B63:AP63)*100,""))</f>
        <v>5.2550978775354356</v>
      </c>
      <c r="N63" s="500" t="str">
        <f>IF($L63="","",IF($L63&lt;=$M63*BB設定!$B$7,"スクイーズ★",IF($L63&lt;=$M63*1.3,"収縮","－")))</f>
        <v>収縮</v>
      </c>
      <c r="O63" s="500" t="str">
        <f>IF($D63="","",IF(AND(BB_帯幅!B63&gt;BB_帯幅!C63,BB_帯幅!C63&gt;BB_帯幅!D63),"拡大↑","縮小↓"))</f>
        <v>拡大↑</v>
      </c>
      <c r="P63" s="500" t="str">
        <f t="shared" si="2"/>
        <v>バンド内</v>
      </c>
      <c r="Q63" s="503">
        <f>IF($D63="","",IFERROR(100-100/(1+SUMPRODUCT((終値!E63:R63&gt;終値!F63:S63)*(終値!E63:R63-終値!F63:S63))/SUMPRODUCT((終値!E63:R63&lt;終値!F63:S63)*(終値!F63:S63-終値!E63:R63))),100))</f>
        <v>49.789562289562291</v>
      </c>
      <c r="R63" s="503">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43.343490301655265</v>
      </c>
      <c r="S63" s="500"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v>
      </c>
      <c r="T63" s="500" t="str">
        <f t="shared" si="3"/>
        <v>－</v>
      </c>
      <c r="U63" s="500" t="str">
        <f>IF(終値!A63="","",BB_スイング!BT63)</f>
        <v>二番天井M▼</v>
      </c>
      <c r="V63" s="508">
        <f>IF($D63="","",IFERROR(出来高!E63/AVERAGE(出来高!E63:I63),""))</f>
        <v>0.7292455210698966</v>
      </c>
      <c r="W63" s="509"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▼二番天井警戒</v>
      </c>
      <c r="X63" s="504">
        <f t="shared" si="9"/>
        <v>0</v>
      </c>
      <c r="Y63" s="501">
        <f t="shared" si="4"/>
        <v>1085</v>
      </c>
      <c r="Z63" s="501">
        <f t="shared" si="5"/>
        <v>1116.3703946212102</v>
      </c>
      <c r="AA63" s="501">
        <f t="shared" si="6"/>
        <v>1067</v>
      </c>
      <c r="AB63" s="501">
        <f t="shared" si="10"/>
        <v>1133.2144734529465</v>
      </c>
      <c r="AC63" s="507">
        <f t="shared" si="7"/>
        <v>2.68</v>
      </c>
      <c r="AD63" s="501">
        <f>IF($D63="","",MIN(終値!E63:I63))</f>
        <v>1067</v>
      </c>
      <c r="AE63" s="503">
        <f t="shared" si="8"/>
        <v>9.937E-2</v>
      </c>
    </row>
    <row r="64" spans="1:31">
      <c r="A64" s="500" t="str">
        <f>IF(終値!A64="","",HYPERLINK("https://kabutan.jp/stock/?code="&amp;終値!A64,"📈"))</f>
        <v>📈</v>
      </c>
      <c r="B64" s="500" t="str">
        <f>IF(終値!A64="","",終値!A64)</f>
        <v>4540</v>
      </c>
      <c r="C64" s="499" t="str">
        <f>IF(終値!A64="","",終値!B64)</f>
        <v>ツムラ</v>
      </c>
      <c r="D64" s="501">
        <f>IF(終値!A64="","",終値!E64)</f>
        <v>3763</v>
      </c>
      <c r="E64" s="501">
        <f>IF($D64="","",AVERAGE(終値!E64:X64))</f>
        <v>3844.35</v>
      </c>
      <c r="F64" s="502">
        <f>IF($D64="","",STDEVP(終値!E64:X64))</f>
        <v>74.54010665406912</v>
      </c>
      <c r="G64" s="501">
        <f>IF($D64="","",$E64+BB設定!$B$4*$F64)</f>
        <v>3993.4302133081383</v>
      </c>
      <c r="H64" s="501">
        <f>IF($D64="","",$E64+BB設定!$B$5*$F64)</f>
        <v>3918.8901066540689</v>
      </c>
      <c r="I64" s="501">
        <f>IF($D64="","",$E64-BB設定!$B$5*$F64)</f>
        <v>3769.809893345931</v>
      </c>
      <c r="J64" s="501">
        <f>IF($D64="","",$E64-BB設定!$B$4*$F64)</f>
        <v>3695.2697866918616</v>
      </c>
      <c r="K64" s="506">
        <f t="shared" si="0"/>
        <v>0.22716030452728439</v>
      </c>
      <c r="L64" s="505">
        <f t="shared" si="1"/>
        <v>7.755808566240761</v>
      </c>
      <c r="M64" s="505">
        <f>IF($D64="","",IFERROR(MIN(BB_帯幅!B64:AP64)*100,""))</f>
        <v>2.536276412812227</v>
      </c>
      <c r="N64" s="500" t="str">
        <f>IF($L64="","",IF($L64&lt;=$M64*BB設定!$B$7,"スクイーズ★",IF($L64&lt;=$M64*1.3,"収縮","－")))</f>
        <v>－</v>
      </c>
      <c r="O64" s="500" t="str">
        <f>IF($D64="","",IF(AND(BB_帯幅!B64&gt;BB_帯幅!C64,BB_帯幅!C64&gt;BB_帯幅!D64),"拡大↑","縮小↓"))</f>
        <v>拡大↑</v>
      </c>
      <c r="P64" s="500" t="str">
        <f t="shared" si="2"/>
        <v>-1σ下</v>
      </c>
      <c r="Q64" s="503">
        <f>IF($D64="","",IFERROR(100-100/(1+SUMPRODUCT((終値!E64:R64&gt;終値!F64:S64)*(終値!E64:R64-終値!F64:S64))/SUMPRODUCT((終値!E64:R64&lt;終値!F64:S64)*(終値!F64:S64-終値!E64:R64))),100))</f>
        <v>43.994778067885122</v>
      </c>
      <c r="R64" s="503">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46.382857411373386</v>
      </c>
      <c r="S64" s="500"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v>
      </c>
      <c r="T64" s="500" t="str">
        <f t="shared" si="3"/>
        <v>下walk▼</v>
      </c>
      <c r="U64" s="500" t="str">
        <f>IF(終値!A64="","",BB_スイング!BT64)</f>
        <v>二番天井M▼</v>
      </c>
      <c r="V64" s="508">
        <f>IF($D64="","",IFERROR(出来高!E64/AVERAGE(出来高!E64:I64),""))</f>
        <v>1.1933638443935928</v>
      </c>
      <c r="W64" s="509"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▼二番天井警戒</v>
      </c>
      <c r="X64" s="504">
        <f t="shared" si="9"/>
        <v>0</v>
      </c>
      <c r="Y64" s="501">
        <f t="shared" si="4"/>
        <v>3763</v>
      </c>
      <c r="Z64" s="501">
        <f t="shared" si="5"/>
        <v>3918.8901066540689</v>
      </c>
      <c r="AA64" s="501">
        <f t="shared" si="6"/>
        <v>3714</v>
      </c>
      <c r="AB64" s="501">
        <f t="shared" si="10"/>
        <v>3993.4302133081383</v>
      </c>
      <c r="AC64" s="507">
        <f t="shared" si="7"/>
        <v>4.7</v>
      </c>
      <c r="AD64" s="501">
        <f>IF($D64="","",MIN(終値!E64:I64))</f>
        <v>3714</v>
      </c>
      <c r="AE64" s="503">
        <f t="shared" si="8"/>
        <v>9.9360000000000004E-2</v>
      </c>
    </row>
    <row r="65" spans="1:31" ht="24">
      <c r="A65" s="500" t="str">
        <f>IF(終値!A65="","",HYPERLINK("https://kabutan.jp/stock/?code="&amp;終値!A65,"📈"))</f>
        <v>📈</v>
      </c>
      <c r="B65" s="500" t="str">
        <f>IF(終値!A65="","",終値!A65)</f>
        <v>9984</v>
      </c>
      <c r="C65" s="499" t="str">
        <f>IF(終値!A65="","",終値!B65)</f>
        <v>ソフトバンクグループ</v>
      </c>
      <c r="D65" s="501">
        <f>IF(終値!A65="","",終値!E65)</f>
        <v>5695</v>
      </c>
      <c r="E65" s="501">
        <f>IF($D65="","",AVERAGE(終値!E65:X65))</f>
        <v>5640.35</v>
      </c>
      <c r="F65" s="502">
        <f>IF($D65="","",STDEVP(終値!E65:X65))</f>
        <v>517.33985686393817</v>
      </c>
      <c r="G65" s="501">
        <f>IF($D65="","",$E65+BB設定!$B$4*$F65)</f>
        <v>6675.0297137278767</v>
      </c>
      <c r="H65" s="501">
        <f>IF($D65="","",$E65+BB設定!$B$5*$F65)</f>
        <v>6157.689856863939</v>
      </c>
      <c r="I65" s="501">
        <f>IF($D65="","",$E65-BB設定!$B$5*$F65)</f>
        <v>5123.0101431360617</v>
      </c>
      <c r="J65" s="501">
        <f>IF($D65="","",$E65-BB設定!$B$4*$F65)</f>
        <v>4605.670286272124</v>
      </c>
      <c r="K65" s="506">
        <f t="shared" si="0"/>
        <v>0.52640913863242744</v>
      </c>
      <c r="L65" s="505">
        <f t="shared" si="1"/>
        <v>36.688493222153809</v>
      </c>
      <c r="M65" s="505">
        <f>IF($D65="","",IFERROR(MIN(BB_帯幅!B65:AP65)*100,""))</f>
        <v>22.112774963231086</v>
      </c>
      <c r="N65" s="500" t="str">
        <f>IF($L65="","",IF($L65&lt;=$M65*BB設定!$B$7,"スクイーズ★",IF($L65&lt;=$M65*1.3,"収縮","－")))</f>
        <v>－</v>
      </c>
      <c r="O65" s="500" t="str">
        <f>IF($D65="","",IF(AND(BB_帯幅!B65&gt;BB_帯幅!C65,BB_帯幅!C65&gt;BB_帯幅!D65),"拡大↑","縮小↓"))</f>
        <v>縮小↓</v>
      </c>
      <c r="P65" s="500" t="str">
        <f t="shared" si="2"/>
        <v>バンド内</v>
      </c>
      <c r="Q65" s="503">
        <f>IF($D65="","",IFERROR(100-100/(1+SUMPRODUCT((終値!E65:R65&gt;終値!F65:S65)*(終値!E65:R65-終値!F65:S65))/SUMPRODUCT((終値!E65:R65&lt;終値!F65:S65)*(終値!F65:S65-終値!E65:R65))),100))</f>
        <v>43.001473374026524</v>
      </c>
      <c r="R65" s="503">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41.87840661273524</v>
      </c>
      <c r="S65" s="500"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0" t="str">
        <f t="shared" si="3"/>
        <v>－</v>
      </c>
      <c r="U65" s="500" t="str">
        <f>IF(終値!A65="","",BB_スイング!BT65)</f>
        <v>－</v>
      </c>
      <c r="V65" s="508">
        <f>IF($D65="","",IFERROR(出来高!E65/AVERAGE(出来高!E65:I65),""))</f>
        <v>0.87750966264736918</v>
      </c>
      <c r="W65" s="509"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様子見</v>
      </c>
      <c r="X65" s="504">
        <f t="shared" si="9"/>
        <v>10</v>
      </c>
      <c r="Y65" s="501">
        <f t="shared" si="4"/>
        <v>5695</v>
      </c>
      <c r="Z65" s="501">
        <f t="shared" si="5"/>
        <v>6157.689856863939</v>
      </c>
      <c r="AA65" s="501">
        <f t="shared" si="6"/>
        <v>5640.35</v>
      </c>
      <c r="AB65" s="501">
        <f t="shared" si="10"/>
        <v>6675.0297137278767</v>
      </c>
      <c r="AC65" s="507">
        <f t="shared" si="7"/>
        <v>17.93</v>
      </c>
      <c r="AD65" s="501">
        <f>IF($D65="","",MIN(終値!E65:I65))</f>
        <v>5228</v>
      </c>
      <c r="AE65" s="503">
        <f t="shared" si="8"/>
        <v>10.099349999999999</v>
      </c>
    </row>
    <row r="66" spans="1:31">
      <c r="A66" s="500" t="str">
        <f>IF(終値!A66="","",HYPERLINK("https://kabutan.jp/stock/?code="&amp;終値!A66,"📈"))</f>
        <v>📈</v>
      </c>
      <c r="B66" s="500" t="str">
        <f>IF(終値!A66="","",終値!A66)</f>
        <v>4063</v>
      </c>
      <c r="C66" s="499" t="str">
        <f>IF(終値!A66="","",終値!B66)</f>
        <v>信越化学</v>
      </c>
      <c r="D66" s="501">
        <f>IF(終値!A66="","",終値!E66)</f>
        <v>6167</v>
      </c>
      <c r="E66" s="501">
        <f>IF($D66="","",AVERAGE(終値!E66:X66))</f>
        <v>6614.3</v>
      </c>
      <c r="F66" s="502">
        <f>IF($D66="","",STDEVP(終値!E66:X66))</f>
        <v>654.56635263355849</v>
      </c>
      <c r="G66" s="501">
        <f>IF($D66="","",$E66+BB設定!$B$4*$F66)</f>
        <v>7923.4327052671169</v>
      </c>
      <c r="H66" s="501">
        <f>IF($D66="","",$E66+BB設定!$B$5*$F66)</f>
        <v>7268.8663526335586</v>
      </c>
      <c r="I66" s="501">
        <f>IF($D66="","",$E66-BB設定!$B$5*$F66)</f>
        <v>5959.7336473664418</v>
      </c>
      <c r="J66" s="501">
        <f>IF($D66="","",$E66-BB設定!$B$4*$F66)</f>
        <v>5305.1672947328834</v>
      </c>
      <c r="K66" s="506">
        <f t="shared" si="0"/>
        <v>0.32916170446267606</v>
      </c>
      <c r="L66" s="505">
        <f t="shared" si="1"/>
        <v>39.584920710192065</v>
      </c>
      <c r="M66" s="505">
        <f>IF($D66="","",IFERROR(MIN(BB_帯幅!B66:AP66)*100,""))</f>
        <v>11.291922862572669</v>
      </c>
      <c r="N66" s="500" t="str">
        <f>IF($L66="","",IF($L66&lt;=$M66*BB設定!$B$7,"スクイーズ★",IF($L66&lt;=$M66*1.3,"収縮","－")))</f>
        <v>－</v>
      </c>
      <c r="O66" s="500" t="str">
        <f>IF($D66="","",IF(AND(BB_帯幅!B66&gt;BB_帯幅!C66,BB_帯幅!C66&gt;BB_帯幅!D66),"拡大↑","縮小↓"))</f>
        <v>縮小↓</v>
      </c>
      <c r="P66" s="500" t="str">
        <f t="shared" si="2"/>
        <v>バンド内</v>
      </c>
      <c r="Q66" s="503">
        <f>IF($D66="","",IFERROR(100-100/(1+SUMPRODUCT((終値!E66:R66&gt;終値!F66:S66)*(終値!E66:R66-終値!F66:S66))/SUMPRODUCT((終値!E66:R66&lt;終値!F66:S66)*(終値!F66:S66-終値!E66:R66))),100))</f>
        <v>20.404197434900894</v>
      </c>
      <c r="R66" s="503">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39.873005516768835</v>
      </c>
      <c r="S66" s="500"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0" t="str">
        <f t="shared" si="3"/>
        <v>－</v>
      </c>
      <c r="U66" s="500" t="str">
        <f>IF(終値!A66="","",BB_スイング!BT66)</f>
        <v>二番底W▲</v>
      </c>
      <c r="V66" s="508">
        <f>IF($D66="","",IFERROR(出来高!E66/AVERAGE(出来高!E66:I66),""))</f>
        <v>0.67193907091472937</v>
      </c>
      <c r="W66" s="509"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△二番底買(確)</v>
      </c>
      <c r="X66" s="504">
        <f t="shared" si="9"/>
        <v>0</v>
      </c>
      <c r="Y66" s="501">
        <f t="shared" si="4"/>
        <v>6167</v>
      </c>
      <c r="Z66" s="501">
        <f t="shared" si="5"/>
        <v>7268.8663526335586</v>
      </c>
      <c r="AA66" s="501">
        <f t="shared" si="6"/>
        <v>5800</v>
      </c>
      <c r="AB66" s="501">
        <f t="shared" si="10"/>
        <v>7923.4327052671169</v>
      </c>
      <c r="AC66" s="507">
        <f t="shared" si="7"/>
        <v>4.79</v>
      </c>
      <c r="AD66" s="501">
        <f>IF($D66="","",MIN(終値!E66:I66))</f>
        <v>5800</v>
      </c>
      <c r="AE66" s="503">
        <f t="shared" si="8"/>
        <v>9.9339999999999998E-2</v>
      </c>
    </row>
    <row r="67" spans="1:31">
      <c r="A67" s="500" t="str">
        <f>IF(終値!A67="","",HYPERLINK("https://kabutan.jp/stock/?code="&amp;終値!A67,"📈"))</f>
        <v>📈</v>
      </c>
      <c r="B67" s="500" t="str">
        <f>IF(終値!A67="","",終値!A67)</f>
        <v>4536</v>
      </c>
      <c r="C67" s="499" t="str">
        <f>IF(終値!A67="","",終値!B67)</f>
        <v>参天製薬</v>
      </c>
      <c r="D67" s="501">
        <f>IF(終値!A67="","",終値!E67)</f>
        <v>1876</v>
      </c>
      <c r="E67" s="501">
        <f>IF($D67="","",AVERAGE(終値!E67:X67))</f>
        <v>2006.1842105263158</v>
      </c>
      <c r="F67" s="502">
        <f>IF($D67="","",STDEVP(終値!E67:X67))</f>
        <v>107.80467357878953</v>
      </c>
      <c r="G67" s="501">
        <f>IF($D67="","",$E67+BB設定!$B$4*$F67)</f>
        <v>2221.793557683895</v>
      </c>
      <c r="H67" s="501">
        <f>IF($D67="","",$E67+BB設定!$B$5*$F67)</f>
        <v>2113.9888841051052</v>
      </c>
      <c r="I67" s="501">
        <f>IF($D67="","",$E67-BB設定!$B$5*$F67)</f>
        <v>1898.3795369475263</v>
      </c>
      <c r="J67" s="501">
        <f>IF($D67="","",$E67-BB設定!$B$4*$F67)</f>
        <v>1790.5748633687367</v>
      </c>
      <c r="K67" s="506">
        <f t="shared" si="0"/>
        <v>0.19810165411991604</v>
      </c>
      <c r="L67" s="505">
        <f t="shared" si="1"/>
        <v>21.494471547158149</v>
      </c>
      <c r="M67" s="505">
        <f>IF($D67="","",IFERROR(MIN(BB_帯幅!B67:AP67)*100,""))</f>
        <v>5.5723066103507861</v>
      </c>
      <c r="N67" s="500" t="str">
        <f>IF($L67="","",IF($L67&lt;=$M67*BB設定!$B$7,"スクイーズ★",IF($L67&lt;=$M67*1.3,"収縮","－")))</f>
        <v>－</v>
      </c>
      <c r="O67" s="500" t="str">
        <f>IF($D67="","",IF(AND(BB_帯幅!B67&gt;BB_帯幅!C67,BB_帯幅!C67&gt;BB_帯幅!D67),"拡大↑","縮小↓"))</f>
        <v>縮小↓</v>
      </c>
      <c r="P67" s="500" t="str">
        <f t="shared" si="2"/>
        <v>-1σ下</v>
      </c>
      <c r="Q67" s="503">
        <f>IF($D67="","",IFERROR(100-100/(1+SUMPRODUCT((終値!E67:R67&gt;終値!F67:S67)*(終値!E67:R67-終値!F67:S67))/SUMPRODUCT((終値!E67:R67&lt;終値!F67:S67)*(終値!F67:S67-終値!E67:R67))),100))</f>
        <v>47.403646434341105</v>
      </c>
      <c r="R67" s="503">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23.106261713061627</v>
      </c>
      <c r="S67" s="500"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強気div▲</v>
      </c>
      <c r="T67" s="500" t="str">
        <f t="shared" si="3"/>
        <v>下walk▼</v>
      </c>
      <c r="U67" s="500" t="str">
        <f>IF(終値!A67="","",BB_スイング!BT67)</f>
        <v>－</v>
      </c>
      <c r="V67" s="508">
        <f>IF($D67="","",IFERROR(出来高!E67/AVERAGE(出来高!E67:I67),""))</f>
        <v>0.89513939802247011</v>
      </c>
      <c r="W67" s="509"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様子見</v>
      </c>
      <c r="X67" s="504">
        <f t="shared" si="9"/>
        <v>0</v>
      </c>
      <c r="Y67" s="501">
        <f t="shared" si="4"/>
        <v>1876</v>
      </c>
      <c r="Z67" s="501">
        <f t="shared" si="5"/>
        <v>2113.9888841051052</v>
      </c>
      <c r="AA67" s="501">
        <f t="shared" si="6"/>
        <v>1855.5</v>
      </c>
      <c r="AB67" s="501">
        <f t="shared" si="10"/>
        <v>2221.793557683895</v>
      </c>
      <c r="AC67" s="507">
        <f t="shared" si="7"/>
        <v>16.87</v>
      </c>
      <c r="AD67" s="501">
        <f>IF($D67="","",MIN(終値!E67:I67))</f>
        <v>1855.5</v>
      </c>
      <c r="AE67" s="503">
        <f t="shared" si="8"/>
        <v>9.9330000000000002E-2</v>
      </c>
    </row>
    <row r="68" spans="1:31">
      <c r="A68" s="500" t="str">
        <f>IF(終値!A68="","",HYPERLINK("https://kabutan.jp/stock/?code="&amp;終値!A68,"📈"))</f>
        <v>📈</v>
      </c>
      <c r="B68" s="500" t="str">
        <f>IF(終値!A68="","",終値!A68)</f>
        <v>6503</v>
      </c>
      <c r="C68" s="499" t="str">
        <f>IF(終値!A68="","",終値!B68)</f>
        <v>三菱電機</v>
      </c>
      <c r="D68" s="501">
        <f>IF(終値!A68="","",終値!E68)</f>
        <v>5870</v>
      </c>
      <c r="E68" s="501">
        <f>IF($D68="","",AVERAGE(終値!E68:X68))</f>
        <v>5629.55</v>
      </c>
      <c r="F68" s="502">
        <f>IF($D68="","",STDEVP(終値!E68:X68))</f>
        <v>196.06592641252078</v>
      </c>
      <c r="G68" s="501">
        <f>IF($D68="","",$E68+BB設定!$B$4*$F68)</f>
        <v>6021.6818528250415</v>
      </c>
      <c r="H68" s="501">
        <f>IF($D68="","",$E68+BB設定!$B$5*$F68)</f>
        <v>5825.6159264125208</v>
      </c>
      <c r="I68" s="501">
        <f>IF($D68="","",$E68-BB設定!$B$5*$F68)</f>
        <v>5433.4840735874795</v>
      </c>
      <c r="J68" s="501">
        <f>IF($D68="","",$E68-BB設定!$B$4*$F68)</f>
        <v>5237.4181471749589</v>
      </c>
      <c r="K68" s="506">
        <f t="shared" si="0"/>
        <v>0.80659330307869959</v>
      </c>
      <c r="L68" s="505">
        <f t="shared" si="1"/>
        <v>13.931197087690537</v>
      </c>
      <c r="M68" s="505">
        <f>IF($D68="","",IFERROR(MIN(BB_帯幅!B68:AP68)*100,""))</f>
        <v>7.7649254195544666</v>
      </c>
      <c r="N68" s="500" t="str">
        <f>IF($L68="","",IF($L68&lt;=$M68*BB設定!$B$7,"スクイーズ★",IF($L68&lt;=$M68*1.3,"収縮","－")))</f>
        <v>－</v>
      </c>
      <c r="O68" s="500" t="str">
        <f>IF($D68="","",IF(AND(BB_帯幅!B68&gt;BB_帯幅!C68,BB_帯幅!C68&gt;BB_帯幅!D68),"拡大↑","縮小↓"))</f>
        <v>縮小↓</v>
      </c>
      <c r="P68" s="500" t="str">
        <f t="shared" si="2"/>
        <v>+1σ上</v>
      </c>
      <c r="Q68" s="503">
        <f>IF($D68="","",IFERROR(100-100/(1+SUMPRODUCT((終値!E68:R68&gt;終値!F68:S68)*(終値!E68:R68-終値!F68:S68))/SUMPRODUCT((終値!E68:R68&lt;終値!F68:S68)*(終値!F68:S68-終値!E68:R68))),100))</f>
        <v>51.871468926553675</v>
      </c>
      <c r="R68" s="503">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56.545064723046806</v>
      </c>
      <c r="S68" s="500"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v>
      </c>
      <c r="T68" s="500" t="str">
        <f t="shared" si="3"/>
        <v>上walk▲</v>
      </c>
      <c r="U68" s="500" t="str">
        <f>IF(終値!A68="","",BB_スイング!BT68)</f>
        <v>二番底W▲</v>
      </c>
      <c r="V68" s="508">
        <f>IF($D68="","",IFERROR(出来高!E68/AVERAGE(出来高!E68:I68),""))</f>
        <v>0.81090558039924987</v>
      </c>
      <c r="W68" s="509"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△二番底買(確)</v>
      </c>
      <c r="X68" s="504">
        <f t="shared" si="9"/>
        <v>32</v>
      </c>
      <c r="Y68" s="501">
        <f t="shared" si="4"/>
        <v>5870</v>
      </c>
      <c r="Z68" s="501">
        <f t="shared" si="5"/>
        <v>5825.6159264125208</v>
      </c>
      <c r="AA68" s="501">
        <f t="shared" si="6"/>
        <v>5629.55</v>
      </c>
      <c r="AB68" s="501">
        <f t="shared" si="10"/>
        <v>6021.6818528250415</v>
      </c>
      <c r="AC68" s="507">
        <f t="shared" si="7"/>
        <v>0.63</v>
      </c>
      <c r="AD68" s="501">
        <f>IF($D68="","",MIN(終値!E68:I68))</f>
        <v>5536</v>
      </c>
      <c r="AE68" s="503">
        <f t="shared" si="8"/>
        <v>32.099319999999999</v>
      </c>
    </row>
    <row r="69" spans="1:31">
      <c r="A69" s="500" t="str">
        <f>IF(終値!A69="","",HYPERLINK("https://kabutan.jp/stock/?code="&amp;終値!A69,"📈"))</f>
        <v>📈</v>
      </c>
      <c r="B69" s="500" t="str">
        <f>IF(終値!A69="","",終値!A69)</f>
        <v>4980</v>
      </c>
      <c r="C69" s="499" t="str">
        <f>IF(終値!A69="","",終値!B69)</f>
        <v>デクセリアルズ</v>
      </c>
      <c r="D69" s="501">
        <f>IF(終値!A69="","",終値!E69)</f>
        <v>3096</v>
      </c>
      <c r="E69" s="501">
        <f>IF($D69="","",AVERAGE(終値!E69:X69))</f>
        <v>3584.6</v>
      </c>
      <c r="F69" s="502">
        <f>IF($D69="","",STDEVP(終値!E69:X69))</f>
        <v>314.26587469847885</v>
      </c>
      <c r="G69" s="501">
        <f>IF($D69="","",$E69+BB設定!$B$4*$F69)</f>
        <v>4213.1317493969573</v>
      </c>
      <c r="H69" s="501">
        <f>IF($D69="","",$E69+BB設定!$B$5*$F69)</f>
        <v>3898.8658746984788</v>
      </c>
      <c r="I69" s="501">
        <f>IF($D69="","",$E69-BB設定!$B$5*$F69)</f>
        <v>3270.334125301521</v>
      </c>
      <c r="J69" s="501">
        <f>IF($D69="","",$E69-BB設定!$B$4*$F69)</f>
        <v>2956.0682506030421</v>
      </c>
      <c r="K69" s="506">
        <f t="shared" si="0"/>
        <v>0.11131637306406152</v>
      </c>
      <c r="L69" s="505">
        <f t="shared" si="1"/>
        <v>35.068445539081495</v>
      </c>
      <c r="M69" s="505">
        <f>IF($D69="","",IFERROR(MIN(BB_帯幅!B69:AP69)*100,""))</f>
        <v>24.909525539194966</v>
      </c>
      <c r="N69" s="500" t="str">
        <f>IF($L69="","",IF($L69&lt;=$M69*BB設定!$B$7,"スクイーズ★",IF($L69&lt;=$M69*1.3,"収縮","－")))</f>
        <v>－</v>
      </c>
      <c r="O69" s="500" t="str">
        <f>IF($D69="","",IF(AND(BB_帯幅!B69&gt;BB_帯幅!C69,BB_帯幅!C69&gt;BB_帯幅!D69),"拡大↑","縮小↓"))</f>
        <v>縮小↓</v>
      </c>
      <c r="P69" s="500" t="str">
        <f t="shared" si="2"/>
        <v>-1σ下</v>
      </c>
      <c r="Q69" s="503">
        <f>IF($D69="","",IFERROR(100-100/(1+SUMPRODUCT((終値!E69:R69&gt;終値!F69:S69)*(終値!E69:R69-終値!F69:S69))/SUMPRODUCT((終値!E69:R69&lt;終値!F69:S69)*(終値!F69:S69-終値!E69:R69))),100))</f>
        <v>29.4403892944039</v>
      </c>
      <c r="R69" s="503">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32.97865451523181</v>
      </c>
      <c r="S69" s="500"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0" t="str">
        <f t="shared" si="3"/>
        <v>下walk▼</v>
      </c>
      <c r="U69" s="500" t="str">
        <f>IF(終値!A69="","",BB_スイング!BT69)</f>
        <v>－</v>
      </c>
      <c r="V69" s="508">
        <f>IF($D69="","",IFERROR(出来高!E69/AVERAGE(出来高!E69:I69),""))</f>
        <v>1.0803980413836676</v>
      </c>
      <c r="W69" s="509"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4">
        <f t="shared" si="9"/>
        <v>0</v>
      </c>
      <c r="Y69" s="501">
        <f t="shared" si="4"/>
        <v>3096</v>
      </c>
      <c r="Z69" s="501">
        <f t="shared" si="5"/>
        <v>3898.8658746984788</v>
      </c>
      <c r="AA69" s="501">
        <f t="shared" si="6"/>
        <v>3096</v>
      </c>
      <c r="AB69" s="501">
        <f t="shared" si="10"/>
        <v>4213.1317493969573</v>
      </c>
      <c r="AC69" s="507" t="str">
        <f t="shared" si="7"/>
        <v>－</v>
      </c>
      <c r="AD69" s="501">
        <f>IF($D69="","",MIN(終値!E69:I69))</f>
        <v>3096</v>
      </c>
      <c r="AE69" s="503">
        <f t="shared" si="8"/>
        <v>9.9309999999999996E-2</v>
      </c>
    </row>
    <row r="70" spans="1:31">
      <c r="A70" s="500" t="str">
        <f>IF(終値!A70="","",HYPERLINK("https://kabutan.jp/stock/?code="&amp;終値!A70,"📈"))</f>
        <v>📈</v>
      </c>
      <c r="B70" s="500" t="str">
        <f>IF(終値!A70="","",終値!A70)</f>
        <v>9424</v>
      </c>
      <c r="C70" s="499" t="str">
        <f>IF(終値!A70="","",終値!B70)</f>
        <v>日本通信</v>
      </c>
      <c r="D70" s="501">
        <f>IF(終値!A70="","",終値!E70)</f>
        <v>114</v>
      </c>
      <c r="E70" s="501">
        <f>IF($D70="","",AVERAGE(終値!E70:X70))</f>
        <v>113.89473684210526</v>
      </c>
      <c r="F70" s="502">
        <f>IF($D70="","",STDEVP(終値!E70:X70))</f>
        <v>1.7739262680371284</v>
      </c>
      <c r="G70" s="501">
        <f>IF($D70="","",$E70+BB設定!$B$4*$F70)</f>
        <v>117.44258937817952</v>
      </c>
      <c r="H70" s="501">
        <f>IF($D70="","",$E70+BB設定!$B$5*$F70)</f>
        <v>115.66866311014239</v>
      </c>
      <c r="I70" s="501">
        <f>IF($D70="","",$E70-BB設定!$B$5*$F70)</f>
        <v>112.12081057406813</v>
      </c>
      <c r="J70" s="501">
        <f>IF($D70="","",$E70-BB設定!$B$4*$F70)</f>
        <v>110.346884306031</v>
      </c>
      <c r="K70" s="506">
        <f t="shared" ref="K70:K133" si="11">IF($D70="","",IFERROR(($D70-$J70)/($G70-$J70),""))</f>
        <v>0.51483477072742356</v>
      </c>
      <c r="L70" s="505">
        <f t="shared" ref="L70:L133" si="12">IF($D70="","",IFERROR(($G70-$J70)/$E70*100,""))</f>
        <v>6.2300552851581266</v>
      </c>
      <c r="M70" s="505">
        <f>IF($D70="","",IFERROR(MIN(BB_帯幅!B70:AP70)*100,""))</f>
        <v>6.2300552851581221</v>
      </c>
      <c r="N70" s="500" t="str">
        <f>IF($L70="","",IF($L70&lt;=$M70*BB設定!$B$7,"スクイーズ★",IF($L70&lt;=$M70*1.3,"収縮","－")))</f>
        <v>スクイーズ★</v>
      </c>
      <c r="O70" s="500" t="str">
        <f>IF($D70="","",IF(AND(BB_帯幅!B70&gt;BB_帯幅!C70,BB_帯幅!C70&gt;BB_帯幅!D70),"拡大↑","縮小↓"))</f>
        <v>縮小↓</v>
      </c>
      <c r="P70" s="500" t="str">
        <f t="shared" ref="P70:P133" si="13">IF($D70="","",IF($D70&gt;$G70,"↑+2σ突破",IF($D70&lt;$J70,"↓-2σ割れ",IF($D70&gt;$H70,"+1σ上",IF($D70&lt;$I70,"-1σ下","バンド内")))))</f>
        <v>バンド内</v>
      </c>
      <c r="Q70" s="503">
        <f>IF($D70="","",IFERROR(100-100/(1+SUMPRODUCT((終値!E70:R70&gt;終値!F70:S70)*(終値!E70:R70-終値!F70:S70))/SUMPRODUCT((終値!E70:R70&lt;終値!F70:S70)*(終値!F70:S70-終値!E70:R70))),100))</f>
        <v>49.1869918699187</v>
      </c>
      <c r="R70" s="503">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48.405615939462578</v>
      </c>
      <c r="S70" s="500"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弱気div▼</v>
      </c>
      <c r="T70" s="500" t="str">
        <f t="shared" ref="T70:T133" si="14">IF($D70="","",IF($D70&gt;=$H70,"上walk▲",IF($D70&lt;=$I70,"下walk▼","－")))</f>
        <v>－</v>
      </c>
      <c r="U70" s="500" t="str">
        <f>IF(終値!A70="","",BB_スイング!BT70)</f>
        <v>－</v>
      </c>
      <c r="V70" s="508">
        <f>IF($D70="","",IFERROR(出来高!E70/AVERAGE(出来高!E70:I70),""))</f>
        <v>1.607897141192516</v>
      </c>
      <c r="W70" s="509"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☆スクイーズ監視</v>
      </c>
      <c r="X70" s="504">
        <f t="shared" si="9"/>
        <v>33</v>
      </c>
      <c r="Y70" s="501">
        <f t="shared" ref="Y70:Y133" si="15">IF($D70="","",$D70)</f>
        <v>114</v>
      </c>
      <c r="Z70" s="501">
        <f t="shared" ref="Z70:Z133" si="16">IF($D70="","",$H70)</f>
        <v>115.66866311014239</v>
      </c>
      <c r="AA70" s="501">
        <f t="shared" ref="AA70:AA133" si="17">IF($D70="","",IF($D70&gt;$E70,$E70,$AD70))</f>
        <v>113.89473684210526</v>
      </c>
      <c r="AB70" s="501">
        <f t="shared" si="10"/>
        <v>117.44258937817952</v>
      </c>
      <c r="AC70" s="507">
        <f t="shared" ref="AC70:AC133" si="18">IF($D70="","",IF(($Y70-$AA70)&lt;=0,"－",IFERROR(ROUND(MIN(20,($AB70-$Y70)/($Y70-$AA70)),2),"－")))</f>
        <v>20</v>
      </c>
      <c r="AD70" s="501">
        <f>IF($D70="","",MIN(終値!E70:I70))</f>
        <v>114</v>
      </c>
      <c r="AE70" s="503">
        <f t="shared" ref="AE70:AE133" si="19">IF($D70="","",$X70+(10000-ROW())/100000)</f>
        <v>33.099299999999999</v>
      </c>
    </row>
    <row r="71" spans="1:31">
      <c r="A71" s="500" t="str">
        <f>IF(終値!A71="","",HYPERLINK("https://kabutan.jp/stock/?code="&amp;終値!A71,"📈"))</f>
        <v>📈</v>
      </c>
      <c r="B71" s="500" t="str">
        <f>IF(終値!A71="","",終値!A71)</f>
        <v>3854</v>
      </c>
      <c r="C71" s="499" t="str">
        <f>IF(終値!A71="","",終値!B71)</f>
        <v>アイル</v>
      </c>
      <c r="D71" s="501">
        <f>IF(終値!A71="","",終値!E71)</f>
        <v>2215</v>
      </c>
      <c r="E71" s="501">
        <f>IF($D71="","",AVERAGE(終値!E71:X71))</f>
        <v>2320.8000000000002</v>
      </c>
      <c r="F71" s="502">
        <f>IF($D71="","",STDEVP(終値!E71:X71))</f>
        <v>82.866519173910035</v>
      </c>
      <c r="G71" s="501">
        <f>IF($D71="","",$E71+BB設定!$B$4*$F71)</f>
        <v>2486.5330383478204</v>
      </c>
      <c r="H71" s="501">
        <f>IF($D71="","",$E71+BB設定!$B$5*$F71)</f>
        <v>2403.6665191739103</v>
      </c>
      <c r="I71" s="501">
        <f>IF($D71="","",$E71-BB設定!$B$5*$F71)</f>
        <v>2237.9334808260901</v>
      </c>
      <c r="J71" s="501">
        <f>IF($D71="","",$E71-BB設定!$B$4*$F71)</f>
        <v>2155.06696165218</v>
      </c>
      <c r="K71" s="506">
        <f t="shared" si="11"/>
        <v>0.18081198216507649</v>
      </c>
      <c r="L71" s="505">
        <f t="shared" si="12"/>
        <v>14.282405924493293</v>
      </c>
      <c r="M71" s="505">
        <f>IF($D71="","",IFERROR(MIN(BB_帯幅!B71:AP71)*100,""))</f>
        <v>11.997005423603728</v>
      </c>
      <c r="N71" s="500" t="str">
        <f>IF($L71="","",IF($L71&lt;=$M71*BB設定!$B$7,"スクイーズ★",IF($L71&lt;=$M71*1.3,"収縮","－")))</f>
        <v>収縮</v>
      </c>
      <c r="O71" s="500" t="str">
        <f>IF($D71="","",IF(AND(BB_帯幅!B71&gt;BB_帯幅!C71,BB_帯幅!C71&gt;BB_帯幅!D71),"拡大↑","縮小↓"))</f>
        <v>縮小↓</v>
      </c>
      <c r="P71" s="500" t="str">
        <f t="shared" si="13"/>
        <v>-1σ下</v>
      </c>
      <c r="Q71" s="503">
        <f>IF($D71="","",IFERROR(100-100/(1+SUMPRODUCT((終値!E71:R71&gt;終値!F71:S71)*(終値!E71:R71-終値!F71:S71))/SUMPRODUCT((終値!E71:R71&lt;終値!F71:S71)*(終値!F71:S71-終値!E71:R71))),100))</f>
        <v>29.580573951434872</v>
      </c>
      <c r="R71" s="503">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30.6325813225357</v>
      </c>
      <c r="S71" s="500"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0" t="str">
        <f t="shared" si="14"/>
        <v>下walk▼</v>
      </c>
      <c r="U71" s="500" t="str">
        <f>IF(終値!A71="","",BB_スイング!BT71)</f>
        <v>二番天井M▼</v>
      </c>
      <c r="V71" s="508">
        <f>IF($D71="","",IFERROR(出来高!E71/AVERAGE(出来高!E71:I71),""))</f>
        <v>0.8166624461889086</v>
      </c>
      <c r="W71" s="509"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▼二番天井警戒</v>
      </c>
      <c r="X71" s="504">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1">
        <f t="shared" si="15"/>
        <v>2215</v>
      </c>
      <c r="Z71" s="501">
        <f t="shared" si="16"/>
        <v>2403.6665191739103</v>
      </c>
      <c r="AA71" s="501">
        <f t="shared" si="17"/>
        <v>2198</v>
      </c>
      <c r="AB71" s="501">
        <f t="shared" ref="AB71:AB134" si="21">IF($D71="","",IF($D71&gt;$G71,$E71+3*$F71,$G71))</f>
        <v>2486.5330383478204</v>
      </c>
      <c r="AC71" s="507">
        <f t="shared" si="18"/>
        <v>15.97</v>
      </c>
      <c r="AD71" s="501">
        <f>IF($D71="","",MIN(終値!E71:I71))</f>
        <v>2198</v>
      </c>
      <c r="AE71" s="503">
        <f t="shared" si="19"/>
        <v>9.9290000000000003E-2</v>
      </c>
    </row>
    <row r="72" spans="1:31">
      <c r="A72" s="500" t="str">
        <f>IF(終値!A72="","",HYPERLINK("https://kabutan.jp/stock/?code="&amp;終値!A72,"📈"))</f>
        <v>📈</v>
      </c>
      <c r="B72" s="500" t="str">
        <f>IF(終値!A72="","",終値!A72)</f>
        <v>6027</v>
      </c>
      <c r="C72" s="499" t="str">
        <f>IF(終値!A72="","",終値!B72)</f>
        <v>弁護士ドットコム</v>
      </c>
      <c r="D72" s="501">
        <f>IF(終値!A72="","",終値!E72)</f>
        <v>2358</v>
      </c>
      <c r="E72" s="501">
        <f>IF($D72="","",AVERAGE(終値!E72:X72))</f>
        <v>2327.3000000000002</v>
      </c>
      <c r="F72" s="502">
        <f>IF($D72="","",STDEVP(終値!E72:X72))</f>
        <v>59.751234296874578</v>
      </c>
      <c r="G72" s="501">
        <f>IF($D72="","",$E72+BB設定!$B$4*$F72)</f>
        <v>2446.8024685937494</v>
      </c>
      <c r="H72" s="501">
        <f>IF($D72="","",$E72+BB設定!$B$5*$F72)</f>
        <v>2387.0512342968746</v>
      </c>
      <c r="I72" s="501">
        <f>IF($D72="","",$E72-BB設定!$B$5*$F72)</f>
        <v>2267.5487657031258</v>
      </c>
      <c r="J72" s="501">
        <f>IF($D72="","",$E72-BB設定!$B$4*$F72)</f>
        <v>2207.797531406251</v>
      </c>
      <c r="K72" s="506">
        <f t="shared" si="11"/>
        <v>0.62844922938104741</v>
      </c>
      <c r="L72" s="505">
        <f t="shared" si="12"/>
        <v>10.269623047630231</v>
      </c>
      <c r="M72" s="505">
        <f>IF($D72="","",IFERROR(MIN(BB_帯幅!B72:AP72)*100,""))</f>
        <v>10.269623047630228</v>
      </c>
      <c r="N72" s="500" t="str">
        <f>IF($L72="","",IF($L72&lt;=$M72*BB設定!$B$7,"スクイーズ★",IF($L72&lt;=$M72*1.3,"収縮","－")))</f>
        <v>スクイーズ★</v>
      </c>
      <c r="O72" s="500" t="str">
        <f>IF($D72="","",IF(AND(BB_帯幅!B72&gt;BB_帯幅!C72,BB_帯幅!C72&gt;BB_帯幅!D72),"拡大↑","縮小↓"))</f>
        <v>縮小↓</v>
      </c>
      <c r="P72" s="500" t="str">
        <f t="shared" si="13"/>
        <v>バンド内</v>
      </c>
      <c r="Q72" s="503">
        <f>IF($D72="","",IFERROR(100-100/(1+SUMPRODUCT((終値!E72:R72&gt;終値!F72:S72)*(終値!E72:R72-終値!F72:S72))/SUMPRODUCT((終値!E72:R72&lt;終値!F72:S72)*(終値!F72:S72-終値!E72:R72))),100))</f>
        <v>47.308319738988587</v>
      </c>
      <c r="R72" s="503">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40.379439869294707</v>
      </c>
      <c r="S72" s="500"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0" t="str">
        <f t="shared" si="14"/>
        <v>－</v>
      </c>
      <c r="U72" s="500" t="str">
        <f>IF(終値!A72="","",BB_スイング!BT72)</f>
        <v>二番底W形成</v>
      </c>
      <c r="V72" s="508">
        <f>IF($D72="","",IFERROR(出来高!E72/AVERAGE(出来高!E72:I72),""))</f>
        <v>1.2124248496993988</v>
      </c>
      <c r="W72" s="509"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△二番底形成</v>
      </c>
      <c r="X72" s="504">
        <f t="shared" si="20"/>
        <v>30</v>
      </c>
      <c r="Y72" s="501">
        <f t="shared" si="15"/>
        <v>2358</v>
      </c>
      <c r="Z72" s="501">
        <f t="shared" si="16"/>
        <v>2387.0512342968746</v>
      </c>
      <c r="AA72" s="501">
        <f t="shared" si="17"/>
        <v>2327.3000000000002</v>
      </c>
      <c r="AB72" s="501">
        <f t="shared" si="21"/>
        <v>2446.8024685937494</v>
      </c>
      <c r="AC72" s="507">
        <f t="shared" si="18"/>
        <v>2.89</v>
      </c>
      <c r="AD72" s="501">
        <f>IF($D72="","",MIN(終値!E72:I72))</f>
        <v>2277</v>
      </c>
      <c r="AE72" s="503">
        <f t="shared" si="19"/>
        <v>30.09928</v>
      </c>
    </row>
    <row r="73" spans="1:31">
      <c r="A73" s="500" t="str">
        <f>IF(終値!A73="","",HYPERLINK("https://kabutan.jp/stock/?code="&amp;終値!A73,"📈"))</f>
        <v>📈</v>
      </c>
      <c r="B73" s="500" t="str">
        <f>IF(終値!A73="","",終値!A73)</f>
        <v>7806</v>
      </c>
      <c r="C73" s="499" t="str">
        <f>IF(終値!A73="","",終値!B73)</f>
        <v>ＭＴＧ</v>
      </c>
      <c r="D73" s="501">
        <f>IF(終値!A73="","",終値!E73)</f>
        <v>7710</v>
      </c>
      <c r="E73" s="501">
        <f>IF($D73="","",AVERAGE(終値!E73:X73))</f>
        <v>7579.5</v>
      </c>
      <c r="F73" s="502">
        <f>IF($D73="","",STDEVP(終値!E73:X73))</f>
        <v>221.88904885099669</v>
      </c>
      <c r="G73" s="501">
        <f>IF($D73="","",$E73+BB設定!$B$4*$F73)</f>
        <v>8023.2780977019938</v>
      </c>
      <c r="H73" s="501">
        <f>IF($D73="","",$E73+BB設定!$B$5*$F73)</f>
        <v>7801.3890488509969</v>
      </c>
      <c r="I73" s="501">
        <f>IF($D73="","",$E73-BB設定!$B$5*$F73)</f>
        <v>7357.6109511490031</v>
      </c>
      <c r="J73" s="501">
        <f>IF($D73="","",$E73-BB設定!$B$4*$F73)</f>
        <v>7135.7219022980062</v>
      </c>
      <c r="K73" s="506">
        <f t="shared" si="11"/>
        <v>0.64703294357671681</v>
      </c>
      <c r="L73" s="505">
        <f t="shared" si="12"/>
        <v>11.709957060544728</v>
      </c>
      <c r="M73" s="505">
        <f>IF($D73="","",IFERROR(MIN(BB_帯幅!B73:AP73)*100,""))</f>
        <v>11.709957060544717</v>
      </c>
      <c r="N73" s="500" t="str">
        <f>IF($L73="","",IF($L73&lt;=$M73*BB設定!$B$7,"スクイーズ★",IF($L73&lt;=$M73*1.3,"収縮","－")))</f>
        <v>スクイーズ★</v>
      </c>
      <c r="O73" s="500" t="str">
        <f>IF($D73="","",IF(AND(BB_帯幅!B73&gt;BB_帯幅!C73,BB_帯幅!C73&gt;BB_帯幅!D73),"拡大↑","縮小↓"))</f>
        <v>縮小↓</v>
      </c>
      <c r="P73" s="500" t="str">
        <f t="shared" si="13"/>
        <v>バンド内</v>
      </c>
      <c r="Q73" s="503">
        <f>IF($D73="","",IFERROR(100-100/(1+SUMPRODUCT((終値!E73:R73&gt;終値!F73:S73)*(終値!E73:R73-終値!F73:S73))/SUMPRODUCT((終値!E73:R73&lt;終値!F73:S73)*(終値!F73:S73-終値!E73:R73))),100))</f>
        <v>50.166112956810636</v>
      </c>
      <c r="R73" s="503">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39.897388906801226</v>
      </c>
      <c r="S73" s="500"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0" t="str">
        <f t="shared" si="14"/>
        <v>－</v>
      </c>
      <c r="U73" s="500" t="str">
        <f>IF(終値!A73="","",BB_スイング!BT73)</f>
        <v>二番底W形成</v>
      </c>
      <c r="V73" s="508">
        <f>IF($D73="","",IFERROR(出来高!E73/AVERAGE(出来高!E73:I73),""))</f>
        <v>1.2265674051484439</v>
      </c>
      <c r="W73" s="509"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△二番底形成</v>
      </c>
      <c r="X73" s="504">
        <f t="shared" si="20"/>
        <v>35</v>
      </c>
      <c r="Y73" s="501">
        <f t="shared" si="15"/>
        <v>7710</v>
      </c>
      <c r="Z73" s="501">
        <f t="shared" si="16"/>
        <v>7801.3890488509969</v>
      </c>
      <c r="AA73" s="501">
        <f t="shared" si="17"/>
        <v>7579.5</v>
      </c>
      <c r="AB73" s="501">
        <f t="shared" si="21"/>
        <v>8023.2780977019938</v>
      </c>
      <c r="AC73" s="507">
        <f t="shared" si="18"/>
        <v>2.4</v>
      </c>
      <c r="AD73" s="501">
        <f>IF($D73="","",MIN(終値!E73:I73))</f>
        <v>7400</v>
      </c>
      <c r="AE73" s="503">
        <f t="shared" si="19"/>
        <v>35.099269999999997</v>
      </c>
    </row>
    <row r="74" spans="1:31" ht="24">
      <c r="A74" s="500" t="str">
        <f>IF(終値!A74="","",HYPERLINK("https://kabutan.jp/stock/?code="&amp;終値!A74,"📈"))</f>
        <v>📈</v>
      </c>
      <c r="B74" s="500" t="str">
        <f>IF(終値!A74="","",終値!A74)</f>
        <v>9202</v>
      </c>
      <c r="C74" s="499" t="str">
        <f>IF(終値!A74="","",終値!B74)</f>
        <v>ＡＮＡホールディングス</v>
      </c>
      <c r="D74" s="501">
        <f>IF(終値!A74="","",終値!E74)</f>
        <v>3164</v>
      </c>
      <c r="E74" s="501">
        <f>IF($D74="","",AVERAGE(終値!E74:X74))</f>
        <v>3077.25</v>
      </c>
      <c r="F74" s="502">
        <f>IF($D74="","",STDEVP(終値!E74:X74))</f>
        <v>69.491636187385893</v>
      </c>
      <c r="G74" s="501">
        <f>IF($D74="","",$E74+BB設定!$B$4*$F74)</f>
        <v>3216.2332723747718</v>
      </c>
      <c r="H74" s="501">
        <f>IF($D74="","",$E74+BB設定!$B$5*$F74)</f>
        <v>3146.7416361873857</v>
      </c>
      <c r="I74" s="501">
        <f>IF($D74="","",$E74-BB設定!$B$5*$F74)</f>
        <v>3007.7583638126143</v>
      </c>
      <c r="J74" s="501">
        <f>IF($D74="","",$E74-BB設定!$B$4*$F74)</f>
        <v>2938.2667276252282</v>
      </c>
      <c r="K74" s="506">
        <f t="shared" si="11"/>
        <v>0.81208791719220896</v>
      </c>
      <c r="L74" s="505">
        <f t="shared" si="12"/>
        <v>9.0329529531088983</v>
      </c>
      <c r="M74" s="505">
        <f>IF($D74="","",IFERROR(MIN(BB_帯幅!B74:AP74)*100,""))</f>
        <v>8.613581351747829</v>
      </c>
      <c r="N74" s="500" t="str">
        <f>IF($L74="","",IF($L74&lt;=$M74*BB設定!$B$7,"スクイーズ★",IF($L74&lt;=$M74*1.3,"収縮","－")))</f>
        <v>スクイーズ★</v>
      </c>
      <c r="O74" s="500" t="str">
        <f>IF($D74="","",IF(AND(BB_帯幅!B74&gt;BB_帯幅!C74,BB_帯幅!C74&gt;BB_帯幅!D74),"拡大↑","縮小↓"))</f>
        <v>縮小↓</v>
      </c>
      <c r="P74" s="500" t="str">
        <f t="shared" si="13"/>
        <v>+1σ上</v>
      </c>
      <c r="Q74" s="503">
        <f>IF($D74="","",IFERROR(100-100/(1+SUMPRODUCT((終値!E74:R74&gt;終値!F74:S74)*(終値!E74:R74-終値!F74:S74))/SUMPRODUCT((終値!E74:R74&lt;終値!F74:S74)*(終値!F74:S74-終値!E74:R74))),100))</f>
        <v>62.698412698412703</v>
      </c>
      <c r="R74" s="503">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44.676684706558504</v>
      </c>
      <c r="S74" s="500"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v>
      </c>
      <c r="T74" s="500" t="str">
        <f t="shared" si="14"/>
        <v>上walk▲</v>
      </c>
      <c r="U74" s="500" t="str">
        <f>IF(終値!A74="","",BB_スイング!BT74)</f>
        <v>－</v>
      </c>
      <c r="V74" s="508">
        <f>IF($D74="","",IFERROR(出来高!E74/AVERAGE(出来高!E74:I74),""))</f>
        <v>0.63437639056639761</v>
      </c>
      <c r="W74" s="509"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☆スクイーズ監視</v>
      </c>
      <c r="X74" s="504">
        <f t="shared" si="20"/>
        <v>47</v>
      </c>
      <c r="Y74" s="501">
        <f t="shared" si="15"/>
        <v>3164</v>
      </c>
      <c r="Z74" s="501">
        <f t="shared" si="16"/>
        <v>3146.7416361873857</v>
      </c>
      <c r="AA74" s="501">
        <f t="shared" si="17"/>
        <v>3077.25</v>
      </c>
      <c r="AB74" s="501">
        <f t="shared" si="21"/>
        <v>3216.2332723747718</v>
      </c>
      <c r="AC74" s="507">
        <f t="shared" si="18"/>
        <v>0.6</v>
      </c>
      <c r="AD74" s="501">
        <f>IF($D74="","",MIN(終値!E74:I74))</f>
        <v>3100</v>
      </c>
      <c r="AE74" s="503">
        <f t="shared" si="19"/>
        <v>47.099260000000001</v>
      </c>
    </row>
    <row r="75" spans="1:31" ht="24">
      <c r="A75" s="500" t="str">
        <f>IF(終値!A75="","",HYPERLINK("https://kabutan.jp/stock/?code="&amp;終値!A75,"📈"))</f>
        <v>📈</v>
      </c>
      <c r="B75" s="500" t="str">
        <f>IF(終値!A75="","",終値!A75)</f>
        <v>7846</v>
      </c>
      <c r="C75" s="499" t="str">
        <f>IF(終値!A75="","",終値!B75)</f>
        <v>パイロットコーポレーション</v>
      </c>
      <c r="D75" s="501">
        <f>IF(終値!A75="","",終値!E75)</f>
        <v>1813.5</v>
      </c>
      <c r="E75" s="501">
        <f>IF($D75="","",AVERAGE(終値!E75:X75))</f>
        <v>1791.7</v>
      </c>
      <c r="F75" s="502">
        <f>IF($D75="","",STDEVP(終値!E75:X75))</f>
        <v>25.198908706529334</v>
      </c>
      <c r="G75" s="501">
        <f>IF($D75="","",$E75+BB設定!$B$4*$F75)</f>
        <v>1842.0978174130587</v>
      </c>
      <c r="H75" s="501">
        <f>IF($D75="","",$E75+BB設定!$B$5*$F75)</f>
        <v>1816.8989087065295</v>
      </c>
      <c r="I75" s="501">
        <f>IF($D75="","",$E75-BB設定!$B$5*$F75)</f>
        <v>1766.5010912934706</v>
      </c>
      <c r="J75" s="501">
        <f>IF($D75="","",$E75-BB設定!$B$4*$F75)</f>
        <v>1741.3021825869414</v>
      </c>
      <c r="K75" s="506">
        <f t="shared" si="11"/>
        <v>0.71627920730503025</v>
      </c>
      <c r="L75" s="505">
        <f t="shared" si="12"/>
        <v>5.6256982098631072</v>
      </c>
      <c r="M75" s="505">
        <f>IF($D75="","",IFERROR(MIN(BB_帯幅!B75:AP75)*100,""))</f>
        <v>3.6157807987149648</v>
      </c>
      <c r="N75" s="500" t="str">
        <f>IF($L75="","",IF($L75&lt;=$M75*BB設定!$B$7,"スクイーズ★",IF($L75&lt;=$M75*1.3,"収縮","－")))</f>
        <v>－</v>
      </c>
      <c r="O75" s="500" t="str">
        <f>IF($D75="","",IF(AND(BB_帯幅!B75&gt;BB_帯幅!C75,BB_帯幅!C75&gt;BB_帯幅!D75),"拡大↑","縮小↓"))</f>
        <v>縮小↓</v>
      </c>
      <c r="P75" s="500" t="str">
        <f t="shared" si="13"/>
        <v>バンド内</v>
      </c>
      <c r="Q75" s="503">
        <f>IF($D75="","",IFERROR(100-100/(1+SUMPRODUCT((終値!E75:R75&gt;終値!F75:S75)*(終値!E75:R75-終値!F75:S75))/SUMPRODUCT((終値!E75:R75&lt;終値!F75:S75)*(終値!F75:S75-終値!E75:R75))),100))</f>
        <v>54.188948306595371</v>
      </c>
      <c r="R75" s="503">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40.878795159207044</v>
      </c>
      <c r="S75" s="500"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弱気div▼</v>
      </c>
      <c r="T75" s="500" t="str">
        <f t="shared" si="14"/>
        <v>－</v>
      </c>
      <c r="U75" s="500" t="str">
        <f>IF(終値!A75="","",BB_スイング!BT75)</f>
        <v>二番底W形成</v>
      </c>
      <c r="V75" s="508">
        <f>IF($D75="","",IFERROR(出来高!E75/AVERAGE(出来高!E75:I75),""))</f>
        <v>1.1216764308246958</v>
      </c>
      <c r="W75" s="509"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△二番底形成</v>
      </c>
      <c r="X75" s="504">
        <f t="shared" si="20"/>
        <v>15</v>
      </c>
      <c r="Y75" s="501">
        <f t="shared" si="15"/>
        <v>1813.5</v>
      </c>
      <c r="Z75" s="501">
        <f t="shared" si="16"/>
        <v>1816.8989087065295</v>
      </c>
      <c r="AA75" s="501">
        <f t="shared" si="17"/>
        <v>1791.7</v>
      </c>
      <c r="AB75" s="501">
        <f t="shared" si="21"/>
        <v>1842.0978174130587</v>
      </c>
      <c r="AC75" s="507">
        <f t="shared" si="18"/>
        <v>1.31</v>
      </c>
      <c r="AD75" s="501">
        <f>IF($D75="","",MIN(終値!E75:I75))</f>
        <v>1774.5</v>
      </c>
      <c r="AE75" s="503">
        <f t="shared" si="19"/>
        <v>15.09925</v>
      </c>
    </row>
    <row r="76" spans="1:31">
      <c r="A76" s="500" t="str">
        <f>IF(終値!A76="","",HYPERLINK("https://kabutan.jp/stock/?code="&amp;終値!A76,"📈"))</f>
        <v>📈</v>
      </c>
      <c r="B76" s="500" t="str">
        <f>IF(終値!A76="","",終値!A76)</f>
        <v>2802</v>
      </c>
      <c r="C76" s="499" t="str">
        <f>IF(終値!A76="","",終値!B76)</f>
        <v>味の素</v>
      </c>
      <c r="D76" s="501">
        <f>IF(終値!A76="","",終値!E76)</f>
        <v>5196</v>
      </c>
      <c r="E76" s="501">
        <f>IF($D76="","",AVERAGE(終値!E76:X76))</f>
        <v>5245.7</v>
      </c>
      <c r="F76" s="502">
        <f>IF($D76="","",STDEVP(終値!E76:X76))</f>
        <v>310.67605314861328</v>
      </c>
      <c r="G76" s="501">
        <f>IF($D76="","",$E76+BB設定!$B$4*$F76)</f>
        <v>5867.0521062972266</v>
      </c>
      <c r="H76" s="501">
        <f>IF($D76="","",$E76+BB設定!$B$5*$F76)</f>
        <v>5556.3760531486132</v>
      </c>
      <c r="I76" s="501">
        <f>IF($D76="","",$E76-BB設定!$B$5*$F76)</f>
        <v>4935.0239468513864</v>
      </c>
      <c r="J76" s="501">
        <f>IF($D76="","",$E76-BB設定!$B$4*$F76)</f>
        <v>4624.347893702773</v>
      </c>
      <c r="K76" s="506">
        <f t="shared" si="11"/>
        <v>0.46000657316817273</v>
      </c>
      <c r="L76" s="505">
        <f t="shared" si="12"/>
        <v>23.689959635405259</v>
      </c>
      <c r="M76" s="505">
        <f>IF($D76="","",IFERROR(MIN(BB_帯幅!B76:AP76)*100,""))</f>
        <v>12.790865992480875</v>
      </c>
      <c r="N76" s="500" t="str">
        <f>IF($L76="","",IF($L76&lt;=$M76*BB設定!$B$7,"スクイーズ★",IF($L76&lt;=$M76*1.3,"収縮","－")))</f>
        <v>－</v>
      </c>
      <c r="O76" s="500" t="str">
        <f>IF($D76="","",IF(AND(BB_帯幅!B76&gt;BB_帯幅!C76,BB_帯幅!C76&gt;BB_帯幅!D76),"拡大↑","縮小↓"))</f>
        <v>縮小↓</v>
      </c>
      <c r="P76" s="500" t="str">
        <f t="shared" si="13"/>
        <v>バンド内</v>
      </c>
      <c r="Q76" s="503">
        <f>IF($D76="","",IFERROR(100-100/(1+SUMPRODUCT((終値!E76:R76&gt;終値!F76:S76)*(終値!E76:R76-終値!F76:S76))/SUMPRODUCT((終値!E76:R76&lt;終値!F76:S76)*(終値!F76:S76-終値!E76:R76))),100))</f>
        <v>37.605804111245462</v>
      </c>
      <c r="R76" s="503">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44.443355836546722</v>
      </c>
      <c r="S76" s="500"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0" t="str">
        <f t="shared" si="14"/>
        <v>－</v>
      </c>
      <c r="U76" s="500" t="str">
        <f>IF(終値!A76="","",BB_スイング!BT76)</f>
        <v>－</v>
      </c>
      <c r="V76" s="508">
        <f>IF($D76="","",IFERROR(出来高!E76/AVERAGE(出来高!E76:I76),""))</f>
        <v>1.0875988339668463</v>
      </c>
      <c r="W76" s="509"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4">
        <f t="shared" si="20"/>
        <v>0</v>
      </c>
      <c r="Y76" s="501">
        <f t="shared" si="15"/>
        <v>5196</v>
      </c>
      <c r="Z76" s="501">
        <f t="shared" si="16"/>
        <v>5556.3760531486132</v>
      </c>
      <c r="AA76" s="501">
        <f t="shared" si="17"/>
        <v>4896</v>
      </c>
      <c r="AB76" s="501">
        <f t="shared" si="21"/>
        <v>5867.0521062972266</v>
      </c>
      <c r="AC76" s="507">
        <f t="shared" si="18"/>
        <v>2.2400000000000002</v>
      </c>
      <c r="AD76" s="501">
        <f>IF($D76="","",MIN(終値!E76:I76))</f>
        <v>4896</v>
      </c>
      <c r="AE76" s="503">
        <f t="shared" si="19"/>
        <v>9.9239999999999995E-2</v>
      </c>
    </row>
    <row r="77" spans="1:31">
      <c r="A77" s="500" t="str">
        <f>IF(終値!A77="","",HYPERLINK("https://kabutan.jp/stock/?code="&amp;終値!A77,"📈"))</f>
        <v>📈</v>
      </c>
      <c r="B77" s="500" t="str">
        <f>IF(終値!A77="","",終値!A77)</f>
        <v>7203</v>
      </c>
      <c r="C77" s="499" t="str">
        <f>IF(終値!A77="","",終値!B77)</f>
        <v>トヨタ自動車</v>
      </c>
      <c r="D77" s="501">
        <f>IF(終値!A77="","",終値!E77)</f>
        <v>2983.5</v>
      </c>
      <c r="E77" s="501">
        <f>IF($D77="","",AVERAGE(終値!E77:X77))</f>
        <v>2942.85</v>
      </c>
      <c r="F77" s="502">
        <f>IF($D77="","",STDEVP(終値!E77:X77))</f>
        <v>101.42079421893717</v>
      </c>
      <c r="G77" s="501">
        <f>IF($D77="","",$E77+BB設定!$B$4*$F77)</f>
        <v>3145.6915884378741</v>
      </c>
      <c r="H77" s="501">
        <f>IF($D77="","",$E77+BB設定!$B$5*$F77)</f>
        <v>3044.2707942189372</v>
      </c>
      <c r="I77" s="501">
        <f>IF($D77="","",$E77-BB設定!$B$5*$F77)</f>
        <v>2841.4292057810626</v>
      </c>
      <c r="J77" s="501">
        <f>IF($D77="","",$E77-BB設定!$B$4*$F77)</f>
        <v>2740.0084115621257</v>
      </c>
      <c r="K77" s="506">
        <f t="shared" si="11"/>
        <v>0.60020134508178102</v>
      </c>
      <c r="L77" s="505">
        <f t="shared" si="12"/>
        <v>13.785384130205358</v>
      </c>
      <c r="M77" s="505">
        <f>IF($D77="","",IFERROR(MIN(BB_帯幅!B77:AP77)*100,""))</f>
        <v>7.9148806001700631</v>
      </c>
      <c r="N77" s="500" t="str">
        <f>IF($L77="","",IF($L77&lt;=$M77*BB設定!$B$7,"スクイーズ★",IF($L77&lt;=$M77*1.3,"収縮","－")))</f>
        <v>－</v>
      </c>
      <c r="O77" s="500" t="str">
        <f>IF($D77="","",IF(AND(BB_帯幅!B77&gt;BB_帯幅!C77,BB_帯幅!C77&gt;BB_帯幅!D77),"拡大↑","縮小↓"))</f>
        <v>拡大↑</v>
      </c>
      <c r="P77" s="500" t="str">
        <f t="shared" si="13"/>
        <v>バンド内</v>
      </c>
      <c r="Q77" s="503">
        <f>IF($D77="","",IFERROR(100-100/(1+SUMPRODUCT((終値!E77:R77&gt;終値!F77:S77)*(終値!E77:R77-終値!F77:S77))/SUMPRODUCT((終値!E77:R77&lt;終値!F77:S77)*(終値!F77:S77-終値!E77:R77))),100))</f>
        <v>56.39810426540285</v>
      </c>
      <c r="R77" s="503">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40.949374814514002</v>
      </c>
      <c r="S77" s="500"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弱気div▼</v>
      </c>
      <c r="T77" s="500" t="str">
        <f t="shared" si="14"/>
        <v>－</v>
      </c>
      <c r="U77" s="500" t="str">
        <f>IF(終値!A77="","",BB_スイング!BT77)</f>
        <v>二番底W▲</v>
      </c>
      <c r="V77" s="508">
        <f>IF($D77="","",IFERROR(出来高!E77/AVERAGE(出来高!E77:I77),""))</f>
        <v>0.69202902158435964</v>
      </c>
      <c r="W77" s="509"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4">
        <f t="shared" si="20"/>
        <v>25</v>
      </c>
      <c r="Y77" s="501">
        <f t="shared" si="15"/>
        <v>2983.5</v>
      </c>
      <c r="Z77" s="501">
        <f t="shared" si="16"/>
        <v>3044.2707942189372</v>
      </c>
      <c r="AA77" s="501">
        <f t="shared" si="17"/>
        <v>2942.85</v>
      </c>
      <c r="AB77" s="501">
        <f t="shared" si="21"/>
        <v>3145.6915884378741</v>
      </c>
      <c r="AC77" s="507">
        <f t="shared" si="18"/>
        <v>3.99</v>
      </c>
      <c r="AD77" s="501">
        <f>IF($D77="","",MIN(終値!E77:I77))</f>
        <v>2914.5</v>
      </c>
      <c r="AE77" s="503">
        <f t="shared" si="19"/>
        <v>25.099229999999999</v>
      </c>
    </row>
    <row r="78" spans="1:31">
      <c r="A78" s="500" t="str">
        <f>IF(終値!A78="","",HYPERLINK("https://kabutan.jp/stock/?code="&amp;終値!A78,"📈"))</f>
        <v>📈</v>
      </c>
      <c r="B78" s="500" t="str">
        <f>IF(終値!A78="","",終値!A78)</f>
        <v>6954</v>
      </c>
      <c r="C78" s="499" t="str">
        <f>IF(終値!A78="","",終値!B78)</f>
        <v>ファナック</v>
      </c>
      <c r="D78" s="501">
        <f>IF(終値!A78="","",終値!E78)</f>
        <v>6430</v>
      </c>
      <c r="E78" s="501">
        <f>IF($D78="","",AVERAGE(終値!E78:X78))</f>
        <v>6696.5</v>
      </c>
      <c r="F78" s="502">
        <f>IF($D78="","",STDEVP(終値!E78:X78))</f>
        <v>284.1838313486536</v>
      </c>
      <c r="G78" s="501">
        <f>IF($D78="","",$E78+BB設定!$B$4*$F78)</f>
        <v>7264.8676626973074</v>
      </c>
      <c r="H78" s="501">
        <f>IF($D78="","",$E78+BB設定!$B$5*$F78)</f>
        <v>6980.6838313486533</v>
      </c>
      <c r="I78" s="501">
        <f>IF($D78="","",$E78-BB設定!$B$5*$F78)</f>
        <v>6412.3161686513467</v>
      </c>
      <c r="J78" s="501">
        <f>IF($D78="","",$E78-BB設定!$B$4*$F78)</f>
        <v>6128.1323373026926</v>
      </c>
      <c r="K78" s="506">
        <f t="shared" si="11"/>
        <v>0.2655566832081292</v>
      </c>
      <c r="L78" s="505">
        <f t="shared" si="12"/>
        <v>16.975066458517357</v>
      </c>
      <c r="M78" s="505">
        <f>IF($D78="","",IFERROR(MIN(BB_帯幅!B78:AP78)*100,""))</f>
        <v>14.321083954966982</v>
      </c>
      <c r="N78" s="500" t="str">
        <f>IF($L78="","",IF($L78&lt;=$M78*BB設定!$B$7,"スクイーズ★",IF($L78&lt;=$M78*1.3,"収縮","－")))</f>
        <v>収縮</v>
      </c>
      <c r="O78" s="500" t="str">
        <f>IF($D78="","",IF(AND(BB_帯幅!B78&gt;BB_帯幅!C78,BB_帯幅!C78&gt;BB_帯幅!D78),"拡大↑","縮小↓"))</f>
        <v>縮小↓</v>
      </c>
      <c r="P78" s="500" t="str">
        <f t="shared" si="13"/>
        <v>バンド内</v>
      </c>
      <c r="Q78" s="503">
        <f>IF($D78="","",IFERROR(100-100/(1+SUMPRODUCT((終値!E78:R78&gt;終値!F78:S78)*(終値!E78:R78-終値!F78:S78))/SUMPRODUCT((終値!E78:R78&lt;終値!F78:S78)*(終値!F78:S78-終値!E78:R78))),100))</f>
        <v>42.227003765465305</v>
      </c>
      <c r="R78" s="503">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59.933840269289824</v>
      </c>
      <c r="S78" s="500"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0" t="str">
        <f t="shared" si="14"/>
        <v>－</v>
      </c>
      <c r="U78" s="500" t="str">
        <f>IF(終値!A78="","",BB_スイング!BT78)</f>
        <v>二番天井M形成</v>
      </c>
      <c r="V78" s="508">
        <f>IF($D78="","",IFERROR(出来高!E78/AVERAGE(出来高!E78:I78),""))</f>
        <v>0.59456458292318159</v>
      </c>
      <c r="W78" s="509"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▼二番天井警戒</v>
      </c>
      <c r="X78" s="504">
        <f t="shared" si="20"/>
        <v>10</v>
      </c>
      <c r="Y78" s="501">
        <f t="shared" si="15"/>
        <v>6430</v>
      </c>
      <c r="Z78" s="501">
        <f t="shared" si="16"/>
        <v>6980.6838313486533</v>
      </c>
      <c r="AA78" s="501">
        <f t="shared" si="17"/>
        <v>6114</v>
      </c>
      <c r="AB78" s="501">
        <f t="shared" si="21"/>
        <v>7264.8676626973074</v>
      </c>
      <c r="AC78" s="507">
        <f t="shared" si="18"/>
        <v>2.64</v>
      </c>
      <c r="AD78" s="501">
        <f>IF($D78="","",MIN(終値!E78:I78))</f>
        <v>6114</v>
      </c>
      <c r="AE78" s="503">
        <f t="shared" si="19"/>
        <v>10.099220000000001</v>
      </c>
    </row>
    <row r="79" spans="1:31">
      <c r="A79" s="500" t="str">
        <f>IF(終値!A79="","",HYPERLINK("https://kabutan.jp/stock/?code="&amp;終値!A79,"📈"))</f>
        <v>📈</v>
      </c>
      <c r="B79" s="500" t="str">
        <f>IF(終値!A79="","",終値!A79)</f>
        <v>6479</v>
      </c>
      <c r="C79" s="499" t="str">
        <f>IF(終値!A79="","",終値!B79)</f>
        <v>ミネベアミツミ</v>
      </c>
      <c r="D79" s="501">
        <f>IF(終値!A79="","",終値!E79)</f>
        <v>3736</v>
      </c>
      <c r="E79" s="501">
        <f>IF($D79="","",AVERAGE(終値!E79:X79))</f>
        <v>3943.4</v>
      </c>
      <c r="F79" s="502">
        <f>IF($D79="","",STDEVP(終値!E79:X79))</f>
        <v>252.6838736445205</v>
      </c>
      <c r="G79" s="501">
        <f>IF($D79="","",$E79+BB設定!$B$4*$F79)</f>
        <v>4448.7677472890409</v>
      </c>
      <c r="H79" s="501">
        <f>IF($D79="","",$E79+BB設定!$B$5*$F79)</f>
        <v>4196.0838736445203</v>
      </c>
      <c r="I79" s="501">
        <f>IF($D79="","",$E79-BB設定!$B$5*$F79)</f>
        <v>3690.7161263554794</v>
      </c>
      <c r="J79" s="501">
        <f>IF($D79="","",$E79-BB設定!$B$4*$F79)</f>
        <v>3438.0322527109593</v>
      </c>
      <c r="K79" s="506">
        <f t="shared" si="11"/>
        <v>0.29480289243569457</v>
      </c>
      <c r="L79" s="505">
        <f t="shared" si="12"/>
        <v>25.631066961963828</v>
      </c>
      <c r="M79" s="505">
        <f>IF($D79="","",IFERROR(MIN(BB_帯幅!B79:AP79)*100,""))</f>
        <v>21.054771792371358</v>
      </c>
      <c r="N79" s="500" t="str">
        <f>IF($L79="","",IF($L79&lt;=$M79*BB設定!$B$7,"スクイーズ★",IF($L79&lt;=$M79*1.3,"収縮","－")))</f>
        <v>収縮</v>
      </c>
      <c r="O79" s="500" t="str">
        <f>IF($D79="","",IF(AND(BB_帯幅!B79&gt;BB_帯幅!C79,BB_帯幅!C79&gt;BB_帯幅!D79),"拡大↑","縮小↓"))</f>
        <v>縮小↓</v>
      </c>
      <c r="P79" s="500" t="str">
        <f t="shared" si="13"/>
        <v>バンド内</v>
      </c>
      <c r="Q79" s="503">
        <f>IF($D79="","",IFERROR(100-100/(1+SUMPRODUCT((終値!E79:R79&gt;終値!F79:S79)*(終値!E79:R79-終値!F79:S79))/SUMPRODUCT((終値!E79:R79&lt;終値!F79:S79)*(終値!F79:S79-終値!E79:R79))),100))</f>
        <v>38.540071465033179</v>
      </c>
      <c r="R79" s="503">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41.11006686649521</v>
      </c>
      <c r="S79" s="500"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強気div▲</v>
      </c>
      <c r="T79" s="500" t="str">
        <f t="shared" si="14"/>
        <v>－</v>
      </c>
      <c r="U79" s="500" t="str">
        <f>IF(終値!A79="","",BB_スイング!BT79)</f>
        <v>－</v>
      </c>
      <c r="V79" s="508">
        <f>IF($D79="","",IFERROR(出来高!E79/AVERAGE(出来高!E79:I79),""))</f>
        <v>1.5334760460082981</v>
      </c>
      <c r="W79" s="509"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○反発(ダイバ)買</v>
      </c>
      <c r="X79" s="504">
        <f t="shared" si="20"/>
        <v>18</v>
      </c>
      <c r="Y79" s="501">
        <f t="shared" si="15"/>
        <v>3736</v>
      </c>
      <c r="Z79" s="501">
        <f t="shared" si="16"/>
        <v>4196.0838736445203</v>
      </c>
      <c r="AA79" s="501">
        <f t="shared" si="17"/>
        <v>3702</v>
      </c>
      <c r="AB79" s="501">
        <f t="shared" si="21"/>
        <v>4448.7677472890409</v>
      </c>
      <c r="AC79" s="507">
        <f t="shared" si="18"/>
        <v>20</v>
      </c>
      <c r="AD79" s="501">
        <f>IF($D79="","",MIN(終値!E79:I79))</f>
        <v>3702</v>
      </c>
      <c r="AE79" s="503">
        <f t="shared" si="19"/>
        <v>18.099209999999999</v>
      </c>
    </row>
    <row r="80" spans="1:31">
      <c r="A80" s="500" t="str">
        <f>IF(終値!A80="","",HYPERLINK("https://kabutan.jp/stock/?code="&amp;終値!A80,"📈"))</f>
        <v>📈</v>
      </c>
      <c r="B80" s="500" t="str">
        <f>IF(終値!A80="","",終値!A80)</f>
        <v>1833</v>
      </c>
      <c r="C80" s="499" t="str">
        <f>IF(終値!A80="","",終値!B80)</f>
        <v>奥村組</v>
      </c>
      <c r="D80" s="501">
        <f>IF(終値!A80="","",終値!E80)</f>
        <v>5790</v>
      </c>
      <c r="E80" s="501">
        <f>IF($D80="","",AVERAGE(終値!E80:X80))</f>
        <v>5721.0526315789475</v>
      </c>
      <c r="F80" s="502">
        <f>IF($D80="","",STDEVP(終値!E80:X80))</f>
        <v>81.427703603426167</v>
      </c>
      <c r="G80" s="501">
        <f>IF($D80="","",$E80+BB設定!$B$4*$F80)</f>
        <v>5883.9080387858003</v>
      </c>
      <c r="H80" s="501">
        <f>IF($D80="","",$E80+BB設定!$B$5*$F80)</f>
        <v>5802.4803351823739</v>
      </c>
      <c r="I80" s="501">
        <f>IF($D80="","",$E80-BB設定!$B$5*$F80)</f>
        <v>5639.6249279755211</v>
      </c>
      <c r="J80" s="501">
        <f>IF($D80="","",$E80-BB設定!$B$4*$F80)</f>
        <v>5558.1972243720948</v>
      </c>
      <c r="K80" s="506">
        <f t="shared" si="11"/>
        <v>0.71168277309171002</v>
      </c>
      <c r="L80" s="505">
        <f t="shared" si="12"/>
        <v>5.6931973080592506</v>
      </c>
      <c r="M80" s="505">
        <f>IF($D80="","",IFERROR(MIN(BB_帯幅!B80:AP80)*100,""))</f>
        <v>3.811051812497293</v>
      </c>
      <c r="N80" s="500" t="str">
        <f>IF($L80="","",IF($L80&lt;=$M80*BB設定!$B$7,"スクイーズ★",IF($L80&lt;=$M80*1.3,"収縮","－")))</f>
        <v>－</v>
      </c>
      <c r="O80" s="500" t="str">
        <f>IF($D80="","",IF(AND(BB_帯幅!B80&gt;BB_帯幅!C80,BB_帯幅!C80&gt;BB_帯幅!D80),"拡大↑","縮小↓"))</f>
        <v>縮小↓</v>
      </c>
      <c r="P80" s="500" t="str">
        <f t="shared" si="13"/>
        <v>バンド内</v>
      </c>
      <c r="Q80" s="503">
        <f>IF($D80="","",IFERROR(100-100/(1+SUMPRODUCT((終値!E80:R80&gt;終値!F80:S80)*(終値!E80:R80-終値!F80:S80))/SUMPRODUCT((終値!E80:R80&lt;終値!F80:S80)*(終値!F80:S80-終値!E80:R80))),100))</f>
        <v>50.459482038429407</v>
      </c>
      <c r="R80" s="503">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51.376128117949264</v>
      </c>
      <c r="S80" s="500"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弱気div▼</v>
      </c>
      <c r="T80" s="500" t="str">
        <f t="shared" si="14"/>
        <v>－</v>
      </c>
      <c r="U80" s="500" t="str">
        <f>IF(終値!A80="","",BB_スイング!BT80)</f>
        <v>二番底W形成</v>
      </c>
      <c r="V80" s="508">
        <f>IF($D80="","",IFERROR(出来高!E80/AVERAGE(出来高!E80:I80),""))</f>
        <v>1.1972386587771202</v>
      </c>
      <c r="W80" s="509"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△二番底形成</v>
      </c>
      <c r="X80" s="504">
        <f t="shared" si="20"/>
        <v>20</v>
      </c>
      <c r="Y80" s="501">
        <f t="shared" si="15"/>
        <v>5790</v>
      </c>
      <c r="Z80" s="501">
        <f t="shared" si="16"/>
        <v>5802.4803351823739</v>
      </c>
      <c r="AA80" s="501">
        <f t="shared" si="17"/>
        <v>5721.0526315789475</v>
      </c>
      <c r="AB80" s="501">
        <f t="shared" si="21"/>
        <v>5883.9080387858003</v>
      </c>
      <c r="AC80" s="507">
        <f t="shared" si="18"/>
        <v>1.36</v>
      </c>
      <c r="AD80" s="501">
        <f>IF($D80="","",MIN(終値!E80:I80))</f>
        <v>5730</v>
      </c>
      <c r="AE80" s="503">
        <f t="shared" si="19"/>
        <v>20.0992</v>
      </c>
    </row>
    <row r="81" spans="1:31">
      <c r="A81" s="500" t="str">
        <f>IF(終値!A81="","",HYPERLINK("https://kabutan.jp/stock/?code="&amp;終値!A81,"📈"))</f>
        <v>📈</v>
      </c>
      <c r="B81" s="500" t="str">
        <f>IF(終値!A81="","",終値!A81)</f>
        <v>6841</v>
      </c>
      <c r="C81" s="499" t="str">
        <f>IF(終値!A81="","",終値!B81)</f>
        <v>横河電機</v>
      </c>
      <c r="D81" s="501">
        <f>IF(終値!A81="","",終値!E81)</f>
        <v>5335</v>
      </c>
      <c r="E81" s="501">
        <f>IF($D81="","",AVERAGE(終値!E81:X81))</f>
        <v>5620.2</v>
      </c>
      <c r="F81" s="502">
        <f>IF($D81="","",STDEVP(終値!E81:X81))</f>
        <v>179.72273089400795</v>
      </c>
      <c r="G81" s="501">
        <f>IF($D81="","",$E81+BB設定!$B$4*$F81)</f>
        <v>5979.6454617880154</v>
      </c>
      <c r="H81" s="501">
        <f>IF($D81="","",$E81+BB設定!$B$5*$F81)</f>
        <v>5799.9227308940081</v>
      </c>
      <c r="I81" s="501">
        <f>IF($D81="","",$E81-BB設定!$B$5*$F81)</f>
        <v>5440.4772691059916</v>
      </c>
      <c r="J81" s="501">
        <f>IF($D81="","",$E81-BB設定!$B$4*$F81)</f>
        <v>5260.7545382119843</v>
      </c>
      <c r="K81" s="506">
        <f t="shared" si="11"/>
        <v>0.10327778436635585</v>
      </c>
      <c r="L81" s="505">
        <f t="shared" si="12"/>
        <v>12.791198241628965</v>
      </c>
      <c r="M81" s="505">
        <f>IF($D81="","",IFERROR(MIN(BB_帯幅!B81:AP81)*100,""))</f>
        <v>7.9378072149172958</v>
      </c>
      <c r="N81" s="500" t="str">
        <f>IF($L81="","",IF($L81&lt;=$M81*BB設定!$B$7,"スクイーズ★",IF($L81&lt;=$M81*1.3,"収縮","－")))</f>
        <v>－</v>
      </c>
      <c r="O81" s="500" t="str">
        <f>IF($D81="","",IF(AND(BB_帯幅!B81&gt;BB_帯幅!C81,BB_帯幅!C81&gt;BB_帯幅!D81),"拡大↑","縮小↓"))</f>
        <v>拡大↑</v>
      </c>
      <c r="P81" s="500" t="str">
        <f t="shared" si="13"/>
        <v>-1σ下</v>
      </c>
      <c r="Q81" s="503">
        <f>IF($D81="","",IFERROR(100-100/(1+SUMPRODUCT((終値!E81:R81&gt;終値!F81:S81)*(終値!E81:R81-終値!F81:S81))/SUMPRODUCT((終値!E81:R81&lt;終値!F81:S81)*(終値!F81:S81-終値!E81:R81))),100))</f>
        <v>44.144940344675206</v>
      </c>
      <c r="R81" s="503">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42.474888388835772</v>
      </c>
      <c r="S81" s="500"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0" t="str">
        <f t="shared" si="14"/>
        <v>下walk▼</v>
      </c>
      <c r="U81" s="500" t="str">
        <f>IF(終値!A81="","",BB_スイング!BT81)</f>
        <v>二番天井M▼</v>
      </c>
      <c r="V81" s="508">
        <f>IF($D81="","",IFERROR(出来高!E81/AVERAGE(出来高!E81:I81),""))</f>
        <v>1.4677991860017279</v>
      </c>
      <c r="W81" s="509"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▼二番天井警戒</v>
      </c>
      <c r="X81" s="504">
        <f t="shared" si="20"/>
        <v>0</v>
      </c>
      <c r="Y81" s="501">
        <f t="shared" si="15"/>
        <v>5335</v>
      </c>
      <c r="Z81" s="501">
        <f t="shared" si="16"/>
        <v>5799.9227308940081</v>
      </c>
      <c r="AA81" s="501">
        <f t="shared" si="17"/>
        <v>5302</v>
      </c>
      <c r="AB81" s="501">
        <f t="shared" si="21"/>
        <v>5979.6454617880154</v>
      </c>
      <c r="AC81" s="507">
        <f t="shared" si="18"/>
        <v>19.53</v>
      </c>
      <c r="AD81" s="501">
        <f>IF($D81="","",MIN(終値!E81:I81))</f>
        <v>5302</v>
      </c>
      <c r="AE81" s="503">
        <f t="shared" si="19"/>
        <v>9.919E-2</v>
      </c>
    </row>
    <row r="82" spans="1:31" ht="24">
      <c r="A82" s="500" t="str">
        <f>IF(終値!A82="","",HYPERLINK("https://kabutan.jp/stock/?code="&amp;終値!A82,"📈"))</f>
        <v>📈</v>
      </c>
      <c r="B82" s="500" t="str">
        <f>IF(終値!A82="","",終値!A82)</f>
        <v>7167</v>
      </c>
      <c r="C82" s="499" t="str">
        <f>IF(終値!A82="","",終値!B82)</f>
        <v>めぶきフィナンシャルＧ</v>
      </c>
      <c r="D82" s="501">
        <f>IF(終値!A82="","",終値!E82)</f>
        <v>1628</v>
      </c>
      <c r="E82" s="501">
        <f>IF($D82="","",AVERAGE(終値!E82:X82))</f>
        <v>1518.45</v>
      </c>
      <c r="F82" s="502">
        <f>IF($D82="","",STDEVP(終値!E82:X82))</f>
        <v>41.433350093855552</v>
      </c>
      <c r="G82" s="501">
        <f>IF($D82="","",$E82+BB設定!$B$4*$F82)</f>
        <v>1601.3167001877111</v>
      </c>
      <c r="H82" s="501">
        <f>IF($D82="","",$E82+BB設定!$B$5*$F82)</f>
        <v>1559.8833500938556</v>
      </c>
      <c r="I82" s="501">
        <f>IF($D82="","",$E82-BB設定!$B$5*$F82)</f>
        <v>1477.0166499061445</v>
      </c>
      <c r="J82" s="501">
        <f>IF($D82="","",$E82-BB設定!$B$4*$F82)</f>
        <v>1435.5832998122889</v>
      </c>
      <c r="K82" s="506">
        <f t="shared" si="11"/>
        <v>1.161001341623628</v>
      </c>
      <c r="L82" s="505">
        <f t="shared" si="12"/>
        <v>10.914643246430385</v>
      </c>
      <c r="M82" s="505">
        <f>IF($D82="","",IFERROR(MIN(BB_帯幅!B82:AP82)*100,""))</f>
        <v>6.5257463863920044</v>
      </c>
      <c r="N82" s="500" t="str">
        <f>IF($L82="","",IF($L82&lt;=$M82*BB設定!$B$7,"スクイーズ★",IF($L82&lt;=$M82*1.3,"収縮","－")))</f>
        <v>－</v>
      </c>
      <c r="O82" s="500" t="str">
        <f>IF($D82="","",IF(AND(BB_帯幅!B82&gt;BB_帯幅!C82,BB_帯幅!C82&gt;BB_帯幅!D82),"拡大↑","縮小↓"))</f>
        <v>縮小↓</v>
      </c>
      <c r="P82" s="500" t="str">
        <f t="shared" si="13"/>
        <v>↑+2σ突破</v>
      </c>
      <c r="Q82" s="503">
        <f>IF($D82="","",IFERROR(100-100/(1+SUMPRODUCT((終値!E82:R82&gt;終値!F82:S82)*(終値!E82:R82-終値!F82:S82))/SUMPRODUCT((終値!E82:R82&lt;終値!F82:S82)*(終値!F82:S82-終値!E82:R82))),100))</f>
        <v>59.433040078201365</v>
      </c>
      <c r="R82" s="503">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67.002091351235208</v>
      </c>
      <c r="S82" s="500"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弱気div▼</v>
      </c>
      <c r="T82" s="500" t="str">
        <f t="shared" si="14"/>
        <v>上walk▲</v>
      </c>
      <c r="U82" s="500" t="str">
        <f>IF(終値!A82="","",BB_スイング!BT82)</f>
        <v>二番底W▲</v>
      </c>
      <c r="V82" s="508">
        <f>IF($D82="","",IFERROR(出来高!E82/AVERAGE(出来高!E82:I82),""))</f>
        <v>1.3438973417229512</v>
      </c>
      <c r="W82" s="509"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△二番底買(確)</v>
      </c>
      <c r="X82" s="504">
        <f t="shared" si="20"/>
        <v>45</v>
      </c>
      <c r="Y82" s="501">
        <f t="shared" si="15"/>
        <v>1628</v>
      </c>
      <c r="Z82" s="501">
        <f t="shared" si="16"/>
        <v>1559.8833500938556</v>
      </c>
      <c r="AA82" s="501">
        <f t="shared" si="17"/>
        <v>1518.45</v>
      </c>
      <c r="AB82" s="501">
        <f t="shared" si="21"/>
        <v>1642.7500502815667</v>
      </c>
      <c r="AC82" s="507">
        <f t="shared" si="18"/>
        <v>0.13</v>
      </c>
      <c r="AD82" s="501">
        <f>IF($D82="","",MIN(終値!E82:I82))</f>
        <v>1483</v>
      </c>
      <c r="AE82" s="503">
        <f t="shared" si="19"/>
        <v>45.099179999999997</v>
      </c>
    </row>
    <row r="83" spans="1:31">
      <c r="A83" s="500" t="str">
        <f>IF(終値!A83="","",HYPERLINK("https://kabutan.jp/stock/?code="&amp;終値!A83,"📈"))</f>
        <v>📈</v>
      </c>
      <c r="B83" s="500" t="str">
        <f>IF(終値!A83="","",終値!A83)</f>
        <v>1925</v>
      </c>
      <c r="C83" s="499" t="str">
        <f>IF(終値!A83="","",終値!B83)</f>
        <v>大和ハウス</v>
      </c>
      <c r="D83" s="501">
        <f>IF(終値!A83="","",終値!E83)</f>
        <v>4588</v>
      </c>
      <c r="E83" s="501">
        <f>IF($D83="","",AVERAGE(終値!E83:X83))</f>
        <v>4621.5</v>
      </c>
      <c r="F83" s="502">
        <f>IF($D83="","",STDEVP(終値!E83:X83))</f>
        <v>107.07917631360451</v>
      </c>
      <c r="G83" s="501">
        <f>IF($D83="","",$E83+BB設定!$B$4*$F83)</f>
        <v>4835.6583526272088</v>
      </c>
      <c r="H83" s="501">
        <f>IF($D83="","",$E83+BB設定!$B$5*$F83)</f>
        <v>4728.5791763136049</v>
      </c>
      <c r="I83" s="501">
        <f>IF($D83="","",$E83-BB設定!$B$5*$F83)</f>
        <v>4514.4208236863951</v>
      </c>
      <c r="J83" s="501">
        <f>IF($D83="","",$E83-BB設定!$B$4*$F83)</f>
        <v>4407.3416473727912</v>
      </c>
      <c r="K83" s="506">
        <f t="shared" si="11"/>
        <v>0.42178684700121327</v>
      </c>
      <c r="L83" s="505">
        <f t="shared" si="12"/>
        <v>9.2679152927494908</v>
      </c>
      <c r="M83" s="505">
        <f>IF($D83="","",IFERROR(MIN(BB_帯幅!B83:AP83)*100,""))</f>
        <v>5.8814458015303641</v>
      </c>
      <c r="N83" s="500" t="str">
        <f>IF($L83="","",IF($L83&lt;=$M83*BB設定!$B$7,"スクイーズ★",IF($L83&lt;=$M83*1.3,"収縮","－")))</f>
        <v>－</v>
      </c>
      <c r="O83" s="500" t="str">
        <f>IF($D83="","",IF(AND(BB_帯幅!B83&gt;BB_帯幅!C83,BB_帯幅!C83&gt;BB_帯幅!D83),"拡大↑","縮小↓"))</f>
        <v>縮小↓</v>
      </c>
      <c r="P83" s="500" t="str">
        <f t="shared" si="13"/>
        <v>バンド内</v>
      </c>
      <c r="Q83" s="503">
        <f>IF($D83="","",IFERROR(100-100/(1+SUMPRODUCT((終値!E83:R83&gt;終値!F83:S83)*(終値!E83:R83-終値!F83:S83))/SUMPRODUCT((終値!E83:R83&lt;終値!F83:S83)*(終値!F83:S83-終値!E83:R83))),100))</f>
        <v>49.376299376299372</v>
      </c>
      <c r="R83" s="503">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51.850518583093312</v>
      </c>
      <c r="S83" s="500"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0" t="str">
        <f t="shared" si="14"/>
        <v>－</v>
      </c>
      <c r="U83" s="500" t="str">
        <f>IF(終値!A83="","",BB_スイング!BT83)</f>
        <v>二番底W形成</v>
      </c>
      <c r="V83" s="508">
        <f>IF($D83="","",IFERROR(出来高!E83/AVERAGE(出来高!E83:I83),""))</f>
        <v>1.0414293910615959</v>
      </c>
      <c r="W83" s="509"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△二番底形成</v>
      </c>
      <c r="X83" s="504">
        <f t="shared" si="20"/>
        <v>0</v>
      </c>
      <c r="Y83" s="501">
        <f t="shared" si="15"/>
        <v>4588</v>
      </c>
      <c r="Z83" s="501">
        <f t="shared" si="16"/>
        <v>4728.5791763136049</v>
      </c>
      <c r="AA83" s="501">
        <f t="shared" si="17"/>
        <v>4513</v>
      </c>
      <c r="AB83" s="501">
        <f t="shared" si="21"/>
        <v>4835.6583526272088</v>
      </c>
      <c r="AC83" s="507">
        <f t="shared" si="18"/>
        <v>3.3</v>
      </c>
      <c r="AD83" s="501">
        <f>IF($D83="","",MIN(終値!E83:I83))</f>
        <v>4513</v>
      </c>
      <c r="AE83" s="503">
        <f t="shared" si="19"/>
        <v>9.9169999999999994E-2</v>
      </c>
    </row>
    <row r="84" spans="1:31" ht="24">
      <c r="A84" s="500" t="str">
        <f>IF(終値!A84="","",HYPERLINK("https://kabutan.jp/stock/?code="&amp;終値!A84,"📈"))</f>
        <v>📈</v>
      </c>
      <c r="B84" s="500" t="str">
        <f>IF(終値!A84="","",終値!A84)</f>
        <v>5411</v>
      </c>
      <c r="C84" s="499" t="str">
        <f>IF(終値!A84="","",終値!B84)</f>
        <v>ＪＦＥホールディングス</v>
      </c>
      <c r="D84" s="501">
        <f>IF(終値!A84="","",終値!E84)</f>
        <v>1858.5</v>
      </c>
      <c r="E84" s="501">
        <f>IF($D84="","",AVERAGE(終値!E84:X84))</f>
        <v>1745.375</v>
      </c>
      <c r="F84" s="502">
        <f>IF($D84="","",STDEVP(終値!E84:X84))</f>
        <v>82.501647710818474</v>
      </c>
      <c r="G84" s="501">
        <f>IF($D84="","",$E84+BB設定!$B$4*$F84)</f>
        <v>1910.3782954216369</v>
      </c>
      <c r="H84" s="501">
        <f>IF($D84="","",$E84+BB設定!$B$5*$F84)</f>
        <v>1827.8766477108184</v>
      </c>
      <c r="I84" s="501">
        <f>IF($D84="","",$E84-BB設定!$B$5*$F84)</f>
        <v>1662.8733522891816</v>
      </c>
      <c r="J84" s="501">
        <f>IF($D84="","",$E84-BB設定!$B$4*$F84)</f>
        <v>1580.3717045783631</v>
      </c>
      <c r="K84" s="506">
        <f t="shared" si="11"/>
        <v>0.84279618389114264</v>
      </c>
      <c r="L84" s="505">
        <f t="shared" si="12"/>
        <v>18.907489269828769</v>
      </c>
      <c r="M84" s="505">
        <f>IF($D84="","",IFERROR(MIN(BB_帯幅!B84:AP84)*100,""))</f>
        <v>8.1409712881682594</v>
      </c>
      <c r="N84" s="500" t="str">
        <f>IF($L84="","",IF($L84&lt;=$M84*BB設定!$B$7,"スクイーズ★",IF($L84&lt;=$M84*1.3,"収縮","－")))</f>
        <v>－</v>
      </c>
      <c r="O84" s="500" t="str">
        <f>IF($D84="","",IF(AND(BB_帯幅!B84&gt;BB_帯幅!C84,BB_帯幅!C84&gt;BB_帯幅!D84),"拡大↑","縮小↓"))</f>
        <v>拡大↑</v>
      </c>
      <c r="P84" s="500" t="str">
        <f t="shared" si="13"/>
        <v>+1σ上</v>
      </c>
      <c r="Q84" s="503">
        <f>IF($D84="","",IFERROR(100-100/(1+SUMPRODUCT((終値!E84:R84&gt;終値!F84:S84)*(終値!E84:R84-終値!F84:S84))/SUMPRODUCT((終値!E84:R84&lt;終値!F84:S84)*(終値!F84:S84-終値!E84:R84))),100))</f>
        <v>72.465581977471842</v>
      </c>
      <c r="R84" s="503">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63.483647035484765</v>
      </c>
      <c r="S84" s="500"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弱気div▼</v>
      </c>
      <c r="T84" s="500" t="str">
        <f t="shared" si="14"/>
        <v>上walk▲</v>
      </c>
      <c r="U84" s="500" t="str">
        <f>IF(終値!A84="","",BB_スイング!BT84)</f>
        <v>二番底W形成</v>
      </c>
      <c r="V84" s="508">
        <f>IF($D84="","",IFERROR(出来高!E84/AVERAGE(出来高!E84:I84),""))</f>
        <v>0.92899505557733408</v>
      </c>
      <c r="W84" s="509"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△二番底形成</v>
      </c>
      <c r="X84" s="504">
        <f t="shared" si="20"/>
        <v>40</v>
      </c>
      <c r="Y84" s="501">
        <f t="shared" si="15"/>
        <v>1858.5</v>
      </c>
      <c r="Z84" s="501">
        <f t="shared" si="16"/>
        <v>1827.8766477108184</v>
      </c>
      <c r="AA84" s="501">
        <f t="shared" si="17"/>
        <v>1745.375</v>
      </c>
      <c r="AB84" s="501">
        <f t="shared" si="21"/>
        <v>1910.3782954216369</v>
      </c>
      <c r="AC84" s="507">
        <f t="shared" si="18"/>
        <v>0.46</v>
      </c>
      <c r="AD84" s="501">
        <f>IF($D84="","",MIN(終値!E84:I84))</f>
        <v>1794</v>
      </c>
      <c r="AE84" s="503">
        <f t="shared" si="19"/>
        <v>40.099159999999998</v>
      </c>
    </row>
    <row r="85" spans="1:31">
      <c r="A85" s="500" t="str">
        <f>IF(終値!A85="","",HYPERLINK("https://kabutan.jp/stock/?code="&amp;終値!A85,"📈"))</f>
        <v>📈</v>
      </c>
      <c r="B85" s="500" t="str">
        <f>IF(終値!A85="","",終値!A85)</f>
        <v>7182</v>
      </c>
      <c r="C85" s="499" t="str">
        <f>IF(終値!A85="","",終値!B85)</f>
        <v>ゆうちょ銀行</v>
      </c>
      <c r="D85" s="501">
        <f>IF(終値!A85="","",終値!E85)</f>
        <v>3232</v>
      </c>
      <c r="E85" s="501">
        <f>IF($D85="","",AVERAGE(終値!E85:X85))</f>
        <v>3266.75</v>
      </c>
      <c r="F85" s="502">
        <f>IF($D85="","",STDEVP(終値!E85:X85))</f>
        <v>112.66626602492869</v>
      </c>
      <c r="G85" s="501">
        <f>IF($D85="","",$E85+BB設定!$B$4*$F85)</f>
        <v>3492.0825320498575</v>
      </c>
      <c r="H85" s="501">
        <f>IF($D85="","",$E85+BB設定!$B$5*$F85)</f>
        <v>3379.4162660249285</v>
      </c>
      <c r="I85" s="501">
        <f>IF($D85="","",$E85-BB設定!$B$5*$F85)</f>
        <v>3154.0837339750715</v>
      </c>
      <c r="J85" s="501">
        <f>IF($D85="","",$E85-BB設定!$B$4*$F85)</f>
        <v>3041.4174679501425</v>
      </c>
      <c r="K85" s="506">
        <f t="shared" si="11"/>
        <v>0.42289173763797422</v>
      </c>
      <c r="L85" s="505">
        <f t="shared" si="12"/>
        <v>13.795517382711104</v>
      </c>
      <c r="M85" s="505">
        <f>IF($D85="","",IFERROR(MIN(BB_帯幅!B85:AP85)*100,""))</f>
        <v>8.6642428869448267</v>
      </c>
      <c r="N85" s="500" t="str">
        <f>IF($L85="","",IF($L85&lt;=$M85*BB設定!$B$7,"スクイーズ★",IF($L85&lt;=$M85*1.3,"収縮","－")))</f>
        <v>－</v>
      </c>
      <c r="O85" s="500" t="str">
        <f>IF($D85="","",IF(AND(BB_帯幅!B85&gt;BB_帯幅!C85,BB_帯幅!C85&gt;BB_帯幅!D85),"拡大↑","縮小↓"))</f>
        <v>拡大↑</v>
      </c>
      <c r="P85" s="500" t="str">
        <f t="shared" si="13"/>
        <v>バンド内</v>
      </c>
      <c r="Q85" s="503">
        <f>IF($D85="","",IFERROR(100-100/(1+SUMPRODUCT((終値!E85:R85&gt;終値!F85:S85)*(終値!E85:R85-終値!F85:S85))/SUMPRODUCT((終値!E85:R85&lt;終値!F85:S85)*(終値!F85:S85-終値!E85:R85))),100))</f>
        <v>44.135188866799204</v>
      </c>
      <c r="R85" s="503">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40.118279293443969</v>
      </c>
      <c r="S85" s="500"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0" t="str">
        <f t="shared" si="14"/>
        <v>－</v>
      </c>
      <c r="U85" s="500" t="str">
        <f>IF(終値!A85="","",BB_スイング!BT85)</f>
        <v>二番底W形成</v>
      </c>
      <c r="V85" s="508">
        <f>IF($D85="","",IFERROR(出来高!E85/AVERAGE(出来高!E85:I85),""))</f>
        <v>0.71427205812063854</v>
      </c>
      <c r="W85" s="509"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4">
        <f t="shared" si="20"/>
        <v>5</v>
      </c>
      <c r="Y85" s="501">
        <f t="shared" si="15"/>
        <v>3232</v>
      </c>
      <c r="Z85" s="501">
        <f t="shared" si="16"/>
        <v>3379.4162660249285</v>
      </c>
      <c r="AA85" s="501">
        <f t="shared" si="17"/>
        <v>3095</v>
      </c>
      <c r="AB85" s="501">
        <f t="shared" si="21"/>
        <v>3492.0825320498575</v>
      </c>
      <c r="AC85" s="507">
        <f t="shared" si="18"/>
        <v>1.9</v>
      </c>
      <c r="AD85" s="501">
        <f>IF($D85="","",MIN(終値!E85:I85))</f>
        <v>3095</v>
      </c>
      <c r="AE85" s="503">
        <f t="shared" si="19"/>
        <v>5.0991499999999998</v>
      </c>
    </row>
    <row r="86" spans="1:31" ht="24">
      <c r="A86" s="500" t="str">
        <f>IF(終値!A86="","",HYPERLINK("https://kabutan.jp/stock/?code="&amp;終値!A86,"📈"))</f>
        <v>📈</v>
      </c>
      <c r="B86" s="500" t="str">
        <f>IF(終値!A86="","",終値!A86)</f>
        <v>1963</v>
      </c>
      <c r="C86" s="499" t="str">
        <f>IF(終値!A86="","",終値!B86)</f>
        <v>日揮ホールディングス</v>
      </c>
      <c r="D86" s="501">
        <f>IF(終値!A86="","",終値!E86)</f>
        <v>2306</v>
      </c>
      <c r="E86" s="501">
        <f>IF($D86="","",AVERAGE(終値!E86:X86))</f>
        <v>2293.2631578947367</v>
      </c>
      <c r="F86" s="502">
        <f>IF($D86="","",STDEVP(終値!E86:X86))</f>
        <v>43.006844137407711</v>
      </c>
      <c r="G86" s="501">
        <f>IF($D86="","",$E86+BB設定!$B$4*$F86)</f>
        <v>2379.2768461695523</v>
      </c>
      <c r="H86" s="501">
        <f>IF($D86="","",$E86+BB設定!$B$5*$F86)</f>
        <v>2336.2700020321445</v>
      </c>
      <c r="I86" s="501">
        <f>IF($D86="","",$E86-BB設定!$B$5*$F86)</f>
        <v>2250.2563137573288</v>
      </c>
      <c r="J86" s="501">
        <f>IF($D86="","",$E86-BB設定!$B$4*$F86)</f>
        <v>2207.249469619921</v>
      </c>
      <c r="K86" s="506">
        <f t="shared" si="11"/>
        <v>0.57403962299912581</v>
      </c>
      <c r="L86" s="505">
        <f t="shared" si="12"/>
        <v>7.5014232866129511</v>
      </c>
      <c r="M86" s="505">
        <f>IF($D86="","",IFERROR(MIN(BB_帯幅!B86:AP86)*100,""))</f>
        <v>7.5014232866129307</v>
      </c>
      <c r="N86" s="500" t="str">
        <f>IF($L86="","",IF($L86&lt;=$M86*BB設定!$B$7,"スクイーズ★",IF($L86&lt;=$M86*1.3,"収縮","－")))</f>
        <v>スクイーズ★</v>
      </c>
      <c r="O86" s="500" t="str">
        <f>IF($D86="","",IF(AND(BB_帯幅!B86&gt;BB_帯幅!C86,BB_帯幅!C86&gt;BB_帯幅!D86),"拡大↑","縮小↓"))</f>
        <v>縮小↓</v>
      </c>
      <c r="P86" s="500" t="str">
        <f t="shared" si="13"/>
        <v>バンド内</v>
      </c>
      <c r="Q86" s="503">
        <f>IF($D86="","",IFERROR(100-100/(1+SUMPRODUCT((終値!E86:R86&gt;終値!F86:S86)*(終値!E86:R86-終値!F86:S86))/SUMPRODUCT((終値!E86:R86&lt;終値!F86:S86)*(終値!F86:S86-終値!E86:R86))),100))</f>
        <v>49.817061428846522</v>
      </c>
      <c r="R86" s="503">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48.678191548263058</v>
      </c>
      <c r="S86" s="500"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0" t="str">
        <f t="shared" si="14"/>
        <v>－</v>
      </c>
      <c r="U86" s="500" t="str">
        <f>IF(終値!A86="","",BB_スイング!BT86)</f>
        <v>二番底W形成</v>
      </c>
      <c r="V86" s="508">
        <f>IF($D86="","",IFERROR(出来高!E86/AVERAGE(出来高!E86:I86),""))</f>
        <v>0.73198181299800424</v>
      </c>
      <c r="W86" s="509"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○反発(ダイバ)買</v>
      </c>
      <c r="X86" s="504">
        <f t="shared" si="20"/>
        <v>45</v>
      </c>
      <c r="Y86" s="501">
        <f t="shared" si="15"/>
        <v>2306</v>
      </c>
      <c r="Z86" s="501">
        <f t="shared" si="16"/>
        <v>2336.2700020321445</v>
      </c>
      <c r="AA86" s="501">
        <f t="shared" si="17"/>
        <v>2293.2631578947367</v>
      </c>
      <c r="AB86" s="501">
        <f t="shared" si="21"/>
        <v>2379.2768461695523</v>
      </c>
      <c r="AC86" s="507">
        <f t="shared" si="18"/>
        <v>5.75</v>
      </c>
      <c r="AD86" s="501">
        <f>IF($D86="","",MIN(終値!E86:I86))</f>
        <v>2259.5</v>
      </c>
      <c r="AE86" s="503">
        <f t="shared" si="19"/>
        <v>45.099139999999998</v>
      </c>
    </row>
    <row r="87" spans="1:31">
      <c r="A87" s="500" t="str">
        <f>IF(終値!A87="","",HYPERLINK("https://kabutan.jp/stock/?code="&amp;終値!A87,"📈"))</f>
        <v>📈</v>
      </c>
      <c r="B87" s="500" t="str">
        <f>IF(終値!A87="","",終値!A87)</f>
        <v>2914</v>
      </c>
      <c r="C87" s="499" t="str">
        <f>IF(終値!A87="","",終値!B87)</f>
        <v>日本たばこ産業</v>
      </c>
      <c r="D87" s="501">
        <f>IF(終値!A87="","",終値!E87)</f>
        <v>7030</v>
      </c>
      <c r="E87" s="501">
        <f>IF($D87="","",AVERAGE(終値!E87:X87))</f>
        <v>6515.95</v>
      </c>
      <c r="F87" s="502">
        <f>IF($D87="","",STDEVP(終値!E87:X87))</f>
        <v>324.10252621662795</v>
      </c>
      <c r="G87" s="501">
        <f>IF($D87="","",$E87+BB設定!$B$4*$F87)</f>
        <v>7164.1550524332561</v>
      </c>
      <c r="H87" s="501">
        <f>IF($D87="","",$E87+BB設定!$B$5*$F87)</f>
        <v>6840.0525262166275</v>
      </c>
      <c r="I87" s="501">
        <f>IF($D87="","",$E87-BB設定!$B$5*$F87)</f>
        <v>6191.8474737833722</v>
      </c>
      <c r="J87" s="501">
        <f>IF($D87="","",$E87-BB設定!$B$4*$F87)</f>
        <v>5867.7449475667436</v>
      </c>
      <c r="K87" s="506">
        <f t="shared" si="11"/>
        <v>0.89651804476865782</v>
      </c>
      <c r="L87" s="505">
        <f t="shared" si="12"/>
        <v>19.89594924556684</v>
      </c>
      <c r="M87" s="505">
        <f>IF($D87="","",IFERROR(MIN(BB_帯幅!B87:AP87)*100,""))</f>
        <v>5.0040049575081795</v>
      </c>
      <c r="N87" s="500" t="str">
        <f>IF($L87="","",IF($L87&lt;=$M87*BB設定!$B$7,"スクイーズ★",IF($L87&lt;=$M87*1.3,"収縮","－")))</f>
        <v>－</v>
      </c>
      <c r="O87" s="500" t="str">
        <f>IF($D87="","",IF(AND(BB_帯幅!B87&gt;BB_帯幅!C87,BB_帯幅!C87&gt;BB_帯幅!D87),"拡大↑","縮小↓"))</f>
        <v>拡大↑</v>
      </c>
      <c r="P87" s="500" t="str">
        <f t="shared" si="13"/>
        <v>+1σ上</v>
      </c>
      <c r="Q87" s="503">
        <f>IF($D87="","",IFERROR(100-100/(1+SUMPRODUCT((終値!E87:R87&gt;終値!F87:S87)*(終値!E87:R87-終値!F87:S87))/SUMPRODUCT((終値!E87:R87&lt;終値!F87:S87)*(終値!F87:S87-終値!E87:R87))),100))</f>
        <v>73.445463812436287</v>
      </c>
      <c r="R87" s="503">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73.940296601262332</v>
      </c>
      <c r="S87" s="500"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0" t="str">
        <f t="shared" si="14"/>
        <v>上walk▲</v>
      </c>
      <c r="U87" s="500" t="str">
        <f>IF(終値!A87="","",BB_スイング!BT87)</f>
        <v>－</v>
      </c>
      <c r="V87" s="508">
        <f>IF($D87="","",IFERROR(出来高!E87/AVERAGE(出来高!E87:I87),""))</f>
        <v>0.75365331513139522</v>
      </c>
      <c r="W87" s="509"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様子見</v>
      </c>
      <c r="X87" s="504">
        <f t="shared" si="20"/>
        <v>40</v>
      </c>
      <c r="Y87" s="501">
        <f t="shared" si="15"/>
        <v>7030</v>
      </c>
      <c r="Z87" s="501">
        <f t="shared" si="16"/>
        <v>6840.0525262166275</v>
      </c>
      <c r="AA87" s="501">
        <f t="shared" si="17"/>
        <v>6515.95</v>
      </c>
      <c r="AB87" s="501">
        <f t="shared" si="21"/>
        <v>7164.1550524332561</v>
      </c>
      <c r="AC87" s="507">
        <f t="shared" si="18"/>
        <v>0.26</v>
      </c>
      <c r="AD87" s="501">
        <f>IF($D87="","",MIN(終値!E87:I87))</f>
        <v>6819</v>
      </c>
      <c r="AE87" s="503">
        <f t="shared" si="19"/>
        <v>40.099130000000002</v>
      </c>
    </row>
    <row r="88" spans="1:31">
      <c r="A88" s="500" t="str">
        <f>IF(終値!A88="","",HYPERLINK("https://kabutan.jp/stock/?code="&amp;終値!A88,"📈"))</f>
        <v>📈</v>
      </c>
      <c r="B88" s="500" t="str">
        <f>IF(終値!A88="","",終値!A88)</f>
        <v>3003</v>
      </c>
      <c r="C88" s="499" t="str">
        <f>IF(終値!A88="","",終値!B88)</f>
        <v>ヒューリック</v>
      </c>
      <c r="D88" s="501">
        <f>IF(終値!A88="","",終値!E88)</f>
        <v>1722.5</v>
      </c>
      <c r="E88" s="501">
        <f>IF($D88="","",AVERAGE(終値!E88:X88))</f>
        <v>1780.85</v>
      </c>
      <c r="F88" s="502">
        <f>IF($D88="","",STDEVP(終値!E88:X88))</f>
        <v>47.193246338856575</v>
      </c>
      <c r="G88" s="501">
        <f>IF($D88="","",$E88+BB設定!$B$4*$F88)</f>
        <v>1875.2364926777132</v>
      </c>
      <c r="H88" s="501">
        <f>IF($D88="","",$E88+BB設定!$B$5*$F88)</f>
        <v>1828.0432463388565</v>
      </c>
      <c r="I88" s="501">
        <f>IF($D88="","",$E88-BB設定!$B$5*$F88)</f>
        <v>1733.6567536611433</v>
      </c>
      <c r="J88" s="501">
        <f>IF($D88="","",$E88-BB設定!$B$4*$F88)</f>
        <v>1686.4635073222867</v>
      </c>
      <c r="K88" s="506">
        <f t="shared" si="11"/>
        <v>0.1908985685100171</v>
      </c>
      <c r="L88" s="505">
        <f t="shared" si="12"/>
        <v>10.600162021249769</v>
      </c>
      <c r="M88" s="505">
        <f>IF($D88="","",IFERROR(MIN(BB_帯幅!B88:AP88)*100,""))</f>
        <v>4.9897722879686421</v>
      </c>
      <c r="N88" s="500" t="str">
        <f>IF($L88="","",IF($L88&lt;=$M88*BB設定!$B$7,"スクイーズ★",IF($L88&lt;=$M88*1.3,"収縮","－")))</f>
        <v>－</v>
      </c>
      <c r="O88" s="500" t="str">
        <f>IF($D88="","",IF(AND(BB_帯幅!B88&gt;BB_帯幅!C88,BB_帯幅!C88&gt;BB_帯幅!D88),"拡大↑","縮小↓"))</f>
        <v>拡大↑</v>
      </c>
      <c r="P88" s="500" t="str">
        <f t="shared" si="13"/>
        <v>-1σ下</v>
      </c>
      <c r="Q88" s="503">
        <f>IF($D88="","",IFERROR(100-100/(1+SUMPRODUCT((終値!E88:R88&gt;終値!F88:S88)*(終値!E88:R88-終値!F88:S88))/SUMPRODUCT((終値!E88:R88&lt;終値!F88:S88)*(終値!F88:S88-終値!E88:R88))),100))</f>
        <v>43.000000000000007</v>
      </c>
      <c r="R88" s="503">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47.753629250811365</v>
      </c>
      <c r="S88" s="500"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v>
      </c>
      <c r="T88" s="500" t="str">
        <f t="shared" si="14"/>
        <v>下walk▼</v>
      </c>
      <c r="U88" s="500" t="str">
        <f>IF(終値!A88="","",BB_スイング!BT88)</f>
        <v>二番天井M▼</v>
      </c>
      <c r="V88" s="508">
        <f>IF($D88="","",IFERROR(出来高!E88/AVERAGE(出来高!E88:I88),""))</f>
        <v>0.74561662049135768</v>
      </c>
      <c r="W88" s="509"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▼二番天井警戒</v>
      </c>
      <c r="X88" s="504">
        <f t="shared" si="20"/>
        <v>0</v>
      </c>
      <c r="Y88" s="501">
        <f t="shared" si="15"/>
        <v>1722.5</v>
      </c>
      <c r="Z88" s="501">
        <f t="shared" si="16"/>
        <v>1828.0432463388565</v>
      </c>
      <c r="AA88" s="501">
        <f t="shared" si="17"/>
        <v>1710</v>
      </c>
      <c r="AB88" s="501">
        <f t="shared" si="21"/>
        <v>1875.2364926777132</v>
      </c>
      <c r="AC88" s="507">
        <f t="shared" si="18"/>
        <v>12.22</v>
      </c>
      <c r="AD88" s="501">
        <f>IF($D88="","",MIN(終値!E88:I88))</f>
        <v>1710</v>
      </c>
      <c r="AE88" s="503">
        <f t="shared" si="19"/>
        <v>9.912E-2</v>
      </c>
    </row>
    <row r="89" spans="1:31">
      <c r="A89" s="500" t="str">
        <f>IF(終値!A89="","",HYPERLINK("https://kabutan.jp/stock/?code="&amp;終値!A89,"📈"))</f>
        <v>📈</v>
      </c>
      <c r="B89" s="500" t="str">
        <f>IF(終値!A89="","",終値!A89)</f>
        <v>5892</v>
      </c>
      <c r="C89" s="499" t="str">
        <f>IF(終値!A89="","",終値!B89)</f>
        <v>ＹＵＴＯＲＩ</v>
      </c>
      <c r="D89" s="501">
        <f>IF(終値!A89="","",終値!E89)</f>
        <v>2226</v>
      </c>
      <c r="E89" s="501">
        <f>IF($D89="","",AVERAGE(終値!E89:X89))</f>
        <v>2073.6</v>
      </c>
      <c r="F89" s="502">
        <f>IF($D89="","",STDEVP(終値!E89:X89))</f>
        <v>67.620559003900581</v>
      </c>
      <c r="G89" s="501">
        <f>IF($D89="","",$E89+BB設定!$B$4*$F89)</f>
        <v>2208.841118007801</v>
      </c>
      <c r="H89" s="501">
        <f>IF($D89="","",$E89+BB設定!$B$5*$F89)</f>
        <v>2141.2205590039007</v>
      </c>
      <c r="I89" s="501">
        <f>IF($D89="","",$E89-BB設定!$B$5*$F89)</f>
        <v>2005.9794409960994</v>
      </c>
      <c r="J89" s="501">
        <f>IF($D89="","",$E89-BB設定!$B$4*$F89)</f>
        <v>1938.3588819921988</v>
      </c>
      <c r="K89" s="506">
        <f t="shared" si="11"/>
        <v>1.0634381105575053</v>
      </c>
      <c r="L89" s="505">
        <f t="shared" si="12"/>
        <v>13.044089314024026</v>
      </c>
      <c r="M89" s="505">
        <f>IF($D89="","",IFERROR(MIN(BB_帯幅!B89:AP89)*100,""))</f>
        <v>7.3901216004219101</v>
      </c>
      <c r="N89" s="500" t="str">
        <f>IF($L89="","",IF($L89&lt;=$M89*BB設定!$B$7,"スクイーズ★",IF($L89&lt;=$M89*1.3,"収縮","－")))</f>
        <v>－</v>
      </c>
      <c r="O89" s="500" t="str">
        <f>IF($D89="","",IF(AND(BB_帯幅!B89&gt;BB_帯幅!C89,BB_帯幅!C89&gt;BB_帯幅!D89),"拡大↑","縮小↓"))</f>
        <v>拡大↑</v>
      </c>
      <c r="P89" s="500" t="str">
        <f t="shared" si="13"/>
        <v>↑+2σ突破</v>
      </c>
      <c r="Q89" s="503">
        <f>IF($D89="","",IFERROR(100-100/(1+SUMPRODUCT((終値!E89:R89&gt;終値!F89:S89)*(終値!E89:R89-終値!F89:S89))/SUMPRODUCT((終値!E89:R89&lt;終値!F89:S89)*(終値!F89:S89-終値!E89:R89))),100))</f>
        <v>63.380281690140848</v>
      </c>
      <c r="R89" s="503">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51.238155409037645</v>
      </c>
      <c r="S89" s="500"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v>
      </c>
      <c r="T89" s="500" t="str">
        <f t="shared" si="14"/>
        <v>上walk▲</v>
      </c>
      <c r="U89" s="500" t="str">
        <f>IF(終値!A89="","",BB_スイング!BT89)</f>
        <v>二番底W▲</v>
      </c>
      <c r="V89" s="508">
        <f>IF($D89="","",IFERROR(出来高!E89/AVERAGE(出来高!E89:I89),""))</f>
        <v>0.83433014354066981</v>
      </c>
      <c r="W89" s="509"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4">
        <f t="shared" si="20"/>
        <v>50</v>
      </c>
      <c r="Y89" s="501">
        <f t="shared" si="15"/>
        <v>2226</v>
      </c>
      <c r="Z89" s="501">
        <f t="shared" si="16"/>
        <v>2141.2205590039007</v>
      </c>
      <c r="AA89" s="501">
        <f t="shared" si="17"/>
        <v>2073.6</v>
      </c>
      <c r="AB89" s="501">
        <f t="shared" si="21"/>
        <v>2276.4616770117018</v>
      </c>
      <c r="AC89" s="507">
        <f t="shared" si="18"/>
        <v>0.33</v>
      </c>
      <c r="AD89" s="501">
        <f>IF($D89="","",MIN(終値!E89:I89))</f>
        <v>2117</v>
      </c>
      <c r="AE89" s="503">
        <f t="shared" si="19"/>
        <v>50.099110000000003</v>
      </c>
    </row>
    <row r="90" spans="1:31">
      <c r="A90" s="500" t="str">
        <f>IF(終値!A90="","",HYPERLINK("https://kabutan.jp/stock/?code="&amp;終値!A90,"📈"))</f>
        <v>📈</v>
      </c>
      <c r="B90" s="500" t="str">
        <f>IF(終値!A90="","",終値!A90)</f>
        <v>6323</v>
      </c>
      <c r="C90" s="499" t="str">
        <f>IF(終値!A90="","",終値!B90)</f>
        <v>ローツェ</v>
      </c>
      <c r="D90" s="501">
        <f>IF(終値!A90="","",終値!E90)</f>
        <v>4165</v>
      </c>
      <c r="E90" s="501">
        <f>IF($D90="","",AVERAGE(終値!E90:X90))</f>
        <v>4304.55</v>
      </c>
      <c r="F90" s="502">
        <f>IF($D90="","",STDEVP(終値!E90:X90))</f>
        <v>389.41937227107741</v>
      </c>
      <c r="G90" s="501">
        <f>IF($D90="","",$E90+BB設定!$B$4*$F90)</f>
        <v>5083.3887445421551</v>
      </c>
      <c r="H90" s="501">
        <f>IF($D90="","",$E90+BB設定!$B$5*$F90)</f>
        <v>4693.9693722710772</v>
      </c>
      <c r="I90" s="501">
        <f>IF($D90="","",$E90-BB設定!$B$5*$F90)</f>
        <v>3915.1306277289227</v>
      </c>
      <c r="J90" s="501">
        <f>IF($D90="","",$E90-BB設定!$B$4*$F90)</f>
        <v>3525.7112554578453</v>
      </c>
      <c r="K90" s="506">
        <f t="shared" si="11"/>
        <v>0.41041149340738337</v>
      </c>
      <c r="L90" s="505">
        <f t="shared" si="12"/>
        <v>36.18676723662891</v>
      </c>
      <c r="M90" s="505">
        <f>IF($D90="","",IFERROR(MIN(BB_帯幅!B90:AP90)*100,""))</f>
        <v>17.208044690819879</v>
      </c>
      <c r="N90" s="500" t="str">
        <f>IF($L90="","",IF($L90&lt;=$M90*BB設定!$B$7,"スクイーズ★",IF($L90&lt;=$M90*1.3,"収縮","－")))</f>
        <v>－</v>
      </c>
      <c r="O90" s="500" t="str">
        <f>IF($D90="","",IF(AND(BB_帯幅!B90&gt;BB_帯幅!C90,BB_帯幅!C90&gt;BB_帯幅!D90),"拡大↑","縮小↓"))</f>
        <v>縮小↓</v>
      </c>
      <c r="P90" s="500" t="str">
        <f t="shared" si="13"/>
        <v>バンド内</v>
      </c>
      <c r="Q90" s="503">
        <f>IF($D90="","",IFERROR(100-100/(1+SUMPRODUCT((終値!E90:R90&gt;終値!F90:S90)*(終値!E90:R90-終値!F90:S90))/SUMPRODUCT((終値!E90:R90&lt;終値!F90:S90)*(終値!F90:S90-終値!E90:R90))),100))</f>
        <v>39.673770060510385</v>
      </c>
      <c r="R90" s="503">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48.262926086308717</v>
      </c>
      <c r="S90" s="500"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0" t="str">
        <f t="shared" si="14"/>
        <v>－</v>
      </c>
      <c r="U90" s="500" t="str">
        <f>IF(終値!A90="","",BB_スイング!BT90)</f>
        <v>－</v>
      </c>
      <c r="V90" s="508">
        <f>IF($D90="","",IFERROR(出来高!E90/AVERAGE(出来高!E90:I90),""))</f>
        <v>0.5882248531212837</v>
      </c>
      <c r="W90" s="509"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様子見</v>
      </c>
      <c r="X90" s="504">
        <f t="shared" si="20"/>
        <v>0</v>
      </c>
      <c r="Y90" s="501">
        <f t="shared" si="15"/>
        <v>4165</v>
      </c>
      <c r="Z90" s="501">
        <f t="shared" si="16"/>
        <v>4693.9693722710772</v>
      </c>
      <c r="AA90" s="501">
        <f t="shared" si="17"/>
        <v>3975</v>
      </c>
      <c r="AB90" s="501">
        <f t="shared" si="21"/>
        <v>5083.3887445421551</v>
      </c>
      <c r="AC90" s="507">
        <f t="shared" si="18"/>
        <v>4.83</v>
      </c>
      <c r="AD90" s="501">
        <f>IF($D90="","",MIN(終値!E90:I90))</f>
        <v>3975</v>
      </c>
      <c r="AE90" s="503">
        <f t="shared" si="19"/>
        <v>9.9099999999999994E-2</v>
      </c>
    </row>
    <row r="91" spans="1:31">
      <c r="A91" s="500" t="str">
        <f>IF(終値!A91="","",HYPERLINK("https://kabutan.jp/stock/?code="&amp;終値!A91,"📈"))</f>
        <v>📈</v>
      </c>
      <c r="B91" s="500" t="str">
        <f>IF(終値!A91="","",終値!A91)</f>
        <v>6501</v>
      </c>
      <c r="C91" s="499" t="str">
        <f>IF(終値!A91="","",終値!B91)</f>
        <v>日立</v>
      </c>
      <c r="D91" s="501">
        <f>IF(終値!A91="","",終値!E91)</f>
        <v>5500</v>
      </c>
      <c r="E91" s="501">
        <f>IF($D91="","",AVERAGE(終値!E91:X91))</f>
        <v>4982.55</v>
      </c>
      <c r="F91" s="502">
        <f>IF($D91="","",STDEVP(終値!E91:X91))</f>
        <v>268.82754230175152</v>
      </c>
      <c r="G91" s="501">
        <f>IF($D91="","",$E91+BB設定!$B$4*$F91)</f>
        <v>5520.2050846035036</v>
      </c>
      <c r="H91" s="501">
        <f>IF($D91="","",$E91+BB設定!$B$5*$F91)</f>
        <v>5251.3775423017514</v>
      </c>
      <c r="I91" s="501">
        <f>IF($D91="","",$E91-BB設定!$B$5*$F91)</f>
        <v>4713.7224576982489</v>
      </c>
      <c r="J91" s="501">
        <f>IF($D91="","",$E91-BB設定!$B$4*$F91)</f>
        <v>4444.8949153964968</v>
      </c>
      <c r="K91" s="506">
        <f t="shared" si="11"/>
        <v>0.98120999393281672</v>
      </c>
      <c r="L91" s="505">
        <f t="shared" si="12"/>
        <v>21.581522899057845</v>
      </c>
      <c r="M91" s="505">
        <f>IF($D91="","",IFERROR(MIN(BB_帯幅!B91:AP91)*100,""))</f>
        <v>11.097297179231321</v>
      </c>
      <c r="N91" s="500" t="str">
        <f>IF($L91="","",IF($L91&lt;=$M91*BB設定!$B$7,"スクイーズ★",IF($L91&lt;=$M91*1.3,"収縮","－")))</f>
        <v>－</v>
      </c>
      <c r="O91" s="500" t="str">
        <f>IF($D91="","",IF(AND(BB_帯幅!B91&gt;BB_帯幅!C91,BB_帯幅!C91&gt;BB_帯幅!D91),"拡大↑","縮小↓"))</f>
        <v>拡大↑</v>
      </c>
      <c r="P91" s="500" t="str">
        <f t="shared" si="13"/>
        <v>+1σ上</v>
      </c>
      <c r="Q91" s="503">
        <f>IF($D91="","",IFERROR(100-100/(1+SUMPRODUCT((終値!E91:R91&gt;終値!F91:S91)*(終値!E91:R91-終値!F91:S91))/SUMPRODUCT((終値!E91:R91&lt;終値!F91:S91)*(終値!F91:S91-終値!E91:R91))),100))</f>
        <v>80.985915492957744</v>
      </c>
      <c r="R91" s="503">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83.992679826751399</v>
      </c>
      <c r="S91" s="500"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0" t="str">
        <f t="shared" si="14"/>
        <v>上walk▲</v>
      </c>
      <c r="U91" s="500" t="str">
        <f>IF(終値!A91="","",BB_スイング!BT91)</f>
        <v>二番底W▲</v>
      </c>
      <c r="V91" s="508">
        <f>IF($D91="","",IFERROR(出来高!E91/AVERAGE(出来高!E91:I91),""))</f>
        <v>0.77368644611143167</v>
      </c>
      <c r="W91" s="509"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○順張り継続(walk)</v>
      </c>
      <c r="X91" s="504">
        <f t="shared" si="20"/>
        <v>45</v>
      </c>
      <c r="Y91" s="501">
        <f t="shared" si="15"/>
        <v>5500</v>
      </c>
      <c r="Z91" s="501">
        <f t="shared" si="16"/>
        <v>5251.3775423017514</v>
      </c>
      <c r="AA91" s="501">
        <f t="shared" si="17"/>
        <v>4982.55</v>
      </c>
      <c r="AB91" s="501">
        <f t="shared" si="21"/>
        <v>5520.2050846035036</v>
      </c>
      <c r="AC91" s="507">
        <f t="shared" si="18"/>
        <v>0.04</v>
      </c>
      <c r="AD91" s="501">
        <f>IF($D91="","",MIN(終値!E91:I91))</f>
        <v>5267</v>
      </c>
      <c r="AE91" s="503">
        <f t="shared" si="19"/>
        <v>45.099089999999997</v>
      </c>
    </row>
    <row r="92" spans="1:31">
      <c r="A92" s="500" t="str">
        <f>IF(終値!A92="","",HYPERLINK("https://kabutan.jp/stock/?code="&amp;終値!A92,"📈"))</f>
        <v>📈</v>
      </c>
      <c r="B92" s="500" t="str">
        <f>IF(終値!A92="","",終値!A92)</f>
        <v>6134</v>
      </c>
      <c r="C92" s="499" t="str">
        <f>IF(終値!A92="","",終値!B92)</f>
        <v>ＦＵＪＩ</v>
      </c>
      <c r="D92" s="501">
        <f>IF(終値!A92="","",終値!E92)</f>
        <v>8117</v>
      </c>
      <c r="E92" s="501">
        <f>IF($D92="","",AVERAGE(終値!E92:X92))</f>
        <v>7562.1</v>
      </c>
      <c r="F92" s="502">
        <f>IF($D92="","",STDEVP(終値!E92:X92))</f>
        <v>513.09754433245939</v>
      </c>
      <c r="G92" s="501">
        <f>IF($D92="","",$E92+BB設定!$B$4*$F92)</f>
        <v>8588.2950886649196</v>
      </c>
      <c r="H92" s="501">
        <f>IF($D92="","",$E92+BB設定!$B$5*$F92)</f>
        <v>8075.19754433246</v>
      </c>
      <c r="I92" s="501">
        <f>IF($D92="","",$E92-BB設定!$B$5*$F92)</f>
        <v>7049.0024556675407</v>
      </c>
      <c r="J92" s="501">
        <f>IF($D92="","",$E92-BB設定!$B$4*$F92)</f>
        <v>6535.9049113350811</v>
      </c>
      <c r="K92" s="506">
        <f t="shared" si="11"/>
        <v>0.77036769427630225</v>
      </c>
      <c r="L92" s="505">
        <f t="shared" si="12"/>
        <v>27.140479196649586</v>
      </c>
      <c r="M92" s="505">
        <f>IF($D92="","",IFERROR(MIN(BB_帯幅!B92:AP92)*100,""))</f>
        <v>15.673309419356379</v>
      </c>
      <c r="N92" s="500" t="str">
        <f>IF($L92="","",IF($L92&lt;=$M92*BB設定!$B$7,"スクイーズ★",IF($L92&lt;=$M92*1.3,"収縮","－")))</f>
        <v>－</v>
      </c>
      <c r="O92" s="500" t="str">
        <f>IF($D92="","",IF(AND(BB_帯幅!B92&gt;BB_帯幅!C92,BB_帯幅!C92&gt;BB_帯幅!D92),"拡大↑","縮小↓"))</f>
        <v>縮小↓</v>
      </c>
      <c r="P92" s="500" t="str">
        <f t="shared" si="13"/>
        <v>+1σ上</v>
      </c>
      <c r="Q92" s="503">
        <f>IF($D92="","",IFERROR(100-100/(1+SUMPRODUCT((終値!E92:R92&gt;終値!F92:S92)*(終値!E92:R92-終値!F92:S92))/SUMPRODUCT((終値!E92:R92&lt;終値!F92:S92)*(終値!F92:S92-終値!E92:R92))),100))</f>
        <v>51.013584117032394</v>
      </c>
      <c r="R92" s="503">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64.123620312421934</v>
      </c>
      <c r="S92" s="500"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0" t="str">
        <f t="shared" si="14"/>
        <v>上walk▲</v>
      </c>
      <c r="U92" s="500" t="str">
        <f>IF(終値!A92="","",BB_スイング!BT92)</f>
        <v>－</v>
      </c>
      <c r="V92" s="508">
        <f>IF($D92="","",IFERROR(出来高!E92/AVERAGE(出来高!E92:I92),""))</f>
        <v>0.79747443895893211</v>
      </c>
      <c r="W92" s="509"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4">
        <f t="shared" si="20"/>
        <v>37</v>
      </c>
      <c r="Y92" s="501">
        <f t="shared" si="15"/>
        <v>8117</v>
      </c>
      <c r="Z92" s="501">
        <f t="shared" si="16"/>
        <v>8075.19754433246</v>
      </c>
      <c r="AA92" s="501">
        <f t="shared" si="17"/>
        <v>7562.1</v>
      </c>
      <c r="AB92" s="501">
        <f t="shared" si="21"/>
        <v>8588.2950886649196</v>
      </c>
      <c r="AC92" s="507">
        <f t="shared" si="18"/>
        <v>0.85</v>
      </c>
      <c r="AD92" s="501">
        <f>IF($D92="","",MIN(終値!E92:I92))</f>
        <v>7330</v>
      </c>
      <c r="AE92" s="503">
        <f t="shared" si="19"/>
        <v>37.099080000000001</v>
      </c>
    </row>
    <row r="93" spans="1:31">
      <c r="A93" s="500" t="str">
        <f>IF(終値!A93="","",HYPERLINK("https://kabutan.jp/stock/?code="&amp;終値!A93,"📈"))</f>
        <v>📈</v>
      </c>
      <c r="B93" s="500" t="str">
        <f>IF(終値!A93="","",終値!A93)</f>
        <v>7746</v>
      </c>
      <c r="C93" s="499" t="str">
        <f>IF(終値!A93="","",終値!B93)</f>
        <v>岡本硝子</v>
      </c>
      <c r="D93" s="501">
        <f>IF(終値!A93="","",終値!E93)</f>
        <v>728</v>
      </c>
      <c r="E93" s="501">
        <f>IF($D93="","",AVERAGE(終値!E93:X93))</f>
        <v>755.15</v>
      </c>
      <c r="F93" s="502">
        <f>IF($D93="","",STDEVP(終値!E93:X93))</f>
        <v>26.782970335644251</v>
      </c>
      <c r="G93" s="501">
        <f>IF($D93="","",$E93+BB設定!$B$4*$F93)</f>
        <v>808.71594067128854</v>
      </c>
      <c r="H93" s="501">
        <f>IF($D93="","",$E93+BB設定!$B$5*$F93)</f>
        <v>781.9329703356442</v>
      </c>
      <c r="I93" s="501">
        <f>IF($D93="","",$E93-BB設定!$B$5*$F93)</f>
        <v>728.36702966435575</v>
      </c>
      <c r="J93" s="501">
        <f>IF($D93="","",$E93-BB設定!$B$4*$F93)</f>
        <v>701.58405932871142</v>
      </c>
      <c r="K93" s="506">
        <f t="shared" si="11"/>
        <v>0.24657403884113599</v>
      </c>
      <c r="L93" s="505">
        <f t="shared" si="12"/>
        <v>14.186834581550304</v>
      </c>
      <c r="M93" s="505">
        <f>IF($D93="","",IFERROR(MIN(BB_帯幅!B93:AP93)*100,""))</f>
        <v>14.18683458155029</v>
      </c>
      <c r="N93" s="500" t="str">
        <f>IF($L93="","",IF($L93&lt;=$M93*BB設定!$B$7,"スクイーズ★",IF($L93&lt;=$M93*1.3,"収縮","－")))</f>
        <v>スクイーズ★</v>
      </c>
      <c r="O93" s="500" t="str">
        <f>IF($D93="","",IF(AND(BB_帯幅!B93&gt;BB_帯幅!C93,BB_帯幅!C93&gt;BB_帯幅!D93),"拡大↑","縮小↓"))</f>
        <v>縮小↓</v>
      </c>
      <c r="P93" s="500" t="str">
        <f t="shared" si="13"/>
        <v>-1σ下</v>
      </c>
      <c r="Q93" s="503">
        <f>IF($D93="","",IFERROR(100-100/(1+SUMPRODUCT((終値!E93:R93&gt;終値!F93:S93)*(終値!E93:R93-終値!F93:S93))/SUMPRODUCT((終値!E93:R93&lt;終値!F93:S93)*(終値!F93:S93-終値!E93:R93))),100))</f>
        <v>33.333333333333329</v>
      </c>
      <c r="R93" s="503">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49.061586810680431</v>
      </c>
      <c r="S93" s="500"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強気div▲</v>
      </c>
      <c r="T93" s="500" t="str">
        <f t="shared" si="14"/>
        <v>下walk▼</v>
      </c>
      <c r="U93" s="500" t="str">
        <f>IF(終値!A93="","",BB_スイング!BT93)</f>
        <v>二番底W形成</v>
      </c>
      <c r="V93" s="508">
        <f>IF($D93="","",IFERROR(出来高!E93/AVERAGE(出来高!E93:I93),""))</f>
        <v>0.83098068350668652</v>
      </c>
      <c r="W93" s="509"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△二番底形成</v>
      </c>
      <c r="X93" s="504">
        <f t="shared" si="20"/>
        <v>5</v>
      </c>
      <c r="Y93" s="501">
        <f t="shared" si="15"/>
        <v>728</v>
      </c>
      <c r="Z93" s="501">
        <f t="shared" si="16"/>
        <v>781.9329703356442</v>
      </c>
      <c r="AA93" s="501">
        <f t="shared" si="17"/>
        <v>718</v>
      </c>
      <c r="AB93" s="501">
        <f t="shared" si="21"/>
        <v>808.71594067128854</v>
      </c>
      <c r="AC93" s="507">
        <f t="shared" si="18"/>
        <v>8.07</v>
      </c>
      <c r="AD93" s="501">
        <f>IF($D93="","",MIN(終値!E93:I93))</f>
        <v>718</v>
      </c>
      <c r="AE93" s="503">
        <f t="shared" si="19"/>
        <v>5.0990700000000002</v>
      </c>
    </row>
    <row r="94" spans="1:31">
      <c r="A94" s="500" t="str">
        <f>IF(終値!A94="","",HYPERLINK("https://kabutan.jp/stock/?code="&amp;終値!A94,"📈"))</f>
        <v>📈</v>
      </c>
      <c r="B94" s="500" t="str">
        <f>IF(終値!A94="","",終値!A94)</f>
        <v>3407</v>
      </c>
      <c r="C94" s="499" t="str">
        <f>IF(終値!A94="","",終値!B94)</f>
        <v>旭化成</v>
      </c>
      <c r="D94" s="501">
        <f>IF(終値!A94="","",終値!E94)</f>
        <v>1666</v>
      </c>
      <c r="E94" s="501">
        <f>IF($D94="","",AVERAGE(終値!E94:X94))</f>
        <v>1798.55</v>
      </c>
      <c r="F94" s="502">
        <f>IF($D94="","",STDEVP(終値!E94:X94))</f>
        <v>90.909969200302754</v>
      </c>
      <c r="G94" s="501">
        <f>IF($D94="","",$E94+BB設定!$B$4*$F94)</f>
        <v>1980.3699384006054</v>
      </c>
      <c r="H94" s="501">
        <f>IF($D94="","",$E94+BB設定!$B$5*$F94)</f>
        <v>1889.4599692003028</v>
      </c>
      <c r="I94" s="501">
        <f>IF($D94="","",$E94-BB設定!$B$5*$F94)</f>
        <v>1707.6400307996971</v>
      </c>
      <c r="J94" s="501">
        <f>IF($D94="","",$E94-BB設定!$B$4*$F94)</f>
        <v>1616.7300615993945</v>
      </c>
      <c r="K94" s="506">
        <f t="shared" si="11"/>
        <v>0.13549102159535609</v>
      </c>
      <c r="L94" s="505">
        <f t="shared" si="12"/>
        <v>20.218502504862855</v>
      </c>
      <c r="M94" s="505">
        <f>IF($D94="","",IFERROR(MIN(BB_帯幅!B94:AP94)*100,""))</f>
        <v>3.9626082033928292</v>
      </c>
      <c r="N94" s="500" t="str">
        <f>IF($L94="","",IF($L94&lt;=$M94*BB設定!$B$7,"スクイーズ★",IF($L94&lt;=$M94*1.3,"収縮","－")))</f>
        <v>－</v>
      </c>
      <c r="O94" s="500" t="str">
        <f>IF($D94="","",IF(AND(BB_帯幅!B94&gt;BB_帯幅!C94,BB_帯幅!C94&gt;BB_帯幅!D94),"拡大↑","縮小↓"))</f>
        <v>拡大↑</v>
      </c>
      <c r="P94" s="500" t="str">
        <f t="shared" si="13"/>
        <v>-1σ下</v>
      </c>
      <c r="Q94" s="503">
        <f>IF($D94="","",IFERROR(100-100/(1+SUMPRODUCT((終値!E94:R94&gt;終値!F94:S94)*(終値!E94:R94-終値!F94:S94))/SUMPRODUCT((終値!E94:R94&lt;終値!F94:S94)*(終値!F94:S94-終値!E94:R94))),100))</f>
        <v>30.205540661304738</v>
      </c>
      <c r="R94" s="503">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29.772834794043916</v>
      </c>
      <c r="S94" s="500"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0" t="str">
        <f t="shared" si="14"/>
        <v>下walk▼</v>
      </c>
      <c r="U94" s="500" t="str">
        <f>IF(終値!A94="","",BB_スイング!BT94)</f>
        <v>二番天井M▼</v>
      </c>
      <c r="V94" s="508">
        <f>IF($D94="","",IFERROR(出来高!E94/AVERAGE(出来高!E94:I94),""))</f>
        <v>0.60344522392092192</v>
      </c>
      <c r="W94" s="509"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▼二番天井警戒</v>
      </c>
      <c r="X94" s="504">
        <f t="shared" si="20"/>
        <v>0</v>
      </c>
      <c r="Y94" s="501">
        <f t="shared" si="15"/>
        <v>1666</v>
      </c>
      <c r="Z94" s="501">
        <f t="shared" si="16"/>
        <v>1889.4599692003028</v>
      </c>
      <c r="AA94" s="501">
        <f t="shared" si="17"/>
        <v>1579.5</v>
      </c>
      <c r="AB94" s="501">
        <f t="shared" si="21"/>
        <v>1980.3699384006054</v>
      </c>
      <c r="AC94" s="507">
        <f t="shared" si="18"/>
        <v>3.63</v>
      </c>
      <c r="AD94" s="501">
        <f>IF($D94="","",MIN(終値!E94:I94))</f>
        <v>1579.5</v>
      </c>
      <c r="AE94" s="503">
        <f t="shared" si="19"/>
        <v>9.9059999999999995E-2</v>
      </c>
    </row>
    <row r="95" spans="1:31">
      <c r="A95" s="500" t="str">
        <f>IF(終値!A95="","",HYPERLINK("https://kabutan.jp/stock/?code="&amp;終値!A95,"📈"))</f>
        <v>📈</v>
      </c>
      <c r="B95" s="500" t="str">
        <f>IF(終値!A95="","",終値!A95)</f>
        <v>4008</v>
      </c>
      <c r="C95" s="499" t="str">
        <f>IF(終値!A95="","",終値!B95)</f>
        <v>住友精化</v>
      </c>
      <c r="D95" s="501">
        <f>IF(終値!A95="","",終値!E95)</f>
        <v>1446</v>
      </c>
      <c r="E95" s="501">
        <f>IF($D95="","",AVERAGE(終値!E95:X95))</f>
        <v>1272.8421052631579</v>
      </c>
      <c r="F95" s="502">
        <f>IF($D95="","",STDEVP(終値!E95:X95))</f>
        <v>49.791420903282798</v>
      </c>
      <c r="G95" s="501">
        <f>IF($D95="","",$E95+BB設定!$B$4*$F95)</f>
        <v>1372.4249470697234</v>
      </c>
      <c r="H95" s="501">
        <f>IF($D95="","",$E95+BB設定!$B$5*$F95)</f>
        <v>1322.6335261664408</v>
      </c>
      <c r="I95" s="501">
        <f>IF($D95="","",$E95-BB設定!$B$5*$F95)</f>
        <v>1223.050684359875</v>
      </c>
      <c r="J95" s="501">
        <f>IF($D95="","",$E95-BB設定!$B$4*$F95)</f>
        <v>1173.2592634565924</v>
      </c>
      <c r="K95" s="506">
        <f t="shared" si="11"/>
        <v>1.3694163150776129</v>
      </c>
      <c r="L95" s="505">
        <f t="shared" si="12"/>
        <v>15.647320495573474</v>
      </c>
      <c r="M95" s="505">
        <f>IF($D95="","",IFERROR(MIN(BB_帯幅!B95:AP95)*100,""))</f>
        <v>7.8401159625763093</v>
      </c>
      <c r="N95" s="500" t="str">
        <f>IF($L95="","",IF($L95&lt;=$M95*BB設定!$B$7,"スクイーズ★",IF($L95&lt;=$M95*1.3,"収縮","－")))</f>
        <v>－</v>
      </c>
      <c r="O95" s="500" t="str">
        <f>IF($D95="","",IF(AND(BB_帯幅!B95&gt;BB_帯幅!C95,BB_帯幅!C95&gt;BB_帯幅!D95),"拡大↑","縮小↓"))</f>
        <v>縮小↓</v>
      </c>
      <c r="P95" s="500" t="str">
        <f t="shared" si="13"/>
        <v>↑+2σ突破</v>
      </c>
      <c r="Q95" s="503">
        <f>IF($D95="","",IFERROR(100-100/(1+SUMPRODUCT((終値!E95:R95&gt;終値!F95:S95)*(終値!E95:R95-終値!F95:S95))/SUMPRODUCT((終値!E95:R95&lt;終値!F95:S95)*(終値!F95:S95-終値!E95:R95))),100))</f>
        <v>52.234258632362902</v>
      </c>
      <c r="R95" s="503">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71.334874137451493</v>
      </c>
      <c r="S95" s="500"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0" t="str">
        <f t="shared" si="14"/>
        <v>上walk▲</v>
      </c>
      <c r="U95" s="500" t="str">
        <f>IF(終値!A95="","",BB_スイング!BT95)</f>
        <v>二番底W▲</v>
      </c>
      <c r="V95" s="508">
        <f>IF($D95="","",IFERROR(出来高!E95/AVERAGE(出来高!E95:I95),""))</f>
        <v>3.1973384232013147</v>
      </c>
      <c r="W95" s="509"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△二番底買(確)</v>
      </c>
      <c r="X95" s="504">
        <f t="shared" si="20"/>
        <v>50</v>
      </c>
      <c r="Y95" s="501">
        <f t="shared" si="15"/>
        <v>1446</v>
      </c>
      <c r="Z95" s="501">
        <f t="shared" si="16"/>
        <v>1322.6335261664408</v>
      </c>
      <c r="AA95" s="501">
        <f t="shared" si="17"/>
        <v>1272.8421052631579</v>
      </c>
      <c r="AB95" s="501">
        <f t="shared" si="21"/>
        <v>1422.2163679730063</v>
      </c>
      <c r="AC95" s="507">
        <f t="shared" si="18"/>
        <v>-0.14000000000000001</v>
      </c>
      <c r="AD95" s="501">
        <f>IF($D95="","",MIN(終値!E95:I95))</f>
        <v>1218</v>
      </c>
      <c r="AE95" s="503">
        <f t="shared" si="19"/>
        <v>50.099049999999998</v>
      </c>
    </row>
    <row r="96" spans="1:31">
      <c r="A96" s="500" t="str">
        <f>IF(終値!A96="","",HYPERLINK("https://kabutan.jp/stock/?code="&amp;終値!A96,"📈"))</f>
        <v>📈</v>
      </c>
      <c r="B96" s="500" t="str">
        <f>IF(終値!A96="","",終値!A96)</f>
        <v>4062</v>
      </c>
      <c r="C96" s="499" t="str">
        <f>IF(終値!A96="","",終値!B96)</f>
        <v>イビデン</v>
      </c>
      <c r="D96" s="501">
        <f>IF(終値!A96="","",終値!E96)</f>
        <v>19010</v>
      </c>
      <c r="E96" s="501">
        <f>IF($D96="","",AVERAGE(終値!E96:X96))</f>
        <v>17412.75</v>
      </c>
      <c r="F96" s="502">
        <f>IF($D96="","",STDEVP(終値!E96:X96))</f>
        <v>1981.322459242816</v>
      </c>
      <c r="G96" s="501">
        <f>IF($D96="","",$E96+BB設定!$B$4*$F96)</f>
        <v>21375.394918485632</v>
      </c>
      <c r="H96" s="501">
        <f>IF($D96="","",$E96+BB設定!$B$5*$F96)</f>
        <v>19394.072459242816</v>
      </c>
      <c r="I96" s="501">
        <f>IF($D96="","",$E96-BB設定!$B$5*$F96)</f>
        <v>15431.427540757184</v>
      </c>
      <c r="J96" s="501">
        <f>IF($D96="","",$E96-BB設定!$B$4*$F96)</f>
        <v>13450.105081514368</v>
      </c>
      <c r="K96" s="506">
        <f t="shared" si="11"/>
        <v>0.70153837056518387</v>
      </c>
      <c r="L96" s="505">
        <f t="shared" si="12"/>
        <v>45.514291751568614</v>
      </c>
      <c r="M96" s="505">
        <f>IF($D96="","",IFERROR(MIN(BB_帯幅!B96:AP96)*100,""))</f>
        <v>37.397615783920827</v>
      </c>
      <c r="N96" s="500" t="str">
        <f>IF($L96="","",IF($L96&lt;=$M96*BB設定!$B$7,"スクイーズ★",IF($L96&lt;=$M96*1.3,"収縮","－")))</f>
        <v>収縮</v>
      </c>
      <c r="O96" s="500" t="str">
        <f>IF($D96="","",IF(AND(BB_帯幅!B96&gt;BB_帯幅!C96,BB_帯幅!C96&gt;BB_帯幅!D96),"拡大↑","縮小↓"))</f>
        <v>縮小↓</v>
      </c>
      <c r="P96" s="500" t="str">
        <f t="shared" si="13"/>
        <v>バンド内</v>
      </c>
      <c r="Q96" s="503">
        <f>IF($D96="","",IFERROR(100-100/(1+SUMPRODUCT((終値!E96:R96&gt;終値!F96:S96)*(終値!E96:R96-終値!F96:S96))/SUMPRODUCT((終値!E96:R96&lt;終値!F96:S96)*(終値!F96:S96-終値!E96:R96))),100))</f>
        <v>49.229332087809432</v>
      </c>
      <c r="R96" s="503">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34.185759292495021</v>
      </c>
      <c r="S96" s="500"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v>
      </c>
      <c r="T96" s="500" t="str">
        <f t="shared" si="14"/>
        <v>－</v>
      </c>
      <c r="U96" s="500" t="str">
        <f>IF(終値!A96="","",BB_スイング!BT96)</f>
        <v>－</v>
      </c>
      <c r="V96" s="508">
        <f>IF($D96="","",IFERROR(出来高!E96/AVERAGE(出来高!E96:I96),""))</f>
        <v>1.5480973418926505</v>
      </c>
      <c r="W96" s="509"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様子見</v>
      </c>
      <c r="X96" s="504">
        <f t="shared" si="20"/>
        <v>23</v>
      </c>
      <c r="Y96" s="501">
        <f t="shared" si="15"/>
        <v>19010</v>
      </c>
      <c r="Z96" s="501">
        <f t="shared" si="16"/>
        <v>19394.072459242816</v>
      </c>
      <c r="AA96" s="501">
        <f t="shared" si="17"/>
        <v>17412.75</v>
      </c>
      <c r="AB96" s="501">
        <f t="shared" si="21"/>
        <v>21375.394918485632</v>
      </c>
      <c r="AC96" s="507">
        <f t="shared" si="18"/>
        <v>1.48</v>
      </c>
      <c r="AD96" s="501">
        <f>IF($D96="","",MIN(終値!E96:I96))</f>
        <v>15535</v>
      </c>
      <c r="AE96" s="503">
        <f t="shared" si="19"/>
        <v>23.099039999999999</v>
      </c>
    </row>
    <row r="97" spans="1:31">
      <c r="A97" s="500" t="str">
        <f>IF(終値!A97="","",HYPERLINK("https://kabutan.jp/stock/?code="&amp;終値!A97,"📈"))</f>
        <v>📈</v>
      </c>
      <c r="B97" s="500" t="str">
        <f>IF(終値!A97="","",終値!A97)</f>
        <v>4182</v>
      </c>
      <c r="C97" s="499" t="str">
        <f>IF(終値!A97="","",終値!B97)</f>
        <v>三菱瓦斯化学</v>
      </c>
      <c r="D97" s="501">
        <f>IF(終値!A97="","",終値!E97)</f>
        <v>4498</v>
      </c>
      <c r="E97" s="501">
        <f>IF($D97="","",AVERAGE(終値!E97:X97))</f>
        <v>4407.6000000000004</v>
      </c>
      <c r="F97" s="502">
        <f>IF($D97="","",STDEVP(終値!E97:X97))</f>
        <v>265.96717842621109</v>
      </c>
      <c r="G97" s="501">
        <f>IF($D97="","",$E97+BB設定!$B$4*$F97)</f>
        <v>4939.5343568524222</v>
      </c>
      <c r="H97" s="501">
        <f>IF($D97="","",$E97+BB設定!$B$5*$F97)</f>
        <v>4673.5671784262113</v>
      </c>
      <c r="I97" s="501">
        <f>IF($D97="","",$E97-BB設定!$B$5*$F97)</f>
        <v>4141.6328215737894</v>
      </c>
      <c r="J97" s="501">
        <f>IF($D97="","",$E97-BB設定!$B$4*$F97)</f>
        <v>3875.6656431475781</v>
      </c>
      <c r="K97" s="506">
        <f t="shared" si="11"/>
        <v>0.5849728907669336</v>
      </c>
      <c r="L97" s="505">
        <f t="shared" si="12"/>
        <v>24.137142973610221</v>
      </c>
      <c r="M97" s="505">
        <f>IF($D97="","",IFERROR(MIN(BB_帯幅!B97:AP97)*100,""))</f>
        <v>20.92387042332869</v>
      </c>
      <c r="N97" s="500" t="str">
        <f>IF($L97="","",IF($L97&lt;=$M97*BB設定!$B$7,"スクイーズ★",IF($L97&lt;=$M97*1.3,"収縮","－")))</f>
        <v>収縮</v>
      </c>
      <c r="O97" s="500" t="str">
        <f>IF($D97="","",IF(AND(BB_帯幅!B97&gt;BB_帯幅!C97,BB_帯幅!C97&gt;BB_帯幅!D97),"拡大↑","縮小↓"))</f>
        <v>縮小↓</v>
      </c>
      <c r="P97" s="500" t="str">
        <f t="shared" si="13"/>
        <v>バンド内</v>
      </c>
      <c r="Q97" s="503">
        <f>IF($D97="","",IFERROR(100-100/(1+SUMPRODUCT((終値!E97:R97&gt;終値!F97:S97)*(終値!E97:R97-終値!F97:S97))/SUMPRODUCT((終値!E97:R97&lt;終値!F97:S97)*(終値!F97:S97-終値!E97:R97))),100))</f>
        <v>44.690265486725664</v>
      </c>
      <c r="R97" s="503">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42.656913629390878</v>
      </c>
      <c r="S97" s="500"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強気div▲</v>
      </c>
      <c r="T97" s="500" t="str">
        <f t="shared" si="14"/>
        <v>－</v>
      </c>
      <c r="U97" s="500" t="str">
        <f>IF(終値!A97="","",BB_スイング!BT97)</f>
        <v>－</v>
      </c>
      <c r="V97" s="508">
        <f>IF($D97="","",IFERROR(出来高!E97/AVERAGE(出来高!E97:I97),""))</f>
        <v>0.71788843477904296</v>
      </c>
      <c r="W97" s="509"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○反発(ダイバ)買</v>
      </c>
      <c r="X97" s="504">
        <f t="shared" si="20"/>
        <v>35</v>
      </c>
      <c r="Y97" s="501">
        <f t="shared" si="15"/>
        <v>4498</v>
      </c>
      <c r="Z97" s="501">
        <f t="shared" si="16"/>
        <v>4673.5671784262113</v>
      </c>
      <c r="AA97" s="501">
        <f t="shared" si="17"/>
        <v>4407.6000000000004</v>
      </c>
      <c r="AB97" s="501">
        <f t="shared" si="21"/>
        <v>4939.5343568524222</v>
      </c>
      <c r="AC97" s="507">
        <f t="shared" si="18"/>
        <v>4.88</v>
      </c>
      <c r="AD97" s="501">
        <f>IF($D97="","",MIN(終値!E97:I97))</f>
        <v>4201</v>
      </c>
      <c r="AE97" s="503">
        <f t="shared" si="19"/>
        <v>35.099029999999999</v>
      </c>
    </row>
    <row r="98" spans="1:31" ht="24">
      <c r="A98" s="500" t="str">
        <f>IF(終値!A98="","",HYPERLINK("https://kabutan.jp/stock/?code="&amp;終値!A98,"📈"))</f>
        <v>📈</v>
      </c>
      <c r="B98" s="500" t="str">
        <f>IF(終値!A98="","",終値!A98)</f>
        <v>4188</v>
      </c>
      <c r="C98" s="499" t="str">
        <f>IF(終値!A98="","",終値!B98)</f>
        <v>三菱ケミカルグループ</v>
      </c>
      <c r="D98" s="501">
        <f>IF(終値!A98="","",終値!E98)</f>
        <v>1184.5</v>
      </c>
      <c r="E98" s="501">
        <f>IF($D98="","",AVERAGE(終値!E98:X98))</f>
        <v>1175.1052631578948</v>
      </c>
      <c r="F98" s="502">
        <f>IF($D98="","",STDEVP(終値!E98:X98))</f>
        <v>28.856532119840377</v>
      </c>
      <c r="G98" s="501">
        <f>IF($D98="","",$E98+BB設定!$B$4*$F98)</f>
        <v>1232.8183273975756</v>
      </c>
      <c r="H98" s="501">
        <f>IF($D98="","",$E98+BB設定!$B$5*$F98)</f>
        <v>1203.9617952777351</v>
      </c>
      <c r="I98" s="501">
        <f>IF($D98="","",$E98-BB設定!$B$5*$F98)</f>
        <v>1146.2487310380545</v>
      </c>
      <c r="J98" s="501">
        <f>IF($D98="","",$E98-BB設定!$B$4*$F98)</f>
        <v>1117.392198918214</v>
      </c>
      <c r="K98" s="506">
        <f t="shared" si="11"/>
        <v>0.58139176948817972</v>
      </c>
      <c r="L98" s="505">
        <f t="shared" si="12"/>
        <v>9.8226203301288528</v>
      </c>
      <c r="M98" s="505">
        <f>IF($D98="","",IFERROR(MIN(BB_帯幅!B98:AP98)*100,""))</f>
        <v>8.8325786261202115</v>
      </c>
      <c r="N98" s="500" t="str">
        <f>IF($L98="","",IF($L98&lt;=$M98*BB設定!$B$7,"スクイーズ★",IF($L98&lt;=$M98*1.3,"収縮","－")))</f>
        <v>収縮</v>
      </c>
      <c r="O98" s="500" t="str">
        <f>IF($D98="","",IF(AND(BB_帯幅!B98&gt;BB_帯幅!C98,BB_帯幅!C98&gt;BB_帯幅!D98),"拡大↑","縮小↓"))</f>
        <v>縮小↓</v>
      </c>
      <c r="P98" s="500" t="str">
        <f t="shared" si="13"/>
        <v>バンド内</v>
      </c>
      <c r="Q98" s="503">
        <f>IF($D98="","",IFERROR(100-100/(1+SUMPRODUCT((終値!E98:R98&gt;終値!F98:S98)*(終値!E98:R98-終値!F98:S98))/SUMPRODUCT((終値!E98:R98&lt;終値!F98:S98)*(終値!F98:S98-終値!E98:R98))),100))</f>
        <v>49.334752527940395</v>
      </c>
      <c r="R98" s="503">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54.193524149748974</v>
      </c>
      <c r="S98" s="500"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0" t="str">
        <f t="shared" si="14"/>
        <v>－</v>
      </c>
      <c r="U98" s="500" t="str">
        <f>IF(終値!A98="","",BB_スイング!BT98)</f>
        <v>－</v>
      </c>
      <c r="V98" s="508">
        <f>IF($D98="","",IFERROR(出来高!E98/AVERAGE(出来高!E98:I98),""))</f>
        <v>0.57582023355961809</v>
      </c>
      <c r="W98" s="509"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・押し目注目</v>
      </c>
      <c r="X98" s="504">
        <f t="shared" si="20"/>
        <v>35</v>
      </c>
      <c r="Y98" s="501">
        <f t="shared" si="15"/>
        <v>1184.5</v>
      </c>
      <c r="Z98" s="501">
        <f t="shared" si="16"/>
        <v>1203.9617952777351</v>
      </c>
      <c r="AA98" s="501">
        <f t="shared" si="17"/>
        <v>1175.1052631578948</v>
      </c>
      <c r="AB98" s="501">
        <f t="shared" si="21"/>
        <v>1232.8183273975756</v>
      </c>
      <c r="AC98" s="507">
        <f t="shared" si="18"/>
        <v>5.14</v>
      </c>
      <c r="AD98" s="501">
        <f>IF($D98="","",MIN(終値!E98:I98))</f>
        <v>1117.5</v>
      </c>
      <c r="AE98" s="503">
        <f t="shared" si="19"/>
        <v>35.099020000000003</v>
      </c>
    </row>
    <row r="99" spans="1:31">
      <c r="A99" s="500" t="str">
        <f>IF(終値!A99="","",HYPERLINK("https://kabutan.jp/stock/?code="&amp;終値!A99,"📈"))</f>
        <v>📈</v>
      </c>
      <c r="B99" s="500" t="str">
        <f>IF(終値!A99="","",終値!A99)</f>
        <v>4523</v>
      </c>
      <c r="C99" s="499" t="str">
        <f>IF(終値!A99="","",終値!B99)</f>
        <v>エーザイ</v>
      </c>
      <c r="D99" s="501">
        <f>IF(終値!A99="","",終値!E99)</f>
        <v>4691</v>
      </c>
      <c r="E99" s="501">
        <f>IF($D99="","",AVERAGE(終値!E99:X99))</f>
        <v>4574.8999999999996</v>
      </c>
      <c r="F99" s="502">
        <f>IF($D99="","",STDEVP(終値!E99:X99))</f>
        <v>242.11173040561252</v>
      </c>
      <c r="G99" s="501">
        <f>IF($D99="","",$E99+BB設定!$B$4*$F99)</f>
        <v>5059.1234608112245</v>
      </c>
      <c r="H99" s="501">
        <f>IF($D99="","",$E99+BB設定!$B$5*$F99)</f>
        <v>4817.0117304056121</v>
      </c>
      <c r="I99" s="501">
        <f>IF($D99="","",$E99-BB設定!$B$5*$F99)</f>
        <v>4332.7882695943872</v>
      </c>
      <c r="J99" s="501">
        <f>IF($D99="","",$E99-BB設定!$B$4*$F99)</f>
        <v>4090.6765391887748</v>
      </c>
      <c r="K99" s="506">
        <f t="shared" si="11"/>
        <v>0.61988266719408514</v>
      </c>
      <c r="L99" s="505">
        <f t="shared" si="12"/>
        <v>21.168701427844319</v>
      </c>
      <c r="M99" s="505">
        <f>IF($D99="","",IFERROR(MIN(BB_帯幅!B99:AP99)*100,""))</f>
        <v>8.5597126686595111</v>
      </c>
      <c r="N99" s="500" t="str">
        <f>IF($L99="","",IF($L99&lt;=$M99*BB設定!$B$7,"スクイーズ★",IF($L99&lt;=$M99*1.3,"収縮","－")))</f>
        <v>－</v>
      </c>
      <c r="O99" s="500" t="str">
        <f>IF($D99="","",IF(AND(BB_帯幅!B99&gt;BB_帯幅!C99,BB_帯幅!C99&gt;BB_帯幅!D99),"拡大↑","縮小↓"))</f>
        <v>縮小↓</v>
      </c>
      <c r="P99" s="500" t="str">
        <f t="shared" si="13"/>
        <v>バンド内</v>
      </c>
      <c r="Q99" s="503">
        <f>IF($D99="","",IFERROR(100-100/(1+SUMPRODUCT((終値!E99:R99&gt;終値!F99:S99)*(終値!E99:R99-終値!F99:S99))/SUMPRODUCT((終値!E99:R99&lt;終値!F99:S99)*(終値!F99:S99-終値!E99:R99))),100))</f>
        <v>63.467492260061924</v>
      </c>
      <c r="R99" s="503">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60.509568238345707</v>
      </c>
      <c r="S99" s="500"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弱気div▼</v>
      </c>
      <c r="T99" s="500" t="str">
        <f t="shared" si="14"/>
        <v>－</v>
      </c>
      <c r="U99" s="500" t="str">
        <f>IF(終値!A99="","",BB_スイング!BT99)</f>
        <v>－</v>
      </c>
      <c r="V99" s="508">
        <f>IF($D99="","",IFERROR(出来高!E99/AVERAGE(出来高!E99:I99),""))</f>
        <v>0.72909294191258678</v>
      </c>
      <c r="W99" s="509"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4">
        <f t="shared" si="20"/>
        <v>25</v>
      </c>
      <c r="Y99" s="501">
        <f t="shared" si="15"/>
        <v>4691</v>
      </c>
      <c r="Z99" s="501">
        <f t="shared" si="16"/>
        <v>4817.0117304056121</v>
      </c>
      <c r="AA99" s="501">
        <f t="shared" si="17"/>
        <v>4574.8999999999996</v>
      </c>
      <c r="AB99" s="501">
        <f t="shared" si="21"/>
        <v>5059.1234608112245</v>
      </c>
      <c r="AC99" s="507">
        <f t="shared" si="18"/>
        <v>3.17</v>
      </c>
      <c r="AD99" s="501">
        <f>IF($D99="","",MIN(終値!E99:I99))</f>
        <v>4520</v>
      </c>
      <c r="AE99" s="503">
        <f t="shared" si="19"/>
        <v>25.09901</v>
      </c>
    </row>
    <row r="100" spans="1:31">
      <c r="A100" s="500" t="str">
        <f>IF(終値!A100="","",HYPERLINK("https://kabutan.jp/stock/?code="&amp;終値!A100,"📈"))</f>
        <v>📈</v>
      </c>
      <c r="B100" s="500" t="str">
        <f>IF(終値!A100="","",終値!A100)</f>
        <v>4528</v>
      </c>
      <c r="C100" s="499" t="str">
        <f>IF(終値!A100="","",終値!B100)</f>
        <v>小野薬品</v>
      </c>
      <c r="D100" s="501">
        <f>IF(終値!A100="","",終値!E100)</f>
        <v>2338</v>
      </c>
      <c r="E100" s="501">
        <f>IF($D100="","",AVERAGE(終値!E100:X100))</f>
        <v>2404.5526315789475</v>
      </c>
      <c r="F100" s="502">
        <f>IF($D100="","",STDEVP(終値!E100:X100))</f>
        <v>52.601504565444493</v>
      </c>
      <c r="G100" s="501">
        <f>IF($D100="","",$E100+BB設定!$B$4*$F100)</f>
        <v>2509.7556407098364</v>
      </c>
      <c r="H100" s="501">
        <f>IF($D100="","",$E100+BB設定!$B$5*$F100)</f>
        <v>2457.1541361443919</v>
      </c>
      <c r="I100" s="501">
        <f>IF($D100="","",$E100-BB設定!$B$5*$F100)</f>
        <v>2351.9511270135031</v>
      </c>
      <c r="J100" s="501">
        <f>IF($D100="","",$E100-BB設定!$B$4*$F100)</f>
        <v>2299.3496224480587</v>
      </c>
      <c r="K100" s="506">
        <f t="shared" si="11"/>
        <v>0.18369425870629938</v>
      </c>
      <c r="L100" s="505">
        <f t="shared" si="12"/>
        <v>8.7503186870821281</v>
      </c>
      <c r="M100" s="505">
        <f>IF($D100="","",IFERROR(MIN(BB_帯幅!B100:AP100)*100,""))</f>
        <v>4.6866297151367142</v>
      </c>
      <c r="N100" s="500" t="str">
        <f>IF($L100="","",IF($L100&lt;=$M100*BB設定!$B$7,"スクイーズ★",IF($L100&lt;=$M100*1.3,"収縮","－")))</f>
        <v>－</v>
      </c>
      <c r="O100" s="500" t="str">
        <f>IF($D100="","",IF(AND(BB_帯幅!B100&gt;BB_帯幅!C100,BB_帯幅!C100&gt;BB_帯幅!D100),"拡大↑","縮小↓"))</f>
        <v>拡大↑</v>
      </c>
      <c r="P100" s="500" t="str">
        <f t="shared" si="13"/>
        <v>-1σ下</v>
      </c>
      <c r="Q100" s="503">
        <f>IF($D100="","",IFERROR(100-100/(1+SUMPRODUCT((終値!E100:R100&gt;終値!F100:S100)*(終値!E100:R100-終値!F100:S100))/SUMPRODUCT((終値!E100:R100&lt;終値!F100:S100)*(終値!F100:S100-終値!E100:R100))),100))</f>
        <v>49.518359561278018</v>
      </c>
      <c r="R100" s="503">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38.883863217923611</v>
      </c>
      <c r="S100" s="500"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v>
      </c>
      <c r="T100" s="500" t="str">
        <f t="shared" si="14"/>
        <v>下walk▼</v>
      </c>
      <c r="U100" s="500" t="str">
        <f>IF(終値!A100="","",BB_スイング!BT100)</f>
        <v>－</v>
      </c>
      <c r="V100" s="508">
        <f>IF($D100="","",IFERROR(出来高!E100/AVERAGE(出来高!E100:I100),""))</f>
        <v>0.73836965326098625</v>
      </c>
      <c r="W100" s="509"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4">
        <f t="shared" si="20"/>
        <v>0</v>
      </c>
      <c r="Y100" s="501">
        <f t="shared" si="15"/>
        <v>2338</v>
      </c>
      <c r="Z100" s="501">
        <f t="shared" si="16"/>
        <v>2457.1541361443919</v>
      </c>
      <c r="AA100" s="501">
        <f t="shared" si="17"/>
        <v>2301</v>
      </c>
      <c r="AB100" s="501">
        <f t="shared" si="21"/>
        <v>2509.7556407098364</v>
      </c>
      <c r="AC100" s="507">
        <f t="shared" si="18"/>
        <v>4.6399999999999997</v>
      </c>
      <c r="AD100" s="501">
        <f>IF($D100="","",MIN(終値!E100:I100))</f>
        <v>2301</v>
      </c>
      <c r="AE100" s="503">
        <f t="shared" si="19"/>
        <v>9.9000000000000005E-2</v>
      </c>
    </row>
    <row r="101" spans="1:31" ht="24">
      <c r="A101" s="500" t="str">
        <f>IF(終値!A101="","",HYPERLINK("https://kabutan.jp/stock/?code="&amp;終値!A101,"📈"))</f>
        <v>📈</v>
      </c>
      <c r="B101" s="500" t="str">
        <f>IF(終値!A101="","",終値!A101)</f>
        <v>4661</v>
      </c>
      <c r="C101" s="499" t="str">
        <f>IF(終値!A101="","",終値!B101)</f>
        <v>オリエンタルランド</v>
      </c>
      <c r="D101" s="501">
        <f>IF(終値!A101="","",終値!E101)</f>
        <v>2954</v>
      </c>
      <c r="E101" s="501">
        <f>IF($D101="","",AVERAGE(終値!E101:X101))</f>
        <v>2805.4736842105262</v>
      </c>
      <c r="F101" s="502">
        <f>IF($D101="","",STDEVP(終値!E101:X101))</f>
        <v>172.83133500644723</v>
      </c>
      <c r="G101" s="501">
        <f>IF($D101="","",$E101+BB設定!$B$4*$F101)</f>
        <v>3151.1363542234208</v>
      </c>
      <c r="H101" s="501">
        <f>IF($D101="","",$E101+BB設定!$B$5*$F101)</f>
        <v>2978.3050192169735</v>
      </c>
      <c r="I101" s="501">
        <f>IF($D101="","",$E101-BB設定!$B$5*$F101)</f>
        <v>2632.642349204079</v>
      </c>
      <c r="J101" s="501">
        <f>IF($D101="","",$E101-BB設定!$B$4*$F101)</f>
        <v>2459.8110141976317</v>
      </c>
      <c r="K101" s="506">
        <f t="shared" si="11"/>
        <v>0.71484286368547278</v>
      </c>
      <c r="L101" s="505">
        <f t="shared" si="12"/>
        <v>24.642018348510415</v>
      </c>
      <c r="M101" s="505">
        <f>IF($D101="","",IFERROR(MIN(BB_帯幅!B101:AP101)*100,""))</f>
        <v>7.7998552410969246</v>
      </c>
      <c r="N101" s="500" t="str">
        <f>IF($L101="","",IF($L101&lt;=$M101*BB設定!$B$7,"スクイーズ★",IF($L101&lt;=$M101*1.3,"収縮","－")))</f>
        <v>－</v>
      </c>
      <c r="O101" s="500" t="str">
        <f>IF($D101="","",IF(AND(BB_帯幅!B101&gt;BB_帯幅!C101,BB_帯幅!C101&gt;BB_帯幅!D101),"拡大↑","縮小↓"))</f>
        <v>縮小↓</v>
      </c>
      <c r="P101" s="500" t="str">
        <f t="shared" si="13"/>
        <v>バンド内</v>
      </c>
      <c r="Q101" s="503">
        <f>IF($D101="","",IFERROR(100-100/(1+SUMPRODUCT((終値!E101:R101&gt;終値!F101:S101)*(終値!E101:R101-終値!F101:S101))/SUMPRODUCT((終値!E101:R101&lt;終値!F101:S101)*(終値!F101:S101-終値!E101:R101))),100))</f>
        <v>52.501883948756593</v>
      </c>
      <c r="R101" s="503">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59.356801648924495</v>
      </c>
      <c r="S101" s="500"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0" t="str">
        <f t="shared" si="14"/>
        <v>－</v>
      </c>
      <c r="U101" s="500" t="str">
        <f>IF(終値!A101="","",BB_スイング!BT101)</f>
        <v>－</v>
      </c>
      <c r="V101" s="508">
        <f>IF($D101="","",IFERROR(出来高!E101/AVERAGE(出来高!E101:I101),""))</f>
        <v>0.59995513063887063</v>
      </c>
      <c r="W101" s="509"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4">
        <f t="shared" si="20"/>
        <v>20</v>
      </c>
      <c r="Y101" s="501">
        <f t="shared" si="15"/>
        <v>2954</v>
      </c>
      <c r="Z101" s="501">
        <f t="shared" si="16"/>
        <v>2978.3050192169735</v>
      </c>
      <c r="AA101" s="501">
        <f t="shared" si="17"/>
        <v>2805.4736842105262</v>
      </c>
      <c r="AB101" s="501">
        <f t="shared" si="21"/>
        <v>3151.1363542234208</v>
      </c>
      <c r="AC101" s="507">
        <f t="shared" si="18"/>
        <v>1.33</v>
      </c>
      <c r="AD101" s="501">
        <f>IF($D101="","",MIN(終値!E101:I101))</f>
        <v>2860.5</v>
      </c>
      <c r="AE101" s="503">
        <f t="shared" si="19"/>
        <v>20.098990000000001</v>
      </c>
    </row>
    <row r="102" spans="1:31">
      <c r="A102" s="500" t="str">
        <f>IF(終値!A102="","",HYPERLINK("https://kabutan.jp/stock/?code="&amp;終値!A102,"📈"))</f>
        <v>📈</v>
      </c>
      <c r="B102" s="500" t="str">
        <f>IF(終値!A102="","",終値!A102)</f>
        <v>5802</v>
      </c>
      <c r="C102" s="499" t="str">
        <f>IF(終値!A102="","",終値!B102)</f>
        <v>住友電工</v>
      </c>
      <c r="D102" s="501">
        <f>IF(終値!A102="","",終値!E102)</f>
        <v>2158.5</v>
      </c>
      <c r="E102" s="501">
        <f>IF($D102="","",AVERAGE(終値!E102:X102))</f>
        <v>2265</v>
      </c>
      <c r="F102" s="502">
        <f>IF($D102="","",STDEVP(終値!E102:X102))</f>
        <v>106.5</v>
      </c>
      <c r="G102" s="501">
        <f>IF($D102="","",$E102+BB設定!$B$4*$F102)</f>
        <v>2478</v>
      </c>
      <c r="H102" s="501">
        <f>IF($D102="","",$E102+BB設定!$B$5*$F102)</f>
        <v>2371.5</v>
      </c>
      <c r="I102" s="501">
        <f>IF($D102="","",$E102-BB設定!$B$5*$F102)</f>
        <v>2158.5</v>
      </c>
      <c r="J102" s="501">
        <f>IF($D102="","",$E102-BB設定!$B$4*$F102)</f>
        <v>2052</v>
      </c>
      <c r="K102" s="506">
        <f t="shared" si="11"/>
        <v>0.25</v>
      </c>
      <c r="L102" s="505">
        <f t="shared" si="12"/>
        <v>18.807947019867548</v>
      </c>
      <c r="M102" s="505">
        <f>IF($D102="","",IFERROR(MIN(BB_帯幅!B102:AP102)*100,""))</f>
        <v>0</v>
      </c>
      <c r="N102" s="500" t="str">
        <f>IF($L102="","",IF($L102&lt;=$M102*BB設定!$B$7,"スクイーズ★",IF($L102&lt;=$M102*1.3,"収縮","－")))</f>
        <v>－</v>
      </c>
      <c r="O102" s="500" t="str">
        <f>IF($D102="","",IF(AND(BB_帯幅!B102&gt;BB_帯幅!C102,BB_帯幅!C102&gt;BB_帯幅!D102),"拡大↑","縮小↓"))</f>
        <v>縮小↓</v>
      </c>
      <c r="P102" s="500" t="str">
        <f t="shared" si="13"/>
        <v>バンド内</v>
      </c>
      <c r="Q102" s="503">
        <f>IF($D102="","",IFERROR(100-100/(1+SUMPRODUCT((終値!E102:R102&gt;終値!F102:S102)*(終値!E102:R102-終値!F102:S102))/SUMPRODUCT((終値!E102:R102&lt;終値!F102:S102)*(終値!F102:S102-終値!E102:R102))),100))</f>
        <v>91.758560650029011</v>
      </c>
      <c r="R102" s="503">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50.926976604133799</v>
      </c>
      <c r="S102" s="500"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弱気div▼</v>
      </c>
      <c r="T102" s="500" t="str">
        <f t="shared" si="14"/>
        <v>下walk▼</v>
      </c>
      <c r="U102" s="500" t="str">
        <f>IF(終値!A102="","",BB_スイング!BT102)</f>
        <v>－</v>
      </c>
      <c r="V102" s="508">
        <f>IF($D102="","",IFERROR(出来高!E102/AVERAGE(出来高!E102:I102),""))</f>
        <v>1.0162038103987299</v>
      </c>
      <c r="W102" s="509"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様子見</v>
      </c>
      <c r="X102" s="504">
        <f t="shared" si="20"/>
        <v>0</v>
      </c>
      <c r="Y102" s="501">
        <f t="shared" si="15"/>
        <v>2158.5</v>
      </c>
      <c r="Z102" s="501">
        <f t="shared" si="16"/>
        <v>2371.5</v>
      </c>
      <c r="AA102" s="501">
        <f t="shared" si="17"/>
        <v>2158.5</v>
      </c>
      <c r="AB102" s="501">
        <f t="shared" si="21"/>
        <v>2478</v>
      </c>
      <c r="AC102" s="507" t="str">
        <f t="shared" si="18"/>
        <v>－</v>
      </c>
      <c r="AD102" s="501">
        <f>IF($D102="","",MIN(終値!E102:I102))</f>
        <v>2158.5</v>
      </c>
      <c r="AE102" s="503">
        <f t="shared" si="19"/>
        <v>9.8979999999999999E-2</v>
      </c>
    </row>
    <row r="103" spans="1:31">
      <c r="A103" s="500" t="str">
        <f>IF(終値!A103="","",HYPERLINK("https://kabutan.jp/stock/?code="&amp;終値!A103,"📈"))</f>
        <v>📈</v>
      </c>
      <c r="B103" s="500" t="str">
        <f>IF(終値!A103="","",終値!A103)</f>
        <v>5803</v>
      </c>
      <c r="C103" s="499" t="str">
        <f>IF(終値!A103="","",終値!B103)</f>
        <v>フジクラ</v>
      </c>
      <c r="D103" s="501">
        <f>IF(終値!A103="","",終値!E103)</f>
        <v>4596</v>
      </c>
      <c r="E103" s="501">
        <f>IF($D103="","",AVERAGE(終値!E103:X103))</f>
        <v>4585.8</v>
      </c>
      <c r="F103" s="502">
        <f>IF($D103="","",STDEVP(終値!E103:X103))</f>
        <v>410.07774872577517</v>
      </c>
      <c r="G103" s="501">
        <f>IF($D103="","",$E103+BB設定!$B$4*$F103)</f>
        <v>5405.9554974515504</v>
      </c>
      <c r="H103" s="501">
        <f>IF($D103="","",$E103+BB設定!$B$5*$F103)</f>
        <v>4995.8777487257757</v>
      </c>
      <c r="I103" s="501">
        <f>IF($D103="","",$E103-BB設定!$B$5*$F103)</f>
        <v>4175.7222512742246</v>
      </c>
      <c r="J103" s="501">
        <f>IF($D103="","",$E103-BB設定!$B$4*$F103)</f>
        <v>3765.64450254845</v>
      </c>
      <c r="K103" s="506">
        <f t="shared" si="11"/>
        <v>0.50621833300617625</v>
      </c>
      <c r="L103" s="505">
        <f t="shared" si="12"/>
        <v>35.76935310966681</v>
      </c>
      <c r="M103" s="505">
        <f>IF($D103="","",IFERROR(MIN(BB_帯幅!B103:AP103)*100,""))</f>
        <v>29.576515045474384</v>
      </c>
      <c r="N103" s="500" t="str">
        <f>IF($L103="","",IF($L103&lt;=$M103*BB設定!$B$7,"スクイーズ★",IF($L103&lt;=$M103*1.3,"収縮","－")))</f>
        <v>収縮</v>
      </c>
      <c r="O103" s="500" t="str">
        <f>IF($D103="","",IF(AND(BB_帯幅!B103&gt;BB_帯幅!C103,BB_帯幅!C103&gt;BB_帯幅!D103),"拡大↑","縮小↓"))</f>
        <v>縮小↓</v>
      </c>
      <c r="P103" s="500" t="str">
        <f t="shared" si="13"/>
        <v>バンド内</v>
      </c>
      <c r="Q103" s="503">
        <f>IF($D103="","",IFERROR(100-100/(1+SUMPRODUCT((終値!E103:R103&gt;終値!F103:S103)*(終値!E103:R103-終値!F103:S103))/SUMPRODUCT((終値!E103:R103&lt;終値!F103:S103)*(終値!F103:S103-終値!E103:R103))),100))</f>
        <v>42.800944138473646</v>
      </c>
      <c r="R103" s="503">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40.373206157834197</v>
      </c>
      <c r="S103" s="500"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強気div▲</v>
      </c>
      <c r="T103" s="500" t="str">
        <f t="shared" si="14"/>
        <v>－</v>
      </c>
      <c r="U103" s="500" t="str">
        <f>IF(終値!A103="","",BB_スイング!BT103)</f>
        <v>－</v>
      </c>
      <c r="V103" s="508">
        <f>IF($D103="","",IFERROR(出来高!E103/AVERAGE(出来高!E103:I103),""))</f>
        <v>1.05723338016916</v>
      </c>
      <c r="W103" s="509"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○反発(ダイバ)買</v>
      </c>
      <c r="X103" s="504">
        <f t="shared" si="20"/>
        <v>35</v>
      </c>
      <c r="Y103" s="501">
        <f t="shared" si="15"/>
        <v>4596</v>
      </c>
      <c r="Z103" s="501">
        <f t="shared" si="16"/>
        <v>4995.8777487257757</v>
      </c>
      <c r="AA103" s="501">
        <f t="shared" si="17"/>
        <v>4585.8</v>
      </c>
      <c r="AB103" s="501">
        <f t="shared" si="21"/>
        <v>5405.9554974515504</v>
      </c>
      <c r="AC103" s="507">
        <f t="shared" si="18"/>
        <v>20</v>
      </c>
      <c r="AD103" s="501">
        <f>IF($D103="","",MIN(終値!E103:I103))</f>
        <v>4172</v>
      </c>
      <c r="AE103" s="503">
        <f t="shared" si="19"/>
        <v>35.098970000000001</v>
      </c>
    </row>
    <row r="104" spans="1:31">
      <c r="A104" s="500" t="str">
        <f>IF(終値!A104="","",HYPERLINK("https://kabutan.jp/stock/?code="&amp;終値!A104,"📈"))</f>
        <v>📈</v>
      </c>
      <c r="B104" s="500" t="str">
        <f>IF(終値!A104="","",終値!A104)</f>
        <v>6178</v>
      </c>
      <c r="C104" s="499" t="str">
        <f>IF(終値!A104="","",終値!B104)</f>
        <v>日本郵政</v>
      </c>
      <c r="D104" s="501">
        <f>IF(終値!A104="","",終値!E104)</f>
        <v>2395</v>
      </c>
      <c r="E104" s="501">
        <f>IF($D104="","",AVERAGE(終値!E104:X104))</f>
        <v>2398.6999999999998</v>
      </c>
      <c r="F104" s="502">
        <f>IF($D104="","",STDEVP(終値!E104:X104))</f>
        <v>60.180852436634702</v>
      </c>
      <c r="G104" s="501">
        <f>IF($D104="","",$E104+BB設定!$B$4*$F104)</f>
        <v>2519.0617048732693</v>
      </c>
      <c r="H104" s="501">
        <f>IF($D104="","",$E104+BB設定!$B$5*$F104)</f>
        <v>2458.8808524366345</v>
      </c>
      <c r="I104" s="501">
        <f>IF($D104="","",$E104-BB設定!$B$5*$F104)</f>
        <v>2338.5191475633651</v>
      </c>
      <c r="J104" s="501">
        <f>IF($D104="","",$E104-BB設定!$B$4*$F104)</f>
        <v>2278.3382951267304</v>
      </c>
      <c r="K104" s="506">
        <f t="shared" si="11"/>
        <v>0.48462966271582975</v>
      </c>
      <c r="L104" s="505">
        <f t="shared" si="12"/>
        <v>10.035578010861672</v>
      </c>
      <c r="M104" s="505">
        <f>IF($D104="","",IFERROR(MIN(BB_帯幅!B104:AP104)*100,""))</f>
        <v>9.1616696337256709</v>
      </c>
      <c r="N104" s="500" t="str">
        <f>IF($L104="","",IF($L104&lt;=$M104*BB設定!$B$7,"スクイーズ★",IF($L104&lt;=$M104*1.3,"収縮","－")))</f>
        <v>スクイーズ★</v>
      </c>
      <c r="O104" s="500" t="str">
        <f>IF($D104="","",IF(AND(BB_帯幅!B104&gt;BB_帯幅!C104,BB_帯幅!C104&gt;BB_帯幅!D104),"拡大↑","縮小↓"))</f>
        <v>縮小↓</v>
      </c>
      <c r="P104" s="500" t="str">
        <f t="shared" si="13"/>
        <v>バンド内</v>
      </c>
      <c r="Q104" s="503">
        <f>IF($D104="","",IFERROR(100-100/(1+SUMPRODUCT((終値!E104:R104&gt;終値!F104:S104)*(終値!E104:R104-終値!F104:S104))/SUMPRODUCT((終値!E104:R104&lt;終値!F104:S104)*(終値!F104:S104-終値!E104:R104))),100))</f>
        <v>48.900615655233075</v>
      </c>
      <c r="R104" s="503">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61.822516345977178</v>
      </c>
      <c r="S104" s="500"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v>
      </c>
      <c r="T104" s="500" t="str">
        <f t="shared" si="14"/>
        <v>－</v>
      </c>
      <c r="U104" s="500" t="str">
        <f>IF(終値!A104="","",BB_スイング!BT104)</f>
        <v>二番底W形成</v>
      </c>
      <c r="V104" s="508">
        <f>IF($D104="","",IFERROR(出来高!E104/AVERAGE(出来高!E104:I104),""))</f>
        <v>0.76015366663953077</v>
      </c>
      <c r="W104" s="509"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△二番底形成</v>
      </c>
      <c r="X104" s="504">
        <f t="shared" si="20"/>
        <v>25</v>
      </c>
      <c r="Y104" s="501">
        <f t="shared" si="15"/>
        <v>2395</v>
      </c>
      <c r="Z104" s="501">
        <f t="shared" si="16"/>
        <v>2458.8808524366345</v>
      </c>
      <c r="AA104" s="501">
        <f t="shared" si="17"/>
        <v>2327.5</v>
      </c>
      <c r="AB104" s="501">
        <f t="shared" si="21"/>
        <v>2519.0617048732693</v>
      </c>
      <c r="AC104" s="507">
        <f t="shared" si="18"/>
        <v>1.84</v>
      </c>
      <c r="AD104" s="501">
        <f>IF($D104="","",MIN(終値!E104:I104))</f>
        <v>2327.5</v>
      </c>
      <c r="AE104" s="503">
        <f t="shared" si="19"/>
        <v>25.098960000000002</v>
      </c>
    </row>
    <row r="105" spans="1:31">
      <c r="A105" s="500" t="str">
        <f>IF(終値!A105="","",HYPERLINK("https://kabutan.jp/stock/?code="&amp;終値!A105,"📈"))</f>
        <v>📈</v>
      </c>
      <c r="B105" s="500" t="str">
        <f>IF(終値!A105="","",終値!A105)</f>
        <v>6925</v>
      </c>
      <c r="C105" s="499" t="str">
        <f>IF(終値!A105="","",終値!B105)</f>
        <v>ウシオ電機</v>
      </c>
      <c r="D105" s="501">
        <f>IF(終値!A105="","",終値!E105)</f>
        <v>4093</v>
      </c>
      <c r="E105" s="501">
        <f>IF($D105="","",AVERAGE(終値!E105:X105))</f>
        <v>4043.65</v>
      </c>
      <c r="F105" s="502">
        <f>IF($D105="","",STDEVP(終値!E105:X105))</f>
        <v>226.13409185702187</v>
      </c>
      <c r="G105" s="501">
        <f>IF($D105="","",$E105+BB設定!$B$4*$F105)</f>
        <v>4495.9181837140441</v>
      </c>
      <c r="H105" s="501">
        <f>IF($D105="","",$E105+BB設定!$B$5*$F105)</f>
        <v>4269.7840918570218</v>
      </c>
      <c r="I105" s="501">
        <f>IF($D105="","",$E105-BB設定!$B$5*$F105)</f>
        <v>3817.5159081429783</v>
      </c>
      <c r="J105" s="501">
        <f>IF($D105="","",$E105-BB設定!$B$4*$F105)</f>
        <v>3591.3818162859561</v>
      </c>
      <c r="K105" s="506">
        <f t="shared" si="11"/>
        <v>0.5545583370410182</v>
      </c>
      <c r="L105" s="505">
        <f t="shared" si="12"/>
        <v>22.369304154120361</v>
      </c>
      <c r="M105" s="505">
        <f>IF($D105="","",IFERROR(MIN(BB_帯幅!B105:AP105)*100,""))</f>
        <v>13.430293395078552</v>
      </c>
      <c r="N105" s="500" t="str">
        <f>IF($L105="","",IF($L105&lt;=$M105*BB設定!$B$7,"スクイーズ★",IF($L105&lt;=$M105*1.3,"収縮","－")))</f>
        <v>－</v>
      </c>
      <c r="O105" s="500" t="str">
        <f>IF($D105="","",IF(AND(BB_帯幅!B105&gt;BB_帯幅!C105,BB_帯幅!C105&gt;BB_帯幅!D105),"拡大↑","縮小↓"))</f>
        <v>縮小↓</v>
      </c>
      <c r="P105" s="500" t="str">
        <f t="shared" si="13"/>
        <v>バンド内</v>
      </c>
      <c r="Q105" s="503">
        <f>IF($D105="","",IFERROR(100-100/(1+SUMPRODUCT((終値!E105:R105&gt;終値!F105:S105)*(終値!E105:R105-終値!F105:S105))/SUMPRODUCT((終値!E105:R105&lt;終値!F105:S105)*(終値!F105:S105-終値!E105:R105))),100))</f>
        <v>47.180301826846701</v>
      </c>
      <c r="R105" s="503">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52.499751447760332</v>
      </c>
      <c r="S105" s="500"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強気div▲</v>
      </c>
      <c r="T105" s="500" t="str">
        <f t="shared" si="14"/>
        <v>－</v>
      </c>
      <c r="U105" s="500" t="str">
        <f>IF(終値!A105="","",BB_スイング!BT105)</f>
        <v>二番天井M形成</v>
      </c>
      <c r="V105" s="508">
        <f>IF($D105="","",IFERROR(出来高!E105/AVERAGE(出来高!E105:I105),""))</f>
        <v>0.91503267973856206</v>
      </c>
      <c r="W105" s="509"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4">
        <f t="shared" si="20"/>
        <v>15</v>
      </c>
      <c r="Y105" s="501">
        <f t="shared" si="15"/>
        <v>4093</v>
      </c>
      <c r="Z105" s="501">
        <f t="shared" si="16"/>
        <v>4269.7840918570218</v>
      </c>
      <c r="AA105" s="501">
        <f t="shared" si="17"/>
        <v>4043.65</v>
      </c>
      <c r="AB105" s="501">
        <f t="shared" si="21"/>
        <v>4495.9181837140441</v>
      </c>
      <c r="AC105" s="507">
        <f t="shared" si="18"/>
        <v>8.16</v>
      </c>
      <c r="AD105" s="501">
        <f>IF($D105="","",MIN(終値!E105:I105))</f>
        <v>3786</v>
      </c>
      <c r="AE105" s="503">
        <f t="shared" si="19"/>
        <v>15.09895</v>
      </c>
    </row>
    <row r="106" spans="1:31">
      <c r="A106" s="500" t="str">
        <f>IF(終値!A106="","",HYPERLINK("https://kabutan.jp/stock/?code="&amp;終値!A106,"📈"))</f>
        <v>📈</v>
      </c>
      <c r="B106" s="500" t="str">
        <f>IF(終値!A106="","",終値!A106)</f>
        <v>7021</v>
      </c>
      <c r="C106" s="499" t="str">
        <f>IF(終値!A106="","",終値!B106)</f>
        <v>ニッチツ</v>
      </c>
      <c r="D106" s="501">
        <f>IF(終値!A106="","",終値!E106)</f>
        <v>2089</v>
      </c>
      <c r="E106" s="501">
        <f>IF($D106="","",AVERAGE(終値!E106:X106))</f>
        <v>1934.5</v>
      </c>
      <c r="F106" s="502">
        <f>IF($D106="","",STDEVP(終値!E106:X106))</f>
        <v>83.998511891580549</v>
      </c>
      <c r="G106" s="501">
        <f>IF($D106="","",$E106+BB設定!$B$4*$F106)</f>
        <v>2102.4970237831612</v>
      </c>
      <c r="H106" s="501">
        <f>IF($D106="","",$E106+BB設定!$B$5*$F106)</f>
        <v>2018.4985118915806</v>
      </c>
      <c r="I106" s="501">
        <f>IF($D106="","",$E106-BB設定!$B$5*$F106)</f>
        <v>1850.5014881084194</v>
      </c>
      <c r="J106" s="501">
        <f>IF($D106="","",$E106-BB設定!$B$4*$F106)</f>
        <v>1766.502976216839</v>
      </c>
      <c r="K106" s="506">
        <f t="shared" si="11"/>
        <v>0.95982957471740016</v>
      </c>
      <c r="L106" s="505">
        <f t="shared" si="12"/>
        <v>17.368521456000117</v>
      </c>
      <c r="M106" s="505">
        <f>IF($D106="","",IFERROR(MIN(BB_帯幅!B106:AP106)*100,""))</f>
        <v>3.6274491696683708</v>
      </c>
      <c r="N106" s="500" t="str">
        <f>IF($L106="","",IF($L106&lt;=$M106*BB設定!$B$7,"スクイーズ★",IF($L106&lt;=$M106*1.3,"収縮","－")))</f>
        <v>－</v>
      </c>
      <c r="O106" s="500" t="str">
        <f>IF($D106="","",IF(AND(BB_帯幅!B106&gt;BB_帯幅!C106,BB_帯幅!C106&gt;BB_帯幅!D106),"拡大↑","縮小↓"))</f>
        <v>拡大↑</v>
      </c>
      <c r="P106" s="500" t="str">
        <f t="shared" si="13"/>
        <v>+1σ上</v>
      </c>
      <c r="Q106" s="503">
        <f>IF($D106="","",IFERROR(100-100/(1+SUMPRODUCT((終値!E106:R106&gt;終値!F106:S106)*(終値!E106:R106-終値!F106:S106))/SUMPRODUCT((終値!E106:R106&lt;終値!F106:S106)*(終値!F106:S106-終値!E106:R106))),100))</f>
        <v>89.576547231270354</v>
      </c>
      <c r="R106" s="503">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88.854481762582395</v>
      </c>
      <c r="S106" s="500"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0" t="str">
        <f t="shared" si="14"/>
        <v>上walk▲</v>
      </c>
      <c r="U106" s="500" t="str">
        <f>IF(終値!A106="","",BB_スイング!BT106)</f>
        <v>－</v>
      </c>
      <c r="V106" s="508">
        <f>IF($D106="","",IFERROR(出来高!E106/AVERAGE(出来高!E106:I106),""))</f>
        <v>0.94594594594594594</v>
      </c>
      <c r="W106" s="509"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4">
        <f t="shared" si="20"/>
        <v>45</v>
      </c>
      <c r="Y106" s="501">
        <f t="shared" si="15"/>
        <v>2089</v>
      </c>
      <c r="Z106" s="501">
        <f t="shared" si="16"/>
        <v>2018.4985118915806</v>
      </c>
      <c r="AA106" s="501">
        <f t="shared" si="17"/>
        <v>1934.5</v>
      </c>
      <c r="AB106" s="501">
        <f t="shared" si="21"/>
        <v>2102.4970237831612</v>
      </c>
      <c r="AC106" s="507">
        <f t="shared" si="18"/>
        <v>0.09</v>
      </c>
      <c r="AD106" s="501">
        <f>IF($D106="","",MIN(終値!E106:I106))</f>
        <v>2009</v>
      </c>
      <c r="AE106" s="503">
        <f t="shared" si="19"/>
        <v>45.098939999999999</v>
      </c>
    </row>
    <row r="107" spans="1:31">
      <c r="A107" s="500" t="str">
        <f>IF(終値!A107="","",HYPERLINK("https://kabutan.jp/stock/?code="&amp;終値!A107,"📈"))</f>
        <v>📈</v>
      </c>
      <c r="B107" s="500" t="str">
        <f>IF(終値!A107="","",終値!A107)</f>
        <v>7729</v>
      </c>
      <c r="C107" s="499" t="str">
        <f>IF(終値!A107="","",終値!B107)</f>
        <v>東京精密</v>
      </c>
      <c r="D107" s="501">
        <f>IF(終値!A107="","",終値!E107)</f>
        <v>17990</v>
      </c>
      <c r="E107" s="501">
        <f>IF($D107="","",AVERAGE(終値!E107:X107))</f>
        <v>17677</v>
      </c>
      <c r="F107" s="502">
        <f>IF($D107="","",STDEVP(終値!E107:X107))</f>
        <v>1124.4958870533942</v>
      </c>
      <c r="G107" s="501">
        <f>IF($D107="","",$E107+BB設定!$B$4*$F107)</f>
        <v>19925.991774106787</v>
      </c>
      <c r="H107" s="501">
        <f>IF($D107="","",$E107+BB設定!$B$5*$F107)</f>
        <v>18801.495887053396</v>
      </c>
      <c r="I107" s="501">
        <f>IF($D107="","",$E107-BB設定!$B$5*$F107)</f>
        <v>16552.504112946604</v>
      </c>
      <c r="J107" s="501">
        <f>IF($D107="","",$E107-BB設定!$B$4*$F107)</f>
        <v>15428.008225893213</v>
      </c>
      <c r="K107" s="506">
        <f t="shared" si="11"/>
        <v>0.56958673740020938</v>
      </c>
      <c r="L107" s="505">
        <f t="shared" si="12"/>
        <v>25.445401076051226</v>
      </c>
      <c r="M107" s="505">
        <f>IF($D107="","",IFERROR(MIN(BB_帯幅!B107:AP107)*100,""))</f>
        <v>17.848279450939273</v>
      </c>
      <c r="N107" s="500" t="str">
        <f>IF($L107="","",IF($L107&lt;=$M107*BB設定!$B$7,"スクイーズ★",IF($L107&lt;=$M107*1.3,"収縮","－")))</f>
        <v>－</v>
      </c>
      <c r="O107" s="500" t="str">
        <f>IF($D107="","",IF(AND(BB_帯幅!B107&gt;BB_帯幅!C107,BB_帯幅!C107&gt;BB_帯幅!D107),"拡大↑","縮小↓"))</f>
        <v>縮小↓</v>
      </c>
      <c r="P107" s="500" t="str">
        <f t="shared" si="13"/>
        <v>バンド内</v>
      </c>
      <c r="Q107" s="503">
        <f>IF($D107="","",IFERROR(100-100/(1+SUMPRODUCT((終値!E107:R107&gt;終値!F107:S107)*(終値!E107:R107-終値!F107:S107))/SUMPRODUCT((終値!E107:R107&lt;終値!F107:S107)*(終値!F107:S107-終値!E107:R107))),100))</f>
        <v>45.189274447949522</v>
      </c>
      <c r="R107" s="503">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59.092598763958584</v>
      </c>
      <c r="S107" s="500"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強気div▲</v>
      </c>
      <c r="T107" s="500" t="str">
        <f t="shared" si="14"/>
        <v>－</v>
      </c>
      <c r="U107" s="500" t="str">
        <f>IF(終値!A107="","",BB_スイング!BT107)</f>
        <v>二番天井M形成</v>
      </c>
      <c r="V107" s="508">
        <f>IF($D107="","",IFERROR(出来高!E107/AVERAGE(出来高!E107:I107),""))</f>
        <v>0.84990190623993445</v>
      </c>
      <c r="W107" s="509"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4">
        <f t="shared" si="20"/>
        <v>15</v>
      </c>
      <c r="Y107" s="501">
        <f t="shared" si="15"/>
        <v>17990</v>
      </c>
      <c r="Z107" s="501">
        <f t="shared" si="16"/>
        <v>18801.495887053396</v>
      </c>
      <c r="AA107" s="501">
        <f t="shared" si="17"/>
        <v>17677</v>
      </c>
      <c r="AB107" s="501">
        <f t="shared" si="21"/>
        <v>19925.991774106787</v>
      </c>
      <c r="AC107" s="507">
        <f t="shared" si="18"/>
        <v>6.19</v>
      </c>
      <c r="AD107" s="501">
        <f>IF($D107="","",MIN(終値!E107:I107))</f>
        <v>17160</v>
      </c>
      <c r="AE107" s="503">
        <f t="shared" si="19"/>
        <v>15.098929999999999</v>
      </c>
    </row>
    <row r="108" spans="1:31">
      <c r="A108" s="500" t="str">
        <f>IF(終値!A108="","",HYPERLINK("https://kabutan.jp/stock/?code="&amp;終値!A108,"📈"))</f>
        <v>📈</v>
      </c>
      <c r="B108" s="500" t="str">
        <f>IF(終値!A108="","",終値!A108)</f>
        <v>8424</v>
      </c>
      <c r="C108" s="499" t="str">
        <f>IF(終値!A108="","",終値!B108)</f>
        <v>芙蓉総合リース</v>
      </c>
      <c r="D108" s="501">
        <f>IF(終値!A108="","",終値!E108)</f>
        <v>4413</v>
      </c>
      <c r="E108" s="501">
        <f>IF($D108="","",AVERAGE(終値!E108:X108))</f>
        <v>4404.5</v>
      </c>
      <c r="F108" s="502">
        <f>IF($D108="","",STDEVP(終値!E108:X108))</f>
        <v>94.857524741055741</v>
      </c>
      <c r="G108" s="501">
        <f>IF($D108="","",$E108+BB設定!$B$4*$F108)</f>
        <v>4594.2150494821117</v>
      </c>
      <c r="H108" s="501">
        <f>IF($D108="","",$E108+BB設定!$B$5*$F108)</f>
        <v>4499.3575247410554</v>
      </c>
      <c r="I108" s="501">
        <f>IF($D108="","",$E108-BB設定!$B$5*$F108)</f>
        <v>4309.6424752589446</v>
      </c>
      <c r="J108" s="501">
        <f>IF($D108="","",$E108-BB設定!$B$4*$F108)</f>
        <v>4214.7849505178883</v>
      </c>
      <c r="K108" s="506">
        <f t="shared" si="11"/>
        <v>0.52240201824579413</v>
      </c>
      <c r="L108" s="505">
        <f t="shared" si="12"/>
        <v>8.6146009527579377</v>
      </c>
      <c r="M108" s="505">
        <f>IF($D108="","",IFERROR(MIN(BB_帯幅!B108:AP108)*100,""))</f>
        <v>3.4914949028345013</v>
      </c>
      <c r="N108" s="500" t="str">
        <f>IF($L108="","",IF($L108&lt;=$M108*BB設定!$B$7,"スクイーズ★",IF($L108&lt;=$M108*1.3,"収縮","－")))</f>
        <v>－</v>
      </c>
      <c r="O108" s="500" t="str">
        <f>IF($D108="","",IF(AND(BB_帯幅!B108&gt;BB_帯幅!C108,BB_帯幅!C108&gt;BB_帯幅!D108),"拡大↑","縮小↓"))</f>
        <v>縮小↓</v>
      </c>
      <c r="P108" s="500" t="str">
        <f t="shared" si="13"/>
        <v>バンド内</v>
      </c>
      <c r="Q108" s="503">
        <f>IF($D108="","",IFERROR(100-100/(1+SUMPRODUCT((終値!E108:R108&gt;終値!F108:S108)*(終値!E108:R108-終値!F108:S108))/SUMPRODUCT((終値!E108:R108&lt;終値!F108:S108)*(終値!F108:S108-終値!E108:R108))),100))</f>
        <v>53.801169590643276</v>
      </c>
      <c r="R108" s="503">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53.979379157850687</v>
      </c>
      <c r="S108" s="500"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v>
      </c>
      <c r="T108" s="500" t="str">
        <f t="shared" si="14"/>
        <v>－</v>
      </c>
      <c r="U108" s="500" t="str">
        <f>IF(終値!A108="","",BB_スイング!BT108)</f>
        <v>－</v>
      </c>
      <c r="V108" s="508">
        <f>IF($D108="","",IFERROR(出来高!E108/AVERAGE(出来高!E108:I108),""))</f>
        <v>0.58421851289833082</v>
      </c>
      <c r="W108" s="509"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・押し目注目</v>
      </c>
      <c r="X108" s="504">
        <f t="shared" si="20"/>
        <v>20</v>
      </c>
      <c r="Y108" s="501">
        <f t="shared" si="15"/>
        <v>4413</v>
      </c>
      <c r="Z108" s="501">
        <f t="shared" si="16"/>
        <v>4499.3575247410554</v>
      </c>
      <c r="AA108" s="501">
        <f t="shared" si="17"/>
        <v>4404.5</v>
      </c>
      <c r="AB108" s="501">
        <f t="shared" si="21"/>
        <v>4594.2150494821117</v>
      </c>
      <c r="AC108" s="507">
        <f t="shared" si="18"/>
        <v>20</v>
      </c>
      <c r="AD108" s="501">
        <f>IF($D108="","",MIN(終値!E108:I108))</f>
        <v>4365</v>
      </c>
      <c r="AE108" s="503">
        <f t="shared" si="19"/>
        <v>20.09892</v>
      </c>
    </row>
    <row r="109" spans="1:31">
      <c r="A109" s="500" t="str">
        <f>IF(終値!A109="","",HYPERLINK("https://kabutan.jp/stock/?code="&amp;終値!A109,"📈"))</f>
        <v>📈</v>
      </c>
      <c r="B109" s="500" t="str">
        <f>IF(終値!A109="","",終値!A109)</f>
        <v>9020</v>
      </c>
      <c r="C109" s="499" t="str">
        <f>IF(終値!A109="","",終値!B109)</f>
        <v>東日本旅客鉄道</v>
      </c>
      <c r="D109" s="501">
        <f>IF(終値!A109="","",終値!E109)</f>
        <v>3428</v>
      </c>
      <c r="E109" s="501">
        <f>IF($D109="","",AVERAGE(終値!E109:X109))</f>
        <v>3597.15</v>
      </c>
      <c r="F109" s="502">
        <f>IF($D109="","",STDEVP(終値!E109:X109))</f>
        <v>146.92932825001276</v>
      </c>
      <c r="G109" s="501">
        <f>IF($D109="","",$E109+BB設定!$B$4*$F109)</f>
        <v>3891.0086565000256</v>
      </c>
      <c r="H109" s="501">
        <f>IF($D109="","",$E109+BB設定!$B$5*$F109)</f>
        <v>3744.0793282500126</v>
      </c>
      <c r="I109" s="501">
        <f>IF($D109="","",$E109-BB設定!$B$5*$F109)</f>
        <v>3450.2206717499876</v>
      </c>
      <c r="J109" s="501">
        <f>IF($D109="","",$E109-BB設定!$B$4*$F109)</f>
        <v>3303.2913434999746</v>
      </c>
      <c r="K109" s="506">
        <f t="shared" si="11"/>
        <v>0.21219156513092988</v>
      </c>
      <c r="L109" s="505">
        <f t="shared" si="12"/>
        <v>16.338415495602103</v>
      </c>
      <c r="M109" s="505">
        <f>IF($D109="","",IFERROR(MIN(BB_帯幅!B109:AP109)*100,""))</f>
        <v>5.3265008081435434</v>
      </c>
      <c r="N109" s="500" t="str">
        <f>IF($L109="","",IF($L109&lt;=$M109*BB設定!$B$7,"スクイーズ★",IF($L109&lt;=$M109*1.3,"収縮","－")))</f>
        <v>－</v>
      </c>
      <c r="O109" s="500" t="str">
        <f>IF($D109="","",IF(AND(BB_帯幅!B109&gt;BB_帯幅!C109,BB_帯幅!C109&gt;BB_帯幅!D109),"拡大↑","縮小↓"))</f>
        <v>拡大↑</v>
      </c>
      <c r="P109" s="500" t="str">
        <f t="shared" si="13"/>
        <v>-1σ下</v>
      </c>
      <c r="Q109" s="503">
        <f>IF($D109="","",IFERROR(100-100/(1+SUMPRODUCT((終値!E109:R109&gt;終値!F109:S109)*(終値!E109:R109-終値!F109:S109))/SUMPRODUCT((終値!E109:R109&lt;終値!F109:S109)*(終値!F109:S109-終値!E109:R109))),100))</f>
        <v>43.379790940766554</v>
      </c>
      <c r="R109" s="503">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49.367751740521484</v>
      </c>
      <c r="S109" s="500"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0" t="str">
        <f t="shared" si="14"/>
        <v>下walk▼</v>
      </c>
      <c r="U109" s="500" t="str">
        <f>IF(終値!A109="","",BB_スイング!BT109)</f>
        <v>－</v>
      </c>
      <c r="V109" s="508">
        <f>IF($D109="","",IFERROR(出来高!E109/AVERAGE(出来高!E109:I109),""))</f>
        <v>0.84866653343103948</v>
      </c>
      <c r="W109" s="509"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様子見</v>
      </c>
      <c r="X109" s="504">
        <f t="shared" si="20"/>
        <v>0</v>
      </c>
      <c r="Y109" s="501">
        <f t="shared" si="15"/>
        <v>3428</v>
      </c>
      <c r="Z109" s="501">
        <f t="shared" si="16"/>
        <v>3744.0793282500126</v>
      </c>
      <c r="AA109" s="501">
        <f t="shared" si="17"/>
        <v>3369</v>
      </c>
      <c r="AB109" s="501">
        <f t="shared" si="21"/>
        <v>3891.0086565000256</v>
      </c>
      <c r="AC109" s="507">
        <f t="shared" si="18"/>
        <v>7.85</v>
      </c>
      <c r="AD109" s="501">
        <f>IF($D109="","",MIN(終値!E109:I109))</f>
        <v>3369</v>
      </c>
      <c r="AE109" s="503">
        <f t="shared" si="19"/>
        <v>9.8909999999999998E-2</v>
      </c>
    </row>
    <row r="110" spans="1:31" ht="24">
      <c r="A110" s="500" t="str">
        <f>IF(終値!A110="","",HYPERLINK("https://kabutan.jp/stock/?code="&amp;終値!A110,"📈"))</f>
        <v>📈</v>
      </c>
      <c r="B110" s="500" t="str">
        <f>IF(終値!A110="","",終値!A110)</f>
        <v>9069</v>
      </c>
      <c r="C110" s="499" t="str">
        <f>IF(終値!A110="","",終値!B110)</f>
        <v>センコーグループＨＬＤＧＳ</v>
      </c>
      <c r="D110" s="501">
        <f>IF(終値!A110="","",終値!E110)</f>
        <v>2215.5</v>
      </c>
      <c r="E110" s="501">
        <f>IF($D110="","",AVERAGE(終値!E110:X110))</f>
        <v>2169.4</v>
      </c>
      <c r="F110" s="502">
        <f>IF($D110="","",STDEVP(終値!E110:X110))</f>
        <v>66.895552916468219</v>
      </c>
      <c r="G110" s="501">
        <f>IF($D110="","",$E110+BB設定!$B$4*$F110)</f>
        <v>2303.1911058329365</v>
      </c>
      <c r="H110" s="501">
        <f>IF($D110="","",$E110+BB設定!$B$5*$F110)</f>
        <v>2236.2955529164683</v>
      </c>
      <c r="I110" s="501">
        <f>IF($D110="","",$E110-BB設定!$B$5*$F110)</f>
        <v>2102.5044470835319</v>
      </c>
      <c r="J110" s="501">
        <f>IF($D110="","",$E110-BB設定!$B$4*$F110)</f>
        <v>2035.6088941670637</v>
      </c>
      <c r="K110" s="506">
        <f t="shared" si="11"/>
        <v>0.67228350013626659</v>
      </c>
      <c r="L110" s="505">
        <f t="shared" si="12"/>
        <v>12.334387925964451</v>
      </c>
      <c r="M110" s="505">
        <f>IF($D110="","",IFERROR(MIN(BB_帯幅!B110:AP110)*100,""))</f>
        <v>4.6532547747415585</v>
      </c>
      <c r="N110" s="500" t="str">
        <f>IF($L110="","",IF($L110&lt;=$M110*BB設定!$B$7,"スクイーズ★",IF($L110&lt;=$M110*1.3,"収縮","－")))</f>
        <v>－</v>
      </c>
      <c r="O110" s="500" t="str">
        <f>IF($D110="","",IF(AND(BB_帯幅!B110&gt;BB_帯幅!C110,BB_帯幅!C110&gt;BB_帯幅!D110),"拡大↑","縮小↓"))</f>
        <v>縮小↓</v>
      </c>
      <c r="P110" s="500" t="str">
        <f t="shared" si="13"/>
        <v>バンド内</v>
      </c>
      <c r="Q110" s="503">
        <f>IF($D110="","",IFERROR(100-100/(1+SUMPRODUCT((終値!E110:R110&gt;終値!F110:S110)*(終値!E110:R110-終値!F110:S110))/SUMPRODUCT((終値!E110:R110&lt;終値!F110:S110)*(終値!F110:S110-終値!E110:R110))),100))</f>
        <v>62.225475841874086</v>
      </c>
      <c r="R110" s="503">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52.596312365641069</v>
      </c>
      <c r="S110" s="500"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0" t="str">
        <f t="shared" si="14"/>
        <v>－</v>
      </c>
      <c r="U110" s="500" t="str">
        <f>IF(終値!A110="","",BB_スイング!BT110)</f>
        <v>二番底W形成</v>
      </c>
      <c r="V110" s="508">
        <f>IF($D110="","",IFERROR(出来高!E110/AVERAGE(出来高!E110:I110),""))</f>
        <v>1.0835001766576375</v>
      </c>
      <c r="W110" s="509"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△二番底形成</v>
      </c>
      <c r="X110" s="504">
        <f t="shared" si="20"/>
        <v>20</v>
      </c>
      <c r="Y110" s="501">
        <f t="shared" si="15"/>
        <v>2215.5</v>
      </c>
      <c r="Z110" s="501">
        <f t="shared" si="16"/>
        <v>2236.2955529164683</v>
      </c>
      <c r="AA110" s="501">
        <f t="shared" si="17"/>
        <v>2169.4</v>
      </c>
      <c r="AB110" s="501">
        <f t="shared" si="21"/>
        <v>2303.1911058329365</v>
      </c>
      <c r="AC110" s="507">
        <f t="shared" si="18"/>
        <v>1.9</v>
      </c>
      <c r="AD110" s="501">
        <f>IF($D110="","",MIN(終値!E110:I110))</f>
        <v>2195</v>
      </c>
      <c r="AE110" s="503">
        <f t="shared" si="19"/>
        <v>20.0989</v>
      </c>
    </row>
    <row r="111" spans="1:31">
      <c r="A111" s="500" t="str">
        <f>IF(終値!A111="","",HYPERLINK("https://kabutan.jp/stock/?code="&amp;終値!A111,"📈"))</f>
        <v>📈</v>
      </c>
      <c r="B111" s="500" t="str">
        <f>IF(終値!A111="","",終値!A111)</f>
        <v>9227</v>
      </c>
      <c r="C111" s="499" t="str">
        <f>IF(終値!A111="","",終値!B111)</f>
        <v>マイクロ波化学</v>
      </c>
      <c r="D111" s="501">
        <f>IF(終値!A111="","",終値!E111)</f>
        <v>899</v>
      </c>
      <c r="E111" s="501">
        <f>IF($D111="","",AVERAGE(終値!E111:X111))</f>
        <v>851.84210526315792</v>
      </c>
      <c r="F111" s="502">
        <f>IF($D111="","",STDEVP(終値!E111:X111))</f>
        <v>39.042841729370942</v>
      </c>
      <c r="G111" s="501">
        <f>IF($D111="","",$E111+BB設定!$B$4*$F111)</f>
        <v>929.92778872189979</v>
      </c>
      <c r="H111" s="501">
        <f>IF($D111="","",$E111+BB設定!$B$5*$F111)</f>
        <v>890.88494699252885</v>
      </c>
      <c r="I111" s="501">
        <f>IF($D111="","",$E111-BB設定!$B$5*$F111)</f>
        <v>812.79926353378698</v>
      </c>
      <c r="J111" s="501">
        <f>IF($D111="","",$E111-BB設定!$B$4*$F111)</f>
        <v>773.75642180441605</v>
      </c>
      <c r="K111" s="506">
        <f t="shared" si="11"/>
        <v>0.80196248946043291</v>
      </c>
      <c r="L111" s="505">
        <f t="shared" si="12"/>
        <v>18.333370228187775</v>
      </c>
      <c r="M111" s="505">
        <f>IF($D111="","",IFERROR(MIN(BB_帯幅!B111:AP111)*100,""))</f>
        <v>9.7643499496260642</v>
      </c>
      <c r="N111" s="500" t="str">
        <f>IF($L111="","",IF($L111&lt;=$M111*BB設定!$B$7,"スクイーズ★",IF($L111&lt;=$M111*1.3,"収縮","－")))</f>
        <v>－</v>
      </c>
      <c r="O111" s="500" t="str">
        <f>IF($D111="","",IF(AND(BB_帯幅!B111&gt;BB_帯幅!C111,BB_帯幅!C111&gt;BB_帯幅!D111),"拡大↑","縮小↓"))</f>
        <v>縮小↓</v>
      </c>
      <c r="P111" s="500" t="str">
        <f t="shared" si="13"/>
        <v>+1σ上</v>
      </c>
      <c r="Q111" s="503">
        <f>IF($D111="","",IFERROR(100-100/(1+SUMPRODUCT((終値!E111:R111&gt;終値!F111:S111)*(終値!E111:R111-終値!F111:S111))/SUMPRODUCT((終値!E111:R111&lt;終値!F111:S111)*(終値!F111:S111-終値!E111:R111))),100))</f>
        <v>51.386787695410987</v>
      </c>
      <c r="R111" s="503">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84.238039833960684</v>
      </c>
      <c r="S111" s="500"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0" t="str">
        <f t="shared" si="14"/>
        <v>上walk▲</v>
      </c>
      <c r="U111" s="500" t="str">
        <f>IF(終値!A111="","",BB_スイング!BT111)</f>
        <v>－</v>
      </c>
      <c r="V111" s="508">
        <f>IF($D111="","",IFERROR(出来高!E111/AVERAGE(出来高!E111:I111),""))</f>
        <v>0.58389890007020828</v>
      </c>
      <c r="W111" s="509"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○順張り継続(walk)</v>
      </c>
      <c r="X111" s="504">
        <f t="shared" si="20"/>
        <v>42</v>
      </c>
      <c r="Y111" s="501">
        <f t="shared" si="15"/>
        <v>899</v>
      </c>
      <c r="Z111" s="501">
        <f t="shared" si="16"/>
        <v>890.88494699252885</v>
      </c>
      <c r="AA111" s="501">
        <f t="shared" si="17"/>
        <v>851.84210526315792</v>
      </c>
      <c r="AB111" s="501">
        <f t="shared" si="21"/>
        <v>929.92778872189979</v>
      </c>
      <c r="AC111" s="507">
        <f t="shared" si="18"/>
        <v>0.66</v>
      </c>
      <c r="AD111" s="501">
        <f>IF($D111="","",MIN(終値!E111:I111))</f>
        <v>850</v>
      </c>
      <c r="AE111" s="503">
        <f t="shared" si="19"/>
        <v>42.098889999999997</v>
      </c>
    </row>
    <row r="112" spans="1:31">
      <c r="A112" s="500" t="str">
        <f>IF(終値!A112="","",HYPERLINK("https://kabutan.jp/stock/?code="&amp;終値!A112,"📈"))</f>
        <v>📈</v>
      </c>
      <c r="B112" s="500" t="str">
        <f>IF(終値!A112="","",終値!A112)</f>
        <v>9348</v>
      </c>
      <c r="C112" s="499" t="str">
        <f>IF(終値!A112="","",終値!B112)</f>
        <v>ｉｓｐａｃｅ</v>
      </c>
      <c r="D112" s="501">
        <f>IF(終値!A112="","",終値!E112)</f>
        <v>417</v>
      </c>
      <c r="E112" s="501">
        <f>IF($D112="","",AVERAGE(終値!E112:X112))</f>
        <v>424.21052631578948</v>
      </c>
      <c r="F112" s="502">
        <f>IF($D112="","",STDEVP(終値!E112:X112))</f>
        <v>24.397107135172746</v>
      </c>
      <c r="G112" s="501">
        <f>IF($D112="","",$E112+BB設定!$B$4*$F112)</f>
        <v>473.00474058613497</v>
      </c>
      <c r="H112" s="501">
        <f>IF($D112="","",$E112+BB設定!$B$5*$F112)</f>
        <v>448.60763345096223</v>
      </c>
      <c r="I112" s="501">
        <f>IF($D112="","",$E112-BB設定!$B$5*$F112)</f>
        <v>399.81341918061673</v>
      </c>
      <c r="J112" s="501">
        <f>IF($D112="","",$E112-BB設定!$B$4*$F112)</f>
        <v>375.41631204544399</v>
      </c>
      <c r="K112" s="506">
        <f t="shared" si="11"/>
        <v>0.4261128965430267</v>
      </c>
      <c r="L112" s="505">
        <f t="shared" si="12"/>
        <v>23.004716405373806</v>
      </c>
      <c r="M112" s="505">
        <f>IF($D112="","",IFERROR(MIN(BB_帯幅!B112:AP112)*100,""))</f>
        <v>14.879234555936419</v>
      </c>
      <c r="N112" s="500" t="str">
        <f>IF($L112="","",IF($L112&lt;=$M112*BB設定!$B$7,"スクイーズ★",IF($L112&lt;=$M112*1.3,"収縮","－")))</f>
        <v>－</v>
      </c>
      <c r="O112" s="500" t="str">
        <f>IF($D112="","",IF(AND(BB_帯幅!B112&gt;BB_帯幅!C112,BB_帯幅!C112&gt;BB_帯幅!D112),"拡大↑","縮小↓"))</f>
        <v>縮小↓</v>
      </c>
      <c r="P112" s="500" t="str">
        <f t="shared" si="13"/>
        <v>バンド内</v>
      </c>
      <c r="Q112" s="503">
        <f>IF($D112="","",IFERROR(100-100/(1+SUMPRODUCT((終値!E112:R112&gt;終値!F112:S112)*(終値!E112:R112-終値!F112:S112))/SUMPRODUCT((終値!E112:R112&lt;終値!F112:S112)*(終値!F112:S112-終値!E112:R112))),100))</f>
        <v>48.27956989247312</v>
      </c>
      <c r="R112" s="503">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39.262078605314976</v>
      </c>
      <c r="S112" s="500"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0" t="str">
        <f t="shared" si="14"/>
        <v>－</v>
      </c>
      <c r="U112" s="500" t="str">
        <f>IF(終値!A112="","",BB_スイング!BT112)</f>
        <v>二番底W▲</v>
      </c>
      <c r="V112" s="508">
        <f>IF($D112="","",IFERROR(出来高!E112/AVERAGE(出来高!E112:I112),""))</f>
        <v>0.58850061722533475</v>
      </c>
      <c r="W112" s="509"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△二番底買(確)</v>
      </c>
      <c r="X112" s="504">
        <f t="shared" si="20"/>
        <v>0</v>
      </c>
      <c r="Y112" s="501">
        <f t="shared" si="15"/>
        <v>417</v>
      </c>
      <c r="Z112" s="501">
        <f t="shared" si="16"/>
        <v>448.60763345096223</v>
      </c>
      <c r="AA112" s="501">
        <f t="shared" si="17"/>
        <v>403</v>
      </c>
      <c r="AB112" s="501">
        <f t="shared" si="21"/>
        <v>473.00474058613497</v>
      </c>
      <c r="AC112" s="507">
        <f t="shared" si="18"/>
        <v>4</v>
      </c>
      <c r="AD112" s="501">
        <f>IF($D112="","",MIN(終値!E112:I112))</f>
        <v>403</v>
      </c>
      <c r="AE112" s="503">
        <f t="shared" si="19"/>
        <v>9.8879999999999996E-2</v>
      </c>
    </row>
    <row r="113" spans="1:31" ht="24">
      <c r="A113" s="500" t="str">
        <f>IF(終値!A113="","",HYPERLINK("https://kabutan.jp/stock/?code="&amp;終値!A113,"📈"))</f>
        <v>📈</v>
      </c>
      <c r="B113" s="500" t="str">
        <f>IF(終値!A113="","",終値!A113)</f>
        <v>9449</v>
      </c>
      <c r="C113" s="499" t="str">
        <f>IF(終値!A113="","",終値!B113)</f>
        <v>ＧＭＯインターネットグループ</v>
      </c>
      <c r="D113" s="501">
        <f>IF(終値!A113="","",終値!E113)</f>
        <v>4196</v>
      </c>
      <c r="E113" s="501">
        <f>IF($D113="","",AVERAGE(終値!E113:X113))</f>
        <v>4053.05</v>
      </c>
      <c r="F113" s="502">
        <f>IF($D113="","",STDEVP(終値!E113:X113))</f>
        <v>134.11729008595424</v>
      </c>
      <c r="G113" s="501">
        <f>IF($D113="","",$E113+BB設定!$B$4*$F113)</f>
        <v>4321.2845801719086</v>
      </c>
      <c r="H113" s="501">
        <f>IF($D113="","",$E113+BB設定!$B$5*$F113)</f>
        <v>4187.1672900859548</v>
      </c>
      <c r="I113" s="501">
        <f>IF($D113="","",$E113-BB設定!$B$5*$F113)</f>
        <v>3918.932709914046</v>
      </c>
      <c r="J113" s="501">
        <f>IF($D113="","",$E113-BB設定!$B$4*$F113)</f>
        <v>3784.8154198280918</v>
      </c>
      <c r="K113" s="506">
        <f t="shared" si="11"/>
        <v>0.76646452502206242</v>
      </c>
      <c r="L113" s="505">
        <f t="shared" si="12"/>
        <v>13.236184116747063</v>
      </c>
      <c r="M113" s="505">
        <f>IF($D113="","",IFERROR(MIN(BB_帯幅!B113:AP113)*100,""))</f>
        <v>12.131203361581671</v>
      </c>
      <c r="N113" s="500" t="str">
        <f>IF($L113="","",IF($L113&lt;=$M113*BB設定!$B$7,"スクイーズ★",IF($L113&lt;=$M113*1.3,"収縮","－")))</f>
        <v>スクイーズ★</v>
      </c>
      <c r="O113" s="500" t="str">
        <f>IF($D113="","",IF(AND(BB_帯幅!B113&gt;BB_帯幅!C113,BB_帯幅!C113&gt;BB_帯幅!D113),"拡大↑","縮小↓"))</f>
        <v>縮小↓</v>
      </c>
      <c r="P113" s="500" t="str">
        <f t="shared" si="13"/>
        <v>+1σ上</v>
      </c>
      <c r="Q113" s="503">
        <f>IF($D113="","",IFERROR(100-100/(1+SUMPRODUCT((終値!E113:R113&gt;終値!F113:S113)*(終値!E113:R113-終値!F113:S113))/SUMPRODUCT((終値!E113:R113&lt;終値!F113:S113)*(終値!F113:S113-終値!E113:R113))),100))</f>
        <v>59.729064039408868</v>
      </c>
      <c r="R113" s="503">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64.516294693816434</v>
      </c>
      <c r="S113" s="500"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0" t="str">
        <f t="shared" si="14"/>
        <v>上walk▲</v>
      </c>
      <c r="U113" s="500" t="str">
        <f>IF(終値!A113="","",BB_スイング!BT113)</f>
        <v>二番底W形成</v>
      </c>
      <c r="V113" s="508">
        <f>IF($D113="","",IFERROR(出来高!E113/AVERAGE(出来高!E113:I113),""))</f>
        <v>0.80461750516884911</v>
      </c>
      <c r="W113" s="509"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△二番底形成</v>
      </c>
      <c r="X113" s="504">
        <f t="shared" si="20"/>
        <v>57</v>
      </c>
      <c r="Y113" s="501">
        <f t="shared" si="15"/>
        <v>4196</v>
      </c>
      <c r="Z113" s="501">
        <f t="shared" si="16"/>
        <v>4187.1672900859548</v>
      </c>
      <c r="AA113" s="501">
        <f t="shared" si="17"/>
        <v>4053.05</v>
      </c>
      <c r="AB113" s="501">
        <f t="shared" si="21"/>
        <v>4321.2845801719086</v>
      </c>
      <c r="AC113" s="507">
        <f t="shared" si="18"/>
        <v>0.88</v>
      </c>
      <c r="AD113" s="501">
        <f>IF($D113="","",MIN(終値!E113:I113))</f>
        <v>4148</v>
      </c>
      <c r="AE113" s="503">
        <f t="shared" si="19"/>
        <v>57.098869999999998</v>
      </c>
    </row>
    <row r="114" spans="1:31">
      <c r="A114" s="500" t="str">
        <f>IF(終値!A114="","",HYPERLINK("https://kabutan.jp/stock/?code="&amp;終値!A114,"📈"))</f>
        <v>📈</v>
      </c>
      <c r="B114" s="500" t="str">
        <f>IF(終値!A114="","",終値!A114)</f>
        <v>9501</v>
      </c>
      <c r="C114" s="499" t="str">
        <f>IF(終値!A114="","",終値!B114)</f>
        <v>東京電力ＨＤ</v>
      </c>
      <c r="D114" s="501">
        <f>IF(終値!A114="","",終値!E114)</f>
        <v>537</v>
      </c>
      <c r="E114" s="501">
        <f>IF($D114="","",AVERAGE(終値!E114:X114))</f>
        <v>511.76499999999999</v>
      </c>
      <c r="F114" s="502">
        <f>IF($D114="","",STDEVP(終値!E114:X114))</f>
        <v>18.274880984564582</v>
      </c>
      <c r="G114" s="501">
        <f>IF($D114="","",$E114+BB設定!$B$4*$F114)</f>
        <v>548.31476196912911</v>
      </c>
      <c r="H114" s="501">
        <f>IF($D114="","",$E114+BB設定!$B$5*$F114)</f>
        <v>530.03988098456455</v>
      </c>
      <c r="I114" s="501">
        <f>IF($D114="","",$E114-BB設定!$B$5*$F114)</f>
        <v>493.49011901543543</v>
      </c>
      <c r="J114" s="501">
        <f>IF($D114="","",$E114-BB設定!$B$4*$F114)</f>
        <v>475.21523803087081</v>
      </c>
      <c r="K114" s="506">
        <f t="shared" si="11"/>
        <v>0.84521428650225083</v>
      </c>
      <c r="L114" s="505">
        <f t="shared" si="12"/>
        <v>14.283806813333912</v>
      </c>
      <c r="M114" s="505">
        <f>IF($D114="","",IFERROR(MIN(BB_帯幅!B114:AP114)*100,""))</f>
        <v>14.075109570409325</v>
      </c>
      <c r="N114" s="500" t="str">
        <f>IF($L114="","",IF($L114&lt;=$M114*BB設定!$B$7,"スクイーズ★",IF($L114&lt;=$M114*1.3,"収縮","－")))</f>
        <v>スクイーズ★</v>
      </c>
      <c r="O114" s="500" t="str">
        <f>IF($D114="","",IF(AND(BB_帯幅!B114&gt;BB_帯幅!C114,BB_帯幅!C114&gt;BB_帯幅!D114),"拡大↑","縮小↓"))</f>
        <v>縮小↓</v>
      </c>
      <c r="P114" s="500" t="str">
        <f t="shared" si="13"/>
        <v>+1σ上</v>
      </c>
      <c r="Q114" s="503">
        <f>IF($D114="","",IFERROR(100-100/(1+SUMPRODUCT((終値!E114:R114&gt;終値!F114:S114)*(終値!E114:R114-終値!F114:S114))/SUMPRODUCT((終値!E114:R114&lt;終値!F114:S114)*(終値!F114:S114-終値!E114:R114))),100))</f>
        <v>64.192577733199585</v>
      </c>
      <c r="R114" s="503">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53.173036479784855</v>
      </c>
      <c r="S114" s="500"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弱気div▼</v>
      </c>
      <c r="T114" s="500" t="str">
        <f t="shared" si="14"/>
        <v>上walk▲</v>
      </c>
      <c r="U114" s="500" t="str">
        <f>IF(終値!A114="","",BB_スイング!BT114)</f>
        <v>二番天井M形成</v>
      </c>
      <c r="V114" s="508">
        <f>IF($D114="","",IFERROR(出来高!E114/AVERAGE(出来高!E114:I114),""))</f>
        <v>0.87138079528407397</v>
      </c>
      <c r="W114" s="509"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▼二番天井警戒</v>
      </c>
      <c r="X114" s="504">
        <f t="shared" si="20"/>
        <v>37</v>
      </c>
      <c r="Y114" s="501">
        <f t="shared" si="15"/>
        <v>537</v>
      </c>
      <c r="Z114" s="501">
        <f t="shared" si="16"/>
        <v>530.03988098456455</v>
      </c>
      <c r="AA114" s="501">
        <f t="shared" si="17"/>
        <v>511.76499999999999</v>
      </c>
      <c r="AB114" s="501">
        <f t="shared" si="21"/>
        <v>548.31476196912911</v>
      </c>
      <c r="AC114" s="507">
        <f t="shared" si="18"/>
        <v>0.45</v>
      </c>
      <c r="AD114" s="501">
        <f>IF($D114="","",MIN(終値!E114:I114))</f>
        <v>520</v>
      </c>
      <c r="AE114" s="503">
        <f t="shared" si="19"/>
        <v>37.098860000000002</v>
      </c>
    </row>
    <row r="115" spans="1:31">
      <c r="A115" s="500" t="str">
        <f>IF(終値!A115="","",HYPERLINK("https://kabutan.jp/stock/?code="&amp;終値!A115,"📈"))</f>
        <v>📈</v>
      </c>
      <c r="B115" s="500" t="str">
        <f>IF(終値!A115="","",終値!A115)</f>
        <v>9531</v>
      </c>
      <c r="C115" s="499" t="str">
        <f>IF(終値!A115="","",終値!B115)</f>
        <v>東京瓦斯</v>
      </c>
      <c r="D115" s="501">
        <f>IF(終値!A115="","",終値!E115)</f>
        <v>5967</v>
      </c>
      <c r="E115" s="501">
        <f>IF($D115="","",AVERAGE(終値!E115:X115))</f>
        <v>6117.95</v>
      </c>
      <c r="F115" s="502">
        <f>IF($D115="","",STDEVP(終値!E115:X115))</f>
        <v>113.97652170513012</v>
      </c>
      <c r="G115" s="501">
        <f>IF($D115="","",$E115+BB設定!$B$4*$F115)</f>
        <v>6345.9030434102597</v>
      </c>
      <c r="H115" s="501">
        <f>IF($D115="","",$E115+BB設定!$B$5*$F115)</f>
        <v>6231.9265217051297</v>
      </c>
      <c r="I115" s="501">
        <f>IF($D115="","",$E115-BB設定!$B$5*$F115)</f>
        <v>6003.9734782948699</v>
      </c>
      <c r="J115" s="501">
        <f>IF($D115="","",$E115-BB設定!$B$4*$F115)</f>
        <v>5889.99695658974</v>
      </c>
      <c r="K115" s="506">
        <f t="shared" si="11"/>
        <v>0.16890110844379766</v>
      </c>
      <c r="L115" s="505">
        <f t="shared" si="12"/>
        <v>7.4519420201296134</v>
      </c>
      <c r="M115" s="505">
        <f>IF($D115="","",IFERROR(MIN(BB_帯幅!B115:AP115)*100,""))</f>
        <v>4.5302830805037893</v>
      </c>
      <c r="N115" s="500" t="str">
        <f>IF($L115="","",IF($L115&lt;=$M115*BB設定!$B$7,"スクイーズ★",IF($L115&lt;=$M115*1.3,"収縮","－")))</f>
        <v>－</v>
      </c>
      <c r="O115" s="500" t="str">
        <f>IF($D115="","",IF(AND(BB_帯幅!B115&gt;BB_帯幅!C115,BB_帯幅!C115&gt;BB_帯幅!D115),"拡大↑","縮小↓"))</f>
        <v>拡大↑</v>
      </c>
      <c r="P115" s="500" t="str">
        <f t="shared" si="13"/>
        <v>-1σ下</v>
      </c>
      <c r="Q115" s="503">
        <f>IF($D115="","",IFERROR(100-100/(1+SUMPRODUCT((終値!E115:R115&gt;終値!F115:S115)*(終値!E115:R115-終値!F115:S115))/SUMPRODUCT((終値!E115:R115&lt;終値!F115:S115)*(終値!F115:S115-終値!E115:R115))),100))</f>
        <v>42.245199409158047</v>
      </c>
      <c r="R115" s="503">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53.788226059809553</v>
      </c>
      <c r="S115" s="500"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0" t="str">
        <f t="shared" si="14"/>
        <v>下walk▼</v>
      </c>
      <c r="U115" s="500" t="str">
        <f>IF(終値!A115="","",BB_スイング!BT115)</f>
        <v>二番底W形成</v>
      </c>
      <c r="V115" s="508">
        <f>IF($D115="","",IFERROR(出来高!E115/AVERAGE(出来高!E115:I115),""))</f>
        <v>0.84540873350457857</v>
      </c>
      <c r="W115" s="509"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△二番底形成</v>
      </c>
      <c r="X115" s="504">
        <f t="shared" si="20"/>
        <v>0</v>
      </c>
      <c r="Y115" s="501">
        <f t="shared" si="15"/>
        <v>5967</v>
      </c>
      <c r="Z115" s="501">
        <f t="shared" si="16"/>
        <v>6231.9265217051297</v>
      </c>
      <c r="AA115" s="501">
        <f t="shared" si="17"/>
        <v>5937</v>
      </c>
      <c r="AB115" s="501">
        <f t="shared" si="21"/>
        <v>6345.9030434102597</v>
      </c>
      <c r="AC115" s="507">
        <f t="shared" si="18"/>
        <v>12.63</v>
      </c>
      <c r="AD115" s="501">
        <f>IF($D115="","",MIN(終値!E115:I115))</f>
        <v>5937</v>
      </c>
      <c r="AE115" s="503">
        <f t="shared" si="19"/>
        <v>9.8849999999999993E-2</v>
      </c>
    </row>
    <row r="116" spans="1:31">
      <c r="A116" s="500" t="str">
        <f>IF(終値!A116="","",HYPERLINK("https://kabutan.jp/stock/?code="&amp;終値!A116,"📈"))</f>
        <v>📈</v>
      </c>
      <c r="B116" s="500" t="str">
        <f>IF(終値!A116="","",終値!A116)</f>
        <v>9882</v>
      </c>
      <c r="C116" s="499" t="str">
        <f>IF(終値!A116="","",終値!B116)</f>
        <v>イエローハット</v>
      </c>
      <c r="D116" s="501">
        <f>IF(終値!A116="","",終値!E116)</f>
        <v>1738</v>
      </c>
      <c r="E116" s="501">
        <f>IF($D116="","",AVERAGE(終値!E116:X116))</f>
        <v>1805.65</v>
      </c>
      <c r="F116" s="502">
        <f>IF($D116="","",STDEVP(終値!E116:X116))</f>
        <v>44.695945006230708</v>
      </c>
      <c r="G116" s="501">
        <f>IF($D116="","",$E116+BB設定!$B$4*$F116)</f>
        <v>1895.0418900124614</v>
      </c>
      <c r="H116" s="501">
        <f>IF($D116="","",$E116+BB設定!$B$5*$F116)</f>
        <v>1850.3459450062307</v>
      </c>
      <c r="I116" s="501">
        <f>IF($D116="","",$E116-BB設定!$B$5*$F116)</f>
        <v>1760.9540549937694</v>
      </c>
      <c r="J116" s="501">
        <f>IF($D116="","",$E116-BB設定!$B$4*$F116)</f>
        <v>1716.2581099875388</v>
      </c>
      <c r="K116" s="506">
        <f t="shared" si="11"/>
        <v>0.12160996936875586</v>
      </c>
      <c r="L116" s="505">
        <f t="shared" si="12"/>
        <v>9.9013529767630839</v>
      </c>
      <c r="M116" s="505">
        <f>IF($D116="","",IFERROR(MIN(BB_帯幅!B116:AP116)*100,""))</f>
        <v>5.9779258154321226</v>
      </c>
      <c r="N116" s="500" t="str">
        <f>IF($L116="","",IF($L116&lt;=$M116*BB設定!$B$7,"スクイーズ★",IF($L116&lt;=$M116*1.3,"収縮","－")))</f>
        <v>－</v>
      </c>
      <c r="O116" s="500" t="str">
        <f>IF($D116="","",IF(AND(BB_帯幅!B116&gt;BB_帯幅!C116,BB_帯幅!C116&gt;BB_帯幅!D116),"拡大↑","縮小↓"))</f>
        <v>拡大↑</v>
      </c>
      <c r="P116" s="500" t="str">
        <f t="shared" si="13"/>
        <v>-1σ下</v>
      </c>
      <c r="Q116" s="503">
        <f>IF($D116="","",IFERROR(100-100/(1+SUMPRODUCT((終値!E116:R116&gt;終値!F116:S116)*(終値!E116:R116-終値!F116:S116))/SUMPRODUCT((終値!E116:R116&lt;終値!F116:S116)*(終値!F116:S116-終値!E116:R116))),100))</f>
        <v>38.988095238095241</v>
      </c>
      <c r="R116" s="503">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51.209541476164922</v>
      </c>
      <c r="S116" s="500"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v>
      </c>
      <c r="T116" s="500" t="str">
        <f t="shared" si="14"/>
        <v>下walk▼</v>
      </c>
      <c r="U116" s="500" t="str">
        <f>IF(終値!A116="","",BB_スイング!BT116)</f>
        <v>二番底W形成</v>
      </c>
      <c r="V116" s="508">
        <f>IF($D116="","",IFERROR(出来高!E116/AVERAGE(出来高!E116:I116),""))</f>
        <v>0.76038865272837686</v>
      </c>
      <c r="W116" s="509"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△二番底形成</v>
      </c>
      <c r="X116" s="504">
        <f t="shared" si="20"/>
        <v>0</v>
      </c>
      <c r="Y116" s="501">
        <f t="shared" si="15"/>
        <v>1738</v>
      </c>
      <c r="Z116" s="501">
        <f t="shared" si="16"/>
        <v>1850.3459450062307</v>
      </c>
      <c r="AA116" s="501">
        <f t="shared" si="17"/>
        <v>1714</v>
      </c>
      <c r="AB116" s="501">
        <f t="shared" si="21"/>
        <v>1895.0418900124614</v>
      </c>
      <c r="AC116" s="507">
        <f t="shared" si="18"/>
        <v>6.54</v>
      </c>
      <c r="AD116" s="501">
        <f>IF($D116="","",MIN(終値!E116:I116))</f>
        <v>1714</v>
      </c>
      <c r="AE116" s="503">
        <f t="shared" si="19"/>
        <v>9.8839999999999997E-2</v>
      </c>
    </row>
    <row r="117" spans="1:31">
      <c r="A117" s="500" t="str">
        <f>IF(終値!A117="","",HYPERLINK("https://kabutan.jp/stock/?code="&amp;終値!A117,"📈"))</f>
        <v>📈</v>
      </c>
      <c r="B117" s="500" t="str">
        <f>IF(終値!A117="","",終値!A117)</f>
        <v>5838</v>
      </c>
      <c r="C117" s="499" t="str">
        <f>IF(終値!A117="","",終値!B117)</f>
        <v>楽天銀行</v>
      </c>
      <c r="D117" s="501">
        <f>IF(終値!A117="","",終値!E117)</f>
        <v>5520</v>
      </c>
      <c r="E117" s="501">
        <f>IF($D117="","",AVERAGE(終値!E117:X117))</f>
        <v>5554.05</v>
      </c>
      <c r="F117" s="502">
        <f>IF($D117="","",STDEVP(終値!E117:X117))</f>
        <v>174.90325182797488</v>
      </c>
      <c r="G117" s="501">
        <f>IF($D117="","",$E117+BB設定!$B$4*$F117)</f>
        <v>5903.8565036559503</v>
      </c>
      <c r="H117" s="501">
        <f>IF($D117="","",$E117+BB設定!$B$5*$F117)</f>
        <v>5728.9532518279748</v>
      </c>
      <c r="I117" s="501">
        <f>IF($D117="","",$E117-BB設定!$B$5*$F117)</f>
        <v>5379.1467481720256</v>
      </c>
      <c r="J117" s="501">
        <f>IF($D117="","",$E117-BB設定!$B$4*$F117)</f>
        <v>5204.2434963440501</v>
      </c>
      <c r="K117" s="506">
        <f t="shared" si="11"/>
        <v>0.45133023593882371</v>
      </c>
      <c r="L117" s="505">
        <f t="shared" si="12"/>
        <v>12.596447768959592</v>
      </c>
      <c r="M117" s="505">
        <f>IF($D117="","",IFERROR(MIN(BB_帯幅!B117:AP117)*100,""))</f>
        <v>10.486698374373114</v>
      </c>
      <c r="N117" s="500" t="str">
        <f>IF($L117="","",IF($L117&lt;=$M117*BB設定!$B$7,"スクイーズ★",IF($L117&lt;=$M117*1.3,"収縮","－")))</f>
        <v>収縮</v>
      </c>
      <c r="O117" s="500" t="str">
        <f>IF($D117="","",IF(AND(BB_帯幅!B117&gt;BB_帯幅!C117,BB_帯幅!C117&gt;BB_帯幅!D117),"拡大↑","縮小↓"))</f>
        <v>縮小↓</v>
      </c>
      <c r="P117" s="500" t="str">
        <f t="shared" si="13"/>
        <v>バンド内</v>
      </c>
      <c r="Q117" s="503">
        <f>IF($D117="","",IFERROR(100-100/(1+SUMPRODUCT((終値!E117:R117&gt;終値!F117:S117)*(終値!E117:R117-終値!F117:S117))/SUMPRODUCT((終値!E117:R117&lt;終値!F117:S117)*(終値!F117:S117-終値!E117:R117))),100))</f>
        <v>46.204933586337759</v>
      </c>
      <c r="R117" s="503">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61.263340673145152</v>
      </c>
      <c r="S117" s="500"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0" t="str">
        <f t="shared" si="14"/>
        <v>－</v>
      </c>
      <c r="U117" s="500" t="str">
        <f>IF(終値!A117="","",BB_スイング!BT117)</f>
        <v>二番底W形成</v>
      </c>
      <c r="V117" s="508">
        <f>IF($D117="","",IFERROR(出来高!E117/AVERAGE(出来高!E117:I117),""))</f>
        <v>1.1195837275307474</v>
      </c>
      <c r="W117" s="509"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4">
        <f t="shared" si="20"/>
        <v>15</v>
      </c>
      <c r="Y117" s="501">
        <f t="shared" si="15"/>
        <v>5520</v>
      </c>
      <c r="Z117" s="501">
        <f t="shared" si="16"/>
        <v>5728.9532518279748</v>
      </c>
      <c r="AA117" s="501">
        <f t="shared" si="17"/>
        <v>5304</v>
      </c>
      <c r="AB117" s="501">
        <f t="shared" si="21"/>
        <v>5903.8565036559503</v>
      </c>
      <c r="AC117" s="507">
        <f t="shared" si="18"/>
        <v>1.78</v>
      </c>
      <c r="AD117" s="501">
        <f>IF($D117="","",MIN(終値!E117:I117))</f>
        <v>5304</v>
      </c>
      <c r="AE117" s="503">
        <f t="shared" si="19"/>
        <v>15.09883</v>
      </c>
    </row>
    <row r="118" spans="1:31" ht="24">
      <c r="A118" s="500" t="str">
        <f>IF(終値!A118="","",HYPERLINK("https://kabutan.jp/stock/?code="&amp;終値!A118,"📈"))</f>
        <v>📈</v>
      </c>
      <c r="B118" s="500" t="str">
        <f>IF(終値!A118="","",終値!A118)</f>
        <v>5844</v>
      </c>
      <c r="C118" s="499" t="str">
        <f>IF(終値!A118="","",終値!B118)</f>
        <v>京都フィナンシャルＧ</v>
      </c>
      <c r="D118" s="501">
        <f>IF(終値!A118="","",終値!E118)</f>
        <v>4630</v>
      </c>
      <c r="E118" s="501">
        <f>IF($D118="","",AVERAGE(終値!E118:X118))</f>
        <v>4611.45</v>
      </c>
      <c r="F118" s="502">
        <f>IF($D118="","",STDEVP(終値!E118:X118))</f>
        <v>108.99838301552917</v>
      </c>
      <c r="G118" s="501">
        <f>IF($D118="","",$E118+BB設定!$B$4*$F118)</f>
        <v>4829.4467660310584</v>
      </c>
      <c r="H118" s="501">
        <f>IF($D118="","",$E118+BB設定!$B$5*$F118)</f>
        <v>4720.4483830155286</v>
      </c>
      <c r="I118" s="501">
        <f>IF($D118="","",$E118-BB設定!$B$5*$F118)</f>
        <v>4502.451616984471</v>
      </c>
      <c r="J118" s="501">
        <f>IF($D118="","",$E118-BB設定!$B$4*$F118)</f>
        <v>4393.4532339689413</v>
      </c>
      <c r="K118" s="506">
        <f t="shared" si="11"/>
        <v>0.54254650272508476</v>
      </c>
      <c r="L118" s="505">
        <f t="shared" si="12"/>
        <v>9.4545865630575427</v>
      </c>
      <c r="M118" s="505">
        <f>IF($D118="","",IFERROR(MIN(BB_帯幅!B118:AP118)*100,""))</f>
        <v>6.4622981226230465</v>
      </c>
      <c r="N118" s="500" t="str">
        <f>IF($L118="","",IF($L118&lt;=$M118*BB設定!$B$7,"スクイーズ★",IF($L118&lt;=$M118*1.3,"収縮","－")))</f>
        <v>－</v>
      </c>
      <c r="O118" s="500" t="str">
        <f>IF($D118="","",IF(AND(BB_帯幅!B118&gt;BB_帯幅!C118,BB_帯幅!C118&gt;BB_帯幅!D118),"拡大↑","縮小↓"))</f>
        <v>縮小↓</v>
      </c>
      <c r="P118" s="500" t="str">
        <f t="shared" si="13"/>
        <v>バンド内</v>
      </c>
      <c r="Q118" s="503">
        <f>IF($D118="","",IFERROR(100-100/(1+SUMPRODUCT((終値!E118:R118&gt;終値!F118:S118)*(終値!E118:R118-終値!F118:S118))/SUMPRODUCT((終値!E118:R118&lt;終値!F118:S118)*(終値!F118:S118-終値!E118:R118))),100))</f>
        <v>44.565217391304351</v>
      </c>
      <c r="R118" s="503">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60.910732713518819</v>
      </c>
      <c r="S118" s="500"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0" t="str">
        <f t="shared" si="14"/>
        <v>－</v>
      </c>
      <c r="U118" s="500" t="str">
        <f>IF(終値!A118="","",BB_スイング!BT118)</f>
        <v>二番底W形成</v>
      </c>
      <c r="V118" s="508">
        <f>IF($D118="","",IFERROR(出来高!E118/AVERAGE(出来高!E118:I118),""))</f>
        <v>0.79943118585383954</v>
      </c>
      <c r="W118" s="509"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△二番底形成</v>
      </c>
      <c r="X118" s="504">
        <f t="shared" si="20"/>
        <v>20</v>
      </c>
      <c r="Y118" s="501">
        <f t="shared" si="15"/>
        <v>4630</v>
      </c>
      <c r="Z118" s="501">
        <f t="shared" si="16"/>
        <v>4720.4483830155286</v>
      </c>
      <c r="AA118" s="501">
        <f t="shared" si="17"/>
        <v>4611.45</v>
      </c>
      <c r="AB118" s="501">
        <f t="shared" si="21"/>
        <v>4829.4467660310584</v>
      </c>
      <c r="AC118" s="507">
        <f t="shared" si="18"/>
        <v>10.75</v>
      </c>
      <c r="AD118" s="501">
        <f>IF($D118="","",MIN(終値!E118:I118))</f>
        <v>4437</v>
      </c>
      <c r="AE118" s="503">
        <f t="shared" si="19"/>
        <v>20.09882</v>
      </c>
    </row>
    <row r="119" spans="1:31" ht="24">
      <c r="A119" s="500" t="str">
        <f>IF(終値!A119="","",HYPERLINK("https://kabutan.jp/stock/?code="&amp;終値!A119,"📈"))</f>
        <v>📈</v>
      </c>
      <c r="B119" s="500" t="str">
        <f>IF(終値!A119="","",終値!A119)</f>
        <v>9404</v>
      </c>
      <c r="C119" s="499" t="str">
        <f>IF(終値!A119="","",終値!B119)</f>
        <v>日本テレビＨＬＤＳ</v>
      </c>
      <c r="D119" s="501">
        <f>IF(終値!A119="","",終値!E119)</f>
        <v>2871</v>
      </c>
      <c r="E119" s="501">
        <f>IF($D119="","",AVERAGE(終値!E119:X119))</f>
        <v>2894.2750000000001</v>
      </c>
      <c r="F119" s="502">
        <f>IF($D119="","",STDEVP(終値!E119:X119))</f>
        <v>65.29059560916869</v>
      </c>
      <c r="G119" s="501">
        <f>IF($D119="","",$E119+BB設定!$B$4*$F119)</f>
        <v>3024.8561912183377</v>
      </c>
      <c r="H119" s="501">
        <f>IF($D119="","",$E119+BB設定!$B$5*$F119)</f>
        <v>2959.5655956091687</v>
      </c>
      <c r="I119" s="501">
        <f>IF($D119="","",$E119-BB設定!$B$5*$F119)</f>
        <v>2828.9844043908315</v>
      </c>
      <c r="J119" s="501">
        <f>IF($D119="","",$E119-BB設定!$B$4*$F119)</f>
        <v>2763.6938087816625</v>
      </c>
      <c r="K119" s="506">
        <f t="shared" si="11"/>
        <v>0.41087920173326015</v>
      </c>
      <c r="L119" s="505">
        <f t="shared" si="12"/>
        <v>9.0234128559544331</v>
      </c>
      <c r="M119" s="505">
        <f>IF($D119="","",IFERROR(MIN(BB_帯幅!B119:AP119)*100,""))</f>
        <v>6.0349030567045059</v>
      </c>
      <c r="N119" s="500" t="str">
        <f>IF($L119="","",IF($L119&lt;=$M119*BB設定!$B$7,"スクイーズ★",IF($L119&lt;=$M119*1.3,"収縮","－")))</f>
        <v>－</v>
      </c>
      <c r="O119" s="500" t="str">
        <f>IF($D119="","",IF(AND(BB_帯幅!B119&gt;BB_帯幅!C119,BB_帯幅!C119&gt;BB_帯幅!D119),"拡大↑","縮小↓"))</f>
        <v>縮小↓</v>
      </c>
      <c r="P119" s="500" t="str">
        <f t="shared" si="13"/>
        <v>バンド内</v>
      </c>
      <c r="Q119" s="503">
        <f>IF($D119="","",IFERROR(100-100/(1+SUMPRODUCT((終値!E119:R119&gt;終値!F119:S119)*(終値!E119:R119-終値!F119:S119))/SUMPRODUCT((終値!E119:R119&lt;終値!F119:S119)*(終値!F119:S119-終値!E119:R119))),100))</f>
        <v>50.157927984838906</v>
      </c>
      <c r="R119" s="503">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41.503185685407075</v>
      </c>
      <c r="S119" s="500"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v>
      </c>
      <c r="T119" s="500" t="str">
        <f t="shared" si="14"/>
        <v>－</v>
      </c>
      <c r="U119" s="500" t="str">
        <f>IF(終値!A119="","",BB_スイング!BT119)</f>
        <v>二番底W形成</v>
      </c>
      <c r="V119" s="508">
        <f>IF($D119="","",IFERROR(出来高!E119/AVERAGE(出来高!E119:I119),""))</f>
        <v>0.8934499110847659</v>
      </c>
      <c r="W119" s="509"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△二番底形成</v>
      </c>
      <c r="X119" s="504">
        <f t="shared" si="20"/>
        <v>0</v>
      </c>
      <c r="Y119" s="501">
        <f t="shared" si="15"/>
        <v>2871</v>
      </c>
      <c r="Z119" s="501">
        <f t="shared" si="16"/>
        <v>2959.5655956091687</v>
      </c>
      <c r="AA119" s="501">
        <f t="shared" si="17"/>
        <v>2773.5</v>
      </c>
      <c r="AB119" s="501">
        <f t="shared" si="21"/>
        <v>3024.8561912183377</v>
      </c>
      <c r="AC119" s="507">
        <f t="shared" si="18"/>
        <v>1.58</v>
      </c>
      <c r="AD119" s="501">
        <f>IF($D119="","",MIN(終値!E119:I119))</f>
        <v>2773.5</v>
      </c>
      <c r="AE119" s="503">
        <f t="shared" si="19"/>
        <v>9.8809999999999995E-2</v>
      </c>
    </row>
    <row r="120" spans="1:31">
      <c r="A120" s="500" t="str">
        <f>IF(終値!A120="","",HYPERLINK("https://kabutan.jp/stock/?code="&amp;終値!A120,"📈"))</f>
        <v>📈</v>
      </c>
      <c r="B120" s="500" t="str">
        <f>IF(終値!A120="","",終値!A120)</f>
        <v>6744</v>
      </c>
      <c r="C120" s="499" t="str">
        <f>IF(終値!A120="","",終値!B120)</f>
        <v>能美防災</v>
      </c>
      <c r="D120" s="501">
        <f>IF(終値!A120="","",終値!E120)</f>
        <v>4600</v>
      </c>
      <c r="E120" s="501">
        <f>IF($D120="","",AVERAGE(終値!E120:X120))</f>
        <v>4367.3684210526317</v>
      </c>
      <c r="F120" s="502">
        <f>IF($D120="","",STDEVP(終値!E120:X120))</f>
        <v>116.60062766208053</v>
      </c>
      <c r="G120" s="501">
        <f>IF($D120="","",$E120+BB設定!$B$4*$F120)</f>
        <v>4600.5696763767928</v>
      </c>
      <c r="H120" s="501">
        <f>IF($D120="","",$E120+BB設定!$B$5*$F120)</f>
        <v>4483.9690487147118</v>
      </c>
      <c r="I120" s="501">
        <f>IF($D120="","",$E120-BB設定!$B$5*$F120)</f>
        <v>4250.7677933905516</v>
      </c>
      <c r="J120" s="501">
        <f>IF($D120="","",$E120-BB設定!$B$4*$F120)</f>
        <v>4134.1671657284705</v>
      </c>
      <c r="K120" s="506">
        <f t="shared" si="11"/>
        <v>0.99877857352011046</v>
      </c>
      <c r="L120" s="505">
        <f t="shared" si="12"/>
        <v>10.679257293707066</v>
      </c>
      <c r="M120" s="505">
        <f>IF($D120="","",IFERROR(MIN(BB_帯幅!B120:AP120)*100,""))</f>
        <v>7.1847000152929938</v>
      </c>
      <c r="N120" s="500" t="str">
        <f>IF($L120="","",IF($L120&lt;=$M120*BB設定!$B$7,"スクイーズ★",IF($L120&lt;=$M120*1.3,"収縮","－")))</f>
        <v>－</v>
      </c>
      <c r="O120" s="500" t="str">
        <f>IF($D120="","",IF(AND(BB_帯幅!B120&gt;BB_帯幅!C120,BB_帯幅!C120&gt;BB_帯幅!D120),"拡大↑","縮小↓"))</f>
        <v>拡大↑</v>
      </c>
      <c r="P120" s="500" t="str">
        <f t="shared" si="13"/>
        <v>+1σ上</v>
      </c>
      <c r="Q120" s="503">
        <f>IF($D120="","",IFERROR(100-100/(1+SUMPRODUCT((終値!E120:R120&gt;終値!F120:S120)*(終値!E120:R120-終値!F120:S120))/SUMPRODUCT((終値!E120:R120&lt;終値!F120:S120)*(終値!F120:S120-終値!E120:R120))),100))</f>
        <v>51.354279523293606</v>
      </c>
      <c r="R120" s="503">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75.69543621094752</v>
      </c>
      <c r="S120" s="500"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0" t="str">
        <f t="shared" si="14"/>
        <v>上walk▲</v>
      </c>
      <c r="U120" s="500" t="str">
        <f>IF(終値!A120="","",BB_スイング!BT120)</f>
        <v>－</v>
      </c>
      <c r="V120" s="508">
        <f>IF($D120="","",IFERROR(出来高!E120/AVERAGE(出来高!E120:I120),""))</f>
        <v>1.1591453674121406</v>
      </c>
      <c r="W120" s="509"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様子見</v>
      </c>
      <c r="X120" s="504">
        <f t="shared" si="20"/>
        <v>47</v>
      </c>
      <c r="Y120" s="501">
        <f t="shared" si="15"/>
        <v>4600</v>
      </c>
      <c r="Z120" s="501">
        <f t="shared" si="16"/>
        <v>4483.9690487147118</v>
      </c>
      <c r="AA120" s="501">
        <f t="shared" si="17"/>
        <v>4367.3684210526317</v>
      </c>
      <c r="AB120" s="501">
        <f t="shared" si="21"/>
        <v>4600.5696763767928</v>
      </c>
      <c r="AC120" s="507">
        <f t="shared" si="18"/>
        <v>0</v>
      </c>
      <c r="AD120" s="501">
        <f>IF($D120="","",MIN(終値!E120:I120))</f>
        <v>4450</v>
      </c>
      <c r="AE120" s="503">
        <f t="shared" si="19"/>
        <v>47.098799999999997</v>
      </c>
    </row>
    <row r="121" spans="1:31" ht="24">
      <c r="A121" s="500" t="str">
        <f>IF(終値!A121="","",HYPERLINK("https://kabutan.jp/stock/?code="&amp;終値!A121,"📈"))</f>
        <v>📈</v>
      </c>
      <c r="B121" s="500" t="str">
        <f>IF(終値!A121="","",終値!A121)</f>
        <v>7685</v>
      </c>
      <c r="C121" s="499" t="str">
        <f>IF(終値!A121="","",終値!B121)</f>
        <v>ＢＵＹＳＥＬＬＴＥＣＨ</v>
      </c>
      <c r="D121" s="501">
        <f>IF(終値!A121="","",終値!E121)</f>
        <v>3100</v>
      </c>
      <c r="E121" s="501">
        <f>IF($D121="","",AVERAGE(終値!E121:X121))</f>
        <v>3250.2631578947367</v>
      </c>
      <c r="F121" s="502">
        <f>IF($D121="","",STDEVP(終値!E121:X121))</f>
        <v>246.44500659221771</v>
      </c>
      <c r="G121" s="501">
        <f>IF($D121="","",$E121+BB設定!$B$4*$F121)</f>
        <v>3743.1531710791719</v>
      </c>
      <c r="H121" s="501">
        <f>IF($D121="","",$E121+BB設定!$B$5*$F121)</f>
        <v>3496.7081644869545</v>
      </c>
      <c r="I121" s="501">
        <f>IF($D121="","",$E121-BB設定!$B$5*$F121)</f>
        <v>3003.8181513025188</v>
      </c>
      <c r="J121" s="501">
        <f>IF($D121="","",$E121-BB設定!$B$4*$F121)</f>
        <v>2757.3731447103014</v>
      </c>
      <c r="K121" s="506">
        <f t="shared" si="11"/>
        <v>0.3475692813048441</v>
      </c>
      <c r="L121" s="505">
        <f t="shared" si="12"/>
        <v>30.329237310353076</v>
      </c>
      <c r="M121" s="505">
        <f>IF($D121="","",IFERROR(MIN(BB_帯幅!B121:AP121)*100,""))</f>
        <v>11.914236765660549</v>
      </c>
      <c r="N121" s="500" t="str">
        <f>IF($L121="","",IF($L121&lt;=$M121*BB設定!$B$7,"スクイーズ★",IF($L121&lt;=$M121*1.3,"収縮","－")))</f>
        <v>－</v>
      </c>
      <c r="O121" s="500" t="str">
        <f>IF($D121="","",IF(AND(BB_帯幅!B121&gt;BB_帯幅!C121,BB_帯幅!C121&gt;BB_帯幅!D121),"拡大↑","縮小↓"))</f>
        <v>縮小↓</v>
      </c>
      <c r="P121" s="500" t="str">
        <f t="shared" si="13"/>
        <v>バンド内</v>
      </c>
      <c r="Q121" s="503">
        <f>IF($D121="","",IFERROR(100-100/(1+SUMPRODUCT((終値!E121:R121&gt;終値!F121:S121)*(終値!E121:R121-終値!F121:S121))/SUMPRODUCT((終値!E121:R121&lt;終値!F121:S121)*(終値!F121:S121-終値!E121:R121))),100))</f>
        <v>46.566614752937845</v>
      </c>
      <c r="R121" s="503">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46.555979456733183</v>
      </c>
      <c r="S121" s="500"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強気div▲</v>
      </c>
      <c r="T121" s="500" t="str">
        <f t="shared" si="14"/>
        <v>－</v>
      </c>
      <c r="U121" s="500" t="str">
        <f>IF(終値!A121="","",BB_スイング!BT121)</f>
        <v>－</v>
      </c>
      <c r="V121" s="508">
        <f>IF($D121="","",IFERROR(出来高!E121/AVERAGE(出来高!E121:I121),""))</f>
        <v>1.1641942009440325</v>
      </c>
      <c r="W121" s="509"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○反発(ダイバ)買</v>
      </c>
      <c r="X121" s="504">
        <f t="shared" si="20"/>
        <v>10</v>
      </c>
      <c r="Y121" s="501">
        <f t="shared" si="15"/>
        <v>3100</v>
      </c>
      <c r="Z121" s="501">
        <f t="shared" si="16"/>
        <v>3496.7081644869545</v>
      </c>
      <c r="AA121" s="501">
        <f t="shared" si="17"/>
        <v>2952</v>
      </c>
      <c r="AB121" s="501">
        <f t="shared" si="21"/>
        <v>3743.1531710791719</v>
      </c>
      <c r="AC121" s="507">
        <f t="shared" si="18"/>
        <v>4.3499999999999996</v>
      </c>
      <c r="AD121" s="501">
        <f>IF($D121="","",MIN(終値!E121:I121))</f>
        <v>2952</v>
      </c>
      <c r="AE121" s="503">
        <f t="shared" si="19"/>
        <v>10.098789999999999</v>
      </c>
    </row>
    <row r="122" spans="1:31">
      <c r="A122" s="500" t="str">
        <f>IF(終値!A122="","",HYPERLINK("https://kabutan.jp/stock/?code="&amp;終値!A122,"📈"))</f>
        <v>📈</v>
      </c>
      <c r="B122" s="500" t="str">
        <f>IF(終値!A122="","",終値!A122)</f>
        <v>8334</v>
      </c>
      <c r="C122" s="499" t="str">
        <f>IF(終値!A122="","",終値!B122)</f>
        <v>群馬銀行</v>
      </c>
      <c r="D122" s="501">
        <f>IF(終値!A122="","",終値!E122)</f>
        <v>2594</v>
      </c>
      <c r="E122" s="501">
        <f>IF($D122="","",AVERAGE(終値!E122:X122))</f>
        <v>2544.2750000000001</v>
      </c>
      <c r="F122" s="502">
        <f>IF($D122="","",STDEVP(終値!E122:X122))</f>
        <v>54.736979045248745</v>
      </c>
      <c r="G122" s="501">
        <f>IF($D122="","",$E122+BB設定!$B$4*$F122)</f>
        <v>2653.7489580904976</v>
      </c>
      <c r="H122" s="501">
        <f>IF($D122="","",$E122+BB設定!$B$5*$F122)</f>
        <v>2599.0119790452491</v>
      </c>
      <c r="I122" s="501">
        <f>IF($D122="","",$E122-BB設定!$B$5*$F122)</f>
        <v>2489.5380209547511</v>
      </c>
      <c r="J122" s="501">
        <f>IF($D122="","",$E122-BB設定!$B$4*$F122)</f>
        <v>2434.8010419095026</v>
      </c>
      <c r="K122" s="506">
        <f t="shared" si="11"/>
        <v>0.72710880682186696</v>
      </c>
      <c r="L122" s="505">
        <f t="shared" si="12"/>
        <v>8.6055130118008076</v>
      </c>
      <c r="M122" s="505">
        <f>IF($D122="","",IFERROR(MIN(BB_帯幅!B122:AP122)*100,""))</f>
        <v>6.6240843150951338</v>
      </c>
      <c r="N122" s="500" t="str">
        <f>IF($L122="","",IF($L122&lt;=$M122*BB設定!$B$7,"スクイーズ★",IF($L122&lt;=$M122*1.3,"収縮","－")))</f>
        <v>収縮</v>
      </c>
      <c r="O122" s="500" t="str">
        <f>IF($D122="","",IF(AND(BB_帯幅!B122&gt;BB_帯幅!C122,BB_帯幅!C122&gt;BB_帯幅!D122),"拡大↑","縮小↓"))</f>
        <v>縮小↓</v>
      </c>
      <c r="P122" s="500" t="str">
        <f t="shared" si="13"/>
        <v>バンド内</v>
      </c>
      <c r="Q122" s="503">
        <f>IF($D122="","",IFERROR(100-100/(1+SUMPRODUCT((終値!E122:R122&gt;終値!F122:S122)*(終値!E122:R122-終値!F122:S122))/SUMPRODUCT((終値!E122:R122&lt;終値!F122:S122)*(終値!F122:S122-終値!E122:R122))),100))</f>
        <v>48.301886792452827</v>
      </c>
      <c r="R122" s="503">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54.063748912489856</v>
      </c>
      <c r="S122" s="500"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0" t="str">
        <f t="shared" si="14"/>
        <v>－</v>
      </c>
      <c r="U122" s="500" t="str">
        <f>IF(終値!A122="","",BB_スイング!BT122)</f>
        <v>二番底W形成</v>
      </c>
      <c r="V122" s="508">
        <f>IF($D122="","",IFERROR(出来高!E122/AVERAGE(出来高!E122:I122),""))</f>
        <v>1.0559710150100841</v>
      </c>
      <c r="W122" s="509"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△二番底形成</v>
      </c>
      <c r="X122" s="504">
        <f t="shared" si="20"/>
        <v>25</v>
      </c>
      <c r="Y122" s="501">
        <f t="shared" si="15"/>
        <v>2594</v>
      </c>
      <c r="Z122" s="501">
        <f t="shared" si="16"/>
        <v>2599.0119790452491</v>
      </c>
      <c r="AA122" s="501">
        <f t="shared" si="17"/>
        <v>2544.2750000000001</v>
      </c>
      <c r="AB122" s="501">
        <f t="shared" si="21"/>
        <v>2653.7489580904976</v>
      </c>
      <c r="AC122" s="507">
        <f t="shared" si="18"/>
        <v>1.2</v>
      </c>
      <c r="AD122" s="501">
        <f>IF($D122="","",MIN(終値!E122:I122))</f>
        <v>2495.5</v>
      </c>
      <c r="AE122" s="503">
        <f t="shared" si="19"/>
        <v>25.098780000000001</v>
      </c>
    </row>
    <row r="123" spans="1:31">
      <c r="A123" s="500" t="str">
        <f>IF(終値!A123="","",HYPERLINK("https://kabutan.jp/stock/?code="&amp;終値!A123,"📈"))</f>
        <v>📈</v>
      </c>
      <c r="B123" s="500" t="str">
        <f>IF(終値!A123="","",終値!A123)</f>
        <v>8359</v>
      </c>
      <c r="C123" s="499" t="str">
        <f>IF(終値!A123="","",終値!B123)</f>
        <v>八十二長野銀行</v>
      </c>
      <c r="D123" s="501">
        <f>IF(終値!A123="","",終値!E123)</f>
        <v>2554.5</v>
      </c>
      <c r="E123" s="501">
        <f>IF($D123="","",AVERAGE(終値!E123:X123))</f>
        <v>2572.25</v>
      </c>
      <c r="F123" s="502">
        <f>IF($D123="","",STDEVP(終値!E123:X123))</f>
        <v>63.621242521660953</v>
      </c>
      <c r="G123" s="501">
        <f>IF($D123="","",$E123+BB設定!$B$4*$F123)</f>
        <v>2699.4924850433217</v>
      </c>
      <c r="H123" s="501">
        <f>IF($D123="","",$E123+BB設定!$B$5*$F123)</f>
        <v>2635.8712425216609</v>
      </c>
      <c r="I123" s="501">
        <f>IF($D123="","",$E123-BB設定!$B$5*$F123)</f>
        <v>2508.6287574783391</v>
      </c>
      <c r="J123" s="501">
        <f>IF($D123="","",$E123-BB設定!$B$4*$F123)</f>
        <v>2445.0075149566783</v>
      </c>
      <c r="K123" s="506">
        <f t="shared" si="11"/>
        <v>0.43025128362607534</v>
      </c>
      <c r="L123" s="505">
        <f t="shared" si="12"/>
        <v>9.89347730922902</v>
      </c>
      <c r="M123" s="505">
        <f>IF($D123="","",IFERROR(MIN(BB_帯幅!B123:AP123)*100,""))</f>
        <v>4.5867772026017963</v>
      </c>
      <c r="N123" s="500" t="str">
        <f>IF($L123="","",IF($L123&lt;=$M123*BB設定!$B$7,"スクイーズ★",IF($L123&lt;=$M123*1.3,"収縮","－")))</f>
        <v>－</v>
      </c>
      <c r="O123" s="500" t="str">
        <f>IF($D123="","",IF(AND(BB_帯幅!B123&gt;BB_帯幅!C123,BB_帯幅!C123&gt;BB_帯幅!D123),"拡大↑","縮小↓"))</f>
        <v>縮小↓</v>
      </c>
      <c r="P123" s="500" t="str">
        <f t="shared" si="13"/>
        <v>バンド内</v>
      </c>
      <c r="Q123" s="503">
        <f>IF($D123="","",IFERROR(100-100/(1+SUMPRODUCT((終値!E123:R123&gt;終値!F123:S123)*(終値!E123:R123-終値!F123:S123))/SUMPRODUCT((終値!E123:R123&lt;終値!F123:S123)*(終値!F123:S123-終値!E123:R123))),100))</f>
        <v>44.650864830237019</v>
      </c>
      <c r="R123" s="503">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63.821777210211188</v>
      </c>
      <c r="S123" s="500"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0" t="str">
        <f t="shared" si="14"/>
        <v>－</v>
      </c>
      <c r="U123" s="500" t="str">
        <f>IF(終値!A123="","",BB_スイング!BT123)</f>
        <v>二番底W形成</v>
      </c>
      <c r="V123" s="508">
        <f>IF($D123="","",IFERROR(出来高!E123/AVERAGE(出来高!E123:I123),""))</f>
        <v>1.3061049729526515</v>
      </c>
      <c r="W123" s="509"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△二番底形成</v>
      </c>
      <c r="X123" s="504">
        <f t="shared" si="20"/>
        <v>5</v>
      </c>
      <c r="Y123" s="501">
        <f t="shared" si="15"/>
        <v>2554.5</v>
      </c>
      <c r="Z123" s="501">
        <f t="shared" si="16"/>
        <v>2635.8712425216609</v>
      </c>
      <c r="AA123" s="501">
        <f t="shared" si="17"/>
        <v>2488.5</v>
      </c>
      <c r="AB123" s="501">
        <f t="shared" si="21"/>
        <v>2699.4924850433217</v>
      </c>
      <c r="AC123" s="507">
        <f t="shared" si="18"/>
        <v>2.2000000000000002</v>
      </c>
      <c r="AD123" s="501">
        <f>IF($D123="","",MIN(終値!E123:I123))</f>
        <v>2488.5</v>
      </c>
      <c r="AE123" s="503">
        <f t="shared" si="19"/>
        <v>5.09877</v>
      </c>
    </row>
    <row r="124" spans="1:31">
      <c r="A124" s="500" t="str">
        <f>IF(終値!A124="","",HYPERLINK("https://kabutan.jp/stock/?code="&amp;終値!A124,"📈"))</f>
        <v>📈</v>
      </c>
      <c r="B124" s="500" t="str">
        <f>IF(終値!A124="","",終値!A124)</f>
        <v>8801</v>
      </c>
      <c r="C124" s="499" t="str">
        <f>IF(終値!A124="","",終値!B124)</f>
        <v>三井不動産</v>
      </c>
      <c r="D124" s="501">
        <f>IF(終値!A124="","",終値!E124)</f>
        <v>1488</v>
      </c>
      <c r="E124" s="501">
        <f>IF($D124="","",AVERAGE(終値!E124:X124))</f>
        <v>1543.675</v>
      </c>
      <c r="F124" s="502">
        <f>IF($D124="","",STDEVP(終値!E124:X124))</f>
        <v>41.752926544135811</v>
      </c>
      <c r="G124" s="501">
        <f>IF($D124="","",$E124+BB設定!$B$4*$F124)</f>
        <v>1627.1808530882715</v>
      </c>
      <c r="H124" s="501">
        <f>IF($D124="","",$E124+BB設定!$B$5*$F124)</f>
        <v>1585.4279265441357</v>
      </c>
      <c r="I124" s="501">
        <f>IF($D124="","",$E124-BB設定!$B$5*$F124)</f>
        <v>1501.9220734558642</v>
      </c>
      <c r="J124" s="501">
        <f>IF($D124="","",$E124-BB設定!$B$4*$F124)</f>
        <v>1460.1691469117284</v>
      </c>
      <c r="K124" s="506">
        <f t="shared" si="11"/>
        <v>0.16664013394876911</v>
      </c>
      <c r="L124" s="505">
        <f t="shared" si="12"/>
        <v>10.819097684197979</v>
      </c>
      <c r="M124" s="505">
        <f>IF($D124="","",IFERROR(MIN(BB_帯幅!B124:AP124)*100,""))</f>
        <v>7.3532035100444704</v>
      </c>
      <c r="N124" s="500" t="str">
        <f>IF($L124="","",IF($L124&lt;=$M124*BB設定!$B$7,"スクイーズ★",IF($L124&lt;=$M124*1.3,"収縮","－")))</f>
        <v>－</v>
      </c>
      <c r="O124" s="500" t="str">
        <f>IF($D124="","",IF(AND(BB_帯幅!B124&gt;BB_帯幅!C124,BB_帯幅!C124&gt;BB_帯幅!D124),"拡大↑","縮小↓"))</f>
        <v>拡大↑</v>
      </c>
      <c r="P124" s="500" t="str">
        <f t="shared" si="13"/>
        <v>-1σ下</v>
      </c>
      <c r="Q124" s="503">
        <f>IF($D124="","",IFERROR(100-100/(1+SUMPRODUCT((終値!E124:R124&gt;終値!F124:S124)*(終値!E124:R124-終値!F124:S124))/SUMPRODUCT((終値!E124:R124&lt;終値!F124:S124)*(終値!F124:S124-終値!E124:R124))),100))</f>
        <v>39.783281733746129</v>
      </c>
      <c r="R124" s="503">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37.86346097689475</v>
      </c>
      <c r="S124" s="500"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0" t="str">
        <f t="shared" si="14"/>
        <v>下walk▼</v>
      </c>
      <c r="U124" s="500" t="str">
        <f>IF(終値!A124="","",BB_スイング!BT124)</f>
        <v>二番底W形成</v>
      </c>
      <c r="V124" s="508">
        <f>IF($D124="","",IFERROR(出来高!E124/AVERAGE(出来高!E124:I124),""))</f>
        <v>0.93994386638757998</v>
      </c>
      <c r="W124" s="509"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△二番底形成</v>
      </c>
      <c r="X124" s="504">
        <f t="shared" si="20"/>
        <v>0</v>
      </c>
      <c r="Y124" s="501">
        <f t="shared" si="15"/>
        <v>1488</v>
      </c>
      <c r="Z124" s="501">
        <f t="shared" si="16"/>
        <v>1585.4279265441357</v>
      </c>
      <c r="AA124" s="501">
        <f t="shared" si="17"/>
        <v>1474</v>
      </c>
      <c r="AB124" s="501">
        <f t="shared" si="21"/>
        <v>1627.1808530882715</v>
      </c>
      <c r="AC124" s="507">
        <f t="shared" si="18"/>
        <v>9.94</v>
      </c>
      <c r="AD124" s="501">
        <f>IF($D124="","",MIN(終値!E124:I124))</f>
        <v>1474</v>
      </c>
      <c r="AE124" s="503">
        <f t="shared" si="19"/>
        <v>9.8760000000000001E-2</v>
      </c>
    </row>
    <row r="125" spans="1:31" ht="24">
      <c r="A125" s="500" t="str">
        <f>IF(終値!A125="","",HYPERLINK("https://kabutan.jp/stock/?code="&amp;終値!A125,"📈"))</f>
        <v>📈</v>
      </c>
      <c r="B125" s="500" t="str">
        <f>IF(終値!A125="","",終値!A125)</f>
        <v>8934</v>
      </c>
      <c r="C125" s="499" t="str">
        <f>IF(終値!A125="","",終値!B125)</f>
        <v>サンフロンティア不動産</v>
      </c>
      <c r="D125" s="501">
        <f>IF(終値!A125="","",終値!E125)</f>
        <v>2448</v>
      </c>
      <c r="E125" s="501">
        <f>IF($D125="","",AVERAGE(終値!E125:X125))</f>
        <v>2504.5</v>
      </c>
      <c r="F125" s="502">
        <f>IF($D125="","",STDEVP(終値!E125:X125))</f>
        <v>45.076046854177442</v>
      </c>
      <c r="G125" s="501">
        <f>IF($D125="","",$E125+BB設定!$B$4*$F125)</f>
        <v>2594.6520937083551</v>
      </c>
      <c r="H125" s="501">
        <f>IF($D125="","",$E125+BB設定!$B$5*$F125)</f>
        <v>2549.5760468541775</v>
      </c>
      <c r="I125" s="501">
        <f>IF($D125="","",$E125-BB設定!$B$5*$F125)</f>
        <v>2459.4239531458225</v>
      </c>
      <c r="J125" s="501">
        <f>IF($D125="","",$E125-BB設定!$B$4*$F125)</f>
        <v>2414.3479062916449</v>
      </c>
      <c r="K125" s="506">
        <f t="shared" si="11"/>
        <v>0.18664066647869929</v>
      </c>
      <c r="L125" s="505">
        <f t="shared" si="12"/>
        <v>7.1992089206113077</v>
      </c>
      <c r="M125" s="505">
        <f>IF($D125="","",IFERROR(MIN(BB_帯幅!B125:AP125)*100,""))</f>
        <v>5.6412159072397525</v>
      </c>
      <c r="N125" s="500" t="str">
        <f>IF($L125="","",IF($L125&lt;=$M125*BB設定!$B$7,"スクイーズ★",IF($L125&lt;=$M125*1.3,"収縮","－")))</f>
        <v>収縮</v>
      </c>
      <c r="O125" s="500" t="str">
        <f>IF($D125="","",IF(AND(BB_帯幅!B125&gt;BB_帯幅!C125,BB_帯幅!C125&gt;BB_帯幅!D125),"拡大↑","縮小↓"))</f>
        <v>拡大↑</v>
      </c>
      <c r="P125" s="500" t="str">
        <f t="shared" si="13"/>
        <v>-1σ下</v>
      </c>
      <c r="Q125" s="503">
        <f>IF($D125="","",IFERROR(100-100/(1+SUMPRODUCT((終値!E125:R125&gt;終値!F125:S125)*(終値!E125:R125-終値!F125:S125))/SUMPRODUCT((終値!E125:R125&lt;終値!F125:S125)*(終値!F125:S125-終値!E125:R125))),100))</f>
        <v>40.820734341252702</v>
      </c>
      <c r="R125" s="503">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51.417453379011668</v>
      </c>
      <c r="S125" s="500"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v>
      </c>
      <c r="T125" s="500" t="str">
        <f t="shared" si="14"/>
        <v>下walk▼</v>
      </c>
      <c r="U125" s="500" t="str">
        <f>IF(終値!A125="","",BB_スイング!BT125)</f>
        <v>二番底W形成</v>
      </c>
      <c r="V125" s="508">
        <f>IF($D125="","",IFERROR(出来高!E125/AVERAGE(出来高!E125:I125),""))</f>
        <v>1.1132958801498127</v>
      </c>
      <c r="W125" s="509"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4">
        <f t="shared" si="20"/>
        <v>5</v>
      </c>
      <c r="Y125" s="501">
        <f t="shared" si="15"/>
        <v>2448</v>
      </c>
      <c r="Z125" s="501">
        <f t="shared" si="16"/>
        <v>2549.5760468541775</v>
      </c>
      <c r="AA125" s="501">
        <f t="shared" si="17"/>
        <v>2411</v>
      </c>
      <c r="AB125" s="501">
        <f t="shared" si="21"/>
        <v>2594.6520937083551</v>
      </c>
      <c r="AC125" s="507">
        <f t="shared" si="18"/>
        <v>3.96</v>
      </c>
      <c r="AD125" s="501">
        <f>IF($D125="","",MIN(終値!E125:I125))</f>
        <v>2411</v>
      </c>
      <c r="AE125" s="503">
        <f t="shared" si="19"/>
        <v>5.0987499999999999</v>
      </c>
    </row>
    <row r="126" spans="1:31">
      <c r="A126" s="500" t="str">
        <f>IF(終値!A126="","",HYPERLINK("https://kabutan.jp/stock/?code="&amp;終値!A126,"📈"))</f>
        <v>📈</v>
      </c>
      <c r="B126" s="500" t="str">
        <f>IF(終値!A126="","",終値!A126)</f>
        <v>9416</v>
      </c>
      <c r="C126" s="499" t="str">
        <f>IF(終値!A126="","",終値!B126)</f>
        <v>ビジョン</v>
      </c>
      <c r="D126" s="501">
        <f>IF(終値!A126="","",終値!E126)</f>
        <v>1022</v>
      </c>
      <c r="E126" s="501">
        <f>IF($D126="","",AVERAGE(終値!E126:X126))</f>
        <v>1014.9</v>
      </c>
      <c r="F126" s="502">
        <f>IF($D126="","",STDEVP(終値!E126:X126))</f>
        <v>15.089400253157848</v>
      </c>
      <c r="G126" s="501">
        <f>IF($D126="","",$E126+BB設定!$B$4*$F126)</f>
        <v>1045.0788005063157</v>
      </c>
      <c r="H126" s="501">
        <f>IF($D126="","",$E126+BB設定!$B$5*$F126)</f>
        <v>1029.9894002531578</v>
      </c>
      <c r="I126" s="501">
        <f>IF($D126="","",$E126-BB設定!$B$5*$F126)</f>
        <v>999.81059974684217</v>
      </c>
      <c r="J126" s="501">
        <f>IF($D126="","",$E126-BB設定!$B$4*$F126)</f>
        <v>984.72119949368425</v>
      </c>
      <c r="K126" s="506">
        <f t="shared" si="11"/>
        <v>0.61763224317868692</v>
      </c>
      <c r="L126" s="505">
        <f t="shared" si="12"/>
        <v>5.9471476019934428</v>
      </c>
      <c r="M126" s="505">
        <f>IF($D126="","",IFERROR(MIN(BB_帯幅!B126:AP126)*100,""))</f>
        <v>5.9088650163593011</v>
      </c>
      <c r="N126" s="500" t="str">
        <f>IF($L126="","",IF($L126&lt;=$M126*BB設定!$B$7,"スクイーズ★",IF($L126&lt;=$M126*1.3,"収縮","－")))</f>
        <v>スクイーズ★</v>
      </c>
      <c r="O126" s="500" t="str">
        <f>IF($D126="","",IF(AND(BB_帯幅!B126&gt;BB_帯幅!C126,BB_帯幅!C126&gt;BB_帯幅!D126),"拡大↑","縮小↓"))</f>
        <v>拡大↑</v>
      </c>
      <c r="P126" s="500" t="str">
        <f t="shared" si="13"/>
        <v>バンド内</v>
      </c>
      <c r="Q126" s="503">
        <f>IF($D126="","",IFERROR(100-100/(1+SUMPRODUCT((終値!E126:R126&gt;終値!F126:S126)*(終値!E126:R126-終値!F126:S126))/SUMPRODUCT((終値!E126:R126&lt;終値!F126:S126)*(終値!F126:S126-終値!E126:R126))),100))</f>
        <v>52.564102564102562</v>
      </c>
      <c r="R126" s="503">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39.015767928477061</v>
      </c>
      <c r="S126" s="500"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0" t="str">
        <f t="shared" si="14"/>
        <v>－</v>
      </c>
      <c r="U126" s="500" t="str">
        <f>IF(終値!A126="","",BB_スイング!BT126)</f>
        <v>二番底W形成</v>
      </c>
      <c r="V126" s="508">
        <f>IF($D126="","",IFERROR(出来高!E126/AVERAGE(出来高!E126:I126),""))</f>
        <v>0.76308539944903586</v>
      </c>
      <c r="W126" s="509"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△二番底形成</v>
      </c>
      <c r="X126" s="504">
        <f t="shared" si="20"/>
        <v>45</v>
      </c>
      <c r="Y126" s="501">
        <f t="shared" si="15"/>
        <v>1022</v>
      </c>
      <c r="Z126" s="501">
        <f t="shared" si="16"/>
        <v>1029.9894002531578</v>
      </c>
      <c r="AA126" s="501">
        <f t="shared" si="17"/>
        <v>1014.9</v>
      </c>
      <c r="AB126" s="501">
        <f t="shared" si="21"/>
        <v>1045.0788005063157</v>
      </c>
      <c r="AC126" s="507">
        <f t="shared" si="18"/>
        <v>3.25</v>
      </c>
      <c r="AD126" s="501">
        <f>IF($D126="","",MIN(終値!E126:I126))</f>
        <v>1009</v>
      </c>
      <c r="AE126" s="503">
        <f t="shared" si="19"/>
        <v>45.098739999999999</v>
      </c>
    </row>
    <row r="127" spans="1:31">
      <c r="A127" s="500" t="str">
        <f>IF(終値!A127="","",HYPERLINK("https://kabutan.jp/stock/?code="&amp;終値!A127,"📈"))</f>
        <v>📈</v>
      </c>
      <c r="B127" s="500" t="str">
        <f>IF(終値!A127="","",終値!A127)</f>
        <v>9532</v>
      </c>
      <c r="C127" s="499" t="str">
        <f>IF(終値!A127="","",終値!B127)</f>
        <v>大阪瓦斯</v>
      </c>
      <c r="D127" s="501">
        <f>IF(終値!A127="","",終値!E127)</f>
        <v>5391</v>
      </c>
      <c r="E127" s="501">
        <f>IF($D127="","",AVERAGE(終値!E127:X127))</f>
        <v>5439.2</v>
      </c>
      <c r="F127" s="502">
        <f>IF($D127="","",STDEVP(終値!E127:X127))</f>
        <v>83.806682311137948</v>
      </c>
      <c r="G127" s="501">
        <f>IF($D127="","",$E127+BB設定!$B$4*$F127)</f>
        <v>5606.8133646222759</v>
      </c>
      <c r="H127" s="501">
        <f>IF($D127="","",$E127+BB設定!$B$5*$F127)</f>
        <v>5523.0066823111374</v>
      </c>
      <c r="I127" s="501">
        <f>IF($D127="","",$E127-BB設定!$B$5*$F127)</f>
        <v>5355.3933176888622</v>
      </c>
      <c r="J127" s="501">
        <f>IF($D127="","",$E127-BB設定!$B$4*$F127)</f>
        <v>5271.5866353777237</v>
      </c>
      <c r="K127" s="506">
        <f t="shared" si="11"/>
        <v>0.35621671604582195</v>
      </c>
      <c r="L127" s="505">
        <f t="shared" si="12"/>
        <v>6.1631623997012834</v>
      </c>
      <c r="M127" s="505">
        <f>IF($D127="","",IFERROR(MIN(BB_帯幅!B127:AP127)*100,""))</f>
        <v>4.5104087813050855</v>
      </c>
      <c r="N127" s="500" t="str">
        <f>IF($L127="","",IF($L127&lt;=$M127*BB設定!$B$7,"スクイーズ★",IF($L127&lt;=$M127*1.3,"収縮","－")))</f>
        <v>－</v>
      </c>
      <c r="O127" s="500" t="str">
        <f>IF($D127="","",IF(AND(BB_帯幅!B127&gt;BB_帯幅!C127,BB_帯幅!C127&gt;BB_帯幅!D127),"拡大↑","縮小↓"))</f>
        <v>縮小↓</v>
      </c>
      <c r="P127" s="500" t="str">
        <f t="shared" si="13"/>
        <v>バンド内</v>
      </c>
      <c r="Q127" s="503">
        <f>IF($D127="","",IFERROR(100-100/(1+SUMPRODUCT((終値!E127:R127&gt;終値!F127:S127)*(終値!E127:R127-終値!F127:S127))/SUMPRODUCT((終値!E127:R127&lt;終値!F127:S127)*(終値!F127:S127-終値!E127:R127))),100))</f>
        <v>49.935815147625163</v>
      </c>
      <c r="R127" s="503">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44.349121432613288</v>
      </c>
      <c r="S127" s="500"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0" t="str">
        <f t="shared" si="14"/>
        <v>－</v>
      </c>
      <c r="U127" s="500" t="str">
        <f>IF(終値!A127="","",BB_スイング!BT127)</f>
        <v>二番底W形成</v>
      </c>
      <c r="V127" s="508">
        <f>IF($D127="","",IFERROR(出来高!E127/AVERAGE(出来高!E127:I127),""))</f>
        <v>0.99735094100901467</v>
      </c>
      <c r="W127" s="509"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△二番底形成</v>
      </c>
      <c r="X127" s="504">
        <f t="shared" si="20"/>
        <v>5</v>
      </c>
      <c r="Y127" s="501">
        <f t="shared" si="15"/>
        <v>5391</v>
      </c>
      <c r="Z127" s="501">
        <f t="shared" si="16"/>
        <v>5523.0066823111374</v>
      </c>
      <c r="AA127" s="501">
        <f t="shared" si="17"/>
        <v>5310</v>
      </c>
      <c r="AB127" s="501">
        <f t="shared" si="21"/>
        <v>5606.8133646222759</v>
      </c>
      <c r="AC127" s="507">
        <f t="shared" si="18"/>
        <v>2.66</v>
      </c>
      <c r="AD127" s="501">
        <f>IF($D127="","",MIN(終値!E127:I127))</f>
        <v>5310</v>
      </c>
      <c r="AE127" s="503">
        <f t="shared" si="19"/>
        <v>5.0987299999999998</v>
      </c>
    </row>
    <row r="128" spans="1:31">
      <c r="A128" s="500" t="str">
        <f>IF(終値!A128="","",HYPERLINK("https://kabutan.jp/stock/?code="&amp;終値!A128,"📈"))</f>
        <v>📈</v>
      </c>
      <c r="B128" s="500" t="str">
        <f>IF(終値!A128="","",終値!A128)</f>
        <v>6330</v>
      </c>
      <c r="C128" s="499" t="str">
        <f>IF(終値!A128="","",終値!B128)</f>
        <v>東洋エンジニア</v>
      </c>
      <c r="D128" s="501">
        <f>IF(終値!A128="","",終値!E128)</f>
        <v>2018</v>
      </c>
      <c r="E128" s="501">
        <f>IF($D128="","",AVERAGE(終値!E128:X128))</f>
        <v>1948.3157894736842</v>
      </c>
      <c r="F128" s="502">
        <f>IF($D128="","",STDEVP(終値!E128:X128))</f>
        <v>78.154403608012387</v>
      </c>
      <c r="G128" s="501">
        <f>IF($D128="","",$E128+BB設定!$B$4*$F128)</f>
        <v>2104.6245966897091</v>
      </c>
      <c r="H128" s="501">
        <f>IF($D128="","",$E128+BB設定!$B$5*$F128)</f>
        <v>2026.4701930816966</v>
      </c>
      <c r="I128" s="501">
        <f>IF($D128="","",$E128-BB設定!$B$5*$F128)</f>
        <v>1870.1613858656717</v>
      </c>
      <c r="J128" s="501">
        <f>IF($D128="","",$E128-BB設定!$B$4*$F128)</f>
        <v>1792.0069822576593</v>
      </c>
      <c r="K128" s="506">
        <f t="shared" si="11"/>
        <v>0.72290557956215973</v>
      </c>
      <c r="L128" s="505">
        <f t="shared" si="12"/>
        <v>16.045531023310136</v>
      </c>
      <c r="M128" s="505">
        <f>IF($D128="","",IFERROR(MIN(BB_帯幅!B128:AP128)*100,""))</f>
        <v>15.732303958675439</v>
      </c>
      <c r="N128" s="500" t="str">
        <f>IF($L128="","",IF($L128&lt;=$M128*BB設定!$B$7,"スクイーズ★",IF($L128&lt;=$M128*1.3,"収縮","－")))</f>
        <v>スクイーズ★</v>
      </c>
      <c r="O128" s="500" t="str">
        <f>IF($D128="","",IF(AND(BB_帯幅!B128&gt;BB_帯幅!C128,BB_帯幅!C128&gt;BB_帯幅!D128),"拡大↑","縮小↓"))</f>
        <v>縮小↓</v>
      </c>
      <c r="P128" s="500" t="str">
        <f t="shared" si="13"/>
        <v>バンド内</v>
      </c>
      <c r="Q128" s="503">
        <f>IF($D128="","",IFERROR(100-100/(1+SUMPRODUCT((終値!E128:R128&gt;終値!F128:S128)*(終値!E128:R128-終値!F128:S128))/SUMPRODUCT((終値!E128:R128&lt;終値!F128:S128)*(終値!F128:S128-終値!E128:R128))),100))</f>
        <v>50.623993558776164</v>
      </c>
      <c r="R128" s="503">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53.456417223227049</v>
      </c>
      <c r="S128" s="500"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0" t="str">
        <f t="shared" si="14"/>
        <v>－</v>
      </c>
      <c r="U128" s="500" t="str">
        <f>IF(終値!A128="","",BB_スイング!BT128)</f>
        <v>－</v>
      </c>
      <c r="V128" s="508">
        <f>IF($D128="","",IFERROR(出来高!E128/AVERAGE(出来高!E128:I128),""))</f>
        <v>0.82362394535958217</v>
      </c>
      <c r="W128" s="509"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☆スクイーズ監視</v>
      </c>
      <c r="X128" s="504">
        <f t="shared" si="20"/>
        <v>40</v>
      </c>
      <c r="Y128" s="501">
        <f t="shared" si="15"/>
        <v>2018</v>
      </c>
      <c r="Z128" s="501">
        <f t="shared" si="16"/>
        <v>2026.4701930816966</v>
      </c>
      <c r="AA128" s="501">
        <f t="shared" si="17"/>
        <v>1948.3157894736842</v>
      </c>
      <c r="AB128" s="501">
        <f t="shared" si="21"/>
        <v>2104.6245966897091</v>
      </c>
      <c r="AC128" s="507">
        <f t="shared" si="18"/>
        <v>1.24</v>
      </c>
      <c r="AD128" s="501">
        <f>IF($D128="","",MIN(終値!E128:I128))</f>
        <v>1897</v>
      </c>
      <c r="AE128" s="503">
        <f t="shared" si="19"/>
        <v>40.09872</v>
      </c>
    </row>
    <row r="129" spans="1:31" ht="24">
      <c r="A129" s="500" t="str">
        <f>IF(終値!A129="","",HYPERLINK("https://kabutan.jp/stock/?code="&amp;終値!A129,"📈"))</f>
        <v>📈</v>
      </c>
      <c r="B129" s="500" t="str">
        <f>IF(終値!A129="","",終値!A129)</f>
        <v>4082</v>
      </c>
      <c r="C129" s="499" t="str">
        <f>IF(終値!A129="","",終値!B129)</f>
        <v>第一稀元素化学工</v>
      </c>
      <c r="D129" s="501">
        <f>IF(終値!A129="","",終値!E129)</f>
        <v>1921</v>
      </c>
      <c r="E129" s="501">
        <f>IF($D129="","",AVERAGE(終値!E129:X129))</f>
        <v>1850.95</v>
      </c>
      <c r="F129" s="502">
        <f>IF($D129="","",STDEVP(終値!E129:X129))</f>
        <v>92.094231632605528</v>
      </c>
      <c r="G129" s="501">
        <f>IF($D129="","",$E129+BB設定!$B$4*$F129)</f>
        <v>2035.1384632652112</v>
      </c>
      <c r="H129" s="501">
        <f>IF($D129="","",$E129+BB設定!$B$5*$F129)</f>
        <v>1943.0442316326055</v>
      </c>
      <c r="I129" s="501">
        <f>IF($D129="","",$E129-BB設定!$B$5*$F129)</f>
        <v>1758.8557683673946</v>
      </c>
      <c r="J129" s="501">
        <f>IF($D129="","",$E129-BB設定!$B$4*$F129)</f>
        <v>1666.7615367347889</v>
      </c>
      <c r="K129" s="506">
        <f t="shared" si="11"/>
        <v>0.69015848972890248</v>
      </c>
      <c r="L129" s="505">
        <f t="shared" si="12"/>
        <v>19.902046329205124</v>
      </c>
      <c r="M129" s="505">
        <f>IF($D129="","",IFERROR(MIN(BB_帯幅!B129:AP129)*100,""))</f>
        <v>10.205391466364411</v>
      </c>
      <c r="N129" s="500" t="str">
        <f>IF($L129="","",IF($L129&lt;=$M129*BB設定!$B$7,"スクイーズ★",IF($L129&lt;=$M129*1.3,"収縮","－")))</f>
        <v>－</v>
      </c>
      <c r="O129" s="500" t="str">
        <f>IF($D129="","",IF(AND(BB_帯幅!B129&gt;BB_帯幅!C129,BB_帯幅!C129&gt;BB_帯幅!D129),"拡大↑","縮小↓"))</f>
        <v>縮小↓</v>
      </c>
      <c r="P129" s="500" t="str">
        <f t="shared" si="13"/>
        <v>バンド内</v>
      </c>
      <c r="Q129" s="503">
        <f>IF($D129="","",IFERROR(100-100/(1+SUMPRODUCT((終値!E129:R129&gt;終値!F129:S129)*(終値!E129:R129-終値!F129:S129))/SUMPRODUCT((終値!E129:R129&lt;終値!F129:S129)*(終値!F129:S129-終値!E129:R129))),100))</f>
        <v>48.49498327759197</v>
      </c>
      <c r="R129" s="503">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49.752996438974108</v>
      </c>
      <c r="S129" s="500"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0" t="str">
        <f t="shared" si="14"/>
        <v>－</v>
      </c>
      <c r="U129" s="500" t="str">
        <f>IF(終値!A129="","",BB_スイング!BT129)</f>
        <v>二番底W▲</v>
      </c>
      <c r="V129" s="508">
        <f>IF($D129="","",IFERROR(出来高!E129/AVERAGE(出来高!E129:I129),""))</f>
        <v>0.80073108081406841</v>
      </c>
      <c r="W129" s="509"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△二番底買(確)</v>
      </c>
      <c r="X129" s="504">
        <f t="shared" si="20"/>
        <v>10</v>
      </c>
      <c r="Y129" s="501">
        <f t="shared" si="15"/>
        <v>1921</v>
      </c>
      <c r="Z129" s="501">
        <f t="shared" si="16"/>
        <v>1943.0442316326055</v>
      </c>
      <c r="AA129" s="501">
        <f t="shared" si="17"/>
        <v>1850.95</v>
      </c>
      <c r="AB129" s="501">
        <f t="shared" si="21"/>
        <v>2035.1384632652112</v>
      </c>
      <c r="AC129" s="507">
        <f t="shared" si="18"/>
        <v>1.63</v>
      </c>
      <c r="AD129" s="501">
        <f>IF($D129="","",MIN(終値!E129:I129))</f>
        <v>1755</v>
      </c>
      <c r="AE129" s="503">
        <f t="shared" si="19"/>
        <v>10.098710000000001</v>
      </c>
    </row>
    <row r="130" spans="1:31">
      <c r="A130" s="500" t="str">
        <f>IF(終値!A130="","",HYPERLINK("https://kabutan.jp/stock/?code="&amp;終値!A130,"📈"))</f>
        <v>📈</v>
      </c>
      <c r="B130" s="500" t="str">
        <f>IF(終値!A130="","",終値!A130)</f>
        <v>4519</v>
      </c>
      <c r="C130" s="499" t="str">
        <f>IF(終値!A130="","",終値!B130)</f>
        <v>中外製薬</v>
      </c>
      <c r="D130" s="501">
        <f>IF(終値!A130="","",終値!E130)</f>
        <v>6764</v>
      </c>
      <c r="E130" s="501">
        <f>IF($D130="","",AVERAGE(終値!E130:X130))</f>
        <v>7087.894736842105</v>
      </c>
      <c r="F130" s="502">
        <f>IF($D130="","",STDEVP(終値!E130:X130))</f>
        <v>248.42258028076239</v>
      </c>
      <c r="G130" s="501">
        <f>IF($D130="","",$E130+BB設定!$B$4*$F130)</f>
        <v>7584.7398974036296</v>
      </c>
      <c r="H130" s="501">
        <f>IF($D130="","",$E130+BB設定!$B$5*$F130)</f>
        <v>7336.3173171228673</v>
      </c>
      <c r="I130" s="501">
        <f>IF($D130="","",$E130-BB設定!$B$5*$F130)</f>
        <v>6839.4721565613427</v>
      </c>
      <c r="J130" s="501">
        <f>IF($D130="","",$E130-BB設定!$B$4*$F130)</f>
        <v>6591.0495762805804</v>
      </c>
      <c r="K130" s="506">
        <f t="shared" si="11"/>
        <v>0.17404861458643822</v>
      </c>
      <c r="L130" s="505">
        <f t="shared" si="12"/>
        <v>14.01954117571689</v>
      </c>
      <c r="M130" s="505">
        <f>IF($D130="","",IFERROR(MIN(BB_帯幅!B130:AP130)*100,""))</f>
        <v>3.5080110738205694</v>
      </c>
      <c r="N130" s="500" t="str">
        <f>IF($L130="","",IF($L130&lt;=$M130*BB設定!$B$7,"スクイーズ★",IF($L130&lt;=$M130*1.3,"収縮","－")))</f>
        <v>－</v>
      </c>
      <c r="O130" s="500" t="str">
        <f>IF($D130="","",IF(AND(BB_帯幅!B130&gt;BB_帯幅!C130,BB_帯幅!C130&gt;BB_帯幅!D130),"拡大↑","縮小↓"))</f>
        <v>縮小↓</v>
      </c>
      <c r="P130" s="500" t="str">
        <f t="shared" si="13"/>
        <v>-1σ下</v>
      </c>
      <c r="Q130" s="503">
        <f>IF($D130="","",IFERROR(100-100/(1+SUMPRODUCT((終値!E130:R130&gt;終値!F130:S130)*(終値!E130:R130-終値!F130:S130))/SUMPRODUCT((終値!E130:R130&lt;終値!F130:S130)*(終値!F130:S130-終値!E130:R130))),100))</f>
        <v>48.803576124112539</v>
      </c>
      <c r="R130" s="503">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60.426782087994013</v>
      </c>
      <c r="S130" s="500"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強気div▲</v>
      </c>
      <c r="T130" s="500" t="str">
        <f t="shared" si="14"/>
        <v>下walk▼</v>
      </c>
      <c r="U130" s="500" t="str">
        <f>IF(終値!A130="","",BB_スイング!BT130)</f>
        <v>－</v>
      </c>
      <c r="V130" s="508">
        <f>IF($D130="","",IFERROR(出来高!E130/AVERAGE(出来高!E130:I130),""))</f>
        <v>1.0250255662018068</v>
      </c>
      <c r="W130" s="509"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様子見</v>
      </c>
      <c r="X130" s="504">
        <f t="shared" si="20"/>
        <v>0</v>
      </c>
      <c r="Y130" s="501">
        <f t="shared" si="15"/>
        <v>6764</v>
      </c>
      <c r="Z130" s="501">
        <f t="shared" si="16"/>
        <v>7336.3173171228673</v>
      </c>
      <c r="AA130" s="501">
        <f t="shared" si="17"/>
        <v>6680</v>
      </c>
      <c r="AB130" s="501">
        <f t="shared" si="21"/>
        <v>7584.7398974036296</v>
      </c>
      <c r="AC130" s="507">
        <f t="shared" si="18"/>
        <v>9.77</v>
      </c>
      <c r="AD130" s="501">
        <f>IF($D130="","",MIN(終値!E130:I130))</f>
        <v>6680</v>
      </c>
      <c r="AE130" s="503">
        <f t="shared" si="19"/>
        <v>9.8699999999999996E-2</v>
      </c>
    </row>
    <row r="131" spans="1:31" ht="24">
      <c r="A131" s="500" t="str">
        <f>IF(終値!A131="","",HYPERLINK("https://kabutan.jp/stock/?code="&amp;終値!A131,"📈"))</f>
        <v>📈</v>
      </c>
      <c r="B131" s="500" t="str">
        <f>IF(終値!A131="","",終値!A131)</f>
        <v>2160</v>
      </c>
      <c r="C131" s="499" t="str">
        <f>IF(終値!A131="","",終値!B131)</f>
        <v>ジーエヌアイグループ</v>
      </c>
      <c r="D131" s="501">
        <f>IF(終値!A131="","",終値!E131)</f>
        <v>2719</v>
      </c>
      <c r="E131" s="501">
        <f>IF($D131="","",AVERAGE(終値!E131:X131))</f>
        <v>2535.4</v>
      </c>
      <c r="F131" s="502">
        <f>IF($D131="","",STDEVP(終値!E131:X131))</f>
        <v>97.717142815372995</v>
      </c>
      <c r="G131" s="501">
        <f>IF($D131="","",$E131+BB設定!$B$4*$F131)</f>
        <v>2730.8342856307463</v>
      </c>
      <c r="H131" s="501">
        <f>IF($D131="","",$E131+BB設定!$B$5*$F131)</f>
        <v>2633.117142815373</v>
      </c>
      <c r="I131" s="501">
        <f>IF($D131="","",$E131-BB設定!$B$5*$F131)</f>
        <v>2437.6828571846272</v>
      </c>
      <c r="J131" s="501">
        <f>IF($D131="","",$E131-BB設定!$B$4*$F131)</f>
        <v>2339.9657143692539</v>
      </c>
      <c r="K131" s="506">
        <f t="shared" si="11"/>
        <v>0.96972310771226189</v>
      </c>
      <c r="L131" s="505">
        <f t="shared" si="12"/>
        <v>15.416445975447363</v>
      </c>
      <c r="M131" s="505">
        <f>IF($D131="","",IFERROR(MIN(BB_帯幅!B131:AP131)*100,""))</f>
        <v>15.416445975447344</v>
      </c>
      <c r="N131" s="500" t="str">
        <f>IF($L131="","",IF($L131&lt;=$M131*BB設定!$B$7,"スクイーズ★",IF($L131&lt;=$M131*1.3,"収縮","－")))</f>
        <v>スクイーズ★</v>
      </c>
      <c r="O131" s="500" t="str">
        <f>IF($D131="","",IF(AND(BB_帯幅!B131&gt;BB_帯幅!C131,BB_帯幅!C131&gt;BB_帯幅!D131),"拡大↑","縮小↓"))</f>
        <v>縮小↓</v>
      </c>
      <c r="P131" s="500" t="str">
        <f t="shared" si="13"/>
        <v>+1σ上</v>
      </c>
      <c r="Q131" s="503">
        <f>IF($D131="","",IFERROR(100-100/(1+SUMPRODUCT((終値!E131:R131&gt;終値!F131:S131)*(終値!E131:R131-終値!F131:S131))/SUMPRODUCT((終値!E131:R131&lt;終値!F131:S131)*(終値!F131:S131-終値!E131:R131))),100))</f>
        <v>55.566127497621309</v>
      </c>
      <c r="R131" s="503">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58.657333376995737</v>
      </c>
      <c r="S131" s="500"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0" t="str">
        <f t="shared" si="14"/>
        <v>上walk▲</v>
      </c>
      <c r="U131" s="500" t="str">
        <f>IF(終値!A131="","",BB_スイング!BT131)</f>
        <v>－</v>
      </c>
      <c r="V131" s="508">
        <f>IF($D131="","",IFERROR(出来高!E131/AVERAGE(出来高!E131:I131),""))</f>
        <v>1.3565593464680441</v>
      </c>
      <c r="W131" s="509"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☆スクイーズ監視</v>
      </c>
      <c r="X131" s="504">
        <f t="shared" si="20"/>
        <v>52</v>
      </c>
      <c r="Y131" s="501">
        <f t="shared" si="15"/>
        <v>2719</v>
      </c>
      <c r="Z131" s="501">
        <f t="shared" si="16"/>
        <v>2633.117142815373</v>
      </c>
      <c r="AA131" s="501">
        <f t="shared" si="17"/>
        <v>2535.4</v>
      </c>
      <c r="AB131" s="501">
        <f t="shared" si="21"/>
        <v>2730.8342856307463</v>
      </c>
      <c r="AC131" s="507">
        <f t="shared" si="18"/>
        <v>0.06</v>
      </c>
      <c r="AD131" s="501">
        <f>IF($D131="","",MIN(終値!E131:I131))</f>
        <v>2475</v>
      </c>
      <c r="AE131" s="503">
        <f t="shared" si="19"/>
        <v>52.098689999999998</v>
      </c>
    </row>
    <row r="132" spans="1:31">
      <c r="A132" s="500" t="str">
        <f>IF(終値!A132="","",HYPERLINK("https://kabutan.jp/stock/?code="&amp;終値!A132,"📈"))</f>
        <v>📈</v>
      </c>
      <c r="B132" s="500" t="str">
        <f>IF(終値!A132="","",終値!A132)</f>
        <v>6227</v>
      </c>
      <c r="C132" s="499" t="str">
        <f>IF(終値!A132="","",終値!B132)</f>
        <v>ＡＩメカテック</v>
      </c>
      <c r="D132" s="501">
        <f>IF(終値!A132="","",終値!E132)</f>
        <v>7400</v>
      </c>
      <c r="E132" s="501">
        <f>IF($D132="","",AVERAGE(終値!E132:X132))</f>
        <v>6732.6315789473683</v>
      </c>
      <c r="F132" s="502">
        <f>IF($D132="","",STDEVP(終値!E132:X132))</f>
        <v>729.13677949565567</v>
      </c>
      <c r="G132" s="501">
        <f>IF($D132="","",$E132+BB設定!$B$4*$F132)</f>
        <v>8190.9051379386801</v>
      </c>
      <c r="H132" s="501">
        <f>IF($D132="","",$E132+BB設定!$B$5*$F132)</f>
        <v>7461.7683584430242</v>
      </c>
      <c r="I132" s="501">
        <f>IF($D132="","",$E132-BB設定!$B$5*$F132)</f>
        <v>6003.4947994517124</v>
      </c>
      <c r="J132" s="501">
        <f>IF($D132="","",$E132-BB設定!$B$4*$F132)</f>
        <v>5274.3580199560565</v>
      </c>
      <c r="K132" s="506">
        <f t="shared" si="11"/>
        <v>0.72882140903461579</v>
      </c>
      <c r="L132" s="505">
        <f t="shared" si="12"/>
        <v>43.319571014438594</v>
      </c>
      <c r="M132" s="505">
        <f>IF($D132="","",IFERROR(MIN(BB_帯幅!B132:AP132)*100,""))</f>
        <v>26.697285287496708</v>
      </c>
      <c r="N132" s="500" t="str">
        <f>IF($L132="","",IF($L132&lt;=$M132*BB設定!$B$7,"スクイーズ★",IF($L132&lt;=$M132*1.3,"収縮","－")))</f>
        <v>－</v>
      </c>
      <c r="O132" s="500" t="str">
        <f>IF($D132="","",IF(AND(BB_帯幅!B132&gt;BB_帯幅!C132,BB_帯幅!C132&gt;BB_帯幅!D132),"拡大↑","縮小↓"))</f>
        <v>縮小↓</v>
      </c>
      <c r="P132" s="500" t="str">
        <f t="shared" si="13"/>
        <v>バンド内</v>
      </c>
      <c r="Q132" s="503">
        <f>IF($D132="","",IFERROR(100-100/(1+SUMPRODUCT((終値!E132:R132&gt;終値!F132:S132)*(終値!E132:R132-終値!F132:S132))/SUMPRODUCT((終値!E132:R132&lt;終値!F132:S132)*(終値!F132:S132-終値!E132:R132))),100))</f>
        <v>50</v>
      </c>
      <c r="R132" s="503">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46.786450369593695</v>
      </c>
      <c r="S132" s="500"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0" t="str">
        <f t="shared" si="14"/>
        <v>－</v>
      </c>
      <c r="U132" s="500" t="str">
        <f>IF(終値!A132="","",BB_スイング!BT132)</f>
        <v>－</v>
      </c>
      <c r="V132" s="508">
        <f>IF($D132="","",IFERROR(出来高!E132/AVERAGE(出来高!E132:I132),""))</f>
        <v>0.82413031474323584</v>
      </c>
      <c r="W132" s="509"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4">
        <f t="shared" si="20"/>
        <v>15</v>
      </c>
      <c r="Y132" s="501">
        <f t="shared" si="15"/>
        <v>7400</v>
      </c>
      <c r="Z132" s="501">
        <f t="shared" si="16"/>
        <v>7461.7683584430242</v>
      </c>
      <c r="AA132" s="501">
        <f t="shared" si="17"/>
        <v>6732.6315789473683</v>
      </c>
      <c r="AB132" s="501">
        <f t="shared" si="21"/>
        <v>8190.9051379386801</v>
      </c>
      <c r="AC132" s="507">
        <f t="shared" si="18"/>
        <v>1.19</v>
      </c>
      <c r="AD132" s="501">
        <f>IF($D132="","",MIN(終値!E132:I132))</f>
        <v>6470</v>
      </c>
      <c r="AE132" s="503">
        <f t="shared" si="19"/>
        <v>15.09868</v>
      </c>
    </row>
    <row r="133" spans="1:31">
      <c r="A133" s="500" t="str">
        <f>IF(終値!A133="","",HYPERLINK("https://kabutan.jp/stock/?code="&amp;終値!A133,"📈"))</f>
        <v>📈</v>
      </c>
      <c r="B133" s="500" t="str">
        <f>IF(終値!A133="","",終値!A133)</f>
        <v>6327</v>
      </c>
      <c r="C133" s="499" t="str">
        <f>IF(終値!A133="","",終値!B133)</f>
        <v>北川精機</v>
      </c>
      <c r="D133" s="501">
        <f>IF(終値!A133="","",終値!E133)</f>
        <v>3350</v>
      </c>
      <c r="E133" s="501">
        <f>IF($D133="","",AVERAGE(終値!E133:X133))</f>
        <v>3990.8421052631579</v>
      </c>
      <c r="F133" s="502">
        <f>IF($D133="","",STDEVP(終値!E133:X133))</f>
        <v>1027.9587982301264</v>
      </c>
      <c r="G133" s="501">
        <f>IF($D133="","",$E133+BB設定!$B$4*$F133)</f>
        <v>6046.7597017234111</v>
      </c>
      <c r="H133" s="501">
        <f>IF($D133="","",$E133+BB設定!$B$5*$F133)</f>
        <v>5018.8009034932838</v>
      </c>
      <c r="I133" s="501">
        <f>IF($D133="","",$E133-BB設定!$B$5*$F133)</f>
        <v>2962.8833070330315</v>
      </c>
      <c r="J133" s="501">
        <f>IF($D133="","",$E133-BB設定!$B$4*$F133)</f>
        <v>1934.9245088029052</v>
      </c>
      <c r="K133" s="506">
        <f t="shared" si="11"/>
        <v>0.3441469379982644</v>
      </c>
      <c r="L133" s="505">
        <f t="shared" si="12"/>
        <v>103.03176834527683</v>
      </c>
      <c r="M133" s="505">
        <f>IF($D133="","",IFERROR(MIN(BB_帯幅!B133:AP133)*100,""))</f>
        <v>65.941168005679103</v>
      </c>
      <c r="N133" s="500" t="str">
        <f>IF($L133="","",IF($L133&lt;=$M133*BB設定!$B$7,"スクイーズ★",IF($L133&lt;=$M133*1.3,"収縮","－")))</f>
        <v>－</v>
      </c>
      <c r="O133" s="500" t="str">
        <f>IF($D133="","",IF(AND(BB_帯幅!B133&gt;BB_帯幅!C133,BB_帯幅!C133&gt;BB_帯幅!D133),"拡大↑","縮小↓"))</f>
        <v>縮小↓</v>
      </c>
      <c r="P133" s="500" t="str">
        <f t="shared" si="13"/>
        <v>バンド内</v>
      </c>
      <c r="Q133" s="503">
        <f>IF($D133="","",IFERROR(100-100/(1+SUMPRODUCT((終値!E133:R133&gt;終値!F133:S133)*(終値!E133:R133-終値!F133:S133))/SUMPRODUCT((終値!E133:R133&lt;終値!F133:S133)*(終値!F133:S133-終値!E133:R133))),100))</f>
        <v>41.392008838151355</v>
      </c>
      <c r="R133" s="503">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50.792710023028455</v>
      </c>
      <c r="S133" s="500"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強気div▲</v>
      </c>
      <c r="T133" s="500" t="str">
        <f t="shared" si="14"/>
        <v>－</v>
      </c>
      <c r="U133" s="500" t="str">
        <f>IF(終値!A133="","",BB_スイング!BT133)</f>
        <v>－</v>
      </c>
      <c r="V133" s="508">
        <f>IF($D133="","",IFERROR(出来高!E133/AVERAGE(出来高!E133:I133),""))</f>
        <v>0.61481379689432458</v>
      </c>
      <c r="W133" s="509"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○反発(ダイバ)買</v>
      </c>
      <c r="X133" s="504">
        <f t="shared" si="20"/>
        <v>15</v>
      </c>
      <c r="Y133" s="501">
        <f t="shared" si="15"/>
        <v>3350</v>
      </c>
      <c r="Z133" s="501">
        <f t="shared" si="16"/>
        <v>5018.8009034932838</v>
      </c>
      <c r="AA133" s="501">
        <f t="shared" si="17"/>
        <v>2846</v>
      </c>
      <c r="AB133" s="501">
        <f t="shared" si="21"/>
        <v>6046.7597017234111</v>
      </c>
      <c r="AC133" s="507">
        <f t="shared" si="18"/>
        <v>5.35</v>
      </c>
      <c r="AD133" s="501">
        <f>IF($D133="","",MIN(終値!E133:I133))</f>
        <v>2846</v>
      </c>
      <c r="AE133" s="503">
        <f t="shared" si="19"/>
        <v>15.09867</v>
      </c>
    </row>
    <row r="134" spans="1:31">
      <c r="A134" s="500" t="str">
        <f>IF(終値!A134="","",HYPERLINK("https://kabutan.jp/stock/?code="&amp;終値!A134,"📈"))</f>
        <v>📈</v>
      </c>
      <c r="B134" s="500" t="str">
        <f>IF(終値!A134="","",終値!A134)</f>
        <v>3110</v>
      </c>
      <c r="C134" s="499" t="str">
        <f>IF(終値!A134="","",終値!B134)</f>
        <v>日東紡績</v>
      </c>
      <c r="D134" s="501">
        <f>IF(終値!A134="","",終値!E134)</f>
        <v>2918</v>
      </c>
      <c r="E134" s="501">
        <f>IF($D134="","",AVERAGE(終値!E134:X134))</f>
        <v>3236.5</v>
      </c>
      <c r="F134" s="502">
        <f>IF($D134="","",STDEVP(終値!E134:X134))</f>
        <v>318.5</v>
      </c>
      <c r="G134" s="501">
        <f>IF($D134="","",$E134+BB設定!$B$4*$F134)</f>
        <v>3873.5</v>
      </c>
      <c r="H134" s="501">
        <f>IF($D134="","",$E134+BB設定!$B$5*$F134)</f>
        <v>3555</v>
      </c>
      <c r="I134" s="501">
        <f>IF($D134="","",$E134-BB設定!$B$5*$F134)</f>
        <v>2918</v>
      </c>
      <c r="J134" s="501">
        <f>IF($D134="","",$E134-BB設定!$B$4*$F134)</f>
        <v>2599.5</v>
      </c>
      <c r="K134" s="506">
        <f t="shared" ref="K134:K197" si="22">IF($D134="","",IFERROR(($D134-$J134)/($G134-$J134),""))</f>
        <v>0.25</v>
      </c>
      <c r="L134" s="505">
        <f t="shared" ref="L134:L197" si="23">IF($D134="","",IFERROR(($G134-$J134)/$E134*100,""))</f>
        <v>39.363509964467788</v>
      </c>
      <c r="M134" s="505">
        <f>IF($D134="","",IFERROR(MIN(BB_帯幅!B134:AP134)*100,""))</f>
        <v>0</v>
      </c>
      <c r="N134" s="500" t="str">
        <f>IF($L134="","",IF($L134&lt;=$M134*BB設定!$B$7,"スクイーズ★",IF($L134&lt;=$M134*1.3,"収縮","－")))</f>
        <v>－</v>
      </c>
      <c r="O134" s="500" t="str">
        <f>IF($D134="","",IF(AND(BB_帯幅!B134&gt;BB_帯幅!C134,BB_帯幅!C134&gt;BB_帯幅!D134),"拡大↑","縮小↓"))</f>
        <v>縮小↓</v>
      </c>
      <c r="P134" s="500" t="str">
        <f t="shared" ref="P134:P197" si="24">IF($D134="","",IF($D134&gt;$G134,"↑+2σ突破",IF($D134&lt;$J134,"↓-2σ割れ",IF($D134&gt;$H134,"+1σ上",IF($D134&lt;$I134,"-1σ下","バンド内")))))</f>
        <v>バンド内</v>
      </c>
      <c r="Q134" s="503">
        <f>IF($D134="","",IFERROR(100-100/(1+SUMPRODUCT((終値!E134:R134&gt;終値!F134:S134)*(終値!E134:R134-終値!F134:S134))/SUMPRODUCT((終値!E134:R134&lt;終値!F134:S134)*(終値!F134:S134-終値!E134:R134))),100))</f>
        <v>84.804389312977094</v>
      </c>
      <c r="R134" s="503">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38.194811390546285</v>
      </c>
      <c r="S134" s="500"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弱気div▼</v>
      </c>
      <c r="T134" s="500" t="str">
        <f t="shared" ref="T134:T197" si="25">IF($D134="","",IF($D134&gt;=$H134,"上walk▲",IF($D134&lt;=$I134,"下walk▼","－")))</f>
        <v>下walk▼</v>
      </c>
      <c r="U134" s="500" t="str">
        <f>IF(終値!A134="","",BB_スイング!BT134)</f>
        <v>－</v>
      </c>
      <c r="V134" s="508">
        <f>IF($D134="","",IFERROR(出来高!E134/AVERAGE(出来高!E134:I134),""))</f>
        <v>1.3110626847453866</v>
      </c>
      <c r="W134" s="509"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4">
        <f t="shared" si="20"/>
        <v>0</v>
      </c>
      <c r="Y134" s="501">
        <f t="shared" ref="Y134:Y197" si="26">IF($D134="","",$D134)</f>
        <v>2918</v>
      </c>
      <c r="Z134" s="501">
        <f t="shared" ref="Z134:Z197" si="27">IF($D134="","",$H134)</f>
        <v>3555</v>
      </c>
      <c r="AA134" s="501">
        <f t="shared" ref="AA134:AA197" si="28">IF($D134="","",IF($D134&gt;$E134,$E134,$AD134))</f>
        <v>2918</v>
      </c>
      <c r="AB134" s="501">
        <f t="shared" si="21"/>
        <v>3873.5</v>
      </c>
      <c r="AC134" s="507" t="str">
        <f t="shared" ref="AC134:AC197" si="29">IF($D134="","",IF(($Y134-$AA134)&lt;=0,"－",IFERROR(ROUND(MIN(20,($AB134-$Y134)/($Y134-$AA134)),2),"－")))</f>
        <v>－</v>
      </c>
      <c r="AD134" s="501">
        <f>IF($D134="","",MIN(終値!E134:I134))</f>
        <v>2918</v>
      </c>
      <c r="AE134" s="503">
        <f t="shared" ref="AE134:AE197" si="30">IF($D134="","",$X134+(10000-ROW())/100000)</f>
        <v>9.8659999999999998E-2</v>
      </c>
    </row>
    <row r="135" spans="1:31">
      <c r="A135" s="500" t="str">
        <f>IF(終値!A135="","",HYPERLINK("https://kabutan.jp/stock/?code="&amp;終値!A135,"📈"))</f>
        <v>📈</v>
      </c>
      <c r="B135" s="500" t="str">
        <f>IF(終値!A135="","",終値!A135)</f>
        <v>6232</v>
      </c>
      <c r="C135" s="499" t="str">
        <f>IF(終値!A135="","",終値!B135)</f>
        <v>ＡＣＳＬ</v>
      </c>
      <c r="D135" s="501">
        <f>IF(終値!A135="","",終値!E135)</f>
        <v>1737</v>
      </c>
      <c r="E135" s="501">
        <f>IF($D135="","",AVERAGE(終値!E135:X135))</f>
        <v>3720.55</v>
      </c>
      <c r="F135" s="502">
        <f>IF($D135="","",STDEVP(終値!E135:X135))</f>
        <v>1276.9437526766792</v>
      </c>
      <c r="G135" s="501">
        <f>IF($D135="","",$E135+BB設定!$B$4*$F135)</f>
        <v>6274.4375053533586</v>
      </c>
      <c r="H135" s="501">
        <f>IF($D135="","",$E135+BB設定!$B$5*$F135)</f>
        <v>4997.4937526766789</v>
      </c>
      <c r="I135" s="501">
        <f>IF($D135="","",$E135-BB設定!$B$5*$F135)</f>
        <v>2443.606247323321</v>
      </c>
      <c r="J135" s="501">
        <f>IF($D135="","",$E135-BB設定!$B$4*$F135)</f>
        <v>1166.6624946466418</v>
      </c>
      <c r="K135" s="506">
        <f t="shared" si="22"/>
        <v>0.11166065540432756</v>
      </c>
      <c r="L135" s="505">
        <f t="shared" si="23"/>
        <v>137.28548227296278</v>
      </c>
      <c r="M135" s="505">
        <f>IF($D135="","",IFERROR(MIN(BB_帯幅!B135:AP135)*100,""))</f>
        <v>65.941168005679103</v>
      </c>
      <c r="N135" s="500" t="str">
        <f>IF($L135="","",IF($L135&lt;=$M135*BB設定!$B$7,"スクイーズ★",IF($L135&lt;=$M135*1.3,"収縮","－")))</f>
        <v>－</v>
      </c>
      <c r="O135" s="500" t="str">
        <f>IF($D135="","",IF(AND(BB_帯幅!B135&gt;BB_帯幅!C135,BB_帯幅!C135&gt;BB_帯幅!D135),"拡大↑","縮小↓"))</f>
        <v>拡大↑</v>
      </c>
      <c r="P135" s="500" t="str">
        <f t="shared" si="24"/>
        <v>-1σ下</v>
      </c>
      <c r="Q135" s="503">
        <f>IF($D135="","",IFERROR(100-100/(1+SUMPRODUCT((終値!E135:R135&gt;終値!F135:S135)*(終値!E135:R135-終値!F135:S135))/SUMPRODUCT((終値!E135:R135&lt;終値!F135:S135)*(終値!F135:S135-終値!E135:R135))),100))</f>
        <v>29.485216162092115</v>
      </c>
      <c r="R135" s="503">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44.349109076313454</v>
      </c>
      <c r="S135" s="500"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強気div▲</v>
      </c>
      <c r="T135" s="500" t="str">
        <f t="shared" si="25"/>
        <v>下walk▼</v>
      </c>
      <c r="U135" s="500" t="str">
        <f>IF(終値!A135="","",BB_スイング!BT135)</f>
        <v>－</v>
      </c>
      <c r="V135" s="508">
        <f>IF($D135="","",IFERROR(出来高!E135/AVERAGE(出来高!E135:I135),""))</f>
        <v>0.64710095192623318</v>
      </c>
      <c r="W135" s="509"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様子見</v>
      </c>
      <c r="X135" s="504">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1">
        <f t="shared" si="26"/>
        <v>1737</v>
      </c>
      <c r="Z135" s="501">
        <f t="shared" si="27"/>
        <v>4997.4937526766789</v>
      </c>
      <c r="AA135" s="501">
        <f t="shared" si="28"/>
        <v>1737</v>
      </c>
      <c r="AB135" s="501">
        <f t="shared" ref="AB135:AB198" si="32">IF($D135="","",IF($D135&gt;$G135,$E135+3*$F135,$G135))</f>
        <v>6274.4375053533586</v>
      </c>
      <c r="AC135" s="507" t="str">
        <f t="shared" si="29"/>
        <v>－</v>
      </c>
      <c r="AD135" s="501">
        <f>IF($D135="","",MIN(終値!E135:I135))</f>
        <v>1737</v>
      </c>
      <c r="AE135" s="503">
        <f t="shared" si="30"/>
        <v>9.8650000000000002E-2</v>
      </c>
    </row>
    <row r="136" spans="1:31">
      <c r="A136" s="500" t="str">
        <f>IF(終値!A136="","",HYPERLINK("https://kabutan.jp/stock/?code="&amp;終値!A136,"📈"))</f>
        <v>📈</v>
      </c>
      <c r="B136" s="500" t="str">
        <f>IF(終値!A136="","",終値!A136)</f>
        <v>7794</v>
      </c>
      <c r="C136" s="499" t="str">
        <f>IF(終値!A136="","",終値!B136)</f>
        <v>イーディーピー</v>
      </c>
      <c r="D136" s="501">
        <f>IF(終値!A136="","",終値!E136)</f>
        <v>874</v>
      </c>
      <c r="E136" s="501">
        <f>IF($D136="","",AVERAGE(終値!E136:X136))</f>
        <v>941.9473684210526</v>
      </c>
      <c r="F136" s="502">
        <f>IF($D136="","",STDEVP(終値!E136:X136))</f>
        <v>82.370455666816625</v>
      </c>
      <c r="G136" s="501">
        <f>IF($D136="","",$E136+BB設定!$B$4*$F136)</f>
        <v>1106.6882797546859</v>
      </c>
      <c r="H136" s="501">
        <f>IF($D136="","",$E136+BB設定!$B$5*$F136)</f>
        <v>1024.3178240878692</v>
      </c>
      <c r="I136" s="501">
        <f>IF($D136="","",$E136-BB設定!$B$5*$F136)</f>
        <v>859.57691275423599</v>
      </c>
      <c r="J136" s="501">
        <f>IF($D136="","",$E136-BB設定!$B$4*$F136)</f>
        <v>777.20645708741938</v>
      </c>
      <c r="K136" s="506">
        <f t="shared" si="22"/>
        <v>0.29377506209296833</v>
      </c>
      <c r="L136" s="505">
        <f t="shared" si="23"/>
        <v>34.978793265229172</v>
      </c>
      <c r="M136" s="505">
        <f>IF($D136="","",IFERROR(MIN(BB_帯幅!B136:AP136)*100,""))</f>
        <v>16.349191139545351</v>
      </c>
      <c r="N136" s="500" t="str">
        <f>IF($L136="","",IF($L136&lt;=$M136*BB設定!$B$7,"スクイーズ★",IF($L136&lt;=$M136*1.3,"収縮","－")))</f>
        <v>－</v>
      </c>
      <c r="O136" s="500" t="str">
        <f>IF($D136="","",IF(AND(BB_帯幅!B136&gt;BB_帯幅!C136,BB_帯幅!C136&gt;BB_帯幅!D136),"拡大↑","縮小↓"))</f>
        <v>縮小↓</v>
      </c>
      <c r="P136" s="500" t="str">
        <f t="shared" si="24"/>
        <v>バンド内</v>
      </c>
      <c r="Q136" s="503">
        <f>IF($D136="","",IFERROR(100-100/(1+SUMPRODUCT((終値!E136:R136&gt;終値!F136:S136)*(終値!E136:R136-終値!F136:S136))/SUMPRODUCT((終値!E136:R136&lt;終値!F136:S136)*(終値!F136:S136-終値!E136:R136))),100))</f>
        <v>46.702080566622406</v>
      </c>
      <c r="R136" s="503">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54.771505187664445</v>
      </c>
      <c r="S136" s="500"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強気div▲</v>
      </c>
      <c r="T136" s="500" t="str">
        <f t="shared" si="25"/>
        <v>－</v>
      </c>
      <c r="U136" s="500" t="str">
        <f>IF(終値!A136="","",BB_スイング!BT136)</f>
        <v>－</v>
      </c>
      <c r="V136" s="508">
        <f>IF($D136="","",IFERROR(出来高!E136/AVERAGE(出来高!E136:I136),""))</f>
        <v>0.61004715059083769</v>
      </c>
      <c r="W136" s="509"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○反発(ダイバ)買</v>
      </c>
      <c r="X136" s="504">
        <f t="shared" si="31"/>
        <v>15</v>
      </c>
      <c r="Y136" s="501">
        <f t="shared" si="26"/>
        <v>874</v>
      </c>
      <c r="Z136" s="501">
        <f t="shared" si="27"/>
        <v>1024.3178240878692</v>
      </c>
      <c r="AA136" s="501">
        <f t="shared" si="28"/>
        <v>856</v>
      </c>
      <c r="AB136" s="501">
        <f t="shared" si="32"/>
        <v>1106.6882797546859</v>
      </c>
      <c r="AC136" s="507">
        <f t="shared" si="29"/>
        <v>12.93</v>
      </c>
      <c r="AD136" s="501">
        <f>IF($D136="","",MIN(終値!E136:I136))</f>
        <v>856</v>
      </c>
      <c r="AE136" s="503">
        <f t="shared" si="30"/>
        <v>15.09864</v>
      </c>
    </row>
    <row r="137" spans="1:31">
      <c r="A137" s="500" t="str">
        <f>IF(終値!A137="","",HYPERLINK("https://kabutan.jp/stock/?code="&amp;終値!A137,"📈"))</f>
        <v>📈</v>
      </c>
      <c r="B137" s="500" t="str">
        <f>IF(終値!A137="","",終値!A137)</f>
        <v>6085</v>
      </c>
      <c r="C137" s="499" t="str">
        <f>IF(終値!A137="","",終値!B137)</f>
        <v>アーキテクツＳＪ</v>
      </c>
      <c r="D137" s="501">
        <f>IF(終値!A137="","",終値!E137)</f>
        <v>76</v>
      </c>
      <c r="E137" s="501">
        <f>IF($D137="","",AVERAGE(終値!E137:X137))</f>
        <v>138.63157894736841</v>
      </c>
      <c r="F137" s="502">
        <f>IF($D137="","",STDEVP(終値!E137:X137))</f>
        <v>57.792014132637092</v>
      </c>
      <c r="G137" s="501">
        <f>IF($D137="","",$E137+BB設定!$B$4*$F137)</f>
        <v>254.2156072126426</v>
      </c>
      <c r="H137" s="501">
        <f>IF($D137="","",$E137+BB設定!$B$5*$F137)</f>
        <v>196.4235930800055</v>
      </c>
      <c r="I137" s="501">
        <f>IF($D137="","",$E137-BB設定!$B$5*$F137)</f>
        <v>80.839564814731318</v>
      </c>
      <c r="J137" s="501">
        <f>IF($D137="","",$E137-BB設定!$B$4*$F137)</f>
        <v>23.047550682094226</v>
      </c>
      <c r="K137" s="506">
        <f t="shared" si="22"/>
        <v>0.22906473373802066</v>
      </c>
      <c r="L137" s="505">
        <f t="shared" si="23"/>
        <v>166.74992688232419</v>
      </c>
      <c r="M137" s="505">
        <f>IF($D137="","",IFERROR(MIN(BB_帯幅!B137:AP137)*100,""))</f>
        <v>48.106097795816069</v>
      </c>
      <c r="N137" s="500" t="str">
        <f>IF($L137="","",IF($L137&lt;=$M137*BB設定!$B$7,"スクイーズ★",IF($L137&lt;=$M137*1.3,"収縮","－")))</f>
        <v>－</v>
      </c>
      <c r="O137" s="500" t="str">
        <f>IF($D137="","",IF(AND(BB_帯幅!B137&gt;BB_帯幅!C137,BB_帯幅!C137&gt;BB_帯幅!D137),"拡大↑","縮小↓"))</f>
        <v>縮小↓</v>
      </c>
      <c r="P137" s="500" t="str">
        <f t="shared" si="24"/>
        <v>-1σ下</v>
      </c>
      <c r="Q137" s="503">
        <f>IF($D137="","",IFERROR(100-100/(1+SUMPRODUCT((終値!E137:R137&gt;終値!F137:S137)*(終値!E137:R137-終値!F137:S137))/SUMPRODUCT((終値!E137:R137&lt;終値!F137:S137)*(終値!F137:S137-終値!E137:R137))),100))</f>
        <v>34.328358208955223</v>
      </c>
      <c r="R137" s="503">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38.601853926660631</v>
      </c>
      <c r="S137" s="500"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強気div▲</v>
      </c>
      <c r="T137" s="500" t="str">
        <f t="shared" si="25"/>
        <v>下walk▼</v>
      </c>
      <c r="U137" s="500" t="str">
        <f>IF(終値!A137="","",BB_スイング!BT137)</f>
        <v>－</v>
      </c>
      <c r="V137" s="508">
        <f>IF($D137="","",IFERROR(出来高!E137/AVERAGE(出来高!E137:I137),""))</f>
        <v>0.35981330540982831</v>
      </c>
      <c r="W137" s="509"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4">
        <f t="shared" si="31"/>
        <v>0</v>
      </c>
      <c r="Y137" s="501">
        <f t="shared" si="26"/>
        <v>76</v>
      </c>
      <c r="Z137" s="501">
        <f t="shared" si="27"/>
        <v>196.4235930800055</v>
      </c>
      <c r="AA137" s="501">
        <f t="shared" si="28"/>
        <v>70</v>
      </c>
      <c r="AB137" s="501">
        <f t="shared" si="32"/>
        <v>254.2156072126426</v>
      </c>
      <c r="AC137" s="507">
        <f t="shared" si="29"/>
        <v>20</v>
      </c>
      <c r="AD137" s="501">
        <f>IF($D137="","",MIN(終値!E137:I137))</f>
        <v>70</v>
      </c>
      <c r="AE137" s="503">
        <f t="shared" si="30"/>
        <v>9.8629999999999995E-2</v>
      </c>
    </row>
    <row r="138" spans="1:31">
      <c r="A138" s="500" t="str">
        <f>IF(終値!A138="","",HYPERLINK("https://kabutan.jp/stock/?code="&amp;終値!A138,"📈"))</f>
        <v>📈</v>
      </c>
      <c r="B138" s="500" t="str">
        <f>IF(終値!A138="","",終値!A138)</f>
        <v>3103</v>
      </c>
      <c r="C138" s="499" t="str">
        <f>IF(終値!A138="","",終値!B138)</f>
        <v>ユニチカ</v>
      </c>
      <c r="D138" s="501">
        <f>IF(終値!A138="","",終値!E138)</f>
        <v>1258</v>
      </c>
      <c r="E138" s="501">
        <f>IF($D138="","",AVERAGE(終値!E138:X138))</f>
        <v>898.2</v>
      </c>
      <c r="F138" s="502">
        <f>IF($D138="","",STDEVP(終値!E138:X138))</f>
        <v>101.89386635121861</v>
      </c>
      <c r="G138" s="501">
        <f>IF($D138="","",$E138+BB設定!$B$4*$F138)</f>
        <v>1101.9877327024374</v>
      </c>
      <c r="H138" s="501">
        <f>IF($D138="","",$E138+BB設定!$B$5*$F138)</f>
        <v>1000.0938663512186</v>
      </c>
      <c r="I138" s="501">
        <f>IF($D138="","",$E138-BB設定!$B$5*$F138)</f>
        <v>796.3061336487815</v>
      </c>
      <c r="J138" s="501">
        <f>IF($D138="","",$E138-BB設定!$B$4*$F138)</f>
        <v>694.41226729756283</v>
      </c>
      <c r="K138" s="506">
        <f t="shared" si="22"/>
        <v>1.3827813019671933</v>
      </c>
      <c r="L138" s="505">
        <f t="shared" si="23"/>
        <v>45.376916656075991</v>
      </c>
      <c r="M138" s="505">
        <f>IF($D138="","",IFERROR(MIN(BB_帯幅!B138:AP138)*100,""))</f>
        <v>25.476583299096706</v>
      </c>
      <c r="N138" s="500" t="str">
        <f>IF($L138="","",IF($L138&lt;=$M138*BB設定!$B$7,"スクイーズ★",IF($L138&lt;=$M138*1.3,"収縮","－")))</f>
        <v>－</v>
      </c>
      <c r="O138" s="500" t="str">
        <f>IF($D138="","",IF(AND(BB_帯幅!B138&gt;BB_帯幅!C138,BB_帯幅!C138&gt;BB_帯幅!D138),"拡大↑","縮小↓"))</f>
        <v>拡大↑</v>
      </c>
      <c r="P138" s="500" t="str">
        <f t="shared" si="24"/>
        <v>↑+2σ突破</v>
      </c>
      <c r="Q138" s="503">
        <f>IF($D138="","",IFERROR(100-100/(1+SUMPRODUCT((終値!E138:R138&gt;終値!F138:S138)*(終値!E138:R138-終値!F138:S138))/SUMPRODUCT((終値!E138:R138&lt;終値!F138:S138)*(終値!F138:S138-終値!E138:R138))),100))</f>
        <v>66.628041714947855</v>
      </c>
      <c r="R138" s="503">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75.475149788429377</v>
      </c>
      <c r="S138" s="500"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v>
      </c>
      <c r="T138" s="500" t="str">
        <f t="shared" si="25"/>
        <v>上walk▲</v>
      </c>
      <c r="U138" s="500" t="str">
        <f>IF(終値!A138="","",BB_スイング!BT138)</f>
        <v>－</v>
      </c>
      <c r="V138" s="508">
        <f>IF($D138="","",IFERROR(出来高!E138/AVERAGE(出来高!E138:I138),""))</f>
        <v>3.4863217532939976</v>
      </c>
      <c r="W138" s="509"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4">
        <f t="shared" si="31"/>
        <v>60</v>
      </c>
      <c r="Y138" s="501">
        <f t="shared" si="26"/>
        <v>1258</v>
      </c>
      <c r="Z138" s="501">
        <f t="shared" si="27"/>
        <v>1000.0938663512186</v>
      </c>
      <c r="AA138" s="501">
        <f t="shared" si="28"/>
        <v>898.2</v>
      </c>
      <c r="AB138" s="501">
        <f t="shared" si="32"/>
        <v>1203.8815990536559</v>
      </c>
      <c r="AC138" s="507">
        <f t="shared" si="29"/>
        <v>-0.15</v>
      </c>
      <c r="AD138" s="501">
        <f>IF($D138="","",MIN(終値!E138:I138))</f>
        <v>830</v>
      </c>
      <c r="AE138" s="503">
        <f t="shared" si="30"/>
        <v>60.098619999999997</v>
      </c>
    </row>
    <row r="139" spans="1:31">
      <c r="A139" s="500" t="str">
        <f>IF(終値!A139="","",HYPERLINK("https://kabutan.jp/stock/?code="&amp;終値!A139,"📈"))</f>
        <v>📈</v>
      </c>
      <c r="B139" s="500" t="str">
        <f>IF(終値!A139="","",終値!A139)</f>
        <v>4422</v>
      </c>
      <c r="C139" s="499" t="str">
        <f>IF(終値!A139="","",終値!B139)</f>
        <v>ＶＡＬＵＥＮＥＸ</v>
      </c>
      <c r="D139" s="501">
        <f>IF(終値!A139="","",終値!E139)</f>
        <v>551</v>
      </c>
      <c r="E139" s="501">
        <f>IF($D139="","",AVERAGE(終値!E139:X139))</f>
        <v>536.54999999999995</v>
      </c>
      <c r="F139" s="502">
        <f>IF($D139="","",STDEVP(終値!E139:X139))</f>
        <v>22.793584623748849</v>
      </c>
      <c r="G139" s="501">
        <f>IF($D139="","",$E139+BB設定!$B$4*$F139)</f>
        <v>582.1371692474977</v>
      </c>
      <c r="H139" s="501">
        <f>IF($D139="","",$E139+BB設定!$B$5*$F139)</f>
        <v>559.34358462374882</v>
      </c>
      <c r="I139" s="501">
        <f>IF($D139="","",$E139-BB設定!$B$5*$F139)</f>
        <v>513.75641537625108</v>
      </c>
      <c r="J139" s="501">
        <f>IF($D139="","",$E139-BB設定!$B$4*$F139)</f>
        <v>490.96283075250227</v>
      </c>
      <c r="K139" s="506">
        <f t="shared" si="22"/>
        <v>0.65848757708061878</v>
      </c>
      <c r="L139" s="505">
        <f t="shared" si="23"/>
        <v>16.992701238467138</v>
      </c>
      <c r="M139" s="505">
        <f>IF($D139="","",IFERROR(MIN(BB_帯幅!B139:AP139)*100,""))</f>
        <v>12.727521200861045</v>
      </c>
      <c r="N139" s="500" t="str">
        <f>IF($L139="","",IF($L139&lt;=$M139*BB設定!$B$7,"スクイーズ★",IF($L139&lt;=$M139*1.3,"収縮","－")))</f>
        <v>－</v>
      </c>
      <c r="O139" s="500" t="str">
        <f>IF($D139="","",IF(AND(BB_帯幅!B139&gt;BB_帯幅!C139,BB_帯幅!C139&gt;BB_帯幅!D139),"拡大↑","縮小↓"))</f>
        <v>縮小↓</v>
      </c>
      <c r="P139" s="500" t="str">
        <f t="shared" si="24"/>
        <v>バンド内</v>
      </c>
      <c r="Q139" s="503">
        <f>IF($D139="","",IFERROR(100-100/(1+SUMPRODUCT((終値!E139:R139&gt;終値!F139:S139)*(終値!E139:R139-終値!F139:S139))/SUMPRODUCT((終値!E139:R139&lt;終値!F139:S139)*(終値!F139:S139-終値!E139:R139))),100))</f>
        <v>46.698113207547173</v>
      </c>
      <c r="R139" s="503">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47.41013909338546</v>
      </c>
      <c r="S139" s="500"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0" t="str">
        <f t="shared" si="25"/>
        <v>－</v>
      </c>
      <c r="U139" s="500" t="str">
        <f>IF(終値!A139="","",BB_スイング!BT139)</f>
        <v>二番天井M形成</v>
      </c>
      <c r="V139" s="508">
        <f>IF($D139="","",IFERROR(出来高!E139/AVERAGE(出来高!E139:I139),""))</f>
        <v>0.35443909153475567</v>
      </c>
      <c r="W139" s="509"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4">
        <f t="shared" si="31"/>
        <v>5</v>
      </c>
      <c r="Y139" s="501">
        <f t="shared" si="26"/>
        <v>551</v>
      </c>
      <c r="Z139" s="501">
        <f t="shared" si="27"/>
        <v>559.34358462374882</v>
      </c>
      <c r="AA139" s="501">
        <f t="shared" si="28"/>
        <v>536.54999999999995</v>
      </c>
      <c r="AB139" s="501">
        <f t="shared" si="32"/>
        <v>582.1371692474977</v>
      </c>
      <c r="AC139" s="507">
        <f t="shared" si="29"/>
        <v>2.15</v>
      </c>
      <c r="AD139" s="501">
        <f>IF($D139="","",MIN(終値!E139:I139))</f>
        <v>519</v>
      </c>
      <c r="AE139" s="503">
        <f t="shared" si="30"/>
        <v>5.0986099999999999</v>
      </c>
    </row>
    <row r="140" spans="1:31" ht="24">
      <c r="A140" s="500" t="str">
        <f>IF(終値!A140="","",HYPERLINK("https://kabutan.jp/stock/?code="&amp;終値!A140,"📈"))</f>
        <v>📈</v>
      </c>
      <c r="B140" s="500" t="str">
        <f>IF(終値!A140="","",終値!A140)</f>
        <v>6740</v>
      </c>
      <c r="C140" s="499" t="str">
        <f>IF(終値!A140="","",終値!B140)</f>
        <v>ジャパンディスプレイ</v>
      </c>
      <c r="D140" s="501">
        <f>IF(終値!A140="","",終値!E140)</f>
        <v>48</v>
      </c>
      <c r="E140" s="501">
        <f>IF($D140="","",AVERAGE(終値!E140:X140))</f>
        <v>48.368421052631582</v>
      </c>
      <c r="F140" s="502">
        <f>IF($D140="","",STDEVP(終値!E140:X140))</f>
        <v>2.2292440615313018</v>
      </c>
      <c r="G140" s="501">
        <f>IF($D140="","",$E140+BB設定!$B$4*$F140)</f>
        <v>52.826909175694183</v>
      </c>
      <c r="H140" s="501">
        <f>IF($D140="","",$E140+BB設定!$B$5*$F140)</f>
        <v>50.597665114162886</v>
      </c>
      <c r="I140" s="501">
        <f>IF($D140="","",$E140-BB設定!$B$5*$F140)</f>
        <v>46.139176991100278</v>
      </c>
      <c r="J140" s="501">
        <f>IF($D140="","",$E140-BB設定!$B$4*$F140)</f>
        <v>43.909932929568981</v>
      </c>
      <c r="K140" s="506">
        <f t="shared" si="22"/>
        <v>0.45868318559313459</v>
      </c>
      <c r="L140" s="505">
        <f t="shared" si="23"/>
        <v>18.435533044219675</v>
      </c>
      <c r="M140" s="505">
        <f>IF($D140="","",IFERROR(MIN(BB_帯幅!B140:AP140)*100,""))</f>
        <v>18.435533044219689</v>
      </c>
      <c r="N140" s="500" t="str">
        <f>IF($L140="","",IF($L140&lt;=$M140*BB設定!$B$7,"スクイーズ★",IF($L140&lt;=$M140*1.3,"収縮","－")))</f>
        <v>スクイーズ★</v>
      </c>
      <c r="O140" s="500" t="str">
        <f>IF($D140="","",IF(AND(BB_帯幅!B140&gt;BB_帯幅!C140,BB_帯幅!C140&gt;BB_帯幅!D140),"拡大↑","縮小↓"))</f>
        <v>縮小↓</v>
      </c>
      <c r="P140" s="500" t="str">
        <f t="shared" si="24"/>
        <v>バンド内</v>
      </c>
      <c r="Q140" s="503">
        <f>IF($D140="","",IFERROR(100-100/(1+SUMPRODUCT((終値!E140:R140&gt;終値!F140:S140)*(終値!E140:R140-終値!F140:S140))/SUMPRODUCT((終値!E140:R140&lt;終値!F140:S140)*(終値!F140:S140-終値!E140:R140))),100))</f>
        <v>49.137931034482762</v>
      </c>
      <c r="R140" s="503">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53.235805600115789</v>
      </c>
      <c r="S140" s="500"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0" t="str">
        <f t="shared" si="25"/>
        <v>－</v>
      </c>
      <c r="U140" s="500" t="str">
        <f>IF(終値!A140="","",BB_スイング!BT140)</f>
        <v>二番底W▲</v>
      </c>
      <c r="V140" s="508">
        <f>IF($D140="","",IFERROR(出来高!E140/AVERAGE(出来高!E140:I140),""))</f>
        <v>1.1462329954114123</v>
      </c>
      <c r="W140" s="509"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△二番底買(確)</v>
      </c>
      <c r="X140" s="504">
        <f t="shared" si="31"/>
        <v>20</v>
      </c>
      <c r="Y140" s="501">
        <f t="shared" si="26"/>
        <v>48</v>
      </c>
      <c r="Z140" s="501">
        <f t="shared" si="27"/>
        <v>50.597665114162886</v>
      </c>
      <c r="AA140" s="501">
        <f t="shared" si="28"/>
        <v>46</v>
      </c>
      <c r="AB140" s="501">
        <f t="shared" si="32"/>
        <v>52.826909175694183</v>
      </c>
      <c r="AC140" s="507">
        <f t="shared" si="29"/>
        <v>2.41</v>
      </c>
      <c r="AD140" s="501">
        <f>IF($D140="","",MIN(終値!E140:I140))</f>
        <v>46</v>
      </c>
      <c r="AE140" s="503">
        <f t="shared" si="30"/>
        <v>20.098600000000001</v>
      </c>
    </row>
    <row r="141" spans="1:31">
      <c r="A141" s="500" t="str">
        <f>IF(終値!A141="","",HYPERLINK("https://kabutan.jp/stock/?code="&amp;終値!A141,"📈"))</f>
        <v>📈</v>
      </c>
      <c r="B141" s="500" t="str">
        <f>IF(終値!A141="","",終値!A141)</f>
        <v>6613</v>
      </c>
      <c r="C141" s="499" t="str">
        <f>IF(終値!A141="","",終値!B141)</f>
        <v>ＱＤレーザ</v>
      </c>
      <c r="D141" s="501">
        <f>IF(終値!A141="","",終値!E141)</f>
        <v>1766</v>
      </c>
      <c r="E141" s="501">
        <f>IF($D141="","",AVERAGE(終値!E141:X141))</f>
        <v>1859.85</v>
      </c>
      <c r="F141" s="502">
        <f>IF($D141="","",STDEVP(終値!E141:X141))</f>
        <v>446.49907894641842</v>
      </c>
      <c r="G141" s="501">
        <f>IF($D141="","",$E141+BB設定!$B$4*$F141)</f>
        <v>2752.8481578928368</v>
      </c>
      <c r="H141" s="501">
        <f>IF($D141="","",$E141+BB設定!$B$5*$F141)</f>
        <v>2306.3490789464186</v>
      </c>
      <c r="I141" s="501">
        <f>IF($D141="","",$E141-BB設定!$B$5*$F141)</f>
        <v>1413.3509210535815</v>
      </c>
      <c r="J141" s="501">
        <f>IF($D141="","",$E141-BB設定!$B$4*$F141)</f>
        <v>966.85184210716307</v>
      </c>
      <c r="K141" s="506">
        <f t="shared" si="22"/>
        <v>0.44745229921780966</v>
      </c>
      <c r="L141" s="505">
        <f t="shared" si="23"/>
        <v>96.029051578658169</v>
      </c>
      <c r="M141" s="505">
        <f>IF($D141="","",IFERROR(MIN(BB_帯幅!B141:AP141)*100,""))</f>
        <v>28.637187459166896</v>
      </c>
      <c r="N141" s="500" t="str">
        <f>IF($L141="","",IF($L141&lt;=$M141*BB設定!$B$7,"スクイーズ★",IF($L141&lt;=$M141*1.3,"収縮","－")))</f>
        <v>－</v>
      </c>
      <c r="O141" s="500" t="str">
        <f>IF($D141="","",IF(AND(BB_帯幅!B141&gt;BB_帯幅!C141,BB_帯幅!C141&gt;BB_帯幅!D141),"拡大↑","縮小↓"))</f>
        <v>縮小↓</v>
      </c>
      <c r="P141" s="500" t="str">
        <f t="shared" si="24"/>
        <v>バンド内</v>
      </c>
      <c r="Q141" s="503">
        <f>IF($D141="","",IFERROR(100-100/(1+SUMPRODUCT((終値!E141:R141&gt;終値!F141:S141)*(終値!E141:R141-終値!F141:S141))/SUMPRODUCT((終値!E141:R141&lt;終値!F141:S141)*(終値!F141:S141-終値!E141:R141))),100))</f>
        <v>34.565434565434558</v>
      </c>
      <c r="R141" s="503">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48.309360205518587</v>
      </c>
      <c r="S141" s="500"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0" t="str">
        <f t="shared" si="25"/>
        <v>－</v>
      </c>
      <c r="U141" s="500" t="str">
        <f>IF(終値!A141="","",BB_スイング!BT141)</f>
        <v>－</v>
      </c>
      <c r="V141" s="508">
        <f>IF($D141="","",IFERROR(出来高!E141/AVERAGE(出来高!E141:I141),""))</f>
        <v>0.55260868051929968</v>
      </c>
      <c r="W141" s="509"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4">
        <f t="shared" si="31"/>
        <v>0</v>
      </c>
      <c r="Y141" s="501">
        <f t="shared" si="26"/>
        <v>1766</v>
      </c>
      <c r="Z141" s="501">
        <f t="shared" si="27"/>
        <v>2306.3490789464186</v>
      </c>
      <c r="AA141" s="501">
        <f t="shared" si="28"/>
        <v>1485</v>
      </c>
      <c r="AB141" s="501">
        <f t="shared" si="32"/>
        <v>2752.8481578928368</v>
      </c>
      <c r="AC141" s="507">
        <f t="shared" si="29"/>
        <v>3.51</v>
      </c>
      <c r="AD141" s="501">
        <f>IF($D141="","",MIN(終値!E141:I141))</f>
        <v>1485</v>
      </c>
      <c r="AE141" s="503">
        <f t="shared" si="30"/>
        <v>9.8589999999999997E-2</v>
      </c>
    </row>
    <row r="142" spans="1:31">
      <c r="A142" s="500" t="str">
        <f>IF(終値!A142="","",HYPERLINK("https://kabutan.jp/stock/?code="&amp;終値!A142,"📈"))</f>
        <v>📈</v>
      </c>
      <c r="B142" s="500" t="str">
        <f>IF(終値!A142="","",終値!A142)</f>
        <v>4568</v>
      </c>
      <c r="C142" s="499" t="str">
        <f>IF(終値!A142="","",終値!B142)</f>
        <v>第一三共</v>
      </c>
      <c r="D142" s="501">
        <f>IF(終値!A142="","",終値!E142)</f>
        <v>2660</v>
      </c>
      <c r="E142" s="501">
        <f>IF($D142="","",AVERAGE(終値!E142:X142))</f>
        <v>2726.0250000000001</v>
      </c>
      <c r="F142" s="502">
        <f>IF($D142="","",STDEVP(終値!E142:X142))</f>
        <v>109.24702227063216</v>
      </c>
      <c r="G142" s="501">
        <f>IF($D142="","",$E142+BB設定!$B$4*$F142)</f>
        <v>2944.5190445412645</v>
      </c>
      <c r="H142" s="501">
        <f>IF($D142="","",$E142+BB設定!$B$5*$F142)</f>
        <v>2835.2720222706321</v>
      </c>
      <c r="I142" s="501">
        <f>IF($D142="","",$E142-BB設定!$B$5*$F142)</f>
        <v>2616.7779777293681</v>
      </c>
      <c r="J142" s="501">
        <f>IF($D142="","",$E142-BB設定!$B$4*$F142)</f>
        <v>2507.5309554587357</v>
      </c>
      <c r="K142" s="506">
        <f t="shared" si="22"/>
        <v>0.34890892532420781</v>
      </c>
      <c r="L142" s="505">
        <f t="shared" si="23"/>
        <v>16.0302304301145</v>
      </c>
      <c r="M142" s="505">
        <f>IF($D142="","",IFERROR(MIN(BB_帯幅!B142:AP142)*100,""))</f>
        <v>9.1037811927102528</v>
      </c>
      <c r="N142" s="500" t="str">
        <f>IF($L142="","",IF($L142&lt;=$M142*BB設定!$B$7,"スクイーズ★",IF($L142&lt;=$M142*1.3,"収縮","－")))</f>
        <v>－</v>
      </c>
      <c r="O142" s="500" t="str">
        <f>IF($D142="","",IF(AND(BB_帯幅!B142&gt;BB_帯幅!C142,BB_帯幅!C142&gt;BB_帯幅!D142),"拡大↑","縮小↓"))</f>
        <v>拡大↑</v>
      </c>
      <c r="P142" s="500" t="str">
        <f t="shared" si="24"/>
        <v>バンド内</v>
      </c>
      <c r="Q142" s="503">
        <f>IF($D142="","",IFERROR(100-100/(1+SUMPRODUCT((終値!E142:R142&gt;終値!F142:S142)*(終値!E142:R142-終値!F142:S142))/SUMPRODUCT((終値!E142:R142&lt;終値!F142:S142)*(終値!F142:S142-終値!E142:R142))),100))</f>
        <v>49.04708520179372</v>
      </c>
      <c r="R142" s="503">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51.953729299190385</v>
      </c>
      <c r="S142" s="500"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0" t="str">
        <f t="shared" si="25"/>
        <v>－</v>
      </c>
      <c r="U142" s="500" t="str">
        <f>IF(終値!A142="","",BB_スイング!BT142)</f>
        <v>二番天井M▼</v>
      </c>
      <c r="V142" s="508">
        <f>IF($D142="","",IFERROR(出来高!E142/AVERAGE(出来高!E142:I142),""))</f>
        <v>0.68583210920854099</v>
      </c>
      <c r="W142" s="509"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▼二番天井警戒</v>
      </c>
      <c r="X142" s="504">
        <f t="shared" si="31"/>
        <v>0</v>
      </c>
      <c r="Y142" s="501">
        <f t="shared" si="26"/>
        <v>2660</v>
      </c>
      <c r="Z142" s="501">
        <f t="shared" si="27"/>
        <v>2835.2720222706321</v>
      </c>
      <c r="AA142" s="501">
        <f t="shared" si="28"/>
        <v>2500</v>
      </c>
      <c r="AB142" s="501">
        <f t="shared" si="32"/>
        <v>2944.5190445412645</v>
      </c>
      <c r="AC142" s="507">
        <f t="shared" si="29"/>
        <v>1.78</v>
      </c>
      <c r="AD142" s="501">
        <f>IF($D142="","",MIN(終値!E142:I142))</f>
        <v>2500</v>
      </c>
      <c r="AE142" s="503">
        <f t="shared" si="30"/>
        <v>9.8580000000000001E-2</v>
      </c>
    </row>
    <row r="143" spans="1:31">
      <c r="A143" s="500" t="str">
        <f>IF(終値!A143="","",HYPERLINK("https://kabutan.jp/stock/?code="&amp;終値!A143,"📈"))</f>
        <v>📈</v>
      </c>
      <c r="B143" s="500" t="str">
        <f>IF(終値!A143="","",終値!A143)</f>
        <v>6522</v>
      </c>
      <c r="C143" s="499" t="str">
        <f>IF(終値!A143="","",終値!B143)</f>
        <v>アスタリスク</v>
      </c>
      <c r="D143" s="501">
        <f>IF(終値!A143="","",終値!E143)</f>
        <v>1614</v>
      </c>
      <c r="E143" s="501">
        <f>IF($D143="","",AVERAGE(終値!E143:X143))</f>
        <v>1692.3</v>
      </c>
      <c r="F143" s="502">
        <f>IF($D143="","",STDEVP(終値!E143:X143))</f>
        <v>256.83031363139361</v>
      </c>
      <c r="G143" s="501">
        <f>IF($D143="","",$E143+BB設定!$B$4*$F143)</f>
        <v>2205.9606272627871</v>
      </c>
      <c r="H143" s="501">
        <f>IF($D143="","",$E143+BB設定!$B$5*$F143)</f>
        <v>1949.1303136313936</v>
      </c>
      <c r="I143" s="501">
        <f>IF($D143="","",$E143-BB設定!$B$5*$F143)</f>
        <v>1435.4696863686063</v>
      </c>
      <c r="J143" s="501">
        <f>IF($D143="","",$E143-BB設定!$B$4*$F143)</f>
        <v>1178.6393727372129</v>
      </c>
      <c r="K143" s="506">
        <f t="shared" si="22"/>
        <v>0.42378236150077558</v>
      </c>
      <c r="L143" s="505">
        <f t="shared" si="23"/>
        <v>60.705622792978446</v>
      </c>
      <c r="M143" s="505">
        <f>IF($D143="","",IFERROR(MIN(BB_帯幅!B143:AP143)*100,""))</f>
        <v>45.634198856144728</v>
      </c>
      <c r="N143" s="500" t="str">
        <f>IF($L143="","",IF($L143&lt;=$M143*BB設定!$B$7,"スクイーズ★",IF($L143&lt;=$M143*1.3,"収縮","－")))</f>
        <v>－</v>
      </c>
      <c r="O143" s="500" t="str">
        <f>IF($D143="","",IF(AND(BB_帯幅!B143&gt;BB_帯幅!C143,BB_帯幅!C143&gt;BB_帯幅!D143),"拡大↑","縮小↓"))</f>
        <v>縮小↓</v>
      </c>
      <c r="P143" s="500" t="str">
        <f t="shared" si="24"/>
        <v>バンド内</v>
      </c>
      <c r="Q143" s="503">
        <f>IF($D143="","",IFERROR(100-100/(1+SUMPRODUCT((終値!E143:R143&gt;終値!F143:S143)*(終値!E143:R143-終値!F143:S143))/SUMPRODUCT((終値!E143:R143&lt;終値!F143:S143)*(終値!F143:S143-終値!E143:R143))),100))</f>
        <v>43.381328379006035</v>
      </c>
      <c r="R143" s="503">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72.935840857922727</v>
      </c>
      <c r="S143" s="500"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0" t="str">
        <f t="shared" si="25"/>
        <v>－</v>
      </c>
      <c r="U143" s="500" t="str">
        <f>IF(終値!A143="","",BB_スイング!BT143)</f>
        <v>二番底W形成</v>
      </c>
      <c r="V143" s="508">
        <f>IF($D143="","",IFERROR(出来高!E143/AVERAGE(出来高!E143:I143),""))</f>
        <v>0.56575707837505129</v>
      </c>
      <c r="W143" s="509"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△二番底形成</v>
      </c>
      <c r="X143" s="504">
        <f t="shared" si="31"/>
        <v>15</v>
      </c>
      <c r="Y143" s="501">
        <f t="shared" si="26"/>
        <v>1614</v>
      </c>
      <c r="Z143" s="501">
        <f t="shared" si="27"/>
        <v>1949.1303136313936</v>
      </c>
      <c r="AA143" s="501">
        <f t="shared" si="28"/>
        <v>1500</v>
      </c>
      <c r="AB143" s="501">
        <f t="shared" si="32"/>
        <v>2205.9606272627871</v>
      </c>
      <c r="AC143" s="507">
        <f t="shared" si="29"/>
        <v>5.19</v>
      </c>
      <c r="AD143" s="501">
        <f>IF($D143="","",MIN(終値!E143:I143))</f>
        <v>1500</v>
      </c>
      <c r="AE143" s="503">
        <f t="shared" si="30"/>
        <v>15.09857</v>
      </c>
    </row>
    <row r="144" spans="1:31" ht="24">
      <c r="A144" s="500" t="str">
        <f>IF(終値!A144="","",HYPERLINK("https://kabutan.jp/stock/?code="&amp;終値!A144,"📈"))</f>
        <v>📈</v>
      </c>
      <c r="B144" s="500" t="str">
        <f>IF(終値!A144="","",終値!A144)</f>
        <v>6777</v>
      </c>
      <c r="C144" s="499" t="str">
        <f>IF(終値!A144="","",終値!B144)</f>
        <v>ＳＡＮＴＥＣＨＯＬＤＩＮＧＳ</v>
      </c>
      <c r="D144" s="501">
        <f>IF(終値!A144="","",終値!E144)</f>
        <v>19550</v>
      </c>
      <c r="E144" s="501">
        <f>IF($D144="","",AVERAGE(終値!E144:X144))</f>
        <v>19046.842105263157</v>
      </c>
      <c r="F144" s="502">
        <f>IF($D144="","",STDEVP(終値!E144:X144))</f>
        <v>1882.0902507348999</v>
      </c>
      <c r="G144" s="501">
        <f>IF($D144="","",$E144+BB設定!$B$4*$F144)</f>
        <v>22811.022606732957</v>
      </c>
      <c r="H144" s="501">
        <f>IF($D144="","",$E144+BB設定!$B$5*$F144)</f>
        <v>20928.932355998055</v>
      </c>
      <c r="I144" s="501">
        <f>IF($D144="","",$E144-BB設定!$B$5*$F144)</f>
        <v>17164.751854528258</v>
      </c>
      <c r="J144" s="501">
        <f>IF($D144="","",$E144-BB設定!$B$4*$F144)</f>
        <v>15282.661603793356</v>
      </c>
      <c r="K144" s="506">
        <f t="shared" si="22"/>
        <v>0.56683498500408991</v>
      </c>
      <c r="L144" s="505">
        <f t="shared" si="23"/>
        <v>39.525507490080528</v>
      </c>
      <c r="M144" s="505">
        <f>IF($D144="","",IFERROR(MIN(BB_帯幅!B144:AP144)*100,""))</f>
        <v>24.143077277110226</v>
      </c>
      <c r="N144" s="500" t="str">
        <f>IF($L144="","",IF($L144&lt;=$M144*BB設定!$B$7,"スクイーズ★",IF($L144&lt;=$M144*1.3,"収縮","－")))</f>
        <v>－</v>
      </c>
      <c r="O144" s="500" t="str">
        <f>IF($D144="","",IF(AND(BB_帯幅!B144&gt;BB_帯幅!C144,BB_帯幅!C144&gt;BB_帯幅!D144),"拡大↑","縮小↓"))</f>
        <v>縮小↓</v>
      </c>
      <c r="P144" s="500" t="str">
        <f t="shared" si="24"/>
        <v>バンド内</v>
      </c>
      <c r="Q144" s="503">
        <f>IF($D144="","",IFERROR(100-100/(1+SUMPRODUCT((終値!E144:R144&gt;終値!F144:S144)*(終値!E144:R144-終値!F144:S144))/SUMPRODUCT((終値!E144:R144&lt;終値!F144:S144)*(終値!F144:S144-終値!E144:R144))),100))</f>
        <v>47.795245398773005</v>
      </c>
      <c r="R144" s="503">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49.394964683007302</v>
      </c>
      <c r="S144" s="500"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v>
      </c>
      <c r="T144" s="500" t="str">
        <f t="shared" si="25"/>
        <v>－</v>
      </c>
      <c r="U144" s="500" t="str">
        <f>IF(終値!A144="","",BB_スイング!BT144)</f>
        <v>－</v>
      </c>
      <c r="V144" s="508">
        <f>IF($D144="","",IFERROR(出来高!E144/AVERAGE(出来高!E144:I144),""))</f>
        <v>1.1046765734265733</v>
      </c>
      <c r="W144" s="509"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4">
        <f t="shared" si="31"/>
        <v>10</v>
      </c>
      <c r="Y144" s="501">
        <f t="shared" si="26"/>
        <v>19550</v>
      </c>
      <c r="Z144" s="501">
        <f t="shared" si="27"/>
        <v>20928.932355998055</v>
      </c>
      <c r="AA144" s="501">
        <f t="shared" si="28"/>
        <v>19046.842105263157</v>
      </c>
      <c r="AB144" s="501">
        <f t="shared" si="32"/>
        <v>22811.022606732957</v>
      </c>
      <c r="AC144" s="507">
        <f t="shared" si="29"/>
        <v>6.48</v>
      </c>
      <c r="AD144" s="501">
        <f>IF($D144="","",MIN(終値!E144:I144))</f>
        <v>17280</v>
      </c>
      <c r="AE144" s="503">
        <f t="shared" si="30"/>
        <v>10.098560000000001</v>
      </c>
    </row>
    <row r="145" spans="1:31">
      <c r="A145" s="500" t="str">
        <f>IF(終値!A145="","",HYPERLINK("https://kabutan.jp/stock/?code="&amp;終値!A145,"📈"))</f>
        <v>📈</v>
      </c>
      <c r="B145" s="500" t="str">
        <f>IF(終値!A145="","",終値!A145)</f>
        <v>6787</v>
      </c>
      <c r="C145" s="499" t="str">
        <f>IF(終値!A145="","",終値!B145)</f>
        <v>メイコー</v>
      </c>
      <c r="D145" s="501">
        <f>IF(終値!A145="","",終値!E145)</f>
        <v>23790</v>
      </c>
      <c r="E145" s="501">
        <f>IF($D145="","",AVERAGE(終値!E145:X145))</f>
        <v>23360</v>
      </c>
      <c r="F145" s="502">
        <f>IF($D145="","",STDEVP(終値!E145:X145))</f>
        <v>2349.3637436548647</v>
      </c>
      <c r="G145" s="501">
        <f>IF($D145="","",$E145+BB設定!$B$4*$F145)</f>
        <v>28058.72748730973</v>
      </c>
      <c r="H145" s="501">
        <f>IF($D145="","",$E145+BB設定!$B$5*$F145)</f>
        <v>25709.363743654863</v>
      </c>
      <c r="I145" s="501">
        <f>IF($D145="","",$E145-BB設定!$B$5*$F145)</f>
        <v>21010.636256345137</v>
      </c>
      <c r="J145" s="501">
        <f>IF($D145="","",$E145-BB設定!$B$4*$F145)</f>
        <v>18661.27251269027</v>
      </c>
      <c r="K145" s="506">
        <f t="shared" si="22"/>
        <v>0.54575706945777758</v>
      </c>
      <c r="L145" s="505">
        <f t="shared" si="23"/>
        <v>40.228831226966868</v>
      </c>
      <c r="M145" s="505">
        <f>IF($D145="","",IFERROR(MIN(BB_帯幅!B145:AP145)*100,""))</f>
        <v>35.733571286734865</v>
      </c>
      <c r="N145" s="500" t="str">
        <f>IF($L145="","",IF($L145&lt;=$M145*BB設定!$B$7,"スクイーズ★",IF($L145&lt;=$M145*1.3,"収縮","－")))</f>
        <v>収縮</v>
      </c>
      <c r="O145" s="500" t="str">
        <f>IF($D145="","",IF(AND(BB_帯幅!B145&gt;BB_帯幅!C145,BB_帯幅!C145&gt;BB_帯幅!D145),"拡大↑","縮小↓"))</f>
        <v>縮小↓</v>
      </c>
      <c r="P145" s="500" t="str">
        <f t="shared" si="24"/>
        <v>バンド内</v>
      </c>
      <c r="Q145" s="503">
        <f>IF($D145="","",IFERROR(100-100/(1+SUMPRODUCT((終値!E145:R145&gt;終値!F145:S145)*(終値!E145:R145-終値!F145:S145))/SUMPRODUCT((終値!E145:R145&lt;終値!F145:S145)*(終値!F145:S145-終値!E145:R145))),100))</f>
        <v>41.890495867768593</v>
      </c>
      <c r="R145" s="503">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39.903064389097601</v>
      </c>
      <c r="S145" s="500"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0" t="str">
        <f t="shared" si="25"/>
        <v>－</v>
      </c>
      <c r="U145" s="500" t="str">
        <f>IF(終値!A145="","",BB_スイング!BT145)</f>
        <v>－</v>
      </c>
      <c r="V145" s="508">
        <f>IF($D145="","",IFERROR(出来高!E145/AVERAGE(出来高!E145:I145),""))</f>
        <v>1.1157382980327128</v>
      </c>
      <c r="W145" s="509"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○反発(ダイバ)買</v>
      </c>
      <c r="X145" s="504">
        <f t="shared" si="31"/>
        <v>45</v>
      </c>
      <c r="Y145" s="501">
        <f t="shared" si="26"/>
        <v>23790</v>
      </c>
      <c r="Z145" s="501">
        <f t="shared" si="27"/>
        <v>25709.363743654863</v>
      </c>
      <c r="AA145" s="501">
        <f t="shared" si="28"/>
        <v>23360</v>
      </c>
      <c r="AB145" s="501">
        <f t="shared" si="32"/>
        <v>28058.72748730973</v>
      </c>
      <c r="AC145" s="507">
        <f t="shared" si="29"/>
        <v>9.93</v>
      </c>
      <c r="AD145" s="501">
        <f>IF($D145="","",MIN(終値!E145:I145))</f>
        <v>20680</v>
      </c>
      <c r="AE145" s="503">
        <f t="shared" si="30"/>
        <v>45.098550000000003</v>
      </c>
    </row>
    <row r="146" spans="1:31">
      <c r="A146" s="500" t="str">
        <f>IF(終値!A146="","",HYPERLINK("https://kabutan.jp/stock/?code="&amp;終値!A146,"📈"))</f>
        <v>📈</v>
      </c>
      <c r="B146" s="500" t="str">
        <f>IF(終値!A146="","",終値!A146)</f>
        <v>4888</v>
      </c>
      <c r="C146" s="499" t="str">
        <f>IF(終値!A146="","",終値!B146)</f>
        <v>ステラファーマ</v>
      </c>
      <c r="D146" s="501">
        <f>IF(終値!A146="","",終値!E146)</f>
        <v>313</v>
      </c>
      <c r="E146" s="501">
        <f>IF($D146="","",AVERAGE(終値!E146:X146))</f>
        <v>311.75</v>
      </c>
      <c r="F146" s="502">
        <f>IF($D146="","",STDEVP(終値!E146:X146))</f>
        <v>10.221912736860943</v>
      </c>
      <c r="G146" s="501">
        <f>IF($D146="","",$E146+BB設定!$B$4*$F146)</f>
        <v>332.19382547372186</v>
      </c>
      <c r="H146" s="501">
        <f>IF($D146="","",$E146+BB設定!$B$5*$F146)</f>
        <v>321.97191273686093</v>
      </c>
      <c r="I146" s="501">
        <f>IF($D146="","",$E146-BB設定!$B$5*$F146)</f>
        <v>301.52808726313907</v>
      </c>
      <c r="J146" s="501">
        <f>IF($D146="","",$E146-BB設定!$B$4*$F146)</f>
        <v>291.30617452627814</v>
      </c>
      <c r="K146" s="506">
        <f t="shared" si="22"/>
        <v>0.53057157775110941</v>
      </c>
      <c r="L146" s="505">
        <f t="shared" si="23"/>
        <v>13.115525564536878</v>
      </c>
      <c r="M146" s="505">
        <f>IF($D146="","",IFERROR(MIN(BB_帯幅!B146:AP146)*100,""))</f>
        <v>12.013032589869209</v>
      </c>
      <c r="N146" s="500" t="str">
        <f>IF($L146="","",IF($L146&lt;=$M146*BB設定!$B$7,"スクイーズ★",IF($L146&lt;=$M146*1.3,"収縮","－")))</f>
        <v>スクイーズ★</v>
      </c>
      <c r="O146" s="500" t="str">
        <f>IF($D146="","",IF(AND(BB_帯幅!B146&gt;BB_帯幅!C146,BB_帯幅!C146&gt;BB_帯幅!D146),"拡大↑","縮小↓"))</f>
        <v>縮小↓</v>
      </c>
      <c r="P146" s="500" t="str">
        <f t="shared" si="24"/>
        <v>バンド内</v>
      </c>
      <c r="Q146" s="503">
        <f>IF($D146="","",IFERROR(100-100/(1+SUMPRODUCT((終値!E146:R146&gt;終値!F146:S146)*(終値!E146:R146-終値!F146:S146))/SUMPRODUCT((終値!E146:R146&lt;終値!F146:S146)*(終値!F146:S146-終値!E146:R146))),100))</f>
        <v>37.999999999999993</v>
      </c>
      <c r="R146" s="503">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44.664584094789568</v>
      </c>
      <c r="S146" s="500"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弱気div▼</v>
      </c>
      <c r="T146" s="500" t="str">
        <f t="shared" si="25"/>
        <v>－</v>
      </c>
      <c r="U146" s="500" t="str">
        <f>IF(終値!A146="","",BB_スイング!BT146)</f>
        <v>二番底W形成</v>
      </c>
      <c r="V146" s="508">
        <f>IF($D146="","",IFERROR(出来高!E146/AVERAGE(出来高!E146:I146),""))</f>
        <v>0.49870546171865365</v>
      </c>
      <c r="W146" s="509"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△二番底形成</v>
      </c>
      <c r="X146" s="504">
        <f t="shared" si="31"/>
        <v>25</v>
      </c>
      <c r="Y146" s="501">
        <f t="shared" si="26"/>
        <v>313</v>
      </c>
      <c r="Z146" s="501">
        <f t="shared" si="27"/>
        <v>321.97191273686093</v>
      </c>
      <c r="AA146" s="501">
        <f t="shared" si="28"/>
        <v>311.75</v>
      </c>
      <c r="AB146" s="501">
        <f t="shared" si="32"/>
        <v>332.19382547372186</v>
      </c>
      <c r="AC146" s="507">
        <f t="shared" si="29"/>
        <v>15.36</v>
      </c>
      <c r="AD146" s="501">
        <f>IF($D146="","",MIN(終値!E146:I146))</f>
        <v>307</v>
      </c>
      <c r="AE146" s="503">
        <f t="shared" si="30"/>
        <v>25.09854</v>
      </c>
    </row>
    <row r="147" spans="1:31">
      <c r="A147" s="500" t="str">
        <f>IF(終値!A147="","",HYPERLINK("https://kabutan.jp/stock/?code="&amp;終値!A147,"📈"))</f>
        <v>📈</v>
      </c>
      <c r="B147" s="500" t="str">
        <f>IF(終値!A147="","",終値!A147)</f>
        <v>6387</v>
      </c>
      <c r="C147" s="499" t="str">
        <f>IF(終値!A147="","",終値!B147)</f>
        <v>サムコ</v>
      </c>
      <c r="D147" s="501">
        <f>IF(終値!A147="","",終値!E147)</f>
        <v>9290</v>
      </c>
      <c r="E147" s="501">
        <f>IF($D147="","",AVERAGE(終値!E147:X147))</f>
        <v>10132.105263157895</v>
      </c>
      <c r="F147" s="502">
        <f>IF($D147="","",STDEVP(終値!E147:X147))</f>
        <v>1682.1620766375522</v>
      </c>
      <c r="G147" s="501">
        <f>IF($D147="","",$E147+BB設定!$B$4*$F147)</f>
        <v>13496.429416432999</v>
      </c>
      <c r="H147" s="501">
        <f>IF($D147="","",$E147+BB設定!$B$5*$F147)</f>
        <v>11814.267339795448</v>
      </c>
      <c r="I147" s="501">
        <f>IF($D147="","",$E147-BB設定!$B$5*$F147)</f>
        <v>8449.9431865203424</v>
      </c>
      <c r="J147" s="501">
        <f>IF($D147="","",$E147-BB設定!$B$4*$F147)</f>
        <v>6767.7811098827906</v>
      </c>
      <c r="K147" s="506">
        <f t="shared" si="22"/>
        <v>0.37484778148708986</v>
      </c>
      <c r="L147" s="505">
        <f t="shared" si="23"/>
        <v>66.40918280840161</v>
      </c>
      <c r="M147" s="505">
        <f>IF($D147="","",IFERROR(MIN(BB_帯幅!B147:AP147)*100,""))</f>
        <v>30.686168857189251</v>
      </c>
      <c r="N147" s="500" t="str">
        <f>IF($L147="","",IF($L147&lt;=$M147*BB設定!$B$7,"スクイーズ★",IF($L147&lt;=$M147*1.3,"収縮","－")))</f>
        <v>－</v>
      </c>
      <c r="O147" s="500" t="str">
        <f>IF($D147="","",IF(AND(BB_帯幅!B147&gt;BB_帯幅!C147,BB_帯幅!C147&gt;BB_帯幅!D147),"拡大↑","縮小↓"))</f>
        <v>縮小↓</v>
      </c>
      <c r="P147" s="500" t="str">
        <f t="shared" si="24"/>
        <v>バンド内</v>
      </c>
      <c r="Q147" s="503">
        <f>IF($D147="","",IFERROR(100-100/(1+SUMPRODUCT((終値!E147:R147&gt;終値!F147:S147)*(終値!E147:R147-終値!F147:S147))/SUMPRODUCT((終値!E147:R147&lt;終値!F147:S147)*(終値!F147:S147-終値!E147:R147))),100))</f>
        <v>44.258720930232556</v>
      </c>
      <c r="R147" s="503">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53.667206983255156</v>
      </c>
      <c r="S147" s="500"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強気div▲</v>
      </c>
      <c r="T147" s="500" t="str">
        <f t="shared" si="25"/>
        <v>－</v>
      </c>
      <c r="U147" s="500" t="str">
        <f>IF(終値!A147="","",BB_スイング!BT147)</f>
        <v>－</v>
      </c>
      <c r="V147" s="508">
        <f>IF($D147="","",IFERROR(出来高!E147/AVERAGE(出来高!E147:I147),""))</f>
        <v>0.59726522187822495</v>
      </c>
      <c r="W147" s="509"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○反発(ダイバ)買</v>
      </c>
      <c r="X147" s="504">
        <f t="shared" si="31"/>
        <v>15</v>
      </c>
      <c r="Y147" s="501">
        <f t="shared" si="26"/>
        <v>9290</v>
      </c>
      <c r="Z147" s="501">
        <f t="shared" si="27"/>
        <v>11814.267339795448</v>
      </c>
      <c r="AA147" s="501">
        <f t="shared" si="28"/>
        <v>8520</v>
      </c>
      <c r="AB147" s="501">
        <f t="shared" si="32"/>
        <v>13496.429416432999</v>
      </c>
      <c r="AC147" s="507">
        <f t="shared" si="29"/>
        <v>5.46</v>
      </c>
      <c r="AD147" s="501">
        <f>IF($D147="","",MIN(終値!E147:I147))</f>
        <v>8520</v>
      </c>
      <c r="AE147" s="503">
        <f t="shared" si="30"/>
        <v>15.09853</v>
      </c>
    </row>
    <row r="148" spans="1:31" ht="24">
      <c r="A148" s="500" t="str">
        <f>IF(終値!A148="","",HYPERLINK("https://kabutan.jp/stock/?code="&amp;終値!A148,"📈"))</f>
        <v>📈</v>
      </c>
      <c r="B148" s="500" t="str">
        <f>IF(終値!A148="","",終値!A148)</f>
        <v>6838</v>
      </c>
      <c r="C148" s="499" t="str">
        <f>IF(終値!A148="","",終値!B148)</f>
        <v>多摩川ホールディングス</v>
      </c>
      <c r="D148" s="501">
        <f>IF(終値!A148="","",終値!E148)</f>
        <v>1480</v>
      </c>
      <c r="E148" s="501">
        <f>IF($D148="","",AVERAGE(終値!E148:X148))</f>
        <v>1400.85</v>
      </c>
      <c r="F148" s="502">
        <f>IF($D148="","",STDEVP(終値!E148:X148))</f>
        <v>100.38688908418271</v>
      </c>
      <c r="G148" s="501">
        <f>IF($D148="","",$E148+BB設定!$B$4*$F148)</f>
        <v>1601.6237781683653</v>
      </c>
      <c r="H148" s="501">
        <f>IF($D148="","",$E148+BB設定!$B$5*$F148)</f>
        <v>1501.2368890841826</v>
      </c>
      <c r="I148" s="501">
        <f>IF($D148="","",$E148-BB設定!$B$5*$F148)</f>
        <v>1300.4631109158172</v>
      </c>
      <c r="J148" s="501">
        <f>IF($D148="","",$E148-BB設定!$B$4*$F148)</f>
        <v>1200.0762218316345</v>
      </c>
      <c r="K148" s="506">
        <f t="shared" si="22"/>
        <v>0.69711239366533773</v>
      </c>
      <c r="L148" s="505">
        <f t="shared" si="23"/>
        <v>28.664564823980506</v>
      </c>
      <c r="M148" s="505">
        <f>IF($D148="","",IFERROR(MIN(BB_帯幅!B148:AP148)*100,""))</f>
        <v>28.664564823980506</v>
      </c>
      <c r="N148" s="500" t="str">
        <f>IF($L148="","",IF($L148&lt;=$M148*BB設定!$B$7,"スクイーズ★",IF($L148&lt;=$M148*1.3,"収縮","－")))</f>
        <v>スクイーズ★</v>
      </c>
      <c r="O148" s="500" t="str">
        <f>IF($D148="","",IF(AND(BB_帯幅!B148&gt;BB_帯幅!C148,BB_帯幅!C148&gt;BB_帯幅!D148),"拡大↑","縮小↓"))</f>
        <v>縮小↓</v>
      </c>
      <c r="P148" s="500" t="str">
        <f t="shared" si="24"/>
        <v>バンド内</v>
      </c>
      <c r="Q148" s="503">
        <f>IF($D148="","",IFERROR(100-100/(1+SUMPRODUCT((終値!E148:R148&gt;終値!F148:S148)*(終値!E148:R148-終値!F148:S148))/SUMPRODUCT((終値!E148:R148&lt;終値!F148:S148)*(終値!F148:S148-終値!E148:R148))),100))</f>
        <v>48.971722365038559</v>
      </c>
      <c r="R148" s="503">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53.635683781895089</v>
      </c>
      <c r="S148" s="500"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v>
      </c>
      <c r="T148" s="500" t="str">
        <f t="shared" si="25"/>
        <v>－</v>
      </c>
      <c r="U148" s="500" t="str">
        <f>IF(終値!A148="","",BB_スイング!BT148)</f>
        <v>－</v>
      </c>
      <c r="V148" s="508">
        <f>IF($D148="","",IFERROR(出来高!E148/AVERAGE(出来高!E148:I148),""))</f>
        <v>0.65859779792746109</v>
      </c>
      <c r="W148" s="509"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☆スクイーズ監視</v>
      </c>
      <c r="X148" s="504">
        <f t="shared" si="31"/>
        <v>35</v>
      </c>
      <c r="Y148" s="501">
        <f t="shared" si="26"/>
        <v>1480</v>
      </c>
      <c r="Z148" s="501">
        <f t="shared" si="27"/>
        <v>1501.2368890841826</v>
      </c>
      <c r="AA148" s="501">
        <f t="shared" si="28"/>
        <v>1400.85</v>
      </c>
      <c r="AB148" s="501">
        <f t="shared" si="32"/>
        <v>1601.6237781683653</v>
      </c>
      <c r="AC148" s="507">
        <f t="shared" si="29"/>
        <v>1.54</v>
      </c>
      <c r="AD148" s="501">
        <f>IF($D148="","",MIN(終値!E148:I148))</f>
        <v>1290</v>
      </c>
      <c r="AE148" s="503">
        <f t="shared" si="30"/>
        <v>35.098520000000001</v>
      </c>
    </row>
    <row r="149" spans="1:31" ht="24">
      <c r="A149" s="500" t="str">
        <f>IF(終値!A149="","",HYPERLINK("https://kabutan.jp/stock/?code="&amp;終値!A149,"📈"))</f>
        <v>📈</v>
      </c>
      <c r="B149" s="500" t="str">
        <f>IF(終値!A149="","",終値!A149)</f>
        <v>7375</v>
      </c>
      <c r="C149" s="499" t="str">
        <f>IF(終値!A149="","",終値!B149)</f>
        <v>リファインバースグループ</v>
      </c>
      <c r="D149" s="501">
        <f>IF(終値!A149="","",終値!E149)</f>
        <v>1123</v>
      </c>
      <c r="E149" s="501">
        <f>IF($D149="","",AVERAGE(終値!E149:X149))</f>
        <v>1145.5</v>
      </c>
      <c r="F149" s="502">
        <f>IF($D149="","",STDEVP(終値!E149:X149))</f>
        <v>22.5</v>
      </c>
      <c r="G149" s="501">
        <f>IF($D149="","",$E149+BB設定!$B$4*$F149)</f>
        <v>1190.5</v>
      </c>
      <c r="H149" s="501">
        <f>IF($D149="","",$E149+BB設定!$B$5*$F149)</f>
        <v>1168</v>
      </c>
      <c r="I149" s="501">
        <f>IF($D149="","",$E149-BB設定!$B$5*$F149)</f>
        <v>1123</v>
      </c>
      <c r="J149" s="501">
        <f>IF($D149="","",$E149-BB設定!$B$4*$F149)</f>
        <v>1100.5</v>
      </c>
      <c r="K149" s="506">
        <f t="shared" si="22"/>
        <v>0.25</v>
      </c>
      <c r="L149" s="505">
        <f t="shared" si="23"/>
        <v>7.8568310781318207</v>
      </c>
      <c r="M149" s="505">
        <f>IF($D149="","",IFERROR(MIN(BB_帯幅!B149:AP149)*100,""))</f>
        <v>0</v>
      </c>
      <c r="N149" s="500" t="str">
        <f>IF($L149="","",IF($L149&lt;=$M149*BB設定!$B$7,"スクイーズ★",IF($L149&lt;=$M149*1.3,"収縮","－")))</f>
        <v>－</v>
      </c>
      <c r="O149" s="500" t="str">
        <f>IF($D149="","",IF(AND(BB_帯幅!B149&gt;BB_帯幅!C149,BB_帯幅!C149&gt;BB_帯幅!D149),"拡大↑","縮小↓"))</f>
        <v>縮小↓</v>
      </c>
      <c r="P149" s="500" t="str">
        <f t="shared" si="24"/>
        <v>バンド内</v>
      </c>
      <c r="Q149" s="503">
        <f>IF($D149="","",IFERROR(100-100/(1+SUMPRODUCT((終値!E149:R149&gt;終値!F149:S149)*(終値!E149:R149-終値!F149:S149))/SUMPRODUCT((終値!E149:R149&lt;終値!F149:S149)*(終値!F149:S149-終値!E149:R149))),100))</f>
        <v>96.290189612530909</v>
      </c>
      <c r="R149" s="503">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60.416019869605712</v>
      </c>
      <c r="S149" s="500"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弱気div▼</v>
      </c>
      <c r="T149" s="500" t="str">
        <f t="shared" si="25"/>
        <v>下walk▼</v>
      </c>
      <c r="U149" s="500" t="str">
        <f>IF(終値!A149="","",BB_スイング!BT149)</f>
        <v>－</v>
      </c>
      <c r="V149" s="508">
        <f>IF($D149="","",IFERROR(出来高!E149/AVERAGE(出来高!E149:I149),""))</f>
        <v>0.80172413793103448</v>
      </c>
      <c r="W149" s="509"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様子見</v>
      </c>
      <c r="X149" s="504">
        <f t="shared" si="31"/>
        <v>0</v>
      </c>
      <c r="Y149" s="501">
        <f t="shared" si="26"/>
        <v>1123</v>
      </c>
      <c r="Z149" s="501">
        <f t="shared" si="27"/>
        <v>1168</v>
      </c>
      <c r="AA149" s="501">
        <f t="shared" si="28"/>
        <v>1123</v>
      </c>
      <c r="AB149" s="501">
        <f t="shared" si="32"/>
        <v>1190.5</v>
      </c>
      <c r="AC149" s="507" t="str">
        <f t="shared" si="29"/>
        <v>－</v>
      </c>
      <c r="AD149" s="501">
        <f>IF($D149="","",MIN(終値!E149:I149))</f>
        <v>1123</v>
      </c>
      <c r="AE149" s="503">
        <f t="shared" si="30"/>
        <v>9.851E-2</v>
      </c>
    </row>
    <row r="150" spans="1:31">
      <c r="A150" s="500" t="str">
        <f>IF(終値!A150="","",HYPERLINK("https://kabutan.jp/stock/?code="&amp;終値!A150,"📈"))</f>
        <v>📈</v>
      </c>
      <c r="B150" s="500" t="str">
        <f>IF(終値!A150="","",終値!A150)</f>
        <v>4307</v>
      </c>
      <c r="C150" s="499" t="str">
        <f>IF(終値!A150="","",終値!B150)</f>
        <v>野村総合研究所</v>
      </c>
      <c r="D150" s="501">
        <f>IF(終値!A150="","",終値!E150)</f>
        <v>4738</v>
      </c>
      <c r="E150" s="501">
        <f>IF($D150="","",AVERAGE(終値!E150:X150))</f>
        <v>4999.25</v>
      </c>
      <c r="F150" s="502">
        <f>IF($D150="","",STDEVP(終値!E150:X150))</f>
        <v>263.22250568672882</v>
      </c>
      <c r="G150" s="501">
        <f>IF($D150="","",$E150+BB設定!$B$4*$F150)</f>
        <v>5525.6950113734574</v>
      </c>
      <c r="H150" s="501">
        <f>IF($D150="","",$E150+BB設定!$B$5*$F150)</f>
        <v>5262.4725056867292</v>
      </c>
      <c r="I150" s="501">
        <f>IF($D150="","",$E150-BB設定!$B$5*$F150)</f>
        <v>4736.0274943132708</v>
      </c>
      <c r="J150" s="501">
        <f>IF($D150="","",$E150-BB設定!$B$4*$F150)</f>
        <v>4472.8049886265426</v>
      </c>
      <c r="K150" s="506">
        <f t="shared" si="22"/>
        <v>0.25187342043719113</v>
      </c>
      <c r="L150" s="505">
        <f t="shared" si="23"/>
        <v>21.060959598878128</v>
      </c>
      <c r="M150" s="505">
        <f>IF($D150="","",IFERROR(MIN(BB_帯幅!B150:AP150)*100,""))</f>
        <v>12.681366168675712</v>
      </c>
      <c r="N150" s="500" t="str">
        <f>IF($L150="","",IF($L150&lt;=$M150*BB設定!$B$7,"スクイーズ★",IF($L150&lt;=$M150*1.3,"収縮","－")))</f>
        <v>－</v>
      </c>
      <c r="O150" s="500" t="str">
        <f>IF($D150="","",IF(AND(BB_帯幅!B150&gt;BB_帯幅!C150,BB_帯幅!C150&gt;BB_帯幅!D150),"拡大↑","縮小↓"))</f>
        <v>拡大↑</v>
      </c>
      <c r="P150" s="500" t="str">
        <f t="shared" si="24"/>
        <v>バンド内</v>
      </c>
      <c r="Q150" s="503">
        <f>IF($D150="","",IFERROR(100-100/(1+SUMPRODUCT((終値!E150:R150&gt;終値!F150:S150)*(終値!E150:R150-終値!F150:S150))/SUMPRODUCT((終値!E150:R150&lt;終値!F150:S150)*(終値!F150:S150-終値!E150:R150))),100))</f>
        <v>45.544554455445549</v>
      </c>
      <c r="R150" s="503">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53.843448391845946</v>
      </c>
      <c r="S150" s="500"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v>
      </c>
      <c r="T150" s="500" t="str">
        <f t="shared" si="25"/>
        <v>－</v>
      </c>
      <c r="U150" s="500" t="str">
        <f>IF(終値!A150="","",BB_スイング!BT150)</f>
        <v>－</v>
      </c>
      <c r="V150" s="508">
        <f>IF($D150="","",IFERROR(出来高!E150/AVERAGE(出来高!E150:I150),""))</f>
        <v>0.69064751379263123</v>
      </c>
      <c r="W150" s="509"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様子見</v>
      </c>
      <c r="X150" s="504">
        <f t="shared" si="31"/>
        <v>10</v>
      </c>
      <c r="Y150" s="501">
        <f t="shared" si="26"/>
        <v>4738</v>
      </c>
      <c r="Z150" s="501">
        <f t="shared" si="27"/>
        <v>5262.4725056867292</v>
      </c>
      <c r="AA150" s="501">
        <f t="shared" si="28"/>
        <v>4570</v>
      </c>
      <c r="AB150" s="501">
        <f t="shared" si="32"/>
        <v>5525.6950113734574</v>
      </c>
      <c r="AC150" s="507">
        <f t="shared" si="29"/>
        <v>4.6900000000000004</v>
      </c>
      <c r="AD150" s="501">
        <f>IF($D150="","",MIN(終値!E150:I150))</f>
        <v>4570</v>
      </c>
      <c r="AE150" s="503">
        <f t="shared" si="30"/>
        <v>10.0985</v>
      </c>
    </row>
    <row r="151" spans="1:31">
      <c r="A151" s="500" t="str">
        <f>IF(終値!A151="","",HYPERLINK("https://kabutan.jp/stock/?code="&amp;終値!A151,"📈"))</f>
        <v>📈</v>
      </c>
      <c r="B151" s="500" t="str">
        <f>IF(終値!A151="","",終値!A151)</f>
        <v>6516</v>
      </c>
      <c r="C151" s="499" t="str">
        <f>IF(終値!A151="","",終値!B151)</f>
        <v>山洋電気</v>
      </c>
      <c r="D151" s="501">
        <f>IF(終値!A151="","",終値!E151)</f>
        <v>5930</v>
      </c>
      <c r="E151" s="501">
        <f>IF($D151="","",AVERAGE(終値!E151:X151))</f>
        <v>5708.4210526315792</v>
      </c>
      <c r="F151" s="502">
        <f>IF($D151="","",STDEVP(終値!E151:X151))</f>
        <v>263.52395592480843</v>
      </c>
      <c r="G151" s="501">
        <f>IF($D151="","",$E151+BB設定!$B$4*$F151)</f>
        <v>6235.4689644811961</v>
      </c>
      <c r="H151" s="501">
        <f>IF($D151="","",$E151+BB設定!$B$5*$F151)</f>
        <v>5971.9450085563876</v>
      </c>
      <c r="I151" s="501">
        <f>IF($D151="","",$E151-BB設定!$B$5*$F151)</f>
        <v>5444.8970967067708</v>
      </c>
      <c r="J151" s="501">
        <f>IF($D151="","",$E151-BB設定!$B$4*$F151)</f>
        <v>5181.3731407819623</v>
      </c>
      <c r="K151" s="506">
        <f t="shared" si="22"/>
        <v>0.71020759440144043</v>
      </c>
      <c r="L151" s="505">
        <f t="shared" si="23"/>
        <v>18.465628480808999</v>
      </c>
      <c r="M151" s="505">
        <f>IF($D151="","",IFERROR(MIN(BB_帯幅!B151:AP151)*100,""))</f>
        <v>14.932773582594619</v>
      </c>
      <c r="N151" s="500" t="str">
        <f>IF($L151="","",IF($L151&lt;=$M151*BB設定!$B$7,"スクイーズ★",IF($L151&lt;=$M151*1.3,"収縮","－")))</f>
        <v>収縮</v>
      </c>
      <c r="O151" s="500" t="str">
        <f>IF($D151="","",IF(AND(BB_帯幅!B151&gt;BB_帯幅!C151,BB_帯幅!C151&gt;BB_帯幅!D151),"拡大↑","縮小↓"))</f>
        <v>縮小↓</v>
      </c>
      <c r="P151" s="500" t="str">
        <f t="shared" si="24"/>
        <v>バンド内</v>
      </c>
      <c r="Q151" s="503">
        <f>IF($D151="","",IFERROR(100-100/(1+SUMPRODUCT((終値!E151:R151&gt;終値!F151:S151)*(終値!E151:R151-終値!F151:S151))/SUMPRODUCT((終値!E151:R151&lt;終値!F151:S151)*(終値!F151:S151-終値!E151:R151))),100))</f>
        <v>50</v>
      </c>
      <c r="R151" s="503">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68.473332267049756</v>
      </c>
      <c r="S151" s="500"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v>
      </c>
      <c r="T151" s="500" t="str">
        <f t="shared" si="25"/>
        <v>－</v>
      </c>
      <c r="U151" s="500" t="str">
        <f>IF(終値!A151="","",BB_スイング!BT151)</f>
        <v>－</v>
      </c>
      <c r="V151" s="508">
        <f>IF($D151="","",IFERROR(出来高!E151/AVERAGE(出来高!E151:I151),""))</f>
        <v>0.76120823957071149</v>
      </c>
      <c r="W151" s="509"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様子見</v>
      </c>
      <c r="X151" s="504">
        <f t="shared" si="31"/>
        <v>35</v>
      </c>
      <c r="Y151" s="501">
        <f t="shared" si="26"/>
        <v>5930</v>
      </c>
      <c r="Z151" s="501">
        <f t="shared" si="27"/>
        <v>5971.9450085563876</v>
      </c>
      <c r="AA151" s="501">
        <f t="shared" si="28"/>
        <v>5708.4210526315792</v>
      </c>
      <c r="AB151" s="501">
        <f t="shared" si="32"/>
        <v>6235.4689644811961</v>
      </c>
      <c r="AC151" s="507">
        <f t="shared" si="29"/>
        <v>1.38</v>
      </c>
      <c r="AD151" s="501">
        <f>IF($D151="","",MIN(終値!E151:I151))</f>
        <v>5500</v>
      </c>
      <c r="AE151" s="503">
        <f t="shared" si="30"/>
        <v>35.098489999999998</v>
      </c>
    </row>
    <row r="152" spans="1:31">
      <c r="A152" s="500" t="str">
        <f>IF(終値!A152="","",HYPERLINK("https://kabutan.jp/stock/?code="&amp;終値!A152,"📈"))</f>
        <v>📈</v>
      </c>
      <c r="B152" s="500" t="str">
        <f>IF(終値!A152="","",終値!A152)</f>
        <v>7381</v>
      </c>
      <c r="C152" s="499" t="str">
        <f>IF(終値!A152="","",終値!B152)</f>
        <v>ＣＣＩグループ</v>
      </c>
      <c r="D152" s="501">
        <f>IF(終値!A152="","",終値!E152)</f>
        <v>1215</v>
      </c>
      <c r="E152" s="501">
        <f>IF($D152="","",AVERAGE(終値!E152:X152))</f>
        <v>1116.55</v>
      </c>
      <c r="F152" s="502">
        <f>IF($D152="","",STDEVP(終値!E152:X152))</f>
        <v>51.176630408810624</v>
      </c>
      <c r="G152" s="501">
        <f>IF($D152="","",$E152+BB設定!$B$4*$F152)</f>
        <v>1218.9032608176212</v>
      </c>
      <c r="H152" s="501">
        <f>IF($D152="","",$E152+BB設定!$B$5*$F152)</f>
        <v>1167.7266304088105</v>
      </c>
      <c r="I152" s="501">
        <f>IF($D152="","",$E152-BB設定!$B$5*$F152)</f>
        <v>1065.3733695911894</v>
      </c>
      <c r="J152" s="501">
        <f>IF($D152="","",$E152-BB設定!$B$4*$F152)</f>
        <v>1014.1967391823787</v>
      </c>
      <c r="K152" s="506">
        <f t="shared" si="22"/>
        <v>0.98093240612736177</v>
      </c>
      <c r="L152" s="505">
        <f t="shared" si="23"/>
        <v>18.333842786730784</v>
      </c>
      <c r="M152" s="505">
        <f>IF($D152="","",IFERROR(MIN(BB_帯幅!B152:AP152)*100,""))</f>
        <v>7.7356952477879268</v>
      </c>
      <c r="N152" s="500" t="str">
        <f>IF($L152="","",IF($L152&lt;=$M152*BB設定!$B$7,"スクイーズ★",IF($L152&lt;=$M152*1.3,"収縮","－")))</f>
        <v>－</v>
      </c>
      <c r="O152" s="500" t="str">
        <f>IF($D152="","",IF(AND(BB_帯幅!B152&gt;BB_帯幅!C152,BB_帯幅!C152&gt;BB_帯幅!D152),"拡大↑","縮小↓"))</f>
        <v>拡大↑</v>
      </c>
      <c r="P152" s="500" t="str">
        <f t="shared" si="24"/>
        <v>+1σ上</v>
      </c>
      <c r="Q152" s="503">
        <f>IF($D152="","",IFERROR(100-100/(1+SUMPRODUCT((終値!E152:R152&gt;終値!F152:S152)*(終値!E152:R152-終値!F152:S152))/SUMPRODUCT((終値!E152:R152&lt;終値!F152:S152)*(終値!F152:S152-終値!E152:R152))),100))</f>
        <v>59.82905982905983</v>
      </c>
      <c r="R152" s="503">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60.047806193222073</v>
      </c>
      <c r="S152" s="500"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弱気div▼</v>
      </c>
      <c r="T152" s="500" t="str">
        <f t="shared" si="25"/>
        <v>上walk▲</v>
      </c>
      <c r="U152" s="500" t="str">
        <f>IF(終値!A152="","",BB_スイング!BT152)</f>
        <v>－</v>
      </c>
      <c r="V152" s="508">
        <f>IF($D152="","",IFERROR(出来高!E152/AVERAGE(出来高!E152:I152),""))</f>
        <v>0.8997718536112761</v>
      </c>
      <c r="W152" s="509"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様子見</v>
      </c>
      <c r="X152" s="504">
        <f t="shared" si="31"/>
        <v>47</v>
      </c>
      <c r="Y152" s="501">
        <f t="shared" si="26"/>
        <v>1215</v>
      </c>
      <c r="Z152" s="501">
        <f t="shared" si="27"/>
        <v>1167.7266304088105</v>
      </c>
      <c r="AA152" s="501">
        <f t="shared" si="28"/>
        <v>1116.55</v>
      </c>
      <c r="AB152" s="501">
        <f t="shared" si="32"/>
        <v>1218.9032608176212</v>
      </c>
      <c r="AC152" s="507">
        <f t="shared" si="29"/>
        <v>0.04</v>
      </c>
      <c r="AD152" s="501">
        <f>IF($D152="","",MIN(終値!E152:I152))</f>
        <v>1107</v>
      </c>
      <c r="AE152" s="503">
        <f t="shared" si="30"/>
        <v>47.098480000000002</v>
      </c>
    </row>
    <row r="153" spans="1:31" ht="24">
      <c r="A153" s="500" t="str">
        <f>IF(終値!A153="","",HYPERLINK("https://kabutan.jp/stock/?code="&amp;終値!A153,"📈"))</f>
        <v>📈</v>
      </c>
      <c r="B153" s="500" t="str">
        <f>IF(終値!A153="","",終値!A153)</f>
        <v>4417</v>
      </c>
      <c r="C153" s="499" t="str">
        <f>IF(終値!A153="","",終値!B153)</f>
        <v>グローバルセキュ</v>
      </c>
      <c r="D153" s="501">
        <f>IF(終値!A153="","",終値!E153)</f>
        <v>4600</v>
      </c>
      <c r="E153" s="501">
        <f>IF($D153="","",AVERAGE(終値!E153:X153))</f>
        <v>4281.25</v>
      </c>
      <c r="F153" s="502">
        <f>IF($D153="","",STDEVP(終値!E153:X153))</f>
        <v>203.475274910737</v>
      </c>
      <c r="G153" s="501">
        <f>IF($D153="","",$E153+BB設定!$B$4*$F153)</f>
        <v>4688.2005498214739</v>
      </c>
      <c r="H153" s="501">
        <f>IF($D153="","",$E153+BB設定!$B$5*$F153)</f>
        <v>4484.7252749107374</v>
      </c>
      <c r="I153" s="501">
        <f>IF($D153="","",$E153-BB設定!$B$5*$F153)</f>
        <v>4077.774725089263</v>
      </c>
      <c r="J153" s="501">
        <f>IF($D153="","",$E153-BB設定!$B$4*$F153)</f>
        <v>3874.2994501785261</v>
      </c>
      <c r="K153" s="506">
        <f t="shared" si="22"/>
        <v>0.89163234960590809</v>
      </c>
      <c r="L153" s="505">
        <f t="shared" si="23"/>
        <v>19.010828604798782</v>
      </c>
      <c r="M153" s="505">
        <f>IF($D153="","",IFERROR(MIN(BB_帯幅!B153:AP153)*100,""))</f>
        <v>14.725977664627656</v>
      </c>
      <c r="N153" s="500" t="str">
        <f>IF($L153="","",IF($L153&lt;=$M153*BB設定!$B$7,"スクイーズ★",IF($L153&lt;=$M153*1.3,"収縮","－")))</f>
        <v>収縮</v>
      </c>
      <c r="O153" s="500" t="str">
        <f>IF($D153="","",IF(AND(BB_帯幅!B153&gt;BB_帯幅!C153,BB_帯幅!C153&gt;BB_帯幅!D153),"拡大↑","縮小↓"))</f>
        <v>縮小↓</v>
      </c>
      <c r="P153" s="500" t="str">
        <f t="shared" si="24"/>
        <v>+1σ上</v>
      </c>
      <c r="Q153" s="503">
        <f>IF($D153="","",IFERROR(100-100/(1+SUMPRODUCT((終値!E153:R153&gt;終値!F153:S153)*(終値!E153:R153-終値!F153:S153))/SUMPRODUCT((終値!E153:R153&lt;終値!F153:S153)*(終値!F153:S153-終値!E153:R153))),100))</f>
        <v>56.545961002785511</v>
      </c>
      <c r="R153" s="503">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54.843032654460593</v>
      </c>
      <c r="S153" s="500"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0" t="str">
        <f t="shared" si="25"/>
        <v>上walk▲</v>
      </c>
      <c r="U153" s="500" t="str">
        <f>IF(終値!A153="","",BB_スイング!BT153)</f>
        <v>二番底W形成</v>
      </c>
      <c r="V153" s="508">
        <f>IF($D153="","",IFERROR(出来高!E153/AVERAGE(出来高!E153:I153),""))</f>
        <v>0.81857142857142862</v>
      </c>
      <c r="W153" s="509"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△二番底形成</v>
      </c>
      <c r="X153" s="504">
        <f t="shared" si="31"/>
        <v>42</v>
      </c>
      <c r="Y153" s="501">
        <f t="shared" si="26"/>
        <v>4600</v>
      </c>
      <c r="Z153" s="501">
        <f t="shared" si="27"/>
        <v>4484.7252749107374</v>
      </c>
      <c r="AA153" s="501">
        <f t="shared" si="28"/>
        <v>4281.25</v>
      </c>
      <c r="AB153" s="501">
        <f t="shared" si="32"/>
        <v>4688.2005498214739</v>
      </c>
      <c r="AC153" s="507">
        <f t="shared" si="29"/>
        <v>0.28000000000000003</v>
      </c>
      <c r="AD153" s="501">
        <f>IF($D153="","",MIN(終値!E153:I153))</f>
        <v>4190</v>
      </c>
      <c r="AE153" s="503">
        <f t="shared" si="30"/>
        <v>42.098469999999999</v>
      </c>
    </row>
    <row r="154" spans="1:31">
      <c r="A154" s="500" t="str">
        <f>IF(終値!A154="","",HYPERLINK("https://kabutan.jp/stock/?code="&amp;終値!A154,"📈"))</f>
        <v>📈</v>
      </c>
      <c r="B154" s="500" t="str">
        <f>IF(終値!A154="","",終値!A154)</f>
        <v>6981</v>
      </c>
      <c r="C154" s="499" t="str">
        <f>IF(終値!A154="","",終値!B154)</f>
        <v>村田製作所</v>
      </c>
      <c r="D154" s="501">
        <f>IF(終値!A154="","",終値!E154)</f>
        <v>7421</v>
      </c>
      <c r="E154" s="501">
        <f>IF($D154="","",AVERAGE(終値!E154:X154))</f>
        <v>8064.25</v>
      </c>
      <c r="F154" s="502">
        <f>IF($D154="","",STDEVP(終値!E154:X154))</f>
        <v>982.85700256954976</v>
      </c>
      <c r="G154" s="501">
        <f>IF($D154="","",$E154+BB設定!$B$4*$F154)</f>
        <v>10029.9640051391</v>
      </c>
      <c r="H154" s="501">
        <f>IF($D154="","",$E154+BB設定!$B$5*$F154)</f>
        <v>9047.1070025695499</v>
      </c>
      <c r="I154" s="501">
        <f>IF($D154="","",$E154-BB設定!$B$5*$F154)</f>
        <v>7081.3929974304501</v>
      </c>
      <c r="J154" s="501">
        <f>IF($D154="","",$E154-BB設定!$B$4*$F154)</f>
        <v>6098.5359948609002</v>
      </c>
      <c r="K154" s="506">
        <f t="shared" si="22"/>
        <v>0.33638260746011173</v>
      </c>
      <c r="L154" s="505">
        <f t="shared" si="23"/>
        <v>48.751316120881661</v>
      </c>
      <c r="M154" s="505">
        <f>IF($D154="","",IFERROR(MIN(BB_帯幅!B154:AP154)*100,""))</f>
        <v>33.078520137285835</v>
      </c>
      <c r="N154" s="500" t="str">
        <f>IF($L154="","",IF($L154&lt;=$M154*BB設定!$B$7,"スクイーズ★",IF($L154&lt;=$M154*1.3,"収縮","－")))</f>
        <v>－</v>
      </c>
      <c r="O154" s="500" t="str">
        <f>IF($D154="","",IF(AND(BB_帯幅!B154&gt;BB_帯幅!C154,BB_帯幅!C154&gt;BB_帯幅!D154),"拡大↑","縮小↓"))</f>
        <v>縮小↓</v>
      </c>
      <c r="P154" s="500" t="str">
        <f t="shared" si="24"/>
        <v>バンド内</v>
      </c>
      <c r="Q154" s="503">
        <f>IF($D154="","",IFERROR(100-100/(1+SUMPRODUCT((終値!E154:R154&gt;終値!F154:S154)*(終値!E154:R154-終値!F154:S154))/SUMPRODUCT((終値!E154:R154&lt;終値!F154:S154)*(終値!F154:S154-終値!E154:R154))),100))</f>
        <v>38.438231648533254</v>
      </c>
      <c r="R154" s="503">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41.049985027571289</v>
      </c>
      <c r="S154" s="500"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強気div▲</v>
      </c>
      <c r="T154" s="500" t="str">
        <f t="shared" si="25"/>
        <v>－</v>
      </c>
      <c r="U154" s="500" t="str">
        <f>IF(終値!A154="","",BB_スイング!BT154)</f>
        <v>－</v>
      </c>
      <c r="V154" s="508">
        <f>IF($D154="","",IFERROR(出来高!E154/AVERAGE(出来高!E154:I154),""))</f>
        <v>1.2343273876198875</v>
      </c>
      <c r="W154" s="509"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○反発(ダイバ)買</v>
      </c>
      <c r="X154" s="504">
        <f t="shared" si="31"/>
        <v>5</v>
      </c>
      <c r="Y154" s="501">
        <f t="shared" si="26"/>
        <v>7421</v>
      </c>
      <c r="Z154" s="501">
        <f t="shared" si="27"/>
        <v>9047.1070025695499</v>
      </c>
      <c r="AA154" s="501">
        <f t="shared" si="28"/>
        <v>7129</v>
      </c>
      <c r="AB154" s="501">
        <f t="shared" si="32"/>
        <v>10029.9640051391</v>
      </c>
      <c r="AC154" s="507">
        <f t="shared" si="29"/>
        <v>8.93</v>
      </c>
      <c r="AD154" s="501">
        <f>IF($D154="","",MIN(終値!E154:I154))</f>
        <v>7129</v>
      </c>
      <c r="AE154" s="503">
        <f t="shared" si="30"/>
        <v>5.0984600000000002</v>
      </c>
    </row>
    <row r="155" spans="1:31">
      <c r="A155" s="500" t="str">
        <f>IF(終値!A155="","",HYPERLINK("https://kabutan.jp/stock/?code="&amp;終値!A155,"📈"))</f>
        <v>📈</v>
      </c>
      <c r="B155" s="500" t="str">
        <f>IF(終値!A155="","",終値!A155)</f>
        <v>6754</v>
      </c>
      <c r="C155" s="499" t="str">
        <f>IF(終値!A155="","",終値!B155)</f>
        <v>アンリツ</v>
      </c>
      <c r="D155" s="501">
        <f>IF(終値!A155="","",終値!E155)</f>
        <v>3525</v>
      </c>
      <c r="E155" s="501">
        <f>IF($D155="","",AVERAGE(終値!E155:X155))</f>
        <v>3817.5789473684213</v>
      </c>
      <c r="F155" s="502">
        <f>IF($D155="","",STDEVP(終値!E155:X155))</f>
        <v>240.5706627319986</v>
      </c>
      <c r="G155" s="501">
        <f>IF($D155="","",$E155+BB設定!$B$4*$F155)</f>
        <v>4298.7202728324182</v>
      </c>
      <c r="H155" s="501">
        <f>IF($D155="","",$E155+BB設定!$B$5*$F155)</f>
        <v>4058.14961010042</v>
      </c>
      <c r="I155" s="501">
        <f>IF($D155="","",$E155-BB設定!$B$5*$F155)</f>
        <v>3577.0082846364226</v>
      </c>
      <c r="J155" s="501">
        <f>IF($D155="","",$E155-BB設定!$B$4*$F155)</f>
        <v>3336.4376219044243</v>
      </c>
      <c r="K155" s="506">
        <f t="shared" si="22"/>
        <v>0.19595321386469172</v>
      </c>
      <c r="L155" s="505">
        <f t="shared" si="23"/>
        <v>25.206620850403787</v>
      </c>
      <c r="M155" s="505">
        <f>IF($D155="","",IFERROR(MIN(BB_帯幅!B155:AP155)*100,""))</f>
        <v>18.100245865118065</v>
      </c>
      <c r="N155" s="500" t="str">
        <f>IF($L155="","",IF($L155&lt;=$M155*BB設定!$B$7,"スクイーズ★",IF($L155&lt;=$M155*1.3,"収縮","－")))</f>
        <v>－</v>
      </c>
      <c r="O155" s="500" t="str">
        <f>IF($D155="","",IF(AND(BB_帯幅!B155&gt;BB_帯幅!C155,BB_帯幅!C155&gt;BB_帯幅!D155),"拡大↑","縮小↓"))</f>
        <v>縮小↓</v>
      </c>
      <c r="P155" s="500" t="str">
        <f t="shared" si="24"/>
        <v>-1σ下</v>
      </c>
      <c r="Q155" s="503">
        <f>IF($D155="","",IFERROR(100-100/(1+SUMPRODUCT((終値!E155:R155&gt;終値!F155:S155)*(終値!E155:R155-終値!F155:S155))/SUMPRODUCT((終値!E155:R155&lt;終値!F155:S155)*(終値!F155:S155-終値!E155:R155))),100))</f>
        <v>47.159033971339817</v>
      </c>
      <c r="R155" s="503">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66.901649759461918</v>
      </c>
      <c r="S155" s="500"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強気div▲</v>
      </c>
      <c r="T155" s="500" t="str">
        <f t="shared" si="25"/>
        <v>下walk▼</v>
      </c>
      <c r="U155" s="500" t="str">
        <f>IF(終値!A155="","",BB_スイング!BT155)</f>
        <v>－</v>
      </c>
      <c r="V155" s="508">
        <f>IF($D155="","",IFERROR(出来高!E155/AVERAGE(出来高!E155:I155),""))</f>
        <v>0.76869627875855684</v>
      </c>
      <c r="W155" s="509"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4">
        <f t="shared" si="31"/>
        <v>5</v>
      </c>
      <c r="Y155" s="501">
        <f t="shared" si="26"/>
        <v>3525</v>
      </c>
      <c r="Z155" s="501">
        <f t="shared" si="27"/>
        <v>4058.14961010042</v>
      </c>
      <c r="AA155" s="501">
        <f t="shared" si="28"/>
        <v>3501</v>
      </c>
      <c r="AB155" s="501">
        <f t="shared" si="32"/>
        <v>4298.7202728324182</v>
      </c>
      <c r="AC155" s="507">
        <f t="shared" si="29"/>
        <v>20</v>
      </c>
      <c r="AD155" s="501">
        <f>IF($D155="","",MIN(終値!E155:I155))</f>
        <v>3501</v>
      </c>
      <c r="AE155" s="503">
        <f t="shared" si="30"/>
        <v>5.0984499999999997</v>
      </c>
    </row>
    <row r="156" spans="1:31">
      <c r="A156" s="500" t="str">
        <f>IF(終値!A156="","",HYPERLINK("https://kabutan.jp/stock/?code="&amp;終値!A156,"📈"))</f>
        <v>📈</v>
      </c>
      <c r="B156" s="500" t="str">
        <f>IF(終値!A156="","",終値!A156)</f>
        <v>4088</v>
      </c>
      <c r="C156" s="499" t="str">
        <f>IF(終値!A156="","",終値!B156)</f>
        <v>エア・ウォーター</v>
      </c>
      <c r="D156" s="501">
        <f>IF(終値!A156="","",終値!E156)</f>
        <v>2614</v>
      </c>
      <c r="E156" s="501">
        <f>IF($D156="","",AVERAGE(終値!E156:X156))</f>
        <v>2574.75</v>
      </c>
      <c r="F156" s="502">
        <f>IF($D156="","",STDEVP(終値!E156:X156))</f>
        <v>42.01056414760459</v>
      </c>
      <c r="G156" s="501">
        <f>IF($D156="","",$E156+BB設定!$B$4*$F156)</f>
        <v>2658.7711282952091</v>
      </c>
      <c r="H156" s="501">
        <f>IF($D156="","",$E156+BB設定!$B$5*$F156)</f>
        <v>2616.7605641476048</v>
      </c>
      <c r="I156" s="501">
        <f>IF($D156="","",$E156-BB設定!$B$5*$F156)</f>
        <v>2532.7394358523952</v>
      </c>
      <c r="J156" s="501">
        <f>IF($D156="","",$E156-BB設定!$B$4*$F156)</f>
        <v>2490.7288717047909</v>
      </c>
      <c r="K156" s="506">
        <f t="shared" si="22"/>
        <v>0.73357220258989331</v>
      </c>
      <c r="L156" s="505">
        <f t="shared" si="23"/>
        <v>6.5265465225912509</v>
      </c>
      <c r="M156" s="505">
        <f>IF($D156="","",IFERROR(MIN(BB_帯幅!B156:AP156)*100,""))</f>
        <v>6.5265465225912562</v>
      </c>
      <c r="N156" s="500" t="str">
        <f>IF($L156="","",IF($L156&lt;=$M156*BB設定!$B$7,"スクイーズ★",IF($L156&lt;=$M156*1.3,"収縮","－")))</f>
        <v>スクイーズ★</v>
      </c>
      <c r="O156" s="500" t="str">
        <f>IF($D156="","",IF(AND(BB_帯幅!B156&gt;BB_帯幅!C156,BB_帯幅!C156&gt;BB_帯幅!D156),"拡大↑","縮小↓"))</f>
        <v>縮小↓</v>
      </c>
      <c r="P156" s="500" t="str">
        <f t="shared" si="24"/>
        <v>バンド内</v>
      </c>
      <c r="Q156" s="503">
        <f>IF($D156="","",IFERROR(100-100/(1+SUMPRODUCT((終値!E156:R156&gt;終値!F156:S156)*(終値!E156:R156-終値!F156:S156))/SUMPRODUCT((終値!E156:R156&lt;終値!F156:S156)*(終値!F156:S156-終値!E156:R156))),100))</f>
        <v>55</v>
      </c>
      <c r="R156" s="503">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54.780737889089096</v>
      </c>
      <c r="S156" s="500"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0" t="str">
        <f t="shared" si="25"/>
        <v>－</v>
      </c>
      <c r="U156" s="500" t="str">
        <f>IF(終値!A156="","",BB_スイング!BT156)</f>
        <v>二番底W形成</v>
      </c>
      <c r="V156" s="508">
        <f>IF($D156="","",IFERROR(出来高!E156/AVERAGE(出来高!E156:I156),""))</f>
        <v>0.98725066831174169</v>
      </c>
      <c r="W156" s="509"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4">
        <f t="shared" si="31"/>
        <v>40</v>
      </c>
      <c r="Y156" s="501">
        <f t="shared" si="26"/>
        <v>2614</v>
      </c>
      <c r="Z156" s="501">
        <f t="shared" si="27"/>
        <v>2616.7605641476048</v>
      </c>
      <c r="AA156" s="501">
        <f t="shared" si="28"/>
        <v>2574.75</v>
      </c>
      <c r="AB156" s="501">
        <f t="shared" si="32"/>
        <v>2658.7711282952091</v>
      </c>
      <c r="AC156" s="507">
        <f t="shared" si="29"/>
        <v>1.1399999999999999</v>
      </c>
      <c r="AD156" s="501">
        <f>IF($D156="","",MIN(終値!E156:I156))</f>
        <v>2517</v>
      </c>
      <c r="AE156" s="503">
        <f t="shared" si="30"/>
        <v>40.098439999999997</v>
      </c>
    </row>
    <row r="157" spans="1:31" ht="24">
      <c r="A157" s="500" t="str">
        <f>IF(終値!A157="","",HYPERLINK("https://kabutan.jp/stock/?code="&amp;終値!A157,"📈"))</f>
        <v>📈</v>
      </c>
      <c r="B157" s="500" t="str">
        <f>IF(終値!A157="","",終値!A157)</f>
        <v>4091</v>
      </c>
      <c r="C157" s="499" t="str">
        <f>IF(終値!A157="","",終値!B157)</f>
        <v>日本酸素ＨＬＤＧＳ</v>
      </c>
      <c r="D157" s="501">
        <f>IF(終値!A157="","",終値!E157)</f>
        <v>6034</v>
      </c>
      <c r="E157" s="501">
        <f>IF($D157="","",AVERAGE(終値!E157:X157))</f>
        <v>5960.85</v>
      </c>
      <c r="F157" s="502">
        <f>IF($D157="","",STDEVP(終値!E157:X157))</f>
        <v>140.01759710836347</v>
      </c>
      <c r="G157" s="501">
        <f>IF($D157="","",$E157+BB設定!$B$4*$F157)</f>
        <v>6240.8851942167275</v>
      </c>
      <c r="H157" s="501">
        <f>IF($D157="","",$E157+BB設定!$B$5*$F157)</f>
        <v>6100.867597108364</v>
      </c>
      <c r="I157" s="501">
        <f>IF($D157="","",$E157-BB設定!$B$5*$F157)</f>
        <v>5820.8324028916368</v>
      </c>
      <c r="J157" s="501">
        <f>IF($D157="","",$E157-BB設定!$B$4*$F157)</f>
        <v>5680.8148057832732</v>
      </c>
      <c r="K157" s="506">
        <f t="shared" si="22"/>
        <v>0.63060858333289849</v>
      </c>
      <c r="L157" s="505">
        <f t="shared" si="23"/>
        <v>9.3958141612933446</v>
      </c>
      <c r="M157" s="505">
        <f>IF($D157="","",IFERROR(MIN(BB_帯幅!B157:AP157)*100,""))</f>
        <v>7.958346857231918</v>
      </c>
      <c r="N157" s="500" t="str">
        <f>IF($L157="","",IF($L157&lt;=$M157*BB設定!$B$7,"スクイーズ★",IF($L157&lt;=$M157*1.3,"収縮","－")))</f>
        <v>収縮</v>
      </c>
      <c r="O157" s="500" t="str">
        <f>IF($D157="","",IF(AND(BB_帯幅!B157&gt;BB_帯幅!C157,BB_帯幅!C157&gt;BB_帯幅!D157),"拡大↑","縮小↓"))</f>
        <v>縮小↓</v>
      </c>
      <c r="P157" s="500" t="str">
        <f t="shared" si="24"/>
        <v>バンド内</v>
      </c>
      <c r="Q157" s="503">
        <f>IF($D157="","",IFERROR(100-100/(1+SUMPRODUCT((終値!E157:R157&gt;終値!F157:S157)*(終値!E157:R157-終値!F157:S157))/SUMPRODUCT((終値!E157:R157&lt;終値!F157:S157)*(終値!F157:S157-終値!E157:R157))),100))</f>
        <v>45.489296636085619</v>
      </c>
      <c r="R157" s="503">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33.165329270808272</v>
      </c>
      <c r="S157" s="500"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0" t="str">
        <f t="shared" si="25"/>
        <v>－</v>
      </c>
      <c r="U157" s="500" t="str">
        <f>IF(終値!A157="","",BB_スイング!BT157)</f>
        <v>二番底W形成</v>
      </c>
      <c r="V157" s="508">
        <f>IF($D157="","",IFERROR(出来高!E157/AVERAGE(出来高!E157:I157),""))</f>
        <v>0.77249307770495246</v>
      </c>
      <c r="W157" s="509"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4">
        <f t="shared" si="31"/>
        <v>20</v>
      </c>
      <c r="Y157" s="501">
        <f t="shared" si="26"/>
        <v>6034</v>
      </c>
      <c r="Z157" s="501">
        <f t="shared" si="27"/>
        <v>6100.867597108364</v>
      </c>
      <c r="AA157" s="501">
        <f t="shared" si="28"/>
        <v>5960.85</v>
      </c>
      <c r="AB157" s="501">
        <f t="shared" si="32"/>
        <v>6240.8851942167275</v>
      </c>
      <c r="AC157" s="507">
        <f t="shared" si="29"/>
        <v>2.83</v>
      </c>
      <c r="AD157" s="501">
        <f>IF($D157="","",MIN(終値!E157:I157))</f>
        <v>5656</v>
      </c>
      <c r="AE157" s="503">
        <f t="shared" si="30"/>
        <v>20.09843</v>
      </c>
    </row>
    <row r="158" spans="1:31">
      <c r="A158" s="500" t="str">
        <f>IF(終値!A158="","",HYPERLINK("https://kabutan.jp/stock/?code="&amp;終値!A158,"📈"))</f>
        <v>📈</v>
      </c>
      <c r="B158" s="500" t="str">
        <f>IF(終値!A158="","",終値!A158)</f>
        <v>6857</v>
      </c>
      <c r="C158" s="499" t="str">
        <f>IF(終値!A158="","",終値!B158)</f>
        <v>アドバンテスト</v>
      </c>
      <c r="D158" s="501">
        <f>IF(終値!A158="","",終値!E158)</f>
        <v>32930</v>
      </c>
      <c r="E158" s="501">
        <f>IF($D158="","",AVERAGE(終値!E158:X158))</f>
        <v>29585.5</v>
      </c>
      <c r="F158" s="502">
        <f>IF($D158="","",STDEVP(終値!E158:X158))</f>
        <v>2203.8891192616748</v>
      </c>
      <c r="G158" s="501">
        <f>IF($D158="","",$E158+BB設定!$B$4*$F158)</f>
        <v>33993.278238523351</v>
      </c>
      <c r="H158" s="501">
        <f>IF($D158="","",$E158+BB設定!$B$5*$F158)</f>
        <v>31789.389119261676</v>
      </c>
      <c r="I158" s="501">
        <f>IF($D158="","",$E158-BB設定!$B$5*$F158)</f>
        <v>27381.610880738324</v>
      </c>
      <c r="J158" s="501">
        <f>IF($D158="","",$E158-BB設定!$B$4*$F158)</f>
        <v>25177.721761476649</v>
      </c>
      <c r="K158" s="506">
        <f t="shared" si="22"/>
        <v>0.87938614637750467</v>
      </c>
      <c r="L158" s="505">
        <f t="shared" si="23"/>
        <v>29.796881840924449</v>
      </c>
      <c r="M158" s="505">
        <f>IF($D158="","",IFERROR(MIN(BB_帯幅!B158:AP158)*100,""))</f>
        <v>15.627128680997648</v>
      </c>
      <c r="N158" s="500" t="str">
        <f>IF($L158="","",IF($L158&lt;=$M158*BB設定!$B$7,"スクイーズ★",IF($L158&lt;=$M158*1.3,"収縮","－")))</f>
        <v>－</v>
      </c>
      <c r="O158" s="500" t="str">
        <f>IF($D158="","",IF(AND(BB_帯幅!B158&gt;BB_帯幅!C158,BB_帯幅!C158&gt;BB_帯幅!D158),"拡大↑","縮小↓"))</f>
        <v>拡大↑</v>
      </c>
      <c r="P158" s="500" t="str">
        <f t="shared" si="24"/>
        <v>+1σ上</v>
      </c>
      <c r="Q158" s="503">
        <f>IF($D158="","",IFERROR(100-100/(1+SUMPRODUCT((終値!E158:R158&gt;終値!F158:S158)*(終値!E158:R158-終値!F158:S158))/SUMPRODUCT((終値!E158:R158&lt;終値!F158:S158)*(終値!F158:S158-終値!E158:R158))),100))</f>
        <v>52.806324110671945</v>
      </c>
      <c r="R158" s="503">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47.879571032587343</v>
      </c>
      <c r="S158" s="500"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v>
      </c>
      <c r="T158" s="500" t="str">
        <f t="shared" si="25"/>
        <v>上walk▲</v>
      </c>
      <c r="U158" s="500" t="str">
        <f>IF(終値!A158="","",BB_スイング!BT158)</f>
        <v>二番天井M形成</v>
      </c>
      <c r="V158" s="508">
        <f>IF($D158="","",IFERROR(出来高!E158/AVERAGE(出来高!E158:I158),""))</f>
        <v>0.70802655292018724</v>
      </c>
      <c r="W158" s="509"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4">
        <f t="shared" si="31"/>
        <v>22</v>
      </c>
      <c r="Y158" s="501">
        <f t="shared" si="26"/>
        <v>32930</v>
      </c>
      <c r="Z158" s="501">
        <f t="shared" si="27"/>
        <v>31789.389119261676</v>
      </c>
      <c r="AA158" s="501">
        <f t="shared" si="28"/>
        <v>29585.5</v>
      </c>
      <c r="AB158" s="501">
        <f t="shared" si="32"/>
        <v>33993.278238523351</v>
      </c>
      <c r="AC158" s="507">
        <f t="shared" si="29"/>
        <v>0.32</v>
      </c>
      <c r="AD158" s="501">
        <f>IF($D158="","",MIN(終値!E158:I158))</f>
        <v>31000</v>
      </c>
      <c r="AE158" s="503">
        <f t="shared" si="30"/>
        <v>22.098420000000001</v>
      </c>
    </row>
    <row r="159" spans="1:31" ht="24">
      <c r="A159" s="500" t="str">
        <f>IF(終値!A159="","",HYPERLINK("https://kabutan.jp/stock/?code="&amp;終値!A159,"📈"))</f>
        <v>📈</v>
      </c>
      <c r="B159" s="500" t="str">
        <f>IF(終値!A159="","",終値!A159)</f>
        <v>3891</v>
      </c>
      <c r="C159" s="499" t="str">
        <f>IF(終値!A159="","",終値!B159)</f>
        <v>ニッポン高度紙工業</v>
      </c>
      <c r="D159" s="501">
        <f>IF(終値!A159="","",終値!E159)</f>
        <v>7180</v>
      </c>
      <c r="E159" s="501">
        <f>IF($D159="","",AVERAGE(終値!E159:X159))</f>
        <v>7085</v>
      </c>
      <c r="F159" s="502">
        <f>IF($D159="","",STDEVP(終値!E159:X159))</f>
        <v>687.05531072832844</v>
      </c>
      <c r="G159" s="501">
        <f>IF($D159="","",$E159+BB設定!$B$4*$F159)</f>
        <v>8459.1106214566571</v>
      </c>
      <c r="H159" s="501">
        <f>IF($D159="","",$E159+BB設定!$B$5*$F159)</f>
        <v>7772.0553107283285</v>
      </c>
      <c r="I159" s="501">
        <f>IF($D159="","",$E159-BB設定!$B$5*$F159)</f>
        <v>6397.9446892716715</v>
      </c>
      <c r="J159" s="501">
        <f>IF($D159="","",$E159-BB設定!$B$4*$F159)</f>
        <v>5710.8893785433429</v>
      </c>
      <c r="K159" s="506">
        <f t="shared" si="22"/>
        <v>0.53456781372495799</v>
      </c>
      <c r="L159" s="505">
        <f t="shared" si="23"/>
        <v>38.78929065509265</v>
      </c>
      <c r="M159" s="505">
        <f>IF($D159="","",IFERROR(MIN(BB_帯幅!B159:AP159)*100,""))</f>
        <v>26.668655631433303</v>
      </c>
      <c r="N159" s="500" t="str">
        <f>IF($L159="","",IF($L159&lt;=$M159*BB設定!$B$7,"スクイーズ★",IF($L159&lt;=$M159*1.3,"収縮","－")))</f>
        <v>－</v>
      </c>
      <c r="O159" s="500" t="str">
        <f>IF($D159="","",IF(AND(BB_帯幅!B159&gt;BB_帯幅!C159,BB_帯幅!C159&gt;BB_帯幅!D159),"拡大↑","縮小↓"))</f>
        <v>縮小↓</v>
      </c>
      <c r="P159" s="500" t="str">
        <f t="shared" si="24"/>
        <v>バンド内</v>
      </c>
      <c r="Q159" s="503">
        <f>IF($D159="","",IFERROR(100-100/(1+SUMPRODUCT((終値!E159:R159&gt;終値!F159:S159)*(終値!E159:R159-終値!F159:S159))/SUMPRODUCT((終値!E159:R159&lt;終値!F159:S159)*(終値!F159:S159-終値!E159:R159))),100))</f>
        <v>43.223443223443219</v>
      </c>
      <c r="R159" s="503">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67.082584200479829</v>
      </c>
      <c r="S159" s="500"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強気div▲</v>
      </c>
      <c r="T159" s="500" t="str">
        <f t="shared" si="25"/>
        <v>－</v>
      </c>
      <c r="U159" s="500" t="str">
        <f>IF(終値!A159="","",BB_スイング!BT159)</f>
        <v>－</v>
      </c>
      <c r="V159" s="508">
        <f>IF($D159="","",IFERROR(出来高!E159/AVERAGE(出来高!E159:I159),""))</f>
        <v>0.54440815056773995</v>
      </c>
      <c r="W159" s="509"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○反発(ダイバ)買</v>
      </c>
      <c r="X159" s="504">
        <f t="shared" si="31"/>
        <v>35</v>
      </c>
      <c r="Y159" s="501">
        <f t="shared" si="26"/>
        <v>7180</v>
      </c>
      <c r="Z159" s="501">
        <f t="shared" si="27"/>
        <v>7772.0553107283285</v>
      </c>
      <c r="AA159" s="501">
        <f t="shared" si="28"/>
        <v>7085</v>
      </c>
      <c r="AB159" s="501">
        <f t="shared" si="32"/>
        <v>8459.1106214566571</v>
      </c>
      <c r="AC159" s="507">
        <f t="shared" si="29"/>
        <v>13.46</v>
      </c>
      <c r="AD159" s="501">
        <f>IF($D159="","",MIN(終値!E159:I159))</f>
        <v>6730</v>
      </c>
      <c r="AE159" s="503">
        <f t="shared" si="30"/>
        <v>35.098410000000001</v>
      </c>
    </row>
    <row r="160" spans="1:31">
      <c r="A160" s="500" t="str">
        <f>IF(終値!A160="","",HYPERLINK("https://kabutan.jp/stock/?code="&amp;終値!A160,"📈"))</f>
        <v>📈</v>
      </c>
      <c r="B160" s="500" t="str">
        <f>IF(終値!A160="","",終値!A160)</f>
        <v>4373</v>
      </c>
      <c r="C160" s="499" t="str">
        <f>IF(終値!A160="","",終値!B160)</f>
        <v>シンプレクスＨＤ</v>
      </c>
      <c r="D160" s="501">
        <f>IF(終値!A160="","",終値!E160)</f>
        <v>1083</v>
      </c>
      <c r="E160" s="501">
        <f>IF($D160="","",AVERAGE(終値!E160:X160))</f>
        <v>1081.5</v>
      </c>
      <c r="F160" s="502">
        <f>IF($D160="","",STDEVP(終値!E160:X160))</f>
        <v>45.489009661675425</v>
      </c>
      <c r="G160" s="501">
        <f>IF($D160="","",$E160+BB設定!$B$4*$F160)</f>
        <v>1172.478019323351</v>
      </c>
      <c r="H160" s="501">
        <f>IF($D160="","",$E160+BB設定!$B$5*$F160)</f>
        <v>1126.9890096616755</v>
      </c>
      <c r="I160" s="501">
        <f>IF($D160="","",$E160-BB設定!$B$5*$F160)</f>
        <v>1036.0109903383245</v>
      </c>
      <c r="J160" s="501">
        <f>IF($D160="","",$E160-BB設定!$B$4*$F160)</f>
        <v>990.52198067664915</v>
      </c>
      <c r="K160" s="506">
        <f t="shared" si="22"/>
        <v>0.50824374948562412</v>
      </c>
      <c r="L160" s="505">
        <f t="shared" si="23"/>
        <v>16.82441411435061</v>
      </c>
      <c r="M160" s="505">
        <f>IF($D160="","",IFERROR(MIN(BB_帯幅!B160:AP160)*100,""))</f>
        <v>16.824414114350596</v>
      </c>
      <c r="N160" s="500" t="str">
        <f>IF($L160="","",IF($L160&lt;=$M160*BB設定!$B$7,"スクイーズ★",IF($L160&lt;=$M160*1.3,"収縮","－")))</f>
        <v>スクイーズ★</v>
      </c>
      <c r="O160" s="500" t="str">
        <f>IF($D160="","",IF(AND(BB_帯幅!B160&gt;BB_帯幅!C160,BB_帯幅!C160&gt;BB_帯幅!D160),"拡大↑","縮小↓"))</f>
        <v>縮小↓</v>
      </c>
      <c r="P160" s="500" t="str">
        <f t="shared" si="24"/>
        <v>バンド内</v>
      </c>
      <c r="Q160" s="503">
        <f>IF($D160="","",IFERROR(100-100/(1+SUMPRODUCT((終値!E160:R160&gt;終値!F160:S160)*(終値!E160:R160-終値!F160:S160))/SUMPRODUCT((終値!E160:R160&lt;終値!F160:S160)*(終値!F160:S160-終値!E160:R160))),100))</f>
        <v>56.986301369863007</v>
      </c>
      <c r="R160" s="503">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63.051887706120525</v>
      </c>
      <c r="S160" s="500"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0" t="str">
        <f t="shared" si="25"/>
        <v>－</v>
      </c>
      <c r="U160" s="500" t="str">
        <f>IF(終値!A160="","",BB_スイング!BT160)</f>
        <v>二番底W形成</v>
      </c>
      <c r="V160" s="508">
        <f>IF($D160="","",IFERROR(出来高!E160/AVERAGE(出来高!E160:I160),""))</f>
        <v>0.95608751871512176</v>
      </c>
      <c r="W160" s="509"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△二番底形成</v>
      </c>
      <c r="X160" s="504">
        <f t="shared" si="31"/>
        <v>45</v>
      </c>
      <c r="Y160" s="501">
        <f t="shared" si="26"/>
        <v>1083</v>
      </c>
      <c r="Z160" s="501">
        <f t="shared" si="27"/>
        <v>1126.9890096616755</v>
      </c>
      <c r="AA160" s="501">
        <f t="shared" si="28"/>
        <v>1081.5</v>
      </c>
      <c r="AB160" s="501">
        <f t="shared" si="32"/>
        <v>1172.478019323351</v>
      </c>
      <c r="AC160" s="507">
        <f t="shared" si="29"/>
        <v>20</v>
      </c>
      <c r="AD160" s="501">
        <f>IF($D160="","",MIN(終値!E160:I160))</f>
        <v>1069</v>
      </c>
      <c r="AE160" s="503">
        <f t="shared" si="30"/>
        <v>45.098399999999998</v>
      </c>
    </row>
    <row r="161" spans="1:31">
      <c r="A161" s="500" t="str">
        <f>IF(終値!A161="","",HYPERLINK("https://kabutan.jp/stock/?code="&amp;終値!A161,"📈"))</f>
        <v>📈</v>
      </c>
      <c r="B161" s="500" t="str">
        <f>IF(終値!A161="","",終値!A161)</f>
        <v>8892</v>
      </c>
      <c r="C161" s="499" t="str">
        <f>IF(終値!A161="","",終値!B161)</f>
        <v>エスコン</v>
      </c>
      <c r="D161" s="501">
        <f>IF(終値!A161="","",終値!E161)</f>
        <v>1075</v>
      </c>
      <c r="E161" s="501">
        <f>IF($D161="","",AVERAGE(終値!E161:X161))</f>
        <v>1101.1578947368421</v>
      </c>
      <c r="F161" s="502">
        <f>IF($D161="","",STDEVP(終値!E161:X161))</f>
        <v>19.353398063918871</v>
      </c>
      <c r="G161" s="501">
        <f>IF($D161="","",$E161+BB設定!$B$4*$F161)</f>
        <v>1139.8646908646799</v>
      </c>
      <c r="H161" s="501">
        <f>IF($D161="","",$E161+BB設定!$B$5*$F161)</f>
        <v>1120.5112928007609</v>
      </c>
      <c r="I161" s="501">
        <f>IF($D161="","",$E161-BB設定!$B$5*$F161)</f>
        <v>1081.8044966729233</v>
      </c>
      <c r="J161" s="501">
        <f>IF($D161="","",$E161-BB設定!$B$4*$F161)</f>
        <v>1062.4510986090042</v>
      </c>
      <c r="K161" s="506">
        <f t="shared" si="22"/>
        <v>0.16210204210069731</v>
      </c>
      <c r="L161" s="505">
        <f t="shared" si="23"/>
        <v>7.0301990864058777</v>
      </c>
      <c r="M161" s="505">
        <f>IF($D161="","",IFERROR(MIN(BB_帯幅!B161:AP161)*100,""))</f>
        <v>4.8352842772227307</v>
      </c>
      <c r="N161" s="500" t="str">
        <f>IF($L161="","",IF($L161&lt;=$M161*BB設定!$B$7,"スクイーズ★",IF($L161&lt;=$M161*1.3,"収縮","－")))</f>
        <v>－</v>
      </c>
      <c r="O161" s="500" t="str">
        <f>IF($D161="","",IF(AND(BB_帯幅!B161&gt;BB_帯幅!C161,BB_帯幅!C161&gt;BB_帯幅!D161),"拡大↑","縮小↓"))</f>
        <v>拡大↑</v>
      </c>
      <c r="P161" s="500" t="str">
        <f t="shared" si="24"/>
        <v>-1σ下</v>
      </c>
      <c r="Q161" s="503">
        <f>IF($D161="","",IFERROR(100-100/(1+SUMPRODUCT((終値!E161:R161&gt;終値!F161:S161)*(終値!E161:R161-終値!F161:S161))/SUMPRODUCT((終値!E161:R161&lt;終値!F161:S161)*(終値!F161:S161-終値!E161:R161))),100))</f>
        <v>49.139414802065403</v>
      </c>
      <c r="R161" s="503">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39.92195956468683</v>
      </c>
      <c r="S161" s="500"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0" t="str">
        <f t="shared" si="25"/>
        <v>下walk▼</v>
      </c>
      <c r="U161" s="500" t="str">
        <f>IF(終値!A161="","",BB_スイング!BT161)</f>
        <v>二番底W形成</v>
      </c>
      <c r="V161" s="508">
        <f>IF($D161="","",IFERROR(出来高!E161/AVERAGE(出来高!E161:I161),""))</f>
        <v>0.45174181217965426</v>
      </c>
      <c r="W161" s="509"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△二番底形成</v>
      </c>
      <c r="X161" s="504">
        <f t="shared" si="31"/>
        <v>0</v>
      </c>
      <c r="Y161" s="501">
        <f t="shared" si="26"/>
        <v>1075</v>
      </c>
      <c r="Z161" s="501">
        <f t="shared" si="27"/>
        <v>1120.5112928007609</v>
      </c>
      <c r="AA161" s="501">
        <f t="shared" si="28"/>
        <v>1068</v>
      </c>
      <c r="AB161" s="501">
        <f t="shared" si="32"/>
        <v>1139.8646908646799</v>
      </c>
      <c r="AC161" s="507">
        <f t="shared" si="29"/>
        <v>9.27</v>
      </c>
      <c r="AD161" s="501">
        <f>IF($D161="","",MIN(終値!E161:I161))</f>
        <v>1068</v>
      </c>
      <c r="AE161" s="503">
        <f t="shared" si="30"/>
        <v>9.8390000000000005E-2</v>
      </c>
    </row>
    <row r="162" spans="1:31">
      <c r="A162" s="500" t="str">
        <f>IF(終値!A162="","",HYPERLINK("https://kabutan.jp/stock/?code="&amp;終値!A162,"📈"))</f>
        <v>📈</v>
      </c>
      <c r="B162" s="500" t="str">
        <f>IF(終値!A162="","",終値!A162)</f>
        <v>9687</v>
      </c>
      <c r="C162" s="499" t="str">
        <f>IF(終値!A162="","",終値!B162)</f>
        <v>ＫＳＫ</v>
      </c>
      <c r="D162" s="501">
        <f>IF(終値!A162="","",終値!E162)</f>
        <v>4395</v>
      </c>
      <c r="E162" s="501">
        <f>IF($D162="","",AVERAGE(終値!E162:X162))</f>
        <v>4434.7368421052633</v>
      </c>
      <c r="F162" s="502">
        <f>IF($D162="","",STDEVP(終値!E162:X162))</f>
        <v>72.719245338901032</v>
      </c>
      <c r="G162" s="501">
        <f>IF($D162="","",$E162+BB設定!$B$4*$F162)</f>
        <v>4580.1753327830656</v>
      </c>
      <c r="H162" s="501">
        <f>IF($D162="","",$E162+BB設定!$B$5*$F162)</f>
        <v>4507.456087444164</v>
      </c>
      <c r="I162" s="501">
        <f>IF($D162="","",$E162-BB設定!$B$5*$F162)</f>
        <v>4362.0175967663627</v>
      </c>
      <c r="J162" s="501">
        <f>IF($D162="","",$E162-BB設定!$B$4*$F162)</f>
        <v>4289.2983514274611</v>
      </c>
      <c r="K162" s="506">
        <f t="shared" si="22"/>
        <v>0.36338952666493729</v>
      </c>
      <c r="L162" s="505">
        <f t="shared" si="23"/>
        <v>6.5590584449993914</v>
      </c>
      <c r="M162" s="505">
        <f>IF($D162="","",IFERROR(MIN(BB_帯幅!B162:AP162)*100,""))</f>
        <v>1.5671813781977413</v>
      </c>
      <c r="N162" s="500" t="str">
        <f>IF($L162="","",IF($L162&lt;=$M162*BB設定!$B$7,"スクイーズ★",IF($L162&lt;=$M162*1.3,"収縮","－")))</f>
        <v>－</v>
      </c>
      <c r="O162" s="500" t="str">
        <f>IF($D162="","",IF(AND(BB_帯幅!B162&gt;BB_帯幅!C162,BB_帯幅!C162&gt;BB_帯幅!D162),"拡大↑","縮小↓"))</f>
        <v>縮小↓</v>
      </c>
      <c r="P162" s="500" t="str">
        <f t="shared" si="24"/>
        <v>バンド内</v>
      </c>
      <c r="Q162" s="503">
        <f>IF($D162="","",IFERROR(100-100/(1+SUMPRODUCT((終値!E162:R162&gt;終値!F162:S162)*(終値!E162:R162-終値!F162:S162))/SUMPRODUCT((終値!E162:R162&lt;終値!F162:S162)*(終値!F162:S162-終値!E162:R162))),100))</f>
        <v>50</v>
      </c>
      <c r="R162" s="503">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48.882809819944228</v>
      </c>
      <c r="S162" s="500"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v>
      </c>
      <c r="T162" s="500" t="str">
        <f t="shared" si="25"/>
        <v>－</v>
      </c>
      <c r="U162" s="500" t="str">
        <f>IF(終値!A162="","",BB_スイング!BT162)</f>
        <v>－</v>
      </c>
      <c r="V162" s="508">
        <f>IF($D162="","",IFERROR(出来高!E162/AVERAGE(出来高!E162:I162),""))</f>
        <v>0.64102564102564108</v>
      </c>
      <c r="W162" s="509"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4">
        <f t="shared" si="31"/>
        <v>0</v>
      </c>
      <c r="Y162" s="501">
        <f t="shared" si="26"/>
        <v>4395</v>
      </c>
      <c r="Z162" s="501">
        <f t="shared" si="27"/>
        <v>4507.456087444164</v>
      </c>
      <c r="AA162" s="501">
        <f t="shared" si="28"/>
        <v>4375</v>
      </c>
      <c r="AB162" s="501">
        <f t="shared" si="32"/>
        <v>4580.1753327830656</v>
      </c>
      <c r="AC162" s="507">
        <f t="shared" si="29"/>
        <v>9.26</v>
      </c>
      <c r="AD162" s="501">
        <f>IF($D162="","",MIN(終値!E162:I162))</f>
        <v>4375</v>
      </c>
      <c r="AE162" s="503">
        <f t="shared" si="30"/>
        <v>9.8379999999999995E-2</v>
      </c>
    </row>
    <row r="163" spans="1:31">
      <c r="A163" s="500" t="str">
        <f>IF(終値!A163="","",HYPERLINK("https://kabutan.jp/stock/?code="&amp;終値!A163,"📈"))</f>
        <v>📈</v>
      </c>
      <c r="B163" s="500" t="str">
        <f>IF(終値!A163="","",終値!A163)</f>
        <v>1930</v>
      </c>
      <c r="C163" s="499" t="str">
        <f>IF(終値!A163="","",終値!B163)</f>
        <v>北陸電気工事</v>
      </c>
      <c r="D163" s="501">
        <f>IF(終値!A163="","",終値!E163)</f>
        <v>1521</v>
      </c>
      <c r="E163" s="501">
        <f>IF($D163="","",AVERAGE(終値!E163:X163))</f>
        <v>1557.65</v>
      </c>
      <c r="F163" s="502">
        <f>IF($D163="","",STDEVP(終値!E163:X163))</f>
        <v>62.768045214105555</v>
      </c>
      <c r="G163" s="501">
        <f>IF($D163="","",$E163+BB設定!$B$4*$F163)</f>
        <v>1683.1860904282112</v>
      </c>
      <c r="H163" s="501">
        <f>IF($D163="","",$E163+BB設定!$B$5*$F163)</f>
        <v>1620.4180452141056</v>
      </c>
      <c r="I163" s="501">
        <f>IF($D163="","",$E163-BB設定!$B$5*$F163)</f>
        <v>1494.8819547858945</v>
      </c>
      <c r="J163" s="501">
        <f>IF($D163="","",$E163-BB設定!$B$4*$F163)</f>
        <v>1432.113909571789</v>
      </c>
      <c r="K163" s="506">
        <f t="shared" si="22"/>
        <v>0.3540260419334999</v>
      </c>
      <c r="L163" s="505">
        <f t="shared" si="23"/>
        <v>16.118651870216169</v>
      </c>
      <c r="M163" s="505">
        <f>IF($D163="","",IFERROR(MIN(BB_帯幅!B163:AP163)*100,""))</f>
        <v>8.3683894663822453</v>
      </c>
      <c r="N163" s="500" t="str">
        <f>IF($L163="","",IF($L163&lt;=$M163*BB設定!$B$7,"スクイーズ★",IF($L163&lt;=$M163*1.3,"収縮","－")))</f>
        <v>－</v>
      </c>
      <c r="O163" s="500" t="str">
        <f>IF($D163="","",IF(AND(BB_帯幅!B163&gt;BB_帯幅!C163,BB_帯幅!C163&gt;BB_帯幅!D163),"拡大↑","縮小↓"))</f>
        <v>縮小↓</v>
      </c>
      <c r="P163" s="500" t="str">
        <f t="shared" si="24"/>
        <v>バンド内</v>
      </c>
      <c r="Q163" s="503">
        <f>IF($D163="","",IFERROR(100-100/(1+SUMPRODUCT((終値!E163:R163&gt;終値!F163:S163)*(終値!E163:R163-終値!F163:S163))/SUMPRODUCT((終値!E163:R163&lt;終値!F163:S163)*(終値!F163:S163-終値!E163:R163))),100))</f>
        <v>38.46153846153846</v>
      </c>
      <c r="R163" s="503">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28.902058922956812</v>
      </c>
      <c r="S163" s="500"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0" t="str">
        <f t="shared" si="25"/>
        <v>－</v>
      </c>
      <c r="U163" s="500" t="str">
        <f>IF(終値!A163="","",BB_スイング!BT163)</f>
        <v>二番天井M形成</v>
      </c>
      <c r="V163" s="508">
        <f>IF($D163="","",IFERROR(出来高!E163/AVERAGE(出来高!E163:I163),""))</f>
        <v>0.60578478964401294</v>
      </c>
      <c r="W163" s="509"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4">
        <f t="shared" si="31"/>
        <v>0</v>
      </c>
      <c r="Y163" s="501">
        <f t="shared" si="26"/>
        <v>1521</v>
      </c>
      <c r="Z163" s="501">
        <f t="shared" si="27"/>
        <v>1620.4180452141056</v>
      </c>
      <c r="AA163" s="501">
        <f t="shared" si="28"/>
        <v>1468</v>
      </c>
      <c r="AB163" s="501">
        <f t="shared" si="32"/>
        <v>1683.1860904282112</v>
      </c>
      <c r="AC163" s="507">
        <f t="shared" si="29"/>
        <v>3.06</v>
      </c>
      <c r="AD163" s="501">
        <f>IF($D163="","",MIN(終値!E163:I163))</f>
        <v>1468</v>
      </c>
      <c r="AE163" s="503">
        <f t="shared" si="30"/>
        <v>9.8369999999999999E-2</v>
      </c>
    </row>
    <row r="164" spans="1:31" ht="24">
      <c r="A164" s="500" t="str">
        <f>IF(終値!A164="","",HYPERLINK("https://kabutan.jp/stock/?code="&amp;終値!A164,"📈"))</f>
        <v>📈</v>
      </c>
      <c r="B164" s="500" t="str">
        <f>IF(終値!A164="","",終値!A164)</f>
        <v>8704</v>
      </c>
      <c r="C164" s="499" t="str">
        <f>IF(終値!A164="","",終値!B164)</f>
        <v>トレイダーズＨＬＤＧＳ</v>
      </c>
      <c r="D164" s="501">
        <f>IF(終値!A164="","",終値!E164)</f>
        <v>1323</v>
      </c>
      <c r="E164" s="501">
        <f>IF($D164="","",AVERAGE(終値!E164:X164))</f>
        <v>1265.1500000000001</v>
      </c>
      <c r="F164" s="502">
        <f>IF($D164="","",STDEVP(終値!E164:X164))</f>
        <v>38.672050630914313</v>
      </c>
      <c r="G164" s="501">
        <f>IF($D164="","",$E164+BB設定!$B$4*$F164)</f>
        <v>1342.4941012618287</v>
      </c>
      <c r="H164" s="501">
        <f>IF($D164="","",$E164+BB設定!$B$5*$F164)</f>
        <v>1303.8220506309144</v>
      </c>
      <c r="I164" s="501">
        <f>IF($D164="","",$E164-BB設定!$B$5*$F164)</f>
        <v>1226.4779493690858</v>
      </c>
      <c r="J164" s="501">
        <f>IF($D164="","",$E164-BB設定!$B$4*$F164)</f>
        <v>1187.8058987381714</v>
      </c>
      <c r="K164" s="506">
        <f t="shared" si="22"/>
        <v>0.87397809953317285</v>
      </c>
      <c r="L164" s="505">
        <f t="shared" si="23"/>
        <v>12.226866578955642</v>
      </c>
      <c r="M164" s="505">
        <f>IF($D164="","",IFERROR(MIN(BB_帯幅!B164:AP164)*100,""))</f>
        <v>8.8151109442649105</v>
      </c>
      <c r="N164" s="500" t="str">
        <f>IF($L164="","",IF($L164&lt;=$M164*BB設定!$B$7,"スクイーズ★",IF($L164&lt;=$M164*1.3,"収縮","－")))</f>
        <v>－</v>
      </c>
      <c r="O164" s="500" t="str">
        <f>IF($D164="","",IF(AND(BB_帯幅!B164&gt;BB_帯幅!C164,BB_帯幅!C164&gt;BB_帯幅!D164),"拡大↑","縮小↓"))</f>
        <v>拡大↑</v>
      </c>
      <c r="P164" s="500" t="str">
        <f t="shared" si="24"/>
        <v>+1σ上</v>
      </c>
      <c r="Q164" s="503">
        <f>IF($D164="","",IFERROR(100-100/(1+SUMPRODUCT((終値!E164:R164&gt;終値!F164:S164)*(終値!E164:R164-終値!F164:S164))/SUMPRODUCT((終値!E164:R164&lt;終値!F164:S164)*(終値!F164:S164-終値!E164:R164))),100))</f>
        <v>51.235955056179776</v>
      </c>
      <c r="R164" s="503">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61.072707353414486</v>
      </c>
      <c r="S164" s="500"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弱気div▼</v>
      </c>
      <c r="T164" s="500" t="str">
        <f t="shared" si="25"/>
        <v>上walk▲</v>
      </c>
      <c r="U164" s="500" t="str">
        <f>IF(終値!A164="","",BB_スイング!BT164)</f>
        <v>二番底W▲</v>
      </c>
      <c r="V164" s="508">
        <f>IF($D164="","",IFERROR(出来高!E164/AVERAGE(出来高!E164:I164),""))</f>
        <v>0.37680260505504731</v>
      </c>
      <c r="W164" s="509"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△二番底買(確)</v>
      </c>
      <c r="X164" s="504">
        <f t="shared" si="31"/>
        <v>57</v>
      </c>
      <c r="Y164" s="501">
        <f t="shared" si="26"/>
        <v>1323</v>
      </c>
      <c r="Z164" s="501">
        <f t="shared" si="27"/>
        <v>1303.8220506309144</v>
      </c>
      <c r="AA164" s="501">
        <f t="shared" si="28"/>
        <v>1265.1500000000001</v>
      </c>
      <c r="AB164" s="501">
        <f t="shared" si="32"/>
        <v>1342.4941012618287</v>
      </c>
      <c r="AC164" s="507">
        <f t="shared" si="29"/>
        <v>0.34</v>
      </c>
      <c r="AD164" s="501">
        <f>IF($D164="","",MIN(終値!E164:I164))</f>
        <v>1247</v>
      </c>
      <c r="AE164" s="503">
        <f t="shared" si="30"/>
        <v>57.09836</v>
      </c>
    </row>
    <row r="165" spans="1:31" ht="24">
      <c r="A165" s="500" t="str">
        <f>IF(終値!A165="","",HYPERLINK("https://kabutan.jp/stock/?code="&amp;終値!A165,"📈"))</f>
        <v>📈</v>
      </c>
      <c r="B165" s="500" t="str">
        <f>IF(終値!A165="","",終値!A165)</f>
        <v>4733</v>
      </c>
      <c r="C165" s="499" t="str">
        <f>IF(終値!A165="","",終値!B165)</f>
        <v>オービックビジネスＣ</v>
      </c>
      <c r="D165" s="501">
        <f>IF(終値!A165="","",終値!E165)</f>
        <v>7899</v>
      </c>
      <c r="E165" s="501">
        <f>IF($D165="","",AVERAGE(終値!E165:X165))</f>
        <v>7298.55</v>
      </c>
      <c r="F165" s="502">
        <f>IF($D165="","",STDEVP(終値!E165:X165))</f>
        <v>694.56752551497834</v>
      </c>
      <c r="G165" s="501">
        <f>IF($D165="","",$E165+BB設定!$B$4*$F165)</f>
        <v>8687.6850510299573</v>
      </c>
      <c r="H165" s="501">
        <f>IF($D165="","",$E165+BB設定!$B$5*$F165)</f>
        <v>7993.1175255149783</v>
      </c>
      <c r="I165" s="501">
        <f>IF($D165="","",$E165-BB設定!$B$5*$F165)</f>
        <v>6603.9824744850221</v>
      </c>
      <c r="J165" s="501">
        <f>IF($D165="","",$E165-BB設定!$B$4*$F165)</f>
        <v>5909.414948970043</v>
      </c>
      <c r="K165" s="506">
        <f t="shared" si="22"/>
        <v>0.71612369494053274</v>
      </c>
      <c r="L165" s="505">
        <f t="shared" si="23"/>
        <v>38.066055614607208</v>
      </c>
      <c r="M165" s="505">
        <f>IF($D165="","",IFERROR(MIN(BB_帯幅!B165:AP165)*100,""))</f>
        <v>6.7904327425903137</v>
      </c>
      <c r="N165" s="500" t="str">
        <f>IF($L165="","",IF($L165&lt;=$M165*BB設定!$B$7,"スクイーズ★",IF($L165&lt;=$M165*1.3,"収縮","－")))</f>
        <v>－</v>
      </c>
      <c r="O165" s="500" t="str">
        <f>IF($D165="","",IF(AND(BB_帯幅!B165&gt;BB_帯幅!C165,BB_帯幅!C165&gt;BB_帯幅!D165),"拡大↑","縮小↓"))</f>
        <v>縮小↓</v>
      </c>
      <c r="P165" s="500" t="str">
        <f t="shared" si="24"/>
        <v>バンド内</v>
      </c>
      <c r="Q165" s="503">
        <f>IF($D165="","",IFERROR(100-100/(1+SUMPRODUCT((終値!E165:R165&gt;終値!F165:S165)*(終値!E165:R165-終値!F165:S165))/SUMPRODUCT((終値!E165:R165&lt;終値!F165:S165)*(終値!F165:S165-終値!E165:R165))),100))</f>
        <v>74.363386097728835</v>
      </c>
      <c r="R165" s="503">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87.935764208671188</v>
      </c>
      <c r="S165" s="500"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弱気div▼</v>
      </c>
      <c r="T165" s="500" t="str">
        <f t="shared" si="25"/>
        <v>－</v>
      </c>
      <c r="U165" s="500" t="str">
        <f>IF(終値!A165="","",BB_スイング!BT165)</f>
        <v>－</v>
      </c>
      <c r="V165" s="508">
        <f>IF($D165="","",IFERROR(出来高!E165/AVERAGE(出来高!E165:I165),""))</f>
        <v>0.70701168614357257</v>
      </c>
      <c r="W165" s="509"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様子見</v>
      </c>
      <c r="X165" s="504">
        <f t="shared" si="31"/>
        <v>23</v>
      </c>
      <c r="Y165" s="501">
        <f t="shared" si="26"/>
        <v>7899</v>
      </c>
      <c r="Z165" s="501">
        <f t="shared" si="27"/>
        <v>7993.1175255149783</v>
      </c>
      <c r="AA165" s="501">
        <f t="shared" si="28"/>
        <v>7298.55</v>
      </c>
      <c r="AB165" s="501">
        <f t="shared" si="32"/>
        <v>8687.6850510299573</v>
      </c>
      <c r="AC165" s="507">
        <f t="shared" si="29"/>
        <v>1.31</v>
      </c>
      <c r="AD165" s="501">
        <f>IF($D165="","",MIN(終値!E165:I165))</f>
        <v>7712</v>
      </c>
      <c r="AE165" s="503">
        <f t="shared" si="30"/>
        <v>23.09835</v>
      </c>
    </row>
    <row r="166" spans="1:31">
      <c r="A166" s="500" t="str">
        <f>IF(終値!A166="","",HYPERLINK("https://kabutan.jp/stock/?code="&amp;終値!A166,"📈"))</f>
        <v>📈</v>
      </c>
      <c r="B166" s="500" t="str">
        <f>IF(終値!A166="","",終値!A166)</f>
        <v>9733</v>
      </c>
      <c r="C166" s="499" t="str">
        <f>IF(終値!A166="","",終値!B166)</f>
        <v>ナガセ</v>
      </c>
      <c r="D166" s="501">
        <f>IF(終値!A166="","",終値!E166)</f>
        <v>2284</v>
      </c>
      <c r="E166" s="501">
        <f>IF($D166="","",AVERAGE(終値!E166:X166))</f>
        <v>2334.4499999999998</v>
      </c>
      <c r="F166" s="502">
        <f>IF($D166="","",STDEVP(終値!E166:X166))</f>
        <v>32.690174364784284</v>
      </c>
      <c r="G166" s="501">
        <f>IF($D166="","",$E166+BB設定!$B$4*$F166)</f>
        <v>2399.8303487295684</v>
      </c>
      <c r="H166" s="501">
        <f>IF($D166="","",$E166+BB設定!$B$5*$F166)</f>
        <v>2367.1401743647839</v>
      </c>
      <c r="I166" s="501">
        <f>IF($D166="","",$E166-BB設定!$B$5*$F166)</f>
        <v>2301.7598256352157</v>
      </c>
      <c r="J166" s="501">
        <f>IF($D166="","",$E166-BB設定!$B$4*$F166)</f>
        <v>2269.0696512704312</v>
      </c>
      <c r="K166" s="506">
        <f t="shared" si="22"/>
        <v>0.11418070582129253</v>
      </c>
      <c r="L166" s="505">
        <f t="shared" si="23"/>
        <v>5.6013492453955838</v>
      </c>
      <c r="M166" s="505">
        <f>IF($D166="","",IFERROR(MIN(BB_帯幅!B166:AP166)*100,""))</f>
        <v>4.4857319023621205</v>
      </c>
      <c r="N166" s="500" t="str">
        <f>IF($L166="","",IF($L166&lt;=$M166*BB設定!$B$7,"スクイーズ★",IF($L166&lt;=$M166*1.3,"収縮","－")))</f>
        <v>収縮</v>
      </c>
      <c r="O166" s="500" t="str">
        <f>IF($D166="","",IF(AND(BB_帯幅!B166&gt;BB_帯幅!C166,BB_帯幅!C166&gt;BB_帯幅!D166),"拡大↑","縮小↓"))</f>
        <v>縮小↓</v>
      </c>
      <c r="P166" s="500" t="str">
        <f t="shared" si="24"/>
        <v>-1σ下</v>
      </c>
      <c r="Q166" s="503">
        <f>IF($D166="","",IFERROR(100-100/(1+SUMPRODUCT((終値!E166:R166&gt;終値!F166:S166)*(終値!E166:R166-終値!F166:S166))/SUMPRODUCT((終値!E166:R166&lt;終値!F166:S166)*(終値!F166:S166-終値!E166:R166))),100))</f>
        <v>37.906137184115522</v>
      </c>
      <c r="R166" s="503">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42.970535781070204</v>
      </c>
      <c r="S166" s="500"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0" t="str">
        <f t="shared" si="25"/>
        <v>下walk▼</v>
      </c>
      <c r="U166" s="500" t="str">
        <f>IF(終値!A166="","",BB_スイング!BT166)</f>
        <v>二番天井M形成</v>
      </c>
      <c r="V166" s="508">
        <f>IF($D166="","",IFERROR(出来高!E166/AVERAGE(出来高!E166:I166),""))</f>
        <v>0.38592508513053347</v>
      </c>
      <c r="W166" s="509"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▼二番天井警戒</v>
      </c>
      <c r="X166" s="504">
        <f t="shared" si="31"/>
        <v>0</v>
      </c>
      <c r="Y166" s="501">
        <f t="shared" si="26"/>
        <v>2284</v>
      </c>
      <c r="Z166" s="501">
        <f t="shared" si="27"/>
        <v>2367.1401743647839</v>
      </c>
      <c r="AA166" s="501">
        <f t="shared" si="28"/>
        <v>2282</v>
      </c>
      <c r="AB166" s="501">
        <f t="shared" si="32"/>
        <v>2399.8303487295684</v>
      </c>
      <c r="AC166" s="507">
        <f t="shared" si="29"/>
        <v>20</v>
      </c>
      <c r="AD166" s="501">
        <f>IF($D166="","",MIN(終値!E166:I166))</f>
        <v>2282</v>
      </c>
      <c r="AE166" s="503">
        <f t="shared" si="30"/>
        <v>9.8339999999999997E-2</v>
      </c>
    </row>
    <row r="167" spans="1:31">
      <c r="A167" s="500" t="str">
        <f>IF(終値!A167="","",HYPERLINK("https://kabutan.jp/stock/?code="&amp;終値!A167,"📈"))</f>
        <v>📈</v>
      </c>
      <c r="B167" s="500" t="str">
        <f>IF(終値!A167="","",終値!A167)</f>
        <v>9551</v>
      </c>
      <c r="C167" s="499" t="str">
        <f>IF(終値!A167="","",終値!B167)</f>
        <v>メタウォーター</v>
      </c>
      <c r="D167" s="501">
        <f>IF(終値!A167="","",終値!E167)</f>
        <v>3290</v>
      </c>
      <c r="E167" s="501">
        <f>IF($D167="","",AVERAGE(終値!E167:X167))</f>
        <v>3183.9473684210525</v>
      </c>
      <c r="F167" s="502">
        <f>IF($D167="","",STDEVP(終値!E167:X167))</f>
        <v>77.689986948268711</v>
      </c>
      <c r="G167" s="501">
        <f>IF($D167="","",$E167+BB設定!$B$4*$F167)</f>
        <v>3339.3273423175897</v>
      </c>
      <c r="H167" s="501">
        <f>IF($D167="","",$E167+BB設定!$B$5*$F167)</f>
        <v>3261.6373553693211</v>
      </c>
      <c r="I167" s="501">
        <f>IF($D167="","",$E167-BB設定!$B$5*$F167)</f>
        <v>3106.2573814727839</v>
      </c>
      <c r="J167" s="501">
        <f>IF($D167="","",$E167-BB設定!$B$4*$F167)</f>
        <v>3028.5673945245153</v>
      </c>
      <c r="K167" s="506">
        <f t="shared" si="22"/>
        <v>0.84126866197559258</v>
      </c>
      <c r="L167" s="505">
        <f t="shared" si="23"/>
        <v>9.7602099480426716</v>
      </c>
      <c r="M167" s="505">
        <f>IF($D167="","",IFERROR(MIN(BB_帯幅!B167:AP167)*100,""))</f>
        <v>9.4339284656612961</v>
      </c>
      <c r="N167" s="500" t="str">
        <f>IF($L167="","",IF($L167&lt;=$M167*BB設定!$B$7,"スクイーズ★",IF($L167&lt;=$M167*1.3,"収縮","－")))</f>
        <v>スクイーズ★</v>
      </c>
      <c r="O167" s="500" t="str">
        <f>IF($D167="","",IF(AND(BB_帯幅!B167&gt;BB_帯幅!C167,BB_帯幅!C167&gt;BB_帯幅!D167),"拡大↑","縮小↓"))</f>
        <v>拡大↑</v>
      </c>
      <c r="P167" s="500" t="str">
        <f t="shared" si="24"/>
        <v>+1σ上</v>
      </c>
      <c r="Q167" s="503">
        <f>IF($D167="","",IFERROR(100-100/(1+SUMPRODUCT((終値!E167:R167&gt;終値!F167:S167)*(終値!E167:R167-終値!F167:S167))/SUMPRODUCT((終値!E167:R167&lt;終値!F167:S167)*(終値!F167:S167-終値!E167:R167))),100))</f>
        <v>50.418410041841</v>
      </c>
      <c r="R167" s="503">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49.408380296358921</v>
      </c>
      <c r="S167" s="500"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0" t="str">
        <f t="shared" si="25"/>
        <v>上walk▲</v>
      </c>
      <c r="U167" s="500" t="str">
        <f>IF(終値!A167="","",BB_スイング!BT167)</f>
        <v>－</v>
      </c>
      <c r="V167" s="508">
        <f>IF($D167="","",IFERROR(出来高!E167/AVERAGE(出来高!E167:I167),""))</f>
        <v>0.58498072858386174</v>
      </c>
      <c r="W167" s="509"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☆スクイーズ監視</v>
      </c>
      <c r="X167" s="504">
        <f t="shared" si="31"/>
        <v>57</v>
      </c>
      <c r="Y167" s="501">
        <f t="shared" si="26"/>
        <v>3290</v>
      </c>
      <c r="Z167" s="501">
        <f t="shared" si="27"/>
        <v>3261.6373553693211</v>
      </c>
      <c r="AA167" s="501">
        <f t="shared" si="28"/>
        <v>3183.9473684210525</v>
      </c>
      <c r="AB167" s="501">
        <f t="shared" si="32"/>
        <v>3339.3273423175897</v>
      </c>
      <c r="AC167" s="507">
        <f t="shared" si="29"/>
        <v>0.47</v>
      </c>
      <c r="AD167" s="501">
        <f>IF($D167="","",MIN(終値!E167:I167))</f>
        <v>3085</v>
      </c>
      <c r="AE167" s="503">
        <f t="shared" si="30"/>
        <v>57.098329999999997</v>
      </c>
    </row>
    <row r="168" spans="1:31">
      <c r="A168" s="500" t="str">
        <f>IF(終値!A168="","",HYPERLINK("https://kabutan.jp/stock/?code="&amp;終値!A168,"📈"))</f>
        <v>📈</v>
      </c>
      <c r="B168" s="500" t="str">
        <f>IF(終値!A168="","",終値!A168)</f>
        <v>2359</v>
      </c>
      <c r="C168" s="499" t="str">
        <f>IF(終値!A168="","",終値!B168)</f>
        <v>コア</v>
      </c>
      <c r="D168" s="501">
        <f>IF(終値!A168="","",終値!E168)</f>
        <v>2030</v>
      </c>
      <c r="E168" s="501">
        <f>IF($D168="","",AVERAGE(終値!E168:X168))</f>
        <v>2006.8421052631579</v>
      </c>
      <c r="F168" s="502">
        <f>IF($D168="","",STDEVP(終値!E168:X168))</f>
        <v>28.810201332705486</v>
      </c>
      <c r="G168" s="501">
        <f>IF($D168="","",$E168+BB設定!$B$4*$F168)</f>
        <v>2064.4625079285688</v>
      </c>
      <c r="H168" s="501">
        <f>IF($D168="","",$E168+BB設定!$B$5*$F168)</f>
        <v>2035.6523065958634</v>
      </c>
      <c r="I168" s="501">
        <f>IF($D168="","",$E168-BB設定!$B$5*$F168)</f>
        <v>1978.0319039304525</v>
      </c>
      <c r="J168" s="501">
        <f>IF($D168="","",$E168-BB設定!$B$4*$F168)</f>
        <v>1949.221702597747</v>
      </c>
      <c r="K168" s="506">
        <f t="shared" si="22"/>
        <v>0.70095221193884161</v>
      </c>
      <c r="L168" s="505">
        <f t="shared" si="23"/>
        <v>5.7423952302271539</v>
      </c>
      <c r="M168" s="505">
        <f>IF($D168="","",IFERROR(MIN(BB_帯幅!B168:AP168)*100,""))</f>
        <v>3.912777625775786</v>
      </c>
      <c r="N168" s="500" t="str">
        <f>IF($L168="","",IF($L168&lt;=$M168*BB設定!$B$7,"スクイーズ★",IF($L168&lt;=$M168*1.3,"収縮","－")))</f>
        <v>－</v>
      </c>
      <c r="O168" s="500" t="str">
        <f>IF($D168="","",IF(AND(BB_帯幅!B168&gt;BB_帯幅!C168,BB_帯幅!C168&gt;BB_帯幅!D168),"拡大↑","縮小↓"))</f>
        <v>縮小↓</v>
      </c>
      <c r="P168" s="500" t="str">
        <f t="shared" si="24"/>
        <v>バンド内</v>
      </c>
      <c r="Q168" s="503">
        <f>IF($D168="","",IFERROR(100-100/(1+SUMPRODUCT((終値!E168:R168&gt;終値!F168:S168)*(終値!E168:R168-終値!F168:S168))/SUMPRODUCT((終値!E168:R168&lt;終値!F168:S168)*(終値!F168:S168-終値!E168:R168))),100))</f>
        <v>50.235960358659739</v>
      </c>
      <c r="R168" s="503">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69.412541748975315</v>
      </c>
      <c r="S168" s="500"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弱気div▼</v>
      </c>
      <c r="T168" s="500" t="str">
        <f t="shared" si="25"/>
        <v>－</v>
      </c>
      <c r="U168" s="500" t="str">
        <f>IF(終値!A168="","",BB_スイング!BT168)</f>
        <v>－</v>
      </c>
      <c r="V168" s="508">
        <f>IF($D168="","",IFERROR(出来高!E168/AVERAGE(出来高!E168:I168),""))</f>
        <v>0.89671737389911932</v>
      </c>
      <c r="W168" s="509"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4">
        <f t="shared" si="31"/>
        <v>25</v>
      </c>
      <c r="Y168" s="501">
        <f t="shared" si="26"/>
        <v>2030</v>
      </c>
      <c r="Z168" s="501">
        <f t="shared" si="27"/>
        <v>2035.6523065958634</v>
      </c>
      <c r="AA168" s="501">
        <f t="shared" si="28"/>
        <v>2006.8421052631579</v>
      </c>
      <c r="AB168" s="501">
        <f t="shared" si="32"/>
        <v>2064.4625079285688</v>
      </c>
      <c r="AC168" s="507">
        <f t="shared" si="29"/>
        <v>1.49</v>
      </c>
      <c r="AD168" s="501">
        <f>IF($D168="","",MIN(終値!E168:I168))</f>
        <v>2011</v>
      </c>
      <c r="AE168" s="503">
        <f t="shared" si="30"/>
        <v>25.098320000000001</v>
      </c>
    </row>
    <row r="169" spans="1:31">
      <c r="A169" s="500" t="str">
        <f>IF(終値!A169="","",HYPERLINK("https://kabutan.jp/stock/?code="&amp;終値!A169,"📈"))</f>
        <v>📈</v>
      </c>
      <c r="B169" s="500" t="str">
        <f>IF(終値!A169="","",終値!A169)</f>
        <v>8103</v>
      </c>
      <c r="C169" s="499" t="str">
        <f>IF(終値!A169="","",終値!B169)</f>
        <v>明和産業</v>
      </c>
      <c r="D169" s="501">
        <f>IF(終値!A169="","",終値!E169)</f>
        <v>900</v>
      </c>
      <c r="E169" s="501">
        <f>IF($D169="","",AVERAGE(終値!E169:X169))</f>
        <v>907.5</v>
      </c>
      <c r="F169" s="502">
        <f>IF($D169="","",STDEVP(終値!E169:X169))</f>
        <v>9.5157763740012307</v>
      </c>
      <c r="G169" s="501">
        <f>IF($D169="","",$E169+BB設定!$B$4*$F169)</f>
        <v>926.53155274800247</v>
      </c>
      <c r="H169" s="501">
        <f>IF($D169="","",$E169+BB設定!$B$5*$F169)</f>
        <v>917.01577637400123</v>
      </c>
      <c r="I169" s="501">
        <f>IF($D169="","",$E169-BB設定!$B$5*$F169)</f>
        <v>897.98422362599877</v>
      </c>
      <c r="J169" s="501">
        <f>IF($D169="","",$E169-BB設定!$B$4*$F169)</f>
        <v>888.46844725199753</v>
      </c>
      <c r="K169" s="506">
        <f t="shared" si="22"/>
        <v>0.30295879954442517</v>
      </c>
      <c r="L169" s="505">
        <f t="shared" si="23"/>
        <v>4.194281597355916</v>
      </c>
      <c r="M169" s="505">
        <f>IF($D169="","",IFERROR(MIN(BB_帯幅!B169:AP169)*100,""))</f>
        <v>3.5429541461586265</v>
      </c>
      <c r="N169" s="500" t="str">
        <f>IF($L169="","",IF($L169&lt;=$M169*BB設定!$B$7,"スクイーズ★",IF($L169&lt;=$M169*1.3,"収縮","－")))</f>
        <v>収縮</v>
      </c>
      <c r="O169" s="500" t="str">
        <f>IF($D169="","",IF(AND(BB_帯幅!B169&gt;BB_帯幅!C169,BB_帯幅!C169&gt;BB_帯幅!D169),"拡大↑","縮小↓"))</f>
        <v>拡大↑</v>
      </c>
      <c r="P169" s="500" t="str">
        <f t="shared" si="24"/>
        <v>バンド内</v>
      </c>
      <c r="Q169" s="503">
        <f>IF($D169="","",IFERROR(100-100/(1+SUMPRODUCT((終値!E169:R169&gt;終値!F169:S169)*(終値!E169:R169-終値!F169:S169))/SUMPRODUCT((終値!E169:R169&lt;終値!F169:S169)*(終値!F169:S169-終値!E169:R169))),100))</f>
        <v>43.511450381679388</v>
      </c>
      <c r="R169" s="503">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43.301187612672557</v>
      </c>
      <c r="S169" s="500"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v>
      </c>
      <c r="T169" s="500" t="str">
        <f t="shared" si="25"/>
        <v>－</v>
      </c>
      <c r="U169" s="500" t="str">
        <f>IF(終値!A169="","",BB_スイング!BT169)</f>
        <v>二番底W形成</v>
      </c>
      <c r="V169" s="508">
        <f>IF($D169="","",IFERROR(出来高!E169/AVERAGE(出来高!E169:I169),""))</f>
        <v>0.49591099277291745</v>
      </c>
      <c r="W169" s="509"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△二番底形成</v>
      </c>
      <c r="X169" s="504">
        <f t="shared" si="31"/>
        <v>15</v>
      </c>
      <c r="Y169" s="501">
        <f t="shared" si="26"/>
        <v>900</v>
      </c>
      <c r="Z169" s="501">
        <f t="shared" si="27"/>
        <v>917.01577637400123</v>
      </c>
      <c r="AA169" s="501">
        <f t="shared" si="28"/>
        <v>889</v>
      </c>
      <c r="AB169" s="501">
        <f t="shared" si="32"/>
        <v>926.53155274800247</v>
      </c>
      <c r="AC169" s="507">
        <f t="shared" si="29"/>
        <v>2.41</v>
      </c>
      <c r="AD169" s="501">
        <f>IF($D169="","",MIN(終値!E169:I169))</f>
        <v>889</v>
      </c>
      <c r="AE169" s="503">
        <f t="shared" si="30"/>
        <v>15.09831</v>
      </c>
    </row>
    <row r="170" spans="1:31" ht="24">
      <c r="A170" s="500" t="str">
        <f>IF(終値!A170="","",HYPERLINK("https://kabutan.jp/stock/?code="&amp;終値!A170,"📈"))</f>
        <v>📈</v>
      </c>
      <c r="B170" s="500" t="str">
        <f>IF(終値!A170="","",終値!A170)</f>
        <v>4709</v>
      </c>
      <c r="C170" s="499" t="str">
        <f>IF(終値!A170="","",終値!B170)</f>
        <v>ＩＤホールディングス</v>
      </c>
      <c r="D170" s="501">
        <f>IF(終値!A170="","",終値!E170)</f>
        <v>1018</v>
      </c>
      <c r="E170" s="501">
        <f>IF($D170="","",AVERAGE(終値!E170:X170))</f>
        <v>1091.95</v>
      </c>
      <c r="F170" s="502">
        <f>IF($D170="","",STDEVP(終値!E170:X170))</f>
        <v>45.285179694906802</v>
      </c>
      <c r="G170" s="501">
        <f>IF($D170="","",$E170+BB設定!$B$4*$F170)</f>
        <v>1182.5203593898136</v>
      </c>
      <c r="H170" s="501">
        <f>IF($D170="","",$E170+BB設定!$B$5*$F170)</f>
        <v>1137.2351796949069</v>
      </c>
      <c r="I170" s="501">
        <f>IF($D170="","",$E170-BB設定!$B$5*$F170)</f>
        <v>1046.6648203050931</v>
      </c>
      <c r="J170" s="501">
        <f>IF($D170="","",$E170-BB設定!$B$4*$F170)</f>
        <v>1001.3796406101865</v>
      </c>
      <c r="K170" s="506">
        <f t="shared" si="22"/>
        <v>9.1753855796683617E-2</v>
      </c>
      <c r="L170" s="505">
        <f t="shared" si="23"/>
        <v>16.58873746779863</v>
      </c>
      <c r="M170" s="505">
        <f>IF($D170="","",IFERROR(MIN(BB_帯幅!B170:AP170)*100,""))</f>
        <v>6.3139608867721266</v>
      </c>
      <c r="N170" s="500" t="str">
        <f>IF($L170="","",IF($L170&lt;=$M170*BB設定!$B$7,"スクイーズ★",IF($L170&lt;=$M170*1.3,"収縮","－")))</f>
        <v>－</v>
      </c>
      <c r="O170" s="500" t="str">
        <f>IF($D170="","",IF(AND(BB_帯幅!B170&gt;BB_帯幅!C170,BB_帯幅!C170&gt;BB_帯幅!D170),"拡大↑","縮小↓"))</f>
        <v>拡大↑</v>
      </c>
      <c r="P170" s="500" t="str">
        <f t="shared" si="24"/>
        <v>-1σ下</v>
      </c>
      <c r="Q170" s="503">
        <f>IF($D170="","",IFERROR(100-100/(1+SUMPRODUCT((終値!E170:R170&gt;終値!F170:S170)*(終値!E170:R170-終値!F170:S170))/SUMPRODUCT((終値!E170:R170&lt;終値!F170:S170)*(終値!F170:S170-終値!E170:R170))),100))</f>
        <v>28.95752895752895</v>
      </c>
      <c r="R170" s="503">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35.45752583091965</v>
      </c>
      <c r="S170" s="500"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v>
      </c>
      <c r="T170" s="500" t="str">
        <f t="shared" si="25"/>
        <v>下walk▼</v>
      </c>
      <c r="U170" s="500" t="str">
        <f>IF(終値!A170="","",BB_スイング!BT170)</f>
        <v>二番天井M▼</v>
      </c>
      <c r="V170" s="508">
        <f>IF($D170="","",IFERROR(出来高!E170/AVERAGE(出来高!E170:I170),""))</f>
        <v>0.38461538461538464</v>
      </c>
      <c r="W170" s="509"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▼二番天井警戒</v>
      </c>
      <c r="X170" s="504">
        <f t="shared" si="31"/>
        <v>0</v>
      </c>
      <c r="Y170" s="501">
        <f t="shared" si="26"/>
        <v>1018</v>
      </c>
      <c r="Z170" s="501">
        <f t="shared" si="27"/>
        <v>1137.2351796949069</v>
      </c>
      <c r="AA170" s="501">
        <f t="shared" si="28"/>
        <v>1007</v>
      </c>
      <c r="AB170" s="501">
        <f t="shared" si="32"/>
        <v>1182.5203593898136</v>
      </c>
      <c r="AC170" s="507">
        <f t="shared" si="29"/>
        <v>14.96</v>
      </c>
      <c r="AD170" s="501">
        <f>IF($D170="","",MIN(終値!E170:I170))</f>
        <v>1007</v>
      </c>
      <c r="AE170" s="503">
        <f t="shared" si="30"/>
        <v>9.8299999999999998E-2</v>
      </c>
    </row>
    <row r="171" spans="1:31" ht="24">
      <c r="A171" s="500" t="str">
        <f>IF(終値!A171="","",HYPERLINK("https://kabutan.jp/stock/?code="&amp;終値!A171,"📈"))</f>
        <v>📈</v>
      </c>
      <c r="B171" s="500" t="str">
        <f>IF(終値!A171="","",終値!A171)</f>
        <v>7981</v>
      </c>
      <c r="C171" s="499" t="str">
        <f>IF(終値!A171="","",終値!B171)</f>
        <v>タカラスタンダ－ド</v>
      </c>
      <c r="D171" s="501">
        <f>IF(終値!A171="","",終値!E171)</f>
        <v>3055</v>
      </c>
      <c r="E171" s="501">
        <f>IF($D171="","",AVERAGE(終値!E171:X171))</f>
        <v>3090.25</v>
      </c>
      <c r="F171" s="502">
        <f>IF($D171="","",STDEVP(終値!E171:X171))</f>
        <v>82.211237066474069</v>
      </c>
      <c r="G171" s="501">
        <f>IF($D171="","",$E171+BB設定!$B$4*$F171)</f>
        <v>3254.6724741329481</v>
      </c>
      <c r="H171" s="501">
        <f>IF($D171="","",$E171+BB設定!$B$5*$F171)</f>
        <v>3172.461237066474</v>
      </c>
      <c r="I171" s="501">
        <f>IF($D171="","",$E171-BB設定!$B$5*$F171)</f>
        <v>3008.038762933526</v>
      </c>
      <c r="J171" s="501">
        <f>IF($D171="","",$E171-BB設定!$B$4*$F171)</f>
        <v>2925.8275258670519</v>
      </c>
      <c r="K171" s="506">
        <f t="shared" si="22"/>
        <v>0.39280662456308224</v>
      </c>
      <c r="L171" s="505">
        <f t="shared" si="23"/>
        <v>10.641370383169523</v>
      </c>
      <c r="M171" s="505">
        <f>IF($D171="","",IFERROR(MIN(BB_帯幅!B171:AP171)*100,""))</f>
        <v>3.2908153409843282</v>
      </c>
      <c r="N171" s="500" t="str">
        <f>IF($L171="","",IF($L171&lt;=$M171*BB設定!$B$7,"スクイーズ★",IF($L171&lt;=$M171*1.3,"収縮","－")))</f>
        <v>－</v>
      </c>
      <c r="O171" s="500" t="str">
        <f>IF($D171="","",IF(AND(BB_帯幅!B171&gt;BB_帯幅!C171,BB_帯幅!C171&gt;BB_帯幅!D171),"拡大↑","縮小↓"))</f>
        <v>拡大↑</v>
      </c>
      <c r="P171" s="500" t="str">
        <f t="shared" si="24"/>
        <v>バンド内</v>
      </c>
      <c r="Q171" s="503">
        <f>IF($D171="","",IFERROR(100-100/(1+SUMPRODUCT((終値!E171:R171&gt;終値!F171:S171)*(終値!E171:R171-終値!F171:S171))/SUMPRODUCT((終値!E171:R171&lt;終値!F171:S171)*(終値!F171:S171-終値!E171:R171))),100))</f>
        <v>44.852941176470594</v>
      </c>
      <c r="R171" s="503">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40.59056807192087</v>
      </c>
      <c r="S171" s="500"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0" t="str">
        <f t="shared" si="25"/>
        <v>－</v>
      </c>
      <c r="U171" s="500" t="str">
        <f>IF(終値!A171="","",BB_スイング!BT171)</f>
        <v>二番底W▲</v>
      </c>
      <c r="V171" s="508">
        <f>IF($D171="","",IFERROR(出来高!E171/AVERAGE(出来高!E171:I171),""))</f>
        <v>0.4209173094467944</v>
      </c>
      <c r="W171" s="509"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△二番底買(確)</v>
      </c>
      <c r="X171" s="504">
        <f t="shared" si="31"/>
        <v>5</v>
      </c>
      <c r="Y171" s="501">
        <f t="shared" si="26"/>
        <v>3055</v>
      </c>
      <c r="Z171" s="501">
        <f t="shared" si="27"/>
        <v>3172.461237066474</v>
      </c>
      <c r="AA171" s="501">
        <f t="shared" si="28"/>
        <v>2990</v>
      </c>
      <c r="AB171" s="501">
        <f t="shared" si="32"/>
        <v>3254.6724741329481</v>
      </c>
      <c r="AC171" s="507">
        <f t="shared" si="29"/>
        <v>3.07</v>
      </c>
      <c r="AD171" s="501">
        <f>IF($D171="","",MIN(終値!E171:I171))</f>
        <v>2990</v>
      </c>
      <c r="AE171" s="503">
        <f t="shared" si="30"/>
        <v>5.0982900000000004</v>
      </c>
    </row>
    <row r="172" spans="1:31">
      <c r="A172" s="500" t="str">
        <f>IF(終値!A172="","",HYPERLINK("https://kabutan.jp/stock/?code="&amp;終値!A172,"📈"))</f>
        <v>📈</v>
      </c>
      <c r="B172" s="500" t="str">
        <f>IF(終値!A172="","",終値!A172)</f>
        <v>8303</v>
      </c>
      <c r="C172" s="499" t="str">
        <f>IF(終値!A172="","",終値!B172)</f>
        <v>ＳＢＩ新生銀行</v>
      </c>
      <c r="D172" s="501">
        <f>IF(終値!A172="","",終値!E172)</f>
        <v>1564.5</v>
      </c>
      <c r="E172" s="501">
        <f>IF($D172="","",AVERAGE(終値!E172:X172))</f>
        <v>1453.925</v>
      </c>
      <c r="F172" s="502">
        <f>IF($D172="","",STDEVP(終値!E172:X172))</f>
        <v>33.484427350635698</v>
      </c>
      <c r="G172" s="501">
        <f>IF($D172="","",$E172+BB設定!$B$4*$F172)</f>
        <v>1520.8938547012713</v>
      </c>
      <c r="H172" s="501">
        <f>IF($D172="","",$E172+BB設定!$B$5*$F172)</f>
        <v>1487.4094273506357</v>
      </c>
      <c r="I172" s="501">
        <f>IF($D172="","",$E172-BB設定!$B$5*$F172)</f>
        <v>1420.4405726493642</v>
      </c>
      <c r="J172" s="501">
        <f>IF($D172="","",$E172-BB設定!$B$4*$F172)</f>
        <v>1386.9561452987286</v>
      </c>
      <c r="K172" s="506">
        <f t="shared" si="22"/>
        <v>1.3255703378327368</v>
      </c>
      <c r="L172" s="505">
        <f t="shared" si="23"/>
        <v>9.2121470779127268</v>
      </c>
      <c r="M172" s="505">
        <f>IF($D172="","",IFERROR(MIN(BB_帯幅!B172:AP172)*100,""))</f>
        <v>6.0210280263401428</v>
      </c>
      <c r="N172" s="500" t="str">
        <f>IF($L172="","",IF($L172&lt;=$M172*BB設定!$B$7,"スクイーズ★",IF($L172&lt;=$M172*1.3,"収縮","－")))</f>
        <v>－</v>
      </c>
      <c r="O172" s="500" t="str">
        <f>IF($D172="","",IF(AND(BB_帯幅!B172&gt;BB_帯幅!C172,BB_帯幅!C172&gt;BB_帯幅!D172),"拡大↑","縮小↓"))</f>
        <v>拡大↑</v>
      </c>
      <c r="P172" s="500" t="str">
        <f t="shared" si="24"/>
        <v>↑+2σ突破</v>
      </c>
      <c r="Q172" s="503">
        <f>IF($D172="","",IFERROR(100-100/(1+SUMPRODUCT((終値!E172:R172&gt;終値!F172:S172)*(終値!E172:R172-終値!F172:S172))/SUMPRODUCT((終値!E172:R172&lt;終値!F172:S172)*(終値!F172:S172-終値!E172:R172))),100))</f>
        <v>60.021668472372696</v>
      </c>
      <c r="R172" s="503">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57.580707863656095</v>
      </c>
      <c r="S172" s="500"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弱気div▼</v>
      </c>
      <c r="T172" s="500" t="str">
        <f t="shared" si="25"/>
        <v>上walk▲</v>
      </c>
      <c r="U172" s="500" t="str">
        <f>IF(終値!A172="","",BB_スイング!BT172)</f>
        <v>二番底W▲</v>
      </c>
      <c r="V172" s="508">
        <f>IF($D172="","",IFERROR(出来高!E172/AVERAGE(出来高!E172:I172),""))</f>
        <v>1.1688192034147227</v>
      </c>
      <c r="W172" s="509"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△二番底買(確)</v>
      </c>
      <c r="X172" s="504">
        <f t="shared" si="31"/>
        <v>50</v>
      </c>
      <c r="Y172" s="501">
        <f t="shared" si="26"/>
        <v>1564.5</v>
      </c>
      <c r="Z172" s="501">
        <f t="shared" si="27"/>
        <v>1487.4094273506357</v>
      </c>
      <c r="AA172" s="501">
        <f t="shared" si="28"/>
        <v>1453.925</v>
      </c>
      <c r="AB172" s="501">
        <f t="shared" si="32"/>
        <v>1554.378282051907</v>
      </c>
      <c r="AC172" s="507">
        <f t="shared" si="29"/>
        <v>-0.09</v>
      </c>
      <c r="AD172" s="501">
        <f>IF($D172="","",MIN(終値!E172:I172))</f>
        <v>1438</v>
      </c>
      <c r="AE172" s="503">
        <f t="shared" si="30"/>
        <v>50.098280000000003</v>
      </c>
    </row>
    <row r="173" spans="1:31">
      <c r="A173" s="500" t="str">
        <f>IF(終値!A173="","",HYPERLINK("https://kabutan.jp/stock/?code="&amp;終値!A173,"📈"))</f>
        <v>📈</v>
      </c>
      <c r="B173" s="500" t="str">
        <f>IF(終値!A173="","",終値!A173)</f>
        <v>4382</v>
      </c>
      <c r="C173" s="499" t="str">
        <f>IF(終値!A173="","",終値!B173)</f>
        <v>ＨＥＲＯＺ</v>
      </c>
      <c r="D173" s="501">
        <f>IF(終値!A173="","",終値!E173)</f>
        <v>724</v>
      </c>
      <c r="E173" s="501">
        <f>IF($D173="","",AVERAGE(終値!E173:X173))</f>
        <v>704.47368421052636</v>
      </c>
      <c r="F173" s="502">
        <f>IF($D173="","",STDEVP(終値!E173:X173))</f>
        <v>9.1615237818574791</v>
      </c>
      <c r="G173" s="501">
        <f>IF($D173="","",$E173+BB設定!$B$4*$F173)</f>
        <v>722.79673177424127</v>
      </c>
      <c r="H173" s="501">
        <f>IF($D173="","",$E173+BB設定!$B$5*$F173)</f>
        <v>713.63520799238381</v>
      </c>
      <c r="I173" s="501">
        <f>IF($D173="","",$E173-BB設定!$B$5*$F173)</f>
        <v>695.3121604286689</v>
      </c>
      <c r="J173" s="501">
        <f>IF($D173="","",$E173-BB設定!$B$4*$F173)</f>
        <v>686.15063664681145</v>
      </c>
      <c r="K173" s="506">
        <f t="shared" si="22"/>
        <v>1.032834827873873</v>
      </c>
      <c r="L173" s="505">
        <f t="shared" si="23"/>
        <v>5.2019111499526822</v>
      </c>
      <c r="M173" s="505">
        <f>IF($D173="","",IFERROR(MIN(BB_帯幅!B173:AP173)*100,""))</f>
        <v>4.9159473341929951</v>
      </c>
      <c r="N173" s="500" t="str">
        <f>IF($L173="","",IF($L173&lt;=$M173*BB設定!$B$7,"スクイーズ★",IF($L173&lt;=$M173*1.3,"収縮","－")))</f>
        <v>スクイーズ★</v>
      </c>
      <c r="O173" s="500" t="str">
        <f>IF($D173="","",IF(AND(BB_帯幅!B173&gt;BB_帯幅!C173,BB_帯幅!C173&gt;BB_帯幅!D173),"拡大↑","縮小↓"))</f>
        <v>縮小↓</v>
      </c>
      <c r="P173" s="500" t="str">
        <f t="shared" si="24"/>
        <v>↑+2σ突破</v>
      </c>
      <c r="Q173" s="503">
        <f>IF($D173="","",IFERROR(100-100/(1+SUMPRODUCT((終値!E173:R173&gt;終値!F173:S173)*(終値!E173:R173-終値!F173:S173))/SUMPRODUCT((終値!E173:R173&lt;終値!F173:S173)*(終値!F173:S173-終値!E173:R173))),100))</f>
        <v>50</v>
      </c>
      <c r="R173" s="503">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41.199335728343002</v>
      </c>
      <c r="S173" s="500"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0" t="str">
        <f t="shared" si="25"/>
        <v>上walk▲</v>
      </c>
      <c r="U173" s="500" t="str">
        <f>IF(終値!A173="","",BB_スイング!BT173)</f>
        <v>－</v>
      </c>
      <c r="V173" s="508">
        <f>IF($D173="","",IFERROR(出来高!E173/AVERAGE(出来高!E173:I173),""))</f>
        <v>0.969989281886388</v>
      </c>
      <c r="W173" s="509"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☆スクイーズ監視</v>
      </c>
      <c r="X173" s="504">
        <f t="shared" si="31"/>
        <v>55</v>
      </c>
      <c r="Y173" s="501">
        <f t="shared" si="26"/>
        <v>724</v>
      </c>
      <c r="Z173" s="501">
        <f t="shared" si="27"/>
        <v>713.63520799238381</v>
      </c>
      <c r="AA173" s="501">
        <f t="shared" si="28"/>
        <v>704.47368421052636</v>
      </c>
      <c r="AB173" s="501">
        <f t="shared" si="32"/>
        <v>731.95825555609883</v>
      </c>
      <c r="AC173" s="507">
        <f t="shared" si="29"/>
        <v>0.41</v>
      </c>
      <c r="AD173" s="501">
        <f>IF($D173="","",MIN(終値!E173:I173))</f>
        <v>701</v>
      </c>
      <c r="AE173" s="503">
        <f t="shared" si="30"/>
        <v>55.098269999999999</v>
      </c>
    </row>
    <row r="174" spans="1:31" ht="24">
      <c r="A174" s="500" t="str">
        <f>IF(終値!A174="","",HYPERLINK("https://kabutan.jp/stock/?code="&amp;終値!A174,"📈"))</f>
        <v>📈</v>
      </c>
      <c r="B174" s="500" t="str">
        <f>IF(終値!A174="","",終値!A174)</f>
        <v>2327</v>
      </c>
      <c r="C174" s="499" t="str">
        <f>IF(終値!A174="","",終値!B174)</f>
        <v>日鉄ソリューションズ</v>
      </c>
      <c r="D174" s="501">
        <f>IF(終値!A174="","",終値!E174)</f>
        <v>3753</v>
      </c>
      <c r="E174" s="501">
        <f>IF($D174="","",AVERAGE(終値!E174:X174))</f>
        <v>3809.9</v>
      </c>
      <c r="F174" s="502">
        <f>IF($D174="","",STDEVP(終値!E174:X174))</f>
        <v>85.677243186274382</v>
      </c>
      <c r="G174" s="501">
        <f>IF($D174="","",$E174+BB設定!$B$4*$F174)</f>
        <v>3981.2544863725489</v>
      </c>
      <c r="H174" s="501">
        <f>IF($D174="","",$E174+BB設定!$B$5*$F174)</f>
        <v>3895.5772431862742</v>
      </c>
      <c r="I174" s="501">
        <f>IF($D174="","",$E174-BB設定!$B$5*$F174)</f>
        <v>3724.2227568137259</v>
      </c>
      <c r="J174" s="501">
        <f>IF($D174="","",$E174-BB設定!$B$4*$F174)</f>
        <v>3638.5455136274513</v>
      </c>
      <c r="K174" s="506">
        <f t="shared" si="22"/>
        <v>0.33396991463564168</v>
      </c>
      <c r="L174" s="505">
        <f t="shared" si="23"/>
        <v>8.9952222563609947</v>
      </c>
      <c r="M174" s="505">
        <f>IF($D174="","",IFERROR(MIN(BB_帯幅!B174:AP174)*100,""))</f>
        <v>8.8554759646836629</v>
      </c>
      <c r="N174" s="500" t="str">
        <f>IF($L174="","",IF($L174&lt;=$M174*BB設定!$B$7,"スクイーズ★",IF($L174&lt;=$M174*1.3,"収縮","－")))</f>
        <v>スクイーズ★</v>
      </c>
      <c r="O174" s="500" t="str">
        <f>IF($D174="","",IF(AND(BB_帯幅!B174&gt;BB_帯幅!C174,BB_帯幅!C174&gt;BB_帯幅!D174),"拡大↑","縮小↓"))</f>
        <v>拡大↑</v>
      </c>
      <c r="P174" s="500" t="str">
        <f t="shared" si="24"/>
        <v>バンド内</v>
      </c>
      <c r="Q174" s="503">
        <f>IF($D174="","",IFERROR(100-100/(1+SUMPRODUCT((終値!E174:R174&gt;終値!F174:S174)*(終値!E174:R174-終値!F174:S174))/SUMPRODUCT((終値!E174:R174&lt;終値!F174:S174)*(終値!F174:S174-終値!E174:R174))),100))</f>
        <v>48.484848484848484</v>
      </c>
      <c r="R174" s="503">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44.4996784630166</v>
      </c>
      <c r="S174" s="500"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0" t="str">
        <f t="shared" si="25"/>
        <v>－</v>
      </c>
      <c r="U174" s="500" t="str">
        <f>IF(終値!A174="","",BB_スイング!BT174)</f>
        <v>二番底W形成</v>
      </c>
      <c r="V174" s="508">
        <f>IF($D174="","",IFERROR(出来高!E174/AVERAGE(出来高!E174:I174),""))</f>
        <v>0.60188875942846631</v>
      </c>
      <c r="W174" s="509"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△二番底形成</v>
      </c>
      <c r="X174" s="504">
        <f t="shared" si="31"/>
        <v>25</v>
      </c>
      <c r="Y174" s="501">
        <f t="shared" si="26"/>
        <v>3753</v>
      </c>
      <c r="Z174" s="501">
        <f t="shared" si="27"/>
        <v>3895.5772431862742</v>
      </c>
      <c r="AA174" s="501">
        <f t="shared" si="28"/>
        <v>3662</v>
      </c>
      <c r="AB174" s="501">
        <f t="shared" si="32"/>
        <v>3981.2544863725489</v>
      </c>
      <c r="AC174" s="507">
        <f t="shared" si="29"/>
        <v>2.5099999999999998</v>
      </c>
      <c r="AD174" s="501">
        <f>IF($D174="","",MIN(終値!E174:I174))</f>
        <v>3662</v>
      </c>
      <c r="AE174" s="503">
        <f t="shared" si="30"/>
        <v>25.09826</v>
      </c>
    </row>
    <row r="175" spans="1:31">
      <c r="A175" s="500" t="str">
        <f>IF(終値!A175="","",HYPERLINK("https://kabutan.jp/stock/?code="&amp;終値!A175,"📈"))</f>
        <v>📈</v>
      </c>
      <c r="B175" s="500" t="str">
        <f>IF(終値!A175="","",終値!A175)</f>
        <v>1942</v>
      </c>
      <c r="C175" s="499" t="str">
        <f>IF(終値!A175="","",終値!B175)</f>
        <v>関電工</v>
      </c>
      <c r="D175" s="501">
        <f>IF(終値!A175="","",終値!E175)</f>
        <v>5642</v>
      </c>
      <c r="E175" s="501">
        <f>IF($D175="","",AVERAGE(終値!E175:X175))</f>
        <v>5906</v>
      </c>
      <c r="F175" s="502">
        <f>IF($D175="","",STDEVP(終値!E175:X175))</f>
        <v>335.55834068012672</v>
      </c>
      <c r="G175" s="501">
        <f>IF($D175="","",$E175+BB設定!$B$4*$F175)</f>
        <v>6577.1166813602531</v>
      </c>
      <c r="H175" s="501">
        <f>IF($D175="","",$E175+BB設定!$B$5*$F175)</f>
        <v>6241.558340680127</v>
      </c>
      <c r="I175" s="501">
        <f>IF($D175="","",$E175-BB設定!$B$5*$F175)</f>
        <v>5570.441659319873</v>
      </c>
      <c r="J175" s="501">
        <f>IF($D175="","",$E175-BB設定!$B$4*$F175)</f>
        <v>5234.8833186397469</v>
      </c>
      <c r="K175" s="506">
        <f t="shared" si="22"/>
        <v>0.30331289078904172</v>
      </c>
      <c r="L175" s="505">
        <f t="shared" si="23"/>
        <v>22.726606209287269</v>
      </c>
      <c r="M175" s="505">
        <f>IF($D175="","",IFERROR(MIN(BB_帯幅!B175:AP175)*100,""))</f>
        <v>10.88250877549091</v>
      </c>
      <c r="N175" s="500" t="str">
        <f>IF($L175="","",IF($L175&lt;=$M175*BB設定!$B$7,"スクイーズ★",IF($L175&lt;=$M175*1.3,"収縮","－")))</f>
        <v>－</v>
      </c>
      <c r="O175" s="500" t="str">
        <f>IF($D175="","",IF(AND(BB_帯幅!B175&gt;BB_帯幅!C175,BB_帯幅!C175&gt;BB_帯幅!D175),"拡大↑","縮小↓"))</f>
        <v>縮小↓</v>
      </c>
      <c r="P175" s="500" t="str">
        <f t="shared" si="24"/>
        <v>バンド内</v>
      </c>
      <c r="Q175" s="503">
        <f>IF($D175="","",IFERROR(100-100/(1+SUMPRODUCT((終値!E175:R175&gt;終値!F175:S175)*(終値!E175:R175-終値!F175:S175))/SUMPRODUCT((終値!E175:R175&lt;終値!F175:S175)*(終値!F175:S175-終値!E175:R175))),100))</f>
        <v>32.064650677789359</v>
      </c>
      <c r="R175" s="503">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31.889322680532615</v>
      </c>
      <c r="S175" s="500"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強気div▲</v>
      </c>
      <c r="T175" s="500" t="str">
        <f t="shared" si="25"/>
        <v>－</v>
      </c>
      <c r="U175" s="500" t="str">
        <f>IF(終値!A175="","",BB_スイング!BT175)</f>
        <v>二番天井M▼</v>
      </c>
      <c r="V175" s="508">
        <f>IF($D175="","",IFERROR(出来高!E175/AVERAGE(出来高!E175:I175),""))</f>
        <v>0.59826452715990919</v>
      </c>
      <c r="W175" s="509"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4">
        <f t="shared" si="31"/>
        <v>0</v>
      </c>
      <c r="Y175" s="501">
        <f t="shared" si="26"/>
        <v>5642</v>
      </c>
      <c r="Z175" s="501">
        <f t="shared" si="27"/>
        <v>6241.558340680127</v>
      </c>
      <c r="AA175" s="501">
        <f t="shared" si="28"/>
        <v>5323</v>
      </c>
      <c r="AB175" s="501">
        <f t="shared" si="32"/>
        <v>6577.1166813602531</v>
      </c>
      <c r="AC175" s="507">
        <f t="shared" si="29"/>
        <v>2.93</v>
      </c>
      <c r="AD175" s="501">
        <f>IF($D175="","",MIN(終値!E175:I175))</f>
        <v>5323</v>
      </c>
      <c r="AE175" s="503">
        <f t="shared" si="30"/>
        <v>9.8250000000000004E-2</v>
      </c>
    </row>
    <row r="176" spans="1:31">
      <c r="A176" s="500" t="str">
        <f>IF(終値!A176="","",HYPERLINK("https://kabutan.jp/stock/?code="&amp;終値!A176,"📈"))</f>
        <v>📈</v>
      </c>
      <c r="B176" s="500" t="str">
        <f>IF(終値!A176="","",終値!A176)</f>
        <v>1938</v>
      </c>
      <c r="C176" s="499" t="str">
        <f>IF(終値!A176="","",終値!B176)</f>
        <v>日本リーテック</v>
      </c>
      <c r="D176" s="501">
        <f>IF(終値!A176="","",終値!E176)</f>
        <v>2508</v>
      </c>
      <c r="E176" s="501">
        <f>IF($D176="","",AVERAGE(終値!E176:X176))</f>
        <v>2500.1</v>
      </c>
      <c r="F176" s="502">
        <f>IF($D176="","",STDEVP(終値!E176:X176))</f>
        <v>64.64665497920214</v>
      </c>
      <c r="G176" s="501">
        <f>IF($D176="","",$E176+BB設定!$B$4*$F176)</f>
        <v>2629.3933099584042</v>
      </c>
      <c r="H176" s="501">
        <f>IF($D176="","",$E176+BB設定!$B$5*$F176)</f>
        <v>2564.746654979202</v>
      </c>
      <c r="I176" s="501">
        <f>IF($D176="","",$E176-BB設定!$B$5*$F176)</f>
        <v>2435.4533450207978</v>
      </c>
      <c r="J176" s="501">
        <f>IF($D176="","",$E176-BB設定!$B$4*$F176)</f>
        <v>2370.8066900415956</v>
      </c>
      <c r="K176" s="506">
        <f t="shared" si="22"/>
        <v>0.53055069130236376</v>
      </c>
      <c r="L176" s="505">
        <f t="shared" si="23"/>
        <v>10.343051074629358</v>
      </c>
      <c r="M176" s="505">
        <f>IF($D176="","",IFERROR(MIN(BB_帯幅!B176:AP176)*100,""))</f>
        <v>6.4092325208285059</v>
      </c>
      <c r="N176" s="500" t="str">
        <f>IF($L176="","",IF($L176&lt;=$M176*BB設定!$B$7,"スクイーズ★",IF($L176&lt;=$M176*1.3,"収縮","－")))</f>
        <v>－</v>
      </c>
      <c r="O176" s="500" t="str">
        <f>IF($D176="","",IF(AND(BB_帯幅!B176&gt;BB_帯幅!C176,BB_帯幅!C176&gt;BB_帯幅!D176),"拡大↑","縮小↓"))</f>
        <v>縮小↓</v>
      </c>
      <c r="P176" s="500" t="str">
        <f t="shared" si="24"/>
        <v>バンド内</v>
      </c>
      <c r="Q176" s="503">
        <f>IF($D176="","",IFERROR(100-100/(1+SUMPRODUCT((終値!E176:R176&gt;終値!F176:S176)*(終値!E176:R176-終値!F176:S176))/SUMPRODUCT((終値!E176:R176&lt;終値!F176:S176)*(終値!F176:S176-終値!E176:R176))),100))</f>
        <v>42.36641221374046</v>
      </c>
      <c r="R176" s="503">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52.348350195292412</v>
      </c>
      <c r="S176" s="500"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強気div▲</v>
      </c>
      <c r="T176" s="500" t="str">
        <f t="shared" si="25"/>
        <v>－</v>
      </c>
      <c r="U176" s="500" t="str">
        <f>IF(終値!A176="","",BB_スイング!BT176)</f>
        <v>二番底W形成</v>
      </c>
      <c r="V176" s="508">
        <f>IF($D176="","",IFERROR(出来高!E176/AVERAGE(出来高!E176:I176),""))</f>
        <v>1.6792189679218967</v>
      </c>
      <c r="W176" s="509"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○反発(ダイバ)買</v>
      </c>
      <c r="X176" s="504">
        <f t="shared" si="31"/>
        <v>33</v>
      </c>
      <c r="Y176" s="501">
        <f t="shared" si="26"/>
        <v>2508</v>
      </c>
      <c r="Z176" s="501">
        <f t="shared" si="27"/>
        <v>2564.746654979202</v>
      </c>
      <c r="AA176" s="501">
        <f t="shared" si="28"/>
        <v>2500.1</v>
      </c>
      <c r="AB176" s="501">
        <f t="shared" si="32"/>
        <v>2629.3933099584042</v>
      </c>
      <c r="AC176" s="507">
        <f t="shared" si="29"/>
        <v>15.37</v>
      </c>
      <c r="AD176" s="501">
        <f>IF($D176="","",MIN(終値!E176:I176))</f>
        <v>2389</v>
      </c>
      <c r="AE176" s="503">
        <f t="shared" si="30"/>
        <v>33.098239999999997</v>
      </c>
    </row>
    <row r="177" spans="1:31">
      <c r="A177" s="500" t="str">
        <f>IF(終値!A177="","",HYPERLINK("https://kabutan.jp/stock/?code="&amp;終値!A177,"📈"))</f>
        <v>📈</v>
      </c>
      <c r="B177" s="500" t="str">
        <f>IF(終値!A177="","",終値!A177)</f>
        <v>7236</v>
      </c>
      <c r="C177" s="499" t="str">
        <f>IF(終値!A177="","",終値!B177)</f>
        <v>ティラド</v>
      </c>
      <c r="D177" s="501">
        <f>IF(終値!A177="","",終値!E177)</f>
        <v>1537</v>
      </c>
      <c r="E177" s="501">
        <f>IF($D177="","",AVERAGE(終値!E177:X177))</f>
        <v>1533</v>
      </c>
      <c r="F177" s="502">
        <f>IF($D177="","",STDEVP(終値!E177:X177))</f>
        <v>4</v>
      </c>
      <c r="G177" s="501">
        <f>IF($D177="","",$E177+BB設定!$B$4*$F177)</f>
        <v>1541</v>
      </c>
      <c r="H177" s="501">
        <f>IF($D177="","",$E177+BB設定!$B$5*$F177)</f>
        <v>1537</v>
      </c>
      <c r="I177" s="501">
        <f>IF($D177="","",$E177-BB設定!$B$5*$F177)</f>
        <v>1529</v>
      </c>
      <c r="J177" s="501">
        <f>IF($D177="","",$E177-BB設定!$B$4*$F177)</f>
        <v>1525</v>
      </c>
      <c r="K177" s="506">
        <f t="shared" si="22"/>
        <v>0.75</v>
      </c>
      <c r="L177" s="505">
        <f t="shared" si="23"/>
        <v>1.0437051532941943</v>
      </c>
      <c r="M177" s="505">
        <f>IF($D177="","",IFERROR(MIN(BB_帯幅!B177:AP177)*100,""))</f>
        <v>0</v>
      </c>
      <c r="N177" s="500" t="str">
        <f>IF($L177="","",IF($L177&lt;=$M177*BB設定!$B$7,"スクイーズ★",IF($L177&lt;=$M177*1.3,"収縮","－")))</f>
        <v>－</v>
      </c>
      <c r="O177" s="500" t="str">
        <f>IF($D177="","",IF(AND(BB_帯幅!B177&gt;BB_帯幅!C177,BB_帯幅!C177&gt;BB_帯幅!D177),"拡大↑","縮小↓"))</f>
        <v>縮小↓</v>
      </c>
      <c r="P177" s="500" t="str">
        <f t="shared" si="24"/>
        <v>バンド内</v>
      </c>
      <c r="Q177" s="503">
        <f>IF($D177="","",IFERROR(100-100/(1+SUMPRODUCT((終値!E177:R177&gt;終値!F177:S177)*(終値!E177:R177-終値!F177:S177))/SUMPRODUCT((終値!E177:R177&lt;終値!F177:S177)*(終値!F177:S177-終値!E177:R177))),100))</f>
        <v>100</v>
      </c>
      <c r="R177" s="503">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50</v>
      </c>
      <c r="S177" s="500"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v>
      </c>
      <c r="T177" s="500" t="str">
        <f t="shared" si="25"/>
        <v>上walk▲</v>
      </c>
      <c r="U177" s="500" t="str">
        <f>IF(終値!A177="","",BB_スイング!BT177)</f>
        <v>－</v>
      </c>
      <c r="V177" s="508">
        <f>IF($D177="","",IFERROR(出来高!E177/AVERAGE(出来高!E177:I177),""))</f>
        <v>0.82351878612716767</v>
      </c>
      <c r="W177" s="509"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様子見</v>
      </c>
      <c r="X177" s="504">
        <f t="shared" si="31"/>
        <v>18</v>
      </c>
      <c r="Y177" s="501">
        <f t="shared" si="26"/>
        <v>1537</v>
      </c>
      <c r="Z177" s="501">
        <f t="shared" si="27"/>
        <v>1537</v>
      </c>
      <c r="AA177" s="501">
        <f t="shared" si="28"/>
        <v>1533</v>
      </c>
      <c r="AB177" s="501">
        <f t="shared" si="32"/>
        <v>1541</v>
      </c>
      <c r="AC177" s="507">
        <f t="shared" si="29"/>
        <v>1</v>
      </c>
      <c r="AD177" s="501">
        <f>IF($D177="","",MIN(終値!E177:I177))</f>
        <v>1529</v>
      </c>
      <c r="AE177" s="503">
        <f t="shared" si="30"/>
        <v>18.098230000000001</v>
      </c>
    </row>
    <row r="178" spans="1:31">
      <c r="A178" s="500" t="str">
        <f>IF(終値!A178="","",HYPERLINK("https://kabutan.jp/stock/?code="&amp;終値!A178,"📈"))</f>
        <v>📈</v>
      </c>
      <c r="B178" s="500" t="str">
        <f>IF(終値!A178="","",終値!A178)</f>
        <v>6436</v>
      </c>
      <c r="C178" s="499" t="str">
        <f>IF(終値!A178="","",終値!B178)</f>
        <v>アマノ</v>
      </c>
      <c r="D178" s="501">
        <f>IF(終値!A178="","",終値!E178)</f>
        <v>3896</v>
      </c>
      <c r="E178" s="501">
        <f>IF($D178="","",AVERAGE(終値!E178:X178))</f>
        <v>3835.0526315789475</v>
      </c>
      <c r="F178" s="502">
        <f>IF($D178="","",STDEVP(終値!E178:X178))</f>
        <v>82.72431939514874</v>
      </c>
      <c r="G178" s="501">
        <f>IF($D178="","",$E178+BB設定!$B$4*$F178)</f>
        <v>4000.501270369245</v>
      </c>
      <c r="H178" s="501">
        <f>IF($D178="","",$E178+BB設定!$B$5*$F178)</f>
        <v>3917.7769509740961</v>
      </c>
      <c r="I178" s="501">
        <f>IF($D178="","",$E178-BB設定!$B$5*$F178)</f>
        <v>3752.328312183799</v>
      </c>
      <c r="J178" s="501">
        <f>IF($D178="","",$E178-BB設定!$B$4*$F178)</f>
        <v>3669.60399278865</v>
      </c>
      <c r="K178" s="506">
        <f t="shared" si="22"/>
        <v>0.68418818331380149</v>
      </c>
      <c r="L178" s="505">
        <f t="shared" si="23"/>
        <v>8.6282330223030037</v>
      </c>
      <c r="M178" s="505">
        <f>IF($D178="","",IFERROR(MIN(BB_帯幅!B178:AP178)*100,""))</f>
        <v>3.0706587877359444</v>
      </c>
      <c r="N178" s="500" t="str">
        <f>IF($L178="","",IF($L178&lt;=$M178*BB設定!$B$7,"スクイーズ★",IF($L178&lt;=$M178*1.3,"収縮","－")))</f>
        <v>－</v>
      </c>
      <c r="O178" s="500" t="str">
        <f>IF($D178="","",IF(AND(BB_帯幅!B178&gt;BB_帯幅!C178,BB_帯幅!C178&gt;BB_帯幅!D178),"拡大↑","縮小↓"))</f>
        <v>縮小↓</v>
      </c>
      <c r="P178" s="500" t="str">
        <f t="shared" si="24"/>
        <v>バンド内</v>
      </c>
      <c r="Q178" s="503">
        <f>IF($D178="","",IFERROR(100-100/(1+SUMPRODUCT((終値!E178:R178&gt;終値!F178:S178)*(終値!E178:R178-終値!F178:S178))/SUMPRODUCT((終値!E178:R178&lt;終値!F178:S178)*(終値!F178:S178-終値!E178:R178))),100))</f>
        <v>50.691458454386982</v>
      </c>
      <c r="R178" s="503">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57.853871929544745</v>
      </c>
      <c r="S178" s="500"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0" t="str">
        <f t="shared" si="25"/>
        <v>－</v>
      </c>
      <c r="U178" s="500" t="str">
        <f>IF(終値!A178="","",BB_スイング!BT178)</f>
        <v>二番天井M▼</v>
      </c>
      <c r="V178" s="508">
        <f>IF($D178="","",IFERROR(出来高!E178/AVERAGE(出来高!E178:I178),""))</f>
        <v>0.47336006874820968</v>
      </c>
      <c r="W178" s="509"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▼二番天井警戒</v>
      </c>
      <c r="X178" s="504">
        <f t="shared" si="31"/>
        <v>5</v>
      </c>
      <c r="Y178" s="501">
        <f t="shared" si="26"/>
        <v>3896</v>
      </c>
      <c r="Z178" s="501">
        <f t="shared" si="27"/>
        <v>3917.7769509740961</v>
      </c>
      <c r="AA178" s="501">
        <f t="shared" si="28"/>
        <v>3835.0526315789475</v>
      </c>
      <c r="AB178" s="501">
        <f t="shared" si="32"/>
        <v>4000.501270369245</v>
      </c>
      <c r="AC178" s="507">
        <f t="shared" si="29"/>
        <v>1.71</v>
      </c>
      <c r="AD178" s="501">
        <f>IF($D178="","",MIN(終値!E178:I178))</f>
        <v>3874</v>
      </c>
      <c r="AE178" s="503">
        <f t="shared" si="30"/>
        <v>5.0982200000000004</v>
      </c>
    </row>
    <row r="179" spans="1:31">
      <c r="A179" s="500" t="str">
        <f>IF(終値!A179="","",HYPERLINK("https://kabutan.jp/stock/?code="&amp;終値!A179,"📈"))</f>
        <v>📈</v>
      </c>
      <c r="B179" s="500" t="str">
        <f>IF(終値!A179="","",終値!A179)</f>
        <v>5410</v>
      </c>
      <c r="C179" s="499" t="str">
        <f>IF(終値!A179="","",終値!B179)</f>
        <v>合同製鐵</v>
      </c>
      <c r="D179" s="501">
        <f>IF(終値!A179="","",終値!E179)</f>
        <v>2869</v>
      </c>
      <c r="E179" s="501">
        <f>IF($D179="","",AVERAGE(終値!E179:X179))</f>
        <v>2776.05</v>
      </c>
      <c r="F179" s="502">
        <f>IF($D179="","",STDEVP(終値!E179:X179))</f>
        <v>85.175392573207432</v>
      </c>
      <c r="G179" s="501">
        <f>IF($D179="","",$E179+BB設定!$B$4*$F179)</f>
        <v>2946.4007851464148</v>
      </c>
      <c r="H179" s="501">
        <f>IF($D179="","",$E179+BB設定!$B$5*$F179)</f>
        <v>2861.2253925732075</v>
      </c>
      <c r="I179" s="501">
        <f>IF($D179="","",$E179-BB設定!$B$5*$F179)</f>
        <v>2690.8746074267929</v>
      </c>
      <c r="J179" s="501">
        <f>IF($D179="","",$E179-BB設定!$B$4*$F179)</f>
        <v>2605.6992148535855</v>
      </c>
      <c r="K179" s="506">
        <f t="shared" si="22"/>
        <v>0.77281940591031117</v>
      </c>
      <c r="L179" s="505">
        <f t="shared" si="23"/>
        <v>12.272890268288728</v>
      </c>
      <c r="M179" s="505">
        <f>IF($D179="","",IFERROR(MIN(BB_帯幅!B179:AP179)*100,""))</f>
        <v>4.302668376029593</v>
      </c>
      <c r="N179" s="500" t="str">
        <f>IF($L179="","",IF($L179&lt;=$M179*BB設定!$B$7,"スクイーズ★",IF($L179&lt;=$M179*1.3,"収縮","－")))</f>
        <v>－</v>
      </c>
      <c r="O179" s="500" t="str">
        <f>IF($D179="","",IF(AND(BB_帯幅!B179&gt;BB_帯幅!C179,BB_帯幅!C179&gt;BB_帯幅!D179),"拡大↑","縮小↓"))</f>
        <v>縮小↓</v>
      </c>
      <c r="P179" s="500" t="str">
        <f t="shared" si="24"/>
        <v>+1σ上</v>
      </c>
      <c r="Q179" s="503">
        <f>IF($D179="","",IFERROR(100-100/(1+SUMPRODUCT((終値!E179:R179&gt;終値!F179:S179)*(終値!E179:R179-終値!F179:S179))/SUMPRODUCT((終値!E179:R179&lt;終値!F179:S179)*(終値!F179:S179-終値!E179:R179))),100))</f>
        <v>66.858237547892713</v>
      </c>
      <c r="R179" s="503">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65.240257015504667</v>
      </c>
      <c r="S179" s="500"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弱気div▼</v>
      </c>
      <c r="T179" s="500" t="str">
        <f t="shared" si="25"/>
        <v>上walk▲</v>
      </c>
      <c r="U179" s="500" t="str">
        <f>IF(終値!A179="","",BB_スイング!BT179)</f>
        <v>二番底W形成</v>
      </c>
      <c r="V179" s="508">
        <f>IF($D179="","",IFERROR(出来高!E179/AVERAGE(出来高!E179:I179),""))</f>
        <v>0.86637182119728318</v>
      </c>
      <c r="W179" s="509"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△二番底形成</v>
      </c>
      <c r="X179" s="504">
        <f t="shared" si="31"/>
        <v>37</v>
      </c>
      <c r="Y179" s="501">
        <f t="shared" si="26"/>
        <v>2869</v>
      </c>
      <c r="Z179" s="501">
        <f t="shared" si="27"/>
        <v>2861.2253925732075</v>
      </c>
      <c r="AA179" s="501">
        <f t="shared" si="28"/>
        <v>2776.05</v>
      </c>
      <c r="AB179" s="501">
        <f t="shared" si="32"/>
        <v>2946.4007851464148</v>
      </c>
      <c r="AC179" s="507">
        <f t="shared" si="29"/>
        <v>0.83</v>
      </c>
      <c r="AD179" s="501">
        <f>IF($D179="","",MIN(終値!E179:I179))</f>
        <v>2828</v>
      </c>
      <c r="AE179" s="503">
        <f t="shared" si="30"/>
        <v>37.098210000000002</v>
      </c>
    </row>
    <row r="180" spans="1:31">
      <c r="A180" s="500" t="str">
        <f>IF(終値!A180="","",HYPERLINK("https://kabutan.jp/stock/?code="&amp;終値!A180,"📈"))</f>
        <v>📈</v>
      </c>
      <c r="B180" s="500" t="str">
        <f>IF(終値!A180="","",終値!A180)</f>
        <v>5440</v>
      </c>
      <c r="C180" s="499" t="str">
        <f>IF(終値!A180="","",終値!B180)</f>
        <v>共英製鋼</v>
      </c>
      <c r="D180" s="501">
        <f>IF(終値!A180="","",終値!E180)</f>
        <v>1893</v>
      </c>
      <c r="E180" s="501">
        <f>IF($D180="","",AVERAGE(終値!E180:X180))</f>
        <v>1878.5263157894738</v>
      </c>
      <c r="F180" s="502">
        <f>IF($D180="","",STDEVP(終値!E180:X180))</f>
        <v>61.716984287831892</v>
      </c>
      <c r="G180" s="501">
        <f>IF($D180="","",$E180+BB設定!$B$4*$F180)</f>
        <v>2001.9602843651376</v>
      </c>
      <c r="H180" s="501">
        <f>IF($D180="","",$E180+BB設定!$B$5*$F180)</f>
        <v>1940.2433000773055</v>
      </c>
      <c r="I180" s="501">
        <f>IF($D180="","",$E180-BB設定!$B$5*$F180)</f>
        <v>1816.809331501642</v>
      </c>
      <c r="J180" s="501">
        <f>IF($D180="","",$E180-BB設定!$B$4*$F180)</f>
        <v>1755.0923472138099</v>
      </c>
      <c r="K180" s="506">
        <f t="shared" si="22"/>
        <v>0.55862925893715398</v>
      </c>
      <c r="L180" s="505">
        <f t="shared" si="23"/>
        <v>13.141574599000405</v>
      </c>
      <c r="M180" s="505">
        <f>IF($D180="","",IFERROR(MIN(BB_帯幅!B180:AP180)*100,""))</f>
        <v>4.5404252334918747</v>
      </c>
      <c r="N180" s="500" t="str">
        <f>IF($L180="","",IF($L180&lt;=$M180*BB設定!$B$7,"スクイーズ★",IF($L180&lt;=$M180*1.3,"収縮","－")))</f>
        <v>－</v>
      </c>
      <c r="O180" s="500" t="str">
        <f>IF($D180="","",IF(AND(BB_帯幅!B180&gt;BB_帯幅!C180,BB_帯幅!C180&gt;BB_帯幅!D180),"拡大↑","縮小↓"))</f>
        <v>縮小↓</v>
      </c>
      <c r="P180" s="500" t="str">
        <f t="shared" si="24"/>
        <v>バンド内</v>
      </c>
      <c r="Q180" s="503">
        <f>IF($D180="","",IFERROR(100-100/(1+SUMPRODUCT((終値!E180:R180&gt;終値!F180:S180)*(終値!E180:R180-終値!F180:S180))/SUMPRODUCT((終値!E180:R180&lt;終値!F180:S180)*(終値!F180:S180-終値!E180:R180))),100))</f>
        <v>50.589367332210735</v>
      </c>
      <c r="R180" s="503">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63.78428032639156</v>
      </c>
      <c r="S180" s="500"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0" t="str">
        <f t="shared" si="25"/>
        <v>－</v>
      </c>
      <c r="U180" s="500" t="str">
        <f>IF(終値!A180="","",BB_スイング!BT180)</f>
        <v>－</v>
      </c>
      <c r="V180" s="508">
        <f>IF($D180="","",IFERROR(出来高!E180/AVERAGE(出来高!E180:I180),""))</f>
        <v>0.79085278704144835</v>
      </c>
      <c r="W180" s="509"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・押し目注目</v>
      </c>
      <c r="X180" s="504">
        <f t="shared" si="31"/>
        <v>25</v>
      </c>
      <c r="Y180" s="501">
        <f t="shared" si="26"/>
        <v>1893</v>
      </c>
      <c r="Z180" s="501">
        <f t="shared" si="27"/>
        <v>1940.2433000773055</v>
      </c>
      <c r="AA180" s="501">
        <f t="shared" si="28"/>
        <v>1878.5263157894738</v>
      </c>
      <c r="AB180" s="501">
        <f t="shared" si="32"/>
        <v>2001.9602843651376</v>
      </c>
      <c r="AC180" s="507">
        <f t="shared" si="29"/>
        <v>7.53</v>
      </c>
      <c r="AD180" s="501">
        <f>IF($D180="","",MIN(終値!E180:I180))</f>
        <v>1865</v>
      </c>
      <c r="AE180" s="503">
        <f t="shared" si="30"/>
        <v>25.098199999999999</v>
      </c>
    </row>
    <row r="181" spans="1:31">
      <c r="A181" s="500" t="str">
        <f>IF(終値!A181="","",HYPERLINK("https://kabutan.jp/stock/?code="&amp;終値!A181,"📈"))</f>
        <v>📈</v>
      </c>
      <c r="B181" s="500" t="str">
        <f>IF(終値!A181="","",終値!A181)</f>
        <v>9505</v>
      </c>
      <c r="C181" s="499" t="str">
        <f>IF(終値!A181="","",終値!B181)</f>
        <v>北陸電力</v>
      </c>
      <c r="D181" s="501">
        <f>IF(終値!A181="","",終値!E181)</f>
        <v>921.5</v>
      </c>
      <c r="E181" s="501">
        <f>IF($D181="","",AVERAGE(終値!E181:X181))</f>
        <v>933.25500000000011</v>
      </c>
      <c r="F181" s="502">
        <f>IF($D181="","",STDEVP(終値!E181:X181))</f>
        <v>27.809898867130034</v>
      </c>
      <c r="G181" s="501">
        <f>IF($D181="","",$E181+BB設定!$B$4*$F181)</f>
        <v>988.87479773426014</v>
      </c>
      <c r="H181" s="501">
        <f>IF($D181="","",$E181+BB設定!$B$5*$F181)</f>
        <v>961.06489886713018</v>
      </c>
      <c r="I181" s="501">
        <f>IF($D181="","",$E181-BB設定!$B$5*$F181)</f>
        <v>905.44510113287004</v>
      </c>
      <c r="J181" s="501">
        <f>IF($D181="","",$E181-BB設定!$B$4*$F181)</f>
        <v>877.63520226574008</v>
      </c>
      <c r="K181" s="506">
        <f t="shared" si="22"/>
        <v>0.3943271957211793</v>
      </c>
      <c r="L181" s="505">
        <f t="shared" si="23"/>
        <v>11.919528474909864</v>
      </c>
      <c r="M181" s="505">
        <f>IF($D181="","",IFERROR(MIN(BB_帯幅!B181:AP181)*100,""))</f>
        <v>8.1990548586117029</v>
      </c>
      <c r="N181" s="500" t="str">
        <f>IF($L181="","",IF($L181&lt;=$M181*BB設定!$B$7,"スクイーズ★",IF($L181&lt;=$M181*1.3,"収縮","－")))</f>
        <v>－</v>
      </c>
      <c r="O181" s="500" t="str">
        <f>IF($D181="","",IF(AND(BB_帯幅!B181&gt;BB_帯幅!C181,BB_帯幅!C181&gt;BB_帯幅!D181),"拡大↑","縮小↓"))</f>
        <v>縮小↓</v>
      </c>
      <c r="P181" s="500" t="str">
        <f t="shared" si="24"/>
        <v>バンド内</v>
      </c>
      <c r="Q181" s="503">
        <f>IF($D181="","",IFERROR(100-100/(1+SUMPRODUCT((終値!E181:R181&gt;終値!F181:S181)*(終値!E181:R181-終値!F181:S181))/SUMPRODUCT((終値!E181:R181&lt;終値!F181:S181)*(終値!F181:S181-終値!E181:R181))),100))</f>
        <v>52.549379880569589</v>
      </c>
      <c r="R181" s="503">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46.717067428670084</v>
      </c>
      <c r="S181" s="500"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v>
      </c>
      <c r="T181" s="500" t="str">
        <f t="shared" si="25"/>
        <v>－</v>
      </c>
      <c r="U181" s="500" t="str">
        <f>IF(終値!A181="","",BB_スイング!BT181)</f>
        <v>二番底W形成</v>
      </c>
      <c r="V181" s="508">
        <f>IF($D181="","",IFERROR(出来高!E181/AVERAGE(出来高!E181:I181),""))</f>
        <v>0.91101901987997735</v>
      </c>
      <c r="W181" s="509"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△二番底形成</v>
      </c>
      <c r="X181" s="504">
        <f t="shared" si="31"/>
        <v>0</v>
      </c>
      <c r="Y181" s="501">
        <f t="shared" si="26"/>
        <v>921.5</v>
      </c>
      <c r="Z181" s="501">
        <f t="shared" si="27"/>
        <v>961.06489886713018</v>
      </c>
      <c r="AA181" s="501">
        <f t="shared" si="28"/>
        <v>915.8</v>
      </c>
      <c r="AB181" s="501">
        <f t="shared" si="32"/>
        <v>988.87479773426014</v>
      </c>
      <c r="AC181" s="507">
        <f t="shared" si="29"/>
        <v>11.82</v>
      </c>
      <c r="AD181" s="501">
        <f>IF($D181="","",MIN(終値!E181:I181))</f>
        <v>915.8</v>
      </c>
      <c r="AE181" s="503">
        <f t="shared" si="30"/>
        <v>9.819E-2</v>
      </c>
    </row>
    <row r="182" spans="1:31">
      <c r="A182" s="500" t="str">
        <f>IF(終値!A182="","",HYPERLINK("https://kabutan.jp/stock/?code="&amp;終値!A182,"📈"))</f>
        <v>📈</v>
      </c>
      <c r="B182" s="500" t="str">
        <f>IF(終値!A182="","",終値!A182)</f>
        <v>8091</v>
      </c>
      <c r="C182" s="499" t="str">
        <f>IF(終値!A182="","",終値!B182)</f>
        <v>ニチモウ</v>
      </c>
      <c r="D182" s="501">
        <f>IF(終値!A182="","",終値!E182)</f>
        <v>2365</v>
      </c>
      <c r="E182" s="501">
        <f>IF($D182="","",AVERAGE(終値!E182:X182))</f>
        <v>2333.4499999999998</v>
      </c>
      <c r="F182" s="502">
        <f>IF($D182="","",STDEVP(終値!E182:X182))</f>
        <v>38.193553120912959</v>
      </c>
      <c r="G182" s="501">
        <f>IF($D182="","",$E182+BB設定!$B$4*$F182)</f>
        <v>2409.8371062418259</v>
      </c>
      <c r="H182" s="501">
        <f>IF($D182="","",$E182+BB設定!$B$5*$F182)</f>
        <v>2371.6435531209127</v>
      </c>
      <c r="I182" s="501">
        <f>IF($D182="","",$E182-BB設定!$B$5*$F182)</f>
        <v>2295.256446879087</v>
      </c>
      <c r="J182" s="501">
        <f>IF($D182="","",$E182-BB設定!$B$4*$F182)</f>
        <v>2257.0628937581737</v>
      </c>
      <c r="K182" s="506">
        <f t="shared" si="22"/>
        <v>0.70651391021489451</v>
      </c>
      <c r="L182" s="505">
        <f t="shared" si="23"/>
        <v>6.5471388923547664</v>
      </c>
      <c r="M182" s="505">
        <f>IF($D182="","",IFERROR(MIN(BB_帯幅!B182:AP182)*100,""))</f>
        <v>3.7551715015837268</v>
      </c>
      <c r="N182" s="500" t="str">
        <f>IF($L182="","",IF($L182&lt;=$M182*BB設定!$B$7,"スクイーズ★",IF($L182&lt;=$M182*1.3,"収縮","－")))</f>
        <v>－</v>
      </c>
      <c r="O182" s="500" t="str">
        <f>IF($D182="","",IF(AND(BB_帯幅!B182&gt;BB_帯幅!C182,BB_帯幅!C182&gt;BB_帯幅!D182),"拡大↑","縮小↓"))</f>
        <v>縮小↓</v>
      </c>
      <c r="P182" s="500" t="str">
        <f t="shared" si="24"/>
        <v>バンド内</v>
      </c>
      <c r="Q182" s="503">
        <f>IF($D182="","",IFERROR(100-100/(1+SUMPRODUCT((終値!E182:R182&gt;終値!F182:S182)*(終値!E182:R182-終値!F182:S182))/SUMPRODUCT((終値!E182:R182&lt;終値!F182:S182)*(終値!F182:S182-終値!E182:R182))),100))</f>
        <v>59.375</v>
      </c>
      <c r="R182" s="503">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77.828699499667721</v>
      </c>
      <c r="S182" s="500"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弱気div▼</v>
      </c>
      <c r="T182" s="500" t="str">
        <f t="shared" si="25"/>
        <v>－</v>
      </c>
      <c r="U182" s="500" t="str">
        <f>IF(終値!A182="","",BB_スイング!BT182)</f>
        <v>二番底W▲</v>
      </c>
      <c r="V182" s="508">
        <f>IF($D182="","",IFERROR(出来高!E182/AVERAGE(出来高!E182:I182),""))</f>
        <v>0.64381270903010035</v>
      </c>
      <c r="W182" s="509"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△二番底買(確)</v>
      </c>
      <c r="X182" s="504">
        <f t="shared" si="31"/>
        <v>25</v>
      </c>
      <c r="Y182" s="501">
        <f t="shared" si="26"/>
        <v>2365</v>
      </c>
      <c r="Z182" s="501">
        <f t="shared" si="27"/>
        <v>2371.6435531209127</v>
      </c>
      <c r="AA182" s="501">
        <f t="shared" si="28"/>
        <v>2333.4499999999998</v>
      </c>
      <c r="AB182" s="501">
        <f t="shared" si="32"/>
        <v>2409.8371062418259</v>
      </c>
      <c r="AC182" s="507">
        <f t="shared" si="29"/>
        <v>1.42</v>
      </c>
      <c r="AD182" s="501">
        <f>IF($D182="","",MIN(終値!E182:I182))</f>
        <v>2336</v>
      </c>
      <c r="AE182" s="503">
        <f t="shared" si="30"/>
        <v>25.098179999999999</v>
      </c>
    </row>
    <row r="183" spans="1:31" ht="24">
      <c r="A183" s="500" t="str">
        <f>IF(終値!A183="","",HYPERLINK("https://kabutan.jp/stock/?code="&amp;終値!A183,"📈"))</f>
        <v>📈</v>
      </c>
      <c r="B183" s="500" t="str">
        <f>IF(終値!A183="","",終値!A183)</f>
        <v>6507</v>
      </c>
      <c r="C183" s="499" t="str">
        <f>IF(終値!A183="","",終値!B183)</f>
        <v>シンフォニアテクノロジー</v>
      </c>
      <c r="D183" s="501">
        <f>IF(終値!A183="","",終値!E183)</f>
        <v>14020</v>
      </c>
      <c r="E183" s="501">
        <f>IF($D183="","",AVERAGE(終値!E183:X183))</f>
        <v>13879</v>
      </c>
      <c r="F183" s="502">
        <f>IF($D183="","",STDEVP(終値!E183:X183))</f>
        <v>823.55874107436932</v>
      </c>
      <c r="G183" s="501">
        <f>IF($D183="","",$E183+BB設定!$B$4*$F183)</f>
        <v>15526.117482148738</v>
      </c>
      <c r="H183" s="501">
        <f>IF($D183="","",$E183+BB設定!$B$5*$F183)</f>
        <v>14702.55874107437</v>
      </c>
      <c r="I183" s="501">
        <f>IF($D183="","",$E183-BB設定!$B$5*$F183)</f>
        <v>13055.44125892563</v>
      </c>
      <c r="J183" s="501">
        <f>IF($D183="","",$E183-BB設定!$B$4*$F183)</f>
        <v>12231.882517851262</v>
      </c>
      <c r="K183" s="506">
        <f t="shared" si="22"/>
        <v>0.54280204706954449</v>
      </c>
      <c r="L183" s="505">
        <f t="shared" si="23"/>
        <v>23.735391341577035</v>
      </c>
      <c r="M183" s="505">
        <f>IF($D183="","",IFERROR(MIN(BB_帯幅!B183:AP183)*100,""))</f>
        <v>17.441701283020901</v>
      </c>
      <c r="N183" s="500" t="str">
        <f>IF($L183="","",IF($L183&lt;=$M183*BB設定!$B$7,"スクイーズ★",IF($L183&lt;=$M183*1.3,"収縮","－")))</f>
        <v>－</v>
      </c>
      <c r="O183" s="500" t="str">
        <f>IF($D183="","",IF(AND(BB_帯幅!B183&gt;BB_帯幅!C183,BB_帯幅!C183&gt;BB_帯幅!D183),"拡大↑","縮小↓"))</f>
        <v>縮小↓</v>
      </c>
      <c r="P183" s="500" t="str">
        <f t="shared" si="24"/>
        <v>バンド内</v>
      </c>
      <c r="Q183" s="503">
        <f>IF($D183="","",IFERROR(100-100/(1+SUMPRODUCT((終値!E183:R183&gt;終値!F183:S183)*(終値!E183:R183-終値!F183:S183))/SUMPRODUCT((終値!E183:R183&lt;終値!F183:S183)*(終値!F183:S183-終値!E183:R183))),100))</f>
        <v>44.566544566544565</v>
      </c>
      <c r="R183" s="503">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62.527127604957514</v>
      </c>
      <c r="S183" s="500"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強気div▲</v>
      </c>
      <c r="T183" s="500" t="str">
        <f t="shared" si="25"/>
        <v>－</v>
      </c>
      <c r="U183" s="500" t="str">
        <f>IF(終値!A183="","",BB_スイング!BT183)</f>
        <v>－</v>
      </c>
      <c r="V183" s="508">
        <f>IF($D183="","",IFERROR(出来高!E183/AVERAGE(出来高!E183:I183),""))</f>
        <v>0.75528398277071018</v>
      </c>
      <c r="W183" s="509"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○反発(ダイバ)買</v>
      </c>
      <c r="X183" s="504">
        <f t="shared" si="31"/>
        <v>45</v>
      </c>
      <c r="Y183" s="501">
        <f t="shared" si="26"/>
        <v>14020</v>
      </c>
      <c r="Z183" s="501">
        <f t="shared" si="27"/>
        <v>14702.55874107437</v>
      </c>
      <c r="AA183" s="501">
        <f t="shared" si="28"/>
        <v>13879</v>
      </c>
      <c r="AB183" s="501">
        <f t="shared" si="32"/>
        <v>15526.117482148738</v>
      </c>
      <c r="AC183" s="507">
        <f t="shared" si="29"/>
        <v>10.68</v>
      </c>
      <c r="AD183" s="501">
        <f>IF($D183="","",MIN(終値!E183:I183))</f>
        <v>13330</v>
      </c>
      <c r="AE183" s="503">
        <f t="shared" si="30"/>
        <v>45.098170000000003</v>
      </c>
    </row>
    <row r="184" spans="1:31">
      <c r="A184" s="500" t="str">
        <f>IF(終値!A184="","",HYPERLINK("https://kabutan.jp/stock/?code="&amp;終値!A184,"📈"))</f>
        <v>📈</v>
      </c>
      <c r="B184" s="500" t="str">
        <f>IF(終値!A184="","",終値!A184)</f>
        <v>9022</v>
      </c>
      <c r="C184" s="499" t="str">
        <f>IF(終値!A184="","",終値!B184)</f>
        <v>東海旅客鉄道</v>
      </c>
      <c r="D184" s="501">
        <f>IF(終値!A184="","",終値!E184)</f>
        <v>3847</v>
      </c>
      <c r="E184" s="501">
        <f>IF($D184="","",AVERAGE(終値!E184:X184))</f>
        <v>3852.15</v>
      </c>
      <c r="F184" s="502">
        <f>IF($D184="","",STDEVP(終値!E184:X184))</f>
        <v>171.34505391169012</v>
      </c>
      <c r="G184" s="501">
        <f>IF($D184="","",$E184+BB設定!$B$4*$F184)</f>
        <v>4194.8401078233801</v>
      </c>
      <c r="H184" s="501">
        <f>IF($D184="","",$E184+BB設定!$B$5*$F184)</f>
        <v>4023.4950539116903</v>
      </c>
      <c r="I184" s="501">
        <f>IF($D184="","",$E184-BB設定!$B$5*$F184)</f>
        <v>3680.8049460883099</v>
      </c>
      <c r="J184" s="501">
        <f>IF($D184="","",$E184-BB設定!$B$4*$F184)</f>
        <v>3509.4598921766201</v>
      </c>
      <c r="K184" s="506">
        <f t="shared" si="22"/>
        <v>0.49248592258365631</v>
      </c>
      <c r="L184" s="505">
        <f t="shared" si="23"/>
        <v>17.792147648631541</v>
      </c>
      <c r="M184" s="505">
        <f>IF($D184="","",IFERROR(MIN(BB_帯幅!B184:AP184)*100,""))</f>
        <v>7.8315542616647278</v>
      </c>
      <c r="N184" s="500" t="str">
        <f>IF($L184="","",IF($L184&lt;=$M184*BB設定!$B$7,"スクイーズ★",IF($L184&lt;=$M184*1.3,"収縮","－")))</f>
        <v>－</v>
      </c>
      <c r="O184" s="500" t="str">
        <f>IF($D184="","",IF(AND(BB_帯幅!B184&gt;BB_帯幅!C184,BB_帯幅!C184&gt;BB_帯幅!D184),"拡大↑","縮小↓"))</f>
        <v>縮小↓</v>
      </c>
      <c r="P184" s="500" t="str">
        <f t="shared" si="24"/>
        <v>バンド内</v>
      </c>
      <c r="Q184" s="503">
        <f>IF($D184="","",IFERROR(100-100/(1+SUMPRODUCT((終値!E184:R184&gt;終値!F184:S184)*(終値!E184:R184-終値!F184:S184))/SUMPRODUCT((終値!E184:R184&lt;終値!F184:S184)*(終値!F184:S184-終値!E184:R184))),100))</f>
        <v>57.063711911357345</v>
      </c>
      <c r="R184" s="503">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54.562974124895916</v>
      </c>
      <c r="S184" s="500"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弱気div▼</v>
      </c>
      <c r="T184" s="500" t="str">
        <f t="shared" si="25"/>
        <v>－</v>
      </c>
      <c r="U184" s="500" t="str">
        <f>IF(終値!A184="","",BB_スイング!BT184)</f>
        <v>－</v>
      </c>
      <c r="V184" s="508">
        <f>IF($D184="","",IFERROR(出来高!E184/AVERAGE(出来高!E184:I184),""))</f>
        <v>0.6305892674367598</v>
      </c>
      <c r="W184" s="509"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様子見</v>
      </c>
      <c r="X184" s="504">
        <f t="shared" si="31"/>
        <v>5</v>
      </c>
      <c r="Y184" s="501">
        <f t="shared" si="26"/>
        <v>3847</v>
      </c>
      <c r="Z184" s="501">
        <f t="shared" si="27"/>
        <v>4023.4950539116903</v>
      </c>
      <c r="AA184" s="501">
        <f t="shared" si="28"/>
        <v>3820</v>
      </c>
      <c r="AB184" s="501">
        <f t="shared" si="32"/>
        <v>4194.8401078233801</v>
      </c>
      <c r="AC184" s="507">
        <f t="shared" si="29"/>
        <v>12.88</v>
      </c>
      <c r="AD184" s="501">
        <f>IF($D184="","",MIN(終値!E184:I184))</f>
        <v>3820</v>
      </c>
      <c r="AE184" s="503">
        <f t="shared" si="30"/>
        <v>5.09816</v>
      </c>
    </row>
    <row r="185" spans="1:31" ht="24">
      <c r="A185" s="500" t="str">
        <f>IF(終値!A185="","",HYPERLINK("https://kabutan.jp/stock/?code="&amp;終値!A185,"📈"))</f>
        <v>📈</v>
      </c>
      <c r="B185" s="500" t="str">
        <f>IF(終値!A185="","",終値!A185)</f>
        <v>9536</v>
      </c>
      <c r="C185" s="499" t="str">
        <f>IF(終値!A185="","",終値!B185)</f>
        <v>西部ガスＨＬＤＧＳ</v>
      </c>
      <c r="D185" s="501">
        <f>IF(終値!A185="","",終値!E185)</f>
        <v>2359</v>
      </c>
      <c r="E185" s="501">
        <f>IF($D185="","",AVERAGE(終値!E185:X185))</f>
        <v>2352.85</v>
      </c>
      <c r="F185" s="502">
        <f>IF($D185="","",STDEVP(終値!E185:X185))</f>
        <v>29.026324259196166</v>
      </c>
      <c r="G185" s="501">
        <f>IF($D185="","",$E185+BB設定!$B$4*$F185)</f>
        <v>2410.9026485183922</v>
      </c>
      <c r="H185" s="501">
        <f>IF($D185="","",$E185+BB設定!$B$5*$F185)</f>
        <v>2381.8763242591963</v>
      </c>
      <c r="I185" s="501">
        <f>IF($D185="","",$E185-BB設定!$B$5*$F185)</f>
        <v>2323.8236757408035</v>
      </c>
      <c r="J185" s="501">
        <f>IF($D185="","",$E185-BB設定!$B$4*$F185)</f>
        <v>2294.7973514816076</v>
      </c>
      <c r="K185" s="506">
        <f t="shared" si="22"/>
        <v>0.55296915952122017</v>
      </c>
      <c r="L185" s="505">
        <f t="shared" si="23"/>
        <v>4.9346663423841122</v>
      </c>
      <c r="M185" s="505">
        <f>IF($D185="","",IFERROR(MIN(BB_帯幅!B185:AP185)*100,""))</f>
        <v>3.2553730376534071</v>
      </c>
      <c r="N185" s="500" t="str">
        <f>IF($L185="","",IF($L185&lt;=$M185*BB設定!$B$7,"スクイーズ★",IF($L185&lt;=$M185*1.3,"収縮","－")))</f>
        <v>－</v>
      </c>
      <c r="O185" s="500" t="str">
        <f>IF($D185="","",IF(AND(BB_帯幅!B185&gt;BB_帯幅!C185,BB_帯幅!C185&gt;BB_帯幅!D185),"拡大↑","縮小↓"))</f>
        <v>縮小↓</v>
      </c>
      <c r="P185" s="500" t="str">
        <f t="shared" si="24"/>
        <v>バンド内</v>
      </c>
      <c r="Q185" s="503">
        <f>IF($D185="","",IFERROR(100-100/(1+SUMPRODUCT((終値!E185:R185&gt;終値!F185:S185)*(終値!E185:R185-終値!F185:S185))/SUMPRODUCT((終値!E185:R185&lt;終値!F185:S185)*(終値!F185:S185-終値!E185:R185))),100))</f>
        <v>53.439153439153436</v>
      </c>
      <c r="R185" s="503">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54.842737143893807</v>
      </c>
      <c r="S185" s="500"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0" t="str">
        <f t="shared" si="25"/>
        <v>－</v>
      </c>
      <c r="U185" s="500" t="str">
        <f>IF(終値!A185="","",BB_スイング!BT185)</f>
        <v>二番底W形成</v>
      </c>
      <c r="V185" s="508">
        <f>IF($D185="","",IFERROR(出来高!E185/AVERAGE(出来高!E185:I185),""))</f>
        <v>0.81914404049700873</v>
      </c>
      <c r="W185" s="509"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△二番底形成</v>
      </c>
      <c r="X185" s="504">
        <f t="shared" si="31"/>
        <v>20</v>
      </c>
      <c r="Y185" s="501">
        <f t="shared" si="26"/>
        <v>2359</v>
      </c>
      <c r="Z185" s="501">
        <f t="shared" si="27"/>
        <v>2381.8763242591963</v>
      </c>
      <c r="AA185" s="501">
        <f t="shared" si="28"/>
        <v>2352.85</v>
      </c>
      <c r="AB185" s="501">
        <f t="shared" si="32"/>
        <v>2410.9026485183922</v>
      </c>
      <c r="AC185" s="507">
        <f t="shared" si="29"/>
        <v>8.44</v>
      </c>
      <c r="AD185" s="501">
        <f>IF($D185="","",MIN(終値!E185:I185))</f>
        <v>2333</v>
      </c>
      <c r="AE185" s="503">
        <f t="shared" si="30"/>
        <v>20.09815</v>
      </c>
    </row>
    <row r="186" spans="1:31">
      <c r="A186" s="500" t="str">
        <f>IF(終値!A186="","",HYPERLINK("https://kabutan.jp/stock/?code="&amp;終値!A186,"📈"))</f>
        <v>📈</v>
      </c>
      <c r="B186" s="500" t="str">
        <f>IF(終値!A186="","",終値!A186)</f>
        <v>9506</v>
      </c>
      <c r="C186" s="499" t="str">
        <f>IF(終値!A186="","",終値!B186)</f>
        <v>東北電力</v>
      </c>
      <c r="D186" s="501">
        <f>IF(終値!A186="","",終値!E186)</f>
        <v>1205</v>
      </c>
      <c r="E186" s="501">
        <f>IF($D186="","",AVERAGE(終値!E186:X186))</f>
        <v>1147.825</v>
      </c>
      <c r="F186" s="502">
        <f>IF($D186="","",STDEVP(終値!E186:X186))</f>
        <v>37.91183027763234</v>
      </c>
      <c r="G186" s="501">
        <f>IF($D186="","",$E186+BB設定!$B$4*$F186)</f>
        <v>1223.6486605552648</v>
      </c>
      <c r="H186" s="501">
        <f>IF($D186="","",$E186+BB設定!$B$5*$F186)</f>
        <v>1185.7368302776324</v>
      </c>
      <c r="I186" s="501">
        <f>IF($D186="","",$E186-BB設定!$B$5*$F186)</f>
        <v>1109.9131697223677</v>
      </c>
      <c r="J186" s="501">
        <f>IF($D186="","",$E186-BB設定!$B$4*$F186)</f>
        <v>1072.0013394447353</v>
      </c>
      <c r="K186" s="506">
        <f t="shared" si="22"/>
        <v>0.87702611283405041</v>
      </c>
      <c r="L186" s="505">
        <f t="shared" si="23"/>
        <v>13.21171094117391</v>
      </c>
      <c r="M186" s="505">
        <f>IF($D186="","",IFERROR(MIN(BB_帯幅!B186:AP186)*100,""))</f>
        <v>7.6260185059629029</v>
      </c>
      <c r="N186" s="500" t="str">
        <f>IF($L186="","",IF($L186&lt;=$M186*BB設定!$B$7,"スクイーズ★",IF($L186&lt;=$M186*1.3,"収縮","－")))</f>
        <v>－</v>
      </c>
      <c r="O186" s="500" t="str">
        <f>IF($D186="","",IF(AND(BB_帯幅!B186&gt;BB_帯幅!C186,BB_帯幅!C186&gt;BB_帯幅!D186),"拡大↑","縮小↓"))</f>
        <v>縮小↓</v>
      </c>
      <c r="P186" s="500" t="str">
        <f t="shared" si="24"/>
        <v>+1σ上</v>
      </c>
      <c r="Q186" s="503">
        <f>IF($D186="","",IFERROR(100-100/(1+SUMPRODUCT((終値!E186:R186&gt;終値!F186:S186)*(終値!E186:R186-終値!F186:S186))/SUMPRODUCT((終値!E186:R186&lt;終値!F186:S186)*(終値!F186:S186-終値!E186:R186))),100))</f>
        <v>73.134328358208961</v>
      </c>
      <c r="R186" s="503">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49.32014296382139</v>
      </c>
      <c r="S186" s="500"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0" t="str">
        <f t="shared" si="25"/>
        <v>上walk▲</v>
      </c>
      <c r="U186" s="500" t="str">
        <f>IF(終値!A186="","",BB_スイング!BT186)</f>
        <v>二番天井M▼</v>
      </c>
      <c r="V186" s="508">
        <f>IF($D186="","",IFERROR(出来高!E186/AVERAGE(出来高!E186:I186),""))</f>
        <v>0.93223043778924408</v>
      </c>
      <c r="W186" s="509"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▼二番天井警戒</v>
      </c>
      <c r="X186" s="504">
        <f t="shared" si="31"/>
        <v>5</v>
      </c>
      <c r="Y186" s="501">
        <f t="shared" si="26"/>
        <v>1205</v>
      </c>
      <c r="Z186" s="501">
        <f t="shared" si="27"/>
        <v>1185.7368302776324</v>
      </c>
      <c r="AA186" s="501">
        <f t="shared" si="28"/>
        <v>1147.825</v>
      </c>
      <c r="AB186" s="501">
        <f t="shared" si="32"/>
        <v>1223.6486605552648</v>
      </c>
      <c r="AC186" s="507">
        <f t="shared" si="29"/>
        <v>0.33</v>
      </c>
      <c r="AD186" s="501">
        <f>IF($D186="","",MIN(終値!E186:I186))</f>
        <v>1180.5</v>
      </c>
      <c r="AE186" s="503">
        <f t="shared" si="30"/>
        <v>5.0981399999999999</v>
      </c>
    </row>
    <row r="187" spans="1:31" ht="24">
      <c r="A187" s="500" t="str">
        <f>IF(終値!A187="","",HYPERLINK("https://kabutan.jp/stock/?code="&amp;終値!A187,"📈"))</f>
        <v>📈</v>
      </c>
      <c r="B187" s="500" t="str">
        <f>IF(終値!A187="","",終値!A187)</f>
        <v>2127</v>
      </c>
      <c r="C187" s="499" t="str">
        <f>IF(終値!A187="","",終値!B187)</f>
        <v>日本Ｍ＆Ａセンターホールデ</v>
      </c>
      <c r="D187" s="501">
        <f>IF(終値!A187="","",終値!E187)</f>
        <v>639</v>
      </c>
      <c r="E187" s="501">
        <f>IF($D187="","",AVERAGE(終値!E187:X187))</f>
        <v>667.40499999999997</v>
      </c>
      <c r="F187" s="502">
        <f>IF($D187="","",STDEVP(終値!E187:X187))</f>
        <v>19.695595319766291</v>
      </c>
      <c r="G187" s="501">
        <f>IF($D187="","",$E187+BB設定!$B$4*$F187)</f>
        <v>706.7961906395326</v>
      </c>
      <c r="H187" s="501">
        <f>IF($D187="","",$E187+BB設定!$B$5*$F187)</f>
        <v>687.10059531976628</v>
      </c>
      <c r="I187" s="501">
        <f>IF($D187="","",$E187-BB設定!$B$5*$F187)</f>
        <v>647.70940468023366</v>
      </c>
      <c r="J187" s="501">
        <f>IF($D187="","",$E187-BB設定!$B$4*$F187)</f>
        <v>628.01380936046735</v>
      </c>
      <c r="K187" s="506">
        <f t="shared" si="22"/>
        <v>0.13944984222572615</v>
      </c>
      <c r="L187" s="505">
        <f t="shared" si="23"/>
        <v>11.804283947388056</v>
      </c>
      <c r="M187" s="505">
        <f>IF($D187="","",IFERROR(MIN(BB_帯幅!B187:AP187)*100,""))</f>
        <v>5.9825909714472711</v>
      </c>
      <c r="N187" s="500" t="str">
        <f>IF($L187="","",IF($L187&lt;=$M187*BB設定!$B$7,"スクイーズ★",IF($L187&lt;=$M187*1.3,"収縮","－")))</f>
        <v>－</v>
      </c>
      <c r="O187" s="500" t="str">
        <f>IF($D187="","",IF(AND(BB_帯幅!B187&gt;BB_帯幅!C187,BB_帯幅!C187&gt;BB_帯幅!D187),"拡大↑","縮小↓"))</f>
        <v>拡大↑</v>
      </c>
      <c r="P187" s="500" t="str">
        <f t="shared" si="24"/>
        <v>-1σ下</v>
      </c>
      <c r="Q187" s="503">
        <f>IF($D187="","",IFERROR(100-100/(1+SUMPRODUCT((終値!E187:R187&gt;終値!F187:S187)*(終値!E187:R187-終値!F187:S187))/SUMPRODUCT((終値!E187:R187&lt;終値!F187:S187)*(終値!F187:S187-終値!E187:R187))),100))</f>
        <v>36.262975778546668</v>
      </c>
      <c r="R187" s="503">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53.712175007502019</v>
      </c>
      <c r="S187" s="500"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v>
      </c>
      <c r="T187" s="500" t="str">
        <f t="shared" si="25"/>
        <v>下walk▼</v>
      </c>
      <c r="U187" s="500" t="str">
        <f>IF(終値!A187="","",BB_スイング!BT187)</f>
        <v>－</v>
      </c>
      <c r="V187" s="508">
        <f>IF($D187="","",IFERROR(出来高!E187/AVERAGE(出来高!E187:I187),""))</f>
        <v>0.38321976549588394</v>
      </c>
      <c r="W187" s="509"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4">
        <f t="shared" si="31"/>
        <v>0</v>
      </c>
      <c r="Y187" s="501">
        <f t="shared" si="26"/>
        <v>639</v>
      </c>
      <c r="Z187" s="501">
        <f t="shared" si="27"/>
        <v>687.10059531976628</v>
      </c>
      <c r="AA187" s="501">
        <f t="shared" si="28"/>
        <v>635.20000000000005</v>
      </c>
      <c r="AB187" s="501">
        <f t="shared" si="32"/>
        <v>706.7961906395326</v>
      </c>
      <c r="AC187" s="507">
        <f t="shared" si="29"/>
        <v>17.84</v>
      </c>
      <c r="AD187" s="501">
        <f>IF($D187="","",MIN(終値!E187:I187))</f>
        <v>635.20000000000005</v>
      </c>
      <c r="AE187" s="503">
        <f t="shared" si="30"/>
        <v>9.8129999999999995E-2</v>
      </c>
    </row>
    <row r="188" spans="1:31">
      <c r="A188" s="500" t="str">
        <f>IF(終値!A188="","",HYPERLINK("https://kabutan.jp/stock/?code="&amp;終値!A188,"📈"))</f>
        <v>📈</v>
      </c>
      <c r="B188" s="500" t="str">
        <f>IF(終値!A188="","",終値!A188)</f>
        <v>6753</v>
      </c>
      <c r="C188" s="499" t="str">
        <f>IF(終値!A188="","",終値!B188)</f>
        <v>シャープ</v>
      </c>
      <c r="D188" s="501">
        <f>IF(終値!A188="","",終値!E188)</f>
        <v>634.9</v>
      </c>
      <c r="E188" s="501">
        <f>IF($D188="","",AVERAGE(終値!E188:X188))</f>
        <v>626.57999999999993</v>
      </c>
      <c r="F188" s="502">
        <f>IF($D188="","",STDEVP(終値!E188:X188))</f>
        <v>15.121924480700196</v>
      </c>
      <c r="G188" s="501">
        <f>IF($D188="","",$E188+BB設定!$B$4*$F188)</f>
        <v>656.82384896140036</v>
      </c>
      <c r="H188" s="501">
        <f>IF($D188="","",$E188+BB設定!$B$5*$F188)</f>
        <v>641.70192448070009</v>
      </c>
      <c r="I188" s="501">
        <f>IF($D188="","",$E188-BB設定!$B$5*$F188)</f>
        <v>611.45807551929977</v>
      </c>
      <c r="J188" s="501">
        <f>IF($D188="","",$E188-BB設定!$B$4*$F188)</f>
        <v>596.3361510385995</v>
      </c>
      <c r="K188" s="506">
        <f t="shared" si="22"/>
        <v>0.63754863031188069</v>
      </c>
      <c r="L188" s="505">
        <f t="shared" si="23"/>
        <v>9.6536272978392006</v>
      </c>
      <c r="M188" s="505">
        <f>IF($D188="","",IFERROR(MIN(BB_帯幅!B188:AP188)*100,""))</f>
        <v>9.6536272978391882</v>
      </c>
      <c r="N188" s="500" t="str">
        <f>IF($L188="","",IF($L188&lt;=$M188*BB設定!$B$7,"スクイーズ★",IF($L188&lt;=$M188*1.3,"収縮","－")))</f>
        <v>スクイーズ★</v>
      </c>
      <c r="O188" s="500" t="str">
        <f>IF($D188="","",IF(AND(BB_帯幅!B188&gt;BB_帯幅!C188,BB_帯幅!C188&gt;BB_帯幅!D188),"拡大↑","縮小↓"))</f>
        <v>縮小↓</v>
      </c>
      <c r="P188" s="500" t="str">
        <f t="shared" si="24"/>
        <v>バンド内</v>
      </c>
      <c r="Q188" s="503">
        <f>IF($D188="","",IFERROR(100-100/(1+SUMPRODUCT((終値!E188:R188&gt;終値!F188:S188)*(終値!E188:R188-終値!F188:S188))/SUMPRODUCT((終値!E188:R188&lt;終値!F188:S188)*(終値!F188:S188-終値!E188:R188))),100))</f>
        <v>49.26829268292682</v>
      </c>
      <c r="R188" s="503">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53.72996080086854</v>
      </c>
      <c r="S188" s="500"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0" t="str">
        <f t="shared" si="25"/>
        <v>－</v>
      </c>
      <c r="U188" s="500" t="str">
        <f>IF(終値!A188="","",BB_スイング!BT188)</f>
        <v>二番底W▲</v>
      </c>
      <c r="V188" s="508">
        <f>IF($D188="","",IFERROR(出来高!E188/AVERAGE(出来高!E188:I188),""))</f>
        <v>0.95831213508733681</v>
      </c>
      <c r="W188" s="509"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△二番底買(確)</v>
      </c>
      <c r="X188" s="504">
        <f t="shared" si="31"/>
        <v>35</v>
      </c>
      <c r="Y188" s="501">
        <f t="shared" si="26"/>
        <v>634.9</v>
      </c>
      <c r="Z188" s="501">
        <f t="shared" si="27"/>
        <v>641.70192448070009</v>
      </c>
      <c r="AA188" s="501">
        <f t="shared" si="28"/>
        <v>626.57999999999993</v>
      </c>
      <c r="AB188" s="501">
        <f t="shared" si="32"/>
        <v>656.82384896140036</v>
      </c>
      <c r="AC188" s="507">
        <f t="shared" si="29"/>
        <v>2.64</v>
      </c>
      <c r="AD188" s="501">
        <f>IF($D188="","",MIN(終値!E188:I188))</f>
        <v>617.70000000000005</v>
      </c>
      <c r="AE188" s="503">
        <f t="shared" si="30"/>
        <v>35.098120000000002</v>
      </c>
    </row>
    <row r="189" spans="1:31" ht="24">
      <c r="A189" s="500" t="str">
        <f>IF(終値!A189="","",HYPERLINK("https://kabutan.jp/stock/?code="&amp;終値!A189,"📈"))</f>
        <v>📈</v>
      </c>
      <c r="B189" s="500" t="str">
        <f>IF(終値!A189="","",終値!A189)</f>
        <v>9064</v>
      </c>
      <c r="C189" s="499" t="str">
        <f>IF(終値!A189="","",終値!B189)</f>
        <v>ヤマトホールディングス</v>
      </c>
      <c r="D189" s="501">
        <f>IF(終値!A189="","",終値!E189)</f>
        <v>1892.5</v>
      </c>
      <c r="E189" s="501">
        <f>IF($D189="","",AVERAGE(終値!E189:X189))</f>
        <v>2007.95</v>
      </c>
      <c r="F189" s="502">
        <f>IF($D189="","",STDEVP(終値!E189:X189))</f>
        <v>79.168159635045185</v>
      </c>
      <c r="G189" s="501">
        <f>IF($D189="","",$E189+BB設定!$B$4*$F189)</f>
        <v>2166.2863192700906</v>
      </c>
      <c r="H189" s="501">
        <f>IF($D189="","",$E189+BB設定!$B$5*$F189)</f>
        <v>2087.1181596350452</v>
      </c>
      <c r="I189" s="501">
        <f>IF($D189="","",$E189-BB設定!$B$5*$F189)</f>
        <v>1928.7818403649549</v>
      </c>
      <c r="J189" s="501">
        <f>IF($D189="","",$E189-BB設定!$B$4*$F189)</f>
        <v>1849.6136807299097</v>
      </c>
      <c r="K189" s="506">
        <f t="shared" si="22"/>
        <v>0.13542792793147709</v>
      </c>
      <c r="L189" s="505">
        <f t="shared" si="23"/>
        <v>15.770942430846432</v>
      </c>
      <c r="M189" s="505">
        <f>IF($D189="","",IFERROR(MIN(BB_帯幅!B189:AP189)*100,""))</f>
        <v>4.2820201031130285</v>
      </c>
      <c r="N189" s="500" t="str">
        <f>IF($L189="","",IF($L189&lt;=$M189*BB設定!$B$7,"スクイーズ★",IF($L189&lt;=$M189*1.3,"収縮","－")))</f>
        <v>－</v>
      </c>
      <c r="O189" s="500" t="str">
        <f>IF($D189="","",IF(AND(BB_帯幅!B189&gt;BB_帯幅!C189,BB_帯幅!C189&gt;BB_帯幅!D189),"拡大↑","縮小↓"))</f>
        <v>拡大↑</v>
      </c>
      <c r="P189" s="500" t="str">
        <f t="shared" si="24"/>
        <v>-1σ下</v>
      </c>
      <c r="Q189" s="503">
        <f>IF($D189="","",IFERROR(100-100/(1+SUMPRODUCT((終値!E189:R189&gt;終値!F189:S189)*(終値!E189:R189-終値!F189:S189))/SUMPRODUCT((終値!E189:R189&lt;終値!F189:S189)*(終値!F189:S189-終値!E189:R189))),100))</f>
        <v>42.669172932330831</v>
      </c>
      <c r="R189" s="503">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46.601398440036469</v>
      </c>
      <c r="S189" s="500"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0" t="str">
        <f t="shared" si="25"/>
        <v>下walk▼</v>
      </c>
      <c r="U189" s="500" t="str">
        <f>IF(終値!A189="","",BB_スイング!BT189)</f>
        <v>－</v>
      </c>
      <c r="V189" s="508">
        <f>IF($D189="","",IFERROR(出来高!E189/AVERAGE(出来高!E189:I189),""))</f>
        <v>1.1747704537420101</v>
      </c>
      <c r="W189" s="509"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様子見</v>
      </c>
      <c r="X189" s="504">
        <f t="shared" si="31"/>
        <v>0</v>
      </c>
      <c r="Y189" s="501">
        <f t="shared" si="26"/>
        <v>1892.5</v>
      </c>
      <c r="Z189" s="501">
        <f t="shared" si="27"/>
        <v>2087.1181596350452</v>
      </c>
      <c r="AA189" s="501">
        <f t="shared" si="28"/>
        <v>1880</v>
      </c>
      <c r="AB189" s="501">
        <f t="shared" si="32"/>
        <v>2166.2863192700906</v>
      </c>
      <c r="AC189" s="507">
        <f t="shared" si="29"/>
        <v>20</v>
      </c>
      <c r="AD189" s="501">
        <f>IF($D189="","",MIN(終値!E189:I189))</f>
        <v>1880</v>
      </c>
      <c r="AE189" s="503">
        <f t="shared" si="30"/>
        <v>9.8110000000000003E-2</v>
      </c>
    </row>
    <row r="190" spans="1:31">
      <c r="A190" s="500" t="str">
        <f>IF(終値!A190="","",HYPERLINK("https://kabutan.jp/stock/?code="&amp;終値!A190,"📈"))</f>
        <v>📈</v>
      </c>
      <c r="B190" s="500" t="str">
        <f>IF(終値!A190="","",終値!A190)</f>
        <v>7181</v>
      </c>
      <c r="C190" s="499" t="str">
        <f>IF(終値!A190="","",終値!B190)</f>
        <v>かんぽ生命保険</v>
      </c>
      <c r="D190" s="501">
        <f>IF(終値!A190="","",終値!E190)</f>
        <v>1750.5</v>
      </c>
      <c r="E190" s="501">
        <f>IF($D190="","",AVERAGE(終値!E190:X190))</f>
        <v>1707.575</v>
      </c>
      <c r="F190" s="502">
        <f>IF($D190="","",STDEVP(終値!E190:X190))</f>
        <v>58.982470912975494</v>
      </c>
      <c r="G190" s="501">
        <f>IF($D190="","",$E190+BB設定!$B$4*$F190)</f>
        <v>1825.539941825951</v>
      </c>
      <c r="H190" s="501">
        <f>IF($D190="","",$E190+BB設定!$B$5*$F190)</f>
        <v>1766.5574709129755</v>
      </c>
      <c r="I190" s="501">
        <f>IF($D190="","",$E190-BB設定!$B$5*$F190)</f>
        <v>1648.5925290870246</v>
      </c>
      <c r="J190" s="501">
        <f>IF($D190="","",$E190-BB設定!$B$4*$F190)</f>
        <v>1589.6100581740491</v>
      </c>
      <c r="K190" s="506">
        <f t="shared" si="22"/>
        <v>0.68193964806651108</v>
      </c>
      <c r="L190" s="505">
        <f t="shared" si="23"/>
        <v>13.816663025161526</v>
      </c>
      <c r="M190" s="505">
        <f>IF($D190="","",IFERROR(MIN(BB_帯幅!B190:AP190)*100,""))</f>
        <v>11.439834252146021</v>
      </c>
      <c r="N190" s="500" t="str">
        <f>IF($L190="","",IF($L190&lt;=$M190*BB設定!$B$7,"スクイーズ★",IF($L190&lt;=$M190*1.3,"収縮","－")))</f>
        <v>収縮</v>
      </c>
      <c r="O190" s="500" t="str">
        <f>IF($D190="","",IF(AND(BB_帯幅!B190&gt;BB_帯幅!C190,BB_帯幅!C190&gt;BB_帯幅!D190),"拡大↑","縮小↓"))</f>
        <v>縮小↓</v>
      </c>
      <c r="P190" s="500" t="str">
        <f t="shared" si="24"/>
        <v>バンド内</v>
      </c>
      <c r="Q190" s="503">
        <f>IF($D190="","",IFERROR(100-100/(1+SUMPRODUCT((終値!E190:R190&gt;終値!F190:S190)*(終値!E190:R190-終値!F190:S190))/SUMPRODUCT((終値!E190:R190&lt;終値!F190:S190)*(終値!F190:S190-終値!E190:R190))),100))</f>
        <v>57.910750507099394</v>
      </c>
      <c r="R190" s="503">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64.473610316914161</v>
      </c>
      <c r="S190" s="500"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0" t="str">
        <f t="shared" si="25"/>
        <v>－</v>
      </c>
      <c r="U190" s="500" t="str">
        <f>IF(終値!A190="","",BB_スイング!BT190)</f>
        <v>二番底W形成</v>
      </c>
      <c r="V190" s="508">
        <f>IF($D190="","",IFERROR(出来高!E190/AVERAGE(出来高!E190:I190),""))</f>
        <v>0.88716344437555195</v>
      </c>
      <c r="W190" s="509"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△二番底形成</v>
      </c>
      <c r="X190" s="504">
        <f t="shared" si="31"/>
        <v>35</v>
      </c>
      <c r="Y190" s="501">
        <f t="shared" si="26"/>
        <v>1750.5</v>
      </c>
      <c r="Z190" s="501">
        <f t="shared" si="27"/>
        <v>1766.5574709129755</v>
      </c>
      <c r="AA190" s="501">
        <f t="shared" si="28"/>
        <v>1707.575</v>
      </c>
      <c r="AB190" s="501">
        <f t="shared" si="32"/>
        <v>1825.539941825951</v>
      </c>
      <c r="AC190" s="507">
        <f t="shared" si="29"/>
        <v>1.75</v>
      </c>
      <c r="AD190" s="501">
        <f>IF($D190="","",MIN(終値!E190:I190))</f>
        <v>1686</v>
      </c>
      <c r="AE190" s="503">
        <f t="shared" si="30"/>
        <v>35.098100000000002</v>
      </c>
    </row>
    <row r="191" spans="1:31">
      <c r="A191" s="500" t="str">
        <f>IF(終値!A191="","",HYPERLINK("https://kabutan.jp/stock/?code="&amp;終値!A191,"📈"))</f>
        <v>📈</v>
      </c>
      <c r="B191" s="500" t="str">
        <f>IF(終値!A191="","",終値!A191)</f>
        <v>6485</v>
      </c>
      <c r="C191" s="499" t="str">
        <f>IF(終値!A191="","",終値!B191)</f>
        <v>前澤給装工業</v>
      </c>
      <c r="D191" s="501">
        <f>IF(終値!A191="","",終値!E191)</f>
        <v>1605</v>
      </c>
      <c r="E191" s="501">
        <f>IF($D191="","",AVERAGE(終値!E191:X191))</f>
        <v>1561.3</v>
      </c>
      <c r="F191" s="502">
        <f>IF($D191="","",STDEVP(終値!E191:X191))</f>
        <v>21.941057403871856</v>
      </c>
      <c r="G191" s="501">
        <f>IF($D191="","",$E191+BB設定!$B$4*$F191)</f>
        <v>1605.1821148077436</v>
      </c>
      <c r="H191" s="501">
        <f>IF($D191="","",$E191+BB設定!$B$5*$F191)</f>
        <v>1583.2410574038718</v>
      </c>
      <c r="I191" s="501">
        <f>IF($D191="","",$E191-BB設定!$B$5*$F191)</f>
        <v>1539.3589425961281</v>
      </c>
      <c r="J191" s="501">
        <f>IF($D191="","",$E191-BB設定!$B$4*$F191)</f>
        <v>1517.4178851922563</v>
      </c>
      <c r="K191" s="506">
        <f t="shared" si="22"/>
        <v>0.99792495406680537</v>
      </c>
      <c r="L191" s="505">
        <f t="shared" si="23"/>
        <v>5.6212277983403087</v>
      </c>
      <c r="M191" s="505">
        <f>IF($D191="","",IFERROR(MIN(BB_帯幅!B191:AP191)*100,""))</f>
        <v>5.2113871601844668</v>
      </c>
      <c r="N191" s="500" t="str">
        <f>IF($L191="","",IF($L191&lt;=$M191*BB設定!$B$7,"スクイーズ★",IF($L191&lt;=$M191*1.3,"収縮","－")))</f>
        <v>スクイーズ★</v>
      </c>
      <c r="O191" s="500" t="str">
        <f>IF($D191="","",IF(AND(BB_帯幅!B191&gt;BB_帯幅!C191,BB_帯幅!C191&gt;BB_帯幅!D191),"拡大↑","縮小↓"))</f>
        <v>縮小↓</v>
      </c>
      <c r="P191" s="500" t="str">
        <f t="shared" si="24"/>
        <v>+1σ上</v>
      </c>
      <c r="Q191" s="503">
        <f>IF($D191="","",IFERROR(100-100/(1+SUMPRODUCT((終値!E191:R191&gt;終値!F191:S191)*(終値!E191:R191-終値!F191:S191))/SUMPRODUCT((終値!E191:R191&lt;終値!F191:S191)*(終値!F191:S191-終値!E191:R191))),100))</f>
        <v>63.636363636363633</v>
      </c>
      <c r="R191" s="503">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65.797673201717402</v>
      </c>
      <c r="S191" s="500"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v>
      </c>
      <c r="T191" s="500" t="str">
        <f t="shared" si="25"/>
        <v>上walk▲</v>
      </c>
      <c r="U191" s="500" t="str">
        <f>IF(終値!A191="","",BB_スイング!BT191)</f>
        <v>二番底W▲</v>
      </c>
      <c r="V191" s="508">
        <f>IF($D191="","",IFERROR(出来高!E191/AVERAGE(出来高!E191:I191),""))</f>
        <v>1.1682242990654206</v>
      </c>
      <c r="W191" s="509"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4">
        <f t="shared" si="31"/>
        <v>57</v>
      </c>
      <c r="Y191" s="501">
        <f t="shared" si="26"/>
        <v>1605</v>
      </c>
      <c r="Z191" s="501">
        <f t="shared" si="27"/>
        <v>1583.2410574038718</v>
      </c>
      <c r="AA191" s="501">
        <f t="shared" si="28"/>
        <v>1561.3</v>
      </c>
      <c r="AB191" s="501">
        <f t="shared" si="32"/>
        <v>1605.1821148077436</v>
      </c>
      <c r="AC191" s="507">
        <f t="shared" si="29"/>
        <v>0</v>
      </c>
      <c r="AD191" s="501">
        <f>IF($D191="","",MIN(終値!E191:I191))</f>
        <v>1569</v>
      </c>
      <c r="AE191" s="503">
        <f t="shared" si="30"/>
        <v>57.098089999999999</v>
      </c>
    </row>
    <row r="192" spans="1:31" ht="24">
      <c r="A192" s="500" t="str">
        <f>IF(終値!A192="","",HYPERLINK("https://kabutan.jp/stock/?code="&amp;終値!A192,"📈"))</f>
        <v>📈</v>
      </c>
      <c r="B192" s="500" t="str">
        <f>IF(終値!A192="","",終値!A192)</f>
        <v>4887</v>
      </c>
      <c r="C192" s="499" t="str">
        <f>IF(終値!A192="","",終値!B192)</f>
        <v>サワイグループＨＤ</v>
      </c>
      <c r="D192" s="501">
        <f>IF(終値!A192="","",終値!E192)</f>
        <v>1624</v>
      </c>
      <c r="E192" s="501">
        <f>IF($D192="","",AVERAGE(終値!E192:X192))</f>
        <v>1666.325</v>
      </c>
      <c r="F192" s="502">
        <f>IF($D192="","",STDEVP(終値!E192:X192))</f>
        <v>32.423862740272021</v>
      </c>
      <c r="G192" s="501">
        <f>IF($D192="","",$E192+BB設定!$B$4*$F192)</f>
        <v>1731.1727254805442</v>
      </c>
      <c r="H192" s="501">
        <f>IF($D192="","",$E192+BB設定!$B$5*$F192)</f>
        <v>1698.748862740272</v>
      </c>
      <c r="I192" s="501">
        <f>IF($D192="","",$E192-BB設定!$B$5*$F192)</f>
        <v>1633.9011372597281</v>
      </c>
      <c r="J192" s="501">
        <f>IF($D192="","",$E192-BB設定!$B$4*$F192)</f>
        <v>1601.4772745194559</v>
      </c>
      <c r="K192" s="506">
        <f t="shared" si="22"/>
        <v>0.17365856175866515</v>
      </c>
      <c r="L192" s="505">
        <f t="shared" si="23"/>
        <v>7.7833226388062489</v>
      </c>
      <c r="M192" s="505">
        <f>IF($D192="","",IFERROR(MIN(BB_帯幅!B192:AP192)*100,""))</f>
        <v>5.7435853746937067</v>
      </c>
      <c r="N192" s="500" t="str">
        <f>IF($L192="","",IF($L192&lt;=$M192*BB設定!$B$7,"スクイーズ★",IF($L192&lt;=$M192*1.3,"収縮","－")))</f>
        <v>－</v>
      </c>
      <c r="O192" s="500" t="str">
        <f>IF($D192="","",IF(AND(BB_帯幅!B192&gt;BB_帯幅!C192,BB_帯幅!C192&gt;BB_帯幅!D192),"拡大↑","縮小↓"))</f>
        <v>縮小↓</v>
      </c>
      <c r="P192" s="500" t="str">
        <f t="shared" si="24"/>
        <v>-1σ下</v>
      </c>
      <c r="Q192" s="503">
        <f>IF($D192="","",IFERROR(100-100/(1+SUMPRODUCT((終値!E192:R192&gt;終値!F192:S192)*(終値!E192:R192-終値!F192:S192))/SUMPRODUCT((終値!E192:R192&lt;終値!F192:S192)*(終値!F192:S192-終値!E192:R192))),100))</f>
        <v>34.858387799564269</v>
      </c>
      <c r="R192" s="503">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45.56906713144614</v>
      </c>
      <c r="S192" s="500"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v>
      </c>
      <c r="T192" s="500" t="str">
        <f t="shared" si="25"/>
        <v>下walk▼</v>
      </c>
      <c r="U192" s="500" t="str">
        <f>IF(終値!A192="","",BB_スイング!BT192)</f>
        <v>二番底W形成</v>
      </c>
      <c r="V192" s="508">
        <f>IF($D192="","",IFERROR(出来高!E192/AVERAGE(出来高!E192:I192),""))</f>
        <v>0.80725182949518337</v>
      </c>
      <c r="W192" s="509"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△二番底形成</v>
      </c>
      <c r="X192" s="504">
        <f t="shared" si="31"/>
        <v>0</v>
      </c>
      <c r="Y192" s="501">
        <f t="shared" si="26"/>
        <v>1624</v>
      </c>
      <c r="Z192" s="501">
        <f t="shared" si="27"/>
        <v>1698.748862740272</v>
      </c>
      <c r="AA192" s="501">
        <f t="shared" si="28"/>
        <v>1599</v>
      </c>
      <c r="AB192" s="501">
        <f t="shared" si="32"/>
        <v>1731.1727254805442</v>
      </c>
      <c r="AC192" s="507">
        <f t="shared" si="29"/>
        <v>4.29</v>
      </c>
      <c r="AD192" s="501">
        <f>IF($D192="","",MIN(終値!E192:I192))</f>
        <v>1599</v>
      </c>
      <c r="AE192" s="503">
        <f t="shared" si="30"/>
        <v>9.8080000000000001E-2</v>
      </c>
    </row>
    <row r="193" spans="1:31">
      <c r="A193" s="500" t="str">
        <f>IF(終値!A193="","",HYPERLINK("https://kabutan.jp/stock/?code="&amp;終値!A193,"📈"))</f>
        <v>📈</v>
      </c>
      <c r="B193" s="500" t="str">
        <f>IF(終値!A193="","",終値!A193)</f>
        <v>5243</v>
      </c>
      <c r="C193" s="499" t="str">
        <f>IF(終値!A193="","",終値!B193)</f>
        <v>ＮＯＴＥ</v>
      </c>
      <c r="D193" s="501">
        <f>IF(終値!A193="","",終値!E193)</f>
        <v>2314</v>
      </c>
      <c r="E193" s="501">
        <f>IF($D193="","",AVERAGE(終値!E193:X193))</f>
        <v>2103.1</v>
      </c>
      <c r="F193" s="502">
        <f>IF($D193="","",STDEVP(終値!E193:X193))</f>
        <v>106.52694494821486</v>
      </c>
      <c r="G193" s="501">
        <f>IF($D193="","",$E193+BB設定!$B$4*$F193)</f>
        <v>2316.1538898964295</v>
      </c>
      <c r="H193" s="501">
        <f>IF($D193="","",$E193+BB設定!$B$5*$F193)</f>
        <v>2209.6269449482147</v>
      </c>
      <c r="I193" s="501">
        <f>IF($D193="","",$E193-BB設定!$B$5*$F193)</f>
        <v>1996.5730550517851</v>
      </c>
      <c r="J193" s="501">
        <f>IF($D193="","",$E193-BB設定!$B$4*$F193)</f>
        <v>1890.0461101035703</v>
      </c>
      <c r="K193" s="506">
        <f t="shared" si="22"/>
        <v>0.99494519931676306</v>
      </c>
      <c r="L193" s="505">
        <f t="shared" si="23"/>
        <v>20.260937653599886</v>
      </c>
      <c r="M193" s="505">
        <f>IF($D193="","",IFERROR(MIN(BB_帯幅!B193:AP193)*100,""))</f>
        <v>17.691719996432525</v>
      </c>
      <c r="N193" s="500" t="str">
        <f>IF($L193="","",IF($L193&lt;=$M193*BB設定!$B$7,"スクイーズ★",IF($L193&lt;=$M193*1.3,"収縮","－")))</f>
        <v>収縮</v>
      </c>
      <c r="O193" s="500" t="str">
        <f>IF($D193="","",IF(AND(BB_帯幅!B193&gt;BB_帯幅!C193,BB_帯幅!C193&gt;BB_帯幅!D193),"拡大↑","縮小↓"))</f>
        <v>拡大↑</v>
      </c>
      <c r="P193" s="500" t="str">
        <f t="shared" si="24"/>
        <v>+1σ上</v>
      </c>
      <c r="Q193" s="503">
        <f>IF($D193="","",IFERROR(100-100/(1+SUMPRODUCT((終値!E193:R193&gt;終値!F193:S193)*(終値!E193:R193-終値!F193:S193))/SUMPRODUCT((終値!E193:R193&lt;終値!F193:S193)*(終値!F193:S193-終値!E193:R193))),100))</f>
        <v>57.91433891992552</v>
      </c>
      <c r="R193" s="503">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62.145217340537819</v>
      </c>
      <c r="S193" s="500"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0" t="str">
        <f t="shared" si="25"/>
        <v>上walk▲</v>
      </c>
      <c r="U193" s="500" t="str">
        <f>IF(終値!A193="","",BB_スイング!BT193)</f>
        <v>二番底W▲</v>
      </c>
      <c r="V193" s="508">
        <f>IF($D193="","",IFERROR(出来高!E193/AVERAGE(出来高!E193:I193),""))</f>
        <v>1.177131116207951</v>
      </c>
      <c r="W193" s="509"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△二番底買(確)</v>
      </c>
      <c r="X193" s="504">
        <f t="shared" si="31"/>
        <v>67</v>
      </c>
      <c r="Y193" s="501">
        <f t="shared" si="26"/>
        <v>2314</v>
      </c>
      <c r="Z193" s="501">
        <f t="shared" si="27"/>
        <v>2209.6269449482147</v>
      </c>
      <c r="AA193" s="501">
        <f t="shared" si="28"/>
        <v>2103.1</v>
      </c>
      <c r="AB193" s="501">
        <f t="shared" si="32"/>
        <v>2316.1538898964295</v>
      </c>
      <c r="AC193" s="507">
        <f t="shared" si="29"/>
        <v>0.01</v>
      </c>
      <c r="AD193" s="501">
        <f>IF($D193="","",MIN(終値!E193:I193))</f>
        <v>1984</v>
      </c>
      <c r="AE193" s="503">
        <f t="shared" si="30"/>
        <v>67.098070000000007</v>
      </c>
    </row>
    <row r="194" spans="1:31" ht="24">
      <c r="A194" s="500" t="str">
        <f>IF(終値!A194="","",HYPERLINK("https://kabutan.jp/stock/?code="&amp;終値!A194,"📈"))</f>
        <v>📈</v>
      </c>
      <c r="B194" s="500" t="str">
        <f>IF(終値!A194="","",終値!A194)</f>
        <v>2702</v>
      </c>
      <c r="C194" s="499" t="str">
        <f>IF(終値!A194="","",終値!B194)</f>
        <v>日本マクドナルドＨＬＤＧ</v>
      </c>
      <c r="D194" s="501">
        <f>IF(終値!A194="","",終値!E194)</f>
        <v>8050</v>
      </c>
      <c r="E194" s="501">
        <f>IF($D194="","",AVERAGE(終値!E194:X194))</f>
        <v>7842.6315789473683</v>
      </c>
      <c r="F194" s="502">
        <f>IF($D194="","",STDEVP(終値!E194:X194))</f>
        <v>226.38676977483883</v>
      </c>
      <c r="G194" s="501">
        <f>IF($D194="","",$E194+BB設定!$B$4*$F194)</f>
        <v>8295.4051184970467</v>
      </c>
      <c r="H194" s="501">
        <f>IF($D194="","",$E194+BB設定!$B$5*$F194)</f>
        <v>8069.0183487222075</v>
      </c>
      <c r="I194" s="501">
        <f>IF($D194="","",$E194-BB設定!$B$5*$F194)</f>
        <v>7616.2448091725291</v>
      </c>
      <c r="J194" s="501">
        <f>IF($D194="","",$E194-BB設定!$B$4*$F194)</f>
        <v>7389.8580393976908</v>
      </c>
      <c r="K194" s="506">
        <f t="shared" si="22"/>
        <v>0.7289979459255469</v>
      </c>
      <c r="L194" s="505">
        <f t="shared" si="23"/>
        <v>11.546469701958099</v>
      </c>
      <c r="M194" s="505">
        <f>IF($D194="","",IFERROR(MIN(BB_帯幅!B194:AP194)*100,""))</f>
        <v>6.4260276574236261</v>
      </c>
      <c r="N194" s="500" t="str">
        <f>IF($L194="","",IF($L194&lt;=$M194*BB設定!$B$7,"スクイーズ★",IF($L194&lt;=$M194*1.3,"収縮","－")))</f>
        <v>－</v>
      </c>
      <c r="O194" s="500" t="str">
        <f>IF($D194="","",IF(AND(BB_帯幅!B194&gt;BB_帯幅!C194,BB_帯幅!C194&gt;BB_帯幅!D194),"拡大↑","縮小↓"))</f>
        <v>縮小↓</v>
      </c>
      <c r="P194" s="500" t="str">
        <f t="shared" si="24"/>
        <v>バンド内</v>
      </c>
      <c r="Q194" s="503">
        <f>IF($D194="","",IFERROR(100-100/(1+SUMPRODUCT((終値!E194:R194&gt;終値!F194:S194)*(終値!E194:R194-終値!F194:S194))/SUMPRODUCT((終値!E194:R194&lt;終値!F194:S194)*(終値!F194:S194-終値!E194:R194))),100))</f>
        <v>51.430310407790628</v>
      </c>
      <c r="R194" s="503">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59.242397666535659</v>
      </c>
      <c r="S194" s="500"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0" t="str">
        <f t="shared" si="25"/>
        <v>－</v>
      </c>
      <c r="U194" s="500" t="str">
        <f>IF(終値!A194="","",BB_スイング!BT194)</f>
        <v>－</v>
      </c>
      <c r="V194" s="508">
        <f>IF($D194="","",IFERROR(出来高!E194/AVERAGE(出来高!E194:I194),""))</f>
        <v>0.98942208462332304</v>
      </c>
      <c r="W194" s="509"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様子見</v>
      </c>
      <c r="X194" s="504">
        <f t="shared" si="31"/>
        <v>20</v>
      </c>
      <c r="Y194" s="501">
        <f t="shared" si="26"/>
        <v>8050</v>
      </c>
      <c r="Z194" s="501">
        <f t="shared" si="27"/>
        <v>8069.0183487222075</v>
      </c>
      <c r="AA194" s="501">
        <f t="shared" si="28"/>
        <v>7842.6315789473683</v>
      </c>
      <c r="AB194" s="501">
        <f t="shared" si="32"/>
        <v>8295.4051184970467</v>
      </c>
      <c r="AC194" s="507">
        <f t="shared" si="29"/>
        <v>1.18</v>
      </c>
      <c r="AD194" s="501">
        <f>IF($D194="","",MIN(終値!E194:I194))</f>
        <v>7990</v>
      </c>
      <c r="AE194" s="503">
        <f t="shared" si="30"/>
        <v>20.09806</v>
      </c>
    </row>
    <row r="195" spans="1:31">
      <c r="A195" s="500" t="str">
        <f>IF(終値!A195="","",HYPERLINK("https://kabutan.jp/stock/?code="&amp;終値!A195,"📈"))</f>
        <v>📈</v>
      </c>
      <c r="B195" s="500" t="str">
        <f>IF(終値!A195="","",終値!A195)</f>
        <v>6890</v>
      </c>
      <c r="C195" s="499" t="str">
        <f>IF(終値!A195="","",終値!B195)</f>
        <v>フェローテック</v>
      </c>
      <c r="D195" s="501">
        <f>IF(終値!A195="","",終値!E195)</f>
        <v>8880</v>
      </c>
      <c r="E195" s="501">
        <f>IF($D195="","",AVERAGE(終値!E195:X195))</f>
        <v>8196.5</v>
      </c>
      <c r="F195" s="502">
        <f>IF($D195="","",STDEVP(終値!E195:X195))</f>
        <v>694.74653651529638</v>
      </c>
      <c r="G195" s="501">
        <f>IF($D195="","",$E195+BB設定!$B$4*$F195)</f>
        <v>9585.9930730305932</v>
      </c>
      <c r="H195" s="501">
        <f>IF($D195="","",$E195+BB設定!$B$5*$F195)</f>
        <v>8891.2465365152966</v>
      </c>
      <c r="I195" s="501">
        <f>IF($D195="","",$E195-BB設定!$B$5*$F195)</f>
        <v>7501.7534634847034</v>
      </c>
      <c r="J195" s="501">
        <f>IF($D195="","",$E195-BB設定!$B$4*$F195)</f>
        <v>6807.0069269694068</v>
      </c>
      <c r="K195" s="506">
        <f t="shared" si="22"/>
        <v>0.74595300734721659</v>
      </c>
      <c r="L195" s="505">
        <f t="shared" si="23"/>
        <v>33.904546404699403</v>
      </c>
      <c r="M195" s="505">
        <f>IF($D195="","",IFERROR(MIN(BB_帯幅!B195:AP195)*100,""))</f>
        <v>22.577335255178259</v>
      </c>
      <c r="N195" s="500" t="str">
        <f>IF($L195="","",IF($L195&lt;=$M195*BB設定!$B$7,"スクイーズ★",IF($L195&lt;=$M195*1.3,"収縮","－")))</f>
        <v>－</v>
      </c>
      <c r="O195" s="500" t="str">
        <f>IF($D195="","",IF(AND(BB_帯幅!B195&gt;BB_帯幅!C195,BB_帯幅!C195&gt;BB_帯幅!D195),"拡大↑","縮小↓"))</f>
        <v>拡大↑</v>
      </c>
      <c r="P195" s="500" t="str">
        <f t="shared" si="24"/>
        <v>バンド内</v>
      </c>
      <c r="Q195" s="503">
        <f>IF($D195="","",IFERROR(100-100/(1+SUMPRODUCT((終値!E195:R195&gt;終値!F195:S195)*(終値!E195:R195-終値!F195:S195))/SUMPRODUCT((終値!E195:R195&lt;終値!F195:S195)*(終値!F195:S195-終値!E195:R195))),100))</f>
        <v>53.934010152284266</v>
      </c>
      <c r="R195" s="503">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27.425310572425829</v>
      </c>
      <c r="S195" s="500"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0" t="str">
        <f t="shared" si="25"/>
        <v>－</v>
      </c>
      <c r="U195" s="500" t="str">
        <f>IF(終値!A195="","",BB_スイング!BT195)</f>
        <v>二番底W▲</v>
      </c>
      <c r="V195" s="508">
        <f>IF($D195="","",IFERROR(出来高!E195/AVERAGE(出来高!E195:I195),""))</f>
        <v>0.81967905915309291</v>
      </c>
      <c r="W195" s="509"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○反発(ダイバ)買</v>
      </c>
      <c r="X195" s="504">
        <f t="shared" si="31"/>
        <v>40</v>
      </c>
      <c r="Y195" s="501">
        <f t="shared" si="26"/>
        <v>8880</v>
      </c>
      <c r="Z195" s="501">
        <f t="shared" si="27"/>
        <v>8891.2465365152966</v>
      </c>
      <c r="AA195" s="501">
        <f t="shared" si="28"/>
        <v>8196.5</v>
      </c>
      <c r="AB195" s="501">
        <f t="shared" si="32"/>
        <v>9585.9930730305932</v>
      </c>
      <c r="AC195" s="507">
        <f t="shared" si="29"/>
        <v>1.03</v>
      </c>
      <c r="AD195" s="501">
        <f>IF($D195="","",MIN(終値!E195:I195))</f>
        <v>8190</v>
      </c>
      <c r="AE195" s="503">
        <f t="shared" si="30"/>
        <v>40.098050000000001</v>
      </c>
    </row>
    <row r="196" spans="1:31">
      <c r="A196" s="500" t="str">
        <f>IF(終値!A196="","",HYPERLINK("https://kabutan.jp/stock/?code="&amp;終値!A196,"📈"))</f>
        <v>📈</v>
      </c>
      <c r="B196" s="500" t="str">
        <f>IF(終値!A196="","",終値!A196)</f>
        <v>4966</v>
      </c>
      <c r="C196" s="499" t="str">
        <f>IF(終値!A196="","",終値!B196)</f>
        <v>上村工業</v>
      </c>
      <c r="D196" s="501">
        <f>IF(終値!A196="","",終値!E196)</f>
        <v>24320</v>
      </c>
      <c r="E196" s="501">
        <f>IF($D196="","",AVERAGE(終値!E196:X196))</f>
        <v>23421</v>
      </c>
      <c r="F196" s="502">
        <f>IF($D196="","",STDEVP(終値!E196:X196))</f>
        <v>1350.2218336258675</v>
      </c>
      <c r="G196" s="501">
        <f>IF($D196="","",$E196+BB設定!$B$4*$F196)</f>
        <v>26121.443667251733</v>
      </c>
      <c r="H196" s="501">
        <f>IF($D196="","",$E196+BB設定!$B$5*$F196)</f>
        <v>24771.221833625867</v>
      </c>
      <c r="I196" s="501">
        <f>IF($D196="","",$E196-BB設定!$B$5*$F196)</f>
        <v>22070.778166374133</v>
      </c>
      <c r="J196" s="501">
        <f>IF($D196="","",$E196-BB設定!$B$4*$F196)</f>
        <v>20720.556332748267</v>
      </c>
      <c r="K196" s="506">
        <f t="shared" si="22"/>
        <v>0.6664541295384474</v>
      </c>
      <c r="L196" s="505">
        <f t="shared" si="23"/>
        <v>23.060020214779328</v>
      </c>
      <c r="M196" s="505">
        <f>IF($D196="","",IFERROR(MIN(BB_帯幅!B196:AP196)*100,""))</f>
        <v>14.142471596390171</v>
      </c>
      <c r="N196" s="500" t="str">
        <f>IF($L196="","",IF($L196&lt;=$M196*BB設定!$B$7,"スクイーズ★",IF($L196&lt;=$M196*1.3,"収縮","－")))</f>
        <v>－</v>
      </c>
      <c r="O196" s="500" t="str">
        <f>IF($D196="","",IF(AND(BB_帯幅!B196&gt;BB_帯幅!C196,BB_帯幅!C196&gt;BB_帯幅!D196),"拡大↑","縮小↓"))</f>
        <v>縮小↓</v>
      </c>
      <c r="P196" s="500" t="str">
        <f t="shared" si="24"/>
        <v>バンド内</v>
      </c>
      <c r="Q196" s="503">
        <f>IF($D196="","",IFERROR(100-100/(1+SUMPRODUCT((終値!E196:R196&gt;終値!F196:S196)*(終値!E196:R196-終値!F196:S196))/SUMPRODUCT((終値!E196:R196&lt;終値!F196:S196)*(終値!F196:S196-終値!E196:R196))),100))</f>
        <v>46.647440519105984</v>
      </c>
      <c r="R196" s="503">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43.980145920860053</v>
      </c>
      <c r="S196" s="500"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0" t="str">
        <f t="shared" si="25"/>
        <v>－</v>
      </c>
      <c r="U196" s="500" t="str">
        <f>IF(終値!A196="","",BB_スイング!BT196)</f>
        <v>二番天井M形成</v>
      </c>
      <c r="V196" s="508">
        <f>IF($D196="","",IFERROR(出来高!E196/AVERAGE(出来高!E196:I196),""))</f>
        <v>1.0386190754827385</v>
      </c>
      <c r="W196" s="509"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4">
        <f t="shared" si="31"/>
        <v>0</v>
      </c>
      <c r="Y196" s="501">
        <f t="shared" si="26"/>
        <v>24320</v>
      </c>
      <c r="Z196" s="501">
        <f t="shared" si="27"/>
        <v>24771.221833625867</v>
      </c>
      <c r="AA196" s="501">
        <f t="shared" si="28"/>
        <v>23421</v>
      </c>
      <c r="AB196" s="501">
        <f t="shared" si="32"/>
        <v>26121.443667251733</v>
      </c>
      <c r="AC196" s="507">
        <f t="shared" si="29"/>
        <v>2</v>
      </c>
      <c r="AD196" s="501">
        <f>IF($D196="","",MIN(終値!E196:I196))</f>
        <v>22380</v>
      </c>
      <c r="AE196" s="503">
        <f t="shared" si="30"/>
        <v>9.8040000000000002E-2</v>
      </c>
    </row>
    <row r="197" spans="1:31">
      <c r="A197" s="500" t="str">
        <f>IF(終値!A197="","",HYPERLINK("https://kabutan.jp/stock/?code="&amp;終値!A197,"📈"))</f>
        <v>📈</v>
      </c>
      <c r="B197" s="500" t="str">
        <f>IF(終値!A197="","",終値!A197)</f>
        <v>6146</v>
      </c>
      <c r="C197" s="499" t="str">
        <f>IF(終値!A197="","",終値!B197)</f>
        <v>ディスコ</v>
      </c>
      <c r="D197" s="501">
        <f>IF(終値!A197="","",終値!E197)</f>
        <v>61590</v>
      </c>
      <c r="E197" s="501">
        <f>IF($D197="","",AVERAGE(終値!E197:X197))</f>
        <v>64242</v>
      </c>
      <c r="F197" s="502">
        <f>IF($D197="","",STDEVP(終値!E197:X197))</f>
        <v>6567.6476762993307</v>
      </c>
      <c r="G197" s="501">
        <f>IF($D197="","",$E197+BB設定!$B$4*$F197)</f>
        <v>77377.295352598667</v>
      </c>
      <c r="H197" s="501">
        <f>IF($D197="","",$E197+BB設定!$B$5*$F197)</f>
        <v>70809.647676299326</v>
      </c>
      <c r="I197" s="501">
        <f>IF($D197="","",$E197-BB設定!$B$5*$F197)</f>
        <v>57674.352323700667</v>
      </c>
      <c r="J197" s="501">
        <f>IF($D197="","",$E197-BB設定!$B$4*$F197)</f>
        <v>51106.70464740134</v>
      </c>
      <c r="K197" s="506">
        <f t="shared" si="22"/>
        <v>0.39905061405888614</v>
      </c>
      <c r="L197" s="505">
        <f t="shared" si="23"/>
        <v>40.893170675255014</v>
      </c>
      <c r="M197" s="505">
        <f>IF($D197="","",IFERROR(MIN(BB_帯幅!B197:AP197)*100,""))</f>
        <v>20.902020204825416</v>
      </c>
      <c r="N197" s="500" t="str">
        <f>IF($L197="","",IF($L197&lt;=$M197*BB設定!$B$7,"スクイーズ★",IF($L197&lt;=$M197*1.3,"収縮","－")))</f>
        <v>－</v>
      </c>
      <c r="O197" s="500" t="str">
        <f>IF($D197="","",IF(AND(BB_帯幅!B197&gt;BB_帯幅!C197,BB_帯幅!C197&gt;BB_帯幅!D197),"拡大↑","縮小↓"))</f>
        <v>縮小↓</v>
      </c>
      <c r="P197" s="500" t="str">
        <f t="shared" si="24"/>
        <v>バンド内</v>
      </c>
      <c r="Q197" s="503">
        <f>IF($D197="","",IFERROR(100-100/(1+SUMPRODUCT((終値!E197:R197&gt;終値!F197:S197)*(終値!E197:R197-終値!F197:S197))/SUMPRODUCT((終値!E197:R197&lt;終値!F197:S197)*(終値!F197:S197-終値!E197:R197))),100))</f>
        <v>37.938684953610334</v>
      </c>
      <c r="R197" s="503">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55.619299940789318</v>
      </c>
      <c r="S197" s="500"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強気div▲</v>
      </c>
      <c r="T197" s="500" t="str">
        <f t="shared" si="25"/>
        <v>－</v>
      </c>
      <c r="U197" s="500" t="str">
        <f>IF(終値!A197="","",BB_スイング!BT197)</f>
        <v>二番天井M▼</v>
      </c>
      <c r="V197" s="508">
        <f>IF($D197="","",IFERROR(出来高!E197/AVERAGE(出来高!E197:I197),""))</f>
        <v>0.67779332745900933</v>
      </c>
      <c r="W197" s="509"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4">
        <f t="shared" si="31"/>
        <v>0</v>
      </c>
      <c r="Y197" s="501">
        <f t="shared" si="26"/>
        <v>61590</v>
      </c>
      <c r="Z197" s="501">
        <f t="shared" si="27"/>
        <v>70809.647676299326</v>
      </c>
      <c r="AA197" s="501">
        <f t="shared" si="28"/>
        <v>58480</v>
      </c>
      <c r="AB197" s="501">
        <f t="shared" si="32"/>
        <v>77377.295352598667</v>
      </c>
      <c r="AC197" s="507">
        <f t="shared" si="29"/>
        <v>5.08</v>
      </c>
      <c r="AD197" s="501">
        <f>IF($D197="","",MIN(終値!E197:I197))</f>
        <v>58480</v>
      </c>
      <c r="AE197" s="503">
        <f t="shared" si="30"/>
        <v>9.8030000000000006E-2</v>
      </c>
    </row>
    <row r="198" spans="1:31">
      <c r="A198" s="500" t="str">
        <f>IF(終値!A198="","",HYPERLINK("https://kabutan.jp/stock/?code="&amp;終値!A198,"📈"))</f>
        <v>📈</v>
      </c>
      <c r="B198" s="500" t="str">
        <f>IF(終値!A198="","",終値!A198)</f>
        <v>8035</v>
      </c>
      <c r="C198" s="499" t="str">
        <f>IF(終値!A198="","",終値!B198)</f>
        <v>東京エレクトロン</v>
      </c>
      <c r="D198" s="501">
        <f>IF(終値!A198="","",終値!E198)</f>
        <v>55330</v>
      </c>
      <c r="E198" s="501">
        <f>IF($D198="","",AVERAGE(終値!E198:X198))</f>
        <v>62814.5</v>
      </c>
      <c r="F198" s="502">
        <f>IF($D198="","",STDEVP(終値!E198:X198))</f>
        <v>7251.6759959336296</v>
      </c>
      <c r="G198" s="501">
        <f>IF($D198="","",$E198+BB設定!$B$4*$F198)</f>
        <v>77317.851991867254</v>
      </c>
      <c r="H198" s="501">
        <f>IF($D198="","",$E198+BB設定!$B$5*$F198)</f>
        <v>70066.175995933634</v>
      </c>
      <c r="I198" s="501">
        <f>IF($D198="","",$E198-BB設定!$B$5*$F198)</f>
        <v>55562.824004066373</v>
      </c>
      <c r="J198" s="501">
        <f>IF($D198="","",$E198-BB設定!$B$4*$F198)</f>
        <v>48311.148008132739</v>
      </c>
      <c r="K198" s="506">
        <f t="shared" ref="K198:K261" si="33">IF($D198="","",IFERROR(($D198-$J198)/($G198-$J198),""))</f>
        <v>0.24197344158105921</v>
      </c>
      <c r="L198" s="505">
        <f t="shared" ref="L198:L261" si="34">IF($D198="","",IFERROR(($G198-$J198)/$E198*100,""))</f>
        <v>46.178356882144271</v>
      </c>
      <c r="M198" s="505">
        <f>IF($D198="","",IFERROR(MIN(BB_帯幅!B198:AP198)*100,""))</f>
        <v>15.342965894944232</v>
      </c>
      <c r="N198" s="500" t="str">
        <f>IF($L198="","",IF($L198&lt;=$M198*BB設定!$B$7,"スクイーズ★",IF($L198&lt;=$M198*1.3,"収縮","－")))</f>
        <v>－</v>
      </c>
      <c r="O198" s="500" t="str">
        <f>IF($D198="","",IF(AND(BB_帯幅!B198&gt;BB_帯幅!C198,BB_帯幅!C198&gt;BB_帯幅!D198),"拡大↑","縮小↓"))</f>
        <v>縮小↓</v>
      </c>
      <c r="P198" s="500" t="str">
        <f t="shared" ref="P198:P261" si="35">IF($D198="","",IF($D198&gt;$G198,"↑+2σ突破",IF($D198&lt;$J198,"↓-2σ割れ",IF($D198&gt;$H198,"+1σ上",IF($D198&lt;$I198,"-1σ下","バンド内")))))</f>
        <v>-1σ下</v>
      </c>
      <c r="Q198" s="503">
        <f>IF($D198="","",IFERROR(100-100/(1+SUMPRODUCT((終値!E198:R198&gt;終値!F198:S198)*(終値!E198:R198-終値!F198:S198))/SUMPRODUCT((終値!E198:R198&lt;終値!F198:S198)*(終値!F198:S198-終値!E198:R198))),100))</f>
        <v>26.509316770186331</v>
      </c>
      <c r="R198" s="503">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48.801244528878733</v>
      </c>
      <c r="S198" s="500"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0" t="str">
        <f t="shared" ref="T198:T261" si="36">IF($D198="","",IF($D198&gt;=$H198,"上walk▲",IF($D198&lt;=$I198,"下walk▼","－")))</f>
        <v>下walk▼</v>
      </c>
      <c r="U198" s="500" t="str">
        <f>IF(終値!A198="","",BB_スイング!BT198)</f>
        <v>－</v>
      </c>
      <c r="V198" s="508">
        <f>IF($D198="","",IFERROR(出来高!E198/AVERAGE(出来高!E198:I198),""))</f>
        <v>0.61265474085158478</v>
      </c>
      <c r="W198" s="509"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様子見</v>
      </c>
      <c r="X198" s="504">
        <f t="shared" si="31"/>
        <v>0</v>
      </c>
      <c r="Y198" s="501">
        <f t="shared" ref="Y198:Y261" si="37">IF($D198="","",$D198)</f>
        <v>55330</v>
      </c>
      <c r="Z198" s="501">
        <f t="shared" ref="Z198:Z261" si="38">IF($D198="","",$H198)</f>
        <v>70066.175995933634</v>
      </c>
      <c r="AA198" s="501">
        <f t="shared" ref="AA198:AA261" si="39">IF($D198="","",IF($D198&gt;$E198,$E198,$AD198))</f>
        <v>54990</v>
      </c>
      <c r="AB198" s="501">
        <f t="shared" si="32"/>
        <v>77317.851991867254</v>
      </c>
      <c r="AC198" s="507">
        <f t="shared" ref="AC198:AC261" si="40">IF($D198="","",IF(($Y198-$AA198)&lt;=0,"－",IFERROR(ROUND(MIN(20,($AB198-$Y198)/($Y198-$AA198)),2),"－")))</f>
        <v>20</v>
      </c>
      <c r="AD198" s="501">
        <f>IF($D198="","",MIN(終値!E198:I198))</f>
        <v>54990</v>
      </c>
      <c r="AE198" s="503">
        <f t="shared" ref="AE198:AE261" si="41">IF($D198="","",$X198+(10000-ROW())/100000)</f>
        <v>9.8019999999999996E-2</v>
      </c>
    </row>
    <row r="199" spans="1:31">
      <c r="A199" s="500" t="str">
        <f>IF(終値!A199="","",HYPERLINK("https://kabutan.jp/stock/?code="&amp;終値!A199,"📈"))</f>
        <v>📈</v>
      </c>
      <c r="B199" s="500" t="str">
        <f>IF(終値!A199="","",終値!A199)</f>
        <v>6920</v>
      </c>
      <c r="C199" s="499" t="str">
        <f>IF(終値!A199="","",終値!B199)</f>
        <v>レーザーテック</v>
      </c>
      <c r="D199" s="501">
        <f>IF(終値!A199="","",終値!E199)</f>
        <v>43330</v>
      </c>
      <c r="E199" s="501">
        <f>IF($D199="","",AVERAGE(終値!E199:X199))</f>
        <v>42334.5</v>
      </c>
      <c r="F199" s="502">
        <f>IF($D199="","",STDEVP(終値!E199:X199))</f>
        <v>3819.4953527920411</v>
      </c>
      <c r="G199" s="501">
        <f>IF($D199="","",$E199+BB設定!$B$4*$F199)</f>
        <v>49973.490705584081</v>
      </c>
      <c r="H199" s="501">
        <f>IF($D199="","",$E199+BB設定!$B$5*$F199)</f>
        <v>46153.995352792044</v>
      </c>
      <c r="I199" s="501">
        <f>IF($D199="","",$E199-BB設定!$B$5*$F199)</f>
        <v>38515.004647207956</v>
      </c>
      <c r="J199" s="501">
        <f>IF($D199="","",$E199-BB設定!$B$4*$F199)</f>
        <v>34695.509294415919</v>
      </c>
      <c r="K199" s="506">
        <f t="shared" si="33"/>
        <v>0.56515913151146346</v>
      </c>
      <c r="L199" s="505">
        <f t="shared" si="34"/>
        <v>36.08872529773155</v>
      </c>
      <c r="M199" s="505">
        <f>IF($D199="","",IFERROR(MIN(BB_帯幅!B199:AP199)*100,""))</f>
        <v>21.727776025184074</v>
      </c>
      <c r="N199" s="500" t="str">
        <f>IF($L199="","",IF($L199&lt;=$M199*BB設定!$B$7,"スクイーズ★",IF($L199&lt;=$M199*1.3,"収縮","－")))</f>
        <v>－</v>
      </c>
      <c r="O199" s="500" t="str">
        <f>IF($D199="","",IF(AND(BB_帯幅!B199&gt;BB_帯幅!C199,BB_帯幅!C199&gt;BB_帯幅!D199),"拡大↑","縮小↓"))</f>
        <v>縮小↓</v>
      </c>
      <c r="P199" s="500" t="str">
        <f t="shared" si="35"/>
        <v>バンド内</v>
      </c>
      <c r="Q199" s="503">
        <f>IF($D199="","",IFERROR(100-100/(1+SUMPRODUCT((終値!E199:R199&gt;終値!F199:S199)*(終値!E199:R199-終値!F199:S199))/SUMPRODUCT((終値!E199:R199&lt;終値!F199:S199)*(終値!F199:S199-終値!E199:R199))),100))</f>
        <v>41.997986914947148</v>
      </c>
      <c r="R199" s="503">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56.724063554904824</v>
      </c>
      <c r="S199" s="500"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0" t="str">
        <f t="shared" si="36"/>
        <v>－</v>
      </c>
      <c r="U199" s="500" t="str">
        <f>IF(終値!A199="","",BB_スイング!BT199)</f>
        <v>－</v>
      </c>
      <c r="V199" s="508">
        <f>IF($D199="","",IFERROR(出来高!E199/AVERAGE(出来高!E199:I199),""))</f>
        <v>0.64220630851538119</v>
      </c>
      <c r="W199" s="509"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○反発(ダイバ)買</v>
      </c>
      <c r="X199" s="504">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30</v>
      </c>
      <c r="Y199" s="501">
        <f t="shared" si="37"/>
        <v>43330</v>
      </c>
      <c r="Z199" s="501">
        <f t="shared" si="38"/>
        <v>46153.995352792044</v>
      </c>
      <c r="AA199" s="501">
        <f t="shared" si="39"/>
        <v>42334.5</v>
      </c>
      <c r="AB199" s="501">
        <f t="shared" ref="AB199:AB262" si="43">IF($D199="","",IF($D199&gt;$G199,$E199+3*$F199,$G199))</f>
        <v>49973.490705584081</v>
      </c>
      <c r="AC199" s="507">
        <f t="shared" si="40"/>
        <v>6.67</v>
      </c>
      <c r="AD199" s="501">
        <f>IF($D199="","",MIN(終値!E199:I199))</f>
        <v>37910</v>
      </c>
      <c r="AE199" s="503">
        <f t="shared" si="41"/>
        <v>30.098009999999999</v>
      </c>
    </row>
    <row r="200" spans="1:31">
      <c r="A200" s="500" t="str">
        <f>IF(終値!A200="","",HYPERLINK("https://kabutan.jp/stock/?code="&amp;終値!A200,"📈"))</f>
        <v>📈</v>
      </c>
      <c r="B200" s="500" t="str">
        <f>IF(終値!A200="","",終値!A200)</f>
        <v>5801</v>
      </c>
      <c r="C200" s="499" t="str">
        <f>IF(終値!A200="","",終値!B200)</f>
        <v>古河電工</v>
      </c>
      <c r="D200" s="501">
        <f>IF(終値!A200="","",終値!E200)</f>
        <v>3909</v>
      </c>
      <c r="E200" s="501">
        <f>IF($D200="","",AVERAGE(終値!E200:X200))</f>
        <v>3418.25</v>
      </c>
      <c r="F200" s="502">
        <f>IF($D200="","",STDEVP(終値!E200:X200))</f>
        <v>314.8326738126143</v>
      </c>
      <c r="G200" s="501">
        <f>IF($D200="","",$E200+BB設定!$B$4*$F200)</f>
        <v>4047.9153476252286</v>
      </c>
      <c r="H200" s="501">
        <f>IF($D200="","",$E200+BB設定!$B$5*$F200)</f>
        <v>3733.0826738126143</v>
      </c>
      <c r="I200" s="501">
        <f>IF($D200="","",$E200-BB設定!$B$5*$F200)</f>
        <v>3103.4173261873857</v>
      </c>
      <c r="J200" s="501">
        <f>IF($D200="","",$E200-BB設定!$B$4*$F200)</f>
        <v>2788.5846523747714</v>
      </c>
      <c r="K200" s="506">
        <f t="shared" si="33"/>
        <v>0.88969112866926436</v>
      </c>
      <c r="L200" s="505">
        <f t="shared" si="34"/>
        <v>36.841386535521309</v>
      </c>
      <c r="M200" s="505">
        <f>IF($D200="","",IFERROR(MIN(BB_帯幅!B200:AP200)*100,""))</f>
        <v>31.407024439959951</v>
      </c>
      <c r="N200" s="500" t="str">
        <f>IF($L200="","",IF($L200&lt;=$M200*BB設定!$B$7,"スクイーズ★",IF($L200&lt;=$M200*1.3,"収縮","－")))</f>
        <v>収縮</v>
      </c>
      <c r="O200" s="500" t="str">
        <f>IF($D200="","",IF(AND(BB_帯幅!B200&gt;BB_帯幅!C200,BB_帯幅!C200&gt;BB_帯幅!D200),"拡大↑","縮小↓"))</f>
        <v>拡大↑</v>
      </c>
      <c r="P200" s="500" t="str">
        <f t="shared" si="35"/>
        <v>+1σ上</v>
      </c>
      <c r="Q200" s="503">
        <f>IF($D200="","",IFERROR(100-100/(1+SUMPRODUCT((終値!E200:R200&gt;終値!F200:S200)*(終値!E200:R200-終値!F200:S200))/SUMPRODUCT((終値!E200:R200&lt;終値!F200:S200)*(終値!F200:S200-終値!E200:R200))),100))</f>
        <v>52.671898355754855</v>
      </c>
      <c r="R200" s="503">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40.233515690642449</v>
      </c>
      <c r="S200" s="500"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v>
      </c>
      <c r="T200" s="500" t="str">
        <f t="shared" si="36"/>
        <v>上walk▲</v>
      </c>
      <c r="U200" s="500" t="str">
        <f>IF(終値!A200="","",BB_スイング!BT200)</f>
        <v>－</v>
      </c>
      <c r="V200" s="508">
        <f>IF($D200="","",IFERROR(出来高!E200/AVERAGE(出来高!E200:I200),""))</f>
        <v>1.939229717777599</v>
      </c>
      <c r="W200" s="509"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4">
        <f t="shared" si="42"/>
        <v>50</v>
      </c>
      <c r="Y200" s="501">
        <f t="shared" si="37"/>
        <v>3909</v>
      </c>
      <c r="Z200" s="501">
        <f t="shared" si="38"/>
        <v>3733.0826738126143</v>
      </c>
      <c r="AA200" s="501">
        <f t="shared" si="39"/>
        <v>3418.25</v>
      </c>
      <c r="AB200" s="501">
        <f t="shared" si="43"/>
        <v>4047.9153476252286</v>
      </c>
      <c r="AC200" s="507">
        <f t="shared" si="40"/>
        <v>0.28000000000000003</v>
      </c>
      <c r="AD200" s="501">
        <f>IF($D200="","",MIN(終値!E200:I200))</f>
        <v>3145</v>
      </c>
      <c r="AE200" s="503">
        <f t="shared" si="41"/>
        <v>50.097999999999999</v>
      </c>
    </row>
    <row r="201" spans="1:31">
      <c r="A201" s="500" t="str">
        <f>IF(終値!A201="","",HYPERLINK("https://kabutan.jp/stock/?code="&amp;終値!A201,"📈"))</f>
        <v>📈</v>
      </c>
      <c r="B201" s="500" t="str">
        <f>IF(終値!A201="","",終値!A201)</f>
        <v>6506</v>
      </c>
      <c r="C201" s="499" t="str">
        <f>IF(終値!A201="","",終値!B201)</f>
        <v>安川電機</v>
      </c>
      <c r="D201" s="501">
        <f>IF(終値!A201="","",終値!E201)</f>
        <v>5255</v>
      </c>
      <c r="E201" s="501">
        <f>IF($D201="","",AVERAGE(終値!E201:X201))</f>
        <v>5399</v>
      </c>
      <c r="F201" s="502">
        <f>IF($D201="","",STDEVP(終値!E201:X201))</f>
        <v>669.87722755740845</v>
      </c>
      <c r="G201" s="501">
        <f>IF($D201="","",$E201+BB設定!$B$4*$F201)</f>
        <v>6738.7544551148167</v>
      </c>
      <c r="H201" s="501">
        <f>IF($D201="","",$E201+BB設定!$B$5*$F201)</f>
        <v>6068.8772275574083</v>
      </c>
      <c r="I201" s="501">
        <f>IF($D201="","",$E201-BB設定!$B$5*$F201)</f>
        <v>4729.1227724425917</v>
      </c>
      <c r="J201" s="501">
        <f>IF($D201="","",$E201-BB設定!$B$4*$F201)</f>
        <v>4059.2455448851833</v>
      </c>
      <c r="K201" s="506">
        <f t="shared" si="33"/>
        <v>0.44625880904883453</v>
      </c>
      <c r="L201" s="505">
        <f t="shared" si="34"/>
        <v>49.629726064634809</v>
      </c>
      <c r="M201" s="505">
        <f>IF($D201="","",IFERROR(MIN(BB_帯幅!B201:AP201)*100,""))</f>
        <v>14.996913565999167</v>
      </c>
      <c r="N201" s="500" t="str">
        <f>IF($L201="","",IF($L201&lt;=$M201*BB設定!$B$7,"スクイーズ★",IF($L201&lt;=$M201*1.3,"収縮","－")))</f>
        <v>－</v>
      </c>
      <c r="O201" s="500" t="str">
        <f>IF($D201="","",IF(AND(BB_帯幅!B201&gt;BB_帯幅!C201,BB_帯幅!C201&gt;BB_帯幅!D201),"拡大↑","縮小↓"))</f>
        <v>縮小↓</v>
      </c>
      <c r="P201" s="500" t="str">
        <f t="shared" si="35"/>
        <v>バンド内</v>
      </c>
      <c r="Q201" s="503">
        <f>IF($D201="","",IFERROR(100-100/(1+SUMPRODUCT((終値!E201:R201&gt;終値!F201:S201)*(終値!E201:R201-終値!F201:S201))/SUMPRODUCT((終値!E201:R201&lt;終値!F201:S201)*(終値!F201:S201-終値!E201:R201))),100))</f>
        <v>45.53062000760746</v>
      </c>
      <c r="R201" s="503">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47.184644383856636</v>
      </c>
      <c r="S201" s="500"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強気div▲</v>
      </c>
      <c r="T201" s="500" t="str">
        <f t="shared" si="36"/>
        <v>－</v>
      </c>
      <c r="U201" s="500" t="str">
        <f>IF(終値!A201="","",BB_スイング!BT201)</f>
        <v>－</v>
      </c>
      <c r="V201" s="508">
        <f>IF($D201="","",IFERROR(出来高!E201/AVERAGE(出来高!E201:I201),""))</f>
        <v>0.76050409342411218</v>
      </c>
      <c r="W201" s="509"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○反発(ダイバ)買</v>
      </c>
      <c r="X201" s="504">
        <f t="shared" si="42"/>
        <v>10</v>
      </c>
      <c r="Y201" s="501">
        <f t="shared" si="37"/>
        <v>5255</v>
      </c>
      <c r="Z201" s="501">
        <f t="shared" si="38"/>
        <v>6068.8772275574083</v>
      </c>
      <c r="AA201" s="501">
        <f t="shared" si="39"/>
        <v>4867</v>
      </c>
      <c r="AB201" s="501">
        <f t="shared" si="43"/>
        <v>6738.7544551148167</v>
      </c>
      <c r="AC201" s="507">
        <f t="shared" si="40"/>
        <v>3.82</v>
      </c>
      <c r="AD201" s="501">
        <f>IF($D201="","",MIN(終値!E201:I201))</f>
        <v>4867</v>
      </c>
      <c r="AE201" s="503">
        <f t="shared" si="41"/>
        <v>10.097989999999999</v>
      </c>
    </row>
    <row r="202" spans="1:31">
      <c r="A202" s="500" t="str">
        <f>IF(終値!A202="","",HYPERLINK("https://kabutan.jp/stock/?code="&amp;終値!A202,"📈"))</f>
        <v>📈</v>
      </c>
      <c r="B202" s="500" t="str">
        <f>IF(終値!A202="","",終値!A202)</f>
        <v>2768</v>
      </c>
      <c r="C202" s="499" t="str">
        <f>IF(終値!A202="","",終値!B202)</f>
        <v>双日</v>
      </c>
      <c r="D202" s="501">
        <f>IF(終値!A202="","",終値!E202)</f>
        <v>5540</v>
      </c>
      <c r="E202" s="501">
        <f>IF($D202="","",AVERAGE(終値!E202:X202))</f>
        <v>5282.95</v>
      </c>
      <c r="F202" s="502">
        <f>IF($D202="","",STDEVP(終値!E202:X202))</f>
        <v>137.95197533924625</v>
      </c>
      <c r="G202" s="501">
        <f>IF($D202="","",$E202+BB設定!$B$4*$F202)</f>
        <v>5558.8539506784928</v>
      </c>
      <c r="H202" s="501">
        <f>IF($D202="","",$E202+BB設定!$B$5*$F202)</f>
        <v>5420.9019753392458</v>
      </c>
      <c r="I202" s="501">
        <f>IF($D202="","",$E202-BB設定!$B$5*$F202)</f>
        <v>5144.9980246607538</v>
      </c>
      <c r="J202" s="501">
        <f>IF($D202="","",$E202-BB設定!$B$4*$F202)</f>
        <v>5007.0460493215069</v>
      </c>
      <c r="K202" s="506">
        <f t="shared" si="33"/>
        <v>0.96583240176132346</v>
      </c>
      <c r="L202" s="505">
        <f t="shared" si="34"/>
        <v>10.445071434652721</v>
      </c>
      <c r="M202" s="505">
        <f>IF($D202="","",IFERROR(MIN(BB_帯幅!B202:AP202)*100,""))</f>
        <v>5.0650679899827615</v>
      </c>
      <c r="N202" s="500" t="str">
        <f>IF($L202="","",IF($L202&lt;=$M202*BB設定!$B$7,"スクイーズ★",IF($L202&lt;=$M202*1.3,"収縮","－")))</f>
        <v>－</v>
      </c>
      <c r="O202" s="500" t="str">
        <f>IF($D202="","",IF(AND(BB_帯幅!B202&gt;BB_帯幅!C202,BB_帯幅!C202&gt;BB_帯幅!D202),"拡大↑","縮小↓"))</f>
        <v>拡大↑</v>
      </c>
      <c r="P202" s="500" t="str">
        <f t="shared" si="35"/>
        <v>+1σ上</v>
      </c>
      <c r="Q202" s="503">
        <f>IF($D202="","",IFERROR(100-100/(1+SUMPRODUCT((終値!E202:R202&gt;終値!F202:S202)*(終値!E202:R202-終値!F202:S202))/SUMPRODUCT((終値!E202:R202&lt;終値!F202:S202)*(終値!F202:S202-終値!E202:R202))),100))</f>
        <v>61.695906432748536</v>
      </c>
      <c r="R202" s="503">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64.525487613601257</v>
      </c>
      <c r="S202" s="500"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弱気div▼</v>
      </c>
      <c r="T202" s="500" t="str">
        <f t="shared" si="36"/>
        <v>上walk▲</v>
      </c>
      <c r="U202" s="500" t="str">
        <f>IF(終値!A202="","",BB_スイング!BT202)</f>
        <v>二番底W▲</v>
      </c>
      <c r="V202" s="508">
        <f>IF($D202="","",IFERROR(出来高!E202/AVERAGE(出来高!E202:I202),""))</f>
        <v>0.86922205620089654</v>
      </c>
      <c r="W202" s="509"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4">
        <f t="shared" si="42"/>
        <v>47</v>
      </c>
      <c r="Y202" s="501">
        <f t="shared" si="37"/>
        <v>5540</v>
      </c>
      <c r="Z202" s="501">
        <f t="shared" si="38"/>
        <v>5420.9019753392458</v>
      </c>
      <c r="AA202" s="501">
        <f t="shared" si="39"/>
        <v>5282.95</v>
      </c>
      <c r="AB202" s="501">
        <f t="shared" si="43"/>
        <v>5558.8539506784928</v>
      </c>
      <c r="AC202" s="507">
        <f t="shared" si="40"/>
        <v>7.0000000000000007E-2</v>
      </c>
      <c r="AD202" s="501">
        <f>IF($D202="","",MIN(終値!E202:I202))</f>
        <v>5193</v>
      </c>
      <c r="AE202" s="503">
        <f t="shared" si="41"/>
        <v>47.09798</v>
      </c>
    </row>
    <row r="203" spans="1:31">
      <c r="A203" s="500" t="str">
        <f>IF(終値!A203="","",HYPERLINK("https://kabutan.jp/stock/?code="&amp;終値!A203,"📈"))</f>
        <v>📈</v>
      </c>
      <c r="B203" s="500" t="str">
        <f>IF(終値!A203="","",終値!A203)</f>
        <v>6305</v>
      </c>
      <c r="C203" s="499" t="str">
        <f>IF(終値!A203="","",終値!B203)</f>
        <v>日立建機</v>
      </c>
      <c r="D203" s="501">
        <f>IF(終値!A203="","",終値!E203)</f>
        <v>5637</v>
      </c>
      <c r="E203" s="501">
        <f>IF($D203="","",AVERAGE(終値!E203:X203))</f>
        <v>5359.95</v>
      </c>
      <c r="F203" s="502">
        <f>IF($D203="","",STDEVP(終値!E203:X203))</f>
        <v>162.12941589976816</v>
      </c>
      <c r="G203" s="501">
        <f>IF($D203="","",$E203+BB設定!$B$4*$F203)</f>
        <v>5684.2088317995358</v>
      </c>
      <c r="H203" s="501">
        <f>IF($D203="","",$E203+BB設定!$B$5*$F203)</f>
        <v>5522.0794158997678</v>
      </c>
      <c r="I203" s="501">
        <f>IF($D203="","",$E203-BB設定!$B$5*$F203)</f>
        <v>5197.8205841002318</v>
      </c>
      <c r="J203" s="501">
        <f>IF($D203="","",$E203-BB設定!$B$4*$F203)</f>
        <v>5035.6911682004638</v>
      </c>
      <c r="K203" s="506">
        <f t="shared" si="33"/>
        <v>0.92720501776691566</v>
      </c>
      <c r="L203" s="505">
        <f t="shared" si="34"/>
        <v>12.09932300859284</v>
      </c>
      <c r="M203" s="505">
        <f>IF($D203="","",IFERROR(MIN(BB_帯幅!B203:AP203)*100,""))</f>
        <v>5.840896363537019</v>
      </c>
      <c r="N203" s="500" t="str">
        <f>IF($L203="","",IF($L203&lt;=$M203*BB設定!$B$7,"スクイーズ★",IF($L203&lt;=$M203*1.3,"収縮","－")))</f>
        <v>－</v>
      </c>
      <c r="O203" s="500" t="str">
        <f>IF($D203="","",IF(AND(BB_帯幅!B203&gt;BB_帯幅!C203,BB_帯幅!C203&gt;BB_帯幅!D203),"拡大↑","縮小↓"))</f>
        <v>拡大↑</v>
      </c>
      <c r="P203" s="500" t="str">
        <f t="shared" si="35"/>
        <v>+1σ上</v>
      </c>
      <c r="Q203" s="503">
        <f>IF($D203="","",IFERROR(100-100/(1+SUMPRODUCT((終値!E203:R203&gt;終値!F203:S203)*(終値!E203:R203-終値!F203:S203))/SUMPRODUCT((終値!E203:R203&lt;終値!F203:S203)*(終値!F203:S203-終値!E203:R203))),100))</f>
        <v>59.670987038883347</v>
      </c>
      <c r="R203" s="503">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52.038835148821668</v>
      </c>
      <c r="S203" s="500"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弱気div▼</v>
      </c>
      <c r="T203" s="500" t="str">
        <f t="shared" si="36"/>
        <v>上walk▲</v>
      </c>
      <c r="U203" s="500" t="str">
        <f>IF(終値!A203="","",BB_スイング!BT203)</f>
        <v>二番底W▲</v>
      </c>
      <c r="V203" s="508">
        <f>IF($D203="","",IFERROR(出来高!E203/AVERAGE(出来高!E203:I203),""))</f>
        <v>0.53921845308648941</v>
      </c>
      <c r="W203" s="509"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4">
        <f t="shared" si="42"/>
        <v>42</v>
      </c>
      <c r="Y203" s="501">
        <f t="shared" si="37"/>
        <v>5637</v>
      </c>
      <c r="Z203" s="501">
        <f t="shared" si="38"/>
        <v>5522.0794158997678</v>
      </c>
      <c r="AA203" s="501">
        <f t="shared" si="39"/>
        <v>5359.95</v>
      </c>
      <c r="AB203" s="501">
        <f t="shared" si="43"/>
        <v>5684.2088317995358</v>
      </c>
      <c r="AC203" s="507">
        <f t="shared" si="40"/>
        <v>0.17</v>
      </c>
      <c r="AD203" s="501">
        <f>IF($D203="","",MIN(終値!E203:I203))</f>
        <v>5244</v>
      </c>
      <c r="AE203" s="503">
        <f t="shared" si="41"/>
        <v>42.097969999999997</v>
      </c>
    </row>
    <row r="204" spans="1:31">
      <c r="A204" s="500" t="str">
        <f>IF(終値!A204="","",HYPERLINK("https://kabutan.jp/stock/?code="&amp;終値!A204,"📈"))</f>
        <v>📈</v>
      </c>
      <c r="B204" s="500" t="str">
        <f>IF(終値!A204="","",終値!A204)</f>
        <v>8015</v>
      </c>
      <c r="C204" s="499" t="str">
        <f>IF(終値!A204="","",終値!B204)</f>
        <v>豊田通商</v>
      </c>
      <c r="D204" s="501">
        <f>IF(終値!A204="","",終値!E204)</f>
        <v>7460</v>
      </c>
      <c r="E204" s="501">
        <f>IF($D204="","",AVERAGE(終値!E204:X204))</f>
        <v>6490.2</v>
      </c>
      <c r="F204" s="502">
        <f>IF($D204="","",STDEVP(終値!E204:X204))</f>
        <v>375.9515394302835</v>
      </c>
      <c r="G204" s="501">
        <f>IF($D204="","",$E204+BB設定!$B$4*$F204)</f>
        <v>7242.1030788605667</v>
      </c>
      <c r="H204" s="501">
        <f>IF($D204="","",$E204+BB設定!$B$5*$F204)</f>
        <v>6866.1515394302833</v>
      </c>
      <c r="I204" s="501">
        <f>IF($D204="","",$E204-BB設定!$B$5*$F204)</f>
        <v>6114.2484605697164</v>
      </c>
      <c r="J204" s="501">
        <f>IF($D204="","",$E204-BB設定!$B$4*$F204)</f>
        <v>5738.2969211394329</v>
      </c>
      <c r="K204" s="506">
        <f t="shared" si="33"/>
        <v>1.1448969470038839</v>
      </c>
      <c r="L204" s="505">
        <f t="shared" si="34"/>
        <v>23.170413203308584</v>
      </c>
      <c r="M204" s="505">
        <f>IF($D204="","",IFERROR(MIN(BB_帯幅!B204:AP204)*100,""))</f>
        <v>6.377191608517589</v>
      </c>
      <c r="N204" s="500" t="str">
        <f>IF($L204="","",IF($L204&lt;=$M204*BB設定!$B$7,"スクイーズ★",IF($L204&lt;=$M204*1.3,"収縮","－")))</f>
        <v>－</v>
      </c>
      <c r="O204" s="500" t="str">
        <f>IF($D204="","",IF(AND(BB_帯幅!B204&gt;BB_帯幅!C204,BB_帯幅!C204&gt;BB_帯幅!D204),"拡大↑","縮小↓"))</f>
        <v>拡大↑</v>
      </c>
      <c r="P204" s="500" t="str">
        <f t="shared" si="35"/>
        <v>↑+2σ突破</v>
      </c>
      <c r="Q204" s="503">
        <f>IF($D204="","",IFERROR(100-100/(1+SUMPRODUCT((終値!E204:R204&gt;終値!F204:S204)*(終値!E204:R204-終値!F204:S204))/SUMPRODUCT((終値!E204:R204&lt;終値!F204:S204)*(終値!F204:S204-終値!E204:R204))),100))</f>
        <v>77.35515258735073</v>
      </c>
      <c r="R204" s="503">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77.696785203553418</v>
      </c>
      <c r="S204" s="500"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0" t="str">
        <f t="shared" si="36"/>
        <v>上walk▲</v>
      </c>
      <c r="U204" s="500" t="str">
        <f>IF(終値!A204="","",BB_スイング!BT204)</f>
        <v>二番底W▲</v>
      </c>
      <c r="V204" s="508">
        <f>IF($D204="","",IFERROR(出来高!E204/AVERAGE(出来高!E204:I204),""))</f>
        <v>0.85962263342756784</v>
      </c>
      <c r="W204" s="509"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△二番底買(確)</v>
      </c>
      <c r="X204" s="504">
        <f t="shared" si="42"/>
        <v>48</v>
      </c>
      <c r="Y204" s="501">
        <f t="shared" si="37"/>
        <v>7460</v>
      </c>
      <c r="Z204" s="501">
        <f t="shared" si="38"/>
        <v>6866.1515394302833</v>
      </c>
      <c r="AA204" s="501">
        <f t="shared" si="39"/>
        <v>6490.2</v>
      </c>
      <c r="AB204" s="501">
        <f t="shared" si="43"/>
        <v>7618.0546182908502</v>
      </c>
      <c r="AC204" s="507">
        <f t="shared" si="40"/>
        <v>0.16</v>
      </c>
      <c r="AD204" s="501">
        <f>IF($D204="","",MIN(終値!E204:I204))</f>
        <v>6669</v>
      </c>
      <c r="AE204" s="503">
        <f t="shared" si="41"/>
        <v>48.09796</v>
      </c>
    </row>
    <row r="205" spans="1:31">
      <c r="A205" s="500" t="str">
        <f>IF(終値!A205="","",HYPERLINK("https://kabutan.jp/stock/?code="&amp;終値!A205,"📈"))</f>
        <v>📈</v>
      </c>
      <c r="B205" s="500" t="str">
        <f>IF(終値!A205="","",終値!A205)</f>
        <v>6758</v>
      </c>
      <c r="C205" s="499" t="str">
        <f>IF(終値!A205="","",終値!B205)</f>
        <v>ソニーグループ</v>
      </c>
      <c r="D205" s="501">
        <f>IF(終値!A205="","",終値!E205)</f>
        <v>3626</v>
      </c>
      <c r="E205" s="501">
        <f>IF($D205="","",AVERAGE(終値!E205:X205))</f>
        <v>3595.5</v>
      </c>
      <c r="F205" s="502">
        <f>IF($D205="","",STDEVP(終値!E205:X205))</f>
        <v>30.5</v>
      </c>
      <c r="G205" s="501">
        <f>IF($D205="","",$E205+BB設定!$B$4*$F205)</f>
        <v>3656.5</v>
      </c>
      <c r="H205" s="501">
        <f>IF($D205="","",$E205+BB設定!$B$5*$F205)</f>
        <v>3626</v>
      </c>
      <c r="I205" s="501">
        <f>IF($D205="","",$E205-BB設定!$B$5*$F205)</f>
        <v>3565</v>
      </c>
      <c r="J205" s="501">
        <f>IF($D205="","",$E205-BB設定!$B$4*$F205)</f>
        <v>3534.5</v>
      </c>
      <c r="K205" s="506">
        <f t="shared" si="33"/>
        <v>0.75</v>
      </c>
      <c r="L205" s="505">
        <f t="shared" si="34"/>
        <v>3.3931303017660968</v>
      </c>
      <c r="M205" s="505">
        <f>IF($D205="","",IFERROR(MIN(BB_帯幅!B205:AP205)*100,""))</f>
        <v>0</v>
      </c>
      <c r="N205" s="500" t="str">
        <f>IF($L205="","",IF($L205&lt;=$M205*BB設定!$B$7,"スクイーズ★",IF($L205&lt;=$M205*1.3,"収縮","－")))</f>
        <v>－</v>
      </c>
      <c r="O205" s="500" t="str">
        <f>IF($D205="","",IF(AND(BB_帯幅!B205&gt;BB_帯幅!C205,BB_帯幅!C205&gt;BB_帯幅!D205),"拡大↑","縮小↓"))</f>
        <v>縮小↓</v>
      </c>
      <c r="P205" s="500" t="str">
        <f t="shared" si="35"/>
        <v>バンド内</v>
      </c>
      <c r="Q205" s="503">
        <f>IF($D205="","",IFERROR(100-100/(1+SUMPRODUCT((終値!E205:R205&gt;終値!F205:S205)*(終値!E205:R205-終値!F205:S205))/SUMPRODUCT((終値!E205:R205&lt;終値!F205:S205)*(終値!F205:S205-終値!E205:R205))),100))</f>
        <v>100</v>
      </c>
      <c r="R205" s="503">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50</v>
      </c>
      <c r="S205" s="500"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0" t="str">
        <f t="shared" si="36"/>
        <v>上walk▲</v>
      </c>
      <c r="U205" s="500" t="str">
        <f>IF(終値!A205="","",BB_スイング!BT205)</f>
        <v>－</v>
      </c>
      <c r="V205" s="508">
        <f>IF($D205="","",IFERROR(出来高!E205/AVERAGE(出来高!E205:I205),""))</f>
        <v>1.0222428282333456</v>
      </c>
      <c r="W205" s="509"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様子見</v>
      </c>
      <c r="X205" s="504">
        <f t="shared" si="42"/>
        <v>18</v>
      </c>
      <c r="Y205" s="501">
        <f t="shared" si="37"/>
        <v>3626</v>
      </c>
      <c r="Z205" s="501">
        <f t="shared" si="38"/>
        <v>3626</v>
      </c>
      <c r="AA205" s="501">
        <f t="shared" si="39"/>
        <v>3595.5</v>
      </c>
      <c r="AB205" s="501">
        <f t="shared" si="43"/>
        <v>3656.5</v>
      </c>
      <c r="AC205" s="507">
        <f t="shared" si="40"/>
        <v>1</v>
      </c>
      <c r="AD205" s="501">
        <f>IF($D205="","",MIN(終値!E205:I205))</f>
        <v>3565</v>
      </c>
      <c r="AE205" s="503">
        <f t="shared" si="41"/>
        <v>18.097950000000001</v>
      </c>
    </row>
    <row r="206" spans="1:31">
      <c r="A206" s="500" t="str">
        <f>IF(終値!A206="","",HYPERLINK("https://kabutan.jp/stock/?code="&amp;終値!A206,"📈"))</f>
        <v>📈</v>
      </c>
      <c r="B206" s="500" t="str">
        <f>IF(終値!A206="","",終値!A206)</f>
        <v>9101</v>
      </c>
      <c r="C206" s="499" t="str">
        <f>IF(終値!A206="","",終値!B206)</f>
        <v>日本郵船</v>
      </c>
      <c r="D206" s="501">
        <f>IF(終値!A206="","",終値!E206)</f>
        <v>5931</v>
      </c>
      <c r="E206" s="501">
        <f>IF($D206="","",AVERAGE(終値!E206:X206))</f>
        <v>5788.65</v>
      </c>
      <c r="F206" s="502">
        <f>IF($D206="","",STDEVP(終値!E206:X206))</f>
        <v>277.46338046668427</v>
      </c>
      <c r="G206" s="501">
        <f>IF($D206="","",$E206+BB設定!$B$4*$F206)</f>
        <v>6343.576760933368</v>
      </c>
      <c r="H206" s="501">
        <f>IF($D206="","",$E206+BB設定!$B$5*$F206)</f>
        <v>6066.1133804666842</v>
      </c>
      <c r="I206" s="501">
        <f>IF($D206="","",$E206-BB設定!$B$5*$F206)</f>
        <v>5511.186619533315</v>
      </c>
      <c r="J206" s="501">
        <f>IF($D206="","",$E206-BB設定!$B$4*$F206)</f>
        <v>5233.7232390666313</v>
      </c>
      <c r="K206" s="506">
        <f t="shared" si="33"/>
        <v>0.62826016874782931</v>
      </c>
      <c r="L206" s="505">
        <f t="shared" si="34"/>
        <v>19.172924980206727</v>
      </c>
      <c r="M206" s="505">
        <f>IF($D206="","",IFERROR(MIN(BB_帯幅!B206:AP206)*100,""))</f>
        <v>6.9428877544091785</v>
      </c>
      <c r="N206" s="500" t="str">
        <f>IF($L206="","",IF($L206&lt;=$M206*BB設定!$B$7,"スクイーズ★",IF($L206&lt;=$M206*1.3,"収縮","－")))</f>
        <v>－</v>
      </c>
      <c r="O206" s="500" t="str">
        <f>IF($D206="","",IF(AND(BB_帯幅!B206&gt;BB_帯幅!C206,BB_帯幅!C206&gt;BB_帯幅!D206),"拡大↑","縮小↓"))</f>
        <v>縮小↓</v>
      </c>
      <c r="P206" s="500" t="str">
        <f t="shared" si="35"/>
        <v>バンド内</v>
      </c>
      <c r="Q206" s="503">
        <f>IF($D206="","",IFERROR(100-100/(1+SUMPRODUCT((終値!E206:R206&gt;終値!F206:S206)*(終値!E206:R206-終値!F206:S206))/SUMPRODUCT((終値!E206:R206&lt;終値!F206:S206)*(終値!F206:S206-終値!E206:R206))),100))</f>
        <v>63.964757709251103</v>
      </c>
      <c r="R206" s="503">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54.611762809564418</v>
      </c>
      <c r="S206" s="500"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弱気div▼</v>
      </c>
      <c r="T206" s="500" t="str">
        <f t="shared" si="36"/>
        <v>－</v>
      </c>
      <c r="U206" s="500" t="str">
        <f>IF(終値!A206="","",BB_スイング!BT206)</f>
        <v>二番底W▲</v>
      </c>
      <c r="V206" s="508">
        <f>IF($D206="","",IFERROR(出来高!E206/AVERAGE(出来高!E206:I206),""))</f>
        <v>0.81062457552758516</v>
      </c>
      <c r="W206" s="509"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△二番底買(確)</v>
      </c>
      <c r="X206" s="504">
        <f t="shared" si="42"/>
        <v>20</v>
      </c>
      <c r="Y206" s="501">
        <f t="shared" si="37"/>
        <v>5931</v>
      </c>
      <c r="Z206" s="501">
        <f t="shared" si="38"/>
        <v>6066.1133804666842</v>
      </c>
      <c r="AA206" s="501">
        <f t="shared" si="39"/>
        <v>5788.65</v>
      </c>
      <c r="AB206" s="501">
        <f t="shared" si="43"/>
        <v>6343.576760933368</v>
      </c>
      <c r="AC206" s="507">
        <f t="shared" si="40"/>
        <v>2.9</v>
      </c>
      <c r="AD206" s="501">
        <f>IF($D206="","",MIN(終値!E206:I206))</f>
        <v>5798</v>
      </c>
      <c r="AE206" s="503">
        <f t="shared" si="41"/>
        <v>20.097940000000001</v>
      </c>
    </row>
    <row r="207" spans="1:31">
      <c r="A207" s="500" t="str">
        <f>IF(終値!A207="","",HYPERLINK("https://kabutan.jp/stock/?code="&amp;終値!A207,"📈"))</f>
        <v>📈</v>
      </c>
      <c r="B207" s="500" t="str">
        <f>IF(終値!A207="","",終値!A207)</f>
        <v>7011</v>
      </c>
      <c r="C207" s="499" t="str">
        <f>IF(終値!A207="","",終値!B207)</f>
        <v>三菱重工業</v>
      </c>
      <c r="D207" s="501">
        <f>IF(終値!A207="","",終値!E207)</f>
        <v>3998</v>
      </c>
      <c r="E207" s="501">
        <f>IF($D207="","",AVERAGE(終値!E207:X207))</f>
        <v>3845</v>
      </c>
      <c r="F207" s="502">
        <f>IF($D207="","",STDEVP(終値!E207:X207))</f>
        <v>102.51634016097141</v>
      </c>
      <c r="G207" s="501">
        <f>IF($D207="","",$E207+BB設定!$B$4*$F207)</f>
        <v>4050.0326803219427</v>
      </c>
      <c r="H207" s="501">
        <f>IF($D207="","",$E207+BB設定!$B$5*$F207)</f>
        <v>3947.5163401609716</v>
      </c>
      <c r="I207" s="501">
        <f>IF($D207="","",$E207-BB設定!$B$5*$F207)</f>
        <v>3742.4836598390284</v>
      </c>
      <c r="J207" s="501">
        <f>IF($D207="","",$E207-BB設定!$B$4*$F207)</f>
        <v>3639.9673196780573</v>
      </c>
      <c r="K207" s="506">
        <f t="shared" si="33"/>
        <v>0.87311125172767357</v>
      </c>
      <c r="L207" s="505">
        <f t="shared" si="34"/>
        <v>10.664898846394941</v>
      </c>
      <c r="M207" s="505">
        <f>IF($D207="","",IFERROR(MIN(BB_帯幅!B207:AP207)*100,""))</f>
        <v>10.442568461391598</v>
      </c>
      <c r="N207" s="500" t="str">
        <f>IF($L207="","",IF($L207&lt;=$M207*BB設定!$B$7,"スクイーズ★",IF($L207&lt;=$M207*1.3,"収縮","－")))</f>
        <v>スクイーズ★</v>
      </c>
      <c r="O207" s="500" t="str">
        <f>IF($D207="","",IF(AND(BB_帯幅!B207&gt;BB_帯幅!C207,BB_帯幅!C207&gt;BB_帯幅!D207),"拡大↑","縮小↓"))</f>
        <v>縮小↓</v>
      </c>
      <c r="P207" s="500" t="str">
        <f t="shared" si="35"/>
        <v>+1σ上</v>
      </c>
      <c r="Q207" s="503">
        <f>IF($D207="","",IFERROR(100-100/(1+SUMPRODUCT((終値!E207:R207&gt;終値!F207:S207)*(終値!E207:R207-終値!F207:S207))/SUMPRODUCT((終値!E207:R207&lt;終値!F207:S207)*(終値!F207:S207-終値!E207:R207))),100))</f>
        <v>57.958801498127343</v>
      </c>
      <c r="R207" s="503">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71.015228876743976</v>
      </c>
      <c r="S207" s="500"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0" t="str">
        <f t="shared" si="36"/>
        <v>上walk▲</v>
      </c>
      <c r="U207" s="500" t="str">
        <f>IF(終値!A207="","",BB_スイング!BT207)</f>
        <v>二番底W▲</v>
      </c>
      <c r="V207" s="508">
        <f>IF($D207="","",IFERROR(出来高!E207/AVERAGE(出来高!E207:I207),""))</f>
        <v>0.66469313546586517</v>
      </c>
      <c r="W207" s="509"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△二番底買(確)</v>
      </c>
      <c r="X207" s="504">
        <f t="shared" si="42"/>
        <v>57</v>
      </c>
      <c r="Y207" s="501">
        <f t="shared" si="37"/>
        <v>3998</v>
      </c>
      <c r="Z207" s="501">
        <f t="shared" si="38"/>
        <v>3947.5163401609716</v>
      </c>
      <c r="AA207" s="501">
        <f t="shared" si="39"/>
        <v>3845</v>
      </c>
      <c r="AB207" s="501">
        <f t="shared" si="43"/>
        <v>4050.0326803219427</v>
      </c>
      <c r="AC207" s="507">
        <f t="shared" si="40"/>
        <v>0.34</v>
      </c>
      <c r="AD207" s="501">
        <f>IF($D207="","",MIN(終値!E207:I207))</f>
        <v>3764</v>
      </c>
      <c r="AE207" s="503">
        <f t="shared" si="41"/>
        <v>57.097929999999998</v>
      </c>
    </row>
    <row r="208" spans="1:31">
      <c r="A208" s="500" t="str">
        <f>IF(終値!A208="","",HYPERLINK("https://kabutan.jp/stock/?code="&amp;終値!A208,"📈"))</f>
        <v>📈</v>
      </c>
      <c r="B208" s="500" t="str">
        <f>IF(終値!A208="","",終値!A208)</f>
        <v>1812</v>
      </c>
      <c r="C208" s="499" t="str">
        <f>IF(終値!A208="","",終値!B208)</f>
        <v>鹿島建設</v>
      </c>
      <c r="D208" s="501">
        <f>IF(終値!A208="","",終値!E208)</f>
        <v>5135</v>
      </c>
      <c r="E208" s="501">
        <f>IF($D208="","",AVERAGE(終値!E208:X208))</f>
        <v>5526.55</v>
      </c>
      <c r="F208" s="502">
        <f>IF($D208="","",STDEVP(終値!E208:X208))</f>
        <v>192.21198583855272</v>
      </c>
      <c r="G208" s="501">
        <f>IF($D208="","",$E208+BB設定!$B$4*$F208)</f>
        <v>5910.9739716771055</v>
      </c>
      <c r="H208" s="501">
        <f>IF($D208="","",$E208+BB設定!$B$5*$F208)</f>
        <v>5718.7619858385533</v>
      </c>
      <c r="I208" s="501">
        <f>IF($D208="","",$E208-BB設定!$B$5*$F208)</f>
        <v>5334.3380141614471</v>
      </c>
      <c r="J208" s="501">
        <f>IF($D208="","",$E208-BB設定!$B$4*$F208)</f>
        <v>5142.1260283228949</v>
      </c>
      <c r="K208" s="506">
        <f t="shared" si="33"/>
        <v>-9.2684494827501539E-3</v>
      </c>
      <c r="L208" s="505">
        <f t="shared" si="34"/>
        <v>13.911896994584517</v>
      </c>
      <c r="M208" s="505">
        <f>IF($D208="","",IFERROR(MIN(BB_帯幅!B208:AP208)*100,""))</f>
        <v>10.108629480067583</v>
      </c>
      <c r="N208" s="500" t="str">
        <f>IF($L208="","",IF($L208&lt;=$M208*BB設定!$B$7,"スクイーズ★",IF($L208&lt;=$M208*1.3,"収縮","－")))</f>
        <v>－</v>
      </c>
      <c r="O208" s="500" t="str">
        <f>IF($D208="","",IF(AND(BB_帯幅!B208&gt;BB_帯幅!C208,BB_帯幅!C208&gt;BB_帯幅!D208),"拡大↑","縮小↓"))</f>
        <v>縮小↓</v>
      </c>
      <c r="P208" s="500" t="str">
        <f t="shared" si="35"/>
        <v>↓-2σ割れ</v>
      </c>
      <c r="Q208" s="503">
        <f>IF($D208="","",IFERROR(100-100/(1+SUMPRODUCT((終値!E208:R208&gt;終値!F208:S208)*(終値!E208:R208-終値!F208:S208))/SUMPRODUCT((終値!E208:R208&lt;終値!F208:S208)*(終値!F208:S208-終値!E208:R208))),100))</f>
        <v>24.014336917562716</v>
      </c>
      <c r="R208" s="503">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30.861518549997584</v>
      </c>
      <c r="S208" s="500"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0" t="str">
        <f t="shared" si="36"/>
        <v>下walk▼</v>
      </c>
      <c r="U208" s="500" t="str">
        <f>IF(終値!A208="","",BB_スイング!BT208)</f>
        <v>－</v>
      </c>
      <c r="V208" s="508">
        <f>IF($D208="","",IFERROR(出来高!E208/AVERAGE(出来高!E208:I208),""))</f>
        <v>1.1746977650860964</v>
      </c>
      <c r="W208" s="509"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▼-2σ割れ危険</v>
      </c>
      <c r="X208" s="504">
        <f t="shared" si="42"/>
        <v>0</v>
      </c>
      <c r="Y208" s="501">
        <f t="shared" si="37"/>
        <v>5135</v>
      </c>
      <c r="Z208" s="501">
        <f t="shared" si="38"/>
        <v>5718.7619858385533</v>
      </c>
      <c r="AA208" s="501">
        <f t="shared" si="39"/>
        <v>5135</v>
      </c>
      <c r="AB208" s="501">
        <f t="shared" si="43"/>
        <v>5910.9739716771055</v>
      </c>
      <c r="AC208" s="507" t="str">
        <f t="shared" si="40"/>
        <v>－</v>
      </c>
      <c r="AD208" s="501">
        <f>IF($D208="","",MIN(終値!E208:I208))</f>
        <v>5135</v>
      </c>
      <c r="AE208" s="503">
        <f t="shared" si="41"/>
        <v>9.7919999999999993E-2</v>
      </c>
    </row>
    <row r="209" spans="1:31">
      <c r="A209" s="500" t="str">
        <f>IF(終値!A209="","",HYPERLINK("https://kabutan.jp/stock/?code="&amp;終値!A209,"📈"))</f>
        <v>📈</v>
      </c>
      <c r="B209" s="500" t="str">
        <f>IF(終値!A209="","",終値!A209)</f>
        <v>6861</v>
      </c>
      <c r="C209" s="499" t="str">
        <f>IF(終値!A209="","",終値!B209)</f>
        <v>キーエンス</v>
      </c>
      <c r="D209" s="501">
        <f>IF(終値!A209="","",終値!E209)</f>
        <v>85530</v>
      </c>
      <c r="E209" s="501">
        <f>IF($D209="","",AVERAGE(終値!E209:X209))</f>
        <v>76713</v>
      </c>
      <c r="F209" s="502">
        <f>IF($D209="","",STDEVP(終値!E209:X209))</f>
        <v>4684.5940058878105</v>
      </c>
      <c r="G209" s="501">
        <f>IF($D209="","",$E209+BB設定!$B$4*$F209)</f>
        <v>86082.188011775623</v>
      </c>
      <c r="H209" s="501">
        <f>IF($D209="","",$E209+BB設定!$B$5*$F209)</f>
        <v>81397.594005887804</v>
      </c>
      <c r="I209" s="501">
        <f>IF($D209="","",$E209-BB設定!$B$5*$F209)</f>
        <v>72028.405994112196</v>
      </c>
      <c r="J209" s="501">
        <f>IF($D209="","",$E209-BB設定!$B$4*$F209)</f>
        <v>67343.811988224377</v>
      </c>
      <c r="K209" s="506">
        <f t="shared" si="33"/>
        <v>0.97053170397041832</v>
      </c>
      <c r="L209" s="505">
        <f t="shared" si="34"/>
        <v>24.426597869397945</v>
      </c>
      <c r="M209" s="505">
        <f>IF($D209="","",IFERROR(MIN(BB_帯幅!B209:AP209)*100,""))</f>
        <v>10.161347125735347</v>
      </c>
      <c r="N209" s="500" t="str">
        <f>IF($L209="","",IF($L209&lt;=$M209*BB設定!$B$7,"スクイーズ★",IF($L209&lt;=$M209*1.3,"収縮","－")))</f>
        <v>－</v>
      </c>
      <c r="O209" s="500" t="str">
        <f>IF($D209="","",IF(AND(BB_帯幅!B209&gt;BB_帯幅!C209,BB_帯幅!C209&gt;BB_帯幅!D209),"拡大↑","縮小↓"))</f>
        <v>拡大↑</v>
      </c>
      <c r="P209" s="500" t="str">
        <f t="shared" si="35"/>
        <v>+1σ上</v>
      </c>
      <c r="Q209" s="503">
        <f>IF($D209="","",IFERROR(100-100/(1+SUMPRODUCT((終値!E209:R209&gt;終値!F209:S209)*(終値!E209:R209-終値!F209:S209))/SUMPRODUCT((終値!E209:R209&lt;終値!F209:S209)*(終値!F209:S209-終値!E209:R209))),100))</f>
        <v>63.711911357340718</v>
      </c>
      <c r="R209" s="503">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72.906893364080645</v>
      </c>
      <c r="S209" s="500"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0" t="str">
        <f t="shared" si="36"/>
        <v>上walk▲</v>
      </c>
      <c r="U209" s="500" t="str">
        <f>IF(終値!A209="","",BB_スイング!BT209)</f>
        <v>二番底W▲</v>
      </c>
      <c r="V209" s="508">
        <f>IF($D209="","",IFERROR(出来高!E209/AVERAGE(出来高!E209:I209),""))</f>
        <v>0.85759718073790747</v>
      </c>
      <c r="W209" s="509"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4">
        <f t="shared" si="42"/>
        <v>47</v>
      </c>
      <c r="Y209" s="501">
        <f t="shared" si="37"/>
        <v>85530</v>
      </c>
      <c r="Z209" s="501">
        <f t="shared" si="38"/>
        <v>81397.594005887804</v>
      </c>
      <c r="AA209" s="501">
        <f t="shared" si="39"/>
        <v>76713</v>
      </c>
      <c r="AB209" s="501">
        <f t="shared" si="43"/>
        <v>86082.188011775623</v>
      </c>
      <c r="AC209" s="507">
        <f t="shared" si="40"/>
        <v>0.06</v>
      </c>
      <c r="AD209" s="501">
        <f>IF($D209="","",MIN(終値!E209:I209))</f>
        <v>80610</v>
      </c>
      <c r="AE209" s="503">
        <f t="shared" si="41"/>
        <v>47.097909999999999</v>
      </c>
    </row>
    <row r="210" spans="1:31" ht="24">
      <c r="A210" s="500" t="str">
        <f>IF(終値!A210="","",HYPERLINK("https://kabutan.jp/stock/?code="&amp;終値!A210,"📈"))</f>
        <v>📈</v>
      </c>
      <c r="B210" s="500" t="str">
        <f>IF(終値!A210="","",終値!A210)</f>
        <v>6324</v>
      </c>
      <c r="C210" s="499" t="str">
        <f>IF(終値!A210="","",終値!B210)</f>
        <v>ハーモニック・ドライブ・シス</v>
      </c>
      <c r="D210" s="501">
        <f>IF(終値!A210="","",終値!E210)</f>
        <v>7130</v>
      </c>
      <c r="E210" s="501">
        <f>IF($D210="","",AVERAGE(終値!E210:X210))</f>
        <v>6784</v>
      </c>
      <c r="F210" s="502">
        <f>IF($D210="","",STDEVP(終値!E210:X210))</f>
        <v>685.47355893571853</v>
      </c>
      <c r="G210" s="501">
        <f>IF($D210="","",$E210+BB設定!$B$4*$F210)</f>
        <v>8154.9471178714375</v>
      </c>
      <c r="H210" s="501">
        <f>IF($D210="","",$E210+BB設定!$B$5*$F210)</f>
        <v>7469.4735589357188</v>
      </c>
      <c r="I210" s="501">
        <f>IF($D210="","",$E210-BB設定!$B$5*$F210)</f>
        <v>6098.5264410642812</v>
      </c>
      <c r="J210" s="501">
        <f>IF($D210="","",$E210-BB設定!$B$4*$F210)</f>
        <v>5413.0528821285625</v>
      </c>
      <c r="K210" s="506">
        <f t="shared" si="33"/>
        <v>0.62619013362718434</v>
      </c>
      <c r="L210" s="505">
        <f t="shared" si="34"/>
        <v>40.417073050455116</v>
      </c>
      <c r="M210" s="505">
        <f>IF($D210="","",IFERROR(MIN(BB_帯幅!B210:AP210)*100,""))</f>
        <v>24.690284610017038</v>
      </c>
      <c r="N210" s="500" t="str">
        <f>IF($L210="","",IF($L210&lt;=$M210*BB設定!$B$7,"スクイーズ★",IF($L210&lt;=$M210*1.3,"収縮","－")))</f>
        <v>－</v>
      </c>
      <c r="O210" s="500" t="str">
        <f>IF($D210="","",IF(AND(BB_帯幅!B210&gt;BB_帯幅!C210,BB_帯幅!C210&gt;BB_帯幅!D210),"拡大↑","縮小↓"))</f>
        <v>縮小↓</v>
      </c>
      <c r="P210" s="500" t="str">
        <f t="shared" si="35"/>
        <v>バンド内</v>
      </c>
      <c r="Q210" s="503">
        <f>IF($D210="","",IFERROR(100-100/(1+SUMPRODUCT((終値!E210:R210&gt;終値!F210:S210)*(終値!E210:R210-終値!F210:S210))/SUMPRODUCT((終値!E210:R210&lt;終値!F210:S210)*(終値!F210:S210-終値!E210:R210))),100))</f>
        <v>47.047244094488185</v>
      </c>
      <c r="R210" s="503">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44.539863785284219</v>
      </c>
      <c r="S210" s="500"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0" t="str">
        <f t="shared" si="36"/>
        <v>－</v>
      </c>
      <c r="U210" s="500" t="str">
        <f>IF(終値!A210="","",BB_スイング!BT210)</f>
        <v>－</v>
      </c>
      <c r="V210" s="508">
        <f>IF($D210="","",IFERROR(出来高!E210/AVERAGE(出来高!E210:I210),""))</f>
        <v>0.88441220621769967</v>
      </c>
      <c r="W210" s="509"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4">
        <f t="shared" si="42"/>
        <v>10</v>
      </c>
      <c r="Y210" s="501">
        <f t="shared" si="37"/>
        <v>7130</v>
      </c>
      <c r="Z210" s="501">
        <f t="shared" si="38"/>
        <v>7469.4735589357188</v>
      </c>
      <c r="AA210" s="501">
        <f t="shared" si="39"/>
        <v>6784</v>
      </c>
      <c r="AB210" s="501">
        <f t="shared" si="43"/>
        <v>8154.9471178714375</v>
      </c>
      <c r="AC210" s="507">
        <f t="shared" si="40"/>
        <v>2.96</v>
      </c>
      <c r="AD210" s="501">
        <f>IF($D210="","",MIN(終値!E210:I210))</f>
        <v>6140</v>
      </c>
      <c r="AE210" s="503">
        <f t="shared" si="41"/>
        <v>10.097899999999999</v>
      </c>
    </row>
    <row r="211" spans="1:31">
      <c r="A211" s="500" t="str">
        <f>IF(終値!A211="","",HYPERLINK("https://kabutan.jp/stock/?code="&amp;終値!A211,"📈"))</f>
        <v>📈</v>
      </c>
      <c r="B211" s="500" t="str">
        <f>IF(終値!A211="","",終値!A211)</f>
        <v>6273</v>
      </c>
      <c r="C211" s="499" t="str">
        <f>IF(終値!A211="","",終値!B211)</f>
        <v>ＳＭＣ</v>
      </c>
      <c r="D211" s="501">
        <f>IF(終値!A211="","",終値!E211)</f>
        <v>75350</v>
      </c>
      <c r="E211" s="501">
        <f>IF($D211="","",AVERAGE(終値!E211:X211))</f>
        <v>71468.5</v>
      </c>
      <c r="F211" s="502">
        <f>IF($D211="","",STDEVP(終値!E211:X211))</f>
        <v>3132.9654881597403</v>
      </c>
      <c r="G211" s="501">
        <f>IF($D211="","",$E211+BB設定!$B$4*$F211)</f>
        <v>77734.430976319476</v>
      </c>
      <c r="H211" s="501">
        <f>IF($D211="","",$E211+BB設定!$B$5*$F211)</f>
        <v>74601.465488159738</v>
      </c>
      <c r="I211" s="501">
        <f>IF($D211="","",$E211-BB設定!$B$5*$F211)</f>
        <v>68335.534511840262</v>
      </c>
      <c r="J211" s="501">
        <f>IF($D211="","",$E211-BB設定!$B$4*$F211)</f>
        <v>65202.569023680517</v>
      </c>
      <c r="K211" s="506">
        <f t="shared" si="33"/>
        <v>0.80973051049151057</v>
      </c>
      <c r="L211" s="505">
        <f t="shared" si="34"/>
        <v>17.534804777823741</v>
      </c>
      <c r="M211" s="505">
        <f>IF($D211="","",IFERROR(MIN(BB_帯幅!B211:AP211)*100,""))</f>
        <v>9.9355737356072495</v>
      </c>
      <c r="N211" s="500" t="str">
        <f>IF($L211="","",IF($L211&lt;=$M211*BB設定!$B$7,"スクイーズ★",IF($L211&lt;=$M211*1.3,"収縮","－")))</f>
        <v>－</v>
      </c>
      <c r="O211" s="500" t="str">
        <f>IF($D211="","",IF(AND(BB_帯幅!B211&gt;BB_帯幅!C211,BB_帯幅!C211&gt;BB_帯幅!D211),"拡大↑","縮小↓"))</f>
        <v>縮小↓</v>
      </c>
      <c r="P211" s="500" t="str">
        <f t="shared" si="35"/>
        <v>+1σ上</v>
      </c>
      <c r="Q211" s="503">
        <f>IF($D211="","",IFERROR(100-100/(1+SUMPRODUCT((終値!E211:R211&gt;終値!F211:S211)*(終値!E211:R211-終値!F211:S211))/SUMPRODUCT((終値!E211:R211&lt;終値!F211:S211)*(終値!F211:S211-終値!E211:R211))),100))</f>
        <v>50.573958674975394</v>
      </c>
      <c r="R211" s="503">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45.07090740330397</v>
      </c>
      <c r="S211" s="500"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0" t="str">
        <f t="shared" si="36"/>
        <v>上walk▲</v>
      </c>
      <c r="U211" s="500" t="str">
        <f>IF(終値!A211="","",BB_スイング!BT211)</f>
        <v>－</v>
      </c>
      <c r="V211" s="508">
        <f>IF($D211="","",IFERROR(出来高!E211/AVERAGE(出来高!E211:I211),""))</f>
        <v>1.0702687763421543</v>
      </c>
      <c r="W211" s="509"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様子見</v>
      </c>
      <c r="X211" s="504">
        <f t="shared" si="42"/>
        <v>27</v>
      </c>
      <c r="Y211" s="501">
        <f t="shared" si="37"/>
        <v>75350</v>
      </c>
      <c r="Z211" s="501">
        <f t="shared" si="38"/>
        <v>74601.465488159738</v>
      </c>
      <c r="AA211" s="501">
        <f t="shared" si="39"/>
        <v>71468.5</v>
      </c>
      <c r="AB211" s="501">
        <f t="shared" si="43"/>
        <v>77734.430976319476</v>
      </c>
      <c r="AC211" s="507">
        <f t="shared" si="40"/>
        <v>0.61</v>
      </c>
      <c r="AD211" s="501">
        <f>IF($D211="","",MIN(終値!E211:I211))</f>
        <v>70480</v>
      </c>
      <c r="AE211" s="503">
        <f t="shared" si="41"/>
        <v>27.09789</v>
      </c>
    </row>
    <row r="212" spans="1:31">
      <c r="A212" s="500" t="str">
        <f>IF(終値!A212="","",HYPERLINK("https://kabutan.jp/stock/?code="&amp;終値!A212,"📈"))</f>
        <v>📈</v>
      </c>
      <c r="B212" s="500" t="str">
        <f>IF(終値!A212="","",終値!A212)</f>
        <v>4502</v>
      </c>
      <c r="C212" s="499" t="str">
        <f>IF(終値!A212="","",終値!B212)</f>
        <v>武田薬品</v>
      </c>
      <c r="D212" s="501">
        <f>IF(終値!A212="","",終値!E212)</f>
        <v>5425</v>
      </c>
      <c r="E212" s="501">
        <f>IF($D212="","",AVERAGE(終値!E212:X212))</f>
        <v>5493</v>
      </c>
      <c r="F212" s="502">
        <f>IF($D212="","",STDEVP(終値!E212:X212))</f>
        <v>170.44148556029427</v>
      </c>
      <c r="G212" s="501">
        <f>IF($D212="","",$E212+BB設定!$B$4*$F212)</f>
        <v>5833.882971120589</v>
      </c>
      <c r="H212" s="501">
        <f>IF($D212="","",$E212+BB設定!$B$5*$F212)</f>
        <v>5663.4414855602945</v>
      </c>
      <c r="I212" s="501">
        <f>IF($D212="","",$E212-BB設定!$B$5*$F212)</f>
        <v>5322.5585144397055</v>
      </c>
      <c r="J212" s="501">
        <f>IF($D212="","",$E212-BB設定!$B$4*$F212)</f>
        <v>5152.117028879411</v>
      </c>
      <c r="K212" s="506">
        <f t="shared" si="33"/>
        <v>0.40025902470800651</v>
      </c>
      <c r="L212" s="505">
        <f t="shared" si="34"/>
        <v>12.411540910999053</v>
      </c>
      <c r="M212" s="505">
        <f>IF($D212="","",IFERROR(MIN(BB_帯幅!B212:AP212)*100,""))</f>
        <v>7.5987021525511445</v>
      </c>
      <c r="N212" s="500" t="str">
        <f>IF($L212="","",IF($L212&lt;=$M212*BB設定!$B$7,"スクイーズ★",IF($L212&lt;=$M212*1.3,"収縮","－")))</f>
        <v>－</v>
      </c>
      <c r="O212" s="500" t="str">
        <f>IF($D212="","",IF(AND(BB_帯幅!B212&gt;BB_帯幅!C212,BB_帯幅!C212&gt;BB_帯幅!D212),"拡大↑","縮小↓"))</f>
        <v>拡大↑</v>
      </c>
      <c r="P212" s="500" t="str">
        <f t="shared" si="35"/>
        <v>バンド内</v>
      </c>
      <c r="Q212" s="503">
        <f>IF($D212="","",IFERROR(100-100/(1+SUMPRODUCT((終値!E212:R212&gt;終値!F212:S212)*(終値!E212:R212-終値!F212:S212))/SUMPRODUCT((終値!E212:R212&lt;終値!F212:S212)*(終値!F212:S212-終値!E212:R212))),100))</f>
        <v>54.747054747054747</v>
      </c>
      <c r="R212" s="503">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44.820085988425099</v>
      </c>
      <c r="S212" s="500"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v>
      </c>
      <c r="T212" s="500" t="str">
        <f t="shared" si="36"/>
        <v>－</v>
      </c>
      <c r="U212" s="500" t="str">
        <f>IF(終値!A212="","",BB_スイング!BT212)</f>
        <v>－</v>
      </c>
      <c r="V212" s="508">
        <f>IF($D212="","",IFERROR(出来高!E212/AVERAGE(出来高!E212:I212),""))</f>
        <v>0.8723169354010476</v>
      </c>
      <c r="W212" s="509"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4">
        <f t="shared" si="42"/>
        <v>10</v>
      </c>
      <c r="Y212" s="501">
        <f t="shared" si="37"/>
        <v>5425</v>
      </c>
      <c r="Z212" s="501">
        <f t="shared" si="38"/>
        <v>5663.4414855602945</v>
      </c>
      <c r="AA212" s="501">
        <f t="shared" si="39"/>
        <v>5269</v>
      </c>
      <c r="AB212" s="501">
        <f t="shared" si="43"/>
        <v>5833.882971120589</v>
      </c>
      <c r="AC212" s="507">
        <f t="shared" si="40"/>
        <v>2.62</v>
      </c>
      <c r="AD212" s="501">
        <f>IF($D212="","",MIN(終値!E212:I212))</f>
        <v>5269</v>
      </c>
      <c r="AE212" s="503">
        <f t="shared" si="41"/>
        <v>10.09788</v>
      </c>
    </row>
    <row r="213" spans="1:31" ht="24">
      <c r="A213" s="500" t="str">
        <f>IF(終値!A213="","",HYPERLINK("https://kabutan.jp/stock/?code="&amp;終値!A213,"📈"))</f>
        <v>📈</v>
      </c>
      <c r="B213" s="500" t="str">
        <f>IF(終値!A213="","",終値!A213)</f>
        <v>4004</v>
      </c>
      <c r="C213" s="499" t="str">
        <f>IF(終値!A213="","",終値!B213)</f>
        <v>レゾナック・ホールディング</v>
      </c>
      <c r="D213" s="501">
        <f>IF(終値!A213="","",終値!E213)</f>
        <v>15155</v>
      </c>
      <c r="E213" s="501">
        <f>IF($D213="","",AVERAGE(終値!E213:X213))</f>
        <v>14603.5</v>
      </c>
      <c r="F213" s="502">
        <f>IF($D213="","",STDEVP(終値!E213:X213))</f>
        <v>1219.3072828454688</v>
      </c>
      <c r="G213" s="501">
        <f>IF($D213="","",$E213+BB設定!$B$4*$F213)</f>
        <v>17042.114565690936</v>
      </c>
      <c r="H213" s="501">
        <f>IF($D213="","",$E213+BB設定!$B$5*$F213)</f>
        <v>15822.807282845468</v>
      </c>
      <c r="I213" s="501">
        <f>IF($D213="","",$E213-BB設定!$B$5*$F213)</f>
        <v>13384.192717154532</v>
      </c>
      <c r="J213" s="501">
        <f>IF($D213="","",$E213-BB設定!$B$4*$F213)</f>
        <v>12164.885434309062</v>
      </c>
      <c r="K213" s="506">
        <f t="shared" si="33"/>
        <v>0.61307650002569047</v>
      </c>
      <c r="L213" s="505">
        <f t="shared" si="34"/>
        <v>33.397672690669175</v>
      </c>
      <c r="M213" s="505">
        <f>IF($D213="","",IFERROR(MIN(BB_帯幅!B213:AP213)*100,""))</f>
        <v>21.289750469212407</v>
      </c>
      <c r="N213" s="500" t="str">
        <f>IF($L213="","",IF($L213&lt;=$M213*BB設定!$B$7,"スクイーズ★",IF($L213&lt;=$M213*1.3,"収縮","－")))</f>
        <v>－</v>
      </c>
      <c r="O213" s="500" t="str">
        <f>IF($D213="","",IF(AND(BB_帯幅!B213&gt;BB_帯幅!C213,BB_帯幅!C213&gt;BB_帯幅!D213),"拡大↑","縮小↓"))</f>
        <v>縮小↓</v>
      </c>
      <c r="P213" s="500" t="str">
        <f t="shared" si="35"/>
        <v>バンド内</v>
      </c>
      <c r="Q213" s="503">
        <f>IF($D213="","",IFERROR(100-100/(1+SUMPRODUCT((終値!E213:R213&gt;終値!F213:S213)*(終値!E213:R213-終値!F213:S213))/SUMPRODUCT((終値!E213:R213&lt;終値!F213:S213)*(終値!F213:S213-終値!E213:R213))),100))</f>
        <v>46.649810366624529</v>
      </c>
      <c r="R213" s="503">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45.258412084006025</v>
      </c>
      <c r="S213" s="500"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0" t="str">
        <f t="shared" si="36"/>
        <v>－</v>
      </c>
      <c r="U213" s="500" t="str">
        <f>IF(終値!A213="","",BB_スイング!BT213)</f>
        <v>二番天井M形成</v>
      </c>
      <c r="V213" s="508">
        <f>IF($D213="","",IFERROR(出来高!E213/AVERAGE(出来高!E213:I213),""))</f>
        <v>0.92373889401369136</v>
      </c>
      <c r="W213" s="509"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4">
        <f t="shared" si="42"/>
        <v>10</v>
      </c>
      <c r="Y213" s="501">
        <f t="shared" si="37"/>
        <v>15155</v>
      </c>
      <c r="Z213" s="501">
        <f t="shared" si="38"/>
        <v>15822.807282845468</v>
      </c>
      <c r="AA213" s="501">
        <f t="shared" si="39"/>
        <v>14603.5</v>
      </c>
      <c r="AB213" s="501">
        <f t="shared" si="43"/>
        <v>17042.114565690936</v>
      </c>
      <c r="AC213" s="507">
        <f t="shared" si="40"/>
        <v>3.42</v>
      </c>
      <c r="AD213" s="501">
        <f>IF($D213="","",MIN(終値!E213:I213))</f>
        <v>13725</v>
      </c>
      <c r="AE213" s="503">
        <f t="shared" si="41"/>
        <v>10.09787</v>
      </c>
    </row>
    <row r="214" spans="1:31">
      <c r="A214" s="500" t="str">
        <f>IF(終値!A214="","",HYPERLINK("https://kabutan.jp/stock/?code="&amp;終値!A214,"📈"))</f>
        <v>📈</v>
      </c>
      <c r="B214" s="500" t="str">
        <f>IF(終値!A214="","",終値!A214)</f>
        <v>9519</v>
      </c>
      <c r="C214" s="499" t="str">
        <f>IF(終値!A214="","",終値!B214)</f>
        <v>レノバ</v>
      </c>
      <c r="D214" s="501">
        <f>IF(終値!A214="","",終値!E214)</f>
        <v>925</v>
      </c>
      <c r="E214" s="501">
        <f>IF($D214="","",AVERAGE(終値!E214:X214))</f>
        <v>958.7</v>
      </c>
      <c r="F214" s="502">
        <f>IF($D214="","",STDEVP(終値!E214:X214))</f>
        <v>37.72280477377047</v>
      </c>
      <c r="G214" s="501">
        <f>IF($D214="","",$E214+BB設定!$B$4*$F214)</f>
        <v>1034.145609547541</v>
      </c>
      <c r="H214" s="501">
        <f>IF($D214="","",$E214+BB設定!$B$5*$F214)</f>
        <v>996.42280477377051</v>
      </c>
      <c r="I214" s="501">
        <f>IF($D214="","",$E214-BB設定!$B$5*$F214)</f>
        <v>920.97719522622958</v>
      </c>
      <c r="J214" s="501">
        <f>IF($D214="","",$E214-BB設定!$B$4*$F214)</f>
        <v>883.25439045245912</v>
      </c>
      <c r="K214" s="506">
        <f t="shared" si="33"/>
        <v>0.27666029738440584</v>
      </c>
      <c r="L214" s="505">
        <f t="shared" si="34"/>
        <v>15.73914875300739</v>
      </c>
      <c r="M214" s="505">
        <f>IF($D214="","",IFERROR(MIN(BB_帯幅!B214:AP214)*100,""))</f>
        <v>12.106926085886279</v>
      </c>
      <c r="N214" s="500" t="str">
        <f>IF($L214="","",IF($L214&lt;=$M214*BB設定!$B$7,"スクイーズ★",IF($L214&lt;=$M214*1.3,"収縮","－")))</f>
        <v>－</v>
      </c>
      <c r="O214" s="500" t="str">
        <f>IF($D214="","",IF(AND(BB_帯幅!B214&gt;BB_帯幅!C214,BB_帯幅!C214&gt;BB_帯幅!D214),"拡大↑","縮小↓"))</f>
        <v>拡大↑</v>
      </c>
      <c r="P214" s="500" t="str">
        <f t="shared" si="35"/>
        <v>バンド内</v>
      </c>
      <c r="Q214" s="503">
        <f>IF($D214="","",IFERROR(100-100/(1+SUMPRODUCT((終値!E214:R214&gt;終値!F214:S214)*(終値!E214:R214-終値!F214:S214))/SUMPRODUCT((終値!E214:R214&lt;終値!F214:S214)*(終値!F214:S214-終値!E214:R214))),100))</f>
        <v>31.543624161073822</v>
      </c>
      <c r="R214" s="503">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39.304450802986366</v>
      </c>
      <c r="S214" s="500"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0" t="str">
        <f t="shared" si="36"/>
        <v>－</v>
      </c>
      <c r="U214" s="500" t="str">
        <f>IF(終値!A214="","",BB_スイング!BT214)</f>
        <v>二番天井M▼</v>
      </c>
      <c r="V214" s="508">
        <f>IF($D214="","",IFERROR(出来高!E214/AVERAGE(出来高!E214:I214),""))</f>
        <v>0.93420794346659686</v>
      </c>
      <c r="W214" s="509"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4">
        <f t="shared" si="42"/>
        <v>0</v>
      </c>
      <c r="Y214" s="501">
        <f t="shared" si="37"/>
        <v>925</v>
      </c>
      <c r="Z214" s="501">
        <f t="shared" si="38"/>
        <v>996.42280477377051</v>
      </c>
      <c r="AA214" s="501">
        <f t="shared" si="39"/>
        <v>904</v>
      </c>
      <c r="AB214" s="501">
        <f t="shared" si="43"/>
        <v>1034.145609547541</v>
      </c>
      <c r="AC214" s="507">
        <f t="shared" si="40"/>
        <v>5.2</v>
      </c>
      <c r="AD214" s="501">
        <f>IF($D214="","",MIN(終値!E214:I214))</f>
        <v>904</v>
      </c>
      <c r="AE214" s="503">
        <f t="shared" si="41"/>
        <v>9.7860000000000003E-2</v>
      </c>
    </row>
    <row r="215" spans="1:31" ht="24">
      <c r="A215" s="500" t="str">
        <f>IF(終値!A215="","",HYPERLINK("https://kabutan.jp/stock/?code="&amp;終値!A215,"📈"))</f>
        <v>📈</v>
      </c>
      <c r="B215" s="500" t="str">
        <f>IF(終値!A215="","",終値!A215)</f>
        <v>6752</v>
      </c>
      <c r="C215" s="499" t="str">
        <f>IF(終値!A215="","",終値!B215)</f>
        <v>パナソニックホールディンク</v>
      </c>
      <c r="D215" s="501">
        <f>IF(終値!A215="","",終値!E215)</f>
        <v>4413</v>
      </c>
      <c r="E215" s="501">
        <f>IF($D215="","",AVERAGE(終値!E215:X215))</f>
        <v>4127.3999999999996</v>
      </c>
      <c r="F215" s="502">
        <f>IF($D215="","",STDEVP(終値!E215:X215))</f>
        <v>299.68690328407746</v>
      </c>
      <c r="G215" s="501">
        <f>IF($D215="","",$E215+BB設定!$B$4*$F215)</f>
        <v>4726.7738065681542</v>
      </c>
      <c r="H215" s="501">
        <f>IF($D215="","",$E215+BB設定!$B$5*$F215)</f>
        <v>4427.0869032840774</v>
      </c>
      <c r="I215" s="501">
        <f>IF($D215="","",$E215-BB設定!$B$5*$F215)</f>
        <v>3827.7130967159223</v>
      </c>
      <c r="J215" s="501">
        <f>IF($D215="","",$E215-BB設定!$B$4*$F215)</f>
        <v>3528.0261934318446</v>
      </c>
      <c r="K215" s="506">
        <f t="shared" si="33"/>
        <v>0.73824864956584069</v>
      </c>
      <c r="L215" s="505">
        <f t="shared" si="34"/>
        <v>29.043650073564709</v>
      </c>
      <c r="M215" s="505">
        <f>IF($D215="","",IFERROR(MIN(BB_帯幅!B215:AP215)*100,""))</f>
        <v>11.955116796715002</v>
      </c>
      <c r="N215" s="500" t="str">
        <f>IF($L215="","",IF($L215&lt;=$M215*BB設定!$B$7,"スクイーズ★",IF($L215&lt;=$M215*1.3,"収縮","－")))</f>
        <v>－</v>
      </c>
      <c r="O215" s="500" t="str">
        <f>IF($D215="","",IF(AND(BB_帯幅!B215&gt;BB_帯幅!C215,BB_帯幅!C215&gt;BB_帯幅!D215),"拡大↑","縮小↓"))</f>
        <v>縮小↓</v>
      </c>
      <c r="P215" s="500" t="str">
        <f t="shared" si="35"/>
        <v>バンド内</v>
      </c>
      <c r="Q215" s="503">
        <f>IF($D215="","",IFERROR(100-100/(1+SUMPRODUCT((終値!E215:R215&gt;終値!F215:S215)*(終値!E215:R215-終値!F215:S215))/SUMPRODUCT((終値!E215:R215&lt;終値!F215:S215)*(終値!F215:S215-終値!E215:R215))),100))</f>
        <v>52.129090094128202</v>
      </c>
      <c r="R215" s="503">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40.781648882606625</v>
      </c>
      <c r="S215" s="500"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0" t="str">
        <f t="shared" si="36"/>
        <v>－</v>
      </c>
      <c r="U215" s="500" t="str">
        <f>IF(終値!A215="","",BB_スイング!BT215)</f>
        <v>－</v>
      </c>
      <c r="V215" s="508">
        <f>IF($D215="","",IFERROR(出来高!E215/AVERAGE(出来高!E215:I215),""))</f>
        <v>0.64482956462400909</v>
      </c>
      <c r="W215" s="509"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4">
        <f t="shared" si="42"/>
        <v>15</v>
      </c>
      <c r="Y215" s="501">
        <f t="shared" si="37"/>
        <v>4413</v>
      </c>
      <c r="Z215" s="501">
        <f t="shared" si="38"/>
        <v>4427.0869032840774</v>
      </c>
      <c r="AA215" s="501">
        <f t="shared" si="39"/>
        <v>4127.3999999999996</v>
      </c>
      <c r="AB215" s="501">
        <f t="shared" si="43"/>
        <v>4726.7738065681542</v>
      </c>
      <c r="AC215" s="507">
        <f t="shared" si="40"/>
        <v>1.1000000000000001</v>
      </c>
      <c r="AD215" s="501">
        <f>IF($D215="","",MIN(終値!E215:I215))</f>
        <v>4235</v>
      </c>
      <c r="AE215" s="503">
        <f t="shared" si="41"/>
        <v>15.097849999999999</v>
      </c>
    </row>
    <row r="216" spans="1:31">
      <c r="A216" s="500" t="str">
        <f>IF(終値!A216="","",HYPERLINK("https://kabutan.jp/stock/?code="&amp;終値!A216,"📈"))</f>
        <v>📈</v>
      </c>
      <c r="B216" s="500" t="str">
        <f>IF(終値!A216="","",終値!A216)</f>
        <v>6622</v>
      </c>
      <c r="C216" s="499" t="str">
        <f>IF(終値!A216="","",終値!B216)</f>
        <v>ダイヘン</v>
      </c>
      <c r="D216" s="501">
        <f>IF(終値!A216="","",終値!E216)</f>
        <v>14130</v>
      </c>
      <c r="E216" s="501">
        <f>IF($D216="","",AVERAGE(終値!E216:X216))</f>
        <v>14409.5</v>
      </c>
      <c r="F216" s="502">
        <f>IF($D216="","",STDEVP(終値!E216:X216))</f>
        <v>1004.7212299936734</v>
      </c>
      <c r="G216" s="501">
        <f>IF($D216="","",$E216+BB設定!$B$4*$F216)</f>
        <v>16418.942459987346</v>
      </c>
      <c r="H216" s="501">
        <f>IF($D216="","",$E216+BB設定!$B$5*$F216)</f>
        <v>15414.221229993673</v>
      </c>
      <c r="I216" s="501">
        <f>IF($D216="","",$E216-BB設定!$B$5*$F216)</f>
        <v>13404.778770006327</v>
      </c>
      <c r="J216" s="501">
        <f>IF($D216="","",$E216-BB設定!$B$4*$F216)</f>
        <v>12400.057540012653</v>
      </c>
      <c r="K216" s="506">
        <f t="shared" si="33"/>
        <v>0.43045334575000493</v>
      </c>
      <c r="L216" s="505">
        <f t="shared" si="34"/>
        <v>27.890523057529361</v>
      </c>
      <c r="M216" s="505">
        <f>IF($D216="","",IFERROR(MIN(BB_帯幅!B216:AP216)*100,""))</f>
        <v>16.776458789740602</v>
      </c>
      <c r="N216" s="500" t="str">
        <f>IF($L216="","",IF($L216&lt;=$M216*BB設定!$B$7,"スクイーズ★",IF($L216&lt;=$M216*1.3,"収縮","－")))</f>
        <v>－</v>
      </c>
      <c r="O216" s="500" t="str">
        <f>IF($D216="","",IF(AND(BB_帯幅!B216&gt;BB_帯幅!C216,BB_帯幅!C216&gt;BB_帯幅!D216),"拡大↑","縮小↓"))</f>
        <v>縮小↓</v>
      </c>
      <c r="P216" s="500" t="str">
        <f t="shared" si="35"/>
        <v>バンド内</v>
      </c>
      <c r="Q216" s="503">
        <f>IF($D216="","",IFERROR(100-100/(1+SUMPRODUCT((終値!E216:R216&gt;終値!F216:S216)*(終値!E216:R216-終値!F216:S216))/SUMPRODUCT((終値!E216:R216&lt;終値!F216:S216)*(終値!F216:S216-終値!E216:R216))),100))</f>
        <v>42.263056092843328</v>
      </c>
      <c r="R216" s="503">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44.706363793670356</v>
      </c>
      <c r="S216" s="500"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0" t="str">
        <f t="shared" si="36"/>
        <v>－</v>
      </c>
      <c r="U216" s="500" t="str">
        <f>IF(終値!A216="","",BB_スイング!BT216)</f>
        <v>二番天井M形成</v>
      </c>
      <c r="V216" s="508">
        <f>IF($D216="","",IFERROR(出来高!E216/AVERAGE(出来高!E216:I216),""))</f>
        <v>1.0403110922881453</v>
      </c>
      <c r="W216" s="509"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4">
        <f t="shared" si="42"/>
        <v>0</v>
      </c>
      <c r="Y216" s="501">
        <f t="shared" si="37"/>
        <v>14130</v>
      </c>
      <c r="Z216" s="501">
        <f t="shared" si="38"/>
        <v>15414.221229993673</v>
      </c>
      <c r="AA216" s="501">
        <f t="shared" si="39"/>
        <v>13700</v>
      </c>
      <c r="AB216" s="501">
        <f t="shared" si="43"/>
        <v>16418.942459987346</v>
      </c>
      <c r="AC216" s="507">
        <f t="shared" si="40"/>
        <v>5.32</v>
      </c>
      <c r="AD216" s="501">
        <f>IF($D216="","",MIN(終値!E216:I216))</f>
        <v>13700</v>
      </c>
      <c r="AE216" s="503">
        <f t="shared" si="41"/>
        <v>9.7839999999999996E-2</v>
      </c>
    </row>
    <row r="217" spans="1:31" ht="24">
      <c r="A217" s="500" t="str">
        <f>IF(終値!A217="","",HYPERLINK("https://kabutan.jp/stock/?code="&amp;終値!A217,"📈"))</f>
        <v>📈</v>
      </c>
      <c r="B217" s="500" t="str">
        <f>IF(終値!A217="","",終値!A217)</f>
        <v>1407</v>
      </c>
      <c r="C217" s="499" t="str">
        <f>IF(終値!A217="","",終値!B217)</f>
        <v>ウエストホールディングス</v>
      </c>
      <c r="D217" s="501">
        <f>IF(終値!A217="","",終値!E217)</f>
        <v>2704</v>
      </c>
      <c r="E217" s="501">
        <f>IF($D217="","",AVERAGE(終値!E217:X217))</f>
        <v>2573.6999999999998</v>
      </c>
      <c r="F217" s="502">
        <f>IF($D217="","",STDEVP(終値!E217:X217))</f>
        <v>218.19305671812748</v>
      </c>
      <c r="G217" s="501">
        <f>IF($D217="","",$E217+BB設定!$B$4*$F217)</f>
        <v>3010.0861134362549</v>
      </c>
      <c r="H217" s="501">
        <f>IF($D217="","",$E217+BB設定!$B$5*$F217)</f>
        <v>2791.8930567181274</v>
      </c>
      <c r="I217" s="501">
        <f>IF($D217="","",$E217-BB設定!$B$5*$F217)</f>
        <v>2355.5069432818723</v>
      </c>
      <c r="J217" s="501">
        <f>IF($D217="","",$E217-BB設定!$B$4*$F217)</f>
        <v>2137.3138865637447</v>
      </c>
      <c r="K217" s="506">
        <f t="shared" si="33"/>
        <v>0.64929439318539828</v>
      </c>
      <c r="L217" s="505">
        <f t="shared" si="34"/>
        <v>33.911187274061092</v>
      </c>
      <c r="M217" s="505">
        <f>IF($D217="","",IFERROR(MIN(BB_帯幅!B217:AP217)*100,""))</f>
        <v>9.5111770745455644</v>
      </c>
      <c r="N217" s="500" t="str">
        <f>IF($L217="","",IF($L217&lt;=$M217*BB設定!$B$7,"スクイーズ★",IF($L217&lt;=$M217*1.3,"収縮","－")))</f>
        <v>－</v>
      </c>
      <c r="O217" s="500" t="str">
        <f>IF($D217="","",IF(AND(BB_帯幅!B217&gt;BB_帯幅!C217,BB_帯幅!C217&gt;BB_帯幅!D217),"拡大↑","縮小↓"))</f>
        <v>縮小↓</v>
      </c>
      <c r="P217" s="500" t="str">
        <f t="shared" si="35"/>
        <v>バンド内</v>
      </c>
      <c r="Q217" s="503">
        <f>IF($D217="","",IFERROR(100-100/(1+SUMPRODUCT((終値!E217:R217&gt;終値!F217:S217)*(終値!E217:R217-終値!F217:S217))/SUMPRODUCT((終値!E217:R217&lt;終値!F217:S217)*(終値!F217:S217-終値!E217:R217))),100))</f>
        <v>45.242718446601941</v>
      </c>
      <c r="R217" s="503">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46.058007027825525</v>
      </c>
      <c r="S217" s="500"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弱気div▼</v>
      </c>
      <c r="T217" s="500" t="str">
        <f t="shared" si="36"/>
        <v>－</v>
      </c>
      <c r="U217" s="500" t="str">
        <f>IF(終値!A217="","",BB_スイング!BT217)</f>
        <v>二番底W形成</v>
      </c>
      <c r="V217" s="508">
        <f>IF($D217="","",IFERROR(出来高!E217/AVERAGE(出来高!E217:I217),""))</f>
        <v>0.97685928884643769</v>
      </c>
      <c r="W217" s="509"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△二番底形成</v>
      </c>
      <c r="X217" s="504">
        <f t="shared" si="42"/>
        <v>10</v>
      </c>
      <c r="Y217" s="501">
        <f t="shared" si="37"/>
        <v>2704</v>
      </c>
      <c r="Z217" s="501">
        <f t="shared" si="38"/>
        <v>2791.8930567181274</v>
      </c>
      <c r="AA217" s="501">
        <f t="shared" si="39"/>
        <v>2573.6999999999998</v>
      </c>
      <c r="AB217" s="501">
        <f t="shared" si="43"/>
        <v>3010.0861134362549</v>
      </c>
      <c r="AC217" s="507">
        <f t="shared" si="40"/>
        <v>2.35</v>
      </c>
      <c r="AD217" s="501">
        <f>IF($D217="","",MIN(終値!E217:I217))</f>
        <v>2529</v>
      </c>
      <c r="AE217" s="503">
        <f t="shared" si="41"/>
        <v>10.09783</v>
      </c>
    </row>
    <row r="218" spans="1:31">
      <c r="A218" s="500" t="str">
        <f>IF(終値!A218="","",HYPERLINK("https://kabutan.jp/stock/?code="&amp;終値!A218,"📈"))</f>
        <v>📈</v>
      </c>
      <c r="B218" s="500" t="str">
        <f>IF(終値!A218="","",終値!A218)</f>
        <v>285A</v>
      </c>
      <c r="C218" s="499" t="str">
        <f>IF(終値!A218="","",終値!B218)</f>
        <v>QPS研究所</v>
      </c>
      <c r="D218" s="501">
        <f>IF(終値!A218="","",終値!E218)</f>
        <v>48740</v>
      </c>
      <c r="E218" s="501">
        <f>IF($D218="","",AVERAGE(終値!E218:X218))</f>
        <v>57956.5</v>
      </c>
      <c r="F218" s="502">
        <f>IF($D218="","",STDEVP(終値!E218:X218))</f>
        <v>11723.763165042186</v>
      </c>
      <c r="G218" s="501">
        <f>IF($D218="","",$E218+BB設定!$B$4*$F218)</f>
        <v>81404.026330084365</v>
      </c>
      <c r="H218" s="501">
        <f>IF($D218="","",$E218+BB設定!$B$5*$F218)</f>
        <v>69680.263165042183</v>
      </c>
      <c r="I218" s="501">
        <f>IF($D218="","",$E218-BB設定!$B$5*$F218)</f>
        <v>46232.736834957817</v>
      </c>
      <c r="J218" s="501">
        <f>IF($D218="","",$E218-BB設定!$B$4*$F218)</f>
        <v>34508.973669915627</v>
      </c>
      <c r="K218" s="506">
        <f t="shared" si="33"/>
        <v>0.30346540888249779</v>
      </c>
      <c r="L218" s="505">
        <f t="shared" si="34"/>
        <v>80.914224737809803</v>
      </c>
      <c r="M218" s="505">
        <f>IF($D218="","",IFERROR(MIN(BB_帯幅!B218:AP218)*100,""))</f>
        <v>46.687644631307094</v>
      </c>
      <c r="N218" s="500" t="str">
        <f>IF($L218="","",IF($L218&lt;=$M218*BB設定!$B$7,"スクイーズ★",IF($L218&lt;=$M218*1.3,"収縮","－")))</f>
        <v>－</v>
      </c>
      <c r="O218" s="500" t="str">
        <f>IF($D218="","",IF(AND(BB_帯幅!B218&gt;BB_帯幅!C218,BB_帯幅!C218&gt;BB_帯幅!D218),"拡大↑","縮小↓"))</f>
        <v>縮小↓</v>
      </c>
      <c r="P218" s="500" t="str">
        <f t="shared" si="35"/>
        <v>バンド内</v>
      </c>
      <c r="Q218" s="503">
        <f>IF($D218="","",IFERROR(100-100/(1+SUMPRODUCT((終値!E218:R218&gt;終値!F218:S218)*(終値!E218:R218-終値!F218:S218))/SUMPRODUCT((終値!E218:R218&lt;終値!F218:S218)*(終値!F218:S218-終値!E218:R218))),100))</f>
        <v>34.873323397913566</v>
      </c>
      <c r="R218" s="503">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41.552737562358452</v>
      </c>
      <c r="S218" s="500"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0" t="str">
        <f t="shared" si="36"/>
        <v>－</v>
      </c>
      <c r="U218" s="500" t="str">
        <f>IF(終値!A218="","",BB_スイング!BT218)</f>
        <v>－</v>
      </c>
      <c r="V218" s="508">
        <f>IF($D218="","",IFERROR(出来高!E218/AVERAGE(出来高!E218:I218),""))</f>
        <v>0.84314207408630781</v>
      </c>
      <c r="W218" s="509"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4">
        <f t="shared" si="42"/>
        <v>0</v>
      </c>
      <c r="Y218" s="501">
        <f t="shared" si="37"/>
        <v>48740</v>
      </c>
      <c r="Z218" s="501">
        <f t="shared" si="38"/>
        <v>69680.263165042183</v>
      </c>
      <c r="AA218" s="501">
        <f t="shared" si="39"/>
        <v>46500</v>
      </c>
      <c r="AB218" s="501">
        <f t="shared" si="43"/>
        <v>81404.026330084365</v>
      </c>
      <c r="AC218" s="507">
        <f t="shared" si="40"/>
        <v>14.58</v>
      </c>
      <c r="AD218" s="501">
        <f>IF($D218="","",MIN(終値!E218:I218))</f>
        <v>46500</v>
      </c>
      <c r="AE218" s="503">
        <f t="shared" si="41"/>
        <v>9.7820000000000004E-2</v>
      </c>
    </row>
    <row r="219" spans="1:31" ht="24">
      <c r="A219" s="500" t="str">
        <f>IF(終値!A219="","",HYPERLINK("https://kabutan.jp/stock/?code="&amp;終値!A219,"📈"))</f>
        <v>📈</v>
      </c>
      <c r="B219" s="500" t="str">
        <f>IF(終値!A219="","",終値!A219)</f>
        <v>141A</v>
      </c>
      <c r="C219" s="499" t="str">
        <f>IF(終値!A219="","",終値!B219)</f>
        <v>トライアルホールディングス</v>
      </c>
      <c r="D219" s="501">
        <f>IF(終値!A219="","",終値!E219)</f>
        <v>3200</v>
      </c>
      <c r="E219" s="501">
        <f>IF($D219="","",AVERAGE(終値!E219:X219))</f>
        <v>3079.2105263157896</v>
      </c>
      <c r="F219" s="502">
        <f>IF($D219="","",STDEVP(終値!E219:X219))</f>
        <v>88.21718351967516</v>
      </c>
      <c r="G219" s="501">
        <f>IF($D219="","",$E219+BB設定!$B$4*$F219)</f>
        <v>3255.6448933551401</v>
      </c>
      <c r="H219" s="501">
        <f>IF($D219="","",$E219+BB設定!$B$5*$F219)</f>
        <v>3167.4277098354646</v>
      </c>
      <c r="I219" s="501">
        <f>IF($D219="","",$E219-BB設定!$B$5*$F219)</f>
        <v>2990.9933427961146</v>
      </c>
      <c r="J219" s="501">
        <f>IF($D219="","",$E219-BB設定!$B$4*$F219)</f>
        <v>2902.7761592764391</v>
      </c>
      <c r="K219" s="506">
        <f t="shared" si="33"/>
        <v>0.84230710181670698</v>
      </c>
      <c r="L219" s="505">
        <f t="shared" si="34"/>
        <v>11.459714464567675</v>
      </c>
      <c r="M219" s="505">
        <f>IF($D219="","",IFERROR(MIN(BB_帯幅!B219:AP219)*100,""))</f>
        <v>5.7760309990577383</v>
      </c>
      <c r="N219" s="500" t="str">
        <f>IF($L219="","",IF($L219&lt;=$M219*BB設定!$B$7,"スクイーズ★",IF($L219&lt;=$M219*1.3,"収縮","－")))</f>
        <v>－</v>
      </c>
      <c r="O219" s="500" t="str">
        <f>IF($D219="","",IF(AND(BB_帯幅!B219&gt;BB_帯幅!C219,BB_帯幅!C219&gt;BB_帯幅!D219),"拡大↑","縮小↓"))</f>
        <v>拡大↑</v>
      </c>
      <c r="P219" s="500" t="str">
        <f t="shared" si="35"/>
        <v>+1σ上</v>
      </c>
      <c r="Q219" s="503">
        <f>IF($D219="","",IFERROR(100-100/(1+SUMPRODUCT((終値!E219:R219&gt;終値!F219:S219)*(終値!E219:R219-終値!F219:S219))/SUMPRODUCT((終値!E219:R219&lt;終値!F219:S219)*(終値!F219:S219-終値!E219:R219))),100))</f>
        <v>51.515151515151516</v>
      </c>
      <c r="R219" s="503">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63.249155518007825</v>
      </c>
      <c r="S219" s="500"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0" t="str">
        <f t="shared" si="36"/>
        <v>上walk▲</v>
      </c>
      <c r="U219" s="500" t="str">
        <f>IF(終値!A219="","",BB_スイング!BT219)</f>
        <v>－</v>
      </c>
      <c r="V219" s="508">
        <f>IF($D219="","",IFERROR(出来高!E219/AVERAGE(出来高!E219:I219),""))</f>
        <v>0.96291012838801715</v>
      </c>
      <c r="W219" s="509"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様子見</v>
      </c>
      <c r="X219" s="504">
        <f t="shared" si="42"/>
        <v>47</v>
      </c>
      <c r="Y219" s="501">
        <f t="shared" si="37"/>
        <v>3200</v>
      </c>
      <c r="Z219" s="501">
        <f t="shared" si="38"/>
        <v>3167.4277098354646</v>
      </c>
      <c r="AA219" s="501">
        <f t="shared" si="39"/>
        <v>3079.2105263157896</v>
      </c>
      <c r="AB219" s="501">
        <f t="shared" si="43"/>
        <v>3255.6448933551401</v>
      </c>
      <c r="AC219" s="507">
        <f t="shared" si="40"/>
        <v>0.46</v>
      </c>
      <c r="AD219" s="501">
        <f>IF($D219="","",MIN(終値!E219:I219))</f>
        <v>3130</v>
      </c>
      <c r="AE219" s="503">
        <f t="shared" si="41"/>
        <v>47.097810000000003</v>
      </c>
    </row>
    <row r="220" spans="1:31" ht="24">
      <c r="A220" s="500" t="str">
        <f>IF(終値!A220="","",HYPERLINK("https://kabutan.jp/stock/?code="&amp;終値!A220,"📈"))</f>
        <v>📈</v>
      </c>
      <c r="B220" s="500" t="str">
        <f>IF(終値!A220="","",終値!A220)</f>
        <v>464A</v>
      </c>
      <c r="C220" s="499" t="str">
        <f>IF(終値!A220="","",終値!B220)</f>
        <v>QPSホールディングス</v>
      </c>
      <c r="D220" s="501">
        <f>IF(終値!A220="","",終値!E220)</f>
        <v>1646</v>
      </c>
      <c r="E220" s="501">
        <f>IF($D220="","",AVERAGE(終値!E220:X220))</f>
        <v>1634.4</v>
      </c>
      <c r="F220" s="502">
        <f>IF($D220="","",STDEVP(終値!E220:X220))</f>
        <v>152.73781457124494</v>
      </c>
      <c r="G220" s="501">
        <f>IF($D220="","",$E220+BB設定!$B$4*$F220)</f>
        <v>1939.87562914249</v>
      </c>
      <c r="H220" s="501">
        <f>IF($D220="","",$E220+BB設定!$B$5*$F220)</f>
        <v>1787.1378145712451</v>
      </c>
      <c r="I220" s="501">
        <f>IF($D220="","",$E220-BB設定!$B$5*$F220)</f>
        <v>1481.662185428755</v>
      </c>
      <c r="J220" s="501">
        <f>IF($D220="","",$E220-BB設定!$B$4*$F220)</f>
        <v>1328.9243708575102</v>
      </c>
      <c r="K220" s="506">
        <f t="shared" si="33"/>
        <v>0.51898678469467863</v>
      </c>
      <c r="L220" s="505">
        <f t="shared" si="34"/>
        <v>37.380767149105466</v>
      </c>
      <c r="M220" s="505">
        <f>IF($D220="","",IFERROR(MIN(BB_帯幅!B220:AP220)*100,""))</f>
        <v>28.112145578416786</v>
      </c>
      <c r="N220" s="500" t="str">
        <f>IF($L220="","",IF($L220&lt;=$M220*BB設定!$B$7,"スクイーズ★",IF($L220&lt;=$M220*1.3,"収縮","－")))</f>
        <v>－</v>
      </c>
      <c r="O220" s="500" t="str">
        <f>IF($D220="","",IF(AND(BB_帯幅!B220&gt;BB_帯幅!C220,BB_帯幅!C220&gt;BB_帯幅!D220),"拡大↑","縮小↓"))</f>
        <v>縮小↓</v>
      </c>
      <c r="P220" s="500" t="str">
        <f t="shared" si="35"/>
        <v>バンド内</v>
      </c>
      <c r="Q220" s="503">
        <f>IF($D220="","",IFERROR(100-100/(1+SUMPRODUCT((終値!E220:R220&gt;終値!F220:S220)*(終値!E220:R220-終値!F220:S220))/SUMPRODUCT((終値!E220:R220&lt;終値!F220:S220)*(終値!F220:S220-終値!E220:R220))),100))</f>
        <v>39.090909090909086</v>
      </c>
      <c r="R220" s="503">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47.736269304230206</v>
      </c>
      <c r="S220" s="500"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0" t="str">
        <f t="shared" si="36"/>
        <v>－</v>
      </c>
      <c r="U220" s="500" t="str">
        <f>IF(終値!A220="","",BB_スイング!BT220)</f>
        <v>－</v>
      </c>
      <c r="V220" s="508">
        <f>IF($D220="","",IFERROR(出来高!E220/AVERAGE(出来高!E220:I220),""))</f>
        <v>0.79416788861846377</v>
      </c>
      <c r="W220" s="509"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4">
        <f t="shared" si="42"/>
        <v>15</v>
      </c>
      <c r="Y220" s="501">
        <f t="shared" si="37"/>
        <v>1646</v>
      </c>
      <c r="Z220" s="501">
        <f t="shared" si="38"/>
        <v>1787.1378145712451</v>
      </c>
      <c r="AA220" s="501">
        <f t="shared" si="39"/>
        <v>1634.4</v>
      </c>
      <c r="AB220" s="501">
        <f t="shared" si="43"/>
        <v>1939.87562914249</v>
      </c>
      <c r="AC220" s="507">
        <f t="shared" si="40"/>
        <v>20</v>
      </c>
      <c r="AD220" s="501">
        <f>IF($D220="","",MIN(終値!E220:I220))</f>
        <v>1528</v>
      </c>
      <c r="AE220" s="503">
        <f t="shared" si="41"/>
        <v>15.097799999999999</v>
      </c>
    </row>
    <row r="221" spans="1:31">
      <c r="A221" s="500" t="str">
        <f>IF(終値!A221="","",HYPERLINK("https://kabutan.jp/stock/?code="&amp;終値!A221,"📈"))</f>
        <v>📈</v>
      </c>
      <c r="B221" s="500" t="str">
        <f>IF(終値!A221="","",終値!A221)</f>
        <v>485A</v>
      </c>
      <c r="C221" s="499" t="str">
        <f>IF(終値!A221="","",終値!B221)</f>
        <v>パワーエックス</v>
      </c>
      <c r="D221" s="501">
        <f>IF(終値!A221="","",終値!E221)</f>
        <v>1855</v>
      </c>
      <c r="E221" s="501">
        <f>IF($D221="","",AVERAGE(終値!E221:X221))</f>
        <v>1889</v>
      </c>
      <c r="F221" s="502">
        <f>IF($D221="","",STDEVP(終値!E221:X221))</f>
        <v>34</v>
      </c>
      <c r="G221" s="501">
        <f>IF($D221="","",$E221+BB設定!$B$4*$F221)</f>
        <v>1957</v>
      </c>
      <c r="H221" s="501">
        <f>IF($D221="","",$E221+BB設定!$B$5*$F221)</f>
        <v>1923</v>
      </c>
      <c r="I221" s="501">
        <f>IF($D221="","",$E221-BB設定!$B$5*$F221)</f>
        <v>1855</v>
      </c>
      <c r="J221" s="501">
        <f>IF($D221="","",$E221-BB設定!$B$4*$F221)</f>
        <v>1821</v>
      </c>
      <c r="K221" s="506">
        <f t="shared" si="33"/>
        <v>0.25</v>
      </c>
      <c r="L221" s="505">
        <f t="shared" si="34"/>
        <v>7.1995764955002652</v>
      </c>
      <c r="M221" s="505">
        <f>IF($D221="","",IFERROR(MIN(BB_帯幅!B221:AP221)*100,""))</f>
        <v>0</v>
      </c>
      <c r="N221" s="500" t="str">
        <f>IF($L221="","",IF($L221&lt;=$M221*BB設定!$B$7,"スクイーズ★",IF($L221&lt;=$M221*1.3,"収縮","－")))</f>
        <v>－</v>
      </c>
      <c r="O221" s="500" t="str">
        <f>IF($D221="","",IF(AND(BB_帯幅!B221&gt;BB_帯幅!C221,BB_帯幅!C221&gt;BB_帯幅!D221),"拡大↑","縮小↓"))</f>
        <v>縮小↓</v>
      </c>
      <c r="P221" s="500" t="str">
        <f t="shared" si="35"/>
        <v>バンド内</v>
      </c>
      <c r="Q221" s="503">
        <f>IF($D221="","",IFERROR(100-100/(1+SUMPRODUCT((終値!E221:R221&gt;終値!F221:S221)*(終値!E221:R221-終値!F221:S221))/SUMPRODUCT((終値!E221:R221&lt;終値!F221:S221)*(終値!F221:S221-終値!E221:R221))),100))</f>
        <v>96.584630838774487</v>
      </c>
      <c r="R221" s="503">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62.411993378472204</v>
      </c>
      <c r="S221" s="500"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弱気div▼</v>
      </c>
      <c r="T221" s="500" t="str">
        <f t="shared" si="36"/>
        <v>下walk▼</v>
      </c>
      <c r="U221" s="500" t="str">
        <f>IF(終値!A221="","",BB_スイング!BT221)</f>
        <v>－</v>
      </c>
      <c r="V221" s="508">
        <f>IF($D221="","",IFERROR(出来高!E221/AVERAGE(出来高!E221:I221),""))</f>
        <v>0.75489946551285314</v>
      </c>
      <c r="W221" s="509"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様子見</v>
      </c>
      <c r="X221" s="504">
        <f t="shared" si="42"/>
        <v>0</v>
      </c>
      <c r="Y221" s="501">
        <f t="shared" si="37"/>
        <v>1855</v>
      </c>
      <c r="Z221" s="501">
        <f t="shared" si="38"/>
        <v>1923</v>
      </c>
      <c r="AA221" s="501">
        <f t="shared" si="39"/>
        <v>1855</v>
      </c>
      <c r="AB221" s="501">
        <f t="shared" si="43"/>
        <v>1957</v>
      </c>
      <c r="AC221" s="507" t="str">
        <f t="shared" si="40"/>
        <v>－</v>
      </c>
      <c r="AD221" s="501">
        <f>IF($D221="","",MIN(終値!E221:I221))</f>
        <v>1855</v>
      </c>
      <c r="AE221" s="503">
        <f t="shared" si="41"/>
        <v>9.7790000000000002E-2</v>
      </c>
    </row>
    <row r="222" spans="1:31">
      <c r="A222" s="500" t="str">
        <f>IF(終値!A222="","",HYPERLINK("https://kabutan.jp/stock/?code="&amp;終値!A222,"📈"))</f>
        <v>📈</v>
      </c>
      <c r="B222" s="500" t="str">
        <f>IF(終値!A222="","",終値!A222)</f>
        <v>1570</v>
      </c>
      <c r="C222" s="499" t="str">
        <f>IF(終値!A222="","",終値!B222)</f>
        <v>ＮＦ日経レバ</v>
      </c>
      <c r="D222" s="501">
        <f>IF(終値!A222="","",終値!E222)</f>
        <v>68540</v>
      </c>
      <c r="E222" s="501">
        <f>IF($D222="","",AVERAGE(終値!E222:X222))</f>
        <v>68691.5</v>
      </c>
      <c r="F222" s="502">
        <f>IF($D222="","",STDEVP(終値!E222:X222))</f>
        <v>4560.1713509472429</v>
      </c>
      <c r="G222" s="501">
        <f>IF($D222="","",$E222+BB設定!$B$4*$F222)</f>
        <v>77811.842701894493</v>
      </c>
      <c r="H222" s="501">
        <f>IF($D222="","",$E222+BB設定!$B$5*$F222)</f>
        <v>73251.671350947247</v>
      </c>
      <c r="I222" s="501">
        <f>IF($D222="","",$E222-BB設定!$B$5*$F222)</f>
        <v>64131.328649052753</v>
      </c>
      <c r="J222" s="501">
        <f>IF($D222="","",$E222-BB設定!$B$4*$F222)</f>
        <v>59571.157298105514</v>
      </c>
      <c r="K222" s="506">
        <f t="shared" si="33"/>
        <v>0.4916943910469212</v>
      </c>
      <c r="L222" s="505">
        <f t="shared" si="34"/>
        <v>26.554501508613114</v>
      </c>
      <c r="M222" s="505">
        <f>IF($D222="","",IFERROR(MIN(BB_帯幅!B222:AP222)*100,""))</f>
        <v>16.020567047648125</v>
      </c>
      <c r="N222" s="500" t="str">
        <f>IF($L222="","",IF($L222&lt;=$M222*BB設定!$B$7,"スクイーズ★",IF($L222&lt;=$M222*1.3,"収縮","－")))</f>
        <v>－</v>
      </c>
      <c r="O222" s="500" t="str">
        <f>IF($D222="","",IF(AND(BB_帯幅!B222&gt;BB_帯幅!C222,BB_帯幅!C222&gt;BB_帯幅!D222),"拡大↑","縮小↓"))</f>
        <v>縮小↓</v>
      </c>
      <c r="P222" s="500" t="str">
        <f t="shared" si="35"/>
        <v>バンド内</v>
      </c>
      <c r="Q222" s="503">
        <f>IF($D222="","",IFERROR(100-100/(1+SUMPRODUCT((終値!E222:R222&gt;終値!F222:S222)*(終値!E222:R222-終値!F222:S222))/SUMPRODUCT((終値!E222:R222&lt;終値!F222:S222)*(終値!F222:S222-終値!E222:R222))),100))</f>
        <v>40.798004987531172</v>
      </c>
      <c r="R222" s="503">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42.552496574414157</v>
      </c>
      <c r="S222" s="500"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強気div▲</v>
      </c>
      <c r="T222" s="500" t="str">
        <f t="shared" si="36"/>
        <v>－</v>
      </c>
      <c r="U222" s="500" t="str">
        <f>IF(終値!A222="","",BB_スイング!BT222)</f>
        <v>－</v>
      </c>
      <c r="V222" s="508">
        <f>IF($D222="","",IFERROR(出来高!E222/AVERAGE(出来高!E222:I222),""))</f>
        <v>0.86284925170121851</v>
      </c>
      <c r="W222" s="509"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○反発(ダイバ)買</v>
      </c>
      <c r="X222" s="504">
        <f t="shared" si="42"/>
        <v>10</v>
      </c>
      <c r="Y222" s="501">
        <f t="shared" si="37"/>
        <v>68540</v>
      </c>
      <c r="Z222" s="501">
        <f t="shared" si="38"/>
        <v>73251.671350947247</v>
      </c>
      <c r="AA222" s="501">
        <f t="shared" si="39"/>
        <v>64610</v>
      </c>
      <c r="AB222" s="501">
        <f t="shared" si="43"/>
        <v>77811.842701894493</v>
      </c>
      <c r="AC222" s="507">
        <f t="shared" si="40"/>
        <v>2.36</v>
      </c>
      <c r="AD222" s="501">
        <f>IF($D222="","",MIN(終値!E222:I222))</f>
        <v>64610</v>
      </c>
      <c r="AE222" s="503">
        <f t="shared" si="41"/>
        <v>10.09778</v>
      </c>
    </row>
    <row r="223" spans="1:31">
      <c r="A223" s="500" t="str">
        <f>IF(終値!A223="","",HYPERLINK("https://kabutan.jp/stock/?code="&amp;終値!A223,"📈"))</f>
        <v>📈</v>
      </c>
      <c r="B223" s="500" t="str">
        <f>IF(終値!A223="","",終値!A223)</f>
        <v>6135</v>
      </c>
      <c r="C223" s="499" t="str">
        <f>IF(終値!A223="","",終値!B223)</f>
        <v>牧野フライス</v>
      </c>
      <c r="D223" s="501">
        <f>IF(終値!A223="","",終値!E223)</f>
        <v>15070</v>
      </c>
      <c r="E223" s="501">
        <f>IF($D223="","",AVERAGE(終値!E223:X223))</f>
        <v>14626</v>
      </c>
      <c r="F223" s="502">
        <f>IF($D223="","",STDEVP(終値!E223:X223))</f>
        <v>351.88634528779318</v>
      </c>
      <c r="G223" s="501">
        <f>IF($D223="","",$E223+BB設定!$B$4*$F223)</f>
        <v>15329.772690575586</v>
      </c>
      <c r="H223" s="501">
        <f>IF($D223="","",$E223+BB設定!$B$5*$F223)</f>
        <v>14977.886345287794</v>
      </c>
      <c r="I223" s="501">
        <f>IF($D223="","",$E223-BB設定!$B$5*$F223)</f>
        <v>14274.113654712206</v>
      </c>
      <c r="J223" s="501">
        <f>IF($D223="","",$E223-BB設定!$B$4*$F223)</f>
        <v>13922.227309424414</v>
      </c>
      <c r="K223" s="506">
        <f t="shared" si="33"/>
        <v>0.81544276010260575</v>
      </c>
      <c r="L223" s="505">
        <f t="shared" si="34"/>
        <v>9.6235838995704395</v>
      </c>
      <c r="M223" s="505">
        <f>IF($D223="","",IFERROR(MIN(BB_帯幅!B223:AP223)*100,""))</f>
        <v>7.9406094482362386</v>
      </c>
      <c r="N223" s="500" t="str">
        <f>IF($L223="","",IF($L223&lt;=$M223*BB設定!$B$7,"スクイーズ★",IF($L223&lt;=$M223*1.3,"収縮","－")))</f>
        <v>収縮</v>
      </c>
      <c r="O223" s="500" t="str">
        <f>IF($D223="","",IF(AND(BB_帯幅!B223&gt;BB_帯幅!C223,BB_帯幅!C223&gt;BB_帯幅!D223),"拡大↑","縮小↓"))</f>
        <v>拡大↑</v>
      </c>
      <c r="P223" s="500" t="str">
        <f t="shared" si="35"/>
        <v>+1σ上</v>
      </c>
      <c r="Q223" s="503">
        <f>IF($D223="","",IFERROR(100-100/(1+SUMPRODUCT((終値!E223:R223&gt;終値!F223:S223)*(終値!E223:R223-終値!F223:S223))/SUMPRODUCT((終値!E223:R223&lt;終値!F223:S223)*(終値!F223:S223-終値!E223:R223))),100))</f>
        <v>53.78378378378379</v>
      </c>
      <c r="R223" s="503">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60.271007201173937</v>
      </c>
      <c r="S223" s="500"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0" t="str">
        <f t="shared" si="36"/>
        <v>上walk▲</v>
      </c>
      <c r="U223" s="500" t="str">
        <f>IF(終値!A223="","",BB_スイング!BT223)</f>
        <v>－</v>
      </c>
      <c r="V223" s="508">
        <f>IF($D223="","",IFERROR(出来高!E223/AVERAGE(出来高!E223:I223),""))</f>
        <v>0.33665995631130335</v>
      </c>
      <c r="W223" s="509"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様子見</v>
      </c>
      <c r="X223" s="504">
        <f t="shared" si="42"/>
        <v>57</v>
      </c>
      <c r="Y223" s="501">
        <f t="shared" si="37"/>
        <v>15070</v>
      </c>
      <c r="Z223" s="501">
        <f t="shared" si="38"/>
        <v>14977.886345287794</v>
      </c>
      <c r="AA223" s="501">
        <f t="shared" si="39"/>
        <v>14626</v>
      </c>
      <c r="AB223" s="501">
        <f t="shared" si="43"/>
        <v>15329.772690575586</v>
      </c>
      <c r="AC223" s="507">
        <f t="shared" si="40"/>
        <v>0.59</v>
      </c>
      <c r="AD223" s="501">
        <f>IF($D223="","",MIN(終値!E223:I223))</f>
        <v>13920</v>
      </c>
      <c r="AE223" s="503">
        <f t="shared" si="41"/>
        <v>57.097769999999997</v>
      </c>
    </row>
    <row r="224" spans="1:31" ht="24">
      <c r="A224" s="500" t="str">
        <f>IF(終値!A224="","",HYPERLINK("https://kabutan.jp/stock/?code="&amp;終値!A224,"📈"))</f>
        <v>📈</v>
      </c>
      <c r="B224" s="500" t="str">
        <f>IF(終値!A224="","",終値!A224)</f>
        <v>6055</v>
      </c>
      <c r="C224" s="499" t="str">
        <f>IF(終値!A224="","",終値!B224)</f>
        <v>ジャパンマテリアル</v>
      </c>
      <c r="D224" s="501">
        <f>IF(終値!A224="","",終値!E224)</f>
        <v>2367</v>
      </c>
      <c r="E224" s="501">
        <f>IF($D224="","",AVERAGE(終値!E224:X224))</f>
        <v>2350.25</v>
      </c>
      <c r="F224" s="502">
        <f>IF($D224="","",STDEVP(終値!E224:X224))</f>
        <v>185.80254976721929</v>
      </c>
      <c r="G224" s="501">
        <f>IF($D224="","",$E224+BB設定!$B$4*$F224)</f>
        <v>2721.8550995344385</v>
      </c>
      <c r="H224" s="501">
        <f>IF($D224="","",$E224+BB設定!$B$5*$F224)</f>
        <v>2536.0525497672193</v>
      </c>
      <c r="I224" s="501">
        <f>IF($D224="","",$E224-BB設定!$B$5*$F224)</f>
        <v>2164.4474502327807</v>
      </c>
      <c r="J224" s="501">
        <f>IF($D224="","",$E224-BB設定!$B$4*$F224)</f>
        <v>1978.6449004655615</v>
      </c>
      <c r="K224" s="506">
        <f t="shared" si="33"/>
        <v>0.52253736563489717</v>
      </c>
      <c r="L224" s="505">
        <f t="shared" si="34"/>
        <v>31.622601811248892</v>
      </c>
      <c r="M224" s="505">
        <f>IF($D224="","",IFERROR(MIN(BB_帯幅!B224:AP224)*100,""))</f>
        <v>12.465155389291361</v>
      </c>
      <c r="N224" s="500" t="str">
        <f>IF($L224="","",IF($L224&lt;=$M224*BB設定!$B$7,"スクイーズ★",IF($L224&lt;=$M224*1.3,"収縮","－")))</f>
        <v>－</v>
      </c>
      <c r="O224" s="500" t="str">
        <f>IF($D224="","",IF(AND(BB_帯幅!B224&gt;BB_帯幅!C224,BB_帯幅!C224&gt;BB_帯幅!D224),"拡大↑","縮小↓"))</f>
        <v>縮小↓</v>
      </c>
      <c r="P224" s="500" t="str">
        <f t="shared" si="35"/>
        <v>バンド内</v>
      </c>
      <c r="Q224" s="503">
        <f>IF($D224="","",IFERROR(100-100/(1+SUMPRODUCT((終値!E224:R224&gt;終値!F224:S224)*(終値!E224:R224-終値!F224:S224))/SUMPRODUCT((終値!E224:R224&lt;終値!F224:S224)*(終値!F224:S224-終値!E224:R224))),100))</f>
        <v>41.461700632466616</v>
      </c>
      <c r="R224" s="503">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56.45533653710487</v>
      </c>
      <c r="S224" s="500"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0" t="str">
        <f t="shared" si="36"/>
        <v>－</v>
      </c>
      <c r="U224" s="500" t="str">
        <f>IF(終値!A224="","",BB_スイング!BT224)</f>
        <v>－</v>
      </c>
      <c r="V224" s="508">
        <f>IF($D224="","",IFERROR(出来高!E224/AVERAGE(出来高!E224:I224),""))</f>
        <v>0.70138221795282318</v>
      </c>
      <c r="W224" s="509"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・押し目注目</v>
      </c>
      <c r="X224" s="504">
        <f t="shared" si="42"/>
        <v>15</v>
      </c>
      <c r="Y224" s="501">
        <f t="shared" si="37"/>
        <v>2367</v>
      </c>
      <c r="Z224" s="501">
        <f t="shared" si="38"/>
        <v>2536.0525497672193</v>
      </c>
      <c r="AA224" s="501">
        <f t="shared" si="39"/>
        <v>2350.25</v>
      </c>
      <c r="AB224" s="501">
        <f t="shared" si="43"/>
        <v>2721.8550995344385</v>
      </c>
      <c r="AC224" s="507">
        <f t="shared" si="40"/>
        <v>20</v>
      </c>
      <c r="AD224" s="501">
        <f>IF($D224="","",MIN(終値!E224:I224))</f>
        <v>2267</v>
      </c>
      <c r="AE224" s="503">
        <f t="shared" si="41"/>
        <v>15.097759999999999</v>
      </c>
    </row>
    <row r="225" spans="1:31" ht="24">
      <c r="A225" s="500" t="str">
        <f>IF(終値!A225="","",HYPERLINK("https://kabutan.jp/stock/?code="&amp;終値!A225,"📈"))</f>
        <v>📈</v>
      </c>
      <c r="B225" s="500" t="str">
        <f>IF(終値!A225="","",終値!A225)</f>
        <v>6862</v>
      </c>
      <c r="C225" s="499" t="str">
        <f>IF(終値!A225="","",終値!B225)</f>
        <v>ミナトホールディングス</v>
      </c>
      <c r="D225" s="501">
        <f>IF(終値!A225="","",終値!E225)</f>
        <v>2335</v>
      </c>
      <c r="E225" s="501">
        <f>IF($D225="","",AVERAGE(終値!E225:X225))</f>
        <v>1961.8</v>
      </c>
      <c r="F225" s="502">
        <f>IF($D225="","",STDEVP(終値!E225:X225))</f>
        <v>192.61869068187542</v>
      </c>
      <c r="G225" s="501">
        <f>IF($D225="","",$E225+BB設定!$B$4*$F225)</f>
        <v>2347.0373813637507</v>
      </c>
      <c r="H225" s="501">
        <f>IF($D225="","",$E225+BB設定!$B$5*$F225)</f>
        <v>2154.4186906818754</v>
      </c>
      <c r="I225" s="501">
        <f>IF($D225="","",$E225-BB設定!$B$5*$F225)</f>
        <v>1769.1813093181245</v>
      </c>
      <c r="J225" s="501">
        <f>IF($D225="","",$E225-BB設定!$B$4*$F225)</f>
        <v>1576.5626186362492</v>
      </c>
      <c r="K225" s="506">
        <f t="shared" si="33"/>
        <v>0.98437667014408359</v>
      </c>
      <c r="L225" s="505">
        <f t="shared" si="34"/>
        <v>39.273869034942479</v>
      </c>
      <c r="M225" s="505">
        <f>IF($D225="","",IFERROR(MIN(BB_帯幅!B225:AP225)*100,""))</f>
        <v>23.374456526717744</v>
      </c>
      <c r="N225" s="500" t="str">
        <f>IF($L225="","",IF($L225&lt;=$M225*BB設定!$B$7,"スクイーズ★",IF($L225&lt;=$M225*1.3,"収縮","－")))</f>
        <v>－</v>
      </c>
      <c r="O225" s="500" t="str">
        <f>IF($D225="","",IF(AND(BB_帯幅!B225&gt;BB_帯幅!C225,BB_帯幅!C225&gt;BB_帯幅!D225),"拡大↑","縮小↓"))</f>
        <v>拡大↑</v>
      </c>
      <c r="P225" s="500" t="str">
        <f t="shared" si="35"/>
        <v>+1σ上</v>
      </c>
      <c r="Q225" s="503">
        <f>IF($D225="","",IFERROR(100-100/(1+SUMPRODUCT((終値!E225:R225&gt;終値!F225:S225)*(終値!E225:R225-終値!F225:S225))/SUMPRODUCT((終値!E225:R225&lt;終値!F225:S225)*(終値!F225:S225-終値!E225:R225))),100))</f>
        <v>58.2286432160804</v>
      </c>
      <c r="R225" s="503">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73.554656804133046</v>
      </c>
      <c r="S225" s="500"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v>
      </c>
      <c r="T225" s="500" t="str">
        <f t="shared" si="36"/>
        <v>上walk▲</v>
      </c>
      <c r="U225" s="500" t="str">
        <f>IF(終値!A225="","",BB_スイング!BT225)</f>
        <v>－</v>
      </c>
      <c r="V225" s="508">
        <f>IF($D225="","",IFERROR(出来高!E225/AVERAGE(出来高!E225:I225),""))</f>
        <v>0.70573010713855788</v>
      </c>
      <c r="W225" s="509"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様子見</v>
      </c>
      <c r="X225" s="504">
        <f t="shared" si="42"/>
        <v>47</v>
      </c>
      <c r="Y225" s="501">
        <f t="shared" si="37"/>
        <v>2335</v>
      </c>
      <c r="Z225" s="501">
        <f t="shared" si="38"/>
        <v>2154.4186906818754</v>
      </c>
      <c r="AA225" s="501">
        <f t="shared" si="39"/>
        <v>1961.8</v>
      </c>
      <c r="AB225" s="501">
        <f t="shared" si="43"/>
        <v>2347.0373813637507</v>
      </c>
      <c r="AC225" s="507">
        <f t="shared" si="40"/>
        <v>0.03</v>
      </c>
      <c r="AD225" s="501">
        <f>IF($D225="","",MIN(終値!E225:I225))</f>
        <v>2022</v>
      </c>
      <c r="AE225" s="503">
        <f t="shared" si="41"/>
        <v>47.097749999999998</v>
      </c>
    </row>
    <row r="226" spans="1:31">
      <c r="A226" s="500" t="str">
        <f>IF(終値!A226="","",HYPERLINK("https://kabutan.jp/stock/?code="&amp;終値!A226,"📈"))</f>
        <v>📈</v>
      </c>
      <c r="B226" s="500" t="str">
        <f>IF(終値!A226="","",終値!A226)</f>
        <v>2267</v>
      </c>
      <c r="C226" s="499" t="str">
        <f>IF(終値!A226="","",終値!B226)</f>
        <v>ヤクルト</v>
      </c>
      <c r="D226" s="501">
        <f>IF(終値!A226="","",終値!E226)</f>
        <v>2839</v>
      </c>
      <c r="E226" s="501">
        <f>IF($D226="","",AVERAGE(終値!E226:X226))</f>
        <v>2821.95</v>
      </c>
      <c r="F226" s="502">
        <f>IF($D226="","",STDEVP(終値!E226:X226))</f>
        <v>48.59601321096207</v>
      </c>
      <c r="G226" s="501">
        <f>IF($D226="","",$E226+BB設定!$B$4*$F226)</f>
        <v>2919.1420264219241</v>
      </c>
      <c r="H226" s="501">
        <f>IF($D226="","",$E226+BB設定!$B$5*$F226)</f>
        <v>2870.546013210962</v>
      </c>
      <c r="I226" s="501">
        <f>IF($D226="","",$E226-BB設定!$B$5*$F226)</f>
        <v>2773.3539867890377</v>
      </c>
      <c r="J226" s="501">
        <f>IF($D226="","",$E226-BB設定!$B$4*$F226)</f>
        <v>2724.7579735780755</v>
      </c>
      <c r="K226" s="506">
        <f t="shared" si="33"/>
        <v>0.58771295664720336</v>
      </c>
      <c r="L226" s="505">
        <f t="shared" si="34"/>
        <v>6.8882883411771516</v>
      </c>
      <c r="M226" s="505">
        <f>IF($D226="","",IFERROR(MIN(BB_帯幅!B226:AP226)*100,""))</f>
        <v>4.8245619830309971</v>
      </c>
      <c r="N226" s="500" t="str">
        <f>IF($L226="","",IF($L226&lt;=$M226*BB設定!$B$7,"スクイーズ★",IF($L226&lt;=$M226*1.3,"収縮","－")))</f>
        <v>－</v>
      </c>
      <c r="O226" s="500" t="str">
        <f>IF($D226="","",IF(AND(BB_帯幅!B226&gt;BB_帯幅!C226,BB_帯幅!C226&gt;BB_帯幅!D226),"拡大↑","縮小↓"))</f>
        <v>縮小↓</v>
      </c>
      <c r="P226" s="500" t="str">
        <f t="shared" si="35"/>
        <v>バンド内</v>
      </c>
      <c r="Q226" s="503">
        <f>IF($D226="","",IFERROR(100-100/(1+SUMPRODUCT((終値!E226:R226&gt;終値!F226:S226)*(終値!E226:R226-終値!F226:S226))/SUMPRODUCT((終値!E226:R226&lt;終値!F226:S226)*(終値!F226:S226-終値!E226:R226))),100))</f>
        <v>51.681415929203531</v>
      </c>
      <c r="R226" s="503">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35.281609568743875</v>
      </c>
      <c r="S226" s="500"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0" t="str">
        <f t="shared" si="36"/>
        <v>－</v>
      </c>
      <c r="U226" s="500" t="str">
        <f>IF(終値!A226="","",BB_スイング!BT226)</f>
        <v>二番底W形成</v>
      </c>
      <c r="V226" s="508">
        <f>IF($D226="","",IFERROR(出来高!E226/AVERAGE(出来高!E226:I226),""))</f>
        <v>0.61734983988906955</v>
      </c>
      <c r="W226" s="509"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△二番底形成</v>
      </c>
      <c r="X226" s="504">
        <f t="shared" si="42"/>
        <v>15</v>
      </c>
      <c r="Y226" s="501">
        <f t="shared" si="37"/>
        <v>2839</v>
      </c>
      <c r="Z226" s="501">
        <f t="shared" si="38"/>
        <v>2870.546013210962</v>
      </c>
      <c r="AA226" s="501">
        <f t="shared" si="39"/>
        <v>2821.95</v>
      </c>
      <c r="AB226" s="501">
        <f t="shared" si="43"/>
        <v>2919.1420264219241</v>
      </c>
      <c r="AC226" s="507">
        <f t="shared" si="40"/>
        <v>4.7</v>
      </c>
      <c r="AD226" s="501">
        <f>IF($D226="","",MIN(終値!E226:I226))</f>
        <v>2744</v>
      </c>
      <c r="AE226" s="503">
        <f t="shared" si="41"/>
        <v>15.09774</v>
      </c>
    </row>
    <row r="227" spans="1:31" ht="24">
      <c r="A227" s="500" t="str">
        <f>IF(終値!A227="","",HYPERLINK("https://kabutan.jp/stock/?code="&amp;終値!A227,"📈"))</f>
        <v>📈</v>
      </c>
      <c r="B227" s="500" t="str">
        <f>IF(終値!A227="","",終値!A227)</f>
        <v>1618</v>
      </c>
      <c r="C227" s="499" t="str">
        <f>IF(終値!A227="","",終値!B227)</f>
        <v>ＮＦエネ資源Ｔ１７</v>
      </c>
      <c r="D227" s="501">
        <f>IF(終値!A227="","",終値!E227)</f>
        <v>32830</v>
      </c>
      <c r="E227" s="501">
        <f>IF($D227="","",AVERAGE(終値!E227:X227))</f>
        <v>33005.5</v>
      </c>
      <c r="F227" s="502">
        <f>IF($D227="","",STDEVP(終値!E227:X227))</f>
        <v>701.74407728173946</v>
      </c>
      <c r="G227" s="501">
        <f>IF($D227="","",$E227+BB設定!$B$4*$F227)</f>
        <v>34408.988154563478</v>
      </c>
      <c r="H227" s="501">
        <f>IF($D227="","",$E227+BB設定!$B$5*$F227)</f>
        <v>33707.244077281743</v>
      </c>
      <c r="I227" s="501">
        <f>IF($D227="","",$E227-BB設定!$B$5*$F227)</f>
        <v>32303.755922718261</v>
      </c>
      <c r="J227" s="501">
        <f>IF($D227="","",$E227-BB設定!$B$4*$F227)</f>
        <v>31602.011845436522</v>
      </c>
      <c r="K227" s="506">
        <f t="shared" si="33"/>
        <v>0.43747720654807193</v>
      </c>
      <c r="L227" s="505">
        <f t="shared" si="34"/>
        <v>8.504571386971735</v>
      </c>
      <c r="M227" s="505">
        <f>IF($D227="","",IFERROR(MIN(BB_帯幅!B227:AP227)*100,""))</f>
        <v>7.3356200205347637</v>
      </c>
      <c r="N227" s="500" t="str">
        <f>IF($L227="","",IF($L227&lt;=$M227*BB設定!$B$7,"スクイーズ★",IF($L227&lt;=$M227*1.3,"収縮","－")))</f>
        <v>収縮</v>
      </c>
      <c r="O227" s="500" t="str">
        <f>IF($D227="","",IF(AND(BB_帯幅!B227&gt;BB_帯幅!C227,BB_帯幅!C227&gt;BB_帯幅!D227),"拡大↑","縮小↓"))</f>
        <v>縮小↓</v>
      </c>
      <c r="P227" s="500" t="str">
        <f t="shared" si="35"/>
        <v>バンド内</v>
      </c>
      <c r="Q227" s="503">
        <f>IF($D227="","",IFERROR(100-100/(1+SUMPRODUCT((終値!E227:R227&gt;終値!F227:S227)*(終値!E227:R227-終値!F227:S227))/SUMPRODUCT((終値!E227:R227&lt;終値!F227:S227)*(終値!F227:S227-終値!E227:R227))),100))</f>
        <v>52.583586626139819</v>
      </c>
      <c r="R227" s="503">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57.671040354523313</v>
      </c>
      <c r="S227" s="500"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0" t="str">
        <f t="shared" si="36"/>
        <v>－</v>
      </c>
      <c r="U227" s="500" t="str">
        <f>IF(終値!A227="","",BB_スイング!BT227)</f>
        <v>二番底W形成</v>
      </c>
      <c r="V227" s="508">
        <f>IF($D227="","",IFERROR(出来高!E227/AVERAGE(出来高!E227:I227),""))</f>
        <v>0.29995539696699375</v>
      </c>
      <c r="W227" s="509"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4">
        <f t="shared" si="42"/>
        <v>15</v>
      </c>
      <c r="Y227" s="501">
        <f t="shared" si="37"/>
        <v>32830</v>
      </c>
      <c r="Z227" s="501">
        <f t="shared" si="38"/>
        <v>33707.244077281743</v>
      </c>
      <c r="AA227" s="501">
        <f t="shared" si="39"/>
        <v>32240</v>
      </c>
      <c r="AB227" s="501">
        <f t="shared" si="43"/>
        <v>34408.988154563478</v>
      </c>
      <c r="AC227" s="507">
        <f t="shared" si="40"/>
        <v>2.68</v>
      </c>
      <c r="AD227" s="501">
        <f>IF($D227="","",MIN(終値!E227:I227))</f>
        <v>32240</v>
      </c>
      <c r="AE227" s="503">
        <f t="shared" si="41"/>
        <v>15.09773</v>
      </c>
    </row>
    <row r="228" spans="1:31">
      <c r="A228" s="500" t="str">
        <f>IF(終値!A228="","",HYPERLINK("https://kabutan.jp/stock/?code="&amp;終値!A228,"📈"))</f>
        <v>📈</v>
      </c>
      <c r="B228" s="500" t="str">
        <f>IF(終値!A228="","",終値!A228)</f>
        <v>3696</v>
      </c>
      <c r="C228" s="499">
        <f>IF(終値!A228="","",終値!B228)</f>
        <v>0</v>
      </c>
      <c r="D228" s="501">
        <f>IF(終値!A228="","",終値!E228)</f>
        <v>2072</v>
      </c>
      <c r="E228" s="501">
        <f>IF($D228="","",AVERAGE(終値!E228:X228))</f>
        <v>2064.5</v>
      </c>
      <c r="F228" s="502">
        <f>IF($D228="","",STDEVP(終値!E228:X228))</f>
        <v>7.5</v>
      </c>
      <c r="G228" s="501">
        <f>IF($D228="","",$E228+BB設定!$B$4*$F228)</f>
        <v>2079.5</v>
      </c>
      <c r="H228" s="501">
        <f>IF($D228="","",$E228+BB設定!$B$5*$F228)</f>
        <v>2072</v>
      </c>
      <c r="I228" s="501">
        <f>IF($D228="","",$E228-BB設定!$B$5*$F228)</f>
        <v>2057</v>
      </c>
      <c r="J228" s="501">
        <f>IF($D228="","",$E228-BB設定!$B$4*$F228)</f>
        <v>2049.5</v>
      </c>
      <c r="K228" s="506">
        <f t="shared" si="33"/>
        <v>0.75</v>
      </c>
      <c r="L228" s="505">
        <f t="shared" si="34"/>
        <v>1.453136352627755</v>
      </c>
      <c r="M228" s="505">
        <f>IF($D228="","",IFERROR(MIN(BB_帯幅!B228:AP228)*100,""))</f>
        <v>0</v>
      </c>
      <c r="N228" s="500" t="str">
        <f>IF($L228="","",IF($L228&lt;=$M228*BB設定!$B$7,"スクイーズ★",IF($L228&lt;=$M228*1.3,"収縮","－")))</f>
        <v>－</v>
      </c>
      <c r="O228" s="500" t="str">
        <f>IF($D228="","",IF(AND(BB_帯幅!B228&gt;BB_帯幅!C228,BB_帯幅!C228&gt;BB_帯幅!D228),"拡大↑","縮小↓"))</f>
        <v>縮小↓</v>
      </c>
      <c r="P228" s="500" t="str">
        <f t="shared" si="35"/>
        <v>バンド内</v>
      </c>
      <c r="Q228" s="503">
        <f>IF($D228="","",IFERROR(100-100/(1+SUMPRODUCT((終値!E228:R228&gt;終値!F228:S228)*(終値!E228:R228-終値!F228:S228))/SUMPRODUCT((終値!E228:R228&lt;終値!F228:S228)*(終値!F228:S228-終値!E228:R228))),100))</f>
        <v>100</v>
      </c>
      <c r="R228" s="503">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50</v>
      </c>
      <c r="S228" s="500"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v>
      </c>
      <c r="T228" s="500" t="str">
        <f t="shared" si="36"/>
        <v>上walk▲</v>
      </c>
      <c r="U228" s="500" t="str">
        <f>IF(終値!A228="","",BB_スイング!BT228)</f>
        <v>－</v>
      </c>
      <c r="V228" s="508">
        <f>IF($D228="","",IFERROR(出来高!E228/AVERAGE(出来高!E228:I228),""))</f>
        <v>1.0014527845036321</v>
      </c>
      <c r="W228" s="509"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様子見</v>
      </c>
      <c r="X228" s="504">
        <f t="shared" si="42"/>
        <v>18</v>
      </c>
      <c r="Y228" s="501">
        <f t="shared" si="37"/>
        <v>2072</v>
      </c>
      <c r="Z228" s="501">
        <f t="shared" si="38"/>
        <v>2072</v>
      </c>
      <c r="AA228" s="501">
        <f t="shared" si="39"/>
        <v>2064.5</v>
      </c>
      <c r="AB228" s="501">
        <f t="shared" si="43"/>
        <v>2079.5</v>
      </c>
      <c r="AC228" s="507">
        <f t="shared" si="40"/>
        <v>1</v>
      </c>
      <c r="AD228" s="501">
        <f>IF($D228="","",MIN(終値!E228:I228))</f>
        <v>2057</v>
      </c>
      <c r="AE228" s="503">
        <f t="shared" si="41"/>
        <v>18.097719999999999</v>
      </c>
    </row>
    <row r="229" spans="1:31">
      <c r="A229" s="500" t="str">
        <f>IF(終値!A229="","",HYPERLINK("https://kabutan.jp/stock/?code="&amp;終値!A229,"📈"))</f>
        <v>📈</v>
      </c>
      <c r="B229" s="500" t="str">
        <f>IF(終値!A229="","",終値!A229)</f>
        <v>4222</v>
      </c>
      <c r="C229" s="499" t="str">
        <f>IF(終値!A229="","",終値!B229)</f>
        <v>児玉化学</v>
      </c>
      <c r="D229" s="501">
        <f>IF(終値!A229="","",終値!E229)</f>
        <v>609</v>
      </c>
      <c r="E229" s="501">
        <f>IF($D229="","",AVERAGE(終値!E229:X229))</f>
        <v>608.21052631578948</v>
      </c>
      <c r="F229" s="502">
        <f>IF($D229="","",STDEVP(終値!E229:X229))</f>
        <v>34.155340103968051</v>
      </c>
      <c r="G229" s="501">
        <f>IF($D229="","",$E229+BB設定!$B$4*$F229)</f>
        <v>676.5212065237256</v>
      </c>
      <c r="H229" s="501">
        <f>IF($D229="","",$E229+BB設定!$B$5*$F229)</f>
        <v>642.36586641975748</v>
      </c>
      <c r="I229" s="501">
        <f>IF($D229="","",$E229-BB設定!$B$5*$F229)</f>
        <v>574.05518621182148</v>
      </c>
      <c r="J229" s="501">
        <f>IF($D229="","",$E229-BB設定!$B$4*$F229)</f>
        <v>539.89984610785336</v>
      </c>
      <c r="K229" s="506">
        <f t="shared" si="33"/>
        <v>0.50577855235672797</v>
      </c>
      <c r="L229" s="505">
        <f t="shared" si="34"/>
        <v>22.462840497590623</v>
      </c>
      <c r="M229" s="505">
        <f>IF($D229="","",IFERROR(MIN(BB_帯幅!B229:AP229)*100,""))</f>
        <v>13.506412284599026</v>
      </c>
      <c r="N229" s="500" t="str">
        <f>IF($L229="","",IF($L229&lt;=$M229*BB設定!$B$7,"スクイーズ★",IF($L229&lt;=$M229*1.3,"収縮","－")))</f>
        <v>－</v>
      </c>
      <c r="O229" s="500" t="str">
        <f>IF($D229="","",IF(AND(BB_帯幅!B229&gt;BB_帯幅!C229,BB_帯幅!C229&gt;BB_帯幅!D229),"拡大↑","縮小↓"))</f>
        <v>縮小↓</v>
      </c>
      <c r="P229" s="500" t="str">
        <f t="shared" si="35"/>
        <v>バンド内</v>
      </c>
      <c r="Q229" s="503">
        <f>IF($D229="","",IFERROR(100-100/(1+SUMPRODUCT((終値!E229:R229&gt;終値!F229:S229)*(終値!E229:R229-終値!F229:S229))/SUMPRODUCT((終値!E229:R229&lt;終値!F229:S229)*(終値!F229:S229-終値!E229:R229))),100))</f>
        <v>48.528356066044509</v>
      </c>
      <c r="R229" s="503">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46.770347123636569</v>
      </c>
      <c r="S229" s="500"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強気div▲</v>
      </c>
      <c r="T229" s="500" t="str">
        <f t="shared" si="36"/>
        <v>－</v>
      </c>
      <c r="U229" s="500" t="str">
        <f>IF(終値!A229="","",BB_スイング!BT229)</f>
        <v>－</v>
      </c>
      <c r="V229" s="508">
        <f>IF($D229="","",IFERROR(出来高!E229/AVERAGE(出来高!E229:I229),""))</f>
        <v>0.60629277760751865</v>
      </c>
      <c r="W229" s="509"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○反発(ダイバ)買</v>
      </c>
      <c r="X229" s="504">
        <f t="shared" si="42"/>
        <v>25</v>
      </c>
      <c r="Y229" s="501">
        <f t="shared" si="37"/>
        <v>609</v>
      </c>
      <c r="Z229" s="501">
        <f t="shared" si="38"/>
        <v>642.36586641975748</v>
      </c>
      <c r="AA229" s="501">
        <f t="shared" si="39"/>
        <v>608.21052631578948</v>
      </c>
      <c r="AB229" s="501">
        <f t="shared" si="43"/>
        <v>676.5212065237256</v>
      </c>
      <c r="AC229" s="507">
        <f t="shared" si="40"/>
        <v>20</v>
      </c>
      <c r="AD229" s="501">
        <f>IF($D229="","",MIN(終値!E229:I229))</f>
        <v>566</v>
      </c>
      <c r="AE229" s="503">
        <f t="shared" si="41"/>
        <v>25.097709999999999</v>
      </c>
    </row>
    <row r="230" spans="1:31" ht="24">
      <c r="A230" s="500" t="str">
        <f>IF(終値!A230="","",HYPERLINK("https://kabutan.jp/stock/?code="&amp;終値!A230,"📈"))</f>
        <v>📈</v>
      </c>
      <c r="B230" s="500" t="str">
        <f>IF(終値!A230="","",終値!A230)</f>
        <v>3563</v>
      </c>
      <c r="C230" s="499" t="str">
        <f>IF(終値!A230="","",終値!B230)</f>
        <v>ＦＯＯＤ＆ＬＩＦＥＣＯＭＰＡＮ</v>
      </c>
      <c r="D230" s="501">
        <f>IF(終値!A230="","",終値!E230)</f>
        <v>5820</v>
      </c>
      <c r="E230" s="501">
        <f>IF($D230="","",AVERAGE(終値!E230:X230))</f>
        <v>5860.5</v>
      </c>
      <c r="F230" s="502">
        <f>IF($D230="","",STDEVP(終値!E230:X230))</f>
        <v>40.5</v>
      </c>
      <c r="G230" s="501">
        <f>IF($D230="","",$E230+BB設定!$B$4*$F230)</f>
        <v>5941.5</v>
      </c>
      <c r="H230" s="501">
        <f>IF($D230="","",$E230+BB設定!$B$5*$F230)</f>
        <v>5901</v>
      </c>
      <c r="I230" s="501">
        <f>IF($D230="","",$E230-BB設定!$B$5*$F230)</f>
        <v>5820</v>
      </c>
      <c r="J230" s="501">
        <f>IF($D230="","",$E230-BB設定!$B$4*$F230)</f>
        <v>5779.5</v>
      </c>
      <c r="K230" s="506">
        <f t="shared" si="33"/>
        <v>0.25</v>
      </c>
      <c r="L230" s="505">
        <f t="shared" si="34"/>
        <v>2.7642692603020222</v>
      </c>
      <c r="M230" s="505">
        <f>IF($D230="","",IFERROR(MIN(BB_帯幅!B230:AP230)*100,""))</f>
        <v>0</v>
      </c>
      <c r="N230" s="500" t="str">
        <f>IF($L230="","",IF($L230&lt;=$M230*BB設定!$B$7,"スクイーズ★",IF($L230&lt;=$M230*1.3,"収縮","－")))</f>
        <v>－</v>
      </c>
      <c r="O230" s="500" t="str">
        <f>IF($D230="","",IF(AND(BB_帯幅!B230&gt;BB_帯幅!C230,BB_帯幅!C230&gt;BB_帯幅!D230),"拡大↑","縮小↓"))</f>
        <v>縮小↓</v>
      </c>
      <c r="P230" s="500" t="str">
        <f t="shared" si="35"/>
        <v>バンド内</v>
      </c>
      <c r="Q230" s="503">
        <f>IF($D230="","",IFERROR(100-100/(1+SUMPRODUCT((終値!E230:R230&gt;終値!F230:S230)*(終値!E230:R230-終値!F230:S230))/SUMPRODUCT((終値!E230:R230&lt;終値!F230:S230)*(終値!F230:S230-終値!E230:R230))),100))</f>
        <v>98.645937813440327</v>
      </c>
      <c r="R230" s="503">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50</v>
      </c>
      <c r="S230" s="500"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弱気div▼</v>
      </c>
      <c r="T230" s="500" t="str">
        <f t="shared" si="36"/>
        <v>下walk▼</v>
      </c>
      <c r="U230" s="500" t="str">
        <f>IF(終値!A230="","",BB_スイング!BT230)</f>
        <v>－</v>
      </c>
      <c r="V230" s="508">
        <f>IF($D230="","",IFERROR(出来高!E230/AVERAGE(出来高!E230:I230),""))</f>
        <v>1.0535842801997688</v>
      </c>
      <c r="W230" s="509"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4">
        <f t="shared" si="42"/>
        <v>0</v>
      </c>
      <c r="Y230" s="501">
        <f t="shared" si="37"/>
        <v>5820</v>
      </c>
      <c r="Z230" s="501">
        <f t="shared" si="38"/>
        <v>5901</v>
      </c>
      <c r="AA230" s="501">
        <f t="shared" si="39"/>
        <v>5820</v>
      </c>
      <c r="AB230" s="501">
        <f t="shared" si="43"/>
        <v>5941.5</v>
      </c>
      <c r="AC230" s="507" t="str">
        <f t="shared" si="40"/>
        <v>－</v>
      </c>
      <c r="AD230" s="501">
        <f>IF($D230="","",MIN(終値!E230:I230))</f>
        <v>5820</v>
      </c>
      <c r="AE230" s="503">
        <f t="shared" si="41"/>
        <v>9.7699999999999995E-2</v>
      </c>
    </row>
    <row r="231" spans="1:31">
      <c r="A231" s="500" t="str">
        <f>IF(終値!A231="","",HYPERLINK("https://kabutan.jp/stock/?code="&amp;終値!A231,"📈"))</f>
        <v>📈</v>
      </c>
      <c r="B231" s="500" t="str">
        <f>IF(終値!A231="","",終値!A231)</f>
        <v>7013</v>
      </c>
      <c r="C231" s="499" t="str">
        <f>IF(終値!A231="","",終値!B231)</f>
        <v>ＩＨＩ</v>
      </c>
      <c r="D231" s="501">
        <f>IF(終値!A231="","",終値!E231)</f>
        <v>2638.5</v>
      </c>
      <c r="E231" s="501">
        <f>IF($D231="","",AVERAGE(終値!E231:X231))</f>
        <v>2790.2105263157896</v>
      </c>
      <c r="F231" s="502">
        <f>IF($D231="","",STDEVP(終値!E231:X231))</f>
        <v>66.718441345046912</v>
      </c>
      <c r="G231" s="501">
        <f>IF($D231="","",$E231+BB設定!$B$4*$F231)</f>
        <v>2923.6474090058832</v>
      </c>
      <c r="H231" s="501">
        <f>IF($D231="","",$E231+BB設定!$B$5*$F231)</f>
        <v>2856.9289676608364</v>
      </c>
      <c r="I231" s="501">
        <f>IF($D231="","",$E231-BB設定!$B$5*$F231)</f>
        <v>2723.4920849707428</v>
      </c>
      <c r="J231" s="501">
        <f>IF($D231="","",$E231-BB設定!$B$4*$F231)</f>
        <v>2656.773643625696</v>
      </c>
      <c r="K231" s="506">
        <f t="shared" si="33"/>
        <v>-6.8472986093868801E-2</v>
      </c>
      <c r="L231" s="505">
        <f t="shared" si="34"/>
        <v>9.5646462108566759</v>
      </c>
      <c r="M231" s="505">
        <f>IF($D231="","",IFERROR(MIN(BB_帯幅!B231:AP231)*100,""))</f>
        <v>9.5646462108566901</v>
      </c>
      <c r="N231" s="500" t="str">
        <f>IF($L231="","",IF($L231&lt;=$M231*BB設定!$B$7,"スクイーズ★",IF($L231&lt;=$M231*1.3,"収縮","－")))</f>
        <v>スクイーズ★</v>
      </c>
      <c r="O231" s="500" t="str">
        <f>IF($D231="","",IF(AND(BB_帯幅!B231&gt;BB_帯幅!C231,BB_帯幅!C231&gt;BB_帯幅!D231),"拡大↑","縮小↓"))</f>
        <v>縮小↓</v>
      </c>
      <c r="P231" s="500" t="str">
        <f t="shared" si="35"/>
        <v>↓-2σ割れ</v>
      </c>
      <c r="Q231" s="503">
        <f>IF($D231="","",IFERROR(100-100/(1+SUMPRODUCT((終値!E231:R231&gt;終値!F231:S231)*(終値!E231:R231-終値!F231:S231))/SUMPRODUCT((終値!E231:R231&lt;終値!F231:S231)*(終値!F231:S231-終値!E231:R231))),100))</f>
        <v>48.700030057108506</v>
      </c>
      <c r="R231" s="503">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42.616899841904612</v>
      </c>
      <c r="S231" s="500"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0" t="str">
        <f t="shared" si="36"/>
        <v>下walk▼</v>
      </c>
      <c r="U231" s="500" t="str">
        <f>IF(終値!A231="","",BB_スイング!BT231)</f>
        <v>二番天井M形成</v>
      </c>
      <c r="V231" s="508">
        <f>IF($D231="","",IFERROR(出来高!E231/AVERAGE(出来高!E231:I231),""))</f>
        <v>0.88612043809854735</v>
      </c>
      <c r="W231" s="509"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▼二番天井警戒</v>
      </c>
      <c r="X231" s="504">
        <f t="shared" si="42"/>
        <v>0</v>
      </c>
      <c r="Y231" s="501">
        <f t="shared" si="37"/>
        <v>2638.5</v>
      </c>
      <c r="Z231" s="501">
        <f t="shared" si="38"/>
        <v>2856.9289676608364</v>
      </c>
      <c r="AA231" s="501">
        <f t="shared" si="39"/>
        <v>2638.5</v>
      </c>
      <c r="AB231" s="501">
        <f t="shared" si="43"/>
        <v>2923.6474090058832</v>
      </c>
      <c r="AC231" s="507" t="str">
        <f t="shared" si="40"/>
        <v>－</v>
      </c>
      <c r="AD231" s="501">
        <f>IF($D231="","",MIN(終値!E231:I231))</f>
        <v>2638.5</v>
      </c>
      <c r="AE231" s="503">
        <f t="shared" si="41"/>
        <v>9.7689999999999999E-2</v>
      </c>
    </row>
    <row r="232" spans="1:31" ht="24">
      <c r="A232" s="500" t="str">
        <f>IF(終値!A232="","",HYPERLINK("https://kabutan.jp/stock/?code="&amp;終値!A232,"📈"))</f>
        <v>📈</v>
      </c>
      <c r="B232" s="500" t="str">
        <f>IF(終値!A232="","",終値!A232)</f>
        <v>8793</v>
      </c>
      <c r="C232" s="499" t="str">
        <f>IF(終値!A232="","",終値!B232)</f>
        <v>ＮＥＣキャピタルソリューション</v>
      </c>
      <c r="D232" s="501">
        <f>IF(終値!A232="","",終値!E232)</f>
        <v>4055</v>
      </c>
      <c r="E232" s="501">
        <f>IF($D232="","",AVERAGE(終値!E232:X232))</f>
        <v>4105</v>
      </c>
      <c r="F232" s="502">
        <f>IF($D232="","",STDEVP(終値!E232:X232))</f>
        <v>50.695167422546305</v>
      </c>
      <c r="G232" s="501">
        <f>IF($D232="","",$E232+BB設定!$B$4*$F232)</f>
        <v>4206.3903348450922</v>
      </c>
      <c r="H232" s="501">
        <f>IF($D232="","",$E232+BB設定!$B$5*$F232)</f>
        <v>4155.6951674225465</v>
      </c>
      <c r="I232" s="501">
        <f>IF($D232="","",$E232-BB設定!$B$5*$F232)</f>
        <v>4054.3048325774539</v>
      </c>
      <c r="J232" s="501">
        <f>IF($D232="","",$E232-BB設定!$B$4*$F232)</f>
        <v>4003.6096651549074</v>
      </c>
      <c r="K232" s="506">
        <f t="shared" si="33"/>
        <v>0.25342817401485324</v>
      </c>
      <c r="L232" s="505">
        <f t="shared" si="34"/>
        <v>4.9398457902602884</v>
      </c>
      <c r="M232" s="505">
        <f>IF($D232="","",IFERROR(MIN(BB_帯幅!B232:AP232)*100,""))</f>
        <v>4.5273545832175035</v>
      </c>
      <c r="N232" s="500" t="str">
        <f>IF($L232="","",IF($L232&lt;=$M232*BB設定!$B$7,"スクイーズ★",IF($L232&lt;=$M232*1.3,"収縮","－")))</f>
        <v>スクイーズ★</v>
      </c>
      <c r="O232" s="500" t="str">
        <f>IF($D232="","",IF(AND(BB_帯幅!B232&gt;BB_帯幅!C232,BB_帯幅!C232&gt;BB_帯幅!D232),"拡大↑","縮小↓"))</f>
        <v>拡大↑</v>
      </c>
      <c r="P232" s="500" t="str">
        <f t="shared" si="35"/>
        <v>バンド内</v>
      </c>
      <c r="Q232" s="503">
        <f>IF($D232="","",IFERROR(100-100/(1+SUMPRODUCT((終値!E232:R232&gt;終値!F232:S232)*(終値!E232:R232-終値!F232:S232))/SUMPRODUCT((終値!E232:R232&lt;終値!F232:S232)*(終値!F232:S232-終値!E232:R232))),100))</f>
        <v>45.967741935483872</v>
      </c>
      <c r="R232" s="503">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44.621635110729329</v>
      </c>
      <c r="S232" s="500"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0" t="str">
        <f t="shared" si="36"/>
        <v>－</v>
      </c>
      <c r="U232" s="500" t="str">
        <f>IF(終値!A232="","",BB_スイング!BT232)</f>
        <v>二番底W形成</v>
      </c>
      <c r="V232" s="508">
        <f>IF($D232="","",IFERROR(出来高!E232/AVERAGE(出来高!E232:I232),""))</f>
        <v>0.50750220653133271</v>
      </c>
      <c r="W232" s="509"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△二番底形成</v>
      </c>
      <c r="X232" s="504">
        <f t="shared" si="42"/>
        <v>25</v>
      </c>
      <c r="Y232" s="501">
        <f t="shared" si="37"/>
        <v>4055</v>
      </c>
      <c r="Z232" s="501">
        <f t="shared" si="38"/>
        <v>4155.6951674225465</v>
      </c>
      <c r="AA232" s="501">
        <f t="shared" si="39"/>
        <v>4020</v>
      </c>
      <c r="AB232" s="501">
        <f t="shared" si="43"/>
        <v>4206.3903348450922</v>
      </c>
      <c r="AC232" s="507">
        <f t="shared" si="40"/>
        <v>4.33</v>
      </c>
      <c r="AD232" s="501">
        <f>IF($D232="","",MIN(終値!E232:I232))</f>
        <v>4020</v>
      </c>
      <c r="AE232" s="503">
        <f t="shared" si="41"/>
        <v>25.09768</v>
      </c>
    </row>
    <row r="233" spans="1:31" ht="24">
      <c r="A233" s="500" t="str">
        <f>IF(終値!A233="","",HYPERLINK("https://kabutan.jp/stock/?code="&amp;終値!A233,"📈"))</f>
        <v>📈</v>
      </c>
      <c r="B233" s="500" t="str">
        <f>IF(終値!A233="","",終値!A233)</f>
        <v>9962</v>
      </c>
      <c r="C233" s="499" t="str">
        <f>IF(終値!A233="","",終値!B233)</f>
        <v>ミスミグループ本社</v>
      </c>
      <c r="D233" s="501">
        <f>IF(終値!A233="","",終値!E233)</f>
        <v>3806</v>
      </c>
      <c r="E233" s="501">
        <f>IF($D233="","",AVERAGE(終値!E233:X233))</f>
        <v>3767.9</v>
      </c>
      <c r="F233" s="502">
        <f>IF($D233="","",STDEVP(終値!E233:X233))</f>
        <v>166.5736773923179</v>
      </c>
      <c r="G233" s="501">
        <f>IF($D233="","",$E233+BB設定!$B$4*$F233)</f>
        <v>4101.0473547846359</v>
      </c>
      <c r="H233" s="501">
        <f>IF($D233="","",$E233+BB設定!$B$5*$F233)</f>
        <v>3934.4736773923178</v>
      </c>
      <c r="I233" s="501">
        <f>IF($D233="","",$E233-BB設定!$B$5*$F233)</f>
        <v>3601.3263226076824</v>
      </c>
      <c r="J233" s="501">
        <f>IF($D233="","",$E233-BB設定!$B$4*$F233)</f>
        <v>3434.7526452153643</v>
      </c>
      <c r="K233" s="506">
        <f t="shared" si="33"/>
        <v>0.55718190382245381</v>
      </c>
      <c r="L233" s="505">
        <f t="shared" si="34"/>
        <v>17.683449920891519</v>
      </c>
      <c r="M233" s="505">
        <f>IF($D233="","",IFERROR(MIN(BB_帯幅!B233:AP233)*100,""))</f>
        <v>9.597641271634048</v>
      </c>
      <c r="N233" s="500" t="str">
        <f>IF($L233="","",IF($L233&lt;=$M233*BB設定!$B$7,"スクイーズ★",IF($L233&lt;=$M233*1.3,"収縮","－")))</f>
        <v>－</v>
      </c>
      <c r="O233" s="500" t="str">
        <f>IF($D233="","",IF(AND(BB_帯幅!B233&gt;BB_帯幅!C233,BB_帯幅!C233&gt;BB_帯幅!D233),"拡大↑","縮小↓"))</f>
        <v>縮小↓</v>
      </c>
      <c r="P233" s="500" t="str">
        <f t="shared" si="35"/>
        <v>バンド内</v>
      </c>
      <c r="Q233" s="503">
        <f>IF($D233="","",IFERROR(100-100/(1+SUMPRODUCT((終値!E233:R233&gt;終値!F233:S233)*(終値!E233:R233-終値!F233:S233))/SUMPRODUCT((終値!E233:R233&lt;終値!F233:S233)*(終値!F233:S233-終値!E233:R233))),100))</f>
        <v>48.617511520737324</v>
      </c>
      <c r="R233" s="503">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55.075601487072163</v>
      </c>
      <c r="S233" s="500"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0" t="str">
        <f t="shared" si="36"/>
        <v>－</v>
      </c>
      <c r="U233" s="500" t="str">
        <f>IF(終値!A233="","",BB_スイング!BT233)</f>
        <v>二番底W▲</v>
      </c>
      <c r="V233" s="508">
        <f>IF($D233="","",IFERROR(出来高!E233/AVERAGE(出来高!E233:I233),""))</f>
        <v>0.52476550374519193</v>
      </c>
      <c r="W233" s="509"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△二番底買(確)</v>
      </c>
      <c r="X233" s="504">
        <f t="shared" si="42"/>
        <v>15</v>
      </c>
      <c r="Y233" s="501">
        <f t="shared" si="37"/>
        <v>3806</v>
      </c>
      <c r="Z233" s="501">
        <f t="shared" si="38"/>
        <v>3934.4736773923178</v>
      </c>
      <c r="AA233" s="501">
        <f t="shared" si="39"/>
        <v>3767.9</v>
      </c>
      <c r="AB233" s="501">
        <f t="shared" si="43"/>
        <v>4101.0473547846359</v>
      </c>
      <c r="AC233" s="507">
        <f t="shared" si="40"/>
        <v>7.74</v>
      </c>
      <c r="AD233" s="501">
        <f>IF($D233="","",MIN(終値!E233:I233))</f>
        <v>3806</v>
      </c>
      <c r="AE233" s="503">
        <f t="shared" si="41"/>
        <v>15.097670000000001</v>
      </c>
    </row>
    <row r="234" spans="1:31">
      <c r="A234" s="500" t="str">
        <f>IF(終値!A234="","",HYPERLINK("https://kabutan.jp/stock/?code="&amp;終値!A234,"📈"))</f>
        <v>📈</v>
      </c>
      <c r="B234" s="500" t="str">
        <f>IF(終値!A234="","",終値!A234)</f>
        <v>6762</v>
      </c>
      <c r="C234" s="499" t="str">
        <f>IF(終値!A234="","",終値!B234)</f>
        <v>ＴＤＫ</v>
      </c>
      <c r="D234" s="501">
        <f>IF(終値!A234="","",終値!E234)</f>
        <v>3013</v>
      </c>
      <c r="E234" s="501">
        <f>IF($D234="","",AVERAGE(終値!E234:X234))</f>
        <v>3092.45</v>
      </c>
      <c r="F234" s="502">
        <f>IF($D234="","",STDEVP(終値!E234:X234))</f>
        <v>164.71770548426178</v>
      </c>
      <c r="G234" s="501">
        <f>IF($D234="","",$E234+BB設定!$B$4*$F234)</f>
        <v>3421.8854109685235</v>
      </c>
      <c r="H234" s="501">
        <f>IF($D234="","",$E234+BB設定!$B$5*$F234)</f>
        <v>3257.1677054842617</v>
      </c>
      <c r="I234" s="501">
        <f>IF($D234="","",$E234-BB設定!$B$5*$F234)</f>
        <v>2927.732294515738</v>
      </c>
      <c r="J234" s="501">
        <f>IF($D234="","",$E234-BB設定!$B$4*$F234)</f>
        <v>2763.0145890314761</v>
      </c>
      <c r="K234" s="506">
        <f t="shared" si="33"/>
        <v>0.37941490599565364</v>
      </c>
      <c r="L234" s="505">
        <f t="shared" si="34"/>
        <v>21.305787383370706</v>
      </c>
      <c r="M234" s="505">
        <f>IF($D234="","",IFERROR(MIN(BB_帯幅!B234:AP234)*100,""))</f>
        <v>16.982646093630915</v>
      </c>
      <c r="N234" s="500" t="str">
        <f>IF($L234="","",IF($L234&lt;=$M234*BB設定!$B$7,"スクイーズ★",IF($L234&lt;=$M234*1.3,"収縮","－")))</f>
        <v>収縮</v>
      </c>
      <c r="O234" s="500" t="str">
        <f>IF($D234="","",IF(AND(BB_帯幅!B234&gt;BB_帯幅!C234,BB_帯幅!C234&gt;BB_帯幅!D234),"拡大↑","縮小↓"))</f>
        <v>縮小↓</v>
      </c>
      <c r="P234" s="500" t="str">
        <f t="shared" si="35"/>
        <v>バンド内</v>
      </c>
      <c r="Q234" s="503">
        <f>IF($D234="","",IFERROR(100-100/(1+SUMPRODUCT((終値!E234:R234&gt;終値!F234:S234)*(終値!E234:R234-終値!F234:S234))/SUMPRODUCT((終値!E234:R234&lt;終値!F234:S234)*(終値!F234:S234-終値!E234:R234))),100))</f>
        <v>41.778405081157374</v>
      </c>
      <c r="R234" s="503">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47.728776031818782</v>
      </c>
      <c r="S234" s="500"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0" t="str">
        <f t="shared" si="36"/>
        <v>－</v>
      </c>
      <c r="U234" s="500" t="str">
        <f>IF(終値!A234="","",BB_スイング!BT234)</f>
        <v>二番天井M形成</v>
      </c>
      <c r="V234" s="508">
        <f>IF($D234="","",IFERROR(出来高!E234/AVERAGE(出来高!E234:I234),""))</f>
        <v>0.7938758846898285</v>
      </c>
      <c r="W234" s="509"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▼二番天井警戒</v>
      </c>
      <c r="X234" s="504">
        <f t="shared" si="42"/>
        <v>5</v>
      </c>
      <c r="Y234" s="501">
        <f t="shared" si="37"/>
        <v>3013</v>
      </c>
      <c r="Z234" s="501">
        <f t="shared" si="38"/>
        <v>3257.1677054842617</v>
      </c>
      <c r="AA234" s="501">
        <f t="shared" si="39"/>
        <v>3008</v>
      </c>
      <c r="AB234" s="501">
        <f t="shared" si="43"/>
        <v>3421.8854109685235</v>
      </c>
      <c r="AC234" s="507">
        <f t="shared" si="40"/>
        <v>20</v>
      </c>
      <c r="AD234" s="501">
        <f>IF($D234="","",MIN(終値!E234:I234))</f>
        <v>3008</v>
      </c>
      <c r="AE234" s="503">
        <f t="shared" si="41"/>
        <v>5.0976600000000003</v>
      </c>
    </row>
    <row r="235" spans="1:31">
      <c r="A235" s="500" t="str">
        <f>IF(終値!A235="","",HYPERLINK("https://kabutan.jp/stock/?code="&amp;終値!A235,"📈"))</f>
        <v>📈</v>
      </c>
      <c r="B235" s="500" t="str">
        <f>IF(終値!A235="","",終値!A235)</f>
        <v>4392</v>
      </c>
      <c r="C235" s="499" t="str">
        <f>IF(終値!A235="","",終値!B235)</f>
        <v>ＦＩＧ</v>
      </c>
      <c r="D235" s="501">
        <f>IF(終値!A235="","",終値!E235)</f>
        <v>934</v>
      </c>
      <c r="E235" s="501">
        <f>IF($D235="","",AVERAGE(終値!E235:X235))</f>
        <v>984.1</v>
      </c>
      <c r="F235" s="502">
        <f>IF($D235="","",STDEVP(終値!E235:X235))</f>
        <v>97.581709351701775</v>
      </c>
      <c r="G235" s="501">
        <f>IF($D235="","",$E235+BB設定!$B$4*$F235)</f>
        <v>1179.2634187034037</v>
      </c>
      <c r="H235" s="501">
        <f>IF($D235="","",$E235+BB設定!$B$5*$F235)</f>
        <v>1081.6817093517018</v>
      </c>
      <c r="I235" s="501">
        <f>IF($D235="","",$E235-BB設定!$B$5*$F235)</f>
        <v>886.51829064829826</v>
      </c>
      <c r="J235" s="501">
        <f>IF($D235="","",$E235-BB設定!$B$4*$F235)</f>
        <v>788.9365812965965</v>
      </c>
      <c r="K235" s="506">
        <f t="shared" si="33"/>
        <v>0.37164602789588674</v>
      </c>
      <c r="L235" s="505">
        <f t="shared" si="34"/>
        <v>39.663330698791498</v>
      </c>
      <c r="M235" s="505">
        <f>IF($D235="","",IFERROR(MIN(BB_帯幅!B235:AP235)*100,""))</f>
        <v>14.309661803550986</v>
      </c>
      <c r="N235" s="500" t="str">
        <f>IF($L235="","",IF($L235&lt;=$M235*BB設定!$B$7,"スクイーズ★",IF($L235&lt;=$M235*1.3,"収縮","－")))</f>
        <v>－</v>
      </c>
      <c r="O235" s="500" t="str">
        <f>IF($D235="","",IF(AND(BB_帯幅!B235&gt;BB_帯幅!C235,BB_帯幅!C235&gt;BB_帯幅!D235),"拡大↑","縮小↓"))</f>
        <v>縮小↓</v>
      </c>
      <c r="P235" s="500" t="str">
        <f t="shared" si="35"/>
        <v>バンド内</v>
      </c>
      <c r="Q235" s="503">
        <f>IF($D235="","",IFERROR(100-100/(1+SUMPRODUCT((終値!E235:R235&gt;終値!F235:S235)*(終値!E235:R235-終値!F235:S235))/SUMPRODUCT((終値!E235:R235&lt;終値!F235:S235)*(終値!F235:S235-終値!E235:R235))),100))</f>
        <v>33.204633204633211</v>
      </c>
      <c r="R235" s="503">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36.476439295119967</v>
      </c>
      <c r="S235" s="500"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0" t="str">
        <f t="shared" si="36"/>
        <v>－</v>
      </c>
      <c r="U235" s="500" t="str">
        <f>IF(終値!A235="","",BB_スイング!BT235)</f>
        <v>二番天井M▼</v>
      </c>
      <c r="V235" s="508">
        <f>IF($D235="","",IFERROR(出来高!E235/AVERAGE(出来高!E235:I235),""))</f>
        <v>1.1232017366349019</v>
      </c>
      <c r="W235" s="509"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4">
        <f t="shared" si="42"/>
        <v>0</v>
      </c>
      <c r="Y235" s="501">
        <f t="shared" si="37"/>
        <v>934</v>
      </c>
      <c r="Z235" s="501">
        <f t="shared" si="38"/>
        <v>1081.6817093517018</v>
      </c>
      <c r="AA235" s="501">
        <f t="shared" si="39"/>
        <v>836</v>
      </c>
      <c r="AB235" s="501">
        <f t="shared" si="43"/>
        <v>1179.2634187034037</v>
      </c>
      <c r="AC235" s="507">
        <f t="shared" si="40"/>
        <v>2.5</v>
      </c>
      <c r="AD235" s="501">
        <f>IF($D235="","",MIN(終値!E235:I235))</f>
        <v>836</v>
      </c>
      <c r="AE235" s="503">
        <f t="shared" si="41"/>
        <v>9.7650000000000001E-2</v>
      </c>
    </row>
    <row r="236" spans="1:31">
      <c r="A236" s="500" t="str">
        <f>IF(終値!A236="","",HYPERLINK("https://kabutan.jp/stock/?code="&amp;終値!A236,"📈"))</f>
        <v>📈</v>
      </c>
      <c r="B236" s="500" t="str">
        <f>IF(終値!A236="","",終値!A236)</f>
        <v>8005</v>
      </c>
      <c r="C236" s="499" t="str">
        <f>IF(終値!A236="","",終値!B236)</f>
        <v>スクロール</v>
      </c>
      <c r="D236" s="501">
        <f>IF(終値!A236="","",終値!E236)</f>
        <v>1841</v>
      </c>
      <c r="E236" s="501">
        <f>IF($D236="","",AVERAGE(終値!E236:X236))</f>
        <v>1738.85</v>
      </c>
      <c r="F236" s="502">
        <f>IF($D236="","",STDEVP(終値!E236:X236))</f>
        <v>41.705245473441344</v>
      </c>
      <c r="G236" s="501">
        <f>IF($D236="","",$E236+BB設定!$B$4*$F236)</f>
        <v>1822.2604909468826</v>
      </c>
      <c r="H236" s="501">
        <f>IF($D236="","",$E236+BB設定!$B$5*$F236)</f>
        <v>1780.5552454734413</v>
      </c>
      <c r="I236" s="501">
        <f>IF($D236="","",$E236-BB設定!$B$5*$F236)</f>
        <v>1697.1447545265585</v>
      </c>
      <c r="J236" s="501">
        <f>IF($D236="","",$E236-BB設定!$B$4*$F236)</f>
        <v>1655.4395090531173</v>
      </c>
      <c r="K236" s="506">
        <f t="shared" si="33"/>
        <v>1.112333046121567</v>
      </c>
      <c r="L236" s="505">
        <f t="shared" si="34"/>
        <v>9.5937534516355818</v>
      </c>
      <c r="M236" s="505">
        <f>IF($D236="","",IFERROR(MIN(BB_帯幅!B236:AP236)*100,""))</f>
        <v>2.4694240459500314</v>
      </c>
      <c r="N236" s="500" t="str">
        <f>IF($L236="","",IF($L236&lt;=$M236*BB設定!$B$7,"スクイーズ★",IF($L236&lt;=$M236*1.3,"収縮","－")))</f>
        <v>－</v>
      </c>
      <c r="O236" s="500" t="str">
        <f>IF($D236="","",IF(AND(BB_帯幅!B236&gt;BB_帯幅!C236,BB_帯幅!C236&gt;BB_帯幅!D236),"拡大↑","縮小↓"))</f>
        <v>拡大↑</v>
      </c>
      <c r="P236" s="500" t="str">
        <f t="shared" si="35"/>
        <v>↑+2σ突破</v>
      </c>
      <c r="Q236" s="503">
        <f>IF($D236="","",IFERROR(100-100/(1+SUMPRODUCT((終値!E236:R236&gt;終値!F236:S236)*(終値!E236:R236-終値!F236:S236))/SUMPRODUCT((終値!E236:R236&lt;終値!F236:S236)*(終値!F236:S236-終値!E236:R236))),100))</f>
        <v>65.605095541401283</v>
      </c>
      <c r="R236" s="503">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59.869954916192697</v>
      </c>
      <c r="S236" s="500"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弱気div▼</v>
      </c>
      <c r="T236" s="500" t="str">
        <f t="shared" si="36"/>
        <v>上walk▲</v>
      </c>
      <c r="U236" s="500" t="str">
        <f>IF(終値!A236="","",BB_スイング!BT236)</f>
        <v>二番底W▲</v>
      </c>
      <c r="V236" s="508">
        <f>IF($D236="","",IFERROR(出来高!E236/AVERAGE(出来高!E236:I236),""))</f>
        <v>0.63762661205512816</v>
      </c>
      <c r="W236" s="509"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△二番底買(確)</v>
      </c>
      <c r="X236" s="504">
        <f t="shared" si="42"/>
        <v>50</v>
      </c>
      <c r="Y236" s="501">
        <f t="shared" si="37"/>
        <v>1841</v>
      </c>
      <c r="Z236" s="501">
        <f t="shared" si="38"/>
        <v>1780.5552454734413</v>
      </c>
      <c r="AA236" s="501">
        <f t="shared" si="39"/>
        <v>1738.85</v>
      </c>
      <c r="AB236" s="501">
        <f t="shared" si="43"/>
        <v>1863.965736420324</v>
      </c>
      <c r="AC236" s="507">
        <f t="shared" si="40"/>
        <v>0.22</v>
      </c>
      <c r="AD236" s="501">
        <f>IF($D236="","",MIN(終値!E236:I236))</f>
        <v>1701</v>
      </c>
      <c r="AE236" s="503">
        <f t="shared" si="41"/>
        <v>50.097639999999998</v>
      </c>
    </row>
    <row r="237" spans="1:31">
      <c r="A237" s="500" t="str">
        <f>IF(終値!A237="","",HYPERLINK("https://kabutan.jp/stock/?code="&amp;終値!A237,"📈"))</f>
        <v>📈</v>
      </c>
      <c r="B237" s="500" t="str">
        <f>IF(終値!A237="","",終値!A237)</f>
        <v>2326</v>
      </c>
      <c r="C237" s="499" t="str">
        <f>IF(終値!A237="","",終値!B237)</f>
        <v>デジタルアーツ</v>
      </c>
      <c r="D237" s="501">
        <f>IF(終値!A237="","",終値!E237)</f>
        <v>4520</v>
      </c>
      <c r="E237" s="501">
        <f>IF($D237="","",AVERAGE(終値!E237:X237))</f>
        <v>4085.75</v>
      </c>
      <c r="F237" s="502">
        <f>IF($D237="","",STDEVP(終値!E237:X237))</f>
        <v>152.02199676362628</v>
      </c>
      <c r="G237" s="501">
        <f>IF($D237="","",$E237+BB設定!$B$4*$F237)</f>
        <v>4389.7939935272525</v>
      </c>
      <c r="H237" s="501">
        <f>IF($D237="","",$E237+BB設定!$B$5*$F237)</f>
        <v>4237.7719967636267</v>
      </c>
      <c r="I237" s="501">
        <f>IF($D237="","",$E237-BB設定!$B$5*$F237)</f>
        <v>3933.7280032363738</v>
      </c>
      <c r="J237" s="501">
        <f>IF($D237="","",$E237-BB設定!$B$4*$F237)</f>
        <v>3781.7060064727475</v>
      </c>
      <c r="K237" s="506">
        <f t="shared" si="33"/>
        <v>1.2141236288903643</v>
      </c>
      <c r="L237" s="505">
        <f t="shared" si="34"/>
        <v>14.883142313027106</v>
      </c>
      <c r="M237" s="505">
        <f>IF($D237="","",IFERROR(MIN(BB_帯幅!B237:AP237)*100,""))</f>
        <v>7.8950194092730808</v>
      </c>
      <c r="N237" s="500" t="str">
        <f>IF($L237="","",IF($L237&lt;=$M237*BB設定!$B$7,"スクイーズ★",IF($L237&lt;=$M237*1.3,"収縮","－")))</f>
        <v>－</v>
      </c>
      <c r="O237" s="500" t="str">
        <f>IF($D237="","",IF(AND(BB_帯幅!B237&gt;BB_帯幅!C237,BB_帯幅!C237&gt;BB_帯幅!D237),"拡大↑","縮小↓"))</f>
        <v>拡大↑</v>
      </c>
      <c r="P237" s="500" t="str">
        <f t="shared" si="35"/>
        <v>↑+2σ突破</v>
      </c>
      <c r="Q237" s="503">
        <f>IF($D237="","",IFERROR(100-100/(1+SUMPRODUCT((終値!E237:R237&gt;終値!F237:S237)*(終値!E237:R237-終値!F237:S237))/SUMPRODUCT((終値!E237:R237&lt;終値!F237:S237)*(終値!F237:S237-終値!E237:R237))),100))</f>
        <v>72.769953051643199</v>
      </c>
      <c r="R237" s="503">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47.999811656529005</v>
      </c>
      <c r="S237" s="500"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0" t="str">
        <f t="shared" si="36"/>
        <v>上walk▲</v>
      </c>
      <c r="U237" s="500" t="str">
        <f>IF(終値!A237="","",BB_スイング!BT237)</f>
        <v>二番底W▲</v>
      </c>
      <c r="V237" s="508">
        <f>IF($D237="","",IFERROR(出来高!E237/AVERAGE(出来高!E237:I237),""))</f>
        <v>1.0426849136526557</v>
      </c>
      <c r="W237" s="509"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△二番底買(確)</v>
      </c>
      <c r="X237" s="504">
        <f t="shared" si="42"/>
        <v>38</v>
      </c>
      <c r="Y237" s="501">
        <f t="shared" si="37"/>
        <v>4520</v>
      </c>
      <c r="Z237" s="501">
        <f t="shared" si="38"/>
        <v>4237.7719967636267</v>
      </c>
      <c r="AA237" s="501">
        <f t="shared" si="39"/>
        <v>4085.75</v>
      </c>
      <c r="AB237" s="501">
        <f t="shared" si="43"/>
        <v>4541.8159902908792</v>
      </c>
      <c r="AC237" s="507">
        <f t="shared" si="40"/>
        <v>0.05</v>
      </c>
      <c r="AD237" s="501">
        <f>IF($D237="","",MIN(終値!E237:I237))</f>
        <v>4065</v>
      </c>
      <c r="AE237" s="503">
        <f t="shared" si="41"/>
        <v>38.097630000000002</v>
      </c>
    </row>
    <row r="238" spans="1:31">
      <c r="A238" s="500" t="str">
        <f>IF(終値!A238="","",HYPERLINK("https://kabutan.jp/stock/?code="&amp;終値!A238,"📈"))</f>
        <v>📈</v>
      </c>
      <c r="B238" s="500" t="str">
        <f>IF(終値!A238="","",終値!A238)</f>
        <v>6809</v>
      </c>
      <c r="C238" s="499" t="str">
        <f>IF(終値!A238="","",終値!B238)</f>
        <v>ＴＯＡ</v>
      </c>
      <c r="D238" s="501">
        <f>IF(終値!A238="","",終値!E238)</f>
        <v>1669</v>
      </c>
      <c r="E238" s="501">
        <f>IF($D238="","",AVERAGE(終値!E238:X238))</f>
        <v>1620.4736842105262</v>
      </c>
      <c r="F238" s="502">
        <f>IF($D238="","",STDEVP(終値!E238:X238))</f>
        <v>23.113833682001445</v>
      </c>
      <c r="G238" s="501">
        <f>IF($D238="","",$E238+BB設定!$B$4*$F238)</f>
        <v>1666.7013515745291</v>
      </c>
      <c r="H238" s="501">
        <f>IF($D238="","",$E238+BB設定!$B$5*$F238)</f>
        <v>1643.5875178925278</v>
      </c>
      <c r="I238" s="501">
        <f>IF($D238="","",$E238-BB設定!$B$5*$F238)</f>
        <v>1597.3598505285247</v>
      </c>
      <c r="J238" s="501">
        <f>IF($D238="","",$E238-BB設定!$B$4*$F238)</f>
        <v>1574.2460168465234</v>
      </c>
      <c r="K238" s="506">
        <f t="shared" si="33"/>
        <v>1.0248622584324993</v>
      </c>
      <c r="L238" s="505">
        <f t="shared" si="34"/>
        <v>5.7054511670795041</v>
      </c>
      <c r="M238" s="505">
        <f>IF($D238="","",IFERROR(MIN(BB_帯幅!B238:AP238)*100,""))</f>
        <v>2.60121050939726</v>
      </c>
      <c r="N238" s="500" t="str">
        <f>IF($L238="","",IF($L238&lt;=$M238*BB設定!$B$7,"スクイーズ★",IF($L238&lt;=$M238*1.3,"収縮","－")))</f>
        <v>－</v>
      </c>
      <c r="O238" s="500" t="str">
        <f>IF($D238="","",IF(AND(BB_帯幅!B238&gt;BB_帯幅!C238,BB_帯幅!C238&gt;BB_帯幅!D238),"拡大↑","縮小↓"))</f>
        <v>拡大↑</v>
      </c>
      <c r="P238" s="500" t="str">
        <f t="shared" si="35"/>
        <v>↑+2σ突破</v>
      </c>
      <c r="Q238" s="503">
        <f>IF($D238="","",IFERROR(100-100/(1+SUMPRODUCT((終値!E238:R238&gt;終値!F238:S238)*(終値!E238:R238-終値!F238:S238))/SUMPRODUCT((終値!E238:R238&lt;終値!F238:S238)*(終値!F238:S238-終値!E238:R238))),100))</f>
        <v>50.881757733448978</v>
      </c>
      <c r="R238" s="503">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66.369383785048484</v>
      </c>
      <c r="S238" s="500"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0" t="str">
        <f t="shared" si="36"/>
        <v>上walk▲</v>
      </c>
      <c r="U238" s="500" t="str">
        <f>IF(終値!A238="","",BB_スイング!BT238)</f>
        <v>－</v>
      </c>
      <c r="V238" s="508">
        <f>IF($D238="","",IFERROR(出来高!E238/AVERAGE(出来高!E238:I238),""))</f>
        <v>0.85353095030514381</v>
      </c>
      <c r="W238" s="509"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様子見</v>
      </c>
      <c r="X238" s="504">
        <f t="shared" si="42"/>
        <v>55</v>
      </c>
      <c r="Y238" s="501">
        <f t="shared" si="37"/>
        <v>1669</v>
      </c>
      <c r="Z238" s="501">
        <f t="shared" si="38"/>
        <v>1643.5875178925278</v>
      </c>
      <c r="AA238" s="501">
        <f t="shared" si="39"/>
        <v>1620.4736842105262</v>
      </c>
      <c r="AB238" s="501">
        <f t="shared" si="43"/>
        <v>1689.8151852565306</v>
      </c>
      <c r="AC238" s="507">
        <f t="shared" si="40"/>
        <v>0.43</v>
      </c>
      <c r="AD238" s="501">
        <f>IF($D238="","",MIN(終値!E238:I238))</f>
        <v>1602</v>
      </c>
      <c r="AE238" s="503">
        <f t="shared" si="41"/>
        <v>55.097619999999999</v>
      </c>
    </row>
    <row r="239" spans="1:31" ht="24">
      <c r="A239" s="500" t="str">
        <f>IF(終値!A239="","",HYPERLINK("https://kabutan.jp/stock/?code="&amp;終値!A239,"📈"))</f>
        <v>📈</v>
      </c>
      <c r="B239" s="500" t="str">
        <f>IF(終値!A239="","",終値!A239)</f>
        <v>3984</v>
      </c>
      <c r="C239" s="499" t="str">
        <f>IF(終値!A239="","",終値!B239)</f>
        <v>ユーザーローカル</v>
      </c>
      <c r="D239" s="501">
        <f>IF(終値!A239="","",終値!E239)</f>
        <v>1836</v>
      </c>
      <c r="E239" s="501">
        <f>IF($D239="","",AVERAGE(終値!E239:X239))</f>
        <v>1795.7894736842106</v>
      </c>
      <c r="F239" s="502">
        <f>IF($D239="","",STDEVP(終値!E239:X239))</f>
        <v>27.058569899130841</v>
      </c>
      <c r="G239" s="501">
        <f>IF($D239="","",$E239+BB設定!$B$4*$F239)</f>
        <v>1849.9066134824723</v>
      </c>
      <c r="H239" s="501">
        <f>IF($D239="","",$E239+BB設定!$B$5*$F239)</f>
        <v>1822.8480435833415</v>
      </c>
      <c r="I239" s="501">
        <f>IF($D239="","",$E239-BB設定!$B$5*$F239)</f>
        <v>1768.7309037850798</v>
      </c>
      <c r="J239" s="501">
        <f>IF($D239="","",$E239-BB設定!$B$4*$F239)</f>
        <v>1741.672333885949</v>
      </c>
      <c r="K239" s="506">
        <f t="shared" si="33"/>
        <v>0.87151377979034494</v>
      </c>
      <c r="L239" s="505">
        <f t="shared" si="34"/>
        <v>6.0271140455273802</v>
      </c>
      <c r="M239" s="505">
        <f>IF($D239="","",IFERROR(MIN(BB_帯幅!B239:AP239)*100,""))</f>
        <v>5.0227925214949174</v>
      </c>
      <c r="N239" s="500" t="str">
        <f>IF($L239="","",IF($L239&lt;=$M239*BB設定!$B$7,"スクイーズ★",IF($L239&lt;=$M239*1.3,"収縮","－")))</f>
        <v>収縮</v>
      </c>
      <c r="O239" s="500" t="str">
        <f>IF($D239="","",IF(AND(BB_帯幅!B239&gt;BB_帯幅!C239,BB_帯幅!C239&gt;BB_帯幅!D239),"拡大↑","縮小↓"))</f>
        <v>拡大↑</v>
      </c>
      <c r="P239" s="500" t="str">
        <f t="shared" si="35"/>
        <v>+1σ上</v>
      </c>
      <c r="Q239" s="503">
        <f>IF($D239="","",IFERROR(100-100/(1+SUMPRODUCT((終値!E239:R239&gt;終値!F239:S239)*(終値!E239:R239-終値!F239:S239))/SUMPRODUCT((終値!E239:R239&lt;終値!F239:S239)*(終値!F239:S239-終値!E239:R239))),100))</f>
        <v>50.013322675193187</v>
      </c>
      <c r="R239" s="503">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57.617733516623815</v>
      </c>
      <c r="S239" s="500"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弱気div▼</v>
      </c>
      <c r="T239" s="500" t="str">
        <f t="shared" si="36"/>
        <v>上walk▲</v>
      </c>
      <c r="U239" s="500" t="str">
        <f>IF(終値!A239="","",BB_スイング!BT239)</f>
        <v>－</v>
      </c>
      <c r="V239" s="508">
        <f>IF($D239="","",IFERROR(出来高!E239/AVERAGE(出来高!E239:I239),""))</f>
        <v>1.4394780677401444</v>
      </c>
      <c r="W239" s="509"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様子見</v>
      </c>
      <c r="X239" s="504">
        <f t="shared" si="42"/>
        <v>52</v>
      </c>
      <c r="Y239" s="501">
        <f t="shared" si="37"/>
        <v>1836</v>
      </c>
      <c r="Z239" s="501">
        <f t="shared" si="38"/>
        <v>1822.8480435833415</v>
      </c>
      <c r="AA239" s="501">
        <f t="shared" si="39"/>
        <v>1795.7894736842106</v>
      </c>
      <c r="AB239" s="501">
        <f t="shared" si="43"/>
        <v>1849.9066134824723</v>
      </c>
      <c r="AC239" s="507">
        <f t="shared" si="40"/>
        <v>0.35</v>
      </c>
      <c r="AD239" s="501">
        <f>IF($D239="","",MIN(終値!E239:I239))</f>
        <v>1795</v>
      </c>
      <c r="AE239" s="503">
        <f t="shared" si="41"/>
        <v>52.097610000000003</v>
      </c>
    </row>
    <row r="240" spans="1:31">
      <c r="A240" s="500" t="str">
        <f>IF(終値!A240="","",HYPERLINK("https://kabutan.jp/stock/?code="&amp;終値!A240,"📈"))</f>
        <v>📈</v>
      </c>
      <c r="B240" s="500" t="str">
        <f>IF(終値!A240="","",終値!A240)</f>
        <v>7609</v>
      </c>
      <c r="C240" s="499" t="str">
        <f>IF(終値!A240="","",終値!B240)</f>
        <v>ダイトロン</v>
      </c>
      <c r="D240" s="501">
        <f>IF(終値!A240="","",終値!E240)</f>
        <v>4215</v>
      </c>
      <c r="E240" s="501">
        <f>IF($D240="","",AVERAGE(終値!E240:X240))</f>
        <v>3524.7368421052633</v>
      </c>
      <c r="F240" s="502">
        <f>IF($D240="","",STDEVP(終値!E240:X240))</f>
        <v>332.15989207882575</v>
      </c>
      <c r="G240" s="501">
        <f>IF($D240="","",$E240+BB設定!$B$4*$F240)</f>
        <v>4189.0566262629145</v>
      </c>
      <c r="H240" s="501">
        <f>IF($D240="","",$E240+BB設定!$B$5*$F240)</f>
        <v>3856.8967341840889</v>
      </c>
      <c r="I240" s="501">
        <f>IF($D240="","",$E240-BB設定!$B$5*$F240)</f>
        <v>3192.5769500264378</v>
      </c>
      <c r="J240" s="501">
        <f>IF($D240="","",$E240-BB設定!$B$4*$F240)</f>
        <v>2860.4170579476117</v>
      </c>
      <c r="K240" s="506">
        <f t="shared" si="33"/>
        <v>1.0195262690919114</v>
      </c>
      <c r="L240" s="505">
        <f t="shared" si="34"/>
        <v>37.694716735838064</v>
      </c>
      <c r="M240" s="505">
        <f>IF($D240="","",IFERROR(MIN(BB_帯幅!B240:AP240)*100,""))</f>
        <v>11.537549311290439</v>
      </c>
      <c r="N240" s="500" t="str">
        <f>IF($L240="","",IF($L240&lt;=$M240*BB設定!$B$7,"スクイーズ★",IF($L240&lt;=$M240*1.3,"収縮","－")))</f>
        <v>－</v>
      </c>
      <c r="O240" s="500" t="str">
        <f>IF($D240="","",IF(AND(BB_帯幅!B240&gt;BB_帯幅!C240,BB_帯幅!C240&gt;BB_帯幅!D240),"拡大↑","縮小↓"))</f>
        <v>拡大↑</v>
      </c>
      <c r="P240" s="500" t="str">
        <f t="shared" si="35"/>
        <v>↑+2σ突破</v>
      </c>
      <c r="Q240" s="503">
        <f>IF($D240="","",IFERROR(100-100/(1+SUMPRODUCT((終値!E240:R240&gt;終値!F240:S240)*(終値!E240:R240-終値!F240:S240))/SUMPRODUCT((終値!E240:R240&lt;終値!F240:S240)*(終値!F240:S240-終値!E240:R240))),100))</f>
        <v>53.925845147219192</v>
      </c>
      <c r="R240" s="503">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75.46175939622934</v>
      </c>
      <c r="S240" s="500"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v>
      </c>
      <c r="T240" s="500" t="str">
        <f t="shared" si="36"/>
        <v>上walk▲</v>
      </c>
      <c r="U240" s="500" t="str">
        <f>IF(終値!A240="","",BB_スイング!BT240)</f>
        <v>－</v>
      </c>
      <c r="V240" s="508">
        <f>IF($D240="","",IFERROR(出来高!E240/AVERAGE(出来高!E240:I240),""))</f>
        <v>0.50177176085771402</v>
      </c>
      <c r="W240" s="509"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様子見</v>
      </c>
      <c r="X240" s="504">
        <f t="shared" si="42"/>
        <v>55</v>
      </c>
      <c r="Y240" s="501">
        <f t="shared" si="37"/>
        <v>4215</v>
      </c>
      <c r="Z240" s="501">
        <f t="shared" si="38"/>
        <v>3856.8967341840889</v>
      </c>
      <c r="AA240" s="501">
        <f t="shared" si="39"/>
        <v>3524.7368421052633</v>
      </c>
      <c r="AB240" s="501">
        <f t="shared" si="43"/>
        <v>4521.2165183417401</v>
      </c>
      <c r="AC240" s="507">
        <f t="shared" si="40"/>
        <v>0.44</v>
      </c>
      <c r="AD240" s="501">
        <f>IF($D240="","",MIN(終値!E240:I240))</f>
        <v>3320</v>
      </c>
      <c r="AE240" s="503">
        <f t="shared" si="41"/>
        <v>55.0976</v>
      </c>
    </row>
    <row r="241" spans="1:31">
      <c r="A241" s="500" t="str">
        <f>IF(終値!A241="","",HYPERLINK("https://kabutan.jp/stock/?code="&amp;終値!A241,"📈"))</f>
        <v>📈</v>
      </c>
      <c r="B241" s="500" t="str">
        <f>IF(終値!A241="","",終値!A241)</f>
        <v>7972</v>
      </c>
      <c r="C241" s="499" t="str">
        <f>IF(終値!A241="","",終値!B241)</f>
        <v>イトーキ</v>
      </c>
      <c r="D241" s="501">
        <f>IF(終値!A241="","",終値!E241)</f>
        <v>2923</v>
      </c>
      <c r="E241" s="501">
        <f>IF($D241="","",AVERAGE(終値!E241:X241))</f>
        <v>2863.75</v>
      </c>
      <c r="F241" s="502">
        <f>IF($D241="","",STDEVP(終値!E241:X241))</f>
        <v>53.39370281222309</v>
      </c>
      <c r="G241" s="501">
        <f>IF($D241="","",$E241+BB設定!$B$4*$F241)</f>
        <v>2970.5374056244464</v>
      </c>
      <c r="H241" s="501">
        <f>IF($D241="","",$E241+BB設定!$B$5*$F241)</f>
        <v>2917.1437028122232</v>
      </c>
      <c r="I241" s="501">
        <f>IF($D241="","",$E241-BB設定!$B$5*$F241)</f>
        <v>2810.3562971877768</v>
      </c>
      <c r="J241" s="501">
        <f>IF($D241="","",$E241-BB設定!$B$4*$F241)</f>
        <v>2756.9625943755536</v>
      </c>
      <c r="K241" s="506">
        <f t="shared" si="33"/>
        <v>0.77742035520730057</v>
      </c>
      <c r="L241" s="505">
        <f t="shared" si="34"/>
        <v>7.4578720645619461</v>
      </c>
      <c r="M241" s="505">
        <f>IF($D241="","",IFERROR(MIN(BB_帯幅!B241:AP241)*100,""))</f>
        <v>7.1575475466328697</v>
      </c>
      <c r="N241" s="500" t="str">
        <f>IF($L241="","",IF($L241&lt;=$M241*BB設定!$B$7,"スクイーズ★",IF($L241&lt;=$M241*1.3,"収縮","－")))</f>
        <v>スクイーズ★</v>
      </c>
      <c r="O241" s="500" t="str">
        <f>IF($D241="","",IF(AND(BB_帯幅!B241&gt;BB_帯幅!C241,BB_帯幅!C241&gt;BB_帯幅!D241),"拡大↑","縮小↓"))</f>
        <v>拡大↑</v>
      </c>
      <c r="P241" s="500" t="str">
        <f t="shared" si="35"/>
        <v>+1σ上</v>
      </c>
      <c r="Q241" s="503">
        <f>IF($D241="","",IFERROR(100-100/(1+SUMPRODUCT((終値!E241:R241&gt;終値!F241:S241)*(終値!E241:R241-終値!F241:S241))/SUMPRODUCT((終値!E241:R241&lt;終値!F241:S241)*(終値!F241:S241-終値!E241:R241))),100))</f>
        <v>56.369982547993018</v>
      </c>
      <c r="R241" s="503">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53.749748047418493</v>
      </c>
      <c r="S241" s="500"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0" t="str">
        <f t="shared" si="36"/>
        <v>上walk▲</v>
      </c>
      <c r="U241" s="500" t="str">
        <f>IF(終値!A241="","",BB_スイング!BT241)</f>
        <v>二番天井M形成</v>
      </c>
      <c r="V241" s="508">
        <f>IF($D241="","",IFERROR(出来高!E241/AVERAGE(出来高!E241:I241),""))</f>
        <v>1.0338201383551116</v>
      </c>
      <c r="W241" s="509"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▼二番天井警戒</v>
      </c>
      <c r="X241" s="504">
        <f t="shared" si="42"/>
        <v>47</v>
      </c>
      <c r="Y241" s="501">
        <f t="shared" si="37"/>
        <v>2923</v>
      </c>
      <c r="Z241" s="501">
        <f t="shared" si="38"/>
        <v>2917.1437028122232</v>
      </c>
      <c r="AA241" s="501">
        <f t="shared" si="39"/>
        <v>2863.75</v>
      </c>
      <c r="AB241" s="501">
        <f t="shared" si="43"/>
        <v>2970.5374056244464</v>
      </c>
      <c r="AC241" s="507">
        <f t="shared" si="40"/>
        <v>0.8</v>
      </c>
      <c r="AD241" s="501">
        <f>IF($D241="","",MIN(終値!E241:I241))</f>
        <v>2883</v>
      </c>
      <c r="AE241" s="503">
        <f t="shared" si="41"/>
        <v>47.097589999999997</v>
      </c>
    </row>
    <row r="242" spans="1:31">
      <c r="A242" s="500" t="str">
        <f>IF(終値!A242="","",HYPERLINK("https://kabutan.jp/stock/?code="&amp;終値!A242,"📈"))</f>
        <v>📈</v>
      </c>
      <c r="B242" s="500" t="str">
        <f>IF(終値!A242="","",終値!A242)</f>
        <v>6521</v>
      </c>
      <c r="C242" s="499" t="str">
        <f>IF(終値!A242="","",終値!B242)</f>
        <v>オキサイド</v>
      </c>
      <c r="D242" s="501">
        <f>IF(終値!A242="","",終値!E242)</f>
        <v>3210</v>
      </c>
      <c r="E242" s="501">
        <f>IF($D242="","",AVERAGE(終値!E242:X242))</f>
        <v>3420.8</v>
      </c>
      <c r="F242" s="502">
        <f>IF($D242="","",STDEVP(終値!E242:X242))</f>
        <v>486.93342460751245</v>
      </c>
      <c r="G242" s="501">
        <f>IF($D242="","",$E242+BB設定!$B$4*$F242)</f>
        <v>4394.6668492150247</v>
      </c>
      <c r="H242" s="501">
        <f>IF($D242="","",$E242+BB設定!$B$5*$F242)</f>
        <v>3907.7334246075125</v>
      </c>
      <c r="I242" s="501">
        <f>IF($D242="","",$E242-BB設定!$B$5*$F242)</f>
        <v>2933.8665753924879</v>
      </c>
      <c r="J242" s="501">
        <f>IF($D242="","",$E242-BB設定!$B$4*$F242)</f>
        <v>2446.9331507849752</v>
      </c>
      <c r="K242" s="506">
        <f t="shared" si="33"/>
        <v>0.39177165226955146</v>
      </c>
      <c r="L242" s="505">
        <f t="shared" si="34"/>
        <v>56.93795891107488</v>
      </c>
      <c r="M242" s="505">
        <f>IF($D242="","",IFERROR(MIN(BB_帯幅!B242:AP242)*100,""))</f>
        <v>20.405644353032788</v>
      </c>
      <c r="N242" s="500" t="str">
        <f>IF($L242="","",IF($L242&lt;=$M242*BB設定!$B$7,"スクイーズ★",IF($L242&lt;=$M242*1.3,"収縮","－")))</f>
        <v>－</v>
      </c>
      <c r="O242" s="500" t="str">
        <f>IF($D242="","",IF(AND(BB_帯幅!B242&gt;BB_帯幅!C242,BB_帯幅!C242&gt;BB_帯幅!D242),"拡大↑","縮小↓"))</f>
        <v>縮小↓</v>
      </c>
      <c r="P242" s="500" t="str">
        <f t="shared" si="35"/>
        <v>バンド内</v>
      </c>
      <c r="Q242" s="503">
        <f>IF($D242="","",IFERROR(100-100/(1+SUMPRODUCT((終値!E242:R242&gt;終値!F242:S242)*(終値!E242:R242-終値!F242:S242))/SUMPRODUCT((終値!E242:R242&lt;終値!F242:S242)*(終値!F242:S242-終値!E242:R242))),100))</f>
        <v>32.49763481551561</v>
      </c>
      <c r="R242" s="503">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28.535046382428632</v>
      </c>
      <c r="S242" s="500"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強気div▲</v>
      </c>
      <c r="T242" s="500" t="str">
        <f t="shared" si="36"/>
        <v>－</v>
      </c>
      <c r="U242" s="500" t="str">
        <f>IF(終値!A242="","",BB_スイング!BT242)</f>
        <v>－</v>
      </c>
      <c r="V242" s="508">
        <f>IF($D242="","",IFERROR(出来高!E242/AVERAGE(出来高!E242:I242),""))</f>
        <v>0.75437665782493368</v>
      </c>
      <c r="W242" s="509"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○反発(ダイバ)買</v>
      </c>
      <c r="X242" s="504">
        <f t="shared" si="42"/>
        <v>5</v>
      </c>
      <c r="Y242" s="501">
        <f t="shared" si="37"/>
        <v>3210</v>
      </c>
      <c r="Z242" s="501">
        <f t="shared" si="38"/>
        <v>3907.7334246075125</v>
      </c>
      <c r="AA242" s="501">
        <f t="shared" si="39"/>
        <v>2903</v>
      </c>
      <c r="AB242" s="501">
        <f t="shared" si="43"/>
        <v>4394.6668492150247</v>
      </c>
      <c r="AC242" s="507">
        <f t="shared" si="40"/>
        <v>3.86</v>
      </c>
      <c r="AD242" s="501">
        <f>IF($D242="","",MIN(終値!E242:I242))</f>
        <v>2903</v>
      </c>
      <c r="AE242" s="503">
        <f t="shared" si="41"/>
        <v>5.0975799999999998</v>
      </c>
    </row>
    <row r="243" spans="1:31">
      <c r="A243" s="500" t="str">
        <f>IF(終値!A243="","",HYPERLINK("https://kabutan.jp/stock/?code="&amp;終値!A243,"📈"))</f>
        <v>📈</v>
      </c>
      <c r="B243" s="500" t="str">
        <f>IF(終値!A243="","",終値!A243)</f>
        <v>9165</v>
      </c>
      <c r="C243" s="499" t="str">
        <f>IF(終値!A243="","",終値!B243)</f>
        <v>クオルテック</v>
      </c>
      <c r="D243" s="501">
        <f>IF(終値!A243="","",終値!E243)</f>
        <v>1770</v>
      </c>
      <c r="E243" s="501">
        <f>IF($D243="","",AVERAGE(終値!E243:X243))</f>
        <v>1729.05</v>
      </c>
      <c r="F243" s="502">
        <f>IF($D243="","",STDEVP(終値!E243:X243))</f>
        <v>23.936321772569816</v>
      </c>
      <c r="G243" s="501">
        <f>IF($D243="","",$E243+BB設定!$B$4*$F243)</f>
        <v>1776.9226435451396</v>
      </c>
      <c r="H243" s="501">
        <f>IF($D243="","",$E243+BB設定!$B$5*$F243)</f>
        <v>1752.9863217725697</v>
      </c>
      <c r="I243" s="501">
        <f>IF($D243="","",$E243-BB設定!$B$5*$F243)</f>
        <v>1705.1136782274302</v>
      </c>
      <c r="J243" s="501">
        <f>IF($D243="","",$E243-BB設定!$B$4*$F243)</f>
        <v>1681.1773564548603</v>
      </c>
      <c r="K243" s="506">
        <f t="shared" si="33"/>
        <v>0.92769729189268402</v>
      </c>
      <c r="L243" s="505">
        <f t="shared" si="34"/>
        <v>5.5374504548902204</v>
      </c>
      <c r="M243" s="505">
        <f>IF($D243="","",IFERROR(MIN(BB_帯幅!B243:AP243)*100,""))</f>
        <v>4.9054181994026269</v>
      </c>
      <c r="N243" s="500" t="str">
        <f>IF($L243="","",IF($L243&lt;=$M243*BB設定!$B$7,"スクイーズ★",IF($L243&lt;=$M243*1.3,"収縮","－")))</f>
        <v>収縮</v>
      </c>
      <c r="O243" s="500" t="str">
        <f>IF($D243="","",IF(AND(BB_帯幅!B243&gt;BB_帯幅!C243,BB_帯幅!C243&gt;BB_帯幅!D243),"拡大↑","縮小↓"))</f>
        <v>拡大↑</v>
      </c>
      <c r="P243" s="500" t="str">
        <f t="shared" si="35"/>
        <v>+1σ上</v>
      </c>
      <c r="Q243" s="503">
        <f>IF($D243="","",IFERROR(100-100/(1+SUMPRODUCT((終値!E243:R243&gt;終値!F243:S243)*(終値!E243:R243-終値!F243:S243))/SUMPRODUCT((終値!E243:R243&lt;終値!F243:S243)*(終値!F243:S243-終値!E243:R243))),100))</f>
        <v>57.761732851985563</v>
      </c>
      <c r="R243" s="503">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49.187247178633115</v>
      </c>
      <c r="S243" s="500"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0" t="str">
        <f t="shared" si="36"/>
        <v>上walk▲</v>
      </c>
      <c r="U243" s="500" t="str">
        <f>IF(終値!A243="","",BB_スイング!BT243)</f>
        <v>二番底W▲</v>
      </c>
      <c r="V243" s="508">
        <f>IF($D243="","",IFERROR(出来高!E243/AVERAGE(出来高!E243:I243),""))</f>
        <v>0.88541666666666663</v>
      </c>
      <c r="W243" s="509"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△二番底買(確)</v>
      </c>
      <c r="X243" s="504">
        <f t="shared" si="42"/>
        <v>57</v>
      </c>
      <c r="Y243" s="501">
        <f t="shared" si="37"/>
        <v>1770</v>
      </c>
      <c r="Z243" s="501">
        <f t="shared" si="38"/>
        <v>1752.9863217725697</v>
      </c>
      <c r="AA243" s="501">
        <f t="shared" si="39"/>
        <v>1729.05</v>
      </c>
      <c r="AB243" s="501">
        <f t="shared" si="43"/>
        <v>1776.9226435451396</v>
      </c>
      <c r="AC243" s="507">
        <f t="shared" si="40"/>
        <v>0.17</v>
      </c>
      <c r="AD243" s="501">
        <f>IF($D243="","",MIN(終値!E243:I243))</f>
        <v>1707</v>
      </c>
      <c r="AE243" s="503">
        <f t="shared" si="41"/>
        <v>57.097569999999997</v>
      </c>
    </row>
    <row r="244" spans="1:31">
      <c r="A244" s="500" t="str">
        <f>IF(終値!A244="","",HYPERLINK("https://kabutan.jp/stock/?code="&amp;終値!A244,"📈"))</f>
        <v>📈</v>
      </c>
      <c r="B244" s="500" t="str">
        <f>IF(終値!A244="","",終値!A244)</f>
        <v>6902</v>
      </c>
      <c r="C244" s="499" t="str">
        <f>IF(終値!A244="","",終値!B244)</f>
        <v>デンソー</v>
      </c>
      <c r="D244" s="501">
        <f>IF(終値!A244="","",終値!E244)</f>
        <v>1925</v>
      </c>
      <c r="E244" s="501">
        <f>IF($D244="","",AVERAGE(終値!E244:X244))</f>
        <v>1985.7</v>
      </c>
      <c r="F244" s="502">
        <f>IF($D244="","",STDEVP(終値!E244:X244))</f>
        <v>84.811467385018162</v>
      </c>
      <c r="G244" s="501">
        <f>IF($D244="","",$E244+BB設定!$B$4*$F244)</f>
        <v>2155.3229347700362</v>
      </c>
      <c r="H244" s="501">
        <f>IF($D244="","",$E244+BB設定!$B$5*$F244)</f>
        <v>2070.511467385018</v>
      </c>
      <c r="I244" s="501">
        <f>IF($D244="","",$E244-BB設定!$B$5*$F244)</f>
        <v>1900.8885326149818</v>
      </c>
      <c r="J244" s="501">
        <f>IF($D244="","",$E244-BB設定!$B$4*$F244)</f>
        <v>1816.0770652299636</v>
      </c>
      <c r="K244" s="506">
        <f t="shared" si="33"/>
        <v>0.32107372425110725</v>
      </c>
      <c r="L244" s="505">
        <f t="shared" si="34"/>
        <v>17.084447275020022</v>
      </c>
      <c r="M244" s="505">
        <f>IF($D244="","",IFERROR(MIN(BB_帯幅!B244:AP244)*100,""))</f>
        <v>5.0604740350591166</v>
      </c>
      <c r="N244" s="500" t="str">
        <f>IF($L244="","",IF($L244&lt;=$M244*BB設定!$B$7,"スクイーズ★",IF($L244&lt;=$M244*1.3,"収縮","－")))</f>
        <v>－</v>
      </c>
      <c r="O244" s="500" t="str">
        <f>IF($D244="","",IF(AND(BB_帯幅!B244&gt;BB_帯幅!C244,BB_帯幅!C244&gt;BB_帯幅!D244),"拡大↑","縮小↓"))</f>
        <v>拡大↑</v>
      </c>
      <c r="P244" s="500" t="str">
        <f t="shared" si="35"/>
        <v>バンド内</v>
      </c>
      <c r="Q244" s="503">
        <f>IF($D244="","",IFERROR(100-100/(1+SUMPRODUCT((終値!E244:R244&gt;終値!F244:S244)*(終値!E244:R244-終値!F244:S244))/SUMPRODUCT((終値!E244:R244&lt;終値!F244:S244)*(終値!F244:S244-終値!E244:R244))),100))</f>
        <v>47.788983708301004</v>
      </c>
      <c r="R244" s="503">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55.012239844379259</v>
      </c>
      <c r="S244" s="500"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0" t="str">
        <f t="shared" si="36"/>
        <v>－</v>
      </c>
      <c r="U244" s="500" t="str">
        <f>IF(終値!A244="","",BB_スイング!BT244)</f>
        <v>二番底W形成</v>
      </c>
      <c r="V244" s="508">
        <f>IF($D244="","",IFERROR(出来高!E244/AVERAGE(出来高!E244:I244),""))</f>
        <v>0.54152314416703506</v>
      </c>
      <c r="W244" s="509"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△二番底形成</v>
      </c>
      <c r="X244" s="504">
        <f t="shared" si="42"/>
        <v>10</v>
      </c>
      <c r="Y244" s="501">
        <f t="shared" si="37"/>
        <v>1925</v>
      </c>
      <c r="Z244" s="501">
        <f t="shared" si="38"/>
        <v>2070.511467385018</v>
      </c>
      <c r="AA244" s="501">
        <f t="shared" si="39"/>
        <v>1890.5</v>
      </c>
      <c r="AB244" s="501">
        <f t="shared" si="43"/>
        <v>2155.3229347700362</v>
      </c>
      <c r="AC244" s="507">
        <f t="shared" si="40"/>
        <v>6.68</v>
      </c>
      <c r="AD244" s="501">
        <f>IF($D244="","",MIN(終値!E244:I244))</f>
        <v>1890.5</v>
      </c>
      <c r="AE244" s="503">
        <f t="shared" si="41"/>
        <v>10.09756</v>
      </c>
    </row>
    <row r="245" spans="1:31" ht="24">
      <c r="A245" s="500" t="str">
        <f>IF(終値!A245="","",HYPERLINK("https://kabutan.jp/stock/?code="&amp;終値!A245,"📈"))</f>
        <v>📈</v>
      </c>
      <c r="B245" s="500" t="str">
        <f>IF(終値!A245="","",終値!A245)</f>
        <v>3936</v>
      </c>
      <c r="C245" s="499" t="str">
        <f>IF(終値!A245="","",終値!B245)</f>
        <v>グローバルウェイ</v>
      </c>
      <c r="D245" s="501">
        <f>IF(終値!A245="","",終値!E245)</f>
        <v>158</v>
      </c>
      <c r="E245" s="501">
        <f>IF($D245="","",AVERAGE(終値!E245:X245))</f>
        <v>159</v>
      </c>
      <c r="F245" s="502">
        <f>IF($D245="","",STDEVP(終値!E245:X245))</f>
        <v>1</v>
      </c>
      <c r="G245" s="501">
        <f>IF($D245="","",$E245+BB設定!$B$4*$F245)</f>
        <v>161</v>
      </c>
      <c r="H245" s="501">
        <f>IF($D245="","",$E245+BB設定!$B$5*$F245)</f>
        <v>160</v>
      </c>
      <c r="I245" s="501">
        <f>IF($D245="","",$E245-BB設定!$B$5*$F245)</f>
        <v>158</v>
      </c>
      <c r="J245" s="501">
        <f>IF($D245="","",$E245-BB設定!$B$4*$F245)</f>
        <v>157</v>
      </c>
      <c r="K245" s="506">
        <f t="shared" si="33"/>
        <v>0.25</v>
      </c>
      <c r="L245" s="505">
        <f t="shared" si="34"/>
        <v>2.5157232704402519</v>
      </c>
      <c r="M245" s="505">
        <f>IF($D245="","",IFERROR(MIN(BB_帯幅!B245:AP245)*100,""))</f>
        <v>0</v>
      </c>
      <c r="N245" s="500" t="str">
        <f>IF($L245="","",IF($L245&lt;=$M245*BB設定!$B$7,"スクイーズ★",IF($L245&lt;=$M245*1.3,"収縮","－")))</f>
        <v>－</v>
      </c>
      <c r="O245" s="500" t="str">
        <f>IF($D245="","",IF(AND(BB_帯幅!B245&gt;BB_帯幅!C245,BB_帯幅!C245&gt;BB_帯幅!D245),"拡大↑","縮小↓"))</f>
        <v>縮小↓</v>
      </c>
      <c r="P245" s="500" t="str">
        <f t="shared" si="35"/>
        <v>バンド内</v>
      </c>
      <c r="Q245" s="503">
        <f>IF($D245="","",IFERROR(100-100/(1+SUMPRODUCT((終値!E245:R245&gt;終値!F245:S245)*(終値!E245:R245-終値!F245:S245))/SUMPRODUCT((終値!E245:R245&lt;終値!F245:S245)*(終値!F245:S245-終値!E245:R245))),100))</f>
        <v>98.76543209876543</v>
      </c>
      <c r="R245" s="503">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71.300793989349259</v>
      </c>
      <c r="S245" s="500"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弱気div▼</v>
      </c>
      <c r="T245" s="500" t="str">
        <f t="shared" si="36"/>
        <v>下walk▼</v>
      </c>
      <c r="U245" s="500" t="str">
        <f>IF(終値!A245="","",BB_スイング!BT245)</f>
        <v>－</v>
      </c>
      <c r="V245" s="508">
        <f>IF($D245="","",IFERROR(出来高!E245/AVERAGE(出来高!E245:I245),""))</f>
        <v>0.58085808580858089</v>
      </c>
      <c r="W245" s="509"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様子見</v>
      </c>
      <c r="X245" s="504">
        <f t="shared" si="42"/>
        <v>0</v>
      </c>
      <c r="Y245" s="501">
        <f t="shared" si="37"/>
        <v>158</v>
      </c>
      <c r="Z245" s="501">
        <f t="shared" si="38"/>
        <v>160</v>
      </c>
      <c r="AA245" s="501">
        <f t="shared" si="39"/>
        <v>158</v>
      </c>
      <c r="AB245" s="501">
        <f t="shared" si="43"/>
        <v>161</v>
      </c>
      <c r="AC245" s="507" t="str">
        <f t="shared" si="40"/>
        <v>－</v>
      </c>
      <c r="AD245" s="501">
        <f>IF($D245="","",MIN(終値!E245:I245))</f>
        <v>158</v>
      </c>
      <c r="AE245" s="503">
        <f t="shared" si="41"/>
        <v>9.7549999999999998E-2</v>
      </c>
    </row>
    <row r="246" spans="1:31">
      <c r="A246" s="500" t="str">
        <f>IF(終値!A246="","",HYPERLINK("https://kabutan.jp/stock/?code="&amp;終値!A246,"📈"))</f>
        <v>📈</v>
      </c>
      <c r="B246" s="500" t="str">
        <f>IF(終値!A246="","",終値!A246)</f>
        <v>6928</v>
      </c>
      <c r="C246" s="499" t="str">
        <f>IF(終値!A246="","",終値!B246)</f>
        <v>エノモト</v>
      </c>
      <c r="D246" s="501">
        <f>IF(終値!A246="","",終値!E246)</f>
        <v>2639</v>
      </c>
      <c r="E246" s="501">
        <f>IF($D246="","",AVERAGE(終値!E246:X246))</f>
        <v>2590.65</v>
      </c>
      <c r="F246" s="502">
        <f>IF($D246="","",STDEVP(終値!E246:X246))</f>
        <v>205.81211699022973</v>
      </c>
      <c r="G246" s="501">
        <f>IF($D246="","",$E246+BB設定!$B$4*$F246)</f>
        <v>3002.2742339804595</v>
      </c>
      <c r="H246" s="501">
        <f>IF($D246="","",$E246+BB設定!$B$5*$F246)</f>
        <v>2796.4621169902298</v>
      </c>
      <c r="I246" s="501">
        <f>IF($D246="","",$E246-BB設定!$B$5*$F246)</f>
        <v>2384.8378830097704</v>
      </c>
      <c r="J246" s="501">
        <f>IF($D246="","",$E246-BB設定!$B$4*$F246)</f>
        <v>2179.0257660195407</v>
      </c>
      <c r="K246" s="506">
        <f t="shared" si="33"/>
        <v>0.55873075004895745</v>
      </c>
      <c r="L246" s="505">
        <f t="shared" si="34"/>
        <v>31.777680040179828</v>
      </c>
      <c r="M246" s="505">
        <f>IF($D246="","",IFERROR(MIN(BB_帯幅!B246:AP246)*100,""))</f>
        <v>12.678381812523348</v>
      </c>
      <c r="N246" s="500" t="str">
        <f>IF($L246="","",IF($L246&lt;=$M246*BB設定!$B$7,"スクイーズ★",IF($L246&lt;=$M246*1.3,"収縮","－")))</f>
        <v>－</v>
      </c>
      <c r="O246" s="500" t="str">
        <f>IF($D246="","",IF(AND(BB_帯幅!B246&gt;BB_帯幅!C246,BB_帯幅!C246&gt;BB_帯幅!D246),"拡大↑","縮小↓"))</f>
        <v>縮小↓</v>
      </c>
      <c r="P246" s="500" t="str">
        <f t="shared" si="35"/>
        <v>バンド内</v>
      </c>
      <c r="Q246" s="503">
        <f>IF($D246="","",IFERROR(100-100/(1+SUMPRODUCT((終値!E246:R246&gt;終値!F246:S246)*(終値!E246:R246-終値!F246:S246))/SUMPRODUCT((終値!E246:R246&lt;終値!F246:S246)*(終値!F246:S246-終値!E246:R246))),100))</f>
        <v>41.245421245421241</v>
      </c>
      <c r="R246" s="503">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34.463031786296199</v>
      </c>
      <c r="S246" s="500"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v>
      </c>
      <c r="T246" s="500" t="str">
        <f t="shared" si="36"/>
        <v>－</v>
      </c>
      <c r="U246" s="500" t="str">
        <f>IF(終値!A246="","",BB_スイング!BT246)</f>
        <v>－</v>
      </c>
      <c r="V246" s="508">
        <f>IF($D246="","",IFERROR(出来高!E246/AVERAGE(出来高!E246:I246),""))</f>
        <v>0.73604060913705582</v>
      </c>
      <c r="W246" s="509"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4">
        <f t="shared" si="42"/>
        <v>10</v>
      </c>
      <c r="Y246" s="501">
        <f t="shared" si="37"/>
        <v>2639</v>
      </c>
      <c r="Z246" s="501">
        <f t="shared" si="38"/>
        <v>2796.4621169902298</v>
      </c>
      <c r="AA246" s="501">
        <f t="shared" si="39"/>
        <v>2590.65</v>
      </c>
      <c r="AB246" s="501">
        <f t="shared" si="43"/>
        <v>3002.2742339804595</v>
      </c>
      <c r="AC246" s="507">
        <f t="shared" si="40"/>
        <v>7.51</v>
      </c>
      <c r="AD246" s="501">
        <f>IF($D246="","",MIN(終値!E246:I246))</f>
        <v>2361</v>
      </c>
      <c r="AE246" s="503">
        <f t="shared" si="41"/>
        <v>10.09754</v>
      </c>
    </row>
    <row r="247" spans="1:31">
      <c r="A247" s="500" t="str">
        <f>IF(終値!A247="","",HYPERLINK("https://kabutan.jp/stock/?code="&amp;終値!A247,"📈"))</f>
        <v>📈</v>
      </c>
      <c r="B247" s="500" t="str">
        <f>IF(終値!A247="","",終値!A247)</f>
        <v>5632</v>
      </c>
      <c r="C247" s="499" t="str">
        <f>IF(終値!A247="","",終値!B247)</f>
        <v>三菱製鋼</v>
      </c>
      <c r="D247" s="501">
        <f>IF(終値!A247="","",終値!E247)</f>
        <v>2307</v>
      </c>
      <c r="E247" s="501">
        <f>IF($D247="","",AVERAGE(終値!E247:X247))</f>
        <v>2155.7894736842104</v>
      </c>
      <c r="F247" s="502">
        <f>IF($D247="","",STDEVP(終値!E247:X247))</f>
        <v>55.829231116785159</v>
      </c>
      <c r="G247" s="501">
        <f>IF($D247="","",$E247+BB設定!$B$4*$F247)</f>
        <v>2267.4479359177808</v>
      </c>
      <c r="H247" s="501">
        <f>IF($D247="","",$E247+BB設定!$B$5*$F247)</f>
        <v>2211.6187048009956</v>
      </c>
      <c r="I247" s="501">
        <f>IF($D247="","",$E247-BB設定!$B$5*$F247)</f>
        <v>2099.9602425674252</v>
      </c>
      <c r="J247" s="501">
        <f>IF($D247="","",$E247-BB設定!$B$4*$F247)</f>
        <v>2044.13101145064</v>
      </c>
      <c r="K247" s="506">
        <f t="shared" si="33"/>
        <v>1.1771118072514875</v>
      </c>
      <c r="L247" s="505">
        <f t="shared" si="34"/>
        <v>10.358939367372253</v>
      </c>
      <c r="M247" s="505">
        <f>IF($D247="","",IFERROR(MIN(BB_帯幅!B247:AP247)*100,""))</f>
        <v>6.387539123378863</v>
      </c>
      <c r="N247" s="500" t="str">
        <f>IF($L247="","",IF($L247&lt;=$M247*BB設定!$B$7,"スクイーズ★",IF($L247&lt;=$M247*1.3,"収縮","－")))</f>
        <v>－</v>
      </c>
      <c r="O247" s="500" t="str">
        <f>IF($D247="","",IF(AND(BB_帯幅!B247&gt;BB_帯幅!C247,BB_帯幅!C247&gt;BB_帯幅!D247),"拡大↑","縮小↓"))</f>
        <v>拡大↑</v>
      </c>
      <c r="P247" s="500" t="str">
        <f t="shared" si="35"/>
        <v>↑+2σ突破</v>
      </c>
      <c r="Q247" s="503">
        <f>IF($D247="","",IFERROR(100-100/(1+SUMPRODUCT((終値!E247:R247&gt;終値!F247:S247)*(終値!E247:R247-終値!F247:S247))/SUMPRODUCT((終値!E247:R247&lt;終値!F247:S247)*(終値!F247:S247-終値!E247:R247))),100))</f>
        <v>51.309771309771307</v>
      </c>
      <c r="R247" s="503">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63.385943093760048</v>
      </c>
      <c r="S247" s="500"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弱気div▼</v>
      </c>
      <c r="T247" s="500" t="str">
        <f t="shared" si="36"/>
        <v>上walk▲</v>
      </c>
      <c r="U247" s="500" t="str">
        <f>IF(終値!A247="","",BB_スイング!BT247)</f>
        <v>－</v>
      </c>
      <c r="V247" s="508">
        <f>IF($D247="","",IFERROR(出来高!E247/AVERAGE(出来高!E247:I247),""))</f>
        <v>1.3742875237492083</v>
      </c>
      <c r="W247" s="509"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様子見</v>
      </c>
      <c r="X247" s="504">
        <f t="shared" si="42"/>
        <v>55</v>
      </c>
      <c r="Y247" s="501">
        <f t="shared" si="37"/>
        <v>2307</v>
      </c>
      <c r="Z247" s="501">
        <f t="shared" si="38"/>
        <v>2211.6187048009956</v>
      </c>
      <c r="AA247" s="501">
        <f t="shared" si="39"/>
        <v>2155.7894736842104</v>
      </c>
      <c r="AB247" s="501">
        <f t="shared" si="43"/>
        <v>2323.277167034566</v>
      </c>
      <c r="AC247" s="507">
        <f t="shared" si="40"/>
        <v>0.11</v>
      </c>
      <c r="AD247" s="501">
        <f>IF($D247="","",MIN(終値!E247:I247))</f>
        <v>2168</v>
      </c>
      <c r="AE247" s="503">
        <f t="shared" si="41"/>
        <v>55.097529999999999</v>
      </c>
    </row>
    <row r="248" spans="1:31" ht="24">
      <c r="A248" s="500" t="str">
        <f>IF(終値!A248="","",HYPERLINK("https://kabutan.jp/stock/?code="&amp;終値!A248,"📈"))</f>
        <v>📈</v>
      </c>
      <c r="B248" s="500" t="str">
        <f>IF(終値!A248="","",終値!A248)</f>
        <v>6098</v>
      </c>
      <c r="C248" s="499" t="str">
        <f>IF(終値!A248="","",終値!B248)</f>
        <v>リクルートホールディングス</v>
      </c>
      <c r="D248" s="501">
        <f>IF(終値!A248="","",終値!E248)</f>
        <v>12845</v>
      </c>
      <c r="E248" s="501">
        <f>IF($D248="","",AVERAGE(終値!E248:X248))</f>
        <v>12550.25</v>
      </c>
      <c r="F248" s="502">
        <f>IF($D248="","",STDEVP(終値!E248:X248))</f>
        <v>268.47939865099522</v>
      </c>
      <c r="G248" s="501">
        <f>IF($D248="","",$E248+BB設定!$B$4*$F248)</f>
        <v>13087.20879730199</v>
      </c>
      <c r="H248" s="501">
        <f>IF($D248="","",$E248+BB設定!$B$5*$F248)</f>
        <v>12818.729398650996</v>
      </c>
      <c r="I248" s="501">
        <f>IF($D248="","",$E248-BB設定!$B$5*$F248)</f>
        <v>12281.770601349004</v>
      </c>
      <c r="J248" s="501">
        <f>IF($D248="","",$E248-BB設定!$B$4*$F248)</f>
        <v>12013.29120269801</v>
      </c>
      <c r="K248" s="506">
        <f t="shared" si="33"/>
        <v>0.774462399611483</v>
      </c>
      <c r="L248" s="505">
        <f t="shared" si="34"/>
        <v>8.5569418505924553</v>
      </c>
      <c r="M248" s="505">
        <f>IF($D248="","",IFERROR(MIN(BB_帯幅!B248:AP248)*100,""))</f>
        <v>8.4584569725419154</v>
      </c>
      <c r="N248" s="500" t="str">
        <f>IF($L248="","",IF($L248&lt;=$M248*BB設定!$B$7,"スクイーズ★",IF($L248&lt;=$M248*1.3,"収縮","－")))</f>
        <v>スクイーズ★</v>
      </c>
      <c r="O248" s="500" t="str">
        <f>IF($D248="","",IF(AND(BB_帯幅!B248&gt;BB_帯幅!C248,BB_帯幅!C248&gt;BB_帯幅!D248),"拡大↑","縮小↓"))</f>
        <v>縮小↓</v>
      </c>
      <c r="P248" s="500" t="str">
        <f t="shared" si="35"/>
        <v>+1σ上</v>
      </c>
      <c r="Q248" s="503">
        <f>IF($D248="","",IFERROR(100-100/(1+SUMPRODUCT((終値!E248:R248&gt;終値!F248:S248)*(終値!E248:R248-終値!F248:S248))/SUMPRODUCT((終値!E248:R248&lt;終値!F248:S248)*(終値!F248:S248-終値!E248:R248))),100))</f>
        <v>53.758865248226947</v>
      </c>
      <c r="R248" s="503">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57.022510257635176</v>
      </c>
      <c r="S248" s="500"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0" t="str">
        <f t="shared" si="36"/>
        <v>上walk▲</v>
      </c>
      <c r="U248" s="500" t="str">
        <f>IF(終値!A248="","",BB_スイング!BT248)</f>
        <v>二番底W形成</v>
      </c>
      <c r="V248" s="508">
        <f>IF($D248="","",IFERROR(出来高!E248/AVERAGE(出来高!E248:I248),""))</f>
        <v>0.9725084483573071</v>
      </c>
      <c r="W248" s="509"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4">
        <f t="shared" si="42"/>
        <v>52</v>
      </c>
      <c r="Y248" s="501">
        <f t="shared" si="37"/>
        <v>12845</v>
      </c>
      <c r="Z248" s="501">
        <f t="shared" si="38"/>
        <v>12818.729398650996</v>
      </c>
      <c r="AA248" s="501">
        <f t="shared" si="39"/>
        <v>12550.25</v>
      </c>
      <c r="AB248" s="501">
        <f t="shared" si="43"/>
        <v>13087.20879730199</v>
      </c>
      <c r="AC248" s="507">
        <f t="shared" si="40"/>
        <v>0.82</v>
      </c>
      <c r="AD248" s="501">
        <f>IF($D248="","",MIN(終値!E248:I248))</f>
        <v>12385</v>
      </c>
      <c r="AE248" s="503">
        <f t="shared" si="41"/>
        <v>52.097520000000003</v>
      </c>
    </row>
    <row r="249" spans="1:31">
      <c r="A249" s="500" t="str">
        <f>IF(終値!A249="","",HYPERLINK("https://kabutan.jp/stock/?code="&amp;終値!A249,"📈"))</f>
        <v>📈</v>
      </c>
      <c r="B249" s="500" t="str">
        <f>IF(終値!A249="","",終値!A249)</f>
        <v>6361</v>
      </c>
      <c r="C249" s="499" t="str">
        <f>IF(終値!A249="","",終値!B249)</f>
        <v>荏原製作所</v>
      </c>
      <c r="D249" s="501">
        <f>IF(終値!A249="","",終値!E249)</f>
        <v>5852</v>
      </c>
      <c r="E249" s="501">
        <f>IF($D249="","",AVERAGE(終値!E249:X249))</f>
        <v>5659.85</v>
      </c>
      <c r="F249" s="502">
        <f>IF($D249="","",STDEVP(終値!E249:X249))</f>
        <v>346.03847690683182</v>
      </c>
      <c r="G249" s="501">
        <f>IF($D249="","",$E249+BB設定!$B$4*$F249)</f>
        <v>6351.9269538136641</v>
      </c>
      <c r="H249" s="501">
        <f>IF($D249="","",$E249+BB設定!$B$5*$F249)</f>
        <v>6005.8884769068318</v>
      </c>
      <c r="I249" s="501">
        <f>IF($D249="","",$E249-BB設定!$B$5*$F249)</f>
        <v>5313.8115230931689</v>
      </c>
      <c r="J249" s="501">
        <f>IF($D249="","",$E249-BB設定!$B$4*$F249)</f>
        <v>4967.7730461863366</v>
      </c>
      <c r="K249" s="506">
        <f t="shared" si="33"/>
        <v>0.63882126759254465</v>
      </c>
      <c r="L249" s="505">
        <f t="shared" si="34"/>
        <v>24.455664154126477</v>
      </c>
      <c r="M249" s="505">
        <f>IF($D249="","",IFERROR(MIN(BB_帯幅!B249:AP249)*100,""))</f>
        <v>16.246290591561195</v>
      </c>
      <c r="N249" s="500" t="str">
        <f>IF($L249="","",IF($L249&lt;=$M249*BB設定!$B$7,"スクイーズ★",IF($L249&lt;=$M249*1.3,"収縮","－")))</f>
        <v>－</v>
      </c>
      <c r="O249" s="500" t="str">
        <f>IF($D249="","",IF(AND(BB_帯幅!B249&gt;BB_帯幅!C249,BB_帯幅!C249&gt;BB_帯幅!D249),"拡大↑","縮小↓"))</f>
        <v>縮小↓</v>
      </c>
      <c r="P249" s="500" t="str">
        <f t="shared" si="35"/>
        <v>バンド内</v>
      </c>
      <c r="Q249" s="503">
        <f>IF($D249="","",IFERROR(100-100/(1+SUMPRODUCT((終値!E249:R249&gt;終値!F249:S249)*(終値!E249:R249-終値!F249:S249))/SUMPRODUCT((終値!E249:R249&lt;終値!F249:S249)*(終値!F249:S249-終値!E249:R249))),100))</f>
        <v>44.467213114754102</v>
      </c>
      <c r="R249" s="503">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41.34551514231481</v>
      </c>
      <c r="S249" s="500"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0" t="str">
        <f t="shared" si="36"/>
        <v>－</v>
      </c>
      <c r="U249" s="500" t="str">
        <f>IF(終値!A249="","",BB_スイング!BT249)</f>
        <v>－</v>
      </c>
      <c r="V249" s="508">
        <f>IF($D249="","",IFERROR(出来高!E249/AVERAGE(出来高!E249:I249),""))</f>
        <v>0.8666463865626417</v>
      </c>
      <c r="W249" s="509"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4">
        <f t="shared" si="42"/>
        <v>10</v>
      </c>
      <c r="Y249" s="501">
        <f t="shared" si="37"/>
        <v>5852</v>
      </c>
      <c r="Z249" s="501">
        <f t="shared" si="38"/>
        <v>6005.8884769068318</v>
      </c>
      <c r="AA249" s="501">
        <f t="shared" si="39"/>
        <v>5659.85</v>
      </c>
      <c r="AB249" s="501">
        <f t="shared" si="43"/>
        <v>6351.9269538136641</v>
      </c>
      <c r="AC249" s="507">
        <f t="shared" si="40"/>
        <v>2.6</v>
      </c>
      <c r="AD249" s="501">
        <f>IF($D249="","",MIN(終値!E249:I249))</f>
        <v>5555</v>
      </c>
      <c r="AE249" s="503">
        <f t="shared" si="41"/>
        <v>10.09751</v>
      </c>
    </row>
    <row r="250" spans="1:31" ht="24">
      <c r="A250" s="500" t="str">
        <f>IF(終値!A250="","",HYPERLINK("https://kabutan.jp/stock/?code="&amp;終値!A250,"📈"))</f>
        <v>📈</v>
      </c>
      <c r="B250" s="500" t="str">
        <f>IF(終値!A250="","",終値!A250)</f>
        <v>155A</v>
      </c>
      <c r="C250" s="499" t="str">
        <f>IF(終値!A250="","",終値!B250)</f>
        <v>情報戦略テクノロジー</v>
      </c>
      <c r="D250" s="501">
        <f>IF(終値!A250="","",終値!E250)</f>
        <v>863</v>
      </c>
      <c r="E250" s="501">
        <f>IF($D250="","",AVERAGE(終値!E250:X250))</f>
        <v>860.52631578947364</v>
      </c>
      <c r="F250" s="502">
        <f>IF($D250="","",STDEVP(終値!E250:X250))</f>
        <v>28.363001142245402</v>
      </c>
      <c r="G250" s="501">
        <f>IF($D250="","",$E250+BB設定!$B$4*$F250)</f>
        <v>917.25231807396449</v>
      </c>
      <c r="H250" s="501">
        <f>IF($D250="","",$E250+BB設定!$B$5*$F250)</f>
        <v>888.88931693171901</v>
      </c>
      <c r="I250" s="501">
        <f>IF($D250="","",$E250-BB設定!$B$5*$F250)</f>
        <v>832.16331464722828</v>
      </c>
      <c r="J250" s="501">
        <f>IF($D250="","",$E250-BB設定!$B$4*$F250)</f>
        <v>803.8003135049828</v>
      </c>
      <c r="K250" s="506">
        <f t="shared" si="33"/>
        <v>0.52180379465241</v>
      </c>
      <c r="L250" s="505">
        <f t="shared" si="34"/>
        <v>13.184024995783805</v>
      </c>
      <c r="M250" s="505">
        <f>IF($D250="","",IFERROR(MIN(BB_帯幅!B250:AP250)*100,""))</f>
        <v>9.2243278728751523</v>
      </c>
      <c r="N250" s="500" t="str">
        <f>IF($L250="","",IF($L250&lt;=$M250*BB設定!$B$7,"スクイーズ★",IF($L250&lt;=$M250*1.3,"収縮","－")))</f>
        <v>－</v>
      </c>
      <c r="O250" s="500" t="str">
        <f>IF($D250="","",IF(AND(BB_帯幅!B250&gt;BB_帯幅!C250,BB_帯幅!C250&gt;BB_帯幅!D250),"拡大↑","縮小↓"))</f>
        <v>縮小↓</v>
      </c>
      <c r="P250" s="500" t="str">
        <f t="shared" si="35"/>
        <v>バンド内</v>
      </c>
      <c r="Q250" s="503">
        <f>IF($D250="","",IFERROR(100-100/(1+SUMPRODUCT((終値!E250:R250&gt;終値!F250:S250)*(終値!E250:R250-終値!F250:S250))/SUMPRODUCT((終値!E250:R250&lt;終値!F250:S250)*(終値!F250:S250-終値!E250:R250))),100))</f>
        <v>49.204665959703078</v>
      </c>
      <c r="R250" s="503">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42.441094605166562</v>
      </c>
      <c r="S250" s="500"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0" t="str">
        <f t="shared" si="36"/>
        <v>－</v>
      </c>
      <c r="U250" s="500" t="str">
        <f>IF(終値!A250="","",BB_スイング!BT250)</f>
        <v>二番底W▲</v>
      </c>
      <c r="V250" s="508">
        <f>IF($D250="","",IFERROR(出来高!E250/AVERAGE(出来高!E250:I250),""))</f>
        <v>0.97881355932203384</v>
      </c>
      <c r="W250" s="509"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△二番底買(確)</v>
      </c>
      <c r="X250" s="504">
        <f t="shared" si="42"/>
        <v>10</v>
      </c>
      <c r="Y250" s="501">
        <f t="shared" si="37"/>
        <v>863</v>
      </c>
      <c r="Z250" s="501">
        <f t="shared" si="38"/>
        <v>888.88931693171901</v>
      </c>
      <c r="AA250" s="501">
        <f t="shared" si="39"/>
        <v>860.52631578947364</v>
      </c>
      <c r="AB250" s="501">
        <f t="shared" si="43"/>
        <v>917.25231807396449</v>
      </c>
      <c r="AC250" s="507">
        <f t="shared" si="40"/>
        <v>20</v>
      </c>
      <c r="AD250" s="501">
        <f>IF($D250="","",MIN(終値!E250:I250))</f>
        <v>831</v>
      </c>
      <c r="AE250" s="503">
        <f t="shared" si="41"/>
        <v>10.0975</v>
      </c>
    </row>
    <row r="251" spans="1:31" ht="24">
      <c r="A251" s="500" t="str">
        <f>IF(終値!A251="","",HYPERLINK("https://kabutan.jp/stock/?code="&amp;終値!A251,"📈"))</f>
        <v>📈</v>
      </c>
      <c r="B251" s="500" t="str">
        <f>IF(終値!A251="","",終値!A251)</f>
        <v>278A</v>
      </c>
      <c r="C251" s="499" t="str">
        <f>IF(終値!A251="","",終値!B251)</f>
        <v>ＴＥＲＲＡＤＲＯＮＥ</v>
      </c>
      <c r="D251" s="501">
        <f>IF(終値!A251="","",終値!E251)</f>
        <v>12910</v>
      </c>
      <c r="E251" s="501">
        <f>IF($D251="","",AVERAGE(終値!E251:X251))</f>
        <v>12097.5</v>
      </c>
      <c r="F251" s="502">
        <f>IF($D251="","",STDEVP(終値!E251:X251))</f>
        <v>1887.8132190447232</v>
      </c>
      <c r="G251" s="501">
        <f>IF($D251="","",$E251+BB設定!$B$4*$F251)</f>
        <v>15873.126438089446</v>
      </c>
      <c r="H251" s="501">
        <f>IF($D251="","",$E251+BB設定!$B$5*$F251)</f>
        <v>13985.313219044723</v>
      </c>
      <c r="I251" s="501">
        <f>IF($D251="","",$E251-BB設定!$B$5*$F251)</f>
        <v>10209.686780955277</v>
      </c>
      <c r="J251" s="501">
        <f>IF($D251="","",$E251-BB設定!$B$4*$F251)</f>
        <v>8321.8735619105537</v>
      </c>
      <c r="K251" s="506">
        <f t="shared" si="33"/>
        <v>0.60759803880533581</v>
      </c>
      <c r="L251" s="505">
        <f t="shared" si="34"/>
        <v>62.419945246364058</v>
      </c>
      <c r="M251" s="505">
        <f>IF($D251="","",IFERROR(MIN(BB_帯幅!B251:AP251)*100,""))</f>
        <v>23.443688775213097</v>
      </c>
      <c r="N251" s="500" t="str">
        <f>IF($L251="","",IF($L251&lt;=$M251*BB設定!$B$7,"スクイーズ★",IF($L251&lt;=$M251*1.3,"収縮","－")))</f>
        <v>－</v>
      </c>
      <c r="O251" s="500" t="str">
        <f>IF($D251="","",IF(AND(BB_帯幅!B251&gt;BB_帯幅!C251,BB_帯幅!C251&gt;BB_帯幅!D251),"拡大↑","縮小↓"))</f>
        <v>縮小↓</v>
      </c>
      <c r="P251" s="500" t="str">
        <f t="shared" si="35"/>
        <v>バンド内</v>
      </c>
      <c r="Q251" s="503">
        <f>IF($D251="","",IFERROR(100-100/(1+SUMPRODUCT((終値!E251:R251&gt;終値!F251:S251)*(終値!E251:R251-終値!F251:S251))/SUMPRODUCT((終値!E251:R251&lt;終値!F251:S251)*(終値!F251:S251-終値!E251:R251))),100))</f>
        <v>49.32094353109364</v>
      </c>
      <c r="R251" s="503">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66.311258121334205</v>
      </c>
      <c r="S251" s="500"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0" t="str">
        <f t="shared" si="36"/>
        <v>－</v>
      </c>
      <c r="U251" s="500" t="str">
        <f>IF(終値!A251="","",BB_スイング!BT251)</f>
        <v>－</v>
      </c>
      <c r="V251" s="508">
        <f>IF($D251="","",IFERROR(出来高!E251/AVERAGE(出来高!E251:I251),""))</f>
        <v>0.814402731397595</v>
      </c>
      <c r="W251" s="509"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4">
        <f t="shared" si="42"/>
        <v>20</v>
      </c>
      <c r="Y251" s="501">
        <f t="shared" si="37"/>
        <v>12910</v>
      </c>
      <c r="Z251" s="501">
        <f t="shared" si="38"/>
        <v>13985.313219044723</v>
      </c>
      <c r="AA251" s="501">
        <f t="shared" si="39"/>
        <v>12097.5</v>
      </c>
      <c r="AB251" s="501">
        <f t="shared" si="43"/>
        <v>15873.126438089446</v>
      </c>
      <c r="AC251" s="507">
        <f t="shared" si="40"/>
        <v>3.65</v>
      </c>
      <c r="AD251" s="501">
        <f>IF($D251="","",MIN(終値!E251:I251))</f>
        <v>10540</v>
      </c>
      <c r="AE251" s="503">
        <f t="shared" si="41"/>
        <v>20.097490000000001</v>
      </c>
    </row>
    <row r="252" spans="1:31">
      <c r="A252" s="500" t="str">
        <f>IF(終値!A252="","",HYPERLINK("https://kabutan.jp/stock/?code="&amp;終値!A252,"📈"))</f>
        <v>📈</v>
      </c>
      <c r="B252" s="500" t="str">
        <f>IF(終値!A252="","",終値!A252)</f>
        <v>300A</v>
      </c>
      <c r="C252" s="499" t="str">
        <f>IF(終値!A252="","",終値!B252)</f>
        <v>ＭＩＣ</v>
      </c>
      <c r="D252" s="501">
        <f>IF(終値!A252="","",終値!E252)</f>
        <v>3070</v>
      </c>
      <c r="E252" s="501">
        <f>IF($D252="","",AVERAGE(終値!E252:X252))</f>
        <v>2943.1052631578946</v>
      </c>
      <c r="F252" s="502">
        <f>IF($D252="","",STDEVP(終値!E252:X252))</f>
        <v>64.119046137339922</v>
      </c>
      <c r="G252" s="501">
        <f>IF($D252="","",$E252+BB設定!$B$4*$F252)</f>
        <v>3071.3433554325743</v>
      </c>
      <c r="H252" s="501">
        <f>IF($D252="","",$E252+BB設定!$B$5*$F252)</f>
        <v>3007.2243092952344</v>
      </c>
      <c r="I252" s="501">
        <f>IF($D252="","",$E252-BB設定!$B$5*$F252)</f>
        <v>2878.9862170205547</v>
      </c>
      <c r="J252" s="501">
        <f>IF($D252="","",$E252-BB設定!$B$4*$F252)</f>
        <v>2814.8671708832148</v>
      </c>
      <c r="K252" s="506">
        <f t="shared" si="33"/>
        <v>0.99476226053918171</v>
      </c>
      <c r="L252" s="505">
        <f t="shared" si="34"/>
        <v>8.7144754134334139</v>
      </c>
      <c r="M252" s="505">
        <f>IF($D252="","",IFERROR(MIN(BB_帯幅!B252:AP252)*100,""))</f>
        <v>4.8510147540145603</v>
      </c>
      <c r="N252" s="500" t="str">
        <f>IF($L252="","",IF($L252&lt;=$M252*BB設定!$B$7,"スクイーズ★",IF($L252&lt;=$M252*1.3,"収縮","－")))</f>
        <v>－</v>
      </c>
      <c r="O252" s="500" t="str">
        <f>IF($D252="","",IF(AND(BB_帯幅!B252&gt;BB_帯幅!C252,BB_帯幅!C252&gt;BB_帯幅!D252),"拡大↑","縮小↓"))</f>
        <v>拡大↑</v>
      </c>
      <c r="P252" s="500" t="str">
        <f t="shared" si="35"/>
        <v>+1σ上</v>
      </c>
      <c r="Q252" s="503">
        <f>IF($D252="","",IFERROR(100-100/(1+SUMPRODUCT((終値!E252:R252&gt;終値!F252:S252)*(終値!E252:R252-終値!F252:S252))/SUMPRODUCT((終値!E252:R252&lt;終値!F252:S252)*(終値!F252:S252-終値!E252:R252))),100))</f>
        <v>51.517571884984029</v>
      </c>
      <c r="R252" s="503">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94.426917239866526</v>
      </c>
      <c r="S252" s="500"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弱気div▼</v>
      </c>
      <c r="T252" s="500" t="str">
        <f t="shared" si="36"/>
        <v>上walk▲</v>
      </c>
      <c r="U252" s="500" t="str">
        <f>IF(終値!A252="","",BB_スイング!BT252)</f>
        <v>－</v>
      </c>
      <c r="V252" s="508">
        <f>IF($D252="","",IFERROR(出来高!E252/AVERAGE(出来高!E252:I252),""))</f>
        <v>1.6443452380952381</v>
      </c>
      <c r="W252" s="509"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○順張り継続(walk)</v>
      </c>
      <c r="X252" s="504">
        <f t="shared" si="42"/>
        <v>55</v>
      </c>
      <c r="Y252" s="501">
        <f t="shared" si="37"/>
        <v>3070</v>
      </c>
      <c r="Z252" s="501">
        <f t="shared" si="38"/>
        <v>3007.2243092952344</v>
      </c>
      <c r="AA252" s="501">
        <f t="shared" si="39"/>
        <v>2943.1052631578946</v>
      </c>
      <c r="AB252" s="501">
        <f t="shared" si="43"/>
        <v>3071.3433554325743</v>
      </c>
      <c r="AC252" s="507">
        <f t="shared" si="40"/>
        <v>0.01</v>
      </c>
      <c r="AD252" s="501">
        <f>IF($D252="","",MIN(終値!E252:I252))</f>
        <v>2957</v>
      </c>
      <c r="AE252" s="503">
        <f t="shared" si="41"/>
        <v>55.097479999999997</v>
      </c>
    </row>
    <row r="253" spans="1:31">
      <c r="A253" s="500" t="str">
        <f>IF(終値!A253="","",HYPERLINK("https://kabutan.jp/stock/?code="&amp;終値!A253,"📈"))</f>
        <v>📈</v>
      </c>
      <c r="B253" s="500" t="str">
        <f>IF(終値!A253="","",終値!A253)</f>
        <v>4776</v>
      </c>
      <c r="C253" s="499" t="str">
        <f>IF(終値!A253="","",終値!B253)</f>
        <v>サイボウズ</v>
      </c>
      <c r="D253" s="501">
        <f>IF(終値!A253="","",終値!E253)</f>
        <v>2699</v>
      </c>
      <c r="E253" s="501">
        <f>IF($D253="","",AVERAGE(終値!E253:X253))</f>
        <v>2627.75</v>
      </c>
      <c r="F253" s="502">
        <f>IF($D253="","",STDEVP(終値!E253:X253))</f>
        <v>85.754810360702209</v>
      </c>
      <c r="G253" s="501">
        <f>IF($D253="","",$E253+BB設定!$B$4*$F253)</f>
        <v>2799.2596207214046</v>
      </c>
      <c r="H253" s="501">
        <f>IF($D253="","",$E253+BB設定!$B$5*$F253)</f>
        <v>2713.5048103607023</v>
      </c>
      <c r="I253" s="501">
        <f>IF($D253="","",$E253-BB設定!$B$5*$F253)</f>
        <v>2541.9951896392977</v>
      </c>
      <c r="J253" s="501">
        <f>IF($D253="","",$E253-BB設定!$B$4*$F253)</f>
        <v>2456.2403792785954</v>
      </c>
      <c r="K253" s="506">
        <f t="shared" si="33"/>
        <v>0.70771429526899976</v>
      </c>
      <c r="L253" s="505">
        <f t="shared" si="34"/>
        <v>13.053724343746905</v>
      </c>
      <c r="M253" s="505">
        <f>IF($D253="","",IFERROR(MIN(BB_帯幅!B253:AP253)*100,""))</f>
        <v>12.397868073598094</v>
      </c>
      <c r="N253" s="500" t="str">
        <f>IF($L253="","",IF($L253&lt;=$M253*BB設定!$B$7,"スクイーズ★",IF($L253&lt;=$M253*1.3,"収縮","－")))</f>
        <v>スクイーズ★</v>
      </c>
      <c r="O253" s="500" t="str">
        <f>IF($D253="","",IF(AND(BB_帯幅!B253&gt;BB_帯幅!C253,BB_帯幅!C253&gt;BB_帯幅!D253),"拡大↑","縮小↓"))</f>
        <v>拡大↑</v>
      </c>
      <c r="P253" s="500" t="str">
        <f t="shared" si="35"/>
        <v>バンド内</v>
      </c>
      <c r="Q253" s="503">
        <f>IF($D253="","",IFERROR(100-100/(1+SUMPRODUCT((終値!E253:R253&gt;終値!F253:S253)*(終値!E253:R253-終値!F253:S253))/SUMPRODUCT((終値!E253:R253&lt;終値!F253:S253)*(終値!F253:S253-終値!E253:R253))),100))</f>
        <v>58.232445520581109</v>
      </c>
      <c r="R253" s="503">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70.61906329663617</v>
      </c>
      <c r="S253" s="500"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0" t="str">
        <f t="shared" si="36"/>
        <v>－</v>
      </c>
      <c r="U253" s="500" t="str">
        <f>IF(終値!A253="","",BB_スイング!BT253)</f>
        <v>－</v>
      </c>
      <c r="V253" s="508">
        <f>IF($D253="","",IFERROR(出来高!E253/AVERAGE(出来高!E253:I253),""))</f>
        <v>0.82008452404910448</v>
      </c>
      <c r="W253" s="509"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☆スクイーズ監視</v>
      </c>
      <c r="X253" s="504">
        <f t="shared" si="42"/>
        <v>55</v>
      </c>
      <c r="Y253" s="501">
        <f t="shared" si="37"/>
        <v>2699</v>
      </c>
      <c r="Z253" s="501">
        <f t="shared" si="38"/>
        <v>2713.5048103607023</v>
      </c>
      <c r="AA253" s="501">
        <f t="shared" si="39"/>
        <v>2627.75</v>
      </c>
      <c r="AB253" s="501">
        <f t="shared" si="43"/>
        <v>2799.2596207214046</v>
      </c>
      <c r="AC253" s="507">
        <f t="shared" si="40"/>
        <v>1.41</v>
      </c>
      <c r="AD253" s="501">
        <f>IF($D253="","",MIN(終値!E253:I253))</f>
        <v>2653</v>
      </c>
      <c r="AE253" s="503">
        <f t="shared" si="41"/>
        <v>55.097470000000001</v>
      </c>
    </row>
    <row r="254" spans="1:31">
      <c r="A254" s="500" t="str">
        <f>IF(終値!A254="","",HYPERLINK("https://kabutan.jp/stock/?code="&amp;終値!A254,"📈"))</f>
        <v>📈</v>
      </c>
      <c r="B254" s="500" t="str">
        <f>IF(終値!A254="","",終値!A254)</f>
        <v>4704</v>
      </c>
      <c r="C254" s="499" t="str">
        <f>IF(終値!A254="","",終値!B254)</f>
        <v>トレンドマイクロ</v>
      </c>
      <c r="D254" s="501">
        <f>IF(終値!A254="","",終値!E254)</f>
        <v>6720</v>
      </c>
      <c r="E254" s="501">
        <f>IF($D254="","",AVERAGE(終値!E254:X254))</f>
        <v>6412.25</v>
      </c>
      <c r="F254" s="502">
        <f>IF($D254="","",STDEVP(終値!E254:X254))</f>
        <v>175.01739199291023</v>
      </c>
      <c r="G254" s="501">
        <f>IF($D254="","",$E254+BB設定!$B$4*$F254)</f>
        <v>6762.2847839858205</v>
      </c>
      <c r="H254" s="501">
        <f>IF($D254="","",$E254+BB設定!$B$5*$F254)</f>
        <v>6587.2673919929102</v>
      </c>
      <c r="I254" s="501">
        <f>IF($D254="","",$E254-BB設定!$B$5*$F254)</f>
        <v>6237.2326080070898</v>
      </c>
      <c r="J254" s="501">
        <f>IF($D254="","",$E254-BB設定!$B$4*$F254)</f>
        <v>6062.2152160141795</v>
      </c>
      <c r="K254" s="506">
        <f t="shared" si="33"/>
        <v>0.93959916853929959</v>
      </c>
      <c r="L254" s="505">
        <f t="shared" si="34"/>
        <v>10.917689858811508</v>
      </c>
      <c r="M254" s="505">
        <f>IF($D254="","",IFERROR(MIN(BB_帯幅!B254:AP254)*100,""))</f>
        <v>9.9762468310807009</v>
      </c>
      <c r="N254" s="500" t="str">
        <f>IF($L254="","",IF($L254&lt;=$M254*BB設定!$B$7,"スクイーズ★",IF($L254&lt;=$M254*1.3,"収縮","－")))</f>
        <v>スクイーズ★</v>
      </c>
      <c r="O254" s="500" t="str">
        <f>IF($D254="","",IF(AND(BB_帯幅!B254&gt;BB_帯幅!C254,BB_帯幅!C254&gt;BB_帯幅!D254),"拡大↑","縮小↓"))</f>
        <v>拡大↑</v>
      </c>
      <c r="P254" s="500" t="str">
        <f t="shared" si="35"/>
        <v>+1σ上</v>
      </c>
      <c r="Q254" s="503">
        <f>IF($D254="","",IFERROR(100-100/(1+SUMPRODUCT((終値!E254:R254&gt;終値!F254:S254)*(終値!E254:R254-終値!F254:S254))/SUMPRODUCT((終値!E254:R254&lt;終値!F254:S254)*(終値!F254:S254-終値!E254:R254))),100))</f>
        <v>58.440225756798355</v>
      </c>
      <c r="R254" s="503">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73.03391047269767</v>
      </c>
      <c r="S254" s="500"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0" t="str">
        <f t="shared" si="36"/>
        <v>上walk▲</v>
      </c>
      <c r="U254" s="500" t="str">
        <f>IF(終値!A254="","",BB_スイング!BT254)</f>
        <v>二番底W形成</v>
      </c>
      <c r="V254" s="508">
        <f>IF($D254="","",IFERROR(出来高!E254/AVERAGE(出来高!E254:I254),""))</f>
        <v>0.98140550207774446</v>
      </c>
      <c r="W254" s="509"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△二番底形成</v>
      </c>
      <c r="X254" s="504">
        <f t="shared" si="42"/>
        <v>67</v>
      </c>
      <c r="Y254" s="501">
        <f t="shared" si="37"/>
        <v>6720</v>
      </c>
      <c r="Z254" s="501">
        <f t="shared" si="38"/>
        <v>6587.2673919929102</v>
      </c>
      <c r="AA254" s="501">
        <f t="shared" si="39"/>
        <v>6412.25</v>
      </c>
      <c r="AB254" s="501">
        <f t="shared" si="43"/>
        <v>6762.2847839858205</v>
      </c>
      <c r="AC254" s="507">
        <f t="shared" si="40"/>
        <v>0.14000000000000001</v>
      </c>
      <c r="AD254" s="501">
        <f>IF($D254="","",MIN(終値!E254:I254))</f>
        <v>6304</v>
      </c>
      <c r="AE254" s="503">
        <f t="shared" si="41"/>
        <v>67.097459999999998</v>
      </c>
    </row>
    <row r="255" spans="1:31">
      <c r="A255" s="500" t="str">
        <f>IF(終値!A255="","",HYPERLINK("https://kabutan.jp/stock/?code="&amp;終値!A255,"📈"))</f>
        <v>📈</v>
      </c>
      <c r="B255" s="500" t="str">
        <f>IF(終値!A255="","",終値!A255)</f>
        <v>6370</v>
      </c>
      <c r="C255" s="499" t="str">
        <f>IF(終値!A255="","",終値!B255)</f>
        <v>栗田工業</v>
      </c>
      <c r="D255" s="501">
        <f>IF(終値!A255="","",終値!E255)</f>
        <v>8975</v>
      </c>
      <c r="E255" s="501">
        <f>IF($D255="","",AVERAGE(終値!E255:X255))</f>
        <v>8831.7000000000007</v>
      </c>
      <c r="F255" s="502">
        <f>IF($D255="","",STDEVP(終値!E255:X255))</f>
        <v>305.42136467509931</v>
      </c>
      <c r="G255" s="501">
        <f>IF($D255="","",$E255+BB設定!$B$4*$F255)</f>
        <v>9442.5427293501998</v>
      </c>
      <c r="H255" s="501">
        <f>IF($D255="","",$E255+BB設定!$B$5*$F255)</f>
        <v>9137.1213646751003</v>
      </c>
      <c r="I255" s="501">
        <f>IF($D255="","",$E255-BB設定!$B$5*$F255)</f>
        <v>8526.2786353249012</v>
      </c>
      <c r="J255" s="501">
        <f>IF($D255="","",$E255-BB設定!$B$4*$F255)</f>
        <v>8220.8572706498016</v>
      </c>
      <c r="K255" s="506">
        <f t="shared" si="33"/>
        <v>0.61729696787292421</v>
      </c>
      <c r="L255" s="505">
        <f t="shared" si="34"/>
        <v>13.832959211707804</v>
      </c>
      <c r="M255" s="505">
        <f>IF($D255="","",IFERROR(MIN(BB_帯幅!B255:AP255)*100,""))</f>
        <v>8.6082300221992014</v>
      </c>
      <c r="N255" s="500" t="str">
        <f>IF($L255="","",IF($L255&lt;=$M255*BB設定!$B$7,"スクイーズ★",IF($L255&lt;=$M255*1.3,"収縮","－")))</f>
        <v>－</v>
      </c>
      <c r="O255" s="500" t="str">
        <f>IF($D255="","",IF(AND(BB_帯幅!B255&gt;BB_帯幅!C255,BB_帯幅!C255&gt;BB_帯幅!D255),"拡大↑","縮小↓"))</f>
        <v>縮小↓</v>
      </c>
      <c r="P255" s="500" t="str">
        <f t="shared" si="35"/>
        <v>バンド内</v>
      </c>
      <c r="Q255" s="503">
        <f>IF($D255="","",IFERROR(100-100/(1+SUMPRODUCT((終値!E255:R255&gt;終値!F255:S255)*(終値!E255:R255-終値!F255:S255))/SUMPRODUCT((終値!E255:R255&lt;終値!F255:S255)*(終値!F255:S255-終値!E255:R255))),100))</f>
        <v>45.603576751117728</v>
      </c>
      <c r="R255" s="503">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47.53895212365196</v>
      </c>
      <c r="S255" s="500"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強気div▲</v>
      </c>
      <c r="T255" s="500" t="str">
        <f t="shared" si="36"/>
        <v>－</v>
      </c>
      <c r="U255" s="500" t="str">
        <f>IF(終値!A255="","",BB_スイング!BT255)</f>
        <v>二番底W形成</v>
      </c>
      <c r="V255" s="508">
        <f>IF($D255="","",IFERROR(出来高!E255/AVERAGE(出来高!E255:I255),""))</f>
        <v>1.2266523539334457</v>
      </c>
      <c r="W255" s="509"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○反発(ダイバ)買</v>
      </c>
      <c r="X255" s="504">
        <f t="shared" si="42"/>
        <v>25</v>
      </c>
      <c r="Y255" s="501">
        <f t="shared" si="37"/>
        <v>8975</v>
      </c>
      <c r="Z255" s="501">
        <f t="shared" si="38"/>
        <v>9137.1213646751003</v>
      </c>
      <c r="AA255" s="501">
        <f t="shared" si="39"/>
        <v>8831.7000000000007</v>
      </c>
      <c r="AB255" s="501">
        <f t="shared" si="43"/>
        <v>9442.5427293501998</v>
      </c>
      <c r="AC255" s="507">
        <f t="shared" si="40"/>
        <v>3.26</v>
      </c>
      <c r="AD255" s="501">
        <f>IF($D255="","",MIN(終値!E255:I255))</f>
        <v>8723</v>
      </c>
      <c r="AE255" s="503">
        <f t="shared" si="41"/>
        <v>25.097449999999998</v>
      </c>
    </row>
    <row r="256" spans="1:31">
      <c r="A256" s="500" t="str">
        <f>IF(終値!A256="","",HYPERLINK("https://kabutan.jp/stock/?code="&amp;終値!A256,"📈"))</f>
        <v>📈</v>
      </c>
      <c r="B256" s="500" t="str">
        <f>IF(終値!A256="","",終値!A256)</f>
        <v>7014</v>
      </c>
      <c r="C256" s="499" t="str">
        <f>IF(終値!A256="","",終値!B256)</f>
        <v>名村造船所</v>
      </c>
      <c r="D256" s="501">
        <f>IF(終値!A256="","",終値!E256)</f>
        <v>4360</v>
      </c>
      <c r="E256" s="501">
        <f>IF($D256="","",AVERAGE(終値!E256:X256))</f>
        <v>4100.25</v>
      </c>
      <c r="F256" s="502">
        <f>IF($D256="","",STDEVP(終値!E256:X256))</f>
        <v>223.02732455912212</v>
      </c>
      <c r="G256" s="501">
        <f>IF($D256="","",$E256+BB設定!$B$4*$F256)</f>
        <v>4546.304649118244</v>
      </c>
      <c r="H256" s="501">
        <f>IF($D256="","",$E256+BB設定!$B$5*$F256)</f>
        <v>4323.2773245591225</v>
      </c>
      <c r="I256" s="501">
        <f>IF($D256="","",$E256-BB設定!$B$5*$F256)</f>
        <v>3877.222675440878</v>
      </c>
      <c r="J256" s="501">
        <f>IF($D256="","",$E256-BB設定!$B$4*$F256)</f>
        <v>3654.195350881756</v>
      </c>
      <c r="K256" s="506">
        <f t="shared" si="33"/>
        <v>0.79116387477797956</v>
      </c>
      <c r="L256" s="505">
        <f t="shared" si="34"/>
        <v>21.757436698652231</v>
      </c>
      <c r="M256" s="505">
        <f>IF($D256="","",IFERROR(MIN(BB_帯幅!B256:AP256)*100,""))</f>
        <v>14.425009479241691</v>
      </c>
      <c r="N256" s="500" t="str">
        <f>IF($L256="","",IF($L256&lt;=$M256*BB設定!$B$7,"スクイーズ★",IF($L256&lt;=$M256*1.3,"収縮","－")))</f>
        <v>－</v>
      </c>
      <c r="O256" s="500" t="str">
        <f>IF($D256="","",IF(AND(BB_帯幅!B256&gt;BB_帯幅!C256,BB_帯幅!C256&gt;BB_帯幅!D256),"拡大↑","縮小↓"))</f>
        <v>拡大↑</v>
      </c>
      <c r="P256" s="500" t="str">
        <f t="shared" si="35"/>
        <v>+1σ上</v>
      </c>
      <c r="Q256" s="503">
        <f>IF($D256="","",IFERROR(100-100/(1+SUMPRODUCT((終値!E256:R256&gt;終値!F256:S256)*(終値!E256:R256-終値!F256:S256))/SUMPRODUCT((終値!E256:R256&lt;終値!F256:S256)*(終値!F256:S256-終値!E256:R256))),100))</f>
        <v>59.151193633952253</v>
      </c>
      <c r="R256" s="503">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74.247881734023295</v>
      </c>
      <c r="S256" s="500"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弱気div▼</v>
      </c>
      <c r="T256" s="500" t="str">
        <f t="shared" si="36"/>
        <v>上walk▲</v>
      </c>
      <c r="U256" s="500" t="str">
        <f>IF(終値!A256="","",BB_スイング!BT256)</f>
        <v>二番底W形成</v>
      </c>
      <c r="V256" s="508">
        <f>IF($D256="","",IFERROR(出来高!E256/AVERAGE(出来高!E256:I256),""))</f>
        <v>0.8016124171187462</v>
      </c>
      <c r="W256" s="509"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△二番底形成</v>
      </c>
      <c r="X256" s="504">
        <f t="shared" si="42"/>
        <v>47</v>
      </c>
      <c r="Y256" s="501">
        <f t="shared" si="37"/>
        <v>4360</v>
      </c>
      <c r="Z256" s="501">
        <f t="shared" si="38"/>
        <v>4323.2773245591225</v>
      </c>
      <c r="AA256" s="501">
        <f t="shared" si="39"/>
        <v>4100.25</v>
      </c>
      <c r="AB256" s="501">
        <f t="shared" si="43"/>
        <v>4546.304649118244</v>
      </c>
      <c r="AC256" s="507">
        <f t="shared" si="40"/>
        <v>0.72</v>
      </c>
      <c r="AD256" s="501">
        <f>IF($D256="","",MIN(終値!E256:I256))</f>
        <v>4125</v>
      </c>
      <c r="AE256" s="503">
        <f t="shared" si="41"/>
        <v>47.097439999999999</v>
      </c>
    </row>
    <row r="257" spans="1:31">
      <c r="A257" s="500" t="str">
        <f>IF(終値!A257="","",HYPERLINK("https://kabutan.jp/stock/?code="&amp;終値!A257,"📈"))</f>
        <v>📈</v>
      </c>
      <c r="B257" s="500" t="str">
        <f>IF(終値!A257="","",終値!A257)</f>
        <v>9880</v>
      </c>
      <c r="C257" s="499" t="str">
        <f>IF(終値!A257="","",終値!B257)</f>
        <v>イノテック</v>
      </c>
      <c r="D257" s="501">
        <f>IF(終値!A257="","",終値!E257)</f>
        <v>3730</v>
      </c>
      <c r="E257" s="501">
        <f>IF($D257="","",AVERAGE(終値!E257:X257))</f>
        <v>3412.5</v>
      </c>
      <c r="F257" s="502">
        <f>IF($D257="","",STDEVP(終値!E257:X257))</f>
        <v>194.77872060366349</v>
      </c>
      <c r="G257" s="501">
        <f>IF($D257="","",$E257+BB設定!$B$4*$F257)</f>
        <v>3802.057441207327</v>
      </c>
      <c r="H257" s="501">
        <f>IF($D257="","",$E257+BB設定!$B$5*$F257)</f>
        <v>3607.2787206036637</v>
      </c>
      <c r="I257" s="501">
        <f>IF($D257="","",$E257-BB設定!$B$5*$F257)</f>
        <v>3217.7212793963363</v>
      </c>
      <c r="J257" s="501">
        <f>IF($D257="","",$E257-BB設定!$B$4*$F257)</f>
        <v>3022.942558792673</v>
      </c>
      <c r="K257" s="506">
        <f t="shared" si="33"/>
        <v>0.90751371481442555</v>
      </c>
      <c r="L257" s="505">
        <f t="shared" si="34"/>
        <v>22.831205345484364</v>
      </c>
      <c r="M257" s="505">
        <f>IF($D257="","",IFERROR(MIN(BB_帯幅!B257:AP257)*100,""))</f>
        <v>15.224620844760075</v>
      </c>
      <c r="N257" s="500" t="str">
        <f>IF($L257="","",IF($L257&lt;=$M257*BB設定!$B$7,"スクイーズ★",IF($L257&lt;=$M257*1.3,"収縮","－")))</f>
        <v>－</v>
      </c>
      <c r="O257" s="500" t="str">
        <f>IF($D257="","",IF(AND(BB_帯幅!B257&gt;BB_帯幅!C257,BB_帯幅!C257&gt;BB_帯幅!D257),"拡大↑","縮小↓"))</f>
        <v>縮小↓</v>
      </c>
      <c r="P257" s="500" t="str">
        <f t="shared" si="35"/>
        <v>+1σ上</v>
      </c>
      <c r="Q257" s="503">
        <f>IF($D257="","",IFERROR(100-100/(1+SUMPRODUCT((終値!E257:R257&gt;終値!F257:S257)*(終値!E257:R257-終値!F257:S257))/SUMPRODUCT((終値!E257:R257&lt;終値!F257:S257)*(終値!F257:S257-終値!E257:R257))),100))</f>
        <v>55.900621118012424</v>
      </c>
      <c r="R257" s="503">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53.830398348198941</v>
      </c>
      <c r="S257" s="500"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v>
      </c>
      <c r="T257" s="500" t="str">
        <f t="shared" si="36"/>
        <v>上walk▲</v>
      </c>
      <c r="U257" s="500" t="str">
        <f>IF(終値!A257="","",BB_スイング!BT257)</f>
        <v>－</v>
      </c>
      <c r="V257" s="508">
        <f>IF($D257="","",IFERROR(出来高!E257/AVERAGE(出来高!E257:I257),""))</f>
        <v>0.93201510775383245</v>
      </c>
      <c r="W257" s="509"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4">
        <f t="shared" si="42"/>
        <v>32</v>
      </c>
      <c r="Y257" s="501">
        <f t="shared" si="37"/>
        <v>3730</v>
      </c>
      <c r="Z257" s="501">
        <f t="shared" si="38"/>
        <v>3607.2787206036637</v>
      </c>
      <c r="AA257" s="501">
        <f t="shared" si="39"/>
        <v>3412.5</v>
      </c>
      <c r="AB257" s="501">
        <f t="shared" si="43"/>
        <v>3802.057441207327</v>
      </c>
      <c r="AC257" s="507">
        <f t="shared" si="40"/>
        <v>0.23</v>
      </c>
      <c r="AD257" s="501">
        <f>IF($D257="","",MIN(終値!E257:I257))</f>
        <v>3380</v>
      </c>
      <c r="AE257" s="503">
        <f t="shared" si="41"/>
        <v>32.097430000000003</v>
      </c>
    </row>
    <row r="258" spans="1:31">
      <c r="A258" s="500" t="str">
        <f>IF(終値!A258="","",HYPERLINK("https://kabutan.jp/stock/?code="&amp;終値!A258,"📈"))</f>
        <v>📈</v>
      </c>
      <c r="B258" s="500" t="str">
        <f>IF(終値!A258="","",終値!A258)</f>
        <v>5253</v>
      </c>
      <c r="C258" s="499" t="str">
        <f>IF(終値!A258="","",終値!B258)</f>
        <v>カバー</v>
      </c>
      <c r="D258" s="501">
        <f>IF(終値!A258="","",終値!E258)</f>
        <v>1577</v>
      </c>
      <c r="E258" s="501">
        <f>IF($D258="","",AVERAGE(終値!E258:X258))</f>
        <v>1591.5263157894738</v>
      </c>
      <c r="F258" s="502">
        <f>IF($D258="","",STDEVP(終値!E258:X258))</f>
        <v>75.303154628162218</v>
      </c>
      <c r="G258" s="501">
        <f>IF($D258="","",$E258+BB設定!$B$4*$F258)</f>
        <v>1742.1326250457982</v>
      </c>
      <c r="H258" s="501">
        <f>IF($D258="","",$E258+BB設定!$B$5*$F258)</f>
        <v>1666.829470417636</v>
      </c>
      <c r="I258" s="501">
        <f>IF($D258="","",$E258-BB設定!$B$5*$F258)</f>
        <v>1516.2231611613115</v>
      </c>
      <c r="J258" s="501">
        <f>IF($D258="","",$E258-BB設定!$B$4*$F258)</f>
        <v>1440.9200065331493</v>
      </c>
      <c r="K258" s="506">
        <f t="shared" si="33"/>
        <v>0.45177388032014421</v>
      </c>
      <c r="L258" s="505">
        <f t="shared" si="34"/>
        <v>18.926021864943717</v>
      </c>
      <c r="M258" s="505">
        <f>IF($D258="","",IFERROR(MIN(BB_帯幅!B258:AP258)*100,""))</f>
        <v>16.88562235053648</v>
      </c>
      <c r="N258" s="500" t="str">
        <f>IF($L258="","",IF($L258&lt;=$M258*BB設定!$B$7,"スクイーズ★",IF($L258&lt;=$M258*1.3,"収縮","－")))</f>
        <v>収縮</v>
      </c>
      <c r="O258" s="500" t="str">
        <f>IF($D258="","",IF(AND(BB_帯幅!B258&gt;BB_帯幅!C258,BB_帯幅!C258&gt;BB_帯幅!D258),"拡大↑","縮小↓"))</f>
        <v>縮小↓</v>
      </c>
      <c r="P258" s="500" t="str">
        <f t="shared" si="35"/>
        <v>バンド内</v>
      </c>
      <c r="Q258" s="503">
        <f>IF($D258="","",IFERROR(100-100/(1+SUMPRODUCT((終値!E258:R258&gt;終値!F258:S258)*(終値!E258:R258-終値!F258:S258))/SUMPRODUCT((終値!E258:R258&lt;終値!F258:S258)*(終値!F258:S258-終値!E258:R258))),100))</f>
        <v>48.411858125992588</v>
      </c>
      <c r="R258" s="503">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52.409554614382003</v>
      </c>
      <c r="S258" s="500"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弱気div▼</v>
      </c>
      <c r="T258" s="500" t="str">
        <f t="shared" si="36"/>
        <v>－</v>
      </c>
      <c r="U258" s="500" t="str">
        <f>IF(終値!A258="","",BB_スイング!BT258)</f>
        <v>二番底W形成</v>
      </c>
      <c r="V258" s="508">
        <f>IF($D258="","",IFERROR(出来高!E258/AVERAGE(出来高!E258:I258),""))</f>
        <v>0.70847443035068591</v>
      </c>
      <c r="W258" s="509"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△二番底形成</v>
      </c>
      <c r="X258" s="504">
        <f t="shared" si="42"/>
        <v>20</v>
      </c>
      <c r="Y258" s="501">
        <f t="shared" si="37"/>
        <v>1577</v>
      </c>
      <c r="Z258" s="501">
        <f t="shared" si="38"/>
        <v>1666.829470417636</v>
      </c>
      <c r="AA258" s="501">
        <f t="shared" si="39"/>
        <v>1457</v>
      </c>
      <c r="AB258" s="501">
        <f t="shared" si="43"/>
        <v>1742.1326250457982</v>
      </c>
      <c r="AC258" s="507">
        <f t="shared" si="40"/>
        <v>1.38</v>
      </c>
      <c r="AD258" s="501">
        <f>IF($D258="","",MIN(終値!E258:I258))</f>
        <v>1457</v>
      </c>
      <c r="AE258" s="503">
        <f t="shared" si="41"/>
        <v>20.09742</v>
      </c>
    </row>
    <row r="259" spans="1:31">
      <c r="A259" s="500" t="str">
        <f>IF(終値!A259="","",HYPERLINK("https://kabutan.jp/stock/?code="&amp;終値!A259,"📈"))</f>
        <v>📈</v>
      </c>
      <c r="B259" s="500" t="str">
        <f>IF(終値!A259="","",終値!A259)</f>
        <v>9104</v>
      </c>
      <c r="C259" s="499" t="str">
        <f>IF(終値!A259="","",終値!B259)</f>
        <v>商船三井</v>
      </c>
      <c r="D259" s="501">
        <f>IF(終値!A259="","",終値!E259)</f>
        <v>6036</v>
      </c>
      <c r="E259" s="501">
        <f>IF($D259="","",AVERAGE(終値!E259:X259))</f>
        <v>5739.4</v>
      </c>
      <c r="F259" s="502">
        <f>IF($D259="","",STDEVP(終値!E259:X259))</f>
        <v>225.0811853531965</v>
      </c>
      <c r="G259" s="501">
        <f>IF($D259="","",$E259+BB設定!$B$4*$F259)</f>
        <v>6189.5623707063924</v>
      </c>
      <c r="H259" s="501">
        <f>IF($D259="","",$E259+BB設定!$B$5*$F259)</f>
        <v>5964.4811853531965</v>
      </c>
      <c r="I259" s="501">
        <f>IF($D259="","",$E259-BB設定!$B$5*$F259)</f>
        <v>5514.3188146468028</v>
      </c>
      <c r="J259" s="501">
        <f>IF($D259="","",$E259-BB設定!$B$4*$F259)</f>
        <v>5289.2376292936069</v>
      </c>
      <c r="K259" s="506">
        <f t="shared" si="33"/>
        <v>0.82943668696094808</v>
      </c>
      <c r="L259" s="505">
        <f t="shared" si="34"/>
        <v>15.686739753507082</v>
      </c>
      <c r="M259" s="505">
        <f>IF($D259="","",IFERROR(MIN(BB_帯幅!B259:AP259)*100,""))</f>
        <v>8.6170939220743819</v>
      </c>
      <c r="N259" s="500" t="str">
        <f>IF($L259="","",IF($L259&lt;=$M259*BB設定!$B$7,"スクイーズ★",IF($L259&lt;=$M259*1.3,"収縮","－")))</f>
        <v>－</v>
      </c>
      <c r="O259" s="500" t="str">
        <f>IF($D259="","",IF(AND(BB_帯幅!B259&gt;BB_帯幅!C259,BB_帯幅!C259&gt;BB_帯幅!D259),"拡大↑","縮小↓"))</f>
        <v>縮小↓</v>
      </c>
      <c r="P259" s="500" t="str">
        <f t="shared" si="35"/>
        <v>+1σ上</v>
      </c>
      <c r="Q259" s="503">
        <f>IF($D259="","",IFERROR(100-100/(1+SUMPRODUCT((終値!E259:R259&gt;終値!F259:S259)*(終値!E259:R259-終値!F259:S259))/SUMPRODUCT((終値!E259:R259&lt;終値!F259:S259)*(終値!F259:S259-終値!E259:R259))),100))</f>
        <v>71.357779980178393</v>
      </c>
      <c r="R259" s="503">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65.365102462464591</v>
      </c>
      <c r="S259" s="500"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弱気div▼</v>
      </c>
      <c r="T259" s="500" t="str">
        <f t="shared" si="36"/>
        <v>上walk▲</v>
      </c>
      <c r="U259" s="500" t="str">
        <f>IF(終値!A259="","",BB_スイング!BT259)</f>
        <v>－</v>
      </c>
      <c r="V259" s="508">
        <f>IF($D259="","",IFERROR(出来高!E259/AVERAGE(出来高!E259:I259),""))</f>
        <v>0.82761830410761472</v>
      </c>
      <c r="W259" s="509"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4">
        <f t="shared" si="42"/>
        <v>30</v>
      </c>
      <c r="Y259" s="501">
        <f t="shared" si="37"/>
        <v>6036</v>
      </c>
      <c r="Z259" s="501">
        <f t="shared" si="38"/>
        <v>5964.4811853531965</v>
      </c>
      <c r="AA259" s="501">
        <f t="shared" si="39"/>
        <v>5739.4</v>
      </c>
      <c r="AB259" s="501">
        <f t="shared" si="43"/>
        <v>6189.5623707063924</v>
      </c>
      <c r="AC259" s="507">
        <f t="shared" si="40"/>
        <v>0.52</v>
      </c>
      <c r="AD259" s="501">
        <f>IF($D259="","",MIN(終値!E259:I259))</f>
        <v>5801</v>
      </c>
      <c r="AE259" s="503">
        <f t="shared" si="41"/>
        <v>30.09741</v>
      </c>
    </row>
    <row r="260" spans="1:31">
      <c r="A260" s="500" t="str">
        <f>IF(終値!A260="","",HYPERLINK("https://kabutan.jp/stock/?code="&amp;終値!A260,"📈"))</f>
        <v>📈</v>
      </c>
      <c r="B260" s="500" t="str">
        <f>IF(終値!A260="","",終値!A260)</f>
        <v>6366</v>
      </c>
      <c r="C260" s="499" t="str">
        <f>IF(終値!A260="","",終値!B260)</f>
        <v>千代田化工建</v>
      </c>
      <c r="D260" s="501">
        <f>IF(終値!A260="","",終値!E260)</f>
        <v>695</v>
      </c>
      <c r="E260" s="501">
        <f>IF($D260="","",AVERAGE(終値!E260:X260))</f>
        <v>680.45</v>
      </c>
      <c r="F260" s="502">
        <f>IF($D260="","",STDEVP(終値!E260:X260))</f>
        <v>27.695622397772539</v>
      </c>
      <c r="G260" s="501">
        <f>IF($D260="","",$E260+BB設定!$B$4*$F260)</f>
        <v>735.84124479554509</v>
      </c>
      <c r="H260" s="501">
        <f>IF($D260="","",$E260+BB設定!$B$5*$F260)</f>
        <v>708.14562239777263</v>
      </c>
      <c r="I260" s="501">
        <f>IF($D260="","",$E260-BB設定!$B$5*$F260)</f>
        <v>652.75437760222746</v>
      </c>
      <c r="J260" s="501">
        <f>IF($D260="","",$E260-BB設定!$B$4*$F260)</f>
        <v>625.058755204455</v>
      </c>
      <c r="K260" s="506">
        <f t="shared" si="33"/>
        <v>0.63133844575713671</v>
      </c>
      <c r="L260" s="505">
        <f t="shared" si="34"/>
        <v>16.2807685489147</v>
      </c>
      <c r="M260" s="505">
        <f>IF($D260="","",IFERROR(MIN(BB_帯幅!B260:AP260)*100,""))</f>
        <v>14.617263994961624</v>
      </c>
      <c r="N260" s="500" t="str">
        <f>IF($L260="","",IF($L260&lt;=$M260*BB設定!$B$7,"スクイーズ★",IF($L260&lt;=$M260*1.3,"収縮","－")))</f>
        <v>収縮</v>
      </c>
      <c r="O260" s="500" t="str">
        <f>IF($D260="","",IF(AND(BB_帯幅!B260&gt;BB_帯幅!C260,BB_帯幅!C260&gt;BB_帯幅!D260),"拡大↑","縮小↓"))</f>
        <v>縮小↓</v>
      </c>
      <c r="P260" s="500" t="str">
        <f t="shared" si="35"/>
        <v>バンド内</v>
      </c>
      <c r="Q260" s="503">
        <f>IF($D260="","",IFERROR(100-100/(1+SUMPRODUCT((終値!E260:R260&gt;終値!F260:S260)*(終値!E260:R260-終値!F260:S260))/SUMPRODUCT((終値!E260:R260&lt;終値!F260:S260)*(終値!F260:S260-終値!E260:R260))),100))</f>
        <v>49.03047091412742</v>
      </c>
      <c r="R260" s="503">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56.532528147242843</v>
      </c>
      <c r="S260" s="500"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0" t="str">
        <f t="shared" si="36"/>
        <v>－</v>
      </c>
      <c r="U260" s="500" t="str">
        <f>IF(終値!A260="","",BB_スイング!BT260)</f>
        <v>二番底W形成</v>
      </c>
      <c r="V260" s="508">
        <f>IF($D260="","",IFERROR(出来高!E260/AVERAGE(出来高!E260:I260),""))</f>
        <v>0.90869180171519837</v>
      </c>
      <c r="W260" s="509"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4">
        <f t="shared" si="42"/>
        <v>35</v>
      </c>
      <c r="Y260" s="501">
        <f t="shared" si="37"/>
        <v>695</v>
      </c>
      <c r="Z260" s="501">
        <f t="shared" si="38"/>
        <v>708.14562239777263</v>
      </c>
      <c r="AA260" s="501">
        <f t="shared" si="39"/>
        <v>680.45</v>
      </c>
      <c r="AB260" s="501">
        <f t="shared" si="43"/>
        <v>735.84124479554509</v>
      </c>
      <c r="AC260" s="507">
        <f t="shared" si="40"/>
        <v>2.81</v>
      </c>
      <c r="AD260" s="501">
        <f>IF($D260="","",MIN(終値!E260:I260))</f>
        <v>649</v>
      </c>
      <c r="AE260" s="503">
        <f t="shared" si="41"/>
        <v>35.0974</v>
      </c>
    </row>
    <row r="261" spans="1:31">
      <c r="A261" s="500" t="str">
        <f>IF(終値!A261="","",HYPERLINK("https://kabutan.jp/stock/?code="&amp;終値!A261,"📈"))</f>
        <v>📈</v>
      </c>
      <c r="B261" s="500" t="str">
        <f>IF(終値!A261="","",終値!A261)</f>
        <v>6140</v>
      </c>
      <c r="C261" s="499" t="str">
        <f>IF(終値!A261="","",終値!B261)</f>
        <v>旭ダイヤモンド</v>
      </c>
      <c r="D261" s="501">
        <f>IF(終値!A261="","",終値!E261)</f>
        <v>1183</v>
      </c>
      <c r="E261" s="501">
        <f>IF($D261="","",AVERAGE(終値!E261:X261))</f>
        <v>1144</v>
      </c>
      <c r="F261" s="502">
        <f>IF($D261="","",STDEVP(終値!E261:X261))</f>
        <v>47.005038923614627</v>
      </c>
      <c r="G261" s="501">
        <f>IF($D261="","",$E261+BB設定!$B$4*$F261)</f>
        <v>1238.0100778472292</v>
      </c>
      <c r="H261" s="501">
        <f>IF($D261="","",$E261+BB設定!$B$5*$F261)</f>
        <v>1191.0050389236146</v>
      </c>
      <c r="I261" s="501">
        <f>IF($D261="","",$E261-BB設定!$B$5*$F261)</f>
        <v>1096.9949610763854</v>
      </c>
      <c r="J261" s="501">
        <f>IF($D261="","",$E261-BB設定!$B$4*$F261)</f>
        <v>1049.9899221527708</v>
      </c>
      <c r="K261" s="506">
        <f t="shared" si="33"/>
        <v>0.70742457028584116</v>
      </c>
      <c r="L261" s="505">
        <f t="shared" si="34"/>
        <v>16.435328294970148</v>
      </c>
      <c r="M261" s="505">
        <f>IF($D261="","",IFERROR(MIN(BB_帯幅!B261:AP261)*100,""))</f>
        <v>9.6185487014554827</v>
      </c>
      <c r="N261" s="500" t="str">
        <f>IF($L261="","",IF($L261&lt;=$M261*BB設定!$B$7,"スクイーズ★",IF($L261&lt;=$M261*1.3,"収縮","－")))</f>
        <v>－</v>
      </c>
      <c r="O261" s="500" t="str">
        <f>IF($D261="","",IF(AND(BB_帯幅!B261&gt;BB_帯幅!C261,BB_帯幅!C261&gt;BB_帯幅!D261),"拡大↑","縮小↓"))</f>
        <v>縮小↓</v>
      </c>
      <c r="P261" s="500" t="str">
        <f t="shared" si="35"/>
        <v>バンド内</v>
      </c>
      <c r="Q261" s="503">
        <f>IF($D261="","",IFERROR(100-100/(1+SUMPRODUCT((終値!E261:R261&gt;終値!F261:S261)*(終値!E261:R261-終値!F261:S261))/SUMPRODUCT((終値!E261:R261&lt;終値!F261:S261)*(終値!F261:S261-終値!E261:R261))),100))</f>
        <v>49.344323716747844</v>
      </c>
      <c r="R261" s="503">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42.62177767556615</v>
      </c>
      <c r="S261" s="500"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0" t="str">
        <f t="shared" si="36"/>
        <v>－</v>
      </c>
      <c r="U261" s="500" t="str">
        <f>IF(終値!A261="","",BB_スイング!BT261)</f>
        <v>－</v>
      </c>
      <c r="V261" s="508">
        <f>IF($D261="","",IFERROR(出来高!E261/AVERAGE(出来高!E261:I261),""))</f>
        <v>0.91018334134450318</v>
      </c>
      <c r="W261" s="509"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様子見</v>
      </c>
      <c r="X261" s="504">
        <f t="shared" si="42"/>
        <v>10</v>
      </c>
      <c r="Y261" s="501">
        <f t="shared" si="37"/>
        <v>1183</v>
      </c>
      <c r="Z261" s="501">
        <f t="shared" si="38"/>
        <v>1191.0050389236146</v>
      </c>
      <c r="AA261" s="501">
        <f t="shared" si="39"/>
        <v>1144</v>
      </c>
      <c r="AB261" s="501">
        <f t="shared" si="43"/>
        <v>1238.0100778472292</v>
      </c>
      <c r="AC261" s="507">
        <f t="shared" si="40"/>
        <v>1.41</v>
      </c>
      <c r="AD261" s="501">
        <f>IF($D261="","",MIN(終値!E261:I261))</f>
        <v>1103</v>
      </c>
      <c r="AE261" s="503">
        <f t="shared" si="41"/>
        <v>10.097390000000001</v>
      </c>
    </row>
    <row r="262" spans="1:31" ht="24">
      <c r="A262" s="500" t="str">
        <f>IF(終値!A262="","",HYPERLINK("https://kabutan.jp/stock/?code="&amp;終値!A262,"📈"))</f>
        <v>📈</v>
      </c>
      <c r="B262" s="500" t="str">
        <f>IF(終値!A262="","",終値!A262)</f>
        <v>1514</v>
      </c>
      <c r="C262" s="499" t="str">
        <f>IF(終値!A262="","",終値!B262)</f>
        <v>住石ホールディングス</v>
      </c>
      <c r="D262" s="501">
        <f>IF(終値!A262="","",終値!E262)</f>
        <v>596</v>
      </c>
      <c r="E262" s="501">
        <f>IF($D262="","",AVERAGE(終値!E262:X262))</f>
        <v>581.95000000000005</v>
      </c>
      <c r="F262" s="502">
        <f>IF($D262="","",STDEVP(終値!E262:X262))</f>
        <v>14.186172845415356</v>
      </c>
      <c r="G262" s="501">
        <f>IF($D262="","",$E262+BB設定!$B$4*$F262)</f>
        <v>610.32234569083073</v>
      </c>
      <c r="H262" s="501">
        <f>IF($D262="","",$E262+BB設定!$B$5*$F262)</f>
        <v>596.13617284541544</v>
      </c>
      <c r="I262" s="501">
        <f>IF($D262="","",$E262-BB設定!$B$5*$F262)</f>
        <v>567.76382715458465</v>
      </c>
      <c r="J262" s="501">
        <f>IF($D262="","",$E262-BB設定!$B$4*$F262)</f>
        <v>553.57765430916936</v>
      </c>
      <c r="K262" s="506">
        <f t="shared" ref="K262:K325" si="44">IF($D262="","",IFERROR(($D262-$J262)/($G262-$J262),""))</f>
        <v>0.74760025401319929</v>
      </c>
      <c r="L262" s="505">
        <f t="shared" ref="L262:L325" si="45">IF($D262="","",IFERROR(($G262-$J262)/$E262*100,""))</f>
        <v>9.7507846690714608</v>
      </c>
      <c r="M262" s="505">
        <f>IF($D262="","",IFERROR(MIN(BB_帯幅!B262:AP262)*100,""))</f>
        <v>9.7507846690714697</v>
      </c>
      <c r="N262" s="500" t="str">
        <f>IF($L262="","",IF($L262&lt;=$M262*BB設定!$B$7,"スクイーズ★",IF($L262&lt;=$M262*1.3,"収縮","－")))</f>
        <v>スクイーズ★</v>
      </c>
      <c r="O262" s="500" t="str">
        <f>IF($D262="","",IF(AND(BB_帯幅!B262&gt;BB_帯幅!C262,BB_帯幅!C262&gt;BB_帯幅!D262),"拡大↑","縮小↓"))</f>
        <v>縮小↓</v>
      </c>
      <c r="P262" s="500" t="str">
        <f t="shared" ref="P262:P325" si="46">IF($D262="","",IF($D262&gt;$G262,"↑+2σ突破",IF($D262&lt;$J262,"↓-2σ割れ",IF($D262&gt;$H262,"+1σ上",IF($D262&lt;$I262,"-1σ下","バンド内")))))</f>
        <v>バンド内</v>
      </c>
      <c r="Q262" s="503">
        <f>IF($D262="","",IFERROR(100-100/(1+SUMPRODUCT((終値!E262:R262&gt;終値!F262:S262)*(終値!E262:R262-終値!F262:S262))/SUMPRODUCT((終値!E262:R262&lt;終値!F262:S262)*(終値!F262:S262-終値!E262:R262))),100))</f>
        <v>50.931677018633543</v>
      </c>
      <c r="R262" s="503">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54.113212745491822</v>
      </c>
      <c r="S262" s="500"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0" t="str">
        <f t="shared" ref="T262:T325" si="47">IF($D262="","",IF($D262&gt;=$H262,"上walk▲",IF($D262&lt;=$I262,"下walk▼","－")))</f>
        <v>－</v>
      </c>
      <c r="U262" s="500" t="str">
        <f>IF(終値!A262="","",BB_スイング!BT262)</f>
        <v>二番底W形成</v>
      </c>
      <c r="V262" s="508">
        <f>IF($D262="","",IFERROR(出来高!E262/AVERAGE(出来高!E262:I262),""))</f>
        <v>0.87693917754247719</v>
      </c>
      <c r="W262" s="509"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4">
        <f t="shared" si="42"/>
        <v>40</v>
      </c>
      <c r="Y262" s="501">
        <f t="shared" ref="Y262:Y325" si="48">IF($D262="","",$D262)</f>
        <v>596</v>
      </c>
      <c r="Z262" s="501">
        <f t="shared" ref="Z262:Z325" si="49">IF($D262="","",$H262)</f>
        <v>596.13617284541544</v>
      </c>
      <c r="AA262" s="501">
        <f t="shared" ref="AA262:AA325" si="50">IF($D262="","",IF($D262&gt;$E262,$E262,$AD262))</f>
        <v>581.95000000000005</v>
      </c>
      <c r="AB262" s="501">
        <f t="shared" si="43"/>
        <v>610.32234569083073</v>
      </c>
      <c r="AC262" s="507">
        <f t="shared" ref="AC262:AC325" si="51">IF($D262="","",IF(($Y262-$AA262)&lt;=0,"－",IFERROR(ROUND(MIN(20,($AB262-$Y262)/($Y262-$AA262)),2),"－")))</f>
        <v>1.02</v>
      </c>
      <c r="AD262" s="501">
        <f>IF($D262="","",MIN(終値!E262:I262))</f>
        <v>577</v>
      </c>
      <c r="AE262" s="503">
        <f t="shared" ref="AE262:AE325" si="52">IF($D262="","",$X262+(10000-ROW())/100000)</f>
        <v>40.097380000000001</v>
      </c>
    </row>
    <row r="263" spans="1:31">
      <c r="A263" s="500" t="str">
        <f>IF(終値!A263="","",HYPERLINK("https://kabutan.jp/stock/?code="&amp;終値!A263,"📈"))</f>
        <v>📈</v>
      </c>
      <c r="B263" s="500" t="str">
        <f>IF(終値!A263="","",終値!A263)</f>
        <v>5631</v>
      </c>
      <c r="C263" s="499" t="str">
        <f>IF(終値!A263="","",終値!B263)</f>
        <v>日本製鋼所</v>
      </c>
      <c r="D263" s="501">
        <f>IF(終値!A263="","",終値!E263)</f>
        <v>7738</v>
      </c>
      <c r="E263" s="501">
        <f>IF($D263="","",AVERAGE(終値!E263:X263))</f>
        <v>7642.7</v>
      </c>
      <c r="F263" s="502">
        <f>IF($D263="","",STDEVP(終値!E263:X263))</f>
        <v>232.38891970143501</v>
      </c>
      <c r="G263" s="501">
        <f>IF($D263="","",$E263+BB設定!$B$4*$F263)</f>
        <v>8107.4778394028699</v>
      </c>
      <c r="H263" s="501">
        <f>IF($D263="","",$E263+BB設定!$B$5*$F263)</f>
        <v>7875.0889197014349</v>
      </c>
      <c r="I263" s="501">
        <f>IF($D263="","",$E263-BB設定!$B$5*$F263)</f>
        <v>7410.3110802985648</v>
      </c>
      <c r="J263" s="501">
        <f>IF($D263="","",$E263-BB設定!$B$4*$F263)</f>
        <v>7177.9221605971297</v>
      </c>
      <c r="K263" s="506">
        <f t="shared" si="44"/>
        <v>0.60252209972235149</v>
      </c>
      <c r="L263" s="505">
        <f t="shared" si="45"/>
        <v>12.162660824129432</v>
      </c>
      <c r="M263" s="505">
        <f>IF($D263="","",IFERROR(MIN(BB_帯幅!B263:AP263)*100,""))</f>
        <v>11.893304927114196</v>
      </c>
      <c r="N263" s="500" t="str">
        <f>IF($L263="","",IF($L263&lt;=$M263*BB設定!$B$7,"スクイーズ★",IF($L263&lt;=$M263*1.3,"収縮","－")))</f>
        <v>スクイーズ★</v>
      </c>
      <c r="O263" s="500" t="str">
        <f>IF($D263="","",IF(AND(BB_帯幅!B263&gt;BB_帯幅!C263,BB_帯幅!C263&gt;BB_帯幅!D263),"拡大↑","縮小↓"))</f>
        <v>縮小↓</v>
      </c>
      <c r="P263" s="500" t="str">
        <f t="shared" si="46"/>
        <v>バンド内</v>
      </c>
      <c r="Q263" s="503">
        <f>IF($D263="","",IFERROR(100-100/(1+SUMPRODUCT((終値!E263:R263&gt;終値!F263:S263)*(終値!E263:R263-終値!F263:S263))/SUMPRODUCT((終値!E263:R263&lt;終値!F263:S263)*(終値!F263:S263-終値!E263:R263))),100))</f>
        <v>47.877237851662407</v>
      </c>
      <c r="R263" s="503">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59.341379685796078</v>
      </c>
      <c r="S263" s="500"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0" t="str">
        <f t="shared" si="47"/>
        <v>－</v>
      </c>
      <c r="U263" s="500" t="str">
        <f>IF(終値!A263="","",BB_スイング!BT263)</f>
        <v>二番底W形成</v>
      </c>
      <c r="V263" s="508">
        <f>IF($D263="","",IFERROR(出来高!E263/AVERAGE(出来高!E263:I263),""))</f>
        <v>0.615911216940216</v>
      </c>
      <c r="W263" s="509"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4">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35</v>
      </c>
      <c r="Y263" s="501">
        <f t="shared" si="48"/>
        <v>7738</v>
      </c>
      <c r="Z263" s="501">
        <f t="shared" si="49"/>
        <v>7875.0889197014349</v>
      </c>
      <c r="AA263" s="501">
        <f t="shared" si="50"/>
        <v>7642.7</v>
      </c>
      <c r="AB263" s="501">
        <f t="shared" ref="AB263:AB326" si="54">IF($D263="","",IF($D263&gt;$G263,$E263+3*$F263,$G263))</f>
        <v>8107.4778394028699</v>
      </c>
      <c r="AC263" s="507">
        <f t="shared" si="51"/>
        <v>3.88</v>
      </c>
      <c r="AD263" s="501">
        <f>IF($D263="","",MIN(終値!E263:I263))</f>
        <v>7490</v>
      </c>
      <c r="AE263" s="503">
        <f t="shared" si="52"/>
        <v>35.097369999999998</v>
      </c>
    </row>
    <row r="264" spans="1:31" ht="24">
      <c r="A264" s="500" t="str">
        <f>IF(終値!A264="","",HYPERLINK("https://kabutan.jp/stock/?code="&amp;終値!A264,"📈"))</f>
        <v>📈</v>
      </c>
      <c r="B264" s="500" t="str">
        <f>IF(終値!A264="","",終値!A264)</f>
        <v>6674</v>
      </c>
      <c r="C264" s="499" t="str">
        <f>IF(終値!A264="","",終値!B264)</f>
        <v>ジーエス・ユアサコーポ</v>
      </c>
      <c r="D264" s="501">
        <f>IF(終値!A264="","",終値!E264)</f>
        <v>5404</v>
      </c>
      <c r="E264" s="501">
        <f>IF($D264="","",AVERAGE(終値!E264:X264))</f>
        <v>5774.4</v>
      </c>
      <c r="F264" s="502">
        <f>IF($D264="","",STDEVP(終値!E264:X264))</f>
        <v>307.64499020786928</v>
      </c>
      <c r="G264" s="501">
        <f>IF($D264="","",$E264+BB設定!$B$4*$F264)</f>
        <v>6389.6899804157383</v>
      </c>
      <c r="H264" s="501">
        <f>IF($D264="","",$E264+BB設定!$B$5*$F264)</f>
        <v>6082.044990207869</v>
      </c>
      <c r="I264" s="501">
        <f>IF($D264="","",$E264-BB設定!$B$5*$F264)</f>
        <v>5466.7550097921303</v>
      </c>
      <c r="J264" s="501">
        <f>IF($D264="","",$E264-BB設定!$B$4*$F264)</f>
        <v>5159.110019584261</v>
      </c>
      <c r="K264" s="506">
        <f t="shared" si="44"/>
        <v>0.19900371224172378</v>
      </c>
      <c r="L264" s="505">
        <f t="shared" si="45"/>
        <v>21.310958036012011</v>
      </c>
      <c r="M264" s="505">
        <f>IF($D264="","",IFERROR(MIN(BB_帯幅!B264:AP264)*100,""))</f>
        <v>19.164616644034705</v>
      </c>
      <c r="N264" s="500" t="str">
        <f>IF($L264="","",IF($L264&lt;=$M264*BB設定!$B$7,"スクイーズ★",IF($L264&lt;=$M264*1.3,"収縮","－")))</f>
        <v>収縮</v>
      </c>
      <c r="O264" s="500" t="str">
        <f>IF($D264="","",IF(AND(BB_帯幅!B264&gt;BB_帯幅!C264,BB_帯幅!C264&gt;BB_帯幅!D264),"拡大↑","縮小↓"))</f>
        <v>縮小↓</v>
      </c>
      <c r="P264" s="500" t="str">
        <f t="shared" si="46"/>
        <v>-1σ下</v>
      </c>
      <c r="Q264" s="503">
        <f>IF($D264="","",IFERROR(100-100/(1+SUMPRODUCT((終値!E264:R264&gt;終値!F264:S264)*(終値!E264:R264-終値!F264:S264))/SUMPRODUCT((終値!E264:R264&lt;終値!F264:S264)*(終値!F264:S264-終値!E264:R264))),100))</f>
        <v>39.522628642281468</v>
      </c>
      <c r="R264" s="503">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58.496657272601233</v>
      </c>
      <c r="S264" s="500"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0" t="str">
        <f t="shared" si="47"/>
        <v>下walk▼</v>
      </c>
      <c r="U264" s="500" t="str">
        <f>IF(終値!A264="","",BB_スイング!BT264)</f>
        <v>－</v>
      </c>
      <c r="V264" s="508">
        <f>IF($D264="","",IFERROR(出来高!E264/AVERAGE(出来高!E264:I264),""))</f>
        <v>1.2584521578210635</v>
      </c>
      <c r="W264" s="509"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4">
        <f t="shared" si="53"/>
        <v>5</v>
      </c>
      <c r="Y264" s="501">
        <f t="shared" si="48"/>
        <v>5404</v>
      </c>
      <c r="Z264" s="501">
        <f t="shared" si="49"/>
        <v>6082.044990207869</v>
      </c>
      <c r="AA264" s="501">
        <f t="shared" si="50"/>
        <v>5404</v>
      </c>
      <c r="AB264" s="501">
        <f t="shared" si="54"/>
        <v>6389.6899804157383</v>
      </c>
      <c r="AC264" s="507" t="str">
        <f t="shared" si="51"/>
        <v>－</v>
      </c>
      <c r="AD264" s="501">
        <f>IF($D264="","",MIN(終値!E264:I264))</f>
        <v>5404</v>
      </c>
      <c r="AE264" s="503">
        <f t="shared" si="52"/>
        <v>5.0973600000000001</v>
      </c>
    </row>
    <row r="265" spans="1:31">
      <c r="A265" s="500" t="str">
        <f>IF(終値!A265="","",HYPERLINK("https://kabutan.jp/stock/?code="&amp;終値!A265,"📈"))</f>
        <v>📈</v>
      </c>
      <c r="B265" s="500" t="str">
        <f>IF(終値!A265="","",終値!A265)</f>
        <v>6955</v>
      </c>
      <c r="C265" s="499" t="str">
        <f>IF(終値!A265="","",終値!B265)</f>
        <v>ＦＤＫ</v>
      </c>
      <c r="D265" s="501">
        <f>IF(終値!A265="","",終値!E265)</f>
        <v>411</v>
      </c>
      <c r="E265" s="501">
        <f>IF($D265="","",AVERAGE(終値!E265:X265))</f>
        <v>409.36842105263156</v>
      </c>
      <c r="F265" s="502">
        <f>IF($D265="","",STDEVP(終値!E265:X265))</f>
        <v>17.889163218686893</v>
      </c>
      <c r="G265" s="501">
        <f>IF($D265="","",$E265+BB設定!$B$4*$F265)</f>
        <v>445.14674749000534</v>
      </c>
      <c r="H265" s="501">
        <f>IF($D265="","",$E265+BB設定!$B$5*$F265)</f>
        <v>427.25758427131848</v>
      </c>
      <c r="I265" s="501">
        <f>IF($D265="","",$E265-BB設定!$B$5*$F265)</f>
        <v>391.47925783394464</v>
      </c>
      <c r="J265" s="501">
        <f>IF($D265="","",$E265-BB設定!$B$4*$F265)</f>
        <v>373.59009461525778</v>
      </c>
      <c r="K265" s="506">
        <f t="shared" si="44"/>
        <v>0.52280121947884217</v>
      </c>
      <c r="L265" s="505">
        <f t="shared" si="45"/>
        <v>17.479768637441548</v>
      </c>
      <c r="M265" s="505">
        <f>IF($D265="","",IFERROR(MIN(BB_帯幅!B265:AP265)*100,""))</f>
        <v>17.479768637441552</v>
      </c>
      <c r="N265" s="500" t="str">
        <f>IF($L265="","",IF($L265&lt;=$M265*BB設定!$B$7,"スクイーズ★",IF($L265&lt;=$M265*1.3,"収縮","－")))</f>
        <v>スクイーズ★</v>
      </c>
      <c r="O265" s="500" t="str">
        <f>IF($D265="","",IF(AND(BB_帯幅!B265&gt;BB_帯幅!C265,BB_帯幅!C265&gt;BB_帯幅!D265),"拡大↑","縮小↓"))</f>
        <v>縮小↓</v>
      </c>
      <c r="P265" s="500" t="str">
        <f t="shared" si="46"/>
        <v>バンド内</v>
      </c>
      <c r="Q265" s="503">
        <f>IF($D265="","",IFERROR(100-100/(1+SUMPRODUCT((終値!E265:R265&gt;終値!F265:S265)*(終値!E265:R265-終値!F265:S265))/SUMPRODUCT((終値!E265:R265&lt;終値!F265:S265)*(終値!F265:S265-終値!E265:R265))),100))</f>
        <v>48.915401301518436</v>
      </c>
      <c r="R265" s="503">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47.704219642979659</v>
      </c>
      <c r="S265" s="500"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0" t="str">
        <f t="shared" si="47"/>
        <v>－</v>
      </c>
      <c r="U265" s="500" t="str">
        <f>IF(終値!A265="","",BB_スイング!BT265)</f>
        <v>－</v>
      </c>
      <c r="V265" s="508">
        <f>IF($D265="","",IFERROR(出来高!E265/AVERAGE(出来高!E265:I265),""))</f>
        <v>0.70389358459193574</v>
      </c>
      <c r="W265" s="509"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○反発(ダイバ)買</v>
      </c>
      <c r="X265" s="504">
        <f t="shared" si="53"/>
        <v>45</v>
      </c>
      <c r="Y265" s="501">
        <f t="shared" si="48"/>
        <v>411</v>
      </c>
      <c r="Z265" s="501">
        <f t="shared" si="49"/>
        <v>427.25758427131848</v>
      </c>
      <c r="AA265" s="501">
        <f t="shared" si="50"/>
        <v>409.36842105263156</v>
      </c>
      <c r="AB265" s="501">
        <f t="shared" si="54"/>
        <v>445.14674749000534</v>
      </c>
      <c r="AC265" s="507">
        <f t="shared" si="51"/>
        <v>20</v>
      </c>
      <c r="AD265" s="501">
        <f>IF($D265="","",MIN(終値!E265:I265))</f>
        <v>381</v>
      </c>
      <c r="AE265" s="503">
        <f t="shared" si="52"/>
        <v>45.097349999999999</v>
      </c>
    </row>
    <row r="266" spans="1:31">
      <c r="A266" s="500" t="str">
        <f>IF(終値!A266="","",HYPERLINK("https://kabutan.jp/stock/?code="&amp;終値!A266,"📈"))</f>
        <v>📈</v>
      </c>
      <c r="B266" s="500" t="str">
        <f>IF(終値!A266="","",終値!A266)</f>
        <v>281A</v>
      </c>
      <c r="C266" s="499" t="str">
        <f>IF(終値!A266="","",終値!B266)</f>
        <v>インフォメティス</v>
      </c>
      <c r="D266" s="501">
        <f>IF(終値!A266="","",終値!E266)</f>
        <v>453</v>
      </c>
      <c r="E266" s="501">
        <f>IF($D266="","",AVERAGE(終値!E266:X266))</f>
        <v>470.3</v>
      </c>
      <c r="F266" s="502">
        <f>IF($D266="","",STDEVP(終値!E266:X266))</f>
        <v>33.142269083452923</v>
      </c>
      <c r="G266" s="501">
        <f>IF($D266="","",$E266+BB設定!$B$4*$F266)</f>
        <v>536.58453816690587</v>
      </c>
      <c r="H266" s="501">
        <f>IF($D266="","",$E266+BB設定!$B$5*$F266)</f>
        <v>503.44226908345291</v>
      </c>
      <c r="I266" s="501">
        <f>IF($D266="","",$E266-BB設定!$B$5*$F266)</f>
        <v>437.15773091654711</v>
      </c>
      <c r="J266" s="501">
        <f>IF($D266="","",$E266-BB設定!$B$4*$F266)</f>
        <v>404.01546183309415</v>
      </c>
      <c r="K266" s="506">
        <f t="shared" si="44"/>
        <v>0.36950199489631919</v>
      </c>
      <c r="L266" s="505">
        <f t="shared" si="45"/>
        <v>28.188193989753714</v>
      </c>
      <c r="M266" s="505">
        <f>IF($D266="","",IFERROR(MIN(BB_帯幅!B266:AP266)*100,""))</f>
        <v>28.188193989753707</v>
      </c>
      <c r="N266" s="500" t="str">
        <f>IF($L266="","",IF($L266&lt;=$M266*BB設定!$B$7,"スクイーズ★",IF($L266&lt;=$M266*1.3,"収縮","－")))</f>
        <v>スクイーズ★</v>
      </c>
      <c r="O266" s="500" t="str">
        <f>IF($D266="","",IF(AND(BB_帯幅!B266&gt;BB_帯幅!C266,BB_帯幅!C266&gt;BB_帯幅!D266),"拡大↑","縮小↓"))</f>
        <v>縮小↓</v>
      </c>
      <c r="P266" s="500" t="str">
        <f t="shared" si="46"/>
        <v>バンド内</v>
      </c>
      <c r="Q266" s="503">
        <f>IF($D266="","",IFERROR(100-100/(1+SUMPRODUCT((終値!E266:R266&gt;終値!F266:S266)*(終値!E266:R266-終値!F266:S266))/SUMPRODUCT((終値!E266:R266&lt;終値!F266:S266)*(終値!F266:S266-終値!E266:R266))),100))</f>
        <v>35.514018691588788</v>
      </c>
      <c r="R266" s="503">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67.595773474508178</v>
      </c>
      <c r="S266" s="500"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強気div▲</v>
      </c>
      <c r="T266" s="500" t="str">
        <f t="shared" si="47"/>
        <v>－</v>
      </c>
      <c r="U266" s="500" t="str">
        <f>IF(終値!A266="","",BB_スイング!BT266)</f>
        <v>－</v>
      </c>
      <c r="V266" s="508">
        <f>IF($D266="","",IFERROR(出来高!E266/AVERAGE(出来高!E266:I266),""))</f>
        <v>0.7861828618286183</v>
      </c>
      <c r="W266" s="509"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○反発(ダイバ)買</v>
      </c>
      <c r="X266" s="504">
        <f t="shared" si="53"/>
        <v>35</v>
      </c>
      <c r="Y266" s="501">
        <f t="shared" si="48"/>
        <v>453</v>
      </c>
      <c r="Z266" s="501">
        <f t="shared" si="49"/>
        <v>503.44226908345291</v>
      </c>
      <c r="AA266" s="501">
        <f t="shared" si="50"/>
        <v>429</v>
      </c>
      <c r="AB266" s="501">
        <f t="shared" si="54"/>
        <v>536.58453816690587</v>
      </c>
      <c r="AC266" s="507">
        <f t="shared" si="51"/>
        <v>3.48</v>
      </c>
      <c r="AD266" s="501">
        <f>IF($D266="","",MIN(終値!E266:I266))</f>
        <v>429</v>
      </c>
      <c r="AE266" s="503">
        <f t="shared" si="52"/>
        <v>35.097340000000003</v>
      </c>
    </row>
    <row r="267" spans="1:31">
      <c r="A267" s="500" t="str">
        <f>IF(終値!A267="","",HYPERLINK("https://kabutan.jp/stock/?code="&amp;終値!A267,"📈"))</f>
        <v>📈</v>
      </c>
      <c r="B267" s="500" t="str">
        <f>IF(終値!A267="","",終値!A267)</f>
        <v>6356</v>
      </c>
      <c r="C267" s="499" t="str">
        <f>IF(終値!A267="","",終値!B267)</f>
        <v>日本ギア工業</v>
      </c>
      <c r="D267" s="501">
        <f>IF(終値!A267="","",終値!E267)</f>
        <v>1370</v>
      </c>
      <c r="E267" s="501">
        <f>IF($D267="","",AVERAGE(終値!E267:X267))</f>
        <v>1396.55</v>
      </c>
      <c r="F267" s="502">
        <f>IF($D267="","",STDEVP(終値!E267:X267))</f>
        <v>97.986976175408117</v>
      </c>
      <c r="G267" s="501">
        <f>IF($D267="","",$E267+BB設定!$B$4*$F267)</f>
        <v>1592.5239523508162</v>
      </c>
      <c r="H267" s="501">
        <f>IF($D267="","",$E267+BB設定!$B$5*$F267)</f>
        <v>1494.536976175408</v>
      </c>
      <c r="I267" s="501">
        <f>IF($D267="","",$E267-BB設定!$B$5*$F267)</f>
        <v>1298.5630238245919</v>
      </c>
      <c r="J267" s="501">
        <f>IF($D267="","",$E267-BB設定!$B$4*$F267)</f>
        <v>1200.5760476491837</v>
      </c>
      <c r="K267" s="506">
        <f t="shared" si="44"/>
        <v>0.43226140596360391</v>
      </c>
      <c r="L267" s="505">
        <f t="shared" si="45"/>
        <v>28.06544017053686</v>
      </c>
      <c r="M267" s="505">
        <f>IF($D267="","",IFERROR(MIN(BB_帯幅!B267:AP267)*100,""))</f>
        <v>17.558764483961845</v>
      </c>
      <c r="N267" s="500" t="str">
        <f>IF($L267="","",IF($L267&lt;=$M267*BB設定!$B$7,"スクイーズ★",IF($L267&lt;=$M267*1.3,"収縮","－")))</f>
        <v>－</v>
      </c>
      <c r="O267" s="500" t="str">
        <f>IF($D267="","",IF(AND(BB_帯幅!B267&gt;BB_帯幅!C267,BB_帯幅!C267&gt;BB_帯幅!D267),"拡大↑","縮小↓"))</f>
        <v>縮小↓</v>
      </c>
      <c r="P267" s="500" t="str">
        <f t="shared" si="46"/>
        <v>バンド内</v>
      </c>
      <c r="Q267" s="503">
        <f>IF($D267="","",IFERROR(100-100/(1+SUMPRODUCT((終値!E267:R267&gt;終値!F267:S267)*(終値!E267:R267-終値!F267:S267))/SUMPRODUCT((終値!E267:R267&lt;終値!F267:S267)*(終値!F267:S267-終値!E267:R267))),100))</f>
        <v>32.491582491582491</v>
      </c>
      <c r="R267" s="503">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33.54871541118915</v>
      </c>
      <c r="S267" s="500"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0" t="str">
        <f t="shared" si="47"/>
        <v>－</v>
      </c>
      <c r="U267" s="500" t="str">
        <f>IF(終値!A267="","",BB_スイング!BT267)</f>
        <v>－</v>
      </c>
      <c r="V267" s="508">
        <f>IF($D267="","",IFERROR(出来高!E267/AVERAGE(出来高!E267:I267),""))</f>
        <v>0.51277114619432673</v>
      </c>
      <c r="W267" s="509"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4">
        <f t="shared" si="53"/>
        <v>0</v>
      </c>
      <c r="Y267" s="501">
        <f t="shared" si="48"/>
        <v>1370</v>
      </c>
      <c r="Z267" s="501">
        <f t="shared" si="49"/>
        <v>1494.536976175408</v>
      </c>
      <c r="AA267" s="501">
        <f t="shared" si="50"/>
        <v>1266</v>
      </c>
      <c r="AB267" s="501">
        <f t="shared" si="54"/>
        <v>1592.5239523508162</v>
      </c>
      <c r="AC267" s="507">
        <f t="shared" si="51"/>
        <v>2.14</v>
      </c>
      <c r="AD267" s="501">
        <f>IF($D267="","",MIN(終値!E267:I267))</f>
        <v>1266</v>
      </c>
      <c r="AE267" s="503">
        <f t="shared" si="52"/>
        <v>9.733E-2</v>
      </c>
    </row>
    <row r="268" spans="1:31">
      <c r="A268" s="500" t="str">
        <f>IF(終値!A268="","",HYPERLINK("https://kabutan.jp/stock/?code="&amp;終値!A268,"📈"))</f>
        <v>📈</v>
      </c>
      <c r="B268" s="500" t="str">
        <f>IF(終値!A268="","",終値!A268)</f>
        <v>7711</v>
      </c>
      <c r="C268" s="499" t="str">
        <f>IF(終値!A268="","",終値!B268)</f>
        <v>助川電気工業</v>
      </c>
      <c r="D268" s="501">
        <f>IF(終値!A268="","",終値!E268)</f>
        <v>4500</v>
      </c>
      <c r="E268" s="501">
        <f>IF($D268="","",AVERAGE(終値!E268:X268))</f>
        <v>4571.0526315789475</v>
      </c>
      <c r="F268" s="502">
        <f>IF($D268="","",STDEVP(終値!E268:X268))</f>
        <v>274.93816983081285</v>
      </c>
      <c r="G268" s="501">
        <f>IF($D268="","",$E268+BB設定!$B$4*$F268)</f>
        <v>5120.9289712405734</v>
      </c>
      <c r="H268" s="501">
        <f>IF($D268="","",$E268+BB設定!$B$5*$F268)</f>
        <v>4845.99080140976</v>
      </c>
      <c r="I268" s="501">
        <f>IF($D268="","",$E268-BB設定!$B$5*$F268)</f>
        <v>4296.114461748135</v>
      </c>
      <c r="J268" s="501">
        <f>IF($D268="","",$E268-BB設定!$B$4*$F268)</f>
        <v>4021.1762919173216</v>
      </c>
      <c r="K268" s="506">
        <f t="shared" si="44"/>
        <v>0.43539217233581035</v>
      </c>
      <c r="L268" s="505">
        <f t="shared" si="45"/>
        <v>24.059068402005508</v>
      </c>
      <c r="M268" s="505">
        <f>IF($D268="","",IFERROR(MIN(BB_帯幅!B268:AP268)*100,""))</f>
        <v>14.82371199288014</v>
      </c>
      <c r="N268" s="500" t="str">
        <f>IF($L268="","",IF($L268&lt;=$M268*BB設定!$B$7,"スクイーズ★",IF($L268&lt;=$M268*1.3,"収縮","－")))</f>
        <v>－</v>
      </c>
      <c r="O268" s="500" t="str">
        <f>IF($D268="","",IF(AND(BB_帯幅!B268&gt;BB_帯幅!C268,BB_帯幅!C268&gt;BB_帯幅!D268),"拡大↑","縮小↓"))</f>
        <v>縮小↓</v>
      </c>
      <c r="P268" s="500" t="str">
        <f t="shared" si="46"/>
        <v>バンド内</v>
      </c>
      <c r="Q268" s="503">
        <f>IF($D268="","",IFERROR(100-100/(1+SUMPRODUCT((終値!E268:R268&gt;終値!F268:S268)*(終値!E268:R268-終値!F268:S268))/SUMPRODUCT((終値!E268:R268&lt;終値!F268:S268)*(終値!F268:S268-終値!E268:R268))),100))</f>
        <v>47.222222222222229</v>
      </c>
      <c r="R268" s="503">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62.339853773931139</v>
      </c>
      <c r="S268" s="500"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0" t="str">
        <f t="shared" si="47"/>
        <v>－</v>
      </c>
      <c r="U268" s="500" t="str">
        <f>IF(終値!A268="","",BB_スイング!BT268)</f>
        <v>－</v>
      </c>
      <c r="V268" s="508">
        <f>IF($D268="","",IFERROR(出来高!E268/AVERAGE(出来高!E268:I268),""))</f>
        <v>2.0743382767035854</v>
      </c>
      <c r="W268" s="509"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4">
        <f t="shared" si="53"/>
        <v>10</v>
      </c>
      <c r="Y268" s="501">
        <f t="shared" si="48"/>
        <v>4500</v>
      </c>
      <c r="Z268" s="501">
        <f t="shared" si="49"/>
        <v>4845.99080140976</v>
      </c>
      <c r="AA268" s="501">
        <f t="shared" si="50"/>
        <v>4275</v>
      </c>
      <c r="AB268" s="501">
        <f t="shared" si="54"/>
        <v>5120.9289712405734</v>
      </c>
      <c r="AC268" s="507">
        <f t="shared" si="51"/>
        <v>2.76</v>
      </c>
      <c r="AD268" s="501">
        <f>IF($D268="","",MIN(終値!E268:I268))</f>
        <v>4275</v>
      </c>
      <c r="AE268" s="503">
        <f t="shared" si="52"/>
        <v>10.09732</v>
      </c>
    </row>
    <row r="269" spans="1:31">
      <c r="A269" s="500" t="str">
        <f>IF(終値!A269="","",HYPERLINK("https://kabutan.jp/stock/?code="&amp;終値!A269,"📈"))</f>
        <v>📈</v>
      </c>
      <c r="B269" s="500" t="str">
        <f>IF(終値!A269="","",終値!A269)</f>
        <v>6376</v>
      </c>
      <c r="C269" s="499" t="str">
        <f>IF(終値!A269="","",終値!B269)</f>
        <v>日機装</v>
      </c>
      <c r="D269" s="501">
        <f>IF(終値!A269="","",終値!E269)</f>
        <v>4095</v>
      </c>
      <c r="E269" s="501">
        <f>IF($D269="","",AVERAGE(終値!E269:X269))</f>
        <v>3843.25</v>
      </c>
      <c r="F269" s="502">
        <f>IF($D269="","",STDEVP(終値!E269:X269))</f>
        <v>177.53362357592997</v>
      </c>
      <c r="G269" s="501">
        <f>IF($D269="","",$E269+BB設定!$B$4*$F269)</f>
        <v>4198.3172471518601</v>
      </c>
      <c r="H269" s="501">
        <f>IF($D269="","",$E269+BB設定!$B$5*$F269)</f>
        <v>4020.7836235759301</v>
      </c>
      <c r="I269" s="501">
        <f>IF($D269="","",$E269-BB設定!$B$5*$F269)</f>
        <v>3665.7163764240699</v>
      </c>
      <c r="J269" s="501">
        <f>IF($D269="","",$E269-BB設定!$B$4*$F269)</f>
        <v>3488.1827528481399</v>
      </c>
      <c r="K269" s="506">
        <f t="shared" si="44"/>
        <v>0.85451031039808645</v>
      </c>
      <c r="L269" s="505">
        <f t="shared" si="45"/>
        <v>18.477447324626819</v>
      </c>
      <c r="M269" s="505">
        <f>IF($D269="","",IFERROR(MIN(BB_帯幅!B269:AP269)*100,""))</f>
        <v>15.910395123838356</v>
      </c>
      <c r="N269" s="500" t="str">
        <f>IF($L269="","",IF($L269&lt;=$M269*BB設定!$B$7,"スクイーズ★",IF($L269&lt;=$M269*1.3,"収縮","－")))</f>
        <v>収縮</v>
      </c>
      <c r="O269" s="500" t="str">
        <f>IF($D269="","",IF(AND(BB_帯幅!B269&gt;BB_帯幅!C269,BB_帯幅!C269&gt;BB_帯幅!D269),"拡大↑","縮小↓"))</f>
        <v>縮小↓</v>
      </c>
      <c r="P269" s="500" t="str">
        <f t="shared" si="46"/>
        <v>+1σ上</v>
      </c>
      <c r="Q269" s="503">
        <f>IF($D269="","",IFERROR(100-100/(1+SUMPRODUCT((終値!E269:R269&gt;終値!F269:S269)*(終値!E269:R269-終値!F269:S269))/SUMPRODUCT((終値!E269:R269&lt;終値!F269:S269)*(終値!F269:S269-終値!E269:R269))),100))</f>
        <v>55.78034682080925</v>
      </c>
      <c r="R269" s="503">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41.076199491452201</v>
      </c>
      <c r="S269" s="500"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v>
      </c>
      <c r="T269" s="500" t="str">
        <f t="shared" si="47"/>
        <v>上walk▲</v>
      </c>
      <c r="U269" s="500" t="str">
        <f>IF(終値!A269="","",BB_スイング!BT269)</f>
        <v>二番底W形成</v>
      </c>
      <c r="V269" s="508">
        <f>IF($D269="","",IFERROR(出来高!E269/AVERAGE(出来高!E269:I269),""))</f>
        <v>1.0813047376043032</v>
      </c>
      <c r="W269" s="509"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△二番底形成</v>
      </c>
      <c r="X269" s="504">
        <f t="shared" si="53"/>
        <v>37</v>
      </c>
      <c r="Y269" s="501">
        <f t="shared" si="48"/>
        <v>4095</v>
      </c>
      <c r="Z269" s="501">
        <f t="shared" si="49"/>
        <v>4020.7836235759301</v>
      </c>
      <c r="AA269" s="501">
        <f t="shared" si="50"/>
        <v>3843.25</v>
      </c>
      <c r="AB269" s="501">
        <f t="shared" si="54"/>
        <v>4198.3172471518601</v>
      </c>
      <c r="AC269" s="507">
        <f t="shared" si="51"/>
        <v>0.41</v>
      </c>
      <c r="AD269" s="501">
        <f>IF($D269="","",MIN(終値!E269:I269))</f>
        <v>3750</v>
      </c>
      <c r="AE269" s="503">
        <f t="shared" si="52"/>
        <v>37.09731</v>
      </c>
    </row>
    <row r="270" spans="1:31">
      <c r="A270" s="500" t="str">
        <f>IF(終値!A270="","",HYPERLINK("https://kabutan.jp/stock/?code="&amp;終値!A270,"📈"))</f>
        <v>📈</v>
      </c>
      <c r="B270" s="500" t="str">
        <f>IF(終値!A270="","",終値!A270)</f>
        <v>9115</v>
      </c>
      <c r="C270" s="499" t="str">
        <f>IF(終値!A270="","",終値!B270)</f>
        <v>明海グループ</v>
      </c>
      <c r="D270" s="501">
        <f>IF(終値!A270="","",終値!E270)</f>
        <v>856</v>
      </c>
      <c r="E270" s="501">
        <f>IF($D270="","",AVERAGE(終値!E270:X270))</f>
        <v>840.5</v>
      </c>
      <c r="F270" s="502">
        <f>IF($D270="","",STDEVP(終値!E270:X270))</f>
        <v>32.947685806441704</v>
      </c>
      <c r="G270" s="501">
        <f>IF($D270="","",$E270+BB設定!$B$4*$F270)</f>
        <v>906.39537161288342</v>
      </c>
      <c r="H270" s="501">
        <f>IF($D270="","",$E270+BB設定!$B$5*$F270)</f>
        <v>873.44768580644165</v>
      </c>
      <c r="I270" s="501">
        <f>IF($D270="","",$E270-BB設定!$B$5*$F270)</f>
        <v>807.55231419355835</v>
      </c>
      <c r="J270" s="501">
        <f>IF($D270="","",$E270-BB設定!$B$4*$F270)</f>
        <v>774.60462838711658</v>
      </c>
      <c r="K270" s="506">
        <f t="shared" si="44"/>
        <v>0.61761068813040543</v>
      </c>
      <c r="L270" s="505">
        <f t="shared" si="45"/>
        <v>15.680040835903252</v>
      </c>
      <c r="M270" s="505">
        <f>IF($D270="","",IFERROR(MIN(BB_帯幅!B270:AP270)*100,""))</f>
        <v>10.633736377266469</v>
      </c>
      <c r="N270" s="500" t="str">
        <f>IF($L270="","",IF($L270&lt;=$M270*BB設定!$B$7,"スクイーズ★",IF($L270&lt;=$M270*1.3,"収縮","－")))</f>
        <v>－</v>
      </c>
      <c r="O270" s="500" t="str">
        <f>IF($D270="","",IF(AND(BB_帯幅!B270&gt;BB_帯幅!C270,BB_帯幅!C270&gt;BB_帯幅!D270),"拡大↑","縮小↓"))</f>
        <v>縮小↓</v>
      </c>
      <c r="P270" s="500" t="str">
        <f t="shared" si="46"/>
        <v>バンド内</v>
      </c>
      <c r="Q270" s="503">
        <f>IF($D270="","",IFERROR(100-100/(1+SUMPRODUCT((終値!E270:R270&gt;終値!F270:S270)*(終値!E270:R270-終値!F270:S270))/SUMPRODUCT((終値!E270:R270&lt;終値!F270:S270)*(終値!F270:S270-終値!E270:R270))),100))</f>
        <v>50.310559006211186</v>
      </c>
      <c r="R270" s="503">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46.772785433953217</v>
      </c>
      <c r="S270" s="500"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弱気div▼</v>
      </c>
      <c r="T270" s="500" t="str">
        <f t="shared" si="47"/>
        <v>－</v>
      </c>
      <c r="U270" s="500" t="str">
        <f>IF(終値!A270="","",BB_スイング!BT270)</f>
        <v>－</v>
      </c>
      <c r="V270" s="508">
        <f>IF($D270="","",IFERROR(出来高!E270/AVERAGE(出来高!E270:I270),""))</f>
        <v>1.2046307884856071</v>
      </c>
      <c r="W270" s="509"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4">
        <f t="shared" si="53"/>
        <v>15</v>
      </c>
      <c r="Y270" s="501">
        <f t="shared" si="48"/>
        <v>856</v>
      </c>
      <c r="Z270" s="501">
        <f t="shared" si="49"/>
        <v>873.44768580644165</v>
      </c>
      <c r="AA270" s="501">
        <f t="shared" si="50"/>
        <v>840.5</v>
      </c>
      <c r="AB270" s="501">
        <f t="shared" si="54"/>
        <v>906.39537161288342</v>
      </c>
      <c r="AC270" s="507">
        <f t="shared" si="51"/>
        <v>3.25</v>
      </c>
      <c r="AD270" s="501">
        <f>IF($D270="","",MIN(終値!E270:I270))</f>
        <v>814</v>
      </c>
      <c r="AE270" s="503">
        <f t="shared" si="52"/>
        <v>15.097300000000001</v>
      </c>
    </row>
    <row r="271" spans="1:31">
      <c r="A271" s="500" t="str">
        <f>IF(終値!A271="","",HYPERLINK("https://kabutan.jp/stock/?code="&amp;終値!A271,"📈"))</f>
        <v>📈</v>
      </c>
      <c r="B271" s="500" t="str">
        <f>IF(終値!A271="","",終値!A271)</f>
        <v>3864</v>
      </c>
      <c r="C271" s="499" t="str">
        <f>IF(終値!A271="","",終値!B271)</f>
        <v>三菱製紙</v>
      </c>
      <c r="D271" s="501">
        <f>IF(終値!A271="","",終値!E271)</f>
        <v>1168</v>
      </c>
      <c r="E271" s="501">
        <f>IF($D271="","",AVERAGE(終値!E271:X271))</f>
        <v>1115.25</v>
      </c>
      <c r="F271" s="502">
        <f>IF($D271="","",STDEVP(終値!E271:X271))</f>
        <v>60.342253023896944</v>
      </c>
      <c r="G271" s="501">
        <f>IF($D271="","",$E271+BB設定!$B$4*$F271)</f>
        <v>1235.934506047794</v>
      </c>
      <c r="H271" s="501">
        <f>IF($D271="","",$E271+BB設定!$B$5*$F271)</f>
        <v>1175.592253023897</v>
      </c>
      <c r="I271" s="501">
        <f>IF($D271="","",$E271-BB設定!$B$5*$F271)</f>
        <v>1054.907746976103</v>
      </c>
      <c r="J271" s="501">
        <f>IF($D271="","",$E271-BB設定!$B$4*$F271)</f>
        <v>994.56549395220611</v>
      </c>
      <c r="K271" s="506">
        <f t="shared" si="44"/>
        <v>0.71854503832956684</v>
      </c>
      <c r="L271" s="505">
        <f t="shared" si="45"/>
        <v>21.642592431794476</v>
      </c>
      <c r="M271" s="505">
        <f>IF($D271="","",IFERROR(MIN(BB_帯幅!B271:AP271)*100,""))</f>
        <v>7.6946242254849171</v>
      </c>
      <c r="N271" s="500" t="str">
        <f>IF($L271="","",IF($L271&lt;=$M271*BB設定!$B$7,"スクイーズ★",IF($L271&lt;=$M271*1.3,"収縮","－")))</f>
        <v>－</v>
      </c>
      <c r="O271" s="500" t="str">
        <f>IF($D271="","",IF(AND(BB_帯幅!B271&gt;BB_帯幅!C271,BB_帯幅!C271&gt;BB_帯幅!D271),"拡大↑","縮小↓"))</f>
        <v>縮小↓</v>
      </c>
      <c r="P271" s="500" t="str">
        <f t="shared" si="46"/>
        <v>バンド内</v>
      </c>
      <c r="Q271" s="503">
        <f>IF($D271="","",IFERROR(100-100/(1+SUMPRODUCT((終値!E271:R271&gt;終値!F271:S271)*(終値!E271:R271-終値!F271:S271))/SUMPRODUCT((終値!E271:R271&lt;終値!F271:S271)*(終値!F271:S271-終値!E271:R271))),100))</f>
        <v>56.276150627615067</v>
      </c>
      <c r="R271" s="503">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46.180844304963891</v>
      </c>
      <c r="S271" s="500"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v>
      </c>
      <c r="T271" s="500" t="str">
        <f t="shared" si="47"/>
        <v>－</v>
      </c>
      <c r="U271" s="500" t="str">
        <f>IF(終値!A271="","",BB_スイング!BT271)</f>
        <v>－</v>
      </c>
      <c r="V271" s="508">
        <f>IF($D271="","",IFERROR(出来高!E271/AVERAGE(出来高!E271:I271),""))</f>
        <v>0.74939634356674711</v>
      </c>
      <c r="W271" s="509"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4">
        <f t="shared" si="53"/>
        <v>15</v>
      </c>
      <c r="Y271" s="501">
        <f t="shared" si="48"/>
        <v>1168</v>
      </c>
      <c r="Z271" s="501">
        <f t="shared" si="49"/>
        <v>1175.592253023897</v>
      </c>
      <c r="AA271" s="501">
        <f t="shared" si="50"/>
        <v>1115.25</v>
      </c>
      <c r="AB271" s="501">
        <f t="shared" si="54"/>
        <v>1235.934506047794</v>
      </c>
      <c r="AC271" s="507">
        <f t="shared" si="51"/>
        <v>1.29</v>
      </c>
      <c r="AD271" s="501">
        <f>IF($D271="","",MIN(終値!E271:I271))</f>
        <v>1117</v>
      </c>
      <c r="AE271" s="503">
        <f t="shared" si="52"/>
        <v>15.097289999999999</v>
      </c>
    </row>
    <row r="272" spans="1:31">
      <c r="A272" s="500" t="str">
        <f>IF(終値!A272="","",HYPERLINK("https://kabutan.jp/stock/?code="&amp;終値!A272,"📈"))</f>
        <v>📈</v>
      </c>
      <c r="B272" s="500" t="str">
        <f>IF(終値!A272="","",終値!A272)</f>
        <v>6997</v>
      </c>
      <c r="C272" s="499" t="str">
        <f>IF(終値!A272="","",終値!B272)</f>
        <v>日本ケミコン</v>
      </c>
      <c r="D272" s="501">
        <f>IF(終値!A272="","",終値!E272)</f>
        <v>3240</v>
      </c>
      <c r="E272" s="501">
        <f>IF($D272="","",AVERAGE(終値!E272:X272))</f>
        <v>3327.45</v>
      </c>
      <c r="F272" s="502">
        <f>IF($D272="","",STDEVP(終値!E272:X272))</f>
        <v>387.89914604185452</v>
      </c>
      <c r="G272" s="501">
        <f>IF($D272="","",$E272+BB設定!$B$4*$F272)</f>
        <v>4103.2482920837092</v>
      </c>
      <c r="H272" s="501">
        <f>IF($D272="","",$E272+BB設定!$B$5*$F272)</f>
        <v>3715.3491460418545</v>
      </c>
      <c r="I272" s="501">
        <f>IF($D272="","",$E272-BB設定!$B$5*$F272)</f>
        <v>2939.5508539581451</v>
      </c>
      <c r="J272" s="501">
        <f>IF($D272="","",$E272-BB設定!$B$4*$F272)</f>
        <v>2551.6517079162909</v>
      </c>
      <c r="K272" s="506">
        <f t="shared" si="44"/>
        <v>0.44363870036042558</v>
      </c>
      <c r="L272" s="505">
        <f t="shared" si="45"/>
        <v>46.630199827718478</v>
      </c>
      <c r="M272" s="505">
        <f>IF($D272="","",IFERROR(MIN(BB_帯幅!B272:AP272)*100,""))</f>
        <v>42.880442005053801</v>
      </c>
      <c r="N272" s="500" t="str">
        <f>IF($L272="","",IF($L272&lt;=$M272*BB設定!$B$7,"スクイーズ★",IF($L272&lt;=$M272*1.3,"収縮","－")))</f>
        <v>スクイーズ★</v>
      </c>
      <c r="O272" s="500" t="str">
        <f>IF($D272="","",IF(AND(BB_帯幅!B272&gt;BB_帯幅!C272,BB_帯幅!C272&gt;BB_帯幅!D272),"拡大↑","縮小↓"))</f>
        <v>縮小↓</v>
      </c>
      <c r="P272" s="500" t="str">
        <f t="shared" si="46"/>
        <v>バンド内</v>
      </c>
      <c r="Q272" s="503">
        <f>IF($D272="","",IFERROR(100-100/(1+SUMPRODUCT((終値!E272:R272&gt;終値!F272:S272)*(終値!E272:R272-終値!F272:S272))/SUMPRODUCT((終値!E272:R272&lt;終値!F272:S272)*(終値!F272:S272-終値!E272:R272))),100))</f>
        <v>42.096219931271477</v>
      </c>
      <c r="R272" s="503">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50.541643159163193</v>
      </c>
      <c r="S272" s="500"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強気div▲</v>
      </c>
      <c r="T272" s="500" t="str">
        <f t="shared" si="47"/>
        <v>－</v>
      </c>
      <c r="U272" s="500" t="str">
        <f>IF(終値!A272="","",BB_スイング!BT272)</f>
        <v>－</v>
      </c>
      <c r="V272" s="508">
        <f>IF($D272="","",IFERROR(出来高!E272/AVERAGE(出来高!E272:I272),""))</f>
        <v>0.71970406443154145</v>
      </c>
      <c r="W272" s="509"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○反発(ダイバ)買</v>
      </c>
      <c r="X272" s="504">
        <f t="shared" si="53"/>
        <v>35</v>
      </c>
      <c r="Y272" s="501">
        <f t="shared" si="48"/>
        <v>3240</v>
      </c>
      <c r="Z272" s="501">
        <f t="shared" si="49"/>
        <v>3715.3491460418545</v>
      </c>
      <c r="AA272" s="501">
        <f t="shared" si="50"/>
        <v>3120</v>
      </c>
      <c r="AB272" s="501">
        <f t="shared" si="54"/>
        <v>4103.2482920837092</v>
      </c>
      <c r="AC272" s="507">
        <f t="shared" si="51"/>
        <v>7.19</v>
      </c>
      <c r="AD272" s="501">
        <f>IF($D272="","",MIN(終値!E272:I272))</f>
        <v>3120</v>
      </c>
      <c r="AE272" s="503">
        <f t="shared" si="52"/>
        <v>35.097279999999998</v>
      </c>
    </row>
    <row r="273" spans="1:31">
      <c r="A273" s="500" t="str">
        <f>IF(終値!A273="","",HYPERLINK("https://kabutan.jp/stock/?code="&amp;終値!A273,"📈"))</f>
        <v>📈</v>
      </c>
      <c r="B273" s="500" t="str">
        <f>IF(終値!A273="","",終値!A273)</f>
        <v>4544</v>
      </c>
      <c r="C273" s="499" t="str">
        <f>IF(終値!A273="","",終値!B273)</f>
        <v>ＨＵグループＨＤ</v>
      </c>
      <c r="D273" s="501">
        <f>IF(終値!A273="","",終値!E273)</f>
        <v>3380</v>
      </c>
      <c r="E273" s="501">
        <f>IF($D273="","",AVERAGE(終値!E273:X273))</f>
        <v>3392.6</v>
      </c>
      <c r="F273" s="502">
        <f>IF($D273="","",STDEVP(終値!E273:X273))</f>
        <v>66.597597554266173</v>
      </c>
      <c r="G273" s="501">
        <f>IF($D273="","",$E273+BB設定!$B$4*$F273)</f>
        <v>3525.7951951085324</v>
      </c>
      <c r="H273" s="501">
        <f>IF($D273="","",$E273+BB設定!$B$5*$F273)</f>
        <v>3459.1975975542659</v>
      </c>
      <c r="I273" s="501">
        <f>IF($D273="","",$E273-BB設定!$B$5*$F273)</f>
        <v>3326.0024024457339</v>
      </c>
      <c r="J273" s="501">
        <f>IF($D273="","",$E273-BB設定!$B$4*$F273)</f>
        <v>3259.4048048914674</v>
      </c>
      <c r="K273" s="506">
        <f t="shared" si="44"/>
        <v>0.45270099649715989</v>
      </c>
      <c r="L273" s="505">
        <f t="shared" si="45"/>
        <v>7.8521013446048764</v>
      </c>
      <c r="M273" s="505">
        <f>IF($D273="","",IFERROR(MIN(BB_帯幅!B273:AP273)*100,""))</f>
        <v>7.1331518685314901</v>
      </c>
      <c r="N273" s="500" t="str">
        <f>IF($L273="","",IF($L273&lt;=$M273*BB設定!$B$7,"スクイーズ★",IF($L273&lt;=$M273*1.3,"収縮","－")))</f>
        <v>収縮</v>
      </c>
      <c r="O273" s="500" t="str">
        <f>IF($D273="","",IF(AND(BB_帯幅!B273&gt;BB_帯幅!C273,BB_帯幅!C273&gt;BB_帯幅!D273),"拡大↑","縮小↓"))</f>
        <v>縮小↓</v>
      </c>
      <c r="P273" s="500" t="str">
        <f t="shared" si="46"/>
        <v>バンド内</v>
      </c>
      <c r="Q273" s="503">
        <f>IF($D273="","",IFERROR(100-100/(1+SUMPRODUCT((終値!E273:R273&gt;終値!F273:S273)*(終値!E273:R273-終値!F273:S273))/SUMPRODUCT((終値!E273:R273&lt;終値!F273:S273)*(終値!F273:S273-終値!E273:R273))),100))</f>
        <v>50.366032210834554</v>
      </c>
      <c r="R273" s="503">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42.056498129130055</v>
      </c>
      <c r="S273" s="500"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0" t="str">
        <f t="shared" si="47"/>
        <v>－</v>
      </c>
      <c r="U273" s="500" t="str">
        <f>IF(終値!A273="","",BB_スイング!BT273)</f>
        <v>二番底W形成</v>
      </c>
      <c r="V273" s="508">
        <f>IF($D273="","",IFERROR(出来高!E273/AVERAGE(出来高!E273:I273),""))</f>
        <v>0.77942219071251329</v>
      </c>
      <c r="W273" s="509"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△二番底形成</v>
      </c>
      <c r="X273" s="504">
        <f t="shared" si="53"/>
        <v>20</v>
      </c>
      <c r="Y273" s="501">
        <f t="shared" si="48"/>
        <v>3380</v>
      </c>
      <c r="Z273" s="501">
        <f t="shared" si="49"/>
        <v>3459.1975975542659</v>
      </c>
      <c r="AA273" s="501">
        <f t="shared" si="50"/>
        <v>3331</v>
      </c>
      <c r="AB273" s="501">
        <f t="shared" si="54"/>
        <v>3525.7951951085324</v>
      </c>
      <c r="AC273" s="507">
        <f t="shared" si="51"/>
        <v>2.98</v>
      </c>
      <c r="AD273" s="501">
        <f>IF($D273="","",MIN(終値!E273:I273))</f>
        <v>3331</v>
      </c>
      <c r="AE273" s="503">
        <f t="shared" si="52"/>
        <v>20.097270000000002</v>
      </c>
    </row>
    <row r="274" spans="1:31" ht="24">
      <c r="A274" s="500" t="str">
        <f>IF(終値!A274="","",HYPERLINK("https://kabutan.jp/stock/?code="&amp;終値!A274,"📈"))</f>
        <v>📈</v>
      </c>
      <c r="B274" s="500" t="str">
        <f>IF(終値!A274="","",終値!A274)</f>
        <v>6848</v>
      </c>
      <c r="C274" s="499" t="str">
        <f>IF(終値!A274="","",終値!B274)</f>
        <v>東亜ディーケーケー</v>
      </c>
      <c r="D274" s="501">
        <f>IF(終値!A274="","",終値!E274)</f>
        <v>862</v>
      </c>
      <c r="E274" s="501">
        <f>IF($D274="","",AVERAGE(終値!E274:X274))</f>
        <v>854.73684210526312</v>
      </c>
      <c r="F274" s="502">
        <f>IF($D274="","",STDEVP(終値!E274:X274))</f>
        <v>3.1429470793333922</v>
      </c>
      <c r="G274" s="501">
        <f>IF($D274="","",$E274+BB設定!$B$4*$F274)</f>
        <v>861.02273626392991</v>
      </c>
      <c r="H274" s="501">
        <f>IF($D274="","",$E274+BB設定!$B$5*$F274)</f>
        <v>857.87978918459646</v>
      </c>
      <c r="I274" s="501">
        <f>IF($D274="","",$E274-BB設定!$B$5*$F274)</f>
        <v>851.59389502592978</v>
      </c>
      <c r="J274" s="501">
        <f>IF($D274="","",$E274-BB設定!$B$4*$F274)</f>
        <v>848.45094794659633</v>
      </c>
      <c r="K274" s="506">
        <f t="shared" si="44"/>
        <v>1.0777346636295702</v>
      </c>
      <c r="L274" s="505">
        <f t="shared" si="45"/>
        <v>1.4708373031363184</v>
      </c>
      <c r="M274" s="505">
        <f>IF($D274="","",IFERROR(MIN(BB_帯幅!B274:AP274)*100,""))</f>
        <v>1.3684389124110015</v>
      </c>
      <c r="N274" s="500" t="str">
        <f>IF($L274="","",IF($L274&lt;=$M274*BB設定!$B$7,"スクイーズ★",IF($L274&lt;=$M274*1.3,"収縮","－")))</f>
        <v>スクイーズ★</v>
      </c>
      <c r="O274" s="500" t="str">
        <f>IF($D274="","",IF(AND(BB_帯幅!B274&gt;BB_帯幅!C274,BB_帯幅!C274&gt;BB_帯幅!D274),"拡大↑","縮小↓"))</f>
        <v>縮小↓</v>
      </c>
      <c r="P274" s="500" t="str">
        <f t="shared" si="46"/>
        <v>↑+2σ突破</v>
      </c>
      <c r="Q274" s="503">
        <f>IF($D274="","",IFERROR(100-100/(1+SUMPRODUCT((終値!E274:R274&gt;終値!F274:S274)*(終値!E274:R274-終値!F274:S274))/SUMPRODUCT((終値!E274:R274&lt;終値!F274:S274)*(終値!F274:S274-終値!E274:R274))),100))</f>
        <v>50.200803212851397</v>
      </c>
      <c r="R274" s="503">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49.689280114324276</v>
      </c>
      <c r="S274" s="500"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v>
      </c>
      <c r="T274" s="500" t="str">
        <f t="shared" si="47"/>
        <v>上walk▲</v>
      </c>
      <c r="U274" s="500" t="str">
        <f>IF(終値!A274="","",BB_スイング!BT274)</f>
        <v>－</v>
      </c>
      <c r="V274" s="508">
        <f>IF($D274="","",IFERROR(出来高!E274/AVERAGE(出来高!E274:I274),""))</f>
        <v>0.8571428571428571</v>
      </c>
      <c r="W274" s="509"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☆スクイーズ監視</v>
      </c>
      <c r="X274" s="504">
        <f t="shared" si="53"/>
        <v>55</v>
      </c>
      <c r="Y274" s="501">
        <f t="shared" si="48"/>
        <v>862</v>
      </c>
      <c r="Z274" s="501">
        <f t="shared" si="49"/>
        <v>857.87978918459646</v>
      </c>
      <c r="AA274" s="501">
        <f t="shared" si="50"/>
        <v>854.73684210526312</v>
      </c>
      <c r="AB274" s="501">
        <f t="shared" si="54"/>
        <v>864.16568334326325</v>
      </c>
      <c r="AC274" s="507">
        <f t="shared" si="51"/>
        <v>0.3</v>
      </c>
      <c r="AD274" s="501">
        <f>IF($D274="","",MIN(終値!E274:I274))</f>
        <v>854</v>
      </c>
      <c r="AE274" s="503">
        <f t="shared" si="52"/>
        <v>55.097259999999999</v>
      </c>
    </row>
    <row r="275" spans="1:31" ht="24">
      <c r="A275" s="500" t="str">
        <f>IF(終値!A275="","",HYPERLINK("https://kabutan.jp/stock/?code="&amp;終値!A275,"📈"))</f>
        <v>📈</v>
      </c>
      <c r="B275" s="500" t="str">
        <f>IF(終値!A275="","",終値!A275)</f>
        <v>5702</v>
      </c>
      <c r="C275" s="499" t="str">
        <f>IF(終値!A275="","",終値!B275)</f>
        <v>大紀アルミニウム</v>
      </c>
      <c r="D275" s="501">
        <f>IF(終値!A275="","",終値!E275)</f>
        <v>1808</v>
      </c>
      <c r="E275" s="501">
        <f>IF($D275="","",AVERAGE(終値!E275:X275))</f>
        <v>1512.7</v>
      </c>
      <c r="F275" s="502">
        <f>IF($D275="","",STDEVP(終値!E275:X275))</f>
        <v>94.879976812813339</v>
      </c>
      <c r="G275" s="501">
        <f>IF($D275="","",$E275+BB設定!$B$4*$F275)</f>
        <v>1702.4599536256267</v>
      </c>
      <c r="H275" s="501">
        <f>IF($D275="","",$E275+BB設定!$B$5*$F275)</f>
        <v>1607.5799768128134</v>
      </c>
      <c r="I275" s="501">
        <f>IF($D275="","",$E275-BB設定!$B$5*$F275)</f>
        <v>1417.8200231871867</v>
      </c>
      <c r="J275" s="501">
        <f>IF($D275="","",$E275-BB設定!$B$4*$F275)</f>
        <v>1322.9400463743734</v>
      </c>
      <c r="K275" s="506">
        <f t="shared" si="44"/>
        <v>1.2780883014510824</v>
      </c>
      <c r="L275" s="505">
        <f t="shared" si="45"/>
        <v>25.088907731291943</v>
      </c>
      <c r="M275" s="505">
        <f>IF($D275="","",IFERROR(MIN(BB_帯幅!B275:AP275)*100,""))</f>
        <v>5.2856163621646282</v>
      </c>
      <c r="N275" s="500" t="str">
        <f>IF($L275="","",IF($L275&lt;=$M275*BB設定!$B$7,"スクイーズ★",IF($L275&lt;=$M275*1.3,"収縮","－")))</f>
        <v>－</v>
      </c>
      <c r="O275" s="500" t="str">
        <f>IF($D275="","",IF(AND(BB_帯幅!B275&gt;BB_帯幅!C275,BB_帯幅!C275&gt;BB_帯幅!D275),"拡大↑","縮小↓"))</f>
        <v>拡大↑</v>
      </c>
      <c r="P275" s="500" t="str">
        <f t="shared" si="46"/>
        <v>↑+2σ突破</v>
      </c>
      <c r="Q275" s="503">
        <f>IF($D275="","",IFERROR(100-100/(1+SUMPRODUCT((終値!E275:R275&gt;終値!F275:S275)*(終値!E275:R275-終値!F275:S275))/SUMPRODUCT((終値!E275:R275&lt;終値!F275:S275)*(終値!F275:S275-終値!E275:R275))),100))</f>
        <v>75.252525252525245</v>
      </c>
      <c r="R275" s="503">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77.467127892464305</v>
      </c>
      <c r="S275" s="500"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v>
      </c>
      <c r="T275" s="500" t="str">
        <f t="shared" si="47"/>
        <v>上walk▲</v>
      </c>
      <c r="U275" s="500" t="str">
        <f>IF(終値!A275="","",BB_スイング!BT275)</f>
        <v>二番底W▲</v>
      </c>
      <c r="V275" s="508">
        <f>IF($D275="","",IFERROR(出来高!E275/AVERAGE(出来高!E275:I275),""))</f>
        <v>1.5193437806072478</v>
      </c>
      <c r="W275" s="509"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△二番底買(確)</v>
      </c>
      <c r="X275" s="504">
        <f t="shared" si="53"/>
        <v>51</v>
      </c>
      <c r="Y275" s="501">
        <f t="shared" si="48"/>
        <v>1808</v>
      </c>
      <c r="Z275" s="501">
        <f t="shared" si="49"/>
        <v>1607.5799768128134</v>
      </c>
      <c r="AA275" s="501">
        <f t="shared" si="50"/>
        <v>1512.7</v>
      </c>
      <c r="AB275" s="501">
        <f t="shared" si="54"/>
        <v>1797.3399304384402</v>
      </c>
      <c r="AC275" s="507">
        <f t="shared" si="51"/>
        <v>-0.04</v>
      </c>
      <c r="AD275" s="501">
        <f>IF($D275="","",MIN(終値!E275:I275))</f>
        <v>1481</v>
      </c>
      <c r="AE275" s="503">
        <f t="shared" si="52"/>
        <v>51.097250000000003</v>
      </c>
    </row>
    <row r="276" spans="1:31">
      <c r="A276" s="500" t="str">
        <f>IF(終値!A276="","",HYPERLINK("https://kabutan.jp/stock/?code="&amp;終値!A276,"📈"))</f>
        <v>📈</v>
      </c>
      <c r="B276" s="500" t="str">
        <f>IF(終値!A276="","",終値!A276)</f>
        <v>7952</v>
      </c>
      <c r="C276" s="499" t="str">
        <f>IF(終値!A276="","",終値!B276)</f>
        <v>河合楽器</v>
      </c>
      <c r="D276" s="501">
        <f>IF(終値!A276="","",終値!E276)</f>
        <v>3530</v>
      </c>
      <c r="E276" s="501">
        <f>IF($D276="","",AVERAGE(終値!E276:X276))</f>
        <v>3321</v>
      </c>
      <c r="F276" s="502">
        <f>IF($D276="","",STDEVP(終値!E276:X276))</f>
        <v>131.9905299633273</v>
      </c>
      <c r="G276" s="501">
        <f>IF($D276="","",$E276+BB設定!$B$4*$F276)</f>
        <v>3584.9810599266548</v>
      </c>
      <c r="H276" s="501">
        <f>IF($D276="","",$E276+BB設定!$B$5*$F276)</f>
        <v>3452.9905299633274</v>
      </c>
      <c r="I276" s="501">
        <f>IF($D276="","",$E276-BB設定!$B$5*$F276)</f>
        <v>3189.0094700366726</v>
      </c>
      <c r="J276" s="501">
        <f>IF($D276="","",$E276-BB設定!$B$4*$F276)</f>
        <v>3057.0189400733452</v>
      </c>
      <c r="K276" s="506">
        <f t="shared" si="44"/>
        <v>0.89586173352374054</v>
      </c>
      <c r="L276" s="505">
        <f t="shared" si="45"/>
        <v>15.897685030211067</v>
      </c>
      <c r="M276" s="505">
        <f>IF($D276="","",IFERROR(MIN(BB_帯幅!B276:AP276)*100,""))</f>
        <v>5.4078566465509299</v>
      </c>
      <c r="N276" s="500" t="str">
        <f>IF($L276="","",IF($L276&lt;=$M276*BB設定!$B$7,"スクイーズ★",IF($L276&lt;=$M276*1.3,"収縮","－")))</f>
        <v>－</v>
      </c>
      <c r="O276" s="500" t="str">
        <f>IF($D276="","",IF(AND(BB_帯幅!B276&gt;BB_帯幅!C276,BB_帯幅!C276&gt;BB_帯幅!D276),"拡大↑","縮小↓"))</f>
        <v>拡大↑</v>
      </c>
      <c r="P276" s="500" t="str">
        <f t="shared" si="46"/>
        <v>+1σ上</v>
      </c>
      <c r="Q276" s="503">
        <f>IF($D276="","",IFERROR(100-100/(1+SUMPRODUCT((終値!E276:R276&gt;終値!F276:S276)*(終値!E276:R276-終値!F276:S276))/SUMPRODUCT((終値!E276:R276&lt;終値!F276:S276)*(終値!F276:S276-終値!E276:R276))),100))</f>
        <v>73.426573426573427</v>
      </c>
      <c r="R276" s="503">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72.705854222621653</v>
      </c>
      <c r="S276" s="500"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0" t="str">
        <f t="shared" si="47"/>
        <v>上walk▲</v>
      </c>
      <c r="U276" s="500" t="str">
        <f>IF(終値!A276="","",BB_スイング!BT276)</f>
        <v>二番底W▲</v>
      </c>
      <c r="V276" s="508">
        <f>IF($D276="","",IFERROR(出来高!E276/AVERAGE(出来高!E276:I276),""))</f>
        <v>0.589622641509434</v>
      </c>
      <c r="W276" s="509"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△二番底買(確)</v>
      </c>
      <c r="X276" s="504">
        <f t="shared" si="53"/>
        <v>40</v>
      </c>
      <c r="Y276" s="501">
        <f t="shared" si="48"/>
        <v>3530</v>
      </c>
      <c r="Z276" s="501">
        <f t="shared" si="49"/>
        <v>3452.9905299633274</v>
      </c>
      <c r="AA276" s="501">
        <f t="shared" si="50"/>
        <v>3321</v>
      </c>
      <c r="AB276" s="501">
        <f t="shared" si="54"/>
        <v>3584.9810599266548</v>
      </c>
      <c r="AC276" s="507">
        <f t="shared" si="51"/>
        <v>0.26</v>
      </c>
      <c r="AD276" s="501">
        <f>IF($D276="","",MIN(終値!E276:I276))</f>
        <v>3480</v>
      </c>
      <c r="AE276" s="503">
        <f t="shared" si="52"/>
        <v>40.097239999999999</v>
      </c>
    </row>
    <row r="277" spans="1:31">
      <c r="A277" s="500" t="str">
        <f>IF(終値!A277="","",HYPERLINK("https://kabutan.jp/stock/?code="&amp;終値!A277,"📈"))</f>
        <v>📈</v>
      </c>
      <c r="B277" s="500" t="str">
        <f>IF(終値!A277="","",終値!A277)</f>
        <v>3002</v>
      </c>
      <c r="C277" s="499" t="str">
        <f>IF(終値!A277="","",終値!B277)</f>
        <v>グンゼ</v>
      </c>
      <c r="D277" s="501">
        <f>IF(終値!A277="","",終値!E277)</f>
        <v>4170</v>
      </c>
      <c r="E277" s="501">
        <f>IF($D277="","",AVERAGE(終値!E277:X277))</f>
        <v>4018.4210526315787</v>
      </c>
      <c r="F277" s="502">
        <f>IF($D277="","",STDEVP(終値!E277:X277))</f>
        <v>54.532767348461611</v>
      </c>
      <c r="G277" s="501">
        <f>IF($D277="","",$E277+BB設定!$B$4*$F277)</f>
        <v>4127.4865873285016</v>
      </c>
      <c r="H277" s="501">
        <f>IF($D277="","",$E277+BB設定!$B$5*$F277)</f>
        <v>4072.9538199800404</v>
      </c>
      <c r="I277" s="501">
        <f>IF($D277="","",$E277-BB設定!$B$5*$F277)</f>
        <v>3963.8882852831171</v>
      </c>
      <c r="J277" s="501">
        <f>IF($D277="","",$E277-BB設定!$B$4*$F277)</f>
        <v>3909.3555179346554</v>
      </c>
      <c r="K277" s="506">
        <f t="shared" si="44"/>
        <v>1.1948984745255997</v>
      </c>
      <c r="L277" s="505">
        <f t="shared" si="45"/>
        <v>5.4282780857669666</v>
      </c>
      <c r="M277" s="505">
        <f>IF($D277="","",IFERROR(MIN(BB_帯幅!B277:AP277)*100,""))</f>
        <v>3.907292220041275</v>
      </c>
      <c r="N277" s="500" t="str">
        <f>IF($L277="","",IF($L277&lt;=$M277*BB設定!$B$7,"スクイーズ★",IF($L277&lt;=$M277*1.3,"収縮","－")))</f>
        <v>－</v>
      </c>
      <c r="O277" s="500" t="str">
        <f>IF($D277="","",IF(AND(BB_帯幅!B277&gt;BB_帯幅!C277,BB_帯幅!C277&gt;BB_帯幅!D277),"拡大↑","縮小↓"))</f>
        <v>拡大↑</v>
      </c>
      <c r="P277" s="500" t="str">
        <f t="shared" si="46"/>
        <v>↑+2σ突破</v>
      </c>
      <c r="Q277" s="503">
        <f>IF($D277="","",IFERROR(100-100/(1+SUMPRODUCT((終値!E277:R277&gt;終値!F277:S277)*(終値!E277:R277-終値!F277:S277))/SUMPRODUCT((終値!E277:R277&lt;終値!F277:S277)*(終値!F277:S277-終値!E277:R277))),100))</f>
        <v>51.038575667655785</v>
      </c>
      <c r="R277" s="503">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60.822456169772586</v>
      </c>
      <c r="S277" s="500"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0" t="str">
        <f t="shared" si="47"/>
        <v>上walk▲</v>
      </c>
      <c r="U277" s="500" t="str">
        <f>IF(終値!A277="","",BB_スイング!BT277)</f>
        <v>－</v>
      </c>
      <c r="V277" s="508">
        <f>IF($D277="","",IFERROR(出来高!E277/AVERAGE(出来高!E277:I277),""))</f>
        <v>1.1597860479132138</v>
      </c>
      <c r="W277" s="509"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様子見</v>
      </c>
      <c r="X277" s="504">
        <f t="shared" si="53"/>
        <v>65</v>
      </c>
      <c r="Y277" s="501">
        <f t="shared" si="48"/>
        <v>4170</v>
      </c>
      <c r="Z277" s="501">
        <f t="shared" si="49"/>
        <v>4072.9538199800404</v>
      </c>
      <c r="AA277" s="501">
        <f t="shared" si="50"/>
        <v>4018.4210526315787</v>
      </c>
      <c r="AB277" s="501">
        <f t="shared" si="54"/>
        <v>4182.0193546769633</v>
      </c>
      <c r="AC277" s="507">
        <f t="shared" si="51"/>
        <v>0.08</v>
      </c>
      <c r="AD277" s="501">
        <f>IF($D277="","",MIN(終値!E277:I277))</f>
        <v>3990</v>
      </c>
      <c r="AE277" s="503">
        <f t="shared" si="52"/>
        <v>65.097229999999996</v>
      </c>
    </row>
    <row r="278" spans="1:31">
      <c r="A278" s="500" t="str">
        <f>IF(終値!A278="","",HYPERLINK("https://kabutan.jp/stock/?code="&amp;終値!A278,"📈"))</f>
        <v>📈</v>
      </c>
      <c r="B278" s="500" t="str">
        <f>IF(終値!A278="","",終値!A278)</f>
        <v>8871</v>
      </c>
      <c r="C278" s="499" t="str">
        <f>IF(終値!A278="","",終値!B278)</f>
        <v>ゴールドクレスト</v>
      </c>
      <c r="D278" s="501">
        <f>IF(終値!A278="","",終値!E278)</f>
        <v>3235</v>
      </c>
      <c r="E278" s="501">
        <f>IF($D278="","",AVERAGE(終値!E278:X278))</f>
        <v>3325.7894736842104</v>
      </c>
      <c r="F278" s="502">
        <f>IF($D278="","",STDEVP(終値!E278:X278))</f>
        <v>59.299932499622912</v>
      </c>
      <c r="G278" s="501">
        <f>IF($D278="","",$E278+BB設定!$B$4*$F278)</f>
        <v>3444.3893386834561</v>
      </c>
      <c r="H278" s="501">
        <f>IF($D278="","",$E278+BB設定!$B$5*$F278)</f>
        <v>3385.0894061838335</v>
      </c>
      <c r="I278" s="501">
        <f>IF($D278="","",$E278-BB設定!$B$5*$F278)</f>
        <v>3266.4895411845873</v>
      </c>
      <c r="J278" s="501">
        <f>IF($D278="","",$E278-BB設定!$B$4*$F278)</f>
        <v>3207.1896086849647</v>
      </c>
      <c r="K278" s="506">
        <f t="shared" si="44"/>
        <v>0.11724461623633457</v>
      </c>
      <c r="L278" s="505">
        <f t="shared" si="45"/>
        <v>7.1321330431576788</v>
      </c>
      <c r="M278" s="505">
        <f>IF($D278="","",IFERROR(MIN(BB_帯幅!B278:AP278)*100,""))</f>
        <v>4.6967162809011898</v>
      </c>
      <c r="N278" s="500" t="str">
        <f>IF($L278="","",IF($L278&lt;=$M278*BB設定!$B$7,"スクイーズ★",IF($L278&lt;=$M278*1.3,"収縮","－")))</f>
        <v>－</v>
      </c>
      <c r="O278" s="500" t="str">
        <f>IF($D278="","",IF(AND(BB_帯幅!B278&gt;BB_帯幅!C278,BB_帯幅!C278&gt;BB_帯幅!D278),"拡大↑","縮小↓"))</f>
        <v>拡大↑</v>
      </c>
      <c r="P278" s="500" t="str">
        <f t="shared" si="46"/>
        <v>-1σ下</v>
      </c>
      <c r="Q278" s="503">
        <f>IF($D278="","",IFERROR(100-100/(1+SUMPRODUCT((終値!E278:R278&gt;終値!F278:S278)*(終値!E278:R278-終値!F278:S278))/SUMPRODUCT((終値!E278:R278&lt;終値!F278:S278)*(終値!F278:S278-終値!E278:R278))),100))</f>
        <v>48.993754337265791</v>
      </c>
      <c r="R278" s="503">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31.572354019958837</v>
      </c>
      <c r="S278" s="500"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0" t="str">
        <f t="shared" si="47"/>
        <v>下walk▼</v>
      </c>
      <c r="U278" s="500" t="str">
        <f>IF(終値!A278="","",BB_スイング!BT278)</f>
        <v>－</v>
      </c>
      <c r="V278" s="508">
        <f>IF($D278="","",IFERROR(出来高!E278/AVERAGE(出来高!E278:I278),""))</f>
        <v>0.69941715237302249</v>
      </c>
      <c r="W278" s="509"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様子見</v>
      </c>
      <c r="X278" s="504">
        <f t="shared" si="53"/>
        <v>0</v>
      </c>
      <c r="Y278" s="501">
        <f t="shared" si="48"/>
        <v>3235</v>
      </c>
      <c r="Z278" s="501">
        <f t="shared" si="49"/>
        <v>3385.0894061838335</v>
      </c>
      <c r="AA278" s="501">
        <f t="shared" si="50"/>
        <v>3200</v>
      </c>
      <c r="AB278" s="501">
        <f t="shared" si="54"/>
        <v>3444.3893386834561</v>
      </c>
      <c r="AC278" s="507">
        <f t="shared" si="51"/>
        <v>5.98</v>
      </c>
      <c r="AD278" s="501">
        <f>IF($D278="","",MIN(終値!E278:I278))</f>
        <v>3200</v>
      </c>
      <c r="AE278" s="503">
        <f t="shared" si="52"/>
        <v>9.7220000000000001E-2</v>
      </c>
    </row>
    <row r="279" spans="1:31">
      <c r="A279" s="500" t="str">
        <f>IF(終値!A279="","",HYPERLINK("https://kabutan.jp/stock/?code="&amp;終値!A279,"📈"))</f>
        <v>📈</v>
      </c>
      <c r="B279" s="500" t="str">
        <f>IF(終値!A279="","",終値!A279)</f>
        <v>6918</v>
      </c>
      <c r="C279" s="499" t="str">
        <f>IF(終値!A279="","",終値!B279)</f>
        <v>アバールデータ</v>
      </c>
      <c r="D279" s="501">
        <f>IF(終値!A279="","",終値!E279)</f>
        <v>3315</v>
      </c>
      <c r="E279" s="501">
        <f>IF($D279="","",AVERAGE(終値!E279:X279))</f>
        <v>3177.8947368421054</v>
      </c>
      <c r="F279" s="502">
        <f>IF($D279="","",STDEVP(終値!E279:X279))</f>
        <v>118.92009468406756</v>
      </c>
      <c r="G279" s="501">
        <f>IF($D279="","",$E279+BB設定!$B$4*$F279)</f>
        <v>3415.7349262102407</v>
      </c>
      <c r="H279" s="501">
        <f>IF($D279="","",$E279+BB設定!$B$5*$F279)</f>
        <v>3296.8148315261728</v>
      </c>
      <c r="I279" s="501">
        <f>IF($D279="","",$E279-BB設定!$B$5*$F279)</f>
        <v>3058.974642158038</v>
      </c>
      <c r="J279" s="501">
        <f>IF($D279="","",$E279-BB設定!$B$4*$F279)</f>
        <v>2940.0545474739702</v>
      </c>
      <c r="K279" s="506">
        <f t="shared" si="44"/>
        <v>0.78822980574086121</v>
      </c>
      <c r="L279" s="505">
        <f t="shared" si="45"/>
        <v>14.96841205032981</v>
      </c>
      <c r="M279" s="505">
        <f>IF($D279="","",IFERROR(MIN(BB_帯幅!B279:AP279)*100,""))</f>
        <v>10.679615507259456</v>
      </c>
      <c r="N279" s="500" t="str">
        <f>IF($L279="","",IF($L279&lt;=$M279*BB設定!$B$7,"スクイーズ★",IF($L279&lt;=$M279*1.3,"収縮","－")))</f>
        <v>－</v>
      </c>
      <c r="O279" s="500" t="str">
        <f>IF($D279="","",IF(AND(BB_帯幅!B279&gt;BB_帯幅!C279,BB_帯幅!C279&gt;BB_帯幅!D279),"拡大↑","縮小↓"))</f>
        <v>縮小↓</v>
      </c>
      <c r="P279" s="500" t="str">
        <f t="shared" si="46"/>
        <v>+1σ上</v>
      </c>
      <c r="Q279" s="503">
        <f>IF($D279="","",IFERROR(100-100/(1+SUMPRODUCT((終値!E279:R279&gt;終値!F279:S279)*(終値!E279:R279-終値!F279:S279))/SUMPRODUCT((終値!E279:R279&lt;終値!F279:S279)*(終値!F279:S279-終値!E279:R279))),100))</f>
        <v>49.903636130026982</v>
      </c>
      <c r="R279" s="503">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50.182104075426274</v>
      </c>
      <c r="S279" s="500"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v>
      </c>
      <c r="T279" s="500" t="str">
        <f t="shared" si="47"/>
        <v>上walk▲</v>
      </c>
      <c r="U279" s="500" t="str">
        <f>IF(終値!A279="","",BB_スイング!BT279)</f>
        <v>－</v>
      </c>
      <c r="V279" s="508">
        <f>IF($D279="","",IFERROR(出来高!E279/AVERAGE(出来高!E279:I279),""))</f>
        <v>0.76407506702412864</v>
      </c>
      <c r="W279" s="509"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様子見</v>
      </c>
      <c r="X279" s="504">
        <f t="shared" si="53"/>
        <v>27</v>
      </c>
      <c r="Y279" s="501">
        <f t="shared" si="48"/>
        <v>3315</v>
      </c>
      <c r="Z279" s="501">
        <f t="shared" si="49"/>
        <v>3296.8148315261728</v>
      </c>
      <c r="AA279" s="501">
        <f t="shared" si="50"/>
        <v>3177.8947368421054</v>
      </c>
      <c r="AB279" s="501">
        <f t="shared" si="54"/>
        <v>3415.7349262102407</v>
      </c>
      <c r="AC279" s="507">
        <f t="shared" si="51"/>
        <v>0.73</v>
      </c>
      <c r="AD279" s="501">
        <f>IF($D279="","",MIN(終値!E279:I279))</f>
        <v>3095</v>
      </c>
      <c r="AE279" s="503">
        <f t="shared" si="52"/>
        <v>27.09721</v>
      </c>
    </row>
    <row r="280" spans="1:31">
      <c r="A280" s="500" t="str">
        <f>IF(終値!A280="","",HYPERLINK("https://kabutan.jp/stock/?code="&amp;終値!A280,"📈"))</f>
        <v>📈</v>
      </c>
      <c r="B280" s="500" t="str">
        <f>IF(終値!A280="","",終値!A280)</f>
        <v>6488</v>
      </c>
      <c r="C280" s="499" t="str">
        <f>IF(終値!A280="","",終値!B280)</f>
        <v>ヨシタケ</v>
      </c>
      <c r="D280" s="501">
        <f>IF(終値!A280="","",終値!E280)</f>
        <v>985</v>
      </c>
      <c r="E280" s="501">
        <f>IF($D280="","",AVERAGE(終値!E280:X280))</f>
        <v>979.05</v>
      </c>
      <c r="F280" s="502">
        <f>IF($D280="","",STDEVP(終値!E280:X280))</f>
        <v>8.3094825350318882</v>
      </c>
      <c r="G280" s="501">
        <f>IF($D280="","",$E280+BB設定!$B$4*$F280)</f>
        <v>995.66896507006368</v>
      </c>
      <c r="H280" s="501">
        <f>IF($D280="","",$E280+BB設定!$B$5*$F280)</f>
        <v>987.35948253503182</v>
      </c>
      <c r="I280" s="501">
        <f>IF($D280="","",$E280-BB設定!$B$5*$F280)</f>
        <v>970.74051746496809</v>
      </c>
      <c r="J280" s="501">
        <f>IF($D280="","",$E280-BB設定!$B$4*$F280)</f>
        <v>962.43103492993623</v>
      </c>
      <c r="K280" s="506">
        <f t="shared" si="44"/>
        <v>0.67901235049581909</v>
      </c>
      <c r="L280" s="505">
        <f t="shared" si="45"/>
        <v>3.3949165150020373</v>
      </c>
      <c r="M280" s="505">
        <f>IF($D280="","",IFERROR(MIN(BB_帯幅!B280:AP280)*100,""))</f>
        <v>3.3949165150020484</v>
      </c>
      <c r="N280" s="500" t="str">
        <f>IF($L280="","",IF($L280&lt;=$M280*BB設定!$B$7,"スクイーズ★",IF($L280&lt;=$M280*1.3,"収縮","－")))</f>
        <v>スクイーズ★</v>
      </c>
      <c r="O280" s="500" t="str">
        <f>IF($D280="","",IF(AND(BB_帯幅!B280&gt;BB_帯幅!C280,BB_帯幅!C280&gt;BB_帯幅!D280),"拡大↑","縮小↓"))</f>
        <v>縮小↓</v>
      </c>
      <c r="P280" s="500" t="str">
        <f t="shared" si="46"/>
        <v>バンド内</v>
      </c>
      <c r="Q280" s="503">
        <f>IF($D280="","",IFERROR(100-100/(1+SUMPRODUCT((終値!E280:R280&gt;終値!F280:S280)*(終値!E280:R280-終値!F280:S280))/SUMPRODUCT((終値!E280:R280&lt;終値!F280:S280)*(終値!F280:S280-終値!E280:R280))),100))</f>
        <v>54.794520547945204</v>
      </c>
      <c r="R280" s="503">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54.246149136966928</v>
      </c>
      <c r="S280" s="500"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0" t="str">
        <f t="shared" si="47"/>
        <v>－</v>
      </c>
      <c r="U280" s="500" t="str">
        <f>IF(終値!A280="","",BB_スイング!BT280)</f>
        <v>－</v>
      </c>
      <c r="V280" s="508">
        <f>IF($D280="","",IFERROR(出来高!E280/AVERAGE(出来高!E280:I280),""))</f>
        <v>8.4541062801932368E-2</v>
      </c>
      <c r="W280" s="509"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☆スクイーズ監視</v>
      </c>
      <c r="X280" s="504">
        <f t="shared" si="53"/>
        <v>40</v>
      </c>
      <c r="Y280" s="501">
        <f t="shared" si="48"/>
        <v>985</v>
      </c>
      <c r="Z280" s="501">
        <f t="shared" si="49"/>
        <v>987.35948253503182</v>
      </c>
      <c r="AA280" s="501">
        <f t="shared" si="50"/>
        <v>979.05</v>
      </c>
      <c r="AB280" s="501">
        <f t="shared" si="54"/>
        <v>995.66896507006368</v>
      </c>
      <c r="AC280" s="507">
        <f t="shared" si="51"/>
        <v>1.79</v>
      </c>
      <c r="AD280" s="501">
        <f>IF($D280="","",MIN(終値!E280:I280))</f>
        <v>980</v>
      </c>
      <c r="AE280" s="503">
        <f t="shared" si="52"/>
        <v>40.097200000000001</v>
      </c>
    </row>
    <row r="281" spans="1:31">
      <c r="A281" s="500" t="str">
        <f>IF(終値!A281="","",HYPERLINK("https://kabutan.jp/stock/?code="&amp;終値!A281,"📈"))</f>
        <v>📈</v>
      </c>
      <c r="B281" s="500" t="str">
        <f>IF(終値!A281="","",終値!A281)</f>
        <v>8007</v>
      </c>
      <c r="C281" s="499" t="str">
        <f>IF(終値!A281="","",終値!B281)</f>
        <v>高島</v>
      </c>
      <c r="D281" s="501">
        <f>IF(終値!A281="","",終値!E281)</f>
        <v>785</v>
      </c>
      <c r="E281" s="501">
        <f>IF($D281="","",AVERAGE(終値!E281:X281))</f>
        <v>791.75</v>
      </c>
      <c r="F281" s="502">
        <f>IF($D281="","",STDEVP(終値!E281:X281))</f>
        <v>12.89525106386068</v>
      </c>
      <c r="G281" s="501">
        <f>IF($D281="","",$E281+BB設定!$B$4*$F281)</f>
        <v>817.54050212772131</v>
      </c>
      <c r="H281" s="501">
        <f>IF($D281="","",$E281+BB設定!$B$5*$F281)</f>
        <v>804.64525106386066</v>
      </c>
      <c r="I281" s="501">
        <f>IF($D281="","",$E281-BB設定!$B$5*$F281)</f>
        <v>778.85474893613934</v>
      </c>
      <c r="J281" s="501">
        <f>IF($D281="","",$E281-BB設定!$B$4*$F281)</f>
        <v>765.95949787227869</v>
      </c>
      <c r="K281" s="506">
        <f t="shared" si="44"/>
        <v>0.36913787163638312</v>
      </c>
      <c r="L281" s="505">
        <f t="shared" si="45"/>
        <v>6.5148095049501258</v>
      </c>
      <c r="M281" s="505">
        <f>IF($D281="","",IFERROR(MIN(BB_帯幅!B281:AP281)*100,""))</f>
        <v>4.826433247219974</v>
      </c>
      <c r="N281" s="500" t="str">
        <f>IF($L281="","",IF($L281&lt;=$M281*BB設定!$B$7,"スクイーズ★",IF($L281&lt;=$M281*1.3,"収縮","－")))</f>
        <v>－</v>
      </c>
      <c r="O281" s="500" t="str">
        <f>IF($D281="","",IF(AND(BB_帯幅!B281&gt;BB_帯幅!C281,BB_帯幅!C281&gt;BB_帯幅!D281),"拡大↑","縮小↓"))</f>
        <v>縮小↓</v>
      </c>
      <c r="P281" s="500" t="str">
        <f t="shared" si="46"/>
        <v>バンド内</v>
      </c>
      <c r="Q281" s="503">
        <f>IF($D281="","",IFERROR(100-100/(1+SUMPRODUCT((終値!E281:R281&gt;終値!F281:S281)*(終値!E281:R281-終値!F281:S281))/SUMPRODUCT((終値!E281:R281&lt;終値!F281:S281)*(終値!F281:S281-終値!E281:R281))),100))</f>
        <v>47.191011235955052</v>
      </c>
      <c r="R281" s="503">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48.0206076439014</v>
      </c>
      <c r="S281" s="500"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v>
      </c>
      <c r="T281" s="500" t="str">
        <f t="shared" si="47"/>
        <v>－</v>
      </c>
      <c r="U281" s="500" t="str">
        <f>IF(終値!A281="","",BB_スイング!BT281)</f>
        <v>－</v>
      </c>
      <c r="V281" s="508">
        <f>IF($D281="","",IFERROR(出来高!E281/AVERAGE(出来高!E281:I281),""))</f>
        <v>2.2649249021835165</v>
      </c>
      <c r="W281" s="509"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4">
        <f t="shared" si="53"/>
        <v>10</v>
      </c>
      <c r="Y281" s="501">
        <f t="shared" si="48"/>
        <v>785</v>
      </c>
      <c r="Z281" s="501">
        <f t="shared" si="49"/>
        <v>804.64525106386066</v>
      </c>
      <c r="AA281" s="501">
        <f t="shared" si="50"/>
        <v>785</v>
      </c>
      <c r="AB281" s="501">
        <f t="shared" si="54"/>
        <v>817.54050212772131</v>
      </c>
      <c r="AC281" s="507" t="str">
        <f t="shared" si="51"/>
        <v>－</v>
      </c>
      <c r="AD281" s="501">
        <f>IF($D281="","",MIN(終値!E281:I281))</f>
        <v>785</v>
      </c>
      <c r="AE281" s="503">
        <f t="shared" si="52"/>
        <v>10.097189999999999</v>
      </c>
    </row>
    <row r="282" spans="1:31">
      <c r="A282" s="500" t="str">
        <f>IF(終値!A282="","",HYPERLINK("https://kabutan.jp/stock/?code="&amp;終値!A282,"📈"))</f>
        <v>📈</v>
      </c>
      <c r="B282" s="500" t="str">
        <f>IF(終値!A282="","",終値!A282)</f>
        <v>4218</v>
      </c>
      <c r="C282" s="499" t="str">
        <f>IF(終値!A282="","",終値!B282)</f>
        <v>ニチバン</v>
      </c>
      <c r="D282" s="501">
        <f>IF(終値!A282="","",終値!E282)</f>
        <v>1962</v>
      </c>
      <c r="E282" s="501">
        <f>IF($D282="","",AVERAGE(終値!E282:X282))</f>
        <v>1927.15</v>
      </c>
      <c r="F282" s="502">
        <f>IF($D282="","",STDEVP(終値!E282:X282))</f>
        <v>22.086817335234155</v>
      </c>
      <c r="G282" s="501">
        <f>IF($D282="","",$E282+BB設定!$B$4*$F282)</f>
        <v>1971.3236346704684</v>
      </c>
      <c r="H282" s="501">
        <f>IF($D282="","",$E282+BB設定!$B$5*$F282)</f>
        <v>1949.2368173352343</v>
      </c>
      <c r="I282" s="501">
        <f>IF($D282="","",$E282-BB設定!$B$5*$F282)</f>
        <v>1905.0631826647659</v>
      </c>
      <c r="J282" s="501">
        <f>IF($D282="","",$E282-BB設定!$B$4*$F282)</f>
        <v>1882.9763653295317</v>
      </c>
      <c r="K282" s="506">
        <f t="shared" si="44"/>
        <v>0.89446606850418831</v>
      </c>
      <c r="L282" s="505">
        <f t="shared" si="45"/>
        <v>4.5843483559108877</v>
      </c>
      <c r="M282" s="505">
        <f>IF($D282="","",IFERROR(MIN(BB_帯幅!B282:AP282)*100,""))</f>
        <v>3.6225207288216406</v>
      </c>
      <c r="N282" s="500" t="str">
        <f>IF($L282="","",IF($L282&lt;=$M282*BB設定!$B$7,"スクイーズ★",IF($L282&lt;=$M282*1.3,"収縮","－")))</f>
        <v>収縮</v>
      </c>
      <c r="O282" s="500" t="str">
        <f>IF($D282="","",IF(AND(BB_帯幅!B282&gt;BB_帯幅!C282,BB_帯幅!C282&gt;BB_帯幅!D282),"拡大↑","縮小↓"))</f>
        <v>縮小↓</v>
      </c>
      <c r="P282" s="500" t="str">
        <f t="shared" si="46"/>
        <v>+1σ上</v>
      </c>
      <c r="Q282" s="503">
        <f>IF($D282="","",IFERROR(100-100/(1+SUMPRODUCT((終値!E282:R282&gt;終値!F282:S282)*(終値!E282:R282-終値!F282:S282))/SUMPRODUCT((終値!E282:R282&lt;終値!F282:S282)*(終値!F282:S282-終値!E282:R282))),100))</f>
        <v>63.15789473684211</v>
      </c>
      <c r="R282" s="503">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41.046048866958721</v>
      </c>
      <c r="S282" s="500"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v>
      </c>
      <c r="T282" s="500" t="str">
        <f t="shared" si="47"/>
        <v>上walk▲</v>
      </c>
      <c r="U282" s="500" t="str">
        <f>IF(終値!A282="","",BB_スイング!BT282)</f>
        <v>二番底W形成</v>
      </c>
      <c r="V282" s="508">
        <f>IF($D282="","",IFERROR(出来高!E282/AVERAGE(出来高!E282:I282),""))</f>
        <v>0.70641282565130259</v>
      </c>
      <c r="W282" s="509"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△二番底形成</v>
      </c>
      <c r="X282" s="504">
        <f t="shared" si="53"/>
        <v>37</v>
      </c>
      <c r="Y282" s="501">
        <f t="shared" si="48"/>
        <v>1962</v>
      </c>
      <c r="Z282" s="501">
        <f t="shared" si="49"/>
        <v>1949.2368173352343</v>
      </c>
      <c r="AA282" s="501">
        <f t="shared" si="50"/>
        <v>1927.15</v>
      </c>
      <c r="AB282" s="501">
        <f t="shared" si="54"/>
        <v>1971.3236346704684</v>
      </c>
      <c r="AC282" s="507">
        <f t="shared" si="51"/>
        <v>0.27</v>
      </c>
      <c r="AD282" s="501">
        <f>IF($D282="","",MIN(終値!E282:I282))</f>
        <v>1928</v>
      </c>
      <c r="AE282" s="503">
        <f t="shared" si="52"/>
        <v>37.097180000000002</v>
      </c>
    </row>
    <row r="283" spans="1:31" ht="24">
      <c r="A283" s="500" t="str">
        <f>IF(終値!A283="","",HYPERLINK("https://kabutan.jp/stock/?code="&amp;終値!A283,"📈"))</f>
        <v>📈</v>
      </c>
      <c r="B283" s="500" t="str">
        <f>IF(終値!A283="","",終値!A283)</f>
        <v>7735</v>
      </c>
      <c r="C283" s="499" t="str">
        <f>IF(終値!A283="","",終値!B283)</f>
        <v>ＳＣＲＥＥＮホールディングス</v>
      </c>
      <c r="D283" s="501">
        <f>IF(終値!A283="","",終値!E283)</f>
        <v>13690</v>
      </c>
      <c r="E283" s="501">
        <f>IF($D283="","",AVERAGE(終値!E283:X283))</f>
        <v>15465.25</v>
      </c>
      <c r="F283" s="502">
        <f>IF($D283="","",STDEVP(終値!E283:X283))</f>
        <v>2268.0225279965807</v>
      </c>
      <c r="G283" s="501">
        <f>IF($D283="","",$E283+BB設定!$B$4*$F283)</f>
        <v>20001.295055993163</v>
      </c>
      <c r="H283" s="501">
        <f>IF($D283="","",$E283+BB設定!$B$5*$F283)</f>
        <v>17733.272527996582</v>
      </c>
      <c r="I283" s="501">
        <f>IF($D283="","",$E283-BB設定!$B$5*$F283)</f>
        <v>13197.227472003418</v>
      </c>
      <c r="J283" s="501">
        <f>IF($D283="","",$E283-BB設定!$B$4*$F283)</f>
        <v>10929.204944006839</v>
      </c>
      <c r="K283" s="506">
        <f t="shared" si="44"/>
        <v>0.30431741990145295</v>
      </c>
      <c r="L283" s="505">
        <f t="shared" si="45"/>
        <v>58.661128090307791</v>
      </c>
      <c r="M283" s="505">
        <f>IF($D283="","",IFERROR(MIN(BB_帯幅!B283:AP283)*100,""))</f>
        <v>20.699497692352455</v>
      </c>
      <c r="N283" s="500" t="str">
        <f>IF($L283="","",IF($L283&lt;=$M283*BB設定!$B$7,"スクイーズ★",IF($L283&lt;=$M283*1.3,"収縮","－")))</f>
        <v>－</v>
      </c>
      <c r="O283" s="500" t="str">
        <f>IF($D283="","",IF(AND(BB_帯幅!B283&gt;BB_帯幅!C283,BB_帯幅!C283&gt;BB_帯幅!D283),"拡大↑","縮小↓"))</f>
        <v>拡大↑</v>
      </c>
      <c r="P283" s="500" t="str">
        <f t="shared" si="46"/>
        <v>バンド内</v>
      </c>
      <c r="Q283" s="503">
        <f>IF($D283="","",IFERROR(100-100/(1+SUMPRODUCT((終値!E283:R283&gt;終値!F283:S283)*(終値!E283:R283-終値!F283:S283))/SUMPRODUCT((終値!E283:R283&lt;終値!F283:S283)*(終値!F283:S283-終値!E283:R283))),100))</f>
        <v>26.160145586897187</v>
      </c>
      <c r="R283" s="503">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37.386290024335423</v>
      </c>
      <c r="S283" s="500"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0" t="str">
        <f t="shared" si="47"/>
        <v>－</v>
      </c>
      <c r="U283" s="500" t="str">
        <f>IF(終値!A283="","",BB_スイング!BT283)</f>
        <v>－</v>
      </c>
      <c r="V283" s="508">
        <f>IF($D283="","",IFERROR(出来高!E283/AVERAGE(出来高!E283:I283),""))</f>
        <v>0.83475078709571904</v>
      </c>
      <c r="W283" s="509"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様子見</v>
      </c>
      <c r="X283" s="504">
        <f t="shared" si="53"/>
        <v>0</v>
      </c>
      <c r="Y283" s="501">
        <f t="shared" si="48"/>
        <v>13690</v>
      </c>
      <c r="Z283" s="501">
        <f t="shared" si="49"/>
        <v>17733.272527996582</v>
      </c>
      <c r="AA283" s="501">
        <f t="shared" si="50"/>
        <v>12350</v>
      </c>
      <c r="AB283" s="501">
        <f t="shared" si="54"/>
        <v>20001.295055993163</v>
      </c>
      <c r="AC283" s="507">
        <f t="shared" si="51"/>
        <v>4.71</v>
      </c>
      <c r="AD283" s="501">
        <f>IF($D283="","",MIN(終値!E283:I283))</f>
        <v>12350</v>
      </c>
      <c r="AE283" s="503">
        <f t="shared" si="52"/>
        <v>9.7170000000000006E-2</v>
      </c>
    </row>
    <row r="284" spans="1:31">
      <c r="A284" s="500" t="str">
        <f>IF(終値!A284="","",HYPERLINK("https://kabutan.jp/stock/?code="&amp;終値!A284,"📈"))</f>
        <v>📈</v>
      </c>
      <c r="B284" s="500" t="str">
        <f>IF(終値!A284="","",終値!A284)</f>
        <v>3905</v>
      </c>
      <c r="C284" s="499" t="str">
        <f>IF(終値!A284="","",終値!B284)</f>
        <v>データセクション</v>
      </c>
      <c r="D284" s="501">
        <f>IF(終値!A284="","",終値!E284)</f>
        <v>1910</v>
      </c>
      <c r="E284" s="501">
        <f>IF($D284="","",AVERAGE(終値!E284:X284))</f>
        <v>2415.5500000000002</v>
      </c>
      <c r="F284" s="502">
        <f>IF($D284="","",STDEVP(終値!E284:X284))</f>
        <v>347.08708921537254</v>
      </c>
      <c r="G284" s="501">
        <f>IF($D284="","",$E284+BB設定!$B$4*$F284)</f>
        <v>3109.7241784307453</v>
      </c>
      <c r="H284" s="501">
        <f>IF($D284="","",$E284+BB設定!$B$5*$F284)</f>
        <v>2762.6370892153727</v>
      </c>
      <c r="I284" s="501">
        <f>IF($D284="","",$E284-BB設定!$B$5*$F284)</f>
        <v>2068.4629107846276</v>
      </c>
      <c r="J284" s="501">
        <f>IF($D284="","",$E284-BB設定!$B$4*$F284)</f>
        <v>1721.3758215692551</v>
      </c>
      <c r="K284" s="506">
        <f t="shared" si="44"/>
        <v>0.13586228376943524</v>
      </c>
      <c r="L284" s="505">
        <f t="shared" si="45"/>
        <v>57.47545514940655</v>
      </c>
      <c r="M284" s="505">
        <f>IF($D284="","",IFERROR(MIN(BB_帯幅!B284:AP284)*100,""))</f>
        <v>36.459052201422097</v>
      </c>
      <c r="N284" s="500" t="str">
        <f>IF($L284="","",IF($L284&lt;=$M284*BB設定!$B$7,"スクイーズ★",IF($L284&lt;=$M284*1.3,"収縮","－")))</f>
        <v>－</v>
      </c>
      <c r="O284" s="500" t="str">
        <f>IF($D284="","",IF(AND(BB_帯幅!B284&gt;BB_帯幅!C284,BB_帯幅!C284&gt;BB_帯幅!D284),"拡大↑","縮小↓"))</f>
        <v>縮小↓</v>
      </c>
      <c r="P284" s="500" t="str">
        <f t="shared" si="46"/>
        <v>-1σ下</v>
      </c>
      <c r="Q284" s="503">
        <f>IF($D284="","",IFERROR(100-100/(1+SUMPRODUCT((終値!E284:R284&gt;終値!F284:S284)*(終値!E284:R284-終値!F284:S284))/SUMPRODUCT((終値!E284:R284&lt;終値!F284:S284)*(終値!F284:S284-終値!E284:R284))),100))</f>
        <v>22.543059777102329</v>
      </c>
      <c r="R284" s="503">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38.951484097458064</v>
      </c>
      <c r="S284" s="500"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v>
      </c>
      <c r="T284" s="500" t="str">
        <f t="shared" si="47"/>
        <v>下walk▼</v>
      </c>
      <c r="U284" s="500" t="str">
        <f>IF(終値!A284="","",BB_スイング!BT284)</f>
        <v>－</v>
      </c>
      <c r="V284" s="508">
        <f>IF($D284="","",IFERROR(出来高!E284/AVERAGE(出来高!E284:I284),""))</f>
        <v>1.4731250889775802</v>
      </c>
      <c r="W284" s="509"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4">
        <f t="shared" si="53"/>
        <v>0</v>
      </c>
      <c r="Y284" s="501">
        <f t="shared" si="48"/>
        <v>1910</v>
      </c>
      <c r="Z284" s="501">
        <f t="shared" si="49"/>
        <v>2762.6370892153727</v>
      </c>
      <c r="AA284" s="501">
        <f t="shared" si="50"/>
        <v>1910</v>
      </c>
      <c r="AB284" s="501">
        <f t="shared" si="54"/>
        <v>3109.7241784307453</v>
      </c>
      <c r="AC284" s="507" t="str">
        <f t="shared" si="51"/>
        <v>－</v>
      </c>
      <c r="AD284" s="501">
        <f>IF($D284="","",MIN(終値!E284:I284))</f>
        <v>1910</v>
      </c>
      <c r="AE284" s="503">
        <f t="shared" si="52"/>
        <v>9.7159999999999996E-2</v>
      </c>
    </row>
    <row r="285" spans="1:31" ht="24">
      <c r="A285" s="500" t="str">
        <f>IF(終値!A285="","",HYPERLINK("https://kabutan.jp/stock/?code="&amp;終値!A285,"📈"))</f>
        <v>📈</v>
      </c>
      <c r="B285" s="500" t="str">
        <f>IF(終値!A285="","",終値!A285)</f>
        <v>3397</v>
      </c>
      <c r="C285" s="499" t="str">
        <f>IF(終値!A285="","",終値!B285)</f>
        <v>トリドールホールディングス</v>
      </c>
      <c r="D285" s="501">
        <f>IF(終値!A285="","",終値!E285)</f>
        <v>4187</v>
      </c>
      <c r="E285" s="501">
        <f>IF($D285="","",AVERAGE(終値!E285:X285))</f>
        <v>4170.6499999999996</v>
      </c>
      <c r="F285" s="502">
        <f>IF($D285="","",STDEVP(終値!E285:X285))</f>
        <v>160.52173528840262</v>
      </c>
      <c r="G285" s="501">
        <f>IF($D285="","",$E285+BB設定!$B$4*$F285)</f>
        <v>4491.6934705768053</v>
      </c>
      <c r="H285" s="501">
        <f>IF($D285="","",$E285+BB設定!$B$5*$F285)</f>
        <v>4331.1717352884025</v>
      </c>
      <c r="I285" s="501">
        <f>IF($D285="","",$E285-BB設定!$B$5*$F285)</f>
        <v>4010.1282647115968</v>
      </c>
      <c r="J285" s="501">
        <f>IF($D285="","",$E285-BB設定!$B$4*$F285)</f>
        <v>3849.6065294231944</v>
      </c>
      <c r="K285" s="506">
        <f t="shared" si="44"/>
        <v>0.5254638413461965</v>
      </c>
      <c r="L285" s="505">
        <f t="shared" si="45"/>
        <v>15.395368615290447</v>
      </c>
      <c r="M285" s="505">
        <f>IF($D285="","",IFERROR(MIN(BB_帯幅!B285:AP285)*100,""))</f>
        <v>6.5552966077239576</v>
      </c>
      <c r="N285" s="500" t="str">
        <f>IF($L285="","",IF($L285&lt;=$M285*BB設定!$B$7,"スクイーズ★",IF($L285&lt;=$M285*1.3,"収縮","－")))</f>
        <v>－</v>
      </c>
      <c r="O285" s="500" t="str">
        <f>IF($D285="","",IF(AND(BB_帯幅!B285&gt;BB_帯幅!C285,BB_帯幅!C285&gt;BB_帯幅!D285),"拡大↑","縮小↓"))</f>
        <v>縮小↓</v>
      </c>
      <c r="P285" s="500" t="str">
        <f t="shared" si="46"/>
        <v>バンド内</v>
      </c>
      <c r="Q285" s="503">
        <f>IF($D285="","",IFERROR(100-100/(1+SUMPRODUCT((終値!E285:R285&gt;終値!F285:S285)*(終値!E285:R285-終値!F285:S285))/SUMPRODUCT((終値!E285:R285&lt;終値!F285:S285)*(終値!F285:S285-終値!E285:R285))),100))</f>
        <v>54.622496147919883</v>
      </c>
      <c r="R285" s="503">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67.866787460645781</v>
      </c>
      <c r="S285" s="500"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0" t="str">
        <f t="shared" si="47"/>
        <v>－</v>
      </c>
      <c r="U285" s="500" t="str">
        <f>IF(終値!A285="","",BB_スイング!BT285)</f>
        <v>二番底W形成</v>
      </c>
      <c r="V285" s="508">
        <f>IF($D285="","",IFERROR(出来高!E285/AVERAGE(出来高!E285:I285),""))</f>
        <v>0.79548700371322478</v>
      </c>
      <c r="W285" s="509"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△二番底形成</v>
      </c>
      <c r="X285" s="504">
        <f t="shared" si="53"/>
        <v>25</v>
      </c>
      <c r="Y285" s="501">
        <f t="shared" si="48"/>
        <v>4187</v>
      </c>
      <c r="Z285" s="501">
        <f t="shared" si="49"/>
        <v>4331.1717352884025</v>
      </c>
      <c r="AA285" s="501">
        <f t="shared" si="50"/>
        <v>4170.6499999999996</v>
      </c>
      <c r="AB285" s="501">
        <f t="shared" si="54"/>
        <v>4491.6934705768053</v>
      </c>
      <c r="AC285" s="507">
        <f t="shared" si="51"/>
        <v>18.64</v>
      </c>
      <c r="AD285" s="501">
        <f>IF($D285="","",MIN(終値!E285:I285))</f>
        <v>4130</v>
      </c>
      <c r="AE285" s="503">
        <f t="shared" si="52"/>
        <v>25.097149999999999</v>
      </c>
    </row>
    <row r="286" spans="1:31">
      <c r="A286" s="500" t="str">
        <f>IF(終値!A286="","",HYPERLINK("https://kabutan.jp/stock/?code="&amp;終値!A286,"📈"))</f>
        <v>📈</v>
      </c>
      <c r="B286" s="500" t="str">
        <f>IF(終値!A286="","",終値!A286)</f>
        <v>7270</v>
      </c>
      <c r="C286" s="499" t="str">
        <f>IF(終値!A286="","",終値!B286)</f>
        <v>ＳＵＢＡＲＵ</v>
      </c>
      <c r="D286" s="501">
        <f>IF(終値!A286="","",終値!E286)</f>
        <v>2515</v>
      </c>
      <c r="E286" s="501">
        <f>IF($D286="","",AVERAGE(終値!E286:X286))</f>
        <v>2588.2750000000001</v>
      </c>
      <c r="F286" s="502">
        <f>IF($D286="","",STDEVP(終値!E286:X286))</f>
        <v>107.46295582664754</v>
      </c>
      <c r="G286" s="501">
        <f>IF($D286="","",$E286+BB設定!$B$4*$F286)</f>
        <v>2803.2009116532954</v>
      </c>
      <c r="H286" s="501">
        <f>IF($D286="","",$E286+BB設定!$B$5*$F286)</f>
        <v>2695.7379558266475</v>
      </c>
      <c r="I286" s="501">
        <f>IF($D286="","",$E286-BB設定!$B$5*$F286)</f>
        <v>2480.8120441733527</v>
      </c>
      <c r="J286" s="501">
        <f>IF($D286="","",$E286-BB設定!$B$4*$F286)</f>
        <v>2373.3490883467048</v>
      </c>
      <c r="K286" s="506">
        <f t="shared" si="44"/>
        <v>0.32953428128711948</v>
      </c>
      <c r="L286" s="505">
        <f t="shared" si="45"/>
        <v>16.607656578477581</v>
      </c>
      <c r="M286" s="505">
        <f>IF($D286="","",IFERROR(MIN(BB_帯幅!B286:AP286)*100,""))</f>
        <v>7.4159275119102723</v>
      </c>
      <c r="N286" s="500" t="str">
        <f>IF($L286="","",IF($L286&lt;=$M286*BB設定!$B$7,"スクイーズ★",IF($L286&lt;=$M286*1.3,"収縮","－")))</f>
        <v>－</v>
      </c>
      <c r="O286" s="500" t="str">
        <f>IF($D286="","",IF(AND(BB_帯幅!B286&gt;BB_帯幅!C286,BB_帯幅!C286&gt;BB_帯幅!D286),"拡大↑","縮小↓"))</f>
        <v>拡大↑</v>
      </c>
      <c r="P286" s="500" t="str">
        <f t="shared" si="46"/>
        <v>バンド内</v>
      </c>
      <c r="Q286" s="503">
        <f>IF($D286="","",IFERROR(100-100/(1+SUMPRODUCT((終値!E286:R286&gt;終値!F286:S286)*(終値!E286:R286-終値!F286:S286))/SUMPRODUCT((終値!E286:R286&lt;終値!F286:S286)*(終値!F286:S286-終値!E286:R286))),100))</f>
        <v>50.874224478285392</v>
      </c>
      <c r="R286" s="503">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49.617883912527418</v>
      </c>
      <c r="S286" s="500"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0" t="str">
        <f t="shared" si="47"/>
        <v>－</v>
      </c>
      <c r="U286" s="500" t="str">
        <f>IF(終値!A286="","",BB_スイング!BT286)</f>
        <v>－</v>
      </c>
      <c r="V286" s="508">
        <f>IF($D286="","",IFERROR(出来高!E286/AVERAGE(出来高!E286:I286),""))</f>
        <v>1.1648218707248408</v>
      </c>
      <c r="W286" s="509"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様子見</v>
      </c>
      <c r="X286" s="504">
        <f t="shared" si="53"/>
        <v>10</v>
      </c>
      <c r="Y286" s="501">
        <f t="shared" si="48"/>
        <v>2515</v>
      </c>
      <c r="Z286" s="501">
        <f t="shared" si="49"/>
        <v>2695.7379558266475</v>
      </c>
      <c r="AA286" s="501">
        <f t="shared" si="50"/>
        <v>2475.5</v>
      </c>
      <c r="AB286" s="501">
        <f t="shared" si="54"/>
        <v>2803.2009116532954</v>
      </c>
      <c r="AC286" s="507">
        <f t="shared" si="51"/>
        <v>7.3</v>
      </c>
      <c r="AD286" s="501">
        <f>IF($D286="","",MIN(終値!E286:I286))</f>
        <v>2475.5</v>
      </c>
      <c r="AE286" s="503">
        <f t="shared" si="52"/>
        <v>10.09714</v>
      </c>
    </row>
    <row r="287" spans="1:31">
      <c r="A287" s="500" t="str">
        <f>IF(終値!A287="","",HYPERLINK("https://kabutan.jp/stock/?code="&amp;終値!A287,"📈"))</f>
        <v>📈</v>
      </c>
      <c r="B287" s="500" t="str">
        <f>IF(終値!A287="","",終値!A287)</f>
        <v>6736</v>
      </c>
      <c r="C287" s="499" t="str">
        <f>IF(終値!A287="","",終値!B287)</f>
        <v>サン電子</v>
      </c>
      <c r="D287" s="501">
        <f>IF(終値!A287="","",終値!E287)</f>
        <v>10810</v>
      </c>
      <c r="E287" s="501">
        <f>IF($D287="","",AVERAGE(終値!E287:X287))</f>
        <v>9669</v>
      </c>
      <c r="F287" s="502">
        <f>IF($D287="","",STDEVP(終値!E287:X287))</f>
        <v>650.51441183112922</v>
      </c>
      <c r="G287" s="501">
        <f>IF($D287="","",$E287+BB設定!$B$4*$F287)</f>
        <v>10970.028823662258</v>
      </c>
      <c r="H287" s="501">
        <f>IF($D287="","",$E287+BB設定!$B$5*$F287)</f>
        <v>10319.514411831129</v>
      </c>
      <c r="I287" s="501">
        <f>IF($D287="","",$E287-BB設定!$B$5*$F287)</f>
        <v>9018.4855881688709</v>
      </c>
      <c r="J287" s="501">
        <f>IF($D287="","",$E287-BB設定!$B$4*$F287)</f>
        <v>8367.9711763377418</v>
      </c>
      <c r="K287" s="506">
        <f t="shared" si="44"/>
        <v>0.93849912440379524</v>
      </c>
      <c r="L287" s="505">
        <f t="shared" si="45"/>
        <v>26.911341889797459</v>
      </c>
      <c r="M287" s="505">
        <f>IF($D287="","",IFERROR(MIN(BB_帯幅!B287:AP287)*100,""))</f>
        <v>8.5852282051242366</v>
      </c>
      <c r="N287" s="500" t="str">
        <f>IF($L287="","",IF($L287&lt;=$M287*BB設定!$B$7,"スクイーズ★",IF($L287&lt;=$M287*1.3,"収縮","－")))</f>
        <v>－</v>
      </c>
      <c r="O287" s="500" t="str">
        <f>IF($D287="","",IF(AND(BB_帯幅!B287&gt;BB_帯幅!C287,BB_帯幅!C287&gt;BB_帯幅!D287),"拡大↑","縮小↓"))</f>
        <v>縮小↓</v>
      </c>
      <c r="P287" s="500" t="str">
        <f t="shared" si="46"/>
        <v>+1σ上</v>
      </c>
      <c r="Q287" s="503">
        <f>IF($D287="","",IFERROR(100-100/(1+SUMPRODUCT((終値!E287:R287&gt;終値!F287:S287)*(終値!E287:R287-終値!F287:S287))/SUMPRODUCT((終値!E287:R287&lt;終値!F287:S287)*(終値!F287:S287-終値!E287:R287))),100))</f>
        <v>69.555555555555557</v>
      </c>
      <c r="R287" s="503">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55.408131473698433</v>
      </c>
      <c r="S287" s="500"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0" t="str">
        <f t="shared" si="47"/>
        <v>上walk▲</v>
      </c>
      <c r="U287" s="500" t="str">
        <f>IF(終値!A287="","",BB_スイング!BT287)</f>
        <v>二番底W▲</v>
      </c>
      <c r="V287" s="508">
        <f>IF($D287="","",IFERROR(出来高!E287/AVERAGE(出来高!E287:I287),""))</f>
        <v>1.2729748127978215</v>
      </c>
      <c r="W287" s="509"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△二番底買(確)</v>
      </c>
      <c r="X287" s="504">
        <f t="shared" si="53"/>
        <v>32</v>
      </c>
      <c r="Y287" s="501">
        <f t="shared" si="48"/>
        <v>10810</v>
      </c>
      <c r="Z287" s="501">
        <f t="shared" si="49"/>
        <v>10319.514411831129</v>
      </c>
      <c r="AA287" s="501">
        <f t="shared" si="50"/>
        <v>9669</v>
      </c>
      <c r="AB287" s="501">
        <f t="shared" si="54"/>
        <v>10970.028823662258</v>
      </c>
      <c r="AC287" s="507">
        <f t="shared" si="51"/>
        <v>0.14000000000000001</v>
      </c>
      <c r="AD287" s="501">
        <f>IF($D287="","",MIN(終値!E287:I287))</f>
        <v>9670</v>
      </c>
      <c r="AE287" s="503">
        <f t="shared" si="52"/>
        <v>32.09713</v>
      </c>
    </row>
    <row r="288" spans="1:31">
      <c r="A288" s="500" t="str">
        <f>IF(終値!A288="","",HYPERLINK("https://kabutan.jp/stock/?code="&amp;終値!A288,"📈"))</f>
        <v>📈</v>
      </c>
      <c r="B288" s="500" t="str">
        <f>IF(終値!A288="","",終値!A288)</f>
        <v>2933</v>
      </c>
      <c r="C288" s="499" t="str">
        <f>IF(終値!A288="","",終値!B288)</f>
        <v>紀文食品</v>
      </c>
      <c r="D288" s="501">
        <f>IF(終値!A288="","",終値!E288)</f>
        <v>1105</v>
      </c>
      <c r="E288" s="501">
        <f>IF($D288="","",AVERAGE(終値!E288:X288))</f>
        <v>1088.578947368421</v>
      </c>
      <c r="F288" s="502">
        <f>IF($D288="","",STDEVP(終値!E288:X288))</f>
        <v>11.877957424413394</v>
      </c>
      <c r="G288" s="501">
        <f>IF($D288="","",$E288+BB設定!$B$4*$F288)</f>
        <v>1112.3348622172477</v>
      </c>
      <c r="H288" s="501">
        <f>IF($D288="","",$E288+BB設定!$B$5*$F288)</f>
        <v>1100.4569047928344</v>
      </c>
      <c r="I288" s="501">
        <f>IF($D288="","",$E288-BB設定!$B$5*$F288)</f>
        <v>1076.7009899440077</v>
      </c>
      <c r="J288" s="501">
        <f>IF($D288="","",$E288-BB設定!$B$4*$F288)</f>
        <v>1064.8230325195943</v>
      </c>
      <c r="K288" s="506">
        <f t="shared" si="44"/>
        <v>0.84562029574689246</v>
      </c>
      <c r="L288" s="505">
        <f t="shared" si="45"/>
        <v>4.3645736317527186</v>
      </c>
      <c r="M288" s="505">
        <f>IF($D288="","",IFERROR(MIN(BB_帯幅!B288:AP288)*100,""))</f>
        <v>2.7974489271864305</v>
      </c>
      <c r="N288" s="500" t="str">
        <f>IF($L288="","",IF($L288&lt;=$M288*BB設定!$B$7,"スクイーズ★",IF($L288&lt;=$M288*1.3,"収縮","－")))</f>
        <v>－</v>
      </c>
      <c r="O288" s="500" t="str">
        <f>IF($D288="","",IF(AND(BB_帯幅!B288&gt;BB_帯幅!C288,BB_帯幅!C288&gt;BB_帯幅!D288),"拡大↑","縮小↓"))</f>
        <v>縮小↓</v>
      </c>
      <c r="P288" s="500" t="str">
        <f t="shared" si="46"/>
        <v>+1σ上</v>
      </c>
      <c r="Q288" s="503">
        <f>IF($D288="","",IFERROR(100-100/(1+SUMPRODUCT((終値!E288:R288&gt;終値!F288:S288)*(終値!E288:R288-終値!F288:S288))/SUMPRODUCT((終値!E288:R288&lt;終値!F288:S288)*(終値!F288:S288-終値!E288:R288))),100))</f>
        <v>50.585175552665795</v>
      </c>
      <c r="R288" s="503">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55.133260747516957</v>
      </c>
      <c r="S288" s="500"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弱気div▼</v>
      </c>
      <c r="T288" s="500" t="str">
        <f t="shared" si="47"/>
        <v>上walk▲</v>
      </c>
      <c r="U288" s="500" t="str">
        <f>IF(終値!A288="","",BB_スイング!BT288)</f>
        <v>－</v>
      </c>
      <c r="V288" s="508">
        <f>IF($D288="","",IFERROR(出来高!E288/AVERAGE(出来高!E288:I288),""))</f>
        <v>0.71819713563605725</v>
      </c>
      <c r="W288" s="509"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4">
        <f t="shared" si="53"/>
        <v>32</v>
      </c>
      <c r="Y288" s="501">
        <f t="shared" si="48"/>
        <v>1105</v>
      </c>
      <c r="Z288" s="501">
        <f t="shared" si="49"/>
        <v>1100.4569047928344</v>
      </c>
      <c r="AA288" s="501">
        <f t="shared" si="50"/>
        <v>1088.578947368421</v>
      </c>
      <c r="AB288" s="501">
        <f t="shared" si="54"/>
        <v>1112.3348622172477</v>
      </c>
      <c r="AC288" s="507">
        <f t="shared" si="51"/>
        <v>0.45</v>
      </c>
      <c r="AD288" s="501">
        <f>IF($D288="","",MIN(終値!E288:I288))</f>
        <v>1085</v>
      </c>
      <c r="AE288" s="503">
        <f t="shared" si="52"/>
        <v>32.097119999999997</v>
      </c>
    </row>
    <row r="289" spans="1:31">
      <c r="A289" s="500" t="str">
        <f>IF(終値!A289="","",HYPERLINK("https://kabutan.jp/stock/?code="&amp;終値!A289,"📈"))</f>
        <v>📈</v>
      </c>
      <c r="B289" s="500" t="str">
        <f>IF(終値!A289="","",終値!A289)</f>
        <v>4047</v>
      </c>
      <c r="C289" s="499" t="str">
        <f>IF(終値!A289="","",終値!B289)</f>
        <v>関東電化</v>
      </c>
      <c r="D289" s="501">
        <f>IF(終値!A289="","",終値!E289)</f>
        <v>2877</v>
      </c>
      <c r="E289" s="501">
        <f>IF($D289="","",AVERAGE(終値!E289:X289))</f>
        <v>2837.6</v>
      </c>
      <c r="F289" s="502">
        <f>IF($D289="","",STDEVP(終値!E289:X289))</f>
        <v>203.90497786959492</v>
      </c>
      <c r="G289" s="501">
        <f>IF($D289="","",$E289+BB設定!$B$4*$F289)</f>
        <v>3245.4099557391896</v>
      </c>
      <c r="H289" s="501">
        <f>IF($D289="","",$E289+BB設定!$B$5*$F289)</f>
        <v>3041.5049778695948</v>
      </c>
      <c r="I289" s="501">
        <f>IF($D289="","",$E289-BB設定!$B$5*$F289)</f>
        <v>2633.6950221304051</v>
      </c>
      <c r="J289" s="501">
        <f>IF($D289="","",$E289-BB設定!$B$4*$F289)</f>
        <v>2429.7900442608102</v>
      </c>
      <c r="K289" s="506">
        <f t="shared" si="44"/>
        <v>0.54830681478653986</v>
      </c>
      <c r="L289" s="505">
        <f t="shared" si="45"/>
        <v>28.743301081138267</v>
      </c>
      <c r="M289" s="505">
        <f>IF($D289="","",IFERROR(MIN(BB_帯幅!B289:AP289)*100,""))</f>
        <v>20.35540778597036</v>
      </c>
      <c r="N289" s="500" t="str">
        <f>IF($L289="","",IF($L289&lt;=$M289*BB設定!$B$7,"スクイーズ★",IF($L289&lt;=$M289*1.3,"収縮","－")))</f>
        <v>－</v>
      </c>
      <c r="O289" s="500" t="str">
        <f>IF($D289="","",IF(AND(BB_帯幅!B289&gt;BB_帯幅!C289,BB_帯幅!C289&gt;BB_帯幅!D289),"拡大↑","縮小↓"))</f>
        <v>縮小↓</v>
      </c>
      <c r="P289" s="500" t="str">
        <f t="shared" si="46"/>
        <v>バンド内</v>
      </c>
      <c r="Q289" s="503">
        <f>IF($D289="","",IFERROR(100-100/(1+SUMPRODUCT((終値!E289:R289&gt;終値!F289:S289)*(終値!E289:R289-終値!F289:S289))/SUMPRODUCT((終値!E289:R289&lt;終値!F289:S289)*(終値!F289:S289-終値!E289:R289))),100))</f>
        <v>45.486815415821503</v>
      </c>
      <c r="R289" s="503">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47.139144343389979</v>
      </c>
      <c r="S289" s="500"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強気div▲</v>
      </c>
      <c r="T289" s="500" t="str">
        <f t="shared" si="47"/>
        <v>－</v>
      </c>
      <c r="U289" s="500" t="str">
        <f>IF(終値!A289="","",BB_スイング!BT289)</f>
        <v>－</v>
      </c>
      <c r="V289" s="508">
        <f>IF($D289="","",IFERROR(出来高!E289/AVERAGE(出来高!E289:I289),""))</f>
        <v>0.88308823529411762</v>
      </c>
      <c r="W289" s="509"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○反発(ダイバ)買</v>
      </c>
      <c r="X289" s="504">
        <f t="shared" si="53"/>
        <v>25</v>
      </c>
      <c r="Y289" s="501">
        <f t="shared" si="48"/>
        <v>2877</v>
      </c>
      <c r="Z289" s="501">
        <f t="shared" si="49"/>
        <v>3041.5049778695948</v>
      </c>
      <c r="AA289" s="501">
        <f t="shared" si="50"/>
        <v>2837.6</v>
      </c>
      <c r="AB289" s="501">
        <f t="shared" si="54"/>
        <v>3245.4099557391896</v>
      </c>
      <c r="AC289" s="507">
        <f t="shared" si="51"/>
        <v>9.35</v>
      </c>
      <c r="AD289" s="501">
        <f>IF($D289="","",MIN(終値!E289:I289))</f>
        <v>2669</v>
      </c>
      <c r="AE289" s="503">
        <f t="shared" si="52"/>
        <v>25.097110000000001</v>
      </c>
    </row>
    <row r="290" spans="1:31">
      <c r="A290" s="500" t="str">
        <f>IF(終値!A290="","",HYPERLINK("https://kabutan.jp/stock/?code="&amp;終値!A290,"📈"))</f>
        <v>📈</v>
      </c>
      <c r="B290" s="500" t="str">
        <f>IF(終値!A290="","",終値!A290)</f>
        <v>6482</v>
      </c>
      <c r="C290" s="499" t="str">
        <f>IF(終値!A290="","",終値!B290)</f>
        <v>ＹＵＳＨＩＮ</v>
      </c>
      <c r="D290" s="501">
        <f>IF(終値!A290="","",終値!E290)</f>
        <v>682</v>
      </c>
      <c r="E290" s="501">
        <f>IF($D290="","",AVERAGE(終値!E290:X290))</f>
        <v>677.85</v>
      </c>
      <c r="F290" s="502">
        <f>IF($D290="","",STDEVP(終値!E290:X290))</f>
        <v>9.5670005748928446</v>
      </c>
      <c r="G290" s="501">
        <f>IF($D290="","",$E290+BB設定!$B$4*$F290)</f>
        <v>696.98400114978574</v>
      </c>
      <c r="H290" s="501">
        <f>IF($D290="","",$E290+BB設定!$B$5*$F290)</f>
        <v>687.41700057489288</v>
      </c>
      <c r="I290" s="501">
        <f>IF($D290="","",$E290-BB設定!$B$5*$F290)</f>
        <v>668.28299942510716</v>
      </c>
      <c r="J290" s="501">
        <f>IF($D290="","",$E290-BB設定!$B$4*$F290)</f>
        <v>658.71599885021431</v>
      </c>
      <c r="K290" s="506">
        <f t="shared" si="44"/>
        <v>0.60844569223950462</v>
      </c>
      <c r="L290" s="505">
        <f t="shared" si="45"/>
        <v>5.6454971305703969</v>
      </c>
      <c r="M290" s="505">
        <f>IF($D290="","",IFERROR(MIN(BB_帯幅!B290:AP290)*100,""))</f>
        <v>5.6454971305703889</v>
      </c>
      <c r="N290" s="500" t="str">
        <f>IF($L290="","",IF($L290&lt;=$M290*BB設定!$B$7,"スクイーズ★",IF($L290&lt;=$M290*1.3,"収縮","－")))</f>
        <v>スクイーズ★</v>
      </c>
      <c r="O290" s="500" t="str">
        <f>IF($D290="","",IF(AND(BB_帯幅!B290&gt;BB_帯幅!C290,BB_帯幅!C290&gt;BB_帯幅!D290),"拡大↑","縮小↓"))</f>
        <v>縮小↓</v>
      </c>
      <c r="P290" s="500" t="str">
        <f t="shared" si="46"/>
        <v>バンド内</v>
      </c>
      <c r="Q290" s="503">
        <f>IF($D290="","",IFERROR(100-100/(1+SUMPRODUCT((終値!E290:R290&gt;終値!F290:S290)*(終値!E290:R290-終値!F290:S290))/SUMPRODUCT((終値!E290:R290&lt;終値!F290:S290)*(終値!F290:S290-終値!E290:R290))),100))</f>
        <v>55.555555555555557</v>
      </c>
      <c r="R290" s="503">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70.21973482007995</v>
      </c>
      <c r="S290" s="500"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強気div▲</v>
      </c>
      <c r="T290" s="500" t="str">
        <f t="shared" si="47"/>
        <v>－</v>
      </c>
      <c r="U290" s="500" t="str">
        <f>IF(終値!A290="","",BB_スイング!BT290)</f>
        <v>二番底W形成</v>
      </c>
      <c r="V290" s="508">
        <f>IF($D290="","",IFERROR(出来高!E290/AVERAGE(出来高!E290:I290),""))</f>
        <v>0.63927617917531887</v>
      </c>
      <c r="W290" s="509"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○反発(ダイバ)買</v>
      </c>
      <c r="X290" s="504">
        <f t="shared" si="53"/>
        <v>60</v>
      </c>
      <c r="Y290" s="501">
        <f t="shared" si="48"/>
        <v>682</v>
      </c>
      <c r="Z290" s="501">
        <f t="shared" si="49"/>
        <v>687.41700057489288</v>
      </c>
      <c r="AA290" s="501">
        <f t="shared" si="50"/>
        <v>677.85</v>
      </c>
      <c r="AB290" s="501">
        <f t="shared" si="54"/>
        <v>696.98400114978574</v>
      </c>
      <c r="AC290" s="507">
        <f t="shared" si="51"/>
        <v>3.61</v>
      </c>
      <c r="AD290" s="501">
        <f>IF($D290="","",MIN(終値!E290:I290))</f>
        <v>663</v>
      </c>
      <c r="AE290" s="503">
        <f t="shared" si="52"/>
        <v>60.097099999999998</v>
      </c>
    </row>
    <row r="291" spans="1:31">
      <c r="A291" s="500" t="str">
        <f>IF(終値!A291="","",HYPERLINK("https://kabutan.jp/stock/?code="&amp;終値!A291,"📈"))</f>
        <v>📈</v>
      </c>
      <c r="B291" s="500" t="str">
        <f>IF(終値!A291="","",終値!A291)</f>
        <v>6706</v>
      </c>
      <c r="C291" s="499" t="str">
        <f>IF(終値!A291="","",終値!B291)</f>
        <v>電気興業</v>
      </c>
      <c r="D291" s="501">
        <f>IF(終値!A291="","",終値!E291)</f>
        <v>3220</v>
      </c>
      <c r="E291" s="501">
        <f>IF($D291="","",AVERAGE(終値!E291:X291))</f>
        <v>3030.1578947368421</v>
      </c>
      <c r="F291" s="502">
        <f>IF($D291="","",STDEVP(終値!E291:X291))</f>
        <v>78.122887783080998</v>
      </c>
      <c r="G291" s="501">
        <f>IF($D291="","",$E291+BB設定!$B$4*$F291)</f>
        <v>3186.4036703030042</v>
      </c>
      <c r="H291" s="501">
        <f>IF($D291="","",$E291+BB設定!$B$5*$F291)</f>
        <v>3108.2807825199229</v>
      </c>
      <c r="I291" s="501">
        <f>IF($D291="","",$E291-BB設定!$B$5*$F291)</f>
        <v>2952.0350069537612</v>
      </c>
      <c r="J291" s="501">
        <f>IF($D291="","",$E291-BB設定!$B$4*$F291)</f>
        <v>2873.9121191706799</v>
      </c>
      <c r="K291" s="506">
        <f t="shared" si="44"/>
        <v>1.1075111617426401</v>
      </c>
      <c r="L291" s="505">
        <f t="shared" si="45"/>
        <v>10.312715112143126</v>
      </c>
      <c r="M291" s="505">
        <f>IF($D291="","",IFERROR(MIN(BB_帯幅!B291:AP291)*100,""))</f>
        <v>4.3179076454733574</v>
      </c>
      <c r="N291" s="500" t="str">
        <f>IF($L291="","",IF($L291&lt;=$M291*BB設定!$B$7,"スクイーズ★",IF($L291&lt;=$M291*1.3,"収縮","－")))</f>
        <v>－</v>
      </c>
      <c r="O291" s="500" t="str">
        <f>IF($D291="","",IF(AND(BB_帯幅!B291&gt;BB_帯幅!C291,BB_帯幅!C291&gt;BB_帯幅!D291),"拡大↑","縮小↓"))</f>
        <v>拡大↑</v>
      </c>
      <c r="P291" s="500" t="str">
        <f t="shared" si="46"/>
        <v>↑+2σ突破</v>
      </c>
      <c r="Q291" s="503">
        <f>IF($D291="","",IFERROR(100-100/(1+SUMPRODUCT((終値!E291:R291&gt;終値!F291:S291)*(終値!E291:R291-終値!F291:S291))/SUMPRODUCT((終値!E291:R291&lt;終値!F291:S291)*(終値!F291:S291-終値!E291:R291))),100))</f>
        <v>51.433313216656607</v>
      </c>
      <c r="R291" s="503">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76.704546373448352</v>
      </c>
      <c r="S291" s="500"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0" t="str">
        <f t="shared" si="47"/>
        <v>上walk▲</v>
      </c>
      <c r="U291" s="500" t="str">
        <f>IF(終値!A291="","",BB_スイング!BT291)</f>
        <v>－</v>
      </c>
      <c r="V291" s="508">
        <f>IF($D291="","",IFERROR(出来高!E291/AVERAGE(出来高!E291:I291),""))</f>
        <v>1.2404712404712406</v>
      </c>
      <c r="W291" s="509"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様子見</v>
      </c>
      <c r="X291" s="504">
        <f t="shared" si="53"/>
        <v>55</v>
      </c>
      <c r="Y291" s="501">
        <f t="shared" si="48"/>
        <v>3220</v>
      </c>
      <c r="Z291" s="501">
        <f t="shared" si="49"/>
        <v>3108.2807825199229</v>
      </c>
      <c r="AA291" s="501">
        <f t="shared" si="50"/>
        <v>3030.1578947368421</v>
      </c>
      <c r="AB291" s="501">
        <f t="shared" si="54"/>
        <v>3264.5265580860851</v>
      </c>
      <c r="AC291" s="507">
        <f t="shared" si="51"/>
        <v>0.23</v>
      </c>
      <c r="AD291" s="501">
        <f>IF($D291="","",MIN(終値!E291:I291))</f>
        <v>3065</v>
      </c>
      <c r="AE291" s="503">
        <f t="shared" si="52"/>
        <v>55.097090000000001</v>
      </c>
    </row>
    <row r="292" spans="1:31">
      <c r="A292" s="500" t="str">
        <f>IF(終値!A292="","",HYPERLINK("https://kabutan.jp/stock/?code="&amp;終値!A292,"📈"))</f>
        <v>📈</v>
      </c>
      <c r="B292" s="500" t="str">
        <f>IF(終値!A292="","",終値!A292)</f>
        <v>8141</v>
      </c>
      <c r="C292" s="499" t="str">
        <f>IF(終値!A292="","",終値!B292)</f>
        <v>新光商事</v>
      </c>
      <c r="D292" s="501">
        <f>IF(終値!A292="","",終値!E292)</f>
        <v>1566</v>
      </c>
      <c r="E292" s="501">
        <f>IF($D292="","",AVERAGE(終値!E292:X292))</f>
        <v>1581.6842105263158</v>
      </c>
      <c r="F292" s="502">
        <f>IF($D292="","",STDEVP(終値!E292:X292))</f>
        <v>15.162462761976043</v>
      </c>
      <c r="G292" s="501">
        <f>IF($D292="","",$E292+BB設定!$B$4*$F292)</f>
        <v>1612.0091360502679</v>
      </c>
      <c r="H292" s="501">
        <f>IF($D292="","",$E292+BB設定!$B$5*$F292)</f>
        <v>1596.8466732882919</v>
      </c>
      <c r="I292" s="501">
        <f>IF($D292="","",$E292-BB設定!$B$5*$F292)</f>
        <v>1566.5217477643398</v>
      </c>
      <c r="J292" s="501">
        <f>IF($D292="","",$E292-BB設定!$B$4*$F292)</f>
        <v>1551.3592850023638</v>
      </c>
      <c r="K292" s="506">
        <f t="shared" si="44"/>
        <v>0.24139737764685182</v>
      </c>
      <c r="L292" s="505">
        <f t="shared" si="45"/>
        <v>3.8345107477378488</v>
      </c>
      <c r="M292" s="505">
        <f>IF($D292="","",IFERROR(MIN(BB_帯幅!B292:AP292)*100,""))</f>
        <v>1.4967241831391402</v>
      </c>
      <c r="N292" s="500" t="str">
        <f>IF($L292="","",IF($L292&lt;=$M292*BB設定!$B$7,"スクイーズ★",IF($L292&lt;=$M292*1.3,"収縮","－")))</f>
        <v>－</v>
      </c>
      <c r="O292" s="500" t="str">
        <f>IF($D292="","",IF(AND(BB_帯幅!B292&gt;BB_帯幅!C292,BB_帯幅!C292&gt;BB_帯幅!D292),"拡大↑","縮小↓"))</f>
        <v>拡大↑</v>
      </c>
      <c r="P292" s="500" t="str">
        <f t="shared" si="46"/>
        <v>-1σ下</v>
      </c>
      <c r="Q292" s="503">
        <f>IF($D292="","",IFERROR(100-100/(1+SUMPRODUCT((終値!E292:R292&gt;終値!F292:S292)*(終値!E292:R292-終値!F292:S292))/SUMPRODUCT((終値!E292:R292&lt;終値!F292:S292)*(終値!F292:S292-終値!E292:R292))),100))</f>
        <v>49.146341463414636</v>
      </c>
      <c r="R292" s="503">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19.793858490849573</v>
      </c>
      <c r="S292" s="500"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0" t="str">
        <f t="shared" si="47"/>
        <v>下walk▼</v>
      </c>
      <c r="U292" s="500" t="str">
        <f>IF(終値!A292="","",BB_スイング!BT292)</f>
        <v>－</v>
      </c>
      <c r="V292" s="508">
        <f>IF($D292="","",IFERROR(出来高!E292/AVERAGE(出来高!E292:I292),""))</f>
        <v>1.3584905660377358</v>
      </c>
      <c r="W292" s="509"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様子見</v>
      </c>
      <c r="X292" s="504">
        <f t="shared" si="53"/>
        <v>0</v>
      </c>
      <c r="Y292" s="501">
        <f t="shared" si="48"/>
        <v>1566</v>
      </c>
      <c r="Z292" s="501">
        <f t="shared" si="49"/>
        <v>1596.8466732882919</v>
      </c>
      <c r="AA292" s="501">
        <f t="shared" si="50"/>
        <v>1556</v>
      </c>
      <c r="AB292" s="501">
        <f t="shared" si="54"/>
        <v>1612.0091360502679</v>
      </c>
      <c r="AC292" s="507">
        <f t="shared" si="51"/>
        <v>4.5999999999999996</v>
      </c>
      <c r="AD292" s="501">
        <f>IF($D292="","",MIN(終値!E292:I292))</f>
        <v>1556</v>
      </c>
      <c r="AE292" s="503">
        <f t="shared" si="52"/>
        <v>9.708E-2</v>
      </c>
    </row>
    <row r="293" spans="1:31" ht="26.4">
      <c r="A293" s="500" t="str">
        <f>IF(終値!A293="","",HYPERLINK("https://kabutan.jp/stock/?code="&amp;終値!A293,"📈"))</f>
        <v>📈</v>
      </c>
      <c r="B293" s="500" t="str">
        <f>IF(終値!A293="","",終値!A293)</f>
        <v>8344</v>
      </c>
      <c r="C293" s="499" t="str">
        <f>IF(終値!A293="","",終値!B293)</f>
        <v>山形銀行</v>
      </c>
      <c r="D293" s="501">
        <f>IF(終値!A293="","",終値!E293)</f>
        <v>4235</v>
      </c>
      <c r="E293" s="501">
        <f>IF($D293="","",AVERAGE(終値!E293:X293))</f>
        <v>3868.5</v>
      </c>
      <c r="F293" s="502">
        <f>IF($D293="","",STDEVP(終値!E293:X293))</f>
        <v>162.03471850193094</v>
      </c>
      <c r="G293" s="501">
        <f>IF($D293="","",$E293+BB設定!$B$4*$F293)</f>
        <v>4192.5694370038618</v>
      </c>
      <c r="H293" s="501">
        <f>IF($D293="","",$E293+BB設定!$B$5*$F293)</f>
        <v>4030.5347185019309</v>
      </c>
      <c r="I293" s="501">
        <f>IF($D293="","",$E293-BB設定!$B$5*$F293)</f>
        <v>3706.4652814980691</v>
      </c>
      <c r="J293" s="501">
        <f>IF($D293="","",$E293-BB設定!$B$4*$F293)</f>
        <v>3544.4305629961382</v>
      </c>
      <c r="K293" s="506">
        <f t="shared" si="44"/>
        <v>1.065465233914719</v>
      </c>
      <c r="L293" s="505">
        <f t="shared" si="45"/>
        <v>16.754268424653578</v>
      </c>
      <c r="M293" s="505">
        <f>IF($D293="","",IFERROR(MIN(BB_帯幅!B293:AP293)*100,""))</f>
        <v>14.338979800189335</v>
      </c>
      <c r="N293" s="500" t="str">
        <f>IF($L293="","",IF($L293&lt;=$M293*BB設定!$B$7,"スクイーズ★",IF($L293&lt;=$M293*1.3,"収縮","－")))</f>
        <v>収縮</v>
      </c>
      <c r="O293" s="500" t="str">
        <f>IF($D293="","",IF(AND(BB_帯幅!B293&gt;BB_帯幅!C293,BB_帯幅!C293&gt;BB_帯幅!D293),"拡大↑","縮小↓"))</f>
        <v>拡大↑</v>
      </c>
      <c r="P293" s="500" t="str">
        <f t="shared" si="46"/>
        <v>↑+2σ突破</v>
      </c>
      <c r="Q293" s="503">
        <f>IF($D293="","",IFERROR(100-100/(1+SUMPRODUCT((終値!E293:R293&gt;終値!F293:S293)*(終値!E293:R293-終値!F293:S293))/SUMPRODUCT((終値!E293:R293&lt;終値!F293:S293)*(終値!F293:S293-終値!E293:R293))),100))</f>
        <v>57.922077922077918</v>
      </c>
      <c r="R293" s="503">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63.260242442502509</v>
      </c>
      <c r="S293" s="500"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弱気div▼</v>
      </c>
      <c r="T293" s="500" t="str">
        <f t="shared" si="47"/>
        <v>上walk▲</v>
      </c>
      <c r="U293" s="500" t="str">
        <f>IF(終値!A293="","",BB_スイング!BT293)</f>
        <v>二番底W▲</v>
      </c>
      <c r="V293" s="508">
        <f>IF($D293="","",IFERROR(出来高!E293/AVERAGE(出来高!E293:I293),""))</f>
        <v>1.2947240751970892</v>
      </c>
      <c r="W293" s="509"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◎スクイーズブレイク買</v>
      </c>
      <c r="X293" s="504">
        <f t="shared" si="53"/>
        <v>65</v>
      </c>
      <c r="Y293" s="501">
        <f t="shared" si="48"/>
        <v>4235</v>
      </c>
      <c r="Z293" s="501">
        <f t="shared" si="49"/>
        <v>4030.5347185019309</v>
      </c>
      <c r="AA293" s="501">
        <f t="shared" si="50"/>
        <v>3868.5</v>
      </c>
      <c r="AB293" s="501">
        <f t="shared" si="54"/>
        <v>4354.6041555057927</v>
      </c>
      <c r="AC293" s="507">
        <f t="shared" si="51"/>
        <v>0.33</v>
      </c>
      <c r="AD293" s="501">
        <f>IF($D293="","",MIN(終値!E293:I293))</f>
        <v>3740</v>
      </c>
      <c r="AE293" s="503">
        <f t="shared" si="52"/>
        <v>65.097070000000002</v>
      </c>
    </row>
    <row r="294" spans="1:31">
      <c r="A294" s="500" t="str">
        <f>IF(終値!A294="","",HYPERLINK("https://kabutan.jp/stock/?code="&amp;終値!A294,"📈"))</f>
        <v>📈</v>
      </c>
      <c r="B294" s="500" t="str">
        <f>IF(終値!A294="","",終値!A294)</f>
        <v>7414</v>
      </c>
      <c r="C294" s="499" t="str">
        <f>IF(終値!A294="","",終値!B294)</f>
        <v>小野建</v>
      </c>
      <c r="D294" s="501">
        <f>IF(終値!A294="","",終値!E294)</f>
        <v>1416</v>
      </c>
      <c r="E294" s="501">
        <f>IF($D294="","",AVERAGE(終値!E294:X294))</f>
        <v>1415.6315789473683</v>
      </c>
      <c r="F294" s="502">
        <f>IF($D294="","",STDEVP(終値!E294:X294))</f>
        <v>27.193672883142252</v>
      </c>
      <c r="G294" s="501">
        <f>IF($D294="","",$E294+BB設定!$B$4*$F294)</f>
        <v>1470.0189247136527</v>
      </c>
      <c r="H294" s="501">
        <f>IF($D294="","",$E294+BB設定!$B$5*$F294)</f>
        <v>1442.8252518305105</v>
      </c>
      <c r="I294" s="501">
        <f>IF($D294="","",$E294-BB設定!$B$5*$F294)</f>
        <v>1388.4379060642261</v>
      </c>
      <c r="J294" s="501">
        <f>IF($D294="","",$E294-BB設定!$B$4*$F294)</f>
        <v>1361.2442331810839</v>
      </c>
      <c r="K294" s="506">
        <f t="shared" si="44"/>
        <v>0.50338701077834236</v>
      </c>
      <c r="L294" s="505">
        <f t="shared" si="45"/>
        <v>7.6838277098516832</v>
      </c>
      <c r="M294" s="505">
        <f>IF($D294="","",IFERROR(MIN(BB_帯幅!B294:AP294)*100,""))</f>
        <v>2.6289452700139244</v>
      </c>
      <c r="N294" s="500" t="str">
        <f>IF($L294="","",IF($L294&lt;=$M294*BB設定!$B$7,"スクイーズ★",IF($L294&lt;=$M294*1.3,"収縮","－")))</f>
        <v>－</v>
      </c>
      <c r="O294" s="500" t="str">
        <f>IF($D294="","",IF(AND(BB_帯幅!B294&gt;BB_帯幅!C294,BB_帯幅!C294&gt;BB_帯幅!D294),"拡大↑","縮小↓"))</f>
        <v>縮小↓</v>
      </c>
      <c r="P294" s="500" t="str">
        <f t="shared" si="46"/>
        <v>バンド内</v>
      </c>
      <c r="Q294" s="503">
        <f>IF($D294="","",IFERROR(100-100/(1+SUMPRODUCT((終値!E294:R294&gt;終値!F294:S294)*(終値!E294:R294-終値!F294:S294))/SUMPRODUCT((終値!E294:R294&lt;終値!F294:S294)*(終値!F294:S294-終値!E294:R294))),100))</f>
        <v>49.901185770750985</v>
      </c>
      <c r="R294" s="503">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54.185212365200684</v>
      </c>
      <c r="S294" s="500"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0" t="str">
        <f t="shared" si="47"/>
        <v>－</v>
      </c>
      <c r="U294" s="500" t="str">
        <f>IF(終値!A294="","",BB_スイング!BT294)</f>
        <v>－</v>
      </c>
      <c r="V294" s="508">
        <f>IF($D294="","",IFERROR(出来高!E294/AVERAGE(出来高!E294:I294),""))</f>
        <v>1.1407888167748377</v>
      </c>
      <c r="W294" s="509"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・押し目注目</v>
      </c>
      <c r="X294" s="504">
        <f t="shared" si="53"/>
        <v>15</v>
      </c>
      <c r="Y294" s="501">
        <f t="shared" si="48"/>
        <v>1416</v>
      </c>
      <c r="Z294" s="501">
        <f t="shared" si="49"/>
        <v>1442.8252518305105</v>
      </c>
      <c r="AA294" s="501">
        <f t="shared" si="50"/>
        <v>1415.6315789473683</v>
      </c>
      <c r="AB294" s="501">
        <f t="shared" si="54"/>
        <v>1470.0189247136527</v>
      </c>
      <c r="AC294" s="507">
        <f t="shared" si="51"/>
        <v>20</v>
      </c>
      <c r="AD294" s="501">
        <f>IF($D294="","",MIN(終値!E294:I294))</f>
        <v>1405</v>
      </c>
      <c r="AE294" s="503">
        <f t="shared" si="52"/>
        <v>15.097060000000001</v>
      </c>
    </row>
    <row r="295" spans="1:31">
      <c r="A295" s="500" t="str">
        <f>IF(終値!A295="","",HYPERLINK("https://kabutan.jp/stock/?code="&amp;終値!A295,"📈"))</f>
        <v>📈</v>
      </c>
      <c r="B295" s="500" t="str">
        <f>IF(終値!A295="","",終値!A295)</f>
        <v>6407</v>
      </c>
      <c r="C295" s="499" t="str">
        <f>IF(終値!A295="","",終値!B295)</f>
        <v>ＣＫＤ</v>
      </c>
      <c r="D295" s="501">
        <f>IF(終値!A295="","",終値!E295)</f>
        <v>6500</v>
      </c>
      <c r="E295" s="501">
        <f>IF($D295="","",AVERAGE(終値!E295:X295))</f>
        <v>6394.7368421052633</v>
      </c>
      <c r="F295" s="502">
        <f>IF($D295="","",STDEVP(終値!E295:X295))</f>
        <v>579.40412604177936</v>
      </c>
      <c r="G295" s="501">
        <f>IF($D295="","",$E295+BB設定!$B$4*$F295)</f>
        <v>7553.5450941888221</v>
      </c>
      <c r="H295" s="501">
        <f>IF($D295="","",$E295+BB設定!$B$5*$F295)</f>
        <v>6974.1409681470432</v>
      </c>
      <c r="I295" s="501">
        <f>IF($D295="","",$E295-BB設定!$B$5*$F295)</f>
        <v>5815.3327160634835</v>
      </c>
      <c r="J295" s="501">
        <f>IF($D295="","",$E295-BB設定!$B$4*$F295)</f>
        <v>5235.9285900217046</v>
      </c>
      <c r="K295" s="506">
        <f t="shared" si="44"/>
        <v>0.54541871258919306</v>
      </c>
      <c r="L295" s="505">
        <f t="shared" si="45"/>
        <v>36.242562616605127</v>
      </c>
      <c r="M295" s="505">
        <f>IF($D295="","",IFERROR(MIN(BB_帯幅!B295:AP295)*100,""))</f>
        <v>18.524729894338538</v>
      </c>
      <c r="N295" s="500" t="str">
        <f>IF($L295="","",IF($L295&lt;=$M295*BB設定!$B$7,"スクイーズ★",IF($L295&lt;=$M295*1.3,"収縮","－")))</f>
        <v>－</v>
      </c>
      <c r="O295" s="500" t="str">
        <f>IF($D295="","",IF(AND(BB_帯幅!B295&gt;BB_帯幅!C295,BB_帯幅!C295&gt;BB_帯幅!D295),"拡大↑","縮小↓"))</f>
        <v>縮小↓</v>
      </c>
      <c r="P295" s="500" t="str">
        <f t="shared" si="46"/>
        <v>バンド内</v>
      </c>
      <c r="Q295" s="503">
        <f>IF($D295="","",IFERROR(100-100/(1+SUMPRODUCT((終値!E295:R295&gt;終値!F295:S295)*(終値!E295:R295-終値!F295:S295))/SUMPRODUCT((終値!E295:R295&lt;終値!F295:S295)*(終値!F295:S295-終値!E295:R295))),100))</f>
        <v>48.008973639932691</v>
      </c>
      <c r="R295" s="503">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53.549657141770496</v>
      </c>
      <c r="S295" s="500"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強気div▲</v>
      </c>
      <c r="T295" s="500" t="str">
        <f t="shared" si="47"/>
        <v>－</v>
      </c>
      <c r="U295" s="500" t="str">
        <f>IF(終値!A295="","",BB_スイング!BT295)</f>
        <v>－</v>
      </c>
      <c r="V295" s="508">
        <f>IF($D295="","",IFERROR(出来高!E295/AVERAGE(出来高!E295:I295),""))</f>
        <v>0.84175314036045878</v>
      </c>
      <c r="W295" s="509"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○反発(ダイバ)買</v>
      </c>
      <c r="X295" s="504">
        <f t="shared" si="53"/>
        <v>30</v>
      </c>
      <c r="Y295" s="501">
        <f t="shared" si="48"/>
        <v>6500</v>
      </c>
      <c r="Z295" s="501">
        <f t="shared" si="49"/>
        <v>6974.1409681470432</v>
      </c>
      <c r="AA295" s="501">
        <f t="shared" si="50"/>
        <v>6394.7368421052633</v>
      </c>
      <c r="AB295" s="501">
        <f t="shared" si="54"/>
        <v>7553.5450941888221</v>
      </c>
      <c r="AC295" s="507">
        <f t="shared" si="51"/>
        <v>10.01</v>
      </c>
      <c r="AD295" s="501">
        <f>IF($D295="","",MIN(終値!E295:I295))</f>
        <v>5870</v>
      </c>
      <c r="AE295" s="503">
        <f t="shared" si="52"/>
        <v>30.097049999999999</v>
      </c>
    </row>
    <row r="296" spans="1:31">
      <c r="A296" s="500" t="str">
        <f>IF(終値!A296="","",HYPERLINK("https://kabutan.jp/stock/?code="&amp;終値!A296,"📈"))</f>
        <v>📈</v>
      </c>
      <c r="B296" s="500" t="str">
        <f>IF(終値!A296="","",終値!A296)</f>
        <v>7048</v>
      </c>
      <c r="C296" s="499" t="str">
        <f>IF(終値!A296="","",終値!B296)</f>
        <v>ベルトラ</v>
      </c>
      <c r="D296" s="501">
        <f>IF(終値!A296="","",終値!E296)</f>
        <v>159</v>
      </c>
      <c r="E296" s="501">
        <f>IF($D296="","",AVERAGE(終値!E296:X296))</f>
        <v>163.68421052631578</v>
      </c>
      <c r="F296" s="502">
        <f>IF($D296="","",STDEVP(終値!E296:X296))</f>
        <v>8.3164556695173388</v>
      </c>
      <c r="G296" s="501">
        <f>IF($D296="","",$E296+BB設定!$B$4*$F296)</f>
        <v>180.31712186535046</v>
      </c>
      <c r="H296" s="501">
        <f>IF($D296="","",$E296+BB設定!$B$5*$F296)</f>
        <v>172.00066619583311</v>
      </c>
      <c r="I296" s="501">
        <f>IF($D296="","",$E296-BB設定!$B$5*$F296)</f>
        <v>155.36775485679846</v>
      </c>
      <c r="J296" s="501">
        <f>IF($D296="","",$E296-BB設定!$B$4*$F296)</f>
        <v>147.0512991872811</v>
      </c>
      <c r="K296" s="506">
        <f t="shared" si="44"/>
        <v>0.35918849590321816</v>
      </c>
      <c r="L296" s="505">
        <f t="shared" si="45"/>
        <v>20.323171411039155</v>
      </c>
      <c r="M296" s="505">
        <f>IF($D296="","",IFERROR(MIN(BB_帯幅!B296:AP296)*100,""))</f>
        <v>16.582284753228635</v>
      </c>
      <c r="N296" s="500" t="str">
        <f>IF($L296="","",IF($L296&lt;=$M296*BB設定!$B$7,"スクイーズ★",IF($L296&lt;=$M296*1.3,"収縮","－")))</f>
        <v>収縮</v>
      </c>
      <c r="O296" s="500" t="str">
        <f>IF($D296="","",IF(AND(BB_帯幅!B296&gt;BB_帯幅!C296,BB_帯幅!C296&gt;BB_帯幅!D296),"拡大↑","縮小↓"))</f>
        <v>拡大↑</v>
      </c>
      <c r="P296" s="500" t="str">
        <f t="shared" si="46"/>
        <v>バンド内</v>
      </c>
      <c r="Q296" s="503">
        <f>IF($D296="","",IFERROR(100-100/(1+SUMPRODUCT((終値!E296:R296&gt;終値!F296:S296)*(終値!E296:R296-終値!F296:S296))/SUMPRODUCT((終値!E296:R296&lt;終値!F296:S296)*(終値!F296:S296-終値!E296:R296))),100))</f>
        <v>46.610169491525426</v>
      </c>
      <c r="R296" s="503">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38.53456417093571</v>
      </c>
      <c r="S296" s="500"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0" t="str">
        <f t="shared" si="47"/>
        <v>－</v>
      </c>
      <c r="U296" s="500" t="str">
        <f>IF(終値!A296="","",BB_スイング!BT296)</f>
        <v>二番天井M形成</v>
      </c>
      <c r="V296" s="508">
        <f>IF($D296="","",IFERROR(出来高!E296/AVERAGE(出来高!E296:I296),""))</f>
        <v>0.86275287584291949</v>
      </c>
      <c r="W296" s="509"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▼二番天井警戒</v>
      </c>
      <c r="X296" s="504">
        <f t="shared" si="53"/>
        <v>0</v>
      </c>
      <c r="Y296" s="501">
        <f t="shared" si="48"/>
        <v>159</v>
      </c>
      <c r="Z296" s="501">
        <f t="shared" si="49"/>
        <v>172.00066619583311</v>
      </c>
      <c r="AA296" s="501">
        <f t="shared" si="50"/>
        <v>157</v>
      </c>
      <c r="AB296" s="501">
        <f t="shared" si="54"/>
        <v>180.31712186535046</v>
      </c>
      <c r="AC296" s="507">
        <f t="shared" si="51"/>
        <v>10.66</v>
      </c>
      <c r="AD296" s="501">
        <f>IF($D296="","",MIN(終値!E296:I296))</f>
        <v>157</v>
      </c>
      <c r="AE296" s="503">
        <f t="shared" si="52"/>
        <v>9.7040000000000001E-2</v>
      </c>
    </row>
    <row r="297" spans="1:31" ht="24">
      <c r="A297" s="500" t="str">
        <f>IF(終値!A297="","",HYPERLINK("https://kabutan.jp/stock/?code="&amp;終値!A297,"📈"))</f>
        <v>📈</v>
      </c>
      <c r="B297" s="500" t="str">
        <f>IF(終値!A297="","",終値!A297)</f>
        <v>1808</v>
      </c>
      <c r="C297" s="499" t="str">
        <f>IF(終値!A297="","",終値!B297)</f>
        <v>長谷工コーポレーシヨン</v>
      </c>
      <c r="D297" s="501">
        <f>IF(終値!A297="","",終値!E297)</f>
        <v>2688.5</v>
      </c>
      <c r="E297" s="501">
        <f>IF($D297="","",AVERAGE(終値!E297:X297))</f>
        <v>2784.7249999999999</v>
      </c>
      <c r="F297" s="502">
        <f>IF($D297="","",STDEVP(終値!E297:X297))</f>
        <v>63.380887300510409</v>
      </c>
      <c r="G297" s="501">
        <f>IF($D297="","",$E297+BB設定!$B$4*$F297)</f>
        <v>2911.4867746010209</v>
      </c>
      <c r="H297" s="501">
        <f>IF($D297="","",$E297+BB設定!$B$5*$F297)</f>
        <v>2848.1058873005104</v>
      </c>
      <c r="I297" s="501">
        <f>IF($D297="","",$E297-BB設定!$B$5*$F297)</f>
        <v>2721.3441126994894</v>
      </c>
      <c r="J297" s="501">
        <f>IF($D297="","",$E297-BB設定!$B$4*$F297)</f>
        <v>2657.9632253989789</v>
      </c>
      <c r="K297" s="506">
        <f t="shared" si="44"/>
        <v>0.12044946000927603</v>
      </c>
      <c r="L297" s="505">
        <f t="shared" si="45"/>
        <v>9.1040784710174982</v>
      </c>
      <c r="M297" s="505">
        <f>IF($D297="","",IFERROR(MIN(BB_帯幅!B297:AP297)*100,""))</f>
        <v>4.6209661824654713</v>
      </c>
      <c r="N297" s="500" t="str">
        <f>IF($L297="","",IF($L297&lt;=$M297*BB設定!$B$7,"スクイーズ★",IF($L297&lt;=$M297*1.3,"収縮","－")))</f>
        <v>－</v>
      </c>
      <c r="O297" s="500" t="str">
        <f>IF($D297="","",IF(AND(BB_帯幅!B297&gt;BB_帯幅!C297,BB_帯幅!C297&gt;BB_帯幅!D297),"拡大↑","縮小↓"))</f>
        <v>拡大↑</v>
      </c>
      <c r="P297" s="500" t="str">
        <f t="shared" si="46"/>
        <v>-1σ下</v>
      </c>
      <c r="Q297" s="503">
        <f>IF($D297="","",IFERROR(100-100/(1+SUMPRODUCT((終値!E297:R297&gt;終値!F297:S297)*(終値!E297:R297-終値!F297:S297))/SUMPRODUCT((終値!E297:R297&lt;終値!F297:S297)*(終値!F297:S297-終値!E297:R297))),100))</f>
        <v>38.498098859315597</v>
      </c>
      <c r="R297" s="503">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37.345111957059572</v>
      </c>
      <c r="S297" s="500"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v>
      </c>
      <c r="T297" s="500" t="str">
        <f t="shared" si="47"/>
        <v>下walk▼</v>
      </c>
      <c r="U297" s="500" t="str">
        <f>IF(終値!A297="","",BB_スイング!BT297)</f>
        <v>二番天井M▼</v>
      </c>
      <c r="V297" s="508">
        <f>IF($D297="","",IFERROR(出来高!E297/AVERAGE(出来高!E297:I297),""))</f>
        <v>0.83107254540559572</v>
      </c>
      <c r="W297" s="509"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▼二番天井警戒</v>
      </c>
      <c r="X297" s="504">
        <f t="shared" si="53"/>
        <v>0</v>
      </c>
      <c r="Y297" s="501">
        <f t="shared" si="48"/>
        <v>2688.5</v>
      </c>
      <c r="Z297" s="501">
        <f t="shared" si="49"/>
        <v>2848.1058873005104</v>
      </c>
      <c r="AA297" s="501">
        <f t="shared" si="50"/>
        <v>2656</v>
      </c>
      <c r="AB297" s="501">
        <f t="shared" si="54"/>
        <v>2911.4867746010209</v>
      </c>
      <c r="AC297" s="507">
        <f t="shared" si="51"/>
        <v>6.86</v>
      </c>
      <c r="AD297" s="501">
        <f>IF($D297="","",MIN(終値!E297:I297))</f>
        <v>2656</v>
      </c>
      <c r="AE297" s="503">
        <f t="shared" si="52"/>
        <v>9.7030000000000005E-2</v>
      </c>
    </row>
    <row r="298" spans="1:31">
      <c r="A298" s="500" t="str">
        <f>IF(終値!A298="","",HYPERLINK("https://kabutan.jp/stock/?code="&amp;終値!A298,"📈"))</f>
        <v>📈</v>
      </c>
      <c r="B298" s="500" t="str">
        <f>IF(終値!A298="","",終値!A298)</f>
        <v>4208</v>
      </c>
      <c r="C298" s="499" t="str">
        <f>IF(終値!A298="","",終値!B298)</f>
        <v>ＵＢＥ</v>
      </c>
      <c r="D298" s="501">
        <f>IF(終値!A298="","",終値!E298)</f>
        <v>3280</v>
      </c>
      <c r="E298" s="501">
        <f>IF($D298="","",AVERAGE(終値!E298:X298))</f>
        <v>3205.1052631578946</v>
      </c>
      <c r="F298" s="502">
        <f>IF($D298="","",STDEVP(終値!E298:X298))</f>
        <v>55.403680988143833</v>
      </c>
      <c r="G298" s="501">
        <f>IF($D298="","",$E298+BB設定!$B$4*$F298)</f>
        <v>3315.9126251341822</v>
      </c>
      <c r="H298" s="501">
        <f>IF($D298="","",$E298+BB設定!$B$5*$F298)</f>
        <v>3260.5089441460386</v>
      </c>
      <c r="I298" s="501">
        <f>IF($D298="","",$E298-BB設定!$B$5*$F298)</f>
        <v>3149.7015821697505</v>
      </c>
      <c r="J298" s="501">
        <f>IF($D298="","",$E298-BB設定!$B$4*$F298)</f>
        <v>3094.2979011816069</v>
      </c>
      <c r="K298" s="506">
        <f t="shared" si="44"/>
        <v>0.83795018447480329</v>
      </c>
      <c r="L298" s="505">
        <f t="shared" si="45"/>
        <v>6.91442888007444</v>
      </c>
      <c r="M298" s="505">
        <f>IF($D298="","",IFERROR(MIN(BB_帯幅!B298:AP298)*100,""))</f>
        <v>5.4883959611780808</v>
      </c>
      <c r="N298" s="500" t="str">
        <f>IF($L298="","",IF($L298&lt;=$M298*BB設定!$B$7,"スクイーズ★",IF($L298&lt;=$M298*1.3,"収縮","－")))</f>
        <v>収縮</v>
      </c>
      <c r="O298" s="500" t="str">
        <f>IF($D298="","",IF(AND(BB_帯幅!B298&gt;BB_帯幅!C298,BB_帯幅!C298&gt;BB_帯幅!D298),"拡大↑","縮小↓"))</f>
        <v>縮小↓</v>
      </c>
      <c r="P298" s="500" t="str">
        <f t="shared" si="46"/>
        <v>+1σ上</v>
      </c>
      <c r="Q298" s="503">
        <f>IF($D298="","",IFERROR(100-100/(1+SUMPRODUCT((終値!E298:R298&gt;終値!F298:S298)*(終値!E298:R298-終値!F298:S298))/SUMPRODUCT((終値!E298:R298&lt;終値!F298:S298)*(終値!F298:S298-終値!E298:R298))),100))</f>
        <v>50.049428046886035</v>
      </c>
      <c r="R298" s="503">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55.142301776061601</v>
      </c>
      <c r="S298" s="500"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弱気div▼</v>
      </c>
      <c r="T298" s="500" t="str">
        <f t="shared" si="47"/>
        <v>上walk▲</v>
      </c>
      <c r="U298" s="500" t="str">
        <f>IF(終値!A298="","",BB_スイング!BT298)</f>
        <v>－</v>
      </c>
      <c r="V298" s="508">
        <f>IF($D298="","",IFERROR(出来高!E298/AVERAGE(出来高!E298:I298),""))</f>
        <v>0.91776645506181087</v>
      </c>
      <c r="W298" s="509"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様子見</v>
      </c>
      <c r="X298" s="504">
        <f t="shared" si="53"/>
        <v>42</v>
      </c>
      <c r="Y298" s="501">
        <f t="shared" si="48"/>
        <v>3280</v>
      </c>
      <c r="Z298" s="501">
        <f t="shared" si="49"/>
        <v>3260.5089441460386</v>
      </c>
      <c r="AA298" s="501">
        <f t="shared" si="50"/>
        <v>3205.1052631578946</v>
      </c>
      <c r="AB298" s="501">
        <f t="shared" si="54"/>
        <v>3315.9126251341822</v>
      </c>
      <c r="AC298" s="507">
        <f t="shared" si="51"/>
        <v>0.48</v>
      </c>
      <c r="AD298" s="501">
        <f>IF($D298="","",MIN(終値!E298:I298))</f>
        <v>3147</v>
      </c>
      <c r="AE298" s="503">
        <f t="shared" si="52"/>
        <v>42.097020000000001</v>
      </c>
    </row>
    <row r="299" spans="1:31" ht="36">
      <c r="A299" s="500" t="str">
        <f>IF(終値!A299="","",HYPERLINK("https://kabutan.jp/stock/?code="&amp;終値!A299,"📈"))</f>
        <v>📈</v>
      </c>
      <c r="B299" s="500" t="str">
        <f>IF(終値!A299="","",終値!A299)</f>
        <v>186A</v>
      </c>
      <c r="C299" s="499" t="str">
        <f>IF(終値!A299="","",終値!B299)</f>
        <v>アストロスケールホールディンク</v>
      </c>
      <c r="D299" s="501">
        <f>IF(終値!A299="","",終値!E299)</f>
        <v>1176</v>
      </c>
      <c r="E299" s="501">
        <f>IF($D299="","",AVERAGE(終値!E299:X299))</f>
        <v>1051.25</v>
      </c>
      <c r="F299" s="502">
        <f>IF($D299="","",STDEVP(終値!E299:X299))</f>
        <v>69.232127657612835</v>
      </c>
      <c r="G299" s="501">
        <f>IF($D299="","",$E299+BB設定!$B$4*$F299)</f>
        <v>1189.7142553152257</v>
      </c>
      <c r="H299" s="501">
        <f>IF($D299="","",$E299+BB設定!$B$5*$F299)</f>
        <v>1120.4821276576129</v>
      </c>
      <c r="I299" s="501">
        <f>IF($D299="","",$E299-BB設定!$B$5*$F299)</f>
        <v>982.01787234238714</v>
      </c>
      <c r="J299" s="501">
        <f>IF($D299="","",$E299-BB設定!$B$4*$F299)</f>
        <v>912.78574468477427</v>
      </c>
      <c r="K299" s="506">
        <f t="shared" si="44"/>
        <v>0.95047727197173004</v>
      </c>
      <c r="L299" s="505">
        <f t="shared" si="45"/>
        <v>26.342783413122611</v>
      </c>
      <c r="M299" s="505">
        <f>IF($D299="","",IFERROR(MIN(BB_帯幅!B299:AP299)*100,""))</f>
        <v>23.205223523937555</v>
      </c>
      <c r="N299" s="500" t="str">
        <f>IF($L299="","",IF($L299&lt;=$M299*BB設定!$B$7,"スクイーズ★",IF($L299&lt;=$M299*1.3,"収縮","－")))</f>
        <v>収縮</v>
      </c>
      <c r="O299" s="500" t="str">
        <f>IF($D299="","",IF(AND(BB_帯幅!B299&gt;BB_帯幅!C299,BB_帯幅!C299&gt;BB_帯幅!D299),"拡大↑","縮小↓"))</f>
        <v>縮小↓</v>
      </c>
      <c r="P299" s="500" t="str">
        <f t="shared" si="46"/>
        <v>+1σ上</v>
      </c>
      <c r="Q299" s="503">
        <f>IF($D299="","",IFERROR(100-100/(1+SUMPRODUCT((終値!E299:R299&gt;終値!F299:S299)*(終値!E299:R299-終値!F299:S299))/SUMPRODUCT((終値!E299:R299&lt;終値!F299:S299)*(終値!F299:S299-終値!E299:R299))),100))</f>
        <v>56.045751633986924</v>
      </c>
      <c r="R299" s="503">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64.534826182812537</v>
      </c>
      <c r="S299" s="500"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0" t="str">
        <f t="shared" si="47"/>
        <v>上walk▲</v>
      </c>
      <c r="U299" s="500" t="str">
        <f>IF(終値!A299="","",BB_スイング!BT299)</f>
        <v>二番天井M形成</v>
      </c>
      <c r="V299" s="508">
        <f>IF($D299="","",IFERROR(出来高!E299/AVERAGE(出来高!E299:I299),""))</f>
        <v>0.74421707494919098</v>
      </c>
      <c r="W299" s="509"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▼二番天井警戒</v>
      </c>
      <c r="X299" s="504">
        <f t="shared" si="53"/>
        <v>42</v>
      </c>
      <c r="Y299" s="501">
        <f t="shared" si="48"/>
        <v>1176</v>
      </c>
      <c r="Z299" s="501">
        <f t="shared" si="49"/>
        <v>1120.4821276576129</v>
      </c>
      <c r="AA299" s="501">
        <f t="shared" si="50"/>
        <v>1051.25</v>
      </c>
      <c r="AB299" s="501">
        <f t="shared" si="54"/>
        <v>1189.7142553152257</v>
      </c>
      <c r="AC299" s="507">
        <f t="shared" si="51"/>
        <v>0.11</v>
      </c>
      <c r="AD299" s="501">
        <f>IF($D299="","",MIN(終値!E299:I299))</f>
        <v>1012</v>
      </c>
      <c r="AE299" s="503">
        <f t="shared" si="52"/>
        <v>42.097009999999997</v>
      </c>
    </row>
    <row r="300" spans="1:31">
      <c r="A300" s="500" t="str">
        <f>IF(終値!A300="","",HYPERLINK("https://kabutan.jp/stock/?code="&amp;終値!A300,"📈"))</f>
        <v>📈</v>
      </c>
      <c r="B300" s="500" t="str">
        <f>IF(終値!A300="","",終値!A300)</f>
        <v>6965</v>
      </c>
      <c r="C300" s="499" t="str">
        <f>IF(終値!A300="","",終値!B300)</f>
        <v>浜松ホトニクス</v>
      </c>
      <c r="D300" s="501">
        <f>IF(終値!A300="","",終値!E300)</f>
        <v>2505.5</v>
      </c>
      <c r="E300" s="501">
        <f>IF($D300="","",AVERAGE(終値!E300:X300))</f>
        <v>2378.7105263157896</v>
      </c>
      <c r="F300" s="502">
        <f>IF($D300="","",STDEVP(終値!E300:X300))</f>
        <v>113.42297592703184</v>
      </c>
      <c r="G300" s="501">
        <f>IF($D300="","",$E300+BB設定!$B$4*$F300)</f>
        <v>2605.5564781698531</v>
      </c>
      <c r="H300" s="501">
        <f>IF($D300="","",$E300+BB設定!$B$5*$F300)</f>
        <v>2492.1335022428216</v>
      </c>
      <c r="I300" s="501">
        <f>IF($D300="","",$E300-BB設定!$B$5*$F300)</f>
        <v>2265.2875503887576</v>
      </c>
      <c r="J300" s="501">
        <f>IF($D300="","",$E300-BB設定!$B$4*$F300)</f>
        <v>2151.8645744617261</v>
      </c>
      <c r="K300" s="506">
        <f t="shared" si="44"/>
        <v>0.77946161844179107</v>
      </c>
      <c r="L300" s="505">
        <f t="shared" si="45"/>
        <v>19.073018708620136</v>
      </c>
      <c r="M300" s="505">
        <f>IF($D300="","",IFERROR(MIN(BB_帯幅!B300:AP300)*100,""))</f>
        <v>17.189171719579356</v>
      </c>
      <c r="N300" s="500" t="str">
        <f>IF($L300="","",IF($L300&lt;=$M300*BB設定!$B$7,"スクイーズ★",IF($L300&lt;=$M300*1.3,"収縮","－")))</f>
        <v>収縮</v>
      </c>
      <c r="O300" s="500" t="str">
        <f>IF($D300="","",IF(AND(BB_帯幅!B300&gt;BB_帯幅!C300,BB_帯幅!C300&gt;BB_帯幅!D300),"拡大↑","縮小↓"))</f>
        <v>縮小↓</v>
      </c>
      <c r="P300" s="500" t="str">
        <f t="shared" si="46"/>
        <v>+1σ上</v>
      </c>
      <c r="Q300" s="503">
        <f>IF($D300="","",IFERROR(100-100/(1+SUMPRODUCT((終値!E300:R300&gt;終値!F300:S300)*(終値!E300:R300-終値!F300:S300))/SUMPRODUCT((終値!E300:R300&lt;終値!F300:S300)*(終値!F300:S300-終値!E300:R300))),100))</f>
        <v>49.965403909358244</v>
      </c>
      <c r="R300" s="503">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61.023721410958629</v>
      </c>
      <c r="S300" s="500"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0" t="str">
        <f t="shared" si="47"/>
        <v>上walk▲</v>
      </c>
      <c r="U300" s="500" t="str">
        <f>IF(終値!A300="","",BB_スイング!BT300)</f>
        <v>－</v>
      </c>
      <c r="V300" s="508">
        <f>IF($D300="","",IFERROR(出来高!E300/AVERAGE(出来高!E300:I300),""))</f>
        <v>1.1783262147515385</v>
      </c>
      <c r="W300" s="509"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様子見</v>
      </c>
      <c r="X300" s="504">
        <f t="shared" si="53"/>
        <v>52</v>
      </c>
      <c r="Y300" s="501">
        <f t="shared" si="48"/>
        <v>2505.5</v>
      </c>
      <c r="Z300" s="501">
        <f t="shared" si="49"/>
        <v>2492.1335022428216</v>
      </c>
      <c r="AA300" s="501">
        <f t="shared" si="50"/>
        <v>2378.7105263157896</v>
      </c>
      <c r="AB300" s="501">
        <f t="shared" si="54"/>
        <v>2605.5564781698531</v>
      </c>
      <c r="AC300" s="507">
        <f t="shared" si="51"/>
        <v>0.79</v>
      </c>
      <c r="AD300" s="501">
        <f>IF($D300="","",MIN(終値!E300:I300))</f>
        <v>2321</v>
      </c>
      <c r="AE300" s="503">
        <f t="shared" si="52"/>
        <v>52.097000000000001</v>
      </c>
    </row>
    <row r="301" spans="1:31">
      <c r="A301" s="500" t="str">
        <f>IF(終値!A301="","",HYPERLINK("https://kabutan.jp/stock/?code="&amp;終値!A301,"📈"))</f>
        <v>📈</v>
      </c>
      <c r="B301" s="500" t="str">
        <f>IF(終値!A301="","",終値!A301)</f>
        <v>6331</v>
      </c>
      <c r="C301" s="499" t="str">
        <f>IF(終値!A301="","",終値!B301)</f>
        <v>三菱化工機</v>
      </c>
      <c r="D301" s="501">
        <f>IF(終値!A301="","",終値!E301)</f>
        <v>3270</v>
      </c>
      <c r="E301" s="501">
        <f>IF($D301="","",AVERAGE(終値!E301:X301))</f>
        <v>3310.75</v>
      </c>
      <c r="F301" s="502">
        <f>IF($D301="","",STDEVP(終値!E301:X301))</f>
        <v>154.37191292459909</v>
      </c>
      <c r="G301" s="501">
        <f>IF($D301="","",$E301+BB設定!$B$4*$F301)</f>
        <v>3619.4938258491984</v>
      </c>
      <c r="H301" s="501">
        <f>IF($D301="","",$E301+BB設定!$B$5*$F301)</f>
        <v>3465.1219129245992</v>
      </c>
      <c r="I301" s="501">
        <f>IF($D301="","",$E301-BB設定!$B$5*$F301)</f>
        <v>3156.3780870754008</v>
      </c>
      <c r="J301" s="501">
        <f>IF($D301="","",$E301-BB設定!$B$4*$F301)</f>
        <v>3002.0061741508016</v>
      </c>
      <c r="K301" s="506">
        <f t="shared" si="44"/>
        <v>0.434006777483052</v>
      </c>
      <c r="L301" s="505">
        <f t="shared" si="45"/>
        <v>18.65099000825785</v>
      </c>
      <c r="M301" s="505">
        <f>IF($D301="","",IFERROR(MIN(BB_帯幅!B301:AP301)*100,""))</f>
        <v>14.779175908643689</v>
      </c>
      <c r="N301" s="500" t="str">
        <f>IF($L301="","",IF($L301&lt;=$M301*BB設定!$B$7,"スクイーズ★",IF($L301&lt;=$M301*1.3,"収縮","－")))</f>
        <v>収縮</v>
      </c>
      <c r="O301" s="500" t="str">
        <f>IF($D301="","",IF(AND(BB_帯幅!B301&gt;BB_帯幅!C301,BB_帯幅!C301&gt;BB_帯幅!D301),"拡大↑","縮小↓"))</f>
        <v>縮小↓</v>
      </c>
      <c r="P301" s="500" t="str">
        <f t="shared" si="46"/>
        <v>バンド内</v>
      </c>
      <c r="Q301" s="503">
        <f>IF($D301="","",IFERROR(100-100/(1+SUMPRODUCT((終値!E301:R301&gt;終値!F301:S301)*(終値!E301:R301-終値!F301:S301))/SUMPRODUCT((終値!E301:R301&lt;終値!F301:S301)*(終値!F301:S301-終値!E301:R301))),100))</f>
        <v>41.77215189873418</v>
      </c>
      <c r="R301" s="503">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53.145678671589224</v>
      </c>
      <c r="S301" s="500"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強気div▲</v>
      </c>
      <c r="T301" s="500" t="str">
        <f t="shared" si="47"/>
        <v>－</v>
      </c>
      <c r="U301" s="500" t="str">
        <f>IF(終値!A301="","",BB_スイング!BT301)</f>
        <v>二番底W▲</v>
      </c>
      <c r="V301" s="508">
        <f>IF($D301="","",IFERROR(出来高!E301/AVERAGE(出来高!E301:I301),""))</f>
        <v>0.71191604603926883</v>
      </c>
      <c r="W301" s="509"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○反発(ダイバ)買</v>
      </c>
      <c r="X301" s="504">
        <f t="shared" si="53"/>
        <v>25</v>
      </c>
      <c r="Y301" s="501">
        <f t="shared" si="48"/>
        <v>3270</v>
      </c>
      <c r="Z301" s="501">
        <f t="shared" si="49"/>
        <v>3465.1219129245992</v>
      </c>
      <c r="AA301" s="501">
        <f t="shared" si="50"/>
        <v>3090</v>
      </c>
      <c r="AB301" s="501">
        <f t="shared" si="54"/>
        <v>3619.4938258491984</v>
      </c>
      <c r="AC301" s="507">
        <f t="shared" si="51"/>
        <v>1.94</v>
      </c>
      <c r="AD301" s="501">
        <f>IF($D301="","",MIN(終値!E301:I301))</f>
        <v>3090</v>
      </c>
      <c r="AE301" s="503">
        <f t="shared" si="52"/>
        <v>25.096990000000002</v>
      </c>
    </row>
    <row r="302" spans="1:31">
      <c r="A302" s="500" t="str">
        <f>IF(終値!A302="","",HYPERLINK("https://kabutan.jp/stock/?code="&amp;終値!A302,"📈"))</f>
        <v>📈</v>
      </c>
      <c r="B302" s="500" t="str">
        <f>IF(終値!A302="","",終値!A302)</f>
        <v>7741</v>
      </c>
      <c r="C302" s="499" t="str">
        <f>IF(終値!A302="","",終値!B302)</f>
        <v>ＨＯＹＡ</v>
      </c>
      <c r="D302" s="501">
        <f>IF(終値!A302="","",終値!E302)</f>
        <v>25475</v>
      </c>
      <c r="E302" s="501">
        <f>IF($D302="","",AVERAGE(終値!E302:X302))</f>
        <v>24920.25</v>
      </c>
      <c r="F302" s="502">
        <f>IF($D302="","",STDEVP(終値!E302:X302))</f>
        <v>670.23218924489152</v>
      </c>
      <c r="G302" s="501">
        <f>IF($D302="","",$E302+BB設定!$B$4*$F302)</f>
        <v>26260.714378489782</v>
      </c>
      <c r="H302" s="501">
        <f>IF($D302="","",$E302+BB設定!$B$5*$F302)</f>
        <v>25590.482189244893</v>
      </c>
      <c r="I302" s="501">
        <f>IF($D302="","",$E302-BB設定!$B$5*$F302)</f>
        <v>24250.017810755107</v>
      </c>
      <c r="J302" s="501">
        <f>IF($D302="","",$E302-BB設定!$B$4*$F302)</f>
        <v>23579.785621510218</v>
      </c>
      <c r="K302" s="506">
        <f t="shared" si="44"/>
        <v>0.7069245587208377</v>
      </c>
      <c r="L302" s="505">
        <f t="shared" si="45"/>
        <v>10.758033153678488</v>
      </c>
      <c r="M302" s="505">
        <f>IF($D302="","",IFERROR(MIN(BB_帯幅!B302:AP302)*100,""))</f>
        <v>8.2120392328551848</v>
      </c>
      <c r="N302" s="500" t="str">
        <f>IF($L302="","",IF($L302&lt;=$M302*BB設定!$B$7,"スクイーズ★",IF($L302&lt;=$M302*1.3,"収縮","－")))</f>
        <v>－</v>
      </c>
      <c r="O302" s="500" t="str">
        <f>IF($D302="","",IF(AND(BB_帯幅!B302&gt;BB_帯幅!C302,BB_帯幅!C302&gt;BB_帯幅!D302),"拡大↑","縮小↓"))</f>
        <v>縮小↓</v>
      </c>
      <c r="P302" s="500" t="str">
        <f t="shared" si="46"/>
        <v>バンド内</v>
      </c>
      <c r="Q302" s="503">
        <f>IF($D302="","",IFERROR(100-100/(1+SUMPRODUCT((終値!E302:R302&gt;終値!F302:S302)*(終値!E302:R302-終値!F302:S302))/SUMPRODUCT((終値!E302:R302&lt;終値!F302:S302)*(終値!F302:S302-終値!E302:R302))),100))</f>
        <v>51.41187925998053</v>
      </c>
      <c r="R302" s="503">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58.920610330118159</v>
      </c>
      <c r="S302" s="500"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v>
      </c>
      <c r="T302" s="500" t="str">
        <f t="shared" si="47"/>
        <v>－</v>
      </c>
      <c r="U302" s="500" t="str">
        <f>IF(終値!A302="","",BB_スイング!BT302)</f>
        <v>二番天井M形成</v>
      </c>
      <c r="V302" s="508">
        <f>IF($D302="","",IFERROR(出来高!E302/AVERAGE(出来高!E302:I302),""))</f>
        <v>0.75909510248285272</v>
      </c>
      <c r="W302" s="509"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4">
        <f t="shared" si="53"/>
        <v>15</v>
      </c>
      <c r="Y302" s="501">
        <f t="shared" si="48"/>
        <v>25475</v>
      </c>
      <c r="Z302" s="501">
        <f t="shared" si="49"/>
        <v>25590.482189244893</v>
      </c>
      <c r="AA302" s="501">
        <f t="shared" si="50"/>
        <v>24920.25</v>
      </c>
      <c r="AB302" s="501">
        <f t="shared" si="54"/>
        <v>26260.714378489782</v>
      </c>
      <c r="AC302" s="507">
        <f t="shared" si="51"/>
        <v>1.42</v>
      </c>
      <c r="AD302" s="501">
        <f>IF($D302="","",MIN(終値!E302:I302))</f>
        <v>24675</v>
      </c>
      <c r="AE302" s="503">
        <f t="shared" si="52"/>
        <v>15.09698</v>
      </c>
    </row>
    <row r="303" spans="1:31">
      <c r="A303" s="500" t="str">
        <f>IF(終値!A303="","",HYPERLINK("https://kabutan.jp/stock/?code="&amp;終値!A303,"📈"))</f>
        <v>📈</v>
      </c>
      <c r="B303" s="500" t="str">
        <f>IF(終値!A303="","",終値!A303)</f>
        <v>1321</v>
      </c>
      <c r="C303" s="499" t="str">
        <f>IF(終値!A303="","",終値!B303)</f>
        <v>ＮＦ日経２２５</v>
      </c>
      <c r="D303" s="501">
        <f>IF(終値!A303="","",終値!E303)</f>
        <v>67990</v>
      </c>
      <c r="E303" s="501">
        <f>IF($D303="","",AVERAGE(終値!E303:X303))</f>
        <v>67784.5</v>
      </c>
      <c r="F303" s="502">
        <f>IF($D303="","",STDEVP(終値!E303:X303))</f>
        <v>2157.7684653363531</v>
      </c>
      <c r="G303" s="501">
        <f>IF($D303="","",$E303+BB設定!$B$4*$F303)</f>
        <v>72100.036930672708</v>
      </c>
      <c r="H303" s="501">
        <f>IF($D303="","",$E303+BB設定!$B$5*$F303)</f>
        <v>69942.268465336354</v>
      </c>
      <c r="I303" s="501">
        <f>IF($D303="","",$E303-BB設定!$B$5*$F303)</f>
        <v>65626.731534663646</v>
      </c>
      <c r="J303" s="501">
        <f>IF($D303="","",$E303-BB設定!$B$4*$F303)</f>
        <v>63468.963069327292</v>
      </c>
      <c r="K303" s="506">
        <f t="shared" si="44"/>
        <v>0.52380932005695602</v>
      </c>
      <c r="L303" s="505">
        <f t="shared" si="45"/>
        <v>12.733108396971899</v>
      </c>
      <c r="M303" s="505">
        <f>IF($D303="","",IFERROR(MIN(BB_帯幅!B303:AP303)*100,""))</f>
        <v>8.6080484854670125</v>
      </c>
      <c r="N303" s="500" t="str">
        <f>IF($L303="","",IF($L303&lt;=$M303*BB設定!$B$7,"スクイーズ★",IF($L303&lt;=$M303*1.3,"収縮","－")))</f>
        <v>－</v>
      </c>
      <c r="O303" s="500" t="str">
        <f>IF($D303="","",IF(AND(BB_帯幅!B303&gt;BB_帯幅!C303,BB_帯幅!C303&gt;BB_帯幅!D303),"拡大↑","縮小↓"))</f>
        <v>縮小↓</v>
      </c>
      <c r="P303" s="500" t="str">
        <f t="shared" si="46"/>
        <v>バンド内</v>
      </c>
      <c r="Q303" s="503">
        <f>IF($D303="","",IFERROR(100-100/(1+SUMPRODUCT((終値!E303:R303&gt;終値!F303:S303)*(終値!E303:R303-終値!F303:S303))/SUMPRODUCT((終値!E303:R303&lt;終値!F303:S303)*(終値!F303:S303-終値!E303:R303))),100))</f>
        <v>41.653418124006365</v>
      </c>
      <c r="R303" s="503">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47.161132701407865</v>
      </c>
      <c r="S303" s="500"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強気div▲</v>
      </c>
      <c r="T303" s="500" t="str">
        <f t="shared" si="47"/>
        <v>－</v>
      </c>
      <c r="U303" s="500" t="str">
        <f>IF(終値!A303="","",BB_スイング!BT303)</f>
        <v>二番底W形成</v>
      </c>
      <c r="V303" s="508">
        <f>IF($D303="","",IFERROR(出来高!E303/AVERAGE(出来高!E303:I303),""))</f>
        <v>0.67135353202597736</v>
      </c>
      <c r="W303" s="509"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○反発(ダイバ)買</v>
      </c>
      <c r="X303" s="504">
        <f t="shared" si="53"/>
        <v>25</v>
      </c>
      <c r="Y303" s="501">
        <f t="shared" si="48"/>
        <v>67990</v>
      </c>
      <c r="Z303" s="501">
        <f t="shared" si="49"/>
        <v>69942.268465336354</v>
      </c>
      <c r="AA303" s="501">
        <f t="shared" si="50"/>
        <v>67784.5</v>
      </c>
      <c r="AB303" s="501">
        <f t="shared" si="54"/>
        <v>72100.036930672708</v>
      </c>
      <c r="AC303" s="507">
        <f t="shared" si="51"/>
        <v>20</v>
      </c>
      <c r="AD303" s="501">
        <f>IF($D303="","",MIN(終値!E303:I303))</f>
        <v>65850</v>
      </c>
      <c r="AE303" s="503">
        <f t="shared" si="52"/>
        <v>25.096969999999999</v>
      </c>
    </row>
    <row r="304" spans="1:31">
      <c r="A304" s="500" t="str">
        <f>IF(終値!A304="","",HYPERLINK("https://kabutan.jp/stock/?code="&amp;終値!A304,"📈"))</f>
        <v>📈</v>
      </c>
      <c r="B304" s="500" t="str">
        <f>IF(終値!A304="","",終値!A304)</f>
        <v>1944</v>
      </c>
      <c r="C304" s="499" t="str">
        <f>IF(終値!A304="","",終値!B304)</f>
        <v>きんでん</v>
      </c>
      <c r="D304" s="501">
        <f>IF(終値!A304="","",終値!E304)</f>
        <v>7202</v>
      </c>
      <c r="E304" s="501">
        <f>IF($D304="","",AVERAGE(終値!E304:X304))</f>
        <v>7379</v>
      </c>
      <c r="F304" s="502">
        <f>IF($D304="","",STDEVP(終値!E304:X304))</f>
        <v>241.94648168551655</v>
      </c>
      <c r="G304" s="501">
        <f>IF($D304="","",$E304+BB設定!$B$4*$F304)</f>
        <v>7862.8929633710331</v>
      </c>
      <c r="H304" s="501">
        <f>IF($D304="","",$E304+BB設定!$B$5*$F304)</f>
        <v>7620.9464816855161</v>
      </c>
      <c r="I304" s="501">
        <f>IF($D304="","",$E304-BB設定!$B$5*$F304)</f>
        <v>7137.0535183144839</v>
      </c>
      <c r="J304" s="501">
        <f>IF($D304="","",$E304-BB設定!$B$4*$F304)</f>
        <v>6895.1070366289669</v>
      </c>
      <c r="K304" s="506">
        <f t="shared" si="44"/>
        <v>0.31710831382323468</v>
      </c>
      <c r="L304" s="505">
        <f t="shared" si="45"/>
        <v>13.115407599160674</v>
      </c>
      <c r="M304" s="505">
        <f>IF($D304="","",IFERROR(MIN(BB_帯幅!B304:AP304)*100,""))</f>
        <v>13.115407599160674</v>
      </c>
      <c r="N304" s="500" t="str">
        <f>IF($L304="","",IF($L304&lt;=$M304*BB設定!$B$7,"スクイーズ★",IF($L304&lt;=$M304*1.3,"収縮","－")))</f>
        <v>スクイーズ★</v>
      </c>
      <c r="O304" s="500" t="str">
        <f>IF($D304="","",IF(AND(BB_帯幅!B304&gt;BB_帯幅!C304,BB_帯幅!C304&gt;BB_帯幅!D304),"拡大↑","縮小↓"))</f>
        <v>縮小↓</v>
      </c>
      <c r="P304" s="500" t="str">
        <f t="shared" si="46"/>
        <v>バンド内</v>
      </c>
      <c r="Q304" s="503">
        <f>IF($D304="","",IFERROR(100-100/(1+SUMPRODUCT((終値!E304:R304&gt;終値!F304:S304)*(終値!E304:R304-終値!F304:S304))/SUMPRODUCT((終値!E304:R304&lt;終値!F304:S304)*(終値!F304:S304-終値!E304:R304))),100))</f>
        <v>42.94897549216553</v>
      </c>
      <c r="R304" s="503">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51.569878759730813</v>
      </c>
      <c r="S304" s="500"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0" t="str">
        <f t="shared" si="47"/>
        <v>－</v>
      </c>
      <c r="U304" s="500" t="str">
        <f>IF(終値!A304="","",BB_スイング!BT304)</f>
        <v>二番底W▲</v>
      </c>
      <c r="V304" s="508">
        <f>IF($D304="","",IFERROR(出来高!E304/AVERAGE(出来高!E304:I304),""))</f>
        <v>0.8288821060663869</v>
      </c>
      <c r="W304" s="509"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○反発(ダイバ)買</v>
      </c>
      <c r="X304" s="504">
        <f t="shared" si="53"/>
        <v>35</v>
      </c>
      <c r="Y304" s="501">
        <f t="shared" si="48"/>
        <v>7202</v>
      </c>
      <c r="Z304" s="501">
        <f t="shared" si="49"/>
        <v>7620.9464816855161</v>
      </c>
      <c r="AA304" s="501">
        <f t="shared" si="50"/>
        <v>6963</v>
      </c>
      <c r="AB304" s="501">
        <f t="shared" si="54"/>
        <v>7862.8929633710331</v>
      </c>
      <c r="AC304" s="507">
        <f t="shared" si="51"/>
        <v>2.77</v>
      </c>
      <c r="AD304" s="501">
        <f>IF($D304="","",MIN(終値!E304:I304))</f>
        <v>6963</v>
      </c>
      <c r="AE304" s="503">
        <f t="shared" si="52"/>
        <v>35.096960000000003</v>
      </c>
    </row>
    <row r="305" spans="1:31" ht="24">
      <c r="A305" s="500" t="str">
        <f>IF(終値!A305="","",HYPERLINK("https://kabutan.jp/stock/?code="&amp;終値!A305,"📈"))</f>
        <v>📈</v>
      </c>
      <c r="B305" s="500" t="str">
        <f>IF(終値!A305="","",終値!A305)</f>
        <v>7532</v>
      </c>
      <c r="C305" s="499" t="str">
        <f>IF(終値!A305="","",終値!B305)</f>
        <v>パンパシフィックＨＤ</v>
      </c>
      <c r="D305" s="501">
        <f>IF(終値!A305="","",終値!E305)</f>
        <v>896</v>
      </c>
      <c r="E305" s="501">
        <f>IF($D305="","",AVERAGE(終値!E305:X305))</f>
        <v>887.3</v>
      </c>
      <c r="F305" s="502">
        <f>IF($D305="","",STDEVP(終値!E305:X305))</f>
        <v>28.095551249263643</v>
      </c>
      <c r="G305" s="501">
        <f>IF($D305="","",$E305+BB設定!$B$4*$F305)</f>
        <v>943.4911024985272</v>
      </c>
      <c r="H305" s="501">
        <f>IF($D305="","",$E305+BB設定!$B$5*$F305)</f>
        <v>915.39555124926358</v>
      </c>
      <c r="I305" s="501">
        <f>IF($D305="","",$E305-BB設定!$B$5*$F305)</f>
        <v>859.20444875073633</v>
      </c>
      <c r="J305" s="501">
        <f>IF($D305="","",$E305-BB設定!$B$4*$F305)</f>
        <v>831.10889750147271</v>
      </c>
      <c r="K305" s="506">
        <f t="shared" si="44"/>
        <v>0.57741439136407824</v>
      </c>
      <c r="L305" s="505">
        <f t="shared" si="45"/>
        <v>12.665637889896821</v>
      </c>
      <c r="M305" s="505">
        <f>IF($D305="","",IFERROR(MIN(BB_帯幅!B305:AP305)*100,""))</f>
        <v>6.4480811614735041</v>
      </c>
      <c r="N305" s="500" t="str">
        <f>IF($L305="","",IF($L305&lt;=$M305*BB設定!$B$7,"スクイーズ★",IF($L305&lt;=$M305*1.3,"収縮","－")))</f>
        <v>－</v>
      </c>
      <c r="O305" s="500" t="str">
        <f>IF($D305="","",IF(AND(BB_帯幅!B305&gt;BB_帯幅!C305,BB_帯幅!C305&gt;BB_帯幅!D305),"拡大↑","縮小↓"))</f>
        <v>縮小↓</v>
      </c>
      <c r="P305" s="500" t="str">
        <f t="shared" si="46"/>
        <v>バンド内</v>
      </c>
      <c r="Q305" s="503">
        <f>IF($D305="","",IFERROR(100-100/(1+SUMPRODUCT((終値!E305:R305&gt;終値!F305:S305)*(終値!E305:R305-終値!F305:S305))/SUMPRODUCT((終値!E305:R305&lt;終値!F305:S305)*(終値!F305:S305-終値!E305:R305))),100))</f>
        <v>57.067470787787407</v>
      </c>
      <c r="R305" s="503">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49.399557382657832</v>
      </c>
      <c r="S305" s="500"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0" t="str">
        <f t="shared" si="47"/>
        <v>－</v>
      </c>
      <c r="U305" s="500" t="str">
        <f>IF(終値!A305="","",BB_スイング!BT305)</f>
        <v>二番底W形成</v>
      </c>
      <c r="V305" s="508">
        <f>IF($D305="","",IFERROR(出来高!E305/AVERAGE(出来高!E305:I305),""))</f>
        <v>0.64845584251399679</v>
      </c>
      <c r="W305" s="509"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△二番底形成</v>
      </c>
      <c r="X305" s="504">
        <f t="shared" si="53"/>
        <v>15</v>
      </c>
      <c r="Y305" s="501">
        <f t="shared" si="48"/>
        <v>896</v>
      </c>
      <c r="Z305" s="501">
        <f t="shared" si="49"/>
        <v>915.39555124926358</v>
      </c>
      <c r="AA305" s="501">
        <f t="shared" si="50"/>
        <v>887.3</v>
      </c>
      <c r="AB305" s="501">
        <f t="shared" si="54"/>
        <v>943.4911024985272</v>
      </c>
      <c r="AC305" s="507">
        <f t="shared" si="51"/>
        <v>5.46</v>
      </c>
      <c r="AD305" s="501">
        <f>IF($D305="","",MIN(終値!E305:I305))</f>
        <v>883.5</v>
      </c>
      <c r="AE305" s="503">
        <f t="shared" si="52"/>
        <v>15.09695</v>
      </c>
    </row>
    <row r="306" spans="1:31">
      <c r="A306" s="500" t="str">
        <f>IF(終値!A306="","",HYPERLINK("https://kabutan.jp/stock/?code="&amp;終値!A306,"📈"))</f>
        <v/>
      </c>
      <c r="B306" s="500" t="str">
        <f>IF(終値!A306="","",終値!A306)</f>
        <v/>
      </c>
      <c r="C306" s="499" t="str">
        <f>IF(終値!A306="","",終値!B306)</f>
        <v/>
      </c>
      <c r="D306" s="501" t="str">
        <f>IF(終値!A306="","",終値!E306)</f>
        <v/>
      </c>
      <c r="E306" s="501" t="str">
        <f>IF($D306="","",AVERAGE(終値!E306:X306))</f>
        <v/>
      </c>
      <c r="F306" s="502" t="str">
        <f>IF($D306="","",STDEVP(終値!E306:X306))</f>
        <v/>
      </c>
      <c r="G306" s="501" t="str">
        <f>IF($D306="","",$E306+BB設定!$B$4*$F306)</f>
        <v/>
      </c>
      <c r="H306" s="501" t="str">
        <f>IF($D306="","",$E306+BB設定!$B$5*$F306)</f>
        <v/>
      </c>
      <c r="I306" s="501" t="str">
        <f>IF($D306="","",$E306-BB設定!$B$5*$F306)</f>
        <v/>
      </c>
      <c r="J306" s="501" t="str">
        <f>IF($D306="","",$E306-BB設定!$B$4*$F306)</f>
        <v/>
      </c>
      <c r="K306" s="506" t="str">
        <f t="shared" si="44"/>
        <v/>
      </c>
      <c r="L306" s="505" t="str">
        <f t="shared" si="45"/>
        <v/>
      </c>
      <c r="M306" s="505" t="str">
        <f>IF($D306="","",IFERROR(MIN(BB_帯幅!B306:AP306)*100,""))</f>
        <v/>
      </c>
      <c r="N306" s="500" t="str">
        <f>IF($L306="","",IF($L306&lt;=$M306*BB設定!$B$7,"スクイーズ★",IF($L306&lt;=$M306*1.3,"収縮","－")))</f>
        <v/>
      </c>
      <c r="O306" s="500" t="str">
        <f>IF($D306="","",IF(AND(BB_帯幅!B306&gt;BB_帯幅!C306,BB_帯幅!C306&gt;BB_帯幅!D306),"拡大↑","縮小↓"))</f>
        <v/>
      </c>
      <c r="P306" s="500" t="str">
        <f t="shared" si="46"/>
        <v/>
      </c>
      <c r="Q306" s="503" t="str">
        <f>IF($D306="","",IFERROR(100-100/(1+SUMPRODUCT((終値!E306:R306&gt;終値!F306:S306)*(終値!E306:R306-終値!F306:S306))/SUMPRODUCT((終値!E306:R306&lt;終値!F306:S306)*(終値!F306:S306-終値!E306:R306))),100))</f>
        <v/>
      </c>
      <c r="R306" s="503"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0"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0" t="str">
        <f t="shared" si="47"/>
        <v/>
      </c>
      <c r="U306" s="500" t="str">
        <f>IF(終値!A306="","",BB_スイング!BT306)</f>
        <v/>
      </c>
      <c r="V306" s="508" t="str">
        <f>IF($D306="","",IFERROR(出来高!E306/AVERAGE(出来高!E306:I306),""))</f>
        <v/>
      </c>
      <c r="W306" s="509"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4" t="str">
        <f t="shared" si="53"/>
        <v/>
      </c>
      <c r="Y306" s="501" t="str">
        <f t="shared" si="48"/>
        <v/>
      </c>
      <c r="Z306" s="501" t="str">
        <f t="shared" si="49"/>
        <v/>
      </c>
      <c r="AA306" s="501" t="str">
        <f t="shared" si="50"/>
        <v/>
      </c>
      <c r="AB306" s="501" t="str">
        <f t="shared" si="54"/>
        <v/>
      </c>
      <c r="AC306" s="507" t="str">
        <f t="shared" si="51"/>
        <v/>
      </c>
      <c r="AD306" s="501" t="str">
        <f>IF($D306="","",MIN(終値!E306:I306))</f>
        <v/>
      </c>
      <c r="AE306" s="503" t="str">
        <f t="shared" si="52"/>
        <v/>
      </c>
    </row>
    <row r="307" spans="1:31">
      <c r="A307" s="500" t="str">
        <f>IF(終値!A307="","",HYPERLINK("https://kabutan.jp/stock/?code="&amp;終値!A307,"📈"))</f>
        <v/>
      </c>
      <c r="B307" s="500" t="str">
        <f>IF(終値!A307="","",終値!A307)</f>
        <v/>
      </c>
      <c r="C307" s="499" t="str">
        <f>IF(終値!A307="","",終値!B307)</f>
        <v/>
      </c>
      <c r="D307" s="501" t="str">
        <f>IF(終値!A307="","",終値!E307)</f>
        <v/>
      </c>
      <c r="E307" s="501" t="str">
        <f>IF($D307="","",AVERAGE(終値!E307:X307))</f>
        <v/>
      </c>
      <c r="F307" s="502" t="str">
        <f>IF($D307="","",STDEVP(終値!E307:X307))</f>
        <v/>
      </c>
      <c r="G307" s="501" t="str">
        <f>IF($D307="","",$E307+BB設定!$B$4*$F307)</f>
        <v/>
      </c>
      <c r="H307" s="501" t="str">
        <f>IF($D307="","",$E307+BB設定!$B$5*$F307)</f>
        <v/>
      </c>
      <c r="I307" s="501" t="str">
        <f>IF($D307="","",$E307-BB設定!$B$5*$F307)</f>
        <v/>
      </c>
      <c r="J307" s="501" t="str">
        <f>IF($D307="","",$E307-BB設定!$B$4*$F307)</f>
        <v/>
      </c>
      <c r="K307" s="506" t="str">
        <f t="shared" si="44"/>
        <v/>
      </c>
      <c r="L307" s="505" t="str">
        <f t="shared" si="45"/>
        <v/>
      </c>
      <c r="M307" s="505" t="str">
        <f>IF($D307="","",IFERROR(MIN(BB_帯幅!B307:AP307)*100,""))</f>
        <v/>
      </c>
      <c r="N307" s="500" t="str">
        <f>IF($L307="","",IF($L307&lt;=$M307*BB設定!$B$7,"スクイーズ★",IF($L307&lt;=$M307*1.3,"収縮","－")))</f>
        <v/>
      </c>
      <c r="O307" s="500" t="str">
        <f>IF($D307="","",IF(AND(BB_帯幅!B307&gt;BB_帯幅!C307,BB_帯幅!C307&gt;BB_帯幅!D307),"拡大↑","縮小↓"))</f>
        <v/>
      </c>
      <c r="P307" s="500" t="str">
        <f t="shared" si="46"/>
        <v/>
      </c>
      <c r="Q307" s="503" t="str">
        <f>IF($D307="","",IFERROR(100-100/(1+SUMPRODUCT((終値!E307:R307&gt;終値!F307:S307)*(終値!E307:R307-終値!F307:S307))/SUMPRODUCT((終値!E307:R307&lt;終値!F307:S307)*(終値!F307:S307-終値!E307:R307))),100))</f>
        <v/>
      </c>
      <c r="R307" s="503"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0"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0" t="str">
        <f t="shared" si="47"/>
        <v/>
      </c>
      <c r="U307" s="500" t="str">
        <f>IF(終値!A307="","",BB_スイング!BT307)</f>
        <v/>
      </c>
      <c r="V307" s="508" t="str">
        <f>IF($D307="","",IFERROR(出来高!E307/AVERAGE(出来高!E307:I307),""))</f>
        <v/>
      </c>
      <c r="W307" s="509"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4" t="str">
        <f t="shared" si="53"/>
        <v/>
      </c>
      <c r="Y307" s="501" t="str">
        <f t="shared" si="48"/>
        <v/>
      </c>
      <c r="Z307" s="501" t="str">
        <f t="shared" si="49"/>
        <v/>
      </c>
      <c r="AA307" s="501" t="str">
        <f t="shared" si="50"/>
        <v/>
      </c>
      <c r="AB307" s="501" t="str">
        <f t="shared" si="54"/>
        <v/>
      </c>
      <c r="AC307" s="507" t="str">
        <f t="shared" si="51"/>
        <v/>
      </c>
      <c r="AD307" s="501" t="str">
        <f>IF($D307="","",MIN(終値!E307:I307))</f>
        <v/>
      </c>
      <c r="AE307" s="503" t="str">
        <f t="shared" si="52"/>
        <v/>
      </c>
    </row>
    <row r="308" spans="1:31">
      <c r="A308" s="500" t="str">
        <f>IF(終値!A308="","",HYPERLINK("https://kabutan.jp/stock/?code="&amp;終値!A308,"📈"))</f>
        <v/>
      </c>
      <c r="B308" s="500" t="str">
        <f>IF(終値!A308="","",終値!A308)</f>
        <v/>
      </c>
      <c r="C308" s="499" t="str">
        <f>IF(終値!A308="","",終値!B308)</f>
        <v/>
      </c>
      <c r="D308" s="501" t="str">
        <f>IF(終値!A308="","",終値!E308)</f>
        <v/>
      </c>
      <c r="E308" s="501" t="str">
        <f>IF($D308="","",AVERAGE(終値!E308:X308))</f>
        <v/>
      </c>
      <c r="F308" s="502" t="str">
        <f>IF($D308="","",STDEVP(終値!E308:X308))</f>
        <v/>
      </c>
      <c r="G308" s="501" t="str">
        <f>IF($D308="","",$E308+BB設定!$B$4*$F308)</f>
        <v/>
      </c>
      <c r="H308" s="501" t="str">
        <f>IF($D308="","",$E308+BB設定!$B$5*$F308)</f>
        <v/>
      </c>
      <c r="I308" s="501" t="str">
        <f>IF($D308="","",$E308-BB設定!$B$5*$F308)</f>
        <v/>
      </c>
      <c r="J308" s="501" t="str">
        <f>IF($D308="","",$E308-BB設定!$B$4*$F308)</f>
        <v/>
      </c>
      <c r="K308" s="506" t="str">
        <f t="shared" si="44"/>
        <v/>
      </c>
      <c r="L308" s="505" t="str">
        <f t="shared" si="45"/>
        <v/>
      </c>
      <c r="M308" s="505" t="str">
        <f>IF($D308="","",IFERROR(MIN(BB_帯幅!B308:AP308)*100,""))</f>
        <v/>
      </c>
      <c r="N308" s="500" t="str">
        <f>IF($L308="","",IF($L308&lt;=$M308*BB設定!$B$7,"スクイーズ★",IF($L308&lt;=$M308*1.3,"収縮","－")))</f>
        <v/>
      </c>
      <c r="O308" s="500" t="str">
        <f>IF($D308="","",IF(AND(BB_帯幅!B308&gt;BB_帯幅!C308,BB_帯幅!C308&gt;BB_帯幅!D308),"拡大↑","縮小↓"))</f>
        <v/>
      </c>
      <c r="P308" s="500" t="str">
        <f t="shared" si="46"/>
        <v/>
      </c>
      <c r="Q308" s="503" t="str">
        <f>IF($D308="","",IFERROR(100-100/(1+SUMPRODUCT((終値!E308:R308&gt;終値!F308:S308)*(終値!E308:R308-終値!F308:S308))/SUMPRODUCT((終値!E308:R308&lt;終値!F308:S308)*(終値!F308:S308-終値!E308:R308))),100))</f>
        <v/>
      </c>
      <c r="R308" s="503"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0"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0" t="str">
        <f t="shared" si="47"/>
        <v/>
      </c>
      <c r="U308" s="500" t="str">
        <f>IF(終値!A308="","",BB_スイング!BT308)</f>
        <v/>
      </c>
      <c r="V308" s="508" t="str">
        <f>IF($D308="","",IFERROR(出来高!E308/AVERAGE(出来高!E308:I308),""))</f>
        <v/>
      </c>
      <c r="W308" s="509"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4" t="str">
        <f t="shared" si="53"/>
        <v/>
      </c>
      <c r="Y308" s="501" t="str">
        <f t="shared" si="48"/>
        <v/>
      </c>
      <c r="Z308" s="501" t="str">
        <f t="shared" si="49"/>
        <v/>
      </c>
      <c r="AA308" s="501" t="str">
        <f t="shared" si="50"/>
        <v/>
      </c>
      <c r="AB308" s="501" t="str">
        <f t="shared" si="54"/>
        <v/>
      </c>
      <c r="AC308" s="507" t="str">
        <f t="shared" si="51"/>
        <v/>
      </c>
      <c r="AD308" s="501" t="str">
        <f>IF($D308="","",MIN(終値!E308:I308))</f>
        <v/>
      </c>
      <c r="AE308" s="503" t="str">
        <f t="shared" si="52"/>
        <v/>
      </c>
    </row>
    <row r="309" spans="1:31">
      <c r="A309" s="500" t="str">
        <f>IF(終値!A309="","",HYPERLINK("https://kabutan.jp/stock/?code="&amp;終値!A309,"📈"))</f>
        <v/>
      </c>
      <c r="B309" s="500" t="str">
        <f>IF(終値!A309="","",終値!A309)</f>
        <v/>
      </c>
      <c r="C309" s="499" t="str">
        <f>IF(終値!A309="","",終値!B309)</f>
        <v/>
      </c>
      <c r="D309" s="501" t="str">
        <f>IF(終値!A309="","",終値!E309)</f>
        <v/>
      </c>
      <c r="E309" s="501" t="str">
        <f>IF($D309="","",AVERAGE(終値!E309:X309))</f>
        <v/>
      </c>
      <c r="F309" s="502" t="str">
        <f>IF($D309="","",STDEVP(終値!E309:X309))</f>
        <v/>
      </c>
      <c r="G309" s="501" t="str">
        <f>IF($D309="","",$E309+BB設定!$B$4*$F309)</f>
        <v/>
      </c>
      <c r="H309" s="501" t="str">
        <f>IF($D309="","",$E309+BB設定!$B$5*$F309)</f>
        <v/>
      </c>
      <c r="I309" s="501" t="str">
        <f>IF($D309="","",$E309-BB設定!$B$5*$F309)</f>
        <v/>
      </c>
      <c r="J309" s="501" t="str">
        <f>IF($D309="","",$E309-BB設定!$B$4*$F309)</f>
        <v/>
      </c>
      <c r="K309" s="506" t="str">
        <f t="shared" si="44"/>
        <v/>
      </c>
      <c r="L309" s="505" t="str">
        <f t="shared" si="45"/>
        <v/>
      </c>
      <c r="M309" s="505" t="str">
        <f>IF($D309="","",IFERROR(MIN(BB_帯幅!B309:AP309)*100,""))</f>
        <v/>
      </c>
      <c r="N309" s="500" t="str">
        <f>IF($L309="","",IF($L309&lt;=$M309*BB設定!$B$7,"スクイーズ★",IF($L309&lt;=$M309*1.3,"収縮","－")))</f>
        <v/>
      </c>
      <c r="O309" s="500" t="str">
        <f>IF($D309="","",IF(AND(BB_帯幅!B309&gt;BB_帯幅!C309,BB_帯幅!C309&gt;BB_帯幅!D309),"拡大↑","縮小↓"))</f>
        <v/>
      </c>
      <c r="P309" s="500" t="str">
        <f t="shared" si="46"/>
        <v/>
      </c>
      <c r="Q309" s="503" t="str">
        <f>IF($D309="","",IFERROR(100-100/(1+SUMPRODUCT((終値!E309:R309&gt;終値!F309:S309)*(終値!E309:R309-終値!F309:S309))/SUMPRODUCT((終値!E309:R309&lt;終値!F309:S309)*(終値!F309:S309-終値!E309:R309))),100))</f>
        <v/>
      </c>
      <c r="R309" s="503"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0"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0" t="str">
        <f t="shared" si="47"/>
        <v/>
      </c>
      <c r="U309" s="500" t="str">
        <f>IF(終値!A309="","",BB_スイング!BT309)</f>
        <v/>
      </c>
      <c r="V309" s="508" t="str">
        <f>IF($D309="","",IFERROR(出来高!E309/AVERAGE(出来高!E309:I309),""))</f>
        <v/>
      </c>
      <c r="W309" s="509"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4" t="str">
        <f t="shared" si="53"/>
        <v/>
      </c>
      <c r="Y309" s="501" t="str">
        <f t="shared" si="48"/>
        <v/>
      </c>
      <c r="Z309" s="501" t="str">
        <f t="shared" si="49"/>
        <v/>
      </c>
      <c r="AA309" s="501" t="str">
        <f t="shared" si="50"/>
        <v/>
      </c>
      <c r="AB309" s="501" t="str">
        <f t="shared" si="54"/>
        <v/>
      </c>
      <c r="AC309" s="507" t="str">
        <f t="shared" si="51"/>
        <v/>
      </c>
      <c r="AD309" s="501" t="str">
        <f>IF($D309="","",MIN(終値!E309:I309))</f>
        <v/>
      </c>
      <c r="AE309" s="503" t="str">
        <f t="shared" si="52"/>
        <v/>
      </c>
    </row>
    <row r="310" spans="1:31">
      <c r="A310" s="500" t="str">
        <f>IF(終値!A310="","",HYPERLINK("https://kabutan.jp/stock/?code="&amp;終値!A310,"📈"))</f>
        <v/>
      </c>
      <c r="B310" s="500" t="str">
        <f>IF(終値!A310="","",終値!A310)</f>
        <v/>
      </c>
      <c r="C310" s="499" t="str">
        <f>IF(終値!A310="","",終値!B310)</f>
        <v/>
      </c>
      <c r="D310" s="501" t="str">
        <f>IF(終値!A310="","",終値!E310)</f>
        <v/>
      </c>
      <c r="E310" s="501" t="str">
        <f>IF($D310="","",AVERAGE(終値!E310:X310))</f>
        <v/>
      </c>
      <c r="F310" s="502" t="str">
        <f>IF($D310="","",STDEVP(終値!E310:X310))</f>
        <v/>
      </c>
      <c r="G310" s="501" t="str">
        <f>IF($D310="","",$E310+BB設定!$B$4*$F310)</f>
        <v/>
      </c>
      <c r="H310" s="501" t="str">
        <f>IF($D310="","",$E310+BB設定!$B$5*$F310)</f>
        <v/>
      </c>
      <c r="I310" s="501" t="str">
        <f>IF($D310="","",$E310-BB設定!$B$5*$F310)</f>
        <v/>
      </c>
      <c r="J310" s="501" t="str">
        <f>IF($D310="","",$E310-BB設定!$B$4*$F310)</f>
        <v/>
      </c>
      <c r="K310" s="506" t="str">
        <f t="shared" si="44"/>
        <v/>
      </c>
      <c r="L310" s="505" t="str">
        <f t="shared" si="45"/>
        <v/>
      </c>
      <c r="M310" s="505" t="str">
        <f>IF($D310="","",IFERROR(MIN(BB_帯幅!B310:AP310)*100,""))</f>
        <v/>
      </c>
      <c r="N310" s="500" t="str">
        <f>IF($L310="","",IF($L310&lt;=$M310*BB設定!$B$7,"スクイーズ★",IF($L310&lt;=$M310*1.3,"収縮","－")))</f>
        <v/>
      </c>
      <c r="O310" s="500" t="str">
        <f>IF($D310="","",IF(AND(BB_帯幅!B310&gt;BB_帯幅!C310,BB_帯幅!C310&gt;BB_帯幅!D310),"拡大↑","縮小↓"))</f>
        <v/>
      </c>
      <c r="P310" s="500" t="str">
        <f t="shared" si="46"/>
        <v/>
      </c>
      <c r="Q310" s="503" t="str">
        <f>IF($D310="","",IFERROR(100-100/(1+SUMPRODUCT((終値!E310:R310&gt;終値!F310:S310)*(終値!E310:R310-終値!F310:S310))/SUMPRODUCT((終値!E310:R310&lt;終値!F310:S310)*(終値!F310:S310-終値!E310:R310))),100))</f>
        <v/>
      </c>
      <c r="R310" s="503"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0"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0" t="str">
        <f t="shared" si="47"/>
        <v/>
      </c>
      <c r="U310" s="500" t="str">
        <f>IF(終値!A310="","",BB_スイング!BT310)</f>
        <v/>
      </c>
      <c r="V310" s="508" t="str">
        <f>IF($D310="","",IFERROR(出来高!E310/AVERAGE(出来高!E310:I310),""))</f>
        <v/>
      </c>
      <c r="W310" s="509"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4" t="str">
        <f t="shared" si="53"/>
        <v/>
      </c>
      <c r="Y310" s="501" t="str">
        <f t="shared" si="48"/>
        <v/>
      </c>
      <c r="Z310" s="501" t="str">
        <f t="shared" si="49"/>
        <v/>
      </c>
      <c r="AA310" s="501" t="str">
        <f t="shared" si="50"/>
        <v/>
      </c>
      <c r="AB310" s="501" t="str">
        <f t="shared" si="54"/>
        <v/>
      </c>
      <c r="AC310" s="507" t="str">
        <f t="shared" si="51"/>
        <v/>
      </c>
      <c r="AD310" s="501" t="str">
        <f>IF($D310="","",MIN(終値!E310:I310))</f>
        <v/>
      </c>
      <c r="AE310" s="503" t="str">
        <f t="shared" si="52"/>
        <v/>
      </c>
    </row>
    <row r="311" spans="1:31">
      <c r="A311" s="500" t="str">
        <f>IF(終値!A311="","",HYPERLINK("https://kabutan.jp/stock/?code="&amp;終値!A311,"📈"))</f>
        <v/>
      </c>
      <c r="B311" s="500" t="str">
        <f>IF(終値!A311="","",終値!A311)</f>
        <v/>
      </c>
      <c r="C311" s="499" t="str">
        <f>IF(終値!A311="","",終値!B311)</f>
        <v/>
      </c>
      <c r="D311" s="501" t="str">
        <f>IF(終値!A311="","",終値!E311)</f>
        <v/>
      </c>
      <c r="E311" s="501" t="str">
        <f>IF($D311="","",AVERAGE(終値!E311:X311))</f>
        <v/>
      </c>
      <c r="F311" s="502" t="str">
        <f>IF($D311="","",STDEVP(終値!E311:X311))</f>
        <v/>
      </c>
      <c r="G311" s="501" t="str">
        <f>IF($D311="","",$E311+BB設定!$B$4*$F311)</f>
        <v/>
      </c>
      <c r="H311" s="501" t="str">
        <f>IF($D311="","",$E311+BB設定!$B$5*$F311)</f>
        <v/>
      </c>
      <c r="I311" s="501" t="str">
        <f>IF($D311="","",$E311-BB設定!$B$5*$F311)</f>
        <v/>
      </c>
      <c r="J311" s="501" t="str">
        <f>IF($D311="","",$E311-BB設定!$B$4*$F311)</f>
        <v/>
      </c>
      <c r="K311" s="506" t="str">
        <f t="shared" si="44"/>
        <v/>
      </c>
      <c r="L311" s="505" t="str">
        <f t="shared" si="45"/>
        <v/>
      </c>
      <c r="M311" s="505" t="str">
        <f>IF($D311="","",IFERROR(MIN(BB_帯幅!B311:AP311)*100,""))</f>
        <v/>
      </c>
      <c r="N311" s="500" t="str">
        <f>IF($L311="","",IF($L311&lt;=$M311*BB設定!$B$7,"スクイーズ★",IF($L311&lt;=$M311*1.3,"収縮","－")))</f>
        <v/>
      </c>
      <c r="O311" s="500" t="str">
        <f>IF($D311="","",IF(AND(BB_帯幅!B311&gt;BB_帯幅!C311,BB_帯幅!C311&gt;BB_帯幅!D311),"拡大↑","縮小↓"))</f>
        <v/>
      </c>
      <c r="P311" s="500" t="str">
        <f t="shared" si="46"/>
        <v/>
      </c>
      <c r="Q311" s="503" t="str">
        <f>IF($D311="","",IFERROR(100-100/(1+SUMPRODUCT((終値!E311:R311&gt;終値!F311:S311)*(終値!E311:R311-終値!F311:S311))/SUMPRODUCT((終値!E311:R311&lt;終値!F311:S311)*(終値!F311:S311-終値!E311:R311))),100))</f>
        <v/>
      </c>
      <c r="R311" s="503"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0"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0" t="str">
        <f t="shared" si="47"/>
        <v/>
      </c>
      <c r="U311" s="500" t="str">
        <f>IF(終値!A311="","",BB_スイング!BT311)</f>
        <v/>
      </c>
      <c r="V311" s="508" t="str">
        <f>IF($D311="","",IFERROR(出来高!E311/AVERAGE(出来高!E311:I311),""))</f>
        <v/>
      </c>
      <c r="W311" s="509"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4" t="str">
        <f t="shared" si="53"/>
        <v/>
      </c>
      <c r="Y311" s="501" t="str">
        <f t="shared" si="48"/>
        <v/>
      </c>
      <c r="Z311" s="501" t="str">
        <f t="shared" si="49"/>
        <v/>
      </c>
      <c r="AA311" s="501" t="str">
        <f t="shared" si="50"/>
        <v/>
      </c>
      <c r="AB311" s="501" t="str">
        <f t="shared" si="54"/>
        <v/>
      </c>
      <c r="AC311" s="507" t="str">
        <f t="shared" si="51"/>
        <v/>
      </c>
      <c r="AD311" s="501" t="str">
        <f>IF($D311="","",MIN(終値!E311:I311))</f>
        <v/>
      </c>
      <c r="AE311" s="503" t="str">
        <f t="shared" si="52"/>
        <v/>
      </c>
    </row>
    <row r="312" spans="1:31">
      <c r="A312" s="500" t="str">
        <f>IF(終値!A312="","",HYPERLINK("https://kabutan.jp/stock/?code="&amp;終値!A312,"📈"))</f>
        <v/>
      </c>
      <c r="B312" s="500" t="str">
        <f>IF(終値!A312="","",終値!A312)</f>
        <v/>
      </c>
      <c r="C312" s="499" t="str">
        <f>IF(終値!A312="","",終値!B312)</f>
        <v/>
      </c>
      <c r="D312" s="501" t="str">
        <f>IF(終値!A312="","",終値!E312)</f>
        <v/>
      </c>
      <c r="E312" s="501" t="str">
        <f>IF($D312="","",AVERAGE(終値!E312:X312))</f>
        <v/>
      </c>
      <c r="F312" s="502" t="str">
        <f>IF($D312="","",STDEVP(終値!E312:X312))</f>
        <v/>
      </c>
      <c r="G312" s="501" t="str">
        <f>IF($D312="","",$E312+BB設定!$B$4*$F312)</f>
        <v/>
      </c>
      <c r="H312" s="501" t="str">
        <f>IF($D312="","",$E312+BB設定!$B$5*$F312)</f>
        <v/>
      </c>
      <c r="I312" s="501" t="str">
        <f>IF($D312="","",$E312-BB設定!$B$5*$F312)</f>
        <v/>
      </c>
      <c r="J312" s="501" t="str">
        <f>IF($D312="","",$E312-BB設定!$B$4*$F312)</f>
        <v/>
      </c>
      <c r="K312" s="506" t="str">
        <f t="shared" si="44"/>
        <v/>
      </c>
      <c r="L312" s="505" t="str">
        <f t="shared" si="45"/>
        <v/>
      </c>
      <c r="M312" s="505" t="str">
        <f>IF($D312="","",IFERROR(MIN(BB_帯幅!B312:AP312)*100,""))</f>
        <v/>
      </c>
      <c r="N312" s="500" t="str">
        <f>IF($L312="","",IF($L312&lt;=$M312*BB設定!$B$7,"スクイーズ★",IF($L312&lt;=$M312*1.3,"収縮","－")))</f>
        <v/>
      </c>
      <c r="O312" s="500" t="str">
        <f>IF($D312="","",IF(AND(BB_帯幅!B312&gt;BB_帯幅!C312,BB_帯幅!C312&gt;BB_帯幅!D312),"拡大↑","縮小↓"))</f>
        <v/>
      </c>
      <c r="P312" s="500" t="str">
        <f t="shared" si="46"/>
        <v/>
      </c>
      <c r="Q312" s="503" t="str">
        <f>IF($D312="","",IFERROR(100-100/(1+SUMPRODUCT((終値!E312:R312&gt;終値!F312:S312)*(終値!E312:R312-終値!F312:S312))/SUMPRODUCT((終値!E312:R312&lt;終値!F312:S312)*(終値!F312:S312-終値!E312:R312))),100))</f>
        <v/>
      </c>
      <c r="R312" s="503"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0"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0" t="str">
        <f t="shared" si="47"/>
        <v/>
      </c>
      <c r="U312" s="500" t="str">
        <f>IF(終値!A312="","",BB_スイング!BT312)</f>
        <v/>
      </c>
      <c r="V312" s="508" t="str">
        <f>IF($D312="","",IFERROR(出来高!E312/AVERAGE(出来高!E312:I312),""))</f>
        <v/>
      </c>
      <c r="W312" s="509"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4" t="str">
        <f t="shared" si="53"/>
        <v/>
      </c>
      <c r="Y312" s="501" t="str">
        <f t="shared" si="48"/>
        <v/>
      </c>
      <c r="Z312" s="501" t="str">
        <f t="shared" si="49"/>
        <v/>
      </c>
      <c r="AA312" s="501" t="str">
        <f t="shared" si="50"/>
        <v/>
      </c>
      <c r="AB312" s="501" t="str">
        <f t="shared" si="54"/>
        <v/>
      </c>
      <c r="AC312" s="507" t="str">
        <f t="shared" si="51"/>
        <v/>
      </c>
      <c r="AD312" s="501" t="str">
        <f>IF($D312="","",MIN(終値!E312:I312))</f>
        <v/>
      </c>
      <c r="AE312" s="503" t="str">
        <f t="shared" si="52"/>
        <v/>
      </c>
    </row>
    <row r="313" spans="1:31">
      <c r="A313" s="500" t="str">
        <f>IF(終値!A313="","",HYPERLINK("https://kabutan.jp/stock/?code="&amp;終値!A313,"📈"))</f>
        <v/>
      </c>
      <c r="B313" s="500" t="str">
        <f>IF(終値!A313="","",終値!A313)</f>
        <v/>
      </c>
      <c r="C313" s="499" t="str">
        <f>IF(終値!A313="","",終値!B313)</f>
        <v/>
      </c>
      <c r="D313" s="501" t="str">
        <f>IF(終値!A313="","",終値!E313)</f>
        <v/>
      </c>
      <c r="E313" s="501" t="str">
        <f>IF($D313="","",AVERAGE(終値!E313:X313))</f>
        <v/>
      </c>
      <c r="F313" s="502" t="str">
        <f>IF($D313="","",STDEVP(終値!E313:X313))</f>
        <v/>
      </c>
      <c r="G313" s="501" t="str">
        <f>IF($D313="","",$E313+BB設定!$B$4*$F313)</f>
        <v/>
      </c>
      <c r="H313" s="501" t="str">
        <f>IF($D313="","",$E313+BB設定!$B$5*$F313)</f>
        <v/>
      </c>
      <c r="I313" s="501" t="str">
        <f>IF($D313="","",$E313-BB設定!$B$5*$F313)</f>
        <v/>
      </c>
      <c r="J313" s="501" t="str">
        <f>IF($D313="","",$E313-BB設定!$B$4*$F313)</f>
        <v/>
      </c>
      <c r="K313" s="506" t="str">
        <f t="shared" si="44"/>
        <v/>
      </c>
      <c r="L313" s="505" t="str">
        <f t="shared" si="45"/>
        <v/>
      </c>
      <c r="M313" s="505" t="str">
        <f>IF($D313="","",IFERROR(MIN(BB_帯幅!B313:AP313)*100,""))</f>
        <v/>
      </c>
      <c r="N313" s="500" t="str">
        <f>IF($L313="","",IF($L313&lt;=$M313*BB設定!$B$7,"スクイーズ★",IF($L313&lt;=$M313*1.3,"収縮","－")))</f>
        <v/>
      </c>
      <c r="O313" s="500" t="str">
        <f>IF($D313="","",IF(AND(BB_帯幅!B313&gt;BB_帯幅!C313,BB_帯幅!C313&gt;BB_帯幅!D313),"拡大↑","縮小↓"))</f>
        <v/>
      </c>
      <c r="P313" s="500" t="str">
        <f t="shared" si="46"/>
        <v/>
      </c>
      <c r="Q313" s="503" t="str">
        <f>IF($D313="","",IFERROR(100-100/(1+SUMPRODUCT((終値!E313:R313&gt;終値!F313:S313)*(終値!E313:R313-終値!F313:S313))/SUMPRODUCT((終値!E313:R313&lt;終値!F313:S313)*(終値!F313:S313-終値!E313:R313))),100))</f>
        <v/>
      </c>
      <c r="R313" s="503"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0"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0" t="str">
        <f t="shared" si="47"/>
        <v/>
      </c>
      <c r="U313" s="500" t="str">
        <f>IF(終値!A313="","",BB_スイング!BT313)</f>
        <v/>
      </c>
      <c r="V313" s="508" t="str">
        <f>IF($D313="","",IFERROR(出来高!E313/AVERAGE(出来高!E313:I313),""))</f>
        <v/>
      </c>
      <c r="W313" s="509"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4" t="str">
        <f t="shared" si="53"/>
        <v/>
      </c>
      <c r="Y313" s="501" t="str">
        <f t="shared" si="48"/>
        <v/>
      </c>
      <c r="Z313" s="501" t="str">
        <f t="shared" si="49"/>
        <v/>
      </c>
      <c r="AA313" s="501" t="str">
        <f t="shared" si="50"/>
        <v/>
      </c>
      <c r="AB313" s="501" t="str">
        <f t="shared" si="54"/>
        <v/>
      </c>
      <c r="AC313" s="507" t="str">
        <f t="shared" si="51"/>
        <v/>
      </c>
      <c r="AD313" s="501" t="str">
        <f>IF($D313="","",MIN(終値!E313:I313))</f>
        <v/>
      </c>
      <c r="AE313" s="503" t="str">
        <f t="shared" si="52"/>
        <v/>
      </c>
    </row>
    <row r="314" spans="1:31">
      <c r="A314" s="500" t="str">
        <f>IF(終値!A314="","",HYPERLINK("https://kabutan.jp/stock/?code="&amp;終値!A314,"📈"))</f>
        <v/>
      </c>
      <c r="B314" s="500" t="str">
        <f>IF(終値!A314="","",終値!A314)</f>
        <v/>
      </c>
      <c r="C314" s="499" t="str">
        <f>IF(終値!A314="","",終値!B314)</f>
        <v/>
      </c>
      <c r="D314" s="501" t="str">
        <f>IF(終値!A314="","",終値!E314)</f>
        <v/>
      </c>
      <c r="E314" s="501" t="str">
        <f>IF($D314="","",AVERAGE(終値!E314:X314))</f>
        <v/>
      </c>
      <c r="F314" s="502" t="str">
        <f>IF($D314="","",STDEVP(終値!E314:X314))</f>
        <v/>
      </c>
      <c r="G314" s="501" t="str">
        <f>IF($D314="","",$E314+BB設定!$B$4*$F314)</f>
        <v/>
      </c>
      <c r="H314" s="501" t="str">
        <f>IF($D314="","",$E314+BB設定!$B$5*$F314)</f>
        <v/>
      </c>
      <c r="I314" s="501" t="str">
        <f>IF($D314="","",$E314-BB設定!$B$5*$F314)</f>
        <v/>
      </c>
      <c r="J314" s="501" t="str">
        <f>IF($D314="","",$E314-BB設定!$B$4*$F314)</f>
        <v/>
      </c>
      <c r="K314" s="506" t="str">
        <f t="shared" si="44"/>
        <v/>
      </c>
      <c r="L314" s="505" t="str">
        <f t="shared" si="45"/>
        <v/>
      </c>
      <c r="M314" s="505" t="str">
        <f>IF($D314="","",IFERROR(MIN(BB_帯幅!B314:AP314)*100,""))</f>
        <v/>
      </c>
      <c r="N314" s="500" t="str">
        <f>IF($L314="","",IF($L314&lt;=$M314*BB設定!$B$7,"スクイーズ★",IF($L314&lt;=$M314*1.3,"収縮","－")))</f>
        <v/>
      </c>
      <c r="O314" s="500" t="str">
        <f>IF($D314="","",IF(AND(BB_帯幅!B314&gt;BB_帯幅!C314,BB_帯幅!C314&gt;BB_帯幅!D314),"拡大↑","縮小↓"))</f>
        <v/>
      </c>
      <c r="P314" s="500" t="str">
        <f t="shared" si="46"/>
        <v/>
      </c>
      <c r="Q314" s="503" t="str">
        <f>IF($D314="","",IFERROR(100-100/(1+SUMPRODUCT((終値!E314:R314&gt;終値!F314:S314)*(終値!E314:R314-終値!F314:S314))/SUMPRODUCT((終値!E314:R314&lt;終値!F314:S314)*(終値!F314:S314-終値!E314:R314))),100))</f>
        <v/>
      </c>
      <c r="R314" s="503"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0"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0" t="str">
        <f t="shared" si="47"/>
        <v/>
      </c>
      <c r="U314" s="500" t="str">
        <f>IF(終値!A314="","",BB_スイング!BT314)</f>
        <v/>
      </c>
      <c r="V314" s="508" t="str">
        <f>IF($D314="","",IFERROR(出来高!E314/AVERAGE(出来高!E314:I314),""))</f>
        <v/>
      </c>
      <c r="W314" s="509"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4" t="str">
        <f t="shared" si="53"/>
        <v/>
      </c>
      <c r="Y314" s="501" t="str">
        <f t="shared" si="48"/>
        <v/>
      </c>
      <c r="Z314" s="501" t="str">
        <f t="shared" si="49"/>
        <v/>
      </c>
      <c r="AA314" s="501" t="str">
        <f t="shared" si="50"/>
        <v/>
      </c>
      <c r="AB314" s="501" t="str">
        <f t="shared" si="54"/>
        <v/>
      </c>
      <c r="AC314" s="507" t="str">
        <f t="shared" si="51"/>
        <v/>
      </c>
      <c r="AD314" s="501" t="str">
        <f>IF($D314="","",MIN(終値!E314:I314))</f>
        <v/>
      </c>
      <c r="AE314" s="503" t="str">
        <f t="shared" si="52"/>
        <v/>
      </c>
    </row>
    <row r="315" spans="1:31">
      <c r="A315" s="500" t="str">
        <f>IF(終値!A315="","",HYPERLINK("https://kabutan.jp/stock/?code="&amp;終値!A315,"📈"))</f>
        <v/>
      </c>
      <c r="B315" s="500" t="str">
        <f>IF(終値!A315="","",終値!A315)</f>
        <v/>
      </c>
      <c r="C315" s="499" t="str">
        <f>IF(終値!A315="","",終値!B315)</f>
        <v/>
      </c>
      <c r="D315" s="501" t="str">
        <f>IF(終値!A315="","",終値!E315)</f>
        <v/>
      </c>
      <c r="E315" s="501" t="str">
        <f>IF($D315="","",AVERAGE(終値!E315:X315))</f>
        <v/>
      </c>
      <c r="F315" s="502" t="str">
        <f>IF($D315="","",STDEVP(終値!E315:X315))</f>
        <v/>
      </c>
      <c r="G315" s="501" t="str">
        <f>IF($D315="","",$E315+BB設定!$B$4*$F315)</f>
        <v/>
      </c>
      <c r="H315" s="501" t="str">
        <f>IF($D315="","",$E315+BB設定!$B$5*$F315)</f>
        <v/>
      </c>
      <c r="I315" s="501" t="str">
        <f>IF($D315="","",$E315-BB設定!$B$5*$F315)</f>
        <v/>
      </c>
      <c r="J315" s="501" t="str">
        <f>IF($D315="","",$E315-BB設定!$B$4*$F315)</f>
        <v/>
      </c>
      <c r="K315" s="506" t="str">
        <f t="shared" si="44"/>
        <v/>
      </c>
      <c r="L315" s="505" t="str">
        <f t="shared" si="45"/>
        <v/>
      </c>
      <c r="M315" s="505" t="str">
        <f>IF($D315="","",IFERROR(MIN(BB_帯幅!B315:AP315)*100,""))</f>
        <v/>
      </c>
      <c r="N315" s="500" t="str">
        <f>IF($L315="","",IF($L315&lt;=$M315*BB設定!$B$7,"スクイーズ★",IF($L315&lt;=$M315*1.3,"収縮","－")))</f>
        <v/>
      </c>
      <c r="O315" s="500" t="str">
        <f>IF($D315="","",IF(AND(BB_帯幅!B315&gt;BB_帯幅!C315,BB_帯幅!C315&gt;BB_帯幅!D315),"拡大↑","縮小↓"))</f>
        <v/>
      </c>
      <c r="P315" s="500" t="str">
        <f t="shared" si="46"/>
        <v/>
      </c>
      <c r="Q315" s="503" t="str">
        <f>IF($D315="","",IFERROR(100-100/(1+SUMPRODUCT((終値!E315:R315&gt;終値!F315:S315)*(終値!E315:R315-終値!F315:S315))/SUMPRODUCT((終値!E315:R315&lt;終値!F315:S315)*(終値!F315:S315-終値!E315:R315))),100))</f>
        <v/>
      </c>
      <c r="R315" s="503"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0"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0" t="str">
        <f t="shared" si="47"/>
        <v/>
      </c>
      <c r="U315" s="500" t="str">
        <f>IF(終値!A315="","",BB_スイング!BT315)</f>
        <v/>
      </c>
      <c r="V315" s="508" t="str">
        <f>IF($D315="","",IFERROR(出来高!E315/AVERAGE(出来高!E315:I315),""))</f>
        <v/>
      </c>
      <c r="W315" s="509"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4" t="str">
        <f t="shared" si="53"/>
        <v/>
      </c>
      <c r="Y315" s="501" t="str">
        <f t="shared" si="48"/>
        <v/>
      </c>
      <c r="Z315" s="501" t="str">
        <f t="shared" si="49"/>
        <v/>
      </c>
      <c r="AA315" s="501" t="str">
        <f t="shared" si="50"/>
        <v/>
      </c>
      <c r="AB315" s="501" t="str">
        <f t="shared" si="54"/>
        <v/>
      </c>
      <c r="AC315" s="507" t="str">
        <f t="shared" si="51"/>
        <v/>
      </c>
      <c r="AD315" s="501" t="str">
        <f>IF($D315="","",MIN(終値!E315:I315))</f>
        <v/>
      </c>
      <c r="AE315" s="503" t="str">
        <f t="shared" si="52"/>
        <v/>
      </c>
    </row>
    <row r="316" spans="1:31">
      <c r="A316" s="500" t="str">
        <f>IF(終値!A316="","",HYPERLINK("https://kabutan.jp/stock/?code="&amp;終値!A316,"📈"))</f>
        <v/>
      </c>
      <c r="B316" s="500" t="str">
        <f>IF(終値!A316="","",終値!A316)</f>
        <v/>
      </c>
      <c r="C316" s="499" t="str">
        <f>IF(終値!A316="","",終値!B316)</f>
        <v/>
      </c>
      <c r="D316" s="501" t="str">
        <f>IF(終値!A316="","",終値!E316)</f>
        <v/>
      </c>
      <c r="E316" s="501" t="str">
        <f>IF($D316="","",AVERAGE(終値!E316:X316))</f>
        <v/>
      </c>
      <c r="F316" s="502" t="str">
        <f>IF($D316="","",STDEVP(終値!E316:X316))</f>
        <v/>
      </c>
      <c r="G316" s="501" t="str">
        <f>IF($D316="","",$E316+BB設定!$B$4*$F316)</f>
        <v/>
      </c>
      <c r="H316" s="501" t="str">
        <f>IF($D316="","",$E316+BB設定!$B$5*$F316)</f>
        <v/>
      </c>
      <c r="I316" s="501" t="str">
        <f>IF($D316="","",$E316-BB設定!$B$5*$F316)</f>
        <v/>
      </c>
      <c r="J316" s="501" t="str">
        <f>IF($D316="","",$E316-BB設定!$B$4*$F316)</f>
        <v/>
      </c>
      <c r="K316" s="506" t="str">
        <f t="shared" si="44"/>
        <v/>
      </c>
      <c r="L316" s="505" t="str">
        <f t="shared" si="45"/>
        <v/>
      </c>
      <c r="M316" s="505" t="str">
        <f>IF($D316="","",IFERROR(MIN(BB_帯幅!B316:AP316)*100,""))</f>
        <v/>
      </c>
      <c r="N316" s="500" t="str">
        <f>IF($L316="","",IF($L316&lt;=$M316*BB設定!$B$7,"スクイーズ★",IF($L316&lt;=$M316*1.3,"収縮","－")))</f>
        <v/>
      </c>
      <c r="O316" s="500" t="str">
        <f>IF($D316="","",IF(AND(BB_帯幅!B316&gt;BB_帯幅!C316,BB_帯幅!C316&gt;BB_帯幅!D316),"拡大↑","縮小↓"))</f>
        <v/>
      </c>
      <c r="P316" s="500" t="str">
        <f t="shared" si="46"/>
        <v/>
      </c>
      <c r="Q316" s="503" t="str">
        <f>IF($D316="","",IFERROR(100-100/(1+SUMPRODUCT((終値!E316:R316&gt;終値!F316:S316)*(終値!E316:R316-終値!F316:S316))/SUMPRODUCT((終値!E316:R316&lt;終値!F316:S316)*(終値!F316:S316-終値!E316:R316))),100))</f>
        <v/>
      </c>
      <c r="R316" s="503"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0"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0" t="str">
        <f t="shared" si="47"/>
        <v/>
      </c>
      <c r="U316" s="500" t="str">
        <f>IF(終値!A316="","",BB_スイング!BT316)</f>
        <v/>
      </c>
      <c r="V316" s="508" t="str">
        <f>IF($D316="","",IFERROR(出来高!E316/AVERAGE(出来高!E316:I316),""))</f>
        <v/>
      </c>
      <c r="W316" s="509"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4" t="str">
        <f t="shared" si="53"/>
        <v/>
      </c>
      <c r="Y316" s="501" t="str">
        <f t="shared" si="48"/>
        <v/>
      </c>
      <c r="Z316" s="501" t="str">
        <f t="shared" si="49"/>
        <v/>
      </c>
      <c r="AA316" s="501" t="str">
        <f t="shared" si="50"/>
        <v/>
      </c>
      <c r="AB316" s="501" t="str">
        <f t="shared" si="54"/>
        <v/>
      </c>
      <c r="AC316" s="507" t="str">
        <f t="shared" si="51"/>
        <v/>
      </c>
      <c r="AD316" s="501" t="str">
        <f>IF($D316="","",MIN(終値!E316:I316))</f>
        <v/>
      </c>
      <c r="AE316" s="503" t="str">
        <f t="shared" si="52"/>
        <v/>
      </c>
    </row>
    <row r="317" spans="1:31">
      <c r="A317" s="500" t="str">
        <f>IF(終値!A317="","",HYPERLINK("https://kabutan.jp/stock/?code="&amp;終値!A317,"📈"))</f>
        <v/>
      </c>
      <c r="B317" s="500" t="str">
        <f>IF(終値!A317="","",終値!A317)</f>
        <v/>
      </c>
      <c r="C317" s="499" t="str">
        <f>IF(終値!A317="","",終値!B317)</f>
        <v/>
      </c>
      <c r="D317" s="501" t="str">
        <f>IF(終値!A317="","",終値!E317)</f>
        <v/>
      </c>
      <c r="E317" s="501" t="str">
        <f>IF($D317="","",AVERAGE(終値!E317:X317))</f>
        <v/>
      </c>
      <c r="F317" s="502" t="str">
        <f>IF($D317="","",STDEVP(終値!E317:X317))</f>
        <v/>
      </c>
      <c r="G317" s="501" t="str">
        <f>IF($D317="","",$E317+BB設定!$B$4*$F317)</f>
        <v/>
      </c>
      <c r="H317" s="501" t="str">
        <f>IF($D317="","",$E317+BB設定!$B$5*$F317)</f>
        <v/>
      </c>
      <c r="I317" s="501" t="str">
        <f>IF($D317="","",$E317-BB設定!$B$5*$F317)</f>
        <v/>
      </c>
      <c r="J317" s="501" t="str">
        <f>IF($D317="","",$E317-BB設定!$B$4*$F317)</f>
        <v/>
      </c>
      <c r="K317" s="506" t="str">
        <f t="shared" si="44"/>
        <v/>
      </c>
      <c r="L317" s="505" t="str">
        <f t="shared" si="45"/>
        <v/>
      </c>
      <c r="M317" s="505" t="str">
        <f>IF($D317="","",IFERROR(MIN(BB_帯幅!B317:AP317)*100,""))</f>
        <v/>
      </c>
      <c r="N317" s="500" t="str">
        <f>IF($L317="","",IF($L317&lt;=$M317*BB設定!$B$7,"スクイーズ★",IF($L317&lt;=$M317*1.3,"収縮","－")))</f>
        <v/>
      </c>
      <c r="O317" s="500" t="str">
        <f>IF($D317="","",IF(AND(BB_帯幅!B317&gt;BB_帯幅!C317,BB_帯幅!C317&gt;BB_帯幅!D317),"拡大↑","縮小↓"))</f>
        <v/>
      </c>
      <c r="P317" s="500" t="str">
        <f t="shared" si="46"/>
        <v/>
      </c>
      <c r="Q317" s="503" t="str">
        <f>IF($D317="","",IFERROR(100-100/(1+SUMPRODUCT((終値!E317:R317&gt;終値!F317:S317)*(終値!E317:R317-終値!F317:S317))/SUMPRODUCT((終値!E317:R317&lt;終値!F317:S317)*(終値!F317:S317-終値!E317:R317))),100))</f>
        <v/>
      </c>
      <c r="R317" s="503"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0"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0" t="str">
        <f t="shared" si="47"/>
        <v/>
      </c>
      <c r="U317" s="500" t="str">
        <f>IF(終値!A317="","",BB_スイング!BT317)</f>
        <v/>
      </c>
      <c r="V317" s="508" t="str">
        <f>IF($D317="","",IFERROR(出来高!E317/AVERAGE(出来高!E317:I317),""))</f>
        <v/>
      </c>
      <c r="W317" s="509"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4" t="str">
        <f t="shared" si="53"/>
        <v/>
      </c>
      <c r="Y317" s="501" t="str">
        <f t="shared" si="48"/>
        <v/>
      </c>
      <c r="Z317" s="501" t="str">
        <f t="shared" si="49"/>
        <v/>
      </c>
      <c r="AA317" s="501" t="str">
        <f t="shared" si="50"/>
        <v/>
      </c>
      <c r="AB317" s="501" t="str">
        <f t="shared" si="54"/>
        <v/>
      </c>
      <c r="AC317" s="507" t="str">
        <f t="shared" si="51"/>
        <v/>
      </c>
      <c r="AD317" s="501" t="str">
        <f>IF($D317="","",MIN(終値!E317:I317))</f>
        <v/>
      </c>
      <c r="AE317" s="503" t="str">
        <f t="shared" si="52"/>
        <v/>
      </c>
    </row>
    <row r="318" spans="1:31">
      <c r="A318" s="500" t="str">
        <f>IF(終値!A318="","",HYPERLINK("https://kabutan.jp/stock/?code="&amp;終値!A318,"📈"))</f>
        <v/>
      </c>
      <c r="B318" s="500" t="str">
        <f>IF(終値!A318="","",終値!A318)</f>
        <v/>
      </c>
      <c r="C318" s="499" t="str">
        <f>IF(終値!A318="","",終値!B318)</f>
        <v/>
      </c>
      <c r="D318" s="501" t="str">
        <f>IF(終値!A318="","",終値!E318)</f>
        <v/>
      </c>
      <c r="E318" s="501" t="str">
        <f>IF($D318="","",AVERAGE(終値!E318:X318))</f>
        <v/>
      </c>
      <c r="F318" s="502" t="str">
        <f>IF($D318="","",STDEVP(終値!E318:X318))</f>
        <v/>
      </c>
      <c r="G318" s="501" t="str">
        <f>IF($D318="","",$E318+BB設定!$B$4*$F318)</f>
        <v/>
      </c>
      <c r="H318" s="501" t="str">
        <f>IF($D318="","",$E318+BB設定!$B$5*$F318)</f>
        <v/>
      </c>
      <c r="I318" s="501" t="str">
        <f>IF($D318="","",$E318-BB設定!$B$5*$F318)</f>
        <v/>
      </c>
      <c r="J318" s="501" t="str">
        <f>IF($D318="","",$E318-BB設定!$B$4*$F318)</f>
        <v/>
      </c>
      <c r="K318" s="506" t="str">
        <f t="shared" si="44"/>
        <v/>
      </c>
      <c r="L318" s="505" t="str">
        <f t="shared" si="45"/>
        <v/>
      </c>
      <c r="M318" s="505" t="str">
        <f>IF($D318="","",IFERROR(MIN(BB_帯幅!B318:AP318)*100,""))</f>
        <v/>
      </c>
      <c r="N318" s="500" t="str">
        <f>IF($L318="","",IF($L318&lt;=$M318*BB設定!$B$7,"スクイーズ★",IF($L318&lt;=$M318*1.3,"収縮","－")))</f>
        <v/>
      </c>
      <c r="O318" s="500" t="str">
        <f>IF($D318="","",IF(AND(BB_帯幅!B318&gt;BB_帯幅!C318,BB_帯幅!C318&gt;BB_帯幅!D318),"拡大↑","縮小↓"))</f>
        <v/>
      </c>
      <c r="P318" s="500" t="str">
        <f t="shared" si="46"/>
        <v/>
      </c>
      <c r="Q318" s="503" t="str">
        <f>IF($D318="","",IFERROR(100-100/(1+SUMPRODUCT((終値!E318:R318&gt;終値!F318:S318)*(終値!E318:R318-終値!F318:S318))/SUMPRODUCT((終値!E318:R318&lt;終値!F318:S318)*(終値!F318:S318-終値!E318:R318))),100))</f>
        <v/>
      </c>
      <c r="R318" s="503"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0"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0" t="str">
        <f t="shared" si="47"/>
        <v/>
      </c>
      <c r="U318" s="500" t="str">
        <f>IF(終値!A318="","",BB_スイング!BT318)</f>
        <v/>
      </c>
      <c r="V318" s="508" t="str">
        <f>IF($D318="","",IFERROR(出来高!E318/AVERAGE(出来高!E318:I318),""))</f>
        <v/>
      </c>
      <c r="W318" s="509"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4" t="str">
        <f t="shared" si="53"/>
        <v/>
      </c>
      <c r="Y318" s="501" t="str">
        <f t="shared" si="48"/>
        <v/>
      </c>
      <c r="Z318" s="501" t="str">
        <f t="shared" si="49"/>
        <v/>
      </c>
      <c r="AA318" s="501" t="str">
        <f t="shared" si="50"/>
        <v/>
      </c>
      <c r="AB318" s="501" t="str">
        <f t="shared" si="54"/>
        <v/>
      </c>
      <c r="AC318" s="507" t="str">
        <f t="shared" si="51"/>
        <v/>
      </c>
      <c r="AD318" s="501" t="str">
        <f>IF($D318="","",MIN(終値!E318:I318))</f>
        <v/>
      </c>
      <c r="AE318" s="503" t="str">
        <f t="shared" si="52"/>
        <v/>
      </c>
    </row>
    <row r="319" spans="1:31">
      <c r="A319" s="500" t="str">
        <f>IF(終値!A319="","",HYPERLINK("https://kabutan.jp/stock/?code="&amp;終値!A319,"📈"))</f>
        <v/>
      </c>
      <c r="B319" s="500" t="str">
        <f>IF(終値!A319="","",終値!A319)</f>
        <v/>
      </c>
      <c r="C319" s="499" t="str">
        <f>IF(終値!A319="","",終値!B319)</f>
        <v/>
      </c>
      <c r="D319" s="501" t="str">
        <f>IF(終値!A319="","",終値!E319)</f>
        <v/>
      </c>
      <c r="E319" s="501" t="str">
        <f>IF($D319="","",AVERAGE(終値!E319:X319))</f>
        <v/>
      </c>
      <c r="F319" s="502" t="str">
        <f>IF($D319="","",STDEVP(終値!E319:X319))</f>
        <v/>
      </c>
      <c r="G319" s="501" t="str">
        <f>IF($D319="","",$E319+BB設定!$B$4*$F319)</f>
        <v/>
      </c>
      <c r="H319" s="501" t="str">
        <f>IF($D319="","",$E319+BB設定!$B$5*$F319)</f>
        <v/>
      </c>
      <c r="I319" s="501" t="str">
        <f>IF($D319="","",$E319-BB設定!$B$5*$F319)</f>
        <v/>
      </c>
      <c r="J319" s="501" t="str">
        <f>IF($D319="","",$E319-BB設定!$B$4*$F319)</f>
        <v/>
      </c>
      <c r="K319" s="506" t="str">
        <f t="shared" si="44"/>
        <v/>
      </c>
      <c r="L319" s="505" t="str">
        <f t="shared" si="45"/>
        <v/>
      </c>
      <c r="M319" s="505" t="str">
        <f>IF($D319="","",IFERROR(MIN(BB_帯幅!B319:AP319)*100,""))</f>
        <v/>
      </c>
      <c r="N319" s="500" t="str">
        <f>IF($L319="","",IF($L319&lt;=$M319*BB設定!$B$7,"スクイーズ★",IF($L319&lt;=$M319*1.3,"収縮","－")))</f>
        <v/>
      </c>
      <c r="O319" s="500" t="str">
        <f>IF($D319="","",IF(AND(BB_帯幅!B319&gt;BB_帯幅!C319,BB_帯幅!C319&gt;BB_帯幅!D319),"拡大↑","縮小↓"))</f>
        <v/>
      </c>
      <c r="P319" s="500" t="str">
        <f t="shared" si="46"/>
        <v/>
      </c>
      <c r="Q319" s="503" t="str">
        <f>IF($D319="","",IFERROR(100-100/(1+SUMPRODUCT((終値!E319:R319&gt;終値!F319:S319)*(終値!E319:R319-終値!F319:S319))/SUMPRODUCT((終値!E319:R319&lt;終値!F319:S319)*(終値!F319:S319-終値!E319:R319))),100))</f>
        <v/>
      </c>
      <c r="R319" s="503"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0"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0" t="str">
        <f t="shared" si="47"/>
        <v/>
      </c>
      <c r="U319" s="500" t="str">
        <f>IF(終値!A319="","",BB_スイング!BT319)</f>
        <v/>
      </c>
      <c r="V319" s="508" t="str">
        <f>IF($D319="","",IFERROR(出来高!E319/AVERAGE(出来高!E319:I319),""))</f>
        <v/>
      </c>
      <c r="W319" s="509"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4" t="str">
        <f t="shared" si="53"/>
        <v/>
      </c>
      <c r="Y319" s="501" t="str">
        <f t="shared" si="48"/>
        <v/>
      </c>
      <c r="Z319" s="501" t="str">
        <f t="shared" si="49"/>
        <v/>
      </c>
      <c r="AA319" s="501" t="str">
        <f t="shared" si="50"/>
        <v/>
      </c>
      <c r="AB319" s="501" t="str">
        <f t="shared" si="54"/>
        <v/>
      </c>
      <c r="AC319" s="507" t="str">
        <f t="shared" si="51"/>
        <v/>
      </c>
      <c r="AD319" s="501" t="str">
        <f>IF($D319="","",MIN(終値!E319:I319))</f>
        <v/>
      </c>
      <c r="AE319" s="503" t="str">
        <f t="shared" si="52"/>
        <v/>
      </c>
    </row>
    <row r="320" spans="1:31">
      <c r="A320" s="500" t="str">
        <f>IF(終値!A320="","",HYPERLINK("https://kabutan.jp/stock/?code="&amp;終値!A320,"📈"))</f>
        <v/>
      </c>
      <c r="B320" s="500" t="str">
        <f>IF(終値!A320="","",終値!A320)</f>
        <v/>
      </c>
      <c r="C320" s="499" t="str">
        <f>IF(終値!A320="","",終値!B320)</f>
        <v/>
      </c>
      <c r="D320" s="501" t="str">
        <f>IF(終値!A320="","",終値!E320)</f>
        <v/>
      </c>
      <c r="E320" s="501" t="str">
        <f>IF($D320="","",AVERAGE(終値!E320:X320))</f>
        <v/>
      </c>
      <c r="F320" s="502" t="str">
        <f>IF($D320="","",STDEVP(終値!E320:X320))</f>
        <v/>
      </c>
      <c r="G320" s="501" t="str">
        <f>IF($D320="","",$E320+BB設定!$B$4*$F320)</f>
        <v/>
      </c>
      <c r="H320" s="501" t="str">
        <f>IF($D320="","",$E320+BB設定!$B$5*$F320)</f>
        <v/>
      </c>
      <c r="I320" s="501" t="str">
        <f>IF($D320="","",$E320-BB設定!$B$5*$F320)</f>
        <v/>
      </c>
      <c r="J320" s="501" t="str">
        <f>IF($D320="","",$E320-BB設定!$B$4*$F320)</f>
        <v/>
      </c>
      <c r="K320" s="506" t="str">
        <f t="shared" si="44"/>
        <v/>
      </c>
      <c r="L320" s="505" t="str">
        <f t="shared" si="45"/>
        <v/>
      </c>
      <c r="M320" s="505" t="str">
        <f>IF($D320="","",IFERROR(MIN(BB_帯幅!B320:AP320)*100,""))</f>
        <v/>
      </c>
      <c r="N320" s="500" t="str">
        <f>IF($L320="","",IF($L320&lt;=$M320*BB設定!$B$7,"スクイーズ★",IF($L320&lt;=$M320*1.3,"収縮","－")))</f>
        <v/>
      </c>
      <c r="O320" s="500" t="str">
        <f>IF($D320="","",IF(AND(BB_帯幅!B320&gt;BB_帯幅!C320,BB_帯幅!C320&gt;BB_帯幅!D320),"拡大↑","縮小↓"))</f>
        <v/>
      </c>
      <c r="P320" s="500" t="str">
        <f t="shared" si="46"/>
        <v/>
      </c>
      <c r="Q320" s="503" t="str">
        <f>IF($D320="","",IFERROR(100-100/(1+SUMPRODUCT((終値!E320:R320&gt;終値!F320:S320)*(終値!E320:R320-終値!F320:S320))/SUMPRODUCT((終値!E320:R320&lt;終値!F320:S320)*(終値!F320:S320-終値!E320:R320))),100))</f>
        <v/>
      </c>
      <c r="R320" s="503"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0"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0" t="str">
        <f t="shared" si="47"/>
        <v/>
      </c>
      <c r="U320" s="500" t="str">
        <f>IF(終値!A320="","",BB_スイング!BT320)</f>
        <v/>
      </c>
      <c r="V320" s="508" t="str">
        <f>IF($D320="","",IFERROR(出来高!E320/AVERAGE(出来高!E320:I320),""))</f>
        <v/>
      </c>
      <c r="W320" s="509"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4" t="str">
        <f t="shared" si="53"/>
        <v/>
      </c>
      <c r="Y320" s="501" t="str">
        <f t="shared" si="48"/>
        <v/>
      </c>
      <c r="Z320" s="501" t="str">
        <f t="shared" si="49"/>
        <v/>
      </c>
      <c r="AA320" s="501" t="str">
        <f t="shared" si="50"/>
        <v/>
      </c>
      <c r="AB320" s="501" t="str">
        <f t="shared" si="54"/>
        <v/>
      </c>
      <c r="AC320" s="507" t="str">
        <f t="shared" si="51"/>
        <v/>
      </c>
      <c r="AD320" s="501" t="str">
        <f>IF($D320="","",MIN(終値!E320:I320))</f>
        <v/>
      </c>
      <c r="AE320" s="503" t="str">
        <f t="shared" si="52"/>
        <v/>
      </c>
    </row>
    <row r="321" spans="1:31">
      <c r="A321" s="500" t="str">
        <f>IF(終値!A321="","",HYPERLINK("https://kabutan.jp/stock/?code="&amp;終値!A321,"📈"))</f>
        <v/>
      </c>
      <c r="B321" s="500" t="str">
        <f>IF(終値!A321="","",終値!A321)</f>
        <v/>
      </c>
      <c r="C321" s="499" t="str">
        <f>IF(終値!A321="","",終値!B321)</f>
        <v/>
      </c>
      <c r="D321" s="501" t="str">
        <f>IF(終値!A321="","",終値!E321)</f>
        <v/>
      </c>
      <c r="E321" s="501" t="str">
        <f>IF($D321="","",AVERAGE(終値!E321:X321))</f>
        <v/>
      </c>
      <c r="F321" s="502" t="str">
        <f>IF($D321="","",STDEVP(終値!E321:X321))</f>
        <v/>
      </c>
      <c r="G321" s="501" t="str">
        <f>IF($D321="","",$E321+BB設定!$B$4*$F321)</f>
        <v/>
      </c>
      <c r="H321" s="501" t="str">
        <f>IF($D321="","",$E321+BB設定!$B$5*$F321)</f>
        <v/>
      </c>
      <c r="I321" s="501" t="str">
        <f>IF($D321="","",$E321-BB設定!$B$5*$F321)</f>
        <v/>
      </c>
      <c r="J321" s="501" t="str">
        <f>IF($D321="","",$E321-BB設定!$B$4*$F321)</f>
        <v/>
      </c>
      <c r="K321" s="506" t="str">
        <f t="shared" si="44"/>
        <v/>
      </c>
      <c r="L321" s="505" t="str">
        <f t="shared" si="45"/>
        <v/>
      </c>
      <c r="M321" s="505" t="str">
        <f>IF($D321="","",IFERROR(MIN(BB_帯幅!B321:AP321)*100,""))</f>
        <v/>
      </c>
      <c r="N321" s="500" t="str">
        <f>IF($L321="","",IF($L321&lt;=$M321*BB設定!$B$7,"スクイーズ★",IF($L321&lt;=$M321*1.3,"収縮","－")))</f>
        <v/>
      </c>
      <c r="O321" s="500" t="str">
        <f>IF($D321="","",IF(AND(BB_帯幅!B321&gt;BB_帯幅!C321,BB_帯幅!C321&gt;BB_帯幅!D321),"拡大↑","縮小↓"))</f>
        <v/>
      </c>
      <c r="P321" s="500" t="str">
        <f t="shared" si="46"/>
        <v/>
      </c>
      <c r="Q321" s="503" t="str">
        <f>IF($D321="","",IFERROR(100-100/(1+SUMPRODUCT((終値!E321:R321&gt;終値!F321:S321)*(終値!E321:R321-終値!F321:S321))/SUMPRODUCT((終値!E321:R321&lt;終値!F321:S321)*(終値!F321:S321-終値!E321:R321))),100))</f>
        <v/>
      </c>
      <c r="R321" s="503"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0"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0" t="str">
        <f t="shared" si="47"/>
        <v/>
      </c>
      <c r="U321" s="500" t="str">
        <f>IF(終値!A321="","",BB_スイング!BT321)</f>
        <v/>
      </c>
      <c r="V321" s="508" t="str">
        <f>IF($D321="","",IFERROR(出来高!E321/AVERAGE(出来高!E321:I321),""))</f>
        <v/>
      </c>
      <c r="W321" s="509"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4" t="str">
        <f t="shared" si="53"/>
        <v/>
      </c>
      <c r="Y321" s="501" t="str">
        <f t="shared" si="48"/>
        <v/>
      </c>
      <c r="Z321" s="501" t="str">
        <f t="shared" si="49"/>
        <v/>
      </c>
      <c r="AA321" s="501" t="str">
        <f t="shared" si="50"/>
        <v/>
      </c>
      <c r="AB321" s="501" t="str">
        <f t="shared" si="54"/>
        <v/>
      </c>
      <c r="AC321" s="507" t="str">
        <f t="shared" si="51"/>
        <v/>
      </c>
      <c r="AD321" s="501" t="str">
        <f>IF($D321="","",MIN(終値!E321:I321))</f>
        <v/>
      </c>
      <c r="AE321" s="503" t="str">
        <f t="shared" si="52"/>
        <v/>
      </c>
    </row>
    <row r="322" spans="1:31">
      <c r="A322" s="500" t="str">
        <f>IF(終値!A322="","",HYPERLINK("https://kabutan.jp/stock/?code="&amp;終値!A322,"📈"))</f>
        <v/>
      </c>
      <c r="B322" s="500" t="str">
        <f>IF(終値!A322="","",終値!A322)</f>
        <v/>
      </c>
      <c r="C322" s="499" t="str">
        <f>IF(終値!A322="","",終値!B322)</f>
        <v/>
      </c>
      <c r="D322" s="501" t="str">
        <f>IF(終値!A322="","",終値!E322)</f>
        <v/>
      </c>
      <c r="E322" s="501" t="str">
        <f>IF($D322="","",AVERAGE(終値!E322:X322))</f>
        <v/>
      </c>
      <c r="F322" s="502" t="str">
        <f>IF($D322="","",STDEVP(終値!E322:X322))</f>
        <v/>
      </c>
      <c r="G322" s="501" t="str">
        <f>IF($D322="","",$E322+BB設定!$B$4*$F322)</f>
        <v/>
      </c>
      <c r="H322" s="501" t="str">
        <f>IF($D322="","",$E322+BB設定!$B$5*$F322)</f>
        <v/>
      </c>
      <c r="I322" s="501" t="str">
        <f>IF($D322="","",$E322-BB設定!$B$5*$F322)</f>
        <v/>
      </c>
      <c r="J322" s="501" t="str">
        <f>IF($D322="","",$E322-BB設定!$B$4*$F322)</f>
        <v/>
      </c>
      <c r="K322" s="506" t="str">
        <f t="shared" si="44"/>
        <v/>
      </c>
      <c r="L322" s="505" t="str">
        <f t="shared" si="45"/>
        <v/>
      </c>
      <c r="M322" s="505" t="str">
        <f>IF($D322="","",IFERROR(MIN(BB_帯幅!B322:AP322)*100,""))</f>
        <v/>
      </c>
      <c r="N322" s="500" t="str">
        <f>IF($L322="","",IF($L322&lt;=$M322*BB設定!$B$7,"スクイーズ★",IF($L322&lt;=$M322*1.3,"収縮","－")))</f>
        <v/>
      </c>
      <c r="O322" s="500" t="str">
        <f>IF($D322="","",IF(AND(BB_帯幅!B322&gt;BB_帯幅!C322,BB_帯幅!C322&gt;BB_帯幅!D322),"拡大↑","縮小↓"))</f>
        <v/>
      </c>
      <c r="P322" s="500" t="str">
        <f t="shared" si="46"/>
        <v/>
      </c>
      <c r="Q322" s="503" t="str">
        <f>IF($D322="","",IFERROR(100-100/(1+SUMPRODUCT((終値!E322:R322&gt;終値!F322:S322)*(終値!E322:R322-終値!F322:S322))/SUMPRODUCT((終値!E322:R322&lt;終値!F322:S322)*(終値!F322:S322-終値!E322:R322))),100))</f>
        <v/>
      </c>
      <c r="R322" s="503"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0"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0" t="str">
        <f t="shared" si="47"/>
        <v/>
      </c>
      <c r="U322" s="500" t="str">
        <f>IF(終値!A322="","",BB_スイング!BT322)</f>
        <v/>
      </c>
      <c r="V322" s="508" t="str">
        <f>IF($D322="","",IFERROR(出来高!E322/AVERAGE(出来高!E322:I322),""))</f>
        <v/>
      </c>
      <c r="W322" s="509"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4" t="str">
        <f t="shared" si="53"/>
        <v/>
      </c>
      <c r="Y322" s="501" t="str">
        <f t="shared" si="48"/>
        <v/>
      </c>
      <c r="Z322" s="501" t="str">
        <f t="shared" si="49"/>
        <v/>
      </c>
      <c r="AA322" s="501" t="str">
        <f t="shared" si="50"/>
        <v/>
      </c>
      <c r="AB322" s="501" t="str">
        <f t="shared" si="54"/>
        <v/>
      </c>
      <c r="AC322" s="507" t="str">
        <f t="shared" si="51"/>
        <v/>
      </c>
      <c r="AD322" s="501" t="str">
        <f>IF($D322="","",MIN(終値!E322:I322))</f>
        <v/>
      </c>
      <c r="AE322" s="503" t="str">
        <f t="shared" si="52"/>
        <v/>
      </c>
    </row>
    <row r="323" spans="1:31">
      <c r="A323" s="500" t="str">
        <f>IF(終値!A323="","",HYPERLINK("https://kabutan.jp/stock/?code="&amp;終値!A323,"📈"))</f>
        <v/>
      </c>
      <c r="B323" s="500" t="str">
        <f>IF(終値!A323="","",終値!A323)</f>
        <v/>
      </c>
      <c r="C323" s="499" t="str">
        <f>IF(終値!A323="","",終値!B323)</f>
        <v/>
      </c>
      <c r="D323" s="501" t="str">
        <f>IF(終値!A323="","",終値!E323)</f>
        <v/>
      </c>
      <c r="E323" s="501" t="str">
        <f>IF($D323="","",AVERAGE(終値!E323:X323))</f>
        <v/>
      </c>
      <c r="F323" s="502" t="str">
        <f>IF($D323="","",STDEVP(終値!E323:X323))</f>
        <v/>
      </c>
      <c r="G323" s="501" t="str">
        <f>IF($D323="","",$E323+BB設定!$B$4*$F323)</f>
        <v/>
      </c>
      <c r="H323" s="501" t="str">
        <f>IF($D323="","",$E323+BB設定!$B$5*$F323)</f>
        <v/>
      </c>
      <c r="I323" s="501" t="str">
        <f>IF($D323="","",$E323-BB設定!$B$5*$F323)</f>
        <v/>
      </c>
      <c r="J323" s="501" t="str">
        <f>IF($D323="","",$E323-BB設定!$B$4*$F323)</f>
        <v/>
      </c>
      <c r="K323" s="506" t="str">
        <f t="shared" si="44"/>
        <v/>
      </c>
      <c r="L323" s="505" t="str">
        <f t="shared" si="45"/>
        <v/>
      </c>
      <c r="M323" s="505" t="str">
        <f>IF($D323="","",IFERROR(MIN(BB_帯幅!B323:AP323)*100,""))</f>
        <v/>
      </c>
      <c r="N323" s="500" t="str">
        <f>IF($L323="","",IF($L323&lt;=$M323*BB設定!$B$7,"スクイーズ★",IF($L323&lt;=$M323*1.3,"収縮","－")))</f>
        <v/>
      </c>
      <c r="O323" s="500" t="str">
        <f>IF($D323="","",IF(AND(BB_帯幅!B323&gt;BB_帯幅!C323,BB_帯幅!C323&gt;BB_帯幅!D323),"拡大↑","縮小↓"))</f>
        <v/>
      </c>
      <c r="P323" s="500" t="str">
        <f t="shared" si="46"/>
        <v/>
      </c>
      <c r="Q323" s="503" t="str">
        <f>IF($D323="","",IFERROR(100-100/(1+SUMPRODUCT((終値!E323:R323&gt;終値!F323:S323)*(終値!E323:R323-終値!F323:S323))/SUMPRODUCT((終値!E323:R323&lt;終値!F323:S323)*(終値!F323:S323-終値!E323:R323))),100))</f>
        <v/>
      </c>
      <c r="R323" s="503"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0"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0" t="str">
        <f t="shared" si="47"/>
        <v/>
      </c>
      <c r="U323" s="500" t="str">
        <f>IF(終値!A323="","",BB_スイング!BT323)</f>
        <v/>
      </c>
      <c r="V323" s="508" t="str">
        <f>IF($D323="","",IFERROR(出来高!E323/AVERAGE(出来高!E323:I323),""))</f>
        <v/>
      </c>
      <c r="W323" s="509"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4" t="str">
        <f t="shared" si="53"/>
        <v/>
      </c>
      <c r="Y323" s="501" t="str">
        <f t="shared" si="48"/>
        <v/>
      </c>
      <c r="Z323" s="501" t="str">
        <f t="shared" si="49"/>
        <v/>
      </c>
      <c r="AA323" s="501" t="str">
        <f t="shared" si="50"/>
        <v/>
      </c>
      <c r="AB323" s="501" t="str">
        <f t="shared" si="54"/>
        <v/>
      </c>
      <c r="AC323" s="507" t="str">
        <f t="shared" si="51"/>
        <v/>
      </c>
      <c r="AD323" s="501" t="str">
        <f>IF($D323="","",MIN(終値!E323:I323))</f>
        <v/>
      </c>
      <c r="AE323" s="503" t="str">
        <f t="shared" si="52"/>
        <v/>
      </c>
    </row>
    <row r="324" spans="1:31">
      <c r="A324" s="500" t="str">
        <f>IF(終値!A324="","",HYPERLINK("https://kabutan.jp/stock/?code="&amp;終値!A324,"📈"))</f>
        <v/>
      </c>
      <c r="B324" s="500" t="str">
        <f>IF(終値!A324="","",終値!A324)</f>
        <v/>
      </c>
      <c r="C324" s="499" t="str">
        <f>IF(終値!A324="","",終値!B324)</f>
        <v/>
      </c>
      <c r="D324" s="501" t="str">
        <f>IF(終値!A324="","",終値!E324)</f>
        <v/>
      </c>
      <c r="E324" s="501" t="str">
        <f>IF($D324="","",AVERAGE(終値!E324:X324))</f>
        <v/>
      </c>
      <c r="F324" s="502" t="str">
        <f>IF($D324="","",STDEVP(終値!E324:X324))</f>
        <v/>
      </c>
      <c r="G324" s="501" t="str">
        <f>IF($D324="","",$E324+BB設定!$B$4*$F324)</f>
        <v/>
      </c>
      <c r="H324" s="501" t="str">
        <f>IF($D324="","",$E324+BB設定!$B$5*$F324)</f>
        <v/>
      </c>
      <c r="I324" s="501" t="str">
        <f>IF($D324="","",$E324-BB設定!$B$5*$F324)</f>
        <v/>
      </c>
      <c r="J324" s="501" t="str">
        <f>IF($D324="","",$E324-BB設定!$B$4*$F324)</f>
        <v/>
      </c>
      <c r="K324" s="506" t="str">
        <f t="shared" si="44"/>
        <v/>
      </c>
      <c r="L324" s="505" t="str">
        <f t="shared" si="45"/>
        <v/>
      </c>
      <c r="M324" s="505" t="str">
        <f>IF($D324="","",IFERROR(MIN(BB_帯幅!B324:AP324)*100,""))</f>
        <v/>
      </c>
      <c r="N324" s="500" t="str">
        <f>IF($L324="","",IF($L324&lt;=$M324*BB設定!$B$7,"スクイーズ★",IF($L324&lt;=$M324*1.3,"収縮","－")))</f>
        <v/>
      </c>
      <c r="O324" s="500" t="str">
        <f>IF($D324="","",IF(AND(BB_帯幅!B324&gt;BB_帯幅!C324,BB_帯幅!C324&gt;BB_帯幅!D324),"拡大↑","縮小↓"))</f>
        <v/>
      </c>
      <c r="P324" s="500" t="str">
        <f t="shared" si="46"/>
        <v/>
      </c>
      <c r="Q324" s="503" t="str">
        <f>IF($D324="","",IFERROR(100-100/(1+SUMPRODUCT((終値!E324:R324&gt;終値!F324:S324)*(終値!E324:R324-終値!F324:S324))/SUMPRODUCT((終値!E324:R324&lt;終値!F324:S324)*(終値!F324:S324-終値!E324:R324))),100))</f>
        <v/>
      </c>
      <c r="R324" s="503"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0"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0" t="str">
        <f t="shared" si="47"/>
        <v/>
      </c>
      <c r="U324" s="500" t="str">
        <f>IF(終値!A324="","",BB_スイング!BT324)</f>
        <v/>
      </c>
      <c r="V324" s="508" t="str">
        <f>IF($D324="","",IFERROR(出来高!E324/AVERAGE(出来高!E324:I324),""))</f>
        <v/>
      </c>
      <c r="W324" s="509"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4" t="str">
        <f t="shared" si="53"/>
        <v/>
      </c>
      <c r="Y324" s="501" t="str">
        <f t="shared" si="48"/>
        <v/>
      </c>
      <c r="Z324" s="501" t="str">
        <f t="shared" si="49"/>
        <v/>
      </c>
      <c r="AA324" s="501" t="str">
        <f t="shared" si="50"/>
        <v/>
      </c>
      <c r="AB324" s="501" t="str">
        <f t="shared" si="54"/>
        <v/>
      </c>
      <c r="AC324" s="507" t="str">
        <f t="shared" si="51"/>
        <v/>
      </c>
      <c r="AD324" s="501" t="str">
        <f>IF($D324="","",MIN(終値!E324:I324))</f>
        <v/>
      </c>
      <c r="AE324" s="503" t="str">
        <f t="shared" si="52"/>
        <v/>
      </c>
    </row>
    <row r="325" spans="1:31">
      <c r="A325" s="500" t="str">
        <f>IF(終値!A325="","",HYPERLINK("https://kabutan.jp/stock/?code="&amp;終値!A325,"📈"))</f>
        <v/>
      </c>
      <c r="B325" s="500" t="str">
        <f>IF(終値!A325="","",終値!A325)</f>
        <v/>
      </c>
      <c r="C325" s="499" t="str">
        <f>IF(終値!A325="","",終値!B325)</f>
        <v/>
      </c>
      <c r="D325" s="501" t="str">
        <f>IF(終値!A325="","",終値!E325)</f>
        <v/>
      </c>
      <c r="E325" s="501" t="str">
        <f>IF($D325="","",AVERAGE(終値!E325:X325))</f>
        <v/>
      </c>
      <c r="F325" s="502" t="str">
        <f>IF($D325="","",STDEVP(終値!E325:X325))</f>
        <v/>
      </c>
      <c r="G325" s="501" t="str">
        <f>IF($D325="","",$E325+BB設定!$B$4*$F325)</f>
        <v/>
      </c>
      <c r="H325" s="501" t="str">
        <f>IF($D325="","",$E325+BB設定!$B$5*$F325)</f>
        <v/>
      </c>
      <c r="I325" s="501" t="str">
        <f>IF($D325="","",$E325-BB設定!$B$5*$F325)</f>
        <v/>
      </c>
      <c r="J325" s="501" t="str">
        <f>IF($D325="","",$E325-BB設定!$B$4*$F325)</f>
        <v/>
      </c>
      <c r="K325" s="506" t="str">
        <f t="shared" si="44"/>
        <v/>
      </c>
      <c r="L325" s="505" t="str">
        <f t="shared" si="45"/>
        <v/>
      </c>
      <c r="M325" s="505" t="str">
        <f>IF($D325="","",IFERROR(MIN(BB_帯幅!B325:AP325)*100,""))</f>
        <v/>
      </c>
      <c r="N325" s="500" t="str">
        <f>IF($L325="","",IF($L325&lt;=$M325*BB設定!$B$7,"スクイーズ★",IF($L325&lt;=$M325*1.3,"収縮","－")))</f>
        <v/>
      </c>
      <c r="O325" s="500" t="str">
        <f>IF($D325="","",IF(AND(BB_帯幅!B325&gt;BB_帯幅!C325,BB_帯幅!C325&gt;BB_帯幅!D325),"拡大↑","縮小↓"))</f>
        <v/>
      </c>
      <c r="P325" s="500" t="str">
        <f t="shared" si="46"/>
        <v/>
      </c>
      <c r="Q325" s="503" t="str">
        <f>IF($D325="","",IFERROR(100-100/(1+SUMPRODUCT((終値!E325:R325&gt;終値!F325:S325)*(終値!E325:R325-終値!F325:S325))/SUMPRODUCT((終値!E325:R325&lt;終値!F325:S325)*(終値!F325:S325-終値!E325:R325))),100))</f>
        <v/>
      </c>
      <c r="R325" s="503"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0"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0" t="str">
        <f t="shared" si="47"/>
        <v/>
      </c>
      <c r="U325" s="500" t="str">
        <f>IF(終値!A325="","",BB_スイング!BT325)</f>
        <v/>
      </c>
      <c r="V325" s="508" t="str">
        <f>IF($D325="","",IFERROR(出来高!E325/AVERAGE(出来高!E325:I325),""))</f>
        <v/>
      </c>
      <c r="W325" s="509"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4" t="str">
        <f t="shared" si="53"/>
        <v/>
      </c>
      <c r="Y325" s="501" t="str">
        <f t="shared" si="48"/>
        <v/>
      </c>
      <c r="Z325" s="501" t="str">
        <f t="shared" si="49"/>
        <v/>
      </c>
      <c r="AA325" s="501" t="str">
        <f t="shared" si="50"/>
        <v/>
      </c>
      <c r="AB325" s="501" t="str">
        <f t="shared" si="54"/>
        <v/>
      </c>
      <c r="AC325" s="507" t="str">
        <f t="shared" si="51"/>
        <v/>
      </c>
      <c r="AD325" s="501" t="str">
        <f>IF($D325="","",MIN(終値!E325:I325))</f>
        <v/>
      </c>
      <c r="AE325" s="503" t="str">
        <f t="shared" si="52"/>
        <v/>
      </c>
    </row>
    <row r="326" spans="1:31">
      <c r="A326" s="500" t="str">
        <f>IF(終値!A326="","",HYPERLINK("https://kabutan.jp/stock/?code="&amp;終値!A326,"📈"))</f>
        <v/>
      </c>
      <c r="B326" s="500" t="str">
        <f>IF(終値!A326="","",終値!A326)</f>
        <v/>
      </c>
      <c r="C326" s="499" t="str">
        <f>IF(終値!A326="","",終値!B326)</f>
        <v/>
      </c>
      <c r="D326" s="501" t="str">
        <f>IF(終値!A326="","",終値!E326)</f>
        <v/>
      </c>
      <c r="E326" s="501" t="str">
        <f>IF($D326="","",AVERAGE(終値!E326:X326))</f>
        <v/>
      </c>
      <c r="F326" s="502" t="str">
        <f>IF($D326="","",STDEVP(終値!E326:X326))</f>
        <v/>
      </c>
      <c r="G326" s="501" t="str">
        <f>IF($D326="","",$E326+BB設定!$B$4*$F326)</f>
        <v/>
      </c>
      <c r="H326" s="501" t="str">
        <f>IF($D326="","",$E326+BB設定!$B$5*$F326)</f>
        <v/>
      </c>
      <c r="I326" s="501" t="str">
        <f>IF($D326="","",$E326-BB設定!$B$5*$F326)</f>
        <v/>
      </c>
      <c r="J326" s="501" t="str">
        <f>IF($D326="","",$E326-BB設定!$B$4*$F326)</f>
        <v/>
      </c>
      <c r="K326" s="506" t="str">
        <f t="shared" ref="K326:K389" si="55">IF($D326="","",IFERROR(($D326-$J326)/($G326-$J326),""))</f>
        <v/>
      </c>
      <c r="L326" s="505" t="str">
        <f t="shared" ref="L326:L389" si="56">IF($D326="","",IFERROR(($G326-$J326)/$E326*100,""))</f>
        <v/>
      </c>
      <c r="M326" s="505" t="str">
        <f>IF($D326="","",IFERROR(MIN(BB_帯幅!B326:AP326)*100,""))</f>
        <v/>
      </c>
      <c r="N326" s="500" t="str">
        <f>IF($L326="","",IF($L326&lt;=$M326*BB設定!$B$7,"スクイーズ★",IF($L326&lt;=$M326*1.3,"収縮","－")))</f>
        <v/>
      </c>
      <c r="O326" s="500" t="str">
        <f>IF($D326="","",IF(AND(BB_帯幅!B326&gt;BB_帯幅!C326,BB_帯幅!C326&gt;BB_帯幅!D326),"拡大↑","縮小↓"))</f>
        <v/>
      </c>
      <c r="P326" s="500" t="str">
        <f t="shared" ref="P326:P389" si="57">IF($D326="","",IF($D326&gt;$G326,"↑+2σ突破",IF($D326&lt;$J326,"↓-2σ割れ",IF($D326&gt;$H326,"+1σ上",IF($D326&lt;$I326,"-1σ下","バンド内")))))</f>
        <v/>
      </c>
      <c r="Q326" s="503" t="str">
        <f>IF($D326="","",IFERROR(100-100/(1+SUMPRODUCT((終値!E326:R326&gt;終値!F326:S326)*(終値!E326:R326-終値!F326:S326))/SUMPRODUCT((終値!E326:R326&lt;終値!F326:S326)*(終値!F326:S326-終値!E326:R326))),100))</f>
        <v/>
      </c>
      <c r="R326" s="503"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0"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0" t="str">
        <f t="shared" ref="T326:T389" si="58">IF($D326="","",IF($D326&gt;=$H326,"上walk▲",IF($D326&lt;=$I326,"下walk▼","－")))</f>
        <v/>
      </c>
      <c r="U326" s="500" t="str">
        <f>IF(終値!A326="","",BB_スイング!BT326)</f>
        <v/>
      </c>
      <c r="V326" s="508" t="str">
        <f>IF($D326="","",IFERROR(出来高!E326/AVERAGE(出来高!E326:I326),""))</f>
        <v/>
      </c>
      <c r="W326" s="509"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4" t="str">
        <f t="shared" si="53"/>
        <v/>
      </c>
      <c r="Y326" s="501" t="str">
        <f t="shared" ref="Y326:Y389" si="59">IF($D326="","",$D326)</f>
        <v/>
      </c>
      <c r="Z326" s="501" t="str">
        <f t="shared" ref="Z326:Z389" si="60">IF($D326="","",$H326)</f>
        <v/>
      </c>
      <c r="AA326" s="501" t="str">
        <f t="shared" ref="AA326:AA389" si="61">IF($D326="","",IF($D326&gt;$E326,$E326,$AD326))</f>
        <v/>
      </c>
      <c r="AB326" s="501" t="str">
        <f t="shared" si="54"/>
        <v/>
      </c>
      <c r="AC326" s="507" t="str">
        <f t="shared" ref="AC326:AC389" si="62">IF($D326="","",IF(($Y326-$AA326)&lt;=0,"－",IFERROR(ROUND(MIN(20,($AB326-$Y326)/($Y326-$AA326)),2),"－")))</f>
        <v/>
      </c>
      <c r="AD326" s="501" t="str">
        <f>IF($D326="","",MIN(終値!E326:I326))</f>
        <v/>
      </c>
      <c r="AE326" s="503" t="str">
        <f t="shared" ref="AE326:AE389" si="63">IF($D326="","",$X326+(10000-ROW())/100000)</f>
        <v/>
      </c>
    </row>
    <row r="327" spans="1:31">
      <c r="A327" s="500" t="str">
        <f>IF(終値!A327="","",HYPERLINK("https://kabutan.jp/stock/?code="&amp;終値!A327,"📈"))</f>
        <v/>
      </c>
      <c r="B327" s="500" t="str">
        <f>IF(終値!A327="","",終値!A327)</f>
        <v/>
      </c>
      <c r="C327" s="499" t="str">
        <f>IF(終値!A327="","",終値!B327)</f>
        <v/>
      </c>
      <c r="D327" s="501" t="str">
        <f>IF(終値!A327="","",終値!E327)</f>
        <v/>
      </c>
      <c r="E327" s="501" t="str">
        <f>IF($D327="","",AVERAGE(終値!E327:X327))</f>
        <v/>
      </c>
      <c r="F327" s="502" t="str">
        <f>IF($D327="","",STDEVP(終値!E327:X327))</f>
        <v/>
      </c>
      <c r="G327" s="501" t="str">
        <f>IF($D327="","",$E327+BB設定!$B$4*$F327)</f>
        <v/>
      </c>
      <c r="H327" s="501" t="str">
        <f>IF($D327="","",$E327+BB設定!$B$5*$F327)</f>
        <v/>
      </c>
      <c r="I327" s="501" t="str">
        <f>IF($D327="","",$E327-BB設定!$B$5*$F327)</f>
        <v/>
      </c>
      <c r="J327" s="501" t="str">
        <f>IF($D327="","",$E327-BB設定!$B$4*$F327)</f>
        <v/>
      </c>
      <c r="K327" s="506" t="str">
        <f t="shared" si="55"/>
        <v/>
      </c>
      <c r="L327" s="505" t="str">
        <f t="shared" si="56"/>
        <v/>
      </c>
      <c r="M327" s="505" t="str">
        <f>IF($D327="","",IFERROR(MIN(BB_帯幅!B327:AP327)*100,""))</f>
        <v/>
      </c>
      <c r="N327" s="500" t="str">
        <f>IF($L327="","",IF($L327&lt;=$M327*BB設定!$B$7,"スクイーズ★",IF($L327&lt;=$M327*1.3,"収縮","－")))</f>
        <v/>
      </c>
      <c r="O327" s="500" t="str">
        <f>IF($D327="","",IF(AND(BB_帯幅!B327&gt;BB_帯幅!C327,BB_帯幅!C327&gt;BB_帯幅!D327),"拡大↑","縮小↓"))</f>
        <v/>
      </c>
      <c r="P327" s="500" t="str">
        <f t="shared" si="57"/>
        <v/>
      </c>
      <c r="Q327" s="503" t="str">
        <f>IF($D327="","",IFERROR(100-100/(1+SUMPRODUCT((終値!E327:R327&gt;終値!F327:S327)*(終値!E327:R327-終値!F327:S327))/SUMPRODUCT((終値!E327:R327&lt;終値!F327:S327)*(終値!F327:S327-終値!E327:R327))),100))</f>
        <v/>
      </c>
      <c r="R327" s="503"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0"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0" t="str">
        <f t="shared" si="58"/>
        <v/>
      </c>
      <c r="U327" s="500" t="str">
        <f>IF(終値!A327="","",BB_スイング!BT327)</f>
        <v/>
      </c>
      <c r="V327" s="508" t="str">
        <f>IF($D327="","",IFERROR(出来高!E327/AVERAGE(出来高!E327:I327),""))</f>
        <v/>
      </c>
      <c r="W327" s="509"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4"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1" t="str">
        <f t="shared" si="59"/>
        <v/>
      </c>
      <c r="Z327" s="501" t="str">
        <f t="shared" si="60"/>
        <v/>
      </c>
      <c r="AA327" s="501" t="str">
        <f t="shared" si="61"/>
        <v/>
      </c>
      <c r="AB327" s="501" t="str">
        <f t="shared" ref="AB327:AB390" si="65">IF($D327="","",IF($D327&gt;$G327,$E327+3*$F327,$G327))</f>
        <v/>
      </c>
      <c r="AC327" s="507" t="str">
        <f t="shared" si="62"/>
        <v/>
      </c>
      <c r="AD327" s="501" t="str">
        <f>IF($D327="","",MIN(終値!E327:I327))</f>
        <v/>
      </c>
      <c r="AE327" s="503" t="str">
        <f t="shared" si="63"/>
        <v/>
      </c>
    </row>
    <row r="328" spans="1:31">
      <c r="A328" s="500" t="str">
        <f>IF(終値!A328="","",HYPERLINK("https://kabutan.jp/stock/?code="&amp;終値!A328,"📈"))</f>
        <v/>
      </c>
      <c r="B328" s="500" t="str">
        <f>IF(終値!A328="","",終値!A328)</f>
        <v/>
      </c>
      <c r="C328" s="499" t="str">
        <f>IF(終値!A328="","",終値!B328)</f>
        <v/>
      </c>
      <c r="D328" s="501" t="str">
        <f>IF(終値!A328="","",終値!E328)</f>
        <v/>
      </c>
      <c r="E328" s="501" t="str">
        <f>IF($D328="","",AVERAGE(終値!E328:X328))</f>
        <v/>
      </c>
      <c r="F328" s="502" t="str">
        <f>IF($D328="","",STDEVP(終値!E328:X328))</f>
        <v/>
      </c>
      <c r="G328" s="501" t="str">
        <f>IF($D328="","",$E328+BB設定!$B$4*$F328)</f>
        <v/>
      </c>
      <c r="H328" s="501" t="str">
        <f>IF($D328="","",$E328+BB設定!$B$5*$F328)</f>
        <v/>
      </c>
      <c r="I328" s="501" t="str">
        <f>IF($D328="","",$E328-BB設定!$B$5*$F328)</f>
        <v/>
      </c>
      <c r="J328" s="501" t="str">
        <f>IF($D328="","",$E328-BB設定!$B$4*$F328)</f>
        <v/>
      </c>
      <c r="K328" s="506" t="str">
        <f t="shared" si="55"/>
        <v/>
      </c>
      <c r="L328" s="505" t="str">
        <f t="shared" si="56"/>
        <v/>
      </c>
      <c r="M328" s="505" t="str">
        <f>IF($D328="","",IFERROR(MIN(BB_帯幅!B328:AP328)*100,""))</f>
        <v/>
      </c>
      <c r="N328" s="500" t="str">
        <f>IF($L328="","",IF($L328&lt;=$M328*BB設定!$B$7,"スクイーズ★",IF($L328&lt;=$M328*1.3,"収縮","－")))</f>
        <v/>
      </c>
      <c r="O328" s="500" t="str">
        <f>IF($D328="","",IF(AND(BB_帯幅!B328&gt;BB_帯幅!C328,BB_帯幅!C328&gt;BB_帯幅!D328),"拡大↑","縮小↓"))</f>
        <v/>
      </c>
      <c r="P328" s="500" t="str">
        <f t="shared" si="57"/>
        <v/>
      </c>
      <c r="Q328" s="503" t="str">
        <f>IF($D328="","",IFERROR(100-100/(1+SUMPRODUCT((終値!E328:R328&gt;終値!F328:S328)*(終値!E328:R328-終値!F328:S328))/SUMPRODUCT((終値!E328:R328&lt;終値!F328:S328)*(終値!F328:S328-終値!E328:R328))),100))</f>
        <v/>
      </c>
      <c r="R328" s="503"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0"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0" t="str">
        <f t="shared" si="58"/>
        <v/>
      </c>
      <c r="U328" s="500" t="str">
        <f>IF(終値!A328="","",BB_スイング!BT328)</f>
        <v/>
      </c>
      <c r="V328" s="508" t="str">
        <f>IF($D328="","",IFERROR(出来高!E328/AVERAGE(出来高!E328:I328),""))</f>
        <v/>
      </c>
      <c r="W328" s="509"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4" t="str">
        <f t="shared" si="64"/>
        <v/>
      </c>
      <c r="Y328" s="501" t="str">
        <f t="shared" si="59"/>
        <v/>
      </c>
      <c r="Z328" s="501" t="str">
        <f t="shared" si="60"/>
        <v/>
      </c>
      <c r="AA328" s="501" t="str">
        <f t="shared" si="61"/>
        <v/>
      </c>
      <c r="AB328" s="501" t="str">
        <f t="shared" si="65"/>
        <v/>
      </c>
      <c r="AC328" s="507" t="str">
        <f t="shared" si="62"/>
        <v/>
      </c>
      <c r="AD328" s="501" t="str">
        <f>IF($D328="","",MIN(終値!E328:I328))</f>
        <v/>
      </c>
      <c r="AE328" s="503" t="str">
        <f t="shared" si="63"/>
        <v/>
      </c>
    </row>
    <row r="329" spans="1:31">
      <c r="A329" s="500" t="str">
        <f>IF(終値!A329="","",HYPERLINK("https://kabutan.jp/stock/?code="&amp;終値!A329,"📈"))</f>
        <v/>
      </c>
      <c r="B329" s="500" t="str">
        <f>IF(終値!A329="","",終値!A329)</f>
        <v/>
      </c>
      <c r="C329" s="499" t="str">
        <f>IF(終値!A329="","",終値!B329)</f>
        <v/>
      </c>
      <c r="D329" s="501" t="str">
        <f>IF(終値!A329="","",終値!E329)</f>
        <v/>
      </c>
      <c r="E329" s="501" t="str">
        <f>IF($D329="","",AVERAGE(終値!E329:X329))</f>
        <v/>
      </c>
      <c r="F329" s="502" t="str">
        <f>IF($D329="","",STDEVP(終値!E329:X329))</f>
        <v/>
      </c>
      <c r="G329" s="501" t="str">
        <f>IF($D329="","",$E329+BB設定!$B$4*$F329)</f>
        <v/>
      </c>
      <c r="H329" s="501" t="str">
        <f>IF($D329="","",$E329+BB設定!$B$5*$F329)</f>
        <v/>
      </c>
      <c r="I329" s="501" t="str">
        <f>IF($D329="","",$E329-BB設定!$B$5*$F329)</f>
        <v/>
      </c>
      <c r="J329" s="501" t="str">
        <f>IF($D329="","",$E329-BB設定!$B$4*$F329)</f>
        <v/>
      </c>
      <c r="K329" s="506" t="str">
        <f t="shared" si="55"/>
        <v/>
      </c>
      <c r="L329" s="505" t="str">
        <f t="shared" si="56"/>
        <v/>
      </c>
      <c r="M329" s="505" t="str">
        <f>IF($D329="","",IFERROR(MIN(BB_帯幅!B329:AP329)*100,""))</f>
        <v/>
      </c>
      <c r="N329" s="500" t="str">
        <f>IF($L329="","",IF($L329&lt;=$M329*BB設定!$B$7,"スクイーズ★",IF($L329&lt;=$M329*1.3,"収縮","－")))</f>
        <v/>
      </c>
      <c r="O329" s="500" t="str">
        <f>IF($D329="","",IF(AND(BB_帯幅!B329&gt;BB_帯幅!C329,BB_帯幅!C329&gt;BB_帯幅!D329),"拡大↑","縮小↓"))</f>
        <v/>
      </c>
      <c r="P329" s="500" t="str">
        <f t="shared" si="57"/>
        <v/>
      </c>
      <c r="Q329" s="503" t="str">
        <f>IF($D329="","",IFERROR(100-100/(1+SUMPRODUCT((終値!E329:R329&gt;終値!F329:S329)*(終値!E329:R329-終値!F329:S329))/SUMPRODUCT((終値!E329:R329&lt;終値!F329:S329)*(終値!F329:S329-終値!E329:R329))),100))</f>
        <v/>
      </c>
      <c r="R329" s="503"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0"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0" t="str">
        <f t="shared" si="58"/>
        <v/>
      </c>
      <c r="U329" s="500" t="str">
        <f>IF(終値!A329="","",BB_スイング!BT329)</f>
        <v/>
      </c>
      <c r="V329" s="508" t="str">
        <f>IF($D329="","",IFERROR(出来高!E329/AVERAGE(出来高!E329:I329),""))</f>
        <v/>
      </c>
      <c r="W329" s="509"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4" t="str">
        <f t="shared" si="64"/>
        <v/>
      </c>
      <c r="Y329" s="501" t="str">
        <f t="shared" si="59"/>
        <v/>
      </c>
      <c r="Z329" s="501" t="str">
        <f t="shared" si="60"/>
        <v/>
      </c>
      <c r="AA329" s="501" t="str">
        <f t="shared" si="61"/>
        <v/>
      </c>
      <c r="AB329" s="501" t="str">
        <f t="shared" si="65"/>
        <v/>
      </c>
      <c r="AC329" s="507" t="str">
        <f t="shared" si="62"/>
        <v/>
      </c>
      <c r="AD329" s="501" t="str">
        <f>IF($D329="","",MIN(終値!E329:I329))</f>
        <v/>
      </c>
      <c r="AE329" s="503" t="str">
        <f t="shared" si="63"/>
        <v/>
      </c>
    </row>
    <row r="330" spans="1:31">
      <c r="A330" s="500" t="str">
        <f>IF(終値!A330="","",HYPERLINK("https://kabutan.jp/stock/?code="&amp;終値!A330,"📈"))</f>
        <v/>
      </c>
      <c r="B330" s="500" t="str">
        <f>IF(終値!A330="","",終値!A330)</f>
        <v/>
      </c>
      <c r="C330" s="499" t="str">
        <f>IF(終値!A330="","",終値!B330)</f>
        <v/>
      </c>
      <c r="D330" s="501" t="str">
        <f>IF(終値!A330="","",終値!E330)</f>
        <v/>
      </c>
      <c r="E330" s="501" t="str">
        <f>IF($D330="","",AVERAGE(終値!E330:X330))</f>
        <v/>
      </c>
      <c r="F330" s="502" t="str">
        <f>IF($D330="","",STDEVP(終値!E330:X330))</f>
        <v/>
      </c>
      <c r="G330" s="501" t="str">
        <f>IF($D330="","",$E330+BB設定!$B$4*$F330)</f>
        <v/>
      </c>
      <c r="H330" s="501" t="str">
        <f>IF($D330="","",$E330+BB設定!$B$5*$F330)</f>
        <v/>
      </c>
      <c r="I330" s="501" t="str">
        <f>IF($D330="","",$E330-BB設定!$B$5*$F330)</f>
        <v/>
      </c>
      <c r="J330" s="501" t="str">
        <f>IF($D330="","",$E330-BB設定!$B$4*$F330)</f>
        <v/>
      </c>
      <c r="K330" s="506" t="str">
        <f t="shared" si="55"/>
        <v/>
      </c>
      <c r="L330" s="505" t="str">
        <f t="shared" si="56"/>
        <v/>
      </c>
      <c r="M330" s="505" t="str">
        <f>IF($D330="","",IFERROR(MIN(BB_帯幅!B330:AP330)*100,""))</f>
        <v/>
      </c>
      <c r="N330" s="500" t="str">
        <f>IF($L330="","",IF($L330&lt;=$M330*BB設定!$B$7,"スクイーズ★",IF($L330&lt;=$M330*1.3,"収縮","－")))</f>
        <v/>
      </c>
      <c r="O330" s="500" t="str">
        <f>IF($D330="","",IF(AND(BB_帯幅!B330&gt;BB_帯幅!C330,BB_帯幅!C330&gt;BB_帯幅!D330),"拡大↑","縮小↓"))</f>
        <v/>
      </c>
      <c r="P330" s="500" t="str">
        <f t="shared" si="57"/>
        <v/>
      </c>
      <c r="Q330" s="503" t="str">
        <f>IF($D330="","",IFERROR(100-100/(1+SUMPRODUCT((終値!E330:R330&gt;終値!F330:S330)*(終値!E330:R330-終値!F330:S330))/SUMPRODUCT((終値!E330:R330&lt;終値!F330:S330)*(終値!F330:S330-終値!E330:R330))),100))</f>
        <v/>
      </c>
      <c r="R330" s="503"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0"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0" t="str">
        <f t="shared" si="58"/>
        <v/>
      </c>
      <c r="U330" s="500" t="str">
        <f>IF(終値!A330="","",BB_スイング!BT330)</f>
        <v/>
      </c>
      <c r="V330" s="508" t="str">
        <f>IF($D330="","",IFERROR(出来高!E330/AVERAGE(出来高!E330:I330),""))</f>
        <v/>
      </c>
      <c r="W330" s="509"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4" t="str">
        <f t="shared" si="64"/>
        <v/>
      </c>
      <c r="Y330" s="501" t="str">
        <f t="shared" si="59"/>
        <v/>
      </c>
      <c r="Z330" s="501" t="str">
        <f t="shared" si="60"/>
        <v/>
      </c>
      <c r="AA330" s="501" t="str">
        <f t="shared" si="61"/>
        <v/>
      </c>
      <c r="AB330" s="501" t="str">
        <f t="shared" si="65"/>
        <v/>
      </c>
      <c r="AC330" s="507" t="str">
        <f t="shared" si="62"/>
        <v/>
      </c>
      <c r="AD330" s="501" t="str">
        <f>IF($D330="","",MIN(終値!E330:I330))</f>
        <v/>
      </c>
      <c r="AE330" s="503" t="str">
        <f t="shared" si="63"/>
        <v/>
      </c>
    </row>
    <row r="331" spans="1:31">
      <c r="A331" s="500" t="str">
        <f>IF(終値!A331="","",HYPERLINK("https://kabutan.jp/stock/?code="&amp;終値!A331,"📈"))</f>
        <v/>
      </c>
      <c r="B331" s="500" t="str">
        <f>IF(終値!A331="","",終値!A331)</f>
        <v/>
      </c>
      <c r="C331" s="499" t="str">
        <f>IF(終値!A331="","",終値!B331)</f>
        <v/>
      </c>
      <c r="D331" s="501" t="str">
        <f>IF(終値!A331="","",終値!E331)</f>
        <v/>
      </c>
      <c r="E331" s="501" t="str">
        <f>IF($D331="","",AVERAGE(終値!E331:X331))</f>
        <v/>
      </c>
      <c r="F331" s="502" t="str">
        <f>IF($D331="","",STDEVP(終値!E331:X331))</f>
        <v/>
      </c>
      <c r="G331" s="501" t="str">
        <f>IF($D331="","",$E331+BB設定!$B$4*$F331)</f>
        <v/>
      </c>
      <c r="H331" s="501" t="str">
        <f>IF($D331="","",$E331+BB設定!$B$5*$F331)</f>
        <v/>
      </c>
      <c r="I331" s="501" t="str">
        <f>IF($D331="","",$E331-BB設定!$B$5*$F331)</f>
        <v/>
      </c>
      <c r="J331" s="501" t="str">
        <f>IF($D331="","",$E331-BB設定!$B$4*$F331)</f>
        <v/>
      </c>
      <c r="K331" s="506" t="str">
        <f t="shared" si="55"/>
        <v/>
      </c>
      <c r="L331" s="505" t="str">
        <f t="shared" si="56"/>
        <v/>
      </c>
      <c r="M331" s="505" t="str">
        <f>IF($D331="","",IFERROR(MIN(BB_帯幅!B331:AP331)*100,""))</f>
        <v/>
      </c>
      <c r="N331" s="500" t="str">
        <f>IF($L331="","",IF($L331&lt;=$M331*BB設定!$B$7,"スクイーズ★",IF($L331&lt;=$M331*1.3,"収縮","－")))</f>
        <v/>
      </c>
      <c r="O331" s="500" t="str">
        <f>IF($D331="","",IF(AND(BB_帯幅!B331&gt;BB_帯幅!C331,BB_帯幅!C331&gt;BB_帯幅!D331),"拡大↑","縮小↓"))</f>
        <v/>
      </c>
      <c r="P331" s="500" t="str">
        <f t="shared" si="57"/>
        <v/>
      </c>
      <c r="Q331" s="503" t="str">
        <f>IF($D331="","",IFERROR(100-100/(1+SUMPRODUCT((終値!E331:R331&gt;終値!F331:S331)*(終値!E331:R331-終値!F331:S331))/SUMPRODUCT((終値!E331:R331&lt;終値!F331:S331)*(終値!F331:S331-終値!E331:R331))),100))</f>
        <v/>
      </c>
      <c r="R331" s="503"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0"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0" t="str">
        <f t="shared" si="58"/>
        <v/>
      </c>
      <c r="U331" s="500" t="str">
        <f>IF(終値!A331="","",BB_スイング!BT331)</f>
        <v/>
      </c>
      <c r="V331" s="508" t="str">
        <f>IF($D331="","",IFERROR(出来高!E331/AVERAGE(出来高!E331:I331),""))</f>
        <v/>
      </c>
      <c r="W331" s="509"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4" t="str">
        <f t="shared" si="64"/>
        <v/>
      </c>
      <c r="Y331" s="501" t="str">
        <f t="shared" si="59"/>
        <v/>
      </c>
      <c r="Z331" s="501" t="str">
        <f t="shared" si="60"/>
        <v/>
      </c>
      <c r="AA331" s="501" t="str">
        <f t="shared" si="61"/>
        <v/>
      </c>
      <c r="AB331" s="501" t="str">
        <f t="shared" si="65"/>
        <v/>
      </c>
      <c r="AC331" s="507" t="str">
        <f t="shared" si="62"/>
        <v/>
      </c>
      <c r="AD331" s="501" t="str">
        <f>IF($D331="","",MIN(終値!E331:I331))</f>
        <v/>
      </c>
      <c r="AE331" s="503" t="str">
        <f t="shared" si="63"/>
        <v/>
      </c>
    </row>
    <row r="332" spans="1:31">
      <c r="A332" s="500" t="str">
        <f>IF(終値!A332="","",HYPERLINK("https://kabutan.jp/stock/?code="&amp;終値!A332,"📈"))</f>
        <v/>
      </c>
      <c r="B332" s="500" t="str">
        <f>IF(終値!A332="","",終値!A332)</f>
        <v/>
      </c>
      <c r="C332" s="499" t="str">
        <f>IF(終値!A332="","",終値!B332)</f>
        <v/>
      </c>
      <c r="D332" s="501" t="str">
        <f>IF(終値!A332="","",終値!E332)</f>
        <v/>
      </c>
      <c r="E332" s="501" t="str">
        <f>IF($D332="","",AVERAGE(終値!E332:X332))</f>
        <v/>
      </c>
      <c r="F332" s="502" t="str">
        <f>IF($D332="","",STDEVP(終値!E332:X332))</f>
        <v/>
      </c>
      <c r="G332" s="501" t="str">
        <f>IF($D332="","",$E332+BB設定!$B$4*$F332)</f>
        <v/>
      </c>
      <c r="H332" s="501" t="str">
        <f>IF($D332="","",$E332+BB設定!$B$5*$F332)</f>
        <v/>
      </c>
      <c r="I332" s="501" t="str">
        <f>IF($D332="","",$E332-BB設定!$B$5*$F332)</f>
        <v/>
      </c>
      <c r="J332" s="501" t="str">
        <f>IF($D332="","",$E332-BB設定!$B$4*$F332)</f>
        <v/>
      </c>
      <c r="K332" s="506" t="str">
        <f t="shared" si="55"/>
        <v/>
      </c>
      <c r="L332" s="505" t="str">
        <f t="shared" si="56"/>
        <v/>
      </c>
      <c r="M332" s="505" t="str">
        <f>IF($D332="","",IFERROR(MIN(BB_帯幅!B332:AP332)*100,""))</f>
        <v/>
      </c>
      <c r="N332" s="500" t="str">
        <f>IF($L332="","",IF($L332&lt;=$M332*BB設定!$B$7,"スクイーズ★",IF($L332&lt;=$M332*1.3,"収縮","－")))</f>
        <v/>
      </c>
      <c r="O332" s="500" t="str">
        <f>IF($D332="","",IF(AND(BB_帯幅!B332&gt;BB_帯幅!C332,BB_帯幅!C332&gt;BB_帯幅!D332),"拡大↑","縮小↓"))</f>
        <v/>
      </c>
      <c r="P332" s="500" t="str">
        <f t="shared" si="57"/>
        <v/>
      </c>
      <c r="Q332" s="503" t="str">
        <f>IF($D332="","",IFERROR(100-100/(1+SUMPRODUCT((終値!E332:R332&gt;終値!F332:S332)*(終値!E332:R332-終値!F332:S332))/SUMPRODUCT((終値!E332:R332&lt;終値!F332:S332)*(終値!F332:S332-終値!E332:R332))),100))</f>
        <v/>
      </c>
      <c r="R332" s="503"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0"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0" t="str">
        <f t="shared" si="58"/>
        <v/>
      </c>
      <c r="U332" s="500" t="str">
        <f>IF(終値!A332="","",BB_スイング!BT332)</f>
        <v/>
      </c>
      <c r="V332" s="508" t="str">
        <f>IF($D332="","",IFERROR(出来高!E332/AVERAGE(出来高!E332:I332),""))</f>
        <v/>
      </c>
      <c r="W332" s="509"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4" t="str">
        <f t="shared" si="64"/>
        <v/>
      </c>
      <c r="Y332" s="501" t="str">
        <f t="shared" si="59"/>
        <v/>
      </c>
      <c r="Z332" s="501" t="str">
        <f t="shared" si="60"/>
        <v/>
      </c>
      <c r="AA332" s="501" t="str">
        <f t="shared" si="61"/>
        <v/>
      </c>
      <c r="AB332" s="501" t="str">
        <f t="shared" si="65"/>
        <v/>
      </c>
      <c r="AC332" s="507" t="str">
        <f t="shared" si="62"/>
        <v/>
      </c>
      <c r="AD332" s="501" t="str">
        <f>IF($D332="","",MIN(終値!E332:I332))</f>
        <v/>
      </c>
      <c r="AE332" s="503" t="str">
        <f t="shared" si="63"/>
        <v/>
      </c>
    </row>
    <row r="333" spans="1:31">
      <c r="A333" s="500" t="str">
        <f>IF(終値!A333="","",HYPERLINK("https://kabutan.jp/stock/?code="&amp;終値!A333,"📈"))</f>
        <v/>
      </c>
      <c r="B333" s="500" t="str">
        <f>IF(終値!A333="","",終値!A333)</f>
        <v/>
      </c>
      <c r="C333" s="499" t="str">
        <f>IF(終値!A333="","",終値!B333)</f>
        <v/>
      </c>
      <c r="D333" s="501" t="str">
        <f>IF(終値!A333="","",終値!E333)</f>
        <v/>
      </c>
      <c r="E333" s="501" t="str">
        <f>IF($D333="","",AVERAGE(終値!E333:X333))</f>
        <v/>
      </c>
      <c r="F333" s="502" t="str">
        <f>IF($D333="","",STDEVP(終値!E333:X333))</f>
        <v/>
      </c>
      <c r="G333" s="501" t="str">
        <f>IF($D333="","",$E333+BB設定!$B$4*$F333)</f>
        <v/>
      </c>
      <c r="H333" s="501" t="str">
        <f>IF($D333="","",$E333+BB設定!$B$5*$F333)</f>
        <v/>
      </c>
      <c r="I333" s="501" t="str">
        <f>IF($D333="","",$E333-BB設定!$B$5*$F333)</f>
        <v/>
      </c>
      <c r="J333" s="501" t="str">
        <f>IF($D333="","",$E333-BB設定!$B$4*$F333)</f>
        <v/>
      </c>
      <c r="K333" s="506" t="str">
        <f t="shared" si="55"/>
        <v/>
      </c>
      <c r="L333" s="505" t="str">
        <f t="shared" si="56"/>
        <v/>
      </c>
      <c r="M333" s="505" t="str">
        <f>IF($D333="","",IFERROR(MIN(BB_帯幅!B333:AP333)*100,""))</f>
        <v/>
      </c>
      <c r="N333" s="500" t="str">
        <f>IF($L333="","",IF($L333&lt;=$M333*BB設定!$B$7,"スクイーズ★",IF($L333&lt;=$M333*1.3,"収縮","－")))</f>
        <v/>
      </c>
      <c r="O333" s="500" t="str">
        <f>IF($D333="","",IF(AND(BB_帯幅!B333&gt;BB_帯幅!C333,BB_帯幅!C333&gt;BB_帯幅!D333),"拡大↑","縮小↓"))</f>
        <v/>
      </c>
      <c r="P333" s="500" t="str">
        <f t="shared" si="57"/>
        <v/>
      </c>
      <c r="Q333" s="503" t="str">
        <f>IF($D333="","",IFERROR(100-100/(1+SUMPRODUCT((終値!E333:R333&gt;終値!F333:S333)*(終値!E333:R333-終値!F333:S333))/SUMPRODUCT((終値!E333:R333&lt;終値!F333:S333)*(終値!F333:S333-終値!E333:R333))),100))</f>
        <v/>
      </c>
      <c r="R333" s="503"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0"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0" t="str">
        <f t="shared" si="58"/>
        <v/>
      </c>
      <c r="U333" s="500" t="str">
        <f>IF(終値!A333="","",BB_スイング!BT333)</f>
        <v/>
      </c>
      <c r="V333" s="508" t="str">
        <f>IF($D333="","",IFERROR(出来高!E333/AVERAGE(出来高!E333:I333),""))</f>
        <v/>
      </c>
      <c r="W333" s="509"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4" t="str">
        <f t="shared" si="64"/>
        <v/>
      </c>
      <c r="Y333" s="501" t="str">
        <f t="shared" si="59"/>
        <v/>
      </c>
      <c r="Z333" s="501" t="str">
        <f t="shared" si="60"/>
        <v/>
      </c>
      <c r="AA333" s="501" t="str">
        <f t="shared" si="61"/>
        <v/>
      </c>
      <c r="AB333" s="501" t="str">
        <f t="shared" si="65"/>
        <v/>
      </c>
      <c r="AC333" s="507" t="str">
        <f t="shared" si="62"/>
        <v/>
      </c>
      <c r="AD333" s="501" t="str">
        <f>IF($D333="","",MIN(終値!E333:I333))</f>
        <v/>
      </c>
      <c r="AE333" s="503" t="str">
        <f t="shared" si="63"/>
        <v/>
      </c>
    </row>
    <row r="334" spans="1:31">
      <c r="A334" s="500" t="str">
        <f>IF(終値!A334="","",HYPERLINK("https://kabutan.jp/stock/?code="&amp;終値!A334,"📈"))</f>
        <v/>
      </c>
      <c r="B334" s="500" t="str">
        <f>IF(終値!A334="","",終値!A334)</f>
        <v/>
      </c>
      <c r="C334" s="499" t="str">
        <f>IF(終値!A334="","",終値!B334)</f>
        <v/>
      </c>
      <c r="D334" s="501" t="str">
        <f>IF(終値!A334="","",終値!E334)</f>
        <v/>
      </c>
      <c r="E334" s="501" t="str">
        <f>IF($D334="","",AVERAGE(終値!E334:X334))</f>
        <v/>
      </c>
      <c r="F334" s="502" t="str">
        <f>IF($D334="","",STDEVP(終値!E334:X334))</f>
        <v/>
      </c>
      <c r="G334" s="501" t="str">
        <f>IF($D334="","",$E334+BB設定!$B$4*$F334)</f>
        <v/>
      </c>
      <c r="H334" s="501" t="str">
        <f>IF($D334="","",$E334+BB設定!$B$5*$F334)</f>
        <v/>
      </c>
      <c r="I334" s="501" t="str">
        <f>IF($D334="","",$E334-BB設定!$B$5*$F334)</f>
        <v/>
      </c>
      <c r="J334" s="501" t="str">
        <f>IF($D334="","",$E334-BB設定!$B$4*$F334)</f>
        <v/>
      </c>
      <c r="K334" s="506" t="str">
        <f t="shared" si="55"/>
        <v/>
      </c>
      <c r="L334" s="505" t="str">
        <f t="shared" si="56"/>
        <v/>
      </c>
      <c r="M334" s="505" t="str">
        <f>IF($D334="","",IFERROR(MIN(BB_帯幅!B334:AP334)*100,""))</f>
        <v/>
      </c>
      <c r="N334" s="500" t="str">
        <f>IF($L334="","",IF($L334&lt;=$M334*BB設定!$B$7,"スクイーズ★",IF($L334&lt;=$M334*1.3,"収縮","－")))</f>
        <v/>
      </c>
      <c r="O334" s="500" t="str">
        <f>IF($D334="","",IF(AND(BB_帯幅!B334&gt;BB_帯幅!C334,BB_帯幅!C334&gt;BB_帯幅!D334),"拡大↑","縮小↓"))</f>
        <v/>
      </c>
      <c r="P334" s="500" t="str">
        <f t="shared" si="57"/>
        <v/>
      </c>
      <c r="Q334" s="503" t="str">
        <f>IF($D334="","",IFERROR(100-100/(1+SUMPRODUCT((終値!E334:R334&gt;終値!F334:S334)*(終値!E334:R334-終値!F334:S334))/SUMPRODUCT((終値!E334:R334&lt;終値!F334:S334)*(終値!F334:S334-終値!E334:R334))),100))</f>
        <v/>
      </c>
      <c r="R334" s="503"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0"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0" t="str">
        <f t="shared" si="58"/>
        <v/>
      </c>
      <c r="U334" s="500" t="str">
        <f>IF(終値!A334="","",BB_スイング!BT334)</f>
        <v/>
      </c>
      <c r="V334" s="508" t="str">
        <f>IF($D334="","",IFERROR(出来高!E334/AVERAGE(出来高!E334:I334),""))</f>
        <v/>
      </c>
      <c r="W334" s="509"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4" t="str">
        <f t="shared" si="64"/>
        <v/>
      </c>
      <c r="Y334" s="501" t="str">
        <f t="shared" si="59"/>
        <v/>
      </c>
      <c r="Z334" s="501" t="str">
        <f t="shared" si="60"/>
        <v/>
      </c>
      <c r="AA334" s="501" t="str">
        <f t="shared" si="61"/>
        <v/>
      </c>
      <c r="AB334" s="501" t="str">
        <f t="shared" si="65"/>
        <v/>
      </c>
      <c r="AC334" s="507" t="str">
        <f t="shared" si="62"/>
        <v/>
      </c>
      <c r="AD334" s="501" t="str">
        <f>IF($D334="","",MIN(終値!E334:I334))</f>
        <v/>
      </c>
      <c r="AE334" s="503" t="str">
        <f t="shared" si="63"/>
        <v/>
      </c>
    </row>
    <row r="335" spans="1:31">
      <c r="A335" s="500" t="str">
        <f>IF(終値!A335="","",HYPERLINK("https://kabutan.jp/stock/?code="&amp;終値!A335,"📈"))</f>
        <v/>
      </c>
      <c r="B335" s="500" t="str">
        <f>IF(終値!A335="","",終値!A335)</f>
        <v/>
      </c>
      <c r="C335" s="499" t="str">
        <f>IF(終値!A335="","",終値!B335)</f>
        <v/>
      </c>
      <c r="D335" s="501" t="str">
        <f>IF(終値!A335="","",終値!E335)</f>
        <v/>
      </c>
      <c r="E335" s="501" t="str">
        <f>IF($D335="","",AVERAGE(終値!E335:X335))</f>
        <v/>
      </c>
      <c r="F335" s="502" t="str">
        <f>IF($D335="","",STDEVP(終値!E335:X335))</f>
        <v/>
      </c>
      <c r="G335" s="501" t="str">
        <f>IF($D335="","",$E335+BB設定!$B$4*$F335)</f>
        <v/>
      </c>
      <c r="H335" s="501" t="str">
        <f>IF($D335="","",$E335+BB設定!$B$5*$F335)</f>
        <v/>
      </c>
      <c r="I335" s="501" t="str">
        <f>IF($D335="","",$E335-BB設定!$B$5*$F335)</f>
        <v/>
      </c>
      <c r="J335" s="501" t="str">
        <f>IF($D335="","",$E335-BB設定!$B$4*$F335)</f>
        <v/>
      </c>
      <c r="K335" s="506" t="str">
        <f t="shared" si="55"/>
        <v/>
      </c>
      <c r="L335" s="505" t="str">
        <f t="shared" si="56"/>
        <v/>
      </c>
      <c r="M335" s="505" t="str">
        <f>IF($D335="","",IFERROR(MIN(BB_帯幅!B335:AP335)*100,""))</f>
        <v/>
      </c>
      <c r="N335" s="500" t="str">
        <f>IF($L335="","",IF($L335&lt;=$M335*BB設定!$B$7,"スクイーズ★",IF($L335&lt;=$M335*1.3,"収縮","－")))</f>
        <v/>
      </c>
      <c r="O335" s="500" t="str">
        <f>IF($D335="","",IF(AND(BB_帯幅!B335&gt;BB_帯幅!C335,BB_帯幅!C335&gt;BB_帯幅!D335),"拡大↑","縮小↓"))</f>
        <v/>
      </c>
      <c r="P335" s="500" t="str">
        <f t="shared" si="57"/>
        <v/>
      </c>
      <c r="Q335" s="503" t="str">
        <f>IF($D335="","",IFERROR(100-100/(1+SUMPRODUCT((終値!E335:R335&gt;終値!F335:S335)*(終値!E335:R335-終値!F335:S335))/SUMPRODUCT((終値!E335:R335&lt;終値!F335:S335)*(終値!F335:S335-終値!E335:R335))),100))</f>
        <v/>
      </c>
      <c r="R335" s="503"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0"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0" t="str">
        <f t="shared" si="58"/>
        <v/>
      </c>
      <c r="U335" s="500" t="str">
        <f>IF(終値!A335="","",BB_スイング!BT335)</f>
        <v/>
      </c>
      <c r="V335" s="508" t="str">
        <f>IF($D335="","",IFERROR(出来高!E335/AVERAGE(出来高!E335:I335),""))</f>
        <v/>
      </c>
      <c r="W335" s="509"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4" t="str">
        <f t="shared" si="64"/>
        <v/>
      </c>
      <c r="Y335" s="501" t="str">
        <f t="shared" si="59"/>
        <v/>
      </c>
      <c r="Z335" s="501" t="str">
        <f t="shared" si="60"/>
        <v/>
      </c>
      <c r="AA335" s="501" t="str">
        <f t="shared" si="61"/>
        <v/>
      </c>
      <c r="AB335" s="501" t="str">
        <f t="shared" si="65"/>
        <v/>
      </c>
      <c r="AC335" s="507" t="str">
        <f t="shared" si="62"/>
        <v/>
      </c>
      <c r="AD335" s="501" t="str">
        <f>IF($D335="","",MIN(終値!E335:I335))</f>
        <v/>
      </c>
      <c r="AE335" s="503" t="str">
        <f t="shared" si="63"/>
        <v/>
      </c>
    </row>
    <row r="336" spans="1:31">
      <c r="A336" s="500" t="str">
        <f>IF(終値!A336="","",HYPERLINK("https://kabutan.jp/stock/?code="&amp;終値!A336,"📈"))</f>
        <v/>
      </c>
      <c r="B336" s="500" t="str">
        <f>IF(終値!A336="","",終値!A336)</f>
        <v/>
      </c>
      <c r="C336" s="499" t="str">
        <f>IF(終値!A336="","",終値!B336)</f>
        <v/>
      </c>
      <c r="D336" s="501" t="str">
        <f>IF(終値!A336="","",終値!E336)</f>
        <v/>
      </c>
      <c r="E336" s="501" t="str">
        <f>IF($D336="","",AVERAGE(終値!E336:X336))</f>
        <v/>
      </c>
      <c r="F336" s="502" t="str">
        <f>IF($D336="","",STDEVP(終値!E336:X336))</f>
        <v/>
      </c>
      <c r="G336" s="501" t="str">
        <f>IF($D336="","",$E336+BB設定!$B$4*$F336)</f>
        <v/>
      </c>
      <c r="H336" s="501" t="str">
        <f>IF($D336="","",$E336+BB設定!$B$5*$F336)</f>
        <v/>
      </c>
      <c r="I336" s="501" t="str">
        <f>IF($D336="","",$E336-BB設定!$B$5*$F336)</f>
        <v/>
      </c>
      <c r="J336" s="501" t="str">
        <f>IF($D336="","",$E336-BB設定!$B$4*$F336)</f>
        <v/>
      </c>
      <c r="K336" s="506" t="str">
        <f t="shared" si="55"/>
        <v/>
      </c>
      <c r="L336" s="505" t="str">
        <f t="shared" si="56"/>
        <v/>
      </c>
      <c r="M336" s="505" t="str">
        <f>IF($D336="","",IFERROR(MIN(BB_帯幅!B336:AP336)*100,""))</f>
        <v/>
      </c>
      <c r="N336" s="500" t="str">
        <f>IF($L336="","",IF($L336&lt;=$M336*BB設定!$B$7,"スクイーズ★",IF($L336&lt;=$M336*1.3,"収縮","－")))</f>
        <v/>
      </c>
      <c r="O336" s="500" t="str">
        <f>IF($D336="","",IF(AND(BB_帯幅!B336&gt;BB_帯幅!C336,BB_帯幅!C336&gt;BB_帯幅!D336),"拡大↑","縮小↓"))</f>
        <v/>
      </c>
      <c r="P336" s="500" t="str">
        <f t="shared" si="57"/>
        <v/>
      </c>
      <c r="Q336" s="503" t="str">
        <f>IF($D336="","",IFERROR(100-100/(1+SUMPRODUCT((終値!E336:R336&gt;終値!F336:S336)*(終値!E336:R336-終値!F336:S336))/SUMPRODUCT((終値!E336:R336&lt;終値!F336:S336)*(終値!F336:S336-終値!E336:R336))),100))</f>
        <v/>
      </c>
      <c r="R336" s="503"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0"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0" t="str">
        <f t="shared" si="58"/>
        <v/>
      </c>
      <c r="U336" s="500" t="str">
        <f>IF(終値!A336="","",BB_スイング!BT336)</f>
        <v/>
      </c>
      <c r="V336" s="508" t="str">
        <f>IF($D336="","",IFERROR(出来高!E336/AVERAGE(出来高!E336:I336),""))</f>
        <v/>
      </c>
      <c r="W336" s="509"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4" t="str">
        <f t="shared" si="64"/>
        <v/>
      </c>
      <c r="Y336" s="501" t="str">
        <f t="shared" si="59"/>
        <v/>
      </c>
      <c r="Z336" s="501" t="str">
        <f t="shared" si="60"/>
        <v/>
      </c>
      <c r="AA336" s="501" t="str">
        <f t="shared" si="61"/>
        <v/>
      </c>
      <c r="AB336" s="501" t="str">
        <f t="shared" si="65"/>
        <v/>
      </c>
      <c r="AC336" s="507" t="str">
        <f t="shared" si="62"/>
        <v/>
      </c>
      <c r="AD336" s="501" t="str">
        <f>IF($D336="","",MIN(終値!E336:I336))</f>
        <v/>
      </c>
      <c r="AE336" s="503" t="str">
        <f t="shared" si="63"/>
        <v/>
      </c>
    </row>
    <row r="337" spans="1:31">
      <c r="A337" s="500" t="str">
        <f>IF(終値!A337="","",HYPERLINK("https://kabutan.jp/stock/?code="&amp;終値!A337,"📈"))</f>
        <v/>
      </c>
      <c r="B337" s="500" t="str">
        <f>IF(終値!A337="","",終値!A337)</f>
        <v/>
      </c>
      <c r="C337" s="499" t="str">
        <f>IF(終値!A337="","",終値!B337)</f>
        <v/>
      </c>
      <c r="D337" s="501" t="str">
        <f>IF(終値!A337="","",終値!E337)</f>
        <v/>
      </c>
      <c r="E337" s="501" t="str">
        <f>IF($D337="","",AVERAGE(終値!E337:X337))</f>
        <v/>
      </c>
      <c r="F337" s="502" t="str">
        <f>IF($D337="","",STDEVP(終値!E337:X337))</f>
        <v/>
      </c>
      <c r="G337" s="501" t="str">
        <f>IF($D337="","",$E337+BB設定!$B$4*$F337)</f>
        <v/>
      </c>
      <c r="H337" s="501" t="str">
        <f>IF($D337="","",$E337+BB設定!$B$5*$F337)</f>
        <v/>
      </c>
      <c r="I337" s="501" t="str">
        <f>IF($D337="","",$E337-BB設定!$B$5*$F337)</f>
        <v/>
      </c>
      <c r="J337" s="501" t="str">
        <f>IF($D337="","",$E337-BB設定!$B$4*$F337)</f>
        <v/>
      </c>
      <c r="K337" s="506" t="str">
        <f t="shared" si="55"/>
        <v/>
      </c>
      <c r="L337" s="505" t="str">
        <f t="shared" si="56"/>
        <v/>
      </c>
      <c r="M337" s="505" t="str">
        <f>IF($D337="","",IFERROR(MIN(BB_帯幅!B337:AP337)*100,""))</f>
        <v/>
      </c>
      <c r="N337" s="500" t="str">
        <f>IF($L337="","",IF($L337&lt;=$M337*BB設定!$B$7,"スクイーズ★",IF($L337&lt;=$M337*1.3,"収縮","－")))</f>
        <v/>
      </c>
      <c r="O337" s="500" t="str">
        <f>IF($D337="","",IF(AND(BB_帯幅!B337&gt;BB_帯幅!C337,BB_帯幅!C337&gt;BB_帯幅!D337),"拡大↑","縮小↓"))</f>
        <v/>
      </c>
      <c r="P337" s="500" t="str">
        <f t="shared" si="57"/>
        <v/>
      </c>
      <c r="Q337" s="503" t="str">
        <f>IF($D337="","",IFERROR(100-100/(1+SUMPRODUCT((終値!E337:R337&gt;終値!F337:S337)*(終値!E337:R337-終値!F337:S337))/SUMPRODUCT((終値!E337:R337&lt;終値!F337:S337)*(終値!F337:S337-終値!E337:R337))),100))</f>
        <v/>
      </c>
      <c r="R337" s="503"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0"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0" t="str">
        <f t="shared" si="58"/>
        <v/>
      </c>
      <c r="U337" s="500" t="str">
        <f>IF(終値!A337="","",BB_スイング!BT337)</f>
        <v/>
      </c>
      <c r="V337" s="508" t="str">
        <f>IF($D337="","",IFERROR(出来高!E337/AVERAGE(出来高!E337:I337),""))</f>
        <v/>
      </c>
      <c r="W337" s="509"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4" t="str">
        <f t="shared" si="64"/>
        <v/>
      </c>
      <c r="Y337" s="501" t="str">
        <f t="shared" si="59"/>
        <v/>
      </c>
      <c r="Z337" s="501" t="str">
        <f t="shared" si="60"/>
        <v/>
      </c>
      <c r="AA337" s="501" t="str">
        <f t="shared" si="61"/>
        <v/>
      </c>
      <c r="AB337" s="501" t="str">
        <f t="shared" si="65"/>
        <v/>
      </c>
      <c r="AC337" s="507" t="str">
        <f t="shared" si="62"/>
        <v/>
      </c>
      <c r="AD337" s="501" t="str">
        <f>IF($D337="","",MIN(終値!E337:I337))</f>
        <v/>
      </c>
      <c r="AE337" s="503" t="str">
        <f t="shared" si="63"/>
        <v/>
      </c>
    </row>
    <row r="338" spans="1:31">
      <c r="A338" s="500" t="str">
        <f>IF(終値!A338="","",HYPERLINK("https://kabutan.jp/stock/?code="&amp;終値!A338,"📈"))</f>
        <v/>
      </c>
      <c r="B338" s="500" t="str">
        <f>IF(終値!A338="","",終値!A338)</f>
        <v/>
      </c>
      <c r="C338" s="499" t="str">
        <f>IF(終値!A338="","",終値!B338)</f>
        <v/>
      </c>
      <c r="D338" s="501" t="str">
        <f>IF(終値!A338="","",終値!E338)</f>
        <v/>
      </c>
      <c r="E338" s="501" t="str">
        <f>IF($D338="","",AVERAGE(終値!E338:X338))</f>
        <v/>
      </c>
      <c r="F338" s="502" t="str">
        <f>IF($D338="","",STDEVP(終値!E338:X338))</f>
        <v/>
      </c>
      <c r="G338" s="501" t="str">
        <f>IF($D338="","",$E338+BB設定!$B$4*$F338)</f>
        <v/>
      </c>
      <c r="H338" s="501" t="str">
        <f>IF($D338="","",$E338+BB設定!$B$5*$F338)</f>
        <v/>
      </c>
      <c r="I338" s="501" t="str">
        <f>IF($D338="","",$E338-BB設定!$B$5*$F338)</f>
        <v/>
      </c>
      <c r="J338" s="501" t="str">
        <f>IF($D338="","",$E338-BB設定!$B$4*$F338)</f>
        <v/>
      </c>
      <c r="K338" s="506" t="str">
        <f t="shared" si="55"/>
        <v/>
      </c>
      <c r="L338" s="505" t="str">
        <f t="shared" si="56"/>
        <v/>
      </c>
      <c r="M338" s="505" t="str">
        <f>IF($D338="","",IFERROR(MIN(BB_帯幅!B338:AP338)*100,""))</f>
        <v/>
      </c>
      <c r="N338" s="500" t="str">
        <f>IF($L338="","",IF($L338&lt;=$M338*BB設定!$B$7,"スクイーズ★",IF($L338&lt;=$M338*1.3,"収縮","－")))</f>
        <v/>
      </c>
      <c r="O338" s="500" t="str">
        <f>IF($D338="","",IF(AND(BB_帯幅!B338&gt;BB_帯幅!C338,BB_帯幅!C338&gt;BB_帯幅!D338),"拡大↑","縮小↓"))</f>
        <v/>
      </c>
      <c r="P338" s="500" t="str">
        <f t="shared" si="57"/>
        <v/>
      </c>
      <c r="Q338" s="503" t="str">
        <f>IF($D338="","",IFERROR(100-100/(1+SUMPRODUCT((終値!E338:R338&gt;終値!F338:S338)*(終値!E338:R338-終値!F338:S338))/SUMPRODUCT((終値!E338:R338&lt;終値!F338:S338)*(終値!F338:S338-終値!E338:R338))),100))</f>
        <v/>
      </c>
      <c r="R338" s="503"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0"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0" t="str">
        <f t="shared" si="58"/>
        <v/>
      </c>
      <c r="U338" s="500" t="str">
        <f>IF(終値!A338="","",BB_スイング!BT338)</f>
        <v/>
      </c>
      <c r="V338" s="508" t="str">
        <f>IF($D338="","",IFERROR(出来高!E338/AVERAGE(出来高!E338:I338),""))</f>
        <v/>
      </c>
      <c r="W338" s="509"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4" t="str">
        <f t="shared" si="64"/>
        <v/>
      </c>
      <c r="Y338" s="501" t="str">
        <f t="shared" si="59"/>
        <v/>
      </c>
      <c r="Z338" s="501" t="str">
        <f t="shared" si="60"/>
        <v/>
      </c>
      <c r="AA338" s="501" t="str">
        <f t="shared" si="61"/>
        <v/>
      </c>
      <c r="AB338" s="501" t="str">
        <f t="shared" si="65"/>
        <v/>
      </c>
      <c r="AC338" s="507" t="str">
        <f t="shared" si="62"/>
        <v/>
      </c>
      <c r="AD338" s="501" t="str">
        <f>IF($D338="","",MIN(終値!E338:I338))</f>
        <v/>
      </c>
      <c r="AE338" s="503" t="str">
        <f t="shared" si="63"/>
        <v/>
      </c>
    </row>
    <row r="339" spans="1:31">
      <c r="A339" s="500" t="str">
        <f>IF(終値!A339="","",HYPERLINK("https://kabutan.jp/stock/?code="&amp;終値!A339,"📈"))</f>
        <v/>
      </c>
      <c r="B339" s="500" t="str">
        <f>IF(終値!A339="","",終値!A339)</f>
        <v/>
      </c>
      <c r="C339" s="499" t="str">
        <f>IF(終値!A339="","",終値!B339)</f>
        <v/>
      </c>
      <c r="D339" s="501" t="str">
        <f>IF(終値!A339="","",終値!E339)</f>
        <v/>
      </c>
      <c r="E339" s="501" t="str">
        <f>IF($D339="","",AVERAGE(終値!E339:X339))</f>
        <v/>
      </c>
      <c r="F339" s="502" t="str">
        <f>IF($D339="","",STDEVP(終値!E339:X339))</f>
        <v/>
      </c>
      <c r="G339" s="501" t="str">
        <f>IF($D339="","",$E339+BB設定!$B$4*$F339)</f>
        <v/>
      </c>
      <c r="H339" s="501" t="str">
        <f>IF($D339="","",$E339+BB設定!$B$5*$F339)</f>
        <v/>
      </c>
      <c r="I339" s="501" t="str">
        <f>IF($D339="","",$E339-BB設定!$B$5*$F339)</f>
        <v/>
      </c>
      <c r="J339" s="501" t="str">
        <f>IF($D339="","",$E339-BB設定!$B$4*$F339)</f>
        <v/>
      </c>
      <c r="K339" s="506" t="str">
        <f t="shared" si="55"/>
        <v/>
      </c>
      <c r="L339" s="505" t="str">
        <f t="shared" si="56"/>
        <v/>
      </c>
      <c r="M339" s="505" t="str">
        <f>IF($D339="","",IFERROR(MIN(BB_帯幅!B339:AP339)*100,""))</f>
        <v/>
      </c>
      <c r="N339" s="500" t="str">
        <f>IF($L339="","",IF($L339&lt;=$M339*BB設定!$B$7,"スクイーズ★",IF($L339&lt;=$M339*1.3,"収縮","－")))</f>
        <v/>
      </c>
      <c r="O339" s="500" t="str">
        <f>IF($D339="","",IF(AND(BB_帯幅!B339&gt;BB_帯幅!C339,BB_帯幅!C339&gt;BB_帯幅!D339),"拡大↑","縮小↓"))</f>
        <v/>
      </c>
      <c r="P339" s="500" t="str">
        <f t="shared" si="57"/>
        <v/>
      </c>
      <c r="Q339" s="503" t="str">
        <f>IF($D339="","",IFERROR(100-100/(1+SUMPRODUCT((終値!E339:R339&gt;終値!F339:S339)*(終値!E339:R339-終値!F339:S339))/SUMPRODUCT((終値!E339:R339&lt;終値!F339:S339)*(終値!F339:S339-終値!E339:R339))),100))</f>
        <v/>
      </c>
      <c r="R339" s="503"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0"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0" t="str">
        <f t="shared" si="58"/>
        <v/>
      </c>
      <c r="U339" s="500" t="str">
        <f>IF(終値!A339="","",BB_スイング!BT339)</f>
        <v/>
      </c>
      <c r="V339" s="508" t="str">
        <f>IF($D339="","",IFERROR(出来高!E339/AVERAGE(出来高!E339:I339),""))</f>
        <v/>
      </c>
      <c r="W339" s="509"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4" t="str">
        <f t="shared" si="64"/>
        <v/>
      </c>
      <c r="Y339" s="501" t="str">
        <f t="shared" si="59"/>
        <v/>
      </c>
      <c r="Z339" s="501" t="str">
        <f t="shared" si="60"/>
        <v/>
      </c>
      <c r="AA339" s="501" t="str">
        <f t="shared" si="61"/>
        <v/>
      </c>
      <c r="AB339" s="501" t="str">
        <f t="shared" si="65"/>
        <v/>
      </c>
      <c r="AC339" s="507" t="str">
        <f t="shared" si="62"/>
        <v/>
      </c>
      <c r="AD339" s="501" t="str">
        <f>IF($D339="","",MIN(終値!E339:I339))</f>
        <v/>
      </c>
      <c r="AE339" s="503" t="str">
        <f t="shared" si="63"/>
        <v/>
      </c>
    </row>
    <row r="340" spans="1:31">
      <c r="A340" s="500" t="str">
        <f>IF(終値!A340="","",HYPERLINK("https://kabutan.jp/stock/?code="&amp;終値!A340,"📈"))</f>
        <v/>
      </c>
      <c r="B340" s="500" t="str">
        <f>IF(終値!A340="","",終値!A340)</f>
        <v/>
      </c>
      <c r="C340" s="499" t="str">
        <f>IF(終値!A340="","",終値!B340)</f>
        <v/>
      </c>
      <c r="D340" s="501" t="str">
        <f>IF(終値!A340="","",終値!E340)</f>
        <v/>
      </c>
      <c r="E340" s="501" t="str">
        <f>IF($D340="","",AVERAGE(終値!E340:X340))</f>
        <v/>
      </c>
      <c r="F340" s="502" t="str">
        <f>IF($D340="","",STDEVP(終値!E340:X340))</f>
        <v/>
      </c>
      <c r="G340" s="501" t="str">
        <f>IF($D340="","",$E340+BB設定!$B$4*$F340)</f>
        <v/>
      </c>
      <c r="H340" s="501" t="str">
        <f>IF($D340="","",$E340+BB設定!$B$5*$F340)</f>
        <v/>
      </c>
      <c r="I340" s="501" t="str">
        <f>IF($D340="","",$E340-BB設定!$B$5*$F340)</f>
        <v/>
      </c>
      <c r="J340" s="501" t="str">
        <f>IF($D340="","",$E340-BB設定!$B$4*$F340)</f>
        <v/>
      </c>
      <c r="K340" s="506" t="str">
        <f t="shared" si="55"/>
        <v/>
      </c>
      <c r="L340" s="505" t="str">
        <f t="shared" si="56"/>
        <v/>
      </c>
      <c r="M340" s="505" t="str">
        <f>IF($D340="","",IFERROR(MIN(BB_帯幅!B340:AP340)*100,""))</f>
        <v/>
      </c>
      <c r="N340" s="500" t="str">
        <f>IF($L340="","",IF($L340&lt;=$M340*BB設定!$B$7,"スクイーズ★",IF($L340&lt;=$M340*1.3,"収縮","－")))</f>
        <v/>
      </c>
      <c r="O340" s="500" t="str">
        <f>IF($D340="","",IF(AND(BB_帯幅!B340&gt;BB_帯幅!C340,BB_帯幅!C340&gt;BB_帯幅!D340),"拡大↑","縮小↓"))</f>
        <v/>
      </c>
      <c r="P340" s="500" t="str">
        <f t="shared" si="57"/>
        <v/>
      </c>
      <c r="Q340" s="503" t="str">
        <f>IF($D340="","",IFERROR(100-100/(1+SUMPRODUCT((終値!E340:R340&gt;終値!F340:S340)*(終値!E340:R340-終値!F340:S340))/SUMPRODUCT((終値!E340:R340&lt;終値!F340:S340)*(終値!F340:S340-終値!E340:R340))),100))</f>
        <v/>
      </c>
      <c r="R340" s="503"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0"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0" t="str">
        <f t="shared" si="58"/>
        <v/>
      </c>
      <c r="U340" s="500" t="str">
        <f>IF(終値!A340="","",BB_スイング!BT340)</f>
        <v/>
      </c>
      <c r="V340" s="508" t="str">
        <f>IF($D340="","",IFERROR(出来高!E340/AVERAGE(出来高!E340:I340),""))</f>
        <v/>
      </c>
      <c r="W340" s="509"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4" t="str">
        <f t="shared" si="64"/>
        <v/>
      </c>
      <c r="Y340" s="501" t="str">
        <f t="shared" si="59"/>
        <v/>
      </c>
      <c r="Z340" s="501" t="str">
        <f t="shared" si="60"/>
        <v/>
      </c>
      <c r="AA340" s="501" t="str">
        <f t="shared" si="61"/>
        <v/>
      </c>
      <c r="AB340" s="501" t="str">
        <f t="shared" si="65"/>
        <v/>
      </c>
      <c r="AC340" s="507" t="str">
        <f t="shared" si="62"/>
        <v/>
      </c>
      <c r="AD340" s="501" t="str">
        <f>IF($D340="","",MIN(終値!E340:I340))</f>
        <v/>
      </c>
      <c r="AE340" s="503" t="str">
        <f t="shared" si="63"/>
        <v/>
      </c>
    </row>
    <row r="341" spans="1:31">
      <c r="A341" s="500" t="str">
        <f>IF(終値!A341="","",HYPERLINK("https://kabutan.jp/stock/?code="&amp;終値!A341,"📈"))</f>
        <v/>
      </c>
      <c r="B341" s="500" t="str">
        <f>IF(終値!A341="","",終値!A341)</f>
        <v/>
      </c>
      <c r="C341" s="499" t="str">
        <f>IF(終値!A341="","",終値!B341)</f>
        <v/>
      </c>
      <c r="D341" s="501" t="str">
        <f>IF(終値!A341="","",終値!E341)</f>
        <v/>
      </c>
      <c r="E341" s="501" t="str">
        <f>IF($D341="","",AVERAGE(終値!E341:X341))</f>
        <v/>
      </c>
      <c r="F341" s="502" t="str">
        <f>IF($D341="","",STDEVP(終値!E341:X341))</f>
        <v/>
      </c>
      <c r="G341" s="501" t="str">
        <f>IF($D341="","",$E341+BB設定!$B$4*$F341)</f>
        <v/>
      </c>
      <c r="H341" s="501" t="str">
        <f>IF($D341="","",$E341+BB設定!$B$5*$F341)</f>
        <v/>
      </c>
      <c r="I341" s="501" t="str">
        <f>IF($D341="","",$E341-BB設定!$B$5*$F341)</f>
        <v/>
      </c>
      <c r="J341" s="501" t="str">
        <f>IF($D341="","",$E341-BB設定!$B$4*$F341)</f>
        <v/>
      </c>
      <c r="K341" s="506" t="str">
        <f t="shared" si="55"/>
        <v/>
      </c>
      <c r="L341" s="505" t="str">
        <f t="shared" si="56"/>
        <v/>
      </c>
      <c r="M341" s="505" t="str">
        <f>IF($D341="","",IFERROR(MIN(BB_帯幅!B341:AP341)*100,""))</f>
        <v/>
      </c>
      <c r="N341" s="500" t="str">
        <f>IF($L341="","",IF($L341&lt;=$M341*BB設定!$B$7,"スクイーズ★",IF($L341&lt;=$M341*1.3,"収縮","－")))</f>
        <v/>
      </c>
      <c r="O341" s="500" t="str">
        <f>IF($D341="","",IF(AND(BB_帯幅!B341&gt;BB_帯幅!C341,BB_帯幅!C341&gt;BB_帯幅!D341),"拡大↑","縮小↓"))</f>
        <v/>
      </c>
      <c r="P341" s="500" t="str">
        <f t="shared" si="57"/>
        <v/>
      </c>
      <c r="Q341" s="503" t="str">
        <f>IF($D341="","",IFERROR(100-100/(1+SUMPRODUCT((終値!E341:R341&gt;終値!F341:S341)*(終値!E341:R341-終値!F341:S341))/SUMPRODUCT((終値!E341:R341&lt;終値!F341:S341)*(終値!F341:S341-終値!E341:R341))),100))</f>
        <v/>
      </c>
      <c r="R341" s="503"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0"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0" t="str">
        <f t="shared" si="58"/>
        <v/>
      </c>
      <c r="U341" s="500" t="str">
        <f>IF(終値!A341="","",BB_スイング!BT341)</f>
        <v/>
      </c>
      <c r="V341" s="508" t="str">
        <f>IF($D341="","",IFERROR(出来高!E341/AVERAGE(出来高!E341:I341),""))</f>
        <v/>
      </c>
      <c r="W341" s="509"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4" t="str">
        <f t="shared" si="64"/>
        <v/>
      </c>
      <c r="Y341" s="501" t="str">
        <f t="shared" si="59"/>
        <v/>
      </c>
      <c r="Z341" s="501" t="str">
        <f t="shared" si="60"/>
        <v/>
      </c>
      <c r="AA341" s="501" t="str">
        <f t="shared" si="61"/>
        <v/>
      </c>
      <c r="AB341" s="501" t="str">
        <f t="shared" si="65"/>
        <v/>
      </c>
      <c r="AC341" s="507" t="str">
        <f t="shared" si="62"/>
        <v/>
      </c>
      <c r="AD341" s="501" t="str">
        <f>IF($D341="","",MIN(終値!E341:I341))</f>
        <v/>
      </c>
      <c r="AE341" s="503" t="str">
        <f t="shared" si="63"/>
        <v/>
      </c>
    </row>
    <row r="342" spans="1:31">
      <c r="A342" s="500" t="str">
        <f>IF(終値!A342="","",HYPERLINK("https://kabutan.jp/stock/?code="&amp;終値!A342,"📈"))</f>
        <v/>
      </c>
      <c r="B342" s="500" t="str">
        <f>IF(終値!A342="","",終値!A342)</f>
        <v/>
      </c>
      <c r="C342" s="499" t="str">
        <f>IF(終値!A342="","",終値!B342)</f>
        <v/>
      </c>
      <c r="D342" s="501" t="str">
        <f>IF(終値!A342="","",終値!E342)</f>
        <v/>
      </c>
      <c r="E342" s="501" t="str">
        <f>IF($D342="","",AVERAGE(終値!E342:X342))</f>
        <v/>
      </c>
      <c r="F342" s="502" t="str">
        <f>IF($D342="","",STDEVP(終値!E342:X342))</f>
        <v/>
      </c>
      <c r="G342" s="501" t="str">
        <f>IF($D342="","",$E342+BB設定!$B$4*$F342)</f>
        <v/>
      </c>
      <c r="H342" s="501" t="str">
        <f>IF($D342="","",$E342+BB設定!$B$5*$F342)</f>
        <v/>
      </c>
      <c r="I342" s="501" t="str">
        <f>IF($D342="","",$E342-BB設定!$B$5*$F342)</f>
        <v/>
      </c>
      <c r="J342" s="501" t="str">
        <f>IF($D342="","",$E342-BB設定!$B$4*$F342)</f>
        <v/>
      </c>
      <c r="K342" s="506" t="str">
        <f t="shared" si="55"/>
        <v/>
      </c>
      <c r="L342" s="505" t="str">
        <f t="shared" si="56"/>
        <v/>
      </c>
      <c r="M342" s="505" t="str">
        <f>IF($D342="","",IFERROR(MIN(BB_帯幅!B342:AP342)*100,""))</f>
        <v/>
      </c>
      <c r="N342" s="500" t="str">
        <f>IF($L342="","",IF($L342&lt;=$M342*BB設定!$B$7,"スクイーズ★",IF($L342&lt;=$M342*1.3,"収縮","－")))</f>
        <v/>
      </c>
      <c r="O342" s="500" t="str">
        <f>IF($D342="","",IF(AND(BB_帯幅!B342&gt;BB_帯幅!C342,BB_帯幅!C342&gt;BB_帯幅!D342),"拡大↑","縮小↓"))</f>
        <v/>
      </c>
      <c r="P342" s="500" t="str">
        <f t="shared" si="57"/>
        <v/>
      </c>
      <c r="Q342" s="503" t="str">
        <f>IF($D342="","",IFERROR(100-100/(1+SUMPRODUCT((終値!E342:R342&gt;終値!F342:S342)*(終値!E342:R342-終値!F342:S342))/SUMPRODUCT((終値!E342:R342&lt;終値!F342:S342)*(終値!F342:S342-終値!E342:R342))),100))</f>
        <v/>
      </c>
      <c r="R342" s="503"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0"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0" t="str">
        <f t="shared" si="58"/>
        <v/>
      </c>
      <c r="U342" s="500" t="str">
        <f>IF(終値!A342="","",BB_スイング!BT342)</f>
        <v/>
      </c>
      <c r="V342" s="508" t="str">
        <f>IF($D342="","",IFERROR(出来高!E342/AVERAGE(出来高!E342:I342),""))</f>
        <v/>
      </c>
      <c r="W342" s="509"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4" t="str">
        <f t="shared" si="64"/>
        <v/>
      </c>
      <c r="Y342" s="501" t="str">
        <f t="shared" si="59"/>
        <v/>
      </c>
      <c r="Z342" s="501" t="str">
        <f t="shared" si="60"/>
        <v/>
      </c>
      <c r="AA342" s="501" t="str">
        <f t="shared" si="61"/>
        <v/>
      </c>
      <c r="AB342" s="501" t="str">
        <f t="shared" si="65"/>
        <v/>
      </c>
      <c r="AC342" s="507" t="str">
        <f t="shared" si="62"/>
        <v/>
      </c>
      <c r="AD342" s="501" t="str">
        <f>IF($D342="","",MIN(終値!E342:I342))</f>
        <v/>
      </c>
      <c r="AE342" s="503" t="str">
        <f t="shared" si="63"/>
        <v/>
      </c>
    </row>
    <row r="343" spans="1:31">
      <c r="A343" s="500" t="str">
        <f>IF(終値!A343="","",HYPERLINK("https://kabutan.jp/stock/?code="&amp;終値!A343,"📈"))</f>
        <v/>
      </c>
      <c r="B343" s="500" t="str">
        <f>IF(終値!A343="","",終値!A343)</f>
        <v/>
      </c>
      <c r="C343" s="499" t="str">
        <f>IF(終値!A343="","",終値!B343)</f>
        <v/>
      </c>
      <c r="D343" s="501" t="str">
        <f>IF(終値!A343="","",終値!E343)</f>
        <v/>
      </c>
      <c r="E343" s="501" t="str">
        <f>IF($D343="","",AVERAGE(終値!E343:X343))</f>
        <v/>
      </c>
      <c r="F343" s="502" t="str">
        <f>IF($D343="","",STDEVP(終値!E343:X343))</f>
        <v/>
      </c>
      <c r="G343" s="501" t="str">
        <f>IF($D343="","",$E343+BB設定!$B$4*$F343)</f>
        <v/>
      </c>
      <c r="H343" s="501" t="str">
        <f>IF($D343="","",$E343+BB設定!$B$5*$F343)</f>
        <v/>
      </c>
      <c r="I343" s="501" t="str">
        <f>IF($D343="","",$E343-BB設定!$B$5*$F343)</f>
        <v/>
      </c>
      <c r="J343" s="501" t="str">
        <f>IF($D343="","",$E343-BB設定!$B$4*$F343)</f>
        <v/>
      </c>
      <c r="K343" s="506" t="str">
        <f t="shared" si="55"/>
        <v/>
      </c>
      <c r="L343" s="505" t="str">
        <f t="shared" si="56"/>
        <v/>
      </c>
      <c r="M343" s="505" t="str">
        <f>IF($D343="","",IFERROR(MIN(BB_帯幅!B343:AP343)*100,""))</f>
        <v/>
      </c>
      <c r="N343" s="500" t="str">
        <f>IF($L343="","",IF($L343&lt;=$M343*BB設定!$B$7,"スクイーズ★",IF($L343&lt;=$M343*1.3,"収縮","－")))</f>
        <v/>
      </c>
      <c r="O343" s="500" t="str">
        <f>IF($D343="","",IF(AND(BB_帯幅!B343&gt;BB_帯幅!C343,BB_帯幅!C343&gt;BB_帯幅!D343),"拡大↑","縮小↓"))</f>
        <v/>
      </c>
      <c r="P343" s="500" t="str">
        <f t="shared" si="57"/>
        <v/>
      </c>
      <c r="Q343" s="503" t="str">
        <f>IF($D343="","",IFERROR(100-100/(1+SUMPRODUCT((終値!E343:R343&gt;終値!F343:S343)*(終値!E343:R343-終値!F343:S343))/SUMPRODUCT((終値!E343:R343&lt;終値!F343:S343)*(終値!F343:S343-終値!E343:R343))),100))</f>
        <v/>
      </c>
      <c r="R343" s="503"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0"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0" t="str">
        <f t="shared" si="58"/>
        <v/>
      </c>
      <c r="U343" s="500" t="str">
        <f>IF(終値!A343="","",BB_スイング!BT343)</f>
        <v/>
      </c>
      <c r="V343" s="508" t="str">
        <f>IF($D343="","",IFERROR(出来高!E343/AVERAGE(出来高!E343:I343),""))</f>
        <v/>
      </c>
      <c r="W343" s="509"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4" t="str">
        <f t="shared" si="64"/>
        <v/>
      </c>
      <c r="Y343" s="501" t="str">
        <f t="shared" si="59"/>
        <v/>
      </c>
      <c r="Z343" s="501" t="str">
        <f t="shared" si="60"/>
        <v/>
      </c>
      <c r="AA343" s="501" t="str">
        <f t="shared" si="61"/>
        <v/>
      </c>
      <c r="AB343" s="501" t="str">
        <f t="shared" si="65"/>
        <v/>
      </c>
      <c r="AC343" s="507" t="str">
        <f t="shared" si="62"/>
        <v/>
      </c>
      <c r="AD343" s="501" t="str">
        <f>IF($D343="","",MIN(終値!E343:I343))</f>
        <v/>
      </c>
      <c r="AE343" s="503" t="str">
        <f t="shared" si="63"/>
        <v/>
      </c>
    </row>
    <row r="344" spans="1:31">
      <c r="A344" s="500" t="str">
        <f>IF(終値!A344="","",HYPERLINK("https://kabutan.jp/stock/?code="&amp;終値!A344,"📈"))</f>
        <v/>
      </c>
      <c r="B344" s="500" t="str">
        <f>IF(終値!A344="","",終値!A344)</f>
        <v/>
      </c>
      <c r="C344" s="499" t="str">
        <f>IF(終値!A344="","",終値!B344)</f>
        <v/>
      </c>
      <c r="D344" s="501" t="str">
        <f>IF(終値!A344="","",終値!E344)</f>
        <v/>
      </c>
      <c r="E344" s="501" t="str">
        <f>IF($D344="","",AVERAGE(終値!E344:X344))</f>
        <v/>
      </c>
      <c r="F344" s="502" t="str">
        <f>IF($D344="","",STDEVP(終値!E344:X344))</f>
        <v/>
      </c>
      <c r="G344" s="501" t="str">
        <f>IF($D344="","",$E344+BB設定!$B$4*$F344)</f>
        <v/>
      </c>
      <c r="H344" s="501" t="str">
        <f>IF($D344="","",$E344+BB設定!$B$5*$F344)</f>
        <v/>
      </c>
      <c r="I344" s="501" t="str">
        <f>IF($D344="","",$E344-BB設定!$B$5*$F344)</f>
        <v/>
      </c>
      <c r="J344" s="501" t="str">
        <f>IF($D344="","",$E344-BB設定!$B$4*$F344)</f>
        <v/>
      </c>
      <c r="K344" s="506" t="str">
        <f t="shared" si="55"/>
        <v/>
      </c>
      <c r="L344" s="505" t="str">
        <f t="shared" si="56"/>
        <v/>
      </c>
      <c r="M344" s="505" t="str">
        <f>IF($D344="","",IFERROR(MIN(BB_帯幅!B344:AP344)*100,""))</f>
        <v/>
      </c>
      <c r="N344" s="500" t="str">
        <f>IF($L344="","",IF($L344&lt;=$M344*BB設定!$B$7,"スクイーズ★",IF($L344&lt;=$M344*1.3,"収縮","－")))</f>
        <v/>
      </c>
      <c r="O344" s="500" t="str">
        <f>IF($D344="","",IF(AND(BB_帯幅!B344&gt;BB_帯幅!C344,BB_帯幅!C344&gt;BB_帯幅!D344),"拡大↑","縮小↓"))</f>
        <v/>
      </c>
      <c r="P344" s="500" t="str">
        <f t="shared" si="57"/>
        <v/>
      </c>
      <c r="Q344" s="503" t="str">
        <f>IF($D344="","",IFERROR(100-100/(1+SUMPRODUCT((終値!E344:R344&gt;終値!F344:S344)*(終値!E344:R344-終値!F344:S344))/SUMPRODUCT((終値!E344:R344&lt;終値!F344:S344)*(終値!F344:S344-終値!E344:R344))),100))</f>
        <v/>
      </c>
      <c r="R344" s="503"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0"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0" t="str">
        <f t="shared" si="58"/>
        <v/>
      </c>
      <c r="U344" s="500" t="str">
        <f>IF(終値!A344="","",BB_スイング!BT344)</f>
        <v/>
      </c>
      <c r="V344" s="508" t="str">
        <f>IF($D344="","",IFERROR(出来高!E344/AVERAGE(出来高!E344:I344),""))</f>
        <v/>
      </c>
      <c r="W344" s="509"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4" t="str">
        <f t="shared" si="64"/>
        <v/>
      </c>
      <c r="Y344" s="501" t="str">
        <f t="shared" si="59"/>
        <v/>
      </c>
      <c r="Z344" s="501" t="str">
        <f t="shared" si="60"/>
        <v/>
      </c>
      <c r="AA344" s="501" t="str">
        <f t="shared" si="61"/>
        <v/>
      </c>
      <c r="AB344" s="501" t="str">
        <f t="shared" si="65"/>
        <v/>
      </c>
      <c r="AC344" s="507" t="str">
        <f t="shared" si="62"/>
        <v/>
      </c>
      <c r="AD344" s="501" t="str">
        <f>IF($D344="","",MIN(終値!E344:I344))</f>
        <v/>
      </c>
      <c r="AE344" s="503" t="str">
        <f t="shared" si="63"/>
        <v/>
      </c>
    </row>
    <row r="345" spans="1:31">
      <c r="A345" s="500" t="str">
        <f>IF(終値!A345="","",HYPERLINK("https://kabutan.jp/stock/?code="&amp;終値!A345,"📈"))</f>
        <v/>
      </c>
      <c r="B345" s="500" t="str">
        <f>IF(終値!A345="","",終値!A345)</f>
        <v/>
      </c>
      <c r="C345" s="499" t="str">
        <f>IF(終値!A345="","",終値!B345)</f>
        <v/>
      </c>
      <c r="D345" s="501" t="str">
        <f>IF(終値!A345="","",終値!E345)</f>
        <v/>
      </c>
      <c r="E345" s="501" t="str">
        <f>IF($D345="","",AVERAGE(終値!E345:X345))</f>
        <v/>
      </c>
      <c r="F345" s="502" t="str">
        <f>IF($D345="","",STDEVP(終値!E345:X345))</f>
        <v/>
      </c>
      <c r="G345" s="501" t="str">
        <f>IF($D345="","",$E345+BB設定!$B$4*$F345)</f>
        <v/>
      </c>
      <c r="H345" s="501" t="str">
        <f>IF($D345="","",$E345+BB設定!$B$5*$F345)</f>
        <v/>
      </c>
      <c r="I345" s="501" t="str">
        <f>IF($D345="","",$E345-BB設定!$B$5*$F345)</f>
        <v/>
      </c>
      <c r="J345" s="501" t="str">
        <f>IF($D345="","",$E345-BB設定!$B$4*$F345)</f>
        <v/>
      </c>
      <c r="K345" s="506" t="str">
        <f t="shared" si="55"/>
        <v/>
      </c>
      <c r="L345" s="505" t="str">
        <f t="shared" si="56"/>
        <v/>
      </c>
      <c r="M345" s="505" t="str">
        <f>IF($D345="","",IFERROR(MIN(BB_帯幅!B345:AP345)*100,""))</f>
        <v/>
      </c>
      <c r="N345" s="500" t="str">
        <f>IF($L345="","",IF($L345&lt;=$M345*BB設定!$B$7,"スクイーズ★",IF($L345&lt;=$M345*1.3,"収縮","－")))</f>
        <v/>
      </c>
      <c r="O345" s="500" t="str">
        <f>IF($D345="","",IF(AND(BB_帯幅!B345&gt;BB_帯幅!C345,BB_帯幅!C345&gt;BB_帯幅!D345),"拡大↑","縮小↓"))</f>
        <v/>
      </c>
      <c r="P345" s="500" t="str">
        <f t="shared" si="57"/>
        <v/>
      </c>
      <c r="Q345" s="503" t="str">
        <f>IF($D345="","",IFERROR(100-100/(1+SUMPRODUCT((終値!E345:R345&gt;終値!F345:S345)*(終値!E345:R345-終値!F345:S345))/SUMPRODUCT((終値!E345:R345&lt;終値!F345:S345)*(終値!F345:S345-終値!E345:R345))),100))</f>
        <v/>
      </c>
      <c r="R345" s="503"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0"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0" t="str">
        <f t="shared" si="58"/>
        <v/>
      </c>
      <c r="U345" s="500" t="str">
        <f>IF(終値!A345="","",BB_スイング!BT345)</f>
        <v/>
      </c>
      <c r="V345" s="508" t="str">
        <f>IF($D345="","",IFERROR(出来高!E345/AVERAGE(出来高!E345:I345),""))</f>
        <v/>
      </c>
      <c r="W345" s="509"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4" t="str">
        <f t="shared" si="64"/>
        <v/>
      </c>
      <c r="Y345" s="501" t="str">
        <f t="shared" si="59"/>
        <v/>
      </c>
      <c r="Z345" s="501" t="str">
        <f t="shared" si="60"/>
        <v/>
      </c>
      <c r="AA345" s="501" t="str">
        <f t="shared" si="61"/>
        <v/>
      </c>
      <c r="AB345" s="501" t="str">
        <f t="shared" si="65"/>
        <v/>
      </c>
      <c r="AC345" s="507" t="str">
        <f t="shared" si="62"/>
        <v/>
      </c>
      <c r="AD345" s="501" t="str">
        <f>IF($D345="","",MIN(終値!E345:I345))</f>
        <v/>
      </c>
      <c r="AE345" s="503" t="str">
        <f t="shared" si="63"/>
        <v/>
      </c>
    </row>
    <row r="346" spans="1:31">
      <c r="A346" s="500" t="str">
        <f>IF(終値!A346="","",HYPERLINK("https://kabutan.jp/stock/?code="&amp;終値!A346,"📈"))</f>
        <v/>
      </c>
      <c r="B346" s="500" t="str">
        <f>IF(終値!A346="","",終値!A346)</f>
        <v/>
      </c>
      <c r="C346" s="499" t="str">
        <f>IF(終値!A346="","",終値!B346)</f>
        <v/>
      </c>
      <c r="D346" s="501" t="str">
        <f>IF(終値!A346="","",終値!E346)</f>
        <v/>
      </c>
      <c r="E346" s="501" t="str">
        <f>IF($D346="","",AVERAGE(終値!E346:X346))</f>
        <v/>
      </c>
      <c r="F346" s="502" t="str">
        <f>IF($D346="","",STDEVP(終値!E346:X346))</f>
        <v/>
      </c>
      <c r="G346" s="501" t="str">
        <f>IF($D346="","",$E346+BB設定!$B$4*$F346)</f>
        <v/>
      </c>
      <c r="H346" s="501" t="str">
        <f>IF($D346="","",$E346+BB設定!$B$5*$F346)</f>
        <v/>
      </c>
      <c r="I346" s="501" t="str">
        <f>IF($D346="","",$E346-BB設定!$B$5*$F346)</f>
        <v/>
      </c>
      <c r="J346" s="501" t="str">
        <f>IF($D346="","",$E346-BB設定!$B$4*$F346)</f>
        <v/>
      </c>
      <c r="K346" s="506" t="str">
        <f t="shared" si="55"/>
        <v/>
      </c>
      <c r="L346" s="505" t="str">
        <f t="shared" si="56"/>
        <v/>
      </c>
      <c r="M346" s="505" t="str">
        <f>IF($D346="","",IFERROR(MIN(BB_帯幅!B346:AP346)*100,""))</f>
        <v/>
      </c>
      <c r="N346" s="500" t="str">
        <f>IF($L346="","",IF($L346&lt;=$M346*BB設定!$B$7,"スクイーズ★",IF($L346&lt;=$M346*1.3,"収縮","－")))</f>
        <v/>
      </c>
      <c r="O346" s="500" t="str">
        <f>IF($D346="","",IF(AND(BB_帯幅!B346&gt;BB_帯幅!C346,BB_帯幅!C346&gt;BB_帯幅!D346),"拡大↑","縮小↓"))</f>
        <v/>
      </c>
      <c r="P346" s="500" t="str">
        <f t="shared" si="57"/>
        <v/>
      </c>
      <c r="Q346" s="503" t="str">
        <f>IF($D346="","",IFERROR(100-100/(1+SUMPRODUCT((終値!E346:R346&gt;終値!F346:S346)*(終値!E346:R346-終値!F346:S346))/SUMPRODUCT((終値!E346:R346&lt;終値!F346:S346)*(終値!F346:S346-終値!E346:R346))),100))</f>
        <v/>
      </c>
      <c r="R346" s="503"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0"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0" t="str">
        <f t="shared" si="58"/>
        <v/>
      </c>
      <c r="U346" s="500" t="str">
        <f>IF(終値!A346="","",BB_スイング!BT346)</f>
        <v/>
      </c>
      <c r="V346" s="508" t="str">
        <f>IF($D346="","",IFERROR(出来高!E346/AVERAGE(出来高!E346:I346),""))</f>
        <v/>
      </c>
      <c r="W346" s="509"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4" t="str">
        <f t="shared" si="64"/>
        <v/>
      </c>
      <c r="Y346" s="501" t="str">
        <f t="shared" si="59"/>
        <v/>
      </c>
      <c r="Z346" s="501" t="str">
        <f t="shared" si="60"/>
        <v/>
      </c>
      <c r="AA346" s="501" t="str">
        <f t="shared" si="61"/>
        <v/>
      </c>
      <c r="AB346" s="501" t="str">
        <f t="shared" si="65"/>
        <v/>
      </c>
      <c r="AC346" s="507" t="str">
        <f t="shared" si="62"/>
        <v/>
      </c>
      <c r="AD346" s="501" t="str">
        <f>IF($D346="","",MIN(終値!E346:I346))</f>
        <v/>
      </c>
      <c r="AE346" s="503" t="str">
        <f t="shared" si="63"/>
        <v/>
      </c>
    </row>
    <row r="347" spans="1:31">
      <c r="A347" s="500" t="str">
        <f>IF(終値!A347="","",HYPERLINK("https://kabutan.jp/stock/?code="&amp;終値!A347,"📈"))</f>
        <v/>
      </c>
      <c r="B347" s="500" t="str">
        <f>IF(終値!A347="","",終値!A347)</f>
        <v/>
      </c>
      <c r="C347" s="499" t="str">
        <f>IF(終値!A347="","",終値!B347)</f>
        <v/>
      </c>
      <c r="D347" s="501" t="str">
        <f>IF(終値!A347="","",終値!E347)</f>
        <v/>
      </c>
      <c r="E347" s="501" t="str">
        <f>IF($D347="","",AVERAGE(終値!E347:X347))</f>
        <v/>
      </c>
      <c r="F347" s="502" t="str">
        <f>IF($D347="","",STDEVP(終値!E347:X347))</f>
        <v/>
      </c>
      <c r="G347" s="501" t="str">
        <f>IF($D347="","",$E347+BB設定!$B$4*$F347)</f>
        <v/>
      </c>
      <c r="H347" s="501" t="str">
        <f>IF($D347="","",$E347+BB設定!$B$5*$F347)</f>
        <v/>
      </c>
      <c r="I347" s="501" t="str">
        <f>IF($D347="","",$E347-BB設定!$B$5*$F347)</f>
        <v/>
      </c>
      <c r="J347" s="501" t="str">
        <f>IF($D347="","",$E347-BB設定!$B$4*$F347)</f>
        <v/>
      </c>
      <c r="K347" s="506" t="str">
        <f t="shared" si="55"/>
        <v/>
      </c>
      <c r="L347" s="505" t="str">
        <f t="shared" si="56"/>
        <v/>
      </c>
      <c r="M347" s="505" t="str">
        <f>IF($D347="","",IFERROR(MIN(BB_帯幅!B347:AP347)*100,""))</f>
        <v/>
      </c>
      <c r="N347" s="500" t="str">
        <f>IF($L347="","",IF($L347&lt;=$M347*BB設定!$B$7,"スクイーズ★",IF($L347&lt;=$M347*1.3,"収縮","－")))</f>
        <v/>
      </c>
      <c r="O347" s="500" t="str">
        <f>IF($D347="","",IF(AND(BB_帯幅!B347&gt;BB_帯幅!C347,BB_帯幅!C347&gt;BB_帯幅!D347),"拡大↑","縮小↓"))</f>
        <v/>
      </c>
      <c r="P347" s="500" t="str">
        <f t="shared" si="57"/>
        <v/>
      </c>
      <c r="Q347" s="503" t="str">
        <f>IF($D347="","",IFERROR(100-100/(1+SUMPRODUCT((終値!E347:R347&gt;終値!F347:S347)*(終値!E347:R347-終値!F347:S347))/SUMPRODUCT((終値!E347:R347&lt;終値!F347:S347)*(終値!F347:S347-終値!E347:R347))),100))</f>
        <v/>
      </c>
      <c r="R347" s="503"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0"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0" t="str">
        <f t="shared" si="58"/>
        <v/>
      </c>
      <c r="U347" s="500" t="str">
        <f>IF(終値!A347="","",BB_スイング!BT347)</f>
        <v/>
      </c>
      <c r="V347" s="508" t="str">
        <f>IF($D347="","",IFERROR(出来高!E347/AVERAGE(出来高!E347:I347),""))</f>
        <v/>
      </c>
      <c r="W347" s="509"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4" t="str">
        <f t="shared" si="64"/>
        <v/>
      </c>
      <c r="Y347" s="501" t="str">
        <f t="shared" si="59"/>
        <v/>
      </c>
      <c r="Z347" s="501" t="str">
        <f t="shared" si="60"/>
        <v/>
      </c>
      <c r="AA347" s="501" t="str">
        <f t="shared" si="61"/>
        <v/>
      </c>
      <c r="AB347" s="501" t="str">
        <f t="shared" si="65"/>
        <v/>
      </c>
      <c r="AC347" s="507" t="str">
        <f t="shared" si="62"/>
        <v/>
      </c>
      <c r="AD347" s="501" t="str">
        <f>IF($D347="","",MIN(終値!E347:I347))</f>
        <v/>
      </c>
      <c r="AE347" s="503" t="str">
        <f t="shared" si="63"/>
        <v/>
      </c>
    </row>
    <row r="348" spans="1:31">
      <c r="A348" s="500" t="str">
        <f>IF(終値!A348="","",HYPERLINK("https://kabutan.jp/stock/?code="&amp;終値!A348,"📈"))</f>
        <v/>
      </c>
      <c r="B348" s="500" t="str">
        <f>IF(終値!A348="","",終値!A348)</f>
        <v/>
      </c>
      <c r="C348" s="499" t="str">
        <f>IF(終値!A348="","",終値!B348)</f>
        <v/>
      </c>
      <c r="D348" s="501" t="str">
        <f>IF(終値!A348="","",終値!E348)</f>
        <v/>
      </c>
      <c r="E348" s="501" t="str">
        <f>IF($D348="","",AVERAGE(終値!E348:X348))</f>
        <v/>
      </c>
      <c r="F348" s="502" t="str">
        <f>IF($D348="","",STDEVP(終値!E348:X348))</f>
        <v/>
      </c>
      <c r="G348" s="501" t="str">
        <f>IF($D348="","",$E348+BB設定!$B$4*$F348)</f>
        <v/>
      </c>
      <c r="H348" s="501" t="str">
        <f>IF($D348="","",$E348+BB設定!$B$5*$F348)</f>
        <v/>
      </c>
      <c r="I348" s="501" t="str">
        <f>IF($D348="","",$E348-BB設定!$B$5*$F348)</f>
        <v/>
      </c>
      <c r="J348" s="501" t="str">
        <f>IF($D348="","",$E348-BB設定!$B$4*$F348)</f>
        <v/>
      </c>
      <c r="K348" s="506" t="str">
        <f t="shared" si="55"/>
        <v/>
      </c>
      <c r="L348" s="505" t="str">
        <f t="shared" si="56"/>
        <v/>
      </c>
      <c r="M348" s="505" t="str">
        <f>IF($D348="","",IFERROR(MIN(BB_帯幅!B348:AP348)*100,""))</f>
        <v/>
      </c>
      <c r="N348" s="500" t="str">
        <f>IF($L348="","",IF($L348&lt;=$M348*BB設定!$B$7,"スクイーズ★",IF($L348&lt;=$M348*1.3,"収縮","－")))</f>
        <v/>
      </c>
      <c r="O348" s="500" t="str">
        <f>IF($D348="","",IF(AND(BB_帯幅!B348&gt;BB_帯幅!C348,BB_帯幅!C348&gt;BB_帯幅!D348),"拡大↑","縮小↓"))</f>
        <v/>
      </c>
      <c r="P348" s="500" t="str">
        <f t="shared" si="57"/>
        <v/>
      </c>
      <c r="Q348" s="503" t="str">
        <f>IF($D348="","",IFERROR(100-100/(1+SUMPRODUCT((終値!E348:R348&gt;終値!F348:S348)*(終値!E348:R348-終値!F348:S348))/SUMPRODUCT((終値!E348:R348&lt;終値!F348:S348)*(終値!F348:S348-終値!E348:R348))),100))</f>
        <v/>
      </c>
      <c r="R348" s="503"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0"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0" t="str">
        <f t="shared" si="58"/>
        <v/>
      </c>
      <c r="U348" s="500" t="str">
        <f>IF(終値!A348="","",BB_スイング!BT348)</f>
        <v/>
      </c>
      <c r="V348" s="508" t="str">
        <f>IF($D348="","",IFERROR(出来高!E348/AVERAGE(出来高!E348:I348),""))</f>
        <v/>
      </c>
      <c r="W348" s="509"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4" t="str">
        <f t="shared" si="64"/>
        <v/>
      </c>
      <c r="Y348" s="501" t="str">
        <f t="shared" si="59"/>
        <v/>
      </c>
      <c r="Z348" s="501" t="str">
        <f t="shared" si="60"/>
        <v/>
      </c>
      <c r="AA348" s="501" t="str">
        <f t="shared" si="61"/>
        <v/>
      </c>
      <c r="AB348" s="501" t="str">
        <f t="shared" si="65"/>
        <v/>
      </c>
      <c r="AC348" s="507" t="str">
        <f t="shared" si="62"/>
        <v/>
      </c>
      <c r="AD348" s="501" t="str">
        <f>IF($D348="","",MIN(終値!E348:I348))</f>
        <v/>
      </c>
      <c r="AE348" s="503" t="str">
        <f t="shared" si="63"/>
        <v/>
      </c>
    </row>
    <row r="349" spans="1:31">
      <c r="A349" s="500" t="str">
        <f>IF(終値!A349="","",HYPERLINK("https://kabutan.jp/stock/?code="&amp;終値!A349,"📈"))</f>
        <v/>
      </c>
      <c r="B349" s="500" t="str">
        <f>IF(終値!A349="","",終値!A349)</f>
        <v/>
      </c>
      <c r="C349" s="499" t="str">
        <f>IF(終値!A349="","",終値!B349)</f>
        <v/>
      </c>
      <c r="D349" s="501" t="str">
        <f>IF(終値!A349="","",終値!E349)</f>
        <v/>
      </c>
      <c r="E349" s="501" t="str">
        <f>IF($D349="","",AVERAGE(終値!E349:X349))</f>
        <v/>
      </c>
      <c r="F349" s="502" t="str">
        <f>IF($D349="","",STDEVP(終値!E349:X349))</f>
        <v/>
      </c>
      <c r="G349" s="501" t="str">
        <f>IF($D349="","",$E349+BB設定!$B$4*$F349)</f>
        <v/>
      </c>
      <c r="H349" s="501" t="str">
        <f>IF($D349="","",$E349+BB設定!$B$5*$F349)</f>
        <v/>
      </c>
      <c r="I349" s="501" t="str">
        <f>IF($D349="","",$E349-BB設定!$B$5*$F349)</f>
        <v/>
      </c>
      <c r="J349" s="501" t="str">
        <f>IF($D349="","",$E349-BB設定!$B$4*$F349)</f>
        <v/>
      </c>
      <c r="K349" s="506" t="str">
        <f t="shared" si="55"/>
        <v/>
      </c>
      <c r="L349" s="505" t="str">
        <f t="shared" si="56"/>
        <v/>
      </c>
      <c r="M349" s="505" t="str">
        <f>IF($D349="","",IFERROR(MIN(BB_帯幅!B349:AP349)*100,""))</f>
        <v/>
      </c>
      <c r="N349" s="500" t="str">
        <f>IF($L349="","",IF($L349&lt;=$M349*BB設定!$B$7,"スクイーズ★",IF($L349&lt;=$M349*1.3,"収縮","－")))</f>
        <v/>
      </c>
      <c r="O349" s="500" t="str">
        <f>IF($D349="","",IF(AND(BB_帯幅!B349&gt;BB_帯幅!C349,BB_帯幅!C349&gt;BB_帯幅!D349),"拡大↑","縮小↓"))</f>
        <v/>
      </c>
      <c r="P349" s="500" t="str">
        <f t="shared" si="57"/>
        <v/>
      </c>
      <c r="Q349" s="503" t="str">
        <f>IF($D349="","",IFERROR(100-100/(1+SUMPRODUCT((終値!E349:R349&gt;終値!F349:S349)*(終値!E349:R349-終値!F349:S349))/SUMPRODUCT((終値!E349:R349&lt;終値!F349:S349)*(終値!F349:S349-終値!E349:R349))),100))</f>
        <v/>
      </c>
      <c r="R349" s="503"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0"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0" t="str">
        <f t="shared" si="58"/>
        <v/>
      </c>
      <c r="U349" s="500" t="str">
        <f>IF(終値!A349="","",BB_スイング!BT349)</f>
        <v/>
      </c>
      <c r="V349" s="508" t="str">
        <f>IF($D349="","",IFERROR(出来高!E349/AVERAGE(出来高!E349:I349),""))</f>
        <v/>
      </c>
      <c r="W349" s="509"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4" t="str">
        <f t="shared" si="64"/>
        <v/>
      </c>
      <c r="Y349" s="501" t="str">
        <f t="shared" si="59"/>
        <v/>
      </c>
      <c r="Z349" s="501" t="str">
        <f t="shared" si="60"/>
        <v/>
      </c>
      <c r="AA349" s="501" t="str">
        <f t="shared" si="61"/>
        <v/>
      </c>
      <c r="AB349" s="501" t="str">
        <f t="shared" si="65"/>
        <v/>
      </c>
      <c r="AC349" s="507" t="str">
        <f t="shared" si="62"/>
        <v/>
      </c>
      <c r="AD349" s="501" t="str">
        <f>IF($D349="","",MIN(終値!E349:I349))</f>
        <v/>
      </c>
      <c r="AE349" s="503" t="str">
        <f t="shared" si="63"/>
        <v/>
      </c>
    </row>
    <row r="350" spans="1:31">
      <c r="A350" s="500" t="str">
        <f>IF(終値!A350="","",HYPERLINK("https://kabutan.jp/stock/?code="&amp;終値!A350,"📈"))</f>
        <v/>
      </c>
      <c r="B350" s="500" t="str">
        <f>IF(終値!A350="","",終値!A350)</f>
        <v/>
      </c>
      <c r="C350" s="499" t="str">
        <f>IF(終値!A350="","",終値!B350)</f>
        <v/>
      </c>
      <c r="D350" s="501" t="str">
        <f>IF(終値!A350="","",終値!E350)</f>
        <v/>
      </c>
      <c r="E350" s="501" t="str">
        <f>IF($D350="","",AVERAGE(終値!E350:X350))</f>
        <v/>
      </c>
      <c r="F350" s="502" t="str">
        <f>IF($D350="","",STDEVP(終値!E350:X350))</f>
        <v/>
      </c>
      <c r="G350" s="501" t="str">
        <f>IF($D350="","",$E350+BB設定!$B$4*$F350)</f>
        <v/>
      </c>
      <c r="H350" s="501" t="str">
        <f>IF($D350="","",$E350+BB設定!$B$5*$F350)</f>
        <v/>
      </c>
      <c r="I350" s="501" t="str">
        <f>IF($D350="","",$E350-BB設定!$B$5*$F350)</f>
        <v/>
      </c>
      <c r="J350" s="501" t="str">
        <f>IF($D350="","",$E350-BB設定!$B$4*$F350)</f>
        <v/>
      </c>
      <c r="K350" s="506" t="str">
        <f t="shared" si="55"/>
        <v/>
      </c>
      <c r="L350" s="505" t="str">
        <f t="shared" si="56"/>
        <v/>
      </c>
      <c r="M350" s="505" t="str">
        <f>IF($D350="","",IFERROR(MIN(BB_帯幅!B350:AP350)*100,""))</f>
        <v/>
      </c>
      <c r="N350" s="500" t="str">
        <f>IF($L350="","",IF($L350&lt;=$M350*BB設定!$B$7,"スクイーズ★",IF($L350&lt;=$M350*1.3,"収縮","－")))</f>
        <v/>
      </c>
      <c r="O350" s="500" t="str">
        <f>IF($D350="","",IF(AND(BB_帯幅!B350&gt;BB_帯幅!C350,BB_帯幅!C350&gt;BB_帯幅!D350),"拡大↑","縮小↓"))</f>
        <v/>
      </c>
      <c r="P350" s="500" t="str">
        <f t="shared" si="57"/>
        <v/>
      </c>
      <c r="Q350" s="503" t="str">
        <f>IF($D350="","",IFERROR(100-100/(1+SUMPRODUCT((終値!E350:R350&gt;終値!F350:S350)*(終値!E350:R350-終値!F350:S350))/SUMPRODUCT((終値!E350:R350&lt;終値!F350:S350)*(終値!F350:S350-終値!E350:R350))),100))</f>
        <v/>
      </c>
      <c r="R350" s="503"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0"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0" t="str">
        <f t="shared" si="58"/>
        <v/>
      </c>
      <c r="U350" s="500" t="str">
        <f>IF(終値!A350="","",BB_スイング!BT350)</f>
        <v/>
      </c>
      <c r="V350" s="508" t="str">
        <f>IF($D350="","",IFERROR(出来高!E350/AVERAGE(出来高!E350:I350),""))</f>
        <v/>
      </c>
      <c r="W350" s="509"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4" t="str">
        <f t="shared" si="64"/>
        <v/>
      </c>
      <c r="Y350" s="501" t="str">
        <f t="shared" si="59"/>
        <v/>
      </c>
      <c r="Z350" s="501" t="str">
        <f t="shared" si="60"/>
        <v/>
      </c>
      <c r="AA350" s="501" t="str">
        <f t="shared" si="61"/>
        <v/>
      </c>
      <c r="AB350" s="501" t="str">
        <f t="shared" si="65"/>
        <v/>
      </c>
      <c r="AC350" s="507" t="str">
        <f t="shared" si="62"/>
        <v/>
      </c>
      <c r="AD350" s="501" t="str">
        <f>IF($D350="","",MIN(終値!E350:I350))</f>
        <v/>
      </c>
      <c r="AE350" s="503" t="str">
        <f t="shared" si="63"/>
        <v/>
      </c>
    </row>
    <row r="351" spans="1:31">
      <c r="A351" s="500" t="str">
        <f>IF(終値!A351="","",HYPERLINK("https://kabutan.jp/stock/?code="&amp;終値!A351,"📈"))</f>
        <v/>
      </c>
      <c r="B351" s="500" t="str">
        <f>IF(終値!A351="","",終値!A351)</f>
        <v/>
      </c>
      <c r="C351" s="499" t="str">
        <f>IF(終値!A351="","",終値!B351)</f>
        <v/>
      </c>
      <c r="D351" s="501" t="str">
        <f>IF(終値!A351="","",終値!E351)</f>
        <v/>
      </c>
      <c r="E351" s="501" t="str">
        <f>IF($D351="","",AVERAGE(終値!E351:X351))</f>
        <v/>
      </c>
      <c r="F351" s="502" t="str">
        <f>IF($D351="","",STDEVP(終値!E351:X351))</f>
        <v/>
      </c>
      <c r="G351" s="501" t="str">
        <f>IF($D351="","",$E351+BB設定!$B$4*$F351)</f>
        <v/>
      </c>
      <c r="H351" s="501" t="str">
        <f>IF($D351="","",$E351+BB設定!$B$5*$F351)</f>
        <v/>
      </c>
      <c r="I351" s="501" t="str">
        <f>IF($D351="","",$E351-BB設定!$B$5*$F351)</f>
        <v/>
      </c>
      <c r="J351" s="501" t="str">
        <f>IF($D351="","",$E351-BB設定!$B$4*$F351)</f>
        <v/>
      </c>
      <c r="K351" s="506" t="str">
        <f t="shared" si="55"/>
        <v/>
      </c>
      <c r="L351" s="505" t="str">
        <f t="shared" si="56"/>
        <v/>
      </c>
      <c r="M351" s="505" t="str">
        <f>IF($D351="","",IFERROR(MIN(BB_帯幅!B351:AP351)*100,""))</f>
        <v/>
      </c>
      <c r="N351" s="500" t="str">
        <f>IF($L351="","",IF($L351&lt;=$M351*BB設定!$B$7,"スクイーズ★",IF($L351&lt;=$M351*1.3,"収縮","－")))</f>
        <v/>
      </c>
      <c r="O351" s="500" t="str">
        <f>IF($D351="","",IF(AND(BB_帯幅!B351&gt;BB_帯幅!C351,BB_帯幅!C351&gt;BB_帯幅!D351),"拡大↑","縮小↓"))</f>
        <v/>
      </c>
      <c r="P351" s="500" t="str">
        <f t="shared" si="57"/>
        <v/>
      </c>
      <c r="Q351" s="503" t="str">
        <f>IF($D351="","",IFERROR(100-100/(1+SUMPRODUCT((終値!E351:R351&gt;終値!F351:S351)*(終値!E351:R351-終値!F351:S351))/SUMPRODUCT((終値!E351:R351&lt;終値!F351:S351)*(終値!F351:S351-終値!E351:R351))),100))</f>
        <v/>
      </c>
      <c r="R351" s="503"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0"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0" t="str">
        <f t="shared" si="58"/>
        <v/>
      </c>
      <c r="U351" s="500" t="str">
        <f>IF(終値!A351="","",BB_スイング!BT351)</f>
        <v/>
      </c>
      <c r="V351" s="508" t="str">
        <f>IF($D351="","",IFERROR(出来高!E351/AVERAGE(出来高!E351:I351),""))</f>
        <v/>
      </c>
      <c r="W351" s="509"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4" t="str">
        <f t="shared" si="64"/>
        <v/>
      </c>
      <c r="Y351" s="501" t="str">
        <f t="shared" si="59"/>
        <v/>
      </c>
      <c r="Z351" s="501" t="str">
        <f t="shared" si="60"/>
        <v/>
      </c>
      <c r="AA351" s="501" t="str">
        <f t="shared" si="61"/>
        <v/>
      </c>
      <c r="AB351" s="501" t="str">
        <f t="shared" si="65"/>
        <v/>
      </c>
      <c r="AC351" s="507" t="str">
        <f t="shared" si="62"/>
        <v/>
      </c>
      <c r="AD351" s="501" t="str">
        <f>IF($D351="","",MIN(終値!E351:I351))</f>
        <v/>
      </c>
      <c r="AE351" s="503" t="str">
        <f t="shared" si="63"/>
        <v/>
      </c>
    </row>
    <row r="352" spans="1:31">
      <c r="A352" s="500" t="str">
        <f>IF(終値!A352="","",HYPERLINK("https://kabutan.jp/stock/?code="&amp;終値!A352,"📈"))</f>
        <v/>
      </c>
      <c r="B352" s="500" t="str">
        <f>IF(終値!A352="","",終値!A352)</f>
        <v/>
      </c>
      <c r="C352" s="499" t="str">
        <f>IF(終値!A352="","",終値!B352)</f>
        <v/>
      </c>
      <c r="D352" s="501" t="str">
        <f>IF(終値!A352="","",終値!E352)</f>
        <v/>
      </c>
      <c r="E352" s="501" t="str">
        <f>IF($D352="","",AVERAGE(終値!E352:X352))</f>
        <v/>
      </c>
      <c r="F352" s="502" t="str">
        <f>IF($D352="","",STDEVP(終値!E352:X352))</f>
        <v/>
      </c>
      <c r="G352" s="501" t="str">
        <f>IF($D352="","",$E352+BB設定!$B$4*$F352)</f>
        <v/>
      </c>
      <c r="H352" s="501" t="str">
        <f>IF($D352="","",$E352+BB設定!$B$5*$F352)</f>
        <v/>
      </c>
      <c r="I352" s="501" t="str">
        <f>IF($D352="","",$E352-BB設定!$B$5*$F352)</f>
        <v/>
      </c>
      <c r="J352" s="501" t="str">
        <f>IF($D352="","",$E352-BB設定!$B$4*$F352)</f>
        <v/>
      </c>
      <c r="K352" s="506" t="str">
        <f t="shared" si="55"/>
        <v/>
      </c>
      <c r="L352" s="505" t="str">
        <f t="shared" si="56"/>
        <v/>
      </c>
      <c r="M352" s="505" t="str">
        <f>IF($D352="","",IFERROR(MIN(BB_帯幅!B352:AP352)*100,""))</f>
        <v/>
      </c>
      <c r="N352" s="500" t="str">
        <f>IF($L352="","",IF($L352&lt;=$M352*BB設定!$B$7,"スクイーズ★",IF($L352&lt;=$M352*1.3,"収縮","－")))</f>
        <v/>
      </c>
      <c r="O352" s="500" t="str">
        <f>IF($D352="","",IF(AND(BB_帯幅!B352&gt;BB_帯幅!C352,BB_帯幅!C352&gt;BB_帯幅!D352),"拡大↑","縮小↓"))</f>
        <v/>
      </c>
      <c r="P352" s="500" t="str">
        <f t="shared" si="57"/>
        <v/>
      </c>
      <c r="Q352" s="503" t="str">
        <f>IF($D352="","",IFERROR(100-100/(1+SUMPRODUCT((終値!E352:R352&gt;終値!F352:S352)*(終値!E352:R352-終値!F352:S352))/SUMPRODUCT((終値!E352:R352&lt;終値!F352:S352)*(終値!F352:S352-終値!E352:R352))),100))</f>
        <v/>
      </c>
      <c r="R352" s="503"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0"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0" t="str">
        <f t="shared" si="58"/>
        <v/>
      </c>
      <c r="U352" s="500" t="str">
        <f>IF(終値!A352="","",BB_スイング!BT352)</f>
        <v/>
      </c>
      <c r="V352" s="508" t="str">
        <f>IF($D352="","",IFERROR(出来高!E352/AVERAGE(出来高!E352:I352),""))</f>
        <v/>
      </c>
      <c r="W352" s="509"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4" t="str">
        <f t="shared" si="64"/>
        <v/>
      </c>
      <c r="Y352" s="501" t="str">
        <f t="shared" si="59"/>
        <v/>
      </c>
      <c r="Z352" s="501" t="str">
        <f t="shared" si="60"/>
        <v/>
      </c>
      <c r="AA352" s="501" t="str">
        <f t="shared" si="61"/>
        <v/>
      </c>
      <c r="AB352" s="501" t="str">
        <f t="shared" si="65"/>
        <v/>
      </c>
      <c r="AC352" s="507" t="str">
        <f t="shared" si="62"/>
        <v/>
      </c>
      <c r="AD352" s="501" t="str">
        <f>IF($D352="","",MIN(終値!E352:I352))</f>
        <v/>
      </c>
      <c r="AE352" s="503" t="str">
        <f t="shared" si="63"/>
        <v/>
      </c>
    </row>
    <row r="353" spans="1:31">
      <c r="A353" s="500" t="str">
        <f>IF(終値!A353="","",HYPERLINK("https://kabutan.jp/stock/?code="&amp;終値!A353,"📈"))</f>
        <v/>
      </c>
      <c r="B353" s="500" t="str">
        <f>IF(終値!A353="","",終値!A353)</f>
        <v/>
      </c>
      <c r="C353" s="499" t="str">
        <f>IF(終値!A353="","",終値!B353)</f>
        <v/>
      </c>
      <c r="D353" s="501" t="str">
        <f>IF(終値!A353="","",終値!E353)</f>
        <v/>
      </c>
      <c r="E353" s="501" t="str">
        <f>IF($D353="","",AVERAGE(終値!E353:X353))</f>
        <v/>
      </c>
      <c r="F353" s="502" t="str">
        <f>IF($D353="","",STDEVP(終値!E353:X353))</f>
        <v/>
      </c>
      <c r="G353" s="501" t="str">
        <f>IF($D353="","",$E353+BB設定!$B$4*$F353)</f>
        <v/>
      </c>
      <c r="H353" s="501" t="str">
        <f>IF($D353="","",$E353+BB設定!$B$5*$F353)</f>
        <v/>
      </c>
      <c r="I353" s="501" t="str">
        <f>IF($D353="","",$E353-BB設定!$B$5*$F353)</f>
        <v/>
      </c>
      <c r="J353" s="501" t="str">
        <f>IF($D353="","",$E353-BB設定!$B$4*$F353)</f>
        <v/>
      </c>
      <c r="K353" s="506" t="str">
        <f t="shared" si="55"/>
        <v/>
      </c>
      <c r="L353" s="505" t="str">
        <f t="shared" si="56"/>
        <v/>
      </c>
      <c r="M353" s="505" t="str">
        <f>IF($D353="","",IFERROR(MIN(BB_帯幅!B353:AP353)*100,""))</f>
        <v/>
      </c>
      <c r="N353" s="500" t="str">
        <f>IF($L353="","",IF($L353&lt;=$M353*BB設定!$B$7,"スクイーズ★",IF($L353&lt;=$M353*1.3,"収縮","－")))</f>
        <v/>
      </c>
      <c r="O353" s="500" t="str">
        <f>IF($D353="","",IF(AND(BB_帯幅!B353&gt;BB_帯幅!C353,BB_帯幅!C353&gt;BB_帯幅!D353),"拡大↑","縮小↓"))</f>
        <v/>
      </c>
      <c r="P353" s="500" t="str">
        <f t="shared" si="57"/>
        <v/>
      </c>
      <c r="Q353" s="503" t="str">
        <f>IF($D353="","",IFERROR(100-100/(1+SUMPRODUCT((終値!E353:R353&gt;終値!F353:S353)*(終値!E353:R353-終値!F353:S353))/SUMPRODUCT((終値!E353:R353&lt;終値!F353:S353)*(終値!F353:S353-終値!E353:R353))),100))</f>
        <v/>
      </c>
      <c r="R353" s="503"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0"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0" t="str">
        <f t="shared" si="58"/>
        <v/>
      </c>
      <c r="U353" s="500" t="str">
        <f>IF(終値!A353="","",BB_スイング!BT353)</f>
        <v/>
      </c>
      <c r="V353" s="508" t="str">
        <f>IF($D353="","",IFERROR(出来高!E353/AVERAGE(出来高!E353:I353),""))</f>
        <v/>
      </c>
      <c r="W353" s="509"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4" t="str">
        <f t="shared" si="64"/>
        <v/>
      </c>
      <c r="Y353" s="501" t="str">
        <f t="shared" si="59"/>
        <v/>
      </c>
      <c r="Z353" s="501" t="str">
        <f t="shared" si="60"/>
        <v/>
      </c>
      <c r="AA353" s="501" t="str">
        <f t="shared" si="61"/>
        <v/>
      </c>
      <c r="AB353" s="501" t="str">
        <f t="shared" si="65"/>
        <v/>
      </c>
      <c r="AC353" s="507" t="str">
        <f t="shared" si="62"/>
        <v/>
      </c>
      <c r="AD353" s="501" t="str">
        <f>IF($D353="","",MIN(終値!E353:I353))</f>
        <v/>
      </c>
      <c r="AE353" s="503" t="str">
        <f t="shared" si="63"/>
        <v/>
      </c>
    </row>
    <row r="354" spans="1:31">
      <c r="A354" s="500" t="str">
        <f>IF(終値!A354="","",HYPERLINK("https://kabutan.jp/stock/?code="&amp;終値!A354,"📈"))</f>
        <v/>
      </c>
      <c r="B354" s="500" t="str">
        <f>IF(終値!A354="","",終値!A354)</f>
        <v/>
      </c>
      <c r="C354" s="499" t="str">
        <f>IF(終値!A354="","",終値!B354)</f>
        <v/>
      </c>
      <c r="D354" s="501" t="str">
        <f>IF(終値!A354="","",終値!E354)</f>
        <v/>
      </c>
      <c r="E354" s="501" t="str">
        <f>IF($D354="","",AVERAGE(終値!E354:X354))</f>
        <v/>
      </c>
      <c r="F354" s="502" t="str">
        <f>IF($D354="","",STDEVP(終値!E354:X354))</f>
        <v/>
      </c>
      <c r="G354" s="501" t="str">
        <f>IF($D354="","",$E354+BB設定!$B$4*$F354)</f>
        <v/>
      </c>
      <c r="H354" s="501" t="str">
        <f>IF($D354="","",$E354+BB設定!$B$5*$F354)</f>
        <v/>
      </c>
      <c r="I354" s="501" t="str">
        <f>IF($D354="","",$E354-BB設定!$B$5*$F354)</f>
        <v/>
      </c>
      <c r="J354" s="501" t="str">
        <f>IF($D354="","",$E354-BB設定!$B$4*$F354)</f>
        <v/>
      </c>
      <c r="K354" s="506" t="str">
        <f t="shared" si="55"/>
        <v/>
      </c>
      <c r="L354" s="505" t="str">
        <f t="shared" si="56"/>
        <v/>
      </c>
      <c r="M354" s="505" t="str">
        <f>IF($D354="","",IFERROR(MIN(BB_帯幅!B354:AP354)*100,""))</f>
        <v/>
      </c>
      <c r="N354" s="500" t="str">
        <f>IF($L354="","",IF($L354&lt;=$M354*BB設定!$B$7,"スクイーズ★",IF($L354&lt;=$M354*1.3,"収縮","－")))</f>
        <v/>
      </c>
      <c r="O354" s="500" t="str">
        <f>IF($D354="","",IF(AND(BB_帯幅!B354&gt;BB_帯幅!C354,BB_帯幅!C354&gt;BB_帯幅!D354),"拡大↑","縮小↓"))</f>
        <v/>
      </c>
      <c r="P354" s="500" t="str">
        <f t="shared" si="57"/>
        <v/>
      </c>
      <c r="Q354" s="503" t="str">
        <f>IF($D354="","",IFERROR(100-100/(1+SUMPRODUCT((終値!E354:R354&gt;終値!F354:S354)*(終値!E354:R354-終値!F354:S354))/SUMPRODUCT((終値!E354:R354&lt;終値!F354:S354)*(終値!F354:S354-終値!E354:R354))),100))</f>
        <v/>
      </c>
      <c r="R354" s="503"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0"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0" t="str">
        <f t="shared" si="58"/>
        <v/>
      </c>
      <c r="U354" s="500" t="str">
        <f>IF(終値!A354="","",BB_スイング!BT354)</f>
        <v/>
      </c>
      <c r="V354" s="508" t="str">
        <f>IF($D354="","",IFERROR(出来高!E354/AVERAGE(出来高!E354:I354),""))</f>
        <v/>
      </c>
      <c r="W354" s="509"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4" t="str">
        <f t="shared" si="64"/>
        <v/>
      </c>
      <c r="Y354" s="501" t="str">
        <f t="shared" si="59"/>
        <v/>
      </c>
      <c r="Z354" s="501" t="str">
        <f t="shared" si="60"/>
        <v/>
      </c>
      <c r="AA354" s="501" t="str">
        <f t="shared" si="61"/>
        <v/>
      </c>
      <c r="AB354" s="501" t="str">
        <f t="shared" si="65"/>
        <v/>
      </c>
      <c r="AC354" s="507" t="str">
        <f t="shared" si="62"/>
        <v/>
      </c>
      <c r="AD354" s="501" t="str">
        <f>IF($D354="","",MIN(終値!E354:I354))</f>
        <v/>
      </c>
      <c r="AE354" s="503" t="str">
        <f t="shared" si="63"/>
        <v/>
      </c>
    </row>
    <row r="355" spans="1:31">
      <c r="A355" s="500" t="str">
        <f>IF(終値!A355="","",HYPERLINK("https://kabutan.jp/stock/?code="&amp;終値!A355,"📈"))</f>
        <v/>
      </c>
      <c r="B355" s="500" t="str">
        <f>IF(終値!A355="","",終値!A355)</f>
        <v/>
      </c>
      <c r="C355" s="499" t="str">
        <f>IF(終値!A355="","",終値!B355)</f>
        <v/>
      </c>
      <c r="D355" s="501" t="str">
        <f>IF(終値!A355="","",終値!E355)</f>
        <v/>
      </c>
      <c r="E355" s="501" t="str">
        <f>IF($D355="","",AVERAGE(終値!E355:X355))</f>
        <v/>
      </c>
      <c r="F355" s="502" t="str">
        <f>IF($D355="","",STDEVP(終値!E355:X355))</f>
        <v/>
      </c>
      <c r="G355" s="501" t="str">
        <f>IF($D355="","",$E355+BB設定!$B$4*$F355)</f>
        <v/>
      </c>
      <c r="H355" s="501" t="str">
        <f>IF($D355="","",$E355+BB設定!$B$5*$F355)</f>
        <v/>
      </c>
      <c r="I355" s="501" t="str">
        <f>IF($D355="","",$E355-BB設定!$B$5*$F355)</f>
        <v/>
      </c>
      <c r="J355" s="501" t="str">
        <f>IF($D355="","",$E355-BB設定!$B$4*$F355)</f>
        <v/>
      </c>
      <c r="K355" s="506" t="str">
        <f t="shared" si="55"/>
        <v/>
      </c>
      <c r="L355" s="505" t="str">
        <f t="shared" si="56"/>
        <v/>
      </c>
      <c r="M355" s="505" t="str">
        <f>IF($D355="","",IFERROR(MIN(BB_帯幅!B355:AP355)*100,""))</f>
        <v/>
      </c>
      <c r="N355" s="500" t="str">
        <f>IF($L355="","",IF($L355&lt;=$M355*BB設定!$B$7,"スクイーズ★",IF($L355&lt;=$M355*1.3,"収縮","－")))</f>
        <v/>
      </c>
      <c r="O355" s="500" t="str">
        <f>IF($D355="","",IF(AND(BB_帯幅!B355&gt;BB_帯幅!C355,BB_帯幅!C355&gt;BB_帯幅!D355),"拡大↑","縮小↓"))</f>
        <v/>
      </c>
      <c r="P355" s="500" t="str">
        <f t="shared" si="57"/>
        <v/>
      </c>
      <c r="Q355" s="503" t="str">
        <f>IF($D355="","",IFERROR(100-100/(1+SUMPRODUCT((終値!E355:R355&gt;終値!F355:S355)*(終値!E355:R355-終値!F355:S355))/SUMPRODUCT((終値!E355:R355&lt;終値!F355:S355)*(終値!F355:S355-終値!E355:R355))),100))</f>
        <v/>
      </c>
      <c r="R355" s="503"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0"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0" t="str">
        <f t="shared" si="58"/>
        <v/>
      </c>
      <c r="U355" s="500" t="str">
        <f>IF(終値!A355="","",BB_スイング!BT355)</f>
        <v/>
      </c>
      <c r="V355" s="508" t="str">
        <f>IF($D355="","",IFERROR(出来高!E355/AVERAGE(出来高!E355:I355),""))</f>
        <v/>
      </c>
      <c r="W355" s="509"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4" t="str">
        <f t="shared" si="64"/>
        <v/>
      </c>
      <c r="Y355" s="501" t="str">
        <f t="shared" si="59"/>
        <v/>
      </c>
      <c r="Z355" s="501" t="str">
        <f t="shared" si="60"/>
        <v/>
      </c>
      <c r="AA355" s="501" t="str">
        <f t="shared" si="61"/>
        <v/>
      </c>
      <c r="AB355" s="501" t="str">
        <f t="shared" si="65"/>
        <v/>
      </c>
      <c r="AC355" s="507" t="str">
        <f t="shared" si="62"/>
        <v/>
      </c>
      <c r="AD355" s="501" t="str">
        <f>IF($D355="","",MIN(終値!E355:I355))</f>
        <v/>
      </c>
      <c r="AE355" s="503" t="str">
        <f t="shared" si="63"/>
        <v/>
      </c>
    </row>
    <row r="356" spans="1:31">
      <c r="A356" s="500" t="str">
        <f>IF(終値!A356="","",HYPERLINK("https://kabutan.jp/stock/?code="&amp;終値!A356,"📈"))</f>
        <v/>
      </c>
      <c r="B356" s="500" t="str">
        <f>IF(終値!A356="","",終値!A356)</f>
        <v/>
      </c>
      <c r="C356" s="499" t="str">
        <f>IF(終値!A356="","",終値!B356)</f>
        <v/>
      </c>
      <c r="D356" s="501" t="str">
        <f>IF(終値!A356="","",終値!E356)</f>
        <v/>
      </c>
      <c r="E356" s="501" t="str">
        <f>IF($D356="","",AVERAGE(終値!E356:X356))</f>
        <v/>
      </c>
      <c r="F356" s="502" t="str">
        <f>IF($D356="","",STDEVP(終値!E356:X356))</f>
        <v/>
      </c>
      <c r="G356" s="501" t="str">
        <f>IF($D356="","",$E356+BB設定!$B$4*$F356)</f>
        <v/>
      </c>
      <c r="H356" s="501" t="str">
        <f>IF($D356="","",$E356+BB設定!$B$5*$F356)</f>
        <v/>
      </c>
      <c r="I356" s="501" t="str">
        <f>IF($D356="","",$E356-BB設定!$B$5*$F356)</f>
        <v/>
      </c>
      <c r="J356" s="501" t="str">
        <f>IF($D356="","",$E356-BB設定!$B$4*$F356)</f>
        <v/>
      </c>
      <c r="K356" s="506" t="str">
        <f t="shared" si="55"/>
        <v/>
      </c>
      <c r="L356" s="505" t="str">
        <f t="shared" si="56"/>
        <v/>
      </c>
      <c r="M356" s="505" t="str">
        <f>IF($D356="","",IFERROR(MIN(BB_帯幅!B356:AP356)*100,""))</f>
        <v/>
      </c>
      <c r="N356" s="500" t="str">
        <f>IF($L356="","",IF($L356&lt;=$M356*BB設定!$B$7,"スクイーズ★",IF($L356&lt;=$M356*1.3,"収縮","－")))</f>
        <v/>
      </c>
      <c r="O356" s="500" t="str">
        <f>IF($D356="","",IF(AND(BB_帯幅!B356&gt;BB_帯幅!C356,BB_帯幅!C356&gt;BB_帯幅!D356),"拡大↑","縮小↓"))</f>
        <v/>
      </c>
      <c r="P356" s="500" t="str">
        <f t="shared" si="57"/>
        <v/>
      </c>
      <c r="Q356" s="503" t="str">
        <f>IF($D356="","",IFERROR(100-100/(1+SUMPRODUCT((終値!E356:R356&gt;終値!F356:S356)*(終値!E356:R356-終値!F356:S356))/SUMPRODUCT((終値!E356:R356&lt;終値!F356:S356)*(終値!F356:S356-終値!E356:R356))),100))</f>
        <v/>
      </c>
      <c r="R356" s="503"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0"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0" t="str">
        <f t="shared" si="58"/>
        <v/>
      </c>
      <c r="U356" s="500" t="str">
        <f>IF(終値!A356="","",BB_スイング!BT356)</f>
        <v/>
      </c>
      <c r="V356" s="508" t="str">
        <f>IF($D356="","",IFERROR(出来高!E356/AVERAGE(出来高!E356:I356),""))</f>
        <v/>
      </c>
      <c r="W356" s="509"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4" t="str">
        <f t="shared" si="64"/>
        <v/>
      </c>
      <c r="Y356" s="501" t="str">
        <f t="shared" si="59"/>
        <v/>
      </c>
      <c r="Z356" s="501" t="str">
        <f t="shared" si="60"/>
        <v/>
      </c>
      <c r="AA356" s="501" t="str">
        <f t="shared" si="61"/>
        <v/>
      </c>
      <c r="AB356" s="501" t="str">
        <f t="shared" si="65"/>
        <v/>
      </c>
      <c r="AC356" s="507" t="str">
        <f t="shared" si="62"/>
        <v/>
      </c>
      <c r="AD356" s="501" t="str">
        <f>IF($D356="","",MIN(終値!E356:I356))</f>
        <v/>
      </c>
      <c r="AE356" s="503" t="str">
        <f t="shared" si="63"/>
        <v/>
      </c>
    </row>
    <row r="357" spans="1:31">
      <c r="A357" s="500" t="str">
        <f>IF(終値!A357="","",HYPERLINK("https://kabutan.jp/stock/?code="&amp;終値!A357,"📈"))</f>
        <v/>
      </c>
      <c r="B357" s="500" t="str">
        <f>IF(終値!A357="","",終値!A357)</f>
        <v/>
      </c>
      <c r="C357" s="499" t="str">
        <f>IF(終値!A357="","",終値!B357)</f>
        <v/>
      </c>
      <c r="D357" s="501" t="str">
        <f>IF(終値!A357="","",終値!E357)</f>
        <v/>
      </c>
      <c r="E357" s="501" t="str">
        <f>IF($D357="","",AVERAGE(終値!E357:X357))</f>
        <v/>
      </c>
      <c r="F357" s="502" t="str">
        <f>IF($D357="","",STDEVP(終値!E357:X357))</f>
        <v/>
      </c>
      <c r="G357" s="501" t="str">
        <f>IF($D357="","",$E357+BB設定!$B$4*$F357)</f>
        <v/>
      </c>
      <c r="H357" s="501" t="str">
        <f>IF($D357="","",$E357+BB設定!$B$5*$F357)</f>
        <v/>
      </c>
      <c r="I357" s="501" t="str">
        <f>IF($D357="","",$E357-BB設定!$B$5*$F357)</f>
        <v/>
      </c>
      <c r="J357" s="501" t="str">
        <f>IF($D357="","",$E357-BB設定!$B$4*$F357)</f>
        <v/>
      </c>
      <c r="K357" s="506" t="str">
        <f t="shared" si="55"/>
        <v/>
      </c>
      <c r="L357" s="505" t="str">
        <f t="shared" si="56"/>
        <v/>
      </c>
      <c r="M357" s="505" t="str">
        <f>IF($D357="","",IFERROR(MIN(BB_帯幅!B357:AP357)*100,""))</f>
        <v/>
      </c>
      <c r="N357" s="500" t="str">
        <f>IF($L357="","",IF($L357&lt;=$M357*BB設定!$B$7,"スクイーズ★",IF($L357&lt;=$M357*1.3,"収縮","－")))</f>
        <v/>
      </c>
      <c r="O357" s="500" t="str">
        <f>IF($D357="","",IF(AND(BB_帯幅!B357&gt;BB_帯幅!C357,BB_帯幅!C357&gt;BB_帯幅!D357),"拡大↑","縮小↓"))</f>
        <v/>
      </c>
      <c r="P357" s="500" t="str">
        <f t="shared" si="57"/>
        <v/>
      </c>
      <c r="Q357" s="503" t="str">
        <f>IF($D357="","",IFERROR(100-100/(1+SUMPRODUCT((終値!E357:R357&gt;終値!F357:S357)*(終値!E357:R357-終値!F357:S357))/SUMPRODUCT((終値!E357:R357&lt;終値!F357:S357)*(終値!F357:S357-終値!E357:R357))),100))</f>
        <v/>
      </c>
      <c r="R357" s="503"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0"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0" t="str">
        <f t="shared" si="58"/>
        <v/>
      </c>
      <c r="U357" s="500" t="str">
        <f>IF(終値!A357="","",BB_スイング!BT357)</f>
        <v/>
      </c>
      <c r="V357" s="508" t="str">
        <f>IF($D357="","",IFERROR(出来高!E357/AVERAGE(出来高!E357:I357),""))</f>
        <v/>
      </c>
      <c r="W357" s="509"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4" t="str">
        <f t="shared" si="64"/>
        <v/>
      </c>
      <c r="Y357" s="501" t="str">
        <f t="shared" si="59"/>
        <v/>
      </c>
      <c r="Z357" s="501" t="str">
        <f t="shared" si="60"/>
        <v/>
      </c>
      <c r="AA357" s="501" t="str">
        <f t="shared" si="61"/>
        <v/>
      </c>
      <c r="AB357" s="501" t="str">
        <f t="shared" si="65"/>
        <v/>
      </c>
      <c r="AC357" s="507" t="str">
        <f t="shared" si="62"/>
        <v/>
      </c>
      <c r="AD357" s="501" t="str">
        <f>IF($D357="","",MIN(終値!E357:I357))</f>
        <v/>
      </c>
      <c r="AE357" s="503" t="str">
        <f t="shared" si="63"/>
        <v/>
      </c>
    </row>
    <row r="358" spans="1:31">
      <c r="A358" s="500" t="str">
        <f>IF(終値!A358="","",HYPERLINK("https://kabutan.jp/stock/?code="&amp;終値!A358,"📈"))</f>
        <v/>
      </c>
      <c r="B358" s="500" t="str">
        <f>IF(終値!A358="","",終値!A358)</f>
        <v/>
      </c>
      <c r="C358" s="499" t="str">
        <f>IF(終値!A358="","",終値!B358)</f>
        <v/>
      </c>
      <c r="D358" s="501" t="str">
        <f>IF(終値!A358="","",終値!E358)</f>
        <v/>
      </c>
      <c r="E358" s="501" t="str">
        <f>IF($D358="","",AVERAGE(終値!E358:X358))</f>
        <v/>
      </c>
      <c r="F358" s="502" t="str">
        <f>IF($D358="","",STDEVP(終値!E358:X358))</f>
        <v/>
      </c>
      <c r="G358" s="501" t="str">
        <f>IF($D358="","",$E358+BB設定!$B$4*$F358)</f>
        <v/>
      </c>
      <c r="H358" s="501" t="str">
        <f>IF($D358="","",$E358+BB設定!$B$5*$F358)</f>
        <v/>
      </c>
      <c r="I358" s="501" t="str">
        <f>IF($D358="","",$E358-BB設定!$B$5*$F358)</f>
        <v/>
      </c>
      <c r="J358" s="501" t="str">
        <f>IF($D358="","",$E358-BB設定!$B$4*$F358)</f>
        <v/>
      </c>
      <c r="K358" s="506" t="str">
        <f t="shared" si="55"/>
        <v/>
      </c>
      <c r="L358" s="505" t="str">
        <f t="shared" si="56"/>
        <v/>
      </c>
      <c r="M358" s="505" t="str">
        <f>IF($D358="","",IFERROR(MIN(BB_帯幅!B358:AP358)*100,""))</f>
        <v/>
      </c>
      <c r="N358" s="500" t="str">
        <f>IF($L358="","",IF($L358&lt;=$M358*BB設定!$B$7,"スクイーズ★",IF($L358&lt;=$M358*1.3,"収縮","－")))</f>
        <v/>
      </c>
      <c r="O358" s="500" t="str">
        <f>IF($D358="","",IF(AND(BB_帯幅!B358&gt;BB_帯幅!C358,BB_帯幅!C358&gt;BB_帯幅!D358),"拡大↑","縮小↓"))</f>
        <v/>
      </c>
      <c r="P358" s="500" t="str">
        <f t="shared" si="57"/>
        <v/>
      </c>
      <c r="Q358" s="503" t="str">
        <f>IF($D358="","",IFERROR(100-100/(1+SUMPRODUCT((終値!E358:R358&gt;終値!F358:S358)*(終値!E358:R358-終値!F358:S358))/SUMPRODUCT((終値!E358:R358&lt;終値!F358:S358)*(終値!F358:S358-終値!E358:R358))),100))</f>
        <v/>
      </c>
      <c r="R358" s="503"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0"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0" t="str">
        <f t="shared" si="58"/>
        <v/>
      </c>
      <c r="U358" s="500" t="str">
        <f>IF(終値!A358="","",BB_スイング!BT358)</f>
        <v/>
      </c>
      <c r="V358" s="508" t="str">
        <f>IF($D358="","",IFERROR(出来高!E358/AVERAGE(出来高!E358:I358),""))</f>
        <v/>
      </c>
      <c r="W358" s="509"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4" t="str">
        <f t="shared" si="64"/>
        <v/>
      </c>
      <c r="Y358" s="501" t="str">
        <f t="shared" si="59"/>
        <v/>
      </c>
      <c r="Z358" s="501" t="str">
        <f t="shared" si="60"/>
        <v/>
      </c>
      <c r="AA358" s="501" t="str">
        <f t="shared" si="61"/>
        <v/>
      </c>
      <c r="AB358" s="501" t="str">
        <f t="shared" si="65"/>
        <v/>
      </c>
      <c r="AC358" s="507" t="str">
        <f t="shared" si="62"/>
        <v/>
      </c>
      <c r="AD358" s="501" t="str">
        <f>IF($D358="","",MIN(終値!E358:I358))</f>
        <v/>
      </c>
      <c r="AE358" s="503" t="str">
        <f t="shared" si="63"/>
        <v/>
      </c>
    </row>
    <row r="359" spans="1:31">
      <c r="A359" s="500" t="str">
        <f>IF(終値!A359="","",HYPERLINK("https://kabutan.jp/stock/?code="&amp;終値!A359,"📈"))</f>
        <v/>
      </c>
      <c r="B359" s="500" t="str">
        <f>IF(終値!A359="","",終値!A359)</f>
        <v/>
      </c>
      <c r="C359" s="499" t="str">
        <f>IF(終値!A359="","",終値!B359)</f>
        <v/>
      </c>
      <c r="D359" s="501" t="str">
        <f>IF(終値!A359="","",終値!E359)</f>
        <v/>
      </c>
      <c r="E359" s="501" t="str">
        <f>IF($D359="","",AVERAGE(終値!E359:X359))</f>
        <v/>
      </c>
      <c r="F359" s="502" t="str">
        <f>IF($D359="","",STDEVP(終値!E359:X359))</f>
        <v/>
      </c>
      <c r="G359" s="501" t="str">
        <f>IF($D359="","",$E359+BB設定!$B$4*$F359)</f>
        <v/>
      </c>
      <c r="H359" s="501" t="str">
        <f>IF($D359="","",$E359+BB設定!$B$5*$F359)</f>
        <v/>
      </c>
      <c r="I359" s="501" t="str">
        <f>IF($D359="","",$E359-BB設定!$B$5*$F359)</f>
        <v/>
      </c>
      <c r="J359" s="501" t="str">
        <f>IF($D359="","",$E359-BB設定!$B$4*$F359)</f>
        <v/>
      </c>
      <c r="K359" s="506" t="str">
        <f t="shared" si="55"/>
        <v/>
      </c>
      <c r="L359" s="505" t="str">
        <f t="shared" si="56"/>
        <v/>
      </c>
      <c r="M359" s="505" t="str">
        <f>IF($D359="","",IFERROR(MIN(BB_帯幅!B359:AP359)*100,""))</f>
        <v/>
      </c>
      <c r="N359" s="500" t="str">
        <f>IF($L359="","",IF($L359&lt;=$M359*BB設定!$B$7,"スクイーズ★",IF($L359&lt;=$M359*1.3,"収縮","－")))</f>
        <v/>
      </c>
      <c r="O359" s="500" t="str">
        <f>IF($D359="","",IF(AND(BB_帯幅!B359&gt;BB_帯幅!C359,BB_帯幅!C359&gt;BB_帯幅!D359),"拡大↑","縮小↓"))</f>
        <v/>
      </c>
      <c r="P359" s="500" t="str">
        <f t="shared" si="57"/>
        <v/>
      </c>
      <c r="Q359" s="503" t="str">
        <f>IF($D359="","",IFERROR(100-100/(1+SUMPRODUCT((終値!E359:R359&gt;終値!F359:S359)*(終値!E359:R359-終値!F359:S359))/SUMPRODUCT((終値!E359:R359&lt;終値!F359:S359)*(終値!F359:S359-終値!E359:R359))),100))</f>
        <v/>
      </c>
      <c r="R359" s="503"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0"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0" t="str">
        <f t="shared" si="58"/>
        <v/>
      </c>
      <c r="U359" s="500" t="str">
        <f>IF(終値!A359="","",BB_スイング!BT359)</f>
        <v/>
      </c>
      <c r="V359" s="508" t="str">
        <f>IF($D359="","",IFERROR(出来高!E359/AVERAGE(出来高!E359:I359),""))</f>
        <v/>
      </c>
      <c r="W359" s="509"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4" t="str">
        <f t="shared" si="64"/>
        <v/>
      </c>
      <c r="Y359" s="501" t="str">
        <f t="shared" si="59"/>
        <v/>
      </c>
      <c r="Z359" s="501" t="str">
        <f t="shared" si="60"/>
        <v/>
      </c>
      <c r="AA359" s="501" t="str">
        <f t="shared" si="61"/>
        <v/>
      </c>
      <c r="AB359" s="501" t="str">
        <f t="shared" si="65"/>
        <v/>
      </c>
      <c r="AC359" s="507" t="str">
        <f t="shared" si="62"/>
        <v/>
      </c>
      <c r="AD359" s="501" t="str">
        <f>IF($D359="","",MIN(終値!E359:I359))</f>
        <v/>
      </c>
      <c r="AE359" s="503" t="str">
        <f t="shared" si="63"/>
        <v/>
      </c>
    </row>
    <row r="360" spans="1:31">
      <c r="A360" s="500" t="str">
        <f>IF(終値!A360="","",HYPERLINK("https://kabutan.jp/stock/?code="&amp;終値!A360,"📈"))</f>
        <v/>
      </c>
      <c r="B360" s="500" t="str">
        <f>IF(終値!A360="","",終値!A360)</f>
        <v/>
      </c>
      <c r="C360" s="499" t="str">
        <f>IF(終値!A360="","",終値!B360)</f>
        <v/>
      </c>
      <c r="D360" s="501" t="str">
        <f>IF(終値!A360="","",終値!E360)</f>
        <v/>
      </c>
      <c r="E360" s="501" t="str">
        <f>IF($D360="","",AVERAGE(終値!E360:X360))</f>
        <v/>
      </c>
      <c r="F360" s="502" t="str">
        <f>IF($D360="","",STDEVP(終値!E360:X360))</f>
        <v/>
      </c>
      <c r="G360" s="501" t="str">
        <f>IF($D360="","",$E360+BB設定!$B$4*$F360)</f>
        <v/>
      </c>
      <c r="H360" s="501" t="str">
        <f>IF($D360="","",$E360+BB設定!$B$5*$F360)</f>
        <v/>
      </c>
      <c r="I360" s="501" t="str">
        <f>IF($D360="","",$E360-BB設定!$B$5*$F360)</f>
        <v/>
      </c>
      <c r="J360" s="501" t="str">
        <f>IF($D360="","",$E360-BB設定!$B$4*$F360)</f>
        <v/>
      </c>
      <c r="K360" s="506" t="str">
        <f t="shared" si="55"/>
        <v/>
      </c>
      <c r="L360" s="505" t="str">
        <f t="shared" si="56"/>
        <v/>
      </c>
      <c r="M360" s="505" t="str">
        <f>IF($D360="","",IFERROR(MIN(BB_帯幅!B360:AP360)*100,""))</f>
        <v/>
      </c>
      <c r="N360" s="500" t="str">
        <f>IF($L360="","",IF($L360&lt;=$M360*BB設定!$B$7,"スクイーズ★",IF($L360&lt;=$M360*1.3,"収縮","－")))</f>
        <v/>
      </c>
      <c r="O360" s="500" t="str">
        <f>IF($D360="","",IF(AND(BB_帯幅!B360&gt;BB_帯幅!C360,BB_帯幅!C360&gt;BB_帯幅!D360),"拡大↑","縮小↓"))</f>
        <v/>
      </c>
      <c r="P360" s="500" t="str">
        <f t="shared" si="57"/>
        <v/>
      </c>
      <c r="Q360" s="503" t="str">
        <f>IF($D360="","",IFERROR(100-100/(1+SUMPRODUCT((終値!E360:R360&gt;終値!F360:S360)*(終値!E360:R360-終値!F360:S360))/SUMPRODUCT((終値!E360:R360&lt;終値!F360:S360)*(終値!F360:S360-終値!E360:R360))),100))</f>
        <v/>
      </c>
      <c r="R360" s="503"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0"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0" t="str">
        <f t="shared" si="58"/>
        <v/>
      </c>
      <c r="U360" s="500" t="str">
        <f>IF(終値!A360="","",BB_スイング!BT360)</f>
        <v/>
      </c>
      <c r="V360" s="508" t="str">
        <f>IF($D360="","",IFERROR(出来高!E360/AVERAGE(出来高!E360:I360),""))</f>
        <v/>
      </c>
      <c r="W360" s="509"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4" t="str">
        <f t="shared" si="64"/>
        <v/>
      </c>
      <c r="Y360" s="501" t="str">
        <f t="shared" si="59"/>
        <v/>
      </c>
      <c r="Z360" s="501" t="str">
        <f t="shared" si="60"/>
        <v/>
      </c>
      <c r="AA360" s="501" t="str">
        <f t="shared" si="61"/>
        <v/>
      </c>
      <c r="AB360" s="501" t="str">
        <f t="shared" si="65"/>
        <v/>
      </c>
      <c r="AC360" s="507" t="str">
        <f t="shared" si="62"/>
        <v/>
      </c>
      <c r="AD360" s="501" t="str">
        <f>IF($D360="","",MIN(終値!E360:I360))</f>
        <v/>
      </c>
      <c r="AE360" s="503" t="str">
        <f t="shared" si="63"/>
        <v/>
      </c>
    </row>
    <row r="361" spans="1:31">
      <c r="A361" s="500" t="str">
        <f>IF(終値!A361="","",HYPERLINK("https://kabutan.jp/stock/?code="&amp;終値!A361,"📈"))</f>
        <v/>
      </c>
      <c r="B361" s="500" t="str">
        <f>IF(終値!A361="","",終値!A361)</f>
        <v/>
      </c>
      <c r="C361" s="499" t="str">
        <f>IF(終値!A361="","",終値!B361)</f>
        <v/>
      </c>
      <c r="D361" s="501" t="str">
        <f>IF(終値!A361="","",終値!E361)</f>
        <v/>
      </c>
      <c r="E361" s="501" t="str">
        <f>IF($D361="","",AVERAGE(終値!E361:X361))</f>
        <v/>
      </c>
      <c r="F361" s="502" t="str">
        <f>IF($D361="","",STDEVP(終値!E361:X361))</f>
        <v/>
      </c>
      <c r="G361" s="501" t="str">
        <f>IF($D361="","",$E361+BB設定!$B$4*$F361)</f>
        <v/>
      </c>
      <c r="H361" s="501" t="str">
        <f>IF($D361="","",$E361+BB設定!$B$5*$F361)</f>
        <v/>
      </c>
      <c r="I361" s="501" t="str">
        <f>IF($D361="","",$E361-BB設定!$B$5*$F361)</f>
        <v/>
      </c>
      <c r="J361" s="501" t="str">
        <f>IF($D361="","",$E361-BB設定!$B$4*$F361)</f>
        <v/>
      </c>
      <c r="K361" s="506" t="str">
        <f t="shared" si="55"/>
        <v/>
      </c>
      <c r="L361" s="505" t="str">
        <f t="shared" si="56"/>
        <v/>
      </c>
      <c r="M361" s="505" t="str">
        <f>IF($D361="","",IFERROR(MIN(BB_帯幅!B361:AP361)*100,""))</f>
        <v/>
      </c>
      <c r="N361" s="500" t="str">
        <f>IF($L361="","",IF($L361&lt;=$M361*BB設定!$B$7,"スクイーズ★",IF($L361&lt;=$M361*1.3,"収縮","－")))</f>
        <v/>
      </c>
      <c r="O361" s="500" t="str">
        <f>IF($D361="","",IF(AND(BB_帯幅!B361&gt;BB_帯幅!C361,BB_帯幅!C361&gt;BB_帯幅!D361),"拡大↑","縮小↓"))</f>
        <v/>
      </c>
      <c r="P361" s="500" t="str">
        <f t="shared" si="57"/>
        <v/>
      </c>
      <c r="Q361" s="503" t="str">
        <f>IF($D361="","",IFERROR(100-100/(1+SUMPRODUCT((終値!E361:R361&gt;終値!F361:S361)*(終値!E361:R361-終値!F361:S361))/SUMPRODUCT((終値!E361:R361&lt;終値!F361:S361)*(終値!F361:S361-終値!E361:R361))),100))</f>
        <v/>
      </c>
      <c r="R361" s="503"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0"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0" t="str">
        <f t="shared" si="58"/>
        <v/>
      </c>
      <c r="U361" s="500" t="str">
        <f>IF(終値!A361="","",BB_スイング!BT361)</f>
        <v/>
      </c>
      <c r="V361" s="508" t="str">
        <f>IF($D361="","",IFERROR(出来高!E361/AVERAGE(出来高!E361:I361),""))</f>
        <v/>
      </c>
      <c r="W361" s="509"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4" t="str">
        <f t="shared" si="64"/>
        <v/>
      </c>
      <c r="Y361" s="501" t="str">
        <f t="shared" si="59"/>
        <v/>
      </c>
      <c r="Z361" s="501" t="str">
        <f t="shared" si="60"/>
        <v/>
      </c>
      <c r="AA361" s="501" t="str">
        <f t="shared" si="61"/>
        <v/>
      </c>
      <c r="AB361" s="501" t="str">
        <f t="shared" si="65"/>
        <v/>
      </c>
      <c r="AC361" s="507" t="str">
        <f t="shared" si="62"/>
        <v/>
      </c>
      <c r="AD361" s="501" t="str">
        <f>IF($D361="","",MIN(終値!E361:I361))</f>
        <v/>
      </c>
      <c r="AE361" s="503" t="str">
        <f t="shared" si="63"/>
        <v/>
      </c>
    </row>
    <row r="362" spans="1:31">
      <c r="A362" s="500" t="str">
        <f>IF(終値!A362="","",HYPERLINK("https://kabutan.jp/stock/?code="&amp;終値!A362,"📈"))</f>
        <v/>
      </c>
      <c r="B362" s="500" t="str">
        <f>IF(終値!A362="","",終値!A362)</f>
        <v/>
      </c>
      <c r="C362" s="499" t="str">
        <f>IF(終値!A362="","",終値!B362)</f>
        <v/>
      </c>
      <c r="D362" s="501" t="str">
        <f>IF(終値!A362="","",終値!E362)</f>
        <v/>
      </c>
      <c r="E362" s="501" t="str">
        <f>IF($D362="","",AVERAGE(終値!E362:X362))</f>
        <v/>
      </c>
      <c r="F362" s="502" t="str">
        <f>IF($D362="","",STDEVP(終値!E362:X362))</f>
        <v/>
      </c>
      <c r="G362" s="501" t="str">
        <f>IF($D362="","",$E362+BB設定!$B$4*$F362)</f>
        <v/>
      </c>
      <c r="H362" s="501" t="str">
        <f>IF($D362="","",$E362+BB設定!$B$5*$F362)</f>
        <v/>
      </c>
      <c r="I362" s="501" t="str">
        <f>IF($D362="","",$E362-BB設定!$B$5*$F362)</f>
        <v/>
      </c>
      <c r="J362" s="501" t="str">
        <f>IF($D362="","",$E362-BB設定!$B$4*$F362)</f>
        <v/>
      </c>
      <c r="K362" s="506" t="str">
        <f t="shared" si="55"/>
        <v/>
      </c>
      <c r="L362" s="505" t="str">
        <f t="shared" si="56"/>
        <v/>
      </c>
      <c r="M362" s="505" t="str">
        <f>IF($D362="","",IFERROR(MIN(BB_帯幅!B362:AP362)*100,""))</f>
        <v/>
      </c>
      <c r="N362" s="500" t="str">
        <f>IF($L362="","",IF($L362&lt;=$M362*BB設定!$B$7,"スクイーズ★",IF($L362&lt;=$M362*1.3,"収縮","－")))</f>
        <v/>
      </c>
      <c r="O362" s="500" t="str">
        <f>IF($D362="","",IF(AND(BB_帯幅!B362&gt;BB_帯幅!C362,BB_帯幅!C362&gt;BB_帯幅!D362),"拡大↑","縮小↓"))</f>
        <v/>
      </c>
      <c r="P362" s="500" t="str">
        <f t="shared" si="57"/>
        <v/>
      </c>
      <c r="Q362" s="503" t="str">
        <f>IF($D362="","",IFERROR(100-100/(1+SUMPRODUCT((終値!E362:R362&gt;終値!F362:S362)*(終値!E362:R362-終値!F362:S362))/SUMPRODUCT((終値!E362:R362&lt;終値!F362:S362)*(終値!F362:S362-終値!E362:R362))),100))</f>
        <v/>
      </c>
      <c r="R362" s="503"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0"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0" t="str">
        <f t="shared" si="58"/>
        <v/>
      </c>
      <c r="U362" s="500" t="str">
        <f>IF(終値!A362="","",BB_スイング!BT362)</f>
        <v/>
      </c>
      <c r="V362" s="508" t="str">
        <f>IF($D362="","",IFERROR(出来高!E362/AVERAGE(出来高!E362:I362),""))</f>
        <v/>
      </c>
      <c r="W362" s="509"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4" t="str">
        <f t="shared" si="64"/>
        <v/>
      </c>
      <c r="Y362" s="501" t="str">
        <f t="shared" si="59"/>
        <v/>
      </c>
      <c r="Z362" s="501" t="str">
        <f t="shared" si="60"/>
        <v/>
      </c>
      <c r="AA362" s="501" t="str">
        <f t="shared" si="61"/>
        <v/>
      </c>
      <c r="AB362" s="501" t="str">
        <f t="shared" si="65"/>
        <v/>
      </c>
      <c r="AC362" s="507" t="str">
        <f t="shared" si="62"/>
        <v/>
      </c>
      <c r="AD362" s="501" t="str">
        <f>IF($D362="","",MIN(終値!E362:I362))</f>
        <v/>
      </c>
      <c r="AE362" s="503" t="str">
        <f t="shared" si="63"/>
        <v/>
      </c>
    </row>
    <row r="363" spans="1:31">
      <c r="A363" s="500" t="str">
        <f>IF(終値!A363="","",HYPERLINK("https://kabutan.jp/stock/?code="&amp;終値!A363,"📈"))</f>
        <v/>
      </c>
      <c r="B363" s="500" t="str">
        <f>IF(終値!A363="","",終値!A363)</f>
        <v/>
      </c>
      <c r="C363" s="499" t="str">
        <f>IF(終値!A363="","",終値!B363)</f>
        <v/>
      </c>
      <c r="D363" s="501" t="str">
        <f>IF(終値!A363="","",終値!E363)</f>
        <v/>
      </c>
      <c r="E363" s="501" t="str">
        <f>IF($D363="","",AVERAGE(終値!E363:X363))</f>
        <v/>
      </c>
      <c r="F363" s="502" t="str">
        <f>IF($D363="","",STDEVP(終値!E363:X363))</f>
        <v/>
      </c>
      <c r="G363" s="501" t="str">
        <f>IF($D363="","",$E363+BB設定!$B$4*$F363)</f>
        <v/>
      </c>
      <c r="H363" s="501" t="str">
        <f>IF($D363="","",$E363+BB設定!$B$5*$F363)</f>
        <v/>
      </c>
      <c r="I363" s="501" t="str">
        <f>IF($D363="","",$E363-BB設定!$B$5*$F363)</f>
        <v/>
      </c>
      <c r="J363" s="501" t="str">
        <f>IF($D363="","",$E363-BB設定!$B$4*$F363)</f>
        <v/>
      </c>
      <c r="K363" s="506" t="str">
        <f t="shared" si="55"/>
        <v/>
      </c>
      <c r="L363" s="505" t="str">
        <f t="shared" si="56"/>
        <v/>
      </c>
      <c r="M363" s="505" t="str">
        <f>IF($D363="","",IFERROR(MIN(BB_帯幅!B363:AP363)*100,""))</f>
        <v/>
      </c>
      <c r="N363" s="500" t="str">
        <f>IF($L363="","",IF($L363&lt;=$M363*BB設定!$B$7,"スクイーズ★",IF($L363&lt;=$M363*1.3,"収縮","－")))</f>
        <v/>
      </c>
      <c r="O363" s="500" t="str">
        <f>IF($D363="","",IF(AND(BB_帯幅!B363&gt;BB_帯幅!C363,BB_帯幅!C363&gt;BB_帯幅!D363),"拡大↑","縮小↓"))</f>
        <v/>
      </c>
      <c r="P363" s="500" t="str">
        <f t="shared" si="57"/>
        <v/>
      </c>
      <c r="Q363" s="503" t="str">
        <f>IF($D363="","",IFERROR(100-100/(1+SUMPRODUCT((終値!E363:R363&gt;終値!F363:S363)*(終値!E363:R363-終値!F363:S363))/SUMPRODUCT((終値!E363:R363&lt;終値!F363:S363)*(終値!F363:S363-終値!E363:R363))),100))</f>
        <v/>
      </c>
      <c r="R363" s="503"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0"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0" t="str">
        <f t="shared" si="58"/>
        <v/>
      </c>
      <c r="U363" s="500" t="str">
        <f>IF(終値!A363="","",BB_スイング!BT363)</f>
        <v/>
      </c>
      <c r="V363" s="508" t="str">
        <f>IF($D363="","",IFERROR(出来高!E363/AVERAGE(出来高!E363:I363),""))</f>
        <v/>
      </c>
      <c r="W363" s="509"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4" t="str">
        <f t="shared" si="64"/>
        <v/>
      </c>
      <c r="Y363" s="501" t="str">
        <f t="shared" si="59"/>
        <v/>
      </c>
      <c r="Z363" s="501" t="str">
        <f t="shared" si="60"/>
        <v/>
      </c>
      <c r="AA363" s="501" t="str">
        <f t="shared" si="61"/>
        <v/>
      </c>
      <c r="AB363" s="501" t="str">
        <f t="shared" si="65"/>
        <v/>
      </c>
      <c r="AC363" s="507" t="str">
        <f t="shared" si="62"/>
        <v/>
      </c>
      <c r="AD363" s="501" t="str">
        <f>IF($D363="","",MIN(終値!E363:I363))</f>
        <v/>
      </c>
      <c r="AE363" s="503" t="str">
        <f t="shared" si="63"/>
        <v/>
      </c>
    </row>
    <row r="364" spans="1:31">
      <c r="A364" s="500" t="str">
        <f>IF(終値!A364="","",HYPERLINK("https://kabutan.jp/stock/?code="&amp;終値!A364,"📈"))</f>
        <v/>
      </c>
      <c r="B364" s="500" t="str">
        <f>IF(終値!A364="","",終値!A364)</f>
        <v/>
      </c>
      <c r="C364" s="499" t="str">
        <f>IF(終値!A364="","",終値!B364)</f>
        <v/>
      </c>
      <c r="D364" s="501" t="str">
        <f>IF(終値!A364="","",終値!E364)</f>
        <v/>
      </c>
      <c r="E364" s="501" t="str">
        <f>IF($D364="","",AVERAGE(終値!E364:X364))</f>
        <v/>
      </c>
      <c r="F364" s="502" t="str">
        <f>IF($D364="","",STDEVP(終値!E364:X364))</f>
        <v/>
      </c>
      <c r="G364" s="501" t="str">
        <f>IF($D364="","",$E364+BB設定!$B$4*$F364)</f>
        <v/>
      </c>
      <c r="H364" s="501" t="str">
        <f>IF($D364="","",$E364+BB設定!$B$5*$F364)</f>
        <v/>
      </c>
      <c r="I364" s="501" t="str">
        <f>IF($D364="","",$E364-BB設定!$B$5*$F364)</f>
        <v/>
      </c>
      <c r="J364" s="501" t="str">
        <f>IF($D364="","",$E364-BB設定!$B$4*$F364)</f>
        <v/>
      </c>
      <c r="K364" s="506" t="str">
        <f t="shared" si="55"/>
        <v/>
      </c>
      <c r="L364" s="505" t="str">
        <f t="shared" si="56"/>
        <v/>
      </c>
      <c r="M364" s="505" t="str">
        <f>IF($D364="","",IFERROR(MIN(BB_帯幅!B364:AP364)*100,""))</f>
        <v/>
      </c>
      <c r="N364" s="500" t="str">
        <f>IF($L364="","",IF($L364&lt;=$M364*BB設定!$B$7,"スクイーズ★",IF($L364&lt;=$M364*1.3,"収縮","－")))</f>
        <v/>
      </c>
      <c r="O364" s="500" t="str">
        <f>IF($D364="","",IF(AND(BB_帯幅!B364&gt;BB_帯幅!C364,BB_帯幅!C364&gt;BB_帯幅!D364),"拡大↑","縮小↓"))</f>
        <v/>
      </c>
      <c r="P364" s="500" t="str">
        <f t="shared" si="57"/>
        <v/>
      </c>
      <c r="Q364" s="503" t="str">
        <f>IF($D364="","",IFERROR(100-100/(1+SUMPRODUCT((終値!E364:R364&gt;終値!F364:S364)*(終値!E364:R364-終値!F364:S364))/SUMPRODUCT((終値!E364:R364&lt;終値!F364:S364)*(終値!F364:S364-終値!E364:R364))),100))</f>
        <v/>
      </c>
      <c r="R364" s="503"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0"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0" t="str">
        <f t="shared" si="58"/>
        <v/>
      </c>
      <c r="U364" s="500" t="str">
        <f>IF(終値!A364="","",BB_スイング!BT364)</f>
        <v/>
      </c>
      <c r="V364" s="508" t="str">
        <f>IF($D364="","",IFERROR(出来高!E364/AVERAGE(出来高!E364:I364),""))</f>
        <v/>
      </c>
      <c r="W364" s="509"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4" t="str">
        <f t="shared" si="64"/>
        <v/>
      </c>
      <c r="Y364" s="501" t="str">
        <f t="shared" si="59"/>
        <v/>
      </c>
      <c r="Z364" s="501" t="str">
        <f t="shared" si="60"/>
        <v/>
      </c>
      <c r="AA364" s="501" t="str">
        <f t="shared" si="61"/>
        <v/>
      </c>
      <c r="AB364" s="501" t="str">
        <f t="shared" si="65"/>
        <v/>
      </c>
      <c r="AC364" s="507" t="str">
        <f t="shared" si="62"/>
        <v/>
      </c>
      <c r="AD364" s="501" t="str">
        <f>IF($D364="","",MIN(終値!E364:I364))</f>
        <v/>
      </c>
      <c r="AE364" s="503" t="str">
        <f t="shared" si="63"/>
        <v/>
      </c>
    </row>
    <row r="365" spans="1:31">
      <c r="A365" s="500" t="str">
        <f>IF(終値!A365="","",HYPERLINK("https://kabutan.jp/stock/?code="&amp;終値!A365,"📈"))</f>
        <v/>
      </c>
      <c r="B365" s="500" t="str">
        <f>IF(終値!A365="","",終値!A365)</f>
        <v/>
      </c>
      <c r="C365" s="499" t="str">
        <f>IF(終値!A365="","",終値!B365)</f>
        <v/>
      </c>
      <c r="D365" s="501" t="str">
        <f>IF(終値!A365="","",終値!E365)</f>
        <v/>
      </c>
      <c r="E365" s="501" t="str">
        <f>IF($D365="","",AVERAGE(終値!E365:X365))</f>
        <v/>
      </c>
      <c r="F365" s="502" t="str">
        <f>IF($D365="","",STDEVP(終値!E365:X365))</f>
        <v/>
      </c>
      <c r="G365" s="501" t="str">
        <f>IF($D365="","",$E365+BB設定!$B$4*$F365)</f>
        <v/>
      </c>
      <c r="H365" s="501" t="str">
        <f>IF($D365="","",$E365+BB設定!$B$5*$F365)</f>
        <v/>
      </c>
      <c r="I365" s="501" t="str">
        <f>IF($D365="","",$E365-BB設定!$B$5*$F365)</f>
        <v/>
      </c>
      <c r="J365" s="501" t="str">
        <f>IF($D365="","",$E365-BB設定!$B$4*$F365)</f>
        <v/>
      </c>
      <c r="K365" s="506" t="str">
        <f t="shared" si="55"/>
        <v/>
      </c>
      <c r="L365" s="505" t="str">
        <f t="shared" si="56"/>
        <v/>
      </c>
      <c r="M365" s="505" t="str">
        <f>IF($D365="","",IFERROR(MIN(BB_帯幅!B365:AP365)*100,""))</f>
        <v/>
      </c>
      <c r="N365" s="500" t="str">
        <f>IF($L365="","",IF($L365&lt;=$M365*BB設定!$B$7,"スクイーズ★",IF($L365&lt;=$M365*1.3,"収縮","－")))</f>
        <v/>
      </c>
      <c r="O365" s="500" t="str">
        <f>IF($D365="","",IF(AND(BB_帯幅!B365&gt;BB_帯幅!C365,BB_帯幅!C365&gt;BB_帯幅!D365),"拡大↑","縮小↓"))</f>
        <v/>
      </c>
      <c r="P365" s="500" t="str">
        <f t="shared" si="57"/>
        <v/>
      </c>
      <c r="Q365" s="503" t="str">
        <f>IF($D365="","",IFERROR(100-100/(1+SUMPRODUCT((終値!E365:R365&gt;終値!F365:S365)*(終値!E365:R365-終値!F365:S365))/SUMPRODUCT((終値!E365:R365&lt;終値!F365:S365)*(終値!F365:S365-終値!E365:R365))),100))</f>
        <v/>
      </c>
      <c r="R365" s="503"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0"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0" t="str">
        <f t="shared" si="58"/>
        <v/>
      </c>
      <c r="U365" s="500" t="str">
        <f>IF(終値!A365="","",BB_スイング!BT365)</f>
        <v/>
      </c>
      <c r="V365" s="508" t="str">
        <f>IF($D365="","",IFERROR(出来高!E365/AVERAGE(出来高!E365:I365),""))</f>
        <v/>
      </c>
      <c r="W365" s="509"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4" t="str">
        <f t="shared" si="64"/>
        <v/>
      </c>
      <c r="Y365" s="501" t="str">
        <f t="shared" si="59"/>
        <v/>
      </c>
      <c r="Z365" s="501" t="str">
        <f t="shared" si="60"/>
        <v/>
      </c>
      <c r="AA365" s="501" t="str">
        <f t="shared" si="61"/>
        <v/>
      </c>
      <c r="AB365" s="501" t="str">
        <f t="shared" si="65"/>
        <v/>
      </c>
      <c r="AC365" s="507" t="str">
        <f t="shared" si="62"/>
        <v/>
      </c>
      <c r="AD365" s="501" t="str">
        <f>IF($D365="","",MIN(終値!E365:I365))</f>
        <v/>
      </c>
      <c r="AE365" s="503" t="str">
        <f t="shared" si="63"/>
        <v/>
      </c>
    </row>
    <row r="366" spans="1:31">
      <c r="A366" s="500" t="str">
        <f>IF(終値!A366="","",HYPERLINK("https://kabutan.jp/stock/?code="&amp;終値!A366,"📈"))</f>
        <v/>
      </c>
      <c r="B366" s="500" t="str">
        <f>IF(終値!A366="","",終値!A366)</f>
        <v/>
      </c>
      <c r="C366" s="499" t="str">
        <f>IF(終値!A366="","",終値!B366)</f>
        <v/>
      </c>
      <c r="D366" s="501" t="str">
        <f>IF(終値!A366="","",終値!E366)</f>
        <v/>
      </c>
      <c r="E366" s="501" t="str">
        <f>IF($D366="","",AVERAGE(終値!E366:X366))</f>
        <v/>
      </c>
      <c r="F366" s="502" t="str">
        <f>IF($D366="","",STDEVP(終値!E366:X366))</f>
        <v/>
      </c>
      <c r="G366" s="501" t="str">
        <f>IF($D366="","",$E366+BB設定!$B$4*$F366)</f>
        <v/>
      </c>
      <c r="H366" s="501" t="str">
        <f>IF($D366="","",$E366+BB設定!$B$5*$F366)</f>
        <v/>
      </c>
      <c r="I366" s="501" t="str">
        <f>IF($D366="","",$E366-BB設定!$B$5*$F366)</f>
        <v/>
      </c>
      <c r="J366" s="501" t="str">
        <f>IF($D366="","",$E366-BB設定!$B$4*$F366)</f>
        <v/>
      </c>
      <c r="K366" s="506" t="str">
        <f t="shared" si="55"/>
        <v/>
      </c>
      <c r="L366" s="505" t="str">
        <f t="shared" si="56"/>
        <v/>
      </c>
      <c r="M366" s="505" t="str">
        <f>IF($D366="","",IFERROR(MIN(BB_帯幅!B366:AP366)*100,""))</f>
        <v/>
      </c>
      <c r="N366" s="500" t="str">
        <f>IF($L366="","",IF($L366&lt;=$M366*BB設定!$B$7,"スクイーズ★",IF($L366&lt;=$M366*1.3,"収縮","－")))</f>
        <v/>
      </c>
      <c r="O366" s="500" t="str">
        <f>IF($D366="","",IF(AND(BB_帯幅!B366&gt;BB_帯幅!C366,BB_帯幅!C366&gt;BB_帯幅!D366),"拡大↑","縮小↓"))</f>
        <v/>
      </c>
      <c r="P366" s="500" t="str">
        <f t="shared" si="57"/>
        <v/>
      </c>
      <c r="Q366" s="503" t="str">
        <f>IF($D366="","",IFERROR(100-100/(1+SUMPRODUCT((終値!E366:R366&gt;終値!F366:S366)*(終値!E366:R366-終値!F366:S366))/SUMPRODUCT((終値!E366:R366&lt;終値!F366:S366)*(終値!F366:S366-終値!E366:R366))),100))</f>
        <v/>
      </c>
      <c r="R366" s="503"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0"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0" t="str">
        <f t="shared" si="58"/>
        <v/>
      </c>
      <c r="U366" s="500" t="str">
        <f>IF(終値!A366="","",BB_スイング!BT366)</f>
        <v/>
      </c>
      <c r="V366" s="508" t="str">
        <f>IF($D366="","",IFERROR(出来高!E366/AVERAGE(出来高!E366:I366),""))</f>
        <v/>
      </c>
      <c r="W366" s="509"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4" t="str">
        <f t="shared" si="64"/>
        <v/>
      </c>
      <c r="Y366" s="501" t="str">
        <f t="shared" si="59"/>
        <v/>
      </c>
      <c r="Z366" s="501" t="str">
        <f t="shared" si="60"/>
        <v/>
      </c>
      <c r="AA366" s="501" t="str">
        <f t="shared" si="61"/>
        <v/>
      </c>
      <c r="AB366" s="501" t="str">
        <f t="shared" si="65"/>
        <v/>
      </c>
      <c r="AC366" s="507" t="str">
        <f t="shared" si="62"/>
        <v/>
      </c>
      <c r="AD366" s="501" t="str">
        <f>IF($D366="","",MIN(終値!E366:I366))</f>
        <v/>
      </c>
      <c r="AE366" s="503" t="str">
        <f t="shared" si="63"/>
        <v/>
      </c>
    </row>
    <row r="367" spans="1:31">
      <c r="A367" s="500" t="str">
        <f>IF(終値!A367="","",HYPERLINK("https://kabutan.jp/stock/?code="&amp;終値!A367,"📈"))</f>
        <v/>
      </c>
      <c r="B367" s="500" t="str">
        <f>IF(終値!A367="","",終値!A367)</f>
        <v/>
      </c>
      <c r="C367" s="499" t="str">
        <f>IF(終値!A367="","",終値!B367)</f>
        <v/>
      </c>
      <c r="D367" s="501" t="str">
        <f>IF(終値!A367="","",終値!E367)</f>
        <v/>
      </c>
      <c r="E367" s="501" t="str">
        <f>IF($D367="","",AVERAGE(終値!E367:X367))</f>
        <v/>
      </c>
      <c r="F367" s="502" t="str">
        <f>IF($D367="","",STDEVP(終値!E367:X367))</f>
        <v/>
      </c>
      <c r="G367" s="501" t="str">
        <f>IF($D367="","",$E367+BB設定!$B$4*$F367)</f>
        <v/>
      </c>
      <c r="H367" s="501" t="str">
        <f>IF($D367="","",$E367+BB設定!$B$5*$F367)</f>
        <v/>
      </c>
      <c r="I367" s="501" t="str">
        <f>IF($D367="","",$E367-BB設定!$B$5*$F367)</f>
        <v/>
      </c>
      <c r="J367" s="501" t="str">
        <f>IF($D367="","",$E367-BB設定!$B$4*$F367)</f>
        <v/>
      </c>
      <c r="K367" s="506" t="str">
        <f t="shared" si="55"/>
        <v/>
      </c>
      <c r="L367" s="505" t="str">
        <f t="shared" si="56"/>
        <v/>
      </c>
      <c r="M367" s="505" t="str">
        <f>IF($D367="","",IFERROR(MIN(BB_帯幅!B367:AP367)*100,""))</f>
        <v/>
      </c>
      <c r="N367" s="500" t="str">
        <f>IF($L367="","",IF($L367&lt;=$M367*BB設定!$B$7,"スクイーズ★",IF($L367&lt;=$M367*1.3,"収縮","－")))</f>
        <v/>
      </c>
      <c r="O367" s="500" t="str">
        <f>IF($D367="","",IF(AND(BB_帯幅!B367&gt;BB_帯幅!C367,BB_帯幅!C367&gt;BB_帯幅!D367),"拡大↑","縮小↓"))</f>
        <v/>
      </c>
      <c r="P367" s="500" t="str">
        <f t="shared" si="57"/>
        <v/>
      </c>
      <c r="Q367" s="503" t="str">
        <f>IF($D367="","",IFERROR(100-100/(1+SUMPRODUCT((終値!E367:R367&gt;終値!F367:S367)*(終値!E367:R367-終値!F367:S367))/SUMPRODUCT((終値!E367:R367&lt;終値!F367:S367)*(終値!F367:S367-終値!E367:R367))),100))</f>
        <v/>
      </c>
      <c r="R367" s="503"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0"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0" t="str">
        <f t="shared" si="58"/>
        <v/>
      </c>
      <c r="U367" s="500" t="str">
        <f>IF(終値!A367="","",BB_スイング!BT367)</f>
        <v/>
      </c>
      <c r="V367" s="508" t="str">
        <f>IF($D367="","",IFERROR(出来高!E367/AVERAGE(出来高!E367:I367),""))</f>
        <v/>
      </c>
      <c r="W367" s="509"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4" t="str">
        <f t="shared" si="64"/>
        <v/>
      </c>
      <c r="Y367" s="501" t="str">
        <f t="shared" si="59"/>
        <v/>
      </c>
      <c r="Z367" s="501" t="str">
        <f t="shared" si="60"/>
        <v/>
      </c>
      <c r="AA367" s="501" t="str">
        <f t="shared" si="61"/>
        <v/>
      </c>
      <c r="AB367" s="501" t="str">
        <f t="shared" si="65"/>
        <v/>
      </c>
      <c r="AC367" s="507" t="str">
        <f t="shared" si="62"/>
        <v/>
      </c>
      <c r="AD367" s="501" t="str">
        <f>IF($D367="","",MIN(終値!E367:I367))</f>
        <v/>
      </c>
      <c r="AE367" s="503" t="str">
        <f t="shared" si="63"/>
        <v/>
      </c>
    </row>
    <row r="368" spans="1:31">
      <c r="A368" s="500" t="str">
        <f>IF(終値!A368="","",HYPERLINK("https://kabutan.jp/stock/?code="&amp;終値!A368,"📈"))</f>
        <v/>
      </c>
      <c r="B368" s="500" t="str">
        <f>IF(終値!A368="","",終値!A368)</f>
        <v/>
      </c>
      <c r="C368" s="499" t="str">
        <f>IF(終値!A368="","",終値!B368)</f>
        <v/>
      </c>
      <c r="D368" s="501" t="str">
        <f>IF(終値!A368="","",終値!E368)</f>
        <v/>
      </c>
      <c r="E368" s="501" t="str">
        <f>IF($D368="","",AVERAGE(終値!E368:X368))</f>
        <v/>
      </c>
      <c r="F368" s="502" t="str">
        <f>IF($D368="","",STDEVP(終値!E368:X368))</f>
        <v/>
      </c>
      <c r="G368" s="501" t="str">
        <f>IF($D368="","",$E368+BB設定!$B$4*$F368)</f>
        <v/>
      </c>
      <c r="H368" s="501" t="str">
        <f>IF($D368="","",$E368+BB設定!$B$5*$F368)</f>
        <v/>
      </c>
      <c r="I368" s="501" t="str">
        <f>IF($D368="","",$E368-BB設定!$B$5*$F368)</f>
        <v/>
      </c>
      <c r="J368" s="501" t="str">
        <f>IF($D368="","",$E368-BB設定!$B$4*$F368)</f>
        <v/>
      </c>
      <c r="K368" s="506" t="str">
        <f t="shared" si="55"/>
        <v/>
      </c>
      <c r="L368" s="505" t="str">
        <f t="shared" si="56"/>
        <v/>
      </c>
      <c r="M368" s="505" t="str">
        <f>IF($D368="","",IFERROR(MIN(BB_帯幅!B368:AP368)*100,""))</f>
        <v/>
      </c>
      <c r="N368" s="500" t="str">
        <f>IF($L368="","",IF($L368&lt;=$M368*BB設定!$B$7,"スクイーズ★",IF($L368&lt;=$M368*1.3,"収縮","－")))</f>
        <v/>
      </c>
      <c r="O368" s="500" t="str">
        <f>IF($D368="","",IF(AND(BB_帯幅!B368&gt;BB_帯幅!C368,BB_帯幅!C368&gt;BB_帯幅!D368),"拡大↑","縮小↓"))</f>
        <v/>
      </c>
      <c r="P368" s="500" t="str">
        <f t="shared" si="57"/>
        <v/>
      </c>
      <c r="Q368" s="503" t="str">
        <f>IF($D368="","",IFERROR(100-100/(1+SUMPRODUCT((終値!E368:R368&gt;終値!F368:S368)*(終値!E368:R368-終値!F368:S368))/SUMPRODUCT((終値!E368:R368&lt;終値!F368:S368)*(終値!F368:S368-終値!E368:R368))),100))</f>
        <v/>
      </c>
      <c r="R368" s="503"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0"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0" t="str">
        <f t="shared" si="58"/>
        <v/>
      </c>
      <c r="U368" s="500" t="str">
        <f>IF(終値!A368="","",BB_スイング!BT368)</f>
        <v/>
      </c>
      <c r="V368" s="508" t="str">
        <f>IF($D368="","",IFERROR(出来高!E368/AVERAGE(出来高!E368:I368),""))</f>
        <v/>
      </c>
      <c r="W368" s="509"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4" t="str">
        <f t="shared" si="64"/>
        <v/>
      </c>
      <c r="Y368" s="501" t="str">
        <f t="shared" si="59"/>
        <v/>
      </c>
      <c r="Z368" s="501" t="str">
        <f t="shared" si="60"/>
        <v/>
      </c>
      <c r="AA368" s="501" t="str">
        <f t="shared" si="61"/>
        <v/>
      </c>
      <c r="AB368" s="501" t="str">
        <f t="shared" si="65"/>
        <v/>
      </c>
      <c r="AC368" s="507" t="str">
        <f t="shared" si="62"/>
        <v/>
      </c>
      <c r="AD368" s="501" t="str">
        <f>IF($D368="","",MIN(終値!E368:I368))</f>
        <v/>
      </c>
      <c r="AE368" s="503" t="str">
        <f t="shared" si="63"/>
        <v/>
      </c>
    </row>
    <row r="369" spans="1:31">
      <c r="A369" s="500" t="str">
        <f>IF(終値!A369="","",HYPERLINK("https://kabutan.jp/stock/?code="&amp;終値!A369,"📈"))</f>
        <v/>
      </c>
      <c r="B369" s="500" t="str">
        <f>IF(終値!A369="","",終値!A369)</f>
        <v/>
      </c>
      <c r="C369" s="499" t="str">
        <f>IF(終値!A369="","",終値!B369)</f>
        <v/>
      </c>
      <c r="D369" s="501" t="str">
        <f>IF(終値!A369="","",終値!E369)</f>
        <v/>
      </c>
      <c r="E369" s="501" t="str">
        <f>IF($D369="","",AVERAGE(終値!E369:X369))</f>
        <v/>
      </c>
      <c r="F369" s="502" t="str">
        <f>IF($D369="","",STDEVP(終値!E369:X369))</f>
        <v/>
      </c>
      <c r="G369" s="501" t="str">
        <f>IF($D369="","",$E369+BB設定!$B$4*$F369)</f>
        <v/>
      </c>
      <c r="H369" s="501" t="str">
        <f>IF($D369="","",$E369+BB設定!$B$5*$F369)</f>
        <v/>
      </c>
      <c r="I369" s="501" t="str">
        <f>IF($D369="","",$E369-BB設定!$B$5*$F369)</f>
        <v/>
      </c>
      <c r="J369" s="501" t="str">
        <f>IF($D369="","",$E369-BB設定!$B$4*$F369)</f>
        <v/>
      </c>
      <c r="K369" s="506" t="str">
        <f t="shared" si="55"/>
        <v/>
      </c>
      <c r="L369" s="505" t="str">
        <f t="shared" si="56"/>
        <v/>
      </c>
      <c r="M369" s="505" t="str">
        <f>IF($D369="","",IFERROR(MIN(BB_帯幅!B369:AP369)*100,""))</f>
        <v/>
      </c>
      <c r="N369" s="500" t="str">
        <f>IF($L369="","",IF($L369&lt;=$M369*BB設定!$B$7,"スクイーズ★",IF($L369&lt;=$M369*1.3,"収縮","－")))</f>
        <v/>
      </c>
      <c r="O369" s="500" t="str">
        <f>IF($D369="","",IF(AND(BB_帯幅!B369&gt;BB_帯幅!C369,BB_帯幅!C369&gt;BB_帯幅!D369),"拡大↑","縮小↓"))</f>
        <v/>
      </c>
      <c r="P369" s="500" t="str">
        <f t="shared" si="57"/>
        <v/>
      </c>
      <c r="Q369" s="503" t="str">
        <f>IF($D369="","",IFERROR(100-100/(1+SUMPRODUCT((終値!E369:R369&gt;終値!F369:S369)*(終値!E369:R369-終値!F369:S369))/SUMPRODUCT((終値!E369:R369&lt;終値!F369:S369)*(終値!F369:S369-終値!E369:R369))),100))</f>
        <v/>
      </c>
      <c r="R369" s="503"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0"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0" t="str">
        <f t="shared" si="58"/>
        <v/>
      </c>
      <c r="U369" s="500" t="str">
        <f>IF(終値!A369="","",BB_スイング!BT369)</f>
        <v/>
      </c>
      <c r="V369" s="508" t="str">
        <f>IF($D369="","",IFERROR(出来高!E369/AVERAGE(出来高!E369:I369),""))</f>
        <v/>
      </c>
      <c r="W369" s="509"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4" t="str">
        <f t="shared" si="64"/>
        <v/>
      </c>
      <c r="Y369" s="501" t="str">
        <f t="shared" si="59"/>
        <v/>
      </c>
      <c r="Z369" s="501" t="str">
        <f t="shared" si="60"/>
        <v/>
      </c>
      <c r="AA369" s="501" t="str">
        <f t="shared" si="61"/>
        <v/>
      </c>
      <c r="AB369" s="501" t="str">
        <f t="shared" si="65"/>
        <v/>
      </c>
      <c r="AC369" s="507" t="str">
        <f t="shared" si="62"/>
        <v/>
      </c>
      <c r="AD369" s="501" t="str">
        <f>IF($D369="","",MIN(終値!E369:I369))</f>
        <v/>
      </c>
      <c r="AE369" s="503" t="str">
        <f t="shared" si="63"/>
        <v/>
      </c>
    </row>
    <row r="370" spans="1:31">
      <c r="A370" s="500" t="str">
        <f>IF(終値!A370="","",HYPERLINK("https://kabutan.jp/stock/?code="&amp;終値!A370,"📈"))</f>
        <v/>
      </c>
      <c r="B370" s="500" t="str">
        <f>IF(終値!A370="","",終値!A370)</f>
        <v/>
      </c>
      <c r="C370" s="499" t="str">
        <f>IF(終値!A370="","",終値!B370)</f>
        <v/>
      </c>
      <c r="D370" s="501" t="str">
        <f>IF(終値!A370="","",終値!E370)</f>
        <v/>
      </c>
      <c r="E370" s="501" t="str">
        <f>IF($D370="","",AVERAGE(終値!E370:X370))</f>
        <v/>
      </c>
      <c r="F370" s="502" t="str">
        <f>IF($D370="","",STDEVP(終値!E370:X370))</f>
        <v/>
      </c>
      <c r="G370" s="501" t="str">
        <f>IF($D370="","",$E370+BB設定!$B$4*$F370)</f>
        <v/>
      </c>
      <c r="H370" s="501" t="str">
        <f>IF($D370="","",$E370+BB設定!$B$5*$F370)</f>
        <v/>
      </c>
      <c r="I370" s="501" t="str">
        <f>IF($D370="","",$E370-BB設定!$B$5*$F370)</f>
        <v/>
      </c>
      <c r="J370" s="501" t="str">
        <f>IF($D370="","",$E370-BB設定!$B$4*$F370)</f>
        <v/>
      </c>
      <c r="K370" s="506" t="str">
        <f t="shared" si="55"/>
        <v/>
      </c>
      <c r="L370" s="505" t="str">
        <f t="shared" si="56"/>
        <v/>
      </c>
      <c r="M370" s="505" t="str">
        <f>IF($D370="","",IFERROR(MIN(BB_帯幅!B370:AP370)*100,""))</f>
        <v/>
      </c>
      <c r="N370" s="500" t="str">
        <f>IF($L370="","",IF($L370&lt;=$M370*BB設定!$B$7,"スクイーズ★",IF($L370&lt;=$M370*1.3,"収縮","－")))</f>
        <v/>
      </c>
      <c r="O370" s="500" t="str">
        <f>IF($D370="","",IF(AND(BB_帯幅!B370&gt;BB_帯幅!C370,BB_帯幅!C370&gt;BB_帯幅!D370),"拡大↑","縮小↓"))</f>
        <v/>
      </c>
      <c r="P370" s="500" t="str">
        <f t="shared" si="57"/>
        <v/>
      </c>
      <c r="Q370" s="503" t="str">
        <f>IF($D370="","",IFERROR(100-100/(1+SUMPRODUCT((終値!E370:R370&gt;終値!F370:S370)*(終値!E370:R370-終値!F370:S370))/SUMPRODUCT((終値!E370:R370&lt;終値!F370:S370)*(終値!F370:S370-終値!E370:R370))),100))</f>
        <v/>
      </c>
      <c r="R370" s="503"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0"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0" t="str">
        <f t="shared" si="58"/>
        <v/>
      </c>
      <c r="U370" s="500" t="str">
        <f>IF(終値!A370="","",BB_スイング!BT370)</f>
        <v/>
      </c>
      <c r="V370" s="508" t="str">
        <f>IF($D370="","",IFERROR(出来高!E370/AVERAGE(出来高!E370:I370),""))</f>
        <v/>
      </c>
      <c r="W370" s="509"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4" t="str">
        <f t="shared" si="64"/>
        <v/>
      </c>
      <c r="Y370" s="501" t="str">
        <f t="shared" si="59"/>
        <v/>
      </c>
      <c r="Z370" s="501" t="str">
        <f t="shared" si="60"/>
        <v/>
      </c>
      <c r="AA370" s="501" t="str">
        <f t="shared" si="61"/>
        <v/>
      </c>
      <c r="AB370" s="501" t="str">
        <f t="shared" si="65"/>
        <v/>
      </c>
      <c r="AC370" s="507" t="str">
        <f t="shared" si="62"/>
        <v/>
      </c>
      <c r="AD370" s="501" t="str">
        <f>IF($D370="","",MIN(終値!E370:I370))</f>
        <v/>
      </c>
      <c r="AE370" s="503" t="str">
        <f t="shared" si="63"/>
        <v/>
      </c>
    </row>
    <row r="371" spans="1:31">
      <c r="A371" s="500" t="str">
        <f>IF(終値!A371="","",HYPERLINK("https://kabutan.jp/stock/?code="&amp;終値!A371,"📈"))</f>
        <v/>
      </c>
      <c r="B371" s="500" t="str">
        <f>IF(終値!A371="","",終値!A371)</f>
        <v/>
      </c>
      <c r="C371" s="499" t="str">
        <f>IF(終値!A371="","",終値!B371)</f>
        <v/>
      </c>
      <c r="D371" s="501" t="str">
        <f>IF(終値!A371="","",終値!E371)</f>
        <v/>
      </c>
      <c r="E371" s="501" t="str">
        <f>IF($D371="","",AVERAGE(終値!E371:X371))</f>
        <v/>
      </c>
      <c r="F371" s="502" t="str">
        <f>IF($D371="","",STDEVP(終値!E371:X371))</f>
        <v/>
      </c>
      <c r="G371" s="501" t="str">
        <f>IF($D371="","",$E371+BB設定!$B$4*$F371)</f>
        <v/>
      </c>
      <c r="H371" s="501" t="str">
        <f>IF($D371="","",$E371+BB設定!$B$5*$F371)</f>
        <v/>
      </c>
      <c r="I371" s="501" t="str">
        <f>IF($D371="","",$E371-BB設定!$B$5*$F371)</f>
        <v/>
      </c>
      <c r="J371" s="501" t="str">
        <f>IF($D371="","",$E371-BB設定!$B$4*$F371)</f>
        <v/>
      </c>
      <c r="K371" s="506" t="str">
        <f t="shared" si="55"/>
        <v/>
      </c>
      <c r="L371" s="505" t="str">
        <f t="shared" si="56"/>
        <v/>
      </c>
      <c r="M371" s="505" t="str">
        <f>IF($D371="","",IFERROR(MIN(BB_帯幅!B371:AP371)*100,""))</f>
        <v/>
      </c>
      <c r="N371" s="500" t="str">
        <f>IF($L371="","",IF($L371&lt;=$M371*BB設定!$B$7,"スクイーズ★",IF($L371&lt;=$M371*1.3,"収縮","－")))</f>
        <v/>
      </c>
      <c r="O371" s="500" t="str">
        <f>IF($D371="","",IF(AND(BB_帯幅!B371&gt;BB_帯幅!C371,BB_帯幅!C371&gt;BB_帯幅!D371),"拡大↑","縮小↓"))</f>
        <v/>
      </c>
      <c r="P371" s="500" t="str">
        <f t="shared" si="57"/>
        <v/>
      </c>
      <c r="Q371" s="503" t="str">
        <f>IF($D371="","",IFERROR(100-100/(1+SUMPRODUCT((終値!E371:R371&gt;終値!F371:S371)*(終値!E371:R371-終値!F371:S371))/SUMPRODUCT((終値!E371:R371&lt;終値!F371:S371)*(終値!F371:S371-終値!E371:R371))),100))</f>
        <v/>
      </c>
      <c r="R371" s="503"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0"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0" t="str">
        <f t="shared" si="58"/>
        <v/>
      </c>
      <c r="U371" s="500" t="str">
        <f>IF(終値!A371="","",BB_スイング!BT371)</f>
        <v/>
      </c>
      <c r="V371" s="508" t="str">
        <f>IF($D371="","",IFERROR(出来高!E371/AVERAGE(出来高!E371:I371),""))</f>
        <v/>
      </c>
      <c r="W371" s="509"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4" t="str">
        <f t="shared" si="64"/>
        <v/>
      </c>
      <c r="Y371" s="501" t="str">
        <f t="shared" si="59"/>
        <v/>
      </c>
      <c r="Z371" s="501" t="str">
        <f t="shared" si="60"/>
        <v/>
      </c>
      <c r="AA371" s="501" t="str">
        <f t="shared" si="61"/>
        <v/>
      </c>
      <c r="AB371" s="501" t="str">
        <f t="shared" si="65"/>
        <v/>
      </c>
      <c r="AC371" s="507" t="str">
        <f t="shared" si="62"/>
        <v/>
      </c>
      <c r="AD371" s="501" t="str">
        <f>IF($D371="","",MIN(終値!E371:I371))</f>
        <v/>
      </c>
      <c r="AE371" s="503" t="str">
        <f t="shared" si="63"/>
        <v/>
      </c>
    </row>
    <row r="372" spans="1:31">
      <c r="A372" s="500" t="str">
        <f>IF(終値!A372="","",HYPERLINK("https://kabutan.jp/stock/?code="&amp;終値!A372,"📈"))</f>
        <v/>
      </c>
      <c r="B372" s="500" t="str">
        <f>IF(終値!A372="","",終値!A372)</f>
        <v/>
      </c>
      <c r="C372" s="499" t="str">
        <f>IF(終値!A372="","",終値!B372)</f>
        <v/>
      </c>
      <c r="D372" s="501" t="str">
        <f>IF(終値!A372="","",終値!E372)</f>
        <v/>
      </c>
      <c r="E372" s="501" t="str">
        <f>IF($D372="","",AVERAGE(終値!E372:X372))</f>
        <v/>
      </c>
      <c r="F372" s="502" t="str">
        <f>IF($D372="","",STDEVP(終値!E372:X372))</f>
        <v/>
      </c>
      <c r="G372" s="501" t="str">
        <f>IF($D372="","",$E372+BB設定!$B$4*$F372)</f>
        <v/>
      </c>
      <c r="H372" s="501" t="str">
        <f>IF($D372="","",$E372+BB設定!$B$5*$F372)</f>
        <v/>
      </c>
      <c r="I372" s="501" t="str">
        <f>IF($D372="","",$E372-BB設定!$B$5*$F372)</f>
        <v/>
      </c>
      <c r="J372" s="501" t="str">
        <f>IF($D372="","",$E372-BB設定!$B$4*$F372)</f>
        <v/>
      </c>
      <c r="K372" s="506" t="str">
        <f t="shared" si="55"/>
        <v/>
      </c>
      <c r="L372" s="505" t="str">
        <f t="shared" si="56"/>
        <v/>
      </c>
      <c r="M372" s="505" t="str">
        <f>IF($D372="","",IFERROR(MIN(BB_帯幅!B372:AP372)*100,""))</f>
        <v/>
      </c>
      <c r="N372" s="500" t="str">
        <f>IF($L372="","",IF($L372&lt;=$M372*BB設定!$B$7,"スクイーズ★",IF($L372&lt;=$M372*1.3,"収縮","－")))</f>
        <v/>
      </c>
      <c r="O372" s="500" t="str">
        <f>IF($D372="","",IF(AND(BB_帯幅!B372&gt;BB_帯幅!C372,BB_帯幅!C372&gt;BB_帯幅!D372),"拡大↑","縮小↓"))</f>
        <v/>
      </c>
      <c r="P372" s="500" t="str">
        <f t="shared" si="57"/>
        <v/>
      </c>
      <c r="Q372" s="503" t="str">
        <f>IF($D372="","",IFERROR(100-100/(1+SUMPRODUCT((終値!E372:R372&gt;終値!F372:S372)*(終値!E372:R372-終値!F372:S372))/SUMPRODUCT((終値!E372:R372&lt;終値!F372:S372)*(終値!F372:S372-終値!E372:R372))),100))</f>
        <v/>
      </c>
      <c r="R372" s="503"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0"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0" t="str">
        <f t="shared" si="58"/>
        <v/>
      </c>
      <c r="U372" s="500" t="str">
        <f>IF(終値!A372="","",BB_スイング!BT372)</f>
        <v/>
      </c>
      <c r="V372" s="508" t="str">
        <f>IF($D372="","",IFERROR(出来高!E372/AVERAGE(出来高!E372:I372),""))</f>
        <v/>
      </c>
      <c r="W372" s="509"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4" t="str">
        <f t="shared" si="64"/>
        <v/>
      </c>
      <c r="Y372" s="501" t="str">
        <f t="shared" si="59"/>
        <v/>
      </c>
      <c r="Z372" s="501" t="str">
        <f t="shared" si="60"/>
        <v/>
      </c>
      <c r="AA372" s="501" t="str">
        <f t="shared" si="61"/>
        <v/>
      </c>
      <c r="AB372" s="501" t="str">
        <f t="shared" si="65"/>
        <v/>
      </c>
      <c r="AC372" s="507" t="str">
        <f t="shared" si="62"/>
        <v/>
      </c>
      <c r="AD372" s="501" t="str">
        <f>IF($D372="","",MIN(終値!E372:I372))</f>
        <v/>
      </c>
      <c r="AE372" s="503" t="str">
        <f t="shared" si="63"/>
        <v/>
      </c>
    </row>
    <row r="373" spans="1:31">
      <c r="A373" s="500" t="str">
        <f>IF(終値!A373="","",HYPERLINK("https://kabutan.jp/stock/?code="&amp;終値!A373,"📈"))</f>
        <v/>
      </c>
      <c r="B373" s="500" t="str">
        <f>IF(終値!A373="","",終値!A373)</f>
        <v/>
      </c>
      <c r="C373" s="499" t="str">
        <f>IF(終値!A373="","",終値!B373)</f>
        <v/>
      </c>
      <c r="D373" s="501" t="str">
        <f>IF(終値!A373="","",終値!E373)</f>
        <v/>
      </c>
      <c r="E373" s="501" t="str">
        <f>IF($D373="","",AVERAGE(終値!E373:X373))</f>
        <v/>
      </c>
      <c r="F373" s="502" t="str">
        <f>IF($D373="","",STDEVP(終値!E373:X373))</f>
        <v/>
      </c>
      <c r="G373" s="501" t="str">
        <f>IF($D373="","",$E373+BB設定!$B$4*$F373)</f>
        <v/>
      </c>
      <c r="H373" s="501" t="str">
        <f>IF($D373="","",$E373+BB設定!$B$5*$F373)</f>
        <v/>
      </c>
      <c r="I373" s="501" t="str">
        <f>IF($D373="","",$E373-BB設定!$B$5*$F373)</f>
        <v/>
      </c>
      <c r="J373" s="501" t="str">
        <f>IF($D373="","",$E373-BB設定!$B$4*$F373)</f>
        <v/>
      </c>
      <c r="K373" s="506" t="str">
        <f t="shared" si="55"/>
        <v/>
      </c>
      <c r="L373" s="505" t="str">
        <f t="shared" si="56"/>
        <v/>
      </c>
      <c r="M373" s="505" t="str">
        <f>IF($D373="","",IFERROR(MIN(BB_帯幅!B373:AP373)*100,""))</f>
        <v/>
      </c>
      <c r="N373" s="500" t="str">
        <f>IF($L373="","",IF($L373&lt;=$M373*BB設定!$B$7,"スクイーズ★",IF($L373&lt;=$M373*1.3,"収縮","－")))</f>
        <v/>
      </c>
      <c r="O373" s="500" t="str">
        <f>IF($D373="","",IF(AND(BB_帯幅!B373&gt;BB_帯幅!C373,BB_帯幅!C373&gt;BB_帯幅!D373),"拡大↑","縮小↓"))</f>
        <v/>
      </c>
      <c r="P373" s="500" t="str">
        <f t="shared" si="57"/>
        <v/>
      </c>
      <c r="Q373" s="503" t="str">
        <f>IF($D373="","",IFERROR(100-100/(1+SUMPRODUCT((終値!E373:R373&gt;終値!F373:S373)*(終値!E373:R373-終値!F373:S373))/SUMPRODUCT((終値!E373:R373&lt;終値!F373:S373)*(終値!F373:S373-終値!E373:R373))),100))</f>
        <v/>
      </c>
      <c r="R373" s="503"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0"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0" t="str">
        <f t="shared" si="58"/>
        <v/>
      </c>
      <c r="U373" s="500" t="str">
        <f>IF(終値!A373="","",BB_スイング!BT373)</f>
        <v/>
      </c>
      <c r="V373" s="508" t="str">
        <f>IF($D373="","",IFERROR(出来高!E373/AVERAGE(出来高!E373:I373),""))</f>
        <v/>
      </c>
      <c r="W373" s="509"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4" t="str">
        <f t="shared" si="64"/>
        <v/>
      </c>
      <c r="Y373" s="501" t="str">
        <f t="shared" si="59"/>
        <v/>
      </c>
      <c r="Z373" s="501" t="str">
        <f t="shared" si="60"/>
        <v/>
      </c>
      <c r="AA373" s="501" t="str">
        <f t="shared" si="61"/>
        <v/>
      </c>
      <c r="AB373" s="501" t="str">
        <f t="shared" si="65"/>
        <v/>
      </c>
      <c r="AC373" s="507" t="str">
        <f t="shared" si="62"/>
        <v/>
      </c>
      <c r="AD373" s="501" t="str">
        <f>IF($D373="","",MIN(終値!E373:I373))</f>
        <v/>
      </c>
      <c r="AE373" s="503" t="str">
        <f t="shared" si="63"/>
        <v/>
      </c>
    </row>
    <row r="374" spans="1:31">
      <c r="A374" s="500" t="str">
        <f>IF(終値!A374="","",HYPERLINK("https://kabutan.jp/stock/?code="&amp;終値!A374,"📈"))</f>
        <v/>
      </c>
      <c r="B374" s="500" t="str">
        <f>IF(終値!A374="","",終値!A374)</f>
        <v/>
      </c>
      <c r="C374" s="499" t="str">
        <f>IF(終値!A374="","",終値!B374)</f>
        <v/>
      </c>
      <c r="D374" s="501" t="str">
        <f>IF(終値!A374="","",終値!E374)</f>
        <v/>
      </c>
      <c r="E374" s="501" t="str">
        <f>IF($D374="","",AVERAGE(終値!E374:X374))</f>
        <v/>
      </c>
      <c r="F374" s="502" t="str">
        <f>IF($D374="","",STDEVP(終値!E374:X374))</f>
        <v/>
      </c>
      <c r="G374" s="501" t="str">
        <f>IF($D374="","",$E374+BB設定!$B$4*$F374)</f>
        <v/>
      </c>
      <c r="H374" s="501" t="str">
        <f>IF($D374="","",$E374+BB設定!$B$5*$F374)</f>
        <v/>
      </c>
      <c r="I374" s="501" t="str">
        <f>IF($D374="","",$E374-BB設定!$B$5*$F374)</f>
        <v/>
      </c>
      <c r="J374" s="501" t="str">
        <f>IF($D374="","",$E374-BB設定!$B$4*$F374)</f>
        <v/>
      </c>
      <c r="K374" s="506" t="str">
        <f t="shared" si="55"/>
        <v/>
      </c>
      <c r="L374" s="505" t="str">
        <f t="shared" si="56"/>
        <v/>
      </c>
      <c r="M374" s="505" t="str">
        <f>IF($D374="","",IFERROR(MIN(BB_帯幅!B374:AP374)*100,""))</f>
        <v/>
      </c>
      <c r="N374" s="500" t="str">
        <f>IF($L374="","",IF($L374&lt;=$M374*BB設定!$B$7,"スクイーズ★",IF($L374&lt;=$M374*1.3,"収縮","－")))</f>
        <v/>
      </c>
      <c r="O374" s="500" t="str">
        <f>IF($D374="","",IF(AND(BB_帯幅!B374&gt;BB_帯幅!C374,BB_帯幅!C374&gt;BB_帯幅!D374),"拡大↑","縮小↓"))</f>
        <v/>
      </c>
      <c r="P374" s="500" t="str">
        <f t="shared" si="57"/>
        <v/>
      </c>
      <c r="Q374" s="503" t="str">
        <f>IF($D374="","",IFERROR(100-100/(1+SUMPRODUCT((終値!E374:R374&gt;終値!F374:S374)*(終値!E374:R374-終値!F374:S374))/SUMPRODUCT((終値!E374:R374&lt;終値!F374:S374)*(終値!F374:S374-終値!E374:R374))),100))</f>
        <v/>
      </c>
      <c r="R374" s="503"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0"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0" t="str">
        <f t="shared" si="58"/>
        <v/>
      </c>
      <c r="U374" s="500" t="str">
        <f>IF(終値!A374="","",BB_スイング!BT374)</f>
        <v/>
      </c>
      <c r="V374" s="508" t="str">
        <f>IF($D374="","",IFERROR(出来高!E374/AVERAGE(出来高!E374:I374),""))</f>
        <v/>
      </c>
      <c r="W374" s="509"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4" t="str">
        <f t="shared" si="64"/>
        <v/>
      </c>
      <c r="Y374" s="501" t="str">
        <f t="shared" si="59"/>
        <v/>
      </c>
      <c r="Z374" s="501" t="str">
        <f t="shared" si="60"/>
        <v/>
      </c>
      <c r="AA374" s="501" t="str">
        <f t="shared" si="61"/>
        <v/>
      </c>
      <c r="AB374" s="501" t="str">
        <f t="shared" si="65"/>
        <v/>
      </c>
      <c r="AC374" s="507" t="str">
        <f t="shared" si="62"/>
        <v/>
      </c>
      <c r="AD374" s="501" t="str">
        <f>IF($D374="","",MIN(終値!E374:I374))</f>
        <v/>
      </c>
      <c r="AE374" s="503" t="str">
        <f t="shared" si="63"/>
        <v/>
      </c>
    </row>
    <row r="375" spans="1:31">
      <c r="A375" s="500" t="str">
        <f>IF(終値!A375="","",HYPERLINK("https://kabutan.jp/stock/?code="&amp;終値!A375,"📈"))</f>
        <v/>
      </c>
      <c r="B375" s="500" t="str">
        <f>IF(終値!A375="","",終値!A375)</f>
        <v/>
      </c>
      <c r="C375" s="499" t="str">
        <f>IF(終値!A375="","",終値!B375)</f>
        <v/>
      </c>
      <c r="D375" s="501" t="str">
        <f>IF(終値!A375="","",終値!E375)</f>
        <v/>
      </c>
      <c r="E375" s="501" t="str">
        <f>IF($D375="","",AVERAGE(終値!E375:X375))</f>
        <v/>
      </c>
      <c r="F375" s="502" t="str">
        <f>IF($D375="","",STDEVP(終値!E375:X375))</f>
        <v/>
      </c>
      <c r="G375" s="501" t="str">
        <f>IF($D375="","",$E375+BB設定!$B$4*$F375)</f>
        <v/>
      </c>
      <c r="H375" s="501" t="str">
        <f>IF($D375="","",$E375+BB設定!$B$5*$F375)</f>
        <v/>
      </c>
      <c r="I375" s="501" t="str">
        <f>IF($D375="","",$E375-BB設定!$B$5*$F375)</f>
        <v/>
      </c>
      <c r="J375" s="501" t="str">
        <f>IF($D375="","",$E375-BB設定!$B$4*$F375)</f>
        <v/>
      </c>
      <c r="K375" s="506" t="str">
        <f t="shared" si="55"/>
        <v/>
      </c>
      <c r="L375" s="505" t="str">
        <f t="shared" si="56"/>
        <v/>
      </c>
      <c r="M375" s="505" t="str">
        <f>IF($D375="","",IFERROR(MIN(BB_帯幅!B375:AP375)*100,""))</f>
        <v/>
      </c>
      <c r="N375" s="500" t="str">
        <f>IF($L375="","",IF($L375&lt;=$M375*BB設定!$B$7,"スクイーズ★",IF($L375&lt;=$M375*1.3,"収縮","－")))</f>
        <v/>
      </c>
      <c r="O375" s="500" t="str">
        <f>IF($D375="","",IF(AND(BB_帯幅!B375&gt;BB_帯幅!C375,BB_帯幅!C375&gt;BB_帯幅!D375),"拡大↑","縮小↓"))</f>
        <v/>
      </c>
      <c r="P375" s="500" t="str">
        <f t="shared" si="57"/>
        <v/>
      </c>
      <c r="Q375" s="503" t="str">
        <f>IF($D375="","",IFERROR(100-100/(1+SUMPRODUCT((終値!E375:R375&gt;終値!F375:S375)*(終値!E375:R375-終値!F375:S375))/SUMPRODUCT((終値!E375:R375&lt;終値!F375:S375)*(終値!F375:S375-終値!E375:R375))),100))</f>
        <v/>
      </c>
      <c r="R375" s="503"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0"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0" t="str">
        <f t="shared" si="58"/>
        <v/>
      </c>
      <c r="U375" s="500" t="str">
        <f>IF(終値!A375="","",BB_スイング!BT375)</f>
        <v/>
      </c>
      <c r="V375" s="508" t="str">
        <f>IF($D375="","",IFERROR(出来高!E375/AVERAGE(出来高!E375:I375),""))</f>
        <v/>
      </c>
      <c r="W375" s="509"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4" t="str">
        <f t="shared" si="64"/>
        <v/>
      </c>
      <c r="Y375" s="501" t="str">
        <f t="shared" si="59"/>
        <v/>
      </c>
      <c r="Z375" s="501" t="str">
        <f t="shared" si="60"/>
        <v/>
      </c>
      <c r="AA375" s="501" t="str">
        <f t="shared" si="61"/>
        <v/>
      </c>
      <c r="AB375" s="501" t="str">
        <f t="shared" si="65"/>
        <v/>
      </c>
      <c r="AC375" s="507" t="str">
        <f t="shared" si="62"/>
        <v/>
      </c>
      <c r="AD375" s="501" t="str">
        <f>IF($D375="","",MIN(終値!E375:I375))</f>
        <v/>
      </c>
      <c r="AE375" s="503" t="str">
        <f t="shared" si="63"/>
        <v/>
      </c>
    </row>
    <row r="376" spans="1:31">
      <c r="A376" s="500" t="str">
        <f>IF(終値!A376="","",HYPERLINK("https://kabutan.jp/stock/?code="&amp;終値!A376,"📈"))</f>
        <v/>
      </c>
      <c r="B376" s="500" t="str">
        <f>IF(終値!A376="","",終値!A376)</f>
        <v/>
      </c>
      <c r="C376" s="499" t="str">
        <f>IF(終値!A376="","",終値!B376)</f>
        <v/>
      </c>
      <c r="D376" s="501" t="str">
        <f>IF(終値!A376="","",終値!E376)</f>
        <v/>
      </c>
      <c r="E376" s="501" t="str">
        <f>IF($D376="","",AVERAGE(終値!E376:X376))</f>
        <v/>
      </c>
      <c r="F376" s="502" t="str">
        <f>IF($D376="","",STDEVP(終値!E376:X376))</f>
        <v/>
      </c>
      <c r="G376" s="501" t="str">
        <f>IF($D376="","",$E376+BB設定!$B$4*$F376)</f>
        <v/>
      </c>
      <c r="H376" s="501" t="str">
        <f>IF($D376="","",$E376+BB設定!$B$5*$F376)</f>
        <v/>
      </c>
      <c r="I376" s="501" t="str">
        <f>IF($D376="","",$E376-BB設定!$B$5*$F376)</f>
        <v/>
      </c>
      <c r="J376" s="501" t="str">
        <f>IF($D376="","",$E376-BB設定!$B$4*$F376)</f>
        <v/>
      </c>
      <c r="K376" s="506" t="str">
        <f t="shared" si="55"/>
        <v/>
      </c>
      <c r="L376" s="505" t="str">
        <f t="shared" si="56"/>
        <v/>
      </c>
      <c r="M376" s="505" t="str">
        <f>IF($D376="","",IFERROR(MIN(BB_帯幅!B376:AP376)*100,""))</f>
        <v/>
      </c>
      <c r="N376" s="500" t="str">
        <f>IF($L376="","",IF($L376&lt;=$M376*BB設定!$B$7,"スクイーズ★",IF($L376&lt;=$M376*1.3,"収縮","－")))</f>
        <v/>
      </c>
      <c r="O376" s="500" t="str">
        <f>IF($D376="","",IF(AND(BB_帯幅!B376&gt;BB_帯幅!C376,BB_帯幅!C376&gt;BB_帯幅!D376),"拡大↑","縮小↓"))</f>
        <v/>
      </c>
      <c r="P376" s="500" t="str">
        <f t="shared" si="57"/>
        <v/>
      </c>
      <c r="Q376" s="503" t="str">
        <f>IF($D376="","",IFERROR(100-100/(1+SUMPRODUCT((終値!E376:R376&gt;終値!F376:S376)*(終値!E376:R376-終値!F376:S376))/SUMPRODUCT((終値!E376:R376&lt;終値!F376:S376)*(終値!F376:S376-終値!E376:R376))),100))</f>
        <v/>
      </c>
      <c r="R376" s="503"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0"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0" t="str">
        <f t="shared" si="58"/>
        <v/>
      </c>
      <c r="U376" s="500" t="str">
        <f>IF(終値!A376="","",BB_スイング!BT376)</f>
        <v/>
      </c>
      <c r="V376" s="508" t="str">
        <f>IF($D376="","",IFERROR(出来高!E376/AVERAGE(出来高!E376:I376),""))</f>
        <v/>
      </c>
      <c r="W376" s="509"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4" t="str">
        <f t="shared" si="64"/>
        <v/>
      </c>
      <c r="Y376" s="501" t="str">
        <f t="shared" si="59"/>
        <v/>
      </c>
      <c r="Z376" s="501" t="str">
        <f t="shared" si="60"/>
        <v/>
      </c>
      <c r="AA376" s="501" t="str">
        <f t="shared" si="61"/>
        <v/>
      </c>
      <c r="AB376" s="501" t="str">
        <f t="shared" si="65"/>
        <v/>
      </c>
      <c r="AC376" s="507" t="str">
        <f t="shared" si="62"/>
        <v/>
      </c>
      <c r="AD376" s="501" t="str">
        <f>IF($D376="","",MIN(終値!E376:I376))</f>
        <v/>
      </c>
      <c r="AE376" s="503" t="str">
        <f t="shared" si="63"/>
        <v/>
      </c>
    </row>
    <row r="377" spans="1:31">
      <c r="A377" s="500" t="str">
        <f>IF(終値!A377="","",HYPERLINK("https://kabutan.jp/stock/?code="&amp;終値!A377,"📈"))</f>
        <v/>
      </c>
      <c r="B377" s="500" t="str">
        <f>IF(終値!A377="","",終値!A377)</f>
        <v/>
      </c>
      <c r="C377" s="499" t="str">
        <f>IF(終値!A377="","",終値!B377)</f>
        <v/>
      </c>
      <c r="D377" s="501" t="str">
        <f>IF(終値!A377="","",終値!E377)</f>
        <v/>
      </c>
      <c r="E377" s="501" t="str">
        <f>IF($D377="","",AVERAGE(終値!E377:X377))</f>
        <v/>
      </c>
      <c r="F377" s="502" t="str">
        <f>IF($D377="","",STDEVP(終値!E377:X377))</f>
        <v/>
      </c>
      <c r="G377" s="501" t="str">
        <f>IF($D377="","",$E377+BB設定!$B$4*$F377)</f>
        <v/>
      </c>
      <c r="H377" s="501" t="str">
        <f>IF($D377="","",$E377+BB設定!$B$5*$F377)</f>
        <v/>
      </c>
      <c r="I377" s="501" t="str">
        <f>IF($D377="","",$E377-BB設定!$B$5*$F377)</f>
        <v/>
      </c>
      <c r="J377" s="501" t="str">
        <f>IF($D377="","",$E377-BB設定!$B$4*$F377)</f>
        <v/>
      </c>
      <c r="K377" s="506" t="str">
        <f t="shared" si="55"/>
        <v/>
      </c>
      <c r="L377" s="505" t="str">
        <f t="shared" si="56"/>
        <v/>
      </c>
      <c r="M377" s="505" t="str">
        <f>IF($D377="","",IFERROR(MIN(BB_帯幅!B377:AP377)*100,""))</f>
        <v/>
      </c>
      <c r="N377" s="500" t="str">
        <f>IF($L377="","",IF($L377&lt;=$M377*BB設定!$B$7,"スクイーズ★",IF($L377&lt;=$M377*1.3,"収縮","－")))</f>
        <v/>
      </c>
      <c r="O377" s="500" t="str">
        <f>IF($D377="","",IF(AND(BB_帯幅!B377&gt;BB_帯幅!C377,BB_帯幅!C377&gt;BB_帯幅!D377),"拡大↑","縮小↓"))</f>
        <v/>
      </c>
      <c r="P377" s="500" t="str">
        <f t="shared" si="57"/>
        <v/>
      </c>
      <c r="Q377" s="503" t="str">
        <f>IF($D377="","",IFERROR(100-100/(1+SUMPRODUCT((終値!E377:R377&gt;終値!F377:S377)*(終値!E377:R377-終値!F377:S377))/SUMPRODUCT((終値!E377:R377&lt;終値!F377:S377)*(終値!F377:S377-終値!E377:R377))),100))</f>
        <v/>
      </c>
      <c r="R377" s="503"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0"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0" t="str">
        <f t="shared" si="58"/>
        <v/>
      </c>
      <c r="U377" s="500" t="str">
        <f>IF(終値!A377="","",BB_スイング!BT377)</f>
        <v/>
      </c>
      <c r="V377" s="508" t="str">
        <f>IF($D377="","",IFERROR(出来高!E377/AVERAGE(出来高!E377:I377),""))</f>
        <v/>
      </c>
      <c r="W377" s="509"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4" t="str">
        <f t="shared" si="64"/>
        <v/>
      </c>
      <c r="Y377" s="501" t="str">
        <f t="shared" si="59"/>
        <v/>
      </c>
      <c r="Z377" s="501" t="str">
        <f t="shared" si="60"/>
        <v/>
      </c>
      <c r="AA377" s="501" t="str">
        <f t="shared" si="61"/>
        <v/>
      </c>
      <c r="AB377" s="501" t="str">
        <f t="shared" si="65"/>
        <v/>
      </c>
      <c r="AC377" s="507" t="str">
        <f t="shared" si="62"/>
        <v/>
      </c>
      <c r="AD377" s="501" t="str">
        <f>IF($D377="","",MIN(終値!E377:I377))</f>
        <v/>
      </c>
      <c r="AE377" s="503" t="str">
        <f t="shared" si="63"/>
        <v/>
      </c>
    </row>
    <row r="378" spans="1:31">
      <c r="A378" s="500" t="str">
        <f>IF(終値!A378="","",HYPERLINK("https://kabutan.jp/stock/?code="&amp;終値!A378,"📈"))</f>
        <v/>
      </c>
      <c r="B378" s="500" t="str">
        <f>IF(終値!A378="","",終値!A378)</f>
        <v/>
      </c>
      <c r="C378" s="499" t="str">
        <f>IF(終値!A378="","",終値!B378)</f>
        <v/>
      </c>
      <c r="D378" s="501" t="str">
        <f>IF(終値!A378="","",終値!E378)</f>
        <v/>
      </c>
      <c r="E378" s="501" t="str">
        <f>IF($D378="","",AVERAGE(終値!E378:X378))</f>
        <v/>
      </c>
      <c r="F378" s="502" t="str">
        <f>IF($D378="","",STDEVP(終値!E378:X378))</f>
        <v/>
      </c>
      <c r="G378" s="501" t="str">
        <f>IF($D378="","",$E378+BB設定!$B$4*$F378)</f>
        <v/>
      </c>
      <c r="H378" s="501" t="str">
        <f>IF($D378="","",$E378+BB設定!$B$5*$F378)</f>
        <v/>
      </c>
      <c r="I378" s="501" t="str">
        <f>IF($D378="","",$E378-BB設定!$B$5*$F378)</f>
        <v/>
      </c>
      <c r="J378" s="501" t="str">
        <f>IF($D378="","",$E378-BB設定!$B$4*$F378)</f>
        <v/>
      </c>
      <c r="K378" s="506" t="str">
        <f t="shared" si="55"/>
        <v/>
      </c>
      <c r="L378" s="505" t="str">
        <f t="shared" si="56"/>
        <v/>
      </c>
      <c r="M378" s="505" t="str">
        <f>IF($D378="","",IFERROR(MIN(BB_帯幅!B378:AP378)*100,""))</f>
        <v/>
      </c>
      <c r="N378" s="500" t="str">
        <f>IF($L378="","",IF($L378&lt;=$M378*BB設定!$B$7,"スクイーズ★",IF($L378&lt;=$M378*1.3,"収縮","－")))</f>
        <v/>
      </c>
      <c r="O378" s="500" t="str">
        <f>IF($D378="","",IF(AND(BB_帯幅!B378&gt;BB_帯幅!C378,BB_帯幅!C378&gt;BB_帯幅!D378),"拡大↑","縮小↓"))</f>
        <v/>
      </c>
      <c r="P378" s="500" t="str">
        <f t="shared" si="57"/>
        <v/>
      </c>
      <c r="Q378" s="503" t="str">
        <f>IF($D378="","",IFERROR(100-100/(1+SUMPRODUCT((終値!E378:R378&gt;終値!F378:S378)*(終値!E378:R378-終値!F378:S378))/SUMPRODUCT((終値!E378:R378&lt;終値!F378:S378)*(終値!F378:S378-終値!E378:R378))),100))</f>
        <v/>
      </c>
      <c r="R378" s="503"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0"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0" t="str">
        <f t="shared" si="58"/>
        <v/>
      </c>
      <c r="U378" s="500" t="str">
        <f>IF(終値!A378="","",BB_スイング!BT378)</f>
        <v/>
      </c>
      <c r="V378" s="508" t="str">
        <f>IF($D378="","",IFERROR(出来高!E378/AVERAGE(出来高!E378:I378),""))</f>
        <v/>
      </c>
      <c r="W378" s="509"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4" t="str">
        <f t="shared" si="64"/>
        <v/>
      </c>
      <c r="Y378" s="501" t="str">
        <f t="shared" si="59"/>
        <v/>
      </c>
      <c r="Z378" s="501" t="str">
        <f t="shared" si="60"/>
        <v/>
      </c>
      <c r="AA378" s="501" t="str">
        <f t="shared" si="61"/>
        <v/>
      </c>
      <c r="AB378" s="501" t="str">
        <f t="shared" si="65"/>
        <v/>
      </c>
      <c r="AC378" s="507" t="str">
        <f t="shared" si="62"/>
        <v/>
      </c>
      <c r="AD378" s="501" t="str">
        <f>IF($D378="","",MIN(終値!E378:I378))</f>
        <v/>
      </c>
      <c r="AE378" s="503" t="str">
        <f t="shared" si="63"/>
        <v/>
      </c>
    </row>
    <row r="379" spans="1:31">
      <c r="A379" s="500" t="str">
        <f>IF(終値!A379="","",HYPERLINK("https://kabutan.jp/stock/?code="&amp;終値!A379,"📈"))</f>
        <v/>
      </c>
      <c r="B379" s="500" t="str">
        <f>IF(終値!A379="","",終値!A379)</f>
        <v/>
      </c>
      <c r="C379" s="499" t="str">
        <f>IF(終値!A379="","",終値!B379)</f>
        <v/>
      </c>
      <c r="D379" s="501" t="str">
        <f>IF(終値!A379="","",終値!E379)</f>
        <v/>
      </c>
      <c r="E379" s="501" t="str">
        <f>IF($D379="","",AVERAGE(終値!E379:X379))</f>
        <v/>
      </c>
      <c r="F379" s="502" t="str">
        <f>IF($D379="","",STDEVP(終値!E379:X379))</f>
        <v/>
      </c>
      <c r="G379" s="501" t="str">
        <f>IF($D379="","",$E379+BB設定!$B$4*$F379)</f>
        <v/>
      </c>
      <c r="H379" s="501" t="str">
        <f>IF($D379="","",$E379+BB設定!$B$5*$F379)</f>
        <v/>
      </c>
      <c r="I379" s="501" t="str">
        <f>IF($D379="","",$E379-BB設定!$B$5*$F379)</f>
        <v/>
      </c>
      <c r="J379" s="501" t="str">
        <f>IF($D379="","",$E379-BB設定!$B$4*$F379)</f>
        <v/>
      </c>
      <c r="K379" s="506" t="str">
        <f t="shared" si="55"/>
        <v/>
      </c>
      <c r="L379" s="505" t="str">
        <f t="shared" si="56"/>
        <v/>
      </c>
      <c r="M379" s="505" t="str">
        <f>IF($D379="","",IFERROR(MIN(BB_帯幅!B379:AP379)*100,""))</f>
        <v/>
      </c>
      <c r="N379" s="500" t="str">
        <f>IF($L379="","",IF($L379&lt;=$M379*BB設定!$B$7,"スクイーズ★",IF($L379&lt;=$M379*1.3,"収縮","－")))</f>
        <v/>
      </c>
      <c r="O379" s="500" t="str">
        <f>IF($D379="","",IF(AND(BB_帯幅!B379&gt;BB_帯幅!C379,BB_帯幅!C379&gt;BB_帯幅!D379),"拡大↑","縮小↓"))</f>
        <v/>
      </c>
      <c r="P379" s="500" t="str">
        <f t="shared" si="57"/>
        <v/>
      </c>
      <c r="Q379" s="503" t="str">
        <f>IF($D379="","",IFERROR(100-100/(1+SUMPRODUCT((終値!E379:R379&gt;終値!F379:S379)*(終値!E379:R379-終値!F379:S379))/SUMPRODUCT((終値!E379:R379&lt;終値!F379:S379)*(終値!F379:S379-終値!E379:R379))),100))</f>
        <v/>
      </c>
      <c r="R379" s="503"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0"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0" t="str">
        <f t="shared" si="58"/>
        <v/>
      </c>
      <c r="U379" s="500" t="str">
        <f>IF(終値!A379="","",BB_スイング!BT379)</f>
        <v/>
      </c>
      <c r="V379" s="508" t="str">
        <f>IF($D379="","",IFERROR(出来高!E379/AVERAGE(出来高!E379:I379),""))</f>
        <v/>
      </c>
      <c r="W379" s="509"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4" t="str">
        <f t="shared" si="64"/>
        <v/>
      </c>
      <c r="Y379" s="501" t="str">
        <f t="shared" si="59"/>
        <v/>
      </c>
      <c r="Z379" s="501" t="str">
        <f t="shared" si="60"/>
        <v/>
      </c>
      <c r="AA379" s="501" t="str">
        <f t="shared" si="61"/>
        <v/>
      </c>
      <c r="AB379" s="501" t="str">
        <f t="shared" si="65"/>
        <v/>
      </c>
      <c r="AC379" s="507" t="str">
        <f t="shared" si="62"/>
        <v/>
      </c>
      <c r="AD379" s="501" t="str">
        <f>IF($D379="","",MIN(終値!E379:I379))</f>
        <v/>
      </c>
      <c r="AE379" s="503" t="str">
        <f t="shared" si="63"/>
        <v/>
      </c>
    </row>
    <row r="380" spans="1:31">
      <c r="A380" s="500" t="str">
        <f>IF(終値!A380="","",HYPERLINK("https://kabutan.jp/stock/?code="&amp;終値!A380,"📈"))</f>
        <v/>
      </c>
      <c r="B380" s="500" t="str">
        <f>IF(終値!A380="","",終値!A380)</f>
        <v/>
      </c>
      <c r="C380" s="499" t="str">
        <f>IF(終値!A380="","",終値!B380)</f>
        <v/>
      </c>
      <c r="D380" s="501" t="str">
        <f>IF(終値!A380="","",終値!E380)</f>
        <v/>
      </c>
      <c r="E380" s="501" t="str">
        <f>IF($D380="","",AVERAGE(終値!E380:X380))</f>
        <v/>
      </c>
      <c r="F380" s="502" t="str">
        <f>IF($D380="","",STDEVP(終値!E380:X380))</f>
        <v/>
      </c>
      <c r="G380" s="501" t="str">
        <f>IF($D380="","",$E380+BB設定!$B$4*$F380)</f>
        <v/>
      </c>
      <c r="H380" s="501" t="str">
        <f>IF($D380="","",$E380+BB設定!$B$5*$F380)</f>
        <v/>
      </c>
      <c r="I380" s="501" t="str">
        <f>IF($D380="","",$E380-BB設定!$B$5*$F380)</f>
        <v/>
      </c>
      <c r="J380" s="501" t="str">
        <f>IF($D380="","",$E380-BB設定!$B$4*$F380)</f>
        <v/>
      </c>
      <c r="K380" s="506" t="str">
        <f t="shared" si="55"/>
        <v/>
      </c>
      <c r="L380" s="505" t="str">
        <f t="shared" si="56"/>
        <v/>
      </c>
      <c r="M380" s="505" t="str">
        <f>IF($D380="","",IFERROR(MIN(BB_帯幅!B380:AP380)*100,""))</f>
        <v/>
      </c>
      <c r="N380" s="500" t="str">
        <f>IF($L380="","",IF($L380&lt;=$M380*BB設定!$B$7,"スクイーズ★",IF($L380&lt;=$M380*1.3,"収縮","－")))</f>
        <v/>
      </c>
      <c r="O380" s="500" t="str">
        <f>IF($D380="","",IF(AND(BB_帯幅!B380&gt;BB_帯幅!C380,BB_帯幅!C380&gt;BB_帯幅!D380),"拡大↑","縮小↓"))</f>
        <v/>
      </c>
      <c r="P380" s="500" t="str">
        <f t="shared" si="57"/>
        <v/>
      </c>
      <c r="Q380" s="503" t="str">
        <f>IF($D380="","",IFERROR(100-100/(1+SUMPRODUCT((終値!E380:R380&gt;終値!F380:S380)*(終値!E380:R380-終値!F380:S380))/SUMPRODUCT((終値!E380:R380&lt;終値!F380:S380)*(終値!F380:S380-終値!E380:R380))),100))</f>
        <v/>
      </c>
      <c r="R380" s="503"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0"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0" t="str">
        <f t="shared" si="58"/>
        <v/>
      </c>
      <c r="U380" s="500" t="str">
        <f>IF(終値!A380="","",BB_スイング!BT380)</f>
        <v/>
      </c>
      <c r="V380" s="508" t="str">
        <f>IF($D380="","",IFERROR(出来高!E380/AVERAGE(出来高!E380:I380),""))</f>
        <v/>
      </c>
      <c r="W380" s="509"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4" t="str">
        <f t="shared" si="64"/>
        <v/>
      </c>
      <c r="Y380" s="501" t="str">
        <f t="shared" si="59"/>
        <v/>
      </c>
      <c r="Z380" s="501" t="str">
        <f t="shared" si="60"/>
        <v/>
      </c>
      <c r="AA380" s="501" t="str">
        <f t="shared" si="61"/>
        <v/>
      </c>
      <c r="AB380" s="501" t="str">
        <f t="shared" si="65"/>
        <v/>
      </c>
      <c r="AC380" s="507" t="str">
        <f t="shared" si="62"/>
        <v/>
      </c>
      <c r="AD380" s="501" t="str">
        <f>IF($D380="","",MIN(終値!E380:I380))</f>
        <v/>
      </c>
      <c r="AE380" s="503" t="str">
        <f t="shared" si="63"/>
        <v/>
      </c>
    </row>
    <row r="381" spans="1:31">
      <c r="A381" s="500" t="str">
        <f>IF(終値!A381="","",HYPERLINK("https://kabutan.jp/stock/?code="&amp;終値!A381,"📈"))</f>
        <v/>
      </c>
      <c r="B381" s="500" t="str">
        <f>IF(終値!A381="","",終値!A381)</f>
        <v/>
      </c>
      <c r="C381" s="499" t="str">
        <f>IF(終値!A381="","",終値!B381)</f>
        <v/>
      </c>
      <c r="D381" s="501" t="str">
        <f>IF(終値!A381="","",終値!E381)</f>
        <v/>
      </c>
      <c r="E381" s="501" t="str">
        <f>IF($D381="","",AVERAGE(終値!E381:X381))</f>
        <v/>
      </c>
      <c r="F381" s="502" t="str">
        <f>IF($D381="","",STDEVP(終値!E381:X381))</f>
        <v/>
      </c>
      <c r="G381" s="501" t="str">
        <f>IF($D381="","",$E381+BB設定!$B$4*$F381)</f>
        <v/>
      </c>
      <c r="H381" s="501" t="str">
        <f>IF($D381="","",$E381+BB設定!$B$5*$F381)</f>
        <v/>
      </c>
      <c r="I381" s="501" t="str">
        <f>IF($D381="","",$E381-BB設定!$B$5*$F381)</f>
        <v/>
      </c>
      <c r="J381" s="501" t="str">
        <f>IF($D381="","",$E381-BB設定!$B$4*$F381)</f>
        <v/>
      </c>
      <c r="K381" s="506" t="str">
        <f t="shared" si="55"/>
        <v/>
      </c>
      <c r="L381" s="505" t="str">
        <f t="shared" si="56"/>
        <v/>
      </c>
      <c r="M381" s="505" t="str">
        <f>IF($D381="","",IFERROR(MIN(BB_帯幅!B381:AP381)*100,""))</f>
        <v/>
      </c>
      <c r="N381" s="500" t="str">
        <f>IF($L381="","",IF($L381&lt;=$M381*BB設定!$B$7,"スクイーズ★",IF($L381&lt;=$M381*1.3,"収縮","－")))</f>
        <v/>
      </c>
      <c r="O381" s="500" t="str">
        <f>IF($D381="","",IF(AND(BB_帯幅!B381&gt;BB_帯幅!C381,BB_帯幅!C381&gt;BB_帯幅!D381),"拡大↑","縮小↓"))</f>
        <v/>
      </c>
      <c r="P381" s="500" t="str">
        <f t="shared" si="57"/>
        <v/>
      </c>
      <c r="Q381" s="503" t="str">
        <f>IF($D381="","",IFERROR(100-100/(1+SUMPRODUCT((終値!E381:R381&gt;終値!F381:S381)*(終値!E381:R381-終値!F381:S381))/SUMPRODUCT((終値!E381:R381&lt;終値!F381:S381)*(終値!F381:S381-終値!E381:R381))),100))</f>
        <v/>
      </c>
      <c r="R381" s="503"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0"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0" t="str">
        <f t="shared" si="58"/>
        <v/>
      </c>
      <c r="U381" s="500" t="str">
        <f>IF(終値!A381="","",BB_スイング!BT381)</f>
        <v/>
      </c>
      <c r="V381" s="508" t="str">
        <f>IF($D381="","",IFERROR(出来高!E381/AVERAGE(出来高!E381:I381),""))</f>
        <v/>
      </c>
      <c r="W381" s="509"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4" t="str">
        <f t="shared" si="64"/>
        <v/>
      </c>
      <c r="Y381" s="501" t="str">
        <f t="shared" si="59"/>
        <v/>
      </c>
      <c r="Z381" s="501" t="str">
        <f t="shared" si="60"/>
        <v/>
      </c>
      <c r="AA381" s="501" t="str">
        <f t="shared" si="61"/>
        <v/>
      </c>
      <c r="AB381" s="501" t="str">
        <f t="shared" si="65"/>
        <v/>
      </c>
      <c r="AC381" s="507" t="str">
        <f t="shared" si="62"/>
        <v/>
      </c>
      <c r="AD381" s="501" t="str">
        <f>IF($D381="","",MIN(終値!E381:I381))</f>
        <v/>
      </c>
      <c r="AE381" s="503" t="str">
        <f t="shared" si="63"/>
        <v/>
      </c>
    </row>
    <row r="382" spans="1:31">
      <c r="A382" s="500" t="str">
        <f>IF(終値!A382="","",HYPERLINK("https://kabutan.jp/stock/?code="&amp;終値!A382,"📈"))</f>
        <v/>
      </c>
      <c r="B382" s="500" t="str">
        <f>IF(終値!A382="","",終値!A382)</f>
        <v/>
      </c>
      <c r="C382" s="499" t="str">
        <f>IF(終値!A382="","",終値!B382)</f>
        <v/>
      </c>
      <c r="D382" s="501" t="str">
        <f>IF(終値!A382="","",終値!E382)</f>
        <v/>
      </c>
      <c r="E382" s="501" t="str">
        <f>IF($D382="","",AVERAGE(終値!E382:X382))</f>
        <v/>
      </c>
      <c r="F382" s="502" t="str">
        <f>IF($D382="","",STDEVP(終値!E382:X382))</f>
        <v/>
      </c>
      <c r="G382" s="501" t="str">
        <f>IF($D382="","",$E382+BB設定!$B$4*$F382)</f>
        <v/>
      </c>
      <c r="H382" s="501" t="str">
        <f>IF($D382="","",$E382+BB設定!$B$5*$F382)</f>
        <v/>
      </c>
      <c r="I382" s="501" t="str">
        <f>IF($D382="","",$E382-BB設定!$B$5*$F382)</f>
        <v/>
      </c>
      <c r="J382" s="501" t="str">
        <f>IF($D382="","",$E382-BB設定!$B$4*$F382)</f>
        <v/>
      </c>
      <c r="K382" s="506" t="str">
        <f t="shared" si="55"/>
        <v/>
      </c>
      <c r="L382" s="505" t="str">
        <f t="shared" si="56"/>
        <v/>
      </c>
      <c r="M382" s="505" t="str">
        <f>IF($D382="","",IFERROR(MIN(BB_帯幅!B382:AP382)*100,""))</f>
        <v/>
      </c>
      <c r="N382" s="500" t="str">
        <f>IF($L382="","",IF($L382&lt;=$M382*BB設定!$B$7,"スクイーズ★",IF($L382&lt;=$M382*1.3,"収縮","－")))</f>
        <v/>
      </c>
      <c r="O382" s="500" t="str">
        <f>IF($D382="","",IF(AND(BB_帯幅!B382&gt;BB_帯幅!C382,BB_帯幅!C382&gt;BB_帯幅!D382),"拡大↑","縮小↓"))</f>
        <v/>
      </c>
      <c r="P382" s="500" t="str">
        <f t="shared" si="57"/>
        <v/>
      </c>
      <c r="Q382" s="503" t="str">
        <f>IF($D382="","",IFERROR(100-100/(1+SUMPRODUCT((終値!E382:R382&gt;終値!F382:S382)*(終値!E382:R382-終値!F382:S382))/SUMPRODUCT((終値!E382:R382&lt;終値!F382:S382)*(終値!F382:S382-終値!E382:R382))),100))</f>
        <v/>
      </c>
      <c r="R382" s="503"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0"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0" t="str">
        <f t="shared" si="58"/>
        <v/>
      </c>
      <c r="U382" s="500" t="str">
        <f>IF(終値!A382="","",BB_スイング!BT382)</f>
        <v/>
      </c>
      <c r="V382" s="508" t="str">
        <f>IF($D382="","",IFERROR(出来高!E382/AVERAGE(出来高!E382:I382),""))</f>
        <v/>
      </c>
      <c r="W382" s="509"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4" t="str">
        <f t="shared" si="64"/>
        <v/>
      </c>
      <c r="Y382" s="501" t="str">
        <f t="shared" si="59"/>
        <v/>
      </c>
      <c r="Z382" s="501" t="str">
        <f t="shared" si="60"/>
        <v/>
      </c>
      <c r="AA382" s="501" t="str">
        <f t="shared" si="61"/>
        <v/>
      </c>
      <c r="AB382" s="501" t="str">
        <f t="shared" si="65"/>
        <v/>
      </c>
      <c r="AC382" s="507" t="str">
        <f t="shared" si="62"/>
        <v/>
      </c>
      <c r="AD382" s="501" t="str">
        <f>IF($D382="","",MIN(終値!E382:I382))</f>
        <v/>
      </c>
      <c r="AE382" s="503" t="str">
        <f t="shared" si="63"/>
        <v/>
      </c>
    </row>
    <row r="383" spans="1:31">
      <c r="A383" s="500" t="str">
        <f>IF(終値!A383="","",HYPERLINK("https://kabutan.jp/stock/?code="&amp;終値!A383,"📈"))</f>
        <v/>
      </c>
      <c r="B383" s="500" t="str">
        <f>IF(終値!A383="","",終値!A383)</f>
        <v/>
      </c>
      <c r="C383" s="499" t="str">
        <f>IF(終値!A383="","",終値!B383)</f>
        <v/>
      </c>
      <c r="D383" s="501" t="str">
        <f>IF(終値!A383="","",終値!E383)</f>
        <v/>
      </c>
      <c r="E383" s="501" t="str">
        <f>IF($D383="","",AVERAGE(終値!E383:X383))</f>
        <v/>
      </c>
      <c r="F383" s="502" t="str">
        <f>IF($D383="","",STDEVP(終値!E383:X383))</f>
        <v/>
      </c>
      <c r="G383" s="501" t="str">
        <f>IF($D383="","",$E383+BB設定!$B$4*$F383)</f>
        <v/>
      </c>
      <c r="H383" s="501" t="str">
        <f>IF($D383="","",$E383+BB設定!$B$5*$F383)</f>
        <v/>
      </c>
      <c r="I383" s="501" t="str">
        <f>IF($D383="","",$E383-BB設定!$B$5*$F383)</f>
        <v/>
      </c>
      <c r="J383" s="501" t="str">
        <f>IF($D383="","",$E383-BB設定!$B$4*$F383)</f>
        <v/>
      </c>
      <c r="K383" s="506" t="str">
        <f t="shared" si="55"/>
        <v/>
      </c>
      <c r="L383" s="505" t="str">
        <f t="shared" si="56"/>
        <v/>
      </c>
      <c r="M383" s="505" t="str">
        <f>IF($D383="","",IFERROR(MIN(BB_帯幅!B383:AP383)*100,""))</f>
        <v/>
      </c>
      <c r="N383" s="500" t="str">
        <f>IF($L383="","",IF($L383&lt;=$M383*BB設定!$B$7,"スクイーズ★",IF($L383&lt;=$M383*1.3,"収縮","－")))</f>
        <v/>
      </c>
      <c r="O383" s="500" t="str">
        <f>IF($D383="","",IF(AND(BB_帯幅!B383&gt;BB_帯幅!C383,BB_帯幅!C383&gt;BB_帯幅!D383),"拡大↑","縮小↓"))</f>
        <v/>
      </c>
      <c r="P383" s="500" t="str">
        <f t="shared" si="57"/>
        <v/>
      </c>
      <c r="Q383" s="503" t="str">
        <f>IF($D383="","",IFERROR(100-100/(1+SUMPRODUCT((終値!E383:R383&gt;終値!F383:S383)*(終値!E383:R383-終値!F383:S383))/SUMPRODUCT((終値!E383:R383&lt;終値!F383:S383)*(終値!F383:S383-終値!E383:R383))),100))</f>
        <v/>
      </c>
      <c r="R383" s="503"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0"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0" t="str">
        <f t="shared" si="58"/>
        <v/>
      </c>
      <c r="U383" s="500" t="str">
        <f>IF(終値!A383="","",BB_スイング!BT383)</f>
        <v/>
      </c>
      <c r="V383" s="508" t="str">
        <f>IF($D383="","",IFERROR(出来高!E383/AVERAGE(出来高!E383:I383),""))</f>
        <v/>
      </c>
      <c r="W383" s="509"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4" t="str">
        <f t="shared" si="64"/>
        <v/>
      </c>
      <c r="Y383" s="501" t="str">
        <f t="shared" si="59"/>
        <v/>
      </c>
      <c r="Z383" s="501" t="str">
        <f t="shared" si="60"/>
        <v/>
      </c>
      <c r="AA383" s="501" t="str">
        <f t="shared" si="61"/>
        <v/>
      </c>
      <c r="AB383" s="501" t="str">
        <f t="shared" si="65"/>
        <v/>
      </c>
      <c r="AC383" s="507" t="str">
        <f t="shared" si="62"/>
        <v/>
      </c>
      <c r="AD383" s="501" t="str">
        <f>IF($D383="","",MIN(終値!E383:I383))</f>
        <v/>
      </c>
      <c r="AE383" s="503" t="str">
        <f t="shared" si="63"/>
        <v/>
      </c>
    </row>
    <row r="384" spans="1:31">
      <c r="A384" s="500" t="str">
        <f>IF(終値!A384="","",HYPERLINK("https://kabutan.jp/stock/?code="&amp;終値!A384,"📈"))</f>
        <v/>
      </c>
      <c r="B384" s="500" t="str">
        <f>IF(終値!A384="","",終値!A384)</f>
        <v/>
      </c>
      <c r="C384" s="499" t="str">
        <f>IF(終値!A384="","",終値!B384)</f>
        <v/>
      </c>
      <c r="D384" s="501" t="str">
        <f>IF(終値!A384="","",終値!E384)</f>
        <v/>
      </c>
      <c r="E384" s="501" t="str">
        <f>IF($D384="","",AVERAGE(終値!E384:X384))</f>
        <v/>
      </c>
      <c r="F384" s="502" t="str">
        <f>IF($D384="","",STDEVP(終値!E384:X384))</f>
        <v/>
      </c>
      <c r="G384" s="501" t="str">
        <f>IF($D384="","",$E384+BB設定!$B$4*$F384)</f>
        <v/>
      </c>
      <c r="H384" s="501" t="str">
        <f>IF($D384="","",$E384+BB設定!$B$5*$F384)</f>
        <v/>
      </c>
      <c r="I384" s="501" t="str">
        <f>IF($D384="","",$E384-BB設定!$B$5*$F384)</f>
        <v/>
      </c>
      <c r="J384" s="501" t="str">
        <f>IF($D384="","",$E384-BB設定!$B$4*$F384)</f>
        <v/>
      </c>
      <c r="K384" s="506" t="str">
        <f t="shared" si="55"/>
        <v/>
      </c>
      <c r="L384" s="505" t="str">
        <f t="shared" si="56"/>
        <v/>
      </c>
      <c r="M384" s="505" t="str">
        <f>IF($D384="","",IFERROR(MIN(BB_帯幅!B384:AP384)*100,""))</f>
        <v/>
      </c>
      <c r="N384" s="500" t="str">
        <f>IF($L384="","",IF($L384&lt;=$M384*BB設定!$B$7,"スクイーズ★",IF($L384&lt;=$M384*1.3,"収縮","－")))</f>
        <v/>
      </c>
      <c r="O384" s="500" t="str">
        <f>IF($D384="","",IF(AND(BB_帯幅!B384&gt;BB_帯幅!C384,BB_帯幅!C384&gt;BB_帯幅!D384),"拡大↑","縮小↓"))</f>
        <v/>
      </c>
      <c r="P384" s="500" t="str">
        <f t="shared" si="57"/>
        <v/>
      </c>
      <c r="Q384" s="503" t="str">
        <f>IF($D384="","",IFERROR(100-100/(1+SUMPRODUCT((終値!E384:R384&gt;終値!F384:S384)*(終値!E384:R384-終値!F384:S384))/SUMPRODUCT((終値!E384:R384&lt;終値!F384:S384)*(終値!F384:S384-終値!E384:R384))),100))</f>
        <v/>
      </c>
      <c r="R384" s="503"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0"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0" t="str">
        <f t="shared" si="58"/>
        <v/>
      </c>
      <c r="U384" s="500" t="str">
        <f>IF(終値!A384="","",BB_スイング!BT384)</f>
        <v/>
      </c>
      <c r="V384" s="508" t="str">
        <f>IF($D384="","",IFERROR(出来高!E384/AVERAGE(出来高!E384:I384),""))</f>
        <v/>
      </c>
      <c r="W384" s="509"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4" t="str">
        <f t="shared" si="64"/>
        <v/>
      </c>
      <c r="Y384" s="501" t="str">
        <f t="shared" si="59"/>
        <v/>
      </c>
      <c r="Z384" s="501" t="str">
        <f t="shared" si="60"/>
        <v/>
      </c>
      <c r="AA384" s="501" t="str">
        <f t="shared" si="61"/>
        <v/>
      </c>
      <c r="AB384" s="501" t="str">
        <f t="shared" si="65"/>
        <v/>
      </c>
      <c r="AC384" s="507" t="str">
        <f t="shared" si="62"/>
        <v/>
      </c>
      <c r="AD384" s="501" t="str">
        <f>IF($D384="","",MIN(終値!E384:I384))</f>
        <v/>
      </c>
      <c r="AE384" s="503" t="str">
        <f t="shared" si="63"/>
        <v/>
      </c>
    </row>
    <row r="385" spans="1:31">
      <c r="A385" s="500" t="str">
        <f>IF(終値!A385="","",HYPERLINK("https://kabutan.jp/stock/?code="&amp;終値!A385,"📈"))</f>
        <v/>
      </c>
      <c r="B385" s="500" t="str">
        <f>IF(終値!A385="","",終値!A385)</f>
        <v/>
      </c>
      <c r="C385" s="499" t="str">
        <f>IF(終値!A385="","",終値!B385)</f>
        <v/>
      </c>
      <c r="D385" s="501" t="str">
        <f>IF(終値!A385="","",終値!E385)</f>
        <v/>
      </c>
      <c r="E385" s="501" t="str">
        <f>IF($D385="","",AVERAGE(終値!E385:X385))</f>
        <v/>
      </c>
      <c r="F385" s="502" t="str">
        <f>IF($D385="","",STDEVP(終値!E385:X385))</f>
        <v/>
      </c>
      <c r="G385" s="501" t="str">
        <f>IF($D385="","",$E385+BB設定!$B$4*$F385)</f>
        <v/>
      </c>
      <c r="H385" s="501" t="str">
        <f>IF($D385="","",$E385+BB設定!$B$5*$F385)</f>
        <v/>
      </c>
      <c r="I385" s="501" t="str">
        <f>IF($D385="","",$E385-BB設定!$B$5*$F385)</f>
        <v/>
      </c>
      <c r="J385" s="501" t="str">
        <f>IF($D385="","",$E385-BB設定!$B$4*$F385)</f>
        <v/>
      </c>
      <c r="K385" s="506" t="str">
        <f t="shared" si="55"/>
        <v/>
      </c>
      <c r="L385" s="505" t="str">
        <f t="shared" si="56"/>
        <v/>
      </c>
      <c r="M385" s="505" t="str">
        <f>IF($D385="","",IFERROR(MIN(BB_帯幅!B385:AP385)*100,""))</f>
        <v/>
      </c>
      <c r="N385" s="500" t="str">
        <f>IF($L385="","",IF($L385&lt;=$M385*BB設定!$B$7,"スクイーズ★",IF($L385&lt;=$M385*1.3,"収縮","－")))</f>
        <v/>
      </c>
      <c r="O385" s="500" t="str">
        <f>IF($D385="","",IF(AND(BB_帯幅!B385&gt;BB_帯幅!C385,BB_帯幅!C385&gt;BB_帯幅!D385),"拡大↑","縮小↓"))</f>
        <v/>
      </c>
      <c r="P385" s="500" t="str">
        <f t="shared" si="57"/>
        <v/>
      </c>
      <c r="Q385" s="503" t="str">
        <f>IF($D385="","",IFERROR(100-100/(1+SUMPRODUCT((終値!E385:R385&gt;終値!F385:S385)*(終値!E385:R385-終値!F385:S385))/SUMPRODUCT((終値!E385:R385&lt;終値!F385:S385)*(終値!F385:S385-終値!E385:R385))),100))</f>
        <v/>
      </c>
      <c r="R385" s="503"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0"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0" t="str">
        <f t="shared" si="58"/>
        <v/>
      </c>
      <c r="U385" s="500" t="str">
        <f>IF(終値!A385="","",BB_スイング!BT385)</f>
        <v/>
      </c>
      <c r="V385" s="508" t="str">
        <f>IF($D385="","",IFERROR(出来高!E385/AVERAGE(出来高!E385:I385),""))</f>
        <v/>
      </c>
      <c r="W385" s="509"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4" t="str">
        <f t="shared" si="64"/>
        <v/>
      </c>
      <c r="Y385" s="501" t="str">
        <f t="shared" si="59"/>
        <v/>
      </c>
      <c r="Z385" s="501" t="str">
        <f t="shared" si="60"/>
        <v/>
      </c>
      <c r="AA385" s="501" t="str">
        <f t="shared" si="61"/>
        <v/>
      </c>
      <c r="AB385" s="501" t="str">
        <f t="shared" si="65"/>
        <v/>
      </c>
      <c r="AC385" s="507" t="str">
        <f t="shared" si="62"/>
        <v/>
      </c>
      <c r="AD385" s="501" t="str">
        <f>IF($D385="","",MIN(終値!E385:I385))</f>
        <v/>
      </c>
      <c r="AE385" s="503" t="str">
        <f t="shared" si="63"/>
        <v/>
      </c>
    </row>
    <row r="386" spans="1:31">
      <c r="A386" s="500" t="str">
        <f>IF(終値!A386="","",HYPERLINK("https://kabutan.jp/stock/?code="&amp;終値!A386,"📈"))</f>
        <v/>
      </c>
      <c r="B386" s="500" t="str">
        <f>IF(終値!A386="","",終値!A386)</f>
        <v/>
      </c>
      <c r="C386" s="499" t="str">
        <f>IF(終値!A386="","",終値!B386)</f>
        <v/>
      </c>
      <c r="D386" s="501" t="str">
        <f>IF(終値!A386="","",終値!E386)</f>
        <v/>
      </c>
      <c r="E386" s="501" t="str">
        <f>IF($D386="","",AVERAGE(終値!E386:X386))</f>
        <v/>
      </c>
      <c r="F386" s="502" t="str">
        <f>IF($D386="","",STDEVP(終値!E386:X386))</f>
        <v/>
      </c>
      <c r="G386" s="501" t="str">
        <f>IF($D386="","",$E386+BB設定!$B$4*$F386)</f>
        <v/>
      </c>
      <c r="H386" s="501" t="str">
        <f>IF($D386="","",$E386+BB設定!$B$5*$F386)</f>
        <v/>
      </c>
      <c r="I386" s="501" t="str">
        <f>IF($D386="","",$E386-BB設定!$B$5*$F386)</f>
        <v/>
      </c>
      <c r="J386" s="501" t="str">
        <f>IF($D386="","",$E386-BB設定!$B$4*$F386)</f>
        <v/>
      </c>
      <c r="K386" s="506" t="str">
        <f t="shared" si="55"/>
        <v/>
      </c>
      <c r="L386" s="505" t="str">
        <f t="shared" si="56"/>
        <v/>
      </c>
      <c r="M386" s="505" t="str">
        <f>IF($D386="","",IFERROR(MIN(BB_帯幅!B386:AP386)*100,""))</f>
        <v/>
      </c>
      <c r="N386" s="500" t="str">
        <f>IF($L386="","",IF($L386&lt;=$M386*BB設定!$B$7,"スクイーズ★",IF($L386&lt;=$M386*1.3,"収縮","－")))</f>
        <v/>
      </c>
      <c r="O386" s="500" t="str">
        <f>IF($D386="","",IF(AND(BB_帯幅!B386&gt;BB_帯幅!C386,BB_帯幅!C386&gt;BB_帯幅!D386),"拡大↑","縮小↓"))</f>
        <v/>
      </c>
      <c r="P386" s="500" t="str">
        <f t="shared" si="57"/>
        <v/>
      </c>
      <c r="Q386" s="503" t="str">
        <f>IF($D386="","",IFERROR(100-100/(1+SUMPRODUCT((終値!E386:R386&gt;終値!F386:S386)*(終値!E386:R386-終値!F386:S386))/SUMPRODUCT((終値!E386:R386&lt;終値!F386:S386)*(終値!F386:S386-終値!E386:R386))),100))</f>
        <v/>
      </c>
      <c r="R386" s="503"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0"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0" t="str">
        <f t="shared" si="58"/>
        <v/>
      </c>
      <c r="U386" s="500" t="str">
        <f>IF(終値!A386="","",BB_スイング!BT386)</f>
        <v/>
      </c>
      <c r="V386" s="508" t="str">
        <f>IF($D386="","",IFERROR(出来高!E386/AVERAGE(出来高!E386:I386),""))</f>
        <v/>
      </c>
      <c r="W386" s="509"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4" t="str">
        <f t="shared" si="64"/>
        <v/>
      </c>
      <c r="Y386" s="501" t="str">
        <f t="shared" si="59"/>
        <v/>
      </c>
      <c r="Z386" s="501" t="str">
        <f t="shared" si="60"/>
        <v/>
      </c>
      <c r="AA386" s="501" t="str">
        <f t="shared" si="61"/>
        <v/>
      </c>
      <c r="AB386" s="501" t="str">
        <f t="shared" si="65"/>
        <v/>
      </c>
      <c r="AC386" s="507" t="str">
        <f t="shared" si="62"/>
        <v/>
      </c>
      <c r="AD386" s="501" t="str">
        <f>IF($D386="","",MIN(終値!E386:I386))</f>
        <v/>
      </c>
      <c r="AE386" s="503" t="str">
        <f t="shared" si="63"/>
        <v/>
      </c>
    </row>
    <row r="387" spans="1:31">
      <c r="A387" s="500" t="str">
        <f>IF(終値!A387="","",HYPERLINK("https://kabutan.jp/stock/?code="&amp;終値!A387,"📈"))</f>
        <v/>
      </c>
      <c r="B387" s="500" t="str">
        <f>IF(終値!A387="","",終値!A387)</f>
        <v/>
      </c>
      <c r="C387" s="499" t="str">
        <f>IF(終値!A387="","",終値!B387)</f>
        <v/>
      </c>
      <c r="D387" s="501" t="str">
        <f>IF(終値!A387="","",終値!E387)</f>
        <v/>
      </c>
      <c r="E387" s="501" t="str">
        <f>IF($D387="","",AVERAGE(終値!E387:X387))</f>
        <v/>
      </c>
      <c r="F387" s="502" t="str">
        <f>IF($D387="","",STDEVP(終値!E387:X387))</f>
        <v/>
      </c>
      <c r="G387" s="501" t="str">
        <f>IF($D387="","",$E387+BB設定!$B$4*$F387)</f>
        <v/>
      </c>
      <c r="H387" s="501" t="str">
        <f>IF($D387="","",$E387+BB設定!$B$5*$F387)</f>
        <v/>
      </c>
      <c r="I387" s="501" t="str">
        <f>IF($D387="","",$E387-BB設定!$B$5*$F387)</f>
        <v/>
      </c>
      <c r="J387" s="501" t="str">
        <f>IF($D387="","",$E387-BB設定!$B$4*$F387)</f>
        <v/>
      </c>
      <c r="K387" s="506" t="str">
        <f t="shared" si="55"/>
        <v/>
      </c>
      <c r="L387" s="505" t="str">
        <f t="shared" si="56"/>
        <v/>
      </c>
      <c r="M387" s="505" t="str">
        <f>IF($D387="","",IFERROR(MIN(BB_帯幅!B387:AP387)*100,""))</f>
        <v/>
      </c>
      <c r="N387" s="500" t="str">
        <f>IF($L387="","",IF($L387&lt;=$M387*BB設定!$B$7,"スクイーズ★",IF($L387&lt;=$M387*1.3,"収縮","－")))</f>
        <v/>
      </c>
      <c r="O387" s="500" t="str">
        <f>IF($D387="","",IF(AND(BB_帯幅!B387&gt;BB_帯幅!C387,BB_帯幅!C387&gt;BB_帯幅!D387),"拡大↑","縮小↓"))</f>
        <v/>
      </c>
      <c r="P387" s="500" t="str">
        <f t="shared" si="57"/>
        <v/>
      </c>
      <c r="Q387" s="503" t="str">
        <f>IF($D387="","",IFERROR(100-100/(1+SUMPRODUCT((終値!E387:R387&gt;終値!F387:S387)*(終値!E387:R387-終値!F387:S387))/SUMPRODUCT((終値!E387:R387&lt;終値!F387:S387)*(終値!F387:S387-終値!E387:R387))),100))</f>
        <v/>
      </c>
      <c r="R387" s="503"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0"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0" t="str">
        <f t="shared" si="58"/>
        <v/>
      </c>
      <c r="U387" s="500" t="str">
        <f>IF(終値!A387="","",BB_スイング!BT387)</f>
        <v/>
      </c>
      <c r="V387" s="508" t="str">
        <f>IF($D387="","",IFERROR(出来高!E387/AVERAGE(出来高!E387:I387),""))</f>
        <v/>
      </c>
      <c r="W387" s="509"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4" t="str">
        <f t="shared" si="64"/>
        <v/>
      </c>
      <c r="Y387" s="501" t="str">
        <f t="shared" si="59"/>
        <v/>
      </c>
      <c r="Z387" s="501" t="str">
        <f t="shared" si="60"/>
        <v/>
      </c>
      <c r="AA387" s="501" t="str">
        <f t="shared" si="61"/>
        <v/>
      </c>
      <c r="AB387" s="501" t="str">
        <f t="shared" si="65"/>
        <v/>
      </c>
      <c r="AC387" s="507" t="str">
        <f t="shared" si="62"/>
        <v/>
      </c>
      <c r="AD387" s="501" t="str">
        <f>IF($D387="","",MIN(終値!E387:I387))</f>
        <v/>
      </c>
      <c r="AE387" s="503" t="str">
        <f t="shared" si="63"/>
        <v/>
      </c>
    </row>
    <row r="388" spans="1:31">
      <c r="A388" s="500" t="str">
        <f>IF(終値!A388="","",HYPERLINK("https://kabutan.jp/stock/?code="&amp;終値!A388,"📈"))</f>
        <v/>
      </c>
      <c r="B388" s="500" t="str">
        <f>IF(終値!A388="","",終値!A388)</f>
        <v/>
      </c>
      <c r="C388" s="499" t="str">
        <f>IF(終値!A388="","",終値!B388)</f>
        <v/>
      </c>
      <c r="D388" s="501" t="str">
        <f>IF(終値!A388="","",終値!E388)</f>
        <v/>
      </c>
      <c r="E388" s="501" t="str">
        <f>IF($D388="","",AVERAGE(終値!E388:X388))</f>
        <v/>
      </c>
      <c r="F388" s="502" t="str">
        <f>IF($D388="","",STDEVP(終値!E388:X388))</f>
        <v/>
      </c>
      <c r="G388" s="501" t="str">
        <f>IF($D388="","",$E388+BB設定!$B$4*$F388)</f>
        <v/>
      </c>
      <c r="H388" s="501" t="str">
        <f>IF($D388="","",$E388+BB設定!$B$5*$F388)</f>
        <v/>
      </c>
      <c r="I388" s="501" t="str">
        <f>IF($D388="","",$E388-BB設定!$B$5*$F388)</f>
        <v/>
      </c>
      <c r="J388" s="501" t="str">
        <f>IF($D388="","",$E388-BB設定!$B$4*$F388)</f>
        <v/>
      </c>
      <c r="K388" s="506" t="str">
        <f t="shared" si="55"/>
        <v/>
      </c>
      <c r="L388" s="505" t="str">
        <f t="shared" si="56"/>
        <v/>
      </c>
      <c r="M388" s="505" t="str">
        <f>IF($D388="","",IFERROR(MIN(BB_帯幅!B388:AP388)*100,""))</f>
        <v/>
      </c>
      <c r="N388" s="500" t="str">
        <f>IF($L388="","",IF($L388&lt;=$M388*BB設定!$B$7,"スクイーズ★",IF($L388&lt;=$M388*1.3,"収縮","－")))</f>
        <v/>
      </c>
      <c r="O388" s="500" t="str">
        <f>IF($D388="","",IF(AND(BB_帯幅!B388&gt;BB_帯幅!C388,BB_帯幅!C388&gt;BB_帯幅!D388),"拡大↑","縮小↓"))</f>
        <v/>
      </c>
      <c r="P388" s="500" t="str">
        <f t="shared" si="57"/>
        <v/>
      </c>
      <c r="Q388" s="503" t="str">
        <f>IF($D388="","",IFERROR(100-100/(1+SUMPRODUCT((終値!E388:R388&gt;終値!F388:S388)*(終値!E388:R388-終値!F388:S388))/SUMPRODUCT((終値!E388:R388&lt;終値!F388:S388)*(終値!F388:S388-終値!E388:R388))),100))</f>
        <v/>
      </c>
      <c r="R388" s="503"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0"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0" t="str">
        <f t="shared" si="58"/>
        <v/>
      </c>
      <c r="U388" s="500" t="str">
        <f>IF(終値!A388="","",BB_スイング!BT388)</f>
        <v/>
      </c>
      <c r="V388" s="508" t="str">
        <f>IF($D388="","",IFERROR(出来高!E388/AVERAGE(出来高!E388:I388),""))</f>
        <v/>
      </c>
      <c r="W388" s="509"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4" t="str">
        <f t="shared" si="64"/>
        <v/>
      </c>
      <c r="Y388" s="501" t="str">
        <f t="shared" si="59"/>
        <v/>
      </c>
      <c r="Z388" s="501" t="str">
        <f t="shared" si="60"/>
        <v/>
      </c>
      <c r="AA388" s="501" t="str">
        <f t="shared" si="61"/>
        <v/>
      </c>
      <c r="AB388" s="501" t="str">
        <f t="shared" si="65"/>
        <v/>
      </c>
      <c r="AC388" s="507" t="str">
        <f t="shared" si="62"/>
        <v/>
      </c>
      <c r="AD388" s="501" t="str">
        <f>IF($D388="","",MIN(終値!E388:I388))</f>
        <v/>
      </c>
      <c r="AE388" s="503" t="str">
        <f t="shared" si="63"/>
        <v/>
      </c>
    </row>
    <row r="389" spans="1:31">
      <c r="A389" s="500" t="str">
        <f>IF(終値!A389="","",HYPERLINK("https://kabutan.jp/stock/?code="&amp;終値!A389,"📈"))</f>
        <v/>
      </c>
      <c r="B389" s="500" t="str">
        <f>IF(終値!A389="","",終値!A389)</f>
        <v/>
      </c>
      <c r="C389" s="499" t="str">
        <f>IF(終値!A389="","",終値!B389)</f>
        <v/>
      </c>
      <c r="D389" s="501" t="str">
        <f>IF(終値!A389="","",終値!E389)</f>
        <v/>
      </c>
      <c r="E389" s="501" t="str">
        <f>IF($D389="","",AVERAGE(終値!E389:X389))</f>
        <v/>
      </c>
      <c r="F389" s="502" t="str">
        <f>IF($D389="","",STDEVP(終値!E389:X389))</f>
        <v/>
      </c>
      <c r="G389" s="501" t="str">
        <f>IF($D389="","",$E389+BB設定!$B$4*$F389)</f>
        <v/>
      </c>
      <c r="H389" s="501" t="str">
        <f>IF($D389="","",$E389+BB設定!$B$5*$F389)</f>
        <v/>
      </c>
      <c r="I389" s="501" t="str">
        <f>IF($D389="","",$E389-BB設定!$B$5*$F389)</f>
        <v/>
      </c>
      <c r="J389" s="501" t="str">
        <f>IF($D389="","",$E389-BB設定!$B$4*$F389)</f>
        <v/>
      </c>
      <c r="K389" s="506" t="str">
        <f t="shared" si="55"/>
        <v/>
      </c>
      <c r="L389" s="505" t="str">
        <f t="shared" si="56"/>
        <v/>
      </c>
      <c r="M389" s="505" t="str">
        <f>IF($D389="","",IFERROR(MIN(BB_帯幅!B389:AP389)*100,""))</f>
        <v/>
      </c>
      <c r="N389" s="500" t="str">
        <f>IF($L389="","",IF($L389&lt;=$M389*BB設定!$B$7,"スクイーズ★",IF($L389&lt;=$M389*1.3,"収縮","－")))</f>
        <v/>
      </c>
      <c r="O389" s="500" t="str">
        <f>IF($D389="","",IF(AND(BB_帯幅!B389&gt;BB_帯幅!C389,BB_帯幅!C389&gt;BB_帯幅!D389),"拡大↑","縮小↓"))</f>
        <v/>
      </c>
      <c r="P389" s="500" t="str">
        <f t="shared" si="57"/>
        <v/>
      </c>
      <c r="Q389" s="503" t="str">
        <f>IF($D389="","",IFERROR(100-100/(1+SUMPRODUCT((終値!E389:R389&gt;終値!F389:S389)*(終値!E389:R389-終値!F389:S389))/SUMPRODUCT((終値!E389:R389&lt;終値!F389:S389)*(終値!F389:S389-終値!E389:R389))),100))</f>
        <v/>
      </c>
      <c r="R389" s="503"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0"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0" t="str">
        <f t="shared" si="58"/>
        <v/>
      </c>
      <c r="U389" s="500" t="str">
        <f>IF(終値!A389="","",BB_スイング!BT389)</f>
        <v/>
      </c>
      <c r="V389" s="508" t="str">
        <f>IF($D389="","",IFERROR(出来高!E389/AVERAGE(出来高!E389:I389),""))</f>
        <v/>
      </c>
      <c r="W389" s="509"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4" t="str">
        <f t="shared" si="64"/>
        <v/>
      </c>
      <c r="Y389" s="501" t="str">
        <f t="shared" si="59"/>
        <v/>
      </c>
      <c r="Z389" s="501" t="str">
        <f t="shared" si="60"/>
        <v/>
      </c>
      <c r="AA389" s="501" t="str">
        <f t="shared" si="61"/>
        <v/>
      </c>
      <c r="AB389" s="501" t="str">
        <f t="shared" si="65"/>
        <v/>
      </c>
      <c r="AC389" s="507" t="str">
        <f t="shared" si="62"/>
        <v/>
      </c>
      <c r="AD389" s="501" t="str">
        <f>IF($D389="","",MIN(終値!E389:I389))</f>
        <v/>
      </c>
      <c r="AE389" s="503" t="str">
        <f t="shared" si="63"/>
        <v/>
      </c>
    </row>
    <row r="390" spans="1:31">
      <c r="A390" s="500" t="str">
        <f>IF(終値!A390="","",HYPERLINK("https://kabutan.jp/stock/?code="&amp;終値!A390,"📈"))</f>
        <v/>
      </c>
      <c r="B390" s="500" t="str">
        <f>IF(終値!A390="","",終値!A390)</f>
        <v/>
      </c>
      <c r="C390" s="499" t="str">
        <f>IF(終値!A390="","",終値!B390)</f>
        <v/>
      </c>
      <c r="D390" s="501" t="str">
        <f>IF(終値!A390="","",終値!E390)</f>
        <v/>
      </c>
      <c r="E390" s="501" t="str">
        <f>IF($D390="","",AVERAGE(終値!E390:X390))</f>
        <v/>
      </c>
      <c r="F390" s="502" t="str">
        <f>IF($D390="","",STDEVP(終値!E390:X390))</f>
        <v/>
      </c>
      <c r="G390" s="501" t="str">
        <f>IF($D390="","",$E390+BB設定!$B$4*$F390)</f>
        <v/>
      </c>
      <c r="H390" s="501" t="str">
        <f>IF($D390="","",$E390+BB設定!$B$5*$F390)</f>
        <v/>
      </c>
      <c r="I390" s="501" t="str">
        <f>IF($D390="","",$E390-BB設定!$B$5*$F390)</f>
        <v/>
      </c>
      <c r="J390" s="501" t="str">
        <f>IF($D390="","",$E390-BB設定!$B$4*$F390)</f>
        <v/>
      </c>
      <c r="K390" s="506" t="str">
        <f t="shared" ref="K390:K405" si="66">IF($D390="","",IFERROR(($D390-$J390)/($G390-$J390),""))</f>
        <v/>
      </c>
      <c r="L390" s="505" t="str">
        <f t="shared" ref="L390:L405" si="67">IF($D390="","",IFERROR(($G390-$J390)/$E390*100,""))</f>
        <v/>
      </c>
      <c r="M390" s="505" t="str">
        <f>IF($D390="","",IFERROR(MIN(BB_帯幅!B390:AP390)*100,""))</f>
        <v/>
      </c>
      <c r="N390" s="500" t="str">
        <f>IF($L390="","",IF($L390&lt;=$M390*BB設定!$B$7,"スクイーズ★",IF($L390&lt;=$M390*1.3,"収縮","－")))</f>
        <v/>
      </c>
      <c r="O390" s="500" t="str">
        <f>IF($D390="","",IF(AND(BB_帯幅!B390&gt;BB_帯幅!C390,BB_帯幅!C390&gt;BB_帯幅!D390),"拡大↑","縮小↓"))</f>
        <v/>
      </c>
      <c r="P390" s="500" t="str">
        <f t="shared" ref="P390:P405" si="68">IF($D390="","",IF($D390&gt;$G390,"↑+2σ突破",IF($D390&lt;$J390,"↓-2σ割れ",IF($D390&gt;$H390,"+1σ上",IF($D390&lt;$I390,"-1σ下","バンド内")))))</f>
        <v/>
      </c>
      <c r="Q390" s="503" t="str">
        <f>IF($D390="","",IFERROR(100-100/(1+SUMPRODUCT((終値!E390:R390&gt;終値!F390:S390)*(終値!E390:R390-終値!F390:S390))/SUMPRODUCT((終値!E390:R390&lt;終値!F390:S390)*(終値!F390:S390-終値!E390:R390))),100))</f>
        <v/>
      </c>
      <c r="R390" s="503"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0"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0" t="str">
        <f t="shared" ref="T390:T405" si="69">IF($D390="","",IF($D390&gt;=$H390,"上walk▲",IF($D390&lt;=$I390,"下walk▼","－")))</f>
        <v/>
      </c>
      <c r="U390" s="500" t="str">
        <f>IF(終値!A390="","",BB_スイング!BT390)</f>
        <v/>
      </c>
      <c r="V390" s="508" t="str">
        <f>IF($D390="","",IFERROR(出来高!E390/AVERAGE(出来高!E390:I390),""))</f>
        <v/>
      </c>
      <c r="W390" s="509"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4" t="str">
        <f t="shared" si="64"/>
        <v/>
      </c>
      <c r="Y390" s="501" t="str">
        <f t="shared" ref="Y390:Y405" si="70">IF($D390="","",$D390)</f>
        <v/>
      </c>
      <c r="Z390" s="501" t="str">
        <f t="shared" ref="Z390:Z405" si="71">IF($D390="","",$H390)</f>
        <v/>
      </c>
      <c r="AA390" s="501" t="str">
        <f t="shared" ref="AA390:AA405" si="72">IF($D390="","",IF($D390&gt;$E390,$E390,$AD390))</f>
        <v/>
      </c>
      <c r="AB390" s="501" t="str">
        <f t="shared" si="65"/>
        <v/>
      </c>
      <c r="AC390" s="507" t="str">
        <f t="shared" ref="AC390:AC405" si="73">IF($D390="","",IF(($Y390-$AA390)&lt;=0,"－",IFERROR(ROUND(MIN(20,($AB390-$Y390)/($Y390-$AA390)),2),"－")))</f>
        <v/>
      </c>
      <c r="AD390" s="501" t="str">
        <f>IF($D390="","",MIN(終値!E390:I390))</f>
        <v/>
      </c>
      <c r="AE390" s="503" t="str">
        <f t="shared" ref="AE390:AE405" si="74">IF($D390="","",$X390+(10000-ROW())/100000)</f>
        <v/>
      </c>
    </row>
    <row r="391" spans="1:31">
      <c r="A391" s="500" t="str">
        <f>IF(終値!A391="","",HYPERLINK("https://kabutan.jp/stock/?code="&amp;終値!A391,"📈"))</f>
        <v/>
      </c>
      <c r="B391" s="500" t="str">
        <f>IF(終値!A391="","",終値!A391)</f>
        <v/>
      </c>
      <c r="C391" s="499" t="str">
        <f>IF(終値!A391="","",終値!B391)</f>
        <v/>
      </c>
      <c r="D391" s="501" t="str">
        <f>IF(終値!A391="","",終値!E391)</f>
        <v/>
      </c>
      <c r="E391" s="501" t="str">
        <f>IF($D391="","",AVERAGE(終値!E391:X391))</f>
        <v/>
      </c>
      <c r="F391" s="502" t="str">
        <f>IF($D391="","",STDEVP(終値!E391:X391))</f>
        <v/>
      </c>
      <c r="G391" s="501" t="str">
        <f>IF($D391="","",$E391+BB設定!$B$4*$F391)</f>
        <v/>
      </c>
      <c r="H391" s="501" t="str">
        <f>IF($D391="","",$E391+BB設定!$B$5*$F391)</f>
        <v/>
      </c>
      <c r="I391" s="501" t="str">
        <f>IF($D391="","",$E391-BB設定!$B$5*$F391)</f>
        <v/>
      </c>
      <c r="J391" s="501" t="str">
        <f>IF($D391="","",$E391-BB設定!$B$4*$F391)</f>
        <v/>
      </c>
      <c r="K391" s="506" t="str">
        <f t="shared" si="66"/>
        <v/>
      </c>
      <c r="L391" s="505" t="str">
        <f t="shared" si="67"/>
        <v/>
      </c>
      <c r="M391" s="505" t="str">
        <f>IF($D391="","",IFERROR(MIN(BB_帯幅!B391:AP391)*100,""))</f>
        <v/>
      </c>
      <c r="N391" s="500" t="str">
        <f>IF($L391="","",IF($L391&lt;=$M391*BB設定!$B$7,"スクイーズ★",IF($L391&lt;=$M391*1.3,"収縮","－")))</f>
        <v/>
      </c>
      <c r="O391" s="500" t="str">
        <f>IF($D391="","",IF(AND(BB_帯幅!B391&gt;BB_帯幅!C391,BB_帯幅!C391&gt;BB_帯幅!D391),"拡大↑","縮小↓"))</f>
        <v/>
      </c>
      <c r="P391" s="500" t="str">
        <f t="shared" si="68"/>
        <v/>
      </c>
      <c r="Q391" s="503" t="str">
        <f>IF($D391="","",IFERROR(100-100/(1+SUMPRODUCT((終値!E391:R391&gt;終値!F391:S391)*(終値!E391:R391-終値!F391:S391))/SUMPRODUCT((終値!E391:R391&lt;終値!F391:S391)*(終値!F391:S391-終値!E391:R391))),100))</f>
        <v/>
      </c>
      <c r="R391" s="503"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0"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0" t="str">
        <f t="shared" si="69"/>
        <v/>
      </c>
      <c r="U391" s="500" t="str">
        <f>IF(終値!A391="","",BB_スイング!BT391)</f>
        <v/>
      </c>
      <c r="V391" s="508" t="str">
        <f>IF($D391="","",IFERROR(出来高!E391/AVERAGE(出来高!E391:I391),""))</f>
        <v/>
      </c>
      <c r="W391" s="509"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4"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1" t="str">
        <f t="shared" si="70"/>
        <v/>
      </c>
      <c r="Z391" s="501" t="str">
        <f t="shared" si="71"/>
        <v/>
      </c>
      <c r="AA391" s="501" t="str">
        <f t="shared" si="72"/>
        <v/>
      </c>
      <c r="AB391" s="501" t="str">
        <f t="shared" ref="AB391:AB405" si="76">IF($D391="","",IF($D391&gt;$G391,$E391+3*$F391,$G391))</f>
        <v/>
      </c>
      <c r="AC391" s="507" t="str">
        <f t="shared" si="73"/>
        <v/>
      </c>
      <c r="AD391" s="501" t="str">
        <f>IF($D391="","",MIN(終値!E391:I391))</f>
        <v/>
      </c>
      <c r="AE391" s="503" t="str">
        <f t="shared" si="74"/>
        <v/>
      </c>
    </row>
    <row r="392" spans="1:31">
      <c r="A392" s="500" t="str">
        <f>IF(終値!A392="","",HYPERLINK("https://kabutan.jp/stock/?code="&amp;終値!A392,"📈"))</f>
        <v/>
      </c>
      <c r="B392" s="500" t="str">
        <f>IF(終値!A392="","",終値!A392)</f>
        <v/>
      </c>
      <c r="C392" s="499" t="str">
        <f>IF(終値!A392="","",終値!B392)</f>
        <v/>
      </c>
      <c r="D392" s="501" t="str">
        <f>IF(終値!A392="","",終値!E392)</f>
        <v/>
      </c>
      <c r="E392" s="501" t="str">
        <f>IF($D392="","",AVERAGE(終値!E392:X392))</f>
        <v/>
      </c>
      <c r="F392" s="502" t="str">
        <f>IF($D392="","",STDEVP(終値!E392:X392))</f>
        <v/>
      </c>
      <c r="G392" s="501" t="str">
        <f>IF($D392="","",$E392+BB設定!$B$4*$F392)</f>
        <v/>
      </c>
      <c r="H392" s="501" t="str">
        <f>IF($D392="","",$E392+BB設定!$B$5*$F392)</f>
        <v/>
      </c>
      <c r="I392" s="501" t="str">
        <f>IF($D392="","",$E392-BB設定!$B$5*$F392)</f>
        <v/>
      </c>
      <c r="J392" s="501" t="str">
        <f>IF($D392="","",$E392-BB設定!$B$4*$F392)</f>
        <v/>
      </c>
      <c r="K392" s="506" t="str">
        <f t="shared" si="66"/>
        <v/>
      </c>
      <c r="L392" s="505" t="str">
        <f t="shared" si="67"/>
        <v/>
      </c>
      <c r="M392" s="505" t="str">
        <f>IF($D392="","",IFERROR(MIN(BB_帯幅!B392:AP392)*100,""))</f>
        <v/>
      </c>
      <c r="N392" s="500" t="str">
        <f>IF($L392="","",IF($L392&lt;=$M392*BB設定!$B$7,"スクイーズ★",IF($L392&lt;=$M392*1.3,"収縮","－")))</f>
        <v/>
      </c>
      <c r="O392" s="500" t="str">
        <f>IF($D392="","",IF(AND(BB_帯幅!B392&gt;BB_帯幅!C392,BB_帯幅!C392&gt;BB_帯幅!D392),"拡大↑","縮小↓"))</f>
        <v/>
      </c>
      <c r="P392" s="500" t="str">
        <f t="shared" si="68"/>
        <v/>
      </c>
      <c r="Q392" s="503" t="str">
        <f>IF($D392="","",IFERROR(100-100/(1+SUMPRODUCT((終値!E392:R392&gt;終値!F392:S392)*(終値!E392:R392-終値!F392:S392))/SUMPRODUCT((終値!E392:R392&lt;終値!F392:S392)*(終値!F392:S392-終値!E392:R392))),100))</f>
        <v/>
      </c>
      <c r="R392" s="503"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0"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0" t="str">
        <f t="shared" si="69"/>
        <v/>
      </c>
      <c r="U392" s="500" t="str">
        <f>IF(終値!A392="","",BB_スイング!BT392)</f>
        <v/>
      </c>
      <c r="V392" s="508" t="str">
        <f>IF($D392="","",IFERROR(出来高!E392/AVERAGE(出来高!E392:I392),""))</f>
        <v/>
      </c>
      <c r="W392" s="509"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4" t="str">
        <f t="shared" si="75"/>
        <v/>
      </c>
      <c r="Y392" s="501" t="str">
        <f t="shared" si="70"/>
        <v/>
      </c>
      <c r="Z392" s="501" t="str">
        <f t="shared" si="71"/>
        <v/>
      </c>
      <c r="AA392" s="501" t="str">
        <f t="shared" si="72"/>
        <v/>
      </c>
      <c r="AB392" s="501" t="str">
        <f t="shared" si="76"/>
        <v/>
      </c>
      <c r="AC392" s="507" t="str">
        <f t="shared" si="73"/>
        <v/>
      </c>
      <c r="AD392" s="501" t="str">
        <f>IF($D392="","",MIN(終値!E392:I392))</f>
        <v/>
      </c>
      <c r="AE392" s="503" t="str">
        <f t="shared" si="74"/>
        <v/>
      </c>
    </row>
    <row r="393" spans="1:31">
      <c r="A393" s="500" t="str">
        <f>IF(終値!A393="","",HYPERLINK("https://kabutan.jp/stock/?code="&amp;終値!A393,"📈"))</f>
        <v/>
      </c>
      <c r="B393" s="500" t="str">
        <f>IF(終値!A393="","",終値!A393)</f>
        <v/>
      </c>
      <c r="C393" s="499" t="str">
        <f>IF(終値!A393="","",終値!B393)</f>
        <v/>
      </c>
      <c r="D393" s="501" t="str">
        <f>IF(終値!A393="","",終値!E393)</f>
        <v/>
      </c>
      <c r="E393" s="501" t="str">
        <f>IF($D393="","",AVERAGE(終値!E393:X393))</f>
        <v/>
      </c>
      <c r="F393" s="502" t="str">
        <f>IF($D393="","",STDEVP(終値!E393:X393))</f>
        <v/>
      </c>
      <c r="G393" s="501" t="str">
        <f>IF($D393="","",$E393+BB設定!$B$4*$F393)</f>
        <v/>
      </c>
      <c r="H393" s="501" t="str">
        <f>IF($D393="","",$E393+BB設定!$B$5*$F393)</f>
        <v/>
      </c>
      <c r="I393" s="501" t="str">
        <f>IF($D393="","",$E393-BB設定!$B$5*$F393)</f>
        <v/>
      </c>
      <c r="J393" s="501" t="str">
        <f>IF($D393="","",$E393-BB設定!$B$4*$F393)</f>
        <v/>
      </c>
      <c r="K393" s="506" t="str">
        <f t="shared" si="66"/>
        <v/>
      </c>
      <c r="L393" s="505" t="str">
        <f t="shared" si="67"/>
        <v/>
      </c>
      <c r="M393" s="505" t="str">
        <f>IF($D393="","",IFERROR(MIN(BB_帯幅!B393:AP393)*100,""))</f>
        <v/>
      </c>
      <c r="N393" s="500" t="str">
        <f>IF($L393="","",IF($L393&lt;=$M393*BB設定!$B$7,"スクイーズ★",IF($L393&lt;=$M393*1.3,"収縮","－")))</f>
        <v/>
      </c>
      <c r="O393" s="500" t="str">
        <f>IF($D393="","",IF(AND(BB_帯幅!B393&gt;BB_帯幅!C393,BB_帯幅!C393&gt;BB_帯幅!D393),"拡大↑","縮小↓"))</f>
        <v/>
      </c>
      <c r="P393" s="500" t="str">
        <f t="shared" si="68"/>
        <v/>
      </c>
      <c r="Q393" s="503" t="str">
        <f>IF($D393="","",IFERROR(100-100/(1+SUMPRODUCT((終値!E393:R393&gt;終値!F393:S393)*(終値!E393:R393-終値!F393:S393))/SUMPRODUCT((終値!E393:R393&lt;終値!F393:S393)*(終値!F393:S393-終値!E393:R393))),100))</f>
        <v/>
      </c>
      <c r="R393" s="503"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0"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0" t="str">
        <f t="shared" si="69"/>
        <v/>
      </c>
      <c r="U393" s="500" t="str">
        <f>IF(終値!A393="","",BB_スイング!BT393)</f>
        <v/>
      </c>
      <c r="V393" s="508" t="str">
        <f>IF($D393="","",IFERROR(出来高!E393/AVERAGE(出来高!E393:I393),""))</f>
        <v/>
      </c>
      <c r="W393" s="509"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4" t="str">
        <f t="shared" si="75"/>
        <v/>
      </c>
      <c r="Y393" s="501" t="str">
        <f t="shared" si="70"/>
        <v/>
      </c>
      <c r="Z393" s="501" t="str">
        <f t="shared" si="71"/>
        <v/>
      </c>
      <c r="AA393" s="501" t="str">
        <f t="shared" si="72"/>
        <v/>
      </c>
      <c r="AB393" s="501" t="str">
        <f t="shared" si="76"/>
        <v/>
      </c>
      <c r="AC393" s="507" t="str">
        <f t="shared" si="73"/>
        <v/>
      </c>
      <c r="AD393" s="501" t="str">
        <f>IF($D393="","",MIN(終値!E393:I393))</f>
        <v/>
      </c>
      <c r="AE393" s="503" t="str">
        <f t="shared" si="74"/>
        <v/>
      </c>
    </row>
    <row r="394" spans="1:31">
      <c r="A394" s="500" t="str">
        <f>IF(終値!A394="","",HYPERLINK("https://kabutan.jp/stock/?code="&amp;終値!A394,"📈"))</f>
        <v/>
      </c>
      <c r="B394" s="500" t="str">
        <f>IF(終値!A394="","",終値!A394)</f>
        <v/>
      </c>
      <c r="C394" s="499" t="str">
        <f>IF(終値!A394="","",終値!B394)</f>
        <v/>
      </c>
      <c r="D394" s="501" t="str">
        <f>IF(終値!A394="","",終値!E394)</f>
        <v/>
      </c>
      <c r="E394" s="501" t="str">
        <f>IF($D394="","",AVERAGE(終値!E394:X394))</f>
        <v/>
      </c>
      <c r="F394" s="502" t="str">
        <f>IF($D394="","",STDEVP(終値!E394:X394))</f>
        <v/>
      </c>
      <c r="G394" s="501" t="str">
        <f>IF($D394="","",$E394+BB設定!$B$4*$F394)</f>
        <v/>
      </c>
      <c r="H394" s="501" t="str">
        <f>IF($D394="","",$E394+BB設定!$B$5*$F394)</f>
        <v/>
      </c>
      <c r="I394" s="501" t="str">
        <f>IF($D394="","",$E394-BB設定!$B$5*$F394)</f>
        <v/>
      </c>
      <c r="J394" s="501" t="str">
        <f>IF($D394="","",$E394-BB設定!$B$4*$F394)</f>
        <v/>
      </c>
      <c r="K394" s="506" t="str">
        <f t="shared" si="66"/>
        <v/>
      </c>
      <c r="L394" s="505" t="str">
        <f t="shared" si="67"/>
        <v/>
      </c>
      <c r="M394" s="505" t="str">
        <f>IF($D394="","",IFERROR(MIN(BB_帯幅!B394:AP394)*100,""))</f>
        <v/>
      </c>
      <c r="N394" s="500" t="str">
        <f>IF($L394="","",IF($L394&lt;=$M394*BB設定!$B$7,"スクイーズ★",IF($L394&lt;=$M394*1.3,"収縮","－")))</f>
        <v/>
      </c>
      <c r="O394" s="500" t="str">
        <f>IF($D394="","",IF(AND(BB_帯幅!B394&gt;BB_帯幅!C394,BB_帯幅!C394&gt;BB_帯幅!D394),"拡大↑","縮小↓"))</f>
        <v/>
      </c>
      <c r="P394" s="500" t="str">
        <f t="shared" si="68"/>
        <v/>
      </c>
      <c r="Q394" s="503" t="str">
        <f>IF($D394="","",IFERROR(100-100/(1+SUMPRODUCT((終値!E394:R394&gt;終値!F394:S394)*(終値!E394:R394-終値!F394:S394))/SUMPRODUCT((終値!E394:R394&lt;終値!F394:S394)*(終値!F394:S394-終値!E394:R394))),100))</f>
        <v/>
      </c>
      <c r="R394" s="503"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0"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0" t="str">
        <f t="shared" si="69"/>
        <v/>
      </c>
      <c r="U394" s="500" t="str">
        <f>IF(終値!A394="","",BB_スイング!BT394)</f>
        <v/>
      </c>
      <c r="V394" s="508" t="str">
        <f>IF($D394="","",IFERROR(出来高!E394/AVERAGE(出来高!E394:I394),""))</f>
        <v/>
      </c>
      <c r="W394" s="509"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4" t="str">
        <f t="shared" si="75"/>
        <v/>
      </c>
      <c r="Y394" s="501" t="str">
        <f t="shared" si="70"/>
        <v/>
      </c>
      <c r="Z394" s="501" t="str">
        <f t="shared" si="71"/>
        <v/>
      </c>
      <c r="AA394" s="501" t="str">
        <f t="shared" si="72"/>
        <v/>
      </c>
      <c r="AB394" s="501" t="str">
        <f t="shared" si="76"/>
        <v/>
      </c>
      <c r="AC394" s="507" t="str">
        <f t="shared" si="73"/>
        <v/>
      </c>
      <c r="AD394" s="501" t="str">
        <f>IF($D394="","",MIN(終値!E394:I394))</f>
        <v/>
      </c>
      <c r="AE394" s="503" t="str">
        <f t="shared" si="74"/>
        <v/>
      </c>
    </row>
    <row r="395" spans="1:31">
      <c r="A395" s="500" t="str">
        <f>IF(終値!A395="","",HYPERLINK("https://kabutan.jp/stock/?code="&amp;終値!A395,"📈"))</f>
        <v/>
      </c>
      <c r="B395" s="500" t="str">
        <f>IF(終値!A395="","",終値!A395)</f>
        <v/>
      </c>
      <c r="C395" s="499" t="str">
        <f>IF(終値!A395="","",終値!B395)</f>
        <v/>
      </c>
      <c r="D395" s="501" t="str">
        <f>IF(終値!A395="","",終値!E395)</f>
        <v/>
      </c>
      <c r="E395" s="501" t="str">
        <f>IF($D395="","",AVERAGE(終値!E395:X395))</f>
        <v/>
      </c>
      <c r="F395" s="502" t="str">
        <f>IF($D395="","",STDEVP(終値!E395:X395))</f>
        <v/>
      </c>
      <c r="G395" s="501" t="str">
        <f>IF($D395="","",$E395+BB設定!$B$4*$F395)</f>
        <v/>
      </c>
      <c r="H395" s="501" t="str">
        <f>IF($D395="","",$E395+BB設定!$B$5*$F395)</f>
        <v/>
      </c>
      <c r="I395" s="501" t="str">
        <f>IF($D395="","",$E395-BB設定!$B$5*$F395)</f>
        <v/>
      </c>
      <c r="J395" s="501" t="str">
        <f>IF($D395="","",$E395-BB設定!$B$4*$F395)</f>
        <v/>
      </c>
      <c r="K395" s="506" t="str">
        <f t="shared" si="66"/>
        <v/>
      </c>
      <c r="L395" s="505" t="str">
        <f t="shared" si="67"/>
        <v/>
      </c>
      <c r="M395" s="505" t="str">
        <f>IF($D395="","",IFERROR(MIN(BB_帯幅!B395:AP395)*100,""))</f>
        <v/>
      </c>
      <c r="N395" s="500" t="str">
        <f>IF($L395="","",IF($L395&lt;=$M395*BB設定!$B$7,"スクイーズ★",IF($L395&lt;=$M395*1.3,"収縮","－")))</f>
        <v/>
      </c>
      <c r="O395" s="500" t="str">
        <f>IF($D395="","",IF(AND(BB_帯幅!B395&gt;BB_帯幅!C395,BB_帯幅!C395&gt;BB_帯幅!D395),"拡大↑","縮小↓"))</f>
        <v/>
      </c>
      <c r="P395" s="500" t="str">
        <f t="shared" si="68"/>
        <v/>
      </c>
      <c r="Q395" s="503" t="str">
        <f>IF($D395="","",IFERROR(100-100/(1+SUMPRODUCT((終値!E395:R395&gt;終値!F395:S395)*(終値!E395:R395-終値!F395:S395))/SUMPRODUCT((終値!E395:R395&lt;終値!F395:S395)*(終値!F395:S395-終値!E395:R395))),100))</f>
        <v/>
      </c>
      <c r="R395" s="503"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0"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0" t="str">
        <f t="shared" si="69"/>
        <v/>
      </c>
      <c r="U395" s="500" t="str">
        <f>IF(終値!A395="","",BB_スイング!BT395)</f>
        <v/>
      </c>
      <c r="V395" s="508" t="str">
        <f>IF($D395="","",IFERROR(出来高!E395/AVERAGE(出来高!E395:I395),""))</f>
        <v/>
      </c>
      <c r="W395" s="509"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4" t="str">
        <f t="shared" si="75"/>
        <v/>
      </c>
      <c r="Y395" s="501" t="str">
        <f t="shared" si="70"/>
        <v/>
      </c>
      <c r="Z395" s="501" t="str">
        <f t="shared" si="71"/>
        <v/>
      </c>
      <c r="AA395" s="501" t="str">
        <f t="shared" si="72"/>
        <v/>
      </c>
      <c r="AB395" s="501" t="str">
        <f t="shared" si="76"/>
        <v/>
      </c>
      <c r="AC395" s="507" t="str">
        <f t="shared" si="73"/>
        <v/>
      </c>
      <c r="AD395" s="501" t="str">
        <f>IF($D395="","",MIN(終値!E395:I395))</f>
        <v/>
      </c>
      <c r="AE395" s="503" t="str">
        <f t="shared" si="74"/>
        <v/>
      </c>
    </row>
    <row r="396" spans="1:31">
      <c r="A396" s="500" t="str">
        <f>IF(終値!A396="","",HYPERLINK("https://kabutan.jp/stock/?code="&amp;終値!A396,"📈"))</f>
        <v/>
      </c>
      <c r="B396" s="500" t="str">
        <f>IF(終値!A396="","",終値!A396)</f>
        <v/>
      </c>
      <c r="C396" s="499" t="str">
        <f>IF(終値!A396="","",終値!B396)</f>
        <v/>
      </c>
      <c r="D396" s="501" t="str">
        <f>IF(終値!A396="","",終値!E396)</f>
        <v/>
      </c>
      <c r="E396" s="501" t="str">
        <f>IF($D396="","",AVERAGE(終値!E396:X396))</f>
        <v/>
      </c>
      <c r="F396" s="502" t="str">
        <f>IF($D396="","",STDEVP(終値!E396:X396))</f>
        <v/>
      </c>
      <c r="G396" s="501" t="str">
        <f>IF($D396="","",$E396+BB設定!$B$4*$F396)</f>
        <v/>
      </c>
      <c r="H396" s="501" t="str">
        <f>IF($D396="","",$E396+BB設定!$B$5*$F396)</f>
        <v/>
      </c>
      <c r="I396" s="501" t="str">
        <f>IF($D396="","",$E396-BB設定!$B$5*$F396)</f>
        <v/>
      </c>
      <c r="J396" s="501" t="str">
        <f>IF($D396="","",$E396-BB設定!$B$4*$F396)</f>
        <v/>
      </c>
      <c r="K396" s="506" t="str">
        <f t="shared" si="66"/>
        <v/>
      </c>
      <c r="L396" s="505" t="str">
        <f t="shared" si="67"/>
        <v/>
      </c>
      <c r="M396" s="505" t="str">
        <f>IF($D396="","",IFERROR(MIN(BB_帯幅!B396:AP396)*100,""))</f>
        <v/>
      </c>
      <c r="N396" s="500" t="str">
        <f>IF($L396="","",IF($L396&lt;=$M396*BB設定!$B$7,"スクイーズ★",IF($L396&lt;=$M396*1.3,"収縮","－")))</f>
        <v/>
      </c>
      <c r="O396" s="500" t="str">
        <f>IF($D396="","",IF(AND(BB_帯幅!B396&gt;BB_帯幅!C396,BB_帯幅!C396&gt;BB_帯幅!D396),"拡大↑","縮小↓"))</f>
        <v/>
      </c>
      <c r="P396" s="500" t="str">
        <f t="shared" si="68"/>
        <v/>
      </c>
      <c r="Q396" s="503" t="str">
        <f>IF($D396="","",IFERROR(100-100/(1+SUMPRODUCT((終値!E396:R396&gt;終値!F396:S396)*(終値!E396:R396-終値!F396:S396))/SUMPRODUCT((終値!E396:R396&lt;終値!F396:S396)*(終値!F396:S396-終値!E396:R396))),100))</f>
        <v/>
      </c>
      <c r="R396" s="503"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0"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0" t="str">
        <f t="shared" si="69"/>
        <v/>
      </c>
      <c r="U396" s="500" t="str">
        <f>IF(終値!A396="","",BB_スイング!BT396)</f>
        <v/>
      </c>
      <c r="V396" s="508" t="str">
        <f>IF($D396="","",IFERROR(出来高!E396/AVERAGE(出来高!E396:I396),""))</f>
        <v/>
      </c>
      <c r="W396" s="509"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4" t="str">
        <f t="shared" si="75"/>
        <v/>
      </c>
      <c r="Y396" s="501" t="str">
        <f t="shared" si="70"/>
        <v/>
      </c>
      <c r="Z396" s="501" t="str">
        <f t="shared" si="71"/>
        <v/>
      </c>
      <c r="AA396" s="501" t="str">
        <f t="shared" si="72"/>
        <v/>
      </c>
      <c r="AB396" s="501" t="str">
        <f t="shared" si="76"/>
        <v/>
      </c>
      <c r="AC396" s="507" t="str">
        <f t="shared" si="73"/>
        <v/>
      </c>
      <c r="AD396" s="501" t="str">
        <f>IF($D396="","",MIN(終値!E396:I396))</f>
        <v/>
      </c>
      <c r="AE396" s="503" t="str">
        <f t="shared" si="74"/>
        <v/>
      </c>
    </row>
    <row r="397" spans="1:31">
      <c r="A397" s="500" t="str">
        <f>IF(終値!A397="","",HYPERLINK("https://kabutan.jp/stock/?code="&amp;終値!A397,"📈"))</f>
        <v/>
      </c>
      <c r="B397" s="500" t="str">
        <f>IF(終値!A397="","",終値!A397)</f>
        <v/>
      </c>
      <c r="C397" s="499" t="str">
        <f>IF(終値!A397="","",終値!B397)</f>
        <v/>
      </c>
      <c r="D397" s="501" t="str">
        <f>IF(終値!A397="","",終値!E397)</f>
        <v/>
      </c>
      <c r="E397" s="501" t="str">
        <f>IF($D397="","",AVERAGE(終値!E397:X397))</f>
        <v/>
      </c>
      <c r="F397" s="502" t="str">
        <f>IF($D397="","",STDEVP(終値!E397:X397))</f>
        <v/>
      </c>
      <c r="G397" s="501" t="str">
        <f>IF($D397="","",$E397+BB設定!$B$4*$F397)</f>
        <v/>
      </c>
      <c r="H397" s="501" t="str">
        <f>IF($D397="","",$E397+BB設定!$B$5*$F397)</f>
        <v/>
      </c>
      <c r="I397" s="501" t="str">
        <f>IF($D397="","",$E397-BB設定!$B$5*$F397)</f>
        <v/>
      </c>
      <c r="J397" s="501" t="str">
        <f>IF($D397="","",$E397-BB設定!$B$4*$F397)</f>
        <v/>
      </c>
      <c r="K397" s="506" t="str">
        <f t="shared" si="66"/>
        <v/>
      </c>
      <c r="L397" s="505" t="str">
        <f t="shared" si="67"/>
        <v/>
      </c>
      <c r="M397" s="505" t="str">
        <f>IF($D397="","",IFERROR(MIN(BB_帯幅!B397:AP397)*100,""))</f>
        <v/>
      </c>
      <c r="N397" s="500" t="str">
        <f>IF($L397="","",IF($L397&lt;=$M397*BB設定!$B$7,"スクイーズ★",IF($L397&lt;=$M397*1.3,"収縮","－")))</f>
        <v/>
      </c>
      <c r="O397" s="500" t="str">
        <f>IF($D397="","",IF(AND(BB_帯幅!B397&gt;BB_帯幅!C397,BB_帯幅!C397&gt;BB_帯幅!D397),"拡大↑","縮小↓"))</f>
        <v/>
      </c>
      <c r="P397" s="500" t="str">
        <f t="shared" si="68"/>
        <v/>
      </c>
      <c r="Q397" s="503" t="str">
        <f>IF($D397="","",IFERROR(100-100/(1+SUMPRODUCT((終値!E397:R397&gt;終値!F397:S397)*(終値!E397:R397-終値!F397:S397))/SUMPRODUCT((終値!E397:R397&lt;終値!F397:S397)*(終値!F397:S397-終値!E397:R397))),100))</f>
        <v/>
      </c>
      <c r="R397" s="503"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0"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0" t="str">
        <f t="shared" si="69"/>
        <v/>
      </c>
      <c r="U397" s="500" t="str">
        <f>IF(終値!A397="","",BB_スイング!BT397)</f>
        <v/>
      </c>
      <c r="V397" s="508" t="str">
        <f>IF($D397="","",IFERROR(出来高!E397/AVERAGE(出来高!E397:I397),""))</f>
        <v/>
      </c>
      <c r="W397" s="509"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4" t="str">
        <f t="shared" si="75"/>
        <v/>
      </c>
      <c r="Y397" s="501" t="str">
        <f t="shared" si="70"/>
        <v/>
      </c>
      <c r="Z397" s="501" t="str">
        <f t="shared" si="71"/>
        <v/>
      </c>
      <c r="AA397" s="501" t="str">
        <f t="shared" si="72"/>
        <v/>
      </c>
      <c r="AB397" s="501" t="str">
        <f t="shared" si="76"/>
        <v/>
      </c>
      <c r="AC397" s="507" t="str">
        <f t="shared" si="73"/>
        <v/>
      </c>
      <c r="AD397" s="501" t="str">
        <f>IF($D397="","",MIN(終値!E397:I397))</f>
        <v/>
      </c>
      <c r="AE397" s="503" t="str">
        <f t="shared" si="74"/>
        <v/>
      </c>
    </row>
    <row r="398" spans="1:31">
      <c r="A398" s="500" t="str">
        <f>IF(終値!A398="","",HYPERLINK("https://kabutan.jp/stock/?code="&amp;終値!A398,"📈"))</f>
        <v/>
      </c>
      <c r="B398" s="500" t="str">
        <f>IF(終値!A398="","",終値!A398)</f>
        <v/>
      </c>
      <c r="C398" s="499" t="str">
        <f>IF(終値!A398="","",終値!B398)</f>
        <v/>
      </c>
      <c r="D398" s="501" t="str">
        <f>IF(終値!A398="","",終値!E398)</f>
        <v/>
      </c>
      <c r="E398" s="501" t="str">
        <f>IF($D398="","",AVERAGE(終値!E398:X398))</f>
        <v/>
      </c>
      <c r="F398" s="502" t="str">
        <f>IF($D398="","",STDEVP(終値!E398:X398))</f>
        <v/>
      </c>
      <c r="G398" s="501" t="str">
        <f>IF($D398="","",$E398+BB設定!$B$4*$F398)</f>
        <v/>
      </c>
      <c r="H398" s="501" t="str">
        <f>IF($D398="","",$E398+BB設定!$B$5*$F398)</f>
        <v/>
      </c>
      <c r="I398" s="501" t="str">
        <f>IF($D398="","",$E398-BB設定!$B$5*$F398)</f>
        <v/>
      </c>
      <c r="J398" s="501" t="str">
        <f>IF($D398="","",$E398-BB設定!$B$4*$F398)</f>
        <v/>
      </c>
      <c r="K398" s="506" t="str">
        <f t="shared" si="66"/>
        <v/>
      </c>
      <c r="L398" s="505" t="str">
        <f t="shared" si="67"/>
        <v/>
      </c>
      <c r="M398" s="505" t="str">
        <f>IF($D398="","",IFERROR(MIN(BB_帯幅!B398:AP398)*100,""))</f>
        <v/>
      </c>
      <c r="N398" s="500" t="str">
        <f>IF($L398="","",IF($L398&lt;=$M398*BB設定!$B$7,"スクイーズ★",IF($L398&lt;=$M398*1.3,"収縮","－")))</f>
        <v/>
      </c>
      <c r="O398" s="500" t="str">
        <f>IF($D398="","",IF(AND(BB_帯幅!B398&gt;BB_帯幅!C398,BB_帯幅!C398&gt;BB_帯幅!D398),"拡大↑","縮小↓"))</f>
        <v/>
      </c>
      <c r="P398" s="500" t="str">
        <f t="shared" si="68"/>
        <v/>
      </c>
      <c r="Q398" s="503" t="str">
        <f>IF($D398="","",IFERROR(100-100/(1+SUMPRODUCT((終値!E398:R398&gt;終値!F398:S398)*(終値!E398:R398-終値!F398:S398))/SUMPRODUCT((終値!E398:R398&lt;終値!F398:S398)*(終値!F398:S398-終値!E398:R398))),100))</f>
        <v/>
      </c>
      <c r="R398" s="503"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0"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0" t="str">
        <f t="shared" si="69"/>
        <v/>
      </c>
      <c r="U398" s="500" t="str">
        <f>IF(終値!A398="","",BB_スイング!BT398)</f>
        <v/>
      </c>
      <c r="V398" s="508" t="str">
        <f>IF($D398="","",IFERROR(出来高!E398/AVERAGE(出来高!E398:I398),""))</f>
        <v/>
      </c>
      <c r="W398" s="509"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4" t="str">
        <f t="shared" si="75"/>
        <v/>
      </c>
      <c r="Y398" s="501" t="str">
        <f t="shared" si="70"/>
        <v/>
      </c>
      <c r="Z398" s="501" t="str">
        <f t="shared" si="71"/>
        <v/>
      </c>
      <c r="AA398" s="501" t="str">
        <f t="shared" si="72"/>
        <v/>
      </c>
      <c r="AB398" s="501" t="str">
        <f t="shared" si="76"/>
        <v/>
      </c>
      <c r="AC398" s="507" t="str">
        <f t="shared" si="73"/>
        <v/>
      </c>
      <c r="AD398" s="501" t="str">
        <f>IF($D398="","",MIN(終値!E398:I398))</f>
        <v/>
      </c>
      <c r="AE398" s="503" t="str">
        <f t="shared" si="74"/>
        <v/>
      </c>
    </row>
    <row r="399" spans="1:31">
      <c r="A399" s="500" t="str">
        <f>IF(終値!A399="","",HYPERLINK("https://kabutan.jp/stock/?code="&amp;終値!A399,"📈"))</f>
        <v/>
      </c>
      <c r="B399" s="500" t="str">
        <f>IF(終値!A399="","",終値!A399)</f>
        <v/>
      </c>
      <c r="C399" s="499" t="str">
        <f>IF(終値!A399="","",終値!B399)</f>
        <v/>
      </c>
      <c r="D399" s="501" t="str">
        <f>IF(終値!A399="","",終値!E399)</f>
        <v/>
      </c>
      <c r="E399" s="501" t="str">
        <f>IF($D399="","",AVERAGE(終値!E399:X399))</f>
        <v/>
      </c>
      <c r="F399" s="502" t="str">
        <f>IF($D399="","",STDEVP(終値!E399:X399))</f>
        <v/>
      </c>
      <c r="G399" s="501" t="str">
        <f>IF($D399="","",$E399+BB設定!$B$4*$F399)</f>
        <v/>
      </c>
      <c r="H399" s="501" t="str">
        <f>IF($D399="","",$E399+BB設定!$B$5*$F399)</f>
        <v/>
      </c>
      <c r="I399" s="501" t="str">
        <f>IF($D399="","",$E399-BB設定!$B$5*$F399)</f>
        <v/>
      </c>
      <c r="J399" s="501" t="str">
        <f>IF($D399="","",$E399-BB設定!$B$4*$F399)</f>
        <v/>
      </c>
      <c r="K399" s="506" t="str">
        <f t="shared" si="66"/>
        <v/>
      </c>
      <c r="L399" s="505" t="str">
        <f t="shared" si="67"/>
        <v/>
      </c>
      <c r="M399" s="505" t="str">
        <f>IF($D399="","",IFERROR(MIN(BB_帯幅!B399:AP399)*100,""))</f>
        <v/>
      </c>
      <c r="N399" s="500" t="str">
        <f>IF($L399="","",IF($L399&lt;=$M399*BB設定!$B$7,"スクイーズ★",IF($L399&lt;=$M399*1.3,"収縮","－")))</f>
        <v/>
      </c>
      <c r="O399" s="500" t="str">
        <f>IF($D399="","",IF(AND(BB_帯幅!B399&gt;BB_帯幅!C399,BB_帯幅!C399&gt;BB_帯幅!D399),"拡大↑","縮小↓"))</f>
        <v/>
      </c>
      <c r="P399" s="500" t="str">
        <f t="shared" si="68"/>
        <v/>
      </c>
      <c r="Q399" s="503" t="str">
        <f>IF($D399="","",IFERROR(100-100/(1+SUMPRODUCT((終値!E399:R399&gt;終値!F399:S399)*(終値!E399:R399-終値!F399:S399))/SUMPRODUCT((終値!E399:R399&lt;終値!F399:S399)*(終値!F399:S399-終値!E399:R399))),100))</f>
        <v/>
      </c>
      <c r="R399" s="503"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0"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0" t="str">
        <f t="shared" si="69"/>
        <v/>
      </c>
      <c r="U399" s="500" t="str">
        <f>IF(終値!A399="","",BB_スイング!BT399)</f>
        <v/>
      </c>
      <c r="V399" s="508" t="str">
        <f>IF($D399="","",IFERROR(出来高!E399/AVERAGE(出来高!E399:I399),""))</f>
        <v/>
      </c>
      <c r="W399" s="509"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4" t="str">
        <f t="shared" si="75"/>
        <v/>
      </c>
      <c r="Y399" s="501" t="str">
        <f t="shared" si="70"/>
        <v/>
      </c>
      <c r="Z399" s="501" t="str">
        <f t="shared" si="71"/>
        <v/>
      </c>
      <c r="AA399" s="501" t="str">
        <f t="shared" si="72"/>
        <v/>
      </c>
      <c r="AB399" s="501" t="str">
        <f t="shared" si="76"/>
        <v/>
      </c>
      <c r="AC399" s="507" t="str">
        <f t="shared" si="73"/>
        <v/>
      </c>
      <c r="AD399" s="501" t="str">
        <f>IF($D399="","",MIN(終値!E399:I399))</f>
        <v/>
      </c>
      <c r="AE399" s="503" t="str">
        <f t="shared" si="74"/>
        <v/>
      </c>
    </row>
    <row r="400" spans="1:31">
      <c r="A400" s="500" t="str">
        <f>IF(終値!A400="","",HYPERLINK("https://kabutan.jp/stock/?code="&amp;終値!A400,"📈"))</f>
        <v/>
      </c>
      <c r="B400" s="500" t="str">
        <f>IF(終値!A400="","",終値!A400)</f>
        <v/>
      </c>
      <c r="C400" s="499" t="str">
        <f>IF(終値!A400="","",終値!B400)</f>
        <v/>
      </c>
      <c r="D400" s="501" t="str">
        <f>IF(終値!A400="","",終値!E400)</f>
        <v/>
      </c>
      <c r="E400" s="501" t="str">
        <f>IF($D400="","",AVERAGE(終値!E400:X400))</f>
        <v/>
      </c>
      <c r="F400" s="502" t="str">
        <f>IF($D400="","",STDEVP(終値!E400:X400))</f>
        <v/>
      </c>
      <c r="G400" s="501" t="str">
        <f>IF($D400="","",$E400+BB設定!$B$4*$F400)</f>
        <v/>
      </c>
      <c r="H400" s="501" t="str">
        <f>IF($D400="","",$E400+BB設定!$B$5*$F400)</f>
        <v/>
      </c>
      <c r="I400" s="501" t="str">
        <f>IF($D400="","",$E400-BB設定!$B$5*$F400)</f>
        <v/>
      </c>
      <c r="J400" s="501" t="str">
        <f>IF($D400="","",$E400-BB設定!$B$4*$F400)</f>
        <v/>
      </c>
      <c r="K400" s="506" t="str">
        <f t="shared" si="66"/>
        <v/>
      </c>
      <c r="L400" s="505" t="str">
        <f t="shared" si="67"/>
        <v/>
      </c>
      <c r="M400" s="505" t="str">
        <f>IF($D400="","",IFERROR(MIN(BB_帯幅!B400:AP400)*100,""))</f>
        <v/>
      </c>
      <c r="N400" s="500" t="str">
        <f>IF($L400="","",IF($L400&lt;=$M400*BB設定!$B$7,"スクイーズ★",IF($L400&lt;=$M400*1.3,"収縮","－")))</f>
        <v/>
      </c>
      <c r="O400" s="500" t="str">
        <f>IF($D400="","",IF(AND(BB_帯幅!B400&gt;BB_帯幅!C400,BB_帯幅!C400&gt;BB_帯幅!D400),"拡大↑","縮小↓"))</f>
        <v/>
      </c>
      <c r="P400" s="500" t="str">
        <f t="shared" si="68"/>
        <v/>
      </c>
      <c r="Q400" s="503" t="str">
        <f>IF($D400="","",IFERROR(100-100/(1+SUMPRODUCT((終値!E400:R400&gt;終値!F400:S400)*(終値!E400:R400-終値!F400:S400))/SUMPRODUCT((終値!E400:R400&lt;終値!F400:S400)*(終値!F400:S400-終値!E400:R400))),100))</f>
        <v/>
      </c>
      <c r="R400" s="503"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0"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0" t="str">
        <f t="shared" si="69"/>
        <v/>
      </c>
      <c r="U400" s="500" t="str">
        <f>IF(終値!A400="","",BB_スイング!BT400)</f>
        <v/>
      </c>
      <c r="V400" s="508" t="str">
        <f>IF($D400="","",IFERROR(出来高!E400/AVERAGE(出来高!E400:I400),""))</f>
        <v/>
      </c>
      <c r="W400" s="509"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4" t="str">
        <f t="shared" si="75"/>
        <v/>
      </c>
      <c r="Y400" s="501" t="str">
        <f t="shared" si="70"/>
        <v/>
      </c>
      <c r="Z400" s="501" t="str">
        <f t="shared" si="71"/>
        <v/>
      </c>
      <c r="AA400" s="501" t="str">
        <f t="shared" si="72"/>
        <v/>
      </c>
      <c r="AB400" s="501" t="str">
        <f t="shared" si="76"/>
        <v/>
      </c>
      <c r="AC400" s="507" t="str">
        <f t="shared" si="73"/>
        <v/>
      </c>
      <c r="AD400" s="501" t="str">
        <f>IF($D400="","",MIN(終値!E400:I400))</f>
        <v/>
      </c>
      <c r="AE400" s="503" t="str">
        <f t="shared" si="74"/>
        <v/>
      </c>
    </row>
    <row r="401" spans="1:31">
      <c r="A401" s="500" t="str">
        <f>IF(終値!A401="","",HYPERLINK("https://kabutan.jp/stock/?code="&amp;終値!A401,"📈"))</f>
        <v/>
      </c>
      <c r="B401" s="500" t="str">
        <f>IF(終値!A401="","",終値!A401)</f>
        <v/>
      </c>
      <c r="C401" s="499" t="str">
        <f>IF(終値!A401="","",終値!B401)</f>
        <v/>
      </c>
      <c r="D401" s="501" t="str">
        <f>IF(終値!A401="","",終値!E401)</f>
        <v/>
      </c>
      <c r="E401" s="501" t="str">
        <f>IF($D401="","",AVERAGE(終値!E401:X401))</f>
        <v/>
      </c>
      <c r="F401" s="502" t="str">
        <f>IF($D401="","",STDEVP(終値!E401:X401))</f>
        <v/>
      </c>
      <c r="G401" s="501" t="str">
        <f>IF($D401="","",$E401+BB設定!$B$4*$F401)</f>
        <v/>
      </c>
      <c r="H401" s="501" t="str">
        <f>IF($D401="","",$E401+BB設定!$B$5*$F401)</f>
        <v/>
      </c>
      <c r="I401" s="501" t="str">
        <f>IF($D401="","",$E401-BB設定!$B$5*$F401)</f>
        <v/>
      </c>
      <c r="J401" s="501" t="str">
        <f>IF($D401="","",$E401-BB設定!$B$4*$F401)</f>
        <v/>
      </c>
      <c r="K401" s="506" t="str">
        <f t="shared" si="66"/>
        <v/>
      </c>
      <c r="L401" s="505" t="str">
        <f t="shared" si="67"/>
        <v/>
      </c>
      <c r="M401" s="505" t="str">
        <f>IF($D401="","",IFERROR(MIN(BB_帯幅!B401:AP401)*100,""))</f>
        <v/>
      </c>
      <c r="N401" s="500" t="str">
        <f>IF($L401="","",IF($L401&lt;=$M401*BB設定!$B$7,"スクイーズ★",IF($L401&lt;=$M401*1.3,"収縮","－")))</f>
        <v/>
      </c>
      <c r="O401" s="500" t="str">
        <f>IF($D401="","",IF(AND(BB_帯幅!B401&gt;BB_帯幅!C401,BB_帯幅!C401&gt;BB_帯幅!D401),"拡大↑","縮小↓"))</f>
        <v/>
      </c>
      <c r="P401" s="500" t="str">
        <f t="shared" si="68"/>
        <v/>
      </c>
      <c r="Q401" s="503" t="str">
        <f>IF($D401="","",IFERROR(100-100/(1+SUMPRODUCT((終値!E401:R401&gt;終値!F401:S401)*(終値!E401:R401-終値!F401:S401))/SUMPRODUCT((終値!E401:R401&lt;終値!F401:S401)*(終値!F401:S401-終値!E401:R401))),100))</f>
        <v/>
      </c>
      <c r="R401" s="503"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0"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0" t="str">
        <f t="shared" si="69"/>
        <v/>
      </c>
      <c r="U401" s="500" t="str">
        <f>IF(終値!A401="","",BB_スイング!BT401)</f>
        <v/>
      </c>
      <c r="V401" s="508" t="str">
        <f>IF($D401="","",IFERROR(出来高!E401/AVERAGE(出来高!E401:I401),""))</f>
        <v/>
      </c>
      <c r="W401" s="509"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4" t="str">
        <f t="shared" si="75"/>
        <v/>
      </c>
      <c r="Y401" s="501" t="str">
        <f t="shared" si="70"/>
        <v/>
      </c>
      <c r="Z401" s="501" t="str">
        <f t="shared" si="71"/>
        <v/>
      </c>
      <c r="AA401" s="501" t="str">
        <f t="shared" si="72"/>
        <v/>
      </c>
      <c r="AB401" s="501" t="str">
        <f t="shared" si="76"/>
        <v/>
      </c>
      <c r="AC401" s="507" t="str">
        <f t="shared" si="73"/>
        <v/>
      </c>
      <c r="AD401" s="501" t="str">
        <f>IF($D401="","",MIN(終値!E401:I401))</f>
        <v/>
      </c>
      <c r="AE401" s="503" t="str">
        <f t="shared" si="74"/>
        <v/>
      </c>
    </row>
    <row r="402" spans="1:31">
      <c r="A402" s="500" t="str">
        <f>IF(終値!A402="","",HYPERLINK("https://kabutan.jp/stock/?code="&amp;終値!A402,"📈"))</f>
        <v/>
      </c>
      <c r="B402" s="500" t="str">
        <f>IF(終値!A402="","",終値!A402)</f>
        <v/>
      </c>
      <c r="C402" s="499" t="str">
        <f>IF(終値!A402="","",終値!B402)</f>
        <v/>
      </c>
      <c r="D402" s="501" t="str">
        <f>IF(終値!A402="","",終値!E402)</f>
        <v/>
      </c>
      <c r="E402" s="501" t="str">
        <f>IF($D402="","",AVERAGE(終値!E402:X402))</f>
        <v/>
      </c>
      <c r="F402" s="502" t="str">
        <f>IF($D402="","",STDEVP(終値!E402:X402))</f>
        <v/>
      </c>
      <c r="G402" s="501" t="str">
        <f>IF($D402="","",$E402+BB設定!$B$4*$F402)</f>
        <v/>
      </c>
      <c r="H402" s="501" t="str">
        <f>IF($D402="","",$E402+BB設定!$B$5*$F402)</f>
        <v/>
      </c>
      <c r="I402" s="501" t="str">
        <f>IF($D402="","",$E402-BB設定!$B$5*$F402)</f>
        <v/>
      </c>
      <c r="J402" s="501" t="str">
        <f>IF($D402="","",$E402-BB設定!$B$4*$F402)</f>
        <v/>
      </c>
      <c r="K402" s="506" t="str">
        <f t="shared" si="66"/>
        <v/>
      </c>
      <c r="L402" s="505" t="str">
        <f t="shared" si="67"/>
        <v/>
      </c>
      <c r="M402" s="505" t="str">
        <f>IF($D402="","",IFERROR(MIN(BB_帯幅!B402:AP402)*100,""))</f>
        <v/>
      </c>
      <c r="N402" s="500" t="str">
        <f>IF($L402="","",IF($L402&lt;=$M402*BB設定!$B$7,"スクイーズ★",IF($L402&lt;=$M402*1.3,"収縮","－")))</f>
        <v/>
      </c>
      <c r="O402" s="500" t="str">
        <f>IF($D402="","",IF(AND(BB_帯幅!B402&gt;BB_帯幅!C402,BB_帯幅!C402&gt;BB_帯幅!D402),"拡大↑","縮小↓"))</f>
        <v/>
      </c>
      <c r="P402" s="500" t="str">
        <f t="shared" si="68"/>
        <v/>
      </c>
      <c r="Q402" s="503" t="str">
        <f>IF($D402="","",IFERROR(100-100/(1+SUMPRODUCT((終値!E402:R402&gt;終値!F402:S402)*(終値!E402:R402-終値!F402:S402))/SUMPRODUCT((終値!E402:R402&lt;終値!F402:S402)*(終値!F402:S402-終値!E402:R402))),100))</f>
        <v/>
      </c>
      <c r="R402" s="503"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0"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0" t="str">
        <f t="shared" si="69"/>
        <v/>
      </c>
      <c r="U402" s="500" t="str">
        <f>IF(終値!A402="","",BB_スイング!BT402)</f>
        <v/>
      </c>
      <c r="V402" s="508" t="str">
        <f>IF($D402="","",IFERROR(出来高!E402/AVERAGE(出来高!E402:I402),""))</f>
        <v/>
      </c>
      <c r="W402" s="509"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4" t="str">
        <f t="shared" si="75"/>
        <v/>
      </c>
      <c r="Y402" s="501" t="str">
        <f t="shared" si="70"/>
        <v/>
      </c>
      <c r="Z402" s="501" t="str">
        <f t="shared" si="71"/>
        <v/>
      </c>
      <c r="AA402" s="501" t="str">
        <f t="shared" si="72"/>
        <v/>
      </c>
      <c r="AB402" s="501" t="str">
        <f t="shared" si="76"/>
        <v/>
      </c>
      <c r="AC402" s="507" t="str">
        <f t="shared" si="73"/>
        <v/>
      </c>
      <c r="AD402" s="501" t="str">
        <f>IF($D402="","",MIN(終値!E402:I402))</f>
        <v/>
      </c>
      <c r="AE402" s="503" t="str">
        <f t="shared" si="74"/>
        <v/>
      </c>
    </row>
    <row r="403" spans="1:31">
      <c r="A403" s="500" t="str">
        <f>IF(終値!A403="","",HYPERLINK("https://kabutan.jp/stock/?code="&amp;終値!A403,"📈"))</f>
        <v/>
      </c>
      <c r="B403" s="500" t="str">
        <f>IF(終値!A403="","",終値!A403)</f>
        <v/>
      </c>
      <c r="C403" s="499" t="str">
        <f>IF(終値!A403="","",終値!B403)</f>
        <v/>
      </c>
      <c r="D403" s="501" t="str">
        <f>IF(終値!A403="","",終値!E403)</f>
        <v/>
      </c>
      <c r="E403" s="501" t="str">
        <f>IF($D403="","",AVERAGE(終値!E403:X403))</f>
        <v/>
      </c>
      <c r="F403" s="502" t="str">
        <f>IF($D403="","",STDEVP(終値!E403:X403))</f>
        <v/>
      </c>
      <c r="G403" s="501" t="str">
        <f>IF($D403="","",$E403+BB設定!$B$4*$F403)</f>
        <v/>
      </c>
      <c r="H403" s="501" t="str">
        <f>IF($D403="","",$E403+BB設定!$B$5*$F403)</f>
        <v/>
      </c>
      <c r="I403" s="501" t="str">
        <f>IF($D403="","",$E403-BB設定!$B$5*$F403)</f>
        <v/>
      </c>
      <c r="J403" s="501" t="str">
        <f>IF($D403="","",$E403-BB設定!$B$4*$F403)</f>
        <v/>
      </c>
      <c r="K403" s="506" t="str">
        <f t="shared" si="66"/>
        <v/>
      </c>
      <c r="L403" s="505" t="str">
        <f t="shared" si="67"/>
        <v/>
      </c>
      <c r="M403" s="505" t="str">
        <f>IF($D403="","",IFERROR(MIN(BB_帯幅!B403:AP403)*100,""))</f>
        <v/>
      </c>
      <c r="N403" s="500" t="str">
        <f>IF($L403="","",IF($L403&lt;=$M403*BB設定!$B$7,"スクイーズ★",IF($L403&lt;=$M403*1.3,"収縮","－")))</f>
        <v/>
      </c>
      <c r="O403" s="500" t="str">
        <f>IF($D403="","",IF(AND(BB_帯幅!B403&gt;BB_帯幅!C403,BB_帯幅!C403&gt;BB_帯幅!D403),"拡大↑","縮小↓"))</f>
        <v/>
      </c>
      <c r="P403" s="500" t="str">
        <f t="shared" si="68"/>
        <v/>
      </c>
      <c r="Q403" s="503" t="str">
        <f>IF($D403="","",IFERROR(100-100/(1+SUMPRODUCT((終値!E403:R403&gt;終値!F403:S403)*(終値!E403:R403-終値!F403:S403))/SUMPRODUCT((終値!E403:R403&lt;終値!F403:S403)*(終値!F403:S403-終値!E403:R403))),100))</f>
        <v/>
      </c>
      <c r="R403" s="503"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0"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0" t="str">
        <f t="shared" si="69"/>
        <v/>
      </c>
      <c r="U403" s="500" t="str">
        <f>IF(終値!A403="","",BB_スイング!BT403)</f>
        <v/>
      </c>
      <c r="V403" s="508" t="str">
        <f>IF($D403="","",IFERROR(出来高!E403/AVERAGE(出来高!E403:I403),""))</f>
        <v/>
      </c>
      <c r="W403" s="509"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4" t="str">
        <f t="shared" si="75"/>
        <v/>
      </c>
      <c r="Y403" s="501" t="str">
        <f t="shared" si="70"/>
        <v/>
      </c>
      <c r="Z403" s="501" t="str">
        <f t="shared" si="71"/>
        <v/>
      </c>
      <c r="AA403" s="501" t="str">
        <f t="shared" si="72"/>
        <v/>
      </c>
      <c r="AB403" s="501" t="str">
        <f t="shared" si="76"/>
        <v/>
      </c>
      <c r="AC403" s="507" t="str">
        <f t="shared" si="73"/>
        <v/>
      </c>
      <c r="AD403" s="501" t="str">
        <f>IF($D403="","",MIN(終値!E403:I403))</f>
        <v/>
      </c>
      <c r="AE403" s="503" t="str">
        <f t="shared" si="74"/>
        <v/>
      </c>
    </row>
    <row r="404" spans="1:31">
      <c r="A404" s="500" t="str">
        <f>IF(終値!A404="","",HYPERLINK("https://kabutan.jp/stock/?code="&amp;終値!A404,"📈"))</f>
        <v/>
      </c>
      <c r="B404" s="500" t="str">
        <f>IF(終値!A404="","",終値!A404)</f>
        <v/>
      </c>
      <c r="C404" s="499" t="str">
        <f>IF(終値!A404="","",終値!B404)</f>
        <v/>
      </c>
      <c r="D404" s="501" t="str">
        <f>IF(終値!A404="","",終値!E404)</f>
        <v/>
      </c>
      <c r="E404" s="501" t="str">
        <f>IF($D404="","",AVERAGE(終値!E404:X404))</f>
        <v/>
      </c>
      <c r="F404" s="502" t="str">
        <f>IF($D404="","",STDEVP(終値!E404:X404))</f>
        <v/>
      </c>
      <c r="G404" s="501" t="str">
        <f>IF($D404="","",$E404+BB設定!$B$4*$F404)</f>
        <v/>
      </c>
      <c r="H404" s="501" t="str">
        <f>IF($D404="","",$E404+BB設定!$B$5*$F404)</f>
        <v/>
      </c>
      <c r="I404" s="501" t="str">
        <f>IF($D404="","",$E404-BB設定!$B$5*$F404)</f>
        <v/>
      </c>
      <c r="J404" s="501" t="str">
        <f>IF($D404="","",$E404-BB設定!$B$4*$F404)</f>
        <v/>
      </c>
      <c r="K404" s="506" t="str">
        <f t="shared" si="66"/>
        <v/>
      </c>
      <c r="L404" s="505" t="str">
        <f t="shared" si="67"/>
        <v/>
      </c>
      <c r="M404" s="505" t="str">
        <f>IF($D404="","",IFERROR(MIN(BB_帯幅!B404:AP404)*100,""))</f>
        <v/>
      </c>
      <c r="N404" s="500" t="str">
        <f>IF($L404="","",IF($L404&lt;=$M404*BB設定!$B$7,"スクイーズ★",IF($L404&lt;=$M404*1.3,"収縮","－")))</f>
        <v/>
      </c>
      <c r="O404" s="500" t="str">
        <f>IF($D404="","",IF(AND(BB_帯幅!B404&gt;BB_帯幅!C404,BB_帯幅!C404&gt;BB_帯幅!D404),"拡大↑","縮小↓"))</f>
        <v/>
      </c>
      <c r="P404" s="500" t="str">
        <f t="shared" si="68"/>
        <v/>
      </c>
      <c r="Q404" s="503" t="str">
        <f>IF($D404="","",IFERROR(100-100/(1+SUMPRODUCT((終値!E404:R404&gt;終値!F404:S404)*(終値!E404:R404-終値!F404:S404))/SUMPRODUCT((終値!E404:R404&lt;終値!F404:S404)*(終値!F404:S404-終値!E404:R404))),100))</f>
        <v/>
      </c>
      <c r="R404" s="503"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0"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0" t="str">
        <f t="shared" si="69"/>
        <v/>
      </c>
      <c r="U404" s="500" t="str">
        <f>IF(終値!A404="","",BB_スイング!BT404)</f>
        <v/>
      </c>
      <c r="V404" s="508" t="str">
        <f>IF($D404="","",IFERROR(出来高!E404/AVERAGE(出来高!E404:I404),""))</f>
        <v/>
      </c>
      <c r="W404" s="509"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4" t="str">
        <f t="shared" si="75"/>
        <v/>
      </c>
      <c r="Y404" s="501" t="str">
        <f t="shared" si="70"/>
        <v/>
      </c>
      <c r="Z404" s="501" t="str">
        <f t="shared" si="71"/>
        <v/>
      </c>
      <c r="AA404" s="501" t="str">
        <f t="shared" si="72"/>
        <v/>
      </c>
      <c r="AB404" s="501" t="str">
        <f t="shared" si="76"/>
        <v/>
      </c>
      <c r="AC404" s="507" t="str">
        <f t="shared" si="73"/>
        <v/>
      </c>
      <c r="AD404" s="501" t="str">
        <f>IF($D404="","",MIN(終値!E404:I404))</f>
        <v/>
      </c>
      <c r="AE404" s="503" t="str">
        <f t="shared" si="74"/>
        <v/>
      </c>
    </row>
    <row r="405" spans="1:31">
      <c r="A405" s="500" t="str">
        <f>IF(終値!A405="","",HYPERLINK("https://kabutan.jp/stock/?code="&amp;終値!A405,"📈"))</f>
        <v/>
      </c>
      <c r="B405" s="500" t="str">
        <f>IF(終値!A405="","",終値!A405)</f>
        <v/>
      </c>
      <c r="C405" s="499" t="str">
        <f>IF(終値!A405="","",終値!B405)</f>
        <v/>
      </c>
      <c r="D405" s="501" t="str">
        <f>IF(終値!A405="","",終値!E405)</f>
        <v/>
      </c>
      <c r="E405" s="501" t="str">
        <f>IF($D405="","",AVERAGE(終値!E405:X405))</f>
        <v/>
      </c>
      <c r="F405" s="502" t="str">
        <f>IF($D405="","",STDEVP(終値!E405:X405))</f>
        <v/>
      </c>
      <c r="G405" s="501" t="str">
        <f>IF($D405="","",$E405+BB設定!$B$4*$F405)</f>
        <v/>
      </c>
      <c r="H405" s="501" t="str">
        <f>IF($D405="","",$E405+BB設定!$B$5*$F405)</f>
        <v/>
      </c>
      <c r="I405" s="501" t="str">
        <f>IF($D405="","",$E405-BB設定!$B$5*$F405)</f>
        <v/>
      </c>
      <c r="J405" s="501" t="str">
        <f>IF($D405="","",$E405-BB設定!$B$4*$F405)</f>
        <v/>
      </c>
      <c r="K405" s="506" t="str">
        <f t="shared" si="66"/>
        <v/>
      </c>
      <c r="L405" s="505" t="str">
        <f t="shared" si="67"/>
        <v/>
      </c>
      <c r="M405" s="505" t="str">
        <f>IF($D405="","",IFERROR(MIN(BB_帯幅!B405:AP405)*100,""))</f>
        <v/>
      </c>
      <c r="N405" s="500" t="str">
        <f>IF($L405="","",IF($L405&lt;=$M405*BB設定!$B$7,"スクイーズ★",IF($L405&lt;=$M405*1.3,"収縮","－")))</f>
        <v/>
      </c>
      <c r="O405" s="500" t="str">
        <f>IF($D405="","",IF(AND(BB_帯幅!B405&gt;BB_帯幅!C405,BB_帯幅!C405&gt;BB_帯幅!D405),"拡大↑","縮小↓"))</f>
        <v/>
      </c>
      <c r="P405" s="500" t="str">
        <f t="shared" si="68"/>
        <v/>
      </c>
      <c r="Q405" s="503" t="str">
        <f>IF($D405="","",IFERROR(100-100/(1+SUMPRODUCT((終値!E405:R405&gt;終値!F405:S405)*(終値!E405:R405-終値!F405:S405))/SUMPRODUCT((終値!E405:R405&lt;終値!F405:S405)*(終値!F405:S405-終値!E405:R405))),100))</f>
        <v/>
      </c>
      <c r="R405" s="503"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0"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0" t="str">
        <f t="shared" si="69"/>
        <v/>
      </c>
      <c r="U405" s="500" t="str">
        <f>IF(終値!A405="","",BB_スイング!BT405)</f>
        <v/>
      </c>
      <c r="V405" s="508" t="str">
        <f>IF($D405="","",IFERROR(出来高!E405/AVERAGE(出来高!E405:I405),""))</f>
        <v/>
      </c>
      <c r="W405" s="509"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4" t="str">
        <f t="shared" si="75"/>
        <v/>
      </c>
      <c r="Y405" s="501" t="str">
        <f t="shared" si="70"/>
        <v/>
      </c>
      <c r="Z405" s="501" t="str">
        <f t="shared" si="71"/>
        <v/>
      </c>
      <c r="AA405" s="501" t="str">
        <f t="shared" si="72"/>
        <v/>
      </c>
      <c r="AB405" s="501" t="str">
        <f t="shared" si="76"/>
        <v/>
      </c>
      <c r="AC405" s="507" t="str">
        <f t="shared" si="73"/>
        <v/>
      </c>
      <c r="AD405" s="501" t="str">
        <f>IF($D405="","",MIN(終値!E405:I405))</f>
        <v/>
      </c>
      <c r="AE405" s="503"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Q20" sqref="Q20"/>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5"/>
    <col min="16" max="16" width="8.88671875" style="435"/>
    <col min="17" max="17" width="36.44140625" style="435" customWidth="1"/>
    <col min="18" max="19" width="4.33203125" style="435" customWidth="1"/>
    <col min="20" max="16384" width="8.88671875" style="435"/>
  </cols>
  <sheetData>
    <row r="1" spans="1:23">
      <c r="A1" s="794" t="s">
        <v>1160</v>
      </c>
      <c r="B1" s="787"/>
      <c r="C1" s="787"/>
      <c r="D1" s="787"/>
      <c r="E1" s="787"/>
      <c r="F1" s="787"/>
      <c r="G1" s="787"/>
      <c r="H1" s="787"/>
      <c r="I1" s="787"/>
      <c r="J1" s="787"/>
      <c r="K1" s="787"/>
      <c r="L1" s="787"/>
      <c r="M1" s="787"/>
      <c r="N1" s="787"/>
      <c r="O1" s="530"/>
    </row>
    <row r="2" spans="1:23" ht="21">
      <c r="A2" s="786" t="s">
        <v>1161</v>
      </c>
      <c r="B2" s="787"/>
      <c r="C2" s="787"/>
      <c r="D2" s="787"/>
      <c r="E2" s="787"/>
      <c r="F2" s="787"/>
      <c r="G2" s="787"/>
      <c r="H2" s="787"/>
      <c r="I2" s="787"/>
      <c r="J2" s="787"/>
      <c r="K2" s="787"/>
      <c r="L2" s="787"/>
      <c r="M2" s="787"/>
      <c r="N2" s="787"/>
      <c r="O2" s="531"/>
      <c r="P2" s="525"/>
      <c r="Q2" s="526" t="s">
        <v>1218</v>
      </c>
      <c r="R2" s="528">
        <f>終値!E3</f>
        <v>46240</v>
      </c>
      <c r="S2" s="525"/>
    </row>
    <row r="4" spans="1:23" ht="70.2" customHeight="1">
      <c r="A4" s="511" t="s">
        <v>1162</v>
      </c>
      <c r="B4" s="511" t="s">
        <v>1</v>
      </c>
      <c r="C4" s="511" t="s">
        <v>610</v>
      </c>
      <c r="D4" s="511" t="s">
        <v>525</v>
      </c>
      <c r="E4" s="511" t="s">
        <v>1143</v>
      </c>
      <c r="F4" s="511" t="s">
        <v>1145</v>
      </c>
      <c r="G4" s="511" t="s">
        <v>1163</v>
      </c>
      <c r="H4" s="511" t="s">
        <v>1164</v>
      </c>
      <c r="I4" s="511" t="s">
        <v>1165</v>
      </c>
      <c r="J4" s="511" t="s">
        <v>1152</v>
      </c>
      <c r="K4" s="511" t="s">
        <v>537</v>
      </c>
      <c r="L4" s="511" t="s">
        <v>1166</v>
      </c>
      <c r="M4" s="511" t="s">
        <v>1057</v>
      </c>
      <c r="N4" s="532" t="s">
        <v>1157</v>
      </c>
      <c r="O4" s="534" t="s">
        <v>1221</v>
      </c>
      <c r="Q4" s="558" t="s">
        <v>1219</v>
      </c>
      <c r="R4" s="527"/>
      <c r="S4" s="527"/>
    </row>
    <row r="5" spans="1:23">
      <c r="A5" s="512">
        <v>1</v>
      </c>
      <c r="B5" s="513" t="str">
        <f>IFERROR(INDEX(BBスクリーニング!$B$6:$B$405,MATCH(LARGE(BBスクリーニング!$AE$6:$AE$405,$A5),BBスクリーニング!$AE$6:$AE$405,0)),"")</f>
        <v>5243</v>
      </c>
      <c r="C5" s="514" t="str">
        <f>IFERROR(INDEX(BBスクリーニング!$C$6:$C$405,MATCH(LARGE(BBスクリーニング!$AE$6:$AE$405,$A5),BBスクリーニング!$AE$6:$AE$405,0)),"")</f>
        <v>ＮＯＴＥ</v>
      </c>
      <c r="D5" s="515">
        <f>IFERROR(INDEX(BBスクリーニング!$D$6:$D$405,MATCH(LARGE(BBスクリーニング!$AE$6:$AE$405,$A5),BBスクリーニング!$AE$6:$AE$405,0)),"")</f>
        <v>2314</v>
      </c>
      <c r="E5" s="513" t="str">
        <f>IFERROR(INDEX(BBスクリーニング!$N$6:$N$405,MATCH(LARGE(BBスクリーニング!$AE$6:$AE$405,$A5),BBスクリーニング!$AE$6:$AE$405,0)),"")</f>
        <v>収縮</v>
      </c>
      <c r="F5" s="513" t="str">
        <f>IFERROR(INDEX(BBスクリーニング!$P$6:$P$405,MATCH(LARGE(BBスクリーニング!$AE$6:$AE$405,$A5),BBスクリーニング!$AE$6:$AE$405,0)),"")</f>
        <v>+1σ上</v>
      </c>
      <c r="G5" s="516">
        <f>IFERROR(INDEX(BBスクリーニング!$Q$6:$Q$405,MATCH(LARGE(BBスクリーニング!$AE$6:$AE$405,$A5),BBスクリーニング!$AE$6:$AE$405,0)),"")</f>
        <v>57.91433891992552</v>
      </c>
      <c r="H5" s="516">
        <f>IFERROR(INDEX(BBスクリーニング!$R$6:$R$405,MATCH(LARGE(BBスクリーニング!$AE$6:$AE$405,$A5),BBスクリーニング!$AE$6:$AE$405,0)),"")</f>
        <v>62.145217340537819</v>
      </c>
      <c r="I5" s="513" t="str">
        <f>IFERROR(INDEX(BBスクリーニング!$S$6:$S$405,MATCH(LARGE(BBスクリーニング!$AE$6:$AE$405,$A5),BBスクリーニング!$AE$6:$AE$405,0)),"")</f>
        <v>－</v>
      </c>
      <c r="J5" s="517" t="str">
        <f>IFERROR(INDEX(BBスクリーニング!$W$6:$W$405,MATCH(LARGE(BBスクリーニング!$AE$6:$AE$405,$A5),BBスクリーニング!$AE$6:$AE$405,0)),"")</f>
        <v>△二番底買(確)</v>
      </c>
      <c r="K5" s="512">
        <f>IFERROR(INDEX(BBスクリーニング!$X$6:$X$405,MATCH(LARGE(BBスクリーニング!$AE$6:$AE$405,$A5),BBスクリーニング!$AE$6:$AE$405,0)),"")</f>
        <v>67</v>
      </c>
      <c r="L5" s="515">
        <f>IFERROR(INDEX(BBスクリーニング!$Z$6:$Z$405,MATCH(LARGE(BBスクリーニング!$AE$6:$AE$405,$A5),BBスクリーニング!$AE$6:$AE$405,0)),"")</f>
        <v>2209.6269449482147</v>
      </c>
      <c r="M5" s="515">
        <f>IFERROR(INDEX(BBスクリーニング!$AA$6:$AA$405,MATCH(LARGE(BBスクリーニング!$AE$6:$AE$405,$A5),BBスクリーニング!$AE$6:$AE$405,0)),"")</f>
        <v>2103.1</v>
      </c>
      <c r="N5" s="533">
        <f>IFERROR(INDEX(BBスクリーニング!$AC$6:$AC$405,MATCH(LARGE(BBスクリーニング!$AE$6:$AE$405,$A5),BBスクリーニング!$AE$6:$AE$405,0)),"")</f>
        <v>0.01</v>
      </c>
      <c r="O5" s="534" t="str">
        <f>IF($B5="","",HYPERLINK("https://kabutan.jp/stock/?code="&amp;$B5,"株探"))</f>
        <v>株探</v>
      </c>
    </row>
    <row r="6" spans="1:23">
      <c r="A6" s="512">
        <v>2</v>
      </c>
      <c r="B6" s="513" t="str">
        <f>IFERROR(INDEX(BBスクリーニング!$B$6:$B$405,MATCH(LARGE(BBスクリーニング!$AE$6:$AE$405,$A6),BBスクリーニング!$AE$6:$AE$405,0)),"")</f>
        <v>4704</v>
      </c>
      <c r="C6" s="514" t="str">
        <f>IFERROR(INDEX(BBスクリーニング!$C$6:$C$405,MATCH(LARGE(BBスクリーニング!$AE$6:$AE$405,$A6),BBスクリーニング!$AE$6:$AE$405,0)),"")</f>
        <v>トレンドマイクロ</v>
      </c>
      <c r="D6" s="515">
        <f>IFERROR(INDEX(BBスクリーニング!$D$6:$D$405,MATCH(LARGE(BBスクリーニング!$AE$6:$AE$405,$A6),BBスクリーニング!$AE$6:$AE$405,0)),"")</f>
        <v>6720</v>
      </c>
      <c r="E6" s="513" t="str">
        <f>IFERROR(INDEX(BBスクリーニング!$N$6:$N$405,MATCH(LARGE(BBスクリーニング!$AE$6:$AE$405,$A6),BBスクリーニング!$AE$6:$AE$405,0)),"")</f>
        <v>スクイーズ★</v>
      </c>
      <c r="F6" s="513" t="str">
        <f>IFERROR(INDEX(BBスクリーニング!$P$6:$P$405,MATCH(LARGE(BBスクリーニング!$AE$6:$AE$405,$A6),BBスクリーニング!$AE$6:$AE$405,0)),"")</f>
        <v>+1σ上</v>
      </c>
      <c r="G6" s="516">
        <f>IFERROR(INDEX(BBスクリーニング!$Q$6:$Q$405,MATCH(LARGE(BBスクリーニング!$AE$6:$AE$405,$A6),BBスクリーニング!$AE$6:$AE$405,0)),"")</f>
        <v>58.440225756798355</v>
      </c>
      <c r="H6" s="516">
        <f>IFERROR(INDEX(BBスクリーニング!$R$6:$R$405,MATCH(LARGE(BBスクリーニング!$AE$6:$AE$405,$A6),BBスクリーニング!$AE$6:$AE$405,0)),"")</f>
        <v>73.03391047269767</v>
      </c>
      <c r="I6" s="513" t="str">
        <f>IFERROR(INDEX(BBスクリーニング!$S$6:$S$405,MATCH(LARGE(BBスクリーニング!$AE$6:$AE$405,$A6),BBスクリーニング!$AE$6:$AE$405,0)),"")</f>
        <v>弱気div▼</v>
      </c>
      <c r="J6" s="517" t="str">
        <f>IFERROR(INDEX(BBスクリーニング!$W$6:$W$405,MATCH(LARGE(BBスクリーニング!$AE$6:$AE$405,$A6),BBスクリーニング!$AE$6:$AE$405,0)),"")</f>
        <v>△二番底形成</v>
      </c>
      <c r="K6" s="512">
        <f>IFERROR(INDEX(BBスクリーニング!$X$6:$X$405,MATCH(LARGE(BBスクリーニング!$AE$6:$AE$405,$A6),BBスクリーニング!$AE$6:$AE$405,0)),"")</f>
        <v>67</v>
      </c>
      <c r="L6" s="515">
        <f>IFERROR(INDEX(BBスクリーニング!$Z$6:$Z$405,MATCH(LARGE(BBスクリーニング!$AE$6:$AE$405,$A6),BBスクリーニング!$AE$6:$AE$405,0)),"")</f>
        <v>6587.2673919929102</v>
      </c>
      <c r="M6" s="515">
        <f>IFERROR(INDEX(BBスクリーニング!$AA$6:$AA$405,MATCH(LARGE(BBスクリーニング!$AE$6:$AE$405,$A6),BBスクリーニング!$AE$6:$AE$405,0)),"")</f>
        <v>6412.25</v>
      </c>
      <c r="N6" s="533">
        <f>IFERROR(INDEX(BBスクリーニング!$AC$6:$AC$405,MATCH(LARGE(BBスクリーニング!$AE$6:$AE$405,$A6),BBスクリーニング!$AE$6:$AE$405,0)),"")</f>
        <v>0.14000000000000001</v>
      </c>
      <c r="O6" s="534" t="str">
        <f t="shared" ref="O6:O34" si="0">IF($B6="","",HYPERLINK("https://kabutan.jp/stock/?code="&amp;$B6,"株探"))</f>
        <v>株探</v>
      </c>
      <c r="V6" s="435" t="s">
        <v>1175</v>
      </c>
      <c r="W6" s="435" t="s">
        <v>1176</v>
      </c>
    </row>
    <row r="7" spans="1:23" ht="38.4">
      <c r="A7" s="512">
        <v>3</v>
      </c>
      <c r="B7" s="513" t="str">
        <f>IFERROR(INDEX(BBスクリーニング!$B$6:$B$405,MATCH(LARGE(BBスクリーニング!$AE$6:$AE$405,$A7),BBスクリーニング!$AE$6:$AE$405,0)),"")</f>
        <v>5711</v>
      </c>
      <c r="C7" s="514" t="str">
        <f>IFERROR(INDEX(BBスクリーニング!$C$6:$C$405,MATCH(LARGE(BBスクリーニング!$AE$6:$AE$405,$A7),BBスクリーニング!$AE$6:$AE$405,0)),"")</f>
        <v>三菱マテリアル</v>
      </c>
      <c r="D7" s="515">
        <f>IFERROR(INDEX(BBスクリーニング!$D$6:$D$405,MATCH(LARGE(BBスクリーニング!$AE$6:$AE$405,$A7),BBスクリーニング!$AE$6:$AE$405,0)),"")</f>
        <v>4457</v>
      </c>
      <c r="E7" s="513" t="str">
        <f>IFERROR(INDEX(BBスクリーニング!$N$6:$N$405,MATCH(LARGE(BBスクリーニング!$AE$6:$AE$405,$A7),BBスクリーニング!$AE$6:$AE$405,0)),"")</f>
        <v>スクイーズ★</v>
      </c>
      <c r="F7" s="513" t="str">
        <f>IFERROR(INDEX(BBスクリーニング!$P$6:$P$405,MATCH(LARGE(BBスクリーニング!$AE$6:$AE$405,$A7),BBスクリーニング!$AE$6:$AE$405,0)),"")</f>
        <v>↑+2σ突破</v>
      </c>
      <c r="G7" s="516">
        <f>IFERROR(INDEX(BBスクリーニング!$Q$6:$Q$405,MATCH(LARGE(BBスクリーニング!$AE$6:$AE$405,$A7),BBスクリーニング!$AE$6:$AE$405,0)),"")</f>
        <v>56.425582785415422</v>
      </c>
      <c r="H7" s="516">
        <f>IFERROR(INDEX(BBスクリーニング!$R$6:$R$405,MATCH(LARGE(BBスクリーニング!$AE$6:$AE$405,$A7),BBスクリーニング!$AE$6:$AE$405,0)),"")</f>
        <v>65.117568781043929</v>
      </c>
      <c r="I7" s="513" t="str">
        <f>IFERROR(INDEX(BBスクリーニング!$S$6:$S$405,MATCH(LARGE(BBスクリーニング!$AE$6:$AE$405,$A7),BBスクリーニング!$AE$6:$AE$405,0)),"")</f>
        <v>－</v>
      </c>
      <c r="J7" s="517" t="str">
        <f>IFERROR(INDEX(BBスクリーニング!$W$6:$W$405,MATCH(LARGE(BBスクリーニング!$AE$6:$AE$405,$A7),BBスクリーニング!$AE$6:$AE$405,0)),"")</f>
        <v>△二番底買(確)</v>
      </c>
      <c r="K7" s="512">
        <f>IFERROR(INDEX(BBスクリーニング!$X$6:$X$405,MATCH(LARGE(BBスクリーニング!$AE$6:$AE$405,$A7),BBスクリーニング!$AE$6:$AE$405,0)),"")</f>
        <v>65</v>
      </c>
      <c r="L7" s="515">
        <f>IFERROR(INDEX(BBスクリーニング!$Z$6:$Z$405,MATCH(LARGE(BBスクリーニング!$AE$6:$AE$405,$A7),BBスクリーニング!$AE$6:$AE$405,0)),"")</f>
        <v>4286.4894558737005</v>
      </c>
      <c r="M7" s="515">
        <f>IFERROR(INDEX(BBスクリーニング!$AA$6:$AA$405,MATCH(LARGE(BBスクリーニング!$AE$6:$AE$405,$A7),BBスクリーニング!$AE$6:$AE$405,0)),"")</f>
        <v>4150.3999999999996</v>
      </c>
      <c r="N7" s="533">
        <f>IFERROR(INDEX(BBスクリーニング!$AC$6:$AC$405,MATCH(LARGE(BBスクリーニング!$AE$6:$AE$405,$A7),BBスクリーニング!$AE$6:$AE$405,0)),"")</f>
        <v>0.33</v>
      </c>
      <c r="O7" s="534" t="str">
        <f t="shared" si="0"/>
        <v>株探</v>
      </c>
      <c r="V7" s="435">
        <v>3</v>
      </c>
      <c r="W7" s="435" t="s">
        <v>1177</v>
      </c>
    </row>
    <row r="8" spans="1:23">
      <c r="A8" s="512">
        <v>4</v>
      </c>
      <c r="B8" s="513" t="str">
        <f>IFERROR(INDEX(BBスクリーニング!$B$6:$B$405,MATCH(LARGE(BBスクリーニング!$AE$6:$AE$405,$A8),BBスクリーニング!$AE$6:$AE$405,0)),"")</f>
        <v>3002</v>
      </c>
      <c r="C8" s="514" t="str">
        <f>IFERROR(INDEX(BBスクリーニング!$C$6:$C$405,MATCH(LARGE(BBスクリーニング!$AE$6:$AE$405,$A8),BBスクリーニング!$AE$6:$AE$405,0)),"")</f>
        <v>グンゼ</v>
      </c>
      <c r="D8" s="515">
        <f>IFERROR(INDEX(BBスクリーニング!$D$6:$D$405,MATCH(LARGE(BBスクリーニング!$AE$6:$AE$405,$A8),BBスクリーニング!$AE$6:$AE$405,0)),"")</f>
        <v>4170</v>
      </c>
      <c r="E8" s="513" t="str">
        <f>IFERROR(INDEX(BBスクリーニング!$N$6:$N$405,MATCH(LARGE(BBスクリーニング!$AE$6:$AE$405,$A8),BBスクリーニング!$AE$6:$AE$405,0)),"")</f>
        <v>－</v>
      </c>
      <c r="F8" s="513" t="str">
        <f>IFERROR(INDEX(BBスクリーニング!$P$6:$P$405,MATCH(LARGE(BBスクリーニング!$AE$6:$AE$405,$A8),BBスクリーニング!$AE$6:$AE$405,0)),"")</f>
        <v>↑+2σ突破</v>
      </c>
      <c r="G8" s="516">
        <f>IFERROR(INDEX(BBスクリーニング!$Q$6:$Q$405,MATCH(LARGE(BBスクリーニング!$AE$6:$AE$405,$A8),BBスクリーニング!$AE$6:$AE$405,0)),"")</f>
        <v>51.038575667655785</v>
      </c>
      <c r="H8" s="516">
        <f>IFERROR(INDEX(BBスクリーニング!$R$6:$R$405,MATCH(LARGE(BBスクリーニング!$AE$6:$AE$405,$A8),BBスクリーニング!$AE$6:$AE$405,0)),"")</f>
        <v>60.822456169772586</v>
      </c>
      <c r="I8" s="513" t="str">
        <f>IFERROR(INDEX(BBスクリーニング!$S$6:$S$405,MATCH(LARGE(BBスクリーニング!$AE$6:$AE$405,$A8),BBスクリーニング!$AE$6:$AE$405,0)),"")</f>
        <v>弱気div▼</v>
      </c>
      <c r="J8" s="517" t="str">
        <f>IFERROR(INDEX(BBスクリーニング!$W$6:$W$405,MATCH(LARGE(BBスクリーニング!$AE$6:$AE$405,$A8),BBスクリーニング!$AE$6:$AE$405,0)),"")</f>
        <v>様子見</v>
      </c>
      <c r="K8" s="512">
        <f>IFERROR(INDEX(BBスクリーニング!$X$6:$X$405,MATCH(LARGE(BBスクリーニング!$AE$6:$AE$405,$A8),BBスクリーニング!$AE$6:$AE$405,0)),"")</f>
        <v>65</v>
      </c>
      <c r="L8" s="515">
        <f>IFERROR(INDEX(BBスクリーニング!$Z$6:$Z$405,MATCH(LARGE(BBスクリーニング!$AE$6:$AE$405,$A8),BBスクリーニング!$AE$6:$AE$405,0)),"")</f>
        <v>4072.9538199800404</v>
      </c>
      <c r="M8" s="515">
        <f>IFERROR(INDEX(BBスクリーニング!$AA$6:$AA$405,MATCH(LARGE(BBスクリーニング!$AE$6:$AE$405,$A8),BBスクリーニング!$AE$6:$AE$405,0)),"")</f>
        <v>4018.4210526315787</v>
      </c>
      <c r="N8" s="533">
        <f>IFERROR(INDEX(BBスクリーニング!$AC$6:$AC$405,MATCH(LARGE(BBスクリーニング!$AE$6:$AE$405,$A8),BBスクリーニング!$AE$6:$AE$405,0)),"")</f>
        <v>0.08</v>
      </c>
      <c r="O8" s="534" t="str">
        <f t="shared" si="0"/>
        <v>株探</v>
      </c>
      <c r="V8" s="435">
        <v>8002</v>
      </c>
      <c r="W8" s="435" t="s">
        <v>1178</v>
      </c>
    </row>
    <row r="9" spans="1:23" ht="38.4">
      <c r="A9" s="512">
        <v>5</v>
      </c>
      <c r="B9" s="513" t="str">
        <f>IFERROR(INDEX(BBスクリーニング!$B$6:$B$405,MATCH(LARGE(BBスクリーニング!$AE$6:$AE$405,$A9),BBスクリーニング!$AE$6:$AE$405,0)),"")</f>
        <v>8344</v>
      </c>
      <c r="C9" s="514" t="str">
        <f>IFERROR(INDEX(BBスクリーニング!$C$6:$C$405,MATCH(LARGE(BBスクリーニング!$AE$6:$AE$405,$A9),BBスクリーニング!$AE$6:$AE$405,0)),"")</f>
        <v>山形銀行</v>
      </c>
      <c r="D9" s="515">
        <f>IFERROR(INDEX(BBスクリーニング!$D$6:$D$405,MATCH(LARGE(BBスクリーニング!$AE$6:$AE$405,$A9),BBスクリーニング!$AE$6:$AE$405,0)),"")</f>
        <v>4235</v>
      </c>
      <c r="E9" s="513" t="str">
        <f>IFERROR(INDEX(BBスクリーニング!$N$6:$N$405,MATCH(LARGE(BBスクリーニング!$AE$6:$AE$405,$A9),BBスクリーニング!$AE$6:$AE$405,0)),"")</f>
        <v>収縮</v>
      </c>
      <c r="F9" s="513" t="str">
        <f>IFERROR(INDEX(BBスクリーニング!$P$6:$P$405,MATCH(LARGE(BBスクリーニング!$AE$6:$AE$405,$A9),BBスクリーニング!$AE$6:$AE$405,0)),"")</f>
        <v>↑+2σ突破</v>
      </c>
      <c r="G9" s="516">
        <f>IFERROR(INDEX(BBスクリーニング!$Q$6:$Q$405,MATCH(LARGE(BBスクリーニング!$AE$6:$AE$405,$A9),BBスクリーニング!$AE$6:$AE$405,0)),"")</f>
        <v>57.922077922077918</v>
      </c>
      <c r="H9" s="516">
        <f>IFERROR(INDEX(BBスクリーニング!$R$6:$R$405,MATCH(LARGE(BBスクリーニング!$AE$6:$AE$405,$A9),BBスクリーニング!$AE$6:$AE$405,0)),"")</f>
        <v>63.260242442502509</v>
      </c>
      <c r="I9" s="513" t="str">
        <f>IFERROR(INDEX(BBスクリーニング!$S$6:$S$405,MATCH(LARGE(BBスクリーニング!$AE$6:$AE$405,$A9),BBスクリーニング!$AE$6:$AE$405,0)),"")</f>
        <v>弱気div▼</v>
      </c>
      <c r="J9" s="517" t="str">
        <f>IFERROR(INDEX(BBスクリーニング!$W$6:$W$405,MATCH(LARGE(BBスクリーニング!$AE$6:$AE$405,$A9),BBスクリーニング!$AE$6:$AE$405,0)),"")</f>
        <v>◎スクイーズブレイク買</v>
      </c>
      <c r="K9" s="512">
        <f>IFERROR(INDEX(BBスクリーニング!$X$6:$X$405,MATCH(LARGE(BBスクリーニング!$AE$6:$AE$405,$A9),BBスクリーニング!$AE$6:$AE$405,0)),"")</f>
        <v>65</v>
      </c>
      <c r="L9" s="515">
        <f>IFERROR(INDEX(BBスクリーニング!$Z$6:$Z$405,MATCH(LARGE(BBスクリーニング!$AE$6:$AE$405,$A9),BBスクリーニング!$AE$6:$AE$405,0)),"")</f>
        <v>4030.5347185019309</v>
      </c>
      <c r="M9" s="515">
        <f>IFERROR(INDEX(BBスクリーニング!$AA$6:$AA$405,MATCH(LARGE(BBスクリーニング!$AE$6:$AE$405,$A9),BBスクリーニング!$AE$6:$AE$405,0)),"")</f>
        <v>3868.5</v>
      </c>
      <c r="N9" s="533">
        <f>IFERROR(INDEX(BBスクリーニング!$AC$6:$AC$405,MATCH(LARGE(BBスクリーニング!$AE$6:$AE$405,$A9),BBスクリーニング!$AE$6:$AE$405,0)),"")</f>
        <v>0.33</v>
      </c>
      <c r="O9" s="534" t="str">
        <f t="shared" si="0"/>
        <v>株探</v>
      </c>
      <c r="V9" s="435" t="s">
        <v>24</v>
      </c>
      <c r="W9" s="435" t="s">
        <v>1179</v>
      </c>
    </row>
    <row r="10" spans="1:23">
      <c r="A10" s="512">
        <v>6</v>
      </c>
      <c r="B10" s="513" t="str">
        <f>IFERROR(INDEX(BBスクリーニング!$B$6:$B$405,MATCH(LARGE(BBスクリーニング!$AE$6:$AE$405,$A10),BBスクリーニング!$AE$6:$AE$405,0)),"")</f>
        <v>3402</v>
      </c>
      <c r="C10" s="514" t="str">
        <f>IFERROR(INDEX(BBスクリーニング!$C$6:$C$405,MATCH(LARGE(BBスクリーニング!$AE$6:$AE$405,$A10),BBスクリーニング!$AE$6:$AE$405,0)),"")</f>
        <v>東レ</v>
      </c>
      <c r="D10" s="515">
        <f>IFERROR(INDEX(BBスクリーニング!$D$6:$D$405,MATCH(LARGE(BBスクリーニング!$AE$6:$AE$405,$A10),BBスクリーニング!$AE$6:$AE$405,0)),"")</f>
        <v>1299.5</v>
      </c>
      <c r="E10" s="513" t="str">
        <f>IFERROR(INDEX(BBスクリーニング!$N$6:$N$405,MATCH(LARGE(BBスクリーニング!$AE$6:$AE$405,$A10),BBスクリーニング!$AE$6:$AE$405,0)),"")</f>
        <v>－</v>
      </c>
      <c r="F10" s="513" t="str">
        <f>IFERROR(INDEX(BBスクリーニング!$P$6:$P$405,MATCH(LARGE(BBスクリーニング!$AE$6:$AE$405,$A10),BBスクリーニング!$AE$6:$AE$405,0)),"")</f>
        <v>↑+2σ突破</v>
      </c>
      <c r="G10" s="516">
        <f>IFERROR(INDEX(BBスクリーニング!$Q$6:$Q$405,MATCH(LARGE(BBスクリーニング!$AE$6:$AE$405,$A10),BBスクリーニング!$AE$6:$AE$405,0)),"")</f>
        <v>67.983074753173483</v>
      </c>
      <c r="H10" s="516">
        <f>IFERROR(INDEX(BBスクリーニング!$R$6:$R$405,MATCH(LARGE(BBスクリーニング!$AE$6:$AE$405,$A10),BBスクリーニング!$AE$6:$AE$405,0)),"")</f>
        <v>67.017970165097012</v>
      </c>
      <c r="I10" s="513" t="str">
        <f>IFERROR(INDEX(BBスクリーニング!$S$6:$S$405,MATCH(LARGE(BBスクリーニング!$AE$6:$AE$405,$A10),BBスクリーニング!$AE$6:$AE$405,0)),"")</f>
        <v>－</v>
      </c>
      <c r="J10" s="517" t="str">
        <f>IFERROR(INDEX(BBスクリーニング!$W$6:$W$405,MATCH(LARGE(BBスクリーニング!$AE$6:$AE$405,$A10),BBスクリーニング!$AE$6:$AE$405,0)),"")</f>
        <v>△二番底買(確)</v>
      </c>
      <c r="K10" s="512">
        <f>IFERROR(INDEX(BBスクリーニング!$X$6:$X$405,MATCH(LARGE(BBスクリーニング!$AE$6:$AE$405,$A10),BBスクリーニング!$AE$6:$AE$405,0)),"")</f>
        <v>60</v>
      </c>
      <c r="L10" s="515">
        <f>IFERROR(INDEX(BBスクリーニング!$Z$6:$Z$405,MATCH(LARGE(BBスクリーニング!$AE$6:$AE$405,$A10),BBスクリーニング!$AE$6:$AE$405,0)),"")</f>
        <v>1199.2652243676505</v>
      </c>
      <c r="M10" s="515">
        <f>IFERROR(INDEX(BBスクリーニング!$AA$6:$AA$405,MATCH(LARGE(BBスクリーニング!$AE$6:$AE$405,$A10),BBスクリーニング!$AE$6:$AE$405,0)),"")</f>
        <v>1165.2249999999999</v>
      </c>
      <c r="N10" s="533">
        <f>IFERROR(INDEX(BBスクリーニング!$AC$6:$AC$405,MATCH(LARGE(BBスクリーニング!$AE$6:$AE$405,$A10),BBスクリーニング!$AE$6:$AE$405,0)),"")</f>
        <v>-0.24</v>
      </c>
      <c r="O10" s="534" t="str">
        <f t="shared" si="0"/>
        <v>株探</v>
      </c>
      <c r="V10" s="518">
        <v>4988</v>
      </c>
      <c r="W10" s="435" t="s">
        <v>1180</v>
      </c>
    </row>
    <row r="11" spans="1:23">
      <c r="A11" s="512">
        <v>7</v>
      </c>
      <c r="B11" s="513" t="str">
        <f>IFERROR(INDEX(BBスクリーニング!$B$6:$B$405,MATCH(LARGE(BBスクリーニング!$AE$6:$AE$405,$A11),BBスクリーニング!$AE$6:$AE$405,0)),"")</f>
        <v>3103</v>
      </c>
      <c r="C11" s="514" t="str">
        <f>IFERROR(INDEX(BBスクリーニング!$C$6:$C$405,MATCH(LARGE(BBスクリーニング!$AE$6:$AE$405,$A11),BBスクリーニング!$AE$6:$AE$405,0)),"")</f>
        <v>ユニチカ</v>
      </c>
      <c r="D11" s="515">
        <f>IFERROR(INDEX(BBスクリーニング!$D$6:$D$405,MATCH(LARGE(BBスクリーニング!$AE$6:$AE$405,$A11),BBスクリーニング!$AE$6:$AE$405,0)),"")</f>
        <v>1258</v>
      </c>
      <c r="E11" s="513" t="str">
        <f>IFERROR(INDEX(BBスクリーニング!$N$6:$N$405,MATCH(LARGE(BBスクリーニング!$AE$6:$AE$405,$A11),BBスクリーニング!$AE$6:$AE$405,0)),"")</f>
        <v>－</v>
      </c>
      <c r="F11" s="513" t="str">
        <f>IFERROR(INDEX(BBスクリーニング!$P$6:$P$405,MATCH(LARGE(BBスクリーニング!$AE$6:$AE$405,$A11),BBスクリーニング!$AE$6:$AE$405,0)),"")</f>
        <v>↑+2σ突破</v>
      </c>
      <c r="G11" s="516">
        <f>IFERROR(INDEX(BBスクリーニング!$Q$6:$Q$405,MATCH(LARGE(BBスクリーニング!$AE$6:$AE$405,$A11),BBスクリーニング!$AE$6:$AE$405,0)),"")</f>
        <v>66.628041714947855</v>
      </c>
      <c r="H11" s="516">
        <f>IFERROR(INDEX(BBスクリーニング!$R$6:$R$405,MATCH(LARGE(BBスクリーニング!$AE$6:$AE$405,$A11),BBスクリーニング!$AE$6:$AE$405,0)),"")</f>
        <v>75.475149788429377</v>
      </c>
      <c r="I11" s="513" t="str">
        <f>IFERROR(INDEX(BBスクリーニング!$S$6:$S$405,MATCH(LARGE(BBスクリーニング!$AE$6:$AE$405,$A11),BBスクリーニング!$AE$6:$AE$405,0)),"")</f>
        <v>－</v>
      </c>
      <c r="J11" s="517" t="str">
        <f>IFERROR(INDEX(BBスクリーニング!$W$6:$W$405,MATCH(LARGE(BBスクリーニング!$AE$6:$AE$405,$A11),BBスクリーニング!$AE$6:$AE$405,0)),"")</f>
        <v>様子見</v>
      </c>
      <c r="K11" s="512">
        <f>IFERROR(INDEX(BBスクリーニング!$X$6:$X$405,MATCH(LARGE(BBスクリーニング!$AE$6:$AE$405,$A11),BBスクリーニング!$AE$6:$AE$405,0)),"")</f>
        <v>60</v>
      </c>
      <c r="L11" s="515">
        <f>IFERROR(INDEX(BBスクリーニング!$Z$6:$Z$405,MATCH(LARGE(BBスクリーニング!$AE$6:$AE$405,$A11),BBスクリーニング!$AE$6:$AE$405,0)),"")</f>
        <v>1000.0938663512186</v>
      </c>
      <c r="M11" s="515">
        <f>IFERROR(INDEX(BBスクリーニング!$AA$6:$AA$405,MATCH(LARGE(BBスクリーニング!$AE$6:$AE$405,$A11),BBスクリーニング!$AE$6:$AE$405,0)),"")</f>
        <v>898.2</v>
      </c>
      <c r="N11" s="533">
        <f>IFERROR(INDEX(BBスクリーニング!$AC$6:$AC$405,MATCH(LARGE(BBスクリーニング!$AE$6:$AE$405,$A11),BBスクリーニング!$AE$6:$AE$405,0)),"")</f>
        <v>-0.15</v>
      </c>
      <c r="O11" s="534" t="str">
        <f t="shared" si="0"/>
        <v>株探</v>
      </c>
      <c r="V11" s="435" t="s">
        <v>1181</v>
      </c>
      <c r="W11" s="435" t="s">
        <v>1182</v>
      </c>
    </row>
    <row r="12" spans="1:23">
      <c r="A12" s="512">
        <v>8</v>
      </c>
      <c r="B12" s="513" t="str">
        <f>IFERROR(INDEX(BBスクリーニング!$B$6:$B$405,MATCH(LARGE(BBスクリーニング!$AE$6:$AE$405,$A12),BBスクリーニング!$AE$6:$AE$405,0)),"")</f>
        <v>6482</v>
      </c>
      <c r="C12" s="514" t="str">
        <f>IFERROR(INDEX(BBスクリーニング!$C$6:$C$405,MATCH(LARGE(BBスクリーニング!$AE$6:$AE$405,$A12),BBスクリーニング!$AE$6:$AE$405,0)),"")</f>
        <v>ＹＵＳＨＩＮ</v>
      </c>
      <c r="D12" s="515">
        <f>IFERROR(INDEX(BBスクリーニング!$D$6:$D$405,MATCH(LARGE(BBスクリーニング!$AE$6:$AE$405,$A12),BBスクリーニング!$AE$6:$AE$405,0)),"")</f>
        <v>682</v>
      </c>
      <c r="E12" s="513" t="str">
        <f>IFERROR(INDEX(BBスクリーニング!$N$6:$N$405,MATCH(LARGE(BBスクリーニング!$AE$6:$AE$405,$A12),BBスクリーニング!$AE$6:$AE$405,0)),"")</f>
        <v>スクイーズ★</v>
      </c>
      <c r="F12" s="513" t="str">
        <f>IFERROR(INDEX(BBスクリーニング!$P$6:$P$405,MATCH(LARGE(BBスクリーニング!$AE$6:$AE$405,$A12),BBスクリーニング!$AE$6:$AE$405,0)),"")</f>
        <v>バンド内</v>
      </c>
      <c r="G12" s="516">
        <f>IFERROR(INDEX(BBスクリーニング!$Q$6:$Q$405,MATCH(LARGE(BBスクリーニング!$AE$6:$AE$405,$A12),BBスクリーニング!$AE$6:$AE$405,0)),"")</f>
        <v>55.555555555555557</v>
      </c>
      <c r="H12" s="516">
        <f>IFERROR(INDEX(BBスクリーニング!$R$6:$R$405,MATCH(LARGE(BBスクリーニング!$AE$6:$AE$405,$A12),BBスクリーニング!$AE$6:$AE$405,0)),"")</f>
        <v>70.21973482007995</v>
      </c>
      <c r="I12" s="513" t="str">
        <f>IFERROR(INDEX(BBスクリーニング!$S$6:$S$405,MATCH(LARGE(BBスクリーニング!$AE$6:$AE$405,$A12),BBスクリーニング!$AE$6:$AE$405,0)),"")</f>
        <v>強気div▲</v>
      </c>
      <c r="J12" s="517" t="str">
        <f>IFERROR(INDEX(BBスクリーニング!$W$6:$W$405,MATCH(LARGE(BBスクリーニング!$AE$6:$AE$405,$A12),BBスクリーニング!$AE$6:$AE$405,0)),"")</f>
        <v>○反発(ダイバ)買</v>
      </c>
      <c r="K12" s="512">
        <f>IFERROR(INDEX(BBスクリーニング!$X$6:$X$405,MATCH(LARGE(BBスクリーニング!$AE$6:$AE$405,$A12),BBスクリーニング!$AE$6:$AE$405,0)),"")</f>
        <v>60</v>
      </c>
      <c r="L12" s="515">
        <f>IFERROR(INDEX(BBスクリーニング!$Z$6:$Z$405,MATCH(LARGE(BBスクリーニング!$AE$6:$AE$405,$A12),BBスクリーニング!$AE$6:$AE$405,0)),"")</f>
        <v>687.41700057489288</v>
      </c>
      <c r="M12" s="515">
        <f>IFERROR(INDEX(BBスクリーニング!$AA$6:$AA$405,MATCH(LARGE(BBスクリーニング!$AE$6:$AE$405,$A12),BBスクリーニング!$AE$6:$AE$405,0)),"")</f>
        <v>677.85</v>
      </c>
      <c r="N12" s="533">
        <f>IFERROR(INDEX(BBスクリーニング!$AC$6:$AC$405,MATCH(LARGE(BBスクリーニング!$AE$6:$AE$405,$A12),BBスクリーニング!$AE$6:$AE$405,0)),"")</f>
        <v>3.61</v>
      </c>
      <c r="O12" s="534" t="str">
        <f t="shared" si="0"/>
        <v>株探</v>
      </c>
      <c r="V12" s="435" t="s">
        <v>1183</v>
      </c>
      <c r="W12" s="435" t="s">
        <v>1184</v>
      </c>
    </row>
    <row r="13" spans="1:23">
      <c r="A13" s="512">
        <v>9</v>
      </c>
      <c r="B13" s="513" t="str">
        <f>IFERROR(INDEX(BBスクリーニング!$B$6:$B$405,MATCH(LARGE(BBスクリーニング!$AE$6:$AE$405,$A13),BBスクリーニング!$AE$6:$AE$405,0)),"")</f>
        <v>5714</v>
      </c>
      <c r="C13" s="514" t="str">
        <f>IFERROR(INDEX(BBスクリーニング!$C$6:$C$405,MATCH(LARGE(BBスクリーニング!$AE$6:$AE$405,$A13),BBスクリーニング!$AE$6:$AE$405,0)),"")</f>
        <v>ＤＯＷＡホールディングス</v>
      </c>
      <c r="D13" s="515">
        <f>IFERROR(INDEX(BBスクリーニング!$D$6:$D$405,MATCH(LARGE(BBスクリーニング!$AE$6:$AE$405,$A13),BBスクリーニング!$AE$6:$AE$405,0)),"")</f>
        <v>8907</v>
      </c>
      <c r="E13" s="513" t="str">
        <f>IFERROR(INDEX(BBスクリーニング!$N$6:$N$405,MATCH(LARGE(BBスクリーニング!$AE$6:$AE$405,$A13),BBスクリーニング!$AE$6:$AE$405,0)),"")</f>
        <v>収縮</v>
      </c>
      <c r="F13" s="513" t="str">
        <f>IFERROR(INDEX(BBスクリーニング!$P$6:$P$405,MATCH(LARGE(BBスクリーニング!$AE$6:$AE$405,$A13),BBスクリーニング!$AE$6:$AE$405,0)),"")</f>
        <v>↑+2σ突破</v>
      </c>
      <c r="G13" s="516">
        <f>IFERROR(INDEX(BBスクリーニング!$Q$6:$Q$405,MATCH(LARGE(BBスクリーニング!$AE$6:$AE$405,$A13),BBスクリーニング!$AE$6:$AE$405,0)),"")</f>
        <v>57.268170426065154</v>
      </c>
      <c r="H13" s="516">
        <f>IFERROR(INDEX(BBスクリーニング!$R$6:$R$405,MATCH(LARGE(BBスクリーニング!$AE$6:$AE$405,$A13),BBスクリーニング!$AE$6:$AE$405,0)),"")</f>
        <v>65.398996119804792</v>
      </c>
      <c r="I13" s="513" t="str">
        <f>IFERROR(INDEX(BBスクリーニング!$S$6:$S$405,MATCH(LARGE(BBスクリーニング!$AE$6:$AE$405,$A13),BBスクリーニング!$AE$6:$AE$405,0)),"")</f>
        <v>－</v>
      </c>
      <c r="J13" s="517" t="str">
        <f>IFERROR(INDEX(BBスクリーニング!$W$6:$W$405,MATCH(LARGE(BBスクリーニング!$AE$6:$AE$405,$A13),BBスクリーニング!$AE$6:$AE$405,0)),"")</f>
        <v>△二番底買(確)</v>
      </c>
      <c r="K13" s="512">
        <f>IFERROR(INDEX(BBスクリーニング!$X$6:$X$405,MATCH(LARGE(BBスクリーニング!$AE$6:$AE$405,$A13),BBスクリーニング!$AE$6:$AE$405,0)),"")</f>
        <v>58</v>
      </c>
      <c r="L13" s="515">
        <f>IFERROR(INDEX(BBスクリーニング!$Z$6:$Z$405,MATCH(LARGE(BBスクリーニング!$AE$6:$AE$405,$A13),BBスクリーニング!$AE$6:$AE$405,0)),"")</f>
        <v>8533.979409546424</v>
      </c>
      <c r="M13" s="515">
        <f>IFERROR(INDEX(BBスクリーニング!$AA$6:$AA$405,MATCH(LARGE(BBスクリーニング!$AE$6:$AE$405,$A13),BBスクリーニング!$AE$6:$AE$405,0)),"")</f>
        <v>8305.85</v>
      </c>
      <c r="N13" s="533">
        <f>IFERROR(INDEX(BBスクリーニング!$AC$6:$AC$405,MATCH(LARGE(BBスクリーニング!$AE$6:$AE$405,$A13),BBスクリーニング!$AE$6:$AE$405,0)),"")</f>
        <v>0.14000000000000001</v>
      </c>
      <c r="O13" s="534" t="str">
        <f t="shared" si="0"/>
        <v>株探</v>
      </c>
      <c r="V13" s="435">
        <v>68.3</v>
      </c>
      <c r="W13" s="435" t="s">
        <v>1185</v>
      </c>
    </row>
    <row r="14" spans="1:23">
      <c r="A14" s="512">
        <v>10</v>
      </c>
      <c r="B14" s="513" t="str">
        <f>IFERROR(INDEX(BBスクリーニング!$B$6:$B$405,MATCH(LARGE(BBスクリーニング!$AE$6:$AE$405,$A14),BBスクリーニング!$AE$6:$AE$405,0)),"")</f>
        <v>5233</v>
      </c>
      <c r="C14" s="514" t="str">
        <f>IFERROR(INDEX(BBスクリーニング!$C$6:$C$405,MATCH(LARGE(BBスクリーニング!$AE$6:$AE$405,$A14),BBスクリーニング!$AE$6:$AE$405,0)),"")</f>
        <v>太平洋セメント</v>
      </c>
      <c r="D14" s="515">
        <f>IFERROR(INDEX(BBスクリーニング!$D$6:$D$405,MATCH(LARGE(BBスクリーニング!$AE$6:$AE$405,$A14),BBスクリーニング!$AE$6:$AE$405,0)),"")</f>
        <v>4333</v>
      </c>
      <c r="E14" s="513" t="str">
        <f>IFERROR(INDEX(BBスクリーニング!$N$6:$N$405,MATCH(LARGE(BBスクリーニング!$AE$6:$AE$405,$A14),BBスクリーニング!$AE$6:$AE$405,0)),"")</f>
        <v>－</v>
      </c>
      <c r="F14" s="513" t="str">
        <f>IFERROR(INDEX(BBスクリーニング!$P$6:$P$405,MATCH(LARGE(BBスクリーニング!$AE$6:$AE$405,$A14),BBスクリーニング!$AE$6:$AE$405,0)),"")</f>
        <v>↑+2σ突破</v>
      </c>
      <c r="G14" s="516">
        <f>IFERROR(INDEX(BBスクリーニング!$Q$6:$Q$405,MATCH(LARGE(BBスクリーニング!$AE$6:$AE$405,$A14),BBスクリーニング!$AE$6:$AE$405,0)),"")</f>
        <v>64.927288280581706</v>
      </c>
      <c r="H14" s="516">
        <f>IFERROR(INDEX(BBスクリーニング!$R$6:$R$405,MATCH(LARGE(BBスクリーニング!$AE$6:$AE$405,$A14),BBスクリーニング!$AE$6:$AE$405,0)),"")</f>
        <v>62.099913409281093</v>
      </c>
      <c r="I14" s="513" t="str">
        <f>IFERROR(INDEX(BBスクリーニング!$S$6:$S$405,MATCH(LARGE(BBスクリーニング!$AE$6:$AE$405,$A14),BBスクリーニング!$AE$6:$AE$405,0)),"")</f>
        <v>－</v>
      </c>
      <c r="J14" s="517" t="str">
        <f>IFERROR(INDEX(BBスクリーニング!$W$6:$W$405,MATCH(LARGE(BBスクリーニング!$AE$6:$AE$405,$A14),BBスクリーニング!$AE$6:$AE$405,0)),"")</f>
        <v>△二番底買(確)</v>
      </c>
      <c r="K14" s="512">
        <f>IFERROR(INDEX(BBスクリーニング!$X$6:$X$405,MATCH(LARGE(BBスクリーニング!$AE$6:$AE$405,$A14),BBスクリーニング!$AE$6:$AE$405,0)),"")</f>
        <v>58</v>
      </c>
      <c r="L14" s="515">
        <f>IFERROR(INDEX(BBスクリーニング!$Z$6:$Z$405,MATCH(LARGE(BBスクリーニング!$AE$6:$AE$405,$A14),BBスクリーニング!$AE$6:$AE$405,0)),"")</f>
        <v>4199.48246632259</v>
      </c>
      <c r="M14" s="515">
        <f>IFERROR(INDEX(BBスクリーニング!$AA$6:$AA$405,MATCH(LARGE(BBスクリーニング!$AE$6:$AE$405,$A14),BBスクリーニング!$AE$6:$AE$405,0)),"")</f>
        <v>4072.45</v>
      </c>
      <c r="N14" s="533">
        <f>IFERROR(INDEX(BBスクリーニング!$AC$6:$AC$405,MATCH(LARGE(BBスクリーニング!$AE$6:$AE$405,$A14),BBスクリーニング!$AE$6:$AE$405,0)),"")</f>
        <v>0.46</v>
      </c>
      <c r="O14" s="534" t="str">
        <f t="shared" si="0"/>
        <v>株探</v>
      </c>
      <c r="V14" s="435">
        <v>59.4</v>
      </c>
      <c r="W14" s="435" t="s">
        <v>1186</v>
      </c>
    </row>
    <row r="15" spans="1:23">
      <c r="A15" s="512">
        <v>11</v>
      </c>
      <c r="B15" s="513" t="str">
        <f>IFERROR(INDEX(BBスクリーニング!$B$6:$B$405,MATCH(LARGE(BBスクリーニング!$AE$6:$AE$405,$A15),BBスクリーニング!$AE$6:$AE$405,0)),"")</f>
        <v>8570</v>
      </c>
      <c r="C15" s="514" t="str">
        <f>IFERROR(INDEX(BBスクリーニング!$C$6:$C$405,MATCH(LARGE(BBスクリーニング!$AE$6:$AE$405,$A15),BBスクリーニング!$AE$6:$AE$405,0)),"")</f>
        <v>イオンフィナンシャルサービス</v>
      </c>
      <c r="D15" s="515">
        <f>IFERROR(INDEX(BBスクリーニング!$D$6:$D$405,MATCH(LARGE(BBスクリーニング!$AE$6:$AE$405,$A15),BBスクリーニング!$AE$6:$AE$405,0)),"")</f>
        <v>1594.5</v>
      </c>
      <c r="E15" s="513" t="str">
        <f>IFERROR(INDEX(BBスクリーニング!$N$6:$N$405,MATCH(LARGE(BBスクリーニング!$AE$6:$AE$405,$A15),BBスクリーニング!$AE$6:$AE$405,0)),"")</f>
        <v>スクイーズ★</v>
      </c>
      <c r="F15" s="513" t="str">
        <f>IFERROR(INDEX(BBスクリーニング!$P$6:$P$405,MATCH(LARGE(BBスクリーニング!$AE$6:$AE$405,$A15),BBスクリーニング!$AE$6:$AE$405,0)),"")</f>
        <v>+1σ上</v>
      </c>
      <c r="G15" s="516">
        <f>IFERROR(INDEX(BBスクリーニング!$Q$6:$Q$405,MATCH(LARGE(BBスクリーニング!$AE$6:$AE$405,$A15),BBスクリーニング!$AE$6:$AE$405,0)),"")</f>
        <v>60.236220472440948</v>
      </c>
      <c r="H15" s="516">
        <f>IFERROR(INDEX(BBスクリーニング!$R$6:$R$405,MATCH(LARGE(BBスクリーニング!$AE$6:$AE$405,$A15),BBスクリーニング!$AE$6:$AE$405,0)),"")</f>
        <v>61.095421383173097</v>
      </c>
      <c r="I15" s="513" t="str">
        <f>IFERROR(INDEX(BBスクリーニング!$S$6:$S$405,MATCH(LARGE(BBスクリーニング!$AE$6:$AE$405,$A15),BBスクリーニング!$AE$6:$AE$405,0)),"")</f>
        <v>弱気div▼</v>
      </c>
      <c r="J15" s="517" t="str">
        <f>IFERROR(INDEX(BBスクリーニング!$W$6:$W$405,MATCH(LARGE(BBスクリーニング!$AE$6:$AE$405,$A15),BBスクリーニング!$AE$6:$AE$405,0)),"")</f>
        <v>☆スクイーズ監視</v>
      </c>
      <c r="K15" s="512">
        <f>IFERROR(INDEX(BBスクリーニング!$X$6:$X$405,MATCH(LARGE(BBスクリーニング!$AE$6:$AE$405,$A15),BBスクリーニング!$AE$6:$AE$405,0)),"")</f>
        <v>57</v>
      </c>
      <c r="L15" s="515">
        <f>IFERROR(INDEX(BBスクリーニング!$Z$6:$Z$405,MATCH(LARGE(BBスクリーニング!$AE$6:$AE$405,$A15),BBスクリーニング!$AE$6:$AE$405,0)),"")</f>
        <v>1577.1682862497194</v>
      </c>
      <c r="M15" s="515">
        <f>IFERROR(INDEX(BBスクリーニング!$AA$6:$AA$405,MATCH(LARGE(BBスクリーニング!$AE$6:$AE$405,$A15),BBスクリーニング!$AE$6:$AE$405,0)),"")</f>
        <v>1555.9</v>
      </c>
      <c r="N15" s="533">
        <f>IFERROR(INDEX(BBスクリーニング!$AC$6:$AC$405,MATCH(LARGE(BBスクリーニング!$AE$6:$AE$405,$A15),BBスクリーニング!$AE$6:$AE$405,0)),"")</f>
        <v>0.1</v>
      </c>
      <c r="O15" s="534" t="str">
        <f t="shared" si="0"/>
        <v>株探</v>
      </c>
      <c r="V15" s="740" t="s">
        <v>1315</v>
      </c>
      <c r="W15" s="435" t="s">
        <v>1187</v>
      </c>
    </row>
    <row r="16" spans="1:23" ht="38.4">
      <c r="A16" s="512">
        <v>12</v>
      </c>
      <c r="B16" s="513" t="str">
        <f>IFERROR(INDEX(BBスクリーニング!$B$6:$B$405,MATCH(LARGE(BBスクリーニング!$AE$6:$AE$405,$A16),BBスクリーニング!$AE$6:$AE$405,0)),"")</f>
        <v>9449</v>
      </c>
      <c r="C16" s="514" t="str">
        <f>IFERROR(INDEX(BBスクリーニング!$C$6:$C$405,MATCH(LARGE(BBスクリーニング!$AE$6:$AE$405,$A16),BBスクリーニング!$AE$6:$AE$405,0)),"")</f>
        <v>ＧＭＯインターネットグループ</v>
      </c>
      <c r="D16" s="515">
        <f>IFERROR(INDEX(BBスクリーニング!$D$6:$D$405,MATCH(LARGE(BBスクリーニング!$AE$6:$AE$405,$A16),BBスクリーニング!$AE$6:$AE$405,0)),"")</f>
        <v>4196</v>
      </c>
      <c r="E16" s="513" t="str">
        <f>IFERROR(INDEX(BBスクリーニング!$N$6:$N$405,MATCH(LARGE(BBスクリーニング!$AE$6:$AE$405,$A16),BBスクリーニング!$AE$6:$AE$405,0)),"")</f>
        <v>スクイーズ★</v>
      </c>
      <c r="F16" s="513" t="str">
        <f>IFERROR(INDEX(BBスクリーニング!$P$6:$P$405,MATCH(LARGE(BBスクリーニング!$AE$6:$AE$405,$A16),BBスクリーニング!$AE$6:$AE$405,0)),"")</f>
        <v>+1σ上</v>
      </c>
      <c r="G16" s="516">
        <f>IFERROR(INDEX(BBスクリーニング!$Q$6:$Q$405,MATCH(LARGE(BBスクリーニング!$AE$6:$AE$405,$A16),BBスクリーニング!$AE$6:$AE$405,0)),"")</f>
        <v>59.729064039408868</v>
      </c>
      <c r="H16" s="516">
        <f>IFERROR(INDEX(BBスクリーニング!$R$6:$R$405,MATCH(LARGE(BBスクリーニング!$AE$6:$AE$405,$A16),BBスクリーニング!$AE$6:$AE$405,0)),"")</f>
        <v>64.516294693816434</v>
      </c>
      <c r="I16" s="513" t="str">
        <f>IFERROR(INDEX(BBスクリーニング!$S$6:$S$405,MATCH(LARGE(BBスクリーニング!$AE$6:$AE$405,$A16),BBスクリーニング!$AE$6:$AE$405,0)),"")</f>
        <v>弱気div▼</v>
      </c>
      <c r="J16" s="517" t="str">
        <f>IFERROR(INDEX(BBスクリーニング!$W$6:$W$405,MATCH(LARGE(BBスクリーニング!$AE$6:$AE$405,$A16),BBスクリーニング!$AE$6:$AE$405,0)),"")</f>
        <v>△二番底形成</v>
      </c>
      <c r="K16" s="512">
        <f>IFERROR(INDEX(BBスクリーニング!$X$6:$X$405,MATCH(LARGE(BBスクリーニング!$AE$6:$AE$405,$A16),BBスクリーニング!$AE$6:$AE$405,0)),"")</f>
        <v>57</v>
      </c>
      <c r="L16" s="515">
        <f>IFERROR(INDEX(BBスクリーニング!$Z$6:$Z$405,MATCH(LARGE(BBスクリーニング!$AE$6:$AE$405,$A16),BBスクリーニング!$AE$6:$AE$405,0)),"")</f>
        <v>4187.1672900859548</v>
      </c>
      <c r="M16" s="515">
        <f>IFERROR(INDEX(BBスクリーニング!$AA$6:$AA$405,MATCH(LARGE(BBスクリーニング!$AE$6:$AE$405,$A16),BBスクリーニング!$AE$6:$AE$405,0)),"")</f>
        <v>4053.05</v>
      </c>
      <c r="N16" s="533">
        <f>IFERROR(INDEX(BBスクリーニング!$AC$6:$AC$405,MATCH(LARGE(BBスクリーニング!$AE$6:$AE$405,$A16),BBスクリーニング!$AE$6:$AE$405,0)),"")</f>
        <v>0.88</v>
      </c>
      <c r="O16" s="534" t="str">
        <f t="shared" si="0"/>
        <v>株探</v>
      </c>
      <c r="V16" s="435" t="s">
        <v>1122</v>
      </c>
      <c r="W16" s="435" t="s">
        <v>1188</v>
      </c>
    </row>
    <row r="17" spans="1:23">
      <c r="A17" s="512">
        <v>13</v>
      </c>
      <c r="B17" s="513" t="str">
        <f>IFERROR(INDEX(BBスクリーニング!$B$6:$B$405,MATCH(LARGE(BBスクリーニング!$AE$6:$AE$405,$A17),BBスクリーニング!$AE$6:$AE$405,0)),"")</f>
        <v>8704</v>
      </c>
      <c r="C17" s="514" t="str">
        <f>IFERROR(INDEX(BBスクリーニング!$C$6:$C$405,MATCH(LARGE(BBスクリーニング!$AE$6:$AE$405,$A17),BBスクリーニング!$AE$6:$AE$405,0)),"")</f>
        <v>トレイダーズＨＬＤＧＳ</v>
      </c>
      <c r="D17" s="515">
        <f>IFERROR(INDEX(BBスクリーニング!$D$6:$D$405,MATCH(LARGE(BBスクリーニング!$AE$6:$AE$405,$A17),BBスクリーニング!$AE$6:$AE$405,0)),"")</f>
        <v>1323</v>
      </c>
      <c r="E17" s="513" t="str">
        <f>IFERROR(INDEX(BBスクリーニング!$N$6:$N$405,MATCH(LARGE(BBスクリーニング!$AE$6:$AE$405,$A17),BBスクリーニング!$AE$6:$AE$405,0)),"")</f>
        <v>－</v>
      </c>
      <c r="F17" s="513" t="str">
        <f>IFERROR(INDEX(BBスクリーニング!$P$6:$P$405,MATCH(LARGE(BBスクリーニング!$AE$6:$AE$405,$A17),BBスクリーニング!$AE$6:$AE$405,0)),"")</f>
        <v>+1σ上</v>
      </c>
      <c r="G17" s="516">
        <f>IFERROR(INDEX(BBスクリーニング!$Q$6:$Q$405,MATCH(LARGE(BBスクリーニング!$AE$6:$AE$405,$A17),BBスクリーニング!$AE$6:$AE$405,0)),"")</f>
        <v>51.235955056179776</v>
      </c>
      <c r="H17" s="516">
        <f>IFERROR(INDEX(BBスクリーニング!$R$6:$R$405,MATCH(LARGE(BBスクリーニング!$AE$6:$AE$405,$A17),BBスクリーニング!$AE$6:$AE$405,0)),"")</f>
        <v>61.072707353414486</v>
      </c>
      <c r="I17" s="513" t="str">
        <f>IFERROR(INDEX(BBスクリーニング!$S$6:$S$405,MATCH(LARGE(BBスクリーニング!$AE$6:$AE$405,$A17),BBスクリーニング!$AE$6:$AE$405,0)),"")</f>
        <v>弱気div▼</v>
      </c>
      <c r="J17" s="517" t="str">
        <f>IFERROR(INDEX(BBスクリーニング!$W$6:$W$405,MATCH(LARGE(BBスクリーニング!$AE$6:$AE$405,$A17),BBスクリーニング!$AE$6:$AE$405,0)),"")</f>
        <v>△二番底買(確)</v>
      </c>
      <c r="K17" s="512">
        <f>IFERROR(INDEX(BBスクリーニング!$X$6:$X$405,MATCH(LARGE(BBスクリーニング!$AE$6:$AE$405,$A17),BBスクリーニング!$AE$6:$AE$405,0)),"")</f>
        <v>57</v>
      </c>
      <c r="L17" s="515">
        <f>IFERROR(INDEX(BBスクリーニング!$Z$6:$Z$405,MATCH(LARGE(BBスクリーニング!$AE$6:$AE$405,$A17),BBスクリーニング!$AE$6:$AE$405,0)),"")</f>
        <v>1303.8220506309144</v>
      </c>
      <c r="M17" s="515">
        <f>IFERROR(INDEX(BBスクリーニング!$AA$6:$AA$405,MATCH(LARGE(BBスクリーニング!$AE$6:$AE$405,$A17),BBスクリーニング!$AE$6:$AE$405,0)),"")</f>
        <v>1265.1500000000001</v>
      </c>
      <c r="N17" s="533">
        <f>IFERROR(INDEX(BBスクリーニング!$AC$6:$AC$405,MATCH(LARGE(BBスクリーニング!$AE$6:$AE$405,$A17),BBスクリーニング!$AE$6:$AE$405,0)),"")</f>
        <v>0.34</v>
      </c>
      <c r="O17" s="534" t="str">
        <f t="shared" si="0"/>
        <v>株探</v>
      </c>
      <c r="V17" s="435">
        <v>62</v>
      </c>
      <c r="W17" s="435" t="s">
        <v>1189</v>
      </c>
    </row>
    <row r="18" spans="1:23" ht="38.4">
      <c r="A18" s="512">
        <v>14</v>
      </c>
      <c r="B18" s="513" t="str">
        <f>IFERROR(INDEX(BBスクリーニング!$B$6:$B$405,MATCH(LARGE(BBスクリーニング!$AE$6:$AE$405,$A18),BBスクリーニング!$AE$6:$AE$405,0)),"")</f>
        <v>9551</v>
      </c>
      <c r="C18" s="514" t="str">
        <f>IFERROR(INDEX(BBスクリーニング!$C$6:$C$405,MATCH(LARGE(BBスクリーニング!$AE$6:$AE$405,$A18),BBスクリーニング!$AE$6:$AE$405,0)),"")</f>
        <v>メタウォーター</v>
      </c>
      <c r="D18" s="515">
        <f>IFERROR(INDEX(BBスクリーニング!$D$6:$D$405,MATCH(LARGE(BBスクリーニング!$AE$6:$AE$405,$A18),BBスクリーニング!$AE$6:$AE$405,0)),"")</f>
        <v>3290</v>
      </c>
      <c r="E18" s="513" t="str">
        <f>IFERROR(INDEX(BBスクリーニング!$N$6:$N$405,MATCH(LARGE(BBスクリーニング!$AE$6:$AE$405,$A18),BBスクリーニング!$AE$6:$AE$405,0)),"")</f>
        <v>スクイーズ★</v>
      </c>
      <c r="F18" s="513" t="str">
        <f>IFERROR(INDEX(BBスクリーニング!$P$6:$P$405,MATCH(LARGE(BBスクリーニング!$AE$6:$AE$405,$A18),BBスクリーニング!$AE$6:$AE$405,0)),"")</f>
        <v>+1σ上</v>
      </c>
      <c r="G18" s="516">
        <f>IFERROR(INDEX(BBスクリーニング!$Q$6:$Q$405,MATCH(LARGE(BBスクリーニング!$AE$6:$AE$405,$A18),BBスクリーニング!$AE$6:$AE$405,0)),"")</f>
        <v>50.418410041841</v>
      </c>
      <c r="H18" s="516">
        <f>IFERROR(INDEX(BBスクリーニング!$R$6:$R$405,MATCH(LARGE(BBスクリーニング!$AE$6:$AE$405,$A18),BBスクリーニング!$AE$6:$AE$405,0)),"")</f>
        <v>49.408380296358921</v>
      </c>
      <c r="I18" s="513" t="str">
        <f>IFERROR(INDEX(BBスクリーニング!$S$6:$S$405,MATCH(LARGE(BBスクリーニング!$AE$6:$AE$405,$A18),BBスクリーニング!$AE$6:$AE$405,0)),"")</f>
        <v>－</v>
      </c>
      <c r="J18" s="517" t="str">
        <f>IFERROR(INDEX(BBスクリーニング!$W$6:$W$405,MATCH(LARGE(BBスクリーニング!$AE$6:$AE$405,$A18),BBスクリーニング!$AE$6:$AE$405,0)),"")</f>
        <v>☆スクイーズ監視</v>
      </c>
      <c r="K18" s="512">
        <f>IFERROR(INDEX(BBスクリーニング!$X$6:$X$405,MATCH(LARGE(BBスクリーニング!$AE$6:$AE$405,$A18),BBスクリーニング!$AE$6:$AE$405,0)),"")</f>
        <v>57</v>
      </c>
      <c r="L18" s="515">
        <f>IFERROR(INDEX(BBスクリーニング!$Z$6:$Z$405,MATCH(LARGE(BBスクリーニング!$AE$6:$AE$405,$A18),BBスクリーニング!$AE$6:$AE$405,0)),"")</f>
        <v>3261.6373553693211</v>
      </c>
      <c r="M18" s="515">
        <f>IFERROR(INDEX(BBスクリーニング!$AA$6:$AA$405,MATCH(LARGE(BBスクリーニング!$AE$6:$AE$405,$A18),BBスクリーニング!$AE$6:$AE$405,0)),"")</f>
        <v>3183.9473684210525</v>
      </c>
      <c r="N18" s="533">
        <f>IFERROR(INDEX(BBスクリーニング!$AC$6:$AC$405,MATCH(LARGE(BBスクリーニング!$AE$6:$AE$405,$A18),BBスクリーニング!$AE$6:$AE$405,0)),"")</f>
        <v>0.47</v>
      </c>
      <c r="O18" s="534" t="str">
        <f t="shared" si="0"/>
        <v>株探</v>
      </c>
      <c r="V18" s="518">
        <v>4987</v>
      </c>
      <c r="W18" s="435" t="s">
        <v>1190</v>
      </c>
    </row>
    <row r="19" spans="1:23">
      <c r="A19" s="512">
        <v>15</v>
      </c>
      <c r="B19" s="513" t="str">
        <f>IFERROR(INDEX(BBスクリーニング!$B$6:$B$405,MATCH(LARGE(BBスクリーニング!$AE$6:$AE$405,$A19),BBスクリーニング!$AE$6:$AE$405,0)),"")</f>
        <v>6485</v>
      </c>
      <c r="C19" s="514" t="str">
        <f>IFERROR(INDEX(BBスクリーニング!$C$6:$C$405,MATCH(LARGE(BBスクリーニング!$AE$6:$AE$405,$A19),BBスクリーニング!$AE$6:$AE$405,0)),"")</f>
        <v>前澤給装工業</v>
      </c>
      <c r="D19" s="515">
        <f>IFERROR(INDEX(BBスクリーニング!$D$6:$D$405,MATCH(LARGE(BBスクリーニング!$AE$6:$AE$405,$A19),BBスクリーニング!$AE$6:$AE$405,0)),"")</f>
        <v>1605</v>
      </c>
      <c r="E19" s="513" t="str">
        <f>IFERROR(INDEX(BBスクリーニング!$N$6:$N$405,MATCH(LARGE(BBスクリーニング!$AE$6:$AE$405,$A19),BBスクリーニング!$AE$6:$AE$405,0)),"")</f>
        <v>スクイーズ★</v>
      </c>
      <c r="F19" s="513" t="str">
        <f>IFERROR(INDEX(BBスクリーニング!$P$6:$P$405,MATCH(LARGE(BBスクリーニング!$AE$6:$AE$405,$A19),BBスクリーニング!$AE$6:$AE$405,0)),"")</f>
        <v>+1σ上</v>
      </c>
      <c r="G19" s="516">
        <f>IFERROR(INDEX(BBスクリーニング!$Q$6:$Q$405,MATCH(LARGE(BBスクリーニング!$AE$6:$AE$405,$A19),BBスクリーニング!$AE$6:$AE$405,0)),"")</f>
        <v>63.636363636363633</v>
      </c>
      <c r="H19" s="516">
        <f>IFERROR(INDEX(BBスクリーニング!$R$6:$R$405,MATCH(LARGE(BBスクリーニング!$AE$6:$AE$405,$A19),BBスクリーニング!$AE$6:$AE$405,0)),"")</f>
        <v>65.797673201717402</v>
      </c>
      <c r="I19" s="513" t="str">
        <f>IFERROR(INDEX(BBスクリーニング!$S$6:$S$405,MATCH(LARGE(BBスクリーニング!$AE$6:$AE$405,$A19),BBスクリーニング!$AE$6:$AE$405,0)),"")</f>
        <v>－</v>
      </c>
      <c r="J19" s="517" t="str">
        <f>IFERROR(INDEX(BBスクリーニング!$W$6:$W$405,MATCH(LARGE(BBスクリーニング!$AE$6:$AE$405,$A19),BBスクリーニング!$AE$6:$AE$405,0)),"")</f>
        <v>△二番底買(確)</v>
      </c>
      <c r="K19" s="512">
        <f>IFERROR(INDEX(BBスクリーニング!$X$6:$X$405,MATCH(LARGE(BBスクリーニング!$AE$6:$AE$405,$A19),BBスクリーニング!$AE$6:$AE$405,0)),"")</f>
        <v>57</v>
      </c>
      <c r="L19" s="515">
        <f>IFERROR(INDEX(BBスクリーニング!$Z$6:$Z$405,MATCH(LARGE(BBスクリーニング!$AE$6:$AE$405,$A19),BBスクリーニング!$AE$6:$AE$405,0)),"")</f>
        <v>1583.2410574038718</v>
      </c>
      <c r="M19" s="515">
        <f>IFERROR(INDEX(BBスクリーニング!$AA$6:$AA$405,MATCH(LARGE(BBスクリーニング!$AE$6:$AE$405,$A19),BBスクリーニング!$AE$6:$AE$405,0)),"")</f>
        <v>1561.3</v>
      </c>
      <c r="N19" s="533">
        <f>IFERROR(INDEX(BBスクリーニング!$AC$6:$AC$405,MATCH(LARGE(BBスクリーニング!$AE$6:$AE$405,$A19),BBスクリーニング!$AE$6:$AE$405,0)),"")</f>
        <v>0</v>
      </c>
      <c r="O19" s="534" t="str">
        <f t="shared" si="0"/>
        <v>株探</v>
      </c>
      <c r="V19" s="518">
        <v>4852</v>
      </c>
      <c r="W19" s="435" t="s">
        <v>1191</v>
      </c>
    </row>
    <row r="20" spans="1:23">
      <c r="A20" s="512">
        <v>16</v>
      </c>
      <c r="B20" s="513" t="str">
        <f>IFERROR(INDEX(BBスクリーニング!$B$6:$B$405,MATCH(LARGE(BBスクリーニング!$AE$6:$AE$405,$A20),BBスクリーニング!$AE$6:$AE$405,0)),"")</f>
        <v>7011</v>
      </c>
      <c r="C20" s="514" t="str">
        <f>IFERROR(INDEX(BBスクリーニング!$C$6:$C$405,MATCH(LARGE(BBスクリーニング!$AE$6:$AE$405,$A20),BBスクリーニング!$AE$6:$AE$405,0)),"")</f>
        <v>三菱重工業</v>
      </c>
      <c r="D20" s="515">
        <f>IFERROR(INDEX(BBスクリーニング!$D$6:$D$405,MATCH(LARGE(BBスクリーニング!$AE$6:$AE$405,$A20),BBスクリーニング!$AE$6:$AE$405,0)),"")</f>
        <v>3998</v>
      </c>
      <c r="E20" s="513" t="str">
        <f>IFERROR(INDEX(BBスクリーニング!$N$6:$N$405,MATCH(LARGE(BBスクリーニング!$AE$6:$AE$405,$A20),BBスクリーニング!$AE$6:$AE$405,0)),"")</f>
        <v>スクイーズ★</v>
      </c>
      <c r="F20" s="513" t="str">
        <f>IFERROR(INDEX(BBスクリーニング!$P$6:$P$405,MATCH(LARGE(BBスクリーニング!$AE$6:$AE$405,$A20),BBスクリーニング!$AE$6:$AE$405,0)),"")</f>
        <v>+1σ上</v>
      </c>
      <c r="G20" s="516">
        <f>IFERROR(INDEX(BBスクリーニング!$Q$6:$Q$405,MATCH(LARGE(BBスクリーニング!$AE$6:$AE$405,$A20),BBスクリーニング!$AE$6:$AE$405,0)),"")</f>
        <v>57.958801498127343</v>
      </c>
      <c r="H20" s="516">
        <f>IFERROR(INDEX(BBスクリーニング!$R$6:$R$405,MATCH(LARGE(BBスクリーニング!$AE$6:$AE$405,$A20),BBスクリーニング!$AE$6:$AE$405,0)),"")</f>
        <v>71.015228876743976</v>
      </c>
      <c r="I20" s="513" t="str">
        <f>IFERROR(INDEX(BBスクリーニング!$S$6:$S$405,MATCH(LARGE(BBスクリーニング!$AE$6:$AE$405,$A20),BBスクリーニング!$AE$6:$AE$405,0)),"")</f>
        <v>－</v>
      </c>
      <c r="J20" s="517" t="str">
        <f>IFERROR(INDEX(BBスクリーニング!$W$6:$W$405,MATCH(LARGE(BBスクリーニング!$AE$6:$AE$405,$A20),BBスクリーニング!$AE$6:$AE$405,0)),"")</f>
        <v>△二番底買(確)</v>
      </c>
      <c r="K20" s="512">
        <f>IFERROR(INDEX(BBスクリーニング!$X$6:$X$405,MATCH(LARGE(BBスクリーニング!$AE$6:$AE$405,$A20),BBスクリーニング!$AE$6:$AE$405,0)),"")</f>
        <v>57</v>
      </c>
      <c r="L20" s="515">
        <f>IFERROR(INDEX(BBスクリーニング!$Z$6:$Z$405,MATCH(LARGE(BBスクリーニング!$AE$6:$AE$405,$A20),BBスクリーニング!$AE$6:$AE$405,0)),"")</f>
        <v>3947.5163401609716</v>
      </c>
      <c r="M20" s="515">
        <f>IFERROR(INDEX(BBスクリーニング!$AA$6:$AA$405,MATCH(LARGE(BBスクリーニング!$AE$6:$AE$405,$A20),BBスクリーニング!$AE$6:$AE$405,0)),"")</f>
        <v>3845</v>
      </c>
      <c r="N20" s="533">
        <f>IFERROR(INDEX(BBスクリーニング!$AC$6:$AC$405,MATCH(LARGE(BBスクリーニング!$AE$6:$AE$405,$A20),BBスクリーニング!$AE$6:$AE$405,0)),"")</f>
        <v>0.34</v>
      </c>
      <c r="O20" s="534" t="str">
        <f t="shared" si="0"/>
        <v>株探</v>
      </c>
      <c r="V20" s="435" t="s">
        <v>1192</v>
      </c>
      <c r="W20" s="435" t="s">
        <v>1193</v>
      </c>
    </row>
    <row r="21" spans="1:23">
      <c r="A21" s="512">
        <v>17</v>
      </c>
      <c r="B21" s="513" t="str">
        <f>IFERROR(INDEX(BBスクリーニング!$B$6:$B$405,MATCH(LARGE(BBスクリーニング!$AE$6:$AE$405,$A21),BBスクリーニング!$AE$6:$AE$405,0)),"")</f>
        <v>6135</v>
      </c>
      <c r="C21" s="514" t="str">
        <f>IFERROR(INDEX(BBスクリーニング!$C$6:$C$405,MATCH(LARGE(BBスクリーニング!$AE$6:$AE$405,$A21),BBスクリーニング!$AE$6:$AE$405,0)),"")</f>
        <v>牧野フライス</v>
      </c>
      <c r="D21" s="515">
        <f>IFERROR(INDEX(BBスクリーニング!$D$6:$D$405,MATCH(LARGE(BBスクリーニング!$AE$6:$AE$405,$A21),BBスクリーニング!$AE$6:$AE$405,0)),"")</f>
        <v>15070</v>
      </c>
      <c r="E21" s="513" t="str">
        <f>IFERROR(INDEX(BBスクリーニング!$N$6:$N$405,MATCH(LARGE(BBスクリーニング!$AE$6:$AE$405,$A21),BBスクリーニング!$AE$6:$AE$405,0)),"")</f>
        <v>収縮</v>
      </c>
      <c r="F21" s="513" t="str">
        <f>IFERROR(INDEX(BBスクリーニング!$P$6:$P$405,MATCH(LARGE(BBスクリーニング!$AE$6:$AE$405,$A21),BBスクリーニング!$AE$6:$AE$405,0)),"")</f>
        <v>+1σ上</v>
      </c>
      <c r="G21" s="516">
        <f>IFERROR(INDEX(BBスクリーニング!$Q$6:$Q$405,MATCH(LARGE(BBスクリーニング!$AE$6:$AE$405,$A21),BBスクリーニング!$AE$6:$AE$405,0)),"")</f>
        <v>53.78378378378379</v>
      </c>
      <c r="H21" s="516">
        <f>IFERROR(INDEX(BBスクリーニング!$R$6:$R$405,MATCH(LARGE(BBスクリーニング!$AE$6:$AE$405,$A21),BBスクリーニング!$AE$6:$AE$405,0)),"")</f>
        <v>60.271007201173937</v>
      </c>
      <c r="I21" s="513" t="str">
        <f>IFERROR(INDEX(BBスクリーニング!$S$6:$S$405,MATCH(LARGE(BBスクリーニング!$AE$6:$AE$405,$A21),BBスクリーニング!$AE$6:$AE$405,0)),"")</f>
        <v>－</v>
      </c>
      <c r="J21" s="517" t="str">
        <f>IFERROR(INDEX(BBスクリーニング!$W$6:$W$405,MATCH(LARGE(BBスクリーニング!$AE$6:$AE$405,$A21),BBスクリーニング!$AE$6:$AE$405,0)),"")</f>
        <v>様子見</v>
      </c>
      <c r="K21" s="512">
        <f>IFERROR(INDEX(BBスクリーニング!$X$6:$X$405,MATCH(LARGE(BBスクリーニング!$AE$6:$AE$405,$A21),BBスクリーニング!$AE$6:$AE$405,0)),"")</f>
        <v>57</v>
      </c>
      <c r="L21" s="515">
        <f>IFERROR(INDEX(BBスクリーニング!$Z$6:$Z$405,MATCH(LARGE(BBスクリーニング!$AE$6:$AE$405,$A21),BBスクリーニング!$AE$6:$AE$405,0)),"")</f>
        <v>14977.886345287794</v>
      </c>
      <c r="M21" s="515">
        <f>IFERROR(INDEX(BBスクリーニング!$AA$6:$AA$405,MATCH(LARGE(BBスクリーニング!$AE$6:$AE$405,$A21),BBスクリーニング!$AE$6:$AE$405,0)),"")</f>
        <v>14626</v>
      </c>
      <c r="N21" s="533">
        <f>IFERROR(INDEX(BBスクリーニング!$AC$6:$AC$405,MATCH(LARGE(BBスクリーニング!$AE$6:$AE$405,$A21),BBスクリーニング!$AE$6:$AE$405,0)),"")</f>
        <v>0.59</v>
      </c>
      <c r="O21" s="534" t="str">
        <f t="shared" si="0"/>
        <v>株探</v>
      </c>
    </row>
    <row r="22" spans="1:23" ht="38.4">
      <c r="A22" s="512">
        <v>18</v>
      </c>
      <c r="B22" s="513" t="str">
        <f>IFERROR(INDEX(BBスクリーニング!$B$6:$B$405,MATCH(LARGE(BBスクリーニング!$AE$6:$AE$405,$A22),BBスクリーニング!$AE$6:$AE$405,0)),"")</f>
        <v>9165</v>
      </c>
      <c r="C22" s="514" t="str">
        <f>IFERROR(INDEX(BBスクリーニング!$C$6:$C$405,MATCH(LARGE(BBスクリーニング!$AE$6:$AE$405,$A22),BBスクリーニング!$AE$6:$AE$405,0)),"")</f>
        <v>クオルテック</v>
      </c>
      <c r="D22" s="515">
        <f>IFERROR(INDEX(BBスクリーニング!$D$6:$D$405,MATCH(LARGE(BBスクリーニング!$AE$6:$AE$405,$A22),BBスクリーニング!$AE$6:$AE$405,0)),"")</f>
        <v>1770</v>
      </c>
      <c r="E22" s="513" t="str">
        <f>IFERROR(INDEX(BBスクリーニング!$N$6:$N$405,MATCH(LARGE(BBスクリーニング!$AE$6:$AE$405,$A22),BBスクリーニング!$AE$6:$AE$405,0)),"")</f>
        <v>収縮</v>
      </c>
      <c r="F22" s="513" t="str">
        <f>IFERROR(INDEX(BBスクリーニング!$P$6:$P$405,MATCH(LARGE(BBスクリーニング!$AE$6:$AE$405,$A22),BBスクリーニング!$AE$6:$AE$405,0)),"")</f>
        <v>+1σ上</v>
      </c>
      <c r="G22" s="516">
        <f>IFERROR(INDEX(BBスクリーニング!$Q$6:$Q$405,MATCH(LARGE(BBスクリーニング!$AE$6:$AE$405,$A22),BBスクリーニング!$AE$6:$AE$405,0)),"")</f>
        <v>57.761732851985563</v>
      </c>
      <c r="H22" s="516">
        <f>IFERROR(INDEX(BBスクリーニング!$R$6:$R$405,MATCH(LARGE(BBスクリーニング!$AE$6:$AE$405,$A22),BBスクリーニング!$AE$6:$AE$405,0)),"")</f>
        <v>49.187247178633115</v>
      </c>
      <c r="I22" s="513" t="str">
        <f>IFERROR(INDEX(BBスクリーニング!$S$6:$S$405,MATCH(LARGE(BBスクリーニング!$AE$6:$AE$405,$A22),BBスクリーニング!$AE$6:$AE$405,0)),"")</f>
        <v>－</v>
      </c>
      <c r="J22" s="517" t="str">
        <f>IFERROR(INDEX(BBスクリーニング!$W$6:$W$405,MATCH(LARGE(BBスクリーニング!$AE$6:$AE$405,$A22),BBスクリーニング!$AE$6:$AE$405,0)),"")</f>
        <v>△二番底買(確)</v>
      </c>
      <c r="K22" s="512">
        <f>IFERROR(INDEX(BBスクリーニング!$X$6:$X$405,MATCH(LARGE(BBスクリーニング!$AE$6:$AE$405,$A22),BBスクリーニング!$AE$6:$AE$405,0)),"")</f>
        <v>57</v>
      </c>
      <c r="L22" s="515">
        <f>IFERROR(INDEX(BBスクリーニング!$Z$6:$Z$405,MATCH(LARGE(BBスクリーニング!$AE$6:$AE$405,$A22),BBスクリーニング!$AE$6:$AE$405,0)),"")</f>
        <v>1752.9863217725697</v>
      </c>
      <c r="M22" s="515">
        <f>IFERROR(INDEX(BBスクリーニング!$AA$6:$AA$405,MATCH(LARGE(BBスクリーニング!$AE$6:$AE$405,$A22),BBスクリーニング!$AE$6:$AE$405,0)),"")</f>
        <v>1729.05</v>
      </c>
      <c r="N22" s="533">
        <f>IFERROR(INDEX(BBスクリーニング!$AC$6:$AC$405,MATCH(LARGE(BBスクリーニング!$AE$6:$AE$405,$A22),BBスクリーニング!$AE$6:$AE$405,0)),"")</f>
        <v>0.17</v>
      </c>
      <c r="O22" s="534" t="str">
        <f t="shared" si="0"/>
        <v>株探</v>
      </c>
    </row>
    <row r="23" spans="1:23">
      <c r="A23" s="512">
        <v>19</v>
      </c>
      <c r="B23" s="513" t="str">
        <f>IFERROR(INDEX(BBスクリーニング!$B$6:$B$405,MATCH(LARGE(BBスクリーニング!$AE$6:$AE$405,$A23),BBスクリーニング!$AE$6:$AE$405,0)),"")</f>
        <v>5713</v>
      </c>
      <c r="C23" s="514" t="str">
        <f>IFERROR(INDEX(BBスクリーニング!$C$6:$C$405,MATCH(LARGE(BBスクリーニング!$AE$6:$AE$405,$A23),BBスクリーニング!$AE$6:$AE$405,0)),"")</f>
        <v>住友鉱山</v>
      </c>
      <c r="D23" s="515">
        <f>IFERROR(INDEX(BBスクリーニング!$D$6:$D$405,MATCH(LARGE(BBスクリーニング!$AE$6:$AE$405,$A23),BBスクリーニング!$AE$6:$AE$405,0)),"")</f>
        <v>9088</v>
      </c>
      <c r="E23" s="513" t="str">
        <f>IFERROR(INDEX(BBスクリーニング!$N$6:$N$405,MATCH(LARGE(BBスクリーニング!$AE$6:$AE$405,$A23),BBスクリーニング!$AE$6:$AE$405,0)),"")</f>
        <v>－</v>
      </c>
      <c r="F23" s="513" t="str">
        <f>IFERROR(INDEX(BBスクリーニング!$P$6:$P$405,MATCH(LARGE(BBスクリーニング!$AE$6:$AE$405,$A23),BBスクリーニング!$AE$6:$AE$405,0)),"")</f>
        <v>↑+2σ突破</v>
      </c>
      <c r="G23" s="516">
        <f>IFERROR(INDEX(BBスクリーニング!$Q$6:$Q$405,MATCH(LARGE(BBスクリーニング!$AE$6:$AE$405,$A23),BBスクリーニング!$AE$6:$AE$405,0)),"")</f>
        <v>66.267387944358575</v>
      </c>
      <c r="H23" s="516">
        <f>IFERROR(INDEX(BBスクリーニング!$R$6:$R$405,MATCH(LARGE(BBスクリーニング!$AE$6:$AE$405,$A23),BBスクリーニング!$AE$6:$AE$405,0)),"")</f>
        <v>67.781042291604322</v>
      </c>
      <c r="I23" s="513" t="str">
        <f>IFERROR(INDEX(BBスクリーニング!$S$6:$S$405,MATCH(LARGE(BBスクリーニング!$AE$6:$AE$405,$A23),BBスクリーニング!$AE$6:$AE$405,0)),"")</f>
        <v>－</v>
      </c>
      <c r="J23" s="517" t="str">
        <f>IFERROR(INDEX(BBスクリーニング!$W$6:$W$405,MATCH(LARGE(BBスクリーニング!$AE$6:$AE$405,$A23),BBスクリーニング!$AE$6:$AE$405,0)),"")</f>
        <v>様子見</v>
      </c>
      <c r="K23" s="512">
        <f>IFERROR(INDEX(BBスクリーニング!$X$6:$X$405,MATCH(LARGE(BBスクリーニング!$AE$6:$AE$405,$A23),BBスクリーニング!$AE$6:$AE$405,0)),"")</f>
        <v>55</v>
      </c>
      <c r="L23" s="515">
        <f>IFERROR(INDEX(BBスクリーニング!$Z$6:$Z$405,MATCH(LARGE(BBスクリーニング!$AE$6:$AE$405,$A23),BBスクリーニング!$AE$6:$AE$405,0)),"")</f>
        <v>8146.0420975734878</v>
      </c>
      <c r="M23" s="515">
        <f>IFERROR(INDEX(BBスクリーニング!$AA$6:$AA$405,MATCH(LARGE(BBスクリーニング!$AE$6:$AE$405,$A23),BBスクリーニング!$AE$6:$AE$405,0)),"")</f>
        <v>7620.1</v>
      </c>
      <c r="N23" s="533">
        <f>IFERROR(INDEX(BBスクリーニング!$AC$6:$AC$405,MATCH(LARGE(BBスクリーニング!$AE$6:$AE$405,$A23),BBスクリーニング!$AE$6:$AE$405,0)),"")</f>
        <v>7.0000000000000007E-2</v>
      </c>
      <c r="O23" s="534" t="str">
        <f t="shared" si="0"/>
        <v>株探</v>
      </c>
    </row>
    <row r="24" spans="1:23">
      <c r="A24" s="512">
        <v>20</v>
      </c>
      <c r="B24" s="513" t="str">
        <f>IFERROR(INDEX(BBスクリーニング!$B$6:$B$405,MATCH(LARGE(BBスクリーニング!$AE$6:$AE$405,$A24),BBスクリーニング!$AE$6:$AE$405,0)),"")</f>
        <v>5703</v>
      </c>
      <c r="C24" s="514" t="str">
        <f>IFERROR(INDEX(BBスクリーニング!$C$6:$C$405,MATCH(LARGE(BBスクリーニング!$AE$6:$AE$405,$A24),BBスクリーニング!$AE$6:$AE$405,0)),"")</f>
        <v>日本軽金属ＨＤ</v>
      </c>
      <c r="D24" s="515">
        <f>IFERROR(INDEX(BBスクリーニング!$D$6:$D$405,MATCH(LARGE(BBスクリーニング!$AE$6:$AE$405,$A24),BBスクリーニング!$AE$6:$AE$405,0)),"")</f>
        <v>2936</v>
      </c>
      <c r="E24" s="513" t="str">
        <f>IFERROR(INDEX(BBスクリーニング!$N$6:$N$405,MATCH(LARGE(BBスクリーニング!$AE$6:$AE$405,$A24),BBスクリーニング!$AE$6:$AE$405,0)),"")</f>
        <v>－</v>
      </c>
      <c r="F24" s="513" t="str">
        <f>IFERROR(INDEX(BBスクリーニング!$P$6:$P$405,MATCH(LARGE(BBスクリーニング!$AE$6:$AE$405,$A24),BBスクリーニング!$AE$6:$AE$405,0)),"")</f>
        <v>↑+2σ突破</v>
      </c>
      <c r="G24" s="516">
        <f>IFERROR(INDEX(BBスクリーニング!$Q$6:$Q$405,MATCH(LARGE(BBスクリーニング!$AE$6:$AE$405,$A24),BBスクリーニング!$AE$6:$AE$405,0)),"")</f>
        <v>60.966981132075475</v>
      </c>
      <c r="H24" s="516">
        <f>IFERROR(INDEX(BBスクリーニング!$R$6:$R$405,MATCH(LARGE(BBスクリーニング!$AE$6:$AE$405,$A24),BBスクリーニング!$AE$6:$AE$405,0)),"")</f>
        <v>60.29002725346934</v>
      </c>
      <c r="I24" s="513" t="str">
        <f>IFERROR(INDEX(BBスクリーニング!$S$6:$S$405,MATCH(LARGE(BBスクリーニング!$AE$6:$AE$405,$A24),BBスクリーニング!$AE$6:$AE$405,0)),"")</f>
        <v>－</v>
      </c>
      <c r="J24" s="517" t="str">
        <f>IFERROR(INDEX(BBスクリーニング!$W$6:$W$405,MATCH(LARGE(BBスクリーニング!$AE$6:$AE$405,$A24),BBスクリーニング!$AE$6:$AE$405,0)),"")</f>
        <v>△二番底買(確)</v>
      </c>
      <c r="K24" s="512">
        <f>IFERROR(INDEX(BBスクリーニング!$X$6:$X$405,MATCH(LARGE(BBスクリーニング!$AE$6:$AE$405,$A24),BBスクリーニング!$AE$6:$AE$405,0)),"")</f>
        <v>55</v>
      </c>
      <c r="L24" s="515">
        <f>IFERROR(INDEX(BBスクリーニング!$Z$6:$Z$405,MATCH(LARGE(BBスクリーニング!$AE$6:$AE$405,$A24),BBスクリーニング!$AE$6:$AE$405,0)),"")</f>
        <v>2807.3044455033341</v>
      </c>
      <c r="M24" s="515">
        <f>IFERROR(INDEX(BBスクリーニング!$AA$6:$AA$405,MATCH(LARGE(BBスクリーニング!$AE$6:$AE$405,$A24),BBスクリーニング!$AE$6:$AE$405,0)),"")</f>
        <v>2711.7</v>
      </c>
      <c r="N24" s="533">
        <f>IFERROR(INDEX(BBスクリーニング!$AC$6:$AC$405,MATCH(LARGE(BBスクリーニング!$AE$6:$AE$405,$A24),BBスクリーニング!$AE$6:$AE$405,0)),"")</f>
        <v>0.28000000000000003</v>
      </c>
      <c r="O24" s="534" t="str">
        <f t="shared" si="0"/>
        <v>株探</v>
      </c>
    </row>
    <row r="25" spans="1:23">
      <c r="A25" s="512">
        <v>21</v>
      </c>
      <c r="B25" s="513" t="str">
        <f>IFERROR(INDEX(BBスクリーニング!$B$6:$B$405,MATCH(LARGE(BBスクリーニング!$AE$6:$AE$405,$A25),BBスクリーニング!$AE$6:$AE$405,0)),"")</f>
        <v>8053</v>
      </c>
      <c r="C25" s="514" t="str">
        <f>IFERROR(INDEX(BBスクリーニング!$C$6:$C$405,MATCH(LARGE(BBスクリーニング!$AE$6:$AE$405,$A25),BBスクリーニング!$AE$6:$AE$405,0)),"")</f>
        <v>住友商事</v>
      </c>
      <c r="D25" s="515">
        <f>IFERROR(INDEX(BBスクリーニング!$D$6:$D$405,MATCH(LARGE(BBスクリーニング!$AE$6:$AE$405,$A25),BBスクリーニング!$AE$6:$AE$405,0)),"")</f>
        <v>1748.5</v>
      </c>
      <c r="E25" s="513" t="str">
        <f>IFERROR(INDEX(BBスクリーニング!$N$6:$N$405,MATCH(LARGE(BBスクリーニング!$AE$6:$AE$405,$A25),BBスクリーニング!$AE$6:$AE$405,0)),"")</f>
        <v>－</v>
      </c>
      <c r="F25" s="513" t="str">
        <f>IFERROR(INDEX(BBスクリーニング!$P$6:$P$405,MATCH(LARGE(BBスクリーニング!$AE$6:$AE$405,$A25),BBスクリーニング!$AE$6:$AE$405,0)),"")</f>
        <v>↑+2σ突破</v>
      </c>
      <c r="G25" s="516">
        <f>IFERROR(INDEX(BBスクリーニング!$Q$6:$Q$405,MATCH(LARGE(BBスクリーニング!$AE$6:$AE$405,$A25),BBスクリーニング!$AE$6:$AE$405,0)),"")</f>
        <v>68.281430219146486</v>
      </c>
      <c r="H25" s="516">
        <f>IFERROR(INDEX(BBスクリーニング!$R$6:$R$405,MATCH(LARGE(BBスクリーニング!$AE$6:$AE$405,$A25),BBスクリーニング!$AE$6:$AE$405,0)),"")</f>
        <v>74.553490427341501</v>
      </c>
      <c r="I25" s="513" t="str">
        <f>IFERROR(INDEX(BBスクリーニング!$S$6:$S$405,MATCH(LARGE(BBスクリーニング!$AE$6:$AE$405,$A25),BBスクリーニング!$AE$6:$AE$405,0)),"")</f>
        <v>－</v>
      </c>
      <c r="J25" s="517" t="str">
        <f>IFERROR(INDEX(BBスクリーニング!$W$6:$W$405,MATCH(LARGE(BBスクリーニング!$AE$6:$AE$405,$A25),BBスクリーニング!$AE$6:$AE$405,0)),"")</f>
        <v>△二番底買(確)</v>
      </c>
      <c r="K25" s="512">
        <f>IFERROR(INDEX(BBスクリーニング!$X$6:$X$405,MATCH(LARGE(BBスクリーニング!$AE$6:$AE$405,$A25),BBスクリーニング!$AE$6:$AE$405,0)),"")</f>
        <v>55</v>
      </c>
      <c r="L25" s="515">
        <f>IFERROR(INDEX(BBスクリーニング!$Z$6:$Z$405,MATCH(LARGE(BBスクリーニング!$AE$6:$AE$405,$A25),BBスクリーニング!$AE$6:$AE$405,0)),"")</f>
        <v>1665.5744667960921</v>
      </c>
      <c r="M25" s="515">
        <f>IFERROR(INDEX(BBスクリーニング!$AA$6:$AA$405,MATCH(LARGE(BBスクリーニング!$AE$6:$AE$405,$A25),BBスクリーニング!$AE$6:$AE$405,0)),"")</f>
        <v>1608.7249999999999</v>
      </c>
      <c r="N25" s="533">
        <f>IFERROR(INDEX(BBスクリーニング!$AC$6:$AC$405,MATCH(LARGE(BBスクリーニング!$AE$6:$AE$405,$A25),BBスクリーニング!$AE$6:$AE$405,0)),"")</f>
        <v>0.22</v>
      </c>
      <c r="O25" s="534" t="str">
        <f t="shared" si="0"/>
        <v>株探</v>
      </c>
    </row>
    <row r="26" spans="1:23">
      <c r="A26" s="512">
        <v>22</v>
      </c>
      <c r="B26" s="513" t="str">
        <f>IFERROR(INDEX(BBスクリーニング!$B$6:$B$405,MATCH(LARGE(BBスクリーニング!$AE$6:$AE$405,$A26),BBスクリーニング!$AE$6:$AE$405,0)),"")</f>
        <v>8750</v>
      </c>
      <c r="C26" s="514" t="str">
        <f>IFERROR(INDEX(BBスクリーニング!$C$6:$C$405,MATCH(LARGE(BBスクリーニング!$AE$6:$AE$405,$A26),BBスクリーニング!$AE$6:$AE$405,0)),"")</f>
        <v>第一ライフグループ</v>
      </c>
      <c r="D26" s="515">
        <f>IFERROR(INDEX(BBスクリーニング!$D$6:$D$405,MATCH(LARGE(BBスクリーニング!$AE$6:$AE$405,$A26),BBスクリーニング!$AE$6:$AE$405,0)),"")</f>
        <v>1921</v>
      </c>
      <c r="E26" s="513" t="str">
        <f>IFERROR(INDEX(BBスクリーニング!$N$6:$N$405,MATCH(LARGE(BBスクリーニング!$AE$6:$AE$405,$A26),BBスクリーニング!$AE$6:$AE$405,0)),"")</f>
        <v>スクイーズ★</v>
      </c>
      <c r="F26" s="513" t="str">
        <f>IFERROR(INDEX(BBスクリーニング!$P$6:$P$405,MATCH(LARGE(BBスクリーニング!$AE$6:$AE$405,$A26),BBスクリーニング!$AE$6:$AE$405,0)),"")</f>
        <v>バンド内</v>
      </c>
      <c r="G26" s="516">
        <f>IFERROR(INDEX(BBスクリーニング!$Q$6:$Q$405,MATCH(LARGE(BBスクリーニング!$AE$6:$AE$405,$A26),BBスクリーニング!$AE$6:$AE$405,0)),"")</f>
        <v>50.432041102288643</v>
      </c>
      <c r="H26" s="516">
        <f>IFERROR(INDEX(BBスクリーニング!$R$6:$R$405,MATCH(LARGE(BBスクリーニング!$AE$6:$AE$405,$A26),BBスクリーニング!$AE$6:$AE$405,0)),"")</f>
        <v>66.636206941424234</v>
      </c>
      <c r="I26" s="513" t="str">
        <f>IFERROR(INDEX(BBスクリーニング!$S$6:$S$405,MATCH(LARGE(BBスクリーニング!$AE$6:$AE$405,$A26),BBスクリーニング!$AE$6:$AE$405,0)),"")</f>
        <v>弱気div▼</v>
      </c>
      <c r="J26" s="517" t="str">
        <f>IFERROR(INDEX(BBスクリーニング!$W$6:$W$405,MATCH(LARGE(BBスクリーニング!$AE$6:$AE$405,$A26),BBスクリーニング!$AE$6:$AE$405,0)),"")</f>
        <v>☆スクイーズ監視</v>
      </c>
      <c r="K26" s="512">
        <f>IFERROR(INDEX(BBスクリーニング!$X$6:$X$405,MATCH(LARGE(BBスクリーニング!$AE$6:$AE$405,$A26),BBスクリーニング!$AE$6:$AE$405,0)),"")</f>
        <v>55</v>
      </c>
      <c r="L26" s="515">
        <f>IFERROR(INDEX(BBスクリーニング!$Z$6:$Z$405,MATCH(LARGE(BBスクリーニング!$AE$6:$AE$405,$A26),BBスクリーニング!$AE$6:$AE$405,0)),"")</f>
        <v>1923.9068967525207</v>
      </c>
      <c r="M26" s="515">
        <f>IFERROR(INDEX(BBスクリーニング!$AA$6:$AA$405,MATCH(LARGE(BBスクリーニング!$AE$6:$AE$405,$A26),BBスクリーニング!$AE$6:$AE$405,0)),"")</f>
        <v>1887.7368421052631</v>
      </c>
      <c r="N26" s="533">
        <f>IFERROR(INDEX(BBスクリーニング!$AC$6:$AC$405,MATCH(LARGE(BBスクリーニング!$AE$6:$AE$405,$A26),BBスクリーニング!$AE$6:$AE$405,0)),"")</f>
        <v>1.17</v>
      </c>
      <c r="O26" s="534" t="str">
        <f t="shared" si="0"/>
        <v>株探</v>
      </c>
    </row>
    <row r="27" spans="1:23">
      <c r="A27" s="512">
        <v>23</v>
      </c>
      <c r="B27" s="513" t="str">
        <f>IFERROR(INDEX(BBスクリーニング!$B$6:$B$405,MATCH(LARGE(BBスクリーニング!$AE$6:$AE$405,$A27),BBスクリーニング!$AE$6:$AE$405,0)),"")</f>
        <v>5901</v>
      </c>
      <c r="C27" s="514" t="str">
        <f>IFERROR(INDEX(BBスクリーニング!$C$6:$C$405,MATCH(LARGE(BBスクリーニング!$AE$6:$AE$405,$A27),BBスクリーニング!$AE$6:$AE$405,0)),"")</f>
        <v>東洋製罐グループＨＤ</v>
      </c>
      <c r="D27" s="515">
        <f>IFERROR(INDEX(BBスクリーニング!$D$6:$D$405,MATCH(LARGE(BBスクリーニング!$AE$6:$AE$405,$A27),BBスクリーニング!$AE$6:$AE$405,0)),"")</f>
        <v>4250</v>
      </c>
      <c r="E27" s="513" t="str">
        <f>IFERROR(INDEX(BBスクリーニング!$N$6:$N$405,MATCH(LARGE(BBスクリーニング!$AE$6:$AE$405,$A27),BBスクリーニング!$AE$6:$AE$405,0)),"")</f>
        <v>－</v>
      </c>
      <c r="F27" s="513" t="str">
        <f>IFERROR(INDEX(BBスクリーニング!$P$6:$P$405,MATCH(LARGE(BBスクリーニング!$AE$6:$AE$405,$A27),BBスクリーニング!$AE$6:$AE$405,0)),"")</f>
        <v>↑+2σ突破</v>
      </c>
      <c r="G27" s="516">
        <f>IFERROR(INDEX(BBスクリーニング!$Q$6:$Q$405,MATCH(LARGE(BBスクリーニング!$AE$6:$AE$405,$A27),BBスクリーニング!$AE$6:$AE$405,0)),"")</f>
        <v>65.421853388658377</v>
      </c>
      <c r="H27" s="516">
        <f>IFERROR(INDEX(BBスクリーニング!$R$6:$R$405,MATCH(LARGE(BBスクリーニング!$AE$6:$AE$405,$A27),BBスクリーニング!$AE$6:$AE$405,0)),"")</f>
        <v>67.946219582397561</v>
      </c>
      <c r="I27" s="513" t="str">
        <f>IFERROR(INDEX(BBスクリーニング!$S$6:$S$405,MATCH(LARGE(BBスクリーニング!$AE$6:$AE$405,$A27),BBスクリーニング!$AE$6:$AE$405,0)),"")</f>
        <v>－</v>
      </c>
      <c r="J27" s="517" t="str">
        <f>IFERROR(INDEX(BBスクリーニング!$W$6:$W$405,MATCH(LARGE(BBスクリーニング!$AE$6:$AE$405,$A27),BBスクリーニング!$AE$6:$AE$405,0)),"")</f>
        <v>△二番底買(確)</v>
      </c>
      <c r="K27" s="512">
        <f>IFERROR(INDEX(BBスクリーニング!$X$6:$X$405,MATCH(LARGE(BBスクリーニング!$AE$6:$AE$405,$A27),BBスクリーニング!$AE$6:$AE$405,0)),"")</f>
        <v>55</v>
      </c>
      <c r="L27" s="515">
        <f>IFERROR(INDEX(BBスクリーニング!$Z$6:$Z$405,MATCH(LARGE(BBスクリーニング!$AE$6:$AE$405,$A27),BBスクリーニング!$AE$6:$AE$405,0)),"")</f>
        <v>4164.6103906345124</v>
      </c>
      <c r="M27" s="515">
        <f>IFERROR(INDEX(BBスクリーニング!$AA$6:$AA$405,MATCH(LARGE(BBスクリーニング!$AE$6:$AE$405,$A27),BBスクリーニング!$AE$6:$AE$405,0)),"")</f>
        <v>4090.5</v>
      </c>
      <c r="N27" s="533">
        <f>IFERROR(INDEX(BBスクリーニング!$AC$6:$AC$405,MATCH(LARGE(BBスクリーニング!$AE$6:$AE$405,$A27),BBスクリーニング!$AE$6:$AE$405,0)),"")</f>
        <v>0.39</v>
      </c>
      <c r="O27" s="534" t="str">
        <f t="shared" si="0"/>
        <v>株探</v>
      </c>
    </row>
    <row r="28" spans="1:23" ht="38.4">
      <c r="A28" s="512">
        <v>24</v>
      </c>
      <c r="B28" s="513" t="str">
        <f>IFERROR(INDEX(BBスクリーニング!$B$6:$B$405,MATCH(LARGE(BBスクリーニング!$AE$6:$AE$405,$A28),BBスクリーニング!$AE$6:$AE$405,0)),"")</f>
        <v>5857</v>
      </c>
      <c r="C28" s="514" t="str">
        <f>IFERROR(INDEX(BBスクリーニング!$C$6:$C$405,MATCH(LARGE(BBスクリーニング!$AE$6:$AE$405,$A28),BBスクリーニング!$AE$6:$AE$405,0)),"")</f>
        <v>ＡＲＥホールディングス</v>
      </c>
      <c r="D28" s="515">
        <f>IFERROR(INDEX(BBスクリーニング!$D$6:$D$405,MATCH(LARGE(BBスクリーニング!$AE$6:$AE$405,$A28),BBスクリーニング!$AE$6:$AE$405,0)),"")</f>
        <v>3460</v>
      </c>
      <c r="E28" s="513" t="str">
        <f>IFERROR(INDEX(BBスクリーニング!$N$6:$N$405,MATCH(LARGE(BBスクリーニング!$AE$6:$AE$405,$A28),BBスクリーニング!$AE$6:$AE$405,0)),"")</f>
        <v>－</v>
      </c>
      <c r="F28" s="513" t="str">
        <f>IFERROR(INDEX(BBスクリーニング!$P$6:$P$405,MATCH(LARGE(BBスクリーニング!$AE$6:$AE$405,$A28),BBスクリーニング!$AE$6:$AE$405,0)),"")</f>
        <v>↑+2σ突破</v>
      </c>
      <c r="G28" s="516">
        <f>IFERROR(INDEX(BBスクリーニング!$Q$6:$Q$405,MATCH(LARGE(BBスクリーニング!$AE$6:$AE$405,$A28),BBスクリーニング!$AE$6:$AE$405,0)),"")</f>
        <v>65.611990008326387</v>
      </c>
      <c r="H28" s="516">
        <f>IFERROR(INDEX(BBスクリーニング!$R$6:$R$405,MATCH(LARGE(BBスクリーニング!$AE$6:$AE$405,$A28),BBスクリーニング!$AE$6:$AE$405,0)),"")</f>
        <v>60.433011908195496</v>
      </c>
      <c r="I28" s="513" t="str">
        <f>IFERROR(INDEX(BBスクリーニング!$S$6:$S$405,MATCH(LARGE(BBスクリーニング!$AE$6:$AE$405,$A28),BBスクリーニング!$AE$6:$AE$405,0)),"")</f>
        <v>－</v>
      </c>
      <c r="J28" s="517" t="str">
        <f>IFERROR(INDEX(BBスクリーニング!$W$6:$W$405,MATCH(LARGE(BBスクリーニング!$AE$6:$AE$405,$A28),BBスクリーニング!$AE$6:$AE$405,0)),"")</f>
        <v>△二番底買(確)</v>
      </c>
      <c r="K28" s="512">
        <f>IFERROR(INDEX(BBスクリーニング!$X$6:$X$405,MATCH(LARGE(BBスクリーニング!$AE$6:$AE$405,$A28),BBスクリーニング!$AE$6:$AE$405,0)),"")</f>
        <v>55</v>
      </c>
      <c r="L28" s="515">
        <f>IFERROR(INDEX(BBスクリーニング!$Z$6:$Z$405,MATCH(LARGE(BBスクリーニング!$AE$6:$AE$405,$A28),BBスクリーニング!$AE$6:$AE$405,0)),"")</f>
        <v>3190.8145112779857</v>
      </c>
      <c r="M28" s="515">
        <f>IFERROR(INDEX(BBスクリーニング!$AA$6:$AA$405,MATCH(LARGE(BBスクリーニング!$AE$6:$AE$405,$A28),BBスクリーニング!$AE$6:$AE$405,0)),"")</f>
        <v>3069.35</v>
      </c>
      <c r="N28" s="533">
        <f>IFERROR(INDEX(BBスクリーニング!$AC$6:$AC$405,MATCH(LARGE(BBスクリーニング!$AE$6:$AE$405,$A28),BBスクリーニング!$AE$6:$AE$405,0)),"")</f>
        <v>-7.0000000000000007E-2</v>
      </c>
      <c r="O28" s="534" t="str">
        <f t="shared" si="0"/>
        <v>株探</v>
      </c>
    </row>
    <row r="29" spans="1:23">
      <c r="A29" s="512">
        <v>25</v>
      </c>
      <c r="B29" s="513" t="str">
        <f>IFERROR(INDEX(BBスクリーニング!$B$6:$B$405,MATCH(LARGE(BBスクリーニング!$AE$6:$AE$405,$A29),BBスクリーニング!$AE$6:$AE$405,0)),"")</f>
        <v>4382</v>
      </c>
      <c r="C29" s="514" t="str">
        <f>IFERROR(INDEX(BBスクリーニング!$C$6:$C$405,MATCH(LARGE(BBスクリーニング!$AE$6:$AE$405,$A29),BBスクリーニング!$AE$6:$AE$405,0)),"")</f>
        <v>ＨＥＲＯＺ</v>
      </c>
      <c r="D29" s="515">
        <f>IFERROR(INDEX(BBスクリーニング!$D$6:$D$405,MATCH(LARGE(BBスクリーニング!$AE$6:$AE$405,$A29),BBスクリーニング!$AE$6:$AE$405,0)),"")</f>
        <v>724</v>
      </c>
      <c r="E29" s="513" t="str">
        <f>IFERROR(INDEX(BBスクリーニング!$N$6:$N$405,MATCH(LARGE(BBスクリーニング!$AE$6:$AE$405,$A29),BBスクリーニング!$AE$6:$AE$405,0)),"")</f>
        <v>スクイーズ★</v>
      </c>
      <c r="F29" s="513" t="str">
        <f>IFERROR(INDEX(BBスクリーニング!$P$6:$P$405,MATCH(LARGE(BBスクリーニング!$AE$6:$AE$405,$A29),BBスクリーニング!$AE$6:$AE$405,0)),"")</f>
        <v>↑+2σ突破</v>
      </c>
      <c r="G29" s="516">
        <f>IFERROR(INDEX(BBスクリーニング!$Q$6:$Q$405,MATCH(LARGE(BBスクリーニング!$AE$6:$AE$405,$A29),BBスクリーニング!$AE$6:$AE$405,0)),"")</f>
        <v>50</v>
      </c>
      <c r="H29" s="516">
        <f>IFERROR(INDEX(BBスクリーニング!$R$6:$R$405,MATCH(LARGE(BBスクリーニング!$AE$6:$AE$405,$A29),BBスクリーニング!$AE$6:$AE$405,0)),"")</f>
        <v>41.199335728343002</v>
      </c>
      <c r="I29" s="513" t="str">
        <f>IFERROR(INDEX(BBスクリーニング!$S$6:$S$405,MATCH(LARGE(BBスクリーニング!$AE$6:$AE$405,$A29),BBスクリーニング!$AE$6:$AE$405,0)),"")</f>
        <v>－</v>
      </c>
      <c r="J29" s="517" t="str">
        <f>IFERROR(INDEX(BBスクリーニング!$W$6:$W$405,MATCH(LARGE(BBスクリーニング!$AE$6:$AE$405,$A29),BBスクリーニング!$AE$6:$AE$405,0)),"")</f>
        <v>☆スクイーズ監視</v>
      </c>
      <c r="K29" s="512">
        <f>IFERROR(INDEX(BBスクリーニング!$X$6:$X$405,MATCH(LARGE(BBスクリーニング!$AE$6:$AE$405,$A29),BBスクリーニング!$AE$6:$AE$405,0)),"")</f>
        <v>55</v>
      </c>
      <c r="L29" s="515">
        <f>IFERROR(INDEX(BBスクリーニング!$Z$6:$Z$405,MATCH(LARGE(BBスクリーニング!$AE$6:$AE$405,$A29),BBスクリーニング!$AE$6:$AE$405,0)),"")</f>
        <v>713.63520799238381</v>
      </c>
      <c r="M29" s="515">
        <f>IFERROR(INDEX(BBスクリーニング!$AA$6:$AA$405,MATCH(LARGE(BBスクリーニング!$AE$6:$AE$405,$A29),BBスクリーニング!$AE$6:$AE$405,0)),"")</f>
        <v>704.47368421052636</v>
      </c>
      <c r="N29" s="533">
        <f>IFERROR(INDEX(BBスクリーニング!$AC$6:$AC$405,MATCH(LARGE(BBスクリーニング!$AE$6:$AE$405,$A29),BBスクリーニング!$AE$6:$AE$405,0)),"")</f>
        <v>0.41</v>
      </c>
      <c r="O29" s="534" t="str">
        <f t="shared" si="0"/>
        <v>株探</v>
      </c>
    </row>
    <row r="30" spans="1:23" ht="38.4">
      <c r="A30" s="512">
        <v>26</v>
      </c>
      <c r="B30" s="513" t="str">
        <f>IFERROR(INDEX(BBスクリーニング!$B$6:$B$405,MATCH(LARGE(BBスクリーニング!$AE$6:$AE$405,$A30),BBスクリーニング!$AE$6:$AE$405,0)),"")</f>
        <v>6809</v>
      </c>
      <c r="C30" s="514" t="str">
        <f>IFERROR(INDEX(BBスクリーニング!$C$6:$C$405,MATCH(LARGE(BBスクリーニング!$AE$6:$AE$405,$A30),BBスクリーニング!$AE$6:$AE$405,0)),"")</f>
        <v>ＴＯＡ</v>
      </c>
      <c r="D30" s="515">
        <f>IFERROR(INDEX(BBスクリーニング!$D$6:$D$405,MATCH(LARGE(BBスクリーニング!$AE$6:$AE$405,$A30),BBスクリーニング!$AE$6:$AE$405,0)),"")</f>
        <v>1669</v>
      </c>
      <c r="E30" s="513" t="str">
        <f>IFERROR(INDEX(BBスクリーニング!$N$6:$N$405,MATCH(LARGE(BBスクリーニング!$AE$6:$AE$405,$A30),BBスクリーニング!$AE$6:$AE$405,0)),"")</f>
        <v>－</v>
      </c>
      <c r="F30" s="513" t="str">
        <f>IFERROR(INDEX(BBスクリーニング!$P$6:$P$405,MATCH(LARGE(BBスクリーニング!$AE$6:$AE$405,$A30),BBスクリーニング!$AE$6:$AE$405,0)),"")</f>
        <v>↑+2σ突破</v>
      </c>
      <c r="G30" s="516">
        <f>IFERROR(INDEX(BBスクリーニング!$Q$6:$Q$405,MATCH(LARGE(BBスクリーニング!$AE$6:$AE$405,$A30),BBスクリーニング!$AE$6:$AE$405,0)),"")</f>
        <v>50.881757733448978</v>
      </c>
      <c r="H30" s="516">
        <f>IFERROR(INDEX(BBスクリーニング!$R$6:$R$405,MATCH(LARGE(BBスクリーニング!$AE$6:$AE$405,$A30),BBスクリーニング!$AE$6:$AE$405,0)),"")</f>
        <v>66.369383785048484</v>
      </c>
      <c r="I30" s="513" t="str">
        <f>IFERROR(INDEX(BBスクリーニング!$S$6:$S$405,MATCH(LARGE(BBスクリーニング!$AE$6:$AE$405,$A30),BBスクリーニング!$AE$6:$AE$405,0)),"")</f>
        <v>弱気div▼</v>
      </c>
      <c r="J30" s="517" t="str">
        <f>IFERROR(INDEX(BBスクリーニング!$W$6:$W$405,MATCH(LARGE(BBスクリーニング!$AE$6:$AE$405,$A30),BBスクリーニング!$AE$6:$AE$405,0)),"")</f>
        <v>様子見</v>
      </c>
      <c r="K30" s="512">
        <f>IFERROR(INDEX(BBスクリーニング!$X$6:$X$405,MATCH(LARGE(BBスクリーニング!$AE$6:$AE$405,$A30),BBスクリーニング!$AE$6:$AE$405,0)),"")</f>
        <v>55</v>
      </c>
      <c r="L30" s="515">
        <f>IFERROR(INDEX(BBスクリーニング!$Z$6:$Z$405,MATCH(LARGE(BBスクリーニング!$AE$6:$AE$405,$A30),BBスクリーニング!$AE$6:$AE$405,0)),"")</f>
        <v>1643.5875178925278</v>
      </c>
      <c r="M30" s="515">
        <f>IFERROR(INDEX(BBスクリーニング!$AA$6:$AA$405,MATCH(LARGE(BBスクリーニング!$AE$6:$AE$405,$A30),BBスクリーニング!$AE$6:$AE$405,0)),"")</f>
        <v>1620.4736842105262</v>
      </c>
      <c r="N30" s="533">
        <f>IFERROR(INDEX(BBスクリーニング!$AC$6:$AC$405,MATCH(LARGE(BBスクリーニング!$AE$6:$AE$405,$A30),BBスクリーニング!$AE$6:$AE$405,0)),"")</f>
        <v>0.43</v>
      </c>
      <c r="O30" s="534" t="str">
        <f t="shared" si="0"/>
        <v>株探</v>
      </c>
    </row>
    <row r="31" spans="1:23" ht="38.4">
      <c r="A31" s="512">
        <v>27</v>
      </c>
      <c r="B31" s="513" t="str">
        <f>IFERROR(INDEX(BBスクリーニング!$B$6:$B$405,MATCH(LARGE(BBスクリーニング!$AE$6:$AE$405,$A31),BBスクリーニング!$AE$6:$AE$405,0)),"")</f>
        <v>7609</v>
      </c>
      <c r="C31" s="514" t="str">
        <f>IFERROR(INDEX(BBスクリーニング!$C$6:$C$405,MATCH(LARGE(BBスクリーニング!$AE$6:$AE$405,$A31),BBスクリーニング!$AE$6:$AE$405,0)),"")</f>
        <v>ダイトロン</v>
      </c>
      <c r="D31" s="515">
        <f>IFERROR(INDEX(BBスクリーニング!$D$6:$D$405,MATCH(LARGE(BBスクリーニング!$AE$6:$AE$405,$A31),BBスクリーニング!$AE$6:$AE$405,0)),"")</f>
        <v>4215</v>
      </c>
      <c r="E31" s="513" t="str">
        <f>IFERROR(INDEX(BBスクリーニング!$N$6:$N$405,MATCH(LARGE(BBスクリーニング!$AE$6:$AE$405,$A31),BBスクリーニング!$AE$6:$AE$405,0)),"")</f>
        <v>－</v>
      </c>
      <c r="F31" s="513" t="str">
        <f>IFERROR(INDEX(BBスクリーニング!$P$6:$P$405,MATCH(LARGE(BBスクリーニング!$AE$6:$AE$405,$A31),BBスクリーニング!$AE$6:$AE$405,0)),"")</f>
        <v>↑+2σ突破</v>
      </c>
      <c r="G31" s="516">
        <f>IFERROR(INDEX(BBスクリーニング!$Q$6:$Q$405,MATCH(LARGE(BBスクリーニング!$AE$6:$AE$405,$A31),BBスクリーニング!$AE$6:$AE$405,0)),"")</f>
        <v>53.925845147219192</v>
      </c>
      <c r="H31" s="516">
        <f>IFERROR(INDEX(BBスクリーニング!$R$6:$R$405,MATCH(LARGE(BBスクリーニング!$AE$6:$AE$405,$A31),BBスクリーニング!$AE$6:$AE$405,0)),"")</f>
        <v>75.46175939622934</v>
      </c>
      <c r="I31" s="513" t="str">
        <f>IFERROR(INDEX(BBスクリーニング!$S$6:$S$405,MATCH(LARGE(BBスクリーニング!$AE$6:$AE$405,$A31),BBスクリーニング!$AE$6:$AE$405,0)),"")</f>
        <v>－</v>
      </c>
      <c r="J31" s="517" t="str">
        <f>IFERROR(INDEX(BBスクリーニング!$W$6:$W$405,MATCH(LARGE(BBスクリーニング!$AE$6:$AE$405,$A31),BBスクリーニング!$AE$6:$AE$405,0)),"")</f>
        <v>様子見</v>
      </c>
      <c r="K31" s="512">
        <f>IFERROR(INDEX(BBスクリーニング!$X$6:$X$405,MATCH(LARGE(BBスクリーニング!$AE$6:$AE$405,$A31),BBスクリーニング!$AE$6:$AE$405,0)),"")</f>
        <v>55</v>
      </c>
      <c r="L31" s="515">
        <f>IFERROR(INDEX(BBスクリーニング!$Z$6:$Z$405,MATCH(LARGE(BBスクリーニング!$AE$6:$AE$405,$A31),BBスクリーニング!$AE$6:$AE$405,0)),"")</f>
        <v>3856.8967341840889</v>
      </c>
      <c r="M31" s="515">
        <f>IFERROR(INDEX(BBスクリーニング!$AA$6:$AA$405,MATCH(LARGE(BBスクリーニング!$AE$6:$AE$405,$A31),BBスクリーニング!$AE$6:$AE$405,0)),"")</f>
        <v>3524.7368421052633</v>
      </c>
      <c r="N31" s="533">
        <f>IFERROR(INDEX(BBスクリーニング!$AC$6:$AC$405,MATCH(LARGE(BBスクリーニング!$AE$6:$AE$405,$A31),BBスクリーニング!$AE$6:$AE$405,0)),"")</f>
        <v>0.44</v>
      </c>
      <c r="O31" s="534" t="str">
        <f t="shared" si="0"/>
        <v>株探</v>
      </c>
    </row>
    <row r="32" spans="1:23">
      <c r="A32" s="512">
        <v>28</v>
      </c>
      <c r="B32" s="513" t="str">
        <f>IFERROR(INDEX(BBスクリーニング!$B$6:$B$405,MATCH(LARGE(BBスクリーニング!$AE$6:$AE$405,$A32),BBスクリーニング!$AE$6:$AE$405,0)),"")</f>
        <v>5632</v>
      </c>
      <c r="C32" s="514" t="str">
        <f>IFERROR(INDEX(BBスクリーニング!$C$6:$C$405,MATCH(LARGE(BBスクリーニング!$AE$6:$AE$405,$A32),BBスクリーニング!$AE$6:$AE$405,0)),"")</f>
        <v>三菱製鋼</v>
      </c>
      <c r="D32" s="515">
        <f>IFERROR(INDEX(BBスクリーニング!$D$6:$D$405,MATCH(LARGE(BBスクリーニング!$AE$6:$AE$405,$A32),BBスクリーニング!$AE$6:$AE$405,0)),"")</f>
        <v>2307</v>
      </c>
      <c r="E32" s="513" t="str">
        <f>IFERROR(INDEX(BBスクリーニング!$N$6:$N$405,MATCH(LARGE(BBスクリーニング!$AE$6:$AE$405,$A32),BBスクリーニング!$AE$6:$AE$405,0)),"")</f>
        <v>－</v>
      </c>
      <c r="F32" s="513" t="str">
        <f>IFERROR(INDEX(BBスクリーニング!$P$6:$P$405,MATCH(LARGE(BBスクリーニング!$AE$6:$AE$405,$A32),BBスクリーニング!$AE$6:$AE$405,0)),"")</f>
        <v>↑+2σ突破</v>
      </c>
      <c r="G32" s="516">
        <f>IFERROR(INDEX(BBスクリーニング!$Q$6:$Q$405,MATCH(LARGE(BBスクリーニング!$AE$6:$AE$405,$A32),BBスクリーニング!$AE$6:$AE$405,0)),"")</f>
        <v>51.309771309771307</v>
      </c>
      <c r="H32" s="516">
        <f>IFERROR(INDEX(BBスクリーニング!$R$6:$R$405,MATCH(LARGE(BBスクリーニング!$AE$6:$AE$405,$A32),BBスクリーニング!$AE$6:$AE$405,0)),"")</f>
        <v>63.385943093760048</v>
      </c>
      <c r="I32" s="513" t="str">
        <f>IFERROR(INDEX(BBスクリーニング!$S$6:$S$405,MATCH(LARGE(BBスクリーニング!$AE$6:$AE$405,$A32),BBスクリーニング!$AE$6:$AE$405,0)),"")</f>
        <v>弱気div▼</v>
      </c>
      <c r="J32" s="517" t="str">
        <f>IFERROR(INDEX(BBスクリーニング!$W$6:$W$405,MATCH(LARGE(BBスクリーニング!$AE$6:$AE$405,$A32),BBスクリーニング!$AE$6:$AE$405,0)),"")</f>
        <v>様子見</v>
      </c>
      <c r="K32" s="512">
        <f>IFERROR(INDEX(BBスクリーニング!$X$6:$X$405,MATCH(LARGE(BBスクリーニング!$AE$6:$AE$405,$A32),BBスクリーニング!$AE$6:$AE$405,0)),"")</f>
        <v>55</v>
      </c>
      <c r="L32" s="515">
        <f>IFERROR(INDEX(BBスクリーニング!$Z$6:$Z$405,MATCH(LARGE(BBスクリーニング!$AE$6:$AE$405,$A32),BBスクリーニング!$AE$6:$AE$405,0)),"")</f>
        <v>2211.6187048009956</v>
      </c>
      <c r="M32" s="515">
        <f>IFERROR(INDEX(BBスクリーニング!$AA$6:$AA$405,MATCH(LARGE(BBスクリーニング!$AE$6:$AE$405,$A32),BBスクリーニング!$AE$6:$AE$405,0)),"")</f>
        <v>2155.7894736842104</v>
      </c>
      <c r="N32" s="533">
        <f>IFERROR(INDEX(BBスクリーニング!$AC$6:$AC$405,MATCH(LARGE(BBスクリーニング!$AE$6:$AE$405,$A32),BBスクリーニング!$AE$6:$AE$405,0)),"")</f>
        <v>0.11</v>
      </c>
      <c r="O32" s="534" t="str">
        <f t="shared" si="0"/>
        <v>株探</v>
      </c>
    </row>
    <row r="33" spans="1:15">
      <c r="A33" s="512">
        <v>29</v>
      </c>
      <c r="B33" s="513" t="str">
        <f>IFERROR(INDEX(BBスクリーニング!$B$6:$B$405,MATCH(LARGE(BBスクリーニング!$AE$6:$AE$405,$A33),BBスクリーニング!$AE$6:$AE$405,0)),"")</f>
        <v>300A</v>
      </c>
      <c r="C33" s="514" t="str">
        <f>IFERROR(INDEX(BBスクリーニング!$C$6:$C$405,MATCH(LARGE(BBスクリーニング!$AE$6:$AE$405,$A33),BBスクリーニング!$AE$6:$AE$405,0)),"")</f>
        <v>ＭＩＣ</v>
      </c>
      <c r="D33" s="515">
        <f>IFERROR(INDEX(BBスクリーニング!$D$6:$D$405,MATCH(LARGE(BBスクリーニング!$AE$6:$AE$405,$A33),BBスクリーニング!$AE$6:$AE$405,0)),"")</f>
        <v>3070</v>
      </c>
      <c r="E33" s="513" t="str">
        <f>IFERROR(INDEX(BBスクリーニング!$N$6:$N$405,MATCH(LARGE(BBスクリーニング!$AE$6:$AE$405,$A33),BBスクリーニング!$AE$6:$AE$405,0)),"")</f>
        <v>－</v>
      </c>
      <c r="F33" s="513" t="str">
        <f>IFERROR(INDEX(BBスクリーニング!$P$6:$P$405,MATCH(LARGE(BBスクリーニング!$AE$6:$AE$405,$A33),BBスクリーニング!$AE$6:$AE$405,0)),"")</f>
        <v>+1σ上</v>
      </c>
      <c r="G33" s="516">
        <f>IFERROR(INDEX(BBスクリーニング!$Q$6:$Q$405,MATCH(LARGE(BBスクリーニング!$AE$6:$AE$405,$A33),BBスクリーニング!$AE$6:$AE$405,0)),"")</f>
        <v>51.517571884984029</v>
      </c>
      <c r="H33" s="516">
        <f>IFERROR(INDEX(BBスクリーニング!$R$6:$R$405,MATCH(LARGE(BBスクリーニング!$AE$6:$AE$405,$A33),BBスクリーニング!$AE$6:$AE$405,0)),"")</f>
        <v>94.426917239866526</v>
      </c>
      <c r="I33" s="513" t="str">
        <f>IFERROR(INDEX(BBスクリーニング!$S$6:$S$405,MATCH(LARGE(BBスクリーニング!$AE$6:$AE$405,$A33),BBスクリーニング!$AE$6:$AE$405,0)),"")</f>
        <v>弱気div▼</v>
      </c>
      <c r="J33" s="517" t="str">
        <f>IFERROR(INDEX(BBスクリーニング!$W$6:$W$405,MATCH(LARGE(BBスクリーニング!$AE$6:$AE$405,$A33),BBスクリーニング!$AE$6:$AE$405,0)),"")</f>
        <v>○順張り継続(walk)</v>
      </c>
      <c r="K33" s="512">
        <f>IFERROR(INDEX(BBスクリーニング!$X$6:$X$405,MATCH(LARGE(BBスクリーニング!$AE$6:$AE$405,$A33),BBスクリーニング!$AE$6:$AE$405,0)),"")</f>
        <v>55</v>
      </c>
      <c r="L33" s="515">
        <f>IFERROR(INDEX(BBスクリーニング!$Z$6:$Z$405,MATCH(LARGE(BBスクリーニング!$AE$6:$AE$405,$A33),BBスクリーニング!$AE$6:$AE$405,0)),"")</f>
        <v>3007.2243092952344</v>
      </c>
      <c r="M33" s="515">
        <f>IFERROR(INDEX(BBスクリーニング!$AA$6:$AA$405,MATCH(LARGE(BBスクリーニング!$AE$6:$AE$405,$A33),BBスクリーニング!$AE$6:$AE$405,0)),"")</f>
        <v>2943.1052631578946</v>
      </c>
      <c r="N33" s="533">
        <f>IFERROR(INDEX(BBスクリーニング!$AC$6:$AC$405,MATCH(LARGE(BBスクリーニング!$AE$6:$AE$405,$A33),BBスクリーニング!$AE$6:$AE$405,0)),"")</f>
        <v>0.01</v>
      </c>
      <c r="O33" s="534" t="str">
        <f t="shared" si="0"/>
        <v>株探</v>
      </c>
    </row>
    <row r="34" spans="1:15" ht="38.4">
      <c r="A34" s="512">
        <v>30</v>
      </c>
      <c r="B34" s="513" t="str">
        <f>IFERROR(INDEX(BBスクリーニング!$B$6:$B$405,MATCH(LARGE(BBスクリーニング!$AE$6:$AE$405,$A34),BBスクリーニング!$AE$6:$AE$405,0)),"")</f>
        <v>4776</v>
      </c>
      <c r="C34" s="514" t="str">
        <f>IFERROR(INDEX(BBスクリーニング!$C$6:$C$405,MATCH(LARGE(BBスクリーニング!$AE$6:$AE$405,$A34),BBスクリーニング!$AE$6:$AE$405,0)),"")</f>
        <v>サイボウズ</v>
      </c>
      <c r="D34" s="515">
        <f>IFERROR(INDEX(BBスクリーニング!$D$6:$D$405,MATCH(LARGE(BBスクリーニング!$AE$6:$AE$405,$A34),BBスクリーニング!$AE$6:$AE$405,0)),"")</f>
        <v>2699</v>
      </c>
      <c r="E34" s="513" t="str">
        <f>IFERROR(INDEX(BBスクリーニング!$N$6:$N$405,MATCH(LARGE(BBスクリーニング!$AE$6:$AE$405,$A34),BBスクリーニング!$AE$6:$AE$405,0)),"")</f>
        <v>スクイーズ★</v>
      </c>
      <c r="F34" s="513" t="str">
        <f>IFERROR(INDEX(BBスクリーニング!$P$6:$P$405,MATCH(LARGE(BBスクリーニング!$AE$6:$AE$405,$A34),BBスクリーニング!$AE$6:$AE$405,0)),"")</f>
        <v>バンド内</v>
      </c>
      <c r="G34" s="516">
        <f>IFERROR(INDEX(BBスクリーニング!$Q$6:$Q$405,MATCH(LARGE(BBスクリーニング!$AE$6:$AE$405,$A34),BBスクリーニング!$AE$6:$AE$405,0)),"")</f>
        <v>58.232445520581109</v>
      </c>
      <c r="H34" s="516">
        <f>IFERROR(INDEX(BBスクリーニング!$R$6:$R$405,MATCH(LARGE(BBスクリーニング!$AE$6:$AE$405,$A34),BBスクリーニング!$AE$6:$AE$405,0)),"")</f>
        <v>70.61906329663617</v>
      </c>
      <c r="I34" s="513" t="str">
        <f>IFERROR(INDEX(BBスクリーニング!$S$6:$S$405,MATCH(LARGE(BBスクリーニング!$AE$6:$AE$405,$A34),BBスクリーニング!$AE$6:$AE$405,0)),"")</f>
        <v>弱気div▼</v>
      </c>
      <c r="J34" s="517" t="str">
        <f>IFERROR(INDEX(BBスクリーニング!$W$6:$W$405,MATCH(LARGE(BBスクリーニング!$AE$6:$AE$405,$A34),BBスクリーニング!$AE$6:$AE$405,0)),"")</f>
        <v>☆スクイーズ監視</v>
      </c>
      <c r="K34" s="512">
        <f>IFERROR(INDEX(BBスクリーニング!$X$6:$X$405,MATCH(LARGE(BBスクリーニング!$AE$6:$AE$405,$A34),BBスクリーニング!$AE$6:$AE$405,0)),"")</f>
        <v>55</v>
      </c>
      <c r="L34" s="515">
        <f>IFERROR(INDEX(BBスクリーニング!$Z$6:$Z$405,MATCH(LARGE(BBスクリーニング!$AE$6:$AE$405,$A34),BBスクリーニング!$AE$6:$AE$405,0)),"")</f>
        <v>2713.5048103607023</v>
      </c>
      <c r="M34" s="515">
        <f>IFERROR(INDEX(BBスクリーニング!$AA$6:$AA$405,MATCH(LARGE(BBスクリーニング!$AE$6:$AE$405,$A34),BBスクリーニング!$AE$6:$AE$405,0)),"")</f>
        <v>2627.75</v>
      </c>
      <c r="N34" s="533">
        <f>IFERROR(INDEX(BBスクリーニング!$AC$6:$AC$405,MATCH(LARGE(BBスクリーニング!$AE$6:$AE$405,$A34),BBスクリーニング!$AE$6:$AE$405,0)),"")</f>
        <v>1.41</v>
      </c>
      <c r="O34" s="534"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93" t="s">
        <v>1168</v>
      </c>
      <c r="B1" s="755"/>
      <c r="C1" s="755"/>
      <c r="D1" s="755"/>
      <c r="E1" s="755"/>
      <c r="F1" s="755"/>
      <c r="G1" s="755"/>
      <c r="H1" s="755"/>
    </row>
    <row r="5" spans="1:42">
      <c r="A5" s="498" t="s">
        <v>1169</v>
      </c>
      <c r="B5" s="500">
        <v>0</v>
      </c>
      <c r="C5" s="500">
        <v>1</v>
      </c>
      <c r="D5" s="500">
        <v>2</v>
      </c>
      <c r="E5" s="500">
        <v>3</v>
      </c>
      <c r="F5" s="500">
        <v>4</v>
      </c>
      <c r="G5" s="500">
        <v>5</v>
      </c>
      <c r="H5" s="500">
        <v>6</v>
      </c>
      <c r="I5" s="500">
        <v>7</v>
      </c>
      <c r="J5" s="500">
        <v>8</v>
      </c>
      <c r="K5" s="500">
        <v>9</v>
      </c>
      <c r="L5" s="500">
        <v>10</v>
      </c>
      <c r="M5" s="500">
        <v>11</v>
      </c>
      <c r="N5" s="500">
        <v>12</v>
      </c>
      <c r="O5" s="500">
        <v>13</v>
      </c>
      <c r="P5" s="500">
        <v>14</v>
      </c>
      <c r="Q5" s="500">
        <v>15</v>
      </c>
      <c r="R5" s="500">
        <v>16</v>
      </c>
      <c r="S5" s="500">
        <v>17</v>
      </c>
      <c r="T5" s="500">
        <v>18</v>
      </c>
      <c r="U5" s="500">
        <v>19</v>
      </c>
      <c r="V5" s="500">
        <v>20</v>
      </c>
      <c r="W5" s="500">
        <v>21</v>
      </c>
      <c r="X5" s="500">
        <v>22</v>
      </c>
      <c r="Y5" s="500">
        <v>23</v>
      </c>
      <c r="Z5" s="500">
        <v>24</v>
      </c>
      <c r="AA5" s="500">
        <v>25</v>
      </c>
      <c r="AB5" s="500">
        <v>26</v>
      </c>
      <c r="AC5" s="500">
        <v>27</v>
      </c>
      <c r="AD5" s="500">
        <v>28</v>
      </c>
      <c r="AE5" s="500">
        <v>29</v>
      </c>
      <c r="AF5" s="500">
        <v>30</v>
      </c>
      <c r="AG5" s="500">
        <v>31</v>
      </c>
      <c r="AH5" s="500">
        <v>32</v>
      </c>
      <c r="AI5" s="500">
        <v>33</v>
      </c>
      <c r="AJ5" s="500">
        <v>34</v>
      </c>
      <c r="AK5" s="500">
        <v>35</v>
      </c>
      <c r="AL5" s="500">
        <v>36</v>
      </c>
      <c r="AM5" s="500">
        <v>37</v>
      </c>
      <c r="AN5" s="500">
        <v>38</v>
      </c>
      <c r="AO5" s="500">
        <v>39</v>
      </c>
      <c r="AP5" s="500">
        <v>40</v>
      </c>
    </row>
    <row r="6" spans="1:42">
      <c r="A6" s="500" t="str">
        <f>IF(終値!A6="","",終値!A6)</f>
        <v>5706</v>
      </c>
      <c r="B6" s="503">
        <f>IF(終値!A6="","",IFERROR(4*STDEVP(終値!E6:X6)/AVERAGE(終値!E6:X6),""))</f>
        <v>0.35407769218538393</v>
      </c>
      <c r="C6" s="503">
        <f>IF(終値!A6="","",IFERROR(4*STDEVP(終値!F6:Y6)/AVERAGE(終値!F6:Y6),""))</f>
        <v>0.36593518685278603</v>
      </c>
      <c r="D6" s="503">
        <f>IF(終値!A6="","",IFERROR(4*STDEVP(終値!G6:Z6)/AVERAGE(終値!G6:Z6),""))</f>
        <v>0.38216018272806829</v>
      </c>
      <c r="E6" s="503">
        <f>IF(終値!A6="","",IFERROR(4*STDEVP(終値!H6:AA6)/AVERAGE(終値!H6:AA6),""))</f>
        <v>0.41232952721325783</v>
      </c>
      <c r="F6" s="503">
        <f>IF(終値!A6="","",IFERROR(4*STDEVP(終値!I6:AB6)/AVERAGE(終値!I6:AB6),""))</f>
        <v>0.42763298969021224</v>
      </c>
      <c r="G6" s="503">
        <f>IF(終値!A6="","",IFERROR(4*STDEVP(終値!J6:AC6)/AVERAGE(終値!J6:AC6),""))</f>
        <v>0.4868156648608078</v>
      </c>
      <c r="H6" s="503">
        <f>IF(終値!A6="","",IFERROR(4*STDEVP(終値!K6:AD6)/AVERAGE(終値!K6:AD6),""))</f>
        <v>0.48933841104935283</v>
      </c>
      <c r="I6" s="503">
        <f>IF(終値!A6="","",IFERROR(4*STDEVP(終値!L6:AE6)/AVERAGE(終値!L6:AE6),""))</f>
        <v>0.45153802767965162</v>
      </c>
      <c r="J6" s="503">
        <f>IF(終値!A6="","",IFERROR(4*STDEVP(終値!M6:AF6)/AVERAGE(終値!M6:AF6),""))</f>
        <v>0.43131564767096403</v>
      </c>
      <c r="K6" s="503">
        <f>IF(終値!A6="","",IFERROR(4*STDEVP(終値!N6:AG6)/AVERAGE(終値!N6:AG6),""))</f>
        <v>0.46878724776512537</v>
      </c>
      <c r="L6" s="503">
        <f>IF(終値!A6="","",IFERROR(4*STDEVP(終値!O6:AH6)/AVERAGE(終値!O6:AH6),""))</f>
        <v>0.4894428032305439</v>
      </c>
      <c r="M6" s="503">
        <f>IF(終値!A6="","",IFERROR(4*STDEVP(終値!P6:AI6)/AVERAGE(終値!P6:AI6),""))</f>
        <v>0.51134400346580089</v>
      </c>
      <c r="N6" s="503">
        <f>IF(終値!A6="","",IFERROR(4*STDEVP(終値!Q6:AJ6)/AVERAGE(終値!Q6:AJ6),""))</f>
        <v>0.58408158940671973</v>
      </c>
      <c r="O6" s="503">
        <f>IF(終値!A6="","",IFERROR(4*STDEVP(終値!R6:AK6)/AVERAGE(終値!R6:AK6),""))</f>
        <v>0.57817890186207832</v>
      </c>
      <c r="P6" s="503">
        <f>IF(終値!A6="","",IFERROR(4*STDEVP(終値!S6:AL6)/AVERAGE(終値!S6:AL6),""))</f>
        <v>0.54269644826083063</v>
      </c>
      <c r="Q6" s="503">
        <f>IF(終値!A6="","",IFERROR(4*STDEVP(終値!T6:AM6)/AVERAGE(終値!T6:AM6),""))</f>
        <v>0.53476073882224706</v>
      </c>
      <c r="R6" s="503">
        <f>IF(終値!A6="","",IFERROR(4*STDEVP(終値!U6:AN6)/AVERAGE(終値!U6:AN6),""))</f>
        <v>0.51997330576554179</v>
      </c>
      <c r="S6" s="503">
        <f>IF(終値!A6="","",IFERROR(4*STDEVP(終値!V6:AO6)/AVERAGE(終値!V6:AO6),""))</f>
        <v>0.49354261420615503</v>
      </c>
      <c r="T6" s="503">
        <f>IF(終値!A6="","",IFERROR(4*STDEVP(終値!W6:AP6)/AVERAGE(終値!W6:AP6),""))</f>
        <v>0.47088721353565577</v>
      </c>
      <c r="U6" s="503">
        <f>IF(終値!A6="","",IFERROR(4*STDEVP(終値!X6:AQ6)/AVERAGE(終値!X6:AQ6),""))</f>
        <v>0.45521616191253311</v>
      </c>
      <c r="V6" s="503">
        <f>IF(終値!A6="","",IFERROR(4*STDEVP(終値!Y6:AR6)/AVERAGE(終値!Y6:AR6),""))</f>
        <v>0.42858635817742141</v>
      </c>
      <c r="W6" s="503">
        <f>IF(終値!A6="","",IFERROR(4*STDEVP(終値!Z6:AS6)/AVERAGE(終値!Z6:AS6),""))</f>
        <v>0.39893812095705383</v>
      </c>
      <c r="X6" s="503">
        <f>IF(終値!A6="","",IFERROR(4*STDEVP(終値!AA6:AT6)/AVERAGE(終値!AA6:AT6),""))</f>
        <v>0.37455686522443393</v>
      </c>
      <c r="Y6" s="503">
        <f>IF(終値!A6="","",IFERROR(4*STDEVP(終値!AB6:AU6)/AVERAGE(終値!AB6:AU6),""))</f>
        <v>0.35673450980363108</v>
      </c>
      <c r="Z6" s="503">
        <f>IF(終値!A6="","",IFERROR(4*STDEVP(終値!AC6:AV6)/AVERAGE(終値!AC6:AV6),""))</f>
        <v>0.33469656321776275</v>
      </c>
      <c r="AA6" s="503">
        <f>IF(終値!A6="","",IFERROR(4*STDEVP(終値!AD6:AW6)/AVERAGE(終値!AD6:AW6),""))</f>
        <v>0.34229807296113196</v>
      </c>
      <c r="AB6" s="503">
        <f>IF(終値!A6="","",IFERROR(4*STDEVP(終値!AE6:AX6)/AVERAGE(終値!AE6:AX6),""))</f>
        <v>0.35587252726243157</v>
      </c>
      <c r="AC6" s="503">
        <f>IF(終値!A6="","",IFERROR(4*STDEVP(終値!AF6:AY6)/AVERAGE(終値!AF6:AY6),""))</f>
        <v>0.34992342528322867</v>
      </c>
      <c r="AD6" s="503">
        <f>IF(終値!A6="","",IFERROR(4*STDEVP(終値!AG6:AZ6)/AVERAGE(終値!AG6:AZ6),""))</f>
        <v>0.35526161005167534</v>
      </c>
      <c r="AE6" s="503">
        <f>IF(終値!A6="","",IFERROR(4*STDEVP(終値!AH6:BA6)/AVERAGE(終値!AH6:BA6),""))</f>
        <v>0.37527073749598727</v>
      </c>
      <c r="AF6" s="503">
        <f>IF(終値!A6="","",IFERROR(4*STDEVP(終値!AI6:BB6)/AVERAGE(終値!AI6:BB6),""))</f>
        <v>0.37712495193828199</v>
      </c>
      <c r="AG6" s="503">
        <f>IF(終値!A6="","",IFERROR(4*STDEVP(終値!AJ6:BC6)/AVERAGE(終値!AJ6:BC6),""))</f>
        <v>0.37674899221624469</v>
      </c>
      <c r="AH6" s="503">
        <f>IF(終値!A6="","",IFERROR(4*STDEVP(終値!AK6:BD6)/AVERAGE(終値!AK6:BD6),""))</f>
        <v>0.36428153129610946</v>
      </c>
      <c r="AI6" s="503">
        <f>IF(終値!A6="","",IFERROR(4*STDEVP(終値!AL6:BE6)/AVERAGE(終値!AL6:BE6),""))</f>
        <v>0.36442581770159527</v>
      </c>
      <c r="AJ6" s="503">
        <f>IF(終値!A6="","",IFERROR(4*STDEVP(終値!AM6:BF6)/AVERAGE(終値!AM6:BF6),""))</f>
        <v>0.36363397931313551</v>
      </c>
      <c r="AK6" s="503">
        <f>IF(終値!A6="","",IFERROR(4*STDEVP(終値!AN6:BG6)/AVERAGE(終値!AN6:BG6),""))</f>
        <v>0.36319324652704366</v>
      </c>
      <c r="AL6" s="503">
        <f>IF(終値!A6="","",IFERROR(4*STDEVP(終値!AO6:BH6)/AVERAGE(終値!AO6:BH6),""))</f>
        <v>0.36950338369390157</v>
      </c>
      <c r="AM6" s="503">
        <f>IF(終値!A6="","",IFERROR(4*STDEVP(終値!AP6:BI6)/AVERAGE(終値!AP6:BI6),""))</f>
        <v>0.39635104587497511</v>
      </c>
      <c r="AN6" s="503">
        <f>IF(終値!A6="","",IFERROR(4*STDEVP(終値!AQ6:BJ6)/AVERAGE(終値!AQ6:BJ6),""))</f>
        <v>0.39543008651995515</v>
      </c>
      <c r="AO6" s="503">
        <f>IF(終値!A6="","",IFERROR(4*STDEVP(終値!AR6:BK6)/AVERAGE(終値!AR6:BK6),""))</f>
        <v>0.34633697876139369</v>
      </c>
      <c r="AP6" s="503">
        <f>IF(終値!A6="","",IFERROR(4*STDEVP(終値!AS6:BL6)/AVERAGE(終値!AS6:BL6),""))</f>
        <v>0.27331218175934169</v>
      </c>
    </row>
    <row r="7" spans="1:42">
      <c r="A7" s="500" t="str">
        <f>IF(終値!A7="","",終値!A7)</f>
        <v>5423</v>
      </c>
      <c r="B7" s="503">
        <f>IF(終値!A7="","",IFERROR(4*STDEVP(終値!E7:X7)/AVERAGE(終値!E7:X7),""))</f>
        <v>6.7373701281438131E-2</v>
      </c>
      <c r="C7" s="503">
        <f>IF(終値!A7="","",IFERROR(4*STDEVP(終値!F7:Y7)/AVERAGE(終値!F7:Y7),""))</f>
        <v>6.7258073002982768E-2</v>
      </c>
      <c r="D7" s="503">
        <f>IF(終値!A7="","",IFERROR(4*STDEVP(終値!G7:Z7)/AVERAGE(終値!G7:Z7),""))</f>
        <v>6.716156922708183E-2</v>
      </c>
      <c r="E7" s="503">
        <f>IF(終値!A7="","",IFERROR(4*STDEVP(終値!H7:AA7)/AVERAGE(終値!H7:AA7),""))</f>
        <v>6.2277256294676925E-2</v>
      </c>
      <c r="F7" s="503">
        <f>IF(終値!A7="","",IFERROR(4*STDEVP(終値!I7:AB7)/AVERAGE(終値!I7:AB7),""))</f>
        <v>5.9261741620259725E-2</v>
      </c>
      <c r="G7" s="503">
        <f>IF(終値!A7="","",IFERROR(4*STDEVP(終値!J7:AC7)/AVERAGE(終値!J7:AC7),""))</f>
        <v>5.9651860867919793E-2</v>
      </c>
      <c r="H7" s="503">
        <f>IF(終値!A7="","",IFERROR(4*STDEVP(終値!K7:AD7)/AVERAGE(終値!K7:AD7),""))</f>
        <v>6.3981802076999036E-2</v>
      </c>
      <c r="I7" s="503">
        <f>IF(終値!A7="","",IFERROR(4*STDEVP(終値!L7:AE7)/AVERAGE(終値!L7:AE7),""))</f>
        <v>6.2292441163696123E-2</v>
      </c>
      <c r="J7" s="503">
        <f>IF(終値!A7="","",IFERROR(4*STDEVP(終値!M7:AF7)/AVERAGE(終値!M7:AF7),""))</f>
        <v>6.0307418930301553E-2</v>
      </c>
      <c r="K7" s="503">
        <f>IF(終値!A7="","",IFERROR(4*STDEVP(終値!N7:AG7)/AVERAGE(終値!N7:AG7),""))</f>
        <v>6.390962650934974E-2</v>
      </c>
      <c r="L7" s="503">
        <f>IF(終値!A7="","",IFERROR(4*STDEVP(終値!O7:AH7)/AVERAGE(終値!O7:AH7),""))</f>
        <v>6.1367305779834541E-2</v>
      </c>
      <c r="M7" s="503">
        <f>IF(終値!A7="","",IFERROR(4*STDEVP(終値!P7:AI7)/AVERAGE(終値!P7:AI7),""))</f>
        <v>6.1749952917174861E-2</v>
      </c>
      <c r="N7" s="503">
        <f>IF(終値!A7="","",IFERROR(4*STDEVP(終値!Q7:AJ7)/AVERAGE(終値!Q7:AJ7),""))</f>
        <v>7.1709918925716862E-2</v>
      </c>
      <c r="O7" s="503">
        <f>IF(終値!A7="","",IFERROR(4*STDEVP(終値!R7:AK7)/AVERAGE(終値!R7:AK7),""))</f>
        <v>7.3381672000309414E-2</v>
      </c>
      <c r="P7" s="503">
        <f>IF(終値!A7="","",IFERROR(4*STDEVP(終値!S7:AL7)/AVERAGE(終値!S7:AL7),""))</f>
        <v>7.6435475629526781E-2</v>
      </c>
      <c r="Q7" s="503">
        <f>IF(終値!A7="","",IFERROR(4*STDEVP(終値!T7:AM7)/AVERAGE(終値!T7:AM7),""))</f>
        <v>7.6947069439237348E-2</v>
      </c>
      <c r="R7" s="503">
        <f>IF(終値!A7="","",IFERROR(4*STDEVP(終値!U7:AN7)/AVERAGE(終値!U7:AN7),""))</f>
        <v>7.5424209244088228E-2</v>
      </c>
      <c r="S7" s="503">
        <f>IF(終値!A7="","",IFERROR(4*STDEVP(終値!V7:AO7)/AVERAGE(終値!V7:AO7),""))</f>
        <v>7.6721007361018903E-2</v>
      </c>
      <c r="T7" s="503">
        <f>IF(終値!A7="","",IFERROR(4*STDEVP(終値!W7:AP7)/AVERAGE(終値!W7:AP7),""))</f>
        <v>7.6721007361018903E-2</v>
      </c>
      <c r="U7" s="503">
        <f>IF(終値!A7="","",IFERROR(4*STDEVP(終値!X7:AQ7)/AVERAGE(終値!X7:AQ7),""))</f>
        <v>7.9725133441555213E-2</v>
      </c>
      <c r="V7" s="503">
        <f>IF(終値!A7="","",IFERROR(4*STDEVP(終値!Y7:AR7)/AVERAGE(終値!Y7:AR7),""))</f>
        <v>8.4970689102049385E-2</v>
      </c>
      <c r="W7" s="503">
        <f>IF(終値!A7="","",IFERROR(4*STDEVP(終値!Z7:AS7)/AVERAGE(終値!Z7:AS7),""))</f>
        <v>8.530164408444299E-2</v>
      </c>
      <c r="X7" s="503">
        <f>IF(終値!A7="","",IFERROR(4*STDEVP(終値!AA7:AT7)/AVERAGE(終値!AA7:AT7),""))</f>
        <v>8.5383659333089557E-2</v>
      </c>
      <c r="Y7" s="503">
        <f>IF(終値!A7="","",IFERROR(4*STDEVP(終値!AB7:AU7)/AVERAGE(終値!AB7:AU7),""))</f>
        <v>8.4644648803100478E-2</v>
      </c>
      <c r="Z7" s="503">
        <f>IF(終値!A7="","",IFERROR(4*STDEVP(終値!AC7:AV7)/AVERAGE(終値!AC7:AV7),""))</f>
        <v>8.5051589029543684E-2</v>
      </c>
      <c r="AA7" s="503">
        <f>IF(終値!A7="","",IFERROR(4*STDEVP(終値!AD7:AW7)/AVERAGE(終値!AD7:AW7),""))</f>
        <v>8.5206664504736254E-2</v>
      </c>
      <c r="AB7" s="503">
        <f>IF(終値!A7="","",IFERROR(4*STDEVP(終値!AE7:AX7)/AVERAGE(終値!AE7:AX7),""))</f>
        <v>8.4991641168068191E-2</v>
      </c>
      <c r="AC7" s="503">
        <f>IF(終値!A7="","",IFERROR(4*STDEVP(終値!AF7:AY7)/AVERAGE(終値!AF7:AY7),""))</f>
        <v>8.3497710553196353E-2</v>
      </c>
      <c r="AD7" s="503">
        <f>IF(終値!A7="","",IFERROR(4*STDEVP(終値!AG7:AZ7)/AVERAGE(終値!AG7:AZ7),""))</f>
        <v>8.0565277090536722E-2</v>
      </c>
      <c r="AE7" s="503">
        <f>IF(終値!A7="","",IFERROR(4*STDEVP(終値!AH7:BA7)/AVERAGE(終値!AH7:BA7),""))</f>
        <v>7.7159991140156717E-2</v>
      </c>
      <c r="AF7" s="503">
        <f>IF(終値!A7="","",IFERROR(4*STDEVP(終値!AI7:BB7)/AVERAGE(終値!AI7:BB7),""))</f>
        <v>7.6906037313784731E-2</v>
      </c>
      <c r="AG7" s="503">
        <f>IF(終値!A7="","",IFERROR(4*STDEVP(終値!AJ7:BC7)/AVERAGE(終値!AJ7:BC7),""))</f>
        <v>7.7204878317793921E-2</v>
      </c>
      <c r="AH7" s="503">
        <f>IF(終値!A7="","",IFERROR(4*STDEVP(終値!AK7:BD7)/AVERAGE(終値!AK7:BD7),""))</f>
        <v>6.8021111458261382E-2</v>
      </c>
      <c r="AI7" s="503">
        <f>IF(終値!A7="","",IFERROR(4*STDEVP(終値!AL7:BE7)/AVERAGE(終値!AL7:BE7),""))</f>
        <v>6.7584044591534567E-2</v>
      </c>
      <c r="AJ7" s="503">
        <f>IF(終値!A7="","",IFERROR(4*STDEVP(終値!AM7:BF7)/AVERAGE(終値!AM7:BF7),""))</f>
        <v>7.2952333409233433E-2</v>
      </c>
      <c r="AK7" s="503">
        <f>IF(終値!A7="","",IFERROR(4*STDEVP(終値!AN7:BG7)/AVERAGE(終値!AN7:BG7),""))</f>
        <v>8.6194995426533444E-2</v>
      </c>
      <c r="AL7" s="503">
        <f>IF(終値!A7="","",IFERROR(4*STDEVP(終値!AO7:BH7)/AVERAGE(終値!AO7:BH7),""))</f>
        <v>0.10435491984728304</v>
      </c>
      <c r="AM7" s="503">
        <f>IF(終値!A7="","",IFERROR(4*STDEVP(終値!AP7:BI7)/AVERAGE(終値!AP7:BI7),""))</f>
        <v>0.10441582120188649</v>
      </c>
      <c r="AN7" s="503">
        <f>IF(終値!A7="","",IFERROR(4*STDEVP(終値!AQ7:BJ7)/AVERAGE(終値!AQ7:BJ7),""))</f>
        <v>0.10957897626626005</v>
      </c>
      <c r="AO7" s="503">
        <f>IF(終値!A7="","",IFERROR(4*STDEVP(終値!AR7:BK7)/AVERAGE(終値!AR7:BK7),""))</f>
        <v>0.11383506056316541</v>
      </c>
      <c r="AP7" s="503">
        <f>IF(終値!A7="","",IFERROR(4*STDEVP(終値!AS7:BL7)/AVERAGE(終値!AS7:BL7),""))</f>
        <v>0.11583682671111116</v>
      </c>
    </row>
    <row r="8" spans="1:42">
      <c r="A8" s="500" t="str">
        <f>IF(終値!A8="","",終値!A8)</f>
        <v>5713</v>
      </c>
      <c r="B8" s="503">
        <f>IF(終値!A8="","",IFERROR(4*STDEVP(終値!E8:X8)/AVERAGE(終値!E8:X8),""))</f>
        <v>0.27608146747338624</v>
      </c>
      <c r="C8" s="503">
        <f>IF(終値!A8="","",IFERROR(4*STDEVP(終値!F8:Y8)/AVERAGE(終値!F8:Y8),""))</f>
        <v>0.21455637805394226</v>
      </c>
      <c r="D8" s="503">
        <f>IF(終値!A8="","",IFERROR(4*STDEVP(終値!G8:Z8)/AVERAGE(終値!G8:Z8),""))</f>
        <v>0.18262539453309873</v>
      </c>
      <c r="E8" s="503">
        <f>IF(終値!A8="","",IFERROR(4*STDEVP(終値!H8:AA8)/AVERAGE(終値!H8:AA8),""))</f>
        <v>0.17783104552860535</v>
      </c>
      <c r="F8" s="503">
        <f>IF(終値!A8="","",IFERROR(4*STDEVP(終値!I8:AB8)/AVERAGE(終値!I8:AB8),""))</f>
        <v>0.16924466719785855</v>
      </c>
      <c r="G8" s="503">
        <f>IF(終値!A8="","",IFERROR(4*STDEVP(終値!J8:AC8)/AVERAGE(終値!J8:AC8),""))</f>
        <v>0.14670114910502827</v>
      </c>
      <c r="H8" s="503">
        <f>IF(終値!A8="","",IFERROR(4*STDEVP(終値!K8:AD8)/AVERAGE(終値!K8:AD8),""))</f>
        <v>0.14671084288894695</v>
      </c>
      <c r="I8" s="503">
        <f>IF(終値!A8="","",IFERROR(4*STDEVP(終値!L8:AE8)/AVERAGE(終値!L8:AE8),""))</f>
        <v>0.14585750914945553</v>
      </c>
      <c r="J8" s="503">
        <f>IF(終値!A8="","",IFERROR(4*STDEVP(終値!M8:AF8)/AVERAGE(終値!M8:AF8),""))</f>
        <v>0.1468161650827646</v>
      </c>
      <c r="K8" s="503">
        <f>IF(終値!A8="","",IFERROR(4*STDEVP(終値!N8:AG8)/AVERAGE(終値!N8:AG8),""))</f>
        <v>0.1435179329156557</v>
      </c>
      <c r="L8" s="503">
        <f>IF(終値!A8="","",IFERROR(4*STDEVP(終値!O8:AH8)/AVERAGE(終値!O8:AH8),""))</f>
        <v>0.15452966772244384</v>
      </c>
      <c r="M8" s="503">
        <f>IF(終値!A8="","",IFERROR(4*STDEVP(終値!P8:AI8)/AVERAGE(終値!P8:AI8),""))</f>
        <v>0.17211766320881783</v>
      </c>
      <c r="N8" s="503">
        <f>IF(終値!A8="","",IFERROR(4*STDEVP(終値!Q8:AJ8)/AVERAGE(終値!Q8:AJ8),""))</f>
        <v>0.23010318307168828</v>
      </c>
      <c r="O8" s="503">
        <f>IF(終値!A8="","",IFERROR(4*STDEVP(終値!R8:AK8)/AVERAGE(終値!R8:AK8),""))</f>
        <v>0.25518861448242885</v>
      </c>
      <c r="P8" s="503">
        <f>IF(終値!A8="","",IFERROR(4*STDEVP(終値!S8:AL8)/AVERAGE(終値!S8:AL8),""))</f>
        <v>0.29302849712413664</v>
      </c>
      <c r="Q8" s="503">
        <f>IF(終値!A8="","",IFERROR(4*STDEVP(終値!T8:AM8)/AVERAGE(終値!T8:AM8),""))</f>
        <v>0.32574329886495634</v>
      </c>
      <c r="R8" s="503">
        <f>IF(終値!A8="","",IFERROR(4*STDEVP(終値!U8:AN8)/AVERAGE(終値!U8:AN8),""))</f>
        <v>0.33568536610939786</v>
      </c>
      <c r="S8" s="503">
        <f>IF(終値!A8="","",IFERROR(4*STDEVP(終値!V8:AO8)/AVERAGE(終値!V8:AO8),""))</f>
        <v>0.34734564508167293</v>
      </c>
      <c r="T8" s="503">
        <f>IF(終値!A8="","",IFERROR(4*STDEVP(終値!W8:AP8)/AVERAGE(終値!W8:AP8),""))</f>
        <v>0.33983040883781918</v>
      </c>
      <c r="U8" s="503">
        <f>IF(終値!A8="","",IFERROR(4*STDEVP(終値!X8:AQ8)/AVERAGE(終値!X8:AQ8),""))</f>
        <v>0.32601384806109013</v>
      </c>
      <c r="V8" s="503">
        <f>IF(終値!A8="","",IFERROR(4*STDEVP(終値!Y8:AR8)/AVERAGE(終値!Y8:AR8),""))</f>
        <v>0.31370430517588199</v>
      </c>
      <c r="W8" s="503">
        <f>IF(終値!A8="","",IFERROR(4*STDEVP(終値!Z8:AS8)/AVERAGE(終値!Z8:AS8),""))</f>
        <v>0.30388306411228971</v>
      </c>
      <c r="X8" s="503">
        <f>IF(終値!A8="","",IFERROR(4*STDEVP(終値!AA8:AT8)/AVERAGE(終値!AA8:AT8),""))</f>
        <v>0.30444297714821072</v>
      </c>
      <c r="Y8" s="503">
        <f>IF(終値!A8="","",IFERROR(4*STDEVP(終値!AB8:AU8)/AVERAGE(終値!AB8:AU8),""))</f>
        <v>0.30522909407267457</v>
      </c>
      <c r="Z8" s="503">
        <f>IF(終値!A8="","",IFERROR(4*STDEVP(終値!AC8:AV8)/AVERAGE(終値!AC8:AV8),""))</f>
        <v>0.30450548731374222</v>
      </c>
      <c r="AA8" s="503">
        <f>IF(終値!A8="","",IFERROR(4*STDEVP(終値!AD8:AW8)/AVERAGE(終値!AD8:AW8),""))</f>
        <v>0.28556903935373501</v>
      </c>
      <c r="AB8" s="503">
        <f>IF(終値!A8="","",IFERROR(4*STDEVP(終値!AE8:AX8)/AVERAGE(終値!AE8:AX8),""))</f>
        <v>0.2733742178891051</v>
      </c>
      <c r="AC8" s="503">
        <f>IF(終値!A8="","",IFERROR(4*STDEVP(終値!AF8:AY8)/AVERAGE(終値!AF8:AY8),""))</f>
        <v>0.25322668647985297</v>
      </c>
      <c r="AD8" s="503">
        <f>IF(終値!A8="","",IFERROR(4*STDEVP(終値!AG8:AZ8)/AVERAGE(終値!AG8:AZ8),""))</f>
        <v>0.25324013132158846</v>
      </c>
      <c r="AE8" s="503">
        <f>IF(終値!A8="","",IFERROR(4*STDEVP(終値!AH8:BA8)/AVERAGE(終値!AH8:BA8),""))</f>
        <v>0.25339484167692133</v>
      </c>
      <c r="AF8" s="503">
        <f>IF(終値!A8="","",IFERROR(4*STDEVP(終値!AI8:BB8)/AVERAGE(終値!AI8:BB8),""))</f>
        <v>0.24779792226997441</v>
      </c>
      <c r="AG8" s="503">
        <f>IF(終値!A8="","",IFERROR(4*STDEVP(終値!AJ8:BC8)/AVERAGE(終値!AJ8:BC8),""))</f>
        <v>0.24166854646672592</v>
      </c>
      <c r="AH8" s="503">
        <f>IF(終値!A8="","",IFERROR(4*STDEVP(終値!AK8:BD8)/AVERAGE(終値!AK8:BD8),""))</f>
        <v>0.24168582239887412</v>
      </c>
      <c r="AI8" s="503">
        <f>IF(終値!A8="","",IFERROR(4*STDEVP(終値!AL8:BE8)/AVERAGE(終値!AL8:BE8),""))</f>
        <v>0.24221181736345371</v>
      </c>
      <c r="AJ8" s="503">
        <f>IF(終値!A8="","",IFERROR(4*STDEVP(終値!AM8:BF8)/AVERAGE(終値!AM8:BF8),""))</f>
        <v>0.24771503180696533</v>
      </c>
      <c r="AK8" s="503">
        <f>IF(終値!A8="","",IFERROR(4*STDEVP(終値!AN8:BG8)/AVERAGE(終値!AN8:BG8),""))</f>
        <v>0.27851305727266218</v>
      </c>
      <c r="AL8" s="503">
        <f>IF(終値!A8="","",IFERROR(4*STDEVP(終値!AO8:BH8)/AVERAGE(終値!AO8:BH8),""))</f>
        <v>0.31472938224301628</v>
      </c>
      <c r="AM8" s="503">
        <f>IF(終値!A8="","",IFERROR(4*STDEVP(終値!AP8:BI8)/AVERAGE(終値!AP8:BI8),""))</f>
        <v>0.35405048413270379</v>
      </c>
      <c r="AN8" s="503">
        <f>IF(終値!A8="","",IFERROR(4*STDEVP(終値!AQ8:BJ8)/AVERAGE(終値!AQ8:BJ8),""))</f>
        <v>0.3760583555942989</v>
      </c>
      <c r="AO8" s="503">
        <f>IF(終値!A8="","",IFERROR(4*STDEVP(終値!AR8:BK8)/AVERAGE(終値!AR8:BK8),""))</f>
        <v>0.34882610655180524</v>
      </c>
      <c r="AP8" s="503">
        <f>IF(終値!A8="","",IFERROR(4*STDEVP(終値!AS8:BL8)/AVERAGE(終値!AS8:BL8),""))</f>
        <v>0.32837599743369189</v>
      </c>
    </row>
    <row r="9" spans="1:42">
      <c r="A9" s="500" t="str">
        <f>IF(終値!A9="","",終値!A9)</f>
        <v>5711</v>
      </c>
      <c r="B9" s="503">
        <f>IF(終値!A9="","",IFERROR(4*STDEVP(終値!E9:X9)/AVERAGE(終値!E9:X9),""))</f>
        <v>0.13115791815121527</v>
      </c>
      <c r="C9" s="503">
        <f>IF(終値!A9="","",IFERROR(4*STDEVP(終値!F9:Y9)/AVERAGE(終値!F9:Y9),""))</f>
        <v>0.12194406925667728</v>
      </c>
      <c r="D9" s="503">
        <f>IF(終値!A9="","",IFERROR(4*STDEVP(終値!G9:Z9)/AVERAGE(終値!G9:Z9),""))</f>
        <v>0.15080406335797583</v>
      </c>
      <c r="E9" s="503">
        <f>IF(終値!A9="","",IFERROR(4*STDEVP(終値!H9:AA9)/AVERAGE(終値!H9:AA9),""))</f>
        <v>0.17133709980081269</v>
      </c>
      <c r="F9" s="503">
        <f>IF(終値!A9="","",IFERROR(4*STDEVP(終値!I9:AB9)/AVERAGE(終値!I9:AB9),""))</f>
        <v>0.17976550507131442</v>
      </c>
      <c r="G9" s="503">
        <f>IF(終値!A9="","",IFERROR(4*STDEVP(終値!J9:AC9)/AVERAGE(終値!J9:AC9),""))</f>
        <v>0.1837949083833629</v>
      </c>
      <c r="H9" s="503">
        <f>IF(終値!A9="","",IFERROR(4*STDEVP(終値!K9:AD9)/AVERAGE(終値!K9:AD9),""))</f>
        <v>0.17716029989339632</v>
      </c>
      <c r="I9" s="503">
        <f>IF(終値!A9="","",IFERROR(4*STDEVP(終値!L9:AE9)/AVERAGE(終値!L9:AE9),""))</f>
        <v>0.1668941645042166</v>
      </c>
      <c r="J9" s="503">
        <f>IF(終値!A9="","",IFERROR(4*STDEVP(終値!M9:AF9)/AVERAGE(終値!M9:AF9),""))</f>
        <v>0.16192445520957183</v>
      </c>
      <c r="K9" s="503">
        <f>IF(終値!A9="","",IFERROR(4*STDEVP(終値!N9:AG9)/AVERAGE(終値!N9:AG9),""))</f>
        <v>0.16496258105348283</v>
      </c>
      <c r="L9" s="503">
        <f>IF(終値!A9="","",IFERROR(4*STDEVP(終値!O9:AH9)/AVERAGE(終値!O9:AH9),""))</f>
        <v>0.17305220798068238</v>
      </c>
      <c r="M9" s="503">
        <f>IF(終値!A9="","",IFERROR(4*STDEVP(終値!P9:AI9)/AVERAGE(終値!P9:AI9),""))</f>
        <v>0.18602509321644409</v>
      </c>
      <c r="N9" s="503">
        <f>IF(終値!A9="","",IFERROR(4*STDEVP(終値!Q9:AJ9)/AVERAGE(終値!Q9:AJ9),""))</f>
        <v>0.21751816095446166</v>
      </c>
      <c r="O9" s="503">
        <f>IF(終値!A9="","",IFERROR(4*STDEVP(終値!R9:AK9)/AVERAGE(終値!R9:AK9),""))</f>
        <v>0.23249462376728836</v>
      </c>
      <c r="P9" s="503">
        <f>IF(終値!A9="","",IFERROR(4*STDEVP(終値!S9:AL9)/AVERAGE(終値!S9:AL9),""))</f>
        <v>0.23664636899207286</v>
      </c>
      <c r="Q9" s="503">
        <f>IF(終値!A9="","",IFERROR(4*STDEVP(終値!T9:AM9)/AVERAGE(終値!T9:AM9),""))</f>
        <v>0.24858831179312929</v>
      </c>
      <c r="R9" s="503">
        <f>IF(終値!A9="","",IFERROR(4*STDEVP(終値!U9:AN9)/AVERAGE(終値!U9:AN9),""))</f>
        <v>0.25359672160730695</v>
      </c>
      <c r="S9" s="503">
        <f>IF(終値!A9="","",IFERROR(4*STDEVP(終値!V9:AO9)/AVERAGE(終値!V9:AO9),""))</f>
        <v>0.25309919326252783</v>
      </c>
      <c r="T9" s="503">
        <f>IF(終値!A9="","",IFERROR(4*STDEVP(終値!W9:AP9)/AVERAGE(終値!W9:AP9),""))</f>
        <v>0.23537345328428894</v>
      </c>
      <c r="U9" s="503">
        <f>IF(終値!A9="","",IFERROR(4*STDEVP(終値!X9:AQ9)/AVERAGE(終値!X9:AQ9),""))</f>
        <v>0.20273948569536393</v>
      </c>
      <c r="V9" s="503">
        <f>IF(終値!A9="","",IFERROR(4*STDEVP(終値!Y9:AR9)/AVERAGE(終値!Y9:AR9),""))</f>
        <v>0.19270009186040676</v>
      </c>
      <c r="W9" s="503">
        <f>IF(終値!A9="","",IFERROR(4*STDEVP(終値!Z9:AS9)/AVERAGE(終値!Z9:AS9),""))</f>
        <v>0.18625537592944741</v>
      </c>
      <c r="X9" s="503">
        <f>IF(終値!A9="","",IFERROR(4*STDEVP(終値!AA9:AT9)/AVERAGE(終値!AA9:AT9),""))</f>
        <v>0.19383131945658075</v>
      </c>
      <c r="Y9" s="503">
        <f>IF(終値!A9="","",IFERROR(4*STDEVP(終値!AB9:AU9)/AVERAGE(終値!AB9:AU9),""))</f>
        <v>0.20313497668424649</v>
      </c>
      <c r="Z9" s="503">
        <f>IF(終値!A9="","",IFERROR(4*STDEVP(終値!AC9:AV9)/AVERAGE(終値!AC9:AV9),""))</f>
        <v>0.22141922473701775</v>
      </c>
      <c r="AA9" s="503">
        <f>IF(終値!A9="","",IFERROR(4*STDEVP(終値!AD9:AW9)/AVERAGE(終値!AD9:AW9),""))</f>
        <v>0.22210046554500862</v>
      </c>
      <c r="AB9" s="503">
        <f>IF(終値!A9="","",IFERROR(4*STDEVP(終値!AE9:AX9)/AVERAGE(終値!AE9:AX9),""))</f>
        <v>0.21996880914269132</v>
      </c>
      <c r="AC9" s="503">
        <f>IF(終値!A9="","",IFERROR(4*STDEVP(終値!AF9:AY9)/AVERAGE(終値!AF9:AY9),""))</f>
        <v>0.21141312563680273</v>
      </c>
      <c r="AD9" s="503">
        <f>IF(終値!A9="","",IFERROR(4*STDEVP(終値!AG9:AZ9)/AVERAGE(終値!AG9:AZ9),""))</f>
        <v>0.20909769737155837</v>
      </c>
      <c r="AE9" s="503">
        <f>IF(終値!A9="","",IFERROR(4*STDEVP(終値!AH9:BA9)/AVERAGE(終値!AH9:BA9),""))</f>
        <v>0.20417195012554731</v>
      </c>
      <c r="AF9" s="503">
        <f>IF(終値!A9="","",IFERROR(4*STDEVP(終値!AI9:BB9)/AVERAGE(終値!AI9:BB9),""))</f>
        <v>0.19543346441773887</v>
      </c>
      <c r="AG9" s="503">
        <f>IF(終値!A9="","",IFERROR(4*STDEVP(終値!AJ9:BC9)/AVERAGE(終値!AJ9:BC9),""))</f>
        <v>0.18800918856123414</v>
      </c>
      <c r="AH9" s="503">
        <f>IF(終値!A9="","",IFERROR(4*STDEVP(終値!AK9:BD9)/AVERAGE(終値!AK9:BD9),""))</f>
        <v>0.18965709493601093</v>
      </c>
      <c r="AI9" s="503">
        <f>IF(終値!A9="","",IFERROR(4*STDEVP(終値!AL9:BE9)/AVERAGE(終値!AL9:BE9),""))</f>
        <v>0.18897184005466955</v>
      </c>
      <c r="AJ9" s="503">
        <f>IF(終値!A9="","",IFERROR(4*STDEVP(終値!AM9:BF9)/AVERAGE(終値!AM9:BF9),""))</f>
        <v>0.19012774245063011</v>
      </c>
      <c r="AK9" s="503">
        <f>IF(終値!A9="","",IFERROR(4*STDEVP(終値!AN9:BG9)/AVERAGE(終値!AN9:BG9),""))</f>
        <v>0.20807111185701455</v>
      </c>
      <c r="AL9" s="503">
        <f>IF(終値!A9="","",IFERROR(4*STDEVP(終値!AO9:BH9)/AVERAGE(終値!AO9:BH9),""))</f>
        <v>0.21848706008233826</v>
      </c>
      <c r="AM9" s="503">
        <f>IF(終値!A9="","",IFERROR(4*STDEVP(終値!AP9:BI9)/AVERAGE(終値!AP9:BI9),""))</f>
        <v>0.29051992771076901</v>
      </c>
      <c r="AN9" s="503">
        <f>IF(終値!A9="","",IFERROR(4*STDEVP(終値!AQ9:BJ9)/AVERAGE(終値!AQ9:BJ9),""))</f>
        <v>0.3072613500759846</v>
      </c>
      <c r="AO9" s="503">
        <f>IF(終値!A9="","",IFERROR(4*STDEVP(終値!AR9:BK9)/AVERAGE(終値!AR9:BK9),""))</f>
        <v>0.29132642381448765</v>
      </c>
      <c r="AP9" s="503">
        <f>IF(終値!A9="","",IFERROR(4*STDEVP(終値!AS9:BL9)/AVERAGE(終値!AS9:BL9),""))</f>
        <v>0.26965973651440889</v>
      </c>
    </row>
    <row r="10" spans="1:42">
      <c r="A10" s="500" t="str">
        <f>IF(終値!A10="","",終値!A10)</f>
        <v>5714</v>
      </c>
      <c r="B10" s="503">
        <f>IF(終値!A10="","",IFERROR(4*STDEVP(終値!E10:X10)/AVERAGE(終値!E10:X10),""))</f>
        <v>0.10986444953685601</v>
      </c>
      <c r="C10" s="503">
        <f>IF(終値!A10="","",IFERROR(4*STDEVP(終値!F10:Y10)/AVERAGE(終値!F10:Y10),""))</f>
        <v>9.3614684176387311E-2</v>
      </c>
      <c r="D10" s="503">
        <f>IF(終値!A10="","",IFERROR(4*STDEVP(終値!G10:Z10)/AVERAGE(終値!G10:Z10),""))</f>
        <v>0.11418092738761132</v>
      </c>
      <c r="E10" s="503">
        <f>IF(終値!A10="","",IFERROR(4*STDEVP(終値!H10:AA10)/AVERAGE(終値!H10:AA10),""))</f>
        <v>0.12535762591146776</v>
      </c>
      <c r="F10" s="503">
        <f>IF(終値!A10="","",IFERROR(4*STDEVP(終値!I10:AB10)/AVERAGE(終値!I10:AB10),""))</f>
        <v>0.13145064161788761</v>
      </c>
      <c r="G10" s="503">
        <f>IF(終値!A10="","",IFERROR(4*STDEVP(終値!J10:AC10)/AVERAGE(終値!J10:AC10),""))</f>
        <v>0.13230019439556109</v>
      </c>
      <c r="H10" s="503">
        <f>IF(終値!A10="","",IFERROR(4*STDEVP(終値!K10:AD10)/AVERAGE(終値!K10:AD10),""))</f>
        <v>0.12702129319430738</v>
      </c>
      <c r="I10" s="503">
        <f>IF(終値!A10="","",IFERROR(4*STDEVP(終値!L10:AE10)/AVERAGE(終値!L10:AE10),""))</f>
        <v>0.11780941797373143</v>
      </c>
      <c r="J10" s="503">
        <f>IF(終値!A10="","",IFERROR(4*STDEVP(終値!M10:AF10)/AVERAGE(終値!M10:AF10),""))</f>
        <v>0.11303972146647935</v>
      </c>
      <c r="K10" s="503">
        <f>IF(終値!A10="","",IFERROR(4*STDEVP(終値!N10:AG10)/AVERAGE(終値!N10:AG10),""))</f>
        <v>0.11502322267728869</v>
      </c>
      <c r="L10" s="503">
        <f>IF(終値!A10="","",IFERROR(4*STDEVP(終値!O10:AH10)/AVERAGE(終値!O10:AH10),""))</f>
        <v>0.12084418067891739</v>
      </c>
      <c r="M10" s="503">
        <f>IF(終値!A10="","",IFERROR(4*STDEVP(終値!P10:AI10)/AVERAGE(終値!P10:AI10),""))</f>
        <v>0.13640356080444666</v>
      </c>
      <c r="N10" s="503">
        <f>IF(終値!A10="","",IFERROR(4*STDEVP(終値!Q10:AJ10)/AVERAGE(終値!Q10:AJ10),""))</f>
        <v>0.17322921100745264</v>
      </c>
      <c r="O10" s="503">
        <f>IF(終値!A10="","",IFERROR(4*STDEVP(終値!R10:AK10)/AVERAGE(終値!R10:AK10),""))</f>
        <v>0.18631080205227618</v>
      </c>
      <c r="P10" s="503">
        <f>IF(終値!A10="","",IFERROR(4*STDEVP(終値!S10:AL10)/AVERAGE(終値!S10:AL10),""))</f>
        <v>0.19378446878390221</v>
      </c>
      <c r="Q10" s="503">
        <f>IF(終値!A10="","",IFERROR(4*STDEVP(終値!T10:AM10)/AVERAGE(終値!T10:AM10),""))</f>
        <v>0.21401210018803246</v>
      </c>
      <c r="R10" s="503">
        <f>IF(終値!A10="","",IFERROR(4*STDEVP(終値!U10:AN10)/AVERAGE(終値!U10:AN10),""))</f>
        <v>0.22031406330603875</v>
      </c>
      <c r="S10" s="503">
        <f>IF(終値!A10="","",IFERROR(4*STDEVP(終値!V10:AO10)/AVERAGE(終値!V10:AO10),""))</f>
        <v>0.22574353140879713</v>
      </c>
      <c r="T10" s="503">
        <f>IF(終値!A10="","",IFERROR(4*STDEVP(終値!W10:AP10)/AVERAGE(終値!W10:AP10),""))</f>
        <v>0.21748769163842854</v>
      </c>
      <c r="U10" s="503">
        <f>IF(終値!A10="","",IFERROR(4*STDEVP(終値!X10:AQ10)/AVERAGE(終値!X10:AQ10),""))</f>
        <v>0.20186793809993939</v>
      </c>
      <c r="V10" s="503">
        <f>IF(終値!A10="","",IFERROR(4*STDEVP(終値!Y10:AR10)/AVERAGE(終値!Y10:AR10),""))</f>
        <v>0.19010370177779626</v>
      </c>
      <c r="W10" s="503">
        <f>IF(終値!A10="","",IFERROR(4*STDEVP(終値!Z10:AS10)/AVERAGE(終値!Z10:AS10),""))</f>
        <v>0.18193612376709761</v>
      </c>
      <c r="X10" s="503">
        <f>IF(終値!A10="","",IFERROR(4*STDEVP(終値!AA10:AT10)/AVERAGE(終値!AA10:AT10),""))</f>
        <v>0.19669394763156259</v>
      </c>
      <c r="Y10" s="503">
        <f>IF(終値!A10="","",IFERROR(4*STDEVP(終値!AB10:AU10)/AVERAGE(終値!AB10:AU10),""))</f>
        <v>0.20044237541488827</v>
      </c>
      <c r="Z10" s="503">
        <f>IF(終値!A10="","",IFERROR(4*STDEVP(終値!AC10:AV10)/AVERAGE(終値!AC10:AV10),""))</f>
        <v>0.21845868340512239</v>
      </c>
      <c r="AA10" s="503">
        <f>IF(終値!A10="","",IFERROR(4*STDEVP(終値!AD10:AW10)/AVERAGE(終値!AD10:AW10),""))</f>
        <v>0.21674949972344779</v>
      </c>
      <c r="AB10" s="503">
        <f>IF(終値!A10="","",IFERROR(4*STDEVP(終値!AE10:AX10)/AVERAGE(終値!AE10:AX10),""))</f>
        <v>0.21681905206470858</v>
      </c>
      <c r="AC10" s="503">
        <f>IF(終値!A10="","",IFERROR(4*STDEVP(終値!AF10:AY10)/AVERAGE(終値!AF10:AY10),""))</f>
        <v>0.22260553453739559</v>
      </c>
      <c r="AD10" s="503">
        <f>IF(終値!A10="","",IFERROR(4*STDEVP(終値!AG10:AZ10)/AVERAGE(終値!AG10:AZ10),""))</f>
        <v>0.23275817629375453</v>
      </c>
      <c r="AE10" s="503">
        <f>IF(終値!A10="","",IFERROR(4*STDEVP(終値!AH10:BA10)/AVERAGE(終値!AH10:BA10),""))</f>
        <v>0.2373527470779821</v>
      </c>
      <c r="AF10" s="503">
        <f>IF(終値!A10="","",IFERROR(4*STDEVP(終値!AI10:BB10)/AVERAGE(終値!AI10:BB10),""))</f>
        <v>0.22838161075802071</v>
      </c>
      <c r="AG10" s="503">
        <f>IF(終値!A10="","",IFERROR(4*STDEVP(終値!AJ10:BC10)/AVERAGE(終値!AJ10:BC10),""))</f>
        <v>0.21944884388545985</v>
      </c>
      <c r="AH10" s="503">
        <f>IF(終値!A10="","",IFERROR(4*STDEVP(終値!AK10:BD10)/AVERAGE(終値!AK10:BD10),""))</f>
        <v>0.21841889357286437</v>
      </c>
      <c r="AI10" s="503">
        <f>IF(終値!A10="","",IFERROR(4*STDEVP(終値!AL10:BE10)/AVERAGE(終値!AL10:BE10),""))</f>
        <v>0.21621192338013387</v>
      </c>
      <c r="AJ10" s="503">
        <f>IF(終値!A10="","",IFERROR(4*STDEVP(終値!AM10:BF10)/AVERAGE(終値!AM10:BF10),""))</f>
        <v>0.23492802476188798</v>
      </c>
      <c r="AK10" s="503">
        <f>IF(終値!A10="","",IFERROR(4*STDEVP(終値!AN10:BG10)/AVERAGE(終値!AN10:BG10),""))</f>
        <v>0.26862718851809525</v>
      </c>
      <c r="AL10" s="503">
        <f>IF(終値!A10="","",IFERROR(4*STDEVP(終値!AO10:BH10)/AVERAGE(終値!AO10:BH10),""))</f>
        <v>0.26524144593276688</v>
      </c>
      <c r="AM10" s="503">
        <f>IF(終値!A10="","",IFERROR(4*STDEVP(終値!AP10:BI10)/AVERAGE(終値!AP10:BI10),""))</f>
        <v>0.26609032296746898</v>
      </c>
      <c r="AN10" s="503">
        <f>IF(終値!A10="","",IFERROR(4*STDEVP(終値!AQ10:BJ10)/AVERAGE(終値!AQ10:BJ10),""))</f>
        <v>0.25452973950632057</v>
      </c>
      <c r="AO10" s="503">
        <f>IF(終値!A10="","",IFERROR(4*STDEVP(終値!AR10:BK10)/AVERAGE(終値!AR10:BK10),""))</f>
        <v>0.22274621792203025</v>
      </c>
      <c r="AP10" s="503">
        <f>IF(終値!A10="","",IFERROR(4*STDEVP(終値!AS10:BL10)/AVERAGE(終値!AS10:BL10),""))</f>
        <v>0.18883508283712019</v>
      </c>
    </row>
    <row r="11" spans="1:42">
      <c r="A11" s="500" t="str">
        <f>IF(終値!A11="","",終値!A11)</f>
        <v>6701</v>
      </c>
      <c r="B11" s="503">
        <f>IF(終値!A11="","",IFERROR(4*STDEVP(終値!E11:X11)/AVERAGE(終値!E11:X11),""))</f>
        <v>0.1743444699109335</v>
      </c>
      <c r="C11" s="503">
        <f>IF(終値!A11="","",IFERROR(4*STDEVP(終値!F11:Y11)/AVERAGE(終値!F11:Y11),""))</f>
        <v>0.17158210523020059</v>
      </c>
      <c r="D11" s="503">
        <f>IF(終値!A11="","",IFERROR(4*STDEVP(終値!G11:Z11)/AVERAGE(終値!G11:Z11),""))</f>
        <v>0.17018783864856085</v>
      </c>
      <c r="E11" s="503">
        <f>IF(終値!A11="","",IFERROR(4*STDEVP(終値!H11:AA11)/AVERAGE(終値!H11:AA11),""))</f>
        <v>0.17696885072818891</v>
      </c>
      <c r="F11" s="503">
        <f>IF(終値!A11="","",IFERROR(4*STDEVP(終値!I11:AB11)/AVERAGE(終値!I11:AB11),""))</f>
        <v>0.17195808461749024</v>
      </c>
      <c r="G11" s="503">
        <f>IF(終値!A11="","",IFERROR(4*STDEVP(終値!J11:AC11)/AVERAGE(終値!J11:AC11),""))</f>
        <v>0.17803202078882857</v>
      </c>
      <c r="H11" s="503">
        <f>IF(終値!A11="","",IFERROR(4*STDEVP(終値!K11:AD11)/AVERAGE(終値!K11:AD11),""))</f>
        <v>0.14505001130484513</v>
      </c>
      <c r="I11" s="503">
        <f>IF(終値!A11="","",IFERROR(4*STDEVP(終値!L11:AE11)/AVERAGE(終値!L11:AE11),""))</f>
        <v>0.14063881951560103</v>
      </c>
      <c r="J11" s="503">
        <f>IF(終値!A11="","",IFERROR(4*STDEVP(終値!M11:AF11)/AVERAGE(終値!M11:AF11),""))</f>
        <v>0.16669153624686794</v>
      </c>
      <c r="K11" s="503">
        <f>IF(終値!A11="","",IFERROR(4*STDEVP(終値!N11:AG11)/AVERAGE(終値!N11:AG11),""))</f>
        <v>0.19078689273347826</v>
      </c>
      <c r="L11" s="503">
        <f>IF(終値!A11="","",IFERROR(4*STDEVP(終値!O11:AH11)/AVERAGE(終値!O11:AH11),""))</f>
        <v>0.20688304308920771</v>
      </c>
      <c r="M11" s="503">
        <f>IF(終値!A11="","",IFERROR(4*STDEVP(終値!P11:AI11)/AVERAGE(終値!P11:AI11),""))</f>
        <v>0.2337544945256653</v>
      </c>
      <c r="N11" s="503">
        <f>IF(終値!A11="","",IFERROR(4*STDEVP(終値!Q11:AJ11)/AVERAGE(終値!Q11:AJ11),""))</f>
        <v>0.24708504860110375</v>
      </c>
      <c r="O11" s="503">
        <f>IF(終値!A11="","",IFERROR(4*STDEVP(終値!R11:AK11)/AVERAGE(終値!R11:AK11),""))</f>
        <v>0.25387882435390402</v>
      </c>
      <c r="P11" s="503">
        <f>IF(終値!A11="","",IFERROR(4*STDEVP(終値!S11:AL11)/AVERAGE(終値!S11:AL11),""))</f>
        <v>0.25011216607489684</v>
      </c>
      <c r="Q11" s="503">
        <f>IF(終値!A11="","",IFERROR(4*STDEVP(終値!T11:AM11)/AVERAGE(終値!T11:AM11),""))</f>
        <v>0.25252691244647169</v>
      </c>
      <c r="R11" s="503">
        <f>IF(終値!A11="","",IFERROR(4*STDEVP(終値!U11:AN11)/AVERAGE(終値!U11:AN11),""))</f>
        <v>0.24145274343900089</v>
      </c>
      <c r="S11" s="503">
        <f>IF(終値!A11="","",IFERROR(4*STDEVP(終値!V11:AO11)/AVERAGE(終値!V11:AO11),""))</f>
        <v>0.23562775692202131</v>
      </c>
      <c r="T11" s="503">
        <f>IF(終値!A11="","",IFERROR(4*STDEVP(終値!W11:AP11)/AVERAGE(終値!W11:AP11),""))</f>
        <v>0.22630955020089374</v>
      </c>
      <c r="U11" s="503">
        <f>IF(終値!A11="","",IFERROR(4*STDEVP(終値!X11:AQ11)/AVERAGE(終値!X11:AQ11),""))</f>
        <v>0.20793739693257282</v>
      </c>
      <c r="V11" s="503">
        <f>IF(終値!A11="","",IFERROR(4*STDEVP(終値!Y11:AR11)/AVERAGE(終値!Y11:AR11),""))</f>
        <v>0.18957767048960908</v>
      </c>
      <c r="W11" s="503">
        <f>IF(終値!A11="","",IFERROR(4*STDEVP(終値!Z11:AS11)/AVERAGE(終値!Z11:AS11),""))</f>
        <v>0.17012499407193865</v>
      </c>
      <c r="X11" s="503">
        <f>IF(終値!A11="","",IFERROR(4*STDEVP(終値!AA11:AT11)/AVERAGE(終値!AA11:AT11),""))</f>
        <v>0.15958325335328782</v>
      </c>
      <c r="Y11" s="503">
        <f>IF(終値!A11="","",IFERROR(4*STDEVP(終値!AB11:AU11)/AVERAGE(終値!AB11:AU11),""))</f>
        <v>0.16414447115396213</v>
      </c>
      <c r="Z11" s="503">
        <f>IF(終値!A11="","",IFERROR(4*STDEVP(終値!AC11:AV11)/AVERAGE(終値!AC11:AV11),""))</f>
        <v>0.17071157571783349</v>
      </c>
      <c r="AA11" s="503">
        <f>IF(終値!A11="","",IFERROR(4*STDEVP(終値!AD11:AW11)/AVERAGE(終値!AD11:AW11),""))</f>
        <v>0.20164521385557063</v>
      </c>
      <c r="AB11" s="503">
        <f>IF(終値!A11="","",IFERROR(4*STDEVP(終値!AE11:AX11)/AVERAGE(終値!AE11:AX11),""))</f>
        <v>0.20330962497400945</v>
      </c>
      <c r="AC11" s="503">
        <f>IF(終値!A11="","",IFERROR(4*STDEVP(終値!AF11:AY11)/AVERAGE(終値!AF11:AY11),""))</f>
        <v>0.20412671475418159</v>
      </c>
      <c r="AD11" s="503">
        <f>IF(終値!A11="","",IFERROR(4*STDEVP(終値!AG11:AZ11)/AVERAGE(終値!AG11:AZ11),""))</f>
        <v>0.20224834350445486</v>
      </c>
      <c r="AE11" s="503">
        <f>IF(終値!A11="","",IFERROR(4*STDEVP(終値!AH11:BA11)/AVERAGE(終値!AH11:BA11),""))</f>
        <v>0.19543048617855999</v>
      </c>
      <c r="AF11" s="503">
        <f>IF(終値!A11="","",IFERROR(4*STDEVP(終値!AI11:BB11)/AVERAGE(終値!AI11:BB11),""))</f>
        <v>0.19183155659897178</v>
      </c>
      <c r="AG11" s="503">
        <f>IF(終値!A11="","",IFERROR(4*STDEVP(終値!AJ11:BC11)/AVERAGE(終値!AJ11:BC11),""))</f>
        <v>0.17562521870812831</v>
      </c>
      <c r="AH11" s="503">
        <f>IF(終値!A11="","",IFERROR(4*STDEVP(終値!AK11:BD11)/AVERAGE(終値!AK11:BD11),""))</f>
        <v>0.1628513772880992</v>
      </c>
      <c r="AI11" s="503">
        <f>IF(終値!A11="","",IFERROR(4*STDEVP(終値!AL11:BE11)/AVERAGE(終値!AL11:BE11),""))</f>
        <v>0.15359037544901469</v>
      </c>
      <c r="AJ11" s="503">
        <f>IF(終値!A11="","",IFERROR(4*STDEVP(終値!AM11:BF11)/AVERAGE(終値!AM11:BF11),""))</f>
        <v>0.15163526332269694</v>
      </c>
      <c r="AK11" s="503">
        <f>IF(終値!A11="","",IFERROR(4*STDEVP(終値!AN11:BG11)/AVERAGE(終値!AN11:BG11),""))</f>
        <v>0.14276836286767447</v>
      </c>
      <c r="AL11" s="503">
        <f>IF(終値!A11="","",IFERROR(4*STDEVP(終値!AO11:BH11)/AVERAGE(終値!AO11:BH11),""))</f>
        <v>0.13117710691544859</v>
      </c>
      <c r="AM11" s="503">
        <f>IF(終値!A11="","",IFERROR(4*STDEVP(終値!AP11:BI11)/AVERAGE(終値!AP11:BI11),""))</f>
        <v>0.11674029120251719</v>
      </c>
      <c r="AN11" s="503">
        <f>IF(終値!A11="","",IFERROR(4*STDEVP(終値!AQ11:BJ11)/AVERAGE(終値!AQ11:BJ11),""))</f>
        <v>0.10184511419883488</v>
      </c>
      <c r="AO11" s="503">
        <f>IF(終値!A11="","",IFERROR(4*STDEVP(終値!AR11:BK11)/AVERAGE(終値!AR11:BK11),""))</f>
        <v>9.7067463343179949E-2</v>
      </c>
      <c r="AP11" s="503">
        <f>IF(終値!A11="","",IFERROR(4*STDEVP(終値!AS11:BL11)/AVERAGE(終値!AS11:BL11),""))</f>
        <v>9.2064334215862742E-2</v>
      </c>
    </row>
    <row r="12" spans="1:42">
      <c r="A12" s="500" t="str">
        <f>IF(終値!A12="","",終値!A12)</f>
        <v>1605</v>
      </c>
      <c r="B12" s="503">
        <f>IF(終値!A12="","",IFERROR(4*STDEVP(終値!E12:X12)/AVERAGE(終値!E12:X12),""))</f>
        <v>0.12932330691214397</v>
      </c>
      <c r="C12" s="503">
        <f>IF(終値!A12="","",IFERROR(4*STDEVP(終値!F12:Y12)/AVERAGE(終値!F12:Y12),""))</f>
        <v>0.14260829237827177</v>
      </c>
      <c r="D12" s="503">
        <f>IF(終値!A12="","",IFERROR(4*STDEVP(終値!G12:Z12)/AVERAGE(終値!G12:Z12),""))</f>
        <v>0.14900328559412956</v>
      </c>
      <c r="E12" s="503">
        <f>IF(終値!A12="","",IFERROR(4*STDEVP(終値!H12:AA12)/AVERAGE(終値!H12:AA12),""))</f>
        <v>0.16419576528379515</v>
      </c>
      <c r="F12" s="503">
        <f>IF(終値!A12="","",IFERROR(4*STDEVP(終値!I12:AB12)/AVERAGE(終値!I12:AB12),""))</f>
        <v>0.18081630238983548</v>
      </c>
      <c r="G12" s="503">
        <f>IF(終値!A12="","",IFERROR(4*STDEVP(終値!J12:AC12)/AVERAGE(終値!J12:AC12),""))</f>
        <v>0.19088597548253938</v>
      </c>
      <c r="H12" s="503">
        <f>IF(終値!A12="","",IFERROR(4*STDEVP(終値!K12:AD12)/AVERAGE(終値!K12:AD12),""))</f>
        <v>0.19307537004471509</v>
      </c>
      <c r="I12" s="503">
        <f>IF(終値!A12="","",IFERROR(4*STDEVP(終値!L12:AE12)/AVERAGE(終値!L12:AE12),""))</f>
        <v>0.19299330693242869</v>
      </c>
      <c r="J12" s="503">
        <f>IF(終値!A12="","",IFERROR(4*STDEVP(終値!M12:AF12)/AVERAGE(終値!M12:AF12),""))</f>
        <v>0.19099677964929826</v>
      </c>
      <c r="K12" s="503">
        <f>IF(終値!A12="","",IFERROR(4*STDEVP(終値!N12:AG12)/AVERAGE(終値!N12:AG12),""))</f>
        <v>0.18402907708002672</v>
      </c>
      <c r="L12" s="503">
        <f>IF(終値!A12="","",IFERROR(4*STDEVP(終値!O12:AH12)/AVERAGE(終値!O12:AH12),""))</f>
        <v>0.15718615685735157</v>
      </c>
      <c r="M12" s="503">
        <f>IF(終値!A12="","",IFERROR(4*STDEVP(終値!P12:AI12)/AVERAGE(終値!P12:AI12),""))</f>
        <v>0.13456641528700142</v>
      </c>
      <c r="N12" s="503">
        <f>IF(終値!A12="","",IFERROR(4*STDEVP(終値!Q12:AJ12)/AVERAGE(終値!Q12:AJ12),""))</f>
        <v>0.11958939674920939</v>
      </c>
      <c r="O12" s="503">
        <f>IF(終値!A12="","",IFERROR(4*STDEVP(終値!R12:AK12)/AVERAGE(終値!R12:AK12),""))</f>
        <v>0.11089687790088021</v>
      </c>
      <c r="P12" s="503">
        <f>IF(終値!A12="","",IFERROR(4*STDEVP(終値!S12:AL12)/AVERAGE(終値!S12:AL12),""))</f>
        <v>0.11184595454555261</v>
      </c>
      <c r="Q12" s="503">
        <f>IF(終値!A12="","",IFERROR(4*STDEVP(終値!T12:AM12)/AVERAGE(終値!T12:AM12),""))</f>
        <v>0.10997036030512888</v>
      </c>
      <c r="R12" s="503">
        <f>IF(終値!A12="","",IFERROR(4*STDEVP(終値!U12:AN12)/AVERAGE(終値!U12:AN12),""))</f>
        <v>0.10063584422694696</v>
      </c>
      <c r="S12" s="503">
        <f>IF(終値!A12="","",IFERROR(4*STDEVP(終値!V12:AO12)/AVERAGE(終値!V12:AO12),""))</f>
        <v>0.10689714164585074</v>
      </c>
      <c r="T12" s="503">
        <f>IF(終値!A12="","",IFERROR(4*STDEVP(終値!W12:AP12)/AVERAGE(終値!W12:AP12),""))</f>
        <v>0.1189240316175688</v>
      </c>
      <c r="U12" s="503">
        <f>IF(終値!A12="","",IFERROR(4*STDEVP(終値!X12:AQ12)/AVERAGE(終値!X12:AQ12),""))</f>
        <v>0.13336716875075372</v>
      </c>
      <c r="V12" s="503">
        <f>IF(終値!A12="","",IFERROR(4*STDEVP(終値!Y12:AR12)/AVERAGE(終値!Y12:AR12),""))</f>
        <v>0.13608036095314574</v>
      </c>
      <c r="W12" s="503">
        <f>IF(終値!A12="","",IFERROR(4*STDEVP(終値!Z12:AS12)/AVERAGE(終値!Z12:AS12),""))</f>
        <v>0.14817401316046369</v>
      </c>
      <c r="X12" s="503">
        <f>IF(終値!A12="","",IFERROR(4*STDEVP(終値!AA12:AT12)/AVERAGE(終値!AA12:AT12),""))</f>
        <v>0.16240419972670753</v>
      </c>
      <c r="Y12" s="503">
        <f>IF(終値!A12="","",IFERROR(4*STDEVP(終値!AB12:AU12)/AVERAGE(終値!AB12:AU12),""))</f>
        <v>0.16462506838808594</v>
      </c>
      <c r="Z12" s="503">
        <f>IF(終値!A12="","",IFERROR(4*STDEVP(終値!AC12:AV12)/AVERAGE(終値!AC12:AV12),""))</f>
        <v>0.16478476203813866</v>
      </c>
      <c r="AA12" s="503">
        <f>IF(終値!A12="","",IFERROR(4*STDEVP(終値!AD12:AW12)/AVERAGE(終値!AD12:AW12),""))</f>
        <v>0.15109551136227889</v>
      </c>
      <c r="AB12" s="503">
        <f>IF(終値!A12="","",IFERROR(4*STDEVP(終値!AE12:AX12)/AVERAGE(終値!AE12:AX12),""))</f>
        <v>0.14224746861671889</v>
      </c>
      <c r="AC12" s="503">
        <f>IF(終値!A12="","",IFERROR(4*STDEVP(終値!AF12:AY12)/AVERAGE(終値!AF12:AY12),""))</f>
        <v>0.13729175587102946</v>
      </c>
      <c r="AD12" s="503">
        <f>IF(終値!A12="","",IFERROR(4*STDEVP(終値!AG12:AZ12)/AVERAGE(終値!AG12:AZ12),""))</f>
        <v>0.13572910684717179</v>
      </c>
      <c r="AE12" s="503">
        <f>IF(終値!A12="","",IFERROR(4*STDEVP(終値!AH12:BA12)/AVERAGE(終値!AH12:BA12),""))</f>
        <v>0.12204464413381985</v>
      </c>
      <c r="AF12" s="503">
        <f>IF(終値!A12="","",IFERROR(4*STDEVP(終値!AI12:BB12)/AVERAGE(終値!AI12:BB12),""))</f>
        <v>0.13342966822695235</v>
      </c>
      <c r="AG12" s="503">
        <f>IF(終値!A12="","",IFERROR(4*STDEVP(終値!AJ12:BC12)/AVERAGE(終値!AJ12:BC12),""))</f>
        <v>0.14870358019634433</v>
      </c>
      <c r="AH12" s="503">
        <f>IF(終値!A12="","",IFERROR(4*STDEVP(終値!AK12:BD12)/AVERAGE(終値!AK12:BD12),""))</f>
        <v>0.17032409564265591</v>
      </c>
      <c r="AI12" s="503">
        <f>IF(終値!A12="","",IFERROR(4*STDEVP(終値!AL12:BE12)/AVERAGE(終値!AL12:BE12),""))</f>
        <v>0.18761945464037125</v>
      </c>
      <c r="AJ12" s="503">
        <f>IF(終値!A12="","",IFERROR(4*STDEVP(終値!AM12:BF12)/AVERAGE(終値!AM12:BF12),""))</f>
        <v>0.18968643272156363</v>
      </c>
      <c r="AK12" s="503">
        <f>IF(終値!A12="","",IFERROR(4*STDEVP(終値!AN12:BG12)/AVERAGE(終値!AN12:BG12),""))</f>
        <v>0.18474596990299544</v>
      </c>
      <c r="AL12" s="503">
        <f>IF(終値!A12="","",IFERROR(4*STDEVP(終値!AO12:BH12)/AVERAGE(終値!AO12:BH12),""))</f>
        <v>0.17227605515155067</v>
      </c>
      <c r="AM12" s="503">
        <f>IF(終値!A12="","",IFERROR(4*STDEVP(終値!AP12:BI12)/AVERAGE(終値!AP12:BI12),""))</f>
        <v>0.16772772041583409</v>
      </c>
      <c r="AN12" s="503">
        <f>IF(終値!A12="","",IFERROR(4*STDEVP(終値!AQ12:BJ12)/AVERAGE(終値!AQ12:BJ12),""))</f>
        <v>0.16611768391897586</v>
      </c>
      <c r="AO12" s="503">
        <f>IF(終値!A12="","",IFERROR(4*STDEVP(終値!AR12:BK12)/AVERAGE(終値!AR12:BK12),""))</f>
        <v>0.16184195139008931</v>
      </c>
      <c r="AP12" s="503">
        <f>IF(終値!A12="","",IFERROR(4*STDEVP(終値!AS12:BL12)/AVERAGE(終値!AS12:BL12),""))</f>
        <v>0.14443505198304696</v>
      </c>
    </row>
    <row r="13" spans="1:42">
      <c r="A13" s="500" t="str">
        <f>IF(終値!A13="","",終値!A13)</f>
        <v>5703</v>
      </c>
      <c r="B13" s="503">
        <f>IF(終値!A13="","",IFERROR(4*STDEVP(終値!E13:X13)/AVERAGE(終値!E13:X13),""))</f>
        <v>0.14102510676451557</v>
      </c>
      <c r="C13" s="503">
        <f>IF(終値!A13="","",IFERROR(4*STDEVP(終値!F13:Y13)/AVERAGE(終値!F13:Y13),""))</f>
        <v>0.11941065054413214</v>
      </c>
      <c r="D13" s="503">
        <f>IF(終値!A13="","",IFERROR(4*STDEVP(終値!G13:Z13)/AVERAGE(終値!G13:Z13),""))</f>
        <v>9.6319163357002427E-2</v>
      </c>
      <c r="E13" s="503">
        <f>IF(終値!A13="","",IFERROR(4*STDEVP(終値!H13:AA13)/AVERAGE(終値!H13:AA13),""))</f>
        <v>9.3399798158334879E-2</v>
      </c>
      <c r="F13" s="503">
        <f>IF(終値!A13="","",IFERROR(4*STDEVP(終値!I13:AB13)/AVERAGE(終値!I13:AB13),""))</f>
        <v>8.0617084862764365E-2</v>
      </c>
      <c r="G13" s="503">
        <f>IF(終値!A13="","",IFERROR(4*STDEVP(終値!J13:AC13)/AVERAGE(終値!J13:AC13),""))</f>
        <v>8.2174531958271513E-2</v>
      </c>
      <c r="H13" s="503">
        <f>IF(終値!A13="","",IFERROR(4*STDEVP(終値!K13:AD13)/AVERAGE(終値!K13:AD13),""))</f>
        <v>7.5680278343013094E-2</v>
      </c>
      <c r="I13" s="503">
        <f>IF(終値!A13="","",IFERROR(4*STDEVP(終値!L13:AE13)/AVERAGE(終値!L13:AE13),""))</f>
        <v>7.2852031849559643E-2</v>
      </c>
      <c r="J13" s="503">
        <f>IF(終値!A13="","",IFERROR(4*STDEVP(終値!M13:AF13)/AVERAGE(終値!M13:AF13),""))</f>
        <v>7.6103751266104469E-2</v>
      </c>
      <c r="K13" s="503">
        <f>IF(終値!A13="","",IFERROR(4*STDEVP(終値!N13:AG13)/AVERAGE(終値!N13:AG13),""))</f>
        <v>8.286924103906039E-2</v>
      </c>
      <c r="L13" s="503">
        <f>IF(終値!A13="","",IFERROR(4*STDEVP(終値!O13:AH13)/AVERAGE(終値!O13:AH13),""))</f>
        <v>9.1203758480472824E-2</v>
      </c>
      <c r="M13" s="503">
        <f>IF(終値!A13="","",IFERROR(4*STDEVP(終値!P13:AI13)/AVERAGE(終値!P13:AI13),""))</f>
        <v>0.10686791609380232</v>
      </c>
      <c r="N13" s="503">
        <f>IF(終値!A13="","",IFERROR(4*STDEVP(終値!Q13:AJ13)/AVERAGE(終値!Q13:AJ13),""))</f>
        <v>0.13514288750501033</v>
      </c>
      <c r="O13" s="503">
        <f>IF(終値!A13="","",IFERROR(4*STDEVP(終値!R13:AK13)/AVERAGE(終値!R13:AK13),""))</f>
        <v>0.15115149911729209</v>
      </c>
      <c r="P13" s="503">
        <f>IF(終値!A13="","",IFERROR(4*STDEVP(終値!S13:AL13)/AVERAGE(終値!S13:AL13),""))</f>
        <v>0.15602537192040261</v>
      </c>
      <c r="Q13" s="503">
        <f>IF(終値!A13="","",IFERROR(4*STDEVP(終値!T13:AM13)/AVERAGE(終値!T13:AM13),""))</f>
        <v>0.16375551316185383</v>
      </c>
      <c r="R13" s="503">
        <f>IF(終値!A13="","",IFERROR(4*STDEVP(終値!U13:AN13)/AVERAGE(終値!U13:AN13),""))</f>
        <v>0.17516415861734219</v>
      </c>
      <c r="S13" s="503">
        <f>IF(終値!A13="","",IFERROR(4*STDEVP(終値!V13:AO13)/AVERAGE(終値!V13:AO13),""))</f>
        <v>0.19084878379382686</v>
      </c>
      <c r="T13" s="503">
        <f>IF(終値!A13="","",IFERROR(4*STDEVP(終値!W13:AP13)/AVERAGE(終値!W13:AP13),""))</f>
        <v>0.19561224175483086</v>
      </c>
      <c r="U13" s="503">
        <f>IF(終値!A13="","",IFERROR(4*STDEVP(終値!X13:AQ13)/AVERAGE(終値!X13:AQ13),""))</f>
        <v>0.18633535944730728</v>
      </c>
      <c r="V13" s="503">
        <f>IF(終値!A13="","",IFERROR(4*STDEVP(終値!Y13:AR13)/AVERAGE(終値!Y13:AR13),""))</f>
        <v>0.17729259651917678</v>
      </c>
      <c r="W13" s="503">
        <f>IF(終値!A13="","",IFERROR(4*STDEVP(終値!Z13:AS13)/AVERAGE(終値!Z13:AS13),""))</f>
        <v>0.17969352703258906</v>
      </c>
      <c r="X13" s="503">
        <f>IF(終値!A13="","",IFERROR(4*STDEVP(終値!AA13:AT13)/AVERAGE(終値!AA13:AT13),""))</f>
        <v>0.19846202182733963</v>
      </c>
      <c r="Y13" s="503">
        <f>IF(終値!A13="","",IFERROR(4*STDEVP(終値!AB13:AU13)/AVERAGE(終値!AB13:AU13),""))</f>
        <v>0.20179771365046864</v>
      </c>
      <c r="Z13" s="503">
        <f>IF(終値!A13="","",IFERROR(4*STDEVP(終値!AC13:AV13)/AVERAGE(終値!AC13:AV13),""))</f>
        <v>0.20707517710763387</v>
      </c>
      <c r="AA13" s="503">
        <f>IF(終値!A13="","",IFERROR(4*STDEVP(終値!AD13:AW13)/AVERAGE(終値!AD13:AW13),""))</f>
        <v>0.1983582645865111</v>
      </c>
      <c r="AB13" s="503">
        <f>IF(終値!A13="","",IFERROR(4*STDEVP(終値!AE13:AX13)/AVERAGE(終値!AE13:AX13),""))</f>
        <v>0.18231986356992749</v>
      </c>
      <c r="AC13" s="503">
        <f>IF(終値!A13="","",IFERROR(4*STDEVP(終値!AF13:AY13)/AVERAGE(終値!AF13:AY13),""))</f>
        <v>0.17291244845672502</v>
      </c>
      <c r="AD13" s="503">
        <f>IF(終値!A13="","",IFERROR(4*STDEVP(終値!AG13:AZ13)/AVERAGE(終値!AG13:AZ13),""))</f>
        <v>0.16308978605624116</v>
      </c>
      <c r="AE13" s="503">
        <f>IF(終値!A13="","",IFERROR(4*STDEVP(終値!AH13:BA13)/AVERAGE(終値!AH13:BA13),""))</f>
        <v>0.15265579265130069</v>
      </c>
      <c r="AF13" s="503">
        <f>IF(終値!A13="","",IFERROR(4*STDEVP(終値!AI13:BB13)/AVERAGE(終値!AI13:BB13),""))</f>
        <v>0.13865764629491001</v>
      </c>
      <c r="AG13" s="503">
        <f>IF(終値!A13="","",IFERROR(4*STDEVP(終値!AJ13:BC13)/AVERAGE(終値!AJ13:BC13),""))</f>
        <v>0.12757917657085399</v>
      </c>
      <c r="AH13" s="503">
        <f>IF(終値!A13="","",IFERROR(4*STDEVP(終値!AK13:BD13)/AVERAGE(終値!AK13:BD13),""))</f>
        <v>0.12557841329698788</v>
      </c>
      <c r="AI13" s="503">
        <f>IF(終値!A13="","",IFERROR(4*STDEVP(終値!AL13:BE13)/AVERAGE(終値!AL13:BE13),""))</f>
        <v>0.12038177337487198</v>
      </c>
      <c r="AJ13" s="503">
        <f>IF(終値!A13="","",IFERROR(4*STDEVP(終値!AM13:BF13)/AVERAGE(終値!AM13:BF13),""))</f>
        <v>0.11321504001252519</v>
      </c>
      <c r="AK13" s="503">
        <f>IF(終値!A13="","",IFERROR(4*STDEVP(終値!AN13:BG13)/AVERAGE(終値!AN13:BG13),""))</f>
        <v>0.10268165069565363</v>
      </c>
      <c r="AL13" s="503">
        <f>IF(終値!A13="","",IFERROR(4*STDEVP(終値!AO13:BH13)/AVERAGE(終値!AO13:BH13),""))</f>
        <v>0.10016342939725556</v>
      </c>
      <c r="AM13" s="503">
        <f>IF(終値!A13="","",IFERROR(4*STDEVP(終値!AP13:BI13)/AVERAGE(終値!AP13:BI13),""))</f>
        <v>0.11185191785082883</v>
      </c>
      <c r="AN13" s="503">
        <f>IF(終値!A13="","",IFERROR(4*STDEVP(終値!AQ13:BJ13)/AVERAGE(終値!AQ13:BJ13),""))</f>
        <v>0.118742606969957</v>
      </c>
      <c r="AO13" s="503">
        <f>IF(終値!A13="","",IFERROR(4*STDEVP(終値!AR13:BK13)/AVERAGE(終値!AR13:BK13),""))</f>
        <v>0.12844168699431974</v>
      </c>
      <c r="AP13" s="503">
        <f>IF(終値!A13="","",IFERROR(4*STDEVP(終値!AS13:BL13)/AVERAGE(終値!AS13:BL13),""))</f>
        <v>0.13826039485754829</v>
      </c>
    </row>
    <row r="14" spans="1:42">
      <c r="A14" s="500" t="str">
        <f>IF(終値!A14="","",終値!A14)</f>
        <v>8002</v>
      </c>
      <c r="B14" s="503">
        <f>IF(終値!A14="","",IFERROR(4*STDEVP(終値!E14:X14)/AVERAGE(終値!E14:X14),""))</f>
        <v>0.14481260422728948</v>
      </c>
      <c r="C14" s="503">
        <f>IF(終値!A14="","",IFERROR(4*STDEVP(終値!F14:Y14)/AVERAGE(終値!F14:Y14),""))</f>
        <v>0.1419468386155632</v>
      </c>
      <c r="D14" s="503">
        <f>IF(終値!A14="","",IFERROR(4*STDEVP(終値!G14:Z14)/AVERAGE(終値!G14:Z14),""))</f>
        <v>0.13565237135192565</v>
      </c>
      <c r="E14" s="503">
        <f>IF(終値!A14="","",IFERROR(4*STDEVP(終値!H14:AA14)/AVERAGE(終値!H14:AA14),""))</f>
        <v>0.13463860278717096</v>
      </c>
      <c r="F14" s="503">
        <f>IF(終値!A14="","",IFERROR(4*STDEVP(終値!I14:AB14)/AVERAGE(終値!I14:AB14),""))</f>
        <v>0.14509336853784793</v>
      </c>
      <c r="G14" s="503">
        <f>IF(終値!A14="","",IFERROR(4*STDEVP(終値!J14:AC14)/AVERAGE(終値!J14:AC14),""))</f>
        <v>0.16231250431373853</v>
      </c>
      <c r="H14" s="503">
        <f>IF(終値!A14="","",IFERROR(4*STDEVP(終値!K14:AD14)/AVERAGE(終値!K14:AD14),""))</f>
        <v>0.17429337942111714</v>
      </c>
      <c r="I14" s="503">
        <f>IF(終値!A14="","",IFERROR(4*STDEVP(終値!L14:AE14)/AVERAGE(終値!L14:AE14),""))</f>
        <v>0.18193210895188802</v>
      </c>
      <c r="J14" s="503">
        <f>IF(終値!A14="","",IFERROR(4*STDEVP(終値!M14:AF14)/AVERAGE(終値!M14:AF14),""))</f>
        <v>0.1858016936305108</v>
      </c>
      <c r="K14" s="503">
        <f>IF(終値!A14="","",IFERROR(4*STDEVP(終値!N14:AG14)/AVERAGE(終値!N14:AG14),""))</f>
        <v>0.17925965812552938</v>
      </c>
      <c r="L14" s="503">
        <f>IF(終値!A14="","",IFERROR(4*STDEVP(終値!O14:AH14)/AVERAGE(終値!O14:AH14),""))</f>
        <v>0.16855918318915852</v>
      </c>
      <c r="M14" s="503">
        <f>IF(終値!A14="","",IFERROR(4*STDEVP(終値!P14:AI14)/AVERAGE(終値!P14:AI14),""))</f>
        <v>0.14653376402944557</v>
      </c>
      <c r="N14" s="503">
        <f>IF(終値!A14="","",IFERROR(4*STDEVP(終値!Q14:AJ14)/AVERAGE(終値!Q14:AJ14),""))</f>
        <v>0.12967696809933396</v>
      </c>
      <c r="O14" s="503">
        <f>IF(終値!A14="","",IFERROR(4*STDEVP(終値!R14:AK14)/AVERAGE(終値!R14:AK14),""))</f>
        <v>0.11521474907751707</v>
      </c>
      <c r="P14" s="503">
        <f>IF(終値!A14="","",IFERROR(4*STDEVP(終値!S14:AL14)/AVERAGE(終値!S14:AL14),""))</f>
        <v>0.11311845090418482</v>
      </c>
      <c r="Q14" s="503">
        <f>IF(終値!A14="","",IFERROR(4*STDEVP(終値!T14:AM14)/AVERAGE(終値!T14:AM14),""))</f>
        <v>0.10421507995389294</v>
      </c>
      <c r="R14" s="503">
        <f>IF(終値!A14="","",IFERROR(4*STDEVP(終値!U14:AN14)/AVERAGE(終値!U14:AN14),""))</f>
        <v>0.10423859877542767</v>
      </c>
      <c r="S14" s="503">
        <f>IF(終値!A14="","",IFERROR(4*STDEVP(終値!V14:AO14)/AVERAGE(終値!V14:AO14),""))</f>
        <v>0.1098840844429551</v>
      </c>
      <c r="T14" s="503">
        <f>IF(終値!A14="","",IFERROR(4*STDEVP(終値!W14:AP14)/AVERAGE(終値!W14:AP14),""))</f>
        <v>0.11007253485528269</v>
      </c>
      <c r="U14" s="503">
        <f>IF(終値!A14="","",IFERROR(4*STDEVP(終値!X14:AQ14)/AVERAGE(終値!X14:AQ14),""))</f>
        <v>0.10966249427091121</v>
      </c>
      <c r="V14" s="503">
        <f>IF(終値!A14="","",IFERROR(4*STDEVP(終値!Y14:AR14)/AVERAGE(終値!Y14:AR14),""))</f>
        <v>0.10816388348410529</v>
      </c>
      <c r="W14" s="503">
        <f>IF(終値!A14="","",IFERROR(4*STDEVP(終値!Z14:AS14)/AVERAGE(終値!Z14:AS14),""))</f>
        <v>0.101262577853551</v>
      </c>
      <c r="X14" s="503">
        <f>IF(終値!A14="","",IFERROR(4*STDEVP(終値!AA14:AT14)/AVERAGE(終値!AA14:AT14),""))</f>
        <v>0.1024664595384062</v>
      </c>
      <c r="Y14" s="503">
        <f>IF(終値!A14="","",IFERROR(4*STDEVP(終値!AB14:AU14)/AVERAGE(終値!AB14:AU14),""))</f>
        <v>0.10268144006559768</v>
      </c>
      <c r="Z14" s="503">
        <f>IF(終値!A14="","",IFERROR(4*STDEVP(終値!AC14:AV14)/AVERAGE(終値!AC14:AV14),""))</f>
        <v>0.10622234885885032</v>
      </c>
      <c r="AA14" s="503">
        <f>IF(終値!A14="","",IFERROR(4*STDEVP(終値!AD14:AW14)/AVERAGE(終値!AD14:AW14),""))</f>
        <v>0.1011959456471016</v>
      </c>
      <c r="AB14" s="503">
        <f>IF(終値!A14="","",IFERROR(4*STDEVP(終値!AE14:AX14)/AVERAGE(終値!AE14:AX14),""))</f>
        <v>0.11266107313730662</v>
      </c>
      <c r="AC14" s="503">
        <f>IF(終値!A14="","",IFERROR(4*STDEVP(終値!AF14:AY14)/AVERAGE(終値!AF14:AY14),""))</f>
        <v>0.12296114149552978</v>
      </c>
      <c r="AD14" s="503">
        <f>IF(終値!A14="","",IFERROR(4*STDEVP(終値!AG14:AZ14)/AVERAGE(終値!AG14:AZ14),""))</f>
        <v>0.12742704573004576</v>
      </c>
      <c r="AE14" s="503">
        <f>IF(終値!A14="","",IFERROR(4*STDEVP(終値!AH14:BA14)/AVERAGE(終値!AH14:BA14),""))</f>
        <v>0.12823189084380179</v>
      </c>
      <c r="AF14" s="503">
        <f>IF(終値!A14="","",IFERROR(4*STDEVP(終値!AI14:BB14)/AVERAGE(終値!AI14:BB14),""))</f>
        <v>0.12701197110723816</v>
      </c>
      <c r="AG14" s="503">
        <f>IF(終値!A14="","",IFERROR(4*STDEVP(終値!AJ14:BC14)/AVERAGE(終値!AJ14:BC14),""))</f>
        <v>0.1327068942932049</v>
      </c>
      <c r="AH14" s="503">
        <f>IF(終値!A14="","",IFERROR(4*STDEVP(終値!AK14:BD14)/AVERAGE(終値!AK14:BD14),""))</f>
        <v>0.1435106413788767</v>
      </c>
      <c r="AI14" s="503">
        <f>IF(終値!A14="","",IFERROR(4*STDEVP(終値!AL14:BE14)/AVERAGE(終値!AL14:BE14),""))</f>
        <v>0.16402225185900293</v>
      </c>
      <c r="AJ14" s="503">
        <f>IF(終値!A14="","",IFERROR(4*STDEVP(終値!AM14:BF14)/AVERAGE(終値!AM14:BF14),""))</f>
        <v>0.18536954819379201</v>
      </c>
      <c r="AK14" s="503">
        <f>IF(終値!A14="","",IFERROR(4*STDEVP(終値!AN14:BG14)/AVERAGE(終値!AN14:BG14),""))</f>
        <v>0.21941889184149554</v>
      </c>
      <c r="AL14" s="503">
        <f>IF(終値!A14="","",IFERROR(4*STDEVP(終値!AO14:BH14)/AVERAGE(終値!AO14:BH14),""))</f>
        <v>0.24523796357146069</v>
      </c>
      <c r="AM14" s="503">
        <f>IF(終値!A14="","",IFERROR(4*STDEVP(終値!AP14:BI14)/AVERAGE(終値!AP14:BI14),""))</f>
        <v>0.25687291302105086</v>
      </c>
      <c r="AN14" s="503">
        <f>IF(終値!A14="","",IFERROR(4*STDEVP(終値!AQ14:BJ14)/AVERAGE(終値!AQ14:BJ14),""))</f>
        <v>0.25177677625362588</v>
      </c>
      <c r="AO14" s="503">
        <f>IF(終値!A14="","",IFERROR(4*STDEVP(終値!AR14:BK14)/AVERAGE(終値!AR14:BK14),""))</f>
        <v>0.23791890830540488</v>
      </c>
      <c r="AP14" s="503">
        <f>IF(終値!A14="","",IFERROR(4*STDEVP(終値!AS14:BL14)/AVERAGE(終値!AS14:BL14),""))</f>
        <v>0.22002798815498581</v>
      </c>
    </row>
    <row r="15" spans="1:42">
      <c r="A15" s="500" t="str">
        <f>IF(終値!A15="","",終値!A15)</f>
        <v>5021</v>
      </c>
      <c r="B15" s="503">
        <f>IF(終値!A15="","",IFERROR(4*STDEVP(終値!E15:X15)/AVERAGE(終値!E15:X15),""))</f>
        <v>7.7402272117507803E-2</v>
      </c>
      <c r="C15" s="503">
        <f>IF(終値!A15="","",IFERROR(4*STDEVP(終値!F15:Y15)/AVERAGE(終値!F15:Y15),""))</f>
        <v>7.4871101758663475E-2</v>
      </c>
      <c r="D15" s="503">
        <f>IF(終値!A15="","",IFERROR(4*STDEVP(終値!G15:Z15)/AVERAGE(終値!G15:Z15),""))</f>
        <v>6.7743779243680607E-2</v>
      </c>
      <c r="E15" s="503">
        <f>IF(終値!A15="","",IFERROR(4*STDEVP(終値!H15:AA15)/AVERAGE(終値!H15:AA15),""))</f>
        <v>6.1534970008946567E-2</v>
      </c>
      <c r="F15" s="503">
        <f>IF(終値!A15="","",IFERROR(4*STDEVP(終値!I15:AB15)/AVERAGE(終値!I15:AB15),""))</f>
        <v>5.9519252870835988E-2</v>
      </c>
      <c r="G15" s="503">
        <f>IF(終値!A15="","",IFERROR(4*STDEVP(終値!J15:AC15)/AVERAGE(終値!J15:AC15),""))</f>
        <v>6.1531692987341569E-2</v>
      </c>
      <c r="H15" s="503">
        <f>IF(終値!A15="","",IFERROR(4*STDEVP(終値!K15:AD15)/AVERAGE(終値!K15:AD15),""))</f>
        <v>6.4027777043872511E-2</v>
      </c>
      <c r="I15" s="503">
        <f>IF(終値!A15="","",IFERROR(4*STDEVP(終値!L15:AE15)/AVERAGE(終値!L15:AE15),""))</f>
        <v>6.5958487251332409E-2</v>
      </c>
      <c r="J15" s="503">
        <f>IF(終値!A15="","",IFERROR(4*STDEVP(終値!M15:AF15)/AVERAGE(終値!M15:AF15),""))</f>
        <v>7.0495186043074448E-2</v>
      </c>
      <c r="K15" s="503">
        <f>IF(終値!A15="","",IFERROR(4*STDEVP(終値!N15:AG15)/AVERAGE(終値!N15:AG15),""))</f>
        <v>8.0263897641356427E-2</v>
      </c>
      <c r="L15" s="503">
        <f>IF(終値!A15="","",IFERROR(4*STDEVP(終値!O15:AH15)/AVERAGE(終値!O15:AH15),""))</f>
        <v>8.3114961604780518E-2</v>
      </c>
      <c r="M15" s="503">
        <f>IF(終値!A15="","",IFERROR(4*STDEVP(終値!P15:AI15)/AVERAGE(終値!P15:AI15),""))</f>
        <v>8.5199976513121473E-2</v>
      </c>
      <c r="N15" s="503">
        <f>IF(終値!A15="","",IFERROR(4*STDEVP(終値!Q15:AJ15)/AVERAGE(終値!Q15:AJ15),""))</f>
        <v>8.4849907841639524E-2</v>
      </c>
      <c r="O15" s="503">
        <f>IF(終値!A15="","",IFERROR(4*STDEVP(終値!R15:AK15)/AVERAGE(終値!R15:AK15),""))</f>
        <v>8.158325039165619E-2</v>
      </c>
      <c r="P15" s="503">
        <f>IF(終値!A15="","",IFERROR(4*STDEVP(終値!S15:AL15)/AVERAGE(終値!S15:AL15),""))</f>
        <v>8.355407880451883E-2</v>
      </c>
      <c r="Q15" s="503">
        <f>IF(終値!A15="","",IFERROR(4*STDEVP(終値!T15:AM15)/AVERAGE(終値!T15:AM15),""))</f>
        <v>8.881105002443912E-2</v>
      </c>
      <c r="R15" s="503">
        <f>IF(終値!A15="","",IFERROR(4*STDEVP(終値!U15:AN15)/AVERAGE(終値!U15:AN15),""))</f>
        <v>9.007677387610756E-2</v>
      </c>
      <c r="S15" s="503">
        <f>IF(終値!A15="","",IFERROR(4*STDEVP(終値!V15:AO15)/AVERAGE(終値!V15:AO15),""))</f>
        <v>9.251581566071608E-2</v>
      </c>
      <c r="T15" s="503">
        <f>IF(終値!A15="","",IFERROR(4*STDEVP(終値!W15:AP15)/AVERAGE(終値!W15:AP15),""))</f>
        <v>0.10289231492801676</v>
      </c>
      <c r="U15" s="503">
        <f>IF(終値!A15="","",IFERROR(4*STDEVP(終値!X15:AQ15)/AVERAGE(終値!X15:AQ15),""))</f>
        <v>0.11734398624030377</v>
      </c>
      <c r="V15" s="503">
        <f>IF(終値!A15="","",IFERROR(4*STDEVP(終値!Y15:AR15)/AVERAGE(終値!Y15:AR15),""))</f>
        <v>0.13200168591940331</v>
      </c>
      <c r="W15" s="503">
        <f>IF(終値!A15="","",IFERROR(4*STDEVP(終値!Z15:AS15)/AVERAGE(終値!Z15:AS15),""))</f>
        <v>0.13085178576965445</v>
      </c>
      <c r="X15" s="503">
        <f>IF(終値!A15="","",IFERROR(4*STDEVP(終値!AA15:AT15)/AVERAGE(終値!AA15:AT15),""))</f>
        <v>0.11805437516112315</v>
      </c>
      <c r="Y15" s="503">
        <f>IF(終値!A15="","",IFERROR(4*STDEVP(終値!AB15:AU15)/AVERAGE(終値!AB15:AU15),""))</f>
        <v>0.1085625567319056</v>
      </c>
      <c r="Z15" s="503">
        <f>IF(終値!A15="","",IFERROR(4*STDEVP(終値!AC15:AV15)/AVERAGE(終値!AC15:AV15),""))</f>
        <v>0.10470819700301034</v>
      </c>
      <c r="AA15" s="503">
        <f>IF(終値!A15="","",IFERROR(4*STDEVP(終値!AD15:AW15)/AVERAGE(終値!AD15:AW15),""))</f>
        <v>0.10024198714825935</v>
      </c>
      <c r="AB15" s="503">
        <f>IF(終値!A15="","",IFERROR(4*STDEVP(終値!AE15:AX15)/AVERAGE(終値!AE15:AX15),""))</f>
        <v>9.7811378912618152E-2</v>
      </c>
      <c r="AC15" s="503">
        <f>IF(終値!A15="","",IFERROR(4*STDEVP(終値!AF15:AY15)/AVERAGE(終値!AF15:AY15),""))</f>
        <v>9.5033722903365508E-2</v>
      </c>
      <c r="AD15" s="503">
        <f>IF(終値!A15="","",IFERROR(4*STDEVP(終値!AG15:AZ15)/AVERAGE(終値!AG15:AZ15),""))</f>
        <v>9.2869878224324437E-2</v>
      </c>
      <c r="AE15" s="503">
        <f>IF(終値!A15="","",IFERROR(4*STDEVP(終値!AH15:BA15)/AVERAGE(終値!AH15:BA15),""))</f>
        <v>9.2890107065829175E-2</v>
      </c>
      <c r="AF15" s="503">
        <f>IF(終値!A15="","",IFERROR(4*STDEVP(終値!AI15:BB15)/AVERAGE(終値!AI15:BB15),""))</f>
        <v>9.2788536710964264E-2</v>
      </c>
      <c r="AG15" s="503">
        <f>IF(終値!A15="","",IFERROR(4*STDEVP(終値!AJ15:BC15)/AVERAGE(終値!AJ15:BC15),""))</f>
        <v>9.2957928951481444E-2</v>
      </c>
      <c r="AH15" s="503">
        <f>IF(終値!A15="","",IFERROR(4*STDEVP(終値!AK15:BD15)/AVERAGE(終値!AK15:BD15),""))</f>
        <v>9.3614419660181053E-2</v>
      </c>
      <c r="AI15" s="503">
        <f>IF(終値!A15="","",IFERROR(4*STDEVP(終値!AL15:BE15)/AVERAGE(終値!AL15:BE15),""))</f>
        <v>9.3550122964247515E-2</v>
      </c>
      <c r="AJ15" s="503">
        <f>IF(終値!A15="","",IFERROR(4*STDEVP(終値!AM15:BF15)/AVERAGE(終値!AM15:BF15),""))</f>
        <v>9.3696675418084935E-2</v>
      </c>
      <c r="AK15" s="503">
        <f>IF(終値!A15="","",IFERROR(4*STDEVP(終値!AN15:BG15)/AVERAGE(終値!AN15:BG15),""))</f>
        <v>0.10093270560838132</v>
      </c>
      <c r="AL15" s="503">
        <f>IF(終値!A15="","",IFERROR(4*STDEVP(終値!AO15:BH15)/AVERAGE(終値!AO15:BH15),""))</f>
        <v>0.10997543944295127</v>
      </c>
      <c r="AM15" s="503">
        <f>IF(終値!A15="","",IFERROR(4*STDEVP(終値!AP15:BI15)/AVERAGE(終値!AP15:BI15),""))</f>
        <v>0.11111723295179554</v>
      </c>
      <c r="AN15" s="503">
        <f>IF(終値!A15="","",IFERROR(4*STDEVP(終値!AQ15:BJ15)/AVERAGE(終値!AQ15:BJ15),""))</f>
        <v>0.12378146497736638</v>
      </c>
      <c r="AO15" s="503">
        <f>IF(終値!A15="","",IFERROR(4*STDEVP(終値!AR15:BK15)/AVERAGE(終値!AR15:BK15),""))</f>
        <v>0.12438248044771466</v>
      </c>
      <c r="AP15" s="503">
        <f>IF(終値!A15="","",IFERROR(4*STDEVP(終値!AS15:BL15)/AVERAGE(終値!AS15:BL15),""))</f>
        <v>0.11398081350328569</v>
      </c>
    </row>
    <row r="16" spans="1:42">
      <c r="A16" s="500" t="str">
        <f>IF(終値!A16="","",終値!A16)</f>
        <v>8058</v>
      </c>
      <c r="B16" s="503">
        <f>IF(終値!A16="","",IFERROR(4*STDEVP(終値!E16:X16)/AVERAGE(終値!E16:X16),""))</f>
        <v>0.14799354864175299</v>
      </c>
      <c r="C16" s="503">
        <f>IF(終値!A16="","",IFERROR(4*STDEVP(終値!F16:Y16)/AVERAGE(終値!F16:Y16),""))</f>
        <v>0.15125609617405067</v>
      </c>
      <c r="D16" s="503">
        <f>IF(終値!A16="","",IFERROR(4*STDEVP(終値!G16:Z16)/AVERAGE(終値!G16:Z16),""))</f>
        <v>0.15430424074373725</v>
      </c>
      <c r="E16" s="503">
        <f>IF(終値!A16="","",IFERROR(4*STDEVP(終値!H16:AA16)/AVERAGE(終値!H16:AA16),""))</f>
        <v>0.1583476663908597</v>
      </c>
      <c r="F16" s="503">
        <f>IF(終値!A16="","",IFERROR(4*STDEVP(終値!I16:AB16)/AVERAGE(終値!I16:AB16),""))</f>
        <v>0.16352626059804451</v>
      </c>
      <c r="G16" s="503">
        <f>IF(終値!A16="","",IFERROR(4*STDEVP(終値!J16:AC16)/AVERAGE(終値!J16:AC16),""))</f>
        <v>0.16950397356858832</v>
      </c>
      <c r="H16" s="503">
        <f>IF(終値!A16="","",IFERROR(4*STDEVP(終値!K16:AD16)/AVERAGE(終値!K16:AD16),""))</f>
        <v>0.17313942106270741</v>
      </c>
      <c r="I16" s="503">
        <f>IF(終値!A16="","",IFERROR(4*STDEVP(終値!L16:AE16)/AVERAGE(終値!L16:AE16),""))</f>
        <v>0.16977245826919166</v>
      </c>
      <c r="J16" s="503">
        <f>IF(終値!A16="","",IFERROR(4*STDEVP(終値!M16:AF16)/AVERAGE(終値!M16:AF16),""))</f>
        <v>0.16720777831102021</v>
      </c>
      <c r="K16" s="503">
        <f>IF(終値!A16="","",IFERROR(4*STDEVP(終値!N16:AG16)/AVERAGE(終値!N16:AG16),""))</f>
        <v>0.15809659065231083</v>
      </c>
      <c r="L16" s="503">
        <f>IF(終値!A16="","",IFERROR(4*STDEVP(終値!O16:AH16)/AVERAGE(終値!O16:AH16),""))</f>
        <v>0.13657411181720111</v>
      </c>
      <c r="M16" s="503">
        <f>IF(終値!A16="","",IFERROR(4*STDEVP(終値!P16:AI16)/AVERAGE(終値!P16:AI16),""))</f>
        <v>0.10968579837194213</v>
      </c>
      <c r="N16" s="503">
        <f>IF(終値!A16="","",IFERROR(4*STDEVP(終値!Q16:AJ16)/AVERAGE(終値!Q16:AJ16),""))</f>
        <v>7.7741292143667803E-2</v>
      </c>
      <c r="O16" s="503">
        <f>IF(終値!A16="","",IFERROR(4*STDEVP(終値!R16:AK16)/AVERAGE(終値!R16:AK16),""))</f>
        <v>6.8679619388576627E-2</v>
      </c>
      <c r="P16" s="503">
        <f>IF(終値!A16="","",IFERROR(4*STDEVP(終値!S16:AL16)/AVERAGE(終値!S16:AL16),""))</f>
        <v>7.150108964527857E-2</v>
      </c>
      <c r="Q16" s="503">
        <f>IF(終値!A16="","",IFERROR(4*STDEVP(終値!T16:AM16)/AVERAGE(終値!T16:AM16),""))</f>
        <v>7.3233782775766976E-2</v>
      </c>
      <c r="R16" s="503">
        <f>IF(終値!A16="","",IFERROR(4*STDEVP(終値!U16:AN16)/AVERAGE(終値!U16:AN16),""))</f>
        <v>7.6928163719748477E-2</v>
      </c>
      <c r="S16" s="503">
        <f>IF(終値!A16="","",IFERROR(4*STDEVP(終値!V16:AO16)/AVERAGE(終値!V16:AO16),""))</f>
        <v>9.0423809539540309E-2</v>
      </c>
      <c r="T16" s="503">
        <f>IF(終値!A16="","",IFERROR(4*STDEVP(終値!W16:AP16)/AVERAGE(終値!W16:AP16),""))</f>
        <v>9.5779269163197275E-2</v>
      </c>
      <c r="U16" s="503">
        <f>IF(終値!A16="","",IFERROR(4*STDEVP(終値!X16:AQ16)/AVERAGE(終値!X16:AQ16),""))</f>
        <v>9.5473790148520213E-2</v>
      </c>
      <c r="V16" s="503">
        <f>IF(終値!A16="","",IFERROR(4*STDEVP(終値!Y16:AR16)/AVERAGE(終値!Y16:AR16),""))</f>
        <v>9.6645589242230295E-2</v>
      </c>
      <c r="W16" s="503">
        <f>IF(終値!A16="","",IFERROR(4*STDEVP(終値!Z16:AS16)/AVERAGE(終値!Z16:AS16),""))</f>
        <v>0.11315348242114712</v>
      </c>
      <c r="X16" s="503">
        <f>IF(終値!A16="","",IFERROR(4*STDEVP(終値!AA16:AT16)/AVERAGE(終値!AA16:AT16),""))</f>
        <v>0.12803316585658053</v>
      </c>
      <c r="Y16" s="503">
        <f>IF(終値!A16="","",IFERROR(4*STDEVP(終値!AB16:AU16)/AVERAGE(終値!AB16:AU16),""))</f>
        <v>0.14110258491873942</v>
      </c>
      <c r="Z16" s="503">
        <f>IF(終値!A16="","",IFERROR(4*STDEVP(終値!AC16:AV16)/AVERAGE(終値!AC16:AV16),""))</f>
        <v>0.15379161164080676</v>
      </c>
      <c r="AA16" s="503">
        <f>IF(終値!A16="","",IFERROR(4*STDEVP(終値!AD16:AW16)/AVERAGE(終値!AD16:AW16),""))</f>
        <v>0.15450815474322951</v>
      </c>
      <c r="AB16" s="503">
        <f>IF(終値!A16="","",IFERROR(4*STDEVP(終値!AE16:AX16)/AVERAGE(終値!AE16:AX16),""))</f>
        <v>0.1619175430764063</v>
      </c>
      <c r="AC16" s="503">
        <f>IF(終値!A16="","",IFERROR(4*STDEVP(終値!AF16:AY16)/AVERAGE(終値!AF16:AY16),""))</f>
        <v>0.16608190817445664</v>
      </c>
      <c r="AD16" s="503">
        <f>IF(終値!A16="","",IFERROR(4*STDEVP(終値!AG16:AZ16)/AVERAGE(終値!AG16:AZ16),""))</f>
        <v>0.17121034029662802</v>
      </c>
      <c r="AE16" s="503">
        <f>IF(終値!A16="","",IFERROR(4*STDEVP(終値!AH16:BA16)/AVERAGE(終値!AH16:BA16),""))</f>
        <v>0.18709829585822965</v>
      </c>
      <c r="AF16" s="503">
        <f>IF(終値!A16="","",IFERROR(4*STDEVP(終値!AI16:BB16)/AVERAGE(終値!AI16:BB16),""))</f>
        <v>0.21222282201003628</v>
      </c>
      <c r="AG16" s="503">
        <f>IF(終値!A16="","",IFERROR(4*STDEVP(終値!AJ16:BC16)/AVERAGE(終値!AJ16:BC16),""))</f>
        <v>0.22925709083413337</v>
      </c>
      <c r="AH16" s="503">
        <f>IF(終値!A16="","",IFERROR(4*STDEVP(終値!AK16:BD16)/AVERAGE(終値!AK16:BD16),""))</f>
        <v>0.24249797112185786</v>
      </c>
      <c r="AI16" s="503">
        <f>IF(終値!A16="","",IFERROR(4*STDEVP(終値!AL16:BE16)/AVERAGE(終値!AL16:BE16),""))</f>
        <v>0.25198328980369206</v>
      </c>
      <c r="AJ16" s="503">
        <f>IF(終値!A16="","",IFERROR(4*STDEVP(終値!AM16:BF16)/AVERAGE(終値!AM16:BF16),""))</f>
        <v>0.25547424473943964</v>
      </c>
      <c r="AK16" s="503">
        <f>IF(終値!A16="","",IFERROR(4*STDEVP(終値!AN16:BG16)/AVERAGE(終値!AN16:BG16),""))</f>
        <v>0.27986807018144139</v>
      </c>
      <c r="AL16" s="503">
        <f>IF(終値!A16="","",IFERROR(4*STDEVP(終値!AO16:BH16)/AVERAGE(終値!AO16:BH16),""))</f>
        <v>0.29492187726846858</v>
      </c>
      <c r="AM16" s="503">
        <f>IF(終値!A16="","",IFERROR(4*STDEVP(終値!AP16:BI16)/AVERAGE(終値!AP16:BI16),""))</f>
        <v>0.30665066177682609</v>
      </c>
      <c r="AN16" s="503">
        <f>IF(終値!A16="","",IFERROR(4*STDEVP(終値!AQ16:BJ16)/AVERAGE(終値!AQ16:BJ16),""))</f>
        <v>0.29464054096632403</v>
      </c>
      <c r="AO16" s="503">
        <f>IF(終値!A16="","",IFERROR(4*STDEVP(終値!AR16:BK16)/AVERAGE(終値!AR16:BK16),""))</f>
        <v>0.27164382142310706</v>
      </c>
      <c r="AP16" s="503">
        <f>IF(終値!A16="","",IFERROR(4*STDEVP(終値!AS16:BL16)/AVERAGE(終値!AS16:BL16),""))</f>
        <v>0.24555922989330942</v>
      </c>
    </row>
    <row r="17" spans="1:42">
      <c r="A17" s="500" t="str">
        <f>IF(終値!A17="","",終値!A17)</f>
        <v>5333</v>
      </c>
      <c r="B17" s="503">
        <f>IF(終値!A17="","",IFERROR(4*STDEVP(終値!E17:X17)/AVERAGE(終値!E17:X17),""))</f>
        <v>0.36811079089363202</v>
      </c>
      <c r="C17" s="503">
        <f>IF(終値!A17="","",IFERROR(4*STDEVP(終値!F17:Y17)/AVERAGE(終値!F17:Y17),""))</f>
        <v>0.38751117525811574</v>
      </c>
      <c r="D17" s="503">
        <f>IF(終値!A17="","",IFERROR(4*STDEVP(終値!G17:Z17)/AVERAGE(終値!G17:Z17),""))</f>
        <v>0.41678209309064995</v>
      </c>
      <c r="E17" s="503">
        <f>IF(終値!A17="","",IFERROR(4*STDEVP(終値!H17:AA17)/AVERAGE(終値!H17:AA17),""))</f>
        <v>0.43234150152925654</v>
      </c>
      <c r="F17" s="503">
        <f>IF(終値!A17="","",IFERROR(4*STDEVP(終値!I17:AB17)/AVERAGE(終値!I17:AB17),""))</f>
        <v>0.43249968183829679</v>
      </c>
      <c r="G17" s="503">
        <f>IF(終値!A17="","",IFERROR(4*STDEVP(終値!J17:AC17)/AVERAGE(終値!J17:AC17),""))</f>
        <v>0.43850206028835015</v>
      </c>
      <c r="H17" s="503">
        <f>IF(終値!A17="","",IFERROR(4*STDEVP(終値!K17:AD17)/AVERAGE(終値!K17:AD17),""))</f>
        <v>0.41091118610549915</v>
      </c>
      <c r="I17" s="503">
        <f>IF(終値!A17="","",IFERROR(4*STDEVP(終値!L17:AE17)/AVERAGE(終値!L17:AE17),""))</f>
        <v>0.36325178324207891</v>
      </c>
      <c r="J17" s="503">
        <f>IF(終値!A17="","",IFERROR(4*STDEVP(終値!M17:AF17)/AVERAGE(終値!M17:AF17),""))</f>
        <v>0.32994553752608974</v>
      </c>
      <c r="K17" s="503">
        <f>IF(終値!A17="","",IFERROR(4*STDEVP(終値!N17:AG17)/AVERAGE(終値!N17:AG17),""))</f>
        <v>0.33039543503986207</v>
      </c>
      <c r="L17" s="503">
        <f>IF(終値!A17="","",IFERROR(4*STDEVP(終値!O17:AH17)/AVERAGE(終値!O17:AH17),""))</f>
        <v>0.31269356331073017</v>
      </c>
      <c r="M17" s="503">
        <f>IF(終値!A17="","",IFERROR(4*STDEVP(終値!P17:AI17)/AVERAGE(終値!P17:AI17),""))</f>
        <v>0.29519494475100294</v>
      </c>
      <c r="N17" s="503">
        <f>IF(終値!A17="","",IFERROR(4*STDEVP(終値!Q17:AJ17)/AVERAGE(終値!Q17:AJ17),""))</f>
        <v>0.27916136377435291</v>
      </c>
      <c r="O17" s="503">
        <f>IF(終値!A17="","",IFERROR(4*STDEVP(終値!R17:AK17)/AVERAGE(終値!R17:AK17),""))</f>
        <v>0.2432023091359482</v>
      </c>
      <c r="P17" s="503">
        <f>IF(終値!A17="","",IFERROR(4*STDEVP(終値!S17:AL17)/AVERAGE(終値!S17:AL17),""))</f>
        <v>0.18658452435029954</v>
      </c>
      <c r="Q17" s="503">
        <f>IF(終値!A17="","",IFERROR(4*STDEVP(終値!T17:AM17)/AVERAGE(終値!T17:AM17),""))</f>
        <v>0.17892583444885421</v>
      </c>
      <c r="R17" s="503">
        <f>IF(終値!A17="","",IFERROR(4*STDEVP(終値!U17:AN17)/AVERAGE(終値!U17:AN17),""))</f>
        <v>0.1719413399557454</v>
      </c>
      <c r="S17" s="503">
        <f>IF(終値!A17="","",IFERROR(4*STDEVP(終値!V17:AO17)/AVERAGE(終値!V17:AO17),""))</f>
        <v>0.17360954662580913</v>
      </c>
      <c r="T17" s="503">
        <f>IF(終値!A17="","",IFERROR(4*STDEVP(終値!W17:AP17)/AVERAGE(終値!W17:AP17),""))</f>
        <v>0.22404403665047382</v>
      </c>
      <c r="U17" s="503">
        <f>IF(終値!A17="","",IFERROR(4*STDEVP(終値!X17:AQ17)/AVERAGE(終値!X17:AQ17),""))</f>
        <v>0.27431174947400233</v>
      </c>
      <c r="V17" s="503">
        <f>IF(終値!A17="","",IFERROR(4*STDEVP(終値!Y17:AR17)/AVERAGE(終値!Y17:AR17),""))</f>
        <v>0.31413897922522954</v>
      </c>
      <c r="W17" s="503">
        <f>IF(終値!A17="","",IFERROR(4*STDEVP(終値!Z17:AS17)/AVERAGE(終値!Z17:AS17),""))</f>
        <v>0.34205819010693223</v>
      </c>
      <c r="X17" s="503">
        <f>IF(終値!A17="","",IFERROR(4*STDEVP(終値!AA17:AT17)/AVERAGE(終値!AA17:AT17),""))</f>
        <v>0.34758659996234759</v>
      </c>
      <c r="Y17" s="503">
        <f>IF(終値!A17="","",IFERROR(4*STDEVP(終値!AB17:AU17)/AVERAGE(終値!AB17:AU17),""))</f>
        <v>0.35623451238056064</v>
      </c>
      <c r="Z17" s="503">
        <f>IF(終値!A17="","",IFERROR(4*STDEVP(終値!AC17:AV17)/AVERAGE(終値!AC17:AV17),""))</f>
        <v>0.36024298141760913</v>
      </c>
      <c r="AA17" s="503">
        <f>IF(終値!A17="","",IFERROR(4*STDEVP(終値!AD17:AW17)/AVERAGE(終値!AD17:AW17),""))</f>
        <v>0.36433026079785552</v>
      </c>
      <c r="AB17" s="503">
        <f>IF(終値!A17="","",IFERROR(4*STDEVP(終値!AE17:AX17)/AVERAGE(終値!AE17:AX17),""))</f>
        <v>0.36334593360615014</v>
      </c>
      <c r="AC17" s="503">
        <f>IF(終値!A17="","",IFERROR(4*STDEVP(終値!AF17:AY17)/AVERAGE(終値!AF17:AY17),""))</f>
        <v>0.36728603726190295</v>
      </c>
      <c r="AD17" s="503">
        <f>IF(終値!A17="","",IFERROR(4*STDEVP(終値!AG17:AZ17)/AVERAGE(終値!AG17:AZ17),""))</f>
        <v>0.36624739575792475</v>
      </c>
      <c r="AE17" s="503">
        <f>IF(終値!A17="","",IFERROR(4*STDEVP(終値!AH17:BA17)/AVERAGE(終値!AH17:BA17),""))</f>
        <v>0.33748860570106692</v>
      </c>
      <c r="AF17" s="503">
        <f>IF(終値!A17="","",IFERROR(4*STDEVP(終値!AI17:BB17)/AVERAGE(終値!AI17:BB17),""))</f>
        <v>0.33168509169394955</v>
      </c>
      <c r="AG17" s="503">
        <f>IF(終値!A17="","",IFERROR(4*STDEVP(終値!AJ17:BC17)/AVERAGE(終値!AJ17:BC17),""))</f>
        <v>0.32743955172509032</v>
      </c>
      <c r="AH17" s="503">
        <f>IF(終値!A17="","",IFERROR(4*STDEVP(終値!AK17:BD17)/AVERAGE(終値!AK17:BD17),""))</f>
        <v>0.30528034396556814</v>
      </c>
      <c r="AI17" s="503">
        <f>IF(終値!A17="","",IFERROR(4*STDEVP(終値!AL17:BE17)/AVERAGE(終値!AL17:BE17),""))</f>
        <v>0.29240275716332809</v>
      </c>
      <c r="AJ17" s="503">
        <f>IF(終値!A17="","",IFERROR(4*STDEVP(終値!AM17:BF17)/AVERAGE(終値!AM17:BF17),""))</f>
        <v>0.26125770420990763</v>
      </c>
      <c r="AK17" s="503">
        <f>IF(終値!A17="","",IFERROR(4*STDEVP(終値!AN17:BG17)/AVERAGE(終値!AN17:BG17),""))</f>
        <v>0.23961335216577073</v>
      </c>
      <c r="AL17" s="503">
        <f>IF(終値!A17="","",IFERROR(4*STDEVP(終値!AO17:BH17)/AVERAGE(終値!AO17:BH17),""))</f>
        <v>0.22229102057604996</v>
      </c>
      <c r="AM17" s="503">
        <f>IF(終値!A17="","",IFERROR(4*STDEVP(終値!AP17:BI17)/AVERAGE(終値!AP17:BI17),""))</f>
        <v>0.20771603958420198</v>
      </c>
      <c r="AN17" s="503">
        <f>IF(終値!A17="","",IFERROR(4*STDEVP(終値!AQ17:BJ17)/AVERAGE(終値!AQ17:BJ17),""))</f>
        <v>0.2143998472075444</v>
      </c>
      <c r="AO17" s="503">
        <f>IF(終値!A17="","",IFERROR(4*STDEVP(終値!AR17:BK17)/AVERAGE(終値!AR17:BK17),""))</f>
        <v>0.22345177327975507</v>
      </c>
      <c r="AP17" s="503">
        <f>IF(終値!A17="","",IFERROR(4*STDEVP(終値!AS17:BL17)/AVERAGE(終値!AS17:BL17),""))</f>
        <v>0.23958692812072557</v>
      </c>
    </row>
    <row r="18" spans="1:42">
      <c r="A18" s="500" t="str">
        <f>IF(終値!A18="","",終値!A18)</f>
        <v>1662</v>
      </c>
      <c r="B18" s="503">
        <f>IF(終値!A18="","",IFERROR(4*STDEVP(終値!E18:X18)/AVERAGE(終値!E18:X18),""))</f>
        <v>8.3098961430095888E-2</v>
      </c>
      <c r="C18" s="503">
        <f>IF(終値!A18="","",IFERROR(4*STDEVP(終値!F18:Y18)/AVERAGE(終値!F18:Y18),""))</f>
        <v>9.1253189688771857E-2</v>
      </c>
      <c r="D18" s="503">
        <f>IF(終値!A18="","",IFERROR(4*STDEVP(終値!G18:Z18)/AVERAGE(終値!G18:Z18),""))</f>
        <v>9.3450365134804758E-2</v>
      </c>
      <c r="E18" s="503">
        <f>IF(終値!A18="","",IFERROR(4*STDEVP(終値!H18:AA18)/AVERAGE(終値!H18:AA18),""))</f>
        <v>0.10672924380476287</v>
      </c>
      <c r="F18" s="503">
        <f>IF(終値!A18="","",IFERROR(4*STDEVP(終値!I18:AB18)/AVERAGE(終値!I18:AB18),""))</f>
        <v>0.11964997639761131</v>
      </c>
      <c r="G18" s="503">
        <f>IF(終値!A18="","",IFERROR(4*STDEVP(終値!J18:AC18)/AVERAGE(終値!J18:AC18),""))</f>
        <v>0.13263555168296987</v>
      </c>
      <c r="H18" s="503">
        <f>IF(終値!A18="","",IFERROR(4*STDEVP(終値!K18:AD18)/AVERAGE(終値!K18:AD18),""))</f>
        <v>0.13429645315300168</v>
      </c>
      <c r="I18" s="503">
        <f>IF(終値!A18="","",IFERROR(4*STDEVP(終値!L18:AE18)/AVERAGE(終値!L18:AE18),""))</f>
        <v>0.13193893512824134</v>
      </c>
      <c r="J18" s="503">
        <f>IF(終値!A18="","",IFERROR(4*STDEVP(終値!M18:AF18)/AVERAGE(終値!M18:AF18),""))</f>
        <v>0.13207928191016299</v>
      </c>
      <c r="K18" s="503">
        <f>IF(終値!A18="","",IFERROR(4*STDEVP(終値!N18:AG18)/AVERAGE(終値!N18:AG18),""))</f>
        <v>0.13496474454149854</v>
      </c>
      <c r="L18" s="503">
        <f>IF(終値!A18="","",IFERROR(4*STDEVP(終値!O18:AH18)/AVERAGE(終値!O18:AH18),""))</f>
        <v>0.13396647980466087</v>
      </c>
      <c r="M18" s="503">
        <f>IF(終値!A18="","",IFERROR(4*STDEVP(終値!P18:AI18)/AVERAGE(終値!P18:AI18),""))</f>
        <v>0.11979180887255303</v>
      </c>
      <c r="N18" s="503">
        <f>IF(終値!A18="","",IFERROR(4*STDEVP(終値!Q18:AJ18)/AVERAGE(終値!Q18:AJ18),""))</f>
        <v>0.11025286191599414</v>
      </c>
      <c r="O18" s="503">
        <f>IF(終値!A18="","",IFERROR(4*STDEVP(終値!R18:AK18)/AVERAGE(終値!R18:AK18),""))</f>
        <v>0.10195319019917064</v>
      </c>
      <c r="P18" s="503">
        <f>IF(終値!A18="","",IFERROR(4*STDEVP(終値!S18:AL18)/AVERAGE(終値!S18:AL18),""))</f>
        <v>0.1009696826214673</v>
      </c>
      <c r="Q18" s="503">
        <f>IF(終値!A18="","",IFERROR(4*STDEVP(終値!T18:AM18)/AVERAGE(終値!T18:AM18),""))</f>
        <v>9.3762281614422988E-2</v>
      </c>
      <c r="R18" s="503">
        <f>IF(終値!A18="","",IFERROR(4*STDEVP(終値!U18:AN18)/AVERAGE(終値!U18:AN18),""))</f>
        <v>7.7775514928778738E-2</v>
      </c>
      <c r="S18" s="503">
        <f>IF(終値!A18="","",IFERROR(4*STDEVP(終値!V18:AO18)/AVERAGE(終値!V18:AO18),""))</f>
        <v>7.6155270873132605E-2</v>
      </c>
      <c r="T18" s="503">
        <f>IF(終値!A18="","",IFERROR(4*STDEVP(終値!W18:AP18)/AVERAGE(終値!W18:AP18),""))</f>
        <v>7.5795177406068337E-2</v>
      </c>
      <c r="U18" s="503">
        <f>IF(終値!A18="","",IFERROR(4*STDEVP(終値!X18:AQ18)/AVERAGE(終値!X18:AQ18),""))</f>
        <v>7.2723754757513942E-2</v>
      </c>
      <c r="V18" s="503">
        <f>IF(終値!A18="","",IFERROR(4*STDEVP(終値!Y18:AR18)/AVERAGE(終値!Y18:AR18),""))</f>
        <v>6.9163206300637395E-2</v>
      </c>
      <c r="W18" s="503">
        <f>IF(終値!A18="","",IFERROR(4*STDEVP(終値!Z18:AS18)/AVERAGE(終値!Z18:AS18),""))</f>
        <v>8.9628005688520751E-2</v>
      </c>
      <c r="X18" s="503">
        <f>IF(終値!A18="","",IFERROR(4*STDEVP(終値!AA18:AT18)/AVERAGE(終値!AA18:AT18),""))</f>
        <v>0.10228010546171788</v>
      </c>
      <c r="Y18" s="503">
        <f>IF(終値!A18="","",IFERROR(4*STDEVP(終値!AB18:AU18)/AVERAGE(終値!AB18:AU18),""))</f>
        <v>0.11114796427035831</v>
      </c>
      <c r="Z18" s="503">
        <f>IF(終値!A18="","",IFERROR(4*STDEVP(終値!AC18:AV18)/AVERAGE(終値!AC18:AV18),""))</f>
        <v>0.12576369619793459</v>
      </c>
      <c r="AA18" s="503">
        <f>IF(終値!A18="","",IFERROR(4*STDEVP(終値!AD18:AW18)/AVERAGE(終値!AD18:AW18),""))</f>
        <v>0.13100815897416926</v>
      </c>
      <c r="AB18" s="503">
        <f>IF(終値!A18="","",IFERROR(4*STDEVP(終値!AE18:AX18)/AVERAGE(終値!AE18:AX18),""))</f>
        <v>0.14362404307932922</v>
      </c>
      <c r="AC18" s="503">
        <f>IF(終値!A18="","",IFERROR(4*STDEVP(終値!AF18:AY18)/AVERAGE(終値!AF18:AY18),""))</f>
        <v>0.17278450175926213</v>
      </c>
      <c r="AD18" s="503">
        <f>IF(終値!A18="","",IFERROR(4*STDEVP(終値!AG18:AZ18)/AVERAGE(終値!AG18:AZ18),""))</f>
        <v>0.19364103266051064</v>
      </c>
      <c r="AE18" s="503">
        <f>IF(終値!A18="","",IFERROR(4*STDEVP(終値!AH18:BA18)/AVERAGE(終値!AH18:BA18),""))</f>
        <v>0.19423400502283478</v>
      </c>
      <c r="AF18" s="503">
        <f>IF(終値!A18="","",IFERROR(4*STDEVP(終値!AI18:BB18)/AVERAGE(終値!AI18:BB18),""))</f>
        <v>0.20914307940717927</v>
      </c>
      <c r="AG18" s="503">
        <f>IF(終値!A18="","",IFERROR(4*STDEVP(終値!AJ18:BC18)/AVERAGE(終値!AJ18:BC18),""))</f>
        <v>0.21483562532797787</v>
      </c>
      <c r="AH18" s="503">
        <f>IF(終値!A18="","",IFERROR(4*STDEVP(終値!AK18:BD18)/AVERAGE(終値!AK18:BD18),""))</f>
        <v>0.24825446676166299</v>
      </c>
      <c r="AI18" s="503">
        <f>IF(終値!A18="","",IFERROR(4*STDEVP(終値!AL18:BE18)/AVERAGE(終値!AL18:BE18),""))</f>
        <v>0.25709176829415231</v>
      </c>
      <c r="AJ18" s="503">
        <f>IF(終値!A18="","",IFERROR(4*STDEVP(終値!AM18:BF18)/AVERAGE(終値!AM18:BF18),""))</f>
        <v>0.25766907452712429</v>
      </c>
      <c r="AK18" s="503">
        <f>IF(終値!A18="","",IFERROR(4*STDEVP(終値!AN18:BG18)/AVERAGE(終値!AN18:BG18),""))</f>
        <v>0.25936960614650401</v>
      </c>
      <c r="AL18" s="503">
        <f>IF(終値!A18="","",IFERROR(4*STDEVP(終値!AO18:BH18)/AVERAGE(終値!AO18:BH18),""))</f>
        <v>0.26384570131415164</v>
      </c>
      <c r="AM18" s="503">
        <f>IF(終値!A18="","",IFERROR(4*STDEVP(終値!AP18:BI18)/AVERAGE(終値!AP18:BI18),""))</f>
        <v>0.26129453762796118</v>
      </c>
      <c r="AN18" s="503">
        <f>IF(終値!A18="","",IFERROR(4*STDEVP(終値!AQ18:BJ18)/AVERAGE(終値!AQ18:BJ18),""))</f>
        <v>0.29330286349138063</v>
      </c>
      <c r="AO18" s="503">
        <f>IF(終値!A18="","",IFERROR(4*STDEVP(終値!AR18:BK18)/AVERAGE(終値!AR18:BK18),""))</f>
        <v>0.3049138349436144</v>
      </c>
      <c r="AP18" s="503">
        <f>IF(終値!A18="","",IFERROR(4*STDEVP(終値!AS18:BL18)/AVERAGE(終値!AS18:BL18),""))</f>
        <v>0.29965546618960442</v>
      </c>
    </row>
    <row r="19" spans="1:42">
      <c r="A19" s="500" t="str">
        <f>IF(終値!A19="","",終値!A19)</f>
        <v>8411</v>
      </c>
      <c r="B19" s="503">
        <f>IF(終値!A19="","",IFERROR(4*STDEVP(終値!E19:X19)/AVERAGE(終値!E19:X19),""))</f>
        <v>0.11838983331062372</v>
      </c>
      <c r="C19" s="503">
        <f>IF(終値!A19="","",IFERROR(4*STDEVP(終値!F19:Y19)/AVERAGE(終値!F19:Y19),""))</f>
        <v>0.11752678609867519</v>
      </c>
      <c r="D19" s="503">
        <f>IF(終値!A19="","",IFERROR(4*STDEVP(終値!G19:Z19)/AVERAGE(終値!G19:Z19),""))</f>
        <v>0.1171010142324312</v>
      </c>
      <c r="E19" s="503">
        <f>IF(終値!A19="","",IFERROR(4*STDEVP(終値!H19:AA19)/AVERAGE(終値!H19:AA19),""))</f>
        <v>0.11816878707742678</v>
      </c>
      <c r="F19" s="503">
        <f>IF(終値!A19="","",IFERROR(4*STDEVP(終値!I19:AB19)/AVERAGE(終値!I19:AB19),""))</f>
        <v>0.12135136934073672</v>
      </c>
      <c r="G19" s="503">
        <f>IF(終値!A19="","",IFERROR(4*STDEVP(終値!J19:AC19)/AVERAGE(終値!J19:AC19),""))</f>
        <v>0.13122324123037785</v>
      </c>
      <c r="H19" s="503">
        <f>IF(終値!A19="","",IFERROR(4*STDEVP(終値!K19:AD19)/AVERAGE(終値!K19:AD19),""))</f>
        <v>0.13454172665191433</v>
      </c>
      <c r="I19" s="503">
        <f>IF(終値!A19="","",IFERROR(4*STDEVP(終値!L19:AE19)/AVERAGE(終値!L19:AE19),""))</f>
        <v>0.14934310080381732</v>
      </c>
      <c r="J19" s="503">
        <f>IF(終値!A19="","",IFERROR(4*STDEVP(終値!M19:AF19)/AVERAGE(終値!M19:AF19),""))</f>
        <v>0.15731747185159051</v>
      </c>
      <c r="K19" s="503">
        <f>IF(終値!A19="","",IFERROR(4*STDEVP(終値!N19:AG19)/AVERAGE(終値!N19:AG19),""))</f>
        <v>0.16010937190563798</v>
      </c>
      <c r="L19" s="503">
        <f>IF(終値!A19="","",IFERROR(4*STDEVP(終値!O19:AH19)/AVERAGE(終値!O19:AH19),""))</f>
        <v>0.1591537780684677</v>
      </c>
      <c r="M19" s="503">
        <f>IF(終値!A19="","",IFERROR(4*STDEVP(終値!P19:AI19)/AVERAGE(終値!P19:AI19),""))</f>
        <v>0.14654140809654131</v>
      </c>
      <c r="N19" s="503">
        <f>IF(終値!A19="","",IFERROR(4*STDEVP(終値!Q19:AJ19)/AVERAGE(終値!Q19:AJ19),""))</f>
        <v>0.1382514849948378</v>
      </c>
      <c r="O19" s="503">
        <f>IF(終値!A19="","",IFERROR(4*STDEVP(終値!R19:AK19)/AVERAGE(終値!R19:AK19),""))</f>
        <v>0.13718864372787604</v>
      </c>
      <c r="P19" s="503">
        <f>IF(終値!A19="","",IFERROR(4*STDEVP(終値!S19:AL19)/AVERAGE(終値!S19:AL19),""))</f>
        <v>0.13797239980484322</v>
      </c>
      <c r="Q19" s="503">
        <f>IF(終値!A19="","",IFERROR(4*STDEVP(終値!T19:AM19)/AVERAGE(終値!T19:AM19),""))</f>
        <v>0.12265382937155958</v>
      </c>
      <c r="R19" s="503">
        <f>IF(終値!A19="","",IFERROR(4*STDEVP(終値!U19:AN19)/AVERAGE(終値!U19:AN19),""))</f>
        <v>0.1150848648236355</v>
      </c>
      <c r="S19" s="503">
        <f>IF(終値!A19="","",IFERROR(4*STDEVP(終値!V19:AO19)/AVERAGE(終値!V19:AO19),""))</f>
        <v>0.10652204218850272</v>
      </c>
      <c r="T19" s="503">
        <f>IF(終値!A19="","",IFERROR(4*STDEVP(終値!W19:AP19)/AVERAGE(終値!W19:AP19),""))</f>
        <v>0.1077896682184158</v>
      </c>
      <c r="U19" s="503">
        <f>IF(終値!A19="","",IFERROR(4*STDEVP(終値!X19:AQ19)/AVERAGE(終値!X19:AQ19),""))</f>
        <v>0.11774186806372469</v>
      </c>
      <c r="V19" s="503">
        <f>IF(終値!A19="","",IFERROR(4*STDEVP(終値!Y19:AR19)/AVERAGE(終値!Y19:AR19),""))</f>
        <v>0.11367813778822955</v>
      </c>
      <c r="W19" s="503">
        <f>IF(終値!A19="","",IFERROR(4*STDEVP(終値!Z19:AS19)/AVERAGE(終値!Z19:AS19),""))</f>
        <v>0.1095860611626079</v>
      </c>
      <c r="X19" s="503">
        <f>IF(終値!A19="","",IFERROR(4*STDEVP(終値!AA19:AT19)/AVERAGE(終値!AA19:AT19),""))</f>
        <v>0.10104927162928422</v>
      </c>
      <c r="Y19" s="503">
        <f>IF(終値!A19="","",IFERROR(4*STDEVP(終値!AB19:AU19)/AVERAGE(終値!AB19:AU19),""))</f>
        <v>9.6863381782405583E-2</v>
      </c>
      <c r="Z19" s="503">
        <f>IF(終値!A19="","",IFERROR(4*STDEVP(終値!AC19:AV19)/AVERAGE(終値!AC19:AV19),""))</f>
        <v>9.5287107288350437E-2</v>
      </c>
      <c r="AA19" s="503">
        <f>IF(終値!A19="","",IFERROR(4*STDEVP(終値!AD19:AW19)/AVERAGE(終値!AD19:AW19),""))</f>
        <v>0.10581880632435463</v>
      </c>
      <c r="AB19" s="503">
        <f>IF(終値!A19="","",IFERROR(4*STDEVP(終値!AE19:AX19)/AVERAGE(終値!AE19:AX19),""))</f>
        <v>0.12236921964482346</v>
      </c>
      <c r="AC19" s="503">
        <f>IF(終値!A19="","",IFERROR(4*STDEVP(終値!AF19:AY19)/AVERAGE(終値!AF19:AY19),""))</f>
        <v>0.14278720770676759</v>
      </c>
      <c r="AD19" s="503">
        <f>IF(終値!A19="","",IFERROR(4*STDEVP(終値!AG19:AZ19)/AVERAGE(終値!AG19:AZ19),""))</f>
        <v>0.15169306806094718</v>
      </c>
      <c r="AE19" s="503">
        <f>IF(終値!A19="","",IFERROR(4*STDEVP(終値!AH19:BA19)/AVERAGE(終値!AH19:BA19),""))</f>
        <v>0.15670305536169568</v>
      </c>
      <c r="AF19" s="503">
        <f>IF(終値!A19="","",IFERROR(4*STDEVP(終値!AI19:BB19)/AVERAGE(終値!AI19:BB19),""))</f>
        <v>0.15767964243234167</v>
      </c>
      <c r="AG19" s="503">
        <f>IF(終値!A19="","",IFERROR(4*STDEVP(終値!AJ19:BC19)/AVERAGE(終値!AJ19:BC19),""))</f>
        <v>0.16001736520572468</v>
      </c>
      <c r="AH19" s="503">
        <f>IF(終値!A19="","",IFERROR(4*STDEVP(終値!AK19:BD19)/AVERAGE(終値!AK19:BD19),""))</f>
        <v>0.16555412365039773</v>
      </c>
      <c r="AI19" s="503">
        <f>IF(終値!A19="","",IFERROR(4*STDEVP(終値!AL19:BE19)/AVERAGE(終値!AL19:BE19),""))</f>
        <v>0.1769617313509485</v>
      </c>
      <c r="AJ19" s="503">
        <f>IF(終値!A19="","",IFERROR(4*STDEVP(終値!AM19:BF19)/AVERAGE(終値!AM19:BF19),""))</f>
        <v>0.18649014574422898</v>
      </c>
      <c r="AK19" s="503">
        <f>IF(終値!A19="","",IFERROR(4*STDEVP(終値!AN19:BG19)/AVERAGE(終値!AN19:BG19),""))</f>
        <v>0.18009000356436775</v>
      </c>
      <c r="AL19" s="503">
        <f>IF(終値!A19="","",IFERROR(4*STDEVP(終値!AO19:BH19)/AVERAGE(終値!AO19:BH19),""))</f>
        <v>0.17804291743624992</v>
      </c>
      <c r="AM19" s="503">
        <f>IF(終値!A19="","",IFERROR(4*STDEVP(終値!AP19:BI19)/AVERAGE(終値!AP19:BI19),""))</f>
        <v>0.1702268955448864</v>
      </c>
      <c r="AN19" s="503">
        <f>IF(終値!A19="","",IFERROR(4*STDEVP(終値!AQ19:BJ19)/AVERAGE(終値!AQ19:BJ19),""))</f>
        <v>0.17019285781359933</v>
      </c>
      <c r="AO19" s="503">
        <f>IF(終値!A19="","",IFERROR(4*STDEVP(終値!AR19:BK19)/AVERAGE(終値!AR19:BK19),""))</f>
        <v>0.17452674094796661</v>
      </c>
      <c r="AP19" s="503">
        <f>IF(終値!A19="","",IFERROR(4*STDEVP(終値!AS19:BL19)/AVERAGE(終値!AS19:BL19),""))</f>
        <v>0.1754872583955038</v>
      </c>
    </row>
    <row r="20" spans="1:42">
      <c r="A20" s="500" t="str">
        <f>IF(終値!A20="","",終値!A20)</f>
        <v>5541</v>
      </c>
      <c r="B20" s="503">
        <f>IF(終値!A20="","",IFERROR(4*STDEVP(終値!E20:X20)/AVERAGE(終値!E20:X20),""))</f>
        <v>0.17343913485247234</v>
      </c>
      <c r="C20" s="503">
        <f>IF(終値!A20="","",IFERROR(4*STDEVP(終値!F20:Y20)/AVERAGE(終値!F20:Y20),""))</f>
        <v>0.15979053366237231</v>
      </c>
      <c r="D20" s="503">
        <f>IF(終値!A20="","",IFERROR(4*STDEVP(終値!G20:Z20)/AVERAGE(終値!G20:Z20),""))</f>
        <v>0.13677478417609609</v>
      </c>
      <c r="E20" s="503">
        <f>IF(終値!A20="","",IFERROR(4*STDEVP(終値!H20:AA20)/AVERAGE(終値!H20:AA20),""))</f>
        <v>0.11966343869923445</v>
      </c>
      <c r="F20" s="503">
        <f>IF(終値!A20="","",IFERROR(4*STDEVP(終値!I20:AB20)/AVERAGE(終値!I20:AB20),""))</f>
        <v>0.1115346192162139</v>
      </c>
      <c r="G20" s="503">
        <f>IF(終値!A20="","",IFERROR(4*STDEVP(終値!J20:AC20)/AVERAGE(終値!J20:AC20),""))</f>
        <v>9.4777510537993881E-2</v>
      </c>
      <c r="H20" s="503">
        <f>IF(終値!A20="","",IFERROR(4*STDEVP(終値!K20:AD20)/AVERAGE(終値!K20:AD20),""))</f>
        <v>0.10245652387446651</v>
      </c>
      <c r="I20" s="503">
        <f>IF(終値!A20="","",IFERROR(4*STDEVP(終値!L20:AE20)/AVERAGE(終値!L20:AE20),""))</f>
        <v>0.1098166207141414</v>
      </c>
      <c r="J20" s="503">
        <f>IF(終値!A20="","",IFERROR(4*STDEVP(終値!M20:AF20)/AVERAGE(終値!M20:AF20),""))</f>
        <v>0.11485712475653584</v>
      </c>
      <c r="K20" s="503">
        <f>IF(終値!A20="","",IFERROR(4*STDEVP(終値!N20:AG20)/AVERAGE(終値!N20:AG20),""))</f>
        <v>0.10308197600539551</v>
      </c>
      <c r="L20" s="503">
        <f>IF(終値!A20="","",IFERROR(4*STDEVP(終値!O20:AH20)/AVERAGE(終値!O20:AH20),""))</f>
        <v>0.10289903001955353</v>
      </c>
      <c r="M20" s="503">
        <f>IF(終値!A20="","",IFERROR(4*STDEVP(終値!P20:AI20)/AVERAGE(終値!P20:AI20),""))</f>
        <v>9.796489258652108E-2</v>
      </c>
      <c r="N20" s="503">
        <f>IF(終値!A20="","",IFERROR(4*STDEVP(終値!Q20:AJ20)/AVERAGE(終値!Q20:AJ20),""))</f>
        <v>0.1000507671473746</v>
      </c>
      <c r="O20" s="503">
        <f>IF(終値!A20="","",IFERROR(4*STDEVP(終値!R20:AK20)/AVERAGE(終値!R20:AK20),""))</f>
        <v>9.8966001177672E-2</v>
      </c>
      <c r="P20" s="503">
        <f>IF(終値!A20="","",IFERROR(4*STDEVP(終値!S20:AL20)/AVERAGE(終値!S20:AL20),""))</f>
        <v>9.9197434509825697E-2</v>
      </c>
      <c r="Q20" s="503">
        <f>IF(終値!A20="","",IFERROR(4*STDEVP(終値!T20:AM20)/AVERAGE(終値!T20:AM20),""))</f>
        <v>9.8465784309113777E-2</v>
      </c>
      <c r="R20" s="503">
        <f>IF(終値!A20="","",IFERROR(4*STDEVP(終値!U20:AN20)/AVERAGE(終値!U20:AN20),""))</f>
        <v>9.8375968187983304E-2</v>
      </c>
      <c r="S20" s="503">
        <f>IF(終値!A20="","",IFERROR(4*STDEVP(終値!V20:AO20)/AVERAGE(終値!V20:AO20),""))</f>
        <v>0.10326777321563459</v>
      </c>
      <c r="T20" s="503">
        <f>IF(終値!A20="","",IFERROR(4*STDEVP(終値!W20:AP20)/AVERAGE(終値!W20:AP20),""))</f>
        <v>0.10695442814807962</v>
      </c>
      <c r="U20" s="503">
        <f>IF(終値!A20="","",IFERROR(4*STDEVP(終値!X20:AQ20)/AVERAGE(終値!X20:AQ20),""))</f>
        <v>0.11851382882747767</v>
      </c>
      <c r="V20" s="503">
        <f>IF(終値!A20="","",IFERROR(4*STDEVP(終値!Y20:AR20)/AVERAGE(終値!Y20:AR20),""))</f>
        <v>0.12534310501358287</v>
      </c>
      <c r="W20" s="503">
        <f>IF(終値!A20="","",IFERROR(4*STDEVP(終値!Z20:AS20)/AVERAGE(終値!Z20:AS20),""))</f>
        <v>0.12517583899973997</v>
      </c>
      <c r="X20" s="503">
        <f>IF(終値!A20="","",IFERROR(4*STDEVP(終値!AA20:AT20)/AVERAGE(終値!AA20:AT20),""))</f>
        <v>0.11745831675240288</v>
      </c>
      <c r="Y20" s="503">
        <f>IF(終値!A20="","",IFERROR(4*STDEVP(終値!AB20:AU20)/AVERAGE(終値!AB20:AU20),""))</f>
        <v>0.11315864747149632</v>
      </c>
      <c r="Z20" s="503">
        <f>IF(終値!A20="","",IFERROR(4*STDEVP(終値!AC20:AV20)/AVERAGE(終値!AC20:AV20),""))</f>
        <v>0.11693820662266691</v>
      </c>
      <c r="AA20" s="503">
        <f>IF(終値!A20="","",IFERROR(4*STDEVP(終値!AD20:AW20)/AVERAGE(終値!AD20:AW20),""))</f>
        <v>0.11690107826350772</v>
      </c>
      <c r="AB20" s="503">
        <f>IF(終値!A20="","",IFERROR(4*STDEVP(終値!AE20:AX20)/AVERAGE(終値!AE20:AX20),""))</f>
        <v>0.11826994580670273</v>
      </c>
      <c r="AC20" s="503">
        <f>IF(終値!A20="","",IFERROR(4*STDEVP(終値!AF20:AY20)/AVERAGE(終値!AF20:AY20),""))</f>
        <v>0.11398827204868016</v>
      </c>
      <c r="AD20" s="503">
        <f>IF(終値!A20="","",IFERROR(4*STDEVP(終値!AG20:AZ20)/AVERAGE(終値!AG20:AZ20),""))</f>
        <v>0.10981438835826704</v>
      </c>
      <c r="AE20" s="503">
        <f>IF(終値!A20="","",IFERROR(4*STDEVP(終値!AH20:BA20)/AVERAGE(終値!AH20:BA20),""))</f>
        <v>0.10610111148660538</v>
      </c>
      <c r="AF20" s="503">
        <f>IF(終値!A20="","",IFERROR(4*STDEVP(終値!AI20:BB20)/AVERAGE(終値!AI20:BB20),""))</f>
        <v>0.10904358220768071</v>
      </c>
      <c r="AG20" s="503">
        <f>IF(終値!A20="","",IFERROR(4*STDEVP(終値!AJ20:BC20)/AVERAGE(終値!AJ20:BC20),""))</f>
        <v>0.11302377093066872</v>
      </c>
      <c r="AH20" s="503">
        <f>IF(終値!A20="","",IFERROR(4*STDEVP(終値!AK20:BD20)/AVERAGE(終値!AK20:BD20),""))</f>
        <v>0.11580093250876956</v>
      </c>
      <c r="AI20" s="503">
        <f>IF(終値!A20="","",IFERROR(4*STDEVP(終値!AL20:BE20)/AVERAGE(終値!AL20:BE20),""))</f>
        <v>0.11497946381682154</v>
      </c>
      <c r="AJ20" s="503">
        <f>IF(終値!A20="","",IFERROR(4*STDEVP(終値!AM20:BF20)/AVERAGE(終値!AM20:BF20),""))</f>
        <v>0.11398895244943068</v>
      </c>
      <c r="AK20" s="503">
        <f>IF(終値!A20="","",IFERROR(4*STDEVP(終値!AN20:BG20)/AVERAGE(終値!AN20:BG20),""))</f>
        <v>0.13095317053123054</v>
      </c>
      <c r="AL20" s="503">
        <f>IF(終値!A20="","",IFERROR(4*STDEVP(終値!AO20:BH20)/AVERAGE(終値!AO20:BH20),""))</f>
        <v>0.1416296656056458</v>
      </c>
      <c r="AM20" s="503">
        <f>IF(終値!A20="","",IFERROR(4*STDEVP(終値!AP20:BI20)/AVERAGE(終値!AP20:BI20),""))</f>
        <v>0.16442312587968597</v>
      </c>
      <c r="AN20" s="503">
        <f>IF(終値!A20="","",IFERROR(4*STDEVP(終値!AQ20:BJ20)/AVERAGE(終値!AQ20:BJ20),""))</f>
        <v>0.16270769153400502</v>
      </c>
      <c r="AO20" s="503">
        <f>IF(終値!A20="","",IFERROR(4*STDEVP(終値!AR20:BK20)/AVERAGE(終値!AR20:BK20),""))</f>
        <v>0.21368890773166543</v>
      </c>
      <c r="AP20" s="503">
        <f>IF(終値!A20="","",IFERROR(4*STDEVP(終値!AS20:BL20)/AVERAGE(終値!AS20:BL20),""))</f>
        <v>0.2434795722378241</v>
      </c>
    </row>
    <row r="21" spans="1:42">
      <c r="A21" s="500" t="str">
        <f>IF(終値!A21="","",終値!A21)</f>
        <v>5332</v>
      </c>
      <c r="B21" s="503">
        <f>IF(終値!A21="","",IFERROR(4*STDEVP(終値!E21:X21)/AVERAGE(終値!E21:X21),""))</f>
        <v>0.34537367057345819</v>
      </c>
      <c r="C21" s="503">
        <f>IF(終値!A21="","",IFERROR(4*STDEVP(終値!F21:Y21)/AVERAGE(終値!F21:Y21),""))</f>
        <v>0.35192762829763891</v>
      </c>
      <c r="D21" s="503">
        <f>IF(終値!A21="","",IFERROR(4*STDEVP(終値!G21:Z21)/AVERAGE(終値!G21:Z21),""))</f>
        <v>0.35920756862114833</v>
      </c>
      <c r="E21" s="503">
        <f>IF(終値!A21="","",IFERROR(4*STDEVP(終値!H21:AA21)/AVERAGE(終値!H21:AA21),""))</f>
        <v>0.34214084736199368</v>
      </c>
      <c r="F21" s="503">
        <f>IF(終値!A21="","",IFERROR(4*STDEVP(終値!I21:AB21)/AVERAGE(終値!I21:AB21),""))</f>
        <v>0.29999719572712041</v>
      </c>
      <c r="G21" s="503">
        <f>IF(終値!A21="","",IFERROR(4*STDEVP(終値!J21:AC21)/AVERAGE(終値!J21:AC21),""))</f>
        <v>0.28938170103416827</v>
      </c>
      <c r="H21" s="503">
        <f>IF(終値!A21="","",IFERROR(4*STDEVP(終値!K21:AD21)/AVERAGE(終値!K21:AD21),""))</f>
        <v>0.26801417219344187</v>
      </c>
      <c r="I21" s="503">
        <f>IF(終値!A21="","",IFERROR(4*STDEVP(終値!L21:AE21)/AVERAGE(終値!L21:AE21),""))</f>
        <v>0.23134670008020436</v>
      </c>
      <c r="J21" s="503">
        <f>IF(終値!A21="","",IFERROR(4*STDEVP(終値!M21:AF21)/AVERAGE(終値!M21:AF21),""))</f>
        <v>0.19947272365898186</v>
      </c>
      <c r="K21" s="503">
        <f>IF(終値!A21="","",IFERROR(4*STDEVP(終値!N21:AG21)/AVERAGE(終値!N21:AG21),""))</f>
        <v>0.20118137319554977</v>
      </c>
      <c r="L21" s="503">
        <f>IF(終値!A21="","",IFERROR(4*STDEVP(終値!O21:AH21)/AVERAGE(終値!O21:AH21),""))</f>
        <v>0.20380140507648875</v>
      </c>
      <c r="M21" s="503">
        <f>IF(終値!A21="","",IFERROR(4*STDEVP(終値!P21:AI21)/AVERAGE(終値!P21:AI21),""))</f>
        <v>0.20138913203650552</v>
      </c>
      <c r="N21" s="503">
        <f>IF(終値!A21="","",IFERROR(4*STDEVP(終値!Q21:AJ21)/AVERAGE(終値!Q21:AJ21),""))</f>
        <v>0.21523712850912061</v>
      </c>
      <c r="O21" s="503">
        <f>IF(終値!A21="","",IFERROR(4*STDEVP(終値!R21:AK21)/AVERAGE(終値!R21:AK21),""))</f>
        <v>0.19526520920412707</v>
      </c>
      <c r="P21" s="503">
        <f>IF(終値!A21="","",IFERROR(4*STDEVP(終値!S21:AL21)/AVERAGE(終値!S21:AL21),""))</f>
        <v>0.16683981026210168</v>
      </c>
      <c r="Q21" s="503">
        <f>IF(終値!A21="","",IFERROR(4*STDEVP(終値!T21:AM21)/AVERAGE(終値!T21:AM21),""))</f>
        <v>0.15906983082206955</v>
      </c>
      <c r="R21" s="503">
        <f>IF(終値!A21="","",IFERROR(4*STDEVP(終値!U21:AN21)/AVERAGE(終値!U21:AN21),""))</f>
        <v>0.15422486525467621</v>
      </c>
      <c r="S21" s="503">
        <f>IF(終値!A21="","",IFERROR(4*STDEVP(終値!V21:AO21)/AVERAGE(終値!V21:AO21),""))</f>
        <v>0.14459579532758501</v>
      </c>
      <c r="T21" s="503">
        <f>IF(終値!A21="","",IFERROR(4*STDEVP(終値!W21:AP21)/AVERAGE(終値!W21:AP21),""))</f>
        <v>0.16103087009438935</v>
      </c>
      <c r="U21" s="503">
        <f>IF(終値!A21="","",IFERROR(4*STDEVP(終値!X21:AQ21)/AVERAGE(終値!X21:AQ21),""))</f>
        <v>0.18928692095169275</v>
      </c>
      <c r="V21" s="503">
        <f>IF(終値!A21="","",IFERROR(4*STDEVP(終値!Y21:AR21)/AVERAGE(終値!Y21:AR21),""))</f>
        <v>0.20981843618646914</v>
      </c>
      <c r="W21" s="503">
        <f>IF(終値!A21="","",IFERROR(4*STDEVP(終値!Z21:AS21)/AVERAGE(終値!Z21:AS21),""))</f>
        <v>0.2234589050171476</v>
      </c>
      <c r="X21" s="503">
        <f>IF(終値!A21="","",IFERROR(4*STDEVP(終値!AA21:AT21)/AVERAGE(終値!AA21:AT21),""))</f>
        <v>0.2256001427282126</v>
      </c>
      <c r="Y21" s="503">
        <f>IF(終値!A21="","",IFERROR(4*STDEVP(終値!AB21:AU21)/AVERAGE(終値!AB21:AU21),""))</f>
        <v>0.22616354242361769</v>
      </c>
      <c r="Z21" s="503">
        <f>IF(終値!A21="","",IFERROR(4*STDEVP(終値!AC21:AV21)/AVERAGE(終値!AC21:AV21),""))</f>
        <v>0.22904949440775646</v>
      </c>
      <c r="AA21" s="503">
        <f>IF(終値!A21="","",IFERROR(4*STDEVP(終値!AD21:AW21)/AVERAGE(終値!AD21:AW21),""))</f>
        <v>0.25256954693514017</v>
      </c>
      <c r="AB21" s="503">
        <f>IF(終値!A21="","",IFERROR(4*STDEVP(終値!AE21:AX21)/AVERAGE(終値!AE21:AX21),""))</f>
        <v>0.25583988358198262</v>
      </c>
      <c r="AC21" s="503">
        <f>IF(終値!A21="","",IFERROR(4*STDEVP(終値!AF21:AY21)/AVERAGE(終値!AF21:AY21),""))</f>
        <v>0.26784104982616902</v>
      </c>
      <c r="AD21" s="503">
        <f>IF(終値!A21="","",IFERROR(4*STDEVP(終値!AG21:AZ21)/AVERAGE(終値!AG21:AZ21),""))</f>
        <v>0.27912905948469746</v>
      </c>
      <c r="AE21" s="503">
        <f>IF(終値!A21="","",IFERROR(4*STDEVP(終値!AH21:BA21)/AVERAGE(終値!AH21:BA21),""))</f>
        <v>0.28532170329882012</v>
      </c>
      <c r="AF21" s="503">
        <f>IF(終値!A21="","",IFERROR(4*STDEVP(終値!AI21:BB21)/AVERAGE(終値!AI21:BB21),""))</f>
        <v>0.30088531842782085</v>
      </c>
      <c r="AG21" s="503">
        <f>IF(終値!A21="","",IFERROR(4*STDEVP(終値!AJ21:BC21)/AVERAGE(終値!AJ21:BC21),""))</f>
        <v>0.3143542289312285</v>
      </c>
      <c r="AH21" s="503">
        <f>IF(終値!A21="","",IFERROR(4*STDEVP(終値!AK21:BD21)/AVERAGE(終値!AK21:BD21),""))</f>
        <v>0.29635480583857821</v>
      </c>
      <c r="AI21" s="503">
        <f>IF(終値!A21="","",IFERROR(4*STDEVP(終値!AL21:BE21)/AVERAGE(終値!AL21:BE21),""))</f>
        <v>0.30119796175019364</v>
      </c>
      <c r="AJ21" s="503">
        <f>IF(終値!A21="","",IFERROR(4*STDEVP(終値!AM21:BF21)/AVERAGE(終値!AM21:BF21),""))</f>
        <v>0.29664258256461418</v>
      </c>
      <c r="AK21" s="503">
        <f>IF(終値!A21="","",IFERROR(4*STDEVP(終値!AN21:BG21)/AVERAGE(終値!AN21:BG21),""))</f>
        <v>0.28173626117555955</v>
      </c>
      <c r="AL21" s="503">
        <f>IF(終値!A21="","",IFERROR(4*STDEVP(終値!AO21:BH21)/AVERAGE(終値!AO21:BH21),""))</f>
        <v>0.26773974141042839</v>
      </c>
      <c r="AM21" s="503">
        <f>IF(終値!A21="","",IFERROR(4*STDEVP(終値!AP21:BI21)/AVERAGE(終値!AP21:BI21),""))</f>
        <v>0.25266775731205876</v>
      </c>
      <c r="AN21" s="503">
        <f>IF(終値!A21="","",IFERROR(4*STDEVP(終値!AQ21:BJ21)/AVERAGE(終値!AQ21:BJ21),""))</f>
        <v>0.25274345545372084</v>
      </c>
      <c r="AO21" s="503">
        <f>IF(終値!A21="","",IFERROR(4*STDEVP(終値!AR21:BK21)/AVERAGE(終値!AR21:BK21),""))</f>
        <v>0.25192582562954857</v>
      </c>
      <c r="AP21" s="503">
        <f>IF(終値!A21="","",IFERROR(4*STDEVP(終値!AS21:BL21)/AVERAGE(終値!AS21:BL21),""))</f>
        <v>0.25076193058313911</v>
      </c>
    </row>
    <row r="22" spans="1:42">
      <c r="A22" s="500" t="str">
        <f>IF(終値!A22="","",終値!A22)</f>
        <v>8725</v>
      </c>
      <c r="B22" s="503">
        <f>IF(終値!A22="","",IFERROR(4*STDEVP(終値!E22:X22)/AVERAGE(終値!E22:X22),""))</f>
        <v>0.17534668783805696</v>
      </c>
      <c r="C22" s="503">
        <f>IF(終値!A22="","",IFERROR(4*STDEVP(終値!F22:Y22)/AVERAGE(終値!F22:Y22),""))</f>
        <v>0.17944433078500169</v>
      </c>
      <c r="D22" s="503">
        <f>IF(終値!A22="","",IFERROR(4*STDEVP(終値!G22:Z22)/AVERAGE(終値!G22:Z22),""))</f>
        <v>0.1826778098485958</v>
      </c>
      <c r="E22" s="503">
        <f>IF(終値!A22="","",IFERROR(4*STDEVP(終値!H22:AA22)/AVERAGE(終値!H22:AA22),""))</f>
        <v>0.1897582565816891</v>
      </c>
      <c r="F22" s="503">
        <f>IF(終値!A22="","",IFERROR(4*STDEVP(終値!I22:AB22)/AVERAGE(終値!I22:AB22),""))</f>
        <v>0.19776709537898701</v>
      </c>
      <c r="G22" s="503">
        <f>IF(終値!A22="","",IFERROR(4*STDEVP(終値!J22:AC22)/AVERAGE(終値!J22:AC22),""))</f>
        <v>0.20708007747386756</v>
      </c>
      <c r="H22" s="503">
        <f>IF(終値!A22="","",IFERROR(4*STDEVP(終値!K22:AD22)/AVERAGE(終値!K22:AD22),""))</f>
        <v>0.21165544302076475</v>
      </c>
      <c r="I22" s="503">
        <f>IF(終値!A22="","",IFERROR(4*STDEVP(終値!L22:AE22)/AVERAGE(終値!L22:AE22),""))</f>
        <v>0.20516039701820749</v>
      </c>
      <c r="J22" s="503">
        <f>IF(終値!A22="","",IFERROR(4*STDEVP(終値!M22:AF22)/AVERAGE(終値!M22:AF22),""))</f>
        <v>0.1942200833066621</v>
      </c>
      <c r="K22" s="503">
        <f>IF(終値!A22="","",IFERROR(4*STDEVP(終値!N22:AG22)/AVERAGE(終値!N22:AG22),""))</f>
        <v>0.17567508537058857</v>
      </c>
      <c r="L22" s="503">
        <f>IF(終値!A22="","",IFERROR(4*STDEVP(終値!O22:AH22)/AVERAGE(終値!O22:AH22),""))</f>
        <v>0.15652982173152036</v>
      </c>
      <c r="M22" s="503">
        <f>IF(終値!A22="","",IFERROR(4*STDEVP(終値!P22:AI22)/AVERAGE(終値!P22:AI22),""))</f>
        <v>0.13775244368645026</v>
      </c>
      <c r="N22" s="503">
        <f>IF(終値!A22="","",IFERROR(4*STDEVP(終値!Q22:AJ22)/AVERAGE(終値!Q22:AJ22),""))</f>
        <v>0.12512847997092749</v>
      </c>
      <c r="O22" s="503">
        <f>IF(終値!A22="","",IFERROR(4*STDEVP(終値!R22:AK22)/AVERAGE(終値!R22:AK22),""))</f>
        <v>0.11288951062755163</v>
      </c>
      <c r="P22" s="503">
        <f>IF(終値!A22="","",IFERROR(4*STDEVP(終値!S22:AL22)/AVERAGE(終値!S22:AL22),""))</f>
        <v>0.11597677283938598</v>
      </c>
      <c r="Q22" s="503">
        <f>IF(終値!A22="","",IFERROR(4*STDEVP(終値!T22:AM22)/AVERAGE(終値!T22:AM22),""))</f>
        <v>0.11531810426371414</v>
      </c>
      <c r="R22" s="503">
        <f>IF(終値!A22="","",IFERROR(4*STDEVP(終値!U22:AN22)/AVERAGE(終値!U22:AN22),""))</f>
        <v>0.1191358952244283</v>
      </c>
      <c r="S22" s="503">
        <f>IF(終値!A22="","",IFERROR(4*STDEVP(終値!V22:AO22)/AVERAGE(終値!V22:AO22),""))</f>
        <v>0.12597715904028597</v>
      </c>
      <c r="T22" s="503">
        <f>IF(終値!A22="","",IFERROR(4*STDEVP(終値!W22:AP22)/AVERAGE(終値!W22:AP22),""))</f>
        <v>0.12790097313426158</v>
      </c>
      <c r="U22" s="503">
        <f>IF(終値!A22="","",IFERROR(4*STDEVP(終値!X22:AQ22)/AVERAGE(終値!X22:AQ22),""))</f>
        <v>0.12858288684808991</v>
      </c>
      <c r="V22" s="503">
        <f>IF(終値!A22="","",IFERROR(4*STDEVP(終値!Y22:AR22)/AVERAGE(終値!Y22:AR22),""))</f>
        <v>0.13032359122246848</v>
      </c>
      <c r="W22" s="503">
        <f>IF(終値!A22="","",IFERROR(4*STDEVP(終値!Z22:AS22)/AVERAGE(終値!Z22:AS22),""))</f>
        <v>0.13095931185111387</v>
      </c>
      <c r="X22" s="503">
        <f>IF(終値!A22="","",IFERROR(4*STDEVP(終値!AA22:AT22)/AVERAGE(終値!AA22:AT22),""))</f>
        <v>0.13346216560147911</v>
      </c>
      <c r="Y22" s="503">
        <f>IF(終値!A22="","",IFERROR(4*STDEVP(終値!AB22:AU22)/AVERAGE(終値!AB22:AU22),""))</f>
        <v>0.14039006943359225</v>
      </c>
      <c r="Z22" s="503">
        <f>IF(終値!A22="","",IFERROR(4*STDEVP(終値!AC22:AV22)/AVERAGE(終値!AC22:AV22),""))</f>
        <v>0.14362288102970125</v>
      </c>
      <c r="AA22" s="503">
        <f>IF(終値!A22="","",IFERROR(4*STDEVP(終値!AD22:AW22)/AVERAGE(終値!AD22:AW22),""))</f>
        <v>0.14438436738739624</v>
      </c>
      <c r="AB22" s="503">
        <f>IF(終値!A22="","",IFERROR(4*STDEVP(終値!AE22:AX22)/AVERAGE(終値!AE22:AX22),""))</f>
        <v>0.14184199005000797</v>
      </c>
      <c r="AC22" s="503">
        <f>IF(終値!A22="","",IFERROR(4*STDEVP(終値!AF22:AY22)/AVERAGE(終値!AF22:AY22),""))</f>
        <v>0.14270784877222861</v>
      </c>
      <c r="AD22" s="503">
        <f>IF(終値!A22="","",IFERROR(4*STDEVP(終値!AG22:AZ22)/AVERAGE(終値!AG22:AZ22),""))</f>
        <v>0.14003340150597754</v>
      </c>
      <c r="AE22" s="503">
        <f>IF(終値!A22="","",IFERROR(4*STDEVP(終値!AH22:BA22)/AVERAGE(終値!AH22:BA22),""))</f>
        <v>0.14232814945984548</v>
      </c>
      <c r="AF22" s="503">
        <f>IF(終値!A22="","",IFERROR(4*STDEVP(終値!AI22:BB22)/AVERAGE(終値!AI22:BB22),""))</f>
        <v>0.14825123052226552</v>
      </c>
      <c r="AG22" s="503">
        <f>IF(終値!A22="","",IFERROR(4*STDEVP(終値!AJ22:BC22)/AVERAGE(終値!AJ22:BC22),""))</f>
        <v>0.14504060272567326</v>
      </c>
      <c r="AH22" s="503">
        <f>IF(終値!A22="","",IFERROR(4*STDEVP(終値!AK22:BD22)/AVERAGE(終値!AK22:BD22),""))</f>
        <v>0.13849678794185763</v>
      </c>
      <c r="AI22" s="503">
        <f>IF(終値!A22="","",IFERROR(4*STDEVP(終値!AL22:BE22)/AVERAGE(終値!AL22:BE22),""))</f>
        <v>0.13696518023785628</v>
      </c>
      <c r="AJ22" s="503">
        <f>IF(終値!A22="","",IFERROR(4*STDEVP(終値!AM22:BF22)/AVERAGE(終値!AM22:BF22),""))</f>
        <v>0.13236038944670303</v>
      </c>
      <c r="AK22" s="503">
        <f>IF(終値!A22="","",IFERROR(4*STDEVP(終値!AN22:BG22)/AVERAGE(終値!AN22:BG22),""))</f>
        <v>0.12877051609388429</v>
      </c>
      <c r="AL22" s="503">
        <f>IF(終値!A22="","",IFERROR(4*STDEVP(終値!AO22:BH22)/AVERAGE(終値!AO22:BH22),""))</f>
        <v>0.1206981837312483</v>
      </c>
      <c r="AM22" s="503">
        <f>IF(終値!A22="","",IFERROR(4*STDEVP(終値!AP22:BI22)/AVERAGE(終値!AP22:BI22),""))</f>
        <v>0.10535665369691513</v>
      </c>
      <c r="AN22" s="503">
        <f>IF(終値!A22="","",IFERROR(4*STDEVP(終値!AQ22:BJ22)/AVERAGE(終値!AQ22:BJ22),""))</f>
        <v>9.5847429976825119E-2</v>
      </c>
      <c r="AO22" s="503">
        <f>IF(終値!A22="","",IFERROR(4*STDEVP(終値!AR22:BK22)/AVERAGE(終値!AR22:BK22),""))</f>
        <v>0.10876669880004271</v>
      </c>
      <c r="AP22" s="503">
        <f>IF(終値!A22="","",IFERROR(4*STDEVP(終値!AS22:BL22)/AVERAGE(終値!AS22:BL22),""))</f>
        <v>0.11619898498407455</v>
      </c>
    </row>
    <row r="23" spans="1:42">
      <c r="A23" s="500" t="str">
        <f>IF(終値!A23="","",終値!A23)</f>
        <v>8795</v>
      </c>
      <c r="B23" s="503">
        <f>IF(終値!A23="","",IFERROR(4*STDEVP(終値!E23:X23)/AVERAGE(終値!E23:X23),""))</f>
        <v>6.4902998980242974E-2</v>
      </c>
      <c r="C23" s="503">
        <f>IF(終値!A23="","",IFERROR(4*STDEVP(終値!F23:Y23)/AVERAGE(終値!F23:Y23),""))</f>
        <v>6.5096872347011586E-2</v>
      </c>
      <c r="D23" s="503">
        <f>IF(終値!A23="","",IFERROR(4*STDEVP(終値!G23:Z23)/AVERAGE(終値!G23:Z23),""))</f>
        <v>6.5564345009195932E-2</v>
      </c>
      <c r="E23" s="503">
        <f>IF(終値!A23="","",IFERROR(4*STDEVP(終値!H23:AA23)/AVERAGE(終値!H23:AA23),""))</f>
        <v>6.5857001776384635E-2</v>
      </c>
      <c r="F23" s="503">
        <f>IF(終値!A23="","",IFERROR(4*STDEVP(終値!I23:AB23)/AVERAGE(終値!I23:AB23),""))</f>
        <v>6.7856983542487911E-2</v>
      </c>
      <c r="G23" s="503">
        <f>IF(終値!A23="","",IFERROR(4*STDEVP(終値!J23:AC23)/AVERAGE(終値!J23:AC23),""))</f>
        <v>7.2751288285205301E-2</v>
      </c>
      <c r="H23" s="503">
        <f>IF(終値!A23="","",IFERROR(4*STDEVP(終値!K23:AD23)/AVERAGE(終値!K23:AD23),""))</f>
        <v>7.8749469782523868E-2</v>
      </c>
      <c r="I23" s="503">
        <f>IF(終値!A23="","",IFERROR(4*STDEVP(終値!L23:AE23)/AVERAGE(終値!L23:AE23),""))</f>
        <v>9.1695921245005169E-2</v>
      </c>
      <c r="J23" s="503">
        <f>IF(終値!A23="","",IFERROR(4*STDEVP(終値!M23:AF23)/AVERAGE(終値!M23:AF23),""))</f>
        <v>0.10222002010322415</v>
      </c>
      <c r="K23" s="503">
        <f>IF(終値!A23="","",IFERROR(4*STDEVP(終値!N23:AG23)/AVERAGE(終値!N23:AG23),""))</f>
        <v>9.9987373453490264E-2</v>
      </c>
      <c r="L23" s="503">
        <f>IF(終値!A23="","",IFERROR(4*STDEVP(終値!O23:AH23)/AVERAGE(終値!O23:AH23),""))</f>
        <v>0.10947866880578951</v>
      </c>
      <c r="M23" s="503">
        <f>IF(終値!A23="","",IFERROR(4*STDEVP(終値!P23:AI23)/AVERAGE(終値!P23:AI23),""))</f>
        <v>0.10559355974013809</v>
      </c>
      <c r="N23" s="503">
        <f>IF(終値!A23="","",IFERROR(4*STDEVP(終値!Q23:AJ23)/AVERAGE(終値!Q23:AJ23),""))</f>
        <v>0.10173156812543713</v>
      </c>
      <c r="O23" s="503">
        <f>IF(終値!A23="","",IFERROR(4*STDEVP(終値!R23:AK23)/AVERAGE(終値!R23:AK23),""))</f>
        <v>9.9488263728619242E-2</v>
      </c>
      <c r="P23" s="503">
        <f>IF(終値!A23="","",IFERROR(4*STDEVP(終値!S23:AL23)/AVERAGE(終値!S23:AL23),""))</f>
        <v>9.8626952497775533E-2</v>
      </c>
      <c r="Q23" s="503">
        <f>IF(終値!A23="","",IFERROR(4*STDEVP(終値!T23:AM23)/AVERAGE(終値!T23:AM23),""))</f>
        <v>9.6287860451917132E-2</v>
      </c>
      <c r="R23" s="503">
        <f>IF(終値!A23="","",IFERROR(4*STDEVP(終値!U23:AN23)/AVERAGE(終値!U23:AN23),""))</f>
        <v>9.5224716987751465E-2</v>
      </c>
      <c r="S23" s="503">
        <f>IF(終値!A23="","",IFERROR(4*STDEVP(終値!V23:AO23)/AVERAGE(終値!V23:AO23),""))</f>
        <v>9.5105889407434349E-2</v>
      </c>
      <c r="T23" s="503">
        <f>IF(終値!A23="","",IFERROR(4*STDEVP(終値!W23:AP23)/AVERAGE(終値!W23:AP23),""))</f>
        <v>9.7991423233871541E-2</v>
      </c>
      <c r="U23" s="503">
        <f>IF(終値!A23="","",IFERROR(4*STDEVP(終値!X23:AQ23)/AVERAGE(終値!X23:AQ23),""))</f>
        <v>0.10201784637645456</v>
      </c>
      <c r="V23" s="503">
        <f>IF(終値!A23="","",IFERROR(4*STDEVP(終値!Y23:AR23)/AVERAGE(終値!Y23:AR23),""))</f>
        <v>0.10356678034494014</v>
      </c>
      <c r="W23" s="503">
        <f>IF(終値!A23="","",IFERROR(4*STDEVP(終値!Z23:AS23)/AVERAGE(終値!Z23:AS23),""))</f>
        <v>0.1263307415679103</v>
      </c>
      <c r="X23" s="503">
        <f>IF(終値!A23="","",IFERROR(4*STDEVP(終値!AA23:AT23)/AVERAGE(終値!AA23:AT23),""))</f>
        <v>0.13667863940016112</v>
      </c>
      <c r="Y23" s="503">
        <f>IF(終値!A23="","",IFERROR(4*STDEVP(終値!AB23:AU23)/AVERAGE(終値!AB23:AU23),""))</f>
        <v>0.17554696046947729</v>
      </c>
      <c r="Z23" s="503">
        <f>IF(終値!A23="","",IFERROR(4*STDEVP(終値!AC23:AV23)/AVERAGE(終値!AC23:AV23),""))</f>
        <v>0.19433313607221273</v>
      </c>
      <c r="AA23" s="503">
        <f>IF(終値!A23="","",IFERROR(4*STDEVP(終値!AD23:AW23)/AVERAGE(終値!AD23:AW23),""))</f>
        <v>0.20957340733038723</v>
      </c>
      <c r="AB23" s="503">
        <f>IF(終値!A23="","",IFERROR(4*STDEVP(終値!AE23:AX23)/AVERAGE(終値!AE23:AX23),""))</f>
        <v>0.22557500959526181</v>
      </c>
      <c r="AC23" s="503">
        <f>IF(終値!A23="","",IFERROR(4*STDEVP(終値!AF23:AY23)/AVERAGE(終値!AF23:AY23),""))</f>
        <v>0.24775174209619821</v>
      </c>
      <c r="AD23" s="503">
        <f>IF(終値!A23="","",IFERROR(4*STDEVP(終値!AG23:AZ23)/AVERAGE(終値!AG23:AZ23),""))</f>
        <v>0.26234018776875229</v>
      </c>
      <c r="AE23" s="503">
        <f>IF(終値!A23="","",IFERROR(4*STDEVP(終値!AH23:BA23)/AVERAGE(終値!AH23:BA23),""))</f>
        <v>0.27805887532675611</v>
      </c>
      <c r="AF23" s="503">
        <f>IF(終値!A23="","",IFERROR(4*STDEVP(終値!AI23:BB23)/AVERAGE(終値!AI23:BB23),""))</f>
        <v>0.29037891179383035</v>
      </c>
      <c r="AG23" s="503">
        <f>IF(終値!A23="","",IFERROR(4*STDEVP(終値!AJ23:BC23)/AVERAGE(終値!AJ23:BC23),""))</f>
        <v>0.29310976954849388</v>
      </c>
      <c r="AH23" s="503">
        <f>IF(終値!A23="","",IFERROR(4*STDEVP(終値!AK23:BD23)/AVERAGE(終値!AK23:BD23),""))</f>
        <v>0.28260526252340734</v>
      </c>
      <c r="AI23" s="503">
        <f>IF(終値!A23="","",IFERROR(4*STDEVP(終値!AL23:BE23)/AVERAGE(終値!AL23:BE23),""))</f>
        <v>0.27262563491428926</v>
      </c>
      <c r="AJ23" s="503">
        <f>IF(終値!A23="","",IFERROR(4*STDEVP(終値!AM23:BF23)/AVERAGE(終値!AM23:BF23),""))</f>
        <v>0.26135923017463392</v>
      </c>
      <c r="AK23" s="503">
        <f>IF(終値!A23="","",IFERROR(4*STDEVP(終値!AN23:BG23)/AVERAGE(終値!AN23:BG23),""))</f>
        <v>0.26091043206781117</v>
      </c>
      <c r="AL23" s="503">
        <f>IF(終値!A23="","",IFERROR(4*STDEVP(終値!AO23:BH23)/AVERAGE(終値!AO23:BH23),""))</f>
        <v>0.23691777526135063</v>
      </c>
      <c r="AM23" s="503">
        <f>IF(終値!A23="","",IFERROR(4*STDEVP(終値!AP23:BI23)/AVERAGE(終値!AP23:BI23),""))</f>
        <v>0.21431226985007515</v>
      </c>
      <c r="AN23" s="503">
        <f>IF(終値!A23="","",IFERROR(4*STDEVP(終値!AQ23:BJ23)/AVERAGE(終値!AQ23:BJ23),""))</f>
        <v>0.19377219572889096</v>
      </c>
      <c r="AO23" s="503">
        <f>IF(終値!A23="","",IFERROR(4*STDEVP(終値!AR23:BK23)/AVERAGE(終値!AR23:BK23),""))</f>
        <v>0.16872565243119442</v>
      </c>
      <c r="AP23" s="503">
        <f>IF(終値!A23="","",IFERROR(4*STDEVP(終値!AS23:BL23)/AVERAGE(終値!AS23:BL23),""))</f>
        <v>0.13142864294740075</v>
      </c>
    </row>
    <row r="24" spans="1:42">
      <c r="A24" s="500" t="str">
        <f>IF(終値!A24="","",終値!A24)</f>
        <v>5019</v>
      </c>
      <c r="B24" s="503">
        <f>IF(終値!A24="","",IFERROR(4*STDEVP(終値!E24:X24)/AVERAGE(終値!E24:X24),""))</f>
        <v>0.1044739376478479</v>
      </c>
      <c r="C24" s="503">
        <f>IF(終値!A24="","",IFERROR(4*STDEVP(終値!F24:Y24)/AVERAGE(終値!F24:Y24),""))</f>
        <v>0.1080076369989552</v>
      </c>
      <c r="D24" s="503">
        <f>IF(終値!A24="","",IFERROR(4*STDEVP(終値!G24:Z24)/AVERAGE(終値!G24:Z24),""))</f>
        <v>0.10758041260487619</v>
      </c>
      <c r="E24" s="503">
        <f>IF(終値!A24="","",IFERROR(4*STDEVP(終値!H24:AA24)/AVERAGE(終値!H24:AA24),""))</f>
        <v>0.11484862487436981</v>
      </c>
      <c r="F24" s="503">
        <f>IF(終値!A24="","",IFERROR(4*STDEVP(終値!I24:AB24)/AVERAGE(終値!I24:AB24),""))</f>
        <v>0.12579312225708519</v>
      </c>
      <c r="G24" s="503">
        <f>IF(終値!A24="","",IFERROR(4*STDEVP(終値!J24:AC24)/AVERAGE(終値!J24:AC24),""))</f>
        <v>0.13687700614732584</v>
      </c>
      <c r="H24" s="503">
        <f>IF(終値!A24="","",IFERROR(4*STDEVP(終値!K24:AD24)/AVERAGE(終値!K24:AD24),""))</f>
        <v>0.14218229130300611</v>
      </c>
      <c r="I24" s="503">
        <f>IF(終値!A24="","",IFERROR(4*STDEVP(終値!L24:AE24)/AVERAGE(終値!L24:AE24),""))</f>
        <v>0.14108830637198999</v>
      </c>
      <c r="J24" s="503">
        <f>IF(終値!A24="","",IFERROR(4*STDEVP(終値!M24:AF24)/AVERAGE(終値!M24:AF24),""))</f>
        <v>0.13829844972341065</v>
      </c>
      <c r="K24" s="503">
        <f>IF(終値!A24="","",IFERROR(4*STDEVP(終値!N24:AG24)/AVERAGE(終値!N24:AG24),""))</f>
        <v>0.134188815965676</v>
      </c>
      <c r="L24" s="503">
        <f>IF(終値!A24="","",IFERROR(4*STDEVP(終値!O24:AH24)/AVERAGE(終値!O24:AH24),""))</f>
        <v>0.11889777853119017</v>
      </c>
      <c r="M24" s="503">
        <f>IF(終値!A24="","",IFERROR(4*STDEVP(終値!P24:AI24)/AVERAGE(終値!P24:AI24),""))</f>
        <v>0.10262304403265365</v>
      </c>
      <c r="N24" s="503">
        <f>IF(終値!A24="","",IFERROR(4*STDEVP(終値!Q24:AJ24)/AVERAGE(終値!Q24:AJ24),""))</f>
        <v>8.6358436555551046E-2</v>
      </c>
      <c r="O24" s="503">
        <f>IF(終値!A24="","",IFERROR(4*STDEVP(終値!R24:AK24)/AVERAGE(終値!R24:AK24),""))</f>
        <v>7.7710610986017045E-2</v>
      </c>
      <c r="P24" s="503">
        <f>IF(終値!A24="","",IFERROR(4*STDEVP(終値!S24:AL24)/AVERAGE(終値!S24:AL24),""))</f>
        <v>7.802131326613633E-2</v>
      </c>
      <c r="Q24" s="503">
        <f>IF(終値!A24="","",IFERROR(4*STDEVP(終値!T24:AM24)/AVERAGE(終値!T24:AM24),""))</f>
        <v>7.9602501229400241E-2</v>
      </c>
      <c r="R24" s="503">
        <f>IF(終値!A24="","",IFERROR(4*STDEVP(終値!U24:AN24)/AVERAGE(終値!U24:AN24),""))</f>
        <v>8.4374959241146616E-2</v>
      </c>
      <c r="S24" s="503">
        <f>IF(終値!A24="","",IFERROR(4*STDEVP(終値!V24:AO24)/AVERAGE(終値!V24:AO24),""))</f>
        <v>0.10797900781666947</v>
      </c>
      <c r="T24" s="503">
        <f>IF(終値!A24="","",IFERROR(4*STDEVP(終値!W24:AP24)/AVERAGE(終値!W24:AP24),""))</f>
        <v>0.11989043636982055</v>
      </c>
      <c r="U24" s="503">
        <f>IF(終値!A24="","",IFERROR(4*STDEVP(終値!X24:AQ24)/AVERAGE(終値!X24:AQ24),""))</f>
        <v>0.13867993268740914</v>
      </c>
      <c r="V24" s="503">
        <f>IF(終値!A24="","",IFERROR(4*STDEVP(終値!Y24:AR24)/AVERAGE(終値!Y24:AR24),""))</f>
        <v>0.14958253768368343</v>
      </c>
      <c r="W24" s="503">
        <f>IF(終値!A24="","",IFERROR(4*STDEVP(終値!Z24:AS24)/AVERAGE(終値!Z24:AS24),""))</f>
        <v>0.16223789775612449</v>
      </c>
      <c r="X24" s="503">
        <f>IF(終値!A24="","",IFERROR(4*STDEVP(終値!AA24:AT24)/AVERAGE(終値!AA24:AT24),""))</f>
        <v>0.18151802892318106</v>
      </c>
      <c r="Y24" s="503">
        <f>IF(終値!A24="","",IFERROR(4*STDEVP(終値!AB24:AU24)/AVERAGE(終値!AB24:AU24),""))</f>
        <v>0.19727261260308041</v>
      </c>
      <c r="Z24" s="503">
        <f>IF(終値!A24="","",IFERROR(4*STDEVP(終値!AC24:AV24)/AVERAGE(終値!AC24:AV24),""))</f>
        <v>0.20828317562408538</v>
      </c>
      <c r="AA24" s="503">
        <f>IF(終値!A24="","",IFERROR(4*STDEVP(終値!AD24:AW24)/AVERAGE(終値!AD24:AW24),""))</f>
        <v>0.19964544497384598</v>
      </c>
      <c r="AB24" s="503">
        <f>IF(終値!A24="","",IFERROR(4*STDEVP(終値!AE24:AX24)/AVERAGE(終値!AE24:AX24),""))</f>
        <v>0.19816322243845927</v>
      </c>
      <c r="AC24" s="503">
        <f>IF(終値!A24="","",IFERROR(4*STDEVP(終値!AF24:AY24)/AVERAGE(終値!AF24:AY24),""))</f>
        <v>0.18538785872397404</v>
      </c>
      <c r="AD24" s="503">
        <f>IF(終値!A24="","",IFERROR(4*STDEVP(終値!AG24:AZ24)/AVERAGE(終値!AG24:AZ24),""))</f>
        <v>0.17507166934796056</v>
      </c>
      <c r="AE24" s="503">
        <f>IF(終値!A24="","",IFERROR(4*STDEVP(終値!AH24:BA24)/AVERAGE(終値!AH24:BA24),""))</f>
        <v>0.1586514019924799</v>
      </c>
      <c r="AF24" s="503">
        <f>IF(終値!A24="","",IFERROR(4*STDEVP(終値!AI24:BB24)/AVERAGE(終値!AI24:BB24),""))</f>
        <v>0.14652968774768818</v>
      </c>
      <c r="AG24" s="503">
        <f>IF(終値!A24="","",IFERROR(4*STDEVP(終値!AJ24:BC24)/AVERAGE(終値!AJ24:BC24),""))</f>
        <v>0.13733221183551581</v>
      </c>
      <c r="AH24" s="503">
        <f>IF(終値!A24="","",IFERROR(4*STDEVP(終値!AK24:BD24)/AVERAGE(終値!AK24:BD24),""))</f>
        <v>0.12964676913413964</v>
      </c>
      <c r="AI24" s="503">
        <f>IF(終値!A24="","",IFERROR(4*STDEVP(終値!AL24:BE24)/AVERAGE(終値!AL24:BE24),""))</f>
        <v>0.12092408455323912</v>
      </c>
      <c r="AJ24" s="503">
        <f>IF(終値!A24="","",IFERROR(4*STDEVP(終値!AM24:BF24)/AVERAGE(終値!AM24:BF24),""))</f>
        <v>0.10253446637373215</v>
      </c>
      <c r="AK24" s="503">
        <f>IF(終値!A24="","",IFERROR(4*STDEVP(終値!AN24:BG24)/AVERAGE(終値!AN24:BG24),""))</f>
        <v>0.10572354957050704</v>
      </c>
      <c r="AL24" s="503">
        <f>IF(終値!A24="","",IFERROR(4*STDEVP(終値!AO24:BH24)/AVERAGE(終値!AO24:BH24),""))</f>
        <v>0.10284061442020005</v>
      </c>
      <c r="AM24" s="503">
        <f>IF(終値!A24="","",IFERROR(4*STDEVP(終値!AP24:BI24)/AVERAGE(終値!AP24:BI24),""))</f>
        <v>0.10230048786876224</v>
      </c>
      <c r="AN24" s="503">
        <f>IF(終値!A24="","",IFERROR(4*STDEVP(終値!AQ24:BJ24)/AVERAGE(終値!AQ24:BJ24),""))</f>
        <v>9.8346435629868736E-2</v>
      </c>
      <c r="AO24" s="503">
        <f>IF(終値!A24="","",IFERROR(4*STDEVP(終値!AR24:BK24)/AVERAGE(終値!AR24:BK24),""))</f>
        <v>9.7211038617077181E-2</v>
      </c>
      <c r="AP24" s="503">
        <f>IF(終値!A24="","",IFERROR(4*STDEVP(終値!AS24:BL24)/AVERAGE(終値!AS24:BL24),""))</f>
        <v>9.5986290098438592E-2</v>
      </c>
    </row>
    <row r="25" spans="1:42">
      <c r="A25" s="500" t="str">
        <f>IF(終値!A25="","",終値!A25)</f>
        <v>8053</v>
      </c>
      <c r="B25" s="503">
        <f>IF(終値!A25="","",IFERROR(4*STDEVP(終値!E25:X25)/AVERAGE(終値!E25:X25),""))</f>
        <v>0.14135285221797955</v>
      </c>
      <c r="C25" s="503">
        <f>IF(終値!A25="","",IFERROR(4*STDEVP(終値!F25:Y25)/AVERAGE(終値!F25:Y25),""))</f>
        <v>0.11730965468318806</v>
      </c>
      <c r="D25" s="503">
        <f>IF(終値!A25="","",IFERROR(4*STDEVP(終値!G25:Z25)/AVERAGE(終値!G25:Z25),""))</f>
        <v>9.5997554508289437E-2</v>
      </c>
      <c r="E25" s="503">
        <f>IF(終値!A25="","",IFERROR(4*STDEVP(終値!H25:AA25)/AVERAGE(終値!H25:AA25),""))</f>
        <v>8.8590030112572341E-2</v>
      </c>
      <c r="F25" s="503">
        <f>IF(終値!A25="","",IFERROR(4*STDEVP(終値!I25:AB25)/AVERAGE(終値!I25:AB25),""))</f>
        <v>7.918940345214702E-2</v>
      </c>
      <c r="G25" s="503">
        <f>IF(終値!A25="","",IFERROR(4*STDEVP(終値!J25:AC25)/AVERAGE(終値!J25:AC25),""))</f>
        <v>6.3952565336074879E-2</v>
      </c>
      <c r="H25" s="503">
        <f>IF(終値!A25="","",IFERROR(4*STDEVP(終値!K25:AD25)/AVERAGE(終値!K25:AD25),""))</f>
        <v>6.621959343822223E-2</v>
      </c>
      <c r="I25" s="503">
        <f>IF(終値!A25="","",IFERROR(4*STDEVP(終値!L25:AE25)/AVERAGE(終値!L25:AE25),""))</f>
        <v>7.0219138907699027E-2</v>
      </c>
      <c r="J25" s="503">
        <f>IF(終値!A25="","",IFERROR(4*STDEVP(終値!M25:AF25)/AVERAGE(終値!M25:AF25),""))</f>
        <v>7.1156991401678221E-2</v>
      </c>
      <c r="K25" s="503">
        <f>IF(終値!A25="","",IFERROR(4*STDEVP(終値!N25:AG25)/AVERAGE(終値!N25:AG25),""))</f>
        <v>7.1466081667396222E-2</v>
      </c>
      <c r="L25" s="503">
        <f>IF(終値!A25="","",IFERROR(4*STDEVP(終値!O25:AH25)/AVERAGE(終値!O25:AH25),""))</f>
        <v>6.8796712447590905E-2</v>
      </c>
      <c r="M25" s="503">
        <f>IF(終値!A25="","",IFERROR(4*STDEVP(終値!P25:AI25)/AVERAGE(終値!P25:AI25),""))</f>
        <v>6.1334543730153318E-2</v>
      </c>
      <c r="N25" s="503">
        <f>IF(終値!A25="","",IFERROR(4*STDEVP(終値!Q25:AJ25)/AVERAGE(終値!Q25:AJ25),""))</f>
        <v>6.558753926128616E-2</v>
      </c>
      <c r="O25" s="503">
        <f>IF(終値!A25="","",IFERROR(4*STDEVP(終値!R25:AK25)/AVERAGE(終値!R25:AK25),""))</f>
        <v>6.9328823270290538E-2</v>
      </c>
      <c r="P25" s="503">
        <f>IF(終値!A25="","",IFERROR(4*STDEVP(終値!S25:AL25)/AVERAGE(終値!S25:AL25),""))</f>
        <v>6.8030075375986793E-2</v>
      </c>
      <c r="Q25" s="503">
        <f>IF(終値!A25="","",IFERROR(4*STDEVP(終値!T25:AM25)/AVERAGE(終値!T25:AM25),""))</f>
        <v>7.5679988433438469E-2</v>
      </c>
      <c r="R25" s="503">
        <f>IF(終値!A25="","",IFERROR(4*STDEVP(終値!U25:AN25)/AVERAGE(終値!U25:AN25),""))</f>
        <v>8.0729340998459895E-2</v>
      </c>
      <c r="S25" s="503">
        <f>IF(終値!A25="","",IFERROR(4*STDEVP(終値!V25:AO25)/AVERAGE(終値!V25:AO25),""))</f>
        <v>8.5630609233685512E-2</v>
      </c>
      <c r="T25" s="503">
        <f>IF(終値!A25="","",IFERROR(4*STDEVP(終値!W25:AP25)/AVERAGE(終値!W25:AP25),""))</f>
        <v>8.4728192620871806E-2</v>
      </c>
      <c r="U25" s="503">
        <f>IF(終値!A25="","",IFERROR(4*STDEVP(終値!X25:AQ25)/AVERAGE(終値!X25:AQ25),""))</f>
        <v>8.6843635339596312E-2</v>
      </c>
      <c r="V25" s="503">
        <f>IF(終値!A25="","",IFERROR(4*STDEVP(終値!Y25:AR25)/AVERAGE(終値!Y25:AR25),""))</f>
        <v>8.5993486839092373E-2</v>
      </c>
      <c r="W25" s="503">
        <f>IF(終値!A25="","",IFERROR(4*STDEVP(終値!Z25:AS25)/AVERAGE(終値!Z25:AS25),""))</f>
        <v>9.3007745989831123E-2</v>
      </c>
      <c r="X25" s="503">
        <f>IF(終値!A25="","",IFERROR(4*STDEVP(終値!AA25:AT25)/AVERAGE(終値!AA25:AT25),""))</f>
        <v>0.11436781281222361</v>
      </c>
      <c r="Y25" s="503">
        <f>IF(終値!A25="","",IFERROR(4*STDEVP(終値!AB25:AU25)/AVERAGE(終値!AB25:AU25),""))</f>
        <v>0.12553320858945821</v>
      </c>
      <c r="Z25" s="503">
        <f>IF(終値!A25="","",IFERROR(4*STDEVP(終値!AC25:AV25)/AVERAGE(終値!AC25:AV25),""))</f>
        <v>0.13819238677506862</v>
      </c>
      <c r="AA25" s="503">
        <f>IF(終値!A25="","",IFERROR(4*STDEVP(終値!AD25:AW25)/AVERAGE(終値!AD25:AW25),""))</f>
        <v>0.14532100907876033</v>
      </c>
      <c r="AB25" s="503">
        <f>IF(終値!A25="","",IFERROR(4*STDEVP(終値!AE25:AX25)/AVERAGE(終値!AE25:AX25),""))</f>
        <v>0.16342681504713197</v>
      </c>
      <c r="AC25" s="503">
        <f>IF(終値!A25="","",IFERROR(4*STDEVP(終値!AF25:AY25)/AVERAGE(終値!AF25:AY25),""))</f>
        <v>0.17253624606332296</v>
      </c>
      <c r="AD25" s="503">
        <f>IF(終値!A25="","",IFERROR(4*STDEVP(終値!AG25:AZ25)/AVERAGE(終値!AG25:AZ25),""))</f>
        <v>0.18392683012922209</v>
      </c>
      <c r="AE25" s="503">
        <f>IF(終値!A25="","",IFERROR(4*STDEVP(終値!AH25:BA25)/AVERAGE(終値!AH25:BA25),""))</f>
        <v>0.19612808073425333</v>
      </c>
      <c r="AF25" s="503">
        <f>IF(終値!A25="","",IFERROR(4*STDEVP(終値!AI25:BB25)/AVERAGE(終値!AI25:BB25),""))</f>
        <v>0.1965200643272409</v>
      </c>
      <c r="AG25" s="503">
        <f>IF(終値!A25="","",IFERROR(4*STDEVP(終値!AJ25:BC25)/AVERAGE(終値!AJ25:BC25),""))</f>
        <v>0.1974686682290594</v>
      </c>
      <c r="AH25" s="503">
        <f>IF(終値!A25="","",IFERROR(4*STDEVP(終値!AK25:BD25)/AVERAGE(終値!AK25:BD25),""))</f>
        <v>0.19666030220407568</v>
      </c>
      <c r="AI25" s="503">
        <f>IF(終値!A25="","",IFERROR(4*STDEVP(終値!AL25:BE25)/AVERAGE(終値!AL25:BE25),""))</f>
        <v>0.19843947233690779</v>
      </c>
      <c r="AJ25" s="503">
        <f>IF(終値!A25="","",IFERROR(4*STDEVP(終値!AM25:BF25)/AVERAGE(終値!AM25:BF25),""))</f>
        <v>0.20121848033825654</v>
      </c>
      <c r="AK25" s="503">
        <f>IF(終値!A25="","",IFERROR(4*STDEVP(終値!AN25:BG25)/AVERAGE(終値!AN25:BG25),""))</f>
        <v>0.21270247486231214</v>
      </c>
      <c r="AL25" s="503">
        <f>IF(終値!A25="","",IFERROR(4*STDEVP(終値!AO25:BH25)/AVERAGE(終値!AO25:BH25),""))</f>
        <v>0.22052414608659762</v>
      </c>
      <c r="AM25" s="503">
        <f>IF(終値!A25="","",IFERROR(4*STDEVP(終値!AP25:BI25)/AVERAGE(終値!AP25:BI25),""))</f>
        <v>0.23230615599439092</v>
      </c>
      <c r="AN25" s="503">
        <f>IF(終値!A25="","",IFERROR(4*STDEVP(終値!AQ25:BJ25)/AVERAGE(終値!AQ25:BJ25),""))</f>
        <v>0.215051897844622</v>
      </c>
      <c r="AO25" s="503">
        <f>IF(終値!A25="","",IFERROR(4*STDEVP(終値!AR25:BK25)/AVERAGE(終値!AR25:BK25),""))</f>
        <v>0.18214310435174533</v>
      </c>
      <c r="AP25" s="503">
        <f>IF(終値!A25="","",IFERROR(4*STDEVP(終値!AS25:BL25)/AVERAGE(終値!AS25:BL25),""))</f>
        <v>0.15197524543144544</v>
      </c>
    </row>
    <row r="26" spans="1:42">
      <c r="A26" s="500" t="str">
        <f>IF(終値!A26="","",終値!A26)</f>
        <v>8591</v>
      </c>
      <c r="B26" s="503">
        <f>IF(終値!A26="","",IFERROR(4*STDEVP(終値!E26:X26)/AVERAGE(終値!E26:X26),""))</f>
        <v>7.0274071946905561E-2</v>
      </c>
      <c r="C26" s="503">
        <f>IF(終値!A26="","",IFERROR(4*STDEVP(終値!F26:Y26)/AVERAGE(終値!F26:Y26),""))</f>
        <v>7.009256538405409E-2</v>
      </c>
      <c r="D26" s="503">
        <f>IF(終値!A26="","",IFERROR(4*STDEVP(終値!G26:Z26)/AVERAGE(終値!G26:Z26),""))</f>
        <v>6.9419203085362688E-2</v>
      </c>
      <c r="E26" s="503">
        <f>IF(終値!A26="","",IFERROR(4*STDEVP(終値!H26:AA26)/AVERAGE(終値!H26:AA26),""))</f>
        <v>6.932036498371659E-2</v>
      </c>
      <c r="F26" s="503">
        <f>IF(終値!A26="","",IFERROR(4*STDEVP(終値!I26:AB26)/AVERAGE(終値!I26:AB26),""))</f>
        <v>7.1872167468607251E-2</v>
      </c>
      <c r="G26" s="503">
        <f>IF(終値!A26="","",IFERROR(4*STDEVP(終値!J26:AC26)/AVERAGE(終値!J26:AC26),""))</f>
        <v>7.9173281060092901E-2</v>
      </c>
      <c r="H26" s="503">
        <f>IF(終値!A26="","",IFERROR(4*STDEVP(終値!K26:AD26)/AVERAGE(終値!K26:AD26),""))</f>
        <v>8.6873707540151529E-2</v>
      </c>
      <c r="I26" s="503">
        <f>IF(終値!A26="","",IFERROR(4*STDEVP(終値!L26:AE26)/AVERAGE(終値!L26:AE26),""))</f>
        <v>9.4645834351248126E-2</v>
      </c>
      <c r="J26" s="503">
        <f>IF(終値!A26="","",IFERROR(4*STDEVP(終値!M26:AF26)/AVERAGE(終値!M26:AF26),""))</f>
        <v>0.10155488288242988</v>
      </c>
      <c r="K26" s="503">
        <f>IF(終値!A26="","",IFERROR(4*STDEVP(終値!N26:AG26)/AVERAGE(終値!N26:AG26),""))</f>
        <v>9.7927424446477826E-2</v>
      </c>
      <c r="L26" s="503">
        <f>IF(終値!A26="","",IFERROR(4*STDEVP(終値!O26:AH26)/AVERAGE(終値!O26:AH26),""))</f>
        <v>9.7428776659771385E-2</v>
      </c>
      <c r="M26" s="503">
        <f>IF(終値!A26="","",IFERROR(4*STDEVP(終値!P26:AI26)/AVERAGE(終値!P26:AI26),""))</f>
        <v>8.9760899400256194E-2</v>
      </c>
      <c r="N26" s="503">
        <f>IF(終値!A26="","",IFERROR(4*STDEVP(終値!Q26:AJ26)/AVERAGE(終値!Q26:AJ26),""))</f>
        <v>8.5444873496691512E-2</v>
      </c>
      <c r="O26" s="503">
        <f>IF(終値!A26="","",IFERROR(4*STDEVP(終値!R26:AK26)/AVERAGE(終値!R26:AK26),""))</f>
        <v>8.1952996606685105E-2</v>
      </c>
      <c r="P26" s="503">
        <f>IF(終値!A26="","",IFERROR(4*STDEVP(終値!S26:AL26)/AVERAGE(終値!S26:AL26),""))</f>
        <v>8.1935226292553329E-2</v>
      </c>
      <c r="Q26" s="503">
        <f>IF(終値!A26="","",IFERROR(4*STDEVP(終値!T26:AM26)/AVERAGE(終値!T26:AM26),""))</f>
        <v>7.3208467974357955E-2</v>
      </c>
      <c r="R26" s="503">
        <f>IF(終値!A26="","",IFERROR(4*STDEVP(終値!U26:AN26)/AVERAGE(終値!U26:AN26),""))</f>
        <v>7.1660244716487409E-2</v>
      </c>
      <c r="S26" s="503">
        <f>IF(終値!A26="","",IFERROR(4*STDEVP(終値!V26:AO26)/AVERAGE(終値!V26:AO26),""))</f>
        <v>7.3709163847197515E-2</v>
      </c>
      <c r="T26" s="503">
        <f>IF(終値!A26="","",IFERROR(4*STDEVP(終値!W26:AP26)/AVERAGE(終値!W26:AP26),""))</f>
        <v>7.5616140511142863E-2</v>
      </c>
      <c r="U26" s="503">
        <f>IF(終値!A26="","",IFERROR(4*STDEVP(終値!X26:AQ26)/AVERAGE(終値!X26:AQ26),""))</f>
        <v>7.881193530820399E-2</v>
      </c>
      <c r="V26" s="503">
        <f>IF(終値!A26="","",IFERROR(4*STDEVP(終値!Y26:AR26)/AVERAGE(終値!Y26:AR26),""))</f>
        <v>7.8420648285617109E-2</v>
      </c>
      <c r="W26" s="503">
        <f>IF(終値!A26="","",IFERROR(4*STDEVP(終値!Z26:AS26)/AVERAGE(終値!Z26:AS26),""))</f>
        <v>7.7764303540466151E-2</v>
      </c>
      <c r="X26" s="503">
        <f>IF(終値!A26="","",IFERROR(4*STDEVP(終値!AA26:AT26)/AVERAGE(終値!AA26:AT26),""))</f>
        <v>7.6757043506244779E-2</v>
      </c>
      <c r="Y26" s="503">
        <f>IF(終値!A26="","",IFERROR(4*STDEVP(終値!AB26:AU26)/AVERAGE(終値!AB26:AU26),""))</f>
        <v>7.5378399501470753E-2</v>
      </c>
      <c r="Z26" s="503">
        <f>IF(終値!A26="","",IFERROR(4*STDEVP(終値!AC26:AV26)/AVERAGE(終値!AC26:AV26),""))</f>
        <v>7.5755537559362027E-2</v>
      </c>
      <c r="AA26" s="503">
        <f>IF(終値!A26="","",IFERROR(4*STDEVP(終値!AD26:AW26)/AVERAGE(終値!AD26:AW26),""))</f>
        <v>7.5653291280991936E-2</v>
      </c>
      <c r="AB26" s="503">
        <f>IF(終値!A26="","",IFERROR(4*STDEVP(終値!AE26:AX26)/AVERAGE(終値!AE26:AX26),""))</f>
        <v>7.4759059903484415E-2</v>
      </c>
      <c r="AC26" s="503">
        <f>IF(終値!A26="","",IFERROR(4*STDEVP(終値!AF26:AY26)/AVERAGE(終値!AF26:AY26),""))</f>
        <v>7.5147505404509027E-2</v>
      </c>
      <c r="AD26" s="503">
        <f>IF(終値!A26="","",IFERROR(4*STDEVP(終値!AG26:AZ26)/AVERAGE(終値!AG26:AZ26),""))</f>
        <v>7.4778203809121271E-2</v>
      </c>
      <c r="AE26" s="503">
        <f>IF(終値!A26="","",IFERROR(4*STDEVP(終値!AH26:BA26)/AVERAGE(終値!AH26:BA26),""))</f>
        <v>7.4528223467750163E-2</v>
      </c>
      <c r="AF26" s="503">
        <f>IF(終値!A26="","",IFERROR(4*STDEVP(終値!AI26:BB26)/AVERAGE(終値!AI26:BB26),""))</f>
        <v>7.4399661954711108E-2</v>
      </c>
      <c r="AG26" s="503">
        <f>IF(終値!A26="","",IFERROR(4*STDEVP(終値!AJ26:BC26)/AVERAGE(終値!AJ26:BC26),""))</f>
        <v>7.3087551782968815E-2</v>
      </c>
      <c r="AH26" s="503">
        <f>IF(終値!A26="","",IFERROR(4*STDEVP(終値!AK26:BD26)/AVERAGE(終値!AK26:BD26),""))</f>
        <v>6.7365572591759043E-2</v>
      </c>
      <c r="AI26" s="503">
        <f>IF(終値!A26="","",IFERROR(4*STDEVP(終値!AL26:BE26)/AVERAGE(終値!AL26:BE26),""))</f>
        <v>7.7198546307470195E-2</v>
      </c>
      <c r="AJ26" s="503">
        <f>IF(終値!A26="","",IFERROR(4*STDEVP(終値!AM26:BF26)/AVERAGE(終値!AM26:BF26),""))</f>
        <v>8.6961586996479767E-2</v>
      </c>
      <c r="AK26" s="503">
        <f>IF(終値!A26="","",IFERROR(4*STDEVP(終値!AN26:BG26)/AVERAGE(終値!AN26:BG26),""))</f>
        <v>9.8726019243088395E-2</v>
      </c>
      <c r="AL26" s="503">
        <f>IF(終値!A26="","",IFERROR(4*STDEVP(終値!AO26:BH26)/AVERAGE(終値!AO26:BH26),""))</f>
        <v>0.10660441089739692</v>
      </c>
      <c r="AM26" s="503">
        <f>IF(終値!A26="","",IFERROR(4*STDEVP(終値!AP26:BI26)/AVERAGE(終値!AP26:BI26),""))</f>
        <v>0.10686610020157182</v>
      </c>
      <c r="AN26" s="503">
        <f>IF(終値!A26="","",IFERROR(4*STDEVP(終値!AQ26:BJ26)/AVERAGE(終値!AQ26:BJ26),""))</f>
        <v>0.10808119315022864</v>
      </c>
      <c r="AO26" s="503">
        <f>IF(終値!A26="","",IFERROR(4*STDEVP(終値!AR26:BK26)/AVERAGE(終値!AR26:BK26),""))</f>
        <v>0.1365231784522512</v>
      </c>
      <c r="AP26" s="503">
        <f>IF(終値!A26="","",IFERROR(4*STDEVP(終値!AS26:BL26)/AVERAGE(終値!AS26:BL26),""))</f>
        <v>0.17726133833475022</v>
      </c>
    </row>
    <row r="27" spans="1:42">
      <c r="A27" s="500" t="str">
        <f>IF(終値!A27="","",終値!A27)</f>
        <v>3401</v>
      </c>
      <c r="B27" s="503">
        <f>IF(終値!A27="","",IFERROR(4*STDEVP(終値!E27:X27)/AVERAGE(終値!E27:X27),""))</f>
        <v>7.6501697278599359E-2</v>
      </c>
      <c r="C27" s="503">
        <f>IF(終値!A27="","",IFERROR(4*STDEVP(終値!F27:Y27)/AVERAGE(終値!F27:Y27),""))</f>
        <v>8.0994266427759018E-2</v>
      </c>
      <c r="D27" s="503">
        <f>IF(終値!A27="","",IFERROR(4*STDEVP(終値!G27:Z27)/AVERAGE(終値!G27:Z27),""))</f>
        <v>8.1362676231686304E-2</v>
      </c>
      <c r="E27" s="503">
        <f>IF(終値!A27="","",IFERROR(4*STDEVP(終値!H27:AA27)/AVERAGE(終値!H27:AA27),""))</f>
        <v>7.8044800682799467E-2</v>
      </c>
      <c r="F27" s="503">
        <f>IF(終値!A27="","",IFERROR(4*STDEVP(終値!I27:AB27)/AVERAGE(終値!I27:AB27),""))</f>
        <v>7.2951532950354739E-2</v>
      </c>
      <c r="G27" s="503">
        <f>IF(終値!A27="","",IFERROR(4*STDEVP(終値!J27:AC27)/AVERAGE(終値!J27:AC27),""))</f>
        <v>7.6378647788279921E-2</v>
      </c>
      <c r="H27" s="503">
        <f>IF(終値!A27="","",IFERROR(4*STDEVP(終値!K27:AD27)/AVERAGE(終値!K27:AD27),""))</f>
        <v>8.1529763877692077E-2</v>
      </c>
      <c r="I27" s="503">
        <f>IF(終値!A27="","",IFERROR(4*STDEVP(終値!L27:AE27)/AVERAGE(終値!L27:AE27),""))</f>
        <v>8.7902479760464239E-2</v>
      </c>
      <c r="J27" s="503">
        <f>IF(終値!A27="","",IFERROR(4*STDEVP(終値!M27:AF27)/AVERAGE(終値!M27:AF27),""))</f>
        <v>9.1484115536955873E-2</v>
      </c>
      <c r="K27" s="503">
        <f>IF(終値!A27="","",IFERROR(4*STDEVP(終値!N27:AG27)/AVERAGE(終値!N27:AG27),""))</f>
        <v>9.2106423574995808E-2</v>
      </c>
      <c r="L27" s="503">
        <f>IF(終値!A27="","",IFERROR(4*STDEVP(終値!O27:AH27)/AVERAGE(終値!O27:AH27),""))</f>
        <v>0.10242102675850571</v>
      </c>
      <c r="M27" s="503">
        <f>IF(終値!A27="","",IFERROR(4*STDEVP(終値!P27:AI27)/AVERAGE(終値!P27:AI27),""))</f>
        <v>0.10980300897667351</v>
      </c>
      <c r="N27" s="503">
        <f>IF(終値!A27="","",IFERROR(4*STDEVP(終値!Q27:AJ27)/AVERAGE(終値!Q27:AJ27),""))</f>
        <v>0.11193428404160116</v>
      </c>
      <c r="O27" s="503">
        <f>IF(終値!A27="","",IFERROR(4*STDEVP(終値!R27:AK27)/AVERAGE(終値!R27:AK27),""))</f>
        <v>0.11518773291481989</v>
      </c>
      <c r="P27" s="503">
        <f>IF(終値!A27="","",IFERROR(4*STDEVP(終値!S27:AL27)/AVERAGE(終値!S27:AL27),""))</f>
        <v>0.11421332335612959</v>
      </c>
      <c r="Q27" s="503">
        <f>IF(終値!A27="","",IFERROR(4*STDEVP(終値!T27:AM27)/AVERAGE(終値!T27:AM27),""))</f>
        <v>0.10866420832852419</v>
      </c>
      <c r="R27" s="503">
        <f>IF(終値!A27="","",IFERROR(4*STDEVP(終値!U27:AN27)/AVERAGE(終値!U27:AN27),""))</f>
        <v>0.10768661177256084</v>
      </c>
      <c r="S27" s="503">
        <f>IF(終値!A27="","",IFERROR(4*STDEVP(終値!V27:AO27)/AVERAGE(終値!V27:AO27),""))</f>
        <v>0.10768332018587598</v>
      </c>
      <c r="T27" s="503">
        <f>IF(終値!A27="","",IFERROR(4*STDEVP(終値!W27:AP27)/AVERAGE(終値!W27:AP27),""))</f>
        <v>0.10776327512151991</v>
      </c>
      <c r="U27" s="503">
        <f>IF(終値!A27="","",IFERROR(4*STDEVP(終値!X27:AQ27)/AVERAGE(終値!X27:AQ27),""))</f>
        <v>0.10872613472663281</v>
      </c>
      <c r="V27" s="503">
        <f>IF(終値!A27="","",IFERROR(4*STDEVP(終値!Y27:AR27)/AVERAGE(終値!Y27:AR27),""))</f>
        <v>0.10201976974757862</v>
      </c>
      <c r="W27" s="503">
        <f>IF(終値!A27="","",IFERROR(4*STDEVP(終値!Z27:AS27)/AVERAGE(終値!Z27:AS27),""))</f>
        <v>9.1079452886810283E-2</v>
      </c>
      <c r="X27" s="503">
        <f>IF(終値!A27="","",IFERROR(4*STDEVP(終値!AA27:AT27)/AVERAGE(終値!AA27:AT27),""))</f>
        <v>6.8657427262727028E-2</v>
      </c>
      <c r="Y27" s="503">
        <f>IF(終値!A27="","",IFERROR(4*STDEVP(終値!AB27:AU27)/AVERAGE(終値!AB27:AU27),""))</f>
        <v>4.6602284846040724E-2</v>
      </c>
      <c r="Z27" s="503">
        <f>IF(終値!A27="","",IFERROR(4*STDEVP(終値!AC27:AV27)/AVERAGE(終値!AC27:AV27),""))</f>
        <v>4.6866960145979686E-2</v>
      </c>
      <c r="AA27" s="503">
        <f>IF(終値!A27="","",IFERROR(4*STDEVP(終値!AD27:AW27)/AVERAGE(終値!AD27:AW27),""))</f>
        <v>4.7339441616826294E-2</v>
      </c>
      <c r="AB27" s="503">
        <f>IF(終値!A27="","",IFERROR(4*STDEVP(終値!AE27:AX27)/AVERAGE(終値!AE27:AX27),""))</f>
        <v>4.9592479563761255E-2</v>
      </c>
      <c r="AC27" s="503">
        <f>IF(終値!A27="","",IFERROR(4*STDEVP(終値!AF27:AY27)/AVERAGE(終値!AF27:AY27),""))</f>
        <v>5.0534580337730228E-2</v>
      </c>
      <c r="AD27" s="503">
        <f>IF(終値!A27="","",IFERROR(4*STDEVP(終値!AG27:AZ27)/AVERAGE(終値!AG27:AZ27),""))</f>
        <v>5.0940962726791092E-2</v>
      </c>
      <c r="AE27" s="503">
        <f>IF(終値!A27="","",IFERROR(4*STDEVP(終値!AH27:BA27)/AVERAGE(終値!AH27:BA27),""))</f>
        <v>5.0892976050845626E-2</v>
      </c>
      <c r="AF27" s="503">
        <f>IF(終値!A27="","",IFERROR(4*STDEVP(終値!AI27:BB27)/AVERAGE(終値!AI27:BB27),""))</f>
        <v>5.5566157418085502E-2</v>
      </c>
      <c r="AG27" s="503">
        <f>IF(終値!A27="","",IFERROR(4*STDEVP(終値!AJ27:BC27)/AVERAGE(終値!AJ27:BC27),""))</f>
        <v>5.3618048993289841E-2</v>
      </c>
      <c r="AH27" s="503">
        <f>IF(終値!A27="","",IFERROR(4*STDEVP(終値!AK27:BD27)/AVERAGE(終値!AK27:BD27),""))</f>
        <v>5.4283350088683284E-2</v>
      </c>
      <c r="AI27" s="503">
        <f>IF(終値!A27="","",IFERROR(4*STDEVP(終値!AL27:BE27)/AVERAGE(終値!AL27:BE27),""))</f>
        <v>5.3282585793997077E-2</v>
      </c>
      <c r="AJ27" s="503">
        <f>IF(終値!A27="","",IFERROR(4*STDEVP(終値!AM27:BF27)/AVERAGE(終値!AM27:BF27),""))</f>
        <v>5.14145707114343E-2</v>
      </c>
      <c r="AK27" s="503">
        <f>IF(終値!A27="","",IFERROR(4*STDEVP(終値!AN27:BG27)/AVERAGE(終値!AN27:BG27),""))</f>
        <v>5.902769174467247E-2</v>
      </c>
      <c r="AL27" s="503">
        <f>IF(終値!A27="","",IFERROR(4*STDEVP(終値!AO27:BH27)/AVERAGE(終値!AO27:BH27),""))</f>
        <v>7.6858948900027271E-2</v>
      </c>
      <c r="AM27" s="503">
        <f>IF(終値!A27="","",IFERROR(4*STDEVP(終値!AP27:BI27)/AVERAGE(終値!AP27:BI27),""))</f>
        <v>9.5633947255238785E-2</v>
      </c>
      <c r="AN27" s="503">
        <f>IF(終値!A27="","",IFERROR(4*STDEVP(終値!AQ27:BJ27)/AVERAGE(終値!AQ27:BJ27),""))</f>
        <v>0.10444337983844541</v>
      </c>
      <c r="AO27" s="503">
        <f>IF(終値!A27="","",IFERROR(4*STDEVP(終値!AR27:BK27)/AVERAGE(終値!AR27:BK27),""))</f>
        <v>0.10946920175683784</v>
      </c>
      <c r="AP27" s="503">
        <f>IF(終値!A27="","",IFERROR(4*STDEVP(終値!AS27:BL27)/AVERAGE(終値!AS27:BL27),""))</f>
        <v>0.11513291738463882</v>
      </c>
    </row>
    <row r="28" spans="1:42">
      <c r="A28" s="500" t="str">
        <f>IF(終値!A28="","",終値!A28)</f>
        <v>3436</v>
      </c>
      <c r="B28" s="503">
        <f>IF(終値!A28="","",IFERROR(4*STDEVP(終値!E28:X28)/AVERAGE(終値!E28:X28),""))</f>
        <v>0.66924784586404196</v>
      </c>
      <c r="C28" s="503">
        <f>IF(終値!A28="","",IFERROR(4*STDEVP(終値!F28:Y28)/AVERAGE(終値!F28:Y28),""))</f>
        <v>0.54074413943505184</v>
      </c>
      <c r="D28" s="503">
        <f>IF(終値!A28="","",IFERROR(4*STDEVP(終値!G28:Z28)/AVERAGE(終値!G28:Z28),""))</f>
        <v>0.39618771399388863</v>
      </c>
      <c r="E28" s="503">
        <f>IF(終値!A28="","",IFERROR(4*STDEVP(終値!H28:AA28)/AVERAGE(終値!H28:AA28),""))</f>
        <v>0.39618268055961964</v>
      </c>
      <c r="F28" s="503">
        <f>IF(終値!A28="","",IFERROR(4*STDEVP(終値!I28:AB28)/AVERAGE(終値!I28:AB28),""))</f>
        <v>0.39635300066227547</v>
      </c>
      <c r="G28" s="503">
        <f>IF(終値!A28="","",IFERROR(4*STDEVP(終値!J28:AC28)/AVERAGE(終値!J28:AC28),""))</f>
        <v>0.39688337664333895</v>
      </c>
      <c r="H28" s="503">
        <f>IF(終値!A28="","",IFERROR(4*STDEVP(終値!K28:AD28)/AVERAGE(終値!K28:AD28),""))</f>
        <v>0.39783635616841939</v>
      </c>
      <c r="I28" s="503">
        <f>IF(終値!A28="","",IFERROR(4*STDEVP(終値!L28:AE28)/AVERAGE(終値!L28:AE28),""))</f>
        <v>0.39810201042368271</v>
      </c>
      <c r="J28" s="503">
        <f>IF(終値!A28="","",IFERROR(4*STDEVP(終値!M28:AF28)/AVERAGE(終値!M28:AF28),""))</f>
        <v>0.39871660264828857</v>
      </c>
      <c r="K28" s="503">
        <f>IF(終値!A28="","",IFERROR(4*STDEVP(終値!N28:AG28)/AVERAGE(終値!N28:AG28),""))</f>
        <v>0.39546063943136922</v>
      </c>
      <c r="L28" s="503">
        <f>IF(終値!A28="","",IFERROR(4*STDEVP(終値!O28:AH28)/AVERAGE(終値!O28:AH28),""))</f>
        <v>9.7428776659771385E-2</v>
      </c>
      <c r="M28" s="503">
        <f>IF(終値!A28="","",IFERROR(4*STDEVP(終値!P28:AI28)/AVERAGE(終値!P28:AI28),""))</f>
        <v>8.9760899400256194E-2</v>
      </c>
      <c r="N28" s="503">
        <f>IF(終値!A28="","",IFERROR(4*STDEVP(終値!Q28:AJ28)/AVERAGE(終値!Q28:AJ28),""))</f>
        <v>8.5444873496691512E-2</v>
      </c>
      <c r="O28" s="503">
        <f>IF(終値!A28="","",IFERROR(4*STDEVP(終値!R28:AK28)/AVERAGE(終値!R28:AK28),""))</f>
        <v>8.1952996606685105E-2</v>
      </c>
      <c r="P28" s="503">
        <f>IF(終値!A28="","",IFERROR(4*STDEVP(終値!S28:AL28)/AVERAGE(終値!S28:AL28),""))</f>
        <v>8.1935226292553329E-2</v>
      </c>
      <c r="Q28" s="503">
        <f>IF(終値!A28="","",IFERROR(4*STDEVP(終値!T28:AM28)/AVERAGE(終値!T28:AM28),""))</f>
        <v>7.3208467974357955E-2</v>
      </c>
      <c r="R28" s="503">
        <f>IF(終値!A28="","",IFERROR(4*STDEVP(終値!U28:AN28)/AVERAGE(終値!U28:AN28),""))</f>
        <v>7.1660244716487409E-2</v>
      </c>
      <c r="S28" s="503">
        <f>IF(終値!A28="","",IFERROR(4*STDEVP(終値!V28:AO28)/AVERAGE(終値!V28:AO28),""))</f>
        <v>7.3709163847197515E-2</v>
      </c>
      <c r="T28" s="503">
        <f>IF(終値!A28="","",IFERROR(4*STDEVP(終値!W28:AP28)/AVERAGE(終値!W28:AP28),""))</f>
        <v>7.5616140511142863E-2</v>
      </c>
      <c r="U28" s="503">
        <f>IF(終値!A28="","",IFERROR(4*STDEVP(終値!X28:AQ28)/AVERAGE(終値!X28:AQ28),""))</f>
        <v>7.881193530820399E-2</v>
      </c>
      <c r="V28" s="503">
        <f>IF(終値!A28="","",IFERROR(4*STDEVP(終値!Y28:AR28)/AVERAGE(終値!Y28:AR28),""))</f>
        <v>7.8420648285617109E-2</v>
      </c>
      <c r="W28" s="503">
        <f>IF(終値!A28="","",IFERROR(4*STDEVP(終値!Z28:AS28)/AVERAGE(終値!Z28:AS28),""))</f>
        <v>7.7764303540466151E-2</v>
      </c>
      <c r="X28" s="503">
        <f>IF(終値!A28="","",IFERROR(4*STDEVP(終値!AA28:AT28)/AVERAGE(終値!AA28:AT28),""))</f>
        <v>7.6757043506244779E-2</v>
      </c>
      <c r="Y28" s="503">
        <f>IF(終値!A28="","",IFERROR(4*STDEVP(終値!AB28:AU28)/AVERAGE(終値!AB28:AU28),""))</f>
        <v>7.5378399501470753E-2</v>
      </c>
      <c r="Z28" s="503">
        <f>IF(終値!A28="","",IFERROR(4*STDEVP(終値!AC28:AV28)/AVERAGE(終値!AC28:AV28),""))</f>
        <v>7.5755537559362027E-2</v>
      </c>
      <c r="AA28" s="503">
        <f>IF(終値!A28="","",IFERROR(4*STDEVP(終値!AD28:AW28)/AVERAGE(終値!AD28:AW28),""))</f>
        <v>7.5653291280991936E-2</v>
      </c>
      <c r="AB28" s="503">
        <f>IF(終値!A28="","",IFERROR(4*STDEVP(終値!AE28:AX28)/AVERAGE(終値!AE28:AX28),""))</f>
        <v>7.4759059903484415E-2</v>
      </c>
      <c r="AC28" s="503">
        <f>IF(終値!A28="","",IFERROR(4*STDEVP(終値!AF28:AY28)/AVERAGE(終値!AF28:AY28),""))</f>
        <v>7.5147505404509027E-2</v>
      </c>
      <c r="AD28" s="503">
        <f>IF(終値!A28="","",IFERROR(4*STDEVP(終値!AG28:AZ28)/AVERAGE(終値!AG28:AZ28),""))</f>
        <v>7.4778203809121271E-2</v>
      </c>
      <c r="AE28" s="503">
        <f>IF(終値!A28="","",IFERROR(4*STDEVP(終値!AH28:BA28)/AVERAGE(終値!AH28:BA28),""))</f>
        <v>7.4528223467750163E-2</v>
      </c>
      <c r="AF28" s="503">
        <f>IF(終値!A28="","",IFERROR(4*STDEVP(終値!AI28:BB28)/AVERAGE(終値!AI28:BB28),""))</f>
        <v>7.4399661954711108E-2</v>
      </c>
      <c r="AG28" s="503">
        <f>IF(終値!A28="","",IFERROR(4*STDEVP(終値!AJ28:BC28)/AVERAGE(終値!AJ28:BC28),""))</f>
        <v>7.3087551782968815E-2</v>
      </c>
      <c r="AH28" s="503">
        <f>IF(終値!A28="","",IFERROR(4*STDEVP(終値!AK28:BD28)/AVERAGE(終値!AK28:BD28),""))</f>
        <v>6.7365572591759043E-2</v>
      </c>
      <c r="AI28" s="503">
        <f>IF(終値!A28="","",IFERROR(4*STDEVP(終値!AL28:BE28)/AVERAGE(終値!AL28:BE28),""))</f>
        <v>7.7198546307470195E-2</v>
      </c>
      <c r="AJ28" s="503">
        <f>IF(終値!A28="","",IFERROR(4*STDEVP(終値!AM28:BF28)/AVERAGE(終値!AM28:BF28),""))</f>
        <v>8.6961586996479767E-2</v>
      </c>
      <c r="AK28" s="503">
        <f>IF(終値!A28="","",IFERROR(4*STDEVP(終値!AN28:BG28)/AVERAGE(終値!AN28:BG28),""))</f>
        <v>9.8726019243088395E-2</v>
      </c>
      <c r="AL28" s="503">
        <f>IF(終値!A28="","",IFERROR(4*STDEVP(終値!AO28:BH28)/AVERAGE(終値!AO28:BH28),""))</f>
        <v>0.10660441089739692</v>
      </c>
      <c r="AM28" s="503">
        <f>IF(終値!A28="","",IFERROR(4*STDEVP(終値!AP28:BI28)/AVERAGE(終値!AP28:BI28),""))</f>
        <v>0.10686610020157182</v>
      </c>
      <c r="AN28" s="503">
        <f>IF(終値!A28="","",IFERROR(4*STDEVP(終値!AQ28:BJ28)/AVERAGE(終値!AQ28:BJ28),""))</f>
        <v>0.10808119315022864</v>
      </c>
      <c r="AO28" s="503">
        <f>IF(終値!A28="","",IFERROR(4*STDEVP(終値!AR28:BK28)/AVERAGE(終値!AR28:BK28),""))</f>
        <v>0.1365231784522512</v>
      </c>
      <c r="AP28" s="503">
        <f>IF(終値!A28="","",IFERROR(4*STDEVP(終値!AS28:BL28)/AVERAGE(終値!AS28:BL28),""))</f>
        <v>0.17726133833475022</v>
      </c>
    </row>
    <row r="29" spans="1:42">
      <c r="A29" s="500" t="str">
        <f>IF(終値!A29="","",終値!A29)</f>
        <v>5020</v>
      </c>
      <c r="B29" s="503">
        <f>IF(終値!A29="","",IFERROR(4*STDEVP(終値!E29:X29)/AVERAGE(終値!E29:X29),""))</f>
        <v>8.8865048068523925E-2</v>
      </c>
      <c r="C29" s="503">
        <f>IF(終値!A29="","",IFERROR(4*STDEVP(終値!F29:Y29)/AVERAGE(終値!F29:Y29),""))</f>
        <v>9.2920671852992687E-2</v>
      </c>
      <c r="D29" s="503">
        <f>IF(終値!A29="","",IFERROR(4*STDEVP(終値!G29:Z29)/AVERAGE(終値!G29:Z29),""))</f>
        <v>9.4790014761093208E-2</v>
      </c>
      <c r="E29" s="503">
        <f>IF(終値!A29="","",IFERROR(4*STDEVP(終値!H29:AA29)/AVERAGE(終値!H29:AA29),""))</f>
        <v>0.10479603833545316</v>
      </c>
      <c r="F29" s="503">
        <f>IF(終値!A29="","",IFERROR(4*STDEVP(終値!I29:AB29)/AVERAGE(終値!I29:AB29),""))</f>
        <v>0.11322899855294165</v>
      </c>
      <c r="G29" s="503">
        <f>IF(終値!A29="","",IFERROR(4*STDEVP(終値!J29:AC29)/AVERAGE(終値!J29:AC29),""))</f>
        <v>0.11879431591589165</v>
      </c>
      <c r="H29" s="503">
        <f>IF(終値!A29="","",IFERROR(4*STDEVP(終値!K29:AD29)/AVERAGE(終値!K29:AD29),""))</f>
        <v>0.12790246167476463</v>
      </c>
      <c r="I29" s="503">
        <f>IF(終値!A29="","",IFERROR(4*STDEVP(終値!L29:AE29)/AVERAGE(終値!L29:AE29),""))</f>
        <v>0.13262202440877505</v>
      </c>
      <c r="J29" s="503">
        <f>IF(終値!A29="","",IFERROR(4*STDEVP(終値!M29:AF29)/AVERAGE(終値!M29:AF29),""))</f>
        <v>0.13458657138054422</v>
      </c>
      <c r="K29" s="503">
        <f>IF(終値!A29="","",IFERROR(4*STDEVP(終値!N29:AG29)/AVERAGE(終値!N29:AG29),""))</f>
        <v>0.13411218039923534</v>
      </c>
      <c r="L29" s="503">
        <f>IF(終値!A29="","",IFERROR(4*STDEVP(終値!O29:AH29)/AVERAGE(終値!O29:AH29),""))</f>
        <v>0.12818595106803779</v>
      </c>
      <c r="M29" s="503">
        <f>IF(終値!A29="","",IFERROR(4*STDEVP(終値!P29:AI29)/AVERAGE(終値!P29:AI29),""))</f>
        <v>0.1096535776330239</v>
      </c>
      <c r="N29" s="503">
        <f>IF(終値!A29="","",IFERROR(4*STDEVP(終値!Q29:AJ29)/AVERAGE(終値!Q29:AJ29),""))</f>
        <v>9.3707458507740954E-2</v>
      </c>
      <c r="O29" s="503">
        <f>IF(終値!A29="","",IFERROR(4*STDEVP(終値!R29:AK29)/AVERAGE(終値!R29:AK29),""))</f>
        <v>8.4094281048625139E-2</v>
      </c>
      <c r="P29" s="503">
        <f>IF(終値!A29="","",IFERROR(4*STDEVP(終値!S29:AL29)/AVERAGE(終値!S29:AL29),""))</f>
        <v>8.4207756359657909E-2</v>
      </c>
      <c r="Q29" s="503">
        <f>IF(終値!A29="","",IFERROR(4*STDEVP(終値!T29:AM29)/AVERAGE(終値!T29:AM29),""))</f>
        <v>7.7061348499961976E-2</v>
      </c>
      <c r="R29" s="503">
        <f>IF(終値!A29="","",IFERROR(4*STDEVP(終値!U29:AN29)/AVERAGE(終値!U29:AN29),""))</f>
        <v>7.3843548174613402E-2</v>
      </c>
      <c r="S29" s="503">
        <f>IF(終値!A29="","",IFERROR(4*STDEVP(終値!V29:AO29)/AVERAGE(終値!V29:AO29),""))</f>
        <v>7.2746236614129864E-2</v>
      </c>
      <c r="T29" s="503">
        <f>IF(終値!A29="","",IFERROR(4*STDEVP(終値!W29:AP29)/AVERAGE(終値!W29:AP29),""))</f>
        <v>7.1284684972737114E-2</v>
      </c>
      <c r="U29" s="503">
        <f>IF(終値!A29="","",IFERROR(4*STDEVP(終値!X29:AQ29)/AVERAGE(終値!X29:AQ29),""))</f>
        <v>6.904819562983415E-2</v>
      </c>
      <c r="V29" s="503">
        <f>IF(終値!A29="","",IFERROR(4*STDEVP(終値!Y29:AR29)/AVERAGE(終値!Y29:AR29),""))</f>
        <v>6.9762096121592579E-2</v>
      </c>
      <c r="W29" s="503">
        <f>IF(終値!A29="","",IFERROR(4*STDEVP(終値!Z29:AS29)/AVERAGE(終値!Z29:AS29),""))</f>
        <v>7.0006135783759124E-2</v>
      </c>
      <c r="X29" s="503">
        <f>IF(終値!A29="","",IFERROR(4*STDEVP(終値!AA29:AT29)/AVERAGE(終値!AA29:AT29),""))</f>
        <v>7.5003508392347429E-2</v>
      </c>
      <c r="Y29" s="503">
        <f>IF(終値!A29="","",IFERROR(4*STDEVP(終値!AB29:AU29)/AVERAGE(終値!AB29:AU29),""))</f>
        <v>8.52415936476041E-2</v>
      </c>
      <c r="Z29" s="503">
        <f>IF(終値!A29="","",IFERROR(4*STDEVP(終値!AC29:AV29)/AVERAGE(終値!AC29:AV29),""))</f>
        <v>0.10781295147472092</v>
      </c>
      <c r="AA29" s="503">
        <f>IF(終値!A29="","",IFERROR(4*STDEVP(終値!AD29:AW29)/AVERAGE(終値!AD29:AW29),""))</f>
        <v>0.11013877462753617</v>
      </c>
      <c r="AB29" s="503">
        <f>IF(終値!A29="","",IFERROR(4*STDEVP(終値!AE29:AX29)/AVERAGE(終値!AE29:AX29),""))</f>
        <v>0.11338493019048623</v>
      </c>
      <c r="AC29" s="503">
        <f>IF(終値!A29="","",IFERROR(4*STDEVP(終値!AF29:AY29)/AVERAGE(終値!AF29:AY29),""))</f>
        <v>0.11169534655447215</v>
      </c>
      <c r="AD29" s="503">
        <f>IF(終値!A29="","",IFERROR(4*STDEVP(終値!AG29:AZ29)/AVERAGE(終値!AG29:AZ29),""))</f>
        <v>0.11211523004843602</v>
      </c>
      <c r="AE29" s="503">
        <f>IF(終値!A29="","",IFERROR(4*STDEVP(終値!AH29:BA29)/AVERAGE(終値!AH29:BA29),""))</f>
        <v>0.10366286149439218</v>
      </c>
      <c r="AF29" s="503">
        <f>IF(終値!A29="","",IFERROR(4*STDEVP(終値!AI29:BB29)/AVERAGE(終値!AI29:BB29),""))</f>
        <v>9.9181046304766068E-2</v>
      </c>
      <c r="AG29" s="503">
        <f>IF(終値!A29="","",IFERROR(4*STDEVP(終値!AJ29:BC29)/AVERAGE(終値!AJ29:BC29),""))</f>
        <v>0.10170750123125243</v>
      </c>
      <c r="AH29" s="503">
        <f>IF(終値!A29="","",IFERROR(4*STDEVP(終値!AK29:BD29)/AVERAGE(終値!AK29:BD29),""))</f>
        <v>0.10530489635490707</v>
      </c>
      <c r="AI29" s="503">
        <f>IF(終値!A29="","",IFERROR(4*STDEVP(終値!AL29:BE29)/AVERAGE(終値!AL29:BE29),""))</f>
        <v>0.12098946899921434</v>
      </c>
      <c r="AJ29" s="503">
        <f>IF(終値!A29="","",IFERROR(4*STDEVP(終値!AM29:BF29)/AVERAGE(終値!AM29:BF29),""))</f>
        <v>0.12712092986130943</v>
      </c>
      <c r="AK29" s="503">
        <f>IF(終値!A29="","",IFERROR(4*STDEVP(終値!AN29:BG29)/AVERAGE(終値!AN29:BG29),""))</f>
        <v>0.14160226978088869</v>
      </c>
      <c r="AL29" s="503">
        <f>IF(終値!A29="","",IFERROR(4*STDEVP(終値!AO29:BH29)/AVERAGE(終値!AO29:BH29),""))</f>
        <v>0.13785779574440082</v>
      </c>
      <c r="AM29" s="503">
        <f>IF(終値!A29="","",IFERROR(4*STDEVP(終値!AP29:BI29)/AVERAGE(終値!AP29:BI29),""))</f>
        <v>0.1383646401165167</v>
      </c>
      <c r="AN29" s="503">
        <f>IF(終値!A29="","",IFERROR(4*STDEVP(終値!AQ29:BJ29)/AVERAGE(終値!AQ29:BJ29),""))</f>
        <v>0.1382978458333449</v>
      </c>
      <c r="AO29" s="503">
        <f>IF(終値!A29="","",IFERROR(4*STDEVP(終値!AR29:BK29)/AVERAGE(終値!AR29:BK29),""))</f>
        <v>0.12511516008299436</v>
      </c>
      <c r="AP29" s="503">
        <f>IF(終値!A29="","",IFERROR(4*STDEVP(終値!AS29:BL29)/AVERAGE(終値!AS29:BL29),""))</f>
        <v>0.10426506733431253</v>
      </c>
    </row>
    <row r="30" spans="1:42">
      <c r="A30" s="500" t="str">
        <f>IF(終値!A30="","",終値!A30)</f>
        <v>6254</v>
      </c>
      <c r="B30" s="503">
        <f>IF(終値!A30="","",IFERROR(4*STDEVP(終値!E30:X30)/AVERAGE(終値!E30:X30),""))</f>
        <v>0.30092908831152498</v>
      </c>
      <c r="C30" s="503">
        <f>IF(終値!A30="","",IFERROR(4*STDEVP(終値!F30:Y30)/AVERAGE(終値!F30:Y30),""))</f>
        <v>0.29999435842667332</v>
      </c>
      <c r="D30" s="503">
        <f>IF(終値!A30="","",IFERROR(4*STDEVP(終値!G30:Z30)/AVERAGE(終値!G30:Z30),""))</f>
        <v>0.3071254360152515</v>
      </c>
      <c r="E30" s="503">
        <f>IF(終値!A30="","",IFERROR(4*STDEVP(終値!H30:AA30)/AVERAGE(終値!H30:AA30),""))</f>
        <v>0.34456743010436336</v>
      </c>
      <c r="F30" s="503">
        <f>IF(終値!A30="","",IFERROR(4*STDEVP(終値!I30:AB30)/AVERAGE(終値!I30:AB30),""))</f>
        <v>0.354687330927273</v>
      </c>
      <c r="G30" s="503">
        <f>IF(終値!A30="","",IFERROR(4*STDEVP(終値!J30:AC30)/AVERAGE(終値!J30:AC30),""))</f>
        <v>0.39894425321951338</v>
      </c>
      <c r="H30" s="503">
        <f>IF(終値!A30="","",IFERROR(4*STDEVP(終値!K30:AD30)/AVERAGE(終値!K30:AD30),""))</f>
        <v>0.38172747775984217</v>
      </c>
      <c r="I30" s="503">
        <f>IF(終値!A30="","",IFERROR(4*STDEVP(終値!L30:AE30)/AVERAGE(終値!L30:AE30),""))</f>
        <v>0.34520745198420433</v>
      </c>
      <c r="J30" s="503">
        <f>IF(終値!A30="","",IFERROR(4*STDEVP(終値!M30:AF30)/AVERAGE(終値!M30:AF30),""))</f>
        <v>0.3080522538837166</v>
      </c>
      <c r="K30" s="503">
        <f>IF(終値!A30="","",IFERROR(4*STDEVP(終値!N30:AG30)/AVERAGE(終値!N30:AG30),""))</f>
        <v>0.31071359514762509</v>
      </c>
      <c r="L30" s="503">
        <f>IF(終値!A30="","",IFERROR(4*STDEVP(終値!O30:AH30)/AVERAGE(終値!O30:AH30),""))</f>
        <v>0.30126594446466076</v>
      </c>
      <c r="M30" s="503">
        <f>IF(終値!A30="","",IFERROR(4*STDEVP(終値!P30:AI30)/AVERAGE(終値!P30:AI30),""))</f>
        <v>0.30882679167647975</v>
      </c>
      <c r="N30" s="503">
        <f>IF(終値!A30="","",IFERROR(4*STDEVP(終値!Q30:AJ30)/AVERAGE(終値!Q30:AJ30),""))</f>
        <v>0.33061890766461</v>
      </c>
      <c r="O30" s="503">
        <f>IF(終値!A30="","",IFERROR(4*STDEVP(終値!R30:AK30)/AVERAGE(終値!R30:AK30),""))</f>
        <v>0.31246155004158954</v>
      </c>
      <c r="P30" s="503">
        <f>IF(終値!A30="","",IFERROR(4*STDEVP(終値!S30:AL30)/AVERAGE(終値!S30:AL30),""))</f>
        <v>0.27135339075744858</v>
      </c>
      <c r="Q30" s="503">
        <f>IF(終値!A30="","",IFERROR(4*STDEVP(終値!T30:AM30)/AVERAGE(終値!T30:AM30),""))</f>
        <v>0.26251149581509237</v>
      </c>
      <c r="R30" s="503">
        <f>IF(終値!A30="","",IFERROR(4*STDEVP(終値!U30:AN30)/AVERAGE(終値!U30:AN30),""))</f>
        <v>0.25326049659501926</v>
      </c>
      <c r="S30" s="503">
        <f>IF(終値!A30="","",IFERROR(4*STDEVP(終値!V30:AO30)/AVERAGE(終値!V30:AO30),""))</f>
        <v>0.24191699329652197</v>
      </c>
      <c r="T30" s="503">
        <f>IF(終値!A30="","",IFERROR(4*STDEVP(終値!W30:AP30)/AVERAGE(終値!W30:AP30),""))</f>
        <v>0.25585449103192726</v>
      </c>
      <c r="U30" s="503">
        <f>IF(終値!A30="","",IFERROR(4*STDEVP(終値!X30:AQ30)/AVERAGE(終値!X30:AQ30),""))</f>
        <v>0.2891737786048596</v>
      </c>
      <c r="V30" s="503">
        <f>IF(終値!A30="","",IFERROR(4*STDEVP(終値!Y30:AR30)/AVERAGE(終値!Y30:AR30),""))</f>
        <v>0.30971456245344958</v>
      </c>
      <c r="W30" s="503">
        <f>IF(終値!A30="","",IFERROR(4*STDEVP(終値!Z30:AS30)/AVERAGE(終値!Z30:AS30),""))</f>
        <v>0.33296560966267724</v>
      </c>
      <c r="X30" s="503">
        <f>IF(終値!A30="","",IFERROR(4*STDEVP(終値!AA30:AT30)/AVERAGE(終値!AA30:AT30),""))</f>
        <v>0.34549835997714562</v>
      </c>
      <c r="Y30" s="503">
        <f>IF(終値!A30="","",IFERROR(4*STDEVP(終値!AB30:AU30)/AVERAGE(終値!AB30:AU30),""))</f>
        <v>0.3472347925858611</v>
      </c>
      <c r="Z30" s="503">
        <f>IF(終値!A30="","",IFERROR(4*STDEVP(終値!AC30:AV30)/AVERAGE(終値!AC30:AV30),""))</f>
        <v>0.35251318962240091</v>
      </c>
      <c r="AA30" s="503">
        <f>IF(終値!A30="","",IFERROR(4*STDEVP(終値!AD30:AW30)/AVERAGE(終値!AD30:AW30),""))</f>
        <v>0.34345164434806913</v>
      </c>
      <c r="AB30" s="503">
        <f>IF(終値!A30="","",IFERROR(4*STDEVP(終値!AE30:AX30)/AVERAGE(終値!AE30:AX30),""))</f>
        <v>0.33934958385794978</v>
      </c>
      <c r="AC30" s="503">
        <f>IF(終値!A30="","",IFERROR(4*STDEVP(終値!AF30:AY30)/AVERAGE(終値!AF30:AY30),""))</f>
        <v>0.33285217514724891</v>
      </c>
      <c r="AD30" s="503">
        <f>IF(終値!A30="","",IFERROR(4*STDEVP(終値!AG30:AZ30)/AVERAGE(終値!AG30:AZ30),""))</f>
        <v>0.33313280166991716</v>
      </c>
      <c r="AE30" s="503">
        <f>IF(終値!A30="","",IFERROR(4*STDEVP(終値!AH30:BA30)/AVERAGE(終値!AH30:BA30),""))</f>
        <v>0.34182096931344624</v>
      </c>
      <c r="AF30" s="503">
        <f>IF(終値!A30="","",IFERROR(4*STDEVP(終値!AI30:BB30)/AVERAGE(終値!AI30:BB30),""))</f>
        <v>0.34759864545947627</v>
      </c>
      <c r="AG30" s="503">
        <f>IF(終値!A30="","",IFERROR(4*STDEVP(終値!AJ30:BC30)/AVERAGE(終値!AJ30:BC30),""))</f>
        <v>0.33912576135296346</v>
      </c>
      <c r="AH30" s="503">
        <f>IF(終値!A30="","",IFERROR(4*STDEVP(終値!AK30:BD30)/AVERAGE(終値!AK30:BD30),""))</f>
        <v>0.29661156024624813</v>
      </c>
      <c r="AI30" s="503">
        <f>IF(終値!A30="","",IFERROR(4*STDEVP(終値!AL30:BE30)/AVERAGE(終値!AL30:BE30),""))</f>
        <v>0.29351184853744289</v>
      </c>
      <c r="AJ30" s="503">
        <f>IF(終値!A30="","",IFERROR(4*STDEVP(終値!AM30:BF30)/AVERAGE(終値!AM30:BF30),""))</f>
        <v>0.28166011501708793</v>
      </c>
      <c r="AK30" s="503">
        <f>IF(終値!A30="","",IFERROR(4*STDEVP(終値!AN30:BG30)/AVERAGE(終値!AN30:BG30),""))</f>
        <v>0.28428950786812035</v>
      </c>
      <c r="AL30" s="503">
        <f>IF(終値!A30="","",IFERROR(4*STDEVP(終値!AO30:BH30)/AVERAGE(終値!AO30:BH30),""))</f>
        <v>0.28639726867912413</v>
      </c>
      <c r="AM30" s="503">
        <f>IF(終値!A30="","",IFERROR(4*STDEVP(終値!AP30:BI30)/AVERAGE(終値!AP30:BI30),""))</f>
        <v>0.28913633118816634</v>
      </c>
      <c r="AN30" s="503">
        <f>IF(終値!A30="","",IFERROR(4*STDEVP(終値!AQ30:BJ30)/AVERAGE(終値!AQ30:BJ30),""))</f>
        <v>0.28630316727423732</v>
      </c>
      <c r="AO30" s="503">
        <f>IF(終値!A30="","",IFERROR(4*STDEVP(終値!AR30:BK30)/AVERAGE(終値!AR30:BK30),""))</f>
        <v>0.26057396136501876</v>
      </c>
      <c r="AP30" s="503">
        <f>IF(終値!A30="","",IFERROR(4*STDEVP(終値!AS30:BL30)/AVERAGE(終値!AS30:BL30),""))</f>
        <v>0.23239804084211516</v>
      </c>
    </row>
    <row r="31" spans="1:42">
      <c r="A31" s="500" t="str">
        <f>IF(終値!A31="","",終値!A31)</f>
        <v>8309</v>
      </c>
      <c r="B31" s="503">
        <f>IF(終値!A31="","",IFERROR(4*STDEVP(終値!E31:X31)/AVERAGE(終値!E31:X31),""))</f>
        <v>7.4276338275222731E-2</v>
      </c>
      <c r="C31" s="503">
        <f>IF(終値!A31="","",IFERROR(4*STDEVP(終値!F31:Y31)/AVERAGE(終値!F31:Y31),""))</f>
        <v>7.5977063694255137E-2</v>
      </c>
      <c r="D31" s="503">
        <f>IF(終値!A31="","",IFERROR(4*STDEVP(終値!G31:Z31)/AVERAGE(終値!G31:Z31),""))</f>
        <v>7.7950174322976323E-2</v>
      </c>
      <c r="E31" s="503">
        <f>IF(終値!A31="","",IFERROR(4*STDEVP(終値!H31:AA31)/AVERAGE(終値!H31:AA31),""))</f>
        <v>8.8297775898470945E-2</v>
      </c>
      <c r="F31" s="503">
        <f>IF(終値!A31="","",IFERROR(4*STDEVP(終値!I31:AB31)/AVERAGE(終値!I31:AB31),""))</f>
        <v>0.10111089401314854</v>
      </c>
      <c r="G31" s="503">
        <f>IF(終値!A31="","",IFERROR(4*STDEVP(終値!J31:AC31)/AVERAGE(終値!J31:AC31),""))</f>
        <v>0.12291142645315373</v>
      </c>
      <c r="H31" s="503">
        <f>IF(終値!A31="","",IFERROR(4*STDEVP(終値!K31:AD31)/AVERAGE(終値!K31:AD31),""))</f>
        <v>0.14375908369263751</v>
      </c>
      <c r="I31" s="503">
        <f>IF(終値!A31="","",IFERROR(4*STDEVP(終値!L31:AE31)/AVERAGE(終値!L31:AE31),""))</f>
        <v>0.15868511625643236</v>
      </c>
      <c r="J31" s="503">
        <f>IF(終値!A31="","",IFERROR(4*STDEVP(終値!M31:AF31)/AVERAGE(終値!M31:AF31),""))</f>
        <v>0.17391726009817965</v>
      </c>
      <c r="K31" s="503">
        <f>IF(終値!A31="","",IFERROR(4*STDEVP(終値!N31:AG31)/AVERAGE(終値!N31:AG31),""))</f>
        <v>0.18057427214480104</v>
      </c>
      <c r="L31" s="503">
        <f>IF(終値!A31="","",IFERROR(4*STDEVP(終値!O31:AH31)/AVERAGE(終値!O31:AH31),""))</f>
        <v>0.19053201270225373</v>
      </c>
      <c r="M31" s="503">
        <f>IF(終値!A31="","",IFERROR(4*STDEVP(終値!P31:AI31)/AVERAGE(終値!P31:AI31),""))</f>
        <v>0.18748812655238653</v>
      </c>
      <c r="N31" s="503">
        <f>IF(終値!A31="","",IFERROR(4*STDEVP(終値!Q31:AJ31)/AVERAGE(終値!Q31:AJ31),""))</f>
        <v>0.17699635564480751</v>
      </c>
      <c r="O31" s="503">
        <f>IF(終値!A31="","",IFERROR(4*STDEVP(終値!R31:AK31)/AVERAGE(終値!R31:AK31),""))</f>
        <v>0.17262855661736615</v>
      </c>
      <c r="P31" s="503">
        <f>IF(終値!A31="","",IFERROR(4*STDEVP(終値!S31:AL31)/AVERAGE(終値!S31:AL31),""))</f>
        <v>0.17277394281171471</v>
      </c>
      <c r="Q31" s="503">
        <f>IF(終値!A31="","",IFERROR(4*STDEVP(終値!T31:AM31)/AVERAGE(終値!T31:AM31),""))</f>
        <v>0.16378512474885162</v>
      </c>
      <c r="R31" s="503">
        <f>IF(終値!A31="","",IFERROR(4*STDEVP(終値!U31:AN31)/AVERAGE(終値!U31:AN31),""))</f>
        <v>0.15859135943171479</v>
      </c>
      <c r="S31" s="503">
        <f>IF(終値!A31="","",IFERROR(4*STDEVP(終値!V31:AO31)/AVERAGE(終値!V31:AO31),""))</f>
        <v>0.14917084305574518</v>
      </c>
      <c r="T31" s="503">
        <f>IF(終値!A31="","",IFERROR(4*STDEVP(終値!W31:AP31)/AVERAGE(終値!W31:AP31),""))</f>
        <v>0.14356871236141736</v>
      </c>
      <c r="U31" s="503">
        <f>IF(終値!A31="","",IFERROR(4*STDEVP(終値!X31:AQ31)/AVERAGE(終値!X31:AQ31),""))</f>
        <v>0.13660347239135776</v>
      </c>
      <c r="V31" s="503">
        <f>IF(終値!A31="","",IFERROR(4*STDEVP(終値!Y31:AR31)/AVERAGE(終値!Y31:AR31),""))</f>
        <v>0.12323228178360594</v>
      </c>
      <c r="W31" s="503">
        <f>IF(終値!A31="","",IFERROR(4*STDEVP(終値!Z31:AS31)/AVERAGE(終値!Z31:AS31),""))</f>
        <v>0.11162827870019108</v>
      </c>
      <c r="X31" s="503">
        <f>IF(終値!A31="","",IFERROR(4*STDEVP(終値!AA31:AT31)/AVERAGE(終値!AA31:AT31),""))</f>
        <v>9.1052193863017619E-2</v>
      </c>
      <c r="Y31" s="503">
        <f>IF(終値!A31="","",IFERROR(4*STDEVP(終値!AB31:AU31)/AVERAGE(終値!AB31:AU31),""))</f>
        <v>8.9659334008674318E-2</v>
      </c>
      <c r="Z31" s="503">
        <f>IF(終値!A31="","",IFERROR(4*STDEVP(終値!AC31:AV31)/AVERAGE(終値!AC31:AV31),""))</f>
        <v>8.9446810218125145E-2</v>
      </c>
      <c r="AA31" s="503">
        <f>IF(終値!A31="","",IFERROR(4*STDEVP(終値!AD31:AW31)/AVERAGE(終値!AD31:AW31),""))</f>
        <v>0.10547380943633389</v>
      </c>
      <c r="AB31" s="503">
        <f>IF(終値!A31="","",IFERROR(4*STDEVP(終値!AE31:AX31)/AVERAGE(終値!AE31:AX31),""))</f>
        <v>0.12484053830778029</v>
      </c>
      <c r="AC31" s="503">
        <f>IF(終値!A31="","",IFERROR(4*STDEVP(終値!AF31:AY31)/AVERAGE(終値!AF31:AY31),""))</f>
        <v>0.13488460442401407</v>
      </c>
      <c r="AD31" s="503">
        <f>IF(終値!A31="","",IFERROR(4*STDEVP(終値!AG31:AZ31)/AVERAGE(終値!AG31:AZ31),""))</f>
        <v>0.14004280727024251</v>
      </c>
      <c r="AE31" s="503">
        <f>IF(終値!A31="","",IFERROR(4*STDEVP(終値!AH31:BA31)/AVERAGE(終値!AH31:BA31),""))</f>
        <v>0.14281286775263452</v>
      </c>
      <c r="AF31" s="503">
        <f>IF(終値!A31="","",IFERROR(4*STDEVP(終値!AI31:BB31)/AVERAGE(終値!AI31:BB31),""))</f>
        <v>0.14755092183825078</v>
      </c>
      <c r="AG31" s="503">
        <f>IF(終値!A31="","",IFERROR(4*STDEVP(終値!AJ31:BC31)/AVERAGE(終値!AJ31:BC31),""))</f>
        <v>0.14558922331574745</v>
      </c>
      <c r="AH31" s="503">
        <f>IF(終値!A31="","",IFERROR(4*STDEVP(終値!AK31:BD31)/AVERAGE(終値!AK31:BD31),""))</f>
        <v>0.13514247876545826</v>
      </c>
      <c r="AI31" s="503">
        <f>IF(終値!A31="","",IFERROR(4*STDEVP(終値!AL31:BE31)/AVERAGE(終値!AL31:BE31),""))</f>
        <v>0.12927273859207261</v>
      </c>
      <c r="AJ31" s="503">
        <f>IF(終値!A31="","",IFERROR(4*STDEVP(終値!AM31:BF31)/AVERAGE(終値!AM31:BF31),""))</f>
        <v>0.12224206680514542</v>
      </c>
      <c r="AK31" s="503">
        <f>IF(終値!A31="","",IFERROR(4*STDEVP(終値!AN31:BG31)/AVERAGE(終値!AN31:BG31),""))</f>
        <v>0.11481548016720369</v>
      </c>
      <c r="AL31" s="503">
        <f>IF(終値!A31="","",IFERROR(4*STDEVP(終値!AO31:BH31)/AVERAGE(終値!AO31:BH31),""))</f>
        <v>0.10825075264523486</v>
      </c>
      <c r="AM31" s="503">
        <f>IF(終値!A31="","",IFERROR(4*STDEVP(終値!AP31:BI31)/AVERAGE(終値!AP31:BI31),""))</f>
        <v>9.25376770549238E-2</v>
      </c>
      <c r="AN31" s="503">
        <f>IF(終値!A31="","",IFERROR(4*STDEVP(終値!AQ31:BJ31)/AVERAGE(終値!AQ31:BJ31),""))</f>
        <v>8.2082102717405778E-2</v>
      </c>
      <c r="AO31" s="503">
        <f>IF(終値!A31="","",IFERROR(4*STDEVP(終値!AR31:BK31)/AVERAGE(終値!AR31:BK31),""))</f>
        <v>7.8762116545554123E-2</v>
      </c>
      <c r="AP31" s="503">
        <f>IF(終値!A31="","",IFERROR(4*STDEVP(終値!AS31:BL31)/AVERAGE(終値!AS31:BL31),""))</f>
        <v>7.5204318947596119E-2</v>
      </c>
    </row>
    <row r="32" spans="1:42">
      <c r="A32" s="500" t="str">
        <f>IF(終値!A32="","",終値!A32)</f>
        <v>3863</v>
      </c>
      <c r="B32" s="503">
        <f>IF(終値!A32="","",IFERROR(4*STDEVP(終値!E32:X32)/AVERAGE(終値!E32:X32),""))</f>
        <v>0.23665942616488703</v>
      </c>
      <c r="C32" s="503">
        <f>IF(終値!A32="","",IFERROR(4*STDEVP(終値!F32:Y32)/AVERAGE(終値!F32:Y32),""))</f>
        <v>0.2396873400550743</v>
      </c>
      <c r="D32" s="503">
        <f>IF(終値!A32="","",IFERROR(4*STDEVP(終値!G32:Z32)/AVERAGE(終値!G32:Z32),""))</f>
        <v>0.23386592809215873</v>
      </c>
      <c r="E32" s="503">
        <f>IF(終値!A32="","",IFERROR(4*STDEVP(終値!H32:AA32)/AVERAGE(終値!H32:AA32),""))</f>
        <v>0.23867490552215639</v>
      </c>
      <c r="F32" s="503">
        <f>IF(終値!A32="","",IFERROR(4*STDEVP(終値!I32:AB32)/AVERAGE(終値!I32:AB32),""))</f>
        <v>0.24184452254730698</v>
      </c>
      <c r="G32" s="503">
        <f>IF(終値!A32="","",IFERROR(4*STDEVP(終値!J32:AC32)/AVERAGE(終値!J32:AC32),""))</f>
        <v>0.25234420784730366</v>
      </c>
      <c r="H32" s="503">
        <f>IF(終値!A32="","",IFERROR(4*STDEVP(終値!K32:AD32)/AVERAGE(終値!K32:AD32),""))</f>
        <v>0.26606582238932769</v>
      </c>
      <c r="I32" s="503">
        <f>IF(終値!A32="","",IFERROR(4*STDEVP(終値!L32:AE32)/AVERAGE(終値!L32:AE32),""))</f>
        <v>0.27590757735499927</v>
      </c>
      <c r="J32" s="503">
        <f>IF(終値!A32="","",IFERROR(4*STDEVP(終値!M32:AF32)/AVERAGE(終値!M32:AF32),""))</f>
        <v>0.28192370933317679</v>
      </c>
      <c r="K32" s="503">
        <f>IF(終値!A32="","",IFERROR(4*STDEVP(終値!N32:AG32)/AVERAGE(終値!N32:AG32),""))</f>
        <v>0.28425554261845037</v>
      </c>
      <c r="L32" s="503">
        <f>IF(終値!A32="","",IFERROR(4*STDEVP(終値!O32:AH32)/AVERAGE(終値!O32:AH32),""))</f>
        <v>0.28893835890596553</v>
      </c>
      <c r="M32" s="503">
        <f>IF(終値!A32="","",IFERROR(4*STDEVP(終値!P32:AI32)/AVERAGE(終値!P32:AI32),""))</f>
        <v>0.26122819356610438</v>
      </c>
      <c r="N32" s="503">
        <f>IF(終値!A32="","",IFERROR(4*STDEVP(終値!Q32:AJ32)/AVERAGE(終値!Q32:AJ32),""))</f>
        <v>0.24417455471708827</v>
      </c>
      <c r="O32" s="503">
        <f>IF(終値!A32="","",IFERROR(4*STDEVP(終値!R32:AK32)/AVERAGE(終値!R32:AK32),""))</f>
        <v>0.21409358292472019</v>
      </c>
      <c r="P32" s="503">
        <f>IF(終値!A32="","",IFERROR(4*STDEVP(終値!S32:AL32)/AVERAGE(終値!S32:AL32),""))</f>
        <v>0.19601078113995446</v>
      </c>
      <c r="Q32" s="503">
        <f>IF(終値!A32="","",IFERROR(4*STDEVP(終値!T32:AM32)/AVERAGE(終値!T32:AM32),""))</f>
        <v>0.18038517971971191</v>
      </c>
      <c r="R32" s="503">
        <f>IF(終値!A32="","",IFERROR(4*STDEVP(終値!U32:AN32)/AVERAGE(終値!U32:AN32),""))</f>
        <v>0.17388856547808601</v>
      </c>
      <c r="S32" s="503">
        <f>IF(終値!A32="","",IFERROR(4*STDEVP(終値!V32:AO32)/AVERAGE(終値!V32:AO32),""))</f>
        <v>0.16854873905050938</v>
      </c>
      <c r="T32" s="503">
        <f>IF(終値!A32="","",IFERROR(4*STDEVP(終値!W32:AP32)/AVERAGE(終値!W32:AP32),""))</f>
        <v>0.16636014644009381</v>
      </c>
      <c r="U32" s="503">
        <f>IF(終値!A32="","",IFERROR(4*STDEVP(終値!X32:AQ32)/AVERAGE(終値!X32:AQ32),""))</f>
        <v>0.16495778287246671</v>
      </c>
      <c r="V32" s="503">
        <f>IF(終値!A32="","",IFERROR(4*STDEVP(終値!Y32:AR32)/AVERAGE(終値!Y32:AR32),""))</f>
        <v>0.15464307474446812</v>
      </c>
      <c r="W32" s="503">
        <f>IF(終値!A32="","",IFERROR(4*STDEVP(終値!Z32:AS32)/AVERAGE(終値!Z32:AS32),""))</f>
        <v>0.14037500590948218</v>
      </c>
      <c r="X32" s="503">
        <f>IF(終値!A32="","",IFERROR(4*STDEVP(終値!AA32:AT32)/AVERAGE(終値!AA32:AT32),""))</f>
        <v>0.12409378499290032</v>
      </c>
      <c r="Y32" s="503">
        <f>IF(終値!A32="","",IFERROR(4*STDEVP(終値!AB32:AU32)/AVERAGE(終値!AB32:AU32),""))</f>
        <v>0.11799653015908348</v>
      </c>
      <c r="Z32" s="503">
        <f>IF(終値!A32="","",IFERROR(4*STDEVP(終値!AC32:AV32)/AVERAGE(終値!AC32:AV32),""))</f>
        <v>9.9767590013035715E-2</v>
      </c>
      <c r="AA32" s="503">
        <f>IF(終値!A32="","",IFERROR(4*STDEVP(終値!AD32:AW32)/AVERAGE(終値!AD32:AW32),""))</f>
        <v>8.4919769200285614E-2</v>
      </c>
      <c r="AB32" s="503">
        <f>IF(終値!A32="","",IFERROR(4*STDEVP(終値!AE32:AX32)/AVERAGE(終値!AE32:AX32),""))</f>
        <v>7.9983958053641932E-2</v>
      </c>
      <c r="AC32" s="503">
        <f>IF(終値!A32="","",IFERROR(4*STDEVP(終値!AF32:AY32)/AVERAGE(終値!AF32:AY32),""))</f>
        <v>0.12674794416207125</v>
      </c>
      <c r="AD32" s="503">
        <f>IF(終値!A32="","",IFERROR(4*STDEVP(終値!AG32:AZ32)/AVERAGE(終値!AG32:AZ32),""))</f>
        <v>0.15343391311890286</v>
      </c>
      <c r="AE32" s="503">
        <f>IF(終値!A32="","",IFERROR(4*STDEVP(終値!AH32:BA32)/AVERAGE(終値!AH32:BA32),""))</f>
        <v>0.17738800246357858</v>
      </c>
      <c r="AF32" s="503">
        <f>IF(終値!A32="","",IFERROR(4*STDEVP(終値!AI32:BB32)/AVERAGE(終値!AI32:BB32),""))</f>
        <v>0.19501482915983034</v>
      </c>
      <c r="AG32" s="503">
        <f>IF(終値!A32="","",IFERROR(4*STDEVP(終値!AJ32:BC32)/AVERAGE(終値!AJ32:BC32),""))</f>
        <v>0.20788938959680464</v>
      </c>
      <c r="AH32" s="503">
        <f>IF(終値!A32="","",IFERROR(4*STDEVP(終値!AK32:BD32)/AVERAGE(終値!AK32:BD32),""))</f>
        <v>0.22401549678423521</v>
      </c>
      <c r="AI32" s="503">
        <f>IF(終値!A32="","",IFERROR(4*STDEVP(終値!AL32:BE32)/AVERAGE(終値!AL32:BE32),""))</f>
        <v>0.24558003049060645</v>
      </c>
      <c r="AJ32" s="503">
        <f>IF(終値!A32="","",IFERROR(4*STDEVP(終値!AM32:BF32)/AVERAGE(終値!AM32:BF32),""))</f>
        <v>0.26876656084775868</v>
      </c>
      <c r="AK32" s="503">
        <f>IF(終値!A32="","",IFERROR(4*STDEVP(終値!AN32:BG32)/AVERAGE(終値!AN32:BG32),""))</f>
        <v>0.28454541829546343</v>
      </c>
      <c r="AL32" s="503">
        <f>IF(終値!A32="","",IFERROR(4*STDEVP(終値!AO32:BH32)/AVERAGE(終値!AO32:BH32),""))</f>
        <v>0.30002597596034553</v>
      </c>
      <c r="AM32" s="503">
        <f>IF(終値!A32="","",IFERROR(4*STDEVP(終値!AP32:BI32)/AVERAGE(終値!AP32:BI32),""))</f>
        <v>0.30998702648371634</v>
      </c>
      <c r="AN32" s="503">
        <f>IF(終値!A32="","",IFERROR(4*STDEVP(終値!AQ32:BJ32)/AVERAGE(終値!AQ32:BJ32),""))</f>
        <v>0.31972041153940012</v>
      </c>
      <c r="AO32" s="503">
        <f>IF(終値!A32="","",IFERROR(4*STDEVP(終値!AR32:BK32)/AVERAGE(終値!AR32:BK32),""))</f>
        <v>0.31076118470272301</v>
      </c>
      <c r="AP32" s="503">
        <f>IF(終値!A32="","",IFERROR(4*STDEVP(終値!AS32:BL32)/AVERAGE(終値!AS32:BL32),""))</f>
        <v>0.29972585559236764</v>
      </c>
    </row>
    <row r="33" spans="1:42">
      <c r="A33" s="500" t="str">
        <f>IF(終値!A33="","",終値!A33)</f>
        <v>8601</v>
      </c>
      <c r="B33" s="503">
        <f>IF(終値!A33="","",IFERROR(4*STDEVP(終値!E33:X33)/AVERAGE(終値!E33:X33),""))</f>
        <v>8.6086926516309809E-2</v>
      </c>
      <c r="C33" s="503">
        <f>IF(終値!A33="","",IFERROR(4*STDEVP(終値!F33:Y33)/AVERAGE(終値!F33:Y33),""))</f>
        <v>8.9682558812337942E-2</v>
      </c>
      <c r="D33" s="503">
        <f>IF(終値!A33="","",IFERROR(4*STDEVP(終値!G33:Z33)/AVERAGE(終値!G33:Z33),""))</f>
        <v>0.10175663030991709</v>
      </c>
      <c r="E33" s="503">
        <f>IF(終値!A33="","",IFERROR(4*STDEVP(終値!H33:AA33)/AVERAGE(終値!H33:AA33),""))</f>
        <v>0.11674785959210862</v>
      </c>
      <c r="F33" s="503">
        <f>IF(終値!A33="","",IFERROR(4*STDEVP(終値!I33:AB33)/AVERAGE(終値!I33:AB33),""))</f>
        <v>0.13949390871165671</v>
      </c>
      <c r="G33" s="503">
        <f>IF(終値!A33="","",IFERROR(4*STDEVP(終値!J33:AC33)/AVERAGE(終値!J33:AC33),""))</f>
        <v>0.1610238839727624</v>
      </c>
      <c r="H33" s="503">
        <f>IF(終値!A33="","",IFERROR(4*STDEVP(終値!K33:AD33)/AVERAGE(終値!K33:AD33),""))</f>
        <v>0.18690929428313446</v>
      </c>
      <c r="I33" s="503">
        <f>IF(終値!A33="","",IFERROR(4*STDEVP(終値!L33:AE33)/AVERAGE(終値!L33:AE33),""))</f>
        <v>0.20666157165745475</v>
      </c>
      <c r="J33" s="503">
        <f>IF(終値!A33="","",IFERROR(4*STDEVP(終値!M33:AF33)/AVERAGE(終値!M33:AF33),""))</f>
        <v>0.22020573695995055</v>
      </c>
      <c r="K33" s="503">
        <f>IF(終値!A33="","",IFERROR(4*STDEVP(終値!N33:AG33)/AVERAGE(終値!N33:AG33),""))</f>
        <v>0.22676189384528489</v>
      </c>
      <c r="L33" s="503">
        <f>IF(終値!A33="","",IFERROR(4*STDEVP(終値!O33:AH33)/AVERAGE(終値!O33:AH33),""))</f>
        <v>0.2324045844664791</v>
      </c>
      <c r="M33" s="503">
        <f>IF(終値!A33="","",IFERROR(4*STDEVP(終値!P33:AI33)/AVERAGE(終値!P33:AI33),""))</f>
        <v>0.22980284024150949</v>
      </c>
      <c r="N33" s="503">
        <f>IF(終値!A33="","",IFERROR(4*STDEVP(終値!Q33:AJ33)/AVERAGE(終値!Q33:AJ33),""))</f>
        <v>0.22175077222847275</v>
      </c>
      <c r="O33" s="503">
        <f>IF(終値!A33="","",IFERROR(4*STDEVP(終値!R33:AK33)/AVERAGE(終値!R33:AK33),""))</f>
        <v>0.21292215596960157</v>
      </c>
      <c r="P33" s="503">
        <f>IF(終値!A33="","",IFERROR(4*STDEVP(終値!S33:AL33)/AVERAGE(終値!S33:AL33),""))</f>
        <v>0.20955630998140176</v>
      </c>
      <c r="Q33" s="503">
        <f>IF(終値!A33="","",IFERROR(4*STDEVP(終値!T33:AM33)/AVERAGE(終値!T33:AM33),""))</f>
        <v>0.18326877459387003</v>
      </c>
      <c r="R33" s="503">
        <f>IF(終値!A33="","",IFERROR(4*STDEVP(終値!U33:AN33)/AVERAGE(終値!U33:AN33),""))</f>
        <v>0.17082538031305317</v>
      </c>
      <c r="S33" s="503">
        <f>IF(終値!A33="","",IFERROR(4*STDEVP(終値!V33:AO33)/AVERAGE(終値!V33:AO33),""))</f>
        <v>0.16058299695494296</v>
      </c>
      <c r="T33" s="503">
        <f>IF(終値!A33="","",IFERROR(4*STDEVP(終値!W33:AP33)/AVERAGE(終値!W33:AP33),""))</f>
        <v>0.15124482889916829</v>
      </c>
      <c r="U33" s="503">
        <f>IF(終値!A33="","",IFERROR(4*STDEVP(終値!X33:AQ33)/AVERAGE(終値!X33:AQ33),""))</f>
        <v>0.14938914047566162</v>
      </c>
      <c r="V33" s="503">
        <f>IF(終値!A33="","",IFERROR(4*STDEVP(終値!Y33:AR33)/AVERAGE(終値!Y33:AR33),""))</f>
        <v>0.12727891351039475</v>
      </c>
      <c r="W33" s="503">
        <f>IF(終値!A33="","",IFERROR(4*STDEVP(終値!Z33:AS33)/AVERAGE(終値!Z33:AS33),""))</f>
        <v>0.10481278075679129</v>
      </c>
      <c r="X33" s="503">
        <f>IF(終値!A33="","",IFERROR(4*STDEVP(終値!AA33:AT33)/AVERAGE(終値!AA33:AT33),""))</f>
        <v>8.7263165779520049E-2</v>
      </c>
      <c r="Y33" s="503">
        <f>IF(終値!A33="","",IFERROR(4*STDEVP(終値!AB33:AU33)/AVERAGE(終値!AB33:AU33),""))</f>
        <v>7.9085483364165085E-2</v>
      </c>
      <c r="Z33" s="503">
        <f>IF(終値!A33="","",IFERROR(4*STDEVP(終値!AC33:AV33)/AVERAGE(終値!AC33:AV33),""))</f>
        <v>7.7937922492864797E-2</v>
      </c>
      <c r="AA33" s="503">
        <f>IF(終値!A33="","",IFERROR(4*STDEVP(終値!AD33:AW33)/AVERAGE(終値!AD33:AW33),""))</f>
        <v>8.6163222929695679E-2</v>
      </c>
      <c r="AB33" s="503">
        <f>IF(終値!A33="","",IFERROR(4*STDEVP(終値!AE33:AX33)/AVERAGE(終値!AE33:AX33),""))</f>
        <v>9.5480741362372848E-2</v>
      </c>
      <c r="AC33" s="503">
        <f>IF(終値!A33="","",IFERROR(4*STDEVP(終値!AF33:AY33)/AVERAGE(終値!AF33:AY33),""))</f>
        <v>0.11030182726204293</v>
      </c>
      <c r="AD33" s="503">
        <f>IF(終値!A33="","",IFERROR(4*STDEVP(終値!AG33:AZ33)/AVERAGE(終値!AG33:AZ33),""))</f>
        <v>0.12256134487433598</v>
      </c>
      <c r="AE33" s="503">
        <f>IF(終値!A33="","",IFERROR(4*STDEVP(終値!AH33:BA33)/AVERAGE(終値!AH33:BA33),""))</f>
        <v>0.12680350546905847</v>
      </c>
      <c r="AF33" s="503">
        <f>IF(終値!A33="","",IFERROR(4*STDEVP(終値!AI33:BB33)/AVERAGE(終値!AI33:BB33),""))</f>
        <v>0.13129214495390307</v>
      </c>
      <c r="AG33" s="503">
        <f>IF(終値!A33="","",IFERROR(4*STDEVP(終値!AJ33:BC33)/AVERAGE(終値!AJ33:BC33),""))</f>
        <v>0.1309826796117414</v>
      </c>
      <c r="AH33" s="503">
        <f>IF(終値!A33="","",IFERROR(4*STDEVP(終値!AK33:BD33)/AVERAGE(終値!AK33:BD33),""))</f>
        <v>0.12902481892897438</v>
      </c>
      <c r="AI33" s="503">
        <f>IF(終値!A33="","",IFERROR(4*STDEVP(終値!AL33:BE33)/AVERAGE(終値!AL33:BE33),""))</f>
        <v>0.12560745836866458</v>
      </c>
      <c r="AJ33" s="503">
        <f>IF(終値!A33="","",IFERROR(4*STDEVP(終値!AM33:BF33)/AVERAGE(終値!AM33:BF33),""))</f>
        <v>0.11732472426460024</v>
      </c>
      <c r="AK33" s="503">
        <f>IF(終値!A33="","",IFERROR(4*STDEVP(終値!AN33:BG33)/AVERAGE(終値!AN33:BG33),""))</f>
        <v>0.10895536088720452</v>
      </c>
      <c r="AL33" s="503">
        <f>IF(終値!A33="","",IFERROR(4*STDEVP(終値!AO33:BH33)/AVERAGE(終値!AO33:BH33),""))</f>
        <v>9.9115354824139981E-2</v>
      </c>
      <c r="AM33" s="503">
        <f>IF(終値!A33="","",IFERROR(4*STDEVP(終値!AP33:BI33)/AVERAGE(終値!AP33:BI33),""))</f>
        <v>8.6168107365429597E-2</v>
      </c>
      <c r="AN33" s="503">
        <f>IF(終値!A33="","",IFERROR(4*STDEVP(終値!AQ33:BJ33)/AVERAGE(終値!AQ33:BJ33),""))</f>
        <v>8.0442000995133614E-2</v>
      </c>
      <c r="AO33" s="503">
        <f>IF(終値!A33="","",IFERROR(4*STDEVP(終値!AR33:BK33)/AVERAGE(終値!AR33:BK33),""))</f>
        <v>8.0509755654519233E-2</v>
      </c>
      <c r="AP33" s="503">
        <f>IF(終値!A33="","",IFERROR(4*STDEVP(終値!AS33:BL33)/AVERAGE(終値!AS33:BL33),""))</f>
        <v>7.6409937947933854E-2</v>
      </c>
    </row>
    <row r="34" spans="1:42">
      <c r="A34" s="500" t="str">
        <f>IF(終値!A34="","",終値!A34)</f>
        <v>5233</v>
      </c>
      <c r="B34" s="503">
        <f>IF(終値!A34="","",IFERROR(4*STDEVP(終値!E34:X34)/AVERAGE(終値!E34:X34),""))</f>
        <v>0.12477252398196677</v>
      </c>
      <c r="C34" s="503">
        <f>IF(終値!A34="","",IFERROR(4*STDEVP(終値!F34:Y34)/AVERAGE(終値!F34:Y34),""))</f>
        <v>0.11062967524729976</v>
      </c>
      <c r="D34" s="503">
        <f>IF(終値!A34="","",IFERROR(4*STDEVP(終値!G34:Z34)/AVERAGE(終値!G34:Z34),""))</f>
        <v>0.11304811378594913</v>
      </c>
      <c r="E34" s="503">
        <f>IF(終値!A34="","",IFERROR(4*STDEVP(終値!H34:AA34)/AVERAGE(終値!H34:AA34),""))</f>
        <v>0.1120678333114138</v>
      </c>
      <c r="F34" s="503">
        <f>IF(終値!A34="","",IFERROR(4*STDEVP(終値!I34:AB34)/AVERAGE(終値!I34:AB34),""))</f>
        <v>0.1132343148665971</v>
      </c>
      <c r="G34" s="503">
        <f>IF(終値!A34="","",IFERROR(4*STDEVP(終値!J34:AC34)/AVERAGE(終値!J34:AC34),""))</f>
        <v>0.1196443453388765</v>
      </c>
      <c r="H34" s="503">
        <f>IF(終値!A34="","",IFERROR(4*STDEVP(終値!K34:AD34)/AVERAGE(終値!K34:AD34),""))</f>
        <v>0.11837064064565531</v>
      </c>
      <c r="I34" s="503">
        <f>IF(終値!A34="","",IFERROR(4*STDEVP(終値!L34:AE34)/AVERAGE(終値!L34:AE34),""))</f>
        <v>0.11175722880125849</v>
      </c>
      <c r="J34" s="503">
        <f>IF(終値!A34="","",IFERROR(4*STDEVP(終値!M34:AF34)/AVERAGE(終値!M34:AF34),""))</f>
        <v>0.10564077018140886</v>
      </c>
      <c r="K34" s="503">
        <f>IF(終値!A34="","",IFERROR(4*STDEVP(終値!N34:AG34)/AVERAGE(終値!N34:AG34),""))</f>
        <v>9.9138812800481993E-2</v>
      </c>
      <c r="L34" s="503">
        <f>IF(終値!A34="","",IFERROR(4*STDEVP(終値!O34:AH34)/AVERAGE(終値!O34:AH34),""))</f>
        <v>9.7701961710898996E-2</v>
      </c>
      <c r="M34" s="503">
        <f>IF(終値!A34="","",IFERROR(4*STDEVP(終値!P34:AI34)/AVERAGE(終値!P34:AI34),""))</f>
        <v>9.4815417186154743E-2</v>
      </c>
      <c r="N34" s="503">
        <f>IF(終値!A34="","",IFERROR(4*STDEVP(終値!Q34:AJ34)/AVERAGE(終値!Q34:AJ34),""))</f>
        <v>9.5094005021371691E-2</v>
      </c>
      <c r="O34" s="503">
        <f>IF(終値!A34="","",IFERROR(4*STDEVP(終値!R34:AK34)/AVERAGE(終値!R34:AK34),""))</f>
        <v>0.10914313388698316</v>
      </c>
      <c r="P34" s="503">
        <f>IF(終値!A34="","",IFERROR(4*STDEVP(終値!S34:AL34)/AVERAGE(終値!S34:AL34),""))</f>
        <v>0.12796746291368563</v>
      </c>
      <c r="Q34" s="503">
        <f>IF(終値!A34="","",IFERROR(4*STDEVP(終値!T34:AM34)/AVERAGE(終値!T34:AM34),""))</f>
        <v>0.14843134973681224</v>
      </c>
      <c r="R34" s="503">
        <f>IF(終値!A34="","",IFERROR(4*STDEVP(終値!U34:AN34)/AVERAGE(終値!U34:AN34),""))</f>
        <v>0.15771834749893443</v>
      </c>
      <c r="S34" s="503">
        <f>IF(終値!A34="","",IFERROR(4*STDEVP(終値!V34:AO34)/AVERAGE(終値!V34:AO34),""))</f>
        <v>0.16087121078306199</v>
      </c>
      <c r="T34" s="503">
        <f>IF(終値!A34="","",IFERROR(4*STDEVP(終値!W34:AP34)/AVERAGE(終値!W34:AP34),""))</f>
        <v>0.15320832426982808</v>
      </c>
      <c r="U34" s="503">
        <f>IF(終値!A34="","",IFERROR(4*STDEVP(終値!X34:AQ34)/AVERAGE(終値!X34:AQ34),""))</f>
        <v>0.1472720934438464</v>
      </c>
      <c r="V34" s="503">
        <f>IF(終値!A34="","",IFERROR(4*STDEVP(終値!Y34:AR34)/AVERAGE(終値!Y34:AR34),""))</f>
        <v>0.14351201560354013</v>
      </c>
      <c r="W34" s="503">
        <f>IF(終値!A34="","",IFERROR(4*STDEVP(終値!Z34:AS34)/AVERAGE(終値!Z34:AS34),""))</f>
        <v>0.14432476947638964</v>
      </c>
      <c r="X34" s="503">
        <f>IF(終値!A34="","",IFERROR(4*STDEVP(終値!AA34:AT34)/AVERAGE(終値!AA34:AT34),""))</f>
        <v>0.14918730453668988</v>
      </c>
      <c r="Y34" s="503">
        <f>IF(終値!A34="","",IFERROR(4*STDEVP(終値!AB34:AU34)/AVERAGE(終値!AB34:AU34),""))</f>
        <v>0.1563831900587774</v>
      </c>
      <c r="Z34" s="503">
        <f>IF(終値!A34="","",IFERROR(4*STDEVP(終値!AC34:AV34)/AVERAGE(終値!AC34:AV34),""))</f>
        <v>0.15508256313123867</v>
      </c>
      <c r="AA34" s="503">
        <f>IF(終値!A34="","",IFERROR(4*STDEVP(終値!AD34:AW34)/AVERAGE(終値!AD34:AW34),""))</f>
        <v>0.13998619647318533</v>
      </c>
      <c r="AB34" s="503">
        <f>IF(終値!A34="","",IFERROR(4*STDEVP(終値!AE34:AX34)/AVERAGE(終値!AE34:AX34),""))</f>
        <v>0.13895831424705374</v>
      </c>
      <c r="AC34" s="503">
        <f>IF(終値!A34="","",IFERROR(4*STDEVP(終値!AF34:AY34)/AVERAGE(終値!AF34:AY34),""))</f>
        <v>0.13083835425958043</v>
      </c>
      <c r="AD34" s="503">
        <f>IF(終値!A34="","",IFERROR(4*STDEVP(終値!AG34:AZ34)/AVERAGE(終値!AG34:AZ34),""))</f>
        <v>0.12476705284032574</v>
      </c>
      <c r="AE34" s="503">
        <f>IF(終値!A34="","",IFERROR(4*STDEVP(終値!AH34:BA34)/AVERAGE(終値!AH34:BA34),""))</f>
        <v>0.12183066928723971</v>
      </c>
      <c r="AF34" s="503">
        <f>IF(終値!A34="","",IFERROR(4*STDEVP(終値!AI34:BB34)/AVERAGE(終値!AI34:BB34),""))</f>
        <v>0.11812366213151648</v>
      </c>
      <c r="AG34" s="503">
        <f>IF(終値!A34="","",IFERROR(4*STDEVP(終値!AJ34:BC34)/AVERAGE(終値!AJ34:BC34),""))</f>
        <v>0.12183468965201852</v>
      </c>
      <c r="AH34" s="503">
        <f>IF(終値!A34="","",IFERROR(4*STDEVP(終値!AK34:BD34)/AVERAGE(終値!AK34:BD34),""))</f>
        <v>0.13748433311810118</v>
      </c>
      <c r="AI34" s="503">
        <f>IF(終値!A34="","",IFERROR(4*STDEVP(終値!AL34:BE34)/AVERAGE(終値!AL34:BE34),""))</f>
        <v>0.1564487812576959</v>
      </c>
      <c r="AJ34" s="503">
        <f>IF(終値!A34="","",IFERROR(4*STDEVP(終値!AM34:BF34)/AVERAGE(終値!AM34:BF34),""))</f>
        <v>0.17904180394915845</v>
      </c>
      <c r="AK34" s="503">
        <f>IF(終値!A34="","",IFERROR(4*STDEVP(終値!AN34:BG34)/AVERAGE(終値!AN34:BG34),""))</f>
        <v>0.18240615568125274</v>
      </c>
      <c r="AL34" s="503">
        <f>IF(終値!A34="","",IFERROR(4*STDEVP(終値!AO34:BH34)/AVERAGE(終値!AO34:BH34),""))</f>
        <v>0.18177603857121408</v>
      </c>
      <c r="AM34" s="503">
        <f>IF(終値!A34="","",IFERROR(4*STDEVP(終値!AP34:BI34)/AVERAGE(終値!AP34:BI34),""))</f>
        <v>0.17600144767284584</v>
      </c>
      <c r="AN34" s="503">
        <f>IF(終値!A34="","",IFERROR(4*STDEVP(終値!AQ34:BJ34)/AVERAGE(終値!AQ34:BJ34),""))</f>
        <v>0.19552988749811365</v>
      </c>
      <c r="AO34" s="503">
        <f>IF(終値!A34="","",IFERROR(4*STDEVP(終値!AR34:BK34)/AVERAGE(終値!AR34:BK34),""))</f>
        <v>0.22527134663832962</v>
      </c>
      <c r="AP34" s="503">
        <f>IF(終値!A34="","",IFERROR(4*STDEVP(終値!AS34:BL34)/AVERAGE(終値!AS34:BL34),""))</f>
        <v>0.25201769701248911</v>
      </c>
    </row>
    <row r="35" spans="1:42">
      <c r="A35" s="500" t="str">
        <f>IF(終値!A35="","",終値!A35)</f>
        <v>8308</v>
      </c>
      <c r="B35" s="503">
        <f>IF(終値!A35="","",IFERROR(4*STDEVP(終値!E35:X35)/AVERAGE(終値!E35:X35),""))</f>
        <v>0.11858890068344612</v>
      </c>
      <c r="C35" s="503">
        <f>IF(終値!A35="","",IFERROR(4*STDEVP(終値!F35:Y35)/AVERAGE(終値!F35:Y35),""))</f>
        <v>0.11798336699463317</v>
      </c>
      <c r="D35" s="503">
        <f>IF(終値!A35="","",IFERROR(4*STDEVP(終値!G35:Z35)/AVERAGE(終値!G35:Z35),""))</f>
        <v>0.11798336699463317</v>
      </c>
      <c r="E35" s="503">
        <f>IF(終値!A35="","",IFERROR(4*STDEVP(終値!H35:AA35)/AVERAGE(終値!H35:AA35),""))</f>
        <v>0.11184106812333296</v>
      </c>
      <c r="F35" s="503">
        <f>IF(終値!A35="","",IFERROR(4*STDEVP(終値!I35:AB35)/AVERAGE(終値!I35:AB35),""))</f>
        <v>0.11728299069129139</v>
      </c>
      <c r="G35" s="503">
        <f>IF(終値!A35="","",IFERROR(4*STDEVP(終値!J35:AC35)/AVERAGE(終値!J35:AC35),""))</f>
        <v>0.1312831035727921</v>
      </c>
      <c r="H35" s="503">
        <f>IF(終値!A35="","",IFERROR(4*STDEVP(終値!K35:AD35)/AVERAGE(終値!K35:AD35),""))</f>
        <v>0.14376881061786934</v>
      </c>
      <c r="I35" s="503">
        <f>IF(終値!A35="","",IFERROR(4*STDEVP(終値!L35:AE35)/AVERAGE(終値!L35:AE35),""))</f>
        <v>0.16063984494662278</v>
      </c>
      <c r="J35" s="503">
        <f>IF(終値!A35="","",IFERROR(4*STDEVP(終値!M35:AF35)/AVERAGE(終値!M35:AF35),""))</f>
        <v>0.17610482145714651</v>
      </c>
      <c r="K35" s="503">
        <f>IF(終値!A35="","",IFERROR(4*STDEVP(終値!N35:AG35)/AVERAGE(終値!N35:AG35),""))</f>
        <v>0.18270105580415044</v>
      </c>
      <c r="L35" s="503">
        <f>IF(終値!A35="","",IFERROR(4*STDEVP(終値!O35:AH35)/AVERAGE(終値!O35:AH35),""))</f>
        <v>0.18698023419703666</v>
      </c>
      <c r="M35" s="503">
        <f>IF(終値!A35="","",IFERROR(4*STDEVP(終値!P35:AI35)/AVERAGE(終値!P35:AI35),""))</f>
        <v>0.18652627091040702</v>
      </c>
      <c r="N35" s="503">
        <f>IF(終値!A35="","",IFERROR(4*STDEVP(終値!Q35:AJ35)/AVERAGE(終値!Q35:AJ35),""))</f>
        <v>0.18415958186986847</v>
      </c>
      <c r="O35" s="503">
        <f>IF(終値!A35="","",IFERROR(4*STDEVP(終値!R35:AK35)/AVERAGE(終値!R35:AK35),""))</f>
        <v>0.18419411723049123</v>
      </c>
      <c r="P35" s="503">
        <f>IF(終値!A35="","",IFERROR(4*STDEVP(終値!S35:AL35)/AVERAGE(終値!S35:AL35),""))</f>
        <v>0.18420158054018679</v>
      </c>
      <c r="Q35" s="503">
        <f>IF(終値!A35="","",IFERROR(4*STDEVP(終値!T35:AM35)/AVERAGE(終値!T35:AM35),""))</f>
        <v>0.17734381275603575</v>
      </c>
      <c r="R35" s="503">
        <f>IF(終値!A35="","",IFERROR(4*STDEVP(終値!U35:AN35)/AVERAGE(終値!U35:AN35),""))</f>
        <v>0.17027062858852071</v>
      </c>
      <c r="S35" s="503">
        <f>IF(終値!A35="","",IFERROR(4*STDEVP(終値!V35:AO35)/AVERAGE(終値!V35:AO35),""))</f>
        <v>0.15930908218529233</v>
      </c>
      <c r="T35" s="503">
        <f>IF(終値!A35="","",IFERROR(4*STDEVP(終値!W35:AP35)/AVERAGE(終値!W35:AP35),""))</f>
        <v>0.15195907940924483</v>
      </c>
      <c r="U35" s="503">
        <f>IF(終値!A35="","",IFERROR(4*STDEVP(終値!X35:AQ35)/AVERAGE(終値!X35:AQ35),""))</f>
        <v>0.13851447386308674</v>
      </c>
      <c r="V35" s="503">
        <f>IF(終値!A35="","",IFERROR(4*STDEVP(終値!Y35:AR35)/AVERAGE(終値!Y35:AR35),""))</f>
        <v>0.11912046396128483</v>
      </c>
      <c r="W35" s="503">
        <f>IF(終値!A35="","",IFERROR(4*STDEVP(終値!Z35:AS35)/AVERAGE(終値!Z35:AS35),""))</f>
        <v>0.10564255303840933</v>
      </c>
      <c r="X35" s="503">
        <f>IF(終値!A35="","",IFERROR(4*STDEVP(終値!AA35:AT35)/AVERAGE(終値!AA35:AT35),""))</f>
        <v>9.3615526549941097E-2</v>
      </c>
      <c r="Y35" s="503">
        <f>IF(終値!A35="","",IFERROR(4*STDEVP(終値!AB35:AU35)/AVERAGE(終値!AB35:AU35),""))</f>
        <v>8.7638735079236363E-2</v>
      </c>
      <c r="Z35" s="503">
        <f>IF(終値!A35="","",IFERROR(4*STDEVP(終値!AC35:AV35)/AVERAGE(終値!AC35:AV35),""))</f>
        <v>9.2697901528515952E-2</v>
      </c>
      <c r="AA35" s="503">
        <f>IF(終値!A35="","",IFERROR(4*STDEVP(終値!AD35:AW35)/AVERAGE(終値!AD35:AW35),""))</f>
        <v>0.10386614240735827</v>
      </c>
      <c r="AB35" s="503">
        <f>IF(終値!A35="","",IFERROR(4*STDEVP(終値!AE35:AX35)/AVERAGE(終値!AE35:AX35),""))</f>
        <v>0.11049452777597212</v>
      </c>
      <c r="AC35" s="503">
        <f>IF(終値!A35="","",IFERROR(4*STDEVP(終値!AF35:AY35)/AVERAGE(終値!AF35:AY35),""))</f>
        <v>0.11687891238693578</v>
      </c>
      <c r="AD35" s="503">
        <f>IF(終値!A35="","",IFERROR(4*STDEVP(終値!AG35:AZ35)/AVERAGE(終値!AG35:AZ35),""))</f>
        <v>0.12137655431657483</v>
      </c>
      <c r="AE35" s="503">
        <f>IF(終値!A35="","",IFERROR(4*STDEVP(終値!AH35:BA35)/AVERAGE(終値!AH35:BA35),""))</f>
        <v>0.12110621808338583</v>
      </c>
      <c r="AF35" s="503">
        <f>IF(終値!A35="","",IFERROR(4*STDEVP(終値!AI35:BB35)/AVERAGE(終値!AI35:BB35),""))</f>
        <v>0.12118703158048375</v>
      </c>
      <c r="AG35" s="503">
        <f>IF(終値!A35="","",IFERROR(4*STDEVP(終値!AJ35:BC35)/AVERAGE(終値!AJ35:BC35),""))</f>
        <v>0.1203031785842769</v>
      </c>
      <c r="AH35" s="503">
        <f>IF(終値!A35="","",IFERROR(4*STDEVP(終値!AK35:BD35)/AVERAGE(終値!AK35:BD35),""))</f>
        <v>0.11766592221859906</v>
      </c>
      <c r="AI35" s="503">
        <f>IF(終値!A35="","",IFERROR(4*STDEVP(終値!AL35:BE35)/AVERAGE(終値!AL35:BE35),""))</f>
        <v>0.11315046371051719</v>
      </c>
      <c r="AJ35" s="503">
        <f>IF(終値!A35="","",IFERROR(4*STDEVP(終値!AM35:BF35)/AVERAGE(終値!AM35:BF35),""))</f>
        <v>9.9176025490838551E-2</v>
      </c>
      <c r="AK35" s="503">
        <f>IF(終値!A35="","",IFERROR(4*STDEVP(終値!AN35:BG35)/AVERAGE(終値!AN35:BG35),""))</f>
        <v>9.7495349914138718E-2</v>
      </c>
      <c r="AL35" s="503">
        <f>IF(終値!A35="","",IFERROR(4*STDEVP(終値!AO35:BH35)/AVERAGE(終値!AO35:BH35),""))</f>
        <v>9.6194377832955619E-2</v>
      </c>
      <c r="AM35" s="503">
        <f>IF(終値!A35="","",IFERROR(4*STDEVP(終値!AP35:BI35)/AVERAGE(終値!AP35:BI35),""))</f>
        <v>8.1585610111813631E-2</v>
      </c>
      <c r="AN35" s="503">
        <f>IF(終値!A35="","",IFERROR(4*STDEVP(終値!AQ35:BJ35)/AVERAGE(終値!AQ35:BJ35),""))</f>
        <v>7.6327660063117156E-2</v>
      </c>
      <c r="AO35" s="503">
        <f>IF(終値!A35="","",IFERROR(4*STDEVP(終値!AR35:BK35)/AVERAGE(終値!AR35:BK35),""))</f>
        <v>8.0311924731857831E-2</v>
      </c>
      <c r="AP35" s="503">
        <f>IF(終値!A35="","",IFERROR(4*STDEVP(終値!AS35:BL35)/AVERAGE(終値!AS35:BL35),""))</f>
        <v>9.0767411534035877E-2</v>
      </c>
    </row>
    <row r="36" spans="1:42">
      <c r="A36" s="500" t="str">
        <f>IF(終値!A36="","",終値!A36)</f>
        <v>5938</v>
      </c>
      <c r="B36" s="503">
        <f>IF(終値!A36="","",IFERROR(4*STDEVP(終値!E36:X36)/AVERAGE(終値!E36:X36),""))</f>
        <v>0.13550900191570517</v>
      </c>
      <c r="C36" s="503">
        <f>IF(終値!A36="","",IFERROR(4*STDEVP(終値!F36:Y36)/AVERAGE(終値!F36:Y36),""))</f>
        <v>0.13446080184479528</v>
      </c>
      <c r="D36" s="503">
        <f>IF(終値!A36="","",IFERROR(4*STDEVP(終値!G36:Z36)/AVERAGE(終値!G36:Z36),""))</f>
        <v>0.12749095030915986</v>
      </c>
      <c r="E36" s="503">
        <f>IF(終値!A36="","",IFERROR(4*STDEVP(終値!H36:AA36)/AVERAGE(終値!H36:AA36),""))</f>
        <v>0.10979738692427507</v>
      </c>
      <c r="F36" s="503">
        <f>IF(終値!A36="","",IFERROR(4*STDEVP(終値!I36:AB36)/AVERAGE(終値!I36:AB36),""))</f>
        <v>8.7198112645426748E-2</v>
      </c>
      <c r="G36" s="503">
        <f>IF(終値!A36="","",IFERROR(4*STDEVP(終値!J36:AC36)/AVERAGE(終値!J36:AC36),""))</f>
        <v>7.049268318829556E-2</v>
      </c>
      <c r="H36" s="503">
        <f>IF(終値!A36="","",IFERROR(4*STDEVP(終値!K36:AD36)/AVERAGE(終値!K36:AD36),""))</f>
        <v>7.5344394175709428E-2</v>
      </c>
      <c r="I36" s="503">
        <f>IF(終値!A36="","",IFERROR(4*STDEVP(終値!L36:AE36)/AVERAGE(終値!L36:AE36),""))</f>
        <v>7.2880955521167329E-2</v>
      </c>
      <c r="J36" s="503">
        <f>IF(終値!A36="","",IFERROR(4*STDEVP(終値!M36:AF36)/AVERAGE(終値!M36:AF36),""))</f>
        <v>7.9849089582338661E-2</v>
      </c>
      <c r="K36" s="503">
        <f>IF(終値!A36="","",IFERROR(4*STDEVP(終値!N36:AG36)/AVERAGE(終値!N36:AG36),""))</f>
        <v>8.6529723856994978E-2</v>
      </c>
      <c r="L36" s="503">
        <f>IF(終値!A36="","",IFERROR(4*STDEVP(終値!O36:AH36)/AVERAGE(終値!O36:AH36),""))</f>
        <v>0.10874204950337241</v>
      </c>
      <c r="M36" s="503">
        <f>IF(終値!A36="","",IFERROR(4*STDEVP(終値!P36:AI36)/AVERAGE(終値!P36:AI36),""))</f>
        <v>0.1249882661991287</v>
      </c>
      <c r="N36" s="503">
        <f>IF(終値!A36="","",IFERROR(4*STDEVP(終値!Q36:AJ36)/AVERAGE(終値!Q36:AJ36),""))</f>
        <v>0.13196966976302749</v>
      </c>
      <c r="O36" s="503">
        <f>IF(終値!A36="","",IFERROR(4*STDEVP(終値!R36:AK36)/AVERAGE(終値!R36:AK36),""))</f>
        <v>0.13791008762432197</v>
      </c>
      <c r="P36" s="503">
        <f>IF(終値!A36="","",IFERROR(4*STDEVP(終値!S36:AL36)/AVERAGE(終値!S36:AL36),""))</f>
        <v>0.14272460348897198</v>
      </c>
      <c r="Q36" s="503">
        <f>IF(終値!A36="","",IFERROR(4*STDEVP(終値!T36:AM36)/AVERAGE(終値!T36:AM36),""))</f>
        <v>0.1434853155766756</v>
      </c>
      <c r="R36" s="503">
        <f>IF(終値!A36="","",IFERROR(4*STDEVP(終値!U36:AN36)/AVERAGE(終値!U36:AN36),""))</f>
        <v>0.14214472588355209</v>
      </c>
      <c r="S36" s="503">
        <f>IF(終値!A36="","",IFERROR(4*STDEVP(終値!V36:AO36)/AVERAGE(終値!V36:AO36),""))</f>
        <v>0.14337819479872344</v>
      </c>
      <c r="T36" s="503">
        <f>IF(終値!A36="","",IFERROR(4*STDEVP(終値!W36:AP36)/AVERAGE(終値!W36:AP36),""))</f>
        <v>0.14520269931609397</v>
      </c>
      <c r="U36" s="503">
        <f>IF(終値!A36="","",IFERROR(4*STDEVP(終値!X36:AQ36)/AVERAGE(終値!X36:AQ36),""))</f>
        <v>0.14146495350770932</v>
      </c>
      <c r="V36" s="503">
        <f>IF(終値!A36="","",IFERROR(4*STDEVP(終値!Y36:AR36)/AVERAGE(終値!Y36:AR36),""))</f>
        <v>0.12938105484843604</v>
      </c>
      <c r="W36" s="503">
        <f>IF(終値!A36="","",IFERROR(4*STDEVP(終値!Z36:AS36)/AVERAGE(終値!Z36:AS36),""))</f>
        <v>0.11482141485357021</v>
      </c>
      <c r="X36" s="503">
        <f>IF(終値!A36="","",IFERROR(4*STDEVP(終値!AA36:AT36)/AVERAGE(終値!AA36:AT36),""))</f>
        <v>9.9308765509397004E-2</v>
      </c>
      <c r="Y36" s="503">
        <f>IF(終値!A36="","",IFERROR(4*STDEVP(終値!AB36:AU36)/AVERAGE(終値!AB36:AU36),""))</f>
        <v>8.3077703217111554E-2</v>
      </c>
      <c r="Z36" s="503">
        <f>IF(終値!A36="","",IFERROR(4*STDEVP(終値!AC36:AV36)/AVERAGE(終値!AC36:AV36),""))</f>
        <v>7.0945437117161808E-2</v>
      </c>
      <c r="AA36" s="503">
        <f>IF(終値!A36="","",IFERROR(4*STDEVP(終値!AD36:AW36)/AVERAGE(終値!AD36:AW36),""))</f>
        <v>7.1882048500336304E-2</v>
      </c>
      <c r="AB36" s="503">
        <f>IF(終値!A36="","",IFERROR(4*STDEVP(終値!AE36:AX36)/AVERAGE(終値!AE36:AX36),""))</f>
        <v>6.4360584046606412E-2</v>
      </c>
      <c r="AC36" s="503">
        <f>IF(終値!A36="","",IFERROR(4*STDEVP(終値!AF36:AY36)/AVERAGE(終値!AF36:AY36),""))</f>
        <v>5.369975190605538E-2</v>
      </c>
      <c r="AD36" s="503">
        <f>IF(終値!A36="","",IFERROR(4*STDEVP(終値!AG36:AZ36)/AVERAGE(終値!AG36:AZ36),""))</f>
        <v>5.0041615401308241E-2</v>
      </c>
      <c r="AE36" s="503">
        <f>IF(終値!A36="","",IFERROR(4*STDEVP(終値!AH36:BA36)/AVERAGE(終値!AH36:BA36),""))</f>
        <v>5.3166756970557491E-2</v>
      </c>
      <c r="AF36" s="503">
        <f>IF(終値!A36="","",IFERROR(4*STDEVP(終値!AI36:BB36)/AVERAGE(終値!AI36:BB36),""))</f>
        <v>6.292559451485856E-2</v>
      </c>
      <c r="AG36" s="503">
        <f>IF(終値!A36="","",IFERROR(4*STDEVP(終値!AJ36:BC36)/AVERAGE(終値!AJ36:BC36),""))</f>
        <v>7.2293405022931051E-2</v>
      </c>
      <c r="AH36" s="503">
        <f>IF(終値!A36="","",IFERROR(4*STDEVP(終値!AK36:BD36)/AVERAGE(終値!AK36:BD36),""))</f>
        <v>8.1163226651640899E-2</v>
      </c>
      <c r="AI36" s="503">
        <f>IF(終値!A36="","",IFERROR(4*STDEVP(終値!AL36:BE36)/AVERAGE(終値!AL36:BE36),""))</f>
        <v>8.1888157024776129E-2</v>
      </c>
      <c r="AJ36" s="503">
        <f>IF(終値!A36="","",IFERROR(4*STDEVP(終値!AM36:BF36)/AVERAGE(終値!AM36:BF36),""))</f>
        <v>8.6517970071431055E-2</v>
      </c>
      <c r="AK36" s="503">
        <f>IF(終値!A36="","",IFERROR(4*STDEVP(終値!AN36:BG36)/AVERAGE(終値!AN36:BG36),""))</f>
        <v>8.5428508344196741E-2</v>
      </c>
      <c r="AL36" s="503">
        <f>IF(終値!A36="","",IFERROR(4*STDEVP(終値!AO36:BH36)/AVERAGE(終値!AO36:BH36),""))</f>
        <v>8.2211615360120727E-2</v>
      </c>
      <c r="AM36" s="503">
        <f>IF(終値!A36="","",IFERROR(4*STDEVP(終値!AP36:BI36)/AVERAGE(終値!AP36:BI36),""))</f>
        <v>7.7558901233982638E-2</v>
      </c>
      <c r="AN36" s="503">
        <f>IF(終値!A36="","",IFERROR(4*STDEVP(終値!AQ36:BJ36)/AVERAGE(終値!AQ36:BJ36),""))</f>
        <v>7.4607015753256192E-2</v>
      </c>
      <c r="AO36" s="503">
        <f>IF(終値!A36="","",IFERROR(4*STDEVP(終値!AR36:BK36)/AVERAGE(終値!AR36:BK36),""))</f>
        <v>6.993792271254469E-2</v>
      </c>
      <c r="AP36" s="503">
        <f>IF(終値!A36="","",IFERROR(4*STDEVP(終値!AS36:BL36)/AVERAGE(終値!AS36:BL36),""))</f>
        <v>6.2823069765009593E-2</v>
      </c>
    </row>
    <row r="37" spans="1:42">
      <c r="A37" s="500" t="str">
        <f>IF(終値!A37="","",終値!A37)</f>
        <v>8570</v>
      </c>
      <c r="B37" s="503">
        <f>IF(終値!A37="","",IFERROR(4*STDEVP(終値!E37:X37)/AVERAGE(終値!E37:X37),""))</f>
        <v>5.4677771706971703E-2</v>
      </c>
      <c r="C37" s="503">
        <f>IF(終値!A37="","",IFERROR(4*STDEVP(終値!F37:Y37)/AVERAGE(終値!F37:Y37),""))</f>
        <v>5.2573262268744161E-2</v>
      </c>
      <c r="D37" s="503">
        <f>IF(終値!A37="","",IFERROR(4*STDEVP(終値!G37:Z37)/AVERAGE(終値!G37:Z37),""))</f>
        <v>5.5348906222269331E-2</v>
      </c>
      <c r="E37" s="503">
        <f>IF(終値!A37="","",IFERROR(4*STDEVP(終値!H37:AA37)/AVERAGE(終値!H37:AA37),""))</f>
        <v>5.9418230989355579E-2</v>
      </c>
      <c r="F37" s="503">
        <f>IF(終値!A37="","",IFERROR(4*STDEVP(終値!I37:AB37)/AVERAGE(終値!I37:AB37),""))</f>
        <v>7.098756051015713E-2</v>
      </c>
      <c r="G37" s="503">
        <f>IF(終値!A37="","",IFERROR(4*STDEVP(終値!J37:AC37)/AVERAGE(終値!J37:AC37),""))</f>
        <v>8.1753717290191916E-2</v>
      </c>
      <c r="H37" s="503">
        <f>IF(終値!A37="","",IFERROR(4*STDEVP(終値!K37:AD37)/AVERAGE(終値!K37:AD37),""))</f>
        <v>9.1342582763132771E-2</v>
      </c>
      <c r="I37" s="503">
        <f>IF(終値!A37="","",IFERROR(4*STDEVP(終値!L37:AE37)/AVERAGE(終値!L37:AE37),""))</f>
        <v>9.497422821259513E-2</v>
      </c>
      <c r="J37" s="503">
        <f>IF(終値!A37="","",IFERROR(4*STDEVP(終値!M37:AF37)/AVERAGE(終値!M37:AF37),""))</f>
        <v>9.8833874897664709E-2</v>
      </c>
      <c r="K37" s="503">
        <f>IF(終値!A37="","",IFERROR(4*STDEVP(終値!N37:AG37)/AVERAGE(終値!N37:AG37),""))</f>
        <v>9.9320888528179427E-2</v>
      </c>
      <c r="L37" s="503">
        <f>IF(終値!A37="","",IFERROR(4*STDEVP(終値!O37:AH37)/AVERAGE(終値!O37:AH37),""))</f>
        <v>0.10518298864314091</v>
      </c>
      <c r="M37" s="503">
        <f>IF(終値!A37="","",IFERROR(4*STDEVP(終値!P37:AI37)/AVERAGE(終値!P37:AI37),""))</f>
        <v>0.10786947020208232</v>
      </c>
      <c r="N37" s="503">
        <f>IF(終値!A37="","",IFERROR(4*STDEVP(終値!Q37:AJ37)/AVERAGE(終値!Q37:AJ37),""))</f>
        <v>0.10162054378506226</v>
      </c>
      <c r="O37" s="503">
        <f>IF(終値!A37="","",IFERROR(4*STDEVP(終値!R37:AK37)/AVERAGE(終値!R37:AK37),""))</f>
        <v>9.4109635877688558E-2</v>
      </c>
      <c r="P37" s="503">
        <f>IF(終値!A37="","",IFERROR(4*STDEVP(終値!S37:AL37)/AVERAGE(終値!S37:AL37),""))</f>
        <v>9.3412153016666666E-2</v>
      </c>
      <c r="Q37" s="503">
        <f>IF(終値!A37="","",IFERROR(4*STDEVP(終値!T37:AM37)/AVERAGE(終値!T37:AM37),""))</f>
        <v>8.887760627986431E-2</v>
      </c>
      <c r="R37" s="503">
        <f>IF(終値!A37="","",IFERROR(4*STDEVP(終値!U37:AN37)/AVERAGE(終値!U37:AN37),""))</f>
        <v>8.0620724298227864E-2</v>
      </c>
      <c r="S37" s="503">
        <f>IF(終値!A37="","",IFERROR(4*STDEVP(終値!V37:AO37)/AVERAGE(終値!V37:AO37),""))</f>
        <v>7.5171299964788815E-2</v>
      </c>
      <c r="T37" s="503">
        <f>IF(終値!A37="","",IFERROR(4*STDEVP(終値!W37:AP37)/AVERAGE(終値!W37:AP37),""))</f>
        <v>7.4130599755230953E-2</v>
      </c>
      <c r="U37" s="503">
        <f>IF(終値!A37="","",IFERROR(4*STDEVP(終値!X37:AQ37)/AVERAGE(終値!X37:AQ37),""))</f>
        <v>6.9910239710153255E-2</v>
      </c>
      <c r="V37" s="503">
        <f>IF(終値!A37="","",IFERROR(4*STDEVP(終値!Y37:AR37)/AVERAGE(終値!Y37:AR37),""))</f>
        <v>6.4941375780821195E-2</v>
      </c>
      <c r="W37" s="503">
        <f>IF(終値!A37="","",IFERROR(4*STDEVP(終値!Z37:AS37)/AVERAGE(終値!Z37:AS37),""))</f>
        <v>6.2134943677844591E-2</v>
      </c>
      <c r="X37" s="503">
        <f>IF(終値!A37="","",IFERROR(4*STDEVP(終値!AA37:AT37)/AVERAGE(終値!AA37:AT37),""))</f>
        <v>5.8159586340725211E-2</v>
      </c>
      <c r="Y37" s="503">
        <f>IF(終値!A37="","",IFERROR(4*STDEVP(終値!AB37:AU37)/AVERAGE(終値!AB37:AU37),""))</f>
        <v>6.1189719350404806E-2</v>
      </c>
      <c r="Z37" s="503">
        <f>IF(終値!A37="","",IFERROR(4*STDEVP(終値!AC37:AV37)/AVERAGE(終値!AC37:AV37),""))</f>
        <v>6.1813778448174601E-2</v>
      </c>
      <c r="AA37" s="503">
        <f>IF(終値!A37="","",IFERROR(4*STDEVP(終値!AD37:AW37)/AVERAGE(終値!AD37:AW37),""))</f>
        <v>6.236305670057498E-2</v>
      </c>
      <c r="AB37" s="503">
        <f>IF(終値!A37="","",IFERROR(4*STDEVP(終値!AE37:AX37)/AVERAGE(終値!AE37:AX37),""))</f>
        <v>6.5668879931621765E-2</v>
      </c>
      <c r="AC37" s="503">
        <f>IF(終値!A37="","",IFERROR(4*STDEVP(終値!AF37:AY37)/AVERAGE(終値!AF37:AY37),""))</f>
        <v>6.9986437011242603E-2</v>
      </c>
      <c r="AD37" s="503">
        <f>IF(終値!A37="","",IFERROR(4*STDEVP(終値!AG37:AZ37)/AVERAGE(終値!AG37:AZ37),""))</f>
        <v>7.827366274598771E-2</v>
      </c>
      <c r="AE37" s="503">
        <f>IF(終値!A37="","",IFERROR(4*STDEVP(終値!AH37:BA37)/AVERAGE(終値!AH37:BA37),""))</f>
        <v>8.7012893084506951E-2</v>
      </c>
      <c r="AF37" s="503">
        <f>IF(終値!A37="","",IFERROR(4*STDEVP(終値!AI37:BB37)/AVERAGE(終値!AI37:BB37),""))</f>
        <v>9.2904008844078192E-2</v>
      </c>
      <c r="AG37" s="503">
        <f>IF(終値!A37="","",IFERROR(4*STDEVP(終値!AJ37:BC37)/AVERAGE(終値!AJ37:BC37),""))</f>
        <v>0.10442005920174761</v>
      </c>
      <c r="AH37" s="503">
        <f>IF(終値!A37="","",IFERROR(4*STDEVP(終値!AK37:BD37)/AVERAGE(終値!AK37:BD37),""))</f>
        <v>0.10978697228268963</v>
      </c>
      <c r="AI37" s="503">
        <f>IF(終値!A37="","",IFERROR(4*STDEVP(終値!AL37:BE37)/AVERAGE(終値!AL37:BE37),""))</f>
        <v>0.11698791217953471</v>
      </c>
      <c r="AJ37" s="503">
        <f>IF(終値!A37="","",IFERROR(4*STDEVP(終値!AM37:BF37)/AVERAGE(終値!AM37:BF37),""))</f>
        <v>0.12164413337872373</v>
      </c>
      <c r="AK37" s="503">
        <f>IF(終値!A37="","",IFERROR(4*STDEVP(終値!AN37:BG37)/AVERAGE(終値!AN37:BG37),""))</f>
        <v>0.12300492777423114</v>
      </c>
      <c r="AL37" s="503">
        <f>IF(終値!A37="","",IFERROR(4*STDEVP(終値!AO37:BH37)/AVERAGE(終値!AO37:BH37),""))</f>
        <v>0.12431418428729976</v>
      </c>
      <c r="AM37" s="503">
        <f>IF(終値!A37="","",IFERROR(4*STDEVP(終値!AP37:BI37)/AVERAGE(終値!AP37:BI37),""))</f>
        <v>0.12591735393784287</v>
      </c>
      <c r="AN37" s="503">
        <f>IF(終値!A37="","",IFERROR(4*STDEVP(終値!AQ37:BJ37)/AVERAGE(終値!AQ37:BJ37),""))</f>
        <v>0.12630165396394225</v>
      </c>
      <c r="AO37" s="503">
        <f>IF(終値!A37="","",IFERROR(4*STDEVP(終値!AR37:BK37)/AVERAGE(終値!AR37:BK37),""))</f>
        <v>0.12563029532951986</v>
      </c>
      <c r="AP37" s="503">
        <f>IF(終値!A37="","",IFERROR(4*STDEVP(終値!AS37:BL37)/AVERAGE(終値!AS37:BL37),""))</f>
        <v>0.12572816209784882</v>
      </c>
    </row>
    <row r="38" spans="1:42">
      <c r="A38" s="500" t="str">
        <f>IF(終値!A38="","",終値!A38)</f>
        <v>5406</v>
      </c>
      <c r="B38" s="503">
        <f>IF(終値!A38="","",IFERROR(4*STDEVP(終値!E38:X38)/AVERAGE(終値!E38:X38),""))</f>
        <v>0.14669555595225942</v>
      </c>
      <c r="C38" s="503">
        <f>IF(終値!A38="","",IFERROR(4*STDEVP(終値!F38:Y38)/AVERAGE(終値!F38:Y38),""))</f>
        <v>0.14902340310183684</v>
      </c>
      <c r="D38" s="503">
        <f>IF(終値!A38="","",IFERROR(4*STDEVP(終値!G38:Z38)/AVERAGE(終値!G38:Z38),""))</f>
        <v>0.15079476125538113</v>
      </c>
      <c r="E38" s="503">
        <f>IF(終値!A38="","",IFERROR(4*STDEVP(終値!H38:AA38)/AVERAGE(終値!H38:AA38),""))</f>
        <v>0.1492096012941716</v>
      </c>
      <c r="F38" s="503">
        <f>IF(終値!A38="","",IFERROR(4*STDEVP(終値!I38:AB38)/AVERAGE(終値!I38:AB38),""))</f>
        <v>0.14792022012149264</v>
      </c>
      <c r="G38" s="503">
        <f>IF(終値!A38="","",IFERROR(4*STDEVP(終値!J38:AC38)/AVERAGE(終値!J38:AC38),""))</f>
        <v>0.14355832911541197</v>
      </c>
      <c r="H38" s="503">
        <f>IF(終値!A38="","",IFERROR(4*STDEVP(終値!K38:AD38)/AVERAGE(終値!K38:AD38),""))</f>
        <v>0.13361601601049905</v>
      </c>
      <c r="I38" s="503">
        <f>IF(終値!A38="","",IFERROR(4*STDEVP(終値!L38:AE38)/AVERAGE(終値!L38:AE38),""))</f>
        <v>0.11920292125776479</v>
      </c>
      <c r="J38" s="503">
        <f>IF(終値!A38="","",IFERROR(4*STDEVP(終値!M38:AF38)/AVERAGE(終値!M38:AF38),""))</f>
        <v>0.11370693466565152</v>
      </c>
      <c r="K38" s="503">
        <f>IF(終値!A38="","",IFERROR(4*STDEVP(終値!N38:AG38)/AVERAGE(終値!N38:AG38),""))</f>
        <v>9.6808098933421668E-2</v>
      </c>
      <c r="L38" s="503">
        <f>IF(終値!A38="","",IFERROR(4*STDEVP(終値!O38:AH38)/AVERAGE(終値!O38:AH38),""))</f>
        <v>8.9835572862033461E-2</v>
      </c>
      <c r="M38" s="503">
        <f>IF(終値!A38="","",IFERROR(4*STDEVP(終値!P38:AI38)/AVERAGE(終値!P38:AI38),""))</f>
        <v>7.8808679362446468E-2</v>
      </c>
      <c r="N38" s="503">
        <f>IF(終値!A38="","",IFERROR(4*STDEVP(終値!Q38:AJ38)/AVERAGE(終値!Q38:AJ38),""))</f>
        <v>7.4579521657602177E-2</v>
      </c>
      <c r="O38" s="503">
        <f>IF(終値!A38="","",IFERROR(4*STDEVP(終値!R38:AK38)/AVERAGE(終値!R38:AK38),""))</f>
        <v>7.3824596736557654E-2</v>
      </c>
      <c r="P38" s="503">
        <f>IF(終値!A38="","",IFERROR(4*STDEVP(終値!S38:AL38)/AVERAGE(終値!S38:AL38),""))</f>
        <v>8.771148922654208E-2</v>
      </c>
      <c r="Q38" s="503">
        <f>IF(終値!A38="","",IFERROR(4*STDEVP(終値!T38:AM38)/AVERAGE(終値!T38:AM38),""))</f>
        <v>9.3455817424992718E-2</v>
      </c>
      <c r="R38" s="503">
        <f>IF(終値!A38="","",IFERROR(4*STDEVP(終値!U38:AN38)/AVERAGE(終値!U38:AN38),""))</f>
        <v>0.10159741935618143</v>
      </c>
      <c r="S38" s="503">
        <f>IF(終値!A38="","",IFERROR(4*STDEVP(終値!V38:AO38)/AVERAGE(終値!V38:AO38),""))</f>
        <v>0.10567241142459469</v>
      </c>
      <c r="T38" s="503">
        <f>IF(終値!A38="","",IFERROR(4*STDEVP(終値!W38:AP38)/AVERAGE(終値!W38:AP38),""))</f>
        <v>0.10297921460811608</v>
      </c>
      <c r="U38" s="503">
        <f>IF(終値!A38="","",IFERROR(4*STDEVP(終値!X38:AQ38)/AVERAGE(終値!X38:AQ38),""))</f>
        <v>0.10193091642970842</v>
      </c>
      <c r="V38" s="503">
        <f>IF(終値!A38="","",IFERROR(4*STDEVP(終値!Y38:AR38)/AVERAGE(終値!Y38:AR38),""))</f>
        <v>0.10087835665441709</v>
      </c>
      <c r="W38" s="503">
        <f>IF(終値!A38="","",IFERROR(4*STDEVP(終値!Z38:AS38)/AVERAGE(終値!Z38:AS38),""))</f>
        <v>0.10086861644989649</v>
      </c>
      <c r="X38" s="503">
        <f>IF(終値!A38="","",IFERROR(4*STDEVP(終値!AA38:AT38)/AVERAGE(終値!AA38:AT38),""))</f>
        <v>0.10113272245175783</v>
      </c>
      <c r="Y38" s="503">
        <f>IF(終値!A38="","",IFERROR(4*STDEVP(終値!AB38:AU38)/AVERAGE(終値!AB38:AU38),""))</f>
        <v>0.10133894120665335</v>
      </c>
      <c r="Z38" s="503">
        <f>IF(終値!A38="","",IFERROR(4*STDEVP(終値!AC38:AV38)/AVERAGE(終値!AC38:AV38),""))</f>
        <v>9.9521974291573514E-2</v>
      </c>
      <c r="AA38" s="503">
        <f>IF(終値!A38="","",IFERROR(4*STDEVP(終値!AD38:AW38)/AVERAGE(終値!AD38:AW38),""))</f>
        <v>9.2743439273882428E-2</v>
      </c>
      <c r="AB38" s="503">
        <f>IF(終値!A38="","",IFERROR(4*STDEVP(終値!AE38:AX38)/AVERAGE(終値!AE38:AX38),""))</f>
        <v>9.0647868318710634E-2</v>
      </c>
      <c r="AC38" s="503">
        <f>IF(終値!A38="","",IFERROR(4*STDEVP(終値!AF38:AY38)/AVERAGE(終値!AF38:AY38),""))</f>
        <v>8.4496951655346625E-2</v>
      </c>
      <c r="AD38" s="503">
        <f>IF(終値!A38="","",IFERROR(4*STDEVP(終値!AG38:AZ38)/AVERAGE(終値!AG38:AZ38),""))</f>
        <v>7.925320447100033E-2</v>
      </c>
      <c r="AE38" s="503">
        <f>IF(終値!A38="","",IFERROR(4*STDEVP(終値!AH38:BA38)/AVERAGE(終値!AH38:BA38),""))</f>
        <v>7.2128298169304314E-2</v>
      </c>
      <c r="AF38" s="503">
        <f>IF(終値!A38="","",IFERROR(4*STDEVP(終値!AI38:BB38)/AVERAGE(終値!AI38:BB38),""))</f>
        <v>6.5136990845038351E-2</v>
      </c>
      <c r="AG38" s="503">
        <f>IF(終値!A38="","",IFERROR(4*STDEVP(終値!AJ38:BC38)/AVERAGE(終値!AJ38:BC38),""))</f>
        <v>5.9581100938607912E-2</v>
      </c>
      <c r="AH38" s="503">
        <f>IF(終値!A38="","",IFERROR(4*STDEVP(終値!AK38:BD38)/AVERAGE(終値!AK38:BD38),""))</f>
        <v>6.7610375901227981E-2</v>
      </c>
      <c r="AI38" s="503">
        <f>IF(終値!A38="","",IFERROR(4*STDEVP(終値!AL38:BE38)/AVERAGE(終値!AL38:BE38),""))</f>
        <v>6.8469855905688576E-2</v>
      </c>
      <c r="AJ38" s="503">
        <f>IF(終値!A38="","",IFERROR(4*STDEVP(終値!AM38:BF38)/AVERAGE(終値!AM38:BF38),""))</f>
        <v>6.9282746822100172E-2</v>
      </c>
      <c r="AK38" s="503">
        <f>IF(終値!A38="","",IFERROR(4*STDEVP(終値!AN38:BG38)/AVERAGE(終値!AN38:BG38),""))</f>
        <v>6.791227587108474E-2</v>
      </c>
      <c r="AL38" s="503">
        <f>IF(終値!A38="","",IFERROR(4*STDEVP(終値!AO38:BH38)/AVERAGE(終値!AO38:BH38),""))</f>
        <v>6.65382354853256E-2</v>
      </c>
      <c r="AM38" s="503">
        <f>IF(終値!A38="","",IFERROR(4*STDEVP(終値!AP38:BI38)/AVERAGE(終値!AP38:BI38),""))</f>
        <v>6.1828090102341068E-2</v>
      </c>
      <c r="AN38" s="503">
        <f>IF(終値!A38="","",IFERROR(4*STDEVP(終値!AQ38:BJ38)/AVERAGE(終値!AQ38:BJ38),""))</f>
        <v>6.4505167036463265E-2</v>
      </c>
      <c r="AO38" s="503">
        <f>IF(終値!A38="","",IFERROR(4*STDEVP(終値!AR38:BK38)/AVERAGE(終値!AR38:BK38),""))</f>
        <v>6.8806420285672645E-2</v>
      </c>
      <c r="AP38" s="503">
        <f>IF(終値!A38="","",IFERROR(4*STDEVP(終値!AS38:BL38)/AVERAGE(終値!AS38:BL38),""))</f>
        <v>6.5720794307152761E-2</v>
      </c>
    </row>
    <row r="39" spans="1:42">
      <c r="A39" s="500" t="str">
        <f>IF(終値!A39="","",終値!A39)</f>
        <v>8593</v>
      </c>
      <c r="B39" s="503">
        <f>IF(終値!A39="","",IFERROR(4*STDEVP(終値!E39:X39)/AVERAGE(終値!E39:X39),""))</f>
        <v>0.11252105982494943</v>
      </c>
      <c r="C39" s="503">
        <f>IF(終値!A39="","",IFERROR(4*STDEVP(終値!F39:Y39)/AVERAGE(終値!F39:Y39),""))</f>
        <v>0.11616472625689779</v>
      </c>
      <c r="D39" s="503">
        <f>IF(終値!A39="","",IFERROR(4*STDEVP(終値!G39:Z39)/AVERAGE(終値!G39:Z39),""))</f>
        <v>0.12084762792552448</v>
      </c>
      <c r="E39" s="503">
        <f>IF(終値!A39="","",IFERROR(4*STDEVP(終値!H39:AA39)/AVERAGE(終値!H39:AA39),""))</f>
        <v>0.12885503883725583</v>
      </c>
      <c r="F39" s="503">
        <f>IF(終値!A39="","",IFERROR(4*STDEVP(終値!I39:AB39)/AVERAGE(終値!I39:AB39),""))</f>
        <v>0.14056313657902669</v>
      </c>
      <c r="G39" s="503">
        <f>IF(終値!A39="","",IFERROR(4*STDEVP(終値!J39:AC39)/AVERAGE(終値!J39:AC39),""))</f>
        <v>0.15093993104362341</v>
      </c>
      <c r="H39" s="503">
        <f>IF(終値!A39="","",IFERROR(4*STDEVP(終値!K39:AD39)/AVERAGE(終値!K39:AD39),""))</f>
        <v>0.15220697696881424</v>
      </c>
      <c r="I39" s="503">
        <f>IF(終値!A39="","",IFERROR(4*STDEVP(終値!L39:AE39)/AVERAGE(終値!L39:AE39),""))</f>
        <v>0.13909121019220916</v>
      </c>
      <c r="J39" s="503">
        <f>IF(終値!A39="","",IFERROR(4*STDEVP(終値!M39:AF39)/AVERAGE(終値!M39:AF39),""))</f>
        <v>0.13827803346997145</v>
      </c>
      <c r="K39" s="503">
        <f>IF(終値!A39="","",IFERROR(4*STDEVP(終値!N39:AG39)/AVERAGE(終値!N39:AG39),""))</f>
        <v>0.13403583811772857</v>
      </c>
      <c r="L39" s="503">
        <f>IF(終値!A39="","",IFERROR(4*STDEVP(終値!O39:AH39)/AVERAGE(終値!O39:AH39),""))</f>
        <v>0.13563433983178072</v>
      </c>
      <c r="M39" s="503">
        <f>IF(終値!A39="","",IFERROR(4*STDEVP(終値!P39:AI39)/AVERAGE(終値!P39:AI39),""))</f>
        <v>0.13497174512307719</v>
      </c>
      <c r="N39" s="503">
        <f>IF(終値!A39="","",IFERROR(4*STDEVP(終値!Q39:AJ39)/AVERAGE(終値!Q39:AJ39),""))</f>
        <v>0.12789188000869983</v>
      </c>
      <c r="O39" s="503">
        <f>IF(終値!A39="","",IFERROR(4*STDEVP(終値!R39:AK39)/AVERAGE(終値!R39:AK39),""))</f>
        <v>0.11544186842448476</v>
      </c>
      <c r="P39" s="503">
        <f>IF(終値!A39="","",IFERROR(4*STDEVP(終値!S39:AL39)/AVERAGE(終値!S39:AL39),""))</f>
        <v>0.11272873682128172</v>
      </c>
      <c r="Q39" s="503">
        <f>IF(終値!A39="","",IFERROR(4*STDEVP(終値!T39:AM39)/AVERAGE(終値!T39:AM39),""))</f>
        <v>0.10171219865648413</v>
      </c>
      <c r="R39" s="503">
        <f>IF(終値!A39="","",IFERROR(4*STDEVP(終値!U39:AN39)/AVERAGE(終値!U39:AN39),""))</f>
        <v>9.3346774719990228E-2</v>
      </c>
      <c r="S39" s="503">
        <f>IF(終値!A39="","",IFERROR(4*STDEVP(終値!V39:AO39)/AVERAGE(終値!V39:AO39),""))</f>
        <v>8.8086478413465744E-2</v>
      </c>
      <c r="T39" s="503">
        <f>IF(終値!A39="","",IFERROR(4*STDEVP(終値!W39:AP39)/AVERAGE(終値!W39:AP39),""))</f>
        <v>8.5211451739093683E-2</v>
      </c>
      <c r="U39" s="503">
        <f>IF(終値!A39="","",IFERROR(4*STDEVP(終値!X39:AQ39)/AVERAGE(終値!X39:AQ39),""))</f>
        <v>8.0020066282953634E-2</v>
      </c>
      <c r="V39" s="503">
        <f>IF(終値!A39="","",IFERROR(4*STDEVP(終値!Y39:AR39)/AVERAGE(終値!Y39:AR39),""))</f>
        <v>6.8611944244686571E-2</v>
      </c>
      <c r="W39" s="503">
        <f>IF(終値!A39="","",IFERROR(4*STDEVP(終値!Z39:AS39)/AVERAGE(終値!Z39:AS39),""))</f>
        <v>5.6399065446525766E-2</v>
      </c>
      <c r="X39" s="503">
        <f>IF(終値!A39="","",IFERROR(4*STDEVP(終値!AA39:AT39)/AVERAGE(終値!AA39:AT39),""))</f>
        <v>5.0752904750439212E-2</v>
      </c>
      <c r="Y39" s="503">
        <f>IF(終値!A39="","",IFERROR(4*STDEVP(終値!AB39:AU39)/AVERAGE(終値!AB39:AU39),""))</f>
        <v>5.5705943957952538E-2</v>
      </c>
      <c r="Z39" s="503">
        <f>IF(終値!A39="","",IFERROR(4*STDEVP(終値!AC39:AV39)/AVERAGE(終値!AC39:AV39),""))</f>
        <v>6.0666185831857761E-2</v>
      </c>
      <c r="AA39" s="503">
        <f>IF(終値!A39="","",IFERROR(4*STDEVP(終値!AD39:AW39)/AVERAGE(終値!AD39:AW39),""))</f>
        <v>6.6345861110767221E-2</v>
      </c>
      <c r="AB39" s="503">
        <f>IF(終値!A39="","",IFERROR(4*STDEVP(終値!AE39:AX39)/AVERAGE(終値!AE39:AX39),""))</f>
        <v>6.5919762194595874E-2</v>
      </c>
      <c r="AC39" s="503">
        <f>IF(終値!A39="","",IFERROR(4*STDEVP(終値!AF39:AY39)/AVERAGE(終値!AF39:AY39),""))</f>
        <v>6.499779067075101E-2</v>
      </c>
      <c r="AD39" s="503">
        <f>IF(終値!A39="","",IFERROR(4*STDEVP(終値!AG39:AZ39)/AVERAGE(終値!AG39:AZ39),""))</f>
        <v>6.505137714247762E-2</v>
      </c>
      <c r="AE39" s="503">
        <f>IF(終値!A39="","",IFERROR(4*STDEVP(終値!AH39:BA39)/AVERAGE(終値!AH39:BA39),""))</f>
        <v>6.5710401675636562E-2</v>
      </c>
      <c r="AF39" s="503">
        <f>IF(終値!A39="","",IFERROR(4*STDEVP(終値!AI39:BB39)/AVERAGE(終値!AI39:BB39),""))</f>
        <v>6.5917316103639781E-2</v>
      </c>
      <c r="AG39" s="503">
        <f>IF(終値!A39="","",IFERROR(4*STDEVP(終値!AJ39:BC39)/AVERAGE(終値!AJ39:BC39),""))</f>
        <v>6.7784537768450323E-2</v>
      </c>
      <c r="AH39" s="503">
        <f>IF(終値!A39="","",IFERROR(4*STDEVP(終値!AK39:BD39)/AVERAGE(終値!AK39:BD39),""))</f>
        <v>7.1575105563007502E-2</v>
      </c>
      <c r="AI39" s="503">
        <f>IF(終値!A39="","",IFERROR(4*STDEVP(終値!AL39:BE39)/AVERAGE(終値!AL39:BE39),""))</f>
        <v>7.5522554498631697E-2</v>
      </c>
      <c r="AJ39" s="503">
        <f>IF(終値!A39="","",IFERROR(4*STDEVP(終値!AM39:BF39)/AVERAGE(終値!AM39:BF39),""))</f>
        <v>7.7523926403827673E-2</v>
      </c>
      <c r="AK39" s="503">
        <f>IF(終値!A39="","",IFERROR(4*STDEVP(終値!AN39:BG39)/AVERAGE(終値!AN39:BG39),""))</f>
        <v>0.10888652988919117</v>
      </c>
      <c r="AL39" s="503">
        <f>IF(終値!A39="","",IFERROR(4*STDEVP(終値!AO39:BH39)/AVERAGE(終値!AO39:BH39),""))</f>
        <v>0.13366364477695392</v>
      </c>
      <c r="AM39" s="503">
        <f>IF(終値!A39="","",IFERROR(4*STDEVP(終値!AP39:BI39)/AVERAGE(終値!AP39:BI39),""))</f>
        <v>0.15292909133934618</v>
      </c>
      <c r="AN39" s="503">
        <f>IF(終値!A39="","",IFERROR(4*STDEVP(終値!AQ39:BJ39)/AVERAGE(終値!AQ39:BJ39),""))</f>
        <v>0.16936823711819196</v>
      </c>
      <c r="AO39" s="503">
        <f>IF(終値!A39="","",IFERROR(4*STDEVP(終値!AR39:BK39)/AVERAGE(終値!AR39:BK39),""))</f>
        <v>0.17656825452005925</v>
      </c>
      <c r="AP39" s="503">
        <f>IF(終値!A39="","",IFERROR(4*STDEVP(終値!AS39:BL39)/AVERAGE(終値!AS39:BL39),""))</f>
        <v>0.18095287752374567</v>
      </c>
    </row>
    <row r="40" spans="1:42">
      <c r="A40" s="500" t="str">
        <f>IF(終値!A40="","",終値!A40)</f>
        <v>8604</v>
      </c>
      <c r="B40" s="503">
        <f>IF(終値!A40="","",IFERROR(4*STDEVP(終値!E40:X40)/AVERAGE(終値!E40:X40),""))</f>
        <v>0.10525539803911706</v>
      </c>
      <c r="C40" s="503">
        <f>IF(終値!A40="","",IFERROR(4*STDEVP(終値!F40:Y40)/AVERAGE(終値!F40:Y40),""))</f>
        <v>0.10553889677346877</v>
      </c>
      <c r="D40" s="503">
        <f>IF(終値!A40="","",IFERROR(4*STDEVP(終値!G40:Z40)/AVERAGE(終値!G40:Z40),""))</f>
        <v>0.11204682745202446</v>
      </c>
      <c r="E40" s="503">
        <f>IF(終値!A40="","",IFERROR(4*STDEVP(終値!H40:AA40)/AVERAGE(終値!H40:AA40),""))</f>
        <v>0.11948501690650888</v>
      </c>
      <c r="F40" s="503">
        <f>IF(終値!A40="","",IFERROR(4*STDEVP(終値!I40:AB40)/AVERAGE(終値!I40:AB40),""))</f>
        <v>0.12829953695968194</v>
      </c>
      <c r="G40" s="503">
        <f>IF(終値!A40="","",IFERROR(4*STDEVP(終値!J40:AC40)/AVERAGE(終値!J40:AC40),""))</f>
        <v>0.14187314185575223</v>
      </c>
      <c r="H40" s="503">
        <f>IF(終値!A40="","",IFERROR(4*STDEVP(終値!K40:AD40)/AVERAGE(終値!K40:AD40),""))</f>
        <v>0.1550500216615181</v>
      </c>
      <c r="I40" s="503">
        <f>IF(終値!A40="","",IFERROR(4*STDEVP(終値!L40:AE40)/AVERAGE(終値!L40:AE40),""))</f>
        <v>0.17015272369943879</v>
      </c>
      <c r="J40" s="503">
        <f>IF(終値!A40="","",IFERROR(4*STDEVP(終値!M40:AF40)/AVERAGE(終値!M40:AF40),""))</f>
        <v>0.18031918717207787</v>
      </c>
      <c r="K40" s="503">
        <f>IF(終値!A40="","",IFERROR(4*STDEVP(終値!N40:AG40)/AVERAGE(終値!N40:AG40),""))</f>
        <v>0.18570006415405696</v>
      </c>
      <c r="L40" s="503">
        <f>IF(終値!A40="","",IFERROR(4*STDEVP(終値!O40:AH40)/AVERAGE(終値!O40:AH40),""))</f>
        <v>0.18978743171516851</v>
      </c>
      <c r="M40" s="503">
        <f>IF(終値!A40="","",IFERROR(4*STDEVP(終値!P40:AI40)/AVERAGE(終値!P40:AI40),""))</f>
        <v>0.18627641096262659</v>
      </c>
      <c r="N40" s="503">
        <f>IF(終値!A40="","",IFERROR(4*STDEVP(終値!Q40:AJ40)/AVERAGE(終値!Q40:AJ40),""))</f>
        <v>0.17795863628374983</v>
      </c>
      <c r="O40" s="503">
        <f>IF(終値!A40="","",IFERROR(4*STDEVP(終値!R40:AK40)/AVERAGE(終値!R40:AK40),""))</f>
        <v>0.17357854909840817</v>
      </c>
      <c r="P40" s="503">
        <f>IF(終値!A40="","",IFERROR(4*STDEVP(終値!S40:AL40)/AVERAGE(終値!S40:AL40),""))</f>
        <v>0.17384064312602829</v>
      </c>
      <c r="Q40" s="503">
        <f>IF(終値!A40="","",IFERROR(4*STDEVP(終値!T40:AM40)/AVERAGE(終値!T40:AM40),""))</f>
        <v>0.14699396060583864</v>
      </c>
      <c r="R40" s="503">
        <f>IF(終値!A40="","",IFERROR(4*STDEVP(終値!U40:AN40)/AVERAGE(終値!U40:AN40),""))</f>
        <v>0.13968800443240315</v>
      </c>
      <c r="S40" s="503">
        <f>IF(終値!A40="","",IFERROR(4*STDEVP(終値!V40:AO40)/AVERAGE(終値!V40:AO40),""))</f>
        <v>0.13204808209740473</v>
      </c>
      <c r="T40" s="503">
        <f>IF(終値!A40="","",IFERROR(4*STDEVP(終値!W40:AP40)/AVERAGE(終値!W40:AP40),""))</f>
        <v>0.12960546329127948</v>
      </c>
      <c r="U40" s="503">
        <f>IF(終値!A40="","",IFERROR(4*STDEVP(終値!X40:AQ40)/AVERAGE(終値!X40:AQ40),""))</f>
        <v>0.13011091117982532</v>
      </c>
      <c r="V40" s="503">
        <f>IF(終値!A40="","",IFERROR(4*STDEVP(終値!Y40:AR40)/AVERAGE(終値!Y40:AR40),""))</f>
        <v>0.11349054867052612</v>
      </c>
      <c r="W40" s="503">
        <f>IF(終値!A40="","",IFERROR(4*STDEVP(終値!Z40:AS40)/AVERAGE(終値!Z40:AS40),""))</f>
        <v>9.7667992530369618E-2</v>
      </c>
      <c r="X40" s="503">
        <f>IF(終値!A40="","",IFERROR(4*STDEVP(終値!AA40:AT40)/AVERAGE(終値!AA40:AT40),""))</f>
        <v>9.2164986776620439E-2</v>
      </c>
      <c r="Y40" s="503">
        <f>IF(終値!A40="","",IFERROR(4*STDEVP(終値!AB40:AU40)/AVERAGE(終値!AB40:AU40),""))</f>
        <v>9.1382836593891473E-2</v>
      </c>
      <c r="Z40" s="503">
        <f>IF(終値!A40="","",IFERROR(4*STDEVP(終値!AC40:AV40)/AVERAGE(終値!AC40:AV40),""))</f>
        <v>9.0922829206896774E-2</v>
      </c>
      <c r="AA40" s="503">
        <f>IF(終値!A40="","",IFERROR(4*STDEVP(終値!AD40:AW40)/AVERAGE(終値!AD40:AW40),""))</f>
        <v>9.8916421784617278E-2</v>
      </c>
      <c r="AB40" s="503">
        <f>IF(終値!A40="","",IFERROR(4*STDEVP(終値!AE40:AX40)/AVERAGE(終値!AE40:AX40),""))</f>
        <v>0.11966992990742095</v>
      </c>
      <c r="AC40" s="503">
        <f>IF(終値!A40="","",IFERROR(4*STDEVP(終値!AF40:AY40)/AVERAGE(終値!AF40:AY40),""))</f>
        <v>0.1466982792209722</v>
      </c>
      <c r="AD40" s="503">
        <f>IF(終値!A40="","",IFERROR(4*STDEVP(終値!AG40:AZ40)/AVERAGE(終値!AG40:AZ40),""))</f>
        <v>0.16264655810810538</v>
      </c>
      <c r="AE40" s="503">
        <f>IF(終値!A40="","",IFERROR(4*STDEVP(終値!AH40:BA40)/AVERAGE(終値!AH40:BA40),""))</f>
        <v>0.17230135198776353</v>
      </c>
      <c r="AF40" s="503">
        <f>IF(終値!A40="","",IFERROR(4*STDEVP(終値!AI40:BB40)/AVERAGE(終値!AI40:BB40),""))</f>
        <v>0.17729544971379346</v>
      </c>
      <c r="AG40" s="503">
        <f>IF(終値!A40="","",IFERROR(4*STDEVP(終値!AJ40:BC40)/AVERAGE(終値!AJ40:BC40),""))</f>
        <v>0.18064274697017743</v>
      </c>
      <c r="AH40" s="503">
        <f>IF(終値!A40="","",IFERROR(4*STDEVP(終値!AK40:BD40)/AVERAGE(終値!AK40:BD40),""))</f>
        <v>0.18395529925215273</v>
      </c>
      <c r="AI40" s="503">
        <f>IF(終値!A40="","",IFERROR(4*STDEVP(終値!AL40:BE40)/AVERAGE(終値!AL40:BE40),""))</f>
        <v>0.18417984462735681</v>
      </c>
      <c r="AJ40" s="503">
        <f>IF(終値!A40="","",IFERROR(4*STDEVP(終値!AM40:BF40)/AVERAGE(終値!AM40:BF40),""))</f>
        <v>0.18113513290886452</v>
      </c>
      <c r="AK40" s="503">
        <f>IF(終値!A40="","",IFERROR(4*STDEVP(終値!AN40:BG40)/AVERAGE(終値!AN40:BG40),""))</f>
        <v>0.16390750772331672</v>
      </c>
      <c r="AL40" s="503">
        <f>IF(終値!A40="","",IFERROR(4*STDEVP(終値!AO40:BH40)/AVERAGE(終値!AO40:BH40),""))</f>
        <v>0.153802791765387</v>
      </c>
      <c r="AM40" s="503">
        <f>IF(終値!A40="","",IFERROR(4*STDEVP(終値!AP40:BI40)/AVERAGE(終値!AP40:BI40),""))</f>
        <v>0.13828824902773518</v>
      </c>
      <c r="AN40" s="503">
        <f>IF(終値!A40="","",IFERROR(4*STDEVP(終値!AQ40:BJ40)/AVERAGE(終値!AQ40:BJ40),""))</f>
        <v>0.13943693412454988</v>
      </c>
      <c r="AO40" s="503">
        <f>IF(終値!A40="","",IFERROR(4*STDEVP(終値!AR40:BK40)/AVERAGE(終値!AR40:BK40),""))</f>
        <v>0.14177359125635697</v>
      </c>
      <c r="AP40" s="503">
        <f>IF(終値!A40="","",IFERROR(4*STDEVP(終値!AS40:BL40)/AVERAGE(終値!AS40:BL40),""))</f>
        <v>0.13120111178491828</v>
      </c>
    </row>
    <row r="41" spans="1:42">
      <c r="A41" s="500" t="str">
        <f>IF(終値!A41="","",終値!A41)</f>
        <v>3861</v>
      </c>
      <c r="B41" s="503">
        <f>IF(終値!A41="","",IFERROR(4*STDEVP(終値!E41:X41)/AVERAGE(終値!E41:X41),""))</f>
        <v>0.12015105994220134</v>
      </c>
      <c r="C41" s="503">
        <f>IF(終値!A41="","",IFERROR(4*STDEVP(終値!F41:Y41)/AVERAGE(終値!F41:Y41),""))</f>
        <v>0.12156886344786971</v>
      </c>
      <c r="D41" s="503">
        <f>IF(終値!A41="","",IFERROR(4*STDEVP(終値!G41:Z41)/AVERAGE(終値!G41:Z41),""))</f>
        <v>0.12428382163032053</v>
      </c>
      <c r="E41" s="503">
        <f>IF(終値!A41="","",IFERROR(4*STDEVP(終値!H41:AA41)/AVERAGE(終値!H41:AA41),""))</f>
        <v>0.12890088773360897</v>
      </c>
      <c r="F41" s="503">
        <f>IF(終値!A41="","",IFERROR(4*STDEVP(終値!I41:AB41)/AVERAGE(終値!I41:AB41),""))</f>
        <v>0.13171690027126473</v>
      </c>
      <c r="G41" s="503">
        <f>IF(終値!A41="","",IFERROR(4*STDEVP(終値!J41:AC41)/AVERAGE(終値!J41:AC41),""))</f>
        <v>0.13780369249992036</v>
      </c>
      <c r="H41" s="503">
        <f>IF(終値!A41="","",IFERROR(4*STDEVP(終値!K41:AD41)/AVERAGE(終値!K41:AD41),""))</f>
        <v>0.13554394862369831</v>
      </c>
      <c r="I41" s="503">
        <f>IF(終値!A41="","",IFERROR(4*STDEVP(終値!L41:AE41)/AVERAGE(終値!L41:AE41),""))</f>
        <v>0.12389097909552656</v>
      </c>
      <c r="J41" s="503">
        <f>IF(終値!A41="","",IFERROR(4*STDEVP(終値!M41:AF41)/AVERAGE(終値!M41:AF41),""))</f>
        <v>0.11989331308224127</v>
      </c>
      <c r="K41" s="503">
        <f>IF(終値!A41="","",IFERROR(4*STDEVP(終値!N41:AG41)/AVERAGE(終値!N41:AG41),""))</f>
        <v>0.1146823398946121</v>
      </c>
      <c r="L41" s="503">
        <f>IF(終値!A41="","",IFERROR(4*STDEVP(終値!O41:AH41)/AVERAGE(終値!O41:AH41),""))</f>
        <v>0.11821966180856108</v>
      </c>
      <c r="M41" s="503">
        <f>IF(終値!A41="","",IFERROR(4*STDEVP(終値!P41:AI41)/AVERAGE(終値!P41:AI41),""))</f>
        <v>0.1098553846925697</v>
      </c>
      <c r="N41" s="503">
        <f>IF(終値!A41="","",IFERROR(4*STDEVP(終値!Q41:AJ41)/AVERAGE(終値!Q41:AJ41),""))</f>
        <v>0.10004707372856238</v>
      </c>
      <c r="O41" s="503">
        <f>IF(終値!A41="","",IFERROR(4*STDEVP(終値!R41:AK41)/AVERAGE(終値!R41:AK41),""))</f>
        <v>8.8753515522790927E-2</v>
      </c>
      <c r="P41" s="503">
        <f>IF(終値!A41="","",IFERROR(4*STDEVP(終値!S41:AL41)/AVERAGE(終値!S41:AL41),""))</f>
        <v>8.3700571516210867E-2</v>
      </c>
      <c r="Q41" s="503">
        <f>IF(終値!A41="","",IFERROR(4*STDEVP(終値!T41:AM41)/AVERAGE(終値!T41:AM41),""))</f>
        <v>8.1193144604119555E-2</v>
      </c>
      <c r="R41" s="503">
        <f>IF(終値!A41="","",IFERROR(4*STDEVP(終値!U41:AN41)/AVERAGE(終値!U41:AN41),""))</f>
        <v>7.9558916888339687E-2</v>
      </c>
      <c r="S41" s="503">
        <f>IF(終値!A41="","",IFERROR(4*STDEVP(終値!V41:AO41)/AVERAGE(終値!V41:AO41),""))</f>
        <v>7.9134512380456754E-2</v>
      </c>
      <c r="T41" s="503">
        <f>IF(終値!A41="","",IFERROR(4*STDEVP(終値!W41:AP41)/AVERAGE(終値!W41:AP41),""))</f>
        <v>7.9196283977891496E-2</v>
      </c>
      <c r="U41" s="503">
        <f>IF(終値!A41="","",IFERROR(4*STDEVP(終値!X41:AQ41)/AVERAGE(終値!X41:AQ41),""))</f>
        <v>7.7957757252226575E-2</v>
      </c>
      <c r="V41" s="503">
        <f>IF(終値!A41="","",IFERROR(4*STDEVP(終値!Y41:AR41)/AVERAGE(終値!Y41:AR41),""))</f>
        <v>7.2267870980898694E-2</v>
      </c>
      <c r="W41" s="503">
        <f>IF(終値!A41="","",IFERROR(4*STDEVP(終値!Z41:AS41)/AVERAGE(終値!Z41:AS41),""))</f>
        <v>6.4491357174585859E-2</v>
      </c>
      <c r="X41" s="503">
        <f>IF(終値!A41="","",IFERROR(4*STDEVP(終値!AA41:AT41)/AVERAGE(終値!AA41:AT41),""))</f>
        <v>5.4225293070575734E-2</v>
      </c>
      <c r="Y41" s="503">
        <f>IF(終値!A41="","",IFERROR(4*STDEVP(終値!AB41:AU41)/AVERAGE(終値!AB41:AU41),""))</f>
        <v>5.2713275205407827E-2</v>
      </c>
      <c r="Z41" s="503">
        <f>IF(終値!A41="","",IFERROR(4*STDEVP(終値!AC41:AV41)/AVERAGE(終値!AC41:AV41),""))</f>
        <v>4.7643539726420117E-2</v>
      </c>
      <c r="AA41" s="503">
        <f>IF(終値!A41="","",IFERROR(4*STDEVP(終値!AD41:AW41)/AVERAGE(終値!AD41:AW41),""))</f>
        <v>5.3153769188882073E-2</v>
      </c>
      <c r="AB41" s="503">
        <f>IF(終値!A41="","",IFERROR(4*STDEVP(終値!AE41:AX41)/AVERAGE(終値!AE41:AX41),""))</f>
        <v>5.3014111658172061E-2</v>
      </c>
      <c r="AC41" s="503">
        <f>IF(終値!A41="","",IFERROR(4*STDEVP(終値!AF41:AY41)/AVERAGE(終値!AF41:AY41),""))</f>
        <v>4.9186148632717822E-2</v>
      </c>
      <c r="AD41" s="503">
        <f>IF(終値!A41="","",IFERROR(4*STDEVP(終値!AG41:AZ41)/AVERAGE(終値!AG41:AZ41),""))</f>
        <v>4.9708663017221766E-2</v>
      </c>
      <c r="AE41" s="503">
        <f>IF(終値!A41="","",IFERROR(4*STDEVP(終値!AH41:BA41)/AVERAGE(終値!AH41:BA41),""))</f>
        <v>5.0885666321111321E-2</v>
      </c>
      <c r="AF41" s="503">
        <f>IF(終値!A41="","",IFERROR(4*STDEVP(終値!AI41:BB41)/AVERAGE(終値!AI41:BB41),""))</f>
        <v>5.0379027760428255E-2</v>
      </c>
      <c r="AG41" s="503">
        <f>IF(終値!A41="","",IFERROR(4*STDEVP(終値!AJ41:BC41)/AVERAGE(終値!AJ41:BC41),""))</f>
        <v>5.0874743543075085E-2</v>
      </c>
      <c r="AH41" s="503">
        <f>IF(終値!A41="","",IFERROR(4*STDEVP(終値!AK41:BD41)/AVERAGE(終値!AK41:BD41),""))</f>
        <v>5.35655377266685E-2</v>
      </c>
      <c r="AI41" s="503">
        <f>IF(終値!A41="","",IFERROR(4*STDEVP(終値!AL41:BE41)/AVERAGE(終値!AL41:BE41),""))</f>
        <v>5.8874958179808597E-2</v>
      </c>
      <c r="AJ41" s="503">
        <f>IF(終値!A41="","",IFERROR(4*STDEVP(終値!AM41:BF41)/AVERAGE(終値!AM41:BF41),""))</f>
        <v>6.2373459891608383E-2</v>
      </c>
      <c r="AK41" s="503">
        <f>IF(終値!A41="","",IFERROR(4*STDEVP(終値!AN41:BG41)/AVERAGE(終値!AN41:BG41),""))</f>
        <v>9.7622896883328591E-2</v>
      </c>
      <c r="AL41" s="503">
        <f>IF(終値!A41="","",IFERROR(4*STDEVP(終値!AO41:BH41)/AVERAGE(終値!AO41:BH41),""))</f>
        <v>0.11216853033741925</v>
      </c>
      <c r="AM41" s="503">
        <f>IF(終値!A41="","",IFERROR(4*STDEVP(終値!AP41:BI41)/AVERAGE(終値!AP41:BI41),""))</f>
        <v>0.12112344386117764</v>
      </c>
      <c r="AN41" s="503">
        <f>IF(終値!A41="","",IFERROR(4*STDEVP(終値!AQ41:BJ41)/AVERAGE(終値!AQ41:BJ41),""))</f>
        <v>0.12642202791948204</v>
      </c>
      <c r="AO41" s="503">
        <f>IF(終値!A41="","",IFERROR(4*STDEVP(終値!AR41:BK41)/AVERAGE(終値!AR41:BK41),""))</f>
        <v>0.12770849386374625</v>
      </c>
      <c r="AP41" s="503">
        <f>IF(終値!A41="","",IFERROR(4*STDEVP(終値!AS41:BL41)/AVERAGE(終値!AS41:BL41),""))</f>
        <v>0.13023790212152025</v>
      </c>
    </row>
    <row r="42" spans="1:42">
      <c r="A42" s="500" t="str">
        <f>IF(終値!A42="","",終値!A42)</f>
        <v>5947</v>
      </c>
      <c r="B42" s="503">
        <f>IF(終値!A42="","",IFERROR(4*STDEVP(終値!E42:X42)/AVERAGE(終値!E42:X42),""))</f>
        <v>7.7966977308359581E-2</v>
      </c>
      <c r="C42" s="503">
        <f>IF(終値!A42="","",IFERROR(4*STDEVP(終値!F42:Y42)/AVERAGE(終値!F42:Y42),""))</f>
        <v>7.9224642169987647E-2</v>
      </c>
      <c r="D42" s="503">
        <f>IF(終値!A42="","",IFERROR(4*STDEVP(終値!G42:Z42)/AVERAGE(終値!G42:Z42),""))</f>
        <v>7.4255929587475913E-2</v>
      </c>
      <c r="E42" s="503">
        <f>IF(終値!A42="","",IFERROR(4*STDEVP(終値!H42:AA42)/AVERAGE(終値!H42:AA42),""))</f>
        <v>6.6920717712441666E-2</v>
      </c>
      <c r="F42" s="503">
        <f>IF(終値!A42="","",IFERROR(4*STDEVP(終値!I42:AB42)/AVERAGE(終値!I42:AB42),""))</f>
        <v>6.5387699333620014E-2</v>
      </c>
      <c r="G42" s="503">
        <f>IF(終値!A42="","",IFERROR(4*STDEVP(終値!J42:AC42)/AVERAGE(終値!J42:AC42),""))</f>
        <v>6.6065474918054826E-2</v>
      </c>
      <c r="H42" s="503">
        <f>IF(終値!A42="","",IFERROR(4*STDEVP(終値!K42:AD42)/AVERAGE(終値!K42:AD42),""))</f>
        <v>5.9268965308076182E-2</v>
      </c>
      <c r="I42" s="503">
        <f>IF(終値!A42="","",IFERROR(4*STDEVP(終値!L42:AE42)/AVERAGE(終値!L42:AE42),""))</f>
        <v>4.0508046224680599E-2</v>
      </c>
      <c r="J42" s="503">
        <f>IF(終値!A42="","",IFERROR(4*STDEVP(終値!M42:AF42)/AVERAGE(終値!M42:AF42),""))</f>
        <v>3.4561278457422386E-2</v>
      </c>
      <c r="K42" s="503">
        <f>IF(終値!A42="","",IFERROR(4*STDEVP(終値!N42:AG42)/AVERAGE(終値!N42:AG42),""))</f>
        <v>3.3415068702091572E-2</v>
      </c>
      <c r="L42" s="503">
        <f>IF(終値!A42="","",IFERROR(4*STDEVP(終値!O42:AH42)/AVERAGE(終値!O42:AH42),""))</f>
        <v>3.7275284213262774E-2</v>
      </c>
      <c r="M42" s="503">
        <f>IF(終値!A42="","",IFERROR(4*STDEVP(終値!P42:AI42)/AVERAGE(終値!P42:AI42),""))</f>
        <v>4.6183332080283697E-2</v>
      </c>
      <c r="N42" s="503">
        <f>IF(終値!A42="","",IFERROR(4*STDEVP(終値!Q42:AJ42)/AVERAGE(終値!Q42:AJ42),""))</f>
        <v>5.2105476238874696E-2</v>
      </c>
      <c r="O42" s="503">
        <f>IF(終値!A42="","",IFERROR(4*STDEVP(終値!R42:AK42)/AVERAGE(終値!R42:AK42),""))</f>
        <v>6.1157807714744418E-2</v>
      </c>
      <c r="P42" s="503">
        <f>IF(終値!A42="","",IFERROR(4*STDEVP(終値!S42:AL42)/AVERAGE(終値!S42:AL42),""))</f>
        <v>6.781290955491176E-2</v>
      </c>
      <c r="Q42" s="503">
        <f>IF(終値!A42="","",IFERROR(4*STDEVP(終値!T42:AM42)/AVERAGE(終値!T42:AM42),""))</f>
        <v>7.117068822667337E-2</v>
      </c>
      <c r="R42" s="503">
        <f>IF(終値!A42="","",IFERROR(4*STDEVP(終値!U42:AN42)/AVERAGE(終値!U42:AN42),""))</f>
        <v>7.6457383226116282E-2</v>
      </c>
      <c r="S42" s="503">
        <f>IF(終値!A42="","",IFERROR(4*STDEVP(終値!V42:AO42)/AVERAGE(終値!V42:AO42),""))</f>
        <v>7.7971456323162325E-2</v>
      </c>
      <c r="T42" s="503">
        <f>IF(終値!A42="","",IFERROR(4*STDEVP(終値!W42:AP42)/AVERAGE(終値!W42:AP42),""))</f>
        <v>7.903938146109761E-2</v>
      </c>
      <c r="U42" s="503">
        <f>IF(終値!A42="","",IFERROR(4*STDEVP(終値!X42:AQ42)/AVERAGE(終値!X42:AQ42),""))</f>
        <v>7.8166674121955285E-2</v>
      </c>
      <c r="V42" s="503">
        <f>IF(終値!A42="","",IFERROR(4*STDEVP(終値!Y42:AR42)/AVERAGE(終値!Y42:AR42),""))</f>
        <v>7.4878859464913489E-2</v>
      </c>
      <c r="W42" s="503">
        <f>IF(終値!A42="","",IFERROR(4*STDEVP(終値!Z42:AS42)/AVERAGE(終値!Z42:AS42),""))</f>
        <v>6.6291499658094569E-2</v>
      </c>
      <c r="X42" s="503">
        <f>IF(終値!A42="","",IFERROR(4*STDEVP(終値!AA42:AT42)/AVERAGE(終値!AA42:AT42),""))</f>
        <v>6.1057563945105246E-2</v>
      </c>
      <c r="Y42" s="503">
        <f>IF(終値!A42="","",IFERROR(4*STDEVP(終値!AB42:AU42)/AVERAGE(終値!AB42:AU42),""))</f>
        <v>6.1467540067257569E-2</v>
      </c>
      <c r="Z42" s="503">
        <f>IF(終値!A42="","",IFERROR(4*STDEVP(終値!AC42:AV42)/AVERAGE(終値!AC42:AV42),""))</f>
        <v>6.5374095072043725E-2</v>
      </c>
      <c r="AA42" s="503">
        <f>IF(終値!A42="","",IFERROR(4*STDEVP(終値!AD42:AW42)/AVERAGE(終値!AD42:AW42),""))</f>
        <v>7.3585096347236284E-2</v>
      </c>
      <c r="AB42" s="503">
        <f>IF(終値!A42="","",IFERROR(4*STDEVP(終値!AE42:AX42)/AVERAGE(終値!AE42:AX42),""))</f>
        <v>7.4604494633606175E-2</v>
      </c>
      <c r="AC42" s="503">
        <f>IF(終値!A42="","",IFERROR(4*STDEVP(終値!AF42:AY42)/AVERAGE(終値!AF42:AY42),""))</f>
        <v>6.8358981953941675E-2</v>
      </c>
      <c r="AD42" s="503">
        <f>IF(終値!A42="","",IFERROR(4*STDEVP(終値!AG42:AZ42)/AVERAGE(終値!AG42:AZ42),""))</f>
        <v>6.0835673583778872E-2</v>
      </c>
      <c r="AE42" s="503">
        <f>IF(終値!A42="","",IFERROR(4*STDEVP(終値!AH42:BA42)/AVERAGE(終値!AH42:BA42),""))</f>
        <v>5.7330677722943972E-2</v>
      </c>
      <c r="AF42" s="503">
        <f>IF(終値!A42="","",IFERROR(4*STDEVP(終値!AI42:BB42)/AVERAGE(終値!AI42:BB42),""))</f>
        <v>5.6697030184603238E-2</v>
      </c>
      <c r="AG42" s="503">
        <f>IF(終値!A42="","",IFERROR(4*STDEVP(終値!AJ42:BC42)/AVERAGE(終値!AJ42:BC42),""))</f>
        <v>6.0044346266244455E-2</v>
      </c>
      <c r="AH42" s="503">
        <f>IF(終値!A42="","",IFERROR(4*STDEVP(終値!AK42:BD42)/AVERAGE(終値!AK42:BD42),""))</f>
        <v>6.3961756317600857E-2</v>
      </c>
      <c r="AI42" s="503">
        <f>IF(終値!A42="","",IFERROR(4*STDEVP(終値!AL42:BE42)/AVERAGE(終値!AL42:BE42),""))</f>
        <v>6.7636922214750053E-2</v>
      </c>
      <c r="AJ42" s="503">
        <f>IF(終値!A42="","",IFERROR(4*STDEVP(終値!AM42:BF42)/AVERAGE(終値!AM42:BF42),""))</f>
        <v>6.6962502740156415E-2</v>
      </c>
      <c r="AK42" s="503">
        <f>IF(終値!A42="","",IFERROR(4*STDEVP(終値!AN42:BG42)/AVERAGE(終値!AN42:BG42),""))</f>
        <v>6.6984372049720298E-2</v>
      </c>
      <c r="AL42" s="503">
        <f>IF(終値!A42="","",IFERROR(4*STDEVP(終値!AO42:BH42)/AVERAGE(終値!AO42:BH42),""))</f>
        <v>7.000488054779147E-2</v>
      </c>
      <c r="AM42" s="503">
        <f>IF(終値!A42="","",IFERROR(4*STDEVP(終値!AP42:BI42)/AVERAGE(終値!AP42:BI42),""))</f>
        <v>7.6415642154749594E-2</v>
      </c>
      <c r="AN42" s="503">
        <f>IF(終値!A42="","",IFERROR(4*STDEVP(終値!AQ42:BJ42)/AVERAGE(終値!AQ42:BJ42),""))</f>
        <v>7.6593526185849553E-2</v>
      </c>
      <c r="AO42" s="503">
        <f>IF(終値!A42="","",IFERROR(4*STDEVP(終値!AR42:BK42)/AVERAGE(終値!AR42:BK42),""))</f>
        <v>8.014205187320271E-2</v>
      </c>
      <c r="AP42" s="503">
        <f>IF(終値!A42="","",IFERROR(4*STDEVP(終値!AS42:BL42)/AVERAGE(終値!AS42:BL42),""))</f>
        <v>8.5844280480324928E-2</v>
      </c>
    </row>
    <row r="43" spans="1:42">
      <c r="A43" s="500" t="str">
        <f>IF(終値!A43="","",終値!A43)</f>
        <v>8750</v>
      </c>
      <c r="B43" s="503">
        <f>IF(終値!A43="","",IFERROR(4*STDEVP(終値!E43:X43)/AVERAGE(終値!E43:X43),""))</f>
        <v>7.6642154436991433E-2</v>
      </c>
      <c r="C43" s="503">
        <f>IF(終値!A43="","",IFERROR(4*STDEVP(終値!F43:Y43)/AVERAGE(終値!F43:Y43),""))</f>
        <v>7.5984955577575772E-2</v>
      </c>
      <c r="D43" s="503">
        <f>IF(終値!A43="","",IFERROR(4*STDEVP(終値!G43:Z43)/AVERAGE(終値!G43:Z43),""))</f>
        <v>7.4748456272046182E-2</v>
      </c>
      <c r="E43" s="503">
        <f>IF(終値!A43="","",IFERROR(4*STDEVP(終値!H43:AA43)/AVERAGE(終値!H43:AA43),""))</f>
        <v>7.7150087621085522E-2</v>
      </c>
      <c r="F43" s="503">
        <f>IF(終値!A43="","",IFERROR(4*STDEVP(終値!I43:AB43)/AVERAGE(終値!I43:AB43),""))</f>
        <v>8.1585345009258972E-2</v>
      </c>
      <c r="G43" s="503">
        <f>IF(終値!A43="","",IFERROR(4*STDEVP(終値!J43:AC43)/AVERAGE(終値!J43:AC43),""))</f>
        <v>8.8723461989216365E-2</v>
      </c>
      <c r="H43" s="503">
        <f>IF(終値!A43="","",IFERROR(4*STDEVP(終値!K43:AD43)/AVERAGE(終値!K43:AD43),""))</f>
        <v>9.8011211319909516E-2</v>
      </c>
      <c r="I43" s="503">
        <f>IF(終値!A43="","",IFERROR(4*STDEVP(終値!L43:AE43)/AVERAGE(終値!L43:AE43),""))</f>
        <v>0.10855739725279656</v>
      </c>
      <c r="J43" s="503">
        <f>IF(終値!A43="","",IFERROR(4*STDEVP(終値!M43:AF43)/AVERAGE(終値!M43:AF43),""))</f>
        <v>0.12215036116202847</v>
      </c>
      <c r="K43" s="503">
        <f>IF(終値!A43="","",IFERROR(4*STDEVP(終値!N43:AG43)/AVERAGE(終値!N43:AG43),""))</f>
        <v>0.12589394923864042</v>
      </c>
      <c r="L43" s="503">
        <f>IF(終値!A43="","",IFERROR(4*STDEVP(終値!O43:AH43)/AVERAGE(終値!O43:AH43),""))</f>
        <v>0.13254279265586233</v>
      </c>
      <c r="M43" s="503">
        <f>IF(終値!A43="","",IFERROR(4*STDEVP(終値!P43:AI43)/AVERAGE(終値!P43:AI43),""))</f>
        <v>0.12678927054252909</v>
      </c>
      <c r="N43" s="503">
        <f>IF(終値!A43="","",IFERROR(4*STDEVP(終値!Q43:AJ43)/AVERAGE(終値!Q43:AJ43),""))</f>
        <v>0.12140729633713924</v>
      </c>
      <c r="O43" s="503">
        <f>IF(終値!A43="","",IFERROR(4*STDEVP(終値!R43:AK43)/AVERAGE(終値!R43:AK43),""))</f>
        <v>0.11786492738744521</v>
      </c>
      <c r="P43" s="503">
        <f>IF(終値!A43="","",IFERROR(4*STDEVP(終値!S43:AL43)/AVERAGE(終値!S43:AL43),""))</f>
        <v>0.1175364506005315</v>
      </c>
      <c r="Q43" s="503">
        <f>IF(終値!A43="","",IFERROR(4*STDEVP(終値!T43:AM43)/AVERAGE(終値!T43:AM43),""))</f>
        <v>0.1130958958762612</v>
      </c>
      <c r="R43" s="503">
        <f>IF(終値!A43="","",IFERROR(4*STDEVP(終値!U43:AN43)/AVERAGE(終値!U43:AN43),""))</f>
        <v>0.1114451644063718</v>
      </c>
      <c r="S43" s="503">
        <f>IF(終値!A43="","",IFERROR(4*STDEVP(終値!V43:AO43)/AVERAGE(終値!V43:AO43),""))</f>
        <v>0.11217011677992922</v>
      </c>
      <c r="T43" s="503">
        <f>IF(終値!A43="","",IFERROR(4*STDEVP(終値!W43:AP43)/AVERAGE(終値!W43:AP43),""))</f>
        <v>0.11148919495590519</v>
      </c>
      <c r="U43" s="503">
        <f>IF(終値!A43="","",IFERROR(4*STDEVP(終値!X43:AQ43)/AVERAGE(終値!X43:AQ43),""))</f>
        <v>0.10959550577825841</v>
      </c>
      <c r="V43" s="503">
        <f>IF(終値!A43="","",IFERROR(4*STDEVP(終値!Y43:AR43)/AVERAGE(終値!Y43:AR43),""))</f>
        <v>0.10745905051635123</v>
      </c>
      <c r="W43" s="503">
        <f>IF(終値!A43="","",IFERROR(4*STDEVP(終値!Z43:AS43)/AVERAGE(終値!Z43:AS43),""))</f>
        <v>0.11588381932140192</v>
      </c>
      <c r="X43" s="503">
        <f>IF(終値!A43="","",IFERROR(4*STDEVP(終値!AA43:AT43)/AVERAGE(終値!AA43:AT43),""))</f>
        <v>0.1177135037947671</v>
      </c>
      <c r="Y43" s="503">
        <f>IF(終値!A43="","",IFERROR(4*STDEVP(終値!AB43:AU43)/AVERAGE(終値!AB43:AU43),""))</f>
        <v>0.12501922124426817</v>
      </c>
      <c r="Z43" s="503">
        <f>IF(終値!A43="","",IFERROR(4*STDEVP(終値!AC43:AV43)/AVERAGE(終値!AC43:AV43),""))</f>
        <v>0.13088638949329828</v>
      </c>
      <c r="AA43" s="503">
        <f>IF(終値!A43="","",IFERROR(4*STDEVP(終値!AD43:AW43)/AVERAGE(終値!AD43:AW43),""))</f>
        <v>0.14350857149110091</v>
      </c>
      <c r="AB43" s="503">
        <f>IF(終値!A43="","",IFERROR(4*STDEVP(終値!AE43:AX43)/AVERAGE(終値!AE43:AX43),""))</f>
        <v>0.15138762485081639</v>
      </c>
      <c r="AC43" s="503">
        <f>IF(終値!A43="","",IFERROR(4*STDEVP(終値!AF43:AY43)/AVERAGE(終値!AF43:AY43),""))</f>
        <v>0.1606827967778969</v>
      </c>
      <c r="AD43" s="503">
        <f>IF(終値!A43="","",IFERROR(4*STDEVP(終値!AG43:AZ43)/AVERAGE(終値!AG43:AZ43),""))</f>
        <v>0.16404459852678968</v>
      </c>
      <c r="AE43" s="503">
        <f>IF(終値!A43="","",IFERROR(4*STDEVP(終値!AH43:BA43)/AVERAGE(終値!AH43:BA43),""))</f>
        <v>0.1665917386611338</v>
      </c>
      <c r="AF43" s="503">
        <f>IF(終値!A43="","",IFERROR(4*STDEVP(終値!AI43:BB43)/AVERAGE(終値!AI43:BB43),""))</f>
        <v>0.17072243304158946</v>
      </c>
      <c r="AG43" s="503">
        <f>IF(終値!A43="","",IFERROR(4*STDEVP(終値!AJ43:BC43)/AVERAGE(終値!AJ43:BC43),""))</f>
        <v>0.1652567348358307</v>
      </c>
      <c r="AH43" s="503">
        <f>IF(終値!A43="","",IFERROR(4*STDEVP(終値!AK43:BD43)/AVERAGE(終値!AK43:BD43),""))</f>
        <v>0.15398392148293311</v>
      </c>
      <c r="AI43" s="503">
        <f>IF(終値!A43="","",IFERROR(4*STDEVP(終値!AL43:BE43)/AVERAGE(終値!AL43:BE43),""))</f>
        <v>0.14364923882557545</v>
      </c>
      <c r="AJ43" s="503">
        <f>IF(終値!A43="","",IFERROR(4*STDEVP(終値!AM43:BF43)/AVERAGE(終値!AM43:BF43),""))</f>
        <v>0.13214524903137817</v>
      </c>
      <c r="AK43" s="503">
        <f>IF(終値!A43="","",IFERROR(4*STDEVP(終値!AN43:BG43)/AVERAGE(終値!AN43:BG43),""))</f>
        <v>0.12235665174615423</v>
      </c>
      <c r="AL43" s="503">
        <f>IF(終値!A43="","",IFERROR(4*STDEVP(終値!AO43:BH43)/AVERAGE(終値!AO43:BH43),""))</f>
        <v>0.13781498948281581</v>
      </c>
      <c r="AM43" s="503">
        <f>IF(終値!A43="","",IFERROR(4*STDEVP(終値!AP43:BI43)/AVERAGE(終値!AP43:BI43),""))</f>
        <v>0.14689911410081505</v>
      </c>
      <c r="AN43" s="503">
        <f>IF(終値!A43="","",IFERROR(4*STDEVP(終値!AQ43:BJ43)/AVERAGE(終値!AQ43:BJ43),""))</f>
        <v>0.16045142065989074</v>
      </c>
      <c r="AO43" s="503">
        <f>IF(終値!A43="","",IFERROR(4*STDEVP(終値!AR43:BK43)/AVERAGE(終値!AR43:BK43),""))</f>
        <v>0.17484906858354143</v>
      </c>
      <c r="AP43" s="503">
        <f>IF(終値!A43="","",IFERROR(4*STDEVP(終値!AS43:BL43)/AVERAGE(終値!AS43:BL43),""))</f>
        <v>0.18972879518558067</v>
      </c>
    </row>
    <row r="44" spans="1:42">
      <c r="A44" s="500" t="str">
        <f>IF(終値!A44="","",終値!A44)</f>
        <v>3402</v>
      </c>
      <c r="B44" s="503">
        <f>IF(終値!A44="","",IFERROR(4*STDEVP(終値!E44:X44)/AVERAGE(終値!E44:X44),""))</f>
        <v>0.11685373852312023</v>
      </c>
      <c r="C44" s="503">
        <f>IF(終値!A44="","",IFERROR(4*STDEVP(終値!F44:Y44)/AVERAGE(終値!F44:Y44),""))</f>
        <v>5.0854295022049044E-2</v>
      </c>
      <c r="D44" s="503">
        <f>IF(終値!A44="","",IFERROR(4*STDEVP(終値!G44:Z44)/AVERAGE(終値!G44:Z44),""))</f>
        <v>4.7050252958971278E-2</v>
      </c>
      <c r="E44" s="503">
        <f>IF(終値!A44="","",IFERROR(4*STDEVP(終値!H44:AA44)/AVERAGE(終値!H44:AA44),""))</f>
        <v>4.7412442700868238E-2</v>
      </c>
      <c r="F44" s="503">
        <f>IF(終値!A44="","",IFERROR(4*STDEVP(終値!I44:AB44)/AVERAGE(終値!I44:AB44),""))</f>
        <v>4.6146080115106236E-2</v>
      </c>
      <c r="G44" s="503">
        <f>IF(終値!A44="","",IFERROR(4*STDEVP(終値!J44:AC44)/AVERAGE(終値!J44:AC44),""))</f>
        <v>5.307301184730831E-2</v>
      </c>
      <c r="H44" s="503">
        <f>IF(終値!A44="","",IFERROR(4*STDEVP(終値!K44:AD44)/AVERAGE(終値!K44:AD44),""))</f>
        <v>5.7895519746441221E-2</v>
      </c>
      <c r="I44" s="503">
        <f>IF(終値!A44="","",IFERROR(4*STDEVP(終値!L44:AE44)/AVERAGE(終値!L44:AE44),""))</f>
        <v>5.9262788918501404E-2</v>
      </c>
      <c r="J44" s="503">
        <f>IF(終値!A44="","",IFERROR(4*STDEVP(終値!M44:AF44)/AVERAGE(終値!M44:AF44),""))</f>
        <v>6.0537342480428732E-2</v>
      </c>
      <c r="K44" s="503">
        <f>IF(終値!A44="","",IFERROR(4*STDEVP(終値!N44:AG44)/AVERAGE(終値!N44:AG44),""))</f>
        <v>5.7676898638537158E-2</v>
      </c>
      <c r="L44" s="503">
        <f>IF(終値!A44="","",IFERROR(4*STDEVP(終値!O44:AH44)/AVERAGE(終値!O44:AH44),""))</f>
        <v>5.7918323170524047E-2</v>
      </c>
      <c r="M44" s="503">
        <f>IF(終値!A44="","",IFERROR(4*STDEVP(終値!P44:AI44)/AVERAGE(終値!P44:AI44),""))</f>
        <v>5.4797765223960113E-2</v>
      </c>
      <c r="N44" s="503">
        <f>IF(終値!A44="","",IFERROR(4*STDEVP(終値!Q44:AJ44)/AVERAGE(終値!Q44:AJ44),""))</f>
        <v>5.520924854358919E-2</v>
      </c>
      <c r="O44" s="503">
        <f>IF(終値!A44="","",IFERROR(4*STDEVP(終値!R44:AK44)/AVERAGE(終値!R44:AK44),""))</f>
        <v>5.4525737873885524E-2</v>
      </c>
      <c r="P44" s="503">
        <f>IF(終値!A44="","",IFERROR(4*STDEVP(終値!S44:AL44)/AVERAGE(終値!S44:AL44),""))</f>
        <v>6.2615977685074306E-2</v>
      </c>
      <c r="Q44" s="503">
        <f>IF(終値!A44="","",IFERROR(4*STDEVP(終値!T44:AM44)/AVERAGE(終値!T44:AM44),""))</f>
        <v>6.7080543749809735E-2</v>
      </c>
      <c r="R44" s="503">
        <f>IF(終値!A44="","",IFERROR(4*STDEVP(終値!U44:AN44)/AVERAGE(終値!U44:AN44),""))</f>
        <v>6.9156165571585174E-2</v>
      </c>
      <c r="S44" s="503">
        <f>IF(終値!A44="","",IFERROR(4*STDEVP(終値!V44:AO44)/AVERAGE(終値!V44:AO44),""))</f>
        <v>7.4306705338219967E-2</v>
      </c>
      <c r="T44" s="503">
        <f>IF(終値!A44="","",IFERROR(4*STDEVP(終値!W44:AP44)/AVERAGE(終値!W44:AP44),""))</f>
        <v>7.4001558938408887E-2</v>
      </c>
      <c r="U44" s="503">
        <f>IF(終値!A44="","",IFERROR(4*STDEVP(終値!X44:AQ44)/AVERAGE(終値!X44:AQ44),""))</f>
        <v>7.9576527550017248E-2</v>
      </c>
      <c r="V44" s="503">
        <f>IF(終値!A44="","",IFERROR(4*STDEVP(終値!Y44:AR44)/AVERAGE(終値!Y44:AR44),""))</f>
        <v>8.6051104014130714E-2</v>
      </c>
      <c r="W44" s="503">
        <f>IF(終値!A44="","",IFERROR(4*STDEVP(終値!Z44:AS44)/AVERAGE(終値!Z44:AS44),""))</f>
        <v>9.6469221558866988E-2</v>
      </c>
      <c r="X44" s="503">
        <f>IF(終値!A44="","",IFERROR(4*STDEVP(終値!AA44:AT44)/AVERAGE(終値!AA44:AT44),""))</f>
        <v>9.7091936154788422E-2</v>
      </c>
      <c r="Y44" s="503">
        <f>IF(終値!A44="","",IFERROR(4*STDEVP(終値!AB44:AU44)/AVERAGE(終値!AB44:AU44),""))</f>
        <v>0.10027884869230269</v>
      </c>
      <c r="Z44" s="503">
        <f>IF(終値!A44="","",IFERROR(4*STDEVP(終値!AC44:AV44)/AVERAGE(終値!AC44:AV44),""))</f>
        <v>9.988603445796651E-2</v>
      </c>
      <c r="AA44" s="503">
        <f>IF(終値!A44="","",IFERROR(4*STDEVP(終値!AD44:AW44)/AVERAGE(終値!AD44:AW44),""))</f>
        <v>0.10037677387514411</v>
      </c>
      <c r="AB44" s="503">
        <f>IF(終値!A44="","",IFERROR(4*STDEVP(終値!AE44:AX44)/AVERAGE(終値!AE44:AX44),""))</f>
        <v>0.10492542796884977</v>
      </c>
      <c r="AC44" s="503">
        <f>IF(終値!A44="","",IFERROR(4*STDEVP(終値!AF44:AY44)/AVERAGE(終値!AF44:AY44),""))</f>
        <v>0.10535704926666067</v>
      </c>
      <c r="AD44" s="503">
        <f>IF(終値!A44="","",IFERROR(4*STDEVP(終値!AG44:AZ44)/AVERAGE(終値!AG44:AZ44),""))</f>
        <v>0.10511660265367689</v>
      </c>
      <c r="AE44" s="503">
        <f>IF(終値!A44="","",IFERROR(4*STDEVP(終値!AH44:BA44)/AVERAGE(終値!AH44:BA44),""))</f>
        <v>0.10539650326081713</v>
      </c>
      <c r="AF44" s="503">
        <f>IF(終値!A44="","",IFERROR(4*STDEVP(終値!AI44:BB44)/AVERAGE(終値!AI44:BB44),""))</f>
        <v>0.11577604790266732</v>
      </c>
      <c r="AG44" s="503">
        <f>IF(終値!A44="","",IFERROR(4*STDEVP(終値!AJ44:BC44)/AVERAGE(終値!AJ44:BC44),""))</f>
        <v>0.12450712110154237</v>
      </c>
      <c r="AH44" s="503">
        <f>IF(終値!A44="","",IFERROR(4*STDEVP(終値!AK44:BD44)/AVERAGE(終値!AK44:BD44),""))</f>
        <v>0.13203730930252694</v>
      </c>
      <c r="AI44" s="503">
        <f>IF(終値!A44="","",IFERROR(4*STDEVP(終値!AL44:BE44)/AVERAGE(終値!AL44:BE44),""))</f>
        <v>0.13764553011533276</v>
      </c>
      <c r="AJ44" s="503">
        <f>IF(終値!A44="","",IFERROR(4*STDEVP(終値!AM44:BF44)/AVERAGE(終値!AM44:BF44),""))</f>
        <v>0.13606520863032737</v>
      </c>
      <c r="AK44" s="503">
        <f>IF(終値!A44="","",IFERROR(4*STDEVP(終値!AN44:BG44)/AVERAGE(終値!AN44:BG44),""))</f>
        <v>0.12794908901812319</v>
      </c>
      <c r="AL44" s="503">
        <f>IF(終値!A44="","",IFERROR(4*STDEVP(終値!AO44:BH44)/AVERAGE(終値!AO44:BH44),""))</f>
        <v>0.1249688152954474</v>
      </c>
      <c r="AM44" s="503">
        <f>IF(終値!A44="","",IFERROR(4*STDEVP(終値!AP44:BI44)/AVERAGE(終値!AP44:BI44),""))</f>
        <v>0.11587972524600838</v>
      </c>
      <c r="AN44" s="503">
        <f>IF(終値!A44="","",IFERROR(4*STDEVP(終値!AQ44:BJ44)/AVERAGE(終値!AQ44:BJ44),""))</f>
        <v>0.11593763974274689</v>
      </c>
      <c r="AO44" s="503">
        <f>IF(終値!A44="","",IFERROR(4*STDEVP(終値!AR44:BK44)/AVERAGE(終値!AR44:BK44),""))</f>
        <v>0.11604006797812962</v>
      </c>
      <c r="AP44" s="503">
        <f>IF(終値!A44="","",IFERROR(4*STDEVP(終値!AS44:BL44)/AVERAGE(終値!AS44:BL44),""))</f>
        <v>0.11567136970212852</v>
      </c>
    </row>
    <row r="45" spans="1:42">
      <c r="A45" s="500" t="str">
        <f>IF(終値!A45="","",終値!A45)</f>
        <v>8306</v>
      </c>
      <c r="B45" s="503">
        <f>IF(終値!A45="","",IFERROR(4*STDEVP(終値!E45:X45)/AVERAGE(終値!E45:X45),""))</f>
        <v>0.12024501365807314</v>
      </c>
      <c r="C45" s="503">
        <f>IF(終値!A45="","",IFERROR(4*STDEVP(終値!F45:Y45)/AVERAGE(終値!F45:Y45),""))</f>
        <v>0.12521491958798814</v>
      </c>
      <c r="D45" s="503">
        <f>IF(終値!A45="","",IFERROR(4*STDEVP(終値!G45:Z45)/AVERAGE(終値!G45:Z45),""))</f>
        <v>0.13539114092367233</v>
      </c>
      <c r="E45" s="503">
        <f>IF(終値!A45="","",IFERROR(4*STDEVP(終値!H45:AA45)/AVERAGE(終値!H45:AA45),""))</f>
        <v>0.14657314944270342</v>
      </c>
      <c r="F45" s="503">
        <f>IF(終値!A45="","",IFERROR(4*STDEVP(終値!I45:AB45)/AVERAGE(終値!I45:AB45),""))</f>
        <v>0.16016562019946351</v>
      </c>
      <c r="G45" s="503">
        <f>IF(終値!A45="","",IFERROR(4*STDEVP(終値!J45:AC45)/AVERAGE(終値!J45:AC45),""))</f>
        <v>0.17733565672607346</v>
      </c>
      <c r="H45" s="503">
        <f>IF(終値!A45="","",IFERROR(4*STDEVP(終値!K45:AD45)/AVERAGE(終値!K45:AD45),""))</f>
        <v>0.19582077787385055</v>
      </c>
      <c r="I45" s="503">
        <f>IF(終値!A45="","",IFERROR(4*STDEVP(終値!L45:AE45)/AVERAGE(終値!L45:AE45),""))</f>
        <v>0.20817551981386673</v>
      </c>
      <c r="J45" s="503">
        <f>IF(終値!A45="","",IFERROR(4*STDEVP(終値!M45:AF45)/AVERAGE(終値!M45:AF45),""))</f>
        <v>0.21381936089510176</v>
      </c>
      <c r="K45" s="503">
        <f>IF(終値!A45="","",IFERROR(4*STDEVP(終値!N45:AG45)/AVERAGE(終値!N45:AG45),""))</f>
        <v>0.20585964861928902</v>
      </c>
      <c r="L45" s="503">
        <f>IF(終値!A45="","",IFERROR(4*STDEVP(終値!O45:AH45)/AVERAGE(終値!O45:AH45),""))</f>
        <v>0.19918201517470577</v>
      </c>
      <c r="M45" s="503">
        <f>IF(終値!A45="","",IFERROR(4*STDEVP(終値!P45:AI45)/AVERAGE(終値!P45:AI45),""))</f>
        <v>0.1831550618769022</v>
      </c>
      <c r="N45" s="503">
        <f>IF(終値!A45="","",IFERROR(4*STDEVP(終値!Q45:AJ45)/AVERAGE(終値!Q45:AJ45),""))</f>
        <v>0.16913312405561795</v>
      </c>
      <c r="O45" s="503">
        <f>IF(終値!A45="","",IFERROR(4*STDEVP(終値!R45:AK45)/AVERAGE(終値!R45:AK45),""))</f>
        <v>0.16260072932752323</v>
      </c>
      <c r="P45" s="503">
        <f>IF(終値!A45="","",IFERROR(4*STDEVP(終値!S45:AL45)/AVERAGE(終値!S45:AL45),""))</f>
        <v>0.16017609427979343</v>
      </c>
      <c r="Q45" s="503">
        <f>IF(終値!A45="","",IFERROR(4*STDEVP(終値!T45:AM45)/AVERAGE(終値!T45:AM45),""))</f>
        <v>0.1331218010082392</v>
      </c>
      <c r="R45" s="503">
        <f>IF(終値!A45="","",IFERROR(4*STDEVP(終値!U45:AN45)/AVERAGE(終値!U45:AN45),""))</f>
        <v>0.11549157648777331</v>
      </c>
      <c r="S45" s="503">
        <f>IF(終値!A45="","",IFERROR(4*STDEVP(終値!V45:AO45)/AVERAGE(終値!V45:AO45),""))</f>
        <v>9.9967858888746444E-2</v>
      </c>
      <c r="T45" s="503">
        <f>IF(終値!A45="","",IFERROR(4*STDEVP(終値!W45:AP45)/AVERAGE(終値!W45:AP45),""))</f>
        <v>9.727539506082665E-2</v>
      </c>
      <c r="U45" s="503">
        <f>IF(終値!A45="","",IFERROR(4*STDEVP(終値!X45:AQ45)/AVERAGE(終値!X45:AQ45),""))</f>
        <v>9.8845381811055372E-2</v>
      </c>
      <c r="V45" s="503">
        <f>IF(終値!A45="","",IFERROR(4*STDEVP(終値!Y45:AR45)/AVERAGE(終値!Y45:AR45),""))</f>
        <v>9.1762518371884594E-2</v>
      </c>
      <c r="W45" s="503">
        <f>IF(終値!A45="","",IFERROR(4*STDEVP(終値!Z45:AS45)/AVERAGE(終値!Z45:AS45),""))</f>
        <v>7.9878243015705813E-2</v>
      </c>
      <c r="X45" s="503">
        <f>IF(終値!A45="","",IFERROR(4*STDEVP(終値!AA45:AT45)/AVERAGE(終値!AA45:AT45),""))</f>
        <v>7.2791182654718553E-2</v>
      </c>
      <c r="Y45" s="503">
        <f>IF(終値!A45="","",IFERROR(4*STDEVP(終値!AB45:AU45)/AVERAGE(終値!AB45:AU45),""))</f>
        <v>7.1459141389451572E-2</v>
      </c>
      <c r="Z45" s="503">
        <f>IF(終値!A45="","",IFERROR(4*STDEVP(終値!AC45:AV45)/AVERAGE(終値!AC45:AV45),""))</f>
        <v>7.3220094147233197E-2</v>
      </c>
      <c r="AA45" s="503">
        <f>IF(終値!A45="","",IFERROR(4*STDEVP(終値!AD45:AW45)/AVERAGE(終値!AD45:AW45),""))</f>
        <v>8.7818344226215581E-2</v>
      </c>
      <c r="AB45" s="503">
        <f>IF(終値!A45="","",IFERROR(4*STDEVP(終値!AE45:AX45)/AVERAGE(終値!AE45:AX45),""))</f>
        <v>0.10608229564459151</v>
      </c>
      <c r="AC45" s="503">
        <f>IF(終値!A45="","",IFERROR(4*STDEVP(終値!AF45:AY45)/AVERAGE(終値!AF45:AY45),""))</f>
        <v>0.12266509700807206</v>
      </c>
      <c r="AD45" s="503">
        <f>IF(終値!A45="","",IFERROR(4*STDEVP(終値!AG45:AZ45)/AVERAGE(終値!AG45:AZ45),""))</f>
        <v>0.129862914337116</v>
      </c>
      <c r="AE45" s="503">
        <f>IF(終値!A45="","",IFERROR(4*STDEVP(終値!AH45:BA45)/AVERAGE(終値!AH45:BA45),""))</f>
        <v>0.13320048606442761</v>
      </c>
      <c r="AF45" s="503">
        <f>IF(終値!A45="","",IFERROR(4*STDEVP(終値!AI45:BB45)/AVERAGE(終値!AI45:BB45),""))</f>
        <v>0.13507989699578954</v>
      </c>
      <c r="AG45" s="503">
        <f>IF(終値!A45="","",IFERROR(4*STDEVP(終値!AJ45:BC45)/AVERAGE(終値!AJ45:BC45),""))</f>
        <v>0.13519954270106355</v>
      </c>
      <c r="AH45" s="503">
        <f>IF(終値!A45="","",IFERROR(4*STDEVP(終値!AK45:BD45)/AVERAGE(終値!AK45:BD45),""))</f>
        <v>0.13038519740028001</v>
      </c>
      <c r="AI45" s="503">
        <f>IF(終値!A45="","",IFERROR(4*STDEVP(終値!AL45:BE45)/AVERAGE(終値!AL45:BE45),""))</f>
        <v>0.12500597936719932</v>
      </c>
      <c r="AJ45" s="503">
        <f>IF(終値!A45="","",IFERROR(4*STDEVP(終値!AM45:BF45)/AVERAGE(終値!AM45:BF45),""))</f>
        <v>0.11037453429633018</v>
      </c>
      <c r="AK45" s="503">
        <f>IF(終値!A45="","",IFERROR(4*STDEVP(終値!AN45:BG45)/AVERAGE(終値!AN45:BG45),""))</f>
        <v>0.11295562167036448</v>
      </c>
      <c r="AL45" s="503">
        <f>IF(終値!A45="","",IFERROR(4*STDEVP(終値!AO45:BH45)/AVERAGE(終値!AO45:BH45),""))</f>
        <v>0.12318041891264421</v>
      </c>
      <c r="AM45" s="503">
        <f>IF(終値!A45="","",IFERROR(4*STDEVP(終値!AP45:BI45)/AVERAGE(終値!AP45:BI45),""))</f>
        <v>0.12161841518174338</v>
      </c>
      <c r="AN45" s="503">
        <f>IF(終値!A45="","",IFERROR(4*STDEVP(終値!AQ45:BJ45)/AVERAGE(終値!AQ45:BJ45),""))</f>
        <v>0.12885635569099982</v>
      </c>
      <c r="AO45" s="503">
        <f>IF(終値!A45="","",IFERROR(4*STDEVP(終値!AR45:BK45)/AVERAGE(終値!AR45:BK45),""))</f>
        <v>0.13806071022925656</v>
      </c>
      <c r="AP45" s="503">
        <f>IF(終値!A45="","",IFERROR(4*STDEVP(終値!AS45:BL45)/AVERAGE(終値!AS45:BL45),""))</f>
        <v>0.14681528263705962</v>
      </c>
    </row>
    <row r="46" spans="1:42">
      <c r="A46" s="500" t="str">
        <f>IF(終値!A46="","",終値!A46)</f>
        <v>5401</v>
      </c>
      <c r="B46" s="503">
        <f>IF(終値!A46="","",IFERROR(4*STDEVP(終値!E46:X46)/AVERAGE(終値!E46:X46),""))</f>
        <v>0.29113695442381987</v>
      </c>
      <c r="C46" s="503">
        <f>IF(終値!A46="","",IFERROR(4*STDEVP(終値!F46:Y46)/AVERAGE(終値!F46:Y46),""))</f>
        <v>0.28398527744474367</v>
      </c>
      <c r="D46" s="503">
        <f>IF(終値!A46="","",IFERROR(4*STDEVP(終値!G46:Z46)/AVERAGE(終値!G46:Z46),""))</f>
        <v>0.27712442415785221</v>
      </c>
      <c r="E46" s="503">
        <f>IF(終値!A46="","",IFERROR(4*STDEVP(終値!H46:AA46)/AVERAGE(終値!H46:AA46),""))</f>
        <v>0.28154713713479096</v>
      </c>
      <c r="F46" s="503">
        <f>IF(終値!A46="","",IFERROR(4*STDEVP(終値!I46:AB46)/AVERAGE(終値!I46:AB46),""))</f>
        <v>0.28393890276969719</v>
      </c>
      <c r="G46" s="503">
        <f>IF(終値!A46="","",IFERROR(4*STDEVP(終値!J46:AC46)/AVERAGE(終値!J46:AC46),""))</f>
        <v>0.28497630111456052</v>
      </c>
      <c r="H46" s="503">
        <f>IF(終値!A46="","",IFERROR(4*STDEVP(終値!K46:AD46)/AVERAGE(終値!K46:AD46),""))</f>
        <v>0.27024079099602993</v>
      </c>
      <c r="I46" s="503">
        <f>IF(終値!A46="","",IFERROR(4*STDEVP(終値!L46:AE46)/AVERAGE(終値!L46:AE46),""))</f>
        <v>0.22917078119198442</v>
      </c>
      <c r="J46" s="503">
        <f>IF(終値!A46="","",IFERROR(4*STDEVP(終値!M46:AF46)/AVERAGE(終値!M46:AF46),""))</f>
        <v>0.19087845587690269</v>
      </c>
      <c r="K46" s="503">
        <f>IF(終値!A46="","",IFERROR(4*STDEVP(終値!N46:AG46)/AVERAGE(終値!N46:AG46),""))</f>
        <v>0.15346990548725248</v>
      </c>
      <c r="L46" s="503">
        <f>IF(終値!A46="","",IFERROR(4*STDEVP(終値!O46:AH46)/AVERAGE(終値!O46:AH46),""))</f>
        <v>0.15141051022520938</v>
      </c>
      <c r="M46" s="503">
        <f>IF(終値!A46="","",IFERROR(4*STDEVP(終値!P46:AI46)/AVERAGE(終値!P46:AI46),""))</f>
        <v>0.13154451770067135</v>
      </c>
      <c r="N46" s="503">
        <f>IF(終値!A46="","",IFERROR(4*STDEVP(終値!Q46:AJ46)/AVERAGE(終値!Q46:AJ46),""))</f>
        <v>0.11370549069020253</v>
      </c>
      <c r="O46" s="503">
        <f>IF(終値!A46="","",IFERROR(4*STDEVP(終値!R46:AK46)/AVERAGE(終値!R46:AK46),""))</f>
        <v>9.0286149445698016E-2</v>
      </c>
      <c r="P46" s="503">
        <f>IF(終値!A46="","",IFERROR(4*STDEVP(終値!S46:AL46)/AVERAGE(終値!S46:AL46),""))</f>
        <v>7.6633979479865333E-2</v>
      </c>
      <c r="Q46" s="503">
        <f>IF(終値!A46="","",IFERROR(4*STDEVP(終値!T46:AM46)/AVERAGE(終値!T46:AM46),""))</f>
        <v>6.876925318899757E-2</v>
      </c>
      <c r="R46" s="503">
        <f>IF(終値!A46="","",IFERROR(4*STDEVP(終値!U46:AN46)/AVERAGE(終値!U46:AN46),""))</f>
        <v>6.7886070940425786E-2</v>
      </c>
      <c r="S46" s="503">
        <f>IF(終値!A46="","",IFERROR(4*STDEVP(終値!V46:AO46)/AVERAGE(終値!V46:AO46),""))</f>
        <v>7.5339865014360755E-2</v>
      </c>
      <c r="T46" s="503">
        <f>IF(終値!A46="","",IFERROR(4*STDEVP(終値!W46:AP46)/AVERAGE(終値!W46:AP46),""))</f>
        <v>7.5229864974383026E-2</v>
      </c>
      <c r="U46" s="503">
        <f>IF(終値!A46="","",IFERROR(4*STDEVP(終値!X46:AQ46)/AVERAGE(終値!X46:AQ46),""))</f>
        <v>8.0314164932659526E-2</v>
      </c>
      <c r="V46" s="503">
        <f>IF(終値!A46="","",IFERROR(4*STDEVP(終値!Y46:AR46)/AVERAGE(終値!Y46:AR46),""))</f>
        <v>8.1508689528097034E-2</v>
      </c>
      <c r="W46" s="503">
        <f>IF(終値!A46="","",IFERROR(4*STDEVP(終値!Z46:AS46)/AVERAGE(終値!Z46:AS46),""))</f>
        <v>8.248312084105365E-2</v>
      </c>
      <c r="X46" s="503">
        <f>IF(終値!A46="","",IFERROR(4*STDEVP(終値!AA46:AT46)/AVERAGE(終値!AA46:AT46),""))</f>
        <v>8.1367307080366671E-2</v>
      </c>
      <c r="Y46" s="503">
        <f>IF(終値!A46="","",IFERROR(4*STDEVP(終値!AB46:AU46)/AVERAGE(終値!AB46:AU46),""))</f>
        <v>8.2680655012028717E-2</v>
      </c>
      <c r="Z46" s="503">
        <f>IF(終値!A46="","",IFERROR(4*STDEVP(終値!AC46:AV46)/AVERAGE(終値!AC46:AV46),""))</f>
        <v>8.1892479919790151E-2</v>
      </c>
      <c r="AA46" s="503">
        <f>IF(終値!A46="","",IFERROR(4*STDEVP(終値!AD46:AW46)/AVERAGE(終値!AD46:AW46),""))</f>
        <v>7.8940933376114644E-2</v>
      </c>
      <c r="AB46" s="503">
        <f>IF(終値!A46="","",IFERROR(4*STDEVP(終値!AE46:AX46)/AVERAGE(終値!AE46:AX46),""))</f>
        <v>7.9602480674941717E-2</v>
      </c>
      <c r="AC46" s="503">
        <f>IF(終値!A46="","",IFERROR(4*STDEVP(終値!AF46:AY46)/AVERAGE(終値!AF46:AY46),""))</f>
        <v>8.1286095673473349E-2</v>
      </c>
      <c r="AD46" s="503">
        <f>IF(終値!A46="","",IFERROR(4*STDEVP(終値!AG46:AZ46)/AVERAGE(終値!AG46:AZ46),""))</f>
        <v>8.1544498798442319E-2</v>
      </c>
      <c r="AE46" s="503">
        <f>IF(終値!A46="","",IFERROR(4*STDEVP(終値!AH46:BA46)/AVERAGE(終値!AH46:BA46),""))</f>
        <v>8.0960721262397298E-2</v>
      </c>
      <c r="AF46" s="503">
        <f>IF(終値!A46="","",IFERROR(4*STDEVP(終値!AI46:BB46)/AVERAGE(終値!AI46:BB46),""))</f>
        <v>8.0224996634877796E-2</v>
      </c>
      <c r="AG46" s="503">
        <f>IF(終値!A46="","",IFERROR(4*STDEVP(終値!AJ46:BC46)/AVERAGE(終値!AJ46:BC46),""))</f>
        <v>8.1112752773903993E-2</v>
      </c>
      <c r="AH46" s="503">
        <f>IF(終値!A46="","",IFERROR(4*STDEVP(終値!AK46:BD46)/AVERAGE(終値!AK46:BD46),""))</f>
        <v>8.2377967559910989E-2</v>
      </c>
      <c r="AI46" s="503">
        <f>IF(終値!A46="","",IFERROR(4*STDEVP(終値!AL46:BE46)/AVERAGE(終値!AL46:BE46),""))</f>
        <v>8.164062348667335E-2</v>
      </c>
      <c r="AJ46" s="503">
        <f>IF(終値!A46="","",IFERROR(4*STDEVP(終値!AM46:BF46)/AVERAGE(終値!AM46:BF46),""))</f>
        <v>7.878230610476139E-2</v>
      </c>
      <c r="AK46" s="503">
        <f>IF(終値!A46="","",IFERROR(4*STDEVP(終値!AN46:BG46)/AVERAGE(終値!AN46:BG46),""))</f>
        <v>7.9355498009155437E-2</v>
      </c>
      <c r="AL46" s="503">
        <f>IF(終値!A46="","",IFERROR(4*STDEVP(終値!AO46:BH46)/AVERAGE(終値!AO46:BH46),""))</f>
        <v>7.6112430777837664E-2</v>
      </c>
      <c r="AM46" s="503">
        <f>IF(終値!A46="","",IFERROR(4*STDEVP(終値!AP46:BI46)/AVERAGE(終値!AP46:BI46),""))</f>
        <v>6.7336089379144218E-2</v>
      </c>
      <c r="AN46" s="503">
        <f>IF(終値!A46="","",IFERROR(4*STDEVP(終値!AQ46:BJ46)/AVERAGE(終値!AQ46:BJ46),""))</f>
        <v>6.8850601517341251E-2</v>
      </c>
      <c r="AO46" s="503">
        <f>IF(終値!A46="","",IFERROR(4*STDEVP(終値!AR46:BK46)/AVERAGE(終値!AR46:BK46),""))</f>
        <v>6.5486197888283124E-2</v>
      </c>
      <c r="AP46" s="503">
        <f>IF(終値!A46="","",IFERROR(4*STDEVP(終値!AS46:BL46)/AVERAGE(終値!AS46:BL46),""))</f>
        <v>6.9797903904856504E-2</v>
      </c>
    </row>
    <row r="47" spans="1:42">
      <c r="A47" s="500" t="str">
        <f>IF(終値!A47="","",終値!A47)</f>
        <v>8572</v>
      </c>
      <c r="B47" s="503">
        <f>IF(終値!A47="","",IFERROR(4*STDEVP(終値!E47:X47)/AVERAGE(終値!E47:X47),""))</f>
        <v>5.3701473518559244E-2</v>
      </c>
      <c r="C47" s="503">
        <f>IF(終値!A47="","",IFERROR(4*STDEVP(終値!F47:Y47)/AVERAGE(終値!F47:Y47),""))</f>
        <v>5.3400727846689089E-2</v>
      </c>
      <c r="D47" s="503">
        <f>IF(終値!A47="","",IFERROR(4*STDEVP(終値!G47:Z47)/AVERAGE(終値!G47:Z47),""))</f>
        <v>4.9909958474137449E-2</v>
      </c>
      <c r="E47" s="503">
        <f>IF(終値!A47="","",IFERROR(4*STDEVP(終値!H47:AA47)/AVERAGE(終値!H47:AA47),""))</f>
        <v>4.9395796721639657E-2</v>
      </c>
      <c r="F47" s="503">
        <f>IF(終値!A47="","",IFERROR(4*STDEVP(終値!I47:AB47)/AVERAGE(終値!I47:AB47),""))</f>
        <v>6.2130884365484133E-2</v>
      </c>
      <c r="G47" s="503">
        <f>IF(終値!A47="","",IFERROR(4*STDEVP(終値!J47:AC47)/AVERAGE(終値!J47:AC47),""))</f>
        <v>8.0073113493566758E-2</v>
      </c>
      <c r="H47" s="503">
        <f>IF(終値!A47="","",IFERROR(4*STDEVP(終値!K47:AD47)/AVERAGE(終値!K47:AD47),""))</f>
        <v>9.5409637853631574E-2</v>
      </c>
      <c r="I47" s="503">
        <f>IF(終値!A47="","",IFERROR(4*STDEVP(終値!L47:AE47)/AVERAGE(終値!L47:AE47),""))</f>
        <v>0.10449112645257462</v>
      </c>
      <c r="J47" s="503">
        <f>IF(終値!A47="","",IFERROR(4*STDEVP(終値!M47:AF47)/AVERAGE(終値!M47:AF47),""))</f>
        <v>0.1166752581020844</v>
      </c>
      <c r="K47" s="503">
        <f>IF(終値!A47="","",IFERROR(4*STDEVP(終値!N47:AG47)/AVERAGE(終値!N47:AG47),""))</f>
        <v>0.12678754351076235</v>
      </c>
      <c r="L47" s="503">
        <f>IF(終値!A47="","",IFERROR(4*STDEVP(終値!O47:AH47)/AVERAGE(終値!O47:AH47),""))</f>
        <v>0.13836084031331025</v>
      </c>
      <c r="M47" s="503">
        <f>IF(終値!A47="","",IFERROR(4*STDEVP(終値!P47:AI47)/AVERAGE(終値!P47:AI47),""))</f>
        <v>0.1429300548749752</v>
      </c>
      <c r="N47" s="503">
        <f>IF(終値!A47="","",IFERROR(4*STDEVP(終値!Q47:AJ47)/AVERAGE(終値!Q47:AJ47),""))</f>
        <v>0.14377771664054759</v>
      </c>
      <c r="O47" s="503">
        <f>IF(終値!A47="","",IFERROR(4*STDEVP(終値!R47:AK47)/AVERAGE(終値!R47:AK47),""))</f>
        <v>0.14299899405865729</v>
      </c>
      <c r="P47" s="503">
        <f>IF(終値!A47="","",IFERROR(4*STDEVP(終値!S47:AL47)/AVERAGE(終値!S47:AL47),""))</f>
        <v>0.14348272613020982</v>
      </c>
      <c r="Q47" s="503">
        <f>IF(終値!A47="","",IFERROR(4*STDEVP(終値!T47:AM47)/AVERAGE(終値!T47:AM47),""))</f>
        <v>0.13841880938105966</v>
      </c>
      <c r="R47" s="503">
        <f>IF(終値!A47="","",IFERROR(4*STDEVP(終値!U47:AN47)/AVERAGE(終値!U47:AN47),""))</f>
        <v>0.13459094933867397</v>
      </c>
      <c r="S47" s="503">
        <f>IF(終値!A47="","",IFERROR(4*STDEVP(終値!V47:AO47)/AVERAGE(終値!V47:AO47),""))</f>
        <v>0.12928491837567105</v>
      </c>
      <c r="T47" s="503">
        <f>IF(終値!A47="","",IFERROR(4*STDEVP(終値!W47:AP47)/AVERAGE(終値!W47:AP47),""))</f>
        <v>0.12407431998645821</v>
      </c>
      <c r="U47" s="503">
        <f>IF(終値!A47="","",IFERROR(4*STDEVP(終値!X47:AQ47)/AVERAGE(終値!X47:AQ47),""))</f>
        <v>0.11459618834402828</v>
      </c>
      <c r="V47" s="503">
        <f>IF(終値!A47="","",IFERROR(4*STDEVP(終値!Y47:AR47)/AVERAGE(終値!Y47:AR47),""))</f>
        <v>9.8419723291531466E-2</v>
      </c>
      <c r="W47" s="503">
        <f>IF(終値!A47="","",IFERROR(4*STDEVP(終値!Z47:AS47)/AVERAGE(終値!Z47:AS47),""))</f>
        <v>8.3584244157851748E-2</v>
      </c>
      <c r="X47" s="503">
        <f>IF(終値!A47="","",IFERROR(4*STDEVP(終値!AA47:AT47)/AVERAGE(終値!AA47:AT47),""))</f>
        <v>5.3961264297974022E-2</v>
      </c>
      <c r="Y47" s="503">
        <f>IF(終値!A47="","",IFERROR(4*STDEVP(終値!AB47:AU47)/AVERAGE(終値!AB47:AU47),""))</f>
        <v>4.056080085137577E-2</v>
      </c>
      <c r="Z47" s="503">
        <f>IF(終値!A47="","",IFERROR(4*STDEVP(終値!AC47:AV47)/AVERAGE(終値!AC47:AV47),""))</f>
        <v>3.1593007685148888E-2</v>
      </c>
      <c r="AA47" s="503">
        <f>IF(終値!A47="","",IFERROR(4*STDEVP(終値!AD47:AW47)/AVERAGE(終値!AD47:AW47),""))</f>
        <v>2.8642737931539663E-2</v>
      </c>
      <c r="AB47" s="503">
        <f>IF(終値!A47="","",IFERROR(4*STDEVP(終値!AE47:AX47)/AVERAGE(終値!AE47:AX47),""))</f>
        <v>4.5476653359924658E-2</v>
      </c>
      <c r="AC47" s="503">
        <f>IF(終値!A47="","",IFERROR(4*STDEVP(終値!AF47:AY47)/AVERAGE(終値!AF47:AY47),""))</f>
        <v>5.5178541936745859E-2</v>
      </c>
      <c r="AD47" s="503">
        <f>IF(終値!A47="","",IFERROR(4*STDEVP(終値!AG47:AZ47)/AVERAGE(終値!AG47:AZ47),""))</f>
        <v>6.0963917536200465E-2</v>
      </c>
      <c r="AE47" s="503">
        <f>IF(終値!A47="","",IFERROR(4*STDEVP(終値!AH47:BA47)/AVERAGE(終値!AH47:BA47),""))</f>
        <v>6.4122989722869339E-2</v>
      </c>
      <c r="AF47" s="503">
        <f>IF(終値!A47="","",IFERROR(4*STDEVP(終値!AI47:BB47)/AVERAGE(終値!AI47:BB47),""))</f>
        <v>6.5963502312754982E-2</v>
      </c>
      <c r="AG47" s="503">
        <f>IF(終値!A47="","",IFERROR(4*STDEVP(終値!AJ47:BC47)/AVERAGE(終値!AJ47:BC47),""))</f>
        <v>7.1691664019484347E-2</v>
      </c>
      <c r="AH47" s="503">
        <f>IF(終値!A47="","",IFERROR(4*STDEVP(終値!AK47:BD47)/AVERAGE(終値!AK47:BD47),""))</f>
        <v>7.1307368213716915E-2</v>
      </c>
      <c r="AI47" s="503">
        <f>IF(終値!A47="","",IFERROR(4*STDEVP(終値!AL47:BE47)/AVERAGE(終値!AL47:BE47),""))</f>
        <v>7.3100323987709798E-2</v>
      </c>
      <c r="AJ47" s="503">
        <f>IF(終値!A47="","",IFERROR(4*STDEVP(終値!AM47:BF47)/AVERAGE(終値!AM47:BF47),""))</f>
        <v>7.1439631247393318E-2</v>
      </c>
      <c r="AK47" s="503">
        <f>IF(終値!A47="","",IFERROR(4*STDEVP(終値!AN47:BG47)/AVERAGE(終値!AN47:BG47),""))</f>
        <v>7.2377853331144104E-2</v>
      </c>
      <c r="AL47" s="503">
        <f>IF(終値!A47="","",IFERROR(4*STDEVP(終値!AO47:BH47)/AVERAGE(終値!AO47:BH47),""))</f>
        <v>7.1015446473927532E-2</v>
      </c>
      <c r="AM47" s="503">
        <f>IF(終値!A47="","",IFERROR(4*STDEVP(終値!AP47:BI47)/AVERAGE(終値!AP47:BI47),""))</f>
        <v>7.0663719805762457E-2</v>
      </c>
      <c r="AN47" s="503">
        <f>IF(終値!A47="","",IFERROR(4*STDEVP(終値!AQ47:BJ47)/AVERAGE(終値!AQ47:BJ47),""))</f>
        <v>9.2275696809303767E-2</v>
      </c>
      <c r="AO47" s="503">
        <f>IF(終値!A47="","",IFERROR(4*STDEVP(終値!AR47:BK47)/AVERAGE(終値!AR47:BK47),""))</f>
        <v>0.10590643446521567</v>
      </c>
      <c r="AP47" s="503">
        <f>IF(終値!A47="","",IFERROR(4*STDEVP(終値!AS47:BL47)/AVERAGE(終値!AS47:BL47),""))</f>
        <v>0.12084877106865025</v>
      </c>
    </row>
    <row r="48" spans="1:42">
      <c r="A48" s="500" t="str">
        <f>IF(終値!A48="","",終値!A48)</f>
        <v>3941</v>
      </c>
      <c r="B48" s="503">
        <f>IF(終値!A48="","",IFERROR(4*STDEVP(終値!E48:X48)/AVERAGE(終値!E48:X48),""))</f>
        <v>0.15424011425398784</v>
      </c>
      <c r="C48" s="503">
        <f>IF(終値!A48="","",IFERROR(4*STDEVP(終値!F48:Y48)/AVERAGE(終値!F48:Y48),""))</f>
        <v>0.14158745996911898</v>
      </c>
      <c r="D48" s="503">
        <f>IF(終値!A48="","",IFERROR(4*STDEVP(終値!G48:Z48)/AVERAGE(終値!G48:Z48),""))</f>
        <v>0.11307288962741484</v>
      </c>
      <c r="E48" s="503">
        <f>IF(終値!A48="","",IFERROR(4*STDEVP(終値!H48:AA48)/AVERAGE(終値!H48:AA48),""))</f>
        <v>0.11569113769120294</v>
      </c>
      <c r="F48" s="503">
        <f>IF(終値!A48="","",IFERROR(4*STDEVP(終値!I48:AB48)/AVERAGE(終値!I48:AB48),""))</f>
        <v>0.11827048255177673</v>
      </c>
      <c r="G48" s="503">
        <f>IF(終値!A48="","",IFERROR(4*STDEVP(終値!J48:AC48)/AVERAGE(終値!J48:AC48),""))</f>
        <v>0.11829689179940826</v>
      </c>
      <c r="H48" s="503">
        <f>IF(終値!A48="","",IFERROR(4*STDEVP(終値!K48:AD48)/AVERAGE(終値!K48:AD48),""))</f>
        <v>0.11181157694516379</v>
      </c>
      <c r="I48" s="503">
        <f>IF(終値!A48="","",IFERROR(4*STDEVP(終値!L48:AE48)/AVERAGE(終値!L48:AE48),""))</f>
        <v>9.6861919092367466E-2</v>
      </c>
      <c r="J48" s="503">
        <f>IF(終値!A48="","",IFERROR(4*STDEVP(終値!M48:AF48)/AVERAGE(終値!M48:AF48),""))</f>
        <v>8.3098090368552716E-2</v>
      </c>
      <c r="K48" s="503">
        <f>IF(終値!A48="","",IFERROR(4*STDEVP(終値!N48:AG48)/AVERAGE(終値!N48:AG48),""))</f>
        <v>6.1137656910335771E-2</v>
      </c>
      <c r="L48" s="503">
        <f>IF(終値!A48="","",IFERROR(4*STDEVP(終値!O48:AH48)/AVERAGE(終値!O48:AH48),""))</f>
        <v>6.1955785736885448E-2</v>
      </c>
      <c r="M48" s="503">
        <f>IF(終値!A48="","",IFERROR(4*STDEVP(終値!P48:AI48)/AVERAGE(終値!P48:AI48),""))</f>
        <v>5.330524935360325E-2</v>
      </c>
      <c r="N48" s="503">
        <f>IF(終値!A48="","",IFERROR(4*STDEVP(終値!Q48:AJ48)/AVERAGE(終値!Q48:AJ48),""))</f>
        <v>4.7938736540795689E-2</v>
      </c>
      <c r="O48" s="503">
        <f>IF(終値!A48="","",IFERROR(4*STDEVP(終値!R48:AK48)/AVERAGE(終値!R48:AK48),""))</f>
        <v>3.9706161977133274E-2</v>
      </c>
      <c r="P48" s="503">
        <f>IF(終値!A48="","",IFERROR(4*STDEVP(終値!S48:AL48)/AVERAGE(終値!S48:AL48),""))</f>
        <v>3.9129076723118328E-2</v>
      </c>
      <c r="Q48" s="503">
        <f>IF(終値!A48="","",IFERROR(4*STDEVP(終値!T48:AM48)/AVERAGE(終値!T48:AM48),""))</f>
        <v>3.7948303311847426E-2</v>
      </c>
      <c r="R48" s="503">
        <f>IF(終値!A48="","",IFERROR(4*STDEVP(終値!U48:AN48)/AVERAGE(終値!U48:AN48),""))</f>
        <v>3.7981754739269818E-2</v>
      </c>
      <c r="S48" s="503">
        <f>IF(終値!A48="","",IFERROR(4*STDEVP(終値!V48:AO48)/AVERAGE(終値!V48:AO48),""))</f>
        <v>3.7290300719615074E-2</v>
      </c>
      <c r="T48" s="503">
        <f>IF(終値!A48="","",IFERROR(4*STDEVP(終値!W48:AP48)/AVERAGE(終値!W48:AP48),""))</f>
        <v>4.2681028055175117E-2</v>
      </c>
      <c r="U48" s="503">
        <f>IF(終値!A48="","",IFERROR(4*STDEVP(終値!X48:AQ48)/AVERAGE(終値!X48:AQ48),""))</f>
        <v>5.0524571556551719E-2</v>
      </c>
      <c r="V48" s="503">
        <f>IF(終値!A48="","",IFERROR(4*STDEVP(終値!Y48:AR48)/AVERAGE(終値!Y48:AR48),""))</f>
        <v>4.7583324938478729E-2</v>
      </c>
      <c r="W48" s="503">
        <f>IF(終値!A48="","",IFERROR(4*STDEVP(終値!Z48:AS48)/AVERAGE(終値!Z48:AS48),""))</f>
        <v>5.1536949163265545E-2</v>
      </c>
      <c r="X48" s="503">
        <f>IF(終値!A48="","",IFERROR(4*STDEVP(終値!AA48:AT48)/AVERAGE(終値!AA48:AT48),""))</f>
        <v>5.1326232200380989E-2</v>
      </c>
      <c r="Y48" s="503">
        <f>IF(終値!A48="","",IFERROR(4*STDEVP(終値!AB48:AU48)/AVERAGE(終値!AB48:AU48),""))</f>
        <v>5.4100690901625989E-2</v>
      </c>
      <c r="Z48" s="503">
        <f>IF(終値!A48="","",IFERROR(4*STDEVP(終値!AC48:AV48)/AVERAGE(終値!AC48:AV48),""))</f>
        <v>5.4167377127626086E-2</v>
      </c>
      <c r="AA48" s="503">
        <f>IF(終値!A48="","",IFERROR(4*STDEVP(終値!AD48:AW48)/AVERAGE(終値!AD48:AW48),""))</f>
        <v>5.3961869946797261E-2</v>
      </c>
      <c r="AB48" s="503">
        <f>IF(終値!A48="","",IFERROR(4*STDEVP(終値!AE48:AX48)/AVERAGE(終値!AE48:AX48),""))</f>
        <v>6.3046592417279779E-2</v>
      </c>
      <c r="AC48" s="503">
        <f>IF(終値!A48="","",IFERROR(4*STDEVP(終値!AF48:AY48)/AVERAGE(終値!AF48:AY48),""))</f>
        <v>6.0931567049357975E-2</v>
      </c>
      <c r="AD48" s="503">
        <f>IF(終値!A48="","",IFERROR(4*STDEVP(終値!AG48:AZ48)/AVERAGE(終値!AG48:AZ48),""))</f>
        <v>5.8525764205781802E-2</v>
      </c>
      <c r="AE48" s="503">
        <f>IF(終値!A48="","",IFERROR(4*STDEVP(終値!AH48:BA48)/AVERAGE(終値!AH48:BA48),""))</f>
        <v>5.9535897549476628E-2</v>
      </c>
      <c r="AF48" s="503">
        <f>IF(終値!A48="","",IFERROR(4*STDEVP(終値!AI48:BB48)/AVERAGE(終値!AI48:BB48),""))</f>
        <v>5.934152111236967E-2</v>
      </c>
      <c r="AG48" s="503">
        <f>IF(終値!A48="","",IFERROR(4*STDEVP(終値!AJ48:BC48)/AVERAGE(終値!AJ48:BC48),""))</f>
        <v>5.9498154101819939E-2</v>
      </c>
      <c r="AH48" s="503">
        <f>IF(終値!A48="","",IFERROR(4*STDEVP(終値!AK48:BD48)/AVERAGE(終値!AK48:BD48),""))</f>
        <v>5.9966840848775127E-2</v>
      </c>
      <c r="AI48" s="503">
        <f>IF(終値!A48="","",IFERROR(4*STDEVP(終値!AL48:BE48)/AVERAGE(終値!AL48:BE48),""))</f>
        <v>5.7533947247863516E-2</v>
      </c>
      <c r="AJ48" s="503">
        <f>IF(終値!A48="","",IFERROR(4*STDEVP(終値!AM48:BF48)/AVERAGE(終値!AM48:BF48),""))</f>
        <v>5.6858686024172655E-2</v>
      </c>
      <c r="AK48" s="503">
        <f>IF(終値!A48="","",IFERROR(4*STDEVP(終値!AN48:BG48)/AVERAGE(終値!AN48:BG48),""))</f>
        <v>5.6708046414279706E-2</v>
      </c>
      <c r="AL48" s="503">
        <f>IF(終値!A48="","",IFERROR(4*STDEVP(終値!AO48:BH48)/AVERAGE(終値!AO48:BH48),""))</f>
        <v>5.6900731577906052E-2</v>
      </c>
      <c r="AM48" s="503">
        <f>IF(終値!A48="","",IFERROR(4*STDEVP(終値!AP48:BI48)/AVERAGE(終値!AP48:BI48),""))</f>
        <v>0.11128655872752835</v>
      </c>
      <c r="AN48" s="503">
        <f>IF(終値!A48="","",IFERROR(4*STDEVP(終値!AQ48:BJ48)/AVERAGE(終値!AQ48:BJ48),""))</f>
        <v>0.155843925502991</v>
      </c>
      <c r="AO48" s="503">
        <f>IF(終値!A48="","",IFERROR(4*STDEVP(終値!AR48:BK48)/AVERAGE(終値!AR48:BK48),""))</f>
        <v>0.18445953263489076</v>
      </c>
      <c r="AP48" s="503">
        <f>IF(終値!A48="","",IFERROR(4*STDEVP(終値!AS48:BL48)/AVERAGE(終値!AS48:BL48),""))</f>
        <v>0.20394701245921409</v>
      </c>
    </row>
    <row r="49" spans="1:42">
      <c r="A49" s="500" t="str">
        <f>IF(終値!A49="","",終値!A49)</f>
        <v>5929</v>
      </c>
      <c r="B49" s="503">
        <f>IF(終値!A49="","",IFERROR(4*STDEVP(終値!E49:X49)/AVERAGE(終値!E49:X49),""))</f>
        <v>0.1544476796801946</v>
      </c>
      <c r="C49" s="503">
        <f>IF(終値!A49="","",IFERROR(4*STDEVP(終値!F49:Y49)/AVERAGE(終値!F49:Y49),""))</f>
        <v>0.15593961431262135</v>
      </c>
      <c r="D49" s="503">
        <f>IF(終値!A49="","",IFERROR(4*STDEVP(終値!G49:Z49)/AVERAGE(終値!G49:Z49),""))</f>
        <v>0.15553606682844687</v>
      </c>
      <c r="E49" s="503">
        <f>IF(終値!A49="","",IFERROR(4*STDEVP(終値!H49:AA49)/AVERAGE(終値!H49:AA49),""))</f>
        <v>0.14203512978891386</v>
      </c>
      <c r="F49" s="503">
        <f>IF(終値!A49="","",IFERROR(4*STDEVP(終値!I49:AB49)/AVERAGE(終値!I49:AB49),""))</f>
        <v>0.12894435200330909</v>
      </c>
      <c r="G49" s="503">
        <f>IF(終値!A49="","",IFERROR(4*STDEVP(終値!J49:AC49)/AVERAGE(終値!J49:AC49),""))</f>
        <v>9.8278380307686292E-2</v>
      </c>
      <c r="H49" s="503">
        <f>IF(終値!A49="","",IFERROR(4*STDEVP(終値!K49:AD49)/AVERAGE(終値!K49:AD49),""))</f>
        <v>9.1088557181050328E-2</v>
      </c>
      <c r="I49" s="503">
        <f>IF(終値!A49="","",IFERROR(4*STDEVP(終値!L49:AE49)/AVERAGE(終値!L49:AE49),""))</f>
        <v>8.2866867579651213E-2</v>
      </c>
      <c r="J49" s="503">
        <f>IF(終値!A49="","",IFERROR(4*STDEVP(終値!M49:AF49)/AVERAGE(終値!M49:AF49),""))</f>
        <v>7.1783618002551383E-2</v>
      </c>
      <c r="K49" s="503">
        <f>IF(終値!A49="","",IFERROR(4*STDEVP(終値!N49:AG49)/AVERAGE(終値!N49:AG49),""))</f>
        <v>6.4193720849205244E-2</v>
      </c>
      <c r="L49" s="503">
        <f>IF(終値!A49="","",IFERROR(4*STDEVP(終値!O49:AH49)/AVERAGE(終値!O49:AH49),""))</f>
        <v>6.689881901333232E-2</v>
      </c>
      <c r="M49" s="503">
        <f>IF(終値!A49="","",IFERROR(4*STDEVP(終値!P49:AI49)/AVERAGE(終値!P49:AI49),""))</f>
        <v>6.9978617011828961E-2</v>
      </c>
      <c r="N49" s="503">
        <f>IF(終値!A49="","",IFERROR(4*STDEVP(終値!Q49:AJ49)/AVERAGE(終値!Q49:AJ49),""))</f>
        <v>7.2042703837384606E-2</v>
      </c>
      <c r="O49" s="503">
        <f>IF(終値!A49="","",IFERROR(4*STDEVP(終値!R49:AK49)/AVERAGE(終値!R49:AK49),""))</f>
        <v>7.3644476498820749E-2</v>
      </c>
      <c r="P49" s="503">
        <f>IF(終値!A49="","",IFERROR(4*STDEVP(終値!S49:AL49)/AVERAGE(終値!S49:AL49),""))</f>
        <v>7.3426559715766324E-2</v>
      </c>
      <c r="Q49" s="503">
        <f>IF(終値!A49="","",IFERROR(4*STDEVP(終値!T49:AM49)/AVERAGE(終値!T49:AM49),""))</f>
        <v>7.3315219726314509E-2</v>
      </c>
      <c r="R49" s="503">
        <f>IF(終値!A49="","",IFERROR(4*STDEVP(終値!U49:AN49)/AVERAGE(終値!U49:AN49),""))</f>
        <v>7.2867481195541775E-2</v>
      </c>
      <c r="S49" s="503">
        <f>IF(終値!A49="","",IFERROR(4*STDEVP(終値!V49:AO49)/AVERAGE(終値!V49:AO49),""))</f>
        <v>7.0195854893866358E-2</v>
      </c>
      <c r="T49" s="503">
        <f>IF(終値!A49="","",IFERROR(4*STDEVP(終値!W49:AP49)/AVERAGE(終値!W49:AP49),""))</f>
        <v>7.4261395159036625E-2</v>
      </c>
      <c r="U49" s="503">
        <f>IF(終値!A49="","",IFERROR(4*STDEVP(終値!X49:AQ49)/AVERAGE(終値!X49:AQ49),""))</f>
        <v>8.1434331105459376E-2</v>
      </c>
      <c r="V49" s="503">
        <f>IF(終値!A49="","",IFERROR(4*STDEVP(終値!Y49:AR49)/AVERAGE(終値!Y49:AR49),""))</f>
        <v>8.3895400085149258E-2</v>
      </c>
      <c r="W49" s="503">
        <f>IF(終値!A49="","",IFERROR(4*STDEVP(終値!Z49:AS49)/AVERAGE(終値!Z49:AS49),""))</f>
        <v>9.3057373067003527E-2</v>
      </c>
      <c r="X49" s="503">
        <f>IF(終値!A49="","",IFERROR(4*STDEVP(終値!AA49:AT49)/AVERAGE(終値!AA49:AT49),""))</f>
        <v>9.3164086931250834E-2</v>
      </c>
      <c r="Y49" s="503">
        <f>IF(終値!A49="","",IFERROR(4*STDEVP(終値!AB49:AU49)/AVERAGE(終値!AB49:AU49),""))</f>
        <v>0.1043120559856526</v>
      </c>
      <c r="Z49" s="503">
        <f>IF(終値!A49="","",IFERROR(4*STDEVP(終値!AC49:AV49)/AVERAGE(終値!AC49:AV49),""))</f>
        <v>0.11638123195391803</v>
      </c>
      <c r="AA49" s="503">
        <f>IF(終値!A49="","",IFERROR(4*STDEVP(終値!AD49:AW49)/AVERAGE(終値!AD49:AW49),""))</f>
        <v>0.13819978307245898</v>
      </c>
      <c r="AB49" s="503">
        <f>IF(終値!A49="","",IFERROR(4*STDEVP(終値!AE49:AX49)/AVERAGE(終値!AE49:AX49),""))</f>
        <v>0.13328577929205773</v>
      </c>
      <c r="AC49" s="503">
        <f>IF(終値!A49="","",IFERROR(4*STDEVP(終値!AF49:AY49)/AVERAGE(終値!AF49:AY49),""))</f>
        <v>0.12740775290809833</v>
      </c>
      <c r="AD49" s="503">
        <f>IF(終値!A49="","",IFERROR(4*STDEVP(終値!AG49:AZ49)/AVERAGE(終値!AG49:AZ49),""))</f>
        <v>0.13439595430381016</v>
      </c>
      <c r="AE49" s="503">
        <f>IF(終値!A49="","",IFERROR(4*STDEVP(終値!AH49:BA49)/AVERAGE(終値!AH49:BA49),""))</f>
        <v>0.14765719303099209</v>
      </c>
      <c r="AF49" s="503">
        <f>IF(終値!A49="","",IFERROR(4*STDEVP(終値!AI49:BB49)/AVERAGE(終値!AI49:BB49),""))</f>
        <v>0.16045603724708724</v>
      </c>
      <c r="AG49" s="503">
        <f>IF(終値!A49="","",IFERROR(4*STDEVP(終値!AJ49:BC49)/AVERAGE(終値!AJ49:BC49),""))</f>
        <v>0.16739945893067398</v>
      </c>
      <c r="AH49" s="503">
        <f>IF(終値!A49="","",IFERROR(4*STDEVP(終値!AK49:BD49)/AVERAGE(終値!AK49:BD49),""))</f>
        <v>0.17604769439307821</v>
      </c>
      <c r="AI49" s="503">
        <f>IF(終値!A49="","",IFERROR(4*STDEVP(終値!AL49:BE49)/AVERAGE(終値!AL49:BE49),""))</f>
        <v>0.17510265375223405</v>
      </c>
      <c r="AJ49" s="503">
        <f>IF(終値!A49="","",IFERROR(4*STDEVP(終値!AM49:BF49)/AVERAGE(終値!AM49:BF49),""))</f>
        <v>0.17262843737267441</v>
      </c>
      <c r="AK49" s="503">
        <f>IF(終値!A49="","",IFERROR(4*STDEVP(終値!AN49:BG49)/AVERAGE(終値!AN49:BG49),""))</f>
        <v>0.16275039248041126</v>
      </c>
      <c r="AL49" s="503">
        <f>IF(終値!A49="","",IFERROR(4*STDEVP(終値!AO49:BH49)/AVERAGE(終値!AO49:BH49),""))</f>
        <v>0.15822279835013497</v>
      </c>
      <c r="AM49" s="503">
        <f>IF(終値!A49="","",IFERROR(4*STDEVP(終値!AP49:BI49)/AVERAGE(終値!AP49:BI49),""))</f>
        <v>0.14228196281199534</v>
      </c>
      <c r="AN49" s="503">
        <f>IF(終値!A49="","",IFERROR(4*STDEVP(終値!AQ49:BJ49)/AVERAGE(終値!AQ49:BJ49),""))</f>
        <v>0.13697561158280017</v>
      </c>
      <c r="AO49" s="503">
        <f>IF(終値!A49="","",IFERROR(4*STDEVP(終値!AR49:BK49)/AVERAGE(終値!AR49:BK49),""))</f>
        <v>0.13725021589254646</v>
      </c>
      <c r="AP49" s="503">
        <f>IF(終値!A49="","",IFERROR(4*STDEVP(終値!AS49:BL49)/AVERAGE(終値!AS49:BL49),""))</f>
        <v>0.13697907139627777</v>
      </c>
    </row>
    <row r="50" spans="1:42">
      <c r="A50" s="500" t="str">
        <f>IF(終値!A50="","",終値!A50)</f>
        <v>8316</v>
      </c>
      <c r="B50" s="503">
        <f>IF(終値!A50="","",IFERROR(4*STDEVP(終値!E50:X50)/AVERAGE(終値!E50:X50),""))</f>
        <v>0.11134565103088431</v>
      </c>
      <c r="C50" s="503">
        <f>IF(終値!A50="","",IFERROR(4*STDEVP(終値!F50:Y50)/AVERAGE(終値!F50:Y50),""))</f>
        <v>0.11092201972528637</v>
      </c>
      <c r="D50" s="503">
        <f>IF(終値!A50="","",IFERROR(4*STDEVP(終値!G50:Z50)/AVERAGE(終値!G50:Z50),""))</f>
        <v>0.10766659813303008</v>
      </c>
      <c r="E50" s="503">
        <f>IF(終値!A50="","",IFERROR(4*STDEVP(終値!H50:AA50)/AVERAGE(終値!H50:AA50),""))</f>
        <v>9.9933084724274715E-2</v>
      </c>
      <c r="F50" s="503">
        <f>IF(終値!A50="","",IFERROR(4*STDEVP(終値!I50:AB50)/AVERAGE(終値!I50:AB50),""))</f>
        <v>0.10202541494598673</v>
      </c>
      <c r="G50" s="503">
        <f>IF(終値!A50="","",IFERROR(4*STDEVP(終値!J50:AC50)/AVERAGE(終値!J50:AC50),""))</f>
        <v>0.1176309786316362</v>
      </c>
      <c r="H50" s="503">
        <f>IF(終値!A50="","",IFERROR(4*STDEVP(終値!K50:AD50)/AVERAGE(終値!K50:AD50),""))</f>
        <v>0.13354159084152892</v>
      </c>
      <c r="I50" s="503">
        <f>IF(終値!A50="","",IFERROR(4*STDEVP(終値!L50:AE50)/AVERAGE(終値!L50:AE50),""))</f>
        <v>0.14924930701665293</v>
      </c>
      <c r="J50" s="503">
        <f>IF(終値!A50="","",IFERROR(4*STDEVP(終値!M50:AF50)/AVERAGE(終値!M50:AF50),""))</f>
        <v>0.15934697447525398</v>
      </c>
      <c r="K50" s="503">
        <f>IF(終値!A50="","",IFERROR(4*STDEVP(終値!N50:AG50)/AVERAGE(終値!N50:AG50),""))</f>
        <v>0.16101438027228379</v>
      </c>
      <c r="L50" s="503">
        <f>IF(終値!A50="","",IFERROR(4*STDEVP(終値!O50:AH50)/AVERAGE(終値!O50:AH50),""))</f>
        <v>0.16049556988509686</v>
      </c>
      <c r="M50" s="503">
        <f>IF(終値!A50="","",IFERROR(4*STDEVP(終値!P50:AI50)/AVERAGE(終値!P50:AI50),""))</f>
        <v>0.15256568810440932</v>
      </c>
      <c r="N50" s="503">
        <f>IF(終値!A50="","",IFERROR(4*STDEVP(終値!Q50:AJ50)/AVERAGE(終値!Q50:AJ50),""))</f>
        <v>0.1435639854913775</v>
      </c>
      <c r="O50" s="503">
        <f>IF(終値!A50="","",IFERROR(4*STDEVP(終値!R50:AK50)/AVERAGE(終値!R50:AK50),""))</f>
        <v>0.14027606995369574</v>
      </c>
      <c r="P50" s="503">
        <f>IF(終値!A50="","",IFERROR(4*STDEVP(終値!S50:AL50)/AVERAGE(終値!S50:AL50),""))</f>
        <v>0.14034375355875531</v>
      </c>
      <c r="Q50" s="503">
        <f>IF(終値!A50="","",IFERROR(4*STDEVP(終値!T50:AM50)/AVERAGE(終値!T50:AM50),""))</f>
        <v>0.12628945431562807</v>
      </c>
      <c r="R50" s="503">
        <f>IF(終値!A50="","",IFERROR(4*STDEVP(終値!U50:AN50)/AVERAGE(終値!U50:AN50),""))</f>
        <v>0.11895582910765599</v>
      </c>
      <c r="S50" s="503">
        <f>IF(終値!A50="","",IFERROR(4*STDEVP(終値!V50:AO50)/AVERAGE(終値!V50:AO50),""))</f>
        <v>0.10929414514059305</v>
      </c>
      <c r="T50" s="503">
        <f>IF(終値!A50="","",IFERROR(4*STDEVP(終値!W50:AP50)/AVERAGE(終値!W50:AP50),""))</f>
        <v>0.10535730682160101</v>
      </c>
      <c r="U50" s="503">
        <f>IF(終値!A50="","",IFERROR(4*STDEVP(終値!X50:AQ50)/AVERAGE(終値!X50:AQ50),""))</f>
        <v>0.10745158495899083</v>
      </c>
      <c r="V50" s="503">
        <f>IF(終値!A50="","",IFERROR(4*STDEVP(終値!Y50:AR50)/AVERAGE(終値!Y50:AR50),""))</f>
        <v>0.1053586484574166</v>
      </c>
      <c r="W50" s="503">
        <f>IF(終値!A50="","",IFERROR(4*STDEVP(終値!Z50:AS50)/AVERAGE(終値!Z50:AS50),""))</f>
        <v>0.10638879357964891</v>
      </c>
      <c r="X50" s="503">
        <f>IF(終値!A50="","",IFERROR(4*STDEVP(終値!AA50:AT50)/AVERAGE(終値!AA50:AT50),""))</f>
        <v>9.7664388013525116E-2</v>
      </c>
      <c r="Y50" s="503">
        <f>IF(終値!A50="","",IFERROR(4*STDEVP(終値!AB50:AU50)/AVERAGE(終値!AB50:AU50),""))</f>
        <v>9.8271855554385695E-2</v>
      </c>
      <c r="Z50" s="503">
        <f>IF(終値!A50="","",IFERROR(4*STDEVP(終値!AC50:AV50)/AVERAGE(終値!AC50:AV50),""))</f>
        <v>0.10008340025242053</v>
      </c>
      <c r="AA50" s="503">
        <f>IF(終値!A50="","",IFERROR(4*STDEVP(終値!AD50:AW50)/AVERAGE(終値!AD50:AW50),""))</f>
        <v>0.11499849914450301</v>
      </c>
      <c r="AB50" s="503">
        <f>IF(終値!A50="","",IFERROR(4*STDEVP(終値!AE50:AX50)/AVERAGE(終値!AE50:AX50),""))</f>
        <v>0.13626700947978077</v>
      </c>
      <c r="AC50" s="503">
        <f>IF(終値!A50="","",IFERROR(4*STDEVP(終値!AF50:AY50)/AVERAGE(終値!AF50:AY50),""))</f>
        <v>0.15125594114055335</v>
      </c>
      <c r="AD50" s="503">
        <f>IF(終値!A50="","",IFERROR(4*STDEVP(終値!AG50:AZ50)/AVERAGE(終値!AG50:AZ50),""))</f>
        <v>0.15819845709470259</v>
      </c>
      <c r="AE50" s="503">
        <f>IF(終値!A50="","",IFERROR(4*STDEVP(終値!AH50:BA50)/AVERAGE(終値!AH50:BA50),""))</f>
        <v>0.16092335513401645</v>
      </c>
      <c r="AF50" s="503">
        <f>IF(終値!A50="","",IFERROR(4*STDEVP(終値!AI50:BB50)/AVERAGE(終値!AI50:BB50),""))</f>
        <v>0.16430180018958862</v>
      </c>
      <c r="AG50" s="503">
        <f>IF(終値!A50="","",IFERROR(4*STDEVP(終値!AJ50:BC50)/AVERAGE(終値!AJ50:BC50),""))</f>
        <v>0.16396972358454312</v>
      </c>
      <c r="AH50" s="503">
        <f>IF(終値!A50="","",IFERROR(4*STDEVP(終値!AK50:BD50)/AVERAGE(終値!AK50:BD50),""))</f>
        <v>0.15851542219128176</v>
      </c>
      <c r="AI50" s="503">
        <f>IF(終値!A50="","",IFERROR(4*STDEVP(終値!AL50:BE50)/AVERAGE(終値!AL50:BE50),""))</f>
        <v>0.1558417323810693</v>
      </c>
      <c r="AJ50" s="503">
        <f>IF(終値!A50="","",IFERROR(4*STDEVP(終値!AM50:BF50)/AVERAGE(終値!AM50:BF50),""))</f>
        <v>0.14241112229861305</v>
      </c>
      <c r="AK50" s="503">
        <f>IF(終値!A50="","",IFERROR(4*STDEVP(終値!AN50:BG50)/AVERAGE(終値!AN50:BG50),""))</f>
        <v>0.14413836015246168</v>
      </c>
      <c r="AL50" s="503">
        <f>IF(終値!A50="","",IFERROR(4*STDEVP(終値!AO50:BH50)/AVERAGE(終値!AO50:BH50),""))</f>
        <v>0.14551092370390817</v>
      </c>
      <c r="AM50" s="503">
        <f>IF(終値!A50="","",IFERROR(4*STDEVP(終値!AP50:BI50)/AVERAGE(終値!AP50:BI50),""))</f>
        <v>0.12743731458314841</v>
      </c>
      <c r="AN50" s="503">
        <f>IF(終値!A50="","",IFERROR(4*STDEVP(終値!AQ50:BJ50)/AVERAGE(終値!AQ50:BJ50),""))</f>
        <v>0.1145807458893222</v>
      </c>
      <c r="AO50" s="503">
        <f>IF(終値!A50="","",IFERROR(4*STDEVP(終値!AR50:BK50)/AVERAGE(終値!AR50:BK50),""))</f>
        <v>0.11704858911681899</v>
      </c>
      <c r="AP50" s="503">
        <f>IF(終値!A50="","",IFERROR(4*STDEVP(終値!AS50:BL50)/AVERAGE(終値!AS50:BL50),""))</f>
        <v>0.12206339091308333</v>
      </c>
    </row>
    <row r="51" spans="1:42">
      <c r="A51" s="500" t="str">
        <f>IF(終値!A51="","",終値!A51)</f>
        <v>5449</v>
      </c>
      <c r="B51" s="503">
        <f>IF(終値!A51="","",IFERROR(4*STDEVP(終値!E51:X51)/AVERAGE(終値!E51:X51),""))</f>
        <v>0.2060570762803435</v>
      </c>
      <c r="C51" s="503">
        <f>IF(終値!A51="","",IFERROR(4*STDEVP(終値!F51:Y51)/AVERAGE(終値!F51:Y51),""))</f>
        <v>0.19959281280176389</v>
      </c>
      <c r="D51" s="503">
        <f>IF(終値!A51="","",IFERROR(4*STDEVP(終値!G51:Z51)/AVERAGE(終値!G51:Z51),""))</f>
        <v>0.20323369974825187</v>
      </c>
      <c r="E51" s="503">
        <f>IF(終値!A51="","",IFERROR(4*STDEVP(終値!H51:AA51)/AVERAGE(終値!H51:AA51),""))</f>
        <v>0.20553446268744491</v>
      </c>
      <c r="F51" s="503">
        <f>IF(終値!A51="","",IFERROR(4*STDEVP(終値!I51:AB51)/AVERAGE(終値!I51:AB51),""))</f>
        <v>0.21086446203205741</v>
      </c>
      <c r="G51" s="503">
        <f>IF(終値!A51="","",IFERROR(4*STDEVP(終値!J51:AC51)/AVERAGE(終値!J51:AC51),""))</f>
        <v>0.235278848774926</v>
      </c>
      <c r="H51" s="503">
        <f>IF(終値!A51="","",IFERROR(4*STDEVP(終値!K51:AD51)/AVERAGE(終値!K51:AD51),""))</f>
        <v>0.23710799219228437</v>
      </c>
      <c r="I51" s="503">
        <f>IF(終値!A51="","",IFERROR(4*STDEVP(終値!L51:AE51)/AVERAGE(終値!L51:AE51),""))</f>
        <v>0.20802782445088266</v>
      </c>
      <c r="J51" s="503">
        <f>IF(終値!A51="","",IFERROR(4*STDEVP(終値!M51:AF51)/AVERAGE(終値!M51:AF51),""))</f>
        <v>0.19603062007480265</v>
      </c>
      <c r="K51" s="503">
        <f>IF(終値!A51="","",IFERROR(4*STDEVP(終値!N51:AG51)/AVERAGE(終値!N51:AG51),""))</f>
        <v>0.19019944157059698</v>
      </c>
      <c r="L51" s="503">
        <f>IF(終値!A51="","",IFERROR(4*STDEVP(終値!O51:AH51)/AVERAGE(終値!O51:AH51),""))</f>
        <v>0.18566579278071924</v>
      </c>
      <c r="M51" s="503">
        <f>IF(終値!A51="","",IFERROR(4*STDEVP(終値!P51:AI51)/AVERAGE(終値!P51:AI51),""))</f>
        <v>0.1781244374843976</v>
      </c>
      <c r="N51" s="503">
        <f>IF(終値!A51="","",IFERROR(4*STDEVP(終値!Q51:AJ51)/AVERAGE(終値!Q51:AJ51),""))</f>
        <v>0.17322652150206067</v>
      </c>
      <c r="O51" s="503">
        <f>IF(終値!A51="","",IFERROR(4*STDEVP(終値!R51:AK51)/AVERAGE(終値!R51:AK51),""))</f>
        <v>0.16337115431258933</v>
      </c>
      <c r="P51" s="503">
        <f>IF(終値!A51="","",IFERROR(4*STDEVP(終値!S51:AL51)/AVERAGE(終値!S51:AL51),""))</f>
        <v>0.1613634383212165</v>
      </c>
      <c r="Q51" s="503">
        <f>IF(終値!A51="","",IFERROR(4*STDEVP(終値!T51:AM51)/AVERAGE(終値!T51:AM51),""))</f>
        <v>0.16184952167358432</v>
      </c>
      <c r="R51" s="503">
        <f>IF(終値!A51="","",IFERROR(4*STDEVP(終値!U51:AN51)/AVERAGE(終値!U51:AN51),""))</f>
        <v>0.15714261334277355</v>
      </c>
      <c r="S51" s="503">
        <f>IF(終値!A51="","",IFERROR(4*STDEVP(終値!V51:AO51)/AVERAGE(終値!V51:AO51),""))</f>
        <v>0.14577033699945563</v>
      </c>
      <c r="T51" s="503">
        <f>IF(終値!A51="","",IFERROR(4*STDEVP(終値!W51:AP51)/AVERAGE(終値!W51:AP51),""))</f>
        <v>0.13298917426273973</v>
      </c>
      <c r="U51" s="503">
        <f>IF(終値!A51="","",IFERROR(4*STDEVP(終値!X51:AQ51)/AVERAGE(終値!X51:AQ51),""))</f>
        <v>0.12610989847094781</v>
      </c>
      <c r="V51" s="503">
        <f>IF(終値!A51="","",IFERROR(4*STDEVP(終値!Y51:AR51)/AVERAGE(終値!Y51:AR51),""))</f>
        <v>0.10940254647536146</v>
      </c>
      <c r="W51" s="503">
        <f>IF(終値!A51="","",IFERROR(4*STDEVP(終値!Z51:AS51)/AVERAGE(終値!Z51:AS51),""))</f>
        <v>8.8028521499012247E-2</v>
      </c>
      <c r="X51" s="503">
        <f>IF(終値!A51="","",IFERROR(4*STDEVP(終値!AA51:AT51)/AVERAGE(終値!AA51:AT51),""))</f>
        <v>8.3784072355120462E-2</v>
      </c>
      <c r="Y51" s="503">
        <f>IF(終値!A51="","",IFERROR(4*STDEVP(終値!AB51:AU51)/AVERAGE(終値!AB51:AU51),""))</f>
        <v>7.6465682372082983E-2</v>
      </c>
      <c r="Z51" s="503">
        <f>IF(終値!A51="","",IFERROR(4*STDEVP(終値!AC51:AV51)/AVERAGE(終値!AC51:AV51),""))</f>
        <v>8.2216615886629055E-2</v>
      </c>
      <c r="AA51" s="503">
        <f>IF(終値!A51="","",IFERROR(4*STDEVP(終値!AD51:AW51)/AVERAGE(終値!AD51:AW51),""))</f>
        <v>7.8433324077567645E-2</v>
      </c>
      <c r="AB51" s="503">
        <f>IF(終値!A51="","",IFERROR(4*STDEVP(終値!AE51:AX51)/AVERAGE(終値!AE51:AX51),""))</f>
        <v>0.12241948007334832</v>
      </c>
      <c r="AC51" s="503">
        <f>IF(終値!A51="","",IFERROR(4*STDEVP(終値!AF51:AY51)/AVERAGE(終値!AF51:AY51),""))</f>
        <v>0.15287122020907615</v>
      </c>
      <c r="AD51" s="503">
        <f>IF(終値!A51="","",IFERROR(4*STDEVP(終値!AG51:AZ51)/AVERAGE(終値!AG51:AZ51),""))</f>
        <v>0.19010293154006289</v>
      </c>
      <c r="AE51" s="503">
        <f>IF(終値!A51="","",IFERROR(4*STDEVP(終値!AH51:BA51)/AVERAGE(終値!AH51:BA51),""))</f>
        <v>0.19159755454880922</v>
      </c>
      <c r="AF51" s="503">
        <f>IF(終値!A51="","",IFERROR(4*STDEVP(終値!AI51:BB51)/AVERAGE(終値!AI51:BB51),""))</f>
        <v>0.18843824511020826</v>
      </c>
      <c r="AG51" s="503">
        <f>IF(終値!A51="","",IFERROR(4*STDEVP(終値!AJ51:BC51)/AVERAGE(終値!AJ51:BC51),""))</f>
        <v>0.18694568404445544</v>
      </c>
      <c r="AH51" s="503">
        <f>IF(終値!A51="","",IFERROR(4*STDEVP(終値!AK51:BD51)/AVERAGE(終値!AK51:BD51),""))</f>
        <v>0.19160362935616407</v>
      </c>
      <c r="AI51" s="503">
        <f>IF(終値!A51="","",IFERROR(4*STDEVP(終値!AL51:BE51)/AVERAGE(終値!AL51:BE51),""))</f>
        <v>0.1972753376194859</v>
      </c>
      <c r="AJ51" s="503">
        <f>IF(終値!A51="","",IFERROR(4*STDEVP(終値!AM51:BF51)/AVERAGE(終値!AM51:BF51),""))</f>
        <v>0.20029103241947482</v>
      </c>
      <c r="AK51" s="503">
        <f>IF(終値!A51="","",IFERROR(4*STDEVP(終値!AN51:BG51)/AVERAGE(終値!AN51:BG51),""))</f>
        <v>0.19184188514407666</v>
      </c>
      <c r="AL51" s="503">
        <f>IF(終値!A51="","",IFERROR(4*STDEVP(終値!AO51:BH51)/AVERAGE(終値!AO51:BH51),""))</f>
        <v>0.19274886893903365</v>
      </c>
      <c r="AM51" s="503">
        <f>IF(終値!A51="","",IFERROR(4*STDEVP(終値!AP51:BI51)/AVERAGE(終値!AP51:BI51),""))</f>
        <v>0.19478360289443694</v>
      </c>
      <c r="AN51" s="503">
        <f>IF(終値!A51="","",IFERROR(4*STDEVP(終値!AQ51:BJ51)/AVERAGE(終値!AQ51:BJ51),""))</f>
        <v>0.19580142398475975</v>
      </c>
      <c r="AO51" s="503">
        <f>IF(終値!A51="","",IFERROR(4*STDEVP(終値!AR51:BK51)/AVERAGE(終値!AR51:BK51),""))</f>
        <v>0.20085606485673721</v>
      </c>
      <c r="AP51" s="503">
        <f>IF(終値!A51="","",IFERROR(4*STDEVP(終値!AS51:BL51)/AVERAGE(終値!AS51:BL51),""))</f>
        <v>0.2038035513676259</v>
      </c>
    </row>
    <row r="52" spans="1:42">
      <c r="A52" s="500" t="str">
        <f>IF(終値!A52="","",終値!A52)</f>
        <v>8766</v>
      </c>
      <c r="B52" s="503">
        <f>IF(終値!A52="","",IFERROR(4*STDEVP(終値!E52:X52)/AVERAGE(終値!E52:X52),""))</f>
        <v>0.12029749112829811</v>
      </c>
      <c r="C52" s="503">
        <f>IF(終値!A52="","",IFERROR(4*STDEVP(終値!F52:Y52)/AVERAGE(終値!F52:Y52),""))</f>
        <v>0.12181167471301813</v>
      </c>
      <c r="D52" s="503">
        <f>IF(終値!A52="","",IFERROR(4*STDEVP(終値!G52:Z52)/AVERAGE(終値!G52:Z52),""))</f>
        <v>0.12086834067676885</v>
      </c>
      <c r="E52" s="503">
        <f>IF(終値!A52="","",IFERROR(4*STDEVP(終値!H52:AA52)/AVERAGE(終値!H52:AA52),""))</f>
        <v>0.12426253892047787</v>
      </c>
      <c r="F52" s="503">
        <f>IF(終値!A52="","",IFERROR(4*STDEVP(終値!I52:AB52)/AVERAGE(終値!I52:AB52),""))</f>
        <v>0.13164059393652744</v>
      </c>
      <c r="G52" s="503">
        <f>IF(終値!A52="","",IFERROR(4*STDEVP(終値!J52:AC52)/AVERAGE(終値!J52:AC52),""))</f>
        <v>0.15427339713718116</v>
      </c>
      <c r="H52" s="503">
        <f>IF(終値!A52="","",IFERROR(4*STDEVP(終値!K52:AD52)/AVERAGE(終値!K52:AD52),""))</f>
        <v>0.16353900200145166</v>
      </c>
      <c r="I52" s="503">
        <f>IF(終値!A52="","",IFERROR(4*STDEVP(終値!L52:AE52)/AVERAGE(終値!L52:AE52),""))</f>
        <v>0.15784986764228331</v>
      </c>
      <c r="J52" s="503">
        <f>IF(終値!A52="","",IFERROR(4*STDEVP(終値!M52:AF52)/AVERAGE(終値!M52:AF52),""))</f>
        <v>0.17213569414279131</v>
      </c>
      <c r="K52" s="503">
        <f>IF(終値!A52="","",IFERROR(4*STDEVP(終値!N52:AG52)/AVERAGE(終値!N52:AG52),""))</f>
        <v>0.18152573737338162</v>
      </c>
      <c r="L52" s="503">
        <f>IF(終値!A52="","",IFERROR(4*STDEVP(終値!O52:AH52)/AVERAGE(終値!O52:AH52),""))</f>
        <v>0.18393149168281714</v>
      </c>
      <c r="M52" s="503">
        <f>IF(終値!A52="","",IFERROR(4*STDEVP(終値!P52:AI52)/AVERAGE(終値!P52:AI52),""))</f>
        <v>0.17877597174844059</v>
      </c>
      <c r="N52" s="503">
        <f>IF(終値!A52="","",IFERROR(4*STDEVP(終値!Q52:AJ52)/AVERAGE(終値!Q52:AJ52),""))</f>
        <v>0.17080639483406762</v>
      </c>
      <c r="O52" s="503">
        <f>IF(終値!A52="","",IFERROR(4*STDEVP(終値!R52:AK52)/AVERAGE(終値!R52:AK52),""))</f>
        <v>0.16620160529799666</v>
      </c>
      <c r="P52" s="503">
        <f>IF(終値!A52="","",IFERROR(4*STDEVP(終値!S52:AL52)/AVERAGE(終値!S52:AL52),""))</f>
        <v>0.16633524953846046</v>
      </c>
      <c r="Q52" s="503">
        <f>IF(終値!A52="","",IFERROR(4*STDEVP(終値!T52:AM52)/AVERAGE(終値!T52:AM52),""))</f>
        <v>0.1618069651546343</v>
      </c>
      <c r="R52" s="503">
        <f>IF(終値!A52="","",IFERROR(4*STDEVP(終値!U52:AN52)/AVERAGE(終値!U52:AN52),""))</f>
        <v>0.15725558286536639</v>
      </c>
      <c r="S52" s="503">
        <f>IF(終値!A52="","",IFERROR(4*STDEVP(終値!V52:AO52)/AVERAGE(終値!V52:AO52),""))</f>
        <v>0.15469952824069402</v>
      </c>
      <c r="T52" s="503">
        <f>IF(終値!A52="","",IFERROR(4*STDEVP(終値!W52:AP52)/AVERAGE(終値!W52:AP52),""))</f>
        <v>0.15162409402770244</v>
      </c>
      <c r="U52" s="503">
        <f>IF(終値!A52="","",IFERROR(4*STDEVP(終値!X52:AQ52)/AVERAGE(終値!X52:AQ52),""))</f>
        <v>0.13710223889029952</v>
      </c>
      <c r="V52" s="503">
        <f>IF(終値!A52="","",IFERROR(4*STDEVP(終値!Y52:AR52)/AVERAGE(終値!Y52:AR52),""))</f>
        <v>0.1292200431227255</v>
      </c>
      <c r="W52" s="503">
        <f>IF(終値!A52="","",IFERROR(4*STDEVP(終値!Z52:AS52)/AVERAGE(終値!Z52:AS52),""))</f>
        <v>0.11864205379175209</v>
      </c>
      <c r="X52" s="503">
        <f>IF(終値!A52="","",IFERROR(4*STDEVP(終値!AA52:AT52)/AVERAGE(終値!AA52:AT52),""))</f>
        <v>0.10269151024968512</v>
      </c>
      <c r="Y52" s="503">
        <f>IF(終値!A52="","",IFERROR(4*STDEVP(終値!AB52:AU52)/AVERAGE(終値!AB52:AU52),""))</f>
        <v>9.8853315273864317E-2</v>
      </c>
      <c r="Z52" s="503">
        <f>IF(終値!A52="","",IFERROR(4*STDEVP(終値!AC52:AV52)/AVERAGE(終値!AC52:AV52),""))</f>
        <v>9.1571004223678254E-2</v>
      </c>
      <c r="AA52" s="503">
        <f>IF(終値!A52="","",IFERROR(4*STDEVP(終値!AD52:AW52)/AVERAGE(終値!AD52:AW52),""))</f>
        <v>9.2734809147419925E-2</v>
      </c>
      <c r="AB52" s="503">
        <f>IF(終値!A52="","",IFERROR(4*STDEVP(終値!AE52:AX52)/AVERAGE(終値!AE52:AX52),""))</f>
        <v>9.3090049743821693E-2</v>
      </c>
      <c r="AC52" s="503">
        <f>IF(終値!A52="","",IFERROR(4*STDEVP(終値!AF52:AY52)/AVERAGE(終値!AF52:AY52),""))</f>
        <v>9.2671105740132556E-2</v>
      </c>
      <c r="AD52" s="503">
        <f>IF(終値!A52="","",IFERROR(4*STDEVP(終値!AG52:AZ52)/AVERAGE(終値!AG52:AZ52),""))</f>
        <v>8.8619367876470109E-2</v>
      </c>
      <c r="AE52" s="503">
        <f>IF(終値!A52="","",IFERROR(4*STDEVP(終値!AH52:BA52)/AVERAGE(終値!AH52:BA52),""))</f>
        <v>7.9564751431795366E-2</v>
      </c>
      <c r="AF52" s="503">
        <f>IF(終値!A52="","",IFERROR(4*STDEVP(終値!AI52:BB52)/AVERAGE(終値!AI52:BB52),""))</f>
        <v>7.481790690226503E-2</v>
      </c>
      <c r="AG52" s="503">
        <f>IF(終値!A52="","",IFERROR(4*STDEVP(終値!AJ52:BC52)/AVERAGE(終値!AJ52:BC52),""))</f>
        <v>9.249863706209778E-2</v>
      </c>
      <c r="AH52" s="503">
        <f>IF(終値!A52="","",IFERROR(4*STDEVP(終値!AK52:BD52)/AVERAGE(終値!AK52:BD52),""))</f>
        <v>0.11364684560107451</v>
      </c>
      <c r="AI52" s="503">
        <f>IF(終値!A52="","",IFERROR(4*STDEVP(終値!AL52:BE52)/AVERAGE(終値!AL52:BE52),""))</f>
        <v>0.13691385052998445</v>
      </c>
      <c r="AJ52" s="503">
        <f>IF(終値!A52="","",IFERROR(4*STDEVP(終値!AM52:BF52)/AVERAGE(終値!AM52:BF52),""))</f>
        <v>0.14124267207285079</v>
      </c>
      <c r="AK52" s="503">
        <f>IF(終値!A52="","",IFERROR(4*STDEVP(終値!AN52:BG52)/AVERAGE(終値!AN52:BG52),""))</f>
        <v>0.14296152202706688</v>
      </c>
      <c r="AL52" s="503">
        <f>IF(終値!A52="","",IFERROR(4*STDEVP(終値!AO52:BH52)/AVERAGE(終値!AO52:BH52),""))</f>
        <v>0.14263474865032921</v>
      </c>
      <c r="AM52" s="503">
        <f>IF(終値!A52="","",IFERROR(4*STDEVP(終値!AP52:BI52)/AVERAGE(終値!AP52:BI52),""))</f>
        <v>0.14237981527464008</v>
      </c>
      <c r="AN52" s="503">
        <f>IF(終値!A52="","",IFERROR(4*STDEVP(終値!AQ52:BJ52)/AVERAGE(終値!AQ52:BJ52),""))</f>
        <v>0.14496529477456932</v>
      </c>
      <c r="AO52" s="503">
        <f>IF(終値!A52="","",IFERROR(4*STDEVP(終値!AR52:BK52)/AVERAGE(終値!AR52:BK52),""))</f>
        <v>0.14704648871254147</v>
      </c>
      <c r="AP52" s="503">
        <f>IF(終値!A52="","",IFERROR(4*STDEVP(終値!AS52:BL52)/AVERAGE(終値!AS52:BL52),""))</f>
        <v>0.15170710264548909</v>
      </c>
    </row>
    <row r="53" spans="1:42">
      <c r="A53" s="500" t="str">
        <f>IF(終値!A53="","",終値!A53)</f>
        <v>5201</v>
      </c>
      <c r="B53" s="503">
        <f>IF(終値!A53="","",IFERROR(4*STDEVP(終値!E53:X53)/AVERAGE(終値!E53:X53),""))</f>
        <v>0.16019680511169168</v>
      </c>
      <c r="C53" s="503">
        <f>IF(終値!A53="","",IFERROR(4*STDEVP(終値!F53:Y53)/AVERAGE(終値!F53:Y53),""))</f>
        <v>0.15744308550959718</v>
      </c>
      <c r="D53" s="503">
        <f>IF(終値!A53="","",IFERROR(4*STDEVP(終値!G53:Z53)/AVERAGE(終値!G53:Z53),""))</f>
        <v>0.15725160172659372</v>
      </c>
      <c r="E53" s="503">
        <f>IF(終値!A53="","",IFERROR(4*STDEVP(終値!H53:AA53)/AVERAGE(終値!H53:AA53),""))</f>
        <v>0.14446196827393912</v>
      </c>
      <c r="F53" s="503">
        <f>IF(終値!A53="","",IFERROR(4*STDEVP(終値!I53:AB53)/AVERAGE(終値!I53:AB53),""))</f>
        <v>0.15051763856338904</v>
      </c>
      <c r="G53" s="503">
        <f>IF(終値!A53="","",IFERROR(4*STDEVP(終値!J53:AC53)/AVERAGE(終値!J53:AC53),""))</f>
        <v>0.16346810392156993</v>
      </c>
      <c r="H53" s="503">
        <f>IF(終値!A53="","",IFERROR(4*STDEVP(終値!K53:AD53)/AVERAGE(終値!K53:AD53),""))</f>
        <v>0.16607009491008851</v>
      </c>
      <c r="I53" s="503">
        <f>IF(終値!A53="","",IFERROR(4*STDEVP(終値!L53:AE53)/AVERAGE(終値!L53:AE53),""))</f>
        <v>0.1653953431676648</v>
      </c>
      <c r="J53" s="503">
        <f>IF(終値!A53="","",IFERROR(4*STDEVP(終値!M53:AF53)/AVERAGE(終値!M53:AF53),""))</f>
        <v>0.17784710952308103</v>
      </c>
      <c r="K53" s="503">
        <f>IF(終値!A53="","",IFERROR(4*STDEVP(終値!N53:AG53)/AVERAGE(終値!N53:AG53),""))</f>
        <v>0.19474540059536508</v>
      </c>
      <c r="L53" s="503">
        <f>IF(終値!A53="","",IFERROR(4*STDEVP(終値!O53:AH53)/AVERAGE(終値!O53:AH53),""))</f>
        <v>0.1982834076929065</v>
      </c>
      <c r="M53" s="503">
        <f>IF(終値!A53="","",IFERROR(4*STDEVP(終値!P53:AI53)/AVERAGE(終値!P53:AI53),""))</f>
        <v>0.20570631493527769</v>
      </c>
      <c r="N53" s="503">
        <f>IF(終値!A53="","",IFERROR(4*STDEVP(終値!Q53:AJ53)/AVERAGE(終値!Q53:AJ53),""))</f>
        <v>0.22531909017847201</v>
      </c>
      <c r="O53" s="503">
        <f>IF(終値!A53="","",IFERROR(4*STDEVP(終値!R53:AK53)/AVERAGE(終値!R53:AK53),""))</f>
        <v>0.23752448812940005</v>
      </c>
      <c r="P53" s="503">
        <f>IF(終値!A53="","",IFERROR(4*STDEVP(終値!S53:AL53)/AVERAGE(終値!S53:AL53),""))</f>
        <v>0.23362728311087422</v>
      </c>
      <c r="Q53" s="503">
        <f>IF(終値!A53="","",IFERROR(4*STDEVP(終値!T53:AM53)/AVERAGE(終値!T53:AM53),""))</f>
        <v>0.23510135871423765</v>
      </c>
      <c r="R53" s="503">
        <f>IF(終値!A53="","",IFERROR(4*STDEVP(終値!U53:AN53)/AVERAGE(終値!U53:AN53),""))</f>
        <v>0.22644410174548799</v>
      </c>
      <c r="S53" s="503">
        <f>IF(終値!A53="","",IFERROR(4*STDEVP(終値!V53:AO53)/AVERAGE(終値!V53:AO53),""))</f>
        <v>0.21303650251236045</v>
      </c>
      <c r="T53" s="503">
        <f>IF(終値!A53="","",IFERROR(4*STDEVP(終値!W53:AP53)/AVERAGE(終値!W53:AP53),""))</f>
        <v>0.19673310972093339</v>
      </c>
      <c r="U53" s="503">
        <f>IF(終値!A53="","",IFERROR(4*STDEVP(終値!X53:AQ53)/AVERAGE(終値!X53:AQ53),""))</f>
        <v>0.18136865066336741</v>
      </c>
      <c r="V53" s="503">
        <f>IF(終値!A53="","",IFERROR(4*STDEVP(終値!Y53:AR53)/AVERAGE(終値!Y53:AR53),""))</f>
        <v>0.16002546734781917</v>
      </c>
      <c r="W53" s="503">
        <f>IF(終値!A53="","",IFERROR(4*STDEVP(終値!Z53:AS53)/AVERAGE(終値!Z53:AS53),""))</f>
        <v>0.14360035540116553</v>
      </c>
      <c r="X53" s="503">
        <f>IF(終値!A53="","",IFERROR(4*STDEVP(終値!AA53:AT53)/AVERAGE(終値!AA53:AT53),""))</f>
        <v>0.14893742419208242</v>
      </c>
      <c r="Y53" s="503">
        <f>IF(終値!A53="","",IFERROR(4*STDEVP(終値!AB53:AU53)/AVERAGE(終値!AB53:AU53),""))</f>
        <v>0.17851667640087027</v>
      </c>
      <c r="Z53" s="503">
        <f>IF(終値!A53="","",IFERROR(4*STDEVP(終値!AC53:AV53)/AVERAGE(終値!AC53:AV53),""))</f>
        <v>0.1997423486980284</v>
      </c>
      <c r="AA53" s="503">
        <f>IF(終値!A53="","",IFERROR(4*STDEVP(終値!AD53:AW53)/AVERAGE(終値!AD53:AW53),""))</f>
        <v>0.19616171220802125</v>
      </c>
      <c r="AB53" s="503">
        <f>IF(終値!A53="","",IFERROR(4*STDEVP(終値!AE53:AX53)/AVERAGE(終値!AE53:AX53),""))</f>
        <v>0.19704114007815141</v>
      </c>
      <c r="AC53" s="503">
        <f>IF(終値!A53="","",IFERROR(4*STDEVP(終値!AF53:AY53)/AVERAGE(終値!AF53:AY53),""))</f>
        <v>0.19816575496422317</v>
      </c>
      <c r="AD53" s="503">
        <f>IF(終値!A53="","",IFERROR(4*STDEVP(終値!AG53:AZ53)/AVERAGE(終値!AG53:AZ53),""))</f>
        <v>0.20094448128287967</v>
      </c>
      <c r="AE53" s="503">
        <f>IF(終値!A53="","",IFERROR(4*STDEVP(終値!AH53:BA53)/AVERAGE(終値!AH53:BA53),""))</f>
        <v>0.21830582301371837</v>
      </c>
      <c r="AF53" s="503">
        <f>IF(終値!A53="","",IFERROR(4*STDEVP(終値!AI53:BB53)/AVERAGE(終値!AI53:BB53),""))</f>
        <v>0.24057213198005298</v>
      </c>
      <c r="AG53" s="503">
        <f>IF(終値!A53="","",IFERROR(4*STDEVP(終値!AJ53:BC53)/AVERAGE(終値!AJ53:BC53),""))</f>
        <v>0.27498595081105576</v>
      </c>
      <c r="AH53" s="503">
        <f>IF(終値!A53="","",IFERROR(4*STDEVP(終値!AK53:BD53)/AVERAGE(終値!AK53:BD53),""))</f>
        <v>0.31015701280610841</v>
      </c>
      <c r="AI53" s="503">
        <f>IF(終値!A53="","",IFERROR(4*STDEVP(終値!AL53:BE53)/AVERAGE(終値!AL53:BE53),""))</f>
        <v>0.32783669089069023</v>
      </c>
      <c r="AJ53" s="503">
        <f>IF(終値!A53="","",IFERROR(4*STDEVP(終値!AM53:BF53)/AVERAGE(終値!AM53:BF53),""))</f>
        <v>0.35428870047951022</v>
      </c>
      <c r="AK53" s="503">
        <f>IF(終値!A53="","",IFERROR(4*STDEVP(終値!AN53:BG53)/AVERAGE(終値!AN53:BG53),""))</f>
        <v>0.37546441953509802</v>
      </c>
      <c r="AL53" s="503">
        <f>IF(終値!A53="","",IFERROR(4*STDEVP(終値!AO53:BH53)/AVERAGE(終値!AO53:BH53),""))</f>
        <v>0.39317034053298811</v>
      </c>
      <c r="AM53" s="503">
        <f>IF(終値!A53="","",IFERROR(4*STDEVP(終値!AP53:BI53)/AVERAGE(終値!AP53:BI53),""))</f>
        <v>0.40427379702982014</v>
      </c>
      <c r="AN53" s="503">
        <f>IF(終値!A53="","",IFERROR(4*STDEVP(終値!AQ53:BJ53)/AVERAGE(終値!AQ53:BJ53),""))</f>
        <v>0.41905692549229917</v>
      </c>
      <c r="AO53" s="503">
        <f>IF(終値!A53="","",IFERROR(4*STDEVP(終値!AR53:BK53)/AVERAGE(終値!AR53:BK53),""))</f>
        <v>0.4469132577486935</v>
      </c>
      <c r="AP53" s="503">
        <f>IF(終値!A53="","",IFERROR(4*STDEVP(終値!AS53:BL53)/AVERAGE(終値!AS53:BL53),""))</f>
        <v>0.47334213865530106</v>
      </c>
    </row>
    <row r="54" spans="1:42">
      <c r="A54" s="500" t="str">
        <f>IF(終値!A54="","",終値!A54)</f>
        <v>8630</v>
      </c>
      <c r="B54" s="503">
        <f>IF(終値!A54="","",IFERROR(4*STDEVP(終値!E54:X54)/AVERAGE(終値!E54:X54),""))</f>
        <v>0.15017957050150518</v>
      </c>
      <c r="C54" s="503">
        <f>IF(終値!A54="","",IFERROR(4*STDEVP(終値!F54:Y54)/AVERAGE(終値!F54:Y54),""))</f>
        <v>0.15322035163042116</v>
      </c>
      <c r="D54" s="503">
        <f>IF(終値!A54="","",IFERROR(4*STDEVP(終値!G54:Z54)/AVERAGE(終値!G54:Z54),""))</f>
        <v>0.15358193919932903</v>
      </c>
      <c r="E54" s="503">
        <f>IF(終値!A54="","",IFERROR(4*STDEVP(終値!H54:AA54)/AVERAGE(終値!H54:AA54),""))</f>
        <v>0.15649398118503993</v>
      </c>
      <c r="F54" s="503">
        <f>IF(終値!A54="","",IFERROR(4*STDEVP(終値!I54:AB54)/AVERAGE(終値!I54:AB54),""))</f>
        <v>0.16395756399196196</v>
      </c>
      <c r="G54" s="503">
        <f>IF(終値!A54="","",IFERROR(4*STDEVP(終値!J54:AC54)/AVERAGE(終値!J54:AC54),""))</f>
        <v>0.17697036628029778</v>
      </c>
      <c r="H54" s="503">
        <f>IF(終値!A54="","",IFERROR(4*STDEVP(終値!K54:AD54)/AVERAGE(終値!K54:AD54),""))</f>
        <v>0.18244972654436983</v>
      </c>
      <c r="I54" s="503">
        <f>IF(終値!A54="","",IFERROR(4*STDEVP(終値!L54:AE54)/AVERAGE(終値!L54:AE54),""))</f>
        <v>0.17623795095367362</v>
      </c>
      <c r="J54" s="503">
        <f>IF(終値!A54="","",IFERROR(4*STDEVP(終値!M54:AF54)/AVERAGE(終値!M54:AF54),""))</f>
        <v>0.1738722163194224</v>
      </c>
      <c r="K54" s="503">
        <f>IF(終値!A54="","",IFERROR(4*STDEVP(終値!N54:AG54)/AVERAGE(終値!N54:AG54),""))</f>
        <v>0.16557817512092238</v>
      </c>
      <c r="L54" s="503">
        <f>IF(終値!A54="","",IFERROR(4*STDEVP(終値!O54:AH54)/AVERAGE(終値!O54:AH54),""))</f>
        <v>0.1618171754421675</v>
      </c>
      <c r="M54" s="503">
        <f>IF(終値!A54="","",IFERROR(4*STDEVP(終値!P54:AI54)/AVERAGE(終値!P54:AI54),""))</f>
        <v>0.15307739653494834</v>
      </c>
      <c r="N54" s="503">
        <f>IF(終値!A54="","",IFERROR(4*STDEVP(終値!Q54:AJ54)/AVERAGE(終値!Q54:AJ54),""))</f>
        <v>0.14252490614937588</v>
      </c>
      <c r="O54" s="503">
        <f>IF(終値!A54="","",IFERROR(4*STDEVP(終値!R54:AK54)/AVERAGE(終値!R54:AK54),""))</f>
        <v>0.12772140221859732</v>
      </c>
      <c r="P54" s="503">
        <f>IF(終値!A54="","",IFERROR(4*STDEVP(終値!S54:AL54)/AVERAGE(終値!S54:AL54),""))</f>
        <v>0.12558152077717746</v>
      </c>
      <c r="Q54" s="503">
        <f>IF(終値!A54="","",IFERROR(4*STDEVP(終値!T54:AM54)/AVERAGE(終値!T54:AM54),""))</f>
        <v>0.12666129965631887</v>
      </c>
      <c r="R54" s="503">
        <f>IF(終値!A54="","",IFERROR(4*STDEVP(終値!U54:AN54)/AVERAGE(終値!U54:AN54),""))</f>
        <v>0.12644968318623817</v>
      </c>
      <c r="S54" s="503">
        <f>IF(終値!A54="","",IFERROR(4*STDEVP(終値!V54:AO54)/AVERAGE(終値!V54:AO54),""))</f>
        <v>0.12781871901027442</v>
      </c>
      <c r="T54" s="503">
        <f>IF(終値!A54="","",IFERROR(4*STDEVP(終値!W54:AP54)/AVERAGE(終値!W54:AP54),""))</f>
        <v>0.13069240693624529</v>
      </c>
      <c r="U54" s="503">
        <f>IF(終値!A54="","",IFERROR(4*STDEVP(終値!X54:AQ54)/AVERAGE(終値!X54:AQ54),""))</f>
        <v>0.12725174769635991</v>
      </c>
      <c r="V54" s="503">
        <f>IF(終値!A54="","",IFERROR(4*STDEVP(終値!Y54:AR54)/AVERAGE(終値!Y54:AR54),""))</f>
        <v>0.11851326541307221</v>
      </c>
      <c r="W54" s="503">
        <f>IF(終値!A54="","",IFERROR(4*STDEVP(終値!Z54:AS54)/AVERAGE(終値!Z54:AS54),""))</f>
        <v>0.11710757518342246</v>
      </c>
      <c r="X54" s="503">
        <f>IF(終値!A54="","",IFERROR(4*STDEVP(終値!AA54:AT54)/AVERAGE(終値!AA54:AT54),""))</f>
        <v>0.10622920337217814</v>
      </c>
      <c r="Y54" s="503">
        <f>IF(終値!A54="","",IFERROR(4*STDEVP(終値!AB54:AU54)/AVERAGE(終値!AB54:AU54),""))</f>
        <v>0.1091301473090005</v>
      </c>
      <c r="Z54" s="503">
        <f>IF(終値!A54="","",IFERROR(4*STDEVP(終値!AC54:AV54)/AVERAGE(終値!AC54:AV54),""))</f>
        <v>0.10833094356141593</v>
      </c>
      <c r="AA54" s="503">
        <f>IF(終値!A54="","",IFERROR(4*STDEVP(終値!AD54:AW54)/AVERAGE(終値!AD54:AW54),""))</f>
        <v>0.11415324097583839</v>
      </c>
      <c r="AB54" s="503">
        <f>IF(終値!A54="","",IFERROR(4*STDEVP(終値!AE54:AX54)/AVERAGE(終値!AE54:AX54),""))</f>
        <v>0.11669006172287112</v>
      </c>
      <c r="AC54" s="503">
        <f>IF(終値!A54="","",IFERROR(4*STDEVP(終値!AF54:AY54)/AVERAGE(終値!AF54:AY54),""))</f>
        <v>0.12087671336797574</v>
      </c>
      <c r="AD54" s="503">
        <f>IF(終値!A54="","",IFERROR(4*STDEVP(終値!AG54:AZ54)/AVERAGE(終値!AG54:AZ54),""))</f>
        <v>0.12394656401855268</v>
      </c>
      <c r="AE54" s="503">
        <f>IF(終値!A54="","",IFERROR(4*STDEVP(終値!AH54:BA54)/AVERAGE(終値!AH54:BA54),""))</f>
        <v>0.14621505352409322</v>
      </c>
      <c r="AF54" s="503">
        <f>IF(終値!A54="","",IFERROR(4*STDEVP(終値!AI54:BB54)/AVERAGE(終値!AI54:BB54),""))</f>
        <v>0.15753875713881163</v>
      </c>
      <c r="AG54" s="503">
        <f>IF(終値!A54="","",IFERROR(4*STDEVP(終値!AJ54:BC54)/AVERAGE(終値!AJ54:BC54),""))</f>
        <v>0.16707713088845727</v>
      </c>
      <c r="AH54" s="503">
        <f>IF(終値!A54="","",IFERROR(4*STDEVP(終値!AK54:BD54)/AVERAGE(終値!AK54:BD54),""))</f>
        <v>0.15732723230554035</v>
      </c>
      <c r="AI54" s="503">
        <f>IF(終値!A54="","",IFERROR(4*STDEVP(終値!AL54:BE54)/AVERAGE(終値!AL54:BE54),""))</f>
        <v>0.16205997221819463</v>
      </c>
      <c r="AJ54" s="503">
        <f>IF(終値!A54="","",IFERROR(4*STDEVP(終値!AM54:BF54)/AVERAGE(終値!AM54:BF54),""))</f>
        <v>0.15378517176629508</v>
      </c>
      <c r="AK54" s="503">
        <f>IF(終値!A54="","",IFERROR(4*STDEVP(終値!AN54:BG54)/AVERAGE(終値!AN54:BG54),""))</f>
        <v>0.15188790454905687</v>
      </c>
      <c r="AL54" s="503">
        <f>IF(終値!A54="","",IFERROR(4*STDEVP(終値!AO54:BH54)/AVERAGE(終値!AO54:BH54),""))</f>
        <v>0.14727697845937329</v>
      </c>
      <c r="AM54" s="503">
        <f>IF(終値!A54="","",IFERROR(4*STDEVP(終値!AP54:BI54)/AVERAGE(終値!AP54:BI54),""))</f>
        <v>0.14302930330966446</v>
      </c>
      <c r="AN54" s="503">
        <f>IF(終値!A54="","",IFERROR(4*STDEVP(終値!AQ54:BJ54)/AVERAGE(終値!AQ54:BJ54),""))</f>
        <v>0.14128492862107692</v>
      </c>
      <c r="AO54" s="503">
        <f>IF(終値!A54="","",IFERROR(4*STDEVP(終値!AR54:BK54)/AVERAGE(終値!AR54:BK54),""))</f>
        <v>0.13929256838310855</v>
      </c>
      <c r="AP54" s="503">
        <f>IF(終値!A54="","",IFERROR(4*STDEVP(終値!AS54:BL54)/AVERAGE(終値!AS54:BL54),""))</f>
        <v>0.13865383720477073</v>
      </c>
    </row>
    <row r="55" spans="1:42">
      <c r="A55" s="500" t="str">
        <f>IF(終値!A55="","",終値!A55)</f>
        <v>5901</v>
      </c>
      <c r="B55" s="503">
        <f>IF(終値!A55="","",IFERROR(4*STDEVP(終値!E55:X55)/AVERAGE(終値!E55:X55),""))</f>
        <v>7.2470740138870296E-2</v>
      </c>
      <c r="C55" s="503">
        <f>IF(終値!A55="","",IFERROR(4*STDEVP(終値!F55:Y55)/AVERAGE(終値!F55:Y55),""))</f>
        <v>6.4693306121973077E-2</v>
      </c>
      <c r="D55" s="503">
        <f>IF(終値!A55="","",IFERROR(4*STDEVP(終値!G55:Z55)/AVERAGE(終値!G55:Z55),""))</f>
        <v>5.7689424896621405E-2</v>
      </c>
      <c r="E55" s="503">
        <f>IF(終値!A55="","",IFERROR(4*STDEVP(終値!H55:AA55)/AVERAGE(終値!H55:AA55),""))</f>
        <v>5.4485694345886015E-2</v>
      </c>
      <c r="F55" s="503">
        <f>IF(終値!A55="","",IFERROR(4*STDEVP(終値!I55:AB55)/AVERAGE(終値!I55:AB55),""))</f>
        <v>5.1503958785757337E-2</v>
      </c>
      <c r="G55" s="503">
        <f>IF(終値!A55="","",IFERROR(4*STDEVP(終値!J55:AC55)/AVERAGE(終値!J55:AC55),""))</f>
        <v>5.1399240579796619E-2</v>
      </c>
      <c r="H55" s="503">
        <f>IF(終値!A55="","",IFERROR(4*STDEVP(終値!K55:AD55)/AVERAGE(終値!K55:AD55),""))</f>
        <v>5.1328579103217871E-2</v>
      </c>
      <c r="I55" s="503">
        <f>IF(終値!A55="","",IFERROR(4*STDEVP(終値!L55:AE55)/AVERAGE(終値!L55:AE55),""))</f>
        <v>4.8122251805682553E-2</v>
      </c>
      <c r="J55" s="503">
        <f>IF(終値!A55="","",IFERROR(4*STDEVP(終値!M55:AF55)/AVERAGE(終値!M55:AF55),""))</f>
        <v>4.9287926819702642E-2</v>
      </c>
      <c r="K55" s="503">
        <f>IF(終値!A55="","",IFERROR(4*STDEVP(終値!N55:AG55)/AVERAGE(終値!N55:AG55),""))</f>
        <v>4.7900921877778793E-2</v>
      </c>
      <c r="L55" s="503">
        <f>IF(終値!A55="","",IFERROR(4*STDEVP(終値!O55:AH55)/AVERAGE(終値!O55:AH55),""))</f>
        <v>4.8021518079052056E-2</v>
      </c>
      <c r="M55" s="503">
        <f>IF(終値!A55="","",IFERROR(4*STDEVP(終値!P55:AI55)/AVERAGE(終値!P55:AI55),""))</f>
        <v>4.7730435001794108E-2</v>
      </c>
      <c r="N55" s="503">
        <f>IF(終値!A55="","",IFERROR(4*STDEVP(終値!Q55:AJ55)/AVERAGE(終値!Q55:AJ55),""))</f>
        <v>4.7795141984294888E-2</v>
      </c>
      <c r="O55" s="503">
        <f>IF(終値!A55="","",IFERROR(4*STDEVP(終値!R55:AK55)/AVERAGE(終値!R55:AK55),""))</f>
        <v>4.8043732796540776E-2</v>
      </c>
      <c r="P55" s="503">
        <f>IF(終値!A55="","",IFERROR(4*STDEVP(終値!S55:AL55)/AVERAGE(終値!S55:AL55),""))</f>
        <v>4.7515156885824375E-2</v>
      </c>
      <c r="Q55" s="503">
        <f>IF(終値!A55="","",IFERROR(4*STDEVP(終値!T55:AM55)/AVERAGE(終値!T55:AM55),""))</f>
        <v>4.5476506426549518E-2</v>
      </c>
      <c r="R55" s="503">
        <f>IF(終値!A55="","",IFERROR(4*STDEVP(終値!U55:AN55)/AVERAGE(終値!U55:AN55),""))</f>
        <v>4.6850546470749231E-2</v>
      </c>
      <c r="S55" s="503">
        <f>IF(終値!A55="","",IFERROR(4*STDEVP(終値!V55:AO55)/AVERAGE(終値!V55:AO55),""))</f>
        <v>4.8907438329698787E-2</v>
      </c>
      <c r="T55" s="503">
        <f>IF(終値!A55="","",IFERROR(4*STDEVP(終値!W55:AP55)/AVERAGE(終値!W55:AP55),""))</f>
        <v>5.8100287451119108E-2</v>
      </c>
      <c r="U55" s="503">
        <f>IF(終値!A55="","",IFERROR(4*STDEVP(終値!X55:AQ55)/AVERAGE(終値!X55:AQ55),""))</f>
        <v>7.8750191313008033E-2</v>
      </c>
      <c r="V55" s="503">
        <f>IF(終値!A55="","",IFERROR(4*STDEVP(終値!Y55:AR55)/AVERAGE(終値!Y55:AR55),""))</f>
        <v>9.2718149484767046E-2</v>
      </c>
      <c r="W55" s="503">
        <f>IF(終値!A55="","",IFERROR(4*STDEVP(終値!Z55:AS55)/AVERAGE(終値!Z55:AS55),""))</f>
        <v>0.10223139836866046</v>
      </c>
      <c r="X55" s="503">
        <f>IF(終値!A55="","",IFERROR(4*STDEVP(終値!AA55:AT55)/AVERAGE(終値!AA55:AT55),""))</f>
        <v>0.11521162069100904</v>
      </c>
      <c r="Y55" s="503">
        <f>IF(終値!A55="","",IFERROR(4*STDEVP(終値!AB55:AU55)/AVERAGE(終値!AB55:AU55),""))</f>
        <v>0.12444256360646667</v>
      </c>
      <c r="Z55" s="503">
        <f>IF(終値!A55="","",IFERROR(4*STDEVP(終値!AC55:AV55)/AVERAGE(終値!AC55:AV55),""))</f>
        <v>0.12748850746113316</v>
      </c>
      <c r="AA55" s="503">
        <f>IF(終値!A55="","",IFERROR(4*STDEVP(終値!AD55:AW55)/AVERAGE(終値!AD55:AW55),""))</f>
        <v>0.13556567693855462</v>
      </c>
      <c r="AB55" s="503">
        <f>IF(終値!A55="","",IFERROR(4*STDEVP(終値!AE55:AX55)/AVERAGE(終値!AE55:AX55),""))</f>
        <v>0.13558720850351821</v>
      </c>
      <c r="AC55" s="503">
        <f>IF(終値!A55="","",IFERROR(4*STDEVP(終値!AF55:AY55)/AVERAGE(終値!AF55:AY55),""))</f>
        <v>0.13269932680591032</v>
      </c>
      <c r="AD55" s="503">
        <f>IF(終値!A55="","",IFERROR(4*STDEVP(終値!AG55:AZ55)/AVERAGE(終値!AG55:AZ55),""))</f>
        <v>0.12440279131136647</v>
      </c>
      <c r="AE55" s="503">
        <f>IF(終値!A55="","",IFERROR(4*STDEVP(終値!AH55:BA55)/AVERAGE(終値!AH55:BA55),""))</f>
        <v>0.11922303151097934</v>
      </c>
      <c r="AF55" s="503">
        <f>IF(終値!A55="","",IFERROR(4*STDEVP(終値!AI55:BB55)/AVERAGE(終値!AI55:BB55),""))</f>
        <v>0.11656500796732652</v>
      </c>
      <c r="AG55" s="503">
        <f>IF(終値!A55="","",IFERROR(4*STDEVP(終値!AJ55:BC55)/AVERAGE(終値!AJ55:BC55),""))</f>
        <v>0.14281103086245445</v>
      </c>
      <c r="AH55" s="503">
        <f>IF(終値!A55="","",IFERROR(4*STDEVP(終値!AK55:BD55)/AVERAGE(終値!AK55:BD55),""))</f>
        <v>0.13858748408564164</v>
      </c>
      <c r="AI55" s="503">
        <f>IF(終値!A55="","",IFERROR(4*STDEVP(終値!AL55:BE55)/AVERAGE(終値!AL55:BE55),""))</f>
        <v>0.13323793406394097</v>
      </c>
      <c r="AJ55" s="503">
        <f>IF(終値!A55="","",IFERROR(4*STDEVP(終値!AM55:BF55)/AVERAGE(終値!AM55:BF55),""))</f>
        <v>0.13061256621588405</v>
      </c>
      <c r="AK55" s="503">
        <f>IF(終値!A55="","",IFERROR(4*STDEVP(終値!AN55:BG55)/AVERAGE(終値!AN55:BG55),""))</f>
        <v>0.13540471592968689</v>
      </c>
      <c r="AL55" s="503">
        <f>IF(終値!A55="","",IFERROR(4*STDEVP(終値!AO55:BH55)/AVERAGE(終値!AO55:BH55),""))</f>
        <v>0.17183990402195456</v>
      </c>
      <c r="AM55" s="503">
        <f>IF(終値!A55="","",IFERROR(4*STDEVP(終値!AP55:BI55)/AVERAGE(終値!AP55:BI55),""))</f>
        <v>0.19742293333296421</v>
      </c>
      <c r="AN55" s="503">
        <f>IF(終値!A55="","",IFERROR(4*STDEVP(終値!AQ55:BJ55)/AVERAGE(終値!AQ55:BJ55),""))</f>
        <v>0.22718817378128062</v>
      </c>
      <c r="AO55" s="503">
        <f>IF(終値!A55="","",IFERROR(4*STDEVP(終値!AR55:BK55)/AVERAGE(終値!AR55:BK55),""))</f>
        <v>0.24966369406960806</v>
      </c>
      <c r="AP55" s="503">
        <f>IF(終値!A55="","",IFERROR(4*STDEVP(終値!AS55:BL55)/AVERAGE(終値!AS55:BL55),""))</f>
        <v>0.25819070524783561</v>
      </c>
    </row>
    <row r="56" spans="1:42">
      <c r="A56" s="500" t="str">
        <f>IF(終値!A56="","",終値!A56)</f>
        <v>9412</v>
      </c>
      <c r="B56" s="503">
        <f>IF(終値!A56="","",IFERROR(4*STDEVP(終値!E56:X56)/AVERAGE(終値!E56:X56),""))</f>
        <v>0.28916392751324282</v>
      </c>
      <c r="C56" s="503">
        <f>IF(終値!A56="","",IFERROR(4*STDEVP(終値!F56:Y56)/AVERAGE(終値!F56:Y56),""))</f>
        <v>0.31455718778151487</v>
      </c>
      <c r="D56" s="503">
        <f>IF(終値!A56="","",IFERROR(4*STDEVP(終値!G56:Z56)/AVERAGE(終値!G56:Z56),""))</f>
        <v>0.33229318868831037</v>
      </c>
      <c r="E56" s="503">
        <f>IF(終値!A56="","",IFERROR(4*STDEVP(終値!H56:AA56)/AVERAGE(終値!H56:AA56),""))</f>
        <v>0.36116799449760129</v>
      </c>
      <c r="F56" s="503">
        <f>IF(終値!A56="","",IFERROR(4*STDEVP(終値!I56:AB56)/AVERAGE(終値!I56:AB56),""))</f>
        <v>0.35959097735490447</v>
      </c>
      <c r="G56" s="503">
        <f>IF(終値!A56="","",IFERROR(4*STDEVP(終値!J56:AC56)/AVERAGE(終値!J56:AC56),""))</f>
        <v>0.34412998181262305</v>
      </c>
      <c r="H56" s="503">
        <f>IF(終値!A56="","",IFERROR(4*STDEVP(終値!K56:AD56)/AVERAGE(終値!K56:AD56),""))</f>
        <v>0.32448848721984747</v>
      </c>
      <c r="I56" s="503">
        <f>IF(終値!A56="","",IFERROR(4*STDEVP(終値!L56:AE56)/AVERAGE(終値!L56:AE56),""))</f>
        <v>0.28856298370769934</v>
      </c>
      <c r="J56" s="503">
        <f>IF(終値!A56="","",IFERROR(4*STDEVP(終値!M56:AF56)/AVERAGE(終値!M56:AF56),""))</f>
        <v>0.26556164505770974</v>
      </c>
      <c r="K56" s="503">
        <f>IF(終値!A56="","",IFERROR(4*STDEVP(終値!N56:AG56)/AVERAGE(終値!N56:AG56),""))</f>
        <v>0.24726394290064527</v>
      </c>
      <c r="L56" s="503">
        <f>IF(終値!A56="","",IFERROR(4*STDEVP(終値!O56:AH56)/AVERAGE(終値!O56:AH56),""))</f>
        <v>0.24115339183402382</v>
      </c>
      <c r="M56" s="503">
        <f>IF(終値!A56="","",IFERROR(4*STDEVP(終値!P56:AI56)/AVERAGE(終値!P56:AI56),""))</f>
        <v>0.24365375069761111</v>
      </c>
      <c r="N56" s="503">
        <f>IF(終値!A56="","",IFERROR(4*STDEVP(終値!Q56:AJ56)/AVERAGE(終値!Q56:AJ56),""))</f>
        <v>0.31295828944771531</v>
      </c>
      <c r="O56" s="503">
        <f>IF(終値!A56="","",IFERROR(4*STDEVP(終値!R56:AK56)/AVERAGE(終値!R56:AK56),""))</f>
        <v>0.34390611832379137</v>
      </c>
      <c r="P56" s="503">
        <f>IF(終値!A56="","",IFERROR(4*STDEVP(終値!S56:AL56)/AVERAGE(終値!S56:AL56),""))</f>
        <v>0.36836149773869076</v>
      </c>
      <c r="Q56" s="503">
        <f>IF(終値!A56="","",IFERROR(4*STDEVP(終値!T56:AM56)/AVERAGE(終値!T56:AM56),""))</f>
        <v>0.40548871398574732</v>
      </c>
      <c r="R56" s="503">
        <f>IF(終値!A56="","",IFERROR(4*STDEVP(終値!U56:AN56)/AVERAGE(終値!U56:AN56),""))</f>
        <v>0.42117533492660764</v>
      </c>
      <c r="S56" s="503">
        <f>IF(終値!A56="","",IFERROR(4*STDEVP(終値!V56:AO56)/AVERAGE(終値!V56:AO56),""))</f>
        <v>0.4241462399292722</v>
      </c>
      <c r="T56" s="503">
        <f>IF(終値!A56="","",IFERROR(4*STDEVP(終値!W56:AP56)/AVERAGE(終値!W56:AP56),""))</f>
        <v>0.45123605891208124</v>
      </c>
      <c r="U56" s="503">
        <f>IF(終値!A56="","",IFERROR(4*STDEVP(終値!X56:AQ56)/AVERAGE(終値!X56:AQ56),""))</f>
        <v>0.4488924457237029</v>
      </c>
      <c r="V56" s="503">
        <f>IF(終値!A56="","",IFERROR(4*STDEVP(終値!Y56:AR56)/AVERAGE(終値!Y56:AR56),""))</f>
        <v>0.43661736604797313</v>
      </c>
      <c r="W56" s="503">
        <f>IF(終値!A56="","",IFERROR(4*STDEVP(終値!Z56:AS56)/AVERAGE(終値!Z56:AS56),""))</f>
        <v>0.45128084851442579</v>
      </c>
      <c r="X56" s="503">
        <f>IF(終値!A56="","",IFERROR(4*STDEVP(終値!AA56:AT56)/AVERAGE(終値!AA56:AT56),""))</f>
        <v>0.47261458824862973</v>
      </c>
      <c r="Y56" s="503">
        <f>IF(終値!A56="","",IFERROR(4*STDEVP(終値!AB56:AU56)/AVERAGE(終値!AB56:AU56),""))</f>
        <v>0.47331371670875855</v>
      </c>
      <c r="Z56" s="503">
        <f>IF(終値!A56="","",IFERROR(4*STDEVP(終値!AC56:AV56)/AVERAGE(終値!AC56:AV56),""))</f>
        <v>0.48017969057371562</v>
      </c>
      <c r="AA56" s="503">
        <f>IF(終値!A56="","",IFERROR(4*STDEVP(終値!AD56:AW56)/AVERAGE(終値!AD56:AW56),""))</f>
        <v>0.47302762529954095</v>
      </c>
      <c r="AB56" s="503">
        <f>IF(終値!A56="","",IFERROR(4*STDEVP(終値!AE56:AX56)/AVERAGE(終値!AE56:AX56),""))</f>
        <v>0.55423269029260247</v>
      </c>
      <c r="AC56" s="503">
        <f>IF(終値!A56="","",IFERROR(4*STDEVP(終値!AF56:AY56)/AVERAGE(終値!AF56:AY56),""))</f>
        <v>0.5991386044170306</v>
      </c>
      <c r="AD56" s="503">
        <f>IF(終値!A56="","",IFERROR(4*STDEVP(終値!AG56:AZ56)/AVERAGE(終値!AG56:AZ56),""))</f>
        <v>0.59551067421659665</v>
      </c>
      <c r="AE56" s="503">
        <f>IF(終値!A56="","",IFERROR(4*STDEVP(終値!AH56:BA56)/AVERAGE(終値!AH56:BA56),""))</f>
        <v>0.58349398701271626</v>
      </c>
      <c r="AF56" s="503">
        <f>IF(終値!A56="","",IFERROR(4*STDEVP(終値!AI56:BB56)/AVERAGE(終値!AI56:BB56),""))</f>
        <v>0.56193856525875896</v>
      </c>
      <c r="AG56" s="503">
        <f>IF(終値!A56="","",IFERROR(4*STDEVP(終値!AJ56:BC56)/AVERAGE(終値!AJ56:BC56),""))</f>
        <v>0.52954177063273811</v>
      </c>
      <c r="AH56" s="503">
        <f>IF(終値!A56="","",IFERROR(4*STDEVP(終値!AK56:BD56)/AVERAGE(終値!AK56:BD56),""))</f>
        <v>0.52281293394663952</v>
      </c>
      <c r="AI56" s="503">
        <f>IF(終値!A56="","",IFERROR(4*STDEVP(終値!AL56:BE56)/AVERAGE(終値!AL56:BE56),""))</f>
        <v>0.5044840581870057</v>
      </c>
      <c r="AJ56" s="503">
        <f>IF(終値!A56="","",IFERROR(4*STDEVP(終値!AM56:BF56)/AVERAGE(終値!AM56:BF56),""))</f>
        <v>0.4875183747391979</v>
      </c>
      <c r="AK56" s="503">
        <f>IF(終値!A56="","",IFERROR(4*STDEVP(終値!AN56:BG56)/AVERAGE(終値!AN56:BG56),""))</f>
        <v>0.47586034744221606</v>
      </c>
      <c r="AL56" s="503">
        <f>IF(終値!A56="","",IFERROR(4*STDEVP(終値!AO56:BH56)/AVERAGE(終値!AO56:BH56),""))</f>
        <v>0.45338948933902873</v>
      </c>
      <c r="AM56" s="503">
        <f>IF(終値!A56="","",IFERROR(4*STDEVP(終値!AP56:BI56)/AVERAGE(終値!AP56:BI56),""))</f>
        <v>0.42296448263368913</v>
      </c>
      <c r="AN56" s="503">
        <f>IF(終値!A56="","",IFERROR(4*STDEVP(終値!AQ56:BJ56)/AVERAGE(終値!AQ56:BJ56),""))</f>
        <v>0.40627162092198349</v>
      </c>
      <c r="AO56" s="503">
        <f>IF(終値!A56="","",IFERROR(4*STDEVP(終値!AR56:BK56)/AVERAGE(終値!AR56:BK56),""))</f>
        <v>0.37110865215108946</v>
      </c>
      <c r="AP56" s="503">
        <f>IF(終値!A56="","",IFERROR(4*STDEVP(終値!AS56:BL56)/AVERAGE(終値!AS56:BL56),""))</f>
        <v>0.32474474443313867</v>
      </c>
    </row>
    <row r="57" spans="1:42">
      <c r="A57" s="500" t="str">
        <f>IF(終値!A57="","",終値!A57)</f>
        <v>6203</v>
      </c>
      <c r="B57" s="503">
        <f>IF(終値!A57="","",IFERROR(4*STDEVP(終値!E57:X57)/AVERAGE(終値!E57:X57),""))</f>
        <v>0.27378290421304069</v>
      </c>
      <c r="C57" s="503">
        <f>IF(終値!A57="","",IFERROR(4*STDEVP(終値!F57:Y57)/AVERAGE(終値!F57:Y57),""))</f>
        <v>0.29618753423259181</v>
      </c>
      <c r="D57" s="503">
        <f>IF(終値!A57="","",IFERROR(4*STDEVP(終値!G57:Z57)/AVERAGE(終値!G57:Z57),""))</f>
        <v>0.3156576187640886</v>
      </c>
      <c r="E57" s="503">
        <f>IF(終値!A57="","",IFERROR(4*STDEVP(終値!H57:AA57)/AVERAGE(終値!H57:AA57),""))</f>
        <v>0.31610052382419646</v>
      </c>
      <c r="F57" s="503">
        <f>IF(終値!A57="","",IFERROR(4*STDEVP(終値!I57:AB57)/AVERAGE(終値!I57:AB57),""))</f>
        <v>0.3032655566348359</v>
      </c>
      <c r="G57" s="503">
        <f>IF(終値!A57="","",IFERROR(4*STDEVP(終値!J57:AC57)/AVERAGE(終値!J57:AC57),""))</f>
        <v>0.29100202320465468</v>
      </c>
      <c r="H57" s="503">
        <f>IF(終値!A57="","",IFERROR(4*STDEVP(終値!K57:AD57)/AVERAGE(終値!K57:AD57),""))</f>
        <v>0.27137391153464052</v>
      </c>
      <c r="I57" s="503">
        <f>IF(終値!A57="","",IFERROR(4*STDEVP(終値!L57:AE57)/AVERAGE(終値!L57:AE57),""))</f>
        <v>0.24009826913129573</v>
      </c>
      <c r="J57" s="503">
        <f>IF(終値!A57="","",IFERROR(4*STDEVP(終値!M57:AF57)/AVERAGE(終値!M57:AF57),""))</f>
        <v>0.21916204495211347</v>
      </c>
      <c r="K57" s="503">
        <f>IF(終値!A57="","",IFERROR(4*STDEVP(終値!N57:AG57)/AVERAGE(終値!N57:AG57),""))</f>
        <v>0.20734471643611019</v>
      </c>
      <c r="L57" s="503">
        <f>IF(終値!A57="","",IFERROR(4*STDEVP(終値!O57:AH57)/AVERAGE(終値!O57:AH57),""))</f>
        <v>0.19299606140845363</v>
      </c>
      <c r="M57" s="503">
        <f>IF(終値!A57="","",IFERROR(4*STDEVP(終値!P57:AI57)/AVERAGE(終値!P57:AI57),""))</f>
        <v>0.17814896017802007</v>
      </c>
      <c r="N57" s="503">
        <f>IF(終値!A57="","",IFERROR(4*STDEVP(終値!Q57:AJ57)/AVERAGE(終値!Q57:AJ57),""))</f>
        <v>0.17345784776343304</v>
      </c>
      <c r="O57" s="503">
        <f>IF(終値!A57="","",IFERROR(4*STDEVP(終値!R57:AK57)/AVERAGE(終値!R57:AK57),""))</f>
        <v>0.15810325141684564</v>
      </c>
      <c r="P57" s="503">
        <f>IF(終値!A57="","",IFERROR(4*STDEVP(終値!S57:AL57)/AVERAGE(終値!S57:AL57),""))</f>
        <v>0.13386191448040749</v>
      </c>
      <c r="Q57" s="503">
        <f>IF(終値!A57="","",IFERROR(4*STDEVP(終値!T57:AM57)/AVERAGE(終値!T57:AM57),""))</f>
        <v>0.13248921184841336</v>
      </c>
      <c r="R57" s="503">
        <f>IF(終値!A57="","",IFERROR(4*STDEVP(終値!U57:AN57)/AVERAGE(終値!U57:AN57),""))</f>
        <v>0.13550707539678075</v>
      </c>
      <c r="S57" s="503">
        <f>IF(終値!A57="","",IFERROR(4*STDEVP(終値!V57:AO57)/AVERAGE(終値!V57:AO57),""))</f>
        <v>0.13937226932649169</v>
      </c>
      <c r="T57" s="503">
        <f>IF(終値!A57="","",IFERROR(4*STDEVP(終値!W57:AP57)/AVERAGE(終値!W57:AP57),""))</f>
        <v>0.14204083419011287</v>
      </c>
      <c r="U57" s="503">
        <f>IF(終値!A57="","",IFERROR(4*STDEVP(終値!X57:AQ57)/AVERAGE(終値!X57:AQ57),""))</f>
        <v>0.14202285810259258</v>
      </c>
      <c r="V57" s="503">
        <f>IF(終値!A57="","",IFERROR(4*STDEVP(終値!Y57:AR57)/AVERAGE(終値!Y57:AR57),""))</f>
        <v>0.14749430444152453</v>
      </c>
      <c r="W57" s="503">
        <f>IF(終値!A57="","",IFERROR(4*STDEVP(終値!Z57:AS57)/AVERAGE(終値!Z57:AS57),""))</f>
        <v>0.17674318523648816</v>
      </c>
      <c r="X57" s="503">
        <f>IF(終値!A57="","",IFERROR(4*STDEVP(終値!AA57:AT57)/AVERAGE(終値!AA57:AT57),""))</f>
        <v>0.20594989664328678</v>
      </c>
      <c r="Y57" s="503">
        <f>IF(終値!A57="","",IFERROR(4*STDEVP(終値!AB57:AU57)/AVERAGE(終値!AB57:AU57),""))</f>
        <v>0.21731978310423372</v>
      </c>
      <c r="Z57" s="503">
        <f>IF(終値!A57="","",IFERROR(4*STDEVP(終値!AC57:AV57)/AVERAGE(終値!AC57:AV57),""))</f>
        <v>0.23983625788025636</v>
      </c>
      <c r="AA57" s="503">
        <f>IF(終値!A57="","",IFERROR(4*STDEVP(終値!AD57:AW57)/AVERAGE(終値!AD57:AW57),""))</f>
        <v>0.27212372140398317</v>
      </c>
      <c r="AB57" s="503">
        <f>IF(終値!A57="","",IFERROR(4*STDEVP(終値!AE57:AX57)/AVERAGE(終値!AE57:AX57),""))</f>
        <v>0.26475404754189774</v>
      </c>
      <c r="AC57" s="503">
        <f>IF(終値!A57="","",IFERROR(4*STDEVP(終値!AF57:AY57)/AVERAGE(終値!AF57:AY57),""))</f>
        <v>0.25524694001079024</v>
      </c>
      <c r="AD57" s="503">
        <f>IF(終値!A57="","",IFERROR(4*STDEVP(終値!AG57:AZ57)/AVERAGE(終値!AG57:AZ57),""))</f>
        <v>0.30154331365062043</v>
      </c>
      <c r="AE57" s="503">
        <f>IF(終値!A57="","",IFERROR(4*STDEVP(終値!AH57:BA57)/AVERAGE(終値!AH57:BA57),""))</f>
        <v>0.33895633605138958</v>
      </c>
      <c r="AF57" s="503">
        <f>IF(終値!A57="","",IFERROR(4*STDEVP(終値!AI57:BB57)/AVERAGE(終値!AI57:BB57),""))</f>
        <v>0.37530090977104436</v>
      </c>
      <c r="AG57" s="503">
        <f>IF(終値!A57="","",IFERROR(4*STDEVP(終値!AJ57:BC57)/AVERAGE(終値!AJ57:BC57),""))</f>
        <v>0.41604707485650988</v>
      </c>
      <c r="AH57" s="503">
        <f>IF(終値!A57="","",IFERROR(4*STDEVP(終値!AK57:BD57)/AVERAGE(終値!AK57:BD57),""))</f>
        <v>0.4597103011526576</v>
      </c>
      <c r="AI57" s="503">
        <f>IF(終値!A57="","",IFERROR(4*STDEVP(終値!AL57:BE57)/AVERAGE(終値!AL57:BE57),""))</f>
        <v>0.48913325095341054</v>
      </c>
      <c r="AJ57" s="503">
        <f>IF(終値!A57="","",IFERROR(4*STDEVP(終値!AM57:BF57)/AVERAGE(終値!AM57:BF57),""))</f>
        <v>0.51612766620983841</v>
      </c>
      <c r="AK57" s="503">
        <f>IF(終値!A57="","",IFERROR(4*STDEVP(終値!AN57:BG57)/AVERAGE(終値!AN57:BG57),""))</f>
        <v>0.52875726113171684</v>
      </c>
      <c r="AL57" s="503">
        <f>IF(終値!A57="","",IFERROR(4*STDEVP(終値!AO57:BH57)/AVERAGE(終値!AO57:BH57),""))</f>
        <v>0.54009538780143884</v>
      </c>
      <c r="AM57" s="503">
        <f>IF(終値!A57="","",IFERROR(4*STDEVP(終値!AP57:BI57)/AVERAGE(終値!AP57:BI57),""))</f>
        <v>0.54430174030386003</v>
      </c>
      <c r="AN57" s="503">
        <f>IF(終値!A57="","",IFERROR(4*STDEVP(終値!AQ57:BJ57)/AVERAGE(終値!AQ57:BJ57),""))</f>
        <v>0.54829218329077112</v>
      </c>
      <c r="AO57" s="503">
        <f>IF(終値!A57="","",IFERROR(4*STDEVP(終値!AR57:BK57)/AVERAGE(終値!AR57:BK57),""))</f>
        <v>0.54820902391393223</v>
      </c>
      <c r="AP57" s="503">
        <f>IF(終値!A57="","",IFERROR(4*STDEVP(終値!AS57:BL57)/AVERAGE(終値!AS57:BL57),""))</f>
        <v>0.54533634907442363</v>
      </c>
    </row>
    <row r="58" spans="1:42">
      <c r="A58" s="500" t="str">
        <f>IF(終値!A58="","",終値!A58)</f>
        <v>4676</v>
      </c>
      <c r="B58" s="503">
        <f>IF(終値!A58="","",IFERROR(4*STDEVP(終値!E58:X58)/AVERAGE(終値!E58:X58),""))</f>
        <v>9.1020025068841492E-2</v>
      </c>
      <c r="C58" s="503">
        <f>IF(終値!A58="","",IFERROR(4*STDEVP(終値!F58:Y58)/AVERAGE(終値!F58:Y58),""))</f>
        <v>9.1233295051935531E-2</v>
      </c>
      <c r="D58" s="503">
        <f>IF(終値!A58="","",IFERROR(4*STDEVP(終値!G58:Z58)/AVERAGE(終値!G58:Z58),""))</f>
        <v>9.1239837359721618E-2</v>
      </c>
      <c r="E58" s="503">
        <f>IF(終値!A58="","",IFERROR(4*STDEVP(終値!H58:AA58)/AVERAGE(終値!H58:AA58),""))</f>
        <v>8.2188195971337641E-2</v>
      </c>
      <c r="F58" s="503">
        <f>IF(終値!A58="","",IFERROR(4*STDEVP(終値!I58:AB58)/AVERAGE(終値!I58:AB58),""))</f>
        <v>7.5469152478513477E-2</v>
      </c>
      <c r="G58" s="503">
        <f>IF(終値!A58="","",IFERROR(4*STDEVP(終値!J58:AC58)/AVERAGE(終値!J58:AC58),""))</f>
        <v>7.9756321324367246E-2</v>
      </c>
      <c r="H58" s="503">
        <f>IF(終値!A58="","",IFERROR(4*STDEVP(終値!K58:AD58)/AVERAGE(終値!K58:AD58),""))</f>
        <v>9.7809858754882004E-2</v>
      </c>
      <c r="I58" s="503">
        <f>IF(終値!A58="","",IFERROR(4*STDEVP(終値!L58:AE58)/AVERAGE(終値!L58:AE58),""))</f>
        <v>0.10477566675513864</v>
      </c>
      <c r="J58" s="503">
        <f>IF(終値!A58="","",IFERROR(4*STDEVP(終値!M58:AF58)/AVERAGE(終値!M58:AF58),""))</f>
        <v>0.10997738199675416</v>
      </c>
      <c r="K58" s="503">
        <f>IF(終値!A58="","",IFERROR(4*STDEVP(終値!N58:AG58)/AVERAGE(終値!N58:AG58),""))</f>
        <v>0.10719271894973191</v>
      </c>
      <c r="L58" s="503">
        <f>IF(終値!A58="","",IFERROR(4*STDEVP(終値!O58:AH58)/AVERAGE(終値!O58:AH58),""))</f>
        <v>0.11826687260040174</v>
      </c>
      <c r="M58" s="503">
        <f>IF(終値!A58="","",IFERROR(4*STDEVP(終値!P58:AI58)/AVERAGE(終値!P58:AI58),""))</f>
        <v>0.12141037824825403</v>
      </c>
      <c r="N58" s="503">
        <f>IF(終値!A58="","",IFERROR(4*STDEVP(終値!Q58:AJ58)/AVERAGE(終値!Q58:AJ58),""))</f>
        <v>0.12150947616025475</v>
      </c>
      <c r="O58" s="503">
        <f>IF(終値!A58="","",IFERROR(4*STDEVP(終値!R58:AK58)/AVERAGE(終値!R58:AK58),""))</f>
        <v>0.11966116553807686</v>
      </c>
      <c r="P58" s="503">
        <f>IF(終値!A58="","",IFERROR(4*STDEVP(終値!S58:AL58)/AVERAGE(終値!S58:AL58),""))</f>
        <v>0.1196297871013869</v>
      </c>
      <c r="Q58" s="503">
        <f>IF(終値!A58="","",IFERROR(4*STDEVP(終値!T58:AM58)/AVERAGE(終値!T58:AM58),""))</f>
        <v>0.11298465062715307</v>
      </c>
      <c r="R58" s="503">
        <f>IF(終値!A58="","",IFERROR(4*STDEVP(終値!U58:AN58)/AVERAGE(終値!U58:AN58),""))</f>
        <v>0.10600388276732306</v>
      </c>
      <c r="S58" s="503">
        <f>IF(終値!A58="","",IFERROR(4*STDEVP(終値!V58:AO58)/AVERAGE(終値!V58:AO58),""))</f>
        <v>0.1007208232496066</v>
      </c>
      <c r="T58" s="503">
        <f>IF(終値!A58="","",IFERROR(4*STDEVP(終値!W58:AP58)/AVERAGE(終値!W58:AP58),""))</f>
        <v>9.76619826324681E-2</v>
      </c>
      <c r="U58" s="503">
        <f>IF(終値!A58="","",IFERROR(4*STDEVP(終値!X58:AQ58)/AVERAGE(終値!X58:AQ58),""))</f>
        <v>9.8592525253189636E-2</v>
      </c>
      <c r="V58" s="503">
        <f>IF(終値!A58="","",IFERROR(4*STDEVP(終値!Y58:AR58)/AVERAGE(終値!Y58:AR58),""))</f>
        <v>0.10152822281962157</v>
      </c>
      <c r="W58" s="503">
        <f>IF(終値!A58="","",IFERROR(4*STDEVP(終値!Z58:AS58)/AVERAGE(終値!Z58:AS58),""))</f>
        <v>0.1003738499695655</v>
      </c>
      <c r="X58" s="503">
        <f>IF(終値!A58="","",IFERROR(4*STDEVP(終値!AA58:AT58)/AVERAGE(終値!AA58:AT58),""))</f>
        <v>0.10648513472779512</v>
      </c>
      <c r="Y58" s="503">
        <f>IF(終値!A58="","",IFERROR(4*STDEVP(終値!AB58:AU58)/AVERAGE(終値!AB58:AU58),""))</f>
        <v>0.11191870637024075</v>
      </c>
      <c r="Z58" s="503">
        <f>IF(終値!A58="","",IFERROR(4*STDEVP(終値!AC58:AV58)/AVERAGE(終値!AC58:AV58),""))</f>
        <v>0.11645324350419529</v>
      </c>
      <c r="AA58" s="503">
        <f>IF(終値!A58="","",IFERROR(4*STDEVP(終値!AD58:AW58)/AVERAGE(終値!AD58:AW58),""))</f>
        <v>0.11880924351107564</v>
      </c>
      <c r="AB58" s="503">
        <f>IF(終値!A58="","",IFERROR(4*STDEVP(終値!AE58:AX58)/AVERAGE(終値!AE58:AX58),""))</f>
        <v>0.12288714865355502</v>
      </c>
      <c r="AC58" s="503">
        <f>IF(終値!A58="","",IFERROR(4*STDEVP(終値!AF58:AY58)/AVERAGE(終値!AF58:AY58),""))</f>
        <v>0.12975039019705462</v>
      </c>
      <c r="AD58" s="503">
        <f>IF(終値!A58="","",IFERROR(4*STDEVP(終値!AG58:AZ58)/AVERAGE(終値!AG58:AZ58),""))</f>
        <v>0.13646190767382024</v>
      </c>
      <c r="AE58" s="503">
        <f>IF(終値!A58="","",IFERROR(4*STDEVP(終値!AH58:BA58)/AVERAGE(終値!AH58:BA58),""))</f>
        <v>0.14853690075000359</v>
      </c>
      <c r="AF58" s="503">
        <f>IF(終値!A58="","",IFERROR(4*STDEVP(終値!AI58:BB58)/AVERAGE(終値!AI58:BB58),""))</f>
        <v>0.14874536751804543</v>
      </c>
      <c r="AG58" s="503">
        <f>IF(終値!A58="","",IFERROR(4*STDEVP(終値!AJ58:BC58)/AVERAGE(終値!AJ58:BC58),""))</f>
        <v>0.15184983645310038</v>
      </c>
      <c r="AH58" s="503">
        <f>IF(終値!A58="","",IFERROR(4*STDEVP(終値!AK58:BD58)/AVERAGE(終値!AK58:BD58),""))</f>
        <v>0.14957264616470919</v>
      </c>
      <c r="AI58" s="503">
        <f>IF(終値!A58="","",IFERROR(4*STDEVP(終値!AL58:BE58)/AVERAGE(終値!AL58:BE58),""))</f>
        <v>0.15141473015058129</v>
      </c>
      <c r="AJ58" s="503">
        <f>IF(終値!A58="","",IFERROR(4*STDEVP(終値!AM58:BF58)/AVERAGE(終値!AM58:BF58),""))</f>
        <v>0.15771880616727346</v>
      </c>
      <c r="AK58" s="503">
        <f>IF(終値!A58="","",IFERROR(4*STDEVP(終値!AN58:BG58)/AVERAGE(終値!AN58:BG58),""))</f>
        <v>0.15749226309194775</v>
      </c>
      <c r="AL58" s="503">
        <f>IF(終値!A58="","",IFERROR(4*STDEVP(終値!AO58:BH58)/AVERAGE(終値!AO58:BH58),""))</f>
        <v>0.15681374811594834</v>
      </c>
      <c r="AM58" s="503">
        <f>IF(終値!A58="","",IFERROR(4*STDEVP(終値!AP58:BI58)/AVERAGE(終値!AP58:BI58),""))</f>
        <v>0.151328598954589</v>
      </c>
      <c r="AN58" s="503">
        <f>IF(終値!A58="","",IFERROR(4*STDEVP(終値!AQ58:BJ58)/AVERAGE(終値!AQ58:BJ58),""))</f>
        <v>0.14618119546585842</v>
      </c>
      <c r="AO58" s="503">
        <f>IF(終値!A58="","",IFERROR(4*STDEVP(終値!AR58:BK58)/AVERAGE(終値!AR58:BK58),""))</f>
        <v>0.13826606924658674</v>
      </c>
      <c r="AP58" s="503">
        <f>IF(終値!A58="","",IFERROR(4*STDEVP(終値!AS58:BL58)/AVERAGE(終値!AS58:BL58),""))</f>
        <v>0.12501218569864872</v>
      </c>
    </row>
    <row r="59" spans="1:42">
      <c r="A59" s="500" t="str">
        <f>IF(終値!A59="","",終値!A59)</f>
        <v>1961</v>
      </c>
      <c r="B59" s="503">
        <f>IF(終値!A59="","",IFERROR(4*STDEVP(終値!E59:X59)/AVERAGE(終値!E59:X59),""))</f>
        <v>0.23006470941109947</v>
      </c>
      <c r="C59" s="503">
        <f>IF(終値!A59="","",IFERROR(4*STDEVP(終値!F59:Y59)/AVERAGE(終値!F59:Y59),""))</f>
        <v>0.26171002362788182</v>
      </c>
      <c r="D59" s="503">
        <f>IF(終値!A59="","",IFERROR(4*STDEVP(終値!G59:Z59)/AVERAGE(終値!G59:Z59),""))</f>
        <v>0.29995606102292599</v>
      </c>
      <c r="E59" s="503">
        <f>IF(終値!A59="","",IFERROR(4*STDEVP(終値!H59:AA59)/AVERAGE(終値!H59:AA59),""))</f>
        <v>0.30757399483464071</v>
      </c>
      <c r="F59" s="503">
        <f>IF(終値!A59="","",IFERROR(4*STDEVP(終値!I59:AB59)/AVERAGE(終値!I59:AB59),""))</f>
        <v>0.30543746671726663</v>
      </c>
      <c r="G59" s="503">
        <f>IF(終値!A59="","",IFERROR(4*STDEVP(終値!J59:AC59)/AVERAGE(終値!J59:AC59),""))</f>
        <v>0.3083856418853026</v>
      </c>
      <c r="H59" s="503">
        <f>IF(終値!A59="","",IFERROR(4*STDEVP(終値!K59:AD59)/AVERAGE(終値!K59:AD59),""))</f>
        <v>0.30460606036468818</v>
      </c>
      <c r="I59" s="503">
        <f>IF(終値!A59="","",IFERROR(4*STDEVP(終値!L59:AE59)/AVERAGE(終値!L59:AE59),""))</f>
        <v>0.29810839925141658</v>
      </c>
      <c r="J59" s="503">
        <f>IF(終値!A59="","",IFERROR(4*STDEVP(終値!M59:AF59)/AVERAGE(終値!M59:AF59),""))</f>
        <v>0.30999394944132419</v>
      </c>
      <c r="K59" s="503">
        <f>IF(終値!A59="","",IFERROR(4*STDEVP(終値!N59:AG59)/AVERAGE(終値!N59:AG59),""))</f>
        <v>0.3263746512234485</v>
      </c>
      <c r="L59" s="503">
        <f>IF(終値!A59="","",IFERROR(4*STDEVP(終値!O59:AH59)/AVERAGE(終値!O59:AH59),""))</f>
        <v>0.32270013947519738</v>
      </c>
      <c r="M59" s="503">
        <f>IF(終値!A59="","",IFERROR(4*STDEVP(終値!P59:AI59)/AVERAGE(終値!P59:AI59),""))</f>
        <v>0.31276079467761891</v>
      </c>
      <c r="N59" s="503">
        <f>IF(終値!A59="","",IFERROR(4*STDEVP(終値!Q59:AJ59)/AVERAGE(終値!Q59:AJ59),""))</f>
        <v>0.3107707944927422</v>
      </c>
      <c r="O59" s="503">
        <f>IF(終値!A59="","",IFERROR(4*STDEVP(終値!R59:AK59)/AVERAGE(終値!R59:AK59),""))</f>
        <v>0.29399876521948565</v>
      </c>
      <c r="P59" s="503">
        <f>IF(終値!A59="","",IFERROR(4*STDEVP(終値!S59:AL59)/AVERAGE(終値!S59:AL59),""))</f>
        <v>0.26724962737364955</v>
      </c>
      <c r="Q59" s="503">
        <f>IF(終値!A59="","",IFERROR(4*STDEVP(終値!T59:AM59)/AVERAGE(終値!T59:AM59),""))</f>
        <v>0.26148474550276074</v>
      </c>
      <c r="R59" s="503">
        <f>IF(終値!A59="","",IFERROR(4*STDEVP(終値!U59:AN59)/AVERAGE(終値!U59:AN59),""))</f>
        <v>0.25678178416698849</v>
      </c>
      <c r="S59" s="503">
        <f>IF(終値!A59="","",IFERROR(4*STDEVP(終値!V59:AO59)/AVERAGE(終値!V59:AO59),""))</f>
        <v>0.24463026176114588</v>
      </c>
      <c r="T59" s="503">
        <f>IF(終値!A59="","",IFERROR(4*STDEVP(終値!W59:AP59)/AVERAGE(終値!W59:AP59),""))</f>
        <v>0.26685100257936462</v>
      </c>
      <c r="U59" s="503">
        <f>IF(終値!A59="","",IFERROR(4*STDEVP(終値!X59:AQ59)/AVERAGE(終値!X59:AQ59),""))</f>
        <v>0.29067883259333671</v>
      </c>
      <c r="V59" s="503">
        <f>IF(終値!A59="","",IFERROR(4*STDEVP(終値!Y59:AR59)/AVERAGE(終値!Y59:AR59),""))</f>
        <v>0.30917150919122177</v>
      </c>
      <c r="W59" s="503">
        <f>IF(終値!A59="","",IFERROR(4*STDEVP(終値!Z59:AS59)/AVERAGE(終値!Z59:AS59),""))</f>
        <v>0.35348539611959429</v>
      </c>
      <c r="X59" s="503">
        <f>IF(終値!A59="","",IFERROR(4*STDEVP(終値!AA59:AT59)/AVERAGE(終値!AA59:AT59),""))</f>
        <v>0.38932605441375284</v>
      </c>
      <c r="Y59" s="503">
        <f>IF(終値!A59="","",IFERROR(4*STDEVP(終値!AB59:AU59)/AVERAGE(終値!AB59:AU59),""))</f>
        <v>0.42869780000477747</v>
      </c>
      <c r="Z59" s="503">
        <f>IF(終値!A59="","",IFERROR(4*STDEVP(終値!AC59:AV59)/AVERAGE(終値!AC59:AV59),""))</f>
        <v>0.47416547821655824</v>
      </c>
      <c r="AA59" s="503">
        <f>IF(終値!A59="","",IFERROR(4*STDEVP(終値!AD59:AW59)/AVERAGE(終値!AD59:AW59),""))</f>
        <v>0.51214432943072463</v>
      </c>
      <c r="AB59" s="503">
        <f>IF(終値!A59="","",IFERROR(4*STDEVP(終値!AE59:AX59)/AVERAGE(終値!AE59:AX59),""))</f>
        <v>0.52443965056184649</v>
      </c>
      <c r="AC59" s="503">
        <f>IF(終値!A59="","",IFERROR(4*STDEVP(終値!AF59:AY59)/AVERAGE(終値!AF59:AY59),""))</f>
        <v>0.53118417443008192</v>
      </c>
      <c r="AD59" s="503">
        <f>IF(終値!A59="","",IFERROR(4*STDEVP(終値!AG59:AZ59)/AVERAGE(終値!AG59:AZ59),""))</f>
        <v>0.52652595161005988</v>
      </c>
      <c r="AE59" s="503">
        <f>IF(終値!A59="","",IFERROR(4*STDEVP(終値!AH59:BA59)/AVERAGE(終値!AH59:BA59),""))</f>
        <v>0.51064809460427918</v>
      </c>
      <c r="AF59" s="503">
        <f>IF(終値!A59="","",IFERROR(4*STDEVP(終値!AI59:BB59)/AVERAGE(終値!AI59:BB59),""))</f>
        <v>0.49825523893825668</v>
      </c>
      <c r="AG59" s="503">
        <f>IF(終値!A59="","",IFERROR(4*STDEVP(終値!AJ59:BC59)/AVERAGE(終値!AJ59:BC59),""))</f>
        <v>0.4773978898363444</v>
      </c>
      <c r="AH59" s="503">
        <f>IF(終値!A59="","",IFERROR(4*STDEVP(終値!AK59:BD59)/AVERAGE(終値!AK59:BD59),""))</f>
        <v>0.41659539962689679</v>
      </c>
      <c r="AI59" s="503">
        <f>IF(終値!A59="","",IFERROR(4*STDEVP(終値!AL59:BE59)/AVERAGE(終値!AL59:BE59),""))</f>
        <v>0.34657711007284825</v>
      </c>
      <c r="AJ59" s="503">
        <f>IF(終値!A59="","",IFERROR(4*STDEVP(終値!AM59:BF59)/AVERAGE(終値!AM59:BF59),""))</f>
        <v>0.27107097531601126</v>
      </c>
      <c r="AK59" s="503">
        <f>IF(終値!A59="","",IFERROR(4*STDEVP(終値!AN59:BG59)/AVERAGE(終値!AN59:BG59),""))</f>
        <v>0.25168846667228389</v>
      </c>
      <c r="AL59" s="503">
        <f>IF(終値!A59="","",IFERROR(4*STDEVP(終値!AO59:BH59)/AVERAGE(終値!AO59:BH59),""))</f>
        <v>0.26002100751601326</v>
      </c>
      <c r="AM59" s="503">
        <f>IF(終値!A59="","",IFERROR(4*STDEVP(終値!AP59:BI59)/AVERAGE(終値!AP59:BI59),""))</f>
        <v>0.24919209816882409</v>
      </c>
      <c r="AN59" s="503">
        <f>IF(終値!A59="","",IFERROR(4*STDEVP(終値!AQ59:BJ59)/AVERAGE(終値!AQ59:BJ59),""))</f>
        <v>0.26883922923643661</v>
      </c>
      <c r="AO59" s="503">
        <f>IF(終値!A59="","",IFERROR(4*STDEVP(終値!AR59:BK59)/AVERAGE(終値!AR59:BK59),""))</f>
        <v>0.28199169336758789</v>
      </c>
      <c r="AP59" s="503">
        <f>IF(終値!A59="","",IFERROR(4*STDEVP(終値!AS59:BL59)/AVERAGE(終値!AS59:BL59),""))</f>
        <v>0.28515516991243328</v>
      </c>
    </row>
    <row r="60" spans="1:42">
      <c r="A60" s="500" t="str">
        <f>IF(終値!A60="","",終値!A60)</f>
        <v>3107</v>
      </c>
      <c r="B60" s="503">
        <f>IF(終値!A60="","",IFERROR(4*STDEVP(終値!E60:X60)/AVERAGE(終値!E60:X60),""))</f>
        <v>0.13005526313579641</v>
      </c>
      <c r="C60" s="503">
        <f>IF(終値!A60="","",IFERROR(4*STDEVP(終値!F60:Y60)/AVERAGE(終値!F60:Y60),""))</f>
        <v>0.11863567117034919</v>
      </c>
      <c r="D60" s="503">
        <f>IF(終値!A60="","",IFERROR(4*STDEVP(終値!G60:Z60)/AVERAGE(終値!G60:Z60),""))</f>
        <v>0.10040403649433953</v>
      </c>
      <c r="E60" s="503">
        <f>IF(終値!A60="","",IFERROR(4*STDEVP(終値!H60:AA60)/AVERAGE(終値!H60:AA60),""))</f>
        <v>9.6155912418501133E-2</v>
      </c>
      <c r="F60" s="503">
        <f>IF(終値!A60="","",IFERROR(4*STDEVP(終値!I60:AB60)/AVERAGE(終値!I60:AB60),""))</f>
        <v>9.5585533772266806E-2</v>
      </c>
      <c r="G60" s="503">
        <f>IF(終値!A60="","",IFERROR(4*STDEVP(終値!J60:AC60)/AVERAGE(終値!J60:AC60),""))</f>
        <v>9.3940047037134475E-2</v>
      </c>
      <c r="H60" s="503">
        <f>IF(終値!A60="","",IFERROR(4*STDEVP(終値!K60:AD60)/AVERAGE(終値!K60:AD60),""))</f>
        <v>8.8112747910815165E-2</v>
      </c>
      <c r="I60" s="503">
        <f>IF(終値!A60="","",IFERROR(4*STDEVP(終値!L60:AE60)/AVERAGE(終値!L60:AE60),""))</f>
        <v>7.4303286868552212E-2</v>
      </c>
      <c r="J60" s="503">
        <f>IF(終値!A60="","",IFERROR(4*STDEVP(終値!M60:AF60)/AVERAGE(終値!M60:AF60),""))</f>
        <v>6.6044701330476477E-2</v>
      </c>
      <c r="K60" s="503">
        <f>IF(終値!A60="","",IFERROR(4*STDEVP(終値!N60:AG60)/AVERAGE(終値!N60:AG60),""))</f>
        <v>5.5438507533790239E-2</v>
      </c>
      <c r="L60" s="503">
        <f>IF(終値!A60="","",IFERROR(4*STDEVP(終値!O60:AH60)/AVERAGE(終値!O60:AH60),""))</f>
        <v>5.9802479854440968E-2</v>
      </c>
      <c r="M60" s="503">
        <f>IF(終値!A60="","",IFERROR(4*STDEVP(終値!P60:AI60)/AVERAGE(終値!P60:AI60),""))</f>
        <v>6.4397866233967385E-2</v>
      </c>
      <c r="N60" s="503">
        <f>IF(終値!A60="","",IFERROR(4*STDEVP(終値!Q60:AJ60)/AVERAGE(終値!Q60:AJ60),""))</f>
        <v>6.5811713746061984E-2</v>
      </c>
      <c r="O60" s="503">
        <f>IF(終値!A60="","",IFERROR(4*STDEVP(終値!R60:AK60)/AVERAGE(終値!R60:AK60),""))</f>
        <v>6.7280067107573879E-2</v>
      </c>
      <c r="P60" s="503">
        <f>IF(終値!A60="","",IFERROR(4*STDEVP(終値!S60:AL60)/AVERAGE(終値!S60:AL60),""))</f>
        <v>6.8569083408328457E-2</v>
      </c>
      <c r="Q60" s="503">
        <f>IF(終値!A60="","",IFERROR(4*STDEVP(終値!T60:AM60)/AVERAGE(終値!T60:AM60),""))</f>
        <v>7.0406223162963397E-2</v>
      </c>
      <c r="R60" s="503">
        <f>IF(終値!A60="","",IFERROR(4*STDEVP(終値!U60:AN60)/AVERAGE(終値!U60:AN60),""))</f>
        <v>7.0368079415312923E-2</v>
      </c>
      <c r="S60" s="503">
        <f>IF(終値!A60="","",IFERROR(4*STDEVP(終値!V60:AO60)/AVERAGE(終値!V60:AO60),""))</f>
        <v>6.9810307310799874E-2</v>
      </c>
      <c r="T60" s="503">
        <f>IF(終値!A60="","",IFERROR(4*STDEVP(終値!W60:AP60)/AVERAGE(終値!W60:AP60),""))</f>
        <v>6.9647860640499673E-2</v>
      </c>
      <c r="U60" s="503">
        <f>IF(終値!A60="","",IFERROR(4*STDEVP(終値!X60:AQ60)/AVERAGE(終値!X60:AQ60),""))</f>
        <v>7.0352108692520204E-2</v>
      </c>
      <c r="V60" s="503">
        <f>IF(終値!A60="","",IFERROR(4*STDEVP(終値!Y60:AR60)/AVERAGE(終値!Y60:AR60),""))</f>
        <v>7.0828054541578631E-2</v>
      </c>
      <c r="W60" s="503">
        <f>IF(終値!A60="","",IFERROR(4*STDEVP(終値!Z60:AS60)/AVERAGE(終値!Z60:AS60),""))</f>
        <v>7.3725842345687312E-2</v>
      </c>
      <c r="X60" s="503">
        <f>IF(終値!A60="","",IFERROR(4*STDEVP(終値!AA60:AT60)/AVERAGE(終値!AA60:AT60),""))</f>
        <v>7.4773094839652082E-2</v>
      </c>
      <c r="Y60" s="503">
        <f>IF(終値!A60="","",IFERROR(4*STDEVP(終値!AB60:AU60)/AVERAGE(終値!AB60:AU60),""))</f>
        <v>7.4250839711866606E-2</v>
      </c>
      <c r="Z60" s="503">
        <f>IF(終値!A60="","",IFERROR(4*STDEVP(終値!AC60:AV60)/AVERAGE(終値!AC60:AV60),""))</f>
        <v>8.5448819418484825E-2</v>
      </c>
      <c r="AA60" s="503">
        <f>IF(終値!A60="","",IFERROR(4*STDEVP(終値!AD60:AW60)/AVERAGE(終値!AD60:AW60),""))</f>
        <v>8.960345234794391E-2</v>
      </c>
      <c r="AB60" s="503">
        <f>IF(終値!A60="","",IFERROR(4*STDEVP(終値!AE60:AX60)/AVERAGE(終値!AE60:AX60),""))</f>
        <v>8.9515156459425163E-2</v>
      </c>
      <c r="AC60" s="503">
        <f>IF(終値!A60="","",IFERROR(4*STDEVP(終値!AF60:AY60)/AVERAGE(終値!AF60:AY60),""))</f>
        <v>8.7080561302591911E-2</v>
      </c>
      <c r="AD60" s="503">
        <f>IF(終値!A60="","",IFERROR(4*STDEVP(終値!AG60:AZ60)/AVERAGE(終値!AG60:AZ60),""))</f>
        <v>8.9360456607889494E-2</v>
      </c>
      <c r="AE60" s="503">
        <f>IF(終値!A60="","",IFERROR(4*STDEVP(終値!AH60:BA60)/AVERAGE(終値!AH60:BA60),""))</f>
        <v>9.0317802504225414E-2</v>
      </c>
      <c r="AF60" s="503">
        <f>IF(終値!A60="","",IFERROR(4*STDEVP(終値!AI60:BB60)/AVERAGE(終値!AI60:BB60),""))</f>
        <v>8.7870899577960446E-2</v>
      </c>
      <c r="AG60" s="503">
        <f>IF(終値!A60="","",IFERROR(4*STDEVP(終値!AJ60:BC60)/AVERAGE(終値!AJ60:BC60),""))</f>
        <v>8.774406125748542E-2</v>
      </c>
      <c r="AH60" s="503">
        <f>IF(終値!A60="","",IFERROR(4*STDEVP(終値!AK60:BD60)/AVERAGE(終値!AK60:BD60),""))</f>
        <v>8.6008537652277714E-2</v>
      </c>
      <c r="AI60" s="503">
        <f>IF(終値!A60="","",IFERROR(4*STDEVP(終値!AL60:BE60)/AVERAGE(終値!AL60:BE60),""))</f>
        <v>8.6864010744633707E-2</v>
      </c>
      <c r="AJ60" s="503">
        <f>IF(終値!A60="","",IFERROR(4*STDEVP(終値!AM60:BF60)/AVERAGE(終値!AM60:BF60),""))</f>
        <v>8.3523137356962179E-2</v>
      </c>
      <c r="AK60" s="503">
        <f>IF(終値!A60="","",IFERROR(4*STDEVP(終値!AN60:BG60)/AVERAGE(終値!AN60:BG60),""))</f>
        <v>7.5557746690112185E-2</v>
      </c>
      <c r="AL60" s="503">
        <f>IF(終値!A60="","",IFERROR(4*STDEVP(終値!AO60:BH60)/AVERAGE(終値!AO60:BH60),""))</f>
        <v>7.4729465305727022E-2</v>
      </c>
      <c r="AM60" s="503">
        <f>IF(終値!A60="","",IFERROR(4*STDEVP(終値!AP60:BI60)/AVERAGE(終値!AP60:BI60),""))</f>
        <v>7.611936541484135E-2</v>
      </c>
      <c r="AN60" s="503">
        <f>IF(終値!A60="","",IFERROR(4*STDEVP(終値!AQ60:BJ60)/AVERAGE(終値!AQ60:BJ60),""))</f>
        <v>7.7251767652247144E-2</v>
      </c>
      <c r="AO60" s="503">
        <f>IF(終値!A60="","",IFERROR(4*STDEVP(終値!AR60:BK60)/AVERAGE(終値!AR60:BK60),""))</f>
        <v>8.0055075964017078E-2</v>
      </c>
      <c r="AP60" s="503">
        <f>IF(終値!A60="","",IFERROR(4*STDEVP(終値!AS60:BL60)/AVERAGE(終値!AS60:BL60),""))</f>
        <v>8.1586620589432557E-2</v>
      </c>
    </row>
    <row r="61" spans="1:42">
      <c r="A61" s="500" t="str">
        <f>IF(終値!A61="","",終値!A61)</f>
        <v>4045</v>
      </c>
      <c r="B61" s="503">
        <f>IF(終値!A61="","",IFERROR(4*STDEVP(終値!E61:X61)/AVERAGE(終値!E61:X61),""))</f>
        <v>9.2567752854258167E-2</v>
      </c>
      <c r="C61" s="503">
        <f>IF(終値!A61="","",IFERROR(4*STDEVP(終値!F61:Y61)/AVERAGE(終値!F61:Y61),""))</f>
        <v>8.4852593951170202E-2</v>
      </c>
      <c r="D61" s="503">
        <f>IF(終値!A61="","",IFERROR(4*STDEVP(終値!G61:Z61)/AVERAGE(終値!G61:Z61),""))</f>
        <v>7.6959545260277498E-2</v>
      </c>
      <c r="E61" s="503">
        <f>IF(終値!A61="","",IFERROR(4*STDEVP(終値!H61:AA61)/AVERAGE(終値!H61:AA61),""))</f>
        <v>7.0817432632874378E-2</v>
      </c>
      <c r="F61" s="503">
        <f>IF(終値!A61="","",IFERROR(4*STDEVP(終値!I61:AB61)/AVERAGE(終値!I61:AB61),""))</f>
        <v>6.1352646534055297E-2</v>
      </c>
      <c r="G61" s="503">
        <f>IF(終値!A61="","",IFERROR(4*STDEVP(終値!J61:AC61)/AVERAGE(終値!J61:AC61),""))</f>
        <v>5.9660357620826554E-2</v>
      </c>
      <c r="H61" s="503">
        <f>IF(終値!A61="","",IFERROR(4*STDEVP(終値!K61:AD61)/AVERAGE(終値!K61:AD61),""))</f>
        <v>5.7637334626003511E-2</v>
      </c>
      <c r="I61" s="503">
        <f>IF(終値!A61="","",IFERROR(4*STDEVP(終値!L61:AE61)/AVERAGE(終値!L61:AE61),""))</f>
        <v>5.3545827725580225E-2</v>
      </c>
      <c r="J61" s="503">
        <f>IF(終値!A61="","",IFERROR(4*STDEVP(終値!M61:AF61)/AVERAGE(終値!M61:AF61),""))</f>
        <v>5.2389771529295026E-2</v>
      </c>
      <c r="K61" s="503">
        <f>IF(終値!A61="","",IFERROR(4*STDEVP(終値!N61:AG61)/AVERAGE(終値!N61:AG61),""))</f>
        <v>4.8431338913539713E-2</v>
      </c>
      <c r="L61" s="503">
        <f>IF(終値!A61="","",IFERROR(4*STDEVP(終値!O61:AH61)/AVERAGE(終値!O61:AH61),""))</f>
        <v>4.7647437581919284E-2</v>
      </c>
      <c r="M61" s="503">
        <f>IF(終値!A61="","",IFERROR(4*STDEVP(終値!P61:AI61)/AVERAGE(終値!P61:AI61),""))</f>
        <v>4.667688126010739E-2</v>
      </c>
      <c r="N61" s="503">
        <f>IF(終値!A61="","",IFERROR(4*STDEVP(終値!Q61:AJ61)/AVERAGE(終値!Q61:AJ61),""))</f>
        <v>4.5945770448289375E-2</v>
      </c>
      <c r="O61" s="503">
        <f>IF(終値!A61="","",IFERROR(4*STDEVP(終値!R61:AK61)/AVERAGE(終値!R61:AK61),""))</f>
        <v>4.6169807258278836E-2</v>
      </c>
      <c r="P61" s="503">
        <f>IF(終値!A61="","",IFERROR(4*STDEVP(終値!S61:AL61)/AVERAGE(終値!S61:AL61),""))</f>
        <v>4.5710822890545032E-2</v>
      </c>
      <c r="Q61" s="503">
        <f>IF(終値!A61="","",IFERROR(4*STDEVP(終値!T61:AM61)/AVERAGE(終値!T61:AM61),""))</f>
        <v>4.565761213125747E-2</v>
      </c>
      <c r="R61" s="503">
        <f>IF(終値!A61="","",IFERROR(4*STDEVP(終値!U61:AN61)/AVERAGE(終値!U61:AN61),""))</f>
        <v>4.4721128720846111E-2</v>
      </c>
      <c r="S61" s="503">
        <f>IF(終値!A61="","",IFERROR(4*STDEVP(終値!V61:AO61)/AVERAGE(終値!V61:AO61),""))</f>
        <v>3.7330866780215757E-2</v>
      </c>
      <c r="T61" s="503">
        <f>IF(終値!A61="","",IFERROR(4*STDEVP(終値!W61:AP61)/AVERAGE(終値!W61:AP61),""))</f>
        <v>3.6459089262730907E-2</v>
      </c>
      <c r="U61" s="503">
        <f>IF(終値!A61="","",IFERROR(4*STDEVP(終値!X61:AQ61)/AVERAGE(終値!X61:AQ61),""))</f>
        <v>4.3587108876463061E-2</v>
      </c>
      <c r="V61" s="503">
        <f>IF(終値!A61="","",IFERROR(4*STDEVP(終値!Y61:AR61)/AVERAGE(終値!Y61:AR61),""))</f>
        <v>5.2648637564166836E-2</v>
      </c>
      <c r="W61" s="503">
        <f>IF(終値!A61="","",IFERROR(4*STDEVP(終値!Z61:AS61)/AVERAGE(終値!Z61:AS61),""))</f>
        <v>5.5205157580550106E-2</v>
      </c>
      <c r="X61" s="503">
        <f>IF(終値!A61="","",IFERROR(4*STDEVP(終値!AA61:AT61)/AVERAGE(終値!AA61:AT61),""))</f>
        <v>5.335721213871257E-2</v>
      </c>
      <c r="Y61" s="503">
        <f>IF(終値!A61="","",IFERROR(4*STDEVP(終値!AB61:AU61)/AVERAGE(終値!AB61:AU61),""))</f>
        <v>5.2141744859052437E-2</v>
      </c>
      <c r="Z61" s="503">
        <f>IF(終値!A61="","",IFERROR(4*STDEVP(終値!AC61:AV61)/AVERAGE(終値!AC61:AV61),""))</f>
        <v>5.2289500400687562E-2</v>
      </c>
      <c r="AA61" s="503">
        <f>IF(終値!A61="","",IFERROR(4*STDEVP(終値!AD61:AW61)/AVERAGE(終値!AD61:AW61),""))</f>
        <v>5.2058138405651752E-2</v>
      </c>
      <c r="AB61" s="503">
        <f>IF(終値!A61="","",IFERROR(4*STDEVP(終値!AE61:AX61)/AVERAGE(終値!AE61:AX61),""))</f>
        <v>5.2166457617496047E-2</v>
      </c>
      <c r="AC61" s="503">
        <f>IF(終値!A61="","",IFERROR(4*STDEVP(終値!AF61:AY61)/AVERAGE(終値!AF61:AY61),""))</f>
        <v>5.2121926266895144E-2</v>
      </c>
      <c r="AD61" s="503">
        <f>IF(終値!A61="","",IFERROR(4*STDEVP(終値!AG61:AZ61)/AVERAGE(終値!AG61:AZ61),""))</f>
        <v>4.9858905563911128E-2</v>
      </c>
      <c r="AE61" s="503">
        <f>IF(終値!A61="","",IFERROR(4*STDEVP(終値!AH61:BA61)/AVERAGE(終値!AH61:BA61),""))</f>
        <v>4.6631367289030813E-2</v>
      </c>
      <c r="AF61" s="503">
        <f>IF(終値!A61="","",IFERROR(4*STDEVP(終値!AI61:BB61)/AVERAGE(終値!AI61:BB61),""))</f>
        <v>4.8548972978274596E-2</v>
      </c>
      <c r="AG61" s="503">
        <f>IF(終値!A61="","",IFERROR(4*STDEVP(終値!AJ61:BC61)/AVERAGE(終値!AJ61:BC61),""))</f>
        <v>5.2087720204392167E-2</v>
      </c>
      <c r="AH61" s="503">
        <f>IF(終値!A61="","",IFERROR(4*STDEVP(終値!AK61:BD61)/AVERAGE(終値!AK61:BD61),""))</f>
        <v>5.7093264130113064E-2</v>
      </c>
      <c r="AI61" s="503">
        <f>IF(終値!A61="","",IFERROR(4*STDEVP(終値!AL61:BE61)/AVERAGE(終値!AL61:BE61),""))</f>
        <v>5.5850051371142358E-2</v>
      </c>
      <c r="AJ61" s="503">
        <f>IF(終値!A61="","",IFERROR(4*STDEVP(終値!AM61:BF61)/AVERAGE(終値!AM61:BF61),""))</f>
        <v>5.2045659137601952E-2</v>
      </c>
      <c r="AK61" s="503">
        <f>IF(終値!A61="","",IFERROR(4*STDEVP(終値!AN61:BG61)/AVERAGE(終値!AN61:BG61),""))</f>
        <v>5.0969900564365421E-2</v>
      </c>
      <c r="AL61" s="503">
        <f>IF(終値!A61="","",IFERROR(4*STDEVP(終値!AO61:BH61)/AVERAGE(終値!AO61:BH61),""))</f>
        <v>5.1561497365767539E-2</v>
      </c>
      <c r="AM61" s="503">
        <f>IF(終値!A61="","",IFERROR(4*STDEVP(終値!AP61:BI61)/AVERAGE(終値!AP61:BI61),""))</f>
        <v>4.9031884589407916E-2</v>
      </c>
      <c r="AN61" s="503">
        <f>IF(終値!A61="","",IFERROR(4*STDEVP(終値!AQ61:BJ61)/AVERAGE(終値!AQ61:BJ61),""))</f>
        <v>4.900127014368881E-2</v>
      </c>
      <c r="AO61" s="503">
        <f>IF(終値!A61="","",IFERROR(4*STDEVP(終値!AR61:BK61)/AVERAGE(終値!AR61:BK61),""))</f>
        <v>4.7299213961611637E-2</v>
      </c>
      <c r="AP61" s="503">
        <f>IF(終値!A61="","",IFERROR(4*STDEVP(終値!AS61:BL61)/AVERAGE(終値!AS61:BL61),""))</f>
        <v>4.3344194191821991E-2</v>
      </c>
    </row>
    <row r="62" spans="1:42">
      <c r="A62" s="500" t="str">
        <f>IF(終値!A62="","",終値!A62)</f>
        <v>5857</v>
      </c>
      <c r="B62" s="503">
        <f>IF(終値!A62="","",IFERROR(4*STDEVP(終値!E62:X62)/AVERAGE(終値!E62:X62),""))</f>
        <v>0.15829346445076128</v>
      </c>
      <c r="C62" s="503">
        <f>IF(終値!A62="","",IFERROR(4*STDEVP(終値!F62:Y62)/AVERAGE(終値!F62:Y62),""))</f>
        <v>0.10836909861664816</v>
      </c>
      <c r="D62" s="503">
        <f>IF(終値!A62="","",IFERROR(4*STDEVP(終値!G62:Z62)/AVERAGE(終値!G62:Z62),""))</f>
        <v>8.1413406052966444E-2</v>
      </c>
      <c r="E62" s="503">
        <f>IF(終値!A62="","",IFERROR(4*STDEVP(終値!H62:AA62)/AVERAGE(終値!H62:AA62),""))</f>
        <v>7.9855873929494253E-2</v>
      </c>
      <c r="F62" s="503">
        <f>IF(終値!A62="","",IFERROR(4*STDEVP(終値!I62:AB62)/AVERAGE(終値!I62:AB62),""))</f>
        <v>8.2519453549922656E-2</v>
      </c>
      <c r="G62" s="503">
        <f>IF(終値!A62="","",IFERROR(4*STDEVP(終値!J62:AC62)/AVERAGE(終値!J62:AC62),""))</f>
        <v>8.6531801006409767E-2</v>
      </c>
      <c r="H62" s="503">
        <f>IF(終値!A62="","",IFERROR(4*STDEVP(終値!K62:AD62)/AVERAGE(終値!K62:AD62),""))</f>
        <v>9.0287234656157359E-2</v>
      </c>
      <c r="I62" s="503">
        <f>IF(終値!A62="","",IFERROR(4*STDEVP(終値!L62:AE62)/AVERAGE(終値!L62:AE62),""))</f>
        <v>9.2132664514672918E-2</v>
      </c>
      <c r="J62" s="503">
        <f>IF(終値!A62="","",IFERROR(4*STDEVP(終値!M62:AF62)/AVERAGE(終値!M62:AF62),""))</f>
        <v>9.5827019629181387E-2</v>
      </c>
      <c r="K62" s="503">
        <f>IF(終値!A62="","",IFERROR(4*STDEVP(終値!N62:AG62)/AVERAGE(終値!N62:AG62),""))</f>
        <v>9.8394534203315523E-2</v>
      </c>
      <c r="L62" s="503">
        <f>IF(終値!A62="","",IFERROR(4*STDEVP(終値!O62:AH62)/AVERAGE(終値!O62:AH62),""))</f>
        <v>9.9191001119746519E-2</v>
      </c>
      <c r="M62" s="503">
        <f>IF(終値!A62="","",IFERROR(4*STDEVP(終値!P62:AI62)/AVERAGE(終値!P62:AI62),""))</f>
        <v>9.2163780163996234E-2</v>
      </c>
      <c r="N62" s="503">
        <f>IF(終値!A62="","",IFERROR(4*STDEVP(終値!Q62:AJ62)/AVERAGE(終値!Q62:AJ62),""))</f>
        <v>0.11435141431217066</v>
      </c>
      <c r="O62" s="503">
        <f>IF(終値!A62="","",IFERROR(4*STDEVP(終値!R62:AK62)/AVERAGE(終値!R62:AK62),""))</f>
        <v>0.12832674756178614</v>
      </c>
      <c r="P62" s="503">
        <f>IF(終値!A62="","",IFERROR(4*STDEVP(終値!S62:AL62)/AVERAGE(終値!S62:AL62),""))</f>
        <v>0.13565604378243493</v>
      </c>
      <c r="Q62" s="503">
        <f>IF(終値!A62="","",IFERROR(4*STDEVP(終値!T62:AM62)/AVERAGE(終値!T62:AM62),""))</f>
        <v>0.15703361128503823</v>
      </c>
      <c r="R62" s="503">
        <f>IF(終値!A62="","",IFERROR(4*STDEVP(終値!U62:AN62)/AVERAGE(終値!U62:AN62),""))</f>
        <v>0.16223027751594679</v>
      </c>
      <c r="S62" s="503">
        <f>IF(終値!A62="","",IFERROR(4*STDEVP(終値!V62:AO62)/AVERAGE(終値!V62:AO62),""))</f>
        <v>0.16743754978230577</v>
      </c>
      <c r="T62" s="503">
        <f>IF(終値!A62="","",IFERROR(4*STDEVP(終値!W62:AP62)/AVERAGE(終値!W62:AP62),""))</f>
        <v>0.16445535080433402</v>
      </c>
      <c r="U62" s="503">
        <f>IF(終値!A62="","",IFERROR(4*STDEVP(終値!X62:AQ62)/AVERAGE(終値!X62:AQ62),""))</f>
        <v>0.16596847516523058</v>
      </c>
      <c r="V62" s="503">
        <f>IF(終値!A62="","",IFERROR(4*STDEVP(終値!Y62:AR62)/AVERAGE(終値!Y62:AR62),""))</f>
        <v>0.16383906211264859</v>
      </c>
      <c r="W62" s="503">
        <f>IF(終値!A62="","",IFERROR(4*STDEVP(終値!Z62:AS62)/AVERAGE(終値!Z62:AS62),""))</f>
        <v>0.16302105978373918</v>
      </c>
      <c r="X62" s="503">
        <f>IF(終値!A62="","",IFERROR(4*STDEVP(終値!AA62:AT62)/AVERAGE(終値!AA62:AT62),""))</f>
        <v>0.16598709449197566</v>
      </c>
      <c r="Y62" s="503">
        <f>IF(終値!A62="","",IFERROR(4*STDEVP(終値!AB62:AU62)/AVERAGE(終値!AB62:AU62),""))</f>
        <v>0.16724243767504168</v>
      </c>
      <c r="Z62" s="503">
        <f>IF(終値!A62="","",IFERROR(4*STDEVP(終値!AC62:AV62)/AVERAGE(終値!AC62:AV62),""))</f>
        <v>0.17400299497778529</v>
      </c>
      <c r="AA62" s="503">
        <f>IF(終値!A62="","",IFERROR(4*STDEVP(終値!AD62:AW62)/AVERAGE(終値!AD62:AW62),""))</f>
        <v>0.17102556456190593</v>
      </c>
      <c r="AB62" s="503">
        <f>IF(終値!A62="","",IFERROR(4*STDEVP(終値!AE62:AX62)/AVERAGE(終値!AE62:AX62),""))</f>
        <v>0.17607521731173922</v>
      </c>
      <c r="AC62" s="503">
        <f>IF(終値!A62="","",IFERROR(4*STDEVP(終値!AF62:AY62)/AVERAGE(終値!AF62:AY62),""))</f>
        <v>0.17045293818524201</v>
      </c>
      <c r="AD62" s="503">
        <f>IF(終値!A62="","",IFERROR(4*STDEVP(終値!AG62:AZ62)/AVERAGE(終値!AG62:AZ62),""))</f>
        <v>0.16252901177496035</v>
      </c>
      <c r="AE62" s="503">
        <f>IF(終値!A62="","",IFERROR(4*STDEVP(終値!AH62:BA62)/AVERAGE(終値!AH62:BA62),""))</f>
        <v>0.15715936058152064</v>
      </c>
      <c r="AF62" s="503">
        <f>IF(終値!A62="","",IFERROR(4*STDEVP(終値!AI62:BB62)/AVERAGE(終値!AI62:BB62),""))</f>
        <v>0.17619366396530756</v>
      </c>
      <c r="AG62" s="503">
        <f>IF(終値!A62="","",IFERROR(4*STDEVP(終値!AJ62:BC62)/AVERAGE(終値!AJ62:BC62),""))</f>
        <v>0.18006924010696881</v>
      </c>
      <c r="AH62" s="503">
        <f>IF(終値!A62="","",IFERROR(4*STDEVP(終値!AK62:BD62)/AVERAGE(終値!AK62:BD62),""))</f>
        <v>0.18942564614199658</v>
      </c>
      <c r="AI62" s="503">
        <f>IF(終値!A62="","",IFERROR(4*STDEVP(終値!AL62:BE62)/AVERAGE(終値!AL62:BE62),""))</f>
        <v>0.22084973080624132</v>
      </c>
      <c r="AJ62" s="503">
        <f>IF(終値!A62="","",IFERROR(4*STDEVP(終値!AM62:BF62)/AVERAGE(終値!AM62:BF62),""))</f>
        <v>0.24645310397488257</v>
      </c>
      <c r="AK62" s="503">
        <f>IF(終値!A62="","",IFERROR(4*STDEVP(終値!AN62:BG62)/AVERAGE(終値!AN62:BG62),""))</f>
        <v>0.29384244904697987</v>
      </c>
      <c r="AL62" s="503">
        <f>IF(終値!A62="","",IFERROR(4*STDEVP(終値!AO62:BH62)/AVERAGE(終値!AO62:BH62),""))</f>
        <v>0.31794133982916711</v>
      </c>
      <c r="AM62" s="503">
        <f>IF(終値!A62="","",IFERROR(4*STDEVP(終値!AP62:BI62)/AVERAGE(終値!AP62:BI62),""))</f>
        <v>0.3575053471550263</v>
      </c>
      <c r="AN62" s="503">
        <f>IF(終値!A62="","",IFERROR(4*STDEVP(終値!AQ62:BJ62)/AVERAGE(終値!AQ62:BJ62),""))</f>
        <v>0.35973429452711786</v>
      </c>
      <c r="AO62" s="503">
        <f>IF(終値!A62="","",IFERROR(4*STDEVP(終値!AR62:BK62)/AVERAGE(終値!AR62:BK62),""))</f>
        <v>0.34050255652013833</v>
      </c>
      <c r="AP62" s="503">
        <f>IF(終値!A62="","",IFERROR(4*STDEVP(終値!AS62:BL62)/AVERAGE(終値!AS62:BL62),""))</f>
        <v>0.34184054606997843</v>
      </c>
    </row>
    <row r="63" spans="1:42">
      <c r="A63" s="500" t="str">
        <f>IF(終値!A63="","",終値!A63)</f>
        <v>8281</v>
      </c>
      <c r="B63" s="503">
        <f>IF(終値!A63="","",IFERROR(4*STDEVP(終値!E63:X63)/AVERAGE(終値!E63:X63),""))</f>
        <v>6.1277583227799887E-2</v>
      </c>
      <c r="C63" s="503">
        <f>IF(終値!A63="","",IFERROR(4*STDEVP(終値!F63:Y63)/AVERAGE(終値!F63:Y63),""))</f>
        <v>6.108208376806594E-2</v>
      </c>
      <c r="D63" s="503">
        <f>IF(終値!A63="","",IFERROR(4*STDEVP(終値!G63:Z63)/AVERAGE(終値!G63:Z63),""))</f>
        <v>5.364478360632139E-2</v>
      </c>
      <c r="E63" s="503">
        <f>IF(終値!A63="","",IFERROR(4*STDEVP(終値!H63:AA63)/AVERAGE(終値!H63:AA63),""))</f>
        <v>5.2550978775354355E-2</v>
      </c>
      <c r="F63" s="503">
        <f>IF(終値!A63="","",IFERROR(4*STDEVP(終値!I63:AB63)/AVERAGE(終値!I63:AB63),""))</f>
        <v>5.8948992532922302E-2</v>
      </c>
      <c r="G63" s="503">
        <f>IF(終値!A63="","",IFERROR(4*STDEVP(終値!J63:AC63)/AVERAGE(終値!J63:AC63),""))</f>
        <v>7.1296939545233959E-2</v>
      </c>
      <c r="H63" s="503">
        <f>IF(終値!A63="","",IFERROR(4*STDEVP(終値!K63:AD63)/AVERAGE(終値!K63:AD63),""))</f>
        <v>7.9035454884143291E-2</v>
      </c>
      <c r="I63" s="503">
        <f>IF(終値!A63="","",IFERROR(4*STDEVP(終値!L63:AE63)/AVERAGE(終値!L63:AE63),""))</f>
        <v>7.3157981899549876E-2</v>
      </c>
      <c r="J63" s="503">
        <f>IF(終値!A63="","",IFERROR(4*STDEVP(終値!M63:AF63)/AVERAGE(終値!M63:AF63),""))</f>
        <v>7.4480539310946975E-2</v>
      </c>
      <c r="K63" s="503">
        <f>IF(終値!A63="","",IFERROR(4*STDEVP(終値!N63:AG63)/AVERAGE(終値!N63:AG63),""))</f>
        <v>8.0123220505335865E-2</v>
      </c>
      <c r="L63" s="503">
        <f>IF(終値!A63="","",IFERROR(4*STDEVP(終値!O63:AH63)/AVERAGE(終値!O63:AH63),""))</f>
        <v>8.9759056577124227E-2</v>
      </c>
      <c r="M63" s="503">
        <f>IF(終値!A63="","",IFERROR(4*STDEVP(終値!P63:AI63)/AVERAGE(終値!P63:AI63),""))</f>
        <v>0.10002568236143211</v>
      </c>
      <c r="N63" s="503">
        <f>IF(終値!A63="","",IFERROR(4*STDEVP(終値!Q63:AJ63)/AVERAGE(終値!Q63:AJ63),""))</f>
        <v>0.10713813258958779</v>
      </c>
      <c r="O63" s="503">
        <f>IF(終値!A63="","",IFERROR(4*STDEVP(終値!R63:AK63)/AVERAGE(終値!R63:AK63),""))</f>
        <v>0.1081646383769426</v>
      </c>
      <c r="P63" s="503">
        <f>IF(終値!A63="","",IFERROR(4*STDEVP(終値!S63:AL63)/AVERAGE(終値!S63:AL63),""))</f>
        <v>0.1037487529640012</v>
      </c>
      <c r="Q63" s="503">
        <f>IF(終値!A63="","",IFERROR(4*STDEVP(終値!T63:AM63)/AVERAGE(終値!T63:AM63),""))</f>
        <v>0.10264380296703046</v>
      </c>
      <c r="R63" s="503">
        <f>IF(終値!A63="","",IFERROR(4*STDEVP(終値!U63:AN63)/AVERAGE(終値!U63:AN63),""))</f>
        <v>0.10109873951629521</v>
      </c>
      <c r="S63" s="503">
        <f>IF(終値!A63="","",IFERROR(4*STDEVP(終値!V63:AO63)/AVERAGE(終値!V63:AO63),""))</f>
        <v>0.10017321154136093</v>
      </c>
      <c r="T63" s="503">
        <f>IF(終値!A63="","",IFERROR(4*STDEVP(終値!W63:AP63)/AVERAGE(終値!W63:AP63),""))</f>
        <v>9.7801163913053213E-2</v>
      </c>
      <c r="U63" s="503">
        <f>IF(終値!A63="","",IFERROR(4*STDEVP(終値!X63:AQ63)/AVERAGE(終値!X63:AQ63),""))</f>
        <v>9.4040828438990282E-2</v>
      </c>
      <c r="V63" s="503">
        <f>IF(終値!A63="","",IFERROR(4*STDEVP(終値!Y63:AR63)/AVERAGE(終値!Y63:AR63),""))</f>
        <v>8.5707738920172721E-2</v>
      </c>
      <c r="W63" s="503">
        <f>IF(終値!A63="","",IFERROR(4*STDEVP(終値!Z63:AS63)/AVERAGE(終値!Z63:AS63),""))</f>
        <v>7.4182944281450058E-2</v>
      </c>
      <c r="X63" s="503">
        <f>IF(終値!A63="","",IFERROR(4*STDEVP(終値!AA63:AT63)/AVERAGE(終値!AA63:AT63),""))</f>
        <v>6.2774247105067335E-2</v>
      </c>
      <c r="Y63" s="503">
        <f>IF(終値!A63="","",IFERROR(4*STDEVP(終値!AB63:AU63)/AVERAGE(終値!AB63:AU63),""))</f>
        <v>6.5491045666210834E-2</v>
      </c>
      <c r="Z63" s="503">
        <f>IF(終値!A63="","",IFERROR(4*STDEVP(終値!AC63:AV63)/AVERAGE(終値!AC63:AV63),""))</f>
        <v>6.8675182584620256E-2</v>
      </c>
      <c r="AA63" s="503">
        <f>IF(終値!A63="","",IFERROR(4*STDEVP(終値!AD63:AW63)/AVERAGE(終値!AD63:AW63),""))</f>
        <v>6.9413333228561705E-2</v>
      </c>
      <c r="AB63" s="503">
        <f>IF(終値!A63="","",IFERROR(4*STDEVP(終値!AE63:AX63)/AVERAGE(終値!AE63:AX63),""))</f>
        <v>7.0058974460344814E-2</v>
      </c>
      <c r="AC63" s="503">
        <f>IF(終値!A63="","",IFERROR(4*STDEVP(終値!AF63:AY63)/AVERAGE(終値!AF63:AY63),""))</f>
        <v>6.6773700636588898E-2</v>
      </c>
      <c r="AD63" s="503">
        <f>IF(終値!A63="","",IFERROR(4*STDEVP(終値!AG63:AZ63)/AVERAGE(終値!AG63:AZ63),""))</f>
        <v>6.3922342966158369E-2</v>
      </c>
      <c r="AE63" s="503">
        <f>IF(終値!A63="","",IFERROR(4*STDEVP(終値!AH63:BA63)/AVERAGE(終値!AH63:BA63),""))</f>
        <v>6.3922342966158355E-2</v>
      </c>
      <c r="AF63" s="503">
        <f>IF(終値!A63="","",IFERROR(4*STDEVP(終値!AI63:BB63)/AVERAGE(終値!AI63:BB63),""))</f>
        <v>6.4055506319803335E-2</v>
      </c>
      <c r="AG63" s="503">
        <f>IF(終値!A63="","",IFERROR(4*STDEVP(終値!AJ63:BC63)/AVERAGE(終値!AJ63:BC63),""))</f>
        <v>6.2613060095544931E-2</v>
      </c>
      <c r="AH63" s="503">
        <f>IF(終値!A63="","",IFERROR(4*STDEVP(終値!AK63:BD63)/AVERAGE(終値!AK63:BD63),""))</f>
        <v>5.9816287929248202E-2</v>
      </c>
      <c r="AI63" s="503">
        <f>IF(終値!A63="","",IFERROR(4*STDEVP(終値!AL63:BE63)/AVERAGE(終値!AL63:BE63),""))</f>
        <v>5.9417470385620404E-2</v>
      </c>
      <c r="AJ63" s="503">
        <f>IF(終値!A63="","",IFERROR(4*STDEVP(終値!AM63:BF63)/AVERAGE(終値!AM63:BF63),""))</f>
        <v>6.3170158475657032E-2</v>
      </c>
      <c r="AK63" s="503">
        <f>IF(終値!A63="","",IFERROR(4*STDEVP(終値!AN63:BG63)/AVERAGE(終値!AN63:BG63),""))</f>
        <v>7.3511937210001294E-2</v>
      </c>
      <c r="AL63" s="503">
        <f>IF(終値!A63="","",IFERROR(4*STDEVP(終値!AO63:BH63)/AVERAGE(終値!AO63:BH63),""))</f>
        <v>9.8358311618077551E-2</v>
      </c>
      <c r="AM63" s="503">
        <f>IF(終値!A63="","",IFERROR(4*STDEVP(終値!AP63:BI63)/AVERAGE(終値!AP63:BI63),""))</f>
        <v>0.11141139964000711</v>
      </c>
      <c r="AN63" s="503">
        <f>IF(終値!A63="","",IFERROR(4*STDEVP(終値!AQ63:BJ63)/AVERAGE(終値!AQ63:BJ63),""))</f>
        <v>0.12322474775194854</v>
      </c>
      <c r="AO63" s="503">
        <f>IF(終値!A63="","",IFERROR(4*STDEVP(終値!AR63:BK63)/AVERAGE(終値!AR63:BK63),""))</f>
        <v>0.13296835217983743</v>
      </c>
      <c r="AP63" s="503">
        <f>IF(終値!A63="","",IFERROR(4*STDEVP(終値!AS63:BL63)/AVERAGE(終値!AS63:BL63),""))</f>
        <v>0.13692970796057577</v>
      </c>
    </row>
    <row r="64" spans="1:42">
      <c r="A64" s="500" t="str">
        <f>IF(終値!A64="","",終値!A64)</f>
        <v>4540</v>
      </c>
      <c r="B64" s="503">
        <f>IF(終値!A64="","",IFERROR(4*STDEVP(終値!E64:X64)/AVERAGE(終値!E64:X64),""))</f>
        <v>7.7558085662407558E-2</v>
      </c>
      <c r="C64" s="503">
        <f>IF(終値!A64="","",IFERROR(4*STDEVP(終値!F64:Y64)/AVERAGE(終値!F64:Y64),""))</f>
        <v>7.6909884332727052E-2</v>
      </c>
      <c r="D64" s="503">
        <f>IF(終値!A64="","",IFERROR(4*STDEVP(終値!G64:Z64)/AVERAGE(終値!G64:Z64),""))</f>
        <v>7.1412411732950598E-2</v>
      </c>
      <c r="E64" s="503">
        <f>IF(終値!A64="","",IFERROR(4*STDEVP(終値!H64:AA64)/AVERAGE(終値!H64:AA64),""))</f>
        <v>7.221465062040984E-2</v>
      </c>
      <c r="F64" s="503">
        <f>IF(終値!A64="","",IFERROR(4*STDEVP(終値!I64:AB64)/AVERAGE(終値!I64:AB64),""))</f>
        <v>7.6323750260894316E-2</v>
      </c>
      <c r="G64" s="503">
        <f>IF(終値!A64="","",IFERROR(4*STDEVP(終値!J64:AC64)/AVERAGE(終値!J64:AC64),""))</f>
        <v>8.3293511757385905E-2</v>
      </c>
      <c r="H64" s="503">
        <f>IF(終値!A64="","",IFERROR(4*STDEVP(終値!K64:AD64)/AVERAGE(終値!K64:AD64),""))</f>
        <v>8.4421690523456286E-2</v>
      </c>
      <c r="I64" s="503">
        <f>IF(終値!A64="","",IFERROR(4*STDEVP(終値!L64:AE64)/AVERAGE(終値!L64:AE64),""))</f>
        <v>6.9174501883827538E-2</v>
      </c>
      <c r="J64" s="503">
        <f>IF(終値!A64="","",IFERROR(4*STDEVP(終値!M64:AF64)/AVERAGE(終値!M64:AF64),""))</f>
        <v>6.593865273665811E-2</v>
      </c>
      <c r="K64" s="503">
        <f>IF(終値!A64="","",IFERROR(4*STDEVP(終値!N64:AG64)/AVERAGE(終値!N64:AG64),""))</f>
        <v>6.1467754592342543E-2</v>
      </c>
      <c r="L64" s="503">
        <f>IF(終値!A64="","",IFERROR(4*STDEVP(終値!O64:AH64)/AVERAGE(終値!O64:AH64),""))</f>
        <v>6.1443863567061517E-2</v>
      </c>
      <c r="M64" s="503">
        <f>IF(終値!A64="","",IFERROR(4*STDEVP(終値!P64:AI64)/AVERAGE(終値!P64:AI64),""))</f>
        <v>6.3312503918705132E-2</v>
      </c>
      <c r="N64" s="503">
        <f>IF(終値!A64="","",IFERROR(4*STDEVP(終値!Q64:AJ64)/AVERAGE(終値!Q64:AJ64),""))</f>
        <v>6.1183976036783591E-2</v>
      </c>
      <c r="O64" s="503">
        <f>IF(終値!A64="","",IFERROR(4*STDEVP(終値!R64:AK64)/AVERAGE(終値!R64:AK64),""))</f>
        <v>5.7354071654219289E-2</v>
      </c>
      <c r="P64" s="503">
        <f>IF(終値!A64="","",IFERROR(4*STDEVP(終値!S64:AL64)/AVERAGE(終値!S64:AL64),""))</f>
        <v>5.520766553121554E-2</v>
      </c>
      <c r="Q64" s="503">
        <f>IF(終値!A64="","",IFERROR(4*STDEVP(終値!T64:AM64)/AVERAGE(終値!T64:AM64),""))</f>
        <v>5.2465228129366839E-2</v>
      </c>
      <c r="R64" s="503">
        <f>IF(終値!A64="","",IFERROR(4*STDEVP(終値!U64:AN64)/AVERAGE(終値!U64:AN64),""))</f>
        <v>4.1674166690187406E-2</v>
      </c>
      <c r="S64" s="503">
        <f>IF(終値!A64="","",IFERROR(4*STDEVP(終値!V64:AO64)/AVERAGE(終値!V64:AO64),""))</f>
        <v>3.828924214620702E-2</v>
      </c>
      <c r="T64" s="503">
        <f>IF(終値!A64="","",IFERROR(4*STDEVP(終値!W64:AP64)/AVERAGE(終値!W64:AP64),""))</f>
        <v>3.4089057556851599E-2</v>
      </c>
      <c r="U64" s="503">
        <f>IF(終値!A64="","",IFERROR(4*STDEVP(終値!X64:AQ64)/AVERAGE(終値!X64:AQ64),""))</f>
        <v>3.0978184539114738E-2</v>
      </c>
      <c r="V64" s="503">
        <f>IF(終値!A64="","",IFERROR(4*STDEVP(終値!Y64:AR64)/AVERAGE(終値!Y64:AR64),""))</f>
        <v>2.8943762429594771E-2</v>
      </c>
      <c r="W64" s="503">
        <f>IF(終値!A64="","",IFERROR(4*STDEVP(終値!Z64:AS64)/AVERAGE(終値!Z64:AS64),""))</f>
        <v>2.7855580694705184E-2</v>
      </c>
      <c r="X64" s="503">
        <f>IF(終値!A64="","",IFERROR(4*STDEVP(終値!AA64:AT64)/AVERAGE(終値!AA64:AT64),""))</f>
        <v>2.6474239536729789E-2</v>
      </c>
      <c r="Y64" s="503">
        <f>IF(終値!A64="","",IFERROR(4*STDEVP(終値!AB64:AU64)/AVERAGE(終値!AB64:AU64),""))</f>
        <v>2.5891146615640497E-2</v>
      </c>
      <c r="Z64" s="503">
        <f>IF(終値!A64="","",IFERROR(4*STDEVP(終値!AC64:AV64)/AVERAGE(終値!AC64:AV64),""))</f>
        <v>2.5891146615640494E-2</v>
      </c>
      <c r="AA64" s="503">
        <f>IF(終値!A64="","",IFERROR(4*STDEVP(終値!AD64:AW64)/AVERAGE(終値!AD64:AW64),""))</f>
        <v>2.5362764128122273E-2</v>
      </c>
      <c r="AB64" s="503">
        <f>IF(終値!A64="","",IFERROR(4*STDEVP(終値!AE64:AX64)/AVERAGE(終値!AE64:AX64),""))</f>
        <v>3.1847944367636577E-2</v>
      </c>
      <c r="AC64" s="503">
        <f>IF(終値!A64="","",IFERROR(4*STDEVP(終値!AF64:AY64)/AVERAGE(終値!AF64:AY64),""))</f>
        <v>3.2101675611422451E-2</v>
      </c>
      <c r="AD64" s="503">
        <f>IF(終値!A64="","",IFERROR(4*STDEVP(終値!AG64:AZ64)/AVERAGE(終値!AG64:AZ64),""))</f>
        <v>4.1812587050388463E-2</v>
      </c>
      <c r="AE64" s="503">
        <f>IF(終値!A64="","",IFERROR(4*STDEVP(終値!AH64:BA64)/AVERAGE(終値!AH64:BA64),""))</f>
        <v>4.0677675354329798E-2</v>
      </c>
      <c r="AF64" s="503">
        <f>IF(終値!A64="","",IFERROR(4*STDEVP(終値!AI64:BB64)/AVERAGE(終値!AI64:BB64),""))</f>
        <v>4.3271353990162242E-2</v>
      </c>
      <c r="AG64" s="503">
        <f>IF(終値!A64="","",IFERROR(4*STDEVP(終値!AJ64:BC64)/AVERAGE(終値!AJ64:BC64),""))</f>
        <v>5.539081299415255E-2</v>
      </c>
      <c r="AH64" s="503">
        <f>IF(終値!A64="","",IFERROR(4*STDEVP(終値!AK64:BD64)/AVERAGE(終値!AK64:BD64),""))</f>
        <v>6.9377970832529806E-2</v>
      </c>
      <c r="AI64" s="503">
        <f>IF(終値!A64="","",IFERROR(4*STDEVP(終値!AL64:BE64)/AVERAGE(終値!AL64:BE64),""))</f>
        <v>7.9355778375817601E-2</v>
      </c>
      <c r="AJ64" s="503">
        <f>IF(終値!A64="","",IFERROR(4*STDEVP(終値!AM64:BF64)/AVERAGE(終値!AM64:BF64),""))</f>
        <v>7.905747262961331E-2</v>
      </c>
      <c r="AK64" s="503">
        <f>IF(終値!A64="","",IFERROR(4*STDEVP(終値!AN64:BG64)/AVERAGE(終値!AN64:BG64),""))</f>
        <v>7.7059312720174994E-2</v>
      </c>
      <c r="AL64" s="503">
        <f>IF(終値!A64="","",IFERROR(4*STDEVP(終値!AO64:BH64)/AVERAGE(終値!AO64:BH64),""))</f>
        <v>7.779034400707667E-2</v>
      </c>
      <c r="AM64" s="503">
        <f>IF(終値!A64="","",IFERROR(4*STDEVP(終値!AP64:BI64)/AVERAGE(終値!AP64:BI64),""))</f>
        <v>7.8782009262709216E-2</v>
      </c>
      <c r="AN64" s="503">
        <f>IF(終値!A64="","",IFERROR(4*STDEVP(終値!AQ64:BJ64)/AVERAGE(終値!AQ64:BJ64),""))</f>
        <v>9.7382544074475594E-2</v>
      </c>
      <c r="AO64" s="503">
        <f>IF(終値!A64="","",IFERROR(4*STDEVP(終値!AR64:BK64)/AVERAGE(終値!AR64:BK64),""))</f>
        <v>0.10842549969361495</v>
      </c>
      <c r="AP64" s="503">
        <f>IF(終値!A64="","",IFERROR(4*STDEVP(終値!AS64:BL64)/AVERAGE(終値!AS64:BL64),""))</f>
        <v>0.11610104882842362</v>
      </c>
    </row>
    <row r="65" spans="1:42">
      <c r="A65" s="500" t="str">
        <f>IF(終値!A65="","",終値!A65)</f>
        <v>9984</v>
      </c>
      <c r="B65" s="503">
        <f>IF(終値!A65="","",IFERROR(4*STDEVP(終値!E65:X65)/AVERAGE(終値!E65:X65),""))</f>
        <v>0.36688493222153812</v>
      </c>
      <c r="C65" s="503">
        <f>IF(終値!A65="","",IFERROR(4*STDEVP(終値!F65:Y65)/AVERAGE(終値!F65:Y65),""))</f>
        <v>0.36711002440793306</v>
      </c>
      <c r="D65" s="503">
        <f>IF(終値!A65="","",IFERROR(4*STDEVP(終値!G65:Z65)/AVERAGE(終値!G65:Z65),""))</f>
        <v>0.36750654724338533</v>
      </c>
      <c r="E65" s="503">
        <f>IF(終値!A65="","",IFERROR(4*STDEVP(終値!H65:AA65)/AVERAGE(終値!H65:AA65),""))</f>
        <v>0.36636198930476022</v>
      </c>
      <c r="F65" s="503">
        <f>IF(終値!A65="","",IFERROR(4*STDEVP(終値!I65:AB65)/AVERAGE(終値!I65:AB65),""))</f>
        <v>0.36815793030832322</v>
      </c>
      <c r="G65" s="503">
        <f>IF(終値!A65="","",IFERROR(4*STDEVP(終値!J65:AC65)/AVERAGE(終値!J65:AC65),""))</f>
        <v>0.35987298976947529</v>
      </c>
      <c r="H65" s="503">
        <f>IF(終値!A65="","",IFERROR(4*STDEVP(終値!K65:AD65)/AVERAGE(終値!K65:AD65),""))</f>
        <v>0.3072498098557756</v>
      </c>
      <c r="I65" s="503">
        <f>IF(終値!A65="","",IFERROR(4*STDEVP(終値!L65:AE65)/AVERAGE(終値!L65:AE65),""))</f>
        <v>0.25194989971035636</v>
      </c>
      <c r="J65" s="503">
        <f>IF(終値!A65="","",IFERROR(4*STDEVP(終値!M65:AF65)/AVERAGE(終値!M65:AF65),""))</f>
        <v>0.22112774963231085</v>
      </c>
      <c r="K65" s="503">
        <f>IF(終値!A65="","",IFERROR(4*STDEVP(終値!N65:AG65)/AVERAGE(終値!N65:AG65),""))</f>
        <v>0.25578703334849151</v>
      </c>
      <c r="L65" s="503">
        <f>IF(終値!A65="","",IFERROR(4*STDEVP(終値!O65:AH65)/AVERAGE(終値!O65:AH65),""))</f>
        <v>0.25171974924868551</v>
      </c>
      <c r="M65" s="503">
        <f>IF(終値!A65="","",IFERROR(4*STDEVP(終値!P65:AI65)/AVERAGE(終値!P65:AI65),""))</f>
        <v>0.25580183161132225</v>
      </c>
      <c r="N65" s="503">
        <f>IF(終値!A65="","",IFERROR(4*STDEVP(終値!Q65:AJ65)/AVERAGE(終値!Q65:AJ65),""))</f>
        <v>0.28934337684610362</v>
      </c>
      <c r="O65" s="503">
        <f>IF(終値!A65="","",IFERROR(4*STDEVP(終値!R65:AK65)/AVERAGE(終値!R65:AK65),""))</f>
        <v>0.30451653332267642</v>
      </c>
      <c r="P65" s="503">
        <f>IF(終値!A65="","",IFERROR(4*STDEVP(終値!S65:AL65)/AVERAGE(終値!S65:AL65),""))</f>
        <v>0.29944806933635293</v>
      </c>
      <c r="Q65" s="503">
        <f>IF(終値!A65="","",IFERROR(4*STDEVP(終値!T65:AM65)/AVERAGE(終値!T65:AM65),""))</f>
        <v>0.30663777748010268</v>
      </c>
      <c r="R65" s="503">
        <f>IF(終値!A65="","",IFERROR(4*STDEVP(終値!U65:AN65)/AVERAGE(終値!U65:AN65),""))</f>
        <v>0.31987399665531607</v>
      </c>
      <c r="S65" s="503">
        <f>IF(終値!A65="","",IFERROR(4*STDEVP(終値!V65:AO65)/AVERAGE(終値!V65:AO65),""))</f>
        <v>0.33270138014863171</v>
      </c>
      <c r="T65" s="503">
        <f>IF(終値!A65="","",IFERROR(4*STDEVP(終値!W65:AP65)/AVERAGE(終値!W65:AP65),""))</f>
        <v>0.33225841313882948</v>
      </c>
      <c r="U65" s="503">
        <f>IF(終値!A65="","",IFERROR(4*STDEVP(終値!X65:AQ65)/AVERAGE(終値!X65:AQ65),""))</f>
        <v>0.31601206097940321</v>
      </c>
      <c r="V65" s="503">
        <f>IF(終値!A65="","",IFERROR(4*STDEVP(終値!Y65:AR65)/AVERAGE(終値!Y65:AR65),""))</f>
        <v>0.29755774530359963</v>
      </c>
      <c r="W65" s="503">
        <f>IF(終値!A65="","",IFERROR(4*STDEVP(終値!Z65:AS65)/AVERAGE(終値!Z65:AS65),""))</f>
        <v>0.2811909853452299</v>
      </c>
      <c r="X65" s="503">
        <f>IF(終値!A65="","",IFERROR(4*STDEVP(終値!AA65:AT65)/AVERAGE(終値!AA65:AT65),""))</f>
        <v>0.28612711671154667</v>
      </c>
      <c r="Y65" s="503">
        <f>IF(終値!A65="","",IFERROR(4*STDEVP(終値!AB65:AU65)/AVERAGE(終値!AB65:AU65),""))</f>
        <v>0.29030563644140595</v>
      </c>
      <c r="Z65" s="503">
        <f>IF(終値!A65="","",IFERROR(4*STDEVP(終値!AC65:AV65)/AVERAGE(終値!AC65:AV65),""))</f>
        <v>0.34258092946417829</v>
      </c>
      <c r="AA65" s="503">
        <f>IF(終値!A65="","",IFERROR(4*STDEVP(終値!AD65:AW65)/AVERAGE(終値!AD65:AW65),""))</f>
        <v>0.38802243655528884</v>
      </c>
      <c r="AB65" s="503">
        <f>IF(終値!A65="","",IFERROR(4*STDEVP(終値!AE65:AX65)/AVERAGE(終値!AE65:AX65),""))</f>
        <v>0.36653795061978867</v>
      </c>
      <c r="AC65" s="503">
        <f>IF(終値!A65="","",IFERROR(4*STDEVP(終値!AF65:AY65)/AVERAGE(終値!AF65:AY65),""))</f>
        <v>0.33247667985233342</v>
      </c>
      <c r="AD65" s="503">
        <f>IF(終値!A65="","",IFERROR(4*STDEVP(終値!AG65:AZ65)/AVERAGE(終値!AG65:AZ65),""))</f>
        <v>0.31133455191226439</v>
      </c>
      <c r="AE65" s="503">
        <f>IF(終値!A65="","",IFERROR(4*STDEVP(終値!AH65:BA65)/AVERAGE(終値!AH65:BA65),""))</f>
        <v>0.31154930572332956</v>
      </c>
      <c r="AF65" s="503">
        <f>IF(終値!A65="","",IFERROR(4*STDEVP(終値!AI65:BB65)/AVERAGE(終値!AI65:BB65),""))</f>
        <v>0.30743021153325067</v>
      </c>
      <c r="AG65" s="503">
        <f>IF(終値!A65="","",IFERROR(4*STDEVP(終値!AJ65:BC65)/AVERAGE(終値!AJ65:BC65),""))</f>
        <v>0.3285979196125659</v>
      </c>
      <c r="AH65" s="503">
        <f>IF(終値!A65="","",IFERROR(4*STDEVP(終値!AK65:BD65)/AVERAGE(終値!AK65:BD65),""))</f>
        <v>0.42170383736166223</v>
      </c>
      <c r="AI65" s="503">
        <f>IF(終値!A65="","",IFERROR(4*STDEVP(終値!AL65:BE65)/AVERAGE(終値!AL65:BE65),""))</f>
        <v>0.47448184076634192</v>
      </c>
      <c r="AJ65" s="503">
        <f>IF(終値!A65="","",IFERROR(4*STDEVP(終値!AM65:BF65)/AVERAGE(終値!AM65:BF65),""))</f>
        <v>0.5072803086981249</v>
      </c>
      <c r="AK65" s="503">
        <f>IF(終値!A65="","",IFERROR(4*STDEVP(終値!AN65:BG65)/AVERAGE(終値!AN65:BG65),""))</f>
        <v>0.53058727213052426</v>
      </c>
      <c r="AL65" s="503">
        <f>IF(終値!A65="","",IFERROR(4*STDEVP(終値!AO65:BH65)/AVERAGE(終値!AO65:BH65),""))</f>
        <v>0.54970582841769555</v>
      </c>
      <c r="AM65" s="503">
        <f>IF(終値!A65="","",IFERROR(4*STDEVP(終値!AP65:BI65)/AVERAGE(終値!AP65:BI65),""))</f>
        <v>0.55865714025453594</v>
      </c>
      <c r="AN65" s="503">
        <f>IF(終値!A65="","",IFERROR(4*STDEVP(終値!AQ65:BJ65)/AVERAGE(終値!AQ65:BJ65),""))</f>
        <v>0.56730637686024288</v>
      </c>
      <c r="AO65" s="503">
        <f>IF(終値!A65="","",IFERROR(4*STDEVP(終値!AR65:BK65)/AVERAGE(終値!AR65:BK65),""))</f>
        <v>0.5813913138313066</v>
      </c>
      <c r="AP65" s="503">
        <f>IF(終値!A65="","",IFERROR(4*STDEVP(終値!AS65:BL65)/AVERAGE(終値!AS65:BL65),""))</f>
        <v>0.586018984182888</v>
      </c>
    </row>
    <row r="66" spans="1:42">
      <c r="A66" s="500" t="str">
        <f>IF(終値!A66="","",終値!A66)</f>
        <v>4063</v>
      </c>
      <c r="B66" s="503">
        <f>IF(終値!A66="","",IFERROR(4*STDEVP(終値!E66:X66)/AVERAGE(終値!E66:X66),""))</f>
        <v>0.39584920710192067</v>
      </c>
      <c r="C66" s="503">
        <f>IF(終値!A66="","",IFERROR(4*STDEVP(終値!F66:Y66)/AVERAGE(終値!F66:Y66),""))</f>
        <v>0.39396877518816947</v>
      </c>
      <c r="D66" s="503">
        <f>IF(終値!A66="","",IFERROR(4*STDEVP(終値!G66:Z66)/AVERAGE(終値!G66:Z66),""))</f>
        <v>0.39558946668832407</v>
      </c>
      <c r="E66" s="503">
        <f>IF(終値!A66="","",IFERROR(4*STDEVP(終値!H66:AA66)/AVERAGE(終値!H66:AA66),""))</f>
        <v>0.38057735853423635</v>
      </c>
      <c r="F66" s="503">
        <f>IF(終値!A66="","",IFERROR(4*STDEVP(終値!I66:AB66)/AVERAGE(終値!I66:AB66),""))</f>
        <v>0.35694155165329039</v>
      </c>
      <c r="G66" s="503">
        <f>IF(終値!A66="","",IFERROR(4*STDEVP(終値!J66:AC66)/AVERAGE(終値!J66:AC66),""))</f>
        <v>0.32870564685296388</v>
      </c>
      <c r="H66" s="503">
        <f>IF(終値!A66="","",IFERROR(4*STDEVP(終値!K66:AD66)/AVERAGE(終値!K66:AD66),""))</f>
        <v>0.28840482281184288</v>
      </c>
      <c r="I66" s="503">
        <f>IF(終値!A66="","",IFERROR(4*STDEVP(終値!L66:AE66)/AVERAGE(終値!L66:AE66),""))</f>
        <v>0.23229787256733056</v>
      </c>
      <c r="J66" s="503">
        <f>IF(終値!A66="","",IFERROR(4*STDEVP(終値!M66:AF66)/AVERAGE(終値!M66:AF66),""))</f>
        <v>0.17785763756005937</v>
      </c>
      <c r="K66" s="503">
        <f>IF(終値!A66="","",IFERROR(4*STDEVP(終値!N66:AG66)/AVERAGE(終値!N66:AG66),""))</f>
        <v>0.12938111717346051</v>
      </c>
      <c r="L66" s="503">
        <f>IF(終値!A66="","",IFERROR(4*STDEVP(終値!O66:AH66)/AVERAGE(終値!O66:AH66),""))</f>
        <v>0.11689597560048136</v>
      </c>
      <c r="M66" s="503">
        <f>IF(終値!A66="","",IFERROR(4*STDEVP(終値!P66:AI66)/AVERAGE(終値!P66:AI66),""))</f>
        <v>0.11559930347591754</v>
      </c>
      <c r="N66" s="503">
        <f>IF(終値!A66="","",IFERROR(4*STDEVP(終値!Q66:AJ66)/AVERAGE(終値!Q66:AJ66),""))</f>
        <v>0.11598219189227352</v>
      </c>
      <c r="O66" s="503">
        <f>IF(終値!A66="","",IFERROR(4*STDEVP(終値!R66:AK66)/AVERAGE(終値!R66:AK66),""))</f>
        <v>0.1169651526916458</v>
      </c>
      <c r="P66" s="503">
        <f>IF(終値!A66="","",IFERROR(4*STDEVP(終値!S66:AL66)/AVERAGE(終値!S66:AL66),""))</f>
        <v>0.12129147224048205</v>
      </c>
      <c r="Q66" s="503">
        <f>IF(終値!A66="","",IFERROR(4*STDEVP(終値!T66:AM66)/AVERAGE(終値!T66:AM66),""))</f>
        <v>0.11353554453640234</v>
      </c>
      <c r="R66" s="503">
        <f>IF(終値!A66="","",IFERROR(4*STDEVP(終値!U66:AN66)/AVERAGE(終値!U66:AN66),""))</f>
        <v>0.11291922862572669</v>
      </c>
      <c r="S66" s="503">
        <f>IF(終値!A66="","",IFERROR(4*STDEVP(終値!V66:AO66)/AVERAGE(終値!V66:AO66),""))</f>
        <v>0.12031685530949868</v>
      </c>
      <c r="T66" s="503">
        <f>IF(終値!A66="","",IFERROR(4*STDEVP(終値!W66:AP66)/AVERAGE(終値!W66:AP66),""))</f>
        <v>0.11948954215894443</v>
      </c>
      <c r="U66" s="503">
        <f>IF(終値!A66="","",IFERROR(4*STDEVP(終値!X66:AQ66)/AVERAGE(終値!X66:AQ66),""))</f>
        <v>0.1245841653771728</v>
      </c>
      <c r="V66" s="503">
        <f>IF(終値!A66="","",IFERROR(4*STDEVP(終値!Y66:AR66)/AVERAGE(終値!Y66:AR66),""))</f>
        <v>0.13486954463914402</v>
      </c>
      <c r="W66" s="503">
        <f>IF(終値!A66="","",IFERROR(4*STDEVP(終値!Z66:AS66)/AVERAGE(終値!Z66:AS66),""))</f>
        <v>0.14045032228690624</v>
      </c>
      <c r="X66" s="503">
        <f>IF(終値!A66="","",IFERROR(4*STDEVP(終値!AA66:AT66)/AVERAGE(終値!AA66:AT66),""))</f>
        <v>0.13890042870395636</v>
      </c>
      <c r="Y66" s="503">
        <f>IF(終値!A66="","",IFERROR(4*STDEVP(終値!AB66:AU66)/AVERAGE(終値!AB66:AU66),""))</f>
        <v>0.14739031432891928</v>
      </c>
      <c r="Z66" s="503">
        <f>IF(終値!A66="","",IFERROR(4*STDEVP(終値!AC66:AV66)/AVERAGE(終値!AC66:AV66),""))</f>
        <v>0.16228505529977311</v>
      </c>
      <c r="AA66" s="503">
        <f>IF(終値!A66="","",IFERROR(4*STDEVP(終値!AD66:AW66)/AVERAGE(終値!AD66:AW66),""))</f>
        <v>0.164616990016728</v>
      </c>
      <c r="AB66" s="503">
        <f>IF(終値!A66="","",IFERROR(4*STDEVP(終値!AE66:AX66)/AVERAGE(終値!AE66:AX66),""))</f>
        <v>0.17196941195890567</v>
      </c>
      <c r="AC66" s="503">
        <f>IF(終値!A66="","",IFERROR(4*STDEVP(終値!AF66:AY66)/AVERAGE(終値!AF66:AY66),""))</f>
        <v>0.1662356696451435</v>
      </c>
      <c r="AD66" s="503">
        <f>IF(終値!A66="","",IFERROR(4*STDEVP(終値!AG66:AZ66)/AVERAGE(終値!AG66:AZ66),""))</f>
        <v>0.15530342655358556</v>
      </c>
      <c r="AE66" s="503">
        <f>IF(終値!A66="","",IFERROR(4*STDEVP(終値!AH66:BA66)/AVERAGE(終値!AH66:BA66),""))</f>
        <v>0.15781272271924138</v>
      </c>
      <c r="AF66" s="503">
        <f>IF(終値!A66="","",IFERROR(4*STDEVP(終値!AI66:BB66)/AVERAGE(終値!AI66:BB66),""))</f>
        <v>0.15946557791151775</v>
      </c>
      <c r="AG66" s="503">
        <f>IF(終値!A66="","",IFERROR(4*STDEVP(終値!AJ66:BC66)/AVERAGE(終値!AJ66:BC66),""))</f>
        <v>0.16926738680685063</v>
      </c>
      <c r="AH66" s="503">
        <f>IF(終値!A66="","",IFERROR(4*STDEVP(終値!AK66:BD66)/AVERAGE(終値!AK66:BD66),""))</f>
        <v>0.1782445183789205</v>
      </c>
      <c r="AI66" s="503">
        <f>IF(終値!A66="","",IFERROR(4*STDEVP(終値!AL66:BE66)/AVERAGE(終値!AL66:BE66),""))</f>
        <v>0.18085788197779445</v>
      </c>
      <c r="AJ66" s="503">
        <f>IF(終値!A66="","",IFERROR(4*STDEVP(終値!AM66:BF66)/AVERAGE(終値!AM66:BF66),""))</f>
        <v>0.18192857268165211</v>
      </c>
      <c r="AK66" s="503">
        <f>IF(終値!A66="","",IFERROR(4*STDEVP(終値!AN66:BG66)/AVERAGE(終値!AN66:BG66),""))</f>
        <v>0.17872865394103571</v>
      </c>
      <c r="AL66" s="503">
        <f>IF(終値!A66="","",IFERROR(4*STDEVP(終値!AO66:BH66)/AVERAGE(終値!AO66:BH66),""))</f>
        <v>0.17916987687433614</v>
      </c>
      <c r="AM66" s="503">
        <f>IF(終値!A66="","",IFERROR(4*STDEVP(終値!AP66:BI66)/AVERAGE(終値!AP66:BI66),""))</f>
        <v>0.17582756049535464</v>
      </c>
      <c r="AN66" s="503">
        <f>IF(終値!A66="","",IFERROR(4*STDEVP(終値!AQ66:BJ66)/AVERAGE(終値!AQ66:BJ66),""))</f>
        <v>0.17931173974626388</v>
      </c>
      <c r="AO66" s="503">
        <f>IF(終値!A66="","",IFERROR(4*STDEVP(終値!AR66:BK66)/AVERAGE(終値!AR66:BK66),""))</f>
        <v>0.17667851856903849</v>
      </c>
      <c r="AP66" s="503">
        <f>IF(終値!A66="","",IFERROR(4*STDEVP(終値!AS66:BL66)/AVERAGE(終値!AS66:BL66),""))</f>
        <v>0.16215937438238129</v>
      </c>
    </row>
    <row r="67" spans="1:42">
      <c r="A67" s="500" t="str">
        <f>IF(終値!A67="","",終値!A67)</f>
        <v>4536</v>
      </c>
      <c r="B67" s="503">
        <f>IF(終値!A67="","",IFERROR(4*STDEVP(終値!E67:X67)/AVERAGE(終値!E67:X67),""))</f>
        <v>0.21494471547158142</v>
      </c>
      <c r="C67" s="503">
        <f>IF(終値!A67="","",IFERROR(4*STDEVP(終値!F67:Y67)/AVERAGE(終値!F67:Y67),""))</f>
        <v>0.22337062364377613</v>
      </c>
      <c r="D67" s="503">
        <f>IF(終値!A67="","",IFERROR(4*STDEVP(終値!G67:Z67)/AVERAGE(終値!G67:Z67),""))</f>
        <v>0.22514267680350389</v>
      </c>
      <c r="E67" s="503">
        <f>IF(終値!A67="","",IFERROR(4*STDEVP(終値!H67:AA67)/AVERAGE(終値!H67:AA67),""))</f>
        <v>0.21911159098857999</v>
      </c>
      <c r="F67" s="503">
        <f>IF(終値!A67="","",IFERROR(4*STDEVP(終値!I67:AB67)/AVERAGE(終値!I67:AB67),""))</f>
        <v>0.20381361179384741</v>
      </c>
      <c r="G67" s="503">
        <f>IF(終値!A67="","",IFERROR(4*STDEVP(終値!J67:AC67)/AVERAGE(終値!J67:AC67),""))</f>
        <v>0.18365184485607611</v>
      </c>
      <c r="H67" s="503">
        <f>IF(終値!A67="","",IFERROR(4*STDEVP(終値!K67:AD67)/AVERAGE(終値!K67:AD67),""))</f>
        <v>0.16959877638612211</v>
      </c>
      <c r="I67" s="503">
        <f>IF(終値!A67="","",IFERROR(4*STDEVP(終値!L67:AE67)/AVERAGE(終値!L67:AE67),""))</f>
        <v>0.16603070258409086</v>
      </c>
      <c r="J67" s="503">
        <f>IF(終値!A67="","",IFERROR(4*STDEVP(終値!M67:AF67)/AVERAGE(終値!M67:AF67),""))</f>
        <v>0.1516283701622792</v>
      </c>
      <c r="K67" s="503">
        <f>IF(終値!A67="","",IFERROR(4*STDEVP(終値!N67:AG67)/AVERAGE(終値!N67:AG67),""))</f>
        <v>0.13660301570716551</v>
      </c>
      <c r="L67" s="503">
        <f>IF(終値!A67="","",IFERROR(4*STDEVP(終値!O67:AH67)/AVERAGE(終値!O67:AH67),""))</f>
        <v>0.13743976566273064</v>
      </c>
      <c r="M67" s="503">
        <f>IF(終値!A67="","",IFERROR(4*STDEVP(終値!P67:AI67)/AVERAGE(終値!P67:AI67),""))</f>
        <v>0.12962210271177665</v>
      </c>
      <c r="N67" s="503">
        <f>IF(終値!A67="","",IFERROR(4*STDEVP(終値!Q67:AJ67)/AVERAGE(終値!Q67:AJ67),""))</f>
        <v>0.13834916388184348</v>
      </c>
      <c r="O67" s="503">
        <f>IF(終値!A67="","",IFERROR(4*STDEVP(終値!R67:AK67)/AVERAGE(終値!R67:AK67),""))</f>
        <v>0.16819102076894585</v>
      </c>
      <c r="P67" s="503">
        <f>IF(終値!A67="","",IFERROR(4*STDEVP(終値!S67:AL67)/AVERAGE(終値!S67:AL67),""))</f>
        <v>0.1911354664747327</v>
      </c>
      <c r="Q67" s="503">
        <f>IF(終値!A67="","",IFERROR(4*STDEVP(終値!T67:AM67)/AVERAGE(終値!T67:AM67),""))</f>
        <v>0.21364934252649467</v>
      </c>
      <c r="R67" s="503">
        <f>IF(終値!A67="","",IFERROR(4*STDEVP(終値!U67:AN67)/AVERAGE(終値!U67:AN67),""))</f>
        <v>0.22631186317762941</v>
      </c>
      <c r="S67" s="503">
        <f>IF(終値!A67="","",IFERROR(4*STDEVP(終値!V67:AO67)/AVERAGE(終値!V67:AO67),""))</f>
        <v>0.23802098188832763</v>
      </c>
      <c r="T67" s="503">
        <f>IF(終値!A67="","",IFERROR(4*STDEVP(終値!W67:AP67)/AVERAGE(終値!W67:AP67),""))</f>
        <v>0.24549493771163663</v>
      </c>
      <c r="U67" s="503">
        <f>IF(終値!A67="","",IFERROR(4*STDEVP(終値!X67:AQ67)/AVERAGE(終値!X67:AQ67),""))</f>
        <v>0.24738944657038542</v>
      </c>
      <c r="V67" s="503">
        <f>IF(終値!A67="","",IFERROR(4*STDEVP(終値!Y67:AR67)/AVERAGE(終値!Y67:AR67),""))</f>
        <v>0.24635296806231757</v>
      </c>
      <c r="W67" s="503">
        <f>IF(終値!A67="","",IFERROR(4*STDEVP(終値!Z67:AS67)/AVERAGE(終値!Z67:AS67),""))</f>
        <v>0.23641559238317414</v>
      </c>
      <c r="X67" s="503">
        <f>IF(終値!A67="","",IFERROR(4*STDEVP(終値!AA67:AT67)/AVERAGE(終値!AA67:AT67),""))</f>
        <v>0.22124032363639035</v>
      </c>
      <c r="Y67" s="503">
        <f>IF(終値!A67="","",IFERROR(4*STDEVP(終値!AB67:AU67)/AVERAGE(終値!AB67:AU67),""))</f>
        <v>0.21082986181850474</v>
      </c>
      <c r="Z67" s="503">
        <f>IF(終値!A67="","",IFERROR(4*STDEVP(終値!AC67:AV67)/AVERAGE(終値!AC67:AV67),""))</f>
        <v>0.20301645677159166</v>
      </c>
      <c r="AA67" s="503">
        <f>IF(終値!A67="","",IFERROR(4*STDEVP(終値!AD67:AW67)/AVERAGE(終値!AD67:AW67),""))</f>
        <v>0.19636382847201714</v>
      </c>
      <c r="AB67" s="503">
        <f>IF(終値!A67="","",IFERROR(4*STDEVP(終値!AE67:AX67)/AVERAGE(終値!AE67:AX67),""))</f>
        <v>0.18152344027756892</v>
      </c>
      <c r="AC67" s="503">
        <f>IF(終値!A67="","",IFERROR(4*STDEVP(終値!AF67:AY67)/AVERAGE(終値!AF67:AY67),""))</f>
        <v>0.15962862923585272</v>
      </c>
      <c r="AD67" s="503">
        <f>IF(終値!A67="","",IFERROR(4*STDEVP(終値!AG67:AZ67)/AVERAGE(終値!AG67:AZ67),""))</f>
        <v>0.13297995492058939</v>
      </c>
      <c r="AE67" s="503">
        <f>IF(終値!A67="","",IFERROR(4*STDEVP(終値!AH67:BA67)/AVERAGE(終値!AH67:BA67),""))</f>
        <v>9.443399564861904E-2</v>
      </c>
      <c r="AF67" s="503">
        <f>IF(終値!A67="","",IFERROR(4*STDEVP(終値!AI67:BB67)/AVERAGE(終値!AI67:BB67),""))</f>
        <v>7.3423769909306769E-2</v>
      </c>
      <c r="AG67" s="503">
        <f>IF(終値!A67="","",IFERROR(4*STDEVP(終値!AJ67:BC67)/AVERAGE(終値!AJ67:BC67),""))</f>
        <v>6.0256486094041301E-2</v>
      </c>
      <c r="AH67" s="503">
        <f>IF(終値!A67="","",IFERROR(4*STDEVP(終値!AK67:BD67)/AVERAGE(終値!AK67:BD67),""))</f>
        <v>5.737571936705646E-2</v>
      </c>
      <c r="AI67" s="503">
        <f>IF(終値!A67="","",IFERROR(4*STDEVP(終値!AL67:BE67)/AVERAGE(終値!AL67:BE67),""))</f>
        <v>5.5723066103507864E-2</v>
      </c>
      <c r="AJ67" s="503">
        <f>IF(終値!A67="","",IFERROR(4*STDEVP(終値!AM67:BF67)/AVERAGE(終値!AM67:BF67),""))</f>
        <v>6.2159549491685367E-2</v>
      </c>
      <c r="AK67" s="503">
        <f>IF(終値!A67="","",IFERROR(4*STDEVP(終値!AN67:BG67)/AVERAGE(終値!AN67:BG67),""))</f>
        <v>6.4491493571855241E-2</v>
      </c>
      <c r="AL67" s="503">
        <f>IF(終値!A67="","",IFERROR(4*STDEVP(終値!AO67:BH67)/AVERAGE(終値!AO67:BH67),""))</f>
        <v>6.4637096567565694E-2</v>
      </c>
      <c r="AM67" s="503">
        <f>IF(終値!A67="","",IFERROR(4*STDEVP(終値!AP67:BI67)/AVERAGE(終値!AP67:BI67),""))</f>
        <v>7.5736043488670843E-2</v>
      </c>
      <c r="AN67" s="503">
        <f>IF(終値!A67="","",IFERROR(4*STDEVP(終値!AQ67:BJ67)/AVERAGE(終値!AQ67:BJ67),""))</f>
        <v>0.17199475078209792</v>
      </c>
      <c r="AO67" s="503">
        <f>IF(終値!A67="","",IFERROR(4*STDEVP(終値!AR67:BK67)/AVERAGE(終値!AR67:BK67),""))</f>
        <v>0.20808567254010932</v>
      </c>
      <c r="AP67" s="503">
        <f>IF(終値!A67="","",IFERROR(4*STDEVP(終値!AS67:BL67)/AVERAGE(終値!AS67:BL67),""))</f>
        <v>0.2353815845272838</v>
      </c>
    </row>
    <row r="68" spans="1:42">
      <c r="A68" s="500" t="str">
        <f>IF(終値!A68="","",終値!A68)</f>
        <v>6503</v>
      </c>
      <c r="B68" s="503">
        <f>IF(終値!A68="","",IFERROR(4*STDEVP(終値!E68:X68)/AVERAGE(終値!E68:X68),""))</f>
        <v>0.13931197087690544</v>
      </c>
      <c r="C68" s="503">
        <f>IF(終値!A68="","",IFERROR(4*STDEVP(終値!F68:Y68)/AVERAGE(終値!F68:Y68),""))</f>
        <v>0.14302710395244136</v>
      </c>
      <c r="D68" s="503">
        <f>IF(終値!A68="","",IFERROR(4*STDEVP(終値!G68:Z68)/AVERAGE(終値!G68:Z68),""))</f>
        <v>0.15295795178837129</v>
      </c>
      <c r="E68" s="503">
        <f>IF(終値!A68="","",IFERROR(4*STDEVP(終値!H68:AA68)/AVERAGE(終値!H68:AA68),""))</f>
        <v>0.15945733966458853</v>
      </c>
      <c r="F68" s="503">
        <f>IF(終値!A68="","",IFERROR(4*STDEVP(終値!I68:AB68)/AVERAGE(終値!I68:AB68),""))</f>
        <v>0.16225988256718055</v>
      </c>
      <c r="G68" s="503">
        <f>IF(終値!A68="","",IFERROR(4*STDEVP(終値!J68:AC68)/AVERAGE(終値!J68:AC68),""))</f>
        <v>0.16746334693703485</v>
      </c>
      <c r="H68" s="503">
        <f>IF(終値!A68="","",IFERROR(4*STDEVP(終値!K68:AD68)/AVERAGE(終値!K68:AD68),""))</f>
        <v>0.15823562003190775</v>
      </c>
      <c r="I68" s="503">
        <f>IF(終値!A68="","",IFERROR(4*STDEVP(終値!L68:AE68)/AVERAGE(終値!L68:AE68),""))</f>
        <v>0.13293183349055676</v>
      </c>
      <c r="J68" s="503">
        <f>IF(終値!A68="","",IFERROR(4*STDEVP(終値!M68:AF68)/AVERAGE(終値!M68:AF68),""))</f>
        <v>0.11446673352615543</v>
      </c>
      <c r="K68" s="503">
        <f>IF(終値!A68="","",IFERROR(4*STDEVP(終値!N68:AG68)/AVERAGE(終値!N68:AG68),""))</f>
        <v>0.11725931698435674</v>
      </c>
      <c r="L68" s="503">
        <f>IF(終値!A68="","",IFERROR(4*STDEVP(終値!O68:AH68)/AVERAGE(終値!O68:AH68),""))</f>
        <v>0.11824801989616171</v>
      </c>
      <c r="M68" s="503">
        <f>IF(終値!A68="","",IFERROR(4*STDEVP(終値!P68:AI68)/AVERAGE(終値!P68:AI68),""))</f>
        <v>0.12562121490543071</v>
      </c>
      <c r="N68" s="503">
        <f>IF(終値!A68="","",IFERROR(4*STDEVP(終値!Q68:AJ68)/AVERAGE(終値!Q68:AJ68),""))</f>
        <v>0.13204853680054796</v>
      </c>
      <c r="O68" s="503">
        <f>IF(終値!A68="","",IFERROR(4*STDEVP(終値!R68:AK68)/AVERAGE(終値!R68:AK68),""))</f>
        <v>0.128191888713308</v>
      </c>
      <c r="P68" s="503">
        <f>IF(終値!A68="","",IFERROR(4*STDEVP(終値!S68:AL68)/AVERAGE(終値!S68:AL68),""))</f>
        <v>0.10327875054567487</v>
      </c>
      <c r="Q68" s="503">
        <f>IF(終値!A68="","",IFERROR(4*STDEVP(終値!T68:AM68)/AVERAGE(終値!T68:AM68),""))</f>
        <v>0.10105301542459488</v>
      </c>
      <c r="R68" s="503">
        <f>IF(終値!A68="","",IFERROR(4*STDEVP(終値!U68:AN68)/AVERAGE(終値!U68:AN68),""))</f>
        <v>8.8165466078541366E-2</v>
      </c>
      <c r="S68" s="503">
        <f>IF(終値!A68="","",IFERROR(4*STDEVP(終値!V68:AO68)/AVERAGE(終値!V68:AO68),""))</f>
        <v>7.7649254195544665E-2</v>
      </c>
      <c r="T68" s="503">
        <f>IF(終値!A68="","",IFERROR(4*STDEVP(終値!W68:AP68)/AVERAGE(終値!W68:AP68),""))</f>
        <v>9.5891520035700464E-2</v>
      </c>
      <c r="U68" s="503">
        <f>IF(終値!A68="","",IFERROR(4*STDEVP(終値!X68:AQ68)/AVERAGE(終値!X68:AQ68),""))</f>
        <v>0.11783068741988231</v>
      </c>
      <c r="V68" s="503">
        <f>IF(終値!A68="","",IFERROR(4*STDEVP(終値!Y68:AR68)/AVERAGE(終値!Y68:AR68),""))</f>
        <v>0.12439712108433232</v>
      </c>
      <c r="W68" s="503">
        <f>IF(終値!A68="","",IFERROR(4*STDEVP(終値!Z68:AS68)/AVERAGE(終値!Z68:AS68),""))</f>
        <v>0.12901811894695531</v>
      </c>
      <c r="X68" s="503">
        <f>IF(終値!A68="","",IFERROR(4*STDEVP(終値!AA68:AT68)/AVERAGE(終値!AA68:AT68),""))</f>
        <v>0.12830254281575529</v>
      </c>
      <c r="Y68" s="503">
        <f>IF(終値!A68="","",IFERROR(4*STDEVP(終値!AB68:AU68)/AVERAGE(終値!AB68:AU68),""))</f>
        <v>0.12838533693472434</v>
      </c>
      <c r="Z68" s="503">
        <f>IF(終値!A68="","",IFERROR(4*STDEVP(終値!AC68:AV68)/AVERAGE(終値!AC68:AV68),""))</f>
        <v>0.13155511349445959</v>
      </c>
      <c r="AA68" s="503">
        <f>IF(終値!A68="","",IFERROR(4*STDEVP(終値!AD68:AW68)/AVERAGE(終値!AD68:AW68),""))</f>
        <v>0.13086705957278869</v>
      </c>
      <c r="AB68" s="503">
        <f>IF(終値!A68="","",IFERROR(4*STDEVP(終値!AE68:AX68)/AVERAGE(終値!AE68:AX68),""))</f>
        <v>0.16282484086368909</v>
      </c>
      <c r="AC68" s="503">
        <f>IF(終値!A68="","",IFERROR(4*STDEVP(終値!AF68:AY68)/AVERAGE(終値!AF68:AY68),""))</f>
        <v>0.18582982115033286</v>
      </c>
      <c r="AD68" s="503">
        <f>IF(終値!A68="","",IFERROR(4*STDEVP(終値!AG68:AZ68)/AVERAGE(終値!AG68:AZ68),""))</f>
        <v>0.19988266999015</v>
      </c>
      <c r="AE68" s="503">
        <f>IF(終値!A68="","",IFERROR(4*STDEVP(終値!AH68:BA68)/AVERAGE(終値!AH68:BA68),""))</f>
        <v>0.21520001294070584</v>
      </c>
      <c r="AF68" s="503">
        <f>IF(終値!A68="","",IFERROR(4*STDEVP(終値!AI68:BB68)/AVERAGE(終値!AI68:BB68),""))</f>
        <v>0.21826009907344626</v>
      </c>
      <c r="AG68" s="503">
        <f>IF(終値!A68="","",IFERROR(4*STDEVP(終値!AJ68:BC68)/AVERAGE(終値!AJ68:BC68),""))</f>
        <v>0.21814701502734282</v>
      </c>
      <c r="AH68" s="503">
        <f>IF(終値!A68="","",IFERROR(4*STDEVP(終値!AK68:BD68)/AVERAGE(終値!AK68:BD68),""))</f>
        <v>0.22154991909833716</v>
      </c>
      <c r="AI68" s="503">
        <f>IF(終値!A68="","",IFERROR(4*STDEVP(終値!AL68:BE68)/AVERAGE(終値!AL68:BE68),""))</f>
        <v>0.22153728825683727</v>
      </c>
      <c r="AJ68" s="503">
        <f>IF(終値!A68="","",IFERROR(4*STDEVP(終値!AM68:BF68)/AVERAGE(終値!AM68:BF68),""))</f>
        <v>0.22630815124970935</v>
      </c>
      <c r="AK68" s="503">
        <f>IF(終値!A68="","",IFERROR(4*STDEVP(終値!AN68:BG68)/AVERAGE(終値!AN68:BG68),""))</f>
        <v>0.23050550308529974</v>
      </c>
      <c r="AL68" s="503">
        <f>IF(終値!A68="","",IFERROR(4*STDEVP(終値!AO68:BH68)/AVERAGE(終値!AO68:BH68),""))</f>
        <v>0.2339292652284678</v>
      </c>
      <c r="AM68" s="503">
        <f>IF(終値!A68="","",IFERROR(4*STDEVP(終値!AP68:BI68)/AVERAGE(終値!AP68:BI68),""))</f>
        <v>0.23638053183081559</v>
      </c>
      <c r="AN68" s="503">
        <f>IF(終値!A68="","",IFERROR(4*STDEVP(終値!AQ68:BJ68)/AVERAGE(終値!AQ68:BJ68),""))</f>
        <v>0.22137727236443139</v>
      </c>
      <c r="AO68" s="503">
        <f>IF(終値!A68="","",IFERROR(4*STDEVP(終値!AR68:BK68)/AVERAGE(終値!AR68:BK68),""))</f>
        <v>0.19626496557286519</v>
      </c>
      <c r="AP68" s="503">
        <f>IF(終値!A68="","",IFERROR(4*STDEVP(終値!AS68:BL68)/AVERAGE(終値!AS68:BL68),""))</f>
        <v>0.17407281643942329</v>
      </c>
    </row>
    <row r="69" spans="1:42">
      <c r="A69" s="500" t="str">
        <f>IF(終値!A69="","",終値!A69)</f>
        <v>4980</v>
      </c>
      <c r="B69" s="503">
        <f>IF(終値!A69="","",IFERROR(4*STDEVP(終値!E69:X69)/AVERAGE(終値!E69:X69),""))</f>
        <v>0.350684455390815</v>
      </c>
      <c r="C69" s="503">
        <f>IF(終値!A69="","",IFERROR(4*STDEVP(終値!F69:Y69)/AVERAGE(終値!F69:Y69),""))</f>
        <v>0.33914004313779844</v>
      </c>
      <c r="D69" s="503">
        <f>IF(終値!A69="","",IFERROR(4*STDEVP(終値!G69:Z69)/AVERAGE(終値!G69:Z69),""))</f>
        <v>0.35492151569335006</v>
      </c>
      <c r="E69" s="503">
        <f>IF(終値!A69="","",IFERROR(4*STDEVP(終値!H69:AA69)/AVERAGE(終値!H69:AA69),""))</f>
        <v>0.37495558958852732</v>
      </c>
      <c r="F69" s="503">
        <f>IF(終値!A69="","",IFERROR(4*STDEVP(終値!I69:AB69)/AVERAGE(終値!I69:AB69),""))</f>
        <v>0.36541614495320057</v>
      </c>
      <c r="G69" s="503">
        <f>IF(終値!A69="","",IFERROR(4*STDEVP(終値!J69:AC69)/AVERAGE(終値!J69:AC69),""))</f>
        <v>0.35690761740074756</v>
      </c>
      <c r="H69" s="503">
        <f>IF(終値!A69="","",IFERROR(4*STDEVP(終値!K69:AD69)/AVERAGE(終値!K69:AD69),""))</f>
        <v>0.32714440348843116</v>
      </c>
      <c r="I69" s="503">
        <f>IF(終値!A69="","",IFERROR(4*STDEVP(終値!L69:AE69)/AVERAGE(終値!L69:AE69),""))</f>
        <v>0.28627171725288258</v>
      </c>
      <c r="J69" s="503">
        <f>IF(終値!A69="","",IFERROR(4*STDEVP(終値!M69:AF69)/AVERAGE(終値!M69:AF69),""))</f>
        <v>0.2718824680449754</v>
      </c>
      <c r="K69" s="503">
        <f>IF(終値!A69="","",IFERROR(4*STDEVP(終値!N69:AG69)/AVERAGE(終値!N69:AG69),""))</f>
        <v>0.33950875685858889</v>
      </c>
      <c r="L69" s="503">
        <f>IF(終値!A69="","",IFERROR(4*STDEVP(終値!O69:AH69)/AVERAGE(終値!O69:AH69),""))</f>
        <v>0.36896498978211262</v>
      </c>
      <c r="M69" s="503">
        <f>IF(終値!A69="","",IFERROR(4*STDEVP(終値!P69:AI69)/AVERAGE(終値!P69:AI69),""))</f>
        <v>0.3815361315670418</v>
      </c>
      <c r="N69" s="503">
        <f>IF(終値!A69="","",IFERROR(4*STDEVP(終値!Q69:AJ69)/AVERAGE(終値!Q69:AJ69),""))</f>
        <v>0.39194309511282449</v>
      </c>
      <c r="O69" s="503">
        <f>IF(終値!A69="","",IFERROR(4*STDEVP(終値!R69:AK69)/AVERAGE(終値!R69:AK69),""))</f>
        <v>0.38250085656712379</v>
      </c>
      <c r="P69" s="503">
        <f>IF(終値!A69="","",IFERROR(4*STDEVP(終値!S69:AL69)/AVERAGE(終値!S69:AL69),""))</f>
        <v>0.34613550386840797</v>
      </c>
      <c r="Q69" s="503">
        <f>IF(終値!A69="","",IFERROR(4*STDEVP(終値!T69:AM69)/AVERAGE(終値!T69:AM69),""))</f>
        <v>0.33577476114137966</v>
      </c>
      <c r="R69" s="503">
        <f>IF(終値!A69="","",IFERROR(4*STDEVP(終値!U69:AN69)/AVERAGE(終値!U69:AN69),""))</f>
        <v>0.32120852392987126</v>
      </c>
      <c r="S69" s="503">
        <f>IF(終値!A69="","",IFERROR(4*STDEVP(終値!V69:AO69)/AVERAGE(終値!V69:AO69),""))</f>
        <v>0.30461690257869245</v>
      </c>
      <c r="T69" s="503">
        <f>IF(終値!A69="","",IFERROR(4*STDEVP(終値!W69:AP69)/AVERAGE(終値!W69:AP69),""))</f>
        <v>0.3106520623532894</v>
      </c>
      <c r="U69" s="503">
        <f>IF(終値!A69="","",IFERROR(4*STDEVP(終値!X69:AQ69)/AVERAGE(終値!X69:AQ69),""))</f>
        <v>0.32731163966352189</v>
      </c>
      <c r="V69" s="503">
        <f>IF(終値!A69="","",IFERROR(4*STDEVP(終値!Y69:AR69)/AVERAGE(終値!Y69:AR69),""))</f>
        <v>0.34769819754019493</v>
      </c>
      <c r="W69" s="503">
        <f>IF(終値!A69="","",IFERROR(4*STDEVP(終値!Z69:AS69)/AVERAGE(終値!Z69:AS69),""))</f>
        <v>0.35394409304142821</v>
      </c>
      <c r="X69" s="503">
        <f>IF(終値!A69="","",IFERROR(4*STDEVP(終値!AA69:AT69)/AVERAGE(終値!AA69:AT69),""))</f>
        <v>0.35248141397134269</v>
      </c>
      <c r="Y69" s="503">
        <f>IF(終値!A69="","",IFERROR(4*STDEVP(終値!AB69:AU69)/AVERAGE(終値!AB69:AU69),""))</f>
        <v>0.35224791177738707</v>
      </c>
      <c r="Z69" s="503">
        <f>IF(終値!A69="","",IFERROR(4*STDEVP(終値!AC69:AV69)/AVERAGE(終値!AC69:AV69),""))</f>
        <v>0.34489716458199393</v>
      </c>
      <c r="AA69" s="503">
        <f>IF(終値!A69="","",IFERROR(4*STDEVP(終値!AD69:AW69)/AVERAGE(終値!AD69:AW69),""))</f>
        <v>0.34084313842909908</v>
      </c>
      <c r="AB69" s="503">
        <f>IF(終値!A69="","",IFERROR(4*STDEVP(終値!AE69:AX69)/AVERAGE(終値!AE69:AX69),""))</f>
        <v>0.3490186950325197</v>
      </c>
      <c r="AC69" s="503">
        <f>IF(終値!A69="","",IFERROR(4*STDEVP(終値!AF69:AY69)/AVERAGE(終値!AF69:AY69),""))</f>
        <v>0.35773953427431399</v>
      </c>
      <c r="AD69" s="503">
        <f>IF(終値!A69="","",IFERROR(4*STDEVP(終値!AG69:AZ69)/AVERAGE(終値!AG69:AZ69),""))</f>
        <v>0.36637332522308413</v>
      </c>
      <c r="AE69" s="503">
        <f>IF(終値!A69="","",IFERROR(4*STDEVP(終値!AH69:BA69)/AVERAGE(終値!AH69:BA69),""))</f>
        <v>0.34513788550488961</v>
      </c>
      <c r="AF69" s="503">
        <f>IF(終値!A69="","",IFERROR(4*STDEVP(終値!AI69:BB69)/AVERAGE(終値!AI69:BB69),""))</f>
        <v>0.32776625378758073</v>
      </c>
      <c r="AG69" s="503">
        <f>IF(終値!A69="","",IFERROR(4*STDEVP(終値!AJ69:BC69)/AVERAGE(終値!AJ69:BC69),""))</f>
        <v>0.31383604358400191</v>
      </c>
      <c r="AH69" s="503">
        <f>IF(終値!A69="","",IFERROR(4*STDEVP(終値!AK69:BD69)/AVERAGE(終値!AK69:BD69),""))</f>
        <v>0.30342216921224252</v>
      </c>
      <c r="AI69" s="503">
        <f>IF(終値!A69="","",IFERROR(4*STDEVP(終値!AL69:BE69)/AVERAGE(終値!AL69:BE69),""))</f>
        <v>0.28151412976228968</v>
      </c>
      <c r="AJ69" s="503">
        <f>IF(終値!A69="","",IFERROR(4*STDEVP(終値!AM69:BF69)/AVERAGE(終値!AM69:BF69),""))</f>
        <v>0.26029838710200259</v>
      </c>
      <c r="AK69" s="503">
        <f>IF(終値!A69="","",IFERROR(4*STDEVP(終値!AN69:BG69)/AVERAGE(終値!AN69:BG69),""))</f>
        <v>0.24909525539194965</v>
      </c>
      <c r="AL69" s="503">
        <f>IF(終値!A69="","",IFERROR(4*STDEVP(終値!AO69:BH69)/AVERAGE(終値!AO69:BH69),""))</f>
        <v>0.30761448345988607</v>
      </c>
      <c r="AM69" s="503">
        <f>IF(終値!A69="","",IFERROR(4*STDEVP(終値!AP69:BI69)/AVERAGE(終値!AP69:BI69),""))</f>
        <v>0.43329085630511316</v>
      </c>
      <c r="AN69" s="503">
        <f>IF(終値!A69="","",IFERROR(4*STDEVP(終値!AQ69:BJ69)/AVERAGE(終値!AQ69:BJ69),""))</f>
        <v>0.52503697454771558</v>
      </c>
      <c r="AO69" s="503">
        <f>IF(終値!A69="","",IFERROR(4*STDEVP(終値!AR69:BK69)/AVERAGE(終値!AR69:BK69),""))</f>
        <v>0.59310468076213918</v>
      </c>
      <c r="AP69" s="503">
        <f>IF(終値!A69="","",IFERROR(4*STDEVP(終値!AS69:BL69)/AVERAGE(終値!AS69:BL69),""))</f>
        <v>0.65328727808712328</v>
      </c>
    </row>
    <row r="70" spans="1:42">
      <c r="A70" s="500" t="str">
        <f>IF(終値!A70="","",終値!A70)</f>
        <v>9424</v>
      </c>
      <c r="B70" s="503">
        <f>IF(終値!A70="","",IFERROR(4*STDEVP(終値!E70:X70)/AVERAGE(終値!E70:X70),""))</f>
        <v>6.2300552851581217E-2</v>
      </c>
      <c r="C70" s="503">
        <f>IF(終値!A70="","",IFERROR(4*STDEVP(終値!F70:Y70)/AVERAGE(終値!F70:Y70),""))</f>
        <v>6.4090686681549588E-2</v>
      </c>
      <c r="D70" s="503">
        <f>IF(終値!A70="","",IFERROR(4*STDEVP(終値!G70:Z70)/AVERAGE(終値!G70:Z70),""))</f>
        <v>6.56297968395161E-2</v>
      </c>
      <c r="E70" s="503">
        <f>IF(終値!A70="","",IFERROR(4*STDEVP(終値!H70:AA70)/AVERAGE(終値!H70:AA70),""))</f>
        <v>7.437320109378194E-2</v>
      </c>
      <c r="F70" s="503">
        <f>IF(終値!A70="","",IFERROR(4*STDEVP(終値!I70:AB70)/AVERAGE(終値!I70:AB70),""))</f>
        <v>8.2435580195697952E-2</v>
      </c>
      <c r="G70" s="503">
        <f>IF(終値!A70="","",IFERROR(4*STDEVP(終値!J70:AC70)/AVERAGE(終値!J70:AC70),""))</f>
        <v>0.10344035099408967</v>
      </c>
      <c r="H70" s="503">
        <f>IF(終値!A70="","",IFERROR(4*STDEVP(終値!K70:AD70)/AVERAGE(終値!K70:AD70),""))</f>
        <v>0.107289065593132</v>
      </c>
      <c r="I70" s="503">
        <f>IF(終値!A70="","",IFERROR(4*STDEVP(終値!L70:AE70)/AVERAGE(終値!L70:AE70),""))</f>
        <v>0.11109515031075426</v>
      </c>
      <c r="J70" s="503">
        <f>IF(終値!A70="","",IFERROR(4*STDEVP(終値!M70:AF70)/AVERAGE(終値!M70:AF70),""))</f>
        <v>0.11773452480991166</v>
      </c>
      <c r="K70" s="503">
        <f>IF(終値!A70="","",IFERROR(4*STDEVP(終値!N70:AG70)/AVERAGE(終値!N70:AG70),""))</f>
        <v>0.12147816447594376</v>
      </c>
      <c r="L70" s="503">
        <f>IF(終値!A70="","",IFERROR(4*STDEVP(終値!O70:AH70)/AVERAGE(終値!O70:AH70),""))</f>
        <v>0.12304077113353057</v>
      </c>
      <c r="M70" s="503">
        <f>IF(終値!A70="","",IFERROR(4*STDEVP(終値!P70:AI70)/AVERAGE(終値!P70:AI70),""))</f>
        <v>0.12677727040902501</v>
      </c>
      <c r="N70" s="503">
        <f>IF(終値!A70="","",IFERROR(4*STDEVP(終値!Q70:AJ70)/AVERAGE(終値!Q70:AJ70),""))</f>
        <v>0.12677727040902501</v>
      </c>
      <c r="O70" s="503">
        <f>IF(終値!A70="","",IFERROR(4*STDEVP(終値!R70:AK70)/AVERAGE(終値!R70:AK70),""))</f>
        <v>0.12339039500348629</v>
      </c>
      <c r="P70" s="503">
        <f>IF(終値!A70="","",IFERROR(4*STDEVP(終値!S70:AL70)/AVERAGE(終値!S70:AL70),""))</f>
        <v>0.12484848758665434</v>
      </c>
      <c r="Q70" s="503">
        <f>IF(終値!A70="","",IFERROR(4*STDEVP(終値!T70:AM70)/AVERAGE(終値!T70:AM70),""))</f>
        <v>0.11532693083854474</v>
      </c>
      <c r="R70" s="503">
        <f>IF(終値!A70="","",IFERROR(4*STDEVP(終値!U70:AN70)/AVERAGE(終値!U70:AN70),""))</f>
        <v>0.11011073985742846</v>
      </c>
      <c r="S70" s="503">
        <f>IF(終値!A70="","",IFERROR(4*STDEVP(終値!V70:AO70)/AVERAGE(終値!V70:AO70),""))</f>
        <v>0.10240824667634037</v>
      </c>
      <c r="T70" s="503">
        <f>IF(終値!A70="","",IFERROR(4*STDEVP(終値!W70:AP70)/AVERAGE(終値!W70:AP70),""))</f>
        <v>0.10240824667634035</v>
      </c>
      <c r="U70" s="503">
        <f>IF(終値!A70="","",IFERROR(4*STDEVP(終値!X70:AQ70)/AVERAGE(終値!X70:AQ70),""))</f>
        <v>0.10454060058313383</v>
      </c>
      <c r="V70" s="503">
        <f>IF(終値!A70="","",IFERROR(4*STDEVP(終値!Y70:AR70)/AVERAGE(終値!Y70:AR70),""))</f>
        <v>0.10832909740983993</v>
      </c>
      <c r="W70" s="503">
        <f>IF(終値!A70="","",IFERROR(4*STDEVP(終値!Z70:AS70)/AVERAGE(終値!Z70:AS70),""))</f>
        <v>0.10949852280365013</v>
      </c>
      <c r="X70" s="503">
        <f>IF(終値!A70="","",IFERROR(4*STDEVP(終値!AA70:AT70)/AVERAGE(終値!AA70:AT70),""))</f>
        <v>0.11714229504930319</v>
      </c>
      <c r="Y70" s="503">
        <f>IF(終値!A70="","",IFERROR(4*STDEVP(終値!AB70:AU70)/AVERAGE(終値!AB70:AU70),""))</f>
        <v>0.12059964346437126</v>
      </c>
      <c r="Z70" s="503">
        <f>IF(終値!A70="","",IFERROR(4*STDEVP(終値!AC70:AV70)/AVERAGE(終値!AC70:AV70),""))</f>
        <v>0.1214354215995357</v>
      </c>
      <c r="AA70" s="503">
        <f>IF(終値!A70="","",IFERROR(4*STDEVP(終値!AD70:AW70)/AVERAGE(終値!AD70:AW70),""))</f>
        <v>0.1096698967327322</v>
      </c>
      <c r="AB70" s="503">
        <f>IF(終値!A70="","",IFERROR(4*STDEVP(終値!AE70:AX70)/AVERAGE(終値!AE70:AX70),""))</f>
        <v>0.10534200859823303</v>
      </c>
      <c r="AC70" s="503">
        <f>IF(終値!A70="","",IFERROR(4*STDEVP(終値!AF70:AY70)/AVERAGE(終値!AF70:AY70),""))</f>
        <v>0.10212236410690501</v>
      </c>
      <c r="AD70" s="503">
        <f>IF(終値!A70="","",IFERROR(4*STDEVP(終値!AG70:AZ70)/AVERAGE(終値!AG70:AZ70),""))</f>
        <v>9.3778730911831865E-2</v>
      </c>
      <c r="AE70" s="503">
        <f>IF(終値!A70="","",IFERROR(4*STDEVP(終値!AH70:BA70)/AVERAGE(終値!AH70:BA70),""))</f>
        <v>9.6857356033481362E-2</v>
      </c>
      <c r="AF70" s="503">
        <f>IF(終値!A70="","",IFERROR(4*STDEVP(終値!AI70:BB70)/AVERAGE(終値!AI70:BB70),""))</f>
        <v>0.10773069351474396</v>
      </c>
      <c r="AG70" s="503">
        <f>IF(終値!A70="","",IFERROR(4*STDEVP(終値!AJ70:BC70)/AVERAGE(終値!AJ70:BC70),""))</f>
        <v>9.9290450432030886E-2</v>
      </c>
      <c r="AH70" s="503">
        <f>IF(終値!A70="","",IFERROR(4*STDEVP(終値!AK70:BD70)/AVERAGE(終値!AK70:BD70),""))</f>
        <v>0.10980920005942965</v>
      </c>
      <c r="AI70" s="503">
        <f>IF(終値!A70="","",IFERROR(4*STDEVP(終値!AL70:BE70)/AVERAGE(終値!AL70:BE70),""))</f>
        <v>0.12534267332068938</v>
      </c>
      <c r="AJ70" s="503">
        <f>IF(終値!A70="","",IFERROR(4*STDEVP(終値!AM70:BF70)/AVERAGE(終値!AM70:BF70),""))</f>
        <v>0.12960446600704828</v>
      </c>
      <c r="AK70" s="503">
        <f>IF(終値!A70="","",IFERROR(4*STDEVP(終値!AN70:BG70)/AVERAGE(終値!AN70:BG70),""))</f>
        <v>0.14094865600652676</v>
      </c>
      <c r="AL70" s="503">
        <f>IF(終値!A70="","",IFERROR(4*STDEVP(終値!AO70:BH70)/AVERAGE(終値!AO70:BH70),""))</f>
        <v>0.14790172032141558</v>
      </c>
      <c r="AM70" s="503">
        <f>IF(終値!A70="","",IFERROR(4*STDEVP(終値!AP70:BI70)/AVERAGE(終値!AP70:BI70),""))</f>
        <v>0.15334942593559167</v>
      </c>
      <c r="AN70" s="503">
        <f>IF(終値!A70="","",IFERROR(4*STDEVP(終値!AQ70:BJ70)/AVERAGE(終値!AQ70:BJ70),""))</f>
        <v>0.15833652066516701</v>
      </c>
      <c r="AO70" s="503">
        <f>IF(終値!A70="","",IFERROR(4*STDEVP(終値!AR70:BK70)/AVERAGE(終値!AR70:BK70),""))</f>
        <v>0.16530512129602634</v>
      </c>
      <c r="AP70" s="503">
        <f>IF(終値!A70="","",IFERROR(4*STDEVP(終値!AS70:BL70)/AVERAGE(終値!AS70:BL70),""))</f>
        <v>0.16799470891138871</v>
      </c>
    </row>
    <row r="71" spans="1:42">
      <c r="A71" s="500" t="str">
        <f>IF(終値!A71="","",終値!A71)</f>
        <v>3854</v>
      </c>
      <c r="B71" s="503">
        <f>IF(終値!A71="","",IFERROR(4*STDEVP(終値!E71:X71)/AVERAGE(終値!E71:X71),""))</f>
        <v>0.14282405924493283</v>
      </c>
      <c r="C71" s="503">
        <f>IF(終値!A71="","",IFERROR(4*STDEVP(終値!F71:Y71)/AVERAGE(終値!F71:Y71),""))</f>
        <v>0.14447962144318643</v>
      </c>
      <c r="D71" s="503">
        <f>IF(終値!A71="","",IFERROR(4*STDEVP(終値!G71:Z71)/AVERAGE(終値!G71:Z71),""))</f>
        <v>0.13396720922269159</v>
      </c>
      <c r="E71" s="503">
        <f>IF(終値!A71="","",IFERROR(4*STDEVP(終値!H71:AA71)/AVERAGE(終値!H71:AA71),""))</f>
        <v>0.12396097318427626</v>
      </c>
      <c r="F71" s="503">
        <f>IF(終値!A71="","",IFERROR(4*STDEVP(終値!I71:AB71)/AVERAGE(終値!I71:AB71),""))</f>
        <v>0.11997005423603728</v>
      </c>
      <c r="G71" s="503">
        <f>IF(終値!A71="","",IFERROR(4*STDEVP(終値!J71:AC71)/AVERAGE(終値!J71:AC71),""))</f>
        <v>0.12438145022710732</v>
      </c>
      <c r="H71" s="503">
        <f>IF(終値!A71="","",IFERROR(4*STDEVP(終値!K71:AD71)/AVERAGE(終値!K71:AD71),""))</f>
        <v>0.13386469384301186</v>
      </c>
      <c r="I71" s="503">
        <f>IF(終値!A71="","",IFERROR(4*STDEVP(終値!L71:AE71)/AVERAGE(終値!L71:AE71),""))</f>
        <v>0.14398407088318241</v>
      </c>
      <c r="J71" s="503">
        <f>IF(終値!A71="","",IFERROR(4*STDEVP(終値!M71:AF71)/AVERAGE(終値!M71:AF71),""))</f>
        <v>0.15945834988735488</v>
      </c>
      <c r="K71" s="503">
        <f>IF(終値!A71="","",IFERROR(4*STDEVP(終値!N71:AG71)/AVERAGE(終値!N71:AG71),""))</f>
        <v>0.1754862128270934</v>
      </c>
      <c r="L71" s="503">
        <f>IF(終値!A71="","",IFERROR(4*STDEVP(終値!O71:AH71)/AVERAGE(終値!O71:AH71),""))</f>
        <v>0.18306654661455821</v>
      </c>
      <c r="M71" s="503">
        <f>IF(終値!A71="","",IFERROR(4*STDEVP(終値!P71:AI71)/AVERAGE(終値!P71:AI71),""))</f>
        <v>0.19153359691901395</v>
      </c>
      <c r="N71" s="503">
        <f>IF(終値!A71="","",IFERROR(4*STDEVP(終値!Q71:AJ71)/AVERAGE(終値!Q71:AJ71),""))</f>
        <v>0.19849579677890825</v>
      </c>
      <c r="O71" s="503">
        <f>IF(終値!A71="","",IFERROR(4*STDEVP(終値!R71:AK71)/AVERAGE(終値!R71:AK71),""))</f>
        <v>0.20345171964862055</v>
      </c>
      <c r="P71" s="503">
        <f>IF(終値!A71="","",IFERROR(4*STDEVP(終値!S71:AL71)/AVERAGE(終値!S71:AL71),""))</f>
        <v>0.20616464404701579</v>
      </c>
      <c r="Q71" s="503">
        <f>IF(終値!A71="","",IFERROR(4*STDEVP(終値!T71:AM71)/AVERAGE(終値!T71:AM71),""))</f>
        <v>0.20494340832392272</v>
      </c>
      <c r="R71" s="503">
        <f>IF(終値!A71="","",IFERROR(4*STDEVP(終値!U71:AN71)/AVERAGE(終値!U71:AN71),""))</f>
        <v>0.20457800175847407</v>
      </c>
      <c r="S71" s="503">
        <f>IF(終値!A71="","",IFERROR(4*STDEVP(終値!V71:AO71)/AVERAGE(終値!V71:AO71),""))</f>
        <v>0.19645496235591717</v>
      </c>
      <c r="T71" s="503">
        <f>IF(終値!A71="","",IFERROR(4*STDEVP(終値!W71:AP71)/AVERAGE(終値!W71:AP71),""))</f>
        <v>0.18550534255866949</v>
      </c>
      <c r="U71" s="503">
        <f>IF(終値!A71="","",IFERROR(4*STDEVP(終値!X71:AQ71)/AVERAGE(終値!X71:AQ71),""))</f>
        <v>0.17107976916168338</v>
      </c>
      <c r="V71" s="503">
        <f>IF(終値!A71="","",IFERROR(4*STDEVP(終値!Y71:AR71)/AVERAGE(終値!Y71:AR71),""))</f>
        <v>0.15842709040459416</v>
      </c>
      <c r="W71" s="503">
        <f>IF(終値!A71="","",IFERROR(4*STDEVP(終値!Z71:AS71)/AVERAGE(終値!Z71:AS71),""))</f>
        <v>0.15435862939084216</v>
      </c>
      <c r="X71" s="503">
        <f>IF(終値!A71="","",IFERROR(4*STDEVP(終値!AA71:AT71)/AVERAGE(終値!AA71:AT71),""))</f>
        <v>0.17970138974938502</v>
      </c>
      <c r="Y71" s="503">
        <f>IF(終値!A71="","",IFERROR(4*STDEVP(終値!AB71:AU71)/AVERAGE(終値!AB71:AU71),""))</f>
        <v>0.19855515369610779</v>
      </c>
      <c r="Z71" s="503">
        <f>IF(終値!A71="","",IFERROR(4*STDEVP(終値!AC71:AV71)/AVERAGE(終値!AC71:AV71),""))</f>
        <v>0.23913377847707334</v>
      </c>
      <c r="AA71" s="503">
        <f>IF(終値!A71="","",IFERROR(4*STDEVP(終値!AD71:AW71)/AVERAGE(終値!AD71:AW71),""))</f>
        <v>0.27176517050735732</v>
      </c>
      <c r="AB71" s="503">
        <f>IF(終値!A71="","",IFERROR(4*STDEVP(終値!AE71:AX71)/AVERAGE(終値!AE71:AX71),""))</f>
        <v>0.28536606910641787</v>
      </c>
      <c r="AC71" s="503">
        <f>IF(終値!A71="","",IFERROR(4*STDEVP(終値!AF71:AY71)/AVERAGE(終値!AF71:AY71),""))</f>
        <v>0.29626665632109889</v>
      </c>
      <c r="AD71" s="503">
        <f>IF(終値!A71="","",IFERROR(4*STDEVP(終値!AG71:AZ71)/AVERAGE(終値!AG71:AZ71),""))</f>
        <v>0.29407222405496725</v>
      </c>
      <c r="AE71" s="503">
        <f>IF(終値!A71="","",IFERROR(4*STDEVP(終値!AH71:BA71)/AVERAGE(終値!AH71:BA71),""))</f>
        <v>0.28714671356556576</v>
      </c>
      <c r="AF71" s="503">
        <f>IF(終値!A71="","",IFERROR(4*STDEVP(終値!AI71:BB71)/AVERAGE(終値!AI71:BB71),""))</f>
        <v>0.28381023495329422</v>
      </c>
      <c r="AG71" s="503">
        <f>IF(終値!A71="","",IFERROR(4*STDEVP(終値!AJ71:BC71)/AVERAGE(終値!AJ71:BC71),""))</f>
        <v>0.27049776457923225</v>
      </c>
      <c r="AH71" s="503">
        <f>IF(終値!A71="","",IFERROR(4*STDEVP(終値!AK71:BD71)/AVERAGE(終値!AK71:BD71),""))</f>
        <v>0.25609372973475736</v>
      </c>
      <c r="AI71" s="503">
        <f>IF(終値!A71="","",IFERROR(4*STDEVP(終値!AL71:BE71)/AVERAGE(終値!AL71:BE71),""))</f>
        <v>0.24051322822573876</v>
      </c>
      <c r="AJ71" s="503">
        <f>IF(終値!A71="","",IFERROR(4*STDEVP(終値!AM71:BF71)/AVERAGE(終値!AM71:BF71),""))</f>
        <v>0.2236786323030143</v>
      </c>
      <c r="AK71" s="503">
        <f>IF(終値!A71="","",IFERROR(4*STDEVP(終値!AN71:BG71)/AVERAGE(終値!AN71:BG71),""))</f>
        <v>0.20640478535709816</v>
      </c>
      <c r="AL71" s="503">
        <f>IF(終値!A71="","",IFERROR(4*STDEVP(終値!AO71:BH71)/AVERAGE(終値!AO71:BH71),""))</f>
        <v>0.18831906825678435</v>
      </c>
      <c r="AM71" s="503">
        <f>IF(終値!A71="","",IFERROR(4*STDEVP(終値!AP71:BI71)/AVERAGE(終値!AP71:BI71),""))</f>
        <v>0.16554251540462936</v>
      </c>
      <c r="AN71" s="503">
        <f>IF(終値!A71="","",IFERROR(4*STDEVP(終値!AQ71:BJ71)/AVERAGE(終値!AQ71:BJ71),""))</f>
        <v>0.14303967460564432</v>
      </c>
      <c r="AO71" s="503">
        <f>IF(終値!A71="","",IFERROR(4*STDEVP(終値!AR71:BK71)/AVERAGE(終値!AR71:BK71),""))</f>
        <v>0.13841898678577197</v>
      </c>
      <c r="AP71" s="503">
        <f>IF(終値!A71="","",IFERROR(4*STDEVP(終値!AS71:BL71)/AVERAGE(終値!AS71:BL71),""))</f>
        <v>0.13813653565429992</v>
      </c>
    </row>
    <row r="72" spans="1:42">
      <c r="A72" s="500" t="str">
        <f>IF(終値!A72="","",終値!A72)</f>
        <v>6027</v>
      </c>
      <c r="B72" s="503">
        <f>IF(終値!A72="","",IFERROR(4*STDEVP(終値!E72:X72)/AVERAGE(終値!E72:X72),""))</f>
        <v>0.10269623047630227</v>
      </c>
      <c r="C72" s="503">
        <f>IF(終値!A72="","",IFERROR(4*STDEVP(終値!F72:Y72)/AVERAGE(終値!F72:Y72),""))</f>
        <v>0.10674900422455527</v>
      </c>
      <c r="D72" s="503">
        <f>IF(終値!A72="","",IFERROR(4*STDEVP(終値!G72:Z72)/AVERAGE(終値!G72:Z72),""))</f>
        <v>0.10850143311130261</v>
      </c>
      <c r="E72" s="503">
        <f>IF(終値!A72="","",IFERROR(4*STDEVP(終値!H72:AA72)/AVERAGE(終値!H72:AA72),""))</f>
        <v>0.10915928594533422</v>
      </c>
      <c r="F72" s="503">
        <f>IF(終値!A72="","",IFERROR(4*STDEVP(終値!I72:AB72)/AVERAGE(終値!I72:AB72),""))</f>
        <v>0.11415028950541538</v>
      </c>
      <c r="G72" s="503">
        <f>IF(終値!A72="","",IFERROR(4*STDEVP(終値!J72:AC72)/AVERAGE(終値!J72:AC72),""))</f>
        <v>0.11515290276590101</v>
      </c>
      <c r="H72" s="503">
        <f>IF(終値!A72="","",IFERROR(4*STDEVP(終値!K72:AD72)/AVERAGE(終値!K72:AD72),""))</f>
        <v>0.11937157312640452</v>
      </c>
      <c r="I72" s="503">
        <f>IF(終値!A72="","",IFERROR(4*STDEVP(終値!L72:AE72)/AVERAGE(終値!L72:AE72),""))</f>
        <v>0.11957121838275318</v>
      </c>
      <c r="J72" s="503">
        <f>IF(終値!A72="","",IFERROR(4*STDEVP(終値!M72:AF72)/AVERAGE(終値!M72:AF72),""))</f>
        <v>0.16212133384153071</v>
      </c>
      <c r="K72" s="503">
        <f>IF(終値!A72="","",IFERROR(4*STDEVP(終値!N72:AG72)/AVERAGE(終値!N72:AG72),""))</f>
        <v>0.20402948487662609</v>
      </c>
      <c r="L72" s="503">
        <f>IF(終値!A72="","",IFERROR(4*STDEVP(終値!O72:AH72)/AVERAGE(終値!O72:AH72),""))</f>
        <v>0.22188701813662781</v>
      </c>
      <c r="M72" s="503">
        <f>IF(終値!A72="","",IFERROR(4*STDEVP(終値!P72:AI72)/AVERAGE(終値!P72:AI72),""))</f>
        <v>0.23681627804801594</v>
      </c>
      <c r="N72" s="503">
        <f>IF(終値!A72="","",IFERROR(4*STDEVP(終値!Q72:AJ72)/AVERAGE(終値!Q72:AJ72),""))</f>
        <v>0.24080799404669578</v>
      </c>
      <c r="O72" s="503">
        <f>IF(終値!A72="","",IFERROR(4*STDEVP(終値!R72:AK72)/AVERAGE(終値!R72:AK72),""))</f>
        <v>0.24237214628930154</v>
      </c>
      <c r="P72" s="503">
        <f>IF(終値!A72="","",IFERROR(4*STDEVP(終値!S72:AL72)/AVERAGE(終値!S72:AL72),""))</f>
        <v>0.24862853463106127</v>
      </c>
      <c r="Q72" s="503">
        <f>IF(終値!A72="","",IFERROR(4*STDEVP(終値!T72:AM72)/AVERAGE(終値!T72:AM72),""))</f>
        <v>0.25236489650075566</v>
      </c>
      <c r="R72" s="503">
        <f>IF(終値!A72="","",IFERROR(4*STDEVP(終値!U72:AN72)/AVERAGE(終値!U72:AN72),""))</f>
        <v>0.25513085871554037</v>
      </c>
      <c r="S72" s="503">
        <f>IF(終値!A72="","",IFERROR(4*STDEVP(終値!V72:AO72)/AVERAGE(終値!V72:AO72),""))</f>
        <v>0.26165428610187647</v>
      </c>
      <c r="T72" s="503">
        <f>IF(終値!A72="","",IFERROR(4*STDEVP(終値!W72:AP72)/AVERAGE(終値!W72:AP72),""))</f>
        <v>0.2623980541033813</v>
      </c>
      <c r="U72" s="503">
        <f>IF(終値!A72="","",IFERROR(4*STDEVP(終値!X72:AQ72)/AVERAGE(終値!X72:AQ72),""))</f>
        <v>0.26347637488725573</v>
      </c>
      <c r="V72" s="503">
        <f>IF(終値!A72="","",IFERROR(4*STDEVP(終値!Y72:AR72)/AVERAGE(終値!Y72:AR72),""))</f>
        <v>0.24963639261683171</v>
      </c>
      <c r="W72" s="503">
        <f>IF(終値!A72="","",IFERROR(4*STDEVP(終値!Z72:AS72)/AVERAGE(終値!Z72:AS72),""))</f>
        <v>0.23539301890774569</v>
      </c>
      <c r="X72" s="503">
        <f>IF(終値!A72="","",IFERROR(4*STDEVP(終値!AA72:AT72)/AVERAGE(終値!AA72:AT72),""))</f>
        <v>0.22216407421573109</v>
      </c>
      <c r="Y72" s="503">
        <f>IF(終値!A72="","",IFERROR(4*STDEVP(終値!AB72:AU72)/AVERAGE(終値!AB72:AU72),""))</f>
        <v>0.20699749193095332</v>
      </c>
      <c r="Z72" s="503">
        <f>IF(終値!A72="","",IFERROR(4*STDEVP(終値!AC72:AV72)/AVERAGE(終値!AC72:AV72),""))</f>
        <v>0.17876268700826331</v>
      </c>
      <c r="AA72" s="503">
        <f>IF(終値!A72="","",IFERROR(4*STDEVP(終値!AD72:AW72)/AVERAGE(終値!AD72:AW72),""))</f>
        <v>0.161473499799211</v>
      </c>
      <c r="AB72" s="503">
        <f>IF(終値!A72="","",IFERROR(4*STDEVP(終値!AE72:AX72)/AVERAGE(終値!AE72:AX72),""))</f>
        <v>0.18404332422585948</v>
      </c>
      <c r="AC72" s="503">
        <f>IF(終値!A72="","",IFERROR(4*STDEVP(終値!AF72:AY72)/AVERAGE(終値!AF72:AY72),""))</f>
        <v>0.20873150546662123</v>
      </c>
      <c r="AD72" s="503">
        <f>IF(終値!A72="","",IFERROR(4*STDEVP(終値!AG72:AZ72)/AVERAGE(終値!AG72:AZ72),""))</f>
        <v>0.22690255930296202</v>
      </c>
      <c r="AE72" s="503">
        <f>IF(終値!A72="","",IFERROR(4*STDEVP(終値!AH72:BA72)/AVERAGE(終値!AH72:BA72),""))</f>
        <v>0.25103089849651333</v>
      </c>
      <c r="AF72" s="503">
        <f>IF(終値!A72="","",IFERROR(4*STDEVP(終値!AI72:BB72)/AVERAGE(終値!AI72:BB72),""))</f>
        <v>0.26735726654505415</v>
      </c>
      <c r="AG72" s="503">
        <f>IF(終値!A72="","",IFERROR(4*STDEVP(終値!AJ72:BC72)/AVERAGE(終値!AJ72:BC72),""))</f>
        <v>0.28090662569609604</v>
      </c>
      <c r="AH72" s="503">
        <f>IF(終値!A72="","",IFERROR(4*STDEVP(終値!AK72:BD72)/AVERAGE(終値!AK72:BD72),""))</f>
        <v>0.29811456603569109</v>
      </c>
      <c r="AI72" s="503">
        <f>IF(終値!A72="","",IFERROR(4*STDEVP(終値!AL72:BE72)/AVERAGE(終値!AL72:BE72),""))</f>
        <v>0.34178784916477239</v>
      </c>
      <c r="AJ72" s="503">
        <f>IF(終値!A72="","",IFERROR(4*STDEVP(終値!AM72:BF72)/AVERAGE(終値!AM72:BF72),""))</f>
        <v>0.3659869712982175</v>
      </c>
      <c r="AK72" s="503">
        <f>IF(終値!A72="","",IFERROR(4*STDEVP(終値!AN72:BG72)/AVERAGE(終値!AN72:BG72),""))</f>
        <v>0.37307460196066466</v>
      </c>
      <c r="AL72" s="503">
        <f>IF(終値!A72="","",IFERROR(4*STDEVP(終値!AO72:BH72)/AVERAGE(終値!AO72:BH72),""))</f>
        <v>0.37466499205119663</v>
      </c>
      <c r="AM72" s="503">
        <f>IF(終値!A72="","",IFERROR(4*STDEVP(終値!AP72:BI72)/AVERAGE(終値!AP72:BI72),""))</f>
        <v>0.3640339959909043</v>
      </c>
      <c r="AN72" s="503">
        <f>IF(終値!A72="","",IFERROR(4*STDEVP(終値!AQ72:BJ72)/AVERAGE(終値!AQ72:BJ72),""))</f>
        <v>0.34419139560737755</v>
      </c>
      <c r="AO72" s="503">
        <f>IF(終値!A72="","",IFERROR(4*STDEVP(終値!AR72:BK72)/AVERAGE(終値!AR72:BK72),""))</f>
        <v>0.32277767373687838</v>
      </c>
      <c r="AP72" s="503">
        <f>IF(終値!A72="","",IFERROR(4*STDEVP(終値!AS72:BL72)/AVERAGE(終値!AS72:BL72),""))</f>
        <v>0.30233284818743938</v>
      </c>
    </row>
    <row r="73" spans="1:42">
      <c r="A73" s="500" t="str">
        <f>IF(終値!A73="","",終値!A73)</f>
        <v>7806</v>
      </c>
      <c r="B73" s="503">
        <f>IF(終値!A73="","",IFERROR(4*STDEVP(終値!E73:X73)/AVERAGE(終値!E73:X73),""))</f>
        <v>0.11709957060544716</v>
      </c>
      <c r="C73" s="503">
        <f>IF(終値!A73="","",IFERROR(4*STDEVP(終値!F73:Y73)/AVERAGE(終値!F73:Y73),""))</f>
        <v>0.13330180090422228</v>
      </c>
      <c r="D73" s="503">
        <f>IF(終値!A73="","",IFERROR(4*STDEVP(終値!G73:Z73)/AVERAGE(終値!G73:Z73),""))</f>
        <v>0.14566153806646487</v>
      </c>
      <c r="E73" s="503">
        <f>IF(終値!A73="","",IFERROR(4*STDEVP(終値!H73:AA73)/AVERAGE(終値!H73:AA73),""))</f>
        <v>0.15139131980780252</v>
      </c>
      <c r="F73" s="503">
        <f>IF(終値!A73="","",IFERROR(4*STDEVP(終値!I73:AB73)/AVERAGE(終値!I73:AB73),""))</f>
        <v>0.15219478403795259</v>
      </c>
      <c r="G73" s="503">
        <f>IF(終値!A73="","",IFERROR(4*STDEVP(終値!J73:AC73)/AVERAGE(終値!J73:AC73),""))</f>
        <v>0.15311643037020842</v>
      </c>
      <c r="H73" s="503">
        <f>IF(終値!A73="","",IFERROR(4*STDEVP(終値!K73:AD73)/AVERAGE(終値!K73:AD73),""))</f>
        <v>0.14378662904354722</v>
      </c>
      <c r="I73" s="503">
        <f>IF(終値!A73="","",IFERROR(4*STDEVP(終値!L73:AE73)/AVERAGE(終値!L73:AE73),""))</f>
        <v>0.13970550251695826</v>
      </c>
      <c r="J73" s="503">
        <f>IF(終値!A73="","",IFERROR(4*STDEVP(終値!M73:AF73)/AVERAGE(終値!M73:AF73),""))</f>
        <v>0.14723836789850761</v>
      </c>
      <c r="K73" s="503">
        <f>IF(終値!A73="","",IFERROR(4*STDEVP(終値!N73:AG73)/AVERAGE(終値!N73:AG73),""))</f>
        <v>0.14904425777809899</v>
      </c>
      <c r="L73" s="503">
        <f>IF(終値!A73="","",IFERROR(4*STDEVP(終値!O73:AH73)/AVERAGE(終値!O73:AH73),""))</f>
        <v>0.15259830600257479</v>
      </c>
      <c r="M73" s="503">
        <f>IF(終値!A73="","",IFERROR(4*STDEVP(終値!P73:AI73)/AVERAGE(終値!P73:AI73),""))</f>
        <v>0.15544875970748742</v>
      </c>
      <c r="N73" s="503">
        <f>IF(終値!A73="","",IFERROR(4*STDEVP(終値!Q73:AJ73)/AVERAGE(終値!Q73:AJ73),""))</f>
        <v>0.15547767887780489</v>
      </c>
      <c r="O73" s="503">
        <f>IF(終値!A73="","",IFERROR(4*STDEVP(終値!R73:AK73)/AVERAGE(終値!R73:AK73),""))</f>
        <v>0.1521223961122127</v>
      </c>
      <c r="P73" s="503">
        <f>IF(終値!A73="","",IFERROR(4*STDEVP(終値!S73:AL73)/AVERAGE(終値!S73:AL73),""))</f>
        <v>0.15076339887294313</v>
      </c>
      <c r="Q73" s="503">
        <f>IF(終値!A73="","",IFERROR(4*STDEVP(終値!T73:AM73)/AVERAGE(終値!T73:AM73),""))</f>
        <v>0.15511860729408428</v>
      </c>
      <c r="R73" s="503">
        <f>IF(終値!A73="","",IFERROR(4*STDEVP(終値!U73:AN73)/AVERAGE(終値!U73:AN73),""))</f>
        <v>0.15736742660226405</v>
      </c>
      <c r="S73" s="503">
        <f>IF(終値!A73="","",IFERROR(4*STDEVP(終値!V73:AO73)/AVERAGE(終値!V73:AO73),""))</f>
        <v>0.1636318929183167</v>
      </c>
      <c r="T73" s="503">
        <f>IF(終値!A73="","",IFERROR(4*STDEVP(終値!W73:AP73)/AVERAGE(終値!W73:AP73),""))</f>
        <v>0.17537034579167998</v>
      </c>
      <c r="U73" s="503">
        <f>IF(終値!A73="","",IFERROR(4*STDEVP(終値!X73:AQ73)/AVERAGE(終値!X73:AQ73),""))</f>
        <v>0.18241129453583146</v>
      </c>
      <c r="V73" s="503">
        <f>IF(終値!A73="","",IFERROR(4*STDEVP(終値!Y73:AR73)/AVERAGE(終値!Y73:AR73),""))</f>
        <v>0.18098743079427596</v>
      </c>
      <c r="W73" s="503">
        <f>IF(終値!A73="","",IFERROR(4*STDEVP(終値!Z73:AS73)/AVERAGE(終値!Z73:AS73),""))</f>
        <v>0.18551158506165744</v>
      </c>
      <c r="X73" s="503">
        <f>IF(終値!A73="","",IFERROR(4*STDEVP(終値!AA73:AT73)/AVERAGE(終値!AA73:AT73),""))</f>
        <v>0.17921179678084481</v>
      </c>
      <c r="Y73" s="503">
        <f>IF(終値!A73="","",IFERROR(4*STDEVP(終値!AB73:AU73)/AVERAGE(終値!AB73:AU73),""))</f>
        <v>0.17228654342900332</v>
      </c>
      <c r="Z73" s="503">
        <f>IF(終値!A73="","",IFERROR(4*STDEVP(終値!AC73:AV73)/AVERAGE(終値!AC73:AV73),""))</f>
        <v>0.15768170688656935</v>
      </c>
      <c r="AA73" s="503">
        <f>IF(終値!A73="","",IFERROR(4*STDEVP(終値!AD73:AW73)/AVERAGE(終値!AD73:AW73),""))</f>
        <v>0.15944747912906407</v>
      </c>
      <c r="AB73" s="503">
        <f>IF(終値!A73="","",IFERROR(4*STDEVP(終値!AE73:AX73)/AVERAGE(終値!AE73:AX73),""))</f>
        <v>0.16035626549000662</v>
      </c>
      <c r="AC73" s="503">
        <f>IF(終値!A73="","",IFERROR(4*STDEVP(終値!AF73:AY73)/AVERAGE(終値!AF73:AY73),""))</f>
        <v>0.16053844609953438</v>
      </c>
      <c r="AD73" s="503">
        <f>IF(終値!A73="","",IFERROR(4*STDEVP(終値!AG73:AZ73)/AVERAGE(終値!AG73:AZ73),""))</f>
        <v>0.16341433638602457</v>
      </c>
      <c r="AE73" s="503">
        <f>IF(終値!A73="","",IFERROR(4*STDEVP(終値!AH73:BA73)/AVERAGE(終値!AH73:BA73),""))</f>
        <v>0.18954457637253272</v>
      </c>
      <c r="AF73" s="503">
        <f>IF(終値!A73="","",IFERROR(4*STDEVP(終値!AI73:BB73)/AVERAGE(終値!AI73:BB73),""))</f>
        <v>0.22086462599368048</v>
      </c>
      <c r="AG73" s="503">
        <f>IF(終値!A73="","",IFERROR(4*STDEVP(終値!AJ73:BC73)/AVERAGE(終値!AJ73:BC73),""))</f>
        <v>0.23552507468788556</v>
      </c>
      <c r="AH73" s="503">
        <f>IF(終値!A73="","",IFERROR(4*STDEVP(終値!AK73:BD73)/AVERAGE(終値!AK73:BD73),""))</f>
        <v>0.23653255964906969</v>
      </c>
      <c r="AI73" s="503">
        <f>IF(終値!A73="","",IFERROR(4*STDEVP(終値!AL73:BE73)/AVERAGE(終値!AL73:BE73),""))</f>
        <v>0.22608616549034422</v>
      </c>
      <c r="AJ73" s="503">
        <f>IF(終値!A73="","",IFERROR(4*STDEVP(終値!AM73:BF73)/AVERAGE(終値!AM73:BF73),""))</f>
        <v>0.22213993869803622</v>
      </c>
      <c r="AK73" s="503">
        <f>IF(終値!A73="","",IFERROR(4*STDEVP(終値!AN73:BG73)/AVERAGE(終値!AN73:BG73),""))</f>
        <v>0.21614099588521624</v>
      </c>
      <c r="AL73" s="503">
        <f>IF(終値!A73="","",IFERROR(4*STDEVP(終値!AO73:BH73)/AVERAGE(終値!AO73:BH73),""))</f>
        <v>0.21387371245025633</v>
      </c>
      <c r="AM73" s="503">
        <f>IF(終値!A73="","",IFERROR(4*STDEVP(終値!AP73:BI73)/AVERAGE(終値!AP73:BI73),""))</f>
        <v>0.21208074292464552</v>
      </c>
      <c r="AN73" s="503">
        <f>IF(終値!A73="","",IFERROR(4*STDEVP(終値!AQ73:BJ73)/AVERAGE(終値!AQ73:BJ73),""))</f>
        <v>0.21191171367921988</v>
      </c>
      <c r="AO73" s="503">
        <f>IF(終値!A73="","",IFERROR(4*STDEVP(終値!AR73:BK73)/AVERAGE(終値!AR73:BK73),""))</f>
        <v>0.21055580711684657</v>
      </c>
      <c r="AP73" s="503">
        <f>IF(終値!A73="","",IFERROR(4*STDEVP(終値!AS73:BL73)/AVERAGE(終値!AS73:BL73),""))</f>
        <v>0.2174467704385592</v>
      </c>
    </row>
    <row r="74" spans="1:42">
      <c r="A74" s="500" t="str">
        <f>IF(終値!A74="","",終値!A74)</f>
        <v>9202</v>
      </c>
      <c r="B74" s="503">
        <f>IF(終値!A74="","",IFERROR(4*STDEVP(終値!E74:X74)/AVERAGE(終値!E74:X74),""))</f>
        <v>9.0329529531088984E-2</v>
      </c>
      <c r="C74" s="503">
        <f>IF(終値!A74="","",IFERROR(4*STDEVP(終値!F74:Y74)/AVERAGE(終値!F74:Y74),""))</f>
        <v>9.0329529531088984E-2</v>
      </c>
      <c r="D74" s="503">
        <f>IF(終値!A74="","",IFERROR(4*STDEVP(終値!G74:Z74)/AVERAGE(終値!G74:Z74),""))</f>
        <v>9.2629395451910818E-2</v>
      </c>
      <c r="E74" s="503">
        <f>IF(終値!A74="","",IFERROR(4*STDEVP(終値!H74:AA74)/AVERAGE(終値!H74:AA74),""))</f>
        <v>9.4025679180948146E-2</v>
      </c>
      <c r="F74" s="503">
        <f>IF(終値!A74="","",IFERROR(4*STDEVP(終値!I74:AB74)/AVERAGE(終値!I74:AB74),""))</f>
        <v>9.299795123110155E-2</v>
      </c>
      <c r="G74" s="503">
        <f>IF(終値!A74="","",IFERROR(4*STDEVP(終値!J74:AC74)/AVERAGE(終値!J74:AC74),""))</f>
        <v>9.8623792443561537E-2</v>
      </c>
      <c r="H74" s="503">
        <f>IF(終値!A74="","",IFERROR(4*STDEVP(終値!K74:AD74)/AVERAGE(終値!K74:AD74),""))</f>
        <v>9.9764409510814292E-2</v>
      </c>
      <c r="I74" s="503">
        <f>IF(終値!A74="","",IFERROR(4*STDEVP(終値!L74:AE74)/AVERAGE(終値!L74:AE74),""))</f>
        <v>8.915939550974579E-2</v>
      </c>
      <c r="J74" s="503">
        <f>IF(終値!A74="","",IFERROR(4*STDEVP(終値!M74:AF74)/AVERAGE(終値!M74:AF74),""))</f>
        <v>8.6135813517478288E-2</v>
      </c>
      <c r="K74" s="503">
        <f>IF(終値!A74="","",IFERROR(4*STDEVP(終値!N74:AG74)/AVERAGE(終値!N74:AG74),""))</f>
        <v>8.6649947184513895E-2</v>
      </c>
      <c r="L74" s="503">
        <f>IF(終値!A74="","",IFERROR(4*STDEVP(終値!O74:AH74)/AVERAGE(終値!O74:AH74),""))</f>
        <v>8.6561335497352829E-2</v>
      </c>
      <c r="M74" s="503">
        <f>IF(終値!A74="","",IFERROR(4*STDEVP(終値!P74:AI74)/AVERAGE(終値!P74:AI74),""))</f>
        <v>9.2356557020846941E-2</v>
      </c>
      <c r="N74" s="503">
        <f>IF(終値!A74="","",IFERROR(4*STDEVP(終値!Q74:AJ74)/AVERAGE(終値!Q74:AJ74),""))</f>
        <v>9.6636567338139245E-2</v>
      </c>
      <c r="O74" s="503">
        <f>IF(終値!A74="","",IFERROR(4*STDEVP(終値!R74:AK74)/AVERAGE(終値!R74:AK74),""))</f>
        <v>9.8621906694331324E-2</v>
      </c>
      <c r="P74" s="503">
        <f>IF(終値!A74="","",IFERROR(4*STDEVP(終値!S74:AL74)/AVERAGE(終値!S74:AL74),""))</f>
        <v>9.9071873198637153E-2</v>
      </c>
      <c r="Q74" s="503">
        <f>IF(終値!A74="","",IFERROR(4*STDEVP(終値!T74:AM74)/AVERAGE(終値!T74:AM74),""))</f>
        <v>9.8831782631471493E-2</v>
      </c>
      <c r="R74" s="503">
        <f>IF(終値!A74="","",IFERROR(4*STDEVP(終値!U74:AN74)/AVERAGE(終値!U74:AN74),""))</f>
        <v>9.8831782631471493E-2</v>
      </c>
      <c r="S74" s="503">
        <f>IF(終値!A74="","",IFERROR(4*STDEVP(終値!V74:AO74)/AVERAGE(終値!V74:AO74),""))</f>
        <v>9.8902333994264541E-2</v>
      </c>
      <c r="T74" s="503">
        <f>IF(終値!A74="","",IFERROR(4*STDEVP(終値!W74:AP74)/AVERAGE(終値!W74:AP74),""))</f>
        <v>0.11305034101097008</v>
      </c>
      <c r="U74" s="503">
        <f>IF(終値!A74="","",IFERROR(4*STDEVP(終値!X74:AQ74)/AVERAGE(終値!X74:AQ74),""))</f>
        <v>0.12855557893773725</v>
      </c>
      <c r="V74" s="503">
        <f>IF(終値!A74="","",IFERROR(4*STDEVP(終値!Y74:AR74)/AVERAGE(終値!Y74:AR74),""))</f>
        <v>0.13370755940082676</v>
      </c>
      <c r="W74" s="503">
        <f>IF(終値!A74="","",IFERROR(4*STDEVP(終値!Z74:AS74)/AVERAGE(終値!Z74:AS74),""))</f>
        <v>0.13435653640016582</v>
      </c>
      <c r="X74" s="503">
        <f>IF(終値!A74="","",IFERROR(4*STDEVP(終値!AA74:AT74)/AVERAGE(終値!AA74:AT74),""))</f>
        <v>0.1238635898231681</v>
      </c>
      <c r="Y74" s="503">
        <f>IF(終値!A74="","",IFERROR(4*STDEVP(終値!AB74:AU74)/AVERAGE(終値!AB74:AU74),""))</f>
        <v>0.11677649606022933</v>
      </c>
      <c r="Z74" s="503">
        <f>IF(終値!A74="","",IFERROR(4*STDEVP(終値!AC74:AV74)/AVERAGE(終値!AC74:AV74),""))</f>
        <v>0.1122598726167785</v>
      </c>
      <c r="AA74" s="503">
        <f>IF(終値!A74="","",IFERROR(4*STDEVP(終値!AD74:AW74)/AVERAGE(終値!AD74:AW74),""))</f>
        <v>0.11446266422208543</v>
      </c>
      <c r="AB74" s="503">
        <f>IF(終値!A74="","",IFERROR(4*STDEVP(終値!AE74:AX74)/AVERAGE(終値!AE74:AX74),""))</f>
        <v>0.11538354946908908</v>
      </c>
      <c r="AC74" s="503">
        <f>IF(終値!A74="","",IFERROR(4*STDEVP(終値!AF74:AY74)/AVERAGE(終値!AF74:AY74),""))</f>
        <v>0.11337568685264347</v>
      </c>
      <c r="AD74" s="503">
        <f>IF(終値!A74="","",IFERROR(4*STDEVP(終値!AG74:AZ74)/AVERAGE(終値!AG74:AZ74),""))</f>
        <v>0.11076814202484668</v>
      </c>
      <c r="AE74" s="503">
        <f>IF(終値!A74="","",IFERROR(4*STDEVP(終値!AH74:BA74)/AVERAGE(終値!AH74:BA74),""))</f>
        <v>0.10830972079950595</v>
      </c>
      <c r="AF74" s="503">
        <f>IF(終値!A74="","",IFERROR(4*STDEVP(終値!AI74:BB74)/AVERAGE(終値!AI74:BB74),""))</f>
        <v>0.11320904453240738</v>
      </c>
      <c r="AG74" s="503">
        <f>IF(終値!A74="","",IFERROR(4*STDEVP(終値!AJ74:BC74)/AVERAGE(終値!AJ74:BC74),""))</f>
        <v>0.1179090336160229</v>
      </c>
      <c r="AH74" s="503">
        <f>IF(終値!A74="","",IFERROR(4*STDEVP(終値!AK74:BD74)/AVERAGE(終値!AK74:BD74),""))</f>
        <v>0.12816972379332298</v>
      </c>
      <c r="AI74" s="503">
        <f>IF(終値!A74="","",IFERROR(4*STDEVP(終値!AL74:BE74)/AVERAGE(終値!AL74:BE74),""))</f>
        <v>0.13170809091214086</v>
      </c>
      <c r="AJ74" s="503">
        <f>IF(終値!A74="","",IFERROR(4*STDEVP(終値!AM74:BF74)/AVERAGE(終値!AM74:BF74),""))</f>
        <v>0.13311116837521114</v>
      </c>
      <c r="AK74" s="503">
        <f>IF(終値!A74="","",IFERROR(4*STDEVP(終値!AN74:BG74)/AVERAGE(終値!AN74:BG74),""))</f>
        <v>0.12425805258900409</v>
      </c>
      <c r="AL74" s="503">
        <f>IF(終値!A74="","",IFERROR(4*STDEVP(終値!AO74:BH74)/AVERAGE(終値!AO74:BH74),""))</f>
        <v>0.10734371276284101</v>
      </c>
      <c r="AM74" s="503">
        <f>IF(終値!A74="","",IFERROR(4*STDEVP(終値!AP74:BI74)/AVERAGE(終値!AP74:BI74),""))</f>
        <v>9.0682283879903819E-2</v>
      </c>
      <c r="AN74" s="503">
        <f>IF(終値!A74="","",IFERROR(4*STDEVP(終値!AQ74:BJ74)/AVERAGE(終値!AQ74:BJ74),""))</f>
        <v>9.0617714338333225E-2</v>
      </c>
      <c r="AO74" s="503">
        <f>IF(終値!A74="","",IFERROR(4*STDEVP(終値!AR74:BK74)/AVERAGE(終値!AR74:BK74),""))</f>
        <v>9.0726397184837645E-2</v>
      </c>
      <c r="AP74" s="503">
        <f>IF(終値!A74="","",IFERROR(4*STDEVP(終値!AS74:BL74)/AVERAGE(終値!AS74:BL74),""))</f>
        <v>9.1011547068928333E-2</v>
      </c>
    </row>
    <row r="75" spans="1:42">
      <c r="A75" s="500" t="str">
        <f>IF(終値!A75="","",終値!A75)</f>
        <v>7846</v>
      </c>
      <c r="B75" s="503">
        <f>IF(終値!A75="","",IFERROR(4*STDEVP(終値!E75:X75)/AVERAGE(終値!E75:X75),""))</f>
        <v>5.6256982098631093E-2</v>
      </c>
      <c r="C75" s="503">
        <f>IF(終値!A75="","",IFERROR(4*STDEVP(終値!F75:Y75)/AVERAGE(終値!F75:Y75),""))</f>
        <v>6.0009148378645023E-2</v>
      </c>
      <c r="D75" s="503">
        <f>IF(終値!A75="","",IFERROR(4*STDEVP(終値!G75:Z75)/AVERAGE(終値!G75:Z75),""))</f>
        <v>6.3846284344176302E-2</v>
      </c>
      <c r="E75" s="503">
        <f>IF(終値!A75="","",IFERROR(4*STDEVP(終値!H75:AA75)/AVERAGE(終値!H75:AA75),""))</f>
        <v>7.0614455283737776E-2</v>
      </c>
      <c r="F75" s="503">
        <f>IF(終値!A75="","",IFERROR(4*STDEVP(終値!I75:AB75)/AVERAGE(終値!I75:AB75),""))</f>
        <v>7.6848550718414857E-2</v>
      </c>
      <c r="G75" s="503">
        <f>IF(終値!A75="","",IFERROR(4*STDEVP(終値!J75:AC75)/AVERAGE(終値!J75:AC75),""))</f>
        <v>8.6101933646290707E-2</v>
      </c>
      <c r="H75" s="503">
        <f>IF(終値!A75="","",IFERROR(4*STDEVP(終値!K75:AD75)/AVERAGE(終値!K75:AD75),""))</f>
        <v>9.1116705946587273E-2</v>
      </c>
      <c r="I75" s="503">
        <f>IF(終値!A75="","",IFERROR(4*STDEVP(終値!L75:AE75)/AVERAGE(終値!L75:AE75),""))</f>
        <v>8.9162409988131339E-2</v>
      </c>
      <c r="J75" s="503">
        <f>IF(終値!A75="","",IFERROR(4*STDEVP(終値!M75:AF75)/AVERAGE(終値!M75:AF75),""))</f>
        <v>8.6209500835480499E-2</v>
      </c>
      <c r="K75" s="503">
        <f>IF(終値!A75="","",IFERROR(4*STDEVP(終値!N75:AG75)/AVERAGE(終値!N75:AG75),""))</f>
        <v>8.4105302983550984E-2</v>
      </c>
      <c r="L75" s="503">
        <f>IF(終値!A75="","",IFERROR(4*STDEVP(終値!O75:AH75)/AVERAGE(終値!O75:AH75),""))</f>
        <v>9.2792044224295947E-2</v>
      </c>
      <c r="M75" s="503">
        <f>IF(終値!A75="","",IFERROR(4*STDEVP(終値!P75:AI75)/AVERAGE(終値!P75:AI75),""))</f>
        <v>0.10488876189361351</v>
      </c>
      <c r="N75" s="503">
        <f>IF(終値!A75="","",IFERROR(4*STDEVP(終値!Q75:AJ75)/AVERAGE(終値!Q75:AJ75),""))</f>
        <v>0.10984108284303373</v>
      </c>
      <c r="O75" s="503">
        <f>IF(終値!A75="","",IFERROR(4*STDEVP(終値!R75:AK75)/AVERAGE(終値!R75:AK75),""))</f>
        <v>0.11263228066461377</v>
      </c>
      <c r="P75" s="503">
        <f>IF(終値!A75="","",IFERROR(4*STDEVP(終値!S75:AL75)/AVERAGE(終値!S75:AL75),""))</f>
        <v>0.11150304410862959</v>
      </c>
      <c r="Q75" s="503">
        <f>IF(終値!A75="","",IFERROR(4*STDEVP(終値!T75:AM75)/AVERAGE(終値!T75:AM75),""))</f>
        <v>0.10674489452750363</v>
      </c>
      <c r="R75" s="503">
        <f>IF(終値!A75="","",IFERROR(4*STDEVP(終値!U75:AN75)/AVERAGE(終値!U75:AN75),""))</f>
        <v>0.10698981369463045</v>
      </c>
      <c r="S75" s="503">
        <f>IF(終値!A75="","",IFERROR(4*STDEVP(終値!V75:AO75)/AVERAGE(終値!V75:AO75),""))</f>
        <v>0.10639416827570784</v>
      </c>
      <c r="T75" s="503">
        <f>IF(終値!A75="","",IFERROR(4*STDEVP(終値!W75:AP75)/AVERAGE(終値!W75:AP75),""))</f>
        <v>0.10249462420545605</v>
      </c>
      <c r="U75" s="503">
        <f>IF(終値!A75="","",IFERROR(4*STDEVP(終値!X75:AQ75)/AVERAGE(終値!X75:AQ75),""))</f>
        <v>9.4553080859634514E-2</v>
      </c>
      <c r="V75" s="503">
        <f>IF(終値!A75="","",IFERROR(4*STDEVP(終値!Y75:AR75)/AVERAGE(終値!Y75:AR75),""))</f>
        <v>8.6501477408455402E-2</v>
      </c>
      <c r="W75" s="503">
        <f>IF(終値!A75="","",IFERROR(4*STDEVP(終値!Z75:AS75)/AVERAGE(終値!Z75:AS75),""))</f>
        <v>8.2633146014519321E-2</v>
      </c>
      <c r="X75" s="503">
        <f>IF(終値!A75="","",IFERROR(4*STDEVP(終値!AA75:AT75)/AVERAGE(終値!AA75:AT75),""))</f>
        <v>7.6328496296445586E-2</v>
      </c>
      <c r="Y75" s="503">
        <f>IF(終値!A75="","",IFERROR(4*STDEVP(終値!AB75:AU75)/AVERAGE(終値!AB75:AU75),""))</f>
        <v>7.6219817325829706E-2</v>
      </c>
      <c r="Z75" s="503">
        <f>IF(終値!A75="","",IFERROR(4*STDEVP(終値!AC75:AV75)/AVERAGE(終値!AC75:AV75),""))</f>
        <v>6.9048649021792433E-2</v>
      </c>
      <c r="AA75" s="503">
        <f>IF(終値!A75="","",IFERROR(4*STDEVP(終値!AD75:AW75)/AVERAGE(終値!AD75:AW75),""))</f>
        <v>6.827299806122826E-2</v>
      </c>
      <c r="AB75" s="503">
        <f>IF(終値!A75="","",IFERROR(4*STDEVP(終値!AE75:AX75)/AVERAGE(終値!AE75:AX75),""))</f>
        <v>6.5090407752782284E-2</v>
      </c>
      <c r="AC75" s="503">
        <f>IF(終値!A75="","",IFERROR(4*STDEVP(終値!AF75:AY75)/AVERAGE(終値!AF75:AY75),""))</f>
        <v>6.4410847116774347E-2</v>
      </c>
      <c r="AD75" s="503">
        <f>IF(終値!A75="","",IFERROR(4*STDEVP(終値!AG75:AZ75)/AVERAGE(終値!AG75:AZ75),""))</f>
        <v>5.1453010147603409E-2</v>
      </c>
      <c r="AE75" s="503">
        <f>IF(終値!A75="","",IFERROR(4*STDEVP(終値!AH75:BA75)/AVERAGE(終値!AH75:BA75),""))</f>
        <v>3.844813587680674E-2</v>
      </c>
      <c r="AF75" s="503">
        <f>IF(終値!A75="","",IFERROR(4*STDEVP(終値!AI75:BB75)/AVERAGE(終値!AI75:BB75),""))</f>
        <v>3.6621944146415279E-2</v>
      </c>
      <c r="AG75" s="503">
        <f>IF(終値!A75="","",IFERROR(4*STDEVP(終値!AJ75:BC75)/AVERAGE(終値!AJ75:BC75),""))</f>
        <v>3.6596377977063943E-2</v>
      </c>
      <c r="AH75" s="503">
        <f>IF(終値!A75="","",IFERROR(4*STDEVP(終値!AK75:BD75)/AVERAGE(終値!AK75:BD75),""))</f>
        <v>3.6157807987149647E-2</v>
      </c>
      <c r="AI75" s="503">
        <f>IF(終値!A75="","",IFERROR(4*STDEVP(終値!AL75:BE75)/AVERAGE(終値!AL75:BE75),""))</f>
        <v>4.5348535361941229E-2</v>
      </c>
      <c r="AJ75" s="503">
        <f>IF(終値!A75="","",IFERROR(4*STDEVP(終値!AM75:BF75)/AVERAGE(終値!AM75:BF75),""))</f>
        <v>6.0909734403023226E-2</v>
      </c>
      <c r="AK75" s="503">
        <f>IF(終値!A75="","",IFERROR(4*STDEVP(終値!AN75:BG75)/AVERAGE(終値!AN75:BG75),""))</f>
        <v>6.9486123647492279E-2</v>
      </c>
      <c r="AL75" s="503">
        <f>IF(終値!A75="","",IFERROR(4*STDEVP(終値!AO75:BH75)/AVERAGE(終値!AO75:BH75),""))</f>
        <v>8.5359306076853755E-2</v>
      </c>
      <c r="AM75" s="503">
        <f>IF(終値!A75="","",IFERROR(4*STDEVP(終値!AP75:BI75)/AVERAGE(終値!AP75:BI75),""))</f>
        <v>0.10007470054714164</v>
      </c>
      <c r="AN75" s="503">
        <f>IF(終値!A75="","",IFERROR(4*STDEVP(終値!AQ75:BJ75)/AVERAGE(終値!AQ75:BJ75),""))</f>
        <v>0.11264873789366128</v>
      </c>
      <c r="AO75" s="503">
        <f>IF(終値!A75="","",IFERROR(4*STDEVP(終値!AR75:BK75)/AVERAGE(終値!AR75:BK75),""))</f>
        <v>0.11118023465755747</v>
      </c>
      <c r="AP75" s="503">
        <f>IF(終値!A75="","",IFERROR(4*STDEVP(終値!AS75:BL75)/AVERAGE(終値!AS75:BL75),""))</f>
        <v>0.11096094463097042</v>
      </c>
    </row>
    <row r="76" spans="1:42">
      <c r="A76" s="500" t="str">
        <f>IF(終値!A76="","",終値!A76)</f>
        <v>2802</v>
      </c>
      <c r="B76" s="503">
        <f>IF(終値!A76="","",IFERROR(4*STDEVP(終値!E76:X76)/AVERAGE(終値!E76:X76),""))</f>
        <v>0.2368995963540525</v>
      </c>
      <c r="C76" s="503">
        <f>IF(終値!A76="","",IFERROR(4*STDEVP(終値!F76:Y76)/AVERAGE(終値!F76:Y76),""))</f>
        <v>0.2542404460145995</v>
      </c>
      <c r="D76" s="503">
        <f>IF(終値!A76="","",IFERROR(4*STDEVP(終値!G76:Z76)/AVERAGE(終値!G76:Z76),""))</f>
        <v>0.28558705227917924</v>
      </c>
      <c r="E76" s="503">
        <f>IF(終値!A76="","",IFERROR(4*STDEVP(終値!H76:AA76)/AVERAGE(終値!H76:AA76),""))</f>
        <v>0.30680773093541036</v>
      </c>
      <c r="F76" s="503">
        <f>IF(終値!A76="","",IFERROR(4*STDEVP(終値!I76:AB76)/AVERAGE(終値!I76:AB76),""))</f>
        <v>0.3100802956307056</v>
      </c>
      <c r="G76" s="503">
        <f>IF(終値!A76="","",IFERROR(4*STDEVP(終値!J76:AC76)/AVERAGE(終値!J76:AC76),""))</f>
        <v>0.31759823825184624</v>
      </c>
      <c r="H76" s="503">
        <f>IF(終値!A76="","",IFERROR(4*STDEVP(終値!K76:AD76)/AVERAGE(終値!K76:AD76),""))</f>
        <v>0.30031686969491661</v>
      </c>
      <c r="I76" s="503">
        <f>IF(終値!A76="","",IFERROR(4*STDEVP(終値!L76:AE76)/AVERAGE(終値!L76:AE76),""))</f>
        <v>0.2771811558451856</v>
      </c>
      <c r="J76" s="503">
        <f>IF(終値!A76="","",IFERROR(4*STDEVP(終値!M76:AF76)/AVERAGE(終値!M76:AF76),""))</f>
        <v>0.25035075587113642</v>
      </c>
      <c r="K76" s="503">
        <f>IF(終値!A76="","",IFERROR(4*STDEVP(終値!N76:AG76)/AVERAGE(終値!N76:AG76),""))</f>
        <v>0.23164505397468399</v>
      </c>
      <c r="L76" s="503">
        <f>IF(終値!A76="","",IFERROR(4*STDEVP(終値!O76:AH76)/AVERAGE(終値!O76:AH76),""))</f>
        <v>0.21418638968815787</v>
      </c>
      <c r="M76" s="503">
        <f>IF(終値!A76="","",IFERROR(4*STDEVP(終値!P76:AI76)/AVERAGE(終値!P76:AI76),""))</f>
        <v>0.19150775067367243</v>
      </c>
      <c r="N76" s="503">
        <f>IF(終値!A76="","",IFERROR(4*STDEVP(終値!Q76:AJ76)/AVERAGE(終値!Q76:AJ76),""))</f>
        <v>0.18626173104453389</v>
      </c>
      <c r="O76" s="503">
        <f>IF(終値!A76="","",IFERROR(4*STDEVP(終値!R76:AK76)/AVERAGE(終値!R76:AK76),""))</f>
        <v>0.16688601046238546</v>
      </c>
      <c r="P76" s="503">
        <f>IF(終値!A76="","",IFERROR(4*STDEVP(終値!S76:AL76)/AVERAGE(終値!S76:AL76),""))</f>
        <v>0.13713470034158062</v>
      </c>
      <c r="Q76" s="503">
        <f>IF(終値!A76="","",IFERROR(4*STDEVP(終値!T76:AM76)/AVERAGE(終値!T76:AM76),""))</f>
        <v>0.15219996649555714</v>
      </c>
      <c r="R76" s="503">
        <f>IF(終値!A76="","",IFERROR(4*STDEVP(終値!U76:AN76)/AVERAGE(終値!U76:AN76),""))</f>
        <v>0.1814364657933861</v>
      </c>
      <c r="S76" s="503">
        <f>IF(終値!A76="","",IFERROR(4*STDEVP(終値!V76:AO76)/AVERAGE(終値!V76:AO76),""))</f>
        <v>0.21147142994726179</v>
      </c>
      <c r="T76" s="503">
        <f>IF(終値!A76="","",IFERROR(4*STDEVP(終値!W76:AP76)/AVERAGE(終値!W76:AP76),""))</f>
        <v>0.23099382775011626</v>
      </c>
      <c r="U76" s="503">
        <f>IF(終値!A76="","",IFERROR(4*STDEVP(終値!X76:AQ76)/AVERAGE(終値!X76:AQ76),""))</f>
        <v>0.25205713363840543</v>
      </c>
      <c r="V76" s="503">
        <f>IF(終値!A76="","",IFERROR(4*STDEVP(終値!Y76:AR76)/AVERAGE(終値!Y76:AR76),""))</f>
        <v>0.29443104870752496</v>
      </c>
      <c r="W76" s="503">
        <f>IF(終値!A76="","",IFERROR(4*STDEVP(終値!Z76:AS76)/AVERAGE(終値!Z76:AS76),""))</f>
        <v>0.32237375266405455</v>
      </c>
      <c r="X76" s="503">
        <f>IF(終値!A76="","",IFERROR(4*STDEVP(終値!AA76:AT76)/AVERAGE(終値!AA76:AT76),""))</f>
        <v>0.32990802481144688</v>
      </c>
      <c r="Y76" s="503">
        <f>IF(終値!A76="","",IFERROR(4*STDEVP(終値!AB76:AU76)/AVERAGE(終値!AB76:AU76),""))</f>
        <v>0.32152367993303232</v>
      </c>
      <c r="Z76" s="503">
        <f>IF(終値!A76="","",IFERROR(4*STDEVP(終値!AC76:AV76)/AVERAGE(終値!AC76:AV76),""))</f>
        <v>0.31188691215250697</v>
      </c>
      <c r="AA76" s="503">
        <f>IF(終値!A76="","",IFERROR(4*STDEVP(終値!AD76:AW76)/AVERAGE(終値!AD76:AW76),""))</f>
        <v>0.28951097339262072</v>
      </c>
      <c r="AB76" s="503">
        <f>IF(終値!A76="","",IFERROR(4*STDEVP(終値!AE76:AX76)/AVERAGE(終値!AE76:AX76),""))</f>
        <v>0.2819386701957573</v>
      </c>
      <c r="AC76" s="503">
        <f>IF(終値!A76="","",IFERROR(4*STDEVP(終値!AF76:AY76)/AVERAGE(終値!AF76:AY76),""))</f>
        <v>0.27436973265862286</v>
      </c>
      <c r="AD76" s="503">
        <f>IF(終値!A76="","",IFERROR(4*STDEVP(終値!AG76:AZ76)/AVERAGE(終値!AG76:AZ76),""))</f>
        <v>0.2668363732425319</v>
      </c>
      <c r="AE76" s="503">
        <f>IF(終値!A76="","",IFERROR(4*STDEVP(終値!AH76:BA76)/AVERAGE(終値!AH76:BA76),""))</f>
        <v>0.25845766598857722</v>
      </c>
      <c r="AF76" s="503">
        <f>IF(終値!A76="","",IFERROR(4*STDEVP(終値!AI76:BB76)/AVERAGE(終値!AI76:BB76),""))</f>
        <v>0.25680454288520238</v>
      </c>
      <c r="AG76" s="503">
        <f>IF(終値!A76="","",IFERROR(4*STDEVP(終値!AJ76:BC76)/AVERAGE(終値!AJ76:BC76),""))</f>
        <v>0.25010539981310786</v>
      </c>
      <c r="AH76" s="503">
        <f>IF(終値!A76="","",IFERROR(4*STDEVP(終値!AK76:BD76)/AVERAGE(終値!AK76:BD76),""))</f>
        <v>0.19767369710166907</v>
      </c>
      <c r="AI76" s="503">
        <f>IF(終値!A76="","",IFERROR(4*STDEVP(終値!AL76:BE76)/AVERAGE(終値!AL76:BE76),""))</f>
        <v>0.16933853941868246</v>
      </c>
      <c r="AJ76" s="503">
        <f>IF(終値!A76="","",IFERROR(4*STDEVP(終値!AM76:BF76)/AVERAGE(終値!AM76:BF76),""))</f>
        <v>0.13054772127992778</v>
      </c>
      <c r="AK76" s="503">
        <f>IF(終値!A76="","",IFERROR(4*STDEVP(終値!AN76:BG76)/AVERAGE(終値!AN76:BG76),""))</f>
        <v>0.12790865992480874</v>
      </c>
      <c r="AL76" s="503">
        <f>IF(終値!A76="","",IFERROR(4*STDEVP(終値!AO76:BH76)/AVERAGE(終値!AO76:BH76),""))</f>
        <v>0.1445262637177957</v>
      </c>
      <c r="AM76" s="503">
        <f>IF(終値!A76="","",IFERROR(4*STDEVP(終値!AP76:BI76)/AVERAGE(終値!AP76:BI76),""))</f>
        <v>0.15264811272418066</v>
      </c>
      <c r="AN76" s="503">
        <f>IF(終値!A76="","",IFERROR(4*STDEVP(終値!AQ76:BJ76)/AVERAGE(終値!AQ76:BJ76),""))</f>
        <v>0.15823842437886515</v>
      </c>
      <c r="AO76" s="503">
        <f>IF(終値!A76="","",IFERROR(4*STDEVP(終値!AR76:BK76)/AVERAGE(終値!AR76:BK76),""))</f>
        <v>0.16424207932975063</v>
      </c>
      <c r="AP76" s="503">
        <f>IF(終値!A76="","",IFERROR(4*STDEVP(終値!AS76:BL76)/AVERAGE(終値!AS76:BL76),""))</f>
        <v>0.14418508747517012</v>
      </c>
    </row>
    <row r="77" spans="1:42">
      <c r="A77" s="500" t="str">
        <f>IF(終値!A77="","",終値!A77)</f>
        <v>7203</v>
      </c>
      <c r="B77" s="503">
        <f>IF(終値!A77="","",IFERROR(4*STDEVP(終値!E77:X77)/AVERAGE(終値!E77:X77),""))</f>
        <v>0.13785384130205369</v>
      </c>
      <c r="C77" s="503">
        <f>IF(終値!A77="","",IFERROR(4*STDEVP(終値!F77:Y77)/AVERAGE(終値!F77:Y77),""))</f>
        <v>0.13736629148626903</v>
      </c>
      <c r="D77" s="503">
        <f>IF(終値!A77="","",IFERROR(4*STDEVP(終値!G77:Z77)/AVERAGE(終値!G77:Z77),""))</f>
        <v>0.13721798563365017</v>
      </c>
      <c r="E77" s="503">
        <f>IF(終値!A77="","",IFERROR(4*STDEVP(終値!H77:AA77)/AVERAGE(終値!H77:AA77),""))</f>
        <v>0.14139645418791535</v>
      </c>
      <c r="F77" s="503">
        <f>IF(終値!A77="","",IFERROR(4*STDEVP(終値!I77:AB77)/AVERAGE(終値!I77:AB77),""))</f>
        <v>0.14778004920940194</v>
      </c>
      <c r="G77" s="503">
        <f>IF(終値!A77="","",IFERROR(4*STDEVP(終値!J77:AC77)/AVERAGE(終値!J77:AC77),""))</f>
        <v>0.15378839487851623</v>
      </c>
      <c r="H77" s="503">
        <f>IF(終値!A77="","",IFERROR(4*STDEVP(終値!K77:AD77)/AVERAGE(終値!K77:AD77),""))</f>
        <v>0.14871064425903618</v>
      </c>
      <c r="I77" s="503">
        <f>IF(終値!A77="","",IFERROR(4*STDEVP(終値!L77:AE77)/AVERAGE(終値!L77:AE77),""))</f>
        <v>0.10992273088133604</v>
      </c>
      <c r="J77" s="503">
        <f>IF(終値!A77="","",IFERROR(4*STDEVP(終値!M77:AF77)/AVERAGE(終値!M77:AF77),""))</f>
        <v>0.10482494873942351</v>
      </c>
      <c r="K77" s="503">
        <f>IF(終値!A77="","",IFERROR(4*STDEVP(終値!N77:AG77)/AVERAGE(終値!N77:AG77),""))</f>
        <v>0.10945264121794938</v>
      </c>
      <c r="L77" s="503">
        <f>IF(終値!A77="","",IFERROR(4*STDEVP(終値!O77:AH77)/AVERAGE(終値!O77:AH77),""))</f>
        <v>0.11843843879275892</v>
      </c>
      <c r="M77" s="503">
        <f>IF(終値!A77="","",IFERROR(4*STDEVP(終値!P77:AI77)/AVERAGE(終値!P77:AI77),""))</f>
        <v>0.11867710428196021</v>
      </c>
      <c r="N77" s="503">
        <f>IF(終値!A77="","",IFERROR(4*STDEVP(終値!Q77:AJ77)/AVERAGE(終値!Q77:AJ77),""))</f>
        <v>0.11488646281424915</v>
      </c>
      <c r="O77" s="503">
        <f>IF(終値!A77="","",IFERROR(4*STDEVP(終値!R77:AK77)/AVERAGE(終値!R77:AK77),""))</f>
        <v>0.10691003530281455</v>
      </c>
      <c r="P77" s="503">
        <f>IF(終値!A77="","",IFERROR(4*STDEVP(終値!S77:AL77)/AVERAGE(終値!S77:AL77),""))</f>
        <v>0.10226166355222638</v>
      </c>
      <c r="Q77" s="503">
        <f>IF(終値!A77="","",IFERROR(4*STDEVP(終値!T77:AM77)/AVERAGE(終値!T77:AM77),""))</f>
        <v>9.9225431167585532E-2</v>
      </c>
      <c r="R77" s="503">
        <f>IF(終値!A77="","",IFERROR(4*STDEVP(終値!U77:AN77)/AVERAGE(終値!U77:AN77),""))</f>
        <v>9.9642320077313981E-2</v>
      </c>
      <c r="S77" s="503">
        <f>IF(終値!A77="","",IFERROR(4*STDEVP(終値!V77:AO77)/AVERAGE(終値!V77:AO77),""))</f>
        <v>0.10503006017104609</v>
      </c>
      <c r="T77" s="503">
        <f>IF(終値!A77="","",IFERROR(4*STDEVP(終値!W77:AP77)/AVERAGE(終値!W77:AP77),""))</f>
        <v>0.10505163631874055</v>
      </c>
      <c r="U77" s="503">
        <f>IF(終値!A77="","",IFERROR(4*STDEVP(終値!X77:AQ77)/AVERAGE(終値!X77:AQ77),""))</f>
        <v>0.10586006725383325</v>
      </c>
      <c r="V77" s="503">
        <f>IF(終値!A77="","",IFERROR(4*STDEVP(終値!Y77:AR77)/AVERAGE(終値!Y77:AR77),""))</f>
        <v>0.10149701425360892</v>
      </c>
      <c r="W77" s="503">
        <f>IF(終値!A77="","",IFERROR(4*STDEVP(終値!Z77:AS77)/AVERAGE(終値!Z77:AS77),""))</f>
        <v>8.8537567287238675E-2</v>
      </c>
      <c r="X77" s="503">
        <f>IF(終値!A77="","",IFERROR(4*STDEVP(終値!AA77:AT77)/AVERAGE(終値!AA77:AT77),""))</f>
        <v>7.9148806001700628E-2</v>
      </c>
      <c r="Y77" s="503">
        <f>IF(終値!A77="","",IFERROR(4*STDEVP(終値!AB77:AU77)/AVERAGE(終値!AB77:AU77),""))</f>
        <v>7.9869354647029933E-2</v>
      </c>
      <c r="Z77" s="503">
        <f>IF(終値!A77="","",IFERROR(4*STDEVP(終値!AC77:AV77)/AVERAGE(終値!AC77:AV77),""))</f>
        <v>8.5786832587921094E-2</v>
      </c>
      <c r="AA77" s="503">
        <f>IF(終値!A77="","",IFERROR(4*STDEVP(終値!AD77:AW77)/AVERAGE(終値!AD77:AW77),""))</f>
        <v>8.5191478026780149E-2</v>
      </c>
      <c r="AB77" s="503">
        <f>IF(終値!A77="","",IFERROR(4*STDEVP(終値!AE77:AX77)/AVERAGE(終値!AE77:AX77),""))</f>
        <v>0.1126148750875768</v>
      </c>
      <c r="AC77" s="503">
        <f>IF(終値!A77="","",IFERROR(4*STDEVP(終値!AF77:AY77)/AVERAGE(終値!AF77:AY77),""))</f>
        <v>0.13103121264235126</v>
      </c>
      <c r="AD77" s="503">
        <f>IF(終値!A77="","",IFERROR(4*STDEVP(終値!AG77:AZ77)/AVERAGE(終値!AG77:AZ77),""))</f>
        <v>0.14159781106413355</v>
      </c>
      <c r="AE77" s="503">
        <f>IF(終値!A77="","",IFERROR(4*STDEVP(終値!AH77:BA77)/AVERAGE(終値!AH77:BA77),""))</f>
        <v>0.14621964152879519</v>
      </c>
      <c r="AF77" s="503">
        <f>IF(終値!A77="","",IFERROR(4*STDEVP(終値!AI77:BB77)/AVERAGE(終値!AI77:BB77),""))</f>
        <v>0.14173536946091164</v>
      </c>
      <c r="AG77" s="503">
        <f>IF(終値!A77="","",IFERROR(4*STDEVP(終値!AJ77:BC77)/AVERAGE(終値!AJ77:BC77),""))</f>
        <v>0.13594057552544286</v>
      </c>
      <c r="AH77" s="503">
        <f>IF(終値!A77="","",IFERROR(4*STDEVP(終値!AK77:BD77)/AVERAGE(終値!AK77:BD77),""))</f>
        <v>0.12979942223843718</v>
      </c>
      <c r="AI77" s="503">
        <f>IF(終値!A77="","",IFERROR(4*STDEVP(終値!AL77:BE77)/AVERAGE(終値!AL77:BE77),""))</f>
        <v>0.12621794345885037</v>
      </c>
      <c r="AJ77" s="503">
        <f>IF(終値!A77="","",IFERROR(4*STDEVP(終値!AM77:BF77)/AVERAGE(終値!AM77:BF77),""))</f>
        <v>0.12281319735359053</v>
      </c>
      <c r="AK77" s="503">
        <f>IF(終値!A77="","",IFERROR(4*STDEVP(終値!AN77:BG77)/AVERAGE(終値!AN77:BG77),""))</f>
        <v>0.12997607842107956</v>
      </c>
      <c r="AL77" s="503">
        <f>IF(終値!A77="","",IFERROR(4*STDEVP(終値!AO77:BH77)/AVERAGE(終値!AO77:BH77),""))</f>
        <v>0.13044053459443189</v>
      </c>
      <c r="AM77" s="503">
        <f>IF(終値!A77="","",IFERROR(4*STDEVP(終値!AP77:BI77)/AVERAGE(終値!AP77:BI77),""))</f>
        <v>0.13023672317326829</v>
      </c>
      <c r="AN77" s="503">
        <f>IF(終値!A77="","",IFERROR(4*STDEVP(終値!AQ77:BJ77)/AVERAGE(終値!AQ77:BJ77),""))</f>
        <v>0.12420209733686184</v>
      </c>
      <c r="AO77" s="503">
        <f>IF(終値!A77="","",IFERROR(4*STDEVP(終値!AR77:BK77)/AVERAGE(終値!AR77:BK77),""))</f>
        <v>0.1119738515311005</v>
      </c>
      <c r="AP77" s="503">
        <f>IF(終値!A77="","",IFERROR(4*STDEVP(終値!AS77:BL77)/AVERAGE(終値!AS77:BL77),""))</f>
        <v>0.10546511572652924</v>
      </c>
    </row>
    <row r="78" spans="1:42">
      <c r="A78" s="500" t="str">
        <f>IF(終値!A78="","",終値!A78)</f>
        <v>6954</v>
      </c>
      <c r="B78" s="503">
        <f>IF(終値!A78="","",IFERROR(4*STDEVP(終値!E78:X78)/AVERAGE(終値!E78:X78),""))</f>
        <v>0.16975066458517352</v>
      </c>
      <c r="C78" s="503">
        <f>IF(終値!A78="","",IFERROR(4*STDEVP(終値!F78:Y78)/AVERAGE(終値!F78:Y78),""))</f>
        <v>0.17150329243795623</v>
      </c>
      <c r="D78" s="503">
        <f>IF(終値!A78="","",IFERROR(4*STDEVP(終値!G78:Z78)/AVERAGE(終値!G78:Z78),""))</f>
        <v>0.19122516805879675</v>
      </c>
      <c r="E78" s="503">
        <f>IF(終値!A78="","",IFERROR(4*STDEVP(終値!H78:AA78)/AVERAGE(終値!H78:AA78),""))</f>
        <v>0.1897294892715963</v>
      </c>
      <c r="F78" s="503">
        <f>IF(終値!A78="","",IFERROR(4*STDEVP(終値!I78:AB78)/AVERAGE(終値!I78:AB78),""))</f>
        <v>0.16664179879248539</v>
      </c>
      <c r="G78" s="503">
        <f>IF(終値!A78="","",IFERROR(4*STDEVP(終値!J78:AC78)/AVERAGE(終値!J78:AC78),""))</f>
        <v>0.17646273240229274</v>
      </c>
      <c r="H78" s="503">
        <f>IF(終値!A78="","",IFERROR(4*STDEVP(終値!K78:AD78)/AVERAGE(終値!K78:AD78),""))</f>
        <v>0.17965679433465553</v>
      </c>
      <c r="I78" s="503">
        <f>IF(終値!A78="","",IFERROR(4*STDEVP(終値!L78:AE78)/AVERAGE(終値!L78:AE78),""))</f>
        <v>0.16745705932892632</v>
      </c>
      <c r="J78" s="503">
        <f>IF(終値!A78="","",IFERROR(4*STDEVP(終値!M78:AF78)/AVERAGE(終値!M78:AF78),""))</f>
        <v>0.14675924334282126</v>
      </c>
      <c r="K78" s="503">
        <f>IF(終値!A78="","",IFERROR(4*STDEVP(終値!N78:AG78)/AVERAGE(終値!N78:AG78),""))</f>
        <v>0.14912248971587219</v>
      </c>
      <c r="L78" s="503">
        <f>IF(終値!A78="","",IFERROR(4*STDEVP(終値!O78:AH78)/AVERAGE(終値!O78:AH78),""))</f>
        <v>0.14321083954966982</v>
      </c>
      <c r="M78" s="503">
        <f>IF(終値!A78="","",IFERROR(4*STDEVP(終値!P78:AI78)/AVERAGE(終値!P78:AI78),""))</f>
        <v>0.14895356975054649</v>
      </c>
      <c r="N78" s="503">
        <f>IF(終値!A78="","",IFERROR(4*STDEVP(終値!Q78:AJ78)/AVERAGE(終値!Q78:AJ78),""))</f>
        <v>0.17789729898882131</v>
      </c>
      <c r="O78" s="503">
        <f>IF(終値!A78="","",IFERROR(4*STDEVP(終値!R78:AK78)/AVERAGE(終値!R78:AK78),""))</f>
        <v>0.17407219950914707</v>
      </c>
      <c r="P78" s="503">
        <f>IF(終値!A78="","",IFERROR(4*STDEVP(終値!S78:AL78)/AVERAGE(終値!S78:AL78),""))</f>
        <v>0.16444376403781522</v>
      </c>
      <c r="Q78" s="503">
        <f>IF(終値!A78="","",IFERROR(4*STDEVP(終値!T78:AM78)/AVERAGE(終値!T78:AM78),""))</f>
        <v>0.16437223737488529</v>
      </c>
      <c r="R78" s="503">
        <f>IF(終値!A78="","",IFERROR(4*STDEVP(終値!U78:AN78)/AVERAGE(終値!U78:AN78),""))</f>
        <v>0.15538232950246139</v>
      </c>
      <c r="S78" s="503">
        <f>IF(終値!A78="","",IFERROR(4*STDEVP(終値!V78:AO78)/AVERAGE(終値!V78:AO78),""))</f>
        <v>0.14923292661316373</v>
      </c>
      <c r="T78" s="503">
        <f>IF(終値!A78="","",IFERROR(4*STDEVP(終値!W78:AP78)/AVERAGE(終値!W78:AP78),""))</f>
        <v>0.1545835431748967</v>
      </c>
      <c r="U78" s="503">
        <f>IF(終値!A78="","",IFERROR(4*STDEVP(終値!X78:AQ78)/AVERAGE(終値!X78:AQ78),""))</f>
        <v>0.15805758778765064</v>
      </c>
      <c r="V78" s="503">
        <f>IF(終値!A78="","",IFERROR(4*STDEVP(終値!Y78:AR78)/AVERAGE(終値!Y78:AR78),""))</f>
        <v>0.15455810055378047</v>
      </c>
      <c r="W78" s="503">
        <f>IF(終値!A78="","",IFERROR(4*STDEVP(終値!Z78:AS78)/AVERAGE(終値!Z78:AS78),""))</f>
        <v>0.15339962524742967</v>
      </c>
      <c r="X78" s="503">
        <f>IF(終値!A78="","",IFERROR(4*STDEVP(終値!AA78:AT78)/AVERAGE(終値!AA78:AT78),""))</f>
        <v>0.15742774566841555</v>
      </c>
      <c r="Y78" s="503">
        <f>IF(終値!A78="","",IFERROR(4*STDEVP(終値!AB78:AU78)/AVERAGE(終値!AB78:AU78),""))</f>
        <v>0.16696465768683033</v>
      </c>
      <c r="Z78" s="503">
        <f>IF(終値!A78="","",IFERROR(4*STDEVP(終値!AC78:AV78)/AVERAGE(終値!AC78:AV78),""))</f>
        <v>0.18188876733802292</v>
      </c>
      <c r="AA78" s="503">
        <f>IF(終値!A78="","",IFERROR(4*STDEVP(終値!AD78:AW78)/AVERAGE(終値!AD78:AW78),""))</f>
        <v>0.18355806343844844</v>
      </c>
      <c r="AB78" s="503">
        <f>IF(終値!A78="","",IFERROR(4*STDEVP(終値!AE78:AX78)/AVERAGE(終値!AE78:AX78),""))</f>
        <v>0.19263607680953065</v>
      </c>
      <c r="AC78" s="503">
        <f>IF(終値!A78="","",IFERROR(4*STDEVP(終値!AF78:AY78)/AVERAGE(終値!AF78:AY78),""))</f>
        <v>0.19769698243387207</v>
      </c>
      <c r="AD78" s="503">
        <f>IF(終値!A78="","",IFERROR(4*STDEVP(終値!AG78:AZ78)/AVERAGE(終値!AG78:AZ78),""))</f>
        <v>0.20512208524079642</v>
      </c>
      <c r="AE78" s="503">
        <f>IF(終値!A78="","",IFERROR(4*STDEVP(終値!AH78:BA78)/AVERAGE(終値!AH78:BA78),""))</f>
        <v>0.22858205465050641</v>
      </c>
      <c r="AF78" s="503">
        <f>IF(終値!A78="","",IFERROR(4*STDEVP(終値!AI78:BB78)/AVERAGE(終値!AI78:BB78),""))</f>
        <v>0.23645712970792784</v>
      </c>
      <c r="AG78" s="503">
        <f>IF(終値!A78="","",IFERROR(4*STDEVP(終値!AJ78:BC78)/AVERAGE(終値!AJ78:BC78),""))</f>
        <v>0.23561158693434447</v>
      </c>
      <c r="AH78" s="503">
        <f>IF(終値!A78="","",IFERROR(4*STDEVP(終値!AK78:BD78)/AVERAGE(終値!AK78:BD78),""))</f>
        <v>0.23487513922485481</v>
      </c>
      <c r="AI78" s="503">
        <f>IF(終値!A78="","",IFERROR(4*STDEVP(終値!AL78:BE78)/AVERAGE(終値!AL78:BE78),""))</f>
        <v>0.23439874493183036</v>
      </c>
      <c r="AJ78" s="503">
        <f>IF(終値!A78="","",IFERROR(4*STDEVP(終値!AM78:BF78)/AVERAGE(終値!AM78:BF78),""))</f>
        <v>0.23780030603272032</v>
      </c>
      <c r="AK78" s="503">
        <f>IF(終値!A78="","",IFERROR(4*STDEVP(終値!AN78:BG78)/AVERAGE(終値!AN78:BG78),""))</f>
        <v>0.24665223818656856</v>
      </c>
      <c r="AL78" s="503">
        <f>IF(終値!A78="","",IFERROR(4*STDEVP(終値!AO78:BH78)/AVERAGE(終値!AO78:BH78),""))</f>
        <v>0.24770693806078201</v>
      </c>
      <c r="AM78" s="503">
        <f>IF(終値!A78="","",IFERROR(4*STDEVP(終値!AP78:BI78)/AVERAGE(終値!AP78:BI78),""))</f>
        <v>0.24400204179095883</v>
      </c>
      <c r="AN78" s="503">
        <f>IF(終値!A78="","",IFERROR(4*STDEVP(終値!AQ78:BJ78)/AVERAGE(終値!AQ78:BJ78),""))</f>
        <v>0.22623790527888729</v>
      </c>
      <c r="AO78" s="503">
        <f>IF(終値!A78="","",IFERROR(4*STDEVP(終値!AR78:BK78)/AVERAGE(終値!AR78:BK78),""))</f>
        <v>0.19643473264294461</v>
      </c>
      <c r="AP78" s="503">
        <f>IF(終値!A78="","",IFERROR(4*STDEVP(終値!AS78:BL78)/AVERAGE(終値!AS78:BL78),""))</f>
        <v>0.15930670322938062</v>
      </c>
    </row>
    <row r="79" spans="1:42">
      <c r="A79" s="500" t="str">
        <f>IF(終値!A79="","",終値!A79)</f>
        <v>6479</v>
      </c>
      <c r="B79" s="503">
        <f>IF(終値!A79="","",IFERROR(4*STDEVP(終値!E79:X79)/AVERAGE(終値!E79:X79),""))</f>
        <v>0.25631066961963839</v>
      </c>
      <c r="C79" s="503">
        <f>IF(終値!A79="","",IFERROR(4*STDEVP(終値!F79:Y79)/AVERAGE(終値!F79:Y79),""))</f>
        <v>0.26598232708194669</v>
      </c>
      <c r="D79" s="503">
        <f>IF(終値!A79="","",IFERROR(4*STDEVP(終値!G79:Z79)/AVERAGE(終値!G79:Z79),""))</f>
        <v>0.28756778272919498</v>
      </c>
      <c r="E79" s="503">
        <f>IF(終値!A79="","",IFERROR(4*STDEVP(終値!H79:AA79)/AVERAGE(終値!H79:AA79),""))</f>
        <v>0.33566406859389575</v>
      </c>
      <c r="F79" s="503">
        <f>IF(終値!A79="","",IFERROR(4*STDEVP(終値!I79:AB79)/AVERAGE(終値!I79:AB79),""))</f>
        <v>0.3527094573028815</v>
      </c>
      <c r="G79" s="503">
        <f>IF(終値!A79="","",IFERROR(4*STDEVP(終値!J79:AC79)/AVERAGE(終値!J79:AC79),""))</f>
        <v>0.38424256423480163</v>
      </c>
      <c r="H79" s="503">
        <f>IF(終値!A79="","",IFERROR(4*STDEVP(終値!K79:AD79)/AVERAGE(終値!K79:AD79),""))</f>
        <v>0.3705465937801683</v>
      </c>
      <c r="I79" s="503">
        <f>IF(終値!A79="","",IFERROR(4*STDEVP(終値!L79:AE79)/AVERAGE(終値!L79:AE79),""))</f>
        <v>0.35156430770639036</v>
      </c>
      <c r="J79" s="503">
        <f>IF(終値!A79="","",IFERROR(4*STDEVP(終値!M79:AF79)/AVERAGE(終値!M79:AF79),""))</f>
        <v>0.33675352626958577</v>
      </c>
      <c r="K79" s="503">
        <f>IF(終値!A79="","",IFERROR(4*STDEVP(終値!N79:AG79)/AVERAGE(終値!N79:AG79),""))</f>
        <v>0.36389984616483612</v>
      </c>
      <c r="L79" s="503">
        <f>IF(終値!A79="","",IFERROR(4*STDEVP(終値!O79:AH79)/AVERAGE(終値!O79:AH79),""))</f>
        <v>0.3561284952534351</v>
      </c>
      <c r="M79" s="503">
        <f>IF(終値!A79="","",IFERROR(4*STDEVP(終値!P79:AI79)/AVERAGE(終値!P79:AI79),""))</f>
        <v>0.34901769330260912</v>
      </c>
      <c r="N79" s="503">
        <f>IF(終値!A79="","",IFERROR(4*STDEVP(終値!Q79:AJ79)/AVERAGE(終値!Q79:AJ79),""))</f>
        <v>0.34108212554801276</v>
      </c>
      <c r="O79" s="503">
        <f>IF(終値!A79="","",IFERROR(4*STDEVP(終値!R79:AK79)/AVERAGE(終値!R79:AK79),""))</f>
        <v>0.31194472339422652</v>
      </c>
      <c r="P79" s="503">
        <f>IF(終値!A79="","",IFERROR(4*STDEVP(終値!S79:AL79)/AVERAGE(終値!S79:AL79),""))</f>
        <v>0.26854281588703127</v>
      </c>
      <c r="Q79" s="503">
        <f>IF(終値!A79="","",IFERROR(4*STDEVP(終値!T79:AM79)/AVERAGE(終値!T79:AM79),""))</f>
        <v>0.25206149900700781</v>
      </c>
      <c r="R79" s="503">
        <f>IF(終値!A79="","",IFERROR(4*STDEVP(終値!U79:AN79)/AVERAGE(終値!U79:AN79),""))</f>
        <v>0.23031024532096869</v>
      </c>
      <c r="S79" s="503">
        <f>IF(終値!A79="","",IFERROR(4*STDEVP(終値!V79:AO79)/AVERAGE(終値!V79:AO79),""))</f>
        <v>0.2105477179237136</v>
      </c>
      <c r="T79" s="503">
        <f>IF(終値!A79="","",IFERROR(4*STDEVP(終値!W79:AP79)/AVERAGE(終値!W79:AP79),""))</f>
        <v>0.22061188293264178</v>
      </c>
      <c r="U79" s="503">
        <f>IF(終値!A79="","",IFERROR(4*STDEVP(終値!X79:AQ79)/AVERAGE(終値!X79:AQ79),""))</f>
        <v>0.22363745498884147</v>
      </c>
      <c r="V79" s="503">
        <f>IF(終値!A79="","",IFERROR(4*STDEVP(終値!Y79:AR79)/AVERAGE(終値!Y79:AR79),""))</f>
        <v>0.21934224810227557</v>
      </c>
      <c r="W79" s="503">
        <f>IF(終値!A79="","",IFERROR(4*STDEVP(終値!Z79:AS79)/AVERAGE(終値!Z79:AS79),""))</f>
        <v>0.21191043940236964</v>
      </c>
      <c r="X79" s="503">
        <f>IF(終値!A79="","",IFERROR(4*STDEVP(終値!AA79:AT79)/AVERAGE(終値!AA79:AT79),""))</f>
        <v>0.21336197212823027</v>
      </c>
      <c r="Y79" s="503">
        <f>IF(終値!A79="","",IFERROR(4*STDEVP(終値!AB79:AU79)/AVERAGE(終値!AB79:AU79),""))</f>
        <v>0.21660668557671831</v>
      </c>
      <c r="Z79" s="503">
        <f>IF(終値!A79="","",IFERROR(4*STDEVP(終値!AC79:AV79)/AVERAGE(終値!AC79:AV79),""))</f>
        <v>0.21763604837456227</v>
      </c>
      <c r="AA79" s="503">
        <f>IF(終値!A79="","",IFERROR(4*STDEVP(終値!AD79:AW79)/AVERAGE(終値!AD79:AW79),""))</f>
        <v>0.21298605917666305</v>
      </c>
      <c r="AB79" s="503">
        <f>IF(終値!A79="","",IFERROR(4*STDEVP(終値!AE79:AX79)/AVERAGE(終値!AE79:AX79),""))</f>
        <v>0.21550289328034661</v>
      </c>
      <c r="AC79" s="503">
        <f>IF(終値!A79="","",IFERROR(4*STDEVP(終値!AF79:AY79)/AVERAGE(終値!AF79:AY79),""))</f>
        <v>0.23126716013916507</v>
      </c>
      <c r="AD79" s="503">
        <f>IF(終値!A79="","",IFERROR(4*STDEVP(終値!AG79:AZ79)/AVERAGE(終値!AG79:AZ79),""))</f>
        <v>0.24679339819704244</v>
      </c>
      <c r="AE79" s="503">
        <f>IF(終値!A79="","",IFERROR(4*STDEVP(終値!AH79:BA79)/AVERAGE(終値!AH79:BA79),""))</f>
        <v>0.23450358923530013</v>
      </c>
      <c r="AF79" s="503">
        <f>IF(終値!A79="","",IFERROR(4*STDEVP(終値!AI79:BB79)/AVERAGE(終値!AI79:BB79),""))</f>
        <v>0.25616467443350571</v>
      </c>
      <c r="AG79" s="503">
        <f>IF(終値!A79="","",IFERROR(4*STDEVP(終値!AJ79:BC79)/AVERAGE(終値!AJ79:BC79),""))</f>
        <v>0.28028232764799271</v>
      </c>
      <c r="AH79" s="503">
        <f>IF(終値!A79="","",IFERROR(4*STDEVP(終値!AK79:BD79)/AVERAGE(終値!AK79:BD79),""))</f>
        <v>0.30078992662447618</v>
      </c>
      <c r="AI79" s="503">
        <f>IF(終値!A79="","",IFERROR(4*STDEVP(終値!AL79:BE79)/AVERAGE(終値!AL79:BE79),""))</f>
        <v>0.32078582014807422</v>
      </c>
      <c r="AJ79" s="503">
        <f>IF(終値!A79="","",IFERROR(4*STDEVP(終値!AM79:BF79)/AVERAGE(終値!AM79:BF79),""))</f>
        <v>0.34120855422890728</v>
      </c>
      <c r="AK79" s="503">
        <f>IF(終値!A79="","",IFERROR(4*STDEVP(終値!AN79:BG79)/AVERAGE(終値!AN79:BG79),""))</f>
        <v>0.34616421429154631</v>
      </c>
      <c r="AL79" s="503">
        <f>IF(終値!A79="","",IFERROR(4*STDEVP(終値!AO79:BH79)/AVERAGE(終値!AO79:BH79),""))</f>
        <v>0.35013550237539803</v>
      </c>
      <c r="AM79" s="503">
        <f>IF(終値!A79="","",IFERROR(4*STDEVP(終値!AP79:BI79)/AVERAGE(終値!AP79:BI79),""))</f>
        <v>0.35871396849504111</v>
      </c>
      <c r="AN79" s="503">
        <f>IF(終値!A79="","",IFERROR(4*STDEVP(終値!AQ79:BJ79)/AVERAGE(終値!AQ79:BJ79),""))</f>
        <v>0.38964120609859798</v>
      </c>
      <c r="AO79" s="503">
        <f>IF(終値!A79="","",IFERROR(4*STDEVP(終値!AR79:BK79)/AVERAGE(終値!AR79:BK79),""))</f>
        <v>0.4250142405331126</v>
      </c>
      <c r="AP79" s="503">
        <f>IF(終値!A79="","",IFERROR(4*STDEVP(終値!AS79:BL79)/AVERAGE(終値!AS79:BL79),""))</f>
        <v>0.46016845511368559</v>
      </c>
    </row>
    <row r="80" spans="1:42">
      <c r="A80" s="500" t="str">
        <f>IF(終値!A80="","",終値!A80)</f>
        <v>1833</v>
      </c>
      <c r="B80" s="503">
        <f>IF(終値!A80="","",IFERROR(4*STDEVP(終値!E80:X80)/AVERAGE(終値!E80:X80),""))</f>
        <v>5.6931973080592349E-2</v>
      </c>
      <c r="C80" s="503">
        <f>IF(終値!A80="","",IFERROR(4*STDEVP(終値!F80:Y80)/AVERAGE(終値!F80:Y80),""))</f>
        <v>5.6646263022650564E-2</v>
      </c>
      <c r="D80" s="503">
        <f>IF(終値!A80="","",IFERROR(4*STDEVP(終値!G80:Z80)/AVERAGE(終値!G80:Z80),""))</f>
        <v>5.6898189399548042E-2</v>
      </c>
      <c r="E80" s="503">
        <f>IF(終値!A80="","",IFERROR(4*STDEVP(終値!H80:AA80)/AVERAGE(終値!H80:AA80),""))</f>
        <v>5.726851462238039E-2</v>
      </c>
      <c r="F80" s="503">
        <f>IF(終値!A80="","",IFERROR(4*STDEVP(終値!I80:AB80)/AVERAGE(終値!I80:AB80),""))</f>
        <v>5.7103963644094556E-2</v>
      </c>
      <c r="G80" s="503">
        <f>IF(終値!A80="","",IFERROR(4*STDEVP(終値!J80:AC80)/AVERAGE(終値!J80:AC80),""))</f>
        <v>5.67526764433239E-2</v>
      </c>
      <c r="H80" s="503">
        <f>IF(終値!A80="","",IFERROR(4*STDEVP(終値!K80:AD80)/AVERAGE(終値!K80:AD80),""))</f>
        <v>5.6472901141480042E-2</v>
      </c>
      <c r="I80" s="503">
        <f>IF(終値!A80="","",IFERROR(4*STDEVP(終値!L80:AE80)/AVERAGE(終値!L80:AE80),""))</f>
        <v>5.3294481783460072E-2</v>
      </c>
      <c r="J80" s="503">
        <f>IF(終値!A80="","",IFERROR(4*STDEVP(終値!M80:AF80)/AVERAGE(終値!M80:AF80),""))</f>
        <v>4.657596456156448E-2</v>
      </c>
      <c r="K80" s="503">
        <f>IF(終値!A80="","",IFERROR(4*STDEVP(終値!N80:AG80)/AVERAGE(終値!N80:AG80),""))</f>
        <v>3.9161912497925937E-2</v>
      </c>
      <c r="L80" s="503">
        <f>IF(終値!A80="","",IFERROR(4*STDEVP(終値!O80:AH80)/AVERAGE(終値!O80:AH80),""))</f>
        <v>3.8384755697709841E-2</v>
      </c>
      <c r="M80" s="503">
        <f>IF(終値!A80="","",IFERROR(4*STDEVP(終値!P80:AI80)/AVERAGE(終値!P80:AI80),""))</f>
        <v>3.8110518124972931E-2</v>
      </c>
      <c r="N80" s="503">
        <f>IF(終値!A80="","",IFERROR(4*STDEVP(終値!Q80:AJ80)/AVERAGE(終値!Q80:AJ80),""))</f>
        <v>3.8384658723832378E-2</v>
      </c>
      <c r="O80" s="503">
        <f>IF(終値!A80="","",IFERROR(4*STDEVP(終値!R80:AK80)/AVERAGE(終値!R80:AK80),""))</f>
        <v>3.8384658723832378E-2</v>
      </c>
      <c r="P80" s="503">
        <f>IF(終値!A80="","",IFERROR(4*STDEVP(終値!S80:AL80)/AVERAGE(終値!S80:AL80),""))</f>
        <v>4.2739298559626909E-2</v>
      </c>
      <c r="Q80" s="503">
        <f>IF(終値!A80="","",IFERROR(4*STDEVP(終値!T80:AM80)/AVERAGE(終値!T80:AM80),""))</f>
        <v>4.2969854907488003E-2</v>
      </c>
      <c r="R80" s="503">
        <f>IF(終値!A80="","",IFERROR(4*STDEVP(終値!U80:AN80)/AVERAGE(終値!U80:AN80),""))</f>
        <v>4.2432135826741914E-2</v>
      </c>
      <c r="S80" s="503">
        <f>IF(終値!A80="","",IFERROR(4*STDEVP(終値!V80:AO80)/AVERAGE(終値!V80:AO80),""))</f>
        <v>4.2131816540235657E-2</v>
      </c>
      <c r="T80" s="503">
        <f>IF(終値!A80="","",IFERROR(4*STDEVP(終値!W80:AP80)/AVERAGE(終値!W80:AP80),""))</f>
        <v>4.2382823689629902E-2</v>
      </c>
      <c r="U80" s="503">
        <f>IF(終値!A80="","",IFERROR(4*STDEVP(終値!X80:AQ80)/AVERAGE(終値!X80:AQ80),""))</f>
        <v>4.6951805668285183E-2</v>
      </c>
      <c r="V80" s="503">
        <f>IF(終値!A80="","",IFERROR(4*STDEVP(終値!Y80:AR80)/AVERAGE(終値!Y80:AR80),""))</f>
        <v>5.0401424616955431E-2</v>
      </c>
      <c r="W80" s="503">
        <f>IF(終値!A80="","",IFERROR(4*STDEVP(終値!Z80:AS80)/AVERAGE(終値!Z80:AS80),""))</f>
        <v>5.4697238978818521E-2</v>
      </c>
      <c r="X80" s="503">
        <f>IF(終値!A80="","",IFERROR(4*STDEVP(終値!AA80:AT80)/AVERAGE(終値!AA80:AT80),""))</f>
        <v>5.2442247933438914E-2</v>
      </c>
      <c r="Y80" s="503">
        <f>IF(終値!A80="","",IFERROR(4*STDEVP(終値!AB80:AU80)/AVERAGE(終値!AB80:AU80),""))</f>
        <v>5.8512082952316961E-2</v>
      </c>
      <c r="Z80" s="503">
        <f>IF(終値!A80="","",IFERROR(4*STDEVP(終値!AC80:AV80)/AVERAGE(終値!AC80:AV80),""))</f>
        <v>6.0121654521722682E-2</v>
      </c>
      <c r="AA80" s="503">
        <f>IF(終値!A80="","",IFERROR(4*STDEVP(終値!AD80:AW80)/AVERAGE(終値!AD80:AW80),""))</f>
        <v>6.1277722925089435E-2</v>
      </c>
      <c r="AB80" s="503">
        <f>IF(終値!A80="","",IFERROR(4*STDEVP(終値!AE80:AX80)/AVERAGE(終値!AE80:AX80),""))</f>
        <v>6.1350028323342652E-2</v>
      </c>
      <c r="AC80" s="503">
        <f>IF(終値!A80="","",IFERROR(4*STDEVP(終値!AF80:AY80)/AVERAGE(終値!AF80:AY80),""))</f>
        <v>6.0418920234811976E-2</v>
      </c>
      <c r="AD80" s="503">
        <f>IF(終値!A80="","",IFERROR(4*STDEVP(終値!AG80:AZ80)/AVERAGE(終値!AG80:AZ80),""))</f>
        <v>6.2536320673277718E-2</v>
      </c>
      <c r="AE80" s="503">
        <f>IF(終値!A80="","",IFERROR(4*STDEVP(終値!AH80:BA80)/AVERAGE(終値!AH80:BA80),""))</f>
        <v>6.2866664599851546E-2</v>
      </c>
      <c r="AF80" s="503">
        <f>IF(終値!A80="","",IFERROR(4*STDEVP(終値!AI80:BB80)/AVERAGE(終値!AI80:BB80),""))</f>
        <v>6.7491819272437692E-2</v>
      </c>
      <c r="AG80" s="503">
        <f>IF(終値!A80="","",IFERROR(4*STDEVP(終値!AJ80:BC80)/AVERAGE(終値!AJ80:BC80),""))</f>
        <v>6.795152846684481E-2</v>
      </c>
      <c r="AH80" s="503">
        <f>IF(終値!A80="","",IFERROR(4*STDEVP(終値!AK80:BD80)/AVERAGE(終値!AK80:BD80),""))</f>
        <v>6.666951991498353E-2</v>
      </c>
      <c r="AI80" s="503">
        <f>IF(終値!A80="","",IFERROR(4*STDEVP(終値!AL80:BE80)/AVERAGE(終値!AL80:BE80),""))</f>
        <v>6.9243328668008891E-2</v>
      </c>
      <c r="AJ80" s="503">
        <f>IF(終値!A80="","",IFERROR(4*STDEVP(終値!AM80:BF80)/AVERAGE(終値!AM80:BF80),""))</f>
        <v>6.2474484587628221E-2</v>
      </c>
      <c r="AK80" s="503">
        <f>IF(終値!A80="","",IFERROR(4*STDEVP(終値!AN80:BG80)/AVERAGE(終値!AN80:BG80),""))</f>
        <v>8.1630012927966553E-2</v>
      </c>
      <c r="AL80" s="503">
        <f>IF(終値!A80="","",IFERROR(4*STDEVP(終値!AO80:BH80)/AVERAGE(終値!AO80:BH80),""))</f>
        <v>9.8332424125522622E-2</v>
      </c>
      <c r="AM80" s="503">
        <f>IF(終値!A80="","",IFERROR(4*STDEVP(終値!AP80:BI80)/AVERAGE(終値!AP80:BI80),""))</f>
        <v>0.12592120750637029</v>
      </c>
      <c r="AN80" s="503">
        <f>IF(終値!A80="","",IFERROR(4*STDEVP(終値!AQ80:BJ80)/AVERAGE(終値!AQ80:BJ80),""))</f>
        <v>0.16263747194850633</v>
      </c>
      <c r="AO80" s="503">
        <f>IF(終値!A80="","",IFERROR(4*STDEVP(終値!AR80:BK80)/AVERAGE(終値!AR80:BK80),""))</f>
        <v>0.18071353210243329</v>
      </c>
      <c r="AP80" s="503">
        <f>IF(終値!A80="","",IFERROR(4*STDEVP(終値!AS80:BL80)/AVERAGE(終値!AS80:BL80),""))</f>
        <v>0.1878230543345828</v>
      </c>
    </row>
    <row r="81" spans="1:42">
      <c r="A81" s="500" t="str">
        <f>IF(終値!A81="","",終値!A81)</f>
        <v>6841</v>
      </c>
      <c r="B81" s="503">
        <f>IF(終値!A81="","",IFERROR(4*STDEVP(終値!E81:X81)/AVERAGE(終値!E81:X81),""))</f>
        <v>0.12791198241628979</v>
      </c>
      <c r="C81" s="503">
        <f>IF(終値!A81="","",IFERROR(4*STDEVP(終値!F81:Y81)/AVERAGE(終値!F81:Y81),""))</f>
        <v>0.11881436928299792</v>
      </c>
      <c r="D81" s="503">
        <f>IF(終値!A81="","",IFERROR(4*STDEVP(終値!G81:Z81)/AVERAGE(終値!G81:Z81),""))</f>
        <v>0.10961161219528232</v>
      </c>
      <c r="E81" s="503">
        <f>IF(終値!A81="","",IFERROR(4*STDEVP(終値!H81:AA81)/AVERAGE(終値!H81:AA81),""))</f>
        <v>0.10604688426351863</v>
      </c>
      <c r="F81" s="503">
        <f>IF(終値!A81="","",IFERROR(4*STDEVP(終値!I81:AB81)/AVERAGE(終値!I81:AB81),""))</f>
        <v>0.10649987780180604</v>
      </c>
      <c r="G81" s="503">
        <f>IF(終値!A81="","",IFERROR(4*STDEVP(終値!J81:AC81)/AVERAGE(終値!J81:AC81),""))</f>
        <v>0.10500681474880445</v>
      </c>
      <c r="H81" s="503">
        <f>IF(終値!A81="","",IFERROR(4*STDEVP(終値!K81:AD81)/AVERAGE(終値!K81:AD81),""))</f>
        <v>0.10476109137645137</v>
      </c>
      <c r="I81" s="503">
        <f>IF(終値!A81="","",IFERROR(4*STDEVP(終値!L81:AE81)/AVERAGE(終値!L81:AE81),""))</f>
        <v>0.10411822864761831</v>
      </c>
      <c r="J81" s="503">
        <f>IF(終値!A81="","",IFERROR(4*STDEVP(終値!M81:AF81)/AVERAGE(終値!M81:AF81),""))</f>
        <v>0.10467299896359163</v>
      </c>
      <c r="K81" s="503">
        <f>IF(終値!A81="","",IFERROR(4*STDEVP(終値!N81:AG81)/AVERAGE(終値!N81:AG81),""))</f>
        <v>8.6104420653426078E-2</v>
      </c>
      <c r="L81" s="503">
        <f>IF(終値!A81="","",IFERROR(4*STDEVP(終値!O81:AH81)/AVERAGE(終値!O81:AH81),""))</f>
        <v>8.3424733790759098E-2</v>
      </c>
      <c r="M81" s="503">
        <f>IF(終値!A81="","",IFERROR(4*STDEVP(終値!P81:AI81)/AVERAGE(終値!P81:AI81),""))</f>
        <v>8.0386983318327859E-2</v>
      </c>
      <c r="N81" s="503">
        <f>IF(終値!A81="","",IFERROR(4*STDEVP(終値!Q81:AJ81)/AVERAGE(終値!Q81:AJ81),""))</f>
        <v>7.937807214917296E-2</v>
      </c>
      <c r="O81" s="503">
        <f>IF(終値!A81="","",IFERROR(4*STDEVP(終値!R81:AK81)/AVERAGE(終値!R81:AK81),""))</f>
        <v>8.2891180634087167E-2</v>
      </c>
      <c r="P81" s="503">
        <f>IF(終値!A81="","",IFERROR(4*STDEVP(終値!S81:AL81)/AVERAGE(終値!S81:AL81),""))</f>
        <v>8.2533810400541266E-2</v>
      </c>
      <c r="Q81" s="503">
        <f>IF(終値!A81="","",IFERROR(4*STDEVP(終値!T81:AM81)/AVERAGE(終値!T81:AM81),""))</f>
        <v>8.8686679921083228E-2</v>
      </c>
      <c r="R81" s="503">
        <f>IF(終値!A81="","",IFERROR(4*STDEVP(終値!U81:AN81)/AVERAGE(終値!U81:AN81),""))</f>
        <v>0.10304578136669069</v>
      </c>
      <c r="S81" s="503">
        <f>IF(終値!A81="","",IFERROR(4*STDEVP(終値!V81:AO81)/AVERAGE(終値!V81:AO81),""))</f>
        <v>0.12107739276094809</v>
      </c>
      <c r="T81" s="503">
        <f>IF(終値!A81="","",IFERROR(4*STDEVP(終値!W81:AP81)/AVERAGE(終値!W81:AP81),""))</f>
        <v>0.16400005673948437</v>
      </c>
      <c r="U81" s="503">
        <f>IF(終値!A81="","",IFERROR(4*STDEVP(終値!X81:AQ81)/AVERAGE(終値!X81:AQ81),""))</f>
        <v>0.20287382513716556</v>
      </c>
      <c r="V81" s="503">
        <f>IF(終値!A81="","",IFERROR(4*STDEVP(終値!Y81:AR81)/AVERAGE(終値!Y81:AR81),""))</f>
        <v>0.23427273091040202</v>
      </c>
      <c r="W81" s="503">
        <f>IF(終値!A81="","",IFERROR(4*STDEVP(終値!Z81:AS81)/AVERAGE(終値!Z81:AS81),""))</f>
        <v>0.24616511592759638</v>
      </c>
      <c r="X81" s="503">
        <f>IF(終値!A81="","",IFERROR(4*STDEVP(終値!AA81:AT81)/AVERAGE(終値!AA81:AT81),""))</f>
        <v>0.23671162016954406</v>
      </c>
      <c r="Y81" s="503">
        <f>IF(終値!A81="","",IFERROR(4*STDEVP(終値!AB81:AU81)/AVERAGE(終値!AB81:AU81),""))</f>
        <v>0.22563446372759297</v>
      </c>
      <c r="Z81" s="503">
        <f>IF(終値!A81="","",IFERROR(4*STDEVP(終値!AC81:AV81)/AVERAGE(終値!AC81:AV81),""))</f>
        <v>0.22246381172914967</v>
      </c>
      <c r="AA81" s="503">
        <f>IF(終値!A81="","",IFERROR(4*STDEVP(終値!AD81:AW81)/AVERAGE(終値!AD81:AW81),""))</f>
        <v>0.21623412491432997</v>
      </c>
      <c r="AB81" s="503">
        <f>IF(終値!A81="","",IFERROR(4*STDEVP(終値!AE81:AX81)/AVERAGE(終値!AE81:AX81),""))</f>
        <v>0.21524231045822692</v>
      </c>
      <c r="AC81" s="503">
        <f>IF(終値!A81="","",IFERROR(4*STDEVP(終値!AF81:AY81)/AVERAGE(終値!AF81:AY81),""))</f>
        <v>0.21699947764187025</v>
      </c>
      <c r="AD81" s="503">
        <f>IF(終値!A81="","",IFERROR(4*STDEVP(終値!AG81:AZ81)/AVERAGE(終値!AG81:AZ81),""))</f>
        <v>0.2154532695634418</v>
      </c>
      <c r="AE81" s="503">
        <f>IF(終値!A81="","",IFERROR(4*STDEVP(終値!AH81:BA81)/AVERAGE(終値!AH81:BA81),""))</f>
        <v>0.20777942862166454</v>
      </c>
      <c r="AF81" s="503">
        <f>IF(終値!A81="","",IFERROR(4*STDEVP(終値!AI81:BB81)/AVERAGE(終値!AI81:BB81),""))</f>
        <v>0.2080684501973728</v>
      </c>
      <c r="AG81" s="503">
        <f>IF(終値!A81="","",IFERROR(4*STDEVP(終値!AJ81:BC81)/AVERAGE(終値!AJ81:BC81),""))</f>
        <v>0.2067670125961901</v>
      </c>
      <c r="AH81" s="503">
        <f>IF(終値!A81="","",IFERROR(4*STDEVP(終値!AK81:BD81)/AVERAGE(終値!AK81:BD81),""))</f>
        <v>0.19077748021336771</v>
      </c>
      <c r="AI81" s="503">
        <f>IF(終値!A81="","",IFERROR(4*STDEVP(終値!AL81:BE81)/AVERAGE(終値!AL81:BE81),""))</f>
        <v>0.18502446688914706</v>
      </c>
      <c r="AJ81" s="503">
        <f>IF(終値!A81="","",IFERROR(4*STDEVP(終値!AM81:BF81)/AVERAGE(終値!AM81:BF81),""))</f>
        <v>0.16872596022785732</v>
      </c>
      <c r="AK81" s="503">
        <f>IF(終値!A81="","",IFERROR(4*STDEVP(終値!AN81:BG81)/AVERAGE(終値!AN81:BG81),""))</f>
        <v>0.15417039814275907</v>
      </c>
      <c r="AL81" s="503">
        <f>IF(終値!A81="","",IFERROR(4*STDEVP(終値!AO81:BH81)/AVERAGE(終値!AO81:BH81),""))</f>
        <v>0.14897845777647725</v>
      </c>
      <c r="AM81" s="503">
        <f>IF(終値!A81="","",IFERROR(4*STDEVP(終値!AP81:BI81)/AVERAGE(終値!AP81:BI81),""))</f>
        <v>0.15422235932416289</v>
      </c>
      <c r="AN81" s="503">
        <f>IF(終値!A81="","",IFERROR(4*STDEVP(終値!AQ81:BJ81)/AVERAGE(終値!AQ81:BJ81),""))</f>
        <v>0.15909568052517103</v>
      </c>
      <c r="AO81" s="503">
        <f>IF(終値!A81="","",IFERROR(4*STDEVP(終値!AR81:BK81)/AVERAGE(終値!AR81:BK81),""))</f>
        <v>0.16458689334240145</v>
      </c>
      <c r="AP81" s="503">
        <f>IF(終値!A81="","",IFERROR(4*STDEVP(終値!AS81:BL81)/AVERAGE(終値!AS81:BL81),""))</f>
        <v>0.15780860551395082</v>
      </c>
    </row>
    <row r="82" spans="1:42">
      <c r="A82" s="500" t="str">
        <f>IF(終値!A82="","",終値!A82)</f>
        <v>7167</v>
      </c>
      <c r="B82" s="503">
        <f>IF(終値!A82="","",IFERROR(4*STDEVP(終値!E82:X82)/AVERAGE(終値!E82:X82),""))</f>
        <v>0.10914643246430386</v>
      </c>
      <c r="C82" s="503">
        <f>IF(終値!A82="","",IFERROR(4*STDEVP(終値!F82:Y82)/AVERAGE(終値!F82:Y82),""))</f>
        <v>8.7506692584767731E-2</v>
      </c>
      <c r="D82" s="503">
        <f>IF(終値!A82="","",IFERROR(4*STDEVP(終値!G82:Z82)/AVERAGE(終値!G82:Z82),""))</f>
        <v>8.7846761132397991E-2</v>
      </c>
      <c r="E82" s="503">
        <f>IF(終値!A82="","",IFERROR(4*STDEVP(終値!H82:AA82)/AVERAGE(終値!H82:AA82),""))</f>
        <v>8.72432542219857E-2</v>
      </c>
      <c r="F82" s="503">
        <f>IF(終値!A82="","",IFERROR(4*STDEVP(終値!I82:AB82)/AVERAGE(終値!I82:AB82),""))</f>
        <v>8.7715515164231775E-2</v>
      </c>
      <c r="G82" s="503">
        <f>IF(終値!A82="","",IFERROR(4*STDEVP(終値!J82:AC82)/AVERAGE(終値!J82:AC82),""))</f>
        <v>9.9742103349020617E-2</v>
      </c>
      <c r="H82" s="503">
        <f>IF(終値!A82="","",IFERROR(4*STDEVP(終値!K82:AD82)/AVERAGE(終値!K82:AD82),""))</f>
        <v>0.11248081535697103</v>
      </c>
      <c r="I82" s="503">
        <f>IF(終値!A82="","",IFERROR(4*STDEVP(終値!L82:AE82)/AVERAGE(終値!L82:AE82),""))</f>
        <v>0.12572539020215215</v>
      </c>
      <c r="J82" s="503">
        <f>IF(終値!A82="","",IFERROR(4*STDEVP(終値!M82:AF82)/AVERAGE(終値!M82:AF82),""))</f>
        <v>0.13758335105680572</v>
      </c>
      <c r="K82" s="503">
        <f>IF(終値!A82="","",IFERROR(4*STDEVP(終値!N82:AG82)/AVERAGE(終値!N82:AG82),""))</f>
        <v>0.14993873882239078</v>
      </c>
      <c r="L82" s="503">
        <f>IF(終値!A82="","",IFERROR(4*STDEVP(終値!O82:AH82)/AVERAGE(終値!O82:AH82),""))</f>
        <v>0.15920614796681237</v>
      </c>
      <c r="M82" s="503">
        <f>IF(終値!A82="","",IFERROR(4*STDEVP(終値!P82:AI82)/AVERAGE(終値!P82:AI82),""))</f>
        <v>0.16356687989894353</v>
      </c>
      <c r="N82" s="503">
        <f>IF(終値!A82="","",IFERROR(4*STDEVP(終値!Q82:AJ82)/AVERAGE(終値!Q82:AJ82),""))</f>
        <v>0.16603826600371011</v>
      </c>
      <c r="O82" s="503">
        <f>IF(終値!A82="","",IFERROR(4*STDEVP(終値!R82:AK82)/AVERAGE(終値!R82:AK82),""))</f>
        <v>0.17039591695306094</v>
      </c>
      <c r="P82" s="503">
        <f>IF(終値!A82="","",IFERROR(4*STDEVP(終値!S82:AL82)/AVERAGE(終値!S82:AL82),""))</f>
        <v>0.1693195540198851</v>
      </c>
      <c r="Q82" s="503">
        <f>IF(終値!A82="","",IFERROR(4*STDEVP(終値!T82:AM82)/AVERAGE(終値!T82:AM82),""))</f>
        <v>0.17228447398119601</v>
      </c>
      <c r="R82" s="503">
        <f>IF(終値!A82="","",IFERROR(4*STDEVP(終値!U82:AN82)/AVERAGE(終値!U82:AN82),""))</f>
        <v>0.17113521097030315</v>
      </c>
      <c r="S82" s="503">
        <f>IF(終値!A82="","",IFERROR(4*STDEVP(終値!V82:AO82)/AVERAGE(終値!V82:AO82),""))</f>
        <v>0.16716068208426466</v>
      </c>
      <c r="T82" s="503">
        <f>IF(終値!A82="","",IFERROR(4*STDEVP(終値!W82:AP82)/AVERAGE(終値!W82:AP82),""))</f>
        <v>0.16080519607102281</v>
      </c>
      <c r="U82" s="503">
        <f>IF(終値!A82="","",IFERROR(4*STDEVP(終値!X82:AQ82)/AVERAGE(終値!X82:AQ82),""))</f>
        <v>0.15098027210079973</v>
      </c>
      <c r="V82" s="503">
        <f>IF(終値!A82="","",IFERROR(4*STDEVP(終値!Y82:AR82)/AVERAGE(終値!Y82:AR82),""))</f>
        <v>0.13118095861743886</v>
      </c>
      <c r="W82" s="503">
        <f>IF(終値!A82="","",IFERROR(4*STDEVP(終値!Z82:AS82)/AVERAGE(終値!Z82:AS82),""))</f>
        <v>0.12280331504251923</v>
      </c>
      <c r="X82" s="503">
        <f>IF(終値!A82="","",IFERROR(4*STDEVP(終値!AA82:AT82)/AVERAGE(終値!AA82:AT82),""))</f>
        <v>0.10508501047290136</v>
      </c>
      <c r="Y82" s="503">
        <f>IF(終値!A82="","",IFERROR(4*STDEVP(終値!AB82:AU82)/AVERAGE(終値!AB82:AU82),""))</f>
        <v>9.1501739298266868E-2</v>
      </c>
      <c r="Z82" s="503">
        <f>IF(終値!A82="","",IFERROR(4*STDEVP(終値!AC82:AV82)/AVERAGE(終値!AC82:AV82),""))</f>
        <v>8.4056938666141154E-2</v>
      </c>
      <c r="AA82" s="503">
        <f>IF(終値!A82="","",IFERROR(4*STDEVP(終値!AD82:AW82)/AVERAGE(終値!AD82:AW82),""))</f>
        <v>9.3875206197046632E-2</v>
      </c>
      <c r="AB82" s="503">
        <f>IF(終値!A82="","",IFERROR(4*STDEVP(終値!AE82:AX82)/AVERAGE(終値!AE82:AX82),""))</f>
        <v>9.9363991301099297E-2</v>
      </c>
      <c r="AC82" s="503">
        <f>IF(終値!A82="","",IFERROR(4*STDEVP(終値!AF82:AY82)/AVERAGE(終値!AF82:AY82),""))</f>
        <v>9.9342663361764103E-2</v>
      </c>
      <c r="AD82" s="503">
        <f>IF(終値!A82="","",IFERROR(4*STDEVP(終値!AG82:AZ82)/AVERAGE(終値!AG82:AZ82),""))</f>
        <v>9.7925358880169663E-2</v>
      </c>
      <c r="AE82" s="503">
        <f>IF(終値!A82="","",IFERROR(4*STDEVP(終値!AH82:BA82)/AVERAGE(終値!AH82:BA82),""))</f>
        <v>9.8077058575147175E-2</v>
      </c>
      <c r="AF82" s="503">
        <f>IF(終値!A82="","",IFERROR(4*STDEVP(終値!AI82:BB82)/AVERAGE(終値!AI82:BB82),""))</f>
        <v>9.8614157246000145E-2</v>
      </c>
      <c r="AG82" s="503">
        <f>IF(終値!A82="","",IFERROR(4*STDEVP(終値!AJ82:BC82)/AVERAGE(終値!AJ82:BC82),""))</f>
        <v>9.8422444299046605E-2</v>
      </c>
      <c r="AH82" s="503">
        <f>IF(終値!A82="","",IFERROR(4*STDEVP(終値!AK82:BD82)/AVERAGE(終値!AK82:BD82),""))</f>
        <v>9.3818071970991165E-2</v>
      </c>
      <c r="AI82" s="503">
        <f>IF(終値!A82="","",IFERROR(4*STDEVP(終値!AL82:BE82)/AVERAGE(終値!AL82:BE82),""))</f>
        <v>9.1490177768303413E-2</v>
      </c>
      <c r="AJ82" s="503">
        <f>IF(終値!A82="","",IFERROR(4*STDEVP(終値!AM82:BF82)/AVERAGE(終値!AM82:BF82),""))</f>
        <v>8.1070454876232045E-2</v>
      </c>
      <c r="AK82" s="503">
        <f>IF(終値!A82="","",IFERROR(4*STDEVP(終値!AN82:BG82)/AVERAGE(終値!AN82:BG82),""))</f>
        <v>8.0420333500668517E-2</v>
      </c>
      <c r="AL82" s="503">
        <f>IF(終値!A82="","",IFERROR(4*STDEVP(終値!AO82:BH82)/AVERAGE(終値!AO82:BH82),""))</f>
        <v>7.5459182743374958E-2</v>
      </c>
      <c r="AM82" s="503">
        <f>IF(終値!A82="","",IFERROR(4*STDEVP(終値!AP82:BI82)/AVERAGE(終値!AP82:BI82),""))</f>
        <v>6.938002173974718E-2</v>
      </c>
      <c r="AN82" s="503">
        <f>IF(終値!A82="","",IFERROR(4*STDEVP(終値!AQ82:BJ82)/AVERAGE(終値!AQ82:BJ82),""))</f>
        <v>6.5257463863920048E-2</v>
      </c>
      <c r="AO82" s="503">
        <f>IF(終値!A82="","",IFERROR(4*STDEVP(終値!AR82:BK82)/AVERAGE(終値!AR82:BK82),""))</f>
        <v>6.7220717820448153E-2</v>
      </c>
      <c r="AP82" s="503">
        <f>IF(終値!A82="","",IFERROR(4*STDEVP(終値!AS82:BL82)/AVERAGE(終値!AS82:BL82),""))</f>
        <v>7.3733963515957901E-2</v>
      </c>
    </row>
    <row r="83" spans="1:42">
      <c r="A83" s="500" t="str">
        <f>IF(終値!A83="","",終値!A83)</f>
        <v>1925</v>
      </c>
      <c r="B83" s="503">
        <f>IF(終値!A83="","",IFERROR(4*STDEVP(終値!E83:X83)/AVERAGE(終値!E83:X83),""))</f>
        <v>9.267915292749497E-2</v>
      </c>
      <c r="C83" s="503">
        <f>IF(終値!A83="","",IFERROR(4*STDEVP(終値!F83:Y83)/AVERAGE(終値!F83:Y83),""))</f>
        <v>9.2881128820116898E-2</v>
      </c>
      <c r="D83" s="503">
        <f>IF(終値!A83="","",IFERROR(4*STDEVP(終値!G83:Z83)/AVERAGE(終値!G83:Z83),""))</f>
        <v>9.1118833550679582E-2</v>
      </c>
      <c r="E83" s="503">
        <f>IF(終値!A83="","",IFERROR(4*STDEVP(終値!H83:AA83)/AVERAGE(終値!H83:AA83),""))</f>
        <v>9.2810101410854509E-2</v>
      </c>
      <c r="F83" s="503">
        <f>IF(終値!A83="","",IFERROR(4*STDEVP(終値!I83:AB83)/AVERAGE(終値!I83:AB83),""))</f>
        <v>9.7761353930722245E-2</v>
      </c>
      <c r="G83" s="503">
        <f>IF(終値!A83="","",IFERROR(4*STDEVP(終値!J83:AC83)/AVERAGE(終値!J83:AC83),""))</f>
        <v>0.10587183497768277</v>
      </c>
      <c r="H83" s="503">
        <f>IF(終値!A83="","",IFERROR(4*STDEVP(終値!K83:AD83)/AVERAGE(終値!K83:AD83),""))</f>
        <v>0.10113763487601024</v>
      </c>
      <c r="I83" s="503">
        <f>IF(終値!A83="","",IFERROR(4*STDEVP(終値!L83:AE83)/AVERAGE(終値!L83:AE83),""))</f>
        <v>7.9931718081350134E-2</v>
      </c>
      <c r="J83" s="503">
        <f>IF(終値!A83="","",IFERROR(4*STDEVP(終値!M83:AF83)/AVERAGE(終値!M83:AF83),""))</f>
        <v>7.2260121984502657E-2</v>
      </c>
      <c r="K83" s="503">
        <f>IF(終値!A83="","",IFERROR(4*STDEVP(終値!N83:AG83)/AVERAGE(終値!N83:AG83),""))</f>
        <v>6.931362590153245E-2</v>
      </c>
      <c r="L83" s="503">
        <f>IF(終値!A83="","",IFERROR(4*STDEVP(終値!O83:AH83)/AVERAGE(終値!O83:AH83),""))</f>
        <v>7.8422171856770653E-2</v>
      </c>
      <c r="M83" s="503">
        <f>IF(終値!A83="","",IFERROR(4*STDEVP(終値!P83:AI83)/AVERAGE(終値!P83:AI83),""))</f>
        <v>8.9622046366300806E-2</v>
      </c>
      <c r="N83" s="503">
        <f>IF(終値!A83="","",IFERROR(4*STDEVP(終値!Q83:AJ83)/AVERAGE(終値!Q83:AJ83),""))</f>
        <v>9.4905321141051283E-2</v>
      </c>
      <c r="O83" s="503">
        <f>IF(終値!A83="","",IFERROR(4*STDEVP(終値!R83:AK83)/AVERAGE(終値!R83:AK83),""))</f>
        <v>9.1585502040790912E-2</v>
      </c>
      <c r="P83" s="503">
        <f>IF(終値!A83="","",IFERROR(4*STDEVP(終値!S83:AL83)/AVERAGE(終値!S83:AL83),""))</f>
        <v>9.006861826239998E-2</v>
      </c>
      <c r="Q83" s="503">
        <f>IF(終値!A83="","",IFERROR(4*STDEVP(終値!T83:AM83)/AVERAGE(終値!T83:AM83),""))</f>
        <v>8.6777656743807385E-2</v>
      </c>
      <c r="R83" s="503">
        <f>IF(終値!A83="","",IFERROR(4*STDEVP(終値!U83:AN83)/AVERAGE(終値!U83:AN83),""))</f>
        <v>8.2833878253440851E-2</v>
      </c>
      <c r="S83" s="503">
        <f>IF(終値!A83="","",IFERROR(4*STDEVP(終値!V83:AO83)/AVERAGE(終値!V83:AO83),""))</f>
        <v>7.9926821359294367E-2</v>
      </c>
      <c r="T83" s="503">
        <f>IF(終値!A83="","",IFERROR(4*STDEVP(終値!W83:AP83)/AVERAGE(終値!W83:AP83),""))</f>
        <v>8.1460888469728876E-2</v>
      </c>
      <c r="U83" s="503">
        <f>IF(終値!A83="","",IFERROR(4*STDEVP(終値!X83:AQ83)/AVERAGE(終値!X83:AQ83),""))</f>
        <v>8.2072268964979128E-2</v>
      </c>
      <c r="V83" s="503">
        <f>IF(終値!A83="","",IFERROR(4*STDEVP(終値!Y83:AR83)/AVERAGE(終値!Y83:AR83),""))</f>
        <v>7.636789478849608E-2</v>
      </c>
      <c r="W83" s="503">
        <f>IF(終値!A83="","",IFERROR(4*STDEVP(終値!Z83:AS83)/AVERAGE(終値!Z83:AS83),""))</f>
        <v>7.1096781088346175E-2</v>
      </c>
      <c r="X83" s="503">
        <f>IF(終値!A83="","",IFERROR(4*STDEVP(終値!AA83:AT83)/AVERAGE(終値!AA83:AT83),""))</f>
        <v>6.8713510876266926E-2</v>
      </c>
      <c r="Y83" s="503">
        <f>IF(終値!A83="","",IFERROR(4*STDEVP(終値!AB83:AU83)/AVERAGE(終値!AB83:AU83),""))</f>
        <v>6.6122094975173226E-2</v>
      </c>
      <c r="Z83" s="503">
        <f>IF(終値!A83="","",IFERROR(4*STDEVP(終値!AC83:AV83)/AVERAGE(終値!AC83:AV83),""))</f>
        <v>6.3164558854573491E-2</v>
      </c>
      <c r="AA83" s="503">
        <f>IF(終値!A83="","",IFERROR(4*STDEVP(終値!AD83:AW83)/AVERAGE(終値!AD83:AW83),""))</f>
        <v>6.8375544080343215E-2</v>
      </c>
      <c r="AB83" s="503">
        <f>IF(終値!A83="","",IFERROR(4*STDEVP(終値!AE83:AX83)/AVERAGE(終値!AE83:AX83),""))</f>
        <v>6.5488248926993217E-2</v>
      </c>
      <c r="AC83" s="503">
        <f>IF(終値!A83="","",IFERROR(4*STDEVP(終値!AF83:AY83)/AVERAGE(終値!AF83:AY83),""))</f>
        <v>6.0379343176353725E-2</v>
      </c>
      <c r="AD83" s="503">
        <f>IF(終値!A83="","",IFERROR(4*STDEVP(終値!AG83:AZ83)/AVERAGE(終値!AG83:AZ83),""))</f>
        <v>5.881445801530364E-2</v>
      </c>
      <c r="AE83" s="503">
        <f>IF(終値!A83="","",IFERROR(4*STDEVP(終値!AH83:BA83)/AVERAGE(終値!AH83:BA83),""))</f>
        <v>6.3051017426660624E-2</v>
      </c>
      <c r="AF83" s="503">
        <f>IF(終値!A83="","",IFERROR(4*STDEVP(終値!AI83:BB83)/AVERAGE(終値!AI83:BB83),""))</f>
        <v>6.6084133162510175E-2</v>
      </c>
      <c r="AG83" s="503">
        <f>IF(終値!A83="","",IFERROR(4*STDEVP(終値!AJ83:BC83)/AVERAGE(終値!AJ83:BC83),""))</f>
        <v>7.0171017621894483E-2</v>
      </c>
      <c r="AH83" s="503">
        <f>IF(終値!A83="","",IFERROR(4*STDEVP(終値!AK83:BD83)/AVERAGE(終値!AK83:BD83),""))</f>
        <v>7.5974584917564744E-2</v>
      </c>
      <c r="AI83" s="503">
        <f>IF(終値!A83="","",IFERROR(4*STDEVP(終値!AL83:BE83)/AVERAGE(終値!AL83:BE83),""))</f>
        <v>8.6096818449891963E-2</v>
      </c>
      <c r="AJ83" s="503">
        <f>IF(終値!A83="","",IFERROR(4*STDEVP(終値!AM83:BF83)/AVERAGE(終値!AM83:BF83),""))</f>
        <v>9.0000650318621603E-2</v>
      </c>
      <c r="AK83" s="503">
        <f>IF(終値!A83="","",IFERROR(4*STDEVP(終値!AN83:BG83)/AVERAGE(終値!AN83:BG83),""))</f>
        <v>9.6991959122159424E-2</v>
      </c>
      <c r="AL83" s="503">
        <f>IF(終値!A83="","",IFERROR(4*STDEVP(終値!AO83:BH83)/AVERAGE(終値!AO83:BH83),""))</f>
        <v>0.10268525096110767</v>
      </c>
      <c r="AM83" s="503">
        <f>IF(終値!A83="","",IFERROR(4*STDEVP(終値!AP83:BI83)/AVERAGE(終値!AP83:BI83),""))</f>
        <v>0.12992258579501931</v>
      </c>
      <c r="AN83" s="503">
        <f>IF(終値!A83="","",IFERROR(4*STDEVP(終値!AQ83:BJ83)/AVERAGE(終値!AQ83:BJ83),""))</f>
        <v>0.14867255622770401</v>
      </c>
      <c r="AO83" s="503">
        <f>IF(終値!A83="","",IFERROR(4*STDEVP(終値!AR83:BK83)/AVERAGE(終値!AR83:BK83),""))</f>
        <v>0.16032559753857428</v>
      </c>
      <c r="AP83" s="503">
        <f>IF(終値!A83="","",IFERROR(4*STDEVP(終値!AS83:BL83)/AVERAGE(終値!AS83:BL83),""))</f>
        <v>0.1715917586862368</v>
      </c>
    </row>
    <row r="84" spans="1:42">
      <c r="A84" s="500" t="str">
        <f>IF(終値!A84="","",終値!A84)</f>
        <v>5411</v>
      </c>
      <c r="B84" s="503">
        <f>IF(終値!A84="","",IFERROR(4*STDEVP(終値!E84:X84)/AVERAGE(終値!E84:X84),""))</f>
        <v>0.1890748926982877</v>
      </c>
      <c r="C84" s="503">
        <f>IF(終値!A84="","",IFERROR(4*STDEVP(終値!F84:Y84)/AVERAGE(終値!F84:Y84),""))</f>
        <v>0.18556510474135693</v>
      </c>
      <c r="D84" s="503">
        <f>IF(終値!A84="","",IFERROR(4*STDEVP(終値!G84:Z84)/AVERAGE(終値!G84:Z84),""))</f>
        <v>0.18233592142938851</v>
      </c>
      <c r="E84" s="503">
        <f>IF(終値!A84="","",IFERROR(4*STDEVP(終値!H84:AA84)/AVERAGE(終値!H84:AA84),""))</f>
        <v>0.18955446456239392</v>
      </c>
      <c r="F84" s="503">
        <f>IF(終値!A84="","",IFERROR(4*STDEVP(終値!I84:AB84)/AVERAGE(終値!I84:AB84),""))</f>
        <v>0.19956085527786205</v>
      </c>
      <c r="G84" s="503">
        <f>IF(終値!A84="","",IFERROR(4*STDEVP(終値!J84:AC84)/AVERAGE(終値!J84:AC84),""))</f>
        <v>0.20592031206605627</v>
      </c>
      <c r="H84" s="503">
        <f>IF(終値!A84="","",IFERROR(4*STDEVP(終値!K84:AD84)/AVERAGE(終値!K84:AD84),""))</f>
        <v>0.19548831069630379</v>
      </c>
      <c r="I84" s="503">
        <f>IF(終値!A84="","",IFERROR(4*STDEVP(終値!L84:AE84)/AVERAGE(終値!L84:AE84),""))</f>
        <v>0.17512391352454457</v>
      </c>
      <c r="J84" s="503">
        <f>IF(終値!A84="","",IFERROR(4*STDEVP(終値!M84:AF84)/AVERAGE(終値!M84:AF84),""))</f>
        <v>0.16955958811013286</v>
      </c>
      <c r="K84" s="503">
        <f>IF(終値!A84="","",IFERROR(4*STDEVP(終値!N84:AG84)/AVERAGE(終値!N84:AG84),""))</f>
        <v>0.15542645865248289</v>
      </c>
      <c r="L84" s="503">
        <f>IF(終値!A84="","",IFERROR(4*STDEVP(終値!O84:AH84)/AVERAGE(終値!O84:AH84),""))</f>
        <v>0.15268055249202941</v>
      </c>
      <c r="M84" s="503">
        <f>IF(終値!A84="","",IFERROR(4*STDEVP(終値!P84:AI84)/AVERAGE(終値!P84:AI84),""))</f>
        <v>0.14597213196266212</v>
      </c>
      <c r="N84" s="503">
        <f>IF(終値!A84="","",IFERROR(4*STDEVP(終値!Q84:AJ84)/AVERAGE(終値!Q84:AJ84),""))</f>
        <v>0.13609399524777632</v>
      </c>
      <c r="O84" s="503">
        <f>IF(終値!A84="","",IFERROR(4*STDEVP(終値!R84:AK84)/AVERAGE(終値!R84:AK84),""))</f>
        <v>0.11646980576498779</v>
      </c>
      <c r="P84" s="503">
        <f>IF(終値!A84="","",IFERROR(4*STDEVP(終値!S84:AL84)/AVERAGE(終値!S84:AL84),""))</f>
        <v>0.10712046381123769</v>
      </c>
      <c r="Q84" s="503">
        <f>IF(終値!A84="","",IFERROR(4*STDEVP(終値!T84:AM84)/AVERAGE(終値!T84:AM84),""))</f>
        <v>0.10043064002995408</v>
      </c>
      <c r="R84" s="503">
        <f>IF(終値!A84="","",IFERROR(4*STDEVP(終値!U84:AN84)/AVERAGE(終値!U84:AN84),""))</f>
        <v>9.723934113571446E-2</v>
      </c>
      <c r="S84" s="503">
        <f>IF(終値!A84="","",IFERROR(4*STDEVP(終値!V84:AO84)/AVERAGE(終値!V84:AO84),""))</f>
        <v>9.948335816336705E-2</v>
      </c>
      <c r="T84" s="503">
        <f>IF(終値!A84="","",IFERROR(4*STDEVP(終値!W84:AP84)/AVERAGE(終値!W84:AP84),""))</f>
        <v>9.9030245114819698E-2</v>
      </c>
      <c r="U84" s="503">
        <f>IF(終値!A84="","",IFERROR(4*STDEVP(終値!X84:AQ84)/AVERAGE(終値!X84:AQ84),""))</f>
        <v>9.9861990288346636E-2</v>
      </c>
      <c r="V84" s="503">
        <f>IF(終値!A84="","",IFERROR(4*STDEVP(終値!Y84:AR84)/AVERAGE(終値!Y84:AR84),""))</f>
        <v>9.6611959123149765E-2</v>
      </c>
      <c r="W84" s="503">
        <f>IF(終値!A84="","",IFERROR(4*STDEVP(終値!Z84:AS84)/AVERAGE(終値!Z84:AS84),""))</f>
        <v>9.1351067317856291E-2</v>
      </c>
      <c r="X84" s="503">
        <f>IF(終値!A84="","",IFERROR(4*STDEVP(終値!AA84:AT84)/AVERAGE(終値!AA84:AT84),""))</f>
        <v>8.5467908822859623E-2</v>
      </c>
      <c r="Y84" s="503">
        <f>IF(終値!A84="","",IFERROR(4*STDEVP(終値!AB84:AU84)/AVERAGE(終値!AB84:AU84),""))</f>
        <v>8.5500158094264186E-2</v>
      </c>
      <c r="Z84" s="503">
        <f>IF(終値!A84="","",IFERROR(4*STDEVP(終値!AC84:AV84)/AVERAGE(終値!AC84:AV84),""))</f>
        <v>8.4659979043470446E-2</v>
      </c>
      <c r="AA84" s="503">
        <f>IF(終値!A84="","",IFERROR(4*STDEVP(終値!AD84:AW84)/AVERAGE(終値!AD84:AW84),""))</f>
        <v>8.1409712881682597E-2</v>
      </c>
      <c r="AB84" s="503">
        <f>IF(終値!A84="","",IFERROR(4*STDEVP(終値!AE84:AX84)/AVERAGE(終値!AE84:AX84),""))</f>
        <v>9.6916018673249713E-2</v>
      </c>
      <c r="AC84" s="503">
        <f>IF(終値!A84="","",IFERROR(4*STDEVP(終値!AF84:AY84)/AVERAGE(終値!AF84:AY84),""))</f>
        <v>0.10228886062920052</v>
      </c>
      <c r="AD84" s="503">
        <f>IF(終値!A84="","",IFERROR(4*STDEVP(終値!AG84:AZ84)/AVERAGE(終値!AG84:AZ84),""))</f>
        <v>0.10247151124011664</v>
      </c>
      <c r="AE84" s="503">
        <f>IF(終値!A84="","",IFERROR(4*STDEVP(終値!AH84:BA84)/AVERAGE(終値!AH84:BA84),""))</f>
        <v>9.4966207118595089E-2</v>
      </c>
      <c r="AF84" s="503">
        <f>IF(終値!A84="","",IFERROR(4*STDEVP(終値!AI84:BB84)/AVERAGE(終値!AI84:BB84),""))</f>
        <v>8.9006484881815284E-2</v>
      </c>
      <c r="AG84" s="503">
        <f>IF(終値!A84="","",IFERROR(4*STDEVP(終値!AJ84:BC84)/AVERAGE(終値!AJ84:BC84),""))</f>
        <v>8.3568977130043215E-2</v>
      </c>
      <c r="AH84" s="503">
        <f>IF(終値!A84="","",IFERROR(4*STDEVP(終値!AK84:BD84)/AVERAGE(終値!AK84:BD84),""))</f>
        <v>8.2919277997554205E-2</v>
      </c>
      <c r="AI84" s="503">
        <f>IF(終値!A84="","",IFERROR(4*STDEVP(終値!AL84:BE84)/AVERAGE(終値!AL84:BE84),""))</f>
        <v>8.5131895326590268E-2</v>
      </c>
      <c r="AJ84" s="503">
        <f>IF(終値!A84="","",IFERROR(4*STDEVP(終値!AM84:BF84)/AVERAGE(終値!AM84:BF84),""))</f>
        <v>8.5610605792801983E-2</v>
      </c>
      <c r="AK84" s="503">
        <f>IF(終値!A84="","",IFERROR(4*STDEVP(終値!AN84:BG84)/AVERAGE(終値!AN84:BG84),""))</f>
        <v>8.9095800761571142E-2</v>
      </c>
      <c r="AL84" s="503">
        <f>IF(終値!A84="","",IFERROR(4*STDEVP(終値!AO84:BH84)/AVERAGE(終値!AO84:BH84),""))</f>
        <v>9.3907182753292004E-2</v>
      </c>
      <c r="AM84" s="503">
        <f>IF(終値!A84="","",IFERROR(4*STDEVP(終値!AP84:BI84)/AVERAGE(終値!AP84:BI84),""))</f>
        <v>0.10402954914321567</v>
      </c>
      <c r="AN84" s="503">
        <f>IF(終値!A84="","",IFERROR(4*STDEVP(終値!AQ84:BJ84)/AVERAGE(終値!AQ84:BJ84),""))</f>
        <v>0.10527743794848091</v>
      </c>
      <c r="AO84" s="503">
        <f>IF(終値!A84="","",IFERROR(4*STDEVP(終値!AR84:BK84)/AVERAGE(終値!AR84:BK84),""))</f>
        <v>9.9765493879042072E-2</v>
      </c>
      <c r="AP84" s="503">
        <f>IF(終値!A84="","",IFERROR(4*STDEVP(終値!AS84:BL84)/AVERAGE(終値!AS84:BL84),""))</f>
        <v>0.10999781006487554</v>
      </c>
    </row>
    <row r="85" spans="1:42">
      <c r="A85" s="500" t="str">
        <f>IF(終値!A85="","",終値!A85)</f>
        <v>7182</v>
      </c>
      <c r="B85" s="503">
        <f>IF(終値!A85="","",IFERROR(4*STDEVP(終値!E85:X85)/AVERAGE(終値!E85:X85),""))</f>
        <v>0.13795517382711098</v>
      </c>
      <c r="C85" s="503">
        <f>IF(終値!A85="","",IFERROR(4*STDEVP(終値!F85:Y85)/AVERAGE(終値!F85:Y85),""))</f>
        <v>0.13783260771872757</v>
      </c>
      <c r="D85" s="503">
        <f>IF(終値!A85="","",IFERROR(4*STDEVP(終値!G85:Z85)/AVERAGE(終値!G85:Z85),""))</f>
        <v>0.13631534319698452</v>
      </c>
      <c r="E85" s="503">
        <f>IF(終値!A85="","",IFERROR(4*STDEVP(終値!H85:AA85)/AVERAGE(終値!H85:AA85),""))</f>
        <v>0.12730913898561613</v>
      </c>
      <c r="F85" s="503">
        <f>IF(終値!A85="","",IFERROR(4*STDEVP(終値!I85:AB85)/AVERAGE(終値!I85:AB85),""))</f>
        <v>0.12294713666234988</v>
      </c>
      <c r="G85" s="503">
        <f>IF(終値!A85="","",IFERROR(4*STDEVP(終値!J85:AC85)/AVERAGE(終値!J85:AC85),""))</f>
        <v>0.12561783251114775</v>
      </c>
      <c r="H85" s="503">
        <f>IF(終値!A85="","",IFERROR(4*STDEVP(終値!K85:AD85)/AVERAGE(終値!K85:AD85),""))</f>
        <v>0.13098730652040488</v>
      </c>
      <c r="I85" s="503">
        <f>IF(終値!A85="","",IFERROR(4*STDEVP(終値!L85:AE85)/AVERAGE(終値!L85:AE85),""))</f>
        <v>0.14100730941985873</v>
      </c>
      <c r="J85" s="503">
        <f>IF(終値!A85="","",IFERROR(4*STDEVP(終値!M85:AF85)/AVERAGE(終値!M85:AF85),""))</f>
        <v>0.15148859858851846</v>
      </c>
      <c r="K85" s="503">
        <f>IF(終値!A85="","",IFERROR(4*STDEVP(終値!N85:AG85)/AVERAGE(終値!N85:AG85),""))</f>
        <v>0.15607656616347304</v>
      </c>
      <c r="L85" s="503">
        <f>IF(終値!A85="","",IFERROR(4*STDEVP(終値!O85:AH85)/AVERAGE(終値!O85:AH85),""))</f>
        <v>0.15086374072365075</v>
      </c>
      <c r="M85" s="503">
        <f>IF(終値!A85="","",IFERROR(4*STDEVP(終値!P85:AI85)/AVERAGE(終値!P85:AI85),""))</f>
        <v>0.13786516263176873</v>
      </c>
      <c r="N85" s="503">
        <f>IF(終値!A85="","",IFERROR(4*STDEVP(終値!Q85:AJ85)/AVERAGE(終値!Q85:AJ85),""))</f>
        <v>0.12754738984570785</v>
      </c>
      <c r="O85" s="503">
        <f>IF(終値!A85="","",IFERROR(4*STDEVP(終値!R85:AK85)/AVERAGE(終値!R85:AK85),""))</f>
        <v>0.12148874456830991</v>
      </c>
      <c r="P85" s="503">
        <f>IF(終値!A85="","",IFERROR(4*STDEVP(終値!S85:AL85)/AVERAGE(終値!S85:AL85),""))</f>
        <v>0.12257644166884288</v>
      </c>
      <c r="Q85" s="503">
        <f>IF(終値!A85="","",IFERROR(4*STDEVP(終値!T85:AM85)/AVERAGE(終値!T85:AM85),""))</f>
        <v>0.11793188897788752</v>
      </c>
      <c r="R85" s="503">
        <f>IF(終値!A85="","",IFERROR(4*STDEVP(終値!U85:AN85)/AVERAGE(終値!U85:AN85),""))</f>
        <v>0.11426496646634018</v>
      </c>
      <c r="S85" s="503">
        <f>IF(終値!A85="","",IFERROR(4*STDEVP(終値!V85:AO85)/AVERAGE(終値!V85:AO85),""))</f>
        <v>0.11015072156641877</v>
      </c>
      <c r="T85" s="503">
        <f>IF(終値!A85="","",IFERROR(4*STDEVP(終値!W85:AP85)/AVERAGE(終値!W85:AP85),""))</f>
        <v>0.10836423093588103</v>
      </c>
      <c r="U85" s="503">
        <f>IF(終値!A85="","",IFERROR(4*STDEVP(終値!X85:AQ85)/AVERAGE(終値!X85:AQ85),""))</f>
        <v>0.10663942578060412</v>
      </c>
      <c r="V85" s="503">
        <f>IF(終値!A85="","",IFERROR(4*STDEVP(終値!Y85:AR85)/AVERAGE(終値!Y85:AR85),""))</f>
        <v>9.9845452860577055E-2</v>
      </c>
      <c r="W85" s="503">
        <f>IF(終値!A85="","",IFERROR(4*STDEVP(終値!Z85:AS85)/AVERAGE(終値!Z85:AS85),""))</f>
        <v>9.1940074045378545E-2</v>
      </c>
      <c r="X85" s="503">
        <f>IF(終値!A85="","",IFERROR(4*STDEVP(終値!AA85:AT85)/AVERAGE(終値!AA85:AT85),""))</f>
        <v>8.6982656767835884E-2</v>
      </c>
      <c r="Y85" s="503">
        <f>IF(終値!A85="","",IFERROR(4*STDEVP(終値!AB85:AU85)/AVERAGE(終値!AB85:AU85),""))</f>
        <v>8.6642428869448271E-2</v>
      </c>
      <c r="Z85" s="503">
        <f>IF(終値!A85="","",IFERROR(4*STDEVP(終値!AC85:AV85)/AVERAGE(終値!AC85:AV85),""))</f>
        <v>8.6658386756665082E-2</v>
      </c>
      <c r="AA85" s="503">
        <f>IF(終値!A85="","",IFERROR(4*STDEVP(終値!AD85:AW85)/AVERAGE(終値!AD85:AW85),""))</f>
        <v>8.8161420252730008E-2</v>
      </c>
      <c r="AB85" s="503">
        <f>IF(終値!A85="","",IFERROR(4*STDEVP(終値!AE85:AX85)/AVERAGE(終値!AE85:AX85),""))</f>
        <v>8.7678650711221995E-2</v>
      </c>
      <c r="AC85" s="503">
        <f>IF(終値!A85="","",IFERROR(4*STDEVP(終値!AF85:AY85)/AVERAGE(終値!AF85:AY85),""))</f>
        <v>0.10094844322169413</v>
      </c>
      <c r="AD85" s="503">
        <f>IF(終値!A85="","",IFERROR(4*STDEVP(終値!AG85:AZ85)/AVERAGE(終値!AG85:AZ85),""))</f>
        <v>0.10687924549339636</v>
      </c>
      <c r="AE85" s="503">
        <f>IF(終値!A85="","",IFERROR(4*STDEVP(終値!AH85:BA85)/AVERAGE(終値!AH85:BA85),""))</f>
        <v>0.10440929280400139</v>
      </c>
      <c r="AF85" s="503">
        <f>IF(終値!A85="","",IFERROR(4*STDEVP(終値!AI85:BB85)/AVERAGE(終値!AI85:BB85),""))</f>
        <v>0.10430448011194848</v>
      </c>
      <c r="AG85" s="503">
        <f>IF(終値!A85="","",IFERROR(4*STDEVP(終値!AJ85:BC85)/AVERAGE(終値!AJ85:BC85),""))</f>
        <v>0.10358656525543269</v>
      </c>
      <c r="AH85" s="503">
        <f>IF(終値!A85="","",IFERROR(4*STDEVP(終値!AK85:BD85)/AVERAGE(終値!AK85:BD85),""))</f>
        <v>9.8896394233187898E-2</v>
      </c>
      <c r="AI85" s="503">
        <f>IF(終値!A85="","",IFERROR(4*STDEVP(終値!AL85:BE85)/AVERAGE(終値!AL85:BE85),""))</f>
        <v>0.10262504437880224</v>
      </c>
      <c r="AJ85" s="503">
        <f>IF(終値!A85="","",IFERROR(4*STDEVP(終値!AM85:BF85)/AVERAGE(終値!AM85:BF85),""))</f>
        <v>9.839780095890302E-2</v>
      </c>
      <c r="AK85" s="503">
        <f>IF(終値!A85="","",IFERROR(4*STDEVP(終値!AN85:BG85)/AVERAGE(終値!AN85:BG85),""))</f>
        <v>0.12653536115299149</v>
      </c>
      <c r="AL85" s="503">
        <f>IF(終値!A85="","",IFERROR(4*STDEVP(終値!AO85:BH85)/AVERAGE(終値!AO85:BH85),""))</f>
        <v>0.14479760852687545</v>
      </c>
      <c r="AM85" s="503">
        <f>IF(終値!A85="","",IFERROR(4*STDEVP(終値!AP85:BI85)/AVERAGE(終値!AP85:BI85),""))</f>
        <v>0.15490955717472968</v>
      </c>
      <c r="AN85" s="503">
        <f>IF(終値!A85="","",IFERROR(4*STDEVP(終値!AQ85:BJ85)/AVERAGE(終値!AQ85:BJ85),""))</f>
        <v>0.1611143236526609</v>
      </c>
      <c r="AO85" s="503">
        <f>IF(終値!A85="","",IFERROR(4*STDEVP(終値!AR85:BK85)/AVERAGE(終値!AR85:BK85),""))</f>
        <v>0.17574906944544991</v>
      </c>
      <c r="AP85" s="503">
        <f>IF(終値!A85="","",IFERROR(4*STDEVP(終値!AS85:BL85)/AVERAGE(終値!AS85:BL85),""))</f>
        <v>0.19145045106672601</v>
      </c>
    </row>
    <row r="86" spans="1:42">
      <c r="A86" s="500" t="str">
        <f>IF(終値!A86="","",終値!A86)</f>
        <v>1963</v>
      </c>
      <c r="B86" s="503">
        <f>IF(終値!A86="","",IFERROR(4*STDEVP(終値!E86:X86)/AVERAGE(終値!E86:X86),""))</f>
        <v>7.5014232866129307E-2</v>
      </c>
      <c r="C86" s="503">
        <f>IF(終値!A86="","",IFERROR(4*STDEVP(終値!F86:Y86)/AVERAGE(終値!F86:Y86),""))</f>
        <v>0.10253135845926503</v>
      </c>
      <c r="D86" s="503">
        <f>IF(終値!A86="","",IFERROR(4*STDEVP(終値!G86:Z86)/AVERAGE(終値!G86:Z86),""))</f>
        <v>0.14039313782105112</v>
      </c>
      <c r="E86" s="503">
        <f>IF(終値!A86="","",IFERROR(4*STDEVP(終値!H86:AA86)/AVERAGE(終値!H86:AA86),""))</f>
        <v>0.15541082976681589</v>
      </c>
      <c r="F86" s="503">
        <f>IF(終値!A86="","",IFERROR(4*STDEVP(終値!I86:AB86)/AVERAGE(終値!I86:AB86),""))</f>
        <v>0.16558966979068857</v>
      </c>
      <c r="G86" s="503">
        <f>IF(終値!A86="","",IFERROR(4*STDEVP(終値!J86:AC86)/AVERAGE(終値!J86:AC86),""))</f>
        <v>0.17045921739515091</v>
      </c>
      <c r="H86" s="503">
        <f>IF(終値!A86="","",IFERROR(4*STDEVP(終値!K86:AD86)/AVERAGE(終値!K86:AD86),""))</f>
        <v>0.17182958769615386</v>
      </c>
      <c r="I86" s="503">
        <f>IF(終値!A86="","",IFERROR(4*STDEVP(終値!L86:AE86)/AVERAGE(終値!L86:AE86),""))</f>
        <v>0.17501037390009286</v>
      </c>
      <c r="J86" s="503">
        <f>IF(終値!A86="","",IFERROR(4*STDEVP(終値!M86:AF86)/AVERAGE(終値!M86:AF86),""))</f>
        <v>0.18043175109125681</v>
      </c>
      <c r="K86" s="503">
        <f>IF(終値!A86="","",IFERROR(4*STDEVP(終値!N86:AG86)/AVERAGE(終値!N86:AG86),""))</f>
        <v>0.18754007674833223</v>
      </c>
      <c r="L86" s="503">
        <f>IF(終値!A86="","",IFERROR(4*STDEVP(終値!O86:AH86)/AVERAGE(終値!O86:AH86),""))</f>
        <v>0.19235774125959304</v>
      </c>
      <c r="M86" s="503">
        <f>IF(終値!A86="","",IFERROR(4*STDEVP(終値!P86:AI86)/AVERAGE(終値!P86:AI86),""))</f>
        <v>0.20022816511424724</v>
      </c>
      <c r="N86" s="503">
        <f>IF(終値!A86="","",IFERROR(4*STDEVP(終値!Q86:AJ86)/AVERAGE(終値!Q86:AJ86),""))</f>
        <v>0.20319317317920088</v>
      </c>
      <c r="O86" s="503">
        <f>IF(終値!A86="","",IFERROR(4*STDEVP(終値!R86:AK86)/AVERAGE(終値!R86:AK86),""))</f>
        <v>0.21371026718096353</v>
      </c>
      <c r="P86" s="503">
        <f>IF(終値!A86="","",IFERROR(4*STDEVP(終値!S86:AL86)/AVERAGE(終値!S86:AL86),""))</f>
        <v>0.21963172047895074</v>
      </c>
      <c r="Q86" s="503">
        <f>IF(終値!A86="","",IFERROR(4*STDEVP(終値!T86:AM86)/AVERAGE(終値!T86:AM86),""))</f>
        <v>0.22700466284033854</v>
      </c>
      <c r="R86" s="503">
        <f>IF(終値!A86="","",IFERROR(4*STDEVP(終値!U86:AN86)/AVERAGE(終値!U86:AN86),""))</f>
        <v>0.2137904011677737</v>
      </c>
      <c r="S86" s="503">
        <f>IF(終値!A86="","",IFERROR(4*STDEVP(終値!V86:AO86)/AVERAGE(終値!V86:AO86),""))</f>
        <v>0.20094642610314634</v>
      </c>
      <c r="T86" s="503">
        <f>IF(終値!A86="","",IFERROR(4*STDEVP(終値!W86:AP86)/AVERAGE(終値!W86:AP86),""))</f>
        <v>0.18443868921436246</v>
      </c>
      <c r="U86" s="503">
        <f>IF(終値!A86="","",IFERROR(4*STDEVP(終値!X86:AQ86)/AVERAGE(終値!X86:AQ86),""))</f>
        <v>0.16814263974403912</v>
      </c>
      <c r="V86" s="503">
        <f>IF(終値!A86="","",IFERROR(4*STDEVP(終値!Y86:AR86)/AVERAGE(終値!Y86:AR86),""))</f>
        <v>0.14818328060731059</v>
      </c>
      <c r="W86" s="503">
        <f>IF(終値!A86="","",IFERROR(4*STDEVP(終値!Z86:AS86)/AVERAGE(終値!Z86:AS86),""))</f>
        <v>0.14326244527218532</v>
      </c>
      <c r="X86" s="503">
        <f>IF(終値!A86="","",IFERROR(4*STDEVP(終値!AA86:AT86)/AVERAGE(終値!AA86:AT86),""))</f>
        <v>0.14389313181069041</v>
      </c>
      <c r="Y86" s="503">
        <f>IF(終値!A86="","",IFERROR(4*STDEVP(終値!AB86:AU86)/AVERAGE(終値!AB86:AU86),""))</f>
        <v>0.13952447121062939</v>
      </c>
      <c r="Z86" s="503">
        <f>IF(終値!A86="","",IFERROR(4*STDEVP(終値!AC86:AV86)/AVERAGE(終値!AC86:AV86),""))</f>
        <v>0.13626024114628754</v>
      </c>
      <c r="AA86" s="503">
        <f>IF(終値!A86="","",IFERROR(4*STDEVP(終値!AD86:AW86)/AVERAGE(終値!AD86:AW86),""))</f>
        <v>0.12946924165927073</v>
      </c>
      <c r="AB86" s="503">
        <f>IF(終値!A86="","",IFERROR(4*STDEVP(終値!AE86:AX86)/AVERAGE(終値!AE86:AX86),""))</f>
        <v>0.12896671990353745</v>
      </c>
      <c r="AC86" s="503">
        <f>IF(終値!A86="","",IFERROR(4*STDEVP(終値!AF86:AY86)/AVERAGE(終値!AF86:AY86),""))</f>
        <v>0.12678251820323924</v>
      </c>
      <c r="AD86" s="503">
        <f>IF(終値!A86="","",IFERROR(4*STDEVP(終値!AG86:AZ86)/AVERAGE(終値!AG86:AZ86),""))</f>
        <v>0.12628687462118329</v>
      </c>
      <c r="AE86" s="503">
        <f>IF(終値!A86="","",IFERROR(4*STDEVP(終値!AH86:BA86)/AVERAGE(終値!AH86:BA86),""))</f>
        <v>0.14127398136933964</v>
      </c>
      <c r="AF86" s="503">
        <f>IF(終値!A86="","",IFERROR(4*STDEVP(終値!AI86:BB86)/AVERAGE(終値!AI86:BB86),""))</f>
        <v>0.14035276014405998</v>
      </c>
      <c r="AG86" s="503">
        <f>IF(終値!A86="","",IFERROR(4*STDEVP(終値!AJ86:BC86)/AVERAGE(終値!AJ86:BC86),""))</f>
        <v>0.13914768062428934</v>
      </c>
      <c r="AH86" s="503">
        <f>IF(終値!A86="","",IFERROR(4*STDEVP(終値!AK86:BD86)/AVERAGE(終値!AK86:BD86),""))</f>
        <v>0.13829781334176505</v>
      </c>
      <c r="AI86" s="503">
        <f>IF(終値!A86="","",IFERROR(4*STDEVP(終値!AL86:BE86)/AVERAGE(終値!AL86:BE86),""))</f>
        <v>0.13742985948153016</v>
      </c>
      <c r="AJ86" s="503">
        <f>IF(終値!A86="","",IFERROR(4*STDEVP(終値!AM86:BF86)/AVERAGE(終値!AM86:BF86),""))</f>
        <v>0.13050267922169828</v>
      </c>
      <c r="AK86" s="503">
        <f>IF(終値!A86="","",IFERROR(4*STDEVP(終値!AN86:BG86)/AVERAGE(終値!AN86:BG86),""))</f>
        <v>0.12689756008409714</v>
      </c>
      <c r="AL86" s="503">
        <f>IF(終値!A86="","",IFERROR(4*STDEVP(終値!AO86:BH86)/AVERAGE(終値!AO86:BH86),""))</f>
        <v>0.15295620453936901</v>
      </c>
      <c r="AM86" s="503">
        <f>IF(終値!A86="","",IFERROR(4*STDEVP(終値!AP86:BI86)/AVERAGE(終値!AP86:BI86),""))</f>
        <v>0.16398486029141249</v>
      </c>
      <c r="AN86" s="503">
        <f>IF(終値!A86="","",IFERROR(4*STDEVP(終値!AQ86:BJ86)/AVERAGE(終値!AQ86:BJ86),""))</f>
        <v>0.17531950744466851</v>
      </c>
      <c r="AO86" s="503">
        <f>IF(終値!A86="","",IFERROR(4*STDEVP(終値!AR86:BK86)/AVERAGE(終値!AR86:BK86),""))</f>
        <v>0.18189887216380604</v>
      </c>
      <c r="AP86" s="503">
        <f>IF(終値!A86="","",IFERROR(4*STDEVP(終値!AS86:BL86)/AVERAGE(終値!AS86:BL86),""))</f>
        <v>0.18417040053560124</v>
      </c>
    </row>
    <row r="87" spans="1:42">
      <c r="A87" s="500" t="str">
        <f>IF(終値!A87="","",終値!A87)</f>
        <v>2914</v>
      </c>
      <c r="B87" s="503">
        <f>IF(終値!A87="","",IFERROR(4*STDEVP(終値!E87:X87)/AVERAGE(終値!E87:X87),""))</f>
        <v>0.1989594924556683</v>
      </c>
      <c r="C87" s="503">
        <f>IF(終値!A87="","",IFERROR(4*STDEVP(終値!F87:Y87)/AVERAGE(終値!F87:Y87),""))</f>
        <v>0.18998831207224942</v>
      </c>
      <c r="D87" s="503">
        <f>IF(終値!A87="","",IFERROR(4*STDEVP(終値!G87:Z87)/AVERAGE(終値!G87:Z87),""))</f>
        <v>0.18785246331715882</v>
      </c>
      <c r="E87" s="503">
        <f>IF(終値!A87="","",IFERROR(4*STDEVP(終値!H87:AA87)/AVERAGE(終値!H87:AA87),""))</f>
        <v>0.18790936515411014</v>
      </c>
      <c r="F87" s="503">
        <f>IF(終値!A87="","",IFERROR(4*STDEVP(終値!I87:AB87)/AVERAGE(終値!I87:AB87),""))</f>
        <v>0.17366853387162848</v>
      </c>
      <c r="G87" s="503">
        <f>IF(終値!A87="","",IFERROR(4*STDEVP(終値!J87:AC87)/AVERAGE(終値!J87:AC87),""))</f>
        <v>0.14235636773253579</v>
      </c>
      <c r="H87" s="503">
        <f>IF(終値!A87="","",IFERROR(4*STDEVP(終値!K87:AD87)/AVERAGE(終値!K87:AD87),""))</f>
        <v>0.13813350849163855</v>
      </c>
      <c r="I87" s="503">
        <f>IF(終値!A87="","",IFERROR(4*STDEVP(終値!L87:AE87)/AVERAGE(終値!L87:AE87),""))</f>
        <v>0.12067422138759398</v>
      </c>
      <c r="J87" s="503">
        <f>IF(終値!A87="","",IFERROR(4*STDEVP(終値!M87:AF87)/AVERAGE(終値!M87:AF87),""))</f>
        <v>0.10622982085521437</v>
      </c>
      <c r="K87" s="503">
        <f>IF(終値!A87="","",IFERROR(4*STDEVP(終値!N87:AG87)/AVERAGE(終値!N87:AG87),""))</f>
        <v>0.10071815988381294</v>
      </c>
      <c r="L87" s="503">
        <f>IF(終値!A87="","",IFERROR(4*STDEVP(終値!O87:AH87)/AVERAGE(終値!O87:AH87),""))</f>
        <v>9.6280684650903781E-2</v>
      </c>
      <c r="M87" s="503">
        <f>IF(終値!A87="","",IFERROR(4*STDEVP(終値!P87:AI87)/AVERAGE(終値!P87:AI87),""))</f>
        <v>9.5720508371061386E-2</v>
      </c>
      <c r="N87" s="503">
        <f>IF(終値!A87="","",IFERROR(4*STDEVP(終値!Q87:AJ87)/AVERAGE(終値!Q87:AJ87),""))</f>
        <v>8.4553382783699421E-2</v>
      </c>
      <c r="O87" s="503">
        <f>IF(終値!A87="","",IFERROR(4*STDEVP(終値!R87:AK87)/AVERAGE(終値!R87:AK87),""))</f>
        <v>6.9381666109324808E-2</v>
      </c>
      <c r="P87" s="503">
        <f>IF(終値!A87="","",IFERROR(4*STDEVP(終値!S87:AL87)/AVERAGE(終値!S87:AL87),""))</f>
        <v>5.7111363442676283E-2</v>
      </c>
      <c r="Q87" s="503">
        <f>IF(終値!A87="","",IFERROR(4*STDEVP(終値!T87:AM87)/AVERAGE(終値!T87:AM87),""))</f>
        <v>5.6827571662661738E-2</v>
      </c>
      <c r="R87" s="503">
        <f>IF(終値!A87="","",IFERROR(4*STDEVP(終値!U87:AN87)/AVERAGE(終値!U87:AN87),""))</f>
        <v>5.6583338126194219E-2</v>
      </c>
      <c r="S87" s="503">
        <f>IF(終値!A87="","",IFERROR(4*STDEVP(終値!V87:AO87)/AVERAGE(終値!V87:AO87),""))</f>
        <v>5.6383991908492567E-2</v>
      </c>
      <c r="T87" s="503">
        <f>IF(終値!A87="","",IFERROR(4*STDEVP(終値!W87:AP87)/AVERAGE(終値!W87:AP87),""))</f>
        <v>5.8147058371268219E-2</v>
      </c>
      <c r="U87" s="503">
        <f>IF(終値!A87="","",IFERROR(4*STDEVP(終値!X87:AQ87)/AVERAGE(終値!X87:AQ87),""))</f>
        <v>6.530963089132702E-2</v>
      </c>
      <c r="V87" s="503">
        <f>IF(終値!A87="","",IFERROR(4*STDEVP(終値!Y87:AR87)/AVERAGE(終値!Y87:AR87),""))</f>
        <v>6.3950729113206359E-2</v>
      </c>
      <c r="W87" s="503">
        <f>IF(終値!A87="","",IFERROR(4*STDEVP(終値!Z87:AS87)/AVERAGE(終値!Z87:AS87),""))</f>
        <v>6.0921182110174145E-2</v>
      </c>
      <c r="X87" s="503">
        <f>IF(終値!A87="","",IFERROR(4*STDEVP(終値!AA87:AT87)/AVERAGE(終値!AA87:AT87),""))</f>
        <v>5.9723881340947416E-2</v>
      </c>
      <c r="Y87" s="503">
        <f>IF(終値!A87="","",IFERROR(4*STDEVP(終値!AB87:AU87)/AVERAGE(終値!AB87:AU87),""))</f>
        <v>5.993846277023343E-2</v>
      </c>
      <c r="Z87" s="503">
        <f>IF(終値!A87="","",IFERROR(4*STDEVP(終値!AC87:AV87)/AVERAGE(終値!AC87:AV87),""))</f>
        <v>6.028301522838253E-2</v>
      </c>
      <c r="AA87" s="503">
        <f>IF(終値!A87="","",IFERROR(4*STDEVP(終値!AD87:AW87)/AVERAGE(終値!AD87:AW87),""))</f>
        <v>5.9702609372955552E-2</v>
      </c>
      <c r="AB87" s="503">
        <f>IF(終値!A87="","",IFERROR(4*STDEVP(終値!AE87:AX87)/AVERAGE(終値!AE87:AX87),""))</f>
        <v>6.0708741894928052E-2</v>
      </c>
      <c r="AC87" s="503">
        <f>IF(終値!A87="","",IFERROR(4*STDEVP(終値!AF87:AY87)/AVERAGE(終値!AF87:AY87),""))</f>
        <v>6.0317053404357814E-2</v>
      </c>
      <c r="AD87" s="503">
        <f>IF(終値!A87="","",IFERROR(4*STDEVP(終値!AG87:AZ87)/AVERAGE(終値!AG87:AZ87),""))</f>
        <v>6.0524111400154811E-2</v>
      </c>
      <c r="AE87" s="503">
        <f>IF(終値!A87="","",IFERROR(4*STDEVP(終値!AH87:BA87)/AVERAGE(終値!AH87:BA87),""))</f>
        <v>5.7113070573290244E-2</v>
      </c>
      <c r="AF87" s="503">
        <f>IF(終値!A87="","",IFERROR(4*STDEVP(終値!AI87:BB87)/AVERAGE(終値!AI87:BB87),""))</f>
        <v>5.3456426935949986E-2</v>
      </c>
      <c r="AG87" s="503">
        <f>IF(終値!A87="","",IFERROR(4*STDEVP(終値!AJ87:BC87)/AVERAGE(終値!AJ87:BC87),""))</f>
        <v>5.0040049575081798E-2</v>
      </c>
      <c r="AH87" s="503">
        <f>IF(終値!A87="","",IFERROR(4*STDEVP(終値!AK87:BD87)/AVERAGE(終値!AK87:BD87),""))</f>
        <v>5.5344758415251112E-2</v>
      </c>
      <c r="AI87" s="503">
        <f>IF(終値!A87="","",IFERROR(4*STDEVP(終値!AL87:BE87)/AVERAGE(終値!AL87:BE87),""))</f>
        <v>7.0880819947195639E-2</v>
      </c>
      <c r="AJ87" s="503">
        <f>IF(終値!A87="","",IFERROR(4*STDEVP(終値!AM87:BF87)/AVERAGE(終値!AM87:BF87),""))</f>
        <v>7.509371018531355E-2</v>
      </c>
      <c r="AK87" s="503">
        <f>IF(終値!A87="","",IFERROR(4*STDEVP(終値!AN87:BG87)/AVERAGE(終値!AN87:BG87),""))</f>
        <v>7.6091552472471874E-2</v>
      </c>
      <c r="AL87" s="503">
        <f>IF(終値!A87="","",IFERROR(4*STDEVP(終値!AO87:BH87)/AVERAGE(終値!AO87:BH87),""))</f>
        <v>7.5939559665562428E-2</v>
      </c>
      <c r="AM87" s="503">
        <f>IF(終値!A87="","",IFERROR(4*STDEVP(終値!AP87:BI87)/AVERAGE(終値!AP87:BI87),""))</f>
        <v>7.4048940838159855E-2</v>
      </c>
      <c r="AN87" s="503">
        <f>IF(終値!A87="","",IFERROR(4*STDEVP(終値!AQ87:BJ87)/AVERAGE(終値!AQ87:BJ87),""))</f>
        <v>7.6330305633447934E-2</v>
      </c>
      <c r="AO87" s="503">
        <f>IF(終値!A87="","",IFERROR(4*STDEVP(終値!AR87:BK87)/AVERAGE(終値!AR87:BK87),""))</f>
        <v>7.4186468552276022E-2</v>
      </c>
      <c r="AP87" s="503">
        <f>IF(終値!A87="","",IFERROR(4*STDEVP(終値!AS87:BL87)/AVERAGE(終値!AS87:BL87),""))</f>
        <v>9.4020295254596195E-2</v>
      </c>
    </row>
    <row r="88" spans="1:42">
      <c r="A88" s="500" t="str">
        <f>IF(終値!A88="","",終値!A88)</f>
        <v>3003</v>
      </c>
      <c r="B88" s="503">
        <f>IF(終値!A88="","",IFERROR(4*STDEVP(終値!E88:X88)/AVERAGE(終値!E88:X88),""))</f>
        <v>0.10600162021249758</v>
      </c>
      <c r="C88" s="503">
        <f>IF(終値!A88="","",IFERROR(4*STDEVP(終値!F88:Y88)/AVERAGE(終値!F88:Y88),""))</f>
        <v>0.10170599623407089</v>
      </c>
      <c r="D88" s="503">
        <f>IF(終値!A88="","",IFERROR(4*STDEVP(終値!G88:Z88)/AVERAGE(終値!G88:Z88),""))</f>
        <v>9.6252563405400893E-2</v>
      </c>
      <c r="E88" s="503">
        <f>IF(終値!A88="","",IFERROR(4*STDEVP(終値!H88:AA88)/AVERAGE(終値!H88:AA88),""))</f>
        <v>9.3045052754651095E-2</v>
      </c>
      <c r="F88" s="503">
        <f>IF(終値!A88="","",IFERROR(4*STDEVP(終値!I88:AB88)/AVERAGE(終値!I88:AB88),""))</f>
        <v>9.2329421171215967E-2</v>
      </c>
      <c r="G88" s="503">
        <f>IF(終値!A88="","",IFERROR(4*STDEVP(終値!J88:AC88)/AVERAGE(終値!J88:AC88),""))</f>
        <v>0.10959154955711654</v>
      </c>
      <c r="H88" s="503">
        <f>IF(終値!A88="","",IFERROR(4*STDEVP(終値!K88:AD88)/AVERAGE(終値!K88:AD88),""))</f>
        <v>0.11455815625885044</v>
      </c>
      <c r="I88" s="503">
        <f>IF(終値!A88="","",IFERROR(4*STDEVP(終値!L88:AE88)/AVERAGE(終値!L88:AE88),""))</f>
        <v>9.6655044033098492E-2</v>
      </c>
      <c r="J88" s="503">
        <f>IF(終値!A88="","",IFERROR(4*STDEVP(終値!M88:AF88)/AVERAGE(終値!M88:AF88),""))</f>
        <v>9.7175516323861399E-2</v>
      </c>
      <c r="K88" s="503">
        <f>IF(終値!A88="","",IFERROR(4*STDEVP(終値!N88:AG88)/AVERAGE(終値!N88:AG88),""))</f>
        <v>9.3816220120072777E-2</v>
      </c>
      <c r="L88" s="503">
        <f>IF(終値!A88="","",IFERROR(4*STDEVP(終値!O88:AH88)/AVERAGE(終値!O88:AH88),""))</f>
        <v>9.8813606193850517E-2</v>
      </c>
      <c r="M88" s="503">
        <f>IF(終値!A88="","",IFERROR(4*STDEVP(終値!P88:AI88)/AVERAGE(終値!P88:AI88),""))</f>
        <v>0.10263596660454838</v>
      </c>
      <c r="N88" s="503">
        <f>IF(終値!A88="","",IFERROR(4*STDEVP(終値!Q88:AJ88)/AVERAGE(終値!Q88:AJ88),""))</f>
        <v>0.1016403429569943</v>
      </c>
      <c r="O88" s="503">
        <f>IF(終値!A88="","",IFERROR(4*STDEVP(終値!R88:AK88)/AVERAGE(終値!R88:AK88),""))</f>
        <v>9.234610533906884E-2</v>
      </c>
      <c r="P88" s="503">
        <f>IF(終値!A88="","",IFERROR(4*STDEVP(終値!S88:AL88)/AVERAGE(終値!S88:AL88),""))</f>
        <v>8.8050877867980923E-2</v>
      </c>
      <c r="Q88" s="503">
        <f>IF(終値!A88="","",IFERROR(4*STDEVP(終値!T88:AM88)/AVERAGE(終値!T88:AM88),""))</f>
        <v>8.1872610635618293E-2</v>
      </c>
      <c r="R88" s="503">
        <f>IF(終値!A88="","",IFERROR(4*STDEVP(終値!U88:AN88)/AVERAGE(終値!U88:AN88),""))</f>
        <v>7.567526471416551E-2</v>
      </c>
      <c r="S88" s="503">
        <f>IF(終値!A88="","",IFERROR(4*STDEVP(終値!V88:AO88)/AVERAGE(終値!V88:AO88),""))</f>
        <v>7.2763056768588824E-2</v>
      </c>
      <c r="T88" s="503">
        <f>IF(終値!A88="","",IFERROR(4*STDEVP(終値!W88:AP88)/AVERAGE(終値!W88:AP88),""))</f>
        <v>7.0540082472812043E-2</v>
      </c>
      <c r="U88" s="503">
        <f>IF(終値!A88="","",IFERROR(4*STDEVP(終値!X88:AQ88)/AVERAGE(終値!X88:AQ88),""))</f>
        <v>6.75088954567101E-2</v>
      </c>
      <c r="V88" s="503">
        <f>IF(終値!A88="","",IFERROR(4*STDEVP(終値!Y88:AR88)/AVERAGE(終値!Y88:AR88),""))</f>
        <v>5.5729768470604485E-2</v>
      </c>
      <c r="W88" s="503">
        <f>IF(終値!A88="","",IFERROR(4*STDEVP(終値!Z88:AS88)/AVERAGE(終値!Z88:AS88),""))</f>
        <v>4.9897722879686419E-2</v>
      </c>
      <c r="X88" s="503">
        <f>IF(終値!A88="","",IFERROR(4*STDEVP(終値!AA88:AT88)/AVERAGE(終値!AA88:AT88),""))</f>
        <v>5.1187530062569819E-2</v>
      </c>
      <c r="Y88" s="503">
        <f>IF(終値!A88="","",IFERROR(4*STDEVP(終値!AB88:AU88)/AVERAGE(終値!AB88:AU88),""))</f>
        <v>6.094819828014629E-2</v>
      </c>
      <c r="Z88" s="503">
        <f>IF(終値!A88="","",IFERROR(4*STDEVP(終値!AC88:AV88)/AVERAGE(終値!AC88:AV88),""))</f>
        <v>6.5522585112276252E-2</v>
      </c>
      <c r="AA88" s="503">
        <f>IF(終値!A88="","",IFERROR(4*STDEVP(終値!AD88:AW88)/AVERAGE(終値!AD88:AW88),""))</f>
        <v>6.7421738008519361E-2</v>
      </c>
      <c r="AB88" s="503">
        <f>IF(終値!A88="","",IFERROR(4*STDEVP(終値!AE88:AX88)/AVERAGE(終値!AE88:AX88),""))</f>
        <v>6.7437568939550149E-2</v>
      </c>
      <c r="AC88" s="503">
        <f>IF(終値!A88="","",IFERROR(4*STDEVP(終値!AF88:AY88)/AVERAGE(終値!AF88:AY88),""))</f>
        <v>6.8142934163414964E-2</v>
      </c>
      <c r="AD88" s="503">
        <f>IF(終値!A88="","",IFERROR(4*STDEVP(終値!AG88:AZ88)/AVERAGE(終値!AG88:AZ88),""))</f>
        <v>6.8937059715321145E-2</v>
      </c>
      <c r="AE88" s="503">
        <f>IF(終値!A88="","",IFERROR(4*STDEVP(終値!AH88:BA88)/AVERAGE(終値!AH88:BA88),""))</f>
        <v>6.9512768922221913E-2</v>
      </c>
      <c r="AF88" s="503">
        <f>IF(終値!A88="","",IFERROR(4*STDEVP(終値!AI88:BB88)/AVERAGE(終値!AI88:BB88),""))</f>
        <v>7.2524584802318312E-2</v>
      </c>
      <c r="AG88" s="503">
        <f>IF(終値!A88="","",IFERROR(4*STDEVP(終値!AJ88:BC88)/AVERAGE(終値!AJ88:BC88),""))</f>
        <v>7.678366976225405E-2</v>
      </c>
      <c r="AH88" s="503">
        <f>IF(終値!A88="","",IFERROR(4*STDEVP(終値!AK88:BD88)/AVERAGE(終値!AK88:BD88),""))</f>
        <v>7.8618823277278038E-2</v>
      </c>
      <c r="AI88" s="503">
        <f>IF(終値!A88="","",IFERROR(4*STDEVP(終値!AL88:BE88)/AVERAGE(終値!AL88:BE88),""))</f>
        <v>8.3604640829641919E-2</v>
      </c>
      <c r="AJ88" s="503">
        <f>IF(終値!A88="","",IFERROR(4*STDEVP(終値!AM88:BF88)/AVERAGE(終値!AM88:BF88),""))</f>
        <v>8.4164116518531992E-2</v>
      </c>
      <c r="AK88" s="503">
        <f>IF(終値!A88="","",IFERROR(4*STDEVP(終値!AN88:BG88)/AVERAGE(終値!AN88:BG88),""))</f>
        <v>9.0126488359393755E-2</v>
      </c>
      <c r="AL88" s="503">
        <f>IF(終値!A88="","",IFERROR(4*STDEVP(終値!AO88:BH88)/AVERAGE(終値!AO88:BH88),""))</f>
        <v>9.5654709557089226E-2</v>
      </c>
      <c r="AM88" s="503">
        <f>IF(終値!A88="","",IFERROR(4*STDEVP(終値!AP88:BI88)/AVERAGE(終値!AP88:BI88),""))</f>
        <v>0.1072276719626903</v>
      </c>
      <c r="AN88" s="503">
        <f>IF(終値!A88="","",IFERROR(4*STDEVP(終値!AQ88:BJ88)/AVERAGE(終値!AQ88:BJ88),""))</f>
        <v>0.11742625169274065</v>
      </c>
      <c r="AO88" s="503">
        <f>IF(終値!A88="","",IFERROR(4*STDEVP(終値!AR88:BK88)/AVERAGE(終値!AR88:BK88),""))</f>
        <v>0.12402321455074496</v>
      </c>
      <c r="AP88" s="503">
        <f>IF(終値!A88="","",IFERROR(4*STDEVP(終値!AS88:BL88)/AVERAGE(終値!AS88:BL88),""))</f>
        <v>0.132329785450187</v>
      </c>
    </row>
    <row r="89" spans="1:42">
      <c r="A89" s="500" t="str">
        <f>IF(終値!A89="","",終値!A89)</f>
        <v>5892</v>
      </c>
      <c r="B89" s="503">
        <f>IF(終値!A89="","",IFERROR(4*STDEVP(終値!E89:X89)/AVERAGE(終値!E89:X89),""))</f>
        <v>0.13044089314024032</v>
      </c>
      <c r="C89" s="503">
        <f>IF(終値!A89="","",IFERROR(4*STDEVP(終値!F89:Y89)/AVERAGE(終値!F89:Y89),""))</f>
        <v>0.11292886056778503</v>
      </c>
      <c r="D89" s="503">
        <f>IF(終値!A89="","",IFERROR(4*STDEVP(終値!G89:Z89)/AVERAGE(終値!G89:Z89),""))</f>
        <v>9.3434510887378502E-2</v>
      </c>
      <c r="E89" s="503">
        <f>IF(終値!A89="","",IFERROR(4*STDEVP(終値!H89:AA89)/AVERAGE(終値!H89:AA89),""))</f>
        <v>9.4251718586312414E-2</v>
      </c>
      <c r="F89" s="503">
        <f>IF(終値!A89="","",IFERROR(4*STDEVP(終値!I89:AB89)/AVERAGE(終値!I89:AB89),""))</f>
        <v>8.6619727171057093E-2</v>
      </c>
      <c r="G89" s="503">
        <f>IF(終値!A89="","",IFERROR(4*STDEVP(終値!J89:AC89)/AVERAGE(終値!J89:AC89),""))</f>
        <v>8.3169167343825734E-2</v>
      </c>
      <c r="H89" s="503">
        <f>IF(終値!A89="","",IFERROR(4*STDEVP(終値!K89:AD89)/AVERAGE(終値!K89:AD89),""))</f>
        <v>8.1637282519399459E-2</v>
      </c>
      <c r="I89" s="503">
        <f>IF(終値!A89="","",IFERROR(4*STDEVP(終値!L89:AE89)/AVERAGE(終値!L89:AE89),""))</f>
        <v>8.1866898197032398E-2</v>
      </c>
      <c r="J89" s="503">
        <f>IF(終値!A89="","",IFERROR(4*STDEVP(終値!M89:AF89)/AVERAGE(終値!M89:AF89),""))</f>
        <v>8.6297568475926262E-2</v>
      </c>
      <c r="K89" s="503">
        <f>IF(終値!A89="","",IFERROR(4*STDEVP(終値!N89:AG89)/AVERAGE(終値!N89:AG89),""))</f>
        <v>8.8336369610721943E-2</v>
      </c>
      <c r="L89" s="503">
        <f>IF(終値!A89="","",IFERROR(4*STDEVP(終値!O89:AH89)/AVERAGE(終値!O89:AH89),""))</f>
        <v>8.3030347087328038E-2</v>
      </c>
      <c r="M89" s="503">
        <f>IF(終値!A89="","",IFERROR(4*STDEVP(終値!P89:AI89)/AVERAGE(終値!P89:AI89),""))</f>
        <v>7.5571662062563244E-2</v>
      </c>
      <c r="N89" s="503">
        <f>IF(終値!A89="","",IFERROR(4*STDEVP(終値!Q89:AJ89)/AVERAGE(終値!Q89:AJ89),""))</f>
        <v>7.480551555947608E-2</v>
      </c>
      <c r="O89" s="503">
        <f>IF(終値!A89="","",IFERROR(4*STDEVP(終値!R89:AK89)/AVERAGE(終値!R89:AK89),""))</f>
        <v>7.4536618579184949E-2</v>
      </c>
      <c r="P89" s="503">
        <f>IF(終値!A89="","",IFERROR(4*STDEVP(終値!S89:AL89)/AVERAGE(終値!S89:AL89),""))</f>
        <v>7.3901216004219103E-2</v>
      </c>
      <c r="Q89" s="503">
        <f>IF(終値!A89="","",IFERROR(4*STDEVP(終値!T89:AM89)/AVERAGE(終値!T89:AM89),""))</f>
        <v>9.2556276588922487E-2</v>
      </c>
      <c r="R89" s="503">
        <f>IF(終値!A89="","",IFERROR(4*STDEVP(終値!U89:AN89)/AVERAGE(終値!U89:AN89),""))</f>
        <v>9.2466769945246358E-2</v>
      </c>
      <c r="S89" s="503">
        <f>IF(終値!A89="","",IFERROR(4*STDEVP(終値!V89:AO89)/AVERAGE(終値!V89:AO89),""))</f>
        <v>0.10452387632765434</v>
      </c>
      <c r="T89" s="503">
        <f>IF(終値!A89="","",IFERROR(4*STDEVP(終値!W89:AP89)/AVERAGE(終値!W89:AP89),""))</f>
        <v>0.10616641505960799</v>
      </c>
      <c r="U89" s="503">
        <f>IF(終値!A89="","",IFERROR(4*STDEVP(終値!X89:AQ89)/AVERAGE(終値!X89:AQ89),""))</f>
        <v>0.11027181891743192</v>
      </c>
      <c r="V89" s="503">
        <f>IF(終値!A89="","",IFERROR(4*STDEVP(終値!Y89:AR89)/AVERAGE(終値!Y89:AR89),""))</f>
        <v>0.12581253338595305</v>
      </c>
      <c r="W89" s="503">
        <f>IF(終値!A89="","",IFERROR(4*STDEVP(終値!Z89:AS89)/AVERAGE(終値!Z89:AS89),""))</f>
        <v>0.14313854389748892</v>
      </c>
      <c r="X89" s="503">
        <f>IF(終値!A89="","",IFERROR(4*STDEVP(終値!AA89:AT89)/AVERAGE(終値!AA89:AT89),""))</f>
        <v>0.19152617986050122</v>
      </c>
      <c r="Y89" s="503">
        <f>IF(終値!A89="","",IFERROR(4*STDEVP(終値!AB89:AU89)/AVERAGE(終値!AB89:AU89),""))</f>
        <v>0.1964006735110253</v>
      </c>
      <c r="Z89" s="503">
        <f>IF(終値!A89="","",IFERROR(4*STDEVP(終値!AC89:AV89)/AVERAGE(終値!AC89:AV89),""))</f>
        <v>0.19758982205215272</v>
      </c>
      <c r="AA89" s="503">
        <f>IF(終値!A89="","",IFERROR(4*STDEVP(終値!AD89:AW89)/AVERAGE(終値!AD89:AW89),""))</f>
        <v>0.19655773201074256</v>
      </c>
      <c r="AB89" s="503">
        <f>IF(終値!A89="","",IFERROR(4*STDEVP(終値!AE89:AX89)/AVERAGE(終値!AE89:AX89),""))</f>
        <v>0.21107443213458293</v>
      </c>
      <c r="AC89" s="503">
        <f>IF(終値!A89="","",IFERROR(4*STDEVP(終値!AF89:AY89)/AVERAGE(終値!AF89:AY89),""))</f>
        <v>0.22693819491754436</v>
      </c>
      <c r="AD89" s="503">
        <f>IF(終値!A89="","",IFERROR(4*STDEVP(終値!AG89:AZ89)/AVERAGE(終値!AG89:AZ89),""))</f>
        <v>0.24094722740197325</v>
      </c>
      <c r="AE89" s="503">
        <f>IF(終値!A89="","",IFERROR(4*STDEVP(終値!AH89:BA89)/AVERAGE(終値!AH89:BA89),""))</f>
        <v>0.25264520038587857</v>
      </c>
      <c r="AF89" s="503">
        <f>IF(終値!A89="","",IFERROR(4*STDEVP(終値!AI89:BB89)/AVERAGE(終値!AI89:BB89),""))</f>
        <v>0.25618543656126985</v>
      </c>
      <c r="AG89" s="503">
        <f>IF(終値!A89="","",IFERROR(4*STDEVP(終値!AJ89:BC89)/AVERAGE(終値!AJ89:BC89),""))</f>
        <v>0.27320234709441049</v>
      </c>
      <c r="AH89" s="503">
        <f>IF(終値!A89="","",IFERROR(4*STDEVP(終値!AK89:BD89)/AVERAGE(終値!AK89:BD89),""))</f>
        <v>0.296219888329329</v>
      </c>
      <c r="AI89" s="503">
        <f>IF(終値!A89="","",IFERROR(4*STDEVP(終値!AL89:BE89)/AVERAGE(終値!AL89:BE89),""))</f>
        <v>0.32414335000652783</v>
      </c>
      <c r="AJ89" s="503">
        <f>IF(終値!A89="","",IFERROR(4*STDEVP(終値!AM89:BF89)/AVERAGE(終値!AM89:BF89),""))</f>
        <v>0.33512097663062812</v>
      </c>
      <c r="AK89" s="503">
        <f>IF(終値!A89="","",IFERROR(4*STDEVP(終値!AN89:BG89)/AVERAGE(終値!AN89:BG89),""))</f>
        <v>0.33404913790617813</v>
      </c>
      <c r="AL89" s="503">
        <f>IF(終値!A89="","",IFERROR(4*STDEVP(終値!AO89:BH89)/AVERAGE(終値!AO89:BH89),""))</f>
        <v>0.3414481810168839</v>
      </c>
      <c r="AM89" s="503">
        <f>IF(終値!A89="","",IFERROR(4*STDEVP(終値!AP89:BI89)/AVERAGE(終値!AP89:BI89),""))</f>
        <v>0.32224126124331037</v>
      </c>
      <c r="AN89" s="503">
        <f>IF(終値!A89="","",IFERROR(4*STDEVP(終値!AQ89:BJ89)/AVERAGE(終値!AQ89:BJ89),""))</f>
        <v>0.3326535448265438</v>
      </c>
      <c r="AO89" s="503">
        <f>IF(終値!A89="","",IFERROR(4*STDEVP(終値!AR89:BK89)/AVERAGE(終値!AR89:BK89),""))</f>
        <v>0.35632845502126309</v>
      </c>
      <c r="AP89" s="503">
        <f>IF(終値!A89="","",IFERROR(4*STDEVP(終値!AS89:BL89)/AVERAGE(終値!AS89:BL89),""))</f>
        <v>0.37648611013106753</v>
      </c>
    </row>
    <row r="90" spans="1:42">
      <c r="A90" s="500" t="str">
        <f>IF(終値!A90="","",終値!A90)</f>
        <v>6323</v>
      </c>
      <c r="B90" s="503">
        <f>IF(終値!A90="","",IFERROR(4*STDEVP(終値!E90:X90)/AVERAGE(終値!E90:X90),""))</f>
        <v>0.36186767236628908</v>
      </c>
      <c r="C90" s="503">
        <f>IF(終値!A90="","",IFERROR(4*STDEVP(終値!F90:Y90)/AVERAGE(終値!F90:Y90),""))</f>
        <v>0.36016463172715607</v>
      </c>
      <c r="D90" s="503">
        <f>IF(終値!A90="","",IFERROR(4*STDEVP(終値!G90:Z90)/AVERAGE(終値!G90:Z90),""))</f>
        <v>0.36779676267987921</v>
      </c>
      <c r="E90" s="503">
        <f>IF(終値!A90="","",IFERROR(4*STDEVP(終値!H90:AA90)/AVERAGE(終値!H90:AA90),""))</f>
        <v>0.38473774401072791</v>
      </c>
      <c r="F90" s="503">
        <f>IF(終値!A90="","",IFERROR(4*STDEVP(終値!I90:AB90)/AVERAGE(終値!I90:AB90),""))</f>
        <v>0.37826603564395356</v>
      </c>
      <c r="G90" s="503">
        <f>IF(終値!A90="","",IFERROR(4*STDEVP(終値!J90:AC90)/AVERAGE(終値!J90:AC90),""))</f>
        <v>0.3863051022240741</v>
      </c>
      <c r="H90" s="503">
        <f>IF(終値!A90="","",IFERROR(4*STDEVP(終値!K90:AD90)/AVERAGE(終値!K90:AD90),""))</f>
        <v>0.32186097960253823</v>
      </c>
      <c r="I90" s="503">
        <f>IF(終値!A90="","",IFERROR(4*STDEVP(終値!L90:AE90)/AVERAGE(終値!L90:AE90),""))</f>
        <v>0.23448980363251734</v>
      </c>
      <c r="J90" s="503">
        <f>IF(終値!A90="","",IFERROR(4*STDEVP(終値!M90:AF90)/AVERAGE(終値!M90:AF90),""))</f>
        <v>0.17942770743172218</v>
      </c>
      <c r="K90" s="503">
        <f>IF(終値!A90="","",IFERROR(4*STDEVP(終値!N90:AG90)/AVERAGE(終値!N90:AG90),""))</f>
        <v>0.18238052085312106</v>
      </c>
      <c r="L90" s="503">
        <f>IF(終値!A90="","",IFERROR(4*STDEVP(終値!O90:AH90)/AVERAGE(終値!O90:AH90),""))</f>
        <v>0.17980380055438247</v>
      </c>
      <c r="M90" s="503">
        <f>IF(終値!A90="","",IFERROR(4*STDEVP(終値!P90:AI90)/AVERAGE(終値!P90:AI90),""))</f>
        <v>0.18015930274577802</v>
      </c>
      <c r="N90" s="503">
        <f>IF(終値!A90="","",IFERROR(4*STDEVP(終値!Q90:AJ90)/AVERAGE(終値!Q90:AJ90),""))</f>
        <v>0.19123518620032384</v>
      </c>
      <c r="O90" s="503">
        <f>IF(終値!A90="","",IFERROR(4*STDEVP(終値!R90:AK90)/AVERAGE(終値!R90:AK90),""))</f>
        <v>0.18356844988104346</v>
      </c>
      <c r="P90" s="503">
        <f>IF(終値!A90="","",IFERROR(4*STDEVP(終値!S90:AL90)/AVERAGE(終値!S90:AL90),""))</f>
        <v>0.17623124777529139</v>
      </c>
      <c r="Q90" s="503">
        <f>IF(終値!A90="","",IFERROR(4*STDEVP(終値!T90:AM90)/AVERAGE(終値!T90:AM90),""))</f>
        <v>0.17208044690819879</v>
      </c>
      <c r="R90" s="503">
        <f>IF(終値!A90="","",IFERROR(4*STDEVP(終値!U90:AN90)/AVERAGE(終値!U90:AN90),""))</f>
        <v>0.17618577128017077</v>
      </c>
      <c r="S90" s="503">
        <f>IF(終値!A90="","",IFERROR(4*STDEVP(終値!V90:AO90)/AVERAGE(終値!V90:AO90),""))</f>
        <v>0.17947007349913335</v>
      </c>
      <c r="T90" s="503">
        <f>IF(終値!A90="","",IFERROR(4*STDEVP(終値!W90:AP90)/AVERAGE(終値!W90:AP90),""))</f>
        <v>0.20356363311869871</v>
      </c>
      <c r="U90" s="503">
        <f>IF(終値!A90="","",IFERROR(4*STDEVP(終値!X90:AQ90)/AVERAGE(終値!X90:AQ90),""))</f>
        <v>0.25557053817977726</v>
      </c>
      <c r="V90" s="503">
        <f>IF(終値!A90="","",IFERROR(4*STDEVP(終値!Y90:AR90)/AVERAGE(終値!Y90:AR90),""))</f>
        <v>0.28952181690870621</v>
      </c>
      <c r="W90" s="503">
        <f>IF(終値!A90="","",IFERROR(4*STDEVP(終値!Z90:AS90)/AVERAGE(終値!Z90:AS90),""))</f>
        <v>0.31458861528895127</v>
      </c>
      <c r="X90" s="503">
        <f>IF(終値!A90="","",IFERROR(4*STDEVP(終値!AA90:AT90)/AVERAGE(終値!AA90:AT90),""))</f>
        <v>0.32023381006546231</v>
      </c>
      <c r="Y90" s="503">
        <f>IF(終値!A90="","",IFERROR(4*STDEVP(終値!AB90:AU90)/AVERAGE(終値!AB90:AU90),""))</f>
        <v>0.31184090670929254</v>
      </c>
      <c r="Z90" s="503">
        <f>IF(終値!A90="","",IFERROR(4*STDEVP(終値!AC90:AV90)/AVERAGE(終値!AC90:AV90),""))</f>
        <v>0.31590628645188085</v>
      </c>
      <c r="AA90" s="503">
        <f>IF(終値!A90="","",IFERROR(4*STDEVP(終値!AD90:AW90)/AVERAGE(終値!AD90:AW90),""))</f>
        <v>0.31980765145805951</v>
      </c>
      <c r="AB90" s="503">
        <f>IF(終値!A90="","",IFERROR(4*STDEVP(終値!AE90:AX90)/AVERAGE(終値!AE90:AX90),""))</f>
        <v>0.32473088528090915</v>
      </c>
      <c r="AC90" s="503">
        <f>IF(終値!A90="","",IFERROR(4*STDEVP(終値!AF90:AY90)/AVERAGE(終値!AF90:AY90),""))</f>
        <v>0.33948394442704538</v>
      </c>
      <c r="AD90" s="503">
        <f>IF(終値!A90="","",IFERROR(4*STDEVP(終値!AG90:AZ90)/AVERAGE(終値!AG90:AZ90),""))</f>
        <v>0.35287923061716181</v>
      </c>
      <c r="AE90" s="503">
        <f>IF(終値!A90="","",IFERROR(4*STDEVP(終値!AH90:BA90)/AVERAGE(終値!AH90:BA90),""))</f>
        <v>0.34318030770052904</v>
      </c>
      <c r="AF90" s="503">
        <f>IF(終値!A90="","",IFERROR(4*STDEVP(終値!AI90:BB90)/AVERAGE(終値!AI90:BB90),""))</f>
        <v>0.35177725021502987</v>
      </c>
      <c r="AG90" s="503">
        <f>IF(終値!A90="","",IFERROR(4*STDEVP(終値!AJ90:BC90)/AVERAGE(終値!AJ90:BC90),""))</f>
        <v>0.36117123910992932</v>
      </c>
      <c r="AH90" s="503">
        <f>IF(終値!A90="","",IFERROR(4*STDEVP(終値!AK90:BD90)/AVERAGE(終値!AK90:BD90),""))</f>
        <v>0.3498229522889808</v>
      </c>
      <c r="AI90" s="503">
        <f>IF(終値!A90="","",IFERROR(4*STDEVP(終値!AL90:BE90)/AVERAGE(終値!AL90:BE90),""))</f>
        <v>0.33075577195689815</v>
      </c>
      <c r="AJ90" s="503">
        <f>IF(終値!A90="","",IFERROR(4*STDEVP(終値!AM90:BF90)/AVERAGE(終値!AM90:BF90),""))</f>
        <v>0.29561197495042735</v>
      </c>
      <c r="AK90" s="503">
        <f>IF(終値!A90="","",IFERROR(4*STDEVP(終値!AN90:BG90)/AVERAGE(終値!AN90:BG90),""))</f>
        <v>0.27508372497050904</v>
      </c>
      <c r="AL90" s="503">
        <f>IF(終値!A90="","",IFERROR(4*STDEVP(終値!AO90:BH90)/AVERAGE(終値!AO90:BH90),""))</f>
        <v>0.25654148981245933</v>
      </c>
      <c r="AM90" s="503">
        <f>IF(終値!A90="","",IFERROR(4*STDEVP(終値!AP90:BI90)/AVERAGE(終値!AP90:BI90),""))</f>
        <v>0.22232822832722232</v>
      </c>
      <c r="AN90" s="503">
        <f>IF(終値!A90="","",IFERROR(4*STDEVP(終値!AQ90:BJ90)/AVERAGE(終値!AQ90:BJ90),""))</f>
        <v>0.21573928240127796</v>
      </c>
      <c r="AO90" s="503">
        <f>IF(終値!A90="","",IFERROR(4*STDEVP(終値!AR90:BK90)/AVERAGE(終値!AR90:BK90),""))</f>
        <v>0.21661083706113124</v>
      </c>
      <c r="AP90" s="503">
        <f>IF(終値!A90="","",IFERROR(4*STDEVP(終値!AS90:BL90)/AVERAGE(終値!AS90:BL90),""))</f>
        <v>0.21626955368812589</v>
      </c>
    </row>
    <row r="91" spans="1:42">
      <c r="A91" s="500" t="str">
        <f>IF(終値!A91="","",終値!A91)</f>
        <v>6501</v>
      </c>
      <c r="B91" s="503">
        <f>IF(終値!A91="","",IFERROR(4*STDEVP(終値!E91:X91)/AVERAGE(終値!E91:X91),""))</f>
        <v>0.21581522899057834</v>
      </c>
      <c r="C91" s="503">
        <f>IF(終値!A91="","",IFERROR(4*STDEVP(終値!F91:Y91)/AVERAGE(終値!F91:Y91),""))</f>
        <v>0.19473769259013921</v>
      </c>
      <c r="D91" s="503">
        <f>IF(終値!A91="","",IFERROR(4*STDEVP(終値!G91:Z91)/AVERAGE(終値!G91:Z91),""))</f>
        <v>0.17163573833719123</v>
      </c>
      <c r="E91" s="503">
        <f>IF(終値!A91="","",IFERROR(4*STDEVP(終値!H91:AA91)/AVERAGE(終値!H91:AA91),""))</f>
        <v>0.1546937365392668</v>
      </c>
      <c r="F91" s="503">
        <f>IF(終値!A91="","",IFERROR(4*STDEVP(終値!I91:AB91)/AVERAGE(終値!I91:AB91),""))</f>
        <v>0.13821356817155869</v>
      </c>
      <c r="G91" s="503">
        <f>IF(終値!A91="","",IFERROR(4*STDEVP(終値!J91:AC91)/AVERAGE(終値!J91:AC91),""))</f>
        <v>0.12917294362517617</v>
      </c>
      <c r="H91" s="503">
        <f>IF(終値!A91="","",IFERROR(4*STDEVP(終値!K91:AD91)/AVERAGE(終値!K91:AD91),""))</f>
        <v>0.11411465011615138</v>
      </c>
      <c r="I91" s="503">
        <f>IF(終値!A91="","",IFERROR(4*STDEVP(終値!L91:AE91)/AVERAGE(終値!L91:AE91),""))</f>
        <v>0.12017752132567687</v>
      </c>
      <c r="J91" s="503">
        <f>IF(終値!A91="","",IFERROR(4*STDEVP(終値!M91:AF91)/AVERAGE(終値!M91:AF91),""))</f>
        <v>0.12713311299944563</v>
      </c>
      <c r="K91" s="503">
        <f>IF(終値!A91="","",IFERROR(4*STDEVP(終値!N91:AG91)/AVERAGE(終値!N91:AG91),""))</f>
        <v>0.11775772218719747</v>
      </c>
      <c r="L91" s="503">
        <f>IF(終値!A91="","",IFERROR(4*STDEVP(終値!O91:AH91)/AVERAGE(終値!O91:AH91),""))</f>
        <v>0.11447462584160072</v>
      </c>
      <c r="M91" s="503">
        <f>IF(終値!A91="","",IFERROR(4*STDEVP(終値!P91:AI91)/AVERAGE(終値!P91:AI91),""))</f>
        <v>0.1109729717923132</v>
      </c>
      <c r="N91" s="503">
        <f>IF(終値!A91="","",IFERROR(4*STDEVP(終値!Q91:AJ91)/AVERAGE(終値!Q91:AJ91),""))</f>
        <v>0.11354133747721119</v>
      </c>
      <c r="O91" s="503">
        <f>IF(終値!A91="","",IFERROR(4*STDEVP(終値!R91:AK91)/AVERAGE(終値!R91:AK91),""))</f>
        <v>0.11281404711865228</v>
      </c>
      <c r="P91" s="503">
        <f>IF(終値!A91="","",IFERROR(4*STDEVP(終値!S91:AL91)/AVERAGE(終値!S91:AL91),""))</f>
        <v>0.1144061216829261</v>
      </c>
      <c r="Q91" s="503">
        <f>IF(終値!A91="","",IFERROR(4*STDEVP(終値!T91:AM91)/AVERAGE(終値!T91:AM91),""))</f>
        <v>0.11287857701102133</v>
      </c>
      <c r="R91" s="503">
        <f>IF(終値!A91="","",IFERROR(4*STDEVP(終値!U91:AN91)/AVERAGE(終値!U91:AN91),""))</f>
        <v>0.11144889066400297</v>
      </c>
      <c r="S91" s="503">
        <f>IF(終値!A91="","",IFERROR(4*STDEVP(終値!V91:AO91)/AVERAGE(終値!V91:AO91),""))</f>
        <v>0.11167536205922635</v>
      </c>
      <c r="T91" s="503">
        <f>IF(終値!A91="","",IFERROR(4*STDEVP(終値!W91:AP91)/AVERAGE(終値!W91:AP91),""))</f>
        <v>0.11187671953371475</v>
      </c>
      <c r="U91" s="503">
        <f>IF(終値!A91="","",IFERROR(4*STDEVP(終値!X91:AQ91)/AVERAGE(終値!X91:AQ91),""))</f>
        <v>0.11129555491030303</v>
      </c>
      <c r="V91" s="503">
        <f>IF(終値!A91="","",IFERROR(4*STDEVP(終値!Y91:AR91)/AVERAGE(終値!Y91:AR91),""))</f>
        <v>0.11148067861675094</v>
      </c>
      <c r="W91" s="503">
        <f>IF(終値!A91="","",IFERROR(4*STDEVP(終値!Z91:AS91)/AVERAGE(終値!Z91:AS91),""))</f>
        <v>0.11981111397047252</v>
      </c>
      <c r="X91" s="503">
        <f>IF(終値!A91="","",IFERROR(4*STDEVP(終値!AA91:AT91)/AVERAGE(終値!AA91:AT91),""))</f>
        <v>0.16361906882999117</v>
      </c>
      <c r="Y91" s="503">
        <f>IF(終値!A91="","",IFERROR(4*STDEVP(終値!AB91:AU91)/AVERAGE(終値!AB91:AU91),""))</f>
        <v>0.18280644754780428</v>
      </c>
      <c r="Z91" s="503">
        <f>IF(終値!A91="","",IFERROR(4*STDEVP(終値!AC91:AV91)/AVERAGE(終値!AC91:AV91),""))</f>
        <v>0.20499078748376887</v>
      </c>
      <c r="AA91" s="503">
        <f>IF(終値!A91="","",IFERROR(4*STDEVP(終値!AD91:AW91)/AVERAGE(終値!AD91:AW91),""))</f>
        <v>0.20412467208742102</v>
      </c>
      <c r="AB91" s="503">
        <f>IF(終値!A91="","",IFERROR(4*STDEVP(終値!AE91:AX91)/AVERAGE(終値!AE91:AX91),""))</f>
        <v>0.20275440376235221</v>
      </c>
      <c r="AC91" s="503">
        <f>IF(終値!A91="","",IFERROR(4*STDEVP(終値!AF91:AY91)/AVERAGE(終値!AF91:AY91),""))</f>
        <v>0.19874008501747312</v>
      </c>
      <c r="AD91" s="503">
        <f>IF(終値!A91="","",IFERROR(4*STDEVP(終値!AG91:AZ91)/AVERAGE(終値!AG91:AZ91),""))</f>
        <v>0.18405509902983244</v>
      </c>
      <c r="AE91" s="503">
        <f>IF(終値!A91="","",IFERROR(4*STDEVP(終値!AH91:BA91)/AVERAGE(終値!AH91:BA91),""))</f>
        <v>0.1736609669350159</v>
      </c>
      <c r="AF91" s="503">
        <f>IF(終値!A91="","",IFERROR(4*STDEVP(終値!AI91:BB91)/AVERAGE(終値!AI91:BB91),""))</f>
        <v>0.16833532216612876</v>
      </c>
      <c r="AG91" s="503">
        <f>IF(終値!A91="","",IFERROR(4*STDEVP(終値!AJ91:BC91)/AVERAGE(終値!AJ91:BC91),""))</f>
        <v>0.16719835679028563</v>
      </c>
      <c r="AH91" s="503">
        <f>IF(終値!A91="","",IFERROR(4*STDEVP(終値!AK91:BD91)/AVERAGE(終値!AK91:BD91),""))</f>
        <v>0.16654103398838369</v>
      </c>
      <c r="AI91" s="503">
        <f>IF(終値!A91="","",IFERROR(4*STDEVP(終値!AL91:BE91)/AVERAGE(終値!AL91:BE91),""))</f>
        <v>0.16248981588254097</v>
      </c>
      <c r="AJ91" s="503">
        <f>IF(終値!A91="","",IFERROR(4*STDEVP(終値!AM91:BF91)/AVERAGE(終値!AM91:BF91),""))</f>
        <v>0.16222055027038942</v>
      </c>
      <c r="AK91" s="503">
        <f>IF(終値!A91="","",IFERROR(4*STDEVP(終値!AN91:BG91)/AVERAGE(終値!AN91:BG91),""))</f>
        <v>0.15729687313082732</v>
      </c>
      <c r="AL91" s="503">
        <f>IF(終値!A91="","",IFERROR(4*STDEVP(終値!AO91:BH91)/AVERAGE(終値!AO91:BH91),""))</f>
        <v>0.16142248818024979</v>
      </c>
      <c r="AM91" s="503">
        <f>IF(終値!A91="","",IFERROR(4*STDEVP(終値!AP91:BI91)/AVERAGE(終値!AP91:BI91),""))</f>
        <v>0.16081801727332259</v>
      </c>
      <c r="AN91" s="503">
        <f>IF(終値!A91="","",IFERROR(4*STDEVP(終値!AQ91:BJ91)/AVERAGE(終値!AQ91:BJ91),""))</f>
        <v>0.15131959833620762</v>
      </c>
      <c r="AO91" s="503">
        <f>IF(終値!A91="","",IFERROR(4*STDEVP(終値!AR91:BK91)/AVERAGE(終値!AR91:BK91),""))</f>
        <v>0.14009986818662676</v>
      </c>
      <c r="AP91" s="503">
        <f>IF(終値!A91="","",IFERROR(4*STDEVP(終値!AS91:BL91)/AVERAGE(終値!AS91:BL91),""))</f>
        <v>0.135156311669518</v>
      </c>
    </row>
    <row r="92" spans="1:42">
      <c r="A92" s="500" t="str">
        <f>IF(終値!A92="","",終値!A92)</f>
        <v>6134</v>
      </c>
      <c r="B92" s="503">
        <f>IF(終値!A92="","",IFERROR(4*STDEVP(終値!E92:X92)/AVERAGE(終値!E92:X92),""))</f>
        <v>0.27140479196649575</v>
      </c>
      <c r="C92" s="503">
        <f>IF(終値!A92="","",IFERROR(4*STDEVP(終値!F92:Y92)/AVERAGE(終値!F92:Y92),""))</f>
        <v>0.26497445987521479</v>
      </c>
      <c r="D92" s="503">
        <f>IF(終値!A92="","",IFERROR(4*STDEVP(終値!G92:Z92)/AVERAGE(終値!G92:Z92),""))</f>
        <v>0.27344318756659863</v>
      </c>
      <c r="E92" s="503">
        <f>IF(終値!A92="","",IFERROR(4*STDEVP(終値!H92:AA92)/AVERAGE(終値!H92:AA92),""))</f>
        <v>0.29823094229018904</v>
      </c>
      <c r="F92" s="503">
        <f>IF(終値!A92="","",IFERROR(4*STDEVP(終値!I92:AB92)/AVERAGE(終値!I92:AB92),""))</f>
        <v>0.31165432982957458</v>
      </c>
      <c r="G92" s="503">
        <f>IF(終値!A92="","",IFERROR(4*STDEVP(終値!J92:AC92)/AVERAGE(終値!J92:AC92),""))</f>
        <v>0.33885262542850059</v>
      </c>
      <c r="H92" s="503">
        <f>IF(終値!A92="","",IFERROR(4*STDEVP(終値!K92:AD92)/AVERAGE(終値!K92:AD92),""))</f>
        <v>0.31046983726074873</v>
      </c>
      <c r="I92" s="503">
        <f>IF(終値!A92="","",IFERROR(4*STDEVP(終値!L92:AE92)/AVERAGE(終値!L92:AE92),""))</f>
        <v>0.26995710104995263</v>
      </c>
      <c r="J92" s="503">
        <f>IF(終値!A92="","",IFERROR(4*STDEVP(終値!M92:AF92)/AVERAGE(終値!M92:AF92),""))</f>
        <v>0.23741595899233903</v>
      </c>
      <c r="K92" s="503">
        <f>IF(終値!A92="","",IFERROR(4*STDEVP(終値!N92:AG92)/AVERAGE(終値!N92:AG92),""))</f>
        <v>0.23798467633159179</v>
      </c>
      <c r="L92" s="503">
        <f>IF(終値!A92="","",IFERROR(4*STDEVP(終値!O92:AH92)/AVERAGE(終値!O92:AH92),""))</f>
        <v>0.22857900596140202</v>
      </c>
      <c r="M92" s="503">
        <f>IF(終値!A92="","",IFERROR(4*STDEVP(終値!P92:AI92)/AVERAGE(終値!P92:AI92),""))</f>
        <v>0.22317291151175381</v>
      </c>
      <c r="N92" s="503">
        <f>IF(終値!A92="","",IFERROR(4*STDEVP(終値!Q92:AJ92)/AVERAGE(終値!Q92:AJ92),""))</f>
        <v>0.21616617459546744</v>
      </c>
      <c r="O92" s="503">
        <f>IF(終値!A92="","",IFERROR(4*STDEVP(終値!R92:AK92)/AVERAGE(終値!R92:AK92),""))</f>
        <v>0.20276179313061074</v>
      </c>
      <c r="P92" s="503">
        <f>IF(終値!A92="","",IFERROR(4*STDEVP(終値!S92:AL92)/AVERAGE(終値!S92:AL92),""))</f>
        <v>0.17637912150985233</v>
      </c>
      <c r="Q92" s="503">
        <f>IF(終値!A92="","",IFERROR(4*STDEVP(終値!T92:AM92)/AVERAGE(終値!T92:AM92),""))</f>
        <v>0.17530113417286694</v>
      </c>
      <c r="R92" s="503">
        <f>IF(終値!A92="","",IFERROR(4*STDEVP(終値!U92:AN92)/AVERAGE(終値!U92:AN92),""))</f>
        <v>0.16353424659120527</v>
      </c>
      <c r="S92" s="503">
        <f>IF(終値!A92="","",IFERROR(4*STDEVP(終値!V92:AO92)/AVERAGE(終値!V92:AO92),""))</f>
        <v>0.15673309419356379</v>
      </c>
      <c r="T92" s="503">
        <f>IF(終値!A92="","",IFERROR(4*STDEVP(終値!W92:AP92)/AVERAGE(終値!W92:AP92),""))</f>
        <v>0.16947882646159487</v>
      </c>
      <c r="U92" s="503">
        <f>IF(終値!A92="","",IFERROR(4*STDEVP(終値!X92:AQ92)/AVERAGE(終値!X92:AQ92),""))</f>
        <v>0.18435293254749474</v>
      </c>
      <c r="V92" s="503">
        <f>IF(終値!A92="","",IFERROR(4*STDEVP(終値!Y92:AR92)/AVERAGE(終値!Y92:AR92),""))</f>
        <v>0.19589904666028993</v>
      </c>
      <c r="W92" s="503">
        <f>IF(終値!A92="","",IFERROR(4*STDEVP(終値!Z92:AS92)/AVERAGE(終値!Z92:AS92),""))</f>
        <v>0.22197558066636508</v>
      </c>
      <c r="X92" s="503">
        <f>IF(終値!A92="","",IFERROR(4*STDEVP(終値!AA92:AT92)/AVERAGE(終値!AA92:AT92),""))</f>
        <v>0.22134284126554615</v>
      </c>
      <c r="Y92" s="503">
        <f>IF(終値!A92="","",IFERROR(4*STDEVP(終値!AB92:AU92)/AVERAGE(終値!AB92:AU92),""))</f>
        <v>0.2140656369798396</v>
      </c>
      <c r="Z92" s="503">
        <f>IF(終値!A92="","",IFERROR(4*STDEVP(終値!AC92:AV92)/AVERAGE(終値!AC92:AV92),""))</f>
        <v>0.21227162652747303</v>
      </c>
      <c r="AA92" s="503">
        <f>IF(終値!A92="","",IFERROR(4*STDEVP(終値!AD92:AW92)/AVERAGE(終値!AD92:AW92),""))</f>
        <v>0.18854193047681678</v>
      </c>
      <c r="AB92" s="503">
        <f>IF(終値!A92="","",IFERROR(4*STDEVP(終値!AE92:AX92)/AVERAGE(終値!AE92:AX92),""))</f>
        <v>0.18363157789605769</v>
      </c>
      <c r="AC92" s="503">
        <f>IF(終値!A92="","",IFERROR(4*STDEVP(終値!AF92:AY92)/AVERAGE(終値!AF92:AY92),""))</f>
        <v>0.18407014422323539</v>
      </c>
      <c r="AD92" s="503">
        <f>IF(終値!A92="","",IFERROR(4*STDEVP(終値!AG92:AZ92)/AVERAGE(終値!AG92:AZ92),""))</f>
        <v>0.18457345587285168</v>
      </c>
      <c r="AE92" s="503">
        <f>IF(終値!A92="","",IFERROR(4*STDEVP(終値!AH92:BA92)/AVERAGE(終値!AH92:BA92),""))</f>
        <v>0.18059451674630786</v>
      </c>
      <c r="AF92" s="503">
        <f>IF(終値!A92="","",IFERROR(4*STDEVP(終値!AI92:BB92)/AVERAGE(終値!AI92:BB92),""))</f>
        <v>0.17958047489658163</v>
      </c>
      <c r="AG92" s="503">
        <f>IF(終値!A92="","",IFERROR(4*STDEVP(終値!AJ92:BC92)/AVERAGE(終値!AJ92:BC92),""))</f>
        <v>0.18304117295002797</v>
      </c>
      <c r="AH92" s="503">
        <f>IF(終値!A92="","",IFERROR(4*STDEVP(終値!AK92:BD92)/AVERAGE(終値!AK92:BD92),""))</f>
        <v>0.18672343790863222</v>
      </c>
      <c r="AI92" s="503">
        <f>IF(終値!A92="","",IFERROR(4*STDEVP(終値!AL92:BE92)/AVERAGE(終値!AL92:BE92),""))</f>
        <v>0.17965963771382745</v>
      </c>
      <c r="AJ92" s="503">
        <f>IF(終値!A92="","",IFERROR(4*STDEVP(終値!AM92:BF92)/AVERAGE(終値!AM92:BF92),""))</f>
        <v>0.17171416259491659</v>
      </c>
      <c r="AK92" s="503">
        <f>IF(終値!A92="","",IFERROR(4*STDEVP(終値!AN92:BG92)/AVERAGE(終値!AN92:BG92),""))</f>
        <v>0.16223477886646295</v>
      </c>
      <c r="AL92" s="503">
        <f>IF(終値!A92="","",IFERROR(4*STDEVP(終値!AO92:BH92)/AVERAGE(終値!AO92:BH92),""))</f>
        <v>0.16562870840999508</v>
      </c>
      <c r="AM92" s="503">
        <f>IF(終値!A92="","",IFERROR(4*STDEVP(終値!AP92:BI92)/AVERAGE(終値!AP92:BI92),""))</f>
        <v>0.17258437876669322</v>
      </c>
      <c r="AN92" s="503">
        <f>IF(終値!A92="","",IFERROR(4*STDEVP(終値!AQ92:BJ92)/AVERAGE(終値!AQ92:BJ92),""))</f>
        <v>0.19313896039138506</v>
      </c>
      <c r="AO92" s="503">
        <f>IF(終値!A92="","",IFERROR(4*STDEVP(終値!AR92:BK92)/AVERAGE(終値!AR92:BK92),""))</f>
        <v>0.21908136259024663</v>
      </c>
      <c r="AP92" s="503">
        <f>IF(終値!A92="","",IFERROR(4*STDEVP(終値!AS92:BL92)/AVERAGE(終値!AS92:BL92),""))</f>
        <v>0.24601663449789976</v>
      </c>
    </row>
    <row r="93" spans="1:42">
      <c r="A93" s="500" t="str">
        <f>IF(終値!A93="","",終値!A93)</f>
        <v>7746</v>
      </c>
      <c r="B93" s="503">
        <f>IF(終値!A93="","",IFERROR(4*STDEVP(終値!E93:X93)/AVERAGE(終値!E93:X93),""))</f>
        <v>0.14186834581550289</v>
      </c>
      <c r="C93" s="503">
        <f>IF(終値!A93="","",IFERROR(4*STDEVP(終値!F93:Y93)/AVERAGE(終値!F93:Y93),""))</f>
        <v>0.15525511838668873</v>
      </c>
      <c r="D93" s="503">
        <f>IF(終値!A93="","",IFERROR(4*STDEVP(終値!G93:Z93)/AVERAGE(終値!G93:Z93),""))</f>
        <v>0.18286980483495752</v>
      </c>
      <c r="E93" s="503">
        <f>IF(終値!A93="","",IFERROR(4*STDEVP(終値!H93:AA93)/AVERAGE(終値!H93:AA93),""))</f>
        <v>0.20344555476206358</v>
      </c>
      <c r="F93" s="503">
        <f>IF(終値!A93="","",IFERROR(4*STDEVP(終値!I93:AB93)/AVERAGE(終値!I93:AB93),""))</f>
        <v>0.22554936225521172</v>
      </c>
      <c r="G93" s="503">
        <f>IF(終値!A93="","",IFERROR(4*STDEVP(終値!J93:AC93)/AVERAGE(終値!J93:AC93),""))</f>
        <v>0.23591419842172584</v>
      </c>
      <c r="H93" s="503">
        <f>IF(終値!A93="","",IFERROR(4*STDEVP(終値!K93:AD93)/AVERAGE(終値!K93:AD93),""))</f>
        <v>0.27111162434984604</v>
      </c>
      <c r="I93" s="503">
        <f>IF(終値!A93="","",IFERROR(4*STDEVP(終値!L93:AE93)/AVERAGE(終値!L93:AE93),""))</f>
        <v>0.29828930656320429</v>
      </c>
      <c r="J93" s="503">
        <f>IF(終値!A93="","",IFERROR(4*STDEVP(終値!M93:AF93)/AVERAGE(終値!M93:AF93),""))</f>
        <v>0.28737042443780236</v>
      </c>
      <c r="K93" s="503">
        <f>IF(終値!A93="","",IFERROR(4*STDEVP(終値!N93:AG93)/AVERAGE(終値!N93:AG93),""))</f>
        <v>0.28866865430810235</v>
      </c>
      <c r="L93" s="503">
        <f>IF(終値!A93="","",IFERROR(4*STDEVP(終値!O93:AH93)/AVERAGE(終値!O93:AH93),""))</f>
        <v>0.28817022660936598</v>
      </c>
      <c r="M93" s="503">
        <f>IF(終値!A93="","",IFERROR(4*STDEVP(終値!P93:AI93)/AVERAGE(終値!P93:AI93),""))</f>
        <v>0.28795606786678613</v>
      </c>
      <c r="N93" s="503">
        <f>IF(終値!A93="","",IFERROR(4*STDEVP(終値!Q93:AJ93)/AVERAGE(終値!Q93:AJ93),""))</f>
        <v>0.28233210631805866</v>
      </c>
      <c r="O93" s="503">
        <f>IF(終値!A93="","",IFERROR(4*STDEVP(終値!R93:AK93)/AVERAGE(終値!R93:AK93),""))</f>
        <v>0.27832987366887552</v>
      </c>
      <c r="P93" s="503">
        <f>IF(終値!A93="","",IFERROR(4*STDEVP(終値!S93:AL93)/AVERAGE(終値!S93:AL93),""))</f>
        <v>0.26148783451508067</v>
      </c>
      <c r="Q93" s="503">
        <f>IF(終値!A93="","",IFERROR(4*STDEVP(終値!T93:AM93)/AVERAGE(終値!T93:AM93),""))</f>
        <v>0.26014541861970686</v>
      </c>
      <c r="R93" s="503">
        <f>IF(終値!A93="","",IFERROR(4*STDEVP(終値!U93:AN93)/AVERAGE(終値!U93:AN93),""))</f>
        <v>0.26769511561056264</v>
      </c>
      <c r="S93" s="503">
        <f>IF(終値!A93="","",IFERROR(4*STDEVP(終値!V93:AO93)/AVERAGE(終値!V93:AO93),""))</f>
        <v>0.27973744736874168</v>
      </c>
      <c r="T93" s="503">
        <f>IF(終値!A93="","",IFERROR(4*STDEVP(終値!W93:AP93)/AVERAGE(終値!W93:AP93),""))</f>
        <v>0.29759503810089361</v>
      </c>
      <c r="U93" s="503">
        <f>IF(終値!A93="","",IFERROR(4*STDEVP(終値!X93:AQ93)/AVERAGE(終値!X93:AQ93),""))</f>
        <v>0.32014258129541112</v>
      </c>
      <c r="V93" s="503">
        <f>IF(終値!A93="","",IFERROR(4*STDEVP(終値!Y93:AR93)/AVERAGE(終値!Y93:AR93),""))</f>
        <v>0.3531553358929489</v>
      </c>
      <c r="W93" s="503">
        <f>IF(終値!A93="","",IFERROR(4*STDEVP(終値!Z93:AS93)/AVERAGE(終値!Z93:AS93),""))</f>
        <v>0.36786371288853126</v>
      </c>
      <c r="X93" s="503">
        <f>IF(終値!A93="","",IFERROR(4*STDEVP(終値!AA93:AT93)/AVERAGE(終値!AA93:AT93),""))</f>
        <v>0.36838865966503931</v>
      </c>
      <c r="Y93" s="503">
        <f>IF(終値!A93="","",IFERROR(4*STDEVP(終値!AB93:AU93)/AVERAGE(終値!AB93:AU93),""))</f>
        <v>0.37070346204855026</v>
      </c>
      <c r="Z93" s="503">
        <f>IF(終値!A93="","",IFERROR(4*STDEVP(終値!AC93:AV93)/AVERAGE(終値!AC93:AV93),""))</f>
        <v>0.36285909816088102</v>
      </c>
      <c r="AA93" s="503">
        <f>IF(終値!A93="","",IFERROR(4*STDEVP(終値!AD93:AW93)/AVERAGE(終値!AD93:AW93),""))</f>
        <v>0.35441012911503789</v>
      </c>
      <c r="AB93" s="503">
        <f>IF(終値!A93="","",IFERROR(4*STDEVP(終値!AE93:AX93)/AVERAGE(終値!AE93:AX93),""))</f>
        <v>0.32226529811936105</v>
      </c>
      <c r="AC93" s="503">
        <f>IF(終値!A93="","",IFERROR(4*STDEVP(終値!AF93:AY93)/AVERAGE(終値!AF93:AY93),""))</f>
        <v>0.2730616930242814</v>
      </c>
      <c r="AD93" s="503">
        <f>IF(終値!A93="","",IFERROR(4*STDEVP(終値!AG93:AZ93)/AVERAGE(終値!AG93:AZ93),""))</f>
        <v>0.2730616930242814</v>
      </c>
      <c r="AE93" s="503">
        <f>IF(終値!A93="","",IFERROR(4*STDEVP(終値!AH93:BA93)/AVERAGE(終値!AH93:BA93),""))</f>
        <v>0.29585904577599892</v>
      </c>
      <c r="AF93" s="503">
        <f>IF(終値!A93="","",IFERROR(4*STDEVP(終値!AI93:BB93)/AVERAGE(終値!AI93:BB93),""))</f>
        <v>0.31964165684270707</v>
      </c>
      <c r="AG93" s="503">
        <f>IF(終値!A93="","",IFERROR(4*STDEVP(終値!AJ93:BC93)/AVERAGE(終値!AJ93:BC93),""))</f>
        <v>0.34529495413084593</v>
      </c>
      <c r="AH93" s="503">
        <f>IF(終値!A93="","",IFERROR(4*STDEVP(終値!AK93:BD93)/AVERAGE(終値!AK93:BD93),""))</f>
        <v>0.39430019024419372</v>
      </c>
      <c r="AI93" s="503">
        <f>IF(終値!A93="","",IFERROR(4*STDEVP(終値!AL93:BE93)/AVERAGE(終値!AL93:BE93),""))</f>
        <v>0.46244278564057995</v>
      </c>
      <c r="AJ93" s="503">
        <f>IF(終値!A93="","",IFERROR(4*STDEVP(終値!AM93:BF93)/AVERAGE(終値!AM93:BF93),""))</f>
        <v>0.46747758203150747</v>
      </c>
      <c r="AK93" s="503">
        <f>IF(終値!A93="","",IFERROR(4*STDEVP(終値!AN93:BG93)/AVERAGE(終値!AN93:BG93),""))</f>
        <v>0.47646260844459304</v>
      </c>
      <c r="AL93" s="503">
        <f>IF(終値!A93="","",IFERROR(4*STDEVP(終値!AO93:BH93)/AVERAGE(終値!AO93:BH93),""))</f>
        <v>0.47573856566086448</v>
      </c>
      <c r="AM93" s="503">
        <f>IF(終値!A93="","",IFERROR(4*STDEVP(終値!AP93:BI93)/AVERAGE(終値!AP93:BI93),""))</f>
        <v>0.46820908083433882</v>
      </c>
      <c r="AN93" s="503">
        <f>IF(終値!A93="","",IFERROR(4*STDEVP(終値!AQ93:BJ93)/AVERAGE(終値!AQ93:BJ93),""))</f>
        <v>0.45816266925949611</v>
      </c>
      <c r="AO93" s="503">
        <f>IF(終値!A93="","",IFERROR(4*STDEVP(終値!AR93:BK93)/AVERAGE(終値!AR93:BK93),""))</f>
        <v>0.43345528038815334</v>
      </c>
      <c r="AP93" s="503">
        <f>IF(終値!A93="","",IFERROR(4*STDEVP(終値!AS93:BL93)/AVERAGE(終値!AS93:BL93),""))</f>
        <v>0.39819777736604173</v>
      </c>
    </row>
    <row r="94" spans="1:42">
      <c r="A94" s="500" t="str">
        <f>IF(終値!A94="","",終値!A94)</f>
        <v>3407</v>
      </c>
      <c r="B94" s="503">
        <f>IF(終値!A94="","",IFERROR(4*STDEVP(終値!E94:X94)/AVERAGE(終値!E94:X94),""))</f>
        <v>0.20218502504862862</v>
      </c>
      <c r="C94" s="503">
        <f>IF(終値!A94="","",IFERROR(4*STDEVP(終値!F94:Y94)/AVERAGE(終値!F94:Y94),""))</f>
        <v>0.19290886178137545</v>
      </c>
      <c r="D94" s="503">
        <f>IF(終値!A94="","",IFERROR(4*STDEVP(終値!G94:Z94)/AVERAGE(終値!G94:Z94),""))</f>
        <v>0.17471772481552653</v>
      </c>
      <c r="E94" s="503">
        <f>IF(終値!A94="","",IFERROR(4*STDEVP(終値!H94:AA94)/AVERAGE(終値!H94:AA94),""))</f>
        <v>0.12392115035980049</v>
      </c>
      <c r="F94" s="503">
        <f>IF(終値!A94="","",IFERROR(4*STDEVP(終値!I94:AB94)/AVERAGE(終値!I94:AB94),""))</f>
        <v>8.5432098874319962E-2</v>
      </c>
      <c r="G94" s="503">
        <f>IF(終値!A94="","",IFERROR(4*STDEVP(終値!J94:AC94)/AVERAGE(終値!J94:AC94),""))</f>
        <v>6.8452248226740883E-2</v>
      </c>
      <c r="H94" s="503">
        <f>IF(終値!A94="","",IFERROR(4*STDEVP(終値!K94:AD94)/AVERAGE(終値!K94:AD94),""))</f>
        <v>7.1356612825184101E-2</v>
      </c>
      <c r="I94" s="503">
        <f>IF(終値!A94="","",IFERROR(4*STDEVP(終値!L94:AE94)/AVERAGE(終値!L94:AE94),""))</f>
        <v>7.3796307679576623E-2</v>
      </c>
      <c r="J94" s="503">
        <f>IF(終値!A94="","",IFERROR(4*STDEVP(終値!M94:AF94)/AVERAGE(終値!M94:AF94),""))</f>
        <v>7.6547317800990666E-2</v>
      </c>
      <c r="K94" s="503">
        <f>IF(終値!A94="","",IFERROR(4*STDEVP(終値!N94:AG94)/AVERAGE(終値!N94:AG94),""))</f>
        <v>7.844403691693852E-2</v>
      </c>
      <c r="L94" s="503">
        <f>IF(終値!A94="","",IFERROR(4*STDEVP(終値!O94:AH94)/AVERAGE(終値!O94:AH94),""))</f>
        <v>8.0985178920088316E-2</v>
      </c>
      <c r="M94" s="503">
        <f>IF(終値!A94="","",IFERROR(4*STDEVP(終値!P94:AI94)/AVERAGE(終値!P94:AI94),""))</f>
        <v>8.2105009512877136E-2</v>
      </c>
      <c r="N94" s="503">
        <f>IF(終値!A94="","",IFERROR(4*STDEVP(終値!Q94:AJ94)/AVERAGE(終値!Q94:AJ94),""))</f>
        <v>8.1327946304157864E-2</v>
      </c>
      <c r="O94" s="503">
        <f>IF(終値!A94="","",IFERROR(4*STDEVP(終値!R94:AK94)/AVERAGE(終値!R94:AK94),""))</f>
        <v>8.1831857195939703E-2</v>
      </c>
      <c r="P94" s="503">
        <f>IF(終値!A94="","",IFERROR(4*STDEVP(終値!S94:AL94)/AVERAGE(終値!S94:AL94),""))</f>
        <v>8.447399935042256E-2</v>
      </c>
      <c r="Q94" s="503">
        <f>IF(終値!A94="","",IFERROR(4*STDEVP(終値!T94:AM94)/AVERAGE(終値!T94:AM94),""))</f>
        <v>8.0059225480873186E-2</v>
      </c>
      <c r="R94" s="503">
        <f>IF(終値!A94="","",IFERROR(4*STDEVP(終値!U94:AN94)/AVERAGE(終値!U94:AN94),""))</f>
        <v>8.1302898666895995E-2</v>
      </c>
      <c r="S94" s="503">
        <f>IF(終値!A94="","",IFERROR(4*STDEVP(終値!V94:AO94)/AVERAGE(終値!V94:AO94),""))</f>
        <v>8.4931003433341992E-2</v>
      </c>
      <c r="T94" s="503">
        <f>IF(終値!A94="","",IFERROR(4*STDEVP(終値!W94:AP94)/AVERAGE(終値!W94:AP94),""))</f>
        <v>8.4387386224131417E-2</v>
      </c>
      <c r="U94" s="503">
        <f>IF(終値!A94="","",IFERROR(4*STDEVP(終値!X94:AQ94)/AVERAGE(終値!X94:AQ94),""))</f>
        <v>8.507418468594416E-2</v>
      </c>
      <c r="V94" s="503">
        <f>IF(終値!A94="","",IFERROR(4*STDEVP(終値!Y94:AR94)/AVERAGE(終値!Y94:AR94),""))</f>
        <v>8.2310374813884576E-2</v>
      </c>
      <c r="W94" s="503">
        <f>IF(終値!A94="","",IFERROR(4*STDEVP(終値!Z94:AS94)/AVERAGE(終値!Z94:AS94),""))</f>
        <v>7.5065284726086881E-2</v>
      </c>
      <c r="X94" s="503">
        <f>IF(終値!A94="","",IFERROR(4*STDEVP(終値!AA94:AT94)/AVERAGE(終値!AA94:AT94),""))</f>
        <v>5.0773747159369657E-2</v>
      </c>
      <c r="Y94" s="503">
        <f>IF(終値!A94="","",IFERROR(4*STDEVP(終値!AB94:AU94)/AVERAGE(終値!AB94:AU94),""))</f>
        <v>3.9626082033928291E-2</v>
      </c>
      <c r="Z94" s="503">
        <f>IF(終値!A94="","",IFERROR(4*STDEVP(終値!AC94:AV94)/AVERAGE(終値!AC94:AV94),""))</f>
        <v>4.1694901305787159E-2</v>
      </c>
      <c r="AA94" s="503">
        <f>IF(終値!A94="","",IFERROR(4*STDEVP(終値!AD94:AW94)/AVERAGE(終値!AD94:AW94),""))</f>
        <v>4.6113347531982152E-2</v>
      </c>
      <c r="AB94" s="503">
        <f>IF(終値!A94="","",IFERROR(4*STDEVP(終値!AE94:AX94)/AVERAGE(終値!AE94:AX94),""))</f>
        <v>4.5930424449650495E-2</v>
      </c>
      <c r="AC94" s="503">
        <f>IF(終値!A94="","",IFERROR(4*STDEVP(終値!AF94:AY94)/AVERAGE(終値!AF94:AY94),""))</f>
        <v>4.5893269682600948E-2</v>
      </c>
      <c r="AD94" s="503">
        <f>IF(終値!A94="","",IFERROR(4*STDEVP(終値!AG94:AZ94)/AVERAGE(終値!AG94:AZ94),""))</f>
        <v>4.710774667578204E-2</v>
      </c>
      <c r="AE94" s="503">
        <f>IF(終値!A94="","",IFERROR(4*STDEVP(終値!AH94:BA94)/AVERAGE(終値!AH94:BA94),""))</f>
        <v>4.6241803368288259E-2</v>
      </c>
      <c r="AF94" s="503">
        <f>IF(終値!A94="","",IFERROR(4*STDEVP(終値!AI94:BB94)/AVERAGE(終値!AI94:BB94),""))</f>
        <v>5.0667831220648926E-2</v>
      </c>
      <c r="AG94" s="503">
        <f>IF(終値!A94="","",IFERROR(4*STDEVP(終値!AJ94:BC94)/AVERAGE(終値!AJ94:BC94),""))</f>
        <v>5.7889460223706099E-2</v>
      </c>
      <c r="AH94" s="503">
        <f>IF(終値!A94="","",IFERROR(4*STDEVP(終値!AK94:BD94)/AVERAGE(終値!AK94:BD94),""))</f>
        <v>6.7156167228524757E-2</v>
      </c>
      <c r="AI94" s="503">
        <f>IF(終値!A94="","",IFERROR(4*STDEVP(終値!AL94:BE94)/AVERAGE(終値!AL94:BE94),""))</f>
        <v>7.1071009086230305E-2</v>
      </c>
      <c r="AJ94" s="503">
        <f>IF(終値!A94="","",IFERROR(4*STDEVP(終値!AM94:BF94)/AVERAGE(終値!AM94:BF94),""))</f>
        <v>7.6368173732148881E-2</v>
      </c>
      <c r="AK94" s="503">
        <f>IF(終値!A94="","",IFERROR(4*STDEVP(終値!AN94:BG94)/AVERAGE(終値!AN94:BG94),""))</f>
        <v>7.4228481495977758E-2</v>
      </c>
      <c r="AL94" s="503">
        <f>IF(終値!A94="","",IFERROR(4*STDEVP(終値!AO94:BH94)/AVERAGE(終値!AO94:BH94),""))</f>
        <v>7.4393750182108642E-2</v>
      </c>
      <c r="AM94" s="503">
        <f>IF(終値!A94="","",IFERROR(4*STDEVP(終値!AP94:BI94)/AVERAGE(終値!AP94:BI94),""))</f>
        <v>7.3790130033316054E-2</v>
      </c>
      <c r="AN94" s="503">
        <f>IF(終値!A94="","",IFERROR(4*STDEVP(終値!AQ94:BJ94)/AVERAGE(終値!AQ94:BJ94),""))</f>
        <v>8.2979283449946831E-2</v>
      </c>
      <c r="AO94" s="503">
        <f>IF(終値!A94="","",IFERROR(4*STDEVP(終値!AR94:BK94)/AVERAGE(終値!AR94:BK94),""))</f>
        <v>0.13216687153132589</v>
      </c>
      <c r="AP94" s="503">
        <f>IF(終値!A94="","",IFERROR(4*STDEVP(終値!AS94:BL94)/AVERAGE(終値!AS94:BL94),""))</f>
        <v>0.16312942609087119</v>
      </c>
    </row>
    <row r="95" spans="1:42">
      <c r="A95" s="500" t="str">
        <f>IF(終値!A95="","",終値!A95)</f>
        <v>4008</v>
      </c>
      <c r="B95" s="503">
        <f>IF(終値!A95="","",IFERROR(4*STDEVP(終値!E95:X95)/AVERAGE(終値!E95:X95),""))</f>
        <v>0.15647320495573488</v>
      </c>
      <c r="C95" s="503">
        <f>IF(終値!A95="","",IFERROR(4*STDEVP(終値!F95:Y95)/AVERAGE(終値!F95:Y95),""))</f>
        <v>9.5294414005250752E-2</v>
      </c>
      <c r="D95" s="503">
        <f>IF(終値!A95="","",IFERROR(4*STDEVP(終値!G95:Z95)/AVERAGE(終値!G95:Z95),""))</f>
        <v>0.11211343740596229</v>
      </c>
      <c r="E95" s="503">
        <f>IF(終値!A95="","",IFERROR(4*STDEVP(終値!H95:AA95)/AVERAGE(終値!H95:AA95),""))</f>
        <v>0.13086490234575435</v>
      </c>
      <c r="F95" s="503">
        <f>IF(終値!A95="","",IFERROR(4*STDEVP(終値!I95:AB95)/AVERAGE(終値!I95:AB95),""))</f>
        <v>0.12394256212293163</v>
      </c>
      <c r="G95" s="503">
        <f>IF(終値!A95="","",IFERROR(4*STDEVP(終値!J95:AC95)/AVERAGE(終値!J95:AC95),""))</f>
        <v>0.11574536224586876</v>
      </c>
      <c r="H95" s="503">
        <f>IF(終値!A95="","",IFERROR(4*STDEVP(終値!K95:AD95)/AVERAGE(終値!K95:AD95),""))</f>
        <v>0.10733042599753753</v>
      </c>
      <c r="I95" s="503">
        <f>IF(終値!A95="","",IFERROR(4*STDEVP(終値!L95:AE95)/AVERAGE(終値!L95:AE95),""))</f>
        <v>9.6672213017357539E-2</v>
      </c>
      <c r="J95" s="503">
        <f>IF(終値!A95="","",IFERROR(4*STDEVP(終値!M95:AF95)/AVERAGE(終値!M95:AF95),""))</f>
        <v>8.5446427121836019E-2</v>
      </c>
      <c r="K95" s="503">
        <f>IF(終値!A95="","",IFERROR(4*STDEVP(終値!N95:AG95)/AVERAGE(終値!N95:AG95),""))</f>
        <v>8.5041709833449206E-2</v>
      </c>
      <c r="L95" s="503">
        <f>IF(終値!A95="","",IFERROR(4*STDEVP(終値!O95:AH95)/AVERAGE(終値!O95:AH95),""))</f>
        <v>8.5128166249500814E-2</v>
      </c>
      <c r="M95" s="503">
        <f>IF(終値!A95="","",IFERROR(4*STDEVP(終値!P95:AI95)/AVERAGE(終値!P95:AI95),""))</f>
        <v>8.5104111530623958E-2</v>
      </c>
      <c r="N95" s="503">
        <f>IF(終値!A95="","",IFERROR(4*STDEVP(終値!Q95:AJ95)/AVERAGE(終値!Q95:AJ95),""))</f>
        <v>8.8520852250668969E-2</v>
      </c>
      <c r="O95" s="503">
        <f>IF(終値!A95="","",IFERROR(4*STDEVP(終値!R95:AK95)/AVERAGE(終値!R95:AK95),""))</f>
        <v>9.0684108416203765E-2</v>
      </c>
      <c r="P95" s="503">
        <f>IF(終値!A95="","",IFERROR(4*STDEVP(終値!S95:AL95)/AVERAGE(終値!S95:AL95),""))</f>
        <v>9.0629919781607379E-2</v>
      </c>
      <c r="Q95" s="503">
        <f>IF(終値!A95="","",IFERROR(4*STDEVP(終値!T95:AM95)/AVERAGE(終値!T95:AM95),""))</f>
        <v>9.094644749249596E-2</v>
      </c>
      <c r="R95" s="503">
        <f>IF(終値!A95="","",IFERROR(4*STDEVP(終値!U95:AN95)/AVERAGE(終値!U95:AN95),""))</f>
        <v>9.0971547335687006E-2</v>
      </c>
      <c r="S95" s="503">
        <f>IF(終値!A95="","",IFERROR(4*STDEVP(終値!V95:AO95)/AVERAGE(終値!V95:AO95),""))</f>
        <v>8.7566294915078197E-2</v>
      </c>
      <c r="T95" s="503">
        <f>IF(終値!A95="","",IFERROR(4*STDEVP(終値!W95:AP95)/AVERAGE(終値!W95:AP95),""))</f>
        <v>8.4870555073948778E-2</v>
      </c>
      <c r="U95" s="503">
        <f>IF(終値!A95="","",IFERROR(4*STDEVP(終値!X95:AQ95)/AVERAGE(終値!X95:AQ95),""))</f>
        <v>8.9067043983158387E-2</v>
      </c>
      <c r="V95" s="503">
        <f>IF(終値!A95="","",IFERROR(4*STDEVP(終値!Y95:AR95)/AVERAGE(終値!Y95:AR95),""))</f>
        <v>9.4673167544216633E-2</v>
      </c>
      <c r="W95" s="503">
        <f>IF(終値!A95="","",IFERROR(4*STDEVP(終値!Z95:AS95)/AVERAGE(終値!Z95:AS95),""))</f>
        <v>0.10048800441227509</v>
      </c>
      <c r="X95" s="503">
        <f>IF(終値!A95="","",IFERROR(4*STDEVP(終値!AA95:AT95)/AVERAGE(終値!AA95:AT95),""))</f>
        <v>9.4562408204675097E-2</v>
      </c>
      <c r="Y95" s="503">
        <f>IF(終値!A95="","",IFERROR(4*STDEVP(終値!AB95:AU95)/AVERAGE(終値!AB95:AU95),""))</f>
        <v>7.8401159625763092E-2</v>
      </c>
      <c r="Z95" s="503">
        <f>IF(終値!A95="","",IFERROR(4*STDEVP(終値!AC95:AV95)/AVERAGE(終値!AC95:AV95),""))</f>
        <v>7.9038298811924229E-2</v>
      </c>
      <c r="AA95" s="503">
        <f>IF(終値!A95="","",IFERROR(4*STDEVP(終値!AD95:AW95)/AVERAGE(終値!AD95:AW95),""))</f>
        <v>7.9038298811924215E-2</v>
      </c>
      <c r="AB95" s="503">
        <f>IF(終値!A95="","",IFERROR(4*STDEVP(終値!AE95:AX95)/AVERAGE(終値!AE95:AX95),""))</f>
        <v>8.1457219100232098E-2</v>
      </c>
      <c r="AC95" s="503">
        <f>IF(終値!A95="","",IFERROR(4*STDEVP(終値!AF95:AY95)/AVERAGE(終値!AF95:AY95),""))</f>
        <v>8.3324147067899895E-2</v>
      </c>
      <c r="AD95" s="503">
        <f>IF(終値!A95="","",IFERROR(4*STDEVP(終値!AG95:AZ95)/AVERAGE(終値!AG95:AZ95),""))</f>
        <v>8.4187797991212343E-2</v>
      </c>
      <c r="AE95" s="503">
        <f>IF(終値!A95="","",IFERROR(4*STDEVP(終値!AH95:BA95)/AVERAGE(終値!AH95:BA95),""))</f>
        <v>8.3973989070298891E-2</v>
      </c>
      <c r="AF95" s="503">
        <f>IF(終値!A95="","",IFERROR(4*STDEVP(終値!AI95:BB95)/AVERAGE(終値!AI95:BB95),""))</f>
        <v>8.2636554510498797E-2</v>
      </c>
      <c r="AG95" s="503">
        <f>IF(終値!A95="","",IFERROR(4*STDEVP(終値!AJ95:BC95)/AVERAGE(終値!AJ95:BC95),""))</f>
        <v>9.480646760352987E-2</v>
      </c>
      <c r="AH95" s="503">
        <f>IF(終値!A95="","",IFERROR(4*STDEVP(終値!AK95:BD95)/AVERAGE(終値!AK95:BD95),""))</f>
        <v>0.10607794000521788</v>
      </c>
      <c r="AI95" s="503">
        <f>IF(終値!A95="","",IFERROR(4*STDEVP(終値!AL95:BE95)/AVERAGE(終値!AL95:BE95),""))</f>
        <v>0.11008145731799573</v>
      </c>
      <c r="AJ95" s="503">
        <f>IF(終値!A95="","",IFERROR(4*STDEVP(終値!AM95:BF95)/AVERAGE(終値!AM95:BF95),""))</f>
        <v>0.10977276681232578</v>
      </c>
      <c r="AK95" s="503">
        <f>IF(終値!A95="","",IFERROR(4*STDEVP(終値!AN95:BG95)/AVERAGE(終値!AN95:BG95),""))</f>
        <v>0.10796774170172892</v>
      </c>
      <c r="AL95" s="503">
        <f>IF(終値!A95="","",IFERROR(4*STDEVP(終値!AO95:BH95)/AVERAGE(終値!AO95:BH95),""))</f>
        <v>0.10578307138212859</v>
      </c>
      <c r="AM95" s="503">
        <f>IF(終値!A95="","",IFERROR(4*STDEVP(終値!AP95:BI95)/AVERAGE(終値!AP95:BI95),""))</f>
        <v>0.10065349542942907</v>
      </c>
      <c r="AN95" s="503">
        <f>IF(終値!A95="","",IFERROR(4*STDEVP(終値!AQ95:BJ95)/AVERAGE(終値!AQ95:BJ95),""))</f>
        <v>0.1160357815616035</v>
      </c>
      <c r="AO95" s="503">
        <f>IF(終値!A95="","",IFERROR(4*STDEVP(終値!AR95:BK95)/AVERAGE(終値!AR95:BK95),""))</f>
        <v>0.12218688222405667</v>
      </c>
      <c r="AP95" s="503">
        <f>IF(終値!A95="","",IFERROR(4*STDEVP(終値!AS95:BL95)/AVERAGE(終値!AS95:BL95),""))</f>
        <v>0.12829993944730361</v>
      </c>
    </row>
    <row r="96" spans="1:42">
      <c r="A96" s="500" t="str">
        <f>IF(終値!A96="","",終値!A96)</f>
        <v>4062</v>
      </c>
      <c r="B96" s="503">
        <f>IF(終値!A96="","",IFERROR(4*STDEVP(終値!E96:X96)/AVERAGE(終値!E96:X96),""))</f>
        <v>0.45514291751568614</v>
      </c>
      <c r="C96" s="503">
        <f>IF(終値!A96="","",IFERROR(4*STDEVP(終値!F96:Y96)/AVERAGE(終値!F96:Y96),""))</f>
        <v>0.46419938214633322</v>
      </c>
      <c r="D96" s="503">
        <f>IF(終値!A96="","",IFERROR(4*STDEVP(終値!G96:Z96)/AVERAGE(終値!G96:Z96),""))</f>
        <v>0.48255171087383869</v>
      </c>
      <c r="E96" s="503">
        <f>IF(終値!A96="","",IFERROR(4*STDEVP(終値!H96:AA96)/AVERAGE(終値!H96:AA96),""))</f>
        <v>0.54728528344641336</v>
      </c>
      <c r="F96" s="503">
        <f>IF(終値!A96="","",IFERROR(4*STDEVP(終値!I96:AB96)/AVERAGE(終値!I96:AB96),""))</f>
        <v>0.58349608259156294</v>
      </c>
      <c r="G96" s="503">
        <f>IF(終値!A96="","",IFERROR(4*STDEVP(終値!J96:AC96)/AVERAGE(終値!J96:AC96),""))</f>
        <v>0.661954568151495</v>
      </c>
      <c r="H96" s="503">
        <f>IF(終値!A96="","",IFERROR(4*STDEVP(終値!K96:AD96)/AVERAGE(終値!K96:AD96),""))</f>
        <v>0.63642825588989083</v>
      </c>
      <c r="I96" s="503">
        <f>IF(終値!A96="","",IFERROR(4*STDEVP(終値!L96:AE96)/AVERAGE(終値!L96:AE96),""))</f>
        <v>0.588952564159551</v>
      </c>
      <c r="J96" s="503">
        <f>IF(終値!A96="","",IFERROR(4*STDEVP(終値!M96:AF96)/AVERAGE(終値!M96:AF96),""))</f>
        <v>0.55875765244184605</v>
      </c>
      <c r="K96" s="503">
        <f>IF(終値!A96="","",IFERROR(4*STDEVP(終値!N96:AG96)/AVERAGE(終値!N96:AG96),""))</f>
        <v>0.58117560407131474</v>
      </c>
      <c r="L96" s="503">
        <f>IF(終値!A96="","",IFERROR(4*STDEVP(終値!O96:AH96)/AVERAGE(終値!O96:AH96),""))</f>
        <v>0.57607205594206057</v>
      </c>
      <c r="M96" s="503">
        <f>IF(終値!A96="","",IFERROR(4*STDEVP(終値!P96:AI96)/AVERAGE(終値!P96:AI96),""))</f>
        <v>0.56813252511036705</v>
      </c>
      <c r="N96" s="503">
        <f>IF(終値!A96="","",IFERROR(4*STDEVP(終値!Q96:AJ96)/AVERAGE(終値!Q96:AJ96),""))</f>
        <v>0.57632480620666582</v>
      </c>
      <c r="O96" s="503">
        <f>IF(終値!A96="","",IFERROR(4*STDEVP(終値!R96:AK96)/AVERAGE(終値!R96:AK96),""))</f>
        <v>0.54692562654362953</v>
      </c>
      <c r="P96" s="503">
        <f>IF(終値!A96="","",IFERROR(4*STDEVP(終値!S96:AL96)/AVERAGE(終値!S96:AL96),""))</f>
        <v>0.48321756249351944</v>
      </c>
      <c r="Q96" s="503">
        <f>IF(終値!A96="","",IFERROR(4*STDEVP(終値!T96:AM96)/AVERAGE(終値!T96:AM96),""))</f>
        <v>0.46201727791988745</v>
      </c>
      <c r="R96" s="503">
        <f>IF(終値!A96="","",IFERROR(4*STDEVP(終値!U96:AN96)/AVERAGE(終値!U96:AN96),""))</f>
        <v>0.4151723135160531</v>
      </c>
      <c r="S96" s="503">
        <f>IF(終値!A96="","",IFERROR(4*STDEVP(終値!V96:AO96)/AVERAGE(終値!V96:AO96),""))</f>
        <v>0.37397615783920823</v>
      </c>
      <c r="T96" s="503">
        <f>IF(終値!A96="","",IFERROR(4*STDEVP(終値!W96:AP96)/AVERAGE(終値!W96:AP96),""))</f>
        <v>0.39137186534983798</v>
      </c>
      <c r="U96" s="503">
        <f>IF(終値!A96="","",IFERROR(4*STDEVP(終値!X96:AQ96)/AVERAGE(終値!X96:AQ96),""))</f>
        <v>0.41346199757349811</v>
      </c>
      <c r="V96" s="503">
        <f>IF(終値!A96="","",IFERROR(4*STDEVP(終値!Y96:AR96)/AVERAGE(終値!Y96:AR96),""))</f>
        <v>0.44393440560482206</v>
      </c>
      <c r="W96" s="503">
        <f>IF(終値!A96="","",IFERROR(4*STDEVP(終値!Z96:AS96)/AVERAGE(終値!Z96:AS96),""))</f>
        <v>0.488428236304906</v>
      </c>
      <c r="X96" s="503">
        <f>IF(終値!A96="","",IFERROR(4*STDEVP(終値!AA96:AT96)/AVERAGE(終値!AA96:AT96),""))</f>
        <v>0.5137343237600086</v>
      </c>
      <c r="Y96" s="503">
        <f>IF(終値!A96="","",IFERROR(4*STDEVP(終値!AB96:AU96)/AVERAGE(終値!AB96:AU96),""))</f>
        <v>0.52662255807747693</v>
      </c>
      <c r="Z96" s="503">
        <f>IF(終値!A96="","",IFERROR(4*STDEVP(終値!AC96:AV96)/AVERAGE(終値!AC96:AV96),""))</f>
        <v>0.52802033443067908</v>
      </c>
      <c r="AA96" s="503">
        <f>IF(終値!A96="","",IFERROR(4*STDEVP(終値!AD96:AW96)/AVERAGE(終値!AD96:AW96),""))</f>
        <v>0.51923741595699446</v>
      </c>
      <c r="AB96" s="503">
        <f>IF(終値!A96="","",IFERROR(4*STDEVP(終値!AE96:AX96)/AVERAGE(終値!AE96:AX96),""))</f>
        <v>0.51742524508237697</v>
      </c>
      <c r="AC96" s="503">
        <f>IF(終値!A96="","",IFERROR(4*STDEVP(終値!AF96:AY96)/AVERAGE(終値!AF96:AY96),""))</f>
        <v>0.52794415526802208</v>
      </c>
      <c r="AD96" s="503">
        <f>IF(終値!A96="","",IFERROR(4*STDEVP(終値!AG96:AZ96)/AVERAGE(終値!AG96:AZ96),""))</f>
        <v>0.52995320420096925</v>
      </c>
      <c r="AE96" s="503">
        <f>IF(終値!A96="","",IFERROR(4*STDEVP(終値!AH96:BA96)/AVERAGE(終値!AH96:BA96),""))</f>
        <v>0.50324692669484938</v>
      </c>
      <c r="AF96" s="503">
        <f>IF(終値!A96="","",IFERROR(4*STDEVP(終値!AI96:BB96)/AVERAGE(終値!AI96:BB96),""))</f>
        <v>0.49997642245490992</v>
      </c>
      <c r="AG96" s="503">
        <f>IF(終値!A96="","",IFERROR(4*STDEVP(終値!AJ96:BC96)/AVERAGE(終値!AJ96:BC96),""))</f>
        <v>0.50948452856107462</v>
      </c>
      <c r="AH96" s="503">
        <f>IF(終値!A96="","",IFERROR(4*STDEVP(終値!AK96:BD96)/AVERAGE(終値!AK96:BD96),""))</f>
        <v>0.51265287383675695</v>
      </c>
      <c r="AI96" s="503">
        <f>IF(終値!A96="","",IFERROR(4*STDEVP(終値!AL96:BE96)/AVERAGE(終値!AL96:BE96),""))</f>
        <v>0.53605177634795342</v>
      </c>
      <c r="AJ96" s="503">
        <f>IF(終値!A96="","",IFERROR(4*STDEVP(終値!AM96:BF96)/AVERAGE(終値!AM96:BF96),""))</f>
        <v>0.51479215659857402</v>
      </c>
      <c r="AK96" s="503">
        <f>IF(終値!A96="","",IFERROR(4*STDEVP(終値!AN96:BG96)/AVERAGE(終値!AN96:BG96),""))</f>
        <v>0.50838691016159332</v>
      </c>
      <c r="AL96" s="503">
        <f>IF(終値!A96="","",IFERROR(4*STDEVP(終値!AO96:BH96)/AVERAGE(終値!AO96:BH96),""))</f>
        <v>0.49829541652506243</v>
      </c>
      <c r="AM96" s="503">
        <f>IF(終値!A96="","",IFERROR(4*STDEVP(終値!AP96:BI96)/AVERAGE(終値!AP96:BI96),""))</f>
        <v>0.47357149035414925</v>
      </c>
      <c r="AN96" s="503">
        <f>IF(終値!A96="","",IFERROR(4*STDEVP(終値!AQ96:BJ96)/AVERAGE(終値!AQ96:BJ96),""))</f>
        <v>0.48525006043902119</v>
      </c>
      <c r="AO96" s="503">
        <f>IF(終値!A96="","",IFERROR(4*STDEVP(終値!AR96:BK96)/AVERAGE(終値!AR96:BK96),""))</f>
        <v>0.50627584283283289</v>
      </c>
      <c r="AP96" s="503">
        <f>IF(終値!A96="","",IFERROR(4*STDEVP(終値!AS96:BL96)/AVERAGE(終値!AS96:BL96),""))</f>
        <v>0.52475373434657135</v>
      </c>
    </row>
    <row r="97" spans="1:42">
      <c r="A97" s="500" t="str">
        <f>IF(終値!A97="","",終値!A97)</f>
        <v>4182</v>
      </c>
      <c r="B97" s="503">
        <f>IF(終値!A97="","",IFERROR(4*STDEVP(終値!E97:X97)/AVERAGE(終値!E97:X97),""))</f>
        <v>0.24137142973610226</v>
      </c>
      <c r="C97" s="503">
        <f>IF(終値!A97="","",IFERROR(4*STDEVP(終値!F97:Y97)/AVERAGE(終値!F97:Y97),""))</f>
        <v>0.24538861705734857</v>
      </c>
      <c r="D97" s="503">
        <f>IF(終値!A97="","",IFERROR(4*STDEVP(終値!G97:Z97)/AVERAGE(終値!G97:Z97),""))</f>
        <v>0.25415722038433347</v>
      </c>
      <c r="E97" s="503">
        <f>IF(終値!A97="","",IFERROR(4*STDEVP(終値!H97:AA97)/AVERAGE(終値!H97:AA97),""))</f>
        <v>0.27303725730709827</v>
      </c>
      <c r="F97" s="503">
        <f>IF(終値!A97="","",IFERROR(4*STDEVP(終値!I97:AB97)/AVERAGE(終値!I97:AB97),""))</f>
        <v>0.27623871897807439</v>
      </c>
      <c r="G97" s="503">
        <f>IF(終値!A97="","",IFERROR(4*STDEVP(終値!J97:AC97)/AVERAGE(終値!J97:AC97),""))</f>
        <v>0.29523896442824649</v>
      </c>
      <c r="H97" s="503">
        <f>IF(終値!A97="","",IFERROR(4*STDEVP(終値!K97:AD97)/AVERAGE(終値!K97:AD97),""))</f>
        <v>0.27546967859687538</v>
      </c>
      <c r="I97" s="503">
        <f>IF(終値!A97="","",IFERROR(4*STDEVP(終値!L97:AE97)/AVERAGE(終値!L97:AE97),""))</f>
        <v>0.24385839148680188</v>
      </c>
      <c r="J97" s="503">
        <f>IF(終値!A97="","",IFERROR(4*STDEVP(終値!M97:AF97)/AVERAGE(終値!M97:AF97),""))</f>
        <v>0.21715187968054095</v>
      </c>
      <c r="K97" s="503">
        <f>IF(終値!A97="","",IFERROR(4*STDEVP(終値!N97:AG97)/AVERAGE(終値!N97:AG97),""))</f>
        <v>0.2264247070987522</v>
      </c>
      <c r="L97" s="503">
        <f>IF(終値!A97="","",IFERROR(4*STDEVP(終値!O97:AH97)/AVERAGE(終値!O97:AH97),""))</f>
        <v>0.22743089303381608</v>
      </c>
      <c r="M97" s="503">
        <f>IF(終値!A97="","",IFERROR(4*STDEVP(終値!P97:AI97)/AVERAGE(終値!P97:AI97),""))</f>
        <v>0.24066100911234442</v>
      </c>
      <c r="N97" s="503">
        <f>IF(終値!A97="","",IFERROR(4*STDEVP(終値!Q97:AJ97)/AVERAGE(終値!Q97:AJ97),""))</f>
        <v>0.27148684524471145</v>
      </c>
      <c r="O97" s="503">
        <f>IF(終値!A97="","",IFERROR(4*STDEVP(終値!R97:AK97)/AVERAGE(終値!R97:AK97),""))</f>
        <v>0.27045556790993036</v>
      </c>
      <c r="P97" s="503">
        <f>IF(終値!A97="","",IFERROR(4*STDEVP(終値!S97:AL97)/AVERAGE(終値!S97:AL97),""))</f>
        <v>0.25120283747539013</v>
      </c>
      <c r="Q97" s="503">
        <f>IF(終値!A97="","",IFERROR(4*STDEVP(終値!T97:AM97)/AVERAGE(終値!T97:AM97),""))</f>
        <v>0.24714699476212668</v>
      </c>
      <c r="R97" s="503">
        <f>IF(終値!A97="","",IFERROR(4*STDEVP(終値!U97:AN97)/AVERAGE(終値!U97:AN97),""))</f>
        <v>0.23600482580449159</v>
      </c>
      <c r="S97" s="503">
        <f>IF(終値!A97="","",IFERROR(4*STDEVP(終値!V97:AO97)/AVERAGE(終値!V97:AO97),""))</f>
        <v>0.21846080580800548</v>
      </c>
      <c r="T97" s="503">
        <f>IF(終値!A97="","",IFERROR(4*STDEVP(終値!W97:AP97)/AVERAGE(終値!W97:AP97),""))</f>
        <v>0.20923870423328689</v>
      </c>
      <c r="U97" s="503">
        <f>IF(終値!A97="","",IFERROR(4*STDEVP(終値!X97:AQ97)/AVERAGE(終値!X97:AQ97),""))</f>
        <v>0.22392184119967065</v>
      </c>
      <c r="V97" s="503">
        <f>IF(終値!A97="","",IFERROR(4*STDEVP(終値!Y97:AR97)/AVERAGE(終値!Y97:AR97),""))</f>
        <v>0.23767905597327182</v>
      </c>
      <c r="W97" s="503">
        <f>IF(終値!A97="","",IFERROR(4*STDEVP(終値!Z97:AS97)/AVERAGE(終値!Z97:AS97),""))</f>
        <v>0.23670802365487403</v>
      </c>
      <c r="X97" s="503">
        <f>IF(終値!A97="","",IFERROR(4*STDEVP(終値!AA97:AT97)/AVERAGE(終値!AA97:AT97),""))</f>
        <v>0.23374353566297576</v>
      </c>
      <c r="Y97" s="503">
        <f>IF(終値!A97="","",IFERROR(4*STDEVP(終値!AB97:AU97)/AVERAGE(終値!AB97:AU97),""))</f>
        <v>0.23477948401118984</v>
      </c>
      <c r="Z97" s="503">
        <f>IF(終値!A97="","",IFERROR(4*STDEVP(終値!AC97:AV97)/AVERAGE(終値!AC97:AV97),""))</f>
        <v>0.2344087040573036</v>
      </c>
      <c r="AA97" s="503">
        <f>IF(終値!A97="","",IFERROR(4*STDEVP(終値!AD97:AW97)/AVERAGE(終値!AD97:AW97),""))</f>
        <v>0.23522180458298023</v>
      </c>
      <c r="AB97" s="503">
        <f>IF(終値!A97="","",IFERROR(4*STDEVP(終値!AE97:AX97)/AVERAGE(終値!AE97:AX97),""))</f>
        <v>0.24460464929897188</v>
      </c>
      <c r="AC97" s="503">
        <f>IF(終値!A97="","",IFERROR(4*STDEVP(終値!AF97:AY97)/AVERAGE(終値!AF97:AY97),""))</f>
        <v>0.24755679135578337</v>
      </c>
      <c r="AD97" s="503">
        <f>IF(終値!A97="","",IFERROR(4*STDEVP(終値!AG97:AZ97)/AVERAGE(終値!AG97:AZ97),""))</f>
        <v>0.24994851447730818</v>
      </c>
      <c r="AE97" s="503">
        <f>IF(終値!A97="","",IFERROR(4*STDEVP(終値!AH97:BA97)/AVERAGE(終値!AH97:BA97),""))</f>
        <v>0.24970897550595728</v>
      </c>
      <c r="AF97" s="503">
        <f>IF(終値!A97="","",IFERROR(4*STDEVP(終値!AI97:BB97)/AVERAGE(終値!AI97:BB97),""))</f>
        <v>0.25054559787338093</v>
      </c>
      <c r="AG97" s="503">
        <f>IF(終値!A97="","",IFERROR(4*STDEVP(終値!AJ97:BC97)/AVERAGE(終値!AJ97:BC97),""))</f>
        <v>0.25116182252128405</v>
      </c>
      <c r="AH97" s="503">
        <f>IF(終値!A97="","",IFERROR(4*STDEVP(終値!AK97:BD97)/AVERAGE(終値!AK97:BD97),""))</f>
        <v>0.2509321755736017</v>
      </c>
      <c r="AI97" s="503">
        <f>IF(終値!A97="","",IFERROR(4*STDEVP(終値!AL97:BE97)/AVERAGE(終値!AL97:BE97),""))</f>
        <v>0.26227422693034697</v>
      </c>
      <c r="AJ97" s="503">
        <f>IF(終値!A97="","",IFERROR(4*STDEVP(終値!AM97:BF97)/AVERAGE(終値!AM97:BF97),""))</f>
        <v>0.26767785400446781</v>
      </c>
      <c r="AK97" s="503">
        <f>IF(終値!A97="","",IFERROR(4*STDEVP(終値!AN97:BG97)/AVERAGE(終値!AN97:BG97),""))</f>
        <v>0.27565651755546511</v>
      </c>
      <c r="AL97" s="503">
        <f>IF(終値!A97="","",IFERROR(4*STDEVP(終値!AO97:BH97)/AVERAGE(終値!AO97:BH97),""))</f>
        <v>0.27526022526372723</v>
      </c>
      <c r="AM97" s="503">
        <f>IF(終値!A97="","",IFERROR(4*STDEVP(終値!AP97:BI97)/AVERAGE(終値!AP97:BI97),""))</f>
        <v>0.275558273350126</v>
      </c>
      <c r="AN97" s="503">
        <f>IF(終値!A97="","",IFERROR(4*STDEVP(終値!AQ97:BJ97)/AVERAGE(終値!AQ97:BJ97),""))</f>
        <v>0.27622745406718313</v>
      </c>
      <c r="AO97" s="503">
        <f>IF(終値!A97="","",IFERROR(4*STDEVP(終値!AR97:BK97)/AVERAGE(終値!AR97:BK97),""))</f>
        <v>0.26309670321425505</v>
      </c>
      <c r="AP97" s="503">
        <f>IF(終値!A97="","",IFERROR(4*STDEVP(終値!AS97:BL97)/AVERAGE(終値!AS97:BL97),""))</f>
        <v>0.25324794067116824</v>
      </c>
    </row>
    <row r="98" spans="1:42">
      <c r="A98" s="500" t="str">
        <f>IF(終値!A98="","",終値!A98)</f>
        <v>4188</v>
      </c>
      <c r="B98" s="503">
        <f>IF(終値!A98="","",IFERROR(4*STDEVP(終値!E98:X98)/AVERAGE(終値!E98:X98),""))</f>
        <v>9.8226203301288506E-2</v>
      </c>
      <c r="C98" s="503">
        <f>IF(終値!A98="","",IFERROR(4*STDEVP(終値!F98:Y98)/AVERAGE(終値!F98:Y98),""))</f>
        <v>9.8946529466303973E-2</v>
      </c>
      <c r="D98" s="503">
        <f>IF(終値!A98="","",IFERROR(4*STDEVP(終値!G98:Z98)/AVERAGE(終値!G98:Z98),""))</f>
        <v>0.10001474942500321</v>
      </c>
      <c r="E98" s="503">
        <f>IF(終値!A98="","",IFERROR(4*STDEVP(終値!H98:AA98)/AVERAGE(終値!H98:AA98),""))</f>
        <v>8.8325786261202119E-2</v>
      </c>
      <c r="F98" s="503">
        <f>IF(終値!A98="","",IFERROR(4*STDEVP(終値!I98:AB98)/AVERAGE(終値!I98:AB98),""))</f>
        <v>9.0302135795699276E-2</v>
      </c>
      <c r="G98" s="503">
        <f>IF(終値!A98="","",IFERROR(4*STDEVP(終値!J98:AC98)/AVERAGE(終値!J98:AC98),""))</f>
        <v>0.10299515544705773</v>
      </c>
      <c r="H98" s="503">
        <f>IF(終値!A98="","",IFERROR(4*STDEVP(終値!K98:AD98)/AVERAGE(終値!K98:AD98),""))</f>
        <v>0.10531749612367849</v>
      </c>
      <c r="I98" s="503">
        <f>IF(終値!A98="","",IFERROR(4*STDEVP(終値!L98:AE98)/AVERAGE(終値!L98:AE98),""))</f>
        <v>0.11015911138290675</v>
      </c>
      <c r="J98" s="503">
        <f>IF(終値!A98="","",IFERROR(4*STDEVP(終値!M98:AF98)/AVERAGE(終値!M98:AF98),""))</f>
        <v>0.1262968777425823</v>
      </c>
      <c r="K98" s="503">
        <f>IF(終値!A98="","",IFERROR(4*STDEVP(終値!N98:AG98)/AVERAGE(終値!N98:AG98),""))</f>
        <v>0.13181777847678899</v>
      </c>
      <c r="L98" s="503">
        <f>IF(終値!A98="","",IFERROR(4*STDEVP(終値!O98:AH98)/AVERAGE(終値!O98:AH98),""))</f>
        <v>0.14168221388104477</v>
      </c>
      <c r="M98" s="503">
        <f>IF(終値!A98="","",IFERROR(4*STDEVP(終値!P98:AI98)/AVERAGE(終値!P98:AI98),""))</f>
        <v>0.14548889255919137</v>
      </c>
      <c r="N98" s="503">
        <f>IF(終値!A98="","",IFERROR(4*STDEVP(終値!Q98:AJ98)/AVERAGE(終値!Q98:AJ98),""))</f>
        <v>0.14767072391807515</v>
      </c>
      <c r="O98" s="503">
        <f>IF(終値!A98="","",IFERROR(4*STDEVP(終値!R98:AK98)/AVERAGE(終値!R98:AK98),""))</f>
        <v>0.14989000553038773</v>
      </c>
      <c r="P98" s="503">
        <f>IF(終値!A98="","",IFERROR(4*STDEVP(終値!S98:AL98)/AVERAGE(終値!S98:AL98),""))</f>
        <v>0.14975346754241159</v>
      </c>
      <c r="Q98" s="503">
        <f>IF(終値!A98="","",IFERROR(4*STDEVP(終値!T98:AM98)/AVERAGE(終値!T98:AM98),""))</f>
        <v>0.13566171813773581</v>
      </c>
      <c r="R98" s="503">
        <f>IF(終値!A98="","",IFERROR(4*STDEVP(終値!U98:AN98)/AVERAGE(終値!U98:AN98),""))</f>
        <v>0.12762292150458512</v>
      </c>
      <c r="S98" s="503">
        <f>IF(終値!A98="","",IFERROR(4*STDEVP(終値!V98:AO98)/AVERAGE(終値!V98:AO98),""))</f>
        <v>0.12568039625138672</v>
      </c>
      <c r="T98" s="503">
        <f>IF(終値!A98="","",IFERROR(4*STDEVP(終値!W98:AP98)/AVERAGE(終値!W98:AP98),""))</f>
        <v>0.12935672326058048</v>
      </c>
      <c r="U98" s="503">
        <f>IF(終値!A98="","",IFERROR(4*STDEVP(終値!X98:AQ98)/AVERAGE(終値!X98:AQ98),""))</f>
        <v>0.14359365550972497</v>
      </c>
      <c r="V98" s="503">
        <f>IF(終値!A98="","",IFERROR(4*STDEVP(終値!Y98:AR98)/AVERAGE(終値!Y98:AR98),""))</f>
        <v>0.15721086391277281</v>
      </c>
      <c r="W98" s="503">
        <f>IF(終値!A98="","",IFERROR(4*STDEVP(終値!Z98:AS98)/AVERAGE(終値!Z98:AS98),""))</f>
        <v>0.1551033148747985</v>
      </c>
      <c r="X98" s="503">
        <f>IF(終値!A98="","",IFERROR(4*STDEVP(終値!AA98:AT98)/AVERAGE(終値!AA98:AT98),""))</f>
        <v>0.13344286726463137</v>
      </c>
      <c r="Y98" s="503">
        <f>IF(終値!A98="","",IFERROR(4*STDEVP(終値!AB98:AU98)/AVERAGE(終値!AB98:AU98),""))</f>
        <v>0.12203721101590563</v>
      </c>
      <c r="Z98" s="503">
        <f>IF(終値!A98="","",IFERROR(4*STDEVP(終値!AC98:AV98)/AVERAGE(終値!AC98:AV98),""))</f>
        <v>0.11864479907185034</v>
      </c>
      <c r="AA98" s="503">
        <f>IF(終値!A98="","",IFERROR(4*STDEVP(終値!AD98:AW98)/AVERAGE(終値!AD98:AW98),""))</f>
        <v>0.11744188270670695</v>
      </c>
      <c r="AB98" s="503">
        <f>IF(終値!A98="","",IFERROR(4*STDEVP(終値!AE98:AX98)/AVERAGE(終値!AE98:AX98),""))</f>
        <v>0.12214628463494107</v>
      </c>
      <c r="AC98" s="503">
        <f>IF(終値!A98="","",IFERROR(4*STDEVP(終値!AF98:AY98)/AVERAGE(終値!AF98:AY98),""))</f>
        <v>0.11984533267214675</v>
      </c>
      <c r="AD98" s="503">
        <f>IF(終値!A98="","",IFERROR(4*STDEVP(終値!AG98:AZ98)/AVERAGE(終値!AG98:AZ98),""))</f>
        <v>0.12128140916320206</v>
      </c>
      <c r="AE98" s="503">
        <f>IF(終値!A98="","",IFERROR(4*STDEVP(終値!AH98:BA98)/AVERAGE(終値!AH98:BA98),""))</f>
        <v>0.12130776986181589</v>
      </c>
      <c r="AF98" s="503">
        <f>IF(終値!A98="","",IFERROR(4*STDEVP(終値!AI98:BB98)/AVERAGE(終値!AI98:BB98),""))</f>
        <v>0.1321333513320205</v>
      </c>
      <c r="AG98" s="503">
        <f>IF(終値!A98="","",IFERROR(4*STDEVP(終値!AJ98:BC98)/AVERAGE(終値!AJ98:BC98),""))</f>
        <v>0.14942820031611945</v>
      </c>
      <c r="AH98" s="503">
        <f>IF(終値!A98="","",IFERROR(4*STDEVP(終値!AK98:BD98)/AVERAGE(終値!AK98:BD98),""))</f>
        <v>0.16394815538697546</v>
      </c>
      <c r="AI98" s="503">
        <f>IF(終値!A98="","",IFERROR(4*STDEVP(終値!AL98:BE98)/AVERAGE(終値!AL98:BE98),""))</f>
        <v>0.16875932467924498</v>
      </c>
      <c r="AJ98" s="503">
        <f>IF(終値!A98="","",IFERROR(4*STDEVP(終値!AM98:BF98)/AVERAGE(終値!AM98:BF98),""))</f>
        <v>0.17385552051211348</v>
      </c>
      <c r="AK98" s="503">
        <f>IF(終値!A98="","",IFERROR(4*STDEVP(終値!AN98:BG98)/AVERAGE(終値!AN98:BG98),""))</f>
        <v>0.16968648095349254</v>
      </c>
      <c r="AL98" s="503">
        <f>IF(終値!A98="","",IFERROR(4*STDEVP(終値!AO98:BH98)/AVERAGE(終値!AO98:BH98),""))</f>
        <v>0.16677729474869427</v>
      </c>
      <c r="AM98" s="503">
        <f>IF(終値!A98="","",IFERROR(4*STDEVP(終値!AP98:BI98)/AVERAGE(終値!AP98:BI98),""))</f>
        <v>0.16332248297950219</v>
      </c>
      <c r="AN98" s="503">
        <f>IF(終値!A98="","",IFERROR(4*STDEVP(終値!AQ98:BJ98)/AVERAGE(終値!AQ98:BJ98),""))</f>
        <v>0.19421009489648278</v>
      </c>
      <c r="AO98" s="503">
        <f>IF(終値!A98="","",IFERROR(4*STDEVP(終値!AR98:BK98)/AVERAGE(終値!AR98:BK98),""))</f>
        <v>0.21998547642023877</v>
      </c>
      <c r="AP98" s="503">
        <f>IF(終値!A98="","",IFERROR(4*STDEVP(終値!AS98:BL98)/AVERAGE(終値!AS98:BL98),""))</f>
        <v>0.24273110993768443</v>
      </c>
    </row>
    <row r="99" spans="1:42">
      <c r="A99" s="500" t="str">
        <f>IF(終値!A99="","",終値!A99)</f>
        <v>4523</v>
      </c>
      <c r="B99" s="503">
        <f>IF(終値!A99="","",IFERROR(4*STDEVP(終値!E99:X99)/AVERAGE(終値!E99:X99),""))</f>
        <v>0.21168701427844328</v>
      </c>
      <c r="C99" s="503">
        <f>IF(終値!A99="","",IFERROR(4*STDEVP(終値!F99:Y99)/AVERAGE(終値!F99:Y99),""))</f>
        <v>0.21723988979538705</v>
      </c>
      <c r="D99" s="503">
        <f>IF(終値!A99="","",IFERROR(4*STDEVP(終値!G99:Z99)/AVERAGE(終値!G99:Z99),""))</f>
        <v>0.22151157798390123</v>
      </c>
      <c r="E99" s="503">
        <f>IF(終値!A99="","",IFERROR(4*STDEVP(終値!H99:AA99)/AVERAGE(終値!H99:AA99),""))</f>
        <v>0.2286756637195545</v>
      </c>
      <c r="F99" s="503">
        <f>IF(終値!A99="","",IFERROR(4*STDEVP(終値!I99:AB99)/AVERAGE(終値!I99:AB99),""))</f>
        <v>0.23732718024294117</v>
      </c>
      <c r="G99" s="503">
        <f>IF(終値!A99="","",IFERROR(4*STDEVP(終値!J99:AC99)/AVERAGE(終値!J99:AC99),""))</f>
        <v>0.24143249274653344</v>
      </c>
      <c r="H99" s="503">
        <f>IF(終値!A99="","",IFERROR(4*STDEVP(終値!K99:AD99)/AVERAGE(終値!K99:AD99),""))</f>
        <v>0.22333915386318146</v>
      </c>
      <c r="I99" s="503">
        <f>IF(終値!A99="","",IFERROR(4*STDEVP(終値!L99:AE99)/AVERAGE(終値!L99:AE99),""))</f>
        <v>0.18045646973546764</v>
      </c>
      <c r="J99" s="503">
        <f>IF(終値!A99="","",IFERROR(4*STDEVP(終値!M99:AF99)/AVERAGE(終値!M99:AF99),""))</f>
        <v>0.17526035623578892</v>
      </c>
      <c r="K99" s="503">
        <f>IF(終値!A99="","",IFERROR(4*STDEVP(終値!N99:AG99)/AVERAGE(終値!N99:AG99),""))</f>
        <v>0.16963560591269233</v>
      </c>
      <c r="L99" s="503">
        <f>IF(終値!A99="","",IFERROR(4*STDEVP(終値!O99:AH99)/AVERAGE(終値!O99:AH99),""))</f>
        <v>0.17168485216550339</v>
      </c>
      <c r="M99" s="503">
        <f>IF(終値!A99="","",IFERROR(4*STDEVP(終値!P99:AI99)/AVERAGE(終値!P99:AI99),""))</f>
        <v>0.17331542146804788</v>
      </c>
      <c r="N99" s="503">
        <f>IF(終値!A99="","",IFERROR(4*STDEVP(終値!Q99:AJ99)/AVERAGE(終値!Q99:AJ99),""))</f>
        <v>0.17130201961141459</v>
      </c>
      <c r="O99" s="503">
        <f>IF(終値!A99="","",IFERROR(4*STDEVP(終値!R99:AK99)/AVERAGE(終値!R99:AK99),""))</f>
        <v>0.16985754479419593</v>
      </c>
      <c r="P99" s="503">
        <f>IF(終値!A99="","",IFERROR(4*STDEVP(終値!S99:AL99)/AVERAGE(終値!S99:AL99),""))</f>
        <v>0.16263501506495578</v>
      </c>
      <c r="Q99" s="503">
        <f>IF(終値!A99="","",IFERROR(4*STDEVP(終値!T99:AM99)/AVERAGE(終値!T99:AM99),""))</f>
        <v>0.17346706773314025</v>
      </c>
      <c r="R99" s="503">
        <f>IF(終値!A99="","",IFERROR(4*STDEVP(終値!U99:AN99)/AVERAGE(終値!U99:AN99),""))</f>
        <v>0.18097448933962282</v>
      </c>
      <c r="S99" s="503">
        <f>IF(終値!A99="","",IFERROR(4*STDEVP(終値!V99:AO99)/AVERAGE(終値!V99:AO99),""))</f>
        <v>0.18651080533248937</v>
      </c>
      <c r="T99" s="503">
        <f>IF(終値!A99="","",IFERROR(4*STDEVP(終値!W99:AP99)/AVERAGE(終値!W99:AP99),""))</f>
        <v>0.18930842513387439</v>
      </c>
      <c r="U99" s="503">
        <f>IF(終値!A99="","",IFERROR(4*STDEVP(終値!X99:AQ99)/AVERAGE(終値!X99:AQ99),""))</f>
        <v>0.19333461057289258</v>
      </c>
      <c r="V99" s="503">
        <f>IF(終値!A99="","",IFERROR(4*STDEVP(終値!Y99:AR99)/AVERAGE(終値!Y99:AR99),""))</f>
        <v>0.18948868560063767</v>
      </c>
      <c r="W99" s="503">
        <f>IF(終値!A99="","",IFERROR(4*STDEVP(終値!Z99:AS99)/AVERAGE(終値!Z99:AS99),""))</f>
        <v>0.17852199717148659</v>
      </c>
      <c r="X99" s="503">
        <f>IF(終値!A99="","",IFERROR(4*STDEVP(終値!AA99:AT99)/AVERAGE(終値!AA99:AT99),""))</f>
        <v>0.15967458881430943</v>
      </c>
      <c r="Y99" s="503">
        <f>IF(終値!A99="","",IFERROR(4*STDEVP(終値!AB99:AU99)/AVERAGE(終値!AB99:AU99),""))</f>
        <v>0.14240934087416313</v>
      </c>
      <c r="Z99" s="503">
        <f>IF(終値!A99="","",IFERROR(4*STDEVP(終値!AC99:AV99)/AVERAGE(終値!AC99:AV99),""))</f>
        <v>0.12996142103134128</v>
      </c>
      <c r="AA99" s="503">
        <f>IF(終値!A99="","",IFERROR(4*STDEVP(終値!AD99:AW99)/AVERAGE(終値!AD99:AW99),""))</f>
        <v>0.11957302191941367</v>
      </c>
      <c r="AB99" s="503">
        <f>IF(終値!A99="","",IFERROR(4*STDEVP(終値!AE99:AX99)/AVERAGE(終値!AE99:AX99),""))</f>
        <v>0.10794932659361337</v>
      </c>
      <c r="AC99" s="503">
        <f>IF(終値!A99="","",IFERROR(4*STDEVP(終値!AF99:AY99)/AVERAGE(終値!AF99:AY99),""))</f>
        <v>8.559712668659511E-2</v>
      </c>
      <c r="AD99" s="503">
        <f>IF(終値!A99="","",IFERROR(4*STDEVP(終値!AG99:AZ99)/AVERAGE(終値!AG99:AZ99),""))</f>
        <v>9.0811500851770061E-2</v>
      </c>
      <c r="AE99" s="503">
        <f>IF(終値!A99="","",IFERROR(4*STDEVP(終値!AH99:BA99)/AVERAGE(終値!AH99:BA99),""))</f>
        <v>0.11014592753495815</v>
      </c>
      <c r="AF99" s="503">
        <f>IF(終値!A99="","",IFERROR(4*STDEVP(終値!AI99:BB99)/AVERAGE(終値!AI99:BB99),""))</f>
        <v>0.12825018719490422</v>
      </c>
      <c r="AG99" s="503">
        <f>IF(終値!A99="","",IFERROR(4*STDEVP(終値!AJ99:BC99)/AVERAGE(終値!AJ99:BC99),""))</f>
        <v>0.15195637895000691</v>
      </c>
      <c r="AH99" s="503">
        <f>IF(終値!A99="","",IFERROR(4*STDEVP(終値!AK99:BD99)/AVERAGE(終値!AK99:BD99),""))</f>
        <v>0.17047020074333077</v>
      </c>
      <c r="AI99" s="503">
        <f>IF(終値!A99="","",IFERROR(4*STDEVP(終値!AL99:BE99)/AVERAGE(終値!AL99:BE99),""))</f>
        <v>0.20918307743964371</v>
      </c>
      <c r="AJ99" s="503">
        <f>IF(終値!A99="","",IFERROR(4*STDEVP(終値!AM99:BF99)/AVERAGE(終値!AM99:BF99),""))</f>
        <v>0.23438546709146393</v>
      </c>
      <c r="AK99" s="503">
        <f>IF(終値!A99="","",IFERROR(4*STDEVP(終値!AN99:BG99)/AVERAGE(終値!AN99:BG99),""))</f>
        <v>0.28243611716360201</v>
      </c>
      <c r="AL99" s="503">
        <f>IF(終値!A99="","",IFERROR(4*STDEVP(終値!AO99:BH99)/AVERAGE(終値!AO99:BH99),""))</f>
        <v>0.31186663548780097</v>
      </c>
      <c r="AM99" s="503">
        <f>IF(終値!A99="","",IFERROR(4*STDEVP(終値!AP99:BI99)/AVERAGE(終値!AP99:BI99),""))</f>
        <v>0.33395455650094358</v>
      </c>
      <c r="AN99" s="503">
        <f>IF(終値!A99="","",IFERROR(4*STDEVP(終値!AQ99:BJ99)/AVERAGE(終値!AQ99:BJ99),""))</f>
        <v>0.34170589493768327</v>
      </c>
      <c r="AO99" s="503">
        <f>IF(終値!A99="","",IFERROR(4*STDEVP(終値!AR99:BK99)/AVERAGE(終値!AR99:BK99),""))</f>
        <v>0.34024638587038802</v>
      </c>
      <c r="AP99" s="503">
        <f>IF(終値!A99="","",IFERROR(4*STDEVP(終値!AS99:BL99)/AVERAGE(終値!AS99:BL99),""))</f>
        <v>0.33599545518103902</v>
      </c>
    </row>
    <row r="100" spans="1:42">
      <c r="A100" s="500" t="str">
        <f>IF(終値!A100="","",終値!A100)</f>
        <v>4528</v>
      </c>
      <c r="B100" s="503">
        <f>IF(終値!A100="","",IFERROR(4*STDEVP(終値!E100:X100)/AVERAGE(終値!E100:X100),""))</f>
        <v>8.7503186870821384E-2</v>
      </c>
      <c r="C100" s="503">
        <f>IF(終値!A100="","",IFERROR(4*STDEVP(終値!F100:Y100)/AVERAGE(終値!F100:Y100),""))</f>
        <v>8.5356848866507296E-2</v>
      </c>
      <c r="D100" s="503">
        <f>IF(終値!A100="","",IFERROR(4*STDEVP(終値!G100:Z100)/AVERAGE(終値!G100:Z100),""))</f>
        <v>7.4426783127138657E-2</v>
      </c>
      <c r="E100" s="503">
        <f>IF(終値!A100="","",IFERROR(4*STDEVP(終値!H100:AA100)/AVERAGE(終値!H100:AA100),""))</f>
        <v>6.0265088986083938E-2</v>
      </c>
      <c r="F100" s="503">
        <f>IF(終値!A100="","",IFERROR(4*STDEVP(終値!I100:AB100)/AVERAGE(終値!I100:AB100),""))</f>
        <v>5.0799128626487791E-2</v>
      </c>
      <c r="G100" s="503">
        <f>IF(終値!A100="","",IFERROR(4*STDEVP(終値!J100:AC100)/AVERAGE(終値!J100:AC100),""))</f>
        <v>5.3085281960754217E-2</v>
      </c>
      <c r="H100" s="503">
        <f>IF(終値!A100="","",IFERROR(4*STDEVP(終値!K100:AD100)/AVERAGE(終値!K100:AD100),""))</f>
        <v>5.3636842003645005E-2</v>
      </c>
      <c r="I100" s="503">
        <f>IF(終値!A100="","",IFERROR(4*STDEVP(終値!L100:AE100)/AVERAGE(終値!L100:AE100),""))</f>
        <v>4.6866297151367142E-2</v>
      </c>
      <c r="J100" s="503">
        <f>IF(終値!A100="","",IFERROR(4*STDEVP(終値!M100:AF100)/AVERAGE(終値!M100:AF100),""))</f>
        <v>4.9374688523935985E-2</v>
      </c>
      <c r="K100" s="503">
        <f>IF(終値!A100="","",IFERROR(4*STDEVP(終値!N100:AG100)/AVERAGE(終値!N100:AG100),""))</f>
        <v>5.6123953715201118E-2</v>
      </c>
      <c r="L100" s="503">
        <f>IF(終値!A100="","",IFERROR(4*STDEVP(終値!O100:AH100)/AVERAGE(終値!O100:AH100),""))</f>
        <v>5.9173178452072678E-2</v>
      </c>
      <c r="M100" s="503">
        <f>IF(終値!A100="","",IFERROR(4*STDEVP(終値!P100:AI100)/AVERAGE(終値!P100:AI100),""))</f>
        <v>6.5905994712291388E-2</v>
      </c>
      <c r="N100" s="503">
        <f>IF(終値!A100="","",IFERROR(4*STDEVP(終値!Q100:AJ100)/AVERAGE(終値!Q100:AJ100),""))</f>
        <v>6.9466007677379302E-2</v>
      </c>
      <c r="O100" s="503">
        <f>IF(終値!A100="","",IFERROR(4*STDEVP(終値!R100:AK100)/AVERAGE(終値!R100:AK100),""))</f>
        <v>8.9317472875562534E-2</v>
      </c>
      <c r="P100" s="503">
        <f>IF(終値!A100="","",IFERROR(4*STDEVP(終値!S100:AL100)/AVERAGE(終値!S100:AL100),""))</f>
        <v>9.8453377921952259E-2</v>
      </c>
      <c r="Q100" s="503">
        <f>IF(終値!A100="","",IFERROR(4*STDEVP(終値!T100:AM100)/AVERAGE(終値!T100:AM100),""))</f>
        <v>0.11091271155035549</v>
      </c>
      <c r="R100" s="503">
        <f>IF(終値!A100="","",IFERROR(4*STDEVP(終値!U100:AN100)/AVERAGE(終値!U100:AN100),""))</f>
        <v>0.11787674081865171</v>
      </c>
      <c r="S100" s="503">
        <f>IF(終値!A100="","",IFERROR(4*STDEVP(終値!V100:AO100)/AVERAGE(終値!V100:AO100),""))</f>
        <v>0.12393448516438123</v>
      </c>
      <c r="T100" s="503">
        <f>IF(終値!A100="","",IFERROR(4*STDEVP(終値!W100:AP100)/AVERAGE(終値!W100:AP100),""))</f>
        <v>0.133998090527575</v>
      </c>
      <c r="U100" s="503">
        <f>IF(終値!A100="","",IFERROR(4*STDEVP(終値!X100:AQ100)/AVERAGE(終値!X100:AQ100),""))</f>
        <v>0.13592062520293069</v>
      </c>
      <c r="V100" s="503">
        <f>IF(終値!A100="","",IFERROR(4*STDEVP(終値!Y100:AR100)/AVERAGE(終値!Y100:AR100),""))</f>
        <v>0.13104402525013406</v>
      </c>
      <c r="W100" s="503">
        <f>IF(終値!A100="","",IFERROR(4*STDEVP(終値!Z100:AS100)/AVERAGE(終値!Z100:AS100),""))</f>
        <v>0.12480305292059264</v>
      </c>
      <c r="X100" s="503">
        <f>IF(終値!A100="","",IFERROR(4*STDEVP(終値!AA100:AT100)/AVERAGE(終値!AA100:AT100),""))</f>
        <v>0.11927598142086911</v>
      </c>
      <c r="Y100" s="503">
        <f>IF(終値!A100="","",IFERROR(4*STDEVP(終値!AB100:AU100)/AVERAGE(終値!AB100:AU100),""))</f>
        <v>0.11870968662037538</v>
      </c>
      <c r="Z100" s="503">
        <f>IF(終値!A100="","",IFERROR(4*STDEVP(終値!AC100:AV100)/AVERAGE(終値!AC100:AV100),""))</f>
        <v>0.12289941397364854</v>
      </c>
      <c r="AA100" s="503">
        <f>IF(終値!A100="","",IFERROR(4*STDEVP(終値!AD100:AW100)/AVERAGE(終値!AD100:AW100),""))</f>
        <v>0.12128107418758026</v>
      </c>
      <c r="AB100" s="503">
        <f>IF(終値!A100="","",IFERROR(4*STDEVP(終値!AE100:AX100)/AVERAGE(終値!AE100:AX100),""))</f>
        <v>0.12190971797307606</v>
      </c>
      <c r="AC100" s="503">
        <f>IF(終値!A100="","",IFERROR(4*STDEVP(終値!AF100:AY100)/AVERAGE(終値!AF100:AY100),""))</f>
        <v>0.12024024602698308</v>
      </c>
      <c r="AD100" s="503">
        <f>IF(終値!A100="","",IFERROR(4*STDEVP(終値!AG100:AZ100)/AVERAGE(終値!AG100:AZ100),""))</f>
        <v>0.11898187078932067</v>
      </c>
      <c r="AE100" s="503">
        <f>IF(終値!A100="","",IFERROR(4*STDEVP(終値!AH100:BA100)/AVERAGE(終値!AH100:BA100),""))</f>
        <v>0.1318537700048282</v>
      </c>
      <c r="AF100" s="503">
        <f>IF(終値!A100="","",IFERROR(4*STDEVP(終値!AI100:BB100)/AVERAGE(終値!AI100:BB100),""))</f>
        <v>0.15029673336222452</v>
      </c>
      <c r="AG100" s="503">
        <f>IF(終値!A100="","",IFERROR(4*STDEVP(終値!AJ100:BC100)/AVERAGE(終値!AJ100:BC100),""))</f>
        <v>0.16090283285861395</v>
      </c>
      <c r="AH100" s="503">
        <f>IF(終値!A100="","",IFERROR(4*STDEVP(終値!AK100:BD100)/AVERAGE(終値!AK100:BD100),""))</f>
        <v>0.1673221068442311</v>
      </c>
      <c r="AI100" s="503">
        <f>IF(終値!A100="","",IFERROR(4*STDEVP(終値!AL100:BE100)/AVERAGE(終値!AL100:BE100),""))</f>
        <v>0.17202143882619483</v>
      </c>
      <c r="AJ100" s="503">
        <f>IF(終値!A100="","",IFERROR(4*STDEVP(終値!AM100:BF100)/AVERAGE(終値!AM100:BF100),""))</f>
        <v>0.17813944629911985</v>
      </c>
      <c r="AK100" s="503">
        <f>IF(終値!A100="","",IFERROR(4*STDEVP(終値!AN100:BG100)/AVERAGE(終値!AN100:BG100),""))</f>
        <v>0.19266771770625907</v>
      </c>
      <c r="AL100" s="503">
        <f>IF(終値!A100="","",IFERROR(4*STDEVP(終値!AO100:BH100)/AVERAGE(終値!AO100:BH100),""))</f>
        <v>0.20935016079704111</v>
      </c>
      <c r="AM100" s="503">
        <f>IF(終値!A100="","",IFERROR(4*STDEVP(終値!AP100:BI100)/AVERAGE(終値!AP100:BI100),""))</f>
        <v>0.21900554992755558</v>
      </c>
      <c r="AN100" s="503">
        <f>IF(終値!A100="","",IFERROR(4*STDEVP(終値!AQ100:BJ100)/AVERAGE(終値!AQ100:BJ100),""))</f>
        <v>0.21414935548153302</v>
      </c>
      <c r="AO100" s="503">
        <f>IF(終値!A100="","",IFERROR(4*STDEVP(終値!AR100:BK100)/AVERAGE(終値!AR100:BK100),""))</f>
        <v>0.20880421840855515</v>
      </c>
      <c r="AP100" s="503">
        <f>IF(終値!A100="","",IFERROR(4*STDEVP(終値!AS100:BL100)/AVERAGE(終値!AS100:BL100),""))</f>
        <v>0.2009606188538782</v>
      </c>
    </row>
    <row r="101" spans="1:42">
      <c r="A101" s="500" t="str">
        <f>IF(終値!A101="","",終値!A101)</f>
        <v>4661</v>
      </c>
      <c r="B101" s="503">
        <f>IF(終値!A101="","",IFERROR(4*STDEVP(終値!E101:X101)/AVERAGE(終値!E101:X101),""))</f>
        <v>0.24642018348510411</v>
      </c>
      <c r="C101" s="503">
        <f>IF(終値!A101="","",IFERROR(4*STDEVP(終値!F101:Y101)/AVERAGE(終値!F101:Y101),""))</f>
        <v>0.25238510500283379</v>
      </c>
      <c r="D101" s="503">
        <f>IF(終値!A101="","",IFERROR(4*STDEVP(終値!G101:Z101)/AVERAGE(終値!G101:Z101),""))</f>
        <v>0.26235603829345899</v>
      </c>
      <c r="E101" s="503">
        <f>IF(終値!A101="","",IFERROR(4*STDEVP(終値!H101:AA101)/AVERAGE(終値!H101:AA101),""))</f>
        <v>0.26697817792577128</v>
      </c>
      <c r="F101" s="503">
        <f>IF(終値!A101="","",IFERROR(4*STDEVP(終値!I101:AB101)/AVERAGE(終値!I101:AB101),""))</f>
        <v>0.2542606173068121</v>
      </c>
      <c r="G101" s="503">
        <f>IF(終値!A101="","",IFERROR(4*STDEVP(終値!J101:AC101)/AVERAGE(終値!J101:AC101),""))</f>
        <v>0.22468500271015743</v>
      </c>
      <c r="H101" s="503">
        <f>IF(終値!A101="","",IFERROR(4*STDEVP(終値!K101:AD101)/AVERAGE(終値!K101:AD101),""))</f>
        <v>0.21793401419568695</v>
      </c>
      <c r="I101" s="503">
        <f>IF(終値!A101="","",IFERROR(4*STDEVP(終値!L101:AE101)/AVERAGE(終値!L101:AE101),""))</f>
        <v>0.18080612379980454</v>
      </c>
      <c r="J101" s="503">
        <f>IF(終値!A101="","",IFERROR(4*STDEVP(終値!M101:AF101)/AVERAGE(終値!M101:AF101),""))</f>
        <v>0.16967070600876011</v>
      </c>
      <c r="K101" s="503">
        <f>IF(終値!A101="","",IFERROR(4*STDEVP(終値!N101:AG101)/AVERAGE(終値!N101:AG101),""))</f>
        <v>0.16382512526412812</v>
      </c>
      <c r="L101" s="503">
        <f>IF(終値!A101="","",IFERROR(4*STDEVP(終値!O101:AH101)/AVERAGE(終値!O101:AH101),""))</f>
        <v>0.17469607881430865</v>
      </c>
      <c r="M101" s="503">
        <f>IF(終値!A101="","",IFERROR(4*STDEVP(終値!P101:AI101)/AVERAGE(終値!P101:AI101),""))</f>
        <v>0.18734711250356378</v>
      </c>
      <c r="N101" s="503">
        <f>IF(終値!A101="","",IFERROR(4*STDEVP(終値!Q101:AJ101)/AVERAGE(終値!Q101:AJ101),""))</f>
        <v>0.19946477486737049</v>
      </c>
      <c r="O101" s="503">
        <f>IF(終値!A101="","",IFERROR(4*STDEVP(終値!R101:AK101)/AVERAGE(終値!R101:AK101),""))</f>
        <v>0.19894641733838789</v>
      </c>
      <c r="P101" s="503">
        <f>IF(終値!A101="","",IFERROR(4*STDEVP(終値!S101:AL101)/AVERAGE(終値!S101:AL101),""))</f>
        <v>0.19843661598166307</v>
      </c>
      <c r="Q101" s="503">
        <f>IF(終値!A101="","",IFERROR(4*STDEVP(終値!T101:AM101)/AVERAGE(終値!T101:AM101),""))</f>
        <v>0.20637913345082687</v>
      </c>
      <c r="R101" s="503">
        <f>IF(終値!A101="","",IFERROR(4*STDEVP(終値!U101:AN101)/AVERAGE(終値!U101:AN101),""))</f>
        <v>0.1951536938723302</v>
      </c>
      <c r="S101" s="503">
        <f>IF(終値!A101="","",IFERROR(4*STDEVP(終値!V101:AO101)/AVERAGE(終値!V101:AO101),""))</f>
        <v>0.19398059324410805</v>
      </c>
      <c r="T101" s="503">
        <f>IF(終値!A101="","",IFERROR(4*STDEVP(終値!W101:AP101)/AVERAGE(終値!W101:AP101),""))</f>
        <v>0.19244859785268639</v>
      </c>
      <c r="U101" s="503">
        <f>IF(終値!A101="","",IFERROR(4*STDEVP(終値!X101:AQ101)/AVERAGE(終値!X101:AQ101),""))</f>
        <v>0.18436145589757624</v>
      </c>
      <c r="V101" s="503">
        <f>IF(終値!A101="","",IFERROR(4*STDEVP(終値!Y101:AR101)/AVERAGE(終値!Y101:AR101),""))</f>
        <v>0.17327892855575142</v>
      </c>
      <c r="W101" s="503">
        <f>IF(終値!A101="","",IFERROR(4*STDEVP(終値!Z101:AS101)/AVERAGE(終値!Z101:AS101),""))</f>
        <v>0.16775649147259691</v>
      </c>
      <c r="X101" s="503">
        <f>IF(終値!A101="","",IFERROR(4*STDEVP(終値!AA101:AT101)/AVERAGE(終値!AA101:AT101),""))</f>
        <v>0.16582400693941257</v>
      </c>
      <c r="Y101" s="503">
        <f>IF(終値!A101="","",IFERROR(4*STDEVP(終値!AB101:AU101)/AVERAGE(終値!AB101:AU101),""))</f>
        <v>0.16023988750479776</v>
      </c>
      <c r="Z101" s="503">
        <f>IF(終値!A101="","",IFERROR(4*STDEVP(終値!AC101:AV101)/AVERAGE(終値!AC101:AV101),""))</f>
        <v>0.1519438433485957</v>
      </c>
      <c r="AA101" s="503">
        <f>IF(終値!A101="","",IFERROR(4*STDEVP(終値!AD101:AW101)/AVERAGE(終値!AD101:AW101),""))</f>
        <v>0.15548761065885347</v>
      </c>
      <c r="AB101" s="503">
        <f>IF(終値!A101="","",IFERROR(4*STDEVP(終値!AE101:AX101)/AVERAGE(終値!AE101:AX101),""))</f>
        <v>0.13817481173375409</v>
      </c>
      <c r="AC101" s="503">
        <f>IF(終値!A101="","",IFERROR(4*STDEVP(終値!AF101:AY101)/AVERAGE(終値!AF101:AY101),""))</f>
        <v>0.11416739268245664</v>
      </c>
      <c r="AD101" s="503">
        <f>IF(終値!A101="","",IFERROR(4*STDEVP(終値!AG101:AZ101)/AVERAGE(終値!AG101:AZ101),""))</f>
        <v>0.10971315572176969</v>
      </c>
      <c r="AE101" s="503">
        <f>IF(終値!A101="","",IFERROR(4*STDEVP(終値!AH101:BA101)/AVERAGE(終値!AH101:BA101),""))</f>
        <v>0.11400955875896933</v>
      </c>
      <c r="AF101" s="503">
        <f>IF(終値!A101="","",IFERROR(4*STDEVP(終値!AI101:BB101)/AVERAGE(終値!AI101:BB101),""))</f>
        <v>0.11444088587458595</v>
      </c>
      <c r="AG101" s="503">
        <f>IF(終値!A101="","",IFERROR(4*STDEVP(終値!AJ101:BC101)/AVERAGE(終値!AJ101:BC101),""))</f>
        <v>0.1127929247446158</v>
      </c>
      <c r="AH101" s="503">
        <f>IF(終値!A101="","",IFERROR(4*STDEVP(終値!AK101:BD101)/AVERAGE(終値!AK101:BD101),""))</f>
        <v>0.10779032232703577</v>
      </c>
      <c r="AI101" s="503">
        <f>IF(終値!A101="","",IFERROR(4*STDEVP(終値!AL101:BE101)/AVERAGE(終値!AL101:BE101),""))</f>
        <v>9.9761786864026009E-2</v>
      </c>
      <c r="AJ101" s="503">
        <f>IF(終値!A101="","",IFERROR(4*STDEVP(終値!AM101:BF101)/AVERAGE(終値!AM101:BF101),""))</f>
        <v>0.10189776679794754</v>
      </c>
      <c r="AK101" s="503">
        <f>IF(終値!A101="","",IFERROR(4*STDEVP(終値!AN101:BG101)/AVERAGE(終値!AN101:BG101),""))</f>
        <v>0.10044903805333406</v>
      </c>
      <c r="AL101" s="503">
        <f>IF(終値!A101="","",IFERROR(4*STDEVP(終値!AO101:BH101)/AVERAGE(終値!AO101:BH101),""))</f>
        <v>0.1004738168976221</v>
      </c>
      <c r="AM101" s="503">
        <f>IF(終値!A101="","",IFERROR(4*STDEVP(終値!AP101:BI101)/AVERAGE(終値!AP101:BI101),""))</f>
        <v>9.9032309557196913E-2</v>
      </c>
      <c r="AN101" s="503">
        <f>IF(終値!A101="","",IFERROR(4*STDEVP(終値!AQ101:BJ101)/AVERAGE(終値!AQ101:BJ101),""))</f>
        <v>9.6141494045805451E-2</v>
      </c>
      <c r="AO101" s="503">
        <f>IF(終値!A101="","",IFERROR(4*STDEVP(終値!AR101:BK101)/AVERAGE(終値!AR101:BK101),""))</f>
        <v>8.5592201952179439E-2</v>
      </c>
      <c r="AP101" s="503">
        <f>IF(終値!A101="","",IFERROR(4*STDEVP(終値!AS101:BL101)/AVERAGE(終値!AS101:BL101),""))</f>
        <v>7.7998552410969244E-2</v>
      </c>
    </row>
    <row r="102" spans="1:42">
      <c r="A102" s="500" t="str">
        <f>IF(終値!A102="","",終値!A102)</f>
        <v>5802</v>
      </c>
      <c r="B102" s="503">
        <f>IF(終値!A102="","",IFERROR(4*STDEVP(終値!E102:X102)/AVERAGE(終値!E102:X102),""))</f>
        <v>0.18807947019867549</v>
      </c>
      <c r="C102" s="503">
        <f>IF(終値!A102="","",IFERROR(4*STDEVP(終値!F102:Y102)/AVERAGE(終値!F102:Y102),""))</f>
        <v>0</v>
      </c>
      <c r="D102" s="503" t="str">
        <f>IF(終値!A102="","",IFERROR(4*STDEVP(終値!G102:Z102)/AVERAGE(終値!G102:Z102),""))</f>
        <v/>
      </c>
      <c r="E102" s="503" t="str">
        <f>IF(終値!A102="","",IFERROR(4*STDEVP(終値!H102:AA102)/AVERAGE(終値!H102:AA102),""))</f>
        <v/>
      </c>
      <c r="F102" s="503" t="str">
        <f>IF(終値!A102="","",IFERROR(4*STDEVP(終値!I102:AB102)/AVERAGE(終値!I102:AB102),""))</f>
        <v/>
      </c>
      <c r="G102" s="503" t="str">
        <f>IF(終値!A102="","",IFERROR(4*STDEVP(終値!J102:AC102)/AVERAGE(終値!J102:AC102),""))</f>
        <v/>
      </c>
      <c r="H102" s="503" t="str">
        <f>IF(終値!A102="","",IFERROR(4*STDEVP(終値!K102:AD102)/AVERAGE(終値!K102:AD102),""))</f>
        <v/>
      </c>
      <c r="I102" s="503" t="str">
        <f>IF(終値!A102="","",IFERROR(4*STDEVP(終値!L102:AE102)/AVERAGE(終値!L102:AE102),""))</f>
        <v/>
      </c>
      <c r="J102" s="503" t="str">
        <f>IF(終値!A102="","",IFERROR(4*STDEVP(終値!M102:AF102)/AVERAGE(終値!M102:AF102),""))</f>
        <v/>
      </c>
      <c r="K102" s="503" t="str">
        <f>IF(終値!A102="","",IFERROR(4*STDEVP(終値!N102:AG102)/AVERAGE(終値!N102:AG102),""))</f>
        <v/>
      </c>
      <c r="L102" s="503" t="str">
        <f>IF(終値!A102="","",IFERROR(4*STDEVP(終値!O102:AH102)/AVERAGE(終値!O102:AH102),""))</f>
        <v/>
      </c>
      <c r="M102" s="503" t="str">
        <f>IF(終値!A102="","",IFERROR(4*STDEVP(終値!P102:AI102)/AVERAGE(終値!P102:AI102),""))</f>
        <v/>
      </c>
      <c r="N102" s="503" t="str">
        <f>IF(終値!A102="","",IFERROR(4*STDEVP(終値!Q102:AJ102)/AVERAGE(終値!Q102:AJ102),""))</f>
        <v/>
      </c>
      <c r="O102" s="503" t="str">
        <f>IF(終値!A102="","",IFERROR(4*STDEVP(終値!R102:AK102)/AVERAGE(終値!R102:AK102),""))</f>
        <v/>
      </c>
      <c r="P102" s="503" t="str">
        <f>IF(終値!A102="","",IFERROR(4*STDEVP(終値!S102:AL102)/AVERAGE(終値!S102:AL102),""))</f>
        <v/>
      </c>
      <c r="Q102" s="503" t="str">
        <f>IF(終値!A102="","",IFERROR(4*STDEVP(終値!T102:AM102)/AVERAGE(終値!T102:AM102),""))</f>
        <v/>
      </c>
      <c r="R102" s="503" t="str">
        <f>IF(終値!A102="","",IFERROR(4*STDEVP(終値!U102:AN102)/AVERAGE(終値!U102:AN102),""))</f>
        <v/>
      </c>
      <c r="S102" s="503" t="str">
        <f>IF(終値!A102="","",IFERROR(4*STDEVP(終値!V102:AO102)/AVERAGE(終値!V102:AO102),""))</f>
        <v/>
      </c>
      <c r="T102" s="503" t="str">
        <f>IF(終値!A102="","",IFERROR(4*STDEVP(終値!W102:AP102)/AVERAGE(終値!W102:AP102),""))</f>
        <v/>
      </c>
      <c r="U102" s="503" t="str">
        <f>IF(終値!A102="","",IFERROR(4*STDEVP(終値!X102:AQ102)/AVERAGE(終値!X102:AQ102),""))</f>
        <v/>
      </c>
      <c r="V102" s="503" t="str">
        <f>IF(終値!A102="","",IFERROR(4*STDEVP(終値!Y102:AR102)/AVERAGE(終値!Y102:AR102),""))</f>
        <v/>
      </c>
      <c r="W102" s="503" t="str">
        <f>IF(終値!A102="","",IFERROR(4*STDEVP(終値!Z102:AS102)/AVERAGE(終値!Z102:AS102),""))</f>
        <v/>
      </c>
      <c r="X102" s="503" t="str">
        <f>IF(終値!A102="","",IFERROR(4*STDEVP(終値!AA102:AT102)/AVERAGE(終値!AA102:AT102),""))</f>
        <v/>
      </c>
      <c r="Y102" s="503" t="str">
        <f>IF(終値!A102="","",IFERROR(4*STDEVP(終値!AB102:AU102)/AVERAGE(終値!AB102:AU102),""))</f>
        <v/>
      </c>
      <c r="Z102" s="503" t="str">
        <f>IF(終値!A102="","",IFERROR(4*STDEVP(終値!AC102:AV102)/AVERAGE(終値!AC102:AV102),""))</f>
        <v/>
      </c>
      <c r="AA102" s="503" t="str">
        <f>IF(終値!A102="","",IFERROR(4*STDEVP(終値!AD102:AW102)/AVERAGE(終値!AD102:AW102),""))</f>
        <v/>
      </c>
      <c r="AB102" s="503" t="str">
        <f>IF(終値!A102="","",IFERROR(4*STDEVP(終値!AE102:AX102)/AVERAGE(終値!AE102:AX102),""))</f>
        <v/>
      </c>
      <c r="AC102" s="503" t="str">
        <f>IF(終値!A102="","",IFERROR(4*STDEVP(終値!AF102:AY102)/AVERAGE(終値!AF102:AY102),""))</f>
        <v/>
      </c>
      <c r="AD102" s="503" t="str">
        <f>IF(終値!A102="","",IFERROR(4*STDEVP(終値!AG102:AZ102)/AVERAGE(終値!AG102:AZ102),""))</f>
        <v/>
      </c>
      <c r="AE102" s="503" t="str">
        <f>IF(終値!A102="","",IFERROR(4*STDEVP(終値!AH102:BA102)/AVERAGE(終値!AH102:BA102),""))</f>
        <v/>
      </c>
      <c r="AF102" s="503" t="str">
        <f>IF(終値!A102="","",IFERROR(4*STDEVP(終値!AI102:BB102)/AVERAGE(終値!AI102:BB102),""))</f>
        <v/>
      </c>
      <c r="AG102" s="503" t="str">
        <f>IF(終値!A102="","",IFERROR(4*STDEVP(終値!AJ102:BC102)/AVERAGE(終値!AJ102:BC102),""))</f>
        <v/>
      </c>
      <c r="AH102" s="503" t="str">
        <f>IF(終値!A102="","",IFERROR(4*STDEVP(終値!AK102:BD102)/AVERAGE(終値!AK102:BD102),""))</f>
        <v/>
      </c>
      <c r="AI102" s="503" t="str">
        <f>IF(終値!A102="","",IFERROR(4*STDEVP(終値!AL102:BE102)/AVERAGE(終値!AL102:BE102),""))</f>
        <v/>
      </c>
      <c r="AJ102" s="503" t="str">
        <f>IF(終値!A102="","",IFERROR(4*STDEVP(終値!AM102:BF102)/AVERAGE(終値!AM102:BF102),""))</f>
        <v/>
      </c>
      <c r="AK102" s="503" t="str">
        <f>IF(終値!A102="","",IFERROR(4*STDEVP(終値!AN102:BG102)/AVERAGE(終値!AN102:BG102),""))</f>
        <v/>
      </c>
      <c r="AL102" s="503" t="str">
        <f>IF(終値!A102="","",IFERROR(4*STDEVP(終値!AO102:BH102)/AVERAGE(終値!AO102:BH102),""))</f>
        <v/>
      </c>
      <c r="AM102" s="503" t="str">
        <f>IF(終値!A102="","",IFERROR(4*STDEVP(終値!AP102:BI102)/AVERAGE(終値!AP102:BI102),""))</f>
        <v/>
      </c>
      <c r="AN102" s="503" t="str">
        <f>IF(終値!A102="","",IFERROR(4*STDEVP(終値!AQ102:BJ102)/AVERAGE(終値!AQ102:BJ102),""))</f>
        <v/>
      </c>
      <c r="AO102" s="503" t="str">
        <f>IF(終値!A102="","",IFERROR(4*STDEVP(終値!AR102:BK102)/AVERAGE(終値!AR102:BK102),""))</f>
        <v/>
      </c>
      <c r="AP102" s="503" t="str">
        <f>IF(終値!A102="","",IFERROR(4*STDEVP(終値!AS102:BL102)/AVERAGE(終値!AS102:BL102),""))</f>
        <v/>
      </c>
    </row>
    <row r="103" spans="1:42">
      <c r="A103" s="500" t="str">
        <f>IF(終値!A103="","",終値!A103)</f>
        <v>5803</v>
      </c>
      <c r="B103" s="503">
        <f>IF(終値!A103="","",IFERROR(4*STDEVP(終値!E103:X103)/AVERAGE(終値!E103:X103),""))</f>
        <v>0.35769353109666813</v>
      </c>
      <c r="C103" s="503">
        <f>IF(終値!A103="","",IFERROR(4*STDEVP(終値!F103:Y103)/AVERAGE(終値!F103:Y103),""))</f>
        <v>0.36755476593202024</v>
      </c>
      <c r="D103" s="503">
        <f>IF(終値!A103="","",IFERROR(4*STDEVP(終値!G103:Z103)/AVERAGE(終値!G103:Z103),""))</f>
        <v>0.38318336012940379</v>
      </c>
      <c r="E103" s="503">
        <f>IF(終値!A103="","",IFERROR(4*STDEVP(終値!H103:AA103)/AVERAGE(終値!H103:AA103),""))</f>
        <v>0.40425434551761991</v>
      </c>
      <c r="F103" s="503">
        <f>IF(終値!A103="","",IFERROR(4*STDEVP(終値!I103:AB103)/AVERAGE(終値!I103:AB103),""))</f>
        <v>0.41318220570104319</v>
      </c>
      <c r="G103" s="503">
        <f>IF(終値!A103="","",IFERROR(4*STDEVP(終値!J103:AC103)/AVERAGE(終値!J103:AC103),""))</f>
        <v>0.43920573705847094</v>
      </c>
      <c r="H103" s="503">
        <f>IF(終値!A103="","",IFERROR(4*STDEVP(終値!K103:AD103)/AVERAGE(終値!K103:AD103),""))</f>
        <v>0.45054971691191359</v>
      </c>
      <c r="I103" s="503">
        <f>IF(終値!A103="","",IFERROR(4*STDEVP(終値!L103:AE103)/AVERAGE(終値!L103:AE103),""))</f>
        <v>0.41701492905716081</v>
      </c>
      <c r="J103" s="503">
        <f>IF(終値!A103="","",IFERROR(4*STDEVP(終値!M103:AF103)/AVERAGE(終値!M103:AF103),""))</f>
        <v>0.41195192903267397</v>
      </c>
      <c r="K103" s="503">
        <f>IF(終値!A103="","",IFERROR(4*STDEVP(終値!N103:AG103)/AVERAGE(終値!N103:AG103),""))</f>
        <v>0.43250262835122399</v>
      </c>
      <c r="L103" s="503">
        <f>IF(終値!A103="","",IFERROR(4*STDEVP(終値!O103:AH103)/AVERAGE(終値!O103:AH103),""))</f>
        <v>0.44478083599891255</v>
      </c>
      <c r="M103" s="503">
        <f>IF(終値!A103="","",IFERROR(4*STDEVP(終値!P103:AI103)/AVERAGE(終値!P103:AI103),""))</f>
        <v>0.46313520156992249</v>
      </c>
      <c r="N103" s="503">
        <f>IF(終値!A103="","",IFERROR(4*STDEVP(終値!Q103:AJ103)/AVERAGE(終値!Q103:AJ103),""))</f>
        <v>0.4579501296208614</v>
      </c>
      <c r="O103" s="503">
        <f>IF(終値!A103="","",IFERROR(4*STDEVP(終値!R103:AK103)/AVERAGE(終値!R103:AK103),""))</f>
        <v>0.43926700347799774</v>
      </c>
      <c r="P103" s="503">
        <f>IF(終値!A103="","",IFERROR(4*STDEVP(終値!S103:AL103)/AVERAGE(終値!S103:AL103),""))</f>
        <v>0.43999727837866609</v>
      </c>
      <c r="Q103" s="503">
        <f>IF(終値!A103="","",IFERROR(4*STDEVP(終値!T103:AM103)/AVERAGE(終値!T103:AM103),""))</f>
        <v>0.45543579899650066</v>
      </c>
      <c r="R103" s="503">
        <f>IF(終値!A103="","",IFERROR(4*STDEVP(終値!U103:AN103)/AVERAGE(終値!U103:AN103),""))</f>
        <v>0.45827363786682618</v>
      </c>
      <c r="S103" s="503">
        <f>IF(終値!A103="","",IFERROR(4*STDEVP(終値!V103:AO103)/AVERAGE(終値!V103:AO103),""))</f>
        <v>0.49058106479495417</v>
      </c>
      <c r="T103" s="503">
        <f>IF(終値!A103="","",IFERROR(4*STDEVP(終値!W103:AP103)/AVERAGE(終値!W103:AP103),""))</f>
        <v>0.52924622984677827</v>
      </c>
      <c r="U103" s="503">
        <f>IF(終値!A103="","",IFERROR(4*STDEVP(終値!X103:AQ103)/AVERAGE(終値!X103:AQ103),""))</f>
        <v>0.56713074395855245</v>
      </c>
      <c r="V103" s="503">
        <f>IF(終値!A103="","",IFERROR(4*STDEVP(終値!Y103:AR103)/AVERAGE(終値!Y103:AR103),""))</f>
        <v>0.59599138214697489</v>
      </c>
      <c r="W103" s="503">
        <f>IF(終値!A103="","",IFERROR(4*STDEVP(終値!Z103:AS103)/AVERAGE(終値!Z103:AS103),""))</f>
        <v>0.61795902765300992</v>
      </c>
      <c r="X103" s="503">
        <f>IF(終値!A103="","",IFERROR(4*STDEVP(終値!AA103:AT103)/AVERAGE(終値!AA103:AT103),""))</f>
        <v>0.62805791994001625</v>
      </c>
      <c r="Y103" s="503">
        <f>IF(終値!A103="","",IFERROR(4*STDEVP(終値!AB103:AU103)/AVERAGE(終値!AB103:AU103),""))</f>
        <v>0.63578318837622794</v>
      </c>
      <c r="Z103" s="503">
        <f>IF(終値!A103="","",IFERROR(4*STDEVP(終値!AC103:AV103)/AVERAGE(終値!AC103:AV103),""))</f>
        <v>0.63881899139418696</v>
      </c>
      <c r="AA103" s="503">
        <f>IF(終値!A103="","",IFERROR(4*STDEVP(終値!AD103:AW103)/AVERAGE(終値!AD103:AW103),""))</f>
        <v>0.64607970676031479</v>
      </c>
      <c r="AB103" s="503">
        <f>IF(終値!A103="","",IFERROR(4*STDEVP(終値!AE103:AX103)/AVERAGE(終値!AE103:AX103),""))</f>
        <v>0.62848701842152055</v>
      </c>
      <c r="AC103" s="503">
        <f>IF(終値!A103="","",IFERROR(4*STDEVP(終値!AF103:AY103)/AVERAGE(終値!AF103:AY103),""))</f>
        <v>0.61705947148278073</v>
      </c>
      <c r="AD103" s="503">
        <f>IF(終値!A103="","",IFERROR(4*STDEVP(終値!AG103:AZ103)/AVERAGE(終値!AG103:AZ103),""))</f>
        <v>0.59088614866721467</v>
      </c>
      <c r="AE103" s="503">
        <f>IF(終値!A103="","",IFERROR(4*STDEVP(終値!AH103:BA103)/AVERAGE(終値!AH103:BA103),""))</f>
        <v>0.54436939035110243</v>
      </c>
      <c r="AF103" s="503">
        <f>IF(終値!A103="","",IFERROR(4*STDEVP(終値!AI103:BB103)/AVERAGE(終値!AI103:BB103),""))</f>
        <v>0.48939266310541413</v>
      </c>
      <c r="AG103" s="503">
        <f>IF(終値!A103="","",IFERROR(4*STDEVP(終値!AJ103:BC103)/AVERAGE(終値!AJ103:BC103),""))</f>
        <v>0.39583178900512783</v>
      </c>
      <c r="AH103" s="503">
        <f>IF(終値!A103="","",IFERROR(4*STDEVP(終値!AK103:BD103)/AVERAGE(終値!AK103:BD103),""))</f>
        <v>0.30870493745600408</v>
      </c>
      <c r="AI103" s="503">
        <f>IF(終値!A103="","",IFERROR(4*STDEVP(終値!AL103:BE103)/AVERAGE(終値!AL103:BE103),""))</f>
        <v>0.29576515045474383</v>
      </c>
      <c r="AJ103" s="503">
        <f>IF(終値!A103="","",IFERROR(4*STDEVP(終値!AM103:BF103)/AVERAGE(終値!AM103:BF103),""))</f>
        <v>0.34155242352452259</v>
      </c>
      <c r="AK103" s="503">
        <f>IF(終値!A103="","",IFERROR(4*STDEVP(終値!AN103:BG103)/AVERAGE(終値!AN103:BG103),""))</f>
        <v>0.39279241645192797</v>
      </c>
      <c r="AL103" s="503">
        <f>IF(終値!A103="","",IFERROR(4*STDEVP(終値!AO103:BH103)/AVERAGE(終値!AO103:BH103),""))</f>
        <v>0.47900150031530897</v>
      </c>
      <c r="AM103" s="503">
        <f>IF(終値!A103="","",IFERROR(4*STDEVP(終値!AP103:BI103)/AVERAGE(終値!AP103:BI103),""))</f>
        <v>0.68585312009227295</v>
      </c>
      <c r="AN103" s="503">
        <f>IF(終値!A103="","",IFERROR(4*STDEVP(終値!AQ103:BJ103)/AVERAGE(終値!AQ103:BJ103),""))</f>
        <v>0.77769967205826251</v>
      </c>
      <c r="AO103" s="503">
        <f>IF(終値!A103="","",IFERROR(4*STDEVP(終値!AR103:BK103)/AVERAGE(終値!AR103:BK103),""))</f>
        <v>0.7797601314566156</v>
      </c>
      <c r="AP103" s="503">
        <f>IF(終値!A103="","",IFERROR(4*STDEVP(終値!AS103:BL103)/AVERAGE(終値!AS103:BL103),""))</f>
        <v>0.76221140970309198</v>
      </c>
    </row>
    <row r="104" spans="1:42">
      <c r="A104" s="500" t="str">
        <f>IF(終値!A104="","",終値!A104)</f>
        <v>6178</v>
      </c>
      <c r="B104" s="503">
        <f>IF(終値!A104="","",IFERROR(4*STDEVP(終値!E104:X104)/AVERAGE(終値!E104:X104),""))</f>
        <v>0.10035578010861668</v>
      </c>
      <c r="C104" s="503">
        <f>IF(終値!A104="","",IFERROR(4*STDEVP(終値!F104:Y104)/AVERAGE(終値!F104:Y104),""))</f>
        <v>0.10166132648898948</v>
      </c>
      <c r="D104" s="503">
        <f>IF(終値!A104="","",IFERROR(4*STDEVP(終値!G104:Z104)/AVERAGE(終値!G104:Z104),""))</f>
        <v>0.10401524840147693</v>
      </c>
      <c r="E104" s="503">
        <f>IF(終値!A104="","",IFERROR(4*STDEVP(終値!H104:AA104)/AVERAGE(終値!H104:AA104),""))</f>
        <v>0.11099718418517333</v>
      </c>
      <c r="F104" s="503">
        <f>IF(終値!A104="","",IFERROR(4*STDEVP(終値!I104:AB104)/AVERAGE(終値!I104:AB104),""))</f>
        <v>0.12335345655964898</v>
      </c>
      <c r="G104" s="503">
        <f>IF(終値!A104="","",IFERROR(4*STDEVP(終値!J104:AC104)/AVERAGE(終値!J104:AC104),""))</f>
        <v>0.14770389410029347</v>
      </c>
      <c r="H104" s="503">
        <f>IF(終値!A104="","",IFERROR(4*STDEVP(終値!K104:AD104)/AVERAGE(終値!K104:AD104),""))</f>
        <v>0.16590798239654445</v>
      </c>
      <c r="I104" s="503">
        <f>IF(終値!A104="","",IFERROR(4*STDEVP(終値!L104:AE104)/AVERAGE(終値!L104:AE104),""))</f>
        <v>0.1777531787925371</v>
      </c>
      <c r="J104" s="503">
        <f>IF(終値!A104="","",IFERROR(4*STDEVP(終値!M104:AF104)/AVERAGE(終値!M104:AF104),""))</f>
        <v>0.18569464456826279</v>
      </c>
      <c r="K104" s="503">
        <f>IF(終値!A104="","",IFERROR(4*STDEVP(終値!N104:AG104)/AVERAGE(終値!N104:AG104),""))</f>
        <v>0.17927320341883204</v>
      </c>
      <c r="L104" s="503">
        <f>IF(終値!A104="","",IFERROR(4*STDEVP(終値!O104:AH104)/AVERAGE(終値!O104:AH104),""))</f>
        <v>0.16993670495364366</v>
      </c>
      <c r="M104" s="503">
        <f>IF(終値!A104="","",IFERROR(4*STDEVP(終値!P104:AI104)/AVERAGE(終値!P104:AI104),""))</f>
        <v>0.16159411799887743</v>
      </c>
      <c r="N104" s="503">
        <f>IF(終値!A104="","",IFERROR(4*STDEVP(終値!Q104:AJ104)/AVERAGE(終値!Q104:AJ104),""))</f>
        <v>0.15000108535338702</v>
      </c>
      <c r="O104" s="503">
        <f>IF(終値!A104="","",IFERROR(4*STDEVP(終値!R104:AK104)/AVERAGE(終値!R104:AK104),""))</f>
        <v>0.14019024168155117</v>
      </c>
      <c r="P104" s="503">
        <f>IF(終値!A104="","",IFERROR(4*STDEVP(終値!S104:AL104)/AVERAGE(終値!S104:AL104),""))</f>
        <v>0.1390486975518414</v>
      </c>
      <c r="Q104" s="503">
        <f>IF(終値!A104="","",IFERROR(4*STDEVP(終値!T104:AM104)/AVERAGE(終値!T104:AM104),""))</f>
        <v>0.12941186302364549</v>
      </c>
      <c r="R104" s="503">
        <f>IF(終値!A104="","",IFERROR(4*STDEVP(終値!U104:AN104)/AVERAGE(終値!U104:AN104),""))</f>
        <v>0.12348923928621169</v>
      </c>
      <c r="S104" s="503">
        <f>IF(終値!A104="","",IFERROR(4*STDEVP(終値!V104:AO104)/AVERAGE(終値!V104:AO104),""))</f>
        <v>0.11992542684914746</v>
      </c>
      <c r="T104" s="503">
        <f>IF(終値!A104="","",IFERROR(4*STDEVP(終値!W104:AP104)/AVERAGE(終値!W104:AP104),""))</f>
        <v>0.11978965183885773</v>
      </c>
      <c r="U104" s="503">
        <f>IF(終値!A104="","",IFERROR(4*STDEVP(終値!X104:AQ104)/AVERAGE(終値!X104:AQ104),""))</f>
        <v>0.11176476255763199</v>
      </c>
      <c r="V104" s="503">
        <f>IF(終値!A104="","",IFERROR(4*STDEVP(終値!Y104:AR104)/AVERAGE(終値!Y104:AR104),""))</f>
        <v>9.9402005777770877E-2</v>
      </c>
      <c r="W104" s="503">
        <f>IF(終値!A104="","",IFERROR(4*STDEVP(終値!Z104:AS104)/AVERAGE(終値!Z104:AS104),""))</f>
        <v>9.4174731213250193E-2</v>
      </c>
      <c r="X104" s="503">
        <f>IF(終値!A104="","",IFERROR(4*STDEVP(終値!AA104:AT104)/AVERAGE(終値!AA104:AT104),""))</f>
        <v>9.1616696337256706E-2</v>
      </c>
      <c r="Y104" s="503">
        <f>IF(終値!A104="","",IFERROR(4*STDEVP(終値!AB104:AU104)/AVERAGE(終値!AB104:AU104),""))</f>
        <v>9.1686430025131008E-2</v>
      </c>
      <c r="Z104" s="503">
        <f>IF(終値!A104="","",IFERROR(4*STDEVP(終値!AC104:AV104)/AVERAGE(終値!AC104:AV104),""))</f>
        <v>9.59703912321727E-2</v>
      </c>
      <c r="AA104" s="503">
        <f>IF(終値!A104="","",IFERROR(4*STDEVP(終値!AD104:AW104)/AVERAGE(終値!AD104:AW104),""))</f>
        <v>0.1077671393783077</v>
      </c>
      <c r="AB104" s="503">
        <f>IF(終値!A104="","",IFERROR(4*STDEVP(終値!AE104:AX104)/AVERAGE(終値!AE104:AX104),""))</f>
        <v>0.11888357568650729</v>
      </c>
      <c r="AC104" s="503">
        <f>IF(終値!A104="","",IFERROR(4*STDEVP(終値!AF104:AY104)/AVERAGE(終値!AF104:AY104),""))</f>
        <v>0.13469578556598821</v>
      </c>
      <c r="AD104" s="503">
        <f>IF(終値!A104="","",IFERROR(4*STDEVP(終値!AG104:AZ104)/AVERAGE(終値!AG104:AZ104),""))</f>
        <v>0.14362833026967586</v>
      </c>
      <c r="AE104" s="503">
        <f>IF(終値!A104="","",IFERROR(4*STDEVP(終値!AH104:BA104)/AVERAGE(終値!AH104:BA104),""))</f>
        <v>0.1479946116236035</v>
      </c>
      <c r="AF104" s="503">
        <f>IF(終値!A104="","",IFERROR(4*STDEVP(終値!AI104:BB104)/AVERAGE(終値!AI104:BB104),""))</f>
        <v>0.14833854848032585</v>
      </c>
      <c r="AG104" s="503">
        <f>IF(終値!A104="","",IFERROR(4*STDEVP(終値!AJ104:BC104)/AVERAGE(終値!AJ104:BC104),""))</f>
        <v>0.14779904200257049</v>
      </c>
      <c r="AH104" s="503">
        <f>IF(終値!A104="","",IFERROR(4*STDEVP(終値!AK104:BD104)/AVERAGE(終値!AK104:BD104),""))</f>
        <v>0.14711281204281962</v>
      </c>
      <c r="AI104" s="503">
        <f>IF(終値!A104="","",IFERROR(4*STDEVP(終値!AL104:BE104)/AVERAGE(終値!AL104:BE104),""))</f>
        <v>0.14542527433545432</v>
      </c>
      <c r="AJ104" s="503">
        <f>IF(終値!A104="","",IFERROR(4*STDEVP(終値!AM104:BF104)/AVERAGE(終値!AM104:BF104),""))</f>
        <v>0.14646049996728477</v>
      </c>
      <c r="AK104" s="503">
        <f>IF(終値!A104="","",IFERROR(4*STDEVP(終値!AN104:BG104)/AVERAGE(終値!AN104:BG104),""))</f>
        <v>0.16326689902214439</v>
      </c>
      <c r="AL104" s="503">
        <f>IF(終値!A104="","",IFERROR(4*STDEVP(終値!AO104:BH104)/AVERAGE(終値!AO104:BH104),""))</f>
        <v>0.16915873583892374</v>
      </c>
      <c r="AM104" s="503">
        <f>IF(終値!A104="","",IFERROR(4*STDEVP(終値!AP104:BI104)/AVERAGE(終値!AP104:BI104),""))</f>
        <v>0.16748130098164651</v>
      </c>
      <c r="AN104" s="503">
        <f>IF(終値!A104="","",IFERROR(4*STDEVP(終値!AQ104:BJ104)/AVERAGE(終値!AQ104:BJ104),""))</f>
        <v>0.15609401774986123</v>
      </c>
      <c r="AO104" s="503">
        <f>IF(終値!A104="","",IFERROR(4*STDEVP(終値!AR104:BK104)/AVERAGE(終値!AR104:BK104),""))</f>
        <v>0.1694951958880801</v>
      </c>
      <c r="AP104" s="503">
        <f>IF(終値!A104="","",IFERROR(4*STDEVP(終値!AS104:BL104)/AVERAGE(終値!AS104:BL104),""))</f>
        <v>0.17864546932419095</v>
      </c>
    </row>
    <row r="105" spans="1:42">
      <c r="A105" s="500" t="str">
        <f>IF(終値!A105="","",終値!A105)</f>
        <v>6925</v>
      </c>
      <c r="B105" s="503">
        <f>IF(終値!A105="","",IFERROR(4*STDEVP(終値!E105:X105)/AVERAGE(終値!E105:X105),""))</f>
        <v>0.22369304154120348</v>
      </c>
      <c r="C105" s="503">
        <f>IF(終値!A105="","",IFERROR(4*STDEVP(終値!F105:Y105)/AVERAGE(終値!F105:Y105),""))</f>
        <v>0.23347434623490054</v>
      </c>
      <c r="D105" s="503">
        <f>IF(終値!A105="","",IFERROR(4*STDEVP(終値!G105:Z105)/AVERAGE(終値!G105:Z105),""))</f>
        <v>0.24290871975763298</v>
      </c>
      <c r="E105" s="503">
        <f>IF(終値!A105="","",IFERROR(4*STDEVP(終値!H105:AA105)/AVERAGE(終値!H105:AA105),""))</f>
        <v>0.27574917926640735</v>
      </c>
      <c r="F105" s="503">
        <f>IF(終値!A105="","",IFERROR(4*STDEVP(終値!I105:AB105)/AVERAGE(終値!I105:AB105),""))</f>
        <v>0.29047161867480231</v>
      </c>
      <c r="G105" s="503">
        <f>IF(終値!A105="","",IFERROR(4*STDEVP(終値!J105:AC105)/AVERAGE(終値!J105:AC105),""))</f>
        <v>0.30886032156233773</v>
      </c>
      <c r="H105" s="503">
        <f>IF(終値!A105="","",IFERROR(4*STDEVP(終値!K105:AD105)/AVERAGE(終値!K105:AD105),""))</f>
        <v>0.28278487777730243</v>
      </c>
      <c r="I105" s="503">
        <f>IF(終値!A105="","",IFERROR(4*STDEVP(終値!L105:AE105)/AVERAGE(終値!L105:AE105),""))</f>
        <v>0.24242193005878213</v>
      </c>
      <c r="J105" s="503">
        <f>IF(終値!A105="","",IFERROR(4*STDEVP(終値!M105:AF105)/AVERAGE(終値!M105:AF105),""))</f>
        <v>0.22116245255365444</v>
      </c>
      <c r="K105" s="503">
        <f>IF(終値!A105="","",IFERROR(4*STDEVP(終値!N105:AG105)/AVERAGE(終値!N105:AG105),""))</f>
        <v>0.2212420362394088</v>
      </c>
      <c r="L105" s="503">
        <f>IF(終値!A105="","",IFERROR(4*STDEVP(終値!O105:AH105)/AVERAGE(終値!O105:AH105),""))</f>
        <v>0.21862430781162942</v>
      </c>
      <c r="M105" s="503">
        <f>IF(終値!A105="","",IFERROR(4*STDEVP(終値!P105:AI105)/AVERAGE(終値!P105:AI105),""))</f>
        <v>0.22067614374408534</v>
      </c>
      <c r="N105" s="503">
        <f>IF(終値!A105="","",IFERROR(4*STDEVP(終値!Q105:AJ105)/AVERAGE(終値!Q105:AJ105),""))</f>
        <v>0.22778087943924252</v>
      </c>
      <c r="O105" s="503">
        <f>IF(終値!A105="","",IFERROR(4*STDEVP(終値!R105:AK105)/AVERAGE(終値!R105:AK105),""))</f>
        <v>0.22036351536959783</v>
      </c>
      <c r="P105" s="503">
        <f>IF(終値!A105="","",IFERROR(4*STDEVP(終値!S105:AL105)/AVERAGE(終値!S105:AL105),""))</f>
        <v>0.1865923919033948</v>
      </c>
      <c r="Q105" s="503">
        <f>IF(終値!A105="","",IFERROR(4*STDEVP(終値!T105:AM105)/AVERAGE(終値!T105:AM105),""))</f>
        <v>0.18238406400597285</v>
      </c>
      <c r="R105" s="503">
        <f>IF(終値!A105="","",IFERROR(4*STDEVP(終値!U105:AN105)/AVERAGE(終値!U105:AN105),""))</f>
        <v>0.1681740831038093</v>
      </c>
      <c r="S105" s="503">
        <f>IF(終値!A105="","",IFERROR(4*STDEVP(終値!V105:AO105)/AVERAGE(終値!V105:AO105),""))</f>
        <v>0.16556506742078383</v>
      </c>
      <c r="T105" s="503">
        <f>IF(終値!A105="","",IFERROR(4*STDEVP(終値!W105:AP105)/AVERAGE(終値!W105:AP105),""))</f>
        <v>0.18184714246094838</v>
      </c>
      <c r="U105" s="503">
        <f>IF(終値!A105="","",IFERROR(4*STDEVP(終値!X105:AQ105)/AVERAGE(終値!X105:AQ105),""))</f>
        <v>0.20898157837982281</v>
      </c>
      <c r="V105" s="503">
        <f>IF(終値!A105="","",IFERROR(4*STDEVP(終値!Y105:AR105)/AVERAGE(終値!Y105:AR105),""))</f>
        <v>0.22179497907948473</v>
      </c>
      <c r="W105" s="503">
        <f>IF(終値!A105="","",IFERROR(4*STDEVP(終値!Z105:AS105)/AVERAGE(終値!Z105:AS105),""))</f>
        <v>0.24074372981741299</v>
      </c>
      <c r="X105" s="503">
        <f>IF(終値!A105="","",IFERROR(4*STDEVP(終値!AA105:AT105)/AVERAGE(終値!AA105:AT105),""))</f>
        <v>0.24295314486926689</v>
      </c>
      <c r="Y105" s="503">
        <f>IF(終値!A105="","",IFERROR(4*STDEVP(終値!AB105:AU105)/AVERAGE(終値!AB105:AU105),""))</f>
        <v>0.23699705979532606</v>
      </c>
      <c r="Z105" s="503">
        <f>IF(終値!A105="","",IFERROR(4*STDEVP(終値!AC105:AV105)/AVERAGE(終値!AC105:AV105),""))</f>
        <v>0.23617585796679189</v>
      </c>
      <c r="AA105" s="503">
        <f>IF(終値!A105="","",IFERROR(4*STDEVP(終値!AD105:AW105)/AVERAGE(終値!AD105:AW105),""))</f>
        <v>0.22376698699900524</v>
      </c>
      <c r="AB105" s="503">
        <f>IF(終値!A105="","",IFERROR(4*STDEVP(終値!AE105:AX105)/AVERAGE(終値!AE105:AX105),""))</f>
        <v>0.22423069226328421</v>
      </c>
      <c r="AC105" s="503">
        <f>IF(終値!A105="","",IFERROR(4*STDEVP(終値!AF105:AY105)/AVERAGE(終値!AF105:AY105),""))</f>
        <v>0.22811299215079939</v>
      </c>
      <c r="AD105" s="503">
        <f>IF(終値!A105="","",IFERROR(4*STDEVP(終値!AG105:AZ105)/AVERAGE(終値!AG105:AZ105),""))</f>
        <v>0.22898380769002255</v>
      </c>
      <c r="AE105" s="503">
        <f>IF(終値!A105="","",IFERROR(4*STDEVP(終値!AH105:BA105)/AVERAGE(終値!AH105:BA105),""))</f>
        <v>0.22535536154940353</v>
      </c>
      <c r="AF105" s="503">
        <f>IF(終値!A105="","",IFERROR(4*STDEVP(終値!AI105:BB105)/AVERAGE(終値!AI105:BB105),""))</f>
        <v>0.22790089774619221</v>
      </c>
      <c r="AG105" s="503">
        <f>IF(終値!A105="","",IFERROR(4*STDEVP(終値!AJ105:BC105)/AVERAGE(終値!AJ105:BC105),""))</f>
        <v>0.22503833186382272</v>
      </c>
      <c r="AH105" s="503">
        <f>IF(終値!A105="","",IFERROR(4*STDEVP(終値!AK105:BD105)/AVERAGE(終値!AK105:BD105),""))</f>
        <v>0.21507809762756547</v>
      </c>
      <c r="AI105" s="503">
        <f>IF(終値!A105="","",IFERROR(4*STDEVP(終値!AL105:BE105)/AVERAGE(終値!AL105:BE105),""))</f>
        <v>0.19937259325054979</v>
      </c>
      <c r="AJ105" s="503">
        <f>IF(終値!A105="","",IFERROR(4*STDEVP(終値!AM105:BF105)/AVERAGE(終値!AM105:BF105),""))</f>
        <v>0.16714854915728874</v>
      </c>
      <c r="AK105" s="503">
        <f>IF(終値!A105="","",IFERROR(4*STDEVP(終値!AN105:BG105)/AVERAGE(終値!AN105:BG105),""))</f>
        <v>0.13430293395078552</v>
      </c>
      <c r="AL105" s="503">
        <f>IF(終値!A105="","",IFERROR(4*STDEVP(終値!AO105:BH105)/AVERAGE(終値!AO105:BH105),""))</f>
        <v>0.17561645722221084</v>
      </c>
      <c r="AM105" s="503">
        <f>IF(終値!A105="","",IFERROR(4*STDEVP(終値!AP105:BI105)/AVERAGE(終値!AP105:BI105),""))</f>
        <v>0.21955579885028725</v>
      </c>
      <c r="AN105" s="503">
        <f>IF(終値!A105="","",IFERROR(4*STDEVP(終値!AQ105:BJ105)/AVERAGE(終値!AQ105:BJ105),""))</f>
        <v>0.24976469906423998</v>
      </c>
      <c r="AO105" s="503">
        <f>IF(終値!A105="","",IFERROR(4*STDEVP(終値!AR105:BK105)/AVERAGE(終値!AR105:BK105),""))</f>
        <v>0.28301449814307733</v>
      </c>
      <c r="AP105" s="503">
        <f>IF(終値!A105="","",IFERROR(4*STDEVP(終値!AS105:BL105)/AVERAGE(終値!AS105:BL105),""))</f>
        <v>0.31539384712414509</v>
      </c>
    </row>
    <row r="106" spans="1:42">
      <c r="A106" s="500" t="str">
        <f>IF(終値!A106="","",終値!A106)</f>
        <v>7021</v>
      </c>
      <c r="B106" s="503">
        <f>IF(終値!A106="","",IFERROR(4*STDEVP(終値!E106:X106)/AVERAGE(終値!E106:X106),""))</f>
        <v>0.17368521456000113</v>
      </c>
      <c r="C106" s="503">
        <f>IF(終値!A106="","",IFERROR(4*STDEVP(終値!F106:Y106)/AVERAGE(終値!F106:Y106),""))</f>
        <v>0.16336817404195933</v>
      </c>
      <c r="D106" s="503">
        <f>IF(終値!A106="","",IFERROR(4*STDEVP(終値!G106:Z106)/AVERAGE(終値!G106:Z106),""))</f>
        <v>0.15862604362754015</v>
      </c>
      <c r="E106" s="503">
        <f>IF(終値!A106="","",IFERROR(4*STDEVP(終値!H106:AA106)/AVERAGE(終値!H106:AA106),""))</f>
        <v>0.14884872280438088</v>
      </c>
      <c r="F106" s="503">
        <f>IF(終値!A106="","",IFERROR(4*STDEVP(終値!I106:AB106)/AVERAGE(終値!I106:AB106),""))</f>
        <v>0.1429513696439437</v>
      </c>
      <c r="G106" s="503">
        <f>IF(終値!A106="","",IFERROR(4*STDEVP(終値!J106:AC106)/AVERAGE(終値!J106:AC106),""))</f>
        <v>0.13577140133145146</v>
      </c>
      <c r="H106" s="503">
        <f>IF(終値!A106="","",IFERROR(4*STDEVP(終値!K106:AD106)/AVERAGE(終値!K106:AD106),""))</f>
        <v>0.13263102331522866</v>
      </c>
      <c r="I106" s="503">
        <f>IF(終値!A106="","",IFERROR(4*STDEVP(終値!L106:AE106)/AVERAGE(終値!L106:AE106),""))</f>
        <v>0.12081943926214549</v>
      </c>
      <c r="J106" s="503">
        <f>IF(終値!A106="","",IFERROR(4*STDEVP(終値!M106:AF106)/AVERAGE(終値!M106:AF106),""))</f>
        <v>0.11164269028811168</v>
      </c>
      <c r="K106" s="503">
        <f>IF(終値!A106="","",IFERROR(4*STDEVP(終値!N106:AG106)/AVERAGE(終値!N106:AG106),""))</f>
        <v>9.792286253766079E-2</v>
      </c>
      <c r="L106" s="503">
        <f>IF(終値!A106="","",IFERROR(4*STDEVP(終値!O106:AH106)/AVERAGE(終値!O106:AH106),""))</f>
        <v>8.8243522786252526E-2</v>
      </c>
      <c r="M106" s="503">
        <f>IF(終値!A106="","",IFERROR(4*STDEVP(終値!P106:AI106)/AVERAGE(終値!P106:AI106),""))</f>
        <v>6.9929397424802878E-2</v>
      </c>
      <c r="N106" s="503">
        <f>IF(終値!A106="","",IFERROR(4*STDEVP(終値!Q106:AJ106)/AVERAGE(終値!Q106:AJ106),""))</f>
        <v>7.0230340837164576E-2</v>
      </c>
      <c r="O106" s="503">
        <f>IF(終値!A106="","",IFERROR(4*STDEVP(終値!R106:AK106)/AVERAGE(終値!R106:AK106),""))</f>
        <v>6.4464691179617326E-2</v>
      </c>
      <c r="P106" s="503">
        <f>IF(終値!A106="","",IFERROR(4*STDEVP(終値!S106:AL106)/AVERAGE(終値!S106:AL106),""))</f>
        <v>6.2405042984234355E-2</v>
      </c>
      <c r="Q106" s="503">
        <f>IF(終値!A106="","",IFERROR(4*STDEVP(終値!T106:AM106)/AVERAGE(終値!T106:AM106),""))</f>
        <v>5.92732195819042E-2</v>
      </c>
      <c r="R106" s="503">
        <f>IF(終値!A106="","",IFERROR(4*STDEVP(終値!U106:AN106)/AVERAGE(終値!U106:AN106),""))</f>
        <v>5.4952893439395481E-2</v>
      </c>
      <c r="S106" s="503">
        <f>IF(終値!A106="","",IFERROR(4*STDEVP(終値!V106:AO106)/AVERAGE(終値!V106:AO106),""))</f>
        <v>5.4192818067692626E-2</v>
      </c>
      <c r="T106" s="503">
        <f>IF(終値!A106="","",IFERROR(4*STDEVP(終値!W106:AP106)/AVERAGE(終値!W106:AP106),""))</f>
        <v>4.5987655024321013E-2</v>
      </c>
      <c r="U106" s="503">
        <f>IF(終値!A106="","",IFERROR(4*STDEVP(終値!X106:AQ106)/AVERAGE(終値!X106:AQ106),""))</f>
        <v>4.5066744220547433E-2</v>
      </c>
      <c r="V106" s="503">
        <f>IF(終値!A106="","",IFERROR(4*STDEVP(終値!Y106:AR106)/AVERAGE(終値!Y106:AR106),""))</f>
        <v>4.2589970391097458E-2</v>
      </c>
      <c r="W106" s="503">
        <f>IF(終値!A106="","",IFERROR(4*STDEVP(終値!Z106:AS106)/AVERAGE(終値!Z106:AS106),""))</f>
        <v>3.7907759474750037E-2</v>
      </c>
      <c r="X106" s="503">
        <f>IF(終値!A106="","",IFERROR(4*STDEVP(終値!AA106:AT106)/AVERAGE(終値!AA106:AT106),""))</f>
        <v>3.6405900447063724E-2</v>
      </c>
      <c r="Y106" s="503">
        <f>IF(終値!A106="","",IFERROR(4*STDEVP(終値!AB106:AU106)/AVERAGE(終値!AB106:AU106),""))</f>
        <v>3.627449169668371E-2</v>
      </c>
      <c r="Z106" s="503">
        <f>IF(終値!A106="","",IFERROR(4*STDEVP(終値!AC106:AV106)/AVERAGE(終値!AC106:AV106),""))</f>
        <v>3.9724830094973095E-2</v>
      </c>
      <c r="AA106" s="503">
        <f>IF(終値!A106="","",IFERROR(4*STDEVP(終値!AD106:AW106)/AVERAGE(終値!AD106:AW106),""))</f>
        <v>3.9811576866528781E-2</v>
      </c>
      <c r="AB106" s="503">
        <f>IF(終値!A106="","",IFERROR(4*STDEVP(終値!AE106:AX106)/AVERAGE(終値!AE106:AX106),""))</f>
        <v>5.1808791378628351E-2</v>
      </c>
      <c r="AC106" s="503">
        <f>IF(終値!A106="","",IFERROR(4*STDEVP(終値!AF106:AY106)/AVERAGE(終値!AF106:AY106),""))</f>
        <v>6.0622500931330196E-2</v>
      </c>
      <c r="AD106" s="503">
        <f>IF(終値!A106="","",IFERROR(4*STDEVP(終値!AG106:AZ106)/AVERAGE(終値!AG106:AZ106),""))</f>
        <v>7.7620563887704122E-2</v>
      </c>
      <c r="AE106" s="503">
        <f>IF(終値!A106="","",IFERROR(4*STDEVP(終値!AH106:BA106)/AVERAGE(終値!AH106:BA106),""))</f>
        <v>7.7965720314473505E-2</v>
      </c>
      <c r="AF106" s="503">
        <f>IF(終値!A106="","",IFERROR(4*STDEVP(終値!AI106:BB106)/AVERAGE(終値!AI106:BB106),""))</f>
        <v>7.6919941691616145E-2</v>
      </c>
      <c r="AG106" s="503">
        <f>IF(終値!A106="","",IFERROR(4*STDEVP(終値!AJ106:BC106)/AVERAGE(終値!AJ106:BC106),""))</f>
        <v>7.7617594582678112E-2</v>
      </c>
      <c r="AH106" s="503">
        <f>IF(終値!A106="","",IFERROR(4*STDEVP(終値!AK106:BD106)/AVERAGE(終値!AK106:BD106),""))</f>
        <v>7.7665183047004538E-2</v>
      </c>
      <c r="AI106" s="503">
        <f>IF(終値!A106="","",IFERROR(4*STDEVP(終値!AL106:BE106)/AVERAGE(終値!AL106:BE106),""))</f>
        <v>8.4304418924614932E-2</v>
      </c>
      <c r="AJ106" s="503">
        <f>IF(終値!A106="","",IFERROR(4*STDEVP(終値!AM106:BF106)/AVERAGE(終値!AM106:BF106),""))</f>
        <v>9.4500709687138029E-2</v>
      </c>
      <c r="AK106" s="503">
        <f>IF(終値!A106="","",IFERROR(4*STDEVP(終値!AN106:BG106)/AVERAGE(終値!AN106:BG106),""))</f>
        <v>0.12682951083635627</v>
      </c>
      <c r="AL106" s="503">
        <f>IF(終値!A106="","",IFERROR(4*STDEVP(終値!AO106:BH106)/AVERAGE(終値!AO106:BH106),""))</f>
        <v>0.20094834632671638</v>
      </c>
      <c r="AM106" s="503">
        <f>IF(終値!A106="","",IFERROR(4*STDEVP(終値!AP106:BI106)/AVERAGE(終値!AP106:BI106),""))</f>
        <v>0.25285213038792659</v>
      </c>
      <c r="AN106" s="503">
        <f>IF(終値!A106="","",IFERROR(4*STDEVP(終値!AQ106:BJ106)/AVERAGE(終値!AQ106:BJ106),""))</f>
        <v>0.2820540639933326</v>
      </c>
      <c r="AO106" s="503">
        <f>IF(終値!A106="","",IFERROR(4*STDEVP(終値!AR106:BK106)/AVERAGE(終値!AR106:BK106),""))</f>
        <v>0.29801182411437599</v>
      </c>
      <c r="AP106" s="503">
        <f>IF(終値!A106="","",IFERROR(4*STDEVP(終値!AS106:BL106)/AVERAGE(終値!AS106:BL106),""))</f>
        <v>0.31057612892349268</v>
      </c>
    </row>
    <row r="107" spans="1:42">
      <c r="A107" s="500" t="str">
        <f>IF(終値!A107="","",終値!A107)</f>
        <v>7729</v>
      </c>
      <c r="B107" s="503">
        <f>IF(終値!A107="","",IFERROR(4*STDEVP(終値!E107:X107)/AVERAGE(終値!E107:X107),""))</f>
        <v>0.25445401076051233</v>
      </c>
      <c r="C107" s="503">
        <f>IF(終値!A107="","",IFERROR(4*STDEVP(終値!F107:Y107)/AVERAGE(終値!F107:Y107),""))</f>
        <v>0.25414464240910145</v>
      </c>
      <c r="D107" s="503">
        <f>IF(終値!A107="","",IFERROR(4*STDEVP(終値!G107:Z107)/AVERAGE(終値!G107:Z107),""))</f>
        <v>0.25494112609041175</v>
      </c>
      <c r="E107" s="503">
        <f>IF(終値!A107="","",IFERROR(4*STDEVP(終値!H107:AA107)/AVERAGE(終値!H107:AA107),""))</f>
        <v>0.26697171653433804</v>
      </c>
      <c r="F107" s="503">
        <f>IF(終値!A107="","",IFERROR(4*STDEVP(終値!I107:AB107)/AVERAGE(終値!I107:AB107),""))</f>
        <v>0.27244316609207281</v>
      </c>
      <c r="G107" s="503">
        <f>IF(終値!A107="","",IFERROR(4*STDEVP(終値!J107:AC107)/AVERAGE(終値!J107:AC107),""))</f>
        <v>0.30564143765035617</v>
      </c>
      <c r="H107" s="503">
        <f>IF(終値!A107="","",IFERROR(4*STDEVP(終値!K107:AD107)/AVERAGE(終値!K107:AD107),""))</f>
        <v>0.28855888516814859</v>
      </c>
      <c r="I107" s="503">
        <f>IF(終値!A107="","",IFERROR(4*STDEVP(終値!L107:AE107)/AVERAGE(終値!L107:AE107),""))</f>
        <v>0.22973116779283825</v>
      </c>
      <c r="J107" s="503">
        <f>IF(終値!A107="","",IFERROR(4*STDEVP(終値!M107:AF107)/AVERAGE(終値!M107:AF107),""))</f>
        <v>0.19888744355181454</v>
      </c>
      <c r="K107" s="503">
        <f>IF(終値!A107="","",IFERROR(4*STDEVP(終値!N107:AG107)/AVERAGE(終値!N107:AG107),""))</f>
        <v>0.20448521789005397</v>
      </c>
      <c r="L107" s="503">
        <f>IF(終値!A107="","",IFERROR(4*STDEVP(終値!O107:AH107)/AVERAGE(終値!O107:AH107),""))</f>
        <v>0.19489638598837866</v>
      </c>
      <c r="M107" s="503">
        <f>IF(終値!A107="","",IFERROR(4*STDEVP(終値!P107:AI107)/AVERAGE(終値!P107:AI107),""))</f>
        <v>0.19389655502272898</v>
      </c>
      <c r="N107" s="503">
        <f>IF(終値!A107="","",IFERROR(4*STDEVP(終値!Q107:AJ107)/AVERAGE(終値!Q107:AJ107),""))</f>
        <v>0.2000970311589261</v>
      </c>
      <c r="O107" s="503">
        <f>IF(終値!A107="","",IFERROR(4*STDEVP(終値!R107:AK107)/AVERAGE(終値!R107:AK107),""))</f>
        <v>0.20241357916015712</v>
      </c>
      <c r="P107" s="503">
        <f>IF(終値!A107="","",IFERROR(4*STDEVP(終値!S107:AL107)/AVERAGE(終値!S107:AL107),""))</f>
        <v>0.18343750487884658</v>
      </c>
      <c r="Q107" s="503">
        <f>IF(終値!A107="","",IFERROR(4*STDEVP(終値!T107:AM107)/AVERAGE(終値!T107:AM107),""))</f>
        <v>0.18344727277901254</v>
      </c>
      <c r="R107" s="503">
        <f>IF(終値!A107="","",IFERROR(4*STDEVP(終値!U107:AN107)/AVERAGE(終値!U107:AN107),""))</f>
        <v>0.17848279450939275</v>
      </c>
      <c r="S107" s="503">
        <f>IF(終値!A107="","",IFERROR(4*STDEVP(終値!V107:AO107)/AVERAGE(終値!V107:AO107),""))</f>
        <v>0.17856624635501558</v>
      </c>
      <c r="T107" s="503">
        <f>IF(終値!A107="","",IFERROR(4*STDEVP(終値!W107:AP107)/AVERAGE(終値!W107:AP107),""))</f>
        <v>0.18012351879982044</v>
      </c>
      <c r="U107" s="503">
        <f>IF(終値!A107="","",IFERROR(4*STDEVP(終値!X107:AQ107)/AVERAGE(終値!X107:AQ107),""))</f>
        <v>0.19094677560403803</v>
      </c>
      <c r="V107" s="503">
        <f>IF(終値!A107="","",IFERROR(4*STDEVP(終値!Y107:AR107)/AVERAGE(終値!Y107:AR107),""))</f>
        <v>0.20050073193511794</v>
      </c>
      <c r="W107" s="503">
        <f>IF(終値!A107="","",IFERROR(4*STDEVP(終値!Z107:AS107)/AVERAGE(終値!Z107:AS107),""))</f>
        <v>0.22351077376841777</v>
      </c>
      <c r="X107" s="503">
        <f>IF(終値!A107="","",IFERROR(4*STDEVP(終値!AA107:AT107)/AVERAGE(終値!AA107:AT107),""))</f>
        <v>0.23073399492447372</v>
      </c>
      <c r="Y107" s="503">
        <f>IF(終値!A107="","",IFERROR(4*STDEVP(終値!AB107:AU107)/AVERAGE(終値!AB107:AU107),""))</f>
        <v>0.23361532075410199</v>
      </c>
      <c r="Z107" s="503">
        <f>IF(終値!A107="","",IFERROR(4*STDEVP(終値!AC107:AV107)/AVERAGE(終値!AC107:AV107),""))</f>
        <v>0.24228400737879832</v>
      </c>
      <c r="AA107" s="503">
        <f>IF(終値!A107="","",IFERROR(4*STDEVP(終値!AD107:AW107)/AVERAGE(終値!AD107:AW107),""))</f>
        <v>0.24350175288835635</v>
      </c>
      <c r="AB107" s="503">
        <f>IF(終値!A107="","",IFERROR(4*STDEVP(終値!AE107:AX107)/AVERAGE(終値!AE107:AX107),""))</f>
        <v>0.2440515779853894</v>
      </c>
      <c r="AC107" s="503">
        <f>IF(終値!A107="","",IFERROR(4*STDEVP(終値!AF107:AY107)/AVERAGE(終値!AF107:AY107),""))</f>
        <v>0.2479944024797</v>
      </c>
      <c r="AD107" s="503">
        <f>IF(終値!A107="","",IFERROR(4*STDEVP(終値!AG107:AZ107)/AVERAGE(終値!AG107:AZ107),""))</f>
        <v>0.24911823395825214</v>
      </c>
      <c r="AE107" s="503">
        <f>IF(終値!A107="","",IFERROR(4*STDEVP(終値!AH107:BA107)/AVERAGE(終値!AH107:BA107),""))</f>
        <v>0.23745354527859852</v>
      </c>
      <c r="AF107" s="503">
        <f>IF(終値!A107="","",IFERROR(4*STDEVP(終値!AI107:BB107)/AVERAGE(終値!AI107:BB107),""))</f>
        <v>0.247924758194697</v>
      </c>
      <c r="AG107" s="503">
        <f>IF(終値!A107="","",IFERROR(4*STDEVP(終値!AJ107:BC107)/AVERAGE(終値!AJ107:BC107),""))</f>
        <v>0.26354727513173504</v>
      </c>
      <c r="AH107" s="503">
        <f>IF(終値!A107="","",IFERROR(4*STDEVP(終値!AK107:BD107)/AVERAGE(終値!AK107:BD107),""))</f>
        <v>0.27374160957514543</v>
      </c>
      <c r="AI107" s="503">
        <f>IF(終値!A107="","",IFERROR(4*STDEVP(終値!AL107:BE107)/AVERAGE(終値!AL107:BE107),""))</f>
        <v>0.27107487286143261</v>
      </c>
      <c r="AJ107" s="503">
        <f>IF(終値!A107="","",IFERROR(4*STDEVP(終値!AM107:BF107)/AVERAGE(終値!AM107:BF107),""))</f>
        <v>0.25077178622984381</v>
      </c>
      <c r="AK107" s="503">
        <f>IF(終値!A107="","",IFERROR(4*STDEVP(終値!AN107:BG107)/AVERAGE(終値!AN107:BG107),""))</f>
        <v>0.24096629208894005</v>
      </c>
      <c r="AL107" s="503">
        <f>IF(終値!A107="","",IFERROR(4*STDEVP(終値!AO107:BH107)/AVERAGE(終値!AO107:BH107),""))</f>
        <v>0.22408262959127223</v>
      </c>
      <c r="AM107" s="503">
        <f>IF(終値!A107="","",IFERROR(4*STDEVP(終値!AP107:BI107)/AVERAGE(終値!AP107:BI107),""))</f>
        <v>0.19897877879790074</v>
      </c>
      <c r="AN107" s="503">
        <f>IF(終値!A107="","",IFERROR(4*STDEVP(終値!AQ107:BJ107)/AVERAGE(終値!AQ107:BJ107),""))</f>
        <v>0.2054282042963462</v>
      </c>
      <c r="AO107" s="503">
        <f>IF(終値!A107="","",IFERROR(4*STDEVP(終値!AR107:BK107)/AVERAGE(終値!AR107:BK107),""))</f>
        <v>0.21893634114519175</v>
      </c>
      <c r="AP107" s="503">
        <f>IF(終値!A107="","",IFERROR(4*STDEVP(終値!AS107:BL107)/AVERAGE(終値!AS107:BL107),""))</f>
        <v>0.22698209224592752</v>
      </c>
    </row>
    <row r="108" spans="1:42">
      <c r="A108" s="500" t="str">
        <f>IF(終値!A108="","",終値!A108)</f>
        <v>8424</v>
      </c>
      <c r="B108" s="503">
        <f>IF(終値!A108="","",IFERROR(4*STDEVP(終値!E108:X108)/AVERAGE(終値!E108:X108),""))</f>
        <v>8.6146009527579281E-2</v>
      </c>
      <c r="C108" s="503">
        <f>IF(終値!A108="","",IFERROR(4*STDEVP(終値!F108:Y108)/AVERAGE(終値!F108:Y108),""))</f>
        <v>8.975036208215148E-2</v>
      </c>
      <c r="D108" s="503">
        <f>IF(終値!A108="","",IFERROR(4*STDEVP(終値!G108:Z108)/AVERAGE(終値!G108:Z108),""))</f>
        <v>9.4980112144814846E-2</v>
      </c>
      <c r="E108" s="503">
        <f>IF(終値!A108="","",IFERROR(4*STDEVP(終値!H108:AA108)/AVERAGE(終値!H108:AA108),""))</f>
        <v>0.10337258260981394</v>
      </c>
      <c r="F108" s="503">
        <f>IF(終値!A108="","",IFERROR(4*STDEVP(終値!I108:AB108)/AVERAGE(終値!I108:AB108),""))</f>
        <v>0.10957388932745732</v>
      </c>
      <c r="G108" s="503">
        <f>IF(終値!A108="","",IFERROR(4*STDEVP(終値!J108:AC108)/AVERAGE(終値!J108:AC108),""))</f>
        <v>0.11087462355401619</v>
      </c>
      <c r="H108" s="503">
        <f>IF(終値!A108="","",IFERROR(4*STDEVP(終値!K108:AD108)/AVERAGE(終値!K108:AD108),""))</f>
        <v>0.10816784952051568</v>
      </c>
      <c r="I108" s="503">
        <f>IF(終値!A108="","",IFERROR(4*STDEVP(終値!L108:AE108)/AVERAGE(終値!L108:AE108),""))</f>
        <v>9.5849814340277978E-2</v>
      </c>
      <c r="J108" s="503">
        <f>IF(終値!A108="","",IFERROR(4*STDEVP(終値!M108:AF108)/AVERAGE(終値!M108:AF108),""))</f>
        <v>9.0567540753852926E-2</v>
      </c>
      <c r="K108" s="503">
        <f>IF(終値!A108="","",IFERROR(4*STDEVP(終値!N108:AG108)/AVERAGE(終値!N108:AG108),""))</f>
        <v>8.0754369638098206E-2</v>
      </c>
      <c r="L108" s="503">
        <f>IF(終値!A108="","",IFERROR(4*STDEVP(終値!O108:AH108)/AVERAGE(終値!O108:AH108),""))</f>
        <v>7.7526565239777231E-2</v>
      </c>
      <c r="M108" s="503">
        <f>IF(終値!A108="","",IFERROR(4*STDEVP(終値!P108:AI108)/AVERAGE(終値!P108:AI108),""))</f>
        <v>7.3400422706370788E-2</v>
      </c>
      <c r="N108" s="503">
        <f>IF(終値!A108="","",IFERROR(4*STDEVP(終値!Q108:AJ108)/AVERAGE(終値!Q108:AJ108),""))</f>
        <v>6.4311862411434648E-2</v>
      </c>
      <c r="O108" s="503">
        <f>IF(終値!A108="","",IFERROR(4*STDEVP(終値!R108:AK108)/AVERAGE(終値!R108:AK108),""))</f>
        <v>5.2492514122899334E-2</v>
      </c>
      <c r="P108" s="503">
        <f>IF(終値!A108="","",IFERROR(4*STDEVP(終値!S108:AL108)/AVERAGE(終値!S108:AL108),""))</f>
        <v>4.7718629178008808E-2</v>
      </c>
      <c r="Q108" s="503">
        <f>IF(終値!A108="","",IFERROR(4*STDEVP(終値!T108:AM108)/AVERAGE(終値!T108:AM108),""))</f>
        <v>3.9663721651343097E-2</v>
      </c>
      <c r="R108" s="503">
        <f>IF(終値!A108="","",IFERROR(4*STDEVP(終値!U108:AN108)/AVERAGE(終値!U108:AN108),""))</f>
        <v>3.4914949028345015E-2</v>
      </c>
      <c r="S108" s="503">
        <f>IF(終値!A108="","",IFERROR(4*STDEVP(終値!V108:AO108)/AVERAGE(終値!V108:AO108),""))</f>
        <v>3.7887118686459616E-2</v>
      </c>
      <c r="T108" s="503">
        <f>IF(終値!A108="","",IFERROR(4*STDEVP(終値!W108:AP108)/AVERAGE(終値!W108:AP108),""))</f>
        <v>3.875005756432761E-2</v>
      </c>
      <c r="U108" s="503">
        <f>IF(終値!A108="","",IFERROR(4*STDEVP(終値!X108:AQ108)/AVERAGE(終値!X108:AQ108),""))</f>
        <v>3.875005756432761E-2</v>
      </c>
      <c r="V108" s="503">
        <f>IF(終値!A108="","",IFERROR(4*STDEVP(終値!Y108:AR108)/AVERAGE(終値!Y108:AR108),""))</f>
        <v>4.1930173939969562E-2</v>
      </c>
      <c r="W108" s="503">
        <f>IF(終値!A108="","",IFERROR(4*STDEVP(終値!Z108:AS108)/AVERAGE(終値!Z108:AS108),""))</f>
        <v>4.1696720876956021E-2</v>
      </c>
      <c r="X108" s="503">
        <f>IF(終値!A108="","",IFERROR(4*STDEVP(終値!AA108:AT108)/AVERAGE(終値!AA108:AT108),""))</f>
        <v>4.5870392223505412E-2</v>
      </c>
      <c r="Y108" s="503">
        <f>IF(終値!A108="","",IFERROR(4*STDEVP(終値!AB108:AU108)/AVERAGE(終値!AB108:AU108),""))</f>
        <v>5.5688866393513316E-2</v>
      </c>
      <c r="Z108" s="503">
        <f>IF(終値!A108="","",IFERROR(4*STDEVP(終値!AC108:AV108)/AVERAGE(終値!AC108:AV108),""))</f>
        <v>6.1536371298215306E-2</v>
      </c>
      <c r="AA108" s="503">
        <f>IF(終値!A108="","",IFERROR(4*STDEVP(終値!AD108:AW108)/AVERAGE(終値!AD108:AW108),""))</f>
        <v>6.6814870557849709E-2</v>
      </c>
      <c r="AB108" s="503">
        <f>IF(終値!A108="","",IFERROR(4*STDEVP(終値!AE108:AX108)/AVERAGE(終値!AE108:AX108),""))</f>
        <v>6.6885548681098014E-2</v>
      </c>
      <c r="AC108" s="503">
        <f>IF(終値!A108="","",IFERROR(4*STDEVP(終値!AF108:AY108)/AVERAGE(終値!AF108:AY108),""))</f>
        <v>6.7042263994881432E-2</v>
      </c>
      <c r="AD108" s="503">
        <f>IF(終値!A108="","",IFERROR(4*STDEVP(終値!AG108:AZ108)/AVERAGE(終値!AG108:AZ108),""))</f>
        <v>6.6952917832728415E-2</v>
      </c>
      <c r="AE108" s="503">
        <f>IF(終値!A108="","",IFERROR(4*STDEVP(終値!AH108:BA108)/AVERAGE(終値!AH108:BA108),""))</f>
        <v>6.7151745208525696E-2</v>
      </c>
      <c r="AF108" s="503">
        <f>IF(終値!A108="","",IFERROR(4*STDEVP(終値!AI108:BB108)/AVERAGE(終値!AI108:BB108),""))</f>
        <v>6.8797886316691995E-2</v>
      </c>
      <c r="AG108" s="503">
        <f>IF(終値!A108="","",IFERROR(4*STDEVP(終値!AJ108:BC108)/AVERAGE(終値!AJ108:BC108),""))</f>
        <v>7.5894339732109392E-2</v>
      </c>
      <c r="AH108" s="503">
        <f>IF(終値!A108="","",IFERROR(4*STDEVP(終値!AK108:BD108)/AVERAGE(終値!AK108:BD108),""))</f>
        <v>7.9157404353681612E-2</v>
      </c>
      <c r="AI108" s="503">
        <f>IF(終値!A108="","",IFERROR(4*STDEVP(終値!AL108:BE108)/AVERAGE(終値!AL108:BE108),""))</f>
        <v>8.5475364595764575E-2</v>
      </c>
      <c r="AJ108" s="503">
        <f>IF(終値!A108="","",IFERROR(4*STDEVP(終値!AM108:BF108)/AVERAGE(終値!AM108:BF108),""))</f>
        <v>8.7007084812419325E-2</v>
      </c>
      <c r="AK108" s="503">
        <f>IF(終値!A108="","",IFERROR(4*STDEVP(終値!AN108:BG108)/AVERAGE(終値!AN108:BG108),""))</f>
        <v>9.1495343766297588E-2</v>
      </c>
      <c r="AL108" s="503">
        <f>IF(終値!A108="","",IFERROR(4*STDEVP(終値!AO108:BH108)/AVERAGE(終値!AO108:BH108),""))</f>
        <v>9.6158735308175813E-2</v>
      </c>
      <c r="AM108" s="503">
        <f>IF(終値!A108="","",IFERROR(4*STDEVP(終値!AP108:BI108)/AVERAGE(終値!AP108:BI108),""))</f>
        <v>9.7434894254507978E-2</v>
      </c>
      <c r="AN108" s="503">
        <f>IF(終値!A108="","",IFERROR(4*STDEVP(終値!AQ108:BJ108)/AVERAGE(終値!AQ108:BJ108),""))</f>
        <v>0.10193751150752141</v>
      </c>
      <c r="AO108" s="503">
        <f>IF(終値!A108="","",IFERROR(4*STDEVP(終値!AR108:BK108)/AVERAGE(終値!AR108:BK108),""))</f>
        <v>0.10212590382068054</v>
      </c>
      <c r="AP108" s="503">
        <f>IF(終値!A108="","",IFERROR(4*STDEVP(終値!AS108:BL108)/AVERAGE(終値!AS108:BL108),""))</f>
        <v>0.1015475157844928</v>
      </c>
    </row>
    <row r="109" spans="1:42">
      <c r="A109" s="500" t="str">
        <f>IF(終値!A109="","",終値!A109)</f>
        <v>9020</v>
      </c>
      <c r="B109" s="503">
        <f>IF(終値!A109="","",IFERROR(4*STDEVP(終値!E109:X109)/AVERAGE(終値!E109:X109),""))</f>
        <v>0.16338415495602102</v>
      </c>
      <c r="C109" s="503">
        <f>IF(終値!A109="","",IFERROR(4*STDEVP(終値!F109:Y109)/AVERAGE(終値!F109:Y109),""))</f>
        <v>0.15781050237131414</v>
      </c>
      <c r="D109" s="503">
        <f>IF(終値!A109="","",IFERROR(4*STDEVP(終値!G109:Z109)/AVERAGE(終値!G109:Z109),""))</f>
        <v>0.1483775935740663</v>
      </c>
      <c r="E109" s="503">
        <f>IF(終値!A109="","",IFERROR(4*STDEVP(終値!H109:AA109)/AVERAGE(終値!H109:AA109),""))</f>
        <v>0.14447393204026501</v>
      </c>
      <c r="F109" s="503">
        <f>IF(終値!A109="","",IFERROR(4*STDEVP(終値!I109:AB109)/AVERAGE(終値!I109:AB109),""))</f>
        <v>0.14549434098893457</v>
      </c>
      <c r="G109" s="503">
        <f>IF(終値!A109="","",IFERROR(4*STDEVP(終値!J109:AC109)/AVERAGE(終値!J109:AC109),""))</f>
        <v>0.16407208009527444</v>
      </c>
      <c r="H109" s="503">
        <f>IF(終値!A109="","",IFERROR(4*STDEVP(終値!K109:AD109)/AVERAGE(終値!K109:AD109),""))</f>
        <v>0.16004455243521085</v>
      </c>
      <c r="I109" s="503">
        <f>IF(終値!A109="","",IFERROR(4*STDEVP(終値!L109:AE109)/AVERAGE(終値!L109:AE109),""))</f>
        <v>0.13337770315775252</v>
      </c>
      <c r="J109" s="503">
        <f>IF(終値!A109="","",IFERROR(4*STDEVP(終値!M109:AF109)/AVERAGE(終値!M109:AF109),""))</f>
        <v>0.11834161353169741</v>
      </c>
      <c r="K109" s="503">
        <f>IF(終値!A109="","",IFERROR(4*STDEVP(終値!N109:AG109)/AVERAGE(終値!N109:AG109),""))</f>
        <v>0.11116047847958194</v>
      </c>
      <c r="L109" s="503">
        <f>IF(終値!A109="","",IFERROR(4*STDEVP(終値!O109:AH109)/AVERAGE(終値!O109:AH109),""))</f>
        <v>0.11178219889049663</v>
      </c>
      <c r="M109" s="503">
        <f>IF(終値!A109="","",IFERROR(4*STDEVP(終値!P109:AI109)/AVERAGE(終値!P109:AI109),""))</f>
        <v>0.11563250257385609</v>
      </c>
      <c r="N109" s="503">
        <f>IF(終値!A109="","",IFERROR(4*STDEVP(終値!Q109:AJ109)/AVERAGE(終値!Q109:AJ109),""))</f>
        <v>0.11669505890063191</v>
      </c>
      <c r="O109" s="503">
        <f>IF(終値!A109="","",IFERROR(4*STDEVP(終値!R109:AK109)/AVERAGE(終値!R109:AK109),""))</f>
        <v>0.10700239100104511</v>
      </c>
      <c r="P109" s="503">
        <f>IF(終値!A109="","",IFERROR(4*STDEVP(終値!S109:AL109)/AVERAGE(終値!S109:AL109),""))</f>
        <v>9.8356395726553594E-2</v>
      </c>
      <c r="Q109" s="503">
        <f>IF(終値!A109="","",IFERROR(4*STDEVP(終値!T109:AM109)/AVERAGE(終値!T109:AM109),""))</f>
        <v>9.4549899729960404E-2</v>
      </c>
      <c r="R109" s="503">
        <f>IF(終値!A109="","",IFERROR(4*STDEVP(終値!U109:AN109)/AVERAGE(終値!U109:AN109),""))</f>
        <v>8.8137710497948274E-2</v>
      </c>
      <c r="S109" s="503">
        <f>IF(終値!A109="","",IFERROR(4*STDEVP(終値!V109:AO109)/AVERAGE(終値!V109:AO109),""))</f>
        <v>8.4098311713807161E-2</v>
      </c>
      <c r="T109" s="503">
        <f>IF(終値!A109="","",IFERROR(4*STDEVP(終値!W109:AP109)/AVERAGE(終値!W109:AP109),""))</f>
        <v>8.2523938929381868E-2</v>
      </c>
      <c r="U109" s="503">
        <f>IF(終値!A109="","",IFERROR(4*STDEVP(終値!X109:AQ109)/AVERAGE(終値!X109:AQ109),""))</f>
        <v>7.8796479831959365E-2</v>
      </c>
      <c r="V109" s="503">
        <f>IF(終値!A109="","",IFERROR(4*STDEVP(終値!Y109:AR109)/AVERAGE(終値!Y109:AR109),""))</f>
        <v>7.1959676734226652E-2</v>
      </c>
      <c r="W109" s="503">
        <f>IF(終値!A109="","",IFERROR(4*STDEVP(終値!Z109:AS109)/AVERAGE(終値!Z109:AS109),""))</f>
        <v>6.0017589099954867E-2</v>
      </c>
      <c r="X109" s="503">
        <f>IF(終値!A109="","",IFERROR(4*STDEVP(終値!AA109:AT109)/AVERAGE(終値!AA109:AT109),""))</f>
        <v>5.3265008081435437E-2</v>
      </c>
      <c r="Y109" s="503">
        <f>IF(終値!A109="","",IFERROR(4*STDEVP(終値!AB109:AU109)/AVERAGE(終値!AB109:AU109),""))</f>
        <v>5.6921299190194424E-2</v>
      </c>
      <c r="Z109" s="503">
        <f>IF(終値!A109="","",IFERROR(4*STDEVP(終値!AC109:AV109)/AVERAGE(終値!AC109:AV109),""))</f>
        <v>5.8950001567198929E-2</v>
      </c>
      <c r="AA109" s="503">
        <f>IF(終値!A109="","",IFERROR(4*STDEVP(終値!AD109:AW109)/AVERAGE(終値!AD109:AW109),""))</f>
        <v>5.5417317954807116E-2</v>
      </c>
      <c r="AB109" s="503">
        <f>IF(終値!A109="","",IFERROR(4*STDEVP(終値!AE109:AX109)/AVERAGE(終値!AE109:AX109),""))</f>
        <v>5.5574449089017999E-2</v>
      </c>
      <c r="AC109" s="503">
        <f>IF(終値!A109="","",IFERROR(4*STDEVP(終値!AF109:AY109)/AVERAGE(終値!AF109:AY109),""))</f>
        <v>5.4871625691241398E-2</v>
      </c>
      <c r="AD109" s="503">
        <f>IF(終値!A109="","",IFERROR(4*STDEVP(終値!AG109:AZ109)/AVERAGE(終値!AG109:AZ109),""))</f>
        <v>6.7046920009285763E-2</v>
      </c>
      <c r="AE109" s="503">
        <f>IF(終値!A109="","",IFERROR(4*STDEVP(終値!AH109:BA109)/AVERAGE(終値!AH109:BA109),""))</f>
        <v>8.0847031060080607E-2</v>
      </c>
      <c r="AF109" s="503">
        <f>IF(終値!A109="","",IFERROR(4*STDEVP(終値!AI109:BB109)/AVERAGE(終値!AI109:BB109),""))</f>
        <v>9.6097188598131877E-2</v>
      </c>
      <c r="AG109" s="503">
        <f>IF(終値!A109="","",IFERROR(4*STDEVP(終値!AJ109:BC109)/AVERAGE(終値!AJ109:BC109),""))</f>
        <v>0.1183137972533469</v>
      </c>
      <c r="AH109" s="503">
        <f>IF(終値!A109="","",IFERROR(4*STDEVP(終値!AK109:BD109)/AVERAGE(終値!AK109:BD109),""))</f>
        <v>0.14370451467709022</v>
      </c>
      <c r="AI109" s="503">
        <f>IF(終値!A109="","",IFERROR(4*STDEVP(終値!AL109:BE109)/AVERAGE(終値!AL109:BE109),""))</f>
        <v>0.16607556807938809</v>
      </c>
      <c r="AJ109" s="503">
        <f>IF(終値!A109="","",IFERROR(4*STDEVP(終値!AM109:BF109)/AVERAGE(終値!AM109:BF109),""))</f>
        <v>0.17255279731986414</v>
      </c>
      <c r="AK109" s="503">
        <f>IF(終値!A109="","",IFERROR(4*STDEVP(終値!AN109:BG109)/AVERAGE(終値!AN109:BG109),""))</f>
        <v>0.18143078066255044</v>
      </c>
      <c r="AL109" s="503">
        <f>IF(終値!A109="","",IFERROR(4*STDEVP(終値!AO109:BH109)/AVERAGE(終値!AO109:BH109),""))</f>
        <v>0.18367253900500824</v>
      </c>
      <c r="AM109" s="503">
        <f>IF(終値!A109="","",IFERROR(4*STDEVP(終値!AP109:BI109)/AVERAGE(終値!AP109:BI109),""))</f>
        <v>0.18859409328661092</v>
      </c>
      <c r="AN109" s="503">
        <f>IF(終値!A109="","",IFERROR(4*STDEVP(終値!AQ109:BJ109)/AVERAGE(終値!AQ109:BJ109),""))</f>
        <v>0.18836528830716714</v>
      </c>
      <c r="AO109" s="503">
        <f>IF(終値!A109="","",IFERROR(4*STDEVP(終値!AR109:BK109)/AVERAGE(終値!AR109:BK109),""))</f>
        <v>0.18758000477460329</v>
      </c>
      <c r="AP109" s="503">
        <f>IF(終値!A109="","",IFERROR(4*STDEVP(終値!AS109:BL109)/AVERAGE(終値!AS109:BL109),""))</f>
        <v>0.18639200258771405</v>
      </c>
    </row>
    <row r="110" spans="1:42">
      <c r="A110" s="500" t="str">
        <f>IF(終値!A110="","",終値!A110)</f>
        <v>9069</v>
      </c>
      <c r="B110" s="503">
        <f>IF(終値!A110="","",IFERROR(4*STDEVP(終値!E110:X110)/AVERAGE(終値!E110:X110),""))</f>
        <v>0.12334387925964455</v>
      </c>
      <c r="C110" s="503">
        <f>IF(終値!A110="","",IFERROR(4*STDEVP(終値!F110:Y110)/AVERAGE(終値!F110:Y110),""))</f>
        <v>0.13687907684909909</v>
      </c>
      <c r="D110" s="503">
        <f>IF(終値!A110="","",IFERROR(4*STDEVP(終値!G110:Z110)/AVERAGE(終値!G110:Z110),""))</f>
        <v>0.15186547030990249</v>
      </c>
      <c r="E110" s="503">
        <f>IF(終値!A110="","",IFERROR(4*STDEVP(終値!H110:AA110)/AVERAGE(終値!H110:AA110),""))</f>
        <v>0.16698658173783404</v>
      </c>
      <c r="F110" s="503">
        <f>IF(終値!A110="","",IFERROR(4*STDEVP(終値!I110:AB110)/AVERAGE(終値!I110:AB110),""))</f>
        <v>0.18918042273472685</v>
      </c>
      <c r="G110" s="503">
        <f>IF(終値!A110="","",IFERROR(4*STDEVP(終値!J110:AC110)/AVERAGE(終値!J110:AC110),""))</f>
        <v>0.20773802038797778</v>
      </c>
      <c r="H110" s="503">
        <f>IF(終値!A110="","",IFERROR(4*STDEVP(終値!K110:AD110)/AVERAGE(終値!K110:AD110),""))</f>
        <v>0.20980931331409158</v>
      </c>
      <c r="I110" s="503">
        <f>IF(終値!A110="","",IFERROR(4*STDEVP(終値!L110:AE110)/AVERAGE(終値!L110:AE110),""))</f>
        <v>0.20768452874813376</v>
      </c>
      <c r="J110" s="503">
        <f>IF(終値!A110="","",IFERROR(4*STDEVP(終値!M110:AF110)/AVERAGE(終値!M110:AF110),""))</f>
        <v>0.21186314760665481</v>
      </c>
      <c r="K110" s="503">
        <f>IF(終値!A110="","",IFERROR(4*STDEVP(終値!N110:AG110)/AVERAGE(終値!N110:AG110),""))</f>
        <v>0.21423691935967426</v>
      </c>
      <c r="L110" s="503">
        <f>IF(終値!A110="","",IFERROR(4*STDEVP(終値!O110:AH110)/AVERAGE(終値!O110:AH110),""))</f>
        <v>0.2161609937147147</v>
      </c>
      <c r="M110" s="503">
        <f>IF(終値!A110="","",IFERROR(4*STDEVP(終値!P110:AI110)/AVERAGE(終値!P110:AI110),""))</f>
        <v>0.21325964944162326</v>
      </c>
      <c r="N110" s="503">
        <f>IF(終値!A110="","",IFERROR(4*STDEVP(終値!Q110:AJ110)/AVERAGE(終値!Q110:AJ110),""))</f>
        <v>0.20362113907960147</v>
      </c>
      <c r="O110" s="503">
        <f>IF(終値!A110="","",IFERROR(4*STDEVP(終値!R110:AK110)/AVERAGE(終値!R110:AK110),""))</f>
        <v>0.18432330942921862</v>
      </c>
      <c r="P110" s="503">
        <f>IF(終値!A110="","",IFERROR(4*STDEVP(終値!S110:AL110)/AVERAGE(終値!S110:AL110),""))</f>
        <v>0.16211887778779258</v>
      </c>
      <c r="Q110" s="503">
        <f>IF(終値!A110="","",IFERROR(4*STDEVP(終値!T110:AM110)/AVERAGE(終値!T110:AM110),""))</f>
        <v>0.14693992946631135</v>
      </c>
      <c r="R110" s="503">
        <f>IF(終値!A110="","",IFERROR(4*STDEVP(終値!U110:AN110)/AVERAGE(終値!U110:AN110),""))</f>
        <v>0.12914182084180548</v>
      </c>
      <c r="S110" s="503">
        <f>IF(終値!A110="","",IFERROR(4*STDEVP(終値!V110:AO110)/AVERAGE(終値!V110:AO110),""))</f>
        <v>0.10837191209693388</v>
      </c>
      <c r="T110" s="503">
        <f>IF(終値!A110="","",IFERROR(4*STDEVP(終値!W110:AP110)/AVERAGE(終値!W110:AP110),""))</f>
        <v>9.6409524101021646E-2</v>
      </c>
      <c r="U110" s="503">
        <f>IF(終値!A110="","",IFERROR(4*STDEVP(終値!X110:AQ110)/AVERAGE(終値!X110:AQ110),""))</f>
        <v>8.3328105913870243E-2</v>
      </c>
      <c r="V110" s="503">
        <f>IF(終値!A110="","",IFERROR(4*STDEVP(終値!Y110:AR110)/AVERAGE(終値!Y110:AR110),""))</f>
        <v>7.3991575470649648E-2</v>
      </c>
      <c r="W110" s="503">
        <f>IF(終値!A110="","",IFERROR(4*STDEVP(終値!Z110:AS110)/AVERAGE(終値!Z110:AS110),""))</f>
        <v>6.3295530998357372E-2</v>
      </c>
      <c r="X110" s="503">
        <f>IF(終値!A110="","",IFERROR(4*STDEVP(終値!AA110:AT110)/AVERAGE(終値!AA110:AT110),""))</f>
        <v>5.5265092408423831E-2</v>
      </c>
      <c r="Y110" s="503">
        <f>IF(終値!A110="","",IFERROR(4*STDEVP(終値!AB110:AU110)/AVERAGE(終値!AB110:AU110),""))</f>
        <v>5.02623565633874E-2</v>
      </c>
      <c r="Z110" s="503">
        <f>IF(終値!A110="","",IFERROR(4*STDEVP(終値!AC110:AV110)/AVERAGE(終値!AC110:AV110),""))</f>
        <v>4.990207305425659E-2</v>
      </c>
      <c r="AA110" s="503">
        <f>IF(終値!A110="","",IFERROR(4*STDEVP(終値!AD110:AW110)/AVERAGE(終値!AD110:AW110),""))</f>
        <v>5.0548819246606431E-2</v>
      </c>
      <c r="AB110" s="503">
        <f>IF(終値!A110="","",IFERROR(4*STDEVP(終値!AE110:AX110)/AVERAGE(終値!AE110:AX110),""))</f>
        <v>4.7357386012414383E-2</v>
      </c>
      <c r="AC110" s="503">
        <f>IF(終値!A110="","",IFERROR(4*STDEVP(終値!AF110:AY110)/AVERAGE(終値!AF110:AY110),""))</f>
        <v>4.6591983803320233E-2</v>
      </c>
      <c r="AD110" s="503">
        <f>IF(終値!A110="","",IFERROR(4*STDEVP(終値!AG110:AZ110)/AVERAGE(終値!AG110:AZ110),""))</f>
        <v>4.6532547747415581E-2</v>
      </c>
      <c r="AE110" s="503">
        <f>IF(終値!A110="","",IFERROR(4*STDEVP(終値!AH110:BA110)/AVERAGE(終値!AH110:BA110),""))</f>
        <v>4.6629103227305888E-2</v>
      </c>
      <c r="AF110" s="503">
        <f>IF(終値!A110="","",IFERROR(4*STDEVP(終値!AI110:BB110)/AVERAGE(終値!AI110:BB110),""))</f>
        <v>4.9712222700837812E-2</v>
      </c>
      <c r="AG110" s="503">
        <f>IF(終値!A110="","",IFERROR(4*STDEVP(終値!AJ110:BC110)/AVERAGE(終値!AJ110:BC110),""))</f>
        <v>6.9287109379975689E-2</v>
      </c>
      <c r="AH110" s="503">
        <f>IF(終値!A110="","",IFERROR(4*STDEVP(終値!AK110:BD110)/AVERAGE(終値!AK110:BD110),""))</f>
        <v>7.7452477548824741E-2</v>
      </c>
      <c r="AI110" s="503">
        <f>IF(終値!A110="","",IFERROR(4*STDEVP(終値!AL110:BE110)/AVERAGE(終値!AL110:BE110),""))</f>
        <v>8.4044053264675123E-2</v>
      </c>
      <c r="AJ110" s="503">
        <f>IF(終値!A110="","",IFERROR(4*STDEVP(終値!AM110:BF110)/AVERAGE(終値!AM110:BF110),""))</f>
        <v>8.598951230946858E-2</v>
      </c>
      <c r="AK110" s="503">
        <f>IF(終値!A110="","",IFERROR(4*STDEVP(終値!AN110:BG110)/AVERAGE(終値!AN110:BG110),""))</f>
        <v>9.1702241610970722E-2</v>
      </c>
      <c r="AL110" s="503">
        <f>IF(終値!A110="","",IFERROR(4*STDEVP(終値!AO110:BH110)/AVERAGE(終値!AO110:BH110),""))</f>
        <v>9.4049904670862661E-2</v>
      </c>
      <c r="AM110" s="503">
        <f>IF(終値!A110="","",IFERROR(4*STDEVP(終値!AP110:BI110)/AVERAGE(終値!AP110:BI110),""))</f>
        <v>0.10547950196229276</v>
      </c>
      <c r="AN110" s="503">
        <f>IF(終値!A110="","",IFERROR(4*STDEVP(終値!AQ110:BJ110)/AVERAGE(終値!AQ110:BJ110),""))</f>
        <v>0.11854457774163363</v>
      </c>
      <c r="AO110" s="503">
        <f>IF(終値!A110="","",IFERROR(4*STDEVP(終値!AR110:BK110)/AVERAGE(終値!AR110:BK110),""))</f>
        <v>0.12513674904968969</v>
      </c>
      <c r="AP110" s="503">
        <f>IF(終値!A110="","",IFERROR(4*STDEVP(終値!AS110:BL110)/AVERAGE(終値!AS110:BL110),""))</f>
        <v>0.12932154066472032</v>
      </c>
    </row>
    <row r="111" spans="1:42">
      <c r="A111" s="500" t="str">
        <f>IF(終値!A111="","",終値!A111)</f>
        <v>9227</v>
      </c>
      <c r="B111" s="503">
        <f>IF(終値!A111="","",IFERROR(4*STDEVP(終値!E111:X111)/AVERAGE(終値!E111:X111),""))</f>
        <v>0.18333370228187776</v>
      </c>
      <c r="C111" s="503">
        <f>IF(終値!A111="","",IFERROR(4*STDEVP(終値!F111:Y111)/AVERAGE(終値!F111:Y111),""))</f>
        <v>0.21331317004755151</v>
      </c>
      <c r="D111" s="503">
        <f>IF(終値!A111="","",IFERROR(4*STDEVP(終値!G111:Z111)/AVERAGE(終値!G111:Z111),""))</f>
        <v>0.23286103169467706</v>
      </c>
      <c r="E111" s="503">
        <f>IF(終値!A111="","",IFERROR(4*STDEVP(終値!H111:AA111)/AVERAGE(終値!H111:AA111),""))</f>
        <v>0.24552362951908493</v>
      </c>
      <c r="F111" s="503">
        <f>IF(終値!A111="","",IFERROR(4*STDEVP(終値!I111:AB111)/AVERAGE(終値!I111:AB111),""))</f>
        <v>0.25893756922543609</v>
      </c>
      <c r="G111" s="503">
        <f>IF(終値!A111="","",IFERROR(4*STDEVP(終値!J111:AC111)/AVERAGE(終値!J111:AC111),""))</f>
        <v>0.26802459390732142</v>
      </c>
      <c r="H111" s="503">
        <f>IF(終値!A111="","",IFERROR(4*STDEVP(終値!K111:AD111)/AVERAGE(終値!K111:AD111),""))</f>
        <v>0.26979571268266733</v>
      </c>
      <c r="I111" s="503">
        <f>IF(終値!A111="","",IFERROR(4*STDEVP(終値!L111:AE111)/AVERAGE(終値!L111:AE111),""))</f>
        <v>0.26517298380406912</v>
      </c>
      <c r="J111" s="503">
        <f>IF(終値!A111="","",IFERROR(4*STDEVP(終値!M111:AF111)/AVERAGE(終値!M111:AF111),""))</f>
        <v>0.25805122643861522</v>
      </c>
      <c r="K111" s="503">
        <f>IF(終値!A111="","",IFERROR(4*STDEVP(終値!N111:AG111)/AVERAGE(終値!N111:AG111),""))</f>
        <v>0.25221095977101654</v>
      </c>
      <c r="L111" s="503">
        <f>IF(終値!A111="","",IFERROR(4*STDEVP(終値!O111:AH111)/AVERAGE(終値!O111:AH111),""))</f>
        <v>0.24630276322789169</v>
      </c>
      <c r="M111" s="503">
        <f>IF(終値!A111="","",IFERROR(4*STDEVP(終値!P111:AI111)/AVERAGE(終値!P111:AI111),""))</f>
        <v>0.23440773067158027</v>
      </c>
      <c r="N111" s="503">
        <f>IF(終値!A111="","",IFERROR(4*STDEVP(終値!Q111:AJ111)/AVERAGE(終値!Q111:AJ111),""))</f>
        <v>0.22863887181597983</v>
      </c>
      <c r="O111" s="503">
        <f>IF(終値!A111="","",IFERROR(4*STDEVP(終値!R111:AK111)/AVERAGE(終値!R111:AK111),""))</f>
        <v>0.21329508038424405</v>
      </c>
      <c r="P111" s="503">
        <f>IF(終値!A111="","",IFERROR(4*STDEVP(終値!S111:AL111)/AVERAGE(終値!S111:AL111),""))</f>
        <v>0.17070821304674078</v>
      </c>
      <c r="Q111" s="503">
        <f>IF(終値!A111="","",IFERROR(4*STDEVP(終値!T111:AM111)/AVERAGE(終値!T111:AM111),""))</f>
        <v>0.16229118789498106</v>
      </c>
      <c r="R111" s="503">
        <f>IF(終値!A111="","",IFERROR(4*STDEVP(終値!U111:AN111)/AVERAGE(終値!U111:AN111),""))</f>
        <v>0.15374552112312614</v>
      </c>
      <c r="S111" s="503">
        <f>IF(終値!A111="","",IFERROR(4*STDEVP(終値!V111:AO111)/AVERAGE(終値!V111:AO111),""))</f>
        <v>0.13945826786841836</v>
      </c>
      <c r="T111" s="503">
        <f>IF(終値!A111="","",IFERROR(4*STDEVP(終値!W111:AP111)/AVERAGE(終値!W111:AP111),""))</f>
        <v>0.14187647483475285</v>
      </c>
      <c r="U111" s="503">
        <f>IF(終値!A111="","",IFERROR(4*STDEVP(終値!X111:AQ111)/AVERAGE(終値!X111:AQ111),""))</f>
        <v>0.14130141557157105</v>
      </c>
      <c r="V111" s="503">
        <f>IF(終値!A111="","",IFERROR(4*STDEVP(終値!Y111:AR111)/AVERAGE(終値!Y111:AR111),""))</f>
        <v>0.14639909725362443</v>
      </c>
      <c r="W111" s="503">
        <f>IF(終値!A111="","",IFERROR(4*STDEVP(終値!Z111:AS111)/AVERAGE(終値!Z111:AS111),""))</f>
        <v>0.13224085941821828</v>
      </c>
      <c r="X111" s="503">
        <f>IF(終値!A111="","",IFERROR(4*STDEVP(終値!AA111:AT111)/AVERAGE(終値!AA111:AT111),""))</f>
        <v>0.1247541608735707</v>
      </c>
      <c r="Y111" s="503">
        <f>IF(終値!A111="","",IFERROR(4*STDEVP(終値!AB111:AU111)/AVERAGE(終値!AB111:AU111),""))</f>
        <v>0.11843112944812746</v>
      </c>
      <c r="Z111" s="503">
        <f>IF(終値!A111="","",IFERROR(4*STDEVP(終値!AC111:AV111)/AVERAGE(終値!AC111:AV111),""))</f>
        <v>0.10673135243600511</v>
      </c>
      <c r="AA111" s="503">
        <f>IF(終値!A111="","",IFERROR(4*STDEVP(終値!AD111:AW111)/AVERAGE(終値!AD111:AW111),""))</f>
        <v>9.7643499496260638E-2</v>
      </c>
      <c r="AB111" s="503">
        <f>IF(終値!A111="","",IFERROR(4*STDEVP(終値!AE111:AX111)/AVERAGE(終値!AE111:AX111),""))</f>
        <v>0.16632068728932575</v>
      </c>
      <c r="AC111" s="503">
        <f>IF(終値!A111="","",IFERROR(4*STDEVP(終値!AF111:AY111)/AVERAGE(終値!AF111:AY111),""))</f>
        <v>0.26689245871312084</v>
      </c>
      <c r="AD111" s="503">
        <f>IF(終値!A111="","",IFERROR(4*STDEVP(終値!AG111:AZ111)/AVERAGE(終値!AG111:AZ111),""))</f>
        <v>0.38166137477813639</v>
      </c>
      <c r="AE111" s="503">
        <f>IF(終値!A111="","",IFERROR(4*STDEVP(終値!AH111:BA111)/AVERAGE(終値!AH111:BA111),""))</f>
        <v>0.40654950220443914</v>
      </c>
      <c r="AF111" s="503">
        <f>IF(終値!A111="","",IFERROR(4*STDEVP(終値!AI111:BB111)/AVERAGE(終値!AI111:BB111),""))</f>
        <v>0.4036105203272829</v>
      </c>
      <c r="AG111" s="503">
        <f>IF(終値!A111="","",IFERROR(4*STDEVP(終値!AJ111:BC111)/AVERAGE(終値!AJ111:BC111),""))</f>
        <v>0.42625024945796863</v>
      </c>
      <c r="AH111" s="503">
        <f>IF(終値!A111="","",IFERROR(4*STDEVP(終値!AK111:BD111)/AVERAGE(終値!AK111:BD111),""))</f>
        <v>0.45683999917161217</v>
      </c>
      <c r="AI111" s="503">
        <f>IF(終値!A111="","",IFERROR(4*STDEVP(終値!AL111:BE111)/AVERAGE(終値!AL111:BE111),""))</f>
        <v>0.47326563915216763</v>
      </c>
      <c r="AJ111" s="503">
        <f>IF(終値!A111="","",IFERROR(4*STDEVP(終値!AM111:BF111)/AVERAGE(終値!AM111:BF111),""))</f>
        <v>0.48527485181929614</v>
      </c>
      <c r="AK111" s="503">
        <f>IF(終値!A111="","",IFERROR(4*STDEVP(終値!AN111:BG111)/AVERAGE(終値!AN111:BG111),""))</f>
        <v>0.49421959762489726</v>
      </c>
      <c r="AL111" s="503">
        <f>IF(終値!A111="","",IFERROR(4*STDEVP(終値!AO111:BH111)/AVERAGE(終値!AO111:BH111),""))</f>
        <v>0.50458591414086484</v>
      </c>
      <c r="AM111" s="503">
        <f>IF(終値!A111="","",IFERROR(4*STDEVP(終値!AP111:BI111)/AVERAGE(終値!AP111:BI111),""))</f>
        <v>0.50763073739893538</v>
      </c>
      <c r="AN111" s="503">
        <f>IF(終値!A111="","",IFERROR(4*STDEVP(終値!AQ111:BJ111)/AVERAGE(終値!AQ111:BJ111),""))</f>
        <v>0.5051822129652882</v>
      </c>
      <c r="AO111" s="503">
        <f>IF(終値!A111="","",IFERROR(4*STDEVP(終値!AR111:BK111)/AVERAGE(終値!AR111:BK111),""))</f>
        <v>0.50297977861054055</v>
      </c>
      <c r="AP111" s="503">
        <f>IF(終値!A111="","",IFERROR(4*STDEVP(終値!AS111:BL111)/AVERAGE(終値!AS111:BL111),""))</f>
        <v>0.50332257582144202</v>
      </c>
    </row>
    <row r="112" spans="1:42">
      <c r="A112" s="500" t="str">
        <f>IF(終値!A112="","",終値!A112)</f>
        <v>9348</v>
      </c>
      <c r="B112" s="503">
        <f>IF(終値!A112="","",IFERROR(4*STDEVP(終値!E112:X112)/AVERAGE(終値!E112:X112),""))</f>
        <v>0.23004716405373804</v>
      </c>
      <c r="C112" s="503">
        <f>IF(終値!A112="","",IFERROR(4*STDEVP(終値!F112:Y112)/AVERAGE(終値!F112:Y112),""))</f>
        <v>0.23137920086443636</v>
      </c>
      <c r="D112" s="503">
        <f>IF(終値!A112="","",IFERROR(4*STDEVP(終値!G112:Z112)/AVERAGE(終値!G112:Z112),""))</f>
        <v>0.23519943661092654</v>
      </c>
      <c r="E112" s="503">
        <f>IF(終値!A112="","",IFERROR(4*STDEVP(終値!H112:AA112)/AVERAGE(終値!H112:AA112),""))</f>
        <v>0.23678289460791221</v>
      </c>
      <c r="F112" s="503">
        <f>IF(終値!A112="","",IFERROR(4*STDEVP(終値!I112:AB112)/AVERAGE(終値!I112:AB112),""))</f>
        <v>0.22991397706769981</v>
      </c>
      <c r="G112" s="503">
        <f>IF(終値!A112="","",IFERROR(4*STDEVP(終値!J112:AC112)/AVERAGE(終値!J112:AC112),""))</f>
        <v>0.22250950818082185</v>
      </c>
      <c r="H112" s="503">
        <f>IF(終値!A112="","",IFERROR(4*STDEVP(終値!K112:AD112)/AVERAGE(終値!K112:AD112),""))</f>
        <v>0.21586639372144059</v>
      </c>
      <c r="I112" s="503">
        <f>IF(終値!A112="","",IFERROR(4*STDEVP(終値!L112:AE112)/AVERAGE(終値!L112:AE112),""))</f>
        <v>0.20127618805322459</v>
      </c>
      <c r="J112" s="503">
        <f>IF(終値!A112="","",IFERROR(4*STDEVP(終値!M112:AF112)/AVERAGE(終値!M112:AF112),""))</f>
        <v>0.19162933275152633</v>
      </c>
      <c r="K112" s="503">
        <f>IF(終値!A112="","",IFERROR(4*STDEVP(終値!N112:AG112)/AVERAGE(終値!N112:AG112),""))</f>
        <v>0.18679123033328726</v>
      </c>
      <c r="L112" s="503">
        <f>IF(終値!A112="","",IFERROR(4*STDEVP(終値!O112:AH112)/AVERAGE(終値!O112:AH112),""))</f>
        <v>0.18205654763680226</v>
      </c>
      <c r="M112" s="503">
        <f>IF(終値!A112="","",IFERROR(4*STDEVP(終値!P112:AI112)/AVERAGE(終値!P112:AI112),""))</f>
        <v>0.17533047792208761</v>
      </c>
      <c r="N112" s="503">
        <f>IF(終値!A112="","",IFERROR(4*STDEVP(終値!Q112:AJ112)/AVERAGE(終値!Q112:AJ112),""))</f>
        <v>0.16843589182198943</v>
      </c>
      <c r="O112" s="503">
        <f>IF(終値!A112="","",IFERROR(4*STDEVP(終値!R112:AK112)/AVERAGE(終値!R112:AK112),""))</f>
        <v>0.15785255222715344</v>
      </c>
      <c r="P112" s="503">
        <f>IF(終値!A112="","",IFERROR(4*STDEVP(終値!S112:AL112)/AVERAGE(終値!S112:AL112),""))</f>
        <v>0.14879234555936419</v>
      </c>
      <c r="Q112" s="503">
        <f>IF(終値!A112="","",IFERROR(4*STDEVP(終値!T112:AM112)/AVERAGE(終値!T112:AM112),""))</f>
        <v>0.15723969588652087</v>
      </c>
      <c r="R112" s="503">
        <f>IF(終値!A112="","",IFERROR(4*STDEVP(終値!U112:AN112)/AVERAGE(終値!U112:AN112),""))</f>
        <v>0.16080983192197765</v>
      </c>
      <c r="S112" s="503">
        <f>IF(終値!A112="","",IFERROR(4*STDEVP(終値!V112:AO112)/AVERAGE(終値!V112:AO112),""))</f>
        <v>0.18989454758850793</v>
      </c>
      <c r="T112" s="503">
        <f>IF(終値!A112="","",IFERROR(4*STDEVP(終値!W112:AP112)/AVERAGE(終値!W112:AP112),""))</f>
        <v>0.26539432566045607</v>
      </c>
      <c r="U112" s="503">
        <f>IF(終値!A112="","",IFERROR(4*STDEVP(終値!X112:AQ112)/AVERAGE(終値!X112:AQ112),""))</f>
        <v>0.33463455561266969</v>
      </c>
      <c r="V112" s="503">
        <f>IF(終値!A112="","",IFERROR(4*STDEVP(終値!Y112:AR112)/AVERAGE(終値!Y112:AR112),""))</f>
        <v>0.38720050975210074</v>
      </c>
      <c r="W112" s="503">
        <f>IF(終値!A112="","",IFERROR(4*STDEVP(終値!Z112:AS112)/AVERAGE(終値!Z112:AS112),""))</f>
        <v>0.44459543738598017</v>
      </c>
      <c r="X112" s="503">
        <f>IF(終値!A112="","",IFERROR(4*STDEVP(終値!AA112:AT112)/AVERAGE(終値!AA112:AT112),""))</f>
        <v>0.49943492058161432</v>
      </c>
      <c r="Y112" s="503">
        <f>IF(終値!A112="","",IFERROR(4*STDEVP(終値!AB112:AU112)/AVERAGE(終値!AB112:AU112),""))</f>
        <v>0.50500690696542738</v>
      </c>
      <c r="Z112" s="503">
        <f>IF(終値!A112="","",IFERROR(4*STDEVP(終値!AC112:AV112)/AVERAGE(終値!AC112:AV112),""))</f>
        <v>0.51698706434658204</v>
      </c>
      <c r="AA112" s="503">
        <f>IF(終値!A112="","",IFERROR(4*STDEVP(終値!AD112:AW112)/AVERAGE(終値!AD112:AW112),""))</f>
        <v>0.51934727527988434</v>
      </c>
      <c r="AB112" s="503">
        <f>IF(終値!A112="","",IFERROR(4*STDEVP(終値!AE112:AX112)/AVERAGE(終値!AE112:AX112),""))</f>
        <v>0.57075450636044733</v>
      </c>
      <c r="AC112" s="503">
        <f>IF(終値!A112="","",IFERROR(4*STDEVP(終値!AF112:AY112)/AVERAGE(終値!AF112:AY112),""))</f>
        <v>0.61694662923870802</v>
      </c>
      <c r="AD112" s="503">
        <f>IF(終値!A112="","",IFERROR(4*STDEVP(終値!AG112:AZ112)/AVERAGE(終値!AG112:AZ112),""))</f>
        <v>0.59352387868143419</v>
      </c>
      <c r="AE112" s="503">
        <f>IF(終値!A112="","",IFERROR(4*STDEVP(終値!AH112:BA112)/AVERAGE(終値!AH112:BA112),""))</f>
        <v>0.56769251208955562</v>
      </c>
      <c r="AF112" s="503">
        <f>IF(終値!A112="","",IFERROR(4*STDEVP(終値!AI112:BB112)/AVERAGE(終値!AI112:BB112),""))</f>
        <v>0.5353092590621179</v>
      </c>
      <c r="AG112" s="503">
        <f>IF(終値!A112="","",IFERROR(4*STDEVP(終値!AJ112:BC112)/AVERAGE(終値!AJ112:BC112),""))</f>
        <v>0.50251496821417152</v>
      </c>
      <c r="AH112" s="503">
        <f>IF(終値!A112="","",IFERROR(4*STDEVP(終値!AK112:BD112)/AVERAGE(終値!AK112:BD112),""))</f>
        <v>0.48434521397083008</v>
      </c>
      <c r="AI112" s="503">
        <f>IF(終値!A112="","",IFERROR(4*STDEVP(終値!AL112:BE112)/AVERAGE(終値!AL112:BE112),""))</f>
        <v>0.43907966396546089</v>
      </c>
      <c r="AJ112" s="503">
        <f>IF(終値!A112="","",IFERROR(4*STDEVP(終値!AM112:BF112)/AVERAGE(終値!AM112:BF112),""))</f>
        <v>0.42498069452096826</v>
      </c>
      <c r="AK112" s="503">
        <f>IF(終値!A112="","",IFERROR(4*STDEVP(終値!AN112:BG112)/AVERAGE(終値!AN112:BG112),""))</f>
        <v>0.40914162268610588</v>
      </c>
      <c r="AL112" s="503">
        <f>IF(終値!A112="","",IFERROR(4*STDEVP(終値!AO112:BH112)/AVERAGE(終値!AO112:BH112),""))</f>
        <v>0.39235492026906615</v>
      </c>
      <c r="AM112" s="503">
        <f>IF(終値!A112="","",IFERROR(4*STDEVP(終値!AP112:BI112)/AVERAGE(終値!AP112:BI112),""))</f>
        <v>0.39457883951109707</v>
      </c>
      <c r="AN112" s="503">
        <f>IF(終値!A112="","",IFERROR(4*STDEVP(終値!AQ112:BJ112)/AVERAGE(終値!AQ112:BJ112),""))</f>
        <v>0.40982475873620733</v>
      </c>
      <c r="AO112" s="503">
        <f>IF(終値!A112="","",IFERROR(4*STDEVP(終値!AR112:BK112)/AVERAGE(終値!AR112:BK112),""))</f>
        <v>0.4193040073799546</v>
      </c>
      <c r="AP112" s="503">
        <f>IF(終値!A112="","",IFERROR(4*STDEVP(終値!AS112:BL112)/AVERAGE(終値!AS112:BL112),""))</f>
        <v>0.42970309850054494</v>
      </c>
    </row>
    <row r="113" spans="1:42">
      <c r="A113" s="500" t="str">
        <f>IF(終値!A113="","",終値!A113)</f>
        <v>9449</v>
      </c>
      <c r="B113" s="503">
        <f>IF(終値!A113="","",IFERROR(4*STDEVP(終値!E113:X113)/AVERAGE(終値!E113:X113),""))</f>
        <v>0.13236184116747066</v>
      </c>
      <c r="C113" s="503">
        <f>IF(終値!A113="","",IFERROR(4*STDEVP(終値!F113:Y113)/AVERAGE(終値!F113:Y113),""))</f>
        <v>0.15205270875446533</v>
      </c>
      <c r="D113" s="503">
        <f>IF(終値!A113="","",IFERROR(4*STDEVP(終値!G113:Z113)/AVERAGE(終値!G113:Z113),""))</f>
        <v>0.16951033388668874</v>
      </c>
      <c r="E113" s="503">
        <f>IF(終値!A113="","",IFERROR(4*STDEVP(終値!H113:AA113)/AVERAGE(終値!H113:AA113),""))</f>
        <v>0.18716797710971633</v>
      </c>
      <c r="F113" s="503">
        <f>IF(終値!A113="","",IFERROR(4*STDEVP(終値!I113:AB113)/AVERAGE(終値!I113:AB113),""))</f>
        <v>0.20712625413105046</v>
      </c>
      <c r="G113" s="503">
        <f>IF(終値!A113="","",IFERROR(4*STDEVP(終値!J113:AC113)/AVERAGE(終値!J113:AC113),""))</f>
        <v>0.23227395491052849</v>
      </c>
      <c r="H113" s="503">
        <f>IF(終値!A113="","",IFERROR(4*STDEVP(終値!K113:AD113)/AVERAGE(終値!K113:AD113),""))</f>
        <v>0.25393619992833949</v>
      </c>
      <c r="I113" s="503">
        <f>IF(終値!A113="","",IFERROR(4*STDEVP(終値!L113:AE113)/AVERAGE(終値!L113:AE113),""))</f>
        <v>0.2586658764151144</v>
      </c>
      <c r="J113" s="503">
        <f>IF(終値!A113="","",IFERROR(4*STDEVP(終値!M113:AF113)/AVERAGE(終値!M113:AF113),""))</f>
        <v>0.27836299197877934</v>
      </c>
      <c r="K113" s="503">
        <f>IF(終値!A113="","",IFERROR(4*STDEVP(終値!N113:AG113)/AVERAGE(終値!N113:AG113),""))</f>
        <v>0.29498404467593858</v>
      </c>
      <c r="L113" s="503">
        <f>IF(終値!A113="","",IFERROR(4*STDEVP(終値!O113:AH113)/AVERAGE(終値!O113:AH113),""))</f>
        <v>0.31162184350701738</v>
      </c>
      <c r="M113" s="503">
        <f>IF(終値!A113="","",IFERROR(4*STDEVP(終値!P113:AI113)/AVERAGE(終値!P113:AI113),""))</f>
        <v>0.32454467709932217</v>
      </c>
      <c r="N113" s="503">
        <f>IF(終値!A113="","",IFERROR(4*STDEVP(終値!Q113:AJ113)/AVERAGE(終値!Q113:AJ113),""))</f>
        <v>0.31881572597316438</v>
      </c>
      <c r="O113" s="503">
        <f>IF(終値!A113="","",IFERROR(4*STDEVP(終値!R113:AK113)/AVERAGE(終値!R113:AK113),""))</f>
        <v>0.33974269774882565</v>
      </c>
      <c r="P113" s="503">
        <f>IF(終値!A113="","",IFERROR(4*STDEVP(終値!S113:AL113)/AVERAGE(終値!S113:AL113),""))</f>
        <v>0.33914393235720919</v>
      </c>
      <c r="Q113" s="503">
        <f>IF(終値!A113="","",IFERROR(4*STDEVP(終値!T113:AM113)/AVERAGE(終値!T113:AM113),""))</f>
        <v>0.33389153897604906</v>
      </c>
      <c r="R113" s="503">
        <f>IF(終値!A113="","",IFERROR(4*STDEVP(終値!U113:AN113)/AVERAGE(終値!U113:AN113),""))</f>
        <v>0.3254424704309577</v>
      </c>
      <c r="S113" s="503">
        <f>IF(終値!A113="","",IFERROR(4*STDEVP(終値!V113:AO113)/AVERAGE(終値!V113:AO113),""))</f>
        <v>0.31513989083238775</v>
      </c>
      <c r="T113" s="503">
        <f>IF(終値!A113="","",IFERROR(4*STDEVP(終値!W113:AP113)/AVERAGE(終値!W113:AP113),""))</f>
        <v>0.29791008012037912</v>
      </c>
      <c r="U113" s="503">
        <f>IF(終値!A113="","",IFERROR(4*STDEVP(終値!X113:AQ113)/AVERAGE(終値!X113:AQ113),""))</f>
        <v>0.27956251562743656</v>
      </c>
      <c r="V113" s="503">
        <f>IF(終値!A113="","",IFERROR(4*STDEVP(終値!Y113:AR113)/AVERAGE(終値!Y113:AR113),""))</f>
        <v>0.24699051955416013</v>
      </c>
      <c r="W113" s="503">
        <f>IF(終値!A113="","",IFERROR(4*STDEVP(終値!Z113:AS113)/AVERAGE(終値!Z113:AS113),""))</f>
        <v>0.22728426106168756</v>
      </c>
      <c r="X113" s="503">
        <f>IF(終値!A113="","",IFERROR(4*STDEVP(終値!AA113:AT113)/AVERAGE(終値!AA113:AT113),""))</f>
        <v>0.20289105810703609</v>
      </c>
      <c r="Y113" s="503">
        <f>IF(終値!A113="","",IFERROR(4*STDEVP(終値!AB113:AU113)/AVERAGE(終値!AB113:AU113),""))</f>
        <v>0.17687162708282408</v>
      </c>
      <c r="Z113" s="503">
        <f>IF(終値!A113="","",IFERROR(4*STDEVP(終値!AC113:AV113)/AVERAGE(終値!AC113:AV113),""))</f>
        <v>0.15721671063950737</v>
      </c>
      <c r="AA113" s="503">
        <f>IF(終値!A113="","",IFERROR(4*STDEVP(終値!AD113:AW113)/AVERAGE(終値!AD113:AW113),""))</f>
        <v>0.15458328198696761</v>
      </c>
      <c r="AB113" s="503">
        <f>IF(終値!A113="","",IFERROR(4*STDEVP(終値!AE113:AX113)/AVERAGE(終値!AE113:AX113),""))</f>
        <v>0.15195631338079488</v>
      </c>
      <c r="AC113" s="503">
        <f>IF(終値!A113="","",IFERROR(4*STDEVP(終値!AF113:AY113)/AVERAGE(終値!AF113:AY113),""))</f>
        <v>0.14551701263334541</v>
      </c>
      <c r="AD113" s="503">
        <f>IF(終値!A113="","",IFERROR(4*STDEVP(終値!AG113:AZ113)/AVERAGE(終値!AG113:AZ113),""))</f>
        <v>0.14776165458439208</v>
      </c>
      <c r="AE113" s="503">
        <f>IF(終値!A113="","",IFERROR(4*STDEVP(終値!AH113:BA113)/AVERAGE(終値!AH113:BA113),""))</f>
        <v>0.1593741601030072</v>
      </c>
      <c r="AF113" s="503">
        <f>IF(終値!A113="","",IFERROR(4*STDEVP(終値!AI113:BB113)/AVERAGE(終値!AI113:BB113),""))</f>
        <v>0.16530531194991266</v>
      </c>
      <c r="AG113" s="503">
        <f>IF(終値!A113="","",IFERROR(4*STDEVP(終値!AJ113:BC113)/AVERAGE(終値!AJ113:BC113),""))</f>
        <v>0.16677275468227276</v>
      </c>
      <c r="AH113" s="503">
        <f>IF(終値!A113="","",IFERROR(4*STDEVP(終値!AK113:BD113)/AVERAGE(終値!AK113:BD113),""))</f>
        <v>0.14450124202440268</v>
      </c>
      <c r="AI113" s="503">
        <f>IF(終値!A113="","",IFERROR(4*STDEVP(終値!AL113:BE113)/AVERAGE(終値!AL113:BE113),""))</f>
        <v>0.1329145435134538</v>
      </c>
      <c r="AJ113" s="503">
        <f>IF(終値!A113="","",IFERROR(4*STDEVP(終値!AM113:BF113)/AVERAGE(終値!AM113:BF113),""))</f>
        <v>0.12966195659831045</v>
      </c>
      <c r="AK113" s="503">
        <f>IF(終値!A113="","",IFERROR(4*STDEVP(終値!AN113:BG113)/AVERAGE(終値!AN113:BG113),""))</f>
        <v>0.13145909631823788</v>
      </c>
      <c r="AL113" s="503">
        <f>IF(終値!A113="","",IFERROR(4*STDEVP(終値!AO113:BH113)/AVERAGE(終値!AO113:BH113),""))</f>
        <v>0.13069947640816987</v>
      </c>
      <c r="AM113" s="503">
        <f>IF(終値!A113="","",IFERROR(4*STDEVP(終値!AP113:BI113)/AVERAGE(終値!AP113:BI113),""))</f>
        <v>0.12581715042566446</v>
      </c>
      <c r="AN113" s="503">
        <f>IF(終値!A113="","",IFERROR(4*STDEVP(終値!AQ113:BJ113)/AVERAGE(終値!AQ113:BJ113),""))</f>
        <v>0.12286072429282854</v>
      </c>
      <c r="AO113" s="503">
        <f>IF(終値!A113="","",IFERROR(4*STDEVP(終値!AR113:BK113)/AVERAGE(終値!AR113:BK113),""))</f>
        <v>0.12190816236662722</v>
      </c>
      <c r="AP113" s="503">
        <f>IF(終値!A113="","",IFERROR(4*STDEVP(終値!AS113:BL113)/AVERAGE(終値!AS113:BL113),""))</f>
        <v>0.1213120336158167</v>
      </c>
    </row>
    <row r="114" spans="1:42">
      <c r="A114" s="500" t="str">
        <f>IF(終値!A114="","",終値!A114)</f>
        <v>9501</v>
      </c>
      <c r="B114" s="503">
        <f>IF(終値!A114="","",IFERROR(4*STDEVP(終値!E114:X114)/AVERAGE(終値!E114:X114),""))</f>
        <v>0.14283806813333919</v>
      </c>
      <c r="C114" s="503">
        <f>IF(終値!A114="","",IFERROR(4*STDEVP(終値!F114:Y114)/AVERAGE(終値!F114:Y114),""))</f>
        <v>0.15952833978339104</v>
      </c>
      <c r="D114" s="503">
        <f>IF(終値!A114="","",IFERROR(4*STDEVP(終値!G114:Z114)/AVERAGE(終値!G114:Z114),""))</f>
        <v>0.17040428353481971</v>
      </c>
      <c r="E114" s="503">
        <f>IF(終値!A114="","",IFERROR(4*STDEVP(終値!H114:AA114)/AVERAGE(終値!H114:AA114),""))</f>
        <v>0.18158820268638479</v>
      </c>
      <c r="F114" s="503">
        <f>IF(終値!A114="","",IFERROR(4*STDEVP(終値!I114:AB114)/AVERAGE(終値!I114:AB114),""))</f>
        <v>0.19319057338286985</v>
      </c>
      <c r="G114" s="503">
        <f>IF(終値!A114="","",IFERROR(4*STDEVP(終値!J114:AC114)/AVERAGE(終値!J114:AC114),""))</f>
        <v>0.20470019363756314</v>
      </c>
      <c r="H114" s="503">
        <f>IF(終値!A114="","",IFERROR(4*STDEVP(終値!K114:AD114)/AVERAGE(終値!K114:AD114),""))</f>
        <v>0.20738668321772219</v>
      </c>
      <c r="I114" s="503">
        <f>IF(終値!A114="","",IFERROR(4*STDEVP(終値!L114:AE114)/AVERAGE(終値!L114:AE114),""))</f>
        <v>0.20049235112461727</v>
      </c>
      <c r="J114" s="503">
        <f>IF(終値!A114="","",IFERROR(4*STDEVP(終値!M114:AF114)/AVERAGE(終値!M114:AF114),""))</f>
        <v>0.19858832000773421</v>
      </c>
      <c r="K114" s="503">
        <f>IF(終値!A114="","",IFERROR(4*STDEVP(終値!N114:AG114)/AVERAGE(終値!N114:AG114),""))</f>
        <v>0.17415528392475987</v>
      </c>
      <c r="L114" s="503">
        <f>IF(終値!A114="","",IFERROR(4*STDEVP(終値!O114:AH114)/AVERAGE(終値!O114:AH114),""))</f>
        <v>0.16358412260092106</v>
      </c>
      <c r="M114" s="503">
        <f>IF(終値!A114="","",IFERROR(4*STDEVP(終値!P114:AI114)/AVERAGE(終値!P114:AI114),""))</f>
        <v>0.14970285747363127</v>
      </c>
      <c r="N114" s="503">
        <f>IF(終値!A114="","",IFERROR(4*STDEVP(終値!Q114:AJ114)/AVERAGE(終値!Q114:AJ114),""))</f>
        <v>0.14075109570409325</v>
      </c>
      <c r="O114" s="503">
        <f>IF(終値!A114="","",IFERROR(4*STDEVP(終値!R114:AK114)/AVERAGE(終値!R114:AK114),""))</f>
        <v>0.14874785711143357</v>
      </c>
      <c r="P114" s="503">
        <f>IF(終値!A114="","",IFERROR(4*STDEVP(終値!S114:AL114)/AVERAGE(終値!S114:AL114),""))</f>
        <v>0.15137966544127521</v>
      </c>
      <c r="Q114" s="503">
        <f>IF(終値!A114="","",IFERROR(4*STDEVP(終値!T114:AM114)/AVERAGE(終値!T114:AM114),""))</f>
        <v>0.1509580582877951</v>
      </c>
      <c r="R114" s="503">
        <f>IF(終値!A114="","",IFERROR(4*STDEVP(終値!U114:AN114)/AVERAGE(終値!U114:AN114),""))</f>
        <v>0.158012950834304</v>
      </c>
      <c r="S114" s="503">
        <f>IF(終値!A114="","",IFERROR(4*STDEVP(終値!V114:AO114)/AVERAGE(終値!V114:AO114),""))</f>
        <v>0.18451502422737043</v>
      </c>
      <c r="T114" s="503">
        <f>IF(終値!A114="","",IFERROR(4*STDEVP(終値!W114:AP114)/AVERAGE(終値!W114:AP114),""))</f>
        <v>0.19132787803842488</v>
      </c>
      <c r="U114" s="503">
        <f>IF(終値!A114="","",IFERROR(4*STDEVP(終値!X114:AQ114)/AVERAGE(終値!X114:AQ114),""))</f>
        <v>0.19238372678086693</v>
      </c>
      <c r="V114" s="503">
        <f>IF(終値!A114="","",IFERROR(4*STDEVP(終値!Y114:AR114)/AVERAGE(終値!Y114:AR114),""))</f>
        <v>0.19894289423236661</v>
      </c>
      <c r="W114" s="503">
        <f>IF(終値!A114="","",IFERROR(4*STDEVP(終値!Z114:AS114)/AVERAGE(終値!Z114:AS114),""))</f>
        <v>0.21293275907797959</v>
      </c>
      <c r="X114" s="503">
        <f>IF(終値!A114="","",IFERROR(4*STDEVP(終値!AA114:AT114)/AVERAGE(終値!AA114:AT114),""))</f>
        <v>0.22021751684206772</v>
      </c>
      <c r="Y114" s="503">
        <f>IF(終値!A114="","",IFERROR(4*STDEVP(終値!AB114:AU114)/AVERAGE(終値!AB114:AU114),""))</f>
        <v>0.23001503043444302</v>
      </c>
      <c r="Z114" s="503">
        <f>IF(終値!A114="","",IFERROR(4*STDEVP(終値!AC114:AV114)/AVERAGE(終値!AC114:AV114),""))</f>
        <v>0.25452014629952613</v>
      </c>
      <c r="AA114" s="503">
        <f>IF(終値!A114="","",IFERROR(4*STDEVP(終値!AD114:AW114)/AVERAGE(終値!AD114:AW114),""))</f>
        <v>0.25782856710430613</v>
      </c>
      <c r="AB114" s="503">
        <f>IF(終値!A114="","",IFERROR(4*STDEVP(終値!AE114:AX114)/AVERAGE(終値!AE114:AX114),""))</f>
        <v>0.26118773284587998</v>
      </c>
      <c r="AC114" s="503">
        <f>IF(終値!A114="","",IFERROR(4*STDEVP(終値!AF114:AY114)/AVERAGE(終値!AF114:AY114),""))</f>
        <v>0.25491118027037191</v>
      </c>
      <c r="AD114" s="503">
        <f>IF(終値!A114="","",IFERROR(4*STDEVP(終値!AG114:AZ114)/AVERAGE(終値!AG114:AZ114),""))</f>
        <v>0.24671107502797412</v>
      </c>
      <c r="AE114" s="503">
        <f>IF(終値!A114="","",IFERROR(4*STDEVP(終値!AH114:BA114)/AVERAGE(終値!AH114:BA114),""))</f>
        <v>0.24548019696974485</v>
      </c>
      <c r="AF114" s="503">
        <f>IF(終値!A114="","",IFERROR(4*STDEVP(終値!AI114:BB114)/AVERAGE(終値!AI114:BB114),""))</f>
        <v>0.22687263784908918</v>
      </c>
      <c r="AG114" s="503">
        <f>IF(終値!A114="","",IFERROR(4*STDEVP(終値!AJ114:BC114)/AVERAGE(終値!AJ114:BC114),""))</f>
        <v>0.20501517875659689</v>
      </c>
      <c r="AH114" s="503">
        <f>IF(終値!A114="","",IFERROR(4*STDEVP(終値!AK114:BD114)/AVERAGE(終値!AK114:BD114),""))</f>
        <v>0.1804243006084395</v>
      </c>
      <c r="AI114" s="503">
        <f>IF(終値!A114="","",IFERROR(4*STDEVP(終値!AL114:BE114)/AVERAGE(終値!AL114:BE114),""))</f>
        <v>0.18760170601162754</v>
      </c>
      <c r="AJ114" s="503">
        <f>IF(終値!A114="","",IFERROR(4*STDEVP(終値!AM114:BF114)/AVERAGE(終値!AM114:BF114),""))</f>
        <v>0.18145070839263883</v>
      </c>
      <c r="AK114" s="503">
        <f>IF(終値!A114="","",IFERROR(4*STDEVP(終値!AN114:BG114)/AVERAGE(終値!AN114:BG114),""))</f>
        <v>0.18644716569478634</v>
      </c>
      <c r="AL114" s="503">
        <f>IF(終値!A114="","",IFERROR(4*STDEVP(終値!AO114:BH114)/AVERAGE(終値!AO114:BH114),""))</f>
        <v>0.19986859493191775</v>
      </c>
      <c r="AM114" s="503">
        <f>IF(終値!A114="","",IFERROR(4*STDEVP(終値!AP114:BI114)/AVERAGE(終値!AP114:BI114),""))</f>
        <v>0.21646833410449601</v>
      </c>
      <c r="AN114" s="503">
        <f>IF(終値!A114="","",IFERROR(4*STDEVP(終値!AQ114:BJ114)/AVERAGE(終値!AQ114:BJ114),""))</f>
        <v>0.24056079790554455</v>
      </c>
      <c r="AO114" s="503">
        <f>IF(終値!A114="","",IFERROR(4*STDEVP(終値!AR114:BK114)/AVERAGE(終値!AR114:BK114),""))</f>
        <v>0.24691038244455329</v>
      </c>
      <c r="AP114" s="503">
        <f>IF(終値!A114="","",IFERROR(4*STDEVP(終値!AS114:BL114)/AVERAGE(終値!AS114:BL114),""))</f>
        <v>0.24279325416937636</v>
      </c>
    </row>
    <row r="115" spans="1:42">
      <c r="A115" s="500" t="str">
        <f>IF(終値!A115="","",終値!A115)</f>
        <v>9531</v>
      </c>
      <c r="B115" s="503">
        <f>IF(終値!A115="","",IFERROR(4*STDEVP(終値!E115:X115)/AVERAGE(終値!E115:X115),""))</f>
        <v>7.4519420201296274E-2</v>
      </c>
      <c r="C115" s="503">
        <f>IF(終値!A115="","",IFERROR(4*STDEVP(終値!F115:Y115)/AVERAGE(終値!F115:Y115),""))</f>
        <v>7.0912736182547717E-2</v>
      </c>
      <c r="D115" s="503">
        <f>IF(終値!A115="","",IFERROR(4*STDEVP(終値!G115:Z115)/AVERAGE(終値!G115:Z115),""))</f>
        <v>6.4990132125912842E-2</v>
      </c>
      <c r="E115" s="503">
        <f>IF(終値!A115="","",IFERROR(4*STDEVP(終値!H115:AA115)/AVERAGE(終値!H115:AA115),""))</f>
        <v>6.5023023583973216E-2</v>
      </c>
      <c r="F115" s="503">
        <f>IF(終値!A115="","",IFERROR(4*STDEVP(終値!I115:AB115)/AVERAGE(終値!I115:AB115),""))</f>
        <v>6.7291143335022952E-2</v>
      </c>
      <c r="G115" s="503">
        <f>IF(終値!A115="","",IFERROR(4*STDEVP(終値!J115:AC115)/AVERAGE(終値!J115:AC115),""))</f>
        <v>6.8799237127048635E-2</v>
      </c>
      <c r="H115" s="503">
        <f>IF(終値!A115="","",IFERROR(4*STDEVP(終値!K115:AD115)/AVERAGE(終値!K115:AD115),""))</f>
        <v>6.5276118945946787E-2</v>
      </c>
      <c r="I115" s="503">
        <f>IF(終値!A115="","",IFERROR(4*STDEVP(終値!L115:AE115)/AVERAGE(終値!L115:AE115),""))</f>
        <v>6.0097467213034036E-2</v>
      </c>
      <c r="J115" s="503">
        <f>IF(終値!A115="","",IFERROR(4*STDEVP(終値!M115:AF115)/AVERAGE(終値!M115:AF115),""))</f>
        <v>5.6808840785040976E-2</v>
      </c>
      <c r="K115" s="503">
        <f>IF(終値!A115="","",IFERROR(4*STDEVP(終値!N115:AG115)/AVERAGE(終値!N115:AG115),""))</f>
        <v>5.037355352241029E-2</v>
      </c>
      <c r="L115" s="503">
        <f>IF(終値!A115="","",IFERROR(4*STDEVP(終値!O115:AH115)/AVERAGE(終値!O115:AH115),""))</f>
        <v>4.6015131936438629E-2</v>
      </c>
      <c r="M115" s="503">
        <f>IF(終値!A115="","",IFERROR(4*STDEVP(終値!P115:AI115)/AVERAGE(終値!P115:AI115),""))</f>
        <v>4.5302830805037893E-2</v>
      </c>
      <c r="N115" s="503">
        <f>IF(終値!A115="","",IFERROR(4*STDEVP(終値!Q115:AJ115)/AVERAGE(終値!Q115:AJ115),""))</f>
        <v>4.8007298961601386E-2</v>
      </c>
      <c r="O115" s="503">
        <f>IF(終値!A115="","",IFERROR(4*STDEVP(終値!R115:AK115)/AVERAGE(終値!R115:AK115),""))</f>
        <v>4.9544654301257866E-2</v>
      </c>
      <c r="P115" s="503">
        <f>IF(終値!A115="","",IFERROR(4*STDEVP(終値!S115:AL115)/AVERAGE(終値!S115:AL115),""))</f>
        <v>5.1131020327584542E-2</v>
      </c>
      <c r="Q115" s="503">
        <f>IF(終値!A115="","",IFERROR(4*STDEVP(終値!T115:AM115)/AVERAGE(終値!T115:AM115),""))</f>
        <v>5.1770558711027426E-2</v>
      </c>
      <c r="R115" s="503">
        <f>IF(終値!A115="","",IFERROR(4*STDEVP(終値!U115:AN115)/AVERAGE(終値!U115:AN115),""))</f>
        <v>5.3927996055251351E-2</v>
      </c>
      <c r="S115" s="503">
        <f>IF(終値!A115="","",IFERROR(4*STDEVP(終値!V115:AO115)/AVERAGE(終値!V115:AO115),""))</f>
        <v>4.9547541081567115E-2</v>
      </c>
      <c r="T115" s="503">
        <f>IF(終値!A115="","",IFERROR(4*STDEVP(終値!W115:AP115)/AVERAGE(終値!W115:AP115),""))</f>
        <v>5.0198296106927817E-2</v>
      </c>
      <c r="U115" s="503">
        <f>IF(終値!A115="","",IFERROR(4*STDEVP(終値!X115:AQ115)/AVERAGE(終値!X115:AQ115),""))</f>
        <v>6.1323488995677571E-2</v>
      </c>
      <c r="V115" s="503">
        <f>IF(終値!A115="","",IFERROR(4*STDEVP(終値!Y115:AR115)/AVERAGE(終値!Y115:AR115),""))</f>
        <v>6.4881380831176824E-2</v>
      </c>
      <c r="W115" s="503">
        <f>IF(終値!A115="","",IFERROR(4*STDEVP(終値!Z115:AS115)/AVERAGE(終値!Z115:AS115),""))</f>
        <v>6.78004081070257E-2</v>
      </c>
      <c r="X115" s="503">
        <f>IF(終値!A115="","",IFERROR(4*STDEVP(終値!AA115:AT115)/AVERAGE(終値!AA115:AT115),""))</f>
        <v>6.7800165504420792E-2</v>
      </c>
      <c r="Y115" s="503">
        <f>IF(終値!A115="","",IFERROR(4*STDEVP(終値!AB115:AU115)/AVERAGE(終値!AB115:AU115),""))</f>
        <v>6.4904135670244806E-2</v>
      </c>
      <c r="Z115" s="503">
        <f>IF(終値!A115="","",IFERROR(4*STDEVP(終値!AC115:AV115)/AVERAGE(終値!AC115:AV115),""))</f>
        <v>6.1024662863194107E-2</v>
      </c>
      <c r="AA115" s="503">
        <f>IF(終値!A115="","",IFERROR(4*STDEVP(終値!AD115:AW115)/AVERAGE(終値!AD115:AW115),""))</f>
        <v>5.2568989143298141E-2</v>
      </c>
      <c r="AB115" s="503">
        <f>IF(終値!A115="","",IFERROR(4*STDEVP(終値!AE115:AX115)/AVERAGE(終値!AE115:AX115),""))</f>
        <v>5.6097835808935612E-2</v>
      </c>
      <c r="AC115" s="503">
        <f>IF(終値!A115="","",IFERROR(4*STDEVP(終値!AF115:AY115)/AVERAGE(終値!AF115:AY115),""))</f>
        <v>5.6285486939063788E-2</v>
      </c>
      <c r="AD115" s="503">
        <f>IF(終値!A115="","",IFERROR(4*STDEVP(終値!AG115:AZ115)/AVERAGE(終値!AG115:AZ115),""))</f>
        <v>6.2987195231184137E-2</v>
      </c>
      <c r="AE115" s="503">
        <f>IF(終値!A115="","",IFERROR(4*STDEVP(終値!AH115:BA115)/AVERAGE(終値!AH115:BA115),""))</f>
        <v>6.25806697389832E-2</v>
      </c>
      <c r="AF115" s="503">
        <f>IF(終値!A115="","",IFERROR(4*STDEVP(終値!AI115:BB115)/AVERAGE(終値!AI115:BB115),""))</f>
        <v>6.7843621327984716E-2</v>
      </c>
      <c r="AG115" s="503">
        <f>IF(終値!A115="","",IFERROR(4*STDEVP(終値!AJ115:BC115)/AVERAGE(終値!AJ115:BC115),""))</f>
        <v>8.1579662392931449E-2</v>
      </c>
      <c r="AH115" s="503">
        <f>IF(終値!A115="","",IFERROR(4*STDEVP(終値!AK115:BD115)/AVERAGE(終値!AK115:BD115),""))</f>
        <v>9.1624681268103192E-2</v>
      </c>
      <c r="AI115" s="503">
        <f>IF(終値!A115="","",IFERROR(4*STDEVP(終値!AL115:BE115)/AVERAGE(終値!AL115:BE115),""))</f>
        <v>0.10136667427846849</v>
      </c>
      <c r="AJ115" s="503">
        <f>IF(終値!A115="","",IFERROR(4*STDEVP(終値!AM115:BF115)/AVERAGE(終値!AM115:BF115),""))</f>
        <v>0.10125932383323381</v>
      </c>
      <c r="AK115" s="503">
        <f>IF(終値!A115="","",IFERROR(4*STDEVP(終値!AN115:BG115)/AVERAGE(終値!AN115:BG115),""))</f>
        <v>0.10572730719269335</v>
      </c>
      <c r="AL115" s="503">
        <f>IF(終値!A115="","",IFERROR(4*STDEVP(終値!AO115:BH115)/AVERAGE(終値!AO115:BH115),""))</f>
        <v>0.10604498512288418</v>
      </c>
      <c r="AM115" s="503">
        <f>IF(終値!A115="","",IFERROR(4*STDEVP(終値!AP115:BI115)/AVERAGE(終値!AP115:BI115),""))</f>
        <v>0.10576653091595319</v>
      </c>
      <c r="AN115" s="503">
        <f>IF(終値!A115="","",IFERROR(4*STDEVP(終値!AQ115:BJ115)/AVERAGE(終値!AQ115:BJ115),""))</f>
        <v>0.10776030942338533</v>
      </c>
      <c r="AO115" s="503">
        <f>IF(終値!A115="","",IFERROR(4*STDEVP(終値!AR115:BK115)/AVERAGE(終値!AR115:BK115),""))</f>
        <v>0.11352796965753226</v>
      </c>
      <c r="AP115" s="503">
        <f>IF(終値!A115="","",IFERROR(4*STDEVP(終値!AS115:BL115)/AVERAGE(終値!AS115:BL115),""))</f>
        <v>0.11161357724283959</v>
      </c>
    </row>
    <row r="116" spans="1:42">
      <c r="A116" s="500" t="str">
        <f>IF(終値!A116="","",終値!A116)</f>
        <v>9882</v>
      </c>
      <c r="B116" s="503">
        <f>IF(終値!A116="","",IFERROR(4*STDEVP(終値!E116:X116)/AVERAGE(終値!E116:X116),""))</f>
        <v>9.9013529767630948E-2</v>
      </c>
      <c r="C116" s="503">
        <f>IF(終値!A116="","",IFERROR(4*STDEVP(終値!F116:Y116)/AVERAGE(終値!F116:Y116),""))</f>
        <v>9.2697157270106217E-2</v>
      </c>
      <c r="D116" s="503">
        <f>IF(終値!A116="","",IFERROR(4*STDEVP(終値!G116:Z116)/AVERAGE(終値!G116:Z116),""))</f>
        <v>7.8823573669375507E-2</v>
      </c>
      <c r="E116" s="503">
        <f>IF(終値!A116="","",IFERROR(4*STDEVP(終値!H116:AA116)/AVERAGE(終値!H116:AA116),""))</f>
        <v>6.5349391751451616E-2</v>
      </c>
      <c r="F116" s="503">
        <f>IF(終値!A116="","",IFERROR(4*STDEVP(終値!I116:AB116)/AVERAGE(終値!I116:AB116),""))</f>
        <v>6.0455525796246239E-2</v>
      </c>
      <c r="G116" s="503">
        <f>IF(終値!A116="","",IFERROR(4*STDEVP(終値!J116:AC116)/AVERAGE(終値!J116:AC116),""))</f>
        <v>7.1089355960731349E-2</v>
      </c>
      <c r="H116" s="503">
        <f>IF(終値!A116="","",IFERROR(4*STDEVP(終値!K116:AD116)/AVERAGE(終値!K116:AD116),""))</f>
        <v>7.0357070571898717E-2</v>
      </c>
      <c r="I116" s="503">
        <f>IF(終値!A116="","",IFERROR(4*STDEVP(終値!L116:AE116)/AVERAGE(終値!L116:AE116),""))</f>
        <v>6.274371238027325E-2</v>
      </c>
      <c r="J116" s="503">
        <f>IF(終値!A116="","",IFERROR(4*STDEVP(終値!M116:AF116)/AVERAGE(終値!M116:AF116),""))</f>
        <v>6.2320763866295391E-2</v>
      </c>
      <c r="K116" s="503">
        <f>IF(終値!A116="","",IFERROR(4*STDEVP(終値!N116:AG116)/AVERAGE(終値!N116:AG116),""))</f>
        <v>6.3099558515904902E-2</v>
      </c>
      <c r="L116" s="503">
        <f>IF(終値!A116="","",IFERROR(4*STDEVP(終値!O116:AH116)/AVERAGE(終値!O116:AH116),""))</f>
        <v>6.7211662164970959E-2</v>
      </c>
      <c r="M116" s="503">
        <f>IF(終値!A116="","",IFERROR(4*STDEVP(終値!P116:AI116)/AVERAGE(終値!P116:AI116),""))</f>
        <v>7.1521052133848378E-2</v>
      </c>
      <c r="N116" s="503">
        <f>IF(終値!A116="","",IFERROR(4*STDEVP(終値!Q116:AJ116)/AVERAGE(終値!Q116:AJ116),""))</f>
        <v>7.4082225606626917E-2</v>
      </c>
      <c r="O116" s="503">
        <f>IF(終値!A116="","",IFERROR(4*STDEVP(終値!R116:AK116)/AVERAGE(終値!R116:AK116),""))</f>
        <v>7.241419533286389E-2</v>
      </c>
      <c r="P116" s="503">
        <f>IF(終値!A116="","",IFERROR(4*STDEVP(終値!S116:AL116)/AVERAGE(終値!S116:AL116),""))</f>
        <v>7.3301921409809345E-2</v>
      </c>
      <c r="Q116" s="503">
        <f>IF(終値!A116="","",IFERROR(4*STDEVP(終値!T116:AM116)/AVERAGE(終値!T116:AM116),""))</f>
        <v>7.5519096633526808E-2</v>
      </c>
      <c r="R116" s="503">
        <f>IF(終値!A116="","",IFERROR(4*STDEVP(終値!U116:AN116)/AVERAGE(終値!U116:AN116),""))</f>
        <v>7.5241313753924011E-2</v>
      </c>
      <c r="S116" s="503">
        <f>IF(終値!A116="","",IFERROR(4*STDEVP(終値!V116:AO116)/AVERAGE(終値!V116:AO116),""))</f>
        <v>7.5924411832595323E-2</v>
      </c>
      <c r="T116" s="503">
        <f>IF(終値!A116="","",IFERROR(4*STDEVP(終値!W116:AP116)/AVERAGE(終値!W116:AP116),""))</f>
        <v>7.4237798953032008E-2</v>
      </c>
      <c r="U116" s="503">
        <f>IF(終値!A116="","",IFERROR(4*STDEVP(終値!X116:AQ116)/AVERAGE(終値!X116:AQ116),""))</f>
        <v>7.0360268332022774E-2</v>
      </c>
      <c r="V116" s="503">
        <f>IF(終値!A116="","",IFERROR(4*STDEVP(終値!Y116:AR116)/AVERAGE(終値!Y116:AR116),""))</f>
        <v>5.9779258154321224E-2</v>
      </c>
      <c r="W116" s="503">
        <f>IF(終値!A116="","",IFERROR(4*STDEVP(終値!Z116:AS116)/AVERAGE(終値!Z116:AS116),""))</f>
        <v>6.4734953210417903E-2</v>
      </c>
      <c r="X116" s="503">
        <f>IF(終値!A116="","",IFERROR(4*STDEVP(終値!AA116:AT116)/AVERAGE(終値!AA116:AT116),""))</f>
        <v>6.813387231991197E-2</v>
      </c>
      <c r="Y116" s="503">
        <f>IF(終値!A116="","",IFERROR(4*STDEVP(終値!AB116:AU116)/AVERAGE(終値!AB116:AU116),""))</f>
        <v>7.8593671294301476E-2</v>
      </c>
      <c r="Z116" s="503">
        <f>IF(終値!A116="","",IFERROR(4*STDEVP(終値!AC116:AV116)/AVERAGE(終値!AC116:AV116),""))</f>
        <v>8.0574414958976326E-2</v>
      </c>
      <c r="AA116" s="503">
        <f>IF(終値!A116="","",IFERROR(4*STDEVP(終値!AD116:AW116)/AVERAGE(終値!AD116:AW116),""))</f>
        <v>9.4217188063643653E-2</v>
      </c>
      <c r="AB116" s="503">
        <f>IF(終値!A116="","",IFERROR(4*STDEVP(終値!AE116:AX116)/AVERAGE(終値!AE116:AX116),""))</f>
        <v>9.9043266868606539E-2</v>
      </c>
      <c r="AC116" s="503">
        <f>IF(終値!A116="","",IFERROR(4*STDEVP(終値!AF116:AY116)/AVERAGE(終値!AF116:AY116),""))</f>
        <v>0.10608711292705911</v>
      </c>
      <c r="AD116" s="503">
        <f>IF(終値!A116="","",IFERROR(4*STDEVP(終値!AG116:AZ116)/AVERAGE(終値!AG116:AZ116),""))</f>
        <v>0.11194952061433605</v>
      </c>
      <c r="AE116" s="503">
        <f>IF(終値!A116="","",IFERROR(4*STDEVP(終値!AH116:BA116)/AVERAGE(終値!AH116:BA116),""))</f>
        <v>0.11705911908339493</v>
      </c>
      <c r="AF116" s="503">
        <f>IF(終値!A116="","",IFERROR(4*STDEVP(終値!AI116:BB116)/AVERAGE(終値!AI116:BB116),""))</f>
        <v>0.11925962902769241</v>
      </c>
      <c r="AG116" s="503">
        <f>IF(終値!A116="","",IFERROR(4*STDEVP(終値!AJ116:BC116)/AVERAGE(終値!AJ116:BC116),""))</f>
        <v>0.12021013489005355</v>
      </c>
      <c r="AH116" s="503">
        <f>IF(終値!A116="","",IFERROR(4*STDEVP(終値!AK116:BD116)/AVERAGE(終値!AK116:BD116),""))</f>
        <v>0.12002986147529576</v>
      </c>
      <c r="AI116" s="503">
        <f>IF(終値!A116="","",IFERROR(4*STDEVP(終値!AL116:BE116)/AVERAGE(終値!AL116:BE116),""))</f>
        <v>0.11150321903401969</v>
      </c>
      <c r="AJ116" s="503">
        <f>IF(終値!A116="","",IFERROR(4*STDEVP(終値!AM116:BF116)/AVERAGE(終値!AM116:BF116),""))</f>
        <v>0.10787587338013792</v>
      </c>
      <c r="AK116" s="503">
        <f>IF(終値!A116="","",IFERROR(4*STDEVP(終値!AN116:BG116)/AVERAGE(終値!AN116:BG116),""))</f>
        <v>0.10233769374739406</v>
      </c>
      <c r="AL116" s="503">
        <f>IF(終値!A116="","",IFERROR(4*STDEVP(終値!AO116:BH116)/AVERAGE(終値!AO116:BH116),""))</f>
        <v>9.8413096889280016E-2</v>
      </c>
      <c r="AM116" s="503">
        <f>IF(終値!A116="","",IFERROR(4*STDEVP(終値!AP116:BI116)/AVERAGE(終値!AP116:BI116),""))</f>
        <v>9.1261933644212534E-2</v>
      </c>
      <c r="AN116" s="503">
        <f>IF(終値!A116="","",IFERROR(4*STDEVP(終値!AQ116:BJ116)/AVERAGE(終値!AQ116:BJ116),""))</f>
        <v>7.8917510819840844E-2</v>
      </c>
      <c r="AO116" s="503">
        <f>IF(終値!A116="","",IFERROR(4*STDEVP(終値!AR116:BK116)/AVERAGE(終値!AR116:BK116),""))</f>
        <v>6.4329954620014368E-2</v>
      </c>
      <c r="AP116" s="503">
        <f>IF(終値!A116="","",IFERROR(4*STDEVP(終値!AS116:BL116)/AVERAGE(終値!AS116:BL116),""))</f>
        <v>9.0990212455935512E-2</v>
      </c>
    </row>
    <row r="117" spans="1:42">
      <c r="A117" s="500" t="str">
        <f>IF(終値!A117="","",終値!A117)</f>
        <v>5838</v>
      </c>
      <c r="B117" s="503">
        <f>IF(終値!A117="","",IFERROR(4*STDEVP(終値!E117:X117)/AVERAGE(終値!E117:X117),""))</f>
        <v>0.12596447768959579</v>
      </c>
      <c r="C117" s="503">
        <f>IF(終値!A117="","",IFERROR(4*STDEVP(終値!F117:Y117)/AVERAGE(終値!F117:Y117),""))</f>
        <v>0.12648851943858194</v>
      </c>
      <c r="D117" s="503">
        <f>IF(終値!A117="","",IFERROR(4*STDEVP(終値!G117:Z117)/AVERAGE(終値!G117:Z117),""))</f>
        <v>0.12840692635916087</v>
      </c>
      <c r="E117" s="503">
        <f>IF(終値!A117="","",IFERROR(4*STDEVP(終値!H117:AA117)/AVERAGE(終値!H117:AA117),""))</f>
        <v>0.12875964476313159</v>
      </c>
      <c r="F117" s="503">
        <f>IF(終値!A117="","",IFERROR(4*STDEVP(終値!I117:AB117)/AVERAGE(終値!I117:AB117),""))</f>
        <v>0.1275759174529815</v>
      </c>
      <c r="G117" s="503">
        <f>IF(終値!A117="","",IFERROR(4*STDEVP(終値!J117:AC117)/AVERAGE(終値!J117:AC117),""))</f>
        <v>0.14459081548233699</v>
      </c>
      <c r="H117" s="503">
        <f>IF(終値!A117="","",IFERROR(4*STDEVP(終値!K117:AD117)/AVERAGE(終値!K117:AD117),""))</f>
        <v>0.15209880550952126</v>
      </c>
      <c r="I117" s="503">
        <f>IF(終値!A117="","",IFERROR(4*STDEVP(終値!L117:AE117)/AVERAGE(終値!L117:AE117),""))</f>
        <v>0.16695901241663852</v>
      </c>
      <c r="J117" s="503">
        <f>IF(終値!A117="","",IFERROR(4*STDEVP(終値!M117:AF117)/AVERAGE(終値!M117:AF117),""))</f>
        <v>0.18352973417714563</v>
      </c>
      <c r="K117" s="503">
        <f>IF(終値!A117="","",IFERROR(4*STDEVP(終値!N117:AG117)/AVERAGE(終値!N117:AG117),""))</f>
        <v>0.19795272500676545</v>
      </c>
      <c r="L117" s="503">
        <f>IF(終値!A117="","",IFERROR(4*STDEVP(終値!O117:AH117)/AVERAGE(終値!O117:AH117),""))</f>
        <v>0.21060328535761624</v>
      </c>
      <c r="M117" s="503">
        <f>IF(終値!A117="","",IFERROR(4*STDEVP(終値!P117:AI117)/AVERAGE(終値!P117:AI117),""))</f>
        <v>0.21562300609858859</v>
      </c>
      <c r="N117" s="503">
        <f>IF(終値!A117="","",IFERROR(4*STDEVP(終値!Q117:AJ117)/AVERAGE(終値!Q117:AJ117),""))</f>
        <v>0.22321009601659492</v>
      </c>
      <c r="O117" s="503">
        <f>IF(終値!A117="","",IFERROR(4*STDEVP(終値!R117:AK117)/AVERAGE(終値!R117:AK117),""))</f>
        <v>0.22715369004555205</v>
      </c>
      <c r="P117" s="503">
        <f>IF(終値!A117="","",IFERROR(4*STDEVP(終値!S117:AL117)/AVERAGE(終値!S117:AL117),""))</f>
        <v>0.22603626757017334</v>
      </c>
      <c r="Q117" s="503">
        <f>IF(終値!A117="","",IFERROR(4*STDEVP(終値!T117:AM117)/AVERAGE(終値!T117:AM117),""))</f>
        <v>0.22245256012277007</v>
      </c>
      <c r="R117" s="503">
        <f>IF(終値!A117="","",IFERROR(4*STDEVP(終値!U117:AN117)/AVERAGE(終値!U117:AN117),""))</f>
        <v>0.20897750977175306</v>
      </c>
      <c r="S117" s="503">
        <f>IF(終値!A117="","",IFERROR(4*STDEVP(終値!V117:AO117)/AVERAGE(終値!V117:AO117),""))</f>
        <v>0.19325674542718649</v>
      </c>
      <c r="T117" s="503">
        <f>IF(終値!A117="","",IFERROR(4*STDEVP(終値!W117:AP117)/AVERAGE(終値!W117:AP117),""))</f>
        <v>0.17654687612761094</v>
      </c>
      <c r="U117" s="503">
        <f>IF(終値!A117="","",IFERROR(4*STDEVP(終値!X117:AQ117)/AVERAGE(終値!X117:AQ117),""))</f>
        <v>0.15912862737419917</v>
      </c>
      <c r="V117" s="503">
        <f>IF(終値!A117="","",IFERROR(4*STDEVP(終値!Y117:AR117)/AVERAGE(終値!Y117:AR117),""))</f>
        <v>0.14435521721839681</v>
      </c>
      <c r="W117" s="503">
        <f>IF(終値!A117="","",IFERROR(4*STDEVP(終値!Z117:AS117)/AVERAGE(終値!Z117:AS117),""))</f>
        <v>0.12645472464022361</v>
      </c>
      <c r="X117" s="503">
        <f>IF(終値!A117="","",IFERROR(4*STDEVP(終値!AA117:AT117)/AVERAGE(終値!AA117:AT117),""))</f>
        <v>0.11866692672064688</v>
      </c>
      <c r="Y117" s="503">
        <f>IF(終値!A117="","",IFERROR(4*STDEVP(終値!AB117:AU117)/AVERAGE(終値!AB117:AU117),""))</f>
        <v>0.10953687830889143</v>
      </c>
      <c r="Z117" s="503">
        <f>IF(終値!A117="","",IFERROR(4*STDEVP(終値!AC117:AV117)/AVERAGE(終値!AC117:AV117),""))</f>
        <v>0.10486698374373114</v>
      </c>
      <c r="AA117" s="503">
        <f>IF(終値!A117="","",IFERROR(4*STDEVP(終値!AD117:AW117)/AVERAGE(終値!AD117:AW117),""))</f>
        <v>0.13559195234719243</v>
      </c>
      <c r="AB117" s="503">
        <f>IF(終値!A117="","",IFERROR(4*STDEVP(終値!AE117:AX117)/AVERAGE(終値!AE117:AX117),""))</f>
        <v>0.14891309703737507</v>
      </c>
      <c r="AC117" s="503">
        <f>IF(終値!A117="","",IFERROR(4*STDEVP(終値!AF117:AY117)/AVERAGE(終値!AF117:AY117),""))</f>
        <v>0.15292348465456287</v>
      </c>
      <c r="AD117" s="503">
        <f>IF(終値!A117="","",IFERROR(4*STDEVP(終値!AG117:AZ117)/AVERAGE(終値!AG117:AZ117),""))</f>
        <v>0.1567022133091017</v>
      </c>
      <c r="AE117" s="503">
        <f>IF(終値!A117="","",IFERROR(4*STDEVP(終値!AH117:BA117)/AVERAGE(終値!AH117:BA117),""))</f>
        <v>0.15783210686867516</v>
      </c>
      <c r="AF117" s="503">
        <f>IF(終値!A117="","",IFERROR(4*STDEVP(終値!AI117:BB117)/AVERAGE(終値!AI117:BB117),""))</f>
        <v>0.15987470562531342</v>
      </c>
      <c r="AG117" s="503">
        <f>IF(終値!A117="","",IFERROR(4*STDEVP(終値!AJ117:BC117)/AVERAGE(終値!AJ117:BC117),""))</f>
        <v>0.18167110962021396</v>
      </c>
      <c r="AH117" s="503">
        <f>IF(終値!A117="","",IFERROR(4*STDEVP(終値!AK117:BD117)/AVERAGE(終値!AK117:BD117),""))</f>
        <v>0.31118462644599965</v>
      </c>
      <c r="AI117" s="503">
        <f>IF(終値!A117="","",IFERROR(4*STDEVP(終値!AL117:BE117)/AVERAGE(終値!AL117:BE117),""))</f>
        <v>0.41958263515309135</v>
      </c>
      <c r="AJ117" s="503">
        <f>IF(終値!A117="","",IFERROR(4*STDEVP(終値!AM117:BF117)/AVERAGE(終値!AM117:BF117),""))</f>
        <v>0.47956695967596408</v>
      </c>
      <c r="AK117" s="503">
        <f>IF(終値!A117="","",IFERROR(4*STDEVP(終値!AN117:BG117)/AVERAGE(終値!AN117:BG117),""))</f>
        <v>0.49274051566119559</v>
      </c>
      <c r="AL117" s="503">
        <f>IF(終値!A117="","",IFERROR(4*STDEVP(終値!AO117:BH117)/AVERAGE(終値!AO117:BH117),""))</f>
        <v>0.5054135535811044</v>
      </c>
      <c r="AM117" s="503">
        <f>IF(終値!A117="","",IFERROR(4*STDEVP(終値!AP117:BI117)/AVERAGE(終値!AP117:BI117),""))</f>
        <v>0.51812927679848586</v>
      </c>
      <c r="AN117" s="503">
        <f>IF(終値!A117="","",IFERROR(4*STDEVP(終値!AQ117:BJ117)/AVERAGE(終値!AQ117:BJ117),""))</f>
        <v>0.5402089761750648</v>
      </c>
      <c r="AO117" s="503">
        <f>IF(終値!A117="","",IFERROR(4*STDEVP(終値!AR117:BK117)/AVERAGE(終値!AR117:BK117),""))</f>
        <v>0.5485231898352857</v>
      </c>
      <c r="AP117" s="503">
        <f>IF(終値!A117="","",IFERROR(4*STDEVP(終値!AS117:BL117)/AVERAGE(終値!AS117:BL117),""))</f>
        <v>0.54231864821178033</v>
      </c>
    </row>
    <row r="118" spans="1:42">
      <c r="A118" s="500" t="str">
        <f>IF(終値!A118="","",終値!A118)</f>
        <v>5844</v>
      </c>
      <c r="B118" s="503">
        <f>IF(終値!A118="","",IFERROR(4*STDEVP(終値!E118:X118)/AVERAGE(終値!E118:X118),""))</f>
        <v>9.4545865630575349E-2</v>
      </c>
      <c r="C118" s="503">
        <f>IF(終値!A118="","",IFERROR(4*STDEVP(終値!F118:Y118)/AVERAGE(終値!F118:Y118),""))</f>
        <v>9.6582665599325393E-2</v>
      </c>
      <c r="D118" s="503">
        <f>IF(終値!A118="","",IFERROR(4*STDEVP(終値!G118:Z118)/AVERAGE(終値!G118:Z118),""))</f>
        <v>0.10232725538282635</v>
      </c>
      <c r="E118" s="503">
        <f>IF(終値!A118="","",IFERROR(4*STDEVP(終値!H118:AA118)/AVERAGE(終値!H118:AA118),""))</f>
        <v>0.10298372761042088</v>
      </c>
      <c r="F118" s="503">
        <f>IF(終値!A118="","",IFERROR(4*STDEVP(終値!I118:AB118)/AVERAGE(終値!I118:AB118),""))</f>
        <v>9.9067370163413659E-2</v>
      </c>
      <c r="G118" s="503">
        <f>IF(終値!A118="","",IFERROR(4*STDEVP(終値!J118:AC118)/AVERAGE(終値!J118:AC118),""))</f>
        <v>9.1770067630149679E-2</v>
      </c>
      <c r="H118" s="503">
        <f>IF(終値!A118="","",IFERROR(4*STDEVP(終値!K118:AD118)/AVERAGE(終値!K118:AD118),""))</f>
        <v>9.0376069786241436E-2</v>
      </c>
      <c r="I118" s="503">
        <f>IF(終値!A118="","",IFERROR(4*STDEVP(終値!L118:AE118)/AVERAGE(終値!L118:AE118),""))</f>
        <v>9.149289688243048E-2</v>
      </c>
      <c r="J118" s="503">
        <f>IF(終値!A118="","",IFERROR(4*STDEVP(終値!M118:AF118)/AVERAGE(終値!M118:AF118),""))</f>
        <v>9.6615260298470437E-2</v>
      </c>
      <c r="K118" s="503">
        <f>IF(終値!A118="","",IFERROR(4*STDEVP(終値!N118:AG118)/AVERAGE(終値!N118:AG118),""))</f>
        <v>9.8191042690056116E-2</v>
      </c>
      <c r="L118" s="503">
        <f>IF(終値!A118="","",IFERROR(4*STDEVP(終値!O118:AH118)/AVERAGE(終値!O118:AH118),""))</f>
        <v>9.9714922851488322E-2</v>
      </c>
      <c r="M118" s="503">
        <f>IF(終値!A118="","",IFERROR(4*STDEVP(終値!P118:AI118)/AVERAGE(終値!P118:AI118),""))</f>
        <v>9.9439498572199039E-2</v>
      </c>
      <c r="N118" s="503">
        <f>IF(終値!A118="","",IFERROR(4*STDEVP(終値!Q118:AJ118)/AVERAGE(終値!Q118:AJ118),""))</f>
        <v>0.10597096888210195</v>
      </c>
      <c r="O118" s="503">
        <f>IF(終値!A118="","",IFERROR(4*STDEVP(終値!R118:AK118)/AVERAGE(終値!R118:AK118),""))</f>
        <v>0.10365534804359533</v>
      </c>
      <c r="P118" s="503">
        <f>IF(終値!A118="","",IFERROR(4*STDEVP(終値!S118:AL118)/AVERAGE(終値!S118:AL118),""))</f>
        <v>8.9725195321881862E-2</v>
      </c>
      <c r="Q118" s="503">
        <f>IF(終値!A118="","",IFERROR(4*STDEVP(終値!T118:AM118)/AVERAGE(終値!T118:AM118),""))</f>
        <v>8.9920631214915461E-2</v>
      </c>
      <c r="R118" s="503">
        <f>IF(終値!A118="","",IFERROR(4*STDEVP(終値!U118:AN118)/AVERAGE(終値!U118:AN118),""))</f>
        <v>8.9366204339376532E-2</v>
      </c>
      <c r="S118" s="503">
        <f>IF(終値!A118="","",IFERROR(4*STDEVP(終値!V118:AO118)/AVERAGE(終値!V118:AO118),""))</f>
        <v>9.3433038730742213E-2</v>
      </c>
      <c r="T118" s="503">
        <f>IF(終値!A118="","",IFERROR(4*STDEVP(終値!W118:AP118)/AVERAGE(終値!W118:AP118),""))</f>
        <v>9.9085867808901357E-2</v>
      </c>
      <c r="U118" s="503">
        <f>IF(終値!A118="","",IFERROR(4*STDEVP(終値!X118:AQ118)/AVERAGE(終値!X118:AQ118),""))</f>
        <v>0.10022065265116518</v>
      </c>
      <c r="V118" s="503">
        <f>IF(終値!A118="","",IFERROR(4*STDEVP(終値!Y118:AR118)/AVERAGE(終値!Y118:AR118),""))</f>
        <v>9.8183929208762025E-2</v>
      </c>
      <c r="W118" s="503">
        <f>IF(終値!A118="","",IFERROR(4*STDEVP(終値!Z118:AS118)/AVERAGE(終値!Z118:AS118),""))</f>
        <v>9.5269623634773121E-2</v>
      </c>
      <c r="X118" s="503">
        <f>IF(終値!A118="","",IFERROR(4*STDEVP(終値!AA118:AT118)/AVERAGE(終値!AA118:AT118),""))</f>
        <v>8.5511758688450012E-2</v>
      </c>
      <c r="Y118" s="503">
        <f>IF(終値!A118="","",IFERROR(4*STDEVP(終値!AB118:AU118)/AVERAGE(終値!AB118:AU118),""))</f>
        <v>8.3478423824349918E-2</v>
      </c>
      <c r="Z118" s="503">
        <f>IF(終値!A118="","",IFERROR(4*STDEVP(終値!AC118:AV118)/AVERAGE(終値!AC118:AV118),""))</f>
        <v>9.2329869433407319E-2</v>
      </c>
      <c r="AA118" s="503">
        <f>IF(終値!A118="","",IFERROR(4*STDEVP(終値!AD118:AW118)/AVERAGE(終値!AD118:AW118),""))</f>
        <v>9.8673530899043918E-2</v>
      </c>
      <c r="AB118" s="503">
        <f>IF(終値!A118="","",IFERROR(4*STDEVP(終値!AE118:AX118)/AVERAGE(終値!AE118:AX118),""))</f>
        <v>0.10124034283529304</v>
      </c>
      <c r="AC118" s="503">
        <f>IF(終値!A118="","",IFERROR(4*STDEVP(終値!AF118:AY118)/AVERAGE(終値!AF118:AY118),""))</f>
        <v>0.1038335335486561</v>
      </c>
      <c r="AD118" s="503">
        <f>IF(終値!A118="","",IFERROR(4*STDEVP(終値!AG118:AZ118)/AVERAGE(終値!AG118:AZ118),""))</f>
        <v>0.10336800644131935</v>
      </c>
      <c r="AE118" s="503">
        <f>IF(終値!A118="","",IFERROR(4*STDEVP(終値!AH118:BA118)/AVERAGE(終値!AH118:BA118),""))</f>
        <v>0.10357287279167401</v>
      </c>
      <c r="AF118" s="503">
        <f>IF(終値!A118="","",IFERROR(4*STDEVP(終値!AI118:BB118)/AVERAGE(終値!AI118:BB118),""))</f>
        <v>0.10427738275452367</v>
      </c>
      <c r="AG118" s="503">
        <f>IF(終値!A118="","",IFERROR(4*STDEVP(終値!AJ118:BC118)/AVERAGE(終値!AJ118:BC118),""))</f>
        <v>0.10297877163694312</v>
      </c>
      <c r="AH118" s="503">
        <f>IF(終値!A118="","",IFERROR(4*STDEVP(終値!AK118:BD118)/AVERAGE(終値!AK118:BD118),""))</f>
        <v>8.8302796071067544E-2</v>
      </c>
      <c r="AI118" s="503">
        <f>IF(終値!A118="","",IFERROR(4*STDEVP(終値!AL118:BE118)/AVERAGE(終値!AL118:BE118),""))</f>
        <v>7.8450595540797016E-2</v>
      </c>
      <c r="AJ118" s="503">
        <f>IF(終値!A118="","",IFERROR(4*STDEVP(終値!AM118:BF118)/AVERAGE(終値!AM118:BF118),""))</f>
        <v>7.3993254354505461E-2</v>
      </c>
      <c r="AK118" s="503">
        <f>IF(終値!A118="","",IFERROR(4*STDEVP(終値!AN118:BG118)/AVERAGE(終値!AN118:BG118),""))</f>
        <v>7.4104087881360164E-2</v>
      </c>
      <c r="AL118" s="503">
        <f>IF(終値!A118="","",IFERROR(4*STDEVP(終値!AO118:BH118)/AVERAGE(終値!AO118:BH118),""))</f>
        <v>6.4950369042370226E-2</v>
      </c>
      <c r="AM118" s="503">
        <f>IF(終値!A118="","",IFERROR(4*STDEVP(終値!AP118:BI118)/AVERAGE(終値!AP118:BI118),""))</f>
        <v>6.4622981226230461E-2</v>
      </c>
      <c r="AN118" s="503">
        <f>IF(終値!A118="","",IFERROR(4*STDEVP(終値!AQ118:BJ118)/AVERAGE(終値!AQ118:BJ118),""))</f>
        <v>6.5079618630426758E-2</v>
      </c>
      <c r="AO118" s="503">
        <f>IF(終値!A118="","",IFERROR(4*STDEVP(終値!AR118:BK118)/AVERAGE(終値!AR118:BK118),""))</f>
        <v>6.5938120336640149E-2</v>
      </c>
      <c r="AP118" s="503">
        <f>IF(終値!A118="","",IFERROR(4*STDEVP(終値!AS118:BL118)/AVERAGE(終値!AS118:BL118),""))</f>
        <v>6.6393889402145079E-2</v>
      </c>
    </row>
    <row r="119" spans="1:42">
      <c r="A119" s="500" t="str">
        <f>IF(終値!A119="","",終値!A119)</f>
        <v>9404</v>
      </c>
      <c r="B119" s="503">
        <f>IF(終値!A119="","",IFERROR(4*STDEVP(終値!E119:X119)/AVERAGE(終値!E119:X119),""))</f>
        <v>9.0234128559544186E-2</v>
      </c>
      <c r="C119" s="503">
        <f>IF(終値!A119="","",IFERROR(4*STDEVP(終値!F119:Y119)/AVERAGE(終値!F119:Y119),""))</f>
        <v>9.0523600604995105E-2</v>
      </c>
      <c r="D119" s="503">
        <f>IF(終値!A119="","",IFERROR(4*STDEVP(終値!G119:Z119)/AVERAGE(終値!G119:Z119),""))</f>
        <v>8.1445337671826115E-2</v>
      </c>
      <c r="E119" s="503">
        <f>IF(終値!A119="","",IFERROR(4*STDEVP(終値!H119:AA119)/AVERAGE(終値!H119:AA119),""))</f>
        <v>7.3485981256741342E-2</v>
      </c>
      <c r="F119" s="503">
        <f>IF(終値!A119="","",IFERROR(4*STDEVP(終値!I119:AB119)/AVERAGE(終値!I119:AB119),""))</f>
        <v>7.4351051737192531E-2</v>
      </c>
      <c r="G119" s="503">
        <f>IF(終値!A119="","",IFERROR(4*STDEVP(終値!J119:AC119)/AVERAGE(終値!J119:AC119),""))</f>
        <v>7.855865499959741E-2</v>
      </c>
      <c r="H119" s="503">
        <f>IF(終値!A119="","",IFERROR(4*STDEVP(終値!K119:AD119)/AVERAGE(終値!K119:AD119),""))</f>
        <v>7.8002543259705612E-2</v>
      </c>
      <c r="I119" s="503">
        <f>IF(終値!A119="","",IFERROR(4*STDEVP(終値!L119:AE119)/AVERAGE(終値!L119:AE119),""))</f>
        <v>7.2511642150069472E-2</v>
      </c>
      <c r="J119" s="503">
        <f>IF(終値!A119="","",IFERROR(4*STDEVP(終値!M119:AF119)/AVERAGE(終値!M119:AF119),""))</f>
        <v>8.035964673379356E-2</v>
      </c>
      <c r="K119" s="503">
        <f>IF(終値!A119="","",IFERROR(4*STDEVP(終値!N119:AG119)/AVERAGE(終値!N119:AG119),""))</f>
        <v>9.1778480001822912E-2</v>
      </c>
      <c r="L119" s="503">
        <f>IF(終値!A119="","",IFERROR(4*STDEVP(終値!O119:AH119)/AVERAGE(終値!O119:AH119),""))</f>
        <v>0.10226058805193312</v>
      </c>
      <c r="M119" s="503">
        <f>IF(終値!A119="","",IFERROR(4*STDEVP(終値!P119:AI119)/AVERAGE(終値!P119:AI119),""))</f>
        <v>0.10667898770934961</v>
      </c>
      <c r="N119" s="503">
        <f>IF(終値!A119="","",IFERROR(4*STDEVP(終値!Q119:AJ119)/AVERAGE(終値!Q119:AJ119),""))</f>
        <v>0.10800044459457489</v>
      </c>
      <c r="O119" s="503">
        <f>IF(終値!A119="","",IFERROR(4*STDEVP(終値!R119:AK119)/AVERAGE(終値!R119:AK119),""))</f>
        <v>0.1079859486686882</v>
      </c>
      <c r="P119" s="503">
        <f>IF(終値!A119="","",IFERROR(4*STDEVP(終値!S119:AL119)/AVERAGE(終値!S119:AL119),""))</f>
        <v>0.1036367958680751</v>
      </c>
      <c r="Q119" s="503">
        <f>IF(終値!A119="","",IFERROR(4*STDEVP(終値!T119:AM119)/AVERAGE(終値!T119:AM119),""))</f>
        <v>0.10290372843170854</v>
      </c>
      <c r="R119" s="503">
        <f>IF(終値!A119="","",IFERROR(4*STDEVP(終値!U119:AN119)/AVERAGE(終値!U119:AN119),""))</f>
        <v>0.10311154502881484</v>
      </c>
      <c r="S119" s="503">
        <f>IF(終値!A119="","",IFERROR(4*STDEVP(終値!V119:AO119)/AVERAGE(終値!V119:AO119),""))</f>
        <v>0.10198444260063197</v>
      </c>
      <c r="T119" s="503">
        <f>IF(終値!A119="","",IFERROR(4*STDEVP(終値!W119:AP119)/AVERAGE(終値!W119:AP119),""))</f>
        <v>0.10021244562321406</v>
      </c>
      <c r="U119" s="503">
        <f>IF(終値!A119="","",IFERROR(4*STDEVP(終値!X119:AQ119)/AVERAGE(終値!X119:AQ119),""))</f>
        <v>9.7377007621459524E-2</v>
      </c>
      <c r="V119" s="503">
        <f>IF(終値!A119="","",IFERROR(4*STDEVP(終値!Y119:AR119)/AVERAGE(終値!Y119:AR119),""))</f>
        <v>9.4289115683914196E-2</v>
      </c>
      <c r="W119" s="503">
        <f>IF(終値!A119="","",IFERROR(4*STDEVP(終値!Z119:AS119)/AVERAGE(終値!Z119:AS119),""))</f>
        <v>8.8359493339281323E-2</v>
      </c>
      <c r="X119" s="503">
        <f>IF(終値!A119="","",IFERROR(4*STDEVP(終値!AA119:AT119)/AVERAGE(終値!AA119:AT119),""))</f>
        <v>8.6914032485938708E-2</v>
      </c>
      <c r="Y119" s="503">
        <f>IF(終値!A119="","",IFERROR(4*STDEVP(終値!AB119:AU119)/AVERAGE(終値!AB119:AU119),""))</f>
        <v>8.5883325583754944E-2</v>
      </c>
      <c r="Z119" s="503">
        <f>IF(終値!A119="","",IFERROR(4*STDEVP(終値!AC119:AV119)/AVERAGE(終値!AC119:AV119),""))</f>
        <v>8.3916381200574278E-2</v>
      </c>
      <c r="AA119" s="503">
        <f>IF(終値!A119="","",IFERROR(4*STDEVP(終値!AD119:AW119)/AVERAGE(終値!AD119:AW119),""))</f>
        <v>8.384368884264673E-2</v>
      </c>
      <c r="AB119" s="503">
        <f>IF(終値!A119="","",IFERROR(4*STDEVP(終値!AE119:AX119)/AVERAGE(終値!AE119:AX119),""))</f>
        <v>8.4346944453820683E-2</v>
      </c>
      <c r="AC119" s="503">
        <f>IF(終値!A119="","",IFERROR(4*STDEVP(終値!AF119:AY119)/AVERAGE(終値!AF119:AY119),""))</f>
        <v>8.2239364723263375E-2</v>
      </c>
      <c r="AD119" s="503">
        <f>IF(終値!A119="","",IFERROR(4*STDEVP(終値!AG119:AZ119)/AVERAGE(終値!AG119:AZ119),""))</f>
        <v>7.8192911337300844E-2</v>
      </c>
      <c r="AE119" s="503">
        <f>IF(終値!A119="","",IFERROR(4*STDEVP(終値!AH119:BA119)/AVERAGE(終値!AH119:BA119),""))</f>
        <v>6.7348906272286166E-2</v>
      </c>
      <c r="AF119" s="503">
        <f>IF(終値!A119="","",IFERROR(4*STDEVP(終値!AI119:BB119)/AVERAGE(終値!AI119:BB119),""))</f>
        <v>6.0349030567045055E-2</v>
      </c>
      <c r="AG119" s="503">
        <f>IF(終値!A119="","",IFERROR(4*STDEVP(終値!AJ119:BC119)/AVERAGE(終値!AJ119:BC119),""))</f>
        <v>6.1999084634531555E-2</v>
      </c>
      <c r="AH119" s="503">
        <f>IF(終値!A119="","",IFERROR(4*STDEVP(終値!AK119:BD119)/AVERAGE(終値!AK119:BD119),""))</f>
        <v>6.343217019550372E-2</v>
      </c>
      <c r="AI119" s="503">
        <f>IF(終値!A119="","",IFERROR(4*STDEVP(終値!AL119:BE119)/AVERAGE(終値!AL119:BE119),""))</f>
        <v>6.4573068287761853E-2</v>
      </c>
      <c r="AJ119" s="503">
        <f>IF(終値!A119="","",IFERROR(4*STDEVP(終値!AM119:BF119)/AVERAGE(終値!AM119:BF119),""))</f>
        <v>6.4597778610480147E-2</v>
      </c>
      <c r="AK119" s="503">
        <f>IF(終値!A119="","",IFERROR(4*STDEVP(終値!AN119:BG119)/AVERAGE(終値!AN119:BG119),""))</f>
        <v>6.5769377781566912E-2</v>
      </c>
      <c r="AL119" s="503">
        <f>IF(終値!A119="","",IFERROR(4*STDEVP(終値!AO119:BH119)/AVERAGE(終値!AO119:BH119),""))</f>
        <v>6.7486210329508925E-2</v>
      </c>
      <c r="AM119" s="503">
        <f>IF(終値!A119="","",IFERROR(4*STDEVP(終値!AP119:BI119)/AVERAGE(終値!AP119:BI119),""))</f>
        <v>7.1090808163105174E-2</v>
      </c>
      <c r="AN119" s="503">
        <f>IF(終値!A119="","",IFERROR(4*STDEVP(終値!AQ119:BJ119)/AVERAGE(終値!AQ119:BJ119),""))</f>
        <v>7.15253466369285E-2</v>
      </c>
      <c r="AO119" s="503">
        <f>IF(終値!A119="","",IFERROR(4*STDEVP(終値!AR119:BK119)/AVERAGE(終値!AR119:BK119),""))</f>
        <v>7.3041631152592254E-2</v>
      </c>
      <c r="AP119" s="503">
        <f>IF(終値!A119="","",IFERROR(4*STDEVP(終値!AS119:BL119)/AVERAGE(終値!AS119:BL119),""))</f>
        <v>7.9091903362687691E-2</v>
      </c>
    </row>
    <row r="120" spans="1:42">
      <c r="A120" s="500" t="str">
        <f>IF(終値!A120="","",終値!A120)</f>
        <v>6744</v>
      </c>
      <c r="B120" s="503">
        <f>IF(終値!A120="","",IFERROR(4*STDEVP(終値!E120:X120)/AVERAGE(終値!E120:X120),""))</f>
        <v>0.10679257293707062</v>
      </c>
      <c r="C120" s="503">
        <f>IF(終値!A120="","",IFERROR(4*STDEVP(終値!F120:Y120)/AVERAGE(終値!F120:Y120),""))</f>
        <v>9.5148075676391788E-2</v>
      </c>
      <c r="D120" s="503">
        <f>IF(終値!A120="","",IFERROR(4*STDEVP(終値!G120:Z120)/AVERAGE(終値!G120:Z120),""))</f>
        <v>7.7930608652394567E-2</v>
      </c>
      <c r="E120" s="503">
        <f>IF(終値!A120="","",IFERROR(4*STDEVP(終値!H120:AA120)/AVERAGE(終値!H120:AA120),""))</f>
        <v>7.1847000152929941E-2</v>
      </c>
      <c r="F120" s="503">
        <f>IF(終値!A120="","",IFERROR(4*STDEVP(終値!I120:AB120)/AVERAGE(終値!I120:AB120),""))</f>
        <v>7.3924053429030204E-2</v>
      </c>
      <c r="G120" s="503">
        <f>IF(終値!A120="","",IFERROR(4*STDEVP(終値!J120:AC120)/AVERAGE(終値!J120:AC120),""))</f>
        <v>8.0244271510335058E-2</v>
      </c>
      <c r="H120" s="503">
        <f>IF(終値!A120="","",IFERROR(4*STDEVP(終値!K120:AD120)/AVERAGE(終値!K120:AD120),""))</f>
        <v>9.0561406035069583E-2</v>
      </c>
      <c r="I120" s="503">
        <f>IF(終値!A120="","",IFERROR(4*STDEVP(終値!L120:AE120)/AVERAGE(終値!L120:AE120),""))</f>
        <v>9.185915992384619E-2</v>
      </c>
      <c r="J120" s="503">
        <f>IF(終値!A120="","",IFERROR(4*STDEVP(終値!M120:AF120)/AVERAGE(終値!M120:AF120),""))</f>
        <v>9.2714771594525264E-2</v>
      </c>
      <c r="K120" s="503">
        <f>IF(終値!A120="","",IFERROR(4*STDEVP(終値!N120:AG120)/AVERAGE(終値!N120:AG120),""))</f>
        <v>9.0865320884938997E-2</v>
      </c>
      <c r="L120" s="503">
        <f>IF(終値!A120="","",IFERROR(4*STDEVP(終値!O120:AH120)/AVERAGE(終値!O120:AH120),""))</f>
        <v>8.9960862245052564E-2</v>
      </c>
      <c r="M120" s="503">
        <f>IF(終値!A120="","",IFERROR(4*STDEVP(終値!P120:AI120)/AVERAGE(終値!P120:AI120),""))</f>
        <v>9.1463544804720825E-2</v>
      </c>
      <c r="N120" s="503">
        <f>IF(終値!A120="","",IFERROR(4*STDEVP(終値!Q120:AJ120)/AVERAGE(終値!Q120:AJ120),""))</f>
        <v>9.1421203800759993E-2</v>
      </c>
      <c r="O120" s="503">
        <f>IF(終値!A120="","",IFERROR(4*STDEVP(終値!R120:AK120)/AVERAGE(終値!R120:AK120),""))</f>
        <v>9.1183378178667021E-2</v>
      </c>
      <c r="P120" s="503">
        <f>IF(終値!A120="","",IFERROR(4*STDEVP(終値!S120:AL120)/AVERAGE(終値!S120:AL120),""))</f>
        <v>9.0809130166587926E-2</v>
      </c>
      <c r="Q120" s="503">
        <f>IF(終値!A120="","",IFERROR(4*STDEVP(終値!T120:AM120)/AVERAGE(終値!T120:AM120),""))</f>
        <v>8.834383519327807E-2</v>
      </c>
      <c r="R120" s="503">
        <f>IF(終値!A120="","",IFERROR(4*STDEVP(終値!U120:AN120)/AVERAGE(終値!U120:AN120),""))</f>
        <v>8.8695595280094533E-2</v>
      </c>
      <c r="S120" s="503">
        <f>IF(終値!A120="","",IFERROR(4*STDEVP(終値!V120:AO120)/AVERAGE(終値!V120:AO120),""))</f>
        <v>8.8840677096003018E-2</v>
      </c>
      <c r="T120" s="503">
        <f>IF(終値!A120="","",IFERROR(4*STDEVP(終値!W120:AP120)/AVERAGE(終値!W120:AP120),""))</f>
        <v>8.7531206289894165E-2</v>
      </c>
      <c r="U120" s="503">
        <f>IF(終値!A120="","",IFERROR(4*STDEVP(終値!X120:AQ120)/AVERAGE(終値!X120:AQ120),""))</f>
        <v>8.5184890495891188E-2</v>
      </c>
      <c r="V120" s="503">
        <f>IF(終値!A120="","",IFERROR(4*STDEVP(終値!Y120:AR120)/AVERAGE(終値!Y120:AR120),""))</f>
        <v>8.4984518147247695E-2</v>
      </c>
      <c r="W120" s="503">
        <f>IF(終値!A120="","",IFERROR(4*STDEVP(終値!Z120:AS120)/AVERAGE(終値!Z120:AS120),""))</f>
        <v>8.0774979921555232E-2</v>
      </c>
      <c r="X120" s="503">
        <f>IF(終値!A120="","",IFERROR(4*STDEVP(終値!AA120:AT120)/AVERAGE(終値!AA120:AT120),""))</f>
        <v>9.1482845381401362E-2</v>
      </c>
      <c r="Y120" s="503">
        <f>IF(終値!A120="","",IFERROR(4*STDEVP(終値!AB120:AU120)/AVERAGE(終値!AB120:AU120),""))</f>
        <v>0.10657801318655019</v>
      </c>
      <c r="Z120" s="503">
        <f>IF(終値!A120="","",IFERROR(4*STDEVP(終値!AC120:AV120)/AVERAGE(終値!AC120:AV120),""))</f>
        <v>0.123647853689221</v>
      </c>
      <c r="AA120" s="503">
        <f>IF(終値!A120="","",IFERROR(4*STDEVP(終値!AD120:AW120)/AVERAGE(終値!AD120:AW120),""))</f>
        <v>0.14474102570524841</v>
      </c>
      <c r="AB120" s="503">
        <f>IF(終値!A120="","",IFERROR(4*STDEVP(終値!AE120:AX120)/AVERAGE(終値!AE120:AX120),""))</f>
        <v>0.19098033659462088</v>
      </c>
      <c r="AC120" s="503">
        <f>IF(終値!A120="","",IFERROR(4*STDEVP(終値!AF120:AY120)/AVERAGE(終値!AF120:AY120),""))</f>
        <v>0.21042534692342574</v>
      </c>
      <c r="AD120" s="503">
        <f>IF(終値!A120="","",IFERROR(4*STDEVP(終値!AG120:AZ120)/AVERAGE(終値!AG120:AZ120),""))</f>
        <v>0.22089947255397213</v>
      </c>
      <c r="AE120" s="503">
        <f>IF(終値!A120="","",IFERROR(4*STDEVP(終値!AH120:BA120)/AVERAGE(終値!AH120:BA120),""))</f>
        <v>0.22429939238707911</v>
      </c>
      <c r="AF120" s="503">
        <f>IF(終値!A120="","",IFERROR(4*STDEVP(終値!AI120:BB120)/AVERAGE(終値!AI120:BB120),""))</f>
        <v>0.22244273698385111</v>
      </c>
      <c r="AG120" s="503">
        <f>IF(終値!A120="","",IFERROR(4*STDEVP(終値!AJ120:BC120)/AVERAGE(終値!AJ120:BC120),""))</f>
        <v>0.21890364495115694</v>
      </c>
      <c r="AH120" s="503">
        <f>IF(終値!A120="","",IFERROR(4*STDEVP(終値!AK120:BD120)/AVERAGE(終値!AK120:BD120),""))</f>
        <v>0.21318842456854051</v>
      </c>
      <c r="AI120" s="503">
        <f>IF(終値!A120="","",IFERROR(4*STDEVP(終値!AL120:BE120)/AVERAGE(終値!AL120:BE120),""))</f>
        <v>0.20921596572376658</v>
      </c>
      <c r="AJ120" s="503">
        <f>IF(終値!A120="","",IFERROR(4*STDEVP(終値!AM120:BF120)/AVERAGE(終値!AM120:BF120),""))</f>
        <v>0.20351642211338408</v>
      </c>
      <c r="AK120" s="503">
        <f>IF(終値!A120="","",IFERROR(4*STDEVP(終値!AN120:BG120)/AVERAGE(終値!AN120:BG120),""))</f>
        <v>0.19158123280352371</v>
      </c>
      <c r="AL120" s="503">
        <f>IF(終値!A120="","",IFERROR(4*STDEVP(終値!AO120:BH120)/AVERAGE(終値!AO120:BH120),""))</f>
        <v>0.17682242177778959</v>
      </c>
      <c r="AM120" s="503">
        <f>IF(終値!A120="","",IFERROR(4*STDEVP(終値!AP120:BI120)/AVERAGE(終値!AP120:BI120),""))</f>
        <v>0.16967169213089908</v>
      </c>
      <c r="AN120" s="503">
        <f>IF(終値!A120="","",IFERROR(4*STDEVP(終値!AQ120:BJ120)/AVERAGE(終値!AQ120:BJ120),""))</f>
        <v>0.1596794756603114</v>
      </c>
      <c r="AO120" s="503">
        <f>IF(終値!A120="","",IFERROR(4*STDEVP(終値!AR120:BK120)/AVERAGE(終値!AR120:BK120),""))</f>
        <v>0.14909814955921574</v>
      </c>
      <c r="AP120" s="503">
        <f>IF(終値!A120="","",IFERROR(4*STDEVP(終値!AS120:BL120)/AVERAGE(終値!AS120:BL120),""))</f>
        <v>0.14458522018242992</v>
      </c>
    </row>
    <row r="121" spans="1:42">
      <c r="A121" s="500" t="str">
        <f>IF(終値!A121="","",終値!A121)</f>
        <v>7685</v>
      </c>
      <c r="B121" s="503">
        <f>IF(終値!A121="","",IFERROR(4*STDEVP(終値!E121:X121)/AVERAGE(終値!E121:X121),""))</f>
        <v>0.30329237310353085</v>
      </c>
      <c r="C121" s="503">
        <f>IF(終値!A121="","",IFERROR(4*STDEVP(終値!F121:Y121)/AVERAGE(終値!F121:Y121),""))</f>
        <v>0.30568167658336398</v>
      </c>
      <c r="D121" s="503">
        <f>IF(終値!A121="","",IFERROR(4*STDEVP(終値!G121:Z121)/AVERAGE(終値!G121:Z121),""))</f>
        <v>0.30591718945617474</v>
      </c>
      <c r="E121" s="503">
        <f>IF(終値!A121="","",IFERROR(4*STDEVP(終値!H121:AA121)/AVERAGE(終値!H121:AA121),""))</f>
        <v>0.29823130854585245</v>
      </c>
      <c r="F121" s="503">
        <f>IF(終値!A121="","",IFERROR(4*STDEVP(終値!I121:AB121)/AVERAGE(終値!I121:AB121),""))</f>
        <v>0.2780998720165575</v>
      </c>
      <c r="G121" s="503">
        <f>IF(終値!A121="","",IFERROR(4*STDEVP(終値!J121:AC121)/AVERAGE(終値!J121:AC121),""))</f>
        <v>0.25706370494072739</v>
      </c>
      <c r="H121" s="503">
        <f>IF(終値!A121="","",IFERROR(4*STDEVP(終値!K121:AD121)/AVERAGE(終値!K121:AD121),""))</f>
        <v>0.22835288889964853</v>
      </c>
      <c r="I121" s="503">
        <f>IF(終値!A121="","",IFERROR(4*STDEVP(終値!L121:AE121)/AVERAGE(終値!L121:AE121),""))</f>
        <v>0.20570097836498349</v>
      </c>
      <c r="J121" s="503">
        <f>IF(終値!A121="","",IFERROR(4*STDEVP(終値!M121:AF121)/AVERAGE(終値!M121:AF121),""))</f>
        <v>0.18536923119170787</v>
      </c>
      <c r="K121" s="503">
        <f>IF(終値!A121="","",IFERROR(4*STDEVP(終値!N121:AG121)/AVERAGE(終値!N121:AG121),""))</f>
        <v>0.15978462878683086</v>
      </c>
      <c r="L121" s="503">
        <f>IF(終値!A121="","",IFERROR(4*STDEVP(終値!O121:AH121)/AVERAGE(終値!O121:AH121),""))</f>
        <v>0.1595049619729606</v>
      </c>
      <c r="M121" s="503">
        <f>IF(終値!A121="","",IFERROR(4*STDEVP(終値!P121:AI121)/AVERAGE(終値!P121:AI121),""))</f>
        <v>0.14136911128867324</v>
      </c>
      <c r="N121" s="503">
        <f>IF(終値!A121="","",IFERROR(4*STDEVP(終値!Q121:AJ121)/AVERAGE(終値!Q121:AJ121),""))</f>
        <v>0.1244088509848179</v>
      </c>
      <c r="O121" s="503">
        <f>IF(終値!A121="","",IFERROR(4*STDEVP(終値!R121:AK121)/AVERAGE(終値!R121:AK121),""))</f>
        <v>0.11986783597687657</v>
      </c>
      <c r="P121" s="503">
        <f>IF(終値!A121="","",IFERROR(4*STDEVP(終値!S121:AL121)/AVERAGE(終値!S121:AL121),""))</f>
        <v>0.11914236765660549</v>
      </c>
      <c r="Q121" s="503">
        <f>IF(終値!A121="","",IFERROR(4*STDEVP(終値!T121:AM121)/AVERAGE(終値!T121:AM121),""))</f>
        <v>0.11966517566661655</v>
      </c>
      <c r="R121" s="503">
        <f>IF(終値!A121="","",IFERROR(4*STDEVP(終値!U121:AN121)/AVERAGE(終値!U121:AN121),""))</f>
        <v>0.12421505963270306</v>
      </c>
      <c r="S121" s="503">
        <f>IF(終値!A121="","",IFERROR(4*STDEVP(終値!V121:AO121)/AVERAGE(終値!V121:AO121),""))</f>
        <v>0.1240259998438443</v>
      </c>
      <c r="T121" s="503">
        <f>IF(終値!A121="","",IFERROR(4*STDEVP(終値!W121:AP121)/AVERAGE(終値!W121:AP121),""))</f>
        <v>0.13921483035356483</v>
      </c>
      <c r="U121" s="503">
        <f>IF(終値!A121="","",IFERROR(4*STDEVP(終値!X121:AQ121)/AVERAGE(終値!X121:AQ121),""))</f>
        <v>0.16005808283699113</v>
      </c>
      <c r="V121" s="503">
        <f>IF(終値!A121="","",IFERROR(4*STDEVP(終値!Y121:AR121)/AVERAGE(終値!Y121:AR121),""))</f>
        <v>0.17283038574018356</v>
      </c>
      <c r="W121" s="503">
        <f>IF(終値!A121="","",IFERROR(4*STDEVP(終値!Z121:AS121)/AVERAGE(終値!Z121:AS121),""))</f>
        <v>0.172983020855633</v>
      </c>
      <c r="X121" s="503">
        <f>IF(終値!A121="","",IFERROR(4*STDEVP(終値!AA121:AT121)/AVERAGE(終値!AA121:AT121),""))</f>
        <v>0.17863325767175592</v>
      </c>
      <c r="Y121" s="503">
        <f>IF(終値!A121="","",IFERROR(4*STDEVP(終値!AB121:AU121)/AVERAGE(終値!AB121:AU121),""))</f>
        <v>0.1816552813577485</v>
      </c>
      <c r="Z121" s="503">
        <f>IF(終値!A121="","",IFERROR(4*STDEVP(終値!AC121:AV121)/AVERAGE(終値!AC121:AV121),""))</f>
        <v>0.19133924940900163</v>
      </c>
      <c r="AA121" s="503">
        <f>IF(終値!A121="","",IFERROR(4*STDEVP(終値!AD121:AW121)/AVERAGE(終値!AD121:AW121),""))</f>
        <v>0.19177838505086781</v>
      </c>
      <c r="AB121" s="503">
        <f>IF(終値!A121="","",IFERROR(4*STDEVP(終値!AE121:AX121)/AVERAGE(終値!AE121:AX121),""))</f>
        <v>0.20469703624173086</v>
      </c>
      <c r="AC121" s="503">
        <f>IF(終値!A121="","",IFERROR(4*STDEVP(終値!AF121:AY121)/AVERAGE(終値!AF121:AY121),""))</f>
        <v>0.20383048092604661</v>
      </c>
      <c r="AD121" s="503">
        <f>IF(終値!A121="","",IFERROR(4*STDEVP(終値!AG121:AZ121)/AVERAGE(終値!AG121:AZ121),""))</f>
        <v>0.19577311018594812</v>
      </c>
      <c r="AE121" s="503">
        <f>IF(終値!A121="","",IFERROR(4*STDEVP(終値!AH121:BA121)/AVERAGE(終値!AH121:BA121),""))</f>
        <v>0.1880555254428819</v>
      </c>
      <c r="AF121" s="503">
        <f>IF(終値!A121="","",IFERROR(4*STDEVP(終値!AI121:BB121)/AVERAGE(終値!AI121:BB121),""))</f>
        <v>0.18422721054289776</v>
      </c>
      <c r="AG121" s="503">
        <f>IF(終値!A121="","",IFERROR(4*STDEVP(終値!AJ121:BC121)/AVERAGE(終値!AJ121:BC121),""))</f>
        <v>0.18315003752257714</v>
      </c>
      <c r="AH121" s="503">
        <f>IF(終値!A121="","",IFERROR(4*STDEVP(終値!AK121:BD121)/AVERAGE(終値!AK121:BD121),""))</f>
        <v>0.17013756521643941</v>
      </c>
      <c r="AI121" s="503">
        <f>IF(終値!A121="","",IFERROR(4*STDEVP(終値!AL121:BE121)/AVERAGE(終値!AL121:BE121),""))</f>
        <v>0.15212233820369225</v>
      </c>
      <c r="AJ121" s="503">
        <f>IF(終値!A121="","",IFERROR(4*STDEVP(終値!AM121:BF121)/AVERAGE(終値!AM121:BF121),""))</f>
        <v>0.17617825329013104</v>
      </c>
      <c r="AK121" s="503">
        <f>IF(終値!A121="","",IFERROR(4*STDEVP(終値!AN121:BG121)/AVERAGE(終値!AN121:BG121),""))</f>
        <v>0.18717144806506827</v>
      </c>
      <c r="AL121" s="503">
        <f>IF(終値!A121="","",IFERROR(4*STDEVP(終値!AO121:BH121)/AVERAGE(終値!AO121:BH121),""))</f>
        <v>0.19920680641755367</v>
      </c>
      <c r="AM121" s="503">
        <f>IF(終値!A121="","",IFERROR(4*STDEVP(終値!AP121:BI121)/AVERAGE(終値!AP121:BI121),""))</f>
        <v>0.21941222662574963</v>
      </c>
      <c r="AN121" s="503">
        <f>IF(終値!A121="","",IFERROR(4*STDEVP(終値!AQ121:BJ121)/AVERAGE(終値!AQ121:BJ121),""))</f>
        <v>0.25696459818341649</v>
      </c>
      <c r="AO121" s="503">
        <f>IF(終値!A121="","",IFERROR(4*STDEVP(終値!AR121:BK121)/AVERAGE(終値!AR121:BK121),""))</f>
        <v>0.27018594302996962</v>
      </c>
      <c r="AP121" s="503">
        <f>IF(終値!A121="","",IFERROR(4*STDEVP(終値!AS121:BL121)/AVERAGE(終値!AS121:BL121),""))</f>
        <v>0.28559785205347749</v>
      </c>
    </row>
    <row r="122" spans="1:42">
      <c r="A122" s="500" t="str">
        <f>IF(終値!A122="","",終値!A122)</f>
        <v>8334</v>
      </c>
      <c r="B122" s="503">
        <f>IF(終値!A122="","",IFERROR(4*STDEVP(終値!E122:X122)/AVERAGE(終値!E122:X122),""))</f>
        <v>8.6055130118008069E-2</v>
      </c>
      <c r="C122" s="503">
        <f>IF(終値!A122="","",IFERROR(4*STDEVP(終値!F122:Y122)/AVERAGE(終値!F122:Y122),""))</f>
        <v>9.1100867414803388E-2</v>
      </c>
      <c r="D122" s="503">
        <f>IF(終値!A122="","",IFERROR(4*STDEVP(終値!G122:Z122)/AVERAGE(終値!G122:Z122),""))</f>
        <v>9.2403647229941002E-2</v>
      </c>
      <c r="E122" s="503">
        <f>IF(終値!A122="","",IFERROR(4*STDEVP(終値!H122:AA122)/AVERAGE(終値!H122:AA122),""))</f>
        <v>9.9827019485447241E-2</v>
      </c>
      <c r="F122" s="503">
        <f>IF(終値!A122="","",IFERROR(4*STDEVP(終値!I122:AB122)/AVERAGE(終値!I122:AB122),""))</f>
        <v>0.10873359095726488</v>
      </c>
      <c r="G122" s="503">
        <f>IF(終値!A122="","",IFERROR(4*STDEVP(終値!J122:AC122)/AVERAGE(終値!J122:AC122),""))</f>
        <v>0.12277148154262414</v>
      </c>
      <c r="H122" s="503">
        <f>IF(終値!A122="","",IFERROR(4*STDEVP(終値!K122:AD122)/AVERAGE(終値!K122:AD122),""))</f>
        <v>0.13627985702420442</v>
      </c>
      <c r="I122" s="503">
        <f>IF(終値!A122="","",IFERROR(4*STDEVP(終値!L122:AE122)/AVERAGE(終値!L122:AE122),""))</f>
        <v>0.14837939235402717</v>
      </c>
      <c r="J122" s="503">
        <f>IF(終値!A122="","",IFERROR(4*STDEVP(終値!M122:AF122)/AVERAGE(終値!M122:AF122),""))</f>
        <v>0.15708908083946449</v>
      </c>
      <c r="K122" s="503">
        <f>IF(終値!A122="","",IFERROR(4*STDEVP(終値!N122:AG122)/AVERAGE(終値!N122:AG122),""))</f>
        <v>0.15518863263562996</v>
      </c>
      <c r="L122" s="503">
        <f>IF(終値!A122="","",IFERROR(4*STDEVP(終値!O122:AH122)/AVERAGE(終値!O122:AH122),""))</f>
        <v>0.15936457881469612</v>
      </c>
      <c r="M122" s="503">
        <f>IF(終値!A122="","",IFERROR(4*STDEVP(終値!P122:AI122)/AVERAGE(終値!P122:AI122),""))</f>
        <v>0.15919030818746971</v>
      </c>
      <c r="N122" s="503">
        <f>IF(終値!A122="","",IFERROR(4*STDEVP(終値!Q122:AJ122)/AVERAGE(終値!Q122:AJ122),""))</f>
        <v>0.15402518716167191</v>
      </c>
      <c r="O122" s="503">
        <f>IF(終値!A122="","",IFERROR(4*STDEVP(終値!R122:AK122)/AVERAGE(終値!R122:AK122),""))</f>
        <v>0.15414070683955586</v>
      </c>
      <c r="P122" s="503">
        <f>IF(終値!A122="","",IFERROR(4*STDEVP(終値!S122:AL122)/AVERAGE(終値!S122:AL122),""))</f>
        <v>0.15718963193448449</v>
      </c>
      <c r="Q122" s="503">
        <f>IF(終値!A122="","",IFERROR(4*STDEVP(終値!T122:AM122)/AVERAGE(終値!T122:AM122),""))</f>
        <v>0.14025249001561094</v>
      </c>
      <c r="R122" s="503">
        <f>IF(終値!A122="","",IFERROR(4*STDEVP(終値!U122:AN122)/AVERAGE(終値!U122:AN122),""))</f>
        <v>0.12639275733370162</v>
      </c>
      <c r="S122" s="503">
        <f>IF(終値!A122="","",IFERROR(4*STDEVP(終値!V122:AO122)/AVERAGE(終値!V122:AO122),""))</f>
        <v>0.11661179016690287</v>
      </c>
      <c r="T122" s="503">
        <f>IF(終値!A122="","",IFERROR(4*STDEVP(終値!W122:AP122)/AVERAGE(終値!W122:AP122),""))</f>
        <v>0.10826883302107006</v>
      </c>
      <c r="U122" s="503">
        <f>IF(終値!A122="","",IFERROR(4*STDEVP(終値!X122:AQ122)/AVERAGE(終値!X122:AQ122),""))</f>
        <v>0.10029830881492369</v>
      </c>
      <c r="V122" s="503">
        <f>IF(終値!A122="","",IFERROR(4*STDEVP(終値!Y122:AR122)/AVERAGE(終値!Y122:AR122),""))</f>
        <v>8.3655444912580562E-2</v>
      </c>
      <c r="W122" s="503">
        <f>IF(終値!A122="","",IFERROR(4*STDEVP(終値!Z122:AS122)/AVERAGE(終値!Z122:AS122),""))</f>
        <v>8.2278697952414548E-2</v>
      </c>
      <c r="X122" s="503">
        <f>IF(終値!A122="","",IFERROR(4*STDEVP(終値!AA122:AT122)/AVERAGE(終値!AA122:AT122),""))</f>
        <v>6.6240843150951342E-2</v>
      </c>
      <c r="Y122" s="503">
        <f>IF(終値!A122="","",IFERROR(4*STDEVP(終値!AB122:AU122)/AVERAGE(終値!AB122:AU122),""))</f>
        <v>6.7200680385927442E-2</v>
      </c>
      <c r="Z122" s="503">
        <f>IF(終値!A122="","",IFERROR(4*STDEVP(終値!AC122:AV122)/AVERAGE(終値!AC122:AV122),""))</f>
        <v>7.2627211479297973E-2</v>
      </c>
      <c r="AA122" s="503">
        <f>IF(終値!A122="","",IFERROR(4*STDEVP(終値!AD122:AW122)/AVERAGE(終値!AD122:AW122),""))</f>
        <v>8.7883501385916912E-2</v>
      </c>
      <c r="AB122" s="503">
        <f>IF(終値!A122="","",IFERROR(4*STDEVP(終値!AE122:AX122)/AVERAGE(終値!AE122:AX122),""))</f>
        <v>8.7436242635019645E-2</v>
      </c>
      <c r="AC122" s="503">
        <f>IF(終値!A122="","",IFERROR(4*STDEVP(終値!AF122:AY122)/AVERAGE(終値!AF122:AY122),""))</f>
        <v>8.8482163460656738E-2</v>
      </c>
      <c r="AD122" s="503">
        <f>IF(終値!A122="","",IFERROR(4*STDEVP(終値!AG122:AZ122)/AVERAGE(終値!AG122:AZ122),""))</f>
        <v>8.7106611118916544E-2</v>
      </c>
      <c r="AE122" s="503">
        <f>IF(終値!A122="","",IFERROR(4*STDEVP(終値!AH122:BA122)/AVERAGE(終値!AH122:BA122),""))</f>
        <v>8.6517713577989264E-2</v>
      </c>
      <c r="AF122" s="503">
        <f>IF(終値!A122="","",IFERROR(4*STDEVP(終値!AI122:BB122)/AVERAGE(終値!AI122:BB122),""))</f>
        <v>8.7233552522611488E-2</v>
      </c>
      <c r="AG122" s="503">
        <f>IF(終値!A122="","",IFERROR(4*STDEVP(終値!AJ122:BC122)/AVERAGE(終値!AJ122:BC122),""))</f>
        <v>8.976137157617306E-2</v>
      </c>
      <c r="AH122" s="503">
        <f>IF(終値!A122="","",IFERROR(4*STDEVP(終値!AK122:BD122)/AVERAGE(終値!AK122:BD122),""))</f>
        <v>8.8302654453568219E-2</v>
      </c>
      <c r="AI122" s="503">
        <f>IF(終値!A122="","",IFERROR(4*STDEVP(終値!AL122:BE122)/AVERAGE(終値!AL122:BE122),""))</f>
        <v>8.7634058355198344E-2</v>
      </c>
      <c r="AJ122" s="503">
        <f>IF(終値!A122="","",IFERROR(4*STDEVP(終値!AM122:BF122)/AVERAGE(終値!AM122:BF122),""))</f>
        <v>8.7586221499471914E-2</v>
      </c>
      <c r="AK122" s="503">
        <f>IF(終値!A122="","",IFERROR(4*STDEVP(終値!AN122:BG122)/AVERAGE(終値!AN122:BG122),""))</f>
        <v>8.8993967031945675E-2</v>
      </c>
      <c r="AL122" s="503">
        <f>IF(終値!A122="","",IFERROR(4*STDEVP(終値!AO122:BH122)/AVERAGE(終値!AO122:BH122),""))</f>
        <v>9.3847181016006198E-2</v>
      </c>
      <c r="AM122" s="503">
        <f>IF(終値!A122="","",IFERROR(4*STDEVP(終値!AP122:BI122)/AVERAGE(終値!AP122:BI122),""))</f>
        <v>9.1634682967913661E-2</v>
      </c>
      <c r="AN122" s="503">
        <f>IF(終値!A122="","",IFERROR(4*STDEVP(終値!AQ122:BJ122)/AVERAGE(終値!AQ122:BJ122),""))</f>
        <v>9.1814857094582453E-2</v>
      </c>
      <c r="AO122" s="503">
        <f>IF(終値!A122="","",IFERROR(4*STDEVP(終値!AR122:BK122)/AVERAGE(終値!AR122:BK122),""))</f>
        <v>9.0802256609009049E-2</v>
      </c>
      <c r="AP122" s="503">
        <f>IF(終値!A122="","",IFERROR(4*STDEVP(終値!AS122:BL122)/AVERAGE(終値!AS122:BL122),""))</f>
        <v>9.2743521934433873E-2</v>
      </c>
    </row>
    <row r="123" spans="1:42">
      <c r="A123" s="500" t="str">
        <f>IF(終値!A123="","",終値!A123)</f>
        <v>8359</v>
      </c>
      <c r="B123" s="503">
        <f>IF(終値!A123="","",IFERROR(4*STDEVP(終値!E123:X123)/AVERAGE(終値!E123:X123),""))</f>
        <v>9.8934773092290332E-2</v>
      </c>
      <c r="C123" s="503">
        <f>IF(終値!A123="","",IFERROR(4*STDEVP(終値!F123:Y123)/AVERAGE(終値!F123:Y123),""))</f>
        <v>9.8946725619193765E-2</v>
      </c>
      <c r="D123" s="503">
        <f>IF(終値!A123="","",IFERROR(4*STDEVP(終値!G123:Z123)/AVERAGE(終値!G123:Z123),""))</f>
        <v>9.9241687827332642E-2</v>
      </c>
      <c r="E123" s="503">
        <f>IF(終値!A123="","",IFERROR(4*STDEVP(終値!H123:AA123)/AVERAGE(終値!H123:AA123),""))</f>
        <v>9.5975689541328152E-2</v>
      </c>
      <c r="F123" s="503">
        <f>IF(終値!A123="","",IFERROR(4*STDEVP(終値!I123:AB123)/AVERAGE(終値!I123:AB123),""))</f>
        <v>9.8817777574416496E-2</v>
      </c>
      <c r="G123" s="503">
        <f>IF(終値!A123="","",IFERROR(4*STDEVP(終値!J123:AC123)/AVERAGE(終値!J123:AC123),""))</f>
        <v>0.11102825274537781</v>
      </c>
      <c r="H123" s="503">
        <f>IF(終値!A123="","",IFERROR(4*STDEVP(終値!K123:AD123)/AVERAGE(終値!K123:AD123),""))</f>
        <v>0.1246578698168765</v>
      </c>
      <c r="I123" s="503">
        <f>IF(終値!A123="","",IFERROR(4*STDEVP(終値!L123:AE123)/AVERAGE(終値!L123:AE123),""))</f>
        <v>0.13807155072827895</v>
      </c>
      <c r="J123" s="503">
        <f>IF(終値!A123="","",IFERROR(4*STDEVP(終値!M123:AF123)/AVERAGE(終値!M123:AF123),""))</f>
        <v>0.14836164854610615</v>
      </c>
      <c r="K123" s="503">
        <f>IF(終値!A123="","",IFERROR(4*STDEVP(終値!N123:AG123)/AVERAGE(終値!N123:AG123),""))</f>
        <v>0.15140807400851966</v>
      </c>
      <c r="L123" s="503">
        <f>IF(終値!A123="","",IFERROR(4*STDEVP(終値!O123:AH123)/AVERAGE(終値!O123:AH123),""))</f>
        <v>0.15337022624395499</v>
      </c>
      <c r="M123" s="503">
        <f>IF(終値!A123="","",IFERROR(4*STDEVP(終値!P123:AI123)/AVERAGE(終値!P123:AI123),""))</f>
        <v>0.15000667084501679</v>
      </c>
      <c r="N123" s="503">
        <f>IF(終値!A123="","",IFERROR(4*STDEVP(終値!Q123:AJ123)/AVERAGE(終値!Q123:AJ123),""))</f>
        <v>0.14670027730439048</v>
      </c>
      <c r="O123" s="503">
        <f>IF(終値!A123="","",IFERROR(4*STDEVP(終値!R123:AK123)/AVERAGE(終値!R123:AK123),""))</f>
        <v>0.15100170651342737</v>
      </c>
      <c r="P123" s="503">
        <f>IF(終値!A123="","",IFERROR(4*STDEVP(終値!S123:AL123)/AVERAGE(終値!S123:AL123),""))</f>
        <v>0.15715416437954088</v>
      </c>
      <c r="Q123" s="503">
        <f>IF(終値!A123="","",IFERROR(4*STDEVP(終値!T123:AM123)/AVERAGE(終値!T123:AM123),""))</f>
        <v>0.15780614711346075</v>
      </c>
      <c r="R123" s="503">
        <f>IF(終値!A123="","",IFERROR(4*STDEVP(終値!U123:AN123)/AVERAGE(終値!U123:AN123),""))</f>
        <v>0.153984953597155</v>
      </c>
      <c r="S123" s="503">
        <f>IF(終値!A123="","",IFERROR(4*STDEVP(終値!V123:AO123)/AVERAGE(終値!V123:AO123),""))</f>
        <v>0.14841986719483111</v>
      </c>
      <c r="T123" s="503">
        <f>IF(終値!A123="","",IFERROR(4*STDEVP(終値!W123:AP123)/AVERAGE(終値!W123:AP123),""))</f>
        <v>0.14493543560652131</v>
      </c>
      <c r="U123" s="503">
        <f>IF(終値!A123="","",IFERROR(4*STDEVP(終値!X123:AQ123)/AVERAGE(終値!X123:AQ123),""))</f>
        <v>0.13810205456928351</v>
      </c>
      <c r="V123" s="503">
        <f>IF(終値!A123="","",IFERROR(4*STDEVP(終値!Y123:AR123)/AVERAGE(終値!Y123:AR123),""))</f>
        <v>0.1238111231718193</v>
      </c>
      <c r="W123" s="503">
        <f>IF(終値!A123="","",IFERROR(4*STDEVP(終値!Z123:AS123)/AVERAGE(終値!Z123:AS123),""))</f>
        <v>0.10862711551424545</v>
      </c>
      <c r="X123" s="503">
        <f>IF(終値!A123="","",IFERROR(4*STDEVP(終値!AA123:AT123)/AVERAGE(終値!AA123:AT123),""))</f>
        <v>8.8158553637325776E-2</v>
      </c>
      <c r="Y123" s="503">
        <f>IF(終値!A123="","",IFERROR(4*STDEVP(終値!AB123:AU123)/AVERAGE(終値!AB123:AU123),""))</f>
        <v>6.5884953075377756E-2</v>
      </c>
      <c r="Z123" s="503">
        <f>IF(終値!A123="","",IFERROR(4*STDEVP(終値!AC123:AV123)/AVERAGE(終値!AC123:AV123),""))</f>
        <v>5.5955399264699376E-2</v>
      </c>
      <c r="AA123" s="503">
        <f>IF(終値!A123="","",IFERROR(4*STDEVP(終値!AD123:AW123)/AVERAGE(終値!AD123:AW123),""))</f>
        <v>5.4112769066767756E-2</v>
      </c>
      <c r="AB123" s="503">
        <f>IF(終値!A123="","",IFERROR(4*STDEVP(終値!AE123:AX123)/AVERAGE(終値!AE123:AX123),""))</f>
        <v>5.3452906303875142E-2</v>
      </c>
      <c r="AC123" s="503">
        <f>IF(終値!A123="","",IFERROR(4*STDEVP(終値!AF123:AY123)/AVERAGE(終値!AF123:AY123),""))</f>
        <v>5.5496415774929087E-2</v>
      </c>
      <c r="AD123" s="503">
        <f>IF(終値!A123="","",IFERROR(4*STDEVP(終値!AG123:AZ123)/AVERAGE(終値!AG123:AZ123),""))</f>
        <v>5.6038659084897281E-2</v>
      </c>
      <c r="AE123" s="503">
        <f>IF(終値!A123="","",IFERROR(4*STDEVP(終値!AH123:BA123)/AVERAGE(終値!AH123:BA123),""))</f>
        <v>5.5796631276892945E-2</v>
      </c>
      <c r="AF123" s="503">
        <f>IF(終値!A123="","",IFERROR(4*STDEVP(終値!AI123:BB123)/AVERAGE(終値!AI123:BB123),""))</f>
        <v>5.5567162935640665E-2</v>
      </c>
      <c r="AG123" s="503">
        <f>IF(終値!A123="","",IFERROR(4*STDEVP(終値!AJ123:BC123)/AVERAGE(終値!AJ123:BC123),""))</f>
        <v>5.1794612335672396E-2</v>
      </c>
      <c r="AH123" s="503">
        <f>IF(終値!A123="","",IFERROR(4*STDEVP(終値!AK123:BD123)/AVERAGE(終値!AK123:BD123),""))</f>
        <v>4.5867772026017967E-2</v>
      </c>
      <c r="AI123" s="503">
        <f>IF(終値!A123="","",IFERROR(4*STDEVP(終値!AL123:BE123)/AVERAGE(終値!AL123:BE123),""))</f>
        <v>5.0980128039051997E-2</v>
      </c>
      <c r="AJ123" s="503">
        <f>IF(終値!A123="","",IFERROR(4*STDEVP(終値!AM123:BF123)/AVERAGE(終値!AM123:BF123),""))</f>
        <v>6.5215593552372345E-2</v>
      </c>
      <c r="AK123" s="503">
        <f>IF(終値!A123="","",IFERROR(4*STDEVP(終値!AN123:BG123)/AVERAGE(終値!AN123:BG123),""))</f>
        <v>6.8178089615049425E-2</v>
      </c>
      <c r="AL123" s="503">
        <f>IF(終値!A123="","",IFERROR(4*STDEVP(終値!AO123:BH123)/AVERAGE(終値!AO123:BH123),""))</f>
        <v>6.7758634261146977E-2</v>
      </c>
      <c r="AM123" s="503">
        <f>IF(終値!A123="","",IFERROR(4*STDEVP(終値!AP123:BI123)/AVERAGE(終値!AP123:BI123),""))</f>
        <v>6.5546274333297322E-2</v>
      </c>
      <c r="AN123" s="503">
        <f>IF(終値!A123="","",IFERROR(4*STDEVP(終値!AQ123:BJ123)/AVERAGE(終値!AQ123:BJ123),""))</f>
        <v>6.5401450236593245E-2</v>
      </c>
      <c r="AO123" s="503">
        <f>IF(終値!A123="","",IFERROR(4*STDEVP(終値!AR123:BK123)/AVERAGE(終値!AR123:BK123),""))</f>
        <v>6.5892578766786197E-2</v>
      </c>
      <c r="AP123" s="503">
        <f>IF(終値!A123="","",IFERROR(4*STDEVP(終値!AS123:BL123)/AVERAGE(終値!AS123:BL123),""))</f>
        <v>8.0276357641020826E-2</v>
      </c>
    </row>
    <row r="124" spans="1:42">
      <c r="A124" s="500" t="str">
        <f>IF(終値!A124="","",終値!A124)</f>
        <v>8801</v>
      </c>
      <c r="B124" s="503">
        <f>IF(終値!A124="","",IFERROR(4*STDEVP(終値!E124:X124)/AVERAGE(終値!E124:X124),""))</f>
        <v>0.10819097684197986</v>
      </c>
      <c r="C124" s="503">
        <f>IF(終値!A124="","",IFERROR(4*STDEVP(終値!F124:Y124)/AVERAGE(終値!F124:Y124),""))</f>
        <v>0.10367891383439261</v>
      </c>
      <c r="D124" s="503">
        <f>IF(終値!A124="","",IFERROR(4*STDEVP(終値!G124:Z124)/AVERAGE(終値!G124:Z124),""))</f>
        <v>9.572660291660276E-2</v>
      </c>
      <c r="E124" s="503">
        <f>IF(終値!A124="","",IFERROR(4*STDEVP(終値!H124:AA124)/AVERAGE(終値!H124:AA124),""))</f>
        <v>8.4301188742852196E-2</v>
      </c>
      <c r="F124" s="503">
        <f>IF(終値!A124="","",IFERROR(4*STDEVP(終値!I124:AB124)/AVERAGE(終値!I124:AB124),""))</f>
        <v>7.8986914858279869E-2</v>
      </c>
      <c r="G124" s="503">
        <f>IF(終値!A124="","",IFERROR(4*STDEVP(終値!J124:AC124)/AVERAGE(終値!J124:AC124),""))</f>
        <v>9.0154672140602771E-2</v>
      </c>
      <c r="H124" s="503">
        <f>IF(終値!A124="","",IFERROR(4*STDEVP(終値!K124:AD124)/AVERAGE(終値!K124:AD124),""))</f>
        <v>8.8035898387531328E-2</v>
      </c>
      <c r="I124" s="503">
        <f>IF(終値!A124="","",IFERROR(4*STDEVP(終値!L124:AE124)/AVERAGE(終値!L124:AE124),""))</f>
        <v>7.5157915039339468E-2</v>
      </c>
      <c r="J124" s="503">
        <f>IF(終値!A124="","",IFERROR(4*STDEVP(終値!M124:AF124)/AVERAGE(終値!M124:AF124),""))</f>
        <v>7.5654668413233983E-2</v>
      </c>
      <c r="K124" s="503">
        <f>IF(終値!A124="","",IFERROR(4*STDEVP(終値!N124:AG124)/AVERAGE(終値!N124:AG124),""))</f>
        <v>7.6415962528334408E-2</v>
      </c>
      <c r="L124" s="503">
        <f>IF(終値!A124="","",IFERROR(4*STDEVP(終値!O124:AH124)/AVERAGE(終値!O124:AH124),""))</f>
        <v>8.4162313422050952E-2</v>
      </c>
      <c r="M124" s="503">
        <f>IF(終値!A124="","",IFERROR(4*STDEVP(終値!P124:AI124)/AVERAGE(終値!P124:AI124),""))</f>
        <v>9.3860538827103962E-2</v>
      </c>
      <c r="N124" s="503">
        <f>IF(終値!A124="","",IFERROR(4*STDEVP(終値!Q124:AJ124)/AVERAGE(終値!Q124:AJ124),""))</f>
        <v>9.4252140015914587E-2</v>
      </c>
      <c r="O124" s="503">
        <f>IF(終値!A124="","",IFERROR(4*STDEVP(終値!R124:AK124)/AVERAGE(終値!R124:AK124),""))</f>
        <v>8.7637553286408251E-2</v>
      </c>
      <c r="P124" s="503">
        <f>IF(終値!A124="","",IFERROR(4*STDEVP(終値!S124:AL124)/AVERAGE(終値!S124:AL124),""))</f>
        <v>8.6527652267411881E-2</v>
      </c>
      <c r="Q124" s="503">
        <f>IF(終値!A124="","",IFERROR(4*STDEVP(終値!T124:AM124)/AVERAGE(終値!T124:AM124),""))</f>
        <v>8.2819536071955066E-2</v>
      </c>
      <c r="R124" s="503">
        <f>IF(終値!A124="","",IFERROR(4*STDEVP(終値!U124:AN124)/AVERAGE(終値!U124:AN124),""))</f>
        <v>8.1349257274035927E-2</v>
      </c>
      <c r="S124" s="503">
        <f>IF(終値!A124="","",IFERROR(4*STDEVP(終値!V124:AO124)/AVERAGE(終値!V124:AO124),""))</f>
        <v>8.8555028213516948E-2</v>
      </c>
      <c r="T124" s="503">
        <f>IF(終値!A124="","",IFERROR(4*STDEVP(終値!W124:AP124)/AVERAGE(終値!W124:AP124),""))</f>
        <v>9.2328451643701667E-2</v>
      </c>
      <c r="U124" s="503">
        <f>IF(終値!A124="","",IFERROR(4*STDEVP(終値!X124:AQ124)/AVERAGE(終値!X124:AQ124),""))</f>
        <v>9.32103052347594E-2</v>
      </c>
      <c r="V124" s="503">
        <f>IF(終値!A124="","",IFERROR(4*STDEVP(終値!Y124:AR124)/AVERAGE(終値!Y124:AR124),""))</f>
        <v>9.3432171233622893E-2</v>
      </c>
      <c r="W124" s="503">
        <f>IF(終値!A124="","",IFERROR(4*STDEVP(終値!Z124:AS124)/AVERAGE(終値!Z124:AS124),""))</f>
        <v>9.1831484103627209E-2</v>
      </c>
      <c r="X124" s="503">
        <f>IF(終値!A124="","",IFERROR(4*STDEVP(終値!AA124:AT124)/AVERAGE(終値!AA124:AT124),""))</f>
        <v>8.7942549976925799E-2</v>
      </c>
      <c r="Y124" s="503">
        <f>IF(終値!A124="","",IFERROR(4*STDEVP(終値!AB124:AU124)/AVERAGE(終値!AB124:AU124),""))</f>
        <v>8.8441833734474201E-2</v>
      </c>
      <c r="Z124" s="503">
        <f>IF(終値!A124="","",IFERROR(4*STDEVP(終値!AC124:AV124)/AVERAGE(終値!AC124:AV124),""))</f>
        <v>8.9454097139168035E-2</v>
      </c>
      <c r="AA124" s="503">
        <f>IF(終値!A124="","",IFERROR(4*STDEVP(終値!AD124:AW124)/AVERAGE(終値!AD124:AW124),""))</f>
        <v>8.8445716324301288E-2</v>
      </c>
      <c r="AB124" s="503">
        <f>IF(終値!A124="","",IFERROR(4*STDEVP(終値!AE124:AX124)/AVERAGE(終値!AE124:AX124),""))</f>
        <v>8.9745733055303964E-2</v>
      </c>
      <c r="AC124" s="503">
        <f>IF(終値!A124="","",IFERROR(4*STDEVP(終値!AF124:AY124)/AVERAGE(終値!AF124:AY124),""))</f>
        <v>8.9256700494748029E-2</v>
      </c>
      <c r="AD124" s="503">
        <f>IF(終値!A124="","",IFERROR(4*STDEVP(終値!AG124:AZ124)/AVERAGE(終値!AG124:AZ124),""))</f>
        <v>8.9323577995238365E-2</v>
      </c>
      <c r="AE124" s="503">
        <f>IF(終値!A124="","",IFERROR(4*STDEVP(終値!AH124:BA124)/AVERAGE(終値!AH124:BA124),""))</f>
        <v>8.7573062956707429E-2</v>
      </c>
      <c r="AF124" s="503">
        <f>IF(終値!A124="","",IFERROR(4*STDEVP(終値!AI124:BB124)/AVERAGE(終値!AI124:BB124),""))</f>
        <v>8.5116957403194846E-2</v>
      </c>
      <c r="AG124" s="503">
        <f>IF(終値!A124="","",IFERROR(4*STDEVP(終値!AJ124:BC124)/AVERAGE(終値!AJ124:BC124),""))</f>
        <v>7.6422754249794264E-2</v>
      </c>
      <c r="AH124" s="503">
        <f>IF(終値!A124="","",IFERROR(4*STDEVP(終値!AK124:BD124)/AVERAGE(終値!AK124:BD124),""))</f>
        <v>7.3532035100444704E-2</v>
      </c>
      <c r="AI124" s="503">
        <f>IF(終値!A124="","",IFERROR(4*STDEVP(終値!AL124:BE124)/AVERAGE(終値!AL124:BE124),""))</f>
        <v>7.4239322372545602E-2</v>
      </c>
      <c r="AJ124" s="503">
        <f>IF(終値!A124="","",IFERROR(4*STDEVP(終値!AM124:BF124)/AVERAGE(終値!AM124:BF124),""))</f>
        <v>7.4864299314218313E-2</v>
      </c>
      <c r="AK124" s="503">
        <f>IF(終値!A124="","",IFERROR(4*STDEVP(終値!AN124:BG124)/AVERAGE(終値!AN124:BG124),""))</f>
        <v>7.6104030481043319E-2</v>
      </c>
      <c r="AL124" s="503">
        <f>IF(終値!A124="","",IFERROR(4*STDEVP(終値!AO124:BH124)/AVERAGE(終値!AO124:BH124),""))</f>
        <v>7.5992830613295814E-2</v>
      </c>
      <c r="AM124" s="503">
        <f>IF(終値!A124="","",IFERROR(4*STDEVP(終値!AP124:BI124)/AVERAGE(終値!AP124:BI124),""))</f>
        <v>0.12557604888924478</v>
      </c>
      <c r="AN124" s="503">
        <f>IF(終値!A124="","",IFERROR(4*STDEVP(終値!AQ124:BJ124)/AVERAGE(終値!AQ124:BJ124),""))</f>
        <v>0.15129267570871122</v>
      </c>
      <c r="AO124" s="503">
        <f>IF(終値!A124="","",IFERROR(4*STDEVP(終値!AR124:BK124)/AVERAGE(終値!AR124:BK124),""))</f>
        <v>0.17092738855624542</v>
      </c>
      <c r="AP124" s="503">
        <f>IF(終値!A124="","",IFERROR(4*STDEVP(終値!AS124:BL124)/AVERAGE(終値!AS124:BL124),""))</f>
        <v>0.18366227162993434</v>
      </c>
    </row>
    <row r="125" spans="1:42">
      <c r="A125" s="500" t="str">
        <f>IF(終値!A125="","",終値!A125)</f>
        <v>8934</v>
      </c>
      <c r="B125" s="503">
        <f>IF(終値!A125="","",IFERROR(4*STDEVP(終値!E125:X125)/AVERAGE(終値!E125:X125),""))</f>
        <v>7.19920892061129E-2</v>
      </c>
      <c r="C125" s="503">
        <f>IF(終値!A125="","",IFERROR(4*STDEVP(終値!F125:Y125)/AVERAGE(終値!F125:Y125),""))</f>
        <v>6.9144604013581398E-2</v>
      </c>
      <c r="D125" s="503">
        <f>IF(終値!A125="","",IFERROR(4*STDEVP(終値!G125:Z125)/AVERAGE(終値!G125:Z125),""))</f>
        <v>6.3622397367876574E-2</v>
      </c>
      <c r="E125" s="503">
        <f>IF(終値!A125="","",IFERROR(4*STDEVP(終値!H125:AA125)/AVERAGE(終値!H125:AA125),""))</f>
        <v>5.6412159072397529E-2</v>
      </c>
      <c r="F125" s="503">
        <f>IF(終値!A125="","",IFERROR(4*STDEVP(終値!I125:AB125)/AVERAGE(終値!I125:AB125),""))</f>
        <v>5.8076227515293052E-2</v>
      </c>
      <c r="G125" s="503">
        <f>IF(終値!A125="","",IFERROR(4*STDEVP(終値!J125:AC125)/AVERAGE(終値!J125:AC125),""))</f>
        <v>7.2965037174610101E-2</v>
      </c>
      <c r="H125" s="503">
        <f>IF(終値!A125="","",IFERROR(4*STDEVP(終値!K125:AD125)/AVERAGE(終値!K125:AD125),""))</f>
        <v>7.6435522448948384E-2</v>
      </c>
      <c r="I125" s="503">
        <f>IF(終値!A125="","",IFERROR(4*STDEVP(終値!L125:AE125)/AVERAGE(終値!L125:AE125),""))</f>
        <v>7.2486798569694408E-2</v>
      </c>
      <c r="J125" s="503">
        <f>IF(終値!A125="","",IFERROR(4*STDEVP(終値!M125:AF125)/AVERAGE(終値!M125:AF125),""))</f>
        <v>7.8956039602699563E-2</v>
      </c>
      <c r="K125" s="503">
        <f>IF(終値!A125="","",IFERROR(4*STDEVP(終値!N125:AG125)/AVERAGE(終値!N125:AG125),""))</f>
        <v>8.5031060225876767E-2</v>
      </c>
      <c r="L125" s="503">
        <f>IF(終値!A125="","",IFERROR(4*STDEVP(終値!O125:AH125)/AVERAGE(終値!O125:AH125),""))</f>
        <v>9.805567514412164E-2</v>
      </c>
      <c r="M125" s="503">
        <f>IF(終値!A125="","",IFERROR(4*STDEVP(終値!P125:AI125)/AVERAGE(終値!P125:AI125),""))</f>
        <v>0.10730055191031419</v>
      </c>
      <c r="N125" s="503">
        <f>IF(終値!A125="","",IFERROR(4*STDEVP(終値!Q125:AJ125)/AVERAGE(終値!Q125:AJ125),""))</f>
        <v>0.11133257554033796</v>
      </c>
      <c r="O125" s="503">
        <f>IF(終値!A125="","",IFERROR(4*STDEVP(終値!R125:AK125)/AVERAGE(終値!R125:AK125),""))</f>
        <v>0.11001565462252508</v>
      </c>
      <c r="P125" s="503">
        <f>IF(終値!A125="","",IFERROR(4*STDEVP(終値!S125:AL125)/AVERAGE(終値!S125:AL125),""))</f>
        <v>0.11331459914728724</v>
      </c>
      <c r="Q125" s="503">
        <f>IF(終値!A125="","",IFERROR(4*STDEVP(終値!T125:AM125)/AVERAGE(終値!T125:AM125),""))</f>
        <v>0.11056970825860574</v>
      </c>
      <c r="R125" s="503">
        <f>IF(終値!A125="","",IFERROR(4*STDEVP(終値!U125:AN125)/AVERAGE(終値!U125:AN125),""))</f>
        <v>0.10982690361426373</v>
      </c>
      <c r="S125" s="503">
        <f>IF(終値!A125="","",IFERROR(4*STDEVP(終値!V125:AO125)/AVERAGE(終値!V125:AO125),""))</f>
        <v>0.10904532421609182</v>
      </c>
      <c r="T125" s="503">
        <f>IF(終値!A125="","",IFERROR(4*STDEVP(終値!W125:AP125)/AVERAGE(終値!W125:AP125),""))</f>
        <v>0.10521447606872823</v>
      </c>
      <c r="U125" s="503">
        <f>IF(終値!A125="","",IFERROR(4*STDEVP(終値!X125:AQ125)/AVERAGE(終値!X125:AQ125),""))</f>
        <v>0.10051214734235281</v>
      </c>
      <c r="V125" s="503">
        <f>IF(終値!A125="","",IFERROR(4*STDEVP(終値!Y125:AR125)/AVERAGE(終値!Y125:AR125),""))</f>
        <v>8.6660082803258903E-2</v>
      </c>
      <c r="W125" s="503">
        <f>IF(終値!A125="","",IFERROR(4*STDEVP(終値!Z125:AS125)/AVERAGE(終値!Z125:AS125),""))</f>
        <v>7.5344609485117051E-2</v>
      </c>
      <c r="X125" s="503">
        <f>IF(終値!A125="","",IFERROR(4*STDEVP(終値!AA125:AT125)/AVERAGE(終値!AA125:AT125),""))</f>
        <v>6.462149719786664E-2</v>
      </c>
      <c r="Y125" s="503">
        <f>IF(終値!A125="","",IFERROR(4*STDEVP(終値!AB125:AU125)/AVERAGE(終値!AB125:AU125),""))</f>
        <v>6.7804318249217052E-2</v>
      </c>
      <c r="Z125" s="503">
        <f>IF(終値!A125="","",IFERROR(4*STDEVP(終値!AC125:AV125)/AVERAGE(終値!AC125:AV125),""))</f>
        <v>7.2376075177117513E-2</v>
      </c>
      <c r="AA125" s="503">
        <f>IF(終値!A125="","",IFERROR(4*STDEVP(終値!AD125:AW125)/AVERAGE(終値!AD125:AW125),""))</f>
        <v>7.9604194060297881E-2</v>
      </c>
      <c r="AB125" s="503">
        <f>IF(終値!A125="","",IFERROR(4*STDEVP(終値!AE125:AX125)/AVERAGE(終値!AE125:AX125),""))</f>
        <v>7.4632388034694117E-2</v>
      </c>
      <c r="AC125" s="503">
        <f>IF(終値!A125="","",IFERROR(4*STDEVP(終値!AF125:AY125)/AVERAGE(終値!AF125:AY125),""))</f>
        <v>6.4030578846453759E-2</v>
      </c>
      <c r="AD125" s="503">
        <f>IF(終値!A125="","",IFERROR(4*STDEVP(終値!AG125:AZ125)/AVERAGE(終値!AG125:AZ125),""))</f>
        <v>6.2039250451957205E-2</v>
      </c>
      <c r="AE125" s="503">
        <f>IF(終値!A125="","",IFERROR(4*STDEVP(終値!AH125:BA125)/AVERAGE(終値!AH125:BA125),""))</f>
        <v>6.179822013238908E-2</v>
      </c>
      <c r="AF125" s="503">
        <f>IF(終値!A125="","",IFERROR(4*STDEVP(終値!AI125:BB125)/AVERAGE(終値!AI125:BB125),""))</f>
        <v>6.179822013238908E-2</v>
      </c>
      <c r="AG125" s="503">
        <f>IF(終値!A125="","",IFERROR(4*STDEVP(終値!AJ125:BC125)/AVERAGE(終値!AJ125:BC125),""))</f>
        <v>6.5521115285843701E-2</v>
      </c>
      <c r="AH125" s="503">
        <f>IF(終値!A125="","",IFERROR(4*STDEVP(終値!AK125:BD125)/AVERAGE(終値!AK125:BD125),""))</f>
        <v>6.5457460632034212E-2</v>
      </c>
      <c r="AI125" s="503">
        <f>IF(終値!A125="","",IFERROR(4*STDEVP(終値!AL125:BE125)/AVERAGE(終値!AL125:BE125),""))</f>
        <v>7.2153515284210754E-2</v>
      </c>
      <c r="AJ125" s="503">
        <f>IF(終値!A125="","",IFERROR(4*STDEVP(終値!AM125:BF125)/AVERAGE(終値!AM125:BF125),""))</f>
        <v>7.451814331422249E-2</v>
      </c>
      <c r="AK125" s="503">
        <f>IF(終値!A125="","",IFERROR(4*STDEVP(終値!AN125:BG125)/AVERAGE(終値!AN125:BG125),""))</f>
        <v>8.5447173761048517E-2</v>
      </c>
      <c r="AL125" s="503">
        <f>IF(終値!A125="","",IFERROR(4*STDEVP(終値!AO125:BH125)/AVERAGE(終値!AO125:BH125),""))</f>
        <v>9.106925579036057E-2</v>
      </c>
      <c r="AM125" s="503">
        <f>IF(終値!A125="","",IFERROR(4*STDEVP(終値!AP125:BI125)/AVERAGE(終値!AP125:BI125),""))</f>
        <v>9.5384627206087702E-2</v>
      </c>
      <c r="AN125" s="503">
        <f>IF(終値!A125="","",IFERROR(4*STDEVP(終値!AQ125:BJ125)/AVERAGE(終値!AQ125:BJ125),""))</f>
        <v>9.9340182861906587E-2</v>
      </c>
      <c r="AO125" s="503">
        <f>IF(終値!A125="","",IFERROR(4*STDEVP(終値!AR125:BK125)/AVERAGE(終値!AR125:BK125),""))</f>
        <v>0.11684591250018855</v>
      </c>
      <c r="AP125" s="503">
        <f>IF(終値!A125="","",IFERROR(4*STDEVP(終値!AS125:BL125)/AVERAGE(終値!AS125:BL125),""))</f>
        <v>0.14286644166231238</v>
      </c>
    </row>
    <row r="126" spans="1:42">
      <c r="A126" s="500" t="str">
        <f>IF(終値!A126="","",終値!A126)</f>
        <v>9416</v>
      </c>
      <c r="B126" s="503">
        <f>IF(終値!A126="","",IFERROR(4*STDEVP(終値!E126:X126)/AVERAGE(終値!E126:X126),""))</f>
        <v>5.9471476019934369E-2</v>
      </c>
      <c r="C126" s="503">
        <f>IF(終値!A126="","",IFERROR(4*STDEVP(終値!F126:Y126)/AVERAGE(終値!F126:Y126),""))</f>
        <v>5.9164733051973541E-2</v>
      </c>
      <c r="D126" s="503">
        <f>IF(終値!A126="","",IFERROR(4*STDEVP(終値!G126:Z126)/AVERAGE(終値!G126:Z126),""))</f>
        <v>5.9088650163593007E-2</v>
      </c>
      <c r="E126" s="503">
        <f>IF(終値!A126="","",IFERROR(4*STDEVP(終値!H126:AA126)/AVERAGE(終値!H126:AA126),""))</f>
        <v>6.0027080136797008E-2</v>
      </c>
      <c r="F126" s="503">
        <f>IF(終値!A126="","",IFERROR(4*STDEVP(終値!I126:AB126)/AVERAGE(終値!I126:AB126),""))</f>
        <v>6.4278439222576644E-2</v>
      </c>
      <c r="G126" s="503">
        <f>IF(終値!A126="","",IFERROR(4*STDEVP(終値!J126:AC126)/AVERAGE(終値!J126:AC126),""))</f>
        <v>7.3273962319276978E-2</v>
      </c>
      <c r="H126" s="503">
        <f>IF(終値!A126="","",IFERROR(4*STDEVP(終値!K126:AD126)/AVERAGE(終値!K126:AD126),""))</f>
        <v>7.5134895262020315E-2</v>
      </c>
      <c r="I126" s="503">
        <f>IF(終値!A126="","",IFERROR(4*STDEVP(終値!L126:AE126)/AVERAGE(終値!L126:AE126),""))</f>
        <v>6.760000071510501E-2</v>
      </c>
      <c r="J126" s="503">
        <f>IF(終値!A126="","",IFERROR(4*STDEVP(終値!M126:AF126)/AVERAGE(終値!M126:AF126),""))</f>
        <v>6.5622700982973237E-2</v>
      </c>
      <c r="K126" s="503">
        <f>IF(終値!A126="","",IFERROR(4*STDEVP(終値!N126:AG126)/AVERAGE(終値!N126:AG126),""))</f>
        <v>6.5604926764938037E-2</v>
      </c>
      <c r="L126" s="503">
        <f>IF(終値!A126="","",IFERROR(4*STDEVP(終値!O126:AH126)/AVERAGE(終値!O126:AH126),""))</f>
        <v>6.725191230293659E-2</v>
      </c>
      <c r="M126" s="503">
        <f>IF(終値!A126="","",IFERROR(4*STDEVP(終値!P126:AI126)/AVERAGE(終値!P126:AI126),""))</f>
        <v>6.777212323802656E-2</v>
      </c>
      <c r="N126" s="503">
        <f>IF(終値!A126="","",IFERROR(4*STDEVP(終値!Q126:AJ126)/AVERAGE(終値!Q126:AJ126),""))</f>
        <v>7.0415744533094918E-2</v>
      </c>
      <c r="O126" s="503">
        <f>IF(終値!A126="","",IFERROR(4*STDEVP(終値!R126:AK126)/AVERAGE(終値!R126:AK126),""))</f>
        <v>7.5780478079127259E-2</v>
      </c>
      <c r="P126" s="503">
        <f>IF(終値!A126="","",IFERROR(4*STDEVP(終値!S126:AL126)/AVERAGE(終値!S126:AL126),""))</f>
        <v>7.8778713910101619E-2</v>
      </c>
      <c r="Q126" s="503">
        <f>IF(終値!A126="","",IFERROR(4*STDEVP(終値!T126:AM126)/AVERAGE(終値!T126:AM126),""))</f>
        <v>7.8929977877670865E-2</v>
      </c>
      <c r="R126" s="503">
        <f>IF(終値!A126="","",IFERROR(4*STDEVP(終値!U126:AN126)/AVERAGE(終値!U126:AN126),""))</f>
        <v>7.9280567450686526E-2</v>
      </c>
      <c r="S126" s="503">
        <f>IF(終値!A126="","",IFERROR(4*STDEVP(終値!V126:AO126)/AVERAGE(終値!V126:AO126),""))</f>
        <v>8.0725819423959483E-2</v>
      </c>
      <c r="T126" s="503">
        <f>IF(終値!A126="","",IFERROR(4*STDEVP(終値!W126:AP126)/AVERAGE(終値!W126:AP126),""))</f>
        <v>8.126721852086248E-2</v>
      </c>
      <c r="U126" s="503">
        <f>IF(終値!A126="","",IFERROR(4*STDEVP(終値!X126:AQ126)/AVERAGE(終値!X126:AQ126),""))</f>
        <v>8.1052355496759113E-2</v>
      </c>
      <c r="V126" s="503">
        <f>IF(終値!A126="","",IFERROR(4*STDEVP(終値!Y126:AR126)/AVERAGE(終値!Y126:AR126),""))</f>
        <v>8.1358466062235957E-2</v>
      </c>
      <c r="W126" s="503">
        <f>IF(終値!A126="","",IFERROR(4*STDEVP(終値!Z126:AS126)/AVERAGE(終値!Z126:AS126),""))</f>
        <v>8.5010739672841049E-2</v>
      </c>
      <c r="X126" s="503">
        <f>IF(終値!A126="","",IFERROR(4*STDEVP(終値!AA126:AT126)/AVERAGE(終値!AA126:AT126),""))</f>
        <v>8.6996561652318782E-2</v>
      </c>
      <c r="Y126" s="503">
        <f>IF(終値!A126="","",IFERROR(4*STDEVP(終値!AB126:AU126)/AVERAGE(終値!AB126:AU126),""))</f>
        <v>8.7026836369099997E-2</v>
      </c>
      <c r="Z126" s="503">
        <f>IF(終値!A126="","",IFERROR(4*STDEVP(終値!AC126:AV126)/AVERAGE(終値!AC126:AV126),""))</f>
        <v>8.5935535021301468E-2</v>
      </c>
      <c r="AA126" s="503">
        <f>IF(終値!A126="","",IFERROR(4*STDEVP(終値!AD126:AW126)/AVERAGE(終値!AD126:AW126),""))</f>
        <v>7.9226506655864407E-2</v>
      </c>
      <c r="AB126" s="503">
        <f>IF(終値!A126="","",IFERROR(4*STDEVP(終値!AE126:AX126)/AVERAGE(終値!AE126:AX126),""))</f>
        <v>8.7286870606854708E-2</v>
      </c>
      <c r="AC126" s="503">
        <f>IF(終値!A126="","",IFERROR(4*STDEVP(終値!AF126:AY126)/AVERAGE(終値!AF126:AY126),""))</f>
        <v>8.8852729803590047E-2</v>
      </c>
      <c r="AD126" s="503">
        <f>IF(終値!A126="","",IFERROR(4*STDEVP(終値!AG126:AZ126)/AVERAGE(終値!AG126:AZ126),""))</f>
        <v>9.1496748273737064E-2</v>
      </c>
      <c r="AE126" s="503">
        <f>IF(終値!A126="","",IFERROR(4*STDEVP(終値!AH126:BA126)/AVERAGE(終値!AH126:BA126),""))</f>
        <v>0.10527735847651395</v>
      </c>
      <c r="AF126" s="503">
        <f>IF(終値!A126="","",IFERROR(4*STDEVP(終値!AI126:BB126)/AVERAGE(終値!AI126:BB126),""))</f>
        <v>9.6590479311909658E-2</v>
      </c>
      <c r="AG126" s="503">
        <f>IF(終値!A126="","",IFERROR(4*STDEVP(終値!AJ126:BC126)/AVERAGE(終値!AJ126:BC126),""))</f>
        <v>8.9312612337054176E-2</v>
      </c>
      <c r="AH126" s="503">
        <f>IF(終値!A126="","",IFERROR(4*STDEVP(終値!AK126:BD126)/AVERAGE(終値!AK126:BD126),""))</f>
        <v>8.8991857894315074E-2</v>
      </c>
      <c r="AI126" s="503">
        <f>IF(終値!A126="","",IFERROR(4*STDEVP(終値!AL126:BE126)/AVERAGE(終値!AL126:BE126),""))</f>
        <v>8.9041416566038006E-2</v>
      </c>
      <c r="AJ126" s="503">
        <f>IF(終値!A126="","",IFERROR(4*STDEVP(終値!AM126:BF126)/AVERAGE(終値!AM126:BF126),""))</f>
        <v>9.1493283605207629E-2</v>
      </c>
      <c r="AK126" s="503">
        <f>IF(終値!A126="","",IFERROR(4*STDEVP(終値!AN126:BG126)/AVERAGE(終値!AN126:BG126),""))</f>
        <v>9.1088536306206364E-2</v>
      </c>
      <c r="AL126" s="503">
        <f>IF(終値!A126="","",IFERROR(4*STDEVP(終値!AO126:BH126)/AVERAGE(終値!AO126:BH126),""))</f>
        <v>0.11030316589153236</v>
      </c>
      <c r="AM126" s="503">
        <f>IF(終値!A126="","",IFERROR(4*STDEVP(終値!AP126:BI126)/AVERAGE(終値!AP126:BI126),""))</f>
        <v>0.1188284130926444</v>
      </c>
      <c r="AN126" s="503">
        <f>IF(終値!A126="","",IFERROR(4*STDEVP(終値!AQ126:BJ126)/AVERAGE(終値!AQ126:BJ126),""))</f>
        <v>0.12785912616628117</v>
      </c>
      <c r="AO126" s="503">
        <f>IF(終値!A126="","",IFERROR(4*STDEVP(終値!AR126:BK126)/AVERAGE(終値!AR126:BK126),""))</f>
        <v>0.13539050899259245</v>
      </c>
      <c r="AP126" s="503">
        <f>IF(終値!A126="","",IFERROR(4*STDEVP(終値!AS126:BL126)/AVERAGE(終値!AS126:BL126),""))</f>
        <v>0.14219141971921934</v>
      </c>
    </row>
    <row r="127" spans="1:42">
      <c r="A127" s="500" t="str">
        <f>IF(終値!A127="","",終値!A127)</f>
        <v>9532</v>
      </c>
      <c r="B127" s="503">
        <f>IF(終値!A127="","",IFERROR(4*STDEVP(終値!E127:X127)/AVERAGE(終値!E127:X127),""))</f>
        <v>6.1631623997012761E-2</v>
      </c>
      <c r="C127" s="503">
        <f>IF(終値!A127="","",IFERROR(4*STDEVP(終値!F127:Y127)/AVERAGE(終値!F127:Y127),""))</f>
        <v>6.2558959647583429E-2</v>
      </c>
      <c r="D127" s="503">
        <f>IF(終値!A127="","",IFERROR(4*STDEVP(終値!G127:Z127)/AVERAGE(終値!G127:Z127),""))</f>
        <v>5.8930781844743339E-2</v>
      </c>
      <c r="E127" s="503">
        <f>IF(終値!A127="","",IFERROR(4*STDEVP(終値!H127:AA127)/AVERAGE(終値!H127:AA127),""))</f>
        <v>5.9411456750531062E-2</v>
      </c>
      <c r="F127" s="503">
        <f>IF(終値!A127="","",IFERROR(4*STDEVP(終値!I127:AB127)/AVERAGE(終値!I127:AB127),""))</f>
        <v>6.23816431553538E-2</v>
      </c>
      <c r="G127" s="503">
        <f>IF(終値!A127="","",IFERROR(4*STDEVP(終値!J127:AC127)/AVERAGE(終値!J127:AC127),""))</f>
        <v>6.6101936430265462E-2</v>
      </c>
      <c r="H127" s="503">
        <f>IF(終値!A127="","",IFERROR(4*STDEVP(終値!K127:AD127)/AVERAGE(終値!K127:AD127),""))</f>
        <v>6.4876155135779226E-2</v>
      </c>
      <c r="I127" s="503">
        <f>IF(終値!A127="","",IFERROR(4*STDEVP(終値!L127:AE127)/AVERAGE(終値!L127:AE127),""))</f>
        <v>5.7799856470248635E-2</v>
      </c>
      <c r="J127" s="503">
        <f>IF(終値!A127="","",IFERROR(4*STDEVP(終値!M127:AF127)/AVERAGE(終値!M127:AF127),""))</f>
        <v>5.5514154749707743E-2</v>
      </c>
      <c r="K127" s="503">
        <f>IF(終値!A127="","",IFERROR(4*STDEVP(終値!N127:AG127)/AVERAGE(終値!N127:AG127),""))</f>
        <v>5.0575347942638925E-2</v>
      </c>
      <c r="L127" s="503">
        <f>IF(終値!A127="","",IFERROR(4*STDEVP(終値!O127:AH127)/AVERAGE(終値!O127:AH127),""))</f>
        <v>4.6957487511865931E-2</v>
      </c>
      <c r="M127" s="503">
        <f>IF(終値!A127="","",IFERROR(4*STDEVP(終値!P127:AI127)/AVERAGE(終値!P127:AI127),""))</f>
        <v>4.6639605064987412E-2</v>
      </c>
      <c r="N127" s="503">
        <f>IF(終値!A127="","",IFERROR(4*STDEVP(終値!Q127:AJ127)/AVERAGE(終値!Q127:AJ127),""))</f>
        <v>4.7205721750110279E-2</v>
      </c>
      <c r="O127" s="503">
        <f>IF(終値!A127="","",IFERROR(4*STDEVP(終値!R127:AK127)/AVERAGE(終値!R127:AK127),""))</f>
        <v>4.6968451976166829E-2</v>
      </c>
      <c r="P127" s="503">
        <f>IF(終値!A127="","",IFERROR(4*STDEVP(終値!S127:AL127)/AVERAGE(終値!S127:AL127),""))</f>
        <v>4.6533462802004356E-2</v>
      </c>
      <c r="Q127" s="503">
        <f>IF(終値!A127="","",IFERROR(4*STDEVP(終値!T127:AM127)/AVERAGE(終値!T127:AM127),""))</f>
        <v>4.6794847989067002E-2</v>
      </c>
      <c r="R127" s="503">
        <f>IF(終値!A127="","",IFERROR(4*STDEVP(終値!U127:AN127)/AVERAGE(終値!U127:AN127),""))</f>
        <v>4.7761830810299971E-2</v>
      </c>
      <c r="S127" s="503">
        <f>IF(終値!A127="","",IFERROR(4*STDEVP(終値!V127:AO127)/AVERAGE(終値!V127:AO127),""))</f>
        <v>4.5104087813050857E-2</v>
      </c>
      <c r="T127" s="503">
        <f>IF(終値!A127="","",IFERROR(4*STDEVP(終値!W127:AP127)/AVERAGE(終値!W127:AP127),""))</f>
        <v>5.2848885614537856E-2</v>
      </c>
      <c r="U127" s="503">
        <f>IF(終値!A127="","",IFERROR(4*STDEVP(終値!X127:AQ127)/AVERAGE(終値!X127:AQ127),""))</f>
        <v>6.4353677235091292E-2</v>
      </c>
      <c r="V127" s="503">
        <f>IF(終値!A127="","",IFERROR(4*STDEVP(終値!Y127:AR127)/AVERAGE(終値!Y127:AR127),""))</f>
        <v>6.4866265498737682E-2</v>
      </c>
      <c r="W127" s="503">
        <f>IF(終値!A127="","",IFERROR(4*STDEVP(終値!Z127:AS127)/AVERAGE(終値!Z127:AS127),""))</f>
        <v>6.4527013575952974E-2</v>
      </c>
      <c r="X127" s="503">
        <f>IF(終値!A127="","",IFERROR(4*STDEVP(終値!AA127:AT127)/AVERAGE(終値!AA127:AT127),""))</f>
        <v>6.3993981153167998E-2</v>
      </c>
      <c r="Y127" s="503">
        <f>IF(終値!A127="","",IFERROR(4*STDEVP(終値!AB127:AU127)/AVERAGE(終値!AB127:AU127),""))</f>
        <v>6.2268969699869142E-2</v>
      </c>
      <c r="Z127" s="503">
        <f>IF(終値!A127="","",IFERROR(4*STDEVP(終値!AC127:AV127)/AVERAGE(終値!AC127:AV127),""))</f>
        <v>6.1199109779923384E-2</v>
      </c>
      <c r="AA127" s="503">
        <f>IF(終値!A127="","",IFERROR(4*STDEVP(終値!AD127:AW127)/AVERAGE(終値!AD127:AW127),""))</f>
        <v>5.5566061318977546E-2</v>
      </c>
      <c r="AB127" s="503">
        <f>IF(終値!A127="","",IFERROR(4*STDEVP(終値!AE127:AX127)/AVERAGE(終値!AE127:AX127),""))</f>
        <v>5.8324928273737274E-2</v>
      </c>
      <c r="AC127" s="503">
        <f>IF(終値!A127="","",IFERROR(4*STDEVP(終値!AF127:AY127)/AVERAGE(終値!AF127:AY127),""))</f>
        <v>5.9813798304550664E-2</v>
      </c>
      <c r="AD127" s="503">
        <f>IF(終値!A127="","",IFERROR(4*STDEVP(終値!AG127:AZ127)/AVERAGE(終値!AG127:AZ127),""))</f>
        <v>5.8253827395045372E-2</v>
      </c>
      <c r="AE127" s="503">
        <f>IF(終値!A127="","",IFERROR(4*STDEVP(終値!AH127:BA127)/AVERAGE(終値!AH127:BA127),""))</f>
        <v>5.7060846249461394E-2</v>
      </c>
      <c r="AF127" s="503">
        <f>IF(終値!A127="","",IFERROR(4*STDEVP(終値!AI127:BB127)/AVERAGE(終値!AI127:BB127),""))</f>
        <v>6.1787427427953304E-2</v>
      </c>
      <c r="AG127" s="503">
        <f>IF(終値!A127="","",IFERROR(4*STDEVP(終値!AJ127:BC127)/AVERAGE(終値!AJ127:BC127),""))</f>
        <v>6.6940882193082932E-2</v>
      </c>
      <c r="AH127" s="503">
        <f>IF(終値!A127="","",IFERROR(4*STDEVP(終値!AK127:BD127)/AVERAGE(終値!AK127:BD127),""))</f>
        <v>7.7441509313844151E-2</v>
      </c>
      <c r="AI127" s="503">
        <f>IF(終値!A127="","",IFERROR(4*STDEVP(終値!AL127:BE127)/AVERAGE(終値!AL127:BE127),""))</f>
        <v>8.7194666606055654E-2</v>
      </c>
      <c r="AJ127" s="503">
        <f>IF(終値!A127="","",IFERROR(4*STDEVP(終値!AM127:BF127)/AVERAGE(終値!AM127:BF127),""))</f>
        <v>8.6483015754655321E-2</v>
      </c>
      <c r="AK127" s="503">
        <f>IF(終値!A127="","",IFERROR(4*STDEVP(終値!AN127:BG127)/AVERAGE(終値!AN127:BG127),""))</f>
        <v>8.8989457047545142E-2</v>
      </c>
      <c r="AL127" s="503">
        <f>IF(終値!A127="","",IFERROR(4*STDEVP(終値!AO127:BH127)/AVERAGE(終値!AO127:BH127),""))</f>
        <v>9.1842071623723029E-2</v>
      </c>
      <c r="AM127" s="503">
        <f>IF(終値!A127="","",IFERROR(4*STDEVP(終値!AP127:BI127)/AVERAGE(終値!AP127:BI127),""))</f>
        <v>9.5371766711311479E-2</v>
      </c>
      <c r="AN127" s="503">
        <f>IF(終値!A127="","",IFERROR(4*STDEVP(終値!AQ127:BJ127)/AVERAGE(終値!AQ127:BJ127),""))</f>
        <v>9.6744631425519048E-2</v>
      </c>
      <c r="AO127" s="503">
        <f>IF(終値!A127="","",IFERROR(4*STDEVP(終値!AR127:BK127)/AVERAGE(終値!AR127:BK127),""))</f>
        <v>9.5976154829920515E-2</v>
      </c>
      <c r="AP127" s="503">
        <f>IF(終値!A127="","",IFERROR(4*STDEVP(終値!AS127:BL127)/AVERAGE(終値!AS127:BL127),""))</f>
        <v>9.8733035239316175E-2</v>
      </c>
    </row>
    <row r="128" spans="1:42">
      <c r="A128" s="500" t="str">
        <f>IF(終値!A128="","",終値!A128)</f>
        <v>6330</v>
      </c>
      <c r="B128" s="503">
        <f>IF(終値!A128="","",IFERROR(4*STDEVP(終値!E128:X128)/AVERAGE(終値!E128:X128),""))</f>
        <v>0.16045531023310125</v>
      </c>
      <c r="C128" s="503">
        <f>IF(終値!A128="","",IFERROR(4*STDEVP(終値!F128:Y128)/AVERAGE(終値!F128:Y128),""))</f>
        <v>0.16376541847332213</v>
      </c>
      <c r="D128" s="503">
        <f>IF(終値!A128="","",IFERROR(4*STDEVP(終値!G128:Z128)/AVERAGE(終値!G128:Z128),""))</f>
        <v>0.17800722982294237</v>
      </c>
      <c r="E128" s="503">
        <f>IF(終値!A128="","",IFERROR(4*STDEVP(終値!H128:AA128)/AVERAGE(終値!H128:AA128),""))</f>
        <v>0.18418389296625648</v>
      </c>
      <c r="F128" s="503">
        <f>IF(終値!A128="","",IFERROR(4*STDEVP(終値!I128:AB128)/AVERAGE(終値!I128:AB128),""))</f>
        <v>0.18475006156443285</v>
      </c>
      <c r="G128" s="503">
        <f>IF(終値!A128="","",IFERROR(4*STDEVP(終値!J128:AC128)/AVERAGE(終値!J128:AC128),""))</f>
        <v>0.18488375664628801</v>
      </c>
      <c r="H128" s="503">
        <f>IF(終値!A128="","",IFERROR(4*STDEVP(終値!K128:AD128)/AVERAGE(終値!K128:AD128),""))</f>
        <v>0.18227638617212388</v>
      </c>
      <c r="I128" s="503">
        <f>IF(終値!A128="","",IFERROR(4*STDEVP(終値!L128:AE128)/AVERAGE(終値!L128:AE128),""))</f>
        <v>0.19465100011637759</v>
      </c>
      <c r="J128" s="503">
        <f>IF(終値!A128="","",IFERROR(4*STDEVP(終値!M128:AF128)/AVERAGE(終値!M128:AF128),""))</f>
        <v>0.19600839561545844</v>
      </c>
      <c r="K128" s="503">
        <f>IF(終値!A128="","",IFERROR(4*STDEVP(終値!N128:AG128)/AVERAGE(終値!N128:AG128),""))</f>
        <v>0.18922920506944399</v>
      </c>
      <c r="L128" s="503">
        <f>IF(終値!A128="","",IFERROR(4*STDEVP(終値!O128:AH128)/AVERAGE(終値!O128:AH128),""))</f>
        <v>0.18681188752447664</v>
      </c>
      <c r="M128" s="503">
        <f>IF(終値!A128="","",IFERROR(4*STDEVP(終値!P128:AI128)/AVERAGE(終値!P128:AI128),""))</f>
        <v>0.18896251056296534</v>
      </c>
      <c r="N128" s="503">
        <f>IF(終値!A128="","",IFERROR(4*STDEVP(終値!Q128:AJ128)/AVERAGE(終値!Q128:AJ128),""))</f>
        <v>0.18685030614814799</v>
      </c>
      <c r="O128" s="503">
        <f>IF(終値!A128="","",IFERROR(4*STDEVP(終値!R128:AK128)/AVERAGE(終値!R128:AK128),""))</f>
        <v>0.18415959039583943</v>
      </c>
      <c r="P128" s="503">
        <f>IF(終値!A128="","",IFERROR(4*STDEVP(終値!S128:AL128)/AVERAGE(終値!S128:AL128),""))</f>
        <v>0.15732303958675439</v>
      </c>
      <c r="Q128" s="503">
        <f>IF(終値!A128="","",IFERROR(4*STDEVP(終値!T128:AM128)/AVERAGE(終値!T128:AM128),""))</f>
        <v>0.17561933741898986</v>
      </c>
      <c r="R128" s="503">
        <f>IF(終値!A128="","",IFERROR(4*STDEVP(終値!U128:AN128)/AVERAGE(終値!U128:AN128),""))</f>
        <v>0.17589389266632988</v>
      </c>
      <c r="S128" s="503">
        <f>IF(終値!A128="","",IFERROR(4*STDEVP(終値!V128:AO128)/AVERAGE(終値!V128:AO128),""))</f>
        <v>0.17222749052764941</v>
      </c>
      <c r="T128" s="503">
        <f>IF(終値!A128="","",IFERROR(4*STDEVP(終値!W128:AP128)/AVERAGE(終値!W128:AP128),""))</f>
        <v>0.17447097630911601</v>
      </c>
      <c r="U128" s="503">
        <f>IF(終値!A128="","",IFERROR(4*STDEVP(終値!X128:AQ128)/AVERAGE(終値!X128:AQ128),""))</f>
        <v>0.19413233106552544</v>
      </c>
      <c r="V128" s="503">
        <f>IF(終値!A128="","",IFERROR(4*STDEVP(終値!Y128:AR128)/AVERAGE(終値!Y128:AR128),""))</f>
        <v>0.20158004948000674</v>
      </c>
      <c r="W128" s="503">
        <f>IF(終値!A128="","",IFERROR(4*STDEVP(終値!Z128:AS128)/AVERAGE(終値!Z128:AS128),""))</f>
        <v>0.20192974864231561</v>
      </c>
      <c r="X128" s="503">
        <f>IF(終値!A128="","",IFERROR(4*STDEVP(終値!AA128:AT128)/AVERAGE(終値!AA128:AT128),""))</f>
        <v>0.19121956261957646</v>
      </c>
      <c r="Y128" s="503">
        <f>IF(終値!A128="","",IFERROR(4*STDEVP(終値!AB128:AU128)/AVERAGE(終値!AB128:AU128),""))</f>
        <v>0.19018422355745662</v>
      </c>
      <c r="Z128" s="503">
        <f>IF(終値!A128="","",IFERROR(4*STDEVP(終値!AC128:AV128)/AVERAGE(終値!AC128:AV128),""))</f>
        <v>0.18974325324299135</v>
      </c>
      <c r="AA128" s="503">
        <f>IF(終値!A128="","",IFERROR(4*STDEVP(終値!AD128:AW128)/AVERAGE(終値!AD128:AW128),""))</f>
        <v>0.19129534651007973</v>
      </c>
      <c r="AB128" s="503">
        <f>IF(終値!A128="","",IFERROR(4*STDEVP(終値!AE128:AX128)/AVERAGE(終値!AE128:AX128),""))</f>
        <v>0.19134908205108428</v>
      </c>
      <c r="AC128" s="503">
        <f>IF(終値!A128="","",IFERROR(4*STDEVP(終値!AF128:AY128)/AVERAGE(終値!AF128:AY128),""))</f>
        <v>0.18514207196328167</v>
      </c>
      <c r="AD128" s="503">
        <f>IF(終値!A128="","",IFERROR(4*STDEVP(終値!AG128:AZ128)/AVERAGE(終値!AG128:AZ128),""))</f>
        <v>0.18675191511798775</v>
      </c>
      <c r="AE128" s="503">
        <f>IF(終値!A128="","",IFERROR(4*STDEVP(終値!AH128:BA128)/AVERAGE(終値!AH128:BA128),""))</f>
        <v>0.19642335120737164</v>
      </c>
      <c r="AF128" s="503">
        <f>IF(終値!A128="","",IFERROR(4*STDEVP(終値!AI128:BB128)/AVERAGE(終値!AI128:BB128),""))</f>
        <v>0.19992825589800481</v>
      </c>
      <c r="AG128" s="503">
        <f>IF(終値!A128="","",IFERROR(4*STDEVP(終値!AJ128:BC128)/AVERAGE(終値!AJ128:BC128),""))</f>
        <v>0.1885170663743834</v>
      </c>
      <c r="AH128" s="503">
        <f>IF(終値!A128="","",IFERROR(4*STDEVP(終値!AK128:BD128)/AVERAGE(終値!AK128:BD128),""))</f>
        <v>0.18831558444519353</v>
      </c>
      <c r="AI128" s="503">
        <f>IF(終値!A128="","",IFERROR(4*STDEVP(終値!AL128:BE128)/AVERAGE(終値!AL128:BE128),""))</f>
        <v>0.19026176347071158</v>
      </c>
      <c r="AJ128" s="503">
        <f>IF(終値!A128="","",IFERROR(4*STDEVP(終値!AM128:BF128)/AVERAGE(終値!AM128:BF128),""))</f>
        <v>0.18760967965455153</v>
      </c>
      <c r="AK128" s="503">
        <f>IF(終値!A128="","",IFERROR(4*STDEVP(終値!AN128:BG128)/AVERAGE(終値!AN128:BG128),""))</f>
        <v>0.17614399184387478</v>
      </c>
      <c r="AL128" s="503">
        <f>IF(終値!A128="","",IFERROR(4*STDEVP(終値!AO128:BH128)/AVERAGE(終値!AO128:BH128),""))</f>
        <v>0.18166493734165712</v>
      </c>
      <c r="AM128" s="503">
        <f>IF(終値!A128="","",IFERROR(4*STDEVP(終値!AP128:BI128)/AVERAGE(終値!AP128:BI128),""))</f>
        <v>0.18532157314346584</v>
      </c>
      <c r="AN128" s="503">
        <f>IF(終値!A128="","",IFERROR(4*STDEVP(終値!AQ128:BJ128)/AVERAGE(終値!AQ128:BJ128),""))</f>
        <v>0.18270195490821978</v>
      </c>
      <c r="AO128" s="503">
        <f>IF(終値!A128="","",IFERROR(4*STDEVP(終値!AR128:BK128)/AVERAGE(終値!AR128:BK128),""))</f>
        <v>0.16851837374274872</v>
      </c>
      <c r="AP128" s="503">
        <f>IF(終値!A128="","",IFERROR(4*STDEVP(終値!AS128:BL128)/AVERAGE(終値!AS128:BL128),""))</f>
        <v>0.18309961837845665</v>
      </c>
    </row>
    <row r="129" spans="1:42">
      <c r="A129" s="500" t="str">
        <f>IF(終値!A129="","",終値!A129)</f>
        <v>4082</v>
      </c>
      <c r="B129" s="503">
        <f>IF(終値!A129="","",IFERROR(4*STDEVP(終値!E129:X129)/AVERAGE(終値!E129:X129),""))</f>
        <v>0.19902046329205117</v>
      </c>
      <c r="C129" s="503">
        <f>IF(終値!A129="","",IFERROR(4*STDEVP(終値!F129:Y129)/AVERAGE(終値!F129:Y129),""))</f>
        <v>0.20846579449418143</v>
      </c>
      <c r="D129" s="503">
        <f>IF(終値!A129="","",IFERROR(4*STDEVP(終値!G129:Z129)/AVERAGE(終値!G129:Z129),""))</f>
        <v>0.22746460183721312</v>
      </c>
      <c r="E129" s="503">
        <f>IF(終値!A129="","",IFERROR(4*STDEVP(終値!H129:AA129)/AVERAGE(終値!H129:AA129),""))</f>
        <v>0.24279412323193372</v>
      </c>
      <c r="F129" s="503">
        <f>IF(終値!A129="","",IFERROR(4*STDEVP(終値!I129:AB129)/AVERAGE(終値!I129:AB129),""))</f>
        <v>0.25147841047598196</v>
      </c>
      <c r="G129" s="503">
        <f>IF(終値!A129="","",IFERROR(4*STDEVP(終値!J129:AC129)/AVERAGE(終値!J129:AC129),""))</f>
        <v>0.24956935773184571</v>
      </c>
      <c r="H129" s="503">
        <f>IF(終値!A129="","",IFERROR(4*STDEVP(終値!K129:AD129)/AVERAGE(終値!K129:AD129),""))</f>
        <v>0.23922777199888098</v>
      </c>
      <c r="I129" s="503">
        <f>IF(終値!A129="","",IFERROR(4*STDEVP(終値!L129:AE129)/AVERAGE(終値!L129:AE129),""))</f>
        <v>0.22133585661032465</v>
      </c>
      <c r="J129" s="503">
        <f>IF(終値!A129="","",IFERROR(4*STDEVP(終値!M129:AF129)/AVERAGE(終値!M129:AF129),""))</f>
        <v>0.20772680537772878</v>
      </c>
      <c r="K129" s="503">
        <f>IF(終値!A129="","",IFERROR(4*STDEVP(終値!N129:AG129)/AVERAGE(終値!N129:AG129),""))</f>
        <v>0.21923003487460474</v>
      </c>
      <c r="L129" s="503">
        <f>IF(終値!A129="","",IFERROR(4*STDEVP(終値!O129:AH129)/AVERAGE(終値!O129:AH129),""))</f>
        <v>0.20859177073224774</v>
      </c>
      <c r="M129" s="503">
        <f>IF(終値!A129="","",IFERROR(4*STDEVP(終値!P129:AI129)/AVERAGE(終値!P129:AI129),""))</f>
        <v>0.19794896193862122</v>
      </c>
      <c r="N129" s="503">
        <f>IF(終値!A129="","",IFERROR(4*STDEVP(終値!Q129:AJ129)/AVERAGE(終値!Q129:AJ129),""))</f>
        <v>0.19777261668244941</v>
      </c>
      <c r="O129" s="503">
        <f>IF(終値!A129="","",IFERROR(4*STDEVP(終値!R129:AK129)/AVERAGE(終値!R129:AK129),""))</f>
        <v>0.17657761861119556</v>
      </c>
      <c r="P129" s="503">
        <f>IF(終値!A129="","",IFERROR(4*STDEVP(終値!S129:AL129)/AVERAGE(終値!S129:AL129),""))</f>
        <v>0.12183512195831436</v>
      </c>
      <c r="Q129" s="503">
        <f>IF(終値!A129="","",IFERROR(4*STDEVP(終値!T129:AM129)/AVERAGE(終値!T129:AM129),""))</f>
        <v>0.11790527833213171</v>
      </c>
      <c r="R129" s="503">
        <f>IF(終値!A129="","",IFERROR(4*STDEVP(終値!U129:AN129)/AVERAGE(終値!U129:AN129),""))</f>
        <v>0.11209319678390604</v>
      </c>
      <c r="S129" s="503">
        <f>IF(終値!A129="","",IFERROR(4*STDEVP(終値!V129:AO129)/AVERAGE(終値!V129:AO129),""))</f>
        <v>0.10205391466364411</v>
      </c>
      <c r="T129" s="503">
        <f>IF(終値!A129="","",IFERROR(4*STDEVP(終値!W129:AP129)/AVERAGE(終値!W129:AP129),""))</f>
        <v>0.11805868892169655</v>
      </c>
      <c r="U129" s="503">
        <f>IF(終値!A129="","",IFERROR(4*STDEVP(終値!X129:AQ129)/AVERAGE(終値!X129:AQ129),""))</f>
        <v>0.13522593293394641</v>
      </c>
      <c r="V129" s="503">
        <f>IF(終値!A129="","",IFERROR(4*STDEVP(終値!Y129:AR129)/AVERAGE(終値!Y129:AR129),""))</f>
        <v>0.15791248321769827</v>
      </c>
      <c r="W129" s="503">
        <f>IF(終値!A129="","",IFERROR(4*STDEVP(終値!Z129:AS129)/AVERAGE(終値!Z129:AS129),""))</f>
        <v>0.15888989406311954</v>
      </c>
      <c r="X129" s="503">
        <f>IF(終値!A129="","",IFERROR(4*STDEVP(終値!AA129:AT129)/AVERAGE(終値!AA129:AT129),""))</f>
        <v>0.16102770950078818</v>
      </c>
      <c r="Y129" s="503">
        <f>IF(終値!A129="","",IFERROR(4*STDEVP(終値!AB129:AU129)/AVERAGE(終値!AB129:AU129),""))</f>
        <v>0.16468838404881236</v>
      </c>
      <c r="Z129" s="503">
        <f>IF(終値!A129="","",IFERROR(4*STDEVP(終値!AC129:AV129)/AVERAGE(終値!AC129:AV129),""))</f>
        <v>0.18136375580613398</v>
      </c>
      <c r="AA129" s="503">
        <f>IF(終値!A129="","",IFERROR(4*STDEVP(終値!AD129:AW129)/AVERAGE(終値!AD129:AW129),""))</f>
        <v>0.18936989122611544</v>
      </c>
      <c r="AB129" s="503">
        <f>IF(終値!A129="","",IFERROR(4*STDEVP(終値!AE129:AX129)/AVERAGE(終値!AE129:AX129),""))</f>
        <v>0.2180479671339382</v>
      </c>
      <c r="AC129" s="503">
        <f>IF(終値!A129="","",IFERROR(4*STDEVP(終値!AF129:AY129)/AVERAGE(終値!AF129:AY129),""))</f>
        <v>0.23240126970775271</v>
      </c>
      <c r="AD129" s="503">
        <f>IF(終値!A129="","",IFERROR(4*STDEVP(終値!AG129:AZ129)/AVERAGE(終値!AG129:AZ129),""))</f>
        <v>0.23701085382130746</v>
      </c>
      <c r="AE129" s="503">
        <f>IF(終値!A129="","",IFERROR(4*STDEVP(終値!AH129:BA129)/AVERAGE(終値!AH129:BA129),""))</f>
        <v>0.23504932919815347</v>
      </c>
      <c r="AF129" s="503">
        <f>IF(終値!A129="","",IFERROR(4*STDEVP(終値!AI129:BB129)/AVERAGE(終値!AI129:BB129),""))</f>
        <v>0.23548713192462312</v>
      </c>
      <c r="AG129" s="503">
        <f>IF(終値!A129="","",IFERROR(4*STDEVP(終値!AJ129:BC129)/AVERAGE(終値!AJ129:BC129),""))</f>
        <v>0.23827856522451274</v>
      </c>
      <c r="AH129" s="503">
        <f>IF(終値!A129="","",IFERROR(4*STDEVP(終値!AK129:BD129)/AVERAGE(終値!AK129:BD129),""))</f>
        <v>0.24016828052626613</v>
      </c>
      <c r="AI129" s="503">
        <f>IF(終値!A129="","",IFERROR(4*STDEVP(終値!AL129:BE129)/AVERAGE(終値!AL129:BE129),""))</f>
        <v>0.24264149963379905</v>
      </c>
      <c r="AJ129" s="503">
        <f>IF(終値!A129="","",IFERROR(4*STDEVP(終値!AM129:BF129)/AVERAGE(終値!AM129:BF129),""))</f>
        <v>0.24574225160801141</v>
      </c>
      <c r="AK129" s="503">
        <f>IF(終値!A129="","",IFERROR(4*STDEVP(終値!AN129:BG129)/AVERAGE(終値!AN129:BG129),""))</f>
        <v>0.25128188969397774</v>
      </c>
      <c r="AL129" s="503">
        <f>IF(終値!A129="","",IFERROR(4*STDEVP(終値!AO129:BH129)/AVERAGE(終値!AO129:BH129),""))</f>
        <v>0.31446438636009877</v>
      </c>
      <c r="AM129" s="503">
        <f>IF(終値!A129="","",IFERROR(4*STDEVP(終値!AP129:BI129)/AVERAGE(終値!AP129:BI129),""))</f>
        <v>0.37298423232999861</v>
      </c>
      <c r="AN129" s="503">
        <f>IF(終値!A129="","",IFERROR(4*STDEVP(終値!AQ129:BJ129)/AVERAGE(終値!AQ129:BJ129),""))</f>
        <v>0.39661808623085859</v>
      </c>
      <c r="AO129" s="503">
        <f>IF(終値!A129="","",IFERROR(4*STDEVP(終値!AR129:BK129)/AVERAGE(終値!AR129:BK129),""))</f>
        <v>0.42597093678974107</v>
      </c>
      <c r="AP129" s="503">
        <f>IF(終値!A129="","",IFERROR(4*STDEVP(終値!AS129:BL129)/AVERAGE(終値!AS129:BL129),""))</f>
        <v>0.4070567897158246</v>
      </c>
    </row>
    <row r="130" spans="1:42">
      <c r="A130" s="500" t="str">
        <f>IF(終値!A130="","",終値!A130)</f>
        <v>4519</v>
      </c>
      <c r="B130" s="503">
        <f>IF(終値!A130="","",IFERROR(4*STDEVP(終値!E130:X130)/AVERAGE(終値!E130:X130),""))</f>
        <v>0.14019541175716896</v>
      </c>
      <c r="C130" s="503">
        <f>IF(終値!A130="","",IFERROR(4*STDEVP(終値!F130:Y130)/AVERAGE(終値!F130:Y130),""))</f>
        <v>0.14737313303618366</v>
      </c>
      <c r="D130" s="503">
        <f>IF(終値!A130="","",IFERROR(4*STDEVP(終値!G130:Z130)/AVERAGE(終値!G130:Z130),""))</f>
        <v>0.14250504529736477</v>
      </c>
      <c r="E130" s="503">
        <f>IF(終値!A130="","",IFERROR(4*STDEVP(終値!H130:AA130)/AVERAGE(終値!H130:AA130),""))</f>
        <v>0.13680990413131089</v>
      </c>
      <c r="F130" s="503">
        <f>IF(終値!A130="","",IFERROR(4*STDEVP(終値!I130:AB130)/AVERAGE(終値!I130:AB130),""))</f>
        <v>0.11822653281278121</v>
      </c>
      <c r="G130" s="503">
        <f>IF(終値!A130="","",IFERROR(4*STDEVP(終値!J130:AC130)/AVERAGE(終値!J130:AC130),""))</f>
        <v>0.10966959379672217</v>
      </c>
      <c r="H130" s="503">
        <f>IF(終値!A130="","",IFERROR(4*STDEVP(終値!K130:AD130)/AVERAGE(終値!K130:AD130),""))</f>
        <v>0.10963026622554344</v>
      </c>
      <c r="I130" s="503">
        <f>IF(終値!A130="","",IFERROR(4*STDEVP(終値!L130:AE130)/AVERAGE(終値!L130:AE130),""))</f>
        <v>0.10911881542588323</v>
      </c>
      <c r="J130" s="503">
        <f>IF(終値!A130="","",IFERROR(4*STDEVP(終値!M130:AF130)/AVERAGE(終値!M130:AF130),""))</f>
        <v>0.10028247141072567</v>
      </c>
      <c r="K130" s="503">
        <f>IF(終値!A130="","",IFERROR(4*STDEVP(終値!N130:AG130)/AVERAGE(終値!N130:AG130),""))</f>
        <v>7.7605797661908851E-2</v>
      </c>
      <c r="L130" s="503">
        <f>IF(終値!A130="","",IFERROR(4*STDEVP(終値!O130:AH130)/AVERAGE(終値!O130:AH130),""))</f>
        <v>7.6585619254890477E-2</v>
      </c>
      <c r="M130" s="503">
        <f>IF(終値!A130="","",IFERROR(4*STDEVP(終値!P130:AI130)/AVERAGE(終値!P130:AI130),""))</f>
        <v>7.2870790214586881E-2</v>
      </c>
      <c r="N130" s="503">
        <f>IF(終値!A130="","",IFERROR(4*STDEVP(終値!Q130:AJ130)/AVERAGE(終値!Q130:AJ130),""))</f>
        <v>7.2631013890121943E-2</v>
      </c>
      <c r="O130" s="503">
        <f>IF(終値!A130="","",IFERROR(4*STDEVP(終値!R130:AK130)/AVERAGE(終値!R130:AK130),""))</f>
        <v>7.3983720625024105E-2</v>
      </c>
      <c r="P130" s="503">
        <f>IF(終値!A130="","",IFERROR(4*STDEVP(終値!S130:AL130)/AVERAGE(終値!S130:AL130),""))</f>
        <v>7.4302092120956745E-2</v>
      </c>
      <c r="Q130" s="503">
        <f>IF(終値!A130="","",IFERROR(4*STDEVP(終値!T130:AM130)/AVERAGE(終値!T130:AM130),""))</f>
        <v>6.7009193817414589E-2</v>
      </c>
      <c r="R130" s="503">
        <f>IF(終値!A130="","",IFERROR(4*STDEVP(終値!U130:AN130)/AVERAGE(終値!U130:AN130),""))</f>
        <v>6.1000055836669252E-2</v>
      </c>
      <c r="S130" s="503">
        <f>IF(終値!A130="","",IFERROR(4*STDEVP(終値!V130:AO130)/AVERAGE(終値!V130:AO130),""))</f>
        <v>5.3080302492237039E-2</v>
      </c>
      <c r="T130" s="503">
        <f>IF(終値!A130="","",IFERROR(4*STDEVP(終値!W130:AP130)/AVERAGE(終値!W130:AP130),""))</f>
        <v>5.1827635298111831E-2</v>
      </c>
      <c r="U130" s="503">
        <f>IF(終値!A130="","",IFERROR(4*STDEVP(終値!X130:AQ130)/AVERAGE(終値!X130:AQ130),""))</f>
        <v>4.9802454477467221E-2</v>
      </c>
      <c r="V130" s="503">
        <f>IF(終値!A130="","",IFERROR(4*STDEVP(終値!Y130:AR130)/AVERAGE(終値!Y130:AR130),""))</f>
        <v>4.6453959798804789E-2</v>
      </c>
      <c r="W130" s="503">
        <f>IF(終値!A130="","",IFERROR(4*STDEVP(終値!Z130:AS130)/AVERAGE(終値!Z130:AS130),""))</f>
        <v>4.472305881325659E-2</v>
      </c>
      <c r="X130" s="503">
        <f>IF(終値!A130="","",IFERROR(4*STDEVP(終値!AA130:AT130)/AVERAGE(終値!AA130:AT130),""))</f>
        <v>4.4906270551066836E-2</v>
      </c>
      <c r="Y130" s="503">
        <f>IF(終値!A130="","",IFERROR(4*STDEVP(終値!AB130:AU130)/AVERAGE(終値!AB130:AU130),""))</f>
        <v>4.2388760501964419E-2</v>
      </c>
      <c r="Z130" s="503">
        <f>IF(終値!A130="","",IFERROR(4*STDEVP(終値!AC130:AV130)/AVERAGE(終値!AC130:AV130),""))</f>
        <v>4.2310034014517606E-2</v>
      </c>
      <c r="AA130" s="503">
        <f>IF(終値!A130="","",IFERROR(4*STDEVP(終値!AD130:AW130)/AVERAGE(終値!AD130:AW130),""))</f>
        <v>3.5080110738205696E-2</v>
      </c>
      <c r="AB130" s="503">
        <f>IF(終値!A130="","",IFERROR(4*STDEVP(終値!AE130:AX130)/AVERAGE(終値!AE130:AX130),""))</f>
        <v>5.5907886553580213E-2</v>
      </c>
      <c r="AC130" s="503">
        <f>IF(終値!A130="","",IFERROR(4*STDEVP(終値!AF130:AY130)/AVERAGE(終値!AF130:AY130),""))</f>
        <v>6.0764622478617379E-2</v>
      </c>
      <c r="AD130" s="503">
        <f>IF(終値!A130="","",IFERROR(4*STDEVP(終値!AG130:AZ130)/AVERAGE(終値!AG130:AZ130),""))</f>
        <v>7.0339554265515983E-2</v>
      </c>
      <c r="AE130" s="503">
        <f>IF(終値!A130="","",IFERROR(4*STDEVP(終値!AH130:BA130)/AVERAGE(終値!AH130:BA130),""))</f>
        <v>9.4341750807866706E-2</v>
      </c>
      <c r="AF130" s="503">
        <f>IF(終値!A130="","",IFERROR(4*STDEVP(終値!AI130:BB130)/AVERAGE(終値!AI130:BB130),""))</f>
        <v>0.1089360951198676</v>
      </c>
      <c r="AG130" s="503">
        <f>IF(終値!A130="","",IFERROR(4*STDEVP(終値!AJ130:BC130)/AVERAGE(終値!AJ130:BC130),""))</f>
        <v>0.10875343482956862</v>
      </c>
      <c r="AH130" s="503">
        <f>IF(終値!A130="","",IFERROR(4*STDEVP(終値!AK130:BD130)/AVERAGE(終値!AK130:BD130),""))</f>
        <v>0.11120216952854503</v>
      </c>
      <c r="AI130" s="503">
        <f>IF(終値!A130="","",IFERROR(4*STDEVP(終値!AL130:BE130)/AVERAGE(終値!AL130:BE130),""))</f>
        <v>0.11424668428900142</v>
      </c>
      <c r="AJ130" s="503">
        <f>IF(終値!A130="","",IFERROR(4*STDEVP(終値!AM130:BF130)/AVERAGE(終値!AM130:BF130),""))</f>
        <v>0.11537607268508705</v>
      </c>
      <c r="AK130" s="503">
        <f>IF(終値!A130="","",IFERROR(4*STDEVP(終値!AN130:BG130)/AVERAGE(終値!AN130:BG130),""))</f>
        <v>0.11813990714052715</v>
      </c>
      <c r="AL130" s="503">
        <f>IF(終値!A130="","",IFERROR(4*STDEVP(終値!AO130:BH130)/AVERAGE(終値!AO130:BH130),""))</f>
        <v>0.12302187573171927</v>
      </c>
      <c r="AM130" s="503">
        <f>IF(終値!A130="","",IFERROR(4*STDEVP(終値!AP130:BI130)/AVERAGE(終値!AP130:BI130),""))</f>
        <v>0.11716474990264368</v>
      </c>
      <c r="AN130" s="503">
        <f>IF(終値!A130="","",IFERROR(4*STDEVP(終値!AQ130:BJ130)/AVERAGE(終値!AQ130:BJ130),""))</f>
        <v>0.11109296352077604</v>
      </c>
      <c r="AO130" s="503">
        <f>IF(終値!A130="","",IFERROR(4*STDEVP(終値!AR130:BK130)/AVERAGE(終値!AR130:BK130),""))</f>
        <v>0.10437984748973848</v>
      </c>
      <c r="AP130" s="503">
        <f>IF(終値!A130="","",IFERROR(4*STDEVP(終値!AS130:BL130)/AVERAGE(終値!AS130:BL130),""))</f>
        <v>0.10063604496870804</v>
      </c>
    </row>
    <row r="131" spans="1:42">
      <c r="A131" s="500" t="str">
        <f>IF(終値!A131="","",終値!A131)</f>
        <v>2160</v>
      </c>
      <c r="B131" s="503">
        <f>IF(終値!A131="","",IFERROR(4*STDEVP(終値!E131:X131)/AVERAGE(終値!E131:X131),""))</f>
        <v>0.15416445975447343</v>
      </c>
      <c r="C131" s="503">
        <f>IF(終値!A131="","",IFERROR(4*STDEVP(終値!F131:Y131)/AVERAGE(終値!F131:Y131),""))</f>
        <v>0.17367692585469227</v>
      </c>
      <c r="D131" s="503">
        <f>IF(終値!A131="","",IFERROR(4*STDEVP(終値!G131:Z131)/AVERAGE(終値!G131:Z131),""))</f>
        <v>0.20726847074860941</v>
      </c>
      <c r="E131" s="503">
        <f>IF(終値!A131="","",IFERROR(4*STDEVP(終値!H131:AA131)/AVERAGE(終値!H131:AA131),""))</f>
        <v>0.2300980780296813</v>
      </c>
      <c r="F131" s="503">
        <f>IF(終値!A131="","",IFERROR(4*STDEVP(終値!I131:AB131)/AVERAGE(終値!I131:AB131),""))</f>
        <v>0.24569228025502238</v>
      </c>
      <c r="G131" s="503">
        <f>IF(終値!A131="","",IFERROR(4*STDEVP(終値!J131:AC131)/AVERAGE(終値!J131:AC131),""))</f>
        <v>0.24976378572554681</v>
      </c>
      <c r="H131" s="503">
        <f>IF(終値!A131="","",IFERROR(4*STDEVP(終値!K131:AD131)/AVERAGE(終値!K131:AD131),""))</f>
        <v>0.24174116707645799</v>
      </c>
      <c r="I131" s="503">
        <f>IF(終値!A131="","",IFERROR(4*STDEVP(終値!L131:AE131)/AVERAGE(終値!L131:AE131),""))</f>
        <v>0.21572723397682961</v>
      </c>
      <c r="J131" s="503">
        <f>IF(終値!A131="","",IFERROR(4*STDEVP(終値!M131:AF131)/AVERAGE(終値!M131:AF131),""))</f>
        <v>0.20999040645662354</v>
      </c>
      <c r="K131" s="503">
        <f>IF(終値!A131="","",IFERROR(4*STDEVP(終値!N131:AG131)/AVERAGE(終値!N131:AG131),""))</f>
        <v>0.20966555906673962</v>
      </c>
      <c r="L131" s="503">
        <f>IF(終値!A131="","",IFERROR(4*STDEVP(終値!O131:AH131)/AVERAGE(終値!O131:AH131),""))</f>
        <v>0.21514348792822943</v>
      </c>
      <c r="M131" s="503">
        <f>IF(終値!A131="","",IFERROR(4*STDEVP(終値!P131:AI131)/AVERAGE(終値!P131:AI131),""))</f>
        <v>0.21852241057636365</v>
      </c>
      <c r="N131" s="503">
        <f>IF(終値!A131="","",IFERROR(4*STDEVP(終値!Q131:AJ131)/AVERAGE(終値!Q131:AJ131),""))</f>
        <v>0.22110936278348628</v>
      </c>
      <c r="O131" s="503">
        <f>IF(終値!A131="","",IFERROR(4*STDEVP(終値!R131:AK131)/AVERAGE(終値!R131:AK131),""))</f>
        <v>0.21927232455976772</v>
      </c>
      <c r="P131" s="503">
        <f>IF(終値!A131="","",IFERROR(4*STDEVP(終値!S131:AL131)/AVERAGE(終値!S131:AL131),""))</f>
        <v>0.20647395406501001</v>
      </c>
      <c r="Q131" s="503">
        <f>IF(終値!A131="","",IFERROR(4*STDEVP(終値!T131:AM131)/AVERAGE(終値!T131:AM131),""))</f>
        <v>0.20948605688913313</v>
      </c>
      <c r="R131" s="503">
        <f>IF(終値!A131="","",IFERROR(4*STDEVP(終値!U131:AN131)/AVERAGE(終値!U131:AN131),""))</f>
        <v>0.21527037283749309</v>
      </c>
      <c r="S131" s="503">
        <f>IF(終値!A131="","",IFERROR(4*STDEVP(終値!V131:AO131)/AVERAGE(終値!V131:AO131),""))</f>
        <v>0.22024535854018706</v>
      </c>
      <c r="T131" s="503">
        <f>IF(終値!A131="","",IFERROR(4*STDEVP(終値!W131:AP131)/AVERAGE(終値!W131:AP131),""))</f>
        <v>0.22421794402198211</v>
      </c>
      <c r="U131" s="503">
        <f>IF(終値!A131="","",IFERROR(4*STDEVP(終値!X131:AQ131)/AVERAGE(終値!X131:AQ131),""))</f>
        <v>0.22336298422466747</v>
      </c>
      <c r="V131" s="503">
        <f>IF(終値!A131="","",IFERROR(4*STDEVP(終値!Y131:AR131)/AVERAGE(終値!Y131:AR131),""))</f>
        <v>0.22406126267109158</v>
      </c>
      <c r="W131" s="503">
        <f>IF(終値!A131="","",IFERROR(4*STDEVP(終値!Z131:AS131)/AVERAGE(終値!Z131:AS131),""))</f>
        <v>0.22245528631201514</v>
      </c>
      <c r="X131" s="503">
        <f>IF(終値!A131="","",IFERROR(4*STDEVP(終値!AA131:AT131)/AVERAGE(終値!AA131:AT131),""))</f>
        <v>0.21710292989181801</v>
      </c>
      <c r="Y131" s="503">
        <f>IF(終値!A131="","",IFERROR(4*STDEVP(終値!AB131:AU131)/AVERAGE(終値!AB131:AU131),""))</f>
        <v>0.20610038317165894</v>
      </c>
      <c r="Z131" s="503">
        <f>IF(終値!A131="","",IFERROR(4*STDEVP(終値!AC131:AV131)/AVERAGE(終値!AC131:AV131),""))</f>
        <v>0.19309843065284465</v>
      </c>
      <c r="AA131" s="503">
        <f>IF(終値!A131="","",IFERROR(4*STDEVP(終値!AD131:AW131)/AVERAGE(終値!AD131:AW131),""))</f>
        <v>0.18608050461688155</v>
      </c>
      <c r="AB131" s="503">
        <f>IF(終値!A131="","",IFERROR(4*STDEVP(終値!AE131:AX131)/AVERAGE(終値!AE131:AX131),""))</f>
        <v>0.1703164594634915</v>
      </c>
      <c r="AC131" s="503">
        <f>IF(終値!A131="","",IFERROR(4*STDEVP(終値!AF131:AY131)/AVERAGE(終値!AF131:AY131),""))</f>
        <v>0.1582934393537761</v>
      </c>
      <c r="AD131" s="503">
        <f>IF(終値!A131="","",IFERROR(4*STDEVP(終値!AG131:AZ131)/AVERAGE(終値!AG131:AZ131),""))</f>
        <v>0.15615726386664716</v>
      </c>
      <c r="AE131" s="503">
        <f>IF(終値!A131="","",IFERROR(4*STDEVP(終値!AH131:BA131)/AVERAGE(終値!AH131:BA131),""))</f>
        <v>0.17302240734834945</v>
      </c>
      <c r="AF131" s="503">
        <f>IF(終値!A131="","",IFERROR(4*STDEVP(終値!AI131:BB131)/AVERAGE(終値!AI131:BB131),""))</f>
        <v>0.1819955521868156</v>
      </c>
      <c r="AG131" s="503">
        <f>IF(終値!A131="","",IFERROR(4*STDEVP(終値!AJ131:BC131)/AVERAGE(終値!AJ131:BC131),""))</f>
        <v>0.18760192882286605</v>
      </c>
      <c r="AH131" s="503">
        <f>IF(終値!A131="","",IFERROR(4*STDEVP(終値!AK131:BD131)/AVERAGE(終値!AK131:BD131),""))</f>
        <v>0.17845620880063567</v>
      </c>
      <c r="AI131" s="503">
        <f>IF(終値!A131="","",IFERROR(4*STDEVP(終値!AL131:BE131)/AVERAGE(終値!AL131:BE131),""))</f>
        <v>0.17962330161304185</v>
      </c>
      <c r="AJ131" s="503">
        <f>IF(終値!A131="","",IFERROR(4*STDEVP(終値!AM131:BF131)/AVERAGE(終値!AM131:BF131),""))</f>
        <v>0.17881267093766468</v>
      </c>
      <c r="AK131" s="503">
        <f>IF(終値!A131="","",IFERROR(4*STDEVP(終値!AN131:BG131)/AVERAGE(終値!AN131:BG131),""))</f>
        <v>0.19233782359696455</v>
      </c>
      <c r="AL131" s="503">
        <f>IF(終値!A131="","",IFERROR(4*STDEVP(終値!AO131:BH131)/AVERAGE(終値!AO131:BH131),""))</f>
        <v>0.2027436399826163</v>
      </c>
      <c r="AM131" s="503">
        <f>IF(終値!A131="","",IFERROR(4*STDEVP(終値!AP131:BI131)/AVERAGE(終値!AP131:BI131),""))</f>
        <v>0.24377337538028271</v>
      </c>
      <c r="AN131" s="503">
        <f>IF(終値!A131="","",IFERROR(4*STDEVP(終値!AQ131:BJ131)/AVERAGE(終値!AQ131:BJ131),""))</f>
        <v>0.23751769310150964</v>
      </c>
      <c r="AO131" s="503">
        <f>IF(終値!A131="","",IFERROR(4*STDEVP(終値!AR131:BK131)/AVERAGE(終値!AR131:BK131),""))</f>
        <v>0.24287237916335755</v>
      </c>
      <c r="AP131" s="503">
        <f>IF(終値!A131="","",IFERROR(4*STDEVP(終値!AS131:BL131)/AVERAGE(終値!AS131:BL131),""))</f>
        <v>0.24690786810646195</v>
      </c>
    </row>
    <row r="132" spans="1:42">
      <c r="A132" s="500" t="str">
        <f>IF(終値!A132="","",終値!A132)</f>
        <v>6227</v>
      </c>
      <c r="B132" s="503">
        <f>IF(終値!A132="","",IFERROR(4*STDEVP(終値!E132:X132)/AVERAGE(終値!E132:X132),""))</f>
        <v>0.43319571014438579</v>
      </c>
      <c r="C132" s="503">
        <f>IF(終値!A132="","",IFERROR(4*STDEVP(終値!F132:Y132)/AVERAGE(終値!F132:Y132),""))</f>
        <v>0.43904720598821667</v>
      </c>
      <c r="D132" s="503">
        <f>IF(終値!A132="","",IFERROR(4*STDEVP(終値!G132:Z132)/AVERAGE(終値!G132:Z132),""))</f>
        <v>0.43139226548011567</v>
      </c>
      <c r="E132" s="503">
        <f>IF(終値!A132="","",IFERROR(4*STDEVP(終値!H132:AA132)/AVERAGE(終値!H132:AA132),""))</f>
        <v>0.43237642066001292</v>
      </c>
      <c r="F132" s="503">
        <f>IF(終値!A132="","",IFERROR(4*STDEVP(終値!I132:AB132)/AVERAGE(終値!I132:AB132),""))</f>
        <v>0.43428371612032185</v>
      </c>
      <c r="G132" s="503">
        <f>IF(終値!A132="","",IFERROR(4*STDEVP(終値!J132:AC132)/AVERAGE(終値!J132:AC132),""))</f>
        <v>0.44478751102186803</v>
      </c>
      <c r="H132" s="503">
        <f>IF(終値!A132="","",IFERROR(4*STDEVP(終値!K132:AD132)/AVERAGE(終値!K132:AD132),""))</f>
        <v>0.41787715637102868</v>
      </c>
      <c r="I132" s="503">
        <f>IF(終値!A132="","",IFERROR(4*STDEVP(終値!L132:AE132)/AVERAGE(終値!L132:AE132),""))</f>
        <v>0.37268758183590484</v>
      </c>
      <c r="J132" s="503">
        <f>IF(終値!A132="","",IFERROR(4*STDEVP(終値!M132:AF132)/AVERAGE(終値!M132:AF132),""))</f>
        <v>0.35383039930714</v>
      </c>
      <c r="K132" s="503">
        <f>IF(終値!A132="","",IFERROR(4*STDEVP(終値!N132:AG132)/AVERAGE(終値!N132:AG132),""))</f>
        <v>0.35897356288265825</v>
      </c>
      <c r="L132" s="503">
        <f>IF(終値!A132="","",IFERROR(4*STDEVP(終値!O132:AH132)/AVERAGE(終値!O132:AH132),""))</f>
        <v>0.3504044392972287</v>
      </c>
      <c r="M132" s="503">
        <f>IF(終値!A132="","",IFERROR(4*STDEVP(終値!P132:AI132)/AVERAGE(終値!P132:AI132),""))</f>
        <v>0.35054720264553252</v>
      </c>
      <c r="N132" s="503">
        <f>IF(終値!A132="","",IFERROR(4*STDEVP(終値!Q132:AJ132)/AVERAGE(終値!Q132:AJ132),""))</f>
        <v>0.36801523982079554</v>
      </c>
      <c r="O132" s="503">
        <f>IF(終値!A132="","",IFERROR(4*STDEVP(終値!R132:AK132)/AVERAGE(終値!R132:AK132),""))</f>
        <v>0.36784775516664525</v>
      </c>
      <c r="P132" s="503">
        <f>IF(終値!A132="","",IFERROR(4*STDEVP(終値!S132:AL132)/AVERAGE(終値!S132:AL132),""))</f>
        <v>0.36973859843922963</v>
      </c>
      <c r="Q132" s="503">
        <f>IF(終値!A132="","",IFERROR(4*STDEVP(終値!T132:AM132)/AVERAGE(終値!T132:AM132),""))</f>
        <v>0.39306166824678984</v>
      </c>
      <c r="R132" s="503">
        <f>IF(終値!A132="","",IFERROR(4*STDEVP(終値!U132:AN132)/AVERAGE(終値!U132:AN132),""))</f>
        <v>0.39223069223409779</v>
      </c>
      <c r="S132" s="503">
        <f>IF(終値!A132="","",IFERROR(4*STDEVP(終値!V132:AO132)/AVERAGE(終値!V132:AO132),""))</f>
        <v>0.41349134354127109</v>
      </c>
      <c r="T132" s="503">
        <f>IF(終値!A132="","",IFERROR(4*STDEVP(終値!W132:AP132)/AVERAGE(終値!W132:AP132),""))</f>
        <v>0.42047187093664706</v>
      </c>
      <c r="U132" s="503">
        <f>IF(終値!A132="","",IFERROR(4*STDEVP(終値!X132:AQ132)/AVERAGE(終値!X132:AQ132),""))</f>
        <v>0.3840620189732436</v>
      </c>
      <c r="V132" s="503">
        <f>IF(終値!A132="","",IFERROR(4*STDEVP(終値!Y132:AR132)/AVERAGE(終値!Y132:AR132),""))</f>
        <v>0.33255784938051774</v>
      </c>
      <c r="W132" s="503">
        <f>IF(終値!A132="","",IFERROR(4*STDEVP(終値!Z132:AS132)/AVERAGE(終値!Z132:AS132),""))</f>
        <v>0.29065918307755878</v>
      </c>
      <c r="X132" s="503">
        <f>IF(終値!A132="","",IFERROR(4*STDEVP(終値!AA132:AT132)/AVERAGE(終値!AA132:AT132),""))</f>
        <v>0.26697285287496708</v>
      </c>
      <c r="Y132" s="503">
        <f>IF(終値!A132="","",IFERROR(4*STDEVP(終値!AB132:AU132)/AVERAGE(終値!AB132:AU132),""))</f>
        <v>0.2824764399811121</v>
      </c>
      <c r="Z132" s="503">
        <f>IF(終値!A132="","",IFERROR(4*STDEVP(終値!AC132:AV132)/AVERAGE(終値!AC132:AV132),""))</f>
        <v>0.3201157625843587</v>
      </c>
      <c r="AA132" s="503">
        <f>IF(終値!A132="","",IFERROR(4*STDEVP(終値!AD132:AW132)/AVERAGE(終値!AD132:AW132),""))</f>
        <v>0.34864112264486002</v>
      </c>
      <c r="AB132" s="503">
        <f>IF(終値!A132="","",IFERROR(4*STDEVP(終値!AE132:AX132)/AVERAGE(終値!AE132:AX132),""))</f>
        <v>0.39736298378239499</v>
      </c>
      <c r="AC132" s="503">
        <f>IF(終値!A132="","",IFERROR(4*STDEVP(終値!AF132:AY132)/AVERAGE(終値!AF132:AY132),""))</f>
        <v>0.43828446187432635</v>
      </c>
      <c r="AD132" s="503">
        <f>IF(終値!A132="","",IFERROR(4*STDEVP(終値!AG132:AZ132)/AVERAGE(終値!AG132:AZ132),""))</f>
        <v>0.48051656292155454</v>
      </c>
      <c r="AE132" s="503">
        <f>IF(終値!A132="","",IFERROR(4*STDEVP(終値!AH132:BA132)/AVERAGE(終値!AH132:BA132),""))</f>
        <v>0.49160907759215611</v>
      </c>
      <c r="AF132" s="503">
        <f>IF(終値!A132="","",IFERROR(4*STDEVP(終値!AI132:BB132)/AVERAGE(終値!AI132:BB132),""))</f>
        <v>0.50773695006822439</v>
      </c>
      <c r="AG132" s="503">
        <f>IF(終値!A132="","",IFERROR(4*STDEVP(終値!AJ132:BC132)/AVERAGE(終値!AJ132:BC132),""))</f>
        <v>0.52066985692454937</v>
      </c>
      <c r="AH132" s="503">
        <f>IF(終値!A132="","",IFERROR(4*STDEVP(終値!AK132:BD132)/AVERAGE(終値!AK132:BD132),""))</f>
        <v>0.50560139676336213</v>
      </c>
      <c r="AI132" s="503">
        <f>IF(終値!A132="","",IFERROR(4*STDEVP(終値!AL132:BE132)/AVERAGE(終値!AL132:BE132),""))</f>
        <v>0.50546749416599979</v>
      </c>
      <c r="AJ132" s="503">
        <f>IF(終値!A132="","",IFERROR(4*STDEVP(終値!AM132:BF132)/AVERAGE(終値!AM132:BF132),""))</f>
        <v>0.50432293438719378</v>
      </c>
      <c r="AK132" s="503">
        <f>IF(終値!A132="","",IFERROR(4*STDEVP(終値!AN132:BG132)/AVERAGE(終値!AN132:BG132),""))</f>
        <v>0.47779155846910437</v>
      </c>
      <c r="AL132" s="503">
        <f>IF(終値!A132="","",IFERROR(4*STDEVP(終値!AO132:BH132)/AVERAGE(終値!AO132:BH132),""))</f>
        <v>0.4414815720859101</v>
      </c>
      <c r="AM132" s="503">
        <f>IF(終値!A132="","",IFERROR(4*STDEVP(終値!AP132:BI132)/AVERAGE(終値!AP132:BI132),""))</f>
        <v>0.37459209268968413</v>
      </c>
      <c r="AN132" s="503">
        <f>IF(終値!A132="","",IFERROR(4*STDEVP(終値!AQ132:BJ132)/AVERAGE(終値!AQ132:BJ132),""))</f>
        <v>0.33117807419551948</v>
      </c>
      <c r="AO132" s="503">
        <f>IF(終値!A132="","",IFERROR(4*STDEVP(終値!AR132:BK132)/AVERAGE(終値!AR132:BK132),""))</f>
        <v>0.32755125637660559</v>
      </c>
      <c r="AP132" s="503">
        <f>IF(終値!A132="","",IFERROR(4*STDEVP(終値!AS132:BL132)/AVERAGE(終値!AS132:BL132),""))</f>
        <v>0.32079376070858806</v>
      </c>
    </row>
    <row r="133" spans="1:42">
      <c r="A133" s="500" t="str">
        <f>IF(終値!A133="","",終値!A133)</f>
        <v>6327</v>
      </c>
      <c r="B133" s="503">
        <f>IF(終値!A133="","",IFERROR(4*STDEVP(終値!E133:X133)/AVERAGE(終値!E133:X133),""))</f>
        <v>1.0303176834527683</v>
      </c>
      <c r="C133" s="503">
        <f>IF(終値!A133="","",IFERROR(4*STDEVP(終値!F133:Y133)/AVERAGE(終値!F133:Y133),""))</f>
        <v>1.056897750365146</v>
      </c>
      <c r="D133" s="503">
        <f>IF(終値!A133="","",IFERROR(4*STDEVP(終値!G133:Z133)/AVERAGE(終値!G133:Z133),""))</f>
        <v>1.1370076224843471</v>
      </c>
      <c r="E133" s="503">
        <f>IF(終値!A133="","",IFERROR(4*STDEVP(終値!H133:AA133)/AVERAGE(終値!H133:AA133),""))</f>
        <v>1.2869922585805078</v>
      </c>
      <c r="F133" s="503">
        <f>IF(終値!A133="","",IFERROR(4*STDEVP(終値!I133:AB133)/AVERAGE(終値!I133:AB133),""))</f>
        <v>1.3105030062815184</v>
      </c>
      <c r="G133" s="503">
        <f>IF(終値!A133="","",IFERROR(4*STDEVP(終値!J133:AC133)/AVERAGE(終値!J133:AC133),""))</f>
        <v>1.3206667009433262</v>
      </c>
      <c r="H133" s="503">
        <f>IF(終値!A133="","",IFERROR(4*STDEVP(終値!K133:AD133)/AVERAGE(終値!K133:AD133),""))</f>
        <v>1.2687729105873056</v>
      </c>
      <c r="I133" s="503">
        <f>IF(終値!A133="","",IFERROR(4*STDEVP(終値!L133:AE133)/AVERAGE(終値!L133:AE133),""))</f>
        <v>1.1519937133204965</v>
      </c>
      <c r="J133" s="503">
        <f>IF(終値!A133="","",IFERROR(4*STDEVP(終値!M133:AF133)/AVERAGE(終値!M133:AF133),""))</f>
        <v>1.0328263411494711</v>
      </c>
      <c r="K133" s="503">
        <f>IF(終値!A133="","",IFERROR(4*STDEVP(終値!N133:AG133)/AVERAGE(終値!N133:AG133),""))</f>
        <v>0.9526806867464781</v>
      </c>
      <c r="L133" s="503">
        <f>IF(終値!A133="","",IFERROR(4*STDEVP(終値!O133:AH133)/AVERAGE(終値!O133:AH133),""))</f>
        <v>0.93120013127719381</v>
      </c>
      <c r="M133" s="503">
        <f>IF(終値!A133="","",IFERROR(4*STDEVP(終値!P133:AI133)/AVERAGE(終値!P133:AI133),""))</f>
        <v>0.87142374178393034</v>
      </c>
      <c r="N133" s="503">
        <f>IF(終値!A133="","",IFERROR(4*STDEVP(終値!Q133:AJ133)/AVERAGE(終値!Q133:AJ133),""))</f>
        <v>0.80359697927480145</v>
      </c>
      <c r="O133" s="503">
        <f>IF(終値!A133="","",IFERROR(4*STDEVP(終値!R133:AK133)/AVERAGE(終値!R133:AK133),""))</f>
        <v>0.7503648065240407</v>
      </c>
      <c r="P133" s="503">
        <f>IF(終値!A133="","",IFERROR(4*STDEVP(終値!S133:AL133)/AVERAGE(終値!S133:AL133),""))</f>
        <v>0.65941168005679107</v>
      </c>
      <c r="Q133" s="503">
        <f>IF(終値!A133="","",IFERROR(4*STDEVP(終値!T133:AM133)/AVERAGE(終値!T133:AM133),""))</f>
        <v>0.66212595262993301</v>
      </c>
      <c r="R133" s="503">
        <f>IF(終値!A133="","",IFERROR(4*STDEVP(終値!U133:AN133)/AVERAGE(終値!U133:AN133),""))</f>
        <v>0.69872584269760574</v>
      </c>
      <c r="S133" s="503">
        <f>IF(終値!A133="","",IFERROR(4*STDEVP(終値!V133:AO133)/AVERAGE(終値!V133:AO133),""))</f>
        <v>0.78102679017690413</v>
      </c>
      <c r="T133" s="503">
        <f>IF(終値!A133="","",IFERROR(4*STDEVP(終値!W133:AP133)/AVERAGE(終値!W133:AP133),""))</f>
        <v>0.91992001044801919</v>
      </c>
      <c r="U133" s="503">
        <f>IF(終値!A133="","",IFERROR(4*STDEVP(終値!X133:AQ133)/AVERAGE(終値!X133:AQ133),""))</f>
        <v>1.0268194632070167</v>
      </c>
      <c r="V133" s="503">
        <f>IF(終値!A133="","",IFERROR(4*STDEVP(終値!Y133:AR133)/AVERAGE(終値!Y133:AR133),""))</f>
        <v>1.1216223600408335</v>
      </c>
      <c r="W133" s="503">
        <f>IF(終値!A133="","",IFERROR(4*STDEVP(終値!Z133:AS133)/AVERAGE(終値!Z133:AS133),""))</f>
        <v>1.1924035160212691</v>
      </c>
      <c r="X133" s="503">
        <f>IF(終値!A133="","",IFERROR(4*STDEVP(終値!AA133:AT133)/AVERAGE(終値!AA133:AT133),""))</f>
        <v>1.236989673209089</v>
      </c>
      <c r="Y133" s="503">
        <f>IF(終値!A133="","",IFERROR(4*STDEVP(終値!AB133:AU133)/AVERAGE(終値!AB133:AU133),""))</f>
        <v>1.2307846472631532</v>
      </c>
      <c r="Z133" s="503">
        <f>IF(終値!A133="","",IFERROR(4*STDEVP(終値!AC133:AV133)/AVERAGE(終値!AC133:AV133),""))</f>
        <v>1.1996140656054617</v>
      </c>
      <c r="AA133" s="503">
        <f>IF(終値!A133="","",IFERROR(4*STDEVP(終値!AD133:AW133)/AVERAGE(終値!AD133:AW133),""))</f>
        <v>1.1005110523084429</v>
      </c>
      <c r="AB133" s="503">
        <f>IF(終値!A133="","",IFERROR(4*STDEVP(終値!AE133:AX133)/AVERAGE(終値!AE133:AX133),""))</f>
        <v>1.0009885414243824</v>
      </c>
      <c r="AC133" s="503">
        <f>IF(終値!A133="","",IFERROR(4*STDEVP(終値!AF133:AY133)/AVERAGE(終値!AF133:AY133),""))</f>
        <v>0.9475488426795079</v>
      </c>
      <c r="AD133" s="503">
        <f>IF(終値!A133="","",IFERROR(4*STDEVP(終値!AG133:AZ133)/AVERAGE(終値!AG133:AZ133),""))</f>
        <v>0.92627065287451915</v>
      </c>
      <c r="AE133" s="503">
        <f>IF(終値!A133="","",IFERROR(4*STDEVP(終値!AH133:BA133)/AVERAGE(終値!AH133:BA133),""))</f>
        <v>0.90776932057007542</v>
      </c>
      <c r="AF133" s="503">
        <f>IF(終値!A133="","",IFERROR(4*STDEVP(終値!AI133:BB133)/AVERAGE(終値!AI133:BB133),""))</f>
        <v>0.95801040440226304</v>
      </c>
      <c r="AG133" s="503">
        <f>IF(終値!A133="","",IFERROR(4*STDEVP(終値!AJ133:BC133)/AVERAGE(終値!AJ133:BC133),""))</f>
        <v>1.031316738378953</v>
      </c>
      <c r="AH133" s="503">
        <f>IF(終値!A133="","",IFERROR(4*STDEVP(終値!AK133:BD133)/AVERAGE(終値!AK133:BD133),""))</f>
        <v>1.0597090357469412</v>
      </c>
      <c r="AI133" s="503">
        <f>IF(終値!A133="","",IFERROR(4*STDEVP(終値!AL133:BE133)/AVERAGE(終値!AL133:BE133),""))</f>
        <v>1.1243863702790107</v>
      </c>
      <c r="AJ133" s="503">
        <f>IF(終値!A133="","",IFERROR(4*STDEVP(終値!AM133:BF133)/AVERAGE(終値!AM133:BF133),""))</f>
        <v>1.0794575263201771</v>
      </c>
      <c r="AK133" s="503">
        <f>IF(終値!A133="","",IFERROR(4*STDEVP(終値!AN133:BG133)/AVERAGE(終値!AN133:BG133),""))</f>
        <v>1.0911431121998705</v>
      </c>
      <c r="AL133" s="503">
        <f>IF(終値!A133="","",IFERROR(4*STDEVP(終値!AO133:BH133)/AVERAGE(終値!AO133:BH133),""))</f>
        <v>1.1183908101953988</v>
      </c>
      <c r="AM133" s="503">
        <f>IF(終値!A133="","",IFERROR(4*STDEVP(終値!AP133:BI133)/AVERAGE(終値!AP133:BI133),""))</f>
        <v>1.1477910534349933</v>
      </c>
      <c r="AN133" s="503">
        <f>IF(終値!A133="","",IFERROR(4*STDEVP(終値!AQ133:BJ133)/AVERAGE(終値!AQ133:BJ133),""))</f>
        <v>1.1501210655328606</v>
      </c>
      <c r="AO133" s="503">
        <f>IF(終値!A133="","",IFERROR(4*STDEVP(終値!AR133:BK133)/AVERAGE(終値!AR133:BK133),""))</f>
        <v>1.1379132694955436</v>
      </c>
      <c r="AP133" s="503">
        <f>IF(終値!A133="","",IFERROR(4*STDEVP(終値!AS133:BL133)/AVERAGE(終値!AS133:BL133),""))</f>
        <v>1.1255612064481499</v>
      </c>
    </row>
    <row r="134" spans="1:42">
      <c r="A134" s="500" t="str">
        <f>IF(終値!A134="","",終値!A134)</f>
        <v>3110</v>
      </c>
      <c r="B134" s="503">
        <f>IF(終値!A134="","",IFERROR(4*STDEVP(終値!E134:X134)/AVERAGE(終値!E134:X134),""))</f>
        <v>0.39363509964467791</v>
      </c>
      <c r="C134" s="503">
        <f>IF(終値!A134="","",IFERROR(4*STDEVP(終値!F134:Y134)/AVERAGE(終値!F134:Y134),""))</f>
        <v>0</v>
      </c>
      <c r="D134" s="503" t="str">
        <f>IF(終値!A134="","",IFERROR(4*STDEVP(終値!G134:Z134)/AVERAGE(終値!G134:Z134),""))</f>
        <v/>
      </c>
      <c r="E134" s="503" t="str">
        <f>IF(終値!A134="","",IFERROR(4*STDEVP(終値!H134:AA134)/AVERAGE(終値!H134:AA134),""))</f>
        <v/>
      </c>
      <c r="F134" s="503" t="str">
        <f>IF(終値!A134="","",IFERROR(4*STDEVP(終値!I134:AB134)/AVERAGE(終値!I134:AB134),""))</f>
        <v/>
      </c>
      <c r="G134" s="503" t="str">
        <f>IF(終値!A134="","",IFERROR(4*STDEVP(終値!J134:AC134)/AVERAGE(終値!J134:AC134),""))</f>
        <v/>
      </c>
      <c r="H134" s="503" t="str">
        <f>IF(終値!A134="","",IFERROR(4*STDEVP(終値!K134:AD134)/AVERAGE(終値!K134:AD134),""))</f>
        <v/>
      </c>
      <c r="I134" s="503" t="str">
        <f>IF(終値!A134="","",IFERROR(4*STDEVP(終値!L134:AE134)/AVERAGE(終値!L134:AE134),""))</f>
        <v/>
      </c>
      <c r="J134" s="503" t="str">
        <f>IF(終値!A134="","",IFERROR(4*STDEVP(終値!M134:AF134)/AVERAGE(終値!M134:AF134),""))</f>
        <v/>
      </c>
      <c r="K134" s="503" t="str">
        <f>IF(終値!A134="","",IFERROR(4*STDEVP(終値!N134:AG134)/AVERAGE(終値!N134:AG134),""))</f>
        <v/>
      </c>
      <c r="L134" s="503" t="str">
        <f>IF(終値!A134="","",IFERROR(4*STDEVP(終値!O134:AH134)/AVERAGE(終値!O134:AH134),""))</f>
        <v/>
      </c>
      <c r="M134" s="503" t="str">
        <f>IF(終値!A134="","",IFERROR(4*STDEVP(終値!P134:AI134)/AVERAGE(終値!P134:AI134),""))</f>
        <v/>
      </c>
      <c r="N134" s="503" t="str">
        <f>IF(終値!A134="","",IFERROR(4*STDEVP(終値!Q134:AJ134)/AVERAGE(終値!Q134:AJ134),""))</f>
        <v/>
      </c>
      <c r="O134" s="503" t="str">
        <f>IF(終値!A134="","",IFERROR(4*STDEVP(終値!R134:AK134)/AVERAGE(終値!R134:AK134),""))</f>
        <v/>
      </c>
      <c r="P134" s="503" t="str">
        <f>IF(終値!A134="","",IFERROR(4*STDEVP(終値!S134:AL134)/AVERAGE(終値!S134:AL134),""))</f>
        <v/>
      </c>
      <c r="Q134" s="503" t="str">
        <f>IF(終値!A134="","",IFERROR(4*STDEVP(終値!T134:AM134)/AVERAGE(終値!T134:AM134),""))</f>
        <v/>
      </c>
      <c r="R134" s="503" t="str">
        <f>IF(終値!A134="","",IFERROR(4*STDEVP(終値!U134:AN134)/AVERAGE(終値!U134:AN134),""))</f>
        <v/>
      </c>
      <c r="S134" s="503" t="str">
        <f>IF(終値!A134="","",IFERROR(4*STDEVP(終値!V134:AO134)/AVERAGE(終値!V134:AO134),""))</f>
        <v/>
      </c>
      <c r="T134" s="503" t="str">
        <f>IF(終値!A134="","",IFERROR(4*STDEVP(終値!W134:AP134)/AVERAGE(終値!W134:AP134),""))</f>
        <v/>
      </c>
      <c r="U134" s="503" t="str">
        <f>IF(終値!A134="","",IFERROR(4*STDEVP(終値!X134:AQ134)/AVERAGE(終値!X134:AQ134),""))</f>
        <v/>
      </c>
      <c r="V134" s="503" t="str">
        <f>IF(終値!A134="","",IFERROR(4*STDEVP(終値!Y134:AR134)/AVERAGE(終値!Y134:AR134),""))</f>
        <v/>
      </c>
      <c r="W134" s="503" t="str">
        <f>IF(終値!A134="","",IFERROR(4*STDEVP(終値!Z134:AS134)/AVERAGE(終値!Z134:AS134),""))</f>
        <v/>
      </c>
      <c r="X134" s="503" t="str">
        <f>IF(終値!A134="","",IFERROR(4*STDEVP(終値!AA134:AT134)/AVERAGE(終値!AA134:AT134),""))</f>
        <v/>
      </c>
      <c r="Y134" s="503" t="str">
        <f>IF(終値!A134="","",IFERROR(4*STDEVP(終値!AB134:AU134)/AVERAGE(終値!AB134:AU134),""))</f>
        <v/>
      </c>
      <c r="Z134" s="503" t="str">
        <f>IF(終値!A134="","",IFERROR(4*STDEVP(終値!AC134:AV134)/AVERAGE(終値!AC134:AV134),""))</f>
        <v/>
      </c>
      <c r="AA134" s="503" t="str">
        <f>IF(終値!A134="","",IFERROR(4*STDEVP(終値!AD134:AW134)/AVERAGE(終値!AD134:AW134),""))</f>
        <v/>
      </c>
      <c r="AB134" s="503" t="str">
        <f>IF(終値!A134="","",IFERROR(4*STDEVP(終値!AE134:AX134)/AVERAGE(終値!AE134:AX134),""))</f>
        <v/>
      </c>
      <c r="AC134" s="503" t="str">
        <f>IF(終値!A134="","",IFERROR(4*STDEVP(終値!AF134:AY134)/AVERAGE(終値!AF134:AY134),""))</f>
        <v/>
      </c>
      <c r="AD134" s="503" t="str">
        <f>IF(終値!A134="","",IFERROR(4*STDEVP(終値!AG134:AZ134)/AVERAGE(終値!AG134:AZ134),""))</f>
        <v/>
      </c>
      <c r="AE134" s="503" t="str">
        <f>IF(終値!A134="","",IFERROR(4*STDEVP(終値!AH134:BA134)/AVERAGE(終値!AH134:BA134),""))</f>
        <v/>
      </c>
      <c r="AF134" s="503" t="str">
        <f>IF(終値!A134="","",IFERROR(4*STDEVP(終値!AI134:BB134)/AVERAGE(終値!AI134:BB134),""))</f>
        <v/>
      </c>
      <c r="AG134" s="503" t="str">
        <f>IF(終値!A134="","",IFERROR(4*STDEVP(終値!AJ134:BC134)/AVERAGE(終値!AJ134:BC134),""))</f>
        <v/>
      </c>
      <c r="AH134" s="503" t="str">
        <f>IF(終値!A134="","",IFERROR(4*STDEVP(終値!AK134:BD134)/AVERAGE(終値!AK134:BD134),""))</f>
        <v/>
      </c>
      <c r="AI134" s="503" t="str">
        <f>IF(終値!A134="","",IFERROR(4*STDEVP(終値!AL134:BE134)/AVERAGE(終値!AL134:BE134),""))</f>
        <v/>
      </c>
      <c r="AJ134" s="503" t="str">
        <f>IF(終値!A134="","",IFERROR(4*STDEVP(終値!AM134:BF134)/AVERAGE(終値!AM134:BF134),""))</f>
        <v/>
      </c>
      <c r="AK134" s="503" t="str">
        <f>IF(終値!A134="","",IFERROR(4*STDEVP(終値!AN134:BG134)/AVERAGE(終値!AN134:BG134),""))</f>
        <v/>
      </c>
      <c r="AL134" s="503" t="str">
        <f>IF(終値!A134="","",IFERROR(4*STDEVP(終値!AO134:BH134)/AVERAGE(終値!AO134:BH134),""))</f>
        <v/>
      </c>
      <c r="AM134" s="503" t="str">
        <f>IF(終値!A134="","",IFERROR(4*STDEVP(終値!AP134:BI134)/AVERAGE(終値!AP134:BI134),""))</f>
        <v/>
      </c>
      <c r="AN134" s="503" t="str">
        <f>IF(終値!A134="","",IFERROR(4*STDEVP(終値!AQ134:BJ134)/AVERAGE(終値!AQ134:BJ134),""))</f>
        <v/>
      </c>
      <c r="AO134" s="503" t="str">
        <f>IF(終値!A134="","",IFERROR(4*STDEVP(終値!AR134:BK134)/AVERAGE(終値!AR134:BK134),""))</f>
        <v/>
      </c>
      <c r="AP134" s="503" t="str">
        <f>IF(終値!A134="","",IFERROR(4*STDEVP(終値!AS134:BL134)/AVERAGE(終値!AS134:BL134),""))</f>
        <v/>
      </c>
    </row>
    <row r="135" spans="1:42">
      <c r="A135" s="500" t="str">
        <f>IF(終値!A135="","",終値!A135)</f>
        <v>6232</v>
      </c>
      <c r="B135" s="503">
        <f>IF(終値!A135="","",IFERROR(4*STDEVP(終値!E135:X135)/AVERAGE(終値!E135:X135),""))</f>
        <v>1.3728548227296278</v>
      </c>
      <c r="C135" s="503">
        <f>IF(終値!A135="","",IFERROR(4*STDEVP(終値!F135:Y135)/AVERAGE(終値!F135:Y135),""))</f>
        <v>1.2907176178670754</v>
      </c>
      <c r="D135" s="503">
        <f>IF(終値!A135="","",IFERROR(4*STDEVP(終値!G135:Z135)/AVERAGE(終値!G135:Z135),""))</f>
        <v>1.260262582234341</v>
      </c>
      <c r="E135" s="503">
        <f>IF(終値!A135="","",IFERROR(4*STDEVP(終値!H135:AA135)/AVERAGE(終値!H135:AA135),""))</f>
        <v>1.4082648971343183</v>
      </c>
      <c r="F135" s="503">
        <f>IF(終値!A135="","",IFERROR(4*STDEVP(終値!I135:AB135)/AVERAGE(終値!I135:AB135),""))</f>
        <v>1.4386672799846649</v>
      </c>
      <c r="G135" s="503">
        <f>IF(終値!A135="","",IFERROR(4*STDEVP(終値!J135:AC135)/AVERAGE(終値!J135:AC135),""))</f>
        <v>1.4569568875547758</v>
      </c>
      <c r="H135" s="503">
        <f>IF(終値!A135="","",IFERROR(4*STDEVP(終値!K135:AD135)/AVERAGE(終値!K135:AD135),""))</f>
        <v>1.4171362809303183</v>
      </c>
      <c r="I135" s="503">
        <f>IF(終値!A135="","",IFERROR(4*STDEVP(終値!L135:AE135)/AVERAGE(終値!L135:AE135),""))</f>
        <v>1.3180651706126882</v>
      </c>
      <c r="J135" s="503">
        <f>IF(終値!A135="","",IFERROR(4*STDEVP(終値!M135:AF135)/AVERAGE(終値!M135:AF135),""))</f>
        <v>1.218322730579064</v>
      </c>
      <c r="K135" s="503">
        <f>IF(終値!A135="","",IFERROR(4*STDEVP(終値!N135:AG135)/AVERAGE(終値!N135:AG135),""))</f>
        <v>1.1542457650330415</v>
      </c>
      <c r="L135" s="503">
        <f>IF(終値!A135="","",IFERROR(4*STDEVP(終値!O135:AH135)/AVERAGE(終値!O135:AH135),""))</f>
        <v>0.93120013127719381</v>
      </c>
      <c r="M135" s="503">
        <f>IF(終値!A135="","",IFERROR(4*STDEVP(終値!P135:AI135)/AVERAGE(終値!P135:AI135),""))</f>
        <v>0.87142374178393034</v>
      </c>
      <c r="N135" s="503">
        <f>IF(終値!A135="","",IFERROR(4*STDEVP(終値!Q135:AJ135)/AVERAGE(終値!Q135:AJ135),""))</f>
        <v>0.80359697927480145</v>
      </c>
      <c r="O135" s="503">
        <f>IF(終値!A135="","",IFERROR(4*STDEVP(終値!R135:AK135)/AVERAGE(終値!R135:AK135),""))</f>
        <v>0.7503648065240407</v>
      </c>
      <c r="P135" s="503">
        <f>IF(終値!A135="","",IFERROR(4*STDEVP(終値!S135:AL135)/AVERAGE(終値!S135:AL135),""))</f>
        <v>0.65941168005679107</v>
      </c>
      <c r="Q135" s="503">
        <f>IF(終値!A135="","",IFERROR(4*STDEVP(終値!T135:AM135)/AVERAGE(終値!T135:AM135),""))</f>
        <v>0.66212595262993301</v>
      </c>
      <c r="R135" s="503">
        <f>IF(終値!A135="","",IFERROR(4*STDEVP(終値!U135:AN135)/AVERAGE(終値!U135:AN135),""))</f>
        <v>0.69872584269760574</v>
      </c>
      <c r="S135" s="503">
        <f>IF(終値!A135="","",IFERROR(4*STDEVP(終値!V135:AO135)/AVERAGE(終値!V135:AO135),""))</f>
        <v>0.78102679017690413</v>
      </c>
      <c r="T135" s="503">
        <f>IF(終値!A135="","",IFERROR(4*STDEVP(終値!W135:AP135)/AVERAGE(終値!W135:AP135),""))</f>
        <v>0.91992001044801919</v>
      </c>
      <c r="U135" s="503">
        <f>IF(終値!A135="","",IFERROR(4*STDEVP(終値!X135:AQ135)/AVERAGE(終値!X135:AQ135),""))</f>
        <v>1.0268194632070167</v>
      </c>
      <c r="V135" s="503">
        <f>IF(終値!A135="","",IFERROR(4*STDEVP(終値!Y135:AR135)/AVERAGE(終値!Y135:AR135),""))</f>
        <v>1.1216223600408335</v>
      </c>
      <c r="W135" s="503">
        <f>IF(終値!A135="","",IFERROR(4*STDEVP(終値!Z135:AS135)/AVERAGE(終値!Z135:AS135),""))</f>
        <v>1.1924035160212691</v>
      </c>
      <c r="X135" s="503">
        <f>IF(終値!A135="","",IFERROR(4*STDEVP(終値!AA135:AT135)/AVERAGE(終値!AA135:AT135),""))</f>
        <v>1.236989673209089</v>
      </c>
      <c r="Y135" s="503">
        <f>IF(終値!A135="","",IFERROR(4*STDEVP(終値!AB135:AU135)/AVERAGE(終値!AB135:AU135),""))</f>
        <v>1.2307846472631532</v>
      </c>
      <c r="Z135" s="503">
        <f>IF(終値!A135="","",IFERROR(4*STDEVP(終値!AC135:AV135)/AVERAGE(終値!AC135:AV135),""))</f>
        <v>1.1996140656054617</v>
      </c>
      <c r="AA135" s="503">
        <f>IF(終値!A135="","",IFERROR(4*STDEVP(終値!AD135:AW135)/AVERAGE(終値!AD135:AW135),""))</f>
        <v>1.1005110523084429</v>
      </c>
      <c r="AB135" s="503">
        <f>IF(終値!A135="","",IFERROR(4*STDEVP(終値!AE135:AX135)/AVERAGE(終値!AE135:AX135),""))</f>
        <v>1.0009885414243824</v>
      </c>
      <c r="AC135" s="503">
        <f>IF(終値!A135="","",IFERROR(4*STDEVP(終値!AF135:AY135)/AVERAGE(終値!AF135:AY135),""))</f>
        <v>0.9475488426795079</v>
      </c>
      <c r="AD135" s="503">
        <f>IF(終値!A135="","",IFERROR(4*STDEVP(終値!AG135:AZ135)/AVERAGE(終値!AG135:AZ135),""))</f>
        <v>0.92627065287451915</v>
      </c>
      <c r="AE135" s="503">
        <f>IF(終値!A135="","",IFERROR(4*STDEVP(終値!AH135:BA135)/AVERAGE(終値!AH135:BA135),""))</f>
        <v>0.90776932057007542</v>
      </c>
      <c r="AF135" s="503">
        <f>IF(終値!A135="","",IFERROR(4*STDEVP(終値!AI135:BB135)/AVERAGE(終値!AI135:BB135),""))</f>
        <v>0.95801040440226304</v>
      </c>
      <c r="AG135" s="503">
        <f>IF(終値!A135="","",IFERROR(4*STDEVP(終値!AJ135:BC135)/AVERAGE(終値!AJ135:BC135),""))</f>
        <v>1.031316738378953</v>
      </c>
      <c r="AH135" s="503">
        <f>IF(終値!A135="","",IFERROR(4*STDEVP(終値!AK135:BD135)/AVERAGE(終値!AK135:BD135),""))</f>
        <v>1.0597090357469412</v>
      </c>
      <c r="AI135" s="503">
        <f>IF(終値!A135="","",IFERROR(4*STDEVP(終値!AL135:BE135)/AVERAGE(終値!AL135:BE135),""))</f>
        <v>1.1243863702790107</v>
      </c>
      <c r="AJ135" s="503">
        <f>IF(終値!A135="","",IFERROR(4*STDEVP(終値!AM135:BF135)/AVERAGE(終値!AM135:BF135),""))</f>
        <v>1.0794575263201771</v>
      </c>
      <c r="AK135" s="503">
        <f>IF(終値!A135="","",IFERROR(4*STDEVP(終値!AN135:BG135)/AVERAGE(終値!AN135:BG135),""))</f>
        <v>1.0911431121998705</v>
      </c>
      <c r="AL135" s="503">
        <f>IF(終値!A135="","",IFERROR(4*STDEVP(終値!AO135:BH135)/AVERAGE(終値!AO135:BH135),""))</f>
        <v>1.1183908101953988</v>
      </c>
      <c r="AM135" s="503">
        <f>IF(終値!A135="","",IFERROR(4*STDEVP(終値!AP135:BI135)/AVERAGE(終値!AP135:BI135),""))</f>
        <v>1.1477910534349933</v>
      </c>
      <c r="AN135" s="503">
        <f>IF(終値!A135="","",IFERROR(4*STDEVP(終値!AQ135:BJ135)/AVERAGE(終値!AQ135:BJ135),""))</f>
        <v>1.1501210655328606</v>
      </c>
      <c r="AO135" s="503">
        <f>IF(終値!A135="","",IFERROR(4*STDEVP(終値!AR135:BK135)/AVERAGE(終値!AR135:BK135),""))</f>
        <v>1.1379132694955436</v>
      </c>
      <c r="AP135" s="503">
        <f>IF(終値!A135="","",IFERROR(4*STDEVP(終値!AS135:BL135)/AVERAGE(終値!AS135:BL135),""))</f>
        <v>1.1255612064481499</v>
      </c>
    </row>
    <row r="136" spans="1:42">
      <c r="A136" s="500" t="str">
        <f>IF(終値!A136="","",終値!A136)</f>
        <v>7794</v>
      </c>
      <c r="B136" s="503">
        <f>IF(終値!A136="","",IFERROR(4*STDEVP(終値!E136:X136)/AVERAGE(終値!E136:X136),""))</f>
        <v>0.34978793265229163</v>
      </c>
      <c r="C136" s="503">
        <f>IF(終値!A136="","",IFERROR(4*STDEVP(終値!F136:Y136)/AVERAGE(終値!F136:Y136),""))</f>
        <v>0.37154833593885839</v>
      </c>
      <c r="D136" s="503">
        <f>IF(終値!A136="","",IFERROR(4*STDEVP(終値!G136:Z136)/AVERAGE(終値!G136:Z136),""))</f>
        <v>0.41309546156783061</v>
      </c>
      <c r="E136" s="503">
        <f>IF(終値!A136="","",IFERROR(4*STDEVP(終値!H136:AA136)/AVERAGE(終値!H136:AA136),""))</f>
        <v>0.45896609787336523</v>
      </c>
      <c r="F136" s="503">
        <f>IF(終値!A136="","",IFERROR(4*STDEVP(終値!I136:AB136)/AVERAGE(終値!I136:AB136),""))</f>
        <v>0.47782577157057465</v>
      </c>
      <c r="G136" s="503">
        <f>IF(終値!A136="","",IFERROR(4*STDEVP(終値!J136:AC136)/AVERAGE(終値!J136:AC136),""))</f>
        <v>0.48267052441895886</v>
      </c>
      <c r="H136" s="503">
        <f>IF(終値!A136="","",IFERROR(4*STDEVP(終値!K136:AD136)/AVERAGE(終値!K136:AD136),""))</f>
        <v>0.46557622247737296</v>
      </c>
      <c r="I136" s="503">
        <f>IF(終値!A136="","",IFERROR(4*STDEVP(終値!L136:AE136)/AVERAGE(終値!L136:AE136),""))</f>
        <v>0.43055762066300129</v>
      </c>
      <c r="J136" s="503">
        <f>IF(終値!A136="","",IFERROR(4*STDEVP(終値!M136:AF136)/AVERAGE(終値!M136:AF136),""))</f>
        <v>0.40064795959293792</v>
      </c>
      <c r="K136" s="503">
        <f>IF(終値!A136="","",IFERROR(4*STDEVP(終値!N136:AG136)/AVERAGE(終値!N136:AG136),""))</f>
        <v>0.38093993508194757</v>
      </c>
      <c r="L136" s="503">
        <f>IF(終値!A136="","",IFERROR(4*STDEVP(終値!O136:AH136)/AVERAGE(終値!O136:AH136),""))</f>
        <v>0.37221692492415703</v>
      </c>
      <c r="M136" s="503">
        <f>IF(終値!A136="","",IFERROR(4*STDEVP(終値!P136:AI136)/AVERAGE(終値!P136:AI136),""))</f>
        <v>0.35480518399556532</v>
      </c>
      <c r="N136" s="503">
        <f>IF(終値!A136="","",IFERROR(4*STDEVP(終値!Q136:AJ136)/AVERAGE(終値!Q136:AJ136),""))</f>
        <v>0.3419139578640914</v>
      </c>
      <c r="O136" s="503">
        <f>IF(終値!A136="","",IFERROR(4*STDEVP(終値!R136:AK136)/AVERAGE(終値!R136:AK136),""))</f>
        <v>0.30841239425517092</v>
      </c>
      <c r="P136" s="503">
        <f>IF(終値!A136="","",IFERROR(4*STDEVP(終値!S136:AL136)/AVERAGE(終値!S136:AL136),""))</f>
        <v>0.26186060353836671</v>
      </c>
      <c r="Q136" s="503">
        <f>IF(終値!A136="","",IFERROR(4*STDEVP(終値!T136:AM136)/AVERAGE(終値!T136:AM136),""))</f>
        <v>0.2505381080675303</v>
      </c>
      <c r="R136" s="503">
        <f>IF(終値!A136="","",IFERROR(4*STDEVP(終値!U136:AN136)/AVERAGE(終値!U136:AN136),""))</f>
        <v>0.24167119079057811</v>
      </c>
      <c r="S136" s="503">
        <f>IF(終値!A136="","",IFERROR(4*STDEVP(終値!V136:AO136)/AVERAGE(終値!V136:AO136),""))</f>
        <v>0.23587396860254115</v>
      </c>
      <c r="T136" s="503">
        <f>IF(終値!A136="","",IFERROR(4*STDEVP(終値!W136:AP136)/AVERAGE(終値!W136:AP136),""))</f>
        <v>0.2344302564779841</v>
      </c>
      <c r="U136" s="503">
        <f>IF(終値!A136="","",IFERROR(4*STDEVP(終値!X136:AQ136)/AVERAGE(終値!X136:AQ136),""))</f>
        <v>0.23459851555480676</v>
      </c>
      <c r="V136" s="503">
        <f>IF(終値!A136="","",IFERROR(4*STDEVP(終値!Y136:AR136)/AVERAGE(終値!Y136:AR136),""))</f>
        <v>0.23406679353394913</v>
      </c>
      <c r="W136" s="503">
        <f>IF(終値!A136="","",IFERROR(4*STDEVP(終値!Z136:AS136)/AVERAGE(終値!Z136:AS136),""))</f>
        <v>0.23401958492771963</v>
      </c>
      <c r="X136" s="503">
        <f>IF(終値!A136="","",IFERROR(4*STDEVP(終値!AA136:AT136)/AVERAGE(終値!AA136:AT136),""))</f>
        <v>0.23285245817176201</v>
      </c>
      <c r="Y136" s="503">
        <f>IF(終値!A136="","",IFERROR(4*STDEVP(終値!AB136:AU136)/AVERAGE(終値!AB136:AU136),""))</f>
        <v>0.23274065397245053</v>
      </c>
      <c r="Z136" s="503">
        <f>IF(終値!A136="","",IFERROR(4*STDEVP(終値!AC136:AV136)/AVERAGE(終値!AC136:AV136),""))</f>
        <v>0.21541839480737399</v>
      </c>
      <c r="AA136" s="503">
        <f>IF(終値!A136="","",IFERROR(4*STDEVP(終値!AD136:AW136)/AVERAGE(終値!AD136:AW136),""))</f>
        <v>0.19337649589941686</v>
      </c>
      <c r="AB136" s="503">
        <f>IF(終値!A136="","",IFERROR(4*STDEVP(終値!AE136:AX136)/AVERAGE(終値!AE136:AX136),""))</f>
        <v>0.16349191139545352</v>
      </c>
      <c r="AC136" s="503">
        <f>IF(終値!A136="","",IFERROR(4*STDEVP(終値!AF136:AY136)/AVERAGE(終値!AF136:AY136),""))</f>
        <v>0.21831554201301498</v>
      </c>
      <c r="AD136" s="503">
        <f>IF(終値!A136="","",IFERROR(4*STDEVP(終値!AG136:AZ136)/AVERAGE(終値!AG136:AZ136),""))</f>
        <v>0.20988874634016144</v>
      </c>
      <c r="AE136" s="503">
        <f>IF(終値!A136="","",IFERROR(4*STDEVP(終値!AH136:BA136)/AVERAGE(終値!AH136:BA136),""))</f>
        <v>0.21156644496944219</v>
      </c>
      <c r="AF136" s="503">
        <f>IF(終値!A136="","",IFERROR(4*STDEVP(終値!AI136:BB136)/AVERAGE(終値!AI136:BB136),""))</f>
        <v>0.20679047641500553</v>
      </c>
      <c r="AG136" s="503">
        <f>IF(終値!A136="","",IFERROR(4*STDEVP(終値!AJ136:BC136)/AVERAGE(終値!AJ136:BC136),""))</f>
        <v>0.20760537733597534</v>
      </c>
      <c r="AH136" s="503">
        <f>IF(終値!A136="","",IFERROR(4*STDEVP(終値!AK136:BD136)/AVERAGE(終値!AK136:BD136),""))</f>
        <v>0.19112775652138594</v>
      </c>
      <c r="AI136" s="503">
        <f>IF(終値!A136="","",IFERROR(4*STDEVP(終値!AL136:BE136)/AVERAGE(終値!AL136:BE136),""))</f>
        <v>0.19274940318871903</v>
      </c>
      <c r="AJ136" s="503">
        <f>IF(終値!A136="","",IFERROR(4*STDEVP(終値!AM136:BF136)/AVERAGE(終値!AM136:BF136),""))</f>
        <v>0.19275993164590283</v>
      </c>
      <c r="AK136" s="503">
        <f>IF(終値!A136="","",IFERROR(4*STDEVP(終値!AN136:BG136)/AVERAGE(終値!AN136:BG136),""))</f>
        <v>0.1957259021970493</v>
      </c>
      <c r="AL136" s="503">
        <f>IF(終値!A136="","",IFERROR(4*STDEVP(終値!AO136:BH136)/AVERAGE(終値!AO136:BH136),""))</f>
        <v>0.19341496845437806</v>
      </c>
      <c r="AM136" s="503">
        <f>IF(終値!A136="","",IFERROR(4*STDEVP(終値!AP136:BI136)/AVERAGE(終値!AP136:BI136),""))</f>
        <v>0.25573844849775224</v>
      </c>
      <c r="AN136" s="503">
        <f>IF(終値!A136="","",IFERROR(4*STDEVP(終値!AQ136:BJ136)/AVERAGE(終値!AQ136:BJ136),""))</f>
        <v>0.30071254568649525</v>
      </c>
      <c r="AO136" s="503">
        <f>IF(終値!A136="","",IFERROR(4*STDEVP(終値!AR136:BK136)/AVERAGE(終値!AR136:BK136),""))</f>
        <v>0.35561830138509287</v>
      </c>
      <c r="AP136" s="503">
        <f>IF(終値!A136="","",IFERROR(4*STDEVP(終値!AS136:BL136)/AVERAGE(終値!AS136:BL136),""))</f>
        <v>0.38087766532158018</v>
      </c>
    </row>
    <row r="137" spans="1:42">
      <c r="A137" s="500" t="str">
        <f>IF(終値!A137="","",終値!A137)</f>
        <v>6085</v>
      </c>
      <c r="B137" s="503">
        <f>IF(終値!A137="","",IFERROR(4*STDEVP(終値!E137:X137)/AVERAGE(終値!E137:X137),""))</f>
        <v>1.667499268823242</v>
      </c>
      <c r="C137" s="503">
        <f>IF(終値!A137="","",IFERROR(4*STDEVP(終値!F137:Y137)/AVERAGE(終値!F137:Y137),""))</f>
        <v>1.680003430924824</v>
      </c>
      <c r="D137" s="503">
        <f>IF(終値!A137="","",IFERROR(4*STDEVP(終値!G137:Z137)/AVERAGE(終値!G137:Z137),""))</f>
        <v>1.6160596799054128</v>
      </c>
      <c r="E137" s="503">
        <f>IF(終値!A137="","",IFERROR(4*STDEVP(終値!H137:AA137)/AVERAGE(終値!H137:AA137),""))</f>
        <v>1.5023536944126958</v>
      </c>
      <c r="F137" s="503">
        <f>IF(終値!A137="","",IFERROR(4*STDEVP(終値!I137:AB137)/AVERAGE(終値!I137:AB137),""))</f>
        <v>1.3759016278142624</v>
      </c>
      <c r="G137" s="503">
        <f>IF(終値!A137="","",IFERROR(4*STDEVP(終値!J137:AC137)/AVERAGE(終値!J137:AC137),""))</f>
        <v>1.284292047350452</v>
      </c>
      <c r="H137" s="503">
        <f>IF(終値!A137="","",IFERROR(4*STDEVP(終値!K137:AD137)/AVERAGE(終値!K137:AD137),""))</f>
        <v>1.1959483221645699</v>
      </c>
      <c r="I137" s="503">
        <f>IF(終値!A137="","",IFERROR(4*STDEVP(終値!L137:AE137)/AVERAGE(終値!L137:AE137),""))</f>
        <v>1.0786482815208487</v>
      </c>
      <c r="J137" s="503">
        <f>IF(終値!A137="","",IFERROR(4*STDEVP(終値!M137:AF137)/AVERAGE(終値!M137:AF137),""))</f>
        <v>0.99756550119951226</v>
      </c>
      <c r="K137" s="503">
        <f>IF(終値!A137="","",IFERROR(4*STDEVP(終値!N137:AG137)/AVERAGE(終値!N137:AG137),""))</f>
        <v>0.91416375834207941</v>
      </c>
      <c r="L137" s="503">
        <f>IF(終値!A137="","",IFERROR(4*STDEVP(終値!O137:AH137)/AVERAGE(終値!O137:AH137),""))</f>
        <v>0.92548239884229</v>
      </c>
      <c r="M137" s="503">
        <f>IF(終値!A137="","",IFERROR(4*STDEVP(終値!P137:AI137)/AVERAGE(終値!P137:AI137),""))</f>
        <v>0.83113239723535504</v>
      </c>
      <c r="N137" s="503">
        <f>IF(終値!A137="","",IFERROR(4*STDEVP(終値!Q137:AJ137)/AVERAGE(終値!Q137:AJ137),""))</f>
        <v>0.81075487794598622</v>
      </c>
      <c r="O137" s="503">
        <f>IF(終値!A137="","",IFERROR(4*STDEVP(終値!R137:AK137)/AVERAGE(終値!R137:AK137),""))</f>
        <v>0.77261805774675529</v>
      </c>
      <c r="P137" s="503">
        <f>IF(終値!A137="","",IFERROR(4*STDEVP(終値!S137:AL137)/AVERAGE(終値!S137:AL137),""))</f>
        <v>0.69550354265652004</v>
      </c>
      <c r="Q137" s="503">
        <f>IF(終値!A137="","",IFERROR(4*STDEVP(終値!T137:AM137)/AVERAGE(終値!T137:AM137),""))</f>
        <v>0.66995075190196585</v>
      </c>
      <c r="R137" s="503">
        <f>IF(終値!A137="","",IFERROR(4*STDEVP(終値!U137:AN137)/AVERAGE(終値!U137:AN137),""))</f>
        <v>0.64105808569485945</v>
      </c>
      <c r="S137" s="503">
        <f>IF(終値!A137="","",IFERROR(4*STDEVP(終値!V137:AO137)/AVERAGE(終値!V137:AO137),""))</f>
        <v>0.58784220081528005</v>
      </c>
      <c r="T137" s="503">
        <f>IF(終値!A137="","",IFERROR(4*STDEVP(終値!W137:AP137)/AVERAGE(終値!W137:AP137),""))</f>
        <v>0.58170630699069537</v>
      </c>
      <c r="U137" s="503">
        <f>IF(終値!A137="","",IFERROR(4*STDEVP(終値!X137:AQ137)/AVERAGE(終値!X137:AQ137),""))</f>
        <v>0.60936616918137765</v>
      </c>
      <c r="V137" s="503">
        <f>IF(終値!A137="","",IFERROR(4*STDEVP(終値!Y137:AR137)/AVERAGE(終値!Y137:AR137),""))</f>
        <v>0.6540956788284995</v>
      </c>
      <c r="W137" s="503">
        <f>IF(終値!A137="","",IFERROR(4*STDEVP(終値!Z137:AS137)/AVERAGE(終値!Z137:AS137),""))</f>
        <v>0.64012259067687816</v>
      </c>
      <c r="X137" s="503">
        <f>IF(終値!A137="","",IFERROR(4*STDEVP(終値!AA137:AT137)/AVERAGE(終値!AA137:AT137),""))</f>
        <v>0.60676074459268481</v>
      </c>
      <c r="Y137" s="503">
        <f>IF(終値!A137="","",IFERROR(4*STDEVP(終値!AB137:AU137)/AVERAGE(終値!AB137:AU137),""))</f>
        <v>0.55218782608147166</v>
      </c>
      <c r="Z137" s="503">
        <f>IF(終値!A137="","",IFERROR(4*STDEVP(終値!AC137:AV137)/AVERAGE(終値!AC137:AV137),""))</f>
        <v>0.54210759860692781</v>
      </c>
      <c r="AA137" s="503">
        <f>IF(終値!A137="","",IFERROR(4*STDEVP(終値!AD137:AW137)/AVERAGE(終値!AD137:AW137),""))</f>
        <v>0.51711902806151266</v>
      </c>
      <c r="AB137" s="503">
        <f>IF(終値!A137="","",IFERROR(4*STDEVP(終値!AE137:AX137)/AVERAGE(終値!AE137:AX137),""))</f>
        <v>0.49610931399490488</v>
      </c>
      <c r="AC137" s="503">
        <f>IF(終値!A137="","",IFERROR(4*STDEVP(終値!AF137:AY137)/AVERAGE(終値!AF137:AY137),""))</f>
        <v>0.48106097795816072</v>
      </c>
      <c r="AD137" s="503">
        <f>IF(終値!A137="","",IFERROR(4*STDEVP(終値!AG137:AZ137)/AVERAGE(終値!AG137:AZ137),""))</f>
        <v>0.54223475223214745</v>
      </c>
      <c r="AE137" s="503">
        <f>IF(終値!A137="","",IFERROR(4*STDEVP(終値!AH137:BA137)/AVERAGE(終値!AH137:BA137),""))</f>
        <v>0.72384084846030705</v>
      </c>
      <c r="AF137" s="503">
        <f>IF(終値!A137="","",IFERROR(4*STDEVP(終値!AI137:BB137)/AVERAGE(終値!AI137:BB137),""))</f>
        <v>0.78754338773310983</v>
      </c>
      <c r="AG137" s="503">
        <f>IF(終値!A137="","",IFERROR(4*STDEVP(終値!AJ137:BC137)/AVERAGE(終値!AJ137:BC137),""))</f>
        <v>0.81420745361456581</v>
      </c>
      <c r="AH137" s="503">
        <f>IF(終値!A137="","",IFERROR(4*STDEVP(終値!AK137:BD137)/AVERAGE(終値!AK137:BD137),""))</f>
        <v>0.82810715896265152</v>
      </c>
      <c r="AI137" s="503">
        <f>IF(終値!A137="","",IFERROR(4*STDEVP(終値!AL137:BE137)/AVERAGE(終値!AL137:BE137),""))</f>
        <v>0.84366874532562297</v>
      </c>
      <c r="AJ137" s="503">
        <f>IF(終値!A137="","",IFERROR(4*STDEVP(終値!AM137:BF137)/AVERAGE(終値!AM137:BF137),""))</f>
        <v>0.92799318174148548</v>
      </c>
      <c r="AK137" s="503">
        <f>IF(終値!A137="","",IFERROR(4*STDEVP(終値!AN137:BG137)/AVERAGE(終値!AN137:BG137),""))</f>
        <v>0.93824766692976325</v>
      </c>
      <c r="AL137" s="503">
        <f>IF(終値!A137="","",IFERROR(4*STDEVP(終値!AO137:BH137)/AVERAGE(終値!AO137:BH137),""))</f>
        <v>0.94778057382117176</v>
      </c>
      <c r="AM137" s="503">
        <f>IF(終値!A137="","",IFERROR(4*STDEVP(終値!AP137:BI137)/AVERAGE(終値!AP137:BI137),""))</f>
        <v>0.92113748211784929</v>
      </c>
      <c r="AN137" s="503">
        <f>IF(終値!A137="","",IFERROR(4*STDEVP(終値!AQ137:BJ137)/AVERAGE(終値!AQ137:BJ137),""))</f>
        <v>0.93343033760867622</v>
      </c>
      <c r="AO137" s="503">
        <f>IF(終値!A137="","",IFERROR(4*STDEVP(終値!AR137:BK137)/AVERAGE(終値!AR137:BK137),""))</f>
        <v>0.9712551139495299</v>
      </c>
      <c r="AP137" s="503">
        <f>IF(終値!A137="","",IFERROR(4*STDEVP(終値!AS137:BL137)/AVERAGE(終値!AS137:BL137),""))</f>
        <v>0.99709830927345977</v>
      </c>
    </row>
    <row r="138" spans="1:42">
      <c r="A138" s="500" t="str">
        <f>IF(終値!A138="","",終値!A138)</f>
        <v>3103</v>
      </c>
      <c r="B138" s="503">
        <f>IF(終値!A138="","",IFERROR(4*STDEVP(終値!E138:X138)/AVERAGE(終値!E138:X138),""))</f>
        <v>0.45376916656075972</v>
      </c>
      <c r="C138" s="503">
        <f>IF(終値!A138="","",IFERROR(4*STDEVP(終値!F138:Y138)/AVERAGE(終値!F138:Y138),""))</f>
        <v>0.28855012475181807</v>
      </c>
      <c r="D138" s="503">
        <f>IF(終値!A138="","",IFERROR(4*STDEVP(終値!G138:Z138)/AVERAGE(終値!G138:Z138),""))</f>
        <v>0.28645669313597444</v>
      </c>
      <c r="E138" s="503">
        <f>IF(終値!A138="","",IFERROR(4*STDEVP(終値!H138:AA138)/AVERAGE(終値!H138:AA138),""))</f>
        <v>0.31788366428999348</v>
      </c>
      <c r="F138" s="503">
        <f>IF(終値!A138="","",IFERROR(4*STDEVP(終値!I138:AB138)/AVERAGE(終値!I138:AB138),""))</f>
        <v>0.32680561587768064</v>
      </c>
      <c r="G138" s="503">
        <f>IF(終値!A138="","",IFERROR(4*STDEVP(終値!J138:AC138)/AVERAGE(終値!J138:AC138),""))</f>
        <v>0.33070093917147408</v>
      </c>
      <c r="H138" s="503">
        <f>IF(終値!A138="","",IFERROR(4*STDEVP(終値!K138:AD138)/AVERAGE(終値!K138:AD138),""))</f>
        <v>0.31740240015824045</v>
      </c>
      <c r="I138" s="503">
        <f>IF(終値!A138="","",IFERROR(4*STDEVP(終値!L138:AE138)/AVERAGE(終値!L138:AE138),""))</f>
        <v>0.28768938980207309</v>
      </c>
      <c r="J138" s="503">
        <f>IF(終値!A138="","",IFERROR(4*STDEVP(終値!M138:AF138)/AVERAGE(終値!M138:AF138),""))</f>
        <v>0.27691116230377066</v>
      </c>
      <c r="K138" s="503">
        <f>IF(終値!A138="","",IFERROR(4*STDEVP(終値!N138:AG138)/AVERAGE(終値!N138:AG138),""))</f>
        <v>0.2827592298003786</v>
      </c>
      <c r="L138" s="503">
        <f>IF(終値!A138="","",IFERROR(4*STDEVP(終値!O138:AH138)/AVERAGE(終値!O138:AH138),""))</f>
        <v>0.26612264584890677</v>
      </c>
      <c r="M138" s="503">
        <f>IF(終値!A138="","",IFERROR(4*STDEVP(終値!P138:AI138)/AVERAGE(終値!P138:AI138),""))</f>
        <v>0.2821867576758833</v>
      </c>
      <c r="N138" s="503">
        <f>IF(終値!A138="","",IFERROR(4*STDEVP(終値!Q138:AJ138)/AVERAGE(終値!Q138:AJ138),""))</f>
        <v>0.34124003779441492</v>
      </c>
      <c r="O138" s="503">
        <f>IF(終値!A138="","",IFERROR(4*STDEVP(終値!R138:AK138)/AVERAGE(終値!R138:AK138),""))</f>
        <v>0.33552315866971516</v>
      </c>
      <c r="P138" s="503">
        <f>IF(終値!A138="","",IFERROR(4*STDEVP(終値!S138:AL138)/AVERAGE(終値!S138:AL138),""))</f>
        <v>0.32754919589615317</v>
      </c>
      <c r="Q138" s="503">
        <f>IF(終値!A138="","",IFERROR(4*STDEVP(終値!T138:AM138)/AVERAGE(終値!T138:AM138),""))</f>
        <v>0.36713881983700969</v>
      </c>
      <c r="R138" s="503">
        <f>IF(終値!A138="","",IFERROR(4*STDEVP(終値!U138:AN138)/AVERAGE(終値!U138:AN138),""))</f>
        <v>0.35498966335656557</v>
      </c>
      <c r="S138" s="503">
        <f>IF(終値!A138="","",IFERROR(4*STDEVP(終値!V138:AO138)/AVERAGE(終値!V138:AO138),""))</f>
        <v>0.32846662580547925</v>
      </c>
      <c r="T138" s="503">
        <f>IF(終値!A138="","",IFERROR(4*STDEVP(終値!W138:AP138)/AVERAGE(終値!W138:AP138),""))</f>
        <v>0.31501139144867624</v>
      </c>
      <c r="U138" s="503">
        <f>IF(終値!A138="","",IFERROR(4*STDEVP(終値!X138:AQ138)/AVERAGE(終値!X138:AQ138),""))</f>
        <v>0.29246932060573827</v>
      </c>
      <c r="V138" s="503">
        <f>IF(終値!A138="","",IFERROR(4*STDEVP(終値!Y138:AR138)/AVERAGE(終値!Y138:AR138),""))</f>
        <v>0.28367283804049614</v>
      </c>
      <c r="W138" s="503">
        <f>IF(終値!A138="","",IFERROR(4*STDEVP(終値!Z138:AS138)/AVERAGE(終値!Z138:AS138),""))</f>
        <v>0.27630503615869278</v>
      </c>
      <c r="X138" s="503">
        <f>IF(終値!A138="","",IFERROR(4*STDEVP(終値!AA138:AT138)/AVERAGE(終値!AA138:AT138),""))</f>
        <v>0.27689320633391618</v>
      </c>
      <c r="Y138" s="503">
        <f>IF(終値!A138="","",IFERROR(4*STDEVP(終値!AB138:AU138)/AVERAGE(終値!AB138:AU138),""))</f>
        <v>0.27150692603177745</v>
      </c>
      <c r="Z138" s="503">
        <f>IF(終値!A138="","",IFERROR(4*STDEVP(終値!AC138:AV138)/AVERAGE(終値!AC138:AV138),""))</f>
        <v>0.27075084255607146</v>
      </c>
      <c r="AA138" s="503">
        <f>IF(終値!A138="","",IFERROR(4*STDEVP(終値!AD138:AW138)/AVERAGE(終値!AD138:AW138),""))</f>
        <v>0.25476583299096706</v>
      </c>
      <c r="AB138" s="503">
        <f>IF(終値!A138="","",IFERROR(4*STDEVP(終値!AE138:AX138)/AVERAGE(終値!AE138:AX138),""))</f>
        <v>0.30396288669134214</v>
      </c>
      <c r="AC138" s="503">
        <f>IF(終値!A138="","",IFERROR(4*STDEVP(終値!AF138:AY138)/AVERAGE(終値!AF138:AY138),""))</f>
        <v>0.32256575564350609</v>
      </c>
      <c r="AD138" s="503">
        <f>IF(終値!A138="","",IFERROR(4*STDEVP(終値!AG138:AZ138)/AVERAGE(終値!AG138:AZ138),""))</f>
        <v>0.3462890449161376</v>
      </c>
      <c r="AE138" s="503">
        <f>IF(終値!A138="","",IFERROR(4*STDEVP(終値!AH138:BA138)/AVERAGE(終値!AH138:BA138),""))</f>
        <v>0.41487602009377689</v>
      </c>
      <c r="AF138" s="503">
        <f>IF(終値!A138="","",IFERROR(4*STDEVP(終値!AI138:BB138)/AVERAGE(終値!AI138:BB138),""))</f>
        <v>0.44899478467760062</v>
      </c>
      <c r="AG138" s="503">
        <f>IF(終値!A138="","",IFERROR(4*STDEVP(終値!AJ138:BC138)/AVERAGE(終値!AJ138:BC138),""))</f>
        <v>0.43374609612369963</v>
      </c>
      <c r="AH138" s="503">
        <f>IF(終値!A138="","",IFERROR(4*STDEVP(終値!AK138:BD138)/AVERAGE(終値!AK138:BD138),""))</f>
        <v>0.43171529462810249</v>
      </c>
      <c r="AI138" s="503">
        <f>IF(終値!A138="","",IFERROR(4*STDEVP(終値!AL138:BE138)/AVERAGE(終値!AL138:BE138),""))</f>
        <v>0.42154127679876691</v>
      </c>
      <c r="AJ138" s="503">
        <f>IF(終値!A138="","",IFERROR(4*STDEVP(終値!AM138:BF138)/AVERAGE(終値!AM138:BF138),""))</f>
        <v>0.41169425229030004</v>
      </c>
      <c r="AK138" s="503">
        <f>IF(終値!A138="","",IFERROR(4*STDEVP(終値!AN138:BG138)/AVERAGE(終値!AN138:BG138),""))</f>
        <v>0.41549200083523913</v>
      </c>
      <c r="AL138" s="503">
        <f>IF(終値!A138="","",IFERROR(4*STDEVP(終値!AO138:BH138)/AVERAGE(終値!AO138:BH138),""))</f>
        <v>0.510881724996195</v>
      </c>
      <c r="AM138" s="503">
        <f>IF(終値!A138="","",IFERROR(4*STDEVP(終値!AP138:BI138)/AVERAGE(終値!AP138:BI138),""))</f>
        <v>0.77225451408687029</v>
      </c>
      <c r="AN138" s="503">
        <f>IF(終値!A138="","",IFERROR(4*STDEVP(終値!AQ138:BJ138)/AVERAGE(終値!AQ138:BJ138),""))</f>
        <v>0.89190261374633661</v>
      </c>
      <c r="AO138" s="503">
        <f>IF(終値!A138="","",IFERROR(4*STDEVP(終値!AR138:BK138)/AVERAGE(終値!AR138:BK138),""))</f>
        <v>0.96847899804199966</v>
      </c>
      <c r="AP138" s="503">
        <f>IF(終値!A138="","",IFERROR(4*STDEVP(終値!AS138:BL138)/AVERAGE(終値!AS138:BL138),""))</f>
        <v>1.0810567249805667</v>
      </c>
    </row>
    <row r="139" spans="1:42">
      <c r="A139" s="500" t="str">
        <f>IF(終値!A139="","",終値!A139)</f>
        <v>4422</v>
      </c>
      <c r="B139" s="503">
        <f>IF(終値!A139="","",IFERROR(4*STDEVP(終値!E139:X139)/AVERAGE(終値!E139:X139),""))</f>
        <v>0.16992701238467134</v>
      </c>
      <c r="C139" s="503">
        <f>IF(終値!A139="","",IFERROR(4*STDEVP(終値!F139:Y139)/AVERAGE(終値!F139:Y139),""))</f>
        <v>0.17829540347612161</v>
      </c>
      <c r="D139" s="503">
        <f>IF(終値!A139="","",IFERROR(4*STDEVP(終値!G139:Z139)/AVERAGE(終値!G139:Z139),""))</f>
        <v>0.19960407616032314</v>
      </c>
      <c r="E139" s="503">
        <f>IF(終値!A139="","",IFERROR(4*STDEVP(終値!H139:AA139)/AVERAGE(終値!H139:AA139),""))</f>
        <v>0.21086462843403528</v>
      </c>
      <c r="F139" s="503">
        <f>IF(終値!A139="","",IFERROR(4*STDEVP(終値!I139:AB139)/AVERAGE(終値!I139:AB139),""))</f>
        <v>0.21030118237887852</v>
      </c>
      <c r="G139" s="503">
        <f>IF(終値!A139="","",IFERROR(4*STDEVP(終値!J139:AC139)/AVERAGE(終値!J139:AC139),""))</f>
        <v>0.20641255427117539</v>
      </c>
      <c r="H139" s="503">
        <f>IF(終値!A139="","",IFERROR(4*STDEVP(終値!K139:AD139)/AVERAGE(終値!K139:AD139),""))</f>
        <v>0.18494469017337889</v>
      </c>
      <c r="I139" s="503">
        <f>IF(終値!A139="","",IFERROR(4*STDEVP(終値!L139:AE139)/AVERAGE(終値!L139:AE139),""))</f>
        <v>0.15285721319454265</v>
      </c>
      <c r="J139" s="503">
        <f>IF(終値!A139="","",IFERROR(4*STDEVP(終値!M139:AF139)/AVERAGE(終値!M139:AF139),""))</f>
        <v>0.13948781730196591</v>
      </c>
      <c r="K139" s="503">
        <f>IF(終値!A139="","",IFERROR(4*STDEVP(終値!N139:AG139)/AVERAGE(終値!N139:AG139),""))</f>
        <v>0.13746600280381172</v>
      </c>
      <c r="L139" s="503">
        <f>IF(終値!A139="","",IFERROR(4*STDEVP(終値!O139:AH139)/AVERAGE(終値!O139:AH139),""))</f>
        <v>0.1300185479869605</v>
      </c>
      <c r="M139" s="503">
        <f>IF(終値!A139="","",IFERROR(4*STDEVP(終値!P139:AI139)/AVERAGE(終値!P139:AI139),""))</f>
        <v>0.12727521200861044</v>
      </c>
      <c r="N139" s="503">
        <f>IF(終値!A139="","",IFERROR(4*STDEVP(終値!Q139:AJ139)/AVERAGE(終値!Q139:AJ139),""))</f>
        <v>0.14161423575374568</v>
      </c>
      <c r="O139" s="503">
        <f>IF(終値!A139="","",IFERROR(4*STDEVP(終値!R139:AK139)/AVERAGE(終値!R139:AK139),""))</f>
        <v>0.13809070679792182</v>
      </c>
      <c r="P139" s="503">
        <f>IF(終値!A139="","",IFERROR(4*STDEVP(終値!S139:AL139)/AVERAGE(終値!S139:AL139),""))</f>
        <v>0.14244982235578385</v>
      </c>
      <c r="Q139" s="503">
        <f>IF(終値!A139="","",IFERROR(4*STDEVP(終値!T139:AM139)/AVERAGE(終値!T139:AM139),""))</f>
        <v>0.16782726499103895</v>
      </c>
      <c r="R139" s="503">
        <f>IF(終値!A139="","",IFERROR(4*STDEVP(終値!U139:AN139)/AVERAGE(終値!U139:AN139),""))</f>
        <v>0.17443517583311788</v>
      </c>
      <c r="S139" s="503">
        <f>IF(終値!A139="","",IFERROR(4*STDEVP(終値!V139:AO139)/AVERAGE(終値!V139:AO139),""))</f>
        <v>0.18032618646059595</v>
      </c>
      <c r="T139" s="503">
        <f>IF(終値!A139="","",IFERROR(4*STDEVP(終値!W139:AP139)/AVERAGE(終値!W139:AP139),""))</f>
        <v>0.19917892419946187</v>
      </c>
      <c r="U139" s="503">
        <f>IF(終値!A139="","",IFERROR(4*STDEVP(終値!X139:AQ139)/AVERAGE(終値!X139:AQ139),""))</f>
        <v>0.33545207702511737</v>
      </c>
      <c r="V139" s="503">
        <f>IF(終値!A139="","",IFERROR(4*STDEVP(終値!Y139:AR139)/AVERAGE(終値!Y139:AR139),""))</f>
        <v>0.38752707604149322</v>
      </c>
      <c r="W139" s="503">
        <f>IF(終値!A139="","",IFERROR(4*STDEVP(終値!Z139:AS139)/AVERAGE(終値!Z139:AS139),""))</f>
        <v>0.56738528686894052</v>
      </c>
      <c r="X139" s="503">
        <f>IF(終値!A139="","",IFERROR(4*STDEVP(終値!AA139:AT139)/AVERAGE(終値!AA139:AT139),""))</f>
        <v>0.59026295105315219</v>
      </c>
      <c r="Y139" s="503">
        <f>IF(終値!A139="","",IFERROR(4*STDEVP(終値!AB139:AU139)/AVERAGE(終値!AB139:AU139),""))</f>
        <v>0.58389962736905376</v>
      </c>
      <c r="Z139" s="503">
        <f>IF(終値!A139="","",IFERROR(4*STDEVP(終値!AC139:AV139)/AVERAGE(終値!AC139:AV139),""))</f>
        <v>0.56899824740586069</v>
      </c>
      <c r="AA139" s="503">
        <f>IF(終値!A139="","",IFERROR(4*STDEVP(終値!AD139:AW139)/AVERAGE(終値!AD139:AW139),""))</f>
        <v>0.55129338374506265</v>
      </c>
      <c r="AB139" s="503">
        <f>IF(終値!A139="","",IFERROR(4*STDEVP(終値!AE139:AX139)/AVERAGE(終値!AE139:AX139),""))</f>
        <v>0.5395299104170227</v>
      </c>
      <c r="AC139" s="503">
        <f>IF(終値!A139="","",IFERROR(4*STDEVP(終値!AF139:AY139)/AVERAGE(終値!AF139:AY139),""))</f>
        <v>0.52291221261674647</v>
      </c>
      <c r="AD139" s="503">
        <f>IF(終値!A139="","",IFERROR(4*STDEVP(終値!AG139:AZ139)/AVERAGE(終値!AG139:AZ139),""))</f>
        <v>0.51316485171163906</v>
      </c>
      <c r="AE139" s="503">
        <f>IF(終値!A139="","",IFERROR(4*STDEVP(終値!AH139:BA139)/AVERAGE(終値!AH139:BA139),""))</f>
        <v>0.5222938779490065</v>
      </c>
      <c r="AF139" s="503">
        <f>IF(終値!A139="","",IFERROR(4*STDEVP(終値!AI139:BB139)/AVERAGE(終値!AI139:BB139),""))</f>
        <v>0.50163877046319005</v>
      </c>
      <c r="AG139" s="503">
        <f>IF(終値!A139="","",IFERROR(4*STDEVP(終値!AJ139:BC139)/AVERAGE(終値!AJ139:BC139),""))</f>
        <v>0.47597972749529105</v>
      </c>
      <c r="AH139" s="503">
        <f>IF(終値!A139="","",IFERROR(4*STDEVP(終値!AK139:BD139)/AVERAGE(終値!AK139:BD139),""))</f>
        <v>0.45777804176851011</v>
      </c>
      <c r="AI139" s="503">
        <f>IF(終値!A139="","",IFERROR(4*STDEVP(終値!AL139:BE139)/AVERAGE(終値!AL139:BE139),""))</f>
        <v>0.43464883028582529</v>
      </c>
      <c r="AJ139" s="503">
        <f>IF(終値!A139="","",IFERROR(4*STDEVP(終値!AM139:BF139)/AVERAGE(終値!AM139:BF139),""))</f>
        <v>0.43170308156380688</v>
      </c>
      <c r="AK139" s="503">
        <f>IF(終値!A139="","",IFERROR(4*STDEVP(終値!AN139:BG139)/AVERAGE(終値!AN139:BG139),""))</f>
        <v>0.42254112866463855</v>
      </c>
      <c r="AL139" s="503">
        <f>IF(終値!A139="","",IFERROR(4*STDEVP(終値!AO139:BH139)/AVERAGE(終値!AO139:BH139),""))</f>
        <v>0.40789415111118144</v>
      </c>
      <c r="AM139" s="503">
        <f>IF(終値!A139="","",IFERROR(4*STDEVP(終値!AP139:BI139)/AVERAGE(終値!AP139:BI139),""))</f>
        <v>0.4137212956499971</v>
      </c>
      <c r="AN139" s="503">
        <f>IF(終値!A139="","",IFERROR(4*STDEVP(終値!AQ139:BJ139)/AVERAGE(終値!AQ139:BJ139),""))</f>
        <v>0.49565807422069141</v>
      </c>
      <c r="AO139" s="503">
        <f>IF(終値!A139="","",IFERROR(4*STDEVP(終値!AR139:BK139)/AVERAGE(終値!AR139:BK139),""))</f>
        <v>0.51111778481290371</v>
      </c>
      <c r="AP139" s="503">
        <f>IF(終値!A139="","",IFERROR(4*STDEVP(終値!AS139:BL139)/AVERAGE(終値!AS139:BL139),""))</f>
        <v>0.54671933819787411</v>
      </c>
    </row>
    <row r="140" spans="1:42">
      <c r="A140" s="500" t="str">
        <f>IF(終値!A140="","",終値!A140)</f>
        <v>6740</v>
      </c>
      <c r="B140" s="503">
        <f>IF(終値!A140="","",IFERROR(4*STDEVP(終値!E140:X140)/AVERAGE(終値!E140:X140),""))</f>
        <v>0.18435533044219687</v>
      </c>
      <c r="C140" s="503">
        <f>IF(終値!A140="","",IFERROR(4*STDEVP(終値!F140:Y140)/AVERAGE(終値!F140:Y140),""))</f>
        <v>0.20184490436146779</v>
      </c>
      <c r="D140" s="503">
        <f>IF(終値!A140="","",IFERROR(4*STDEVP(終値!G140:Z140)/AVERAGE(終値!G140:Z140),""))</f>
        <v>0.24129101752264612</v>
      </c>
      <c r="E140" s="503">
        <f>IF(終値!A140="","",IFERROR(4*STDEVP(終値!H140:AA140)/AVERAGE(終値!H140:AA140),""))</f>
        <v>0.24265853715064889</v>
      </c>
      <c r="F140" s="503">
        <f>IF(終値!A140="","",IFERROR(4*STDEVP(終値!I140:AB140)/AVERAGE(終値!I140:AB140),""))</f>
        <v>0.24137190651888515</v>
      </c>
      <c r="G140" s="503">
        <f>IF(終値!A140="","",IFERROR(4*STDEVP(終値!J140:AC140)/AVERAGE(終値!J140:AC140),""))</f>
        <v>0.24985880438826436</v>
      </c>
      <c r="H140" s="503">
        <f>IF(終値!A140="","",IFERROR(4*STDEVP(終値!K140:AD140)/AVERAGE(終値!K140:AD140),""))</f>
        <v>0.266783254290206</v>
      </c>
      <c r="I140" s="503">
        <f>IF(終値!A140="","",IFERROR(4*STDEVP(終値!L140:AE140)/AVERAGE(終値!L140:AE140),""))</f>
        <v>0.28511475246700435</v>
      </c>
      <c r="J140" s="503">
        <f>IF(終値!A140="","",IFERROR(4*STDEVP(終値!M140:AF140)/AVERAGE(終値!M140:AF140),""))</f>
        <v>0.30235310968339596</v>
      </c>
      <c r="K140" s="503">
        <f>IF(終値!A140="","",IFERROR(4*STDEVP(終値!N140:AG140)/AVERAGE(終値!N140:AG140),""))</f>
        <v>0.29565828067157973</v>
      </c>
      <c r="L140" s="503">
        <f>IF(終値!A140="","",IFERROR(4*STDEVP(終値!O140:AH140)/AVERAGE(終値!O140:AH140),""))</f>
        <v>0.31304122394385242</v>
      </c>
      <c r="M140" s="503">
        <f>IF(終値!A140="","",IFERROR(4*STDEVP(終値!P140:AI140)/AVERAGE(終値!P140:AI140),""))</f>
        <v>0.30359795317445271</v>
      </c>
      <c r="N140" s="503">
        <f>IF(終値!A140="","",IFERROR(4*STDEVP(終値!Q140:AJ140)/AVERAGE(終値!Q140:AJ140),""))</f>
        <v>0.28476170503104786</v>
      </c>
      <c r="O140" s="503">
        <f>IF(終値!A140="","",IFERROR(4*STDEVP(終値!R140:AK140)/AVERAGE(終値!R140:AK140),""))</f>
        <v>0.27031860312302353</v>
      </c>
      <c r="P140" s="503">
        <f>IF(終値!A140="","",IFERROR(4*STDEVP(終値!S140:AL140)/AVERAGE(終値!S140:AL140),""))</f>
        <v>0.24533209146352872</v>
      </c>
      <c r="Q140" s="503">
        <f>IF(終値!A140="","",IFERROR(4*STDEVP(終値!T140:AM140)/AVERAGE(終値!T140:AM140),""))</f>
        <v>0.24148327862118926</v>
      </c>
      <c r="R140" s="503">
        <f>IF(終値!A140="","",IFERROR(4*STDEVP(終値!U140:AN140)/AVERAGE(終値!U140:AN140),""))</f>
        <v>0.27866779382379436</v>
      </c>
      <c r="S140" s="503">
        <f>IF(終値!A140="","",IFERROR(4*STDEVP(終値!V140:AO140)/AVERAGE(終値!V140:AO140),""))</f>
        <v>0.28788187261513409</v>
      </c>
      <c r="T140" s="503">
        <f>IF(終値!A140="","",IFERROR(4*STDEVP(終値!W140:AP140)/AVERAGE(終値!W140:AP140),""))</f>
        <v>0.28788187261513409</v>
      </c>
      <c r="U140" s="503">
        <f>IF(終値!A140="","",IFERROR(4*STDEVP(終値!X140:AQ140)/AVERAGE(終値!X140:AQ140),""))</f>
        <v>0.28148297541411066</v>
      </c>
      <c r="V140" s="503">
        <f>IF(終値!A140="","",IFERROR(4*STDEVP(終値!Y140:AR140)/AVERAGE(終値!Y140:AR140),""))</f>
        <v>0.27996261186793892</v>
      </c>
      <c r="W140" s="503">
        <f>IF(終値!A140="","",IFERROR(4*STDEVP(終値!Z140:AS140)/AVERAGE(終値!Z140:AS140),""))</f>
        <v>0.27962677604768954</v>
      </c>
      <c r="X140" s="503">
        <f>IF(終値!A140="","",IFERROR(4*STDEVP(終値!AA140:AT140)/AVERAGE(終値!AA140:AT140),""))</f>
        <v>0.27962677604768954</v>
      </c>
      <c r="Y140" s="503">
        <f>IF(終値!A140="","",IFERROR(4*STDEVP(終値!AB140:AU140)/AVERAGE(終値!AB140:AU140),""))</f>
        <v>0.27924178385912402</v>
      </c>
      <c r="Z140" s="503">
        <f>IF(終値!A140="","",IFERROR(4*STDEVP(終値!AC140:AV140)/AVERAGE(終値!AC140:AV140),""))</f>
        <v>0.27779244152073468</v>
      </c>
      <c r="AA140" s="503">
        <f>IF(終値!A140="","",IFERROR(4*STDEVP(終値!AD140:AW140)/AVERAGE(終値!AD140:AW140),""))</f>
        <v>0.27955188425732636</v>
      </c>
      <c r="AB140" s="503">
        <f>IF(終値!A140="","",IFERROR(4*STDEVP(終値!AE140:AX140)/AVERAGE(終値!AE140:AX140),""))</f>
        <v>0.28181551169597074</v>
      </c>
      <c r="AC140" s="503">
        <f>IF(終値!A140="","",IFERROR(4*STDEVP(終値!AF140:AY140)/AVERAGE(終値!AF140:AY140),""))</f>
        <v>0.26611805835815772</v>
      </c>
      <c r="AD140" s="503">
        <f>IF(終値!A140="","",IFERROR(4*STDEVP(終値!AG140:AZ140)/AVERAGE(終値!AG140:AZ140),""))</f>
        <v>0.24627542567477537</v>
      </c>
      <c r="AE140" s="503">
        <f>IF(終値!A140="","",IFERROR(4*STDEVP(終値!AH140:BA140)/AVERAGE(終値!AH140:BA140),""))</f>
        <v>0.30631219449089386</v>
      </c>
      <c r="AF140" s="503">
        <f>IF(終値!A140="","",IFERROR(4*STDEVP(終値!AI140:BB140)/AVERAGE(終値!AI140:BB140),""))</f>
        <v>0.35774150426882745</v>
      </c>
      <c r="AG140" s="503">
        <f>IF(終値!A140="","",IFERROR(4*STDEVP(終値!AJ140:BC140)/AVERAGE(終値!AJ140:BC140),""))</f>
        <v>0.3665432527694874</v>
      </c>
      <c r="AH140" s="503">
        <f>IF(終値!A140="","",IFERROR(4*STDEVP(終値!AK140:BD140)/AVERAGE(終値!AK140:BD140),""))</f>
        <v>0.37760538803401039</v>
      </c>
      <c r="AI140" s="503">
        <f>IF(終値!A140="","",IFERROR(4*STDEVP(終値!AL140:BE140)/AVERAGE(終値!AL140:BE140),""))</f>
        <v>0.40776443078838703</v>
      </c>
      <c r="AJ140" s="503">
        <f>IF(終値!A140="","",IFERROR(4*STDEVP(終値!AM140:BF140)/AVERAGE(終値!AM140:BF140),""))</f>
        <v>0.44092412316983887</v>
      </c>
      <c r="AK140" s="503">
        <f>IF(終値!A140="","",IFERROR(4*STDEVP(終値!AN140:BG140)/AVERAGE(終値!AN140:BG140),""))</f>
        <v>0.45296552588008304</v>
      </c>
      <c r="AL140" s="503">
        <f>IF(終値!A140="","",IFERROR(4*STDEVP(終値!AO140:BH140)/AVERAGE(終値!AO140:BH140),""))</f>
        <v>0.42997547531615088</v>
      </c>
      <c r="AM140" s="503">
        <f>IF(終値!A140="","",IFERROR(4*STDEVP(終値!AP140:BI140)/AVERAGE(終値!AP140:BI140),""))</f>
        <v>0.42555705878553129</v>
      </c>
      <c r="AN140" s="503">
        <f>IF(終値!A140="","",IFERROR(4*STDEVP(終値!AQ140:BJ140)/AVERAGE(終値!AQ140:BJ140),""))</f>
        <v>0.44776131016129211</v>
      </c>
      <c r="AO140" s="503">
        <f>IF(終値!A140="","",IFERROR(4*STDEVP(終値!AR140:BK140)/AVERAGE(終値!AR140:BK140),""))</f>
        <v>0.50147320307945797</v>
      </c>
      <c r="AP140" s="503">
        <f>IF(終値!A140="","",IFERROR(4*STDEVP(終値!AS140:BL140)/AVERAGE(終値!AS140:BL140),""))</f>
        <v>0.53865758192633939</v>
      </c>
    </row>
    <row r="141" spans="1:42">
      <c r="A141" s="500" t="str">
        <f>IF(終値!A141="","",終値!A141)</f>
        <v>6613</v>
      </c>
      <c r="B141" s="503">
        <f>IF(終値!A141="","",IFERROR(4*STDEVP(終値!E141:X141)/AVERAGE(終値!E141:X141),""))</f>
        <v>0.96029051578658164</v>
      </c>
      <c r="C141" s="503">
        <f>IF(終値!A141="","",IFERROR(4*STDEVP(終値!F141:Y141)/AVERAGE(終値!F141:Y141),""))</f>
        <v>0.99685330155202001</v>
      </c>
      <c r="D141" s="503">
        <f>IF(終値!A141="","",IFERROR(4*STDEVP(終値!G141:Z141)/AVERAGE(終値!G141:Z141),""))</f>
        <v>1.0358662433140577</v>
      </c>
      <c r="E141" s="503">
        <f>IF(終値!A141="","",IFERROR(4*STDEVP(終値!H141:AA141)/AVERAGE(終値!H141:AA141),""))</f>
        <v>1.037034363060565</v>
      </c>
      <c r="F141" s="503">
        <f>IF(終値!A141="","",IFERROR(4*STDEVP(終値!I141:AB141)/AVERAGE(終値!I141:AB141),""))</f>
        <v>1.0135001354243549</v>
      </c>
      <c r="G141" s="503">
        <f>IF(終値!A141="","",IFERROR(4*STDEVP(終値!J141:AC141)/AVERAGE(終値!J141:AC141),""))</f>
        <v>0.99789773480424482</v>
      </c>
      <c r="H141" s="503">
        <f>IF(終値!A141="","",IFERROR(4*STDEVP(終値!K141:AD141)/AVERAGE(終値!K141:AD141),""))</f>
        <v>0.93748544218200902</v>
      </c>
      <c r="I141" s="503">
        <f>IF(終値!A141="","",IFERROR(4*STDEVP(終値!L141:AE141)/AVERAGE(終値!L141:AE141),""))</f>
        <v>0.84569380160531904</v>
      </c>
      <c r="J141" s="503">
        <f>IF(終値!A141="","",IFERROR(4*STDEVP(終値!M141:AF141)/AVERAGE(終値!M141:AF141),""))</f>
        <v>0.7700286149602219</v>
      </c>
      <c r="K141" s="503">
        <f>IF(終値!A141="","",IFERROR(4*STDEVP(終値!N141:AG141)/AVERAGE(終値!N141:AG141),""))</f>
        <v>0.75009734865075817</v>
      </c>
      <c r="L141" s="503">
        <f>IF(終値!A141="","",IFERROR(4*STDEVP(終値!O141:AH141)/AVERAGE(終値!O141:AH141),""))</f>
        <v>0.6817642738432802</v>
      </c>
      <c r="M141" s="503">
        <f>IF(終値!A141="","",IFERROR(4*STDEVP(終値!P141:AI141)/AVERAGE(終値!P141:AI141),""))</f>
        <v>0.6253042097229794</v>
      </c>
      <c r="N141" s="503">
        <f>IF(終値!A141="","",IFERROR(4*STDEVP(終値!Q141:AJ141)/AVERAGE(終値!Q141:AJ141),""))</f>
        <v>0.54447028653312979</v>
      </c>
      <c r="O141" s="503">
        <f>IF(終値!A141="","",IFERROR(4*STDEVP(終値!R141:AK141)/AVERAGE(終値!R141:AK141),""))</f>
        <v>0.43086298992352051</v>
      </c>
      <c r="P141" s="503">
        <f>IF(終値!A141="","",IFERROR(4*STDEVP(終値!S141:AL141)/AVERAGE(終値!S141:AL141),""))</f>
        <v>0.30923741751584244</v>
      </c>
      <c r="Q141" s="503">
        <f>IF(終値!A141="","",IFERROR(4*STDEVP(終値!T141:AM141)/AVERAGE(終値!T141:AM141),""))</f>
        <v>0.31003022469516317</v>
      </c>
      <c r="R141" s="503">
        <f>IF(終値!A141="","",IFERROR(4*STDEVP(終値!U141:AN141)/AVERAGE(終値!U141:AN141),""))</f>
        <v>0.29742592329328943</v>
      </c>
      <c r="S141" s="503">
        <f>IF(終値!A141="","",IFERROR(4*STDEVP(終値!V141:AO141)/AVERAGE(終値!V141:AO141),""))</f>
        <v>0.29308397922531254</v>
      </c>
      <c r="T141" s="503">
        <f>IF(終値!A141="","",IFERROR(4*STDEVP(終値!W141:AP141)/AVERAGE(終値!W141:AP141),""))</f>
        <v>0.28637187459166896</v>
      </c>
      <c r="U141" s="503">
        <f>IF(終値!A141="","",IFERROR(4*STDEVP(終値!X141:AQ141)/AVERAGE(終値!X141:AQ141),""))</f>
        <v>0.29826555234201091</v>
      </c>
      <c r="V141" s="503">
        <f>IF(終値!A141="","",IFERROR(4*STDEVP(終値!Y141:AR141)/AVERAGE(終値!Y141:AR141),""))</f>
        <v>0.31721486364589124</v>
      </c>
      <c r="W141" s="503">
        <f>IF(終値!A141="","",IFERROR(4*STDEVP(終値!Z141:AS141)/AVERAGE(終値!Z141:AS141),""))</f>
        <v>0.31943413634234097</v>
      </c>
      <c r="X141" s="503">
        <f>IF(終値!A141="","",IFERROR(4*STDEVP(終値!AA141:AT141)/AVERAGE(終値!AA141:AT141),""))</f>
        <v>0.32224436186088135</v>
      </c>
      <c r="Y141" s="503">
        <f>IF(終値!A141="","",IFERROR(4*STDEVP(終値!AB141:AU141)/AVERAGE(終値!AB141:AU141),""))</f>
        <v>0.3306357204513331</v>
      </c>
      <c r="Z141" s="503">
        <f>IF(終値!A141="","",IFERROR(4*STDEVP(終値!AC141:AV141)/AVERAGE(終値!AC141:AV141),""))</f>
        <v>0.33091690071768975</v>
      </c>
      <c r="AA141" s="503">
        <f>IF(終値!A141="","",IFERROR(4*STDEVP(終値!AD141:AW141)/AVERAGE(終値!AD141:AW141),""))</f>
        <v>0.33067778757901595</v>
      </c>
      <c r="AB141" s="503">
        <f>IF(終値!A141="","",IFERROR(4*STDEVP(終値!AE141:AX141)/AVERAGE(終値!AE141:AX141),""))</f>
        <v>0.33897073362393282</v>
      </c>
      <c r="AC141" s="503">
        <f>IF(終値!A141="","",IFERROR(4*STDEVP(終値!AF141:AY141)/AVERAGE(終値!AF141:AY141),""))</f>
        <v>0.33807609471093786</v>
      </c>
      <c r="AD141" s="503">
        <f>IF(終値!A141="","",IFERROR(4*STDEVP(終値!AG141:AZ141)/AVERAGE(終値!AG141:AZ141),""))</f>
        <v>0.332915078073036</v>
      </c>
      <c r="AE141" s="503">
        <f>IF(終値!A141="","",IFERROR(4*STDEVP(終値!AH141:BA141)/AVERAGE(終値!AH141:BA141),""))</f>
        <v>0.31985588089433697</v>
      </c>
      <c r="AF141" s="503">
        <f>IF(終値!A141="","",IFERROR(4*STDEVP(終値!AI141:BB141)/AVERAGE(終値!AI141:BB141),""))</f>
        <v>0.3513015005758392</v>
      </c>
      <c r="AG141" s="503">
        <f>IF(終値!A141="","",IFERROR(4*STDEVP(終値!AJ141:BC141)/AVERAGE(終値!AJ141:BC141),""))</f>
        <v>0.34455573702259856</v>
      </c>
      <c r="AH141" s="503">
        <f>IF(終値!A141="","",IFERROR(4*STDEVP(終値!AK141:BD141)/AVERAGE(終値!AK141:BD141),""))</f>
        <v>0.32022461799582858</v>
      </c>
      <c r="AI141" s="503">
        <f>IF(終値!A141="","",IFERROR(4*STDEVP(終値!AL141:BE141)/AVERAGE(終値!AL141:BE141),""))</f>
        <v>0.31770718193444242</v>
      </c>
      <c r="AJ141" s="503">
        <f>IF(終値!A141="","",IFERROR(4*STDEVP(終値!AM141:BF141)/AVERAGE(終値!AM141:BF141),""))</f>
        <v>0.3574281317163448</v>
      </c>
      <c r="AK141" s="503">
        <f>IF(終値!A141="","",IFERROR(4*STDEVP(終値!AN141:BG141)/AVERAGE(終値!AN141:BG141),""))</f>
        <v>0.46426274573594301</v>
      </c>
      <c r="AL141" s="503">
        <f>IF(終値!A141="","",IFERROR(4*STDEVP(終値!AO141:BH141)/AVERAGE(終値!AO141:BH141),""))</f>
        <v>0.58486310653513529</v>
      </c>
      <c r="AM141" s="503">
        <f>IF(終値!A141="","",IFERROR(4*STDEVP(終値!AP141:BI141)/AVERAGE(終値!AP141:BI141),""))</f>
        <v>0.66614039714647533</v>
      </c>
      <c r="AN141" s="503">
        <f>IF(終値!A141="","",IFERROR(4*STDEVP(終値!AQ141:BJ141)/AVERAGE(終値!AQ141:BJ141),""))</f>
        <v>0.73236102216523691</v>
      </c>
      <c r="AO141" s="503">
        <f>IF(終値!A141="","",IFERROR(4*STDEVP(終値!AR141:BK141)/AVERAGE(終値!AR141:BK141),""))</f>
        <v>0.79014173166427226</v>
      </c>
      <c r="AP141" s="503">
        <f>IF(終値!A141="","",IFERROR(4*STDEVP(終値!AS141:BL141)/AVERAGE(終値!AS141:BL141),""))</f>
        <v>0.82258378139384014</v>
      </c>
    </row>
    <row r="142" spans="1:42">
      <c r="A142" s="500" t="str">
        <f>IF(終値!A142="","",終値!A142)</f>
        <v>4568</v>
      </c>
      <c r="B142" s="503">
        <f>IF(終値!A142="","",IFERROR(4*STDEVP(終値!E142:X142)/AVERAGE(終値!E142:X142),""))</f>
        <v>0.16030230430114492</v>
      </c>
      <c r="C142" s="503">
        <f>IF(終値!A142="","",IFERROR(4*STDEVP(終値!F142:Y142)/AVERAGE(終値!F142:Y142),""))</f>
        <v>0.15861785849317994</v>
      </c>
      <c r="D142" s="503">
        <f>IF(終値!A142="","",IFERROR(4*STDEVP(終値!G142:Z142)/AVERAGE(終値!G142:Z142),""))</f>
        <v>0.15072626049468268</v>
      </c>
      <c r="E142" s="503">
        <f>IF(終値!A142="","",IFERROR(4*STDEVP(終値!H142:AA142)/AVERAGE(終値!H142:AA142),""))</f>
        <v>0.1315526725558053</v>
      </c>
      <c r="F142" s="503">
        <f>IF(終値!A142="","",IFERROR(4*STDEVP(終値!I142:AB142)/AVERAGE(終値!I142:AB142),""))</f>
        <v>0.12302715945732992</v>
      </c>
      <c r="G142" s="503">
        <f>IF(終値!A142="","",IFERROR(4*STDEVP(終値!J142:AC142)/AVERAGE(終値!J142:AC142),""))</f>
        <v>0.1213258536572967</v>
      </c>
      <c r="H142" s="503">
        <f>IF(終値!A142="","",IFERROR(4*STDEVP(終値!K142:AD142)/AVERAGE(終値!K142:AD142),""))</f>
        <v>0.12032297967265118</v>
      </c>
      <c r="I142" s="503">
        <f>IF(終値!A142="","",IFERROR(4*STDEVP(終値!L142:AE142)/AVERAGE(終値!L142:AE142),""))</f>
        <v>0.11547529650316202</v>
      </c>
      <c r="J142" s="503">
        <f>IF(終値!A142="","",IFERROR(4*STDEVP(終値!M142:AF142)/AVERAGE(終値!M142:AF142),""))</f>
        <v>0.11629785961324102</v>
      </c>
      <c r="K142" s="503">
        <f>IF(終値!A142="","",IFERROR(4*STDEVP(終値!N142:AG142)/AVERAGE(終値!N142:AG142),""))</f>
        <v>0.11756282662740528</v>
      </c>
      <c r="L142" s="503">
        <f>IF(終値!A142="","",IFERROR(4*STDEVP(終値!O142:AH142)/AVERAGE(終値!O142:AH142),""))</f>
        <v>0.12351362834748199</v>
      </c>
      <c r="M142" s="503">
        <f>IF(終値!A142="","",IFERROR(4*STDEVP(終値!P142:AI142)/AVERAGE(終値!P142:AI142),""))</f>
        <v>0.13111387664308333</v>
      </c>
      <c r="N142" s="503">
        <f>IF(終値!A142="","",IFERROR(4*STDEVP(終値!Q142:AJ142)/AVERAGE(終値!Q142:AJ142),""))</f>
        <v>0.13399819967562859</v>
      </c>
      <c r="O142" s="503">
        <f>IF(終値!A142="","",IFERROR(4*STDEVP(終値!R142:AK142)/AVERAGE(終値!R142:AK142),""))</f>
        <v>0.12731784194291115</v>
      </c>
      <c r="P142" s="503">
        <f>IF(終値!A142="","",IFERROR(4*STDEVP(終値!S142:AL142)/AVERAGE(終値!S142:AL142),""))</f>
        <v>0.11878453627070287</v>
      </c>
      <c r="Q142" s="503">
        <f>IF(終値!A142="","",IFERROR(4*STDEVP(終値!T142:AM142)/AVERAGE(終値!T142:AM142),""))</f>
        <v>0.11881705962356873</v>
      </c>
      <c r="R142" s="503">
        <f>IF(終値!A142="","",IFERROR(4*STDEVP(終値!U142:AN142)/AVERAGE(終値!U142:AN142),""))</f>
        <v>0.12358901116413708</v>
      </c>
      <c r="S142" s="503">
        <f>IF(終値!A142="","",IFERROR(4*STDEVP(終値!V142:AO142)/AVERAGE(終値!V142:AO142),""))</f>
        <v>0.12419456889950521</v>
      </c>
      <c r="T142" s="503">
        <f>IF(終値!A142="","",IFERROR(4*STDEVP(終値!W142:AP142)/AVERAGE(終値!W142:AP142),""))</f>
        <v>0.12382133149042993</v>
      </c>
      <c r="U142" s="503">
        <f>IF(終値!A142="","",IFERROR(4*STDEVP(終値!X142:AQ142)/AVERAGE(終値!X142:AQ142),""))</f>
        <v>0.12106260660497183</v>
      </c>
      <c r="V142" s="503">
        <f>IF(終値!A142="","",IFERROR(4*STDEVP(終値!Y142:AR142)/AVERAGE(終値!Y142:AR142),""))</f>
        <v>0.11830350555641686</v>
      </c>
      <c r="W142" s="503">
        <f>IF(終値!A142="","",IFERROR(4*STDEVP(終値!Z142:AS142)/AVERAGE(終値!Z142:AS142),""))</f>
        <v>0.10938188067204124</v>
      </c>
      <c r="X142" s="503">
        <f>IF(終値!A142="","",IFERROR(4*STDEVP(終値!AA142:AT142)/AVERAGE(終値!AA142:AT142),""))</f>
        <v>9.103781192710253E-2</v>
      </c>
      <c r="Y142" s="503">
        <f>IF(終値!A142="","",IFERROR(4*STDEVP(終値!AB142:AU142)/AVERAGE(終値!AB142:AU142),""))</f>
        <v>0.10201781169115076</v>
      </c>
      <c r="Z142" s="503">
        <f>IF(終値!A142="","",IFERROR(4*STDEVP(終値!AC142:AV142)/AVERAGE(終値!AC142:AV142),""))</f>
        <v>9.6743193380044279E-2</v>
      </c>
      <c r="AA142" s="503">
        <f>IF(終値!A142="","",IFERROR(4*STDEVP(終値!AD142:AW142)/AVERAGE(終値!AD142:AW142),""))</f>
        <v>9.6941677867948439E-2</v>
      </c>
      <c r="AB142" s="503">
        <f>IF(終値!A142="","",IFERROR(4*STDEVP(終値!AE142:AX142)/AVERAGE(終値!AE142:AX142),""))</f>
        <v>0.10911372038361197</v>
      </c>
      <c r="AC142" s="503">
        <f>IF(終値!A142="","",IFERROR(4*STDEVP(終値!AF142:AY142)/AVERAGE(終値!AF142:AY142),""))</f>
        <v>0.11394899526763816</v>
      </c>
      <c r="AD142" s="503">
        <f>IF(終値!A142="","",IFERROR(4*STDEVP(終値!AG142:AZ142)/AVERAGE(終値!AG142:AZ142),""))</f>
        <v>0.12240414459203112</v>
      </c>
      <c r="AE142" s="503">
        <f>IF(終値!A142="","",IFERROR(4*STDEVP(終値!AH142:BA142)/AVERAGE(終値!AH142:BA142),""))</f>
        <v>0.13179579646341377</v>
      </c>
      <c r="AF142" s="503">
        <f>IF(終値!A142="","",IFERROR(4*STDEVP(終値!AI142:BB142)/AVERAGE(終値!AI142:BB142),""))</f>
        <v>0.13412423220058087</v>
      </c>
      <c r="AG142" s="503">
        <f>IF(終値!A142="","",IFERROR(4*STDEVP(終値!AJ142:BC142)/AVERAGE(終値!AJ142:BC142),""))</f>
        <v>0.13646945059479729</v>
      </c>
      <c r="AH142" s="503">
        <f>IF(終値!A142="","",IFERROR(4*STDEVP(終値!AK142:BD142)/AVERAGE(終値!AK142:BD142),""))</f>
        <v>0.1358702751644785</v>
      </c>
      <c r="AI142" s="503">
        <f>IF(終値!A142="","",IFERROR(4*STDEVP(終値!AL142:BE142)/AVERAGE(終値!AL142:BE142),""))</f>
        <v>0.13629366378121438</v>
      </c>
      <c r="AJ142" s="503">
        <f>IF(終値!A142="","",IFERROR(4*STDEVP(終値!AM142:BF142)/AVERAGE(終値!AM142:BF142),""))</f>
        <v>0.13016844264411484</v>
      </c>
      <c r="AK142" s="503">
        <f>IF(終値!A142="","",IFERROR(4*STDEVP(終値!AN142:BG142)/AVERAGE(終値!AN142:BG142),""))</f>
        <v>0.1300932067417977</v>
      </c>
      <c r="AL142" s="503">
        <f>IF(終値!A142="","",IFERROR(4*STDEVP(終値!AO142:BH142)/AVERAGE(終値!AO142:BH142),""))</f>
        <v>0.12827785610778286</v>
      </c>
      <c r="AM142" s="503">
        <f>IF(終値!A142="","",IFERROR(4*STDEVP(終値!AP142:BI142)/AVERAGE(終値!AP142:BI142),""))</f>
        <v>0.1360188021390972</v>
      </c>
      <c r="AN142" s="503">
        <f>IF(終値!A142="","",IFERROR(4*STDEVP(終値!AQ142:BJ142)/AVERAGE(終値!AQ142:BJ142),""))</f>
        <v>0.14018778645309507</v>
      </c>
      <c r="AO142" s="503">
        <f>IF(終値!A142="","",IFERROR(4*STDEVP(終値!AR142:BK142)/AVERAGE(終値!AR142:BK142),""))</f>
        <v>0.13536465354561428</v>
      </c>
      <c r="AP142" s="503">
        <f>IF(終値!A142="","",IFERROR(4*STDEVP(終値!AS142:BL142)/AVERAGE(終値!AS142:BL142),""))</f>
        <v>0.12830325340535581</v>
      </c>
    </row>
    <row r="143" spans="1:42">
      <c r="A143" s="500" t="str">
        <f>IF(終値!A143="","",終値!A143)</f>
        <v>6522</v>
      </c>
      <c r="B143" s="503">
        <f>IF(終値!A143="","",IFERROR(4*STDEVP(終値!E143:X143)/AVERAGE(終値!E143:X143),""))</f>
        <v>0.60705622792978464</v>
      </c>
      <c r="C143" s="503">
        <f>IF(終値!A143="","",IFERROR(4*STDEVP(終値!F143:Y143)/AVERAGE(終値!F143:Y143),""))</f>
        <v>0.63061697912093939</v>
      </c>
      <c r="D143" s="503">
        <f>IF(終値!A143="","",IFERROR(4*STDEVP(終値!G143:Z143)/AVERAGE(終値!G143:Z143),""))</f>
        <v>0.62943329866899445</v>
      </c>
      <c r="E143" s="503">
        <f>IF(終値!A143="","",IFERROR(4*STDEVP(終値!H143:AA143)/AVERAGE(終値!H143:AA143),""))</f>
        <v>0.63660753966599148</v>
      </c>
      <c r="F143" s="503">
        <f>IF(終値!A143="","",IFERROR(4*STDEVP(終値!I143:AB143)/AVERAGE(終値!I143:AB143),""))</f>
        <v>0.62674246705182624</v>
      </c>
      <c r="G143" s="503">
        <f>IF(終値!A143="","",IFERROR(4*STDEVP(終値!J143:AC143)/AVERAGE(終値!J143:AC143),""))</f>
        <v>0.62953369356362976</v>
      </c>
      <c r="H143" s="503">
        <f>IF(終値!A143="","",IFERROR(4*STDEVP(終値!K143:AD143)/AVERAGE(終値!K143:AD143),""))</f>
        <v>0.6553092289205491</v>
      </c>
      <c r="I143" s="503">
        <f>IF(終値!A143="","",IFERROR(4*STDEVP(終値!L143:AE143)/AVERAGE(終値!L143:AE143),""))</f>
        <v>0.75786204381919497</v>
      </c>
      <c r="J143" s="503">
        <f>IF(終値!A143="","",IFERROR(4*STDEVP(終値!M143:AF143)/AVERAGE(終値!M143:AF143),""))</f>
        <v>0.83820247428311767</v>
      </c>
      <c r="K143" s="503">
        <f>IF(終値!A143="","",IFERROR(4*STDEVP(終値!N143:AG143)/AVERAGE(終値!N143:AG143),""))</f>
        <v>0.92366228765121594</v>
      </c>
      <c r="L143" s="503">
        <f>IF(終値!A143="","",IFERROR(4*STDEVP(終値!O143:AH143)/AVERAGE(終値!O143:AH143),""))</f>
        <v>0.97939396473293161</v>
      </c>
      <c r="M143" s="503">
        <f>IF(終値!A143="","",IFERROR(4*STDEVP(終値!P143:AI143)/AVERAGE(終値!P143:AI143),""))</f>
        <v>1.0408307237655692</v>
      </c>
      <c r="N143" s="503">
        <f>IF(終値!A143="","",IFERROR(4*STDEVP(終値!Q143:AJ143)/AVERAGE(終値!Q143:AJ143),""))</f>
        <v>1.077721336058981</v>
      </c>
      <c r="O143" s="503">
        <f>IF(終値!A143="","",IFERROR(4*STDEVP(終値!R143:AK143)/AVERAGE(終値!R143:AK143),""))</f>
        <v>1.1248515229654261</v>
      </c>
      <c r="P143" s="503">
        <f>IF(終値!A143="","",IFERROR(4*STDEVP(終値!S143:AL143)/AVERAGE(終値!S143:AL143),""))</f>
        <v>1.1970151363376631</v>
      </c>
      <c r="Q143" s="503">
        <f>IF(終値!A143="","",IFERROR(4*STDEVP(終値!T143:AM143)/AVERAGE(終値!T143:AM143),""))</f>
        <v>1.3112845660549028</v>
      </c>
      <c r="R143" s="503">
        <f>IF(終値!A143="","",IFERROR(4*STDEVP(終値!U143:AN143)/AVERAGE(終値!U143:AN143),""))</f>
        <v>1.4204710529623432</v>
      </c>
      <c r="S143" s="503">
        <f>IF(終値!A143="","",IFERROR(4*STDEVP(終値!V143:AO143)/AVERAGE(終値!V143:AO143),""))</f>
        <v>1.5073012736442581</v>
      </c>
      <c r="T143" s="503">
        <f>IF(終値!A143="","",IFERROR(4*STDEVP(終値!W143:AP143)/AVERAGE(終値!W143:AP143),""))</f>
        <v>1.5679878515978878</v>
      </c>
      <c r="U143" s="503">
        <f>IF(終値!A143="","",IFERROR(4*STDEVP(終値!X143:AQ143)/AVERAGE(終値!X143:AQ143),""))</f>
        <v>1.6240437623562956</v>
      </c>
      <c r="V143" s="503">
        <f>IF(終値!A143="","",IFERROR(4*STDEVP(終値!Y143:AR143)/AVERAGE(終値!Y143:AR143),""))</f>
        <v>1.518689391073422</v>
      </c>
      <c r="W143" s="503">
        <f>IF(終値!A143="","",IFERROR(4*STDEVP(終値!Z143:AS143)/AVERAGE(終値!Z143:AS143),""))</f>
        <v>1.4410473926976761</v>
      </c>
      <c r="X143" s="503">
        <f>IF(終値!A143="","",IFERROR(4*STDEVP(終値!AA143:AT143)/AVERAGE(終値!AA143:AT143),""))</f>
        <v>1.4353150100694194</v>
      </c>
      <c r="Y143" s="503">
        <f>IF(終値!A143="","",IFERROR(4*STDEVP(終値!AB143:AU143)/AVERAGE(終値!AB143:AU143),""))</f>
        <v>1.284775191051267</v>
      </c>
      <c r="Z143" s="503">
        <f>IF(終値!A143="","",IFERROR(4*STDEVP(終値!AC143:AV143)/AVERAGE(終値!AC143:AV143),""))</f>
        <v>0.98411466553066662</v>
      </c>
      <c r="AA143" s="503">
        <f>IF(終値!A143="","",IFERROR(4*STDEVP(終値!AD143:AW143)/AVERAGE(終値!AD143:AW143),""))</f>
        <v>0.80749987690889879</v>
      </c>
      <c r="AB143" s="503">
        <f>IF(終値!A143="","",IFERROR(4*STDEVP(終値!AE143:AX143)/AVERAGE(終値!AE143:AX143),""))</f>
        <v>0.69908360603727759</v>
      </c>
      <c r="AC143" s="503">
        <f>IF(終値!A143="","",IFERROR(4*STDEVP(終値!AF143:AY143)/AVERAGE(終値!AF143:AY143),""))</f>
        <v>0.69163764282023177</v>
      </c>
      <c r="AD143" s="503">
        <f>IF(終値!A143="","",IFERROR(4*STDEVP(終値!AG143:AZ143)/AVERAGE(終値!AG143:AZ143),""))</f>
        <v>0.6786891399287498</v>
      </c>
      <c r="AE143" s="503">
        <f>IF(終値!A143="","",IFERROR(4*STDEVP(終値!AH143:BA143)/AVERAGE(終値!AH143:BA143),""))</f>
        <v>0.66490621445666165</v>
      </c>
      <c r="AF143" s="503">
        <f>IF(終値!A143="","",IFERROR(4*STDEVP(終値!AI143:BB143)/AVERAGE(終値!AI143:BB143),""))</f>
        <v>0.6103415766649759</v>
      </c>
      <c r="AG143" s="503">
        <f>IF(終値!A143="","",IFERROR(4*STDEVP(終値!AJ143:BC143)/AVERAGE(終値!AJ143:BC143),""))</f>
        <v>0.56455258200827219</v>
      </c>
      <c r="AH143" s="503">
        <f>IF(終値!A143="","",IFERROR(4*STDEVP(終値!AK143:BD143)/AVERAGE(終値!AK143:BD143),""))</f>
        <v>0.45960094394679141</v>
      </c>
      <c r="AI143" s="503">
        <f>IF(終値!A143="","",IFERROR(4*STDEVP(終値!AL143:BE143)/AVERAGE(終値!AL143:BE143),""))</f>
        <v>0.45634198856144731</v>
      </c>
      <c r="AJ143" s="503">
        <f>IF(終値!A143="","",IFERROR(4*STDEVP(終値!AM143:BF143)/AVERAGE(終値!AM143:BF143),""))</f>
        <v>0.4899042778733112</v>
      </c>
      <c r="AK143" s="503">
        <f>IF(終値!A143="","",IFERROR(4*STDEVP(終値!AN143:BG143)/AVERAGE(終値!AN143:BG143),""))</f>
        <v>0.5086943668532381</v>
      </c>
      <c r="AL143" s="503">
        <f>IF(終値!A143="","",IFERROR(4*STDEVP(終値!AO143:BH143)/AVERAGE(終値!AO143:BH143),""))</f>
        <v>0.5226273891429658</v>
      </c>
      <c r="AM143" s="503">
        <f>IF(終値!A143="","",IFERROR(4*STDEVP(終値!AP143:BI143)/AVERAGE(終値!AP143:BI143),""))</f>
        <v>0.51589206204974769</v>
      </c>
      <c r="AN143" s="503">
        <f>IF(終値!A143="","",IFERROR(4*STDEVP(終値!AQ143:BJ143)/AVERAGE(終値!AQ143:BJ143),""))</f>
        <v>0.51361990134888669</v>
      </c>
      <c r="AO143" s="503">
        <f>IF(終値!A143="","",IFERROR(4*STDEVP(終値!AR143:BK143)/AVERAGE(終値!AR143:BK143),""))</f>
        <v>0.55316720931631091</v>
      </c>
      <c r="AP143" s="503">
        <f>IF(終値!A143="","",IFERROR(4*STDEVP(終値!AS143:BL143)/AVERAGE(終値!AS143:BL143),""))</f>
        <v>0.60781305691173448</v>
      </c>
    </row>
    <row r="144" spans="1:42">
      <c r="A144" s="500" t="str">
        <f>IF(終値!A144="","",終値!A144)</f>
        <v>6777</v>
      </c>
      <c r="B144" s="503">
        <f>IF(終値!A144="","",IFERROR(4*STDEVP(終値!E144:X144)/AVERAGE(終値!E144:X144),""))</f>
        <v>0.39525507490080525</v>
      </c>
      <c r="C144" s="503">
        <f>IF(終値!A144="","",IFERROR(4*STDEVP(終値!F144:Y144)/AVERAGE(終値!F144:Y144),""))</f>
        <v>0.40753817319059082</v>
      </c>
      <c r="D144" s="503">
        <f>IF(終値!A144="","",IFERROR(4*STDEVP(終値!G144:Z144)/AVERAGE(終値!G144:Z144),""))</f>
        <v>0.43394104780885401</v>
      </c>
      <c r="E144" s="503">
        <f>IF(終値!A144="","",IFERROR(4*STDEVP(終値!H144:AA144)/AVERAGE(終値!H144:AA144),""))</f>
        <v>0.46932367288955051</v>
      </c>
      <c r="F144" s="503">
        <f>IF(終値!A144="","",IFERROR(4*STDEVP(終値!I144:AB144)/AVERAGE(終値!I144:AB144),""))</f>
        <v>0.49427001263171666</v>
      </c>
      <c r="G144" s="503">
        <f>IF(終値!A144="","",IFERROR(4*STDEVP(終値!J144:AC144)/AVERAGE(終値!J144:AC144),""))</f>
        <v>0.53765306698490878</v>
      </c>
      <c r="H144" s="503">
        <f>IF(終値!A144="","",IFERROR(4*STDEVP(終値!K144:AD144)/AVERAGE(終値!K144:AD144),""))</f>
        <v>0.54110989455262015</v>
      </c>
      <c r="I144" s="503">
        <f>IF(終値!A144="","",IFERROR(4*STDEVP(終値!L144:AE144)/AVERAGE(終値!L144:AE144),""))</f>
        <v>0.51660462711777733</v>
      </c>
      <c r="J144" s="503">
        <f>IF(終値!A144="","",IFERROR(4*STDEVP(終値!M144:AF144)/AVERAGE(終値!M144:AF144),""))</f>
        <v>0.52510500219606182</v>
      </c>
      <c r="K144" s="503">
        <f>IF(終値!A144="","",IFERROR(4*STDEVP(終値!N144:AG144)/AVERAGE(終値!N144:AG144),""))</f>
        <v>0.54322994540116298</v>
      </c>
      <c r="L144" s="503">
        <f>IF(終値!A144="","",IFERROR(4*STDEVP(終値!O144:AH144)/AVERAGE(終値!O144:AH144),""))</f>
        <v>0.5537602929882588</v>
      </c>
      <c r="M144" s="503">
        <f>IF(終値!A144="","",IFERROR(4*STDEVP(終値!P144:AI144)/AVERAGE(終値!P144:AI144),""))</f>
        <v>0.54976355212996453</v>
      </c>
      <c r="N144" s="503">
        <f>IF(終値!A144="","",IFERROR(4*STDEVP(終値!Q144:AJ144)/AVERAGE(終値!Q144:AJ144),""))</f>
        <v>0.57128899869728245</v>
      </c>
      <c r="O144" s="503">
        <f>IF(終値!A144="","",IFERROR(4*STDEVP(終値!R144:AK144)/AVERAGE(終値!R144:AK144),""))</f>
        <v>0.5587709816473293</v>
      </c>
      <c r="P144" s="503">
        <f>IF(終値!A144="","",IFERROR(4*STDEVP(終値!S144:AL144)/AVERAGE(終値!S144:AL144),""))</f>
        <v>0.51508245238687356</v>
      </c>
      <c r="Q144" s="503">
        <f>IF(終値!A144="","",IFERROR(4*STDEVP(終値!T144:AM144)/AVERAGE(終値!T144:AM144),""))</f>
        <v>0.50615983414214993</v>
      </c>
      <c r="R144" s="503">
        <f>IF(終値!A144="","",IFERROR(4*STDEVP(終値!U144:AN144)/AVERAGE(終値!U144:AN144),""))</f>
        <v>0.48492285461357776</v>
      </c>
      <c r="S144" s="503">
        <f>IF(終値!A144="","",IFERROR(4*STDEVP(終値!V144:AO144)/AVERAGE(終値!V144:AO144),""))</f>
        <v>0.45470582085940858</v>
      </c>
      <c r="T144" s="503">
        <f>IF(終値!A144="","",IFERROR(4*STDEVP(終値!W144:AP144)/AVERAGE(終値!W144:AP144),""))</f>
        <v>0.42929739913866921</v>
      </c>
      <c r="U144" s="503">
        <f>IF(終値!A144="","",IFERROR(4*STDEVP(終値!X144:AQ144)/AVERAGE(終値!X144:AQ144),""))</f>
        <v>0.40095366577993513</v>
      </c>
      <c r="V144" s="503">
        <f>IF(終値!A144="","",IFERROR(4*STDEVP(終値!Y144:AR144)/AVERAGE(終値!Y144:AR144),""))</f>
        <v>0.35729643420617269</v>
      </c>
      <c r="W144" s="503">
        <f>IF(終値!A144="","",IFERROR(4*STDEVP(終値!Z144:AS144)/AVERAGE(終値!Z144:AS144),""))</f>
        <v>0.33358623977792307</v>
      </c>
      <c r="X144" s="503">
        <f>IF(終値!A144="","",IFERROR(4*STDEVP(終値!AA144:AT144)/AVERAGE(終値!AA144:AT144),""))</f>
        <v>0.31913023493429765</v>
      </c>
      <c r="Y144" s="503">
        <f>IF(終値!A144="","",IFERROR(4*STDEVP(終値!AB144:AU144)/AVERAGE(終値!AB144:AU144),""))</f>
        <v>0.30427171063658254</v>
      </c>
      <c r="Z144" s="503">
        <f>IF(終値!A144="","",IFERROR(4*STDEVP(終値!AC144:AV144)/AVERAGE(終値!AC144:AV144),""))</f>
        <v>0.29109166636903527</v>
      </c>
      <c r="AA144" s="503">
        <f>IF(終値!A144="","",IFERROR(4*STDEVP(終値!AD144:AW144)/AVERAGE(終値!AD144:AW144),""))</f>
        <v>0.29209377789686231</v>
      </c>
      <c r="AB144" s="503">
        <f>IF(終値!A144="","",IFERROR(4*STDEVP(終値!AE144:AX144)/AVERAGE(終値!AE144:AX144),""))</f>
        <v>0.29535871980180112</v>
      </c>
      <c r="AC144" s="503">
        <f>IF(終値!A144="","",IFERROR(4*STDEVP(終値!AF144:AY144)/AVERAGE(終値!AF144:AY144),""))</f>
        <v>0.3000370734284537</v>
      </c>
      <c r="AD144" s="503">
        <f>IF(終値!A144="","",IFERROR(4*STDEVP(終値!AG144:AZ144)/AVERAGE(終値!AG144:AZ144),""))</f>
        <v>0.2949743165679139</v>
      </c>
      <c r="AE144" s="503">
        <f>IF(終値!A144="","",IFERROR(4*STDEVP(終値!AH144:BA144)/AVERAGE(終値!AH144:BA144),""))</f>
        <v>0.2980368517381613</v>
      </c>
      <c r="AF144" s="503">
        <f>IF(終値!A144="","",IFERROR(4*STDEVP(終値!AI144:BB144)/AVERAGE(終値!AI144:BB144),""))</f>
        <v>0.29849862287008144</v>
      </c>
      <c r="AG144" s="503">
        <f>IF(終値!A144="","",IFERROR(4*STDEVP(終値!AJ144:BC144)/AVERAGE(終値!AJ144:BC144),""))</f>
        <v>0.29483964794486817</v>
      </c>
      <c r="AH144" s="503">
        <f>IF(終値!A144="","",IFERROR(4*STDEVP(終値!AK144:BD144)/AVERAGE(終値!AK144:BD144),""))</f>
        <v>0.25705477730817616</v>
      </c>
      <c r="AI144" s="503">
        <f>IF(終値!A144="","",IFERROR(4*STDEVP(終値!AL144:BE144)/AVERAGE(終値!AL144:BE144),""))</f>
        <v>0.24143077277110225</v>
      </c>
      <c r="AJ144" s="503">
        <f>IF(終値!A144="","",IFERROR(4*STDEVP(終値!AM144:BF144)/AVERAGE(終値!AM144:BF144),""))</f>
        <v>0.32733545209667803</v>
      </c>
      <c r="AK144" s="503">
        <f>IF(終値!A144="","",IFERROR(4*STDEVP(終値!AN144:BG144)/AVERAGE(終値!AN144:BG144),""))</f>
        <v>0.34870337499290271</v>
      </c>
      <c r="AL144" s="503">
        <f>IF(終値!A144="","",IFERROR(4*STDEVP(終値!AO144:BH144)/AVERAGE(終値!AO144:BH144),""))</f>
        <v>0.39678741455303257</v>
      </c>
      <c r="AM144" s="503">
        <f>IF(終値!A144="","",IFERROR(4*STDEVP(終値!AP144:BI144)/AVERAGE(終値!AP144:BI144),""))</f>
        <v>0.4456325266488475</v>
      </c>
      <c r="AN144" s="503">
        <f>IF(終値!A144="","",IFERROR(4*STDEVP(終値!AQ144:BJ144)/AVERAGE(終値!AQ144:BJ144),""))</f>
        <v>0.44407719632215653</v>
      </c>
      <c r="AO144" s="503">
        <f>IF(終値!A144="","",IFERROR(4*STDEVP(終値!AR144:BK144)/AVERAGE(終値!AR144:BK144),""))</f>
        <v>0.4165870645803863</v>
      </c>
      <c r="AP144" s="503">
        <f>IF(終値!A144="","",IFERROR(4*STDEVP(終値!AS144:BL144)/AVERAGE(終値!AS144:BL144),""))</f>
        <v>0.39536575032623578</v>
      </c>
    </row>
    <row r="145" spans="1:42">
      <c r="A145" s="500" t="str">
        <f>IF(終値!A145="","",終値!A145)</f>
        <v>6787</v>
      </c>
      <c r="B145" s="503">
        <f>IF(終値!A145="","",IFERROR(4*STDEVP(終値!E145:X145)/AVERAGE(終値!E145:X145),""))</f>
        <v>0.4022883122696686</v>
      </c>
      <c r="C145" s="503">
        <f>IF(終値!A145="","",IFERROR(4*STDEVP(終値!F145:Y145)/AVERAGE(終値!F145:Y145),""))</f>
        <v>0.41716576547676038</v>
      </c>
      <c r="D145" s="503">
        <f>IF(終値!A145="","",IFERROR(4*STDEVP(終値!G145:Z145)/AVERAGE(終値!G145:Z145),""))</f>
        <v>0.43963187710602158</v>
      </c>
      <c r="E145" s="503">
        <f>IF(終値!A145="","",IFERROR(4*STDEVP(終値!H145:AA145)/AVERAGE(終値!H145:AA145),""))</f>
        <v>0.47450778113778669</v>
      </c>
      <c r="F145" s="503">
        <f>IF(終値!A145="","",IFERROR(4*STDEVP(終値!I145:AB145)/AVERAGE(終値!I145:AB145),""))</f>
        <v>0.48180351816885936</v>
      </c>
      <c r="G145" s="503">
        <f>IF(終値!A145="","",IFERROR(4*STDEVP(終値!J145:AC145)/AVERAGE(終値!J145:AC145),""))</f>
        <v>0.48530999988830015</v>
      </c>
      <c r="H145" s="503">
        <f>IF(終値!A145="","",IFERROR(4*STDEVP(終値!K145:AD145)/AVERAGE(終値!K145:AD145),""))</f>
        <v>0.47000721086289488</v>
      </c>
      <c r="I145" s="503">
        <f>IF(終値!A145="","",IFERROR(4*STDEVP(終値!L145:AE145)/AVERAGE(終値!L145:AE145),""))</f>
        <v>0.43384150531480137</v>
      </c>
      <c r="J145" s="503">
        <f>IF(終値!A145="","",IFERROR(4*STDEVP(終値!M145:AF145)/AVERAGE(終値!M145:AF145),""))</f>
        <v>0.40663364002742847</v>
      </c>
      <c r="K145" s="503">
        <f>IF(終値!A145="","",IFERROR(4*STDEVP(終値!N145:AG145)/AVERAGE(終値!N145:AG145),""))</f>
        <v>0.42245541406266518</v>
      </c>
      <c r="L145" s="503">
        <f>IF(終値!A145="","",IFERROR(4*STDEVP(終値!O145:AH145)/AVERAGE(終値!O145:AH145),""))</f>
        <v>0.42700221633417895</v>
      </c>
      <c r="M145" s="503">
        <f>IF(終値!A145="","",IFERROR(4*STDEVP(終値!P145:AI145)/AVERAGE(終値!P145:AI145),""))</f>
        <v>0.43052507668959822</v>
      </c>
      <c r="N145" s="503">
        <f>IF(終値!A145="","",IFERROR(4*STDEVP(終値!Q145:AJ145)/AVERAGE(終値!Q145:AJ145),""))</f>
        <v>0.48883303245962439</v>
      </c>
      <c r="O145" s="503">
        <f>IF(終値!A145="","",IFERROR(4*STDEVP(終値!R145:AK145)/AVERAGE(終値!R145:AK145),""))</f>
        <v>0.55627069138109919</v>
      </c>
      <c r="P145" s="503">
        <f>IF(終値!A145="","",IFERROR(4*STDEVP(終値!S145:AL145)/AVERAGE(終値!S145:AL145),""))</f>
        <v>0.53399777434911666</v>
      </c>
      <c r="Q145" s="503">
        <f>IF(終値!A145="","",IFERROR(4*STDEVP(終値!T145:AM145)/AVERAGE(終値!T145:AM145),""))</f>
        <v>0.54175152196755216</v>
      </c>
      <c r="R145" s="503">
        <f>IF(終値!A145="","",IFERROR(4*STDEVP(終値!U145:AN145)/AVERAGE(終値!U145:AN145),""))</f>
        <v>0.52777468533781979</v>
      </c>
      <c r="S145" s="503">
        <f>IF(終値!A145="","",IFERROR(4*STDEVP(終値!V145:AO145)/AVERAGE(終値!V145:AO145),""))</f>
        <v>0.50288903157886755</v>
      </c>
      <c r="T145" s="503">
        <f>IF(終値!A145="","",IFERROR(4*STDEVP(終値!W145:AP145)/AVERAGE(終値!W145:AP145),""))</f>
        <v>0.47755380989989371</v>
      </c>
      <c r="U145" s="503">
        <f>IF(終値!A145="","",IFERROR(4*STDEVP(終値!X145:AQ145)/AVERAGE(終値!X145:AQ145),""))</f>
        <v>0.4516506352608089</v>
      </c>
      <c r="V145" s="503">
        <f>IF(終値!A145="","",IFERROR(4*STDEVP(終値!Y145:AR145)/AVERAGE(終値!Y145:AR145),""))</f>
        <v>0.41283234586981921</v>
      </c>
      <c r="W145" s="503">
        <f>IF(終値!A145="","",IFERROR(4*STDEVP(終値!Z145:AS145)/AVERAGE(終値!Z145:AS145),""))</f>
        <v>0.38269289640820792</v>
      </c>
      <c r="X145" s="503">
        <f>IF(終値!A145="","",IFERROR(4*STDEVP(終値!AA145:AT145)/AVERAGE(終値!AA145:AT145),""))</f>
        <v>0.36530085631531511</v>
      </c>
      <c r="Y145" s="503">
        <f>IF(終値!A145="","",IFERROR(4*STDEVP(終値!AB145:AU145)/AVERAGE(終値!AB145:AU145),""))</f>
        <v>0.36923563830915673</v>
      </c>
      <c r="Z145" s="503">
        <f>IF(終値!A145="","",IFERROR(4*STDEVP(終値!AC145:AV145)/AVERAGE(終値!AC145:AV145),""))</f>
        <v>0.35833238354483071</v>
      </c>
      <c r="AA145" s="503">
        <f>IF(終値!A145="","",IFERROR(4*STDEVP(終値!AD145:AW145)/AVERAGE(終値!AD145:AW145),""))</f>
        <v>0.36628815895698624</v>
      </c>
      <c r="AB145" s="503">
        <f>IF(終値!A145="","",IFERROR(4*STDEVP(終値!AE145:AX145)/AVERAGE(終値!AE145:AX145),""))</f>
        <v>0.37217364507315237</v>
      </c>
      <c r="AC145" s="503">
        <f>IF(終値!A145="","",IFERROR(4*STDEVP(終値!AF145:AY145)/AVERAGE(終値!AF145:AY145),""))</f>
        <v>0.37104001093544492</v>
      </c>
      <c r="AD145" s="503">
        <f>IF(終値!A145="","",IFERROR(4*STDEVP(終値!AG145:AZ145)/AVERAGE(終値!AG145:AZ145),""))</f>
        <v>0.35733571286734866</v>
      </c>
      <c r="AE145" s="503">
        <f>IF(終値!A145="","",IFERROR(4*STDEVP(終値!AH145:BA145)/AVERAGE(終値!AH145:BA145),""))</f>
        <v>0.39361487287488206</v>
      </c>
      <c r="AF145" s="503">
        <f>IF(終値!A145="","",IFERROR(4*STDEVP(終値!AI145:BB145)/AVERAGE(終値!AI145:BB145),""))</f>
        <v>0.42394316908385626</v>
      </c>
      <c r="AG145" s="503">
        <f>IF(終値!A145="","",IFERROR(4*STDEVP(終値!AJ145:BC145)/AVERAGE(終値!AJ145:BC145),""))</f>
        <v>0.42042267130036476</v>
      </c>
      <c r="AH145" s="503">
        <f>IF(終値!A145="","",IFERROR(4*STDEVP(終値!AK145:BD145)/AVERAGE(終値!AK145:BD145),""))</f>
        <v>0.42171621300863665</v>
      </c>
      <c r="AI145" s="503">
        <f>IF(終値!A145="","",IFERROR(4*STDEVP(終値!AL145:BE145)/AVERAGE(終値!AL145:BE145),""))</f>
        <v>0.41403308606284378</v>
      </c>
      <c r="AJ145" s="503">
        <f>IF(終値!A145="","",IFERROR(4*STDEVP(終値!AM145:BF145)/AVERAGE(終値!AM145:BF145),""))</f>
        <v>0.42069292607657494</v>
      </c>
      <c r="AK145" s="503">
        <f>IF(終値!A145="","",IFERROR(4*STDEVP(終値!AN145:BG145)/AVERAGE(終値!AN145:BG145),""))</f>
        <v>0.42016915994045384</v>
      </c>
      <c r="AL145" s="503">
        <f>IF(終値!A145="","",IFERROR(4*STDEVP(終値!AO145:BH145)/AVERAGE(終値!AO145:BH145),""))</f>
        <v>0.41940290455740281</v>
      </c>
      <c r="AM145" s="503">
        <f>IF(終値!A145="","",IFERROR(4*STDEVP(終値!AP145:BI145)/AVERAGE(終値!AP145:BI145),""))</f>
        <v>0.40862463629810636</v>
      </c>
      <c r="AN145" s="503">
        <f>IF(終値!A145="","",IFERROR(4*STDEVP(終値!AQ145:BJ145)/AVERAGE(終値!AQ145:BJ145),""))</f>
        <v>0.40953156918238454</v>
      </c>
      <c r="AO145" s="503">
        <f>IF(終値!A145="","",IFERROR(4*STDEVP(終値!AR145:BK145)/AVERAGE(終値!AR145:BK145),""))</f>
        <v>0.38624779437222961</v>
      </c>
      <c r="AP145" s="503">
        <f>IF(終値!A145="","",IFERROR(4*STDEVP(終値!AS145:BL145)/AVERAGE(終値!AS145:BL145),""))</f>
        <v>0.36606748649140902</v>
      </c>
    </row>
    <row r="146" spans="1:42">
      <c r="A146" s="500" t="str">
        <f>IF(終値!A146="","",終値!A146)</f>
        <v>4888</v>
      </c>
      <c r="B146" s="503">
        <f>IF(終値!A146="","",IFERROR(4*STDEVP(終値!E146:X146)/AVERAGE(終値!E146:X146),""))</f>
        <v>0.13115525564536895</v>
      </c>
      <c r="C146" s="503">
        <f>IF(終値!A146="","",IFERROR(4*STDEVP(終値!F146:Y146)/AVERAGE(終値!F146:Y146),""))</f>
        <v>0.13161335763421705</v>
      </c>
      <c r="D146" s="503">
        <f>IF(終値!A146="","",IFERROR(4*STDEVP(終値!G146:Z146)/AVERAGE(終値!G146:Z146),""))</f>
        <v>0.13129612795401444</v>
      </c>
      <c r="E146" s="503">
        <f>IF(終値!A146="","",IFERROR(4*STDEVP(終値!H146:AA146)/AVERAGE(終値!H146:AA146),""))</f>
        <v>0.13067398003447533</v>
      </c>
      <c r="F146" s="503">
        <f>IF(終値!A146="","",IFERROR(4*STDEVP(終値!I146:AB146)/AVERAGE(終値!I146:AB146),""))</f>
        <v>0.13233071726437387</v>
      </c>
      <c r="G146" s="503">
        <f>IF(終値!A146="","",IFERROR(4*STDEVP(終値!J146:AC146)/AVERAGE(終値!J146:AC146),""))</f>
        <v>0.13233071726437387</v>
      </c>
      <c r="H146" s="503">
        <f>IF(終値!A146="","",IFERROR(4*STDEVP(終値!K146:AD146)/AVERAGE(終値!K146:AD146),""))</f>
        <v>0.12567108878502539</v>
      </c>
      <c r="I146" s="503">
        <f>IF(終値!A146="","",IFERROR(4*STDEVP(終値!L146:AE146)/AVERAGE(終値!L146:AE146),""))</f>
        <v>0.12013032589869209</v>
      </c>
      <c r="J146" s="503">
        <f>IF(終値!A146="","",IFERROR(4*STDEVP(終値!M146:AF146)/AVERAGE(終値!M146:AF146),""))</f>
        <v>0.12486269573067338</v>
      </c>
      <c r="K146" s="503">
        <f>IF(終値!A146="","",IFERROR(4*STDEVP(終値!N146:AG146)/AVERAGE(終値!N146:AG146),""))</f>
        <v>0.12120096709339931</v>
      </c>
      <c r="L146" s="503">
        <f>IF(終値!A146="","",IFERROR(4*STDEVP(終値!O146:AH146)/AVERAGE(終値!O146:AH146),""))</f>
        <v>0.12058038214118663</v>
      </c>
      <c r="M146" s="503">
        <f>IF(終値!A146="","",IFERROR(4*STDEVP(終値!P146:AI146)/AVERAGE(終値!P146:AI146),""))</f>
        <v>0.12199301082554918</v>
      </c>
      <c r="N146" s="503">
        <f>IF(終値!A146="","",IFERROR(4*STDEVP(終値!Q146:AJ146)/AVERAGE(終値!Q146:AJ146),""))</f>
        <v>0.13745952795001118</v>
      </c>
      <c r="O146" s="503">
        <f>IF(終値!A146="","",IFERROR(4*STDEVP(終値!R146:AK146)/AVERAGE(終値!R146:AK146),""))</f>
        <v>0.17016005194679518</v>
      </c>
      <c r="P146" s="503">
        <f>IF(終値!A146="","",IFERROR(4*STDEVP(終値!S146:AL146)/AVERAGE(終値!S146:AL146),""))</f>
        <v>0.30679938303633614</v>
      </c>
      <c r="Q146" s="503">
        <f>IF(終値!A146="","",IFERROR(4*STDEVP(終値!T146:AM146)/AVERAGE(終値!T146:AM146),""))</f>
        <v>0.31326645492441096</v>
      </c>
      <c r="R146" s="503">
        <f>IF(終値!A146="","",IFERROR(4*STDEVP(終値!U146:AN146)/AVERAGE(終値!U146:AN146),""))</f>
        <v>0.31402260540318977</v>
      </c>
      <c r="S146" s="503">
        <f>IF(終値!A146="","",IFERROR(4*STDEVP(終値!V146:AO146)/AVERAGE(終値!V146:AO146),""))</f>
        <v>0.31509960816040178</v>
      </c>
      <c r="T146" s="503">
        <f>IF(終値!A146="","",IFERROR(4*STDEVP(終値!W146:AP146)/AVERAGE(終値!W146:AP146),""))</f>
        <v>0.31588004912785622</v>
      </c>
      <c r="U146" s="503">
        <f>IF(終値!A146="","",IFERROR(4*STDEVP(終値!X146:AQ146)/AVERAGE(終値!X146:AQ146),""))</f>
        <v>0.30981059004279077</v>
      </c>
      <c r="V146" s="503">
        <f>IF(終値!A146="","",IFERROR(4*STDEVP(終値!Y146:AR146)/AVERAGE(終値!Y146:AR146),""))</f>
        <v>0.30754193622504689</v>
      </c>
      <c r="W146" s="503">
        <f>IF(終値!A146="","",IFERROR(4*STDEVP(終値!Z146:AS146)/AVERAGE(終値!Z146:AS146),""))</f>
        <v>0.31185287792232042</v>
      </c>
      <c r="X146" s="503">
        <f>IF(終値!A146="","",IFERROR(4*STDEVP(終値!AA146:AT146)/AVERAGE(終値!AA146:AT146),""))</f>
        <v>0.3126131941367829</v>
      </c>
      <c r="Y146" s="503">
        <f>IF(終値!A146="","",IFERROR(4*STDEVP(終値!AB146:AU146)/AVERAGE(終値!AB146:AU146),""))</f>
        <v>0.31211760815036671</v>
      </c>
      <c r="Z146" s="503">
        <f>IF(終値!A146="","",IFERROR(4*STDEVP(終値!AC146:AV146)/AVERAGE(終値!AC146:AV146),""))</f>
        <v>0.30829193168676661</v>
      </c>
      <c r="AA146" s="503">
        <f>IF(終値!A146="","",IFERROR(4*STDEVP(終値!AD146:AW146)/AVERAGE(終値!AD146:AW146),""))</f>
        <v>0.30090543001395564</v>
      </c>
      <c r="AB146" s="503">
        <f>IF(終値!A146="","",IFERROR(4*STDEVP(終値!AE146:AX146)/AVERAGE(終値!AE146:AX146),""))</f>
        <v>0.3014830738141086</v>
      </c>
      <c r="AC146" s="503">
        <f>IF(終値!A146="","",IFERROR(4*STDEVP(終値!AF146:AY146)/AVERAGE(終値!AF146:AY146),""))</f>
        <v>0.32333444150375817</v>
      </c>
      <c r="AD146" s="503">
        <f>IF(終値!A146="","",IFERROR(4*STDEVP(終値!AG146:AZ146)/AVERAGE(終値!AG146:AZ146),""))</f>
        <v>0.33265172028536899</v>
      </c>
      <c r="AE146" s="503">
        <f>IF(終値!A146="","",IFERROR(4*STDEVP(終値!AH146:BA146)/AVERAGE(終値!AH146:BA146),""))</f>
        <v>0.40605848053678878</v>
      </c>
      <c r="AF146" s="503">
        <f>IF(終値!A146="","",IFERROR(4*STDEVP(終値!AI146:BB146)/AVERAGE(終値!AI146:BB146),""))</f>
        <v>0.45471258080339233</v>
      </c>
      <c r="AG146" s="503">
        <f>IF(終値!A146="","",IFERROR(4*STDEVP(終値!AJ146:BC146)/AVERAGE(終値!AJ146:BC146),""))</f>
        <v>0.48466941216264536</v>
      </c>
      <c r="AH146" s="503">
        <f>IF(終値!A146="","",IFERROR(4*STDEVP(終値!AK146:BD146)/AVERAGE(終値!AK146:BD146),""))</f>
        <v>0.49071608962726704</v>
      </c>
      <c r="AI146" s="503">
        <f>IF(終値!A146="","",IFERROR(4*STDEVP(終値!AL146:BE146)/AVERAGE(終値!AL146:BE146),""))</f>
        <v>0.50991273236103207</v>
      </c>
      <c r="AJ146" s="503">
        <f>IF(終値!A146="","",IFERROR(4*STDEVP(終値!AM146:BF146)/AVERAGE(終値!AM146:BF146),""))</f>
        <v>0.52134632720397944</v>
      </c>
      <c r="AK146" s="503">
        <f>IF(終値!A146="","",IFERROR(4*STDEVP(終値!AN146:BG146)/AVERAGE(終値!AN146:BG146),""))</f>
        <v>0.52442365405842672</v>
      </c>
      <c r="AL146" s="503">
        <f>IF(終値!A146="","",IFERROR(4*STDEVP(終値!AO146:BH146)/AVERAGE(終値!AO146:BH146),""))</f>
        <v>0.51648330888987615</v>
      </c>
      <c r="AM146" s="503">
        <f>IF(終値!A146="","",IFERROR(4*STDEVP(終値!AP146:BI146)/AVERAGE(終値!AP146:BI146),""))</f>
        <v>0.54651229189037698</v>
      </c>
      <c r="AN146" s="503">
        <f>IF(終値!A146="","",IFERROR(4*STDEVP(終値!AQ146:BJ146)/AVERAGE(終値!AQ146:BJ146),""))</f>
        <v>0.55536000528603957</v>
      </c>
      <c r="AO146" s="503">
        <f>IF(終値!A146="","",IFERROR(4*STDEVP(終値!AR146:BK146)/AVERAGE(終値!AR146:BK146),""))</f>
        <v>0.55584802007865353</v>
      </c>
      <c r="AP146" s="503">
        <f>IF(終値!A146="","",IFERROR(4*STDEVP(終値!AS146:BL146)/AVERAGE(終値!AS146:BL146),""))</f>
        <v>0.56589796577261398</v>
      </c>
    </row>
    <row r="147" spans="1:42">
      <c r="A147" s="500" t="str">
        <f>IF(終値!A147="","",終値!A147)</f>
        <v>6387</v>
      </c>
      <c r="B147" s="503">
        <f>IF(終値!A147="","",IFERROR(4*STDEVP(終値!E147:X147)/AVERAGE(終値!E147:X147),""))</f>
        <v>0.66409182808401623</v>
      </c>
      <c r="C147" s="503">
        <f>IF(終値!A147="","",IFERROR(4*STDEVP(終値!F147:Y147)/AVERAGE(終値!F147:Y147),""))</f>
        <v>0.66435067332938702</v>
      </c>
      <c r="D147" s="503">
        <f>IF(終値!A147="","",IFERROR(4*STDEVP(終値!G147:Z147)/AVERAGE(終値!G147:Z147),""))</f>
        <v>0.67393144148381945</v>
      </c>
      <c r="E147" s="503">
        <f>IF(終値!A147="","",IFERROR(4*STDEVP(終値!H147:AA147)/AVERAGE(終値!H147:AA147),""))</f>
        <v>0.70032659837687183</v>
      </c>
      <c r="F147" s="503">
        <f>IF(終値!A147="","",IFERROR(4*STDEVP(終値!I147:AB147)/AVERAGE(終値!I147:AB147),""))</f>
        <v>0.69167305122733991</v>
      </c>
      <c r="G147" s="503">
        <f>IF(終値!A147="","",IFERROR(4*STDEVP(終値!J147:AC147)/AVERAGE(終値!J147:AC147),""))</f>
        <v>0.69067462783968958</v>
      </c>
      <c r="H147" s="503">
        <f>IF(終値!A147="","",IFERROR(4*STDEVP(終値!K147:AD147)/AVERAGE(終値!K147:AD147),""))</f>
        <v>0.62640410381807543</v>
      </c>
      <c r="I147" s="503">
        <f>IF(終値!A147="","",IFERROR(4*STDEVP(終値!L147:AE147)/AVERAGE(終値!L147:AE147),""))</f>
        <v>0.55334258620056331</v>
      </c>
      <c r="J147" s="503">
        <f>IF(終値!A147="","",IFERROR(4*STDEVP(終値!M147:AF147)/AVERAGE(終値!M147:AF147),""))</f>
        <v>0.48874037381239288</v>
      </c>
      <c r="K147" s="503">
        <f>IF(終値!A147="","",IFERROR(4*STDEVP(終値!N147:AG147)/AVERAGE(終値!N147:AG147),""))</f>
        <v>0.45578961685708819</v>
      </c>
      <c r="L147" s="503">
        <f>IF(終値!A147="","",IFERROR(4*STDEVP(終値!O147:AH147)/AVERAGE(終値!O147:AH147),""))</f>
        <v>0.45837900107771012</v>
      </c>
      <c r="M147" s="503">
        <f>IF(終値!A147="","",IFERROR(4*STDEVP(終値!P147:AI147)/AVERAGE(終値!P147:AI147),""))</f>
        <v>0.44248153143249991</v>
      </c>
      <c r="N147" s="503">
        <f>IF(終値!A147="","",IFERROR(4*STDEVP(終値!Q147:AJ147)/AVERAGE(終値!Q147:AJ147),""))</f>
        <v>0.44364795393773732</v>
      </c>
      <c r="O147" s="503">
        <f>IF(終値!A147="","",IFERROR(4*STDEVP(終値!R147:AK147)/AVERAGE(終値!R147:AK147),""))</f>
        <v>0.40642771856021004</v>
      </c>
      <c r="P147" s="503">
        <f>IF(終値!A147="","",IFERROR(4*STDEVP(終値!S147:AL147)/AVERAGE(終値!S147:AL147),""))</f>
        <v>0.35651259893602988</v>
      </c>
      <c r="Q147" s="503">
        <f>IF(終値!A147="","",IFERROR(4*STDEVP(終値!T147:AM147)/AVERAGE(終値!T147:AM147),""))</f>
        <v>0.38758116866210018</v>
      </c>
      <c r="R147" s="503">
        <f>IF(終値!A147="","",IFERROR(4*STDEVP(終値!U147:AN147)/AVERAGE(終値!U147:AN147),""))</f>
        <v>0.40343598532469394</v>
      </c>
      <c r="S147" s="503">
        <f>IF(終値!A147="","",IFERROR(4*STDEVP(終値!V147:AO147)/AVERAGE(終値!V147:AO147),""))</f>
        <v>0.40498897304488535</v>
      </c>
      <c r="T147" s="503">
        <f>IF(終値!A147="","",IFERROR(4*STDEVP(終値!W147:AP147)/AVERAGE(終値!W147:AP147),""))</f>
        <v>0.41460683890284761</v>
      </c>
      <c r="U147" s="503">
        <f>IF(終値!A147="","",IFERROR(4*STDEVP(終値!X147:AQ147)/AVERAGE(終値!X147:AQ147),""))</f>
        <v>0.43040504042464822</v>
      </c>
      <c r="V147" s="503">
        <f>IF(終値!A147="","",IFERROR(4*STDEVP(終値!Y147:AR147)/AVERAGE(終値!Y147:AR147),""))</f>
        <v>0.41559934897084722</v>
      </c>
      <c r="W147" s="503">
        <f>IF(終値!A147="","",IFERROR(4*STDEVP(終値!Z147:AS147)/AVERAGE(終値!Z147:AS147),""))</f>
        <v>0.41375216476543836</v>
      </c>
      <c r="X147" s="503">
        <f>IF(終値!A147="","",IFERROR(4*STDEVP(終値!AA147:AT147)/AVERAGE(終値!AA147:AT147),""))</f>
        <v>0.40366815017368357</v>
      </c>
      <c r="Y147" s="503">
        <f>IF(終値!A147="","",IFERROR(4*STDEVP(終値!AB147:AU147)/AVERAGE(終値!AB147:AU147),""))</f>
        <v>0.40842959850961424</v>
      </c>
      <c r="Z147" s="503">
        <f>IF(終値!A147="","",IFERROR(4*STDEVP(終値!AC147:AV147)/AVERAGE(終値!AC147:AV147),""))</f>
        <v>0.41849371665344304</v>
      </c>
      <c r="AA147" s="503">
        <f>IF(終値!A147="","",IFERROR(4*STDEVP(終値!AD147:AW147)/AVERAGE(終値!AD147:AW147),""))</f>
        <v>0.43614893356796547</v>
      </c>
      <c r="AB147" s="503">
        <f>IF(終値!A147="","",IFERROR(4*STDEVP(終値!AE147:AX147)/AVERAGE(終値!AE147:AX147),""))</f>
        <v>0.50074047318051451</v>
      </c>
      <c r="AC147" s="503">
        <f>IF(終値!A147="","",IFERROR(4*STDEVP(終値!AF147:AY147)/AVERAGE(終値!AF147:AY147),""))</f>
        <v>0.54897624647241294</v>
      </c>
      <c r="AD147" s="503">
        <f>IF(終値!A147="","",IFERROR(4*STDEVP(終値!AG147:AZ147)/AVERAGE(終値!AG147:AZ147),""))</f>
        <v>0.58599593775923375</v>
      </c>
      <c r="AE147" s="503">
        <f>IF(終値!A147="","",IFERROR(4*STDEVP(終値!AH147:BA147)/AVERAGE(終値!AH147:BA147),""))</f>
        <v>0.5947093526151096</v>
      </c>
      <c r="AF147" s="503">
        <f>IF(終値!A147="","",IFERROR(4*STDEVP(終値!AI147:BB147)/AVERAGE(終値!AI147:BB147),""))</f>
        <v>0.59967534203437145</v>
      </c>
      <c r="AG147" s="503">
        <f>IF(終値!A147="","",IFERROR(4*STDEVP(終値!AJ147:BC147)/AVERAGE(終値!AJ147:BC147),""))</f>
        <v>0.61303169783123335</v>
      </c>
      <c r="AH147" s="503">
        <f>IF(終値!A147="","",IFERROR(4*STDEVP(終値!AK147:BD147)/AVERAGE(終値!AK147:BD147),""))</f>
        <v>0.60096100273911179</v>
      </c>
      <c r="AI147" s="503">
        <f>IF(終値!A147="","",IFERROR(4*STDEVP(終値!AL147:BE147)/AVERAGE(終値!AL147:BE147),""))</f>
        <v>0.59807043298128126</v>
      </c>
      <c r="AJ147" s="503">
        <f>IF(終値!A147="","",IFERROR(4*STDEVP(終値!AM147:BF147)/AVERAGE(終値!AM147:BF147),""))</f>
        <v>0.56658836364299681</v>
      </c>
      <c r="AK147" s="503">
        <f>IF(終値!A147="","",IFERROR(4*STDEVP(終値!AN147:BG147)/AVERAGE(終値!AN147:BG147),""))</f>
        <v>0.48854241528237258</v>
      </c>
      <c r="AL147" s="503">
        <f>IF(終値!A147="","",IFERROR(4*STDEVP(終値!AO147:BH147)/AVERAGE(終値!AO147:BH147),""))</f>
        <v>0.38500199879732055</v>
      </c>
      <c r="AM147" s="503">
        <f>IF(終値!A147="","",IFERROR(4*STDEVP(終値!AP147:BI147)/AVERAGE(終値!AP147:BI147),""))</f>
        <v>0.3068616885718925</v>
      </c>
      <c r="AN147" s="503">
        <f>IF(終値!A147="","",IFERROR(4*STDEVP(終値!AQ147:BJ147)/AVERAGE(終値!AQ147:BJ147),""))</f>
        <v>0.31184585056225023</v>
      </c>
      <c r="AO147" s="503">
        <f>IF(終値!A147="","",IFERROR(4*STDEVP(終値!AR147:BK147)/AVERAGE(終値!AR147:BK147),""))</f>
        <v>0.31682933068232838</v>
      </c>
      <c r="AP147" s="503">
        <f>IF(終値!A147="","",IFERROR(4*STDEVP(終値!AS147:BL147)/AVERAGE(終値!AS147:BL147),""))</f>
        <v>0.33485633477736154</v>
      </c>
    </row>
    <row r="148" spans="1:42">
      <c r="A148" s="500" t="str">
        <f>IF(終値!A148="","",終値!A148)</f>
        <v>6838</v>
      </c>
      <c r="B148" s="503">
        <f>IF(終値!A148="","",IFERROR(4*STDEVP(終値!E148:X148)/AVERAGE(終値!E148:X148),""))</f>
        <v>0.28664564823980504</v>
      </c>
      <c r="C148" s="503">
        <f>IF(終値!A148="","",IFERROR(4*STDEVP(終値!F148:Y148)/AVERAGE(終値!F148:Y148),""))</f>
        <v>0.31763049064058196</v>
      </c>
      <c r="D148" s="503">
        <f>IF(終値!A148="","",IFERROR(4*STDEVP(終値!G148:Z148)/AVERAGE(終値!G148:Z148),""))</f>
        <v>0.37217165877735425</v>
      </c>
      <c r="E148" s="503">
        <f>IF(終値!A148="","",IFERROR(4*STDEVP(終値!H148:AA148)/AVERAGE(終値!H148:AA148),""))</f>
        <v>0.418395034730555</v>
      </c>
      <c r="F148" s="503">
        <f>IF(終値!A148="","",IFERROR(4*STDEVP(終値!I148:AB148)/AVERAGE(終値!I148:AB148),""))</f>
        <v>0.44737046411403858</v>
      </c>
      <c r="G148" s="503">
        <f>IF(終値!A148="","",IFERROR(4*STDEVP(終値!J148:AC148)/AVERAGE(終値!J148:AC148),""))</f>
        <v>0.45936120378102258</v>
      </c>
      <c r="H148" s="503">
        <f>IF(終値!A148="","",IFERROR(4*STDEVP(終値!K148:AD148)/AVERAGE(終値!K148:AD148),""))</f>
        <v>0.45317422737392693</v>
      </c>
      <c r="I148" s="503">
        <f>IF(終値!A148="","",IFERROR(4*STDEVP(終値!L148:AE148)/AVERAGE(終値!L148:AE148),""))</f>
        <v>0.44287900173427963</v>
      </c>
      <c r="J148" s="503">
        <f>IF(終値!A148="","",IFERROR(4*STDEVP(終値!M148:AF148)/AVERAGE(終値!M148:AF148),""))</f>
        <v>0.45633072484042853</v>
      </c>
      <c r="K148" s="503">
        <f>IF(終値!A148="","",IFERROR(4*STDEVP(終値!N148:AG148)/AVERAGE(終値!N148:AG148),""))</f>
        <v>0.52328683122924657</v>
      </c>
      <c r="L148" s="503">
        <f>IF(終値!A148="","",IFERROR(4*STDEVP(終値!O148:AH148)/AVERAGE(終値!O148:AH148),""))</f>
        <v>0.51641978576895153</v>
      </c>
      <c r="M148" s="503">
        <f>IF(終値!A148="","",IFERROR(4*STDEVP(終値!P148:AI148)/AVERAGE(終値!P148:AI148),""))</f>
        <v>0.52263456029998889</v>
      </c>
      <c r="N148" s="503">
        <f>IF(終値!A148="","",IFERROR(4*STDEVP(終値!Q148:AJ148)/AVERAGE(終値!Q148:AJ148),""))</f>
        <v>0.52535033624126715</v>
      </c>
      <c r="O148" s="503">
        <f>IF(終値!A148="","",IFERROR(4*STDEVP(終値!R148:AK148)/AVERAGE(終値!R148:AK148),""))</f>
        <v>0.51216806764410439</v>
      </c>
      <c r="P148" s="503">
        <f>IF(終値!A148="","",IFERROR(4*STDEVP(終値!S148:AL148)/AVERAGE(終値!S148:AL148),""))</f>
        <v>0.50470648350838698</v>
      </c>
      <c r="Q148" s="503">
        <f>IF(終値!A148="","",IFERROR(4*STDEVP(終値!T148:AM148)/AVERAGE(終値!T148:AM148),""))</f>
        <v>0.50861927224120385</v>
      </c>
      <c r="R148" s="503">
        <f>IF(終値!A148="","",IFERROR(4*STDEVP(終値!U148:AN148)/AVERAGE(終値!U148:AN148),""))</f>
        <v>0.51339289347580763</v>
      </c>
      <c r="S148" s="503">
        <f>IF(終値!A148="","",IFERROR(4*STDEVP(終値!V148:AO148)/AVERAGE(終値!V148:AO148),""))</f>
        <v>0.47067402288822563</v>
      </c>
      <c r="T148" s="503">
        <f>IF(終値!A148="","",IFERROR(4*STDEVP(終値!W148:AP148)/AVERAGE(終値!W148:AP148),""))</f>
        <v>0.44207528815284758</v>
      </c>
      <c r="U148" s="503">
        <f>IF(終値!A148="","",IFERROR(4*STDEVP(終値!X148:AQ148)/AVERAGE(終値!X148:AQ148),""))</f>
        <v>0.4104189194687014</v>
      </c>
      <c r="V148" s="503">
        <f>IF(終値!A148="","",IFERROR(4*STDEVP(終値!Y148:AR148)/AVERAGE(終値!Y148:AR148),""))</f>
        <v>0.36815038863145166</v>
      </c>
      <c r="W148" s="503">
        <f>IF(終値!A148="","",IFERROR(4*STDEVP(終値!Z148:AS148)/AVERAGE(終値!Z148:AS148),""))</f>
        <v>0.35483130364847226</v>
      </c>
      <c r="X148" s="503">
        <f>IF(終値!A148="","",IFERROR(4*STDEVP(終値!AA148:AT148)/AVERAGE(終値!AA148:AT148),""))</f>
        <v>0.3935103699246163</v>
      </c>
      <c r="Y148" s="503">
        <f>IF(終値!A148="","",IFERROR(4*STDEVP(終値!AB148:AU148)/AVERAGE(終値!AB148:AU148),""))</f>
        <v>0.42772829825420211</v>
      </c>
      <c r="Z148" s="503">
        <f>IF(終値!A148="","",IFERROR(4*STDEVP(終値!AC148:AV148)/AVERAGE(終値!AC148:AV148),""))</f>
        <v>0.43740282138500464</v>
      </c>
      <c r="AA148" s="503">
        <f>IF(終値!A148="","",IFERROR(4*STDEVP(終値!AD148:AW148)/AVERAGE(終値!AD148:AW148),""))</f>
        <v>0.42388482788873261</v>
      </c>
      <c r="AB148" s="503">
        <f>IF(終値!A148="","",IFERROR(4*STDEVP(終値!AE148:AX148)/AVERAGE(終値!AE148:AX148),""))</f>
        <v>0.40024273916698827</v>
      </c>
      <c r="AC148" s="503">
        <f>IF(終値!A148="","",IFERROR(4*STDEVP(終値!AF148:AY148)/AVERAGE(終値!AF148:AY148),""))</f>
        <v>0.38454094965201513</v>
      </c>
      <c r="AD148" s="503">
        <f>IF(終値!A148="","",IFERROR(4*STDEVP(終値!AG148:AZ148)/AVERAGE(終値!AG148:AZ148),""))</f>
        <v>0.37977549968479174</v>
      </c>
      <c r="AE148" s="503">
        <f>IF(終値!A148="","",IFERROR(4*STDEVP(終値!AH148:BA148)/AVERAGE(終値!AH148:BA148),""))</f>
        <v>0.38084965880010641</v>
      </c>
      <c r="AF148" s="503">
        <f>IF(終値!A148="","",IFERROR(4*STDEVP(終値!AI148:BB148)/AVERAGE(終値!AI148:BB148),""))</f>
        <v>0.36759489821394958</v>
      </c>
      <c r="AG148" s="503">
        <f>IF(終値!A148="","",IFERROR(4*STDEVP(終値!AJ148:BC148)/AVERAGE(終値!AJ148:BC148),""))</f>
        <v>0.3694615342863824</v>
      </c>
      <c r="AH148" s="503">
        <f>IF(終値!A148="","",IFERROR(4*STDEVP(終値!AK148:BD148)/AVERAGE(終値!AK148:BD148),""))</f>
        <v>0.37780793830241582</v>
      </c>
      <c r="AI148" s="503">
        <f>IF(終値!A148="","",IFERROR(4*STDEVP(終値!AL148:BE148)/AVERAGE(終値!AL148:BE148),""))</f>
        <v>0.3788844148786083</v>
      </c>
      <c r="AJ148" s="503">
        <f>IF(終値!A148="","",IFERROR(4*STDEVP(終値!AM148:BF148)/AVERAGE(終値!AM148:BF148),""))</f>
        <v>0.3791248859550681</v>
      </c>
      <c r="AK148" s="503">
        <f>IF(終値!A148="","",IFERROR(4*STDEVP(終値!AN148:BG148)/AVERAGE(終値!AN148:BG148),""))</f>
        <v>0.38277285343055273</v>
      </c>
      <c r="AL148" s="503">
        <f>IF(終値!A148="","",IFERROR(4*STDEVP(終値!AO148:BH148)/AVERAGE(終値!AO148:BH148),""))</f>
        <v>0.38612428354153711</v>
      </c>
      <c r="AM148" s="503">
        <f>IF(終値!A148="","",IFERROR(4*STDEVP(終値!AP148:BI148)/AVERAGE(終値!AP148:BI148),""))</f>
        <v>0.38089340536757871</v>
      </c>
      <c r="AN148" s="503">
        <f>IF(終値!A148="","",IFERROR(4*STDEVP(終値!AQ148:BJ148)/AVERAGE(終値!AQ148:BJ148),""))</f>
        <v>0.36102132398726444</v>
      </c>
      <c r="AO148" s="503">
        <f>IF(終値!A148="","",IFERROR(4*STDEVP(終値!AR148:BK148)/AVERAGE(終値!AR148:BK148),""))</f>
        <v>0.32508056977705141</v>
      </c>
      <c r="AP148" s="503">
        <f>IF(終値!A148="","",IFERROR(4*STDEVP(終値!AS148:BL148)/AVERAGE(終値!AS148:BL148),""))</f>
        <v>0.31189909193088355</v>
      </c>
    </row>
    <row r="149" spans="1:42">
      <c r="A149" s="500" t="str">
        <f>IF(終値!A149="","",終値!A149)</f>
        <v>7375</v>
      </c>
      <c r="B149" s="503">
        <f>IF(終値!A149="","",IFERROR(4*STDEVP(終値!E149:X149)/AVERAGE(終値!E149:X149),""))</f>
        <v>7.8568310781318207E-2</v>
      </c>
      <c r="C149" s="503">
        <f>IF(終値!A149="","",IFERROR(4*STDEVP(終値!F149:Y149)/AVERAGE(終値!F149:Y149),""))</f>
        <v>0</v>
      </c>
      <c r="D149" s="503" t="str">
        <f>IF(終値!A149="","",IFERROR(4*STDEVP(終値!G149:Z149)/AVERAGE(終値!G149:Z149),""))</f>
        <v/>
      </c>
      <c r="E149" s="503" t="str">
        <f>IF(終値!A149="","",IFERROR(4*STDEVP(終値!H149:AA149)/AVERAGE(終値!H149:AA149),""))</f>
        <v/>
      </c>
      <c r="F149" s="503" t="str">
        <f>IF(終値!A149="","",IFERROR(4*STDEVP(終値!I149:AB149)/AVERAGE(終値!I149:AB149),""))</f>
        <v/>
      </c>
      <c r="G149" s="503" t="str">
        <f>IF(終値!A149="","",IFERROR(4*STDEVP(終値!J149:AC149)/AVERAGE(終値!J149:AC149),""))</f>
        <v/>
      </c>
      <c r="H149" s="503" t="str">
        <f>IF(終値!A149="","",IFERROR(4*STDEVP(終値!K149:AD149)/AVERAGE(終値!K149:AD149),""))</f>
        <v/>
      </c>
      <c r="I149" s="503" t="str">
        <f>IF(終値!A149="","",IFERROR(4*STDEVP(終値!L149:AE149)/AVERAGE(終値!L149:AE149),""))</f>
        <v/>
      </c>
      <c r="J149" s="503" t="str">
        <f>IF(終値!A149="","",IFERROR(4*STDEVP(終値!M149:AF149)/AVERAGE(終値!M149:AF149),""))</f>
        <v/>
      </c>
      <c r="K149" s="503" t="str">
        <f>IF(終値!A149="","",IFERROR(4*STDEVP(終値!N149:AG149)/AVERAGE(終値!N149:AG149),""))</f>
        <v/>
      </c>
      <c r="L149" s="503" t="str">
        <f>IF(終値!A149="","",IFERROR(4*STDEVP(終値!O149:AH149)/AVERAGE(終値!O149:AH149),""))</f>
        <v/>
      </c>
      <c r="M149" s="503" t="str">
        <f>IF(終値!A149="","",IFERROR(4*STDEVP(終値!P149:AI149)/AVERAGE(終値!P149:AI149),""))</f>
        <v/>
      </c>
      <c r="N149" s="503" t="str">
        <f>IF(終値!A149="","",IFERROR(4*STDEVP(終値!Q149:AJ149)/AVERAGE(終値!Q149:AJ149),""))</f>
        <v/>
      </c>
      <c r="O149" s="503" t="str">
        <f>IF(終値!A149="","",IFERROR(4*STDEVP(終値!R149:AK149)/AVERAGE(終値!R149:AK149),""))</f>
        <v/>
      </c>
      <c r="P149" s="503" t="str">
        <f>IF(終値!A149="","",IFERROR(4*STDEVP(終値!S149:AL149)/AVERAGE(終値!S149:AL149),""))</f>
        <v/>
      </c>
      <c r="Q149" s="503" t="str">
        <f>IF(終値!A149="","",IFERROR(4*STDEVP(終値!T149:AM149)/AVERAGE(終値!T149:AM149),""))</f>
        <v/>
      </c>
      <c r="R149" s="503" t="str">
        <f>IF(終値!A149="","",IFERROR(4*STDEVP(終値!U149:AN149)/AVERAGE(終値!U149:AN149),""))</f>
        <v/>
      </c>
      <c r="S149" s="503" t="str">
        <f>IF(終値!A149="","",IFERROR(4*STDEVP(終値!V149:AO149)/AVERAGE(終値!V149:AO149),""))</f>
        <v/>
      </c>
      <c r="T149" s="503" t="str">
        <f>IF(終値!A149="","",IFERROR(4*STDEVP(終値!W149:AP149)/AVERAGE(終値!W149:AP149),""))</f>
        <v/>
      </c>
      <c r="U149" s="503" t="str">
        <f>IF(終値!A149="","",IFERROR(4*STDEVP(終値!X149:AQ149)/AVERAGE(終値!X149:AQ149),""))</f>
        <v/>
      </c>
      <c r="V149" s="503" t="str">
        <f>IF(終値!A149="","",IFERROR(4*STDEVP(終値!Y149:AR149)/AVERAGE(終値!Y149:AR149),""))</f>
        <v/>
      </c>
      <c r="W149" s="503" t="str">
        <f>IF(終値!A149="","",IFERROR(4*STDEVP(終値!Z149:AS149)/AVERAGE(終値!Z149:AS149),""))</f>
        <v/>
      </c>
      <c r="X149" s="503" t="str">
        <f>IF(終値!A149="","",IFERROR(4*STDEVP(終値!AA149:AT149)/AVERAGE(終値!AA149:AT149),""))</f>
        <v/>
      </c>
      <c r="Y149" s="503" t="str">
        <f>IF(終値!A149="","",IFERROR(4*STDEVP(終値!AB149:AU149)/AVERAGE(終値!AB149:AU149),""))</f>
        <v/>
      </c>
      <c r="Z149" s="503" t="str">
        <f>IF(終値!A149="","",IFERROR(4*STDEVP(終値!AC149:AV149)/AVERAGE(終値!AC149:AV149),""))</f>
        <v/>
      </c>
      <c r="AA149" s="503" t="str">
        <f>IF(終値!A149="","",IFERROR(4*STDEVP(終値!AD149:AW149)/AVERAGE(終値!AD149:AW149),""))</f>
        <v/>
      </c>
      <c r="AB149" s="503" t="str">
        <f>IF(終値!A149="","",IFERROR(4*STDEVP(終値!AE149:AX149)/AVERAGE(終値!AE149:AX149),""))</f>
        <v/>
      </c>
      <c r="AC149" s="503" t="str">
        <f>IF(終値!A149="","",IFERROR(4*STDEVP(終値!AF149:AY149)/AVERAGE(終値!AF149:AY149),""))</f>
        <v/>
      </c>
      <c r="AD149" s="503" t="str">
        <f>IF(終値!A149="","",IFERROR(4*STDEVP(終値!AG149:AZ149)/AVERAGE(終値!AG149:AZ149),""))</f>
        <v/>
      </c>
      <c r="AE149" s="503" t="str">
        <f>IF(終値!A149="","",IFERROR(4*STDEVP(終値!AH149:BA149)/AVERAGE(終値!AH149:BA149),""))</f>
        <v/>
      </c>
      <c r="AF149" s="503" t="str">
        <f>IF(終値!A149="","",IFERROR(4*STDEVP(終値!AI149:BB149)/AVERAGE(終値!AI149:BB149),""))</f>
        <v/>
      </c>
      <c r="AG149" s="503" t="str">
        <f>IF(終値!A149="","",IFERROR(4*STDEVP(終値!AJ149:BC149)/AVERAGE(終値!AJ149:BC149),""))</f>
        <v/>
      </c>
      <c r="AH149" s="503" t="str">
        <f>IF(終値!A149="","",IFERROR(4*STDEVP(終値!AK149:BD149)/AVERAGE(終値!AK149:BD149),""))</f>
        <v/>
      </c>
      <c r="AI149" s="503" t="str">
        <f>IF(終値!A149="","",IFERROR(4*STDEVP(終値!AL149:BE149)/AVERAGE(終値!AL149:BE149),""))</f>
        <v/>
      </c>
      <c r="AJ149" s="503" t="str">
        <f>IF(終値!A149="","",IFERROR(4*STDEVP(終値!AM149:BF149)/AVERAGE(終値!AM149:BF149),""))</f>
        <v/>
      </c>
      <c r="AK149" s="503" t="str">
        <f>IF(終値!A149="","",IFERROR(4*STDEVP(終値!AN149:BG149)/AVERAGE(終値!AN149:BG149),""))</f>
        <v/>
      </c>
      <c r="AL149" s="503" t="str">
        <f>IF(終値!A149="","",IFERROR(4*STDEVP(終値!AO149:BH149)/AVERAGE(終値!AO149:BH149),""))</f>
        <v/>
      </c>
      <c r="AM149" s="503" t="str">
        <f>IF(終値!A149="","",IFERROR(4*STDEVP(終値!AP149:BI149)/AVERAGE(終値!AP149:BI149),""))</f>
        <v/>
      </c>
      <c r="AN149" s="503" t="str">
        <f>IF(終値!A149="","",IFERROR(4*STDEVP(終値!AQ149:BJ149)/AVERAGE(終値!AQ149:BJ149),""))</f>
        <v/>
      </c>
      <c r="AO149" s="503" t="str">
        <f>IF(終値!A149="","",IFERROR(4*STDEVP(終値!AR149:BK149)/AVERAGE(終値!AR149:BK149),""))</f>
        <v/>
      </c>
      <c r="AP149" s="503" t="str">
        <f>IF(終値!A149="","",IFERROR(4*STDEVP(終値!AS149:BL149)/AVERAGE(終値!AS149:BL149),""))</f>
        <v/>
      </c>
    </row>
    <row r="150" spans="1:42">
      <c r="A150" s="500" t="str">
        <f>IF(終値!A150="","",終値!A150)</f>
        <v>4307</v>
      </c>
      <c r="B150" s="503">
        <f>IF(終値!A150="","",IFERROR(4*STDEVP(終値!E150:X150)/AVERAGE(終値!E150:X150),""))</f>
        <v>0.21060959598878137</v>
      </c>
      <c r="C150" s="503">
        <f>IF(終値!A150="","",IFERROR(4*STDEVP(終値!F150:Y150)/AVERAGE(終値!F150:Y150),""))</f>
        <v>0.20512703956980619</v>
      </c>
      <c r="D150" s="503">
        <f>IF(終値!A150="","",IFERROR(4*STDEVP(終値!G150:Z150)/AVERAGE(終値!G150:Z150),""))</f>
        <v>0.18723269455235739</v>
      </c>
      <c r="E150" s="503">
        <f>IF(終値!A150="","",IFERROR(4*STDEVP(終値!H150:AA150)/AVERAGE(終値!H150:AA150),""))</f>
        <v>0.17279140316067443</v>
      </c>
      <c r="F150" s="503">
        <f>IF(終値!A150="","",IFERROR(4*STDEVP(終値!I150:AB150)/AVERAGE(終値!I150:AB150),""))</f>
        <v>0.16432082436780704</v>
      </c>
      <c r="G150" s="503">
        <f>IF(終値!A150="","",IFERROR(4*STDEVP(終値!J150:AC150)/AVERAGE(終値!J150:AC150),""))</f>
        <v>0.17555408510221293</v>
      </c>
      <c r="H150" s="503">
        <f>IF(終値!A150="","",IFERROR(4*STDEVP(終値!K150:AD150)/AVERAGE(終値!K150:AD150),""))</f>
        <v>0.16826452932175567</v>
      </c>
      <c r="I150" s="503">
        <f>IF(終値!A150="","",IFERROR(4*STDEVP(終値!L150:AE150)/AVERAGE(終値!L150:AE150),""))</f>
        <v>0.15717034370623581</v>
      </c>
      <c r="J150" s="503">
        <f>IF(終値!A150="","",IFERROR(4*STDEVP(終値!M150:AF150)/AVERAGE(終値!M150:AF150),""))</f>
        <v>0.17999813007462453</v>
      </c>
      <c r="K150" s="503">
        <f>IF(終値!A150="","",IFERROR(4*STDEVP(終値!N150:AG150)/AVERAGE(終値!N150:AG150),""))</f>
        <v>0.20721897264442155</v>
      </c>
      <c r="L150" s="503">
        <f>IF(終値!A150="","",IFERROR(4*STDEVP(終値!O150:AH150)/AVERAGE(終値!O150:AH150),""))</f>
        <v>0.22631965509920629</v>
      </c>
      <c r="M150" s="503">
        <f>IF(終値!A150="","",IFERROR(4*STDEVP(終値!P150:AI150)/AVERAGE(終値!P150:AI150),""))</f>
        <v>0.2469005769660336</v>
      </c>
      <c r="N150" s="503">
        <f>IF(終値!A150="","",IFERROR(4*STDEVP(終値!Q150:AJ150)/AVERAGE(終値!Q150:AJ150),""))</f>
        <v>0.26574486469543607</v>
      </c>
      <c r="O150" s="503">
        <f>IF(終値!A150="","",IFERROR(4*STDEVP(終値!R150:AK150)/AVERAGE(終値!R150:AK150),""))</f>
        <v>0.26998040462466066</v>
      </c>
      <c r="P150" s="503">
        <f>IF(終値!A150="","",IFERROR(4*STDEVP(終値!S150:AL150)/AVERAGE(終値!S150:AL150),""))</f>
        <v>0.26314962099552347</v>
      </c>
      <c r="Q150" s="503">
        <f>IF(終値!A150="","",IFERROR(4*STDEVP(終値!T150:AM150)/AVERAGE(終値!T150:AM150),""))</f>
        <v>0.26123113678717708</v>
      </c>
      <c r="R150" s="503">
        <f>IF(終値!A150="","",IFERROR(4*STDEVP(終値!U150:AN150)/AVERAGE(終値!U150:AN150),""))</f>
        <v>0.2547504750685658</v>
      </c>
      <c r="S150" s="503">
        <f>IF(終値!A150="","",IFERROR(4*STDEVP(終値!V150:AO150)/AVERAGE(終値!V150:AO150),""))</f>
        <v>0.24597991751617404</v>
      </c>
      <c r="T150" s="503">
        <f>IF(終値!A150="","",IFERROR(4*STDEVP(終値!W150:AP150)/AVERAGE(終値!W150:AP150),""))</f>
        <v>0.23947795998629326</v>
      </c>
      <c r="U150" s="503">
        <f>IF(終値!A150="","",IFERROR(4*STDEVP(終値!X150:AQ150)/AVERAGE(終値!X150:AQ150),""))</f>
        <v>0.22713351865388448</v>
      </c>
      <c r="V150" s="503">
        <f>IF(終値!A150="","",IFERROR(4*STDEVP(終値!Y150:AR150)/AVERAGE(終値!Y150:AR150),""))</f>
        <v>0.21388084626619147</v>
      </c>
      <c r="W150" s="503">
        <f>IF(終値!A150="","",IFERROR(4*STDEVP(終値!Z150:AS150)/AVERAGE(終値!Z150:AS150),""))</f>
        <v>0.18781881037563924</v>
      </c>
      <c r="X150" s="503">
        <f>IF(終値!A150="","",IFERROR(4*STDEVP(終値!AA150:AT150)/AVERAGE(終値!AA150:AT150),""))</f>
        <v>0.16926886385072704</v>
      </c>
      <c r="Y150" s="503">
        <f>IF(終値!A150="","",IFERROR(4*STDEVP(終値!AB150:AU150)/AVERAGE(終値!AB150:AU150),""))</f>
        <v>0.15854571759368979</v>
      </c>
      <c r="Z150" s="503">
        <f>IF(終値!A150="","",IFERROR(4*STDEVP(終値!AC150:AV150)/AVERAGE(終値!AC150:AV150),""))</f>
        <v>0.16292849138332352</v>
      </c>
      <c r="AA150" s="503">
        <f>IF(終値!A150="","",IFERROR(4*STDEVP(終値!AD150:AW150)/AVERAGE(終値!AD150:AW150),""))</f>
        <v>0.18818736434730879</v>
      </c>
      <c r="AB150" s="503">
        <f>IF(終値!A150="","",IFERROR(4*STDEVP(終値!AE150:AX150)/AVERAGE(終値!AE150:AX150),""))</f>
        <v>0.20604097859503093</v>
      </c>
      <c r="AC150" s="503">
        <f>IF(終値!A150="","",IFERROR(4*STDEVP(終値!AF150:AY150)/AVERAGE(終値!AF150:AY150),""))</f>
        <v>0.21050525157103073</v>
      </c>
      <c r="AD150" s="503">
        <f>IF(終値!A150="","",IFERROR(4*STDEVP(終値!AG150:AZ150)/AVERAGE(終値!AG150:AZ150),""))</f>
        <v>0.20226499937028281</v>
      </c>
      <c r="AE150" s="503">
        <f>IF(終値!A150="","",IFERROR(4*STDEVP(終値!AH150:BA150)/AVERAGE(終値!AH150:BA150),""))</f>
        <v>0.18881650636829139</v>
      </c>
      <c r="AF150" s="503">
        <f>IF(終値!A150="","",IFERROR(4*STDEVP(終値!AI150:BB150)/AVERAGE(終値!AI150:BB150),""))</f>
        <v>0.18043016151642646</v>
      </c>
      <c r="AG150" s="503">
        <f>IF(終値!A150="","",IFERROR(4*STDEVP(終値!AJ150:BC150)/AVERAGE(終値!AJ150:BC150),""))</f>
        <v>0.1657382188062452</v>
      </c>
      <c r="AH150" s="503">
        <f>IF(終値!A150="","",IFERROR(4*STDEVP(終値!AK150:BD150)/AVERAGE(終値!AK150:BD150),""))</f>
        <v>0.1431256369205586</v>
      </c>
      <c r="AI150" s="503">
        <f>IF(終値!A150="","",IFERROR(4*STDEVP(終値!AL150:BE150)/AVERAGE(終値!AL150:BE150),""))</f>
        <v>0.12681366168675712</v>
      </c>
      <c r="AJ150" s="503">
        <f>IF(終値!A150="","",IFERROR(4*STDEVP(終値!AM150:BF150)/AVERAGE(終値!AM150:BF150),""))</f>
        <v>0.12990056784069098</v>
      </c>
      <c r="AK150" s="503">
        <f>IF(終値!A150="","",IFERROR(4*STDEVP(終値!AN150:BG150)/AVERAGE(終値!AN150:BG150),""))</f>
        <v>0.14728701924169352</v>
      </c>
      <c r="AL150" s="503">
        <f>IF(終値!A150="","",IFERROR(4*STDEVP(終値!AO150:BH150)/AVERAGE(終値!AO150:BH150),""))</f>
        <v>0.17450926240100534</v>
      </c>
      <c r="AM150" s="503">
        <f>IF(終値!A150="","",IFERROR(4*STDEVP(終値!AP150:BI150)/AVERAGE(終値!AP150:BI150),""))</f>
        <v>0.18544659879461831</v>
      </c>
      <c r="AN150" s="503">
        <f>IF(終値!A150="","",IFERROR(4*STDEVP(終値!AQ150:BJ150)/AVERAGE(終値!AQ150:BJ150),""))</f>
        <v>0.20166833496613645</v>
      </c>
      <c r="AO150" s="503">
        <f>IF(終値!A150="","",IFERROR(4*STDEVP(終値!AR150:BK150)/AVERAGE(終値!AR150:BK150),""))</f>
        <v>0.2132797882929873</v>
      </c>
      <c r="AP150" s="503">
        <f>IF(終値!A150="","",IFERROR(4*STDEVP(終値!AS150:BL150)/AVERAGE(終値!AS150:BL150),""))</f>
        <v>0.22118051905648445</v>
      </c>
    </row>
    <row r="151" spans="1:42">
      <c r="A151" s="500" t="str">
        <f>IF(終値!A151="","",終値!A151)</f>
        <v>6516</v>
      </c>
      <c r="B151" s="503">
        <f>IF(終値!A151="","",IFERROR(4*STDEVP(終値!E151:X151)/AVERAGE(終値!E151:X151),""))</f>
        <v>0.18465628480808999</v>
      </c>
      <c r="C151" s="503">
        <f>IF(終値!A151="","",IFERROR(4*STDEVP(終値!F151:Y151)/AVERAGE(終値!F151:Y151),""))</f>
        <v>0.19191205935381964</v>
      </c>
      <c r="D151" s="503">
        <f>IF(終値!A151="","",IFERROR(4*STDEVP(終値!G151:Z151)/AVERAGE(終値!G151:Z151),""))</f>
        <v>0.21339192477570365</v>
      </c>
      <c r="E151" s="503">
        <f>IF(終値!A151="","",IFERROR(4*STDEVP(終値!H151:AA151)/AVERAGE(終値!H151:AA151),""))</f>
        <v>0.24378593235131479</v>
      </c>
      <c r="F151" s="503">
        <f>IF(終値!A151="","",IFERROR(4*STDEVP(終値!I151:AB151)/AVERAGE(終値!I151:AB151),""))</f>
        <v>0.26169598013201034</v>
      </c>
      <c r="G151" s="503">
        <f>IF(終値!A151="","",IFERROR(4*STDEVP(終値!J151:AC151)/AVERAGE(終値!J151:AC151),""))</f>
        <v>0.27636665127984361</v>
      </c>
      <c r="H151" s="503">
        <f>IF(終値!A151="","",IFERROR(4*STDEVP(終値!K151:AD151)/AVERAGE(終値!K151:AD151),""))</f>
        <v>0.26998336166758297</v>
      </c>
      <c r="I151" s="503">
        <f>IF(終値!A151="","",IFERROR(4*STDEVP(終値!L151:AE151)/AVERAGE(終値!L151:AE151),""))</f>
        <v>0.24996763759354382</v>
      </c>
      <c r="J151" s="503">
        <f>IF(終値!A151="","",IFERROR(4*STDEVP(終値!M151:AF151)/AVERAGE(終値!M151:AF151),""))</f>
        <v>0.25815223245957508</v>
      </c>
      <c r="K151" s="503">
        <f>IF(終値!A151="","",IFERROR(4*STDEVP(終値!N151:AG151)/AVERAGE(終値!N151:AG151),""))</f>
        <v>0.28639963401787955</v>
      </c>
      <c r="L151" s="503">
        <f>IF(終値!A151="","",IFERROR(4*STDEVP(終値!O151:AH151)/AVERAGE(終値!O151:AH151),""))</f>
        <v>0.3001973100104785</v>
      </c>
      <c r="M151" s="503">
        <f>IF(終値!A151="","",IFERROR(4*STDEVP(終値!P151:AI151)/AVERAGE(終値!P151:AI151),""))</f>
        <v>0.31207387239363404</v>
      </c>
      <c r="N151" s="503">
        <f>IF(終値!A151="","",IFERROR(4*STDEVP(終値!Q151:AJ151)/AVERAGE(終値!Q151:AJ151),""))</f>
        <v>0.31364285583269708</v>
      </c>
      <c r="O151" s="503">
        <f>IF(終値!A151="","",IFERROR(4*STDEVP(終値!R151:AK151)/AVERAGE(終値!R151:AK151),""))</f>
        <v>0.29933125796530169</v>
      </c>
      <c r="P151" s="503">
        <f>IF(終値!A151="","",IFERROR(4*STDEVP(終値!S151:AL151)/AVERAGE(終値!S151:AL151),""))</f>
        <v>0.26562773710393445</v>
      </c>
      <c r="Q151" s="503">
        <f>IF(終値!A151="","",IFERROR(4*STDEVP(終値!T151:AM151)/AVERAGE(終値!T151:AM151),""))</f>
        <v>0.25467637916694702</v>
      </c>
      <c r="R151" s="503">
        <f>IF(終値!A151="","",IFERROR(4*STDEVP(終値!U151:AN151)/AVERAGE(終値!U151:AN151),""))</f>
        <v>0.23438426886229158</v>
      </c>
      <c r="S151" s="503">
        <f>IF(終値!A151="","",IFERROR(4*STDEVP(終値!V151:AO151)/AVERAGE(終値!V151:AO151),""))</f>
        <v>0.2166735592288874</v>
      </c>
      <c r="T151" s="503">
        <f>IF(終値!A151="","",IFERROR(4*STDEVP(終値!W151:AP151)/AVERAGE(終値!W151:AP151),""))</f>
        <v>0.20912729936693886</v>
      </c>
      <c r="U151" s="503">
        <f>IF(終値!A151="","",IFERROR(4*STDEVP(終値!X151:AQ151)/AVERAGE(終値!X151:AQ151),""))</f>
        <v>0.19211221585308794</v>
      </c>
      <c r="V151" s="503">
        <f>IF(終値!A151="","",IFERROR(4*STDEVP(終値!Y151:AR151)/AVERAGE(終値!Y151:AR151),""))</f>
        <v>0.17488728680902157</v>
      </c>
      <c r="W151" s="503">
        <f>IF(終値!A151="","",IFERROR(4*STDEVP(終値!Z151:AS151)/AVERAGE(終値!Z151:AS151),""))</f>
        <v>0.16183966873171579</v>
      </c>
      <c r="X151" s="503">
        <f>IF(終値!A151="","",IFERROR(4*STDEVP(終値!AA151:AT151)/AVERAGE(終値!AA151:AT151),""))</f>
        <v>0.15857269901795337</v>
      </c>
      <c r="Y151" s="503">
        <f>IF(終値!A151="","",IFERROR(4*STDEVP(終値!AB151:AU151)/AVERAGE(終値!AB151:AU151),""))</f>
        <v>0.15822041184799049</v>
      </c>
      <c r="Z151" s="503">
        <f>IF(終値!A151="","",IFERROR(4*STDEVP(終値!AC151:AV151)/AVERAGE(終値!AC151:AV151),""))</f>
        <v>0.15643254281405075</v>
      </c>
      <c r="AA151" s="503">
        <f>IF(終値!A151="","",IFERROR(4*STDEVP(終値!AD151:AW151)/AVERAGE(終値!AD151:AW151),""))</f>
        <v>0.15617603485218767</v>
      </c>
      <c r="AB151" s="503">
        <f>IF(終値!A151="","",IFERROR(4*STDEVP(終値!AE151:AX151)/AVERAGE(終値!AE151:AX151),""))</f>
        <v>0.15449197222847658</v>
      </c>
      <c r="AC151" s="503">
        <f>IF(終値!A151="","",IFERROR(4*STDEVP(終値!AF151:AY151)/AVERAGE(終値!AF151:AY151),""))</f>
        <v>0.15375484524128757</v>
      </c>
      <c r="AD151" s="503">
        <f>IF(終値!A151="","",IFERROR(4*STDEVP(終値!AG151:AZ151)/AVERAGE(終値!AG151:AZ151),""))</f>
        <v>0.15204328132794478</v>
      </c>
      <c r="AE151" s="503">
        <f>IF(終値!A151="","",IFERROR(4*STDEVP(終値!AH151:BA151)/AVERAGE(終値!AH151:BA151),""))</f>
        <v>0.14932773582594619</v>
      </c>
      <c r="AF151" s="503">
        <f>IF(終値!A151="","",IFERROR(4*STDEVP(終値!AI151:BB151)/AVERAGE(終値!AI151:BB151),""))</f>
        <v>0.15246651694890789</v>
      </c>
      <c r="AG151" s="503">
        <f>IF(終値!A151="","",IFERROR(4*STDEVP(終値!AJ151:BC151)/AVERAGE(終値!AJ151:BC151),""))</f>
        <v>0.15572447495740577</v>
      </c>
      <c r="AH151" s="503">
        <f>IF(終値!A151="","",IFERROR(4*STDEVP(終値!AK151:BD151)/AVERAGE(終値!AK151:BD151),""))</f>
        <v>0.15126817797858202</v>
      </c>
      <c r="AI151" s="503">
        <f>IF(終値!A151="","",IFERROR(4*STDEVP(終値!AL151:BE151)/AVERAGE(終値!AL151:BE151),""))</f>
        <v>0.15696323294558706</v>
      </c>
      <c r="AJ151" s="503">
        <f>IF(終値!A151="","",IFERROR(4*STDEVP(終値!AM151:BF151)/AVERAGE(終値!AM151:BF151),""))</f>
        <v>0.17047213030565039</v>
      </c>
      <c r="AK151" s="503">
        <f>IF(終値!A151="","",IFERROR(4*STDEVP(終値!AN151:BG151)/AVERAGE(終値!AN151:BG151),""))</f>
        <v>0.19039118083610379</v>
      </c>
      <c r="AL151" s="503">
        <f>IF(終値!A151="","",IFERROR(4*STDEVP(終値!AO151:BH151)/AVERAGE(終値!AO151:BH151),""))</f>
        <v>0.20810929699589872</v>
      </c>
      <c r="AM151" s="503">
        <f>IF(終値!A151="","",IFERROR(4*STDEVP(終値!AP151:BI151)/AVERAGE(終値!AP151:BI151),""))</f>
        <v>0.22778666731127681</v>
      </c>
      <c r="AN151" s="503">
        <f>IF(終値!A151="","",IFERROR(4*STDEVP(終値!AQ151:BJ151)/AVERAGE(終値!AQ151:BJ151),""))</f>
        <v>0.22723576595913225</v>
      </c>
      <c r="AO151" s="503">
        <f>IF(終値!A151="","",IFERROR(4*STDEVP(終値!AR151:BK151)/AVERAGE(終値!AR151:BK151),""))</f>
        <v>0.22426862930844324</v>
      </c>
      <c r="AP151" s="503">
        <f>IF(終値!A151="","",IFERROR(4*STDEVP(終値!AS151:BL151)/AVERAGE(終値!AS151:BL151),""))</f>
        <v>0.20593116584544174</v>
      </c>
    </row>
    <row r="152" spans="1:42">
      <c r="A152" s="500" t="str">
        <f>IF(終値!A152="","",終値!A152)</f>
        <v>7381</v>
      </c>
      <c r="B152" s="503">
        <f>IF(終値!A152="","",IFERROR(4*STDEVP(終値!E152:X152)/AVERAGE(終値!E152:X152),""))</f>
        <v>0.18333842786730778</v>
      </c>
      <c r="C152" s="503">
        <f>IF(終値!A152="","",IFERROR(4*STDEVP(終値!F152:Y152)/AVERAGE(終値!F152:Y152),""))</f>
        <v>0.16995312690577644</v>
      </c>
      <c r="D152" s="503">
        <f>IF(終値!A152="","",IFERROR(4*STDEVP(終値!G152:Z152)/AVERAGE(終値!G152:Z152),""))</f>
        <v>0.16875691891908526</v>
      </c>
      <c r="E152" s="503">
        <f>IF(終値!A152="","",IFERROR(4*STDEVP(終値!H152:AA152)/AVERAGE(終値!H152:AA152),""))</f>
        <v>0.17487317098273736</v>
      </c>
      <c r="F152" s="503">
        <f>IF(終値!A152="","",IFERROR(4*STDEVP(終値!I152:AB152)/AVERAGE(終値!I152:AB152),""))</f>
        <v>0.18231656787296671</v>
      </c>
      <c r="G152" s="503">
        <f>IF(終値!A152="","",IFERROR(4*STDEVP(終値!J152:AC152)/AVERAGE(終値!J152:AC152),""))</f>
        <v>0.19057217839629448</v>
      </c>
      <c r="H152" s="503">
        <f>IF(終値!A152="","",IFERROR(4*STDEVP(終値!K152:AD152)/AVERAGE(終値!K152:AD152),""))</f>
        <v>0.19819047336506276</v>
      </c>
      <c r="I152" s="503">
        <f>IF(終値!A152="","",IFERROR(4*STDEVP(終値!L152:AE152)/AVERAGE(終値!L152:AE152),""))</f>
        <v>0.20947457129105912</v>
      </c>
      <c r="J152" s="503">
        <f>IF(終値!A152="","",IFERROR(4*STDEVP(終値!M152:AF152)/AVERAGE(終値!M152:AF152),""))</f>
        <v>0.21921391838720647</v>
      </c>
      <c r="K152" s="503">
        <f>IF(終値!A152="","",IFERROR(4*STDEVP(終値!N152:AG152)/AVERAGE(終値!N152:AG152),""))</f>
        <v>0.21297559008242647</v>
      </c>
      <c r="L152" s="503">
        <f>IF(終値!A152="","",IFERROR(4*STDEVP(終値!O152:AH152)/AVERAGE(終値!O152:AH152),""))</f>
        <v>0.21899101354019104</v>
      </c>
      <c r="M152" s="503">
        <f>IF(終値!A152="","",IFERROR(4*STDEVP(終値!P152:AI152)/AVERAGE(終値!P152:AI152),""))</f>
        <v>0.20665356994983392</v>
      </c>
      <c r="N152" s="503">
        <f>IF(終値!A152="","",IFERROR(4*STDEVP(終値!Q152:AJ152)/AVERAGE(終値!Q152:AJ152),""))</f>
        <v>0.18890197902670558</v>
      </c>
      <c r="O152" s="503">
        <f>IF(終値!A152="","",IFERROR(4*STDEVP(終値!R152:AK152)/AVERAGE(終値!R152:AK152),""))</f>
        <v>0.17619847118876028</v>
      </c>
      <c r="P152" s="503">
        <f>IF(終値!A152="","",IFERROR(4*STDEVP(終値!S152:AL152)/AVERAGE(終値!S152:AL152),""))</f>
        <v>0.17513200824565045</v>
      </c>
      <c r="Q152" s="503">
        <f>IF(終値!A152="","",IFERROR(4*STDEVP(終値!T152:AM152)/AVERAGE(終値!T152:AM152),""))</f>
        <v>0.15396143218187183</v>
      </c>
      <c r="R152" s="503">
        <f>IF(終値!A152="","",IFERROR(4*STDEVP(終値!U152:AN152)/AVERAGE(終値!U152:AN152),""))</f>
        <v>0.14611990050753065</v>
      </c>
      <c r="S152" s="503">
        <f>IF(終値!A152="","",IFERROR(4*STDEVP(終値!V152:AO152)/AVERAGE(終値!V152:AO152),""))</f>
        <v>0.14381172430034678</v>
      </c>
      <c r="T152" s="503">
        <f>IF(終値!A152="","",IFERROR(4*STDEVP(終値!W152:AP152)/AVERAGE(終値!W152:AP152),""))</f>
        <v>0.14297433656427469</v>
      </c>
      <c r="U152" s="503">
        <f>IF(終値!A152="","",IFERROR(4*STDEVP(終値!X152:AQ152)/AVERAGE(終値!X152:AQ152),""))</f>
        <v>0.14270241054680019</v>
      </c>
      <c r="V152" s="503">
        <f>IF(終値!A152="","",IFERROR(4*STDEVP(終値!Y152:AR152)/AVERAGE(終値!Y152:AR152),""))</f>
        <v>0.12594995080136809</v>
      </c>
      <c r="W152" s="503">
        <f>IF(終値!A152="","",IFERROR(4*STDEVP(終値!Z152:AS152)/AVERAGE(終値!Z152:AS152),""))</f>
        <v>0.11240848680573837</v>
      </c>
      <c r="X152" s="503">
        <f>IF(終値!A152="","",IFERROR(4*STDEVP(終値!AA152:AT152)/AVERAGE(終値!AA152:AT152),""))</f>
        <v>0.1039771827995772</v>
      </c>
      <c r="Y152" s="503">
        <f>IF(終値!A152="","",IFERROR(4*STDEVP(終値!AB152:AU152)/AVERAGE(終値!AB152:AU152),""))</f>
        <v>9.7738976374329628E-2</v>
      </c>
      <c r="Z152" s="503">
        <f>IF(終値!A152="","",IFERROR(4*STDEVP(終値!AC152:AV152)/AVERAGE(終値!AC152:AV152),""))</f>
        <v>9.3251974090961337E-2</v>
      </c>
      <c r="AA152" s="503">
        <f>IF(終値!A152="","",IFERROR(4*STDEVP(終値!AD152:AW152)/AVERAGE(終値!AD152:AW152),""))</f>
        <v>8.9946860551752786E-2</v>
      </c>
      <c r="AB152" s="503">
        <f>IF(終値!A152="","",IFERROR(4*STDEVP(終値!AE152:AX152)/AVERAGE(終値!AE152:AX152),""))</f>
        <v>9.5542854621024756E-2</v>
      </c>
      <c r="AC152" s="503">
        <f>IF(終値!A152="","",IFERROR(4*STDEVP(終値!AF152:AY152)/AVERAGE(終値!AF152:AY152),""))</f>
        <v>0.10157994376815785</v>
      </c>
      <c r="AD152" s="503">
        <f>IF(終値!A152="","",IFERROR(4*STDEVP(終値!AG152:AZ152)/AVERAGE(終値!AG152:AZ152),""))</f>
        <v>0.11161660996910545</v>
      </c>
      <c r="AE152" s="503">
        <f>IF(終値!A152="","",IFERROR(4*STDEVP(終値!AH152:BA152)/AVERAGE(終値!AH152:BA152),""))</f>
        <v>0.12179822171532118</v>
      </c>
      <c r="AF152" s="503">
        <f>IF(終値!A152="","",IFERROR(4*STDEVP(終値!AI152:BB152)/AVERAGE(終値!AI152:BB152),""))</f>
        <v>0.12146734604524907</v>
      </c>
      <c r="AG152" s="503">
        <f>IF(終値!A152="","",IFERROR(4*STDEVP(終値!AJ152:BC152)/AVERAGE(終値!AJ152:BC152),""))</f>
        <v>0.1259499507941774</v>
      </c>
      <c r="AH152" s="503">
        <f>IF(終値!A152="","",IFERROR(4*STDEVP(終値!AK152:BD152)/AVERAGE(終値!AK152:BD152),""))</f>
        <v>0.11998801852553138</v>
      </c>
      <c r="AI152" s="503">
        <f>IF(終値!A152="","",IFERROR(4*STDEVP(終値!AL152:BE152)/AVERAGE(終値!AL152:BE152),""))</f>
        <v>0.11055005880128586</v>
      </c>
      <c r="AJ152" s="503">
        <f>IF(終値!A152="","",IFERROR(4*STDEVP(終値!AM152:BF152)/AVERAGE(終値!AM152:BF152),""))</f>
        <v>0.10679456240288254</v>
      </c>
      <c r="AK152" s="503">
        <f>IF(終値!A152="","",IFERROR(4*STDEVP(終値!AN152:BG152)/AVERAGE(終値!AN152:BG152),""))</f>
        <v>0.10114692532478992</v>
      </c>
      <c r="AL152" s="503">
        <f>IF(終値!A152="","",IFERROR(4*STDEVP(終値!AO152:BH152)/AVERAGE(終値!AO152:BH152),""))</f>
        <v>0.10102934517578042</v>
      </c>
      <c r="AM152" s="503">
        <f>IF(終値!A152="","",IFERROR(4*STDEVP(終値!AP152:BI152)/AVERAGE(終値!AP152:BI152),""))</f>
        <v>9.9363695859242762E-2</v>
      </c>
      <c r="AN152" s="503">
        <f>IF(終値!A152="","",IFERROR(4*STDEVP(終値!AQ152:BJ152)/AVERAGE(終値!AQ152:BJ152),""))</f>
        <v>9.4629707011967643E-2</v>
      </c>
      <c r="AO152" s="503">
        <f>IF(終値!A152="","",IFERROR(4*STDEVP(終値!AR152:BK152)/AVERAGE(終値!AR152:BK152),""))</f>
        <v>8.3089361154923741E-2</v>
      </c>
      <c r="AP152" s="503">
        <f>IF(終値!A152="","",IFERROR(4*STDEVP(終値!AS152:BL152)/AVERAGE(終値!AS152:BL152),""))</f>
        <v>7.7356952477879271E-2</v>
      </c>
    </row>
    <row r="153" spans="1:42">
      <c r="A153" s="500" t="str">
        <f>IF(終値!A153="","",終値!A153)</f>
        <v>4417</v>
      </c>
      <c r="B153" s="503">
        <f>IF(終値!A153="","",IFERROR(4*STDEVP(終値!E153:X153)/AVERAGE(終値!E153:X153),""))</f>
        <v>0.19010828604798785</v>
      </c>
      <c r="C153" s="503">
        <f>IF(終値!A153="","",IFERROR(4*STDEVP(終値!F153:Y153)/AVERAGE(終値!F153:Y153),""))</f>
        <v>0.18733715856160379</v>
      </c>
      <c r="D153" s="503">
        <f>IF(終値!A153="","",IFERROR(4*STDEVP(終値!G153:Z153)/AVERAGE(終値!G153:Z153),""))</f>
        <v>0.18833908999002741</v>
      </c>
      <c r="E153" s="503">
        <f>IF(終値!A153="","",IFERROR(4*STDEVP(終値!H153:AA153)/AVERAGE(終値!H153:AA153),""))</f>
        <v>0.18804572385090776</v>
      </c>
      <c r="F153" s="503">
        <f>IF(終値!A153="","",IFERROR(4*STDEVP(終値!I153:AB153)/AVERAGE(終値!I153:AB153),""))</f>
        <v>0.19372495889390864</v>
      </c>
      <c r="G153" s="503">
        <f>IF(終値!A153="","",IFERROR(4*STDEVP(終値!J153:AC153)/AVERAGE(終値!J153:AC153),""))</f>
        <v>0.20089914287846145</v>
      </c>
      <c r="H153" s="503">
        <f>IF(終値!A153="","",IFERROR(4*STDEVP(終値!K153:AD153)/AVERAGE(終値!K153:AD153),""))</f>
        <v>0.21071780323636183</v>
      </c>
      <c r="I153" s="503">
        <f>IF(終値!A153="","",IFERROR(4*STDEVP(終値!L153:AE153)/AVERAGE(終値!L153:AE153),""))</f>
        <v>0.2112584593065194</v>
      </c>
      <c r="J153" s="503">
        <f>IF(終値!A153="","",IFERROR(4*STDEVP(終値!M153:AF153)/AVERAGE(終値!M153:AF153),""))</f>
        <v>0.27027899472734435</v>
      </c>
      <c r="K153" s="503">
        <f>IF(終値!A153="","",IFERROR(4*STDEVP(終値!N153:AG153)/AVERAGE(終値!N153:AG153),""))</f>
        <v>0.31019955126047849</v>
      </c>
      <c r="L153" s="503">
        <f>IF(終値!A153="","",IFERROR(4*STDEVP(終値!O153:AH153)/AVERAGE(終値!O153:AH153),""))</f>
        <v>0.35925927486029546</v>
      </c>
      <c r="M153" s="503">
        <f>IF(終値!A153="","",IFERROR(4*STDEVP(終値!P153:AI153)/AVERAGE(終値!P153:AI153),""))</f>
        <v>0.40224453439076352</v>
      </c>
      <c r="N153" s="503">
        <f>IF(終値!A153="","",IFERROR(4*STDEVP(終値!Q153:AJ153)/AVERAGE(終値!Q153:AJ153),""))</f>
        <v>0.42136510359694723</v>
      </c>
      <c r="O153" s="503">
        <f>IF(終値!A153="","",IFERROR(4*STDEVP(終値!R153:AK153)/AVERAGE(終値!R153:AK153),""))</f>
        <v>0.42709769068545356</v>
      </c>
      <c r="P153" s="503">
        <f>IF(終値!A153="","",IFERROR(4*STDEVP(終値!S153:AL153)/AVERAGE(終値!S153:AL153),""))</f>
        <v>0.43111259979323974</v>
      </c>
      <c r="Q153" s="503">
        <f>IF(終値!A153="","",IFERROR(4*STDEVP(終値!T153:AM153)/AVERAGE(終値!T153:AM153),""))</f>
        <v>0.4271779227395367</v>
      </c>
      <c r="R153" s="503">
        <f>IF(終値!A153="","",IFERROR(4*STDEVP(終値!U153:AN153)/AVERAGE(終値!U153:AN153),""))</f>
        <v>0.43996990586813439</v>
      </c>
      <c r="S153" s="503">
        <f>IF(終値!A153="","",IFERROR(4*STDEVP(終値!V153:AO153)/AVERAGE(終値!V153:AO153),""))</f>
        <v>0.45627080012217874</v>
      </c>
      <c r="T153" s="503">
        <f>IF(終値!A153="","",IFERROR(4*STDEVP(終値!W153:AP153)/AVERAGE(終値!W153:AP153),""))</f>
        <v>0.4773653568325994</v>
      </c>
      <c r="U153" s="503">
        <f>IF(終値!A153="","",IFERROR(4*STDEVP(終値!X153:AQ153)/AVERAGE(終値!X153:AQ153),""))</f>
        <v>0.490133687871181</v>
      </c>
      <c r="V153" s="503">
        <f>IF(終値!A153="","",IFERROR(4*STDEVP(終値!Y153:AR153)/AVERAGE(終値!Y153:AR153),""))</f>
        <v>0.49325291652489406</v>
      </c>
      <c r="W153" s="503">
        <f>IF(終値!A153="","",IFERROR(4*STDEVP(終値!Z153:AS153)/AVERAGE(終値!Z153:AS153),""))</f>
        <v>0.48542828538250715</v>
      </c>
      <c r="X153" s="503">
        <f>IF(終値!A153="","",IFERROR(4*STDEVP(終値!AA153:AT153)/AVERAGE(終値!AA153:AT153),""))</f>
        <v>0.42581384139229383</v>
      </c>
      <c r="Y153" s="503">
        <f>IF(終値!A153="","",IFERROR(4*STDEVP(終値!AB153:AU153)/AVERAGE(終値!AB153:AU153),""))</f>
        <v>0.36844789873801392</v>
      </c>
      <c r="Z153" s="503">
        <f>IF(終値!A153="","",IFERROR(4*STDEVP(終値!AC153:AV153)/AVERAGE(終値!AC153:AV153),""))</f>
        <v>0.31333327662692861</v>
      </c>
      <c r="AA153" s="503">
        <f>IF(終値!A153="","",IFERROR(4*STDEVP(終値!AD153:AW153)/AVERAGE(終値!AD153:AW153),""))</f>
        <v>0.27666572785398674</v>
      </c>
      <c r="AB153" s="503">
        <f>IF(終値!A153="","",IFERROR(4*STDEVP(終値!AE153:AX153)/AVERAGE(終値!AE153:AX153),""))</f>
        <v>0.22577058040568443</v>
      </c>
      <c r="AC153" s="503">
        <f>IF(終値!A153="","",IFERROR(4*STDEVP(終値!AF153:AY153)/AVERAGE(終値!AF153:AY153),""))</f>
        <v>0.14725977664627657</v>
      </c>
      <c r="AD153" s="503">
        <f>IF(終値!A153="","",IFERROR(4*STDEVP(終値!AG153:AZ153)/AVERAGE(終値!AG153:AZ153),""))</f>
        <v>0.15322006732326093</v>
      </c>
      <c r="AE153" s="503">
        <f>IF(終値!A153="","",IFERROR(4*STDEVP(終値!AH153:BA153)/AVERAGE(終値!AH153:BA153),""))</f>
        <v>0.15348813571866826</v>
      </c>
      <c r="AF153" s="503">
        <f>IF(終値!A153="","",IFERROR(4*STDEVP(終値!AI153:BB153)/AVERAGE(終値!AI153:BB153),""))</f>
        <v>0.15442347004680229</v>
      </c>
      <c r="AG153" s="503">
        <f>IF(終値!A153="","",IFERROR(4*STDEVP(終値!AJ153:BC153)/AVERAGE(終値!AJ153:BC153),""))</f>
        <v>0.15595360871576452</v>
      </c>
      <c r="AH153" s="503">
        <f>IF(終値!A153="","",IFERROR(4*STDEVP(終値!AK153:BD153)/AVERAGE(終値!AK153:BD153),""))</f>
        <v>0.17858972168773674</v>
      </c>
      <c r="AI153" s="503">
        <f>IF(終値!A153="","",IFERROR(4*STDEVP(終値!AL153:BE153)/AVERAGE(終値!AL153:BE153),""))</f>
        <v>0.19183117320661583</v>
      </c>
      <c r="AJ153" s="503">
        <f>IF(終値!A153="","",IFERROR(4*STDEVP(終値!AM153:BF153)/AVERAGE(終値!AM153:BF153),""))</f>
        <v>0.21989456433310794</v>
      </c>
      <c r="AK153" s="503">
        <f>IF(終値!A153="","",IFERROR(4*STDEVP(終値!AN153:BG153)/AVERAGE(終値!AN153:BG153),""))</f>
        <v>0.23630536892097784</v>
      </c>
      <c r="AL153" s="503">
        <f>IF(終値!A153="","",IFERROR(4*STDEVP(終値!AO153:BH153)/AVERAGE(終値!AO153:BH153),""))</f>
        <v>0.25725877434299166</v>
      </c>
      <c r="AM153" s="503">
        <f>IF(終値!A153="","",IFERROR(4*STDEVP(終値!AP153:BI153)/AVERAGE(終値!AP153:BI153),""))</f>
        <v>0.26011858705278218</v>
      </c>
      <c r="AN153" s="503">
        <f>IF(終値!A153="","",IFERROR(4*STDEVP(終値!AQ153:BJ153)/AVERAGE(終値!AQ153:BJ153),""))</f>
        <v>0.25925664519178104</v>
      </c>
      <c r="AO153" s="503">
        <f>IF(終値!A153="","",IFERROR(4*STDEVP(終値!AR153:BK153)/AVERAGE(終値!AR153:BK153),""))</f>
        <v>0.26424820417861011</v>
      </c>
      <c r="AP153" s="503">
        <f>IF(終値!A153="","",IFERROR(4*STDEVP(終値!AS153:BL153)/AVERAGE(終値!AS153:BL153),""))</f>
        <v>0.26945684244705076</v>
      </c>
    </row>
    <row r="154" spans="1:42">
      <c r="A154" s="500" t="str">
        <f>IF(終値!A154="","",終値!A154)</f>
        <v>6981</v>
      </c>
      <c r="B154" s="503">
        <f>IF(終値!A154="","",IFERROR(4*STDEVP(終値!E154:X154)/AVERAGE(終値!E154:X154),""))</f>
        <v>0.48751316120881655</v>
      </c>
      <c r="C154" s="503">
        <f>IF(終値!A154="","",IFERROR(4*STDEVP(終値!F154:Y154)/AVERAGE(終値!F154:Y154),""))</f>
        <v>0.49134493292147863</v>
      </c>
      <c r="D154" s="503">
        <f>IF(終値!A154="","",IFERROR(4*STDEVP(終値!G154:Z154)/AVERAGE(終値!G154:Z154),""))</f>
        <v>0.53017850992238813</v>
      </c>
      <c r="E154" s="503">
        <f>IF(終値!A154="","",IFERROR(4*STDEVP(終値!H154:AA154)/AVERAGE(終値!H154:AA154),""))</f>
        <v>0.576628063956377</v>
      </c>
      <c r="F154" s="503">
        <f>IF(終値!A154="","",IFERROR(4*STDEVP(終値!I154:AB154)/AVERAGE(終値!I154:AB154),""))</f>
        <v>0.59521426551122436</v>
      </c>
      <c r="G154" s="503">
        <f>IF(終値!A154="","",IFERROR(4*STDEVP(終値!J154:AC154)/AVERAGE(終値!J154:AC154),""))</f>
        <v>0.64559235710958818</v>
      </c>
      <c r="H154" s="503">
        <f>IF(終値!A154="","",IFERROR(4*STDEVP(終値!K154:AD154)/AVERAGE(終値!K154:AD154),""))</f>
        <v>0.62027600543686889</v>
      </c>
      <c r="I154" s="503">
        <f>IF(終値!A154="","",IFERROR(4*STDEVP(終値!L154:AE154)/AVERAGE(終値!L154:AE154),""))</f>
        <v>0.55132221328371966</v>
      </c>
      <c r="J154" s="503">
        <f>IF(終値!A154="","",IFERROR(4*STDEVP(終値!M154:AF154)/AVERAGE(終値!M154:AF154),""))</f>
        <v>0.51153762068670161</v>
      </c>
      <c r="K154" s="503">
        <f>IF(終値!A154="","",IFERROR(4*STDEVP(終値!N154:AG154)/AVERAGE(終値!N154:AG154),""))</f>
        <v>0.52225716699892943</v>
      </c>
      <c r="L154" s="503">
        <f>IF(終値!A154="","",IFERROR(4*STDEVP(終値!O154:AH154)/AVERAGE(終値!O154:AH154),""))</f>
        <v>0.50978564353468414</v>
      </c>
      <c r="M154" s="503">
        <f>IF(終値!A154="","",IFERROR(4*STDEVP(終値!P154:AI154)/AVERAGE(終値!P154:AI154),""))</f>
        <v>0.49757786207358584</v>
      </c>
      <c r="N154" s="503">
        <f>IF(終値!A154="","",IFERROR(4*STDEVP(終値!Q154:AJ154)/AVERAGE(終値!Q154:AJ154),""))</f>
        <v>0.50041881720602599</v>
      </c>
      <c r="O154" s="503">
        <f>IF(終値!A154="","",IFERROR(4*STDEVP(終値!R154:AK154)/AVERAGE(終値!R154:AK154),""))</f>
        <v>0.46825695294725422</v>
      </c>
      <c r="P154" s="503">
        <f>IF(終値!A154="","",IFERROR(4*STDEVP(終値!S154:AL154)/AVERAGE(終値!S154:AL154),""))</f>
        <v>0.40600369464564695</v>
      </c>
      <c r="Q154" s="503">
        <f>IF(終値!A154="","",IFERROR(4*STDEVP(終値!T154:AM154)/AVERAGE(終値!T154:AM154),""))</f>
        <v>0.38258327926142366</v>
      </c>
      <c r="R154" s="503">
        <f>IF(終値!A154="","",IFERROR(4*STDEVP(終値!U154:AN154)/AVERAGE(終値!U154:AN154),""))</f>
        <v>0.35625813361184439</v>
      </c>
      <c r="S154" s="503">
        <f>IF(終値!A154="","",IFERROR(4*STDEVP(終値!V154:AO154)/AVERAGE(終値!V154:AO154),""))</f>
        <v>0.33078520137285838</v>
      </c>
      <c r="T154" s="503">
        <f>IF(終値!A154="","",IFERROR(4*STDEVP(終値!W154:AP154)/AVERAGE(終値!W154:AP154),""))</f>
        <v>0.3724943374941227</v>
      </c>
      <c r="U154" s="503">
        <f>IF(終値!A154="","",IFERROR(4*STDEVP(終値!X154:AQ154)/AVERAGE(終値!X154:AQ154),""))</f>
        <v>0.38724217445835168</v>
      </c>
      <c r="V154" s="503">
        <f>IF(終値!A154="","",IFERROR(4*STDEVP(終値!Y154:AR154)/AVERAGE(終値!Y154:AR154),""))</f>
        <v>0.40031010536817546</v>
      </c>
      <c r="W154" s="503">
        <f>IF(終値!A154="","",IFERROR(4*STDEVP(終値!Z154:AS154)/AVERAGE(終値!Z154:AS154),""))</f>
        <v>0.41594642138955196</v>
      </c>
      <c r="X154" s="503">
        <f>IF(終値!A154="","",IFERROR(4*STDEVP(終値!AA154:AT154)/AVERAGE(終値!AA154:AT154),""))</f>
        <v>0.42322607117597799</v>
      </c>
      <c r="Y154" s="503">
        <f>IF(終値!A154="","",IFERROR(4*STDEVP(終値!AB154:AU154)/AVERAGE(終値!AB154:AU154),""))</f>
        <v>0.4275215872720079</v>
      </c>
      <c r="Z154" s="503">
        <f>IF(終値!A154="","",IFERROR(4*STDEVP(終値!AC154:AV154)/AVERAGE(終値!AC154:AV154),""))</f>
        <v>0.4276924067962351</v>
      </c>
      <c r="AA154" s="503">
        <f>IF(終値!A154="","",IFERROR(4*STDEVP(終値!AD154:AW154)/AVERAGE(終値!AD154:AW154),""))</f>
        <v>0.41489971771709966</v>
      </c>
      <c r="AB154" s="503">
        <f>IF(終値!A154="","",IFERROR(4*STDEVP(終値!AE154:AX154)/AVERAGE(終値!AE154:AX154),""))</f>
        <v>0.41530148603844219</v>
      </c>
      <c r="AC154" s="503">
        <f>IF(終値!A154="","",IFERROR(4*STDEVP(終値!AF154:AY154)/AVERAGE(終値!AF154:AY154),""))</f>
        <v>0.44577719931624082</v>
      </c>
      <c r="AD154" s="503">
        <f>IF(終値!A154="","",IFERROR(4*STDEVP(終値!AG154:AZ154)/AVERAGE(終値!AG154:AZ154),""))</f>
        <v>0.4955341888879416</v>
      </c>
      <c r="AE154" s="503">
        <f>IF(終値!A154="","",IFERROR(4*STDEVP(終値!AH154:BA154)/AVERAGE(終値!AH154:BA154),""))</f>
        <v>0.51367074659242296</v>
      </c>
      <c r="AF154" s="503">
        <f>IF(終値!A154="","",IFERROR(4*STDEVP(終値!AI154:BB154)/AVERAGE(終値!AI154:BB154),""))</f>
        <v>0.56850909064426303</v>
      </c>
      <c r="AG154" s="503">
        <f>IF(終値!A154="","",IFERROR(4*STDEVP(終値!AJ154:BC154)/AVERAGE(終値!AJ154:BC154),""))</f>
        <v>0.62803771620229976</v>
      </c>
      <c r="AH154" s="503">
        <f>IF(終値!A154="","",IFERROR(4*STDEVP(終値!AK154:BD154)/AVERAGE(終値!AK154:BD154),""))</f>
        <v>0.66161608650719217</v>
      </c>
      <c r="AI154" s="503">
        <f>IF(終値!A154="","",IFERROR(4*STDEVP(終値!AL154:BE154)/AVERAGE(終値!AL154:BE154),""))</f>
        <v>0.69013957545183113</v>
      </c>
      <c r="AJ154" s="503">
        <f>IF(終値!A154="","",IFERROR(4*STDEVP(終値!AM154:BF154)/AVERAGE(終値!AM154:BF154),""))</f>
        <v>0.69756765847888136</v>
      </c>
      <c r="AK154" s="503">
        <f>IF(終値!A154="","",IFERROR(4*STDEVP(終値!AN154:BG154)/AVERAGE(終値!AN154:BG154),""))</f>
        <v>0.71843830121452767</v>
      </c>
      <c r="AL154" s="503">
        <f>IF(終値!A154="","",IFERROR(4*STDEVP(終値!AO154:BH154)/AVERAGE(終値!AO154:BH154),""))</f>
        <v>0.7278494280253861</v>
      </c>
      <c r="AM154" s="503">
        <f>IF(終値!A154="","",IFERROR(4*STDEVP(終値!AP154:BI154)/AVERAGE(終値!AP154:BI154),""))</f>
        <v>0.74754466272470799</v>
      </c>
      <c r="AN154" s="503">
        <f>IF(終値!A154="","",IFERROR(4*STDEVP(終値!AQ154:BJ154)/AVERAGE(終値!AQ154:BJ154),""))</f>
        <v>0.78499956222410183</v>
      </c>
      <c r="AO154" s="503">
        <f>IF(終値!A154="","",IFERROR(4*STDEVP(終値!AR154:BK154)/AVERAGE(終値!AR154:BK154),""))</f>
        <v>0.81708226012826657</v>
      </c>
      <c r="AP154" s="503">
        <f>IF(終値!A154="","",IFERROR(4*STDEVP(終値!AS154:BL154)/AVERAGE(終値!AS154:BL154),""))</f>
        <v>0.85092090406649845</v>
      </c>
    </row>
    <row r="155" spans="1:42">
      <c r="A155" s="500" t="str">
        <f>IF(終値!A155="","",終値!A155)</f>
        <v>6754</v>
      </c>
      <c r="B155" s="503">
        <f>IF(終値!A155="","",IFERROR(4*STDEVP(終値!E155:X155)/AVERAGE(終値!E155:X155),""))</f>
        <v>0.25206620850403799</v>
      </c>
      <c r="C155" s="503">
        <f>IF(終値!A155="","",IFERROR(4*STDEVP(終値!F155:Y155)/AVERAGE(終値!F155:Y155),""))</f>
        <v>0.24522344052493703</v>
      </c>
      <c r="D155" s="503">
        <f>IF(終値!A155="","",IFERROR(4*STDEVP(終値!G155:Z155)/AVERAGE(終値!G155:Z155),""))</f>
        <v>0.25911917963850795</v>
      </c>
      <c r="E155" s="503">
        <f>IF(終値!A155="","",IFERROR(4*STDEVP(終値!H155:AA155)/AVERAGE(終値!H155:AA155),""))</f>
        <v>0.28608573567073275</v>
      </c>
      <c r="F155" s="503">
        <f>IF(終値!A155="","",IFERROR(4*STDEVP(終値!I155:AB155)/AVERAGE(終値!I155:AB155),""))</f>
        <v>0.28666002626915588</v>
      </c>
      <c r="G155" s="503">
        <f>IF(終値!A155="","",IFERROR(4*STDEVP(終値!J155:AC155)/AVERAGE(終値!J155:AC155),""))</f>
        <v>0.30920755389281523</v>
      </c>
      <c r="H155" s="503">
        <f>IF(終値!A155="","",IFERROR(4*STDEVP(終値!K155:AD155)/AVERAGE(終値!K155:AD155),""))</f>
        <v>0.29611739449337537</v>
      </c>
      <c r="I155" s="503">
        <f>IF(終値!A155="","",IFERROR(4*STDEVP(終値!L155:AE155)/AVERAGE(終値!L155:AE155),""))</f>
        <v>0.2613088822222317</v>
      </c>
      <c r="J155" s="503">
        <f>IF(終値!A155="","",IFERROR(4*STDEVP(終値!M155:AF155)/AVERAGE(終値!M155:AF155),""))</f>
        <v>0.24202993900376737</v>
      </c>
      <c r="K155" s="503">
        <f>IF(終値!A155="","",IFERROR(4*STDEVP(終値!N155:AG155)/AVERAGE(終値!N155:AG155),""))</f>
        <v>0.24835001833484086</v>
      </c>
      <c r="L155" s="503">
        <f>IF(終値!A155="","",IFERROR(4*STDEVP(終値!O155:AH155)/AVERAGE(終値!O155:AH155),""))</f>
        <v>0.24771548669732504</v>
      </c>
      <c r="M155" s="503">
        <f>IF(終値!A155="","",IFERROR(4*STDEVP(終値!P155:AI155)/AVERAGE(終値!P155:AI155),""))</f>
        <v>0.24853659839052278</v>
      </c>
      <c r="N155" s="503">
        <f>IF(終値!A155="","",IFERROR(4*STDEVP(終値!Q155:AJ155)/AVERAGE(終値!Q155:AJ155),""))</f>
        <v>0.23994619622217248</v>
      </c>
      <c r="O155" s="503">
        <f>IF(終値!A155="","",IFERROR(4*STDEVP(終値!R155:AK155)/AVERAGE(終値!R155:AK155),""))</f>
        <v>0.22146339772534834</v>
      </c>
      <c r="P155" s="503">
        <f>IF(終値!A155="","",IFERROR(4*STDEVP(終値!S155:AL155)/AVERAGE(終値!S155:AL155),""))</f>
        <v>0.18585164461265649</v>
      </c>
      <c r="Q155" s="503">
        <f>IF(終値!A155="","",IFERROR(4*STDEVP(終値!T155:AM155)/AVERAGE(終値!T155:AM155),""))</f>
        <v>0.18451397109397175</v>
      </c>
      <c r="R155" s="503">
        <f>IF(終値!A155="","",IFERROR(4*STDEVP(終値!U155:AN155)/AVERAGE(終値!U155:AN155),""))</f>
        <v>0.18100245865118064</v>
      </c>
      <c r="S155" s="503">
        <f>IF(終値!A155="","",IFERROR(4*STDEVP(終値!V155:AO155)/AVERAGE(終値!V155:AO155),""))</f>
        <v>0.18939018228637319</v>
      </c>
      <c r="T155" s="503">
        <f>IF(終値!A155="","",IFERROR(4*STDEVP(終値!W155:AP155)/AVERAGE(終値!W155:AP155),""))</f>
        <v>0.20737802836928843</v>
      </c>
      <c r="U155" s="503">
        <f>IF(終値!A155="","",IFERROR(4*STDEVP(終値!X155:AQ155)/AVERAGE(終値!X155:AQ155),""))</f>
        <v>0.21998685745181129</v>
      </c>
      <c r="V155" s="503">
        <f>IF(終値!A155="","",IFERROR(4*STDEVP(終値!Y155:AR155)/AVERAGE(終値!Y155:AR155),""))</f>
        <v>0.23186756768408562</v>
      </c>
      <c r="W155" s="503">
        <f>IF(終値!A155="","",IFERROR(4*STDEVP(終値!Z155:AS155)/AVERAGE(終値!Z155:AS155),""))</f>
        <v>0.22760170397498641</v>
      </c>
      <c r="X155" s="503">
        <f>IF(終値!A155="","",IFERROR(4*STDEVP(終値!AA155:AT155)/AVERAGE(終値!AA155:AT155),""))</f>
        <v>0.24257371823021592</v>
      </c>
      <c r="Y155" s="503">
        <f>IF(終値!A155="","",IFERROR(4*STDEVP(終値!AB155:AU155)/AVERAGE(終値!AB155:AU155),""))</f>
        <v>0.24879172078335648</v>
      </c>
      <c r="Z155" s="503">
        <f>IF(終値!A155="","",IFERROR(4*STDEVP(終値!AC155:AV155)/AVERAGE(終値!AC155:AV155),""))</f>
        <v>0.26580302078800522</v>
      </c>
      <c r="AA155" s="503">
        <f>IF(終値!A155="","",IFERROR(4*STDEVP(終値!AD155:AW155)/AVERAGE(終値!AD155:AW155),""))</f>
        <v>0.26043017832716409</v>
      </c>
      <c r="AB155" s="503">
        <f>IF(終値!A155="","",IFERROR(4*STDEVP(終値!AE155:AX155)/AVERAGE(終値!AE155:AX155),""))</f>
        <v>0.26413527287627114</v>
      </c>
      <c r="AC155" s="503">
        <f>IF(終値!A155="","",IFERROR(4*STDEVP(終値!AF155:AY155)/AVERAGE(終値!AF155:AY155),""))</f>
        <v>0.26900291219670519</v>
      </c>
      <c r="AD155" s="503">
        <f>IF(終値!A155="","",IFERROR(4*STDEVP(終値!AG155:AZ155)/AVERAGE(終値!AG155:AZ155),""))</f>
        <v>0.27464474440959546</v>
      </c>
      <c r="AE155" s="503">
        <f>IF(終値!A155="","",IFERROR(4*STDEVP(終値!AH155:BA155)/AVERAGE(終値!AH155:BA155),""))</f>
        <v>0.28230592881200445</v>
      </c>
      <c r="AF155" s="503">
        <f>IF(終値!A155="","",IFERROR(4*STDEVP(終値!AI155:BB155)/AVERAGE(終値!AI155:BB155),""))</f>
        <v>0.28585283884499896</v>
      </c>
      <c r="AG155" s="503">
        <f>IF(終値!A155="","",IFERROR(4*STDEVP(終値!AJ155:BC155)/AVERAGE(終値!AJ155:BC155),""))</f>
        <v>0.28566480950308976</v>
      </c>
      <c r="AH155" s="503">
        <f>IF(終値!A155="","",IFERROR(4*STDEVP(終値!AK155:BD155)/AVERAGE(終値!AK155:BD155),""))</f>
        <v>0.28550796309451082</v>
      </c>
      <c r="AI155" s="503">
        <f>IF(終値!A155="","",IFERROR(4*STDEVP(終値!AL155:BE155)/AVERAGE(終値!AL155:BE155),""))</f>
        <v>0.28907601772494701</v>
      </c>
      <c r="AJ155" s="503">
        <f>IF(終値!A155="","",IFERROR(4*STDEVP(終値!AM155:BF155)/AVERAGE(終値!AM155:BF155),""))</f>
        <v>0.28221686253535594</v>
      </c>
      <c r="AK155" s="503">
        <f>IF(終値!A155="","",IFERROR(4*STDEVP(終値!AN155:BG155)/AVERAGE(終値!AN155:BG155),""))</f>
        <v>0.27882855835849907</v>
      </c>
      <c r="AL155" s="503">
        <f>IF(終値!A155="","",IFERROR(4*STDEVP(終値!AO155:BH155)/AVERAGE(終値!AO155:BH155),""))</f>
        <v>0.27696002517219193</v>
      </c>
      <c r="AM155" s="503">
        <f>IF(終値!A155="","",IFERROR(4*STDEVP(終値!AP155:BI155)/AVERAGE(終値!AP155:BI155),""))</f>
        <v>0.26422558656296158</v>
      </c>
      <c r="AN155" s="503">
        <f>IF(終値!A155="","",IFERROR(4*STDEVP(終値!AQ155:BJ155)/AVERAGE(終値!AQ155:BJ155),""))</f>
        <v>0.25467023320538307</v>
      </c>
      <c r="AO155" s="503">
        <f>IF(終値!A155="","",IFERROR(4*STDEVP(終値!AR155:BK155)/AVERAGE(終値!AR155:BK155),""))</f>
        <v>0.23735815468202087</v>
      </c>
      <c r="AP155" s="503">
        <f>IF(終値!A155="","",IFERROR(4*STDEVP(終値!AS155:BL155)/AVERAGE(終値!AS155:BL155),""))</f>
        <v>0.20933053977657212</v>
      </c>
    </row>
    <row r="156" spans="1:42">
      <c r="A156" s="500" t="str">
        <f>IF(終値!A156="","",終値!A156)</f>
        <v>4088</v>
      </c>
      <c r="B156" s="503">
        <f>IF(終値!A156="","",IFERROR(4*STDEVP(終値!E156:X156)/AVERAGE(終値!E156:X156),""))</f>
        <v>6.5265465225912561E-2</v>
      </c>
      <c r="C156" s="503">
        <f>IF(終値!A156="","",IFERROR(4*STDEVP(終値!F156:Y156)/AVERAGE(終値!F156:Y156),""))</f>
        <v>7.9754901547113746E-2</v>
      </c>
      <c r="D156" s="503">
        <f>IF(終値!A156="","",IFERROR(4*STDEVP(終値!G156:Z156)/AVERAGE(終値!G156:Z156),""))</f>
        <v>0.10038776539562404</v>
      </c>
      <c r="E156" s="503">
        <f>IF(終値!A156="","",IFERROR(4*STDEVP(終値!H156:AA156)/AVERAGE(終値!H156:AA156),""))</f>
        <v>0.11615536807968356</v>
      </c>
      <c r="F156" s="503">
        <f>IF(終値!A156="","",IFERROR(4*STDEVP(終値!I156:AB156)/AVERAGE(終値!I156:AB156),""))</f>
        <v>0.12396671981147329</v>
      </c>
      <c r="G156" s="503">
        <f>IF(終値!A156="","",IFERROR(4*STDEVP(終値!J156:AC156)/AVERAGE(終値!J156:AC156),""))</f>
        <v>0.12713866478530533</v>
      </c>
      <c r="H156" s="503">
        <f>IF(終値!A156="","",IFERROR(4*STDEVP(終値!K156:AD156)/AVERAGE(終値!K156:AD156),""))</f>
        <v>0.13222775803485223</v>
      </c>
      <c r="I156" s="503">
        <f>IF(終値!A156="","",IFERROR(4*STDEVP(終値!L156:AE156)/AVERAGE(終値!L156:AE156),""))</f>
        <v>0.13971972528712176</v>
      </c>
      <c r="J156" s="503">
        <f>IF(終値!A156="","",IFERROR(4*STDEVP(終値!M156:AF156)/AVERAGE(終値!M156:AF156),""))</f>
        <v>0.14563910274111752</v>
      </c>
      <c r="K156" s="503">
        <f>IF(終値!A156="","",IFERROR(4*STDEVP(終値!N156:AG156)/AVERAGE(終値!N156:AG156),""))</f>
        <v>0.16012927360464105</v>
      </c>
      <c r="L156" s="503">
        <f>IF(終値!A156="","",IFERROR(4*STDEVP(終値!O156:AH156)/AVERAGE(終値!O156:AH156),""))</f>
        <v>0.15812585061740564</v>
      </c>
      <c r="M156" s="503">
        <f>IF(終値!A156="","",IFERROR(4*STDEVP(終値!P156:AI156)/AVERAGE(終値!P156:AI156),""))</f>
        <v>0.15353890389997624</v>
      </c>
      <c r="N156" s="503">
        <f>IF(終値!A156="","",IFERROR(4*STDEVP(終値!Q156:AJ156)/AVERAGE(終値!Q156:AJ156),""))</f>
        <v>0.16025930891644888</v>
      </c>
      <c r="O156" s="503">
        <f>IF(終値!A156="","",IFERROR(4*STDEVP(終値!R156:AK156)/AVERAGE(終値!R156:AK156),""))</f>
        <v>0.16924384169534196</v>
      </c>
      <c r="P156" s="503">
        <f>IF(終値!A156="","",IFERROR(4*STDEVP(終値!S156:AL156)/AVERAGE(終値!S156:AL156),""))</f>
        <v>0.17461372101195263</v>
      </c>
      <c r="Q156" s="503">
        <f>IF(終値!A156="","",IFERROR(4*STDEVP(終値!T156:AM156)/AVERAGE(終値!T156:AM156),""))</f>
        <v>0.18178910106054974</v>
      </c>
      <c r="R156" s="503">
        <f>IF(終値!A156="","",IFERROR(4*STDEVP(終値!U156:AN156)/AVERAGE(終値!U156:AN156),""))</f>
        <v>0.18550656029728654</v>
      </c>
      <c r="S156" s="503">
        <f>IF(終値!A156="","",IFERROR(4*STDEVP(終値!V156:AO156)/AVERAGE(終値!V156:AO156),""))</f>
        <v>0.18317944205840919</v>
      </c>
      <c r="T156" s="503">
        <f>IF(終値!A156="","",IFERROR(4*STDEVP(終値!W156:AP156)/AVERAGE(終値!W156:AP156),""))</f>
        <v>0.19437527792267334</v>
      </c>
      <c r="U156" s="503">
        <f>IF(終値!A156="","",IFERROR(4*STDEVP(終値!X156:AQ156)/AVERAGE(終値!X156:AQ156),""))</f>
        <v>0.20980275292699008</v>
      </c>
      <c r="V156" s="503">
        <f>IF(終値!A156="","",IFERROR(4*STDEVP(終値!Y156:AR156)/AVERAGE(終値!Y156:AR156),""))</f>
        <v>0.2208327005300427</v>
      </c>
      <c r="W156" s="503">
        <f>IF(終値!A156="","",IFERROR(4*STDEVP(終値!Z156:AS156)/AVERAGE(終値!Z156:AS156),""))</f>
        <v>0.22599158238634984</v>
      </c>
      <c r="X156" s="503">
        <f>IF(終値!A156="","",IFERROR(4*STDEVP(終値!AA156:AT156)/AVERAGE(終値!AA156:AT156),""))</f>
        <v>0.22661729467508501</v>
      </c>
      <c r="Y156" s="503">
        <f>IF(終値!A156="","",IFERROR(4*STDEVP(終値!AB156:AU156)/AVERAGE(終値!AB156:AU156),""))</f>
        <v>0.22233960939342498</v>
      </c>
      <c r="Z156" s="503">
        <f>IF(終値!A156="","",IFERROR(4*STDEVP(終値!AC156:AV156)/AVERAGE(終値!AC156:AV156),""))</f>
        <v>0.21739782169287916</v>
      </c>
      <c r="AA156" s="503">
        <f>IF(終値!A156="","",IFERROR(4*STDEVP(終値!AD156:AW156)/AVERAGE(終値!AD156:AW156),""))</f>
        <v>0.21187368781441759</v>
      </c>
      <c r="AB156" s="503">
        <f>IF(終値!A156="","",IFERROR(4*STDEVP(終値!AE156:AX156)/AVERAGE(終値!AE156:AX156),""))</f>
        <v>0.19995041012514506</v>
      </c>
      <c r="AC156" s="503">
        <f>IF(終値!A156="","",IFERROR(4*STDEVP(終値!AF156:AY156)/AVERAGE(終値!AF156:AY156),""))</f>
        <v>0.18389742424696323</v>
      </c>
      <c r="AD156" s="503">
        <f>IF(終値!A156="","",IFERROR(4*STDEVP(終値!AG156:AZ156)/AVERAGE(終値!AG156:AZ156),""))</f>
        <v>0.16688764024113134</v>
      </c>
      <c r="AE156" s="503">
        <f>IF(終値!A156="","",IFERROR(4*STDEVP(終値!AH156:BA156)/AVERAGE(終値!AH156:BA156),""))</f>
        <v>0.11942084809399661</v>
      </c>
      <c r="AF156" s="503">
        <f>IF(終値!A156="","",IFERROR(4*STDEVP(終値!AI156:BB156)/AVERAGE(終値!AI156:BB156),""))</f>
        <v>0.10392762972506682</v>
      </c>
      <c r="AG156" s="503">
        <f>IF(終値!A156="","",IFERROR(4*STDEVP(終値!AJ156:BC156)/AVERAGE(終値!AJ156:BC156),""))</f>
        <v>9.0250956465678572E-2</v>
      </c>
      <c r="AH156" s="503">
        <f>IF(終値!A156="","",IFERROR(4*STDEVP(終値!AK156:BD156)/AVERAGE(終値!AK156:BD156),""))</f>
        <v>9.0642793805850441E-2</v>
      </c>
      <c r="AI156" s="503">
        <f>IF(終値!A156="","",IFERROR(4*STDEVP(終値!AL156:BE156)/AVERAGE(終値!AL156:BE156),""))</f>
        <v>8.9932672255682966E-2</v>
      </c>
      <c r="AJ156" s="503">
        <f>IF(終値!A156="","",IFERROR(4*STDEVP(終値!AM156:BF156)/AVERAGE(終値!AM156:BF156),""))</f>
        <v>0.11502929423027758</v>
      </c>
      <c r="AK156" s="503">
        <f>IF(終値!A156="","",IFERROR(4*STDEVP(終値!AN156:BG156)/AVERAGE(終値!AN156:BG156),""))</f>
        <v>0.1380204246388087</v>
      </c>
      <c r="AL156" s="503">
        <f>IF(終値!A156="","",IFERROR(4*STDEVP(終値!AO156:BH156)/AVERAGE(終値!AO156:BH156),""))</f>
        <v>0.17586384043751793</v>
      </c>
      <c r="AM156" s="503">
        <f>IF(終値!A156="","",IFERROR(4*STDEVP(終値!AP156:BI156)/AVERAGE(終値!AP156:BI156),""))</f>
        <v>0.2180164882412147</v>
      </c>
      <c r="AN156" s="503">
        <f>IF(終値!A156="","",IFERROR(4*STDEVP(終値!AQ156:BJ156)/AVERAGE(終値!AQ156:BJ156),""))</f>
        <v>0.25908368550581135</v>
      </c>
      <c r="AO156" s="503">
        <f>IF(終値!A156="","",IFERROR(4*STDEVP(終値!AR156:BK156)/AVERAGE(終値!AR156:BK156),""))</f>
        <v>0.31108005507087244</v>
      </c>
      <c r="AP156" s="503">
        <f>IF(終値!A156="","",IFERROR(4*STDEVP(終値!AS156:BL156)/AVERAGE(終値!AS156:BL156),""))</f>
        <v>0.35754148910218153</v>
      </c>
    </row>
    <row r="157" spans="1:42">
      <c r="A157" s="500" t="str">
        <f>IF(終値!A157="","",終値!A157)</f>
        <v>4091</v>
      </c>
      <c r="B157" s="503">
        <f>IF(終値!A157="","",IFERROR(4*STDEVP(終値!E157:X157)/AVERAGE(終値!E157:X157),""))</f>
        <v>9.3958141612933366E-2</v>
      </c>
      <c r="C157" s="503">
        <f>IF(終値!A157="","",IFERROR(4*STDEVP(終値!F157:Y157)/AVERAGE(終値!F157:Y157),""))</f>
        <v>9.9733963448342164E-2</v>
      </c>
      <c r="D157" s="503">
        <f>IF(終値!A157="","",IFERROR(4*STDEVP(終値!G157:Z157)/AVERAGE(終値!G157:Z157),""))</f>
        <v>0.11101372388753539</v>
      </c>
      <c r="E157" s="503">
        <f>IF(終値!A157="","",IFERROR(4*STDEVP(終値!H157:AA157)/AVERAGE(終値!H157:AA157),""))</f>
        <v>0.11283365561117245</v>
      </c>
      <c r="F157" s="503">
        <f>IF(終値!A157="","",IFERROR(4*STDEVP(終値!I157:AB157)/AVERAGE(終値!I157:AB157),""))</f>
        <v>0.10322100003132799</v>
      </c>
      <c r="G157" s="503">
        <f>IF(終値!A157="","",IFERROR(4*STDEVP(終値!J157:AC157)/AVERAGE(終値!J157:AC157),""))</f>
        <v>9.5212441307316015E-2</v>
      </c>
      <c r="H157" s="503">
        <f>IF(終値!A157="","",IFERROR(4*STDEVP(終値!K157:AD157)/AVERAGE(終値!K157:AD157),""))</f>
        <v>8.942242424769295E-2</v>
      </c>
      <c r="I157" s="503">
        <f>IF(終値!A157="","",IFERROR(4*STDEVP(終値!L157:AE157)/AVERAGE(終値!L157:AE157),""))</f>
        <v>8.5278589670845603E-2</v>
      </c>
      <c r="J157" s="503">
        <f>IF(終値!A157="","",IFERROR(4*STDEVP(終値!M157:AF157)/AVERAGE(終値!M157:AF157),""))</f>
        <v>7.9583468572319183E-2</v>
      </c>
      <c r="K157" s="503">
        <f>IF(終値!A157="","",IFERROR(4*STDEVP(終値!N157:AG157)/AVERAGE(終値!N157:AG157),""))</f>
        <v>9.839488136742755E-2</v>
      </c>
      <c r="L157" s="503">
        <f>IF(終値!A157="","",IFERROR(4*STDEVP(終値!O157:AH157)/AVERAGE(終値!O157:AH157),""))</f>
        <v>0.12103375591205362</v>
      </c>
      <c r="M157" s="503">
        <f>IF(終値!A157="","",IFERROR(4*STDEVP(終値!P157:AI157)/AVERAGE(終値!P157:AI157),""))</f>
        <v>0.13244740229822452</v>
      </c>
      <c r="N157" s="503">
        <f>IF(終値!A157="","",IFERROR(4*STDEVP(終値!Q157:AJ157)/AVERAGE(終値!Q157:AJ157),""))</f>
        <v>0.15382930891456231</v>
      </c>
      <c r="O157" s="503">
        <f>IF(終値!A157="","",IFERROR(4*STDEVP(終値!R157:AK157)/AVERAGE(終値!R157:AK157),""))</f>
        <v>0.16678902821807778</v>
      </c>
      <c r="P157" s="503">
        <f>IF(終値!A157="","",IFERROR(4*STDEVP(終値!S157:AL157)/AVERAGE(終値!S157:AL157),""))</f>
        <v>0.17759374023168636</v>
      </c>
      <c r="Q157" s="503">
        <f>IF(終値!A157="","",IFERROR(4*STDEVP(終値!T157:AM157)/AVERAGE(終値!T157:AM157),""))</f>
        <v>0.18325514251279273</v>
      </c>
      <c r="R157" s="503">
        <f>IF(終値!A157="","",IFERROR(4*STDEVP(終値!U157:AN157)/AVERAGE(終値!U157:AN157),""))</f>
        <v>0.19128549664089195</v>
      </c>
      <c r="S157" s="503">
        <f>IF(終値!A157="","",IFERROR(4*STDEVP(終値!V157:AO157)/AVERAGE(終値!V157:AO157),""))</f>
        <v>0.19439530421003146</v>
      </c>
      <c r="T157" s="503">
        <f>IF(終値!A157="","",IFERROR(4*STDEVP(終値!W157:AP157)/AVERAGE(終値!W157:AP157),""))</f>
        <v>0.20511461304811512</v>
      </c>
      <c r="U157" s="503">
        <f>IF(終値!A157="","",IFERROR(4*STDEVP(終値!X157:AQ157)/AVERAGE(終値!X157:AQ157),""))</f>
        <v>0.21636136120032004</v>
      </c>
      <c r="V157" s="503">
        <f>IF(終値!A157="","",IFERROR(4*STDEVP(終値!Y157:AR157)/AVERAGE(終値!Y157:AR157),""))</f>
        <v>0.22393446378993875</v>
      </c>
      <c r="W157" s="503">
        <f>IF(終値!A157="","",IFERROR(4*STDEVP(終値!Z157:AS157)/AVERAGE(終値!Z157:AS157),""))</f>
        <v>0.21866044989679431</v>
      </c>
      <c r="X157" s="503">
        <f>IF(終値!A157="","",IFERROR(4*STDEVP(終値!AA157:AT157)/AVERAGE(終値!AA157:AT157),""))</f>
        <v>0.19866031245395047</v>
      </c>
      <c r="Y157" s="503">
        <f>IF(終値!A157="","",IFERROR(4*STDEVP(終値!AB157:AU157)/AVERAGE(終値!AB157:AU157),""))</f>
        <v>0.17510897086442945</v>
      </c>
      <c r="Z157" s="503">
        <f>IF(終値!A157="","",IFERROR(4*STDEVP(終値!AC157:AV157)/AVERAGE(終値!AC157:AV157),""))</f>
        <v>0.14642830872144361</v>
      </c>
      <c r="AA157" s="503">
        <f>IF(終値!A157="","",IFERROR(4*STDEVP(終値!AD157:AW157)/AVERAGE(終値!AD157:AW157),""))</f>
        <v>0.13260226860918317</v>
      </c>
      <c r="AB157" s="503">
        <f>IF(終値!A157="","",IFERROR(4*STDEVP(終値!AE157:AX157)/AVERAGE(終値!AE157:AX157),""))</f>
        <v>0.14868346694823259</v>
      </c>
      <c r="AC157" s="503">
        <f>IF(終値!A157="","",IFERROR(4*STDEVP(終値!AF157:AY157)/AVERAGE(終値!AF157:AY157),""))</f>
        <v>0.17267736990623581</v>
      </c>
      <c r="AD157" s="503">
        <f>IF(終値!A157="","",IFERROR(4*STDEVP(終値!AG157:AZ157)/AVERAGE(終値!AG157:AZ157),""))</f>
        <v>0.20192121270937829</v>
      </c>
      <c r="AE157" s="503">
        <f>IF(終値!A157="","",IFERROR(4*STDEVP(終値!AH157:BA157)/AVERAGE(終値!AH157:BA157),""))</f>
        <v>0.22332012349326782</v>
      </c>
      <c r="AF157" s="503">
        <f>IF(終値!A157="","",IFERROR(4*STDEVP(終値!AI157:BB157)/AVERAGE(終値!AI157:BB157),""))</f>
        <v>0.23383618389235283</v>
      </c>
      <c r="AG157" s="503">
        <f>IF(終値!A157="","",IFERROR(4*STDEVP(終値!AJ157:BC157)/AVERAGE(終値!AJ157:BC157),""))</f>
        <v>0.23405737346504385</v>
      </c>
      <c r="AH157" s="503">
        <f>IF(終値!A157="","",IFERROR(4*STDEVP(終値!AK157:BD157)/AVERAGE(終値!AK157:BD157),""))</f>
        <v>0.23063235699526735</v>
      </c>
      <c r="AI157" s="503">
        <f>IF(終値!A157="","",IFERROR(4*STDEVP(終値!AL157:BE157)/AVERAGE(終値!AL157:BE157),""))</f>
        <v>0.23049564924797325</v>
      </c>
      <c r="AJ157" s="503">
        <f>IF(終値!A157="","",IFERROR(4*STDEVP(終値!AM157:BF157)/AVERAGE(終値!AM157:BF157),""))</f>
        <v>0.22995699024422389</v>
      </c>
      <c r="AK157" s="503">
        <f>IF(終値!A157="","",IFERROR(4*STDEVP(終値!AN157:BG157)/AVERAGE(終値!AN157:BG157),""))</f>
        <v>0.23192904086999119</v>
      </c>
      <c r="AL157" s="503">
        <f>IF(終値!A157="","",IFERROR(4*STDEVP(終値!AO157:BH157)/AVERAGE(終値!AO157:BH157),""))</f>
        <v>0.23019693504913358</v>
      </c>
      <c r="AM157" s="503">
        <f>IF(終値!A157="","",IFERROR(4*STDEVP(終値!AP157:BI157)/AVERAGE(終値!AP157:BI157),""))</f>
        <v>0.22742760862995642</v>
      </c>
      <c r="AN157" s="503">
        <f>IF(終値!A157="","",IFERROR(4*STDEVP(終値!AQ157:BJ157)/AVERAGE(終値!AQ157:BJ157),""))</f>
        <v>0.21593548609838348</v>
      </c>
      <c r="AO157" s="503">
        <f>IF(終値!A157="","",IFERROR(4*STDEVP(終値!AR157:BK157)/AVERAGE(終値!AR157:BK157),""))</f>
        <v>0.19945040800894076</v>
      </c>
      <c r="AP157" s="503">
        <f>IF(終値!A157="","",IFERROR(4*STDEVP(終値!AS157:BL157)/AVERAGE(終値!AS157:BL157),""))</f>
        <v>0.17839698486678629</v>
      </c>
    </row>
    <row r="158" spans="1:42">
      <c r="A158" s="500" t="str">
        <f>IF(終値!A158="","",終値!A158)</f>
        <v>6857</v>
      </c>
      <c r="B158" s="503">
        <f>IF(終値!A158="","",IFERROR(4*STDEVP(終値!E158:X158)/AVERAGE(終値!E158:X158),""))</f>
        <v>0.29796881840924438</v>
      </c>
      <c r="C158" s="503">
        <f>IF(終値!A158="","",IFERROR(4*STDEVP(終値!F158:Y158)/AVERAGE(終値!F158:Y158),""))</f>
        <v>0.28164907150243318</v>
      </c>
      <c r="D158" s="503">
        <f>IF(終値!A158="","",IFERROR(4*STDEVP(終値!G158:Z158)/AVERAGE(終値!G158:Z158),""))</f>
        <v>0.24901920734668118</v>
      </c>
      <c r="E158" s="503">
        <f>IF(終値!A158="","",IFERROR(4*STDEVP(終値!H158:AA158)/AVERAGE(終値!H158:AA158),""))</f>
        <v>0.24314128338447971</v>
      </c>
      <c r="F158" s="503">
        <f>IF(終値!A158="","",IFERROR(4*STDEVP(終値!I158:AB158)/AVERAGE(終値!I158:AB158),""))</f>
        <v>0.23279624251480802</v>
      </c>
      <c r="G158" s="503">
        <f>IF(終値!A158="","",IFERROR(4*STDEVP(終値!J158:AC158)/AVERAGE(終値!J158:AC158),""))</f>
        <v>0.22613130858635666</v>
      </c>
      <c r="H158" s="503">
        <f>IF(終値!A158="","",IFERROR(4*STDEVP(終値!K158:AD158)/AVERAGE(終値!K158:AD158),""))</f>
        <v>0.24371842912096739</v>
      </c>
      <c r="I158" s="503">
        <f>IF(終値!A158="","",IFERROR(4*STDEVP(終値!L158:AE158)/AVERAGE(終値!L158:AE158),""))</f>
        <v>0.22071448789283699</v>
      </c>
      <c r="J158" s="503">
        <f>IF(終値!A158="","",IFERROR(4*STDEVP(終値!M158:AF158)/AVERAGE(終値!M158:AF158),""))</f>
        <v>0.19736371581335718</v>
      </c>
      <c r="K158" s="503">
        <f>IF(終値!A158="","",IFERROR(4*STDEVP(終値!N158:AG158)/AVERAGE(終値!N158:AG158),""))</f>
        <v>0.25649936310986815</v>
      </c>
      <c r="L158" s="503">
        <f>IF(終値!A158="","",IFERROR(4*STDEVP(終値!O158:AH158)/AVERAGE(終値!O158:AH158),""))</f>
        <v>0.25399202536082777</v>
      </c>
      <c r="M158" s="503">
        <f>IF(終値!A158="","",IFERROR(4*STDEVP(終値!P158:AI158)/AVERAGE(終値!P158:AI158),""))</f>
        <v>0.25537905898873647</v>
      </c>
      <c r="N158" s="503">
        <f>IF(終値!A158="","",IFERROR(4*STDEVP(終値!Q158:AJ158)/AVERAGE(終値!Q158:AJ158),""))</f>
        <v>0.25820801076932592</v>
      </c>
      <c r="O158" s="503">
        <f>IF(終値!A158="","",IFERROR(4*STDEVP(終値!R158:AK158)/AVERAGE(終値!R158:AK158),""))</f>
        <v>0.25830207833658719</v>
      </c>
      <c r="P158" s="503">
        <f>IF(終値!A158="","",IFERROR(4*STDEVP(終値!S158:AL158)/AVERAGE(終値!S158:AL158),""))</f>
        <v>0.24033913158236175</v>
      </c>
      <c r="Q158" s="503">
        <f>IF(終値!A158="","",IFERROR(4*STDEVP(終値!T158:AM158)/AVERAGE(終値!T158:AM158),""))</f>
        <v>0.2404742671268375</v>
      </c>
      <c r="R158" s="503">
        <f>IF(終値!A158="","",IFERROR(4*STDEVP(終値!U158:AN158)/AVERAGE(終値!U158:AN158),""))</f>
        <v>0.23900974844361178</v>
      </c>
      <c r="S158" s="503">
        <f>IF(終値!A158="","",IFERROR(4*STDEVP(終値!V158:AO158)/AVERAGE(終値!V158:AO158),""))</f>
        <v>0.23537103505945961</v>
      </c>
      <c r="T158" s="503">
        <f>IF(終値!A158="","",IFERROR(4*STDEVP(終値!W158:AP158)/AVERAGE(終値!W158:AP158),""))</f>
        <v>0.25449758258120631</v>
      </c>
      <c r="U158" s="503">
        <f>IF(終値!A158="","",IFERROR(4*STDEVP(終値!X158:AQ158)/AVERAGE(終値!X158:AQ158),""))</f>
        <v>0.29765623682232517</v>
      </c>
      <c r="V158" s="503">
        <f>IF(終値!A158="","",IFERROR(4*STDEVP(終値!Y158:AR158)/AVERAGE(終値!Y158:AR158),""))</f>
        <v>0.32434160212984292</v>
      </c>
      <c r="W158" s="503">
        <f>IF(終値!A158="","",IFERROR(4*STDEVP(終値!Z158:AS158)/AVERAGE(終値!Z158:AS158),""))</f>
        <v>0.35594779795725023</v>
      </c>
      <c r="X158" s="503">
        <f>IF(終値!A158="","",IFERROR(4*STDEVP(終値!AA158:AT158)/AVERAGE(終値!AA158:AT158),""))</f>
        <v>0.37039278660497277</v>
      </c>
      <c r="Y158" s="503">
        <f>IF(終値!A158="","",IFERROR(4*STDEVP(終値!AB158:AU158)/AVERAGE(終値!AB158:AU158),""))</f>
        <v>0.37442723171614761</v>
      </c>
      <c r="Z158" s="503">
        <f>IF(終値!A158="","",IFERROR(4*STDEVP(終値!AC158:AV158)/AVERAGE(終値!AC158:AV158),""))</f>
        <v>0.37964421801799719</v>
      </c>
      <c r="AA158" s="503">
        <f>IF(終値!A158="","",IFERROR(4*STDEVP(終値!AD158:AW158)/AVERAGE(終値!AD158:AW158),""))</f>
        <v>0.39056016649306902</v>
      </c>
      <c r="AB158" s="503">
        <f>IF(終値!A158="","",IFERROR(4*STDEVP(終値!AE158:AX158)/AVERAGE(終値!AE158:AX158),""))</f>
        <v>0.39685866450196616</v>
      </c>
      <c r="AC158" s="503">
        <f>IF(終値!A158="","",IFERROR(4*STDEVP(終値!AF158:AY158)/AVERAGE(終値!AF158:AY158),""))</f>
        <v>0.40023388047946468</v>
      </c>
      <c r="AD158" s="503">
        <f>IF(終値!A158="","",IFERROR(4*STDEVP(終値!AG158:AZ158)/AVERAGE(終値!AG158:AZ158),""))</f>
        <v>0.3916488972199525</v>
      </c>
      <c r="AE158" s="503">
        <f>IF(終値!A158="","",IFERROR(4*STDEVP(終値!AH158:BA158)/AVERAGE(終値!AH158:BA158),""))</f>
        <v>0.32200888522075766</v>
      </c>
      <c r="AF158" s="503">
        <f>IF(終値!A158="","",IFERROR(4*STDEVP(終値!AI158:BB158)/AVERAGE(終値!AI158:BB158),""))</f>
        <v>0.31293806352222281</v>
      </c>
      <c r="AG158" s="503">
        <f>IF(終値!A158="","",IFERROR(4*STDEVP(終値!AJ158:BC158)/AVERAGE(終値!AJ158:BC158),""))</f>
        <v>0.29783347444736374</v>
      </c>
      <c r="AH158" s="503">
        <f>IF(終値!A158="","",IFERROR(4*STDEVP(終値!AK158:BD158)/AVERAGE(終値!AK158:BD158),""))</f>
        <v>0.27204565623977173</v>
      </c>
      <c r="AI158" s="503">
        <f>IF(終値!A158="","",IFERROR(4*STDEVP(終値!AL158:BE158)/AVERAGE(終値!AL158:BE158),""))</f>
        <v>0.24414959434764572</v>
      </c>
      <c r="AJ158" s="503">
        <f>IF(終値!A158="","",IFERROR(4*STDEVP(終値!AM158:BF158)/AVERAGE(終値!AM158:BF158),""))</f>
        <v>0.22404344990993044</v>
      </c>
      <c r="AK158" s="503">
        <f>IF(終値!A158="","",IFERROR(4*STDEVP(終値!AN158:BG158)/AVERAGE(終値!AN158:BG158),""))</f>
        <v>0.20014083087014264</v>
      </c>
      <c r="AL158" s="503">
        <f>IF(終値!A158="","",IFERROR(4*STDEVP(終値!AO158:BH158)/AVERAGE(終値!AO158:BH158),""))</f>
        <v>0.17264403912228274</v>
      </c>
      <c r="AM158" s="503">
        <f>IF(終値!A158="","",IFERROR(4*STDEVP(終値!AP158:BI158)/AVERAGE(終値!AP158:BI158),""))</f>
        <v>0.15627128680997648</v>
      </c>
      <c r="AN158" s="503">
        <f>IF(終値!A158="","",IFERROR(4*STDEVP(終値!AQ158:BJ158)/AVERAGE(終値!AQ158:BJ158),""))</f>
        <v>0.16845131826158788</v>
      </c>
      <c r="AO158" s="503">
        <f>IF(終値!A158="","",IFERROR(4*STDEVP(終値!AR158:BK158)/AVERAGE(終値!AR158:BK158),""))</f>
        <v>0.17105126212731656</v>
      </c>
      <c r="AP158" s="503">
        <f>IF(終値!A158="","",IFERROR(4*STDEVP(終値!AS158:BL158)/AVERAGE(終値!AS158:BL158),""))</f>
        <v>0.18481765596156874</v>
      </c>
    </row>
    <row r="159" spans="1:42">
      <c r="A159" s="500" t="str">
        <f>IF(終値!A159="","",終値!A159)</f>
        <v>3891</v>
      </c>
      <c r="B159" s="503">
        <f>IF(終値!A159="","",IFERROR(4*STDEVP(終値!E159:X159)/AVERAGE(終値!E159:X159),""))</f>
        <v>0.38789290655092645</v>
      </c>
      <c r="C159" s="503">
        <f>IF(終値!A159="","",IFERROR(4*STDEVP(終値!F159:Y159)/AVERAGE(終値!F159:Y159),""))</f>
        <v>0.40558051238643189</v>
      </c>
      <c r="D159" s="503">
        <f>IF(終値!A159="","",IFERROR(4*STDEVP(終値!G159:Z159)/AVERAGE(終値!G159:Z159),""))</f>
        <v>0.44033339453542913</v>
      </c>
      <c r="E159" s="503">
        <f>IF(終値!A159="","",IFERROR(4*STDEVP(終値!H159:AA159)/AVERAGE(終値!H159:AA159),""))</f>
        <v>0.49625048281029399</v>
      </c>
      <c r="F159" s="503">
        <f>IF(終値!A159="","",IFERROR(4*STDEVP(終値!I159:AB159)/AVERAGE(終値!I159:AB159),""))</f>
        <v>0.53975978194742469</v>
      </c>
      <c r="G159" s="503">
        <f>IF(終値!A159="","",IFERROR(4*STDEVP(終値!J159:AC159)/AVERAGE(終値!J159:AC159),""))</f>
        <v>0.61106234564697637</v>
      </c>
      <c r="H159" s="503">
        <f>IF(終値!A159="","",IFERROR(4*STDEVP(終値!K159:AD159)/AVERAGE(終値!K159:AD159),""))</f>
        <v>0.59465835311451343</v>
      </c>
      <c r="I159" s="503">
        <f>IF(終値!A159="","",IFERROR(4*STDEVP(終値!L159:AE159)/AVERAGE(終値!L159:AE159),""))</f>
        <v>0.55488403725954272</v>
      </c>
      <c r="J159" s="503">
        <f>IF(終値!A159="","",IFERROR(4*STDEVP(終値!M159:AF159)/AVERAGE(終値!M159:AF159),""))</f>
        <v>0.53584974074463187</v>
      </c>
      <c r="K159" s="503">
        <f>IF(終値!A159="","",IFERROR(4*STDEVP(終値!N159:AG159)/AVERAGE(終値!N159:AG159),""))</f>
        <v>0.54582769206709869</v>
      </c>
      <c r="L159" s="503">
        <f>IF(終値!A159="","",IFERROR(4*STDEVP(終値!O159:AH159)/AVERAGE(終値!O159:AH159),""))</f>
        <v>0.53030206108122924</v>
      </c>
      <c r="M159" s="503">
        <f>IF(終値!A159="","",IFERROR(4*STDEVP(終値!P159:AI159)/AVERAGE(終値!P159:AI159),""))</f>
        <v>0.51755164666982667</v>
      </c>
      <c r="N159" s="503">
        <f>IF(終値!A159="","",IFERROR(4*STDEVP(終値!Q159:AJ159)/AVERAGE(終値!Q159:AJ159),""))</f>
        <v>0.51347650277717816</v>
      </c>
      <c r="O159" s="503">
        <f>IF(終値!A159="","",IFERROR(4*STDEVP(終値!R159:AK159)/AVERAGE(終値!R159:AK159),""))</f>
        <v>0.50777247914832613</v>
      </c>
      <c r="P159" s="503">
        <f>IF(終値!A159="","",IFERROR(4*STDEVP(終値!S159:AL159)/AVERAGE(終値!S159:AL159),""))</f>
        <v>0.47688429537629884</v>
      </c>
      <c r="Q159" s="503">
        <f>IF(終値!A159="","",IFERROR(4*STDEVP(終値!T159:AM159)/AVERAGE(終値!T159:AM159),""))</f>
        <v>0.46024774750104192</v>
      </c>
      <c r="R159" s="503">
        <f>IF(終値!A159="","",IFERROR(4*STDEVP(終値!U159:AN159)/AVERAGE(終値!U159:AN159),""))</f>
        <v>0.42504058042407206</v>
      </c>
      <c r="S159" s="503">
        <f>IF(終値!A159="","",IFERROR(4*STDEVP(終値!V159:AO159)/AVERAGE(終値!V159:AO159),""))</f>
        <v>0.39228196461997861</v>
      </c>
      <c r="T159" s="503">
        <f>IF(終値!A159="","",IFERROR(4*STDEVP(終値!W159:AP159)/AVERAGE(終値!W159:AP159),""))</f>
        <v>0.37892236347766112</v>
      </c>
      <c r="U159" s="503">
        <f>IF(終値!A159="","",IFERROR(4*STDEVP(終値!X159:AQ159)/AVERAGE(終値!X159:AQ159),""))</f>
        <v>0.34217244160077581</v>
      </c>
      <c r="V159" s="503">
        <f>IF(終値!A159="","",IFERROR(4*STDEVP(終値!Y159:AR159)/AVERAGE(終値!Y159:AR159),""))</f>
        <v>0.30848825542691394</v>
      </c>
      <c r="W159" s="503">
        <f>IF(終値!A159="","",IFERROR(4*STDEVP(終値!Z159:AS159)/AVERAGE(終値!Z159:AS159),""))</f>
        <v>0.27994390647343109</v>
      </c>
      <c r="X159" s="503">
        <f>IF(終値!A159="","",IFERROR(4*STDEVP(終値!AA159:AT159)/AVERAGE(終値!AA159:AT159),""))</f>
        <v>0.26668655631433302</v>
      </c>
      <c r="Y159" s="503">
        <f>IF(終値!A159="","",IFERROR(4*STDEVP(終値!AB159:AU159)/AVERAGE(終値!AB159:AU159),""))</f>
        <v>0.29024578206293389</v>
      </c>
      <c r="Z159" s="503">
        <f>IF(終値!A159="","",IFERROR(4*STDEVP(終値!AC159:AV159)/AVERAGE(終値!AC159:AV159),""))</f>
        <v>0.30889334795263756</v>
      </c>
      <c r="AA159" s="503">
        <f>IF(終値!A159="","",IFERROR(4*STDEVP(終値!AD159:AW159)/AVERAGE(終値!AD159:AW159),""))</f>
        <v>0.32917096535723284</v>
      </c>
      <c r="AB159" s="503">
        <f>IF(終値!A159="","",IFERROR(4*STDEVP(終値!AE159:AX159)/AVERAGE(終値!AE159:AX159),""))</f>
        <v>0.38999173453758307</v>
      </c>
      <c r="AC159" s="503">
        <f>IF(終値!A159="","",IFERROR(4*STDEVP(終値!AF159:AY159)/AVERAGE(終値!AF159:AY159),""))</f>
        <v>0.44115409521467464</v>
      </c>
      <c r="AD159" s="503">
        <f>IF(終値!A159="","",IFERROR(4*STDEVP(終値!AG159:AZ159)/AVERAGE(終値!AG159:AZ159),""))</f>
        <v>0.48810591961350475</v>
      </c>
      <c r="AE159" s="503">
        <f>IF(終値!A159="","",IFERROR(4*STDEVP(終値!AH159:BA159)/AVERAGE(終値!AH159:BA159),""))</f>
        <v>0.48513940647856901</v>
      </c>
      <c r="AF159" s="503">
        <f>IF(終値!A159="","",IFERROR(4*STDEVP(終値!AI159:BB159)/AVERAGE(終値!AI159:BB159),""))</f>
        <v>0.50308285175561507</v>
      </c>
      <c r="AG159" s="503">
        <f>IF(終値!A159="","",IFERROR(4*STDEVP(終値!AJ159:BC159)/AVERAGE(終値!AJ159:BC159),""))</f>
        <v>0.5400372559078499</v>
      </c>
      <c r="AH159" s="503">
        <f>IF(終値!A159="","",IFERROR(4*STDEVP(終値!AK159:BD159)/AVERAGE(終値!AK159:BD159),""))</f>
        <v>0.55178953924456187</v>
      </c>
      <c r="AI159" s="503">
        <f>IF(終値!A159="","",IFERROR(4*STDEVP(終値!AL159:BE159)/AVERAGE(終値!AL159:BE159),""))</f>
        <v>0.53803302683488718</v>
      </c>
      <c r="AJ159" s="503">
        <f>IF(終値!A159="","",IFERROR(4*STDEVP(終値!AM159:BF159)/AVERAGE(終値!AM159:BF159),""))</f>
        <v>0.51232174962344723</v>
      </c>
      <c r="AK159" s="503">
        <f>IF(終値!A159="","",IFERROR(4*STDEVP(終値!AN159:BG159)/AVERAGE(終値!AN159:BG159),""))</f>
        <v>0.51405268562700179</v>
      </c>
      <c r="AL159" s="503">
        <f>IF(終値!A159="","",IFERROR(4*STDEVP(終値!AO159:BH159)/AVERAGE(終値!AO159:BH159),""))</f>
        <v>0.53676721339557798</v>
      </c>
      <c r="AM159" s="503">
        <f>IF(終値!A159="","",IFERROR(4*STDEVP(終値!AP159:BI159)/AVERAGE(終値!AP159:BI159),""))</f>
        <v>0.54406548266858989</v>
      </c>
      <c r="AN159" s="503">
        <f>IF(終値!A159="","",IFERROR(4*STDEVP(終値!AQ159:BJ159)/AVERAGE(終値!AQ159:BJ159),""))</f>
        <v>0.55920997640750747</v>
      </c>
      <c r="AO159" s="503">
        <f>IF(終値!A159="","",IFERROR(4*STDEVP(終値!AR159:BK159)/AVERAGE(終値!AR159:BK159),""))</f>
        <v>0.55061869166568778</v>
      </c>
      <c r="AP159" s="503">
        <f>IF(終値!A159="","",IFERROR(4*STDEVP(終値!AS159:BL159)/AVERAGE(終値!AS159:BL159),""))</f>
        <v>0.51433948990308442</v>
      </c>
    </row>
    <row r="160" spans="1:42">
      <c r="A160" s="500" t="str">
        <f>IF(終値!A160="","",終値!A160)</f>
        <v>4373</v>
      </c>
      <c r="B160" s="503">
        <f>IF(終値!A160="","",IFERROR(4*STDEVP(終値!E160:X160)/AVERAGE(終値!E160:X160),""))</f>
        <v>0.16824414114350597</v>
      </c>
      <c r="C160" s="503">
        <f>IF(終値!A160="","",IFERROR(4*STDEVP(終値!F160:Y160)/AVERAGE(終値!F160:Y160),""))</f>
        <v>0.16883062431671261</v>
      </c>
      <c r="D160" s="503">
        <f>IF(終値!A160="","",IFERROR(4*STDEVP(終値!G160:Z160)/AVERAGE(終値!G160:Z160),""))</f>
        <v>0.17603637876861419</v>
      </c>
      <c r="E160" s="503">
        <f>IF(終値!A160="","",IFERROR(4*STDEVP(終値!H160:AA160)/AVERAGE(終値!H160:AA160),""))</f>
        <v>0.18315363506934731</v>
      </c>
      <c r="F160" s="503">
        <f>IF(終値!A160="","",IFERROR(4*STDEVP(終値!I160:AB160)/AVERAGE(終値!I160:AB160),""))</f>
        <v>0.19559304557659982</v>
      </c>
      <c r="G160" s="503">
        <f>IF(終値!A160="","",IFERROR(4*STDEVP(終値!J160:AC160)/AVERAGE(終値!J160:AC160),""))</f>
        <v>0.21480188141164802</v>
      </c>
      <c r="H160" s="503">
        <f>IF(終値!A160="","",IFERROR(4*STDEVP(終値!K160:AD160)/AVERAGE(終値!K160:AD160),""))</f>
        <v>0.22118871022427156</v>
      </c>
      <c r="I160" s="503">
        <f>IF(終値!A160="","",IFERROR(4*STDEVP(終値!L160:AE160)/AVERAGE(終値!L160:AE160),""))</f>
        <v>0.201121010317374</v>
      </c>
      <c r="J160" s="503">
        <f>IF(終値!A160="","",IFERROR(4*STDEVP(終値!M160:AF160)/AVERAGE(終値!M160:AF160),""))</f>
        <v>0.20772575519571887</v>
      </c>
      <c r="K160" s="503">
        <f>IF(終値!A160="","",IFERROR(4*STDEVP(終値!N160:AG160)/AVERAGE(終値!N160:AG160),""))</f>
        <v>0.20135698558482903</v>
      </c>
      <c r="L160" s="503">
        <f>IF(終値!A160="","",IFERROR(4*STDEVP(終値!O160:AH160)/AVERAGE(終値!O160:AH160),""))</f>
        <v>0.21655656442041724</v>
      </c>
      <c r="M160" s="503">
        <f>IF(終値!A160="","",IFERROR(4*STDEVP(終値!P160:AI160)/AVERAGE(終値!P160:AI160),""))</f>
        <v>0.2324255779299815</v>
      </c>
      <c r="N160" s="503">
        <f>IF(終値!A160="","",IFERROR(4*STDEVP(終値!Q160:AJ160)/AVERAGE(終値!Q160:AJ160),""))</f>
        <v>0.23493722168218747</v>
      </c>
      <c r="O160" s="503">
        <f>IF(終値!A160="","",IFERROR(4*STDEVP(終値!R160:AK160)/AVERAGE(終値!R160:AK160),""))</f>
        <v>0.23317084405202826</v>
      </c>
      <c r="P160" s="503">
        <f>IF(終値!A160="","",IFERROR(4*STDEVP(終値!S160:AL160)/AVERAGE(終値!S160:AL160),""))</f>
        <v>0.22274335720423044</v>
      </c>
      <c r="Q160" s="503">
        <f>IF(終値!A160="","",IFERROR(4*STDEVP(終値!T160:AM160)/AVERAGE(終値!T160:AM160),""))</f>
        <v>0.22018667579277787</v>
      </c>
      <c r="R160" s="503">
        <f>IF(終値!A160="","",IFERROR(4*STDEVP(終値!U160:AN160)/AVERAGE(終値!U160:AN160),""))</f>
        <v>0.21386130689006438</v>
      </c>
      <c r="S160" s="503">
        <f>IF(終値!A160="","",IFERROR(4*STDEVP(終値!V160:AO160)/AVERAGE(終値!V160:AO160),""))</f>
        <v>0.20796412736049635</v>
      </c>
      <c r="T160" s="503">
        <f>IF(終値!A160="","",IFERROR(4*STDEVP(終値!W160:AP160)/AVERAGE(終値!W160:AP160),""))</f>
        <v>0.19775821537615584</v>
      </c>
      <c r="U160" s="503">
        <f>IF(終値!A160="","",IFERROR(4*STDEVP(終値!X160:AQ160)/AVERAGE(終値!X160:AQ160),""))</f>
        <v>0.18895190788498809</v>
      </c>
      <c r="V160" s="503">
        <f>IF(終値!A160="","",IFERROR(4*STDEVP(終値!Y160:AR160)/AVERAGE(終値!Y160:AR160),""))</f>
        <v>0.18222851886601366</v>
      </c>
      <c r="W160" s="503">
        <f>IF(終値!A160="","",IFERROR(4*STDEVP(終値!Z160:AS160)/AVERAGE(終値!Z160:AS160),""))</f>
        <v>0.18405427205042665</v>
      </c>
      <c r="X160" s="503">
        <f>IF(終値!A160="","",IFERROR(4*STDEVP(終値!AA160:AT160)/AVERAGE(終値!AA160:AT160),""))</f>
        <v>0.21005509907007278</v>
      </c>
      <c r="Y160" s="503">
        <f>IF(終値!A160="","",IFERROR(4*STDEVP(終値!AB160:AU160)/AVERAGE(終値!AB160:AU160),""))</f>
        <v>0.22861996291328557</v>
      </c>
      <c r="Z160" s="503">
        <f>IF(終値!A160="","",IFERROR(4*STDEVP(終値!AC160:AV160)/AVERAGE(終値!AC160:AV160),""))</f>
        <v>0.2552952795086787</v>
      </c>
      <c r="AA160" s="503">
        <f>IF(終値!A160="","",IFERROR(4*STDEVP(終値!AD160:AW160)/AVERAGE(終値!AD160:AW160),""))</f>
        <v>0.27812936986393694</v>
      </c>
      <c r="AB160" s="503">
        <f>IF(終値!A160="","",IFERROR(4*STDEVP(終値!AE160:AX160)/AVERAGE(終値!AE160:AX160),""))</f>
        <v>0.27924164625867948</v>
      </c>
      <c r="AC160" s="503">
        <f>IF(終値!A160="","",IFERROR(4*STDEVP(終値!AF160:AY160)/AVERAGE(終値!AF160:AY160),""))</f>
        <v>0.27803416920821705</v>
      </c>
      <c r="AD160" s="503">
        <f>IF(終値!A160="","",IFERROR(4*STDEVP(終値!AG160:AZ160)/AVERAGE(終値!AG160:AZ160),""))</f>
        <v>0.26565337836293262</v>
      </c>
      <c r="AE160" s="503">
        <f>IF(終値!A160="","",IFERROR(4*STDEVP(終値!AH160:BA160)/AVERAGE(終値!AH160:BA160),""))</f>
        <v>0.25163981524283247</v>
      </c>
      <c r="AF160" s="503">
        <f>IF(終値!A160="","",IFERROR(4*STDEVP(終値!AI160:BB160)/AVERAGE(終値!AI160:BB160),""))</f>
        <v>0.23694880445220057</v>
      </c>
      <c r="AG160" s="503">
        <f>IF(終値!A160="","",IFERROR(4*STDEVP(終値!AJ160:BC160)/AVERAGE(終値!AJ160:BC160),""))</f>
        <v>0.21654399328504711</v>
      </c>
      <c r="AH160" s="503">
        <f>IF(終値!A160="","",IFERROR(4*STDEVP(終値!AK160:BD160)/AVERAGE(終値!AK160:BD160),""))</f>
        <v>0.2069074697540316</v>
      </c>
      <c r="AI160" s="503">
        <f>IF(終値!A160="","",IFERROR(4*STDEVP(終値!AL160:BE160)/AVERAGE(終値!AL160:BE160),""))</f>
        <v>0.18881763341093843</v>
      </c>
      <c r="AJ160" s="503">
        <f>IF(終値!A160="","",IFERROR(4*STDEVP(終値!AM160:BF160)/AVERAGE(終値!AM160:BF160),""))</f>
        <v>0.1916120194901966</v>
      </c>
      <c r="AK160" s="503">
        <f>IF(終値!A160="","",IFERROR(4*STDEVP(終値!AN160:BG160)/AVERAGE(終値!AN160:BG160),""))</f>
        <v>0.19369517615446416</v>
      </c>
      <c r="AL160" s="503">
        <f>IF(終値!A160="","",IFERROR(4*STDEVP(終値!AO160:BH160)/AVERAGE(終値!AO160:BH160),""))</f>
        <v>0.20221451068621243</v>
      </c>
      <c r="AM160" s="503">
        <f>IF(終値!A160="","",IFERROR(4*STDEVP(終値!AP160:BI160)/AVERAGE(終値!AP160:BI160),""))</f>
        <v>0.20579582627721205</v>
      </c>
      <c r="AN160" s="503">
        <f>IF(終値!A160="","",IFERROR(4*STDEVP(終値!AQ160:BJ160)/AVERAGE(終値!AQ160:BJ160),""))</f>
        <v>0.21230387893705274</v>
      </c>
      <c r="AO160" s="503">
        <f>IF(終値!A160="","",IFERROR(4*STDEVP(終値!AR160:BK160)/AVERAGE(終値!AR160:BK160),""))</f>
        <v>0.2235564293747781</v>
      </c>
      <c r="AP160" s="503">
        <f>IF(終値!A160="","",IFERROR(4*STDEVP(終値!AS160:BL160)/AVERAGE(終値!AS160:BL160),""))</f>
        <v>0.23496334405706878</v>
      </c>
    </row>
    <row r="161" spans="1:42">
      <c r="A161" s="500" t="str">
        <f>IF(終値!A161="","",終値!A161)</f>
        <v>8892</v>
      </c>
      <c r="B161" s="503">
        <f>IF(終値!A161="","",IFERROR(4*STDEVP(終値!E161:X161)/AVERAGE(終値!E161:X161),""))</f>
        <v>7.0301990864058611E-2</v>
      </c>
      <c r="C161" s="503">
        <f>IF(終値!A161="","",IFERROR(4*STDEVP(終値!F161:Y161)/AVERAGE(終値!F161:Y161),""))</f>
        <v>6.6593209296265166E-2</v>
      </c>
      <c r="D161" s="503">
        <f>IF(終値!A161="","",IFERROR(4*STDEVP(終値!G161:Z161)/AVERAGE(終値!G161:Z161),""))</f>
        <v>6.120089955397557E-2</v>
      </c>
      <c r="E161" s="503">
        <f>IF(終値!A161="","",IFERROR(4*STDEVP(終値!H161:AA161)/AVERAGE(終値!H161:AA161),""))</f>
        <v>5.5456311002143342E-2</v>
      </c>
      <c r="F161" s="503">
        <f>IF(終値!A161="","",IFERROR(4*STDEVP(終値!I161:AB161)/AVERAGE(終値!I161:AB161),""))</f>
        <v>4.8820207425569549E-2</v>
      </c>
      <c r="G161" s="503">
        <f>IF(終値!A161="","",IFERROR(4*STDEVP(終値!J161:AC161)/AVERAGE(終値!J161:AC161),""))</f>
        <v>4.835284277222731E-2</v>
      </c>
      <c r="H161" s="503">
        <f>IF(終値!A161="","",IFERROR(4*STDEVP(終値!K161:AD161)/AVERAGE(終値!K161:AD161),""))</f>
        <v>5.0768693109491655E-2</v>
      </c>
      <c r="I161" s="503">
        <f>IF(終値!A161="","",IFERROR(4*STDEVP(終値!L161:AE161)/AVERAGE(終値!L161:AE161),""))</f>
        <v>5.3738584722770565E-2</v>
      </c>
      <c r="J161" s="503">
        <f>IF(終値!A161="","",IFERROR(4*STDEVP(終値!M161:AF161)/AVERAGE(終値!M161:AF161),""))</f>
        <v>6.1996207978925723E-2</v>
      </c>
      <c r="K161" s="503">
        <f>IF(終値!A161="","",IFERROR(4*STDEVP(終値!N161:AG161)/AVERAGE(終値!N161:AG161),""))</f>
        <v>7.1105334941068674E-2</v>
      </c>
      <c r="L161" s="503">
        <f>IF(終値!A161="","",IFERROR(4*STDEVP(終値!O161:AH161)/AVERAGE(終値!O161:AH161),""))</f>
        <v>7.8919996738869347E-2</v>
      </c>
      <c r="M161" s="503">
        <f>IF(終値!A161="","",IFERROR(4*STDEVP(終値!P161:AI161)/AVERAGE(終値!P161:AI161),""))</f>
        <v>8.4940509223365657E-2</v>
      </c>
      <c r="N161" s="503">
        <f>IF(終値!A161="","",IFERROR(4*STDEVP(終値!Q161:AJ161)/AVERAGE(終値!Q161:AJ161),""))</f>
        <v>8.6931281956169795E-2</v>
      </c>
      <c r="O161" s="503">
        <f>IF(終値!A161="","",IFERROR(4*STDEVP(終値!R161:AK161)/AVERAGE(終値!R161:AK161),""))</f>
        <v>8.6918063699103848E-2</v>
      </c>
      <c r="P161" s="503">
        <f>IF(終値!A161="","",IFERROR(4*STDEVP(終値!S161:AL161)/AVERAGE(終値!S161:AL161),""))</f>
        <v>8.7583885309876805E-2</v>
      </c>
      <c r="Q161" s="503">
        <f>IF(終値!A161="","",IFERROR(4*STDEVP(終値!T161:AM161)/AVERAGE(終値!T161:AM161),""))</f>
        <v>8.4712136681454983E-2</v>
      </c>
      <c r="R161" s="503">
        <f>IF(終値!A161="","",IFERROR(4*STDEVP(終値!U161:AN161)/AVERAGE(終値!U161:AN161),""))</f>
        <v>8.0147571856588537E-2</v>
      </c>
      <c r="S161" s="503">
        <f>IF(終値!A161="","",IFERROR(4*STDEVP(終値!V161:AO161)/AVERAGE(終値!V161:AO161),""))</f>
        <v>7.7145100097080158E-2</v>
      </c>
      <c r="T161" s="503">
        <f>IF(終値!A161="","",IFERROR(4*STDEVP(終値!W161:AP161)/AVERAGE(終値!W161:AP161),""))</f>
        <v>7.4635048459418318E-2</v>
      </c>
      <c r="U161" s="503">
        <f>IF(終値!A161="","",IFERROR(4*STDEVP(終値!X161:AQ161)/AVERAGE(終値!X161:AQ161),""))</f>
        <v>7.0774620447965536E-2</v>
      </c>
      <c r="V161" s="503">
        <f>IF(終値!A161="","",IFERROR(4*STDEVP(終値!Y161:AR161)/AVERAGE(終値!Y161:AR161),""))</f>
        <v>6.9625484915113278E-2</v>
      </c>
      <c r="W161" s="503">
        <f>IF(終値!A161="","",IFERROR(4*STDEVP(終値!Z161:AS161)/AVERAGE(終値!Z161:AS161),""))</f>
        <v>6.7890534153462481E-2</v>
      </c>
      <c r="X161" s="503">
        <f>IF(終値!A161="","",IFERROR(4*STDEVP(終値!AA161:AT161)/AVERAGE(終値!AA161:AT161),""))</f>
        <v>6.4801679385748573E-2</v>
      </c>
      <c r="Y161" s="503">
        <f>IF(終値!A161="","",IFERROR(4*STDEVP(終値!AB161:AU161)/AVERAGE(終値!AB161:AU161),""))</f>
        <v>6.4573284966223096E-2</v>
      </c>
      <c r="Z161" s="503">
        <f>IF(終値!A161="","",IFERROR(4*STDEVP(終値!AC161:AV161)/AVERAGE(終値!AC161:AV161),""))</f>
        <v>6.4378165933443157E-2</v>
      </c>
      <c r="AA161" s="503">
        <f>IF(終値!A161="","",IFERROR(4*STDEVP(終値!AD161:AW161)/AVERAGE(終値!AD161:AW161),""))</f>
        <v>6.4735758738103208E-2</v>
      </c>
      <c r="AB161" s="503">
        <f>IF(終値!A161="","",IFERROR(4*STDEVP(終値!AE161:AX161)/AVERAGE(終値!AE161:AX161),""))</f>
        <v>6.6905136778738356E-2</v>
      </c>
      <c r="AC161" s="503">
        <f>IF(終値!A161="","",IFERROR(4*STDEVP(終値!AF161:AY161)/AVERAGE(終値!AF161:AY161),""))</f>
        <v>7.0576963013919247E-2</v>
      </c>
      <c r="AD161" s="503">
        <f>IF(終値!A161="","",IFERROR(4*STDEVP(終値!AG161:AZ161)/AVERAGE(終値!AG161:AZ161),""))</f>
        <v>7.1381345916040562E-2</v>
      </c>
      <c r="AE161" s="503">
        <f>IF(終値!A161="","",IFERROR(4*STDEVP(終値!AH161:BA161)/AVERAGE(終値!AH161:BA161),""))</f>
        <v>6.9774692301246208E-2</v>
      </c>
      <c r="AF161" s="503">
        <f>IF(終値!A161="","",IFERROR(4*STDEVP(終値!AI161:BB161)/AVERAGE(終値!AI161:BB161),""))</f>
        <v>6.6481151216968723E-2</v>
      </c>
      <c r="AG161" s="503">
        <f>IF(終値!A161="","",IFERROR(4*STDEVP(終値!AJ161:BC161)/AVERAGE(終値!AJ161:BC161),""))</f>
        <v>7.2434442852034014E-2</v>
      </c>
      <c r="AH161" s="503">
        <f>IF(終値!A161="","",IFERROR(4*STDEVP(終値!AK161:BD161)/AVERAGE(終値!AK161:BD161),""))</f>
        <v>7.0841387108872944E-2</v>
      </c>
      <c r="AI161" s="503">
        <f>IF(終値!A161="","",IFERROR(4*STDEVP(終値!AL161:BE161)/AVERAGE(終値!AL161:BE161),""))</f>
        <v>7.8729721102386629E-2</v>
      </c>
      <c r="AJ161" s="503">
        <f>IF(終値!A161="","",IFERROR(4*STDEVP(終値!AM161:BF161)/AVERAGE(終値!AM161:BF161),""))</f>
        <v>7.6682660203429884E-2</v>
      </c>
      <c r="AK161" s="503">
        <f>IF(終値!A161="","",IFERROR(4*STDEVP(終値!AN161:BG161)/AVERAGE(終値!AN161:BG161),""))</f>
        <v>7.5750455517999957E-2</v>
      </c>
      <c r="AL161" s="503">
        <f>IF(終値!A161="","",IFERROR(4*STDEVP(終値!AO161:BH161)/AVERAGE(終値!AO161:BH161),""))</f>
        <v>8.5353470067863257E-2</v>
      </c>
      <c r="AM161" s="503">
        <f>IF(終値!A161="","",IFERROR(4*STDEVP(終値!AP161:BI161)/AVERAGE(終値!AP161:BI161),""))</f>
        <v>9.3226476839469163E-2</v>
      </c>
      <c r="AN161" s="503">
        <f>IF(終値!A161="","",IFERROR(4*STDEVP(終値!AQ161:BJ161)/AVERAGE(終値!AQ161:BJ161),""))</f>
        <v>0.10488545651984593</v>
      </c>
      <c r="AO161" s="503">
        <f>IF(終値!A161="","",IFERROR(4*STDEVP(終値!AR161:BK161)/AVERAGE(終値!AR161:BK161),""))</f>
        <v>0.11013323865903656</v>
      </c>
      <c r="AP161" s="503">
        <f>IF(終値!A161="","",IFERROR(4*STDEVP(終値!AS161:BL161)/AVERAGE(終値!AS161:BL161),""))</f>
        <v>0.11589454312435679</v>
      </c>
    </row>
    <row r="162" spans="1:42">
      <c r="A162" s="500" t="str">
        <f>IF(終値!A162="","",終値!A162)</f>
        <v>9687</v>
      </c>
      <c r="B162" s="503">
        <f>IF(終値!A162="","",IFERROR(4*STDEVP(終値!E162:X162)/AVERAGE(終値!E162:X162),""))</f>
        <v>6.5590584449993813E-2</v>
      </c>
      <c r="C162" s="503">
        <f>IF(終値!A162="","",IFERROR(4*STDEVP(終値!F162:Y162)/AVERAGE(終値!F162:Y162),""))</f>
        <v>6.7669170334642065E-2</v>
      </c>
      <c r="D162" s="503">
        <f>IF(終値!A162="","",IFERROR(4*STDEVP(終値!G162:Z162)/AVERAGE(終値!G162:Z162),""))</f>
        <v>6.9197059434029692E-2</v>
      </c>
      <c r="E162" s="503">
        <f>IF(終値!A162="","",IFERROR(4*STDEVP(終値!H162:AA162)/AVERAGE(終値!H162:AA162),""))</f>
        <v>6.9763529836573135E-2</v>
      </c>
      <c r="F162" s="503">
        <f>IF(終値!A162="","",IFERROR(4*STDEVP(終値!I162:AB162)/AVERAGE(終値!I162:AB162),""))</f>
        <v>7.0915535241454844E-2</v>
      </c>
      <c r="G162" s="503">
        <f>IF(終値!A162="","",IFERROR(4*STDEVP(終値!J162:AC162)/AVERAGE(終値!J162:AC162),""))</f>
        <v>7.0744170208704216E-2</v>
      </c>
      <c r="H162" s="503">
        <f>IF(終値!A162="","",IFERROR(4*STDEVP(終値!K162:AD162)/AVERAGE(終値!K162:AD162),""))</f>
        <v>7.3427353224952377E-2</v>
      </c>
      <c r="I162" s="503">
        <f>IF(終値!A162="","",IFERROR(4*STDEVP(終値!L162:AE162)/AVERAGE(終値!L162:AE162),""))</f>
        <v>7.0685108275389125E-2</v>
      </c>
      <c r="J162" s="503">
        <f>IF(終値!A162="","",IFERROR(4*STDEVP(終値!M162:AF162)/AVERAGE(終値!M162:AF162),""))</f>
        <v>6.3655993128715088E-2</v>
      </c>
      <c r="K162" s="503">
        <f>IF(終値!A162="","",IFERROR(4*STDEVP(終値!N162:AG162)/AVERAGE(終値!N162:AG162),""))</f>
        <v>3.7054570534560932E-2</v>
      </c>
      <c r="L162" s="503">
        <f>IF(終値!A162="","",IFERROR(4*STDEVP(終値!O162:AH162)/AVERAGE(終値!O162:AH162),""))</f>
        <v>3.625530961132753E-2</v>
      </c>
      <c r="M162" s="503">
        <f>IF(終値!A162="","",IFERROR(4*STDEVP(終値!P162:AI162)/AVERAGE(終値!P162:AI162),""))</f>
        <v>2.8538451800547239E-2</v>
      </c>
      <c r="N162" s="503">
        <f>IF(終値!A162="","",IFERROR(4*STDEVP(終値!Q162:AJ162)/AVERAGE(終値!Q162:AJ162),""))</f>
        <v>2.6538471399359269E-2</v>
      </c>
      <c r="O162" s="503">
        <f>IF(終値!A162="","",IFERROR(4*STDEVP(終値!R162:AK162)/AVERAGE(終値!R162:AK162),""))</f>
        <v>2.5013843489669101E-2</v>
      </c>
      <c r="P162" s="503">
        <f>IF(終値!A162="","",IFERROR(4*STDEVP(終値!S162:AL162)/AVERAGE(終値!S162:AL162),""))</f>
        <v>2.6148402947971303E-2</v>
      </c>
      <c r="Q162" s="503">
        <f>IF(終値!A162="","",IFERROR(4*STDEVP(終値!T162:AM162)/AVERAGE(終値!T162:AM162),""))</f>
        <v>2.4471492412414447E-2</v>
      </c>
      <c r="R162" s="503">
        <f>IF(終値!A162="","",IFERROR(4*STDEVP(終値!U162:AN162)/AVERAGE(終値!U162:AN162),""))</f>
        <v>2.5058939596158163E-2</v>
      </c>
      <c r="S162" s="503">
        <f>IF(終値!A162="","",IFERROR(4*STDEVP(終値!V162:AO162)/AVERAGE(終値!V162:AO162),""))</f>
        <v>2.4531236963821177E-2</v>
      </c>
      <c r="T162" s="503">
        <f>IF(終値!A162="","",IFERROR(4*STDEVP(終値!W162:AP162)/AVERAGE(終値!W162:AP162),""))</f>
        <v>2.3395536599607348E-2</v>
      </c>
      <c r="U162" s="503">
        <f>IF(終値!A162="","",IFERROR(4*STDEVP(終値!X162:AQ162)/AVERAGE(終値!X162:AQ162),""))</f>
        <v>2.2147655551269515E-2</v>
      </c>
      <c r="V162" s="503">
        <f>IF(終値!A162="","",IFERROR(4*STDEVP(終値!Y162:AR162)/AVERAGE(終値!Y162:AR162),""))</f>
        <v>2.1949989892214892E-2</v>
      </c>
      <c r="W162" s="503">
        <f>IF(終値!A162="","",IFERROR(4*STDEVP(終値!Z162:AS162)/AVERAGE(終値!Z162:AS162),""))</f>
        <v>2.2870666807942447E-2</v>
      </c>
      <c r="X162" s="503">
        <f>IF(終値!A162="","",IFERROR(4*STDEVP(終値!AA162:AT162)/AVERAGE(終値!AA162:AT162),""))</f>
        <v>2.2112876106234303E-2</v>
      </c>
      <c r="Y162" s="503">
        <f>IF(終値!A162="","",IFERROR(4*STDEVP(終値!AB162:AU162)/AVERAGE(終値!AB162:AU162),""))</f>
        <v>2.1264625081850383E-2</v>
      </c>
      <c r="Z162" s="503">
        <f>IF(終値!A162="","",IFERROR(4*STDEVP(終値!AC162:AV162)/AVERAGE(終値!AC162:AV162),""))</f>
        <v>1.995104726887514E-2</v>
      </c>
      <c r="AA162" s="503">
        <f>IF(終値!A162="","",IFERROR(4*STDEVP(終値!AD162:AW162)/AVERAGE(終値!AD162:AW162),""))</f>
        <v>1.8511656477467796E-2</v>
      </c>
      <c r="AB162" s="503">
        <f>IF(終値!A162="","",IFERROR(4*STDEVP(終値!AE162:AX162)/AVERAGE(終値!AE162:AX162),""))</f>
        <v>1.761217937679101E-2</v>
      </c>
      <c r="AC162" s="503">
        <f>IF(終値!A162="","",IFERROR(4*STDEVP(終値!AF162:AY162)/AVERAGE(終値!AF162:AY162),""))</f>
        <v>1.7402852062742551E-2</v>
      </c>
      <c r="AD162" s="503">
        <f>IF(終値!A162="","",IFERROR(4*STDEVP(終値!AG162:AZ162)/AVERAGE(終値!AG162:AZ162),""))</f>
        <v>1.7419319251900753E-2</v>
      </c>
      <c r="AE162" s="503">
        <f>IF(終値!A162="","",IFERROR(4*STDEVP(終値!AH162:BA162)/AVERAGE(終値!AH162:BA162),""))</f>
        <v>1.5899392601878368E-2</v>
      </c>
      <c r="AF162" s="503">
        <f>IF(終値!A162="","",IFERROR(4*STDEVP(終値!AI162:BB162)/AVERAGE(終値!AI162:BB162),""))</f>
        <v>1.6264957839869754E-2</v>
      </c>
      <c r="AG162" s="503">
        <f>IF(終値!A162="","",IFERROR(4*STDEVP(終値!AJ162:BC162)/AVERAGE(終値!AJ162:BC162),""))</f>
        <v>1.673238678242089E-2</v>
      </c>
      <c r="AH162" s="503">
        <f>IF(終値!A162="","",IFERROR(4*STDEVP(終値!AK162:BD162)/AVERAGE(終値!AK162:BD162),""))</f>
        <v>1.7728650875939684E-2</v>
      </c>
      <c r="AI162" s="503">
        <f>IF(終値!A162="","",IFERROR(4*STDEVP(終値!AL162:BE162)/AVERAGE(終値!AL162:BE162),""))</f>
        <v>1.8482879519191919E-2</v>
      </c>
      <c r="AJ162" s="503">
        <f>IF(終値!A162="","",IFERROR(4*STDEVP(終値!AM162:BF162)/AVERAGE(終値!AM162:BF162),""))</f>
        <v>1.9041075816545232E-2</v>
      </c>
      <c r="AK162" s="503">
        <f>IF(終値!A162="","",IFERROR(4*STDEVP(終値!AN162:BG162)/AVERAGE(終値!AN162:BG162),""))</f>
        <v>1.9041075816545232E-2</v>
      </c>
      <c r="AL162" s="503">
        <f>IF(終値!A162="","",IFERROR(4*STDEVP(終値!AO162:BH162)/AVERAGE(終値!AO162:BH162),""))</f>
        <v>1.7600354269685342E-2</v>
      </c>
      <c r="AM162" s="503">
        <f>IF(終値!A162="","",IFERROR(4*STDEVP(終値!AP162:BI162)/AVERAGE(終値!AP162:BI162),""))</f>
        <v>1.5671813781977413E-2</v>
      </c>
      <c r="AN162" s="503">
        <f>IF(終値!A162="","",IFERROR(4*STDEVP(終値!AQ162:BJ162)/AVERAGE(終値!AQ162:BJ162),""))</f>
        <v>1.5784035329762303E-2</v>
      </c>
      <c r="AO162" s="503">
        <f>IF(終値!A162="","",IFERROR(4*STDEVP(終値!AR162:BK162)/AVERAGE(終値!AR162:BK162),""))</f>
        <v>1.6279945623112808E-2</v>
      </c>
      <c r="AP162" s="503">
        <f>IF(終値!A162="","",IFERROR(4*STDEVP(終値!AS162:BL162)/AVERAGE(終値!AS162:BL162),""))</f>
        <v>1.9878129322098075E-2</v>
      </c>
    </row>
    <row r="163" spans="1:42">
      <c r="A163" s="500" t="str">
        <f>IF(終値!A163="","",終値!A163)</f>
        <v>1930</v>
      </c>
      <c r="B163" s="503">
        <f>IF(終値!A163="","",IFERROR(4*STDEVP(終値!E163:X163)/AVERAGE(終値!E163:X163),""))</f>
        <v>0.16118651870216172</v>
      </c>
      <c r="C163" s="503">
        <f>IF(終値!A163="","",IFERROR(4*STDEVP(終値!F163:Y163)/AVERAGE(終値!F163:Y163),""))</f>
        <v>0.16489263898913309</v>
      </c>
      <c r="D163" s="503">
        <f>IF(終値!A163="","",IFERROR(4*STDEVP(終値!G163:Z163)/AVERAGE(終値!G163:Z163),""))</f>
        <v>0.17379594394519335</v>
      </c>
      <c r="E163" s="503">
        <f>IF(終値!A163="","",IFERROR(4*STDEVP(終値!H163:AA163)/AVERAGE(終値!H163:AA163),""))</f>
        <v>0.16958457338103824</v>
      </c>
      <c r="F163" s="503">
        <f>IF(終値!A163="","",IFERROR(4*STDEVP(終値!I163:AB163)/AVERAGE(終値!I163:AB163),""))</f>
        <v>0.16025775102458392</v>
      </c>
      <c r="G163" s="503">
        <f>IF(終値!A163="","",IFERROR(4*STDEVP(終値!J163:AC163)/AVERAGE(終値!J163:AC163),""))</f>
        <v>0.15458359845259756</v>
      </c>
      <c r="H163" s="503">
        <f>IF(終値!A163="","",IFERROR(4*STDEVP(終値!K163:AD163)/AVERAGE(終値!K163:AD163),""))</f>
        <v>0.13731532169009486</v>
      </c>
      <c r="I163" s="503">
        <f>IF(終値!A163="","",IFERROR(4*STDEVP(終値!L163:AE163)/AVERAGE(終値!L163:AE163),""))</f>
        <v>0.11787504140999146</v>
      </c>
      <c r="J163" s="503">
        <f>IF(終値!A163="","",IFERROR(4*STDEVP(終値!M163:AF163)/AVERAGE(終値!M163:AF163),""))</f>
        <v>9.6136883898542941E-2</v>
      </c>
      <c r="K163" s="503">
        <f>IF(終値!A163="","",IFERROR(4*STDEVP(終値!N163:AG163)/AVERAGE(終値!N163:AG163),""))</f>
        <v>0.10438341731182571</v>
      </c>
      <c r="L163" s="503">
        <f>IF(終値!A163="","",IFERROR(4*STDEVP(終値!O163:AH163)/AVERAGE(終値!O163:AH163),""))</f>
        <v>0.10879501847891332</v>
      </c>
      <c r="M163" s="503">
        <f>IF(終値!A163="","",IFERROR(4*STDEVP(終値!P163:AI163)/AVERAGE(終値!P163:AI163),""))</f>
        <v>0.11302798389637679</v>
      </c>
      <c r="N163" s="503">
        <f>IF(終値!A163="","",IFERROR(4*STDEVP(終値!Q163:AJ163)/AVERAGE(終値!Q163:AJ163),""))</f>
        <v>0.11448717467534933</v>
      </c>
      <c r="O163" s="503">
        <f>IF(終値!A163="","",IFERROR(4*STDEVP(終値!R163:AK163)/AVERAGE(終値!R163:AK163),""))</f>
        <v>0.1105686448871559</v>
      </c>
      <c r="P163" s="503">
        <f>IF(終値!A163="","",IFERROR(4*STDEVP(終値!S163:AL163)/AVERAGE(終値!S163:AL163),""))</f>
        <v>0.10796877004543903</v>
      </c>
      <c r="Q163" s="503">
        <f>IF(終値!A163="","",IFERROR(4*STDEVP(終値!T163:AM163)/AVERAGE(終値!T163:AM163),""))</f>
        <v>0.10486986621867912</v>
      </c>
      <c r="R163" s="503">
        <f>IF(終値!A163="","",IFERROR(4*STDEVP(終値!U163:AN163)/AVERAGE(終値!U163:AN163),""))</f>
        <v>9.5127384910225765E-2</v>
      </c>
      <c r="S163" s="503">
        <f>IF(終値!A163="","",IFERROR(4*STDEVP(終値!V163:AO163)/AVERAGE(終値!V163:AO163),""))</f>
        <v>8.368389466382245E-2</v>
      </c>
      <c r="T163" s="503">
        <f>IF(終値!A163="","",IFERROR(4*STDEVP(終値!W163:AP163)/AVERAGE(終値!W163:AP163),""))</f>
        <v>8.5658410693973397E-2</v>
      </c>
      <c r="U163" s="503">
        <f>IF(終値!A163="","",IFERROR(4*STDEVP(終値!X163:AQ163)/AVERAGE(終値!X163:AQ163),""))</f>
        <v>9.6688295184930606E-2</v>
      </c>
      <c r="V163" s="503">
        <f>IF(終値!A163="","",IFERROR(4*STDEVP(終値!Y163:AR163)/AVERAGE(終値!Y163:AR163),""))</f>
        <v>0.10142292144194467</v>
      </c>
      <c r="W163" s="503">
        <f>IF(終値!A163="","",IFERROR(4*STDEVP(終値!Z163:AS163)/AVERAGE(終値!Z163:AS163),""))</f>
        <v>0.11114366895019107</v>
      </c>
      <c r="X163" s="503">
        <f>IF(終値!A163="","",IFERROR(4*STDEVP(終値!AA163:AT163)/AVERAGE(終値!AA163:AT163),""))</f>
        <v>0.11479777510564609</v>
      </c>
      <c r="Y163" s="503">
        <f>IF(終値!A163="","",IFERROR(4*STDEVP(終値!AB163:AU163)/AVERAGE(終値!AB163:AU163),""))</f>
        <v>0.13061780557827857</v>
      </c>
      <c r="Z163" s="503">
        <f>IF(終値!A163="","",IFERROR(4*STDEVP(終値!AC163:AV163)/AVERAGE(終値!AC163:AV163),""))</f>
        <v>0.13789688987709267</v>
      </c>
      <c r="AA163" s="503">
        <f>IF(終値!A163="","",IFERROR(4*STDEVP(終値!AD163:AW163)/AVERAGE(終値!AD163:AW163),""))</f>
        <v>0.1460042405840247</v>
      </c>
      <c r="AB163" s="503">
        <f>IF(終値!A163="","",IFERROR(4*STDEVP(終値!AE163:AX163)/AVERAGE(終値!AE163:AX163),""))</f>
        <v>0.14798647384889843</v>
      </c>
      <c r="AC163" s="503">
        <f>IF(終値!A163="","",IFERROR(4*STDEVP(終値!AF163:AY163)/AVERAGE(終値!AF163:AY163),""))</f>
        <v>0.14720780974932332</v>
      </c>
      <c r="AD163" s="503">
        <f>IF(終値!A163="","",IFERROR(4*STDEVP(終値!AG163:AZ163)/AVERAGE(終値!AG163:AZ163),""))</f>
        <v>0.14452665120582936</v>
      </c>
      <c r="AE163" s="503">
        <f>IF(終値!A163="","",IFERROR(4*STDEVP(終値!AH163:BA163)/AVERAGE(終値!AH163:BA163),""))</f>
        <v>0.14194273697276799</v>
      </c>
      <c r="AF163" s="503">
        <f>IF(終値!A163="","",IFERROR(4*STDEVP(終値!AI163:BB163)/AVERAGE(終値!AI163:BB163),""))</f>
        <v>0.14199830376629238</v>
      </c>
      <c r="AG163" s="503">
        <f>IF(終値!A163="","",IFERROR(4*STDEVP(終値!AJ163:BC163)/AVERAGE(終値!AJ163:BC163),""))</f>
        <v>0.1417330686668318</v>
      </c>
      <c r="AH163" s="503">
        <f>IF(終値!A163="","",IFERROR(4*STDEVP(終値!AK163:BD163)/AVERAGE(終値!AK163:BD163),""))</f>
        <v>0.13712765020359241</v>
      </c>
      <c r="AI163" s="503">
        <f>IF(終値!A163="","",IFERROR(4*STDEVP(終値!AL163:BE163)/AVERAGE(終値!AL163:BE163),""))</f>
        <v>0.1324889142969482</v>
      </c>
      <c r="AJ163" s="503">
        <f>IF(終値!A163="","",IFERROR(4*STDEVP(終値!AM163:BF163)/AVERAGE(終値!AM163:BF163),""))</f>
        <v>0.11620781349250471</v>
      </c>
      <c r="AK163" s="503">
        <f>IF(終値!A163="","",IFERROR(4*STDEVP(終値!AN163:BG163)/AVERAGE(終値!AN163:BG163),""))</f>
        <v>0.11137390087142948</v>
      </c>
      <c r="AL163" s="503">
        <f>IF(終値!A163="","",IFERROR(4*STDEVP(終値!AO163:BH163)/AVERAGE(終値!AO163:BH163),""))</f>
        <v>0.11486649859097367</v>
      </c>
      <c r="AM163" s="503">
        <f>IF(終値!A163="","",IFERROR(4*STDEVP(終値!AP163:BI163)/AVERAGE(終値!AP163:BI163),""))</f>
        <v>0.12388621802158617</v>
      </c>
      <c r="AN163" s="503">
        <f>IF(終値!A163="","",IFERROR(4*STDEVP(終値!AQ163:BJ163)/AVERAGE(終値!AQ163:BJ163),""))</f>
        <v>0.14355579080280284</v>
      </c>
      <c r="AO163" s="503">
        <f>IF(終値!A163="","",IFERROR(4*STDEVP(終値!AR163:BK163)/AVERAGE(終値!AR163:BK163),""))</f>
        <v>0.14654574163798198</v>
      </c>
      <c r="AP163" s="503">
        <f>IF(終値!A163="","",IFERROR(4*STDEVP(終値!AS163:BL163)/AVERAGE(終値!AS163:BL163),""))</f>
        <v>0.14519708554001209</v>
      </c>
    </row>
    <row r="164" spans="1:42">
      <c r="A164" s="500" t="str">
        <f>IF(終値!A164="","",終値!A164)</f>
        <v>8704</v>
      </c>
      <c r="B164" s="503">
        <f>IF(終値!A164="","",IFERROR(4*STDEVP(終値!E164:X164)/AVERAGE(終値!E164:X164),""))</f>
        <v>0.12226866578955638</v>
      </c>
      <c r="C164" s="503">
        <f>IF(終値!A164="","",IFERROR(4*STDEVP(終値!F164:Y164)/AVERAGE(終値!F164:Y164),""))</f>
        <v>0.11580324142827748</v>
      </c>
      <c r="D164" s="503">
        <f>IF(終値!A164="","",IFERROR(4*STDEVP(終値!G164:Z164)/AVERAGE(終値!G164:Z164),""))</f>
        <v>0.10537967563382535</v>
      </c>
      <c r="E164" s="503">
        <f>IF(終値!A164="","",IFERROR(4*STDEVP(終値!H164:AA164)/AVERAGE(終値!H164:AA164),""))</f>
        <v>0.10052172188053821</v>
      </c>
      <c r="F164" s="503">
        <f>IF(終値!A164="","",IFERROR(4*STDEVP(終値!I164:AB164)/AVERAGE(終値!I164:AB164),""))</f>
        <v>8.9696962475760533E-2</v>
      </c>
      <c r="G164" s="503">
        <f>IF(終値!A164="","",IFERROR(4*STDEVP(終値!J164:AC164)/AVERAGE(終値!J164:AC164),""))</f>
        <v>9.4830311944542001E-2</v>
      </c>
      <c r="H164" s="503">
        <f>IF(終値!A164="","",IFERROR(4*STDEVP(終値!K164:AD164)/AVERAGE(終値!K164:AD164),""))</f>
        <v>0.10182120605595617</v>
      </c>
      <c r="I164" s="503">
        <f>IF(終値!A164="","",IFERROR(4*STDEVP(終値!L164:AE164)/AVERAGE(終値!L164:AE164),""))</f>
        <v>0.12261154187302745</v>
      </c>
      <c r="J164" s="503">
        <f>IF(終値!A164="","",IFERROR(4*STDEVP(終値!M164:AF164)/AVERAGE(終値!M164:AF164),""))</f>
        <v>0.14046913071840736</v>
      </c>
      <c r="K164" s="503">
        <f>IF(終値!A164="","",IFERROR(4*STDEVP(終値!N164:AG164)/AVERAGE(終値!N164:AG164),""))</f>
        <v>0.14227308455471624</v>
      </c>
      <c r="L164" s="503">
        <f>IF(終値!A164="","",IFERROR(4*STDEVP(終値!O164:AH164)/AVERAGE(終値!O164:AH164),""))</f>
        <v>0.14964043961361584</v>
      </c>
      <c r="M164" s="503">
        <f>IF(終値!A164="","",IFERROR(4*STDEVP(終値!P164:AI164)/AVERAGE(終値!P164:AI164),""))</f>
        <v>0.14248694350009161</v>
      </c>
      <c r="N164" s="503">
        <f>IF(終値!A164="","",IFERROR(4*STDEVP(終値!Q164:AJ164)/AVERAGE(終値!Q164:AJ164),""))</f>
        <v>0.14142437686710871</v>
      </c>
      <c r="O164" s="503">
        <f>IF(終値!A164="","",IFERROR(4*STDEVP(終値!R164:AK164)/AVERAGE(終値!R164:AK164),""))</f>
        <v>0.14460845451469467</v>
      </c>
      <c r="P164" s="503">
        <f>IF(終値!A164="","",IFERROR(4*STDEVP(終値!S164:AL164)/AVERAGE(終値!S164:AL164),""))</f>
        <v>0.14808646267592124</v>
      </c>
      <c r="Q164" s="503">
        <f>IF(終値!A164="","",IFERROR(4*STDEVP(終値!T164:AM164)/AVERAGE(終値!T164:AM164),""))</f>
        <v>0.13500276305272979</v>
      </c>
      <c r="R164" s="503">
        <f>IF(終値!A164="","",IFERROR(4*STDEVP(終値!U164:AN164)/AVERAGE(終値!U164:AN164),""))</f>
        <v>0.13099051017868671</v>
      </c>
      <c r="S164" s="503">
        <f>IF(終値!A164="","",IFERROR(4*STDEVP(終値!V164:AO164)/AVERAGE(終値!V164:AO164),""))</f>
        <v>0.13097430367258053</v>
      </c>
      <c r="T164" s="503">
        <f>IF(終値!A164="","",IFERROR(4*STDEVP(終値!W164:AP164)/AVERAGE(終値!W164:AP164),""))</f>
        <v>0.12983809208972191</v>
      </c>
      <c r="U164" s="503">
        <f>IF(終値!A164="","",IFERROR(4*STDEVP(終値!X164:AQ164)/AVERAGE(終値!X164:AQ164),""))</f>
        <v>0.1431480511344842</v>
      </c>
      <c r="V164" s="503">
        <f>IF(終値!A164="","",IFERROR(4*STDEVP(終値!Y164:AR164)/AVERAGE(終値!Y164:AR164),""))</f>
        <v>0.15526136557975481</v>
      </c>
      <c r="W164" s="503">
        <f>IF(終値!A164="","",IFERROR(4*STDEVP(終値!Z164:AS164)/AVERAGE(終値!Z164:AS164),""))</f>
        <v>0.15295973547106184</v>
      </c>
      <c r="X164" s="503">
        <f>IF(終値!A164="","",IFERROR(4*STDEVP(終値!AA164:AT164)/AVERAGE(終値!AA164:AT164),""))</f>
        <v>0.13697600616765165</v>
      </c>
      <c r="Y164" s="503">
        <f>IF(終値!A164="","",IFERROR(4*STDEVP(終値!AB164:AU164)/AVERAGE(終値!AB164:AU164),""))</f>
        <v>0.12052923060212449</v>
      </c>
      <c r="Z164" s="503">
        <f>IF(終値!A164="","",IFERROR(4*STDEVP(終値!AC164:AV164)/AVERAGE(終値!AC164:AV164),""))</f>
        <v>0.11067434678550211</v>
      </c>
      <c r="AA164" s="503">
        <f>IF(終値!A164="","",IFERROR(4*STDEVP(終値!AD164:AW164)/AVERAGE(終値!AD164:AW164),""))</f>
        <v>0.10655072735637044</v>
      </c>
      <c r="AB164" s="503">
        <f>IF(終値!A164="","",IFERROR(4*STDEVP(終値!AE164:AX164)/AVERAGE(終値!AE164:AX164),""))</f>
        <v>0.10854744491683212</v>
      </c>
      <c r="AC164" s="503">
        <f>IF(終値!A164="","",IFERROR(4*STDEVP(終値!AF164:AY164)/AVERAGE(終値!AF164:AY164),""))</f>
        <v>0.10833754192726661</v>
      </c>
      <c r="AD164" s="503">
        <f>IF(終値!A164="","",IFERROR(4*STDEVP(終値!AG164:AZ164)/AVERAGE(終値!AG164:AZ164),""))</f>
        <v>0.10916320899293663</v>
      </c>
      <c r="AE164" s="503">
        <f>IF(終値!A164="","",IFERROR(4*STDEVP(終値!AH164:BA164)/AVERAGE(終値!AH164:BA164),""))</f>
        <v>0.1079288685394509</v>
      </c>
      <c r="AF164" s="503">
        <f>IF(終値!A164="","",IFERROR(4*STDEVP(終値!AI164:BB164)/AVERAGE(終値!AI164:BB164),""))</f>
        <v>0.10859900656160587</v>
      </c>
      <c r="AG164" s="503">
        <f>IF(終値!A164="","",IFERROR(4*STDEVP(終値!AJ164:BC164)/AVERAGE(終値!AJ164:BC164),""))</f>
        <v>0.10212355120538182</v>
      </c>
      <c r="AH164" s="503">
        <f>IF(終値!A164="","",IFERROR(4*STDEVP(終値!AK164:BD164)/AVERAGE(終値!AK164:BD164),""))</f>
        <v>9.0468080009832696E-2</v>
      </c>
      <c r="AI164" s="503">
        <f>IF(終値!A164="","",IFERROR(4*STDEVP(終値!AL164:BE164)/AVERAGE(終値!AL164:BE164),""))</f>
        <v>9.0178032075936748E-2</v>
      </c>
      <c r="AJ164" s="503">
        <f>IF(終値!A164="","",IFERROR(4*STDEVP(終値!AM164:BF164)/AVERAGE(終値!AM164:BF164),""))</f>
        <v>8.8151109442649103E-2</v>
      </c>
      <c r="AK164" s="503">
        <f>IF(終値!A164="","",IFERROR(4*STDEVP(終値!AN164:BG164)/AVERAGE(終値!AN164:BG164),""))</f>
        <v>8.9688890479586128E-2</v>
      </c>
      <c r="AL164" s="503">
        <f>IF(終値!A164="","",IFERROR(4*STDEVP(終値!AO164:BH164)/AVERAGE(終値!AO164:BH164),""))</f>
        <v>9.1732164230573857E-2</v>
      </c>
      <c r="AM164" s="503">
        <f>IF(終値!A164="","",IFERROR(4*STDEVP(終値!AP164:BI164)/AVERAGE(終値!AP164:BI164),""))</f>
        <v>0.10515032294326333</v>
      </c>
      <c r="AN164" s="503">
        <f>IF(終値!A164="","",IFERROR(4*STDEVP(終値!AQ164:BJ164)/AVERAGE(終値!AQ164:BJ164),""))</f>
        <v>0.11514563937501092</v>
      </c>
      <c r="AO164" s="503">
        <f>IF(終値!A164="","",IFERROR(4*STDEVP(終値!AR164:BK164)/AVERAGE(終値!AR164:BK164),""))</f>
        <v>0.1259137684982449</v>
      </c>
      <c r="AP164" s="503">
        <f>IF(終値!A164="","",IFERROR(4*STDEVP(終値!AS164:BL164)/AVERAGE(終値!AS164:BL164),""))</f>
        <v>0.12959499695537033</v>
      </c>
    </row>
    <row r="165" spans="1:42">
      <c r="A165" s="500" t="str">
        <f>IF(終値!A165="","",終値!A165)</f>
        <v>4733</v>
      </c>
      <c r="B165" s="503">
        <f>IF(終値!A165="","",IFERROR(4*STDEVP(終値!E165:X165)/AVERAGE(終値!E165:X165),""))</f>
        <v>0.38066055614607192</v>
      </c>
      <c r="C165" s="503">
        <f>IF(終値!A165="","",IFERROR(4*STDEVP(終値!F165:Y165)/AVERAGE(終値!F165:Y165),""))</f>
        <v>0.38666961655828924</v>
      </c>
      <c r="D165" s="503">
        <f>IF(終値!A165="","",IFERROR(4*STDEVP(終値!G165:Z165)/AVERAGE(終値!G165:Z165),""))</f>
        <v>0.39262117402989577</v>
      </c>
      <c r="E165" s="503">
        <f>IF(終値!A165="","",IFERROR(4*STDEVP(終値!H165:AA165)/AVERAGE(終値!H165:AA165),""))</f>
        <v>0.39895752482524127</v>
      </c>
      <c r="F165" s="503">
        <f>IF(終値!A165="","",IFERROR(4*STDEVP(終値!I165:AB165)/AVERAGE(終値!I165:AB165),""))</f>
        <v>0.39985705256883125</v>
      </c>
      <c r="G165" s="503">
        <f>IF(終値!A165="","",IFERROR(4*STDEVP(終値!J165:AC165)/AVERAGE(終値!J165:AC165),""))</f>
        <v>0.40173889314712291</v>
      </c>
      <c r="H165" s="503">
        <f>IF(終値!A165="","",IFERROR(4*STDEVP(終値!K165:AD165)/AVERAGE(終値!K165:AD165),""))</f>
        <v>0.37557588983422363</v>
      </c>
      <c r="I165" s="503">
        <f>IF(終値!A165="","",IFERROR(4*STDEVP(終値!L165:AE165)/AVERAGE(終値!L165:AE165),""))</f>
        <v>0.32330477479004721</v>
      </c>
      <c r="J165" s="503">
        <f>IF(終値!A165="","",IFERROR(4*STDEVP(終値!M165:AF165)/AVERAGE(終値!M165:AF165),""))</f>
        <v>0.29511385506500826</v>
      </c>
      <c r="K165" s="503">
        <f>IF(終値!A165="","",IFERROR(4*STDEVP(終値!N165:AG165)/AVERAGE(終値!N165:AG165),""))</f>
        <v>0.25128852343627095</v>
      </c>
      <c r="L165" s="503">
        <f>IF(終値!A165="","",IFERROR(4*STDEVP(終値!O165:AH165)/AVERAGE(終値!O165:AH165),""))</f>
        <v>0.21215177536355784</v>
      </c>
      <c r="M165" s="503">
        <f>IF(終値!A165="","",IFERROR(4*STDEVP(終値!P165:AI165)/AVERAGE(終値!P165:AI165),""))</f>
        <v>0.21854437454728981</v>
      </c>
      <c r="N165" s="503">
        <f>IF(終値!A165="","",IFERROR(4*STDEVP(終値!Q165:AJ165)/AVERAGE(終値!Q165:AJ165),""))</f>
        <v>0.22592841056760635</v>
      </c>
      <c r="O165" s="503">
        <f>IF(終値!A165="","",IFERROR(4*STDEVP(終値!R165:AK165)/AVERAGE(終値!R165:AK165),""))</f>
        <v>0.23556593125942346</v>
      </c>
      <c r="P165" s="503">
        <f>IF(終値!A165="","",IFERROR(4*STDEVP(終値!S165:AL165)/AVERAGE(終値!S165:AL165),""))</f>
        <v>0.2321048025141513</v>
      </c>
      <c r="Q165" s="503">
        <f>IF(終値!A165="","",IFERROR(4*STDEVP(終値!T165:AM165)/AVERAGE(終値!T165:AM165),""))</f>
        <v>0.23229131036894335</v>
      </c>
      <c r="R165" s="503">
        <f>IF(終値!A165="","",IFERROR(4*STDEVP(終値!U165:AN165)/AVERAGE(終値!U165:AN165),""))</f>
        <v>0.22706351187062659</v>
      </c>
      <c r="S165" s="503">
        <f>IF(終値!A165="","",IFERROR(4*STDEVP(終値!V165:AO165)/AVERAGE(終値!V165:AO165),""))</f>
        <v>0.21885869836553734</v>
      </c>
      <c r="T165" s="503">
        <f>IF(終値!A165="","",IFERROR(4*STDEVP(終値!W165:AP165)/AVERAGE(終値!W165:AP165),""))</f>
        <v>0.21083441610840481</v>
      </c>
      <c r="U165" s="503">
        <f>IF(終値!A165="","",IFERROR(4*STDEVP(終値!X165:AQ165)/AVERAGE(終値!X165:AQ165),""))</f>
        <v>0.19916701543817344</v>
      </c>
      <c r="V165" s="503">
        <f>IF(終値!A165="","",IFERROR(4*STDEVP(終値!Y165:AR165)/AVERAGE(終値!Y165:AR165),""))</f>
        <v>0.18478232191205313</v>
      </c>
      <c r="W165" s="503">
        <f>IF(終値!A165="","",IFERROR(4*STDEVP(終値!Z165:AS165)/AVERAGE(終値!Z165:AS165),""))</f>
        <v>0.16545976958809491</v>
      </c>
      <c r="X165" s="503">
        <f>IF(終値!A165="","",IFERROR(4*STDEVP(終値!AA165:AT165)/AVERAGE(終値!AA165:AT165),""))</f>
        <v>0.14075906443892733</v>
      </c>
      <c r="Y165" s="503">
        <f>IF(終値!A165="","",IFERROR(4*STDEVP(終値!AB165:AU165)/AVERAGE(終値!AB165:AU165),""))</f>
        <v>0.11729143502467902</v>
      </c>
      <c r="Z165" s="503">
        <f>IF(終値!A165="","",IFERROR(4*STDEVP(終値!AC165:AV165)/AVERAGE(終値!AC165:AV165),""))</f>
        <v>0.10454714247013397</v>
      </c>
      <c r="AA165" s="503">
        <f>IF(終値!A165="","",IFERROR(4*STDEVP(終値!AD165:AW165)/AVERAGE(終値!AD165:AW165),""))</f>
        <v>0.12757889232395719</v>
      </c>
      <c r="AB165" s="503">
        <f>IF(終値!A165="","",IFERROR(4*STDEVP(終値!AE165:AX165)/AVERAGE(終値!AE165:AX165),""))</f>
        <v>0.12861818210897205</v>
      </c>
      <c r="AC165" s="503">
        <f>IF(終値!A165="","",IFERROR(4*STDEVP(終値!AF165:AY165)/AVERAGE(終値!AF165:AY165),""))</f>
        <v>0.12800081487189988</v>
      </c>
      <c r="AD165" s="503">
        <f>IF(終値!A165="","",IFERROR(4*STDEVP(終値!AG165:AZ165)/AVERAGE(終値!AG165:AZ165),""))</f>
        <v>0.13141196427240595</v>
      </c>
      <c r="AE165" s="503">
        <f>IF(終値!A165="","",IFERROR(4*STDEVP(終値!AH165:BA165)/AVERAGE(終値!AH165:BA165),""))</f>
        <v>0.12670753784761898</v>
      </c>
      <c r="AF165" s="503">
        <f>IF(終値!A165="","",IFERROR(4*STDEVP(終値!AI165:BB165)/AVERAGE(終値!AI165:BB165),""))</f>
        <v>0.12589787646757838</v>
      </c>
      <c r="AG165" s="503">
        <f>IF(終値!A165="","",IFERROR(4*STDEVP(終値!AJ165:BC165)/AVERAGE(終値!AJ165:BC165),""))</f>
        <v>0.11553718811551626</v>
      </c>
      <c r="AH165" s="503">
        <f>IF(終値!A165="","",IFERROR(4*STDEVP(終値!AK165:BD165)/AVERAGE(終値!AK165:BD165),""))</f>
        <v>0.1034676815222289</v>
      </c>
      <c r="AI165" s="503">
        <f>IF(終値!A165="","",IFERROR(4*STDEVP(終値!AL165:BE165)/AVERAGE(終値!AL165:BE165),""))</f>
        <v>9.5439021944492997E-2</v>
      </c>
      <c r="AJ165" s="503">
        <f>IF(終値!A165="","",IFERROR(4*STDEVP(終値!AM165:BF165)/AVERAGE(終値!AM165:BF165),""))</f>
        <v>9.4416765020539389E-2</v>
      </c>
      <c r="AK165" s="503">
        <f>IF(終値!A165="","",IFERROR(4*STDEVP(終値!AN165:BG165)/AVERAGE(終値!AN165:BG165),""))</f>
        <v>9.1053578222693027E-2</v>
      </c>
      <c r="AL165" s="503">
        <f>IF(終値!A165="","",IFERROR(4*STDEVP(終値!AO165:BH165)/AVERAGE(終値!AO165:BH165),""))</f>
        <v>8.5191842307445212E-2</v>
      </c>
      <c r="AM165" s="503">
        <f>IF(終値!A165="","",IFERROR(4*STDEVP(終値!AP165:BI165)/AVERAGE(終値!AP165:BI165),""))</f>
        <v>8.0646540968148953E-2</v>
      </c>
      <c r="AN165" s="503">
        <f>IF(終値!A165="","",IFERROR(4*STDEVP(終値!AQ165:BJ165)/AVERAGE(終値!AQ165:BJ165),""))</f>
        <v>7.27539588368422E-2</v>
      </c>
      <c r="AO165" s="503">
        <f>IF(終値!A165="","",IFERROR(4*STDEVP(終値!AR165:BK165)/AVERAGE(終値!AR165:BK165),""))</f>
        <v>6.9074018293766123E-2</v>
      </c>
      <c r="AP165" s="503">
        <f>IF(終値!A165="","",IFERROR(4*STDEVP(終値!AS165:BL165)/AVERAGE(終値!AS165:BL165),""))</f>
        <v>6.7904327425903133E-2</v>
      </c>
    </row>
    <row r="166" spans="1:42">
      <c r="A166" s="500" t="str">
        <f>IF(終値!A166="","",終値!A166)</f>
        <v>9733</v>
      </c>
      <c r="B166" s="503">
        <f>IF(終値!A166="","",IFERROR(4*STDEVP(終値!E166:X166)/AVERAGE(終値!E166:X166),""))</f>
        <v>5.6013492453955809E-2</v>
      </c>
      <c r="C166" s="503">
        <f>IF(終値!A166="","",IFERROR(4*STDEVP(終値!F166:Y166)/AVERAGE(終値!F166:Y166),""))</f>
        <v>5.8048149703362271E-2</v>
      </c>
      <c r="D166" s="503">
        <f>IF(終値!A166="","",IFERROR(4*STDEVP(終値!G166:Z166)/AVERAGE(終値!G166:Z166),""))</f>
        <v>5.5928662238401192E-2</v>
      </c>
      <c r="E166" s="503">
        <f>IF(終値!A166="","",IFERROR(4*STDEVP(終値!H166:AA166)/AVERAGE(終値!H166:AA166),""))</f>
        <v>5.1830961944965628E-2</v>
      </c>
      <c r="F166" s="503">
        <f>IF(終値!A166="","",IFERROR(4*STDEVP(終値!I166:AB166)/AVERAGE(終値!I166:AB166),""))</f>
        <v>5.1035814407232698E-2</v>
      </c>
      <c r="G166" s="503">
        <f>IF(終値!A166="","",IFERROR(4*STDEVP(終値!J166:AC166)/AVERAGE(終値!J166:AC166),""))</f>
        <v>5.3080343969896075E-2</v>
      </c>
      <c r="H166" s="503">
        <f>IF(終値!A166="","",IFERROR(4*STDEVP(終値!K166:AD166)/AVERAGE(終値!K166:AD166),""))</f>
        <v>5.5977530167384784E-2</v>
      </c>
      <c r="I166" s="503">
        <f>IF(終値!A166="","",IFERROR(4*STDEVP(終値!L166:AE166)/AVERAGE(終値!L166:AE166),""))</f>
        <v>5.6348616469228341E-2</v>
      </c>
      <c r="J166" s="503">
        <f>IF(終値!A166="","",IFERROR(4*STDEVP(終値!M166:AF166)/AVERAGE(終値!M166:AF166),""))</f>
        <v>6.1921153322134069E-2</v>
      </c>
      <c r="K166" s="503">
        <f>IF(終値!A166="","",IFERROR(4*STDEVP(終値!N166:AG166)/AVERAGE(終値!N166:AG166),""))</f>
        <v>7.5943899766253792E-2</v>
      </c>
      <c r="L166" s="503">
        <f>IF(終値!A166="","",IFERROR(4*STDEVP(終値!O166:AH166)/AVERAGE(終値!O166:AH166),""))</f>
        <v>8.3551939217496471E-2</v>
      </c>
      <c r="M166" s="503">
        <f>IF(終値!A166="","",IFERROR(4*STDEVP(終値!P166:AI166)/AVERAGE(終値!P166:AI166),""))</f>
        <v>9.4354819892836575E-2</v>
      </c>
      <c r="N166" s="503">
        <f>IF(終値!A166="","",IFERROR(4*STDEVP(終値!Q166:AJ166)/AVERAGE(終値!Q166:AJ166),""))</f>
        <v>0.1021728248466091</v>
      </c>
      <c r="O166" s="503">
        <f>IF(終値!A166="","",IFERROR(4*STDEVP(終値!R166:AK166)/AVERAGE(終値!R166:AK166),""))</f>
        <v>0.11004946697549013</v>
      </c>
      <c r="P166" s="503">
        <f>IF(終値!A166="","",IFERROR(4*STDEVP(終値!S166:AL166)/AVERAGE(終値!S166:AL166),""))</f>
        <v>0.11868231235760882</v>
      </c>
      <c r="Q166" s="503">
        <f>IF(終値!A166="","",IFERROR(4*STDEVP(終値!T166:AM166)/AVERAGE(終値!T166:AM166),""))</f>
        <v>0.12479277038037631</v>
      </c>
      <c r="R166" s="503">
        <f>IF(終値!A166="","",IFERROR(4*STDEVP(終値!U166:AN166)/AVERAGE(終値!U166:AN166),""))</f>
        <v>0.12927391833461202</v>
      </c>
      <c r="S166" s="503">
        <f>IF(終値!A166="","",IFERROR(4*STDEVP(終値!V166:AO166)/AVERAGE(終値!V166:AO166),""))</f>
        <v>0.12948411524546719</v>
      </c>
      <c r="T166" s="503">
        <f>IF(終値!A166="","",IFERROR(4*STDEVP(終値!W166:AP166)/AVERAGE(終値!W166:AP166),""))</f>
        <v>0.12694350896741288</v>
      </c>
      <c r="U166" s="503">
        <f>IF(終値!A166="","",IFERROR(4*STDEVP(終値!X166:AQ166)/AVERAGE(終値!X166:AQ166),""))</f>
        <v>0.12193404288091308</v>
      </c>
      <c r="V166" s="503">
        <f>IF(終値!A166="","",IFERROR(4*STDEVP(終値!Y166:AR166)/AVERAGE(終値!Y166:AR166),""))</f>
        <v>0.11394520570168036</v>
      </c>
      <c r="W166" s="503">
        <f>IF(終値!A166="","",IFERROR(4*STDEVP(終値!Z166:AS166)/AVERAGE(終値!Z166:AS166),""))</f>
        <v>0.10244676787162388</v>
      </c>
      <c r="X166" s="503">
        <f>IF(終値!A166="","",IFERROR(4*STDEVP(終値!AA166:AT166)/AVERAGE(終値!AA166:AT166),""))</f>
        <v>8.9140989486130681E-2</v>
      </c>
      <c r="Y166" s="503">
        <f>IF(終値!A166="","",IFERROR(4*STDEVP(終値!AB166:AU166)/AVERAGE(終値!AB166:AU166),""))</f>
        <v>7.8880279042445087E-2</v>
      </c>
      <c r="Z166" s="503">
        <f>IF(終値!A166="","",IFERROR(4*STDEVP(終値!AC166:AV166)/AVERAGE(終値!AC166:AV166),""))</f>
        <v>6.9304204077873147E-2</v>
      </c>
      <c r="AA166" s="503">
        <f>IF(終値!A166="","",IFERROR(4*STDEVP(終値!AD166:AW166)/AVERAGE(終値!AD166:AW166),""))</f>
        <v>6.2666936406811174E-2</v>
      </c>
      <c r="AB166" s="503">
        <f>IF(終値!A166="","",IFERROR(4*STDEVP(終値!AE166:AX166)/AVERAGE(終値!AE166:AX166),""))</f>
        <v>5.9625013559881604E-2</v>
      </c>
      <c r="AC166" s="503">
        <f>IF(終値!A166="","",IFERROR(4*STDEVP(終値!AF166:AY166)/AVERAGE(終値!AF166:AY166),""))</f>
        <v>4.5014052360055352E-2</v>
      </c>
      <c r="AD166" s="503">
        <f>IF(終値!A166="","",IFERROR(4*STDEVP(終値!AG166:AZ166)/AVERAGE(終値!AG166:AZ166),""))</f>
        <v>4.4857319023621202E-2</v>
      </c>
      <c r="AE166" s="503">
        <f>IF(終値!A166="","",IFERROR(4*STDEVP(終値!AH166:BA166)/AVERAGE(終値!AH166:BA166),""))</f>
        <v>4.8910593819816391E-2</v>
      </c>
      <c r="AF166" s="503">
        <f>IF(終値!A166="","",IFERROR(4*STDEVP(終値!AI166:BB166)/AVERAGE(終値!AI166:BB166),""))</f>
        <v>5.8984596150969626E-2</v>
      </c>
      <c r="AG166" s="503">
        <f>IF(終値!A166="","",IFERROR(4*STDEVP(終値!AJ166:BC166)/AVERAGE(終値!AJ166:BC166),""))</f>
        <v>6.4255573386585621E-2</v>
      </c>
      <c r="AH166" s="503">
        <f>IF(終値!A166="","",IFERROR(4*STDEVP(終値!AK166:BD166)/AVERAGE(終値!AK166:BD166),""))</f>
        <v>7.2220066011372153E-2</v>
      </c>
      <c r="AI166" s="503">
        <f>IF(終値!A166="","",IFERROR(4*STDEVP(終値!AL166:BE166)/AVERAGE(終値!AL166:BE166),""))</f>
        <v>7.7257799716813694E-2</v>
      </c>
      <c r="AJ166" s="503">
        <f>IF(終値!A166="","",IFERROR(4*STDEVP(終値!AM166:BF166)/AVERAGE(終値!AM166:BF166),""))</f>
        <v>7.6790414868616874E-2</v>
      </c>
      <c r="AK166" s="503">
        <f>IF(終値!A166="","",IFERROR(4*STDEVP(終値!AN166:BG166)/AVERAGE(終値!AN166:BG166),""))</f>
        <v>7.4597078585622562E-2</v>
      </c>
      <c r="AL166" s="503">
        <f>IF(終値!A166="","",IFERROR(4*STDEVP(終値!AO166:BH166)/AVERAGE(終値!AO166:BH166),""))</f>
        <v>7.2525624820516915E-2</v>
      </c>
      <c r="AM166" s="503">
        <f>IF(終値!A166="","",IFERROR(4*STDEVP(終値!AP166:BI166)/AVERAGE(終値!AP166:BI166),""))</f>
        <v>7.2257792439204896E-2</v>
      </c>
      <c r="AN166" s="503">
        <f>IF(終値!A166="","",IFERROR(4*STDEVP(終値!AQ166:BJ166)/AVERAGE(終値!AQ166:BJ166),""))</f>
        <v>7.174428797339584E-2</v>
      </c>
      <c r="AO166" s="503">
        <f>IF(終値!A166="","",IFERROR(4*STDEVP(終値!AR166:BK166)/AVERAGE(終値!AR166:BK166),""))</f>
        <v>7.1020937468122658E-2</v>
      </c>
      <c r="AP166" s="503">
        <f>IF(終値!A166="","",IFERROR(4*STDEVP(終値!AS166:BL166)/AVERAGE(終値!AS166:BL166),""))</f>
        <v>7.0967605492198535E-2</v>
      </c>
    </row>
    <row r="167" spans="1:42">
      <c r="A167" s="500" t="str">
        <f>IF(終値!A167="","",終値!A167)</f>
        <v>9551</v>
      </c>
      <c r="B167" s="503">
        <f>IF(終値!A167="","",IFERROR(4*STDEVP(終値!E167:X167)/AVERAGE(終値!E167:X167),""))</f>
        <v>9.7602099480426849E-2</v>
      </c>
      <c r="C167" s="503">
        <f>IF(終値!A167="","",IFERROR(4*STDEVP(終値!F167:Y167)/AVERAGE(終値!F167:Y167),""))</f>
        <v>9.5616054258007246E-2</v>
      </c>
      <c r="D167" s="503">
        <f>IF(終値!A167="","",IFERROR(4*STDEVP(終値!G167:Z167)/AVERAGE(終値!G167:Z167),""))</f>
        <v>9.4339284656612954E-2</v>
      </c>
      <c r="E167" s="503">
        <f>IF(終値!A167="","",IFERROR(4*STDEVP(終値!H167:AA167)/AVERAGE(終値!H167:AA167),""))</f>
        <v>0.10148499749454808</v>
      </c>
      <c r="F167" s="503">
        <f>IF(終値!A167="","",IFERROR(4*STDEVP(終値!I167:AB167)/AVERAGE(終値!I167:AB167),""))</f>
        <v>0.10301997185671982</v>
      </c>
      <c r="G167" s="503">
        <f>IF(終値!A167="","",IFERROR(4*STDEVP(終値!J167:AC167)/AVERAGE(終値!J167:AC167),""))</f>
        <v>0.10574736218447214</v>
      </c>
      <c r="H167" s="503">
        <f>IF(終値!A167="","",IFERROR(4*STDEVP(終値!K167:AD167)/AVERAGE(終値!K167:AD167),""))</f>
        <v>9.9661512404722569E-2</v>
      </c>
      <c r="I167" s="503">
        <f>IF(終値!A167="","",IFERROR(4*STDEVP(終値!L167:AE167)/AVERAGE(終値!L167:AE167),""))</f>
        <v>9.8563850935813796E-2</v>
      </c>
      <c r="J167" s="503">
        <f>IF(終値!A167="","",IFERROR(4*STDEVP(終値!M167:AF167)/AVERAGE(終値!M167:AF167),""))</f>
        <v>0.12087240750588833</v>
      </c>
      <c r="K167" s="503">
        <f>IF(終値!A167="","",IFERROR(4*STDEVP(終値!N167:AG167)/AVERAGE(終値!N167:AG167),""))</f>
        <v>0.14330109340565991</v>
      </c>
      <c r="L167" s="503">
        <f>IF(終値!A167="","",IFERROR(4*STDEVP(終値!O167:AH167)/AVERAGE(終値!O167:AH167),""))</f>
        <v>0.15087885076654772</v>
      </c>
      <c r="M167" s="503">
        <f>IF(終値!A167="","",IFERROR(4*STDEVP(終値!P167:AI167)/AVERAGE(終値!P167:AI167),""))</f>
        <v>0.15954890413314754</v>
      </c>
      <c r="N167" s="503">
        <f>IF(終値!A167="","",IFERROR(4*STDEVP(終値!Q167:AJ167)/AVERAGE(終値!Q167:AJ167),""))</f>
        <v>0.16658698445973619</v>
      </c>
      <c r="O167" s="503">
        <f>IF(終値!A167="","",IFERROR(4*STDEVP(終値!R167:AK167)/AVERAGE(終値!R167:AK167),""))</f>
        <v>0.16325396562319985</v>
      </c>
      <c r="P167" s="503">
        <f>IF(終値!A167="","",IFERROR(4*STDEVP(終値!S167:AL167)/AVERAGE(終値!S167:AL167),""))</f>
        <v>0.15315498217887707</v>
      </c>
      <c r="Q167" s="503">
        <f>IF(終値!A167="","",IFERROR(4*STDEVP(終値!T167:AM167)/AVERAGE(終値!T167:AM167),""))</f>
        <v>0.14921093835818394</v>
      </c>
      <c r="R167" s="503">
        <f>IF(終値!A167="","",IFERROR(4*STDEVP(終値!U167:AN167)/AVERAGE(終値!U167:AN167),""))</f>
        <v>0.13976015843765599</v>
      </c>
      <c r="S167" s="503">
        <f>IF(終値!A167="","",IFERROR(4*STDEVP(終値!V167:AO167)/AVERAGE(終値!V167:AO167),""))</f>
        <v>0.13239950153008254</v>
      </c>
      <c r="T167" s="503">
        <f>IF(終値!A167="","",IFERROR(4*STDEVP(終値!W167:AP167)/AVERAGE(終値!W167:AP167),""))</f>
        <v>0.14128141158603669</v>
      </c>
      <c r="U167" s="503">
        <f>IF(終値!A167="","",IFERROR(4*STDEVP(終値!X167:AQ167)/AVERAGE(終値!X167:AQ167),""))</f>
        <v>0.15558667660292108</v>
      </c>
      <c r="V167" s="503">
        <f>IF(終値!A167="","",IFERROR(4*STDEVP(終値!Y167:AR167)/AVERAGE(終値!Y167:AR167),""))</f>
        <v>0.15839245051365369</v>
      </c>
      <c r="W167" s="503">
        <f>IF(終値!A167="","",IFERROR(4*STDEVP(終値!Z167:AS167)/AVERAGE(終値!Z167:AS167),""))</f>
        <v>0.15971762439844508</v>
      </c>
      <c r="X167" s="503">
        <f>IF(終値!A167="","",IFERROR(4*STDEVP(終値!AA167:AT167)/AVERAGE(終値!AA167:AT167),""))</f>
        <v>0.16087072081129858</v>
      </c>
      <c r="Y167" s="503">
        <f>IF(終値!A167="","",IFERROR(4*STDEVP(終値!AB167:AU167)/AVERAGE(終値!AB167:AU167),""))</f>
        <v>0.16349395439852771</v>
      </c>
      <c r="Z167" s="503">
        <f>IF(終値!A167="","",IFERROR(4*STDEVP(終値!AC167:AV167)/AVERAGE(終値!AC167:AV167),""))</f>
        <v>0.16367424161918243</v>
      </c>
      <c r="AA167" s="503">
        <f>IF(終値!A167="","",IFERROR(4*STDEVP(終値!AD167:AW167)/AVERAGE(終値!AD167:AW167),""))</f>
        <v>0.16552543960884361</v>
      </c>
      <c r="AB167" s="503">
        <f>IF(終値!A167="","",IFERROR(4*STDEVP(終値!AE167:AX167)/AVERAGE(終値!AE167:AX167),""))</f>
        <v>0.17248528973813698</v>
      </c>
      <c r="AC167" s="503">
        <f>IF(終値!A167="","",IFERROR(4*STDEVP(終値!AF167:AY167)/AVERAGE(終値!AF167:AY167),""))</f>
        <v>0.17529922890722432</v>
      </c>
      <c r="AD167" s="503">
        <f>IF(終値!A167="","",IFERROR(4*STDEVP(終値!AG167:AZ167)/AVERAGE(終値!AG167:AZ167),""))</f>
        <v>0.16787253043645853</v>
      </c>
      <c r="AE167" s="503">
        <f>IF(終値!A167="","",IFERROR(4*STDEVP(終値!AH167:BA167)/AVERAGE(終値!AH167:BA167),""))</f>
        <v>0.15858738073429909</v>
      </c>
      <c r="AF167" s="503">
        <f>IF(終値!A167="","",IFERROR(4*STDEVP(終値!AI167:BB167)/AVERAGE(終値!AI167:BB167),""))</f>
        <v>0.15241909877913157</v>
      </c>
      <c r="AG167" s="503">
        <f>IF(終値!A167="","",IFERROR(4*STDEVP(終値!AJ167:BC167)/AVERAGE(終値!AJ167:BC167),""))</f>
        <v>0.14331826457369254</v>
      </c>
      <c r="AH167" s="503">
        <f>IF(終値!A167="","",IFERROR(4*STDEVP(終値!AK167:BD167)/AVERAGE(終値!AK167:BD167),""))</f>
        <v>0.13006738766244536</v>
      </c>
      <c r="AI167" s="503">
        <f>IF(終値!A167="","",IFERROR(4*STDEVP(終値!AL167:BE167)/AVERAGE(終値!AL167:BE167),""))</f>
        <v>0.12213488477565852</v>
      </c>
      <c r="AJ167" s="503">
        <f>IF(終値!A167="","",IFERROR(4*STDEVP(終値!AM167:BF167)/AVERAGE(終値!AM167:BF167),""))</f>
        <v>0.11474197954575224</v>
      </c>
      <c r="AK167" s="503">
        <f>IF(終値!A167="","",IFERROR(4*STDEVP(終値!AN167:BG167)/AVERAGE(終値!AN167:BG167),""))</f>
        <v>0.12630840550228081</v>
      </c>
      <c r="AL167" s="503">
        <f>IF(終値!A167="","",IFERROR(4*STDEVP(終値!AO167:BH167)/AVERAGE(終値!AO167:BH167),""))</f>
        <v>0.13127135140499596</v>
      </c>
      <c r="AM167" s="503">
        <f>IF(終値!A167="","",IFERROR(4*STDEVP(終値!AP167:BI167)/AVERAGE(終値!AP167:BI167),""))</f>
        <v>0.13676224824248312</v>
      </c>
      <c r="AN167" s="503">
        <f>IF(終値!A167="","",IFERROR(4*STDEVP(終値!AQ167:BJ167)/AVERAGE(終値!AQ167:BJ167),""))</f>
        <v>0.13174169037923536</v>
      </c>
      <c r="AO167" s="503">
        <f>IF(終値!A167="","",IFERROR(4*STDEVP(終値!AR167:BK167)/AVERAGE(終値!AR167:BK167),""))</f>
        <v>0.12317482009357651</v>
      </c>
      <c r="AP167" s="503">
        <f>IF(終値!A167="","",IFERROR(4*STDEVP(終値!AS167:BL167)/AVERAGE(終値!AS167:BL167),""))</f>
        <v>0.11663057143723669</v>
      </c>
    </row>
    <row r="168" spans="1:42">
      <c r="A168" s="500" t="str">
        <f>IF(終値!A168="","",終値!A168)</f>
        <v>2359</v>
      </c>
      <c r="B168" s="503">
        <f>IF(終値!A168="","",IFERROR(4*STDEVP(終値!E168:X168)/AVERAGE(終値!E168:X168),""))</f>
        <v>5.7423952302271618E-2</v>
      </c>
      <c r="C168" s="503">
        <f>IF(終値!A168="","",IFERROR(4*STDEVP(終値!F168:Y168)/AVERAGE(終値!F168:Y168),""))</f>
        <v>6.0499331830199156E-2</v>
      </c>
      <c r="D168" s="503">
        <f>IF(終値!A168="","",IFERROR(4*STDEVP(終値!G168:Z168)/AVERAGE(終値!G168:Z168),""))</f>
        <v>6.3262904106172718E-2</v>
      </c>
      <c r="E168" s="503">
        <f>IF(終値!A168="","",IFERROR(4*STDEVP(終値!H168:AA168)/AVERAGE(終値!H168:AA168),""))</f>
        <v>6.806497685994034E-2</v>
      </c>
      <c r="F168" s="503">
        <f>IF(終値!A168="","",IFERROR(4*STDEVP(終値!I168:AB168)/AVERAGE(終値!I168:AB168),""))</f>
        <v>6.7847105474324182E-2</v>
      </c>
      <c r="G168" s="503">
        <f>IF(終値!A168="","",IFERROR(4*STDEVP(終値!J168:AC168)/AVERAGE(終値!J168:AC168),""))</f>
        <v>7.2058180912860606E-2</v>
      </c>
      <c r="H168" s="503">
        <f>IF(終値!A168="","",IFERROR(4*STDEVP(終値!K168:AD168)/AVERAGE(終値!K168:AD168),""))</f>
        <v>6.2558042785607726E-2</v>
      </c>
      <c r="I168" s="503">
        <f>IF(終値!A168="","",IFERROR(4*STDEVP(終値!L168:AE168)/AVERAGE(終値!L168:AE168),""))</f>
        <v>5.4594673381246406E-2</v>
      </c>
      <c r="J168" s="503">
        <f>IF(終値!A168="","",IFERROR(4*STDEVP(終値!M168:AF168)/AVERAGE(終値!M168:AF168),""))</f>
        <v>5.5031974758513208E-2</v>
      </c>
      <c r="K168" s="503">
        <f>IF(終値!A168="","",IFERROR(4*STDEVP(終値!N168:AG168)/AVERAGE(終値!N168:AG168),""))</f>
        <v>5.4142561176971818E-2</v>
      </c>
      <c r="L168" s="503">
        <f>IF(終値!A168="","",IFERROR(4*STDEVP(終値!O168:AH168)/AVERAGE(終値!O168:AH168),""))</f>
        <v>5.7860095223397842E-2</v>
      </c>
      <c r="M168" s="503">
        <f>IF(終値!A168="","",IFERROR(4*STDEVP(終値!P168:AI168)/AVERAGE(終値!P168:AI168),""))</f>
        <v>5.9327918827759812E-2</v>
      </c>
      <c r="N168" s="503">
        <f>IF(終値!A168="","",IFERROR(4*STDEVP(終値!Q168:AJ168)/AVERAGE(終値!Q168:AJ168),""))</f>
        <v>6.2577482045629018E-2</v>
      </c>
      <c r="O168" s="503">
        <f>IF(終値!A168="","",IFERROR(4*STDEVP(終値!R168:AK168)/AVERAGE(終値!R168:AK168),""))</f>
        <v>6.6284502091923297E-2</v>
      </c>
      <c r="P168" s="503">
        <f>IF(終値!A168="","",IFERROR(4*STDEVP(終値!S168:AL168)/AVERAGE(終値!S168:AL168),""))</f>
        <v>6.87800966406098E-2</v>
      </c>
      <c r="Q168" s="503">
        <f>IF(終値!A168="","",IFERROR(4*STDEVP(終値!T168:AM168)/AVERAGE(終値!T168:AM168),""))</f>
        <v>6.9618723026116436E-2</v>
      </c>
      <c r="R168" s="503">
        <f>IF(終値!A168="","",IFERROR(4*STDEVP(終値!U168:AN168)/AVERAGE(終値!U168:AN168),""))</f>
        <v>6.937997713716143E-2</v>
      </c>
      <c r="S168" s="503">
        <f>IF(終値!A168="","",IFERROR(4*STDEVP(終値!V168:AO168)/AVERAGE(終値!V168:AO168),""))</f>
        <v>6.9937175082386754E-2</v>
      </c>
      <c r="T168" s="503">
        <f>IF(終値!A168="","",IFERROR(4*STDEVP(終値!W168:AP168)/AVERAGE(終値!W168:AP168),""))</f>
        <v>6.9974706647824153E-2</v>
      </c>
      <c r="U168" s="503">
        <f>IF(終値!A168="","",IFERROR(4*STDEVP(終値!X168:AQ168)/AVERAGE(終値!X168:AQ168),""))</f>
        <v>6.9075905684834862E-2</v>
      </c>
      <c r="V168" s="503">
        <f>IF(終値!A168="","",IFERROR(4*STDEVP(終値!Y168:AR168)/AVERAGE(終値!Y168:AR168),""))</f>
        <v>6.8275560076387465E-2</v>
      </c>
      <c r="W168" s="503">
        <f>IF(終値!A168="","",IFERROR(4*STDEVP(終値!Z168:AS168)/AVERAGE(終値!Z168:AS168),""))</f>
        <v>6.80703288326861E-2</v>
      </c>
      <c r="X168" s="503">
        <f>IF(終値!A168="","",IFERROR(4*STDEVP(終値!AA168:AT168)/AVERAGE(終値!AA168:AT168),""))</f>
        <v>7.3619876855170782E-2</v>
      </c>
      <c r="Y168" s="503">
        <f>IF(終値!A168="","",IFERROR(4*STDEVP(終値!AB168:AU168)/AVERAGE(終値!AB168:AU168),""))</f>
        <v>6.8925948064108608E-2</v>
      </c>
      <c r="Z168" s="503">
        <f>IF(終値!A168="","",IFERROR(4*STDEVP(終値!AC168:AV168)/AVERAGE(終値!AC168:AV168),""))</f>
        <v>6.4424126044425725E-2</v>
      </c>
      <c r="AA168" s="503">
        <f>IF(終値!A168="","",IFERROR(4*STDEVP(終値!AD168:AW168)/AVERAGE(終値!AD168:AW168),""))</f>
        <v>5.1411002771690792E-2</v>
      </c>
      <c r="AB168" s="503">
        <f>IF(終値!A168="","",IFERROR(4*STDEVP(終値!AE168:AX168)/AVERAGE(終値!AE168:AX168),""))</f>
        <v>4.1132900127630607E-2</v>
      </c>
      <c r="AC168" s="503">
        <f>IF(終値!A168="","",IFERROR(4*STDEVP(終値!AF168:AY168)/AVERAGE(終値!AF168:AY168),""))</f>
        <v>3.9508006786452186E-2</v>
      </c>
      <c r="AD168" s="503">
        <f>IF(終値!A168="","",IFERROR(4*STDEVP(終値!AG168:AZ168)/AVERAGE(終値!AG168:AZ168),""))</f>
        <v>3.912777625775786E-2</v>
      </c>
      <c r="AE168" s="503">
        <f>IF(終値!A168="","",IFERROR(4*STDEVP(終値!AH168:BA168)/AVERAGE(終値!AH168:BA168),""))</f>
        <v>4.7372200825163809E-2</v>
      </c>
      <c r="AF168" s="503">
        <f>IF(終値!A168="","",IFERROR(4*STDEVP(終値!AI168:BB168)/AVERAGE(終値!AI168:BB168),""))</f>
        <v>5.519947254487842E-2</v>
      </c>
      <c r="AG168" s="503">
        <f>IF(終値!A168="","",IFERROR(4*STDEVP(終値!AJ168:BC168)/AVERAGE(終値!AJ168:BC168),""))</f>
        <v>6.0548753424478276E-2</v>
      </c>
      <c r="AH168" s="503">
        <f>IF(終値!A168="","",IFERROR(4*STDEVP(終値!AK168:BD168)/AVERAGE(終値!AK168:BD168),""))</f>
        <v>6.5357089970667193E-2</v>
      </c>
      <c r="AI168" s="503">
        <f>IF(終値!A168="","",IFERROR(4*STDEVP(終値!AL168:BE168)/AVERAGE(終値!AL168:BE168),""))</f>
        <v>6.7371948121819666E-2</v>
      </c>
      <c r="AJ168" s="503">
        <f>IF(終値!A168="","",IFERROR(4*STDEVP(終値!AM168:BF168)/AVERAGE(終値!AM168:BF168),""))</f>
        <v>6.672487362221878E-2</v>
      </c>
      <c r="AK168" s="503">
        <f>IF(終値!A168="","",IFERROR(4*STDEVP(終値!AN168:BG168)/AVERAGE(終値!AN168:BG168),""))</f>
        <v>6.5546546166601882E-2</v>
      </c>
      <c r="AL168" s="503">
        <f>IF(終値!A168="","",IFERROR(4*STDEVP(終値!AO168:BH168)/AVERAGE(終値!AO168:BH168),""))</f>
        <v>6.2630137556467139E-2</v>
      </c>
      <c r="AM168" s="503">
        <f>IF(終値!A168="","",IFERROR(4*STDEVP(終値!AP168:BI168)/AVERAGE(終値!AP168:BI168),""))</f>
        <v>5.9399843807023699E-2</v>
      </c>
      <c r="AN168" s="503">
        <f>IF(終値!A168="","",IFERROR(4*STDEVP(終値!AQ168:BJ168)/AVERAGE(終値!AQ168:BJ168),""))</f>
        <v>5.5689127525514207E-2</v>
      </c>
      <c r="AO168" s="503">
        <f>IF(終値!A168="","",IFERROR(4*STDEVP(終値!AR168:BK168)/AVERAGE(終値!AR168:BK168),""))</f>
        <v>5.7238468296303212E-2</v>
      </c>
      <c r="AP168" s="503">
        <f>IF(終値!A168="","",IFERROR(4*STDEVP(終値!AS168:BL168)/AVERAGE(終値!AS168:BL168),""))</f>
        <v>5.9837374861332199E-2</v>
      </c>
    </row>
    <row r="169" spans="1:42">
      <c r="A169" s="500" t="str">
        <f>IF(終値!A169="","",終値!A169)</f>
        <v>8103</v>
      </c>
      <c r="B169" s="503">
        <f>IF(終値!A169="","",IFERROR(4*STDEVP(終値!E169:X169)/AVERAGE(終値!E169:X169),""))</f>
        <v>4.1942815973559144E-2</v>
      </c>
      <c r="C169" s="503">
        <f>IF(終値!A169="","",IFERROR(4*STDEVP(終値!F169:Y169)/AVERAGE(終値!F169:Y169),""))</f>
        <v>4.1634185591178929E-2</v>
      </c>
      <c r="D169" s="503">
        <f>IF(終値!A169="","",IFERROR(4*STDEVP(終値!G169:Z169)/AVERAGE(終値!G169:Z169),""))</f>
        <v>3.8201063037294855E-2</v>
      </c>
      <c r="E169" s="503">
        <f>IF(終値!A169="","",IFERROR(4*STDEVP(終値!H169:AA169)/AVERAGE(終値!H169:AA169),""))</f>
        <v>3.5429541461586264E-2</v>
      </c>
      <c r="F169" s="503">
        <f>IF(終値!A169="","",IFERROR(4*STDEVP(終値!I169:AB169)/AVERAGE(終値!I169:AB169),""))</f>
        <v>3.6953014105456351E-2</v>
      </c>
      <c r="G169" s="503">
        <f>IF(終値!A169="","",IFERROR(4*STDEVP(終値!J169:AC169)/AVERAGE(終値!J169:AC169),""))</f>
        <v>4.770285144205437E-2</v>
      </c>
      <c r="H169" s="503">
        <f>IF(終値!A169="","",IFERROR(4*STDEVP(終値!K169:AD169)/AVERAGE(終値!K169:AD169),""))</f>
        <v>5.5597563428683085E-2</v>
      </c>
      <c r="I169" s="503">
        <f>IF(終値!A169="","",IFERROR(4*STDEVP(終値!L169:AE169)/AVERAGE(終値!L169:AE169),""))</f>
        <v>5.8261895402818488E-2</v>
      </c>
      <c r="J169" s="503">
        <f>IF(終値!A169="","",IFERROR(4*STDEVP(終値!M169:AF169)/AVERAGE(終値!M169:AF169),""))</f>
        <v>6.8987165374705658E-2</v>
      </c>
      <c r="K169" s="503">
        <f>IF(終値!A169="","",IFERROR(4*STDEVP(終値!N169:AG169)/AVERAGE(終値!N169:AG169),""))</f>
        <v>7.3318692402195365E-2</v>
      </c>
      <c r="L169" s="503">
        <f>IF(終値!A169="","",IFERROR(4*STDEVP(終値!O169:AH169)/AVERAGE(終値!O169:AH169),""))</f>
        <v>8.5359765551476896E-2</v>
      </c>
      <c r="M169" s="503">
        <f>IF(終値!A169="","",IFERROR(4*STDEVP(終値!P169:AI169)/AVERAGE(終値!P169:AI169),""))</f>
        <v>8.7878075340238365E-2</v>
      </c>
      <c r="N169" s="503">
        <f>IF(終値!A169="","",IFERROR(4*STDEVP(終値!Q169:AJ169)/AVERAGE(終値!Q169:AJ169),""))</f>
        <v>8.7168416073845581E-2</v>
      </c>
      <c r="O169" s="503">
        <f>IF(終値!A169="","",IFERROR(4*STDEVP(終値!R169:AK169)/AVERAGE(終値!R169:AK169),""))</f>
        <v>8.857815131129218E-2</v>
      </c>
      <c r="P169" s="503">
        <f>IF(終値!A169="","",IFERROR(4*STDEVP(終値!S169:AL169)/AVERAGE(終値!S169:AL169),""))</f>
        <v>9.1401717673810695E-2</v>
      </c>
      <c r="Q169" s="503">
        <f>IF(終値!A169="","",IFERROR(4*STDEVP(終値!T169:AM169)/AVERAGE(終値!T169:AM169),""))</f>
        <v>8.8451780741632333E-2</v>
      </c>
      <c r="R169" s="503">
        <f>IF(終値!A169="","",IFERROR(4*STDEVP(終値!U169:AN169)/AVERAGE(終値!U169:AN169),""))</f>
        <v>8.7920964841073479E-2</v>
      </c>
      <c r="S169" s="503">
        <f>IF(終値!A169="","",IFERROR(4*STDEVP(終値!V169:AO169)/AVERAGE(終値!V169:AO169),""))</f>
        <v>8.676348404861163E-2</v>
      </c>
      <c r="T169" s="503">
        <f>IF(終値!A169="","",IFERROR(4*STDEVP(終値!W169:AP169)/AVERAGE(終値!W169:AP169),""))</f>
        <v>8.3995283659016373E-2</v>
      </c>
      <c r="U169" s="503">
        <f>IF(終値!A169="","",IFERROR(4*STDEVP(終値!X169:AQ169)/AVERAGE(終値!X169:AQ169),""))</f>
        <v>8.2895223943822968E-2</v>
      </c>
      <c r="V169" s="503">
        <f>IF(終値!A169="","",IFERROR(4*STDEVP(終値!Y169:AR169)/AVERAGE(終値!Y169:AR169),""))</f>
        <v>7.8391216559037788E-2</v>
      </c>
      <c r="W169" s="503">
        <f>IF(終値!A169="","",IFERROR(4*STDEVP(終値!Z169:AS169)/AVERAGE(終値!Z169:AS169),""))</f>
        <v>6.9307216789101095E-2</v>
      </c>
      <c r="X169" s="503">
        <f>IF(終値!A169="","",IFERROR(4*STDEVP(終値!AA169:AT169)/AVERAGE(終値!AA169:AT169),""))</f>
        <v>5.2882788458348269E-2</v>
      </c>
      <c r="Y169" s="503">
        <f>IF(終値!A169="","",IFERROR(4*STDEVP(終値!AB169:AU169)/AVERAGE(終値!AB169:AU169),""))</f>
        <v>4.2520830645582056E-2</v>
      </c>
      <c r="Z169" s="503">
        <f>IF(終値!A169="","",IFERROR(4*STDEVP(終値!AC169:AV169)/AVERAGE(終値!AC169:AV169),""))</f>
        <v>3.8798414640802747E-2</v>
      </c>
      <c r="AA169" s="503">
        <f>IF(終値!A169="","",IFERROR(4*STDEVP(終値!AD169:AW169)/AVERAGE(終値!AD169:AW169),""))</f>
        <v>3.8798414640802747E-2</v>
      </c>
      <c r="AB169" s="503">
        <f>IF(終値!A169="","",IFERROR(4*STDEVP(終値!AE169:AX169)/AVERAGE(終値!AE169:AX169),""))</f>
        <v>3.9217340681262487E-2</v>
      </c>
      <c r="AC169" s="503">
        <f>IF(終値!A169="","",IFERROR(4*STDEVP(終値!AF169:AY169)/AVERAGE(終値!AF169:AY169),""))</f>
        <v>4.11811771103993E-2</v>
      </c>
      <c r="AD169" s="503">
        <f>IF(終値!A169="","",IFERROR(4*STDEVP(終値!AG169:AZ169)/AVERAGE(終値!AG169:AZ169),""))</f>
        <v>4.1546654564611048E-2</v>
      </c>
      <c r="AE169" s="503">
        <f>IF(終値!A169="","",IFERROR(4*STDEVP(終値!AH169:BA169)/AVERAGE(終値!AH169:BA169),""))</f>
        <v>5.1674512448665957E-2</v>
      </c>
      <c r="AF169" s="503">
        <f>IF(終値!A169="","",IFERROR(4*STDEVP(終値!AI169:BB169)/AVERAGE(終値!AI169:BB169),""))</f>
        <v>5.1581627512331175E-2</v>
      </c>
      <c r="AG169" s="503">
        <f>IF(終値!A169="","",IFERROR(4*STDEVP(終値!AJ169:BC169)/AVERAGE(終値!AJ169:BC169),""))</f>
        <v>5.1446386541549295E-2</v>
      </c>
      <c r="AH169" s="503">
        <f>IF(終値!A169="","",IFERROR(4*STDEVP(終値!AK169:BD169)/AVERAGE(終値!AK169:BD169),""))</f>
        <v>5.2910019334439916E-2</v>
      </c>
      <c r="AI169" s="503">
        <f>IF(終値!A169="","",IFERROR(4*STDEVP(終値!AL169:BE169)/AVERAGE(終値!AL169:BE169),""))</f>
        <v>5.8192948252275112E-2</v>
      </c>
      <c r="AJ169" s="503">
        <f>IF(終値!A169="","",IFERROR(4*STDEVP(終値!AM169:BF169)/AVERAGE(終値!AM169:BF169),""))</f>
        <v>5.6348051262400223E-2</v>
      </c>
      <c r="AK169" s="503">
        <f>IF(終値!A169="","",IFERROR(4*STDEVP(終値!AN169:BG169)/AVERAGE(終値!AN169:BG169),""))</f>
        <v>5.6554130023102327E-2</v>
      </c>
      <c r="AL169" s="503">
        <f>IF(終値!A169="","",IFERROR(4*STDEVP(終値!AO169:BH169)/AVERAGE(終値!AO169:BH169),""))</f>
        <v>5.7157368289818961E-2</v>
      </c>
      <c r="AM169" s="503">
        <f>IF(終値!A169="","",IFERROR(4*STDEVP(終値!AP169:BI169)/AVERAGE(終値!AP169:BI169),""))</f>
        <v>5.8049385362005948E-2</v>
      </c>
      <c r="AN169" s="503">
        <f>IF(終値!A169="","",IFERROR(4*STDEVP(終値!AQ169:BJ169)/AVERAGE(終値!AQ169:BJ169),""))</f>
        <v>5.6288455458603684E-2</v>
      </c>
      <c r="AO169" s="503">
        <f>IF(終値!A169="","",IFERROR(4*STDEVP(終値!AR169:BK169)/AVERAGE(終値!AR169:BK169),""))</f>
        <v>4.745788288936853E-2</v>
      </c>
      <c r="AP169" s="503">
        <f>IF(終値!A169="","",IFERROR(4*STDEVP(終値!AS169:BL169)/AVERAGE(終値!AS169:BL169),""))</f>
        <v>4.2582894258327321E-2</v>
      </c>
    </row>
    <row r="170" spans="1:42">
      <c r="A170" s="500" t="str">
        <f>IF(終値!A170="","",終値!A170)</f>
        <v>4709</v>
      </c>
      <c r="B170" s="503">
        <f>IF(終値!A170="","",IFERROR(4*STDEVP(終値!E170:X170)/AVERAGE(終値!E170:X170),""))</f>
        <v>0.16588737467798637</v>
      </c>
      <c r="C170" s="503">
        <f>IF(終値!A170="","",IFERROR(4*STDEVP(終値!F170:Y170)/AVERAGE(終値!F170:Y170),""))</f>
        <v>0.15337142933313036</v>
      </c>
      <c r="D170" s="503">
        <f>IF(終値!A170="","",IFERROR(4*STDEVP(終値!G170:Z170)/AVERAGE(終値!G170:Z170),""))</f>
        <v>0.13774864454912755</v>
      </c>
      <c r="E170" s="503">
        <f>IF(終値!A170="","",IFERROR(4*STDEVP(終値!H170:AA170)/AVERAGE(終値!H170:AA170),""))</f>
        <v>0.11657750554150588</v>
      </c>
      <c r="F170" s="503">
        <f>IF(終値!A170="","",IFERROR(4*STDEVP(終値!I170:AB170)/AVERAGE(終値!I170:AB170),""))</f>
        <v>0.10772151707718343</v>
      </c>
      <c r="G170" s="503">
        <f>IF(終値!A170="","",IFERROR(4*STDEVP(終値!J170:AC170)/AVERAGE(終値!J170:AC170),""))</f>
        <v>9.3461581632526561E-2</v>
      </c>
      <c r="H170" s="503">
        <f>IF(終値!A170="","",IFERROR(4*STDEVP(終値!K170:AD170)/AVERAGE(終値!K170:AD170),""))</f>
        <v>9.0155559854931663E-2</v>
      </c>
      <c r="I170" s="503">
        <f>IF(終値!A170="","",IFERROR(4*STDEVP(終値!L170:AE170)/AVERAGE(終値!L170:AE170),""))</f>
        <v>8.1074442236318517E-2</v>
      </c>
      <c r="J170" s="503">
        <f>IF(終値!A170="","",IFERROR(4*STDEVP(終値!M170:AF170)/AVERAGE(終値!M170:AF170),""))</f>
        <v>8.1282166071878922E-2</v>
      </c>
      <c r="K170" s="503">
        <f>IF(終値!A170="","",IFERROR(4*STDEVP(終値!N170:AG170)/AVERAGE(終値!N170:AG170),""))</f>
        <v>8.2947931557172963E-2</v>
      </c>
      <c r="L170" s="503">
        <f>IF(終値!A170="","",IFERROR(4*STDEVP(終値!O170:AH170)/AVERAGE(終値!O170:AH170),""))</f>
        <v>9.1288852760217684E-2</v>
      </c>
      <c r="M170" s="503">
        <f>IF(終値!A170="","",IFERROR(4*STDEVP(終値!P170:AI170)/AVERAGE(終値!P170:AI170),""))</f>
        <v>9.564302026349375E-2</v>
      </c>
      <c r="N170" s="503">
        <f>IF(終値!A170="","",IFERROR(4*STDEVP(終値!Q170:AJ170)/AVERAGE(終値!Q170:AJ170),""))</f>
        <v>9.6128084184718354E-2</v>
      </c>
      <c r="O170" s="503">
        <f>IF(終値!A170="","",IFERROR(4*STDEVP(終値!R170:AK170)/AVERAGE(終値!R170:AK170),""))</f>
        <v>9.5393567999047968E-2</v>
      </c>
      <c r="P170" s="503">
        <f>IF(終値!A170="","",IFERROR(4*STDEVP(終値!S170:AL170)/AVERAGE(終値!S170:AL170),""))</f>
        <v>9.0328474085773797E-2</v>
      </c>
      <c r="Q170" s="503">
        <f>IF(終値!A170="","",IFERROR(4*STDEVP(終値!T170:AM170)/AVERAGE(終値!T170:AM170),""))</f>
        <v>8.0492159228220325E-2</v>
      </c>
      <c r="R170" s="503">
        <f>IF(終値!A170="","",IFERROR(4*STDEVP(終値!U170:AN170)/AVERAGE(終値!U170:AN170),""))</f>
        <v>8.0798065480891773E-2</v>
      </c>
      <c r="S170" s="503">
        <f>IF(終値!A170="","",IFERROR(4*STDEVP(終値!V170:AO170)/AVERAGE(終値!V170:AO170),""))</f>
        <v>7.6127686190061827E-2</v>
      </c>
      <c r="T170" s="503">
        <f>IF(終値!A170="","",IFERROR(4*STDEVP(終値!W170:AP170)/AVERAGE(終値!W170:AP170),""))</f>
        <v>7.0433812228867479E-2</v>
      </c>
      <c r="U170" s="503">
        <f>IF(終値!A170="","",IFERROR(4*STDEVP(終値!X170:AQ170)/AVERAGE(終値!X170:AQ170),""))</f>
        <v>6.8422180611760031E-2</v>
      </c>
      <c r="V170" s="503">
        <f>IF(終値!A170="","",IFERROR(4*STDEVP(終値!Y170:AR170)/AVERAGE(終値!Y170:AR170),""))</f>
        <v>6.313960886772127E-2</v>
      </c>
      <c r="W170" s="503">
        <f>IF(終値!A170="","",IFERROR(4*STDEVP(終値!Z170:AS170)/AVERAGE(終値!Z170:AS170),""))</f>
        <v>6.9844324056175092E-2</v>
      </c>
      <c r="X170" s="503">
        <f>IF(終値!A170="","",IFERROR(4*STDEVP(終値!AA170:AT170)/AVERAGE(終値!AA170:AT170),""))</f>
        <v>8.5477812612506268E-2</v>
      </c>
      <c r="Y170" s="503">
        <f>IF(終値!A170="","",IFERROR(4*STDEVP(終値!AB170:AU170)/AVERAGE(終値!AB170:AU170),""))</f>
        <v>0.10284832556769945</v>
      </c>
      <c r="Z170" s="503">
        <f>IF(終値!A170="","",IFERROR(4*STDEVP(終値!AC170:AV170)/AVERAGE(終値!AC170:AV170),""))</f>
        <v>0.11147482007708522</v>
      </c>
      <c r="AA170" s="503">
        <f>IF(終値!A170="","",IFERROR(4*STDEVP(終値!AD170:AW170)/AVERAGE(終値!AD170:AW170),""))</f>
        <v>0.11413868529439029</v>
      </c>
      <c r="AB170" s="503">
        <f>IF(終値!A170="","",IFERROR(4*STDEVP(終値!AE170:AX170)/AVERAGE(終値!AE170:AX170),""))</f>
        <v>0.11355428394185181</v>
      </c>
      <c r="AC170" s="503">
        <f>IF(終値!A170="","",IFERROR(4*STDEVP(終値!AF170:AY170)/AVERAGE(終値!AF170:AY170),""))</f>
        <v>0.11489409878877146</v>
      </c>
      <c r="AD170" s="503">
        <f>IF(終値!A170="","",IFERROR(4*STDEVP(終値!AG170:AZ170)/AVERAGE(終値!AG170:AZ170),""))</f>
        <v>0.12085549304247306</v>
      </c>
      <c r="AE170" s="503">
        <f>IF(終値!A170="","",IFERROR(4*STDEVP(終値!AH170:BA170)/AVERAGE(終値!AH170:BA170),""))</f>
        <v>0.12118870923246711</v>
      </c>
      <c r="AF170" s="503">
        <f>IF(終値!A170="","",IFERROR(4*STDEVP(終値!AI170:BB170)/AVERAGE(終値!AI170:BB170),""))</f>
        <v>0.12101854183627159</v>
      </c>
      <c r="AG170" s="503">
        <f>IF(終値!A170="","",IFERROR(4*STDEVP(終値!AJ170:BC170)/AVERAGE(終値!AJ170:BC170),""))</f>
        <v>0.12106915945842882</v>
      </c>
      <c r="AH170" s="503">
        <f>IF(終値!A170="","",IFERROR(4*STDEVP(終値!AK170:BD170)/AVERAGE(終値!AK170:BD170),""))</f>
        <v>0.12075970465069062</v>
      </c>
      <c r="AI170" s="503">
        <f>IF(終値!A170="","",IFERROR(4*STDEVP(終値!AL170:BE170)/AVERAGE(終値!AL170:BE170),""))</f>
        <v>0.12051212520452344</v>
      </c>
      <c r="AJ170" s="503">
        <f>IF(終値!A170="","",IFERROR(4*STDEVP(終値!AM170:BF170)/AVERAGE(終値!AM170:BF170),""))</f>
        <v>0.12065412635343593</v>
      </c>
      <c r="AK170" s="503">
        <f>IF(終値!A170="","",IFERROR(4*STDEVP(終値!AN170:BG170)/AVERAGE(終値!AN170:BG170),""))</f>
        <v>0.11212571590651431</v>
      </c>
      <c r="AL170" s="503">
        <f>IF(終値!A170="","",IFERROR(4*STDEVP(終値!AO170:BH170)/AVERAGE(終値!AO170:BH170),""))</f>
        <v>9.3457418942262824E-2</v>
      </c>
      <c r="AM170" s="503">
        <f>IF(終値!A170="","",IFERROR(4*STDEVP(終値!AP170:BI170)/AVERAGE(終値!AP170:BI170),""))</f>
        <v>9.3187464502944323E-2</v>
      </c>
      <c r="AN170" s="503">
        <f>IF(終値!A170="","",IFERROR(4*STDEVP(終値!AQ170:BJ170)/AVERAGE(終値!AQ170:BJ170),""))</f>
        <v>9.6301291274628331E-2</v>
      </c>
      <c r="AO170" s="503">
        <f>IF(終値!A170="","",IFERROR(4*STDEVP(終値!AR170:BK170)/AVERAGE(終値!AR170:BK170),""))</f>
        <v>9.9165721493494147E-2</v>
      </c>
      <c r="AP170" s="503">
        <f>IF(終値!A170="","",IFERROR(4*STDEVP(終値!AS170:BL170)/AVERAGE(終値!AS170:BL170),""))</f>
        <v>8.9535709348188358E-2</v>
      </c>
    </row>
    <row r="171" spans="1:42">
      <c r="A171" s="500" t="str">
        <f>IF(終値!A171="","",終値!A171)</f>
        <v>7981</v>
      </c>
      <c r="B171" s="503">
        <f>IF(終値!A171="","",IFERROR(4*STDEVP(終値!E171:X171)/AVERAGE(終値!E171:X171),""))</f>
        <v>0.10641370383169527</v>
      </c>
      <c r="C171" s="503">
        <f>IF(終値!A171="","",IFERROR(4*STDEVP(終値!F171:Y171)/AVERAGE(終値!F171:Y171),""))</f>
        <v>0.10618317112432338</v>
      </c>
      <c r="D171" s="503">
        <f>IF(終値!A171="","",IFERROR(4*STDEVP(終値!G171:Z171)/AVERAGE(終値!G171:Z171),""))</f>
        <v>0.10279148872143057</v>
      </c>
      <c r="E171" s="503">
        <f>IF(終値!A171="","",IFERROR(4*STDEVP(終値!H171:AA171)/AVERAGE(終値!H171:AA171),""))</f>
        <v>9.7444392099603733E-2</v>
      </c>
      <c r="F171" s="503">
        <f>IF(終値!A171="","",IFERROR(4*STDEVP(終値!I171:AB171)/AVERAGE(終値!I171:AB171),""))</f>
        <v>9.2324686847807785E-2</v>
      </c>
      <c r="G171" s="503">
        <f>IF(終値!A171="","",IFERROR(4*STDEVP(終値!J171:AC171)/AVERAGE(終値!J171:AC171),""))</f>
        <v>9.026153599754469E-2</v>
      </c>
      <c r="H171" s="503">
        <f>IF(終値!A171="","",IFERROR(4*STDEVP(終値!K171:AD171)/AVERAGE(終値!K171:AD171),""))</f>
        <v>8.7502436304330619E-2</v>
      </c>
      <c r="I171" s="503">
        <f>IF(終値!A171="","",IFERROR(4*STDEVP(終値!L171:AE171)/AVERAGE(終値!L171:AE171),""))</f>
        <v>7.295153051580866E-2</v>
      </c>
      <c r="J171" s="503">
        <f>IF(終値!A171="","",IFERROR(4*STDEVP(終値!M171:AF171)/AVERAGE(終値!M171:AF171),""))</f>
        <v>5.3933324330862585E-2</v>
      </c>
      <c r="K171" s="503">
        <f>IF(終値!A171="","",IFERROR(4*STDEVP(終値!N171:AG171)/AVERAGE(終値!N171:AG171),""))</f>
        <v>3.5213912332634136E-2</v>
      </c>
      <c r="L171" s="503">
        <f>IF(終値!A171="","",IFERROR(4*STDEVP(終値!O171:AH171)/AVERAGE(終値!O171:AH171),""))</f>
        <v>3.290815340984328E-2</v>
      </c>
      <c r="M171" s="503">
        <f>IF(終値!A171="","",IFERROR(4*STDEVP(終値!P171:AI171)/AVERAGE(終値!P171:AI171),""))</f>
        <v>3.3235310305089659E-2</v>
      </c>
      <c r="N171" s="503">
        <f>IF(終値!A171="","",IFERROR(4*STDEVP(終値!Q171:AJ171)/AVERAGE(終値!Q171:AJ171),""))</f>
        <v>3.4412681699318444E-2</v>
      </c>
      <c r="O171" s="503">
        <f>IF(終値!A171="","",IFERROR(4*STDEVP(終値!R171:AK171)/AVERAGE(終値!R171:AK171),""))</f>
        <v>3.7551376439403032E-2</v>
      </c>
      <c r="P171" s="503">
        <f>IF(終値!A171="","",IFERROR(4*STDEVP(終値!S171:AL171)/AVERAGE(終値!S171:AL171),""))</f>
        <v>4.1361950901244629E-2</v>
      </c>
      <c r="Q171" s="503">
        <f>IF(終値!A171="","",IFERROR(4*STDEVP(終値!T171:AM171)/AVERAGE(終値!T171:AM171),""))</f>
        <v>4.4557131854866337E-2</v>
      </c>
      <c r="R171" s="503">
        <f>IF(終値!A171="","",IFERROR(4*STDEVP(終値!U171:AN171)/AVERAGE(終値!U171:AN171),""))</f>
        <v>4.8681938135511256E-2</v>
      </c>
      <c r="S171" s="503">
        <f>IF(終値!A171="","",IFERROR(4*STDEVP(終値!V171:AO171)/AVERAGE(終値!V171:AO171),""))</f>
        <v>4.9334872338755741E-2</v>
      </c>
      <c r="T171" s="503">
        <f>IF(終値!A171="","",IFERROR(4*STDEVP(終値!W171:AP171)/AVERAGE(終値!W171:AP171),""))</f>
        <v>5.6964218684490822E-2</v>
      </c>
      <c r="U171" s="503">
        <f>IF(終値!A171="","",IFERROR(4*STDEVP(終値!X171:AQ171)/AVERAGE(終値!X171:AQ171),""))</f>
        <v>6.3964242098695931E-2</v>
      </c>
      <c r="V171" s="503">
        <f>IF(終値!A171="","",IFERROR(4*STDEVP(終値!Y171:AR171)/AVERAGE(終値!Y171:AR171),""))</f>
        <v>7.1396261006916872E-2</v>
      </c>
      <c r="W171" s="503">
        <f>IF(終値!A171="","",IFERROR(4*STDEVP(終値!Z171:AS171)/AVERAGE(終値!Z171:AS171),""))</f>
        <v>7.4497935675555349E-2</v>
      </c>
      <c r="X171" s="503">
        <f>IF(終値!A171="","",IFERROR(4*STDEVP(終値!AA171:AT171)/AVERAGE(終値!AA171:AT171),""))</f>
        <v>7.4152536316233239E-2</v>
      </c>
      <c r="Y171" s="503">
        <f>IF(終値!A171="","",IFERROR(4*STDEVP(終値!AB171:AU171)/AVERAGE(終値!AB171:AU171),""))</f>
        <v>7.6259476525529016E-2</v>
      </c>
      <c r="Z171" s="503">
        <f>IF(終値!A171="","",IFERROR(4*STDEVP(終値!AC171:AV171)/AVERAGE(終値!AC171:AV171),""))</f>
        <v>7.8665135187346455E-2</v>
      </c>
      <c r="AA171" s="503">
        <f>IF(終値!A171="","",IFERROR(4*STDEVP(終値!AD171:AW171)/AVERAGE(終値!AD171:AW171),""))</f>
        <v>8.3029438236204831E-2</v>
      </c>
      <c r="AB171" s="503">
        <f>IF(終値!A171="","",IFERROR(4*STDEVP(終値!AE171:AX171)/AVERAGE(終値!AE171:AX171),""))</f>
        <v>7.9786810342377598E-2</v>
      </c>
      <c r="AC171" s="503">
        <f>IF(終値!A171="","",IFERROR(4*STDEVP(終値!AF171:AY171)/AVERAGE(終値!AF171:AY171),""))</f>
        <v>7.7804500416982128E-2</v>
      </c>
      <c r="AD171" s="503">
        <f>IF(終値!A171="","",IFERROR(4*STDEVP(終値!AG171:AZ171)/AVERAGE(終値!AG171:AZ171),""))</f>
        <v>7.3001245153849287E-2</v>
      </c>
      <c r="AE171" s="503">
        <f>IF(終値!A171="","",IFERROR(4*STDEVP(終値!AH171:BA171)/AVERAGE(終値!AH171:BA171),""))</f>
        <v>5.8928054912693699E-2</v>
      </c>
      <c r="AF171" s="503">
        <f>IF(終値!A171="","",IFERROR(4*STDEVP(終値!AI171:BB171)/AVERAGE(終値!AI171:BB171),""))</f>
        <v>5.7010403970387598E-2</v>
      </c>
      <c r="AG171" s="503">
        <f>IF(終値!A171="","",IFERROR(4*STDEVP(終値!AJ171:BC171)/AVERAGE(終値!AJ171:BC171),""))</f>
        <v>5.470900559817142E-2</v>
      </c>
      <c r="AH171" s="503">
        <f>IF(終値!A171="","",IFERROR(4*STDEVP(終値!AK171:BD171)/AVERAGE(終値!AK171:BD171),""))</f>
        <v>5.2486549217741596E-2</v>
      </c>
      <c r="AI171" s="503">
        <f>IF(終値!A171="","",IFERROR(4*STDEVP(終値!AL171:BE171)/AVERAGE(終値!AL171:BE171),""))</f>
        <v>4.8330014898290474E-2</v>
      </c>
      <c r="AJ171" s="503">
        <f>IF(終値!A171="","",IFERROR(4*STDEVP(終値!AM171:BF171)/AVERAGE(終値!AM171:BF171),""))</f>
        <v>4.7211402795200148E-2</v>
      </c>
      <c r="AK171" s="503">
        <f>IF(終値!A171="","",IFERROR(4*STDEVP(終値!AN171:BG171)/AVERAGE(終値!AN171:BG171),""))</f>
        <v>4.6389975404517697E-2</v>
      </c>
      <c r="AL171" s="503">
        <f>IF(終値!A171="","",IFERROR(4*STDEVP(終値!AO171:BH171)/AVERAGE(終値!AO171:BH171),""))</f>
        <v>4.6877247980728134E-2</v>
      </c>
      <c r="AM171" s="503">
        <f>IF(終値!A171="","",IFERROR(4*STDEVP(終値!AP171:BI171)/AVERAGE(終値!AP171:BI171),""))</f>
        <v>4.1655200813839249E-2</v>
      </c>
      <c r="AN171" s="503">
        <f>IF(終値!A171="","",IFERROR(4*STDEVP(終値!AQ171:BJ171)/AVERAGE(終値!AQ171:BJ171),""))</f>
        <v>4.6885071035832969E-2</v>
      </c>
      <c r="AO171" s="503">
        <f>IF(終値!A171="","",IFERROR(4*STDEVP(終値!AR171:BK171)/AVERAGE(終値!AR171:BK171),""))</f>
        <v>6.2662121825686951E-2</v>
      </c>
      <c r="AP171" s="503">
        <f>IF(終値!A171="","",IFERROR(4*STDEVP(終値!AS171:BL171)/AVERAGE(終値!AS171:BL171),""))</f>
        <v>6.7595450680976776E-2</v>
      </c>
    </row>
    <row r="172" spans="1:42">
      <c r="A172" s="500" t="str">
        <f>IF(終値!A172="","",終値!A172)</f>
        <v>8303</v>
      </c>
      <c r="B172" s="503">
        <f>IF(終値!A172="","",IFERROR(4*STDEVP(終値!E172:X172)/AVERAGE(終値!E172:X172),""))</f>
        <v>9.2121470779127398E-2</v>
      </c>
      <c r="C172" s="503">
        <f>IF(終値!A172="","",IFERROR(4*STDEVP(終値!F172:Y172)/AVERAGE(終値!F172:Y172),""))</f>
        <v>6.7315269137343717E-2</v>
      </c>
      <c r="D172" s="503">
        <f>IF(終値!A172="","",IFERROR(4*STDEVP(終値!G172:Z172)/AVERAGE(終値!G172:Z172),""))</f>
        <v>6.0614215291893231E-2</v>
      </c>
      <c r="E172" s="503">
        <f>IF(終値!A172="","",IFERROR(4*STDEVP(終値!H172:AA172)/AVERAGE(終値!H172:AA172),""))</f>
        <v>6.0210280263401431E-2</v>
      </c>
      <c r="F172" s="503">
        <f>IF(終値!A172="","",IFERROR(4*STDEVP(終値!I172:AB172)/AVERAGE(終値!I172:AB172),""))</f>
        <v>6.4285964368506865E-2</v>
      </c>
      <c r="G172" s="503">
        <f>IF(終値!A172="","",IFERROR(4*STDEVP(終値!J172:AC172)/AVERAGE(終値!J172:AC172),""))</f>
        <v>7.5000650195837182E-2</v>
      </c>
      <c r="H172" s="503">
        <f>IF(終値!A172="","",IFERROR(4*STDEVP(終値!K172:AD172)/AVERAGE(終値!K172:AD172),""))</f>
        <v>8.276015411881138E-2</v>
      </c>
      <c r="I172" s="503">
        <f>IF(終値!A172="","",IFERROR(4*STDEVP(終値!L172:AE172)/AVERAGE(終値!L172:AE172),""))</f>
        <v>8.2794222541236681E-2</v>
      </c>
      <c r="J172" s="503">
        <f>IF(終値!A172="","",IFERROR(4*STDEVP(終値!M172:AF172)/AVERAGE(終値!M172:AF172),""))</f>
        <v>8.8225385769612669E-2</v>
      </c>
      <c r="K172" s="503">
        <f>IF(終値!A172="","",IFERROR(4*STDEVP(終値!N172:AG172)/AVERAGE(終値!N172:AG172),""))</f>
        <v>9.0546665065064924E-2</v>
      </c>
      <c r="L172" s="503">
        <f>IF(終値!A172="","",IFERROR(4*STDEVP(終値!O172:AH172)/AVERAGE(終値!O172:AH172),""))</f>
        <v>9.1080787037453634E-2</v>
      </c>
      <c r="M172" s="503">
        <f>IF(終値!A172="","",IFERROR(4*STDEVP(終値!P172:AI172)/AVERAGE(終値!P172:AI172),""))</f>
        <v>9.3260993586170932E-2</v>
      </c>
      <c r="N172" s="503">
        <f>IF(終値!A172="","",IFERROR(4*STDEVP(終値!Q172:AJ172)/AVERAGE(終値!Q172:AJ172),""))</f>
        <v>9.3070527175530687E-2</v>
      </c>
      <c r="O172" s="503">
        <f>IF(終値!A172="","",IFERROR(4*STDEVP(終値!R172:AK172)/AVERAGE(終値!R172:AK172),""))</f>
        <v>9.4674111099272165E-2</v>
      </c>
      <c r="P172" s="503">
        <f>IF(終値!A172="","",IFERROR(4*STDEVP(終値!S172:AL172)/AVERAGE(終値!S172:AL172),""))</f>
        <v>9.9839314003346044E-2</v>
      </c>
      <c r="Q172" s="503">
        <f>IF(終値!A172="","",IFERROR(4*STDEVP(終値!T172:AM172)/AVERAGE(終値!T172:AM172),""))</f>
        <v>9.7276894920813053E-2</v>
      </c>
      <c r="R172" s="503">
        <f>IF(終値!A172="","",IFERROR(4*STDEVP(終値!U172:AN172)/AVERAGE(終値!U172:AN172),""))</f>
        <v>9.718061992918163E-2</v>
      </c>
      <c r="S172" s="503">
        <f>IF(終値!A172="","",IFERROR(4*STDEVP(終値!V172:AO172)/AVERAGE(終値!V172:AO172),""))</f>
        <v>0.10323121102880131</v>
      </c>
      <c r="T172" s="503">
        <f>IF(終値!A172="","",IFERROR(4*STDEVP(終値!W172:AP172)/AVERAGE(終値!W172:AP172),""))</f>
        <v>0.1039746889656387</v>
      </c>
      <c r="U172" s="503">
        <f>IF(終値!A172="","",IFERROR(4*STDEVP(終値!X172:AQ172)/AVERAGE(終値!X172:AQ172),""))</f>
        <v>0.10395445234238339</v>
      </c>
      <c r="V172" s="503">
        <f>IF(終値!A172="","",IFERROR(4*STDEVP(終値!Y172:AR172)/AVERAGE(終値!Y172:AR172),""))</f>
        <v>0.10241315186326935</v>
      </c>
      <c r="W172" s="503">
        <f>IF(終値!A172="","",IFERROR(4*STDEVP(終値!Z172:AS172)/AVERAGE(終値!Z172:AS172),""))</f>
        <v>9.7271923643990524E-2</v>
      </c>
      <c r="X172" s="503">
        <f>IF(終値!A172="","",IFERROR(4*STDEVP(終値!AA172:AT172)/AVERAGE(終値!AA172:AT172),""))</f>
        <v>9.6353800089841193E-2</v>
      </c>
      <c r="Y172" s="503">
        <f>IF(終値!A172="","",IFERROR(4*STDEVP(終値!AB172:AU172)/AVERAGE(終値!AB172:AU172),""))</f>
        <v>9.5509604454606586E-2</v>
      </c>
      <c r="Z172" s="503">
        <f>IF(終値!A172="","",IFERROR(4*STDEVP(終値!AC172:AV172)/AVERAGE(終値!AC172:AV172),""))</f>
        <v>9.7355637100844133E-2</v>
      </c>
      <c r="AA172" s="503">
        <f>IF(終値!A172="","",IFERROR(4*STDEVP(終値!AD172:AW172)/AVERAGE(終値!AD172:AW172),""))</f>
        <v>9.9312506450170035E-2</v>
      </c>
      <c r="AB172" s="503">
        <f>IF(終値!A172="","",IFERROR(4*STDEVP(終値!AE172:AX172)/AVERAGE(終値!AE172:AX172),""))</f>
        <v>9.676528728578028E-2</v>
      </c>
      <c r="AC172" s="503">
        <f>IF(終値!A172="","",IFERROR(4*STDEVP(終値!AF172:AY172)/AVERAGE(終値!AF172:AY172),""))</f>
        <v>0.10467346409604468</v>
      </c>
      <c r="AD172" s="503">
        <f>IF(終値!A172="","",IFERROR(4*STDEVP(終値!AG172:AZ172)/AVERAGE(終値!AG172:AZ172),""))</f>
        <v>0.1059773460763557</v>
      </c>
      <c r="AE172" s="503">
        <f>IF(終値!A172="","",IFERROR(4*STDEVP(終値!AH172:BA172)/AVERAGE(終値!AH172:BA172),""))</f>
        <v>0.10696432487107269</v>
      </c>
      <c r="AF172" s="503">
        <f>IF(終値!A172="","",IFERROR(4*STDEVP(終値!AI172:BB172)/AVERAGE(終値!AI172:BB172),""))</f>
        <v>0.11221641781932837</v>
      </c>
      <c r="AG172" s="503">
        <f>IF(終値!A172="","",IFERROR(4*STDEVP(終値!AJ172:BC172)/AVERAGE(終値!AJ172:BC172),""))</f>
        <v>0.11848916981758444</v>
      </c>
      <c r="AH172" s="503">
        <f>IF(終値!A172="","",IFERROR(4*STDEVP(終値!AK172:BD172)/AVERAGE(終値!AK172:BD172),""))</f>
        <v>0.14098450734256149</v>
      </c>
      <c r="AI172" s="503">
        <f>IF(終値!A172="","",IFERROR(4*STDEVP(終値!AL172:BE172)/AVERAGE(終値!AL172:BE172),""))</f>
        <v>0.16664803781241189</v>
      </c>
      <c r="AJ172" s="503">
        <f>IF(終値!A172="","",IFERROR(4*STDEVP(終値!AM172:BF172)/AVERAGE(終値!AM172:BF172),""))</f>
        <v>0.19809350561905675</v>
      </c>
      <c r="AK172" s="503">
        <f>IF(終値!A172="","",IFERROR(4*STDEVP(終値!AN172:BG172)/AVERAGE(終値!AN172:BG172),""))</f>
        <v>0.22884276156058769</v>
      </c>
      <c r="AL172" s="503">
        <f>IF(終値!A172="","",IFERROR(4*STDEVP(終値!AO172:BH172)/AVERAGE(終値!AO172:BH172),""))</f>
        <v>0.24497971794702009</v>
      </c>
      <c r="AM172" s="503">
        <f>IF(終値!A172="","",IFERROR(4*STDEVP(終値!AP172:BI172)/AVERAGE(終値!AP172:BI172),""))</f>
        <v>0.26711725045152845</v>
      </c>
      <c r="AN172" s="503">
        <f>IF(終値!A172="","",IFERROR(4*STDEVP(終値!AQ172:BJ172)/AVERAGE(終値!AQ172:BJ172),""))</f>
        <v>0.28502041959306829</v>
      </c>
      <c r="AO172" s="503">
        <f>IF(終値!A172="","",IFERROR(4*STDEVP(終値!AR172:BK172)/AVERAGE(終値!AR172:BK172),""))</f>
        <v>0.29422375562172537</v>
      </c>
      <c r="AP172" s="503">
        <f>IF(終値!A172="","",IFERROR(4*STDEVP(終値!AS172:BL172)/AVERAGE(終値!AS172:BL172),""))</f>
        <v>0.30718158620024011</v>
      </c>
    </row>
    <row r="173" spans="1:42">
      <c r="A173" s="500" t="str">
        <f>IF(終値!A173="","",終値!A173)</f>
        <v>4382</v>
      </c>
      <c r="B173" s="503">
        <f>IF(終値!A173="","",IFERROR(4*STDEVP(終値!E173:X173)/AVERAGE(終値!E173:X173),""))</f>
        <v>5.2019111499526961E-2</v>
      </c>
      <c r="C173" s="503">
        <f>IF(終値!A173="","",IFERROR(4*STDEVP(終値!F173:Y173)/AVERAGE(終値!F173:Y173),""))</f>
        <v>4.9159473341929952E-2</v>
      </c>
      <c r="D173" s="503">
        <f>IF(終値!A173="","",IFERROR(4*STDEVP(終値!G173:Z173)/AVERAGE(終値!G173:Z173),""))</f>
        <v>5.2489253076779797E-2</v>
      </c>
      <c r="E173" s="503">
        <f>IF(終値!A173="","",IFERROR(4*STDEVP(終値!H173:AA173)/AVERAGE(終値!H173:AA173),""))</f>
        <v>5.4736860143054782E-2</v>
      </c>
      <c r="F173" s="503">
        <f>IF(終値!A173="","",IFERROR(4*STDEVP(終値!I173:AB173)/AVERAGE(終値!I173:AB173),""))</f>
        <v>5.5569398338305737E-2</v>
      </c>
      <c r="G173" s="503">
        <f>IF(終値!A173="","",IFERROR(4*STDEVP(終値!J173:AC173)/AVERAGE(終値!J173:AC173),""))</f>
        <v>5.7212910898525225E-2</v>
      </c>
      <c r="H173" s="503">
        <f>IF(終値!A173="","",IFERROR(4*STDEVP(終値!K173:AD173)/AVERAGE(終値!K173:AD173),""))</f>
        <v>5.8159171458531563E-2</v>
      </c>
      <c r="I173" s="503">
        <f>IF(終値!A173="","",IFERROR(4*STDEVP(終値!L173:AE173)/AVERAGE(終値!L173:AE173),""))</f>
        <v>7.9921190778167728E-2</v>
      </c>
      <c r="J173" s="503">
        <f>IF(終値!A173="","",IFERROR(4*STDEVP(終値!M173:AF173)/AVERAGE(終値!M173:AF173),""))</f>
        <v>7.778221167482964E-2</v>
      </c>
      <c r="K173" s="503">
        <f>IF(終値!A173="","",IFERROR(4*STDEVP(終値!N173:AG173)/AVERAGE(終値!N173:AG173),""))</f>
        <v>7.7882177947560555E-2</v>
      </c>
      <c r="L173" s="503">
        <f>IF(終値!A173="","",IFERROR(4*STDEVP(終値!O173:AH173)/AVERAGE(終値!O173:AH173),""))</f>
        <v>7.5957988994411058E-2</v>
      </c>
      <c r="M173" s="503">
        <f>IF(終値!A173="","",IFERROR(4*STDEVP(終値!P173:AI173)/AVERAGE(終値!P173:AI173),""))</f>
        <v>7.5048276446707515E-2</v>
      </c>
      <c r="N173" s="503">
        <f>IF(終値!A173="","",IFERROR(4*STDEVP(終値!Q173:AJ173)/AVERAGE(終値!Q173:AJ173),""))</f>
        <v>7.6949930596903873E-2</v>
      </c>
      <c r="O173" s="503">
        <f>IF(終値!A173="","",IFERROR(4*STDEVP(終値!R173:AK173)/AVERAGE(終値!R173:AK173),""))</f>
        <v>7.7599064098012649E-2</v>
      </c>
      <c r="P173" s="503">
        <f>IF(終値!A173="","",IFERROR(4*STDEVP(終値!S173:AL173)/AVERAGE(終値!S173:AL173),""))</f>
        <v>0.10166659926310488</v>
      </c>
      <c r="Q173" s="503">
        <f>IF(終値!A173="","",IFERROR(4*STDEVP(終値!T173:AM173)/AVERAGE(終値!T173:AM173),""))</f>
        <v>0.13094007029511179</v>
      </c>
      <c r="R173" s="503">
        <f>IF(終値!A173="","",IFERROR(4*STDEVP(終値!U173:AN173)/AVERAGE(終値!U173:AN173),""))</f>
        <v>0.15375291794296278</v>
      </c>
      <c r="S173" s="503">
        <f>IF(終値!A173="","",IFERROR(4*STDEVP(終値!V173:AO173)/AVERAGE(終値!V173:AO173),""))</f>
        <v>0.16357140536543044</v>
      </c>
      <c r="T173" s="503">
        <f>IF(終値!A173="","",IFERROR(4*STDEVP(終値!W173:AP173)/AVERAGE(終値!W173:AP173),""))</f>
        <v>0.17611587405708148</v>
      </c>
      <c r="U173" s="503">
        <f>IF(終値!A173="","",IFERROR(4*STDEVP(終値!X173:AQ173)/AVERAGE(終値!X173:AQ173),""))</f>
        <v>0.16909518479229746</v>
      </c>
      <c r="V173" s="503">
        <f>IF(終値!A173="","",IFERROR(4*STDEVP(終値!Y173:AR173)/AVERAGE(終値!Y173:AR173),""))</f>
        <v>0.16786368562141696</v>
      </c>
      <c r="W173" s="503">
        <f>IF(終値!A173="","",IFERROR(4*STDEVP(終値!Z173:AS173)/AVERAGE(終値!Z173:AS173),""))</f>
        <v>0.17094297915637091</v>
      </c>
      <c r="X173" s="503">
        <f>IF(終値!A173="","",IFERROR(4*STDEVP(終値!AA173:AT173)/AVERAGE(終値!AA173:AT173),""))</f>
        <v>0.17113095554470661</v>
      </c>
      <c r="Y173" s="503">
        <f>IF(終値!A173="","",IFERROR(4*STDEVP(終値!AB173:AU173)/AVERAGE(終値!AB173:AU173),""))</f>
        <v>0.17664727410301054</v>
      </c>
      <c r="Z173" s="503">
        <f>IF(終値!A173="","",IFERROR(4*STDEVP(終値!AC173:AV173)/AVERAGE(終値!AC173:AV173),""))</f>
        <v>0.18036107677394947</v>
      </c>
      <c r="AA173" s="503">
        <f>IF(終値!A173="","",IFERROR(4*STDEVP(終値!AD173:AW173)/AVERAGE(終値!AD173:AW173),""))</f>
        <v>0.1846185441926306</v>
      </c>
      <c r="AB173" s="503">
        <f>IF(終値!A173="","",IFERROR(4*STDEVP(終値!AE173:AX173)/AVERAGE(終値!AE173:AX173),""))</f>
        <v>0.18518359895325864</v>
      </c>
      <c r="AC173" s="503">
        <f>IF(終値!A173="","",IFERROR(4*STDEVP(終値!AF173:AY173)/AVERAGE(終値!AF173:AY173),""))</f>
        <v>0.18612119293998802</v>
      </c>
      <c r="AD173" s="503">
        <f>IF(終値!A173="","",IFERROR(4*STDEVP(終値!AG173:AZ173)/AVERAGE(終値!AG173:AZ173),""))</f>
        <v>0.18375265525284143</v>
      </c>
      <c r="AE173" s="503">
        <f>IF(終値!A173="","",IFERROR(4*STDEVP(終値!AH173:BA173)/AVERAGE(終値!AH173:BA173),""))</f>
        <v>0.18231174467336944</v>
      </c>
      <c r="AF173" s="503">
        <f>IF(終値!A173="","",IFERROR(4*STDEVP(終値!AI173:BB173)/AVERAGE(終値!AI173:BB173),""))</f>
        <v>0.18079675914115539</v>
      </c>
      <c r="AG173" s="503">
        <f>IF(終値!A173="","",IFERROR(4*STDEVP(終値!AJ173:BC173)/AVERAGE(終値!AJ173:BC173),""))</f>
        <v>0.17731708915937797</v>
      </c>
      <c r="AH173" s="503">
        <f>IF(終値!A173="","",IFERROR(4*STDEVP(終値!AK173:BD173)/AVERAGE(終値!AK173:BD173),""))</f>
        <v>0.17709252914363341</v>
      </c>
      <c r="AI173" s="503">
        <f>IF(終値!A173="","",IFERROR(4*STDEVP(終値!AL173:BE173)/AVERAGE(終値!AL173:BE173),""))</f>
        <v>0.17734436055939931</v>
      </c>
      <c r="AJ173" s="503">
        <f>IF(終値!A173="","",IFERROR(4*STDEVP(終値!AM173:BF173)/AVERAGE(終値!AM173:BF173),""))</f>
        <v>0.17615379574439519</v>
      </c>
      <c r="AK173" s="503">
        <f>IF(終値!A173="","",IFERROR(4*STDEVP(終値!AN173:BG173)/AVERAGE(終値!AN173:BG173),""))</f>
        <v>0.17140400026320368</v>
      </c>
      <c r="AL173" s="503">
        <f>IF(終値!A173="","",IFERROR(4*STDEVP(終値!AO173:BH173)/AVERAGE(終値!AO173:BH173),""))</f>
        <v>0.16544784514659866</v>
      </c>
      <c r="AM173" s="503">
        <f>IF(終値!A173="","",IFERROR(4*STDEVP(終値!AP173:BI173)/AVERAGE(終値!AP173:BI173),""))</f>
        <v>0.16353244906792452</v>
      </c>
      <c r="AN173" s="503">
        <f>IF(終値!A173="","",IFERROR(4*STDEVP(終値!AQ173:BJ173)/AVERAGE(終値!AQ173:BJ173),""))</f>
        <v>0.15503436310810131</v>
      </c>
      <c r="AO173" s="503">
        <f>IF(終値!A173="","",IFERROR(4*STDEVP(終値!AR173:BK173)/AVERAGE(終値!AR173:BK173),""))</f>
        <v>0.1599270096178643</v>
      </c>
      <c r="AP173" s="503">
        <f>IF(終値!A173="","",IFERROR(4*STDEVP(終値!AS173:BL173)/AVERAGE(終値!AS173:BL173),""))</f>
        <v>0.17200150509819559</v>
      </c>
    </row>
    <row r="174" spans="1:42">
      <c r="A174" s="500" t="str">
        <f>IF(終値!A174="","",終値!A174)</f>
        <v>2327</v>
      </c>
      <c r="B174" s="503">
        <f>IF(終値!A174="","",IFERROR(4*STDEVP(終値!E174:X174)/AVERAGE(終値!E174:X174),""))</f>
        <v>8.9952222563609949E-2</v>
      </c>
      <c r="C174" s="503">
        <f>IF(終値!A174="","",IFERROR(4*STDEVP(終値!F174:Y174)/AVERAGE(終値!F174:Y174),""))</f>
        <v>8.9370869392620428E-2</v>
      </c>
      <c r="D174" s="503">
        <f>IF(終値!A174="","",IFERROR(4*STDEVP(終値!G174:Z174)/AVERAGE(終値!G174:Z174),""))</f>
        <v>8.8554759646836637E-2</v>
      </c>
      <c r="E174" s="503">
        <f>IF(終値!A174="","",IFERROR(4*STDEVP(終値!H174:AA174)/AVERAGE(終値!H174:AA174),""))</f>
        <v>9.8647792196131429E-2</v>
      </c>
      <c r="F174" s="503">
        <f>IF(終値!A174="","",IFERROR(4*STDEVP(終値!I174:AB174)/AVERAGE(終値!I174:AB174),""))</f>
        <v>0.1225016864588763</v>
      </c>
      <c r="G174" s="503">
        <f>IF(終値!A174="","",IFERROR(4*STDEVP(終値!J174:AC174)/AVERAGE(終値!J174:AC174),""))</f>
        <v>0.16174309647567603</v>
      </c>
      <c r="H174" s="503">
        <f>IF(終値!A174="","",IFERROR(4*STDEVP(終値!K174:AD174)/AVERAGE(終値!K174:AD174),""))</f>
        <v>0.1783650323955053</v>
      </c>
      <c r="I174" s="503">
        <f>IF(終値!A174="","",IFERROR(4*STDEVP(終値!L174:AE174)/AVERAGE(終値!L174:AE174),""))</f>
        <v>0.18770331968290041</v>
      </c>
      <c r="J174" s="503">
        <f>IF(終値!A174="","",IFERROR(4*STDEVP(終値!M174:AF174)/AVERAGE(終値!M174:AF174),""))</f>
        <v>0.20935346962572021</v>
      </c>
      <c r="K174" s="503">
        <f>IF(終値!A174="","",IFERROR(4*STDEVP(終値!N174:AG174)/AVERAGE(終値!N174:AG174),""))</f>
        <v>0.22973762219952765</v>
      </c>
      <c r="L174" s="503">
        <f>IF(終値!A174="","",IFERROR(4*STDEVP(終値!O174:AH174)/AVERAGE(終値!O174:AH174),""))</f>
        <v>0.24758987631880414</v>
      </c>
      <c r="M174" s="503">
        <f>IF(終値!A174="","",IFERROR(4*STDEVP(終値!P174:AI174)/AVERAGE(終値!P174:AI174),""))</f>
        <v>0.26836584208639819</v>
      </c>
      <c r="N174" s="503">
        <f>IF(終値!A174="","",IFERROR(4*STDEVP(終値!Q174:AJ174)/AVERAGE(終値!Q174:AJ174),""))</f>
        <v>0.27896748595398901</v>
      </c>
      <c r="O174" s="503">
        <f>IF(終値!A174="","",IFERROR(4*STDEVP(終値!R174:AK174)/AVERAGE(終値!R174:AK174),""))</f>
        <v>0.28380699500360262</v>
      </c>
      <c r="P174" s="503">
        <f>IF(終値!A174="","",IFERROR(4*STDEVP(終値!S174:AL174)/AVERAGE(終値!S174:AL174),""))</f>
        <v>0.28674271047930533</v>
      </c>
      <c r="Q174" s="503">
        <f>IF(終値!A174="","",IFERROR(4*STDEVP(終値!T174:AM174)/AVERAGE(終値!T174:AM174),""))</f>
        <v>0.29184147627614615</v>
      </c>
      <c r="R174" s="503">
        <f>IF(終値!A174="","",IFERROR(4*STDEVP(終値!U174:AN174)/AVERAGE(終値!U174:AN174),""))</f>
        <v>0.28714642286630121</v>
      </c>
      <c r="S174" s="503">
        <f>IF(終値!A174="","",IFERROR(4*STDEVP(終値!V174:AO174)/AVERAGE(終値!V174:AO174),""))</f>
        <v>0.27537749376526321</v>
      </c>
      <c r="T174" s="503">
        <f>IF(終値!A174="","",IFERROR(4*STDEVP(終値!W174:AP174)/AVERAGE(終値!W174:AP174),""))</f>
        <v>0.26089552048080128</v>
      </c>
      <c r="U174" s="503">
        <f>IF(終値!A174="","",IFERROR(4*STDEVP(終値!X174:AQ174)/AVERAGE(終値!X174:AQ174),""))</f>
        <v>0.24409472122225123</v>
      </c>
      <c r="V174" s="503">
        <f>IF(終値!A174="","",IFERROR(4*STDEVP(終値!Y174:AR174)/AVERAGE(終値!Y174:AR174),""))</f>
        <v>0.2140830760684507</v>
      </c>
      <c r="W174" s="503">
        <f>IF(終値!A174="","",IFERROR(4*STDEVP(終値!Z174:AS174)/AVERAGE(終値!Z174:AS174),""))</f>
        <v>0.17425364550895139</v>
      </c>
      <c r="X174" s="503">
        <f>IF(終値!A174="","",IFERROR(4*STDEVP(終値!AA174:AT174)/AVERAGE(終値!AA174:AT174),""))</f>
        <v>0.14437987088053436</v>
      </c>
      <c r="Y174" s="503">
        <f>IF(終値!A174="","",IFERROR(4*STDEVP(終値!AB174:AU174)/AVERAGE(終値!AB174:AU174),""))</f>
        <v>0.12364747004996994</v>
      </c>
      <c r="Z174" s="503">
        <f>IF(終値!A174="","",IFERROR(4*STDEVP(終値!AC174:AV174)/AVERAGE(終値!AC174:AV174),""))</f>
        <v>0.11669117082327815</v>
      </c>
      <c r="AA174" s="503">
        <f>IF(終値!A174="","",IFERROR(4*STDEVP(終値!AD174:AW174)/AVERAGE(終値!AD174:AW174),""))</f>
        <v>0.13712597163607254</v>
      </c>
      <c r="AB174" s="503">
        <f>IF(終値!A174="","",IFERROR(4*STDEVP(終値!AE174:AX174)/AVERAGE(終値!AE174:AX174),""))</f>
        <v>0.14423138695525697</v>
      </c>
      <c r="AC174" s="503">
        <f>IF(終値!A174="","",IFERROR(4*STDEVP(終値!AF174:AY174)/AVERAGE(終値!AF174:AY174),""))</f>
        <v>0.15423761907356964</v>
      </c>
      <c r="AD174" s="503">
        <f>IF(終値!A174="","",IFERROR(4*STDEVP(終値!AG174:AZ174)/AVERAGE(終値!AG174:AZ174),""))</f>
        <v>0.16916880845550827</v>
      </c>
      <c r="AE174" s="503">
        <f>IF(終値!A174="","",IFERROR(4*STDEVP(終値!AH174:BA174)/AVERAGE(終値!AH174:BA174),""))</f>
        <v>0.18808432223462873</v>
      </c>
      <c r="AF174" s="503">
        <f>IF(終値!A174="","",IFERROR(4*STDEVP(終値!AI174:BB174)/AVERAGE(終値!AI174:BB174),""))</f>
        <v>0.19557449822116296</v>
      </c>
      <c r="AG174" s="503">
        <f>IF(終値!A174="","",IFERROR(4*STDEVP(終値!AJ174:BC174)/AVERAGE(終値!AJ174:BC174),""))</f>
        <v>0.19579642011293794</v>
      </c>
      <c r="AH174" s="503">
        <f>IF(終値!A174="","",IFERROR(4*STDEVP(終値!AK174:BD174)/AVERAGE(終値!AK174:BD174),""))</f>
        <v>0.196649198999717</v>
      </c>
      <c r="AI174" s="503">
        <f>IF(終値!A174="","",IFERROR(4*STDEVP(終値!AL174:BE174)/AVERAGE(終値!AL174:BE174),""))</f>
        <v>0.19573520942737521</v>
      </c>
      <c r="AJ174" s="503">
        <f>IF(終値!A174="","",IFERROR(4*STDEVP(終値!AM174:BF174)/AVERAGE(終値!AM174:BF174),""))</f>
        <v>0.18703797096352343</v>
      </c>
      <c r="AK174" s="503">
        <f>IF(終値!A174="","",IFERROR(4*STDEVP(終値!AN174:BG174)/AVERAGE(終値!AN174:BG174),""))</f>
        <v>0.17045109995767319</v>
      </c>
      <c r="AL174" s="503">
        <f>IF(終値!A174="","",IFERROR(4*STDEVP(終値!AO174:BH174)/AVERAGE(終値!AO174:BH174),""))</f>
        <v>0.1486838335532058</v>
      </c>
      <c r="AM174" s="503">
        <f>IF(終値!A174="","",IFERROR(4*STDEVP(終値!AP174:BI174)/AVERAGE(終値!AP174:BI174),""))</f>
        <v>0.13952724896202162</v>
      </c>
      <c r="AN174" s="503">
        <f>IF(終値!A174="","",IFERROR(4*STDEVP(終値!AQ174:BJ174)/AVERAGE(終値!AQ174:BJ174),""))</f>
        <v>0.13332455357237291</v>
      </c>
      <c r="AO174" s="503">
        <f>IF(終値!A174="","",IFERROR(4*STDEVP(終値!AR174:BK174)/AVERAGE(終値!AR174:BK174),""))</f>
        <v>0.11602708809211225</v>
      </c>
      <c r="AP174" s="503">
        <f>IF(終値!A174="","",IFERROR(4*STDEVP(終値!AS174:BL174)/AVERAGE(終値!AS174:BL174),""))</f>
        <v>9.8364068161967744E-2</v>
      </c>
    </row>
    <row r="175" spans="1:42">
      <c r="A175" s="500" t="str">
        <f>IF(終値!A175="","",終値!A175)</f>
        <v>1942</v>
      </c>
      <c r="B175" s="503">
        <f>IF(終値!A175="","",IFERROR(4*STDEVP(終値!E175:X175)/AVERAGE(終値!E175:X175),""))</f>
        <v>0.22726606209287281</v>
      </c>
      <c r="C175" s="503">
        <f>IF(終値!A175="","",IFERROR(4*STDEVP(終値!F175:Y175)/AVERAGE(終値!F175:Y175),""))</f>
        <v>0.256604922397419</v>
      </c>
      <c r="D175" s="503">
        <f>IF(終値!A175="","",IFERROR(4*STDEVP(終値!G175:Z175)/AVERAGE(終値!G175:Z175),""))</f>
        <v>0.28088176842718532</v>
      </c>
      <c r="E175" s="503">
        <f>IF(終値!A175="","",IFERROR(4*STDEVP(終値!H175:AA175)/AVERAGE(終値!H175:AA175),""))</f>
        <v>0.28655392979226663</v>
      </c>
      <c r="F175" s="503">
        <f>IF(終値!A175="","",IFERROR(4*STDEVP(終値!I175:AB175)/AVERAGE(終値!I175:AB175),""))</f>
        <v>0.26978155634160711</v>
      </c>
      <c r="G175" s="503">
        <f>IF(終値!A175="","",IFERROR(4*STDEVP(終値!J175:AC175)/AVERAGE(終値!J175:AC175),""))</f>
        <v>0.25181041293255252</v>
      </c>
      <c r="H175" s="503">
        <f>IF(終値!A175="","",IFERROR(4*STDEVP(終値!K175:AD175)/AVERAGE(終値!K175:AD175),""))</f>
        <v>0.23427658507389459</v>
      </c>
      <c r="I175" s="503">
        <f>IF(終値!A175="","",IFERROR(4*STDEVP(終値!L175:AE175)/AVERAGE(終値!L175:AE175),""))</f>
        <v>0.21990759617803235</v>
      </c>
      <c r="J175" s="503">
        <f>IF(終値!A175="","",IFERROR(4*STDEVP(終値!M175:AF175)/AVERAGE(終値!M175:AF175),""))</f>
        <v>0.21485972090346392</v>
      </c>
      <c r="K175" s="503">
        <f>IF(終値!A175="","",IFERROR(4*STDEVP(終値!N175:AG175)/AVERAGE(終値!N175:AG175),""))</f>
        <v>0.21291464307603636</v>
      </c>
      <c r="L175" s="503">
        <f>IF(終値!A175="","",IFERROR(4*STDEVP(終値!O175:AH175)/AVERAGE(終値!O175:AH175),""))</f>
        <v>0.20625306662396833</v>
      </c>
      <c r="M175" s="503">
        <f>IF(終値!A175="","",IFERROR(4*STDEVP(終値!P175:AI175)/AVERAGE(終値!P175:AI175),""))</f>
        <v>0.19574987983128497</v>
      </c>
      <c r="N175" s="503">
        <f>IF(終値!A175="","",IFERROR(4*STDEVP(終値!Q175:AJ175)/AVERAGE(終値!Q175:AJ175),""))</f>
        <v>0.18266542604415353</v>
      </c>
      <c r="O175" s="503">
        <f>IF(終値!A175="","",IFERROR(4*STDEVP(終値!R175:AK175)/AVERAGE(終値!R175:AK175),""))</f>
        <v>0.16632638865486427</v>
      </c>
      <c r="P175" s="503">
        <f>IF(終値!A175="","",IFERROR(4*STDEVP(終値!S175:AL175)/AVERAGE(終値!S175:AL175),""))</f>
        <v>0.13163923704431688</v>
      </c>
      <c r="Q175" s="503">
        <f>IF(終値!A175="","",IFERROR(4*STDEVP(終値!T175:AM175)/AVERAGE(終値!T175:AM175),""))</f>
        <v>0.12746549009499303</v>
      </c>
      <c r="R175" s="503">
        <f>IF(終値!A175="","",IFERROR(4*STDEVP(終値!U175:AN175)/AVERAGE(終値!U175:AN175),""))</f>
        <v>0.1218953990833908</v>
      </c>
      <c r="S175" s="503">
        <f>IF(終値!A175="","",IFERROR(4*STDEVP(終値!V175:AO175)/AVERAGE(終値!V175:AO175),""))</f>
        <v>0.10882508775490909</v>
      </c>
      <c r="T175" s="503">
        <f>IF(終値!A175="","",IFERROR(4*STDEVP(終値!W175:AP175)/AVERAGE(終値!W175:AP175),""))</f>
        <v>0.15366763964124983</v>
      </c>
      <c r="U175" s="503">
        <f>IF(終値!A175="","",IFERROR(4*STDEVP(終値!X175:AQ175)/AVERAGE(終値!X175:AQ175),""))</f>
        <v>0.18545670719736179</v>
      </c>
      <c r="V175" s="503">
        <f>IF(終値!A175="","",IFERROR(4*STDEVP(終値!Y175:AR175)/AVERAGE(終値!Y175:AR175),""))</f>
        <v>0.2042158548726688</v>
      </c>
      <c r="W175" s="503">
        <f>IF(終値!A175="","",IFERROR(4*STDEVP(終値!Z175:AS175)/AVERAGE(終値!Z175:AS175),""))</f>
        <v>0.22802734928625609</v>
      </c>
      <c r="X175" s="503">
        <f>IF(終値!A175="","",IFERROR(4*STDEVP(終値!AA175:AT175)/AVERAGE(終値!AA175:AT175),""))</f>
        <v>0.23865496983554169</v>
      </c>
      <c r="Y175" s="503">
        <f>IF(終値!A175="","",IFERROR(4*STDEVP(終値!AB175:AU175)/AVERAGE(終値!AB175:AU175),""))</f>
        <v>0.25102403940072343</v>
      </c>
      <c r="Z175" s="503">
        <f>IF(終値!A175="","",IFERROR(4*STDEVP(終値!AC175:AV175)/AVERAGE(終値!AC175:AV175),""))</f>
        <v>0.26207764814615914</v>
      </c>
      <c r="AA175" s="503">
        <f>IF(終値!A175="","",IFERROR(4*STDEVP(終値!AD175:AW175)/AVERAGE(終値!AD175:AW175),""))</f>
        <v>0.26006860004584487</v>
      </c>
      <c r="AB175" s="503">
        <f>IF(終値!A175="","",IFERROR(4*STDEVP(終値!AE175:AX175)/AVERAGE(終値!AE175:AX175),""))</f>
        <v>0.25583643038182735</v>
      </c>
      <c r="AC175" s="503">
        <f>IF(終値!A175="","",IFERROR(4*STDEVP(終値!AF175:AY175)/AVERAGE(終値!AF175:AY175),""))</f>
        <v>0.24926952751365053</v>
      </c>
      <c r="AD175" s="503">
        <f>IF(終値!A175="","",IFERROR(4*STDEVP(終値!AG175:AZ175)/AVERAGE(終値!AG175:AZ175),""))</f>
        <v>0.24348773777871094</v>
      </c>
      <c r="AE175" s="503">
        <f>IF(終値!A175="","",IFERROR(4*STDEVP(終値!AH175:BA175)/AVERAGE(終値!AH175:BA175),""))</f>
        <v>0.2384187440271873</v>
      </c>
      <c r="AF175" s="503">
        <f>IF(終値!A175="","",IFERROR(4*STDEVP(終値!AI175:BB175)/AVERAGE(終値!AI175:BB175),""))</f>
        <v>0.23325134962679009</v>
      </c>
      <c r="AG175" s="503">
        <f>IF(終値!A175="","",IFERROR(4*STDEVP(終値!AJ175:BC175)/AVERAGE(終値!AJ175:BC175),""))</f>
        <v>0.22713347609985596</v>
      </c>
      <c r="AH175" s="503">
        <f>IF(終値!A175="","",IFERROR(4*STDEVP(終値!AK175:BD175)/AVERAGE(終値!AK175:BD175),""))</f>
        <v>0.21448794881372832</v>
      </c>
      <c r="AI175" s="503">
        <f>IF(終値!A175="","",IFERROR(4*STDEVP(終値!AL175:BE175)/AVERAGE(終値!AL175:BE175),""))</f>
        <v>0.19572001614761811</v>
      </c>
      <c r="AJ175" s="503">
        <f>IF(終値!A175="","",IFERROR(4*STDEVP(終値!AM175:BF175)/AVERAGE(終値!AM175:BF175),""))</f>
        <v>0.18984560129735137</v>
      </c>
      <c r="AK175" s="503">
        <f>IF(終値!A175="","",IFERROR(4*STDEVP(終値!AN175:BG175)/AVERAGE(終値!AN175:BG175),""))</f>
        <v>0.20936824128906492</v>
      </c>
      <c r="AL175" s="503">
        <f>IF(終値!A175="","",IFERROR(4*STDEVP(終値!AO175:BH175)/AVERAGE(終値!AO175:BH175),""))</f>
        <v>0.23447695636767321</v>
      </c>
      <c r="AM175" s="503">
        <f>IF(終値!A175="","",IFERROR(4*STDEVP(終値!AP175:BI175)/AVERAGE(終値!AP175:BI175),""))</f>
        <v>0.27633915586054936</v>
      </c>
      <c r="AN175" s="503">
        <f>IF(終値!A175="","",IFERROR(4*STDEVP(終値!AQ175:BJ175)/AVERAGE(終値!AQ175:BJ175),""))</f>
        <v>0.3031898491459184</v>
      </c>
      <c r="AO175" s="503">
        <f>IF(終値!A175="","",IFERROR(4*STDEVP(終値!AR175:BK175)/AVERAGE(終値!AR175:BK175),""))</f>
        <v>0.31107616532090837</v>
      </c>
      <c r="AP175" s="503">
        <f>IF(終値!A175="","",IFERROR(4*STDEVP(終値!AS175:BL175)/AVERAGE(終値!AS175:BL175),""))</f>
        <v>0.31340305725796885</v>
      </c>
    </row>
    <row r="176" spans="1:42">
      <c r="A176" s="500" t="str">
        <f>IF(終値!A176="","",終値!A176)</f>
        <v>1938</v>
      </c>
      <c r="B176" s="503">
        <f>IF(終値!A176="","",IFERROR(4*STDEVP(終値!E176:X176)/AVERAGE(終値!E176:X176),""))</f>
        <v>0.10343051074629357</v>
      </c>
      <c r="C176" s="503">
        <f>IF(終値!A176="","",IFERROR(4*STDEVP(終値!F176:Y176)/AVERAGE(終値!F176:Y176),""))</f>
        <v>0.11988589567643877</v>
      </c>
      <c r="D176" s="503">
        <f>IF(終値!A176="","",IFERROR(4*STDEVP(終値!G176:Z176)/AVERAGE(終値!G176:Z176),""))</f>
        <v>0.14345875712565032</v>
      </c>
      <c r="E176" s="503">
        <f>IF(終値!A176="","",IFERROR(4*STDEVP(終値!H176:AA176)/AVERAGE(終値!H176:AA176),""))</f>
        <v>0.15005566175221369</v>
      </c>
      <c r="F176" s="503">
        <f>IF(終値!A176="","",IFERROR(4*STDEVP(終値!I176:AB176)/AVERAGE(終値!I176:AB176),""))</f>
        <v>0.14541713016952942</v>
      </c>
      <c r="G176" s="503">
        <f>IF(終値!A176="","",IFERROR(4*STDEVP(終値!J176:AC176)/AVERAGE(終値!J176:AC176),""))</f>
        <v>0.1432350891416837</v>
      </c>
      <c r="H176" s="503">
        <f>IF(終値!A176="","",IFERROR(4*STDEVP(終値!K176:AD176)/AVERAGE(終値!K176:AD176),""))</f>
        <v>0.13904873690736483</v>
      </c>
      <c r="I176" s="503">
        <f>IF(終値!A176="","",IFERROR(4*STDEVP(終値!L176:AE176)/AVERAGE(終値!L176:AE176),""))</f>
        <v>0.13362256469884862</v>
      </c>
      <c r="J176" s="503">
        <f>IF(終値!A176="","",IFERROR(4*STDEVP(終値!M176:AF176)/AVERAGE(終値!M176:AF176),""))</f>
        <v>0.13159918853417804</v>
      </c>
      <c r="K176" s="503">
        <f>IF(終値!A176="","",IFERROR(4*STDEVP(終値!N176:AG176)/AVERAGE(終値!N176:AG176),""))</f>
        <v>0.13239169661259081</v>
      </c>
      <c r="L176" s="503">
        <f>IF(終値!A176="","",IFERROR(4*STDEVP(終値!O176:AH176)/AVERAGE(終値!O176:AH176),""))</f>
        <v>0.13068362070043385</v>
      </c>
      <c r="M176" s="503">
        <f>IF(終値!A176="","",IFERROR(4*STDEVP(終値!P176:AI176)/AVERAGE(終値!P176:AI176),""))</f>
        <v>0.1277710279039122</v>
      </c>
      <c r="N176" s="503">
        <f>IF(終値!A176="","",IFERROR(4*STDEVP(終値!Q176:AJ176)/AVERAGE(終値!Q176:AJ176),""))</f>
        <v>0.12915674258018217</v>
      </c>
      <c r="O176" s="503">
        <f>IF(終値!A176="","",IFERROR(4*STDEVP(終値!R176:AK176)/AVERAGE(終値!R176:AK176),""))</f>
        <v>0.12787581126898181</v>
      </c>
      <c r="P176" s="503">
        <f>IF(終値!A176="","",IFERROR(4*STDEVP(終値!S176:AL176)/AVERAGE(終値!S176:AL176),""))</f>
        <v>0.11921793287202653</v>
      </c>
      <c r="Q176" s="503">
        <f>IF(終値!A176="","",IFERROR(4*STDEVP(終値!T176:AM176)/AVERAGE(終値!T176:AM176),""))</f>
        <v>0.11769461402807545</v>
      </c>
      <c r="R176" s="503">
        <f>IF(終値!A176="","",IFERROR(4*STDEVP(終値!U176:AN176)/AVERAGE(終値!U176:AN176),""))</f>
        <v>0.11420739617361063</v>
      </c>
      <c r="S176" s="503">
        <f>IF(終値!A176="","",IFERROR(4*STDEVP(終値!V176:AO176)/AVERAGE(終値!V176:AO176),""))</f>
        <v>0.10776926021622472</v>
      </c>
      <c r="T176" s="503">
        <f>IF(終値!A176="","",IFERROR(4*STDEVP(終値!W176:AP176)/AVERAGE(終値!W176:AP176),""))</f>
        <v>9.8292977159824199E-2</v>
      </c>
      <c r="U176" s="503">
        <f>IF(終値!A176="","",IFERROR(4*STDEVP(終値!X176:AQ176)/AVERAGE(終値!X176:AQ176),""))</f>
        <v>8.5481167909573622E-2</v>
      </c>
      <c r="V176" s="503">
        <f>IF(終値!A176="","",IFERROR(4*STDEVP(終値!Y176:AR176)/AVERAGE(終値!Y176:AR176),""))</f>
        <v>7.2805365574127437E-2</v>
      </c>
      <c r="W176" s="503">
        <f>IF(終値!A176="","",IFERROR(4*STDEVP(終値!Z176:AS176)/AVERAGE(終値!Z176:AS176),""))</f>
        <v>7.1550879032356407E-2</v>
      </c>
      <c r="X176" s="503">
        <f>IF(終値!A176="","",IFERROR(4*STDEVP(終値!AA176:AT176)/AVERAGE(終値!AA176:AT176),""))</f>
        <v>7.2745491686195068E-2</v>
      </c>
      <c r="Y176" s="503">
        <f>IF(終値!A176="","",IFERROR(4*STDEVP(終値!AB176:AU176)/AVERAGE(終値!AB176:AU176),""))</f>
        <v>7.1594937800070979E-2</v>
      </c>
      <c r="Z176" s="503">
        <f>IF(終値!A176="","",IFERROR(4*STDEVP(終値!AC176:AV176)/AVERAGE(終値!AC176:AV176),""))</f>
        <v>6.7201110416856377E-2</v>
      </c>
      <c r="AA176" s="503">
        <f>IF(終値!A176="","",IFERROR(4*STDEVP(終値!AD176:AW176)/AVERAGE(終値!AD176:AW176),""))</f>
        <v>6.4092325208285061E-2</v>
      </c>
      <c r="AB176" s="503">
        <f>IF(終値!A176="","",IFERROR(4*STDEVP(終値!AE176:AX176)/AVERAGE(終値!AE176:AX176),""))</f>
        <v>6.8556041102929538E-2</v>
      </c>
      <c r="AC176" s="503">
        <f>IF(終値!A176="","",IFERROR(4*STDEVP(終値!AF176:AY176)/AVERAGE(終値!AF176:AY176),""))</f>
        <v>6.9146556139242255E-2</v>
      </c>
      <c r="AD176" s="503">
        <f>IF(終値!A176="","",IFERROR(4*STDEVP(終値!AG176:AZ176)/AVERAGE(終値!AG176:AZ176),""))</f>
        <v>6.9110331523436486E-2</v>
      </c>
      <c r="AE176" s="503">
        <f>IF(終値!A176="","",IFERROR(4*STDEVP(終値!AH176:BA176)/AVERAGE(終値!AH176:BA176),""))</f>
        <v>7.1708169073918526E-2</v>
      </c>
      <c r="AF176" s="503">
        <f>IF(終値!A176="","",IFERROR(4*STDEVP(終値!AI176:BB176)/AVERAGE(終値!AI176:BB176),""))</f>
        <v>8.0365694459923032E-2</v>
      </c>
      <c r="AG176" s="503">
        <f>IF(終値!A176="","",IFERROR(4*STDEVP(終値!AJ176:BC176)/AVERAGE(終値!AJ176:BC176),""))</f>
        <v>8.5297688752593359E-2</v>
      </c>
      <c r="AH176" s="503">
        <f>IF(終値!A176="","",IFERROR(4*STDEVP(終値!AK176:BD176)/AVERAGE(終値!AK176:BD176),""))</f>
        <v>8.5820805715311213E-2</v>
      </c>
      <c r="AI176" s="503">
        <f>IF(終値!A176="","",IFERROR(4*STDEVP(終値!AL176:BE176)/AVERAGE(終値!AL176:BE176),""))</f>
        <v>8.6211706592707771E-2</v>
      </c>
      <c r="AJ176" s="503">
        <f>IF(終値!A176="","",IFERROR(4*STDEVP(終値!AM176:BF176)/AVERAGE(終値!AM176:BF176),""))</f>
        <v>8.7838057234723946E-2</v>
      </c>
      <c r="AK176" s="503">
        <f>IF(終値!A176="","",IFERROR(4*STDEVP(終値!AN176:BG176)/AVERAGE(終値!AN176:BG176),""))</f>
        <v>0.10362778155620343</v>
      </c>
      <c r="AL176" s="503">
        <f>IF(終値!A176="","",IFERROR(4*STDEVP(終値!AO176:BH176)/AVERAGE(終値!AO176:BH176),""))</f>
        <v>0.11580765522172179</v>
      </c>
      <c r="AM176" s="503">
        <f>IF(終値!A176="","",IFERROR(4*STDEVP(終値!AP176:BI176)/AVERAGE(終値!AP176:BI176),""))</f>
        <v>0.14727826532712626</v>
      </c>
      <c r="AN176" s="503">
        <f>IF(終値!A176="","",IFERROR(4*STDEVP(終値!AQ176:BJ176)/AVERAGE(終値!AQ176:BJ176),""))</f>
        <v>0.16599567018977179</v>
      </c>
      <c r="AO176" s="503">
        <f>IF(終値!A176="","",IFERROR(4*STDEVP(終値!AR176:BK176)/AVERAGE(終値!AR176:BK176),""))</f>
        <v>0.17260121246333812</v>
      </c>
      <c r="AP176" s="503">
        <f>IF(終値!A176="","",IFERROR(4*STDEVP(終値!AS176:BL176)/AVERAGE(終値!AS176:BL176),""))</f>
        <v>0.17386250970990175</v>
      </c>
    </row>
    <row r="177" spans="1:42">
      <c r="A177" s="500" t="str">
        <f>IF(終値!A177="","",終値!A177)</f>
        <v>7236</v>
      </c>
      <c r="B177" s="503">
        <f>IF(終値!A177="","",IFERROR(4*STDEVP(終値!E177:X177)/AVERAGE(終値!E177:X177),""))</f>
        <v>1.0437051532941943E-2</v>
      </c>
      <c r="C177" s="503">
        <f>IF(終値!A177="","",IFERROR(4*STDEVP(終値!F177:Y177)/AVERAGE(終値!F177:Y177),""))</f>
        <v>0</v>
      </c>
      <c r="D177" s="503" t="str">
        <f>IF(終値!A177="","",IFERROR(4*STDEVP(終値!G177:Z177)/AVERAGE(終値!G177:Z177),""))</f>
        <v/>
      </c>
      <c r="E177" s="503" t="str">
        <f>IF(終値!A177="","",IFERROR(4*STDEVP(終値!H177:AA177)/AVERAGE(終値!H177:AA177),""))</f>
        <v/>
      </c>
      <c r="F177" s="503" t="str">
        <f>IF(終値!A177="","",IFERROR(4*STDEVP(終値!I177:AB177)/AVERAGE(終値!I177:AB177),""))</f>
        <v/>
      </c>
      <c r="G177" s="503" t="str">
        <f>IF(終値!A177="","",IFERROR(4*STDEVP(終値!J177:AC177)/AVERAGE(終値!J177:AC177),""))</f>
        <v/>
      </c>
      <c r="H177" s="503" t="str">
        <f>IF(終値!A177="","",IFERROR(4*STDEVP(終値!K177:AD177)/AVERAGE(終値!K177:AD177),""))</f>
        <v/>
      </c>
      <c r="I177" s="503" t="str">
        <f>IF(終値!A177="","",IFERROR(4*STDEVP(終値!L177:AE177)/AVERAGE(終値!L177:AE177),""))</f>
        <v/>
      </c>
      <c r="J177" s="503" t="str">
        <f>IF(終値!A177="","",IFERROR(4*STDEVP(終値!M177:AF177)/AVERAGE(終値!M177:AF177),""))</f>
        <v/>
      </c>
      <c r="K177" s="503" t="str">
        <f>IF(終値!A177="","",IFERROR(4*STDEVP(終値!N177:AG177)/AVERAGE(終値!N177:AG177),""))</f>
        <v/>
      </c>
      <c r="L177" s="503" t="str">
        <f>IF(終値!A177="","",IFERROR(4*STDEVP(終値!O177:AH177)/AVERAGE(終値!O177:AH177),""))</f>
        <v/>
      </c>
      <c r="M177" s="503" t="str">
        <f>IF(終値!A177="","",IFERROR(4*STDEVP(終値!P177:AI177)/AVERAGE(終値!P177:AI177),""))</f>
        <v/>
      </c>
      <c r="N177" s="503" t="str">
        <f>IF(終値!A177="","",IFERROR(4*STDEVP(終値!Q177:AJ177)/AVERAGE(終値!Q177:AJ177),""))</f>
        <v/>
      </c>
      <c r="O177" s="503" t="str">
        <f>IF(終値!A177="","",IFERROR(4*STDEVP(終値!R177:AK177)/AVERAGE(終値!R177:AK177),""))</f>
        <v/>
      </c>
      <c r="P177" s="503" t="str">
        <f>IF(終値!A177="","",IFERROR(4*STDEVP(終値!S177:AL177)/AVERAGE(終値!S177:AL177),""))</f>
        <v/>
      </c>
      <c r="Q177" s="503" t="str">
        <f>IF(終値!A177="","",IFERROR(4*STDEVP(終値!T177:AM177)/AVERAGE(終値!T177:AM177),""))</f>
        <v/>
      </c>
      <c r="R177" s="503" t="str">
        <f>IF(終値!A177="","",IFERROR(4*STDEVP(終値!U177:AN177)/AVERAGE(終値!U177:AN177),""))</f>
        <v/>
      </c>
      <c r="S177" s="503" t="str">
        <f>IF(終値!A177="","",IFERROR(4*STDEVP(終値!V177:AO177)/AVERAGE(終値!V177:AO177),""))</f>
        <v/>
      </c>
      <c r="T177" s="503" t="str">
        <f>IF(終値!A177="","",IFERROR(4*STDEVP(終値!W177:AP177)/AVERAGE(終値!W177:AP177),""))</f>
        <v/>
      </c>
      <c r="U177" s="503" t="str">
        <f>IF(終値!A177="","",IFERROR(4*STDEVP(終値!X177:AQ177)/AVERAGE(終値!X177:AQ177),""))</f>
        <v/>
      </c>
      <c r="V177" s="503" t="str">
        <f>IF(終値!A177="","",IFERROR(4*STDEVP(終値!Y177:AR177)/AVERAGE(終値!Y177:AR177),""))</f>
        <v/>
      </c>
      <c r="W177" s="503" t="str">
        <f>IF(終値!A177="","",IFERROR(4*STDEVP(終値!Z177:AS177)/AVERAGE(終値!Z177:AS177),""))</f>
        <v/>
      </c>
      <c r="X177" s="503" t="str">
        <f>IF(終値!A177="","",IFERROR(4*STDEVP(終値!AA177:AT177)/AVERAGE(終値!AA177:AT177),""))</f>
        <v/>
      </c>
      <c r="Y177" s="503" t="str">
        <f>IF(終値!A177="","",IFERROR(4*STDEVP(終値!AB177:AU177)/AVERAGE(終値!AB177:AU177),""))</f>
        <v/>
      </c>
      <c r="Z177" s="503" t="str">
        <f>IF(終値!A177="","",IFERROR(4*STDEVP(終値!AC177:AV177)/AVERAGE(終値!AC177:AV177),""))</f>
        <v/>
      </c>
      <c r="AA177" s="503" t="str">
        <f>IF(終値!A177="","",IFERROR(4*STDEVP(終値!AD177:AW177)/AVERAGE(終値!AD177:AW177),""))</f>
        <v/>
      </c>
      <c r="AB177" s="503" t="str">
        <f>IF(終値!A177="","",IFERROR(4*STDEVP(終値!AE177:AX177)/AVERAGE(終値!AE177:AX177),""))</f>
        <v/>
      </c>
      <c r="AC177" s="503" t="str">
        <f>IF(終値!A177="","",IFERROR(4*STDEVP(終値!AF177:AY177)/AVERAGE(終値!AF177:AY177),""))</f>
        <v/>
      </c>
      <c r="AD177" s="503" t="str">
        <f>IF(終値!A177="","",IFERROR(4*STDEVP(終値!AG177:AZ177)/AVERAGE(終値!AG177:AZ177),""))</f>
        <v/>
      </c>
      <c r="AE177" s="503" t="str">
        <f>IF(終値!A177="","",IFERROR(4*STDEVP(終値!AH177:BA177)/AVERAGE(終値!AH177:BA177),""))</f>
        <v/>
      </c>
      <c r="AF177" s="503" t="str">
        <f>IF(終値!A177="","",IFERROR(4*STDEVP(終値!AI177:BB177)/AVERAGE(終値!AI177:BB177),""))</f>
        <v/>
      </c>
      <c r="AG177" s="503" t="str">
        <f>IF(終値!A177="","",IFERROR(4*STDEVP(終値!AJ177:BC177)/AVERAGE(終値!AJ177:BC177),""))</f>
        <v/>
      </c>
      <c r="AH177" s="503" t="str">
        <f>IF(終値!A177="","",IFERROR(4*STDEVP(終値!AK177:BD177)/AVERAGE(終値!AK177:BD177),""))</f>
        <v/>
      </c>
      <c r="AI177" s="503" t="str">
        <f>IF(終値!A177="","",IFERROR(4*STDEVP(終値!AL177:BE177)/AVERAGE(終値!AL177:BE177),""))</f>
        <v/>
      </c>
      <c r="AJ177" s="503" t="str">
        <f>IF(終値!A177="","",IFERROR(4*STDEVP(終値!AM177:BF177)/AVERAGE(終値!AM177:BF177),""))</f>
        <v/>
      </c>
      <c r="AK177" s="503" t="str">
        <f>IF(終値!A177="","",IFERROR(4*STDEVP(終値!AN177:BG177)/AVERAGE(終値!AN177:BG177),""))</f>
        <v/>
      </c>
      <c r="AL177" s="503" t="str">
        <f>IF(終値!A177="","",IFERROR(4*STDEVP(終値!AO177:BH177)/AVERAGE(終値!AO177:BH177),""))</f>
        <v/>
      </c>
      <c r="AM177" s="503" t="str">
        <f>IF(終値!A177="","",IFERROR(4*STDEVP(終値!AP177:BI177)/AVERAGE(終値!AP177:BI177),""))</f>
        <v/>
      </c>
      <c r="AN177" s="503" t="str">
        <f>IF(終値!A177="","",IFERROR(4*STDEVP(終値!AQ177:BJ177)/AVERAGE(終値!AQ177:BJ177),""))</f>
        <v/>
      </c>
      <c r="AO177" s="503" t="str">
        <f>IF(終値!A177="","",IFERROR(4*STDEVP(終値!AR177:BK177)/AVERAGE(終値!AR177:BK177),""))</f>
        <v/>
      </c>
      <c r="AP177" s="503" t="str">
        <f>IF(終値!A177="","",IFERROR(4*STDEVP(終値!AS177:BL177)/AVERAGE(終値!AS177:BL177),""))</f>
        <v/>
      </c>
    </row>
    <row r="178" spans="1:42">
      <c r="A178" s="500" t="str">
        <f>IF(終値!A178="","",終値!A178)</f>
        <v>6436</v>
      </c>
      <c r="B178" s="503">
        <f>IF(終値!A178="","",IFERROR(4*STDEVP(終値!E178:X178)/AVERAGE(終値!E178:X178),""))</f>
        <v>8.6282330223030002E-2</v>
      </c>
      <c r="C178" s="503">
        <f>IF(終値!A178="","",IFERROR(4*STDEVP(終値!F178:Y178)/AVERAGE(終値!F178:Y178),""))</f>
        <v>8.7800370130439787E-2</v>
      </c>
      <c r="D178" s="503">
        <f>IF(終値!A178="","",IFERROR(4*STDEVP(終値!G178:Z178)/AVERAGE(終値!G178:Z178),""))</f>
        <v>8.8914273955824782E-2</v>
      </c>
      <c r="E178" s="503">
        <f>IF(終値!A178="","",IFERROR(4*STDEVP(終値!H178:AA178)/AVERAGE(終値!H178:AA178),""))</f>
        <v>9.3340568116115838E-2</v>
      </c>
      <c r="F178" s="503">
        <f>IF(終値!A178="","",IFERROR(4*STDEVP(終値!I178:AB178)/AVERAGE(終値!I178:AB178),""))</f>
        <v>9.104179995554379E-2</v>
      </c>
      <c r="G178" s="503">
        <f>IF(終値!A178="","",IFERROR(4*STDEVP(終値!J178:AC178)/AVERAGE(終値!J178:AC178),""))</f>
        <v>9.4946964268207965E-2</v>
      </c>
      <c r="H178" s="503">
        <f>IF(終値!A178="","",IFERROR(4*STDEVP(終値!K178:AD178)/AVERAGE(終値!K178:AD178),""))</f>
        <v>9.5839242697465951E-2</v>
      </c>
      <c r="I178" s="503">
        <f>IF(終値!A178="","",IFERROR(4*STDEVP(終値!L178:AE178)/AVERAGE(終値!L178:AE178),""))</f>
        <v>9.5107389354283201E-2</v>
      </c>
      <c r="J178" s="503">
        <f>IF(終値!A178="","",IFERROR(4*STDEVP(終値!M178:AF178)/AVERAGE(終値!M178:AF178),""))</f>
        <v>9.9362899903768259E-2</v>
      </c>
      <c r="K178" s="503">
        <f>IF(終値!A178="","",IFERROR(4*STDEVP(終値!N178:AG178)/AVERAGE(終値!N178:AG178),""))</f>
        <v>7.5468209586060334E-2</v>
      </c>
      <c r="L178" s="503">
        <f>IF(終値!A178="","",IFERROR(4*STDEVP(終値!O178:AH178)/AVERAGE(終値!O178:AH178),""))</f>
        <v>8.1126454918269933E-2</v>
      </c>
      <c r="M178" s="503">
        <f>IF(終値!A178="","",IFERROR(4*STDEVP(終値!P178:AI178)/AVERAGE(終値!P178:AI178),""))</f>
        <v>8.1225637067291731E-2</v>
      </c>
      <c r="N178" s="503">
        <f>IF(終値!A178="","",IFERROR(4*STDEVP(終値!Q178:AJ178)/AVERAGE(終値!Q178:AJ178),""))</f>
        <v>7.9618896449111798E-2</v>
      </c>
      <c r="O178" s="503">
        <f>IF(終値!A178="","",IFERROR(4*STDEVP(終値!R178:AK178)/AVERAGE(終値!R178:AK178),""))</f>
        <v>7.3594646745625436E-2</v>
      </c>
      <c r="P178" s="503">
        <f>IF(終値!A178="","",IFERROR(4*STDEVP(終値!S178:AL178)/AVERAGE(終値!S178:AL178),""))</f>
        <v>7.3308692002188605E-2</v>
      </c>
      <c r="Q178" s="503">
        <f>IF(終値!A178="","",IFERROR(4*STDEVP(終値!T178:AM178)/AVERAGE(終値!T178:AM178),""))</f>
        <v>7.290770484791774E-2</v>
      </c>
      <c r="R178" s="503">
        <f>IF(終値!A178="","",IFERROR(4*STDEVP(終値!U178:AN178)/AVERAGE(終値!U178:AN178),""))</f>
        <v>7.332181859672661E-2</v>
      </c>
      <c r="S178" s="503">
        <f>IF(終値!A178="","",IFERROR(4*STDEVP(終値!V178:AO178)/AVERAGE(終値!V178:AO178),""))</f>
        <v>7.3372880422453809E-2</v>
      </c>
      <c r="T178" s="503">
        <f>IF(終値!A178="","",IFERROR(4*STDEVP(終値!W178:AP178)/AVERAGE(終値!W178:AP178),""))</f>
        <v>7.0062150361038217E-2</v>
      </c>
      <c r="U178" s="503">
        <f>IF(終値!A178="","",IFERROR(4*STDEVP(終値!X178:AQ178)/AVERAGE(終値!X178:AQ178),""))</f>
        <v>6.5178279527974586E-2</v>
      </c>
      <c r="V178" s="503">
        <f>IF(終値!A178="","",IFERROR(4*STDEVP(終値!Y178:AR178)/AVERAGE(終値!Y178:AR178),""))</f>
        <v>6.1187326564174326E-2</v>
      </c>
      <c r="W178" s="503">
        <f>IF(終値!A178="","",IFERROR(4*STDEVP(終値!Z178:AS178)/AVERAGE(終値!Z178:AS178),""))</f>
        <v>5.581878896714132E-2</v>
      </c>
      <c r="X178" s="503">
        <f>IF(終値!A178="","",IFERROR(4*STDEVP(終値!AA178:AT178)/AVERAGE(終値!AA178:AT178),""))</f>
        <v>4.9455933067375585E-2</v>
      </c>
      <c r="Y178" s="503">
        <f>IF(終値!A178="","",IFERROR(4*STDEVP(終値!AB178:AU178)/AVERAGE(終値!AB178:AU178),""))</f>
        <v>5.0487215971572512E-2</v>
      </c>
      <c r="Z178" s="503">
        <f>IF(終値!A178="","",IFERROR(4*STDEVP(終値!AC178:AV178)/AVERAGE(終値!AC178:AV178),""))</f>
        <v>4.3846410232691875E-2</v>
      </c>
      <c r="AA178" s="503">
        <f>IF(終値!A178="","",IFERROR(4*STDEVP(終値!AD178:AW178)/AVERAGE(終値!AD178:AW178),""))</f>
        <v>4.230076094168822E-2</v>
      </c>
      <c r="AB178" s="503">
        <f>IF(終値!A178="","",IFERROR(4*STDEVP(終値!AE178:AX178)/AVERAGE(終値!AE178:AX178),""))</f>
        <v>3.9702158183903137E-2</v>
      </c>
      <c r="AC178" s="503">
        <f>IF(終値!A178="","",IFERROR(4*STDEVP(終値!AF178:AY178)/AVERAGE(終値!AF178:AY178),""))</f>
        <v>3.5382127666219627E-2</v>
      </c>
      <c r="AD178" s="503">
        <f>IF(終値!A178="","",IFERROR(4*STDEVP(終値!AG178:AZ178)/AVERAGE(終値!AG178:AZ178),""))</f>
        <v>3.1566794362064408E-2</v>
      </c>
      <c r="AE178" s="503">
        <f>IF(終値!A178="","",IFERROR(4*STDEVP(終値!AH178:BA178)/AVERAGE(終値!AH178:BA178),""))</f>
        <v>3.0706587877359443E-2</v>
      </c>
      <c r="AF178" s="503">
        <f>IF(終値!A178="","",IFERROR(4*STDEVP(終値!AI178:BB178)/AVERAGE(終値!AI178:BB178),""))</f>
        <v>3.3065213201238786E-2</v>
      </c>
      <c r="AG178" s="503">
        <f>IF(終値!A178="","",IFERROR(4*STDEVP(終値!AJ178:BC178)/AVERAGE(終値!AJ178:BC178),""))</f>
        <v>3.625295346914878E-2</v>
      </c>
      <c r="AH178" s="503">
        <f>IF(終値!A178="","",IFERROR(4*STDEVP(終値!AK178:BD178)/AVERAGE(終値!AK178:BD178),""))</f>
        <v>3.9209029043568239E-2</v>
      </c>
      <c r="AI178" s="503">
        <f>IF(終値!A178="","",IFERROR(4*STDEVP(終値!AL178:BE178)/AVERAGE(終値!AL178:BE178),""))</f>
        <v>4.8654422836991694E-2</v>
      </c>
      <c r="AJ178" s="503">
        <f>IF(終値!A178="","",IFERROR(4*STDEVP(終値!AM178:BF178)/AVERAGE(終値!AM178:BF178),""))</f>
        <v>4.9974240755230256E-2</v>
      </c>
      <c r="AK178" s="503">
        <f>IF(終値!A178="","",IFERROR(4*STDEVP(終値!AN178:BG178)/AVERAGE(終値!AN178:BG178),""))</f>
        <v>5.374671864128068E-2</v>
      </c>
      <c r="AL178" s="503">
        <f>IF(終値!A178="","",IFERROR(4*STDEVP(終値!AO178:BH178)/AVERAGE(終値!AO178:BH178),""))</f>
        <v>5.6651656474621087E-2</v>
      </c>
      <c r="AM178" s="503">
        <f>IF(終値!A178="","",IFERROR(4*STDEVP(終値!AP178:BI178)/AVERAGE(終値!AP178:BI178),""))</f>
        <v>5.7689657678782265E-2</v>
      </c>
      <c r="AN178" s="503">
        <f>IF(終値!A178="","",IFERROR(4*STDEVP(終値!AQ178:BJ178)/AVERAGE(終値!AQ178:BJ178),""))</f>
        <v>6.0568128737792402E-2</v>
      </c>
      <c r="AO178" s="503">
        <f>IF(終値!A178="","",IFERROR(4*STDEVP(終値!AR178:BK178)/AVERAGE(終値!AR178:BK178),""))</f>
        <v>6.3769740161300187E-2</v>
      </c>
      <c r="AP178" s="503">
        <f>IF(終値!A178="","",IFERROR(4*STDEVP(終値!AS178:BL178)/AVERAGE(終値!AS178:BL178),""))</f>
        <v>6.5591259713707065E-2</v>
      </c>
    </row>
    <row r="179" spans="1:42">
      <c r="A179" s="500" t="str">
        <f>IF(終値!A179="","",終値!A179)</f>
        <v>5410</v>
      </c>
      <c r="B179" s="503">
        <f>IF(終値!A179="","",IFERROR(4*STDEVP(終値!E179:X179)/AVERAGE(終値!E179:X179),""))</f>
        <v>0.12272890268288746</v>
      </c>
      <c r="C179" s="503">
        <f>IF(終値!A179="","",IFERROR(4*STDEVP(終値!F179:Y179)/AVERAGE(終値!F179:Y179),""))</f>
        <v>0.12133342028345843</v>
      </c>
      <c r="D179" s="503">
        <f>IF(終値!A179="","",IFERROR(4*STDEVP(終値!G179:Z179)/AVERAGE(終値!G179:Z179),""))</f>
        <v>0.12360407396675549</v>
      </c>
      <c r="E179" s="503">
        <f>IF(終値!A179="","",IFERROR(4*STDEVP(終値!H179:AA179)/AVERAGE(終値!H179:AA179),""))</f>
        <v>0.12563365402275106</v>
      </c>
      <c r="F179" s="503">
        <f>IF(終値!A179="","",IFERROR(4*STDEVP(終値!I179:AB179)/AVERAGE(終値!I179:AB179),""))</f>
        <v>0.12739717516895407</v>
      </c>
      <c r="G179" s="503">
        <f>IF(終値!A179="","",IFERROR(4*STDEVP(終値!J179:AC179)/AVERAGE(終値!J179:AC179),""))</f>
        <v>0.13712002259741196</v>
      </c>
      <c r="H179" s="503">
        <f>IF(終値!A179="","",IFERROR(4*STDEVP(終値!K179:AD179)/AVERAGE(終値!K179:AD179),""))</f>
        <v>0.132934356647437</v>
      </c>
      <c r="I179" s="503">
        <f>IF(終値!A179="","",IFERROR(4*STDEVP(終値!L179:AE179)/AVERAGE(終値!L179:AE179),""))</f>
        <v>0.1078101456708956</v>
      </c>
      <c r="J179" s="503">
        <f>IF(終値!A179="","",IFERROR(4*STDEVP(終値!M179:AF179)/AVERAGE(終値!M179:AF179),""))</f>
        <v>9.9748600280428354E-2</v>
      </c>
      <c r="K179" s="503">
        <f>IF(終値!A179="","",IFERROR(4*STDEVP(終値!N179:AG179)/AVERAGE(終値!N179:AG179),""))</f>
        <v>9.3316588137379211E-2</v>
      </c>
      <c r="L179" s="503">
        <f>IF(終値!A179="","",IFERROR(4*STDEVP(終値!O179:AH179)/AVERAGE(終値!O179:AH179),""))</f>
        <v>8.9857912200769108E-2</v>
      </c>
      <c r="M179" s="503">
        <f>IF(終値!A179="","",IFERROR(4*STDEVP(終値!P179:AI179)/AVERAGE(終値!P179:AI179),""))</f>
        <v>8.2426997705590394E-2</v>
      </c>
      <c r="N179" s="503">
        <f>IF(終値!A179="","",IFERROR(4*STDEVP(終値!Q179:AJ179)/AVERAGE(終値!Q179:AJ179),""))</f>
        <v>7.9403021346463626E-2</v>
      </c>
      <c r="O179" s="503">
        <f>IF(終値!A179="","",IFERROR(4*STDEVP(終値!R179:AK179)/AVERAGE(終値!R179:AK179),""))</f>
        <v>7.5292806882314836E-2</v>
      </c>
      <c r="P179" s="503">
        <f>IF(終値!A179="","",IFERROR(4*STDEVP(終値!S179:AL179)/AVERAGE(終値!S179:AL179),""))</f>
        <v>7.4672353731672469E-2</v>
      </c>
      <c r="Q179" s="503">
        <f>IF(終値!A179="","",IFERROR(4*STDEVP(終値!T179:AM179)/AVERAGE(終値!T179:AM179),""))</f>
        <v>7.159556121958445E-2</v>
      </c>
      <c r="R179" s="503">
        <f>IF(終値!A179="","",IFERROR(4*STDEVP(終値!U179:AN179)/AVERAGE(終値!U179:AN179),""))</f>
        <v>6.9851842663699412E-2</v>
      </c>
      <c r="S179" s="503">
        <f>IF(終値!A179="","",IFERROR(4*STDEVP(終値!V179:AO179)/AVERAGE(終値!V179:AO179),""))</f>
        <v>6.5808180258123128E-2</v>
      </c>
      <c r="T179" s="503">
        <f>IF(終値!A179="","",IFERROR(4*STDEVP(終値!W179:AP179)/AVERAGE(終値!W179:AP179),""))</f>
        <v>6.0846095139339904E-2</v>
      </c>
      <c r="U179" s="503">
        <f>IF(終値!A179="","",IFERROR(4*STDEVP(終値!X179:AQ179)/AVERAGE(終値!X179:AQ179),""))</f>
        <v>6.3496905821922717E-2</v>
      </c>
      <c r="V179" s="503">
        <f>IF(終値!A179="","",IFERROR(4*STDEVP(終値!Y179:AR179)/AVERAGE(終値!Y179:AR179),""))</f>
        <v>6.1585247005593931E-2</v>
      </c>
      <c r="W179" s="503">
        <f>IF(終値!A179="","",IFERROR(4*STDEVP(終値!Z179:AS179)/AVERAGE(終値!Z179:AS179),""))</f>
        <v>5.6081774086182437E-2</v>
      </c>
      <c r="X179" s="503">
        <f>IF(終値!A179="","",IFERROR(4*STDEVP(終値!AA179:AT179)/AVERAGE(終値!AA179:AT179),""))</f>
        <v>5.0428544208466014E-2</v>
      </c>
      <c r="Y179" s="503">
        <f>IF(終値!A179="","",IFERROR(4*STDEVP(終値!AB179:AU179)/AVERAGE(終値!AB179:AU179),""))</f>
        <v>4.5348050963370072E-2</v>
      </c>
      <c r="Z179" s="503">
        <f>IF(終値!A179="","",IFERROR(4*STDEVP(終値!AC179:AV179)/AVERAGE(終値!AC179:AV179),""))</f>
        <v>4.4634967712748788E-2</v>
      </c>
      <c r="AA179" s="503">
        <f>IF(終値!A179="","",IFERROR(4*STDEVP(終値!AD179:AW179)/AVERAGE(終値!AD179:AW179),""))</f>
        <v>4.3026683760295933E-2</v>
      </c>
      <c r="AB179" s="503">
        <f>IF(終値!A179="","",IFERROR(4*STDEVP(終値!AE179:AX179)/AVERAGE(終値!AE179:AX179),""))</f>
        <v>6.9776555348495625E-2</v>
      </c>
      <c r="AC179" s="503">
        <f>IF(終値!A179="","",IFERROR(4*STDEVP(終値!AF179:AY179)/AVERAGE(終値!AF179:AY179),""))</f>
        <v>7.878390115140442E-2</v>
      </c>
      <c r="AD179" s="503">
        <f>IF(終値!A179="","",IFERROR(4*STDEVP(終値!AG179:AZ179)/AVERAGE(終値!AG179:AZ179),""))</f>
        <v>8.6714204803545067E-2</v>
      </c>
      <c r="AE179" s="503">
        <f>IF(終値!A179="","",IFERROR(4*STDEVP(終値!AH179:BA179)/AVERAGE(終値!AH179:BA179),""))</f>
        <v>8.7673509453564669E-2</v>
      </c>
      <c r="AF179" s="503">
        <f>IF(終値!A179="","",IFERROR(4*STDEVP(終値!AI179:BB179)/AVERAGE(終値!AI179:BB179),""))</f>
        <v>9.0423169733912526E-2</v>
      </c>
      <c r="AG179" s="503">
        <f>IF(終値!A179="","",IFERROR(4*STDEVP(終値!AJ179:BC179)/AVERAGE(終値!AJ179:BC179),""))</f>
        <v>9.5985769208526805E-2</v>
      </c>
      <c r="AH179" s="503">
        <f>IF(終値!A179="","",IFERROR(4*STDEVP(終値!AK179:BD179)/AVERAGE(終値!AK179:BD179),""))</f>
        <v>9.7225027091080538E-2</v>
      </c>
      <c r="AI179" s="503">
        <f>IF(終値!A179="","",IFERROR(4*STDEVP(終値!AL179:BE179)/AVERAGE(終値!AL179:BE179),""))</f>
        <v>0.11002201895912897</v>
      </c>
      <c r="AJ179" s="503">
        <f>IF(終値!A179="","",IFERROR(4*STDEVP(終値!AM179:BF179)/AVERAGE(終値!AM179:BF179),""))</f>
        <v>0.11756961335068257</v>
      </c>
      <c r="AK179" s="503">
        <f>IF(終値!A179="","",IFERROR(4*STDEVP(終値!AN179:BG179)/AVERAGE(終値!AN179:BG179),""))</f>
        <v>0.13412493536841896</v>
      </c>
      <c r="AL179" s="503">
        <f>IF(終値!A179="","",IFERROR(4*STDEVP(終値!AO179:BH179)/AVERAGE(終値!AO179:BH179),""))</f>
        <v>0.14749221014574149</v>
      </c>
      <c r="AM179" s="503">
        <f>IF(終値!A179="","",IFERROR(4*STDEVP(終値!AP179:BI179)/AVERAGE(終値!AP179:BI179),""))</f>
        <v>0.1558350004223876</v>
      </c>
      <c r="AN179" s="503">
        <f>IF(終値!A179="","",IFERROR(4*STDEVP(終値!AQ179:BJ179)/AVERAGE(終値!AQ179:BJ179),""))</f>
        <v>0.1637399493606129</v>
      </c>
      <c r="AO179" s="503">
        <f>IF(終値!A179="","",IFERROR(4*STDEVP(終値!AR179:BK179)/AVERAGE(終値!AR179:BK179),""))</f>
        <v>0.16265367332114691</v>
      </c>
      <c r="AP179" s="503">
        <f>IF(終値!A179="","",IFERROR(4*STDEVP(終値!AS179:BL179)/AVERAGE(終値!AS179:BL179),""))</f>
        <v>0.16424379854333329</v>
      </c>
    </row>
    <row r="180" spans="1:42">
      <c r="A180" s="500" t="str">
        <f>IF(終値!A180="","",終値!A180)</f>
        <v>5440</v>
      </c>
      <c r="B180" s="503">
        <f>IF(終値!A180="","",IFERROR(4*STDEVP(終値!E180:X180)/AVERAGE(終値!E180:X180),""))</f>
        <v>0.13141574599000402</v>
      </c>
      <c r="C180" s="503">
        <f>IF(終値!A180="","",IFERROR(4*STDEVP(終値!F180:Y180)/AVERAGE(終値!F180:Y180),""))</f>
        <v>0.13566086952123166</v>
      </c>
      <c r="D180" s="503">
        <f>IF(終値!A180="","",IFERROR(4*STDEVP(終値!G180:Z180)/AVERAGE(終値!G180:Z180),""))</f>
        <v>0.14067277366423286</v>
      </c>
      <c r="E180" s="503">
        <f>IF(終値!A180="","",IFERROR(4*STDEVP(終値!H180:AA180)/AVERAGE(終値!H180:AA180),""))</f>
        <v>0.14738962472627221</v>
      </c>
      <c r="F180" s="503">
        <f>IF(終値!A180="","",IFERROR(4*STDEVP(終値!I180:AB180)/AVERAGE(終値!I180:AB180),""))</f>
        <v>0.15656242583088359</v>
      </c>
      <c r="G180" s="503">
        <f>IF(終値!A180="","",IFERROR(4*STDEVP(終値!J180:AC180)/AVERAGE(終値!J180:AC180),""))</f>
        <v>0.16556265721184865</v>
      </c>
      <c r="H180" s="503">
        <f>IF(終値!A180="","",IFERROR(4*STDEVP(終値!K180:AD180)/AVERAGE(終値!K180:AD180),""))</f>
        <v>0.15011947176741841</v>
      </c>
      <c r="I180" s="503">
        <f>IF(終値!A180="","",IFERROR(4*STDEVP(終値!L180:AE180)/AVERAGE(終値!L180:AE180),""))</f>
        <v>0.13257227834628066</v>
      </c>
      <c r="J180" s="503">
        <f>IF(終値!A180="","",IFERROR(4*STDEVP(終値!M180:AF180)/AVERAGE(終値!M180:AF180),""))</f>
        <v>0.12478260453449748</v>
      </c>
      <c r="K180" s="503">
        <f>IF(終値!A180="","",IFERROR(4*STDEVP(終値!N180:AG180)/AVERAGE(終値!N180:AG180),""))</f>
        <v>0.11895053611301565</v>
      </c>
      <c r="L180" s="503">
        <f>IF(終値!A180="","",IFERROR(4*STDEVP(終値!O180:AH180)/AVERAGE(終値!O180:AH180),""))</f>
        <v>0.12447131890483444</v>
      </c>
      <c r="M180" s="503">
        <f>IF(終値!A180="","",IFERROR(4*STDEVP(終値!P180:AI180)/AVERAGE(終値!P180:AI180),""))</f>
        <v>0.11923743534204825</v>
      </c>
      <c r="N180" s="503">
        <f>IF(終値!A180="","",IFERROR(4*STDEVP(終値!Q180:AJ180)/AVERAGE(終値!Q180:AJ180),""))</f>
        <v>0.10905205406313506</v>
      </c>
      <c r="O180" s="503">
        <f>IF(終値!A180="","",IFERROR(4*STDEVP(終値!R180:AK180)/AVERAGE(終値!R180:AK180),""))</f>
        <v>9.6021778584218009E-2</v>
      </c>
      <c r="P180" s="503">
        <f>IF(終値!A180="","",IFERROR(4*STDEVP(終値!S180:AL180)/AVERAGE(終値!S180:AL180),""))</f>
        <v>9.0648682736111957E-2</v>
      </c>
      <c r="Q180" s="503">
        <f>IF(終値!A180="","",IFERROR(4*STDEVP(終値!T180:AM180)/AVERAGE(終値!T180:AM180),""))</f>
        <v>8.2087207904946238E-2</v>
      </c>
      <c r="R180" s="503">
        <f>IF(終値!A180="","",IFERROR(4*STDEVP(終値!U180:AN180)/AVERAGE(終値!U180:AN180),""))</f>
        <v>7.4345227142593812E-2</v>
      </c>
      <c r="S180" s="503">
        <f>IF(終値!A180="","",IFERROR(4*STDEVP(終値!V180:AO180)/AVERAGE(終値!V180:AO180),""))</f>
        <v>7.253723350371212E-2</v>
      </c>
      <c r="T180" s="503">
        <f>IF(終値!A180="","",IFERROR(4*STDEVP(終値!W180:AP180)/AVERAGE(終値!W180:AP180),""))</f>
        <v>6.8237205190105468E-2</v>
      </c>
      <c r="U180" s="503">
        <f>IF(終値!A180="","",IFERROR(4*STDEVP(終値!X180:AQ180)/AVERAGE(終値!X180:AQ180),""))</f>
        <v>6.8374168989113734E-2</v>
      </c>
      <c r="V180" s="503">
        <f>IF(終値!A180="","",IFERROR(4*STDEVP(終値!Y180:AR180)/AVERAGE(終値!Y180:AR180),""))</f>
        <v>6.5469994405615434E-2</v>
      </c>
      <c r="W180" s="503">
        <f>IF(終値!A180="","",IFERROR(4*STDEVP(終値!Z180:AS180)/AVERAGE(終値!Z180:AS180),""))</f>
        <v>5.8186404706518612E-2</v>
      </c>
      <c r="X180" s="503">
        <f>IF(終値!A180="","",IFERROR(4*STDEVP(終値!AA180:AT180)/AVERAGE(終値!AA180:AT180),""))</f>
        <v>5.1192007600482259E-2</v>
      </c>
      <c r="Y180" s="503">
        <f>IF(終値!A180="","",IFERROR(4*STDEVP(終値!AB180:AU180)/AVERAGE(終値!AB180:AU180),""))</f>
        <v>4.7043028343805644E-2</v>
      </c>
      <c r="Z180" s="503">
        <f>IF(終値!A180="","",IFERROR(4*STDEVP(終値!AC180:AV180)/AVERAGE(終値!AC180:AV180),""))</f>
        <v>4.6614609444203654E-2</v>
      </c>
      <c r="AA180" s="503">
        <f>IF(終値!A180="","",IFERROR(4*STDEVP(終値!AD180:AW180)/AVERAGE(終値!AD180:AW180),""))</f>
        <v>4.5404252334918745E-2</v>
      </c>
      <c r="AB180" s="503">
        <f>IF(終値!A180="","",IFERROR(4*STDEVP(終値!AE180:AX180)/AVERAGE(終値!AE180:AX180),""))</f>
        <v>5.8565380121735379E-2</v>
      </c>
      <c r="AC180" s="503">
        <f>IF(終値!A180="","",IFERROR(4*STDEVP(終値!AF180:AY180)/AVERAGE(終値!AF180:AY180),""))</f>
        <v>6.9558603426367507E-2</v>
      </c>
      <c r="AD180" s="503">
        <f>IF(終値!A180="","",IFERROR(4*STDEVP(終値!AG180:AZ180)/AVERAGE(終値!AG180:AZ180),""))</f>
        <v>7.9989414626066666E-2</v>
      </c>
      <c r="AE180" s="503">
        <f>IF(終値!A180="","",IFERROR(4*STDEVP(終値!AH180:BA180)/AVERAGE(終値!AH180:BA180),""))</f>
        <v>8.8928302624977432E-2</v>
      </c>
      <c r="AF180" s="503">
        <f>IF(終値!A180="","",IFERROR(4*STDEVP(終値!AI180:BB180)/AVERAGE(終値!AI180:BB180),""))</f>
        <v>9.5374822312143795E-2</v>
      </c>
      <c r="AG180" s="503">
        <f>IF(終値!A180="","",IFERROR(4*STDEVP(終値!AJ180:BC180)/AVERAGE(終値!AJ180:BC180),""))</f>
        <v>9.7833817014293098E-2</v>
      </c>
      <c r="AH180" s="503">
        <f>IF(終値!A180="","",IFERROR(4*STDEVP(終値!AK180:BD180)/AVERAGE(終値!AK180:BD180),""))</f>
        <v>9.9053642813818218E-2</v>
      </c>
      <c r="AI180" s="503">
        <f>IF(終値!A180="","",IFERROR(4*STDEVP(終値!AL180:BE180)/AVERAGE(終値!AL180:BE180),""))</f>
        <v>0.10253742015977578</v>
      </c>
      <c r="AJ180" s="503">
        <f>IF(終値!A180="","",IFERROR(4*STDEVP(終値!AM180:BF180)/AVERAGE(終値!AM180:BF180),""))</f>
        <v>0.10289319797660541</v>
      </c>
      <c r="AK180" s="503">
        <f>IF(終値!A180="","",IFERROR(4*STDEVP(終値!AN180:BG180)/AVERAGE(終値!AN180:BG180),""))</f>
        <v>0.10889948826542224</v>
      </c>
      <c r="AL180" s="503">
        <f>IF(終値!A180="","",IFERROR(4*STDEVP(終値!AO180:BH180)/AVERAGE(終値!AO180:BH180),""))</f>
        <v>0.11516176336986023</v>
      </c>
      <c r="AM180" s="503">
        <f>IF(終値!A180="","",IFERROR(4*STDEVP(終値!AP180:BI180)/AVERAGE(終値!AP180:BI180),""))</f>
        <v>0.11568126896261345</v>
      </c>
      <c r="AN180" s="503">
        <f>IF(終値!A180="","",IFERROR(4*STDEVP(終値!AQ180:BJ180)/AVERAGE(終値!AQ180:BJ180),""))</f>
        <v>0.1145489299591672</v>
      </c>
      <c r="AO180" s="503">
        <f>IF(終値!A180="","",IFERROR(4*STDEVP(終値!AR180:BK180)/AVERAGE(終値!AR180:BK180),""))</f>
        <v>0.10669184875105199</v>
      </c>
      <c r="AP180" s="503">
        <f>IF(終値!A180="","",IFERROR(4*STDEVP(終値!AS180:BL180)/AVERAGE(終値!AS180:BL180),""))</f>
        <v>9.6669953960617769E-2</v>
      </c>
    </row>
    <row r="181" spans="1:42">
      <c r="A181" s="500" t="str">
        <f>IF(終値!A181="","",終値!A181)</f>
        <v>9505</v>
      </c>
      <c r="B181" s="503">
        <f>IF(終値!A181="","",IFERROR(4*STDEVP(終値!E181:X181)/AVERAGE(終値!E181:X181),""))</f>
        <v>0.11919528474909871</v>
      </c>
      <c r="C181" s="503">
        <f>IF(終値!A181="","",IFERROR(4*STDEVP(終値!F181:Y181)/AVERAGE(終値!F181:Y181),""))</f>
        <v>0.12091298902306445</v>
      </c>
      <c r="D181" s="503">
        <f>IF(終値!A181="","",IFERROR(4*STDEVP(終値!G181:Z181)/AVERAGE(終値!G181:Z181),""))</f>
        <v>0.12064599870229906</v>
      </c>
      <c r="E181" s="503">
        <f>IF(終値!A181="","",IFERROR(4*STDEVP(終値!H181:AA181)/AVERAGE(終値!H181:AA181),""))</f>
        <v>0.12864263225001338</v>
      </c>
      <c r="F181" s="503">
        <f>IF(終値!A181="","",IFERROR(4*STDEVP(終値!I181:AB181)/AVERAGE(終値!I181:AB181),""))</f>
        <v>0.13561574563179812</v>
      </c>
      <c r="G181" s="503">
        <f>IF(終値!A181="","",IFERROR(4*STDEVP(終値!J181:AC181)/AVERAGE(終値!J181:AC181),""))</f>
        <v>0.14051071848356134</v>
      </c>
      <c r="H181" s="503">
        <f>IF(終値!A181="","",IFERROR(4*STDEVP(終値!K181:AD181)/AVERAGE(終値!K181:AD181),""))</f>
        <v>0.13675726475577007</v>
      </c>
      <c r="I181" s="503">
        <f>IF(終値!A181="","",IFERROR(4*STDEVP(終値!L181:AE181)/AVERAGE(終値!L181:AE181),""))</f>
        <v>0.12116684108530225</v>
      </c>
      <c r="J181" s="503">
        <f>IF(終値!A181="","",IFERROR(4*STDEVP(終値!M181:AF181)/AVERAGE(終値!M181:AF181),""))</f>
        <v>0.12029604196228758</v>
      </c>
      <c r="K181" s="503">
        <f>IF(終値!A181="","",IFERROR(4*STDEVP(終値!N181:AG181)/AVERAGE(終値!N181:AG181),""))</f>
        <v>0.11133661832427177</v>
      </c>
      <c r="L181" s="503">
        <f>IF(終値!A181="","",IFERROR(4*STDEVP(終値!O181:AH181)/AVERAGE(終値!O181:AH181),""))</f>
        <v>0.11672074191856982</v>
      </c>
      <c r="M181" s="503">
        <f>IF(終値!A181="","",IFERROR(4*STDEVP(終値!P181:AI181)/AVERAGE(終値!P181:AI181),""))</f>
        <v>0.11416016039197113</v>
      </c>
      <c r="N181" s="503">
        <f>IF(終値!A181="","",IFERROR(4*STDEVP(終値!Q181:AJ181)/AVERAGE(終値!Q181:AJ181),""))</f>
        <v>0.11330559147745559</v>
      </c>
      <c r="O181" s="503">
        <f>IF(終値!A181="","",IFERROR(4*STDEVP(終値!R181:AK181)/AVERAGE(終値!R181:AK181),""))</f>
        <v>0.10987958997518324</v>
      </c>
      <c r="P181" s="503">
        <f>IF(終値!A181="","",IFERROR(4*STDEVP(終値!S181:AL181)/AVERAGE(終値!S181:AL181),""))</f>
        <v>0.1139045549408549</v>
      </c>
      <c r="Q181" s="503">
        <f>IF(終値!A181="","",IFERROR(4*STDEVP(終値!T181:AM181)/AVERAGE(終値!T181:AM181),""))</f>
        <v>0.11374083969498851</v>
      </c>
      <c r="R181" s="503">
        <f>IF(終値!A181="","",IFERROR(4*STDEVP(終値!U181:AN181)/AVERAGE(終値!U181:AN181),""))</f>
        <v>0.11382249606808752</v>
      </c>
      <c r="S181" s="503">
        <f>IF(終値!A181="","",IFERROR(4*STDEVP(終値!V181:AO181)/AVERAGE(終値!V181:AO181),""))</f>
        <v>0.11423424073705349</v>
      </c>
      <c r="T181" s="503">
        <f>IF(終値!A181="","",IFERROR(4*STDEVP(終値!W181:AP181)/AVERAGE(終値!W181:AP181),""))</f>
        <v>0.11185016722218094</v>
      </c>
      <c r="U181" s="503">
        <f>IF(終値!A181="","",IFERROR(4*STDEVP(終値!X181:AQ181)/AVERAGE(終値!X181:AQ181),""))</f>
        <v>0.10567944669683384</v>
      </c>
      <c r="V181" s="503">
        <f>IF(終値!A181="","",IFERROR(4*STDEVP(終値!Y181:AR181)/AVERAGE(終値!Y181:AR181),""))</f>
        <v>9.5322411883510344E-2</v>
      </c>
      <c r="W181" s="503">
        <f>IF(終値!A181="","",IFERROR(4*STDEVP(終値!Z181:AS181)/AVERAGE(終値!Z181:AS181),""))</f>
        <v>9.0941448779135153E-2</v>
      </c>
      <c r="X181" s="503">
        <f>IF(終値!A181="","",IFERROR(4*STDEVP(終値!AA181:AT181)/AVERAGE(終値!AA181:AT181),""))</f>
        <v>8.1990548586117026E-2</v>
      </c>
      <c r="Y181" s="503">
        <f>IF(終値!A181="","",IFERROR(4*STDEVP(終値!AB181:AU181)/AVERAGE(終値!AB181:AU181),""))</f>
        <v>9.71690500878446E-2</v>
      </c>
      <c r="Z181" s="503">
        <f>IF(終値!A181="","",IFERROR(4*STDEVP(終値!AC181:AV181)/AVERAGE(終値!AC181:AV181),""))</f>
        <v>0.10081405574235634</v>
      </c>
      <c r="AA181" s="503">
        <f>IF(終値!A181="","",IFERROR(4*STDEVP(終値!AD181:AW181)/AVERAGE(終値!AD181:AW181),""))</f>
        <v>0.1071061926778679</v>
      </c>
      <c r="AB181" s="503">
        <f>IF(終値!A181="","",IFERROR(4*STDEVP(終値!AE181:AX181)/AVERAGE(終値!AE181:AX181),""))</f>
        <v>0.10555598540505361</v>
      </c>
      <c r="AC181" s="503">
        <f>IF(終値!A181="","",IFERROR(4*STDEVP(終値!AF181:AY181)/AVERAGE(終値!AF181:AY181),""))</f>
        <v>0.10002274997015233</v>
      </c>
      <c r="AD181" s="503">
        <f>IF(終値!A181="","",IFERROR(4*STDEVP(終値!AG181:AZ181)/AVERAGE(終値!AG181:AZ181),""))</f>
        <v>9.7641883937089363E-2</v>
      </c>
      <c r="AE181" s="503">
        <f>IF(終値!A181="","",IFERROR(4*STDEVP(終値!AH181:BA181)/AVERAGE(終値!AH181:BA181),""))</f>
        <v>9.4731028750512689E-2</v>
      </c>
      <c r="AF181" s="503">
        <f>IF(終値!A181="","",IFERROR(4*STDEVP(終値!AI181:BB181)/AVERAGE(終値!AI181:BB181),""))</f>
        <v>9.5997400439150268E-2</v>
      </c>
      <c r="AG181" s="503">
        <f>IF(終値!A181="","",IFERROR(4*STDEVP(終値!AJ181:BC181)/AVERAGE(終値!AJ181:BC181),""))</f>
        <v>0.10032725949830373</v>
      </c>
      <c r="AH181" s="503">
        <f>IF(終値!A181="","",IFERROR(4*STDEVP(終値!AK181:BD181)/AVERAGE(終値!AK181:BD181),""))</f>
        <v>0.10217252578739874</v>
      </c>
      <c r="AI181" s="503">
        <f>IF(終値!A181="","",IFERROR(4*STDEVP(終値!AL181:BE181)/AVERAGE(終値!AL181:BE181),""))</f>
        <v>0.10767460994070614</v>
      </c>
      <c r="AJ181" s="503">
        <f>IF(終値!A181="","",IFERROR(4*STDEVP(終値!AM181:BF181)/AVERAGE(終値!AM181:BF181),""))</f>
        <v>0.10926667433092374</v>
      </c>
      <c r="AK181" s="503">
        <f>IF(終値!A181="","",IFERROR(4*STDEVP(終値!AN181:BG181)/AVERAGE(終値!AN181:BG181),""))</f>
        <v>0.1246265180259556</v>
      </c>
      <c r="AL181" s="503">
        <f>IF(終値!A181="","",IFERROR(4*STDEVP(終値!AO181:BH181)/AVERAGE(終値!AO181:BH181),""))</f>
        <v>0.14037626831370181</v>
      </c>
      <c r="AM181" s="503">
        <f>IF(終値!A181="","",IFERROR(4*STDEVP(終値!AP181:BI181)/AVERAGE(終値!AP181:BI181),""))</f>
        <v>0.14688468596962628</v>
      </c>
      <c r="AN181" s="503">
        <f>IF(終値!A181="","",IFERROR(4*STDEVP(終値!AQ181:BJ181)/AVERAGE(終値!AQ181:BJ181),""))</f>
        <v>0.15976965504593657</v>
      </c>
      <c r="AO181" s="503">
        <f>IF(終値!A181="","",IFERROR(4*STDEVP(終値!AR181:BK181)/AVERAGE(終値!AR181:BK181),""))</f>
        <v>0.16589049889296584</v>
      </c>
      <c r="AP181" s="503">
        <f>IF(終値!A181="","",IFERROR(4*STDEVP(終値!AS181:BL181)/AVERAGE(終値!AS181:BL181),""))</f>
        <v>0.16780098987810582</v>
      </c>
    </row>
    <row r="182" spans="1:42">
      <c r="A182" s="500" t="str">
        <f>IF(終値!A182="","",終値!A182)</f>
        <v>8091</v>
      </c>
      <c r="B182" s="503">
        <f>IF(終値!A182="","",IFERROR(4*STDEVP(終値!E182:X182)/AVERAGE(終値!E182:X182),""))</f>
        <v>6.5471388923547466E-2</v>
      </c>
      <c r="C182" s="503">
        <f>IF(終値!A182="","",IFERROR(4*STDEVP(終値!F182:Y182)/AVERAGE(終値!F182:Y182),""))</f>
        <v>6.4330667224718391E-2</v>
      </c>
      <c r="D182" s="503">
        <f>IF(終値!A182="","",IFERROR(4*STDEVP(終値!G182:Z182)/AVERAGE(終値!G182:Z182),""))</f>
        <v>6.4335299163059426E-2</v>
      </c>
      <c r="E182" s="503">
        <f>IF(終値!A182="","",IFERROR(4*STDEVP(終値!H182:AA182)/AVERAGE(終値!H182:AA182),""))</f>
        <v>6.4221182082777176E-2</v>
      </c>
      <c r="F182" s="503">
        <f>IF(終値!A182="","",IFERROR(4*STDEVP(終値!I182:AB182)/AVERAGE(終値!I182:AB182),""))</f>
        <v>6.1876241574981929E-2</v>
      </c>
      <c r="G182" s="503">
        <f>IF(終値!A182="","",IFERROR(4*STDEVP(終値!J182:AC182)/AVERAGE(終値!J182:AC182),""))</f>
        <v>5.899251473956553E-2</v>
      </c>
      <c r="H182" s="503">
        <f>IF(終値!A182="","",IFERROR(4*STDEVP(終値!K182:AD182)/AVERAGE(終値!K182:AD182),""))</f>
        <v>5.1503725525816502E-2</v>
      </c>
      <c r="I182" s="503">
        <f>IF(終値!A182="","",IFERROR(4*STDEVP(終値!L182:AE182)/AVERAGE(終値!L182:AE182),""))</f>
        <v>4.3362204517146632E-2</v>
      </c>
      <c r="J182" s="503">
        <f>IF(終値!A182="","",IFERROR(4*STDEVP(終値!M182:AF182)/AVERAGE(終値!M182:AF182),""))</f>
        <v>4.411045977928648E-2</v>
      </c>
      <c r="K182" s="503">
        <f>IF(終値!A182="","",IFERROR(4*STDEVP(終値!N182:AG182)/AVERAGE(終値!N182:AG182),""))</f>
        <v>4.2164246818783412E-2</v>
      </c>
      <c r="L182" s="503">
        <f>IF(終値!A182="","",IFERROR(4*STDEVP(終値!O182:AH182)/AVERAGE(終値!O182:AH182),""))</f>
        <v>4.2080218931627528E-2</v>
      </c>
      <c r="M182" s="503">
        <f>IF(終値!A182="","",IFERROR(4*STDEVP(終値!P182:AI182)/AVERAGE(終値!P182:AI182),""))</f>
        <v>4.1907642395394788E-2</v>
      </c>
      <c r="N182" s="503">
        <f>IF(終値!A182="","",IFERROR(4*STDEVP(終値!Q182:AJ182)/AVERAGE(終値!Q182:AJ182),""))</f>
        <v>3.9162081056947698E-2</v>
      </c>
      <c r="O182" s="503">
        <f>IF(終値!A182="","",IFERROR(4*STDEVP(終値!R182:AK182)/AVERAGE(終値!R182:AK182),""))</f>
        <v>3.7657407068732281E-2</v>
      </c>
      <c r="P182" s="503">
        <f>IF(終値!A182="","",IFERROR(4*STDEVP(終値!S182:AL182)/AVERAGE(終値!S182:AL182),""))</f>
        <v>3.7551715015837268E-2</v>
      </c>
      <c r="Q182" s="503">
        <f>IF(終値!A182="","",IFERROR(4*STDEVP(終値!T182:AM182)/AVERAGE(終値!T182:AM182),""))</f>
        <v>4.4616114632457689E-2</v>
      </c>
      <c r="R182" s="503">
        <f>IF(終値!A182="","",IFERROR(4*STDEVP(終値!U182:AN182)/AVERAGE(終値!U182:AN182),""))</f>
        <v>5.146369233318273E-2</v>
      </c>
      <c r="S182" s="503">
        <f>IF(終値!A182="","",IFERROR(4*STDEVP(終値!V182:AO182)/AVERAGE(終値!V182:AO182),""))</f>
        <v>5.7446878486040749E-2</v>
      </c>
      <c r="T182" s="503">
        <f>IF(終値!A182="","",IFERROR(4*STDEVP(終値!W182:AP182)/AVERAGE(終値!W182:AP182),""))</f>
        <v>6.6605417909545384E-2</v>
      </c>
      <c r="U182" s="503">
        <f>IF(終値!A182="","",IFERROR(4*STDEVP(終値!X182:AQ182)/AVERAGE(終値!X182:AQ182),""))</f>
        <v>7.5661287661436039E-2</v>
      </c>
      <c r="V182" s="503">
        <f>IF(終値!A182="","",IFERROR(4*STDEVP(終値!Y182:AR182)/AVERAGE(終値!Y182:AR182),""))</f>
        <v>7.8655069645326509E-2</v>
      </c>
      <c r="W182" s="503">
        <f>IF(終値!A182="","",IFERROR(4*STDEVP(終値!Z182:AS182)/AVERAGE(終値!Z182:AS182),""))</f>
        <v>7.9419138876657761E-2</v>
      </c>
      <c r="X182" s="503">
        <f>IF(終値!A182="","",IFERROR(4*STDEVP(終値!AA182:AT182)/AVERAGE(終値!AA182:AT182),""))</f>
        <v>7.4614498309071686E-2</v>
      </c>
      <c r="Y182" s="503">
        <f>IF(終値!A182="","",IFERROR(4*STDEVP(終値!AB182:AU182)/AVERAGE(終値!AB182:AU182),""))</f>
        <v>7.8368826429232319E-2</v>
      </c>
      <c r="Z182" s="503">
        <f>IF(終値!A182="","",IFERROR(4*STDEVP(終値!AC182:AV182)/AVERAGE(終値!AC182:AV182),""))</f>
        <v>8.4789142671383433E-2</v>
      </c>
      <c r="AA182" s="503">
        <f>IF(終値!A182="","",IFERROR(4*STDEVP(終値!AD182:AW182)/AVERAGE(終値!AD182:AW182),""))</f>
        <v>9.2657957566020147E-2</v>
      </c>
      <c r="AB182" s="503">
        <f>IF(終値!A182="","",IFERROR(4*STDEVP(終値!AE182:AX182)/AVERAGE(終値!AE182:AX182),""))</f>
        <v>9.1588082691953052E-2</v>
      </c>
      <c r="AC182" s="503">
        <f>IF(終値!A182="","",IFERROR(4*STDEVP(終値!AF182:AY182)/AVERAGE(終値!AF182:AY182),""))</f>
        <v>8.7963477922542124E-2</v>
      </c>
      <c r="AD182" s="503">
        <f>IF(終値!A182="","",IFERROR(4*STDEVP(終値!AG182:AZ182)/AVERAGE(終値!AG182:AZ182),""))</f>
        <v>8.9463068105722604E-2</v>
      </c>
      <c r="AE182" s="503">
        <f>IF(終値!A182="","",IFERROR(4*STDEVP(終値!AH182:BA182)/AVERAGE(終値!AH182:BA182),""))</f>
        <v>8.872591548111218E-2</v>
      </c>
      <c r="AF182" s="503">
        <f>IF(終値!A182="","",IFERROR(4*STDEVP(終値!AI182:BB182)/AVERAGE(終値!AI182:BB182),""))</f>
        <v>8.4533159776583364E-2</v>
      </c>
      <c r="AG182" s="503">
        <f>IF(終値!A182="","",IFERROR(4*STDEVP(終値!AJ182:BC182)/AVERAGE(終値!AJ182:BC182),""))</f>
        <v>7.935889090237537E-2</v>
      </c>
      <c r="AH182" s="503">
        <f>IF(終値!A182="","",IFERROR(4*STDEVP(終値!AK182:BD182)/AVERAGE(終値!AK182:BD182),""))</f>
        <v>7.2766899479497937E-2</v>
      </c>
      <c r="AI182" s="503">
        <f>IF(終値!A182="","",IFERROR(4*STDEVP(終値!AL182:BE182)/AVERAGE(終値!AL182:BE182),""))</f>
        <v>6.213602056932277E-2</v>
      </c>
      <c r="AJ182" s="503">
        <f>IF(終値!A182="","",IFERROR(4*STDEVP(終値!AM182:BF182)/AVERAGE(終値!AM182:BF182),""))</f>
        <v>5.1321790391637923E-2</v>
      </c>
      <c r="AK182" s="503">
        <f>IF(終値!A182="","",IFERROR(4*STDEVP(終値!AN182:BG182)/AVERAGE(終値!AN182:BG182),""))</f>
        <v>7.4011790803244271E-2</v>
      </c>
      <c r="AL182" s="503">
        <f>IF(終値!A182="","",IFERROR(4*STDEVP(終値!AO182:BH182)/AVERAGE(終値!AO182:BH182),""))</f>
        <v>8.3456820178547525E-2</v>
      </c>
      <c r="AM182" s="503">
        <f>IF(終値!A182="","",IFERROR(4*STDEVP(終値!AP182:BI182)/AVERAGE(終値!AP182:BI182),""))</f>
        <v>9.0973790740842844E-2</v>
      </c>
      <c r="AN182" s="503">
        <f>IF(終値!A182="","",IFERROR(4*STDEVP(終値!AQ182:BJ182)/AVERAGE(終値!AQ182:BJ182),""))</f>
        <v>9.5235564735943995E-2</v>
      </c>
      <c r="AO182" s="503">
        <f>IF(終値!A182="","",IFERROR(4*STDEVP(終値!AR182:BK182)/AVERAGE(終値!AR182:BK182),""))</f>
        <v>0.1000951946803742</v>
      </c>
      <c r="AP182" s="503">
        <f>IF(終値!A182="","",IFERROR(4*STDEVP(終値!AS182:BL182)/AVERAGE(終値!AS182:BL182),""))</f>
        <v>0.10161185239908045</v>
      </c>
    </row>
    <row r="183" spans="1:42">
      <c r="A183" s="500" t="str">
        <f>IF(終値!A183="","",終値!A183)</f>
        <v>6507</v>
      </c>
      <c r="B183" s="503">
        <f>IF(終値!A183="","",IFERROR(4*STDEVP(終値!E183:X183)/AVERAGE(終値!E183:X183),""))</f>
        <v>0.23735391341577039</v>
      </c>
      <c r="C183" s="503">
        <f>IF(終値!A183="","",IFERROR(4*STDEVP(終値!F183:Y183)/AVERAGE(終値!F183:Y183),""))</f>
        <v>0.25886341505597921</v>
      </c>
      <c r="D183" s="503">
        <f>IF(終値!A183="","",IFERROR(4*STDEVP(終値!G183:Z183)/AVERAGE(終値!G183:Z183),""))</f>
        <v>0.30137513633646101</v>
      </c>
      <c r="E183" s="503">
        <f>IF(終値!A183="","",IFERROR(4*STDEVP(終値!H183:AA183)/AVERAGE(終値!H183:AA183),""))</f>
        <v>0.31626798812903462</v>
      </c>
      <c r="F183" s="503">
        <f>IF(終値!A183="","",IFERROR(4*STDEVP(終値!I183:AB183)/AVERAGE(終値!I183:AB183),""))</f>
        <v>0.31906448770152757</v>
      </c>
      <c r="G183" s="503">
        <f>IF(終値!A183="","",IFERROR(4*STDEVP(終値!J183:AC183)/AVERAGE(終値!J183:AC183),""))</f>
        <v>0.33806291547741124</v>
      </c>
      <c r="H183" s="503">
        <f>IF(終値!A183="","",IFERROR(4*STDEVP(終値!K183:AD183)/AVERAGE(終値!K183:AD183),""))</f>
        <v>0.31749008491821595</v>
      </c>
      <c r="I183" s="503">
        <f>IF(終値!A183="","",IFERROR(4*STDEVP(終値!L183:AE183)/AVERAGE(終値!L183:AE183),""))</f>
        <v>0.26954146671509832</v>
      </c>
      <c r="J183" s="503">
        <f>IF(終値!A183="","",IFERROR(4*STDEVP(終値!M183:AF183)/AVERAGE(終値!M183:AF183),""))</f>
        <v>0.23267374724243928</v>
      </c>
      <c r="K183" s="503">
        <f>IF(終値!A183="","",IFERROR(4*STDEVP(終値!N183:AG183)/AVERAGE(終値!N183:AG183),""))</f>
        <v>0.22946477818316835</v>
      </c>
      <c r="L183" s="503">
        <f>IF(終値!A183="","",IFERROR(4*STDEVP(終値!O183:AH183)/AVERAGE(終値!O183:AH183),""))</f>
        <v>0.22702887058135277</v>
      </c>
      <c r="M183" s="503">
        <f>IF(終値!A183="","",IFERROR(4*STDEVP(終値!P183:AI183)/AVERAGE(終値!P183:AI183),""))</f>
        <v>0.222147462669811</v>
      </c>
      <c r="N183" s="503">
        <f>IF(終値!A183="","",IFERROR(4*STDEVP(終値!Q183:AJ183)/AVERAGE(終値!Q183:AJ183),""))</f>
        <v>0.22460784039914927</v>
      </c>
      <c r="O183" s="503">
        <f>IF(終値!A183="","",IFERROR(4*STDEVP(終値!R183:AK183)/AVERAGE(終値!R183:AK183),""))</f>
        <v>0.2132547648102382</v>
      </c>
      <c r="P183" s="503">
        <f>IF(終値!A183="","",IFERROR(4*STDEVP(終値!S183:AL183)/AVERAGE(終値!S183:AL183),""))</f>
        <v>0.18780300480621948</v>
      </c>
      <c r="Q183" s="503">
        <f>IF(終値!A183="","",IFERROR(4*STDEVP(終値!T183:AM183)/AVERAGE(終値!T183:AM183),""))</f>
        <v>0.18420472389005491</v>
      </c>
      <c r="R183" s="503">
        <f>IF(終値!A183="","",IFERROR(4*STDEVP(終値!U183:AN183)/AVERAGE(終値!U183:AN183),""))</f>
        <v>0.17441701283020902</v>
      </c>
      <c r="S183" s="503">
        <f>IF(終値!A183="","",IFERROR(4*STDEVP(終値!V183:AO183)/AVERAGE(終値!V183:AO183),""))</f>
        <v>0.19008781352649215</v>
      </c>
      <c r="T183" s="503">
        <f>IF(終値!A183="","",IFERROR(4*STDEVP(終値!W183:AP183)/AVERAGE(終値!W183:AP183),""))</f>
        <v>0.22366811456097038</v>
      </c>
      <c r="U183" s="503">
        <f>IF(終値!A183="","",IFERROR(4*STDEVP(終値!X183:AQ183)/AVERAGE(終値!X183:AQ183),""))</f>
        <v>0.25516821470995316</v>
      </c>
      <c r="V183" s="503">
        <f>IF(終値!A183="","",IFERROR(4*STDEVP(終値!Y183:AR183)/AVERAGE(終値!Y183:AR183),""))</f>
        <v>0.27899955385130998</v>
      </c>
      <c r="W183" s="503">
        <f>IF(終値!A183="","",IFERROR(4*STDEVP(終値!Z183:AS183)/AVERAGE(終値!Z183:AS183),""))</f>
        <v>0.28662576132735679</v>
      </c>
      <c r="X183" s="503">
        <f>IF(終値!A183="","",IFERROR(4*STDEVP(終値!AA183:AT183)/AVERAGE(終値!AA183:AT183),""))</f>
        <v>0.27636721563388855</v>
      </c>
      <c r="Y183" s="503">
        <f>IF(終値!A183="","",IFERROR(4*STDEVP(終値!AB183:AU183)/AVERAGE(終値!AB183:AU183),""))</f>
        <v>0.2755440196569694</v>
      </c>
      <c r="Z183" s="503">
        <f>IF(終値!A183="","",IFERROR(4*STDEVP(終値!AC183:AV183)/AVERAGE(終値!AC183:AV183),""))</f>
        <v>0.28438682585113439</v>
      </c>
      <c r="AA183" s="503">
        <f>IF(終値!A183="","",IFERROR(4*STDEVP(終値!AD183:AW183)/AVERAGE(終値!AD183:AW183),""))</f>
        <v>0.27901148628740097</v>
      </c>
      <c r="AB183" s="503">
        <f>IF(終値!A183="","",IFERROR(4*STDEVP(終値!AE183:AX183)/AVERAGE(終値!AE183:AX183),""))</f>
        <v>0.28345913253234339</v>
      </c>
      <c r="AC183" s="503">
        <f>IF(終値!A183="","",IFERROR(4*STDEVP(終値!AF183:AY183)/AVERAGE(終値!AF183:AY183),""))</f>
        <v>0.28662807289213083</v>
      </c>
      <c r="AD183" s="503">
        <f>IF(終値!A183="","",IFERROR(4*STDEVP(終値!AG183:AZ183)/AVERAGE(終値!AG183:AZ183),""))</f>
        <v>0.28461954298995612</v>
      </c>
      <c r="AE183" s="503">
        <f>IF(終値!A183="","",IFERROR(4*STDEVP(終値!AH183:BA183)/AVERAGE(終値!AH183:BA183),""))</f>
        <v>0.27742469265516911</v>
      </c>
      <c r="AF183" s="503">
        <f>IF(終値!A183="","",IFERROR(4*STDEVP(終値!AI183:BB183)/AVERAGE(終値!AI183:BB183),""))</f>
        <v>0.27845634571638367</v>
      </c>
      <c r="AG183" s="503">
        <f>IF(終値!A183="","",IFERROR(4*STDEVP(終値!AJ183:BC183)/AVERAGE(終値!AJ183:BC183),""))</f>
        <v>0.28002948014116752</v>
      </c>
      <c r="AH183" s="503">
        <f>IF(終値!A183="","",IFERROR(4*STDEVP(終値!AK183:BD183)/AVERAGE(終値!AK183:BD183),""))</f>
        <v>0.25953934313565502</v>
      </c>
      <c r="AI183" s="503">
        <f>IF(終値!A183="","",IFERROR(4*STDEVP(終値!AL183:BE183)/AVERAGE(終値!AL183:BE183),""))</f>
        <v>0.23516549488133426</v>
      </c>
      <c r="AJ183" s="503">
        <f>IF(終値!A183="","",IFERROR(4*STDEVP(終値!AM183:BF183)/AVERAGE(終値!AM183:BF183),""))</f>
        <v>0.20134744525808537</v>
      </c>
      <c r="AK183" s="503">
        <f>IF(終値!A183="","",IFERROR(4*STDEVP(終値!AN183:BG183)/AVERAGE(終値!AN183:BG183),""))</f>
        <v>0.18903947371123253</v>
      </c>
      <c r="AL183" s="503">
        <f>IF(終値!A183="","",IFERROR(4*STDEVP(終値!AO183:BH183)/AVERAGE(終値!AO183:BH183),""))</f>
        <v>0.208682467933614</v>
      </c>
      <c r="AM183" s="503">
        <f>IF(終値!A183="","",IFERROR(4*STDEVP(終値!AP183:BI183)/AVERAGE(終値!AP183:BI183),""))</f>
        <v>0.20860559218698249</v>
      </c>
      <c r="AN183" s="503">
        <f>IF(終値!A183="","",IFERROR(4*STDEVP(終値!AQ183:BJ183)/AVERAGE(終値!AQ183:BJ183),""))</f>
        <v>0.20344593343068404</v>
      </c>
      <c r="AO183" s="503">
        <f>IF(終値!A183="","",IFERROR(4*STDEVP(終値!AR183:BK183)/AVERAGE(終値!AR183:BK183),""))</f>
        <v>0.19222381883573897</v>
      </c>
      <c r="AP183" s="503">
        <f>IF(終値!A183="","",IFERROR(4*STDEVP(終値!AS183:BL183)/AVERAGE(終値!AS183:BL183),""))</f>
        <v>0.18024682283024188</v>
      </c>
    </row>
    <row r="184" spans="1:42">
      <c r="A184" s="500" t="str">
        <f>IF(終値!A184="","",終値!A184)</f>
        <v>9022</v>
      </c>
      <c r="B184" s="503">
        <f>IF(終値!A184="","",IFERROR(4*STDEVP(終値!E184:X184)/AVERAGE(終値!E184:X184),""))</f>
        <v>0.17792147648631554</v>
      </c>
      <c r="C184" s="503">
        <f>IF(終値!A184="","",IFERROR(4*STDEVP(終値!F184:Y184)/AVERAGE(終値!F184:Y184),""))</f>
        <v>0.18157672120972571</v>
      </c>
      <c r="D184" s="503">
        <f>IF(終値!A184="","",IFERROR(4*STDEVP(終値!G184:Z184)/AVERAGE(終値!G184:Z184),""))</f>
        <v>0.19350306497209382</v>
      </c>
      <c r="E184" s="503">
        <f>IF(終値!A184="","",IFERROR(4*STDEVP(終値!H184:AA184)/AVERAGE(終値!H184:AA184),""))</f>
        <v>0.20738768747498887</v>
      </c>
      <c r="F184" s="503">
        <f>IF(終値!A184="","",IFERROR(4*STDEVP(終値!I184:AB184)/AVERAGE(終値!I184:AB184),""))</f>
        <v>0.22331919804369471</v>
      </c>
      <c r="G184" s="503">
        <f>IF(終値!A184="","",IFERROR(4*STDEVP(終値!J184:AC184)/AVERAGE(終値!J184:AC184),""))</f>
        <v>0.23870523441494818</v>
      </c>
      <c r="H184" s="503">
        <f>IF(終値!A184="","",IFERROR(4*STDEVP(終値!K184:AD184)/AVERAGE(終値!K184:AD184),""))</f>
        <v>0.22783504957503187</v>
      </c>
      <c r="I184" s="503">
        <f>IF(終値!A184="","",IFERROR(4*STDEVP(終値!L184:AE184)/AVERAGE(終値!L184:AE184),""))</f>
        <v>0.19795093535246572</v>
      </c>
      <c r="J184" s="503">
        <f>IF(終値!A184="","",IFERROR(4*STDEVP(終値!M184:AF184)/AVERAGE(終値!M184:AF184),""))</f>
        <v>0.18265737663513504</v>
      </c>
      <c r="K184" s="503">
        <f>IF(終値!A184="","",IFERROR(4*STDEVP(終値!N184:AG184)/AVERAGE(終値!N184:AG184),""))</f>
        <v>0.17455408328110161</v>
      </c>
      <c r="L184" s="503">
        <f>IF(終値!A184="","",IFERROR(4*STDEVP(終値!O184:AH184)/AVERAGE(終値!O184:AH184),""))</f>
        <v>0.17174372045733075</v>
      </c>
      <c r="M184" s="503">
        <f>IF(終値!A184="","",IFERROR(4*STDEVP(終値!P184:AI184)/AVERAGE(終値!P184:AI184),""))</f>
        <v>0.17227428741160017</v>
      </c>
      <c r="N184" s="503">
        <f>IF(終値!A184="","",IFERROR(4*STDEVP(終値!Q184:AJ184)/AVERAGE(終値!Q184:AJ184),""))</f>
        <v>0.17965019452447642</v>
      </c>
      <c r="O184" s="503">
        <f>IF(終値!A184="","",IFERROR(4*STDEVP(終値!R184:AK184)/AVERAGE(終値!R184:AK184),""))</f>
        <v>0.17775846802060977</v>
      </c>
      <c r="P184" s="503">
        <f>IF(終値!A184="","",IFERROR(4*STDEVP(終値!S184:AL184)/AVERAGE(終値!S184:AL184),""))</f>
        <v>0.17187361540756144</v>
      </c>
      <c r="Q184" s="503">
        <f>IF(終値!A184="","",IFERROR(4*STDEVP(終値!T184:AM184)/AVERAGE(終値!T184:AM184),""))</f>
        <v>0.17120022179428784</v>
      </c>
      <c r="R184" s="503">
        <f>IF(終値!A184="","",IFERROR(4*STDEVP(終値!U184:AN184)/AVERAGE(終値!U184:AN184),""))</f>
        <v>0.16290023923489963</v>
      </c>
      <c r="S184" s="503">
        <f>IF(終値!A184="","",IFERROR(4*STDEVP(終値!V184:AO184)/AVERAGE(終値!V184:AO184),""))</f>
        <v>0.15659095868643275</v>
      </c>
      <c r="T184" s="503">
        <f>IF(終値!A184="","",IFERROR(4*STDEVP(終値!W184:AP184)/AVERAGE(終値!W184:AP184),""))</f>
        <v>0.15062141046588701</v>
      </c>
      <c r="U184" s="503">
        <f>IF(終値!A184="","",IFERROR(4*STDEVP(終値!X184:AQ184)/AVERAGE(終値!X184:AQ184),""))</f>
        <v>0.13797469153775585</v>
      </c>
      <c r="V184" s="503">
        <f>IF(終値!A184="","",IFERROR(4*STDEVP(終値!Y184:AR184)/AVERAGE(終値!Y184:AR184),""))</f>
        <v>0.12399302939890534</v>
      </c>
      <c r="W184" s="503">
        <f>IF(終値!A184="","",IFERROR(4*STDEVP(終値!Z184:AS184)/AVERAGE(終値!Z184:AS184),""))</f>
        <v>9.6345001546070078E-2</v>
      </c>
      <c r="X184" s="503">
        <f>IF(終値!A184="","",IFERROR(4*STDEVP(終値!AA184:AT184)/AVERAGE(終値!AA184:AT184),""))</f>
        <v>8.6084355154546988E-2</v>
      </c>
      <c r="Y184" s="503">
        <f>IF(終値!A184="","",IFERROR(4*STDEVP(終値!AB184:AU184)/AVERAGE(終値!AB184:AU184),""))</f>
        <v>8.1112693873012856E-2</v>
      </c>
      <c r="Z184" s="503">
        <f>IF(終値!A184="","",IFERROR(4*STDEVP(終値!AC184:AV184)/AVERAGE(終値!AC184:AV184),""))</f>
        <v>7.8906814509904485E-2</v>
      </c>
      <c r="AA184" s="503">
        <f>IF(終値!A184="","",IFERROR(4*STDEVP(終値!AD184:AW184)/AVERAGE(終値!AD184:AW184),""))</f>
        <v>7.875811022221807E-2</v>
      </c>
      <c r="AB184" s="503">
        <f>IF(終値!A184="","",IFERROR(4*STDEVP(終値!AE184:AX184)/AVERAGE(終値!AE184:AX184),""))</f>
        <v>7.97262350699037E-2</v>
      </c>
      <c r="AC184" s="503">
        <f>IF(終値!A184="","",IFERROR(4*STDEVP(終値!AF184:AY184)/AVERAGE(終値!AF184:AY184),""))</f>
        <v>7.8315542616647277E-2</v>
      </c>
      <c r="AD184" s="503">
        <f>IF(終値!A184="","",IFERROR(4*STDEVP(終値!AG184:AZ184)/AVERAGE(終値!AG184:AZ184),""))</f>
        <v>8.4752820449596922E-2</v>
      </c>
      <c r="AE184" s="503">
        <f>IF(終値!A184="","",IFERROR(4*STDEVP(終値!AH184:BA184)/AVERAGE(終値!AH184:BA184),""))</f>
        <v>9.6505024097438011E-2</v>
      </c>
      <c r="AF184" s="503">
        <f>IF(終値!A184="","",IFERROR(4*STDEVP(終値!AI184:BB184)/AVERAGE(終値!AI184:BB184),""))</f>
        <v>0.1061755584627356</v>
      </c>
      <c r="AG184" s="503">
        <f>IF(終値!A184="","",IFERROR(4*STDEVP(終値!AJ184:BC184)/AVERAGE(終値!AJ184:BC184),""))</f>
        <v>0.11171283305556554</v>
      </c>
      <c r="AH184" s="503">
        <f>IF(終値!A184="","",IFERROR(4*STDEVP(終値!AK184:BD184)/AVERAGE(終値!AK184:BD184),""))</f>
        <v>0.11131276372290561</v>
      </c>
      <c r="AI184" s="503">
        <f>IF(終値!A184="","",IFERROR(4*STDEVP(終値!AL184:BE184)/AVERAGE(終値!AL184:BE184),""))</f>
        <v>0.11338138622466896</v>
      </c>
      <c r="AJ184" s="503">
        <f>IF(終値!A184="","",IFERROR(4*STDEVP(終値!AM184:BF184)/AVERAGE(終値!AM184:BF184),""))</f>
        <v>0.11426586050356954</v>
      </c>
      <c r="AK184" s="503">
        <f>IF(終値!A184="","",IFERROR(4*STDEVP(終値!AN184:BG184)/AVERAGE(終値!AN184:BG184),""))</f>
        <v>0.1169893695991937</v>
      </c>
      <c r="AL184" s="503">
        <f>IF(終値!A184="","",IFERROR(4*STDEVP(終値!AO184:BH184)/AVERAGE(終値!AO184:BH184),""))</f>
        <v>0.11964421267270127</v>
      </c>
      <c r="AM184" s="503">
        <f>IF(終値!A184="","",IFERROR(4*STDEVP(終値!AP184:BI184)/AVERAGE(終値!AP184:BI184),""))</f>
        <v>0.1207772418546209</v>
      </c>
      <c r="AN184" s="503">
        <f>IF(終値!A184="","",IFERROR(4*STDEVP(終値!AQ184:BJ184)/AVERAGE(終値!AQ184:BJ184),""))</f>
        <v>0.11847184034164793</v>
      </c>
      <c r="AO184" s="503">
        <f>IF(終値!A184="","",IFERROR(4*STDEVP(終値!AR184:BK184)/AVERAGE(終値!AR184:BK184),""))</f>
        <v>0.11749617239141007</v>
      </c>
      <c r="AP184" s="503">
        <f>IF(終値!A184="","",IFERROR(4*STDEVP(終値!AS184:BL184)/AVERAGE(終値!AS184:BL184),""))</f>
        <v>0.1188541121341412</v>
      </c>
    </row>
    <row r="185" spans="1:42">
      <c r="A185" s="500" t="str">
        <f>IF(終値!A185="","",終値!A185)</f>
        <v>9536</v>
      </c>
      <c r="B185" s="503">
        <f>IF(終値!A185="","",IFERROR(4*STDEVP(終値!E185:X185)/AVERAGE(終値!E185:X185),""))</f>
        <v>4.9346663423841156E-2</v>
      </c>
      <c r="C185" s="503">
        <f>IF(終値!A185="","",IFERROR(4*STDEVP(終値!F185:Y185)/AVERAGE(終値!F185:Y185),""))</f>
        <v>5.0446409354061993E-2</v>
      </c>
      <c r="D185" s="503">
        <f>IF(終値!A185="","",IFERROR(4*STDEVP(終値!G185:Z185)/AVERAGE(終値!G185:Z185),""))</f>
        <v>5.3191759574259527E-2</v>
      </c>
      <c r="E185" s="503">
        <f>IF(終値!A185="","",IFERROR(4*STDEVP(終値!H185:AA185)/AVERAGE(終値!H185:AA185),""))</f>
        <v>6.1950671884625545E-2</v>
      </c>
      <c r="F185" s="503">
        <f>IF(終値!A185="","",IFERROR(4*STDEVP(終値!I185:AB185)/AVERAGE(終値!I185:AB185),""))</f>
        <v>6.9376599042974746E-2</v>
      </c>
      <c r="G185" s="503">
        <f>IF(終値!A185="","",IFERROR(4*STDEVP(終値!J185:AC185)/AVERAGE(終値!J185:AC185),""))</f>
        <v>7.962613574124533E-2</v>
      </c>
      <c r="H185" s="503">
        <f>IF(終値!A185="","",IFERROR(4*STDEVP(終値!K185:AD185)/AVERAGE(終値!K185:AD185),""))</f>
        <v>8.196041734140723E-2</v>
      </c>
      <c r="I185" s="503">
        <f>IF(終値!A185="","",IFERROR(4*STDEVP(終値!L185:AE185)/AVERAGE(終値!L185:AE185),""))</f>
        <v>8.1815727603067698E-2</v>
      </c>
      <c r="J185" s="503">
        <f>IF(終値!A185="","",IFERROR(4*STDEVP(終値!M185:AF185)/AVERAGE(終値!M185:AF185),""))</f>
        <v>8.4669835780276634E-2</v>
      </c>
      <c r="K185" s="503">
        <f>IF(終値!A185="","",IFERROR(4*STDEVP(終値!N185:AG185)/AVERAGE(終値!N185:AG185),""))</f>
        <v>8.6113669064231846E-2</v>
      </c>
      <c r="L185" s="503">
        <f>IF(終値!A185="","",IFERROR(4*STDEVP(終値!O185:AH185)/AVERAGE(終値!O185:AH185),""))</f>
        <v>8.8068073301144273E-2</v>
      </c>
      <c r="M185" s="503">
        <f>IF(終値!A185="","",IFERROR(4*STDEVP(終値!P185:AI185)/AVERAGE(終値!P185:AI185),""))</f>
        <v>8.9990630206534777E-2</v>
      </c>
      <c r="N185" s="503">
        <f>IF(終値!A185="","",IFERROR(4*STDEVP(終値!Q185:AJ185)/AVERAGE(終値!Q185:AJ185),""))</f>
        <v>8.8573519029345973E-2</v>
      </c>
      <c r="O185" s="503">
        <f>IF(終値!A185="","",IFERROR(4*STDEVP(終値!R185:AK185)/AVERAGE(終値!R185:AK185),""))</f>
        <v>8.5412256225747094E-2</v>
      </c>
      <c r="P185" s="503">
        <f>IF(終値!A185="","",IFERROR(4*STDEVP(終値!S185:AL185)/AVERAGE(終値!S185:AL185),""))</f>
        <v>8.4689050818468628E-2</v>
      </c>
      <c r="Q185" s="503">
        <f>IF(終値!A185="","",IFERROR(4*STDEVP(終値!T185:AM185)/AVERAGE(終値!T185:AM185),""))</f>
        <v>8.1502166879558122E-2</v>
      </c>
      <c r="R185" s="503">
        <f>IF(終値!A185="","",IFERROR(4*STDEVP(終値!U185:AN185)/AVERAGE(終値!U185:AN185),""))</f>
        <v>8.0791644441121996E-2</v>
      </c>
      <c r="S185" s="503">
        <f>IF(終値!A185="","",IFERROR(4*STDEVP(終値!V185:AO185)/AVERAGE(終値!V185:AO185),""))</f>
        <v>7.971895311675907E-2</v>
      </c>
      <c r="T185" s="503">
        <f>IF(終値!A185="","",IFERROR(4*STDEVP(終値!W185:AP185)/AVERAGE(終値!W185:AP185),""))</f>
        <v>7.5123052880506538E-2</v>
      </c>
      <c r="U185" s="503">
        <f>IF(終値!A185="","",IFERROR(4*STDEVP(終値!X185:AQ185)/AVERAGE(終値!X185:AQ185),""))</f>
        <v>6.5916197797635509E-2</v>
      </c>
      <c r="V185" s="503">
        <f>IF(終値!A185="","",IFERROR(4*STDEVP(終値!Y185:AR185)/AVERAGE(終値!Y185:AR185),""))</f>
        <v>5.0299761728099211E-2</v>
      </c>
      <c r="W185" s="503">
        <f>IF(終値!A185="","",IFERROR(4*STDEVP(終値!Z185:AS185)/AVERAGE(終値!Z185:AS185),""))</f>
        <v>3.9906485137524463E-2</v>
      </c>
      <c r="X185" s="503">
        <f>IF(終値!A185="","",IFERROR(4*STDEVP(終値!AA185:AT185)/AVERAGE(終値!AA185:AT185),""))</f>
        <v>3.2553730376534071E-2</v>
      </c>
      <c r="Y185" s="503">
        <f>IF(終値!A185="","",IFERROR(4*STDEVP(終値!AB185:AU185)/AVERAGE(終値!AB185:AU185),""))</f>
        <v>3.6644620330416322E-2</v>
      </c>
      <c r="Z185" s="503">
        <f>IF(終値!A185="","",IFERROR(4*STDEVP(終値!AC185:AV185)/AVERAGE(終値!AC185:AV185),""))</f>
        <v>3.9903494701570334E-2</v>
      </c>
      <c r="AA185" s="503">
        <f>IF(終値!A185="","",IFERROR(4*STDEVP(終値!AD185:AW185)/AVERAGE(終値!AD185:AW185),""))</f>
        <v>4.9266418370043502E-2</v>
      </c>
      <c r="AB185" s="503">
        <f>IF(終値!A185="","",IFERROR(4*STDEVP(終値!AE185:AX185)/AVERAGE(終値!AE185:AX185),""))</f>
        <v>4.9503458732567479E-2</v>
      </c>
      <c r="AC185" s="503">
        <f>IF(終値!A185="","",IFERROR(4*STDEVP(終値!AF185:AY185)/AVERAGE(終値!AF185:AY185),""))</f>
        <v>4.7537023645711926E-2</v>
      </c>
      <c r="AD185" s="503">
        <f>IF(終値!A185="","",IFERROR(4*STDEVP(終値!AG185:AZ185)/AVERAGE(終値!AG185:AZ185),""))</f>
        <v>4.6075760245411254E-2</v>
      </c>
      <c r="AE185" s="503">
        <f>IF(終値!A185="","",IFERROR(4*STDEVP(終値!AH185:BA185)/AVERAGE(終値!AH185:BA185),""))</f>
        <v>4.6582235756974913E-2</v>
      </c>
      <c r="AF185" s="503">
        <f>IF(終値!A185="","",IFERROR(4*STDEVP(終値!AI185:BB185)/AVERAGE(終値!AI185:BB185),""))</f>
        <v>4.6600520573813427E-2</v>
      </c>
      <c r="AG185" s="503">
        <f>IF(終値!A185="","",IFERROR(4*STDEVP(終値!AJ185:BC185)/AVERAGE(終値!AJ185:BC185),""))</f>
        <v>4.6935434022939579E-2</v>
      </c>
      <c r="AH185" s="503">
        <f>IF(終値!A185="","",IFERROR(4*STDEVP(終値!AK185:BD185)/AVERAGE(終値!AK185:BD185),""))</f>
        <v>4.7006304202656293E-2</v>
      </c>
      <c r="AI185" s="503">
        <f>IF(終値!A185="","",IFERROR(4*STDEVP(終値!AL185:BE185)/AVERAGE(終値!AL185:BE185),""))</f>
        <v>4.7006304202656293E-2</v>
      </c>
      <c r="AJ185" s="503">
        <f>IF(終値!A185="","",IFERROR(4*STDEVP(終値!AM185:BF185)/AVERAGE(終値!AM185:BF185),""))</f>
        <v>4.631977673578893E-2</v>
      </c>
      <c r="AK185" s="503">
        <f>IF(終値!A185="","",IFERROR(4*STDEVP(終値!AN185:BG185)/AVERAGE(終値!AN185:BG185),""))</f>
        <v>4.9005427383970138E-2</v>
      </c>
      <c r="AL185" s="503">
        <f>IF(終値!A185="","",IFERROR(4*STDEVP(終値!AO185:BH185)/AVERAGE(終値!AO185:BH185),""))</f>
        <v>4.9544480081685369E-2</v>
      </c>
      <c r="AM185" s="503">
        <f>IF(終値!A185="","",IFERROR(4*STDEVP(終値!AP185:BI185)/AVERAGE(終値!AP185:BI185),""))</f>
        <v>4.5502637879580615E-2</v>
      </c>
      <c r="AN185" s="503">
        <f>IF(終値!A185="","",IFERROR(4*STDEVP(終値!AQ185:BJ185)/AVERAGE(終値!AQ185:BJ185),""))</f>
        <v>4.4551990072685482E-2</v>
      </c>
      <c r="AO185" s="503">
        <f>IF(終値!A185="","",IFERROR(4*STDEVP(終値!AR185:BK185)/AVERAGE(終値!AR185:BK185),""))</f>
        <v>4.5360672361783913E-2</v>
      </c>
      <c r="AP185" s="503">
        <f>IF(終値!A185="","",IFERROR(4*STDEVP(終値!AS185:BL185)/AVERAGE(終値!AS185:BL185),""))</f>
        <v>4.5014999634859929E-2</v>
      </c>
    </row>
    <row r="186" spans="1:42">
      <c r="A186" s="500" t="str">
        <f>IF(終値!A186="","",終値!A186)</f>
        <v>9506</v>
      </c>
      <c r="B186" s="503">
        <f>IF(終値!A186="","",IFERROR(4*STDEVP(終値!E186:X186)/AVERAGE(終値!E186:X186),""))</f>
        <v>0.13211710941173904</v>
      </c>
      <c r="C186" s="503">
        <f>IF(終値!A186="","",IFERROR(4*STDEVP(終値!F186:Y186)/AVERAGE(終値!F186:Y186),""))</f>
        <v>0.132185027453706</v>
      </c>
      <c r="D186" s="503">
        <f>IF(終値!A186="","",IFERROR(4*STDEVP(終値!G186:Z186)/AVERAGE(終値!G186:Z186),""))</f>
        <v>0.13239386821490789</v>
      </c>
      <c r="E186" s="503">
        <f>IF(終値!A186="","",IFERROR(4*STDEVP(終値!H186:AA186)/AVERAGE(終値!H186:AA186),""))</f>
        <v>0.13685339291543769</v>
      </c>
      <c r="F186" s="503">
        <f>IF(終値!A186="","",IFERROR(4*STDEVP(終値!I186:AB186)/AVERAGE(終値!I186:AB186),""))</f>
        <v>0.13854057739336215</v>
      </c>
      <c r="G186" s="503">
        <f>IF(終値!A186="","",IFERROR(4*STDEVP(終値!J186:AC186)/AVERAGE(終値!J186:AC186),""))</f>
        <v>0.13991731507835606</v>
      </c>
      <c r="H186" s="503">
        <f>IF(終値!A186="","",IFERROR(4*STDEVP(終値!K186:AD186)/AVERAGE(終値!K186:AD186),""))</f>
        <v>0.13791257482224747</v>
      </c>
      <c r="I186" s="503">
        <f>IF(終値!A186="","",IFERROR(4*STDEVP(終値!L186:AE186)/AVERAGE(終値!L186:AE186),""))</f>
        <v>0.13117151057855628</v>
      </c>
      <c r="J186" s="503">
        <f>IF(終値!A186="","",IFERROR(4*STDEVP(終値!M186:AF186)/AVERAGE(終値!M186:AF186),""))</f>
        <v>0.13240415948923004</v>
      </c>
      <c r="K186" s="503">
        <f>IF(終値!A186="","",IFERROR(4*STDEVP(終値!N186:AG186)/AVERAGE(終値!N186:AG186),""))</f>
        <v>0.12380980961244413</v>
      </c>
      <c r="L186" s="503">
        <f>IF(終値!A186="","",IFERROR(4*STDEVP(終値!O186:AH186)/AVERAGE(終値!O186:AH186),""))</f>
        <v>0.12765261787427964</v>
      </c>
      <c r="M186" s="503">
        <f>IF(終値!A186="","",IFERROR(4*STDEVP(終値!P186:AI186)/AVERAGE(終値!P186:AI186),""))</f>
        <v>0.12637767527119542</v>
      </c>
      <c r="N186" s="503">
        <f>IF(終値!A186="","",IFERROR(4*STDEVP(終値!Q186:AJ186)/AVERAGE(終値!Q186:AJ186),""))</f>
        <v>0.12099532388435527</v>
      </c>
      <c r="O186" s="503">
        <f>IF(終値!A186="","",IFERROR(4*STDEVP(終値!R186:AK186)/AVERAGE(終値!R186:AK186),""))</f>
        <v>0.10837050565051926</v>
      </c>
      <c r="P186" s="503">
        <f>IF(終値!A186="","",IFERROR(4*STDEVP(終値!S186:AL186)/AVERAGE(終値!S186:AL186),""))</f>
        <v>9.9544564644976366E-2</v>
      </c>
      <c r="Q186" s="503">
        <f>IF(終値!A186="","",IFERROR(4*STDEVP(終値!T186:AM186)/AVERAGE(終値!T186:AM186),""))</f>
        <v>8.7652814792396228E-2</v>
      </c>
      <c r="R186" s="503">
        <f>IF(終値!A186="","",IFERROR(4*STDEVP(終値!U186:AN186)/AVERAGE(終値!U186:AN186),""))</f>
        <v>8.2936360574310072E-2</v>
      </c>
      <c r="S186" s="503">
        <f>IF(終値!A186="","",IFERROR(4*STDEVP(終値!V186:AO186)/AVERAGE(終値!V186:AO186),""))</f>
        <v>7.9984594717383728E-2</v>
      </c>
      <c r="T186" s="503">
        <f>IF(終値!A186="","",IFERROR(4*STDEVP(終値!W186:AP186)/AVERAGE(終値!W186:AP186),""))</f>
        <v>8.2936372221653107E-2</v>
      </c>
      <c r="U186" s="503">
        <f>IF(終値!A186="","",IFERROR(4*STDEVP(終値!X186:AQ186)/AVERAGE(終値!X186:AQ186),""))</f>
        <v>8.2212310011833961E-2</v>
      </c>
      <c r="V186" s="503">
        <f>IF(終値!A186="","",IFERROR(4*STDEVP(終値!Y186:AR186)/AVERAGE(終値!Y186:AR186),""))</f>
        <v>8.0521750908863057E-2</v>
      </c>
      <c r="W186" s="503">
        <f>IF(終値!A186="","",IFERROR(4*STDEVP(終値!Z186:AS186)/AVERAGE(終値!Z186:AS186),""))</f>
        <v>8.1313316465333796E-2</v>
      </c>
      <c r="X186" s="503">
        <f>IF(終値!A186="","",IFERROR(4*STDEVP(終値!AA186:AT186)/AVERAGE(終値!AA186:AT186),""))</f>
        <v>7.9226647330714661E-2</v>
      </c>
      <c r="Y186" s="503">
        <f>IF(終値!A186="","",IFERROR(4*STDEVP(終値!AB186:AU186)/AVERAGE(終値!AB186:AU186),""))</f>
        <v>8.5174096919446871E-2</v>
      </c>
      <c r="Z186" s="503">
        <f>IF(終値!A186="","",IFERROR(4*STDEVP(終値!AC186:AV186)/AVERAGE(終値!AC186:AV186),""))</f>
        <v>8.3858584187258292E-2</v>
      </c>
      <c r="AA186" s="503">
        <f>IF(終値!A186="","",IFERROR(4*STDEVP(終値!AD186:AW186)/AVERAGE(終値!AD186:AW186),""))</f>
        <v>9.0311629888122011E-2</v>
      </c>
      <c r="AB186" s="503">
        <f>IF(終値!A186="","",IFERROR(4*STDEVP(終値!AE186:AX186)/AVERAGE(終値!AE186:AX186),""))</f>
        <v>8.7069708974820137E-2</v>
      </c>
      <c r="AC186" s="503">
        <f>IF(終値!A186="","",IFERROR(4*STDEVP(終値!AF186:AY186)/AVERAGE(終値!AF186:AY186),""))</f>
        <v>8.836391689967546E-2</v>
      </c>
      <c r="AD186" s="503">
        <f>IF(終値!A186="","",IFERROR(4*STDEVP(終値!AG186:AZ186)/AVERAGE(終値!AG186:AZ186),""))</f>
        <v>8.9772755545942676E-2</v>
      </c>
      <c r="AE186" s="503">
        <f>IF(終値!A186="","",IFERROR(4*STDEVP(終値!AH186:BA186)/AVERAGE(終値!AH186:BA186),""))</f>
        <v>8.8342736907468758E-2</v>
      </c>
      <c r="AF186" s="503">
        <f>IF(終値!A186="","",IFERROR(4*STDEVP(終値!AI186:BB186)/AVERAGE(終値!AI186:BB186),""))</f>
        <v>8.8368523224838263E-2</v>
      </c>
      <c r="AG186" s="503">
        <f>IF(終値!A186="","",IFERROR(4*STDEVP(終値!AJ186:BC186)/AVERAGE(終値!AJ186:BC186),""))</f>
        <v>8.7964791036553608E-2</v>
      </c>
      <c r="AH186" s="503">
        <f>IF(終値!A186="","",IFERROR(4*STDEVP(終値!AK186:BD186)/AVERAGE(終値!AK186:BD186),""))</f>
        <v>8.6497221051626938E-2</v>
      </c>
      <c r="AI186" s="503">
        <f>IF(終値!A186="","",IFERROR(4*STDEVP(終値!AL186:BE186)/AVERAGE(終値!AL186:BE186),""))</f>
        <v>8.1834858846717082E-2</v>
      </c>
      <c r="AJ186" s="503">
        <f>IF(終値!A186="","",IFERROR(4*STDEVP(終値!AM186:BF186)/AVERAGE(終値!AM186:BF186),""))</f>
        <v>7.6260185059629032E-2</v>
      </c>
      <c r="AK186" s="503">
        <f>IF(終値!A186="","",IFERROR(4*STDEVP(終値!AN186:BG186)/AVERAGE(終値!AN186:BG186),""))</f>
        <v>7.8173222758680855E-2</v>
      </c>
      <c r="AL186" s="503">
        <f>IF(終値!A186="","",IFERROR(4*STDEVP(終値!AO186:BH186)/AVERAGE(終値!AO186:BH186),""))</f>
        <v>8.110632184775525E-2</v>
      </c>
      <c r="AM186" s="503">
        <f>IF(終値!A186="","",IFERROR(4*STDEVP(終値!AP186:BI186)/AVERAGE(終値!AP186:BI186),""))</f>
        <v>8.0138389661083165E-2</v>
      </c>
      <c r="AN186" s="503">
        <f>IF(終値!A186="","",IFERROR(4*STDEVP(終値!AQ186:BJ186)/AVERAGE(終値!AQ186:BJ186),""))</f>
        <v>9.0582630602460884E-2</v>
      </c>
      <c r="AO186" s="503">
        <f>IF(終値!A186="","",IFERROR(4*STDEVP(終値!AR186:BK186)/AVERAGE(終値!AR186:BK186),""))</f>
        <v>9.7756951354851809E-2</v>
      </c>
      <c r="AP186" s="503">
        <f>IF(終値!A186="","",IFERROR(4*STDEVP(終値!AS186:BL186)/AVERAGE(終値!AS186:BL186),""))</f>
        <v>0.10243424269119913</v>
      </c>
    </row>
    <row r="187" spans="1:42">
      <c r="A187" s="500" t="str">
        <f>IF(終値!A187="","",終値!A187)</f>
        <v>2127</v>
      </c>
      <c r="B187" s="503">
        <f>IF(終値!A187="","",IFERROR(4*STDEVP(終値!E187:X187)/AVERAGE(終値!E187:X187),""))</f>
        <v>0.11804283947388043</v>
      </c>
      <c r="C187" s="503">
        <f>IF(終値!A187="","",IFERROR(4*STDEVP(終値!F187:Y187)/AVERAGE(終値!F187:Y187),""))</f>
        <v>0.11428637122558669</v>
      </c>
      <c r="D187" s="503">
        <f>IF(終値!A187="","",IFERROR(4*STDEVP(終値!G187:Z187)/AVERAGE(終値!G187:Z187),""))</f>
        <v>0.10423324252648164</v>
      </c>
      <c r="E187" s="503">
        <f>IF(終値!A187="","",IFERROR(4*STDEVP(終値!H187:AA187)/AVERAGE(終値!H187:AA187),""))</f>
        <v>9.3875115748256813E-2</v>
      </c>
      <c r="F187" s="503">
        <f>IF(終値!A187="","",IFERROR(4*STDEVP(終値!I187:AB187)/AVERAGE(終値!I187:AB187),""))</f>
        <v>8.8106018894499205E-2</v>
      </c>
      <c r="G187" s="503">
        <f>IF(終値!A187="","",IFERROR(4*STDEVP(終値!J187:AC187)/AVERAGE(終値!J187:AC187),""))</f>
        <v>8.9817181382737532E-2</v>
      </c>
      <c r="H187" s="503">
        <f>IF(終値!A187="","",IFERROR(4*STDEVP(終値!K187:AD187)/AVERAGE(終値!K187:AD187),""))</f>
        <v>9.3690290746182583E-2</v>
      </c>
      <c r="I187" s="503">
        <f>IF(終値!A187="","",IFERROR(4*STDEVP(終値!L187:AE187)/AVERAGE(終値!L187:AE187),""))</f>
        <v>9.8259313973724824E-2</v>
      </c>
      <c r="J187" s="503">
        <f>IF(終値!A187="","",IFERROR(4*STDEVP(終値!M187:AF187)/AVERAGE(終値!M187:AF187),""))</f>
        <v>0.11461683048125094</v>
      </c>
      <c r="K187" s="503">
        <f>IF(終値!A187="","",IFERROR(4*STDEVP(終値!N187:AG187)/AVERAGE(終値!N187:AG187),""))</f>
        <v>0.12418514941109204</v>
      </c>
      <c r="L187" s="503">
        <f>IF(終値!A187="","",IFERROR(4*STDEVP(終値!O187:AH187)/AVERAGE(終値!O187:AH187),""))</f>
        <v>0.13133382563538679</v>
      </c>
      <c r="M187" s="503">
        <f>IF(終値!A187="","",IFERROR(4*STDEVP(終値!P187:AI187)/AVERAGE(終値!P187:AI187),""))</f>
        <v>0.13815330342768023</v>
      </c>
      <c r="N187" s="503">
        <f>IF(終値!A187="","",IFERROR(4*STDEVP(終値!Q187:AJ187)/AVERAGE(終値!Q187:AJ187),""))</f>
        <v>0.14169295074220581</v>
      </c>
      <c r="O187" s="503">
        <f>IF(終値!A187="","",IFERROR(4*STDEVP(終値!R187:AK187)/AVERAGE(終値!R187:AK187),""))</f>
        <v>0.14007476958272178</v>
      </c>
      <c r="P187" s="503">
        <f>IF(終値!A187="","",IFERROR(4*STDEVP(終値!S187:AL187)/AVERAGE(終値!S187:AL187),""))</f>
        <v>0.13847070250402541</v>
      </c>
      <c r="Q187" s="503">
        <f>IF(終値!A187="","",IFERROR(4*STDEVP(終値!T187:AM187)/AVERAGE(終値!T187:AM187),""))</f>
        <v>0.13452278127063658</v>
      </c>
      <c r="R187" s="503">
        <f>IF(終値!A187="","",IFERROR(4*STDEVP(終値!U187:AN187)/AVERAGE(終値!U187:AN187),""))</f>
        <v>0.13092704906014394</v>
      </c>
      <c r="S187" s="503">
        <f>IF(終値!A187="","",IFERROR(4*STDEVP(終値!V187:AO187)/AVERAGE(終値!V187:AO187),""))</f>
        <v>0.12826719059175015</v>
      </c>
      <c r="T187" s="503">
        <f>IF(終値!A187="","",IFERROR(4*STDEVP(終値!W187:AP187)/AVERAGE(終値!W187:AP187),""))</f>
        <v>0.12385588403810581</v>
      </c>
      <c r="U187" s="503">
        <f>IF(終値!A187="","",IFERROR(4*STDEVP(終値!X187:AQ187)/AVERAGE(終値!X187:AQ187),""))</f>
        <v>0.11718669090921094</v>
      </c>
      <c r="V187" s="503">
        <f>IF(終値!A187="","",IFERROR(4*STDEVP(終値!Y187:AR187)/AVERAGE(終値!Y187:AR187),""))</f>
        <v>0.10605870403614451</v>
      </c>
      <c r="W187" s="503">
        <f>IF(終値!A187="","",IFERROR(4*STDEVP(終値!Z187:AS187)/AVERAGE(終値!Z187:AS187),""))</f>
        <v>8.4173883327919349E-2</v>
      </c>
      <c r="X187" s="503">
        <f>IF(終値!A187="","",IFERROR(4*STDEVP(終値!AA187:AT187)/AVERAGE(終値!AA187:AT187),""))</f>
        <v>6.3577665838705527E-2</v>
      </c>
      <c r="Y187" s="503">
        <f>IF(終値!A187="","",IFERROR(4*STDEVP(終値!AB187:AU187)/AVERAGE(終値!AB187:AU187),""))</f>
        <v>6.1277378509488174E-2</v>
      </c>
      <c r="Z187" s="503">
        <f>IF(終値!A187="","",IFERROR(4*STDEVP(終値!AC187:AV187)/AVERAGE(終値!AC187:AV187),""))</f>
        <v>5.9825909714472714E-2</v>
      </c>
      <c r="AA187" s="503">
        <f>IF(終値!A187="","",IFERROR(4*STDEVP(終値!AD187:AW187)/AVERAGE(終値!AD187:AW187),""))</f>
        <v>6.5042716211172164E-2</v>
      </c>
      <c r="AB187" s="503">
        <f>IF(終値!A187="","",IFERROR(4*STDEVP(終値!AE187:AX187)/AVERAGE(終値!AE187:AX187),""))</f>
        <v>6.7736554426281459E-2</v>
      </c>
      <c r="AC187" s="503">
        <f>IF(終値!A187="","",IFERROR(4*STDEVP(終値!AF187:AY187)/AVERAGE(終値!AF187:AY187),""))</f>
        <v>6.9948784498636202E-2</v>
      </c>
      <c r="AD187" s="503">
        <f>IF(終値!A187="","",IFERROR(4*STDEVP(終値!AG187:AZ187)/AVERAGE(終値!AG187:AZ187),""))</f>
        <v>7.2392157005930297E-2</v>
      </c>
      <c r="AE187" s="503">
        <f>IF(終値!A187="","",IFERROR(4*STDEVP(終値!AH187:BA187)/AVERAGE(終値!AH187:BA187),""))</f>
        <v>6.9533881562145197E-2</v>
      </c>
      <c r="AF187" s="503">
        <f>IF(終値!A187="","",IFERROR(4*STDEVP(終値!AI187:BB187)/AVERAGE(終値!AI187:BB187),""))</f>
        <v>7.0707055112899139E-2</v>
      </c>
      <c r="AG187" s="503">
        <f>IF(終値!A187="","",IFERROR(4*STDEVP(終値!AJ187:BC187)/AVERAGE(終値!AJ187:BC187),""))</f>
        <v>6.8026232211391105E-2</v>
      </c>
      <c r="AH187" s="503">
        <f>IF(終値!A187="","",IFERROR(4*STDEVP(終値!AK187:BD187)/AVERAGE(終値!AK187:BD187),""))</f>
        <v>6.5732396891624037E-2</v>
      </c>
      <c r="AI187" s="503">
        <f>IF(終値!A187="","",IFERROR(4*STDEVP(終値!AL187:BE187)/AVERAGE(終値!AL187:BE187),""))</f>
        <v>6.7833901458160775E-2</v>
      </c>
      <c r="AJ187" s="503">
        <f>IF(終値!A187="","",IFERROR(4*STDEVP(終値!AM187:BF187)/AVERAGE(終値!AM187:BF187),""))</f>
        <v>6.7534456526922845E-2</v>
      </c>
      <c r="AK187" s="503">
        <f>IF(終値!A187="","",IFERROR(4*STDEVP(終値!AN187:BG187)/AVERAGE(終値!AN187:BG187),""))</f>
        <v>6.8122195793302295E-2</v>
      </c>
      <c r="AL187" s="503">
        <f>IF(終値!A187="","",IFERROR(4*STDEVP(終値!AO187:BH187)/AVERAGE(終値!AO187:BH187),""))</f>
        <v>6.8017925358144091E-2</v>
      </c>
      <c r="AM187" s="503">
        <f>IF(終値!A187="","",IFERROR(4*STDEVP(終値!AP187:BI187)/AVERAGE(終値!AP187:BI187),""))</f>
        <v>6.7953882641884414E-2</v>
      </c>
      <c r="AN187" s="503">
        <f>IF(終値!A187="","",IFERROR(4*STDEVP(終値!AQ187:BJ187)/AVERAGE(終値!AQ187:BJ187),""))</f>
        <v>6.7123502430467913E-2</v>
      </c>
      <c r="AO187" s="503">
        <f>IF(終値!A187="","",IFERROR(4*STDEVP(終値!AR187:BK187)/AVERAGE(終値!AR187:BK187),""))</f>
        <v>6.9089231498456721E-2</v>
      </c>
      <c r="AP187" s="503">
        <f>IF(終値!A187="","",IFERROR(4*STDEVP(終値!AS187:BL187)/AVERAGE(終値!AS187:BL187),""))</f>
        <v>6.8763446864323147E-2</v>
      </c>
    </row>
    <row r="188" spans="1:42">
      <c r="A188" s="500" t="str">
        <f>IF(終値!A188="","",終値!A188)</f>
        <v>6753</v>
      </c>
      <c r="B188" s="503">
        <f>IF(終値!A188="","",IFERROR(4*STDEVP(終値!E188:X188)/AVERAGE(終値!E188:X188),""))</f>
        <v>9.6536272978391888E-2</v>
      </c>
      <c r="C188" s="503">
        <f>IF(終値!A188="","",IFERROR(4*STDEVP(終値!F188:Y188)/AVERAGE(終値!F188:Y188),""))</f>
        <v>0.10410239153512392</v>
      </c>
      <c r="D188" s="503">
        <f>IF(終値!A188="","",IFERROR(4*STDEVP(終値!G188:Z188)/AVERAGE(終値!G188:Z188),""))</f>
        <v>0.10502725175243886</v>
      </c>
      <c r="E188" s="503">
        <f>IF(終値!A188="","",IFERROR(4*STDEVP(終値!H188:AA188)/AVERAGE(終値!H188:AA188),""))</f>
        <v>0.10455800152777563</v>
      </c>
      <c r="F188" s="503">
        <f>IF(終値!A188="","",IFERROR(4*STDEVP(終値!I188:AB188)/AVERAGE(終値!I188:AB188),""))</f>
        <v>0.10564352505716508</v>
      </c>
      <c r="G188" s="503">
        <f>IF(終値!A188="","",IFERROR(4*STDEVP(終値!J188:AC188)/AVERAGE(終値!J188:AC188),""))</f>
        <v>0.10419728898596851</v>
      </c>
      <c r="H188" s="503">
        <f>IF(終値!A188="","",IFERROR(4*STDEVP(終値!K188:AD188)/AVERAGE(終値!K188:AD188),""))</f>
        <v>0.10755334882739748</v>
      </c>
      <c r="I188" s="503">
        <f>IF(終値!A188="","",IFERROR(4*STDEVP(終値!L188:AE188)/AVERAGE(終値!L188:AE188),""))</f>
        <v>0.10748512241732368</v>
      </c>
      <c r="J188" s="503">
        <f>IF(終値!A188="","",IFERROR(4*STDEVP(終値!M188:AF188)/AVERAGE(終値!M188:AF188),""))</f>
        <v>0.10929596973442721</v>
      </c>
      <c r="K188" s="503">
        <f>IF(終値!A188="","",IFERROR(4*STDEVP(終値!N188:AG188)/AVERAGE(終値!N188:AG188),""))</f>
        <v>0.11312405118985507</v>
      </c>
      <c r="L188" s="503">
        <f>IF(終値!A188="","",IFERROR(4*STDEVP(終値!O188:AH188)/AVERAGE(終値!O188:AH188),""))</f>
        <v>0.10136530722814213</v>
      </c>
      <c r="M188" s="503">
        <f>IF(終値!A188="","",IFERROR(4*STDEVP(終値!P188:AI188)/AVERAGE(終値!P188:AI188),""))</f>
        <v>0.12475898027406213</v>
      </c>
      <c r="N188" s="503">
        <f>IF(終値!A188="","",IFERROR(4*STDEVP(終値!Q188:AJ188)/AVERAGE(終値!Q188:AJ188),""))</f>
        <v>0.14162692839345015</v>
      </c>
      <c r="O188" s="503">
        <f>IF(終値!A188="","",IFERROR(4*STDEVP(終値!R188:AK188)/AVERAGE(終値!R188:AK188),""))</f>
        <v>0.16385432371693917</v>
      </c>
      <c r="P188" s="503">
        <f>IF(終値!A188="","",IFERROR(4*STDEVP(終値!S188:AL188)/AVERAGE(終値!S188:AL188),""))</f>
        <v>0.17068571219400019</v>
      </c>
      <c r="Q188" s="503">
        <f>IF(終値!A188="","",IFERROR(4*STDEVP(終値!T188:AM188)/AVERAGE(終値!T188:AM188),""))</f>
        <v>0.17695280885620077</v>
      </c>
      <c r="R188" s="503">
        <f>IF(終値!A188="","",IFERROR(4*STDEVP(終値!U188:AN188)/AVERAGE(終値!U188:AN188),""))</f>
        <v>0.1808186572976134</v>
      </c>
      <c r="S188" s="503">
        <f>IF(終値!A188="","",IFERROR(4*STDEVP(終値!V188:AO188)/AVERAGE(終値!V188:AO188),""))</f>
        <v>0.18038153955027236</v>
      </c>
      <c r="T188" s="503">
        <f>IF(終値!A188="","",IFERROR(4*STDEVP(終値!W188:AP188)/AVERAGE(終値!W188:AP188),""))</f>
        <v>0.17758221984598127</v>
      </c>
      <c r="U188" s="503">
        <f>IF(終値!A188="","",IFERROR(4*STDEVP(終値!X188:AQ188)/AVERAGE(終値!X188:AQ188),""))</f>
        <v>0.17350154314209454</v>
      </c>
      <c r="V188" s="503">
        <f>IF(終値!A188="","",IFERROR(4*STDEVP(終値!Y188:AR188)/AVERAGE(終値!Y188:AR188),""))</f>
        <v>0.17180408839432873</v>
      </c>
      <c r="W188" s="503">
        <f>IF(終値!A188="","",IFERROR(4*STDEVP(終値!Z188:AS188)/AVERAGE(終値!Z188:AS188),""))</f>
        <v>0.17242729315254174</v>
      </c>
      <c r="X188" s="503">
        <f>IF(終値!A188="","",IFERROR(4*STDEVP(終値!AA188:AT188)/AVERAGE(終値!AA188:AT188),""))</f>
        <v>0.17848471560478005</v>
      </c>
      <c r="Y188" s="503">
        <f>IF(終値!A188="","",IFERROR(4*STDEVP(終値!AB188:AU188)/AVERAGE(終値!AB188:AU188),""))</f>
        <v>0.19077848209051224</v>
      </c>
      <c r="Z188" s="503">
        <f>IF(終値!A188="","",IFERROR(4*STDEVP(終値!AC188:AV188)/AVERAGE(終値!AC188:AV188),""))</f>
        <v>0.1994156057625131</v>
      </c>
      <c r="AA188" s="503">
        <f>IF(終値!A188="","",IFERROR(4*STDEVP(終値!AD188:AW188)/AVERAGE(終値!AD188:AW188),""))</f>
        <v>0.20257327952396276</v>
      </c>
      <c r="AB188" s="503">
        <f>IF(終値!A188="","",IFERROR(4*STDEVP(終値!AE188:AX188)/AVERAGE(終値!AE188:AX188),""))</f>
        <v>0.19879894125901926</v>
      </c>
      <c r="AC188" s="503">
        <f>IF(終値!A188="","",IFERROR(4*STDEVP(終値!AF188:AY188)/AVERAGE(終値!AF188:AY188),""))</f>
        <v>0.19826839732649579</v>
      </c>
      <c r="AD188" s="503">
        <f>IF(終値!A188="","",IFERROR(4*STDEVP(終値!AG188:AZ188)/AVERAGE(終値!AG188:AZ188),""))</f>
        <v>0.19766967163615676</v>
      </c>
      <c r="AE188" s="503">
        <f>IF(終値!A188="","",IFERROR(4*STDEVP(終値!AH188:BA188)/AVERAGE(終値!AH188:BA188),""))</f>
        <v>0.19607683903649603</v>
      </c>
      <c r="AF188" s="503">
        <f>IF(終値!A188="","",IFERROR(4*STDEVP(終値!AI188:BB188)/AVERAGE(終値!AI188:BB188),""))</f>
        <v>0.18704147898921811</v>
      </c>
      <c r="AG188" s="503">
        <f>IF(終値!A188="","",IFERROR(4*STDEVP(終値!AJ188:BC188)/AVERAGE(終値!AJ188:BC188),""))</f>
        <v>0.17694875555414044</v>
      </c>
      <c r="AH188" s="503">
        <f>IF(終値!A188="","",IFERROR(4*STDEVP(終値!AK188:BD188)/AVERAGE(終値!AK188:BD188),""))</f>
        <v>0.17097229437841707</v>
      </c>
      <c r="AI188" s="503">
        <f>IF(終値!A188="","",IFERROR(4*STDEVP(終値!AL188:BE188)/AVERAGE(終値!AL188:BE188),""))</f>
        <v>0.15429424535944147</v>
      </c>
      <c r="AJ188" s="503">
        <f>IF(終値!A188="","",IFERROR(4*STDEVP(終値!AM188:BF188)/AVERAGE(終値!AM188:BF188),""))</f>
        <v>0.15063642382452003</v>
      </c>
      <c r="AK188" s="503">
        <f>IF(終値!A188="","",IFERROR(4*STDEVP(終値!AN188:BG188)/AVERAGE(終値!AN188:BG188),""))</f>
        <v>0.14679940765261867</v>
      </c>
      <c r="AL188" s="503">
        <f>IF(終値!A188="","",IFERROR(4*STDEVP(終値!AO188:BH188)/AVERAGE(終値!AO188:BH188),""))</f>
        <v>0.16017805004057559</v>
      </c>
      <c r="AM188" s="503">
        <f>IF(終値!A188="","",IFERROR(4*STDEVP(終値!AP188:BI188)/AVERAGE(終値!AP188:BI188),""))</f>
        <v>0.16732103287289907</v>
      </c>
      <c r="AN188" s="503">
        <f>IF(終値!A188="","",IFERROR(4*STDEVP(終値!AQ188:BJ188)/AVERAGE(終値!AQ188:BJ188),""))</f>
        <v>0.17237180094628596</v>
      </c>
      <c r="AO188" s="503">
        <f>IF(終値!A188="","",IFERROR(4*STDEVP(終値!AR188:BK188)/AVERAGE(終値!AR188:BK188),""))</f>
        <v>0.19510737724490823</v>
      </c>
      <c r="AP188" s="503">
        <f>IF(終値!A188="","",IFERROR(4*STDEVP(終値!AS188:BL188)/AVERAGE(終値!AS188:BL188),""))</f>
        <v>0.21102385126937426</v>
      </c>
    </row>
    <row r="189" spans="1:42">
      <c r="A189" s="500" t="str">
        <f>IF(終値!A189="","",終値!A189)</f>
        <v>9064</v>
      </c>
      <c r="B189" s="503">
        <f>IF(終値!A189="","",IFERROR(4*STDEVP(終値!E189:X189)/AVERAGE(終値!E189:X189),""))</f>
        <v>0.15770942430846421</v>
      </c>
      <c r="C189" s="503">
        <f>IF(終値!A189="","",IFERROR(4*STDEVP(終値!F189:Y189)/AVERAGE(終値!F189:Y189),""))</f>
        <v>0.14902935582757035</v>
      </c>
      <c r="D189" s="503">
        <f>IF(終値!A189="","",IFERROR(4*STDEVP(終値!G189:Z189)/AVERAGE(終値!G189:Z189),""))</f>
        <v>0.13626429898042478</v>
      </c>
      <c r="E189" s="503">
        <f>IF(終値!A189="","",IFERROR(4*STDEVP(終値!H189:AA189)/AVERAGE(終値!H189:AA189),""))</f>
        <v>0.13229008344888696</v>
      </c>
      <c r="F189" s="503">
        <f>IF(終値!A189="","",IFERROR(4*STDEVP(終値!I189:AB189)/AVERAGE(終値!I189:AB189),""))</f>
        <v>0.14059935445902177</v>
      </c>
      <c r="G189" s="503">
        <f>IF(終値!A189="","",IFERROR(4*STDEVP(終値!J189:AC189)/AVERAGE(終値!J189:AC189),""))</f>
        <v>0.1576125738682308</v>
      </c>
      <c r="H189" s="503">
        <f>IF(終値!A189="","",IFERROR(4*STDEVP(終値!K189:AD189)/AVERAGE(終値!K189:AD189),""))</f>
        <v>0.16157170208216645</v>
      </c>
      <c r="I189" s="503">
        <f>IF(終値!A189="","",IFERROR(4*STDEVP(終値!L189:AE189)/AVERAGE(終値!L189:AE189),""))</f>
        <v>0.14599384488965425</v>
      </c>
      <c r="J189" s="503">
        <f>IF(終値!A189="","",IFERROR(4*STDEVP(終値!M189:AF189)/AVERAGE(終値!M189:AF189),""))</f>
        <v>0.14420162216669424</v>
      </c>
      <c r="K189" s="503">
        <f>IF(終値!A189="","",IFERROR(4*STDEVP(終値!N189:AG189)/AVERAGE(終値!N189:AG189),""))</f>
        <v>0.14842166097116122</v>
      </c>
      <c r="L189" s="503">
        <f>IF(終値!A189="","",IFERROR(4*STDEVP(終値!O189:AH189)/AVERAGE(終値!O189:AH189),""))</f>
        <v>0.16321756705447016</v>
      </c>
      <c r="M189" s="503">
        <f>IF(終値!A189="","",IFERROR(4*STDEVP(終値!P189:AI189)/AVERAGE(終値!P189:AI189),""))</f>
        <v>0.17001715084012967</v>
      </c>
      <c r="N189" s="503">
        <f>IF(終値!A189="","",IFERROR(4*STDEVP(終値!Q189:AJ189)/AVERAGE(終値!Q189:AJ189),""))</f>
        <v>0.17821517676317392</v>
      </c>
      <c r="O189" s="503">
        <f>IF(終値!A189="","",IFERROR(4*STDEVP(終値!R189:AK189)/AVERAGE(終値!R189:AK189),""))</f>
        <v>0.17919308429890413</v>
      </c>
      <c r="P189" s="503">
        <f>IF(終値!A189="","",IFERROR(4*STDEVP(終値!S189:AL189)/AVERAGE(終値!S189:AL189),""))</f>
        <v>0.18013408812317805</v>
      </c>
      <c r="Q189" s="503">
        <f>IF(終値!A189="","",IFERROR(4*STDEVP(終値!T189:AM189)/AVERAGE(終値!T189:AM189),""))</f>
        <v>0.18170729946979794</v>
      </c>
      <c r="R189" s="503">
        <f>IF(終値!A189="","",IFERROR(4*STDEVP(終値!U189:AN189)/AVERAGE(終値!U189:AN189),""))</f>
        <v>0.18154314656072257</v>
      </c>
      <c r="S189" s="503">
        <f>IF(終値!A189="","",IFERROR(4*STDEVP(終値!V189:AO189)/AVERAGE(終値!V189:AO189),""))</f>
        <v>0.18092034359170464</v>
      </c>
      <c r="T189" s="503">
        <f>IF(終値!A189="","",IFERROR(4*STDEVP(終値!W189:AP189)/AVERAGE(終値!W189:AP189),""))</f>
        <v>0.17794518110911459</v>
      </c>
      <c r="U189" s="503">
        <f>IF(終値!A189="","",IFERROR(4*STDEVP(終値!X189:AQ189)/AVERAGE(終値!X189:AQ189),""))</f>
        <v>0.17015220253350696</v>
      </c>
      <c r="V189" s="503">
        <f>IF(終値!A189="","",IFERROR(4*STDEVP(終値!Y189:AR189)/AVERAGE(終値!Y189:AR189),""))</f>
        <v>0.15754341792317322</v>
      </c>
      <c r="W189" s="503">
        <f>IF(終値!A189="","",IFERROR(4*STDEVP(終値!Z189:AS189)/AVERAGE(終値!Z189:AS189),""))</f>
        <v>0.13895878247725785</v>
      </c>
      <c r="X189" s="503">
        <f>IF(終値!A189="","",IFERROR(4*STDEVP(終値!AA189:AT189)/AVERAGE(終値!AA189:AT189),""))</f>
        <v>0.10690828558375805</v>
      </c>
      <c r="Y189" s="503">
        <f>IF(終値!A189="","",IFERROR(4*STDEVP(終値!AB189:AU189)/AVERAGE(終値!AB189:AU189),""))</f>
        <v>8.1407542489024265E-2</v>
      </c>
      <c r="Z189" s="503">
        <f>IF(終値!A189="","",IFERROR(4*STDEVP(終値!AC189:AV189)/AVERAGE(終値!AC189:AV189),""))</f>
        <v>6.187051595188859E-2</v>
      </c>
      <c r="AA189" s="503">
        <f>IF(終値!A189="","",IFERROR(4*STDEVP(終値!AD189:AW189)/AVERAGE(終値!AD189:AW189),""))</f>
        <v>5.8019487415672477E-2</v>
      </c>
      <c r="AB189" s="503">
        <f>IF(終値!A189="","",IFERROR(4*STDEVP(終値!AE189:AX189)/AVERAGE(終値!AE189:AX189),""))</f>
        <v>5.5749355014198115E-2</v>
      </c>
      <c r="AC189" s="503">
        <f>IF(終値!A189="","",IFERROR(4*STDEVP(終値!AF189:AY189)/AVERAGE(終値!AF189:AY189),""))</f>
        <v>4.7014342471543805E-2</v>
      </c>
      <c r="AD189" s="503">
        <f>IF(終値!A189="","",IFERROR(4*STDEVP(終値!AG189:AZ189)/AVERAGE(終値!AG189:AZ189),""))</f>
        <v>4.6342854191755628E-2</v>
      </c>
      <c r="AE189" s="503">
        <f>IF(終値!A189="","",IFERROR(4*STDEVP(終値!AH189:BA189)/AVERAGE(終値!AH189:BA189),""))</f>
        <v>4.5053647150375714E-2</v>
      </c>
      <c r="AF189" s="503">
        <f>IF(終値!A189="","",IFERROR(4*STDEVP(終値!AI189:BB189)/AVERAGE(終値!AI189:BB189),""))</f>
        <v>4.3217476702418982E-2</v>
      </c>
      <c r="AG189" s="503">
        <f>IF(終値!A189="","",IFERROR(4*STDEVP(終値!AJ189:BC189)/AVERAGE(終値!AJ189:BC189),""))</f>
        <v>4.2820201031130281E-2</v>
      </c>
      <c r="AH189" s="503">
        <f>IF(終値!A189="","",IFERROR(4*STDEVP(終値!AK189:BD189)/AVERAGE(終値!AK189:BD189),""))</f>
        <v>4.4163938525468585E-2</v>
      </c>
      <c r="AI189" s="503">
        <f>IF(終値!A189="","",IFERROR(4*STDEVP(終値!AL189:BE189)/AVERAGE(終値!AL189:BE189),""))</f>
        <v>4.3532615712375385E-2</v>
      </c>
      <c r="AJ189" s="503">
        <f>IF(終値!A189="","",IFERROR(4*STDEVP(終値!AM189:BF189)/AVERAGE(終値!AM189:BF189),""))</f>
        <v>5.1589308384185267E-2</v>
      </c>
      <c r="AK189" s="503">
        <f>IF(終値!A189="","",IFERROR(4*STDEVP(終値!AN189:BG189)/AVERAGE(終値!AN189:BG189),""))</f>
        <v>5.7295643373673592E-2</v>
      </c>
      <c r="AL189" s="503">
        <f>IF(終値!A189="","",IFERROR(4*STDEVP(終値!AO189:BH189)/AVERAGE(終値!AO189:BH189),""))</f>
        <v>5.714082655738708E-2</v>
      </c>
      <c r="AM189" s="503">
        <f>IF(終値!A189="","",IFERROR(4*STDEVP(終値!AP189:BI189)/AVERAGE(終値!AP189:BI189),""))</f>
        <v>5.9144612040333028E-2</v>
      </c>
      <c r="AN189" s="503">
        <f>IF(終値!A189="","",IFERROR(4*STDEVP(終値!AQ189:BJ189)/AVERAGE(終値!AQ189:BJ189),""))</f>
        <v>6.1776522047954169E-2</v>
      </c>
      <c r="AO189" s="503">
        <f>IF(終値!A189="","",IFERROR(4*STDEVP(終値!AR189:BK189)/AVERAGE(終値!AR189:BK189),""))</f>
        <v>6.3540373375136627E-2</v>
      </c>
      <c r="AP189" s="503">
        <f>IF(終値!A189="","",IFERROR(4*STDEVP(終値!AS189:BL189)/AVERAGE(終値!AS189:BL189),""))</f>
        <v>6.3006797814930765E-2</v>
      </c>
    </row>
    <row r="190" spans="1:42">
      <c r="A190" s="500" t="str">
        <f>IF(終値!A190="","",終値!A190)</f>
        <v>7181</v>
      </c>
      <c r="B190" s="503">
        <f>IF(終値!A190="","",IFERROR(4*STDEVP(終値!E190:X190)/AVERAGE(終値!E190:X190),""))</f>
        <v>0.1381666302516153</v>
      </c>
      <c r="C190" s="503">
        <f>IF(終値!A190="","",IFERROR(4*STDEVP(終値!F190:Y190)/AVERAGE(終値!F190:Y190),""))</f>
        <v>0.13796192343868088</v>
      </c>
      <c r="D190" s="503">
        <f>IF(終値!A190="","",IFERROR(4*STDEVP(終値!G190:Z190)/AVERAGE(終値!G190:Z190),""))</f>
        <v>0.14008191627087505</v>
      </c>
      <c r="E190" s="503">
        <f>IF(終値!A190="","",IFERROR(4*STDEVP(終値!H190:AA190)/AVERAGE(終値!H190:AA190),""))</f>
        <v>0.14726177352656944</v>
      </c>
      <c r="F190" s="503">
        <f>IF(終値!A190="","",IFERROR(4*STDEVP(終値!I190:AB190)/AVERAGE(終値!I190:AB190),""))</f>
        <v>0.15810609061722095</v>
      </c>
      <c r="G190" s="503">
        <f>IF(終値!A190="","",IFERROR(4*STDEVP(終値!J190:AC190)/AVERAGE(終値!J190:AC190),""))</f>
        <v>0.17549149332467978</v>
      </c>
      <c r="H190" s="503">
        <f>IF(終値!A190="","",IFERROR(4*STDEVP(終値!K190:AD190)/AVERAGE(終値!K190:AD190),""))</f>
        <v>0.18600447109160376</v>
      </c>
      <c r="I190" s="503">
        <f>IF(終値!A190="","",IFERROR(4*STDEVP(終値!L190:AE190)/AVERAGE(終値!L190:AE190),""))</f>
        <v>0.19467421163629153</v>
      </c>
      <c r="J190" s="503">
        <f>IF(終値!A190="","",IFERROR(4*STDEVP(終値!M190:AF190)/AVERAGE(終値!M190:AF190),""))</f>
        <v>0.20468722314698926</v>
      </c>
      <c r="K190" s="503">
        <f>IF(終値!A190="","",IFERROR(4*STDEVP(終値!N190:AG190)/AVERAGE(終値!N190:AG190),""))</f>
        <v>0.20419155229147773</v>
      </c>
      <c r="L190" s="503">
        <f>IF(終値!A190="","",IFERROR(4*STDEVP(終値!O190:AH190)/AVERAGE(終値!O190:AH190),""))</f>
        <v>0.20000152161398888</v>
      </c>
      <c r="M190" s="503">
        <f>IF(終値!A190="","",IFERROR(4*STDEVP(終値!P190:AI190)/AVERAGE(終値!P190:AI190),""))</f>
        <v>0.18941402216282183</v>
      </c>
      <c r="N190" s="503">
        <f>IF(終値!A190="","",IFERROR(4*STDEVP(終値!Q190:AJ190)/AVERAGE(終値!Q190:AJ190),""))</f>
        <v>0.17804553309950916</v>
      </c>
      <c r="O190" s="503">
        <f>IF(終値!A190="","",IFERROR(4*STDEVP(終値!R190:AK190)/AVERAGE(終値!R190:AK190),""))</f>
        <v>0.17181815897135855</v>
      </c>
      <c r="P190" s="503">
        <f>IF(終値!A190="","",IFERROR(4*STDEVP(終値!S190:AL190)/AVERAGE(終値!S190:AL190),""))</f>
        <v>0.17164132064408999</v>
      </c>
      <c r="Q190" s="503">
        <f>IF(終値!A190="","",IFERROR(4*STDEVP(終値!T190:AM190)/AVERAGE(終値!T190:AM190),""))</f>
        <v>0.16528206030095155</v>
      </c>
      <c r="R190" s="503">
        <f>IF(終値!A190="","",IFERROR(4*STDEVP(終値!U190:AN190)/AVERAGE(終値!U190:AN190),""))</f>
        <v>0.15643337357226766</v>
      </c>
      <c r="S190" s="503">
        <f>IF(終値!A190="","",IFERROR(4*STDEVP(終値!V190:AO190)/AVERAGE(終値!V190:AO190),""))</f>
        <v>0.15258678200946965</v>
      </c>
      <c r="T190" s="503">
        <f>IF(終値!A190="","",IFERROR(4*STDEVP(終値!W190:AP190)/AVERAGE(終値!W190:AP190),""))</f>
        <v>0.14981402024365503</v>
      </c>
      <c r="U190" s="503">
        <f>IF(終値!A190="","",IFERROR(4*STDEVP(終値!X190:AQ190)/AVERAGE(終値!X190:AQ190),""))</f>
        <v>0.14159341533688452</v>
      </c>
      <c r="V190" s="503">
        <f>IF(終値!A190="","",IFERROR(4*STDEVP(終値!Y190:AR190)/AVERAGE(終値!Y190:AR190),""))</f>
        <v>0.1305857459154488</v>
      </c>
      <c r="W190" s="503">
        <f>IF(終値!A190="","",IFERROR(4*STDEVP(終値!Z190:AS190)/AVERAGE(終値!Z190:AS190),""))</f>
        <v>0.11971282783730251</v>
      </c>
      <c r="X190" s="503">
        <f>IF(終値!A190="","",IFERROR(4*STDEVP(終値!AA190:AT190)/AVERAGE(終値!AA190:AT190),""))</f>
        <v>0.11439834252146021</v>
      </c>
      <c r="Y190" s="503">
        <f>IF(終値!A190="","",IFERROR(4*STDEVP(終値!AB190:AU190)/AVERAGE(終値!AB190:AU190),""))</f>
        <v>0.12109866290080071</v>
      </c>
      <c r="Z190" s="503">
        <f>IF(終値!A190="","",IFERROR(4*STDEVP(終値!AC190:AV190)/AVERAGE(終値!AC190:AV190),""))</f>
        <v>0.12338447942251794</v>
      </c>
      <c r="AA190" s="503">
        <f>IF(終値!A190="","",IFERROR(4*STDEVP(終値!AD190:AW190)/AVERAGE(終値!AD190:AW190),""))</f>
        <v>0.13589788681077236</v>
      </c>
      <c r="AB190" s="503">
        <f>IF(終値!A190="","",IFERROR(4*STDEVP(終値!AE190:AX190)/AVERAGE(終値!AE190:AX190),""))</f>
        <v>0.14122281248523319</v>
      </c>
      <c r="AC190" s="503">
        <f>IF(終値!A190="","",IFERROR(4*STDEVP(終値!AF190:AY190)/AVERAGE(終値!AF190:AY190),""))</f>
        <v>0.149392454217362</v>
      </c>
      <c r="AD190" s="503">
        <f>IF(終値!A190="","",IFERROR(4*STDEVP(終値!AG190:AZ190)/AVERAGE(終値!AG190:AZ190),""))</f>
        <v>0.14961358589002158</v>
      </c>
      <c r="AE190" s="503">
        <f>IF(終値!A190="","",IFERROR(4*STDEVP(終値!AH190:BA190)/AVERAGE(終値!AH190:BA190),""))</f>
        <v>0.14961358589002158</v>
      </c>
      <c r="AF190" s="503">
        <f>IF(終値!A190="","",IFERROR(4*STDEVP(終値!AI190:BB190)/AVERAGE(終値!AI190:BB190),""))</f>
        <v>0.15088651394251595</v>
      </c>
      <c r="AG190" s="503">
        <f>IF(終値!A190="","",IFERROR(4*STDEVP(終値!AJ190:BC190)/AVERAGE(終値!AJ190:BC190),""))</f>
        <v>0.15301551700118102</v>
      </c>
      <c r="AH190" s="503">
        <f>IF(終値!A190="","",IFERROR(4*STDEVP(終値!AK190:BD190)/AVERAGE(終値!AK190:BD190),""))</f>
        <v>0.15334236391732139</v>
      </c>
      <c r="AI190" s="503">
        <f>IF(終値!A190="","",IFERROR(4*STDEVP(終値!AL190:BE190)/AVERAGE(終値!AL190:BE190),""))</f>
        <v>0.15334236391732137</v>
      </c>
      <c r="AJ190" s="503">
        <f>IF(終値!A190="","",IFERROR(4*STDEVP(終値!AM190:BF190)/AVERAGE(終値!AM190:BF190),""))</f>
        <v>0.15065964193465181</v>
      </c>
      <c r="AK190" s="503">
        <f>IF(終値!A190="","",IFERROR(4*STDEVP(終値!AN190:BG190)/AVERAGE(終値!AN190:BG190),""))</f>
        <v>0.17587945286823892</v>
      </c>
      <c r="AL190" s="503">
        <f>IF(終値!A190="","",IFERROR(4*STDEVP(終値!AO190:BH190)/AVERAGE(終値!AO190:BH190),""))</f>
        <v>0.18122521138864062</v>
      </c>
      <c r="AM190" s="503">
        <f>IF(終値!A190="","",IFERROR(4*STDEVP(終値!AP190:BI190)/AVERAGE(終値!AP190:BI190),""))</f>
        <v>0.19035262938072051</v>
      </c>
      <c r="AN190" s="503">
        <f>IF(終値!A190="","",IFERROR(4*STDEVP(終値!AQ190:BJ190)/AVERAGE(終値!AQ190:BJ190),""))</f>
        <v>0.19140346793274729</v>
      </c>
      <c r="AO190" s="503">
        <f>IF(終値!A190="","",IFERROR(4*STDEVP(終値!AR190:BK190)/AVERAGE(終値!AR190:BK190),""))</f>
        <v>0.19224791970976846</v>
      </c>
      <c r="AP190" s="503">
        <f>IF(終値!A190="","",IFERROR(4*STDEVP(終値!AS190:BL190)/AVERAGE(終値!AS190:BL190),""))</f>
        <v>0.1912202873684973</v>
      </c>
    </row>
    <row r="191" spans="1:42">
      <c r="A191" s="500" t="str">
        <f>IF(終値!A191="","",終値!A191)</f>
        <v>6485</v>
      </c>
      <c r="B191" s="503">
        <f>IF(終値!A191="","",IFERROR(4*STDEVP(終値!E191:X191)/AVERAGE(終値!E191:X191),""))</f>
        <v>5.6212277983403204E-2</v>
      </c>
      <c r="C191" s="503">
        <f>IF(終値!A191="","",IFERROR(4*STDEVP(終値!F191:Y191)/AVERAGE(終値!F191:Y191),""))</f>
        <v>5.3230632594005338E-2</v>
      </c>
      <c r="D191" s="503">
        <f>IF(終値!A191="","",IFERROR(4*STDEVP(終値!G191:Z191)/AVERAGE(終値!G191:Z191),""))</f>
        <v>5.3465489112103998E-2</v>
      </c>
      <c r="E191" s="503">
        <f>IF(終値!A191="","",IFERROR(4*STDEVP(終値!H191:AA191)/AVERAGE(終値!H191:AA191),""))</f>
        <v>5.5629526153412531E-2</v>
      </c>
      <c r="F191" s="503">
        <f>IF(終値!A191="","",IFERROR(4*STDEVP(終値!I191:AB191)/AVERAGE(終値!I191:AB191),""))</f>
        <v>5.6082812435507112E-2</v>
      </c>
      <c r="G191" s="503">
        <f>IF(終値!A191="","",IFERROR(4*STDEVP(終値!J191:AC191)/AVERAGE(終値!J191:AC191),""))</f>
        <v>5.7047363690840222E-2</v>
      </c>
      <c r="H191" s="503">
        <f>IF(終値!A191="","",IFERROR(4*STDEVP(終値!K191:AD191)/AVERAGE(終値!K191:AD191),""))</f>
        <v>5.8632940821441437E-2</v>
      </c>
      <c r="I191" s="503">
        <f>IF(終値!A191="","",IFERROR(4*STDEVP(終値!L191:AE191)/AVERAGE(終値!L191:AE191),""))</f>
        <v>5.263743179359124E-2</v>
      </c>
      <c r="J191" s="503">
        <f>IF(終値!A191="","",IFERROR(4*STDEVP(終値!M191:AF191)/AVERAGE(終値!M191:AF191),""))</f>
        <v>5.3760803651819518E-2</v>
      </c>
      <c r="K191" s="503">
        <f>IF(終値!A191="","",IFERROR(4*STDEVP(終値!N191:AG191)/AVERAGE(終値!N191:AG191),""))</f>
        <v>5.4119005871451513E-2</v>
      </c>
      <c r="L191" s="503">
        <f>IF(終値!A191="","",IFERROR(4*STDEVP(終値!O191:AH191)/AVERAGE(終値!O191:AH191),""))</f>
        <v>6.5233888489061448E-2</v>
      </c>
      <c r="M191" s="503">
        <f>IF(終値!A191="","",IFERROR(4*STDEVP(終値!P191:AI191)/AVERAGE(終値!P191:AI191),""))</f>
        <v>7.33137807773169E-2</v>
      </c>
      <c r="N191" s="503">
        <f>IF(終値!A191="","",IFERROR(4*STDEVP(終値!Q191:AJ191)/AVERAGE(終値!Q191:AJ191),""))</f>
        <v>7.5570006776712786E-2</v>
      </c>
      <c r="O191" s="503">
        <f>IF(終値!A191="","",IFERROR(4*STDEVP(終値!R191:AK191)/AVERAGE(終値!R191:AK191),""))</f>
        <v>8.2235624822764086E-2</v>
      </c>
      <c r="P191" s="503">
        <f>IF(終値!A191="","",IFERROR(4*STDEVP(終値!S191:AL191)/AVERAGE(終値!S191:AL191),""))</f>
        <v>8.5478143079838823E-2</v>
      </c>
      <c r="Q191" s="503">
        <f>IF(終値!A191="","",IFERROR(4*STDEVP(終値!T191:AM191)/AVERAGE(終値!T191:AM191),""))</f>
        <v>8.8071225270267464E-2</v>
      </c>
      <c r="R191" s="503">
        <f>IF(終値!A191="","",IFERROR(4*STDEVP(終値!U191:AN191)/AVERAGE(終値!U191:AN191),""))</f>
        <v>9.2592937926578522E-2</v>
      </c>
      <c r="S191" s="503">
        <f>IF(終値!A191="","",IFERROR(4*STDEVP(終値!V191:AO191)/AVERAGE(終値!V191:AO191),""))</f>
        <v>9.6943066203117309E-2</v>
      </c>
      <c r="T191" s="503">
        <f>IF(終値!A191="","",IFERROR(4*STDEVP(終値!W191:AP191)/AVERAGE(終値!W191:AP191),""))</f>
        <v>9.5322946223890093E-2</v>
      </c>
      <c r="U191" s="503">
        <f>IF(終値!A191="","",IFERROR(4*STDEVP(終値!X191:AQ191)/AVERAGE(終値!X191:AQ191),""))</f>
        <v>0.10007777841977564</v>
      </c>
      <c r="V191" s="503">
        <f>IF(終値!A191="","",IFERROR(4*STDEVP(終値!Y191:AR191)/AVERAGE(終値!Y191:AR191),""))</f>
        <v>9.7330803628247892E-2</v>
      </c>
      <c r="W191" s="503">
        <f>IF(終値!A191="","",IFERROR(4*STDEVP(終値!Z191:AS191)/AVERAGE(終値!Z191:AS191),""))</f>
        <v>9.8560911547653493E-2</v>
      </c>
      <c r="X191" s="503">
        <f>IF(終値!A191="","",IFERROR(4*STDEVP(終値!AA191:AT191)/AVERAGE(終値!AA191:AT191),""))</f>
        <v>9.5709780164673283E-2</v>
      </c>
      <c r="Y191" s="503">
        <f>IF(終値!A191="","",IFERROR(4*STDEVP(終値!AB191:AU191)/AVERAGE(終値!AB191:AU191),""))</f>
        <v>9.5373312900564888E-2</v>
      </c>
      <c r="Z191" s="503">
        <f>IF(終値!A191="","",IFERROR(4*STDEVP(終値!AC191:AV191)/AVERAGE(終値!AC191:AV191),""))</f>
        <v>9.2753022741799057E-2</v>
      </c>
      <c r="AA191" s="503">
        <f>IF(終値!A191="","",IFERROR(4*STDEVP(終値!AD191:AW191)/AVERAGE(終値!AD191:AW191),""))</f>
        <v>9.6243952809473551E-2</v>
      </c>
      <c r="AB191" s="503">
        <f>IF(終値!A191="","",IFERROR(4*STDEVP(終値!AE191:AX191)/AVERAGE(終値!AE191:AX191),""))</f>
        <v>9.3553867862970402E-2</v>
      </c>
      <c r="AC191" s="503">
        <f>IF(終値!A191="","",IFERROR(4*STDEVP(終値!AF191:AY191)/AVERAGE(終値!AF191:AY191),""))</f>
        <v>8.5204677796099068E-2</v>
      </c>
      <c r="AD191" s="503">
        <f>IF(終値!A191="","",IFERROR(4*STDEVP(終値!AG191:AZ191)/AVERAGE(終値!AG191:AZ191),""))</f>
        <v>7.7155810859843965E-2</v>
      </c>
      <c r="AE191" s="503">
        <f>IF(終値!A191="","",IFERROR(4*STDEVP(終値!AH191:BA191)/AVERAGE(終値!AH191:BA191),""))</f>
        <v>7.2947600811018462E-2</v>
      </c>
      <c r="AF191" s="503">
        <f>IF(終値!A191="","",IFERROR(4*STDEVP(終値!AI191:BB191)/AVERAGE(終値!AI191:BB191),""))</f>
        <v>7.1528660242731662E-2</v>
      </c>
      <c r="AG191" s="503">
        <f>IF(終値!A191="","",IFERROR(4*STDEVP(終値!AJ191:BC191)/AVERAGE(終値!AJ191:BC191),""))</f>
        <v>6.9279151365043576E-2</v>
      </c>
      <c r="AH191" s="503">
        <f>IF(終値!A191="","",IFERROR(4*STDEVP(終値!AK191:BD191)/AVERAGE(終値!AK191:BD191),""))</f>
        <v>6.0137184436602834E-2</v>
      </c>
      <c r="AI191" s="503">
        <f>IF(終値!A191="","",IFERROR(4*STDEVP(終値!AL191:BE191)/AVERAGE(終値!AL191:BE191),""))</f>
        <v>5.9309476023002142E-2</v>
      </c>
      <c r="AJ191" s="503">
        <f>IF(終値!A191="","",IFERROR(4*STDEVP(終値!AM191:BF191)/AVERAGE(終値!AM191:BF191),""))</f>
        <v>5.211387160184467E-2</v>
      </c>
      <c r="AK191" s="503">
        <f>IF(終値!A191="","",IFERROR(4*STDEVP(終値!AN191:BG191)/AVERAGE(終値!AN191:BG191),""))</f>
        <v>6.6528631809353783E-2</v>
      </c>
      <c r="AL191" s="503">
        <f>IF(終値!A191="","",IFERROR(4*STDEVP(終値!AO191:BH191)/AVERAGE(終値!AO191:BH191),""))</f>
        <v>7.4524360507864332E-2</v>
      </c>
      <c r="AM191" s="503">
        <f>IF(終値!A191="","",IFERROR(4*STDEVP(終値!AP191:BI191)/AVERAGE(終値!AP191:BI191),""))</f>
        <v>8.6308140690320681E-2</v>
      </c>
      <c r="AN191" s="503">
        <f>IF(終値!A191="","",IFERROR(4*STDEVP(終値!AQ191:BJ191)/AVERAGE(終値!AQ191:BJ191),""))</f>
        <v>0.10282283755800259</v>
      </c>
      <c r="AO191" s="503">
        <f>IF(終値!A191="","",IFERROR(4*STDEVP(終値!AR191:BK191)/AVERAGE(終値!AR191:BK191),""))</f>
        <v>0.11003529938753495</v>
      </c>
      <c r="AP191" s="503">
        <f>IF(終値!A191="","",IFERROR(4*STDEVP(終値!AS191:BL191)/AVERAGE(終値!AS191:BL191),""))</f>
        <v>0.11650726706997423</v>
      </c>
    </row>
    <row r="192" spans="1:42">
      <c r="A192" s="500" t="str">
        <f>IF(終値!A192="","",終値!A192)</f>
        <v>4887</v>
      </c>
      <c r="B192" s="503">
        <f>IF(終値!A192="","",IFERROR(4*STDEVP(終値!E192:X192)/AVERAGE(終値!E192:X192),""))</f>
        <v>7.7833226388062407E-2</v>
      </c>
      <c r="C192" s="503">
        <f>IF(終値!A192="","",IFERROR(4*STDEVP(終値!F192:Y192)/AVERAGE(終値!F192:Y192),""))</f>
        <v>8.2965965560771029E-2</v>
      </c>
      <c r="D192" s="503">
        <f>IF(終値!A192="","",IFERROR(4*STDEVP(終値!G192:Z192)/AVERAGE(終値!G192:Z192),""))</f>
        <v>8.1256295106503895E-2</v>
      </c>
      <c r="E192" s="503">
        <f>IF(終値!A192="","",IFERROR(4*STDEVP(終値!H192:AA192)/AVERAGE(終値!H192:AA192),""))</f>
        <v>7.1168657440437377E-2</v>
      </c>
      <c r="F192" s="503">
        <f>IF(終値!A192="","",IFERROR(4*STDEVP(終値!I192:AB192)/AVERAGE(終値!I192:AB192),""))</f>
        <v>6.069562916124522E-2</v>
      </c>
      <c r="G192" s="503">
        <f>IF(終値!A192="","",IFERROR(4*STDEVP(終値!J192:AC192)/AVERAGE(終値!J192:AC192),""))</f>
        <v>5.745496761077757E-2</v>
      </c>
      <c r="H192" s="503">
        <f>IF(終値!A192="","",IFERROR(4*STDEVP(終値!K192:AD192)/AVERAGE(終値!K192:AD192),""))</f>
        <v>5.743585374693707E-2</v>
      </c>
      <c r="I192" s="503">
        <f>IF(終値!A192="","",IFERROR(4*STDEVP(終値!L192:AE192)/AVERAGE(終値!L192:AE192),""))</f>
        <v>5.7995668540835245E-2</v>
      </c>
      <c r="J192" s="503">
        <f>IF(終値!A192="","",IFERROR(4*STDEVP(終値!M192:AF192)/AVERAGE(終値!M192:AF192),""))</f>
        <v>6.6123493548242845E-2</v>
      </c>
      <c r="K192" s="503">
        <f>IF(終値!A192="","",IFERROR(4*STDEVP(終値!N192:AG192)/AVERAGE(終値!N192:AG192),""))</f>
        <v>6.8567462562994827E-2</v>
      </c>
      <c r="L192" s="503">
        <f>IF(終値!A192="","",IFERROR(4*STDEVP(終値!O192:AH192)/AVERAGE(終値!O192:AH192),""))</f>
        <v>6.8726240549487172E-2</v>
      </c>
      <c r="M192" s="503">
        <f>IF(終値!A192="","",IFERROR(4*STDEVP(終値!P192:AI192)/AVERAGE(終値!P192:AI192),""))</f>
        <v>7.064355557392181E-2</v>
      </c>
      <c r="N192" s="503">
        <f>IF(終値!A192="","",IFERROR(4*STDEVP(終値!Q192:AJ192)/AVERAGE(終値!Q192:AJ192),""))</f>
        <v>7.5298887425522015E-2</v>
      </c>
      <c r="O192" s="503">
        <f>IF(終値!A192="","",IFERROR(4*STDEVP(終値!R192:AK192)/AVERAGE(終値!R192:AK192),""))</f>
        <v>7.8605709120447911E-2</v>
      </c>
      <c r="P192" s="503">
        <f>IF(終値!A192="","",IFERROR(4*STDEVP(終値!S192:AL192)/AVERAGE(終値!S192:AL192),""))</f>
        <v>7.9819233295414141E-2</v>
      </c>
      <c r="Q192" s="503">
        <f>IF(終値!A192="","",IFERROR(4*STDEVP(終値!T192:AM192)/AVERAGE(終値!T192:AM192),""))</f>
        <v>7.9362772728494499E-2</v>
      </c>
      <c r="R192" s="503">
        <f>IF(終値!A192="","",IFERROR(4*STDEVP(終値!U192:AN192)/AVERAGE(終値!U192:AN192),""))</f>
        <v>8.055920653130004E-2</v>
      </c>
      <c r="S192" s="503">
        <f>IF(終値!A192="","",IFERROR(4*STDEVP(終値!V192:AO192)/AVERAGE(終値!V192:AO192),""))</f>
        <v>8.0159224810965532E-2</v>
      </c>
      <c r="T192" s="503">
        <f>IF(終値!A192="","",IFERROR(4*STDEVP(終値!W192:AP192)/AVERAGE(終値!W192:AP192),""))</f>
        <v>8.2096420445904456E-2</v>
      </c>
      <c r="U192" s="503">
        <f>IF(終値!A192="","",IFERROR(4*STDEVP(終値!X192:AQ192)/AVERAGE(終値!X192:AQ192),""))</f>
        <v>8.364604964532607E-2</v>
      </c>
      <c r="V192" s="503">
        <f>IF(終値!A192="","",IFERROR(4*STDEVP(終値!Y192:AR192)/AVERAGE(終値!Y192:AR192),""))</f>
        <v>8.4165444273977957E-2</v>
      </c>
      <c r="W192" s="503">
        <f>IF(終値!A192="","",IFERROR(4*STDEVP(終値!Z192:AS192)/AVERAGE(終値!Z192:AS192),""))</f>
        <v>7.7539433702702582E-2</v>
      </c>
      <c r="X192" s="503">
        <f>IF(終値!A192="","",IFERROR(4*STDEVP(終値!AA192:AT192)/AVERAGE(終値!AA192:AT192),""))</f>
        <v>7.0257404311030752E-2</v>
      </c>
      <c r="Y192" s="503">
        <f>IF(終値!A192="","",IFERROR(4*STDEVP(終値!AB192:AU192)/AVERAGE(終値!AB192:AU192),""))</f>
        <v>7.0084984728120428E-2</v>
      </c>
      <c r="Z192" s="503">
        <f>IF(終値!A192="","",IFERROR(4*STDEVP(終値!AC192:AV192)/AVERAGE(終値!AC192:AV192),""))</f>
        <v>7.255000229812554E-2</v>
      </c>
      <c r="AA192" s="503">
        <f>IF(終値!A192="","",IFERROR(4*STDEVP(終値!AD192:AW192)/AVERAGE(終値!AD192:AW192),""))</f>
        <v>7.4369834357878153E-2</v>
      </c>
      <c r="AB192" s="503">
        <f>IF(終値!A192="","",IFERROR(4*STDEVP(終値!AE192:AX192)/AVERAGE(終値!AE192:AX192),""))</f>
        <v>8.3071021895138625E-2</v>
      </c>
      <c r="AC192" s="503">
        <f>IF(終値!A192="","",IFERROR(4*STDEVP(終値!AF192:AY192)/AVERAGE(終値!AF192:AY192),""))</f>
        <v>8.6901558437439838E-2</v>
      </c>
      <c r="AD192" s="503">
        <f>IF(終値!A192="","",IFERROR(4*STDEVP(終値!AG192:AZ192)/AVERAGE(終値!AG192:AZ192),""))</f>
        <v>9.2184617628618765E-2</v>
      </c>
      <c r="AE192" s="503">
        <f>IF(終値!A192="","",IFERROR(4*STDEVP(終値!AH192:BA192)/AVERAGE(終値!AH192:BA192),""))</f>
        <v>0.10165568273761778</v>
      </c>
      <c r="AF192" s="503">
        <f>IF(終値!A192="","",IFERROR(4*STDEVP(終値!AI192:BB192)/AVERAGE(終値!AI192:BB192),""))</f>
        <v>0.10490759852888891</v>
      </c>
      <c r="AG192" s="503">
        <f>IF(終値!A192="","",IFERROR(4*STDEVP(終値!AJ192:BC192)/AVERAGE(終値!AJ192:BC192),""))</f>
        <v>0.10329457322062928</v>
      </c>
      <c r="AH192" s="503">
        <f>IF(終値!A192="","",IFERROR(4*STDEVP(終値!AK192:BD192)/AVERAGE(終値!AK192:BD192),""))</f>
        <v>0.10210088246751294</v>
      </c>
      <c r="AI192" s="503">
        <f>IF(終値!A192="","",IFERROR(4*STDEVP(終値!AL192:BE192)/AVERAGE(終値!AL192:BE192),""))</f>
        <v>0.10179429869539598</v>
      </c>
      <c r="AJ192" s="503">
        <f>IF(終値!A192="","",IFERROR(4*STDEVP(終値!AM192:BF192)/AVERAGE(終値!AM192:BF192),""))</f>
        <v>9.4075622952468477E-2</v>
      </c>
      <c r="AK192" s="503">
        <f>IF(終値!A192="","",IFERROR(4*STDEVP(終値!AN192:BG192)/AVERAGE(終値!AN192:BG192),""))</f>
        <v>0.17408290926841727</v>
      </c>
      <c r="AL192" s="503">
        <f>IF(終値!A192="","",IFERROR(4*STDEVP(終値!AO192:BH192)/AVERAGE(終値!AO192:BH192),""))</f>
        <v>0.23126602220147904</v>
      </c>
      <c r="AM192" s="503">
        <f>IF(終値!A192="","",IFERROR(4*STDEVP(終値!AP192:BI192)/AVERAGE(終値!AP192:BI192),""))</f>
        <v>0.26869313699941277</v>
      </c>
      <c r="AN192" s="503">
        <f>IF(終値!A192="","",IFERROR(4*STDEVP(終値!AQ192:BJ192)/AVERAGE(終値!AQ192:BJ192),""))</f>
        <v>0.29726806824087376</v>
      </c>
      <c r="AO192" s="503">
        <f>IF(終値!A192="","",IFERROR(4*STDEVP(終値!AR192:BK192)/AVERAGE(終値!AR192:BK192),""))</f>
        <v>0.32027371735907439</v>
      </c>
      <c r="AP192" s="503">
        <f>IF(終値!A192="","",IFERROR(4*STDEVP(終値!AS192:BL192)/AVERAGE(終値!AS192:BL192),""))</f>
        <v>0.33731549156163715</v>
      </c>
    </row>
    <row r="193" spans="1:42">
      <c r="A193" s="500" t="str">
        <f>IF(終値!A193="","",終値!A193)</f>
        <v>5243</v>
      </c>
      <c r="B193" s="503">
        <f>IF(終値!A193="","",IFERROR(4*STDEVP(終値!E193:X193)/AVERAGE(終値!E193:X193),""))</f>
        <v>0.20260937653599898</v>
      </c>
      <c r="C193" s="503">
        <f>IF(終値!A193="","",IFERROR(4*STDEVP(終値!F193:Y193)/AVERAGE(終値!F193:Y193),""))</f>
        <v>0.18845117272780607</v>
      </c>
      <c r="D193" s="503">
        <f>IF(終値!A193="","",IFERROR(4*STDEVP(終値!G193:Z193)/AVERAGE(終値!G193:Z193),""))</f>
        <v>0.18222075470704699</v>
      </c>
      <c r="E193" s="503">
        <f>IF(終値!A193="","",IFERROR(4*STDEVP(終値!H193:AA193)/AVERAGE(終値!H193:AA193),""))</f>
        <v>0.18073483918644562</v>
      </c>
      <c r="F193" s="503">
        <f>IF(終値!A193="","",IFERROR(4*STDEVP(終値!I193:AB193)/AVERAGE(終値!I193:AB193),""))</f>
        <v>0.17691719996432526</v>
      </c>
      <c r="G193" s="503">
        <f>IF(終値!A193="","",IFERROR(4*STDEVP(終値!J193:AC193)/AVERAGE(終値!J193:AC193),""))</f>
        <v>0.19127772115723204</v>
      </c>
      <c r="H193" s="503">
        <f>IF(終値!A193="","",IFERROR(4*STDEVP(終値!K193:AD193)/AVERAGE(終値!K193:AD193),""))</f>
        <v>0.20314384311809075</v>
      </c>
      <c r="I193" s="503">
        <f>IF(終値!A193="","",IFERROR(4*STDEVP(終値!L193:AE193)/AVERAGE(終値!L193:AE193),""))</f>
        <v>0.22801129018770039</v>
      </c>
      <c r="J193" s="503">
        <f>IF(終値!A193="","",IFERROR(4*STDEVP(終値!M193:AF193)/AVERAGE(終値!M193:AF193),""))</f>
        <v>0.26732243712155201</v>
      </c>
      <c r="K193" s="503">
        <f>IF(終値!A193="","",IFERROR(4*STDEVP(終値!N193:AG193)/AVERAGE(終値!N193:AG193),""))</f>
        <v>0.30118739224166075</v>
      </c>
      <c r="L193" s="503">
        <f>IF(終値!A193="","",IFERROR(4*STDEVP(終値!O193:AH193)/AVERAGE(終値!O193:AH193),""))</f>
        <v>0.32931854311884007</v>
      </c>
      <c r="M193" s="503">
        <f>IF(終値!A193="","",IFERROR(4*STDEVP(終値!P193:AI193)/AVERAGE(終値!P193:AI193),""))</f>
        <v>0.35279500366138999</v>
      </c>
      <c r="N193" s="503">
        <f>IF(終値!A193="","",IFERROR(4*STDEVP(終値!Q193:AJ193)/AVERAGE(終値!Q193:AJ193),""))</f>
        <v>0.36382714503447677</v>
      </c>
      <c r="O193" s="503">
        <f>IF(終値!A193="","",IFERROR(4*STDEVP(終値!R193:AK193)/AVERAGE(終値!R193:AK193),""))</f>
        <v>0.38021023735328097</v>
      </c>
      <c r="P193" s="503">
        <f>IF(終値!A193="","",IFERROR(4*STDEVP(終値!S193:AL193)/AVERAGE(終値!S193:AL193),""))</f>
        <v>0.38311174375582124</v>
      </c>
      <c r="Q193" s="503">
        <f>IF(終値!A193="","",IFERROR(4*STDEVP(終値!T193:AM193)/AVERAGE(終値!T193:AM193),""))</f>
        <v>0.3836072261343535</v>
      </c>
      <c r="R193" s="503">
        <f>IF(終値!A193="","",IFERROR(4*STDEVP(終値!U193:AN193)/AVERAGE(終値!U193:AN193),""))</f>
        <v>0.39704883261656426</v>
      </c>
      <c r="S193" s="503">
        <f>IF(終値!A193="","",IFERROR(4*STDEVP(終値!V193:AO193)/AVERAGE(終値!V193:AO193),""))</f>
        <v>0.41127788841020158</v>
      </c>
      <c r="T193" s="503">
        <f>IF(終値!A193="","",IFERROR(4*STDEVP(終値!W193:AP193)/AVERAGE(終値!W193:AP193),""))</f>
        <v>0.40113704429673019</v>
      </c>
      <c r="U193" s="503">
        <f>IF(終値!A193="","",IFERROR(4*STDEVP(終値!X193:AQ193)/AVERAGE(終値!X193:AQ193),""))</f>
        <v>0.41122077242867067</v>
      </c>
      <c r="V193" s="503">
        <f>IF(終値!A193="","",IFERROR(4*STDEVP(終値!Y193:AR193)/AVERAGE(終値!Y193:AR193),""))</f>
        <v>0.37304271146766016</v>
      </c>
      <c r="W193" s="503">
        <f>IF(終値!A193="","",IFERROR(4*STDEVP(終値!Z193:AS193)/AVERAGE(終値!Z193:AS193),""))</f>
        <v>0.32875957629753333</v>
      </c>
      <c r="X193" s="503">
        <f>IF(終値!A193="","",IFERROR(4*STDEVP(終値!AA193:AT193)/AVERAGE(終値!AA193:AT193),""))</f>
        <v>0.25134456895947077</v>
      </c>
      <c r="Y193" s="503">
        <f>IF(終値!A193="","",IFERROR(4*STDEVP(終値!AB193:AU193)/AVERAGE(終値!AB193:AU193),""))</f>
        <v>0.21079131009197988</v>
      </c>
      <c r="Z193" s="503">
        <f>IF(終値!A193="","",IFERROR(4*STDEVP(終値!AC193:AV193)/AVERAGE(終値!AC193:AV193),""))</f>
        <v>0.18961260832466031</v>
      </c>
      <c r="AA193" s="503">
        <f>IF(終値!A193="","",IFERROR(4*STDEVP(終値!AD193:AW193)/AVERAGE(終値!AD193:AW193),""))</f>
        <v>0.18645701797137232</v>
      </c>
      <c r="AB193" s="503">
        <f>IF(終値!A193="","",IFERROR(4*STDEVP(終値!AE193:AX193)/AVERAGE(終値!AE193:AX193),""))</f>
        <v>0.22394915610757121</v>
      </c>
      <c r="AC193" s="503">
        <f>IF(終値!A193="","",IFERROR(4*STDEVP(終値!AF193:AY193)/AVERAGE(終値!AF193:AY193),""))</f>
        <v>0.25840191157145059</v>
      </c>
      <c r="AD193" s="503">
        <f>IF(終値!A193="","",IFERROR(4*STDEVP(終値!AG193:AZ193)/AVERAGE(終値!AG193:AZ193),""))</f>
        <v>0.28275251002095003</v>
      </c>
      <c r="AE193" s="503">
        <f>IF(終値!A193="","",IFERROR(4*STDEVP(終値!AH193:BA193)/AVERAGE(終値!AH193:BA193),""))</f>
        <v>0.32683513069741854</v>
      </c>
      <c r="AF193" s="503">
        <f>IF(終値!A193="","",IFERROR(4*STDEVP(終値!AI193:BB193)/AVERAGE(終値!AI193:BB193),""))</f>
        <v>0.36983908512560165</v>
      </c>
      <c r="AG193" s="503">
        <f>IF(終値!A193="","",IFERROR(4*STDEVP(終値!AJ193:BC193)/AVERAGE(終値!AJ193:BC193),""))</f>
        <v>0.39365749627844965</v>
      </c>
      <c r="AH193" s="503">
        <f>IF(終値!A193="","",IFERROR(4*STDEVP(終値!AK193:BD193)/AVERAGE(終値!AK193:BD193),""))</f>
        <v>0.40466089058712573</v>
      </c>
      <c r="AI193" s="503">
        <f>IF(終値!A193="","",IFERROR(4*STDEVP(終値!AL193:BE193)/AVERAGE(終値!AL193:BE193),""))</f>
        <v>0.4152726128854029</v>
      </c>
      <c r="AJ193" s="503">
        <f>IF(終値!A193="","",IFERROR(4*STDEVP(終値!AM193:BF193)/AVERAGE(終値!AM193:BF193),""))</f>
        <v>0.43678777225727444</v>
      </c>
      <c r="AK193" s="503">
        <f>IF(終値!A193="","",IFERROR(4*STDEVP(終値!AN193:BG193)/AVERAGE(終値!AN193:BG193),""))</f>
        <v>0.44813708846103478</v>
      </c>
      <c r="AL193" s="503">
        <f>IF(終値!A193="","",IFERROR(4*STDEVP(終値!AO193:BH193)/AVERAGE(終値!AO193:BH193),""))</f>
        <v>0.44914808803094275</v>
      </c>
      <c r="AM193" s="503">
        <f>IF(終値!A193="","",IFERROR(4*STDEVP(終値!AP193:BI193)/AVERAGE(終値!AP193:BI193),""))</f>
        <v>0.44863582597081098</v>
      </c>
      <c r="AN193" s="503">
        <f>IF(終値!A193="","",IFERROR(4*STDEVP(終値!AQ193:BJ193)/AVERAGE(終値!AQ193:BJ193),""))</f>
        <v>0.41660405407774376</v>
      </c>
      <c r="AO193" s="503">
        <f>IF(終値!A193="","",IFERROR(4*STDEVP(終値!AR193:BK193)/AVERAGE(終値!AR193:BK193),""))</f>
        <v>0.37708046434563192</v>
      </c>
      <c r="AP193" s="503">
        <f>IF(終値!A193="","",IFERROR(4*STDEVP(終値!AS193:BL193)/AVERAGE(終値!AS193:BL193),""))</f>
        <v>0.32775770963418832</v>
      </c>
    </row>
    <row r="194" spans="1:42">
      <c r="A194" s="500" t="str">
        <f>IF(終値!A194="","",終値!A194)</f>
        <v>2702</v>
      </c>
      <c r="B194" s="503">
        <f>IF(終値!A194="","",IFERROR(4*STDEVP(終値!E194:X194)/AVERAGE(終値!E194:X194),""))</f>
        <v>0.11546469701958091</v>
      </c>
      <c r="C194" s="503">
        <f>IF(終値!A194="","",IFERROR(4*STDEVP(終値!F194:Y194)/AVERAGE(終値!F194:Y194),""))</f>
        <v>0.11325240460557151</v>
      </c>
      <c r="D194" s="503">
        <f>IF(終値!A194="","",IFERROR(4*STDEVP(終値!G194:Z194)/AVERAGE(終値!G194:Z194),""))</f>
        <v>0.11365393862884696</v>
      </c>
      <c r="E194" s="503">
        <f>IF(終値!A194="","",IFERROR(4*STDEVP(終値!H194:AA194)/AVERAGE(終値!H194:AA194),""))</f>
        <v>0.10749821086815167</v>
      </c>
      <c r="F194" s="503">
        <f>IF(終値!A194="","",IFERROR(4*STDEVP(終値!I194:AB194)/AVERAGE(終値!I194:AB194),""))</f>
        <v>9.6422518499499121E-2</v>
      </c>
      <c r="G194" s="503">
        <f>IF(終値!A194="","",IFERROR(4*STDEVP(終値!J194:AC194)/AVERAGE(終値!J194:AC194),""))</f>
        <v>9.8938290613233559E-2</v>
      </c>
      <c r="H194" s="503">
        <f>IF(終値!A194="","",IFERROR(4*STDEVP(終値!K194:AD194)/AVERAGE(終値!K194:AD194),""))</f>
        <v>8.3394709812073309E-2</v>
      </c>
      <c r="I194" s="503">
        <f>IF(終値!A194="","",IFERROR(4*STDEVP(終値!L194:AE194)/AVERAGE(終値!L194:AE194),""))</f>
        <v>6.91475814582799E-2</v>
      </c>
      <c r="J194" s="503">
        <f>IF(終値!A194="","",IFERROR(4*STDEVP(終値!M194:AF194)/AVERAGE(終値!M194:AF194),""))</f>
        <v>6.4490714446569647E-2</v>
      </c>
      <c r="K194" s="503">
        <f>IF(終値!A194="","",IFERROR(4*STDEVP(終値!N194:AG194)/AVERAGE(終値!N194:AG194),""))</f>
        <v>6.8215832485499908E-2</v>
      </c>
      <c r="L194" s="503">
        <f>IF(終値!A194="","",IFERROR(4*STDEVP(終値!O194:AH194)/AVERAGE(終値!O194:AH194),""))</f>
        <v>7.8181594692514123E-2</v>
      </c>
      <c r="M194" s="503">
        <f>IF(終値!A194="","",IFERROR(4*STDEVP(終値!P194:AI194)/AVERAGE(終値!P194:AI194),""))</f>
        <v>9.6517442545876964E-2</v>
      </c>
      <c r="N194" s="503">
        <f>IF(終値!A194="","",IFERROR(4*STDEVP(終値!Q194:AJ194)/AVERAGE(終値!Q194:AJ194),""))</f>
        <v>0.10804317679170758</v>
      </c>
      <c r="O194" s="503">
        <f>IF(終値!A194="","",IFERROR(4*STDEVP(終値!R194:AK194)/AVERAGE(終値!R194:AK194),""))</f>
        <v>0.11379669940038008</v>
      </c>
      <c r="P194" s="503">
        <f>IF(終値!A194="","",IFERROR(4*STDEVP(終値!S194:AL194)/AVERAGE(終値!S194:AL194),""))</f>
        <v>0.11556062293399337</v>
      </c>
      <c r="Q194" s="503">
        <f>IF(終値!A194="","",IFERROR(4*STDEVP(終値!T194:AM194)/AVERAGE(終値!T194:AM194),""))</f>
        <v>0.11599888844210091</v>
      </c>
      <c r="R194" s="503">
        <f>IF(終値!A194="","",IFERROR(4*STDEVP(終値!U194:AN194)/AVERAGE(終値!U194:AN194),""))</f>
        <v>0.11456598665012205</v>
      </c>
      <c r="S194" s="503">
        <f>IF(終値!A194="","",IFERROR(4*STDEVP(終値!V194:AO194)/AVERAGE(終値!V194:AO194),""))</f>
        <v>0.11122210247639756</v>
      </c>
      <c r="T194" s="503">
        <f>IF(終値!A194="","",IFERROR(4*STDEVP(終値!W194:AP194)/AVERAGE(終値!W194:AP194),""))</f>
        <v>0.10851164646656869</v>
      </c>
      <c r="U194" s="503">
        <f>IF(終値!A194="","",IFERROR(4*STDEVP(終値!X194:AQ194)/AVERAGE(終値!X194:AQ194),""))</f>
        <v>9.539507431443997E-2</v>
      </c>
      <c r="V194" s="503">
        <f>IF(終値!A194="","",IFERROR(4*STDEVP(終値!Y194:AR194)/AVERAGE(終値!Y194:AR194),""))</f>
        <v>8.9559286931731263E-2</v>
      </c>
      <c r="W194" s="503">
        <f>IF(終値!A194="","",IFERROR(4*STDEVP(終値!Z194:AS194)/AVERAGE(終値!Z194:AS194),""))</f>
        <v>7.9318456836579912E-2</v>
      </c>
      <c r="X194" s="503">
        <f>IF(終値!A194="","",IFERROR(4*STDEVP(終値!AA194:AT194)/AVERAGE(終値!AA194:AT194),""))</f>
        <v>7.3933225639569E-2</v>
      </c>
      <c r="Y194" s="503">
        <f>IF(終値!A194="","",IFERROR(4*STDEVP(終値!AB194:AU194)/AVERAGE(終値!AB194:AU194),""))</f>
        <v>6.7085892153981294E-2</v>
      </c>
      <c r="Z194" s="503">
        <f>IF(終値!A194="","",IFERROR(4*STDEVP(終値!AC194:AV194)/AVERAGE(終値!AC194:AV194),""))</f>
        <v>6.4260276574236261E-2</v>
      </c>
      <c r="AA194" s="503">
        <f>IF(終値!A194="","",IFERROR(4*STDEVP(終値!AD194:AW194)/AVERAGE(終値!AD194:AW194),""))</f>
        <v>6.8279776816362173E-2</v>
      </c>
      <c r="AB194" s="503">
        <f>IF(終値!A194="","",IFERROR(4*STDEVP(終値!AE194:AX194)/AVERAGE(終値!AE194:AX194),""))</f>
        <v>8.2974996849887017E-2</v>
      </c>
      <c r="AC194" s="503">
        <f>IF(終値!A194="","",IFERROR(4*STDEVP(終値!AF194:AY194)/AVERAGE(終値!AF194:AY194),""))</f>
        <v>9.2180000922973029E-2</v>
      </c>
      <c r="AD194" s="503">
        <f>IF(終値!A194="","",IFERROR(4*STDEVP(終値!AG194:AZ194)/AVERAGE(終値!AG194:AZ194),""))</f>
        <v>0.10684256412145382</v>
      </c>
      <c r="AE194" s="503">
        <f>IF(終値!A194="","",IFERROR(4*STDEVP(終値!AH194:BA194)/AVERAGE(終値!AH194:BA194),""))</f>
        <v>0.13083549414672352</v>
      </c>
      <c r="AF194" s="503">
        <f>IF(終値!A194="","",IFERROR(4*STDEVP(終値!AI194:BB194)/AVERAGE(終値!AI194:BB194),""))</f>
        <v>0.14872354813021632</v>
      </c>
      <c r="AG194" s="503">
        <f>IF(終値!A194="","",IFERROR(4*STDEVP(終値!AJ194:BC194)/AVERAGE(終値!AJ194:BC194),""))</f>
        <v>0.14902202007604659</v>
      </c>
      <c r="AH194" s="503">
        <f>IF(終値!A194="","",IFERROR(4*STDEVP(終値!AK194:BD194)/AVERAGE(終値!AK194:BD194),""))</f>
        <v>0.15144244295230333</v>
      </c>
      <c r="AI194" s="503">
        <f>IF(終値!A194="","",IFERROR(4*STDEVP(終値!AL194:BE194)/AVERAGE(終値!AL194:BE194),""))</f>
        <v>0.15117252002165932</v>
      </c>
      <c r="AJ194" s="503">
        <f>IF(終値!A194="","",IFERROR(4*STDEVP(終値!AM194:BF194)/AVERAGE(終値!AM194:BF194),""))</f>
        <v>0.14731794580530949</v>
      </c>
      <c r="AK194" s="503">
        <f>IF(終値!A194="","",IFERROR(4*STDEVP(終値!AN194:BG194)/AVERAGE(終値!AN194:BG194),""))</f>
        <v>0.1529020239837369</v>
      </c>
      <c r="AL194" s="503">
        <f>IF(終値!A194="","",IFERROR(4*STDEVP(終値!AO194:BH194)/AVERAGE(終値!AO194:BH194),""))</f>
        <v>0.16321651554233108</v>
      </c>
      <c r="AM194" s="503">
        <f>IF(終値!A194="","",IFERROR(4*STDEVP(終値!AP194:BI194)/AVERAGE(終値!AP194:BI194),""))</f>
        <v>0.18282692960411234</v>
      </c>
      <c r="AN194" s="503">
        <f>IF(終値!A194="","",IFERROR(4*STDEVP(終値!AQ194:BJ194)/AVERAGE(終値!AQ194:BJ194),""))</f>
        <v>0.17974514929321891</v>
      </c>
      <c r="AO194" s="503">
        <f>IF(終値!A194="","",IFERROR(4*STDEVP(終値!AR194:BK194)/AVERAGE(終値!AR194:BK194),""))</f>
        <v>0.17526850317047821</v>
      </c>
      <c r="AP194" s="503">
        <f>IF(終値!A194="","",IFERROR(4*STDEVP(終値!AS194:BL194)/AVERAGE(終値!AS194:BL194),""))</f>
        <v>0.16277184454708954</v>
      </c>
    </row>
    <row r="195" spans="1:42">
      <c r="A195" s="500" t="str">
        <f>IF(終値!A195="","",終値!A195)</f>
        <v>6890</v>
      </c>
      <c r="B195" s="503">
        <f>IF(終値!A195="","",IFERROR(4*STDEVP(終値!E195:X195)/AVERAGE(終値!E195:X195),""))</f>
        <v>0.33904546404699393</v>
      </c>
      <c r="C195" s="503">
        <f>IF(終値!A195="","",IFERROR(4*STDEVP(終値!F195:Y195)/AVERAGE(終値!F195:Y195),""))</f>
        <v>0.3325242241160819</v>
      </c>
      <c r="D195" s="503">
        <f>IF(終値!A195="","",IFERROR(4*STDEVP(終値!G195:Z195)/AVERAGE(終値!G195:Z195),""))</f>
        <v>0.32122030980294553</v>
      </c>
      <c r="E195" s="503">
        <f>IF(終値!A195="","",IFERROR(4*STDEVP(終値!H195:AA195)/AVERAGE(終値!H195:AA195),""))</f>
        <v>0.33660250395927638</v>
      </c>
      <c r="F195" s="503">
        <f>IF(終値!A195="","",IFERROR(4*STDEVP(終値!I195:AB195)/AVERAGE(終値!I195:AB195),""))</f>
        <v>0.34470129514747894</v>
      </c>
      <c r="G195" s="503">
        <f>IF(終値!A195="","",IFERROR(4*STDEVP(終値!J195:AC195)/AVERAGE(終値!J195:AC195),""))</f>
        <v>0.37626463957979234</v>
      </c>
      <c r="H195" s="503">
        <f>IF(終値!A195="","",IFERROR(4*STDEVP(終値!K195:AD195)/AVERAGE(終値!K195:AD195),""))</f>
        <v>0.37029666280899665</v>
      </c>
      <c r="I195" s="503">
        <f>IF(終値!A195="","",IFERROR(4*STDEVP(終値!L195:AE195)/AVERAGE(終値!L195:AE195),""))</f>
        <v>0.35069721338042431</v>
      </c>
      <c r="J195" s="503">
        <f>IF(終値!A195="","",IFERROR(4*STDEVP(終値!M195:AF195)/AVERAGE(終値!M195:AF195),""))</f>
        <v>0.34377033808734553</v>
      </c>
      <c r="K195" s="503">
        <f>IF(終値!A195="","",IFERROR(4*STDEVP(終値!N195:AG195)/AVERAGE(終値!N195:AG195),""))</f>
        <v>0.3789821466299062</v>
      </c>
      <c r="L195" s="503">
        <f>IF(終値!A195="","",IFERROR(4*STDEVP(終値!O195:AH195)/AVERAGE(終値!O195:AH195),""))</f>
        <v>0.39273308413748376</v>
      </c>
      <c r="M195" s="503">
        <f>IF(終値!A195="","",IFERROR(4*STDEVP(終値!P195:AI195)/AVERAGE(終値!P195:AI195),""))</f>
        <v>0.43031079582671594</v>
      </c>
      <c r="N195" s="503">
        <f>IF(終値!A195="","",IFERROR(4*STDEVP(終値!Q195:AJ195)/AVERAGE(終値!Q195:AJ195),""))</f>
        <v>0.47503378117896033</v>
      </c>
      <c r="O195" s="503">
        <f>IF(終値!A195="","",IFERROR(4*STDEVP(終値!R195:AK195)/AVERAGE(終値!R195:AK195),""))</f>
        <v>0.44852421680038812</v>
      </c>
      <c r="P195" s="503">
        <f>IF(終値!A195="","",IFERROR(4*STDEVP(終値!S195:AL195)/AVERAGE(終値!S195:AL195),""))</f>
        <v>0.39633198963074312</v>
      </c>
      <c r="Q195" s="503">
        <f>IF(終値!A195="","",IFERROR(4*STDEVP(終値!T195:AM195)/AVERAGE(終値!T195:AM195),""))</f>
        <v>0.37932646179724372</v>
      </c>
      <c r="R195" s="503">
        <f>IF(終値!A195="","",IFERROR(4*STDEVP(終値!U195:AN195)/AVERAGE(終値!U195:AN195),""))</f>
        <v>0.35539936601434008</v>
      </c>
      <c r="S195" s="503">
        <f>IF(終値!A195="","",IFERROR(4*STDEVP(終値!V195:AO195)/AVERAGE(終値!V195:AO195),""))</f>
        <v>0.33996530818724235</v>
      </c>
      <c r="T195" s="503">
        <f>IF(終値!A195="","",IFERROR(4*STDEVP(終値!W195:AP195)/AVERAGE(終値!W195:AP195),""))</f>
        <v>0.33983961441217692</v>
      </c>
      <c r="U195" s="503">
        <f>IF(終値!A195="","",IFERROR(4*STDEVP(終値!X195:AQ195)/AVERAGE(終値!X195:AQ195),""))</f>
        <v>0.35414971938077539</v>
      </c>
      <c r="V195" s="503">
        <f>IF(終値!A195="","",IFERROR(4*STDEVP(終値!Y195:AR195)/AVERAGE(終値!Y195:AR195),""))</f>
        <v>0.36447579113371464</v>
      </c>
      <c r="W195" s="503">
        <f>IF(終値!A195="","",IFERROR(4*STDEVP(終値!Z195:AS195)/AVERAGE(終値!Z195:AS195),""))</f>
        <v>0.37067258450044971</v>
      </c>
      <c r="X195" s="503">
        <f>IF(終値!A195="","",IFERROR(4*STDEVP(終値!AA195:AT195)/AVERAGE(終値!AA195:AT195),""))</f>
        <v>0.3702213226492258</v>
      </c>
      <c r="Y195" s="503">
        <f>IF(終値!A195="","",IFERROR(4*STDEVP(終値!AB195:AU195)/AVERAGE(終値!AB195:AU195),""))</f>
        <v>0.37268019528357965</v>
      </c>
      <c r="Z195" s="503">
        <f>IF(終値!A195="","",IFERROR(4*STDEVP(終値!AC195:AV195)/AVERAGE(終値!AC195:AV195),""))</f>
        <v>0.39761532887216972</v>
      </c>
      <c r="AA195" s="503">
        <f>IF(終値!A195="","",IFERROR(4*STDEVP(終値!AD195:AW195)/AVERAGE(終値!AD195:AW195),""))</f>
        <v>0.42032873327719966</v>
      </c>
      <c r="AB195" s="503">
        <f>IF(終値!A195="","",IFERROR(4*STDEVP(終値!AE195:AX195)/AVERAGE(終値!AE195:AX195),""))</f>
        <v>0.42570284997994562</v>
      </c>
      <c r="AC195" s="503">
        <f>IF(終値!A195="","",IFERROR(4*STDEVP(終値!AF195:AY195)/AVERAGE(終値!AF195:AY195),""))</f>
        <v>0.43260097015437909</v>
      </c>
      <c r="AD195" s="503">
        <f>IF(終値!A195="","",IFERROR(4*STDEVP(終値!AG195:AZ195)/AVERAGE(終値!AG195:AZ195),""))</f>
        <v>0.43939659565379641</v>
      </c>
      <c r="AE195" s="503">
        <f>IF(終値!A195="","",IFERROR(4*STDEVP(終値!AH195:BA195)/AVERAGE(終値!AH195:BA195),""))</f>
        <v>0.42899692477646501</v>
      </c>
      <c r="AF195" s="503">
        <f>IF(終値!A195="","",IFERROR(4*STDEVP(終値!AI195:BB195)/AVERAGE(終値!AI195:BB195),""))</f>
        <v>0.42639106378478708</v>
      </c>
      <c r="AG195" s="503">
        <f>IF(終値!A195="","",IFERROR(4*STDEVP(終値!AJ195:BC195)/AVERAGE(終値!AJ195:BC195),""))</f>
        <v>0.40451902757722857</v>
      </c>
      <c r="AH195" s="503">
        <f>IF(終値!A195="","",IFERROR(4*STDEVP(終値!AK195:BD195)/AVERAGE(終値!AK195:BD195),""))</f>
        <v>0.31289176937867746</v>
      </c>
      <c r="AI195" s="503">
        <f>IF(終値!A195="","",IFERROR(4*STDEVP(終値!AL195:BE195)/AVERAGE(終値!AL195:BE195),""))</f>
        <v>0.2694879190437996</v>
      </c>
      <c r="AJ195" s="503">
        <f>IF(終値!A195="","",IFERROR(4*STDEVP(終値!AM195:BF195)/AVERAGE(終値!AM195:BF195),""))</f>
        <v>0.2257733525517826</v>
      </c>
      <c r="AK195" s="503">
        <f>IF(終値!A195="","",IFERROR(4*STDEVP(終値!AN195:BG195)/AVERAGE(終値!AN195:BG195),""))</f>
        <v>0.22642571639746101</v>
      </c>
      <c r="AL195" s="503">
        <f>IF(終値!A195="","",IFERROR(4*STDEVP(終値!AO195:BH195)/AVERAGE(終値!AO195:BH195),""))</f>
        <v>0.2439449440884541</v>
      </c>
      <c r="AM195" s="503">
        <f>IF(終値!A195="","",IFERROR(4*STDEVP(終値!AP195:BI195)/AVERAGE(終値!AP195:BI195),""))</f>
        <v>0.24716616020583682</v>
      </c>
      <c r="AN195" s="503">
        <f>IF(終値!A195="","",IFERROR(4*STDEVP(終値!AQ195:BJ195)/AVERAGE(終値!AQ195:BJ195),""))</f>
        <v>0.25911807420113375</v>
      </c>
      <c r="AO195" s="503">
        <f>IF(終値!A195="","",IFERROR(4*STDEVP(終値!AR195:BK195)/AVERAGE(終値!AR195:BK195),""))</f>
        <v>0.25362683008183079</v>
      </c>
      <c r="AP195" s="503">
        <f>IF(終値!A195="","",IFERROR(4*STDEVP(終値!AS195:BL195)/AVERAGE(終値!AS195:BL195),""))</f>
        <v>0.23909094488306973</v>
      </c>
    </row>
    <row r="196" spans="1:42">
      <c r="A196" s="500" t="str">
        <f>IF(終値!A196="","",終値!A196)</f>
        <v>4966</v>
      </c>
      <c r="B196" s="503">
        <f>IF(終値!A196="","",IFERROR(4*STDEVP(終値!E196:X196)/AVERAGE(終値!E196:X196),""))</f>
        <v>0.23060020214779342</v>
      </c>
      <c r="C196" s="503">
        <f>IF(終値!A196="","",IFERROR(4*STDEVP(終値!F196:Y196)/AVERAGE(終値!F196:Y196),""))</f>
        <v>0.22980217785003146</v>
      </c>
      <c r="D196" s="503">
        <f>IF(終値!A196="","",IFERROR(4*STDEVP(終値!G196:Z196)/AVERAGE(終値!G196:Z196),""))</f>
        <v>0.23287454115102593</v>
      </c>
      <c r="E196" s="503">
        <f>IF(終値!A196="","",IFERROR(4*STDEVP(終値!H196:AA196)/AVERAGE(終値!H196:AA196),""))</f>
        <v>0.25991070011164946</v>
      </c>
      <c r="F196" s="503">
        <f>IF(終値!A196="","",IFERROR(4*STDEVP(終値!I196:AB196)/AVERAGE(終値!I196:AB196),""))</f>
        <v>0.26915946463966606</v>
      </c>
      <c r="G196" s="503">
        <f>IF(終値!A196="","",IFERROR(4*STDEVP(終値!J196:AC196)/AVERAGE(終値!J196:AC196),""))</f>
        <v>0.29634211441954555</v>
      </c>
      <c r="H196" s="503">
        <f>IF(終値!A196="","",IFERROR(4*STDEVP(終値!K196:AD196)/AVERAGE(終値!K196:AD196),""))</f>
        <v>0.28577085736147062</v>
      </c>
      <c r="I196" s="503">
        <f>IF(終値!A196="","",IFERROR(4*STDEVP(終値!L196:AE196)/AVERAGE(終値!L196:AE196),""))</f>
        <v>0.25102901658506555</v>
      </c>
      <c r="J196" s="503">
        <f>IF(終値!A196="","",IFERROR(4*STDEVP(終値!M196:AF196)/AVERAGE(終値!M196:AF196),""))</f>
        <v>0.23434093150486809</v>
      </c>
      <c r="K196" s="503">
        <f>IF(終値!A196="","",IFERROR(4*STDEVP(終値!N196:AG196)/AVERAGE(終値!N196:AG196),""))</f>
        <v>0.24016433633028691</v>
      </c>
      <c r="L196" s="503">
        <f>IF(終値!A196="","",IFERROR(4*STDEVP(終値!O196:AH196)/AVERAGE(終値!O196:AH196),""))</f>
        <v>0.24007777751478332</v>
      </c>
      <c r="M196" s="503">
        <f>IF(終値!A196="","",IFERROR(4*STDEVP(終値!P196:AI196)/AVERAGE(終値!P196:AI196),""))</f>
        <v>0.2409539719511887</v>
      </c>
      <c r="N196" s="503">
        <f>IF(終値!A196="","",IFERROR(4*STDEVP(終値!Q196:AJ196)/AVERAGE(終値!Q196:AJ196),""))</f>
        <v>0.24764780424881266</v>
      </c>
      <c r="O196" s="503">
        <f>IF(終値!A196="","",IFERROR(4*STDEVP(終値!R196:AK196)/AVERAGE(終値!R196:AK196),""))</f>
        <v>0.24286385640408983</v>
      </c>
      <c r="P196" s="503">
        <f>IF(終値!A196="","",IFERROR(4*STDEVP(終値!S196:AL196)/AVERAGE(終値!S196:AL196),""))</f>
        <v>0.22256958940221827</v>
      </c>
      <c r="Q196" s="503">
        <f>IF(終値!A196="","",IFERROR(4*STDEVP(終値!T196:AM196)/AVERAGE(終値!T196:AM196),""))</f>
        <v>0.22062302853995186</v>
      </c>
      <c r="R196" s="503">
        <f>IF(終値!A196="","",IFERROR(4*STDEVP(終値!U196:AN196)/AVERAGE(終値!U196:AN196),""))</f>
        <v>0.20758146702576527</v>
      </c>
      <c r="S196" s="503">
        <f>IF(終値!A196="","",IFERROR(4*STDEVP(終値!V196:AO196)/AVERAGE(終値!V196:AO196),""))</f>
        <v>0.18376993529506211</v>
      </c>
      <c r="T196" s="503">
        <f>IF(終値!A196="","",IFERROR(4*STDEVP(終値!W196:AP196)/AVERAGE(終値!W196:AP196),""))</f>
        <v>0.19066047432842489</v>
      </c>
      <c r="U196" s="503">
        <f>IF(終値!A196="","",IFERROR(4*STDEVP(終値!X196:AQ196)/AVERAGE(終値!X196:AQ196),""))</f>
        <v>0.20756751405714924</v>
      </c>
      <c r="V196" s="503">
        <f>IF(終値!A196="","",IFERROR(4*STDEVP(終値!Y196:AR196)/AVERAGE(終値!Y196:AR196),""))</f>
        <v>0.22929105962670593</v>
      </c>
      <c r="W196" s="503">
        <f>IF(終値!A196="","",IFERROR(4*STDEVP(終値!Z196:AS196)/AVERAGE(終値!Z196:AS196),""))</f>
        <v>0.26548886515359421</v>
      </c>
      <c r="X196" s="503">
        <f>IF(終値!A196="","",IFERROR(4*STDEVP(終値!AA196:AT196)/AVERAGE(終値!AA196:AT196),""))</f>
        <v>0.28950829594599686</v>
      </c>
      <c r="Y196" s="503">
        <f>IF(終値!A196="","",IFERROR(4*STDEVP(終値!AB196:AU196)/AVERAGE(終値!AB196:AU196),""))</f>
        <v>0.30616061817800838</v>
      </c>
      <c r="Z196" s="503">
        <f>IF(終値!A196="","",IFERROR(4*STDEVP(終値!AC196:AV196)/AVERAGE(終値!AC196:AV196),""))</f>
        <v>0.31608474890568566</v>
      </c>
      <c r="AA196" s="503">
        <f>IF(終値!A196="","",IFERROR(4*STDEVP(終値!AD196:AW196)/AVERAGE(終値!AD196:AW196),""))</f>
        <v>0.32113241324647107</v>
      </c>
      <c r="AB196" s="503">
        <f>IF(終値!A196="","",IFERROR(4*STDEVP(終値!AE196:AX196)/AVERAGE(終値!AE196:AX196),""))</f>
        <v>0.32252077809866231</v>
      </c>
      <c r="AC196" s="503">
        <f>IF(終値!A196="","",IFERROR(4*STDEVP(終値!AF196:AY196)/AVERAGE(終値!AF196:AY196),""))</f>
        <v>0.32423582074807183</v>
      </c>
      <c r="AD196" s="503">
        <f>IF(終値!A196="","",IFERROR(4*STDEVP(終値!AG196:AZ196)/AVERAGE(終値!AG196:AZ196),""))</f>
        <v>0.32123496671015245</v>
      </c>
      <c r="AE196" s="503">
        <f>IF(終値!A196="","",IFERROR(4*STDEVP(終値!AH196:BA196)/AVERAGE(終値!AH196:BA196),""))</f>
        <v>0.30916705253000154</v>
      </c>
      <c r="AF196" s="503">
        <f>IF(終値!A196="","",IFERROR(4*STDEVP(終値!AI196:BB196)/AVERAGE(終値!AI196:BB196),""))</f>
        <v>0.29684906653190168</v>
      </c>
      <c r="AG196" s="503">
        <f>IF(終値!A196="","",IFERROR(4*STDEVP(終値!AJ196:BC196)/AVERAGE(終値!AJ196:BC196),""))</f>
        <v>0.28705676939770663</v>
      </c>
      <c r="AH196" s="503">
        <f>IF(終値!A196="","",IFERROR(4*STDEVP(終値!AK196:BD196)/AVERAGE(終値!AK196:BD196),""))</f>
        <v>0.25927911262605363</v>
      </c>
      <c r="AI196" s="503">
        <f>IF(終値!A196="","",IFERROR(4*STDEVP(終値!AL196:BE196)/AVERAGE(終値!AL196:BE196),""))</f>
        <v>0.23908565497372192</v>
      </c>
      <c r="AJ196" s="503">
        <f>IF(終値!A196="","",IFERROR(4*STDEVP(終値!AM196:BF196)/AVERAGE(終値!AM196:BF196),""))</f>
        <v>0.20696265203921999</v>
      </c>
      <c r="AK196" s="503">
        <f>IF(終値!A196="","",IFERROR(4*STDEVP(終値!AN196:BG196)/AVERAGE(終値!AN196:BG196),""))</f>
        <v>0.18210114688667289</v>
      </c>
      <c r="AL196" s="503">
        <f>IF(終値!A196="","",IFERROR(4*STDEVP(終値!AO196:BH196)/AVERAGE(終値!AO196:BH196),""))</f>
        <v>0.16764480566469411</v>
      </c>
      <c r="AM196" s="503">
        <f>IF(終値!A196="","",IFERROR(4*STDEVP(終値!AP196:BI196)/AVERAGE(終値!AP196:BI196),""))</f>
        <v>0.14510090076297499</v>
      </c>
      <c r="AN196" s="503">
        <f>IF(終値!A196="","",IFERROR(4*STDEVP(終値!AQ196:BJ196)/AVERAGE(終値!AQ196:BJ196),""))</f>
        <v>0.14867731279472965</v>
      </c>
      <c r="AO196" s="503">
        <f>IF(終値!A196="","",IFERROR(4*STDEVP(終値!AR196:BK196)/AVERAGE(終値!AR196:BK196),""))</f>
        <v>0.14806315778344142</v>
      </c>
      <c r="AP196" s="503">
        <f>IF(終値!A196="","",IFERROR(4*STDEVP(終値!AS196:BL196)/AVERAGE(終値!AS196:BL196),""))</f>
        <v>0.14142471596390171</v>
      </c>
    </row>
    <row r="197" spans="1:42">
      <c r="A197" s="500" t="str">
        <f>IF(終値!A197="","",終値!A197)</f>
        <v>6146</v>
      </c>
      <c r="B197" s="503">
        <f>IF(終値!A197="","",IFERROR(4*STDEVP(終値!E197:X197)/AVERAGE(終値!E197:X197),""))</f>
        <v>0.40893170675255008</v>
      </c>
      <c r="C197" s="503">
        <f>IF(終値!A197="","",IFERROR(4*STDEVP(終値!F197:Y197)/AVERAGE(終値!F197:Y197),""))</f>
        <v>0.41641978967552612</v>
      </c>
      <c r="D197" s="503">
        <f>IF(終値!A197="","",IFERROR(4*STDEVP(終値!G197:Z197)/AVERAGE(終値!G197:Z197),""))</f>
        <v>0.44753514052453741</v>
      </c>
      <c r="E197" s="503">
        <f>IF(終値!A197="","",IFERROR(4*STDEVP(終値!H197:AA197)/AVERAGE(終値!H197:AA197),""))</f>
        <v>0.46047043674494093</v>
      </c>
      <c r="F197" s="503">
        <f>IF(終値!A197="","",IFERROR(4*STDEVP(終値!I197:AB197)/AVERAGE(終値!I197:AB197),""))</f>
        <v>0.4676248033887585</v>
      </c>
      <c r="G197" s="503">
        <f>IF(終値!A197="","",IFERROR(4*STDEVP(終値!J197:AC197)/AVERAGE(終値!J197:AC197),""))</f>
        <v>0.49404473181717956</v>
      </c>
      <c r="H197" s="503">
        <f>IF(終値!A197="","",IFERROR(4*STDEVP(終値!K197:AD197)/AVERAGE(終値!K197:AD197),""))</f>
        <v>0.45759347543065915</v>
      </c>
      <c r="I197" s="503">
        <f>IF(終値!A197="","",IFERROR(4*STDEVP(終値!L197:AE197)/AVERAGE(終値!L197:AE197),""))</f>
        <v>0.39455991644279426</v>
      </c>
      <c r="J197" s="503">
        <f>IF(終値!A197="","",IFERROR(4*STDEVP(終値!M197:AF197)/AVERAGE(終値!M197:AF197),""))</f>
        <v>0.33709560263174415</v>
      </c>
      <c r="K197" s="503">
        <f>IF(終値!A197="","",IFERROR(4*STDEVP(終値!N197:AG197)/AVERAGE(終値!N197:AG197),""))</f>
        <v>0.34489640520087467</v>
      </c>
      <c r="L197" s="503">
        <f>IF(終値!A197="","",IFERROR(4*STDEVP(終値!O197:AH197)/AVERAGE(終値!O197:AH197),""))</f>
        <v>0.30913858239024899</v>
      </c>
      <c r="M197" s="503">
        <f>IF(終値!A197="","",IFERROR(4*STDEVP(終値!P197:AI197)/AVERAGE(終値!P197:AI197),""))</f>
        <v>0.31409643313380753</v>
      </c>
      <c r="N197" s="503">
        <f>IF(終値!A197="","",IFERROR(4*STDEVP(終値!Q197:AJ197)/AVERAGE(終値!Q197:AJ197),""))</f>
        <v>0.33399250638785422</v>
      </c>
      <c r="O197" s="503">
        <f>IF(終値!A197="","",IFERROR(4*STDEVP(終値!R197:AK197)/AVERAGE(終値!R197:AK197),""))</f>
        <v>0.32418834207439373</v>
      </c>
      <c r="P197" s="503">
        <f>IF(終値!A197="","",IFERROR(4*STDEVP(終値!S197:AL197)/AVERAGE(終値!S197:AL197),""))</f>
        <v>0.29648936176427371</v>
      </c>
      <c r="Q197" s="503">
        <f>IF(終値!A197="","",IFERROR(4*STDEVP(終値!T197:AM197)/AVERAGE(終値!T197:AM197),""))</f>
        <v>0.29566935647314818</v>
      </c>
      <c r="R197" s="503">
        <f>IF(終値!A197="","",IFERROR(4*STDEVP(終値!U197:AN197)/AVERAGE(終値!U197:AN197),""))</f>
        <v>0.28383219904814772</v>
      </c>
      <c r="S197" s="503">
        <f>IF(終値!A197="","",IFERROR(4*STDEVP(終値!V197:AO197)/AVERAGE(終値!V197:AO197),""))</f>
        <v>0.27196479092653697</v>
      </c>
      <c r="T197" s="503">
        <f>IF(終値!A197="","",IFERROR(4*STDEVP(終値!W197:AP197)/AVERAGE(終値!W197:AP197),""))</f>
        <v>0.25759041636512192</v>
      </c>
      <c r="U197" s="503">
        <f>IF(終値!A197="","",IFERROR(4*STDEVP(終値!X197:AQ197)/AVERAGE(終値!X197:AQ197),""))</f>
        <v>0.26446901008700363</v>
      </c>
      <c r="V197" s="503">
        <f>IF(終値!A197="","",IFERROR(4*STDEVP(終値!Y197:AR197)/AVERAGE(終値!Y197:AR197),""))</f>
        <v>0.25448453255518805</v>
      </c>
      <c r="W197" s="503">
        <f>IF(終値!A197="","",IFERROR(4*STDEVP(終値!Z197:AS197)/AVERAGE(終値!Z197:AS197),""))</f>
        <v>0.27684628684474527</v>
      </c>
      <c r="X197" s="503">
        <f>IF(終値!A197="","",IFERROR(4*STDEVP(終値!AA197:AT197)/AVERAGE(終値!AA197:AT197),""))</f>
        <v>0.28882355148523092</v>
      </c>
      <c r="Y197" s="503">
        <f>IF(終値!A197="","",IFERROR(4*STDEVP(終値!AB197:AU197)/AVERAGE(終値!AB197:AU197),""))</f>
        <v>0.2994582986290989</v>
      </c>
      <c r="Z197" s="503">
        <f>IF(終値!A197="","",IFERROR(4*STDEVP(終値!AC197:AV197)/AVERAGE(終値!AC197:AV197),""))</f>
        <v>0.3228157344409775</v>
      </c>
      <c r="AA197" s="503">
        <f>IF(終値!A197="","",IFERROR(4*STDEVP(終値!AD197:AW197)/AVERAGE(終値!AD197:AW197),""))</f>
        <v>0.35995472880408164</v>
      </c>
      <c r="AB197" s="503">
        <f>IF(終値!A197="","",IFERROR(4*STDEVP(終値!AE197:AX197)/AVERAGE(終値!AE197:AX197),""))</f>
        <v>0.38969124036090075</v>
      </c>
      <c r="AC197" s="503">
        <f>IF(終値!A197="","",IFERROR(4*STDEVP(終値!AF197:AY197)/AVERAGE(終値!AF197:AY197),""))</f>
        <v>0.41097946820420295</v>
      </c>
      <c r="AD197" s="503">
        <f>IF(終値!A197="","",IFERROR(4*STDEVP(終値!AG197:AZ197)/AVERAGE(終値!AG197:AZ197),""))</f>
        <v>0.42568896957144448</v>
      </c>
      <c r="AE197" s="503">
        <f>IF(終値!A197="","",IFERROR(4*STDEVP(終値!AH197:BA197)/AVERAGE(終値!AH197:BA197),""))</f>
        <v>0.41844207574499082</v>
      </c>
      <c r="AF197" s="503">
        <f>IF(終値!A197="","",IFERROR(4*STDEVP(終値!AI197:BB197)/AVERAGE(終値!AI197:BB197),""))</f>
        <v>0.43227738500440999</v>
      </c>
      <c r="AG197" s="503">
        <f>IF(終値!A197="","",IFERROR(4*STDEVP(終値!AJ197:BC197)/AVERAGE(終値!AJ197:BC197),""))</f>
        <v>0.4366909434405723</v>
      </c>
      <c r="AH197" s="503">
        <f>IF(終値!A197="","",IFERROR(4*STDEVP(終値!AK197:BD197)/AVERAGE(終値!AK197:BD197),""))</f>
        <v>0.42711045205721598</v>
      </c>
      <c r="AI197" s="503">
        <f>IF(終値!A197="","",IFERROR(4*STDEVP(終値!AL197:BE197)/AVERAGE(終値!AL197:BE197),""))</f>
        <v>0.42146765298110972</v>
      </c>
      <c r="AJ197" s="503">
        <f>IF(終値!A197="","",IFERROR(4*STDEVP(終値!AM197:BF197)/AVERAGE(終値!AM197:BF197),""))</f>
        <v>0.3975648359194639</v>
      </c>
      <c r="AK197" s="503">
        <f>IF(終値!A197="","",IFERROR(4*STDEVP(終値!AN197:BG197)/AVERAGE(終値!AN197:BG197),""))</f>
        <v>0.36493970846444468</v>
      </c>
      <c r="AL197" s="503">
        <f>IF(終値!A197="","",IFERROR(4*STDEVP(終値!AO197:BH197)/AVERAGE(終値!AO197:BH197),""))</f>
        <v>0.32927039666898361</v>
      </c>
      <c r="AM197" s="503">
        <f>IF(終値!A197="","",IFERROR(4*STDEVP(終値!AP197:BI197)/AVERAGE(終値!AP197:BI197),""))</f>
        <v>0.2534341305385252</v>
      </c>
      <c r="AN197" s="503">
        <f>IF(終値!A197="","",IFERROR(4*STDEVP(終値!AQ197:BJ197)/AVERAGE(終値!AQ197:BJ197),""))</f>
        <v>0.20902020204825414</v>
      </c>
      <c r="AO197" s="503">
        <f>IF(終値!A197="","",IFERROR(4*STDEVP(終値!AR197:BK197)/AVERAGE(終値!AR197:BK197),""))</f>
        <v>0.21937957503482136</v>
      </c>
      <c r="AP197" s="503">
        <f>IF(終値!A197="","",IFERROR(4*STDEVP(終値!AS197:BL197)/AVERAGE(終値!AS197:BL197),""))</f>
        <v>0.23589345337621506</v>
      </c>
    </row>
    <row r="198" spans="1:42">
      <c r="A198" s="500" t="str">
        <f>IF(終値!A198="","",終値!A198)</f>
        <v>8035</v>
      </c>
      <c r="B198" s="503">
        <f>IF(終値!A198="","",IFERROR(4*STDEVP(終値!E198:X198)/AVERAGE(終値!E198:X198),""))</f>
        <v>0.46178356882144278</v>
      </c>
      <c r="C198" s="503">
        <f>IF(終値!A198="","",IFERROR(4*STDEVP(終値!F198:Y198)/AVERAGE(終値!F198:Y198),""))</f>
        <v>0.45190428191182574</v>
      </c>
      <c r="D198" s="503">
        <f>IF(終値!A198="","",IFERROR(4*STDEVP(終値!G198:Z198)/AVERAGE(終値!G198:Z198),""))</f>
        <v>0.45634108996020295</v>
      </c>
      <c r="E198" s="503">
        <f>IF(終値!A198="","",IFERROR(4*STDEVP(終値!H198:AA198)/AVERAGE(終値!H198:AA198),""))</f>
        <v>0.4528150399417975</v>
      </c>
      <c r="F198" s="503">
        <f>IF(終値!A198="","",IFERROR(4*STDEVP(終値!I198:AB198)/AVERAGE(終値!I198:AB198),""))</f>
        <v>0.43527381656862552</v>
      </c>
      <c r="G198" s="503">
        <f>IF(終値!A198="","",IFERROR(4*STDEVP(終値!J198:AC198)/AVERAGE(終値!J198:AC198),""))</f>
        <v>0.43381953216528601</v>
      </c>
      <c r="H198" s="503">
        <f>IF(終値!A198="","",IFERROR(4*STDEVP(終値!K198:AD198)/AVERAGE(終値!K198:AD198),""))</f>
        <v>0.394445961836006</v>
      </c>
      <c r="I198" s="503">
        <f>IF(終値!A198="","",IFERROR(4*STDEVP(終値!L198:AE198)/AVERAGE(終値!L198:AE198),""))</f>
        <v>0.31007888772740755</v>
      </c>
      <c r="J198" s="503">
        <f>IF(終値!A198="","",IFERROR(4*STDEVP(終値!M198:AF198)/AVERAGE(終値!M198:AF198),""))</f>
        <v>0.2514483096621038</v>
      </c>
      <c r="K198" s="503">
        <f>IF(終値!A198="","",IFERROR(4*STDEVP(終値!N198:AG198)/AVERAGE(終値!N198:AG198),""))</f>
        <v>0.23552662913855085</v>
      </c>
      <c r="L198" s="503">
        <f>IF(終値!A198="","",IFERROR(4*STDEVP(終値!O198:AH198)/AVERAGE(終値!O198:AH198),""))</f>
        <v>0.20893967719377327</v>
      </c>
      <c r="M198" s="503">
        <f>IF(終値!A198="","",IFERROR(4*STDEVP(終値!P198:AI198)/AVERAGE(終値!P198:AI198),""))</f>
        <v>0.19640848805992334</v>
      </c>
      <c r="N198" s="503">
        <f>IF(終値!A198="","",IFERROR(4*STDEVP(終値!Q198:AJ198)/AVERAGE(終値!Q198:AJ198),""))</f>
        <v>0.1930899813140502</v>
      </c>
      <c r="O198" s="503">
        <f>IF(終値!A198="","",IFERROR(4*STDEVP(終値!R198:AK198)/AVERAGE(終値!R198:AK198),""))</f>
        <v>0.18041930804497863</v>
      </c>
      <c r="P198" s="503">
        <f>IF(終値!A198="","",IFERROR(4*STDEVP(終値!S198:AL198)/AVERAGE(終値!S198:AL198),""))</f>
        <v>0.15477684762427968</v>
      </c>
      <c r="Q198" s="503">
        <f>IF(終値!A198="","",IFERROR(4*STDEVP(終値!T198:AM198)/AVERAGE(終値!T198:AM198),""))</f>
        <v>0.1547425817599431</v>
      </c>
      <c r="R198" s="503">
        <f>IF(終値!A198="","",IFERROR(4*STDEVP(終値!U198:AN198)/AVERAGE(終値!U198:AN198),""))</f>
        <v>0.15535937156708945</v>
      </c>
      <c r="S198" s="503">
        <f>IF(終値!A198="","",IFERROR(4*STDEVP(終値!V198:AO198)/AVERAGE(終値!V198:AO198),""))</f>
        <v>0.15342965894944233</v>
      </c>
      <c r="T198" s="503">
        <f>IF(終値!A198="","",IFERROR(4*STDEVP(終値!W198:AP198)/AVERAGE(終値!W198:AP198),""))</f>
        <v>0.16657193748057963</v>
      </c>
      <c r="U198" s="503">
        <f>IF(終値!A198="","",IFERROR(4*STDEVP(終値!X198:AQ198)/AVERAGE(終値!X198:AQ198),""))</f>
        <v>0.20288625295658183</v>
      </c>
      <c r="V198" s="503">
        <f>IF(終値!A198="","",IFERROR(4*STDEVP(終値!Y198:AR198)/AVERAGE(終値!Y198:AR198),""))</f>
        <v>0.23430163134519921</v>
      </c>
      <c r="W198" s="503">
        <f>IF(終値!A198="","",IFERROR(4*STDEVP(終値!Z198:AS198)/AVERAGE(終値!Z198:AS198),""))</f>
        <v>0.31646852738790798</v>
      </c>
      <c r="X198" s="503">
        <f>IF(終値!A198="","",IFERROR(4*STDEVP(終値!AA198:AT198)/AVERAGE(終値!AA198:AT198),""))</f>
        <v>0.35266817443000742</v>
      </c>
      <c r="Y198" s="503">
        <f>IF(終値!A198="","",IFERROR(4*STDEVP(終値!AB198:AU198)/AVERAGE(終値!AB198:AU198),""))</f>
        <v>0.36520683631868633</v>
      </c>
      <c r="Z198" s="503">
        <f>IF(終値!A198="","",IFERROR(4*STDEVP(終値!AC198:AV198)/AVERAGE(終値!AC198:AV198),""))</f>
        <v>0.38586186801992839</v>
      </c>
      <c r="AA198" s="503">
        <f>IF(終値!A198="","",IFERROR(4*STDEVP(終値!AD198:AW198)/AVERAGE(終値!AD198:AW198),""))</f>
        <v>0.42506070081816205</v>
      </c>
      <c r="AB198" s="503">
        <f>IF(終値!A198="","",IFERROR(4*STDEVP(終値!AE198:AX198)/AVERAGE(終値!AE198:AX198),""))</f>
        <v>0.4649641432160907</v>
      </c>
      <c r="AC198" s="503">
        <f>IF(終値!A198="","",IFERROR(4*STDEVP(終値!AF198:AY198)/AVERAGE(終値!AF198:AY198),""))</f>
        <v>0.50131331827224379</v>
      </c>
      <c r="AD198" s="503">
        <f>IF(終値!A198="","",IFERROR(4*STDEVP(終値!AG198:AZ198)/AVERAGE(終値!AG198:AZ198),""))</f>
        <v>0.53226056262450605</v>
      </c>
      <c r="AE198" s="503">
        <f>IF(終値!A198="","",IFERROR(4*STDEVP(終値!AH198:BA198)/AVERAGE(終値!AH198:BA198),""))</f>
        <v>0.550152789749491</v>
      </c>
      <c r="AF198" s="503">
        <f>IF(終値!A198="","",IFERROR(4*STDEVP(終値!AI198:BB198)/AVERAGE(終値!AI198:BB198),""))</f>
        <v>0.58573993582628658</v>
      </c>
      <c r="AG198" s="503">
        <f>IF(終値!A198="","",IFERROR(4*STDEVP(終値!AJ198:BC198)/AVERAGE(終値!AJ198:BC198),""))</f>
        <v>0.61131420393225544</v>
      </c>
      <c r="AH198" s="503">
        <f>IF(終値!A198="","",IFERROR(4*STDEVP(終値!AK198:BD198)/AVERAGE(終値!AK198:BD198),""))</f>
        <v>0.61880447559700924</v>
      </c>
      <c r="AI198" s="503">
        <f>IF(終値!A198="","",IFERROR(4*STDEVP(終値!AL198:BE198)/AVERAGE(終値!AL198:BE198),""))</f>
        <v>0.61727703100605646</v>
      </c>
      <c r="AJ198" s="503">
        <f>IF(終値!A198="","",IFERROR(4*STDEVP(終値!AM198:BF198)/AVERAGE(終値!AM198:BF198),""))</f>
        <v>0.58537078028115008</v>
      </c>
      <c r="AK198" s="503">
        <f>IF(終値!A198="","",IFERROR(4*STDEVP(終値!AN198:BG198)/AVERAGE(終値!AN198:BG198),""))</f>
        <v>0.55432299748269376</v>
      </c>
      <c r="AL198" s="503">
        <f>IF(終値!A198="","",IFERROR(4*STDEVP(終値!AO198:BH198)/AVERAGE(終値!AO198:BH198),""))</f>
        <v>0.51698085819833239</v>
      </c>
      <c r="AM198" s="503">
        <f>IF(終値!A198="","",IFERROR(4*STDEVP(終値!AP198:BI198)/AVERAGE(終値!AP198:BI198),""))</f>
        <v>0.44327107200820398</v>
      </c>
      <c r="AN198" s="503">
        <f>IF(終値!A198="","",IFERROR(4*STDEVP(終値!AQ198:BJ198)/AVERAGE(終値!AQ198:BJ198),""))</f>
        <v>0.38663399915774382</v>
      </c>
      <c r="AO198" s="503">
        <f>IF(終値!A198="","",IFERROR(4*STDEVP(終値!AR198:BK198)/AVERAGE(終値!AR198:BK198),""))</f>
        <v>0.35324199826343838</v>
      </c>
      <c r="AP198" s="503">
        <f>IF(終値!A198="","",IFERROR(4*STDEVP(終値!AS198:BL198)/AVERAGE(終値!AS198:BL198),""))</f>
        <v>0.32236633634860656</v>
      </c>
    </row>
    <row r="199" spans="1:42">
      <c r="A199" s="500" t="str">
        <f>IF(終値!A199="","",終値!A199)</f>
        <v>6920</v>
      </c>
      <c r="B199" s="503">
        <f>IF(終値!A199="","",IFERROR(4*STDEVP(終値!E199:X199)/AVERAGE(終値!E199:X199),""))</f>
        <v>0.36088725297731555</v>
      </c>
      <c r="C199" s="503">
        <f>IF(終値!A199="","",IFERROR(4*STDEVP(終値!F199:Y199)/AVERAGE(終値!F199:Y199),""))</f>
        <v>0.36176877730569201</v>
      </c>
      <c r="D199" s="503">
        <f>IF(終値!A199="","",IFERROR(4*STDEVP(終値!G199:Z199)/AVERAGE(終値!G199:Z199),""))</f>
        <v>0.36359571710130312</v>
      </c>
      <c r="E199" s="503">
        <f>IF(終値!A199="","",IFERROR(4*STDEVP(終値!H199:AA199)/AVERAGE(終値!H199:AA199),""))</f>
        <v>0.37650121292858135</v>
      </c>
      <c r="F199" s="503">
        <f>IF(終値!A199="","",IFERROR(4*STDEVP(終値!I199:AB199)/AVERAGE(終値!I199:AB199),""))</f>
        <v>0.38591857565966853</v>
      </c>
      <c r="G199" s="503">
        <f>IF(終値!A199="","",IFERROR(4*STDEVP(終値!J199:AC199)/AVERAGE(終値!J199:AC199),""))</f>
        <v>0.39589817575545622</v>
      </c>
      <c r="H199" s="503">
        <f>IF(終値!A199="","",IFERROR(4*STDEVP(終値!K199:AD199)/AVERAGE(終値!K199:AD199),""))</f>
        <v>0.34801221704610719</v>
      </c>
      <c r="I199" s="503">
        <f>IF(終値!A199="","",IFERROR(4*STDEVP(終値!L199:AE199)/AVERAGE(終値!L199:AE199),""))</f>
        <v>0.28722963901633924</v>
      </c>
      <c r="J199" s="503">
        <f>IF(終値!A199="","",IFERROR(4*STDEVP(終値!M199:AF199)/AVERAGE(終値!M199:AF199),""))</f>
        <v>0.25294087494024242</v>
      </c>
      <c r="K199" s="503">
        <f>IF(終値!A199="","",IFERROR(4*STDEVP(終値!N199:AG199)/AVERAGE(終値!N199:AG199),""))</f>
        <v>0.28279514826035701</v>
      </c>
      <c r="L199" s="503">
        <f>IF(終値!A199="","",IFERROR(4*STDEVP(終値!O199:AH199)/AVERAGE(終値!O199:AH199),""))</f>
        <v>0.28534561448008039</v>
      </c>
      <c r="M199" s="503">
        <f>IF(終値!A199="","",IFERROR(4*STDEVP(終値!P199:AI199)/AVERAGE(終値!P199:AI199),""))</f>
        <v>0.29880860554451449</v>
      </c>
      <c r="N199" s="503">
        <f>IF(終値!A199="","",IFERROR(4*STDEVP(終値!Q199:AJ199)/AVERAGE(終値!Q199:AJ199),""))</f>
        <v>0.34172470145262485</v>
      </c>
      <c r="O199" s="503">
        <f>IF(終値!A199="","",IFERROR(4*STDEVP(終値!R199:AK199)/AVERAGE(終値!R199:AK199),""))</f>
        <v>0.34884081739260792</v>
      </c>
      <c r="P199" s="503">
        <f>IF(終値!A199="","",IFERROR(4*STDEVP(終値!S199:AL199)/AVERAGE(終値!S199:AL199),""))</f>
        <v>0.35114346599887492</v>
      </c>
      <c r="Q199" s="503">
        <f>IF(終値!A199="","",IFERROR(4*STDEVP(終値!T199:AM199)/AVERAGE(終値!T199:AM199),""))</f>
        <v>0.3560589083189582</v>
      </c>
      <c r="R199" s="503">
        <f>IF(終値!A199="","",IFERROR(4*STDEVP(終値!U199:AN199)/AVERAGE(終値!U199:AN199),""))</f>
        <v>0.35092345291756843</v>
      </c>
      <c r="S199" s="503">
        <f>IF(終値!A199="","",IFERROR(4*STDEVP(終値!V199:AO199)/AVERAGE(終値!V199:AO199),""))</f>
        <v>0.34036064990523951</v>
      </c>
      <c r="T199" s="503">
        <f>IF(終値!A199="","",IFERROR(4*STDEVP(終値!W199:AP199)/AVERAGE(終値!W199:AP199),""))</f>
        <v>0.34238999854510038</v>
      </c>
      <c r="U199" s="503">
        <f>IF(終値!A199="","",IFERROR(4*STDEVP(終値!X199:AQ199)/AVERAGE(終値!X199:AQ199),""))</f>
        <v>0.36363656465826377</v>
      </c>
      <c r="V199" s="503">
        <f>IF(終値!A199="","",IFERROR(4*STDEVP(終値!Y199:AR199)/AVERAGE(終値!Y199:AR199),""))</f>
        <v>0.37367692844329825</v>
      </c>
      <c r="W199" s="503">
        <f>IF(終値!A199="","",IFERROR(4*STDEVP(終値!Z199:AS199)/AVERAGE(終値!Z199:AS199),""))</f>
        <v>0.40715613368324882</v>
      </c>
      <c r="X199" s="503">
        <f>IF(終値!A199="","",IFERROR(4*STDEVP(終値!AA199:AT199)/AVERAGE(終値!AA199:AT199),""))</f>
        <v>0.42566475699354261</v>
      </c>
      <c r="Y199" s="503">
        <f>IF(終値!A199="","",IFERROR(4*STDEVP(終値!AB199:AU199)/AVERAGE(終値!AB199:AU199),""))</f>
        <v>0.44073814822549595</v>
      </c>
      <c r="Z199" s="503">
        <f>IF(終値!A199="","",IFERROR(4*STDEVP(終値!AC199:AV199)/AVERAGE(終値!AC199:AV199),""))</f>
        <v>0.45959052987378984</v>
      </c>
      <c r="AA199" s="503">
        <f>IF(終値!A199="","",IFERROR(4*STDEVP(終値!AD199:AW199)/AVERAGE(終値!AD199:AW199),""))</f>
        <v>0.48935500925166892</v>
      </c>
      <c r="AB199" s="503">
        <f>IF(終値!A199="","",IFERROR(4*STDEVP(終値!AE199:AX199)/AVERAGE(終値!AE199:AX199),""))</f>
        <v>0.51086076383604517</v>
      </c>
      <c r="AC199" s="503">
        <f>IF(終値!A199="","",IFERROR(4*STDEVP(終値!AF199:AY199)/AVERAGE(終値!AF199:AY199),""))</f>
        <v>0.5299091753116586</v>
      </c>
      <c r="AD199" s="503">
        <f>IF(終値!A199="","",IFERROR(4*STDEVP(終値!AG199:AZ199)/AVERAGE(終値!AG199:AZ199),""))</f>
        <v>0.53861205914796539</v>
      </c>
      <c r="AE199" s="503">
        <f>IF(終値!A199="","",IFERROR(4*STDEVP(終値!AH199:BA199)/AVERAGE(終値!AH199:BA199),""))</f>
        <v>0.52900570290200777</v>
      </c>
      <c r="AF199" s="503">
        <f>IF(終値!A199="","",IFERROR(4*STDEVP(終値!AI199:BB199)/AVERAGE(終値!AI199:BB199),""))</f>
        <v>0.54553792761422881</v>
      </c>
      <c r="AG199" s="503">
        <f>IF(終値!A199="","",IFERROR(4*STDEVP(終値!AJ199:BC199)/AVERAGE(終値!AJ199:BC199),""))</f>
        <v>0.55096003684233563</v>
      </c>
      <c r="AH199" s="503">
        <f>IF(終値!A199="","",IFERROR(4*STDEVP(終値!AK199:BD199)/AVERAGE(終値!AK199:BD199),""))</f>
        <v>0.5176198546793096</v>
      </c>
      <c r="AI199" s="503">
        <f>IF(終値!A199="","",IFERROR(4*STDEVP(終値!AL199:BE199)/AVERAGE(終値!AL199:BE199),""))</f>
        <v>0.48266373676294272</v>
      </c>
      <c r="AJ199" s="503">
        <f>IF(終値!A199="","",IFERROR(4*STDEVP(終値!AM199:BF199)/AVERAGE(終値!AM199:BF199),""))</f>
        <v>0.38806541228375008</v>
      </c>
      <c r="AK199" s="503">
        <f>IF(終値!A199="","",IFERROR(4*STDEVP(終値!AN199:BG199)/AVERAGE(終値!AN199:BG199),""))</f>
        <v>0.30642747779698953</v>
      </c>
      <c r="AL199" s="503">
        <f>IF(終値!A199="","",IFERROR(4*STDEVP(終値!AO199:BH199)/AVERAGE(終値!AO199:BH199),""))</f>
        <v>0.2784870545964217</v>
      </c>
      <c r="AM199" s="503">
        <f>IF(終値!A199="","",IFERROR(4*STDEVP(終値!AP199:BI199)/AVERAGE(終値!AP199:BI199),""))</f>
        <v>0.22135623727811324</v>
      </c>
      <c r="AN199" s="503">
        <f>IF(終値!A199="","",IFERROR(4*STDEVP(終値!AQ199:BJ199)/AVERAGE(終値!AQ199:BJ199),""))</f>
        <v>0.21727776025184073</v>
      </c>
      <c r="AO199" s="503">
        <f>IF(終値!A199="","",IFERROR(4*STDEVP(終値!AR199:BK199)/AVERAGE(終値!AR199:BK199),""))</f>
        <v>0.2331321834657703</v>
      </c>
      <c r="AP199" s="503">
        <f>IF(終値!A199="","",IFERROR(4*STDEVP(終値!AS199:BL199)/AVERAGE(終値!AS199:BL199),""))</f>
        <v>0.24408957447328897</v>
      </c>
    </row>
    <row r="200" spans="1:42">
      <c r="A200" s="500" t="str">
        <f>IF(終値!A200="","",終値!A200)</f>
        <v>5801</v>
      </c>
      <c r="B200" s="503">
        <f>IF(終値!A200="","",IFERROR(4*STDEVP(終値!E200:X200)/AVERAGE(終値!E200:X200),""))</f>
        <v>0.36841386535521309</v>
      </c>
      <c r="C200" s="503">
        <f>IF(終値!A200="","",IFERROR(4*STDEVP(終値!F200:Y200)/AVERAGE(終値!F200:Y200),""))</f>
        <v>0.35267880510556049</v>
      </c>
      <c r="D200" s="503">
        <f>IF(終値!A200="","",IFERROR(4*STDEVP(終値!G200:Z200)/AVERAGE(終値!G200:Z200),""))</f>
        <v>0.34980856370064439</v>
      </c>
      <c r="E200" s="503">
        <f>IF(終値!A200="","",IFERROR(4*STDEVP(終値!H200:AA200)/AVERAGE(終値!H200:AA200),""))</f>
        <v>0.37754042534477872</v>
      </c>
      <c r="F200" s="503">
        <f>IF(終値!A200="","",IFERROR(4*STDEVP(終値!I200:AB200)/AVERAGE(終値!I200:AB200),""))</f>
        <v>0.39247745896644659</v>
      </c>
      <c r="G200" s="503">
        <f>IF(終値!A200="","",IFERROR(4*STDEVP(終値!J200:AC200)/AVERAGE(終値!J200:AC200),""))</f>
        <v>0.43358237114598103</v>
      </c>
      <c r="H200" s="503">
        <f>IF(終値!A200="","",IFERROR(4*STDEVP(終値!K200:AD200)/AVERAGE(終値!K200:AD200),""))</f>
        <v>0.46972057284827223</v>
      </c>
      <c r="I200" s="503">
        <f>IF(終値!A200="","",IFERROR(4*STDEVP(終値!L200:AE200)/AVERAGE(終値!L200:AE200),""))</f>
        <v>0.44468729630289056</v>
      </c>
      <c r="J200" s="503">
        <f>IF(終値!A200="","",IFERROR(4*STDEVP(終値!M200:AF200)/AVERAGE(終値!M200:AF200),""))</f>
        <v>0.44046662302048245</v>
      </c>
      <c r="K200" s="503">
        <f>IF(終値!A200="","",IFERROR(4*STDEVP(終値!N200:AG200)/AVERAGE(終値!N200:AG200),""))</f>
        <v>0.49230161466703404</v>
      </c>
      <c r="L200" s="503">
        <f>IF(終値!A200="","",IFERROR(4*STDEVP(終値!O200:AH200)/AVERAGE(終値!O200:AH200),""))</f>
        <v>0.51171958467058443</v>
      </c>
      <c r="M200" s="503">
        <f>IF(終値!A200="","",IFERROR(4*STDEVP(終値!P200:AI200)/AVERAGE(終値!P200:AI200),""))</f>
        <v>0.53399847736840311</v>
      </c>
      <c r="N200" s="503">
        <f>IF(終値!A200="","",IFERROR(4*STDEVP(終値!Q200:AJ200)/AVERAGE(終値!Q200:AJ200),""))</f>
        <v>0.63071501700312171</v>
      </c>
      <c r="O200" s="503">
        <f>IF(終値!A200="","",IFERROR(4*STDEVP(終値!R200:AK200)/AVERAGE(終値!R200:AK200),""))</f>
        <v>0.64485996607937301</v>
      </c>
      <c r="P200" s="503">
        <f>IF(終値!A200="","",IFERROR(4*STDEVP(終値!S200:AL200)/AVERAGE(終値!S200:AL200),""))</f>
        <v>0.60532267643279092</v>
      </c>
      <c r="Q200" s="503">
        <f>IF(終値!A200="","",IFERROR(4*STDEVP(終値!T200:AM200)/AVERAGE(終値!T200:AM200),""))</f>
        <v>0.59463424057840464</v>
      </c>
      <c r="R200" s="503">
        <f>IF(終値!A200="","",IFERROR(4*STDEVP(終値!U200:AN200)/AVERAGE(終値!U200:AN200),""))</f>
        <v>0.5639250091695478</v>
      </c>
      <c r="S200" s="503">
        <f>IF(終値!A200="","",IFERROR(4*STDEVP(終値!V200:AO200)/AVERAGE(終値!V200:AO200),""))</f>
        <v>0.53365822109736771</v>
      </c>
      <c r="T200" s="503">
        <f>IF(終値!A200="","",IFERROR(4*STDEVP(終値!W200:AP200)/AVERAGE(終値!W200:AP200),""))</f>
        <v>0.51299766385332157</v>
      </c>
      <c r="U200" s="503">
        <f>IF(終値!A200="","",IFERROR(4*STDEVP(終値!X200:AQ200)/AVERAGE(終値!X200:AQ200),""))</f>
        <v>0.48169235548898659</v>
      </c>
      <c r="V200" s="503">
        <f>IF(終値!A200="","",IFERROR(4*STDEVP(終値!Y200:AR200)/AVERAGE(終値!Y200:AR200),""))</f>
        <v>0.44648589719817106</v>
      </c>
      <c r="W200" s="503">
        <f>IF(終値!A200="","",IFERROR(4*STDEVP(終値!Z200:AS200)/AVERAGE(終値!Z200:AS200),""))</f>
        <v>0.40905587638752194</v>
      </c>
      <c r="X200" s="503">
        <f>IF(終値!A200="","",IFERROR(4*STDEVP(終値!AA200:AT200)/AVERAGE(終値!AA200:AT200),""))</f>
        <v>0.3870260545125217</v>
      </c>
      <c r="Y200" s="503">
        <f>IF(終値!A200="","",IFERROR(4*STDEVP(終値!AB200:AU200)/AVERAGE(終値!AB200:AU200),""))</f>
        <v>0.37429020542014868</v>
      </c>
      <c r="Z200" s="503">
        <f>IF(終値!A200="","",IFERROR(4*STDEVP(終値!AC200:AV200)/AVERAGE(終値!AC200:AV200),""))</f>
        <v>0.3627072249136003</v>
      </c>
      <c r="AA200" s="503">
        <f>IF(終値!A200="","",IFERROR(4*STDEVP(終値!AD200:AW200)/AVERAGE(終値!AD200:AW200),""))</f>
        <v>0.35828540961124744</v>
      </c>
      <c r="AB200" s="503">
        <f>IF(終値!A200="","",IFERROR(4*STDEVP(終値!AE200:AX200)/AVERAGE(終値!AE200:AX200),""))</f>
        <v>0.36546562127202276</v>
      </c>
      <c r="AC200" s="503">
        <f>IF(終値!A200="","",IFERROR(4*STDEVP(終値!AF200:AY200)/AVERAGE(終値!AF200:AY200),""))</f>
        <v>0.36284977296970317</v>
      </c>
      <c r="AD200" s="503">
        <f>IF(終値!A200="","",IFERROR(4*STDEVP(終値!AG200:AZ200)/AVERAGE(終値!AG200:AZ200),""))</f>
        <v>0.3802984999892231</v>
      </c>
      <c r="AE200" s="503">
        <f>IF(終値!A200="","",IFERROR(4*STDEVP(終値!AH200:BA200)/AVERAGE(終値!AH200:BA200),""))</f>
        <v>0.41142403832814478</v>
      </c>
      <c r="AF200" s="503">
        <f>IF(終値!A200="","",IFERROR(4*STDEVP(終値!AI200:BB200)/AVERAGE(終値!AI200:BB200),""))</f>
        <v>0.41579425357449912</v>
      </c>
      <c r="AG200" s="503">
        <f>IF(終値!A200="","",IFERROR(4*STDEVP(終値!AJ200:BC200)/AVERAGE(終値!AJ200:BC200),""))</f>
        <v>0.41560148050055279</v>
      </c>
      <c r="AH200" s="503">
        <f>IF(終値!A200="","",IFERROR(4*STDEVP(終値!AK200:BD200)/AVERAGE(終値!AK200:BD200),""))</f>
        <v>0.38860390885332069</v>
      </c>
      <c r="AI200" s="503">
        <f>IF(終値!A200="","",IFERROR(4*STDEVP(終値!AL200:BE200)/AVERAGE(終値!AL200:BE200),""))</f>
        <v>0.38244736640411309</v>
      </c>
      <c r="AJ200" s="503">
        <f>IF(終値!A200="","",IFERROR(4*STDEVP(終値!AM200:BF200)/AVERAGE(終値!AM200:BF200),""))</f>
        <v>0.38937957064022055</v>
      </c>
      <c r="AK200" s="503">
        <f>IF(終値!A200="","",IFERROR(4*STDEVP(終値!AN200:BG200)/AVERAGE(終値!AN200:BG200),""))</f>
        <v>0.39468558501287382</v>
      </c>
      <c r="AL200" s="503">
        <f>IF(終値!A200="","",IFERROR(4*STDEVP(終値!AO200:BH200)/AVERAGE(終値!AO200:BH200),""))</f>
        <v>0.40484630932862314</v>
      </c>
      <c r="AM200" s="503">
        <f>IF(終値!A200="","",IFERROR(4*STDEVP(終値!AP200:BI200)/AVERAGE(終値!AP200:BI200),""))</f>
        <v>0.4034520494485585</v>
      </c>
      <c r="AN200" s="503">
        <f>IF(終値!A200="","",IFERROR(4*STDEVP(終値!AQ200:BJ200)/AVERAGE(終値!AQ200:BJ200),""))</f>
        <v>0.36757089074207172</v>
      </c>
      <c r="AO200" s="503">
        <f>IF(終値!A200="","",IFERROR(4*STDEVP(終値!AR200:BK200)/AVERAGE(終値!AR200:BK200),""))</f>
        <v>0.34559585802945963</v>
      </c>
      <c r="AP200" s="503">
        <f>IF(終値!A200="","",IFERROR(4*STDEVP(終値!AS200:BL200)/AVERAGE(終値!AS200:BL200),""))</f>
        <v>0.31407024439959952</v>
      </c>
    </row>
    <row r="201" spans="1:42">
      <c r="A201" s="500" t="str">
        <f>IF(終値!A201="","",終値!A201)</f>
        <v>6506</v>
      </c>
      <c r="B201" s="503">
        <f>IF(終値!A201="","",IFERROR(4*STDEVP(終値!E201:X201)/AVERAGE(終値!E201:X201),""))</f>
        <v>0.49629726064634816</v>
      </c>
      <c r="C201" s="503">
        <f>IF(終値!A201="","",IFERROR(4*STDEVP(終値!F201:Y201)/AVERAGE(終値!F201:Y201),""))</f>
        <v>0.54296523410599018</v>
      </c>
      <c r="D201" s="503">
        <f>IF(終値!A201="","",IFERROR(4*STDEVP(終値!G201:Z201)/AVERAGE(終値!G201:Z201),""))</f>
        <v>0.61448367465530018</v>
      </c>
      <c r="E201" s="503">
        <f>IF(終値!A201="","",IFERROR(4*STDEVP(終値!H201:AA201)/AVERAGE(終値!H201:AA201),""))</f>
        <v>0.66236806517753533</v>
      </c>
      <c r="F201" s="503">
        <f>IF(終値!A201="","",IFERROR(4*STDEVP(終値!I201:AB201)/AVERAGE(終値!I201:AB201),""))</f>
        <v>0.6644312388882837</v>
      </c>
      <c r="G201" s="503">
        <f>IF(終値!A201="","",IFERROR(4*STDEVP(終値!J201:AC201)/AVERAGE(終値!J201:AC201),""))</f>
        <v>0.66939193576136158</v>
      </c>
      <c r="H201" s="503">
        <f>IF(終値!A201="","",IFERROR(4*STDEVP(終値!K201:AD201)/AVERAGE(終値!K201:AD201),""))</f>
        <v>0.63882327819518014</v>
      </c>
      <c r="I201" s="503">
        <f>IF(終値!A201="","",IFERROR(4*STDEVP(終値!L201:AE201)/AVERAGE(終値!L201:AE201),""))</f>
        <v>0.60055211858138402</v>
      </c>
      <c r="J201" s="503">
        <f>IF(終値!A201="","",IFERROR(4*STDEVP(終値!M201:AF201)/AVERAGE(終値!M201:AF201),""))</f>
        <v>0.55938574848826428</v>
      </c>
      <c r="K201" s="503">
        <f>IF(終値!A201="","",IFERROR(4*STDEVP(終値!N201:AG201)/AVERAGE(終値!N201:AG201),""))</f>
        <v>0.54552378927963785</v>
      </c>
      <c r="L201" s="503">
        <f>IF(終値!A201="","",IFERROR(4*STDEVP(終値!O201:AH201)/AVERAGE(終値!O201:AH201),""))</f>
        <v>0.51465494464870776</v>
      </c>
      <c r="M201" s="503">
        <f>IF(終値!A201="","",IFERROR(4*STDEVP(終値!P201:AI201)/AVERAGE(終値!P201:AI201),""))</f>
        <v>0.48976973439705762</v>
      </c>
      <c r="N201" s="503">
        <f>IF(終値!A201="","",IFERROR(4*STDEVP(終値!Q201:AJ201)/AVERAGE(終値!Q201:AJ201),""))</f>
        <v>0.46422951434435</v>
      </c>
      <c r="O201" s="503">
        <f>IF(終値!A201="","",IFERROR(4*STDEVP(終値!R201:AK201)/AVERAGE(終値!R201:AK201),""))</f>
        <v>0.40879077661459284</v>
      </c>
      <c r="P201" s="503">
        <f>IF(終値!A201="","",IFERROR(4*STDEVP(終値!S201:AL201)/AVERAGE(終値!S201:AL201),""))</f>
        <v>0.33988854316295009</v>
      </c>
      <c r="Q201" s="503">
        <f>IF(終値!A201="","",IFERROR(4*STDEVP(終値!T201:AM201)/AVERAGE(終値!T201:AM201),""))</f>
        <v>0.28185526039387465</v>
      </c>
      <c r="R201" s="503">
        <f>IF(終値!A201="","",IFERROR(4*STDEVP(終値!U201:AN201)/AVERAGE(終値!U201:AN201),""))</f>
        <v>0.19727313681809522</v>
      </c>
      <c r="S201" s="503">
        <f>IF(終値!A201="","",IFERROR(4*STDEVP(終値!V201:AO201)/AVERAGE(終値!V201:AO201),""))</f>
        <v>0.14996913565999168</v>
      </c>
      <c r="T201" s="503">
        <f>IF(終値!A201="","",IFERROR(4*STDEVP(終値!W201:AP201)/AVERAGE(終値!W201:AP201),""))</f>
        <v>0.17554299762620076</v>
      </c>
      <c r="U201" s="503">
        <f>IF(終値!A201="","",IFERROR(4*STDEVP(終値!X201:AQ201)/AVERAGE(終値!X201:AQ201),""))</f>
        <v>0.21624690090166368</v>
      </c>
      <c r="V201" s="503">
        <f>IF(終値!A201="","",IFERROR(4*STDEVP(終値!Y201:AR201)/AVERAGE(終値!Y201:AR201),""))</f>
        <v>0.2477892492803549</v>
      </c>
      <c r="W201" s="503">
        <f>IF(終値!A201="","",IFERROR(4*STDEVP(終値!Z201:AS201)/AVERAGE(終値!Z201:AS201),""))</f>
        <v>0.2575259500510918</v>
      </c>
      <c r="X201" s="503">
        <f>IF(終値!A201="","",IFERROR(4*STDEVP(終値!AA201:AT201)/AVERAGE(終値!AA201:AT201),""))</f>
        <v>0.24951990933897356</v>
      </c>
      <c r="Y201" s="503">
        <f>IF(終値!A201="","",IFERROR(4*STDEVP(終値!AB201:AU201)/AVERAGE(終値!AB201:AU201),""))</f>
        <v>0.23869403496088731</v>
      </c>
      <c r="Z201" s="503">
        <f>IF(終値!A201="","",IFERROR(4*STDEVP(終値!AC201:AV201)/AVERAGE(終値!AC201:AV201),""))</f>
        <v>0.24073281129303561</v>
      </c>
      <c r="AA201" s="503">
        <f>IF(終値!A201="","",IFERROR(4*STDEVP(終値!AD201:AW201)/AVERAGE(終値!AD201:AW201),""))</f>
        <v>0.23761348918324915</v>
      </c>
      <c r="AB201" s="503">
        <f>IF(終値!A201="","",IFERROR(4*STDEVP(終値!AE201:AX201)/AVERAGE(終値!AE201:AX201),""))</f>
        <v>0.2406091963704472</v>
      </c>
      <c r="AC201" s="503">
        <f>IF(終値!A201="","",IFERROR(4*STDEVP(終値!AF201:AY201)/AVERAGE(終値!AF201:AY201),""))</f>
        <v>0.24263422884619498</v>
      </c>
      <c r="AD201" s="503">
        <f>IF(終値!A201="","",IFERROR(4*STDEVP(終値!AG201:AZ201)/AVERAGE(終値!AG201:AZ201),""))</f>
        <v>0.24364964623385277</v>
      </c>
      <c r="AE201" s="503">
        <f>IF(終値!A201="","",IFERROR(4*STDEVP(終値!AH201:BA201)/AVERAGE(終値!AH201:BA201),""))</f>
        <v>0.25115287588266527</v>
      </c>
      <c r="AF201" s="503">
        <f>IF(終値!A201="","",IFERROR(4*STDEVP(終値!AI201:BB201)/AVERAGE(終値!AI201:BB201),""))</f>
        <v>0.25098694832068247</v>
      </c>
      <c r="AG201" s="503">
        <f>IF(終値!A201="","",IFERROR(4*STDEVP(終値!AJ201:BC201)/AVERAGE(終値!AJ201:BC201),""))</f>
        <v>0.25073653637312948</v>
      </c>
      <c r="AH201" s="503">
        <f>IF(終値!A201="","",IFERROR(4*STDEVP(終値!AK201:BD201)/AVERAGE(終値!AK201:BD201),""))</f>
        <v>0.25097652890536831</v>
      </c>
      <c r="AI201" s="503">
        <f>IF(終値!A201="","",IFERROR(4*STDEVP(終値!AL201:BE201)/AVERAGE(終値!AL201:BE201),""))</f>
        <v>0.25508984283073816</v>
      </c>
      <c r="AJ201" s="503">
        <f>IF(終値!A201="","",IFERROR(4*STDEVP(終値!AM201:BF201)/AVERAGE(終値!AM201:BF201),""))</f>
        <v>0.24737030753599648</v>
      </c>
      <c r="AK201" s="503">
        <f>IF(終値!A201="","",IFERROR(4*STDEVP(終値!AN201:BG201)/AVERAGE(終値!AN201:BG201),""))</f>
        <v>0.24627720572486067</v>
      </c>
      <c r="AL201" s="503">
        <f>IF(終値!A201="","",IFERROR(4*STDEVP(終値!AO201:BH201)/AVERAGE(終値!AO201:BH201),""))</f>
        <v>0.24817722102341053</v>
      </c>
      <c r="AM201" s="503">
        <f>IF(終値!A201="","",IFERROR(4*STDEVP(終値!AP201:BI201)/AVERAGE(終値!AP201:BI201),""))</f>
        <v>0.24920845731169161</v>
      </c>
      <c r="AN201" s="503">
        <f>IF(終値!A201="","",IFERROR(4*STDEVP(終値!AQ201:BJ201)/AVERAGE(終値!AQ201:BJ201),""))</f>
        <v>0.24273733823570987</v>
      </c>
      <c r="AO201" s="503">
        <f>IF(終値!A201="","",IFERROR(4*STDEVP(終値!AR201:BK201)/AVERAGE(終値!AR201:BK201),""))</f>
        <v>0.22073411063800133</v>
      </c>
      <c r="AP201" s="503">
        <f>IF(終値!A201="","",IFERROR(4*STDEVP(終値!AS201:BL201)/AVERAGE(終値!AS201:BL201),""))</f>
        <v>0.20015141929292932</v>
      </c>
    </row>
    <row r="202" spans="1:42">
      <c r="A202" s="500" t="str">
        <f>IF(終値!A202="","",終値!A202)</f>
        <v>2768</v>
      </c>
      <c r="B202" s="503">
        <f>IF(終値!A202="","",IFERROR(4*STDEVP(終値!E202:X202)/AVERAGE(終値!E202:X202),""))</f>
        <v>0.10445071434652703</v>
      </c>
      <c r="C202" s="503">
        <f>IF(終値!A202="","",IFERROR(4*STDEVP(終値!F202:Y202)/AVERAGE(終値!F202:Y202),""))</f>
        <v>9.4820132624283807E-2</v>
      </c>
      <c r="D202" s="503">
        <f>IF(終値!A202="","",IFERROR(4*STDEVP(終値!G202:Z202)/AVERAGE(終値!G202:Z202),""))</f>
        <v>9.3188630554090157E-2</v>
      </c>
      <c r="E202" s="503">
        <f>IF(終値!A202="","",IFERROR(4*STDEVP(終値!H202:AA202)/AVERAGE(終値!H202:AA202),""))</f>
        <v>9.3247666394289858E-2</v>
      </c>
      <c r="F202" s="503">
        <f>IF(終値!A202="","",IFERROR(4*STDEVP(終値!I202:AB202)/AVERAGE(終値!I202:AB202),""))</f>
        <v>9.2972343870528537E-2</v>
      </c>
      <c r="G202" s="503">
        <f>IF(終値!A202="","",IFERROR(4*STDEVP(終値!J202:AC202)/AVERAGE(終値!J202:AC202),""))</f>
        <v>9.2458292372980394E-2</v>
      </c>
      <c r="H202" s="503">
        <f>IF(終値!A202="","",IFERROR(4*STDEVP(終値!K202:AD202)/AVERAGE(終値!K202:AD202),""))</f>
        <v>9.2165362762686442E-2</v>
      </c>
      <c r="I202" s="503">
        <f>IF(終値!A202="","",IFERROR(4*STDEVP(終値!L202:AE202)/AVERAGE(終値!L202:AE202),""))</f>
        <v>9.0868680827137699E-2</v>
      </c>
      <c r="J202" s="503">
        <f>IF(終値!A202="","",IFERROR(4*STDEVP(終値!M202:AF202)/AVERAGE(終値!M202:AF202),""))</f>
        <v>8.8886176073773873E-2</v>
      </c>
      <c r="K202" s="503">
        <f>IF(終値!A202="","",IFERROR(4*STDEVP(終値!N202:AG202)/AVERAGE(終値!N202:AG202),""))</f>
        <v>8.1093065573707532E-2</v>
      </c>
      <c r="L202" s="503">
        <f>IF(終値!A202="","",IFERROR(4*STDEVP(終値!O202:AH202)/AVERAGE(終値!O202:AH202),""))</f>
        <v>7.6084212244361807E-2</v>
      </c>
      <c r="M202" s="503">
        <f>IF(終値!A202="","",IFERROR(4*STDEVP(終値!P202:AI202)/AVERAGE(終値!P202:AI202),""))</f>
        <v>6.1709327142356156E-2</v>
      </c>
      <c r="N202" s="503">
        <f>IF(終値!A202="","",IFERROR(4*STDEVP(終値!Q202:AJ202)/AVERAGE(終値!Q202:AJ202),""))</f>
        <v>5.4985879470879739E-2</v>
      </c>
      <c r="O202" s="503">
        <f>IF(終値!A202="","",IFERROR(4*STDEVP(終値!R202:AK202)/AVERAGE(終値!R202:AK202),""))</f>
        <v>5.5935978799013679E-2</v>
      </c>
      <c r="P202" s="503">
        <f>IF(終値!A202="","",IFERROR(4*STDEVP(終値!S202:AL202)/AVERAGE(終値!S202:AL202),""))</f>
        <v>5.6876458456195107E-2</v>
      </c>
      <c r="Q202" s="503">
        <f>IF(終値!A202="","",IFERROR(4*STDEVP(終値!T202:AM202)/AVERAGE(終値!T202:AM202),""))</f>
        <v>5.8560949439045933E-2</v>
      </c>
      <c r="R202" s="503">
        <f>IF(終値!A202="","",IFERROR(4*STDEVP(終値!U202:AN202)/AVERAGE(終値!U202:AN202),""))</f>
        <v>5.72411684083836E-2</v>
      </c>
      <c r="S202" s="503">
        <f>IF(終値!A202="","",IFERROR(4*STDEVP(終値!V202:AO202)/AVERAGE(終値!V202:AO202),""))</f>
        <v>5.0650679899827612E-2</v>
      </c>
      <c r="T202" s="503">
        <f>IF(終値!A202="","",IFERROR(4*STDEVP(終値!W202:AP202)/AVERAGE(終値!W202:AP202),""))</f>
        <v>5.2233511146307511E-2</v>
      </c>
      <c r="U202" s="503">
        <f>IF(終値!A202="","",IFERROR(4*STDEVP(終値!X202:AQ202)/AVERAGE(終値!X202:AQ202),""))</f>
        <v>6.1219612760490212E-2</v>
      </c>
      <c r="V202" s="503">
        <f>IF(終値!A202="","",IFERROR(4*STDEVP(終値!Y202:AR202)/AVERAGE(終値!Y202:AR202),""))</f>
        <v>6.5522163427277513E-2</v>
      </c>
      <c r="W202" s="503">
        <f>IF(終値!A202="","",IFERROR(4*STDEVP(終値!Z202:AS202)/AVERAGE(終値!Z202:AS202),""))</f>
        <v>6.9158928959998006E-2</v>
      </c>
      <c r="X202" s="503">
        <f>IF(終値!A202="","",IFERROR(4*STDEVP(終値!AA202:AT202)/AVERAGE(終値!AA202:AT202),""))</f>
        <v>6.6632699221344349E-2</v>
      </c>
      <c r="Y202" s="503">
        <f>IF(終値!A202="","",IFERROR(4*STDEVP(終値!AB202:AU202)/AVERAGE(終値!AB202:AU202),""))</f>
        <v>6.7238796565787962E-2</v>
      </c>
      <c r="Z202" s="503">
        <f>IF(終値!A202="","",IFERROR(4*STDEVP(終値!AC202:AV202)/AVERAGE(終値!AC202:AV202),""))</f>
        <v>6.7787486975122005E-2</v>
      </c>
      <c r="AA202" s="503">
        <f>IF(終値!A202="","",IFERROR(4*STDEVP(終値!AD202:AW202)/AVERAGE(終値!AD202:AW202),""))</f>
        <v>6.885515184490737E-2</v>
      </c>
      <c r="AB202" s="503">
        <f>IF(終値!A202="","",IFERROR(4*STDEVP(終値!AE202:AX202)/AVERAGE(終値!AE202:AX202),""))</f>
        <v>7.5275676993433613E-2</v>
      </c>
      <c r="AC202" s="503">
        <f>IF(終値!A202="","",IFERROR(4*STDEVP(終値!AF202:AY202)/AVERAGE(終値!AF202:AY202),""))</f>
        <v>8.3170133856718634E-2</v>
      </c>
      <c r="AD202" s="503">
        <f>IF(終値!A202="","",IFERROR(4*STDEVP(終値!AG202:AZ202)/AVERAGE(終値!AG202:AZ202),""))</f>
        <v>9.5412657257370873E-2</v>
      </c>
      <c r="AE202" s="503">
        <f>IF(終値!A202="","",IFERROR(4*STDEVP(終値!AH202:BA202)/AVERAGE(終値!AH202:BA202),""))</f>
        <v>0.11221545494587767</v>
      </c>
      <c r="AF202" s="503">
        <f>IF(終値!A202="","",IFERROR(4*STDEVP(終値!AI202:BB202)/AVERAGE(終値!AI202:BB202),""))</f>
        <v>0.12137772524581011</v>
      </c>
      <c r="AG202" s="503">
        <f>IF(終値!A202="","",IFERROR(4*STDEVP(終値!AJ202:BC202)/AVERAGE(終値!AJ202:BC202),""))</f>
        <v>0.12913595176013953</v>
      </c>
      <c r="AH202" s="503">
        <f>IF(終値!A202="","",IFERROR(4*STDEVP(終値!AK202:BD202)/AVERAGE(終値!AK202:BD202),""))</f>
        <v>0.13491709749568292</v>
      </c>
      <c r="AI202" s="503">
        <f>IF(終値!A202="","",IFERROR(4*STDEVP(終値!AL202:BE202)/AVERAGE(終値!AL202:BE202),""))</f>
        <v>0.15001846457646867</v>
      </c>
      <c r="AJ202" s="503">
        <f>IF(終値!A202="","",IFERROR(4*STDEVP(終値!AM202:BF202)/AVERAGE(終値!AM202:BF202),""))</f>
        <v>0.16151658055132928</v>
      </c>
      <c r="AK202" s="503">
        <f>IF(終値!A202="","",IFERROR(4*STDEVP(終値!AN202:BG202)/AVERAGE(終値!AN202:BG202),""))</f>
        <v>0.18536229926712047</v>
      </c>
      <c r="AL202" s="503">
        <f>IF(終値!A202="","",IFERROR(4*STDEVP(終値!AO202:BH202)/AVERAGE(終値!AO202:BH202),""))</f>
        <v>0.20008025252824269</v>
      </c>
      <c r="AM202" s="503">
        <f>IF(終値!A202="","",IFERROR(4*STDEVP(終値!AP202:BI202)/AVERAGE(終値!AP202:BI202),""))</f>
        <v>0.21546895521105483</v>
      </c>
      <c r="AN202" s="503">
        <f>IF(終値!A202="","",IFERROR(4*STDEVP(終値!AQ202:BJ202)/AVERAGE(終値!AQ202:BJ202),""))</f>
        <v>0.21578481936158259</v>
      </c>
      <c r="AO202" s="503">
        <f>IF(終値!A202="","",IFERROR(4*STDEVP(終値!AR202:BK202)/AVERAGE(終値!AR202:BK202),""))</f>
        <v>0.20485572478164238</v>
      </c>
      <c r="AP202" s="503">
        <f>IF(終値!A202="","",IFERROR(4*STDEVP(終値!AS202:BL202)/AVERAGE(終値!AS202:BL202),""))</f>
        <v>0.19357129688862248</v>
      </c>
    </row>
    <row r="203" spans="1:42">
      <c r="A203" s="500" t="str">
        <f>IF(終値!A203="","",終値!A203)</f>
        <v>6305</v>
      </c>
      <c r="B203" s="503">
        <f>IF(終値!A203="","",IFERROR(4*STDEVP(終値!E203:X203)/AVERAGE(終値!E203:X203),""))</f>
        <v>0.12099323008592854</v>
      </c>
      <c r="C203" s="503">
        <f>IF(終値!A203="","",IFERROR(4*STDEVP(終値!F203:Y203)/AVERAGE(終値!F203:Y203),""))</f>
        <v>0.11197209637193047</v>
      </c>
      <c r="D203" s="503">
        <f>IF(終値!A203="","",IFERROR(4*STDEVP(終値!G203:Z203)/AVERAGE(終値!G203:Z203),""))</f>
        <v>0.11116337851098436</v>
      </c>
      <c r="E203" s="503">
        <f>IF(終値!A203="","",IFERROR(4*STDEVP(終値!H203:AA203)/AVERAGE(終値!H203:AA203),""))</f>
        <v>0.11088222316103875</v>
      </c>
      <c r="F203" s="503">
        <f>IF(終値!A203="","",IFERROR(4*STDEVP(終値!I203:AB203)/AVERAGE(終値!I203:AB203),""))</f>
        <v>0.11209764186948898</v>
      </c>
      <c r="G203" s="503">
        <f>IF(終値!A203="","",IFERROR(4*STDEVP(終値!J203:AC203)/AVERAGE(終値!J203:AC203),""))</f>
        <v>0.11428446791190733</v>
      </c>
      <c r="H203" s="503">
        <f>IF(終値!A203="","",IFERROR(4*STDEVP(終値!K203:AD203)/AVERAGE(終値!K203:AD203),""))</f>
        <v>0.10614843962150286</v>
      </c>
      <c r="I203" s="503">
        <f>IF(終値!A203="","",IFERROR(4*STDEVP(終値!L203:AE203)/AVERAGE(終値!L203:AE203),""))</f>
        <v>9.3894775113481863E-2</v>
      </c>
      <c r="J203" s="503">
        <f>IF(終値!A203="","",IFERROR(4*STDEVP(終値!M203:AF203)/AVERAGE(終値!M203:AF203),""))</f>
        <v>9.142839241838116E-2</v>
      </c>
      <c r="K203" s="503">
        <f>IF(終値!A203="","",IFERROR(4*STDEVP(終値!N203:AG203)/AVERAGE(終値!N203:AG203),""))</f>
        <v>6.3560077366504236E-2</v>
      </c>
      <c r="L203" s="503">
        <f>IF(終値!A203="","",IFERROR(4*STDEVP(終値!O203:AH203)/AVERAGE(終値!O203:AH203),""))</f>
        <v>6.2355603304204921E-2</v>
      </c>
      <c r="M203" s="503">
        <f>IF(終値!A203="","",IFERROR(4*STDEVP(終値!P203:AI203)/AVERAGE(終値!P203:AI203),""))</f>
        <v>5.8408963635370188E-2</v>
      </c>
      <c r="N203" s="503">
        <f>IF(終値!A203="","",IFERROR(4*STDEVP(終値!Q203:AJ203)/AVERAGE(終値!Q203:AJ203),""))</f>
        <v>6.2852794522686634E-2</v>
      </c>
      <c r="O203" s="503">
        <f>IF(終値!A203="","",IFERROR(4*STDEVP(終値!R203:AK203)/AVERAGE(終値!R203:AK203),""))</f>
        <v>6.4964867143863333E-2</v>
      </c>
      <c r="P203" s="503">
        <f>IF(終値!A203="","",IFERROR(4*STDEVP(終値!S203:AL203)/AVERAGE(終値!S203:AL203),""))</f>
        <v>6.1939367807954629E-2</v>
      </c>
      <c r="Q203" s="503">
        <f>IF(終値!A203="","",IFERROR(4*STDEVP(終値!T203:AM203)/AVERAGE(終値!T203:AM203),""))</f>
        <v>6.3722625039542458E-2</v>
      </c>
      <c r="R203" s="503">
        <f>IF(終値!A203="","",IFERROR(4*STDEVP(終値!U203:AN203)/AVERAGE(終値!U203:AN203),""))</f>
        <v>6.4184213671268059E-2</v>
      </c>
      <c r="S203" s="503">
        <f>IF(終値!A203="","",IFERROR(4*STDEVP(終値!V203:AO203)/AVERAGE(終値!V203:AO203),""))</f>
        <v>7.0071444653220696E-2</v>
      </c>
      <c r="T203" s="503">
        <f>IF(終値!A203="","",IFERROR(4*STDEVP(終値!W203:AP203)/AVERAGE(終値!W203:AP203),""))</f>
        <v>6.8512741313432476E-2</v>
      </c>
      <c r="U203" s="503">
        <f>IF(終値!A203="","",IFERROR(4*STDEVP(終値!X203:AQ203)/AVERAGE(終値!X203:AQ203),""))</f>
        <v>7.3273533495238172E-2</v>
      </c>
      <c r="V203" s="503">
        <f>IF(終値!A203="","",IFERROR(4*STDEVP(終値!Y203:AR203)/AVERAGE(終値!Y203:AR203),""))</f>
        <v>7.3877078388115705E-2</v>
      </c>
      <c r="W203" s="503">
        <f>IF(終値!A203="","",IFERROR(4*STDEVP(終値!Z203:AS203)/AVERAGE(終値!Z203:AS203),""))</f>
        <v>7.4492894457479975E-2</v>
      </c>
      <c r="X203" s="503">
        <f>IF(終値!A203="","",IFERROR(4*STDEVP(終値!AA203:AT203)/AVERAGE(終値!AA203:AT203),""))</f>
        <v>7.3003360526031583E-2</v>
      </c>
      <c r="Y203" s="503">
        <f>IF(終値!A203="","",IFERROR(4*STDEVP(終値!AB203:AU203)/AVERAGE(終値!AB203:AU203),""))</f>
        <v>7.2925783203154043E-2</v>
      </c>
      <c r="Z203" s="503">
        <f>IF(終値!A203="","",IFERROR(4*STDEVP(終値!AC203:AV203)/AVERAGE(終値!AC203:AV203),""))</f>
        <v>7.0207234730129561E-2</v>
      </c>
      <c r="AA203" s="503">
        <f>IF(終値!A203="","",IFERROR(4*STDEVP(終値!AD203:AW203)/AVERAGE(終値!AD203:AW203),""))</f>
        <v>7.8103335961348261E-2</v>
      </c>
      <c r="AB203" s="503">
        <f>IF(終値!A203="","",IFERROR(4*STDEVP(終値!AE203:AX203)/AVERAGE(終値!AE203:AX203),""))</f>
        <v>8.0168416070666076E-2</v>
      </c>
      <c r="AC203" s="503">
        <f>IF(終値!A203="","",IFERROR(4*STDEVP(終値!AF203:AY203)/AVERAGE(終値!AF203:AY203),""))</f>
        <v>8.1371111768448856E-2</v>
      </c>
      <c r="AD203" s="503">
        <f>IF(終値!A203="","",IFERROR(4*STDEVP(終値!AG203:AZ203)/AVERAGE(終値!AG203:AZ203),""))</f>
        <v>8.3131303232619885E-2</v>
      </c>
      <c r="AE203" s="503">
        <f>IF(終値!A203="","",IFERROR(4*STDEVP(終値!AH203:BA203)/AVERAGE(終値!AH203:BA203),""))</f>
        <v>9.4383829057807359E-2</v>
      </c>
      <c r="AF203" s="503">
        <f>IF(終値!A203="","",IFERROR(4*STDEVP(終値!AI203:BB203)/AVERAGE(終値!AI203:BB203),""))</f>
        <v>0.10889578197783714</v>
      </c>
      <c r="AG203" s="503">
        <f>IF(終値!A203="","",IFERROR(4*STDEVP(終値!AJ203:BC203)/AVERAGE(終値!AJ203:BC203),""))</f>
        <v>0.1200996901823336</v>
      </c>
      <c r="AH203" s="503">
        <f>IF(終値!A203="","",IFERROR(4*STDEVP(終値!AK203:BD203)/AVERAGE(終値!AK203:BD203),""))</f>
        <v>0.13225949688165617</v>
      </c>
      <c r="AI203" s="503">
        <f>IF(終値!A203="","",IFERROR(4*STDEVP(終値!AL203:BE203)/AVERAGE(終値!AL203:BE203),""))</f>
        <v>0.13349605816260907</v>
      </c>
      <c r="AJ203" s="503">
        <f>IF(終値!A203="","",IFERROR(4*STDEVP(終値!AM203:BF203)/AVERAGE(終値!AM203:BF203),""))</f>
        <v>0.13213217814891406</v>
      </c>
      <c r="AK203" s="503">
        <f>IF(終値!A203="","",IFERROR(4*STDEVP(終値!AN203:BG203)/AVERAGE(終値!AN203:BG203),""))</f>
        <v>0.12750483216428773</v>
      </c>
      <c r="AL203" s="503">
        <f>IF(終値!A203="","",IFERROR(4*STDEVP(終値!AO203:BH203)/AVERAGE(終値!AO203:BH203),""))</f>
        <v>0.12323896328617359</v>
      </c>
      <c r="AM203" s="503">
        <f>IF(終値!A203="","",IFERROR(4*STDEVP(終値!AP203:BI203)/AVERAGE(終値!AP203:BI203),""))</f>
        <v>0.10744133333925721</v>
      </c>
      <c r="AN203" s="503">
        <f>IF(終値!A203="","",IFERROR(4*STDEVP(終値!AQ203:BJ203)/AVERAGE(終値!AQ203:BJ203),""))</f>
        <v>0.11420976970709644</v>
      </c>
      <c r="AO203" s="503">
        <f>IF(終値!A203="","",IFERROR(4*STDEVP(終値!AR203:BK203)/AVERAGE(終値!AR203:BK203),""))</f>
        <v>0.13884174046359923</v>
      </c>
      <c r="AP203" s="503">
        <f>IF(終値!A203="","",IFERROR(4*STDEVP(終値!AS203:BL203)/AVERAGE(終値!AS203:BL203),""))</f>
        <v>0.15809208023903634</v>
      </c>
    </row>
    <row r="204" spans="1:42">
      <c r="A204" s="500" t="str">
        <f>IF(終値!A204="","",終値!A204)</f>
        <v>8015</v>
      </c>
      <c r="B204" s="503">
        <f>IF(終値!A204="","",IFERROR(4*STDEVP(終値!E204:X204)/AVERAGE(終値!E204:X204),""))</f>
        <v>0.2317041320330859</v>
      </c>
      <c r="C204" s="503">
        <f>IF(終値!A204="","",IFERROR(4*STDEVP(終値!F204:Y204)/AVERAGE(終値!F204:Y204),""))</f>
        <v>0.18978603484493586</v>
      </c>
      <c r="D204" s="503">
        <f>IF(終値!A204="","",IFERROR(4*STDEVP(終値!G204:Z204)/AVERAGE(終値!G204:Z204),""))</f>
        <v>0.15208086674059559</v>
      </c>
      <c r="E204" s="503">
        <f>IF(終値!A204="","",IFERROR(4*STDEVP(終値!H204:AA204)/AVERAGE(終値!H204:AA204),""))</f>
        <v>0.14157822807115969</v>
      </c>
      <c r="F204" s="503">
        <f>IF(終値!A204="","",IFERROR(4*STDEVP(終値!I204:AB204)/AVERAGE(終値!I204:AB204),""))</f>
        <v>0.13833822915764116</v>
      </c>
      <c r="G204" s="503">
        <f>IF(終値!A204="","",IFERROR(4*STDEVP(終値!J204:AC204)/AVERAGE(終値!J204:AC204),""))</f>
        <v>0.13275099243687274</v>
      </c>
      <c r="H204" s="503">
        <f>IF(終値!A204="","",IFERROR(4*STDEVP(終値!K204:AD204)/AVERAGE(終値!K204:AD204),""))</f>
        <v>0.13069763034980245</v>
      </c>
      <c r="I204" s="503">
        <f>IF(終値!A204="","",IFERROR(4*STDEVP(終値!L204:AE204)/AVERAGE(終値!L204:AE204),""))</f>
        <v>0.12862901427459236</v>
      </c>
      <c r="J204" s="503">
        <f>IF(終値!A204="","",IFERROR(4*STDEVP(終値!M204:AF204)/AVERAGE(終値!M204:AF204),""))</f>
        <v>0.1294096655195108</v>
      </c>
      <c r="K204" s="503">
        <f>IF(終値!A204="","",IFERROR(4*STDEVP(終値!N204:AG204)/AVERAGE(終値!N204:AG204),""))</f>
        <v>0.12152039428212021</v>
      </c>
      <c r="L204" s="503">
        <f>IF(終値!A204="","",IFERROR(4*STDEVP(終値!O204:AH204)/AVERAGE(終値!O204:AH204),""))</f>
        <v>0.11652733372961714</v>
      </c>
      <c r="M204" s="503">
        <f>IF(終値!A204="","",IFERROR(4*STDEVP(終値!P204:AI204)/AVERAGE(終値!P204:AI204),""))</f>
        <v>9.6975967656664025E-2</v>
      </c>
      <c r="N204" s="503">
        <f>IF(終値!A204="","",IFERROR(4*STDEVP(終値!Q204:AJ204)/AVERAGE(終値!Q204:AJ204),""))</f>
        <v>8.4851615058928312E-2</v>
      </c>
      <c r="O204" s="503">
        <f>IF(終値!A204="","",IFERROR(4*STDEVP(終値!R204:AK204)/AVERAGE(終値!R204:AK204),""))</f>
        <v>6.3771916085175892E-2</v>
      </c>
      <c r="P204" s="503">
        <f>IF(終値!A204="","",IFERROR(4*STDEVP(終値!S204:AL204)/AVERAGE(終値!S204:AL204),""))</f>
        <v>6.5527429214551652E-2</v>
      </c>
      <c r="Q204" s="503">
        <f>IF(終値!A204="","",IFERROR(4*STDEVP(終値!T204:AM204)/AVERAGE(終値!T204:AM204),""))</f>
        <v>7.1852305827253521E-2</v>
      </c>
      <c r="R204" s="503">
        <f>IF(終値!A204="","",IFERROR(4*STDEVP(終値!U204:AN204)/AVERAGE(終値!U204:AN204),""))</f>
        <v>8.2741122033763159E-2</v>
      </c>
      <c r="S204" s="503">
        <f>IF(終値!A204="","",IFERROR(4*STDEVP(終値!V204:AO204)/AVERAGE(終値!V204:AO204),""))</f>
        <v>9.6651348761087011E-2</v>
      </c>
      <c r="T204" s="503">
        <f>IF(終値!A204="","",IFERROR(4*STDEVP(終値!W204:AP204)/AVERAGE(終値!W204:AP204),""))</f>
        <v>9.4799218511284575E-2</v>
      </c>
      <c r="U204" s="503">
        <f>IF(終値!A204="","",IFERROR(4*STDEVP(終値!X204:AQ204)/AVERAGE(終値!X204:AQ204),""))</f>
        <v>9.8629214890276762E-2</v>
      </c>
      <c r="V204" s="503">
        <f>IF(終値!A204="","",IFERROR(4*STDEVP(終値!Y204:AR204)/AVERAGE(終値!Y204:AR204),""))</f>
        <v>9.9083139595506659E-2</v>
      </c>
      <c r="W204" s="503">
        <f>IF(終値!A204="","",IFERROR(4*STDEVP(終値!Z204:AS204)/AVERAGE(終値!Z204:AS204),""))</f>
        <v>9.7530238911279543E-2</v>
      </c>
      <c r="X204" s="503">
        <f>IF(終値!A204="","",IFERROR(4*STDEVP(終値!AA204:AT204)/AVERAGE(終値!AA204:AT204),""))</f>
        <v>0.10511147209444571</v>
      </c>
      <c r="Y204" s="503">
        <f>IF(終値!A204="","",IFERROR(4*STDEVP(終値!AB204:AU204)/AVERAGE(終値!AB204:AU204),""))</f>
        <v>0.11188133982910674</v>
      </c>
      <c r="Z204" s="503">
        <f>IF(終値!A204="","",IFERROR(4*STDEVP(終値!AC204:AV204)/AVERAGE(終値!AC204:AV204),""))</f>
        <v>0.12039258724426863</v>
      </c>
      <c r="AA204" s="503">
        <f>IF(終値!A204="","",IFERROR(4*STDEVP(終値!AD204:AW204)/AVERAGE(終値!AD204:AW204),""))</f>
        <v>0.12316264588702884</v>
      </c>
      <c r="AB204" s="503">
        <f>IF(終値!A204="","",IFERROR(4*STDEVP(終値!AE204:AX204)/AVERAGE(終値!AE204:AX204),""))</f>
        <v>0.15321763613958261</v>
      </c>
      <c r="AC204" s="503">
        <f>IF(終値!A204="","",IFERROR(4*STDEVP(終値!AF204:AY204)/AVERAGE(終値!AF204:AY204),""))</f>
        <v>0.1591346343055153</v>
      </c>
      <c r="AD204" s="503">
        <f>IF(終値!A204="","",IFERROR(4*STDEVP(終値!AG204:AZ204)/AVERAGE(終値!AG204:AZ204),""))</f>
        <v>0.16677643518662533</v>
      </c>
      <c r="AE204" s="503">
        <f>IF(終値!A204="","",IFERROR(4*STDEVP(終値!AH204:BA204)/AVERAGE(終値!AH204:BA204),""))</f>
        <v>0.18722333224516383</v>
      </c>
      <c r="AF204" s="503">
        <f>IF(終値!A204="","",IFERROR(4*STDEVP(終値!AI204:BB204)/AVERAGE(終値!AI204:BB204),""))</f>
        <v>0.19582246076033311</v>
      </c>
      <c r="AG204" s="503">
        <f>IF(終値!A204="","",IFERROR(4*STDEVP(終値!AJ204:BC204)/AVERAGE(終値!AJ204:BC204),""))</f>
        <v>0.19567966312811855</v>
      </c>
      <c r="AH204" s="503">
        <f>IF(終値!A204="","",IFERROR(4*STDEVP(終値!AK204:BD204)/AVERAGE(終値!AK204:BD204),""))</f>
        <v>0.19352040895840777</v>
      </c>
      <c r="AI204" s="503">
        <f>IF(終値!A204="","",IFERROR(4*STDEVP(終値!AL204:BE204)/AVERAGE(終値!AL204:BE204),""))</f>
        <v>0.20030891530773856</v>
      </c>
      <c r="AJ204" s="503">
        <f>IF(終値!A204="","",IFERROR(4*STDEVP(終値!AM204:BF204)/AVERAGE(終値!AM204:BF204),""))</f>
        <v>0.20461027805608031</v>
      </c>
      <c r="AK204" s="503">
        <f>IF(終値!A204="","",IFERROR(4*STDEVP(終値!AN204:BG204)/AVERAGE(終値!AN204:BG204),""))</f>
        <v>0.22509901169511268</v>
      </c>
      <c r="AL204" s="503">
        <f>IF(終値!A204="","",IFERROR(4*STDEVP(終値!AO204:BH204)/AVERAGE(終値!AO204:BH204),""))</f>
        <v>0.24023636732057765</v>
      </c>
      <c r="AM204" s="503">
        <f>IF(終値!A204="","",IFERROR(4*STDEVP(終値!AP204:BI204)/AVERAGE(終値!AP204:BI204),""))</f>
        <v>0.25394506332686634</v>
      </c>
      <c r="AN204" s="503">
        <f>IF(終値!A204="","",IFERROR(4*STDEVP(終値!AQ204:BJ204)/AVERAGE(終値!AQ204:BJ204),""))</f>
        <v>0.2450818158445609</v>
      </c>
      <c r="AO204" s="503">
        <f>IF(終値!A204="","",IFERROR(4*STDEVP(終値!AR204:BK204)/AVERAGE(終値!AR204:BK204),""))</f>
        <v>0.21842576694353724</v>
      </c>
      <c r="AP204" s="503">
        <f>IF(終値!A204="","",IFERROR(4*STDEVP(終値!AS204:BL204)/AVERAGE(終値!AS204:BL204),""))</f>
        <v>0.19422153809729792</v>
      </c>
    </row>
    <row r="205" spans="1:42">
      <c r="A205" s="500" t="str">
        <f>IF(終値!A205="","",終値!A205)</f>
        <v>6758</v>
      </c>
      <c r="B205" s="503">
        <f>IF(終値!A205="","",IFERROR(4*STDEVP(終値!E205:X205)/AVERAGE(終値!E205:X205),""))</f>
        <v>3.3931303017660966E-2</v>
      </c>
      <c r="C205" s="503">
        <f>IF(終値!A205="","",IFERROR(4*STDEVP(終値!F205:Y205)/AVERAGE(終値!F205:Y205),""))</f>
        <v>0</v>
      </c>
      <c r="D205" s="503" t="str">
        <f>IF(終値!A205="","",IFERROR(4*STDEVP(終値!G205:Z205)/AVERAGE(終値!G205:Z205),""))</f>
        <v/>
      </c>
      <c r="E205" s="503" t="str">
        <f>IF(終値!A205="","",IFERROR(4*STDEVP(終値!H205:AA205)/AVERAGE(終値!H205:AA205),""))</f>
        <v/>
      </c>
      <c r="F205" s="503" t="str">
        <f>IF(終値!A205="","",IFERROR(4*STDEVP(終値!I205:AB205)/AVERAGE(終値!I205:AB205),""))</f>
        <v/>
      </c>
      <c r="G205" s="503" t="str">
        <f>IF(終値!A205="","",IFERROR(4*STDEVP(終値!J205:AC205)/AVERAGE(終値!J205:AC205),""))</f>
        <v/>
      </c>
      <c r="H205" s="503" t="str">
        <f>IF(終値!A205="","",IFERROR(4*STDEVP(終値!K205:AD205)/AVERAGE(終値!K205:AD205),""))</f>
        <v/>
      </c>
      <c r="I205" s="503" t="str">
        <f>IF(終値!A205="","",IFERROR(4*STDEVP(終値!L205:AE205)/AVERAGE(終値!L205:AE205),""))</f>
        <v/>
      </c>
      <c r="J205" s="503" t="str">
        <f>IF(終値!A205="","",IFERROR(4*STDEVP(終値!M205:AF205)/AVERAGE(終値!M205:AF205),""))</f>
        <v/>
      </c>
      <c r="K205" s="503" t="str">
        <f>IF(終値!A205="","",IFERROR(4*STDEVP(終値!N205:AG205)/AVERAGE(終値!N205:AG205),""))</f>
        <v/>
      </c>
      <c r="L205" s="503" t="str">
        <f>IF(終値!A205="","",IFERROR(4*STDEVP(終値!O205:AH205)/AVERAGE(終値!O205:AH205),""))</f>
        <v/>
      </c>
      <c r="M205" s="503" t="str">
        <f>IF(終値!A205="","",IFERROR(4*STDEVP(終値!P205:AI205)/AVERAGE(終値!P205:AI205),""))</f>
        <v/>
      </c>
      <c r="N205" s="503" t="str">
        <f>IF(終値!A205="","",IFERROR(4*STDEVP(終値!Q205:AJ205)/AVERAGE(終値!Q205:AJ205),""))</f>
        <v/>
      </c>
      <c r="O205" s="503" t="str">
        <f>IF(終値!A205="","",IFERROR(4*STDEVP(終値!R205:AK205)/AVERAGE(終値!R205:AK205),""))</f>
        <v/>
      </c>
      <c r="P205" s="503" t="str">
        <f>IF(終値!A205="","",IFERROR(4*STDEVP(終値!S205:AL205)/AVERAGE(終値!S205:AL205),""))</f>
        <v/>
      </c>
      <c r="Q205" s="503" t="str">
        <f>IF(終値!A205="","",IFERROR(4*STDEVP(終値!T205:AM205)/AVERAGE(終値!T205:AM205),""))</f>
        <v/>
      </c>
      <c r="R205" s="503" t="str">
        <f>IF(終値!A205="","",IFERROR(4*STDEVP(終値!U205:AN205)/AVERAGE(終値!U205:AN205),""))</f>
        <v/>
      </c>
      <c r="S205" s="503" t="str">
        <f>IF(終値!A205="","",IFERROR(4*STDEVP(終値!V205:AO205)/AVERAGE(終値!V205:AO205),""))</f>
        <v/>
      </c>
      <c r="T205" s="503" t="str">
        <f>IF(終値!A205="","",IFERROR(4*STDEVP(終値!W205:AP205)/AVERAGE(終値!W205:AP205),""))</f>
        <v/>
      </c>
      <c r="U205" s="503" t="str">
        <f>IF(終値!A205="","",IFERROR(4*STDEVP(終値!X205:AQ205)/AVERAGE(終値!X205:AQ205),""))</f>
        <v/>
      </c>
      <c r="V205" s="503" t="str">
        <f>IF(終値!A205="","",IFERROR(4*STDEVP(終値!Y205:AR205)/AVERAGE(終値!Y205:AR205),""))</f>
        <v/>
      </c>
      <c r="W205" s="503" t="str">
        <f>IF(終値!A205="","",IFERROR(4*STDEVP(終値!Z205:AS205)/AVERAGE(終値!Z205:AS205),""))</f>
        <v/>
      </c>
      <c r="X205" s="503" t="str">
        <f>IF(終値!A205="","",IFERROR(4*STDEVP(終値!AA205:AT205)/AVERAGE(終値!AA205:AT205),""))</f>
        <v/>
      </c>
      <c r="Y205" s="503" t="str">
        <f>IF(終値!A205="","",IFERROR(4*STDEVP(終値!AB205:AU205)/AVERAGE(終値!AB205:AU205),""))</f>
        <v/>
      </c>
      <c r="Z205" s="503" t="str">
        <f>IF(終値!A205="","",IFERROR(4*STDEVP(終値!AC205:AV205)/AVERAGE(終値!AC205:AV205),""))</f>
        <v/>
      </c>
      <c r="AA205" s="503" t="str">
        <f>IF(終値!A205="","",IFERROR(4*STDEVP(終値!AD205:AW205)/AVERAGE(終値!AD205:AW205),""))</f>
        <v/>
      </c>
      <c r="AB205" s="503" t="str">
        <f>IF(終値!A205="","",IFERROR(4*STDEVP(終値!AE205:AX205)/AVERAGE(終値!AE205:AX205),""))</f>
        <v/>
      </c>
      <c r="AC205" s="503" t="str">
        <f>IF(終値!A205="","",IFERROR(4*STDEVP(終値!AF205:AY205)/AVERAGE(終値!AF205:AY205),""))</f>
        <v/>
      </c>
      <c r="AD205" s="503" t="str">
        <f>IF(終値!A205="","",IFERROR(4*STDEVP(終値!AG205:AZ205)/AVERAGE(終値!AG205:AZ205),""))</f>
        <v/>
      </c>
      <c r="AE205" s="503" t="str">
        <f>IF(終値!A205="","",IFERROR(4*STDEVP(終値!AH205:BA205)/AVERAGE(終値!AH205:BA205),""))</f>
        <v/>
      </c>
      <c r="AF205" s="503" t="str">
        <f>IF(終値!A205="","",IFERROR(4*STDEVP(終値!AI205:BB205)/AVERAGE(終値!AI205:BB205),""))</f>
        <v/>
      </c>
      <c r="AG205" s="503" t="str">
        <f>IF(終値!A205="","",IFERROR(4*STDEVP(終値!AJ205:BC205)/AVERAGE(終値!AJ205:BC205),""))</f>
        <v/>
      </c>
      <c r="AH205" s="503" t="str">
        <f>IF(終値!A205="","",IFERROR(4*STDEVP(終値!AK205:BD205)/AVERAGE(終値!AK205:BD205),""))</f>
        <v/>
      </c>
      <c r="AI205" s="503" t="str">
        <f>IF(終値!A205="","",IFERROR(4*STDEVP(終値!AL205:BE205)/AVERAGE(終値!AL205:BE205),""))</f>
        <v/>
      </c>
      <c r="AJ205" s="503" t="str">
        <f>IF(終値!A205="","",IFERROR(4*STDEVP(終値!AM205:BF205)/AVERAGE(終値!AM205:BF205),""))</f>
        <v/>
      </c>
      <c r="AK205" s="503" t="str">
        <f>IF(終値!A205="","",IFERROR(4*STDEVP(終値!AN205:BG205)/AVERAGE(終値!AN205:BG205),""))</f>
        <v/>
      </c>
      <c r="AL205" s="503" t="str">
        <f>IF(終値!A205="","",IFERROR(4*STDEVP(終値!AO205:BH205)/AVERAGE(終値!AO205:BH205),""))</f>
        <v/>
      </c>
      <c r="AM205" s="503" t="str">
        <f>IF(終値!A205="","",IFERROR(4*STDEVP(終値!AP205:BI205)/AVERAGE(終値!AP205:BI205),""))</f>
        <v/>
      </c>
      <c r="AN205" s="503" t="str">
        <f>IF(終値!A205="","",IFERROR(4*STDEVP(終値!AQ205:BJ205)/AVERAGE(終値!AQ205:BJ205),""))</f>
        <v/>
      </c>
      <c r="AO205" s="503" t="str">
        <f>IF(終値!A205="","",IFERROR(4*STDEVP(終値!AR205:BK205)/AVERAGE(終値!AR205:BK205),""))</f>
        <v/>
      </c>
      <c r="AP205" s="503" t="str">
        <f>IF(終値!A205="","",IFERROR(4*STDEVP(終値!AS205:BL205)/AVERAGE(終値!AS205:BL205),""))</f>
        <v/>
      </c>
    </row>
    <row r="206" spans="1:42">
      <c r="A206" s="500" t="str">
        <f>IF(終値!A206="","",終値!A206)</f>
        <v>9101</v>
      </c>
      <c r="B206" s="503">
        <f>IF(終値!A206="","",IFERROR(4*STDEVP(終値!E206:X206)/AVERAGE(終値!E206:X206),""))</f>
        <v>0.19172924980206735</v>
      </c>
      <c r="C206" s="503">
        <f>IF(終値!A206="","",IFERROR(4*STDEVP(終値!F206:Y206)/AVERAGE(終値!F206:Y206),""))</f>
        <v>0.20755916196533802</v>
      </c>
      <c r="D206" s="503">
        <f>IF(終値!A206="","",IFERROR(4*STDEVP(終値!G206:Z206)/AVERAGE(終値!G206:Z206),""))</f>
        <v>0.21618809329799016</v>
      </c>
      <c r="E206" s="503">
        <f>IF(終値!A206="","",IFERROR(4*STDEVP(終値!H206:AA206)/AVERAGE(終値!H206:AA206),""))</f>
        <v>0.22653503911158784</v>
      </c>
      <c r="F206" s="503">
        <f>IF(終値!A206="","",IFERROR(4*STDEVP(終値!I206:AB206)/AVERAGE(終値!I206:AB206),""))</f>
        <v>0.23375293002862921</v>
      </c>
      <c r="G206" s="503">
        <f>IF(終値!A206="","",IFERROR(4*STDEVP(終値!J206:AC206)/AVERAGE(終値!J206:AC206),""))</f>
        <v>0.23914066993251951</v>
      </c>
      <c r="H206" s="503">
        <f>IF(終値!A206="","",IFERROR(4*STDEVP(終値!K206:AD206)/AVERAGE(終値!K206:AD206),""))</f>
        <v>0.23309564101677846</v>
      </c>
      <c r="I206" s="503">
        <f>IF(終値!A206="","",IFERROR(4*STDEVP(終値!L206:AE206)/AVERAGE(終値!L206:AE206),""))</f>
        <v>0.219912497132252</v>
      </c>
      <c r="J206" s="503">
        <f>IF(終値!A206="","",IFERROR(4*STDEVP(終値!M206:AF206)/AVERAGE(終値!M206:AF206),""))</f>
        <v>0.20688489310699809</v>
      </c>
      <c r="K206" s="503">
        <f>IF(終値!A206="","",IFERROR(4*STDEVP(終値!N206:AG206)/AVERAGE(終値!N206:AG206),""))</f>
        <v>0.18340668200670854</v>
      </c>
      <c r="L206" s="503">
        <f>IF(終値!A206="","",IFERROR(4*STDEVP(終値!O206:AH206)/AVERAGE(終値!O206:AH206),""))</f>
        <v>0.16234616219056894</v>
      </c>
      <c r="M206" s="503">
        <f>IF(終値!A206="","",IFERROR(4*STDEVP(終値!P206:AI206)/AVERAGE(終値!P206:AI206),""))</f>
        <v>0.14774466834860786</v>
      </c>
      <c r="N206" s="503">
        <f>IF(終値!A206="","",IFERROR(4*STDEVP(終値!Q206:AJ206)/AVERAGE(終値!Q206:AJ206),""))</f>
        <v>0.12953249071593012</v>
      </c>
      <c r="O206" s="503">
        <f>IF(終値!A206="","",IFERROR(4*STDEVP(終値!R206:AK206)/AVERAGE(終値!R206:AK206),""))</f>
        <v>0.1133228545796946</v>
      </c>
      <c r="P206" s="503">
        <f>IF(終値!A206="","",IFERROR(4*STDEVP(終値!S206:AL206)/AVERAGE(終値!S206:AL206),""))</f>
        <v>9.1001937792548421E-2</v>
      </c>
      <c r="Q206" s="503">
        <f>IF(終値!A206="","",IFERROR(4*STDEVP(終値!T206:AM206)/AVERAGE(終値!T206:AM206),""))</f>
        <v>7.280350390972759E-2</v>
      </c>
      <c r="R206" s="503">
        <f>IF(終値!A206="","",IFERROR(4*STDEVP(終値!U206:AN206)/AVERAGE(終値!U206:AN206),""))</f>
        <v>6.9428877544091785E-2</v>
      </c>
      <c r="S206" s="503">
        <f>IF(終値!A206="","",IFERROR(4*STDEVP(終値!V206:AO206)/AVERAGE(終値!V206:AO206),""))</f>
        <v>8.0415580775668169E-2</v>
      </c>
      <c r="T206" s="503">
        <f>IF(終値!A206="","",IFERROR(4*STDEVP(終値!W206:AP206)/AVERAGE(終値!W206:AP206),""))</f>
        <v>9.821661838479831E-2</v>
      </c>
      <c r="U206" s="503">
        <f>IF(終値!A206="","",IFERROR(4*STDEVP(終値!X206:AQ206)/AVERAGE(終値!X206:AQ206),""))</f>
        <v>0.11292159009723064</v>
      </c>
      <c r="V206" s="503">
        <f>IF(終値!A206="","",IFERROR(4*STDEVP(終値!Y206:AR206)/AVERAGE(終値!Y206:AR206),""))</f>
        <v>0.11992091487112336</v>
      </c>
      <c r="W206" s="503">
        <f>IF(終値!A206="","",IFERROR(4*STDEVP(終値!Z206:AS206)/AVERAGE(終値!Z206:AS206),""))</f>
        <v>0.12965822636215005</v>
      </c>
      <c r="X206" s="503">
        <f>IF(終値!A206="","",IFERROR(4*STDEVP(終値!AA206:AT206)/AVERAGE(終値!AA206:AT206),""))</f>
        <v>0.13636037447799332</v>
      </c>
      <c r="Y206" s="503">
        <f>IF(終値!A206="","",IFERROR(4*STDEVP(終値!AB206:AU206)/AVERAGE(終値!AB206:AU206),""))</f>
        <v>0.13433418297051947</v>
      </c>
      <c r="Z206" s="503">
        <f>IF(終値!A206="","",IFERROR(4*STDEVP(終値!AC206:AV206)/AVERAGE(終値!AC206:AV206),""))</f>
        <v>0.13038608209379107</v>
      </c>
      <c r="AA206" s="503">
        <f>IF(終値!A206="","",IFERROR(4*STDEVP(終値!AD206:AW206)/AVERAGE(終値!AD206:AW206),""))</f>
        <v>0.12048498136884078</v>
      </c>
      <c r="AB206" s="503">
        <f>IF(終値!A206="","",IFERROR(4*STDEVP(終値!AE206:AX206)/AVERAGE(終値!AE206:AX206),""))</f>
        <v>0.11754470061803511</v>
      </c>
      <c r="AC206" s="503">
        <f>IF(終値!A206="","",IFERROR(4*STDEVP(終値!AF206:AY206)/AVERAGE(終値!AF206:AY206),""))</f>
        <v>0.11339080360301161</v>
      </c>
      <c r="AD206" s="503">
        <f>IF(終値!A206="","",IFERROR(4*STDEVP(終値!AG206:AZ206)/AVERAGE(終値!AG206:AZ206),""))</f>
        <v>0.1147000425690671</v>
      </c>
      <c r="AE206" s="503">
        <f>IF(終値!A206="","",IFERROR(4*STDEVP(終値!AH206:BA206)/AVERAGE(終値!AH206:BA206),""))</f>
        <v>0.11340913766399581</v>
      </c>
      <c r="AF206" s="503">
        <f>IF(終値!A206="","",IFERROR(4*STDEVP(終値!AI206:BB206)/AVERAGE(終値!AI206:BB206),""))</f>
        <v>0.1130884744459511</v>
      </c>
      <c r="AG206" s="503">
        <f>IF(終値!A206="","",IFERROR(4*STDEVP(終値!AJ206:BC206)/AVERAGE(終値!AJ206:BC206),""))</f>
        <v>0.11160174442780108</v>
      </c>
      <c r="AH206" s="503">
        <f>IF(終値!A206="","",IFERROR(4*STDEVP(終値!AK206:BD206)/AVERAGE(終値!AK206:BD206),""))</f>
        <v>0.10947711002044183</v>
      </c>
      <c r="AI206" s="503">
        <f>IF(終値!A206="","",IFERROR(4*STDEVP(終値!AL206:BE206)/AVERAGE(終値!AL206:BE206),""))</f>
        <v>0.10187899868411382</v>
      </c>
      <c r="AJ206" s="503">
        <f>IF(終値!A206="","",IFERROR(4*STDEVP(終値!AM206:BF206)/AVERAGE(終値!AM206:BF206),""))</f>
        <v>9.7726881678342828E-2</v>
      </c>
      <c r="AK206" s="503">
        <f>IF(終値!A206="","",IFERROR(4*STDEVP(終値!AN206:BG206)/AVERAGE(終値!AN206:BG206),""))</f>
        <v>9.5428953840439604E-2</v>
      </c>
      <c r="AL206" s="503">
        <f>IF(終値!A206="","",IFERROR(4*STDEVP(終値!AO206:BH206)/AVERAGE(終値!AO206:BH206),""))</f>
        <v>9.557198109517738E-2</v>
      </c>
      <c r="AM206" s="503">
        <f>IF(終値!A206="","",IFERROR(4*STDEVP(終値!AP206:BI206)/AVERAGE(終値!AP206:BI206),""))</f>
        <v>9.7228484741834001E-2</v>
      </c>
      <c r="AN206" s="503">
        <f>IF(終値!A206="","",IFERROR(4*STDEVP(終値!AQ206:BJ206)/AVERAGE(終値!AQ206:BJ206),""))</f>
        <v>9.7155801279679238E-2</v>
      </c>
      <c r="AO206" s="503">
        <f>IF(終値!A206="","",IFERROR(4*STDEVP(終値!AR206:BK206)/AVERAGE(終値!AR206:BK206),""))</f>
        <v>9.0985809599858483E-2</v>
      </c>
      <c r="AP206" s="503">
        <f>IF(終値!A206="","",IFERROR(4*STDEVP(終値!AS206:BL206)/AVERAGE(終値!AS206:BL206),""))</f>
        <v>9.1166240250473832E-2</v>
      </c>
    </row>
    <row r="207" spans="1:42">
      <c r="A207" s="500" t="str">
        <f>IF(終値!A207="","",終値!A207)</f>
        <v>7011</v>
      </c>
      <c r="B207" s="503">
        <f>IF(終値!A207="","",IFERROR(4*STDEVP(終値!E207:X207)/AVERAGE(終値!E207:X207),""))</f>
        <v>0.10664898846394945</v>
      </c>
      <c r="C207" s="503">
        <f>IF(終値!A207="","",IFERROR(4*STDEVP(終値!F207:Y207)/AVERAGE(終値!F207:Y207),""))</f>
        <v>0.10751308011899402</v>
      </c>
      <c r="D207" s="503">
        <f>IF(終値!A207="","",IFERROR(4*STDEVP(終値!G207:Z207)/AVERAGE(終値!G207:Z207),""))</f>
        <v>0.11823304839061299</v>
      </c>
      <c r="E207" s="503">
        <f>IF(終値!A207="","",IFERROR(4*STDEVP(終値!H207:AA207)/AVERAGE(終値!H207:AA207),""))</f>
        <v>0.10442568461391599</v>
      </c>
      <c r="F207" s="503">
        <f>IF(終値!A207="","",IFERROR(4*STDEVP(終値!I207:AB207)/AVERAGE(終値!I207:AB207),""))</f>
        <v>0.10468279044428697</v>
      </c>
      <c r="G207" s="503">
        <f>IF(終値!A207="","",IFERROR(4*STDEVP(終値!J207:AC207)/AVERAGE(終値!J207:AC207),""))</f>
        <v>0.10594842558816783</v>
      </c>
      <c r="H207" s="503">
        <f>IF(終値!A207="","",IFERROR(4*STDEVP(終値!K207:AD207)/AVERAGE(終値!K207:AD207),""))</f>
        <v>0.11067301175334562</v>
      </c>
      <c r="I207" s="503">
        <f>IF(終値!A207="","",IFERROR(4*STDEVP(終値!L207:AE207)/AVERAGE(終値!L207:AE207),""))</f>
        <v>0.1164902217465061</v>
      </c>
      <c r="J207" s="503">
        <f>IF(終値!A207="","",IFERROR(4*STDEVP(終値!M207:AF207)/AVERAGE(終値!M207:AF207),""))</f>
        <v>0.13102905209159554</v>
      </c>
      <c r="K207" s="503">
        <f>IF(終値!A207="","",IFERROR(4*STDEVP(終値!N207:AG207)/AVERAGE(終値!N207:AG207),""))</f>
        <v>0.13745568294562954</v>
      </c>
      <c r="L207" s="503">
        <f>IF(終値!A207="","",IFERROR(4*STDEVP(終値!O207:AH207)/AVERAGE(終値!O207:AH207),""))</f>
        <v>0.13381396068183135</v>
      </c>
      <c r="M207" s="503">
        <f>IF(終値!A207="","",IFERROR(4*STDEVP(終値!P207:AI207)/AVERAGE(終値!P207:AI207),""))</f>
        <v>0.13015451973725406</v>
      </c>
      <c r="N207" s="503">
        <f>IF(終値!A207="","",IFERROR(4*STDEVP(終値!Q207:AJ207)/AVERAGE(終値!Q207:AJ207),""))</f>
        <v>0.13099136057894212</v>
      </c>
      <c r="O207" s="503">
        <f>IF(終値!A207="","",IFERROR(4*STDEVP(終値!R207:AK207)/AVERAGE(終値!R207:AK207),""))</f>
        <v>0.13364685191703418</v>
      </c>
      <c r="P207" s="503">
        <f>IF(終値!A207="","",IFERROR(4*STDEVP(終値!S207:AL207)/AVERAGE(終値!S207:AL207),""))</f>
        <v>0.13691982307120659</v>
      </c>
      <c r="Q207" s="503">
        <f>IF(終値!A207="","",IFERROR(4*STDEVP(終値!T207:AM207)/AVERAGE(終値!T207:AM207),""))</f>
        <v>0.13742545063504874</v>
      </c>
      <c r="R207" s="503">
        <f>IF(終値!A207="","",IFERROR(4*STDEVP(終値!U207:AN207)/AVERAGE(終値!U207:AN207),""))</f>
        <v>0.13666944272017403</v>
      </c>
      <c r="S207" s="503">
        <f>IF(終値!A207="","",IFERROR(4*STDEVP(終値!V207:AO207)/AVERAGE(終値!V207:AO207),""))</f>
        <v>0.1405430994563891</v>
      </c>
      <c r="T207" s="503">
        <f>IF(終値!A207="","",IFERROR(4*STDEVP(終値!W207:AP207)/AVERAGE(終値!W207:AP207),""))</f>
        <v>0.15303791657177207</v>
      </c>
      <c r="U207" s="503">
        <f>IF(終値!A207="","",IFERROR(4*STDEVP(終値!X207:AQ207)/AVERAGE(終値!X207:AQ207),""))</f>
        <v>0.16764597240017431</v>
      </c>
      <c r="V207" s="503">
        <f>IF(終値!A207="","",IFERROR(4*STDEVP(終値!Y207:AR207)/AVERAGE(終値!Y207:AR207),""))</f>
        <v>0.1733810696251897</v>
      </c>
      <c r="W207" s="503">
        <f>IF(終値!A207="","",IFERROR(4*STDEVP(終値!Z207:AS207)/AVERAGE(終値!Z207:AS207),""))</f>
        <v>0.16318963516487175</v>
      </c>
      <c r="X207" s="503">
        <f>IF(終値!A207="","",IFERROR(4*STDEVP(終値!AA207:AT207)/AVERAGE(終値!AA207:AT207),""))</f>
        <v>0.13750812343802682</v>
      </c>
      <c r="Y207" s="503">
        <f>IF(終値!A207="","",IFERROR(4*STDEVP(終値!AB207:AU207)/AVERAGE(終値!AB207:AU207),""))</f>
        <v>0.13681750337966367</v>
      </c>
      <c r="Z207" s="503">
        <f>IF(終値!A207="","",IFERROR(4*STDEVP(終値!AC207:AV207)/AVERAGE(終値!AC207:AV207),""))</f>
        <v>0.14044566432085726</v>
      </c>
      <c r="AA207" s="503">
        <f>IF(終値!A207="","",IFERROR(4*STDEVP(終値!AD207:AW207)/AVERAGE(終値!AD207:AW207),""))</f>
        <v>0.14794523039023016</v>
      </c>
      <c r="AB207" s="503">
        <f>IF(終値!A207="","",IFERROR(4*STDEVP(終値!AE207:AX207)/AVERAGE(終値!AE207:AX207),""))</f>
        <v>0.14944613534002077</v>
      </c>
      <c r="AC207" s="503">
        <f>IF(終値!A207="","",IFERROR(4*STDEVP(終値!AF207:AY207)/AVERAGE(終値!AF207:AY207),""))</f>
        <v>0.15012390662762826</v>
      </c>
      <c r="AD207" s="503">
        <f>IF(終値!A207="","",IFERROR(4*STDEVP(終値!AG207:AZ207)/AVERAGE(終値!AG207:AZ207),""))</f>
        <v>0.15066530067488615</v>
      </c>
      <c r="AE207" s="503">
        <f>IF(終値!A207="","",IFERROR(4*STDEVP(終値!AH207:BA207)/AVERAGE(終値!AH207:BA207),""))</f>
        <v>0.15275749891029164</v>
      </c>
      <c r="AF207" s="503">
        <f>IF(終値!A207="","",IFERROR(4*STDEVP(終値!AI207:BB207)/AVERAGE(終値!AI207:BB207),""))</f>
        <v>0.16085482133928536</v>
      </c>
      <c r="AG207" s="503">
        <f>IF(終値!A207="","",IFERROR(4*STDEVP(終値!AJ207:BC207)/AVERAGE(終値!AJ207:BC207),""))</f>
        <v>0.16690550317004463</v>
      </c>
      <c r="AH207" s="503">
        <f>IF(終値!A207="","",IFERROR(4*STDEVP(終値!AK207:BD207)/AVERAGE(終値!AK207:BD207),""))</f>
        <v>0.17407551029725254</v>
      </c>
      <c r="AI207" s="503">
        <f>IF(終値!A207="","",IFERROR(4*STDEVP(終値!AL207:BE207)/AVERAGE(終値!AL207:BE207),""))</f>
        <v>0.18921539903702655</v>
      </c>
      <c r="AJ207" s="503">
        <f>IF(終値!A207="","",IFERROR(4*STDEVP(終値!AM207:BF207)/AVERAGE(終値!AM207:BF207),""))</f>
        <v>0.19841940539081665</v>
      </c>
      <c r="AK207" s="503">
        <f>IF(終値!A207="","",IFERROR(4*STDEVP(終値!AN207:BG207)/AVERAGE(終値!AN207:BG207),""))</f>
        <v>0.20826502478162237</v>
      </c>
      <c r="AL207" s="503">
        <f>IF(終値!A207="","",IFERROR(4*STDEVP(終値!AO207:BH207)/AVERAGE(終値!AO207:BH207),""))</f>
        <v>0.22304566298510214</v>
      </c>
      <c r="AM207" s="503">
        <f>IF(終値!A207="","",IFERROR(4*STDEVP(終値!AP207:BI207)/AVERAGE(終値!AP207:BI207),""))</f>
        <v>0.25380570721310525</v>
      </c>
      <c r="AN207" s="503">
        <f>IF(終値!A207="","",IFERROR(4*STDEVP(終値!AQ207:BJ207)/AVERAGE(終値!AQ207:BJ207),""))</f>
        <v>0.25829782135289547</v>
      </c>
      <c r="AO207" s="503">
        <f>IF(終値!A207="","",IFERROR(4*STDEVP(終値!AR207:BK207)/AVERAGE(終値!AR207:BK207),""))</f>
        <v>0.25931138244730911</v>
      </c>
      <c r="AP207" s="503">
        <f>IF(終値!A207="","",IFERROR(4*STDEVP(終値!AS207:BL207)/AVERAGE(終値!AS207:BL207),""))</f>
        <v>0.27079378447663349</v>
      </c>
    </row>
    <row r="208" spans="1:42">
      <c r="A208" s="500" t="str">
        <f>IF(終値!A208="","",終値!A208)</f>
        <v>1812</v>
      </c>
      <c r="B208" s="503">
        <f>IF(終値!A208="","",IFERROR(4*STDEVP(終値!E208:X208)/AVERAGE(終値!E208:X208),""))</f>
        <v>0.13911896994584522</v>
      </c>
      <c r="C208" s="503">
        <f>IF(終値!A208="","",IFERROR(4*STDEVP(終値!F208:Y208)/AVERAGE(終値!F208:Y208),""))</f>
        <v>0.14849350764744004</v>
      </c>
      <c r="D208" s="503">
        <f>IF(終値!A208="","",IFERROR(4*STDEVP(終値!G208:Z208)/AVERAGE(終値!G208:Z208),""))</f>
        <v>0.16917517171392377</v>
      </c>
      <c r="E208" s="503">
        <f>IF(終値!A208="","",IFERROR(4*STDEVP(終値!H208:AA208)/AVERAGE(終値!H208:AA208),""))</f>
        <v>0.17689177423475722</v>
      </c>
      <c r="F208" s="503">
        <f>IF(終値!A208="","",IFERROR(4*STDEVP(終値!I208:AB208)/AVERAGE(終値!I208:AB208),""))</f>
        <v>0.16956718439059013</v>
      </c>
      <c r="G208" s="503">
        <f>IF(終値!A208="","",IFERROR(4*STDEVP(終値!J208:AC208)/AVERAGE(終値!J208:AC208),""))</f>
        <v>0.16496834265431523</v>
      </c>
      <c r="H208" s="503">
        <f>IF(終値!A208="","",IFERROR(4*STDEVP(終値!K208:AD208)/AVERAGE(終値!K208:AD208),""))</f>
        <v>0.15577562979561765</v>
      </c>
      <c r="I208" s="503">
        <f>IF(終値!A208="","",IFERROR(4*STDEVP(終値!L208:AE208)/AVERAGE(終値!L208:AE208),""))</f>
        <v>0.14510622917179711</v>
      </c>
      <c r="J208" s="503">
        <f>IF(終値!A208="","",IFERROR(4*STDEVP(終値!M208:AF208)/AVERAGE(終値!M208:AF208),""))</f>
        <v>0.13717788328185918</v>
      </c>
      <c r="K208" s="503">
        <f>IF(終値!A208="","",IFERROR(4*STDEVP(終値!N208:AG208)/AVERAGE(終値!N208:AG208),""))</f>
        <v>0.13682183417305424</v>
      </c>
      <c r="L208" s="503">
        <f>IF(終値!A208="","",IFERROR(4*STDEVP(終値!O208:AH208)/AVERAGE(終値!O208:AH208),""))</f>
        <v>0.13337473308048528</v>
      </c>
      <c r="M208" s="503">
        <f>IF(終値!A208="","",IFERROR(4*STDEVP(終値!P208:AI208)/AVERAGE(終値!P208:AI208),""))</f>
        <v>0.13191115960850303</v>
      </c>
      <c r="N208" s="503">
        <f>IF(終値!A208="","",IFERROR(4*STDEVP(終値!Q208:AJ208)/AVERAGE(終値!Q208:AJ208),""))</f>
        <v>0.12965304131870642</v>
      </c>
      <c r="O208" s="503">
        <f>IF(終値!A208="","",IFERROR(4*STDEVP(終値!R208:AK208)/AVERAGE(終値!R208:AK208),""))</f>
        <v>0.12617166732250712</v>
      </c>
      <c r="P208" s="503">
        <f>IF(終値!A208="","",IFERROR(4*STDEVP(終値!S208:AL208)/AVERAGE(終値!S208:AL208),""))</f>
        <v>0.11763726550062517</v>
      </c>
      <c r="Q208" s="503">
        <f>IF(終値!A208="","",IFERROR(4*STDEVP(終値!T208:AM208)/AVERAGE(終値!T208:AM208),""))</f>
        <v>0.11539250527305193</v>
      </c>
      <c r="R208" s="503">
        <f>IF(終値!A208="","",IFERROR(4*STDEVP(終値!U208:AN208)/AVERAGE(終値!U208:AN208),""))</f>
        <v>0.10418273156492744</v>
      </c>
      <c r="S208" s="503">
        <f>IF(終値!A208="","",IFERROR(4*STDEVP(終値!V208:AO208)/AVERAGE(終値!V208:AO208),""))</f>
        <v>0.10108629480067582</v>
      </c>
      <c r="T208" s="503">
        <f>IF(終値!A208="","",IFERROR(4*STDEVP(終値!W208:AP208)/AVERAGE(終値!W208:AP208),""))</f>
        <v>0.11490715954845743</v>
      </c>
      <c r="U208" s="503">
        <f>IF(終値!A208="","",IFERROR(4*STDEVP(終値!X208:AQ208)/AVERAGE(終値!X208:AQ208),""))</f>
        <v>0.13300236439318378</v>
      </c>
      <c r="V208" s="503">
        <f>IF(終値!A208="","",IFERROR(4*STDEVP(終値!Y208:AR208)/AVERAGE(終値!Y208:AR208),""))</f>
        <v>0.14134818355036818</v>
      </c>
      <c r="W208" s="503">
        <f>IF(終値!A208="","",IFERROR(4*STDEVP(終値!Z208:AS208)/AVERAGE(終値!Z208:AS208),""))</f>
        <v>0.1547173617657065</v>
      </c>
      <c r="X208" s="503">
        <f>IF(終値!A208="","",IFERROR(4*STDEVP(終値!AA208:AT208)/AVERAGE(終値!AA208:AT208),""))</f>
        <v>0.1478942988114306</v>
      </c>
      <c r="Y208" s="503">
        <f>IF(終値!A208="","",IFERROR(4*STDEVP(終値!AB208:AU208)/AVERAGE(終値!AB208:AU208),""))</f>
        <v>0.14812758572915791</v>
      </c>
      <c r="Z208" s="503">
        <f>IF(終値!A208="","",IFERROR(4*STDEVP(終値!AC208:AV208)/AVERAGE(終値!AC208:AV208),""))</f>
        <v>0.14826735206700428</v>
      </c>
      <c r="AA208" s="503">
        <f>IF(終値!A208="","",IFERROR(4*STDEVP(終値!AD208:AW208)/AVERAGE(終値!AD208:AW208),""))</f>
        <v>0.14851934471710809</v>
      </c>
      <c r="AB208" s="503">
        <f>IF(終値!A208="","",IFERROR(4*STDEVP(終値!AE208:AX208)/AVERAGE(終値!AE208:AX208),""))</f>
        <v>0.14941671923212313</v>
      </c>
      <c r="AC208" s="503">
        <f>IF(終値!A208="","",IFERROR(4*STDEVP(終値!AF208:AY208)/AVERAGE(終値!AF208:AY208),""))</f>
        <v>0.147970022752691</v>
      </c>
      <c r="AD208" s="503">
        <f>IF(終値!A208="","",IFERROR(4*STDEVP(終値!AG208:AZ208)/AVERAGE(終値!AG208:AZ208),""))</f>
        <v>0.14788709125576621</v>
      </c>
      <c r="AE208" s="503">
        <f>IF(終値!A208="","",IFERROR(4*STDEVP(終値!AH208:BA208)/AVERAGE(終値!AH208:BA208),""))</f>
        <v>0.14803593794178938</v>
      </c>
      <c r="AF208" s="503">
        <f>IF(終値!A208="","",IFERROR(4*STDEVP(終値!AI208:BB208)/AVERAGE(終値!AI208:BB208),""))</f>
        <v>0.15318725977736436</v>
      </c>
      <c r="AG208" s="503">
        <f>IF(終値!A208="","",IFERROR(4*STDEVP(終値!AJ208:BC208)/AVERAGE(終値!AJ208:BC208),""))</f>
        <v>0.15435772726823307</v>
      </c>
      <c r="AH208" s="503">
        <f>IF(終値!A208="","",IFERROR(4*STDEVP(終値!AK208:BD208)/AVERAGE(終値!AK208:BD208),""))</f>
        <v>0.14980853902254329</v>
      </c>
      <c r="AI208" s="503">
        <f>IF(終値!A208="","",IFERROR(4*STDEVP(終値!AL208:BE208)/AVERAGE(終値!AL208:BE208),""))</f>
        <v>0.14532663949255412</v>
      </c>
      <c r="AJ208" s="503">
        <f>IF(終値!A208="","",IFERROR(4*STDEVP(終値!AM208:BF208)/AVERAGE(終値!AM208:BF208),""))</f>
        <v>0.13581677594099018</v>
      </c>
      <c r="AK208" s="503">
        <f>IF(終値!A208="","",IFERROR(4*STDEVP(終値!AN208:BG208)/AVERAGE(終値!AN208:BG208),""))</f>
        <v>0.13265758644685013</v>
      </c>
      <c r="AL208" s="503">
        <f>IF(終値!A208="","",IFERROR(4*STDEVP(終値!AO208:BH208)/AVERAGE(終値!AO208:BH208),""))</f>
        <v>0.15165662629397225</v>
      </c>
      <c r="AM208" s="503">
        <f>IF(終値!A208="","",IFERROR(4*STDEVP(終値!AP208:BI208)/AVERAGE(終値!AP208:BI208),""))</f>
        <v>0.18340599071790398</v>
      </c>
      <c r="AN208" s="503">
        <f>IF(終値!A208="","",IFERROR(4*STDEVP(終値!AQ208:BJ208)/AVERAGE(終値!AQ208:BJ208),""))</f>
        <v>0.22378679540710444</v>
      </c>
      <c r="AO208" s="503">
        <f>IF(終値!A208="","",IFERROR(4*STDEVP(終値!AR208:BK208)/AVERAGE(終値!AR208:BK208),""))</f>
        <v>0.23043381995238016</v>
      </c>
      <c r="AP208" s="503">
        <f>IF(終値!A208="","",IFERROR(4*STDEVP(終値!AS208:BL208)/AVERAGE(終値!AS208:BL208),""))</f>
        <v>0.23295160670789974</v>
      </c>
    </row>
    <row r="209" spans="1:42">
      <c r="A209" s="500" t="str">
        <f>IF(終値!A209="","",終値!A209)</f>
        <v>6861</v>
      </c>
      <c r="B209" s="503">
        <f>IF(終値!A209="","",IFERROR(4*STDEVP(終値!E209:X209)/AVERAGE(終値!E209:X209),""))</f>
        <v>0.2442659786939794</v>
      </c>
      <c r="C209" s="503">
        <f>IF(終値!A209="","",IFERROR(4*STDEVP(終値!F209:Y209)/AVERAGE(終値!F209:Y209),""))</f>
        <v>0.2224776513265023</v>
      </c>
      <c r="D209" s="503">
        <f>IF(終値!A209="","",IFERROR(4*STDEVP(終値!G209:Z209)/AVERAGE(終値!G209:Z209),""))</f>
        <v>0.1888338051650312</v>
      </c>
      <c r="E209" s="503">
        <f>IF(終値!A209="","",IFERROR(4*STDEVP(終値!H209:AA209)/AVERAGE(終値!H209:AA209),""))</f>
        <v>0.17805809920373833</v>
      </c>
      <c r="F209" s="503">
        <f>IF(終値!A209="","",IFERROR(4*STDEVP(終値!I209:AB209)/AVERAGE(終値!I209:AB209),""))</f>
        <v>0.1773244768522553</v>
      </c>
      <c r="G209" s="503">
        <f>IF(終値!A209="","",IFERROR(4*STDEVP(終値!J209:AC209)/AVERAGE(終値!J209:AC209),""))</f>
        <v>0.17932302305146527</v>
      </c>
      <c r="H209" s="503">
        <f>IF(終値!A209="","",IFERROR(4*STDEVP(終値!K209:AD209)/AVERAGE(終値!K209:AD209),""))</f>
        <v>0.18551739581394605</v>
      </c>
      <c r="I209" s="503">
        <f>IF(終値!A209="","",IFERROR(4*STDEVP(終値!L209:AE209)/AVERAGE(終値!L209:AE209),""))</f>
        <v>0.18629198894162499</v>
      </c>
      <c r="J209" s="503">
        <f>IF(終値!A209="","",IFERROR(4*STDEVP(終値!M209:AF209)/AVERAGE(終値!M209:AF209),""))</f>
        <v>0.17539609357333497</v>
      </c>
      <c r="K209" s="503">
        <f>IF(終値!A209="","",IFERROR(4*STDEVP(終値!N209:AG209)/AVERAGE(終値!N209:AG209),""))</f>
        <v>0.17337734483924505</v>
      </c>
      <c r="L209" s="503">
        <f>IF(終値!A209="","",IFERROR(4*STDEVP(終値!O209:AH209)/AVERAGE(終値!O209:AH209),""))</f>
        <v>0.16347924577200645</v>
      </c>
      <c r="M209" s="503">
        <f>IF(終値!A209="","",IFERROR(4*STDEVP(終値!P209:AI209)/AVERAGE(終値!P209:AI209),""))</f>
        <v>0.15476711934379112</v>
      </c>
      <c r="N209" s="503">
        <f>IF(終値!A209="","",IFERROR(4*STDEVP(終値!Q209:AJ209)/AVERAGE(終値!Q209:AJ209),""))</f>
        <v>0.14345653841190847</v>
      </c>
      <c r="O209" s="503">
        <f>IF(終値!A209="","",IFERROR(4*STDEVP(終値!R209:AK209)/AVERAGE(終値!R209:AK209),""))</f>
        <v>0.12866683997698722</v>
      </c>
      <c r="P209" s="503">
        <f>IF(終値!A209="","",IFERROR(4*STDEVP(終値!S209:AL209)/AVERAGE(終値!S209:AL209),""))</f>
        <v>0.10161347125735347</v>
      </c>
      <c r="Q209" s="503">
        <f>IF(終値!A209="","",IFERROR(4*STDEVP(終値!T209:AM209)/AVERAGE(終値!T209:AM209),""))</f>
        <v>0.10391420011196766</v>
      </c>
      <c r="R209" s="503">
        <f>IF(終値!A209="","",IFERROR(4*STDEVP(終値!U209:AN209)/AVERAGE(終値!U209:AN209),""))</f>
        <v>0.10357812729136068</v>
      </c>
      <c r="S209" s="503">
        <f>IF(終値!A209="","",IFERROR(4*STDEVP(終値!V209:AO209)/AVERAGE(終値!V209:AO209),""))</f>
        <v>0.10576104872159965</v>
      </c>
      <c r="T209" s="503">
        <f>IF(終値!A209="","",IFERROR(4*STDEVP(終値!W209:AP209)/AVERAGE(終値!W209:AP209),""))</f>
        <v>0.12055499570781439</v>
      </c>
      <c r="U209" s="503">
        <f>IF(終値!A209="","",IFERROR(4*STDEVP(終値!X209:AQ209)/AVERAGE(終値!X209:AQ209),""))</f>
        <v>0.13866699773347968</v>
      </c>
      <c r="V209" s="503">
        <f>IF(終値!A209="","",IFERROR(4*STDEVP(終値!Y209:AR209)/AVERAGE(終値!Y209:AR209),""))</f>
        <v>0.14476620760608547</v>
      </c>
      <c r="W209" s="503">
        <f>IF(終値!A209="","",IFERROR(4*STDEVP(終値!Z209:AS209)/AVERAGE(終値!Z209:AS209),""))</f>
        <v>0.14670996668233316</v>
      </c>
      <c r="X209" s="503">
        <f>IF(終値!A209="","",IFERROR(4*STDEVP(終値!AA209:AT209)/AVERAGE(終値!AA209:AT209),""))</f>
        <v>0.14028267619377338</v>
      </c>
      <c r="Y209" s="503">
        <f>IF(終値!A209="","",IFERROR(4*STDEVP(終値!AB209:AU209)/AVERAGE(終値!AB209:AU209),""))</f>
        <v>0.13948614547065155</v>
      </c>
      <c r="Z209" s="503">
        <f>IF(終値!A209="","",IFERROR(4*STDEVP(終値!AC209:AV209)/AVERAGE(終値!AC209:AV209),""))</f>
        <v>0.14026771888814432</v>
      </c>
      <c r="AA209" s="503">
        <f>IF(終値!A209="","",IFERROR(4*STDEVP(終値!AD209:AW209)/AVERAGE(終値!AD209:AW209),""))</f>
        <v>0.1301542559598855</v>
      </c>
      <c r="AB209" s="503">
        <f>IF(終値!A209="","",IFERROR(4*STDEVP(終値!AE209:AX209)/AVERAGE(終値!AE209:AX209),""))</f>
        <v>0.12634716020849318</v>
      </c>
      <c r="AC209" s="503">
        <f>IF(終値!A209="","",IFERROR(4*STDEVP(終値!AF209:AY209)/AVERAGE(終値!AF209:AY209),""))</f>
        <v>0.12638452087526331</v>
      </c>
      <c r="AD209" s="503">
        <f>IF(終値!A209="","",IFERROR(4*STDEVP(終値!AG209:AZ209)/AVERAGE(終値!AG209:AZ209),""))</f>
        <v>0.12660270948738464</v>
      </c>
      <c r="AE209" s="503">
        <f>IF(終値!A209="","",IFERROR(4*STDEVP(終値!AH209:BA209)/AVERAGE(終値!AH209:BA209),""))</f>
        <v>0.12901753355690032</v>
      </c>
      <c r="AF209" s="503">
        <f>IF(終値!A209="","",IFERROR(4*STDEVP(終値!AI209:BB209)/AVERAGE(終値!AI209:BB209),""))</f>
        <v>0.13271251789098593</v>
      </c>
      <c r="AG209" s="503">
        <f>IF(終値!A209="","",IFERROR(4*STDEVP(終値!AJ209:BC209)/AVERAGE(終値!AJ209:BC209),""))</f>
        <v>0.13207515146609275</v>
      </c>
      <c r="AH209" s="503">
        <f>IF(終値!A209="","",IFERROR(4*STDEVP(終値!AK209:BD209)/AVERAGE(終値!AK209:BD209),""))</f>
        <v>0.13853962115524932</v>
      </c>
      <c r="AI209" s="503">
        <f>IF(終値!A209="","",IFERROR(4*STDEVP(終値!AL209:BE209)/AVERAGE(終値!AL209:BE209),""))</f>
        <v>0.13900188492340079</v>
      </c>
      <c r="AJ209" s="503">
        <f>IF(終値!A209="","",IFERROR(4*STDEVP(終値!AM209:BF209)/AVERAGE(終値!AM209:BF209),""))</f>
        <v>0.13849927723774785</v>
      </c>
      <c r="AK209" s="503">
        <f>IF(終値!A209="","",IFERROR(4*STDEVP(終値!AN209:BG209)/AVERAGE(終値!AN209:BG209),""))</f>
        <v>0.13838893796659299</v>
      </c>
      <c r="AL209" s="503">
        <f>IF(終値!A209="","",IFERROR(4*STDEVP(終値!AO209:BH209)/AVERAGE(終値!AO209:BH209),""))</f>
        <v>0.13813792738407751</v>
      </c>
      <c r="AM209" s="503">
        <f>IF(終値!A209="","",IFERROR(4*STDEVP(終値!AP209:BI209)/AVERAGE(終値!AP209:BI209),""))</f>
        <v>0.14131074852159767</v>
      </c>
      <c r="AN209" s="503">
        <f>IF(終値!A209="","",IFERROR(4*STDEVP(終値!AQ209:BJ209)/AVERAGE(終値!AQ209:BJ209),""))</f>
        <v>0.13475590265737017</v>
      </c>
      <c r="AO209" s="503">
        <f>IF(終値!A209="","",IFERROR(4*STDEVP(終値!AR209:BK209)/AVERAGE(終値!AR209:BK209),""))</f>
        <v>0.12807209176154305</v>
      </c>
      <c r="AP209" s="503">
        <f>IF(終値!A209="","",IFERROR(4*STDEVP(終値!AS209:BL209)/AVERAGE(終値!AS209:BL209),""))</f>
        <v>0.13477715669536094</v>
      </c>
    </row>
    <row r="210" spans="1:42">
      <c r="A210" s="500" t="str">
        <f>IF(終値!A210="","",終値!A210)</f>
        <v>6324</v>
      </c>
      <c r="B210" s="503">
        <f>IF(終値!A210="","",IFERROR(4*STDEVP(終値!E210:X210)/AVERAGE(終値!E210:X210),""))</f>
        <v>0.40417073050455105</v>
      </c>
      <c r="C210" s="503">
        <f>IF(終値!A210="","",IFERROR(4*STDEVP(終値!F210:Y210)/AVERAGE(終値!F210:Y210),""))</f>
        <v>0.4263277151275815</v>
      </c>
      <c r="D210" s="503">
        <f>IF(終値!A210="","",IFERROR(4*STDEVP(終値!G210:Z210)/AVERAGE(終値!G210:Z210),""))</f>
        <v>0.4921972033255253</v>
      </c>
      <c r="E210" s="503">
        <f>IF(終値!A210="","",IFERROR(4*STDEVP(終値!H210:AA210)/AVERAGE(終値!H210:AA210),""))</f>
        <v>0.54180143151043569</v>
      </c>
      <c r="F210" s="503">
        <f>IF(終値!A210="","",IFERROR(4*STDEVP(終値!I210:AB210)/AVERAGE(終値!I210:AB210),""))</f>
        <v>0.54476812288844734</v>
      </c>
      <c r="G210" s="503">
        <f>IF(終値!A210="","",IFERROR(4*STDEVP(終値!J210:AC210)/AVERAGE(終値!J210:AC210),""))</f>
        <v>0.53436378333899914</v>
      </c>
      <c r="H210" s="503">
        <f>IF(終値!A210="","",IFERROR(4*STDEVP(終値!K210:AD210)/AVERAGE(終値!K210:AD210),""))</f>
        <v>0.48548883605415599</v>
      </c>
      <c r="I210" s="503">
        <f>IF(終値!A210="","",IFERROR(4*STDEVP(終値!L210:AE210)/AVERAGE(終値!L210:AE210),""))</f>
        <v>0.42201527828967433</v>
      </c>
      <c r="J210" s="503">
        <f>IF(終値!A210="","",IFERROR(4*STDEVP(終値!M210:AF210)/AVERAGE(終値!M210:AF210),""))</f>
        <v>0.37127802978480212</v>
      </c>
      <c r="K210" s="503">
        <f>IF(終値!A210="","",IFERROR(4*STDEVP(終値!N210:AG210)/AVERAGE(終値!N210:AG210),""))</f>
        <v>0.35597564077624849</v>
      </c>
      <c r="L210" s="503">
        <f>IF(終値!A210="","",IFERROR(4*STDEVP(終値!O210:AH210)/AVERAGE(終値!O210:AH210),""))</f>
        <v>0.33499669250986619</v>
      </c>
      <c r="M210" s="503">
        <f>IF(終値!A210="","",IFERROR(4*STDEVP(終値!P210:AI210)/AVERAGE(終値!P210:AI210),""))</f>
        <v>0.32227030623027964</v>
      </c>
      <c r="N210" s="503">
        <f>IF(終値!A210="","",IFERROR(4*STDEVP(終値!Q210:AJ210)/AVERAGE(終値!Q210:AJ210),""))</f>
        <v>0.32844061893339987</v>
      </c>
      <c r="O210" s="503">
        <f>IF(終値!A210="","",IFERROR(4*STDEVP(終値!R210:AK210)/AVERAGE(終値!R210:AK210),""))</f>
        <v>0.29681610741917491</v>
      </c>
      <c r="P210" s="503">
        <f>IF(終値!A210="","",IFERROR(4*STDEVP(終値!S210:AL210)/AVERAGE(終値!S210:AL210),""))</f>
        <v>0.25205686087025014</v>
      </c>
      <c r="Q210" s="503">
        <f>IF(終値!A210="","",IFERROR(4*STDEVP(終値!T210:AM210)/AVERAGE(終値!T210:AM210),""))</f>
        <v>0.24690284610017038</v>
      </c>
      <c r="R210" s="503">
        <f>IF(終値!A210="","",IFERROR(4*STDEVP(終値!U210:AN210)/AVERAGE(終値!U210:AN210),""))</f>
        <v>0.26352662417212175</v>
      </c>
      <c r="S210" s="503">
        <f>IF(終値!A210="","",IFERROR(4*STDEVP(終値!V210:AO210)/AVERAGE(終値!V210:AO210),""))</f>
        <v>0.27829995995293633</v>
      </c>
      <c r="T210" s="503">
        <f>IF(終値!A210="","",IFERROR(4*STDEVP(終値!W210:AP210)/AVERAGE(終値!W210:AP210),""))</f>
        <v>0.3141780738416397</v>
      </c>
      <c r="U210" s="503">
        <f>IF(終値!A210="","",IFERROR(4*STDEVP(終値!X210:AQ210)/AVERAGE(終値!X210:AQ210),""))</f>
        <v>0.35714474652169126</v>
      </c>
      <c r="V210" s="503">
        <f>IF(終値!A210="","",IFERROR(4*STDEVP(終値!Y210:AR210)/AVERAGE(終値!Y210:AR210),""))</f>
        <v>0.39639032947380254</v>
      </c>
      <c r="W210" s="503">
        <f>IF(終値!A210="","",IFERROR(4*STDEVP(終値!Z210:AS210)/AVERAGE(終値!Z210:AS210),""))</f>
        <v>0.3996438850899956</v>
      </c>
      <c r="X210" s="503">
        <f>IF(終値!A210="","",IFERROR(4*STDEVP(終値!AA210:AT210)/AVERAGE(終値!AA210:AT210),""))</f>
        <v>0.37407577054497659</v>
      </c>
      <c r="Y210" s="503">
        <f>IF(終値!A210="","",IFERROR(4*STDEVP(終値!AB210:AU210)/AVERAGE(終値!AB210:AU210),""))</f>
        <v>0.34470458400134285</v>
      </c>
      <c r="Z210" s="503">
        <f>IF(終値!A210="","",IFERROR(4*STDEVP(終値!AC210:AV210)/AVERAGE(終値!AC210:AV210),""))</f>
        <v>0.33387773456714531</v>
      </c>
      <c r="AA210" s="503">
        <f>IF(終値!A210="","",IFERROR(4*STDEVP(終値!AD210:AW210)/AVERAGE(終値!AD210:AW210),""))</f>
        <v>0.32657189232022399</v>
      </c>
      <c r="AB210" s="503">
        <f>IF(終値!A210="","",IFERROR(4*STDEVP(終値!AE210:AX210)/AVERAGE(終値!AE210:AX210),""))</f>
        <v>0.32677298176582981</v>
      </c>
      <c r="AC210" s="503">
        <f>IF(終値!A210="","",IFERROR(4*STDEVP(終値!AF210:AY210)/AVERAGE(終値!AF210:AY210),""))</f>
        <v>0.32765026219453275</v>
      </c>
      <c r="AD210" s="503">
        <f>IF(終値!A210="","",IFERROR(4*STDEVP(終値!AG210:AZ210)/AVERAGE(終値!AG210:AZ210),""))</f>
        <v>0.33001256949472257</v>
      </c>
      <c r="AE210" s="503">
        <f>IF(終値!A210="","",IFERROR(4*STDEVP(終値!AH210:BA210)/AVERAGE(終値!AH210:BA210),""))</f>
        <v>0.32610520752281752</v>
      </c>
      <c r="AF210" s="503">
        <f>IF(終値!A210="","",IFERROR(4*STDEVP(終値!AI210:BB210)/AVERAGE(終値!AI210:BB210),""))</f>
        <v>0.32498841891251423</v>
      </c>
      <c r="AG210" s="503">
        <f>IF(終値!A210="","",IFERROR(4*STDEVP(終値!AJ210:BC210)/AVERAGE(終値!AJ210:BC210),""))</f>
        <v>0.33634697908858824</v>
      </c>
      <c r="AH210" s="503">
        <f>IF(終値!A210="","",IFERROR(4*STDEVP(終値!AK210:BD210)/AVERAGE(終値!AK210:BD210),""))</f>
        <v>0.32701416347356338</v>
      </c>
      <c r="AI210" s="503">
        <f>IF(終値!A210="","",IFERROR(4*STDEVP(終値!AL210:BE210)/AVERAGE(終値!AL210:BE210),""))</f>
        <v>0.34604421473004832</v>
      </c>
      <c r="AJ210" s="503">
        <f>IF(終値!A210="","",IFERROR(4*STDEVP(終値!AM210:BF210)/AVERAGE(終値!AM210:BF210),""))</f>
        <v>0.33580193141564807</v>
      </c>
      <c r="AK210" s="503">
        <f>IF(終値!A210="","",IFERROR(4*STDEVP(終値!AN210:BG210)/AVERAGE(終値!AN210:BG210),""))</f>
        <v>0.31848763914748812</v>
      </c>
      <c r="AL210" s="503">
        <f>IF(終値!A210="","",IFERROR(4*STDEVP(終値!AO210:BH210)/AVERAGE(終値!AO210:BH210),""))</f>
        <v>0.32633035929856608</v>
      </c>
      <c r="AM210" s="503">
        <f>IF(終値!A210="","",IFERROR(4*STDEVP(終値!AP210:BI210)/AVERAGE(終値!AP210:BI210),""))</f>
        <v>0.32601365316131592</v>
      </c>
      <c r="AN210" s="503">
        <f>IF(終値!A210="","",IFERROR(4*STDEVP(終値!AQ210:BJ210)/AVERAGE(終値!AQ210:BJ210),""))</f>
        <v>0.32498955579139477</v>
      </c>
      <c r="AO210" s="503">
        <f>IF(終値!A210="","",IFERROR(4*STDEVP(終値!AR210:BK210)/AVERAGE(終値!AR210:BK210),""))</f>
        <v>0.32104088338004361</v>
      </c>
      <c r="AP210" s="503">
        <f>IF(終値!A210="","",IFERROR(4*STDEVP(終値!AS210:BL210)/AVERAGE(終値!AS210:BL210),""))</f>
        <v>0.3214270272832217</v>
      </c>
    </row>
    <row r="211" spans="1:42">
      <c r="A211" s="500" t="str">
        <f>IF(終値!A211="","",終値!A211)</f>
        <v>6273</v>
      </c>
      <c r="B211" s="503">
        <f>IF(終値!A211="","",IFERROR(4*STDEVP(終値!E211:X211)/AVERAGE(終値!E211:X211),""))</f>
        <v>0.17534804777823743</v>
      </c>
      <c r="C211" s="503">
        <f>IF(終値!A211="","",IFERROR(4*STDEVP(終値!F211:Y211)/AVERAGE(終値!F211:Y211),""))</f>
        <v>0.16916742053285605</v>
      </c>
      <c r="D211" s="503">
        <f>IF(終値!A211="","",IFERROR(4*STDEVP(終値!G211:Z211)/AVERAGE(終値!G211:Z211),""))</f>
        <v>0.16916742053285605</v>
      </c>
      <c r="E211" s="503">
        <f>IF(終値!A211="","",IFERROR(4*STDEVP(終値!H211:AA211)/AVERAGE(終値!H211:AA211),""))</f>
        <v>0.17545730519060229</v>
      </c>
      <c r="F211" s="503">
        <f>IF(終値!A211="","",IFERROR(4*STDEVP(終値!I211:AB211)/AVERAGE(終値!I211:AB211),""))</f>
        <v>0.17578199796713051</v>
      </c>
      <c r="G211" s="503">
        <f>IF(終値!A211="","",IFERROR(4*STDEVP(終値!J211:AC211)/AVERAGE(終値!J211:AC211),""))</f>
        <v>0.18013438000555404</v>
      </c>
      <c r="H211" s="503">
        <f>IF(終値!A211="","",IFERROR(4*STDEVP(終値!K211:AD211)/AVERAGE(終値!K211:AD211),""))</f>
        <v>0.16498443631876855</v>
      </c>
      <c r="I211" s="503">
        <f>IF(終値!A211="","",IFERROR(4*STDEVP(終値!L211:AE211)/AVERAGE(終値!L211:AE211),""))</f>
        <v>0.1395503982610917</v>
      </c>
      <c r="J211" s="503">
        <f>IF(終値!A211="","",IFERROR(4*STDEVP(終値!M211:AF211)/AVERAGE(終値!M211:AF211),""))</f>
        <v>0.10680898910436377</v>
      </c>
      <c r="K211" s="503">
        <f>IF(終値!A211="","",IFERROR(4*STDEVP(終値!N211:AG211)/AVERAGE(終値!N211:AG211),""))</f>
        <v>0.10628671986268109</v>
      </c>
      <c r="L211" s="503">
        <f>IF(終値!A211="","",IFERROR(4*STDEVP(終値!O211:AH211)/AVERAGE(終値!O211:AH211),""))</f>
        <v>0.11297033416465006</v>
      </c>
      <c r="M211" s="503">
        <f>IF(終値!A211="","",IFERROR(4*STDEVP(終値!P211:AI211)/AVERAGE(終値!P211:AI211),""))</f>
        <v>0.11394705911773093</v>
      </c>
      <c r="N211" s="503">
        <f>IF(終値!A211="","",IFERROR(4*STDEVP(終値!Q211:AJ211)/AVERAGE(終値!Q211:AJ211),""))</f>
        <v>0.11531800347665852</v>
      </c>
      <c r="O211" s="503">
        <f>IF(終値!A211="","",IFERROR(4*STDEVP(終値!R211:AK211)/AVERAGE(終値!R211:AK211),""))</f>
        <v>0.11188859721142298</v>
      </c>
      <c r="P211" s="503">
        <f>IF(終値!A211="","",IFERROR(4*STDEVP(終値!S211:AL211)/AVERAGE(終値!S211:AL211),""))</f>
        <v>0.10262919428205257</v>
      </c>
      <c r="Q211" s="503">
        <f>IF(終値!A211="","",IFERROR(4*STDEVP(終値!T211:AM211)/AVERAGE(終値!T211:AM211),""))</f>
        <v>9.9355737356072504E-2</v>
      </c>
      <c r="R211" s="503">
        <f>IF(終値!A211="","",IFERROR(4*STDEVP(終値!U211:AN211)/AVERAGE(終値!U211:AN211),""))</f>
        <v>0.10933114131842045</v>
      </c>
      <c r="S211" s="503">
        <f>IF(終値!A211="","",IFERROR(4*STDEVP(終値!V211:AO211)/AVERAGE(終値!V211:AO211),""))</f>
        <v>0.1123050437646787</v>
      </c>
      <c r="T211" s="503">
        <f>IF(終値!A211="","",IFERROR(4*STDEVP(終値!W211:AP211)/AVERAGE(終値!W211:AP211),""))</f>
        <v>0.133565420522057</v>
      </c>
      <c r="U211" s="503">
        <f>IF(終値!A211="","",IFERROR(4*STDEVP(終値!X211:AQ211)/AVERAGE(終値!X211:AQ211),""))</f>
        <v>0.18152824671727502</v>
      </c>
      <c r="V211" s="503">
        <f>IF(終値!A211="","",IFERROR(4*STDEVP(終値!Y211:AR211)/AVERAGE(終値!Y211:AR211),""))</f>
        <v>0.21717093432588189</v>
      </c>
      <c r="W211" s="503">
        <f>IF(終値!A211="","",IFERROR(4*STDEVP(終値!Z211:AS211)/AVERAGE(終値!Z211:AS211),""))</f>
        <v>0.24285162151135151</v>
      </c>
      <c r="X211" s="503">
        <f>IF(終値!A211="","",IFERROR(4*STDEVP(終値!AA211:AT211)/AVERAGE(終値!AA211:AT211),""))</f>
        <v>0.24233315774004174</v>
      </c>
      <c r="Y211" s="503">
        <f>IF(終値!A211="","",IFERROR(4*STDEVP(終値!AB211:AU211)/AVERAGE(終値!AB211:AU211),""))</f>
        <v>0.23849556244656922</v>
      </c>
      <c r="Z211" s="503">
        <f>IF(終値!A211="","",IFERROR(4*STDEVP(終値!AC211:AV211)/AVERAGE(終値!AC211:AV211),""))</f>
        <v>0.24503327980136588</v>
      </c>
      <c r="AA211" s="503">
        <f>IF(終値!A211="","",IFERROR(4*STDEVP(終値!AD211:AW211)/AVERAGE(終値!AD211:AW211),""))</f>
        <v>0.24093648416135141</v>
      </c>
      <c r="AB211" s="503">
        <f>IF(終値!A211="","",IFERROR(4*STDEVP(終値!AE211:AX211)/AVERAGE(終値!AE211:AX211),""))</f>
        <v>0.23842350236956711</v>
      </c>
      <c r="AC211" s="503">
        <f>IF(終値!A211="","",IFERROR(4*STDEVP(終値!AF211:AY211)/AVERAGE(終値!AF211:AY211),""))</f>
        <v>0.2370988388404589</v>
      </c>
      <c r="AD211" s="503">
        <f>IF(終値!A211="","",IFERROR(4*STDEVP(終値!AG211:AZ211)/AVERAGE(終値!AG211:AZ211),""))</f>
        <v>0.23408399244044834</v>
      </c>
      <c r="AE211" s="503">
        <f>IF(終値!A211="","",IFERROR(4*STDEVP(終値!AH211:BA211)/AVERAGE(終値!AH211:BA211),""))</f>
        <v>0.22511895705395099</v>
      </c>
      <c r="AF211" s="503">
        <f>IF(終値!A211="","",IFERROR(4*STDEVP(終値!AI211:BB211)/AVERAGE(終値!AI211:BB211),""))</f>
        <v>0.22518900223940624</v>
      </c>
      <c r="AG211" s="503">
        <f>IF(終値!A211="","",IFERROR(4*STDEVP(終値!AJ211:BC211)/AVERAGE(終値!AJ211:BC211),""))</f>
        <v>0.22230054268429086</v>
      </c>
      <c r="AH211" s="503">
        <f>IF(終値!A211="","",IFERROR(4*STDEVP(終値!AK211:BD211)/AVERAGE(終値!AK211:BD211),""))</f>
        <v>0.20281758714343581</v>
      </c>
      <c r="AI211" s="503">
        <f>IF(終値!A211="","",IFERROR(4*STDEVP(終値!AL211:BE211)/AVERAGE(終値!AL211:BE211),""))</f>
        <v>0.18511194239605056</v>
      </c>
      <c r="AJ211" s="503">
        <f>IF(終値!A211="","",IFERROR(4*STDEVP(終値!AM211:BF211)/AVERAGE(終値!AM211:BF211),""))</f>
        <v>0.16479409154046903</v>
      </c>
      <c r="AK211" s="503">
        <f>IF(終値!A211="","",IFERROR(4*STDEVP(終値!AN211:BG211)/AVERAGE(終値!AN211:BG211),""))</f>
        <v>0.14099822668470105</v>
      </c>
      <c r="AL211" s="503">
        <f>IF(終値!A211="","",IFERROR(4*STDEVP(終値!AO211:BH211)/AVERAGE(終値!AO211:BH211),""))</f>
        <v>0.22473620293074525</v>
      </c>
      <c r="AM211" s="503">
        <f>IF(終値!A211="","",IFERROR(4*STDEVP(終値!AP211:BI211)/AVERAGE(終値!AP211:BI211),""))</f>
        <v>0.31952976379016917</v>
      </c>
      <c r="AN211" s="503">
        <f>IF(終値!A211="","",IFERROR(4*STDEVP(終値!AQ211:BJ211)/AVERAGE(終値!AQ211:BJ211),""))</f>
        <v>0.38555784008418403</v>
      </c>
      <c r="AO211" s="503">
        <f>IF(終値!A211="","",IFERROR(4*STDEVP(終値!AR211:BK211)/AVERAGE(終値!AR211:BK211),""))</f>
        <v>0.41099821339320658</v>
      </c>
      <c r="AP211" s="503">
        <f>IF(終値!A211="","",IFERROR(4*STDEVP(終値!AS211:BL211)/AVERAGE(終値!AS211:BL211),""))</f>
        <v>0.42777827012416242</v>
      </c>
    </row>
    <row r="212" spans="1:42">
      <c r="A212" s="500" t="str">
        <f>IF(終値!A212="","",終値!A212)</f>
        <v>4502</v>
      </c>
      <c r="B212" s="503">
        <f>IF(終値!A212="","",IFERROR(4*STDEVP(終値!E212:X212)/AVERAGE(終値!E212:X212),""))</f>
        <v>0.12411540910999036</v>
      </c>
      <c r="C212" s="503">
        <f>IF(終値!A212="","",IFERROR(4*STDEVP(終値!F212:Y212)/AVERAGE(終値!F212:Y212),""))</f>
        <v>0.12380874495738381</v>
      </c>
      <c r="D212" s="503">
        <f>IF(終値!A212="","",IFERROR(4*STDEVP(終値!G212:Z212)/AVERAGE(終値!G212:Z212),""))</f>
        <v>0.11770661438418246</v>
      </c>
      <c r="E212" s="503">
        <f>IF(終値!A212="","",IFERROR(4*STDEVP(終値!H212:AA212)/AVERAGE(終値!H212:AA212),""))</f>
        <v>0.11454894179739107</v>
      </c>
      <c r="F212" s="503">
        <f>IF(終値!A212="","",IFERROR(4*STDEVP(終値!I212:AB212)/AVERAGE(終値!I212:AB212),""))</f>
        <v>0.11969716873132219</v>
      </c>
      <c r="G212" s="503">
        <f>IF(終値!A212="","",IFERROR(4*STDEVP(終値!J212:AC212)/AVERAGE(終値!J212:AC212),""))</f>
        <v>0.13254159314225508</v>
      </c>
      <c r="H212" s="503">
        <f>IF(終値!A212="","",IFERROR(4*STDEVP(終値!K212:AD212)/AVERAGE(終値!K212:AD212),""))</f>
        <v>0.13711612395689154</v>
      </c>
      <c r="I212" s="503">
        <f>IF(終値!A212="","",IFERROR(4*STDEVP(終値!L212:AE212)/AVERAGE(終値!L212:AE212),""))</f>
        <v>0.12821900616377133</v>
      </c>
      <c r="J212" s="503">
        <f>IF(終値!A212="","",IFERROR(4*STDEVP(終値!M212:AF212)/AVERAGE(終値!M212:AF212),""))</f>
        <v>0.1278348898147437</v>
      </c>
      <c r="K212" s="503">
        <f>IF(終値!A212="","",IFERROR(4*STDEVP(終値!N212:AG212)/AVERAGE(終値!N212:AG212),""))</f>
        <v>0.12256345344384777</v>
      </c>
      <c r="L212" s="503">
        <f>IF(終値!A212="","",IFERROR(4*STDEVP(終値!O212:AH212)/AVERAGE(終値!O212:AH212),""))</f>
        <v>0.11881146582066157</v>
      </c>
      <c r="M212" s="503">
        <f>IF(終値!A212="","",IFERROR(4*STDEVP(終値!P212:AI212)/AVERAGE(終値!P212:AI212),""))</f>
        <v>0.12595231882412877</v>
      </c>
      <c r="N212" s="503">
        <f>IF(終値!A212="","",IFERROR(4*STDEVP(終値!Q212:AJ212)/AVERAGE(終値!Q212:AJ212),""))</f>
        <v>0.12990438501038462</v>
      </c>
      <c r="O212" s="503">
        <f>IF(終値!A212="","",IFERROR(4*STDEVP(終値!R212:AK212)/AVERAGE(終値!R212:AK212),""))</f>
        <v>0.13263307246488656</v>
      </c>
      <c r="P212" s="503">
        <f>IF(終値!A212="","",IFERROR(4*STDEVP(終値!S212:AL212)/AVERAGE(終値!S212:AL212),""))</f>
        <v>0.13060098651612648</v>
      </c>
      <c r="Q212" s="503">
        <f>IF(終値!A212="","",IFERROR(4*STDEVP(終値!T212:AM212)/AVERAGE(終値!T212:AM212),""))</f>
        <v>0.1386586951883822</v>
      </c>
      <c r="R212" s="503">
        <f>IF(終値!A212="","",IFERROR(4*STDEVP(終値!U212:AN212)/AVERAGE(終値!U212:AN212),""))</f>
        <v>0.14053248898452173</v>
      </c>
      <c r="S212" s="503">
        <f>IF(終値!A212="","",IFERROR(4*STDEVP(終値!V212:AO212)/AVERAGE(終値!V212:AO212),""))</f>
        <v>0.1398417588119184</v>
      </c>
      <c r="T212" s="503">
        <f>IF(終値!A212="","",IFERROR(4*STDEVP(終値!W212:AP212)/AVERAGE(終値!W212:AP212),""))</f>
        <v>0.13717947525365845</v>
      </c>
      <c r="U212" s="503">
        <f>IF(終値!A212="","",IFERROR(4*STDEVP(終値!X212:AQ212)/AVERAGE(終値!X212:AQ212),""))</f>
        <v>0.13262730567088021</v>
      </c>
      <c r="V212" s="503">
        <f>IF(終値!A212="","",IFERROR(4*STDEVP(終値!Y212:AR212)/AVERAGE(終値!Y212:AR212),""))</f>
        <v>0.12170391968695385</v>
      </c>
      <c r="W212" s="503">
        <f>IF(終値!A212="","",IFERROR(4*STDEVP(終値!Z212:AS212)/AVERAGE(終値!Z212:AS212),""))</f>
        <v>0.10802787843645002</v>
      </c>
      <c r="X212" s="503">
        <f>IF(終値!A212="","",IFERROR(4*STDEVP(終値!AA212:AT212)/AVERAGE(終値!AA212:AT212),""))</f>
        <v>8.3752547585291659E-2</v>
      </c>
      <c r="Y212" s="503">
        <f>IF(終値!A212="","",IFERROR(4*STDEVP(終値!AB212:AU212)/AVERAGE(終値!AB212:AU212),""))</f>
        <v>7.5987021525511442E-2</v>
      </c>
      <c r="Z212" s="503">
        <f>IF(終値!A212="","",IFERROR(4*STDEVP(終値!AC212:AV212)/AVERAGE(終値!AC212:AV212),""))</f>
        <v>8.1974098262369385E-2</v>
      </c>
      <c r="AA212" s="503">
        <f>IF(終値!A212="","",IFERROR(4*STDEVP(終値!AD212:AW212)/AVERAGE(終値!AD212:AW212),""))</f>
        <v>8.4162457688732581E-2</v>
      </c>
      <c r="AB212" s="503">
        <f>IF(終値!A212="","",IFERROR(4*STDEVP(終値!AE212:AX212)/AVERAGE(終値!AE212:AX212),""))</f>
        <v>8.2379028202565277E-2</v>
      </c>
      <c r="AC212" s="503">
        <f>IF(終値!A212="","",IFERROR(4*STDEVP(終値!AF212:AY212)/AVERAGE(終値!AF212:AY212),""))</f>
        <v>7.9287287920625435E-2</v>
      </c>
      <c r="AD212" s="503">
        <f>IF(終値!A212="","",IFERROR(4*STDEVP(終値!AG212:AZ212)/AVERAGE(終値!AG212:AZ212),""))</f>
        <v>8.091680301878601E-2</v>
      </c>
      <c r="AE212" s="503">
        <f>IF(終値!A212="","",IFERROR(4*STDEVP(終値!AH212:BA212)/AVERAGE(終値!AH212:BA212),""))</f>
        <v>8.2262950531492879E-2</v>
      </c>
      <c r="AF212" s="503">
        <f>IF(終値!A212="","",IFERROR(4*STDEVP(終値!AI212:BB212)/AVERAGE(終値!AI212:BB212),""))</f>
        <v>8.2446730028529369E-2</v>
      </c>
      <c r="AG212" s="503">
        <f>IF(終値!A212="","",IFERROR(4*STDEVP(終値!AJ212:BC212)/AVERAGE(終値!AJ212:BC212),""))</f>
        <v>8.7476836985921708E-2</v>
      </c>
      <c r="AH212" s="503">
        <f>IF(終値!A212="","",IFERROR(4*STDEVP(終値!AK212:BD212)/AVERAGE(終値!AK212:BD212),""))</f>
        <v>9.5927207361888478E-2</v>
      </c>
      <c r="AI212" s="503">
        <f>IF(終値!A212="","",IFERROR(4*STDEVP(終値!AL212:BE212)/AVERAGE(終値!AL212:BE212),""))</f>
        <v>0.10120048521662312</v>
      </c>
      <c r="AJ212" s="503">
        <f>IF(終値!A212="","",IFERROR(4*STDEVP(終値!AM212:BF212)/AVERAGE(終値!AM212:BF212),""))</f>
        <v>0.10670984958505317</v>
      </c>
      <c r="AK212" s="503">
        <f>IF(終値!A212="","",IFERROR(4*STDEVP(終値!AN212:BG212)/AVERAGE(終値!AN212:BG212),""))</f>
        <v>0.11027756117840924</v>
      </c>
      <c r="AL212" s="503">
        <f>IF(終値!A212="","",IFERROR(4*STDEVP(終値!AO212:BH212)/AVERAGE(終値!AO212:BH212),""))</f>
        <v>0.11370619089657127</v>
      </c>
      <c r="AM212" s="503">
        <f>IF(終値!A212="","",IFERROR(4*STDEVP(終値!AP212:BI212)/AVERAGE(終値!AP212:BI212),""))</f>
        <v>0.11499354357238131</v>
      </c>
      <c r="AN212" s="503">
        <f>IF(終値!A212="","",IFERROR(4*STDEVP(終値!AQ212:BJ212)/AVERAGE(終値!AQ212:BJ212),""))</f>
        <v>0.11559168620030635</v>
      </c>
      <c r="AO212" s="503">
        <f>IF(終値!A212="","",IFERROR(4*STDEVP(終値!AR212:BK212)/AVERAGE(終値!AR212:BK212),""))</f>
        <v>0.11535545829109932</v>
      </c>
      <c r="AP212" s="503">
        <f>IF(終値!A212="","",IFERROR(4*STDEVP(終値!AS212:BL212)/AVERAGE(終値!AS212:BL212),""))</f>
        <v>0.11650136281240349</v>
      </c>
    </row>
    <row r="213" spans="1:42">
      <c r="A213" s="500" t="str">
        <f>IF(終値!A213="","",終値!A213)</f>
        <v>4004</v>
      </c>
      <c r="B213" s="503">
        <f>IF(終値!A213="","",IFERROR(4*STDEVP(終値!E213:X213)/AVERAGE(終値!E213:X213),""))</f>
        <v>0.33397672690669189</v>
      </c>
      <c r="C213" s="503">
        <f>IF(終値!A213="","",IFERROR(4*STDEVP(終値!F213:Y213)/AVERAGE(終値!F213:Y213),""))</f>
        <v>0.33800660598883037</v>
      </c>
      <c r="D213" s="503">
        <f>IF(終値!A213="","",IFERROR(4*STDEVP(終値!G213:Z213)/AVERAGE(終値!G213:Z213),""))</f>
        <v>0.34869425063619414</v>
      </c>
      <c r="E213" s="503">
        <f>IF(終値!A213="","",IFERROR(4*STDEVP(終値!H213:AA213)/AVERAGE(終値!H213:AA213),""))</f>
        <v>0.38384150301077252</v>
      </c>
      <c r="F213" s="503">
        <f>IF(終値!A213="","",IFERROR(4*STDEVP(終値!I213:AB213)/AVERAGE(終値!I213:AB213),""))</f>
        <v>0.41623042156514395</v>
      </c>
      <c r="G213" s="503">
        <f>IF(終値!A213="","",IFERROR(4*STDEVP(終値!J213:AC213)/AVERAGE(終値!J213:AC213),""))</f>
        <v>0.45253940034227297</v>
      </c>
      <c r="H213" s="503">
        <f>IF(終値!A213="","",IFERROR(4*STDEVP(終値!K213:AD213)/AVERAGE(終値!K213:AD213),""))</f>
        <v>0.42456053439309893</v>
      </c>
      <c r="I213" s="503">
        <f>IF(終値!A213="","",IFERROR(4*STDEVP(終値!L213:AE213)/AVERAGE(終値!L213:AE213),""))</f>
        <v>0.39009290546680986</v>
      </c>
      <c r="J213" s="503">
        <f>IF(終値!A213="","",IFERROR(4*STDEVP(終値!M213:AF213)/AVERAGE(終値!M213:AF213),""))</f>
        <v>0.33813043067718751</v>
      </c>
      <c r="K213" s="503">
        <f>IF(終値!A213="","",IFERROR(4*STDEVP(終値!N213:AG213)/AVERAGE(終値!N213:AG213),""))</f>
        <v>0.32466109746823379</v>
      </c>
      <c r="L213" s="503">
        <f>IF(終値!A213="","",IFERROR(4*STDEVP(終値!O213:AH213)/AVERAGE(終値!O213:AH213),""))</f>
        <v>0.3156801750158551</v>
      </c>
      <c r="M213" s="503">
        <f>IF(終値!A213="","",IFERROR(4*STDEVP(終値!P213:AI213)/AVERAGE(終値!P213:AI213),""))</f>
        <v>0.32370222807432558</v>
      </c>
      <c r="N213" s="503">
        <f>IF(終値!A213="","",IFERROR(4*STDEVP(終値!Q213:AJ213)/AVERAGE(終値!Q213:AJ213),""))</f>
        <v>0.34219213705948387</v>
      </c>
      <c r="O213" s="503">
        <f>IF(終値!A213="","",IFERROR(4*STDEVP(終値!R213:AK213)/AVERAGE(終値!R213:AK213),""))</f>
        <v>0.3268245118575987</v>
      </c>
      <c r="P213" s="503">
        <f>IF(終値!A213="","",IFERROR(4*STDEVP(終値!S213:AL213)/AVERAGE(終値!S213:AL213),""))</f>
        <v>0.28681660637862116</v>
      </c>
      <c r="Q213" s="503">
        <f>IF(終値!A213="","",IFERROR(4*STDEVP(終値!T213:AM213)/AVERAGE(終値!T213:AM213),""))</f>
        <v>0.28478818490445879</v>
      </c>
      <c r="R213" s="503">
        <f>IF(終値!A213="","",IFERROR(4*STDEVP(終値!U213:AN213)/AVERAGE(終値!U213:AN213),""))</f>
        <v>0.26831366502438037</v>
      </c>
      <c r="S213" s="503">
        <f>IF(終値!A213="","",IFERROR(4*STDEVP(終値!V213:AO213)/AVERAGE(終値!V213:AO213),""))</f>
        <v>0.24575988603112778</v>
      </c>
      <c r="T213" s="503">
        <f>IF(終値!A213="","",IFERROR(4*STDEVP(終値!W213:AP213)/AVERAGE(終値!W213:AP213),""))</f>
        <v>0.23611793541499465</v>
      </c>
      <c r="U213" s="503">
        <f>IF(終値!A213="","",IFERROR(4*STDEVP(終値!X213:AQ213)/AVERAGE(終値!X213:AQ213),""))</f>
        <v>0.22466396217611342</v>
      </c>
      <c r="V213" s="503">
        <f>IF(終値!A213="","",IFERROR(4*STDEVP(終値!Y213:AR213)/AVERAGE(終値!Y213:AR213),""))</f>
        <v>0.22452772874521432</v>
      </c>
      <c r="W213" s="503">
        <f>IF(終値!A213="","",IFERROR(4*STDEVP(終値!Z213:AS213)/AVERAGE(終値!Z213:AS213),""))</f>
        <v>0.21802983571970375</v>
      </c>
      <c r="X213" s="503">
        <f>IF(終値!A213="","",IFERROR(4*STDEVP(終値!AA213:AT213)/AVERAGE(終値!AA213:AT213),""))</f>
        <v>0.2132668946188809</v>
      </c>
      <c r="Y213" s="503">
        <f>IF(終値!A213="","",IFERROR(4*STDEVP(終値!AB213:AU213)/AVERAGE(終値!AB213:AU213),""))</f>
        <v>0.21289750469212407</v>
      </c>
      <c r="Z213" s="503">
        <f>IF(終値!A213="","",IFERROR(4*STDEVP(終値!AC213:AV213)/AVERAGE(終値!AC213:AV213),""))</f>
        <v>0.21765707009798152</v>
      </c>
      <c r="AA213" s="503">
        <f>IF(終値!A213="","",IFERROR(4*STDEVP(終値!AD213:AW213)/AVERAGE(終値!AD213:AW213),""))</f>
        <v>0.21303679834338773</v>
      </c>
      <c r="AB213" s="503">
        <f>IF(終値!A213="","",IFERROR(4*STDEVP(終値!AE213:AX213)/AVERAGE(終値!AE213:AX213),""))</f>
        <v>0.2179804128219707</v>
      </c>
      <c r="AC213" s="503">
        <f>IF(終値!A213="","",IFERROR(4*STDEVP(終値!AF213:AY213)/AVERAGE(終値!AF213:AY213),""))</f>
        <v>0.22047343162018351</v>
      </c>
      <c r="AD213" s="503">
        <f>IF(終値!A213="","",IFERROR(4*STDEVP(終値!AG213:AZ213)/AVERAGE(終値!AG213:AZ213),""))</f>
        <v>0.22664637469126192</v>
      </c>
      <c r="AE213" s="503">
        <f>IF(終値!A213="","",IFERROR(4*STDEVP(終値!AH213:BA213)/AVERAGE(終値!AH213:BA213),""))</f>
        <v>0.23770567059345868</v>
      </c>
      <c r="AF213" s="503">
        <f>IF(終値!A213="","",IFERROR(4*STDEVP(終値!AI213:BB213)/AVERAGE(終値!AI213:BB213),""))</f>
        <v>0.23725369635716725</v>
      </c>
      <c r="AG213" s="503">
        <f>IF(終値!A213="","",IFERROR(4*STDEVP(終値!AJ213:BC213)/AVERAGE(終値!AJ213:BC213),""))</f>
        <v>0.23939319910145387</v>
      </c>
      <c r="AH213" s="503">
        <f>IF(終値!A213="","",IFERROR(4*STDEVP(終値!AK213:BD213)/AVERAGE(終値!AK213:BD213),""))</f>
        <v>0.24997136585721266</v>
      </c>
      <c r="AI213" s="503">
        <f>IF(終値!A213="","",IFERROR(4*STDEVP(終値!AL213:BE213)/AVERAGE(終値!AL213:BE213),""))</f>
        <v>0.25921658879914466</v>
      </c>
      <c r="AJ213" s="503">
        <f>IF(終値!A213="","",IFERROR(4*STDEVP(終値!AM213:BF213)/AVERAGE(終値!AM213:BF213),""))</f>
        <v>0.2615992475686037</v>
      </c>
      <c r="AK213" s="503">
        <f>IF(終値!A213="","",IFERROR(4*STDEVP(終値!AN213:BG213)/AVERAGE(終値!AN213:BG213),""))</f>
        <v>0.25839731182688463</v>
      </c>
      <c r="AL213" s="503">
        <f>IF(終値!A213="","",IFERROR(4*STDEVP(終値!AO213:BH213)/AVERAGE(終値!AO213:BH213),""))</f>
        <v>0.26198568150178503</v>
      </c>
      <c r="AM213" s="503">
        <f>IF(終値!A213="","",IFERROR(4*STDEVP(終値!AP213:BI213)/AVERAGE(終値!AP213:BI213),""))</f>
        <v>0.25899586440736633</v>
      </c>
      <c r="AN213" s="503">
        <f>IF(終値!A213="","",IFERROR(4*STDEVP(終値!AQ213:BJ213)/AVERAGE(終値!AQ213:BJ213),""))</f>
        <v>0.25713299824655655</v>
      </c>
      <c r="AO213" s="503">
        <f>IF(終値!A213="","",IFERROR(4*STDEVP(終値!AR213:BK213)/AVERAGE(終値!AR213:BK213),""))</f>
        <v>0.25221924655639161</v>
      </c>
      <c r="AP213" s="503">
        <f>IF(終値!A213="","",IFERROR(4*STDEVP(終値!AS213:BL213)/AVERAGE(終値!AS213:BL213),""))</f>
        <v>0.23830554304725984</v>
      </c>
    </row>
    <row r="214" spans="1:42">
      <c r="A214" s="500" t="str">
        <f>IF(終値!A214="","",終値!A214)</f>
        <v>9519</v>
      </c>
      <c r="B214" s="503">
        <f>IF(終値!A214="","",IFERROR(4*STDEVP(終値!E214:X214)/AVERAGE(終値!E214:X214),""))</f>
        <v>0.15739148753007393</v>
      </c>
      <c r="C214" s="503">
        <f>IF(終値!A214="","",IFERROR(4*STDEVP(終値!F214:Y214)/AVERAGE(終値!F214:Y214),""))</f>
        <v>0.15444572260923162</v>
      </c>
      <c r="D214" s="503">
        <f>IF(終値!A214="","",IFERROR(4*STDEVP(終値!G214:Z214)/AVERAGE(終値!G214:Z214),""))</f>
        <v>0.1508489771829368</v>
      </c>
      <c r="E214" s="503">
        <f>IF(終値!A214="","",IFERROR(4*STDEVP(終値!H214:AA214)/AVERAGE(終値!H214:AA214),""))</f>
        <v>0.14757721323362374</v>
      </c>
      <c r="F214" s="503">
        <f>IF(終値!A214="","",IFERROR(4*STDEVP(終値!I214:AB214)/AVERAGE(終値!I214:AB214),""))</f>
        <v>0.13464017510113002</v>
      </c>
      <c r="G214" s="503">
        <f>IF(終値!A214="","",IFERROR(4*STDEVP(終値!J214:AC214)/AVERAGE(終値!J214:AC214),""))</f>
        <v>0.12885404126105054</v>
      </c>
      <c r="H214" s="503">
        <f>IF(終値!A214="","",IFERROR(4*STDEVP(終値!K214:AD214)/AVERAGE(終値!K214:AD214),""))</f>
        <v>0.12167036324856116</v>
      </c>
      <c r="I214" s="503">
        <f>IF(終値!A214="","",IFERROR(4*STDEVP(終値!L214:AE214)/AVERAGE(終値!L214:AE214),""))</f>
        <v>0.1210692608588628</v>
      </c>
      <c r="J214" s="503">
        <f>IF(終値!A214="","",IFERROR(4*STDEVP(終値!M214:AF214)/AVERAGE(終値!M214:AF214),""))</f>
        <v>0.13357425135684078</v>
      </c>
      <c r="K214" s="503">
        <f>IF(終値!A214="","",IFERROR(4*STDEVP(終値!N214:AG214)/AVERAGE(終値!N214:AG214),""))</f>
        <v>0.14664756692554665</v>
      </c>
      <c r="L214" s="503">
        <f>IF(終値!A214="","",IFERROR(4*STDEVP(終値!O214:AH214)/AVERAGE(終値!O214:AH214),""))</f>
        <v>0.14673978510030819</v>
      </c>
      <c r="M214" s="503">
        <f>IF(終値!A214="","",IFERROR(4*STDEVP(終値!P214:AI214)/AVERAGE(終値!P214:AI214),""))</f>
        <v>0.1511558990610874</v>
      </c>
      <c r="N214" s="503">
        <f>IF(終値!A214="","",IFERROR(4*STDEVP(終値!Q214:AJ214)/AVERAGE(終値!Q214:AJ214),""))</f>
        <v>0.15977666056200465</v>
      </c>
      <c r="O214" s="503">
        <f>IF(終値!A214="","",IFERROR(4*STDEVP(終値!R214:AK214)/AVERAGE(終値!R214:AK214),""))</f>
        <v>0.20142865112868175</v>
      </c>
      <c r="P214" s="503">
        <f>IF(終値!A214="","",IFERROR(4*STDEVP(終値!S214:AL214)/AVERAGE(終値!S214:AL214),""))</f>
        <v>0.22566872858386014</v>
      </c>
      <c r="Q214" s="503">
        <f>IF(終値!A214="","",IFERROR(4*STDEVP(終値!T214:AM214)/AVERAGE(終値!T214:AM214),""))</f>
        <v>0.21150708927271492</v>
      </c>
      <c r="R214" s="503">
        <f>IF(終値!A214="","",IFERROR(4*STDEVP(終値!U214:AN214)/AVERAGE(終値!U214:AN214),""))</f>
        <v>0.21408808947750327</v>
      </c>
      <c r="S214" s="503">
        <f>IF(終値!A214="","",IFERROR(4*STDEVP(終値!V214:AO214)/AVERAGE(終値!V214:AO214),""))</f>
        <v>0.21636489419849397</v>
      </c>
      <c r="T214" s="503">
        <f>IF(終値!A214="","",IFERROR(4*STDEVP(終値!W214:AP214)/AVERAGE(終値!W214:AP214),""))</f>
        <v>0.21879767141536494</v>
      </c>
      <c r="U214" s="503">
        <f>IF(終値!A214="","",IFERROR(4*STDEVP(終値!X214:AQ214)/AVERAGE(終値!X214:AQ214),""))</f>
        <v>0.21964040137221499</v>
      </c>
      <c r="V214" s="503">
        <f>IF(終値!A214="","",IFERROR(4*STDEVP(終値!Y214:AR214)/AVERAGE(終値!Y214:AR214),""))</f>
        <v>0.21923593553627116</v>
      </c>
      <c r="W214" s="503">
        <f>IF(終値!A214="","",IFERROR(4*STDEVP(終値!Z214:AS214)/AVERAGE(終値!Z214:AS214),""))</f>
        <v>0.22626881207861638</v>
      </c>
      <c r="X214" s="503">
        <f>IF(終値!A214="","",IFERROR(4*STDEVP(終値!AA214:AT214)/AVERAGE(終値!AA214:AT214),""))</f>
        <v>0.24323599917706185</v>
      </c>
      <c r="Y214" s="503">
        <f>IF(終値!A214="","",IFERROR(4*STDEVP(終値!AB214:AU214)/AVERAGE(終値!AB214:AU214),""))</f>
        <v>0.23925450997053091</v>
      </c>
      <c r="Z214" s="503">
        <f>IF(終値!A214="","",IFERROR(4*STDEVP(終値!AC214:AV214)/AVERAGE(終値!AC214:AV214),""))</f>
        <v>0.25100505391311317</v>
      </c>
      <c r="AA214" s="503">
        <f>IF(終値!A214="","",IFERROR(4*STDEVP(終値!AD214:AW214)/AVERAGE(終値!AD214:AW214),""))</f>
        <v>0.30107973837966839</v>
      </c>
      <c r="AB214" s="503">
        <f>IF(終値!A214="","",IFERROR(4*STDEVP(終値!AE214:AX214)/AVERAGE(終値!AE214:AX214),""))</f>
        <v>0.38633811124481893</v>
      </c>
      <c r="AC214" s="503">
        <f>IF(終値!A214="","",IFERROR(4*STDEVP(終値!AF214:AY214)/AVERAGE(終値!AF214:AY214),""))</f>
        <v>0.4579049401053476</v>
      </c>
      <c r="AD214" s="503">
        <f>IF(終値!A214="","",IFERROR(4*STDEVP(終値!AG214:AZ214)/AVERAGE(終値!AG214:AZ214),""))</f>
        <v>0.53560383498406483</v>
      </c>
      <c r="AE214" s="503">
        <f>IF(終値!A214="","",IFERROR(4*STDEVP(終値!AH214:BA214)/AVERAGE(終値!AH214:BA214),""))</f>
        <v>0.60261131287995506</v>
      </c>
      <c r="AF214" s="503">
        <f>IF(終値!A214="","",IFERROR(4*STDEVP(終値!AI214:BB214)/AVERAGE(終値!AI214:BB214),""))</f>
        <v>0.65787112165491313</v>
      </c>
      <c r="AG214" s="503">
        <f>IF(終値!A214="","",IFERROR(4*STDEVP(終値!AJ214:BC214)/AVERAGE(終値!AJ214:BC214),""))</f>
        <v>0.68182809867739236</v>
      </c>
      <c r="AH214" s="503">
        <f>IF(終値!A214="","",IFERROR(4*STDEVP(終値!AK214:BD214)/AVERAGE(終値!AK214:BD214),""))</f>
        <v>0.68109122179334813</v>
      </c>
      <c r="AI214" s="503">
        <f>IF(終値!A214="","",IFERROR(4*STDEVP(終値!AL214:BE214)/AVERAGE(終値!AL214:BE214),""))</f>
        <v>0.67788441021104839</v>
      </c>
      <c r="AJ214" s="503">
        <f>IF(終値!A214="","",IFERROR(4*STDEVP(終値!AM214:BF214)/AVERAGE(終値!AM214:BF214),""))</f>
        <v>0.64507987758711371</v>
      </c>
      <c r="AK214" s="503">
        <f>IF(終値!A214="","",IFERROR(4*STDEVP(終値!AN214:BG214)/AVERAGE(終値!AN214:BG214),""))</f>
        <v>0.63010438303790683</v>
      </c>
      <c r="AL214" s="503">
        <f>IF(終値!A214="","",IFERROR(4*STDEVP(終値!AO214:BH214)/AVERAGE(終値!AO214:BH214),""))</f>
        <v>0.59872792822511411</v>
      </c>
      <c r="AM214" s="503">
        <f>IF(終値!A214="","",IFERROR(4*STDEVP(終値!AP214:BI214)/AVERAGE(終値!AP214:BI214),""))</f>
        <v>0.55661785103894301</v>
      </c>
      <c r="AN214" s="503">
        <f>IF(終値!A214="","",IFERROR(4*STDEVP(終値!AQ214:BJ214)/AVERAGE(終値!AQ214:BJ214),""))</f>
        <v>0.50772986636883666</v>
      </c>
      <c r="AO214" s="503">
        <f>IF(終値!A214="","",IFERROR(4*STDEVP(終値!AR214:BK214)/AVERAGE(終値!AR214:BK214),""))</f>
        <v>0.45191087490225562</v>
      </c>
      <c r="AP214" s="503">
        <f>IF(終値!A214="","",IFERROR(4*STDEVP(終値!AS214:BL214)/AVERAGE(終値!AS214:BL214),""))</f>
        <v>0.39577445137233669</v>
      </c>
    </row>
    <row r="215" spans="1:42">
      <c r="A215" s="500" t="str">
        <f>IF(終値!A215="","",終値!A215)</f>
        <v>6752</v>
      </c>
      <c r="B215" s="503">
        <f>IF(終値!A215="","",IFERROR(4*STDEVP(終値!E215:X215)/AVERAGE(終値!E215:X215),""))</f>
        <v>0.29043650073564714</v>
      </c>
      <c r="C215" s="503">
        <f>IF(終値!A215="","",IFERROR(4*STDEVP(終値!F215:Y215)/AVERAGE(終値!F215:Y215),""))</f>
        <v>0.2898942130150553</v>
      </c>
      <c r="D215" s="503">
        <f>IF(終値!A215="","",IFERROR(4*STDEVP(終値!G215:Z215)/AVERAGE(終値!G215:Z215),""))</f>
        <v>0.29245183049701018</v>
      </c>
      <c r="E215" s="503">
        <f>IF(終値!A215="","",IFERROR(4*STDEVP(終値!H215:AA215)/AVERAGE(終値!H215:AA215),""))</f>
        <v>0.30236473398078295</v>
      </c>
      <c r="F215" s="503">
        <f>IF(終値!A215="","",IFERROR(4*STDEVP(終値!I215:AB215)/AVERAGE(終値!I215:AB215),""))</f>
        <v>0.3120078623377841</v>
      </c>
      <c r="G215" s="503">
        <f>IF(終値!A215="","",IFERROR(4*STDEVP(終値!J215:AC215)/AVERAGE(終値!J215:AC215),""))</f>
        <v>0.33491077030297972</v>
      </c>
      <c r="H215" s="503">
        <f>IF(終値!A215="","",IFERROR(4*STDEVP(終値!K215:AD215)/AVERAGE(終値!K215:AD215),""))</f>
        <v>0.31069240282897742</v>
      </c>
      <c r="I215" s="503">
        <f>IF(終値!A215="","",IFERROR(4*STDEVP(終値!L215:AE215)/AVERAGE(終値!L215:AE215),""))</f>
        <v>0.26705135890814219</v>
      </c>
      <c r="J215" s="503">
        <f>IF(終値!A215="","",IFERROR(4*STDEVP(終値!M215:AF215)/AVERAGE(終値!M215:AF215),""))</f>
        <v>0.22785370347967174</v>
      </c>
      <c r="K215" s="503">
        <f>IF(終値!A215="","",IFERROR(4*STDEVP(終値!N215:AG215)/AVERAGE(終値!N215:AG215),""))</f>
        <v>0.21375062404966494</v>
      </c>
      <c r="L215" s="503">
        <f>IF(終値!A215="","",IFERROR(4*STDEVP(終値!O215:AH215)/AVERAGE(終値!O215:AH215),""))</f>
        <v>0.18866774225406446</v>
      </c>
      <c r="M215" s="503">
        <f>IF(終値!A215="","",IFERROR(4*STDEVP(終値!P215:AI215)/AVERAGE(終値!P215:AI215),""))</f>
        <v>0.17528177515577589</v>
      </c>
      <c r="N215" s="503">
        <f>IF(終値!A215="","",IFERROR(4*STDEVP(終値!Q215:AJ215)/AVERAGE(終値!Q215:AJ215),""))</f>
        <v>0.16331725078740875</v>
      </c>
      <c r="O215" s="503">
        <f>IF(終値!A215="","",IFERROR(4*STDEVP(終値!R215:AK215)/AVERAGE(終値!R215:AK215),""))</f>
        <v>0.14709750846840924</v>
      </c>
      <c r="P215" s="503">
        <f>IF(終値!A215="","",IFERROR(4*STDEVP(終値!S215:AL215)/AVERAGE(終値!S215:AL215),""))</f>
        <v>0.11955116796715003</v>
      </c>
      <c r="Q215" s="503">
        <f>IF(終値!A215="","",IFERROR(4*STDEVP(終値!T215:AM215)/AVERAGE(終値!T215:AM215),""))</f>
        <v>0.12668509175410461</v>
      </c>
      <c r="R215" s="503">
        <f>IF(終値!A215="","",IFERROR(4*STDEVP(終値!U215:AN215)/AVERAGE(終値!U215:AN215),""))</f>
        <v>0.13577042288444732</v>
      </c>
      <c r="S215" s="503">
        <f>IF(終値!A215="","",IFERROR(4*STDEVP(終値!V215:AO215)/AVERAGE(終値!V215:AO215),""))</f>
        <v>0.15976790939973756</v>
      </c>
      <c r="T215" s="503">
        <f>IF(終値!A215="","",IFERROR(4*STDEVP(終値!W215:AP215)/AVERAGE(終値!W215:AP215),""))</f>
        <v>0.20073873205471274</v>
      </c>
      <c r="U215" s="503">
        <f>IF(終値!A215="","",IFERROR(4*STDEVP(終値!X215:AQ215)/AVERAGE(終値!X215:AQ215),""))</f>
        <v>0.23538464946603257</v>
      </c>
      <c r="V215" s="503">
        <f>IF(終値!A215="","",IFERROR(4*STDEVP(終値!Y215:AR215)/AVERAGE(終値!Y215:AR215),""))</f>
        <v>0.26491146622964934</v>
      </c>
      <c r="W215" s="503">
        <f>IF(終値!A215="","",IFERROR(4*STDEVP(終値!Z215:AS215)/AVERAGE(終値!Z215:AS215),""))</f>
        <v>0.3060042558080146</v>
      </c>
      <c r="X215" s="503">
        <f>IF(終値!A215="","",IFERROR(4*STDEVP(終値!AA215:AT215)/AVERAGE(終値!AA215:AT215),""))</f>
        <v>0.3198448772988578</v>
      </c>
      <c r="Y215" s="503">
        <f>IF(終値!A215="","",IFERROR(4*STDEVP(終値!AB215:AU215)/AVERAGE(終値!AB215:AU215),""))</f>
        <v>0.32786477412493026</v>
      </c>
      <c r="Z215" s="503">
        <f>IF(終値!A215="","",IFERROR(4*STDEVP(終値!AC215:AV215)/AVERAGE(終値!AC215:AV215),""))</f>
        <v>0.32572212164111852</v>
      </c>
      <c r="AA215" s="503">
        <f>IF(終値!A215="","",IFERROR(4*STDEVP(終値!AD215:AW215)/AVERAGE(終値!AD215:AW215),""))</f>
        <v>0.32212936428770256</v>
      </c>
      <c r="AB215" s="503">
        <f>IF(終値!A215="","",IFERROR(4*STDEVP(終値!AE215:AX215)/AVERAGE(終値!AE215:AX215),""))</f>
        <v>0.32336765812072293</v>
      </c>
      <c r="AC215" s="503">
        <f>IF(終値!A215="","",IFERROR(4*STDEVP(終値!AF215:AY215)/AVERAGE(終値!AF215:AY215),""))</f>
        <v>0.33628054054341511</v>
      </c>
      <c r="AD215" s="503">
        <f>IF(終値!A215="","",IFERROR(4*STDEVP(終値!AG215:AZ215)/AVERAGE(終値!AG215:AZ215),""))</f>
        <v>0.33212698444657746</v>
      </c>
      <c r="AE215" s="503">
        <f>IF(終値!A215="","",IFERROR(4*STDEVP(終値!AH215:BA215)/AVERAGE(終値!AH215:BA215),""))</f>
        <v>0.3130812573208247</v>
      </c>
      <c r="AF215" s="503">
        <f>IF(終値!A215="","",IFERROR(4*STDEVP(終値!AI215:BB215)/AVERAGE(終値!AI215:BB215),""))</f>
        <v>0.30346252459341061</v>
      </c>
      <c r="AG215" s="503">
        <f>IF(終値!A215="","",IFERROR(4*STDEVP(終値!AJ215:BC215)/AVERAGE(終値!AJ215:BC215),""))</f>
        <v>0.3107262231281806</v>
      </c>
      <c r="AH215" s="503">
        <f>IF(終値!A215="","",IFERROR(4*STDEVP(終値!AK215:BD215)/AVERAGE(終値!AK215:BD215),""))</f>
        <v>0.3164720020099861</v>
      </c>
      <c r="AI215" s="503">
        <f>IF(終値!A215="","",IFERROR(4*STDEVP(終値!AL215:BE215)/AVERAGE(終値!AL215:BE215),""))</f>
        <v>0.29329407322285905</v>
      </c>
      <c r="AJ215" s="503">
        <f>IF(終値!A215="","",IFERROR(4*STDEVP(終値!AM215:BF215)/AVERAGE(終値!AM215:BF215),""))</f>
        <v>0.27130609026881136</v>
      </c>
      <c r="AK215" s="503">
        <f>IF(終値!A215="","",IFERROR(4*STDEVP(終値!AN215:BG215)/AVERAGE(終値!AN215:BG215),""))</f>
        <v>0.25473092194213515</v>
      </c>
      <c r="AL215" s="503">
        <f>IF(終値!A215="","",IFERROR(4*STDEVP(終値!AO215:BH215)/AVERAGE(終値!AO215:BH215),""))</f>
        <v>0.2364936801120483</v>
      </c>
      <c r="AM215" s="503">
        <f>IF(終値!A215="","",IFERROR(4*STDEVP(終値!AP215:BI215)/AVERAGE(終値!AP215:BI215),""))</f>
        <v>0.22531142389343481</v>
      </c>
      <c r="AN215" s="503">
        <f>IF(終値!A215="","",IFERROR(4*STDEVP(終値!AQ215:BJ215)/AVERAGE(終値!AQ215:BJ215),""))</f>
        <v>0.22020423050087667</v>
      </c>
      <c r="AO215" s="503">
        <f>IF(終値!A215="","",IFERROR(4*STDEVP(終値!AR215:BK215)/AVERAGE(終値!AR215:BK215),""))</f>
        <v>0.21837685335395857</v>
      </c>
      <c r="AP215" s="503">
        <f>IF(終値!A215="","",IFERROR(4*STDEVP(終値!AS215:BL215)/AVERAGE(終値!AS215:BL215),""))</f>
        <v>0.21535626355444001</v>
      </c>
    </row>
    <row r="216" spans="1:42">
      <c r="A216" s="500" t="str">
        <f>IF(終値!A216="","",終値!A216)</f>
        <v>6622</v>
      </c>
      <c r="B216" s="503">
        <f>IF(終値!A216="","",IFERROR(4*STDEVP(終値!E216:X216)/AVERAGE(終値!E216:X216),""))</f>
        <v>0.27890523057529365</v>
      </c>
      <c r="C216" s="503">
        <f>IF(終値!A216="","",IFERROR(4*STDEVP(終値!F216:Y216)/AVERAGE(終値!F216:Y216),""))</f>
        <v>0.29231440471076381</v>
      </c>
      <c r="D216" s="503">
        <f>IF(終値!A216="","",IFERROR(4*STDEVP(終値!G216:Z216)/AVERAGE(終値!G216:Z216),""))</f>
        <v>0.32901719174106064</v>
      </c>
      <c r="E216" s="503">
        <f>IF(終値!A216="","",IFERROR(4*STDEVP(終値!H216:AA216)/AVERAGE(終値!H216:AA216),""))</f>
        <v>0.35618490775430584</v>
      </c>
      <c r="F216" s="503">
        <f>IF(終値!A216="","",IFERROR(4*STDEVP(終値!I216:AB216)/AVERAGE(終値!I216:AB216),""))</f>
        <v>0.37316593033991957</v>
      </c>
      <c r="G216" s="503">
        <f>IF(終値!A216="","",IFERROR(4*STDEVP(終値!J216:AC216)/AVERAGE(終値!J216:AC216),""))</f>
        <v>0.41688119371223026</v>
      </c>
      <c r="H216" s="503">
        <f>IF(終値!A216="","",IFERROR(4*STDEVP(終値!K216:AD216)/AVERAGE(終値!K216:AD216),""))</f>
        <v>0.40343426410012739</v>
      </c>
      <c r="I216" s="503">
        <f>IF(終値!A216="","",IFERROR(4*STDEVP(終値!L216:AE216)/AVERAGE(終値!L216:AE216),""))</f>
        <v>0.35908491000866133</v>
      </c>
      <c r="J216" s="503">
        <f>IF(終値!A216="","",IFERROR(4*STDEVP(終値!M216:AF216)/AVERAGE(終値!M216:AF216),""))</f>
        <v>0.34745922700349691</v>
      </c>
      <c r="K216" s="503">
        <f>IF(終値!A216="","",IFERROR(4*STDEVP(終値!N216:AG216)/AVERAGE(終値!N216:AG216),""))</f>
        <v>0.36886189346777376</v>
      </c>
      <c r="L216" s="503">
        <f>IF(終値!A216="","",IFERROR(4*STDEVP(終値!O216:AH216)/AVERAGE(終値!O216:AH216),""))</f>
        <v>0.37259273409349342</v>
      </c>
      <c r="M216" s="503">
        <f>IF(終値!A216="","",IFERROR(4*STDEVP(終値!P216:AI216)/AVERAGE(終値!P216:AI216),""))</f>
        <v>0.3794797300774449</v>
      </c>
      <c r="N216" s="503">
        <f>IF(終値!A216="","",IFERROR(4*STDEVP(終値!Q216:AJ216)/AVERAGE(終値!Q216:AJ216),""))</f>
        <v>0.3908299902511958</v>
      </c>
      <c r="O216" s="503">
        <f>IF(終値!A216="","",IFERROR(4*STDEVP(終値!R216:AK216)/AVERAGE(終値!R216:AK216),""))</f>
        <v>0.37126396499005365</v>
      </c>
      <c r="P216" s="503">
        <f>IF(終値!A216="","",IFERROR(4*STDEVP(終値!S216:AL216)/AVERAGE(終値!S216:AL216),""))</f>
        <v>0.33722985189471588</v>
      </c>
      <c r="Q216" s="503">
        <f>IF(終値!A216="","",IFERROR(4*STDEVP(終値!T216:AM216)/AVERAGE(終値!T216:AM216),""))</f>
        <v>0.32808634451815388</v>
      </c>
      <c r="R216" s="503">
        <f>IF(終値!A216="","",IFERROR(4*STDEVP(終値!U216:AN216)/AVERAGE(終値!U216:AN216),""))</f>
        <v>0.31248048693926234</v>
      </c>
      <c r="S216" s="503">
        <f>IF(終値!A216="","",IFERROR(4*STDEVP(終値!V216:AO216)/AVERAGE(終値!V216:AO216),""))</f>
        <v>0.29476999627279055</v>
      </c>
      <c r="T216" s="503">
        <f>IF(終値!A216="","",IFERROR(4*STDEVP(終値!W216:AP216)/AVERAGE(終値!W216:AP216),""))</f>
        <v>0.30647192055158734</v>
      </c>
      <c r="U216" s="503">
        <f>IF(終値!A216="","",IFERROR(4*STDEVP(終値!X216:AQ216)/AVERAGE(終値!X216:AQ216),""))</f>
        <v>0.32445261646631235</v>
      </c>
      <c r="V216" s="503">
        <f>IF(終値!A216="","",IFERROR(4*STDEVP(終値!Y216:AR216)/AVERAGE(終値!Y216:AR216),""))</f>
        <v>0.32574379545887849</v>
      </c>
      <c r="W216" s="503">
        <f>IF(終値!A216="","",IFERROR(4*STDEVP(終値!Z216:AS216)/AVERAGE(終値!Z216:AS216),""))</f>
        <v>0.33445512276072226</v>
      </c>
      <c r="X216" s="503">
        <f>IF(終値!A216="","",IFERROR(4*STDEVP(終値!AA216:AT216)/AVERAGE(終値!AA216:AT216),""))</f>
        <v>0.33933036107892989</v>
      </c>
      <c r="Y216" s="503">
        <f>IF(終値!A216="","",IFERROR(4*STDEVP(終値!AB216:AU216)/AVERAGE(終値!AB216:AU216),""))</f>
        <v>0.34799663278090337</v>
      </c>
      <c r="Z216" s="503">
        <f>IF(終値!A216="","",IFERROR(4*STDEVP(終値!AC216:AV216)/AVERAGE(終値!AC216:AV216),""))</f>
        <v>0.35675279739242588</v>
      </c>
      <c r="AA216" s="503">
        <f>IF(終値!A216="","",IFERROR(4*STDEVP(終値!AD216:AW216)/AVERAGE(終値!AD216:AW216),""))</f>
        <v>0.3611217985559011</v>
      </c>
      <c r="AB216" s="503">
        <f>IF(終値!A216="","",IFERROR(4*STDEVP(終値!AE216:AX216)/AVERAGE(終値!AE216:AX216),""))</f>
        <v>0.36113990561958881</v>
      </c>
      <c r="AC216" s="503">
        <f>IF(終値!A216="","",IFERROR(4*STDEVP(終値!AF216:AY216)/AVERAGE(終値!AF216:AY216),""))</f>
        <v>0.35891147693981829</v>
      </c>
      <c r="AD216" s="503">
        <f>IF(終値!A216="","",IFERROR(4*STDEVP(終値!AG216:AZ216)/AVERAGE(終値!AG216:AZ216),""))</f>
        <v>0.34946100745012465</v>
      </c>
      <c r="AE216" s="503">
        <f>IF(終値!A216="","",IFERROR(4*STDEVP(終値!AH216:BA216)/AVERAGE(終値!AH216:BA216),""))</f>
        <v>0.32758662031096991</v>
      </c>
      <c r="AF216" s="503">
        <f>IF(終値!A216="","",IFERROR(4*STDEVP(終値!AI216:BB216)/AVERAGE(終値!AI216:BB216),""))</f>
        <v>0.31169629031237911</v>
      </c>
      <c r="AG216" s="503">
        <f>IF(終値!A216="","",IFERROR(4*STDEVP(終値!AJ216:BC216)/AVERAGE(終値!AJ216:BC216),""))</f>
        <v>0.28809739019800806</v>
      </c>
      <c r="AH216" s="503">
        <f>IF(終値!A216="","",IFERROR(4*STDEVP(終値!AK216:BD216)/AVERAGE(終値!AK216:BD216),""))</f>
        <v>0.23171738551611118</v>
      </c>
      <c r="AI216" s="503">
        <f>IF(終値!A216="","",IFERROR(4*STDEVP(終値!AL216:BE216)/AVERAGE(終値!AL216:BE216),""))</f>
        <v>0.20915764005749349</v>
      </c>
      <c r="AJ216" s="503">
        <f>IF(終値!A216="","",IFERROR(4*STDEVP(終値!AM216:BF216)/AVERAGE(終値!AM216:BF216),""))</f>
        <v>0.16776458789740603</v>
      </c>
      <c r="AK216" s="503">
        <f>IF(終値!A216="","",IFERROR(4*STDEVP(終値!AN216:BG216)/AVERAGE(終値!AN216:BG216),""))</f>
        <v>0.16905190433241288</v>
      </c>
      <c r="AL216" s="503">
        <f>IF(終値!A216="","",IFERROR(4*STDEVP(終値!AO216:BH216)/AVERAGE(終値!AO216:BH216),""))</f>
        <v>0.18587176965386359</v>
      </c>
      <c r="AM216" s="503">
        <f>IF(終値!A216="","",IFERROR(4*STDEVP(終値!AP216:BI216)/AVERAGE(終値!AP216:BI216),""))</f>
        <v>0.21855194052251287</v>
      </c>
      <c r="AN216" s="503">
        <f>IF(終値!A216="","",IFERROR(4*STDEVP(終値!AQ216:BJ216)/AVERAGE(終値!AQ216:BJ216),""))</f>
        <v>0.22674468014846619</v>
      </c>
      <c r="AO216" s="503">
        <f>IF(終値!A216="","",IFERROR(4*STDEVP(終値!AR216:BK216)/AVERAGE(終値!AR216:BK216),""))</f>
        <v>0.21589030610862212</v>
      </c>
      <c r="AP216" s="503">
        <f>IF(終値!A216="","",IFERROR(4*STDEVP(終値!AS216:BL216)/AVERAGE(終値!AS216:BL216),""))</f>
        <v>0.2008523652548492</v>
      </c>
    </row>
    <row r="217" spans="1:42">
      <c r="A217" s="500" t="str">
        <f>IF(終値!A217="","",終値!A217)</f>
        <v>1407</v>
      </c>
      <c r="B217" s="503">
        <f>IF(終値!A217="","",IFERROR(4*STDEVP(終値!E217:X217)/AVERAGE(終値!E217:X217),""))</f>
        <v>0.33911187274061078</v>
      </c>
      <c r="C217" s="503">
        <f>IF(終値!A217="","",IFERROR(4*STDEVP(終値!F217:Y217)/AVERAGE(終値!F217:Y217),""))</f>
        <v>0.35310089263051281</v>
      </c>
      <c r="D217" s="503">
        <f>IF(終値!A217="","",IFERROR(4*STDEVP(終値!G217:Z217)/AVERAGE(終値!G217:Z217),""))</f>
        <v>0.36005347004069693</v>
      </c>
      <c r="E217" s="503">
        <f>IF(終値!A217="","",IFERROR(4*STDEVP(終値!H217:AA217)/AVERAGE(終値!H217:AA217),""))</f>
        <v>0.35834811060303395</v>
      </c>
      <c r="F217" s="503">
        <f>IF(終値!A217="","",IFERROR(4*STDEVP(終値!I217:AB217)/AVERAGE(終値!I217:AB217),""))</f>
        <v>0.36280107378163401</v>
      </c>
      <c r="G217" s="503">
        <f>IF(終値!A217="","",IFERROR(4*STDEVP(終値!J217:AC217)/AVERAGE(終値!J217:AC217),""))</f>
        <v>0.36507828501019235</v>
      </c>
      <c r="H217" s="503">
        <f>IF(終値!A217="","",IFERROR(4*STDEVP(終値!K217:AD217)/AVERAGE(終値!K217:AD217),""))</f>
        <v>0.36785449587783825</v>
      </c>
      <c r="I217" s="503">
        <f>IF(終値!A217="","",IFERROR(4*STDEVP(終値!L217:AE217)/AVERAGE(終値!L217:AE217),""))</f>
        <v>0.3654844378800689</v>
      </c>
      <c r="J217" s="503">
        <f>IF(終値!A217="","",IFERROR(4*STDEVP(終値!M217:AF217)/AVERAGE(終値!M217:AF217),""))</f>
        <v>0.36596516040413551</v>
      </c>
      <c r="K217" s="503">
        <f>IF(終値!A217="","",IFERROR(4*STDEVP(終値!N217:AG217)/AVERAGE(終値!N217:AG217),""))</f>
        <v>0.35450894293908464</v>
      </c>
      <c r="L217" s="503">
        <f>IF(終値!A217="","",IFERROR(4*STDEVP(終値!O217:AH217)/AVERAGE(終値!O217:AH217),""))</f>
        <v>0.33219852049647108</v>
      </c>
      <c r="M217" s="503">
        <f>IF(終値!A217="","",IFERROR(4*STDEVP(終値!P217:AI217)/AVERAGE(終値!P217:AI217),""))</f>
        <v>0.31719105505575096</v>
      </c>
      <c r="N217" s="503">
        <f>IF(終値!A217="","",IFERROR(4*STDEVP(終値!Q217:AJ217)/AVERAGE(終値!Q217:AJ217),""))</f>
        <v>0.31087284476936355</v>
      </c>
      <c r="O217" s="503">
        <f>IF(終値!A217="","",IFERROR(4*STDEVP(終値!R217:AK217)/AVERAGE(終値!R217:AK217),""))</f>
        <v>0.28875545146376902</v>
      </c>
      <c r="P217" s="503">
        <f>IF(終値!A217="","",IFERROR(4*STDEVP(終値!S217:AL217)/AVERAGE(終値!S217:AL217),""))</f>
        <v>0.22415906960111229</v>
      </c>
      <c r="Q217" s="503">
        <f>IF(終値!A217="","",IFERROR(4*STDEVP(終値!T217:AM217)/AVERAGE(終値!T217:AM217),""))</f>
        <v>0.12825043046480392</v>
      </c>
      <c r="R217" s="503">
        <f>IF(終値!A217="","",IFERROR(4*STDEVP(終値!U217:AN217)/AVERAGE(終値!U217:AN217),""))</f>
        <v>0.12985836317619986</v>
      </c>
      <c r="S217" s="503">
        <f>IF(終値!A217="","",IFERROR(4*STDEVP(終値!V217:AO217)/AVERAGE(終値!V217:AO217),""))</f>
        <v>0.12005843981376771</v>
      </c>
      <c r="T217" s="503">
        <f>IF(終値!A217="","",IFERROR(4*STDEVP(終値!W217:AP217)/AVERAGE(終値!W217:AP217),""))</f>
        <v>0.10165301529414363</v>
      </c>
      <c r="U217" s="503">
        <f>IF(終値!A217="","",IFERROR(4*STDEVP(終値!X217:AQ217)/AVERAGE(終値!X217:AQ217),""))</f>
        <v>0.10022107786385009</v>
      </c>
      <c r="V217" s="503">
        <f>IF(終値!A217="","",IFERROR(4*STDEVP(終値!Y217:AR217)/AVERAGE(終値!Y217:AR217),""))</f>
        <v>9.511177074545564E-2</v>
      </c>
      <c r="W217" s="503">
        <f>IF(終値!A217="","",IFERROR(4*STDEVP(終値!Z217:AS217)/AVERAGE(終値!Z217:AS217),""))</f>
        <v>0.10382395632146112</v>
      </c>
      <c r="X217" s="503">
        <f>IF(終値!A217="","",IFERROR(4*STDEVP(終値!AA217:AT217)/AVERAGE(終値!AA217:AT217),""))</f>
        <v>0.11674330243120341</v>
      </c>
      <c r="Y217" s="503">
        <f>IF(終値!A217="","",IFERROR(4*STDEVP(終値!AB217:AU217)/AVERAGE(終値!AB217:AU217),""))</f>
        <v>0.12075962413460933</v>
      </c>
      <c r="Z217" s="503">
        <f>IF(終値!A217="","",IFERROR(4*STDEVP(終値!AC217:AV217)/AVERAGE(終値!AC217:AV217),""))</f>
        <v>0.1486093703053766</v>
      </c>
      <c r="AA217" s="503">
        <f>IF(終値!A217="","",IFERROR(4*STDEVP(終値!AD217:AW217)/AVERAGE(終値!AD217:AW217),""))</f>
        <v>0.15555747319646074</v>
      </c>
      <c r="AB217" s="503">
        <f>IF(終値!A217="","",IFERROR(4*STDEVP(終値!AE217:AX217)/AVERAGE(終値!AE217:AX217),""))</f>
        <v>0.19809780864356569</v>
      </c>
      <c r="AC217" s="503">
        <f>IF(終値!A217="","",IFERROR(4*STDEVP(終値!AF217:AY217)/AVERAGE(終値!AF217:AY217),""))</f>
        <v>0.28321101640419949</v>
      </c>
      <c r="AD217" s="503">
        <f>IF(終値!A217="","",IFERROR(4*STDEVP(終値!AG217:AZ217)/AVERAGE(終値!AG217:AZ217),""))</f>
        <v>0.37731236358059284</v>
      </c>
      <c r="AE217" s="503">
        <f>IF(終値!A217="","",IFERROR(4*STDEVP(終値!AH217:BA217)/AVERAGE(終値!AH217:BA217),""))</f>
        <v>0.41528338008440757</v>
      </c>
      <c r="AF217" s="503">
        <f>IF(終値!A217="","",IFERROR(4*STDEVP(終値!AI217:BB217)/AVERAGE(終値!AI217:BB217),""))</f>
        <v>0.43262193855938974</v>
      </c>
      <c r="AG217" s="503">
        <f>IF(終値!A217="","",IFERROR(4*STDEVP(終値!AJ217:BC217)/AVERAGE(終値!AJ217:BC217),""))</f>
        <v>0.45034814564380193</v>
      </c>
      <c r="AH217" s="503">
        <f>IF(終値!A217="","",IFERROR(4*STDEVP(終値!AK217:BD217)/AVERAGE(終値!AK217:BD217),""))</f>
        <v>0.46983698682726077</v>
      </c>
      <c r="AI217" s="503">
        <f>IF(終値!A217="","",IFERROR(4*STDEVP(終値!AL217:BE217)/AVERAGE(終値!AL217:BE217),""))</f>
        <v>0.47067969269760274</v>
      </c>
      <c r="AJ217" s="503">
        <f>IF(終値!A217="","",IFERROR(4*STDEVP(終値!AM217:BF217)/AVERAGE(終値!AM217:BF217),""))</f>
        <v>0.46773341231828702</v>
      </c>
      <c r="AK217" s="503">
        <f>IF(終値!A217="","",IFERROR(4*STDEVP(終値!AN217:BG217)/AVERAGE(終値!AN217:BG217),""))</f>
        <v>0.461279686251648</v>
      </c>
      <c r="AL217" s="503">
        <f>IF(終値!A217="","",IFERROR(4*STDEVP(終値!AO217:BH217)/AVERAGE(終値!AO217:BH217),""))</f>
        <v>0.44762817073226352</v>
      </c>
      <c r="AM217" s="503">
        <f>IF(終値!A217="","",IFERROR(4*STDEVP(終値!AP217:BI217)/AVERAGE(終値!AP217:BI217),""))</f>
        <v>0.42580412706968312</v>
      </c>
      <c r="AN217" s="503">
        <f>IF(終値!A217="","",IFERROR(4*STDEVP(終値!AQ217:BJ217)/AVERAGE(終値!AQ217:BJ217),""))</f>
        <v>0.39867098022209113</v>
      </c>
      <c r="AO217" s="503">
        <f>IF(終値!A217="","",IFERROR(4*STDEVP(終値!AR217:BK217)/AVERAGE(終値!AR217:BK217),""))</f>
        <v>0.37247196425783657</v>
      </c>
      <c r="AP217" s="503">
        <f>IF(終値!A217="","",IFERROR(4*STDEVP(終値!AS217:BL217)/AVERAGE(終値!AS217:BL217),""))</f>
        <v>0.32864278537249392</v>
      </c>
    </row>
    <row r="218" spans="1:42">
      <c r="A218" s="500" t="str">
        <f>IF(終値!A218="","",終値!A218)</f>
        <v>285A</v>
      </c>
      <c r="B218" s="503">
        <f>IF(終値!A218="","",IFERROR(4*STDEVP(終値!E218:X218)/AVERAGE(終値!E218:X218),""))</f>
        <v>0.80914224737809815</v>
      </c>
      <c r="C218" s="503">
        <f>IF(終値!A218="","",IFERROR(4*STDEVP(終値!F218:Y218)/AVERAGE(終値!F218:Y218),""))</f>
        <v>0.80663855850888955</v>
      </c>
      <c r="D218" s="503">
        <f>IF(終値!A218="","",IFERROR(4*STDEVP(終値!G218:Z218)/AVERAGE(終値!G218:Z218),""))</f>
        <v>0.84766747850004487</v>
      </c>
      <c r="E218" s="503">
        <f>IF(終値!A218="","",IFERROR(4*STDEVP(終値!H218:AA218)/AVERAGE(終値!H218:AA218),""))</f>
        <v>0.87519615681673846</v>
      </c>
      <c r="F218" s="503">
        <f>IF(終値!A218="","",IFERROR(4*STDEVP(終値!I218:AB218)/AVERAGE(終値!I218:AB218),""))</f>
        <v>0.85629559241768161</v>
      </c>
      <c r="G218" s="503">
        <f>IF(終値!A218="","",IFERROR(4*STDEVP(終値!J218:AC218)/AVERAGE(終値!J218:AC218),""))</f>
        <v>0.85539484815818567</v>
      </c>
      <c r="H218" s="503">
        <f>IF(終値!A218="","",IFERROR(4*STDEVP(終値!K218:AD218)/AVERAGE(終値!K218:AD218),""))</f>
        <v>0.80069952292225544</v>
      </c>
      <c r="I218" s="503">
        <f>IF(終値!A218="","",IFERROR(4*STDEVP(終値!L218:AE218)/AVERAGE(終値!L218:AE218),""))</f>
        <v>0.70866059297923634</v>
      </c>
      <c r="J218" s="503">
        <f>IF(終値!A218="","",IFERROR(4*STDEVP(終値!M218:AF218)/AVERAGE(終値!M218:AF218),""))</f>
        <v>0.64963899782129142</v>
      </c>
      <c r="K218" s="503">
        <f>IF(終値!A218="","",IFERROR(4*STDEVP(終値!N218:AG218)/AVERAGE(終値!N218:AG218),""))</f>
        <v>0.68214928320292711</v>
      </c>
      <c r="L218" s="503">
        <f>IF(終値!A218="","",IFERROR(4*STDEVP(終値!O218:AH218)/AVERAGE(終値!O218:AH218),""))</f>
        <v>0.65101403472875197</v>
      </c>
      <c r="M218" s="503">
        <f>IF(終値!A218="","",IFERROR(4*STDEVP(終値!P218:AI218)/AVERAGE(終値!P218:AI218),""))</f>
        <v>0.63312623697648529</v>
      </c>
      <c r="N218" s="503">
        <f>IF(終値!A218="","",IFERROR(4*STDEVP(終値!Q218:AJ218)/AVERAGE(終値!Q218:AJ218),""))</f>
        <v>0.67196415158837863</v>
      </c>
      <c r="O218" s="503">
        <f>IF(終値!A218="","",IFERROR(4*STDEVP(終値!R218:AK218)/AVERAGE(終値!R218:AK218),""))</f>
        <v>0.67519945704245354</v>
      </c>
      <c r="P218" s="503">
        <f>IF(終値!A218="","",IFERROR(4*STDEVP(終値!S218:AL218)/AVERAGE(終値!S218:AL218),""))</f>
        <v>0.57896738660224356</v>
      </c>
      <c r="Q218" s="503">
        <f>IF(終値!A218="","",IFERROR(4*STDEVP(終値!T218:AM218)/AVERAGE(終値!T218:AM218),""))</f>
        <v>0.56460063337122379</v>
      </c>
      <c r="R218" s="503">
        <f>IF(終値!A218="","",IFERROR(4*STDEVP(終値!U218:AN218)/AVERAGE(終値!U218:AN218),""))</f>
        <v>0.52995763068783119</v>
      </c>
      <c r="S218" s="503">
        <f>IF(終値!A218="","",IFERROR(4*STDEVP(終値!V218:AO218)/AVERAGE(終値!V218:AO218),""))</f>
        <v>0.47706827046959205</v>
      </c>
      <c r="T218" s="503">
        <f>IF(終値!A218="","",IFERROR(4*STDEVP(終値!W218:AP218)/AVERAGE(終値!W218:AP218),""))</f>
        <v>0.46687644631307096</v>
      </c>
      <c r="U218" s="503">
        <f>IF(終値!A218="","",IFERROR(4*STDEVP(終値!X218:AQ218)/AVERAGE(終値!X218:AQ218),""))</f>
        <v>0.47404505093339006</v>
      </c>
      <c r="V218" s="503">
        <f>IF(終値!A218="","",IFERROR(4*STDEVP(終値!Y218:AR218)/AVERAGE(終値!Y218:AR218),""))</f>
        <v>0.47961778885559009</v>
      </c>
      <c r="W218" s="503">
        <f>IF(終値!A218="","",IFERROR(4*STDEVP(終値!Z218:AS218)/AVERAGE(終値!Z218:AS218),""))</f>
        <v>0.48161157386178849</v>
      </c>
      <c r="X218" s="503">
        <f>IF(終値!A218="","",IFERROR(4*STDEVP(終値!AA218:AT218)/AVERAGE(終値!AA218:AT218),""))</f>
        <v>0.48914802744082447</v>
      </c>
      <c r="Y218" s="503">
        <f>IF(終値!A218="","",IFERROR(4*STDEVP(終値!AB218:AU218)/AVERAGE(終値!AB218:AU218),""))</f>
        <v>0.50229834359459313</v>
      </c>
      <c r="Z218" s="503">
        <f>IF(終値!A218="","",IFERROR(4*STDEVP(終値!AC218:AV218)/AVERAGE(終値!AC218:AV218),""))</f>
        <v>0.49751502318241864</v>
      </c>
      <c r="AA218" s="503">
        <f>IF(終値!A218="","",IFERROR(4*STDEVP(終値!AD218:AW218)/AVERAGE(終値!AD218:AW218),""))</f>
        <v>0.51264900765196086</v>
      </c>
      <c r="AB218" s="503">
        <f>IF(終値!A218="","",IFERROR(4*STDEVP(終値!AE218:AX218)/AVERAGE(終値!AE218:AX218),""))</f>
        <v>0.56542201412970239</v>
      </c>
      <c r="AC218" s="503">
        <f>IF(終値!A218="","",IFERROR(4*STDEVP(終値!AF218:AY218)/AVERAGE(終値!AF218:AY218),""))</f>
        <v>0.63084181717258725</v>
      </c>
      <c r="AD218" s="503">
        <f>IF(終値!A218="","",IFERROR(4*STDEVP(終値!AG218:AZ218)/AVERAGE(終値!AG218:AZ218),""))</f>
        <v>0.68849998222305064</v>
      </c>
      <c r="AE218" s="503">
        <f>IF(終値!A218="","",IFERROR(4*STDEVP(終値!AH218:BA218)/AVERAGE(終値!AH218:BA218),""))</f>
        <v>0.69471945887570608</v>
      </c>
      <c r="AF218" s="503">
        <f>IF(終値!A218="","",IFERROR(4*STDEVP(終値!AI218:BB218)/AVERAGE(終値!AI218:BB218),""))</f>
        <v>0.74768404483274409</v>
      </c>
      <c r="AG218" s="503">
        <f>IF(終値!A218="","",IFERROR(4*STDEVP(終値!AJ218:BC218)/AVERAGE(終値!AJ218:BC218),""))</f>
        <v>0.80000940180729774</v>
      </c>
      <c r="AH218" s="503">
        <f>IF(終値!A218="","",IFERROR(4*STDEVP(終値!AK218:BD218)/AVERAGE(終値!AK218:BD218),""))</f>
        <v>0.80226248810382561</v>
      </c>
      <c r="AI218" s="503">
        <f>IF(終値!A218="","",IFERROR(4*STDEVP(終値!AL218:BE218)/AVERAGE(終値!AL218:BE218),""))</f>
        <v>0.78012269660691147</v>
      </c>
      <c r="AJ218" s="503">
        <f>IF(終値!A218="","",IFERROR(4*STDEVP(終値!AM218:BF218)/AVERAGE(終値!AM218:BF218),""))</f>
        <v>0.78172547077952947</v>
      </c>
      <c r="AK218" s="503">
        <f>IF(終値!A218="","",IFERROR(4*STDEVP(終値!AN218:BG218)/AVERAGE(終値!AN218:BG218),""))</f>
        <v>0.79998325350373833</v>
      </c>
      <c r="AL218" s="503">
        <f>IF(終値!A218="","",IFERROR(4*STDEVP(終値!AO218:BH218)/AVERAGE(終値!AO218:BH218),""))</f>
        <v>0.7763178033990914</v>
      </c>
      <c r="AM218" s="503">
        <f>IF(終値!A218="","",IFERROR(4*STDEVP(終値!AP218:BI218)/AVERAGE(終値!AP218:BI218),""))</f>
        <v>0.73734594829310973</v>
      </c>
      <c r="AN218" s="503">
        <f>IF(終値!A218="","",IFERROR(4*STDEVP(終値!AQ218:BJ218)/AVERAGE(終値!AQ218:BJ218),""))</f>
        <v>0.74898717835007367</v>
      </c>
      <c r="AO218" s="503">
        <f>IF(終値!A218="","",IFERROR(4*STDEVP(終値!AR218:BK218)/AVERAGE(終値!AR218:BK218),""))</f>
        <v>0.77059856130390059</v>
      </c>
      <c r="AP218" s="503">
        <f>IF(終値!A218="","",IFERROR(4*STDEVP(終値!AS218:BL218)/AVERAGE(終値!AS218:BL218),""))</f>
        <v>0.80406622237472847</v>
      </c>
    </row>
    <row r="219" spans="1:42">
      <c r="A219" s="500" t="str">
        <f>IF(終値!A219="","",終値!A219)</f>
        <v>141A</v>
      </c>
      <c r="B219" s="503">
        <f>IF(終値!A219="","",IFERROR(4*STDEVP(終値!E219:X219)/AVERAGE(終値!E219:X219),""))</f>
        <v>0.11459714464567664</v>
      </c>
      <c r="C219" s="503">
        <f>IF(終値!A219="","",IFERROR(4*STDEVP(終値!F219:Y219)/AVERAGE(終値!F219:Y219),""))</f>
        <v>0.11033138181270806</v>
      </c>
      <c r="D219" s="503">
        <f>IF(終値!A219="","",IFERROR(4*STDEVP(終値!G219:Z219)/AVERAGE(終値!G219:Z219),""))</f>
        <v>9.3739775695104208E-2</v>
      </c>
      <c r="E219" s="503">
        <f>IF(終値!A219="","",IFERROR(4*STDEVP(終値!H219:AA219)/AVERAGE(終値!H219:AA219),""))</f>
        <v>7.4652915786138821E-2</v>
      </c>
      <c r="F219" s="503">
        <f>IF(終値!A219="","",IFERROR(4*STDEVP(終値!I219:AB219)/AVERAGE(終値!I219:AB219),""))</f>
        <v>5.776030999057738E-2</v>
      </c>
      <c r="G219" s="503">
        <f>IF(終値!A219="","",IFERROR(4*STDEVP(終値!J219:AC219)/AVERAGE(終値!J219:AC219),""))</f>
        <v>6.7579190780788501E-2</v>
      </c>
      <c r="H219" s="503">
        <f>IF(終値!A219="","",IFERROR(4*STDEVP(終値!K219:AD219)/AVERAGE(終値!K219:AD219),""))</f>
        <v>6.6337867358331526E-2</v>
      </c>
      <c r="I219" s="503">
        <f>IF(終値!A219="","",IFERROR(4*STDEVP(終値!L219:AE219)/AVERAGE(終値!L219:AE219),""))</f>
        <v>6.7551971417690052E-2</v>
      </c>
      <c r="J219" s="503">
        <f>IF(終値!A219="","",IFERROR(4*STDEVP(終値!M219:AF219)/AVERAGE(終値!M219:AF219),""))</f>
        <v>7.0923767575312435E-2</v>
      </c>
      <c r="K219" s="503">
        <f>IF(終値!A219="","",IFERROR(4*STDEVP(終値!N219:AG219)/AVERAGE(終値!N219:AG219),""))</f>
        <v>7.0923767575312435E-2</v>
      </c>
      <c r="L219" s="503">
        <f>IF(終値!A219="","",IFERROR(4*STDEVP(終値!O219:AH219)/AVERAGE(終値!O219:AH219),""))</f>
        <v>6.9208686004353842E-2</v>
      </c>
      <c r="M219" s="503">
        <f>IF(終値!A219="","",IFERROR(4*STDEVP(終値!P219:AI219)/AVERAGE(終値!P219:AI219),""))</f>
        <v>9.4098645399989592E-2</v>
      </c>
      <c r="N219" s="503">
        <f>IF(終値!A219="","",IFERROR(4*STDEVP(終値!Q219:AJ219)/AVERAGE(終値!Q219:AJ219),""))</f>
        <v>0.12296660996413927</v>
      </c>
      <c r="O219" s="503">
        <f>IF(終値!A219="","",IFERROR(4*STDEVP(終値!R219:AK219)/AVERAGE(終値!R219:AK219),""))</f>
        <v>0.14407880246883656</v>
      </c>
      <c r="P219" s="503">
        <f>IF(終値!A219="","",IFERROR(4*STDEVP(終値!S219:AL219)/AVERAGE(終値!S219:AL219),""))</f>
        <v>0.16299529355177447</v>
      </c>
      <c r="Q219" s="503">
        <f>IF(終値!A219="","",IFERROR(4*STDEVP(終値!T219:AM219)/AVERAGE(終値!T219:AM219),""))</f>
        <v>0.17074095563472511</v>
      </c>
      <c r="R219" s="503">
        <f>IF(終値!A219="","",IFERROR(4*STDEVP(終値!U219:AN219)/AVERAGE(終値!U219:AN219),""))</f>
        <v>0.18138037499255746</v>
      </c>
      <c r="S219" s="503">
        <f>IF(終値!A219="","",IFERROR(4*STDEVP(終値!V219:AO219)/AVERAGE(終値!V219:AO219),""))</f>
        <v>0.18203170736210636</v>
      </c>
      <c r="T219" s="503">
        <f>IF(終値!A219="","",IFERROR(4*STDEVP(終値!W219:AP219)/AVERAGE(終値!W219:AP219),""))</f>
        <v>0.18502886916086847</v>
      </c>
      <c r="U219" s="503">
        <f>IF(終値!A219="","",IFERROR(4*STDEVP(終値!X219:AQ219)/AVERAGE(終値!X219:AQ219),""))</f>
        <v>0.17862537231906275</v>
      </c>
      <c r="V219" s="503">
        <f>IF(終値!A219="","",IFERROR(4*STDEVP(終値!Y219:AR219)/AVERAGE(終値!Y219:AR219),""))</f>
        <v>0.18000158821819587</v>
      </c>
      <c r="W219" s="503">
        <f>IF(終値!A219="","",IFERROR(4*STDEVP(終値!Z219:AS219)/AVERAGE(終値!Z219:AS219),""))</f>
        <v>0.16775813101714818</v>
      </c>
      <c r="X219" s="503">
        <f>IF(終値!A219="","",IFERROR(4*STDEVP(終値!AA219:AT219)/AVERAGE(終値!AA219:AT219),""))</f>
        <v>0.16446283951907001</v>
      </c>
      <c r="Y219" s="503">
        <f>IF(終値!A219="","",IFERROR(4*STDEVP(終値!AB219:AU219)/AVERAGE(終値!AB219:AU219),""))</f>
        <v>0.16310826397524542</v>
      </c>
      <c r="Z219" s="503">
        <f>IF(終値!A219="","",IFERROR(4*STDEVP(終値!AC219:AV219)/AVERAGE(終値!AC219:AV219),""))</f>
        <v>0.16036447172976326</v>
      </c>
      <c r="AA219" s="503">
        <f>IF(終値!A219="","",IFERROR(4*STDEVP(終値!AD219:AW219)/AVERAGE(終値!AD219:AW219),""))</f>
        <v>0.18009980426481961</v>
      </c>
      <c r="AB219" s="503">
        <f>IF(終値!A219="","",IFERROR(4*STDEVP(終値!AE219:AX219)/AVERAGE(終値!AE219:AX219),""))</f>
        <v>0.17252769568841242</v>
      </c>
      <c r="AC219" s="503">
        <f>IF(終値!A219="","",IFERROR(4*STDEVP(終値!AF219:AY219)/AVERAGE(終値!AF219:AY219),""))</f>
        <v>0.15474617559185463</v>
      </c>
      <c r="AD219" s="503">
        <f>IF(終値!A219="","",IFERROR(4*STDEVP(終値!AG219:AZ219)/AVERAGE(終値!AG219:AZ219),""))</f>
        <v>0.1476986304622839</v>
      </c>
      <c r="AE219" s="503">
        <f>IF(終値!A219="","",IFERROR(4*STDEVP(終値!AH219:BA219)/AVERAGE(終値!AH219:BA219),""))</f>
        <v>0.13128856916181306</v>
      </c>
      <c r="AF219" s="503">
        <f>IF(終値!A219="","",IFERROR(4*STDEVP(終値!AI219:BB219)/AVERAGE(終値!AI219:BB219),""))</f>
        <v>0.1203365772977784</v>
      </c>
      <c r="AG219" s="503">
        <f>IF(終値!A219="","",IFERROR(4*STDEVP(終値!AJ219:BC219)/AVERAGE(終値!AJ219:BC219),""))</f>
        <v>0.14565805283961078</v>
      </c>
      <c r="AH219" s="503">
        <f>IF(終値!A219="","",IFERROR(4*STDEVP(終値!AK219:BD219)/AVERAGE(終値!AK219:BD219),""))</f>
        <v>0.17087495590152244</v>
      </c>
      <c r="AI219" s="503">
        <f>IF(終値!A219="","",IFERROR(4*STDEVP(終値!AL219:BE219)/AVERAGE(終値!AL219:BE219),""))</f>
        <v>0.20030169690740235</v>
      </c>
      <c r="AJ219" s="503">
        <f>IF(終値!A219="","",IFERROR(4*STDEVP(終値!AM219:BF219)/AVERAGE(終値!AM219:BF219),""))</f>
        <v>0.19743784896537483</v>
      </c>
      <c r="AK219" s="503">
        <f>IF(終値!A219="","",IFERROR(4*STDEVP(終値!AN219:BG219)/AVERAGE(終値!AN219:BG219),""))</f>
        <v>0.29076235621618318</v>
      </c>
      <c r="AL219" s="503">
        <f>IF(終値!A219="","",IFERROR(4*STDEVP(終値!AO219:BH219)/AVERAGE(終値!AO219:BH219),""))</f>
        <v>0.49123898667439081</v>
      </c>
      <c r="AM219" s="503">
        <f>IF(終値!A219="","",IFERROR(4*STDEVP(終値!AP219:BI219)/AVERAGE(終値!AP219:BI219),""))</f>
        <v>0.63539146313858608</v>
      </c>
      <c r="AN219" s="503">
        <f>IF(終値!A219="","",IFERROR(4*STDEVP(終値!AQ219:BJ219)/AVERAGE(終値!AQ219:BJ219),""))</f>
        <v>0.71012626871251294</v>
      </c>
      <c r="AO219" s="503">
        <f>IF(終値!A219="","",IFERROR(4*STDEVP(終値!AR219:BK219)/AVERAGE(終値!AR219:BK219),""))</f>
        <v>0.75166255871203891</v>
      </c>
      <c r="AP219" s="503">
        <f>IF(終値!A219="","",IFERROR(4*STDEVP(終値!AS219:BL219)/AVERAGE(終値!AS219:BL219),""))</f>
        <v>0.76870233481496619</v>
      </c>
    </row>
    <row r="220" spans="1:42">
      <c r="A220" s="500" t="str">
        <f>IF(終値!A220="","",終値!A220)</f>
        <v>464A</v>
      </c>
      <c r="B220" s="503">
        <f>IF(終値!A220="","",IFERROR(4*STDEVP(終値!E220:X220)/AVERAGE(終値!E220:X220),""))</f>
        <v>0.37380767149105465</v>
      </c>
      <c r="C220" s="503">
        <f>IF(終値!A220="","",IFERROR(4*STDEVP(終値!F220:Y220)/AVERAGE(終値!F220:Y220),""))</f>
        <v>0.40585854254602932</v>
      </c>
      <c r="D220" s="503">
        <f>IF(終値!A220="","",IFERROR(4*STDEVP(終値!G220:Z220)/AVERAGE(終値!G220:Z220),""))</f>
        <v>0.45356514783064583</v>
      </c>
      <c r="E220" s="503">
        <f>IF(終値!A220="","",IFERROR(4*STDEVP(終値!H220:AA220)/AVERAGE(終値!H220:AA220),""))</f>
        <v>0.49562926879321029</v>
      </c>
      <c r="F220" s="503">
        <f>IF(終値!A220="","",IFERROR(4*STDEVP(終値!I220:AB220)/AVERAGE(終値!I220:AB220),""))</f>
        <v>0.50153428575779702</v>
      </c>
      <c r="G220" s="503">
        <f>IF(終値!A220="","",IFERROR(4*STDEVP(終値!J220:AC220)/AVERAGE(終値!J220:AC220),""))</f>
        <v>0.49545276185005149</v>
      </c>
      <c r="H220" s="503">
        <f>IF(終値!A220="","",IFERROR(4*STDEVP(終値!K220:AD220)/AVERAGE(終値!K220:AD220),""))</f>
        <v>0.46290941174777178</v>
      </c>
      <c r="I220" s="503">
        <f>IF(終値!A220="","",IFERROR(4*STDEVP(終値!L220:AE220)/AVERAGE(終値!L220:AE220),""))</f>
        <v>0.41193322194918119</v>
      </c>
      <c r="J220" s="503">
        <f>IF(終値!A220="","",IFERROR(4*STDEVP(終値!M220:AF220)/AVERAGE(終値!M220:AF220),""))</f>
        <v>0.38511911702931145</v>
      </c>
      <c r="K220" s="503">
        <f>IF(終値!A220="","",IFERROR(4*STDEVP(終値!N220:AG220)/AVERAGE(終値!N220:AG220),""))</f>
        <v>0.34174568403578942</v>
      </c>
      <c r="L220" s="503">
        <f>IF(終値!A220="","",IFERROR(4*STDEVP(終値!O220:AH220)/AVERAGE(終値!O220:AH220),""))</f>
        <v>0.30184806373850726</v>
      </c>
      <c r="M220" s="503">
        <f>IF(終値!A220="","",IFERROR(4*STDEVP(終値!P220:AI220)/AVERAGE(終値!P220:AI220),""))</f>
        <v>0.28336961163006918</v>
      </c>
      <c r="N220" s="503">
        <f>IF(終値!A220="","",IFERROR(4*STDEVP(終値!Q220:AJ220)/AVERAGE(終値!Q220:AJ220),""))</f>
        <v>0.30665048524756183</v>
      </c>
      <c r="O220" s="503">
        <f>IF(終値!A220="","",IFERROR(4*STDEVP(終値!R220:AK220)/AVERAGE(終値!R220:AK220),""))</f>
        <v>0.29894217550123614</v>
      </c>
      <c r="P220" s="503">
        <f>IF(終値!A220="","",IFERROR(4*STDEVP(終値!S220:AL220)/AVERAGE(終値!S220:AL220),""))</f>
        <v>0.28112145578416786</v>
      </c>
      <c r="Q220" s="503">
        <f>IF(終値!A220="","",IFERROR(4*STDEVP(終値!T220:AM220)/AVERAGE(終値!T220:AM220),""))</f>
        <v>0.29422005007247909</v>
      </c>
      <c r="R220" s="503">
        <f>IF(終値!A220="","",IFERROR(4*STDEVP(終値!U220:AN220)/AVERAGE(終値!U220:AN220),""))</f>
        <v>0.31051688037931185</v>
      </c>
      <c r="S220" s="503">
        <f>IF(終値!A220="","",IFERROR(4*STDEVP(終値!V220:AO220)/AVERAGE(終値!V220:AO220),""))</f>
        <v>0.3235896935410848</v>
      </c>
      <c r="T220" s="503">
        <f>IF(終値!A220="","",IFERROR(4*STDEVP(終値!W220:AP220)/AVERAGE(終値!W220:AP220),""))</f>
        <v>0.43772634362093849</v>
      </c>
      <c r="U220" s="503">
        <f>IF(終値!A220="","",IFERROR(4*STDEVP(終値!X220:AQ220)/AVERAGE(終値!X220:AQ220),""))</f>
        <v>0.46640685939580717</v>
      </c>
      <c r="V220" s="503">
        <f>IF(終値!A220="","",IFERROR(4*STDEVP(終値!Y220:AR220)/AVERAGE(終値!Y220:AR220),""))</f>
        <v>0.46642328579629583</v>
      </c>
      <c r="W220" s="503">
        <f>IF(終値!A220="","",IFERROR(4*STDEVP(終値!Z220:AS220)/AVERAGE(終値!Z220:AS220),""))</f>
        <v>0.52830880991600915</v>
      </c>
      <c r="X220" s="503">
        <f>IF(終値!A220="","",IFERROR(4*STDEVP(終値!AA220:AT220)/AVERAGE(終値!AA220:AT220),""))</f>
        <v>0.5840942090542931</v>
      </c>
      <c r="Y220" s="503">
        <f>IF(終値!A220="","",IFERROR(4*STDEVP(終値!AB220:AU220)/AVERAGE(終値!AB220:AU220),""))</f>
        <v>0.60059291835715733</v>
      </c>
      <c r="Z220" s="503">
        <f>IF(終値!A220="","",IFERROR(4*STDEVP(終値!AC220:AV220)/AVERAGE(終値!AC220:AV220),""))</f>
        <v>0.63427846751200345</v>
      </c>
      <c r="AA220" s="503">
        <f>IF(終値!A220="","",IFERROR(4*STDEVP(終値!AD220:AW220)/AVERAGE(終値!AD220:AW220),""))</f>
        <v>0.65475103437046178</v>
      </c>
      <c r="AB220" s="503">
        <f>IF(終値!A220="","",IFERROR(4*STDEVP(終値!AE220:AX220)/AVERAGE(終値!AE220:AX220),""))</f>
        <v>0.83801022482226839</v>
      </c>
      <c r="AC220" s="503">
        <f>IF(終値!A220="","",IFERROR(4*STDEVP(終値!AF220:AY220)/AVERAGE(終値!AF220:AY220),""))</f>
        <v>0.98382249980208425</v>
      </c>
      <c r="AD220" s="503">
        <f>IF(終値!A220="","",IFERROR(4*STDEVP(終値!AG220:AZ220)/AVERAGE(終値!AG220:AZ220),""))</f>
        <v>1.033155877021479</v>
      </c>
      <c r="AE220" s="503">
        <f>IF(終値!A220="","",IFERROR(4*STDEVP(終値!AH220:BA220)/AVERAGE(終値!AH220:BA220),""))</f>
        <v>1.0318409175468222</v>
      </c>
      <c r="AF220" s="503">
        <f>IF(終値!A220="","",IFERROR(4*STDEVP(終値!AI220:BB220)/AVERAGE(終値!AI220:BB220),""))</f>
        <v>0.9960941273859526</v>
      </c>
      <c r="AG220" s="503">
        <f>IF(終値!A220="","",IFERROR(4*STDEVP(終値!AJ220:BC220)/AVERAGE(終値!AJ220:BC220),""))</f>
        <v>0.94183876693935764</v>
      </c>
      <c r="AH220" s="503">
        <f>IF(終値!A220="","",IFERROR(4*STDEVP(終値!AK220:BD220)/AVERAGE(終値!AK220:BD220),""))</f>
        <v>0.90379280779021609</v>
      </c>
      <c r="AI220" s="503">
        <f>IF(終値!A220="","",IFERROR(4*STDEVP(終値!AL220:BE220)/AVERAGE(終値!AL220:BE220),""))</f>
        <v>0.85753611306808497</v>
      </c>
      <c r="AJ220" s="503">
        <f>IF(終値!A220="","",IFERROR(4*STDEVP(終値!AM220:BF220)/AVERAGE(終値!AM220:BF220),""))</f>
        <v>0.80714945800051041</v>
      </c>
      <c r="AK220" s="503">
        <f>IF(終値!A220="","",IFERROR(4*STDEVP(終値!AN220:BG220)/AVERAGE(終値!AN220:BG220),""))</f>
        <v>0.74563945184577174</v>
      </c>
      <c r="AL220" s="503">
        <f>IF(終値!A220="","",IFERROR(4*STDEVP(終値!AO220:BH220)/AVERAGE(終値!AO220:BH220),""))</f>
        <v>0.68607086731224642</v>
      </c>
      <c r="AM220" s="503">
        <f>IF(終値!A220="","",IFERROR(4*STDEVP(終値!AP220:BI220)/AVERAGE(終値!AP220:BI220),""))</f>
        <v>0.62789512481032672</v>
      </c>
      <c r="AN220" s="503">
        <f>IF(終値!A220="","",IFERROR(4*STDEVP(終値!AQ220:BJ220)/AVERAGE(終値!AQ220:BJ220),""))</f>
        <v>0.61817531353953314</v>
      </c>
      <c r="AO220" s="503">
        <f>IF(終値!A220="","",IFERROR(4*STDEVP(終値!AR220:BK220)/AVERAGE(終値!AR220:BK220),""))</f>
        <v>0.59082422035048321</v>
      </c>
      <c r="AP220" s="503">
        <f>IF(終値!A220="","",IFERROR(4*STDEVP(終値!AS220:BL220)/AVERAGE(終値!AS220:BL220),""))</f>
        <v>0.56448527013586902</v>
      </c>
    </row>
    <row r="221" spans="1:42">
      <c r="A221" s="500" t="str">
        <f>IF(終値!A221="","",終値!A221)</f>
        <v>485A</v>
      </c>
      <c r="B221" s="503">
        <f>IF(終値!A221="","",IFERROR(4*STDEVP(終値!E221:X221)/AVERAGE(終値!E221:X221),""))</f>
        <v>7.199576495500265E-2</v>
      </c>
      <c r="C221" s="503">
        <f>IF(終値!A221="","",IFERROR(4*STDEVP(終値!F221:Y221)/AVERAGE(終値!F221:Y221),""))</f>
        <v>0</v>
      </c>
      <c r="D221" s="503" t="str">
        <f>IF(終値!A221="","",IFERROR(4*STDEVP(終値!G221:Z221)/AVERAGE(終値!G221:Z221),""))</f>
        <v/>
      </c>
      <c r="E221" s="503" t="str">
        <f>IF(終値!A221="","",IFERROR(4*STDEVP(終値!H221:AA221)/AVERAGE(終値!H221:AA221),""))</f>
        <v/>
      </c>
      <c r="F221" s="503" t="str">
        <f>IF(終値!A221="","",IFERROR(4*STDEVP(終値!I221:AB221)/AVERAGE(終値!I221:AB221),""))</f>
        <v/>
      </c>
      <c r="G221" s="503" t="str">
        <f>IF(終値!A221="","",IFERROR(4*STDEVP(終値!J221:AC221)/AVERAGE(終値!J221:AC221),""))</f>
        <v/>
      </c>
      <c r="H221" s="503" t="str">
        <f>IF(終値!A221="","",IFERROR(4*STDEVP(終値!K221:AD221)/AVERAGE(終値!K221:AD221),""))</f>
        <v/>
      </c>
      <c r="I221" s="503" t="str">
        <f>IF(終値!A221="","",IFERROR(4*STDEVP(終値!L221:AE221)/AVERAGE(終値!L221:AE221),""))</f>
        <v/>
      </c>
      <c r="J221" s="503" t="str">
        <f>IF(終値!A221="","",IFERROR(4*STDEVP(終値!M221:AF221)/AVERAGE(終値!M221:AF221),""))</f>
        <v/>
      </c>
      <c r="K221" s="503" t="str">
        <f>IF(終値!A221="","",IFERROR(4*STDEVP(終値!N221:AG221)/AVERAGE(終値!N221:AG221),""))</f>
        <v/>
      </c>
      <c r="L221" s="503" t="str">
        <f>IF(終値!A221="","",IFERROR(4*STDEVP(終値!O221:AH221)/AVERAGE(終値!O221:AH221),""))</f>
        <v/>
      </c>
      <c r="M221" s="503" t="str">
        <f>IF(終値!A221="","",IFERROR(4*STDEVP(終値!P221:AI221)/AVERAGE(終値!P221:AI221),""))</f>
        <v/>
      </c>
      <c r="N221" s="503" t="str">
        <f>IF(終値!A221="","",IFERROR(4*STDEVP(終値!Q221:AJ221)/AVERAGE(終値!Q221:AJ221),""))</f>
        <v/>
      </c>
      <c r="O221" s="503" t="str">
        <f>IF(終値!A221="","",IFERROR(4*STDEVP(終値!R221:AK221)/AVERAGE(終値!R221:AK221),""))</f>
        <v/>
      </c>
      <c r="P221" s="503" t="str">
        <f>IF(終値!A221="","",IFERROR(4*STDEVP(終値!S221:AL221)/AVERAGE(終値!S221:AL221),""))</f>
        <v/>
      </c>
      <c r="Q221" s="503" t="str">
        <f>IF(終値!A221="","",IFERROR(4*STDEVP(終値!T221:AM221)/AVERAGE(終値!T221:AM221),""))</f>
        <v/>
      </c>
      <c r="R221" s="503" t="str">
        <f>IF(終値!A221="","",IFERROR(4*STDEVP(終値!U221:AN221)/AVERAGE(終値!U221:AN221),""))</f>
        <v/>
      </c>
      <c r="S221" s="503" t="str">
        <f>IF(終値!A221="","",IFERROR(4*STDEVP(終値!V221:AO221)/AVERAGE(終値!V221:AO221),""))</f>
        <v/>
      </c>
      <c r="T221" s="503" t="str">
        <f>IF(終値!A221="","",IFERROR(4*STDEVP(終値!W221:AP221)/AVERAGE(終値!W221:AP221),""))</f>
        <v/>
      </c>
      <c r="U221" s="503" t="str">
        <f>IF(終値!A221="","",IFERROR(4*STDEVP(終値!X221:AQ221)/AVERAGE(終値!X221:AQ221),""))</f>
        <v/>
      </c>
      <c r="V221" s="503" t="str">
        <f>IF(終値!A221="","",IFERROR(4*STDEVP(終値!Y221:AR221)/AVERAGE(終値!Y221:AR221),""))</f>
        <v/>
      </c>
      <c r="W221" s="503" t="str">
        <f>IF(終値!A221="","",IFERROR(4*STDEVP(終値!Z221:AS221)/AVERAGE(終値!Z221:AS221),""))</f>
        <v/>
      </c>
      <c r="X221" s="503" t="str">
        <f>IF(終値!A221="","",IFERROR(4*STDEVP(終値!AA221:AT221)/AVERAGE(終値!AA221:AT221),""))</f>
        <v/>
      </c>
      <c r="Y221" s="503" t="str">
        <f>IF(終値!A221="","",IFERROR(4*STDEVP(終値!AB221:AU221)/AVERAGE(終値!AB221:AU221),""))</f>
        <v/>
      </c>
      <c r="Z221" s="503" t="str">
        <f>IF(終値!A221="","",IFERROR(4*STDEVP(終値!AC221:AV221)/AVERAGE(終値!AC221:AV221),""))</f>
        <v/>
      </c>
      <c r="AA221" s="503" t="str">
        <f>IF(終値!A221="","",IFERROR(4*STDEVP(終値!AD221:AW221)/AVERAGE(終値!AD221:AW221),""))</f>
        <v/>
      </c>
      <c r="AB221" s="503" t="str">
        <f>IF(終値!A221="","",IFERROR(4*STDEVP(終値!AE221:AX221)/AVERAGE(終値!AE221:AX221),""))</f>
        <v/>
      </c>
      <c r="AC221" s="503" t="str">
        <f>IF(終値!A221="","",IFERROR(4*STDEVP(終値!AF221:AY221)/AVERAGE(終値!AF221:AY221),""))</f>
        <v/>
      </c>
      <c r="AD221" s="503" t="str">
        <f>IF(終値!A221="","",IFERROR(4*STDEVP(終値!AG221:AZ221)/AVERAGE(終値!AG221:AZ221),""))</f>
        <v/>
      </c>
      <c r="AE221" s="503" t="str">
        <f>IF(終値!A221="","",IFERROR(4*STDEVP(終値!AH221:BA221)/AVERAGE(終値!AH221:BA221),""))</f>
        <v/>
      </c>
      <c r="AF221" s="503" t="str">
        <f>IF(終値!A221="","",IFERROR(4*STDEVP(終値!AI221:BB221)/AVERAGE(終値!AI221:BB221),""))</f>
        <v/>
      </c>
      <c r="AG221" s="503" t="str">
        <f>IF(終値!A221="","",IFERROR(4*STDEVP(終値!AJ221:BC221)/AVERAGE(終値!AJ221:BC221),""))</f>
        <v/>
      </c>
      <c r="AH221" s="503" t="str">
        <f>IF(終値!A221="","",IFERROR(4*STDEVP(終値!AK221:BD221)/AVERAGE(終値!AK221:BD221),""))</f>
        <v/>
      </c>
      <c r="AI221" s="503" t="str">
        <f>IF(終値!A221="","",IFERROR(4*STDEVP(終値!AL221:BE221)/AVERAGE(終値!AL221:BE221),""))</f>
        <v/>
      </c>
      <c r="AJ221" s="503" t="str">
        <f>IF(終値!A221="","",IFERROR(4*STDEVP(終値!AM221:BF221)/AVERAGE(終値!AM221:BF221),""))</f>
        <v/>
      </c>
      <c r="AK221" s="503" t="str">
        <f>IF(終値!A221="","",IFERROR(4*STDEVP(終値!AN221:BG221)/AVERAGE(終値!AN221:BG221),""))</f>
        <v/>
      </c>
      <c r="AL221" s="503" t="str">
        <f>IF(終値!A221="","",IFERROR(4*STDEVP(終値!AO221:BH221)/AVERAGE(終値!AO221:BH221),""))</f>
        <v/>
      </c>
      <c r="AM221" s="503" t="str">
        <f>IF(終値!A221="","",IFERROR(4*STDEVP(終値!AP221:BI221)/AVERAGE(終値!AP221:BI221),""))</f>
        <v/>
      </c>
      <c r="AN221" s="503" t="str">
        <f>IF(終値!A221="","",IFERROR(4*STDEVP(終値!AQ221:BJ221)/AVERAGE(終値!AQ221:BJ221),""))</f>
        <v/>
      </c>
      <c r="AO221" s="503" t="str">
        <f>IF(終値!A221="","",IFERROR(4*STDEVP(終値!AR221:BK221)/AVERAGE(終値!AR221:BK221),""))</f>
        <v/>
      </c>
      <c r="AP221" s="503" t="str">
        <f>IF(終値!A221="","",IFERROR(4*STDEVP(終値!AS221:BL221)/AVERAGE(終値!AS221:BL221),""))</f>
        <v/>
      </c>
    </row>
    <row r="222" spans="1:42">
      <c r="A222" s="500" t="str">
        <f>IF(終値!A222="","",終値!A222)</f>
        <v>1570</v>
      </c>
      <c r="B222" s="503">
        <f>IF(終値!A222="","",IFERROR(4*STDEVP(終値!E222:X222)/AVERAGE(終値!E222:X222),""))</f>
        <v>0.26554501508613104</v>
      </c>
      <c r="C222" s="503">
        <f>IF(終値!A222="","",IFERROR(4*STDEVP(終値!F222:Y222)/AVERAGE(終値!F222:Y222),""))</f>
        <v>0.27743631072937752</v>
      </c>
      <c r="D222" s="503">
        <f>IF(終値!A222="","",IFERROR(4*STDEVP(終値!G222:Z222)/AVERAGE(終値!G222:Z222),""))</f>
        <v>0.30023011586760012</v>
      </c>
      <c r="E222" s="503">
        <f>IF(終値!A222="","",IFERROR(4*STDEVP(終値!H222:AA222)/AVERAGE(終値!H222:AA222),""))</f>
        <v>0.31265030335225841</v>
      </c>
      <c r="F222" s="503">
        <f>IF(終値!A222="","",IFERROR(4*STDEVP(終値!I222:AB222)/AVERAGE(終値!I222:AB222),""))</f>
        <v>0.3104144456006393</v>
      </c>
      <c r="G222" s="503">
        <f>IF(終値!A222="","",IFERROR(4*STDEVP(終値!J222:AC222)/AVERAGE(終値!J222:AC222),""))</f>
        <v>0.32121435739224219</v>
      </c>
      <c r="H222" s="503">
        <f>IF(終値!A222="","",IFERROR(4*STDEVP(終値!K222:AD222)/AVERAGE(終値!K222:AD222),""))</f>
        <v>0.30312528069963368</v>
      </c>
      <c r="I222" s="503">
        <f>IF(終値!A222="","",IFERROR(4*STDEVP(終値!L222:AE222)/AVERAGE(終値!L222:AE222),""))</f>
        <v>0.26642967084621821</v>
      </c>
      <c r="J222" s="503">
        <f>IF(終値!A222="","",IFERROR(4*STDEVP(終値!M222:AF222)/AVERAGE(終値!M222:AF222),""))</f>
        <v>0.22906191143439633</v>
      </c>
      <c r="K222" s="503">
        <f>IF(終値!A222="","",IFERROR(4*STDEVP(終値!N222:AG222)/AVERAGE(終値!N222:AG222),""))</f>
        <v>0.24460792438376386</v>
      </c>
      <c r="L222" s="503">
        <f>IF(終値!A222="","",IFERROR(4*STDEVP(終値!O222:AH222)/AVERAGE(終値!O222:AH222),""))</f>
        <v>0.22365374046190767</v>
      </c>
      <c r="M222" s="503">
        <f>IF(終値!A222="","",IFERROR(4*STDEVP(終値!P222:AI222)/AVERAGE(終値!P222:AI222),""))</f>
        <v>0.21788214013898854</v>
      </c>
      <c r="N222" s="503">
        <f>IF(終値!A222="","",IFERROR(4*STDEVP(終値!Q222:AJ222)/AVERAGE(終値!Q222:AJ222),""))</f>
        <v>0.22892117361540665</v>
      </c>
      <c r="O222" s="503">
        <f>IF(終値!A222="","",IFERROR(4*STDEVP(終値!R222:AK222)/AVERAGE(終値!R222:AK222),""))</f>
        <v>0.22278396426408759</v>
      </c>
      <c r="P222" s="503">
        <f>IF(終値!A222="","",IFERROR(4*STDEVP(終値!S222:AL222)/AVERAGE(終値!S222:AL222),""))</f>
        <v>0.18372867549712199</v>
      </c>
      <c r="Q222" s="503">
        <f>IF(終値!A222="","",IFERROR(4*STDEVP(終値!T222:AM222)/AVERAGE(終値!T222:AM222),""))</f>
        <v>0.18222336076134737</v>
      </c>
      <c r="R222" s="503">
        <f>IF(終値!A222="","",IFERROR(4*STDEVP(終値!U222:AN222)/AVERAGE(終値!U222:AN222),""))</f>
        <v>0.17405424779110965</v>
      </c>
      <c r="S222" s="503">
        <f>IF(終値!A222="","",IFERROR(4*STDEVP(終値!V222:AO222)/AVERAGE(終値!V222:AO222),""))</f>
        <v>0.16020567047648127</v>
      </c>
      <c r="T222" s="503">
        <f>IF(終値!A222="","",IFERROR(4*STDEVP(終値!W222:AP222)/AVERAGE(終値!W222:AP222),""))</f>
        <v>0.179172495825278</v>
      </c>
      <c r="U222" s="503">
        <f>IF(終値!A222="","",IFERROR(4*STDEVP(終値!X222:AQ222)/AVERAGE(終値!X222:AQ222),""))</f>
        <v>0.21537410248872593</v>
      </c>
      <c r="V222" s="503">
        <f>IF(終値!A222="","",IFERROR(4*STDEVP(終値!Y222:AR222)/AVERAGE(終値!Y222:AR222),""))</f>
        <v>0.23957737580962765</v>
      </c>
      <c r="W222" s="503">
        <f>IF(終値!A222="","",IFERROR(4*STDEVP(終値!Z222:AS222)/AVERAGE(終値!Z222:AS222),""))</f>
        <v>0.26926711556105348</v>
      </c>
      <c r="X222" s="503">
        <f>IF(終値!A222="","",IFERROR(4*STDEVP(終値!AA222:AT222)/AVERAGE(終値!AA222:AT222),""))</f>
        <v>0.27535084668869192</v>
      </c>
      <c r="Y222" s="503">
        <f>IF(終値!A222="","",IFERROR(4*STDEVP(終値!AB222:AU222)/AVERAGE(終値!AB222:AU222),""))</f>
        <v>0.2769225604728156</v>
      </c>
      <c r="Z222" s="503">
        <f>IF(終値!A222="","",IFERROR(4*STDEVP(終値!AC222:AV222)/AVERAGE(終値!AC222:AV222),""))</f>
        <v>0.27678955975483149</v>
      </c>
      <c r="AA222" s="503">
        <f>IF(終値!A222="","",IFERROR(4*STDEVP(終値!AD222:AW222)/AVERAGE(終値!AD222:AW222),""))</f>
        <v>0.27914331901697947</v>
      </c>
      <c r="AB222" s="503">
        <f>IF(終値!A222="","",IFERROR(4*STDEVP(終値!AE222:AX222)/AVERAGE(終値!AE222:AX222),""))</f>
        <v>0.28285105339917399</v>
      </c>
      <c r="AC222" s="503">
        <f>IF(終値!A222="","",IFERROR(4*STDEVP(終値!AF222:AY222)/AVERAGE(終値!AF222:AY222),""))</f>
        <v>0.29658648265132581</v>
      </c>
      <c r="AD222" s="503">
        <f>IF(終値!A222="","",IFERROR(4*STDEVP(終値!AG222:AZ222)/AVERAGE(終値!AG222:AZ222),""))</f>
        <v>0.30570282619756339</v>
      </c>
      <c r="AE222" s="503">
        <f>IF(終値!A222="","",IFERROR(4*STDEVP(終値!AH222:BA222)/AVERAGE(終値!AH222:BA222),""))</f>
        <v>0.29203697126636868</v>
      </c>
      <c r="AF222" s="503">
        <f>IF(終値!A222="","",IFERROR(4*STDEVP(終値!AI222:BB222)/AVERAGE(終値!AI222:BB222),""))</f>
        <v>0.30910817317384126</v>
      </c>
      <c r="AG222" s="503">
        <f>IF(終値!A222="","",IFERROR(4*STDEVP(終値!AJ222:BC222)/AVERAGE(終値!AJ222:BC222),""))</f>
        <v>0.33413452403333127</v>
      </c>
      <c r="AH222" s="503">
        <f>IF(終値!A222="","",IFERROR(4*STDEVP(終値!AK222:BD222)/AVERAGE(終値!AK222:BD222),""))</f>
        <v>0.34409741043597908</v>
      </c>
      <c r="AI222" s="503">
        <f>IF(終値!A222="","",IFERROR(4*STDEVP(終値!AL222:BE222)/AVERAGE(終値!AL222:BE222),""))</f>
        <v>0.34712503198607386</v>
      </c>
      <c r="AJ222" s="503">
        <f>IF(終値!A222="","",IFERROR(4*STDEVP(終値!AM222:BF222)/AVERAGE(終値!AM222:BF222),""))</f>
        <v>0.33922583129779421</v>
      </c>
      <c r="AK222" s="503">
        <f>IF(終値!A222="","",IFERROR(4*STDEVP(終値!AN222:BG222)/AVERAGE(終値!AN222:BG222),""))</f>
        <v>0.32979682314823816</v>
      </c>
      <c r="AL222" s="503">
        <f>IF(終値!A222="","",IFERROR(4*STDEVP(終値!AO222:BH222)/AVERAGE(終値!AO222:BH222),""))</f>
        <v>0.31211592608677236</v>
      </c>
      <c r="AM222" s="503">
        <f>IF(終値!A222="","",IFERROR(4*STDEVP(終値!AP222:BI222)/AVERAGE(終値!AP222:BI222),""))</f>
        <v>0.28527647259950856</v>
      </c>
      <c r="AN222" s="503">
        <f>IF(終値!A222="","",IFERROR(4*STDEVP(終値!AQ222:BJ222)/AVERAGE(終値!AQ222:BJ222),""))</f>
        <v>0.28453242785806232</v>
      </c>
      <c r="AO222" s="503">
        <f>IF(終値!A222="","",IFERROR(4*STDEVP(終値!AR222:BK222)/AVERAGE(終値!AR222:BK222),""))</f>
        <v>0.28776985231808311</v>
      </c>
      <c r="AP222" s="503">
        <f>IF(終値!A222="","",IFERROR(4*STDEVP(終値!AS222:BL222)/AVERAGE(終値!AS222:BL222),""))</f>
        <v>0.28989146509732017</v>
      </c>
    </row>
    <row r="223" spans="1:42">
      <c r="A223" s="500" t="str">
        <f>IF(終値!A223="","",終値!A223)</f>
        <v>6135</v>
      </c>
      <c r="B223" s="503">
        <f>IF(終値!A223="","",IFERROR(4*STDEVP(終値!E223:X223)/AVERAGE(終値!E223:X223),""))</f>
        <v>9.6235838995704412E-2</v>
      </c>
      <c r="C223" s="503">
        <f>IF(終値!A223="","",IFERROR(4*STDEVP(終値!F223:Y223)/AVERAGE(終値!F223:Y223),""))</f>
        <v>9.31837321185853E-2</v>
      </c>
      <c r="D223" s="503">
        <f>IF(終値!A223="","",IFERROR(4*STDEVP(終値!G223:Z223)/AVERAGE(終値!G223:Z223),""))</f>
        <v>9.0281002156506737E-2</v>
      </c>
      <c r="E223" s="503">
        <f>IF(終値!A223="","",IFERROR(4*STDEVP(終値!H223:AA223)/AVERAGE(終値!H223:AA223),""))</f>
        <v>9.8799329516264606E-2</v>
      </c>
      <c r="F223" s="503">
        <f>IF(終値!A223="","",IFERROR(4*STDEVP(終値!I223:AB223)/AVERAGE(終値!I223:AB223),""))</f>
        <v>0.1042614358276036</v>
      </c>
      <c r="G223" s="503">
        <f>IF(終値!A223="","",IFERROR(4*STDEVP(終値!J223:AC223)/AVERAGE(終値!J223:AC223),""))</f>
        <v>0.10230738881297691</v>
      </c>
      <c r="H223" s="503">
        <f>IF(終値!A223="","",IFERROR(4*STDEVP(終値!K223:AD223)/AVERAGE(終値!K223:AD223),""))</f>
        <v>9.7100592823291948E-2</v>
      </c>
      <c r="I223" s="503">
        <f>IF(終値!A223="","",IFERROR(4*STDEVP(終値!L223:AE223)/AVERAGE(終値!L223:AE223),""))</f>
        <v>8.2881916772348699E-2</v>
      </c>
      <c r="J223" s="503">
        <f>IF(終値!A223="","",IFERROR(4*STDEVP(終値!M223:AF223)/AVERAGE(終値!M223:AF223),""))</f>
        <v>7.9406094482362383E-2</v>
      </c>
      <c r="K223" s="503">
        <f>IF(終値!A223="","",IFERROR(4*STDEVP(終値!N223:AG223)/AVERAGE(終値!N223:AG223),""))</f>
        <v>9.1824198729928586E-2</v>
      </c>
      <c r="L223" s="503">
        <f>IF(終値!A223="","",IFERROR(4*STDEVP(終値!O223:AH223)/AVERAGE(終値!O223:AH223),""))</f>
        <v>9.8356550723316477E-2</v>
      </c>
      <c r="M223" s="503">
        <f>IF(終値!A223="","",IFERROR(4*STDEVP(終値!P223:AI223)/AVERAGE(終値!P223:AI223),""))</f>
        <v>0.10929066948632916</v>
      </c>
      <c r="N223" s="503">
        <f>IF(終値!A223="","",IFERROR(4*STDEVP(終値!Q223:AJ223)/AVERAGE(終値!Q223:AJ223),""))</f>
        <v>0.10853512779729493</v>
      </c>
      <c r="O223" s="503">
        <f>IF(終値!A223="","",IFERROR(4*STDEVP(終値!R223:AK223)/AVERAGE(終値!R223:AK223),""))</f>
        <v>0.10642126258202228</v>
      </c>
      <c r="P223" s="503">
        <f>IF(終値!A223="","",IFERROR(4*STDEVP(終値!S223:AL223)/AVERAGE(終値!S223:AL223),""))</f>
        <v>0.10822277371898845</v>
      </c>
      <c r="Q223" s="503">
        <f>IF(終値!A223="","",IFERROR(4*STDEVP(終値!T223:AM223)/AVERAGE(終値!T223:AM223),""))</f>
        <v>0.11471804703065834</v>
      </c>
      <c r="R223" s="503">
        <f>IF(終値!A223="","",IFERROR(4*STDEVP(終値!U223:AN223)/AVERAGE(終値!U223:AN223),""))</f>
        <v>0.11818677147387031</v>
      </c>
      <c r="S223" s="503">
        <f>IF(終値!A223="","",IFERROR(4*STDEVP(終値!V223:AO223)/AVERAGE(終値!V223:AO223),""))</f>
        <v>0.12496385551758699</v>
      </c>
      <c r="T223" s="503">
        <f>IF(終値!A223="","",IFERROR(4*STDEVP(終値!W223:AP223)/AVERAGE(終値!W223:AP223),""))</f>
        <v>0.13421753963874503</v>
      </c>
      <c r="U223" s="503">
        <f>IF(終値!A223="","",IFERROR(4*STDEVP(終値!X223:AQ223)/AVERAGE(終値!X223:AQ223),""))</f>
        <v>0.13928111055807935</v>
      </c>
      <c r="V223" s="503">
        <f>IF(終値!A223="","",IFERROR(4*STDEVP(終値!Y223:AR223)/AVERAGE(終値!Y223:AR223),""))</f>
        <v>0.13978575294930989</v>
      </c>
      <c r="W223" s="503">
        <f>IF(終値!A223="","",IFERROR(4*STDEVP(終値!Z223:AS223)/AVERAGE(終値!Z223:AS223),""))</f>
        <v>0.14345170263868673</v>
      </c>
      <c r="X223" s="503">
        <f>IF(終値!A223="","",IFERROR(4*STDEVP(終値!AA223:AT223)/AVERAGE(終値!AA223:AT223),""))</f>
        <v>0.14182284152249264</v>
      </c>
      <c r="Y223" s="503">
        <f>IF(終値!A223="","",IFERROR(4*STDEVP(終値!AB223:AU223)/AVERAGE(終値!AB223:AU223),""))</f>
        <v>0.14052649784382498</v>
      </c>
      <c r="Z223" s="503">
        <f>IF(終値!A223="","",IFERROR(4*STDEVP(終値!AC223:AV223)/AVERAGE(終値!AC223:AV223),""))</f>
        <v>0.1403385350029796</v>
      </c>
      <c r="AA223" s="503">
        <f>IF(終値!A223="","",IFERROR(4*STDEVP(終値!AD223:AW223)/AVERAGE(終値!AD223:AW223),""))</f>
        <v>0.13747305781299993</v>
      </c>
      <c r="AB223" s="503">
        <f>IF(終値!A223="","",IFERROR(4*STDEVP(終値!AE223:AX223)/AVERAGE(終値!AE223:AX223),""))</f>
        <v>0.14843164068243686</v>
      </c>
      <c r="AC223" s="503">
        <f>IF(終値!A223="","",IFERROR(4*STDEVP(終値!AF223:AY223)/AVERAGE(終値!AF223:AY223),""))</f>
        <v>0.15644015008583023</v>
      </c>
      <c r="AD223" s="503">
        <f>IF(終値!A223="","",IFERROR(4*STDEVP(終値!AG223:AZ223)/AVERAGE(終値!AG223:AZ223),""))</f>
        <v>0.15386272037869009</v>
      </c>
      <c r="AE223" s="503">
        <f>IF(終値!A223="","",IFERROR(4*STDEVP(終値!AH223:BA223)/AVERAGE(終値!AH223:BA223),""))</f>
        <v>0.12466481107326509</v>
      </c>
      <c r="AF223" s="503">
        <f>IF(終値!A223="","",IFERROR(4*STDEVP(終値!AI223:BB223)/AVERAGE(終値!AI223:BB223),""))</f>
        <v>0.13654913645081229</v>
      </c>
      <c r="AG223" s="503">
        <f>IF(終値!A223="","",IFERROR(4*STDEVP(終値!AJ223:BC223)/AVERAGE(終値!AJ223:BC223),""))</f>
        <v>0.1432173515712736</v>
      </c>
      <c r="AH223" s="503">
        <f>IF(終値!A223="","",IFERROR(4*STDEVP(終値!AK223:BD223)/AVERAGE(終値!AK223:BD223),""))</f>
        <v>0.14536543325968532</v>
      </c>
      <c r="AI223" s="503">
        <f>IF(終値!A223="","",IFERROR(4*STDEVP(終値!AL223:BE223)/AVERAGE(終値!AL223:BE223),""))</f>
        <v>0.1384643389884728</v>
      </c>
      <c r="AJ223" s="503">
        <f>IF(終値!A223="","",IFERROR(4*STDEVP(終値!AM223:BF223)/AVERAGE(終値!AM223:BF223),""))</f>
        <v>0.13524536493009615</v>
      </c>
      <c r="AK223" s="503">
        <f>IF(終値!A223="","",IFERROR(4*STDEVP(終値!AN223:BG223)/AVERAGE(終値!AN223:BG223),""))</f>
        <v>0.13263676149477424</v>
      </c>
      <c r="AL223" s="503">
        <f>IF(終値!A223="","",IFERROR(4*STDEVP(終値!AO223:BH223)/AVERAGE(終値!AO223:BH223),""))</f>
        <v>0.12705131999742436</v>
      </c>
      <c r="AM223" s="503">
        <f>IF(終値!A223="","",IFERROR(4*STDEVP(終値!AP223:BI223)/AVERAGE(終値!AP223:BI223),""))</f>
        <v>0.12440899179278486</v>
      </c>
      <c r="AN223" s="503">
        <f>IF(終値!A223="","",IFERROR(4*STDEVP(終値!AQ223:BJ223)/AVERAGE(終値!AQ223:BJ223),""))</f>
        <v>0.12334247844963842</v>
      </c>
      <c r="AO223" s="503">
        <f>IF(終値!A223="","",IFERROR(4*STDEVP(終値!AR223:BK223)/AVERAGE(終値!AR223:BK223),""))</f>
        <v>0.11999852657157874</v>
      </c>
      <c r="AP223" s="503">
        <f>IF(終値!A223="","",IFERROR(4*STDEVP(終値!AS223:BL223)/AVERAGE(終値!AS223:BL223),""))</f>
        <v>0.11147203630255129</v>
      </c>
    </row>
    <row r="224" spans="1:42">
      <c r="A224" s="500" t="str">
        <f>IF(終値!A224="","",終値!A224)</f>
        <v>6055</v>
      </c>
      <c r="B224" s="503">
        <f>IF(終値!A224="","",IFERROR(4*STDEVP(終値!E224:X224)/AVERAGE(終値!E224:X224),""))</f>
        <v>0.31622601811248896</v>
      </c>
      <c r="C224" s="503">
        <f>IF(終値!A224="","",IFERROR(4*STDEVP(終値!F224:Y224)/AVERAGE(終値!F224:Y224),""))</f>
        <v>0.33210389835409027</v>
      </c>
      <c r="D224" s="503">
        <f>IF(終値!A224="","",IFERROR(4*STDEVP(終値!G224:Z224)/AVERAGE(終値!G224:Z224),""))</f>
        <v>0.33262294808061327</v>
      </c>
      <c r="E224" s="503">
        <f>IF(終値!A224="","",IFERROR(4*STDEVP(終値!H224:AA224)/AVERAGE(終値!H224:AA224),""))</f>
        <v>0.33467661360924694</v>
      </c>
      <c r="F224" s="503">
        <f>IF(終値!A224="","",IFERROR(4*STDEVP(終値!I224:AB224)/AVERAGE(終値!I224:AB224),""))</f>
        <v>0.33364949856208886</v>
      </c>
      <c r="G224" s="503">
        <f>IF(終値!A224="","",IFERROR(4*STDEVP(終値!J224:AC224)/AVERAGE(終値!J224:AC224),""))</f>
        <v>0.34457950190056802</v>
      </c>
      <c r="H224" s="503">
        <f>IF(終値!A224="","",IFERROR(4*STDEVP(終値!K224:AD224)/AVERAGE(終値!K224:AD224),""))</f>
        <v>0.3123226472968984</v>
      </c>
      <c r="I224" s="503">
        <f>IF(終値!A224="","",IFERROR(4*STDEVP(終値!L224:AE224)/AVERAGE(終値!L224:AE224),""))</f>
        <v>0.2642558714135238</v>
      </c>
      <c r="J224" s="503">
        <f>IF(終値!A224="","",IFERROR(4*STDEVP(終値!M224:AF224)/AVERAGE(終値!M224:AF224),""))</f>
        <v>0.23121445082419267</v>
      </c>
      <c r="K224" s="503">
        <f>IF(終値!A224="","",IFERROR(4*STDEVP(終値!N224:AG224)/AVERAGE(終値!N224:AG224),""))</f>
        <v>0.23122473819527697</v>
      </c>
      <c r="L224" s="503">
        <f>IF(終値!A224="","",IFERROR(4*STDEVP(終値!O224:AH224)/AVERAGE(終値!O224:AH224),""))</f>
        <v>0.20739554758168752</v>
      </c>
      <c r="M224" s="503">
        <f>IF(終値!A224="","",IFERROR(4*STDEVP(終値!P224:AI224)/AVERAGE(終値!P224:AI224),""))</f>
        <v>0.19355439545618766</v>
      </c>
      <c r="N224" s="503">
        <f>IF(終値!A224="","",IFERROR(4*STDEVP(終値!Q224:AJ224)/AVERAGE(終値!Q224:AJ224),""))</f>
        <v>0.17699826443576122</v>
      </c>
      <c r="O224" s="503">
        <f>IF(終値!A224="","",IFERROR(4*STDEVP(終値!R224:AK224)/AVERAGE(終値!R224:AK224),""))</f>
        <v>0.16008525488366426</v>
      </c>
      <c r="P224" s="503">
        <f>IF(終値!A224="","",IFERROR(4*STDEVP(終値!S224:AL224)/AVERAGE(終値!S224:AL224),""))</f>
        <v>0.1246515538929136</v>
      </c>
      <c r="Q224" s="503">
        <f>IF(終値!A224="","",IFERROR(4*STDEVP(終値!T224:AM224)/AVERAGE(終値!T224:AM224),""))</f>
        <v>0.14281864737677813</v>
      </c>
      <c r="R224" s="503">
        <f>IF(終値!A224="","",IFERROR(4*STDEVP(終値!U224:AN224)/AVERAGE(終値!U224:AN224),""))</f>
        <v>0.1533457241743264</v>
      </c>
      <c r="S224" s="503">
        <f>IF(終値!A224="","",IFERROR(4*STDEVP(終値!V224:AO224)/AVERAGE(終値!V224:AO224),""))</f>
        <v>0.15351435336448332</v>
      </c>
      <c r="T224" s="503">
        <f>IF(終値!A224="","",IFERROR(4*STDEVP(終値!W224:AP224)/AVERAGE(終値!W224:AP224),""))</f>
        <v>0.17511203906155151</v>
      </c>
      <c r="U224" s="503">
        <f>IF(終値!A224="","",IFERROR(4*STDEVP(終値!X224:AQ224)/AVERAGE(終値!X224:AQ224),""))</f>
        <v>0.21471028758026262</v>
      </c>
      <c r="V224" s="503">
        <f>IF(終値!A224="","",IFERROR(4*STDEVP(終値!Y224:AR224)/AVERAGE(終値!Y224:AR224),""))</f>
        <v>0.25481841981943398</v>
      </c>
      <c r="W224" s="503">
        <f>IF(終値!A224="","",IFERROR(4*STDEVP(終値!Z224:AS224)/AVERAGE(終値!Z224:AS224),""))</f>
        <v>0.28694490427890312</v>
      </c>
      <c r="X224" s="503">
        <f>IF(終値!A224="","",IFERROR(4*STDEVP(終値!AA224:AT224)/AVERAGE(終値!AA224:AT224),""))</f>
        <v>0.29590159703600832</v>
      </c>
      <c r="Y224" s="503">
        <f>IF(終値!A224="","",IFERROR(4*STDEVP(終値!AB224:AU224)/AVERAGE(終値!AB224:AU224),""))</f>
        <v>0.29580544736172942</v>
      </c>
      <c r="Z224" s="503">
        <f>IF(終値!A224="","",IFERROR(4*STDEVP(終値!AC224:AV224)/AVERAGE(終値!AC224:AV224),""))</f>
        <v>0.31947736663574205</v>
      </c>
      <c r="AA224" s="503">
        <f>IF(終値!A224="","",IFERROR(4*STDEVP(終値!AD224:AW224)/AVERAGE(終値!AD224:AW224),""))</f>
        <v>0.34162253709749096</v>
      </c>
      <c r="AB224" s="503">
        <f>IF(終値!A224="","",IFERROR(4*STDEVP(終値!AE224:AX224)/AVERAGE(終値!AE224:AX224),""))</f>
        <v>0.35922073521758663</v>
      </c>
      <c r="AC224" s="503">
        <f>IF(終値!A224="","",IFERROR(4*STDEVP(終値!AF224:AY224)/AVERAGE(終値!AF224:AY224),""))</f>
        <v>0.36828082813857688</v>
      </c>
      <c r="AD224" s="503">
        <f>IF(終値!A224="","",IFERROR(4*STDEVP(終値!AG224:AZ224)/AVERAGE(終値!AG224:AZ224),""))</f>
        <v>0.36831339900804699</v>
      </c>
      <c r="AE224" s="503">
        <f>IF(終値!A224="","",IFERROR(4*STDEVP(終値!AH224:BA224)/AVERAGE(終値!AH224:BA224),""))</f>
        <v>0.34027234759288605</v>
      </c>
      <c r="AF224" s="503">
        <f>IF(終値!A224="","",IFERROR(4*STDEVP(終値!AI224:BB224)/AVERAGE(終値!AI224:BB224),""))</f>
        <v>0.34561050876475402</v>
      </c>
      <c r="AG224" s="503">
        <f>IF(終値!A224="","",IFERROR(4*STDEVP(終値!AJ224:BC224)/AVERAGE(終値!AJ224:BC224),""))</f>
        <v>0.33832025083918471</v>
      </c>
      <c r="AH224" s="503">
        <f>IF(終値!A224="","",IFERROR(4*STDEVP(終値!AK224:BD224)/AVERAGE(終値!AK224:BD224),""))</f>
        <v>0.31701651651627177</v>
      </c>
      <c r="AI224" s="503">
        <f>IF(終値!A224="","",IFERROR(4*STDEVP(終値!AL224:BE224)/AVERAGE(終値!AL224:BE224),""))</f>
        <v>0.31126372644186745</v>
      </c>
      <c r="AJ224" s="503">
        <f>IF(終値!A224="","",IFERROR(4*STDEVP(終値!AM224:BF224)/AVERAGE(終値!AM224:BF224),""))</f>
        <v>0.29243698660030926</v>
      </c>
      <c r="AK224" s="503">
        <f>IF(終値!A224="","",IFERROR(4*STDEVP(終値!AN224:BG224)/AVERAGE(終値!AN224:BG224),""))</f>
        <v>0.28632541484556984</v>
      </c>
      <c r="AL224" s="503">
        <f>IF(終値!A224="","",IFERROR(4*STDEVP(終値!AO224:BH224)/AVERAGE(終値!AO224:BH224),""))</f>
        <v>0.26787952165966628</v>
      </c>
      <c r="AM224" s="503">
        <f>IF(終値!A224="","",IFERROR(4*STDEVP(終値!AP224:BI224)/AVERAGE(終値!AP224:BI224),""))</f>
        <v>0.22007424084016475</v>
      </c>
      <c r="AN224" s="503">
        <f>IF(終値!A224="","",IFERROR(4*STDEVP(終値!AQ224:BJ224)/AVERAGE(終値!AQ224:BJ224),""))</f>
        <v>0.21024166319143522</v>
      </c>
      <c r="AO224" s="503">
        <f>IF(終値!A224="","",IFERROR(4*STDEVP(終値!AR224:BK224)/AVERAGE(終値!AR224:BK224),""))</f>
        <v>0.20787191273810957</v>
      </c>
      <c r="AP224" s="503">
        <f>IF(終値!A224="","",IFERROR(4*STDEVP(終値!AS224:BL224)/AVERAGE(終値!AS224:BL224),""))</f>
        <v>0.21512702153692961</v>
      </c>
    </row>
    <row r="225" spans="1:42">
      <c r="A225" s="500" t="str">
        <f>IF(終値!A225="","",終値!A225)</f>
        <v>6862</v>
      </c>
      <c r="B225" s="503">
        <f>IF(終値!A225="","",IFERROR(4*STDEVP(終値!E225:X225)/AVERAGE(終値!E225:X225),""))</f>
        <v>0.39273869034942488</v>
      </c>
      <c r="C225" s="503">
        <f>IF(終値!A225="","",IFERROR(4*STDEVP(終値!F225:Y225)/AVERAGE(終値!F225:Y225),""))</f>
        <v>0.3557835191392083</v>
      </c>
      <c r="D225" s="503">
        <f>IF(終値!A225="","",IFERROR(4*STDEVP(終値!G225:Z225)/AVERAGE(終値!G225:Z225),""))</f>
        <v>0.3153307240017007</v>
      </c>
      <c r="E225" s="503">
        <f>IF(終値!A225="","",IFERROR(4*STDEVP(終値!H225:AA225)/AVERAGE(終値!H225:AA225),""))</f>
        <v>0.29775950567336268</v>
      </c>
      <c r="F225" s="503">
        <f>IF(終値!A225="","",IFERROR(4*STDEVP(終値!I225:AB225)/AVERAGE(終値!I225:AB225),""))</f>
        <v>0.29894291055975825</v>
      </c>
      <c r="G225" s="503">
        <f>IF(終値!A225="","",IFERROR(4*STDEVP(終値!J225:AC225)/AVERAGE(終値!J225:AC225),""))</f>
        <v>0.30957311980047236</v>
      </c>
      <c r="H225" s="503">
        <f>IF(終値!A225="","",IFERROR(4*STDEVP(終値!K225:AD225)/AVERAGE(終値!K225:AD225),""))</f>
        <v>0.312805297320284</v>
      </c>
      <c r="I225" s="503">
        <f>IF(終値!A225="","",IFERROR(4*STDEVP(終値!L225:AE225)/AVERAGE(終値!L225:AE225),""))</f>
        <v>0.2612803876436543</v>
      </c>
      <c r="J225" s="503">
        <f>IF(終値!A225="","",IFERROR(4*STDEVP(終値!M225:AF225)/AVERAGE(終値!M225:AF225),""))</f>
        <v>0.23374456526717743</v>
      </c>
      <c r="K225" s="503">
        <f>IF(終値!A225="","",IFERROR(4*STDEVP(終値!N225:AG225)/AVERAGE(終値!N225:AG225),""))</f>
        <v>0.26086890411845109</v>
      </c>
      <c r="L225" s="503">
        <f>IF(終値!A225="","",IFERROR(4*STDEVP(終値!O225:AH225)/AVERAGE(終値!O225:AH225),""))</f>
        <v>0.26009328416594613</v>
      </c>
      <c r="M225" s="503">
        <f>IF(終値!A225="","",IFERROR(4*STDEVP(終値!P225:AI225)/AVERAGE(終値!P225:AI225),""))</f>
        <v>0.26121227207590431</v>
      </c>
      <c r="N225" s="503">
        <f>IF(終値!A225="","",IFERROR(4*STDEVP(終値!Q225:AJ225)/AVERAGE(終値!Q225:AJ225),""))</f>
        <v>0.26991450067813488</v>
      </c>
      <c r="O225" s="503">
        <f>IF(終値!A225="","",IFERROR(4*STDEVP(終値!R225:AK225)/AVERAGE(終値!R225:AK225),""))</f>
        <v>0.30910409640826492</v>
      </c>
      <c r="P225" s="503">
        <f>IF(終値!A225="","",IFERROR(4*STDEVP(終値!S225:AL225)/AVERAGE(終値!S225:AL225),""))</f>
        <v>0.2684264228310847</v>
      </c>
      <c r="Q225" s="503">
        <f>IF(終値!A225="","",IFERROR(4*STDEVP(終値!T225:AM225)/AVERAGE(終値!T225:AM225),""))</f>
        <v>0.26702673138109945</v>
      </c>
      <c r="R225" s="503">
        <f>IF(終値!A225="","",IFERROR(4*STDEVP(終値!U225:AN225)/AVERAGE(終値!U225:AN225),""))</f>
        <v>0.26000823717034521</v>
      </c>
      <c r="S225" s="503">
        <f>IF(終値!A225="","",IFERROR(4*STDEVP(終値!V225:AO225)/AVERAGE(終値!V225:AO225),""))</f>
        <v>0.25394901863369246</v>
      </c>
      <c r="T225" s="503">
        <f>IF(終値!A225="","",IFERROR(4*STDEVP(終値!W225:AP225)/AVERAGE(終値!W225:AP225),""))</f>
        <v>0.26849092320307688</v>
      </c>
      <c r="U225" s="503">
        <f>IF(終値!A225="","",IFERROR(4*STDEVP(終値!X225:AQ225)/AVERAGE(終値!X225:AQ225),""))</f>
        <v>0.27741596238899346</v>
      </c>
      <c r="V225" s="503">
        <f>IF(終値!A225="","",IFERROR(4*STDEVP(終値!Y225:AR225)/AVERAGE(終値!Y225:AR225),""))</f>
        <v>0.27334395244690152</v>
      </c>
      <c r="W225" s="503">
        <f>IF(終値!A225="","",IFERROR(4*STDEVP(終値!Z225:AS225)/AVERAGE(終値!Z225:AS225),""))</f>
        <v>0.26648785486506354</v>
      </c>
      <c r="X225" s="503">
        <f>IF(終値!A225="","",IFERROR(4*STDEVP(終値!AA225:AT225)/AVERAGE(終値!AA225:AT225),""))</f>
        <v>0.26761801430033016</v>
      </c>
      <c r="Y225" s="503">
        <f>IF(終値!A225="","",IFERROR(4*STDEVP(終値!AB225:AU225)/AVERAGE(終値!AB225:AU225),""))</f>
        <v>0.26770023588488506</v>
      </c>
      <c r="Z225" s="503">
        <f>IF(終値!A225="","",IFERROR(4*STDEVP(終値!AC225:AV225)/AVERAGE(終値!AC225:AV225),""))</f>
        <v>0.26942633751142603</v>
      </c>
      <c r="AA225" s="503">
        <f>IF(終値!A225="","",IFERROR(4*STDEVP(終値!AD225:AW225)/AVERAGE(終値!AD225:AW225),""))</f>
        <v>0.26891064683163723</v>
      </c>
      <c r="AB225" s="503">
        <f>IF(終値!A225="","",IFERROR(4*STDEVP(終値!AE225:AX225)/AVERAGE(終値!AE225:AX225),""))</f>
        <v>0.2674180908101263</v>
      </c>
      <c r="AC225" s="503">
        <f>IF(終値!A225="","",IFERROR(4*STDEVP(終値!AF225:AY225)/AVERAGE(終値!AF225:AY225),""))</f>
        <v>0.26594502381938717</v>
      </c>
      <c r="AD225" s="503">
        <f>IF(終値!A225="","",IFERROR(4*STDEVP(終値!AG225:AZ225)/AVERAGE(終値!AG225:AZ225),""))</f>
        <v>0.2674833830012765</v>
      </c>
      <c r="AE225" s="503">
        <f>IF(終値!A225="","",IFERROR(4*STDEVP(終値!AH225:BA225)/AVERAGE(終値!AH225:BA225),""))</f>
        <v>0.29717672987098709</v>
      </c>
      <c r="AF225" s="503">
        <f>IF(終値!A225="","",IFERROR(4*STDEVP(終値!AI225:BB225)/AVERAGE(終値!AI225:BB225),""))</f>
        <v>0.32670068333980284</v>
      </c>
      <c r="AG225" s="503">
        <f>IF(終値!A225="","",IFERROR(4*STDEVP(終値!AJ225:BC225)/AVERAGE(終値!AJ225:BC225),""))</f>
        <v>0.3353925522421714</v>
      </c>
      <c r="AH225" s="503">
        <f>IF(終値!A225="","",IFERROR(4*STDEVP(終値!AK225:BD225)/AVERAGE(終値!AK225:BD225),""))</f>
        <v>0.33621344293014827</v>
      </c>
      <c r="AI225" s="503">
        <f>IF(終値!A225="","",IFERROR(4*STDEVP(終値!AL225:BE225)/AVERAGE(終値!AL225:BE225),""))</f>
        <v>0.33519065394128744</v>
      </c>
      <c r="AJ225" s="503">
        <f>IF(終値!A225="","",IFERROR(4*STDEVP(終値!AM225:BF225)/AVERAGE(終値!AM225:BF225),""))</f>
        <v>0.3887421386382966</v>
      </c>
      <c r="AK225" s="503">
        <f>IF(終値!A225="","",IFERROR(4*STDEVP(終値!AN225:BG225)/AVERAGE(終値!AN225:BG225),""))</f>
        <v>0.42560193436274912</v>
      </c>
      <c r="AL225" s="503">
        <f>IF(終値!A225="","",IFERROR(4*STDEVP(終値!AO225:BH225)/AVERAGE(終値!AO225:BH225),""))</f>
        <v>0.49045172500176532</v>
      </c>
      <c r="AM225" s="503">
        <f>IF(終値!A225="","",IFERROR(4*STDEVP(終値!AP225:BI225)/AVERAGE(終値!AP225:BI225),""))</f>
        <v>0.51867332114245024</v>
      </c>
      <c r="AN225" s="503">
        <f>IF(終値!A225="","",IFERROR(4*STDEVP(終値!AQ225:BJ225)/AVERAGE(終値!AQ225:BJ225),""))</f>
        <v>0.64928990196304626</v>
      </c>
      <c r="AO225" s="503">
        <f>IF(終値!A225="","",IFERROR(4*STDEVP(終値!AR225:BK225)/AVERAGE(終値!AR225:BK225),""))</f>
        <v>0.69269017218387874</v>
      </c>
      <c r="AP225" s="503">
        <f>IF(終値!A225="","",IFERROR(4*STDEVP(終値!AS225:BL225)/AVERAGE(終値!AS225:BL225),""))</f>
        <v>0.77667406943122996</v>
      </c>
    </row>
    <row r="226" spans="1:42">
      <c r="A226" s="500" t="str">
        <f>IF(終値!A226="","",終値!A226)</f>
        <v>2267</v>
      </c>
      <c r="B226" s="503">
        <f>IF(終値!A226="","",IFERROR(4*STDEVP(終値!E226:X226)/AVERAGE(終値!E226:X226),""))</f>
        <v>6.8882883411771401E-2</v>
      </c>
      <c r="C226" s="503">
        <f>IF(終値!A226="","",IFERROR(4*STDEVP(終値!F226:Y226)/AVERAGE(終値!F226:Y226),""))</f>
        <v>7.1732876458924885E-2</v>
      </c>
      <c r="D226" s="503">
        <f>IF(終値!A226="","",IFERROR(4*STDEVP(終値!G226:Z226)/AVERAGE(終値!G226:Z226),""))</f>
        <v>7.0530732469134994E-2</v>
      </c>
      <c r="E226" s="503">
        <f>IF(終値!A226="","",IFERROR(4*STDEVP(終値!H226:AA226)/AVERAGE(終値!H226:AA226),""))</f>
        <v>6.9544557047468925E-2</v>
      </c>
      <c r="F226" s="503">
        <f>IF(終値!A226="","",IFERROR(4*STDEVP(終値!I226:AB226)/AVERAGE(終値!I226:AB226),""))</f>
        <v>6.8896616557974216E-2</v>
      </c>
      <c r="G226" s="503">
        <f>IF(終値!A226="","",IFERROR(4*STDEVP(終値!J226:AC226)/AVERAGE(終値!J226:AC226),""))</f>
        <v>8.0154527616581303E-2</v>
      </c>
      <c r="H226" s="503">
        <f>IF(終値!A226="","",IFERROR(4*STDEVP(終値!K226:AD226)/AVERAGE(終値!K226:AD226),""))</f>
        <v>8.0617554394663143E-2</v>
      </c>
      <c r="I226" s="503">
        <f>IF(終値!A226="","",IFERROR(4*STDEVP(終値!L226:AE226)/AVERAGE(終値!L226:AE226),""))</f>
        <v>7.8225491973720834E-2</v>
      </c>
      <c r="J226" s="503">
        <f>IF(終値!A226="","",IFERROR(4*STDEVP(終値!M226:AF226)/AVERAGE(終値!M226:AF226),""))</f>
        <v>8.0543293311457209E-2</v>
      </c>
      <c r="K226" s="503">
        <f>IF(終値!A226="","",IFERROR(4*STDEVP(終値!N226:AG226)/AVERAGE(終値!N226:AG226),""))</f>
        <v>8.4867268350755851E-2</v>
      </c>
      <c r="L226" s="503">
        <f>IF(終値!A226="","",IFERROR(4*STDEVP(終値!O226:AH226)/AVERAGE(終値!O226:AH226),""))</f>
        <v>8.6987230062920529E-2</v>
      </c>
      <c r="M226" s="503">
        <f>IF(終値!A226="","",IFERROR(4*STDEVP(終値!P226:AI226)/AVERAGE(終値!P226:AI226),""))</f>
        <v>9.2155762646466174E-2</v>
      </c>
      <c r="N226" s="503">
        <f>IF(終値!A226="","",IFERROR(4*STDEVP(終値!Q226:AJ226)/AVERAGE(終値!Q226:AJ226),""))</f>
        <v>9.6833576454720668E-2</v>
      </c>
      <c r="O226" s="503">
        <f>IF(終値!A226="","",IFERROR(4*STDEVP(終値!R226:AK226)/AVERAGE(終値!R226:AK226),""))</f>
        <v>0.10145996508936583</v>
      </c>
      <c r="P226" s="503">
        <f>IF(終値!A226="","",IFERROR(4*STDEVP(終値!S226:AL226)/AVERAGE(終値!S226:AL226),""))</f>
        <v>0.10609143523620365</v>
      </c>
      <c r="Q226" s="503">
        <f>IF(終値!A226="","",IFERROR(4*STDEVP(終値!T226:AM226)/AVERAGE(終値!T226:AM226),""))</f>
        <v>0.1179279446840535</v>
      </c>
      <c r="R226" s="503">
        <f>IF(終値!A226="","",IFERROR(4*STDEVP(終値!U226:AN226)/AVERAGE(終値!U226:AN226),""))</f>
        <v>0.12440374172188422</v>
      </c>
      <c r="S226" s="503">
        <f>IF(終値!A226="","",IFERROR(4*STDEVP(終値!V226:AO226)/AVERAGE(終値!V226:AO226),""))</f>
        <v>0.12714939894332189</v>
      </c>
      <c r="T226" s="503">
        <f>IF(終値!A226="","",IFERROR(4*STDEVP(終値!W226:AP226)/AVERAGE(終値!W226:AP226),""))</f>
        <v>0.127249569632017</v>
      </c>
      <c r="U226" s="503">
        <f>IF(終値!A226="","",IFERROR(4*STDEVP(終値!X226:AQ226)/AVERAGE(終値!X226:AQ226),""))</f>
        <v>0.12700815711153887</v>
      </c>
      <c r="V226" s="503">
        <f>IF(終値!A226="","",IFERROR(4*STDEVP(終値!Y226:AR226)/AVERAGE(終値!Y226:AR226),""))</f>
        <v>0.1129631966949238</v>
      </c>
      <c r="W226" s="503">
        <f>IF(終値!A226="","",IFERROR(4*STDEVP(終値!Z226:AS226)/AVERAGE(終値!Z226:AS226),""))</f>
        <v>0.10018264186938183</v>
      </c>
      <c r="X226" s="503">
        <f>IF(終値!A226="","",IFERROR(4*STDEVP(終値!AA226:AT226)/AVERAGE(終値!AA226:AT226),""))</f>
        <v>8.1566256425790518E-2</v>
      </c>
      <c r="Y226" s="503">
        <f>IF(終値!A226="","",IFERROR(4*STDEVP(終値!AB226:AU226)/AVERAGE(終値!AB226:AU226),""))</f>
        <v>6.5453838233213074E-2</v>
      </c>
      <c r="Z226" s="503">
        <f>IF(終値!A226="","",IFERROR(4*STDEVP(終値!AC226:AV226)/AVERAGE(終値!AC226:AV226),""))</f>
        <v>5.7261407984308163E-2</v>
      </c>
      <c r="AA226" s="503">
        <f>IF(終値!A226="","",IFERROR(4*STDEVP(終値!AD226:AW226)/AVERAGE(終値!AD226:AW226),""))</f>
        <v>5.7147854141374244E-2</v>
      </c>
      <c r="AB226" s="503">
        <f>IF(終値!A226="","",IFERROR(4*STDEVP(終値!AE226:AX226)/AVERAGE(終値!AE226:AX226),""))</f>
        <v>5.3846823107418333E-2</v>
      </c>
      <c r="AC226" s="503">
        <f>IF(終値!A226="","",IFERROR(4*STDEVP(終値!AF226:AY226)/AVERAGE(終値!AF226:AY226),""))</f>
        <v>5.0816328449030154E-2</v>
      </c>
      <c r="AD226" s="503">
        <f>IF(終値!A226="","",IFERROR(4*STDEVP(終値!AG226:AZ226)/AVERAGE(終値!AG226:AZ226),""))</f>
        <v>4.824561983030997E-2</v>
      </c>
      <c r="AE226" s="503">
        <f>IF(終値!A226="","",IFERROR(4*STDEVP(終値!AH226:BA226)/AVERAGE(終値!AH226:BA226),""))</f>
        <v>5.4888769761395582E-2</v>
      </c>
      <c r="AF226" s="503">
        <f>IF(終値!A226="","",IFERROR(4*STDEVP(終値!AI226:BB226)/AVERAGE(終値!AI226:BB226),""))</f>
        <v>6.6558525577876657E-2</v>
      </c>
      <c r="AG226" s="503">
        <f>IF(終値!A226="","",IFERROR(4*STDEVP(終値!AJ226:BC226)/AVERAGE(終値!AJ226:BC226),""))</f>
        <v>7.0723366574824767E-2</v>
      </c>
      <c r="AH226" s="503">
        <f>IF(終値!A226="","",IFERROR(4*STDEVP(終値!AK226:BD226)/AVERAGE(終値!AK226:BD226),""))</f>
        <v>7.5081953224338277E-2</v>
      </c>
      <c r="AI226" s="503">
        <f>IF(終値!A226="","",IFERROR(4*STDEVP(終値!AL226:BE226)/AVERAGE(終値!AL226:BE226),""))</f>
        <v>8.3519673862134783E-2</v>
      </c>
      <c r="AJ226" s="503">
        <f>IF(終値!A226="","",IFERROR(4*STDEVP(終値!AM226:BF226)/AVERAGE(終値!AM226:BF226),""))</f>
        <v>8.337052512991705E-2</v>
      </c>
      <c r="AK226" s="503">
        <f>IF(終値!A226="","",IFERROR(4*STDEVP(終値!AN226:BG226)/AVERAGE(終値!AN226:BG226),""))</f>
        <v>8.0010910723431458E-2</v>
      </c>
      <c r="AL226" s="503">
        <f>IF(終値!A226="","",IFERROR(4*STDEVP(終値!AO226:BH226)/AVERAGE(終値!AO226:BH226),""))</f>
        <v>7.8791534584821188E-2</v>
      </c>
      <c r="AM226" s="503">
        <f>IF(終値!A226="","",IFERROR(4*STDEVP(終値!AP226:BI226)/AVERAGE(終値!AP226:BI226),""))</f>
        <v>7.8779640147904187E-2</v>
      </c>
      <c r="AN226" s="503">
        <f>IF(終値!A226="","",IFERROR(4*STDEVP(終値!AQ226:BJ226)/AVERAGE(終値!AQ226:BJ226),""))</f>
        <v>8.390564578118595E-2</v>
      </c>
      <c r="AO226" s="503">
        <f>IF(終値!A226="","",IFERROR(4*STDEVP(終値!AR226:BK226)/AVERAGE(終値!AR226:BK226),""))</f>
        <v>9.8730029410764752E-2</v>
      </c>
      <c r="AP226" s="503">
        <f>IF(終値!A226="","",IFERROR(4*STDEVP(終値!AS226:BL226)/AVERAGE(終値!AS226:BL226),""))</f>
        <v>0.11317850558415388</v>
      </c>
    </row>
    <row r="227" spans="1:42">
      <c r="A227" s="500" t="str">
        <f>IF(終値!A227="","",終値!A227)</f>
        <v>1618</v>
      </c>
      <c r="B227" s="503">
        <f>IF(終値!A227="","",IFERROR(4*STDEVP(終値!E227:X227)/AVERAGE(終値!E227:X227),""))</f>
        <v>8.5045713869717404E-2</v>
      </c>
      <c r="C227" s="503">
        <f>IF(終値!A227="","",IFERROR(4*STDEVP(終値!F227:Y227)/AVERAGE(終値!F227:Y227),""))</f>
        <v>8.5711036029853208E-2</v>
      </c>
      <c r="D227" s="503">
        <f>IF(終値!A227="","",IFERROR(4*STDEVP(終値!G227:Z227)/AVERAGE(終値!G227:Z227),""))</f>
        <v>8.426276220602133E-2</v>
      </c>
      <c r="E227" s="503">
        <f>IF(終値!A227="","",IFERROR(4*STDEVP(終値!H227:AA227)/AVERAGE(終値!H227:AA227),""))</f>
        <v>9.0169575612726899E-2</v>
      </c>
      <c r="F227" s="503">
        <f>IF(終値!A227="","",IFERROR(4*STDEVP(終値!I227:AB227)/AVERAGE(終値!I227:AB227),""))</f>
        <v>9.9913018733084488E-2</v>
      </c>
      <c r="G227" s="503">
        <f>IF(終値!A227="","",IFERROR(4*STDEVP(終値!J227:AC227)/AVERAGE(終値!J227:AC227),""))</f>
        <v>0.10826837188029455</v>
      </c>
      <c r="H227" s="503">
        <f>IF(終値!A227="","",IFERROR(4*STDEVP(終値!K227:AD227)/AVERAGE(終値!K227:AD227),""))</f>
        <v>0.11483160689719202</v>
      </c>
      <c r="I227" s="503">
        <f>IF(終値!A227="","",IFERROR(4*STDEVP(終値!L227:AE227)/AVERAGE(終値!L227:AE227),""))</f>
        <v>0.1134833977476887</v>
      </c>
      <c r="J227" s="503">
        <f>IF(終値!A227="","",IFERROR(4*STDEVP(終値!M227:AF227)/AVERAGE(終値!M227:AF227),""))</f>
        <v>0.11499305127929629</v>
      </c>
      <c r="K227" s="503">
        <f>IF(終値!A227="","",IFERROR(4*STDEVP(終値!N227:AG227)/AVERAGE(終値!N227:AG227),""))</f>
        <v>0.11314524168561796</v>
      </c>
      <c r="L227" s="503">
        <f>IF(終値!A227="","",IFERROR(4*STDEVP(終値!O227:AH227)/AVERAGE(終値!O227:AH227),""))</f>
        <v>9.9952572802233311E-2</v>
      </c>
      <c r="M227" s="503">
        <f>IF(終値!A227="","",IFERROR(4*STDEVP(終値!P227:AI227)/AVERAGE(終値!P227:AI227),""))</f>
        <v>8.4702301170825334E-2</v>
      </c>
      <c r="N227" s="503">
        <f>IF(終値!A227="","",IFERROR(4*STDEVP(終値!Q227:AJ227)/AVERAGE(終値!Q227:AJ227),""))</f>
        <v>7.5780696813984957E-2</v>
      </c>
      <c r="O227" s="503">
        <f>IF(終値!A227="","",IFERROR(4*STDEVP(終値!R227:AK227)/AVERAGE(終値!R227:AK227),""))</f>
        <v>7.3995685407549902E-2</v>
      </c>
      <c r="P227" s="503">
        <f>IF(終値!A227="","",IFERROR(4*STDEVP(終値!S227:AL227)/AVERAGE(終値!S227:AL227),""))</f>
        <v>7.3692502350094877E-2</v>
      </c>
      <c r="Q227" s="503">
        <f>IF(終値!A227="","",IFERROR(4*STDEVP(終値!T227:AM227)/AVERAGE(終値!T227:AM227),""))</f>
        <v>7.3356200205347638E-2</v>
      </c>
      <c r="R227" s="503">
        <f>IF(終値!A227="","",IFERROR(4*STDEVP(終値!U227:AN227)/AVERAGE(終値!U227:AN227),""))</f>
        <v>7.3561502278777391E-2</v>
      </c>
      <c r="S227" s="503">
        <f>IF(終値!A227="","",IFERROR(4*STDEVP(終値!V227:AO227)/AVERAGE(終値!V227:AO227),""))</f>
        <v>7.5755913524684679E-2</v>
      </c>
      <c r="T227" s="503">
        <f>IF(終値!A227="","",IFERROR(4*STDEVP(終値!W227:AP227)/AVERAGE(終値!W227:AP227),""))</f>
        <v>7.5003342814231849E-2</v>
      </c>
      <c r="U227" s="503">
        <f>IF(終値!A227="","",IFERROR(4*STDEVP(終値!X227:AQ227)/AVERAGE(終値!X227:AQ227),""))</f>
        <v>7.7038185429548364E-2</v>
      </c>
      <c r="V227" s="503">
        <f>IF(終値!A227="","",IFERROR(4*STDEVP(終値!Y227:AR227)/AVERAGE(終値!Y227:AR227),""))</f>
        <v>7.6532315007373383E-2</v>
      </c>
      <c r="W227" s="503">
        <f>IF(終値!A227="","",IFERROR(4*STDEVP(終値!Z227:AS227)/AVERAGE(終値!Z227:AS227),""))</f>
        <v>8.5390244931151341E-2</v>
      </c>
      <c r="X227" s="503">
        <f>IF(終値!A227="","",IFERROR(4*STDEVP(終値!AA227:AT227)/AVERAGE(終値!AA227:AT227),""))</f>
        <v>9.9201628395814187E-2</v>
      </c>
      <c r="Y227" s="503">
        <f>IF(終値!A227="","",IFERROR(4*STDEVP(終値!AB227:AU227)/AVERAGE(終値!AB227:AU227),""))</f>
        <v>0.10808648489281317</v>
      </c>
      <c r="Z227" s="503">
        <f>IF(終値!A227="","",IFERROR(4*STDEVP(終値!AC227:AV227)/AVERAGE(終値!AC227:AV227),""))</f>
        <v>0.12478462438017368</v>
      </c>
      <c r="AA227" s="503">
        <f>IF(終値!A227="","",IFERROR(4*STDEVP(終値!AD227:AW227)/AVERAGE(終値!AD227:AW227),""))</f>
        <v>0.12192903799812127</v>
      </c>
      <c r="AB227" s="503">
        <f>IF(終値!A227="","",IFERROR(4*STDEVP(終値!AE227:AX227)/AVERAGE(終値!AE227:AX227),""))</f>
        <v>0.11907764215130777</v>
      </c>
      <c r="AC227" s="503">
        <f>IF(終値!A227="","",IFERROR(4*STDEVP(終値!AF227:AY227)/AVERAGE(終値!AF227:AY227),""))</f>
        <v>0.12006713839093806</v>
      </c>
      <c r="AD227" s="503">
        <f>IF(終値!A227="","",IFERROR(4*STDEVP(終値!AG227:AZ227)/AVERAGE(終値!AG227:AZ227),""))</f>
        <v>0.11634283529168783</v>
      </c>
      <c r="AE227" s="503">
        <f>IF(終値!A227="","",IFERROR(4*STDEVP(終値!AH227:BA227)/AVERAGE(終値!AH227:BA227),""))</f>
        <v>0.10536934441320484</v>
      </c>
      <c r="AF227" s="503">
        <f>IF(終値!A227="","",IFERROR(4*STDEVP(終値!AI227:BB227)/AVERAGE(終値!AI227:BB227),""))</f>
        <v>0.10629325388938655</v>
      </c>
      <c r="AG227" s="503">
        <f>IF(終値!A227="","",IFERROR(4*STDEVP(終値!AJ227:BC227)/AVERAGE(終値!AJ227:BC227),""))</f>
        <v>0.11025478124198002</v>
      </c>
      <c r="AH227" s="503">
        <f>IF(終値!A227="","",IFERROR(4*STDEVP(終値!AK227:BD227)/AVERAGE(終値!AK227:BD227),""))</f>
        <v>0.1194952807277886</v>
      </c>
      <c r="AI227" s="503">
        <f>IF(終値!A227="","",IFERROR(4*STDEVP(終値!AL227:BE227)/AVERAGE(終値!AL227:BE227),""))</f>
        <v>0.13307233381160294</v>
      </c>
      <c r="AJ227" s="503">
        <f>IF(終値!A227="","",IFERROR(4*STDEVP(終値!AM227:BF227)/AVERAGE(終値!AM227:BF227),""))</f>
        <v>0.1365146146107897</v>
      </c>
      <c r="AK227" s="503">
        <f>IF(終値!A227="","",IFERROR(4*STDEVP(終値!AN227:BG227)/AVERAGE(終値!AN227:BG227),""))</f>
        <v>0.14288880595681208</v>
      </c>
      <c r="AL227" s="503">
        <f>IF(終値!A227="","",IFERROR(4*STDEVP(終値!AO227:BH227)/AVERAGE(終値!AO227:BH227),""))</f>
        <v>0.13797093618916645</v>
      </c>
      <c r="AM227" s="503">
        <f>IF(終値!A227="","",IFERROR(4*STDEVP(終値!AP227:BI227)/AVERAGE(終値!AP227:BI227),""))</f>
        <v>0.13830224923726261</v>
      </c>
      <c r="AN227" s="503">
        <f>IF(終値!A227="","",IFERROR(4*STDEVP(終値!AQ227:BJ227)/AVERAGE(終値!AQ227:BJ227),""))</f>
        <v>0.135995064783272</v>
      </c>
      <c r="AO227" s="503">
        <f>IF(終値!A227="","",IFERROR(4*STDEVP(終値!AR227:BK227)/AVERAGE(終値!AR227:BK227),""))</f>
        <v>0.12815051292803858</v>
      </c>
      <c r="AP227" s="503">
        <f>IF(終値!A227="","",IFERROR(4*STDEVP(終値!AS227:BL227)/AVERAGE(終値!AS227:BL227),""))</f>
        <v>0.10686828379399996</v>
      </c>
    </row>
    <row r="228" spans="1:42">
      <c r="A228" s="500" t="str">
        <f>IF(終値!A228="","",終値!A228)</f>
        <v>3696</v>
      </c>
      <c r="B228" s="503">
        <f>IF(終値!A228="","",IFERROR(4*STDEVP(終値!E228:X228)/AVERAGE(終値!E228:X228),""))</f>
        <v>1.453136352627755E-2</v>
      </c>
      <c r="C228" s="503">
        <f>IF(終値!A228="","",IFERROR(4*STDEVP(終値!F228:Y228)/AVERAGE(終値!F228:Y228),""))</f>
        <v>0</v>
      </c>
      <c r="D228" s="503" t="str">
        <f>IF(終値!A228="","",IFERROR(4*STDEVP(終値!G228:Z228)/AVERAGE(終値!G228:Z228),""))</f>
        <v/>
      </c>
      <c r="E228" s="503" t="str">
        <f>IF(終値!A228="","",IFERROR(4*STDEVP(終値!H228:AA228)/AVERAGE(終値!H228:AA228),""))</f>
        <v/>
      </c>
      <c r="F228" s="503" t="str">
        <f>IF(終値!A228="","",IFERROR(4*STDEVP(終値!I228:AB228)/AVERAGE(終値!I228:AB228),""))</f>
        <v/>
      </c>
      <c r="G228" s="503" t="str">
        <f>IF(終値!A228="","",IFERROR(4*STDEVP(終値!J228:AC228)/AVERAGE(終値!J228:AC228),""))</f>
        <v/>
      </c>
      <c r="H228" s="503" t="str">
        <f>IF(終値!A228="","",IFERROR(4*STDEVP(終値!K228:AD228)/AVERAGE(終値!K228:AD228),""))</f>
        <v/>
      </c>
      <c r="I228" s="503" t="str">
        <f>IF(終値!A228="","",IFERROR(4*STDEVP(終値!L228:AE228)/AVERAGE(終値!L228:AE228),""))</f>
        <v/>
      </c>
      <c r="J228" s="503" t="str">
        <f>IF(終値!A228="","",IFERROR(4*STDEVP(終値!M228:AF228)/AVERAGE(終値!M228:AF228),""))</f>
        <v/>
      </c>
      <c r="K228" s="503" t="str">
        <f>IF(終値!A228="","",IFERROR(4*STDEVP(終値!N228:AG228)/AVERAGE(終値!N228:AG228),""))</f>
        <v/>
      </c>
      <c r="L228" s="503" t="str">
        <f>IF(終値!A228="","",IFERROR(4*STDEVP(終値!O228:AH228)/AVERAGE(終値!O228:AH228),""))</f>
        <v/>
      </c>
      <c r="M228" s="503" t="str">
        <f>IF(終値!A228="","",IFERROR(4*STDEVP(終値!P228:AI228)/AVERAGE(終値!P228:AI228),""))</f>
        <v/>
      </c>
      <c r="N228" s="503" t="str">
        <f>IF(終値!A228="","",IFERROR(4*STDEVP(終値!Q228:AJ228)/AVERAGE(終値!Q228:AJ228),""))</f>
        <v/>
      </c>
      <c r="O228" s="503" t="str">
        <f>IF(終値!A228="","",IFERROR(4*STDEVP(終値!R228:AK228)/AVERAGE(終値!R228:AK228),""))</f>
        <v/>
      </c>
      <c r="P228" s="503" t="str">
        <f>IF(終値!A228="","",IFERROR(4*STDEVP(終値!S228:AL228)/AVERAGE(終値!S228:AL228),""))</f>
        <v/>
      </c>
      <c r="Q228" s="503" t="str">
        <f>IF(終値!A228="","",IFERROR(4*STDEVP(終値!T228:AM228)/AVERAGE(終値!T228:AM228),""))</f>
        <v/>
      </c>
      <c r="R228" s="503" t="str">
        <f>IF(終値!A228="","",IFERROR(4*STDEVP(終値!U228:AN228)/AVERAGE(終値!U228:AN228),""))</f>
        <v/>
      </c>
      <c r="S228" s="503" t="str">
        <f>IF(終値!A228="","",IFERROR(4*STDEVP(終値!V228:AO228)/AVERAGE(終値!V228:AO228),""))</f>
        <v/>
      </c>
      <c r="T228" s="503" t="str">
        <f>IF(終値!A228="","",IFERROR(4*STDEVP(終値!W228:AP228)/AVERAGE(終値!W228:AP228),""))</f>
        <v/>
      </c>
      <c r="U228" s="503" t="str">
        <f>IF(終値!A228="","",IFERROR(4*STDEVP(終値!X228:AQ228)/AVERAGE(終値!X228:AQ228),""))</f>
        <v/>
      </c>
      <c r="V228" s="503" t="str">
        <f>IF(終値!A228="","",IFERROR(4*STDEVP(終値!Y228:AR228)/AVERAGE(終値!Y228:AR228),""))</f>
        <v/>
      </c>
      <c r="W228" s="503" t="str">
        <f>IF(終値!A228="","",IFERROR(4*STDEVP(終値!Z228:AS228)/AVERAGE(終値!Z228:AS228),""))</f>
        <v/>
      </c>
      <c r="X228" s="503" t="str">
        <f>IF(終値!A228="","",IFERROR(4*STDEVP(終値!AA228:AT228)/AVERAGE(終値!AA228:AT228),""))</f>
        <v/>
      </c>
      <c r="Y228" s="503" t="str">
        <f>IF(終値!A228="","",IFERROR(4*STDEVP(終値!AB228:AU228)/AVERAGE(終値!AB228:AU228),""))</f>
        <v/>
      </c>
      <c r="Z228" s="503" t="str">
        <f>IF(終値!A228="","",IFERROR(4*STDEVP(終値!AC228:AV228)/AVERAGE(終値!AC228:AV228),""))</f>
        <v/>
      </c>
      <c r="AA228" s="503" t="str">
        <f>IF(終値!A228="","",IFERROR(4*STDEVP(終値!AD228:AW228)/AVERAGE(終値!AD228:AW228),""))</f>
        <v/>
      </c>
      <c r="AB228" s="503" t="str">
        <f>IF(終値!A228="","",IFERROR(4*STDEVP(終値!AE228:AX228)/AVERAGE(終値!AE228:AX228),""))</f>
        <v/>
      </c>
      <c r="AC228" s="503" t="str">
        <f>IF(終値!A228="","",IFERROR(4*STDEVP(終値!AF228:AY228)/AVERAGE(終値!AF228:AY228),""))</f>
        <v/>
      </c>
      <c r="AD228" s="503" t="str">
        <f>IF(終値!A228="","",IFERROR(4*STDEVP(終値!AG228:AZ228)/AVERAGE(終値!AG228:AZ228),""))</f>
        <v/>
      </c>
      <c r="AE228" s="503" t="str">
        <f>IF(終値!A228="","",IFERROR(4*STDEVP(終値!AH228:BA228)/AVERAGE(終値!AH228:BA228),""))</f>
        <v/>
      </c>
      <c r="AF228" s="503" t="str">
        <f>IF(終値!A228="","",IFERROR(4*STDEVP(終値!AI228:BB228)/AVERAGE(終値!AI228:BB228),""))</f>
        <v/>
      </c>
      <c r="AG228" s="503" t="str">
        <f>IF(終値!A228="","",IFERROR(4*STDEVP(終値!AJ228:BC228)/AVERAGE(終値!AJ228:BC228),""))</f>
        <v/>
      </c>
      <c r="AH228" s="503" t="str">
        <f>IF(終値!A228="","",IFERROR(4*STDEVP(終値!AK228:BD228)/AVERAGE(終値!AK228:BD228),""))</f>
        <v/>
      </c>
      <c r="AI228" s="503" t="str">
        <f>IF(終値!A228="","",IFERROR(4*STDEVP(終値!AL228:BE228)/AVERAGE(終値!AL228:BE228),""))</f>
        <v/>
      </c>
      <c r="AJ228" s="503" t="str">
        <f>IF(終値!A228="","",IFERROR(4*STDEVP(終値!AM228:BF228)/AVERAGE(終値!AM228:BF228),""))</f>
        <v/>
      </c>
      <c r="AK228" s="503" t="str">
        <f>IF(終値!A228="","",IFERROR(4*STDEVP(終値!AN228:BG228)/AVERAGE(終値!AN228:BG228),""))</f>
        <v/>
      </c>
      <c r="AL228" s="503" t="str">
        <f>IF(終値!A228="","",IFERROR(4*STDEVP(終値!AO228:BH228)/AVERAGE(終値!AO228:BH228),""))</f>
        <v/>
      </c>
      <c r="AM228" s="503" t="str">
        <f>IF(終値!A228="","",IFERROR(4*STDEVP(終値!AP228:BI228)/AVERAGE(終値!AP228:BI228),""))</f>
        <v/>
      </c>
      <c r="AN228" s="503" t="str">
        <f>IF(終値!A228="","",IFERROR(4*STDEVP(終値!AQ228:BJ228)/AVERAGE(終値!AQ228:BJ228),""))</f>
        <v/>
      </c>
      <c r="AO228" s="503" t="str">
        <f>IF(終値!A228="","",IFERROR(4*STDEVP(終値!AR228:BK228)/AVERAGE(終値!AR228:BK228),""))</f>
        <v/>
      </c>
      <c r="AP228" s="503" t="str">
        <f>IF(終値!A228="","",IFERROR(4*STDEVP(終値!AS228:BL228)/AVERAGE(終値!AS228:BL228),""))</f>
        <v/>
      </c>
    </row>
    <row r="229" spans="1:42">
      <c r="A229" s="500" t="str">
        <f>IF(終値!A229="","",終値!A229)</f>
        <v>4222</v>
      </c>
      <c r="B229" s="503">
        <f>IF(終値!A229="","",IFERROR(4*STDEVP(終値!E229:X229)/AVERAGE(終値!E229:X229),""))</f>
        <v>0.22462840497590619</v>
      </c>
      <c r="C229" s="503">
        <f>IF(終値!A229="","",IFERROR(4*STDEVP(終値!F229:Y229)/AVERAGE(終値!F229:Y229),""))</f>
        <v>0.23798954284585253</v>
      </c>
      <c r="D229" s="503">
        <f>IF(終値!A229="","",IFERROR(4*STDEVP(終値!G229:Z229)/AVERAGE(終値!G229:Z229),""))</f>
        <v>0.25643482232015463</v>
      </c>
      <c r="E229" s="503">
        <f>IF(終値!A229="","",IFERROR(4*STDEVP(終値!H229:AA229)/AVERAGE(終値!H229:AA229),""))</f>
        <v>0.26860267869141546</v>
      </c>
      <c r="F229" s="503">
        <f>IF(終値!A229="","",IFERROR(4*STDEVP(終値!I229:AB229)/AVERAGE(終値!I229:AB229),""))</f>
        <v>0.25790780392527302</v>
      </c>
      <c r="G229" s="503">
        <f>IF(終値!A229="","",IFERROR(4*STDEVP(終値!J229:AC229)/AVERAGE(終値!J229:AC229),""))</f>
        <v>0.24611489954449764</v>
      </c>
      <c r="H229" s="503">
        <f>IF(終値!A229="","",IFERROR(4*STDEVP(終値!K229:AD229)/AVERAGE(終値!K229:AD229),""))</f>
        <v>0.21518132290579883</v>
      </c>
      <c r="I229" s="503">
        <f>IF(終値!A229="","",IFERROR(4*STDEVP(終値!L229:AE229)/AVERAGE(終値!L229:AE229),""))</f>
        <v>0.1821596824167141</v>
      </c>
      <c r="J229" s="503">
        <f>IF(終値!A229="","",IFERROR(4*STDEVP(終値!M229:AF229)/AVERAGE(終値!M229:AF229),""))</f>
        <v>0.15163794064032679</v>
      </c>
      <c r="K229" s="503">
        <f>IF(終値!A229="","",IFERROR(4*STDEVP(終値!N229:AG229)/AVERAGE(終値!N229:AG229),""))</f>
        <v>0.13530734066867323</v>
      </c>
      <c r="L229" s="503">
        <f>IF(終値!A229="","",IFERROR(4*STDEVP(終値!O229:AH229)/AVERAGE(終値!O229:AH229),""))</f>
        <v>0.13572523110829798</v>
      </c>
      <c r="M229" s="503">
        <f>IF(終値!A229="","",IFERROR(4*STDEVP(終値!P229:AI229)/AVERAGE(終値!P229:AI229),""))</f>
        <v>0.14161371682977242</v>
      </c>
      <c r="N229" s="503">
        <f>IF(終値!A229="","",IFERROR(4*STDEVP(終値!Q229:AJ229)/AVERAGE(終値!Q229:AJ229),""))</f>
        <v>0.15573261873767028</v>
      </c>
      <c r="O229" s="503">
        <f>IF(終値!A229="","",IFERROR(4*STDEVP(終値!R229:AK229)/AVERAGE(終値!R229:AK229),""))</f>
        <v>0.15324049871509424</v>
      </c>
      <c r="P229" s="503">
        <f>IF(終値!A229="","",IFERROR(4*STDEVP(終値!S229:AL229)/AVERAGE(終値!S229:AL229),""))</f>
        <v>0.13506412284599026</v>
      </c>
      <c r="Q229" s="503">
        <f>IF(終値!A229="","",IFERROR(4*STDEVP(終値!T229:AM229)/AVERAGE(終値!T229:AM229),""))</f>
        <v>0.15035613238355222</v>
      </c>
      <c r="R229" s="503">
        <f>IF(終値!A229="","",IFERROR(4*STDEVP(終値!U229:AN229)/AVERAGE(終値!U229:AN229),""))</f>
        <v>0.1492803956199954</v>
      </c>
      <c r="S229" s="503">
        <f>IF(終値!A229="","",IFERROR(4*STDEVP(終値!V229:AO229)/AVERAGE(終値!V229:AO229),""))</f>
        <v>0.14818244382131968</v>
      </c>
      <c r="T229" s="503">
        <f>IF(終値!A229="","",IFERROR(4*STDEVP(終値!W229:AP229)/AVERAGE(終値!W229:AP229),""))</f>
        <v>0.14970572238935051</v>
      </c>
      <c r="U229" s="503">
        <f>IF(終値!A229="","",IFERROR(4*STDEVP(終値!X229:AQ229)/AVERAGE(終値!X229:AQ229),""))</f>
        <v>0.14586203776519582</v>
      </c>
      <c r="V229" s="503">
        <f>IF(終値!A229="","",IFERROR(4*STDEVP(終値!Y229:AR229)/AVERAGE(終値!Y229:AR229),""))</f>
        <v>0.14050353515359093</v>
      </c>
      <c r="W229" s="503">
        <f>IF(終値!A229="","",IFERROR(4*STDEVP(終値!Z229:AS229)/AVERAGE(終値!Z229:AS229),""))</f>
        <v>0.14064332510310978</v>
      </c>
      <c r="X229" s="503">
        <f>IF(終値!A229="","",IFERROR(4*STDEVP(終値!AA229:AT229)/AVERAGE(終値!AA229:AT229),""))</f>
        <v>0.14769872328842559</v>
      </c>
      <c r="Y229" s="503">
        <f>IF(終値!A229="","",IFERROR(4*STDEVP(終値!AB229:AU229)/AVERAGE(終値!AB229:AU229),""))</f>
        <v>0.1491738215951012</v>
      </c>
      <c r="Z229" s="503">
        <f>IF(終値!A229="","",IFERROR(4*STDEVP(終値!AC229:AV229)/AVERAGE(終値!AC229:AV229),""))</f>
        <v>0.14984908409804609</v>
      </c>
      <c r="AA229" s="503">
        <f>IF(終値!A229="","",IFERROR(4*STDEVP(終値!AD229:AW229)/AVERAGE(終値!AD229:AW229),""))</f>
        <v>0.14207942013701702</v>
      </c>
      <c r="AB229" s="503">
        <f>IF(終値!A229="","",IFERROR(4*STDEVP(終値!AE229:AX229)/AVERAGE(終値!AE229:AX229),""))</f>
        <v>0.1391573605282706</v>
      </c>
      <c r="AC229" s="503">
        <f>IF(終値!A229="","",IFERROR(4*STDEVP(終値!AF229:AY229)/AVERAGE(終値!AF229:AY229),""))</f>
        <v>0.1447759066632919</v>
      </c>
      <c r="AD229" s="503">
        <f>IF(終値!A229="","",IFERROR(4*STDEVP(終値!AG229:AZ229)/AVERAGE(終値!AG229:AZ229),""))</f>
        <v>0.15381778261755577</v>
      </c>
      <c r="AE229" s="503">
        <f>IF(終値!A229="","",IFERROR(4*STDEVP(終値!AH229:BA229)/AVERAGE(終値!AH229:BA229),""))</f>
        <v>0.18339177453109087</v>
      </c>
      <c r="AF229" s="503">
        <f>IF(終値!A229="","",IFERROR(4*STDEVP(終値!AI229:BB229)/AVERAGE(終値!AI229:BB229),""))</f>
        <v>0.20194198102357161</v>
      </c>
      <c r="AG229" s="503">
        <f>IF(終値!A229="","",IFERROR(4*STDEVP(終値!AJ229:BC229)/AVERAGE(終値!AJ229:BC229),""))</f>
        <v>0.22671370632303237</v>
      </c>
      <c r="AH229" s="503">
        <f>IF(終値!A229="","",IFERROR(4*STDEVP(終値!AK229:BD229)/AVERAGE(終値!AK229:BD229),""))</f>
        <v>0.25148793582756129</v>
      </c>
      <c r="AI229" s="503">
        <f>IF(終値!A229="","",IFERROR(4*STDEVP(終値!AL229:BE229)/AVERAGE(終値!AL229:BE229),""))</f>
        <v>0.29498846091872905</v>
      </c>
      <c r="AJ229" s="503">
        <f>IF(終値!A229="","",IFERROR(4*STDEVP(終値!AM229:BF229)/AVERAGE(終値!AM229:BF229),""))</f>
        <v>0.32756926922614382</v>
      </c>
      <c r="AK229" s="503">
        <f>IF(終値!A229="","",IFERROR(4*STDEVP(終値!AN229:BG229)/AVERAGE(終値!AN229:BG229),""))</f>
        <v>0.37183679320872548</v>
      </c>
      <c r="AL229" s="503">
        <f>IF(終値!A229="","",IFERROR(4*STDEVP(終値!AO229:BH229)/AVERAGE(終値!AO229:BH229),""))</f>
        <v>0.61668347075450047</v>
      </c>
      <c r="AM229" s="503">
        <f>IF(終値!A229="","",IFERROR(4*STDEVP(終値!AP229:BI229)/AVERAGE(終値!AP229:BI229),""))</f>
        <v>0.77602145098990372</v>
      </c>
      <c r="AN229" s="503">
        <f>IF(終値!A229="","",IFERROR(4*STDEVP(終値!AQ229:BJ229)/AVERAGE(終値!AQ229:BJ229),""))</f>
        <v>0.87724865149898434</v>
      </c>
      <c r="AO229" s="503">
        <f>IF(終値!A229="","",IFERROR(4*STDEVP(終値!AR229:BK229)/AVERAGE(終値!AR229:BK229),""))</f>
        <v>0.93347546331931364</v>
      </c>
      <c r="AP229" s="503">
        <f>IF(終値!A229="","",IFERROR(4*STDEVP(終値!AS229:BL229)/AVERAGE(終値!AS229:BL229),""))</f>
        <v>0.93202001005830071</v>
      </c>
    </row>
    <row r="230" spans="1:42">
      <c r="A230" s="500" t="str">
        <f>IF(終値!A230="","",終値!A230)</f>
        <v>3563</v>
      </c>
      <c r="B230" s="503">
        <f>IF(終値!A230="","",IFERROR(4*STDEVP(終値!E230:X230)/AVERAGE(終値!E230:X230),""))</f>
        <v>2.7642692603020221E-2</v>
      </c>
      <c r="C230" s="503">
        <f>IF(終値!A230="","",IFERROR(4*STDEVP(終値!F230:Y230)/AVERAGE(終値!F230:Y230),""))</f>
        <v>0</v>
      </c>
      <c r="D230" s="503" t="str">
        <f>IF(終値!A230="","",IFERROR(4*STDEVP(終値!G230:Z230)/AVERAGE(終値!G230:Z230),""))</f>
        <v/>
      </c>
      <c r="E230" s="503" t="str">
        <f>IF(終値!A230="","",IFERROR(4*STDEVP(終値!H230:AA230)/AVERAGE(終値!H230:AA230),""))</f>
        <v/>
      </c>
      <c r="F230" s="503" t="str">
        <f>IF(終値!A230="","",IFERROR(4*STDEVP(終値!I230:AB230)/AVERAGE(終値!I230:AB230),""))</f>
        <v/>
      </c>
      <c r="G230" s="503" t="str">
        <f>IF(終値!A230="","",IFERROR(4*STDEVP(終値!J230:AC230)/AVERAGE(終値!J230:AC230),""))</f>
        <v/>
      </c>
      <c r="H230" s="503" t="str">
        <f>IF(終値!A230="","",IFERROR(4*STDEVP(終値!K230:AD230)/AVERAGE(終値!K230:AD230),""))</f>
        <v/>
      </c>
      <c r="I230" s="503" t="str">
        <f>IF(終値!A230="","",IFERROR(4*STDEVP(終値!L230:AE230)/AVERAGE(終値!L230:AE230),""))</f>
        <v/>
      </c>
      <c r="J230" s="503" t="str">
        <f>IF(終値!A230="","",IFERROR(4*STDEVP(終値!M230:AF230)/AVERAGE(終値!M230:AF230),""))</f>
        <v/>
      </c>
      <c r="K230" s="503" t="str">
        <f>IF(終値!A230="","",IFERROR(4*STDEVP(終値!N230:AG230)/AVERAGE(終値!N230:AG230),""))</f>
        <v/>
      </c>
      <c r="L230" s="503" t="str">
        <f>IF(終値!A230="","",IFERROR(4*STDEVP(終値!O230:AH230)/AVERAGE(終値!O230:AH230),""))</f>
        <v/>
      </c>
      <c r="M230" s="503" t="str">
        <f>IF(終値!A230="","",IFERROR(4*STDEVP(終値!P230:AI230)/AVERAGE(終値!P230:AI230),""))</f>
        <v/>
      </c>
      <c r="N230" s="503" t="str">
        <f>IF(終値!A230="","",IFERROR(4*STDEVP(終値!Q230:AJ230)/AVERAGE(終値!Q230:AJ230),""))</f>
        <v/>
      </c>
      <c r="O230" s="503" t="str">
        <f>IF(終値!A230="","",IFERROR(4*STDEVP(終値!R230:AK230)/AVERAGE(終値!R230:AK230),""))</f>
        <v/>
      </c>
      <c r="P230" s="503" t="str">
        <f>IF(終値!A230="","",IFERROR(4*STDEVP(終値!S230:AL230)/AVERAGE(終値!S230:AL230),""))</f>
        <v/>
      </c>
      <c r="Q230" s="503" t="str">
        <f>IF(終値!A230="","",IFERROR(4*STDEVP(終値!T230:AM230)/AVERAGE(終値!T230:AM230),""))</f>
        <v/>
      </c>
      <c r="R230" s="503" t="str">
        <f>IF(終値!A230="","",IFERROR(4*STDEVP(終値!U230:AN230)/AVERAGE(終値!U230:AN230),""))</f>
        <v/>
      </c>
      <c r="S230" s="503" t="str">
        <f>IF(終値!A230="","",IFERROR(4*STDEVP(終値!V230:AO230)/AVERAGE(終値!V230:AO230),""))</f>
        <v/>
      </c>
      <c r="T230" s="503" t="str">
        <f>IF(終値!A230="","",IFERROR(4*STDEVP(終値!W230:AP230)/AVERAGE(終値!W230:AP230),""))</f>
        <v/>
      </c>
      <c r="U230" s="503" t="str">
        <f>IF(終値!A230="","",IFERROR(4*STDEVP(終値!X230:AQ230)/AVERAGE(終値!X230:AQ230),""))</f>
        <v/>
      </c>
      <c r="V230" s="503" t="str">
        <f>IF(終値!A230="","",IFERROR(4*STDEVP(終値!Y230:AR230)/AVERAGE(終値!Y230:AR230),""))</f>
        <v/>
      </c>
      <c r="W230" s="503" t="str">
        <f>IF(終値!A230="","",IFERROR(4*STDEVP(終値!Z230:AS230)/AVERAGE(終値!Z230:AS230),""))</f>
        <v/>
      </c>
      <c r="X230" s="503" t="str">
        <f>IF(終値!A230="","",IFERROR(4*STDEVP(終値!AA230:AT230)/AVERAGE(終値!AA230:AT230),""))</f>
        <v/>
      </c>
      <c r="Y230" s="503" t="str">
        <f>IF(終値!A230="","",IFERROR(4*STDEVP(終値!AB230:AU230)/AVERAGE(終値!AB230:AU230),""))</f>
        <v/>
      </c>
      <c r="Z230" s="503" t="str">
        <f>IF(終値!A230="","",IFERROR(4*STDEVP(終値!AC230:AV230)/AVERAGE(終値!AC230:AV230),""))</f>
        <v/>
      </c>
      <c r="AA230" s="503" t="str">
        <f>IF(終値!A230="","",IFERROR(4*STDEVP(終値!AD230:AW230)/AVERAGE(終値!AD230:AW230),""))</f>
        <v/>
      </c>
      <c r="AB230" s="503" t="str">
        <f>IF(終値!A230="","",IFERROR(4*STDEVP(終値!AE230:AX230)/AVERAGE(終値!AE230:AX230),""))</f>
        <v/>
      </c>
      <c r="AC230" s="503" t="str">
        <f>IF(終値!A230="","",IFERROR(4*STDEVP(終値!AF230:AY230)/AVERAGE(終値!AF230:AY230),""))</f>
        <v/>
      </c>
      <c r="AD230" s="503" t="str">
        <f>IF(終値!A230="","",IFERROR(4*STDEVP(終値!AG230:AZ230)/AVERAGE(終値!AG230:AZ230),""))</f>
        <v/>
      </c>
      <c r="AE230" s="503" t="str">
        <f>IF(終値!A230="","",IFERROR(4*STDEVP(終値!AH230:BA230)/AVERAGE(終値!AH230:BA230),""))</f>
        <v/>
      </c>
      <c r="AF230" s="503" t="str">
        <f>IF(終値!A230="","",IFERROR(4*STDEVP(終値!AI230:BB230)/AVERAGE(終値!AI230:BB230),""))</f>
        <v/>
      </c>
      <c r="AG230" s="503" t="str">
        <f>IF(終値!A230="","",IFERROR(4*STDEVP(終値!AJ230:BC230)/AVERAGE(終値!AJ230:BC230),""))</f>
        <v/>
      </c>
      <c r="AH230" s="503" t="str">
        <f>IF(終値!A230="","",IFERROR(4*STDEVP(終値!AK230:BD230)/AVERAGE(終値!AK230:BD230),""))</f>
        <v/>
      </c>
      <c r="AI230" s="503" t="str">
        <f>IF(終値!A230="","",IFERROR(4*STDEVP(終値!AL230:BE230)/AVERAGE(終値!AL230:BE230),""))</f>
        <v/>
      </c>
      <c r="AJ230" s="503" t="str">
        <f>IF(終値!A230="","",IFERROR(4*STDEVP(終値!AM230:BF230)/AVERAGE(終値!AM230:BF230),""))</f>
        <v/>
      </c>
      <c r="AK230" s="503" t="str">
        <f>IF(終値!A230="","",IFERROR(4*STDEVP(終値!AN230:BG230)/AVERAGE(終値!AN230:BG230),""))</f>
        <v/>
      </c>
      <c r="AL230" s="503" t="str">
        <f>IF(終値!A230="","",IFERROR(4*STDEVP(終値!AO230:BH230)/AVERAGE(終値!AO230:BH230),""))</f>
        <v/>
      </c>
      <c r="AM230" s="503" t="str">
        <f>IF(終値!A230="","",IFERROR(4*STDEVP(終値!AP230:BI230)/AVERAGE(終値!AP230:BI230),""))</f>
        <v/>
      </c>
      <c r="AN230" s="503" t="str">
        <f>IF(終値!A230="","",IFERROR(4*STDEVP(終値!AQ230:BJ230)/AVERAGE(終値!AQ230:BJ230),""))</f>
        <v/>
      </c>
      <c r="AO230" s="503" t="str">
        <f>IF(終値!A230="","",IFERROR(4*STDEVP(終値!AR230:BK230)/AVERAGE(終値!AR230:BK230),""))</f>
        <v/>
      </c>
      <c r="AP230" s="503" t="str">
        <f>IF(終値!A230="","",IFERROR(4*STDEVP(終値!AS230:BL230)/AVERAGE(終値!AS230:BL230),""))</f>
        <v/>
      </c>
    </row>
    <row r="231" spans="1:42">
      <c r="A231" s="500" t="str">
        <f>IF(終値!A231="","",終値!A231)</f>
        <v>7013</v>
      </c>
      <c r="B231" s="503">
        <f>IF(終値!A231="","",IFERROR(4*STDEVP(終値!E231:X231)/AVERAGE(終値!E231:X231),""))</f>
        <v>9.5646462108566893E-2</v>
      </c>
      <c r="C231" s="503">
        <f>IF(終値!A231="","",IFERROR(4*STDEVP(終値!F231:Y231)/AVERAGE(終値!F231:Y231),""))</f>
        <v>9.9185484433442578E-2</v>
      </c>
      <c r="D231" s="503">
        <f>IF(終値!A231="","",IFERROR(4*STDEVP(終値!G231:Z231)/AVERAGE(終値!G231:Z231),""))</f>
        <v>0.12137194220073429</v>
      </c>
      <c r="E231" s="503">
        <f>IF(終値!A231="","",IFERROR(4*STDEVP(終値!H231:AA231)/AVERAGE(終値!H231:AA231),""))</f>
        <v>0.12099045429637682</v>
      </c>
      <c r="F231" s="503">
        <f>IF(終値!A231="","",IFERROR(4*STDEVP(終値!I231:AB231)/AVERAGE(終値!I231:AB231),""))</f>
        <v>0.11979447613977728</v>
      </c>
      <c r="G231" s="503">
        <f>IF(終値!A231="","",IFERROR(4*STDEVP(終値!J231:AC231)/AVERAGE(終値!J231:AC231),""))</f>
        <v>0.12988618652794329</v>
      </c>
      <c r="H231" s="503">
        <f>IF(終値!A231="","",IFERROR(4*STDEVP(終値!K231:AD231)/AVERAGE(終値!K231:AD231),""))</f>
        <v>0.13380124653601413</v>
      </c>
      <c r="I231" s="503">
        <f>IF(終値!A231="","",IFERROR(4*STDEVP(終値!L231:AE231)/AVERAGE(終値!L231:AE231),""))</f>
        <v>0.14026633153632792</v>
      </c>
      <c r="J231" s="503">
        <f>IF(終値!A231="","",IFERROR(4*STDEVP(終値!M231:AF231)/AVERAGE(終値!M231:AF231),""))</f>
        <v>0.14717217388917864</v>
      </c>
      <c r="K231" s="503">
        <f>IF(終値!A231="","",IFERROR(4*STDEVP(終値!N231:AG231)/AVERAGE(終値!N231:AG231),""))</f>
        <v>0.14985174732758941</v>
      </c>
      <c r="L231" s="503">
        <f>IF(終値!A231="","",IFERROR(4*STDEVP(終値!O231:AH231)/AVERAGE(終値!O231:AH231),""))</f>
        <v>0.14623956564215146</v>
      </c>
      <c r="M231" s="503">
        <f>IF(終値!A231="","",IFERROR(4*STDEVP(終値!P231:AI231)/AVERAGE(終値!P231:AI231),""))</f>
        <v>0.14594470153501418</v>
      </c>
      <c r="N231" s="503">
        <f>IF(終値!A231="","",IFERROR(4*STDEVP(終値!Q231:AJ231)/AVERAGE(終値!Q231:AJ231),""))</f>
        <v>0.14595308131046272</v>
      </c>
      <c r="O231" s="503">
        <f>IF(終値!A231="","",IFERROR(4*STDEVP(終値!R231:AK231)/AVERAGE(終値!R231:AK231),""))</f>
        <v>0.14593241113824451</v>
      </c>
      <c r="P231" s="503">
        <f>IF(終値!A231="","",IFERROR(4*STDEVP(終値!S231:AL231)/AVERAGE(終値!S231:AL231),""))</f>
        <v>0.14041757218724765</v>
      </c>
      <c r="Q231" s="503">
        <f>IF(終値!A231="","",IFERROR(4*STDEVP(終値!T231:AM231)/AVERAGE(終値!T231:AM231),""))</f>
        <v>0.14425730508070767</v>
      </c>
      <c r="R231" s="503">
        <f>IF(終値!A231="","",IFERROR(4*STDEVP(終値!U231:AN231)/AVERAGE(終値!U231:AN231),""))</f>
        <v>0.1448143740908362</v>
      </c>
      <c r="S231" s="503">
        <f>IF(終値!A231="","",IFERROR(4*STDEVP(終値!V231:AO231)/AVERAGE(終値!V231:AO231),""))</f>
        <v>0.14868499241193209</v>
      </c>
      <c r="T231" s="503">
        <f>IF(終値!A231="","",IFERROR(4*STDEVP(終値!W231:AP231)/AVERAGE(終値!W231:AP231),""))</f>
        <v>0.19002378112325544</v>
      </c>
      <c r="U231" s="503">
        <f>IF(終値!A231="","",IFERROR(4*STDEVP(終値!X231:AQ231)/AVERAGE(終値!X231:AQ231),""))</f>
        <v>0.23383843602659554</v>
      </c>
      <c r="V231" s="503">
        <f>IF(終値!A231="","",IFERROR(4*STDEVP(終値!Y231:AR231)/AVERAGE(終値!Y231:AR231),""))</f>
        <v>0.25264932842993731</v>
      </c>
      <c r="W231" s="503">
        <f>IF(終値!A231="","",IFERROR(4*STDEVP(終値!Z231:AS231)/AVERAGE(終値!Z231:AS231),""))</f>
        <v>0.25170232213183402</v>
      </c>
      <c r="X231" s="503">
        <f>IF(終値!A231="","",IFERROR(4*STDEVP(終値!AA231:AT231)/AVERAGE(終値!AA231:AT231),""))</f>
        <v>0.22689314192950144</v>
      </c>
      <c r="Y231" s="503">
        <f>IF(終値!A231="","",IFERROR(4*STDEVP(終値!AB231:AU231)/AVERAGE(終値!AB231:AU231),""))</f>
        <v>0.22485824938733082</v>
      </c>
      <c r="Z231" s="503">
        <f>IF(終値!A231="","",IFERROR(4*STDEVP(終値!AC231:AV231)/AVERAGE(終値!AC231:AV231),""))</f>
        <v>0.22975502934011613</v>
      </c>
      <c r="AA231" s="503">
        <f>IF(終値!A231="","",IFERROR(4*STDEVP(終値!AD231:AW231)/AVERAGE(終値!AD231:AW231),""))</f>
        <v>0.23120212255236547</v>
      </c>
      <c r="AB231" s="503">
        <f>IF(終値!A231="","",IFERROR(4*STDEVP(終値!AE231:AX231)/AVERAGE(終値!AE231:AX231),""))</f>
        <v>0.23318984527383482</v>
      </c>
      <c r="AC231" s="503">
        <f>IF(終値!A231="","",IFERROR(4*STDEVP(終値!AF231:AY231)/AVERAGE(終値!AF231:AY231),""))</f>
        <v>0.23411229114127671</v>
      </c>
      <c r="AD231" s="503">
        <f>IF(終値!A231="","",IFERROR(4*STDEVP(終値!AG231:AZ231)/AVERAGE(終値!AG231:AZ231),""))</f>
        <v>0.23911191034614887</v>
      </c>
      <c r="AE231" s="503">
        <f>IF(終値!A231="","",IFERROR(4*STDEVP(終値!AH231:BA231)/AVERAGE(終値!AH231:BA231),""))</f>
        <v>0.2446458550139535</v>
      </c>
      <c r="AF231" s="503">
        <f>IF(終値!A231="","",IFERROR(4*STDEVP(終値!AI231:BB231)/AVERAGE(終値!AI231:BB231),""))</f>
        <v>0.24376997195473601</v>
      </c>
      <c r="AG231" s="503">
        <f>IF(終値!A231="","",IFERROR(4*STDEVP(終値!AJ231:BC231)/AVERAGE(終値!AJ231:BC231),""))</f>
        <v>0.24347655569662915</v>
      </c>
      <c r="AH231" s="503">
        <f>IF(終値!A231="","",IFERROR(4*STDEVP(終値!AK231:BD231)/AVERAGE(終値!AK231:BD231),""))</f>
        <v>0.24202058911104343</v>
      </c>
      <c r="AI231" s="503">
        <f>IF(終値!A231="","",IFERROR(4*STDEVP(終値!AL231:BE231)/AVERAGE(終値!AL231:BE231),""))</f>
        <v>0.23854423228492319</v>
      </c>
      <c r="AJ231" s="503">
        <f>IF(終値!A231="","",IFERROR(4*STDEVP(終値!AM231:BF231)/AVERAGE(終値!AM231:BF231),""))</f>
        <v>0.22698838972671043</v>
      </c>
      <c r="AK231" s="503">
        <f>IF(終値!A231="","",IFERROR(4*STDEVP(終値!AN231:BG231)/AVERAGE(終値!AN231:BG231),""))</f>
        <v>0.20669586252276656</v>
      </c>
      <c r="AL231" s="503">
        <f>IF(終値!A231="","",IFERROR(4*STDEVP(終値!AO231:BH231)/AVERAGE(終値!AO231:BH231),""))</f>
        <v>0.20129654201276803</v>
      </c>
      <c r="AM231" s="503">
        <f>IF(終値!A231="","",IFERROR(4*STDEVP(終値!AP231:BI231)/AVERAGE(終値!AP231:BI231),""))</f>
        <v>0.21138914909957598</v>
      </c>
      <c r="AN231" s="503">
        <f>IF(終値!A231="","",IFERROR(4*STDEVP(終値!AQ231:BJ231)/AVERAGE(終値!AQ231:BJ231),""))</f>
        <v>0.20656778425258382</v>
      </c>
      <c r="AO231" s="503">
        <f>IF(終値!A231="","",IFERROR(4*STDEVP(終値!AR231:BK231)/AVERAGE(終値!AR231:BK231),""))</f>
        <v>0.19234637040766236</v>
      </c>
      <c r="AP231" s="503">
        <f>IF(終値!A231="","",IFERROR(4*STDEVP(終値!AS231:BL231)/AVERAGE(終値!AS231:BL231),""))</f>
        <v>0.21201823351467922</v>
      </c>
    </row>
    <row r="232" spans="1:42">
      <c r="A232" s="500" t="str">
        <f>IF(終値!A232="","",終値!A232)</f>
        <v>8793</v>
      </c>
      <c r="B232" s="503">
        <f>IF(終値!A232="","",IFERROR(4*STDEVP(終値!E232:X232)/AVERAGE(終値!E232:X232),""))</f>
        <v>4.9398457902602978E-2</v>
      </c>
      <c r="C232" s="503">
        <f>IF(終値!A232="","",IFERROR(4*STDEVP(終値!F232:Y232)/AVERAGE(終値!F232:Y232),""))</f>
        <v>4.8242199139913643E-2</v>
      </c>
      <c r="D232" s="503">
        <f>IF(終値!A232="","",IFERROR(4*STDEVP(終値!G232:Z232)/AVERAGE(終値!G232:Z232),""))</f>
        <v>4.5273545832175036E-2</v>
      </c>
      <c r="E232" s="503">
        <f>IF(終値!A232="","",IFERROR(4*STDEVP(終値!H232:AA232)/AVERAGE(終値!H232:AA232),""))</f>
        <v>4.8431553998874284E-2</v>
      </c>
      <c r="F232" s="503">
        <f>IF(終値!A232="","",IFERROR(4*STDEVP(終値!I232:AB232)/AVERAGE(終値!I232:AB232),""))</f>
        <v>5.6553573373960109E-2</v>
      </c>
      <c r="G232" s="503">
        <f>IF(終値!A232="","",IFERROR(4*STDEVP(終値!J232:AC232)/AVERAGE(終値!J232:AC232),""))</f>
        <v>6.2105246560733039E-2</v>
      </c>
      <c r="H232" s="503">
        <f>IF(終値!A232="","",IFERROR(4*STDEVP(終値!K232:AD232)/AVERAGE(終値!K232:AD232),""))</f>
        <v>6.1455438452577622E-2</v>
      </c>
      <c r="I232" s="503">
        <f>IF(終値!A232="","",IFERROR(4*STDEVP(終値!L232:AE232)/AVERAGE(終値!L232:AE232),""))</f>
        <v>5.8760841100631449E-2</v>
      </c>
      <c r="J232" s="503">
        <f>IF(終値!A232="","",IFERROR(4*STDEVP(終値!M232:AF232)/AVERAGE(終値!M232:AF232),""))</f>
        <v>6.1949259885987346E-2</v>
      </c>
      <c r="K232" s="503">
        <f>IF(終値!A232="","",IFERROR(4*STDEVP(終値!N232:AG232)/AVERAGE(終値!N232:AG232),""))</f>
        <v>6.1077359763681463E-2</v>
      </c>
      <c r="L232" s="503">
        <f>IF(終値!A232="","",IFERROR(4*STDEVP(終値!O232:AH232)/AVERAGE(終値!O232:AH232),""))</f>
        <v>6.2014426814107008E-2</v>
      </c>
      <c r="M232" s="503">
        <f>IF(終値!A232="","",IFERROR(4*STDEVP(終値!P232:AI232)/AVERAGE(終値!P232:AI232),""))</f>
        <v>6.1214699574929421E-2</v>
      </c>
      <c r="N232" s="503">
        <f>IF(終値!A232="","",IFERROR(4*STDEVP(終値!Q232:AJ232)/AVERAGE(終値!Q232:AJ232),""))</f>
        <v>5.9689794047967676E-2</v>
      </c>
      <c r="O232" s="503">
        <f>IF(終値!A232="","",IFERROR(4*STDEVP(終値!R232:AK232)/AVERAGE(終値!R232:AK232),""))</f>
        <v>6.0192743925956124E-2</v>
      </c>
      <c r="P232" s="503">
        <f>IF(終値!A232="","",IFERROR(4*STDEVP(終値!S232:AL232)/AVERAGE(終値!S232:AL232),""))</f>
        <v>6.027884077065216E-2</v>
      </c>
      <c r="Q232" s="503">
        <f>IF(終値!A232="","",IFERROR(4*STDEVP(終値!T232:AM232)/AVERAGE(終値!T232:AM232),""))</f>
        <v>6.0089004395948095E-2</v>
      </c>
      <c r="R232" s="503">
        <f>IF(終値!A232="","",IFERROR(4*STDEVP(終値!U232:AN232)/AVERAGE(終値!U232:AN232),""))</f>
        <v>6.0399803799588481E-2</v>
      </c>
      <c r="S232" s="503">
        <f>IF(終値!A232="","",IFERROR(4*STDEVP(終値!V232:AO232)/AVERAGE(終値!V232:AO232),""))</f>
        <v>6.1073205177962817E-2</v>
      </c>
      <c r="T232" s="503">
        <f>IF(終値!A232="","",IFERROR(4*STDEVP(終値!W232:AP232)/AVERAGE(終値!W232:AP232),""))</f>
        <v>6.3486301539067536E-2</v>
      </c>
      <c r="U232" s="503">
        <f>IF(終値!A232="","",IFERROR(4*STDEVP(終値!X232:AQ232)/AVERAGE(終値!X232:AQ232),""))</f>
        <v>6.2849998808380131E-2</v>
      </c>
      <c r="V232" s="503">
        <f>IF(終値!A232="","",IFERROR(4*STDEVP(終値!Y232:AR232)/AVERAGE(終値!Y232:AR232),""))</f>
        <v>6.3996965868309399E-2</v>
      </c>
      <c r="W232" s="503">
        <f>IF(終値!A232="","",IFERROR(4*STDEVP(終値!Z232:AS232)/AVERAGE(終値!Z232:AS232),""))</f>
        <v>6.3955578393911069E-2</v>
      </c>
      <c r="X232" s="503">
        <f>IF(終値!A232="","",IFERROR(4*STDEVP(終値!AA232:AT232)/AVERAGE(終値!AA232:AT232),""))</f>
        <v>6.3824884177063848E-2</v>
      </c>
      <c r="Y232" s="503">
        <f>IF(終値!A232="","",IFERROR(4*STDEVP(終値!AB232:AU232)/AVERAGE(終値!AB232:AU232),""))</f>
        <v>6.6680380856849436E-2</v>
      </c>
      <c r="Z232" s="503">
        <f>IF(終値!A232="","",IFERROR(4*STDEVP(終値!AC232:AV232)/AVERAGE(終値!AC232:AV232),""))</f>
        <v>6.9557605480046858E-2</v>
      </c>
      <c r="AA232" s="503">
        <f>IF(終値!A232="","",IFERROR(4*STDEVP(終値!AD232:AW232)/AVERAGE(終値!AD232:AW232),""))</f>
        <v>7.7980609625122266E-2</v>
      </c>
      <c r="AB232" s="503">
        <f>IF(終値!A232="","",IFERROR(4*STDEVP(終値!AE232:AX232)/AVERAGE(終値!AE232:AX232),""))</f>
        <v>7.8608164315341664E-2</v>
      </c>
      <c r="AC232" s="503">
        <f>IF(終値!A232="","",IFERROR(4*STDEVP(終値!AF232:AY232)/AVERAGE(終値!AF232:AY232),""))</f>
        <v>7.9519555061291589E-2</v>
      </c>
      <c r="AD232" s="503">
        <f>IF(終値!A232="","",IFERROR(4*STDEVP(終値!AG232:AZ232)/AVERAGE(終値!AG232:AZ232),""))</f>
        <v>8.1118661426603664E-2</v>
      </c>
      <c r="AE232" s="503">
        <f>IF(終値!A232="","",IFERROR(4*STDEVP(終値!AH232:BA232)/AVERAGE(終値!AH232:BA232),""))</f>
        <v>8.3489322589290219E-2</v>
      </c>
      <c r="AF232" s="503">
        <f>IF(終値!A232="","",IFERROR(4*STDEVP(終値!AI232:BB232)/AVERAGE(終値!AI232:BB232),""))</f>
        <v>8.407050715800142E-2</v>
      </c>
      <c r="AG232" s="503">
        <f>IF(終値!A232="","",IFERROR(4*STDEVP(終値!AJ232:BC232)/AVERAGE(終値!AJ232:BC232),""))</f>
        <v>8.4233996316768228E-2</v>
      </c>
      <c r="AH232" s="503">
        <f>IF(終値!A232="","",IFERROR(4*STDEVP(終値!AK232:BD232)/AVERAGE(終値!AK232:BD232),""))</f>
        <v>8.5297251243269812E-2</v>
      </c>
      <c r="AI232" s="503">
        <f>IF(終値!A232="","",IFERROR(4*STDEVP(終値!AL232:BE232)/AVERAGE(終値!AL232:BE232),""))</f>
        <v>8.4736326659127489E-2</v>
      </c>
      <c r="AJ232" s="503">
        <f>IF(終値!A232="","",IFERROR(4*STDEVP(終値!AM232:BF232)/AVERAGE(終値!AM232:BF232),""))</f>
        <v>8.6579123444928643E-2</v>
      </c>
      <c r="AK232" s="503">
        <f>IF(終値!A232="","",IFERROR(4*STDEVP(終値!AN232:BG232)/AVERAGE(終値!AN232:BG232),""))</f>
        <v>8.4725166143645392E-2</v>
      </c>
      <c r="AL232" s="503">
        <f>IF(終値!A232="","",IFERROR(4*STDEVP(終値!AO232:BH232)/AVERAGE(終値!AO232:BH232),""))</f>
        <v>7.9667941154601712E-2</v>
      </c>
      <c r="AM232" s="503">
        <f>IF(終値!A232="","",IFERROR(4*STDEVP(終値!AP232:BI232)/AVERAGE(終値!AP232:BI232),""))</f>
        <v>7.2653199265651044E-2</v>
      </c>
      <c r="AN232" s="503">
        <f>IF(終値!A232="","",IFERROR(4*STDEVP(終値!AQ232:BJ232)/AVERAGE(終値!AQ232:BJ232),""))</f>
        <v>6.0090610258257765E-2</v>
      </c>
      <c r="AO232" s="503">
        <f>IF(終値!A232="","",IFERROR(4*STDEVP(終値!AR232:BK232)/AVERAGE(終値!AR232:BK232),""))</f>
        <v>5.4845338803490504E-2</v>
      </c>
      <c r="AP232" s="503">
        <f>IF(終値!A232="","",IFERROR(4*STDEVP(終値!AS232:BL232)/AVERAGE(終値!AS232:BL232),""))</f>
        <v>4.6493347148094201E-2</v>
      </c>
    </row>
    <row r="233" spans="1:42">
      <c r="A233" s="500" t="str">
        <f>IF(終値!A233="","",終値!A233)</f>
        <v>9962</v>
      </c>
      <c r="B233" s="503">
        <f>IF(終値!A233="","",IFERROR(4*STDEVP(終値!E233:X233)/AVERAGE(終値!E233:X233),""))</f>
        <v>0.1768344992089152</v>
      </c>
      <c r="C233" s="503">
        <f>IF(終値!A233="","",IFERROR(4*STDEVP(終値!F233:Y233)/AVERAGE(終値!F233:Y233),""))</f>
        <v>0.18417168008831392</v>
      </c>
      <c r="D233" s="503">
        <f>IF(終値!A233="","",IFERROR(4*STDEVP(終値!G233:Z233)/AVERAGE(終値!G233:Z233),""))</f>
        <v>0.20233681649211457</v>
      </c>
      <c r="E233" s="503">
        <f>IF(終値!A233="","",IFERROR(4*STDEVP(終値!H233:AA233)/AVERAGE(終値!H233:AA233),""))</f>
        <v>0.21361626427723265</v>
      </c>
      <c r="F233" s="503">
        <f>IF(終値!A233="","",IFERROR(4*STDEVP(終値!I233:AB233)/AVERAGE(終値!I233:AB233),""))</f>
        <v>0.2191990591949339</v>
      </c>
      <c r="G233" s="503">
        <f>IF(終値!A233="","",IFERROR(4*STDEVP(終値!J233:AC233)/AVERAGE(終値!J233:AC233),""))</f>
        <v>0.22218409823531263</v>
      </c>
      <c r="H233" s="503">
        <f>IF(終値!A233="","",IFERROR(4*STDEVP(終値!K233:AD233)/AVERAGE(終値!K233:AD233),""))</f>
        <v>0.20909021361326002</v>
      </c>
      <c r="I233" s="503">
        <f>IF(終値!A233="","",IFERROR(4*STDEVP(終値!L233:AE233)/AVERAGE(終値!L233:AE233),""))</f>
        <v>0.19426927150385537</v>
      </c>
      <c r="J233" s="503">
        <f>IF(終値!A233="","",IFERROR(4*STDEVP(終値!M233:AF233)/AVERAGE(終値!M233:AF233),""))</f>
        <v>0.16924262072340771</v>
      </c>
      <c r="K233" s="503">
        <f>IF(終値!A233="","",IFERROR(4*STDEVP(終値!N233:AG233)/AVERAGE(終値!N233:AG233),""))</f>
        <v>0.16454089492345486</v>
      </c>
      <c r="L233" s="503">
        <f>IF(終値!A233="","",IFERROR(4*STDEVP(終値!O233:AH233)/AVERAGE(終値!O233:AH233),""))</f>
        <v>0.15086459509716299</v>
      </c>
      <c r="M233" s="503">
        <f>IF(終値!A233="","",IFERROR(4*STDEVP(終値!P233:AI233)/AVERAGE(終値!P233:AI233),""))</f>
        <v>0.15436690731813818</v>
      </c>
      <c r="N233" s="503">
        <f>IF(終値!A233="","",IFERROR(4*STDEVP(終値!Q233:AJ233)/AVERAGE(終値!Q233:AJ233),""))</f>
        <v>0.14854468901788073</v>
      </c>
      <c r="O233" s="503">
        <f>IF(終値!A233="","",IFERROR(4*STDEVP(終値!R233:AK233)/AVERAGE(終値!R233:AK233),""))</f>
        <v>0.14315744768682906</v>
      </c>
      <c r="P233" s="503">
        <f>IF(終値!A233="","",IFERROR(4*STDEVP(終値!S233:AL233)/AVERAGE(終値!S233:AL233),""))</f>
        <v>0.12795586780589352</v>
      </c>
      <c r="Q233" s="503">
        <f>IF(終値!A233="","",IFERROR(4*STDEVP(終値!T233:AM233)/AVERAGE(終値!T233:AM233),""))</f>
        <v>0.1278276844512034</v>
      </c>
      <c r="R233" s="503">
        <f>IF(終値!A233="","",IFERROR(4*STDEVP(終値!U233:AN233)/AVERAGE(終値!U233:AN233),""))</f>
        <v>0.12430384630794337</v>
      </c>
      <c r="S233" s="503">
        <f>IF(終値!A233="","",IFERROR(4*STDEVP(終値!V233:AO233)/AVERAGE(終値!V233:AO233),""))</f>
        <v>0.12635463526087024</v>
      </c>
      <c r="T233" s="503">
        <f>IF(終値!A233="","",IFERROR(4*STDEVP(終値!W233:AP233)/AVERAGE(終値!W233:AP233),""))</f>
        <v>0.13384309225905758</v>
      </c>
      <c r="U233" s="503">
        <f>IF(終値!A233="","",IFERROR(4*STDEVP(終値!X233:AQ233)/AVERAGE(終値!X233:AQ233),""))</f>
        <v>0.14558471924144975</v>
      </c>
      <c r="V233" s="503">
        <f>IF(終値!A233="","",IFERROR(4*STDEVP(終値!Y233:AR233)/AVERAGE(終値!Y233:AR233),""))</f>
        <v>0.15639795519245867</v>
      </c>
      <c r="W233" s="503">
        <f>IF(終値!A233="","",IFERROR(4*STDEVP(終値!Z233:AS233)/AVERAGE(終値!Z233:AS233),""))</f>
        <v>0.16490280543264249</v>
      </c>
      <c r="X233" s="503">
        <f>IF(終値!A233="","",IFERROR(4*STDEVP(終値!AA233:AT233)/AVERAGE(終値!AA233:AT233),""))</f>
        <v>0.15159441792159614</v>
      </c>
      <c r="Y233" s="503">
        <f>IF(終値!A233="","",IFERROR(4*STDEVP(終値!AB233:AU233)/AVERAGE(終値!AB233:AU233),""))</f>
        <v>0.12709958163362595</v>
      </c>
      <c r="Z233" s="503">
        <f>IF(終値!A233="","",IFERROR(4*STDEVP(終値!AC233:AV233)/AVERAGE(終値!AC233:AV233),""))</f>
        <v>0.11228848564469034</v>
      </c>
      <c r="AA233" s="503">
        <f>IF(終値!A233="","",IFERROR(4*STDEVP(終値!AD233:AW233)/AVERAGE(終値!AD233:AW233),""))</f>
        <v>0.11082374453693336</v>
      </c>
      <c r="AB233" s="503">
        <f>IF(終値!A233="","",IFERROR(4*STDEVP(終値!AE233:AX233)/AVERAGE(終値!AE233:AX233),""))</f>
        <v>9.8704183697678971E-2</v>
      </c>
      <c r="AC233" s="503">
        <f>IF(終値!A233="","",IFERROR(4*STDEVP(終値!AF233:AY233)/AVERAGE(終値!AF233:AY233),""))</f>
        <v>9.5976412716340484E-2</v>
      </c>
      <c r="AD233" s="503">
        <f>IF(終値!A233="","",IFERROR(4*STDEVP(終値!AG233:AZ233)/AVERAGE(終値!AG233:AZ233),""))</f>
        <v>0.10609257160693719</v>
      </c>
      <c r="AE233" s="503">
        <f>IF(終値!A233="","",IFERROR(4*STDEVP(終値!AH233:BA233)/AVERAGE(終値!AH233:BA233),""))</f>
        <v>0.11964519274708324</v>
      </c>
      <c r="AF233" s="503">
        <f>IF(終値!A233="","",IFERROR(4*STDEVP(終値!AI233:BB233)/AVERAGE(終値!AI233:BB233),""))</f>
        <v>0.14586771498917864</v>
      </c>
      <c r="AG233" s="503">
        <f>IF(終値!A233="","",IFERROR(4*STDEVP(終値!AJ233:BC233)/AVERAGE(終値!AJ233:BC233),""))</f>
        <v>0.18634003046811476</v>
      </c>
      <c r="AH233" s="503">
        <f>IF(終値!A233="","",IFERROR(4*STDEVP(終値!AK233:BD233)/AVERAGE(終値!AK233:BD233),""))</f>
        <v>0.22562546477462733</v>
      </c>
      <c r="AI233" s="503">
        <f>IF(終値!A233="","",IFERROR(4*STDEVP(終値!AL233:BE233)/AVERAGE(終値!AL233:BE233),""))</f>
        <v>0.25445351159557245</v>
      </c>
      <c r="AJ233" s="503">
        <f>IF(終値!A233="","",IFERROR(4*STDEVP(終値!AM233:BF233)/AVERAGE(終値!AM233:BF233),""))</f>
        <v>0.27035152454219968</v>
      </c>
      <c r="AK233" s="503">
        <f>IF(終値!A233="","",IFERROR(4*STDEVP(終値!AN233:BG233)/AVERAGE(終値!AN233:BG233),""))</f>
        <v>0.27565706491866016</v>
      </c>
      <c r="AL233" s="503">
        <f>IF(終値!A233="","",IFERROR(4*STDEVP(終値!AO233:BH233)/AVERAGE(終値!AO233:BH233),""))</f>
        <v>0.26707966638865999</v>
      </c>
      <c r="AM233" s="503">
        <f>IF(終値!A233="","",IFERROR(4*STDEVP(終値!AP233:BI233)/AVERAGE(終値!AP233:BI233),""))</f>
        <v>0.26395424490091268</v>
      </c>
      <c r="AN233" s="503">
        <f>IF(終値!A233="","",IFERROR(4*STDEVP(終値!AQ233:BJ233)/AVERAGE(終値!AQ233:BJ233),""))</f>
        <v>0.26075285669945203</v>
      </c>
      <c r="AO233" s="503">
        <f>IF(終値!A233="","",IFERROR(4*STDEVP(終値!AR233:BK233)/AVERAGE(終値!AR233:BK233),""))</f>
        <v>0.25820935016420893</v>
      </c>
      <c r="AP233" s="503">
        <f>IF(終値!A233="","",IFERROR(4*STDEVP(終値!AS233:BL233)/AVERAGE(終値!AS233:BL233),""))</f>
        <v>0.25500127095837061</v>
      </c>
    </row>
    <row r="234" spans="1:42">
      <c r="A234" s="500" t="str">
        <f>IF(終値!A234="","",終値!A234)</f>
        <v>6762</v>
      </c>
      <c r="B234" s="503">
        <f>IF(終値!A234="","",IFERROR(4*STDEVP(終値!E234:X234)/AVERAGE(終値!E234:X234),""))</f>
        <v>0.213057873833707</v>
      </c>
      <c r="C234" s="503">
        <f>IF(終値!A234="","",IFERROR(4*STDEVP(終値!F234:Y234)/AVERAGE(終値!F234:Y234),""))</f>
        <v>0.22287040177528614</v>
      </c>
      <c r="D234" s="503">
        <f>IF(終値!A234="","",IFERROR(4*STDEVP(終値!G234:Z234)/AVERAGE(終値!G234:Z234),""))</f>
        <v>0.24699585494306731</v>
      </c>
      <c r="E234" s="503">
        <f>IF(終値!A234="","",IFERROR(4*STDEVP(終値!H234:AA234)/AVERAGE(終値!H234:AA234),""))</f>
        <v>0.28954301865464016</v>
      </c>
      <c r="F234" s="503">
        <f>IF(終値!A234="","",IFERROR(4*STDEVP(終値!I234:AB234)/AVERAGE(終値!I234:AB234),""))</f>
        <v>0.31691284718770718</v>
      </c>
      <c r="G234" s="503">
        <f>IF(終値!A234="","",IFERROR(4*STDEVP(終値!J234:AC234)/AVERAGE(終値!J234:AC234),""))</f>
        <v>0.33785786655894634</v>
      </c>
      <c r="H234" s="503">
        <f>IF(終値!A234="","",IFERROR(4*STDEVP(終値!K234:AD234)/AVERAGE(終値!K234:AD234),""))</f>
        <v>0.32513513859997317</v>
      </c>
      <c r="I234" s="503">
        <f>IF(終値!A234="","",IFERROR(4*STDEVP(終値!L234:AE234)/AVERAGE(終値!L234:AE234),""))</f>
        <v>0.29847392347767154</v>
      </c>
      <c r="J234" s="503">
        <f>IF(終値!A234="","",IFERROR(4*STDEVP(終値!M234:AF234)/AVERAGE(終値!M234:AF234),""))</f>
        <v>0.28470060066229325</v>
      </c>
      <c r="K234" s="503">
        <f>IF(終値!A234="","",IFERROR(4*STDEVP(終値!N234:AG234)/AVERAGE(終値!N234:AG234),""))</f>
        <v>0.30293523393776056</v>
      </c>
      <c r="L234" s="503">
        <f>IF(終値!A234="","",IFERROR(4*STDEVP(終値!O234:AH234)/AVERAGE(終値!O234:AH234),""))</f>
        <v>0.30277804712569945</v>
      </c>
      <c r="M234" s="503">
        <f>IF(終値!A234="","",IFERROR(4*STDEVP(終値!P234:AI234)/AVERAGE(終値!P234:AI234),""))</f>
        <v>0.31517644801381278</v>
      </c>
      <c r="N234" s="503">
        <f>IF(終値!A234="","",IFERROR(4*STDEVP(終値!Q234:AJ234)/AVERAGE(終値!Q234:AJ234),""))</f>
        <v>0.33025971810159843</v>
      </c>
      <c r="O234" s="503">
        <f>IF(終値!A234="","",IFERROR(4*STDEVP(終値!R234:AK234)/AVERAGE(終値!R234:AK234),""))</f>
        <v>0.32000317045374171</v>
      </c>
      <c r="P234" s="503">
        <f>IF(終値!A234="","",IFERROR(4*STDEVP(終値!S234:AL234)/AVERAGE(終値!S234:AL234),""))</f>
        <v>0.28665451555912885</v>
      </c>
      <c r="Q234" s="503">
        <f>IF(終値!A234="","",IFERROR(4*STDEVP(終値!T234:AM234)/AVERAGE(終値!T234:AM234),""))</f>
        <v>0.27523643202545284</v>
      </c>
      <c r="R234" s="503">
        <f>IF(終値!A234="","",IFERROR(4*STDEVP(終値!U234:AN234)/AVERAGE(終値!U234:AN234),""))</f>
        <v>0.25763738976896844</v>
      </c>
      <c r="S234" s="503">
        <f>IF(終値!A234="","",IFERROR(4*STDEVP(終値!V234:AO234)/AVERAGE(終値!V234:AO234),""))</f>
        <v>0.23568302577412695</v>
      </c>
      <c r="T234" s="503">
        <f>IF(終値!A234="","",IFERROR(4*STDEVP(終値!W234:AP234)/AVERAGE(終値!W234:AP234),""))</f>
        <v>0.22821125979168902</v>
      </c>
      <c r="U234" s="503">
        <f>IF(終値!A234="","",IFERROR(4*STDEVP(終値!X234:AQ234)/AVERAGE(終値!X234:AQ234),""))</f>
        <v>0.21701683258242524</v>
      </c>
      <c r="V234" s="503">
        <f>IF(終値!A234="","",IFERROR(4*STDEVP(終値!Y234:AR234)/AVERAGE(終値!Y234:AR234),""))</f>
        <v>0.19259033663202016</v>
      </c>
      <c r="W234" s="503">
        <f>IF(終値!A234="","",IFERROR(4*STDEVP(終値!Z234:AS234)/AVERAGE(終値!Z234:AS234),""))</f>
        <v>0.16982646093630915</v>
      </c>
      <c r="X234" s="503">
        <f>IF(終値!A234="","",IFERROR(4*STDEVP(終値!AA234:AT234)/AVERAGE(終値!AA234:AT234),""))</f>
        <v>0.17898762872879992</v>
      </c>
      <c r="Y234" s="503">
        <f>IF(終値!A234="","",IFERROR(4*STDEVP(終値!AB234:AU234)/AVERAGE(終値!AB234:AU234),""))</f>
        <v>0.18230599197427488</v>
      </c>
      <c r="Z234" s="503">
        <f>IF(終値!A234="","",IFERROR(4*STDEVP(終値!AC234:AV234)/AVERAGE(終値!AC234:AV234),""))</f>
        <v>0.18312869683727145</v>
      </c>
      <c r="AA234" s="503">
        <f>IF(終値!A234="","",IFERROR(4*STDEVP(終値!AD234:AW234)/AVERAGE(終値!AD234:AW234),""))</f>
        <v>0.18167165948824965</v>
      </c>
      <c r="AB234" s="503">
        <f>IF(終値!A234="","",IFERROR(4*STDEVP(終値!AE234:AX234)/AVERAGE(終値!AE234:AX234),""))</f>
        <v>0.18410751152729743</v>
      </c>
      <c r="AC234" s="503">
        <f>IF(終値!A234="","",IFERROR(4*STDEVP(終値!AF234:AY234)/AVERAGE(終値!AF234:AY234),""))</f>
        <v>0.17502189771192866</v>
      </c>
      <c r="AD234" s="503">
        <f>IF(終値!A234="","",IFERROR(4*STDEVP(終値!AG234:AZ234)/AVERAGE(終値!AG234:AZ234),""))</f>
        <v>0.17238258713563751</v>
      </c>
      <c r="AE234" s="503">
        <f>IF(終値!A234="","",IFERROR(4*STDEVP(終値!AH234:BA234)/AVERAGE(終値!AH234:BA234),""))</f>
        <v>0.17432399531040094</v>
      </c>
      <c r="AF234" s="503">
        <f>IF(終値!A234="","",IFERROR(4*STDEVP(終値!AI234:BB234)/AVERAGE(終値!AI234:BB234),""))</f>
        <v>0.20476549155670409</v>
      </c>
      <c r="AG234" s="503">
        <f>IF(終値!A234="","",IFERROR(4*STDEVP(終値!AJ234:BC234)/AVERAGE(終値!AJ234:BC234),""))</f>
        <v>0.25525307483959053</v>
      </c>
      <c r="AH234" s="503">
        <f>IF(終値!A234="","",IFERROR(4*STDEVP(終値!AK234:BD234)/AVERAGE(終値!AK234:BD234),""))</f>
        <v>0.31318885882735015</v>
      </c>
      <c r="AI234" s="503">
        <f>IF(終値!A234="","",IFERROR(4*STDEVP(終値!AL234:BE234)/AVERAGE(終値!AL234:BE234),""))</f>
        <v>0.35672773571038574</v>
      </c>
      <c r="AJ234" s="503">
        <f>IF(終値!A234="","",IFERROR(4*STDEVP(終値!AM234:BF234)/AVERAGE(終値!AM234:BF234),""))</f>
        <v>0.39347892578398241</v>
      </c>
      <c r="AK234" s="503">
        <f>IF(終値!A234="","",IFERROR(4*STDEVP(終値!AN234:BG234)/AVERAGE(終値!AN234:BG234),""))</f>
        <v>0.42234498891749794</v>
      </c>
      <c r="AL234" s="503">
        <f>IF(終値!A234="","",IFERROR(4*STDEVP(終値!AO234:BH234)/AVERAGE(終値!AO234:BH234),""))</f>
        <v>0.44020442185957726</v>
      </c>
      <c r="AM234" s="503">
        <f>IF(終値!A234="","",IFERROR(4*STDEVP(終値!AP234:BI234)/AVERAGE(終値!AP234:BI234),""))</f>
        <v>0.4619514952663003</v>
      </c>
      <c r="AN234" s="503">
        <f>IF(終値!A234="","",IFERROR(4*STDEVP(終値!AQ234:BJ234)/AVERAGE(終値!AQ234:BJ234),""))</f>
        <v>0.48451384842104006</v>
      </c>
      <c r="AO234" s="503">
        <f>IF(終値!A234="","",IFERROR(4*STDEVP(終値!AR234:BK234)/AVERAGE(終値!AR234:BK234),""))</f>
        <v>0.50627316147296197</v>
      </c>
      <c r="AP234" s="503">
        <f>IF(終値!A234="","",IFERROR(4*STDEVP(終値!AS234:BL234)/AVERAGE(終値!AS234:BL234),""))</f>
        <v>0.52472811642761719</v>
      </c>
    </row>
    <row r="235" spans="1:42">
      <c r="A235" s="500" t="str">
        <f>IF(終値!A235="","",終値!A235)</f>
        <v>4392</v>
      </c>
      <c r="B235" s="503">
        <f>IF(終値!A235="","",IFERROR(4*STDEVP(終値!E235:X235)/AVERAGE(終値!E235:X235),""))</f>
        <v>0.39663330698791494</v>
      </c>
      <c r="C235" s="503">
        <f>IF(終値!A235="","",IFERROR(4*STDEVP(終値!F235:Y235)/AVERAGE(終値!F235:Y235),""))</f>
        <v>0.40247036922338453</v>
      </c>
      <c r="D235" s="503">
        <f>IF(終値!A235="","",IFERROR(4*STDEVP(終値!G235:Z235)/AVERAGE(終値!G235:Z235),""))</f>
        <v>0.41343895355578897</v>
      </c>
      <c r="E235" s="503">
        <f>IF(終値!A235="","",IFERROR(4*STDEVP(終値!H235:AA235)/AVERAGE(終値!H235:AA235),""))</f>
        <v>0.41358498572045094</v>
      </c>
      <c r="F235" s="503">
        <f>IF(終値!A235="","",IFERROR(4*STDEVP(終値!I235:AB235)/AVERAGE(終値!I235:AB235),""))</f>
        <v>0.38200287617910722</v>
      </c>
      <c r="G235" s="503">
        <f>IF(終値!A235="","",IFERROR(4*STDEVP(終値!J235:AC235)/AVERAGE(終値!J235:AC235),""))</f>
        <v>0.35551923270023478</v>
      </c>
      <c r="H235" s="503">
        <f>IF(終値!A235="","",IFERROR(4*STDEVP(終値!K235:AD235)/AVERAGE(終値!K235:AD235),""))</f>
        <v>0.29647744946293292</v>
      </c>
      <c r="I235" s="503">
        <f>IF(終値!A235="","",IFERROR(4*STDEVP(終値!L235:AE235)/AVERAGE(終値!L235:AE235),""))</f>
        <v>0.23271225232472018</v>
      </c>
      <c r="J235" s="503">
        <f>IF(終値!A235="","",IFERROR(4*STDEVP(終値!M235:AF235)/AVERAGE(終値!M235:AF235),""))</f>
        <v>0.17450162108010317</v>
      </c>
      <c r="K235" s="503">
        <f>IF(終値!A235="","",IFERROR(4*STDEVP(終値!N235:AG235)/AVERAGE(終値!N235:AG235),""))</f>
        <v>0.14309661803550985</v>
      </c>
      <c r="L235" s="503">
        <f>IF(終値!A235="","",IFERROR(4*STDEVP(終値!O235:AH235)/AVERAGE(終値!O235:AH235),""))</f>
        <v>0.15141279447974543</v>
      </c>
      <c r="M235" s="503">
        <f>IF(終値!A235="","",IFERROR(4*STDEVP(終値!P235:AI235)/AVERAGE(終値!P235:AI235),""))</f>
        <v>0.15027647478759198</v>
      </c>
      <c r="N235" s="503">
        <f>IF(終値!A235="","",IFERROR(4*STDEVP(終値!Q235:AJ235)/AVERAGE(終値!Q235:AJ235),""))</f>
        <v>0.16190532867712715</v>
      </c>
      <c r="O235" s="503">
        <f>IF(終値!A235="","",IFERROR(4*STDEVP(終値!R235:AK235)/AVERAGE(終値!R235:AK235),""))</f>
        <v>0.15937687282428198</v>
      </c>
      <c r="P235" s="503">
        <f>IF(終値!A235="","",IFERROR(4*STDEVP(終値!S235:AL235)/AVERAGE(終値!S235:AL235),""))</f>
        <v>0.19733631057527468</v>
      </c>
      <c r="Q235" s="503">
        <f>IF(終値!A235="","",IFERROR(4*STDEVP(終値!T235:AM235)/AVERAGE(終値!T235:AM235),""))</f>
        <v>0.22422853842064633</v>
      </c>
      <c r="R235" s="503">
        <f>IF(終値!A235="","",IFERROR(4*STDEVP(終値!U235:AN235)/AVERAGE(終値!U235:AN235),""))</f>
        <v>0.22189729510349976</v>
      </c>
      <c r="S235" s="503">
        <f>IF(終値!A235="","",IFERROR(4*STDEVP(終値!V235:AO235)/AVERAGE(終値!V235:AO235),""))</f>
        <v>0.24178446526141542</v>
      </c>
      <c r="T235" s="503">
        <f>IF(終値!A235="","",IFERROR(4*STDEVP(終値!W235:AP235)/AVERAGE(終値!W235:AP235),""))</f>
        <v>0.27090057043460369</v>
      </c>
      <c r="U235" s="503">
        <f>IF(終値!A235="","",IFERROR(4*STDEVP(終値!X235:AQ235)/AVERAGE(終値!X235:AQ235),""))</f>
        <v>0.30896525300707967</v>
      </c>
      <c r="V235" s="503">
        <f>IF(終値!A235="","",IFERROR(4*STDEVP(終値!Y235:AR235)/AVERAGE(終値!Y235:AR235),""))</f>
        <v>0.40938292943808807</v>
      </c>
      <c r="W235" s="503">
        <f>IF(終値!A235="","",IFERROR(4*STDEVP(終値!Z235:AS235)/AVERAGE(終値!Z235:AS235),""))</f>
        <v>0.47298071208199527</v>
      </c>
      <c r="X235" s="503">
        <f>IF(終値!A235="","",IFERROR(4*STDEVP(終値!AA235:AT235)/AVERAGE(終値!AA235:AT235),""))</f>
        <v>0.46987393829544172</v>
      </c>
      <c r="Y235" s="503">
        <f>IF(終値!A235="","",IFERROR(4*STDEVP(終値!AB235:AU235)/AVERAGE(終値!AB235:AU235),""))</f>
        <v>0.46892282689487436</v>
      </c>
      <c r="Z235" s="503">
        <f>IF(終値!A235="","",IFERROR(4*STDEVP(終値!AC235:AV235)/AVERAGE(終値!AC235:AV235),""))</f>
        <v>0.51090659787532056</v>
      </c>
      <c r="AA235" s="503">
        <f>IF(終値!A235="","",IFERROR(4*STDEVP(終値!AD235:AW235)/AVERAGE(終値!AD235:AW235),""))</f>
        <v>0.55368844017770513</v>
      </c>
      <c r="AB235" s="503">
        <f>IF(終値!A235="","",IFERROR(4*STDEVP(終値!AE235:AX235)/AVERAGE(終値!AE235:AX235),""))</f>
        <v>0.60189693245362963</v>
      </c>
      <c r="AC235" s="503">
        <f>IF(終値!A235="","",IFERROR(4*STDEVP(終値!AF235:AY235)/AVERAGE(終値!AF235:AY235),""))</f>
        <v>0.70294181793587207</v>
      </c>
      <c r="AD235" s="503">
        <f>IF(終値!A235="","",IFERROR(4*STDEVP(終値!AG235:AZ235)/AVERAGE(終値!AG235:AZ235),""))</f>
        <v>0.82349795396346848</v>
      </c>
      <c r="AE235" s="503">
        <f>IF(終値!A235="","",IFERROR(4*STDEVP(終値!AH235:BA235)/AVERAGE(終値!AH235:BA235),""))</f>
        <v>0.88044788932366802</v>
      </c>
      <c r="AF235" s="503">
        <f>IF(終値!A235="","",IFERROR(4*STDEVP(終値!AI235:BB235)/AVERAGE(終値!AI235:BB235),""))</f>
        <v>0.85850240945613743</v>
      </c>
      <c r="AG235" s="503">
        <f>IF(終値!A235="","",IFERROR(4*STDEVP(終値!AJ235:BC235)/AVERAGE(終値!AJ235:BC235),""))</f>
        <v>0.83530631557560198</v>
      </c>
      <c r="AH235" s="503">
        <f>IF(終値!A235="","",IFERROR(4*STDEVP(終値!AK235:BD235)/AVERAGE(終値!AK235:BD235),""))</f>
        <v>0.79619464847331234</v>
      </c>
      <c r="AI235" s="503">
        <f>IF(終値!A235="","",IFERROR(4*STDEVP(終値!AL235:BE235)/AVERAGE(終値!AL235:BE235),""))</f>
        <v>0.76061894416751386</v>
      </c>
      <c r="AJ235" s="503">
        <f>IF(終値!A235="","",IFERROR(4*STDEVP(終値!AM235:BF235)/AVERAGE(終値!AM235:BF235),""))</f>
        <v>0.80373898332579263</v>
      </c>
      <c r="AK235" s="503">
        <f>IF(終値!A235="","",IFERROR(4*STDEVP(終値!AN235:BG235)/AVERAGE(終値!AN235:BG235),""))</f>
        <v>0.88065483320548088</v>
      </c>
      <c r="AL235" s="503">
        <f>IF(終値!A235="","",IFERROR(4*STDEVP(終値!AO235:BH235)/AVERAGE(終値!AO235:BH235),""))</f>
        <v>0.9904992837002401</v>
      </c>
      <c r="AM235" s="503">
        <f>IF(終値!A235="","",IFERROR(4*STDEVP(終値!AP235:BI235)/AVERAGE(終値!AP235:BI235),""))</f>
        <v>1.1064157548013107</v>
      </c>
      <c r="AN235" s="503">
        <f>IF(終値!A235="","",IFERROR(4*STDEVP(終値!AQ235:BJ235)/AVERAGE(終値!AQ235:BJ235),""))</f>
        <v>1.1831908480857096</v>
      </c>
      <c r="AO235" s="503">
        <f>IF(終値!A235="","",IFERROR(4*STDEVP(終値!AR235:BK235)/AVERAGE(終値!AR235:BK235),""))</f>
        <v>1.357245712781771</v>
      </c>
      <c r="AP235" s="503">
        <f>IF(終値!A235="","",IFERROR(4*STDEVP(終値!AS235:BL235)/AVERAGE(終値!AS235:BL235),""))</f>
        <v>1.5472679682238895</v>
      </c>
    </row>
    <row r="236" spans="1:42">
      <c r="A236" s="500" t="str">
        <f>IF(終値!A236="","",終値!A236)</f>
        <v>8005</v>
      </c>
      <c r="B236" s="503">
        <f>IF(終値!A236="","",IFERROR(4*STDEVP(終値!E236:X236)/AVERAGE(終値!E236:X236),""))</f>
        <v>9.5937534516355866E-2</v>
      </c>
      <c r="C236" s="503">
        <f>IF(終値!A236="","",IFERROR(4*STDEVP(終値!F236:Y236)/AVERAGE(終値!F236:Y236),""))</f>
        <v>8.045564093684518E-2</v>
      </c>
      <c r="D236" s="503">
        <f>IF(終値!A236="","",IFERROR(4*STDEVP(終値!G236:Z236)/AVERAGE(終値!G236:Z236),""))</f>
        <v>7.0570362407440551E-2</v>
      </c>
      <c r="E236" s="503">
        <f>IF(終値!A236="","",IFERROR(4*STDEVP(終値!H236:AA236)/AVERAGE(終値!H236:AA236),""))</f>
        <v>6.1926933896307088E-2</v>
      </c>
      <c r="F236" s="503">
        <f>IF(終値!A236="","",IFERROR(4*STDEVP(終値!I236:AB236)/AVERAGE(終値!I236:AB236),""))</f>
        <v>5.127812918975902E-2</v>
      </c>
      <c r="G236" s="503">
        <f>IF(終値!A236="","",IFERROR(4*STDEVP(終値!J236:AC236)/AVERAGE(終値!J236:AC236),""))</f>
        <v>7.0210593994575174E-2</v>
      </c>
      <c r="H236" s="503">
        <f>IF(終値!A236="","",IFERROR(4*STDEVP(終値!K236:AD236)/AVERAGE(終値!K236:AD236),""))</f>
        <v>8.0732631679174549E-2</v>
      </c>
      <c r="I236" s="503">
        <f>IF(終値!A236="","",IFERROR(4*STDEVP(終値!L236:AE236)/AVERAGE(終値!L236:AE236),""))</f>
        <v>8.628444075467033E-2</v>
      </c>
      <c r="J236" s="503">
        <f>IF(終値!A236="","",IFERROR(4*STDEVP(終値!M236:AF236)/AVERAGE(終値!M236:AF236),""))</f>
        <v>9.2697074209214261E-2</v>
      </c>
      <c r="K236" s="503">
        <f>IF(終値!A236="","",IFERROR(4*STDEVP(終値!N236:AG236)/AVERAGE(終値!N236:AG236),""))</f>
        <v>9.5883714921087451E-2</v>
      </c>
      <c r="L236" s="503">
        <f>IF(終値!A236="","",IFERROR(4*STDEVP(終値!O236:AH236)/AVERAGE(終値!O236:AH236),""))</f>
        <v>0.10184691407235537</v>
      </c>
      <c r="M236" s="503">
        <f>IF(終値!A236="","",IFERROR(4*STDEVP(終値!P236:AI236)/AVERAGE(終値!P236:AI236),""))</f>
        <v>0.10400147377917814</v>
      </c>
      <c r="N236" s="503">
        <f>IF(終値!A236="","",IFERROR(4*STDEVP(終値!Q236:AJ236)/AVERAGE(終値!Q236:AJ236),""))</f>
        <v>0.10408789579225071</v>
      </c>
      <c r="O236" s="503">
        <f>IF(終値!A236="","",IFERROR(4*STDEVP(終値!R236:AK236)/AVERAGE(終値!R236:AK236),""))</f>
        <v>0.10094199810415184</v>
      </c>
      <c r="P236" s="503">
        <f>IF(終値!A236="","",IFERROR(4*STDEVP(終値!S236:AL236)/AVERAGE(終値!S236:AL236),""))</f>
        <v>9.9311083633125019E-2</v>
      </c>
      <c r="Q236" s="503">
        <f>IF(終値!A236="","",IFERROR(4*STDEVP(終値!T236:AM236)/AVERAGE(終値!T236:AM236),""))</f>
        <v>9.2456310560893762E-2</v>
      </c>
      <c r="R236" s="503">
        <f>IF(終値!A236="","",IFERROR(4*STDEVP(終値!U236:AN236)/AVERAGE(終値!U236:AN236),""))</f>
        <v>8.8415788483813831E-2</v>
      </c>
      <c r="S236" s="503">
        <f>IF(終値!A236="","",IFERROR(4*STDEVP(終値!V236:AO236)/AVERAGE(終値!V236:AO236),""))</f>
        <v>8.3300491854018513E-2</v>
      </c>
      <c r="T236" s="503">
        <f>IF(終値!A236="","",IFERROR(4*STDEVP(終値!W236:AP236)/AVERAGE(終値!W236:AP236),""))</f>
        <v>7.9466694381935682E-2</v>
      </c>
      <c r="U236" s="503">
        <f>IF(終値!A236="","",IFERROR(4*STDEVP(終値!X236:AQ236)/AVERAGE(終値!X236:AQ236),""))</f>
        <v>7.3933733991204606E-2</v>
      </c>
      <c r="V236" s="503">
        <f>IF(終値!A236="","",IFERROR(4*STDEVP(終値!Y236:AR236)/AVERAGE(終値!Y236:AR236),""))</f>
        <v>6.1562190204600395E-2</v>
      </c>
      <c r="W236" s="503">
        <f>IF(終値!A236="","",IFERROR(4*STDEVP(終値!Z236:AS236)/AVERAGE(終値!Z236:AS236),""))</f>
        <v>4.955892009754178E-2</v>
      </c>
      <c r="X236" s="503">
        <f>IF(終値!A236="","",IFERROR(4*STDEVP(終値!AA236:AT236)/AVERAGE(終値!AA236:AT236),""))</f>
        <v>3.1964008165329766E-2</v>
      </c>
      <c r="Y236" s="503">
        <f>IF(終値!A236="","",IFERROR(4*STDEVP(終値!AB236:AU236)/AVERAGE(終値!AB236:AU236),""))</f>
        <v>2.609670557953829E-2</v>
      </c>
      <c r="Z236" s="503">
        <f>IF(終値!A236="","",IFERROR(4*STDEVP(終値!AC236:AV236)/AVERAGE(終値!AC236:AV236),""))</f>
        <v>2.5826493915329436E-2</v>
      </c>
      <c r="AA236" s="503">
        <f>IF(終値!A236="","",IFERROR(4*STDEVP(終値!AD236:AW236)/AVERAGE(終値!AD236:AW236),""))</f>
        <v>2.4694240459500312E-2</v>
      </c>
      <c r="AB236" s="503">
        <f>IF(終値!A236="","",IFERROR(4*STDEVP(終値!AE236:AX236)/AVERAGE(終値!AE236:AX236),""))</f>
        <v>2.5866864173594309E-2</v>
      </c>
      <c r="AC236" s="503">
        <f>IF(終値!A236="","",IFERROR(4*STDEVP(終値!AF236:AY236)/AVERAGE(終値!AF236:AY236),""))</f>
        <v>2.6090879049897129E-2</v>
      </c>
      <c r="AD236" s="503">
        <f>IF(終値!A236="","",IFERROR(4*STDEVP(終値!AG236:AZ236)/AVERAGE(終値!AG236:AZ236),""))</f>
        <v>2.6231659254147235E-2</v>
      </c>
      <c r="AE236" s="503">
        <f>IF(終値!A236="","",IFERROR(4*STDEVP(終値!AH236:BA236)/AVERAGE(終値!AH236:BA236),""))</f>
        <v>2.6231659254147235E-2</v>
      </c>
      <c r="AF236" s="503">
        <f>IF(終値!A236="","",IFERROR(4*STDEVP(終値!AI236:BB236)/AVERAGE(終値!AI236:BB236),""))</f>
        <v>2.5791490698734716E-2</v>
      </c>
      <c r="AG236" s="503">
        <f>IF(終値!A236="","",IFERROR(4*STDEVP(終値!AJ236:BC236)/AVERAGE(終値!AJ236:BC236),""))</f>
        <v>2.5953210831233434E-2</v>
      </c>
      <c r="AH236" s="503">
        <f>IF(終値!A236="","",IFERROR(4*STDEVP(終値!AK236:BD236)/AVERAGE(終値!AK236:BD236),""))</f>
        <v>2.8265579054556716E-2</v>
      </c>
      <c r="AI236" s="503">
        <f>IF(終値!A236="","",IFERROR(4*STDEVP(終値!AL236:BE236)/AVERAGE(終値!AL236:BE236),""))</f>
        <v>3.786723649628055E-2</v>
      </c>
      <c r="AJ236" s="503">
        <f>IF(終値!A236="","",IFERROR(4*STDEVP(終値!AM236:BF236)/AVERAGE(終値!AM236:BF236),""))</f>
        <v>3.7148049516335754E-2</v>
      </c>
      <c r="AK236" s="503">
        <f>IF(終値!A236="","",IFERROR(4*STDEVP(終値!AN236:BG236)/AVERAGE(終値!AN236:BG236),""))</f>
        <v>3.8271649737690885E-2</v>
      </c>
      <c r="AL236" s="503">
        <f>IF(終値!A236="","",IFERROR(4*STDEVP(終値!AO236:BH236)/AVERAGE(終値!AO236:BH236),""))</f>
        <v>3.8597031161088098E-2</v>
      </c>
      <c r="AM236" s="503">
        <f>IF(終値!A236="","",IFERROR(4*STDEVP(終値!AP236:BI236)/AVERAGE(終値!AP236:BI236),""))</f>
        <v>3.7593847738799591E-2</v>
      </c>
      <c r="AN236" s="503">
        <f>IF(終値!A236="","",IFERROR(4*STDEVP(終値!AQ236:BJ236)/AVERAGE(終値!AQ236:BJ236),""))</f>
        <v>3.6971624315870089E-2</v>
      </c>
      <c r="AO236" s="503">
        <f>IF(終値!A236="","",IFERROR(4*STDEVP(終値!AR236:BK236)/AVERAGE(終値!AR236:BK236),""))</f>
        <v>5.1213781741269233E-2</v>
      </c>
      <c r="AP236" s="503">
        <f>IF(終値!A236="","",IFERROR(4*STDEVP(終値!AS236:BL236)/AVERAGE(終値!AS236:BL236),""))</f>
        <v>5.6086370307675736E-2</v>
      </c>
    </row>
    <row r="237" spans="1:42">
      <c r="A237" s="500" t="str">
        <f>IF(終値!A237="","",終値!A237)</f>
        <v>2326</v>
      </c>
      <c r="B237" s="503">
        <f>IF(終値!A237="","",IFERROR(4*STDEVP(終値!E237:X237)/AVERAGE(終値!E237:X237),""))</f>
        <v>0.14883142313027109</v>
      </c>
      <c r="C237" s="503">
        <f>IF(終値!A237="","",IFERROR(4*STDEVP(終値!F237:Y237)/AVERAGE(終値!F237:Y237),""))</f>
        <v>0.11705827759119641</v>
      </c>
      <c r="D237" s="503">
        <f>IF(終値!A237="","",IFERROR(4*STDEVP(終値!G237:Z237)/AVERAGE(終値!G237:Z237),""))</f>
        <v>0.10711268782147144</v>
      </c>
      <c r="E237" s="503">
        <f>IF(終値!A237="","",IFERROR(4*STDEVP(終値!H237:AA237)/AVERAGE(終値!H237:AA237),""))</f>
        <v>9.2746625572690922E-2</v>
      </c>
      <c r="F237" s="503">
        <f>IF(終値!A237="","",IFERROR(4*STDEVP(終値!I237:AB237)/AVERAGE(終値!I237:AB237),""))</f>
        <v>9.7715576245852184E-2</v>
      </c>
      <c r="G237" s="503">
        <f>IF(終値!A237="","",IFERROR(4*STDEVP(終値!J237:AC237)/AVERAGE(終値!J237:AC237),""))</f>
        <v>0.12056050559221677</v>
      </c>
      <c r="H237" s="503">
        <f>IF(終値!A237="","",IFERROR(4*STDEVP(終値!K237:AD237)/AVERAGE(終値!K237:AD237),""))</f>
        <v>0.12968710026285393</v>
      </c>
      <c r="I237" s="503">
        <f>IF(終値!A237="","",IFERROR(4*STDEVP(終値!L237:AE237)/AVERAGE(終値!L237:AE237),""))</f>
        <v>0.13144309332104911</v>
      </c>
      <c r="J237" s="503">
        <f>IF(終値!A237="","",IFERROR(4*STDEVP(終値!M237:AF237)/AVERAGE(終値!M237:AF237),""))</f>
        <v>0.14122081790592775</v>
      </c>
      <c r="K237" s="503">
        <f>IF(終値!A237="","",IFERROR(4*STDEVP(終値!N237:AG237)/AVERAGE(終値!N237:AG237),""))</f>
        <v>0.15545480020533281</v>
      </c>
      <c r="L237" s="503">
        <f>IF(終値!A237="","",IFERROR(4*STDEVP(終値!O237:AH237)/AVERAGE(終値!O237:AH237),""))</f>
        <v>0.17135055752588901</v>
      </c>
      <c r="M237" s="503">
        <f>IF(終値!A237="","",IFERROR(4*STDEVP(終値!P237:AI237)/AVERAGE(終値!P237:AI237),""))</f>
        <v>0.18261555935623836</v>
      </c>
      <c r="N237" s="503">
        <f>IF(終値!A237="","",IFERROR(4*STDEVP(終値!Q237:AJ237)/AVERAGE(終値!Q237:AJ237),""))</f>
        <v>0.18380711986934054</v>
      </c>
      <c r="O237" s="503">
        <f>IF(終値!A237="","",IFERROR(4*STDEVP(終値!R237:AK237)/AVERAGE(終値!R237:AK237),""))</f>
        <v>0.18416833234014821</v>
      </c>
      <c r="P237" s="503">
        <f>IF(終値!A237="","",IFERROR(4*STDEVP(終値!S237:AL237)/AVERAGE(終値!S237:AL237),""))</f>
        <v>0.1809066808028309</v>
      </c>
      <c r="Q237" s="503">
        <f>IF(終値!A237="","",IFERROR(4*STDEVP(終値!T237:AM237)/AVERAGE(終値!T237:AM237),""))</f>
        <v>0.1725019611988764</v>
      </c>
      <c r="R237" s="503">
        <f>IF(終値!A237="","",IFERROR(4*STDEVP(終値!U237:AN237)/AVERAGE(終値!U237:AN237),""))</f>
        <v>0.16524051658668129</v>
      </c>
      <c r="S237" s="503">
        <f>IF(終値!A237="","",IFERROR(4*STDEVP(終値!V237:AO237)/AVERAGE(終値!V237:AO237),""))</f>
        <v>0.1550092209894651</v>
      </c>
      <c r="T237" s="503">
        <f>IF(終値!A237="","",IFERROR(4*STDEVP(終値!W237:AP237)/AVERAGE(終値!W237:AP237),""))</f>
        <v>0.14462673498486184</v>
      </c>
      <c r="U237" s="503">
        <f>IF(終値!A237="","",IFERROR(4*STDEVP(終値!X237:AQ237)/AVERAGE(終値!X237:AQ237),""))</f>
        <v>0.13343079373690298</v>
      </c>
      <c r="V237" s="503">
        <f>IF(終値!A237="","",IFERROR(4*STDEVP(終値!Y237:AR237)/AVERAGE(終値!Y237:AR237),""))</f>
        <v>0.12199093949018686</v>
      </c>
      <c r="W237" s="503">
        <f>IF(終値!A237="","",IFERROR(4*STDEVP(終値!Z237:AS237)/AVERAGE(終値!Z237:AS237),""))</f>
        <v>0.10268083671218824</v>
      </c>
      <c r="X237" s="503">
        <f>IF(終値!A237="","",IFERROR(4*STDEVP(終値!AA237:AT237)/AVERAGE(終値!AA237:AT237),""))</f>
        <v>9.6301486408398251E-2</v>
      </c>
      <c r="Y237" s="503">
        <f>IF(終値!A237="","",IFERROR(4*STDEVP(終値!AB237:AU237)/AVERAGE(終値!AB237:AU237),""))</f>
        <v>8.3060756600899455E-2</v>
      </c>
      <c r="Z237" s="503">
        <f>IF(終値!A237="","",IFERROR(4*STDEVP(終値!AC237:AV237)/AVERAGE(終値!AC237:AV237),""))</f>
        <v>7.895019409273081E-2</v>
      </c>
      <c r="AA237" s="503">
        <f>IF(終値!A237="","",IFERROR(4*STDEVP(終値!AD237:AW237)/AVERAGE(終値!AD237:AW237),""))</f>
        <v>8.3370330343332327E-2</v>
      </c>
      <c r="AB237" s="503">
        <f>IF(終値!A237="","",IFERROR(4*STDEVP(終値!AE237:AX237)/AVERAGE(終値!AE237:AX237),""))</f>
        <v>0.11631368985861106</v>
      </c>
      <c r="AC237" s="503">
        <f>IF(終値!A237="","",IFERROR(4*STDEVP(終値!AF237:AY237)/AVERAGE(終値!AF237:AY237),""))</f>
        <v>0.14917533447881187</v>
      </c>
      <c r="AD237" s="503">
        <f>IF(終値!A237="","",IFERROR(4*STDEVP(終値!AG237:AZ237)/AVERAGE(終値!AG237:AZ237),""))</f>
        <v>0.18573593162199309</v>
      </c>
      <c r="AE237" s="503">
        <f>IF(終値!A237="","",IFERROR(4*STDEVP(終値!AH237:BA237)/AVERAGE(終値!AH237:BA237),""))</f>
        <v>0.20481420048218885</v>
      </c>
      <c r="AF237" s="503">
        <f>IF(終値!A237="","",IFERROR(4*STDEVP(終値!AI237:BB237)/AVERAGE(終値!AI237:BB237),""))</f>
        <v>0.22212532360971593</v>
      </c>
      <c r="AG237" s="503">
        <f>IF(終値!A237="","",IFERROR(4*STDEVP(終値!AJ237:BC237)/AVERAGE(終値!AJ237:BC237),""))</f>
        <v>0.22946925100776353</v>
      </c>
      <c r="AH237" s="503">
        <f>IF(終値!A237="","",IFERROR(4*STDEVP(終値!AK237:BD237)/AVERAGE(終値!AK237:BD237),""))</f>
        <v>0.23852568092021753</v>
      </c>
      <c r="AI237" s="503">
        <f>IF(終値!A237="","",IFERROR(4*STDEVP(終値!AL237:BE237)/AVERAGE(終値!AL237:BE237),""))</f>
        <v>0.2562479635197521</v>
      </c>
      <c r="AJ237" s="503">
        <f>IF(終値!A237="","",IFERROR(4*STDEVP(終値!AM237:BF237)/AVERAGE(終値!AM237:BF237),""))</f>
        <v>0.26353525132722405</v>
      </c>
      <c r="AK237" s="503">
        <f>IF(終値!A237="","",IFERROR(4*STDEVP(終値!AN237:BG237)/AVERAGE(終値!AN237:BG237),""))</f>
        <v>0.26541887385081053</v>
      </c>
      <c r="AL237" s="503">
        <f>IF(終値!A237="","",IFERROR(4*STDEVP(終値!AO237:BH237)/AVERAGE(終値!AO237:BH237),""))</f>
        <v>0.25354587624342484</v>
      </c>
      <c r="AM237" s="503">
        <f>IF(終値!A237="","",IFERROR(4*STDEVP(終値!AP237:BI237)/AVERAGE(終値!AP237:BI237),""))</f>
        <v>0.24330021910866609</v>
      </c>
      <c r="AN237" s="503">
        <f>IF(終値!A237="","",IFERROR(4*STDEVP(終値!AQ237:BJ237)/AVERAGE(終値!AQ237:BJ237),""))</f>
        <v>0.2246497672539936</v>
      </c>
      <c r="AO237" s="503">
        <f>IF(終値!A237="","",IFERROR(4*STDEVP(終値!AR237:BK237)/AVERAGE(終値!AR237:BK237),""))</f>
        <v>0.21285341968928667</v>
      </c>
      <c r="AP237" s="503">
        <f>IF(終値!A237="","",IFERROR(4*STDEVP(終値!AS237:BL237)/AVERAGE(終値!AS237:BL237),""))</f>
        <v>0.27227982194699812</v>
      </c>
    </row>
    <row r="238" spans="1:42">
      <c r="A238" s="500" t="str">
        <f>IF(終値!A238="","",終値!A238)</f>
        <v>6809</v>
      </c>
      <c r="B238" s="503">
        <f>IF(終値!A238="","",IFERROR(4*STDEVP(終値!E238:X238)/AVERAGE(終値!E238:X238),""))</f>
        <v>5.7054511670795088E-2</v>
      </c>
      <c r="C238" s="503">
        <f>IF(終値!A238="","",IFERROR(4*STDEVP(終値!F238:Y238)/AVERAGE(終値!F238:Y238),""))</f>
        <v>5.1118069202819902E-2</v>
      </c>
      <c r="D238" s="503">
        <f>IF(終値!A238="","",IFERROR(4*STDEVP(終値!G238:Z238)/AVERAGE(終値!G238:Z238),""))</f>
        <v>4.5765541268860267E-2</v>
      </c>
      <c r="E238" s="503">
        <f>IF(終値!A238="","",IFERROR(4*STDEVP(終値!H238:AA238)/AVERAGE(終値!H238:AA238),""))</f>
        <v>4.6500713101141018E-2</v>
      </c>
      <c r="F238" s="503">
        <f>IF(終値!A238="","",IFERROR(4*STDEVP(終値!I238:AB238)/AVERAGE(終値!I238:AB238),""))</f>
        <v>5.3912203071087163E-2</v>
      </c>
      <c r="G238" s="503">
        <f>IF(終値!A238="","",IFERROR(4*STDEVP(終値!J238:AC238)/AVERAGE(終値!J238:AC238),""))</f>
        <v>6.362201685163818E-2</v>
      </c>
      <c r="H238" s="503">
        <f>IF(終値!A238="","",IFERROR(4*STDEVP(終値!K238:AD238)/AVERAGE(終値!K238:AD238),""))</f>
        <v>6.7167516605732974E-2</v>
      </c>
      <c r="I238" s="503">
        <f>IF(終値!A238="","",IFERROR(4*STDEVP(終値!L238:AE238)/AVERAGE(終値!L238:AE238),""))</f>
        <v>6.6723321514740544E-2</v>
      </c>
      <c r="J238" s="503">
        <f>IF(終値!A238="","",IFERROR(4*STDEVP(終値!M238:AF238)/AVERAGE(終値!M238:AF238),""))</f>
        <v>6.5004875321584193E-2</v>
      </c>
      <c r="K238" s="503">
        <f>IF(終値!A238="","",IFERROR(4*STDEVP(終値!N238:AG238)/AVERAGE(終値!N238:AG238),""))</f>
        <v>6.2105259404601425E-2</v>
      </c>
      <c r="L238" s="503">
        <f>IF(終値!A238="","",IFERROR(4*STDEVP(終値!O238:AH238)/AVERAGE(終値!O238:AH238),""))</f>
        <v>6.521854087183096E-2</v>
      </c>
      <c r="M238" s="503">
        <f>IF(終値!A238="","",IFERROR(4*STDEVP(終値!P238:AI238)/AVERAGE(終値!P238:AI238),""))</f>
        <v>6.7036211726248268E-2</v>
      </c>
      <c r="N238" s="503">
        <f>IF(終値!A238="","",IFERROR(4*STDEVP(終値!Q238:AJ238)/AVERAGE(終値!Q238:AJ238),""))</f>
        <v>6.7973374925984667E-2</v>
      </c>
      <c r="O238" s="503">
        <f>IF(終値!A238="","",IFERROR(4*STDEVP(終値!R238:AK238)/AVERAGE(終値!R238:AK238),""))</f>
        <v>6.8289746837965598E-2</v>
      </c>
      <c r="P238" s="503">
        <f>IF(終値!A238="","",IFERROR(4*STDEVP(終値!S238:AL238)/AVERAGE(終値!S238:AL238),""))</f>
        <v>6.8127569980496475E-2</v>
      </c>
      <c r="Q238" s="503">
        <f>IF(終値!A238="","",IFERROR(4*STDEVP(終値!T238:AM238)/AVERAGE(終値!T238:AM238),""))</f>
        <v>6.792316397965685E-2</v>
      </c>
      <c r="R238" s="503">
        <f>IF(終値!A238="","",IFERROR(4*STDEVP(終値!U238:AN238)/AVERAGE(終値!U238:AN238),""))</f>
        <v>6.8256496290418828E-2</v>
      </c>
      <c r="S238" s="503">
        <f>IF(終値!A238="","",IFERROR(4*STDEVP(終値!V238:AO238)/AVERAGE(終値!V238:AO238),""))</f>
        <v>6.8574858683751294E-2</v>
      </c>
      <c r="T238" s="503">
        <f>IF(終値!A238="","",IFERROR(4*STDEVP(終値!W238:AP238)/AVERAGE(終値!W238:AP238),""))</f>
        <v>6.819886426144052E-2</v>
      </c>
      <c r="U238" s="503">
        <f>IF(終値!A238="","",IFERROR(4*STDEVP(終値!X238:AQ238)/AVERAGE(終値!X238:AQ238),""))</f>
        <v>6.7238084380855004E-2</v>
      </c>
      <c r="V238" s="503">
        <f>IF(終値!A238="","",IFERROR(4*STDEVP(終値!Y238:AR238)/AVERAGE(終値!Y238:AR238),""))</f>
        <v>5.9064408410965552E-2</v>
      </c>
      <c r="W238" s="503">
        <f>IF(終値!A238="","",IFERROR(4*STDEVP(終値!Z238:AS238)/AVERAGE(終値!Z238:AS238),""))</f>
        <v>4.5711346323667225E-2</v>
      </c>
      <c r="X238" s="503">
        <f>IF(終値!A238="","",IFERROR(4*STDEVP(終値!AA238:AT238)/AVERAGE(終値!AA238:AT238),""))</f>
        <v>3.1759100840334696E-2</v>
      </c>
      <c r="Y238" s="503">
        <f>IF(終値!A238="","",IFERROR(4*STDEVP(終値!AB238:AU238)/AVERAGE(終値!AB238:AU238),""))</f>
        <v>2.6980715739804748E-2</v>
      </c>
      <c r="Z238" s="503">
        <f>IF(終値!A238="","",IFERROR(4*STDEVP(終値!AC238:AV238)/AVERAGE(終値!AC238:AV238),""))</f>
        <v>2.9767843318228314E-2</v>
      </c>
      <c r="AA238" s="503">
        <f>IF(終値!A238="","",IFERROR(4*STDEVP(終値!AD238:AW238)/AVERAGE(終値!AD238:AW238),""))</f>
        <v>2.9315809897996703E-2</v>
      </c>
      <c r="AB238" s="503">
        <f>IF(終値!A238="","",IFERROR(4*STDEVP(終値!AE238:AX238)/AVERAGE(終値!AE238:AX238),""))</f>
        <v>2.9764869549490348E-2</v>
      </c>
      <c r="AC238" s="503">
        <f>IF(終値!A238="","",IFERROR(4*STDEVP(終値!AF238:AY238)/AVERAGE(終値!AF238:AY238),""))</f>
        <v>2.9936366168586557E-2</v>
      </c>
      <c r="AD238" s="503">
        <f>IF(終値!A238="","",IFERROR(4*STDEVP(終値!AG238:AZ238)/AVERAGE(終値!AG238:AZ238),""))</f>
        <v>2.9185534295803273E-2</v>
      </c>
      <c r="AE238" s="503">
        <f>IF(終値!A238="","",IFERROR(4*STDEVP(終値!AH238:BA238)/AVERAGE(終値!AH238:BA238),""))</f>
        <v>2.6047919346655075E-2</v>
      </c>
      <c r="AF238" s="503">
        <f>IF(終値!A238="","",IFERROR(4*STDEVP(終値!AI238:BB238)/AVERAGE(終値!AI238:BB238),""))</f>
        <v>2.6012105093972601E-2</v>
      </c>
      <c r="AG238" s="503">
        <f>IF(終値!A238="","",IFERROR(4*STDEVP(終値!AJ238:BC238)/AVERAGE(終値!AJ238:BC238),""))</f>
        <v>2.8640076460780015E-2</v>
      </c>
      <c r="AH238" s="503">
        <f>IF(終値!A238="","",IFERROR(4*STDEVP(終値!AK238:BD238)/AVERAGE(終値!AK238:BD238),""))</f>
        <v>3.3290778334439643E-2</v>
      </c>
      <c r="AI238" s="503">
        <f>IF(終値!A238="","",IFERROR(4*STDEVP(終値!AL238:BE238)/AVERAGE(終値!AL238:BE238),""))</f>
        <v>4.1780408295530966E-2</v>
      </c>
      <c r="AJ238" s="503">
        <f>IF(終値!A238="","",IFERROR(4*STDEVP(終値!AM238:BF238)/AVERAGE(終値!AM238:BF238),""))</f>
        <v>4.2627439035088796E-2</v>
      </c>
      <c r="AK238" s="503">
        <f>IF(終値!A238="","",IFERROR(4*STDEVP(終値!AN238:BG238)/AVERAGE(終値!AN238:BG238),""))</f>
        <v>5.0415262609036358E-2</v>
      </c>
      <c r="AL238" s="503">
        <f>IF(終値!A238="","",IFERROR(4*STDEVP(終値!AO238:BH238)/AVERAGE(終値!AO238:BH238),""))</f>
        <v>5.1908768242141669E-2</v>
      </c>
      <c r="AM238" s="503">
        <f>IF(終値!A238="","",IFERROR(4*STDEVP(終値!AP238:BI238)/AVERAGE(終値!AP238:BI238),""))</f>
        <v>5.2073899966649732E-2</v>
      </c>
      <c r="AN238" s="503">
        <f>IF(終値!A238="","",IFERROR(4*STDEVP(終値!AQ238:BJ238)/AVERAGE(終値!AQ238:BJ238),""))</f>
        <v>5.2047793443619962E-2</v>
      </c>
      <c r="AO238" s="503">
        <f>IF(終値!A238="","",IFERROR(4*STDEVP(終値!AR238:BK238)/AVERAGE(終値!AR238:BK238),""))</f>
        <v>5.1955439007136776E-2</v>
      </c>
      <c r="AP238" s="503">
        <f>IF(終値!A238="","",IFERROR(4*STDEVP(終値!AS238:BL238)/AVERAGE(終値!AS238:BL238),""))</f>
        <v>5.2181263496165899E-2</v>
      </c>
    </row>
    <row r="239" spans="1:42">
      <c r="A239" s="500" t="str">
        <f>IF(終値!A239="","",終値!A239)</f>
        <v>3984</v>
      </c>
      <c r="B239" s="503">
        <f>IF(終値!A239="","",IFERROR(4*STDEVP(終値!E239:X239)/AVERAGE(終値!E239:X239),""))</f>
        <v>6.0271140455273854E-2</v>
      </c>
      <c r="C239" s="503">
        <f>IF(終値!A239="","",IFERROR(4*STDEVP(終値!F239:Y239)/AVERAGE(終値!F239:Y239),""))</f>
        <v>5.7077713038780314E-2</v>
      </c>
      <c r="D239" s="503">
        <f>IF(終値!A239="","",IFERROR(4*STDEVP(終値!G239:Z239)/AVERAGE(終値!G239:Z239),""))</f>
        <v>5.1195804326358986E-2</v>
      </c>
      <c r="E239" s="503">
        <f>IF(終値!A239="","",IFERROR(4*STDEVP(終値!H239:AA239)/AVERAGE(終値!H239:AA239),""))</f>
        <v>5.0227925214949176E-2</v>
      </c>
      <c r="F239" s="503">
        <f>IF(終値!A239="","",IFERROR(4*STDEVP(終値!I239:AB239)/AVERAGE(終値!I239:AB239),""))</f>
        <v>5.936813811488361E-2</v>
      </c>
      <c r="G239" s="503">
        <f>IF(終値!A239="","",IFERROR(4*STDEVP(終値!J239:AC239)/AVERAGE(終値!J239:AC239),""))</f>
        <v>6.8853149482520914E-2</v>
      </c>
      <c r="H239" s="503">
        <f>IF(終値!A239="","",IFERROR(4*STDEVP(終値!K239:AD239)/AVERAGE(終値!K239:AD239),""))</f>
        <v>9.6010875618632141E-2</v>
      </c>
      <c r="I239" s="503">
        <f>IF(終値!A239="","",IFERROR(4*STDEVP(終値!L239:AE239)/AVERAGE(終値!L239:AE239),""))</f>
        <v>0.12733586536133282</v>
      </c>
      <c r="J239" s="503">
        <f>IF(終値!A239="","",IFERROR(4*STDEVP(終値!M239:AF239)/AVERAGE(終値!M239:AF239),""))</f>
        <v>0.15422474498361191</v>
      </c>
      <c r="K239" s="503">
        <f>IF(終値!A239="","",IFERROR(4*STDEVP(終値!N239:AG239)/AVERAGE(終値!N239:AG239),""))</f>
        <v>0.15923174937252471</v>
      </c>
      <c r="L239" s="503">
        <f>IF(終値!A239="","",IFERROR(4*STDEVP(終値!O239:AH239)/AVERAGE(終値!O239:AH239),""))</f>
        <v>0.15858461915723987</v>
      </c>
      <c r="M239" s="503">
        <f>IF(終値!A239="","",IFERROR(4*STDEVP(終値!P239:AI239)/AVERAGE(終値!P239:AI239),""))</f>
        <v>0.16085649461208762</v>
      </c>
      <c r="N239" s="503">
        <f>IF(終値!A239="","",IFERROR(4*STDEVP(終値!Q239:AJ239)/AVERAGE(終値!Q239:AJ239),""))</f>
        <v>0.15996740793594941</v>
      </c>
      <c r="O239" s="503">
        <f>IF(終値!A239="","",IFERROR(4*STDEVP(終値!R239:AK239)/AVERAGE(終値!R239:AK239),""))</f>
        <v>0.1584161151414073</v>
      </c>
      <c r="P239" s="503">
        <f>IF(終値!A239="","",IFERROR(4*STDEVP(終値!S239:AL239)/AVERAGE(終値!S239:AL239),""))</f>
        <v>0.16023104960441931</v>
      </c>
      <c r="Q239" s="503">
        <f>IF(終値!A239="","",IFERROR(4*STDEVP(終値!T239:AM239)/AVERAGE(終値!T239:AM239),""))</f>
        <v>0.15663311415917408</v>
      </c>
      <c r="R239" s="503">
        <f>IF(終値!A239="","",IFERROR(4*STDEVP(終値!U239:AN239)/AVERAGE(終値!U239:AN239),""))</f>
        <v>0.15367939321996932</v>
      </c>
      <c r="S239" s="503">
        <f>IF(終値!A239="","",IFERROR(4*STDEVP(終値!V239:AO239)/AVERAGE(終値!V239:AO239),""))</f>
        <v>0.1520007837471794</v>
      </c>
      <c r="T239" s="503">
        <f>IF(終値!A239="","",IFERROR(4*STDEVP(終値!W239:AP239)/AVERAGE(終値!W239:AP239),""))</f>
        <v>0.15003074042381503</v>
      </c>
      <c r="U239" s="503">
        <f>IF(終値!A239="","",IFERROR(4*STDEVP(終値!X239:AQ239)/AVERAGE(終値!X239:AQ239),""))</f>
        <v>0.15293083046727296</v>
      </c>
      <c r="V239" s="503">
        <f>IF(終値!A239="","",IFERROR(4*STDEVP(終値!Y239:AR239)/AVERAGE(終値!Y239:AR239),""))</f>
        <v>0.15456207181436246</v>
      </c>
      <c r="W239" s="503">
        <f>IF(終値!A239="","",IFERROR(4*STDEVP(終値!Z239:AS239)/AVERAGE(終値!Z239:AS239),""))</f>
        <v>0.15979432890463505</v>
      </c>
      <c r="X239" s="503">
        <f>IF(終値!A239="","",IFERROR(4*STDEVP(終値!AA239:AT239)/AVERAGE(終値!AA239:AT239),""))</f>
        <v>0.18088412765150422</v>
      </c>
      <c r="Y239" s="503">
        <f>IF(終値!A239="","",IFERROR(4*STDEVP(終値!AB239:AU239)/AVERAGE(終値!AB239:AU239),""))</f>
        <v>0.18200941668327572</v>
      </c>
      <c r="Z239" s="503">
        <f>IF(終値!A239="","",IFERROR(4*STDEVP(終値!AC239:AV239)/AVERAGE(終値!AC239:AV239),""))</f>
        <v>0.18492386391125518</v>
      </c>
      <c r="AA239" s="503">
        <f>IF(終値!A239="","",IFERROR(4*STDEVP(終値!AD239:AW239)/AVERAGE(終値!AD239:AW239),""))</f>
        <v>0.18665829221203864</v>
      </c>
      <c r="AB239" s="503">
        <f>IF(終値!A239="","",IFERROR(4*STDEVP(終値!AE239:AX239)/AVERAGE(終値!AE239:AX239),""))</f>
        <v>0.17851408916718642</v>
      </c>
      <c r="AC239" s="503">
        <f>IF(終値!A239="","",IFERROR(4*STDEVP(終値!AF239:AY239)/AVERAGE(終値!AF239:AY239),""))</f>
        <v>0.16627586960622942</v>
      </c>
      <c r="AD239" s="503">
        <f>IF(終値!A239="","",IFERROR(4*STDEVP(終値!AG239:AZ239)/AVERAGE(終値!AG239:AZ239),""))</f>
        <v>0.14320921815325563</v>
      </c>
      <c r="AE239" s="503">
        <f>IF(終値!A239="","",IFERROR(4*STDEVP(終値!AH239:BA239)/AVERAGE(終値!AH239:BA239),""))</f>
        <v>0.13184818396693557</v>
      </c>
      <c r="AF239" s="503">
        <f>IF(終値!A239="","",IFERROR(4*STDEVP(終値!AI239:BB239)/AVERAGE(終値!AI239:BB239),""))</f>
        <v>0.12341890628794831</v>
      </c>
      <c r="AG239" s="503">
        <f>IF(終値!A239="","",IFERROR(4*STDEVP(終値!AJ239:BC239)/AVERAGE(終値!AJ239:BC239),""))</f>
        <v>0.11464937044005831</v>
      </c>
      <c r="AH239" s="503">
        <f>IF(終値!A239="","",IFERROR(4*STDEVP(終値!AK239:BD239)/AVERAGE(終値!AK239:BD239),""))</f>
        <v>0.11576514735389914</v>
      </c>
      <c r="AI239" s="503">
        <f>IF(終値!A239="","",IFERROR(4*STDEVP(終値!AL239:BE239)/AVERAGE(終値!AL239:BE239),""))</f>
        <v>0.11637779140281969</v>
      </c>
      <c r="AJ239" s="503">
        <f>IF(終値!A239="","",IFERROR(4*STDEVP(終値!AM239:BF239)/AVERAGE(終値!AM239:BF239),""))</f>
        <v>0.12017639271435637</v>
      </c>
      <c r="AK239" s="503">
        <f>IF(終値!A239="","",IFERROR(4*STDEVP(終値!AN239:BG239)/AVERAGE(終値!AN239:BG239),""))</f>
        <v>0.12351640384052581</v>
      </c>
      <c r="AL239" s="503">
        <f>IF(終値!A239="","",IFERROR(4*STDEVP(終値!AO239:BH239)/AVERAGE(終値!AO239:BH239),""))</f>
        <v>0.12796429338351817</v>
      </c>
      <c r="AM239" s="503">
        <f>IF(終値!A239="","",IFERROR(4*STDEVP(終値!AP239:BI239)/AVERAGE(終値!AP239:BI239),""))</f>
        <v>0.12819404004378782</v>
      </c>
      <c r="AN239" s="503">
        <f>IF(終値!A239="","",IFERROR(4*STDEVP(終値!AQ239:BJ239)/AVERAGE(終値!AQ239:BJ239),""))</f>
        <v>0.12957931681025053</v>
      </c>
      <c r="AO239" s="503">
        <f>IF(終値!A239="","",IFERROR(4*STDEVP(終値!AR239:BK239)/AVERAGE(終値!AR239:BK239),""))</f>
        <v>0.13062821471943614</v>
      </c>
      <c r="AP239" s="503">
        <f>IF(終値!A239="","",IFERROR(4*STDEVP(終値!AS239:BL239)/AVERAGE(終値!AS239:BL239),""))</f>
        <v>0.13074542627041691</v>
      </c>
    </row>
    <row r="240" spans="1:42">
      <c r="A240" s="500" t="str">
        <f>IF(終値!A240="","",終値!A240)</f>
        <v>7609</v>
      </c>
      <c r="B240" s="503">
        <f>IF(終値!A240="","",IFERROR(4*STDEVP(終値!E240:X240)/AVERAGE(終値!E240:X240),""))</f>
        <v>0.37694716735838069</v>
      </c>
      <c r="C240" s="503">
        <f>IF(終値!A240="","",IFERROR(4*STDEVP(終値!F240:Y240)/AVERAGE(終値!F240:Y240),""))</f>
        <v>0.33220101556773907</v>
      </c>
      <c r="D240" s="503">
        <f>IF(終値!A240="","",IFERROR(4*STDEVP(終値!G240:Z240)/AVERAGE(終値!G240:Z240),""))</f>
        <v>0.25120757739027327</v>
      </c>
      <c r="E240" s="503">
        <f>IF(終値!A240="","",IFERROR(4*STDEVP(終値!H240:AA240)/AVERAGE(終値!H240:AA240),""))</f>
        <v>0.17796197169122638</v>
      </c>
      <c r="F240" s="503">
        <f>IF(終値!A240="","",IFERROR(4*STDEVP(終値!I240:AB240)/AVERAGE(終値!I240:AB240),""))</f>
        <v>0.18212446627142645</v>
      </c>
      <c r="G240" s="503">
        <f>IF(終値!A240="","",IFERROR(4*STDEVP(終値!J240:AC240)/AVERAGE(終値!J240:AC240),""))</f>
        <v>0.19979728898602758</v>
      </c>
      <c r="H240" s="503">
        <f>IF(終値!A240="","",IFERROR(4*STDEVP(終値!K240:AD240)/AVERAGE(終値!K240:AD240),""))</f>
        <v>0.18761930017548176</v>
      </c>
      <c r="I240" s="503">
        <f>IF(終値!A240="","",IFERROR(4*STDEVP(終値!L240:AE240)/AVERAGE(終値!L240:AE240),""))</f>
        <v>0.15589039657921935</v>
      </c>
      <c r="J240" s="503">
        <f>IF(終値!A240="","",IFERROR(4*STDEVP(終値!M240:AF240)/AVERAGE(終値!M240:AF240),""))</f>
        <v>0.15203949713062415</v>
      </c>
      <c r="K240" s="503">
        <f>IF(終値!A240="","",IFERROR(4*STDEVP(終値!N240:AG240)/AVERAGE(終値!N240:AG240),""))</f>
        <v>0.16502034968755047</v>
      </c>
      <c r="L240" s="503">
        <f>IF(終値!A240="","",IFERROR(4*STDEVP(終値!O240:AH240)/AVERAGE(終値!O240:AH240),""))</f>
        <v>0.1641553322097653</v>
      </c>
      <c r="M240" s="503">
        <f>IF(終値!A240="","",IFERROR(4*STDEVP(終値!P240:AI240)/AVERAGE(終値!P240:AI240),""))</f>
        <v>0.17115989354064831</v>
      </c>
      <c r="N240" s="503">
        <f>IF(終値!A240="","",IFERROR(4*STDEVP(終値!Q240:AJ240)/AVERAGE(終値!Q240:AJ240),""))</f>
        <v>0.19066833436085789</v>
      </c>
      <c r="O240" s="503">
        <f>IF(終値!A240="","",IFERROR(4*STDEVP(終値!R240:AK240)/AVERAGE(終値!R240:AK240),""))</f>
        <v>0.19513948268979645</v>
      </c>
      <c r="P240" s="503">
        <f>IF(終値!A240="","",IFERROR(4*STDEVP(終値!S240:AL240)/AVERAGE(終値!S240:AL240),""))</f>
        <v>0.18218315536812499</v>
      </c>
      <c r="Q240" s="503">
        <f>IF(終値!A240="","",IFERROR(4*STDEVP(終値!T240:AM240)/AVERAGE(終値!T240:AM240),""))</f>
        <v>0.17787975388549915</v>
      </c>
      <c r="R240" s="503">
        <f>IF(終値!A240="","",IFERROR(4*STDEVP(終値!U240:AN240)/AVERAGE(終値!U240:AN240),""))</f>
        <v>0.16036279252118454</v>
      </c>
      <c r="S240" s="503">
        <f>IF(終値!A240="","",IFERROR(4*STDEVP(終値!V240:AO240)/AVERAGE(終値!V240:AO240),""))</f>
        <v>0.14523074867078717</v>
      </c>
      <c r="T240" s="503">
        <f>IF(終値!A240="","",IFERROR(4*STDEVP(終値!W240:AP240)/AVERAGE(終値!W240:AP240),""))</f>
        <v>0.15151229669789937</v>
      </c>
      <c r="U240" s="503">
        <f>IF(終値!A240="","",IFERROR(4*STDEVP(終値!X240:AQ240)/AVERAGE(終値!X240:AQ240),""))</f>
        <v>0.15538529413439225</v>
      </c>
      <c r="V240" s="503">
        <f>IF(終値!A240="","",IFERROR(4*STDEVP(終値!Y240:AR240)/AVERAGE(終値!Y240:AR240),""))</f>
        <v>0.15295835357646786</v>
      </c>
      <c r="W240" s="503">
        <f>IF(終値!A240="","",IFERROR(4*STDEVP(終値!Z240:AS240)/AVERAGE(終値!Z240:AS240),""))</f>
        <v>0.15091363657644655</v>
      </c>
      <c r="X240" s="503">
        <f>IF(終値!A240="","",IFERROR(4*STDEVP(終値!AA240:AT240)/AVERAGE(終値!AA240:AT240),""))</f>
        <v>0.15235574903789176</v>
      </c>
      <c r="Y240" s="503">
        <f>IF(終値!A240="","",IFERROR(4*STDEVP(終値!AB240:AU240)/AVERAGE(終値!AB240:AU240),""))</f>
        <v>0.15262272109945174</v>
      </c>
      <c r="Z240" s="503">
        <f>IF(終値!A240="","",IFERROR(4*STDEVP(終値!AC240:AV240)/AVERAGE(終値!AC240:AV240),""))</f>
        <v>0.15219220343169701</v>
      </c>
      <c r="AA240" s="503">
        <f>IF(終値!A240="","",IFERROR(4*STDEVP(終値!AD240:AW240)/AVERAGE(終値!AD240:AW240),""))</f>
        <v>0.15250482847032754</v>
      </c>
      <c r="AB240" s="503">
        <f>IF(終値!A240="","",IFERROR(4*STDEVP(終値!AE240:AX240)/AVERAGE(終値!AE240:AX240),""))</f>
        <v>0.15467796973961839</v>
      </c>
      <c r="AC240" s="503">
        <f>IF(終値!A240="","",IFERROR(4*STDEVP(終値!AF240:AY240)/AVERAGE(終値!AF240:AY240),""))</f>
        <v>0.15785726391494848</v>
      </c>
      <c r="AD240" s="503">
        <f>IF(終値!A240="","",IFERROR(4*STDEVP(終値!AG240:AZ240)/AVERAGE(終値!AG240:AZ240),""))</f>
        <v>0.16022062796184813</v>
      </c>
      <c r="AE240" s="503">
        <f>IF(終値!A240="","",IFERROR(4*STDEVP(終値!AH240:BA240)/AVERAGE(終値!AH240:BA240),""))</f>
        <v>0.1552780115605803</v>
      </c>
      <c r="AF240" s="503">
        <f>IF(終値!A240="","",IFERROR(4*STDEVP(終値!AI240:BB240)/AVERAGE(終値!AI240:BB240),""))</f>
        <v>0.15505199617337753</v>
      </c>
      <c r="AG240" s="503">
        <f>IF(終値!A240="","",IFERROR(4*STDEVP(終値!AJ240:BC240)/AVERAGE(終値!AJ240:BC240),""))</f>
        <v>0.15388130298998159</v>
      </c>
      <c r="AH240" s="503">
        <f>IF(終値!A240="","",IFERROR(4*STDEVP(終値!AK240:BD240)/AVERAGE(終値!AK240:BD240),""))</f>
        <v>0.13698412141510272</v>
      </c>
      <c r="AI240" s="503">
        <f>IF(終値!A240="","",IFERROR(4*STDEVP(終値!AL240:BE240)/AVERAGE(終値!AL240:BE240),""))</f>
        <v>0.11537549311290439</v>
      </c>
      <c r="AJ240" s="503">
        <f>IF(終値!A240="","",IFERROR(4*STDEVP(終値!AM240:BF240)/AVERAGE(終値!AM240:BF240),""))</f>
        <v>0.11867360358079812</v>
      </c>
      <c r="AK240" s="503">
        <f>IF(終値!A240="","",IFERROR(4*STDEVP(終値!AN240:BG240)/AVERAGE(終値!AN240:BG240),""))</f>
        <v>0.13096224315794863</v>
      </c>
      <c r="AL240" s="503">
        <f>IF(終値!A240="","",IFERROR(4*STDEVP(終値!AO240:BH240)/AVERAGE(終値!AO240:BH240),""))</f>
        <v>0.15203696420822632</v>
      </c>
      <c r="AM240" s="503">
        <f>IF(終値!A240="","",IFERROR(4*STDEVP(終値!AP240:BI240)/AVERAGE(終値!AP240:BI240),""))</f>
        <v>0.16277467771748155</v>
      </c>
      <c r="AN240" s="503">
        <f>IF(終値!A240="","",IFERROR(4*STDEVP(終値!AQ240:BJ240)/AVERAGE(終値!AQ240:BJ240),""))</f>
        <v>0.1715877345531473</v>
      </c>
      <c r="AO240" s="503">
        <f>IF(終値!A240="","",IFERROR(4*STDEVP(終値!AR240:BK240)/AVERAGE(終値!AR240:BK240),""))</f>
        <v>0.17402818704697476</v>
      </c>
      <c r="AP240" s="503">
        <f>IF(終値!A240="","",IFERROR(4*STDEVP(終値!AS240:BL240)/AVERAGE(終値!AS240:BL240),""))</f>
        <v>0.16537851300453402</v>
      </c>
    </row>
    <row r="241" spans="1:42">
      <c r="A241" s="500" t="str">
        <f>IF(終値!A241="","",終値!A241)</f>
        <v>7972</v>
      </c>
      <c r="B241" s="503">
        <f>IF(終値!A241="","",IFERROR(4*STDEVP(終値!E241:X241)/AVERAGE(終値!E241:X241),""))</f>
        <v>7.4578720645619337E-2</v>
      </c>
      <c r="C241" s="503">
        <f>IF(終値!A241="","",IFERROR(4*STDEVP(終値!F241:Y241)/AVERAGE(終値!F241:Y241),""))</f>
        <v>7.2247218390789861E-2</v>
      </c>
      <c r="D241" s="503">
        <f>IF(終値!A241="","",IFERROR(4*STDEVP(終値!G241:Z241)/AVERAGE(終値!G241:Z241),""))</f>
        <v>7.1575475466328697E-2</v>
      </c>
      <c r="E241" s="503">
        <f>IF(終値!A241="","",IFERROR(4*STDEVP(終値!H241:AA241)/AVERAGE(終値!H241:AA241),""))</f>
        <v>8.0457535099990124E-2</v>
      </c>
      <c r="F241" s="503">
        <f>IF(終値!A241="","",IFERROR(4*STDEVP(終値!I241:AB241)/AVERAGE(終値!I241:AB241),""))</f>
        <v>9.9587640124423948E-2</v>
      </c>
      <c r="G241" s="503">
        <f>IF(終値!A241="","",IFERROR(4*STDEVP(終値!J241:AC241)/AVERAGE(終値!J241:AC241),""))</f>
        <v>0.11436671402671982</v>
      </c>
      <c r="H241" s="503">
        <f>IF(終値!A241="","",IFERROR(4*STDEVP(終値!K241:AD241)/AVERAGE(終値!K241:AD241),""))</f>
        <v>0.12430000992855617</v>
      </c>
      <c r="I241" s="503">
        <f>IF(終値!A241="","",IFERROR(4*STDEVP(終値!L241:AE241)/AVERAGE(終値!L241:AE241),""))</f>
        <v>0.12950390666897518</v>
      </c>
      <c r="J241" s="503">
        <f>IF(終値!A241="","",IFERROR(4*STDEVP(終値!M241:AF241)/AVERAGE(終値!M241:AF241),""))</f>
        <v>0.13497435639995436</v>
      </c>
      <c r="K241" s="503">
        <f>IF(終値!A241="","",IFERROR(4*STDEVP(終値!N241:AG241)/AVERAGE(終値!N241:AG241),""))</f>
        <v>0.14144210546554839</v>
      </c>
      <c r="L241" s="503">
        <f>IF(終値!A241="","",IFERROR(4*STDEVP(終値!O241:AH241)/AVERAGE(終値!O241:AH241),""))</f>
        <v>0.1525228820996074</v>
      </c>
      <c r="M241" s="503">
        <f>IF(終値!A241="","",IFERROR(4*STDEVP(終値!P241:AI241)/AVERAGE(終値!P241:AI241),""))</f>
        <v>0.16441959066818859</v>
      </c>
      <c r="N241" s="503">
        <f>IF(終値!A241="","",IFERROR(4*STDEVP(終値!Q241:AJ241)/AVERAGE(終値!Q241:AJ241),""))</f>
        <v>0.16788382945701993</v>
      </c>
      <c r="O241" s="503">
        <f>IF(終値!A241="","",IFERROR(4*STDEVP(終値!R241:AK241)/AVERAGE(終値!R241:AK241),""))</f>
        <v>0.17449736609078867</v>
      </c>
      <c r="P241" s="503">
        <f>IF(終値!A241="","",IFERROR(4*STDEVP(終値!S241:AL241)/AVERAGE(終値!S241:AL241),""))</f>
        <v>0.18866826255397443</v>
      </c>
      <c r="Q241" s="503">
        <f>IF(終値!A241="","",IFERROR(4*STDEVP(終値!T241:AM241)/AVERAGE(終値!T241:AM241),""))</f>
        <v>0.19993717199953465</v>
      </c>
      <c r="R241" s="503">
        <f>IF(終値!A241="","",IFERROR(4*STDEVP(終値!U241:AN241)/AVERAGE(終値!U241:AN241),""))</f>
        <v>0.20470964928945024</v>
      </c>
      <c r="S241" s="503">
        <f>IF(終値!A241="","",IFERROR(4*STDEVP(終値!V241:AO241)/AVERAGE(終値!V241:AO241),""))</f>
        <v>0.21264515930739342</v>
      </c>
      <c r="T241" s="503">
        <f>IF(終値!A241="","",IFERROR(4*STDEVP(終値!W241:AP241)/AVERAGE(終値!W241:AP241),""))</f>
        <v>0.21471332323392694</v>
      </c>
      <c r="U241" s="503">
        <f>IF(終値!A241="","",IFERROR(4*STDEVP(終値!X241:AQ241)/AVERAGE(終値!X241:AQ241),""))</f>
        <v>0.21027039719379115</v>
      </c>
      <c r="V241" s="503">
        <f>IF(終値!A241="","",IFERROR(4*STDEVP(終値!Y241:AR241)/AVERAGE(終値!Y241:AR241),""))</f>
        <v>0.19947259763091199</v>
      </c>
      <c r="W241" s="503">
        <f>IF(終値!A241="","",IFERROR(4*STDEVP(終値!Z241:AS241)/AVERAGE(終値!Z241:AS241),""))</f>
        <v>0.18008623244255367</v>
      </c>
      <c r="X241" s="503">
        <f>IF(終値!A241="","",IFERROR(4*STDEVP(終値!AA241:AT241)/AVERAGE(終値!AA241:AT241),""))</f>
        <v>0.15516999307857055</v>
      </c>
      <c r="Y241" s="503">
        <f>IF(終値!A241="","",IFERROR(4*STDEVP(終値!AB241:AU241)/AVERAGE(終値!AB241:AU241),""))</f>
        <v>0.14812128794369531</v>
      </c>
      <c r="Z241" s="503">
        <f>IF(終値!A241="","",IFERROR(4*STDEVP(終値!AC241:AV241)/AVERAGE(終値!AC241:AV241),""))</f>
        <v>0.14105566023616714</v>
      </c>
      <c r="AA241" s="503">
        <f>IF(終値!A241="","",IFERROR(4*STDEVP(終値!AD241:AW241)/AVERAGE(終値!AD241:AW241),""))</f>
        <v>0.13524071762470721</v>
      </c>
      <c r="AB241" s="503">
        <f>IF(終値!A241="","",IFERROR(4*STDEVP(終値!AE241:AX241)/AVERAGE(終値!AE241:AX241),""))</f>
        <v>0.12705387758082376</v>
      </c>
      <c r="AC241" s="503">
        <f>IF(終値!A241="","",IFERROR(4*STDEVP(終値!AF241:AY241)/AVERAGE(終値!AF241:AY241),""))</f>
        <v>0.11909880354063852</v>
      </c>
      <c r="AD241" s="503">
        <f>IF(終値!A241="","",IFERROR(4*STDEVP(終値!AG241:AZ241)/AVERAGE(終値!AG241:AZ241),""))</f>
        <v>0.13408210506584528</v>
      </c>
      <c r="AE241" s="503">
        <f>IF(終値!A241="","",IFERROR(4*STDEVP(終値!AH241:BA241)/AVERAGE(終値!AH241:BA241),""))</f>
        <v>0.13889323263242628</v>
      </c>
      <c r="AF241" s="503">
        <f>IF(終値!A241="","",IFERROR(4*STDEVP(終値!AI241:BB241)/AVERAGE(終値!AI241:BB241),""))</f>
        <v>0.14442044660035433</v>
      </c>
      <c r="AG241" s="503">
        <f>IF(終値!A241="","",IFERROR(4*STDEVP(終値!AJ241:BC241)/AVERAGE(終値!AJ241:BC241),""))</f>
        <v>0.14617831189166902</v>
      </c>
      <c r="AH241" s="503">
        <f>IF(終値!A241="","",IFERROR(4*STDEVP(終値!AK241:BD241)/AVERAGE(終値!AK241:BD241),""))</f>
        <v>0.15361499099121353</v>
      </c>
      <c r="AI241" s="503">
        <f>IF(終値!A241="","",IFERROR(4*STDEVP(終値!AL241:BE241)/AVERAGE(終値!AL241:BE241),""))</f>
        <v>0.16803739152854275</v>
      </c>
      <c r="AJ241" s="503">
        <f>IF(終値!A241="","",IFERROR(4*STDEVP(終値!AM241:BF241)/AVERAGE(終値!AM241:BF241),""))</f>
        <v>0.1785818861015844</v>
      </c>
      <c r="AK241" s="503">
        <f>IF(終値!A241="","",IFERROR(4*STDEVP(終値!AN241:BG241)/AVERAGE(終値!AN241:BG241),""))</f>
        <v>0.18567823035276365</v>
      </c>
      <c r="AL241" s="503">
        <f>IF(終値!A241="","",IFERROR(4*STDEVP(終値!AO241:BH241)/AVERAGE(終値!AO241:BH241),""))</f>
        <v>0.20046663525309308</v>
      </c>
      <c r="AM241" s="503">
        <f>IF(終値!A241="","",IFERROR(4*STDEVP(終値!AP241:BI241)/AVERAGE(終値!AP241:BI241),""))</f>
        <v>0.21149832035193472</v>
      </c>
      <c r="AN241" s="503">
        <f>IF(終値!A241="","",IFERROR(4*STDEVP(終値!AQ241:BJ241)/AVERAGE(終値!AQ241:BJ241),""))</f>
        <v>0.21616155469297502</v>
      </c>
      <c r="AO241" s="503">
        <f>IF(終値!A241="","",IFERROR(4*STDEVP(終値!AR241:BK241)/AVERAGE(終値!AR241:BK241),""))</f>
        <v>0.21271822510926944</v>
      </c>
      <c r="AP241" s="503">
        <f>IF(終値!A241="","",IFERROR(4*STDEVP(終値!AS241:BL241)/AVERAGE(終値!AS241:BL241),""))</f>
        <v>0.21887627437959795</v>
      </c>
    </row>
    <row r="242" spans="1:42">
      <c r="A242" s="500" t="str">
        <f>IF(終値!A242="","",終値!A242)</f>
        <v>6521</v>
      </c>
      <c r="B242" s="503">
        <f>IF(終値!A242="","",IFERROR(4*STDEVP(終値!E242:X242)/AVERAGE(終値!E242:X242),""))</f>
        <v>0.56937958911074882</v>
      </c>
      <c r="C242" s="503">
        <f>IF(終値!A242="","",IFERROR(4*STDEVP(終値!F242:Y242)/AVERAGE(終値!F242:Y242),""))</f>
        <v>0.59236613502563373</v>
      </c>
      <c r="D242" s="503">
        <f>IF(終値!A242="","",IFERROR(4*STDEVP(終値!G242:Z242)/AVERAGE(終値!G242:Z242),""))</f>
        <v>0.62726149031141976</v>
      </c>
      <c r="E242" s="503">
        <f>IF(終値!A242="","",IFERROR(4*STDEVP(終値!H242:AA242)/AVERAGE(終値!H242:AA242),""))</f>
        <v>0.65310146950565018</v>
      </c>
      <c r="F242" s="503">
        <f>IF(終値!A242="","",IFERROR(4*STDEVP(終値!I242:AB242)/AVERAGE(終値!I242:AB242),""))</f>
        <v>0.6471667276041404</v>
      </c>
      <c r="G242" s="503">
        <f>IF(終値!A242="","",IFERROR(4*STDEVP(終値!J242:AC242)/AVERAGE(終値!J242:AC242),""))</f>
        <v>0.63601008630005529</v>
      </c>
      <c r="H242" s="503">
        <f>IF(終値!A242="","",IFERROR(4*STDEVP(終値!K242:AD242)/AVERAGE(終値!K242:AD242),""))</f>
        <v>0.60036170646967157</v>
      </c>
      <c r="I242" s="503">
        <f>IF(終値!A242="","",IFERROR(4*STDEVP(終値!L242:AE242)/AVERAGE(終値!L242:AE242),""))</f>
        <v>0.55456304547840696</v>
      </c>
      <c r="J242" s="503">
        <f>IF(終値!A242="","",IFERROR(4*STDEVP(終値!M242:AF242)/AVERAGE(終値!M242:AF242),""))</f>
        <v>0.51258993846251333</v>
      </c>
      <c r="K242" s="503">
        <f>IF(終値!A242="","",IFERROR(4*STDEVP(終値!N242:AG242)/AVERAGE(終値!N242:AG242),""))</f>
        <v>0.51223474663782365</v>
      </c>
      <c r="L242" s="503">
        <f>IF(終値!A242="","",IFERROR(4*STDEVP(終値!O242:AH242)/AVERAGE(終値!O242:AH242),""))</f>
        <v>0.50225233237143552</v>
      </c>
      <c r="M242" s="503">
        <f>IF(終値!A242="","",IFERROR(4*STDEVP(終値!P242:AI242)/AVERAGE(終値!P242:AI242),""))</f>
        <v>0.47631457186760623</v>
      </c>
      <c r="N242" s="503">
        <f>IF(終値!A242="","",IFERROR(4*STDEVP(終値!Q242:AJ242)/AVERAGE(終値!Q242:AJ242),""))</f>
        <v>0.44860127090826241</v>
      </c>
      <c r="O242" s="503">
        <f>IF(終値!A242="","",IFERROR(4*STDEVP(終値!R242:AK242)/AVERAGE(終値!R242:AK242),""))</f>
        <v>0.41071846245269489</v>
      </c>
      <c r="P242" s="503">
        <f>IF(終値!A242="","",IFERROR(4*STDEVP(終値!S242:AL242)/AVERAGE(終値!S242:AL242),""))</f>
        <v>0.34073163654737287</v>
      </c>
      <c r="Q242" s="503">
        <f>IF(終値!A242="","",IFERROR(4*STDEVP(終値!T242:AM242)/AVERAGE(終値!T242:AM242),""))</f>
        <v>0.31922529311093445</v>
      </c>
      <c r="R242" s="503">
        <f>IF(終値!A242="","",IFERROR(4*STDEVP(終値!U242:AN242)/AVERAGE(終値!U242:AN242),""))</f>
        <v>0.27878324018864298</v>
      </c>
      <c r="S242" s="503">
        <f>IF(終値!A242="","",IFERROR(4*STDEVP(終値!V242:AO242)/AVERAGE(終値!V242:AO242),""))</f>
        <v>0.26570589604470479</v>
      </c>
      <c r="T242" s="503">
        <f>IF(終値!A242="","",IFERROR(4*STDEVP(終値!W242:AP242)/AVERAGE(終値!W242:AP242),""))</f>
        <v>0.26127100041953899</v>
      </c>
      <c r="U242" s="503">
        <f>IF(終値!A242="","",IFERROR(4*STDEVP(終値!X242:AQ242)/AVERAGE(終値!X242:AQ242),""))</f>
        <v>0.24938203585517615</v>
      </c>
      <c r="V242" s="503">
        <f>IF(終値!A242="","",IFERROR(4*STDEVP(終値!Y242:AR242)/AVERAGE(終値!Y242:AR242),""))</f>
        <v>0.22273352062004664</v>
      </c>
      <c r="W242" s="503">
        <f>IF(終値!A242="","",IFERROR(4*STDEVP(終値!Z242:AS242)/AVERAGE(終値!Z242:AS242),""))</f>
        <v>0.20405644353032787</v>
      </c>
      <c r="X242" s="503">
        <f>IF(終値!A242="","",IFERROR(4*STDEVP(終値!AA242:AT242)/AVERAGE(終値!AA242:AT242),""))</f>
        <v>0.2097698876637934</v>
      </c>
      <c r="Y242" s="503">
        <f>IF(終値!A242="","",IFERROR(4*STDEVP(終値!AB242:AU242)/AVERAGE(終値!AB242:AU242),""))</f>
        <v>0.20882022607306999</v>
      </c>
      <c r="Z242" s="503">
        <f>IF(終値!A242="","",IFERROR(4*STDEVP(終値!AC242:AV242)/AVERAGE(終値!AC242:AV242),""))</f>
        <v>0.21045648308647072</v>
      </c>
      <c r="AA242" s="503">
        <f>IF(終値!A242="","",IFERROR(4*STDEVP(終値!AD242:AW242)/AVERAGE(終値!AD242:AW242),""))</f>
        <v>0.20890174761235653</v>
      </c>
      <c r="AB242" s="503">
        <f>IF(終値!A242="","",IFERROR(4*STDEVP(終値!AE242:AX242)/AVERAGE(終値!AE242:AX242),""))</f>
        <v>0.2318280152848313</v>
      </c>
      <c r="AC242" s="503">
        <f>IF(終値!A242="","",IFERROR(4*STDEVP(終値!AF242:AY242)/AVERAGE(終値!AF242:AY242),""))</f>
        <v>0.28501292983001647</v>
      </c>
      <c r="AD242" s="503">
        <f>IF(終値!A242="","",IFERROR(4*STDEVP(終値!AG242:AZ242)/AVERAGE(終値!AG242:AZ242),""))</f>
        <v>0.30319119836450564</v>
      </c>
      <c r="AE242" s="503">
        <f>IF(終値!A242="","",IFERROR(4*STDEVP(終値!AH242:BA242)/AVERAGE(終値!AH242:BA242),""))</f>
        <v>0.35907013201038523</v>
      </c>
      <c r="AF242" s="503">
        <f>IF(終値!A242="","",IFERROR(4*STDEVP(終値!AI242:BB242)/AVERAGE(終値!AI242:BB242),""))</f>
        <v>0.42839817743779979</v>
      </c>
      <c r="AG242" s="503">
        <f>IF(終値!A242="","",IFERROR(4*STDEVP(終値!AJ242:BC242)/AVERAGE(終値!AJ242:BC242),""))</f>
        <v>0.43169631470106096</v>
      </c>
      <c r="AH242" s="503">
        <f>IF(終値!A242="","",IFERROR(4*STDEVP(終値!AK242:BD242)/AVERAGE(終値!AK242:BD242),""))</f>
        <v>0.44365916256400534</v>
      </c>
      <c r="AI242" s="503">
        <f>IF(終値!A242="","",IFERROR(4*STDEVP(終値!AL242:BE242)/AVERAGE(終値!AL242:BE242),""))</f>
        <v>0.45434175088581419</v>
      </c>
      <c r="AJ242" s="503">
        <f>IF(終値!A242="","",IFERROR(4*STDEVP(終値!AM242:BF242)/AVERAGE(終値!AM242:BF242),""))</f>
        <v>0.50798827243420241</v>
      </c>
      <c r="AK242" s="503">
        <f>IF(終値!A242="","",IFERROR(4*STDEVP(終値!AN242:BG242)/AVERAGE(終値!AN242:BG242),""))</f>
        <v>0.50904291346295127</v>
      </c>
      <c r="AL242" s="503">
        <f>IF(終値!A242="","",IFERROR(4*STDEVP(終値!AO242:BH242)/AVERAGE(終値!AO242:BH242),""))</f>
        <v>0.51740757300864004</v>
      </c>
      <c r="AM242" s="503">
        <f>IF(終値!A242="","",IFERROR(4*STDEVP(終値!AP242:BI242)/AVERAGE(終値!AP242:BI242),""))</f>
        <v>0.50115957665359967</v>
      </c>
      <c r="AN242" s="503">
        <f>IF(終値!A242="","",IFERROR(4*STDEVP(終値!AQ242:BJ242)/AVERAGE(終値!AQ242:BJ242),""))</f>
        <v>0.47856459519056299</v>
      </c>
      <c r="AO242" s="503">
        <f>IF(終値!A242="","",IFERROR(4*STDEVP(終値!AR242:BK242)/AVERAGE(終値!AR242:BK242),""))</f>
        <v>0.44810854946510847</v>
      </c>
      <c r="AP242" s="503">
        <f>IF(終値!A242="","",IFERROR(4*STDEVP(終値!AS242:BL242)/AVERAGE(終値!AS242:BL242),""))</f>
        <v>0.39983303568287842</v>
      </c>
    </row>
    <row r="243" spans="1:42">
      <c r="A243" s="500" t="str">
        <f>IF(終値!A243="","",終値!A243)</f>
        <v>9165</v>
      </c>
      <c r="B243" s="503">
        <f>IF(終値!A243="","",IFERROR(4*STDEVP(終値!E243:X243)/AVERAGE(終値!E243:X243),""))</f>
        <v>5.5374504548902151E-2</v>
      </c>
      <c r="C243" s="503">
        <f>IF(終値!A243="","",IFERROR(4*STDEVP(終値!F243:Y243)/AVERAGE(終値!F243:Y243),""))</f>
        <v>5.2757325726565191E-2</v>
      </c>
      <c r="D243" s="503">
        <f>IF(終値!A243="","",IFERROR(4*STDEVP(終値!G243:Z243)/AVERAGE(終値!G243:Z243),""))</f>
        <v>4.9054181994026273E-2</v>
      </c>
      <c r="E243" s="503">
        <f>IF(終値!A243="","",IFERROR(4*STDEVP(終値!H243:AA243)/AVERAGE(終値!H243:AA243),""))</f>
        <v>5.3287728434140438E-2</v>
      </c>
      <c r="F243" s="503">
        <f>IF(終値!A243="","",IFERROR(4*STDEVP(終値!I243:AB243)/AVERAGE(終値!I243:AB243),""))</f>
        <v>5.2857975645262616E-2</v>
      </c>
      <c r="G243" s="503">
        <f>IF(終値!A243="","",IFERROR(4*STDEVP(終値!J243:AC243)/AVERAGE(終値!J243:AC243),""))</f>
        <v>5.4287605375129278E-2</v>
      </c>
      <c r="H243" s="503">
        <f>IF(終値!A243="","",IFERROR(4*STDEVP(終値!K243:AD243)/AVERAGE(終値!K243:AD243),""))</f>
        <v>5.7269682062986542E-2</v>
      </c>
      <c r="I243" s="503">
        <f>IF(終値!A243="","",IFERROR(4*STDEVP(終値!L243:AE243)/AVERAGE(終値!L243:AE243),""))</f>
        <v>6.1507807853709004E-2</v>
      </c>
      <c r="J243" s="503">
        <f>IF(終値!A243="","",IFERROR(4*STDEVP(終値!M243:AF243)/AVERAGE(終値!M243:AF243),""))</f>
        <v>5.8795689401081729E-2</v>
      </c>
      <c r="K243" s="503">
        <f>IF(終値!A243="","",IFERROR(4*STDEVP(終値!N243:AG243)/AVERAGE(終値!N243:AG243),""))</f>
        <v>5.8390361184265778E-2</v>
      </c>
      <c r="L243" s="503">
        <f>IF(終値!A243="","",IFERROR(4*STDEVP(終値!O243:AH243)/AVERAGE(終値!O243:AH243),""))</f>
        <v>5.6074974150700903E-2</v>
      </c>
      <c r="M243" s="503">
        <f>IF(終値!A243="","",IFERROR(4*STDEVP(終値!P243:AI243)/AVERAGE(終値!P243:AI243),""))</f>
        <v>5.7304808406179679E-2</v>
      </c>
      <c r="N243" s="503">
        <f>IF(終値!A243="","",IFERROR(4*STDEVP(終値!Q243:AJ243)/AVERAGE(終値!Q243:AJ243),""))</f>
        <v>6.3725253712322447E-2</v>
      </c>
      <c r="O243" s="503">
        <f>IF(終値!A243="","",IFERROR(4*STDEVP(終値!R243:AK243)/AVERAGE(終値!R243:AK243),""))</f>
        <v>6.6383010233854345E-2</v>
      </c>
      <c r="P243" s="503">
        <f>IF(終値!A243="","",IFERROR(4*STDEVP(終値!S243:AL243)/AVERAGE(終値!S243:AL243),""))</f>
        <v>6.415768334138347E-2</v>
      </c>
      <c r="Q243" s="503">
        <f>IF(終値!A243="","",IFERROR(4*STDEVP(終値!T243:AM243)/AVERAGE(終値!T243:AM243),""))</f>
        <v>6.8276585054263123E-2</v>
      </c>
      <c r="R243" s="503">
        <f>IF(終値!A243="","",IFERROR(4*STDEVP(終値!U243:AN243)/AVERAGE(終値!U243:AN243),""))</f>
        <v>6.8276585054263123E-2</v>
      </c>
      <c r="S243" s="503">
        <f>IF(終値!A243="","",IFERROR(4*STDEVP(終値!V243:AO243)/AVERAGE(終値!V243:AO243),""))</f>
        <v>7.0238331871866691E-2</v>
      </c>
      <c r="T243" s="503">
        <f>IF(終値!A243="","",IFERROR(4*STDEVP(終値!W243:AP243)/AVERAGE(終値!W243:AP243),""))</f>
        <v>7.0034394517434942E-2</v>
      </c>
      <c r="U243" s="503">
        <f>IF(終値!A243="","",IFERROR(4*STDEVP(終値!X243:AQ243)/AVERAGE(終値!X243:AQ243),""))</f>
        <v>7.2586086560340282E-2</v>
      </c>
      <c r="V243" s="503">
        <f>IF(終値!A243="","",IFERROR(4*STDEVP(終値!Y243:AR243)/AVERAGE(終値!Y243:AR243),""))</f>
        <v>7.320317107179887E-2</v>
      </c>
      <c r="W243" s="503">
        <f>IF(終値!A243="","",IFERROR(4*STDEVP(終値!Z243:AS243)/AVERAGE(終値!Z243:AS243),""))</f>
        <v>7.183143967476753E-2</v>
      </c>
      <c r="X243" s="503">
        <f>IF(終値!A243="","",IFERROR(4*STDEVP(終値!AA243:AT243)/AVERAGE(終値!AA243:AT243),""))</f>
        <v>9.1742681286564584E-2</v>
      </c>
      <c r="Y243" s="503">
        <f>IF(終値!A243="","",IFERROR(4*STDEVP(終値!AB243:AU243)/AVERAGE(終値!AB243:AU243),""))</f>
        <v>9.5672933786377326E-2</v>
      </c>
      <c r="Z243" s="503">
        <f>IF(終値!A243="","",IFERROR(4*STDEVP(終値!AC243:AV243)/AVERAGE(終値!AC243:AV243),""))</f>
        <v>0.10279921303487649</v>
      </c>
      <c r="AA243" s="503">
        <f>IF(終値!A243="","",IFERROR(4*STDEVP(終値!AD243:AW243)/AVERAGE(終値!AD243:AW243),""))</f>
        <v>0.10427096586063113</v>
      </c>
      <c r="AB243" s="503">
        <f>IF(終値!A243="","",IFERROR(4*STDEVP(終値!AE243:AX243)/AVERAGE(終値!AE243:AX243),""))</f>
        <v>0.12218357746749411</v>
      </c>
      <c r="AC243" s="503">
        <f>IF(終値!A243="","",IFERROR(4*STDEVP(終値!AF243:AY243)/AVERAGE(終値!AF243:AY243),""))</f>
        <v>0.13125423762508193</v>
      </c>
      <c r="AD243" s="503">
        <f>IF(終値!A243="","",IFERROR(4*STDEVP(終値!AG243:AZ243)/AVERAGE(終値!AG243:AZ243),""))</f>
        <v>0.16046501671118732</v>
      </c>
      <c r="AE243" s="503">
        <f>IF(終値!A243="","",IFERROR(4*STDEVP(終値!AH243:BA243)/AVERAGE(終値!AH243:BA243),""))</f>
        <v>0.26189747667464242</v>
      </c>
      <c r="AF243" s="503">
        <f>IF(終値!A243="","",IFERROR(4*STDEVP(終値!AI243:BB243)/AVERAGE(終値!AI243:BB243),""))</f>
        <v>0.27854178007412927</v>
      </c>
      <c r="AG243" s="503">
        <f>IF(終値!A243="","",IFERROR(4*STDEVP(終値!AJ243:BC243)/AVERAGE(終値!AJ243:BC243),""))</f>
        <v>0.27905979278974369</v>
      </c>
      <c r="AH243" s="503">
        <f>IF(終値!A243="","",IFERROR(4*STDEVP(終値!AK243:BD243)/AVERAGE(終値!AK243:BD243),""))</f>
        <v>0.27896655037741835</v>
      </c>
      <c r="AI243" s="503">
        <f>IF(終値!A243="","",IFERROR(4*STDEVP(終値!AL243:BE243)/AVERAGE(終値!AL243:BE243),""))</f>
        <v>0.27290484418993566</v>
      </c>
      <c r="AJ243" s="503">
        <f>IF(終値!A243="","",IFERROR(4*STDEVP(終値!AM243:BF243)/AVERAGE(終値!AM243:BF243),""))</f>
        <v>0.26905927240299959</v>
      </c>
      <c r="AK243" s="503">
        <f>IF(終値!A243="","",IFERROR(4*STDEVP(終値!AN243:BG243)/AVERAGE(終値!AN243:BG243),""))</f>
        <v>0.27003570319748643</v>
      </c>
      <c r="AL243" s="503">
        <f>IF(終値!A243="","",IFERROR(4*STDEVP(終値!AO243:BH243)/AVERAGE(終値!AO243:BH243),""))</f>
        <v>0.26849738166138193</v>
      </c>
      <c r="AM243" s="503">
        <f>IF(終値!A243="","",IFERROR(4*STDEVP(終値!AP243:BI243)/AVERAGE(終値!AP243:BI243),""))</f>
        <v>0.26267246208215023</v>
      </c>
      <c r="AN243" s="503">
        <f>IF(終値!A243="","",IFERROR(4*STDEVP(終値!AQ243:BJ243)/AVERAGE(終値!AQ243:BJ243),""))</f>
        <v>0.25818874082350279</v>
      </c>
      <c r="AO243" s="503">
        <f>IF(終値!A243="","",IFERROR(4*STDEVP(終値!AR243:BK243)/AVERAGE(終値!AR243:BK243),""))</f>
        <v>0.24736951080987782</v>
      </c>
      <c r="AP243" s="503">
        <f>IF(終値!A243="","",IFERROR(4*STDEVP(終値!AS243:BL243)/AVERAGE(終値!AS243:BL243),""))</f>
        <v>0.23957717265800269</v>
      </c>
    </row>
    <row r="244" spans="1:42">
      <c r="A244" s="500" t="str">
        <f>IF(終値!A244="","",終値!A244)</f>
        <v>6902</v>
      </c>
      <c r="B244" s="503">
        <f>IF(終値!A244="","",IFERROR(4*STDEVP(終値!E244:X244)/AVERAGE(終値!E244:X244),""))</f>
        <v>0.17084447275020026</v>
      </c>
      <c r="C244" s="503">
        <f>IF(終値!A244="","",IFERROR(4*STDEVP(終値!F244:Y244)/AVERAGE(終値!F244:Y244),""))</f>
        <v>0.16828021878168936</v>
      </c>
      <c r="D244" s="503">
        <f>IF(終値!A244="","",IFERROR(4*STDEVP(終値!G244:Z244)/AVERAGE(終値!G244:Z244),""))</f>
        <v>0.16487561872318049</v>
      </c>
      <c r="E244" s="503">
        <f>IF(終値!A244="","",IFERROR(4*STDEVP(終値!H244:AA244)/AVERAGE(終値!H244:AA244),""))</f>
        <v>0.15887731946481426</v>
      </c>
      <c r="F244" s="503">
        <f>IF(終値!A244="","",IFERROR(4*STDEVP(終値!I244:AB244)/AVERAGE(終値!I244:AB244),""))</f>
        <v>0.15848654717191885</v>
      </c>
      <c r="G244" s="503">
        <f>IF(終値!A244="","",IFERROR(4*STDEVP(終値!J244:AC244)/AVERAGE(終値!J244:AC244),""))</f>
        <v>0.16778992577022561</v>
      </c>
      <c r="H244" s="503">
        <f>IF(終値!A244="","",IFERROR(4*STDEVP(終値!K244:AD244)/AVERAGE(終値!K244:AD244),""))</f>
        <v>0.14668446077550196</v>
      </c>
      <c r="I244" s="503">
        <f>IF(終値!A244="","",IFERROR(4*STDEVP(終値!L244:AE244)/AVERAGE(終値!L244:AE244),""))</f>
        <v>0.10511079170104898</v>
      </c>
      <c r="J244" s="503">
        <f>IF(終値!A244="","",IFERROR(4*STDEVP(終値!M244:AF244)/AVERAGE(終値!M244:AF244),""))</f>
        <v>9.5618323692379964E-2</v>
      </c>
      <c r="K244" s="503">
        <f>IF(終値!A244="","",IFERROR(4*STDEVP(終値!N244:AG244)/AVERAGE(終値!N244:AG244),""))</f>
        <v>8.9620944668856201E-2</v>
      </c>
      <c r="L244" s="503">
        <f>IF(終値!A244="","",IFERROR(4*STDEVP(終値!O244:AH244)/AVERAGE(終値!O244:AH244),""))</f>
        <v>9.312896492530387E-2</v>
      </c>
      <c r="M244" s="503">
        <f>IF(終値!A244="","",IFERROR(4*STDEVP(終値!P244:AI244)/AVERAGE(終値!P244:AI244),""))</f>
        <v>9.1281032436282883E-2</v>
      </c>
      <c r="N244" s="503">
        <f>IF(終値!A244="","",IFERROR(4*STDEVP(終値!Q244:AJ244)/AVERAGE(終値!Q244:AJ244),""))</f>
        <v>8.7979163812974284E-2</v>
      </c>
      <c r="O244" s="503">
        <f>IF(終値!A244="","",IFERROR(4*STDEVP(終値!R244:AK244)/AVERAGE(終値!R244:AK244),""))</f>
        <v>8.220010238365337E-2</v>
      </c>
      <c r="P244" s="503">
        <f>IF(終値!A244="","",IFERROR(4*STDEVP(終値!S244:AL244)/AVERAGE(終値!S244:AL244),""))</f>
        <v>7.9804868411097865E-2</v>
      </c>
      <c r="Q244" s="503">
        <f>IF(終値!A244="","",IFERROR(4*STDEVP(終値!T244:AM244)/AVERAGE(終値!T244:AM244),""))</f>
        <v>7.7971202425587471E-2</v>
      </c>
      <c r="R244" s="503">
        <f>IF(終値!A244="","",IFERROR(4*STDEVP(終値!U244:AN244)/AVERAGE(終値!U244:AN244),""))</f>
        <v>7.7624212109179941E-2</v>
      </c>
      <c r="S244" s="503">
        <f>IF(終値!A244="","",IFERROR(4*STDEVP(終値!V244:AO244)/AVERAGE(終値!V244:AO244),""))</f>
        <v>7.7476524563129839E-2</v>
      </c>
      <c r="T244" s="503">
        <f>IF(終値!A244="","",IFERROR(4*STDEVP(終値!W244:AP244)/AVERAGE(終値!W244:AP244),""))</f>
        <v>8.1225436633103013E-2</v>
      </c>
      <c r="U244" s="503">
        <f>IF(終値!A244="","",IFERROR(4*STDEVP(終値!X244:AQ244)/AVERAGE(終値!X244:AQ244),""))</f>
        <v>8.74137924949005E-2</v>
      </c>
      <c r="V244" s="503">
        <f>IF(終値!A244="","",IFERROR(4*STDEVP(終値!Y244:AR244)/AVERAGE(終値!Y244:AR244),""))</f>
        <v>8.5652979683987815E-2</v>
      </c>
      <c r="W244" s="503">
        <f>IF(終値!A244="","",IFERROR(4*STDEVP(終値!Z244:AS244)/AVERAGE(終値!Z244:AS244),""))</f>
        <v>7.5493528924702083E-2</v>
      </c>
      <c r="X244" s="503">
        <f>IF(終値!A244="","",IFERROR(4*STDEVP(終値!AA244:AT244)/AVERAGE(終値!AA244:AT244),""))</f>
        <v>5.9776477996796959E-2</v>
      </c>
      <c r="Y244" s="503">
        <f>IF(終値!A244="","",IFERROR(4*STDEVP(終値!AB244:AU244)/AVERAGE(終値!AB244:AU244),""))</f>
        <v>5.176085843579608E-2</v>
      </c>
      <c r="Z244" s="503">
        <f>IF(終値!A244="","",IFERROR(4*STDEVP(終値!AC244:AV244)/AVERAGE(終値!AC244:AV244),""))</f>
        <v>5.0604740350591162E-2</v>
      </c>
      <c r="AA244" s="503">
        <f>IF(終値!A244="","",IFERROR(4*STDEVP(終値!AD244:AW244)/AVERAGE(終値!AD244:AW244),""))</f>
        <v>5.0862549535031686E-2</v>
      </c>
      <c r="AB244" s="503">
        <f>IF(終値!A244="","",IFERROR(4*STDEVP(終値!AE244:AX244)/AVERAGE(終値!AE244:AX244),""))</f>
        <v>5.1261940299214402E-2</v>
      </c>
      <c r="AC244" s="503">
        <f>IF(終値!A244="","",IFERROR(4*STDEVP(終値!AF244:AY244)/AVERAGE(終値!AF244:AY244),""))</f>
        <v>5.1287376040408131E-2</v>
      </c>
      <c r="AD244" s="503">
        <f>IF(終値!A244="","",IFERROR(4*STDEVP(終値!AG244:AZ244)/AVERAGE(終値!AG244:AZ244),""))</f>
        <v>5.0787026012125147E-2</v>
      </c>
      <c r="AE244" s="503">
        <f>IF(終値!A244="","",IFERROR(4*STDEVP(終値!AH244:BA244)/AVERAGE(終値!AH244:BA244),""))</f>
        <v>5.4893964966572499E-2</v>
      </c>
      <c r="AF244" s="503">
        <f>IF(終値!A244="","",IFERROR(4*STDEVP(終値!AI244:BB244)/AVERAGE(終値!AI244:BB244),""))</f>
        <v>5.989724061137585E-2</v>
      </c>
      <c r="AG244" s="503">
        <f>IF(終値!A244="","",IFERROR(4*STDEVP(終値!AJ244:BC244)/AVERAGE(終値!AJ244:BC244),""))</f>
        <v>6.2390706382425373E-2</v>
      </c>
      <c r="AH244" s="503">
        <f>IF(終値!A244="","",IFERROR(4*STDEVP(終値!AK244:BD244)/AVERAGE(終値!AK244:BD244),""))</f>
        <v>6.6510250396491041E-2</v>
      </c>
      <c r="AI244" s="503">
        <f>IF(終値!A244="","",IFERROR(4*STDEVP(終値!AL244:BE244)/AVERAGE(終値!AL244:BE244),""))</f>
        <v>6.6815640483312164E-2</v>
      </c>
      <c r="AJ244" s="503">
        <f>IF(終値!A244="","",IFERROR(4*STDEVP(終値!AM244:BF244)/AVERAGE(終値!AM244:BF244),""))</f>
        <v>6.4138916191167156E-2</v>
      </c>
      <c r="AK244" s="503">
        <f>IF(終値!A244="","",IFERROR(4*STDEVP(終値!AN244:BG244)/AVERAGE(終値!AN244:BG244),""))</f>
        <v>6.9064469321004823E-2</v>
      </c>
      <c r="AL244" s="503">
        <f>IF(終値!A244="","",IFERROR(4*STDEVP(終値!AO244:BH244)/AVERAGE(終値!AO244:BH244),""))</f>
        <v>6.8711980567585221E-2</v>
      </c>
      <c r="AM244" s="503">
        <f>IF(終値!A244="","",IFERROR(4*STDEVP(終値!AP244:BI244)/AVERAGE(終値!AP244:BI244),""))</f>
        <v>6.9889483173177072E-2</v>
      </c>
      <c r="AN244" s="503">
        <f>IF(終値!A244="","",IFERROR(4*STDEVP(終値!AQ244:BJ244)/AVERAGE(終値!AQ244:BJ244),""))</f>
        <v>6.8917422208548185E-2</v>
      </c>
      <c r="AO244" s="503">
        <f>IF(終値!A244="","",IFERROR(4*STDEVP(終値!AR244:BK244)/AVERAGE(終値!AR244:BK244),""))</f>
        <v>6.5418998848848109E-2</v>
      </c>
      <c r="AP244" s="503">
        <f>IF(終値!A244="","",IFERROR(4*STDEVP(終値!AS244:BL244)/AVERAGE(終値!AS244:BL244),""))</f>
        <v>6.7731524683068867E-2</v>
      </c>
    </row>
    <row r="245" spans="1:42">
      <c r="A245" s="500" t="str">
        <f>IF(終値!A245="","",終値!A245)</f>
        <v>3936</v>
      </c>
      <c r="B245" s="503">
        <f>IF(終値!A245="","",IFERROR(4*STDEVP(終値!E245:X245)/AVERAGE(終値!E245:X245),""))</f>
        <v>2.5157232704402517E-2</v>
      </c>
      <c r="C245" s="503">
        <f>IF(終値!A245="","",IFERROR(4*STDEVP(終値!F245:Y245)/AVERAGE(終値!F245:Y245),""))</f>
        <v>0</v>
      </c>
      <c r="D245" s="503" t="str">
        <f>IF(終値!A245="","",IFERROR(4*STDEVP(終値!G245:Z245)/AVERAGE(終値!G245:Z245),""))</f>
        <v/>
      </c>
      <c r="E245" s="503" t="str">
        <f>IF(終値!A245="","",IFERROR(4*STDEVP(終値!H245:AA245)/AVERAGE(終値!H245:AA245),""))</f>
        <v/>
      </c>
      <c r="F245" s="503" t="str">
        <f>IF(終値!A245="","",IFERROR(4*STDEVP(終値!I245:AB245)/AVERAGE(終値!I245:AB245),""))</f>
        <v/>
      </c>
      <c r="G245" s="503" t="str">
        <f>IF(終値!A245="","",IFERROR(4*STDEVP(終値!J245:AC245)/AVERAGE(終値!J245:AC245),""))</f>
        <v/>
      </c>
      <c r="H245" s="503" t="str">
        <f>IF(終値!A245="","",IFERROR(4*STDEVP(終値!K245:AD245)/AVERAGE(終値!K245:AD245),""))</f>
        <v/>
      </c>
      <c r="I245" s="503" t="str">
        <f>IF(終値!A245="","",IFERROR(4*STDEVP(終値!L245:AE245)/AVERAGE(終値!L245:AE245),""))</f>
        <v/>
      </c>
      <c r="J245" s="503" t="str">
        <f>IF(終値!A245="","",IFERROR(4*STDEVP(終値!M245:AF245)/AVERAGE(終値!M245:AF245),""))</f>
        <v/>
      </c>
      <c r="K245" s="503" t="str">
        <f>IF(終値!A245="","",IFERROR(4*STDEVP(終値!N245:AG245)/AVERAGE(終値!N245:AG245),""))</f>
        <v/>
      </c>
      <c r="L245" s="503" t="str">
        <f>IF(終値!A245="","",IFERROR(4*STDEVP(終値!O245:AH245)/AVERAGE(終値!O245:AH245),""))</f>
        <v/>
      </c>
      <c r="M245" s="503" t="str">
        <f>IF(終値!A245="","",IFERROR(4*STDEVP(終値!P245:AI245)/AVERAGE(終値!P245:AI245),""))</f>
        <v/>
      </c>
      <c r="N245" s="503" t="str">
        <f>IF(終値!A245="","",IFERROR(4*STDEVP(終値!Q245:AJ245)/AVERAGE(終値!Q245:AJ245),""))</f>
        <v/>
      </c>
      <c r="O245" s="503" t="str">
        <f>IF(終値!A245="","",IFERROR(4*STDEVP(終値!R245:AK245)/AVERAGE(終値!R245:AK245),""))</f>
        <v/>
      </c>
      <c r="P245" s="503" t="str">
        <f>IF(終値!A245="","",IFERROR(4*STDEVP(終値!S245:AL245)/AVERAGE(終値!S245:AL245),""))</f>
        <v/>
      </c>
      <c r="Q245" s="503" t="str">
        <f>IF(終値!A245="","",IFERROR(4*STDEVP(終値!T245:AM245)/AVERAGE(終値!T245:AM245),""))</f>
        <v/>
      </c>
      <c r="R245" s="503" t="str">
        <f>IF(終値!A245="","",IFERROR(4*STDEVP(終値!U245:AN245)/AVERAGE(終値!U245:AN245),""))</f>
        <v/>
      </c>
      <c r="S245" s="503" t="str">
        <f>IF(終値!A245="","",IFERROR(4*STDEVP(終値!V245:AO245)/AVERAGE(終値!V245:AO245),""))</f>
        <v/>
      </c>
      <c r="T245" s="503" t="str">
        <f>IF(終値!A245="","",IFERROR(4*STDEVP(終値!W245:AP245)/AVERAGE(終値!W245:AP245),""))</f>
        <v/>
      </c>
      <c r="U245" s="503" t="str">
        <f>IF(終値!A245="","",IFERROR(4*STDEVP(終値!X245:AQ245)/AVERAGE(終値!X245:AQ245),""))</f>
        <v/>
      </c>
      <c r="V245" s="503" t="str">
        <f>IF(終値!A245="","",IFERROR(4*STDEVP(終値!Y245:AR245)/AVERAGE(終値!Y245:AR245),""))</f>
        <v/>
      </c>
      <c r="W245" s="503" t="str">
        <f>IF(終値!A245="","",IFERROR(4*STDEVP(終値!Z245:AS245)/AVERAGE(終値!Z245:AS245),""))</f>
        <v/>
      </c>
      <c r="X245" s="503" t="str">
        <f>IF(終値!A245="","",IFERROR(4*STDEVP(終値!AA245:AT245)/AVERAGE(終値!AA245:AT245),""))</f>
        <v/>
      </c>
      <c r="Y245" s="503" t="str">
        <f>IF(終値!A245="","",IFERROR(4*STDEVP(終値!AB245:AU245)/AVERAGE(終値!AB245:AU245),""))</f>
        <v/>
      </c>
      <c r="Z245" s="503" t="str">
        <f>IF(終値!A245="","",IFERROR(4*STDEVP(終値!AC245:AV245)/AVERAGE(終値!AC245:AV245),""))</f>
        <v/>
      </c>
      <c r="AA245" s="503" t="str">
        <f>IF(終値!A245="","",IFERROR(4*STDEVP(終値!AD245:AW245)/AVERAGE(終値!AD245:AW245),""))</f>
        <v/>
      </c>
      <c r="AB245" s="503" t="str">
        <f>IF(終値!A245="","",IFERROR(4*STDEVP(終値!AE245:AX245)/AVERAGE(終値!AE245:AX245),""))</f>
        <v/>
      </c>
      <c r="AC245" s="503" t="str">
        <f>IF(終値!A245="","",IFERROR(4*STDEVP(終値!AF245:AY245)/AVERAGE(終値!AF245:AY245),""))</f>
        <v/>
      </c>
      <c r="AD245" s="503" t="str">
        <f>IF(終値!A245="","",IFERROR(4*STDEVP(終値!AG245:AZ245)/AVERAGE(終値!AG245:AZ245),""))</f>
        <v/>
      </c>
      <c r="AE245" s="503" t="str">
        <f>IF(終値!A245="","",IFERROR(4*STDEVP(終値!AH245:BA245)/AVERAGE(終値!AH245:BA245),""))</f>
        <v/>
      </c>
      <c r="AF245" s="503" t="str">
        <f>IF(終値!A245="","",IFERROR(4*STDEVP(終値!AI245:BB245)/AVERAGE(終値!AI245:BB245),""))</f>
        <v/>
      </c>
      <c r="AG245" s="503" t="str">
        <f>IF(終値!A245="","",IFERROR(4*STDEVP(終値!AJ245:BC245)/AVERAGE(終値!AJ245:BC245),""))</f>
        <v/>
      </c>
      <c r="AH245" s="503" t="str">
        <f>IF(終値!A245="","",IFERROR(4*STDEVP(終値!AK245:BD245)/AVERAGE(終値!AK245:BD245),""))</f>
        <v/>
      </c>
      <c r="AI245" s="503" t="str">
        <f>IF(終値!A245="","",IFERROR(4*STDEVP(終値!AL245:BE245)/AVERAGE(終値!AL245:BE245),""))</f>
        <v/>
      </c>
      <c r="AJ245" s="503" t="str">
        <f>IF(終値!A245="","",IFERROR(4*STDEVP(終値!AM245:BF245)/AVERAGE(終値!AM245:BF245),""))</f>
        <v/>
      </c>
      <c r="AK245" s="503" t="str">
        <f>IF(終値!A245="","",IFERROR(4*STDEVP(終値!AN245:BG245)/AVERAGE(終値!AN245:BG245),""))</f>
        <v/>
      </c>
      <c r="AL245" s="503" t="str">
        <f>IF(終値!A245="","",IFERROR(4*STDEVP(終値!AO245:BH245)/AVERAGE(終値!AO245:BH245),""))</f>
        <v/>
      </c>
      <c r="AM245" s="503" t="str">
        <f>IF(終値!A245="","",IFERROR(4*STDEVP(終値!AP245:BI245)/AVERAGE(終値!AP245:BI245),""))</f>
        <v/>
      </c>
      <c r="AN245" s="503" t="str">
        <f>IF(終値!A245="","",IFERROR(4*STDEVP(終値!AQ245:BJ245)/AVERAGE(終値!AQ245:BJ245),""))</f>
        <v/>
      </c>
      <c r="AO245" s="503" t="str">
        <f>IF(終値!A245="","",IFERROR(4*STDEVP(終値!AR245:BK245)/AVERAGE(終値!AR245:BK245),""))</f>
        <v/>
      </c>
      <c r="AP245" s="503" t="str">
        <f>IF(終値!A245="","",IFERROR(4*STDEVP(終値!AS245:BL245)/AVERAGE(終値!AS245:BL245),""))</f>
        <v/>
      </c>
    </row>
    <row r="246" spans="1:42">
      <c r="A246" s="500" t="str">
        <f>IF(終値!A246="","",終値!A246)</f>
        <v>6928</v>
      </c>
      <c r="B246" s="503">
        <f>IF(終値!A246="","",IFERROR(4*STDEVP(終値!E246:X246)/AVERAGE(終値!E246:X246),""))</f>
        <v>0.31777680040179834</v>
      </c>
      <c r="C246" s="503">
        <f>IF(終値!A246="","",IFERROR(4*STDEVP(終値!F246:Y246)/AVERAGE(終値!F246:Y246),""))</f>
        <v>0.32585473835415912</v>
      </c>
      <c r="D246" s="503">
        <f>IF(終値!A246="","",IFERROR(4*STDEVP(終値!G246:Z246)/AVERAGE(終値!G246:Z246),""))</f>
        <v>0.33916132603905208</v>
      </c>
      <c r="E246" s="503">
        <f>IF(終値!A246="","",IFERROR(4*STDEVP(終値!H246:AA246)/AVERAGE(終値!H246:AA246),""))</f>
        <v>0.35007357892647223</v>
      </c>
      <c r="F246" s="503">
        <f>IF(終値!A246="","",IFERROR(4*STDEVP(終値!I246:AB246)/AVERAGE(終値!I246:AB246),""))</f>
        <v>0.35234686968591006</v>
      </c>
      <c r="G246" s="503">
        <f>IF(終値!A246="","",IFERROR(4*STDEVP(終値!J246:AC246)/AVERAGE(終値!J246:AC246),""))</f>
        <v>0.35308144560128213</v>
      </c>
      <c r="H246" s="503">
        <f>IF(終値!A246="","",IFERROR(4*STDEVP(終値!K246:AD246)/AVERAGE(終値!K246:AD246),""))</f>
        <v>0.33751216186306499</v>
      </c>
      <c r="I246" s="503">
        <f>IF(終値!A246="","",IFERROR(4*STDEVP(終値!L246:AE246)/AVERAGE(終値!L246:AE246),""))</f>
        <v>0.29750331534360491</v>
      </c>
      <c r="J246" s="503">
        <f>IF(終値!A246="","",IFERROR(4*STDEVP(終値!M246:AF246)/AVERAGE(終値!M246:AF246),""))</f>
        <v>0.27940238163018705</v>
      </c>
      <c r="K246" s="503">
        <f>IF(終値!A246="","",IFERROR(4*STDEVP(終値!N246:AG246)/AVERAGE(終値!N246:AG246),""))</f>
        <v>0.30423763572453943</v>
      </c>
      <c r="L246" s="503">
        <f>IF(終値!A246="","",IFERROR(4*STDEVP(終値!O246:AH246)/AVERAGE(終値!O246:AH246),""))</f>
        <v>0.32264325946789174</v>
      </c>
      <c r="M246" s="503">
        <f>IF(終値!A246="","",IFERROR(4*STDEVP(終値!P246:AI246)/AVERAGE(終値!P246:AI246),""))</f>
        <v>0.33100606245719244</v>
      </c>
      <c r="N246" s="503">
        <f>IF(終値!A246="","",IFERROR(4*STDEVP(終値!Q246:AJ246)/AVERAGE(終値!Q246:AJ246),""))</f>
        <v>0.34079616135649637</v>
      </c>
      <c r="O246" s="503">
        <f>IF(終値!A246="","",IFERROR(4*STDEVP(終値!R246:AK246)/AVERAGE(終値!R246:AK246),""))</f>
        <v>0.34190033356748734</v>
      </c>
      <c r="P246" s="503">
        <f>IF(終値!A246="","",IFERROR(4*STDEVP(終値!S246:AL246)/AVERAGE(終値!S246:AL246),""))</f>
        <v>0.32679977961085899</v>
      </c>
      <c r="Q246" s="503">
        <f>IF(終値!A246="","",IFERROR(4*STDEVP(終値!T246:AM246)/AVERAGE(終値!T246:AM246),""))</f>
        <v>0.3280472835832498</v>
      </c>
      <c r="R246" s="503">
        <f>IF(終値!A246="","",IFERROR(4*STDEVP(終値!U246:AN246)/AVERAGE(終値!U246:AN246),""))</f>
        <v>0.32205341075545152</v>
      </c>
      <c r="S246" s="503">
        <f>IF(終値!A246="","",IFERROR(4*STDEVP(終値!V246:AO246)/AVERAGE(終値!V246:AO246),""))</f>
        <v>0.31748579435474894</v>
      </c>
      <c r="T246" s="503">
        <f>IF(終値!A246="","",IFERROR(4*STDEVP(終値!W246:AP246)/AVERAGE(終値!W246:AP246),""))</f>
        <v>0.30293158797920927</v>
      </c>
      <c r="U246" s="503">
        <f>IF(終値!A246="","",IFERROR(4*STDEVP(終値!X246:AQ246)/AVERAGE(終値!X246:AQ246),""))</f>
        <v>0.28969943901077227</v>
      </c>
      <c r="V246" s="503">
        <f>IF(終値!A246="","",IFERROR(4*STDEVP(終値!Y246:AR246)/AVERAGE(終値!Y246:AR246),""))</f>
        <v>0.26248766133146589</v>
      </c>
      <c r="W246" s="503">
        <f>IF(終値!A246="","",IFERROR(4*STDEVP(終値!Z246:AS246)/AVERAGE(終値!Z246:AS246),""))</f>
        <v>0.23912753109391752</v>
      </c>
      <c r="X246" s="503">
        <f>IF(終値!A246="","",IFERROR(4*STDEVP(終値!AA246:AT246)/AVERAGE(終値!AA246:AT246),""))</f>
        <v>0.23496821287315556</v>
      </c>
      <c r="Y246" s="503">
        <f>IF(終値!A246="","",IFERROR(4*STDEVP(終値!AB246:AU246)/AVERAGE(終値!AB246:AU246),""))</f>
        <v>0.22785447702078176</v>
      </c>
      <c r="Z246" s="503">
        <f>IF(終値!A246="","",IFERROR(4*STDEVP(終値!AC246:AV246)/AVERAGE(終値!AC246:AV246),""))</f>
        <v>0.21537228266169234</v>
      </c>
      <c r="AA246" s="503">
        <f>IF(終値!A246="","",IFERROR(4*STDEVP(終値!AD246:AW246)/AVERAGE(終値!AD246:AW246),""))</f>
        <v>0.21054746326133997</v>
      </c>
      <c r="AB246" s="503">
        <f>IF(終値!A246="","",IFERROR(4*STDEVP(終値!AE246:AX246)/AVERAGE(終値!AE246:AX246),""))</f>
        <v>0.21641611449867149</v>
      </c>
      <c r="AC246" s="503">
        <f>IF(終値!A246="","",IFERROR(4*STDEVP(終値!AF246:AY246)/AVERAGE(終値!AF246:AY246),""))</f>
        <v>0.20878850772419438</v>
      </c>
      <c r="AD246" s="503">
        <f>IF(終値!A246="","",IFERROR(4*STDEVP(終値!AG246:AZ246)/AVERAGE(終値!AG246:AZ246),""))</f>
        <v>0.19191506052248447</v>
      </c>
      <c r="AE246" s="503">
        <f>IF(終値!A246="","",IFERROR(4*STDEVP(終値!AH246:BA246)/AVERAGE(終値!AH246:BA246),""))</f>
        <v>0.19281655758003299</v>
      </c>
      <c r="AF246" s="503">
        <f>IF(終値!A246="","",IFERROR(4*STDEVP(終値!AI246:BB246)/AVERAGE(終値!AI246:BB246),""))</f>
        <v>0.19237497719057306</v>
      </c>
      <c r="AG246" s="503">
        <f>IF(終値!A246="","",IFERROR(4*STDEVP(終値!AJ246:BC246)/AVERAGE(終値!AJ246:BC246),""))</f>
        <v>0.18927614178901536</v>
      </c>
      <c r="AH246" s="503">
        <f>IF(終値!A246="","",IFERROR(4*STDEVP(終値!AK246:BD246)/AVERAGE(終値!AK246:BD246),""))</f>
        <v>0.18871192324944239</v>
      </c>
      <c r="AI246" s="503">
        <f>IF(終値!A246="","",IFERROR(4*STDEVP(終値!AL246:BE246)/AVERAGE(終値!AL246:BE246),""))</f>
        <v>0.18850402926761886</v>
      </c>
      <c r="AJ246" s="503">
        <f>IF(終値!A246="","",IFERROR(4*STDEVP(終値!AM246:BF246)/AVERAGE(終値!AM246:BF246),""))</f>
        <v>0.1884140309122464</v>
      </c>
      <c r="AK246" s="503">
        <f>IF(終値!A246="","",IFERROR(4*STDEVP(終値!AN246:BG246)/AVERAGE(終値!AN246:BG246),""))</f>
        <v>0.18418902717931263</v>
      </c>
      <c r="AL246" s="503">
        <f>IF(終値!A246="","",IFERROR(4*STDEVP(終値!AO246:BH246)/AVERAGE(終値!AO246:BH246),""))</f>
        <v>0.17760040969321964</v>
      </c>
      <c r="AM246" s="503">
        <f>IF(終値!A246="","",IFERROR(4*STDEVP(終値!AP246:BI246)/AVERAGE(終値!AP246:BI246),""))</f>
        <v>0.17126929575412703</v>
      </c>
      <c r="AN246" s="503">
        <f>IF(終値!A246="","",IFERROR(4*STDEVP(終値!AQ246:BJ246)/AVERAGE(終値!AQ246:BJ246),""))</f>
        <v>0.14238442708461355</v>
      </c>
      <c r="AO246" s="503">
        <f>IF(終値!A246="","",IFERROR(4*STDEVP(終値!AR246:BK246)/AVERAGE(終値!AR246:BK246),""))</f>
        <v>0.12959687165862269</v>
      </c>
      <c r="AP246" s="503">
        <f>IF(終値!A246="","",IFERROR(4*STDEVP(終値!AS246:BL246)/AVERAGE(終値!AS246:BL246),""))</f>
        <v>0.12678381812523348</v>
      </c>
    </row>
    <row r="247" spans="1:42">
      <c r="A247" s="500" t="str">
        <f>IF(終値!A247="","",終値!A247)</f>
        <v>5632</v>
      </c>
      <c r="B247" s="503">
        <f>IF(終値!A247="","",IFERROR(4*STDEVP(終値!E247:X247)/AVERAGE(終値!E247:X247),""))</f>
        <v>0.10358939367372247</v>
      </c>
      <c r="C247" s="503">
        <f>IF(終値!A247="","",IFERROR(4*STDEVP(終値!F247:Y247)/AVERAGE(終値!F247:Y247),""))</f>
        <v>8.0552247648459793E-2</v>
      </c>
      <c r="D247" s="503">
        <f>IF(終値!A247="","",IFERROR(4*STDEVP(終値!G247:Z247)/AVERAGE(終値!G247:Z247),""))</f>
        <v>6.3875391233788631E-2</v>
      </c>
      <c r="E247" s="503">
        <f>IF(終値!A247="","",IFERROR(4*STDEVP(終値!H247:AA247)/AVERAGE(終値!H247:AA247),""))</f>
        <v>6.7984146023152281E-2</v>
      </c>
      <c r="F247" s="503">
        <f>IF(終値!A247="","",IFERROR(4*STDEVP(終値!I247:AB247)/AVERAGE(終値!I247:AB247),""))</f>
        <v>6.7331829209690941E-2</v>
      </c>
      <c r="G247" s="503">
        <f>IF(終値!A247="","",IFERROR(4*STDEVP(終値!J247:AC247)/AVERAGE(終値!J247:AC247),""))</f>
        <v>6.56096886762879E-2</v>
      </c>
      <c r="H247" s="503">
        <f>IF(終値!A247="","",IFERROR(4*STDEVP(終値!K247:AD247)/AVERAGE(終値!K247:AD247),""))</f>
        <v>6.5642859515302576E-2</v>
      </c>
      <c r="I247" s="503">
        <f>IF(終値!A247="","",IFERROR(4*STDEVP(終値!L247:AE247)/AVERAGE(終値!L247:AE247),""))</f>
        <v>6.9734564903220317E-2</v>
      </c>
      <c r="J247" s="503">
        <f>IF(終値!A247="","",IFERROR(4*STDEVP(終値!M247:AF247)/AVERAGE(終値!M247:AF247),""))</f>
        <v>6.9767950002619802E-2</v>
      </c>
      <c r="K247" s="503">
        <f>IF(終値!A247="","",IFERROR(4*STDEVP(終値!N247:AG247)/AVERAGE(終値!N247:AG247),""))</f>
        <v>7.3620624105352167E-2</v>
      </c>
      <c r="L247" s="503">
        <f>IF(終値!A247="","",IFERROR(4*STDEVP(終値!O247:AH247)/AVERAGE(終値!O247:AH247),""))</f>
        <v>7.5962103795695332E-2</v>
      </c>
      <c r="M247" s="503">
        <f>IF(終値!A247="","",IFERROR(4*STDEVP(終値!P247:AI247)/AVERAGE(終値!P247:AI247),""))</f>
        <v>8.5837769701136268E-2</v>
      </c>
      <c r="N247" s="503">
        <f>IF(終値!A247="","",IFERROR(4*STDEVP(終値!Q247:AJ247)/AVERAGE(終値!Q247:AJ247),""))</f>
        <v>0.13616576779240941</v>
      </c>
      <c r="O247" s="503">
        <f>IF(終値!A247="","",IFERROR(4*STDEVP(終値!R247:AK247)/AVERAGE(終値!R247:AK247),""))</f>
        <v>0.14846991054694386</v>
      </c>
      <c r="P247" s="503">
        <f>IF(終値!A247="","",IFERROR(4*STDEVP(終値!S247:AL247)/AVERAGE(終値!S247:AL247),""))</f>
        <v>0.14927719090721181</v>
      </c>
      <c r="Q247" s="503">
        <f>IF(終値!A247="","",IFERROR(4*STDEVP(終値!T247:AM247)/AVERAGE(終値!T247:AM247),""))</f>
        <v>0.15076011170011852</v>
      </c>
      <c r="R247" s="503">
        <f>IF(終値!A247="","",IFERROR(4*STDEVP(終値!U247:AN247)/AVERAGE(終値!U247:AN247),""))</f>
        <v>0.14960776984023533</v>
      </c>
      <c r="S247" s="503">
        <f>IF(終値!A247="","",IFERROR(4*STDEVP(終値!V247:AO247)/AVERAGE(終値!V247:AO247),""))</f>
        <v>0.14056786324412787</v>
      </c>
      <c r="T247" s="503">
        <f>IF(終値!A247="","",IFERROR(4*STDEVP(終値!W247:AP247)/AVERAGE(終値!W247:AP247),""))</f>
        <v>0.13758426419752137</v>
      </c>
      <c r="U247" s="503">
        <f>IF(終値!A247="","",IFERROR(4*STDEVP(終値!X247:AQ247)/AVERAGE(終値!X247:AQ247),""))</f>
        <v>0.13604646742044599</v>
      </c>
      <c r="V247" s="503">
        <f>IF(終値!A247="","",IFERROR(4*STDEVP(終値!Y247:AR247)/AVERAGE(終値!Y247:AR247),""))</f>
        <v>0.1376384699158914</v>
      </c>
      <c r="W247" s="503">
        <f>IF(終値!A247="","",IFERROR(4*STDEVP(終値!Z247:AS247)/AVERAGE(終値!Z247:AS247),""))</f>
        <v>0.14269944249450067</v>
      </c>
      <c r="X247" s="503">
        <f>IF(終値!A247="","",IFERROR(4*STDEVP(終値!AA247:AT247)/AVERAGE(終値!AA247:AT247),""))</f>
        <v>0.14397232728358186</v>
      </c>
      <c r="Y247" s="503">
        <f>IF(終値!A247="","",IFERROR(4*STDEVP(終値!AB247:AU247)/AVERAGE(終値!AB247:AU247),""))</f>
        <v>0.14862957340137062</v>
      </c>
      <c r="Z247" s="503">
        <f>IF(終値!A247="","",IFERROR(4*STDEVP(終値!AC247:AV247)/AVERAGE(終値!AC247:AV247),""))</f>
        <v>0.15391879273143813</v>
      </c>
      <c r="AA247" s="503">
        <f>IF(終値!A247="","",IFERROR(4*STDEVP(終値!AD247:AW247)/AVERAGE(終値!AD247:AW247),""))</f>
        <v>0.15936589584303404</v>
      </c>
      <c r="AB247" s="503">
        <f>IF(終値!A247="","",IFERROR(4*STDEVP(終値!AE247:AX247)/AVERAGE(終値!AE247:AX247),""))</f>
        <v>0.15919913437033761</v>
      </c>
      <c r="AC247" s="503">
        <f>IF(終値!A247="","",IFERROR(4*STDEVP(終値!AF247:AY247)/AVERAGE(終値!AF247:AY247),""))</f>
        <v>0.16068569895261159</v>
      </c>
      <c r="AD247" s="503">
        <f>IF(終値!A247="","",IFERROR(4*STDEVP(終値!AG247:AZ247)/AVERAGE(終値!AG247:AZ247),""))</f>
        <v>0.16144697088815788</v>
      </c>
      <c r="AE247" s="503">
        <f>IF(終値!A247="","",IFERROR(4*STDEVP(終値!AH247:BA247)/AVERAGE(終値!AH247:BA247),""))</f>
        <v>0.16166138528669352</v>
      </c>
      <c r="AF247" s="503">
        <f>IF(終値!A247="","",IFERROR(4*STDEVP(終値!AI247:BB247)/AVERAGE(終値!AI247:BB247),""))</f>
        <v>0.16130047719530052</v>
      </c>
      <c r="AG247" s="503">
        <f>IF(終値!A247="","",IFERROR(4*STDEVP(終値!AJ247:BC247)/AVERAGE(終値!AJ247:BC247),""))</f>
        <v>0.15926531729233831</v>
      </c>
      <c r="AH247" s="503">
        <f>IF(終値!A247="","",IFERROR(4*STDEVP(終値!AK247:BD247)/AVERAGE(終値!AK247:BD247),""))</f>
        <v>0.1266692451484854</v>
      </c>
      <c r="AI247" s="503">
        <f>IF(終値!A247="","",IFERROR(4*STDEVP(終値!AL247:BE247)/AVERAGE(終値!AL247:BE247),""))</f>
        <v>9.9640849430568293E-2</v>
      </c>
      <c r="AJ247" s="503">
        <f>IF(終値!A247="","",IFERROR(4*STDEVP(終値!AM247:BF247)/AVERAGE(終値!AM247:BF247),""))</f>
        <v>7.7766341450199283E-2</v>
      </c>
      <c r="AK247" s="503">
        <f>IF(終値!A247="","",IFERROR(4*STDEVP(終値!AN247:BG247)/AVERAGE(終値!AN247:BG247),""))</f>
        <v>8.007161368002999E-2</v>
      </c>
      <c r="AL247" s="503">
        <f>IF(終値!A247="","",IFERROR(4*STDEVP(終値!AO247:BH247)/AVERAGE(終値!AO247:BH247),""))</f>
        <v>7.8841432190807109E-2</v>
      </c>
      <c r="AM247" s="503">
        <f>IF(終値!A247="","",IFERROR(4*STDEVP(終値!AP247:BI247)/AVERAGE(終値!AP247:BI247),""))</f>
        <v>8.8649835976709168E-2</v>
      </c>
      <c r="AN247" s="503">
        <f>IF(終値!A247="","",IFERROR(4*STDEVP(終値!AQ247:BJ247)/AVERAGE(終値!AQ247:BJ247),""))</f>
        <v>0.13253762045819295</v>
      </c>
      <c r="AO247" s="503">
        <f>IF(終値!A247="","",IFERROR(4*STDEVP(終値!AR247:BK247)/AVERAGE(終値!AR247:BK247),""))</f>
        <v>0.15622933419603152</v>
      </c>
      <c r="AP247" s="503">
        <f>IF(終値!A247="","",IFERROR(4*STDEVP(終値!AS247:BL247)/AVERAGE(終値!AS247:BL247),""))</f>
        <v>0.1869947912247448</v>
      </c>
    </row>
    <row r="248" spans="1:42">
      <c r="A248" s="500" t="str">
        <f>IF(終値!A248="","",終値!A248)</f>
        <v>6098</v>
      </c>
      <c r="B248" s="503">
        <f>IF(終値!A248="","",IFERROR(4*STDEVP(終値!E248:X248)/AVERAGE(終値!E248:X248),""))</f>
        <v>8.5569418505924658E-2</v>
      </c>
      <c r="C248" s="503">
        <f>IF(終値!A248="","",IFERROR(4*STDEVP(終値!F248:Y248)/AVERAGE(終値!F248:Y248),""))</f>
        <v>8.4584569725419154E-2</v>
      </c>
      <c r="D248" s="503">
        <f>IF(終値!A248="","",IFERROR(4*STDEVP(終値!G248:Z248)/AVERAGE(終値!G248:Z248),""))</f>
        <v>9.4090586144386673E-2</v>
      </c>
      <c r="E248" s="503">
        <f>IF(終値!A248="","",IFERROR(4*STDEVP(終値!H248:AA248)/AVERAGE(終値!H248:AA248),""))</f>
        <v>0.10212236953160601</v>
      </c>
      <c r="F248" s="503">
        <f>IF(終値!A248="","",IFERROR(4*STDEVP(終値!I248:AB248)/AVERAGE(終値!I248:AB248),""))</f>
        <v>0.11775040391121733</v>
      </c>
      <c r="G248" s="503">
        <f>IF(終値!A248="","",IFERROR(4*STDEVP(終値!J248:AC248)/AVERAGE(終値!J248:AC248),""))</f>
        <v>0.13324309581585611</v>
      </c>
      <c r="H248" s="503">
        <f>IF(終値!A248="","",IFERROR(4*STDEVP(終値!K248:AD248)/AVERAGE(終値!K248:AD248),""))</f>
        <v>0.14644044459939495</v>
      </c>
      <c r="I248" s="503">
        <f>IF(終値!A248="","",IFERROR(4*STDEVP(終値!L248:AE248)/AVERAGE(終値!L248:AE248),""))</f>
        <v>0.15054336314884154</v>
      </c>
      <c r="J248" s="503">
        <f>IF(終値!A248="","",IFERROR(4*STDEVP(終値!M248:AF248)/AVERAGE(終値!M248:AF248),""))</f>
        <v>0.16956694163180425</v>
      </c>
      <c r="K248" s="503">
        <f>IF(終値!A248="","",IFERROR(4*STDEVP(終値!N248:AG248)/AVERAGE(終値!N248:AG248),""))</f>
        <v>0.17902830829075042</v>
      </c>
      <c r="L248" s="503">
        <f>IF(終値!A248="","",IFERROR(4*STDEVP(終値!O248:AH248)/AVERAGE(終値!O248:AH248),""))</f>
        <v>0.18953123317110845</v>
      </c>
      <c r="M248" s="503">
        <f>IF(終値!A248="","",IFERROR(4*STDEVP(終値!P248:AI248)/AVERAGE(終値!P248:AI248),""))</f>
        <v>0.1994158530264746</v>
      </c>
      <c r="N248" s="503">
        <f>IF(終値!A248="","",IFERROR(4*STDEVP(終値!Q248:AJ248)/AVERAGE(終値!Q248:AJ248),""))</f>
        <v>0.20896991311923568</v>
      </c>
      <c r="O248" s="503">
        <f>IF(終値!A248="","",IFERROR(4*STDEVP(終値!R248:AK248)/AVERAGE(終値!R248:AK248),""))</f>
        <v>0.20781692253583958</v>
      </c>
      <c r="P248" s="503">
        <f>IF(終値!A248="","",IFERROR(4*STDEVP(終値!S248:AL248)/AVERAGE(終値!S248:AL248),""))</f>
        <v>0.19763290485096646</v>
      </c>
      <c r="Q248" s="503">
        <f>IF(終値!A248="","",IFERROR(4*STDEVP(終値!T248:AM248)/AVERAGE(終値!T248:AM248),""))</f>
        <v>0.20568827229855394</v>
      </c>
      <c r="R248" s="503">
        <f>IF(終値!A248="","",IFERROR(4*STDEVP(終値!U248:AN248)/AVERAGE(終値!U248:AN248),""))</f>
        <v>0.19887437094777985</v>
      </c>
      <c r="S248" s="503">
        <f>IF(終値!A248="","",IFERROR(4*STDEVP(終値!V248:AO248)/AVERAGE(終値!V248:AO248),""))</f>
        <v>0.19684718459777306</v>
      </c>
      <c r="T248" s="503">
        <f>IF(終値!A248="","",IFERROR(4*STDEVP(終値!W248:AP248)/AVERAGE(終値!W248:AP248),""))</f>
        <v>0.19231851456656635</v>
      </c>
      <c r="U248" s="503">
        <f>IF(終値!A248="","",IFERROR(4*STDEVP(終値!X248:AQ248)/AVERAGE(終値!X248:AQ248),""))</f>
        <v>0.16962529865672485</v>
      </c>
      <c r="V248" s="503">
        <f>IF(終値!A248="","",IFERROR(4*STDEVP(終値!Y248:AR248)/AVERAGE(終値!Y248:AR248),""))</f>
        <v>0.15418478851105147</v>
      </c>
      <c r="W248" s="503">
        <f>IF(終値!A248="","",IFERROR(4*STDEVP(終値!Z248:AS248)/AVERAGE(終値!Z248:AS248),""))</f>
        <v>0.13324328985037631</v>
      </c>
      <c r="X248" s="503">
        <f>IF(終値!A248="","",IFERROR(4*STDEVP(終値!AA248:AT248)/AVERAGE(終値!AA248:AT248),""))</f>
        <v>0.12697753244956705</v>
      </c>
      <c r="Y248" s="503">
        <f>IF(終値!A248="","",IFERROR(4*STDEVP(終値!AB248:AU248)/AVERAGE(終値!AB248:AU248),""))</f>
        <v>0.1137758738442478</v>
      </c>
      <c r="Z248" s="503">
        <f>IF(終値!A248="","",IFERROR(4*STDEVP(終値!AC248:AV248)/AVERAGE(終値!AC248:AV248),""))</f>
        <v>0.10315258584491417</v>
      </c>
      <c r="AA248" s="503">
        <f>IF(終値!A248="","",IFERROR(4*STDEVP(終値!AD248:AW248)/AVERAGE(終値!AD248:AW248),""))</f>
        <v>9.4169737856344984E-2</v>
      </c>
      <c r="AB248" s="503">
        <f>IF(終値!A248="","",IFERROR(4*STDEVP(終値!AE248:AX248)/AVERAGE(終値!AE248:AX248),""))</f>
        <v>9.4470189925571033E-2</v>
      </c>
      <c r="AC248" s="503">
        <f>IF(終値!A248="","",IFERROR(4*STDEVP(終値!AF248:AY248)/AVERAGE(終値!AF248:AY248),""))</f>
        <v>0.10705122908850337</v>
      </c>
      <c r="AD248" s="503">
        <f>IF(終値!A248="","",IFERROR(4*STDEVP(終値!AG248:AZ248)/AVERAGE(終値!AG248:AZ248),""))</f>
        <v>0.13175912261131026</v>
      </c>
      <c r="AE248" s="503">
        <f>IF(終値!A248="","",IFERROR(4*STDEVP(終値!AH248:BA248)/AVERAGE(終値!AH248:BA248),""))</f>
        <v>0.15621916743902889</v>
      </c>
      <c r="AF248" s="503">
        <f>IF(終値!A248="","",IFERROR(4*STDEVP(終値!AI248:BB248)/AVERAGE(終値!AI248:BB248),""))</f>
        <v>0.16949227518131393</v>
      </c>
      <c r="AG248" s="503">
        <f>IF(終値!A248="","",IFERROR(4*STDEVP(終値!AJ248:BC248)/AVERAGE(終値!AJ248:BC248),""))</f>
        <v>0.18862709153833151</v>
      </c>
      <c r="AH248" s="503">
        <f>IF(終値!A248="","",IFERROR(4*STDEVP(終値!AK248:BD248)/AVERAGE(終値!AK248:BD248),""))</f>
        <v>0.20048143506527696</v>
      </c>
      <c r="AI248" s="503">
        <f>IF(終値!A248="","",IFERROR(4*STDEVP(終値!AL248:BE248)/AVERAGE(終値!AL248:BE248),""))</f>
        <v>0.20658038972532505</v>
      </c>
      <c r="AJ248" s="503">
        <f>IF(終値!A248="","",IFERROR(4*STDEVP(終値!AM248:BF248)/AVERAGE(終値!AM248:BF248),""))</f>
        <v>0.2278449470995097</v>
      </c>
      <c r="AK248" s="503">
        <f>IF(終値!A248="","",IFERROR(4*STDEVP(終値!AN248:BG248)/AVERAGE(終値!AN248:BG248),""))</f>
        <v>0.31584228233306377</v>
      </c>
      <c r="AL248" s="503">
        <f>IF(終値!A248="","",IFERROR(4*STDEVP(終値!AO248:BH248)/AVERAGE(終値!AO248:BH248),""))</f>
        <v>0.38013793974788179</v>
      </c>
      <c r="AM248" s="503">
        <f>IF(終値!A248="","",IFERROR(4*STDEVP(終値!AP248:BI248)/AVERAGE(終値!AP248:BI248),""))</f>
        <v>0.42936632000439057</v>
      </c>
      <c r="AN248" s="503">
        <f>IF(終値!A248="","",IFERROR(4*STDEVP(終値!AQ248:BJ248)/AVERAGE(終値!AQ248:BJ248),""))</f>
        <v>0.47637116296970483</v>
      </c>
      <c r="AO248" s="503">
        <f>IF(終値!A248="","",IFERROR(4*STDEVP(終値!AR248:BK248)/AVERAGE(終値!AR248:BK248),""))</f>
        <v>0.5010096154948126</v>
      </c>
      <c r="AP248" s="503">
        <f>IF(終値!A248="","",IFERROR(4*STDEVP(終値!AS248:BL248)/AVERAGE(終値!AS248:BL248),""))</f>
        <v>0.5051440967804387</v>
      </c>
    </row>
    <row r="249" spans="1:42">
      <c r="A249" s="500" t="str">
        <f>IF(終値!A249="","",終値!A249)</f>
        <v>6361</v>
      </c>
      <c r="B249" s="503">
        <f>IF(終値!A249="","",IFERROR(4*STDEVP(終値!E249:X249)/AVERAGE(終値!E249:X249),""))</f>
        <v>0.24455664154126472</v>
      </c>
      <c r="C249" s="503">
        <f>IF(終値!A249="","",IFERROR(4*STDEVP(終値!F249:Y249)/AVERAGE(終値!F249:Y249),""))</f>
        <v>0.24603454860298235</v>
      </c>
      <c r="D249" s="503">
        <f>IF(終値!A249="","",IFERROR(4*STDEVP(終値!G249:Z249)/AVERAGE(終値!G249:Z249),""))</f>
        <v>0.25476231467288507</v>
      </c>
      <c r="E249" s="503">
        <f>IF(終値!A249="","",IFERROR(4*STDEVP(終値!H249:AA249)/AVERAGE(終値!H249:AA249),""))</f>
        <v>0.26062848252114695</v>
      </c>
      <c r="F249" s="503">
        <f>IF(終値!A249="","",IFERROR(4*STDEVP(終値!I249:AB249)/AVERAGE(終値!I249:AB249),""))</f>
        <v>0.26264620592560256</v>
      </c>
      <c r="G249" s="503">
        <f>IF(終値!A249="","",IFERROR(4*STDEVP(終値!J249:AC249)/AVERAGE(終値!J249:AC249),""))</f>
        <v>0.27447172285250909</v>
      </c>
      <c r="H249" s="503">
        <f>IF(終値!A249="","",IFERROR(4*STDEVP(終値!K249:AD249)/AVERAGE(終値!K249:AD249),""))</f>
        <v>0.25079219046681583</v>
      </c>
      <c r="I249" s="503">
        <f>IF(終値!A249="","",IFERROR(4*STDEVP(終値!L249:AE249)/AVERAGE(終値!L249:AE249),""))</f>
        <v>0.20488206907593318</v>
      </c>
      <c r="J249" s="503">
        <f>IF(終値!A249="","",IFERROR(4*STDEVP(終値!M249:AF249)/AVERAGE(終値!M249:AF249),""))</f>
        <v>0.17614810973549169</v>
      </c>
      <c r="K249" s="503">
        <f>IF(終値!A249="","",IFERROR(4*STDEVP(終値!N249:AG249)/AVERAGE(終値!N249:AG249),""))</f>
        <v>0.18529403553584495</v>
      </c>
      <c r="L249" s="503">
        <f>IF(終値!A249="","",IFERROR(4*STDEVP(終値!O249:AH249)/AVERAGE(終値!O249:AH249),""))</f>
        <v>0.1838696469482736</v>
      </c>
      <c r="M249" s="503">
        <f>IF(終値!A249="","",IFERROR(4*STDEVP(終値!P249:AI249)/AVERAGE(終値!P249:AI249),""))</f>
        <v>0.18561538906074976</v>
      </c>
      <c r="N249" s="503">
        <f>IF(終値!A249="","",IFERROR(4*STDEVP(終値!Q249:AJ249)/AVERAGE(終値!Q249:AJ249),""))</f>
        <v>0.20006043539035481</v>
      </c>
      <c r="O249" s="503">
        <f>IF(終値!A249="","",IFERROR(4*STDEVP(終値!R249:AK249)/AVERAGE(終値!R249:AK249),""))</f>
        <v>0.19405389513301935</v>
      </c>
      <c r="P249" s="503">
        <f>IF(終値!A249="","",IFERROR(4*STDEVP(終値!S249:AL249)/AVERAGE(終値!S249:AL249),""))</f>
        <v>0.17202892895415664</v>
      </c>
      <c r="Q249" s="503">
        <f>IF(終値!A249="","",IFERROR(4*STDEVP(終値!T249:AM249)/AVERAGE(終値!T249:AM249),""))</f>
        <v>0.17744927430575766</v>
      </c>
      <c r="R249" s="503">
        <f>IF(終値!A249="","",IFERROR(4*STDEVP(終値!U249:AN249)/AVERAGE(終値!U249:AN249),""))</f>
        <v>0.16977012052064208</v>
      </c>
      <c r="S249" s="503">
        <f>IF(終値!A249="","",IFERROR(4*STDEVP(終値!V249:AO249)/AVERAGE(終値!V249:AO249),""))</f>
        <v>0.16246290591561194</v>
      </c>
      <c r="T249" s="503">
        <f>IF(終値!A249="","",IFERROR(4*STDEVP(終値!W249:AP249)/AVERAGE(終値!W249:AP249),""))</f>
        <v>0.19352796251431945</v>
      </c>
      <c r="U249" s="503">
        <f>IF(終値!A249="","",IFERROR(4*STDEVP(終値!X249:AQ249)/AVERAGE(終値!X249:AQ249),""))</f>
        <v>0.23382453526464764</v>
      </c>
      <c r="V249" s="503">
        <f>IF(終値!A249="","",IFERROR(4*STDEVP(終値!Y249:AR249)/AVERAGE(終値!Y249:AR249),""))</f>
        <v>0.26421101549870168</v>
      </c>
      <c r="W249" s="503">
        <f>IF(終値!A249="","",IFERROR(4*STDEVP(終値!Z249:AS249)/AVERAGE(終値!Z249:AS249),""))</f>
        <v>0.3101561195049034</v>
      </c>
      <c r="X249" s="503">
        <f>IF(終値!A249="","",IFERROR(4*STDEVP(終値!AA249:AT249)/AVERAGE(終値!AA249:AT249),""))</f>
        <v>0.32234992434142495</v>
      </c>
      <c r="Y249" s="503">
        <f>IF(終値!A249="","",IFERROR(4*STDEVP(終値!AB249:AU249)/AVERAGE(終値!AB249:AU249),""))</f>
        <v>0.33541633071367766</v>
      </c>
      <c r="Z249" s="503">
        <f>IF(終値!A249="","",IFERROR(4*STDEVP(終値!AC249:AV249)/AVERAGE(終値!AC249:AV249),""))</f>
        <v>0.34203288897584999</v>
      </c>
      <c r="AA249" s="503">
        <f>IF(終値!A249="","",IFERROR(4*STDEVP(終値!AD249:AW249)/AVERAGE(終値!AD249:AW249),""))</f>
        <v>0.35583708256425639</v>
      </c>
      <c r="AB249" s="503">
        <f>IF(終値!A249="","",IFERROR(4*STDEVP(終値!AE249:AX249)/AVERAGE(終値!AE249:AX249),""))</f>
        <v>0.35777170714389017</v>
      </c>
      <c r="AC249" s="503">
        <f>IF(終値!A249="","",IFERROR(4*STDEVP(終値!AF249:AY249)/AVERAGE(終値!AF249:AY249),""))</f>
        <v>0.36451342977939949</v>
      </c>
      <c r="AD249" s="503">
        <f>IF(終値!A249="","",IFERROR(4*STDEVP(終値!AG249:AZ249)/AVERAGE(終値!AG249:AZ249),""))</f>
        <v>0.36928532568030414</v>
      </c>
      <c r="AE249" s="503">
        <f>IF(終値!A249="","",IFERROR(4*STDEVP(終値!AH249:BA249)/AVERAGE(終値!AH249:BA249),""))</f>
        <v>0.36147434981818338</v>
      </c>
      <c r="AF249" s="503">
        <f>IF(終値!A249="","",IFERROR(4*STDEVP(終値!AI249:BB249)/AVERAGE(終値!AI249:BB249),""))</f>
        <v>0.36213734587349783</v>
      </c>
      <c r="AG249" s="503">
        <f>IF(終値!A249="","",IFERROR(4*STDEVP(終値!AJ249:BC249)/AVERAGE(終値!AJ249:BC249),""))</f>
        <v>0.37326344719596888</v>
      </c>
      <c r="AH249" s="503">
        <f>IF(終値!A249="","",IFERROR(4*STDEVP(終値!AK249:BD249)/AVERAGE(終値!AK249:BD249),""))</f>
        <v>0.35968924625349374</v>
      </c>
      <c r="AI249" s="503">
        <f>IF(終値!A249="","",IFERROR(4*STDEVP(終値!AL249:BE249)/AVERAGE(終値!AL249:BE249),""))</f>
        <v>0.33955379811092878</v>
      </c>
      <c r="AJ249" s="503">
        <f>IF(終値!A249="","",IFERROR(4*STDEVP(終値!AM249:BF249)/AVERAGE(終値!AM249:BF249),""))</f>
        <v>0.29081472838805211</v>
      </c>
      <c r="AK249" s="503">
        <f>IF(終値!A249="","",IFERROR(4*STDEVP(終値!AN249:BG249)/AVERAGE(終値!AN249:BG249),""))</f>
        <v>0.23937639840606004</v>
      </c>
      <c r="AL249" s="503">
        <f>IF(終値!A249="","",IFERROR(4*STDEVP(終値!AO249:BH249)/AVERAGE(終値!AO249:BH249),""))</f>
        <v>0.20842928085934553</v>
      </c>
      <c r="AM249" s="503">
        <f>IF(終値!A249="","",IFERROR(4*STDEVP(終値!AP249:BI249)/AVERAGE(終値!AP249:BI249),""))</f>
        <v>0.17329535486995518</v>
      </c>
      <c r="AN249" s="503">
        <f>IF(終値!A249="","",IFERROR(4*STDEVP(終値!AQ249:BJ249)/AVERAGE(終値!AQ249:BJ249),""))</f>
        <v>0.18540375160826325</v>
      </c>
      <c r="AO249" s="503">
        <f>IF(終値!A249="","",IFERROR(4*STDEVP(終値!AR249:BK249)/AVERAGE(終値!AR249:BK249),""))</f>
        <v>0.1957541989288297</v>
      </c>
      <c r="AP249" s="503">
        <f>IF(終値!A249="","",IFERROR(4*STDEVP(終値!AS249:BL249)/AVERAGE(終値!AS249:BL249),""))</f>
        <v>0.19685313749986211</v>
      </c>
    </row>
    <row r="250" spans="1:42">
      <c r="A250" s="500" t="str">
        <f>IF(終値!A250="","",終値!A250)</f>
        <v>155A</v>
      </c>
      <c r="B250" s="503">
        <f>IF(終値!A250="","",IFERROR(4*STDEVP(終値!E250:X250)/AVERAGE(終値!E250:X250),""))</f>
        <v>0.13184024995783797</v>
      </c>
      <c r="C250" s="503">
        <f>IF(終値!A250="","",IFERROR(4*STDEVP(終値!F250:Y250)/AVERAGE(終値!F250:Y250),""))</f>
        <v>0.13968903003862226</v>
      </c>
      <c r="D250" s="503">
        <f>IF(終値!A250="","",IFERROR(4*STDEVP(終値!G250:Z250)/AVERAGE(終値!G250:Z250),""))</f>
        <v>0.14947156339561279</v>
      </c>
      <c r="E250" s="503">
        <f>IF(終値!A250="","",IFERROR(4*STDEVP(終値!H250:AA250)/AVERAGE(終値!H250:AA250),""))</f>
        <v>0.14632781676441015</v>
      </c>
      <c r="F250" s="503">
        <f>IF(終値!A250="","",IFERROR(4*STDEVP(終値!I250:AB250)/AVERAGE(終値!I250:AB250),""))</f>
        <v>0.14067794083889812</v>
      </c>
      <c r="G250" s="503">
        <f>IF(終値!A250="","",IFERROR(4*STDEVP(終値!J250:AC250)/AVERAGE(終値!J250:AC250),""))</f>
        <v>0.1335398554816408</v>
      </c>
      <c r="H250" s="503">
        <f>IF(終値!A250="","",IFERROR(4*STDEVP(終値!K250:AD250)/AVERAGE(終値!K250:AD250),""))</f>
        <v>0.12381290702659328</v>
      </c>
      <c r="I250" s="503">
        <f>IF(終値!A250="","",IFERROR(4*STDEVP(終値!L250:AE250)/AVERAGE(終値!L250:AE250),""))</f>
        <v>0.10565300957564121</v>
      </c>
      <c r="J250" s="503">
        <f>IF(終値!A250="","",IFERROR(4*STDEVP(終値!M250:AF250)/AVERAGE(終値!M250:AF250),""))</f>
        <v>0.10201231066808808</v>
      </c>
      <c r="K250" s="503">
        <f>IF(終値!A250="","",IFERROR(4*STDEVP(終値!N250:AG250)/AVERAGE(終値!N250:AG250),""))</f>
        <v>9.8420113199662165E-2</v>
      </c>
      <c r="L250" s="503">
        <f>IF(終値!A250="","",IFERROR(4*STDEVP(終値!O250:AH250)/AVERAGE(終値!O250:AH250),""))</f>
        <v>0.1024996045527059</v>
      </c>
      <c r="M250" s="503">
        <f>IF(終値!A250="","",IFERROR(4*STDEVP(終値!P250:AI250)/AVERAGE(終値!P250:AI250),""))</f>
        <v>0.1017312773718692</v>
      </c>
      <c r="N250" s="503">
        <f>IF(終値!A250="","",IFERROR(4*STDEVP(終値!Q250:AJ250)/AVERAGE(終値!Q250:AJ250),""))</f>
        <v>0.10451691134665451</v>
      </c>
      <c r="O250" s="503">
        <f>IF(終値!A250="","",IFERROR(4*STDEVP(終値!R250:AK250)/AVERAGE(終値!R250:AK250),""))</f>
        <v>0.10361663951447424</v>
      </c>
      <c r="P250" s="503">
        <f>IF(終値!A250="","",IFERROR(4*STDEVP(終値!S250:AL250)/AVERAGE(終値!S250:AL250),""))</f>
        <v>9.457502856565278E-2</v>
      </c>
      <c r="Q250" s="503">
        <f>IF(終値!A250="","",IFERROR(4*STDEVP(終値!T250:AM250)/AVERAGE(終値!T250:AM250),""))</f>
        <v>9.6231944201568415E-2</v>
      </c>
      <c r="R250" s="503">
        <f>IF(終値!A250="","",IFERROR(4*STDEVP(終値!U250:AN250)/AVERAGE(終値!U250:AN250),""))</f>
        <v>0.11199651117855366</v>
      </c>
      <c r="S250" s="503">
        <f>IF(終値!A250="","",IFERROR(4*STDEVP(終値!V250:AO250)/AVERAGE(終値!V250:AO250),""))</f>
        <v>0.11451184304824423</v>
      </c>
      <c r="T250" s="503">
        <f>IF(終値!A250="","",IFERROR(4*STDEVP(終値!W250:AP250)/AVERAGE(終値!W250:AP250),""))</f>
        <v>0.11758253938750976</v>
      </c>
      <c r="U250" s="503">
        <f>IF(終値!A250="","",IFERROR(4*STDEVP(終値!X250:AQ250)/AVERAGE(終値!X250:AQ250),""))</f>
        <v>0.11821374673188499</v>
      </c>
      <c r="V250" s="503">
        <f>IF(終値!A250="","",IFERROR(4*STDEVP(終値!Y250:AR250)/AVERAGE(終値!Y250:AR250),""))</f>
        <v>0.11881993030156195</v>
      </c>
      <c r="W250" s="503">
        <f>IF(終値!A250="","",IFERROR(4*STDEVP(終値!Z250:AS250)/AVERAGE(終値!Z250:AS250),""))</f>
        <v>0.11809654924080808</v>
      </c>
      <c r="X250" s="503">
        <f>IF(終値!A250="","",IFERROR(4*STDEVP(終値!AA250:AT250)/AVERAGE(終値!AA250:AT250),""))</f>
        <v>0.10690072552014381</v>
      </c>
      <c r="Y250" s="503">
        <f>IF(終値!A250="","",IFERROR(4*STDEVP(終値!AB250:AU250)/AVERAGE(終値!AB250:AU250),""))</f>
        <v>0.1063775436932545</v>
      </c>
      <c r="Z250" s="503">
        <f>IF(終値!A250="","",IFERROR(4*STDEVP(終値!AC250:AV250)/AVERAGE(終値!AC250:AV250),""))</f>
        <v>0.11088023790743431</v>
      </c>
      <c r="AA250" s="503">
        <f>IF(終値!A250="","",IFERROR(4*STDEVP(終値!AD250:AW250)/AVERAGE(終値!AD250:AW250),""))</f>
        <v>0.11502985289765862</v>
      </c>
      <c r="AB250" s="503">
        <f>IF(終値!A250="","",IFERROR(4*STDEVP(終値!AE250:AX250)/AVERAGE(終値!AE250:AX250),""))</f>
        <v>0.11451515214173991</v>
      </c>
      <c r="AC250" s="503">
        <f>IF(終値!A250="","",IFERROR(4*STDEVP(終値!AF250:AY250)/AVERAGE(終値!AF250:AY250),""))</f>
        <v>0.11451259384738188</v>
      </c>
      <c r="AD250" s="503">
        <f>IF(終値!A250="","",IFERROR(4*STDEVP(終値!AG250:AZ250)/AVERAGE(終値!AG250:AZ250),""))</f>
        <v>0.11389403367429488</v>
      </c>
      <c r="AE250" s="503">
        <f>IF(終値!A250="","",IFERROR(4*STDEVP(終値!AH250:BA250)/AVERAGE(終値!AH250:BA250),""))</f>
        <v>0.11514293681547828</v>
      </c>
      <c r="AF250" s="503">
        <f>IF(終値!A250="","",IFERROR(4*STDEVP(終値!AI250:BB250)/AVERAGE(終値!AI250:BB250),""))</f>
        <v>0.11402285567539504</v>
      </c>
      <c r="AG250" s="503">
        <f>IF(終値!A250="","",IFERROR(4*STDEVP(終値!AJ250:BC250)/AVERAGE(終値!AJ250:BC250),""))</f>
        <v>0.10959575785541303</v>
      </c>
      <c r="AH250" s="503">
        <f>IF(終値!A250="","",IFERROR(4*STDEVP(終値!AK250:BD250)/AVERAGE(終値!AK250:BD250),""))</f>
        <v>9.6243199192264844E-2</v>
      </c>
      <c r="AI250" s="503">
        <f>IF(終値!A250="","",IFERROR(4*STDEVP(終値!AL250:BE250)/AVERAGE(終値!AL250:BE250),""))</f>
        <v>9.4153281282175719E-2</v>
      </c>
      <c r="AJ250" s="503">
        <f>IF(終値!A250="","",IFERROR(4*STDEVP(終値!AM250:BF250)/AVERAGE(終値!AM250:BF250),""))</f>
        <v>9.2243278728751529E-2</v>
      </c>
      <c r="AK250" s="503">
        <f>IF(終値!A250="","",IFERROR(4*STDEVP(終値!AN250:BG250)/AVERAGE(終値!AN250:BG250),""))</f>
        <v>9.7844503970646007E-2</v>
      </c>
      <c r="AL250" s="503">
        <f>IF(終値!A250="","",IFERROR(4*STDEVP(終値!AO250:BH250)/AVERAGE(終値!AO250:BH250),""))</f>
        <v>0.15172886660885143</v>
      </c>
      <c r="AM250" s="503">
        <f>IF(終値!A250="","",IFERROR(4*STDEVP(終値!AP250:BI250)/AVERAGE(終値!AP250:BI250),""))</f>
        <v>0.17434811993300114</v>
      </c>
      <c r="AN250" s="503">
        <f>IF(終値!A250="","",IFERROR(4*STDEVP(終値!AQ250:BJ250)/AVERAGE(終値!AQ250:BJ250),""))</f>
        <v>0.18423166408034231</v>
      </c>
      <c r="AO250" s="503">
        <f>IF(終値!A250="","",IFERROR(4*STDEVP(終値!AR250:BK250)/AVERAGE(終値!AR250:BK250),""))</f>
        <v>0.1909386044783612</v>
      </c>
      <c r="AP250" s="503">
        <f>IF(終値!A250="","",IFERROR(4*STDEVP(終値!AS250:BL250)/AVERAGE(終値!AS250:BL250),""))</f>
        <v>0.18712613986713397</v>
      </c>
    </row>
    <row r="251" spans="1:42">
      <c r="A251" s="500" t="str">
        <f>IF(終値!A251="","",終値!A251)</f>
        <v>278A</v>
      </c>
      <c r="B251" s="503">
        <f>IF(終値!A251="","",IFERROR(4*STDEVP(終値!E251:X251)/AVERAGE(終値!E251:X251),""))</f>
        <v>0.62419945246364061</v>
      </c>
      <c r="C251" s="503">
        <f>IF(終値!A251="","",IFERROR(4*STDEVP(終値!F251:Y251)/AVERAGE(終値!F251:Y251),""))</f>
        <v>0.66634336012647144</v>
      </c>
      <c r="D251" s="503">
        <f>IF(終値!A251="","",IFERROR(4*STDEVP(終値!G251:Z251)/AVERAGE(終値!G251:Z251),""))</f>
        <v>0.688286891010362</v>
      </c>
      <c r="E251" s="503">
        <f>IF(終値!A251="","",IFERROR(4*STDEVP(終値!H251:AA251)/AVERAGE(終値!H251:AA251),""))</f>
        <v>0.71707598960430496</v>
      </c>
      <c r="F251" s="503">
        <f>IF(終値!A251="","",IFERROR(4*STDEVP(終値!I251:AB251)/AVERAGE(終値!I251:AB251),""))</f>
        <v>0.77193271790045936</v>
      </c>
      <c r="G251" s="503">
        <f>IF(終値!A251="","",IFERROR(4*STDEVP(終値!J251:AC251)/AVERAGE(終値!J251:AC251),""))</f>
        <v>0.82564782855623697</v>
      </c>
      <c r="H251" s="503">
        <f>IF(終値!A251="","",IFERROR(4*STDEVP(終値!K251:AD251)/AVERAGE(終値!K251:AD251),""))</f>
        <v>0.8764628280941329</v>
      </c>
      <c r="I251" s="503">
        <f>IF(終値!A251="","",IFERROR(4*STDEVP(終値!L251:AE251)/AVERAGE(終値!L251:AE251),""))</f>
        <v>0.91948983769967596</v>
      </c>
      <c r="J251" s="503">
        <f>IF(終値!A251="","",IFERROR(4*STDEVP(終値!M251:AF251)/AVERAGE(終値!M251:AF251),""))</f>
        <v>0.96693389839482968</v>
      </c>
      <c r="K251" s="503">
        <f>IF(終値!A251="","",IFERROR(4*STDEVP(終値!N251:AG251)/AVERAGE(終値!N251:AG251),""))</f>
        <v>0.99520591322117735</v>
      </c>
      <c r="L251" s="503">
        <f>IF(終値!A251="","",IFERROR(4*STDEVP(終値!O251:AH251)/AVERAGE(終値!O251:AH251),""))</f>
        <v>1.0185806923881293</v>
      </c>
      <c r="M251" s="503">
        <f>IF(終値!A251="","",IFERROR(4*STDEVP(終値!P251:AI251)/AVERAGE(終値!P251:AI251),""))</f>
        <v>1.0135613419046114</v>
      </c>
      <c r="N251" s="503">
        <f>IF(終値!A251="","",IFERROR(4*STDEVP(終値!Q251:AJ251)/AVERAGE(終値!Q251:AJ251),""))</f>
        <v>0.90181022189925442</v>
      </c>
      <c r="O251" s="503">
        <f>IF(終値!A251="","",IFERROR(4*STDEVP(終値!R251:AK251)/AVERAGE(終値!R251:AK251),""))</f>
        <v>0.7618683122443789</v>
      </c>
      <c r="P251" s="503">
        <f>IF(終値!A251="","",IFERROR(4*STDEVP(終値!S251:AL251)/AVERAGE(終値!S251:AL251),""))</f>
        <v>0.64173092756094463</v>
      </c>
      <c r="Q251" s="503">
        <f>IF(終値!A251="","",IFERROR(4*STDEVP(終値!T251:AM251)/AVERAGE(終値!T251:AM251),""))</f>
        <v>0.51003239088822094</v>
      </c>
      <c r="R251" s="503">
        <f>IF(終値!A251="","",IFERROR(4*STDEVP(終値!U251:AN251)/AVERAGE(終値!U251:AN251),""))</f>
        <v>0.47363108057568215</v>
      </c>
      <c r="S251" s="503">
        <f>IF(終値!A251="","",IFERROR(4*STDEVP(終値!V251:AO251)/AVERAGE(終値!V251:AO251),""))</f>
        <v>0.40653820966630233</v>
      </c>
      <c r="T251" s="503">
        <f>IF(終値!A251="","",IFERROR(4*STDEVP(終値!W251:AP251)/AVERAGE(終値!W251:AP251),""))</f>
        <v>0.31887335423184776</v>
      </c>
      <c r="U251" s="503">
        <f>IF(終値!A251="","",IFERROR(4*STDEVP(終値!X251:AQ251)/AVERAGE(終値!X251:AQ251),""))</f>
        <v>0.29484027612517272</v>
      </c>
      <c r="V251" s="503">
        <f>IF(終値!A251="","",IFERROR(4*STDEVP(終値!Y251:AR251)/AVERAGE(終値!Y251:AR251),""))</f>
        <v>0.29990680831441979</v>
      </c>
      <c r="W251" s="503">
        <f>IF(終値!A251="","",IFERROR(4*STDEVP(終値!Z251:AS251)/AVERAGE(終値!Z251:AS251),""))</f>
        <v>0.28669493288060383</v>
      </c>
      <c r="X251" s="503">
        <f>IF(終値!A251="","",IFERROR(4*STDEVP(終値!AA251:AT251)/AVERAGE(終値!AA251:AT251),""))</f>
        <v>0.23518964682005106</v>
      </c>
      <c r="Y251" s="503">
        <f>IF(終値!A251="","",IFERROR(4*STDEVP(終値!AB251:AU251)/AVERAGE(終値!AB251:AU251),""))</f>
        <v>0.23443688775213098</v>
      </c>
      <c r="Z251" s="503">
        <f>IF(終値!A251="","",IFERROR(4*STDEVP(終値!AC251:AV251)/AVERAGE(終値!AC251:AV251),""))</f>
        <v>0.23827589675437197</v>
      </c>
      <c r="AA251" s="503">
        <f>IF(終値!A251="","",IFERROR(4*STDEVP(終値!AD251:AW251)/AVERAGE(終値!AD251:AW251),""))</f>
        <v>0.23651318580107003</v>
      </c>
      <c r="AB251" s="503">
        <f>IF(終値!A251="","",IFERROR(4*STDEVP(終値!AE251:AX251)/AVERAGE(終値!AE251:AX251),""))</f>
        <v>0.2730396623013292</v>
      </c>
      <c r="AC251" s="503">
        <f>IF(終値!A251="","",IFERROR(4*STDEVP(終値!AF251:AY251)/AVERAGE(終値!AF251:AY251),""))</f>
        <v>0.31600337830122643</v>
      </c>
      <c r="AD251" s="503">
        <f>IF(終値!A251="","",IFERROR(4*STDEVP(終値!AG251:AZ251)/AVERAGE(終値!AG251:AZ251),""))</f>
        <v>0.31144340495520956</v>
      </c>
      <c r="AE251" s="503">
        <f>IF(終値!A251="","",IFERROR(4*STDEVP(終値!AH251:BA251)/AVERAGE(終値!AH251:BA251),""))</f>
        <v>0.38332158209310691</v>
      </c>
      <c r="AF251" s="503">
        <f>IF(終値!A251="","",IFERROR(4*STDEVP(終値!AI251:BB251)/AVERAGE(終値!AI251:BB251),""))</f>
        <v>0.45365598097983884</v>
      </c>
      <c r="AG251" s="503">
        <f>IF(終値!A251="","",IFERROR(4*STDEVP(終値!AJ251:BC251)/AVERAGE(終値!AJ251:BC251),""))</f>
        <v>0.48201336492733476</v>
      </c>
      <c r="AH251" s="503">
        <f>IF(終値!A251="","",IFERROR(4*STDEVP(終値!AK251:BD251)/AVERAGE(終値!AK251:BD251),""))</f>
        <v>0.51928137578106792</v>
      </c>
      <c r="AI251" s="503">
        <f>IF(終値!A251="","",IFERROR(4*STDEVP(終値!AL251:BE251)/AVERAGE(終値!AL251:BE251),""))</f>
        <v>0.591777188436586</v>
      </c>
      <c r="AJ251" s="503">
        <f>IF(終値!A251="","",IFERROR(4*STDEVP(終値!AM251:BF251)/AVERAGE(終値!AM251:BF251),""))</f>
        <v>0.65353621315596144</v>
      </c>
      <c r="AK251" s="503">
        <f>IF(終値!A251="","",IFERROR(4*STDEVP(終値!AN251:BG251)/AVERAGE(終値!AN251:BG251),""))</f>
        <v>0.66741281160618726</v>
      </c>
      <c r="AL251" s="503">
        <f>IF(終値!A251="","",IFERROR(4*STDEVP(終値!AO251:BH251)/AVERAGE(終値!AO251:BH251),""))</f>
        <v>0.66063900326922487</v>
      </c>
      <c r="AM251" s="503">
        <f>IF(終値!A251="","",IFERROR(4*STDEVP(終値!AP251:BI251)/AVERAGE(終値!AP251:BI251),""))</f>
        <v>0.61790731837641055</v>
      </c>
      <c r="AN251" s="503">
        <f>IF(終値!A251="","",IFERROR(4*STDEVP(終値!AQ251:BJ251)/AVERAGE(終値!AQ251:BJ251),""))</f>
        <v>0.61232188774102669</v>
      </c>
      <c r="AO251" s="503">
        <f>IF(終値!A251="","",IFERROR(4*STDEVP(終値!AR251:BK251)/AVERAGE(終値!AR251:BK251),""))</f>
        <v>0.76021411078831436</v>
      </c>
      <c r="AP251" s="503">
        <f>IF(終値!A251="","",IFERROR(4*STDEVP(終値!AS251:BL251)/AVERAGE(終値!AS251:BL251),""))</f>
        <v>0.76358643305956853</v>
      </c>
    </row>
    <row r="252" spans="1:42">
      <c r="A252" s="500" t="str">
        <f>IF(終値!A252="","",終値!A252)</f>
        <v>300A</v>
      </c>
      <c r="B252" s="503">
        <f>IF(終値!A252="","",IFERROR(4*STDEVP(終値!E252:X252)/AVERAGE(終値!E252:X252),""))</f>
        <v>8.7144754134334201E-2</v>
      </c>
      <c r="C252" s="503">
        <f>IF(終値!A252="","",IFERROR(4*STDEVP(終値!F252:Y252)/AVERAGE(終値!F252:Y252),""))</f>
        <v>7.7709806792760697E-2</v>
      </c>
      <c r="D252" s="503">
        <f>IF(終値!A252="","",IFERROR(4*STDEVP(終値!G252:Z252)/AVERAGE(終値!G252:Z252),""))</f>
        <v>7.1769926366776135E-2</v>
      </c>
      <c r="E252" s="503">
        <f>IF(終値!A252="","",IFERROR(4*STDEVP(終値!H252:AA252)/AVERAGE(終値!H252:AA252),""))</f>
        <v>6.8115471956639626E-2</v>
      </c>
      <c r="F252" s="503">
        <f>IF(終値!A252="","",IFERROR(4*STDEVP(終値!I252:AB252)/AVERAGE(終値!I252:AB252),""))</f>
        <v>6.7352476602181049E-2</v>
      </c>
      <c r="G252" s="503">
        <f>IF(終値!A252="","",IFERROR(4*STDEVP(終値!J252:AC252)/AVERAGE(終値!J252:AC252),""))</f>
        <v>6.4599514423857515E-2</v>
      </c>
      <c r="H252" s="503">
        <f>IF(終値!A252="","",IFERROR(4*STDEVP(終値!K252:AD252)/AVERAGE(終値!K252:AD252),""))</f>
        <v>5.9486997388230357E-2</v>
      </c>
      <c r="I252" s="503">
        <f>IF(終値!A252="","",IFERROR(4*STDEVP(終値!L252:AE252)/AVERAGE(終値!L252:AE252),""))</f>
        <v>5.632182312243704E-2</v>
      </c>
      <c r="J252" s="503">
        <f>IF(終値!A252="","",IFERROR(4*STDEVP(終値!M252:AF252)/AVERAGE(終値!M252:AF252),""))</f>
        <v>5.8380110177867921E-2</v>
      </c>
      <c r="K252" s="503">
        <f>IF(終値!A252="","",IFERROR(4*STDEVP(終値!N252:AG252)/AVERAGE(終値!N252:AG252),""))</f>
        <v>6.6643990956466392E-2</v>
      </c>
      <c r="L252" s="503">
        <f>IF(終値!A252="","",IFERROR(4*STDEVP(終値!O252:AH252)/AVERAGE(終値!O252:AH252),""))</f>
        <v>7.2403630393682097E-2</v>
      </c>
      <c r="M252" s="503">
        <f>IF(終値!A252="","",IFERROR(4*STDEVP(終値!P252:AI252)/AVERAGE(終値!P252:AI252),""))</f>
        <v>7.1005942524802745E-2</v>
      </c>
      <c r="N252" s="503">
        <f>IF(終値!A252="","",IFERROR(4*STDEVP(終値!Q252:AJ252)/AVERAGE(終値!Q252:AJ252),""))</f>
        <v>7.2009348334791293E-2</v>
      </c>
      <c r="O252" s="503">
        <f>IF(終値!A252="","",IFERROR(4*STDEVP(終値!R252:AK252)/AVERAGE(終値!R252:AK252),""))</f>
        <v>7.4294998519537594E-2</v>
      </c>
      <c r="P252" s="503">
        <f>IF(終値!A252="","",IFERROR(4*STDEVP(終値!S252:AL252)/AVERAGE(終値!S252:AL252),""))</f>
        <v>7.7568325666746415E-2</v>
      </c>
      <c r="Q252" s="503">
        <f>IF(終値!A252="","",IFERROR(4*STDEVP(終値!T252:AM252)/AVERAGE(終値!T252:AM252),""))</f>
        <v>7.7630661562107725E-2</v>
      </c>
      <c r="R252" s="503">
        <f>IF(終値!A252="","",IFERROR(4*STDEVP(終値!U252:AN252)/AVERAGE(終値!U252:AN252),""))</f>
        <v>7.9121689212432206E-2</v>
      </c>
      <c r="S252" s="503">
        <f>IF(終値!A252="","",IFERROR(4*STDEVP(終値!V252:AO252)/AVERAGE(終値!V252:AO252),""))</f>
        <v>8.0040050463796766E-2</v>
      </c>
      <c r="T252" s="503">
        <f>IF(終値!A252="","",IFERROR(4*STDEVP(終値!W252:AP252)/AVERAGE(終値!W252:AP252),""))</f>
        <v>7.8677759465587638E-2</v>
      </c>
      <c r="U252" s="503">
        <f>IF(終値!A252="","",IFERROR(4*STDEVP(終値!X252:AQ252)/AVERAGE(終値!X252:AQ252),""))</f>
        <v>8.2337115575290956E-2</v>
      </c>
      <c r="V252" s="503">
        <f>IF(終値!A252="","",IFERROR(4*STDEVP(終値!Y252:AR252)/AVERAGE(終値!Y252:AR252),""))</f>
        <v>8.2054600876482517E-2</v>
      </c>
      <c r="W252" s="503">
        <f>IF(終値!A252="","",IFERROR(4*STDEVP(終値!Z252:AS252)/AVERAGE(終値!Z252:AS252),""))</f>
        <v>8.6586184933602248E-2</v>
      </c>
      <c r="X252" s="503">
        <f>IF(終値!A252="","",IFERROR(4*STDEVP(終値!AA252:AT252)/AVERAGE(終値!AA252:AT252),""))</f>
        <v>8.4178596463376748E-2</v>
      </c>
      <c r="Y252" s="503">
        <f>IF(終値!A252="","",IFERROR(4*STDEVP(終値!AB252:AU252)/AVERAGE(終値!AB252:AU252),""))</f>
        <v>8.341477158219017E-2</v>
      </c>
      <c r="Z252" s="503">
        <f>IF(終値!A252="","",IFERROR(4*STDEVP(終値!AC252:AV252)/AVERAGE(終値!AC252:AV252),""))</f>
        <v>7.8453988189242638E-2</v>
      </c>
      <c r="AA252" s="503">
        <f>IF(終値!A252="","",IFERROR(4*STDEVP(終値!AD252:AW252)/AVERAGE(終値!AD252:AW252),""))</f>
        <v>6.2333467499360161E-2</v>
      </c>
      <c r="AB252" s="503">
        <f>IF(終値!A252="","",IFERROR(4*STDEVP(終値!AE252:AX252)/AVERAGE(終値!AE252:AX252),""))</f>
        <v>5.0722964396900709E-2</v>
      </c>
      <c r="AC252" s="503">
        <f>IF(終値!A252="","",IFERROR(4*STDEVP(終値!AF252:AY252)/AVERAGE(終値!AF252:AY252),""))</f>
        <v>4.8510147540145605E-2</v>
      </c>
      <c r="AD252" s="503">
        <f>IF(終値!A252="","",IFERROR(4*STDEVP(終値!AG252:AZ252)/AVERAGE(終値!AG252:AZ252),""))</f>
        <v>4.9489400076826652E-2</v>
      </c>
      <c r="AE252" s="503">
        <f>IF(終値!A252="","",IFERROR(4*STDEVP(終値!AH252:BA252)/AVERAGE(終値!AH252:BA252),""))</f>
        <v>5.2111602231445821E-2</v>
      </c>
      <c r="AF252" s="503">
        <f>IF(終値!A252="","",IFERROR(4*STDEVP(終値!AI252:BB252)/AVERAGE(終値!AI252:BB252),""))</f>
        <v>6.0396387146027186E-2</v>
      </c>
      <c r="AG252" s="503">
        <f>IF(終値!A252="","",IFERROR(4*STDEVP(終値!AJ252:BC252)/AVERAGE(終値!AJ252:BC252),""))</f>
        <v>6.1390903649828875E-2</v>
      </c>
      <c r="AH252" s="503">
        <f>IF(終値!A252="","",IFERROR(4*STDEVP(終値!AK252:BD252)/AVERAGE(終値!AK252:BD252),""))</f>
        <v>6.4104280804811467E-2</v>
      </c>
      <c r="AI252" s="503">
        <f>IF(終値!A252="","",IFERROR(4*STDEVP(終値!AL252:BE252)/AVERAGE(終値!AL252:BE252),""))</f>
        <v>6.6899391799663213E-2</v>
      </c>
      <c r="AJ252" s="503">
        <f>IF(終値!A252="","",IFERROR(4*STDEVP(終値!AM252:BF252)/AVERAGE(終値!AM252:BF252),""))</f>
        <v>6.6766814609448499E-2</v>
      </c>
      <c r="AK252" s="503">
        <f>IF(終値!A252="","",IFERROR(4*STDEVP(終値!AN252:BG252)/AVERAGE(終値!AN252:BG252),""))</f>
        <v>7.5083002495059226E-2</v>
      </c>
      <c r="AL252" s="503">
        <f>IF(終値!A252="","",IFERROR(4*STDEVP(終値!AO252:BH252)/AVERAGE(終値!AO252:BH252),""))</f>
        <v>0.10503710005166621</v>
      </c>
      <c r="AM252" s="503">
        <f>IF(終値!A252="","",IFERROR(4*STDEVP(終値!AP252:BI252)/AVERAGE(終値!AP252:BI252),""))</f>
        <v>0.10618636801297983</v>
      </c>
      <c r="AN252" s="503">
        <f>IF(終値!A252="","",IFERROR(4*STDEVP(終値!AQ252:BJ252)/AVERAGE(終値!AQ252:BJ252),""))</f>
        <v>0.10997329477623535</v>
      </c>
      <c r="AO252" s="503">
        <f>IF(終値!A252="","",IFERROR(4*STDEVP(終値!AR252:BK252)/AVERAGE(終値!AR252:BK252),""))</f>
        <v>0.10926327284165943</v>
      </c>
      <c r="AP252" s="503">
        <f>IF(終値!A252="","",IFERROR(4*STDEVP(終値!AS252:BL252)/AVERAGE(終値!AS252:BL252),""))</f>
        <v>0.10984610439923147</v>
      </c>
    </row>
    <row r="253" spans="1:42">
      <c r="A253" s="500" t="str">
        <f>IF(終値!A253="","",終値!A253)</f>
        <v>4776</v>
      </c>
      <c r="B253" s="503">
        <f>IF(終値!A253="","",IFERROR(4*STDEVP(終値!E253:X253)/AVERAGE(終値!E253:X253),""))</f>
        <v>0.13053724343746886</v>
      </c>
      <c r="C253" s="503">
        <f>IF(終値!A253="","",IFERROR(4*STDEVP(終値!F253:Y253)/AVERAGE(終値!F253:Y253),""))</f>
        <v>0.1284059844327694</v>
      </c>
      <c r="D253" s="503">
        <f>IF(終値!A253="","",IFERROR(4*STDEVP(終値!G253:Z253)/AVERAGE(終値!G253:Z253),""))</f>
        <v>0.12397868073598094</v>
      </c>
      <c r="E253" s="503">
        <f>IF(終値!A253="","",IFERROR(4*STDEVP(終値!H253:AA253)/AVERAGE(終値!H253:AA253),""))</f>
        <v>0.12532432987107997</v>
      </c>
      <c r="F253" s="503">
        <f>IF(終値!A253="","",IFERROR(4*STDEVP(終値!I253:AB253)/AVERAGE(終値!I253:AB253),""))</f>
        <v>0.13245504104319075</v>
      </c>
      <c r="G253" s="503">
        <f>IF(終値!A253="","",IFERROR(4*STDEVP(終値!J253:AC253)/AVERAGE(終値!J253:AC253),""))</f>
        <v>0.16605204725712316</v>
      </c>
      <c r="H253" s="503">
        <f>IF(終値!A253="","",IFERROR(4*STDEVP(終値!K253:AD253)/AVERAGE(終値!K253:AD253),""))</f>
        <v>0.18891637611531104</v>
      </c>
      <c r="I253" s="503">
        <f>IF(終値!A253="","",IFERROR(4*STDEVP(終値!L253:AE253)/AVERAGE(終値!L253:AE253),""))</f>
        <v>0.17841356505419492</v>
      </c>
      <c r="J253" s="503">
        <f>IF(終値!A253="","",IFERROR(4*STDEVP(終値!M253:AF253)/AVERAGE(終値!M253:AF253),""))</f>
        <v>0.21999550603678633</v>
      </c>
      <c r="K253" s="503">
        <f>IF(終値!A253="","",IFERROR(4*STDEVP(終値!N253:AG253)/AVERAGE(終値!N253:AG253),""))</f>
        <v>0.24678478327141556</v>
      </c>
      <c r="L253" s="503">
        <f>IF(終値!A253="","",IFERROR(4*STDEVP(終値!O253:AH253)/AVERAGE(終値!O253:AH253),""))</f>
        <v>0.26248155205603052</v>
      </c>
      <c r="M253" s="503">
        <f>IF(終値!A253="","",IFERROR(4*STDEVP(終値!P253:AI253)/AVERAGE(終値!P253:AI253),""))</f>
        <v>0.27787953673322568</v>
      </c>
      <c r="N253" s="503">
        <f>IF(終値!A253="","",IFERROR(4*STDEVP(終値!Q253:AJ253)/AVERAGE(終値!Q253:AJ253),""))</f>
        <v>0.28330489991285895</v>
      </c>
      <c r="O253" s="503">
        <f>IF(終値!A253="","",IFERROR(4*STDEVP(終値!R253:AK253)/AVERAGE(終値!R253:AK253),""))</f>
        <v>0.28120729722900284</v>
      </c>
      <c r="P253" s="503">
        <f>IF(終値!A253="","",IFERROR(4*STDEVP(終値!S253:AL253)/AVERAGE(終値!S253:AL253),""))</f>
        <v>0.27790388063598681</v>
      </c>
      <c r="Q253" s="503">
        <f>IF(終値!A253="","",IFERROR(4*STDEVP(終値!T253:AM253)/AVERAGE(終値!T253:AM253),""))</f>
        <v>0.27708220250729992</v>
      </c>
      <c r="R253" s="503">
        <f>IF(終値!A253="","",IFERROR(4*STDEVP(終値!U253:AN253)/AVERAGE(終値!U253:AN253),""))</f>
        <v>0.2721869227392823</v>
      </c>
      <c r="S253" s="503">
        <f>IF(終値!A253="","",IFERROR(4*STDEVP(終値!V253:AO253)/AVERAGE(終値!V253:AO253),""))</f>
        <v>0.26467695916386424</v>
      </c>
      <c r="T253" s="503">
        <f>IF(終値!A253="","",IFERROR(4*STDEVP(終値!W253:AP253)/AVERAGE(終値!W253:AP253),""))</f>
        <v>0.25384530270007855</v>
      </c>
      <c r="U253" s="503">
        <f>IF(終値!A253="","",IFERROR(4*STDEVP(終値!X253:AQ253)/AVERAGE(終値!X253:AQ253),""))</f>
        <v>0.23518144562275345</v>
      </c>
      <c r="V253" s="503">
        <f>IF(終値!A253="","",IFERROR(4*STDEVP(終値!Y253:AR253)/AVERAGE(終値!Y253:AR253),""))</f>
        <v>0.21107528452518587</v>
      </c>
      <c r="W253" s="503">
        <f>IF(終値!A253="","",IFERROR(4*STDEVP(終値!Z253:AS253)/AVERAGE(終値!Z253:AS253),""))</f>
        <v>0.18277985419819803</v>
      </c>
      <c r="X253" s="503">
        <f>IF(終値!A253="","",IFERROR(4*STDEVP(終値!AA253:AT253)/AVERAGE(終値!AA253:AT253),""))</f>
        <v>0.16299043177651551</v>
      </c>
      <c r="Y253" s="503">
        <f>IF(終値!A253="","",IFERROR(4*STDEVP(終値!AB253:AU253)/AVERAGE(終値!AB253:AU253),""))</f>
        <v>0.14383794440032407</v>
      </c>
      <c r="Z253" s="503">
        <f>IF(終値!A253="","",IFERROR(4*STDEVP(終値!AC253:AV253)/AVERAGE(終値!AC253:AV253),""))</f>
        <v>0.14301906383104904</v>
      </c>
      <c r="AA253" s="503">
        <f>IF(終値!A253="","",IFERROR(4*STDEVP(終値!AD253:AW253)/AVERAGE(終値!AD253:AW253),""))</f>
        <v>0.19133672484739433</v>
      </c>
      <c r="AB253" s="503">
        <f>IF(終値!A253="","",IFERROR(4*STDEVP(終値!AE253:AX253)/AVERAGE(終値!AE253:AX253),""))</f>
        <v>0.20303899950627224</v>
      </c>
      <c r="AC253" s="503">
        <f>IF(終値!A253="","",IFERROR(4*STDEVP(終値!AF253:AY253)/AVERAGE(終値!AF253:AY253),""))</f>
        <v>0.21168436667276866</v>
      </c>
      <c r="AD253" s="503">
        <f>IF(終値!A253="","",IFERROR(4*STDEVP(終値!AG253:AZ253)/AVERAGE(終値!AG253:AZ253),""))</f>
        <v>0.20500304317226786</v>
      </c>
      <c r="AE253" s="503">
        <f>IF(終値!A253="","",IFERROR(4*STDEVP(終値!AH253:BA253)/AVERAGE(終値!AH253:BA253),""))</f>
        <v>0.20051673513890431</v>
      </c>
      <c r="AF253" s="503">
        <f>IF(終値!A253="","",IFERROR(4*STDEVP(終値!AI253:BB253)/AVERAGE(終値!AI253:BB253),""))</f>
        <v>0.19402234222725703</v>
      </c>
      <c r="AG253" s="503">
        <f>IF(終値!A253="","",IFERROR(4*STDEVP(終値!AJ253:BC253)/AVERAGE(終値!AJ253:BC253),""))</f>
        <v>0.18142915349024064</v>
      </c>
      <c r="AH253" s="503">
        <f>IF(終値!A253="","",IFERROR(4*STDEVP(終値!AK253:BD253)/AVERAGE(終値!AK253:BD253),""))</f>
        <v>0.17442767674051265</v>
      </c>
      <c r="AI253" s="503">
        <f>IF(終値!A253="","",IFERROR(4*STDEVP(終値!AL253:BE253)/AVERAGE(終値!AL253:BE253),""))</f>
        <v>0.16862788449553667</v>
      </c>
      <c r="AJ253" s="503">
        <f>IF(終値!A253="","",IFERROR(4*STDEVP(終値!AM253:BF253)/AVERAGE(終値!AM253:BF253),""))</f>
        <v>0.16940485111526138</v>
      </c>
      <c r="AK253" s="503">
        <f>IF(終値!A253="","",IFERROR(4*STDEVP(終値!AN253:BG253)/AVERAGE(終値!AN253:BG253),""))</f>
        <v>0.16201272603458616</v>
      </c>
      <c r="AL253" s="503">
        <f>IF(終値!A253="","",IFERROR(4*STDEVP(終値!AO253:BH253)/AVERAGE(終値!AO253:BH253),""))</f>
        <v>0.19245704108348921</v>
      </c>
      <c r="AM253" s="503">
        <f>IF(終値!A253="","",IFERROR(4*STDEVP(終値!AP253:BI253)/AVERAGE(終値!AP253:BI253),""))</f>
        <v>0.20961778580595791</v>
      </c>
      <c r="AN253" s="503">
        <f>IF(終値!A253="","",IFERROR(4*STDEVP(終値!AQ253:BJ253)/AVERAGE(終値!AQ253:BJ253),""))</f>
        <v>0.23043812159207019</v>
      </c>
      <c r="AO253" s="503">
        <f>IF(終値!A253="","",IFERROR(4*STDEVP(終値!AR253:BK253)/AVERAGE(終値!AR253:BK253),""))</f>
        <v>0.24474979962579332</v>
      </c>
      <c r="AP253" s="503">
        <f>IF(終値!A253="","",IFERROR(4*STDEVP(終値!AS253:BL253)/AVERAGE(終値!AS253:BL253),""))</f>
        <v>0.2577483599060727</v>
      </c>
    </row>
    <row r="254" spans="1:42">
      <c r="A254" s="500" t="str">
        <f>IF(終値!A254="","",終値!A254)</f>
        <v>4704</v>
      </c>
      <c r="B254" s="503">
        <f>IF(終値!A254="","",IFERROR(4*STDEVP(終値!E254:X254)/AVERAGE(終値!E254:X254),""))</f>
        <v>0.10917689858811508</v>
      </c>
      <c r="C254" s="503">
        <f>IF(終値!A254="","",IFERROR(4*STDEVP(終値!F254:Y254)/AVERAGE(終値!F254:Y254),""))</f>
        <v>0.10018157177731937</v>
      </c>
      <c r="D254" s="503">
        <f>IF(終値!A254="","",IFERROR(4*STDEVP(終値!G254:Z254)/AVERAGE(終値!G254:Z254),""))</f>
        <v>9.9762468310807012E-2</v>
      </c>
      <c r="E254" s="503">
        <f>IF(終値!A254="","",IFERROR(4*STDEVP(終値!H254:AA254)/AVERAGE(終値!H254:AA254),""))</f>
        <v>0.10066371938241042</v>
      </c>
      <c r="F254" s="503">
        <f>IF(終値!A254="","",IFERROR(4*STDEVP(終値!I254:AB254)/AVERAGE(終値!I254:AB254),""))</f>
        <v>0.10150947479198842</v>
      </c>
      <c r="G254" s="503">
        <f>IF(終値!A254="","",IFERROR(4*STDEVP(終値!J254:AC254)/AVERAGE(終値!J254:AC254),""))</f>
        <v>0.11673542608184426</v>
      </c>
      <c r="H254" s="503">
        <f>IF(終値!A254="","",IFERROR(4*STDEVP(終値!K254:AD254)/AVERAGE(終値!K254:AD254),""))</f>
        <v>0.11455188887367203</v>
      </c>
      <c r="I254" s="503">
        <f>IF(終値!A254="","",IFERROR(4*STDEVP(終値!L254:AE254)/AVERAGE(終値!L254:AE254),""))</f>
        <v>0.10218637226253713</v>
      </c>
      <c r="J254" s="503">
        <f>IF(終値!A254="","",IFERROR(4*STDEVP(終値!M254:AF254)/AVERAGE(終値!M254:AF254),""))</f>
        <v>0.13284286980477963</v>
      </c>
      <c r="K254" s="503">
        <f>IF(終値!A254="","",IFERROR(4*STDEVP(終値!N254:AG254)/AVERAGE(終値!N254:AG254),""))</f>
        <v>0.1474720593937611</v>
      </c>
      <c r="L254" s="503">
        <f>IF(終値!A254="","",IFERROR(4*STDEVP(終値!O254:AH254)/AVERAGE(終値!O254:AH254),""))</f>
        <v>0.16664285057039391</v>
      </c>
      <c r="M254" s="503">
        <f>IF(終値!A254="","",IFERROR(4*STDEVP(終値!P254:AI254)/AVERAGE(終値!P254:AI254),""))</f>
        <v>0.19277379890354973</v>
      </c>
      <c r="N254" s="503">
        <f>IF(終値!A254="","",IFERROR(4*STDEVP(終値!Q254:AJ254)/AVERAGE(終値!Q254:AJ254),""))</f>
        <v>0.20312085398689192</v>
      </c>
      <c r="O254" s="503">
        <f>IF(終値!A254="","",IFERROR(4*STDEVP(終値!R254:AK254)/AVERAGE(終値!R254:AK254),""))</f>
        <v>0.21145264319666734</v>
      </c>
      <c r="P254" s="503">
        <f>IF(終値!A254="","",IFERROR(4*STDEVP(終値!S254:AL254)/AVERAGE(終値!S254:AL254),""))</f>
        <v>0.20313371523386334</v>
      </c>
      <c r="Q254" s="503">
        <f>IF(終値!A254="","",IFERROR(4*STDEVP(終値!T254:AM254)/AVERAGE(終値!T254:AM254),""))</f>
        <v>0.19819637638091486</v>
      </c>
      <c r="R254" s="503">
        <f>IF(終値!A254="","",IFERROR(4*STDEVP(終値!U254:AN254)/AVERAGE(終値!U254:AN254),""))</f>
        <v>0.19523527641340652</v>
      </c>
      <c r="S254" s="503">
        <f>IF(終値!A254="","",IFERROR(4*STDEVP(終値!V254:AO254)/AVERAGE(終値!V254:AO254),""))</f>
        <v>0.19169750682198353</v>
      </c>
      <c r="T254" s="503">
        <f>IF(終値!A254="","",IFERROR(4*STDEVP(終値!W254:AP254)/AVERAGE(終値!W254:AP254),""))</f>
        <v>0.18557305252923867</v>
      </c>
      <c r="U254" s="503">
        <f>IF(終値!A254="","",IFERROR(4*STDEVP(終値!X254:AQ254)/AVERAGE(終値!X254:AQ254),""))</f>
        <v>0.18170300864222011</v>
      </c>
      <c r="V254" s="503">
        <f>IF(終値!A254="","",IFERROR(4*STDEVP(終値!Y254:AR254)/AVERAGE(終値!Y254:AR254),""))</f>
        <v>0.1807805428536402</v>
      </c>
      <c r="W254" s="503">
        <f>IF(終値!A254="","",IFERROR(4*STDEVP(終値!Z254:AS254)/AVERAGE(終値!Z254:AS254),""))</f>
        <v>0.17788810312895656</v>
      </c>
      <c r="X254" s="503">
        <f>IF(終値!A254="","",IFERROR(4*STDEVP(終値!AA254:AT254)/AVERAGE(終値!AA254:AT254),""))</f>
        <v>0.1994303209348928</v>
      </c>
      <c r="Y254" s="503">
        <f>IF(終値!A254="","",IFERROR(4*STDEVP(終値!AB254:AU254)/AVERAGE(終値!AB254:AU254),""))</f>
        <v>0.19800724526967062</v>
      </c>
      <c r="Z254" s="503">
        <f>IF(終値!A254="","",IFERROR(4*STDEVP(終値!AC254:AV254)/AVERAGE(終値!AC254:AV254),""))</f>
        <v>0.20084857802578115</v>
      </c>
      <c r="AA254" s="503">
        <f>IF(終値!A254="","",IFERROR(4*STDEVP(終値!AD254:AW254)/AVERAGE(終値!AD254:AW254),""))</f>
        <v>0.20916191246366139</v>
      </c>
      <c r="AB254" s="503">
        <f>IF(終値!A254="","",IFERROR(4*STDEVP(終値!AE254:AX254)/AVERAGE(終値!AE254:AX254),""))</f>
        <v>0.20922859982370481</v>
      </c>
      <c r="AC254" s="503">
        <f>IF(終値!A254="","",IFERROR(4*STDEVP(終値!AF254:AY254)/AVERAGE(終値!AF254:AY254),""))</f>
        <v>0.20968726711795724</v>
      </c>
      <c r="AD254" s="503">
        <f>IF(終値!A254="","",IFERROR(4*STDEVP(終値!AG254:AZ254)/AVERAGE(終値!AG254:AZ254),""))</f>
        <v>0.2017030125328807</v>
      </c>
      <c r="AE254" s="503">
        <f>IF(終値!A254="","",IFERROR(4*STDEVP(終値!AH254:BA254)/AVERAGE(終値!AH254:BA254),""))</f>
        <v>0.20299274208815932</v>
      </c>
      <c r="AF254" s="503">
        <f>IF(終値!A254="","",IFERROR(4*STDEVP(終値!AI254:BB254)/AVERAGE(終値!AI254:BB254),""))</f>
        <v>0.19549336253526398</v>
      </c>
      <c r="AG254" s="503">
        <f>IF(終値!A254="","",IFERROR(4*STDEVP(終値!AJ254:BC254)/AVERAGE(終値!AJ254:BC254),""))</f>
        <v>0.17651755966971897</v>
      </c>
      <c r="AH254" s="503">
        <f>IF(終値!A254="","",IFERROR(4*STDEVP(終値!AK254:BD254)/AVERAGE(終値!AK254:BD254),""))</f>
        <v>0.16570520805613798</v>
      </c>
      <c r="AI254" s="503">
        <f>IF(終値!A254="","",IFERROR(4*STDEVP(終値!AL254:BE254)/AVERAGE(終値!AL254:BE254),""))</f>
        <v>0.14903505291315045</v>
      </c>
      <c r="AJ254" s="503">
        <f>IF(終値!A254="","",IFERROR(4*STDEVP(終値!AM254:BF254)/AVERAGE(終値!AM254:BF254),""))</f>
        <v>0.14915261265568358</v>
      </c>
      <c r="AK254" s="503">
        <f>IF(終値!A254="","",IFERROR(4*STDEVP(終値!AN254:BG254)/AVERAGE(終値!AN254:BG254),""))</f>
        <v>0.16565589622269269</v>
      </c>
      <c r="AL254" s="503">
        <f>IF(終値!A254="","",IFERROR(4*STDEVP(終値!AO254:BH254)/AVERAGE(終値!AO254:BH254),""))</f>
        <v>0.18234337188994473</v>
      </c>
      <c r="AM254" s="503">
        <f>IF(終値!A254="","",IFERROR(4*STDEVP(終値!AP254:BI254)/AVERAGE(終値!AP254:BI254),""))</f>
        <v>0.19266496959636814</v>
      </c>
      <c r="AN254" s="503">
        <f>IF(終値!A254="","",IFERROR(4*STDEVP(終値!AQ254:BJ254)/AVERAGE(終値!AQ254:BJ254),""))</f>
        <v>0.20351147515603771</v>
      </c>
      <c r="AO254" s="503">
        <f>IF(終値!A254="","",IFERROR(4*STDEVP(終値!AR254:BK254)/AVERAGE(終値!AR254:BK254),""))</f>
        <v>0.21181585521995105</v>
      </c>
      <c r="AP254" s="503">
        <f>IF(終値!A254="","",IFERROR(4*STDEVP(終値!AS254:BL254)/AVERAGE(終値!AS254:BL254),""))</f>
        <v>0.21734922944791327</v>
      </c>
    </row>
    <row r="255" spans="1:42">
      <c r="A255" s="500" t="str">
        <f>IF(終値!A255="","",終値!A255)</f>
        <v>6370</v>
      </c>
      <c r="B255" s="503">
        <f>IF(終値!A255="","",IFERROR(4*STDEVP(終値!E255:X255)/AVERAGE(終値!E255:X255),""))</f>
        <v>0.13832959211707793</v>
      </c>
      <c r="C255" s="503">
        <f>IF(終値!A255="","",IFERROR(4*STDEVP(終値!F255:Y255)/AVERAGE(終値!F255:Y255),""))</f>
        <v>0.13802045210061714</v>
      </c>
      <c r="D255" s="503">
        <f>IF(終値!A255="","",IFERROR(4*STDEVP(終値!G255:Z255)/AVERAGE(終値!G255:Z255),""))</f>
        <v>0.14908466136289245</v>
      </c>
      <c r="E255" s="503">
        <f>IF(終値!A255="","",IFERROR(4*STDEVP(終値!H255:AA255)/AVERAGE(終値!H255:AA255),""))</f>
        <v>0.15813065829286763</v>
      </c>
      <c r="F255" s="503">
        <f>IF(終値!A255="","",IFERROR(4*STDEVP(終値!I255:AB255)/AVERAGE(終値!I255:AB255),""))</f>
        <v>0.15861776684746712</v>
      </c>
      <c r="G255" s="503">
        <f>IF(終値!A255="","",IFERROR(4*STDEVP(終値!J255:AC255)/AVERAGE(終値!J255:AC255),""))</f>
        <v>0.16654247523959348</v>
      </c>
      <c r="H255" s="503">
        <f>IF(終値!A255="","",IFERROR(4*STDEVP(終値!K255:AD255)/AVERAGE(終値!K255:AD255),""))</f>
        <v>0.14834823340790551</v>
      </c>
      <c r="I255" s="503">
        <f>IF(終値!A255="","",IFERROR(4*STDEVP(終値!L255:AE255)/AVERAGE(終値!L255:AE255),""))</f>
        <v>0.12371591397483692</v>
      </c>
      <c r="J255" s="503">
        <f>IF(終値!A255="","",IFERROR(4*STDEVP(終値!M255:AF255)/AVERAGE(終値!M255:AF255),""))</f>
        <v>9.9671062620636658E-2</v>
      </c>
      <c r="K255" s="503">
        <f>IF(終値!A255="","",IFERROR(4*STDEVP(終値!N255:AG255)/AVERAGE(終値!N255:AG255),""))</f>
        <v>0.10389782402995841</v>
      </c>
      <c r="L255" s="503">
        <f>IF(終値!A255="","",IFERROR(4*STDEVP(終値!O255:AH255)/AVERAGE(終値!O255:AH255),""))</f>
        <v>0.10397014065834019</v>
      </c>
      <c r="M255" s="503">
        <f>IF(終値!A255="","",IFERROR(4*STDEVP(終値!P255:AI255)/AVERAGE(終値!P255:AI255),""))</f>
        <v>0.10518467037391893</v>
      </c>
      <c r="N255" s="503">
        <f>IF(終値!A255="","",IFERROR(4*STDEVP(終値!Q255:AJ255)/AVERAGE(終値!Q255:AJ255),""))</f>
        <v>0.11167441373498158</v>
      </c>
      <c r="O255" s="503">
        <f>IF(終値!A255="","",IFERROR(4*STDEVP(終値!R255:AK255)/AVERAGE(終値!R255:AK255),""))</f>
        <v>0.11325499713110344</v>
      </c>
      <c r="P255" s="503">
        <f>IF(終値!A255="","",IFERROR(4*STDEVP(終値!S255:AL255)/AVERAGE(終値!S255:AL255),""))</f>
        <v>0.10081903458019729</v>
      </c>
      <c r="Q255" s="503">
        <f>IF(終値!A255="","",IFERROR(4*STDEVP(終値!T255:AM255)/AVERAGE(終値!T255:AM255),""))</f>
        <v>0.10167276114048747</v>
      </c>
      <c r="R255" s="503">
        <f>IF(終値!A255="","",IFERROR(4*STDEVP(終値!U255:AN255)/AVERAGE(終値!U255:AN255),""))</f>
        <v>0.10045195864648224</v>
      </c>
      <c r="S255" s="503">
        <f>IF(終値!A255="","",IFERROR(4*STDEVP(終値!V255:AO255)/AVERAGE(終値!V255:AO255),""))</f>
        <v>0.11167174356885617</v>
      </c>
      <c r="T255" s="503">
        <f>IF(終値!A255="","",IFERROR(4*STDEVP(終値!W255:AP255)/AVERAGE(終値!W255:AP255),""))</f>
        <v>0.13694311202267925</v>
      </c>
      <c r="U255" s="503">
        <f>IF(終値!A255="","",IFERROR(4*STDEVP(終値!X255:AQ255)/AVERAGE(終値!X255:AQ255),""))</f>
        <v>0.16940068049895446</v>
      </c>
      <c r="V255" s="503">
        <f>IF(終値!A255="","",IFERROR(4*STDEVP(終値!Y255:AR255)/AVERAGE(終値!Y255:AR255),""))</f>
        <v>0.18804031284973055</v>
      </c>
      <c r="W255" s="503">
        <f>IF(終値!A255="","",IFERROR(4*STDEVP(終値!Z255:AS255)/AVERAGE(終値!Z255:AS255),""))</f>
        <v>0.20453193653676022</v>
      </c>
      <c r="X255" s="503">
        <f>IF(終値!A255="","",IFERROR(4*STDEVP(終値!AA255:AT255)/AVERAGE(終値!AA255:AT255),""))</f>
        <v>0.2027229102728991</v>
      </c>
      <c r="Y255" s="503">
        <f>IF(終値!A255="","",IFERROR(4*STDEVP(終値!AB255:AU255)/AVERAGE(終値!AB255:AU255),""))</f>
        <v>0.20086133967464445</v>
      </c>
      <c r="Z255" s="503">
        <f>IF(終値!A255="","",IFERROR(4*STDEVP(終値!AC255:AV255)/AVERAGE(終値!AC255:AV255),""))</f>
        <v>0.20148068488019322</v>
      </c>
      <c r="AA255" s="503">
        <f>IF(終値!A255="","",IFERROR(4*STDEVP(終値!AD255:AW255)/AVERAGE(終値!AD255:AW255),""))</f>
        <v>0.20276973052070893</v>
      </c>
      <c r="AB255" s="503">
        <f>IF(終値!A255="","",IFERROR(4*STDEVP(終値!AE255:AX255)/AVERAGE(終値!AE255:AX255),""))</f>
        <v>0.20303876373182503</v>
      </c>
      <c r="AC255" s="503">
        <f>IF(終値!A255="","",IFERROR(4*STDEVP(終値!AF255:AY255)/AVERAGE(終値!AF255:AY255),""))</f>
        <v>0.20426447036577924</v>
      </c>
      <c r="AD255" s="503">
        <f>IF(終値!A255="","",IFERROR(4*STDEVP(終値!AG255:AZ255)/AVERAGE(終値!AG255:AZ255),""))</f>
        <v>0.20401855710634306</v>
      </c>
      <c r="AE255" s="503">
        <f>IF(終値!A255="","",IFERROR(4*STDEVP(終値!AH255:BA255)/AVERAGE(終値!AH255:BA255),""))</f>
        <v>0.19880792084997528</v>
      </c>
      <c r="AF255" s="503">
        <f>IF(終値!A255="","",IFERROR(4*STDEVP(終値!AI255:BB255)/AVERAGE(終値!AI255:BB255),""))</f>
        <v>0.19642019320119866</v>
      </c>
      <c r="AG255" s="503">
        <f>IF(終値!A255="","",IFERROR(4*STDEVP(終値!AJ255:BC255)/AVERAGE(終値!AJ255:BC255),""))</f>
        <v>0.19370039584287499</v>
      </c>
      <c r="AH255" s="503">
        <f>IF(終値!A255="","",IFERROR(4*STDEVP(終値!AK255:BD255)/AVERAGE(終値!AK255:BD255),""))</f>
        <v>0.18216446317622209</v>
      </c>
      <c r="AI255" s="503">
        <f>IF(終値!A255="","",IFERROR(4*STDEVP(終値!AL255:BE255)/AVERAGE(終値!AL255:BE255),""))</f>
        <v>0.16173031857676809</v>
      </c>
      <c r="AJ255" s="503">
        <f>IF(終値!A255="","",IFERROR(4*STDEVP(終値!AM255:BF255)/AVERAGE(終値!AM255:BF255),""))</f>
        <v>0.1368998301347209</v>
      </c>
      <c r="AK255" s="503">
        <f>IF(終値!A255="","",IFERROR(4*STDEVP(終値!AN255:BG255)/AVERAGE(終値!AN255:BG255),""))</f>
        <v>0.12105766285723071</v>
      </c>
      <c r="AL255" s="503">
        <f>IF(終値!A255="","",IFERROR(4*STDEVP(終値!AO255:BH255)/AVERAGE(終値!AO255:BH255),""))</f>
        <v>0.10867473921720225</v>
      </c>
      <c r="AM255" s="503">
        <f>IF(終値!A255="","",IFERROR(4*STDEVP(終値!AP255:BI255)/AVERAGE(終値!AP255:BI255),""))</f>
        <v>0.11219721146102847</v>
      </c>
      <c r="AN255" s="503">
        <f>IF(終値!A255="","",IFERROR(4*STDEVP(終値!AQ255:BJ255)/AVERAGE(終値!AQ255:BJ255),""))</f>
        <v>0.11494910112556464</v>
      </c>
      <c r="AO255" s="503">
        <f>IF(終値!A255="","",IFERROR(4*STDEVP(終値!AR255:BK255)/AVERAGE(終値!AR255:BK255),""))</f>
        <v>0.10147337326386119</v>
      </c>
      <c r="AP255" s="503">
        <f>IF(終値!A255="","",IFERROR(4*STDEVP(終値!AS255:BL255)/AVERAGE(終値!AS255:BL255),""))</f>
        <v>8.6082300221992022E-2</v>
      </c>
    </row>
    <row r="256" spans="1:42">
      <c r="A256" s="500" t="str">
        <f>IF(終値!A256="","",終値!A256)</f>
        <v>7014</v>
      </c>
      <c r="B256" s="503">
        <f>IF(終値!A256="","",IFERROR(4*STDEVP(終値!E256:X256)/AVERAGE(終値!E256:X256),""))</f>
        <v>0.21757436698652241</v>
      </c>
      <c r="C256" s="503">
        <f>IF(終値!A256="","",IFERROR(4*STDEVP(終値!F256:Y256)/AVERAGE(終値!F256:Y256),""))</f>
        <v>0.21145904685273392</v>
      </c>
      <c r="D256" s="503">
        <f>IF(終値!A256="","",IFERROR(4*STDEVP(終値!G256:Z256)/AVERAGE(終値!G256:Z256),""))</f>
        <v>0.20763645818789586</v>
      </c>
      <c r="E256" s="503">
        <f>IF(終値!A256="","",IFERROR(4*STDEVP(終値!H256:AA256)/AVERAGE(終値!H256:AA256),""))</f>
        <v>0.22902206239146872</v>
      </c>
      <c r="F256" s="503">
        <f>IF(終値!A256="","",IFERROR(4*STDEVP(終値!I256:AB256)/AVERAGE(終値!I256:AB256),""))</f>
        <v>0.25307727334704416</v>
      </c>
      <c r="G256" s="503">
        <f>IF(終値!A256="","",IFERROR(4*STDEVP(終値!J256:AC256)/AVERAGE(終値!J256:AC256),""))</f>
        <v>0.26905404839476121</v>
      </c>
      <c r="H256" s="503">
        <f>IF(終値!A256="","",IFERROR(4*STDEVP(終値!K256:AD256)/AVERAGE(終値!K256:AD256),""))</f>
        <v>0.28140716983263026</v>
      </c>
      <c r="I256" s="503">
        <f>IF(終値!A256="","",IFERROR(4*STDEVP(終値!L256:AE256)/AVERAGE(終値!L256:AE256),""))</f>
        <v>0.29123586241024002</v>
      </c>
      <c r="J256" s="503">
        <f>IF(終値!A256="","",IFERROR(4*STDEVP(終値!M256:AF256)/AVERAGE(終値!M256:AF256),""))</f>
        <v>0.2785699641670889</v>
      </c>
      <c r="K256" s="503">
        <f>IF(終値!A256="","",IFERROR(4*STDEVP(終値!N256:AG256)/AVERAGE(終値!N256:AG256),""))</f>
        <v>0.25245814640501041</v>
      </c>
      <c r="L256" s="503">
        <f>IF(終値!A256="","",IFERROR(4*STDEVP(終値!O256:AH256)/AVERAGE(終値!O256:AH256),""))</f>
        <v>0.23576462977696261</v>
      </c>
      <c r="M256" s="503">
        <f>IF(終値!A256="","",IFERROR(4*STDEVP(終値!P256:AI256)/AVERAGE(終値!P256:AI256),""))</f>
        <v>0.21691388706802592</v>
      </c>
      <c r="N256" s="503">
        <f>IF(終値!A256="","",IFERROR(4*STDEVP(終値!Q256:AJ256)/AVERAGE(終値!Q256:AJ256),""))</f>
        <v>0.19946058866390182</v>
      </c>
      <c r="O256" s="503">
        <f>IF(終値!A256="","",IFERROR(4*STDEVP(終値!R256:AK256)/AVERAGE(終値!R256:AK256),""))</f>
        <v>0.19819946445257053</v>
      </c>
      <c r="P256" s="503">
        <f>IF(終値!A256="","",IFERROR(4*STDEVP(終値!S256:AL256)/AVERAGE(終値!S256:AL256),""))</f>
        <v>0.19860885239559709</v>
      </c>
      <c r="Q256" s="503">
        <f>IF(終値!A256="","",IFERROR(4*STDEVP(終値!T256:AM256)/AVERAGE(終値!T256:AM256),""))</f>
        <v>0.19212138778756449</v>
      </c>
      <c r="R256" s="503">
        <f>IF(終値!A256="","",IFERROR(4*STDEVP(終値!U256:AN256)/AVERAGE(終値!U256:AN256),""))</f>
        <v>0.19057098021445906</v>
      </c>
      <c r="S256" s="503">
        <f>IF(終値!A256="","",IFERROR(4*STDEVP(終値!V256:AO256)/AVERAGE(終値!V256:AO256),""))</f>
        <v>0.19051360852211707</v>
      </c>
      <c r="T256" s="503">
        <f>IF(終値!A256="","",IFERROR(4*STDEVP(終値!W256:AP256)/AVERAGE(終値!W256:AP256),""))</f>
        <v>0.19752872565021168</v>
      </c>
      <c r="U256" s="503">
        <f>IF(終値!A256="","",IFERROR(4*STDEVP(終値!X256:AQ256)/AVERAGE(終値!X256:AQ256),""))</f>
        <v>0.21207117909839734</v>
      </c>
      <c r="V256" s="503">
        <f>IF(終値!A256="","",IFERROR(4*STDEVP(終値!Y256:AR256)/AVERAGE(終値!Y256:AR256),""))</f>
        <v>0.22237054421252547</v>
      </c>
      <c r="W256" s="503">
        <f>IF(終値!A256="","",IFERROR(4*STDEVP(終値!Z256:AS256)/AVERAGE(終値!Z256:AS256),""))</f>
        <v>0.18956655270012024</v>
      </c>
      <c r="X256" s="503">
        <f>IF(終値!A256="","",IFERROR(4*STDEVP(終値!AA256:AT256)/AVERAGE(終値!AA256:AT256),""))</f>
        <v>0.14425009479241691</v>
      </c>
      <c r="Y256" s="503">
        <f>IF(終値!A256="","",IFERROR(4*STDEVP(終値!AB256:AU256)/AVERAGE(終値!AB256:AU256),""))</f>
        <v>0.15323075001642578</v>
      </c>
      <c r="Z256" s="503">
        <f>IF(終値!A256="","",IFERROR(4*STDEVP(終値!AC256:AV256)/AVERAGE(終値!AC256:AV256),""))</f>
        <v>0.15375549743652989</v>
      </c>
      <c r="AA256" s="503">
        <f>IF(終値!A256="","",IFERROR(4*STDEVP(終値!AD256:AW256)/AVERAGE(終値!AD256:AW256),""))</f>
        <v>0.15651287380843112</v>
      </c>
      <c r="AB256" s="503">
        <f>IF(終値!A256="","",IFERROR(4*STDEVP(終値!AE256:AX256)/AVERAGE(終値!AE256:AX256),""))</f>
        <v>0.15548450478570705</v>
      </c>
      <c r="AC256" s="503">
        <f>IF(終値!A256="","",IFERROR(4*STDEVP(終値!AF256:AY256)/AVERAGE(終値!AF256:AY256),""))</f>
        <v>0.1579579424537558</v>
      </c>
      <c r="AD256" s="503">
        <f>IF(終値!A256="","",IFERROR(4*STDEVP(終値!AG256:AZ256)/AVERAGE(終値!AG256:AZ256),""))</f>
        <v>0.18489862731274975</v>
      </c>
      <c r="AE256" s="503">
        <f>IF(終値!A256="","",IFERROR(4*STDEVP(終値!AH256:BA256)/AVERAGE(終値!AH256:BA256),""))</f>
        <v>0.20566022349850191</v>
      </c>
      <c r="AF256" s="503">
        <f>IF(終値!A256="","",IFERROR(4*STDEVP(終値!AI256:BB256)/AVERAGE(終値!AI256:BB256),""))</f>
        <v>0.2064817960092907</v>
      </c>
      <c r="AG256" s="503">
        <f>IF(終値!A256="","",IFERROR(4*STDEVP(終値!AJ256:BC256)/AVERAGE(終値!AJ256:BC256),""))</f>
        <v>0.20626519373465865</v>
      </c>
      <c r="AH256" s="503">
        <f>IF(終値!A256="","",IFERROR(4*STDEVP(終値!AK256:BD256)/AVERAGE(終値!AK256:BD256),""))</f>
        <v>0.20462996167784334</v>
      </c>
      <c r="AI256" s="503">
        <f>IF(終値!A256="","",IFERROR(4*STDEVP(終値!AL256:BE256)/AVERAGE(終値!AL256:BE256),""))</f>
        <v>0.20645101799808233</v>
      </c>
      <c r="AJ256" s="503">
        <f>IF(終値!A256="","",IFERROR(4*STDEVP(終値!AM256:BF256)/AVERAGE(終値!AM256:BF256),""))</f>
        <v>0.22835356245431521</v>
      </c>
      <c r="AK256" s="503">
        <f>IF(終値!A256="","",IFERROR(4*STDEVP(終値!AN256:BG256)/AVERAGE(終値!AN256:BG256),""))</f>
        <v>0.27094522994773806</v>
      </c>
      <c r="AL256" s="503">
        <f>IF(終値!A256="","",IFERROR(4*STDEVP(終値!AO256:BH256)/AVERAGE(終値!AO256:BH256),""))</f>
        <v>0.27181464651697307</v>
      </c>
      <c r="AM256" s="503">
        <f>IF(終値!A256="","",IFERROR(4*STDEVP(終値!AP256:BI256)/AVERAGE(終値!AP256:BI256),""))</f>
        <v>0.27873622722639368</v>
      </c>
      <c r="AN256" s="503">
        <f>IF(終値!A256="","",IFERROR(4*STDEVP(終値!AQ256:BJ256)/AVERAGE(終値!AQ256:BJ256),""))</f>
        <v>0.27802681252551659</v>
      </c>
      <c r="AO256" s="503">
        <f>IF(終値!A256="","",IFERROR(4*STDEVP(終値!AR256:BK256)/AVERAGE(終値!AR256:BK256),""))</f>
        <v>0.26692351487650928</v>
      </c>
      <c r="AP256" s="503">
        <f>IF(終値!A256="","",IFERROR(4*STDEVP(終値!AS256:BL256)/AVERAGE(終値!AS256:BL256),""))</f>
        <v>0.2495527756438454</v>
      </c>
    </row>
    <row r="257" spans="1:42">
      <c r="A257" s="500" t="str">
        <f>IF(終値!A257="","",終値!A257)</f>
        <v>9880</v>
      </c>
      <c r="B257" s="503">
        <f>IF(終値!A257="","",IFERROR(4*STDEVP(終値!E257:X257)/AVERAGE(終値!E257:X257),""))</f>
        <v>0.22831205345484365</v>
      </c>
      <c r="C257" s="503">
        <f>IF(終値!A257="","",IFERROR(4*STDEVP(終値!F257:Y257)/AVERAGE(終値!F257:Y257),""))</f>
        <v>0.21594996742966963</v>
      </c>
      <c r="D257" s="503">
        <f>IF(終値!A257="","",IFERROR(4*STDEVP(終値!G257:Z257)/AVERAGE(終値!G257:Z257),""))</f>
        <v>0.21923990858143846</v>
      </c>
      <c r="E257" s="503">
        <f>IF(終値!A257="","",IFERROR(4*STDEVP(終値!H257:AA257)/AVERAGE(終値!H257:AA257),""))</f>
        <v>0.23830981743656943</v>
      </c>
      <c r="F257" s="503">
        <f>IF(終値!A257="","",IFERROR(4*STDEVP(終値!I257:AB257)/AVERAGE(終値!I257:AB257),""))</f>
        <v>0.25410838591834345</v>
      </c>
      <c r="G257" s="503">
        <f>IF(終値!A257="","",IFERROR(4*STDEVP(終値!J257:AC257)/AVERAGE(終値!J257:AC257),""))</f>
        <v>0.27876043282654456</v>
      </c>
      <c r="H257" s="503">
        <f>IF(終値!A257="","",IFERROR(4*STDEVP(終値!K257:AD257)/AVERAGE(終値!K257:AD257),""))</f>
        <v>0.28776751932746475</v>
      </c>
      <c r="I257" s="503">
        <f>IF(終値!A257="","",IFERROR(4*STDEVP(終値!L257:AE257)/AVERAGE(終値!L257:AE257),""))</f>
        <v>0.27167374175046205</v>
      </c>
      <c r="J257" s="503">
        <f>IF(終値!A257="","",IFERROR(4*STDEVP(終値!M257:AF257)/AVERAGE(終値!M257:AF257),""))</f>
        <v>0.27659718903094638</v>
      </c>
      <c r="K257" s="503">
        <f>IF(終値!A257="","",IFERROR(4*STDEVP(終値!N257:AG257)/AVERAGE(終値!N257:AG257),""))</f>
        <v>0.30767763756165872</v>
      </c>
      <c r="L257" s="503">
        <f>IF(終値!A257="","",IFERROR(4*STDEVP(終値!O257:AH257)/AVERAGE(終値!O257:AH257),""))</f>
        <v>0.31656369648912153</v>
      </c>
      <c r="M257" s="503">
        <f>IF(終値!A257="","",IFERROR(4*STDEVP(終値!P257:AI257)/AVERAGE(終値!P257:AI257),""))</f>
        <v>0.33451336002545667</v>
      </c>
      <c r="N257" s="503">
        <f>IF(終値!A257="","",IFERROR(4*STDEVP(終値!Q257:AJ257)/AVERAGE(終値!Q257:AJ257),""))</f>
        <v>0.36735292568250311</v>
      </c>
      <c r="O257" s="503">
        <f>IF(終値!A257="","",IFERROR(4*STDEVP(終値!R257:AK257)/AVERAGE(終値!R257:AK257),""))</f>
        <v>0.35938732402583001</v>
      </c>
      <c r="P257" s="503">
        <f>IF(終値!A257="","",IFERROR(4*STDEVP(終値!S257:AL257)/AVERAGE(終値!S257:AL257),""))</f>
        <v>0.3316892620273737</v>
      </c>
      <c r="Q257" s="503">
        <f>IF(終値!A257="","",IFERROR(4*STDEVP(終値!T257:AM257)/AVERAGE(終値!T257:AM257),""))</f>
        <v>0.3220531373132921</v>
      </c>
      <c r="R257" s="503">
        <f>IF(終値!A257="","",IFERROR(4*STDEVP(終値!U257:AN257)/AVERAGE(終値!U257:AN257),""))</f>
        <v>0.30490436551530026</v>
      </c>
      <c r="S257" s="503">
        <f>IF(終値!A257="","",IFERROR(4*STDEVP(終値!V257:AO257)/AVERAGE(終値!V257:AO257),""))</f>
        <v>0.28549689310037485</v>
      </c>
      <c r="T257" s="503">
        <f>IF(終値!A257="","",IFERROR(4*STDEVP(終値!W257:AP257)/AVERAGE(終値!W257:AP257),""))</f>
        <v>0.26879393555838588</v>
      </c>
      <c r="U257" s="503">
        <f>IF(終値!A257="","",IFERROR(4*STDEVP(終値!X257:AQ257)/AVERAGE(終値!X257:AQ257),""))</f>
        <v>0.24612036341250756</v>
      </c>
      <c r="V257" s="503">
        <f>IF(終値!A257="","",IFERROR(4*STDEVP(終値!Y257:AR257)/AVERAGE(終値!Y257:AR257),""))</f>
        <v>0.21859427914455309</v>
      </c>
      <c r="W257" s="503">
        <f>IF(終値!A257="","",IFERROR(4*STDEVP(終値!Z257:AS257)/AVERAGE(終値!Z257:AS257),""))</f>
        <v>0.18745315725514755</v>
      </c>
      <c r="X257" s="503">
        <f>IF(終値!A257="","",IFERROR(4*STDEVP(終値!AA257:AT257)/AVERAGE(終値!AA257:AT257),""))</f>
        <v>0.19103783042985051</v>
      </c>
      <c r="Y257" s="503">
        <f>IF(終値!A257="","",IFERROR(4*STDEVP(終値!AB257:AU257)/AVERAGE(終値!AB257:AU257),""))</f>
        <v>0.19649333500489438</v>
      </c>
      <c r="Z257" s="503">
        <f>IF(終値!A257="","",IFERROR(4*STDEVP(終値!AC257:AV257)/AVERAGE(終値!AC257:AV257),""))</f>
        <v>0.18155804760901789</v>
      </c>
      <c r="AA257" s="503">
        <f>IF(終値!A257="","",IFERROR(4*STDEVP(終値!AD257:AW257)/AVERAGE(終値!AD257:AW257),""))</f>
        <v>0.17150643933206577</v>
      </c>
      <c r="AB257" s="503">
        <f>IF(終値!A257="","",IFERROR(4*STDEVP(終値!AE257:AX257)/AVERAGE(終値!AE257:AX257),""))</f>
        <v>0.16437700185557488</v>
      </c>
      <c r="AC257" s="503">
        <f>IF(終値!A257="","",IFERROR(4*STDEVP(終値!AF257:AY257)/AVERAGE(終値!AF257:AY257),""))</f>
        <v>0.15326797068023623</v>
      </c>
      <c r="AD257" s="503">
        <f>IF(終値!A257="","",IFERROR(4*STDEVP(終値!AG257:AZ257)/AVERAGE(終値!AG257:AZ257),""))</f>
        <v>0.15224620844760076</v>
      </c>
      <c r="AE257" s="503">
        <f>IF(終値!A257="","",IFERROR(4*STDEVP(終値!AH257:BA257)/AVERAGE(終値!AH257:BA257),""))</f>
        <v>0.16748629325209577</v>
      </c>
      <c r="AF257" s="503">
        <f>IF(終値!A257="","",IFERROR(4*STDEVP(終値!AI257:BB257)/AVERAGE(終値!AI257:BB257),""))</f>
        <v>0.1674064780500637</v>
      </c>
      <c r="AG257" s="503">
        <f>IF(終値!A257="","",IFERROR(4*STDEVP(終値!AJ257:BC257)/AVERAGE(終値!AJ257:BC257),""))</f>
        <v>0.16735492605472443</v>
      </c>
      <c r="AH257" s="503">
        <f>IF(終値!A257="","",IFERROR(4*STDEVP(終値!AK257:BD257)/AVERAGE(終値!AK257:BD257),""))</f>
        <v>0.15856395648718385</v>
      </c>
      <c r="AI257" s="503">
        <f>IF(終値!A257="","",IFERROR(4*STDEVP(終値!AL257:BE257)/AVERAGE(終値!AL257:BE257),""))</f>
        <v>0.15870338196853598</v>
      </c>
      <c r="AJ257" s="503">
        <f>IF(終値!A257="","",IFERROR(4*STDEVP(終値!AM257:BF257)/AVERAGE(終値!AM257:BF257),""))</f>
        <v>0.16912760684021216</v>
      </c>
      <c r="AK257" s="503">
        <f>IF(終値!A257="","",IFERROR(4*STDEVP(終値!AN257:BG257)/AVERAGE(終値!AN257:BG257),""))</f>
        <v>0.18825900094147821</v>
      </c>
      <c r="AL257" s="503">
        <f>IF(終値!A257="","",IFERROR(4*STDEVP(終値!AO257:BH257)/AVERAGE(終値!AO257:BH257),""))</f>
        <v>0.26023712622645978</v>
      </c>
      <c r="AM257" s="503">
        <f>IF(終値!A257="","",IFERROR(4*STDEVP(終値!AP257:BI257)/AVERAGE(終値!AP257:BI257),""))</f>
        <v>0.32572943436364232</v>
      </c>
      <c r="AN257" s="503">
        <f>IF(終値!A257="","",IFERROR(4*STDEVP(終値!AQ257:BJ257)/AVERAGE(終値!AQ257:BJ257),""))</f>
        <v>0.36808451499511136</v>
      </c>
      <c r="AO257" s="503">
        <f>IF(終値!A257="","",IFERROR(4*STDEVP(終値!AR257:BK257)/AVERAGE(終値!AR257:BK257),""))</f>
        <v>0.40389480130421557</v>
      </c>
      <c r="AP257" s="503">
        <f>IF(終値!A257="","",IFERROR(4*STDEVP(終値!AS257:BL257)/AVERAGE(終値!AS257:BL257),""))</f>
        <v>0.4504988073227475</v>
      </c>
    </row>
    <row r="258" spans="1:42">
      <c r="A258" s="500" t="str">
        <f>IF(終値!A258="","",終値!A258)</f>
        <v>5253</v>
      </c>
      <c r="B258" s="503">
        <f>IF(終値!A258="","",IFERROR(4*STDEVP(終値!E258:X258)/AVERAGE(終値!E258:X258),""))</f>
        <v>0.1892602186494371</v>
      </c>
      <c r="C258" s="503">
        <f>IF(終値!A258="","",IFERROR(4*STDEVP(終値!F258:Y258)/AVERAGE(終値!F258:Y258),""))</f>
        <v>0.1896502107435645</v>
      </c>
      <c r="D258" s="503">
        <f>IF(終値!A258="","",IFERROR(4*STDEVP(終値!G258:Z258)/AVERAGE(終値!G258:Z258),""))</f>
        <v>0.18571323089971589</v>
      </c>
      <c r="E258" s="503">
        <f>IF(終値!A258="","",IFERROR(4*STDEVP(終値!H258:AA258)/AVERAGE(終値!H258:AA258),""))</f>
        <v>0.1691442939771228</v>
      </c>
      <c r="F258" s="503">
        <f>IF(終値!A258="","",IFERROR(4*STDEVP(終値!I258:AB258)/AVERAGE(終値!I258:AB258),""))</f>
        <v>0.16885622350536478</v>
      </c>
      <c r="G258" s="503">
        <f>IF(終値!A258="","",IFERROR(4*STDEVP(終値!J258:AC258)/AVERAGE(終値!J258:AC258),""))</f>
        <v>0.20955022882410643</v>
      </c>
      <c r="H258" s="503">
        <f>IF(終値!A258="","",IFERROR(4*STDEVP(終値!K258:AD258)/AVERAGE(終値!K258:AD258),""))</f>
        <v>0.24513473130683108</v>
      </c>
      <c r="I258" s="503">
        <f>IF(終値!A258="","",IFERROR(4*STDEVP(終値!L258:AE258)/AVERAGE(終値!L258:AE258),""))</f>
        <v>0.27871888658291677</v>
      </c>
      <c r="J258" s="503">
        <f>IF(終値!A258="","",IFERROR(4*STDEVP(終値!M258:AF258)/AVERAGE(終値!M258:AF258),""))</f>
        <v>0.3487605569919916</v>
      </c>
      <c r="K258" s="503">
        <f>IF(終値!A258="","",IFERROR(4*STDEVP(終値!N258:AG258)/AVERAGE(終値!N258:AG258),""))</f>
        <v>0.41648935093176753</v>
      </c>
      <c r="L258" s="503">
        <f>IF(終値!A258="","",IFERROR(4*STDEVP(終値!O258:AH258)/AVERAGE(終値!O258:AH258),""))</f>
        <v>0.45899519991652493</v>
      </c>
      <c r="M258" s="503">
        <f>IF(終値!A258="","",IFERROR(4*STDEVP(終値!P258:AI258)/AVERAGE(終値!P258:AI258),""))</f>
        <v>0.49831815330912016</v>
      </c>
      <c r="N258" s="503">
        <f>IF(終値!A258="","",IFERROR(4*STDEVP(終値!Q258:AJ258)/AVERAGE(終値!Q258:AJ258),""))</f>
        <v>0.50511844340446543</v>
      </c>
      <c r="O258" s="503">
        <f>IF(終値!A258="","",IFERROR(4*STDEVP(終値!R258:AK258)/AVERAGE(終値!R258:AK258),""))</f>
        <v>0.51111867684207746</v>
      </c>
      <c r="P258" s="503">
        <f>IF(終値!A258="","",IFERROR(4*STDEVP(終値!S258:AL258)/AVERAGE(終値!S258:AL258),""))</f>
        <v>0.50187567171066139</v>
      </c>
      <c r="Q258" s="503">
        <f>IF(終値!A258="","",IFERROR(4*STDEVP(終値!T258:AM258)/AVERAGE(終値!T258:AM258),""))</f>
        <v>0.48102092708672123</v>
      </c>
      <c r="R258" s="503">
        <f>IF(終値!A258="","",IFERROR(4*STDEVP(終値!U258:AN258)/AVERAGE(終値!U258:AN258),""))</f>
        <v>0.45671697870135169</v>
      </c>
      <c r="S258" s="503">
        <f>IF(終値!A258="","",IFERROR(4*STDEVP(終値!V258:AO258)/AVERAGE(終値!V258:AO258),""))</f>
        <v>0.43808545840238972</v>
      </c>
      <c r="T258" s="503">
        <f>IF(終値!A258="","",IFERROR(4*STDEVP(終値!W258:AP258)/AVERAGE(終値!W258:AP258),""))</f>
        <v>0.42148530609134699</v>
      </c>
      <c r="U258" s="503">
        <f>IF(終値!A258="","",IFERROR(4*STDEVP(終値!X258:AQ258)/AVERAGE(終値!X258:AQ258),""))</f>
        <v>0.40389832517080571</v>
      </c>
      <c r="V258" s="503">
        <f>IF(終値!A258="","",IFERROR(4*STDEVP(終値!Y258:AR258)/AVERAGE(終値!Y258:AR258),""))</f>
        <v>0.38759465441536739</v>
      </c>
      <c r="W258" s="503">
        <f>IF(終値!A258="","",IFERROR(4*STDEVP(終値!Z258:AS258)/AVERAGE(終値!Z258:AS258),""))</f>
        <v>0.39021099985829688</v>
      </c>
      <c r="X258" s="503">
        <f>IF(終値!A258="","",IFERROR(4*STDEVP(終値!AA258:AT258)/AVERAGE(終値!AA258:AT258),""))</f>
        <v>0.39339071982566259</v>
      </c>
      <c r="Y258" s="503">
        <f>IF(終値!A258="","",IFERROR(4*STDEVP(終値!AB258:AU258)/AVERAGE(終値!AB258:AU258),""))</f>
        <v>0.40225098690869926</v>
      </c>
      <c r="Z258" s="503">
        <f>IF(終値!A258="","",IFERROR(4*STDEVP(終値!AC258:AV258)/AVERAGE(終値!AC258:AV258),""))</f>
        <v>0.42542662429024114</v>
      </c>
      <c r="AA258" s="503">
        <f>IF(終値!A258="","",IFERROR(4*STDEVP(終値!AD258:AW258)/AVERAGE(終値!AD258:AW258),""))</f>
        <v>0.44124919999268292</v>
      </c>
      <c r="AB258" s="503">
        <f>IF(終値!A258="","",IFERROR(4*STDEVP(終値!AE258:AX258)/AVERAGE(終値!AE258:AX258),""))</f>
        <v>0.44977412257806354</v>
      </c>
      <c r="AC258" s="503">
        <f>IF(終値!A258="","",IFERROR(4*STDEVP(終値!AF258:AY258)/AVERAGE(終値!AF258:AY258),""))</f>
        <v>0.45303966743809898</v>
      </c>
      <c r="AD258" s="503">
        <f>IF(終値!A258="","",IFERROR(4*STDEVP(終値!AG258:AZ258)/AVERAGE(終値!AG258:AZ258),""))</f>
        <v>0.42975481130804705</v>
      </c>
      <c r="AE258" s="503">
        <f>IF(終値!A258="","",IFERROR(4*STDEVP(終値!AH258:BA258)/AVERAGE(終値!AH258:BA258),""))</f>
        <v>0.40151609471590405</v>
      </c>
      <c r="AF258" s="503">
        <f>IF(終値!A258="","",IFERROR(4*STDEVP(終値!AI258:BB258)/AVERAGE(終値!AI258:BB258),""))</f>
        <v>0.37624742203389189</v>
      </c>
      <c r="AG258" s="503">
        <f>IF(終値!A258="","",IFERROR(4*STDEVP(終値!AJ258:BC258)/AVERAGE(終値!AJ258:BC258),""))</f>
        <v>0.33985792848032825</v>
      </c>
      <c r="AH258" s="503">
        <f>IF(終値!A258="","",IFERROR(4*STDEVP(終値!AK258:BD258)/AVERAGE(終値!AK258:BD258),""))</f>
        <v>0.3088241824141863</v>
      </c>
      <c r="AI258" s="503">
        <f>IF(終値!A258="","",IFERROR(4*STDEVP(終値!AL258:BE258)/AVERAGE(終値!AL258:BE258),""))</f>
        <v>0.26937261818418423</v>
      </c>
      <c r="AJ258" s="503">
        <f>IF(終値!A258="","",IFERROR(4*STDEVP(終値!AM258:BF258)/AVERAGE(終値!AM258:BF258),""))</f>
        <v>0.25553321773307341</v>
      </c>
      <c r="AK258" s="503">
        <f>IF(終値!A258="","",IFERROR(4*STDEVP(終値!AN258:BG258)/AVERAGE(終値!AN258:BG258),""))</f>
        <v>0.25260287308523244</v>
      </c>
      <c r="AL258" s="503">
        <f>IF(終値!A258="","",IFERROR(4*STDEVP(終値!AO258:BH258)/AVERAGE(終値!AO258:BH258),""))</f>
        <v>0.24868410094869664</v>
      </c>
      <c r="AM258" s="503">
        <f>IF(終値!A258="","",IFERROR(4*STDEVP(終値!AP258:BI258)/AVERAGE(終値!AP258:BI258),""))</f>
        <v>0.24603032656662066</v>
      </c>
      <c r="AN258" s="503">
        <f>IF(終値!A258="","",IFERROR(4*STDEVP(終値!AQ258:BJ258)/AVERAGE(終値!AQ258:BJ258),""))</f>
        <v>0.25731139280664744</v>
      </c>
      <c r="AO258" s="503">
        <f>IF(終値!A258="","",IFERROR(4*STDEVP(終値!AR258:BK258)/AVERAGE(終値!AR258:BK258),""))</f>
        <v>0.27413784017252235</v>
      </c>
      <c r="AP258" s="503">
        <f>IF(終値!A258="","",IFERROR(4*STDEVP(終値!AS258:BL258)/AVERAGE(終値!AS258:BL258),""))</f>
        <v>0.28803797671024944</v>
      </c>
    </row>
    <row r="259" spans="1:42">
      <c r="A259" s="500" t="str">
        <f>IF(終値!A259="","",終値!A259)</f>
        <v>9104</v>
      </c>
      <c r="B259" s="503">
        <f>IF(終値!A259="","",IFERROR(4*STDEVP(終値!E259:X259)/AVERAGE(終値!E259:X259),""))</f>
        <v>0.15686739753507092</v>
      </c>
      <c r="C259" s="503">
        <f>IF(終値!A259="","",IFERROR(4*STDEVP(終値!F259:Y259)/AVERAGE(終値!F259:Y259),""))</f>
        <v>0.1625132899952593</v>
      </c>
      <c r="D259" s="503">
        <f>IF(終値!A259="","",IFERROR(4*STDEVP(終値!G259:Z259)/AVERAGE(終値!G259:Z259),""))</f>
        <v>0.16465124732602715</v>
      </c>
      <c r="E259" s="503">
        <f>IF(終値!A259="","",IFERROR(4*STDEVP(終値!H259:AA259)/AVERAGE(終値!H259:AA259),""))</f>
        <v>0.16943352331179082</v>
      </c>
      <c r="F259" s="503">
        <f>IF(終値!A259="","",IFERROR(4*STDEVP(終値!I259:AB259)/AVERAGE(終値!I259:AB259),""))</f>
        <v>0.18538645269862197</v>
      </c>
      <c r="G259" s="503">
        <f>IF(終値!A259="","",IFERROR(4*STDEVP(終値!J259:AC259)/AVERAGE(終値!J259:AC259),""))</f>
        <v>0.19988771356305152</v>
      </c>
      <c r="H259" s="503">
        <f>IF(終値!A259="","",IFERROR(4*STDEVP(終値!K259:AD259)/AVERAGE(終値!K259:AD259),""))</f>
        <v>0.19765803406739507</v>
      </c>
      <c r="I259" s="503">
        <f>IF(終値!A259="","",IFERROR(4*STDEVP(終値!L259:AE259)/AVERAGE(終値!L259:AE259),""))</f>
        <v>0.18972285909400669</v>
      </c>
      <c r="J259" s="503">
        <f>IF(終値!A259="","",IFERROR(4*STDEVP(終値!M259:AF259)/AVERAGE(終値!M259:AF259),""))</f>
        <v>0.18387167232507406</v>
      </c>
      <c r="K259" s="503">
        <f>IF(終値!A259="","",IFERROR(4*STDEVP(終値!N259:AG259)/AVERAGE(終値!N259:AG259),""))</f>
        <v>0.16980707597662786</v>
      </c>
      <c r="L259" s="503">
        <f>IF(終値!A259="","",IFERROR(4*STDEVP(終値!O259:AH259)/AVERAGE(終値!O259:AH259),""))</f>
        <v>0.15441160956491262</v>
      </c>
      <c r="M259" s="503">
        <f>IF(終値!A259="","",IFERROR(4*STDEVP(終値!P259:AI259)/AVERAGE(終値!P259:AI259),""))</f>
        <v>0.139227701580206</v>
      </c>
      <c r="N259" s="503">
        <f>IF(終値!A259="","",IFERROR(4*STDEVP(終値!Q259:AJ259)/AVERAGE(終値!Q259:AJ259),""))</f>
        <v>0.12087010985077024</v>
      </c>
      <c r="O259" s="503">
        <f>IF(終値!A259="","",IFERROR(4*STDEVP(終値!R259:AK259)/AVERAGE(終値!R259:AK259),""))</f>
        <v>0.10816389364447192</v>
      </c>
      <c r="P259" s="503">
        <f>IF(終値!A259="","",IFERROR(4*STDEVP(終値!S259:AL259)/AVERAGE(終値!S259:AL259),""))</f>
        <v>9.7053254568917474E-2</v>
      </c>
      <c r="Q259" s="503">
        <f>IF(終値!A259="","",IFERROR(4*STDEVP(終値!T259:AM259)/AVERAGE(終値!T259:AM259),""))</f>
        <v>8.6170939220743814E-2</v>
      </c>
      <c r="R259" s="503">
        <f>IF(終値!A259="","",IFERROR(4*STDEVP(終値!U259:AN259)/AVERAGE(終値!U259:AN259),""))</f>
        <v>9.0372359476276948E-2</v>
      </c>
      <c r="S259" s="503">
        <f>IF(終値!A259="","",IFERROR(4*STDEVP(終値!V259:AO259)/AVERAGE(終値!V259:AO259),""))</f>
        <v>0.10937984683319761</v>
      </c>
      <c r="T259" s="503">
        <f>IF(終値!A259="","",IFERROR(4*STDEVP(終値!W259:AP259)/AVERAGE(終値!W259:AP259),""))</f>
        <v>0.13047513426052085</v>
      </c>
      <c r="U259" s="503">
        <f>IF(終値!A259="","",IFERROR(4*STDEVP(終値!X259:AQ259)/AVERAGE(終値!X259:AQ259),""))</f>
        <v>0.14182062976791202</v>
      </c>
      <c r="V259" s="503">
        <f>IF(終値!A259="","",IFERROR(4*STDEVP(終値!Y259:AR259)/AVERAGE(終値!Y259:AR259),""))</f>
        <v>0.15111963965565692</v>
      </c>
      <c r="W259" s="503">
        <f>IF(終値!A259="","",IFERROR(4*STDEVP(終値!Z259:AS259)/AVERAGE(終値!Z259:AS259),""))</f>
        <v>0.16311622767302003</v>
      </c>
      <c r="X259" s="503">
        <f>IF(終値!A259="","",IFERROR(4*STDEVP(終値!AA259:AT259)/AVERAGE(終値!AA259:AT259),""))</f>
        <v>0.17513593954884357</v>
      </c>
      <c r="Y259" s="503">
        <f>IF(終値!A259="","",IFERROR(4*STDEVP(終値!AB259:AU259)/AVERAGE(終値!AB259:AU259),""))</f>
        <v>0.17137812845687866</v>
      </c>
      <c r="Z259" s="503">
        <f>IF(終値!A259="","",IFERROR(4*STDEVP(終値!AC259:AV259)/AVERAGE(終値!AC259:AV259),""))</f>
        <v>0.16262630958315974</v>
      </c>
      <c r="AA259" s="503">
        <f>IF(終値!A259="","",IFERROR(4*STDEVP(終値!AD259:AW259)/AVERAGE(終値!AD259:AW259),""))</f>
        <v>0.14604982126379773</v>
      </c>
      <c r="AB259" s="503">
        <f>IF(終値!A259="","",IFERROR(4*STDEVP(終値!AE259:AX259)/AVERAGE(終値!AE259:AX259),""))</f>
        <v>0.13909669235747338</v>
      </c>
      <c r="AC259" s="503">
        <f>IF(終値!A259="","",IFERROR(4*STDEVP(終値!AF259:AY259)/AVERAGE(終値!AF259:AY259),""))</f>
        <v>0.13274938195279329</v>
      </c>
      <c r="AD259" s="503">
        <f>IF(終値!A259="","",IFERROR(4*STDEVP(終値!AG259:AZ259)/AVERAGE(終値!AG259:AZ259),""))</f>
        <v>0.12451232411742308</v>
      </c>
      <c r="AE259" s="503">
        <f>IF(終値!A259="","",IFERROR(4*STDEVP(終値!AH259:BA259)/AVERAGE(終値!AH259:BA259),""))</f>
        <v>0.11704572649687718</v>
      </c>
      <c r="AF259" s="503">
        <f>IF(終値!A259="","",IFERROR(4*STDEVP(終値!AI259:BB259)/AVERAGE(終値!AI259:BB259),""))</f>
        <v>0.11552275711862205</v>
      </c>
      <c r="AG259" s="503">
        <f>IF(終値!A259="","",IFERROR(4*STDEVP(終値!AJ259:BC259)/AVERAGE(終値!AJ259:BC259),""))</f>
        <v>0.11274081907176237</v>
      </c>
      <c r="AH259" s="503">
        <f>IF(終値!A259="","",IFERROR(4*STDEVP(終値!AK259:BD259)/AVERAGE(終値!AK259:BD259),""))</f>
        <v>0.10942975311060026</v>
      </c>
      <c r="AI259" s="503">
        <f>IF(終値!A259="","",IFERROR(4*STDEVP(終値!AL259:BE259)/AVERAGE(終値!AL259:BE259),""))</f>
        <v>0.10204372951615887</v>
      </c>
      <c r="AJ259" s="503">
        <f>IF(終値!A259="","",IFERROR(4*STDEVP(終値!AM259:BF259)/AVERAGE(終値!AM259:BF259),""))</f>
        <v>9.9841308291883119E-2</v>
      </c>
      <c r="AK259" s="503">
        <f>IF(終値!A259="","",IFERROR(4*STDEVP(終値!AN259:BG259)/AVERAGE(終値!AN259:BG259),""))</f>
        <v>0.10018781827854076</v>
      </c>
      <c r="AL259" s="503">
        <f>IF(終値!A259="","",IFERROR(4*STDEVP(終値!AO259:BH259)/AVERAGE(終値!AO259:BH259),""))</f>
        <v>0.10544511929241918</v>
      </c>
      <c r="AM259" s="503">
        <f>IF(終値!A259="","",IFERROR(4*STDEVP(終値!AP259:BI259)/AVERAGE(終値!AP259:BI259),""))</f>
        <v>0.10972933937791432</v>
      </c>
      <c r="AN259" s="503">
        <f>IF(終値!A259="","",IFERROR(4*STDEVP(終値!AQ259:BJ259)/AVERAGE(終値!AQ259:BJ259),""))</f>
        <v>0.11187193825611279</v>
      </c>
      <c r="AO259" s="503">
        <f>IF(終値!A259="","",IFERROR(4*STDEVP(終値!AR259:BK259)/AVERAGE(終値!AR259:BK259),""))</f>
        <v>0.11316584026472881</v>
      </c>
      <c r="AP259" s="503">
        <f>IF(終値!A259="","",IFERROR(4*STDEVP(終値!AS259:BL259)/AVERAGE(終値!AS259:BL259),""))</f>
        <v>0.11382140965855347</v>
      </c>
    </row>
    <row r="260" spans="1:42">
      <c r="A260" s="500" t="str">
        <f>IF(終値!A260="","",終値!A260)</f>
        <v>6366</v>
      </c>
      <c r="B260" s="503">
        <f>IF(終値!A260="","",IFERROR(4*STDEVP(終値!E260:X260)/AVERAGE(終値!E260:X260),""))</f>
        <v>0.16280768548914709</v>
      </c>
      <c r="C260" s="503">
        <f>IF(終値!A260="","",IFERROR(4*STDEVP(終値!F260:Y260)/AVERAGE(終値!F260:Y260),""))</f>
        <v>0.17595888030927209</v>
      </c>
      <c r="D260" s="503">
        <f>IF(終値!A260="","",IFERROR(4*STDEVP(終値!G260:Z260)/AVERAGE(終値!G260:Z260),""))</f>
        <v>0.19005248035773548</v>
      </c>
      <c r="E260" s="503">
        <f>IF(終値!A260="","",IFERROR(4*STDEVP(終値!H260:AA260)/AVERAGE(終値!H260:AA260),""))</f>
        <v>0.18924277484796331</v>
      </c>
      <c r="F260" s="503">
        <f>IF(終値!A260="","",IFERROR(4*STDEVP(終値!I260:AB260)/AVERAGE(終値!I260:AB260),""))</f>
        <v>0.18234265625399426</v>
      </c>
      <c r="G260" s="503">
        <f>IF(終値!A260="","",IFERROR(4*STDEVP(終値!J260:AC260)/AVERAGE(終値!J260:AC260),""))</f>
        <v>0.18554239119157587</v>
      </c>
      <c r="H260" s="503">
        <f>IF(終値!A260="","",IFERROR(4*STDEVP(終値!K260:AD260)/AVERAGE(終値!K260:AD260),""))</f>
        <v>0.17174658132604054</v>
      </c>
      <c r="I260" s="503">
        <f>IF(終値!A260="","",IFERROR(4*STDEVP(終値!L260:AE260)/AVERAGE(終値!L260:AE260),""))</f>
        <v>0.15231944741481471</v>
      </c>
      <c r="J260" s="503">
        <f>IF(終値!A260="","",IFERROR(4*STDEVP(終値!M260:AF260)/AVERAGE(終値!M260:AF260),""))</f>
        <v>0.15325833322558233</v>
      </c>
      <c r="K260" s="503">
        <f>IF(終値!A260="","",IFERROR(4*STDEVP(終値!N260:AG260)/AVERAGE(終値!N260:AG260),""))</f>
        <v>0.14617263994961624</v>
      </c>
      <c r="L260" s="503">
        <f>IF(終値!A260="","",IFERROR(4*STDEVP(終値!O260:AH260)/AVERAGE(終値!O260:AH260),""))</f>
        <v>0.15271301184900793</v>
      </c>
      <c r="M260" s="503">
        <f>IF(終値!A260="","",IFERROR(4*STDEVP(終値!P260:AI260)/AVERAGE(終値!P260:AI260),""))</f>
        <v>0.1525578483646638</v>
      </c>
      <c r="N260" s="503">
        <f>IF(終値!A260="","",IFERROR(4*STDEVP(終値!Q260:AJ260)/AVERAGE(終値!Q260:AJ260),""))</f>
        <v>0.15937774877249739</v>
      </c>
      <c r="O260" s="503">
        <f>IF(終値!A260="","",IFERROR(4*STDEVP(終値!R260:AK260)/AVERAGE(終値!R260:AK260),""))</f>
        <v>0.18047500119208196</v>
      </c>
      <c r="P260" s="503">
        <f>IF(終値!A260="","",IFERROR(4*STDEVP(終値!S260:AL260)/AVERAGE(終値!S260:AL260),""))</f>
        <v>0.18828137453573365</v>
      </c>
      <c r="Q260" s="503">
        <f>IF(終値!A260="","",IFERROR(4*STDEVP(終値!T260:AM260)/AVERAGE(終値!T260:AM260),""))</f>
        <v>0.22153369280251947</v>
      </c>
      <c r="R260" s="503">
        <f>IF(終値!A260="","",IFERROR(4*STDEVP(終値!U260:AN260)/AVERAGE(終値!U260:AN260),""))</f>
        <v>0.22537399096023356</v>
      </c>
      <c r="S260" s="503">
        <f>IF(終値!A260="","",IFERROR(4*STDEVP(終値!V260:AO260)/AVERAGE(終値!V260:AO260),""))</f>
        <v>0.21961709439643365</v>
      </c>
      <c r="T260" s="503">
        <f>IF(終値!A260="","",IFERROR(4*STDEVP(終値!W260:AP260)/AVERAGE(終値!W260:AP260),""))</f>
        <v>0.21588668773408634</v>
      </c>
      <c r="U260" s="503">
        <f>IF(終値!A260="","",IFERROR(4*STDEVP(終値!X260:AQ260)/AVERAGE(終値!X260:AQ260),""))</f>
        <v>0.22256466150500689</v>
      </c>
      <c r="V260" s="503">
        <f>IF(終値!A260="","",IFERROR(4*STDEVP(終値!Y260:AR260)/AVERAGE(終値!Y260:AR260),""))</f>
        <v>0.229818250642181</v>
      </c>
      <c r="W260" s="503">
        <f>IF(終値!A260="","",IFERROR(4*STDEVP(終値!Z260:AS260)/AVERAGE(終値!Z260:AS260),""))</f>
        <v>0.23026205902725469</v>
      </c>
      <c r="X260" s="503">
        <f>IF(終値!A260="","",IFERROR(4*STDEVP(終値!AA260:AT260)/AVERAGE(終値!AA260:AT260),""))</f>
        <v>0.22834338014224925</v>
      </c>
      <c r="Y260" s="503">
        <f>IF(終値!A260="","",IFERROR(4*STDEVP(終値!AB260:AU260)/AVERAGE(終値!AB260:AU260),""))</f>
        <v>0.22683402627809646</v>
      </c>
      <c r="Z260" s="503">
        <f>IF(終値!A260="","",IFERROR(4*STDEVP(終値!AC260:AV260)/AVERAGE(終値!AC260:AV260),""))</f>
        <v>0.22501908089768863</v>
      </c>
      <c r="AA260" s="503">
        <f>IF(終値!A260="","",IFERROR(4*STDEVP(終値!AD260:AW260)/AVERAGE(終値!AD260:AW260),""))</f>
        <v>0.20794841272330061</v>
      </c>
      <c r="AB260" s="503">
        <f>IF(終値!A260="","",IFERROR(4*STDEVP(終値!AE260:AX260)/AVERAGE(終値!AE260:AX260),""))</f>
        <v>0.20161894416628745</v>
      </c>
      <c r="AC260" s="503">
        <f>IF(終値!A260="","",IFERROR(4*STDEVP(終値!AF260:AY260)/AVERAGE(終値!AF260:AY260),""))</f>
        <v>0.19728818841938811</v>
      </c>
      <c r="AD260" s="503">
        <f>IF(終値!A260="","",IFERROR(4*STDEVP(終値!AG260:AZ260)/AVERAGE(終値!AG260:AZ260),""))</f>
        <v>0.19322372029978135</v>
      </c>
      <c r="AE260" s="503">
        <f>IF(終値!A260="","",IFERROR(4*STDEVP(終値!AH260:BA260)/AVERAGE(終値!AH260:BA260),""))</f>
        <v>0.20659647131639408</v>
      </c>
      <c r="AF260" s="503">
        <f>IF(終値!A260="","",IFERROR(4*STDEVP(終値!AI260:BB260)/AVERAGE(終値!AI260:BB260),""))</f>
        <v>0.20649626502624707</v>
      </c>
      <c r="AG260" s="503">
        <f>IF(終値!A260="","",IFERROR(4*STDEVP(終値!AJ260:BC260)/AVERAGE(終値!AJ260:BC260),""))</f>
        <v>0.20472543257584633</v>
      </c>
      <c r="AH260" s="503">
        <f>IF(終値!A260="","",IFERROR(4*STDEVP(終値!AK260:BD260)/AVERAGE(終値!AK260:BD260),""))</f>
        <v>0.20679086539038413</v>
      </c>
      <c r="AI260" s="503">
        <f>IF(終値!A260="","",IFERROR(4*STDEVP(終値!AL260:BE260)/AVERAGE(終値!AL260:BE260),""))</f>
        <v>0.20888461875694977</v>
      </c>
      <c r="AJ260" s="503">
        <f>IF(終値!A260="","",IFERROR(4*STDEVP(終値!AM260:BF260)/AVERAGE(終値!AM260:BF260),""))</f>
        <v>0.20438415326485304</v>
      </c>
      <c r="AK260" s="503">
        <f>IF(終値!A260="","",IFERROR(4*STDEVP(終値!AN260:BG260)/AVERAGE(終値!AN260:BG260),""))</f>
        <v>0.21156554452438159</v>
      </c>
      <c r="AL260" s="503">
        <f>IF(終値!A260="","",IFERROR(4*STDEVP(終値!AO260:BH260)/AVERAGE(終値!AO260:BH260),""))</f>
        <v>0.23163386409903927</v>
      </c>
      <c r="AM260" s="503">
        <f>IF(終値!A260="","",IFERROR(4*STDEVP(終値!AP260:BI260)/AVERAGE(終値!AP260:BI260),""))</f>
        <v>0.24914246973329093</v>
      </c>
      <c r="AN260" s="503">
        <f>IF(終値!A260="","",IFERROR(4*STDEVP(終値!AQ260:BJ260)/AVERAGE(終値!AQ260:BJ260),""))</f>
        <v>0.25092513123672877</v>
      </c>
      <c r="AO260" s="503">
        <f>IF(終値!A260="","",IFERROR(4*STDEVP(終値!AR260:BK260)/AVERAGE(終値!AR260:BK260),""))</f>
        <v>0.25240651149593052</v>
      </c>
      <c r="AP260" s="503">
        <f>IF(終値!A260="","",IFERROR(4*STDEVP(終値!AS260:BL260)/AVERAGE(終値!AS260:BL260),""))</f>
        <v>0.34659155561061245</v>
      </c>
    </row>
    <row r="261" spans="1:42">
      <c r="A261" s="500" t="str">
        <f>IF(終値!A261="","",終値!A261)</f>
        <v>6140</v>
      </c>
      <c r="B261" s="503">
        <f>IF(終値!A261="","",IFERROR(4*STDEVP(終値!E261:X261)/AVERAGE(終値!E261:X261),""))</f>
        <v>0.1643532829497015</v>
      </c>
      <c r="C261" s="503">
        <f>IF(終値!A261="","",IFERROR(4*STDEVP(終値!F261:Y261)/AVERAGE(終値!F261:Y261),""))</f>
        <v>0.16616223524818075</v>
      </c>
      <c r="D261" s="503">
        <f>IF(終値!A261="","",IFERROR(4*STDEVP(終値!G261:Z261)/AVERAGE(終値!G261:Z261),""))</f>
        <v>0.17663251850630599</v>
      </c>
      <c r="E261" s="503">
        <f>IF(終値!A261="","",IFERROR(4*STDEVP(終値!H261:AA261)/AVERAGE(終値!H261:AA261),""))</f>
        <v>0.19249799706884513</v>
      </c>
      <c r="F261" s="503">
        <f>IF(終値!A261="","",IFERROR(4*STDEVP(終値!I261:AB261)/AVERAGE(終値!I261:AB261),""))</f>
        <v>0.19435429819038863</v>
      </c>
      <c r="G261" s="503">
        <f>IF(終値!A261="","",IFERROR(4*STDEVP(終値!J261:AC261)/AVERAGE(終値!J261:AC261),""))</f>
        <v>0.19590687421910508</v>
      </c>
      <c r="H261" s="503">
        <f>IF(終値!A261="","",IFERROR(4*STDEVP(終値!K261:AD261)/AVERAGE(終値!K261:AD261),""))</f>
        <v>0.17718355405389694</v>
      </c>
      <c r="I261" s="503">
        <f>IF(終値!A261="","",IFERROR(4*STDEVP(終値!L261:AE261)/AVERAGE(終値!L261:AE261),""))</f>
        <v>0.1486563159825266</v>
      </c>
      <c r="J261" s="503">
        <f>IF(終値!A261="","",IFERROR(4*STDEVP(終値!M261:AF261)/AVERAGE(終値!M261:AF261),""))</f>
        <v>0.12107778813414018</v>
      </c>
      <c r="K261" s="503">
        <f>IF(終値!A261="","",IFERROR(4*STDEVP(終値!N261:AG261)/AVERAGE(終値!N261:AG261),""))</f>
        <v>0.11758277637650391</v>
      </c>
      <c r="L261" s="503">
        <f>IF(終値!A261="","",IFERROR(4*STDEVP(終値!O261:AH261)/AVERAGE(終値!O261:AH261),""))</f>
        <v>0.11465435653750657</v>
      </c>
      <c r="M261" s="503">
        <f>IF(終値!A261="","",IFERROR(4*STDEVP(終値!P261:AI261)/AVERAGE(終値!P261:AI261),""))</f>
        <v>0.10995262163196863</v>
      </c>
      <c r="N261" s="503">
        <f>IF(終値!A261="","",IFERROR(4*STDEVP(終値!Q261:AJ261)/AVERAGE(終値!Q261:AJ261),""))</f>
        <v>0.13847802282388599</v>
      </c>
      <c r="O261" s="503">
        <f>IF(終値!A261="","",IFERROR(4*STDEVP(終値!R261:AK261)/AVERAGE(終値!R261:AK261),""))</f>
        <v>0.14239026581192502</v>
      </c>
      <c r="P261" s="503">
        <f>IF(終値!A261="","",IFERROR(4*STDEVP(終値!S261:AL261)/AVERAGE(終値!S261:AL261),""))</f>
        <v>0.14405287351157461</v>
      </c>
      <c r="Q261" s="503">
        <f>IF(終値!A261="","",IFERROR(4*STDEVP(終値!T261:AM261)/AVERAGE(終値!T261:AM261),""))</f>
        <v>0.15935169877018707</v>
      </c>
      <c r="R261" s="503">
        <f>IF(終値!A261="","",IFERROR(4*STDEVP(終値!U261:AN261)/AVERAGE(終値!U261:AN261),""))</f>
        <v>0.15802216388234069</v>
      </c>
      <c r="S261" s="503">
        <f>IF(終値!A261="","",IFERROR(4*STDEVP(終値!V261:AO261)/AVERAGE(終値!V261:AO261),""))</f>
        <v>0.15547289684378807</v>
      </c>
      <c r="T261" s="503">
        <f>IF(終値!A261="","",IFERROR(4*STDEVP(終値!W261:AP261)/AVERAGE(終値!W261:AP261),""))</f>
        <v>0.14958949476467831</v>
      </c>
      <c r="U261" s="503">
        <f>IF(終値!A261="","",IFERROR(4*STDEVP(終値!X261:AQ261)/AVERAGE(終値!X261:AQ261),""))</f>
        <v>0.14168401493554472</v>
      </c>
      <c r="V261" s="503">
        <f>IF(終値!A261="","",IFERROR(4*STDEVP(終値!Y261:AR261)/AVERAGE(終値!Y261:AR261),""))</f>
        <v>0.13441590961228975</v>
      </c>
      <c r="W261" s="503">
        <f>IF(終値!A261="","",IFERROR(4*STDEVP(終値!Z261:AS261)/AVERAGE(終値!Z261:AS261),""))</f>
        <v>0.130091698588502</v>
      </c>
      <c r="X261" s="503">
        <f>IF(終値!A261="","",IFERROR(4*STDEVP(終値!AA261:AT261)/AVERAGE(終値!AA261:AT261),""))</f>
        <v>0.14195740174084476</v>
      </c>
      <c r="Y261" s="503">
        <f>IF(終値!A261="","",IFERROR(4*STDEVP(終値!AB261:AU261)/AVERAGE(終値!AB261:AU261),""))</f>
        <v>0.14649782198189118</v>
      </c>
      <c r="Z261" s="503">
        <f>IF(終値!A261="","",IFERROR(4*STDEVP(終値!AC261:AV261)/AVERAGE(終値!AC261:AV261),""))</f>
        <v>0.14766977559264502</v>
      </c>
      <c r="AA261" s="503">
        <f>IF(終値!A261="","",IFERROR(4*STDEVP(終値!AD261:AW261)/AVERAGE(終値!AD261:AW261),""))</f>
        <v>0.14987351367193896</v>
      </c>
      <c r="AB261" s="503">
        <f>IF(終値!A261="","",IFERROR(4*STDEVP(終値!AE261:AX261)/AVERAGE(終値!AE261:AX261),""))</f>
        <v>0.15047146992625038</v>
      </c>
      <c r="AC261" s="503">
        <f>IF(終値!A261="","",IFERROR(4*STDEVP(終値!AF261:AY261)/AVERAGE(終値!AF261:AY261),""))</f>
        <v>0.15529095482029334</v>
      </c>
      <c r="AD261" s="503">
        <f>IF(終値!A261="","",IFERROR(4*STDEVP(終値!AG261:AZ261)/AVERAGE(終値!AG261:AZ261),""))</f>
        <v>0.15256954261386368</v>
      </c>
      <c r="AE261" s="503">
        <f>IF(終値!A261="","",IFERROR(4*STDEVP(終値!AH261:BA261)/AVERAGE(終値!AH261:BA261),""))</f>
        <v>0.160364441237757</v>
      </c>
      <c r="AF261" s="503">
        <f>IF(終値!A261="","",IFERROR(4*STDEVP(終値!AI261:BB261)/AVERAGE(終値!AI261:BB261),""))</f>
        <v>0.14847971441667243</v>
      </c>
      <c r="AG261" s="503">
        <f>IF(終値!A261="","",IFERROR(4*STDEVP(終値!AJ261:BC261)/AVERAGE(終値!AJ261:BC261),""))</f>
        <v>0.13946043857559029</v>
      </c>
      <c r="AH261" s="503">
        <f>IF(終値!A261="","",IFERROR(4*STDEVP(終値!AK261:BD261)/AVERAGE(終値!AK261:BD261),""))</f>
        <v>0.13948441004052314</v>
      </c>
      <c r="AI261" s="503">
        <f>IF(終値!A261="","",IFERROR(4*STDEVP(終値!AL261:BE261)/AVERAGE(終値!AL261:BE261),""))</f>
        <v>0.13975181221408342</v>
      </c>
      <c r="AJ261" s="503">
        <f>IF(終値!A261="","",IFERROR(4*STDEVP(終値!AM261:BF261)/AVERAGE(終値!AM261:BF261),""))</f>
        <v>0.14015182201557463</v>
      </c>
      <c r="AK261" s="503">
        <f>IF(終値!A261="","",IFERROR(4*STDEVP(終値!AN261:BG261)/AVERAGE(終値!AN261:BG261),""))</f>
        <v>0.14103498051699689</v>
      </c>
      <c r="AL261" s="503">
        <f>IF(終値!A261="","",IFERROR(4*STDEVP(終値!AO261:BH261)/AVERAGE(終値!AO261:BH261),""))</f>
        <v>0.14300671342362281</v>
      </c>
      <c r="AM261" s="503">
        <f>IF(終値!A261="","",IFERROR(4*STDEVP(終値!AP261:BI261)/AVERAGE(終値!AP261:BI261),""))</f>
        <v>0.15054307123174451</v>
      </c>
      <c r="AN261" s="503">
        <f>IF(終値!A261="","",IFERROR(4*STDEVP(終値!AQ261:BJ261)/AVERAGE(終値!AQ261:BJ261),""))</f>
        <v>0.14002206788757071</v>
      </c>
      <c r="AO261" s="503">
        <f>IF(終値!A261="","",IFERROR(4*STDEVP(終値!AR261:BK261)/AVERAGE(終値!AR261:BK261),""))</f>
        <v>0.11859575836457337</v>
      </c>
      <c r="AP261" s="503">
        <f>IF(終値!A261="","",IFERROR(4*STDEVP(終値!AS261:BL261)/AVERAGE(終値!AS261:BL261),""))</f>
        <v>9.618548701455483E-2</v>
      </c>
    </row>
    <row r="262" spans="1:42">
      <c r="A262" s="500" t="str">
        <f>IF(終値!A262="","",終値!A262)</f>
        <v>1514</v>
      </c>
      <c r="B262" s="503">
        <f>IF(終値!A262="","",IFERROR(4*STDEVP(終値!E262:X262)/AVERAGE(終値!E262:X262),""))</f>
        <v>9.7507846690714703E-2</v>
      </c>
      <c r="C262" s="503">
        <f>IF(終値!A262="","",IFERROR(4*STDEVP(終値!F262:Y262)/AVERAGE(終値!F262:Y262),""))</f>
        <v>0.10311834408659337</v>
      </c>
      <c r="D262" s="503">
        <f>IF(終値!A262="","",IFERROR(4*STDEVP(終値!G262:Z262)/AVERAGE(終値!G262:Z262),""))</f>
        <v>0.10045055692648451</v>
      </c>
      <c r="E262" s="503">
        <f>IF(終値!A262="","",IFERROR(4*STDEVP(終値!H262:AA262)/AVERAGE(終値!H262:AA262),""))</f>
        <v>0.10692571142932809</v>
      </c>
      <c r="F262" s="503">
        <f>IF(終値!A262="","",IFERROR(4*STDEVP(終値!I262:AB262)/AVERAGE(終値!I262:AB262),""))</f>
        <v>0.11719006637691057</v>
      </c>
      <c r="G262" s="503">
        <f>IF(終値!A262="","",IFERROR(4*STDEVP(終値!J262:AC262)/AVERAGE(終値!J262:AC262),""))</f>
        <v>0.13962157060103864</v>
      </c>
      <c r="H262" s="503">
        <f>IF(終値!A262="","",IFERROR(4*STDEVP(終値!K262:AD262)/AVERAGE(終値!K262:AD262),""))</f>
        <v>0.15661699264547416</v>
      </c>
      <c r="I262" s="503">
        <f>IF(終値!A262="","",IFERROR(4*STDEVP(終値!L262:AE262)/AVERAGE(終値!L262:AE262),""))</f>
        <v>0.17495987970127272</v>
      </c>
      <c r="J262" s="503">
        <f>IF(終値!A262="","",IFERROR(4*STDEVP(終値!M262:AF262)/AVERAGE(終値!M262:AF262),""))</f>
        <v>0.18878521653313921</v>
      </c>
      <c r="K262" s="503">
        <f>IF(終値!A262="","",IFERROR(4*STDEVP(終値!N262:AG262)/AVERAGE(終値!N262:AG262),""))</f>
        <v>0.18948523133497591</v>
      </c>
      <c r="L262" s="503">
        <f>IF(終値!A262="","",IFERROR(4*STDEVP(終値!O262:AH262)/AVERAGE(終値!O262:AH262),""))</f>
        <v>0.19054952707932654</v>
      </c>
      <c r="M262" s="503">
        <f>IF(終値!A262="","",IFERROR(4*STDEVP(終値!P262:AI262)/AVERAGE(終値!P262:AI262),""))</f>
        <v>0.18174554542757587</v>
      </c>
      <c r="N262" s="503">
        <f>IF(終値!A262="","",IFERROR(4*STDEVP(終値!Q262:AJ262)/AVERAGE(終値!Q262:AJ262),""))</f>
        <v>0.16914283087851414</v>
      </c>
      <c r="O262" s="503">
        <f>IF(終値!A262="","",IFERROR(4*STDEVP(終値!R262:AK262)/AVERAGE(終値!R262:AK262),""))</f>
        <v>0.16738727707771367</v>
      </c>
      <c r="P262" s="503">
        <f>IF(終値!A262="","",IFERROR(4*STDEVP(終値!S262:AL262)/AVERAGE(終値!S262:AL262),""))</f>
        <v>0.16758326797921963</v>
      </c>
      <c r="Q262" s="503">
        <f>IF(終値!A262="","",IFERROR(4*STDEVP(終値!T262:AM262)/AVERAGE(終値!T262:AM262),""))</f>
        <v>0.15001783079766856</v>
      </c>
      <c r="R262" s="503">
        <f>IF(終値!A262="","",IFERROR(4*STDEVP(終値!U262:AN262)/AVERAGE(終値!U262:AN262),""))</f>
        <v>0.13569929918943438</v>
      </c>
      <c r="S262" s="503">
        <f>IF(終値!A262="","",IFERROR(4*STDEVP(終値!V262:AO262)/AVERAGE(終値!V262:AO262),""))</f>
        <v>0.12850493368706906</v>
      </c>
      <c r="T262" s="503">
        <f>IF(終値!A262="","",IFERROR(4*STDEVP(終値!W262:AP262)/AVERAGE(終値!W262:AP262),""))</f>
        <v>0.11638392975269593</v>
      </c>
      <c r="U262" s="503">
        <f>IF(終値!A262="","",IFERROR(4*STDEVP(終値!X262:AQ262)/AVERAGE(終値!X262:AQ262),""))</f>
        <v>0.1127593234275915</v>
      </c>
      <c r="V262" s="503">
        <f>IF(終値!A262="","",IFERROR(4*STDEVP(終値!Y262:AR262)/AVERAGE(終値!Y262:AR262),""))</f>
        <v>0.1127593234275915</v>
      </c>
      <c r="W262" s="503">
        <f>IF(終値!A262="","",IFERROR(4*STDEVP(終値!Z262:AS262)/AVERAGE(終値!Z262:AS262),""))</f>
        <v>0.12507600422232565</v>
      </c>
      <c r="X262" s="503">
        <f>IF(終値!A262="","",IFERROR(4*STDEVP(終値!AA262:AT262)/AVERAGE(終値!AA262:AT262),""))</f>
        <v>0.1242602637030001</v>
      </c>
      <c r="Y262" s="503">
        <f>IF(終値!A262="","",IFERROR(4*STDEVP(終値!AB262:AU262)/AVERAGE(終値!AB262:AU262),""))</f>
        <v>0.1247615963351375</v>
      </c>
      <c r="Z262" s="503">
        <f>IF(終値!A262="","",IFERROR(4*STDEVP(終値!AC262:AV262)/AVERAGE(終値!AC262:AV262),""))</f>
        <v>0.12830058909640002</v>
      </c>
      <c r="AA262" s="503">
        <f>IF(終値!A262="","",IFERROR(4*STDEVP(終値!AD262:AW262)/AVERAGE(終値!AD262:AW262),""))</f>
        <v>0.13071771765241627</v>
      </c>
      <c r="AB262" s="503">
        <f>IF(終値!A262="","",IFERROR(4*STDEVP(終値!AE262:AX262)/AVERAGE(終値!AE262:AX262),""))</f>
        <v>0.14202972666205679</v>
      </c>
      <c r="AC262" s="503">
        <f>IF(終値!A262="","",IFERROR(4*STDEVP(終値!AF262:AY262)/AVERAGE(終値!AF262:AY262),""))</f>
        <v>0.14856152104262374</v>
      </c>
      <c r="AD262" s="503">
        <f>IF(終値!A262="","",IFERROR(4*STDEVP(終値!AG262:AZ262)/AVERAGE(終値!AG262:AZ262),""))</f>
        <v>0.16091964972952599</v>
      </c>
      <c r="AE262" s="503">
        <f>IF(終値!A262="","",IFERROR(4*STDEVP(終値!AH262:BA262)/AVERAGE(終値!AH262:BA262),""))</f>
        <v>0.1637292962245169</v>
      </c>
      <c r="AF262" s="503">
        <f>IF(終値!A262="","",IFERROR(4*STDEVP(終値!AI262:BB262)/AVERAGE(終値!AI262:BB262),""))</f>
        <v>0.16588938822922372</v>
      </c>
      <c r="AG262" s="503">
        <f>IF(終値!A262="","",IFERROR(4*STDEVP(終値!AJ262:BC262)/AVERAGE(終値!AJ262:BC262),""))</f>
        <v>0.16461795709785737</v>
      </c>
      <c r="AH262" s="503">
        <f>IF(終値!A262="","",IFERROR(4*STDEVP(終値!AK262:BD262)/AVERAGE(終値!AK262:BD262),""))</f>
        <v>0.16527015312117344</v>
      </c>
      <c r="AI262" s="503">
        <f>IF(終値!A262="","",IFERROR(4*STDEVP(終値!AL262:BE262)/AVERAGE(終値!AL262:BE262),""))</f>
        <v>0.16361780996304842</v>
      </c>
      <c r="AJ262" s="503">
        <f>IF(終値!A262="","",IFERROR(4*STDEVP(終値!AM262:BF262)/AVERAGE(終値!AM262:BF262),""))</f>
        <v>0.16713917060090863</v>
      </c>
      <c r="AK262" s="503">
        <f>IF(終値!A262="","",IFERROR(4*STDEVP(終値!AN262:BG262)/AVERAGE(終値!AN262:BG262),""))</f>
        <v>0.24547559071686592</v>
      </c>
      <c r="AL262" s="503">
        <f>IF(終値!A262="","",IFERROR(4*STDEVP(終値!AO262:BH262)/AVERAGE(終値!AO262:BH262),""))</f>
        <v>0.29393450643444785</v>
      </c>
      <c r="AM262" s="503">
        <f>IF(終値!A262="","",IFERROR(4*STDEVP(終値!AP262:BI262)/AVERAGE(終値!AP262:BI262),""))</f>
        <v>0.3377078592225447</v>
      </c>
      <c r="AN262" s="503">
        <f>IF(終値!A262="","",IFERROR(4*STDEVP(終値!AQ262:BJ262)/AVERAGE(終値!AQ262:BJ262),""))</f>
        <v>0.37099763247202994</v>
      </c>
      <c r="AO262" s="503">
        <f>IF(終値!A262="","",IFERROR(4*STDEVP(終値!AR262:BK262)/AVERAGE(終値!AR262:BK262),""))</f>
        <v>0.39594351300718966</v>
      </c>
      <c r="AP262" s="503">
        <f>IF(終値!A262="","",IFERROR(4*STDEVP(終値!AS262:BL262)/AVERAGE(終値!AS262:BL262),""))</f>
        <v>0.41177546308515717</v>
      </c>
    </row>
    <row r="263" spans="1:42">
      <c r="A263" s="500" t="str">
        <f>IF(終値!A263="","",終値!A263)</f>
        <v>5631</v>
      </c>
      <c r="B263" s="503">
        <f>IF(終値!A263="","",IFERROR(4*STDEVP(終値!E263:X263)/AVERAGE(終値!E263:X263),""))</f>
        <v>0.12162660824129432</v>
      </c>
      <c r="C263" s="503">
        <f>IF(終値!A263="","",IFERROR(4*STDEVP(終値!F263:Y263)/AVERAGE(終値!F263:Y263),""))</f>
        <v>0.14056660489482875</v>
      </c>
      <c r="D263" s="503">
        <f>IF(終値!A263="","",IFERROR(4*STDEVP(終値!G263:Z263)/AVERAGE(終値!G263:Z263),""))</f>
        <v>0.17154861307100958</v>
      </c>
      <c r="E263" s="503">
        <f>IF(終値!A263="","",IFERROR(4*STDEVP(終値!H263:AA263)/AVERAGE(終値!H263:AA263),""))</f>
        <v>0.17262543017149232</v>
      </c>
      <c r="F263" s="503">
        <f>IF(終値!A263="","",IFERROR(4*STDEVP(終値!I263:AB263)/AVERAGE(終値!I263:AB263),""))</f>
        <v>0.17104134462490828</v>
      </c>
      <c r="G263" s="503">
        <f>IF(終値!A263="","",IFERROR(4*STDEVP(終値!J263:AC263)/AVERAGE(終値!J263:AC263),""))</f>
        <v>0.16796051338384074</v>
      </c>
      <c r="H263" s="503">
        <f>IF(終値!A263="","",IFERROR(4*STDEVP(終値!K263:AD263)/AVERAGE(終値!K263:AD263),""))</f>
        <v>0.16162725073445874</v>
      </c>
      <c r="I263" s="503">
        <f>IF(終値!A263="","",IFERROR(4*STDEVP(終値!L263:AE263)/AVERAGE(終値!L263:AE263),""))</f>
        <v>0.14916367800644131</v>
      </c>
      <c r="J263" s="503">
        <f>IF(終値!A263="","",IFERROR(4*STDEVP(終値!M263:AF263)/AVERAGE(終値!M263:AF263),""))</f>
        <v>0.14265834383932705</v>
      </c>
      <c r="K263" s="503">
        <f>IF(終値!A263="","",IFERROR(4*STDEVP(終値!N263:AG263)/AVERAGE(終値!N263:AG263),""))</f>
        <v>0.14207063898204084</v>
      </c>
      <c r="L263" s="503">
        <f>IF(終値!A263="","",IFERROR(4*STDEVP(終値!O263:AH263)/AVERAGE(終値!O263:AH263),""))</f>
        <v>0.14315371454349604</v>
      </c>
      <c r="M263" s="503">
        <f>IF(終値!A263="","",IFERROR(4*STDEVP(終値!P263:AI263)/AVERAGE(終値!P263:AI263),""))</f>
        <v>0.1431066961910763</v>
      </c>
      <c r="N263" s="503">
        <f>IF(終値!A263="","",IFERROR(4*STDEVP(終値!Q263:AJ263)/AVERAGE(終値!Q263:AJ263),""))</f>
        <v>0.14086716903516791</v>
      </c>
      <c r="O263" s="503">
        <f>IF(終値!A263="","",IFERROR(4*STDEVP(終値!R263:AK263)/AVERAGE(終値!R263:AK263),""))</f>
        <v>0.13194980940944165</v>
      </c>
      <c r="P263" s="503">
        <f>IF(終値!A263="","",IFERROR(4*STDEVP(終値!S263:AL263)/AVERAGE(終値!S263:AL263),""))</f>
        <v>0.11893304927114196</v>
      </c>
      <c r="Q263" s="503">
        <f>IF(終値!A263="","",IFERROR(4*STDEVP(終値!T263:AM263)/AVERAGE(終値!T263:AM263),""))</f>
        <v>0.12349401457030329</v>
      </c>
      <c r="R263" s="503">
        <f>IF(終値!A263="","",IFERROR(4*STDEVP(終値!U263:AN263)/AVERAGE(終値!U263:AN263),""))</f>
        <v>0.12226414068778442</v>
      </c>
      <c r="S263" s="503">
        <f>IF(終値!A263="","",IFERROR(4*STDEVP(終値!V263:AO263)/AVERAGE(終値!V263:AO263),""))</f>
        <v>0.12684438468908932</v>
      </c>
      <c r="T263" s="503">
        <f>IF(終値!A263="","",IFERROR(4*STDEVP(終値!W263:AP263)/AVERAGE(終値!W263:AP263),""))</f>
        <v>0.13413507898003865</v>
      </c>
      <c r="U263" s="503">
        <f>IF(終値!A263="","",IFERROR(4*STDEVP(終値!X263:AQ263)/AVERAGE(終値!X263:AQ263),""))</f>
        <v>0.1633407324284859</v>
      </c>
      <c r="V263" s="503">
        <f>IF(終値!A263="","",IFERROR(4*STDEVP(終値!Y263:AR263)/AVERAGE(終値!Y263:AR263),""))</f>
        <v>0.18258619170589768</v>
      </c>
      <c r="W263" s="503">
        <f>IF(終値!A263="","",IFERROR(4*STDEVP(終値!Z263:AS263)/AVERAGE(終値!Z263:AS263),""))</f>
        <v>0.18118482343094394</v>
      </c>
      <c r="X263" s="503">
        <f>IF(終値!A263="","",IFERROR(4*STDEVP(終値!AA263:AT263)/AVERAGE(終値!AA263:AT263),""))</f>
        <v>0.16060579992446838</v>
      </c>
      <c r="Y263" s="503">
        <f>IF(終値!A263="","",IFERROR(4*STDEVP(終値!AB263:AU263)/AVERAGE(終値!AB263:AU263),""))</f>
        <v>0.1693561895045575</v>
      </c>
      <c r="Z263" s="503">
        <f>IF(終値!A263="","",IFERROR(4*STDEVP(終値!AC263:AV263)/AVERAGE(終値!AC263:AV263),""))</f>
        <v>0.17477556895378202</v>
      </c>
      <c r="AA263" s="503">
        <f>IF(終値!A263="","",IFERROR(4*STDEVP(終値!AD263:AW263)/AVERAGE(終値!AD263:AW263),""))</f>
        <v>0.18193645507803327</v>
      </c>
      <c r="AB263" s="503">
        <f>IF(終値!A263="","",IFERROR(4*STDEVP(終値!AE263:AX263)/AVERAGE(終値!AE263:AX263),""))</f>
        <v>0.1819541383813057</v>
      </c>
      <c r="AC263" s="503">
        <f>IF(終値!A263="","",IFERROR(4*STDEVP(終値!AF263:AY263)/AVERAGE(終値!AF263:AY263),""))</f>
        <v>0.18214545606558008</v>
      </c>
      <c r="AD263" s="503">
        <f>IF(終値!A263="","",IFERROR(4*STDEVP(終値!AG263:AZ263)/AVERAGE(終値!AG263:AZ263),""))</f>
        <v>0.18510962647736845</v>
      </c>
      <c r="AE263" s="503">
        <f>IF(終値!A263="","",IFERROR(4*STDEVP(終値!AH263:BA263)/AVERAGE(終値!AH263:BA263),""))</f>
        <v>0.18434140604411287</v>
      </c>
      <c r="AF263" s="503">
        <f>IF(終値!A263="","",IFERROR(4*STDEVP(終値!AI263:BB263)/AVERAGE(終値!AI263:BB263),""))</f>
        <v>0.18239712713504228</v>
      </c>
      <c r="AG263" s="503">
        <f>IF(終値!A263="","",IFERROR(4*STDEVP(終値!AJ263:BC263)/AVERAGE(終値!AJ263:BC263),""))</f>
        <v>0.18237090070056014</v>
      </c>
      <c r="AH263" s="503">
        <f>IF(終値!A263="","",IFERROR(4*STDEVP(終値!AK263:BD263)/AVERAGE(終値!AK263:BD263),""))</f>
        <v>0.1802697299339579</v>
      </c>
      <c r="AI263" s="503">
        <f>IF(終値!A263="","",IFERROR(4*STDEVP(終値!AL263:BE263)/AVERAGE(終値!AL263:BE263),""))</f>
        <v>0.18190282647390732</v>
      </c>
      <c r="AJ263" s="503">
        <f>IF(終値!A263="","",IFERROR(4*STDEVP(終値!AM263:BF263)/AVERAGE(終値!AM263:BF263),""))</f>
        <v>0.17122744194409192</v>
      </c>
      <c r="AK263" s="503">
        <f>IF(終値!A263="","",IFERROR(4*STDEVP(終値!AN263:BG263)/AVERAGE(終値!AN263:BG263),""))</f>
        <v>0.15718882620570254</v>
      </c>
      <c r="AL263" s="503">
        <f>IF(終値!A263="","",IFERROR(4*STDEVP(終値!AO263:BH263)/AVERAGE(終値!AO263:BH263),""))</f>
        <v>0.16356041864631249</v>
      </c>
      <c r="AM263" s="503">
        <f>IF(終値!A263="","",IFERROR(4*STDEVP(終値!AP263:BI263)/AVERAGE(終値!AP263:BI263),""))</f>
        <v>0.20590393089036363</v>
      </c>
      <c r="AN263" s="503">
        <f>IF(終値!A263="","",IFERROR(4*STDEVP(終値!AQ263:BJ263)/AVERAGE(終値!AQ263:BJ263),""))</f>
        <v>0.23572644427620079</v>
      </c>
      <c r="AO263" s="503">
        <f>IF(終値!A263="","",IFERROR(4*STDEVP(終値!AR263:BK263)/AVERAGE(終値!AR263:BK263),""))</f>
        <v>0.25754130045336698</v>
      </c>
      <c r="AP263" s="503">
        <f>IF(終値!A263="","",IFERROR(4*STDEVP(終値!AS263:BL263)/AVERAGE(終値!AS263:BL263),""))</f>
        <v>0.27401777856426857</v>
      </c>
    </row>
    <row r="264" spans="1:42">
      <c r="A264" s="500" t="str">
        <f>IF(終値!A264="","",終値!A264)</f>
        <v>6674</v>
      </c>
      <c r="B264" s="503">
        <f>IF(終値!A264="","",IFERROR(4*STDEVP(終値!E264:X264)/AVERAGE(終値!E264:X264),""))</f>
        <v>0.21310958036012004</v>
      </c>
      <c r="C264" s="503">
        <f>IF(終値!A264="","",IFERROR(4*STDEVP(終値!F264:Y264)/AVERAGE(終値!F264:Y264),""))</f>
        <v>0.22707639470599053</v>
      </c>
      <c r="D264" s="503">
        <f>IF(終値!A264="","",IFERROR(4*STDEVP(終値!G264:Z264)/AVERAGE(終値!G264:Z264),""))</f>
        <v>0.25634189882355363</v>
      </c>
      <c r="E264" s="503">
        <f>IF(終値!A264="","",IFERROR(4*STDEVP(終値!H264:AA264)/AVERAGE(終値!H264:AA264),""))</f>
        <v>0.28390268851560346</v>
      </c>
      <c r="F264" s="503">
        <f>IF(終値!A264="","",IFERROR(4*STDEVP(終値!I264:AB264)/AVERAGE(終値!I264:AB264),""))</f>
        <v>0.29098872095974704</v>
      </c>
      <c r="G264" s="503">
        <f>IF(終値!A264="","",IFERROR(4*STDEVP(終値!J264:AC264)/AVERAGE(終値!J264:AC264),""))</f>
        <v>0.29518917849665671</v>
      </c>
      <c r="H264" s="503">
        <f>IF(終値!A264="","",IFERROR(4*STDEVP(終値!K264:AD264)/AVERAGE(終値!K264:AD264),""))</f>
        <v>0.2742418112243139</v>
      </c>
      <c r="I264" s="503">
        <f>IF(終値!A264="","",IFERROR(4*STDEVP(終値!L264:AE264)/AVERAGE(終値!L264:AE264),""))</f>
        <v>0.24800553023017347</v>
      </c>
      <c r="J264" s="503">
        <f>IF(終値!A264="","",IFERROR(4*STDEVP(終値!M264:AF264)/AVERAGE(終値!M264:AF264),""))</f>
        <v>0.23635072850811709</v>
      </c>
      <c r="K264" s="503">
        <f>IF(終値!A264="","",IFERROR(4*STDEVP(終値!N264:AG264)/AVERAGE(終値!N264:AG264),""))</f>
        <v>0.25592709493912619</v>
      </c>
      <c r="L264" s="503">
        <f>IF(終値!A264="","",IFERROR(4*STDEVP(終値!O264:AH264)/AVERAGE(終値!O264:AH264),""))</f>
        <v>0.27280775945751257</v>
      </c>
      <c r="M264" s="503">
        <f>IF(終値!A264="","",IFERROR(4*STDEVP(終値!P264:AI264)/AVERAGE(終値!P264:AI264),""))</f>
        <v>0.28285858987651208</v>
      </c>
      <c r="N264" s="503">
        <f>IF(終値!A264="","",IFERROR(4*STDEVP(終値!Q264:AJ264)/AVERAGE(終値!Q264:AJ264),""))</f>
        <v>0.30642404320756561</v>
      </c>
      <c r="O264" s="503">
        <f>IF(終値!A264="","",IFERROR(4*STDEVP(終値!R264:AK264)/AVERAGE(終値!R264:AK264),""))</f>
        <v>0.29069369408282408</v>
      </c>
      <c r="P264" s="503">
        <f>IF(終値!A264="","",IFERROR(4*STDEVP(終値!S264:AL264)/AVERAGE(終値!S264:AL264),""))</f>
        <v>0.2539364089229057</v>
      </c>
      <c r="Q264" s="503">
        <f>IF(終値!A264="","",IFERROR(4*STDEVP(終値!T264:AM264)/AVERAGE(終値!T264:AM264),""))</f>
        <v>0.2418049861603053</v>
      </c>
      <c r="R264" s="503">
        <f>IF(終値!A264="","",IFERROR(4*STDEVP(終値!U264:AN264)/AVERAGE(終値!U264:AN264),""))</f>
        <v>0.22221073656630946</v>
      </c>
      <c r="S264" s="503">
        <f>IF(終値!A264="","",IFERROR(4*STDEVP(終値!V264:AO264)/AVERAGE(終値!V264:AO264),""))</f>
        <v>0.20863879957437192</v>
      </c>
      <c r="T264" s="503">
        <f>IF(終値!A264="","",IFERROR(4*STDEVP(終値!W264:AP264)/AVERAGE(終値!W264:AP264),""))</f>
        <v>0.20778355585380917</v>
      </c>
      <c r="U264" s="503">
        <f>IF(終値!A264="","",IFERROR(4*STDEVP(終値!X264:AQ264)/AVERAGE(終値!X264:AQ264),""))</f>
        <v>0.20354331719659935</v>
      </c>
      <c r="V264" s="503">
        <f>IF(終値!A264="","",IFERROR(4*STDEVP(終値!Y264:AR264)/AVERAGE(終値!Y264:AR264),""))</f>
        <v>0.19440192299205497</v>
      </c>
      <c r="W264" s="503">
        <f>IF(終値!A264="","",IFERROR(4*STDEVP(終値!Z264:AS264)/AVERAGE(終値!Z264:AS264),""))</f>
        <v>0.19164616644034704</v>
      </c>
      <c r="X264" s="503">
        <f>IF(終値!A264="","",IFERROR(4*STDEVP(終値!AA264:AT264)/AVERAGE(終値!AA264:AT264),""))</f>
        <v>0.20361546841467171</v>
      </c>
      <c r="Y264" s="503">
        <f>IF(終値!A264="","",IFERROR(4*STDEVP(終値!AB264:AU264)/AVERAGE(終値!AB264:AU264),""))</f>
        <v>0.21041232837158155</v>
      </c>
      <c r="Z264" s="503">
        <f>IF(終値!A264="","",IFERROR(4*STDEVP(終値!AC264:AV264)/AVERAGE(終値!AC264:AV264),""))</f>
        <v>0.2267785690627673</v>
      </c>
      <c r="AA264" s="503">
        <f>IF(終値!A264="","",IFERROR(4*STDEVP(終値!AD264:AW264)/AVERAGE(終値!AD264:AW264),""))</f>
        <v>0.22557293340757942</v>
      </c>
      <c r="AB264" s="503">
        <f>IF(終値!A264="","",IFERROR(4*STDEVP(終値!AE264:AX264)/AVERAGE(終値!AE264:AX264),""))</f>
        <v>0.22313301219116424</v>
      </c>
      <c r="AC264" s="503">
        <f>IF(終値!A264="","",IFERROR(4*STDEVP(終値!AF264:AY264)/AVERAGE(終値!AF264:AY264),""))</f>
        <v>0.2287022915369343</v>
      </c>
      <c r="AD264" s="503">
        <f>IF(終値!A264="","",IFERROR(4*STDEVP(終値!AG264:AZ264)/AVERAGE(終値!AG264:AZ264),""))</f>
        <v>0.23906277684316041</v>
      </c>
      <c r="AE264" s="503">
        <f>IF(終値!A264="","",IFERROR(4*STDEVP(終値!AH264:BA264)/AVERAGE(終値!AH264:BA264),""))</f>
        <v>0.24355896895105716</v>
      </c>
      <c r="AF264" s="503">
        <f>IF(終値!A264="","",IFERROR(4*STDEVP(終値!AI264:BB264)/AVERAGE(終値!AI264:BB264),""))</f>
        <v>0.24996033940410048</v>
      </c>
      <c r="AG264" s="503">
        <f>IF(終値!A264="","",IFERROR(4*STDEVP(終値!AJ264:BC264)/AVERAGE(終値!AJ264:BC264),""))</f>
        <v>0.26046209288888988</v>
      </c>
      <c r="AH264" s="503">
        <f>IF(終値!A264="","",IFERROR(4*STDEVP(終値!AK264:BD264)/AVERAGE(終値!AK264:BD264),""))</f>
        <v>0.24274249177974053</v>
      </c>
      <c r="AI264" s="503">
        <f>IF(終値!A264="","",IFERROR(4*STDEVP(終値!AL264:BE264)/AVERAGE(終値!AL264:BE264),""))</f>
        <v>0.2381557202825719</v>
      </c>
      <c r="AJ264" s="503">
        <f>IF(終値!A264="","",IFERROR(4*STDEVP(終値!AM264:BF264)/AVERAGE(終値!AM264:BF264),""))</f>
        <v>0.24016670030493162</v>
      </c>
      <c r="AK264" s="503">
        <f>IF(終値!A264="","",IFERROR(4*STDEVP(終値!AN264:BG264)/AVERAGE(終値!AN264:BG264),""))</f>
        <v>0.23930445059127922</v>
      </c>
      <c r="AL264" s="503">
        <f>IF(終値!A264="","",IFERROR(4*STDEVP(終値!AO264:BH264)/AVERAGE(終値!AO264:BH264),""))</f>
        <v>0.24157350343471626</v>
      </c>
      <c r="AM264" s="503">
        <f>IF(終値!A264="","",IFERROR(4*STDEVP(終値!AP264:BI264)/AVERAGE(終値!AP264:BI264),""))</f>
        <v>0.24125307660947906</v>
      </c>
      <c r="AN264" s="503">
        <f>IF(終値!A264="","",IFERROR(4*STDEVP(終値!AQ264:BJ264)/AVERAGE(終値!AQ264:BJ264),""))</f>
        <v>0.23791962180922341</v>
      </c>
      <c r="AO264" s="503">
        <f>IF(終値!A264="","",IFERROR(4*STDEVP(終値!AR264:BK264)/AVERAGE(終値!AR264:BK264),""))</f>
        <v>0.2352850963612326</v>
      </c>
      <c r="AP264" s="503">
        <f>IF(終値!A264="","",IFERROR(4*STDEVP(終値!AS264:BL264)/AVERAGE(終値!AS264:BL264),""))</f>
        <v>0.23444696380599833</v>
      </c>
    </row>
    <row r="265" spans="1:42">
      <c r="A265" s="500" t="str">
        <f>IF(終値!A265="","",終値!A265)</f>
        <v>6955</v>
      </c>
      <c r="B265" s="503">
        <f>IF(終値!A265="","",IFERROR(4*STDEVP(終値!E265:X265)/AVERAGE(終値!E265:X265),""))</f>
        <v>0.17479768637441551</v>
      </c>
      <c r="C265" s="503">
        <f>IF(終値!A265="","",IFERROR(4*STDEVP(終値!F265:Y265)/AVERAGE(終値!F265:Y265),""))</f>
        <v>0.19603751393509875</v>
      </c>
      <c r="D265" s="503">
        <f>IF(終値!A265="","",IFERROR(4*STDEVP(終値!G265:Z265)/AVERAGE(終値!G265:Z265),""))</f>
        <v>0.21162881927452201</v>
      </c>
      <c r="E265" s="503">
        <f>IF(終値!A265="","",IFERROR(4*STDEVP(終値!H265:AA265)/AVERAGE(終値!H265:AA265),""))</f>
        <v>0.2473716308391605</v>
      </c>
      <c r="F265" s="503">
        <f>IF(終値!A265="","",IFERROR(4*STDEVP(終値!I265:AB265)/AVERAGE(終値!I265:AB265),""))</f>
        <v>0.27982254519311545</v>
      </c>
      <c r="G265" s="503">
        <f>IF(終値!A265="","",IFERROR(4*STDEVP(終値!J265:AC265)/AVERAGE(終値!J265:AC265),""))</f>
        <v>0.29057476143882116</v>
      </c>
      <c r="H265" s="503">
        <f>IF(終値!A265="","",IFERROR(4*STDEVP(終値!K265:AD265)/AVERAGE(終値!K265:AD265),""))</f>
        <v>0.30031216737187144</v>
      </c>
      <c r="I265" s="503">
        <f>IF(終値!A265="","",IFERROR(4*STDEVP(終値!L265:AE265)/AVERAGE(終値!L265:AE265),""))</f>
        <v>0.30343563685295882</v>
      </c>
      <c r="J265" s="503">
        <f>IF(終値!A265="","",IFERROR(4*STDEVP(終値!M265:AF265)/AVERAGE(終値!M265:AF265),""))</f>
        <v>0.2986860105899386</v>
      </c>
      <c r="K265" s="503">
        <f>IF(終値!A265="","",IFERROR(4*STDEVP(終値!N265:AG265)/AVERAGE(終値!N265:AG265),""))</f>
        <v>0.31732768986150434</v>
      </c>
      <c r="L265" s="503">
        <f>IF(終値!A265="","",IFERROR(4*STDEVP(終値!O265:AH265)/AVERAGE(終値!O265:AH265),""))</f>
        <v>0.33117243256426893</v>
      </c>
      <c r="M265" s="503">
        <f>IF(終値!A265="","",IFERROR(4*STDEVP(終値!P265:AI265)/AVERAGE(終値!P265:AI265),""))</f>
        <v>0.33568680182470434</v>
      </c>
      <c r="N265" s="503">
        <f>IF(終値!A265="","",IFERROR(4*STDEVP(終値!Q265:AJ265)/AVERAGE(終値!Q265:AJ265),""))</f>
        <v>0.35184351294387528</v>
      </c>
      <c r="O265" s="503">
        <f>IF(終値!A265="","",IFERROR(4*STDEVP(終値!R265:AK265)/AVERAGE(終値!R265:AK265),""))</f>
        <v>0.33547724379783389</v>
      </c>
      <c r="P265" s="503">
        <f>IF(終値!A265="","",IFERROR(4*STDEVP(終値!S265:AL265)/AVERAGE(終値!S265:AL265),""))</f>
        <v>0.31096201329834189</v>
      </c>
      <c r="Q265" s="503">
        <f>IF(終値!A265="","",IFERROR(4*STDEVP(終値!T265:AM265)/AVERAGE(終値!T265:AM265),""))</f>
        <v>0.30022824843438478</v>
      </c>
      <c r="R265" s="503">
        <f>IF(終値!A265="","",IFERROR(4*STDEVP(終値!U265:AN265)/AVERAGE(終値!U265:AN265),""))</f>
        <v>0.28022512938135413</v>
      </c>
      <c r="S265" s="503">
        <f>IF(終値!A265="","",IFERROR(4*STDEVP(終値!V265:AO265)/AVERAGE(終値!V265:AO265),""))</f>
        <v>0.26450134955869886</v>
      </c>
      <c r="T265" s="503">
        <f>IF(終値!A265="","",IFERROR(4*STDEVP(終値!W265:AP265)/AVERAGE(終値!W265:AP265),""))</f>
        <v>0.24420170265892371</v>
      </c>
      <c r="U265" s="503">
        <f>IF(終値!A265="","",IFERROR(4*STDEVP(終値!X265:AQ265)/AVERAGE(終値!X265:AQ265),""))</f>
        <v>0.21444863550520121</v>
      </c>
      <c r="V265" s="503">
        <f>IF(終値!A265="","",IFERROR(4*STDEVP(終値!Y265:AR265)/AVERAGE(終値!Y265:AR265),""))</f>
        <v>0.17975672294086165</v>
      </c>
      <c r="W265" s="503">
        <f>IF(終値!A265="","",IFERROR(4*STDEVP(終値!Z265:AS265)/AVERAGE(終値!Z265:AS265),""))</f>
        <v>0.2798150627303127</v>
      </c>
      <c r="X265" s="503">
        <f>IF(終値!A265="","",IFERROR(4*STDEVP(終値!AA265:AT265)/AVERAGE(終値!AA265:AT265),""))</f>
        <v>0.2768373728210704</v>
      </c>
      <c r="Y265" s="503">
        <f>IF(終値!A265="","",IFERROR(4*STDEVP(終値!AB265:AU265)/AVERAGE(終値!AB265:AU265),""))</f>
        <v>0.27323152141320112</v>
      </c>
      <c r="Z265" s="503">
        <f>IF(終値!A265="","",IFERROR(4*STDEVP(終値!AC265:AV265)/AVERAGE(終値!AC265:AV265),""))</f>
        <v>0.27222114237719985</v>
      </c>
      <c r="AA265" s="503">
        <f>IF(終値!A265="","",IFERROR(4*STDEVP(終値!AD265:AW265)/AVERAGE(終値!AD265:AW265),""))</f>
        <v>0.30066871423994268</v>
      </c>
      <c r="AB265" s="503">
        <f>IF(終値!A265="","",IFERROR(4*STDEVP(終値!AE265:AX265)/AVERAGE(終値!AE265:AX265),""))</f>
        <v>0.34001130464680085</v>
      </c>
      <c r="AC265" s="503">
        <f>IF(終値!A265="","",IFERROR(4*STDEVP(終値!AF265:AY265)/AVERAGE(終値!AF265:AY265),""))</f>
        <v>0.35739163674692065</v>
      </c>
      <c r="AD265" s="503">
        <f>IF(終値!A265="","",IFERROR(4*STDEVP(終値!AG265:AZ265)/AVERAGE(終値!AG265:AZ265),""))</f>
        <v>0.38258208792618825</v>
      </c>
      <c r="AE265" s="503">
        <f>IF(終値!A265="","",IFERROR(4*STDEVP(終値!AH265:BA265)/AVERAGE(終値!AH265:BA265),""))</f>
        <v>0.42428109201212538</v>
      </c>
      <c r="AF265" s="503">
        <f>IF(終値!A265="","",IFERROR(4*STDEVP(終値!AI265:BB265)/AVERAGE(終値!AI265:BB265),""))</f>
        <v>0.45232818314218398</v>
      </c>
      <c r="AG265" s="503">
        <f>IF(終値!A265="","",IFERROR(4*STDEVP(終値!AJ265:BC265)/AVERAGE(終値!AJ265:BC265),""))</f>
        <v>0.48109128441881777</v>
      </c>
      <c r="AH265" s="503">
        <f>IF(終値!A265="","",IFERROR(4*STDEVP(終値!AK265:BD265)/AVERAGE(終値!AK265:BD265),""))</f>
        <v>0.49491765828516066</v>
      </c>
      <c r="AI265" s="503">
        <f>IF(終値!A265="","",IFERROR(4*STDEVP(終値!AL265:BE265)/AVERAGE(終値!AL265:BE265),""))</f>
        <v>0.50987543441714478</v>
      </c>
      <c r="AJ265" s="503">
        <f>IF(終値!A265="","",IFERROR(4*STDEVP(終値!AM265:BF265)/AVERAGE(終値!AM265:BF265),""))</f>
        <v>0.52216320956314044</v>
      </c>
      <c r="AK265" s="503">
        <f>IF(終値!A265="","",IFERROR(4*STDEVP(終値!AN265:BG265)/AVERAGE(終値!AN265:BG265),""))</f>
        <v>0.52855780158219245</v>
      </c>
      <c r="AL265" s="503">
        <f>IF(終値!A265="","",IFERROR(4*STDEVP(終値!AO265:BH265)/AVERAGE(終値!AO265:BH265),""))</f>
        <v>0.53270602730345484</v>
      </c>
      <c r="AM265" s="503">
        <f>IF(終値!A265="","",IFERROR(4*STDEVP(終値!AP265:BI265)/AVERAGE(終値!AP265:BI265),""))</f>
        <v>0.53947787712943318</v>
      </c>
      <c r="AN265" s="503">
        <f>IF(終値!A265="","",IFERROR(4*STDEVP(終値!AQ265:BJ265)/AVERAGE(終値!AQ265:BJ265),""))</f>
        <v>0.54029764845806161</v>
      </c>
      <c r="AO265" s="503">
        <f>IF(終値!A265="","",IFERROR(4*STDEVP(終値!AR265:BK265)/AVERAGE(終値!AR265:BK265),""))</f>
        <v>0.53806181444680234</v>
      </c>
      <c r="AP265" s="503">
        <f>IF(終値!A265="","",IFERROR(4*STDEVP(終値!AS265:BL265)/AVERAGE(終値!AS265:BL265),""))</f>
        <v>0.52355480098040319</v>
      </c>
    </row>
    <row r="266" spans="1:42">
      <c r="A266" s="500" t="str">
        <f>IF(終値!A266="","",終値!A266)</f>
        <v>281A</v>
      </c>
      <c r="B266" s="503">
        <f>IF(終値!A266="","",IFERROR(4*STDEVP(終値!E266:X266)/AVERAGE(終値!E266:X266),""))</f>
        <v>0.28188193989753707</v>
      </c>
      <c r="C266" s="503">
        <f>IF(終値!A266="","",IFERROR(4*STDEVP(終値!F266:Y266)/AVERAGE(終値!F266:Y266),""))</f>
        <v>0.38483057259203107</v>
      </c>
      <c r="D266" s="503">
        <f>IF(終値!A266="","",IFERROR(4*STDEVP(終値!G266:Z266)/AVERAGE(終値!G266:Z266),""))</f>
        <v>0.4607289727099329</v>
      </c>
      <c r="E266" s="503">
        <f>IF(終値!A266="","",IFERROR(4*STDEVP(終値!H266:AA266)/AVERAGE(終値!H266:AA266),""))</f>
        <v>0.51568668763523251</v>
      </c>
      <c r="F266" s="503">
        <f>IF(終値!A266="","",IFERROR(4*STDEVP(終値!I266:AB266)/AVERAGE(終値!I266:AB266),""))</f>
        <v>0.55188474174350988</v>
      </c>
      <c r="G266" s="503">
        <f>IF(終値!A266="","",IFERROR(4*STDEVP(終値!J266:AC266)/AVERAGE(終値!J266:AC266),""))</f>
        <v>0.56463080734291071</v>
      </c>
      <c r="H266" s="503">
        <f>IF(終値!A266="","",IFERROR(4*STDEVP(終値!K266:AD266)/AVERAGE(終値!K266:AD266),""))</f>
        <v>0.5829153483918903</v>
      </c>
      <c r="I266" s="503">
        <f>IF(終値!A266="","",IFERROR(4*STDEVP(終値!L266:AE266)/AVERAGE(終値!L266:AE266),""))</f>
        <v>0.61123049130740059</v>
      </c>
      <c r="J266" s="503">
        <f>IF(終値!A266="","",IFERROR(4*STDEVP(終値!M266:AF266)/AVERAGE(終値!M266:AF266),""))</f>
        <v>0.60448810295642785</v>
      </c>
      <c r="K266" s="503">
        <f>IF(終値!A266="","",IFERROR(4*STDEVP(終値!N266:AG266)/AVERAGE(終値!N266:AG266),""))</f>
        <v>0.64012345670298565</v>
      </c>
      <c r="L266" s="503">
        <f>IF(終値!A266="","",IFERROR(4*STDEVP(終値!O266:AH266)/AVERAGE(終値!O266:AH266),""))</f>
        <v>0.65366231664910524</v>
      </c>
      <c r="M266" s="503">
        <f>IF(終値!A266="","",IFERROR(4*STDEVP(終値!P266:AI266)/AVERAGE(終値!P266:AI266),""))</f>
        <v>0.62403648905171116</v>
      </c>
      <c r="N266" s="503">
        <f>IF(終値!A266="","",IFERROR(4*STDEVP(終値!Q266:AJ266)/AVERAGE(終値!Q266:AJ266),""))</f>
        <v>0.58779581618710208</v>
      </c>
      <c r="O266" s="503">
        <f>IF(終値!A266="","",IFERROR(4*STDEVP(終値!R266:AK266)/AVERAGE(終値!R266:AK266),""))</f>
        <v>0.55287743396639377</v>
      </c>
      <c r="P266" s="503">
        <f>IF(終値!A266="","",IFERROR(4*STDEVP(終値!S266:AL266)/AVERAGE(終値!S266:AL266),""))</f>
        <v>0.49955435329040959</v>
      </c>
      <c r="Q266" s="503">
        <f>IF(終値!A266="","",IFERROR(4*STDEVP(終値!T266:AM266)/AVERAGE(終値!T266:AM266),""))</f>
        <v>0.47617137701225198</v>
      </c>
      <c r="R266" s="503">
        <f>IF(終値!A266="","",IFERROR(4*STDEVP(終値!U266:AN266)/AVERAGE(終値!U266:AN266),""))</f>
        <v>0.44508810074758109</v>
      </c>
      <c r="S266" s="503">
        <f>IF(終値!A266="","",IFERROR(4*STDEVP(終値!V266:AO266)/AVERAGE(終値!V266:AO266),""))</f>
        <v>0.42092026892833712</v>
      </c>
      <c r="T266" s="503">
        <f>IF(終値!A266="","",IFERROR(4*STDEVP(終値!W266:AP266)/AVERAGE(終値!W266:AP266),""))</f>
        <v>0.41018908935441722</v>
      </c>
      <c r="U266" s="503">
        <f>IF(終値!A266="","",IFERROR(4*STDEVP(終値!X266:AQ266)/AVERAGE(終値!X266:AQ266),""))</f>
        <v>0.37482198325045535</v>
      </c>
      <c r="V266" s="503">
        <f>IF(終値!A266="","",IFERROR(4*STDEVP(終値!Y266:AR266)/AVERAGE(終値!Y266:AR266),""))</f>
        <v>0.36103794762850405</v>
      </c>
      <c r="W266" s="503">
        <f>IF(終値!A266="","",IFERROR(4*STDEVP(終値!Z266:AS266)/AVERAGE(終値!Z266:AS266),""))</f>
        <v>0.36822039202915385</v>
      </c>
      <c r="X266" s="503">
        <f>IF(終値!A266="","",IFERROR(4*STDEVP(終値!AA266:AT266)/AVERAGE(終値!AA266:AT266),""))</f>
        <v>0.36924279735764692</v>
      </c>
      <c r="Y266" s="503">
        <f>IF(終値!A266="","",IFERROR(4*STDEVP(終値!AB266:AU266)/AVERAGE(終値!AB266:AU266),""))</f>
        <v>0.36982181619586935</v>
      </c>
      <c r="Z266" s="503">
        <f>IF(終値!A266="","",IFERROR(4*STDEVP(終値!AC266:AV266)/AVERAGE(終値!AC266:AV266),""))</f>
        <v>0.3784057415853635</v>
      </c>
      <c r="AA266" s="503">
        <f>IF(終値!A266="","",IFERROR(4*STDEVP(終値!AD266:AW266)/AVERAGE(終値!AD266:AW266),""))</f>
        <v>0.38399325025750836</v>
      </c>
      <c r="AB266" s="503">
        <f>IF(終値!A266="","",IFERROR(4*STDEVP(終値!AE266:AX266)/AVERAGE(終値!AE266:AX266),""))</f>
        <v>0.41478463070417265</v>
      </c>
      <c r="AC266" s="503">
        <f>IF(終値!A266="","",IFERROR(4*STDEVP(終値!AF266:AY266)/AVERAGE(終値!AF266:AY266),""))</f>
        <v>0.47529449343749008</v>
      </c>
      <c r="AD266" s="503">
        <f>IF(終値!A266="","",IFERROR(4*STDEVP(終値!AG266:AZ266)/AVERAGE(終値!AG266:AZ266),""))</f>
        <v>0.52559977966859173</v>
      </c>
      <c r="AE266" s="503">
        <f>IF(終値!A266="","",IFERROR(4*STDEVP(終値!AH266:BA266)/AVERAGE(終値!AH266:BA266),""))</f>
        <v>0.59704027043138486</v>
      </c>
      <c r="AF266" s="503">
        <f>IF(終値!A266="","",IFERROR(4*STDEVP(終値!AI266:BB266)/AVERAGE(終値!AI266:BB266),""))</f>
        <v>0.61587555361953872</v>
      </c>
      <c r="AG266" s="503">
        <f>IF(終値!A266="","",IFERROR(4*STDEVP(終値!AJ266:BC266)/AVERAGE(終値!AJ266:BC266),""))</f>
        <v>0.62392571852054635</v>
      </c>
      <c r="AH266" s="503">
        <f>IF(終値!A266="","",IFERROR(4*STDEVP(終値!AK266:BD266)/AVERAGE(終値!AK266:BD266),""))</f>
        <v>0.6216807202882122</v>
      </c>
      <c r="AI266" s="503">
        <f>IF(終値!A266="","",IFERROR(4*STDEVP(終値!AL266:BE266)/AVERAGE(終値!AL266:BE266),""))</f>
        <v>0.62464506713392043</v>
      </c>
      <c r="AJ266" s="503">
        <f>IF(終値!A266="","",IFERROR(4*STDEVP(終値!AM266:BF266)/AVERAGE(終値!AM266:BF266),""))</f>
        <v>0.6282555742077548</v>
      </c>
      <c r="AK266" s="503">
        <f>IF(終値!A266="","",IFERROR(4*STDEVP(終値!AN266:BG266)/AVERAGE(終値!AN266:BG266),""))</f>
        <v>0.62276307072414405</v>
      </c>
      <c r="AL266" s="503">
        <f>IF(終値!A266="","",IFERROR(4*STDEVP(終値!AO266:BH266)/AVERAGE(終値!AO266:BH266),""))</f>
        <v>0.60626103318685631</v>
      </c>
      <c r="AM266" s="503">
        <f>IF(終値!A266="","",IFERROR(4*STDEVP(終値!AP266:BI266)/AVERAGE(終値!AP266:BI266),""))</f>
        <v>0.59354789700212396</v>
      </c>
      <c r="AN266" s="503">
        <f>IF(終値!A266="","",IFERROR(4*STDEVP(終値!AQ266:BJ266)/AVERAGE(終値!AQ266:BJ266),""))</f>
        <v>0.5365656764042428</v>
      </c>
      <c r="AO266" s="503">
        <f>IF(終値!A266="","",IFERROR(4*STDEVP(終値!AR266:BK266)/AVERAGE(終値!AR266:BK266),""))</f>
        <v>0.48222938430362217</v>
      </c>
      <c r="AP266" s="503">
        <f>IF(終値!A266="","",IFERROR(4*STDEVP(終値!AS266:BL266)/AVERAGE(終値!AS266:BL266),""))</f>
        <v>0.41242305621762965</v>
      </c>
    </row>
    <row r="267" spans="1:42">
      <c r="A267" s="500" t="str">
        <f>IF(終値!A267="","",終値!A267)</f>
        <v>6356</v>
      </c>
      <c r="B267" s="503">
        <f>IF(終値!A267="","",IFERROR(4*STDEVP(終値!E267:X267)/AVERAGE(終値!E267:X267),""))</f>
        <v>0.28065440170536859</v>
      </c>
      <c r="C267" s="503">
        <f>IF(終値!A267="","",IFERROR(4*STDEVP(終値!F267:Y267)/AVERAGE(終値!F267:Y267),""))</f>
        <v>0.29893363913454235</v>
      </c>
      <c r="D267" s="503">
        <f>IF(終値!A267="","",IFERROR(4*STDEVP(終値!G267:Z267)/AVERAGE(終値!G267:Z267),""))</f>
        <v>0.36068658535682524</v>
      </c>
      <c r="E267" s="503">
        <f>IF(終値!A267="","",IFERROR(4*STDEVP(終値!H267:AA267)/AVERAGE(終値!H267:AA267),""))</f>
        <v>0.37634945519326263</v>
      </c>
      <c r="F267" s="503">
        <f>IF(終値!A267="","",IFERROR(4*STDEVP(終値!I267:AB267)/AVERAGE(終値!I267:AB267),""))</f>
        <v>0.36300381462095932</v>
      </c>
      <c r="G267" s="503">
        <f>IF(終値!A267="","",IFERROR(4*STDEVP(終値!J267:AC267)/AVERAGE(終値!J267:AC267),""))</f>
        <v>0.34104202726586708</v>
      </c>
      <c r="H267" s="503">
        <f>IF(終値!A267="","",IFERROR(4*STDEVP(終値!K267:AD267)/AVERAGE(終値!K267:AD267),""))</f>
        <v>0.31273329434337782</v>
      </c>
      <c r="I267" s="503">
        <f>IF(終値!A267="","",IFERROR(4*STDEVP(終値!L267:AE267)/AVERAGE(終値!L267:AE267),""))</f>
        <v>0.27747500622194343</v>
      </c>
      <c r="J267" s="503">
        <f>IF(終値!A267="","",IFERROR(4*STDEVP(終値!M267:AF267)/AVERAGE(終値!M267:AF267),""))</f>
        <v>0.25071020664577531</v>
      </c>
      <c r="K267" s="503">
        <f>IF(終値!A267="","",IFERROR(4*STDEVP(終値!N267:AG267)/AVERAGE(終値!N267:AG267),""))</f>
        <v>0.23937097688237546</v>
      </c>
      <c r="L267" s="503">
        <f>IF(終値!A267="","",IFERROR(4*STDEVP(終値!O267:AH267)/AVERAGE(終値!O267:AH267),""))</f>
        <v>0.22285494506735309</v>
      </c>
      <c r="M267" s="503">
        <f>IF(終値!A267="","",IFERROR(4*STDEVP(終値!P267:AI267)/AVERAGE(終値!P267:AI267),""))</f>
        <v>0.21675942603008394</v>
      </c>
      <c r="N267" s="503">
        <f>IF(終値!A267="","",IFERROR(4*STDEVP(終値!Q267:AJ267)/AVERAGE(終値!Q267:AJ267),""))</f>
        <v>0.21082293408357469</v>
      </c>
      <c r="O267" s="503">
        <f>IF(終値!A267="","",IFERROR(4*STDEVP(終値!R267:AK267)/AVERAGE(終値!R267:AK267),""))</f>
        <v>0.19202760227091389</v>
      </c>
      <c r="P267" s="503">
        <f>IF(終値!A267="","",IFERROR(4*STDEVP(終値!S267:AL267)/AVERAGE(終値!S267:AL267),""))</f>
        <v>0.17835758130788062</v>
      </c>
      <c r="Q267" s="503">
        <f>IF(終値!A267="","",IFERROR(4*STDEVP(終値!T267:AM267)/AVERAGE(終値!T267:AM267),""))</f>
        <v>0.18500418773519728</v>
      </c>
      <c r="R267" s="503">
        <f>IF(終値!A267="","",IFERROR(4*STDEVP(終値!U267:AN267)/AVERAGE(終値!U267:AN267),""))</f>
        <v>0.20474651558574036</v>
      </c>
      <c r="S267" s="503">
        <f>IF(終値!A267="","",IFERROR(4*STDEVP(終値!V267:AO267)/AVERAGE(終値!V267:AO267),""))</f>
        <v>0.2114400464461452</v>
      </c>
      <c r="T267" s="503">
        <f>IF(終値!A267="","",IFERROR(4*STDEVP(終値!W267:AP267)/AVERAGE(終値!W267:AP267),""))</f>
        <v>0.2202493276277617</v>
      </c>
      <c r="U267" s="503">
        <f>IF(終値!A267="","",IFERROR(4*STDEVP(終値!X267:AQ267)/AVERAGE(終値!X267:AQ267),""))</f>
        <v>0.23478731958805288</v>
      </c>
      <c r="V267" s="503">
        <f>IF(終値!A267="","",IFERROR(4*STDEVP(終値!Y267:AR267)/AVERAGE(終値!Y267:AR267),""))</f>
        <v>0.24056683044576141</v>
      </c>
      <c r="W267" s="503">
        <f>IF(終値!A267="","",IFERROR(4*STDEVP(終値!Z267:AS267)/AVERAGE(終値!Z267:AS267),""))</f>
        <v>0.2376422140554901</v>
      </c>
      <c r="X267" s="503">
        <f>IF(終値!A267="","",IFERROR(4*STDEVP(終値!AA267:AT267)/AVERAGE(終値!AA267:AT267),""))</f>
        <v>0.19771808408915886</v>
      </c>
      <c r="Y267" s="503">
        <f>IF(終値!A267="","",IFERROR(4*STDEVP(終値!AB267:AU267)/AVERAGE(終値!AB267:AU267),""))</f>
        <v>0.17708513055784758</v>
      </c>
      <c r="Z267" s="503">
        <f>IF(終値!A267="","",IFERROR(4*STDEVP(終値!AC267:AV267)/AVERAGE(終値!AC267:AV267),""))</f>
        <v>0.17558764483961845</v>
      </c>
      <c r="AA267" s="503">
        <f>IF(終値!A267="","",IFERROR(4*STDEVP(終値!AD267:AW267)/AVERAGE(終値!AD267:AW267),""))</f>
        <v>0.17647712274857758</v>
      </c>
      <c r="AB267" s="503">
        <f>IF(終値!A267="","",IFERROR(4*STDEVP(終値!AE267:AX267)/AVERAGE(終値!AE267:AX267),""))</f>
        <v>0.20349554829637631</v>
      </c>
      <c r="AC267" s="503">
        <f>IF(終値!A267="","",IFERROR(4*STDEVP(終値!AF267:AY267)/AVERAGE(終値!AF267:AY267),""))</f>
        <v>0.23256261387973626</v>
      </c>
      <c r="AD267" s="503">
        <f>IF(終値!A267="","",IFERROR(4*STDEVP(終値!AG267:AZ267)/AVERAGE(終値!AG267:AZ267),""))</f>
        <v>0.26069659985132854</v>
      </c>
      <c r="AE267" s="503">
        <f>IF(終値!A267="","",IFERROR(4*STDEVP(終値!AH267:BA267)/AVERAGE(終値!AH267:BA267),""))</f>
        <v>0.26161086100591641</v>
      </c>
      <c r="AF267" s="503">
        <f>IF(終値!A267="","",IFERROR(4*STDEVP(終値!AI267:BB267)/AVERAGE(終値!AI267:BB267),""))</f>
        <v>0.2611669277434171</v>
      </c>
      <c r="AG267" s="503">
        <f>IF(終値!A267="","",IFERROR(4*STDEVP(終値!AJ267:BC267)/AVERAGE(終値!AJ267:BC267),""))</f>
        <v>0.27608494062870781</v>
      </c>
      <c r="AH267" s="503">
        <f>IF(終値!A267="","",IFERROR(4*STDEVP(終値!AK267:BD267)/AVERAGE(終値!AK267:BD267),""))</f>
        <v>0.28563324984593919</v>
      </c>
      <c r="AI267" s="503">
        <f>IF(終値!A267="","",IFERROR(4*STDEVP(終値!AL267:BE267)/AVERAGE(終値!AL267:BE267),""))</f>
        <v>0.29086104103319821</v>
      </c>
      <c r="AJ267" s="503">
        <f>IF(終値!A267="","",IFERROR(4*STDEVP(終値!AM267:BF267)/AVERAGE(終値!AM267:BF267),""))</f>
        <v>0.29243930931248563</v>
      </c>
      <c r="AK267" s="503">
        <f>IF(終値!A267="","",IFERROR(4*STDEVP(終値!AN267:BG267)/AVERAGE(終値!AN267:BG267),""))</f>
        <v>0.28602548339933986</v>
      </c>
      <c r="AL267" s="503">
        <f>IF(終値!A267="","",IFERROR(4*STDEVP(終値!AO267:BH267)/AVERAGE(終値!AO267:BH267),""))</f>
        <v>0.27953752587104197</v>
      </c>
      <c r="AM267" s="503">
        <f>IF(終値!A267="","",IFERROR(4*STDEVP(終値!AP267:BI267)/AVERAGE(終値!AP267:BI267),""))</f>
        <v>0.28243742122923965</v>
      </c>
      <c r="AN267" s="503">
        <f>IF(終値!A267="","",IFERROR(4*STDEVP(終値!AQ267:BJ267)/AVERAGE(終値!AQ267:BJ267),""))</f>
        <v>0.27894363265452821</v>
      </c>
      <c r="AO267" s="503">
        <f>IF(終値!A267="","",IFERROR(4*STDEVP(終値!AR267:BK267)/AVERAGE(終値!AR267:BK267),""))</f>
        <v>0.26927176551684906</v>
      </c>
      <c r="AP267" s="503">
        <f>IF(終値!A267="","",IFERROR(4*STDEVP(終値!AS267:BL267)/AVERAGE(終値!AS267:BL267),""))</f>
        <v>0.26513980992308495</v>
      </c>
    </row>
    <row r="268" spans="1:42">
      <c r="A268" s="500" t="str">
        <f>IF(終値!A268="","",終値!A268)</f>
        <v>7711</v>
      </c>
      <c r="B268" s="503">
        <f>IF(終値!A268="","",IFERROR(4*STDEVP(終値!E268:X268)/AVERAGE(終値!E268:X268),""))</f>
        <v>0.24059068402005498</v>
      </c>
      <c r="C268" s="503">
        <f>IF(終値!A268="","",IFERROR(4*STDEVP(終値!F268:Y268)/AVERAGE(終値!F268:Y268),""))</f>
        <v>0.25060370467818299</v>
      </c>
      <c r="D268" s="503">
        <f>IF(終値!A268="","",IFERROR(4*STDEVP(終値!G268:Z268)/AVERAGE(終値!G268:Z268),""))</f>
        <v>0.27120520793356273</v>
      </c>
      <c r="E268" s="503">
        <f>IF(終値!A268="","",IFERROR(4*STDEVP(終値!H268:AA268)/AVERAGE(終値!H268:AA268),""))</f>
        <v>0.27852231707366903</v>
      </c>
      <c r="F268" s="503">
        <f>IF(終値!A268="","",IFERROR(4*STDEVP(終値!I268:AB268)/AVERAGE(終値!I268:AB268),""))</f>
        <v>0.26776660430371774</v>
      </c>
      <c r="G268" s="503">
        <f>IF(終値!A268="","",IFERROR(4*STDEVP(終値!J268:AC268)/AVERAGE(終値!J268:AC268),""))</f>
        <v>0.25471990134598793</v>
      </c>
      <c r="H268" s="503">
        <f>IF(終値!A268="","",IFERROR(4*STDEVP(終値!K268:AD268)/AVERAGE(終値!K268:AD268),""))</f>
        <v>0.22797090629241892</v>
      </c>
      <c r="I268" s="503">
        <f>IF(終値!A268="","",IFERROR(4*STDEVP(終値!L268:AE268)/AVERAGE(終値!L268:AE268),""))</f>
        <v>0.19018481664172968</v>
      </c>
      <c r="J268" s="503">
        <f>IF(終値!A268="","",IFERROR(4*STDEVP(終値!M268:AF268)/AVERAGE(終値!M268:AF268),""))</f>
        <v>0.15708823531018529</v>
      </c>
      <c r="K268" s="503">
        <f>IF(終値!A268="","",IFERROR(4*STDEVP(終値!N268:AG268)/AVERAGE(終値!N268:AG268),""))</f>
        <v>0.14893296591151814</v>
      </c>
      <c r="L268" s="503">
        <f>IF(終値!A268="","",IFERROR(4*STDEVP(終値!O268:AH268)/AVERAGE(終値!O268:AH268),""))</f>
        <v>0.1482371199288014</v>
      </c>
      <c r="M268" s="503">
        <f>IF(終値!A268="","",IFERROR(4*STDEVP(終値!P268:AI268)/AVERAGE(終値!P268:AI268),""))</f>
        <v>0.15092505803862272</v>
      </c>
      <c r="N268" s="503">
        <f>IF(終値!A268="","",IFERROR(4*STDEVP(終値!Q268:AJ268)/AVERAGE(終値!Q268:AJ268),""))</f>
        <v>0.18103594316796032</v>
      </c>
      <c r="O268" s="503">
        <f>IF(終値!A268="","",IFERROR(4*STDEVP(終値!R268:AK268)/AVERAGE(終値!R268:AK268),""))</f>
        <v>0.19525235968451368</v>
      </c>
      <c r="P268" s="503">
        <f>IF(終値!A268="","",IFERROR(4*STDEVP(終値!S268:AL268)/AVERAGE(終値!S268:AL268),""))</f>
        <v>0.18894422504701583</v>
      </c>
      <c r="Q268" s="503">
        <f>IF(終値!A268="","",IFERROR(4*STDEVP(終値!T268:AM268)/AVERAGE(終値!T268:AM268),""))</f>
        <v>0.21734968530510487</v>
      </c>
      <c r="R268" s="503">
        <f>IF(終値!A268="","",IFERROR(4*STDEVP(終値!U268:AN268)/AVERAGE(終値!U268:AN268),""))</f>
        <v>0.21814720055906847</v>
      </c>
      <c r="S268" s="503">
        <f>IF(終値!A268="","",IFERROR(4*STDEVP(終値!V268:AO268)/AVERAGE(終値!V268:AO268),""))</f>
        <v>0.21635905779433054</v>
      </c>
      <c r="T268" s="503">
        <f>IF(終値!A268="","",IFERROR(4*STDEVP(終値!W268:AP268)/AVERAGE(終値!W268:AP268),""))</f>
        <v>0.21249266905288475</v>
      </c>
      <c r="U268" s="503">
        <f>IF(終値!A268="","",IFERROR(4*STDEVP(終値!X268:AQ268)/AVERAGE(終値!X268:AQ268),""))</f>
        <v>0.21249266905288475</v>
      </c>
      <c r="V268" s="503">
        <f>IF(終値!A268="","",IFERROR(4*STDEVP(終値!Y268:AR268)/AVERAGE(終値!Y268:AR268),""))</f>
        <v>0.21809812857419653</v>
      </c>
      <c r="W268" s="503">
        <f>IF(終値!A268="","",IFERROR(4*STDEVP(終値!Z268:AS268)/AVERAGE(終値!Z268:AS268),""))</f>
        <v>0.21754378112306585</v>
      </c>
      <c r="X268" s="503">
        <f>IF(終値!A268="","",IFERROR(4*STDEVP(終値!AA268:AT268)/AVERAGE(終値!AA268:AT268),""))</f>
        <v>0.2297584184905232</v>
      </c>
      <c r="Y268" s="503">
        <f>IF(終値!A268="","",IFERROR(4*STDEVP(終値!AB268:AU268)/AVERAGE(終値!AB268:AU268),""))</f>
        <v>0.22963923112981335</v>
      </c>
      <c r="Z268" s="503">
        <f>IF(終値!A268="","",IFERROR(4*STDEVP(終値!AC268:AV268)/AVERAGE(終値!AC268:AV268),""))</f>
        <v>0.22475730420381443</v>
      </c>
      <c r="AA268" s="503">
        <f>IF(終値!A268="","",IFERROR(4*STDEVP(終値!AD268:AW268)/AVERAGE(終値!AD268:AW268),""))</f>
        <v>0.22077952726233505</v>
      </c>
      <c r="AB268" s="503">
        <f>IF(終値!A268="","",IFERROR(4*STDEVP(終値!AE268:AX268)/AVERAGE(終値!AE268:AX268),""))</f>
        <v>0.22174029139256096</v>
      </c>
      <c r="AC268" s="503">
        <f>IF(終値!A268="","",IFERROR(4*STDEVP(終値!AF268:AY268)/AVERAGE(終値!AF268:AY268),""))</f>
        <v>0.22171557334045269</v>
      </c>
      <c r="AD268" s="503">
        <f>IF(終値!A268="","",IFERROR(4*STDEVP(終値!AG268:AZ268)/AVERAGE(終値!AG268:AZ268),""))</f>
        <v>0.22351777458873176</v>
      </c>
      <c r="AE268" s="503">
        <f>IF(終値!A268="","",IFERROR(4*STDEVP(終値!AH268:BA268)/AVERAGE(終値!AH268:BA268),""))</f>
        <v>0.22576253222024126</v>
      </c>
      <c r="AF268" s="503">
        <f>IF(終値!A268="","",IFERROR(4*STDEVP(終値!AI268:BB268)/AVERAGE(終値!AI268:BB268),""))</f>
        <v>0.22508982201947936</v>
      </c>
      <c r="AG268" s="503">
        <f>IF(終値!A268="","",IFERROR(4*STDEVP(終値!AJ268:BC268)/AVERAGE(終値!AJ268:BC268),""))</f>
        <v>0.22448074688670447</v>
      </c>
      <c r="AH268" s="503">
        <f>IF(終値!A268="","",IFERROR(4*STDEVP(終値!AK268:BD268)/AVERAGE(終値!AK268:BD268),""))</f>
        <v>0.22114703597414032</v>
      </c>
      <c r="AI268" s="503">
        <f>IF(終値!A268="","",IFERROR(4*STDEVP(終値!AL268:BE268)/AVERAGE(終値!AL268:BE268),""))</f>
        <v>0.21486866936091023</v>
      </c>
      <c r="AJ268" s="503">
        <f>IF(終値!A268="","",IFERROR(4*STDEVP(終値!AM268:BF268)/AVERAGE(終値!AM268:BF268),""))</f>
        <v>0.20999929161627867</v>
      </c>
      <c r="AK268" s="503">
        <f>IF(終値!A268="","",IFERROR(4*STDEVP(終値!AN268:BG268)/AVERAGE(終値!AN268:BG268),""))</f>
        <v>0.19736068042880558</v>
      </c>
      <c r="AL268" s="503">
        <f>IF(終値!A268="","",IFERROR(4*STDEVP(終値!AO268:BH268)/AVERAGE(終値!AO268:BH268),""))</f>
        <v>0.19668654157988658</v>
      </c>
      <c r="AM268" s="503">
        <f>IF(終値!A268="","",IFERROR(4*STDEVP(終値!AP268:BI268)/AVERAGE(終値!AP268:BI268),""))</f>
        <v>0.20166223096645663</v>
      </c>
      <c r="AN268" s="503">
        <f>IF(終値!A268="","",IFERROR(4*STDEVP(終値!AQ268:BJ268)/AVERAGE(終値!AQ268:BJ268),""))</f>
        <v>0.19962872712776869</v>
      </c>
      <c r="AO268" s="503">
        <f>IF(終値!A268="","",IFERROR(4*STDEVP(終値!AR268:BK268)/AVERAGE(終値!AR268:BK268),""))</f>
        <v>0.18887855311340856</v>
      </c>
      <c r="AP268" s="503">
        <f>IF(終値!A268="","",IFERROR(4*STDEVP(終値!AS268:BL268)/AVERAGE(終値!AS268:BL268),""))</f>
        <v>0.18979460219409283</v>
      </c>
    </row>
    <row r="269" spans="1:42">
      <c r="A269" s="500" t="str">
        <f>IF(終値!A269="","",終値!A269)</f>
        <v>6376</v>
      </c>
      <c r="B269" s="503">
        <f>IF(終値!A269="","",IFERROR(4*STDEVP(終値!E269:X269)/AVERAGE(終値!E269:X269),""))</f>
        <v>0.18477447324626808</v>
      </c>
      <c r="C269" s="503">
        <f>IF(終値!A269="","",IFERROR(4*STDEVP(終値!F269:Y269)/AVERAGE(終値!F269:Y269),""))</f>
        <v>0.17534301659336052</v>
      </c>
      <c r="D269" s="503">
        <f>IF(終値!A269="","",IFERROR(4*STDEVP(終値!G269:Z269)/AVERAGE(終値!G269:Z269),""))</f>
        <v>0.17570075062897364</v>
      </c>
      <c r="E269" s="503">
        <f>IF(終値!A269="","",IFERROR(4*STDEVP(終値!H269:AA269)/AVERAGE(終値!H269:AA269),""))</f>
        <v>0.18032531074224276</v>
      </c>
      <c r="F269" s="503">
        <f>IF(終値!A269="","",IFERROR(4*STDEVP(終値!I269:AB269)/AVERAGE(終値!I269:AB269),""))</f>
        <v>0.1807396464262957</v>
      </c>
      <c r="G269" s="503">
        <f>IF(終値!A269="","",IFERROR(4*STDEVP(終値!J269:AC269)/AVERAGE(終値!J269:AC269),""))</f>
        <v>0.17934957730242015</v>
      </c>
      <c r="H269" s="503">
        <f>IF(終値!A269="","",IFERROR(4*STDEVP(終値!K269:AD269)/AVERAGE(終値!K269:AD269),""))</f>
        <v>0.16604601746730749</v>
      </c>
      <c r="I269" s="503">
        <f>IF(終値!A269="","",IFERROR(4*STDEVP(終値!L269:AE269)/AVERAGE(終値!L269:AE269),""))</f>
        <v>0.15910395123838356</v>
      </c>
      <c r="J269" s="503">
        <f>IF(終値!A269="","",IFERROR(4*STDEVP(終値!M269:AF269)/AVERAGE(終値!M269:AF269),""))</f>
        <v>0.16809828261315971</v>
      </c>
      <c r="K269" s="503">
        <f>IF(終値!A269="","",IFERROR(4*STDEVP(終値!N269:AG269)/AVERAGE(終値!N269:AG269),""))</f>
        <v>0.17327728768148856</v>
      </c>
      <c r="L269" s="503">
        <f>IF(終値!A269="","",IFERROR(4*STDEVP(終値!O269:AH269)/AVERAGE(終値!O269:AH269),""))</f>
        <v>0.17392306232403379</v>
      </c>
      <c r="M269" s="503">
        <f>IF(終値!A269="","",IFERROR(4*STDEVP(終値!P269:AI269)/AVERAGE(終値!P269:AI269),""))</f>
        <v>0.17464004726735222</v>
      </c>
      <c r="N269" s="503">
        <f>IF(終値!A269="","",IFERROR(4*STDEVP(終値!Q269:AJ269)/AVERAGE(終値!Q269:AJ269),""))</f>
        <v>0.17751898656540946</v>
      </c>
      <c r="O269" s="503">
        <f>IF(終値!A269="","",IFERROR(4*STDEVP(終値!R269:AK269)/AVERAGE(終値!R269:AK269),""))</f>
        <v>0.17370121488723231</v>
      </c>
      <c r="P269" s="503">
        <f>IF(終値!A269="","",IFERROR(4*STDEVP(終値!S269:AL269)/AVERAGE(終値!S269:AL269),""))</f>
        <v>0.1714487912707239</v>
      </c>
      <c r="Q269" s="503">
        <f>IF(終値!A269="","",IFERROR(4*STDEVP(終値!T269:AM269)/AVERAGE(終値!T269:AM269),""))</f>
        <v>0.17228666537308435</v>
      </c>
      <c r="R269" s="503">
        <f>IF(終値!A269="","",IFERROR(4*STDEVP(終値!U269:AN269)/AVERAGE(終値!U269:AN269),""))</f>
        <v>0.17627602049438693</v>
      </c>
      <c r="S269" s="503">
        <f>IF(終値!A269="","",IFERROR(4*STDEVP(終値!V269:AO269)/AVERAGE(終値!V269:AO269),""))</f>
        <v>0.16763162007822244</v>
      </c>
      <c r="T269" s="503">
        <f>IF(終値!A269="","",IFERROR(4*STDEVP(終値!W269:AP269)/AVERAGE(終値!W269:AP269),""))</f>
        <v>0.17642265570407659</v>
      </c>
      <c r="U269" s="503">
        <f>IF(終値!A269="","",IFERROR(4*STDEVP(終値!X269:AQ269)/AVERAGE(終値!X269:AQ269),""))</f>
        <v>0.18856973842322022</v>
      </c>
      <c r="V269" s="503">
        <f>IF(終値!A269="","",IFERROR(4*STDEVP(終値!Y269:AR269)/AVERAGE(終値!Y269:AR269),""))</f>
        <v>0.20059012115723301</v>
      </c>
      <c r="W269" s="503">
        <f>IF(終値!A269="","",IFERROR(4*STDEVP(終値!Z269:AS269)/AVERAGE(終値!Z269:AS269),""))</f>
        <v>0.24710220602012781</v>
      </c>
      <c r="X269" s="503">
        <f>IF(終値!A269="","",IFERROR(4*STDEVP(終値!AA269:AT269)/AVERAGE(終値!AA269:AT269),""))</f>
        <v>0.27559361619307121</v>
      </c>
      <c r="Y269" s="503">
        <f>IF(終値!A269="","",IFERROR(4*STDEVP(終値!AB269:AU269)/AVERAGE(終値!AB269:AU269),""))</f>
        <v>0.31171931089320937</v>
      </c>
      <c r="Z269" s="503">
        <f>IF(終値!A269="","",IFERROR(4*STDEVP(終値!AC269:AV269)/AVERAGE(終値!AC269:AV269),""))</f>
        <v>0.34918300451073631</v>
      </c>
      <c r="AA269" s="503">
        <f>IF(終値!A269="","",IFERROR(4*STDEVP(終値!AD269:AW269)/AVERAGE(終値!AD269:AW269),""))</f>
        <v>0.38195410964683901</v>
      </c>
      <c r="AB269" s="503">
        <f>IF(終値!A269="","",IFERROR(4*STDEVP(終値!AE269:AX269)/AVERAGE(終値!AE269:AX269),""))</f>
        <v>0.40531480344570908</v>
      </c>
      <c r="AC269" s="503">
        <f>IF(終値!A269="","",IFERROR(4*STDEVP(終値!AF269:AY269)/AVERAGE(終値!AF269:AY269),""))</f>
        <v>0.40565258461368764</v>
      </c>
      <c r="AD269" s="503">
        <f>IF(終値!A269="","",IFERROR(4*STDEVP(終値!AG269:AZ269)/AVERAGE(終値!AG269:AZ269),""))</f>
        <v>0.39055120712358271</v>
      </c>
      <c r="AE269" s="503">
        <f>IF(終値!A269="","",IFERROR(4*STDEVP(終値!AH269:BA269)/AVERAGE(終値!AH269:BA269),""))</f>
        <v>0.36724165414035342</v>
      </c>
      <c r="AF269" s="503">
        <f>IF(終値!A269="","",IFERROR(4*STDEVP(終値!AI269:BB269)/AVERAGE(終値!AI269:BB269),""))</f>
        <v>0.359625979715882</v>
      </c>
      <c r="AG269" s="503">
        <f>IF(終値!A269="","",IFERROR(4*STDEVP(終値!AJ269:BC269)/AVERAGE(終値!AJ269:BC269),""))</f>
        <v>0.36063781022650648</v>
      </c>
      <c r="AH269" s="503">
        <f>IF(終値!A269="","",IFERROR(4*STDEVP(終値!AK269:BD269)/AVERAGE(終値!AK269:BD269),""))</f>
        <v>0.35725051325649787</v>
      </c>
      <c r="AI269" s="503">
        <f>IF(終値!A269="","",IFERROR(4*STDEVP(終値!AL269:BE269)/AVERAGE(終値!AL269:BE269),""))</f>
        <v>0.3614133295973006</v>
      </c>
      <c r="AJ269" s="503">
        <f>IF(終値!A269="","",IFERROR(4*STDEVP(終値!AM269:BF269)/AVERAGE(終値!AM269:BF269),""))</f>
        <v>0.33911977212914313</v>
      </c>
      <c r="AK269" s="503">
        <f>IF(終値!A269="","",IFERROR(4*STDEVP(終値!AN269:BG269)/AVERAGE(終値!AN269:BG269),""))</f>
        <v>0.32238146370267845</v>
      </c>
      <c r="AL269" s="503">
        <f>IF(終値!A269="","",IFERROR(4*STDEVP(終値!AO269:BH269)/AVERAGE(終値!AO269:BH269),""))</f>
        <v>0.33573645091063248</v>
      </c>
      <c r="AM269" s="503">
        <f>IF(終値!A269="","",IFERROR(4*STDEVP(終値!AP269:BI269)/AVERAGE(終値!AP269:BI269),""))</f>
        <v>0.34073756517700421</v>
      </c>
      <c r="AN269" s="503">
        <f>IF(終値!A269="","",IFERROR(4*STDEVP(終値!AQ269:BJ269)/AVERAGE(終値!AQ269:BJ269),""))</f>
        <v>0.34739276075600928</v>
      </c>
      <c r="AO269" s="503">
        <f>IF(終値!A269="","",IFERROR(4*STDEVP(終値!AR269:BK269)/AVERAGE(終値!AR269:BK269),""))</f>
        <v>0.34762821800629257</v>
      </c>
      <c r="AP269" s="503">
        <f>IF(終値!A269="","",IFERROR(4*STDEVP(終値!AS269:BL269)/AVERAGE(終値!AS269:BL269),""))</f>
        <v>0.33577041972805233</v>
      </c>
    </row>
    <row r="270" spans="1:42">
      <c r="A270" s="500" t="str">
        <f>IF(終値!A270="","",終値!A270)</f>
        <v>9115</v>
      </c>
      <c r="B270" s="503">
        <f>IF(終値!A270="","",IFERROR(4*STDEVP(終値!E270:X270)/AVERAGE(終値!E270:X270),""))</f>
        <v>0.1568004083590325</v>
      </c>
      <c r="C270" s="503">
        <f>IF(終値!A270="","",IFERROR(4*STDEVP(終値!F270:Y270)/AVERAGE(終値!F270:Y270),""))</f>
        <v>0.15727804849745694</v>
      </c>
      <c r="D270" s="503">
        <f>IF(終値!A270="","",IFERROR(4*STDEVP(終値!G270:Z270)/AVERAGE(終値!G270:Z270),""))</f>
        <v>0.13666218069772837</v>
      </c>
      <c r="E270" s="503">
        <f>IF(終値!A270="","",IFERROR(4*STDEVP(終値!H270:AA270)/AVERAGE(終値!H270:AA270),""))</f>
        <v>0.13630641937680077</v>
      </c>
      <c r="F270" s="503">
        <f>IF(終値!A270="","",IFERROR(4*STDEVP(終値!I270:AB270)/AVERAGE(終値!I270:AB270),""))</f>
        <v>0.13580487896390905</v>
      </c>
      <c r="G270" s="503">
        <f>IF(終値!A270="","",IFERROR(4*STDEVP(終値!J270:AC270)/AVERAGE(終値!J270:AC270),""))</f>
        <v>0.13511092822005333</v>
      </c>
      <c r="H270" s="503">
        <f>IF(終値!A270="","",IFERROR(4*STDEVP(終値!K270:AD270)/AVERAGE(終値!K270:AD270),""))</f>
        <v>0.13035772285571304</v>
      </c>
      <c r="I270" s="503">
        <f>IF(終値!A270="","",IFERROR(4*STDEVP(終値!L270:AE270)/AVERAGE(終値!L270:AE270),""))</f>
        <v>0.12580273739735642</v>
      </c>
      <c r="J270" s="503">
        <f>IF(終値!A270="","",IFERROR(4*STDEVP(終値!M270:AF270)/AVERAGE(終値!M270:AF270),""))</f>
        <v>0.13087084599483012</v>
      </c>
      <c r="K270" s="503">
        <f>IF(終値!A270="","",IFERROR(4*STDEVP(終値!N270:AG270)/AVERAGE(終値!N270:AG270),""))</f>
        <v>0.12623826611357855</v>
      </c>
      <c r="L270" s="503">
        <f>IF(終値!A270="","",IFERROR(4*STDEVP(終値!O270:AH270)/AVERAGE(終値!O270:AH270),""))</f>
        <v>0.11456220619368994</v>
      </c>
      <c r="M270" s="503">
        <f>IF(終値!A270="","",IFERROR(4*STDEVP(終値!P270:AI270)/AVERAGE(終値!P270:AI270),""))</f>
        <v>0.11518144040028742</v>
      </c>
      <c r="N270" s="503">
        <f>IF(終値!A270="","",IFERROR(4*STDEVP(終値!Q270:AJ270)/AVERAGE(終値!Q270:AJ270),""))</f>
        <v>0.10633736377266469</v>
      </c>
      <c r="O270" s="503">
        <f>IF(終値!A270="","",IFERROR(4*STDEVP(終値!R270:AK270)/AVERAGE(終値!R270:AK270),""))</f>
        <v>0.11750950625071377</v>
      </c>
      <c r="P270" s="503">
        <f>IF(終値!A270="","",IFERROR(4*STDEVP(終値!S270:AL270)/AVERAGE(終値!S270:AL270),""))</f>
        <v>0.12239326599277509</v>
      </c>
      <c r="Q270" s="503">
        <f>IF(終値!A270="","",IFERROR(4*STDEVP(終値!T270:AM270)/AVERAGE(終値!T270:AM270),""))</f>
        <v>0.11338829338455277</v>
      </c>
      <c r="R270" s="503">
        <f>IF(終値!A270="","",IFERROR(4*STDEVP(終値!U270:AN270)/AVERAGE(終値!U270:AN270),""))</f>
        <v>0.11159556425869596</v>
      </c>
      <c r="S270" s="503">
        <f>IF(終値!A270="","",IFERROR(4*STDEVP(終値!V270:AO270)/AVERAGE(終値!V270:AO270),""))</f>
        <v>0.11501215239872754</v>
      </c>
      <c r="T270" s="503">
        <f>IF(終値!A270="","",IFERROR(4*STDEVP(終値!W270:AP270)/AVERAGE(終値!W270:AP270),""))</f>
        <v>0.12185145354238221</v>
      </c>
      <c r="U270" s="503">
        <f>IF(終値!A270="","",IFERROR(4*STDEVP(終値!X270:AQ270)/AVERAGE(終値!X270:AQ270),""))</f>
        <v>0.14976246659153822</v>
      </c>
      <c r="V270" s="503">
        <f>IF(終値!A270="","",IFERROR(4*STDEVP(終値!Y270:AR270)/AVERAGE(終値!Y270:AR270),""))</f>
        <v>0.1769836690108417</v>
      </c>
      <c r="W270" s="503">
        <f>IF(終値!A270="","",IFERROR(4*STDEVP(終値!Z270:AS270)/AVERAGE(終値!Z270:AS270),""))</f>
        <v>0.23942684401005823</v>
      </c>
      <c r="X270" s="503">
        <f>IF(終値!A270="","",IFERROR(4*STDEVP(終値!AA270:AT270)/AVERAGE(終値!AA270:AT270),""))</f>
        <v>0.28715233047248673</v>
      </c>
      <c r="Y270" s="503">
        <f>IF(終値!A270="","",IFERROR(4*STDEVP(終値!AB270:AU270)/AVERAGE(終値!AB270:AU270),""))</f>
        <v>0.33265781996591998</v>
      </c>
      <c r="Z270" s="503">
        <f>IF(終値!A270="","",IFERROR(4*STDEVP(終値!AC270:AV270)/AVERAGE(終値!AC270:AV270),""))</f>
        <v>0.37510423033039525</v>
      </c>
      <c r="AA270" s="503">
        <f>IF(終値!A270="","",IFERROR(4*STDEVP(終値!AD270:AW270)/AVERAGE(終値!AD270:AW270),""))</f>
        <v>0.41273045015200283</v>
      </c>
      <c r="AB270" s="503">
        <f>IF(終値!A270="","",IFERROR(4*STDEVP(終値!AE270:AX270)/AVERAGE(終値!AE270:AX270),""))</f>
        <v>0.46864986710903855</v>
      </c>
      <c r="AC270" s="503">
        <f>IF(終値!A270="","",IFERROR(4*STDEVP(終値!AF270:AY270)/AVERAGE(終値!AF270:AY270),""))</f>
        <v>0.51920463008547535</v>
      </c>
      <c r="AD270" s="503">
        <f>IF(終値!A270="","",IFERROR(4*STDEVP(終値!AG270:AZ270)/AVERAGE(終値!AG270:AZ270),""))</f>
        <v>0.55264970094523802</v>
      </c>
      <c r="AE270" s="503">
        <f>IF(終値!A270="","",IFERROR(4*STDEVP(終値!AH270:BA270)/AVERAGE(終値!AH270:BA270),""))</f>
        <v>0.57810357377895383</v>
      </c>
      <c r="AF270" s="503">
        <f>IF(終値!A270="","",IFERROR(4*STDEVP(終値!AI270:BB270)/AVERAGE(終値!AI270:BB270),""))</f>
        <v>0.58557301504807557</v>
      </c>
      <c r="AG270" s="503">
        <f>IF(終値!A270="","",IFERROR(4*STDEVP(終値!AJ270:BC270)/AVERAGE(終値!AJ270:BC270),""))</f>
        <v>0.58088512705511131</v>
      </c>
      <c r="AH270" s="503">
        <f>IF(終値!A270="","",IFERROR(4*STDEVP(終値!AK270:BD270)/AVERAGE(終値!AK270:BD270),""))</f>
        <v>0.54975091226933159</v>
      </c>
      <c r="AI270" s="503">
        <f>IF(終値!A270="","",IFERROR(4*STDEVP(終値!AL270:BE270)/AVERAGE(終値!AL270:BE270),""))</f>
        <v>0.5270530830100767</v>
      </c>
      <c r="AJ270" s="503">
        <f>IF(終値!A270="","",IFERROR(4*STDEVP(終値!AM270:BF270)/AVERAGE(終値!AM270:BF270),""))</f>
        <v>0.50768095527542056</v>
      </c>
      <c r="AK270" s="503">
        <f>IF(終値!A270="","",IFERROR(4*STDEVP(終値!AN270:BG270)/AVERAGE(終値!AN270:BG270),""))</f>
        <v>0.48646318648490328</v>
      </c>
      <c r="AL270" s="503">
        <f>IF(終値!A270="","",IFERROR(4*STDEVP(終値!AO270:BH270)/AVERAGE(終値!AO270:BH270),""))</f>
        <v>0.4542522530424789</v>
      </c>
      <c r="AM270" s="503">
        <f>IF(終値!A270="","",IFERROR(4*STDEVP(終値!AP270:BI270)/AVERAGE(終値!AP270:BI270),""))</f>
        <v>0.4166723442854624</v>
      </c>
      <c r="AN270" s="503">
        <f>IF(終値!A270="","",IFERROR(4*STDEVP(終値!AQ270:BJ270)/AVERAGE(終値!AQ270:BJ270),""))</f>
        <v>0.3734411891137745</v>
      </c>
      <c r="AO270" s="503">
        <f>IF(終値!A270="","",IFERROR(4*STDEVP(終値!AR270:BK270)/AVERAGE(終値!AR270:BK270),""))</f>
        <v>0.35172574154737263</v>
      </c>
      <c r="AP270" s="503">
        <f>IF(終値!A270="","",IFERROR(4*STDEVP(終値!AS270:BL270)/AVERAGE(終値!AS270:BL270),""))</f>
        <v>0.31273926069749153</v>
      </c>
    </row>
    <row r="271" spans="1:42">
      <c r="A271" s="500" t="str">
        <f>IF(終値!A271="","",終値!A271)</f>
        <v>3864</v>
      </c>
      <c r="B271" s="503">
        <f>IF(終値!A271="","",IFERROR(4*STDEVP(終値!E271:X271)/AVERAGE(終値!E271:X271),""))</f>
        <v>0.21642592431794466</v>
      </c>
      <c r="C271" s="503">
        <f>IF(終値!A271="","",IFERROR(4*STDEVP(終値!F271:Y271)/AVERAGE(終値!F271:Y271),""))</f>
        <v>0.23158975925507605</v>
      </c>
      <c r="D271" s="503">
        <f>IF(終値!A271="","",IFERROR(4*STDEVP(終値!G271:Z271)/AVERAGE(終値!G271:Z271),""))</f>
        <v>0.2367511086481304</v>
      </c>
      <c r="E271" s="503">
        <f>IF(終値!A271="","",IFERROR(4*STDEVP(終値!H271:AA271)/AVERAGE(終値!H271:AA271),""))</f>
        <v>0.24281169928545882</v>
      </c>
      <c r="F271" s="503">
        <f>IF(終値!A271="","",IFERROR(4*STDEVP(終値!I271:AB271)/AVERAGE(終値!I271:AB271),""))</f>
        <v>0.25201730005509015</v>
      </c>
      <c r="G271" s="503">
        <f>IF(終値!A271="","",IFERROR(4*STDEVP(終値!J271:AC271)/AVERAGE(終値!J271:AC271),""))</f>
        <v>0.25958551133800539</v>
      </c>
      <c r="H271" s="503">
        <f>IF(終値!A271="","",IFERROR(4*STDEVP(終値!K271:AD271)/AVERAGE(終値!K271:AD271),""))</f>
        <v>0.26460530991306191</v>
      </c>
      <c r="I271" s="503">
        <f>IF(終値!A271="","",IFERROR(4*STDEVP(終値!L271:AE271)/AVERAGE(終値!L271:AE271),""))</f>
        <v>0.26712721172515635</v>
      </c>
      <c r="J271" s="503">
        <f>IF(終値!A271="","",IFERROR(4*STDEVP(終値!M271:AF271)/AVERAGE(終値!M271:AF271),""))</f>
        <v>0.26829536975493812</v>
      </c>
      <c r="K271" s="503">
        <f>IF(終値!A271="","",IFERROR(4*STDEVP(終値!N271:AG271)/AVERAGE(終値!N271:AG271),""))</f>
        <v>0.26103605055009038</v>
      </c>
      <c r="L271" s="503">
        <f>IF(終値!A271="","",IFERROR(4*STDEVP(終値!O271:AH271)/AVERAGE(終値!O271:AH271),""))</f>
        <v>0.25559542865902918</v>
      </c>
      <c r="M271" s="503">
        <f>IF(終値!A271="","",IFERROR(4*STDEVP(終値!P271:AI271)/AVERAGE(終値!P271:AI271),""))</f>
        <v>0.22664830944568481</v>
      </c>
      <c r="N271" s="503">
        <f>IF(終値!A271="","",IFERROR(4*STDEVP(終値!Q271:AJ271)/AVERAGE(終値!Q271:AJ271),""))</f>
        <v>0.19903414192893734</v>
      </c>
      <c r="O271" s="503">
        <f>IF(終値!A271="","",IFERROR(4*STDEVP(終値!R271:AK271)/AVERAGE(終値!R271:AK271),""))</f>
        <v>0.11554824466544474</v>
      </c>
      <c r="P271" s="503">
        <f>IF(終値!A271="","",IFERROR(4*STDEVP(終値!S271:AL271)/AVERAGE(終値!S271:AL271),""))</f>
        <v>0.10258943454144714</v>
      </c>
      <c r="Q271" s="503">
        <f>IF(終値!A271="","",IFERROR(4*STDEVP(終値!T271:AM271)/AVERAGE(終値!T271:AM271),""))</f>
        <v>7.9898251586429617E-2</v>
      </c>
      <c r="R271" s="503">
        <f>IF(終値!A271="","",IFERROR(4*STDEVP(終値!U271:AN271)/AVERAGE(終値!U271:AN271),""))</f>
        <v>7.6946242254849168E-2</v>
      </c>
      <c r="S271" s="503">
        <f>IF(終値!A271="","",IFERROR(4*STDEVP(終値!V271:AO271)/AVERAGE(終値!V271:AO271),""))</f>
        <v>9.8953535999504572E-2</v>
      </c>
      <c r="T271" s="503">
        <f>IF(終値!A271="","",IFERROR(4*STDEVP(終値!W271:AP271)/AVERAGE(終値!W271:AP271),""))</f>
        <v>9.9281404394928857E-2</v>
      </c>
      <c r="U271" s="503">
        <f>IF(終値!A271="","",IFERROR(4*STDEVP(終値!X271:AQ271)/AVERAGE(終値!X271:AQ271),""))</f>
        <v>9.8801167350983293E-2</v>
      </c>
      <c r="V271" s="503">
        <f>IF(終値!A271="","",IFERROR(4*STDEVP(終値!Y271:AR271)/AVERAGE(終値!Y271:AR271),""))</f>
        <v>0.102388438949083</v>
      </c>
      <c r="W271" s="503">
        <f>IF(終値!A271="","",IFERROR(4*STDEVP(終値!Z271:AS271)/AVERAGE(終値!Z271:AS271),""))</f>
        <v>9.7293023741314363E-2</v>
      </c>
      <c r="X271" s="503">
        <f>IF(終値!A271="","",IFERROR(4*STDEVP(終値!AA271:AT271)/AVERAGE(終値!AA271:AT271),""))</f>
        <v>9.6491134573599105E-2</v>
      </c>
      <c r="Y271" s="503">
        <f>IF(終値!A271="","",IFERROR(4*STDEVP(終値!AB271:AU271)/AVERAGE(終値!AB271:AU271),""))</f>
        <v>9.3571233203690068E-2</v>
      </c>
      <c r="Z271" s="503">
        <f>IF(終値!A271="","",IFERROR(4*STDEVP(終値!AC271:AV271)/AVERAGE(終値!AC271:AV271),""))</f>
        <v>8.9208127267254286E-2</v>
      </c>
      <c r="AA271" s="503">
        <f>IF(終値!A271="","",IFERROR(4*STDEVP(終値!AD271:AW271)/AVERAGE(終値!AD271:AW271),""))</f>
        <v>8.1795317429024725E-2</v>
      </c>
      <c r="AB271" s="503">
        <f>IF(終値!A271="","",IFERROR(4*STDEVP(終値!AE271:AX271)/AVERAGE(終値!AE271:AX271),""))</f>
        <v>8.6457650179842499E-2</v>
      </c>
      <c r="AC271" s="503">
        <f>IF(終値!A271="","",IFERROR(4*STDEVP(終値!AF271:AY271)/AVERAGE(終値!AF271:AY271),""))</f>
        <v>0.10229411638086766</v>
      </c>
      <c r="AD271" s="503">
        <f>IF(終値!A271="","",IFERROR(4*STDEVP(終値!AG271:AZ271)/AVERAGE(終値!AG271:AZ271),""))</f>
        <v>0.10541206545996219</v>
      </c>
      <c r="AE271" s="503">
        <f>IF(終値!A271="","",IFERROR(4*STDEVP(終値!AH271:BA271)/AVERAGE(終値!AH271:BA271),""))</f>
        <v>0.10492589702488714</v>
      </c>
      <c r="AF271" s="503">
        <f>IF(終値!A271="","",IFERROR(4*STDEVP(終値!AI271:BB271)/AVERAGE(終値!AI271:BB271),""))</f>
        <v>0.10463594781498463</v>
      </c>
      <c r="AG271" s="503">
        <f>IF(終値!A271="","",IFERROR(4*STDEVP(終値!AJ271:BC271)/AVERAGE(終値!AJ271:BC271),""))</f>
        <v>0.10099984634178923</v>
      </c>
      <c r="AH271" s="503">
        <f>IF(終値!A271="","",IFERROR(4*STDEVP(終値!AK271:BD271)/AVERAGE(終値!AK271:BD271),""))</f>
        <v>0.10124357907203926</v>
      </c>
      <c r="AI271" s="503">
        <f>IF(終値!A271="","",IFERROR(4*STDEVP(終値!AL271:BE271)/AVERAGE(終値!AL271:BE271),""))</f>
        <v>0.10545346473149525</v>
      </c>
      <c r="AJ271" s="503">
        <f>IF(終値!A271="","",IFERROR(4*STDEVP(終値!AM271:BF271)/AVERAGE(終値!AM271:BF271),""))</f>
        <v>0.10400077946581916</v>
      </c>
      <c r="AK271" s="503">
        <f>IF(終値!A271="","",IFERROR(4*STDEVP(終値!AN271:BG271)/AVERAGE(終値!AN271:BG271),""))</f>
        <v>0.1149537500823893</v>
      </c>
      <c r="AL271" s="503">
        <f>IF(終値!A271="","",IFERROR(4*STDEVP(終値!AO271:BH271)/AVERAGE(終値!AO271:BH271),""))</f>
        <v>0.16186980309790375</v>
      </c>
      <c r="AM271" s="503">
        <f>IF(終値!A271="","",IFERROR(4*STDEVP(終値!AP271:BI271)/AVERAGE(終値!AP271:BI271),""))</f>
        <v>0.19828768981705372</v>
      </c>
      <c r="AN271" s="503">
        <f>IF(終値!A271="","",IFERROR(4*STDEVP(終値!AQ271:BJ271)/AVERAGE(終値!AQ271:BJ271),""))</f>
        <v>0.2281955182364396</v>
      </c>
      <c r="AO271" s="503">
        <f>IF(終値!A271="","",IFERROR(4*STDEVP(終値!AR271:BK271)/AVERAGE(終値!AR271:BK271),""))</f>
        <v>0.24611152224831917</v>
      </c>
      <c r="AP271" s="503">
        <f>IF(終値!A271="","",IFERROR(4*STDEVP(終値!AS271:BL271)/AVERAGE(終値!AS271:BL271),""))</f>
        <v>0.25692104517442027</v>
      </c>
    </row>
    <row r="272" spans="1:42">
      <c r="A272" s="500" t="str">
        <f>IF(終値!A272="","",終値!A272)</f>
        <v>6997</v>
      </c>
      <c r="B272" s="503">
        <f>IF(終値!A272="","",IFERROR(4*STDEVP(終値!E272:X272)/AVERAGE(終値!E272:X272),""))</f>
        <v>0.46630199827718466</v>
      </c>
      <c r="C272" s="503">
        <f>IF(終値!A272="","",IFERROR(4*STDEVP(終値!F272:Y272)/AVERAGE(終値!F272:Y272),""))</f>
        <v>0.51627866613202489</v>
      </c>
      <c r="D272" s="503">
        <f>IF(終値!A272="","",IFERROR(4*STDEVP(終値!G272:Z272)/AVERAGE(終値!G272:Z272),""))</f>
        <v>0.65356244375543038</v>
      </c>
      <c r="E272" s="503">
        <f>IF(終値!A272="","",IFERROR(4*STDEVP(終値!H272:AA272)/AVERAGE(終値!H272:AA272),""))</f>
        <v>0.81374869388937954</v>
      </c>
      <c r="F272" s="503">
        <f>IF(終値!A272="","",IFERROR(4*STDEVP(終値!I272:AB272)/AVERAGE(終値!I272:AB272),""))</f>
        <v>0.8696818437644197</v>
      </c>
      <c r="G272" s="503">
        <f>IF(終値!A272="","",IFERROR(4*STDEVP(終値!J272:AC272)/AVERAGE(終値!J272:AC272),""))</f>
        <v>0.95842145487623098</v>
      </c>
      <c r="H272" s="503">
        <f>IF(終値!A272="","",IFERROR(4*STDEVP(終値!K272:AD272)/AVERAGE(終値!K272:AD272),""))</f>
        <v>0.95342650582964283</v>
      </c>
      <c r="I272" s="503">
        <f>IF(終値!A272="","",IFERROR(4*STDEVP(終値!L272:AE272)/AVERAGE(終値!L272:AE272),""))</f>
        <v>0.92819853349284487</v>
      </c>
      <c r="J272" s="503">
        <f>IF(終値!A272="","",IFERROR(4*STDEVP(終値!M272:AF272)/AVERAGE(終値!M272:AF272),""))</f>
        <v>0.90433241841311807</v>
      </c>
      <c r="K272" s="503">
        <f>IF(終値!A272="","",IFERROR(4*STDEVP(終値!N272:AG272)/AVERAGE(終値!N272:AG272),""))</f>
        <v>0.91340056427709426</v>
      </c>
      <c r="L272" s="503">
        <f>IF(終値!A272="","",IFERROR(4*STDEVP(終値!O272:AH272)/AVERAGE(終値!O272:AH272),""))</f>
        <v>0.88010202245309732</v>
      </c>
      <c r="M272" s="503">
        <f>IF(終値!A272="","",IFERROR(4*STDEVP(終値!P272:AI272)/AVERAGE(終値!P272:AI272),""))</f>
        <v>0.84095809501513941</v>
      </c>
      <c r="N272" s="503">
        <f>IF(終値!A272="","",IFERROR(4*STDEVP(終値!Q272:AJ272)/AVERAGE(終値!Q272:AJ272),""))</f>
        <v>0.8121653222546823</v>
      </c>
      <c r="O272" s="503">
        <f>IF(終値!A272="","",IFERROR(4*STDEVP(終値!R272:AK272)/AVERAGE(終値!R272:AK272),""))</f>
        <v>0.74697810981470403</v>
      </c>
      <c r="P272" s="503">
        <f>IF(終値!A272="","",IFERROR(4*STDEVP(終値!S272:AL272)/AVERAGE(終値!S272:AL272),""))</f>
        <v>0.66886512736072168</v>
      </c>
      <c r="Q272" s="503">
        <f>IF(終値!A272="","",IFERROR(4*STDEVP(終値!T272:AM272)/AVERAGE(終値!T272:AM272),""))</f>
        <v>0.61918703102325101</v>
      </c>
      <c r="R272" s="503">
        <f>IF(終値!A272="","",IFERROR(4*STDEVP(終値!U272:AN272)/AVERAGE(終値!U272:AN272),""))</f>
        <v>0.57039537231674342</v>
      </c>
      <c r="S272" s="503">
        <f>IF(終値!A272="","",IFERROR(4*STDEVP(終値!V272:AO272)/AVERAGE(終値!V272:AO272),""))</f>
        <v>0.50767861531333758</v>
      </c>
      <c r="T272" s="503">
        <f>IF(終値!A272="","",IFERROR(4*STDEVP(終値!W272:AP272)/AVERAGE(終値!W272:AP272),""))</f>
        <v>0.49312795291142558</v>
      </c>
      <c r="U272" s="503">
        <f>IF(終値!A272="","",IFERROR(4*STDEVP(終値!X272:AQ272)/AVERAGE(終値!X272:AQ272),""))</f>
        <v>0.47890892103615934</v>
      </c>
      <c r="V272" s="503">
        <f>IF(終値!A272="","",IFERROR(4*STDEVP(終値!Y272:AR272)/AVERAGE(終値!Y272:AR272),""))</f>
        <v>0.45498325067713569</v>
      </c>
      <c r="W272" s="503">
        <f>IF(終値!A272="","",IFERROR(4*STDEVP(終値!Z272:AS272)/AVERAGE(終値!Z272:AS272),""))</f>
        <v>0.43893052504797664</v>
      </c>
      <c r="X272" s="503">
        <f>IF(終値!A272="","",IFERROR(4*STDEVP(終値!AA272:AT272)/AVERAGE(終値!AA272:AT272),""))</f>
        <v>0.43957570872451579</v>
      </c>
      <c r="Y272" s="503">
        <f>IF(終値!A272="","",IFERROR(4*STDEVP(終値!AB272:AU272)/AVERAGE(終値!AB272:AU272),""))</f>
        <v>0.43797784066068846</v>
      </c>
      <c r="Z272" s="503">
        <f>IF(終値!A272="","",IFERROR(4*STDEVP(終値!AC272:AV272)/AVERAGE(終値!AC272:AV272),""))</f>
        <v>0.44226216959440057</v>
      </c>
      <c r="AA272" s="503">
        <f>IF(終値!A272="","",IFERROR(4*STDEVP(終値!AD272:AW272)/AVERAGE(終値!AD272:AW272),""))</f>
        <v>0.43351930048432863</v>
      </c>
      <c r="AB272" s="503">
        <f>IF(終値!A272="","",IFERROR(4*STDEVP(終値!AE272:AX272)/AVERAGE(終値!AE272:AX272),""))</f>
        <v>0.42880442005053804</v>
      </c>
      <c r="AC272" s="503">
        <f>IF(終値!A272="","",IFERROR(4*STDEVP(終値!AF272:AY272)/AVERAGE(終値!AF272:AY272),""))</f>
        <v>0.43768921624351009</v>
      </c>
      <c r="AD272" s="503">
        <f>IF(終値!A272="","",IFERROR(4*STDEVP(終値!AG272:AZ272)/AVERAGE(終値!AG272:AZ272),""))</f>
        <v>0.47348903801759334</v>
      </c>
      <c r="AE272" s="503">
        <f>IF(終値!A272="","",IFERROR(4*STDEVP(終値!AH272:BA272)/AVERAGE(終値!AH272:BA272),""))</f>
        <v>0.46043112656888097</v>
      </c>
      <c r="AF272" s="503">
        <f>IF(終値!A272="","",IFERROR(4*STDEVP(終値!AI272:BB272)/AVERAGE(終値!AI272:BB272),""))</f>
        <v>0.52799320722431187</v>
      </c>
      <c r="AG272" s="503">
        <f>IF(終値!A272="","",IFERROR(4*STDEVP(終値!AJ272:BC272)/AVERAGE(終値!AJ272:BC272),""))</f>
        <v>0.6240255749402821</v>
      </c>
      <c r="AH272" s="503">
        <f>IF(終値!A272="","",IFERROR(4*STDEVP(終値!AK272:BD272)/AVERAGE(終値!AK272:BD272),""))</f>
        <v>0.66510090164009972</v>
      </c>
      <c r="AI272" s="503">
        <f>IF(終値!A272="","",IFERROR(4*STDEVP(終値!AL272:BE272)/AVERAGE(終値!AL272:BE272),""))</f>
        <v>0.68926747188524506</v>
      </c>
      <c r="AJ272" s="503">
        <f>IF(終値!A272="","",IFERROR(4*STDEVP(終値!AM272:BF272)/AVERAGE(終値!AM272:BF272),""))</f>
        <v>0.71387881388420404</v>
      </c>
      <c r="AK272" s="503">
        <f>IF(終値!A272="","",IFERROR(4*STDEVP(終値!AN272:BG272)/AVERAGE(終値!AN272:BG272),""))</f>
        <v>0.7362299559057659</v>
      </c>
      <c r="AL272" s="503">
        <f>IF(終値!A272="","",IFERROR(4*STDEVP(終値!AO272:BH272)/AVERAGE(終値!AO272:BH272),""))</f>
        <v>0.75207072257083296</v>
      </c>
      <c r="AM272" s="503">
        <f>IF(終値!A272="","",IFERROR(4*STDEVP(終値!AP272:BI272)/AVERAGE(終値!AP272:BI272),""))</f>
        <v>0.76730890115017159</v>
      </c>
      <c r="AN272" s="503">
        <f>IF(終値!A272="","",IFERROR(4*STDEVP(終値!AQ272:BJ272)/AVERAGE(終値!AQ272:BJ272),""))</f>
        <v>0.79210602793263907</v>
      </c>
      <c r="AO272" s="503">
        <f>IF(終値!A272="","",IFERROR(4*STDEVP(終値!AR272:BK272)/AVERAGE(終値!AR272:BK272),""))</f>
        <v>0.81631029372337527</v>
      </c>
      <c r="AP272" s="503">
        <f>IF(終値!A272="","",IFERROR(4*STDEVP(終値!AS272:BL272)/AVERAGE(終値!AS272:BL272),""))</f>
        <v>0.83655798756292921</v>
      </c>
    </row>
    <row r="273" spans="1:42">
      <c r="A273" s="500" t="str">
        <f>IF(終値!A273="","",終値!A273)</f>
        <v>4544</v>
      </c>
      <c r="B273" s="503">
        <f>IF(終値!A273="","",IFERROR(4*STDEVP(終値!E273:X273)/AVERAGE(終値!E273:X273),""))</f>
        <v>7.8521013446048671E-2</v>
      </c>
      <c r="C273" s="503">
        <f>IF(終値!A273="","",IFERROR(4*STDEVP(終値!F273:Y273)/AVERAGE(終値!F273:Y273),""))</f>
        <v>8.0780185079113914E-2</v>
      </c>
      <c r="D273" s="503">
        <f>IF(終値!A273="","",IFERROR(4*STDEVP(終値!G273:Z273)/AVERAGE(終値!G273:Z273),""))</f>
        <v>7.9182355587549727E-2</v>
      </c>
      <c r="E273" s="503">
        <f>IF(終値!A273="","",IFERROR(4*STDEVP(終値!H273:AA273)/AVERAGE(終値!H273:AA273),""))</f>
        <v>7.7745173096910231E-2</v>
      </c>
      <c r="F273" s="503">
        <f>IF(終値!A273="","",IFERROR(4*STDEVP(終値!I273:AB273)/AVERAGE(終値!I273:AB273),""))</f>
        <v>7.691475317074814E-2</v>
      </c>
      <c r="G273" s="503">
        <f>IF(終値!A273="","",IFERROR(4*STDEVP(終値!J273:AC273)/AVERAGE(終値!J273:AC273),""))</f>
        <v>8.5895695236135619E-2</v>
      </c>
      <c r="H273" s="503">
        <f>IF(終値!A273="","",IFERROR(4*STDEVP(終値!K273:AD273)/AVERAGE(終値!K273:AD273),""))</f>
        <v>8.7204777693484656E-2</v>
      </c>
      <c r="I273" s="503">
        <f>IF(終値!A273="","",IFERROR(4*STDEVP(終値!L273:AE273)/AVERAGE(終値!L273:AE273),""))</f>
        <v>7.1331518685314899E-2</v>
      </c>
      <c r="J273" s="503">
        <f>IF(終値!A273="","",IFERROR(4*STDEVP(終値!M273:AF273)/AVERAGE(終値!M273:AF273),""))</f>
        <v>7.3836625503826664E-2</v>
      </c>
      <c r="K273" s="503">
        <f>IF(終値!A273="","",IFERROR(4*STDEVP(終値!N273:AG273)/AVERAGE(終値!N273:AG273),""))</f>
        <v>8.2799751697501006E-2</v>
      </c>
      <c r="L273" s="503">
        <f>IF(終値!A273="","",IFERROR(4*STDEVP(終値!O273:AH273)/AVERAGE(終値!O273:AH273),""))</f>
        <v>9.7227684015140009E-2</v>
      </c>
      <c r="M273" s="503">
        <f>IF(終値!A273="","",IFERROR(4*STDEVP(終値!P273:AI273)/AVERAGE(終値!P273:AI273),""))</f>
        <v>0.10969450216004477</v>
      </c>
      <c r="N273" s="503">
        <f>IF(終値!A273="","",IFERROR(4*STDEVP(終値!Q273:AJ273)/AVERAGE(終値!Q273:AJ273),""))</f>
        <v>0.11761014649059397</v>
      </c>
      <c r="O273" s="503">
        <f>IF(終値!A273="","",IFERROR(4*STDEVP(終値!R273:AK273)/AVERAGE(終値!R273:AK273),""))</f>
        <v>0.12695052751036084</v>
      </c>
      <c r="P273" s="503">
        <f>IF(終値!A273="","",IFERROR(4*STDEVP(終値!S273:AL273)/AVERAGE(終値!S273:AL273),""))</f>
        <v>0.13121853231409158</v>
      </c>
      <c r="Q273" s="503">
        <f>IF(終値!A273="","",IFERROR(4*STDEVP(終値!T273:AM273)/AVERAGE(終値!T273:AM273),""))</f>
        <v>0.13304510164358674</v>
      </c>
      <c r="R273" s="503">
        <f>IF(終値!A273="","",IFERROR(4*STDEVP(終値!U273:AN273)/AVERAGE(終値!U273:AN273),""))</f>
        <v>0.13257288330318867</v>
      </c>
      <c r="S273" s="503">
        <f>IF(終値!A273="","",IFERROR(4*STDEVP(終値!V273:AO273)/AVERAGE(終値!V273:AO273),""))</f>
        <v>0.13223956505666642</v>
      </c>
      <c r="T273" s="503">
        <f>IF(終値!A273="","",IFERROR(4*STDEVP(終値!W273:AP273)/AVERAGE(終値!W273:AP273),""))</f>
        <v>0.13285996327114111</v>
      </c>
      <c r="U273" s="503">
        <f>IF(終値!A273="","",IFERROR(4*STDEVP(終値!X273:AQ273)/AVERAGE(終値!X273:AQ273),""))</f>
        <v>0.13607918452955761</v>
      </c>
      <c r="V273" s="503">
        <f>IF(終値!A273="","",IFERROR(4*STDEVP(終値!Y273:AR273)/AVERAGE(終値!Y273:AR273),""))</f>
        <v>0.13449302934283172</v>
      </c>
      <c r="W273" s="503">
        <f>IF(終値!A273="","",IFERROR(4*STDEVP(終値!Z273:AS273)/AVERAGE(終値!Z273:AS273),""))</f>
        <v>0.12569697636765309</v>
      </c>
      <c r="X273" s="503">
        <f>IF(終値!A273="","",IFERROR(4*STDEVP(終値!AA273:AT273)/AVERAGE(終値!AA273:AT273),""))</f>
        <v>0.12010089543195991</v>
      </c>
      <c r="Y273" s="503">
        <f>IF(終値!A273="","",IFERROR(4*STDEVP(終値!AB273:AU273)/AVERAGE(終値!AB273:AU273),""))</f>
        <v>0.11601801693996647</v>
      </c>
      <c r="Z273" s="503">
        <f>IF(終値!A273="","",IFERROR(4*STDEVP(終値!AC273:AV273)/AVERAGE(終値!AC273:AV273),""))</f>
        <v>0.11172069023518859</v>
      </c>
      <c r="AA273" s="503">
        <f>IF(終値!A273="","",IFERROR(4*STDEVP(終値!AD273:AW273)/AVERAGE(終値!AD273:AW273),""))</f>
        <v>0.11694531222298257</v>
      </c>
      <c r="AB273" s="503">
        <f>IF(終値!A273="","",IFERROR(4*STDEVP(終値!AE273:AX273)/AVERAGE(終値!AE273:AX273),""))</f>
        <v>0.12278915985437804</v>
      </c>
      <c r="AC273" s="503">
        <f>IF(終値!A273="","",IFERROR(4*STDEVP(終値!AF273:AY273)/AVERAGE(終値!AF273:AY273),""))</f>
        <v>0.12567976904004322</v>
      </c>
      <c r="AD273" s="503">
        <f>IF(終値!A273="","",IFERROR(4*STDEVP(終値!AG273:AZ273)/AVERAGE(終値!AG273:AZ273),""))</f>
        <v>0.12893571462951012</v>
      </c>
      <c r="AE273" s="503">
        <f>IF(終値!A273="","",IFERROR(4*STDEVP(終値!AH273:BA273)/AVERAGE(終値!AH273:BA273),""))</f>
        <v>0.12901599122215954</v>
      </c>
      <c r="AF273" s="503">
        <f>IF(終値!A273="","",IFERROR(4*STDEVP(終値!AI273:BB273)/AVERAGE(終値!AI273:BB273),""))</f>
        <v>0.12757113891328517</v>
      </c>
      <c r="AG273" s="503">
        <f>IF(終値!A273="","",IFERROR(4*STDEVP(終値!AJ273:BC273)/AVERAGE(終値!AJ273:BC273),""))</f>
        <v>0.1265414339882022</v>
      </c>
      <c r="AH273" s="503">
        <f>IF(終値!A273="","",IFERROR(4*STDEVP(終値!AK273:BD273)/AVERAGE(終値!AK273:BD273),""))</f>
        <v>0.1249410443535814</v>
      </c>
      <c r="AI273" s="503">
        <f>IF(終値!A273="","",IFERROR(4*STDEVP(終値!AL273:BE273)/AVERAGE(終値!AL273:BE273),""))</f>
        <v>0.12112297897265568</v>
      </c>
      <c r="AJ273" s="503">
        <f>IF(終値!A273="","",IFERROR(4*STDEVP(終値!AM273:BF273)/AVERAGE(終値!AM273:BF273),""))</f>
        <v>0.12065674767882821</v>
      </c>
      <c r="AK273" s="503">
        <f>IF(終値!A273="","",IFERROR(4*STDEVP(終値!AN273:BG273)/AVERAGE(終値!AN273:BG273),""))</f>
        <v>0.11959603551190703</v>
      </c>
      <c r="AL273" s="503">
        <f>IF(終値!A273="","",IFERROR(4*STDEVP(終値!AO273:BH273)/AVERAGE(終値!AO273:BH273),""))</f>
        <v>0.11980166886380118</v>
      </c>
      <c r="AM273" s="503">
        <f>IF(終値!A273="","",IFERROR(4*STDEVP(終値!AP273:BI273)/AVERAGE(終値!AP273:BI273),""))</f>
        <v>0.12393641761655952</v>
      </c>
      <c r="AN273" s="503">
        <f>IF(終値!A273="","",IFERROR(4*STDEVP(終値!AQ273:BJ273)/AVERAGE(終値!AQ273:BJ273),""))</f>
        <v>0.12353478316769907</v>
      </c>
      <c r="AO273" s="503">
        <f>IF(終値!A273="","",IFERROR(4*STDEVP(終値!AR273:BK273)/AVERAGE(終値!AR273:BK273),""))</f>
        <v>0.11656500717921212</v>
      </c>
      <c r="AP273" s="503">
        <f>IF(終値!A273="","",IFERROR(4*STDEVP(終値!AS273:BL273)/AVERAGE(終値!AS273:BL273),""))</f>
        <v>9.5776673959508743E-2</v>
      </c>
    </row>
    <row r="274" spans="1:42">
      <c r="A274" s="500" t="str">
        <f>IF(終値!A274="","",終値!A274)</f>
        <v>6848</v>
      </c>
      <c r="B274" s="503">
        <f>IF(終値!A274="","",IFERROR(4*STDEVP(終値!E274:X274)/AVERAGE(終値!E274:X274),""))</f>
        <v>1.4708373031363166E-2</v>
      </c>
      <c r="C274" s="503">
        <f>IF(終値!A274="","",IFERROR(4*STDEVP(終値!F274:Y274)/AVERAGE(終値!F274:Y274),""))</f>
        <v>1.3684389124110014E-2</v>
      </c>
      <c r="D274" s="503">
        <f>IF(終値!A274="","",IFERROR(4*STDEVP(終値!G274:Z274)/AVERAGE(終値!G274:Z274),""))</f>
        <v>1.7635954033334549E-2</v>
      </c>
      <c r="E274" s="503">
        <f>IF(終値!A274="","",IFERROR(4*STDEVP(終値!H274:AA274)/AVERAGE(終値!H274:AA274),""))</f>
        <v>1.9915612496141058E-2</v>
      </c>
      <c r="F274" s="503">
        <f>IF(終値!A274="","",IFERROR(4*STDEVP(終値!I274:AB274)/AVERAGE(終値!I274:AB274),""))</f>
        <v>2.042380648360792E-2</v>
      </c>
      <c r="G274" s="503">
        <f>IF(終値!A274="","",IFERROR(4*STDEVP(終値!J274:AC274)/AVERAGE(終値!J274:AC274),""))</f>
        <v>2.026201707883038E-2</v>
      </c>
      <c r="H274" s="503">
        <f>IF(終値!A274="","",IFERROR(4*STDEVP(終値!K274:AD274)/AVERAGE(終値!K274:AD274),""))</f>
        <v>2.7421605674212875E-2</v>
      </c>
      <c r="I274" s="503">
        <f>IF(終値!A274="","",IFERROR(4*STDEVP(終値!L274:AE274)/AVERAGE(終値!L274:AE274),""))</f>
        <v>2.7457231082484171E-2</v>
      </c>
      <c r="J274" s="503">
        <f>IF(終値!A274="","",IFERROR(4*STDEVP(終値!M274:AF274)/AVERAGE(終値!M274:AF274),""))</f>
        <v>2.7048213108867458E-2</v>
      </c>
      <c r="K274" s="503">
        <f>IF(終値!A274="","",IFERROR(4*STDEVP(終値!N274:AG274)/AVERAGE(終値!N274:AG274),""))</f>
        <v>2.6892674776436615E-2</v>
      </c>
      <c r="L274" s="503">
        <f>IF(終値!A274="","",IFERROR(4*STDEVP(終値!O274:AH274)/AVERAGE(終値!O274:AH274),""))</f>
        <v>2.6211987817762603E-2</v>
      </c>
      <c r="M274" s="503">
        <f>IF(終値!A274="","",IFERROR(4*STDEVP(終値!P274:AI274)/AVERAGE(終値!P274:AI274),""))</f>
        <v>2.6367034889446212E-2</v>
      </c>
      <c r="N274" s="503">
        <f>IF(終値!A274="","",IFERROR(4*STDEVP(終値!Q274:AJ274)/AVERAGE(終値!Q274:AJ274),""))</f>
        <v>3.8385348410966726E-2</v>
      </c>
      <c r="O274" s="503">
        <f>IF(終値!A274="","",IFERROR(4*STDEVP(終値!R274:AK274)/AVERAGE(終値!R274:AK274),""))</f>
        <v>3.8927549337969623E-2</v>
      </c>
      <c r="P274" s="503">
        <f>IF(終値!A274="","",IFERROR(4*STDEVP(終値!S274:AL274)/AVERAGE(終値!S274:AL274),""))</f>
        <v>3.8103010398673288E-2</v>
      </c>
      <c r="Q274" s="503">
        <f>IF(終値!A274="","",IFERROR(4*STDEVP(終値!T274:AM274)/AVERAGE(終値!T274:AM274),""))</f>
        <v>3.8166162438910876E-2</v>
      </c>
      <c r="R274" s="503">
        <f>IF(終値!A274="","",IFERROR(4*STDEVP(終値!U274:AN274)/AVERAGE(終値!U274:AN274),""))</f>
        <v>3.802391911215855E-2</v>
      </c>
      <c r="S274" s="503">
        <f>IF(終値!A274="","",IFERROR(4*STDEVP(終値!V274:AO274)/AVERAGE(終値!V274:AO274),""))</f>
        <v>3.8108023177504446E-2</v>
      </c>
      <c r="T274" s="503">
        <f>IF(終値!A274="","",IFERROR(4*STDEVP(終値!W274:AP274)/AVERAGE(終値!W274:AP274),""))</f>
        <v>3.8108023177504446E-2</v>
      </c>
      <c r="U274" s="503">
        <f>IF(終値!A274="","",IFERROR(4*STDEVP(終値!X274:AQ274)/AVERAGE(終値!X274:AQ274),""))</f>
        <v>4.1065178924745774E-2</v>
      </c>
      <c r="V274" s="503">
        <f>IF(終値!A274="","",IFERROR(4*STDEVP(終値!Y274:AR274)/AVERAGE(終値!Y274:AR274),""))</f>
        <v>4.1974855341864369E-2</v>
      </c>
      <c r="W274" s="503">
        <f>IF(終値!A274="","",IFERROR(4*STDEVP(終値!Z274:AS274)/AVERAGE(終値!Z274:AS274),""))</f>
        <v>4.2511455854007396E-2</v>
      </c>
      <c r="X274" s="503">
        <f>IF(終値!A274="","",IFERROR(4*STDEVP(終値!AA274:AT274)/AVERAGE(終値!AA274:AT274),""))</f>
        <v>4.3519618226233285E-2</v>
      </c>
      <c r="Y274" s="503">
        <f>IF(終値!A274="","",IFERROR(4*STDEVP(終値!AB274:AU274)/AVERAGE(終値!AB274:AU274),""))</f>
        <v>4.4200976997043465E-2</v>
      </c>
      <c r="Z274" s="503">
        <f>IF(終値!A274="","",IFERROR(4*STDEVP(終値!AC274:AV274)/AVERAGE(終値!AC274:AV274),""))</f>
        <v>4.3148134449733547E-2</v>
      </c>
      <c r="AA274" s="503">
        <f>IF(終値!A274="","",IFERROR(4*STDEVP(終値!AD274:AW274)/AVERAGE(終値!AD274:AW274),""))</f>
        <v>4.3381832995832349E-2</v>
      </c>
      <c r="AB274" s="503">
        <f>IF(終値!A274="","",IFERROR(4*STDEVP(終値!AE274:AX274)/AVERAGE(終値!AE274:AX274),""))</f>
        <v>4.1922501944489078E-2</v>
      </c>
      <c r="AC274" s="503">
        <f>IF(終値!A274="","",IFERROR(4*STDEVP(終値!AF274:AY274)/AVERAGE(終値!AF274:AY274),""))</f>
        <v>4.2399628558430963E-2</v>
      </c>
      <c r="AD274" s="503">
        <f>IF(終値!A274="","",IFERROR(4*STDEVP(終値!AG274:AZ274)/AVERAGE(終値!AG274:AZ274),""))</f>
        <v>4.2966551541220602E-2</v>
      </c>
      <c r="AE274" s="503">
        <f>IF(終値!A274="","",IFERROR(4*STDEVP(終値!AH274:BA274)/AVERAGE(終値!AH274:BA274),""))</f>
        <v>4.29566404148553E-2</v>
      </c>
      <c r="AF274" s="503">
        <f>IF(終値!A274="","",IFERROR(4*STDEVP(終値!AI274:BB274)/AVERAGE(終値!AI274:BB274),""))</f>
        <v>4.2969979866167567E-2</v>
      </c>
      <c r="AG274" s="503">
        <f>IF(終値!A274="","",IFERROR(4*STDEVP(終値!AJ274:BC274)/AVERAGE(終値!AJ274:BC274),""))</f>
        <v>4.2846536150605165E-2</v>
      </c>
      <c r="AH274" s="503">
        <f>IF(終値!A274="","",IFERROR(4*STDEVP(終値!AK274:BD274)/AVERAGE(終値!AK274:BD274),""))</f>
        <v>3.7691459388271224E-2</v>
      </c>
      <c r="AI274" s="503">
        <f>IF(終値!A274="","",IFERROR(4*STDEVP(終値!AL274:BE274)/AVERAGE(終値!AL274:BE274),""))</f>
        <v>3.8512909894299528E-2</v>
      </c>
      <c r="AJ274" s="503">
        <f>IF(終値!A274="","",IFERROR(4*STDEVP(終値!AM274:BF274)/AVERAGE(終値!AM274:BF274),""))</f>
        <v>4.0855235578021253E-2</v>
      </c>
      <c r="AK274" s="503">
        <f>IF(終値!A274="","",IFERROR(4*STDEVP(終値!AN274:BG274)/AVERAGE(終値!AN274:BG274),""))</f>
        <v>4.067833332496365E-2</v>
      </c>
      <c r="AL274" s="503">
        <f>IF(終値!A274="","",IFERROR(4*STDEVP(終値!AO274:BH274)/AVERAGE(終値!AO274:BH274),""))</f>
        <v>4.1618292547345545E-2</v>
      </c>
      <c r="AM274" s="503">
        <f>IF(終値!A274="","",IFERROR(4*STDEVP(終値!AP274:BI274)/AVERAGE(終値!AP274:BI274),""))</f>
        <v>4.4622105534377433E-2</v>
      </c>
      <c r="AN274" s="503">
        <f>IF(終値!A274="","",IFERROR(4*STDEVP(終値!AQ274:BJ274)/AVERAGE(終値!AQ274:BJ274),""))</f>
        <v>4.3764402718820969E-2</v>
      </c>
      <c r="AO274" s="503">
        <f>IF(終値!A274="","",IFERROR(4*STDEVP(終値!AR274:BK274)/AVERAGE(終値!AR274:BK274),""))</f>
        <v>4.1180492441618158E-2</v>
      </c>
      <c r="AP274" s="503">
        <f>IF(終値!A274="","",IFERROR(4*STDEVP(終値!AS274:BL274)/AVERAGE(終値!AS274:BL274),""))</f>
        <v>4.0315462672449516E-2</v>
      </c>
    </row>
    <row r="275" spans="1:42">
      <c r="A275" s="500" t="str">
        <f>IF(終値!A275="","",終値!A275)</f>
        <v>5702</v>
      </c>
      <c r="B275" s="503">
        <f>IF(終値!A275="","",IFERROR(4*STDEVP(終値!E275:X275)/AVERAGE(終値!E275:X275),""))</f>
        <v>0.25088907731291954</v>
      </c>
      <c r="C275" s="503">
        <f>IF(終値!A275="","",IFERROR(4*STDEVP(終値!F275:Y275)/AVERAGE(終値!F275:Y275),""))</f>
        <v>0.17768983181605644</v>
      </c>
      <c r="D275" s="503">
        <f>IF(終値!A275="","",IFERROR(4*STDEVP(終値!G275:Z275)/AVERAGE(終値!G275:Z275),""))</f>
        <v>6.9542931361832122E-2</v>
      </c>
      <c r="E275" s="503">
        <f>IF(終値!A275="","",IFERROR(4*STDEVP(終値!H275:AA275)/AVERAGE(終値!H275:AA275),""))</f>
        <v>6.7013868454442946E-2</v>
      </c>
      <c r="F275" s="503">
        <f>IF(終値!A275="","",IFERROR(4*STDEVP(終値!I275:AB275)/AVERAGE(終値!I275:AB275),""))</f>
        <v>6.0282071744317774E-2</v>
      </c>
      <c r="G275" s="503">
        <f>IF(終値!A275="","",IFERROR(4*STDEVP(終値!J275:AC275)/AVERAGE(終値!J275:AC275),""))</f>
        <v>6.1282932637845844E-2</v>
      </c>
      <c r="H275" s="503">
        <f>IF(終値!A275="","",IFERROR(4*STDEVP(終値!K275:AD275)/AVERAGE(終値!K275:AD275),""))</f>
        <v>5.751957510359202E-2</v>
      </c>
      <c r="I275" s="503">
        <f>IF(終値!A275="","",IFERROR(4*STDEVP(終値!L275:AE275)/AVERAGE(終値!L275:AE275),""))</f>
        <v>5.4486011676992852E-2</v>
      </c>
      <c r="J275" s="503">
        <f>IF(終値!A275="","",IFERROR(4*STDEVP(終値!M275:AF275)/AVERAGE(終値!M275:AF275),""))</f>
        <v>5.2856163621646281E-2</v>
      </c>
      <c r="K275" s="503">
        <f>IF(終値!A275="","",IFERROR(4*STDEVP(終値!N275:AG275)/AVERAGE(終値!N275:AG275),""))</f>
        <v>5.7006272683264247E-2</v>
      </c>
      <c r="L275" s="503">
        <f>IF(終値!A275="","",IFERROR(4*STDEVP(終値!O275:AH275)/AVERAGE(終値!O275:AH275),""))</f>
        <v>8.0730721425033333E-2</v>
      </c>
      <c r="M275" s="503">
        <f>IF(終値!A275="","",IFERROR(4*STDEVP(終値!P275:AI275)/AVERAGE(終値!P275:AI275),""))</f>
        <v>0.10073864160946862</v>
      </c>
      <c r="N275" s="503">
        <f>IF(終値!A275="","",IFERROR(4*STDEVP(終値!Q275:AJ275)/AVERAGE(終値!Q275:AJ275),""))</f>
        <v>0.13326411153580625</v>
      </c>
      <c r="O275" s="503">
        <f>IF(終値!A275="","",IFERROR(4*STDEVP(終値!R275:AK275)/AVERAGE(終値!R275:AK275),""))</f>
        <v>0.15757733720265404</v>
      </c>
      <c r="P275" s="503">
        <f>IF(終値!A275="","",IFERROR(4*STDEVP(終値!S275:AL275)/AVERAGE(終値!S275:AL275),""))</f>
        <v>0.18234713977493228</v>
      </c>
      <c r="Q275" s="503">
        <f>IF(終値!A275="","",IFERROR(4*STDEVP(終値!T275:AM275)/AVERAGE(終値!T275:AM275),""))</f>
        <v>0.20562872797095028</v>
      </c>
      <c r="R275" s="503">
        <f>IF(終値!A275="","",IFERROR(4*STDEVP(終値!U275:AN275)/AVERAGE(終値!U275:AN275),""))</f>
        <v>0.23008330605287927</v>
      </c>
      <c r="S275" s="503">
        <f>IF(終値!A275="","",IFERROR(4*STDEVP(終値!V275:AO275)/AVERAGE(終値!V275:AO275),""))</f>
        <v>0.26853008793483618</v>
      </c>
      <c r="T275" s="503">
        <f>IF(終値!A275="","",IFERROR(4*STDEVP(終値!W275:AP275)/AVERAGE(終値!W275:AP275),""))</f>
        <v>0.29392781184219313</v>
      </c>
      <c r="U275" s="503">
        <f>IF(終値!A275="","",IFERROR(4*STDEVP(終値!X275:AQ275)/AVERAGE(終値!X275:AQ275),""))</f>
        <v>0.3082272999448521</v>
      </c>
      <c r="V275" s="503">
        <f>IF(終値!A275="","",IFERROR(4*STDEVP(終値!Y275:AR275)/AVERAGE(終値!Y275:AR275),""))</f>
        <v>0.31582279318483264</v>
      </c>
      <c r="W275" s="503">
        <f>IF(終値!A275="","",IFERROR(4*STDEVP(終値!Z275:AS275)/AVERAGE(終値!Z275:AS275),""))</f>
        <v>0.32600791342878632</v>
      </c>
      <c r="X275" s="503">
        <f>IF(終値!A275="","",IFERROR(4*STDEVP(終値!AA275:AT275)/AVERAGE(終値!AA275:AT275),""))</f>
        <v>0.34710375492898715</v>
      </c>
      <c r="Y275" s="503">
        <f>IF(終値!A275="","",IFERROR(4*STDEVP(終値!AB275:AU275)/AVERAGE(終値!AB275:AU275),""))</f>
        <v>0.35497598527585467</v>
      </c>
      <c r="Z275" s="503">
        <f>IF(終値!A275="","",IFERROR(4*STDEVP(終値!AC275:AV275)/AVERAGE(終値!AC275:AV275),""))</f>
        <v>0.36994858626827054</v>
      </c>
      <c r="AA275" s="503">
        <f>IF(終値!A275="","",IFERROR(4*STDEVP(終値!AD275:AW275)/AVERAGE(終値!AD275:AW275),""))</f>
        <v>0.36799898444989915</v>
      </c>
      <c r="AB275" s="503">
        <f>IF(終値!A275="","",IFERROR(4*STDEVP(終値!AE275:AX275)/AVERAGE(終値!AE275:AX275),""))</f>
        <v>0.35099536954364163</v>
      </c>
      <c r="AC275" s="503">
        <f>IF(終値!A275="","",IFERROR(4*STDEVP(終値!AF275:AY275)/AVERAGE(終値!AF275:AY275),""))</f>
        <v>0.33423225928320566</v>
      </c>
      <c r="AD275" s="503">
        <f>IF(終値!A275="","",IFERROR(4*STDEVP(終値!AG275:AZ275)/AVERAGE(終値!AG275:AZ275),""))</f>
        <v>0.31371220122829319</v>
      </c>
      <c r="AE275" s="503">
        <f>IF(終値!A275="","",IFERROR(4*STDEVP(終値!AH275:BA275)/AVERAGE(終値!AH275:BA275),""))</f>
        <v>0.28717790086622641</v>
      </c>
      <c r="AF275" s="503">
        <f>IF(終値!A275="","",IFERROR(4*STDEVP(終値!AI275:BB275)/AVERAGE(終値!AI275:BB275),""))</f>
        <v>0.26223295614627606</v>
      </c>
      <c r="AG275" s="503">
        <f>IF(終値!A275="","",IFERROR(4*STDEVP(終値!AJ275:BC275)/AVERAGE(終値!AJ275:BC275),""))</f>
        <v>0.23234264324217083</v>
      </c>
      <c r="AH275" s="503">
        <f>IF(終値!A275="","",IFERROR(4*STDEVP(終値!AK275:BD275)/AVERAGE(終値!AK275:BD275),""))</f>
        <v>0.21206656898672346</v>
      </c>
      <c r="AI275" s="503">
        <f>IF(終値!A275="","",IFERROR(4*STDEVP(終値!AL275:BE275)/AVERAGE(終値!AL275:BE275),""))</f>
        <v>0.18840877021817307</v>
      </c>
      <c r="AJ275" s="503">
        <f>IF(終値!A275="","",IFERROR(4*STDEVP(終値!AM275:BF275)/AVERAGE(終値!AM275:BF275),""))</f>
        <v>0.17379144373771008</v>
      </c>
      <c r="AK275" s="503">
        <f>IF(終値!A275="","",IFERROR(4*STDEVP(終値!AN275:BG275)/AVERAGE(終値!AN275:BG275),""))</f>
        <v>0.15352666252739219</v>
      </c>
      <c r="AL275" s="503">
        <f>IF(終値!A275="","",IFERROR(4*STDEVP(終値!AO275:BH275)/AVERAGE(終値!AO275:BH275),""))</f>
        <v>0.14327954972900314</v>
      </c>
      <c r="AM275" s="503">
        <f>IF(終値!A275="","",IFERROR(4*STDEVP(終値!AP275:BI275)/AVERAGE(終値!AP275:BI275),""))</f>
        <v>0.19287539803583514</v>
      </c>
      <c r="AN275" s="503">
        <f>IF(終値!A275="","",IFERROR(4*STDEVP(終値!AQ275:BJ275)/AVERAGE(終値!AQ275:BJ275),""))</f>
        <v>0.23456301697474649</v>
      </c>
      <c r="AO275" s="503">
        <f>IF(終値!A275="","",IFERROR(4*STDEVP(終値!AR275:BK275)/AVERAGE(終値!AR275:BK275),""))</f>
        <v>0.26592396628974058</v>
      </c>
      <c r="AP275" s="503">
        <f>IF(終値!A275="","",IFERROR(4*STDEVP(終値!AS275:BL275)/AVERAGE(終値!AS275:BL275),""))</f>
        <v>0.28956166927256854</v>
      </c>
    </row>
    <row r="276" spans="1:42">
      <c r="A276" s="500" t="str">
        <f>IF(終値!A276="","",終値!A276)</f>
        <v>7952</v>
      </c>
      <c r="B276" s="503">
        <f>IF(終値!A276="","",IFERROR(4*STDEVP(終値!E276:X276)/AVERAGE(終値!E276:X276),""))</f>
        <v>0.15897685030211056</v>
      </c>
      <c r="C276" s="503">
        <f>IF(終値!A276="","",IFERROR(4*STDEVP(終値!F276:Y276)/AVERAGE(終値!F276:Y276),""))</f>
        <v>0.14881054421336329</v>
      </c>
      <c r="D276" s="503">
        <f>IF(終値!A276="","",IFERROR(4*STDEVP(終値!G276:Z276)/AVERAGE(終値!G276:Z276),""))</f>
        <v>0.13782605435009393</v>
      </c>
      <c r="E276" s="503">
        <f>IF(終値!A276="","",IFERROR(4*STDEVP(終値!H276:AA276)/AVERAGE(終値!H276:AA276),""))</f>
        <v>0.11672797857155037</v>
      </c>
      <c r="F276" s="503">
        <f>IF(終値!A276="","",IFERROR(4*STDEVP(終値!I276:AB276)/AVERAGE(終値!I276:AB276),""))</f>
        <v>9.2494235817849657E-2</v>
      </c>
      <c r="G276" s="503">
        <f>IF(終値!A276="","",IFERROR(4*STDEVP(終値!J276:AC276)/AVERAGE(終値!J276:AC276),""))</f>
        <v>7.4349606497870022E-2</v>
      </c>
      <c r="H276" s="503">
        <f>IF(終値!A276="","",IFERROR(4*STDEVP(終値!K276:AD276)/AVERAGE(終値!K276:AD276),""))</f>
        <v>6.3792381452060898E-2</v>
      </c>
      <c r="I276" s="503">
        <f>IF(終値!A276="","",IFERROR(4*STDEVP(終値!L276:AE276)/AVERAGE(終値!L276:AE276),""))</f>
        <v>5.4078566465509299E-2</v>
      </c>
      <c r="J276" s="503">
        <f>IF(終値!A276="","",IFERROR(4*STDEVP(終値!M276:AF276)/AVERAGE(終値!M276:AF276),""))</f>
        <v>5.7663396091326105E-2</v>
      </c>
      <c r="K276" s="503">
        <f>IF(終値!A276="","",IFERROR(4*STDEVP(終値!N276:AG276)/AVERAGE(終値!N276:AG276),""))</f>
        <v>6.3744993356042626E-2</v>
      </c>
      <c r="L276" s="503">
        <f>IF(終値!A276="","",IFERROR(4*STDEVP(終値!O276:AH276)/AVERAGE(終値!O276:AH276),""))</f>
        <v>6.3744993356042626E-2</v>
      </c>
      <c r="M276" s="503">
        <f>IF(終値!A276="","",IFERROR(4*STDEVP(終値!P276:AI276)/AVERAGE(終値!P276:AI276),""))</f>
        <v>6.2431819524787213E-2</v>
      </c>
      <c r="N276" s="503">
        <f>IF(終値!A276="","",IFERROR(4*STDEVP(終値!Q276:AJ276)/AVERAGE(終値!Q276:AJ276),""))</f>
        <v>6.7022773883324671E-2</v>
      </c>
      <c r="O276" s="503">
        <f>IF(終値!A276="","",IFERROR(4*STDEVP(終値!R276:AK276)/AVERAGE(終値!R276:AK276),""))</f>
        <v>6.6731921879450692E-2</v>
      </c>
      <c r="P276" s="503">
        <f>IF(終値!A276="","",IFERROR(4*STDEVP(終値!S276:AL276)/AVERAGE(終値!S276:AL276),""))</f>
        <v>6.6100510558616751E-2</v>
      </c>
      <c r="Q276" s="503">
        <f>IF(終値!A276="","",IFERROR(4*STDEVP(終値!T276:AM276)/AVERAGE(終値!T276:AM276),""))</f>
        <v>6.4307981204450082E-2</v>
      </c>
      <c r="R276" s="503">
        <f>IF(終値!A276="","",IFERROR(4*STDEVP(終値!U276:AN276)/AVERAGE(終値!U276:AN276),""))</f>
        <v>6.2620760845334938E-2</v>
      </c>
      <c r="S276" s="503">
        <f>IF(終値!A276="","",IFERROR(4*STDEVP(終値!V276:AO276)/AVERAGE(終値!V276:AO276),""))</f>
        <v>6.4852159205797594E-2</v>
      </c>
      <c r="T276" s="503">
        <f>IF(終値!A276="","",IFERROR(4*STDEVP(終値!W276:AP276)/AVERAGE(終値!W276:AP276),""))</f>
        <v>8.9698294796030434E-2</v>
      </c>
      <c r="U276" s="503">
        <f>IF(終値!A276="","",IFERROR(4*STDEVP(終値!X276:AQ276)/AVERAGE(終値!X276:AQ276),""))</f>
        <v>0.10967440972302905</v>
      </c>
      <c r="V276" s="503">
        <f>IF(終値!A276="","",IFERROR(4*STDEVP(終値!Y276:AR276)/AVERAGE(終値!Y276:AR276),""))</f>
        <v>0.11603811529984388</v>
      </c>
      <c r="W276" s="503">
        <f>IF(終値!A276="","",IFERROR(4*STDEVP(終値!Z276:AS276)/AVERAGE(終値!Z276:AS276),""))</f>
        <v>0.11712308952889214</v>
      </c>
      <c r="X276" s="503">
        <f>IF(終値!A276="","",IFERROR(4*STDEVP(終値!AA276:AT276)/AVERAGE(終値!AA276:AT276),""))</f>
        <v>0.11704445731091442</v>
      </c>
      <c r="Y276" s="503">
        <f>IF(終値!A276="","",IFERROR(4*STDEVP(終値!AB276:AU276)/AVERAGE(終値!AB276:AU276),""))</f>
        <v>0.11627526460372851</v>
      </c>
      <c r="Z276" s="503">
        <f>IF(終値!A276="","",IFERROR(4*STDEVP(終値!AC276:AV276)/AVERAGE(終値!AC276:AV276),""))</f>
        <v>0.11627526460372851</v>
      </c>
      <c r="AA276" s="503">
        <f>IF(終値!A276="","",IFERROR(4*STDEVP(終値!AD276:AW276)/AVERAGE(終値!AD276:AW276),""))</f>
        <v>0.11763299143699722</v>
      </c>
      <c r="AB276" s="503">
        <f>IF(終値!A276="","",IFERROR(4*STDEVP(終値!AE276:AX276)/AVERAGE(終値!AE276:AX276),""))</f>
        <v>0.12014787326977477</v>
      </c>
      <c r="AC276" s="503">
        <f>IF(終値!A276="","",IFERROR(4*STDEVP(終値!AF276:AY276)/AVERAGE(終値!AF276:AY276),""))</f>
        <v>0.12014787326977477</v>
      </c>
      <c r="AD276" s="503">
        <f>IF(終値!A276="","",IFERROR(4*STDEVP(終値!AG276:AZ276)/AVERAGE(終値!AG276:AZ276),""))</f>
        <v>0.12359445710313065</v>
      </c>
      <c r="AE276" s="503">
        <f>IF(終値!A276="","",IFERROR(4*STDEVP(終値!AH276:BA276)/AVERAGE(終値!AH276:BA276),""))</f>
        <v>0.12377971016493035</v>
      </c>
      <c r="AF276" s="503">
        <f>IF(終値!A276="","",IFERROR(4*STDEVP(終値!AI276:BB276)/AVERAGE(終値!AI276:BB276),""))</f>
        <v>0.13728710930876498</v>
      </c>
      <c r="AG276" s="503">
        <f>IF(終値!A276="","",IFERROR(4*STDEVP(終値!AJ276:BC276)/AVERAGE(終値!AJ276:BC276),""))</f>
        <v>0.14527739037000542</v>
      </c>
      <c r="AH276" s="503">
        <f>IF(終値!A276="","",IFERROR(4*STDEVP(終値!AK276:BD276)/AVERAGE(終値!AK276:BD276),""))</f>
        <v>0.14755022871414425</v>
      </c>
      <c r="AI276" s="503">
        <f>IF(終値!A276="","",IFERROR(4*STDEVP(終値!AL276:BE276)/AVERAGE(終値!AL276:BE276),""))</f>
        <v>0.14002290372613996</v>
      </c>
      <c r="AJ276" s="503">
        <f>IF(終値!A276="","",IFERROR(4*STDEVP(終値!AM276:BF276)/AVERAGE(終値!AM276:BF276),""))</f>
        <v>0.13320874407935859</v>
      </c>
      <c r="AK276" s="503">
        <f>IF(終値!A276="","",IFERROR(4*STDEVP(終値!AN276:BG276)/AVERAGE(終値!AN276:BG276),""))</f>
        <v>0.12754939230795054</v>
      </c>
      <c r="AL276" s="503">
        <f>IF(終値!A276="","",IFERROR(4*STDEVP(終値!AO276:BH276)/AVERAGE(終値!AO276:BH276),""))</f>
        <v>0.12335526325543555</v>
      </c>
      <c r="AM276" s="503">
        <f>IF(終値!A276="","",IFERROR(4*STDEVP(終値!AP276:BI276)/AVERAGE(終値!AP276:BI276),""))</f>
        <v>0.12628892171979117</v>
      </c>
      <c r="AN276" s="503">
        <f>IF(終値!A276="","",IFERROR(4*STDEVP(終値!AQ276:BJ276)/AVERAGE(終値!AQ276:BJ276),""))</f>
        <v>0.13206510837124896</v>
      </c>
      <c r="AO276" s="503">
        <f>IF(終値!A276="","",IFERROR(4*STDEVP(終値!AR276:BK276)/AVERAGE(終値!AR276:BK276),""))</f>
        <v>0.15187569440159593</v>
      </c>
      <c r="AP276" s="503">
        <f>IF(終値!A276="","",IFERROR(4*STDEVP(終値!AS276:BL276)/AVERAGE(終値!AS276:BL276),""))</f>
        <v>0.17914992367126589</v>
      </c>
    </row>
    <row r="277" spans="1:42">
      <c r="A277" s="500" t="str">
        <f>IF(終値!A277="","",終値!A277)</f>
        <v>3002</v>
      </c>
      <c r="B277" s="503">
        <f>IF(終値!A277="","",IFERROR(4*STDEVP(終値!E277:X277)/AVERAGE(終値!E277:X277),""))</f>
        <v>5.4282780857669716E-2</v>
      </c>
      <c r="C277" s="503">
        <f>IF(終値!A277="","",IFERROR(4*STDEVP(終値!F277:Y277)/AVERAGE(終値!F277:Y277),""))</f>
        <v>4.1619715542514334E-2</v>
      </c>
      <c r="D277" s="503">
        <f>IF(終値!A277="","",IFERROR(4*STDEVP(終値!G277:Z277)/AVERAGE(終値!G277:Z277),""))</f>
        <v>3.9072922200412752E-2</v>
      </c>
      <c r="E277" s="503">
        <f>IF(終値!A277="","",IFERROR(4*STDEVP(終値!H277:AA277)/AVERAGE(終値!H277:AA277),""))</f>
        <v>3.9072922200412752E-2</v>
      </c>
      <c r="F277" s="503">
        <f>IF(終値!A277="","",IFERROR(4*STDEVP(終値!I277:AB277)/AVERAGE(終値!I277:AB277),""))</f>
        <v>4.232739809134204E-2</v>
      </c>
      <c r="G277" s="503">
        <f>IF(終値!A277="","",IFERROR(4*STDEVP(終値!J277:AC277)/AVERAGE(終値!J277:AC277),""))</f>
        <v>5.4082915540675167E-2</v>
      </c>
      <c r="H277" s="503">
        <f>IF(終値!A277="","",IFERROR(4*STDEVP(終値!K277:AD277)/AVERAGE(終値!K277:AD277),""))</f>
        <v>5.9023574656009943E-2</v>
      </c>
      <c r="I277" s="503">
        <f>IF(終値!A277="","",IFERROR(4*STDEVP(終値!L277:AE277)/AVERAGE(終値!L277:AE277),""))</f>
        <v>6.2499430752095922E-2</v>
      </c>
      <c r="J277" s="503">
        <f>IF(終値!A277="","",IFERROR(4*STDEVP(終値!M277:AF277)/AVERAGE(終値!M277:AF277),""))</f>
        <v>6.5630113914977528E-2</v>
      </c>
      <c r="K277" s="503">
        <f>IF(終値!A277="","",IFERROR(4*STDEVP(終値!N277:AG277)/AVERAGE(終値!N277:AG277),""))</f>
        <v>6.4614145319930996E-2</v>
      </c>
      <c r="L277" s="503">
        <f>IF(終値!A277="","",IFERROR(4*STDEVP(終値!O277:AH277)/AVERAGE(終値!O277:AH277),""))</f>
        <v>7.1789418415078507E-2</v>
      </c>
      <c r="M277" s="503">
        <f>IF(終値!A277="","",IFERROR(4*STDEVP(終値!P277:AI277)/AVERAGE(終値!P277:AI277),""))</f>
        <v>7.7120316952581744E-2</v>
      </c>
      <c r="N277" s="503">
        <f>IF(終値!A277="","",IFERROR(4*STDEVP(終値!Q277:AJ277)/AVERAGE(終値!Q277:AJ277),""))</f>
        <v>7.9138669428500161E-2</v>
      </c>
      <c r="O277" s="503">
        <f>IF(終値!A277="","",IFERROR(4*STDEVP(終値!R277:AK277)/AVERAGE(終値!R277:AK277),""))</f>
        <v>8.3218481613592923E-2</v>
      </c>
      <c r="P277" s="503">
        <f>IF(終値!A277="","",IFERROR(4*STDEVP(終値!S277:AL277)/AVERAGE(終値!S277:AL277),""))</f>
        <v>8.5162495948749181E-2</v>
      </c>
      <c r="Q277" s="503">
        <f>IF(終値!A277="","",IFERROR(4*STDEVP(終値!T277:AM277)/AVERAGE(終値!T277:AM277),""))</f>
        <v>8.6325316756453677E-2</v>
      </c>
      <c r="R277" s="503">
        <f>IF(終値!A277="","",IFERROR(4*STDEVP(終値!U277:AN277)/AVERAGE(終値!U277:AN277),""))</f>
        <v>8.7565002537793021E-2</v>
      </c>
      <c r="S277" s="503">
        <f>IF(終値!A277="","",IFERROR(4*STDEVP(終値!V277:AO277)/AVERAGE(終値!V277:AO277),""))</f>
        <v>8.8446191463174173E-2</v>
      </c>
      <c r="T277" s="503">
        <f>IF(終値!A277="","",IFERROR(4*STDEVP(終値!W277:AP277)/AVERAGE(終値!W277:AP277),""))</f>
        <v>8.7004017907927958E-2</v>
      </c>
      <c r="U277" s="503">
        <f>IF(終値!A277="","",IFERROR(4*STDEVP(終値!X277:AQ277)/AVERAGE(終値!X277:AQ277),""))</f>
        <v>8.7682551476650397E-2</v>
      </c>
      <c r="V277" s="503">
        <f>IF(終値!A277="","",IFERROR(4*STDEVP(終値!Y277:AR277)/AVERAGE(終値!Y277:AR277),""))</f>
        <v>8.5750903995475386E-2</v>
      </c>
      <c r="W277" s="503">
        <f>IF(終値!A277="","",IFERROR(4*STDEVP(終値!Z277:AS277)/AVERAGE(終値!Z277:AS277),""))</f>
        <v>8.5725922769415777E-2</v>
      </c>
      <c r="X277" s="503">
        <f>IF(終値!A277="","",IFERROR(4*STDEVP(終値!AA277:AT277)/AVERAGE(終値!AA277:AT277),""))</f>
        <v>7.63828332855431E-2</v>
      </c>
      <c r="Y277" s="503">
        <f>IF(終値!A277="","",IFERROR(4*STDEVP(終値!AB277:AU277)/AVERAGE(終値!AB277:AU277),""))</f>
        <v>7.1216515970327007E-2</v>
      </c>
      <c r="Z277" s="503">
        <f>IF(終値!A277="","",IFERROR(4*STDEVP(終値!AC277:AV277)/AVERAGE(終値!AC277:AV277),""))</f>
        <v>6.8763206918282471E-2</v>
      </c>
      <c r="AA277" s="503">
        <f>IF(終値!A277="","",IFERROR(4*STDEVP(終値!AD277:AW277)/AVERAGE(終値!AD277:AW277),""))</f>
        <v>7.4237914561758919E-2</v>
      </c>
      <c r="AB277" s="503">
        <f>IF(終値!A277="","",IFERROR(4*STDEVP(終値!AE277:AX277)/AVERAGE(終値!AE277:AX277),""))</f>
        <v>7.3207201077604853E-2</v>
      </c>
      <c r="AC277" s="503">
        <f>IF(終値!A277="","",IFERROR(4*STDEVP(終値!AF277:AY277)/AVERAGE(終値!AF277:AY277),""))</f>
        <v>7.2588756177173142E-2</v>
      </c>
      <c r="AD277" s="503">
        <f>IF(終値!A277="","",IFERROR(4*STDEVP(終値!AG277:AZ277)/AVERAGE(終値!AG277:AZ277),""))</f>
        <v>7.1223177336810287E-2</v>
      </c>
      <c r="AE277" s="503">
        <f>IF(終値!A277="","",IFERROR(4*STDEVP(終値!AH277:BA277)/AVERAGE(終値!AH277:BA277),""))</f>
        <v>7.0752127758388558E-2</v>
      </c>
      <c r="AF277" s="503">
        <f>IF(終値!A277="","",IFERROR(4*STDEVP(終値!AI277:BB277)/AVERAGE(終値!AI277:BB277),""))</f>
        <v>7.3700943267930197E-2</v>
      </c>
      <c r="AG277" s="503">
        <f>IF(終値!A277="","",IFERROR(4*STDEVP(終値!AJ277:BC277)/AVERAGE(終値!AJ277:BC277),""))</f>
        <v>7.2641781039591041E-2</v>
      </c>
      <c r="AH277" s="503">
        <f>IF(終値!A277="","",IFERROR(4*STDEVP(終値!AK277:BD277)/AVERAGE(終値!AK277:BD277),""))</f>
        <v>7.0797200577690525E-2</v>
      </c>
      <c r="AI277" s="503">
        <f>IF(終値!A277="","",IFERROR(4*STDEVP(終値!AL277:BE277)/AVERAGE(終値!AL277:BE277),""))</f>
        <v>6.8249115423988205E-2</v>
      </c>
      <c r="AJ277" s="503">
        <f>IF(終値!A277="","",IFERROR(4*STDEVP(終値!AM277:BF277)/AVERAGE(終値!AM277:BF277),""))</f>
        <v>6.2003658276596242E-2</v>
      </c>
      <c r="AK277" s="503">
        <f>IF(終値!A277="","",IFERROR(4*STDEVP(終値!AN277:BG277)/AVERAGE(終値!AN277:BG277),""))</f>
        <v>5.7281475773571948E-2</v>
      </c>
      <c r="AL277" s="503">
        <f>IF(終値!A277="","",IFERROR(4*STDEVP(終値!AO277:BH277)/AVERAGE(終値!AO277:BH277),""))</f>
        <v>5.7281475773571948E-2</v>
      </c>
      <c r="AM277" s="503">
        <f>IF(終値!A277="","",IFERROR(4*STDEVP(終値!AP277:BI277)/AVERAGE(終値!AP277:BI277),""))</f>
        <v>6.0081078883301976E-2</v>
      </c>
      <c r="AN277" s="503">
        <f>IF(終値!A277="","",IFERROR(4*STDEVP(終値!AQ277:BJ277)/AVERAGE(終値!AQ277:BJ277),""))</f>
        <v>5.5073072063224753E-2</v>
      </c>
      <c r="AO277" s="503">
        <f>IF(終値!A277="","",IFERROR(4*STDEVP(終値!AR277:BK277)/AVERAGE(終値!AR277:BK277),""))</f>
        <v>5.7145075367980441E-2</v>
      </c>
      <c r="AP277" s="503">
        <f>IF(終値!A277="","",IFERROR(4*STDEVP(終値!AS277:BL277)/AVERAGE(終値!AS277:BL277),""))</f>
        <v>5.7853457710784782E-2</v>
      </c>
    </row>
    <row r="278" spans="1:42">
      <c r="A278" s="500" t="str">
        <f>IF(終値!A278="","",終値!A278)</f>
        <v>8871</v>
      </c>
      <c r="B278" s="503">
        <f>IF(終値!A278="","",IFERROR(4*STDEVP(終値!E278:X278)/AVERAGE(終値!E278:X278),""))</f>
        <v>7.132133043157686E-2</v>
      </c>
      <c r="C278" s="503">
        <f>IF(終値!A278="","",IFERROR(4*STDEVP(終値!F278:Y278)/AVERAGE(終値!F278:Y278),""))</f>
        <v>6.6704777209670912E-2</v>
      </c>
      <c r="D278" s="503">
        <f>IF(終値!A278="","",IFERROR(4*STDEVP(終値!G278:Z278)/AVERAGE(終値!G278:Z278),""))</f>
        <v>6.1346532002429718E-2</v>
      </c>
      <c r="E278" s="503">
        <f>IF(終値!A278="","",IFERROR(4*STDEVP(終値!H278:AA278)/AVERAGE(終値!H278:AA278),""))</f>
        <v>5.0592374931320537E-2</v>
      </c>
      <c r="F278" s="503">
        <f>IF(終値!A278="","",IFERROR(4*STDEVP(終値!I278:AB278)/AVERAGE(終値!I278:AB278),""))</f>
        <v>4.7727068024127538E-2</v>
      </c>
      <c r="G278" s="503">
        <f>IF(終値!A278="","",IFERROR(4*STDEVP(終値!J278:AC278)/AVERAGE(終値!J278:AC278),""))</f>
        <v>4.6967162809011899E-2</v>
      </c>
      <c r="H278" s="503">
        <f>IF(終値!A278="","",IFERROR(4*STDEVP(終値!K278:AD278)/AVERAGE(終値!K278:AD278),""))</f>
        <v>5.2420200985691126E-2</v>
      </c>
      <c r="I278" s="503">
        <f>IF(終値!A278="","",IFERROR(4*STDEVP(終値!L278:AE278)/AVERAGE(終値!L278:AE278),""))</f>
        <v>4.9643552149604031E-2</v>
      </c>
      <c r="J278" s="503">
        <f>IF(終値!A278="","",IFERROR(4*STDEVP(終値!M278:AF278)/AVERAGE(終値!M278:AF278),""))</f>
        <v>5.2081413048705123E-2</v>
      </c>
      <c r="K278" s="503">
        <f>IF(終値!A278="","",IFERROR(4*STDEVP(終値!N278:AG278)/AVERAGE(終値!N278:AG278),""))</f>
        <v>5.9030255345287809E-2</v>
      </c>
      <c r="L278" s="503">
        <f>IF(終値!A278="","",IFERROR(4*STDEVP(終値!O278:AH278)/AVERAGE(終値!O278:AH278),""))</f>
        <v>6.299070932394514E-2</v>
      </c>
      <c r="M278" s="503">
        <f>IF(終値!A278="","",IFERROR(4*STDEVP(終値!P278:AI278)/AVERAGE(終値!P278:AI278),""))</f>
        <v>6.6127462398310549E-2</v>
      </c>
      <c r="N278" s="503">
        <f>IF(終値!A278="","",IFERROR(4*STDEVP(終値!Q278:AJ278)/AVERAGE(終値!Q278:AJ278),""))</f>
        <v>6.7720902038484243E-2</v>
      </c>
      <c r="O278" s="503">
        <f>IF(終値!A278="","",IFERROR(4*STDEVP(終値!R278:AK278)/AVERAGE(終値!R278:AK278),""))</f>
        <v>6.5703704171327565E-2</v>
      </c>
      <c r="P278" s="503">
        <f>IF(終値!A278="","",IFERROR(4*STDEVP(終値!S278:AL278)/AVERAGE(終値!S278:AL278),""))</f>
        <v>6.8347375706591704E-2</v>
      </c>
      <c r="Q278" s="503">
        <f>IF(終値!A278="","",IFERROR(4*STDEVP(終値!T278:AM278)/AVERAGE(終値!T278:AM278),""))</f>
        <v>6.5642237017352403E-2</v>
      </c>
      <c r="R278" s="503">
        <f>IF(終値!A278="","",IFERROR(4*STDEVP(終値!U278:AN278)/AVERAGE(終値!U278:AN278),""))</f>
        <v>6.2919111343203118E-2</v>
      </c>
      <c r="S278" s="503">
        <f>IF(終値!A278="","",IFERROR(4*STDEVP(終値!V278:AO278)/AVERAGE(終値!V278:AO278),""))</f>
        <v>6.3465899336466444E-2</v>
      </c>
      <c r="T278" s="503">
        <f>IF(終値!A278="","",IFERROR(4*STDEVP(終値!W278:AP278)/AVERAGE(終値!W278:AP278),""))</f>
        <v>6.4175076515461879E-2</v>
      </c>
      <c r="U278" s="503">
        <f>IF(終値!A278="","",IFERROR(4*STDEVP(終値!X278:AQ278)/AVERAGE(終値!X278:AQ278),""))</f>
        <v>6.149158405622919E-2</v>
      </c>
      <c r="V278" s="503">
        <f>IF(終値!A278="","",IFERROR(4*STDEVP(終値!Y278:AR278)/AVERAGE(終値!Y278:AR278),""))</f>
        <v>5.583888838887683E-2</v>
      </c>
      <c r="W278" s="503">
        <f>IF(終値!A278="","",IFERROR(4*STDEVP(終値!Z278:AS278)/AVERAGE(終値!Z278:AS278),""))</f>
        <v>5.2326744555055697E-2</v>
      </c>
      <c r="X278" s="503">
        <f>IF(終値!A278="","",IFERROR(4*STDEVP(終値!AA278:AT278)/AVERAGE(終値!AA278:AT278),""))</f>
        <v>5.0458106404833634E-2</v>
      </c>
      <c r="Y278" s="503">
        <f>IF(終値!A278="","",IFERROR(4*STDEVP(終値!AB278:AU278)/AVERAGE(終値!AB278:AU278),""))</f>
        <v>5.2591174742651577E-2</v>
      </c>
      <c r="Z278" s="503">
        <f>IF(終値!A278="","",IFERROR(4*STDEVP(終値!AC278:AV278)/AVERAGE(終値!AC278:AV278),""))</f>
        <v>5.3254408146204121E-2</v>
      </c>
      <c r="AA278" s="503">
        <f>IF(終値!A278="","",IFERROR(4*STDEVP(終値!AD278:AW278)/AVERAGE(終値!AD278:AW278),""))</f>
        <v>6.4502711139057853E-2</v>
      </c>
      <c r="AB278" s="503">
        <f>IF(終値!A278="","",IFERROR(4*STDEVP(終値!AE278:AX278)/AVERAGE(終値!AE278:AX278),""))</f>
        <v>0.1000220444876613</v>
      </c>
      <c r="AC278" s="503">
        <f>IF(終値!A278="","",IFERROR(4*STDEVP(終値!AF278:AY278)/AVERAGE(終値!AF278:AY278),""))</f>
        <v>0.12271741014782862</v>
      </c>
      <c r="AD278" s="503">
        <f>IF(終値!A278="","",IFERROR(4*STDEVP(終値!AG278:AZ278)/AVERAGE(終値!AG278:AZ278),""))</f>
        <v>0.13556797362477888</v>
      </c>
      <c r="AE278" s="503">
        <f>IF(終値!A278="","",IFERROR(4*STDEVP(終値!AH278:BA278)/AVERAGE(終値!AH278:BA278),""))</f>
        <v>0.13896664818204077</v>
      </c>
      <c r="AF278" s="503">
        <f>IF(終値!A278="","",IFERROR(4*STDEVP(終値!AI278:BB278)/AVERAGE(終値!AI278:BB278),""))</f>
        <v>0.1424118902739481</v>
      </c>
      <c r="AG278" s="503">
        <f>IF(終値!A278="","",IFERROR(4*STDEVP(終値!AJ278:BC278)/AVERAGE(終値!AJ278:BC278),""))</f>
        <v>0.14953859690826438</v>
      </c>
      <c r="AH278" s="503">
        <f>IF(終値!A278="","",IFERROR(4*STDEVP(終値!AK278:BD278)/AVERAGE(終値!AK278:BD278),""))</f>
        <v>0.15130225279091014</v>
      </c>
      <c r="AI278" s="503">
        <f>IF(終値!A278="","",IFERROR(4*STDEVP(終値!AL278:BE278)/AVERAGE(終値!AL278:BE278),""))</f>
        <v>0.16329171069922127</v>
      </c>
      <c r="AJ278" s="503">
        <f>IF(終値!A278="","",IFERROR(4*STDEVP(終値!AM278:BF278)/AVERAGE(終値!AM278:BF278),""))</f>
        <v>0.17132970964583841</v>
      </c>
      <c r="AK278" s="503">
        <f>IF(終値!A278="","",IFERROR(4*STDEVP(終値!AN278:BG278)/AVERAGE(終値!AN278:BG278),""))</f>
        <v>0.1716577124664333</v>
      </c>
      <c r="AL278" s="503">
        <f>IF(終値!A278="","",IFERROR(4*STDEVP(終値!AO278:BH278)/AVERAGE(終値!AO278:BH278),""))</f>
        <v>0.17258239848027732</v>
      </c>
      <c r="AM278" s="503">
        <f>IF(終値!A278="","",IFERROR(4*STDEVP(終値!AP278:BI278)/AVERAGE(終値!AP278:BI278),""))</f>
        <v>0.17436957116413226</v>
      </c>
      <c r="AN278" s="503">
        <f>IF(終値!A278="","",IFERROR(4*STDEVP(終値!AQ278:BJ278)/AVERAGE(終値!AQ278:BJ278),""))</f>
        <v>0.17476719845766633</v>
      </c>
      <c r="AO278" s="503">
        <f>IF(終値!A278="","",IFERROR(4*STDEVP(終値!AR278:BK278)/AVERAGE(終値!AR278:BK278),""))</f>
        <v>0.17501797153516976</v>
      </c>
      <c r="AP278" s="503">
        <f>IF(終値!A278="","",IFERROR(4*STDEVP(終値!AS278:BL278)/AVERAGE(終値!AS278:BL278),""))</f>
        <v>0.17550761905721882</v>
      </c>
    </row>
    <row r="279" spans="1:42">
      <c r="A279" s="500" t="str">
        <f>IF(終値!A279="","",終値!A279)</f>
        <v>6918</v>
      </c>
      <c r="B279" s="503">
        <f>IF(終値!A279="","",IFERROR(4*STDEVP(終値!E279:X279)/AVERAGE(終値!E279:X279),""))</f>
        <v>0.14968412050329802</v>
      </c>
      <c r="C279" s="503">
        <f>IF(終値!A279="","",IFERROR(4*STDEVP(終値!F279:Y279)/AVERAGE(終値!F279:Y279),""))</f>
        <v>0.14523050569606166</v>
      </c>
      <c r="D279" s="503">
        <f>IF(終値!A279="","",IFERROR(4*STDEVP(終値!G279:Z279)/AVERAGE(終値!G279:Z279),""))</f>
        <v>0.14621791473217821</v>
      </c>
      <c r="E279" s="503">
        <f>IF(終値!A279="","",IFERROR(4*STDEVP(終値!H279:AA279)/AVERAGE(終値!H279:AA279),""))</f>
        <v>0.15619394415328985</v>
      </c>
      <c r="F279" s="503">
        <f>IF(終値!A279="","",IFERROR(4*STDEVP(終値!I279:AB279)/AVERAGE(終値!I279:AB279),""))</f>
        <v>0.15995683515537282</v>
      </c>
      <c r="G279" s="503">
        <f>IF(終値!A279="","",IFERROR(4*STDEVP(終値!J279:AC279)/AVERAGE(終値!J279:AC279),""))</f>
        <v>0.16544079235720127</v>
      </c>
      <c r="H279" s="503">
        <f>IF(終値!A279="","",IFERROR(4*STDEVP(終値!K279:AD279)/AVERAGE(終値!K279:AD279),""))</f>
        <v>0.14730650256905786</v>
      </c>
      <c r="I279" s="503">
        <f>IF(終値!A279="","",IFERROR(4*STDEVP(終値!L279:AE279)/AVERAGE(終値!L279:AE279),""))</f>
        <v>0.11516346124164771</v>
      </c>
      <c r="J279" s="503">
        <f>IF(終値!A279="","",IFERROR(4*STDEVP(終値!M279:AF279)/AVERAGE(終値!M279:AF279),""))</f>
        <v>0.10679615507259456</v>
      </c>
      <c r="K279" s="503">
        <f>IF(終値!A279="","",IFERROR(4*STDEVP(終値!N279:AG279)/AVERAGE(終値!N279:AG279),""))</f>
        <v>0.11195338441007759</v>
      </c>
      <c r="L279" s="503">
        <f>IF(終値!A279="","",IFERROR(4*STDEVP(終値!O279:AH279)/AVERAGE(終値!O279:AH279),""))</f>
        <v>0.11069103645969955</v>
      </c>
      <c r="M279" s="503">
        <f>IF(終値!A279="","",IFERROR(4*STDEVP(終値!P279:AI279)/AVERAGE(終値!P279:AI279),""))</f>
        <v>0.11493370674478698</v>
      </c>
      <c r="N279" s="503">
        <f>IF(終値!A279="","",IFERROR(4*STDEVP(終値!Q279:AJ279)/AVERAGE(終値!Q279:AJ279),""))</f>
        <v>0.13377528771445135</v>
      </c>
      <c r="O279" s="503">
        <f>IF(終値!A279="","",IFERROR(4*STDEVP(終値!R279:AK279)/AVERAGE(終値!R279:AK279),""))</f>
        <v>0.13228847361769439</v>
      </c>
      <c r="P279" s="503">
        <f>IF(終値!A279="","",IFERROR(4*STDEVP(終値!S279:AL279)/AVERAGE(終値!S279:AL279),""))</f>
        <v>0.11319590355464376</v>
      </c>
      <c r="Q279" s="503">
        <f>IF(終値!A279="","",IFERROR(4*STDEVP(終値!T279:AM279)/AVERAGE(終値!T279:AM279),""))</f>
        <v>0.11322543130468751</v>
      </c>
      <c r="R279" s="503">
        <f>IF(終値!A279="","",IFERROR(4*STDEVP(終値!U279:AN279)/AVERAGE(終値!U279:AN279),""))</f>
        <v>0.11188934012961071</v>
      </c>
      <c r="S279" s="503">
        <f>IF(終値!A279="","",IFERROR(4*STDEVP(終値!V279:AO279)/AVERAGE(終値!V279:AO279),""))</f>
        <v>0.11399171179965954</v>
      </c>
      <c r="T279" s="503">
        <f>IF(終値!A279="","",IFERROR(4*STDEVP(終値!W279:AP279)/AVERAGE(終値!W279:AP279),""))</f>
        <v>0.13392083719400277</v>
      </c>
      <c r="U279" s="503">
        <f>IF(終値!A279="","",IFERROR(4*STDEVP(終値!X279:AQ279)/AVERAGE(終値!X279:AQ279),""))</f>
        <v>0.15829720898603269</v>
      </c>
      <c r="V279" s="503">
        <f>IF(終値!A279="","",IFERROR(4*STDEVP(終値!Y279:AR279)/AVERAGE(終値!Y279:AR279),""))</f>
        <v>0.18560676623012057</v>
      </c>
      <c r="W279" s="503">
        <f>IF(終値!A279="","",IFERROR(4*STDEVP(終値!Z279:AS279)/AVERAGE(終値!Z279:AS279),""))</f>
        <v>0.19527399460675599</v>
      </c>
      <c r="X279" s="503">
        <f>IF(終値!A279="","",IFERROR(4*STDEVP(終値!AA279:AT279)/AVERAGE(終値!AA279:AT279),""))</f>
        <v>0.19449130622639374</v>
      </c>
      <c r="Y279" s="503">
        <f>IF(終値!A279="","",IFERROR(4*STDEVP(終値!AB279:AU279)/AVERAGE(終値!AB279:AU279),""))</f>
        <v>0.19274298942485363</v>
      </c>
      <c r="Z279" s="503">
        <f>IF(終値!A279="","",IFERROR(4*STDEVP(終値!AC279:AV279)/AVERAGE(終値!AC279:AV279),""))</f>
        <v>0.19184369217371114</v>
      </c>
      <c r="AA279" s="503">
        <f>IF(終値!A279="","",IFERROR(4*STDEVP(終値!AD279:AW279)/AVERAGE(終値!AD279:AW279),""))</f>
        <v>0.19349719506265514</v>
      </c>
      <c r="AB279" s="503">
        <f>IF(終値!A279="","",IFERROR(4*STDEVP(終値!AE279:AX279)/AVERAGE(終値!AE279:AX279),""))</f>
        <v>0.20442270347171157</v>
      </c>
      <c r="AC279" s="503">
        <f>IF(終値!A279="","",IFERROR(4*STDEVP(終値!AF279:AY279)/AVERAGE(終値!AF279:AY279),""))</f>
        <v>0.21104339467641614</v>
      </c>
      <c r="AD279" s="503">
        <f>IF(終値!A279="","",IFERROR(4*STDEVP(終値!AG279:AZ279)/AVERAGE(終値!AG279:AZ279),""))</f>
        <v>0.21089333981911523</v>
      </c>
      <c r="AE279" s="503">
        <f>IF(終値!A279="","",IFERROR(4*STDEVP(終値!AH279:BA279)/AVERAGE(終値!AH279:BA279),""))</f>
        <v>0.21370832221367439</v>
      </c>
      <c r="AF279" s="503">
        <f>IF(終値!A279="","",IFERROR(4*STDEVP(終値!AI279:BB279)/AVERAGE(終値!AI279:BB279),""))</f>
        <v>0.21498499744782201</v>
      </c>
      <c r="AG279" s="503">
        <f>IF(終値!A279="","",IFERROR(4*STDEVP(終値!AJ279:BC279)/AVERAGE(終値!AJ279:BC279),""))</f>
        <v>0.21654317990337918</v>
      </c>
      <c r="AH279" s="503">
        <f>IF(終値!A279="","",IFERROR(4*STDEVP(終値!AK279:BD279)/AVERAGE(終値!AK279:BD279),""))</f>
        <v>0.20700839896602385</v>
      </c>
      <c r="AI279" s="503">
        <f>IF(終値!A279="","",IFERROR(4*STDEVP(終値!AL279:BE279)/AVERAGE(終値!AL279:BE279),""))</f>
        <v>0.21852430679869722</v>
      </c>
      <c r="AJ279" s="503">
        <f>IF(終値!A279="","",IFERROR(4*STDEVP(終値!AM279:BF279)/AVERAGE(終値!AM279:BF279),""))</f>
        <v>0.24630620574986106</v>
      </c>
      <c r="AK279" s="503">
        <f>IF(終値!A279="","",IFERROR(4*STDEVP(終値!AN279:BG279)/AVERAGE(終値!AN279:BG279),""))</f>
        <v>0.25134939063108908</v>
      </c>
      <c r="AL279" s="503">
        <f>IF(終値!A279="","",IFERROR(4*STDEVP(終値!AO279:BH279)/AVERAGE(終値!AO279:BH279),""))</f>
        <v>0.25562277860533716</v>
      </c>
      <c r="AM279" s="503">
        <f>IF(終値!A279="","",IFERROR(4*STDEVP(終値!AP279:BI279)/AVERAGE(終値!AP279:BI279),""))</f>
        <v>0.2627581706979859</v>
      </c>
      <c r="AN279" s="503">
        <f>IF(終値!A279="","",IFERROR(4*STDEVP(終値!AQ279:BJ279)/AVERAGE(終値!AQ279:BJ279),""))</f>
        <v>0.25804597620694775</v>
      </c>
      <c r="AO279" s="503">
        <f>IF(終値!A279="","",IFERROR(4*STDEVP(終値!AR279:BK279)/AVERAGE(終値!AR279:BK279),""))</f>
        <v>0.23979938850235535</v>
      </c>
      <c r="AP279" s="503">
        <f>IF(終値!A279="","",IFERROR(4*STDEVP(終値!AS279:BL279)/AVERAGE(終値!AS279:BL279),""))</f>
        <v>0.19539849313925192</v>
      </c>
    </row>
    <row r="280" spans="1:42">
      <c r="A280" s="500" t="str">
        <f>IF(終値!A280="","",終値!A280)</f>
        <v>6488</v>
      </c>
      <c r="B280" s="503">
        <f>IF(終値!A280="","",IFERROR(4*STDEVP(終値!E280:X280)/AVERAGE(終値!E280:X280),""))</f>
        <v>3.3949165150020486E-2</v>
      </c>
      <c r="C280" s="503">
        <f>IF(終値!A280="","",IFERROR(4*STDEVP(終値!F280:Y280)/AVERAGE(終値!F280:Y280),""))</f>
        <v>3.7070808052200172E-2</v>
      </c>
      <c r="D280" s="503">
        <f>IF(終値!A280="","",IFERROR(4*STDEVP(終値!G280:Z280)/AVERAGE(終値!G280:Z280),""))</f>
        <v>3.6707360949873112E-2</v>
      </c>
      <c r="E280" s="503">
        <f>IF(終値!A280="","",IFERROR(4*STDEVP(終値!H280:AA280)/AVERAGE(終値!H280:AA280),""))</f>
        <v>3.5900871237628522E-2</v>
      </c>
      <c r="F280" s="503">
        <f>IF(終値!A280="","",IFERROR(4*STDEVP(終値!I280:AB280)/AVERAGE(終値!I280:AB280),""))</f>
        <v>3.5761098793475291E-2</v>
      </c>
      <c r="G280" s="503">
        <f>IF(終値!A280="","",IFERROR(4*STDEVP(終値!J280:AC280)/AVERAGE(終値!J280:AC280),""))</f>
        <v>4.757937031126324E-2</v>
      </c>
      <c r="H280" s="503">
        <f>IF(終値!A280="","",IFERROR(4*STDEVP(終値!K280:AD280)/AVERAGE(終値!K280:AD280),""))</f>
        <v>5.3059180720257108E-2</v>
      </c>
      <c r="I280" s="503">
        <f>IF(終値!A280="","",IFERROR(4*STDEVP(終値!L280:AE280)/AVERAGE(終値!L280:AE280),""))</f>
        <v>5.7834807155256768E-2</v>
      </c>
      <c r="J280" s="503">
        <f>IF(終値!A280="","",IFERROR(4*STDEVP(終値!M280:AF280)/AVERAGE(終値!M280:AF280),""))</f>
        <v>6.41783162750693E-2</v>
      </c>
      <c r="K280" s="503">
        <f>IF(終値!A280="","",IFERROR(4*STDEVP(終値!N280:AG280)/AVERAGE(終値!N280:AG280),""))</f>
        <v>6.8321211077790087E-2</v>
      </c>
      <c r="L280" s="503">
        <f>IF(終値!A280="","",IFERROR(4*STDEVP(終値!O280:AH280)/AVERAGE(終値!O280:AH280),""))</f>
        <v>6.9389221071289892E-2</v>
      </c>
      <c r="M280" s="503">
        <f>IF(終値!A280="","",IFERROR(4*STDEVP(終値!P280:AI280)/AVERAGE(終値!P280:AI280),""))</f>
        <v>6.9723509207895232E-2</v>
      </c>
      <c r="N280" s="503">
        <f>IF(終値!A280="","",IFERROR(4*STDEVP(終値!Q280:AJ280)/AVERAGE(終値!Q280:AJ280),""))</f>
        <v>6.7227392653612772E-2</v>
      </c>
      <c r="O280" s="503">
        <f>IF(終値!A280="","",IFERROR(4*STDEVP(終値!R280:AK280)/AVERAGE(終値!R280:AK280),""))</f>
        <v>6.6748993106339721E-2</v>
      </c>
      <c r="P280" s="503">
        <f>IF(終値!A280="","",IFERROR(4*STDEVP(終値!S280:AL280)/AVERAGE(終値!S280:AL280),""))</f>
        <v>7.0969881844484925E-2</v>
      </c>
      <c r="Q280" s="503">
        <f>IF(終値!A280="","",IFERROR(4*STDEVP(終値!T280:AM280)/AVERAGE(終値!T280:AM280),""))</f>
        <v>7.12052906149091E-2</v>
      </c>
      <c r="R280" s="503">
        <f>IF(終値!A280="","",IFERROR(4*STDEVP(終値!U280:AN280)/AVERAGE(終値!U280:AN280),""))</f>
        <v>7.1186524155940109E-2</v>
      </c>
      <c r="S280" s="503">
        <f>IF(終値!A280="","",IFERROR(4*STDEVP(終値!V280:AO280)/AVERAGE(終値!V280:AO280),""))</f>
        <v>6.9433732903954534E-2</v>
      </c>
      <c r="T280" s="503">
        <f>IF(終値!A280="","",IFERROR(4*STDEVP(終値!W280:AP280)/AVERAGE(終値!W280:AP280),""))</f>
        <v>7.1678461595489323E-2</v>
      </c>
      <c r="U280" s="503">
        <f>IF(終値!A280="","",IFERROR(4*STDEVP(終値!X280:AQ280)/AVERAGE(終値!X280:AQ280),""))</f>
        <v>7.2465468000298419E-2</v>
      </c>
      <c r="V280" s="503">
        <f>IF(終値!A280="","",IFERROR(4*STDEVP(終値!Y280:AR280)/AVERAGE(終値!Y280:AR280),""))</f>
        <v>7.1294779901434624E-2</v>
      </c>
      <c r="W280" s="503">
        <f>IF(終値!A280="","",IFERROR(4*STDEVP(終値!Z280:AS280)/AVERAGE(終値!Z280:AS280),""))</f>
        <v>6.7399508187889492E-2</v>
      </c>
      <c r="X280" s="503">
        <f>IF(終値!A280="","",IFERROR(4*STDEVP(終値!AA280:AT280)/AVERAGE(終値!AA280:AT280),""))</f>
        <v>6.0500576148710683E-2</v>
      </c>
      <c r="Y280" s="503">
        <f>IF(終値!A280="","",IFERROR(4*STDEVP(終値!AB280:AU280)/AVERAGE(終値!AB280:AU280),""))</f>
        <v>5.2355631370670452E-2</v>
      </c>
      <c r="Z280" s="503">
        <f>IF(終値!A280="","",IFERROR(4*STDEVP(終値!AC280:AV280)/AVERAGE(終値!AC280:AV280),""))</f>
        <v>3.8983572051365635E-2</v>
      </c>
      <c r="AA280" s="503">
        <f>IF(終値!A280="","",IFERROR(4*STDEVP(終値!AD280:AW280)/AVERAGE(終値!AD280:AW280),""))</f>
        <v>3.8108151813038012E-2</v>
      </c>
      <c r="AB280" s="503">
        <f>IF(終値!A280="","",IFERROR(4*STDEVP(終値!AE280:AX280)/AVERAGE(終値!AE280:AX280),""))</f>
        <v>3.6930970074513361E-2</v>
      </c>
      <c r="AC280" s="503">
        <f>IF(終値!A280="","",IFERROR(4*STDEVP(終値!AF280:AY280)/AVERAGE(終値!AF280:AY280),""))</f>
        <v>3.594038818373109E-2</v>
      </c>
      <c r="AD280" s="503">
        <f>IF(終値!A280="","",IFERROR(4*STDEVP(終値!AG280:AZ280)/AVERAGE(終値!AG280:AZ280),""))</f>
        <v>3.5739945695495601E-2</v>
      </c>
      <c r="AE280" s="503">
        <f>IF(終値!A280="","",IFERROR(4*STDEVP(終値!AH280:BA280)/AVERAGE(終値!AH280:BA280),""))</f>
        <v>4.0493006871548644E-2</v>
      </c>
      <c r="AF280" s="503">
        <f>IF(終値!A280="","",IFERROR(4*STDEVP(終値!AI280:BB280)/AVERAGE(終値!AI280:BB280),""))</f>
        <v>4.4686291317112901E-2</v>
      </c>
      <c r="AG280" s="503">
        <f>IF(終値!A280="","",IFERROR(4*STDEVP(終値!AJ280:BC280)/AVERAGE(終値!AJ280:BC280),""))</f>
        <v>5.209417127629265E-2</v>
      </c>
      <c r="AH280" s="503">
        <f>IF(終値!A280="","",IFERROR(4*STDEVP(終値!AK280:BD280)/AVERAGE(終値!AK280:BD280),""))</f>
        <v>5.5057060775867937E-2</v>
      </c>
      <c r="AI280" s="503">
        <f>IF(終値!A280="","",IFERROR(4*STDEVP(終値!AL280:BE280)/AVERAGE(終値!AL280:BE280),""))</f>
        <v>6.6479609958607508E-2</v>
      </c>
      <c r="AJ280" s="503">
        <f>IF(終値!A280="","",IFERROR(4*STDEVP(終値!AM280:BF280)/AVERAGE(終値!AM280:BF280),""))</f>
        <v>6.827812973818638E-2</v>
      </c>
      <c r="AK280" s="503">
        <f>IF(終値!A280="","",IFERROR(4*STDEVP(終値!AN280:BG280)/AVERAGE(終値!AN280:BG280),""))</f>
        <v>7.0279846170367505E-2</v>
      </c>
      <c r="AL280" s="503">
        <f>IF(終値!A280="","",IFERROR(4*STDEVP(終値!AO280:BH280)/AVERAGE(終値!AO280:BH280),""))</f>
        <v>7.7898772596771124E-2</v>
      </c>
      <c r="AM280" s="503">
        <f>IF(終値!A280="","",IFERROR(4*STDEVP(終値!AP280:BI280)/AVERAGE(終値!AP280:BI280),""))</f>
        <v>7.5698638783893657E-2</v>
      </c>
      <c r="AN280" s="503">
        <f>IF(終値!A280="","",IFERROR(4*STDEVP(終値!AQ280:BJ280)/AVERAGE(終値!AQ280:BJ280),""))</f>
        <v>7.122874483327804E-2</v>
      </c>
      <c r="AO280" s="503">
        <f>IF(終値!A280="","",IFERROR(4*STDEVP(終値!AR280:BK280)/AVERAGE(終値!AR280:BK280),""))</f>
        <v>6.6440711901623664E-2</v>
      </c>
      <c r="AP280" s="503">
        <f>IF(終値!A280="","",IFERROR(4*STDEVP(終値!AS280:BL280)/AVERAGE(終値!AS280:BL280),""))</f>
        <v>6.331776793852012E-2</v>
      </c>
    </row>
    <row r="281" spans="1:42">
      <c r="A281" s="500" t="str">
        <f>IF(終値!A281="","",終値!A281)</f>
        <v>8007</v>
      </c>
      <c r="B281" s="503">
        <f>IF(終値!A281="","",IFERROR(4*STDEVP(終値!E281:X281)/AVERAGE(終値!E281:X281),""))</f>
        <v>6.5148095049501378E-2</v>
      </c>
      <c r="C281" s="503">
        <f>IF(終値!A281="","",IFERROR(4*STDEVP(終値!F281:Y281)/AVERAGE(終値!F281:Y281),""))</f>
        <v>6.9170418228117175E-2</v>
      </c>
      <c r="D281" s="503">
        <f>IF(終値!A281="","",IFERROR(4*STDEVP(終値!G281:Z281)/AVERAGE(終値!G281:Z281),""))</f>
        <v>7.2392113082226331E-2</v>
      </c>
      <c r="E281" s="503">
        <f>IF(終値!A281="","",IFERROR(4*STDEVP(終値!H281:AA281)/AVERAGE(終値!H281:AA281),""))</f>
        <v>7.7754719507530462E-2</v>
      </c>
      <c r="F281" s="503">
        <f>IF(終値!A281="","",IFERROR(4*STDEVP(終値!I281:AB281)/AVERAGE(終値!I281:AB281),""))</f>
        <v>8.5447173761048517E-2</v>
      </c>
      <c r="G281" s="503">
        <f>IF(終値!A281="","",IFERROR(4*STDEVP(終値!J281:AC281)/AVERAGE(終値!J281:AC281),""))</f>
        <v>8.7292996535088527E-2</v>
      </c>
      <c r="H281" s="503">
        <f>IF(終値!A281="","",IFERROR(4*STDEVP(終値!K281:AD281)/AVERAGE(終値!K281:AD281),""))</f>
        <v>8.1934345734034644E-2</v>
      </c>
      <c r="I281" s="503">
        <f>IF(終値!A281="","",IFERROR(4*STDEVP(終値!L281:AE281)/AVERAGE(終値!L281:AE281),""))</f>
        <v>7.7861409166225762E-2</v>
      </c>
      <c r="J281" s="503">
        <f>IF(終値!A281="","",IFERROR(4*STDEVP(終値!M281:AF281)/AVERAGE(終値!M281:AF281),""))</f>
        <v>7.7067970586635379E-2</v>
      </c>
      <c r="K281" s="503">
        <f>IF(終値!A281="","",IFERROR(4*STDEVP(終値!N281:AG281)/AVERAGE(終値!N281:AG281),""))</f>
        <v>7.6875151292357918E-2</v>
      </c>
      <c r="L281" s="503">
        <f>IF(終値!A281="","",IFERROR(4*STDEVP(終値!O281:AH281)/AVERAGE(終値!O281:AH281),""))</f>
        <v>7.9626556656222147E-2</v>
      </c>
      <c r="M281" s="503">
        <f>IF(終値!A281="","",IFERROR(4*STDEVP(終値!P281:AI281)/AVERAGE(終値!P281:AI281),""))</f>
        <v>8.0345391581540762E-2</v>
      </c>
      <c r="N281" s="503">
        <f>IF(終値!A281="","",IFERROR(4*STDEVP(終値!Q281:AJ281)/AVERAGE(終値!Q281:AJ281),""))</f>
        <v>7.7375324644389773E-2</v>
      </c>
      <c r="O281" s="503">
        <f>IF(終値!A281="","",IFERROR(4*STDEVP(終値!R281:AK281)/AVERAGE(終値!R281:AK281),""))</f>
        <v>7.8065291480545237E-2</v>
      </c>
      <c r="P281" s="503">
        <f>IF(終値!A281="","",IFERROR(4*STDEVP(終値!S281:AL281)/AVERAGE(終値!S281:AL281),""))</f>
        <v>7.7798821873760304E-2</v>
      </c>
      <c r="Q281" s="503">
        <f>IF(終値!A281="","",IFERROR(4*STDEVP(終値!T281:AM281)/AVERAGE(終値!T281:AM281),""))</f>
        <v>7.067376119695476E-2</v>
      </c>
      <c r="R281" s="503">
        <f>IF(終値!A281="","",IFERROR(4*STDEVP(終値!U281:AN281)/AVERAGE(終値!U281:AN281),""))</f>
        <v>6.6450194761165773E-2</v>
      </c>
      <c r="S281" s="503">
        <f>IF(終値!A281="","",IFERROR(4*STDEVP(終値!V281:AO281)/AVERAGE(終値!V281:AO281),""))</f>
        <v>6.2933838460992986E-2</v>
      </c>
      <c r="T281" s="503">
        <f>IF(終値!A281="","",IFERROR(4*STDEVP(終値!W281:AP281)/AVERAGE(終値!W281:AP281),""))</f>
        <v>5.890751168501869E-2</v>
      </c>
      <c r="U281" s="503">
        <f>IF(終値!A281="","",IFERROR(4*STDEVP(終値!X281:AQ281)/AVERAGE(終値!X281:AQ281),""))</f>
        <v>5.8659666760845858E-2</v>
      </c>
      <c r="V281" s="503">
        <f>IF(終値!A281="","",IFERROR(4*STDEVP(終値!Y281:AR281)/AVERAGE(終値!Y281:AR281),""))</f>
        <v>5.6216516593052837E-2</v>
      </c>
      <c r="W281" s="503">
        <f>IF(終値!A281="","",IFERROR(4*STDEVP(終値!Z281:AS281)/AVERAGE(終値!Z281:AS281),""))</f>
        <v>5.2767207318040993E-2</v>
      </c>
      <c r="X281" s="503">
        <f>IF(終値!A281="","",IFERROR(4*STDEVP(終値!AA281:AT281)/AVERAGE(終値!AA281:AT281),""))</f>
        <v>4.8264332472199745E-2</v>
      </c>
      <c r="Y281" s="503">
        <f>IF(終値!A281="","",IFERROR(4*STDEVP(終値!AB281:AU281)/AVERAGE(終値!AB281:AU281),""))</f>
        <v>4.8971559777244676E-2</v>
      </c>
      <c r="Z281" s="503">
        <f>IF(終値!A281="","",IFERROR(4*STDEVP(終値!AC281:AV281)/AVERAGE(終値!AC281:AV281),""))</f>
        <v>5.0851051780087302E-2</v>
      </c>
      <c r="AA281" s="503">
        <f>IF(終値!A281="","",IFERROR(4*STDEVP(終値!AD281:AW281)/AVERAGE(終値!AD281:AW281),""))</f>
        <v>5.4741869165713213E-2</v>
      </c>
      <c r="AB281" s="503">
        <f>IF(終値!A281="","",IFERROR(4*STDEVP(終値!AE281:AX281)/AVERAGE(終値!AE281:AX281),""))</f>
        <v>5.5314662035869884E-2</v>
      </c>
      <c r="AC281" s="503">
        <f>IF(終値!A281="","",IFERROR(4*STDEVP(終値!AF281:AY281)/AVERAGE(終値!AF281:AY281),""))</f>
        <v>5.7447320390209104E-2</v>
      </c>
      <c r="AD281" s="503">
        <f>IF(終値!A281="","",IFERROR(4*STDEVP(終値!AG281:AZ281)/AVERAGE(終値!AG281:AZ281),""))</f>
        <v>5.784582947883362E-2</v>
      </c>
      <c r="AE281" s="503">
        <f>IF(終値!A281="","",IFERROR(4*STDEVP(終値!AH281:BA281)/AVERAGE(終値!AH281:BA281),""))</f>
        <v>5.784582947883362E-2</v>
      </c>
      <c r="AF281" s="503">
        <f>IF(終値!A281="","",IFERROR(4*STDEVP(終値!AI281:BB281)/AVERAGE(終値!AI281:BB281),""))</f>
        <v>5.8584684854856503E-2</v>
      </c>
      <c r="AG281" s="503">
        <f>IF(終値!A281="","",IFERROR(4*STDEVP(終値!AJ281:BC281)/AVERAGE(終値!AJ281:BC281),""))</f>
        <v>5.8259112939826142E-2</v>
      </c>
      <c r="AH281" s="503">
        <f>IF(終値!A281="","",IFERROR(4*STDEVP(終値!AK281:BD281)/AVERAGE(終値!AK281:BD281),""))</f>
        <v>6.0915135131413119E-2</v>
      </c>
      <c r="AI281" s="503">
        <f>IF(終値!A281="","",IFERROR(4*STDEVP(終値!AL281:BE281)/AVERAGE(終値!AL281:BE281),""))</f>
        <v>6.0876058302044816E-2</v>
      </c>
      <c r="AJ281" s="503">
        <f>IF(終値!A281="","",IFERROR(4*STDEVP(終値!AM281:BF281)/AVERAGE(終値!AM281:BF281),""))</f>
        <v>6.2063748911644491E-2</v>
      </c>
      <c r="AK281" s="503">
        <f>IF(終値!A281="","",IFERROR(4*STDEVP(終値!AN281:BG281)/AVERAGE(終値!AN281:BG281),""))</f>
        <v>6.6333506477924284E-2</v>
      </c>
      <c r="AL281" s="503">
        <f>IF(終値!A281="","",IFERROR(4*STDEVP(終値!AO281:BH281)/AVERAGE(終値!AO281:BH281),""))</f>
        <v>7.4383994391404723E-2</v>
      </c>
      <c r="AM281" s="503">
        <f>IF(終値!A281="","",IFERROR(4*STDEVP(終値!AP281:BI281)/AVERAGE(終値!AP281:BI281),""))</f>
        <v>9.6775715690275488E-2</v>
      </c>
      <c r="AN281" s="503">
        <f>IF(終値!A281="","",IFERROR(4*STDEVP(終値!AQ281:BJ281)/AVERAGE(終値!AQ281:BJ281),""))</f>
        <v>0.10134789300155599</v>
      </c>
      <c r="AO281" s="503">
        <f>IF(終値!A281="","",IFERROR(4*STDEVP(終値!AR281:BK281)/AVERAGE(終値!AR281:BK281),""))</f>
        <v>0.10508200559182106</v>
      </c>
      <c r="AP281" s="503">
        <f>IF(終値!A281="","",IFERROR(4*STDEVP(終値!AS281:BL281)/AVERAGE(終値!AS281:BL281),""))</f>
        <v>0.11327542799686466</v>
      </c>
    </row>
    <row r="282" spans="1:42">
      <c r="A282" s="500" t="str">
        <f>IF(終値!A282="","",終値!A282)</f>
        <v>4218</v>
      </c>
      <c r="B282" s="503">
        <f>IF(終値!A282="","",IFERROR(4*STDEVP(終値!E282:X282)/AVERAGE(終値!E282:X282),""))</f>
        <v>4.5843483559108847E-2</v>
      </c>
      <c r="C282" s="503">
        <f>IF(終値!A282="","",IFERROR(4*STDEVP(終値!F282:Y282)/AVERAGE(終値!F282:Y282),""))</f>
        <v>4.397799378890152E-2</v>
      </c>
      <c r="D282" s="503">
        <f>IF(終値!A282="","",IFERROR(4*STDEVP(終値!G282:Z282)/AVERAGE(終値!G282:Z282),""))</f>
        <v>4.640347253110693E-2</v>
      </c>
      <c r="E282" s="503">
        <f>IF(終値!A282="","",IFERROR(4*STDEVP(終値!H282:AA282)/AVERAGE(終値!H282:AA282),""))</f>
        <v>4.6940501696232734E-2</v>
      </c>
      <c r="F282" s="503">
        <f>IF(終値!A282="","",IFERROR(4*STDEVP(終値!I282:AB282)/AVERAGE(終値!I282:AB282),""))</f>
        <v>4.8005213373809037E-2</v>
      </c>
      <c r="G282" s="503">
        <f>IF(終値!A282="","",IFERROR(4*STDEVP(終値!J282:AC282)/AVERAGE(終値!J282:AC282),""))</f>
        <v>4.9592602391497889E-2</v>
      </c>
      <c r="H282" s="503">
        <f>IF(終値!A282="","",IFERROR(4*STDEVP(終値!K282:AD282)/AVERAGE(終値!K282:AD282),""))</f>
        <v>4.7583288930302142E-2</v>
      </c>
      <c r="I282" s="503">
        <f>IF(終値!A282="","",IFERROR(4*STDEVP(終値!L282:AE282)/AVERAGE(終値!L282:AE282),""))</f>
        <v>3.6574278232113865E-2</v>
      </c>
      <c r="J282" s="503">
        <f>IF(終値!A282="","",IFERROR(4*STDEVP(終値!M282:AF282)/AVERAGE(終値!M282:AF282),""))</f>
        <v>3.6225207288216404E-2</v>
      </c>
      <c r="K282" s="503">
        <f>IF(終値!A282="","",IFERROR(4*STDEVP(終値!N282:AG282)/AVERAGE(終値!N282:AG282),""))</f>
        <v>4.067625714634597E-2</v>
      </c>
      <c r="L282" s="503">
        <f>IF(終値!A282="","",IFERROR(4*STDEVP(終値!O282:AH282)/AVERAGE(終値!O282:AH282),""))</f>
        <v>4.7080288618598254E-2</v>
      </c>
      <c r="M282" s="503">
        <f>IF(終値!A282="","",IFERROR(4*STDEVP(終値!P282:AI282)/AVERAGE(終値!P282:AI282),""))</f>
        <v>5.2231823522300241E-2</v>
      </c>
      <c r="N282" s="503">
        <f>IF(終値!A282="","",IFERROR(4*STDEVP(終値!Q282:AJ282)/AVERAGE(終値!Q282:AJ282),""))</f>
        <v>5.8624650596597674E-2</v>
      </c>
      <c r="O282" s="503">
        <f>IF(終値!A282="","",IFERROR(4*STDEVP(終値!R282:AK282)/AVERAGE(終値!R282:AK282),""))</f>
        <v>6.2962287105397197E-2</v>
      </c>
      <c r="P282" s="503">
        <f>IF(終値!A282="","",IFERROR(4*STDEVP(終値!S282:AL282)/AVERAGE(終値!S282:AL282),""))</f>
        <v>5.9809031584648231E-2</v>
      </c>
      <c r="Q282" s="503">
        <f>IF(終値!A282="","",IFERROR(4*STDEVP(終値!T282:AM282)/AVERAGE(終値!T282:AM282),""))</f>
        <v>6.0845451990849016E-2</v>
      </c>
      <c r="R282" s="503">
        <f>IF(終値!A282="","",IFERROR(4*STDEVP(終値!U282:AN282)/AVERAGE(終値!U282:AN282),""))</f>
        <v>6.0601329349507869E-2</v>
      </c>
      <c r="S282" s="503">
        <f>IF(終値!A282="","",IFERROR(4*STDEVP(終値!V282:AO282)/AVERAGE(終値!V282:AO282),""))</f>
        <v>6.0982040414925928E-2</v>
      </c>
      <c r="T282" s="503">
        <f>IF(終値!A282="","",IFERROR(4*STDEVP(終値!W282:AP282)/AVERAGE(終値!W282:AP282),""))</f>
        <v>6.0887733351683196E-2</v>
      </c>
      <c r="U282" s="503">
        <f>IF(終値!A282="","",IFERROR(4*STDEVP(終値!X282:AQ282)/AVERAGE(終値!X282:AQ282),""))</f>
        <v>5.8918527604650543E-2</v>
      </c>
      <c r="V282" s="503">
        <f>IF(終値!A282="","",IFERROR(4*STDEVP(終値!Y282:AR282)/AVERAGE(終値!Y282:AR282),""))</f>
        <v>5.5323524874140273E-2</v>
      </c>
      <c r="W282" s="503">
        <f>IF(終値!A282="","",IFERROR(4*STDEVP(終値!Z282:AS282)/AVERAGE(終値!Z282:AS282),""))</f>
        <v>5.6624428344457564E-2</v>
      </c>
      <c r="X282" s="503">
        <f>IF(終値!A282="","",IFERROR(4*STDEVP(終値!AA282:AT282)/AVERAGE(終値!AA282:AT282),""))</f>
        <v>5.8095750211124744E-2</v>
      </c>
      <c r="Y282" s="503">
        <f>IF(終値!A282="","",IFERROR(4*STDEVP(終値!AB282:AU282)/AVERAGE(終値!AB282:AU282),""))</f>
        <v>5.8869538273696023E-2</v>
      </c>
      <c r="Z282" s="503">
        <f>IF(終値!A282="","",IFERROR(4*STDEVP(終値!AC282:AV282)/AVERAGE(終値!AC282:AV282),""))</f>
        <v>5.4324489191657763E-2</v>
      </c>
      <c r="AA282" s="503">
        <f>IF(終値!A282="","",IFERROR(4*STDEVP(終値!AD282:AW282)/AVERAGE(終値!AD282:AW282),""))</f>
        <v>5.5426445551530666E-2</v>
      </c>
      <c r="AB282" s="503">
        <f>IF(終値!A282="","",IFERROR(4*STDEVP(終値!AE282:AX282)/AVERAGE(終値!AE282:AX282),""))</f>
        <v>5.208431859044417E-2</v>
      </c>
      <c r="AC282" s="503">
        <f>IF(終値!A282="","",IFERROR(4*STDEVP(終値!AF282:AY282)/AVERAGE(終値!AF282:AY282),""))</f>
        <v>4.2897278406121536E-2</v>
      </c>
      <c r="AD282" s="503">
        <f>IF(終値!A282="","",IFERROR(4*STDEVP(終値!AG282:AZ282)/AVERAGE(終値!AG282:AZ282),""))</f>
        <v>4.2100980238701242E-2</v>
      </c>
      <c r="AE282" s="503">
        <f>IF(終値!A282="","",IFERROR(4*STDEVP(終値!AH282:BA282)/AVERAGE(終値!AH282:BA282),""))</f>
        <v>4.4681092102649693E-2</v>
      </c>
      <c r="AF282" s="503">
        <f>IF(終値!A282="","",IFERROR(4*STDEVP(終値!AI282:BB282)/AVERAGE(終値!AI282:BB282),""))</f>
        <v>4.7963227192524376E-2</v>
      </c>
      <c r="AG282" s="503">
        <f>IF(終値!A282="","",IFERROR(4*STDEVP(終値!AJ282:BC282)/AVERAGE(終値!AJ282:BC282),""))</f>
        <v>4.9493884393835084E-2</v>
      </c>
      <c r="AH282" s="503">
        <f>IF(終値!A282="","",IFERROR(4*STDEVP(終値!AK282:BD282)/AVERAGE(終値!AK282:BD282),""))</f>
        <v>5.1487900307145944E-2</v>
      </c>
      <c r="AI282" s="503">
        <f>IF(終値!A282="","",IFERROR(4*STDEVP(終値!AL282:BE282)/AVERAGE(終値!AL282:BE282),""))</f>
        <v>5.5756186018808829E-2</v>
      </c>
      <c r="AJ282" s="503">
        <f>IF(終値!A282="","",IFERROR(4*STDEVP(終値!AM282:BF282)/AVERAGE(終値!AM282:BF282),""))</f>
        <v>5.7279008515438171E-2</v>
      </c>
      <c r="AK282" s="503">
        <f>IF(終値!A282="","",IFERROR(4*STDEVP(終値!AN282:BG282)/AVERAGE(終値!AN282:BG282),""))</f>
        <v>6.4756405393567001E-2</v>
      </c>
      <c r="AL282" s="503">
        <f>IF(終値!A282="","",IFERROR(4*STDEVP(終値!AO282:BH282)/AVERAGE(終値!AO282:BH282),""))</f>
        <v>6.9759175885747857E-2</v>
      </c>
      <c r="AM282" s="503">
        <f>IF(終値!A282="","",IFERROR(4*STDEVP(終値!AP282:BI282)/AVERAGE(終値!AP282:BI282),""))</f>
        <v>6.9765623744721755E-2</v>
      </c>
      <c r="AN282" s="503">
        <f>IF(終値!A282="","",IFERROR(4*STDEVP(終値!AQ282:BJ282)/AVERAGE(終値!AQ282:BJ282),""))</f>
        <v>7.0031521748662173E-2</v>
      </c>
      <c r="AO282" s="503">
        <f>IF(終値!A282="","",IFERROR(4*STDEVP(終値!AR282:BK282)/AVERAGE(終値!AR282:BK282),""))</f>
        <v>7.0792920612375687E-2</v>
      </c>
      <c r="AP282" s="503">
        <f>IF(終値!A282="","",IFERROR(4*STDEVP(終値!AS282:BL282)/AVERAGE(終値!AS282:BL282),""))</f>
        <v>7.0353550323351652E-2</v>
      </c>
    </row>
    <row r="283" spans="1:42">
      <c r="A283" s="500" t="str">
        <f>IF(終値!A283="","",終値!A283)</f>
        <v>7735</v>
      </c>
      <c r="B283" s="503">
        <f>IF(終値!A283="","",IFERROR(4*STDEVP(終値!E283:X283)/AVERAGE(終値!E283:X283),""))</f>
        <v>0.58661128090307768</v>
      </c>
      <c r="C283" s="503">
        <f>IF(終値!A283="","",IFERROR(4*STDEVP(終値!F283:Y283)/AVERAGE(終値!F283:Y283),""))</f>
        <v>0.57715200882453355</v>
      </c>
      <c r="D283" s="503">
        <f>IF(終値!A283="","",IFERROR(4*STDEVP(終値!G283:Z283)/AVERAGE(終値!G283:Z283),""))</f>
        <v>0.5703845496861355</v>
      </c>
      <c r="E283" s="503">
        <f>IF(終値!A283="","",IFERROR(4*STDEVP(終値!H283:AA283)/AVERAGE(終値!H283:AA283),""))</f>
        <v>0.56047727132983438</v>
      </c>
      <c r="F283" s="503">
        <f>IF(終値!A283="","",IFERROR(4*STDEVP(終値!I283:AB283)/AVERAGE(終値!I283:AB283),""))</f>
        <v>0.5165780371006905</v>
      </c>
      <c r="G283" s="503">
        <f>IF(終値!A283="","",IFERROR(4*STDEVP(終値!J283:AC283)/AVERAGE(終値!J283:AC283),""))</f>
        <v>0.48419269798234887</v>
      </c>
      <c r="H283" s="503">
        <f>IF(終値!A283="","",IFERROR(4*STDEVP(終値!K283:AD283)/AVERAGE(終値!K283:AD283),""))</f>
        <v>0.40224634335751103</v>
      </c>
      <c r="I283" s="503">
        <f>IF(終値!A283="","",IFERROR(4*STDEVP(終値!L283:AE283)/AVERAGE(終値!L283:AE283),""))</f>
        <v>0.27959976309250234</v>
      </c>
      <c r="J283" s="503">
        <f>IF(終値!A283="","",IFERROR(4*STDEVP(終値!M283:AF283)/AVERAGE(終値!M283:AF283),""))</f>
        <v>0.2282174089036203</v>
      </c>
      <c r="K283" s="503">
        <f>IF(終値!A283="","",IFERROR(4*STDEVP(終値!N283:AG283)/AVERAGE(終値!N283:AG283),""))</f>
        <v>0.2124902442057314</v>
      </c>
      <c r="L283" s="503">
        <f>IF(終値!A283="","",IFERROR(4*STDEVP(終値!O283:AH283)/AVERAGE(終値!O283:AH283),""))</f>
        <v>0.20699497692352456</v>
      </c>
      <c r="M283" s="503">
        <f>IF(終値!A283="","",IFERROR(4*STDEVP(終値!P283:AI283)/AVERAGE(終値!P283:AI283),""))</f>
        <v>0.21420434804820015</v>
      </c>
      <c r="N283" s="503">
        <f>IF(終値!A283="","",IFERROR(4*STDEVP(終値!Q283:AJ283)/AVERAGE(終値!Q283:AJ283),""))</f>
        <v>0.20911352511701389</v>
      </c>
      <c r="O283" s="503">
        <f>IF(終値!A283="","",IFERROR(4*STDEVP(終値!R283:AK283)/AVERAGE(終値!R283:AK283),""))</f>
        <v>0.21117916184522006</v>
      </c>
      <c r="P283" s="503">
        <f>IF(終値!A283="","",IFERROR(4*STDEVP(終値!S283:AL283)/AVERAGE(終値!S283:AL283),""))</f>
        <v>0.21232716914850799</v>
      </c>
      <c r="Q283" s="503">
        <f>IF(終値!A283="","",IFERROR(4*STDEVP(終値!T283:AM283)/AVERAGE(終値!T283:AM283),""))</f>
        <v>0.22748944563348539</v>
      </c>
      <c r="R283" s="503">
        <f>IF(終値!A283="","",IFERROR(4*STDEVP(終値!U283:AN283)/AVERAGE(終値!U283:AN283),""))</f>
        <v>0.25420468964559317</v>
      </c>
      <c r="S283" s="503">
        <f>IF(終値!A283="","",IFERROR(4*STDEVP(終値!V283:AO283)/AVERAGE(終値!V283:AO283),""))</f>
        <v>0.27998771503624309</v>
      </c>
      <c r="T283" s="503">
        <f>IF(終値!A283="","",IFERROR(4*STDEVP(終値!W283:AP283)/AVERAGE(終値!W283:AP283),""))</f>
        <v>0.31810974667264097</v>
      </c>
      <c r="U283" s="503">
        <f>IF(終値!A283="","",IFERROR(4*STDEVP(終値!X283:AQ283)/AVERAGE(終値!X283:AQ283),""))</f>
        <v>0.37541948107494338</v>
      </c>
      <c r="V283" s="503">
        <f>IF(終値!A283="","",IFERROR(4*STDEVP(終値!Y283:AR283)/AVERAGE(終値!Y283:AR283),""))</f>
        <v>0.4247120749853453</v>
      </c>
      <c r="W283" s="503">
        <f>IF(終値!A283="","",IFERROR(4*STDEVP(終値!Z283:AS283)/AVERAGE(終値!Z283:AS283),""))</f>
        <v>0.49633056202407105</v>
      </c>
      <c r="X283" s="503">
        <f>IF(終値!A283="","",IFERROR(4*STDEVP(終値!AA283:AT283)/AVERAGE(終値!AA283:AT283),""))</f>
        <v>0.52843135536227215</v>
      </c>
      <c r="Y283" s="503">
        <f>IF(終値!A283="","",IFERROR(4*STDEVP(終値!AB283:AU283)/AVERAGE(終値!AB283:AU283),""))</f>
        <v>0.52164291529177287</v>
      </c>
      <c r="Z283" s="503">
        <f>IF(終値!A283="","",IFERROR(4*STDEVP(終値!AC283:AV283)/AVERAGE(終値!AC283:AV283),""))</f>
        <v>0.52246249176170545</v>
      </c>
      <c r="AA283" s="503">
        <f>IF(終値!A283="","",IFERROR(4*STDEVP(終値!AD283:AW283)/AVERAGE(終値!AD283:AW283),""))</f>
        <v>0.52231928758681567</v>
      </c>
      <c r="AB283" s="503">
        <f>IF(終値!A283="","",IFERROR(4*STDEVP(終値!AE283:AX283)/AVERAGE(終値!AE283:AX283),""))</f>
        <v>0.5485245921072901</v>
      </c>
      <c r="AC283" s="503">
        <f>IF(終値!A283="","",IFERROR(4*STDEVP(終値!AF283:AY283)/AVERAGE(終値!AF283:AY283),""))</f>
        <v>0.58156663998681379</v>
      </c>
      <c r="AD283" s="503">
        <f>IF(終値!A283="","",IFERROR(4*STDEVP(終値!AG283:AZ283)/AVERAGE(終値!AG283:AZ283),""))</f>
        <v>0.60358170464665917</v>
      </c>
      <c r="AE283" s="503">
        <f>IF(終値!A283="","",IFERROR(4*STDEVP(終値!AH283:BA283)/AVERAGE(終値!AH283:BA283),""))</f>
        <v>0.59760996568592328</v>
      </c>
      <c r="AF283" s="503">
        <f>IF(終値!A283="","",IFERROR(4*STDEVP(終値!AI283:BB283)/AVERAGE(終値!AI283:BB283),""))</f>
        <v>0.61492537266403158</v>
      </c>
      <c r="AG283" s="503">
        <f>IF(終値!A283="","",IFERROR(4*STDEVP(終値!AJ283:BC283)/AVERAGE(終値!AJ283:BC283),""))</f>
        <v>0.62266737708326869</v>
      </c>
      <c r="AH283" s="503">
        <f>IF(終値!A283="","",IFERROR(4*STDEVP(終値!AK283:BD283)/AVERAGE(終値!AK283:BD283),""))</f>
        <v>0.60005884513366436</v>
      </c>
      <c r="AI283" s="503">
        <f>IF(終値!A283="","",IFERROR(4*STDEVP(終値!AL283:BE283)/AVERAGE(終値!AL283:BE283),""))</f>
        <v>0.5651049680248873</v>
      </c>
      <c r="AJ283" s="503">
        <f>IF(終値!A283="","",IFERROR(4*STDEVP(終値!AM283:BF283)/AVERAGE(終値!AM283:BF283),""))</f>
        <v>0.51044399429968124</v>
      </c>
      <c r="AK283" s="503">
        <f>IF(終値!A283="","",IFERROR(4*STDEVP(終値!AN283:BG283)/AVERAGE(終値!AN283:BG283),""))</f>
        <v>0.4675496341057504</v>
      </c>
      <c r="AL283" s="503">
        <f>IF(終値!A283="","",IFERROR(4*STDEVP(終値!AO283:BH283)/AVERAGE(終値!AO283:BH283),""))</f>
        <v>0.41765154162904555</v>
      </c>
      <c r="AM283" s="503">
        <f>IF(終値!A283="","",IFERROR(4*STDEVP(終値!AP283:BI283)/AVERAGE(終値!AP283:BI283),""))</f>
        <v>0.35968615484775757</v>
      </c>
      <c r="AN283" s="503">
        <f>IF(終値!A283="","",IFERROR(4*STDEVP(終値!AQ283:BJ283)/AVERAGE(終値!AQ283:BJ283),""))</f>
        <v>0.32002236338544504</v>
      </c>
      <c r="AO283" s="503">
        <f>IF(終値!A283="","",IFERROR(4*STDEVP(終値!AR283:BK283)/AVERAGE(終値!AR283:BK283),""))</f>
        <v>0.30358264295182119</v>
      </c>
      <c r="AP283" s="503">
        <f>IF(終値!A283="","",IFERROR(4*STDEVP(終値!AS283:BL283)/AVERAGE(終値!AS283:BL283),""))</f>
        <v>0.28341358858966409</v>
      </c>
    </row>
    <row r="284" spans="1:42">
      <c r="A284" s="500" t="str">
        <f>IF(終値!A284="","",終値!A284)</f>
        <v>3905</v>
      </c>
      <c r="B284" s="503">
        <f>IF(終値!A284="","",IFERROR(4*STDEVP(終値!E284:X284)/AVERAGE(終値!E284:X284),""))</f>
        <v>0.57475455149406551</v>
      </c>
      <c r="C284" s="503">
        <f>IF(終値!A284="","",IFERROR(4*STDEVP(終値!F284:Y284)/AVERAGE(終値!F284:Y284),""))</f>
        <v>0.54647168666439794</v>
      </c>
      <c r="D284" s="503">
        <f>IF(終値!A284="","",IFERROR(4*STDEVP(終値!G284:Z284)/AVERAGE(終値!G284:Z284),""))</f>
        <v>0.56439485975230674</v>
      </c>
      <c r="E284" s="503">
        <f>IF(終値!A284="","",IFERROR(4*STDEVP(終値!H284:AA284)/AVERAGE(終値!H284:AA284),""))</f>
        <v>0.58285003796424095</v>
      </c>
      <c r="F284" s="503">
        <f>IF(終値!A284="","",IFERROR(4*STDEVP(終値!I284:AB284)/AVERAGE(終値!I284:AB284),""))</f>
        <v>0.58806112693991086</v>
      </c>
      <c r="G284" s="503">
        <f>IF(終値!A284="","",IFERROR(4*STDEVP(終値!J284:AC284)/AVERAGE(終値!J284:AC284),""))</f>
        <v>0.61136711998461246</v>
      </c>
      <c r="H284" s="503">
        <f>IF(終値!A284="","",IFERROR(4*STDEVP(終値!K284:AD284)/AVERAGE(終値!K284:AD284),""))</f>
        <v>0.5861938686124093</v>
      </c>
      <c r="I284" s="503">
        <f>IF(終値!A284="","",IFERROR(4*STDEVP(終値!L284:AE284)/AVERAGE(終値!L284:AE284),""))</f>
        <v>0.56441086164617082</v>
      </c>
      <c r="J284" s="503">
        <f>IF(終値!A284="","",IFERROR(4*STDEVP(終値!M284:AF284)/AVERAGE(終値!M284:AF284),""))</f>
        <v>0.63241621288095173</v>
      </c>
      <c r="K284" s="503">
        <f>IF(終値!A284="","",IFERROR(4*STDEVP(終値!N284:AG284)/AVERAGE(終値!N284:AG284),""))</f>
        <v>0.79441619325673185</v>
      </c>
      <c r="L284" s="503">
        <f>IF(終値!A284="","",IFERROR(4*STDEVP(終値!O284:AH284)/AVERAGE(終値!O284:AH284),""))</f>
        <v>0.85119990048343797</v>
      </c>
      <c r="M284" s="503">
        <f>IF(終値!A284="","",IFERROR(4*STDEVP(終値!P284:AI284)/AVERAGE(終値!P284:AI284),""))</f>
        <v>0.8717748737123876</v>
      </c>
      <c r="N284" s="503">
        <f>IF(終値!A284="","",IFERROR(4*STDEVP(終値!Q284:AJ284)/AVERAGE(終値!Q284:AJ284),""))</f>
        <v>0.91829488143926008</v>
      </c>
      <c r="O284" s="503">
        <f>IF(終値!A284="","",IFERROR(4*STDEVP(終値!R284:AK284)/AVERAGE(終値!R284:AK284),""))</f>
        <v>0.96286622820175249</v>
      </c>
      <c r="P284" s="503">
        <f>IF(終値!A284="","",IFERROR(4*STDEVP(終値!S284:AL284)/AVERAGE(終値!S284:AL284),""))</f>
        <v>0.96388378720591494</v>
      </c>
      <c r="Q284" s="503">
        <f>IF(終値!A284="","",IFERROR(4*STDEVP(終値!T284:AM284)/AVERAGE(終値!T284:AM284),""))</f>
        <v>0.96644655026065873</v>
      </c>
      <c r="R284" s="503">
        <f>IF(終値!A284="","",IFERROR(4*STDEVP(終値!U284:AN284)/AVERAGE(終値!U284:AN284),""))</f>
        <v>0.96340307480198073</v>
      </c>
      <c r="S284" s="503">
        <f>IF(終値!A284="","",IFERROR(4*STDEVP(終値!V284:AO284)/AVERAGE(終値!V284:AO284),""))</f>
        <v>0.92947684135481801</v>
      </c>
      <c r="T284" s="503">
        <f>IF(終値!A284="","",IFERROR(4*STDEVP(終値!W284:AP284)/AVERAGE(終値!W284:AP284),""))</f>
        <v>0.88236064444747409</v>
      </c>
      <c r="U284" s="503">
        <f>IF(終値!A284="","",IFERROR(4*STDEVP(終値!X284:AQ284)/AVERAGE(終値!X284:AQ284),""))</f>
        <v>0.83065682890644499</v>
      </c>
      <c r="V284" s="503">
        <f>IF(終値!A284="","",IFERROR(4*STDEVP(終値!Y284:AR284)/AVERAGE(終値!Y284:AR284),""))</f>
        <v>0.7559511975273242</v>
      </c>
      <c r="W284" s="503">
        <f>IF(終値!A284="","",IFERROR(4*STDEVP(終値!Z284:AS284)/AVERAGE(終値!Z284:AS284),""))</f>
        <v>0.6851639629839793</v>
      </c>
      <c r="X284" s="503">
        <f>IF(終値!A284="","",IFERROR(4*STDEVP(終値!AA284:AT284)/AVERAGE(終値!AA284:AT284),""))</f>
        <v>0.61942262930969905</v>
      </c>
      <c r="Y284" s="503">
        <f>IF(終値!A284="","",IFERROR(4*STDEVP(終値!AB284:AU284)/AVERAGE(終値!AB284:AU284),""))</f>
        <v>0.59271943499616708</v>
      </c>
      <c r="Z284" s="503">
        <f>IF(終値!A284="","",IFERROR(4*STDEVP(終値!AC284:AV284)/AVERAGE(終値!AC284:AV284),""))</f>
        <v>0.51221068251268187</v>
      </c>
      <c r="AA284" s="503">
        <f>IF(終値!A284="","",IFERROR(4*STDEVP(終値!AD284:AW284)/AVERAGE(終値!AD284:AW284),""))</f>
        <v>0.45166416242568203</v>
      </c>
      <c r="AB284" s="503">
        <f>IF(終値!A284="","",IFERROR(4*STDEVP(終値!AE284:AX284)/AVERAGE(終値!AE284:AX284),""))</f>
        <v>0.44843947445495885</v>
      </c>
      <c r="AC284" s="503">
        <f>IF(終値!A284="","",IFERROR(4*STDEVP(終値!AF284:AY284)/AVERAGE(終値!AF284:AY284),""))</f>
        <v>0.37923310266411397</v>
      </c>
      <c r="AD284" s="503">
        <f>IF(終値!A284="","",IFERROR(4*STDEVP(終値!AG284:AZ284)/AVERAGE(終値!AG284:AZ284),""))</f>
        <v>0.36459052201422099</v>
      </c>
      <c r="AE284" s="503">
        <f>IF(終値!A284="","",IFERROR(4*STDEVP(終値!AH284:BA284)/AVERAGE(終値!AH284:BA284),""))</f>
        <v>0.37365640657066435</v>
      </c>
      <c r="AF284" s="503">
        <f>IF(終値!A284="","",IFERROR(4*STDEVP(終値!AI284:BB284)/AVERAGE(終値!AI284:BB284),""))</f>
        <v>0.37046981479361329</v>
      </c>
      <c r="AG284" s="503">
        <f>IF(終値!A284="","",IFERROR(4*STDEVP(終値!AJ284:BC284)/AVERAGE(終値!AJ284:BC284),""))</f>
        <v>0.39354292585792588</v>
      </c>
      <c r="AH284" s="503">
        <f>IF(終値!A284="","",IFERROR(4*STDEVP(終値!AK284:BD284)/AVERAGE(終値!AK284:BD284),""))</f>
        <v>0.48076522900976532</v>
      </c>
      <c r="AI284" s="503">
        <f>IF(終値!A284="","",IFERROR(4*STDEVP(終値!AL284:BE284)/AVERAGE(終値!AL284:BE284),""))</f>
        <v>0.55019777271882808</v>
      </c>
      <c r="AJ284" s="503">
        <f>IF(終値!A284="","",IFERROR(4*STDEVP(終値!AM284:BF284)/AVERAGE(終値!AM284:BF284),""))</f>
        <v>0.65837638985782909</v>
      </c>
      <c r="AK284" s="503">
        <f>IF(終値!A284="","",IFERROR(4*STDEVP(終値!AN284:BG284)/AVERAGE(終値!AN284:BG284),""))</f>
        <v>0.8027617214022329</v>
      </c>
      <c r="AL284" s="503">
        <f>IF(終値!A284="","",IFERROR(4*STDEVP(終値!AO284:BH284)/AVERAGE(終値!AO284:BH284),""))</f>
        <v>0.9370285345822531</v>
      </c>
      <c r="AM284" s="503">
        <f>IF(終値!A284="","",IFERROR(4*STDEVP(終値!AP284:BI284)/AVERAGE(終値!AP284:BI284),""))</f>
        <v>1.0456544135302432</v>
      </c>
      <c r="AN284" s="503">
        <f>IF(終値!A284="","",IFERROR(4*STDEVP(終値!AQ284:BJ284)/AVERAGE(終値!AQ284:BJ284),""))</f>
        <v>1.1475514963971229</v>
      </c>
      <c r="AO284" s="503">
        <f>IF(終値!A284="","",IFERROR(4*STDEVP(終値!AR284:BK284)/AVERAGE(終値!AR284:BK284),""))</f>
        <v>1.2319042109183034</v>
      </c>
      <c r="AP284" s="503">
        <f>IF(終値!A284="","",IFERROR(4*STDEVP(終値!AS284:BL284)/AVERAGE(終値!AS284:BL284),""))</f>
        <v>1.332817324859136</v>
      </c>
    </row>
    <row r="285" spans="1:42">
      <c r="A285" s="500" t="str">
        <f>IF(終値!A285="","",終値!A285)</f>
        <v>3397</v>
      </c>
      <c r="B285" s="503">
        <f>IF(終値!A285="","",IFERROR(4*STDEVP(終値!E285:X285)/AVERAGE(終値!E285:X285),""))</f>
        <v>0.15395368615290436</v>
      </c>
      <c r="C285" s="503">
        <f>IF(終値!A285="","",IFERROR(4*STDEVP(終値!F285:Y285)/AVERAGE(終値!F285:Y285),""))</f>
        <v>0.15917605873660476</v>
      </c>
      <c r="D285" s="503">
        <f>IF(終値!A285="","",IFERROR(4*STDEVP(終値!G285:Z285)/AVERAGE(終値!G285:Z285),""))</f>
        <v>0.16871338526691496</v>
      </c>
      <c r="E285" s="503">
        <f>IF(終値!A285="","",IFERROR(4*STDEVP(終値!H285:AA285)/AVERAGE(終値!H285:AA285),""))</f>
        <v>0.18143142495158521</v>
      </c>
      <c r="F285" s="503">
        <f>IF(終値!A285="","",IFERROR(4*STDEVP(終値!I285:AB285)/AVERAGE(終値!I285:AB285),""))</f>
        <v>0.18493540164418495</v>
      </c>
      <c r="G285" s="503">
        <f>IF(終値!A285="","",IFERROR(4*STDEVP(終値!J285:AC285)/AVERAGE(終値!J285:AC285),""))</f>
        <v>0.19029082538863215</v>
      </c>
      <c r="H285" s="503">
        <f>IF(終値!A285="","",IFERROR(4*STDEVP(終値!K285:AD285)/AVERAGE(終値!K285:AD285),""))</f>
        <v>0.1725647713362948</v>
      </c>
      <c r="I285" s="503">
        <f>IF(終値!A285="","",IFERROR(4*STDEVP(終値!L285:AE285)/AVERAGE(終値!L285:AE285),""))</f>
        <v>0.12810358347593992</v>
      </c>
      <c r="J285" s="503">
        <f>IF(終値!A285="","",IFERROR(4*STDEVP(終値!M285:AF285)/AVERAGE(終値!M285:AF285),""))</f>
        <v>0.12474872973811399</v>
      </c>
      <c r="K285" s="503">
        <f>IF(終値!A285="","",IFERROR(4*STDEVP(終値!N285:AG285)/AVERAGE(終値!N285:AG285),""))</f>
        <v>0.1259766881166009</v>
      </c>
      <c r="L285" s="503">
        <f>IF(終値!A285="","",IFERROR(4*STDEVP(終値!O285:AH285)/AVERAGE(終値!O285:AH285),""))</f>
        <v>0.14175138588806324</v>
      </c>
      <c r="M285" s="503">
        <f>IF(終値!A285="","",IFERROR(4*STDEVP(終値!P285:AI285)/AVERAGE(終値!P285:AI285),""))</f>
        <v>0.16013523183764194</v>
      </c>
      <c r="N285" s="503">
        <f>IF(終値!A285="","",IFERROR(4*STDEVP(終値!Q285:AJ285)/AVERAGE(終値!Q285:AJ285),""))</f>
        <v>0.173070384786154</v>
      </c>
      <c r="O285" s="503">
        <f>IF(終値!A285="","",IFERROR(4*STDEVP(終値!R285:AK285)/AVERAGE(終値!R285:AK285),""))</f>
        <v>0.17739383988591939</v>
      </c>
      <c r="P285" s="503">
        <f>IF(終値!A285="","",IFERROR(4*STDEVP(終値!S285:AL285)/AVERAGE(終値!S285:AL285),""))</f>
        <v>0.1778218357169821</v>
      </c>
      <c r="Q285" s="503">
        <f>IF(終値!A285="","",IFERROR(4*STDEVP(終値!T285:AM285)/AVERAGE(終値!T285:AM285),""))</f>
        <v>0.17521059230740951</v>
      </c>
      <c r="R285" s="503">
        <f>IF(終値!A285="","",IFERROR(4*STDEVP(終値!U285:AN285)/AVERAGE(終値!U285:AN285),""))</f>
        <v>0.1627373975151705</v>
      </c>
      <c r="S285" s="503">
        <f>IF(終値!A285="","",IFERROR(4*STDEVP(終値!V285:AO285)/AVERAGE(終値!V285:AO285),""))</f>
        <v>0.15518283319465301</v>
      </c>
      <c r="T285" s="503">
        <f>IF(終値!A285="","",IFERROR(4*STDEVP(終値!W285:AP285)/AVERAGE(終値!W285:AP285),""))</f>
        <v>0.14959900224787392</v>
      </c>
      <c r="U285" s="503">
        <f>IF(終値!A285="","",IFERROR(4*STDEVP(終値!X285:AQ285)/AVERAGE(終値!X285:AQ285),""))</f>
        <v>0.14121331553019179</v>
      </c>
      <c r="V285" s="503">
        <f>IF(終値!A285="","",IFERROR(4*STDEVP(終値!Y285:AR285)/AVERAGE(終値!Y285:AR285),""))</f>
        <v>0.12954014895158253</v>
      </c>
      <c r="W285" s="503">
        <f>IF(終値!A285="","",IFERROR(4*STDEVP(終値!Z285:AS285)/AVERAGE(終値!Z285:AS285),""))</f>
        <v>0.11880048133428507</v>
      </c>
      <c r="X285" s="503">
        <f>IF(終値!A285="","",IFERROR(4*STDEVP(終値!AA285:AT285)/AVERAGE(終値!AA285:AT285),""))</f>
        <v>0.11513768047748514</v>
      </c>
      <c r="Y285" s="503">
        <f>IF(終値!A285="","",IFERROR(4*STDEVP(終値!AB285:AU285)/AVERAGE(終値!AB285:AU285),""))</f>
        <v>0.11297476260805582</v>
      </c>
      <c r="Z285" s="503">
        <f>IF(終値!A285="","",IFERROR(4*STDEVP(終値!AC285:AV285)/AVERAGE(終値!AC285:AV285),""))</f>
        <v>0.10887884715666558</v>
      </c>
      <c r="AA285" s="503">
        <f>IF(終値!A285="","",IFERROR(4*STDEVP(終値!AD285:AW285)/AVERAGE(終値!AD285:AW285),""))</f>
        <v>0.11027245677860259</v>
      </c>
      <c r="AB285" s="503">
        <f>IF(終値!A285="","",IFERROR(4*STDEVP(終値!AE285:AX285)/AVERAGE(終値!AE285:AX285),""))</f>
        <v>0.10785541783753212</v>
      </c>
      <c r="AC285" s="503">
        <f>IF(終値!A285="","",IFERROR(4*STDEVP(終値!AF285:AY285)/AVERAGE(終値!AF285:AY285),""))</f>
        <v>0.10245975624922303</v>
      </c>
      <c r="AD285" s="503">
        <f>IF(終値!A285="","",IFERROR(4*STDEVP(終値!AG285:AZ285)/AVERAGE(終値!AG285:AZ285),""))</f>
        <v>0.10246712251606568</v>
      </c>
      <c r="AE285" s="503">
        <f>IF(終値!A285="","",IFERROR(4*STDEVP(終値!AH285:BA285)/AVERAGE(終値!AH285:BA285),""))</f>
        <v>0.10906636842860432</v>
      </c>
      <c r="AF285" s="503">
        <f>IF(終値!A285="","",IFERROR(4*STDEVP(終値!AI285:BB285)/AVERAGE(終値!AI285:BB285),""))</f>
        <v>0.11004808735137367</v>
      </c>
      <c r="AG285" s="503">
        <f>IF(終値!A285="","",IFERROR(4*STDEVP(終値!AJ285:BC285)/AVERAGE(終値!AJ285:BC285),""))</f>
        <v>0.10420943613463841</v>
      </c>
      <c r="AH285" s="503">
        <f>IF(終値!A285="","",IFERROR(4*STDEVP(終値!AK285:BD285)/AVERAGE(終値!AK285:BD285),""))</f>
        <v>0.10081652405296504</v>
      </c>
      <c r="AI285" s="503">
        <f>IF(終値!A285="","",IFERROR(4*STDEVP(終値!AL285:BE285)/AVERAGE(終値!AL285:BE285),""))</f>
        <v>8.9136318121780814E-2</v>
      </c>
      <c r="AJ285" s="503">
        <f>IF(終値!A285="","",IFERROR(4*STDEVP(終値!AM285:BF285)/AVERAGE(終値!AM285:BF285),""))</f>
        <v>7.3400356319619484E-2</v>
      </c>
      <c r="AK285" s="503">
        <f>IF(終値!A285="","",IFERROR(4*STDEVP(終値!AN285:BG285)/AVERAGE(終値!AN285:BG285),""))</f>
        <v>6.555296607723958E-2</v>
      </c>
      <c r="AL285" s="503">
        <f>IF(終値!A285="","",IFERROR(4*STDEVP(終値!AO285:BH285)/AVERAGE(終値!AO285:BH285),""))</f>
        <v>6.6072747642150625E-2</v>
      </c>
      <c r="AM285" s="503">
        <f>IF(終値!A285="","",IFERROR(4*STDEVP(終値!AP285:BI285)/AVERAGE(終値!AP285:BI285),""))</f>
        <v>7.6250381369382225E-2</v>
      </c>
      <c r="AN285" s="503">
        <f>IF(終値!A285="","",IFERROR(4*STDEVP(終値!AQ285:BJ285)/AVERAGE(終値!AQ285:BJ285),""))</f>
        <v>8.0089145176393886E-2</v>
      </c>
      <c r="AO285" s="503">
        <f>IF(終値!A285="","",IFERROR(4*STDEVP(終値!AR285:BK285)/AVERAGE(終値!AR285:BK285),""))</f>
        <v>8.3864642473786222E-2</v>
      </c>
      <c r="AP285" s="503">
        <f>IF(終値!A285="","",IFERROR(4*STDEVP(終値!AS285:BL285)/AVERAGE(終値!AS285:BL285),""))</f>
        <v>8.9135974912181559E-2</v>
      </c>
    </row>
    <row r="286" spans="1:42">
      <c r="A286" s="500" t="str">
        <f>IF(終値!A286="","",終値!A286)</f>
        <v>7270</v>
      </c>
      <c r="B286" s="503">
        <f>IF(終値!A286="","",IFERROR(4*STDEVP(終値!E286:X286)/AVERAGE(終値!E286:X286),""))</f>
        <v>0.16607656578477564</v>
      </c>
      <c r="C286" s="503">
        <f>IF(終値!A286="","",IFERROR(4*STDEVP(終値!F286:Y286)/AVERAGE(終値!F286:Y286),""))</f>
        <v>0.16396670324687446</v>
      </c>
      <c r="D286" s="503">
        <f>IF(終値!A286="","",IFERROR(4*STDEVP(終値!G286:Z286)/AVERAGE(終値!G286:Z286),""))</f>
        <v>0.15843756842151452</v>
      </c>
      <c r="E286" s="503">
        <f>IF(終値!A286="","",IFERROR(4*STDEVP(終値!H286:AA286)/AVERAGE(終値!H286:AA286),""))</f>
        <v>0.1609633471204642</v>
      </c>
      <c r="F286" s="503">
        <f>IF(終値!A286="","",IFERROR(4*STDEVP(終値!I286:AB286)/AVERAGE(終値!I286:AB286),""))</f>
        <v>0.16396258627005911</v>
      </c>
      <c r="G286" s="503">
        <f>IF(終値!A286="","",IFERROR(4*STDEVP(終値!J286:AC286)/AVERAGE(終値!J286:AC286),""))</f>
        <v>0.1692408263085152</v>
      </c>
      <c r="H286" s="503">
        <f>IF(終値!A286="","",IFERROR(4*STDEVP(終値!K286:AD286)/AVERAGE(終値!K286:AD286),""))</f>
        <v>0.15595613510741244</v>
      </c>
      <c r="I286" s="503">
        <f>IF(終値!A286="","",IFERROR(4*STDEVP(終値!L286:AE286)/AVERAGE(終値!L286:AE286),""))</f>
        <v>0.12316813780483779</v>
      </c>
      <c r="J286" s="503">
        <f>IF(終値!A286="","",IFERROR(4*STDEVP(終値!M286:AF286)/AVERAGE(終値!M286:AF286),""))</f>
        <v>0.11822128373638401</v>
      </c>
      <c r="K286" s="503">
        <f>IF(終値!A286="","",IFERROR(4*STDEVP(終値!N286:AG286)/AVERAGE(終値!N286:AG286),""))</f>
        <v>0.11162211219384142</v>
      </c>
      <c r="L286" s="503">
        <f>IF(終値!A286="","",IFERROR(4*STDEVP(終値!O286:AH286)/AVERAGE(終値!O286:AH286),""))</f>
        <v>0.11825540234734264</v>
      </c>
      <c r="M286" s="503">
        <f>IF(終値!A286="","",IFERROR(4*STDEVP(終値!P286:AI286)/AVERAGE(終値!P286:AI286),""))</f>
        <v>0.11511853247452745</v>
      </c>
      <c r="N286" s="503">
        <f>IF(終値!A286="","",IFERROR(4*STDEVP(終値!Q286:AJ286)/AVERAGE(終値!Q286:AJ286),""))</f>
        <v>0.11041868975803205</v>
      </c>
      <c r="O286" s="503">
        <f>IF(終値!A286="","",IFERROR(4*STDEVP(終値!R286:AK286)/AVERAGE(終値!R286:AK286),""))</f>
        <v>0.10214949638981137</v>
      </c>
      <c r="P286" s="503">
        <f>IF(終値!A286="","",IFERROR(4*STDEVP(終値!S286:AL286)/AVERAGE(終値!S286:AL286),""))</f>
        <v>0.10685664211122117</v>
      </c>
      <c r="Q286" s="503">
        <f>IF(終値!A286="","",IFERROR(4*STDEVP(終値!T286:AM286)/AVERAGE(終値!T286:AM286),""))</f>
        <v>0.11368407433454569</v>
      </c>
      <c r="R286" s="503">
        <f>IF(終値!A286="","",IFERROR(4*STDEVP(終値!U286:AN286)/AVERAGE(終値!U286:AN286),""))</f>
        <v>0.11804407121702054</v>
      </c>
      <c r="S286" s="503">
        <f>IF(終値!A286="","",IFERROR(4*STDEVP(終値!V286:AO286)/AVERAGE(終値!V286:AO286),""))</f>
        <v>0.12217547037993368</v>
      </c>
      <c r="T286" s="503">
        <f>IF(終値!A286="","",IFERROR(4*STDEVP(終値!W286:AP286)/AVERAGE(終値!W286:AP286),""))</f>
        <v>0.12216022732575291</v>
      </c>
      <c r="U286" s="503">
        <f>IF(終値!A286="","",IFERROR(4*STDEVP(終値!X286:AQ286)/AVERAGE(終値!X286:AQ286),""))</f>
        <v>0.12213803941271574</v>
      </c>
      <c r="V286" s="503">
        <f>IF(終値!A286="","",IFERROR(4*STDEVP(終値!Y286:AR286)/AVERAGE(終値!Y286:AR286),""))</f>
        <v>0.1226781558046408</v>
      </c>
      <c r="W286" s="503">
        <f>IF(終値!A286="","",IFERROR(4*STDEVP(終値!Z286:AS286)/AVERAGE(終値!Z286:AS286),""))</f>
        <v>0.11804006306988939</v>
      </c>
      <c r="X286" s="503">
        <f>IF(終値!A286="","",IFERROR(4*STDEVP(終値!AA286:AT286)/AVERAGE(終値!AA286:AT286),""))</f>
        <v>0.11069005941383001</v>
      </c>
      <c r="Y286" s="503">
        <f>IF(終値!A286="","",IFERROR(4*STDEVP(終値!AB286:AU286)/AVERAGE(終値!AB286:AU286),""))</f>
        <v>0.10946063322947659</v>
      </c>
      <c r="Z286" s="503">
        <f>IF(終値!A286="","",IFERROR(4*STDEVP(終値!AC286:AV286)/AVERAGE(終値!AC286:AV286),""))</f>
        <v>0.10879149215810986</v>
      </c>
      <c r="AA286" s="503">
        <f>IF(終値!A286="","",IFERROR(4*STDEVP(終値!AD286:AW286)/AVERAGE(終値!AD286:AW286),""))</f>
        <v>0.10697653510437555</v>
      </c>
      <c r="AB286" s="503">
        <f>IF(終値!A286="","",IFERROR(4*STDEVP(終値!AE286:AX286)/AVERAGE(終値!AE286:AX286),""))</f>
        <v>0.10346715766734201</v>
      </c>
      <c r="AC286" s="503">
        <f>IF(終値!A286="","",IFERROR(4*STDEVP(終値!AF286:AY286)/AVERAGE(終値!AF286:AY286),""))</f>
        <v>0.10022577728696834</v>
      </c>
      <c r="AD286" s="503">
        <f>IF(終値!A286="","",IFERROR(4*STDEVP(終値!AG286:AZ286)/AVERAGE(終値!AG286:AZ286),""))</f>
        <v>9.7546949262960064E-2</v>
      </c>
      <c r="AE286" s="503">
        <f>IF(終値!A286="","",IFERROR(4*STDEVP(終値!AH286:BA286)/AVERAGE(終値!AH286:BA286),""))</f>
        <v>9.3707803139239487E-2</v>
      </c>
      <c r="AF286" s="503">
        <f>IF(終値!A286="","",IFERROR(4*STDEVP(終値!AI286:BB286)/AVERAGE(終値!AI286:BB286),""))</f>
        <v>8.6785503978497783E-2</v>
      </c>
      <c r="AG286" s="503">
        <f>IF(終値!A286="","",IFERROR(4*STDEVP(終値!AJ286:BC286)/AVERAGE(終値!AJ286:BC286),""))</f>
        <v>8.0080992324286879E-2</v>
      </c>
      <c r="AH286" s="503">
        <f>IF(終値!A286="","",IFERROR(4*STDEVP(終値!AK286:BD286)/AVERAGE(終値!AK286:BD286),""))</f>
        <v>7.9229511238436967E-2</v>
      </c>
      <c r="AI286" s="503">
        <f>IF(終値!A286="","",IFERROR(4*STDEVP(終値!AL286:BE286)/AVERAGE(終値!AL286:BE286),""))</f>
        <v>7.856554643942544E-2</v>
      </c>
      <c r="AJ286" s="503">
        <f>IF(終値!A286="","",IFERROR(4*STDEVP(終値!AM286:BF286)/AVERAGE(終値!AM286:BF286),""))</f>
        <v>7.9297135197775176E-2</v>
      </c>
      <c r="AK286" s="503">
        <f>IF(終値!A286="","",IFERROR(4*STDEVP(終値!AN286:BG286)/AVERAGE(終値!AN286:BG286),""))</f>
        <v>7.6870840348302952E-2</v>
      </c>
      <c r="AL286" s="503">
        <f>IF(終値!A286="","",IFERROR(4*STDEVP(終値!AO286:BH286)/AVERAGE(終値!AO286:BH286),""))</f>
        <v>7.4159275119102724E-2</v>
      </c>
      <c r="AM286" s="503">
        <f>IF(終値!A286="","",IFERROR(4*STDEVP(終値!AP286:BI286)/AVERAGE(終値!AP286:BI286),""))</f>
        <v>7.6873973721686806E-2</v>
      </c>
      <c r="AN286" s="503">
        <f>IF(終値!A286="","",IFERROR(4*STDEVP(終値!AQ286:BJ286)/AVERAGE(終値!AQ286:BJ286),""))</f>
        <v>9.7599233989232273E-2</v>
      </c>
      <c r="AO286" s="503">
        <f>IF(終値!A286="","",IFERROR(4*STDEVP(終値!AR286:BK286)/AVERAGE(終値!AR286:BK286),""))</f>
        <v>0.1072751358871942</v>
      </c>
      <c r="AP286" s="503">
        <f>IF(終値!A286="","",IFERROR(4*STDEVP(終値!AS286:BL286)/AVERAGE(終値!AS286:BL286),""))</f>
        <v>0.10519823851308657</v>
      </c>
    </row>
    <row r="287" spans="1:42">
      <c r="A287" s="500" t="str">
        <f>IF(終値!A287="","",終値!A287)</f>
        <v>6736</v>
      </c>
      <c r="B287" s="503">
        <f>IF(終値!A287="","",IFERROR(4*STDEVP(終値!E287:X287)/AVERAGE(終値!E287:X287),""))</f>
        <v>0.26911341889797463</v>
      </c>
      <c r="C287" s="503">
        <f>IF(終値!A287="","",IFERROR(4*STDEVP(終値!F287:Y287)/AVERAGE(終値!F287:Y287),""))</f>
        <v>0.29084480566149529</v>
      </c>
      <c r="D287" s="503">
        <f>IF(終値!A287="","",IFERROR(4*STDEVP(終値!G287:Z287)/AVERAGE(終値!G287:Z287),""))</f>
        <v>0.29710518182754714</v>
      </c>
      <c r="E287" s="503">
        <f>IF(終値!A287="","",IFERROR(4*STDEVP(終値!H287:AA287)/AVERAGE(終値!H287:AA287),""))</f>
        <v>0.28599950826149778</v>
      </c>
      <c r="F287" s="503">
        <f>IF(終値!A287="","",IFERROR(4*STDEVP(終値!I287:AB287)/AVERAGE(終値!I287:AB287),""))</f>
        <v>0.28599407928596376</v>
      </c>
      <c r="G287" s="503">
        <f>IF(終値!A287="","",IFERROR(4*STDEVP(終値!J287:AC287)/AVERAGE(終値!J287:AC287),""))</f>
        <v>0.29737630904707801</v>
      </c>
      <c r="H287" s="503">
        <f>IF(終値!A287="","",IFERROR(4*STDEVP(終値!K287:AD287)/AVERAGE(終値!K287:AD287),""))</f>
        <v>0.31038337909531677</v>
      </c>
      <c r="I287" s="503">
        <f>IF(終値!A287="","",IFERROR(4*STDEVP(終値!L287:AE287)/AVERAGE(終値!L287:AE287),""))</f>
        <v>0.31951346070539677</v>
      </c>
      <c r="J287" s="503">
        <f>IF(終値!A287="","",IFERROR(4*STDEVP(終値!M287:AF287)/AVERAGE(終値!M287:AF287),""))</f>
        <v>0.32300557556803189</v>
      </c>
      <c r="K287" s="503">
        <f>IF(終値!A287="","",IFERROR(4*STDEVP(終値!N287:AG287)/AVERAGE(終値!N287:AG287),""))</f>
        <v>0.3289561499384645</v>
      </c>
      <c r="L287" s="503">
        <f>IF(終値!A287="","",IFERROR(4*STDEVP(終値!O287:AH287)/AVERAGE(終値!O287:AH287),""))</f>
        <v>0.34226280915949447</v>
      </c>
      <c r="M287" s="503">
        <f>IF(終値!A287="","",IFERROR(4*STDEVP(終値!P287:AI287)/AVERAGE(終値!P287:AI287),""))</f>
        <v>0.34253888328291332</v>
      </c>
      <c r="N287" s="503">
        <f>IF(終値!A287="","",IFERROR(4*STDEVP(終値!Q287:AJ287)/AVERAGE(終値!Q287:AJ287),""))</f>
        <v>0.34165262382886336</v>
      </c>
      <c r="O287" s="503">
        <f>IF(終値!A287="","",IFERROR(4*STDEVP(終値!R287:AK287)/AVERAGE(終値!R287:AK287),""))</f>
        <v>0.34418375655059458</v>
      </c>
      <c r="P287" s="503">
        <f>IF(終値!A287="","",IFERROR(4*STDEVP(終値!S287:AL287)/AVERAGE(終値!S287:AL287),""))</f>
        <v>0.34037786835468203</v>
      </c>
      <c r="Q287" s="503">
        <f>IF(終値!A287="","",IFERROR(4*STDEVP(終値!T287:AM287)/AVERAGE(終値!T287:AM287),""))</f>
        <v>0.33980273922812582</v>
      </c>
      <c r="R287" s="503">
        <f>IF(終値!A287="","",IFERROR(4*STDEVP(終値!U287:AN287)/AVERAGE(終値!U287:AN287),""))</f>
        <v>0.34075174295180199</v>
      </c>
      <c r="S287" s="503">
        <f>IF(終値!A287="","",IFERROR(4*STDEVP(終値!V287:AO287)/AVERAGE(終値!V287:AO287),""))</f>
        <v>0.34272995831518804</v>
      </c>
      <c r="T287" s="503">
        <f>IF(終値!A287="","",IFERROR(4*STDEVP(終値!W287:AP287)/AVERAGE(終値!W287:AP287),""))</f>
        <v>0.34664467212148614</v>
      </c>
      <c r="U287" s="503">
        <f>IF(終値!A287="","",IFERROR(4*STDEVP(終値!X287:AQ287)/AVERAGE(終値!X287:AQ287),""))</f>
        <v>0.32318574182448895</v>
      </c>
      <c r="V287" s="503">
        <f>IF(終値!A287="","",IFERROR(4*STDEVP(終値!Y287:AR287)/AVERAGE(終値!Y287:AR287),""))</f>
        <v>0.30072571105607199</v>
      </c>
      <c r="W287" s="503">
        <f>IF(終値!A287="","",IFERROR(4*STDEVP(終値!Z287:AS287)/AVERAGE(終値!Z287:AS287),""))</f>
        <v>0.2157436201783075</v>
      </c>
      <c r="X287" s="503">
        <f>IF(終値!A287="","",IFERROR(4*STDEVP(終値!AA287:AT287)/AVERAGE(終値!AA287:AT287),""))</f>
        <v>0.12720932483284261</v>
      </c>
      <c r="Y287" s="503">
        <f>IF(終値!A287="","",IFERROR(4*STDEVP(終値!AB287:AU287)/AVERAGE(終値!AB287:AU287),""))</f>
        <v>0.12139438001933293</v>
      </c>
      <c r="Z287" s="503">
        <f>IF(終値!A287="","",IFERROR(4*STDEVP(終値!AC287:AV287)/AVERAGE(終値!AC287:AV287),""))</f>
        <v>9.1972906340571189E-2</v>
      </c>
      <c r="AA287" s="503">
        <f>IF(終値!A287="","",IFERROR(4*STDEVP(終値!AD287:AW287)/AVERAGE(終値!AD287:AW287),""))</f>
        <v>9.420371487733098E-2</v>
      </c>
      <c r="AB287" s="503">
        <f>IF(終値!A287="","",IFERROR(4*STDEVP(終値!AE287:AX287)/AVERAGE(終値!AE287:AX287),""))</f>
        <v>9.4329676008202731E-2</v>
      </c>
      <c r="AC287" s="503">
        <f>IF(終値!A287="","",IFERROR(4*STDEVP(終値!AF287:AY287)/AVERAGE(終値!AF287:AY287),""))</f>
        <v>9.5306602957156969E-2</v>
      </c>
      <c r="AD287" s="503">
        <f>IF(終値!A287="","",IFERROR(4*STDEVP(終値!AG287:AZ287)/AVERAGE(終値!AG287:AZ287),""))</f>
        <v>9.5610437685601568E-2</v>
      </c>
      <c r="AE287" s="503">
        <f>IF(終値!A287="","",IFERROR(4*STDEVP(終値!AH287:BA287)/AVERAGE(終値!AH287:BA287),""))</f>
        <v>9.6834875834827486E-2</v>
      </c>
      <c r="AF287" s="503">
        <f>IF(終値!A287="","",IFERROR(4*STDEVP(終値!AI287:BB287)/AVERAGE(終値!AI287:BB287),""))</f>
        <v>8.5852282051242373E-2</v>
      </c>
      <c r="AG287" s="503">
        <f>IF(終値!A287="","",IFERROR(4*STDEVP(終値!AJ287:BC287)/AVERAGE(終値!AJ287:BC287),""))</f>
        <v>9.5360957921659092E-2</v>
      </c>
      <c r="AH287" s="503">
        <f>IF(終値!A287="","",IFERROR(4*STDEVP(終値!AK287:BD287)/AVERAGE(終値!AK287:BD287),""))</f>
        <v>9.5989363639450431E-2</v>
      </c>
      <c r="AI287" s="503">
        <f>IF(終値!A287="","",IFERROR(4*STDEVP(終値!AL287:BE287)/AVERAGE(終値!AL287:BE287),""))</f>
        <v>0.10262456975450623</v>
      </c>
      <c r="AJ287" s="503">
        <f>IF(終値!A287="","",IFERROR(4*STDEVP(終値!AM287:BF287)/AVERAGE(終値!AM287:BF287),""))</f>
        <v>0.12126824216286371</v>
      </c>
      <c r="AK287" s="503">
        <f>IF(終値!A287="","",IFERROR(4*STDEVP(終値!AN287:BG287)/AVERAGE(終値!AN287:BG287),""))</f>
        <v>0.12140644144270613</v>
      </c>
      <c r="AL287" s="503">
        <f>IF(終値!A287="","",IFERROR(4*STDEVP(終値!AO287:BH287)/AVERAGE(終値!AO287:BH287),""))</f>
        <v>0.12378396154511484</v>
      </c>
      <c r="AM287" s="503">
        <f>IF(終値!A287="","",IFERROR(4*STDEVP(終値!AP287:BI287)/AVERAGE(終値!AP287:BI287),""))</f>
        <v>0.13269319150644679</v>
      </c>
      <c r="AN287" s="503">
        <f>IF(終値!A287="","",IFERROR(4*STDEVP(終値!AQ287:BJ287)/AVERAGE(終値!AQ287:BJ287),""))</f>
        <v>0.14019263274223551</v>
      </c>
      <c r="AO287" s="503">
        <f>IF(終値!A287="","",IFERROR(4*STDEVP(終値!AR287:BK287)/AVERAGE(終値!AR287:BK287),""))</f>
        <v>0.13761026793934428</v>
      </c>
      <c r="AP287" s="503">
        <f>IF(終値!A287="","",IFERROR(4*STDEVP(終値!AS287:BL287)/AVERAGE(終値!AS287:BL287),""))</f>
        <v>0.14105050582776946</v>
      </c>
    </row>
    <row r="288" spans="1:42">
      <c r="A288" s="500" t="str">
        <f>IF(終値!A288="","",終値!A288)</f>
        <v>2933</v>
      </c>
      <c r="B288" s="503">
        <f>IF(終値!A288="","",IFERROR(4*STDEVP(終値!E288:X288)/AVERAGE(終値!E288:X288),""))</f>
        <v>4.3645736317527335E-2</v>
      </c>
      <c r="C288" s="503">
        <f>IF(終値!A288="","",IFERROR(4*STDEVP(終値!F288:Y288)/AVERAGE(終値!F288:Y288),""))</f>
        <v>4.2614103720916861E-2</v>
      </c>
      <c r="D288" s="503">
        <f>IF(終値!A288="","",IFERROR(4*STDEVP(終値!G288:Z288)/AVERAGE(終値!G288:Z288),""))</f>
        <v>4.6019186684988007E-2</v>
      </c>
      <c r="E288" s="503">
        <f>IF(終値!A288="","",IFERROR(4*STDEVP(終値!H288:AA288)/AVERAGE(終値!H288:AA288),""))</f>
        <v>4.8844500567928481E-2</v>
      </c>
      <c r="F288" s="503">
        <f>IF(終値!A288="","",IFERROR(4*STDEVP(終値!I288:AB288)/AVERAGE(終値!I288:AB288),""))</f>
        <v>4.8967249066823815E-2</v>
      </c>
      <c r="G288" s="503">
        <f>IF(終値!A288="","",IFERROR(4*STDEVP(終値!J288:AC288)/AVERAGE(終値!J288:AC288),""))</f>
        <v>5.2750378844486197E-2</v>
      </c>
      <c r="H288" s="503">
        <f>IF(終値!A288="","",IFERROR(4*STDEVP(終値!K288:AD288)/AVERAGE(終値!K288:AD288),""))</f>
        <v>5.1862247331029683E-2</v>
      </c>
      <c r="I288" s="503">
        <f>IF(終値!A288="","",IFERROR(4*STDEVP(終値!L288:AE288)/AVERAGE(終値!L288:AE288),""))</f>
        <v>4.0390462872926657E-2</v>
      </c>
      <c r="J288" s="503">
        <f>IF(終値!A288="","",IFERROR(4*STDEVP(終値!M288:AF288)/AVERAGE(終値!M288:AF288),""))</f>
        <v>3.7201989815763357E-2</v>
      </c>
      <c r="K288" s="503">
        <f>IF(終値!A288="","",IFERROR(4*STDEVP(終値!N288:AG288)/AVERAGE(終値!N288:AG288),""))</f>
        <v>3.704344074174587E-2</v>
      </c>
      <c r="L288" s="503">
        <f>IF(終値!A288="","",IFERROR(4*STDEVP(終値!O288:AH288)/AVERAGE(終値!O288:AH288),""))</f>
        <v>3.9224789614040752E-2</v>
      </c>
      <c r="M288" s="503">
        <f>IF(終値!A288="","",IFERROR(4*STDEVP(終値!P288:AI288)/AVERAGE(終値!P288:AI288),""))</f>
        <v>3.8573515132849498E-2</v>
      </c>
      <c r="N288" s="503">
        <f>IF(終値!A288="","",IFERROR(4*STDEVP(終値!Q288:AJ288)/AVERAGE(終値!Q288:AJ288),""))</f>
        <v>3.8222887892675972E-2</v>
      </c>
      <c r="O288" s="503">
        <f>IF(終値!A288="","",IFERROR(4*STDEVP(終値!R288:AK288)/AVERAGE(終値!R288:AK288),""))</f>
        <v>3.7026265325723805E-2</v>
      </c>
      <c r="P288" s="503">
        <f>IF(終値!A288="","",IFERROR(4*STDEVP(終値!S288:AL288)/AVERAGE(終値!S288:AL288),""))</f>
        <v>3.2913924908502687E-2</v>
      </c>
      <c r="Q288" s="503">
        <f>IF(終値!A288="","",IFERROR(4*STDEVP(終値!T288:AM288)/AVERAGE(終値!T288:AM288),""))</f>
        <v>3.3757003173232158E-2</v>
      </c>
      <c r="R288" s="503">
        <f>IF(終値!A288="","",IFERROR(4*STDEVP(終値!U288:AN288)/AVERAGE(終値!U288:AN288),""))</f>
        <v>3.62959906190033E-2</v>
      </c>
      <c r="S288" s="503">
        <f>IF(終値!A288="","",IFERROR(4*STDEVP(終値!V288:AO288)/AVERAGE(終値!V288:AO288),""))</f>
        <v>3.7670857351526671E-2</v>
      </c>
      <c r="T288" s="503">
        <f>IF(終値!A288="","",IFERROR(4*STDEVP(終値!W288:AP288)/AVERAGE(終値!W288:AP288),""))</f>
        <v>3.7184009697679744E-2</v>
      </c>
      <c r="U288" s="503">
        <f>IF(終値!A288="","",IFERROR(4*STDEVP(終値!X288:AQ288)/AVERAGE(終値!X288:AQ288),""))</f>
        <v>3.5598088530729217E-2</v>
      </c>
      <c r="V288" s="503">
        <f>IF(終値!A288="","",IFERROR(4*STDEVP(終値!Y288:AR288)/AVERAGE(終値!Y288:AR288),""))</f>
        <v>3.1378631794675919E-2</v>
      </c>
      <c r="W288" s="503">
        <f>IF(終値!A288="","",IFERROR(4*STDEVP(終値!Z288:AS288)/AVERAGE(終値!Z288:AS288),""))</f>
        <v>3.2295301283617392E-2</v>
      </c>
      <c r="X288" s="503">
        <f>IF(終値!A288="","",IFERROR(4*STDEVP(終値!AA288:AT288)/AVERAGE(終値!AA288:AT288),""))</f>
        <v>3.6888323799485902E-2</v>
      </c>
      <c r="Y288" s="503">
        <f>IF(終値!A288="","",IFERROR(4*STDEVP(終値!AB288:AU288)/AVERAGE(終値!AB288:AU288),""))</f>
        <v>4.3593746339185849E-2</v>
      </c>
      <c r="Z288" s="503">
        <f>IF(終値!A288="","",IFERROR(4*STDEVP(終値!AC288:AV288)/AVERAGE(終値!AC288:AV288),""))</f>
        <v>4.6059438232676948E-2</v>
      </c>
      <c r="AA288" s="503">
        <f>IF(終値!A288="","",IFERROR(4*STDEVP(終値!AD288:AW288)/AVERAGE(終値!AD288:AW288),""))</f>
        <v>5.2200214838369771E-2</v>
      </c>
      <c r="AB288" s="503">
        <f>IF(終値!A288="","",IFERROR(4*STDEVP(終値!AE288:AX288)/AVERAGE(終値!AE288:AX288),""))</f>
        <v>5.2572173231478087E-2</v>
      </c>
      <c r="AC288" s="503">
        <f>IF(終値!A288="","",IFERROR(4*STDEVP(終値!AF288:AY288)/AVERAGE(終値!AF288:AY288),""))</f>
        <v>4.9994987130387587E-2</v>
      </c>
      <c r="AD288" s="503">
        <f>IF(終値!A288="","",IFERROR(4*STDEVP(終値!AG288:AZ288)/AVERAGE(終値!AG288:AZ288),""))</f>
        <v>4.8330638720903658E-2</v>
      </c>
      <c r="AE288" s="503">
        <f>IF(終値!A288="","",IFERROR(4*STDEVP(終値!AH288:BA288)/AVERAGE(終値!AH288:BA288),""))</f>
        <v>4.7581834736204635E-2</v>
      </c>
      <c r="AF288" s="503">
        <f>IF(終値!A288="","",IFERROR(4*STDEVP(終値!AI288:BB288)/AVERAGE(終値!AI288:BB288),""))</f>
        <v>4.6846484917979575E-2</v>
      </c>
      <c r="AG288" s="503">
        <f>IF(終値!A288="","",IFERROR(4*STDEVP(終値!AJ288:BC288)/AVERAGE(終値!AJ288:BC288),""))</f>
        <v>4.3952006632644668E-2</v>
      </c>
      <c r="AH288" s="503">
        <f>IF(終値!A288="","",IFERROR(4*STDEVP(終値!AK288:BD288)/AVERAGE(終値!AK288:BD288),""))</f>
        <v>4.1514510859119724E-2</v>
      </c>
      <c r="AI288" s="503">
        <f>IF(終値!A288="","",IFERROR(4*STDEVP(終値!AL288:BE288)/AVERAGE(終値!AL288:BE288),""))</f>
        <v>3.5613424230367105E-2</v>
      </c>
      <c r="AJ288" s="503">
        <f>IF(終値!A288="","",IFERROR(4*STDEVP(終値!AM288:BF288)/AVERAGE(終値!AM288:BF288),""))</f>
        <v>3.264964576335453E-2</v>
      </c>
      <c r="AK288" s="503">
        <f>IF(終値!A288="","",IFERROR(4*STDEVP(終値!AN288:BG288)/AVERAGE(終値!AN288:BG288),""))</f>
        <v>3.1069033821258061E-2</v>
      </c>
      <c r="AL288" s="503">
        <f>IF(終値!A288="","",IFERROR(4*STDEVP(終値!AO288:BH288)/AVERAGE(終値!AO288:BH288),""))</f>
        <v>3.1273636610433142E-2</v>
      </c>
      <c r="AM288" s="503">
        <f>IF(終値!A288="","",IFERROR(4*STDEVP(終値!AP288:BI288)/AVERAGE(終値!AP288:BI288),""))</f>
        <v>3.1054399636353203E-2</v>
      </c>
      <c r="AN288" s="503">
        <f>IF(終値!A288="","",IFERROR(4*STDEVP(終値!AQ288:BJ288)/AVERAGE(終値!AQ288:BJ288),""))</f>
        <v>3.0641953156790681E-2</v>
      </c>
      <c r="AO288" s="503">
        <f>IF(終値!A288="","",IFERROR(4*STDEVP(終値!AR288:BK288)/AVERAGE(終値!AR288:BK288),""))</f>
        <v>2.9228540138538411E-2</v>
      </c>
      <c r="AP288" s="503">
        <f>IF(終値!A288="","",IFERROR(4*STDEVP(終値!AS288:BL288)/AVERAGE(終値!AS288:BL288),""))</f>
        <v>2.7974489271864304E-2</v>
      </c>
    </row>
    <row r="289" spans="1:42">
      <c r="A289" s="500" t="str">
        <f>IF(終値!A289="","",終値!A289)</f>
        <v>4047</v>
      </c>
      <c r="B289" s="503">
        <f>IF(終値!A289="","",IFERROR(4*STDEVP(終値!E289:X289)/AVERAGE(終値!E289:X289),""))</f>
        <v>0.28743301081138273</v>
      </c>
      <c r="C289" s="503">
        <f>IF(終値!A289="","",IFERROR(4*STDEVP(終値!F289:Y289)/AVERAGE(終値!F289:Y289),""))</f>
        <v>0.30390828370937278</v>
      </c>
      <c r="D289" s="503">
        <f>IF(終値!A289="","",IFERROR(4*STDEVP(終値!G289:Z289)/AVERAGE(終値!G289:Z289),""))</f>
        <v>0.33265101049216594</v>
      </c>
      <c r="E289" s="503">
        <f>IF(終値!A289="","",IFERROR(4*STDEVP(終値!H289:AA289)/AVERAGE(終値!H289:AA289),""))</f>
        <v>0.37687847123398704</v>
      </c>
      <c r="F289" s="503">
        <f>IF(終値!A289="","",IFERROR(4*STDEVP(終値!I289:AB289)/AVERAGE(終値!I289:AB289),""))</f>
        <v>0.39374902417563629</v>
      </c>
      <c r="G289" s="503">
        <f>IF(終値!A289="","",IFERROR(4*STDEVP(終値!J289:AC289)/AVERAGE(終値!J289:AC289),""))</f>
        <v>0.4220788899408211</v>
      </c>
      <c r="H289" s="503">
        <f>IF(終値!A289="","",IFERROR(4*STDEVP(終値!K289:AD289)/AVERAGE(終値!K289:AD289),""))</f>
        <v>0.41192801434723925</v>
      </c>
      <c r="I289" s="503">
        <f>IF(終値!A289="","",IFERROR(4*STDEVP(終値!L289:AE289)/AVERAGE(終値!L289:AE289),""))</f>
        <v>0.39534113780768404</v>
      </c>
      <c r="J289" s="503">
        <f>IF(終値!A289="","",IFERROR(4*STDEVP(終値!M289:AF289)/AVERAGE(終値!M289:AF289),""))</f>
        <v>0.38602476692555415</v>
      </c>
      <c r="K289" s="503">
        <f>IF(終値!A289="","",IFERROR(4*STDEVP(終値!N289:AG289)/AVERAGE(終値!N289:AG289),""))</f>
        <v>0.43629527271675339</v>
      </c>
      <c r="L289" s="503">
        <f>IF(終値!A289="","",IFERROR(4*STDEVP(終値!O289:AH289)/AVERAGE(終値!O289:AH289),""))</f>
        <v>0.4469983748730425</v>
      </c>
      <c r="M289" s="503">
        <f>IF(終値!A289="","",IFERROR(4*STDEVP(終値!P289:AI289)/AVERAGE(終値!P289:AI289),""))</f>
        <v>0.44444299984057223</v>
      </c>
      <c r="N289" s="503">
        <f>IF(終値!A289="","",IFERROR(4*STDEVP(終値!Q289:AJ289)/AVERAGE(終値!Q289:AJ289),""))</f>
        <v>0.45012883543525345</v>
      </c>
      <c r="O289" s="503">
        <f>IF(終値!A289="","",IFERROR(4*STDEVP(終値!R289:AK289)/AVERAGE(終値!R289:AK289),""))</f>
        <v>0.44641231114802005</v>
      </c>
      <c r="P289" s="503">
        <f>IF(終値!A289="","",IFERROR(4*STDEVP(終値!S289:AL289)/AVERAGE(終値!S289:AL289),""))</f>
        <v>0.40890407412160268</v>
      </c>
      <c r="Q289" s="503">
        <f>IF(終値!A289="","",IFERROR(4*STDEVP(終値!T289:AM289)/AVERAGE(終値!T289:AM289),""))</f>
        <v>0.40188377416548976</v>
      </c>
      <c r="R289" s="503">
        <f>IF(終値!A289="","",IFERROR(4*STDEVP(終値!U289:AN289)/AVERAGE(終値!U289:AN289),""))</f>
        <v>0.38213725966663292</v>
      </c>
      <c r="S289" s="503">
        <f>IF(終値!A289="","",IFERROR(4*STDEVP(終値!V289:AO289)/AVERAGE(終値!V289:AO289),""))</f>
        <v>0.35096696966745305</v>
      </c>
      <c r="T289" s="503">
        <f>IF(終値!A289="","",IFERROR(4*STDEVP(終値!W289:AP289)/AVERAGE(終値!W289:AP289),""))</f>
        <v>0.32273218862593905</v>
      </c>
      <c r="U289" s="503">
        <f>IF(終値!A289="","",IFERROR(4*STDEVP(終値!X289:AQ289)/AVERAGE(終値!X289:AQ289),""))</f>
        <v>0.29947023861741934</v>
      </c>
      <c r="V289" s="503">
        <f>IF(終値!A289="","",IFERROR(4*STDEVP(終値!Y289:AR289)/AVERAGE(終値!Y289:AR289),""))</f>
        <v>0.25580268891193247</v>
      </c>
      <c r="W289" s="503">
        <f>IF(終値!A289="","",IFERROR(4*STDEVP(終値!Z289:AS289)/AVERAGE(終値!Z289:AS289),""))</f>
        <v>0.219047455484603</v>
      </c>
      <c r="X289" s="503">
        <f>IF(終値!A289="","",IFERROR(4*STDEVP(終値!AA289:AT289)/AVERAGE(終値!AA289:AT289),""))</f>
        <v>0.20778968874448586</v>
      </c>
      <c r="Y289" s="503">
        <f>IF(終値!A289="","",IFERROR(4*STDEVP(終値!AB289:AU289)/AVERAGE(終値!AB289:AU289),""))</f>
        <v>0.23473145426562139</v>
      </c>
      <c r="Z289" s="503">
        <f>IF(終値!A289="","",IFERROR(4*STDEVP(終値!AC289:AV289)/AVERAGE(終値!AC289:AV289),""))</f>
        <v>0.20530924700890801</v>
      </c>
      <c r="AA289" s="503">
        <f>IF(終値!A289="","",IFERROR(4*STDEVP(終値!AD289:AW289)/AVERAGE(終値!AD289:AW289),""))</f>
        <v>0.20857926366356858</v>
      </c>
      <c r="AB289" s="503">
        <f>IF(終値!A289="","",IFERROR(4*STDEVP(終値!AE289:AX289)/AVERAGE(終値!AE289:AX289),""))</f>
        <v>0.20355407785970361</v>
      </c>
      <c r="AC289" s="503">
        <f>IF(終値!A289="","",IFERROR(4*STDEVP(終値!AF289:AY289)/AVERAGE(終値!AF289:AY289),""))</f>
        <v>0.21788687409162466</v>
      </c>
      <c r="AD289" s="503">
        <f>IF(終値!A289="","",IFERROR(4*STDEVP(終値!AG289:AZ289)/AVERAGE(終値!AG289:AZ289),""))</f>
        <v>0.24695530899391721</v>
      </c>
      <c r="AE289" s="503">
        <f>IF(終値!A289="","",IFERROR(4*STDEVP(終値!AH289:BA289)/AVERAGE(終値!AH289:BA289),""))</f>
        <v>0.27031826546591453</v>
      </c>
      <c r="AF289" s="503">
        <f>IF(終値!A289="","",IFERROR(4*STDEVP(終値!AI289:BB289)/AVERAGE(終値!AI289:BB289),""))</f>
        <v>0.32311236214397154</v>
      </c>
      <c r="AG289" s="503">
        <f>IF(終値!A289="","",IFERROR(4*STDEVP(終値!AJ289:BC289)/AVERAGE(終値!AJ289:BC289),""))</f>
        <v>0.38653365002752188</v>
      </c>
      <c r="AH289" s="503">
        <f>IF(終値!A289="","",IFERROR(4*STDEVP(終値!AK289:BD289)/AVERAGE(終値!AK289:BD289),""))</f>
        <v>0.46187912661509273</v>
      </c>
      <c r="AI289" s="503">
        <f>IF(終値!A289="","",IFERROR(4*STDEVP(終値!AL289:BE289)/AVERAGE(終値!AL289:BE289),""))</f>
        <v>0.50554157003042222</v>
      </c>
      <c r="AJ289" s="503">
        <f>IF(終値!A289="","",IFERROR(4*STDEVP(終値!AM289:BF289)/AVERAGE(終値!AM289:BF289),""))</f>
        <v>0.56968662812038162</v>
      </c>
      <c r="AK289" s="503">
        <f>IF(終値!A289="","",IFERROR(4*STDEVP(終値!AN289:BG289)/AVERAGE(終値!AN289:BG289),""))</f>
        <v>0.68439442545855023</v>
      </c>
      <c r="AL289" s="503">
        <f>IF(終値!A289="","",IFERROR(4*STDEVP(終値!AO289:BH289)/AVERAGE(終値!AO289:BH289),""))</f>
        <v>0.76559504086546892</v>
      </c>
      <c r="AM289" s="503">
        <f>IF(終値!A289="","",IFERROR(4*STDEVP(終値!AP289:BI289)/AVERAGE(終値!AP289:BI289),""))</f>
        <v>0.83681911002860132</v>
      </c>
      <c r="AN289" s="503">
        <f>IF(終値!A289="","",IFERROR(4*STDEVP(終値!AQ289:BJ289)/AVERAGE(終値!AQ289:BJ289),""))</f>
        <v>0.91694338651820517</v>
      </c>
      <c r="AO289" s="503">
        <f>IF(終値!A289="","",IFERROR(4*STDEVP(終値!AR289:BK289)/AVERAGE(終値!AR289:BK289),""))</f>
        <v>0.97735591267392796</v>
      </c>
      <c r="AP289" s="503">
        <f>IF(終値!A289="","",IFERROR(4*STDEVP(終値!AS289:BL289)/AVERAGE(終値!AS289:BL289),""))</f>
        <v>1.0385279740480646</v>
      </c>
    </row>
    <row r="290" spans="1:42">
      <c r="A290" s="500" t="str">
        <f>IF(終値!A290="","",終値!A290)</f>
        <v>6482</v>
      </c>
      <c r="B290" s="503">
        <f>IF(終値!A290="","",IFERROR(4*STDEVP(終値!E290:X290)/AVERAGE(終値!E290:X290),""))</f>
        <v>5.6454971305703885E-2</v>
      </c>
      <c r="C290" s="503">
        <f>IF(終値!A290="","",IFERROR(4*STDEVP(終値!F290:Y290)/AVERAGE(終値!F290:Y290),""))</f>
        <v>6.1909318958905203E-2</v>
      </c>
      <c r="D290" s="503">
        <f>IF(終値!A290="","",IFERROR(4*STDEVP(終値!G290:Z290)/AVERAGE(終値!G290:Z290),""))</f>
        <v>6.7393321076327117E-2</v>
      </c>
      <c r="E290" s="503">
        <f>IF(終値!A290="","",IFERROR(4*STDEVP(終値!H290:AA290)/AVERAGE(終値!H290:AA290),""))</f>
        <v>6.7873866615254214E-2</v>
      </c>
      <c r="F290" s="503">
        <f>IF(終値!A290="","",IFERROR(4*STDEVP(終値!I290:AB290)/AVERAGE(終値!I290:AB290),""))</f>
        <v>6.5748778125353652E-2</v>
      </c>
      <c r="G290" s="503">
        <f>IF(終値!A290="","",IFERROR(4*STDEVP(終値!J290:AC290)/AVERAGE(終値!J290:AC290),""))</f>
        <v>6.6345595518955483E-2</v>
      </c>
      <c r="H290" s="503">
        <f>IF(終値!A290="","",IFERROR(4*STDEVP(終値!K290:AD290)/AVERAGE(終値!K290:AD290),""))</f>
        <v>6.5495330755228648E-2</v>
      </c>
      <c r="I290" s="503">
        <f>IF(終値!A290="","",IFERROR(4*STDEVP(終値!L290:AE290)/AVERAGE(終値!L290:AE290),""))</f>
        <v>6.5390854710974167E-2</v>
      </c>
      <c r="J290" s="503">
        <f>IF(終値!A290="","",IFERROR(4*STDEVP(終値!M290:AF290)/AVERAGE(終値!M290:AF290),""))</f>
        <v>6.5917241999938064E-2</v>
      </c>
      <c r="K290" s="503">
        <f>IF(終値!A290="","",IFERROR(4*STDEVP(終値!N290:AG290)/AVERAGE(終値!N290:AG290),""))</f>
        <v>7.4194903436055684E-2</v>
      </c>
      <c r="L290" s="503">
        <f>IF(終値!A290="","",IFERROR(4*STDEVP(終値!O290:AH290)/AVERAGE(終値!O290:AH290),""))</f>
        <v>7.7459946785541564E-2</v>
      </c>
      <c r="M290" s="503">
        <f>IF(終値!A290="","",IFERROR(4*STDEVP(終値!P290:AI290)/AVERAGE(終値!P290:AI290),""))</f>
        <v>9.7340668640441497E-2</v>
      </c>
      <c r="N290" s="503">
        <f>IF(終値!A290="","",IFERROR(4*STDEVP(終値!Q290:AJ290)/AVERAGE(終値!Q290:AJ290),""))</f>
        <v>0.11362450857413514</v>
      </c>
      <c r="O290" s="503">
        <f>IF(終値!A290="","",IFERROR(4*STDEVP(終値!R290:AK290)/AVERAGE(終値!R290:AK290),""))</f>
        <v>0.12340287919248051</v>
      </c>
      <c r="P290" s="503">
        <f>IF(終値!A290="","",IFERROR(4*STDEVP(終値!S290:AL290)/AVERAGE(終値!S290:AL290),""))</f>
        <v>0.13153586575469325</v>
      </c>
      <c r="Q290" s="503">
        <f>IF(終値!A290="","",IFERROR(4*STDEVP(終値!T290:AM290)/AVERAGE(終値!T290:AM290),""))</f>
        <v>0.1505832038964183</v>
      </c>
      <c r="R290" s="503">
        <f>IF(終値!A290="","",IFERROR(4*STDEVP(終値!U290:AN290)/AVERAGE(終値!U290:AN290),""))</f>
        <v>0.14063820478691777</v>
      </c>
      <c r="S290" s="503">
        <f>IF(終値!A290="","",IFERROR(4*STDEVP(終値!V290:AO290)/AVERAGE(終値!V290:AO290),""))</f>
        <v>0.1327639239526037</v>
      </c>
      <c r="T290" s="503">
        <f>IF(終値!A290="","",IFERROR(4*STDEVP(終値!W290:AP290)/AVERAGE(終値!W290:AP290),""))</f>
        <v>0.13421259254439744</v>
      </c>
      <c r="U290" s="503">
        <f>IF(終値!A290="","",IFERROR(4*STDEVP(終値!X290:AQ290)/AVERAGE(終値!X290:AQ290),""))</f>
        <v>0.13547812788196875</v>
      </c>
      <c r="V290" s="503">
        <f>IF(終値!A290="","",IFERROR(4*STDEVP(終値!Y290:AR290)/AVERAGE(終値!Y290:AR290),""))</f>
        <v>0.1431473892751986</v>
      </c>
      <c r="W290" s="503">
        <f>IF(終値!A290="","",IFERROR(4*STDEVP(終値!Z290:AS290)/AVERAGE(終値!Z290:AS290),""))</f>
        <v>0.15516828883991163</v>
      </c>
      <c r="X290" s="503">
        <f>IF(終値!A290="","",IFERROR(4*STDEVP(終値!AA290:AT290)/AVERAGE(終値!AA290:AT290),""))</f>
        <v>0.16076782911724599</v>
      </c>
      <c r="Y290" s="503">
        <f>IF(終値!A290="","",IFERROR(4*STDEVP(終値!AB290:AU290)/AVERAGE(終値!AB290:AU290),""))</f>
        <v>0.16677314742285534</v>
      </c>
      <c r="Z290" s="503">
        <f>IF(終値!A290="","",IFERROR(4*STDEVP(終値!AC290:AV290)/AVERAGE(終値!AC290:AV290),""))</f>
        <v>0.1759489015551205</v>
      </c>
      <c r="AA290" s="503">
        <f>IF(終値!A290="","",IFERROR(4*STDEVP(終値!AD290:AW290)/AVERAGE(終値!AD290:AW290),""))</f>
        <v>0.18950954487793492</v>
      </c>
      <c r="AB290" s="503">
        <f>IF(終値!A290="","",IFERROR(4*STDEVP(終値!AE290:AX290)/AVERAGE(終値!AE290:AX290),""))</f>
        <v>0.19346803780525598</v>
      </c>
      <c r="AC290" s="503">
        <f>IF(終値!A290="","",IFERROR(4*STDEVP(終値!AF290:AY290)/AVERAGE(終値!AF290:AY290),""))</f>
        <v>0.19530774950355906</v>
      </c>
      <c r="AD290" s="503">
        <f>IF(終値!A290="","",IFERROR(4*STDEVP(終値!AG290:AZ290)/AVERAGE(終値!AG290:AZ290),""))</f>
        <v>0.19806376470424686</v>
      </c>
      <c r="AE290" s="503">
        <f>IF(終値!A290="","",IFERROR(4*STDEVP(終値!AH290:BA290)/AVERAGE(終値!AH290:BA290),""))</f>
        <v>0.19736561429927804</v>
      </c>
      <c r="AF290" s="503">
        <f>IF(終値!A290="","",IFERROR(4*STDEVP(終値!AI290:BB290)/AVERAGE(終値!AI290:BB290),""))</f>
        <v>0.19954312321169754</v>
      </c>
      <c r="AG290" s="503">
        <f>IF(終値!A290="","",IFERROR(4*STDEVP(終値!AJ290:BC290)/AVERAGE(終値!AJ290:BC290),""))</f>
        <v>0.19322820183876921</v>
      </c>
      <c r="AH290" s="503">
        <f>IF(終値!A290="","",IFERROR(4*STDEVP(終値!AK290:BD290)/AVERAGE(終値!AK290:BD290),""))</f>
        <v>0.18478366156061271</v>
      </c>
      <c r="AI290" s="503">
        <f>IF(終値!A290="","",IFERROR(4*STDEVP(終値!AL290:BE290)/AVERAGE(終値!AL290:BE290),""))</f>
        <v>0.1786257946347439</v>
      </c>
      <c r="AJ290" s="503">
        <f>IF(終値!A290="","",IFERROR(4*STDEVP(終値!AM290:BF290)/AVERAGE(終値!AM290:BF290),""))</f>
        <v>0.17073870588223078</v>
      </c>
      <c r="AK290" s="503">
        <f>IF(終値!A290="","",IFERROR(4*STDEVP(終値!AN290:BG290)/AVERAGE(終値!AN290:BG290),""))</f>
        <v>0.14695984155475048</v>
      </c>
      <c r="AL290" s="503">
        <f>IF(終値!A290="","",IFERROR(4*STDEVP(終値!AO290:BH290)/AVERAGE(終値!AO290:BH290),""))</f>
        <v>0.1662146247170754</v>
      </c>
      <c r="AM290" s="503">
        <f>IF(終値!A290="","",IFERROR(4*STDEVP(終値!AP290:BI290)/AVERAGE(終値!AP290:BI290),""))</f>
        <v>0.17344900453005008</v>
      </c>
      <c r="AN290" s="503">
        <f>IF(終値!A290="","",IFERROR(4*STDEVP(終値!AQ290:BJ290)/AVERAGE(終値!AQ290:BJ290),""))</f>
        <v>0.17640675783278242</v>
      </c>
      <c r="AO290" s="503">
        <f>IF(終値!A290="","",IFERROR(4*STDEVP(終値!AR290:BK290)/AVERAGE(終値!AR290:BK290),""))</f>
        <v>0.17385056357211745</v>
      </c>
      <c r="AP290" s="503">
        <f>IF(終値!A290="","",IFERROR(4*STDEVP(終値!AS290:BL290)/AVERAGE(終値!AS290:BL290),""))</f>
        <v>0.17077519815274575</v>
      </c>
    </row>
    <row r="291" spans="1:42">
      <c r="A291" s="500" t="str">
        <f>IF(終値!A291="","",終値!A291)</f>
        <v>6706</v>
      </c>
      <c r="B291" s="503">
        <f>IF(終値!A291="","",IFERROR(4*STDEVP(終値!E291:X291)/AVERAGE(終値!E291:X291),""))</f>
        <v>0.10312715112143116</v>
      </c>
      <c r="C291" s="503">
        <f>IF(終値!A291="","",IFERROR(4*STDEVP(終値!F291:Y291)/AVERAGE(終値!F291:Y291),""))</f>
        <v>8.6062949034759778E-2</v>
      </c>
      <c r="D291" s="503">
        <f>IF(終値!A291="","",IFERROR(4*STDEVP(終値!G291:Z291)/AVERAGE(終値!G291:Z291),""))</f>
        <v>7.1784473551004924E-2</v>
      </c>
      <c r="E291" s="503">
        <f>IF(終値!A291="","",IFERROR(4*STDEVP(終値!H291:AA291)/AVERAGE(終値!H291:AA291),""))</f>
        <v>6.8348801448656502E-2</v>
      </c>
      <c r="F291" s="503">
        <f>IF(終値!A291="","",IFERROR(4*STDEVP(終値!I291:AB291)/AVERAGE(終値!I291:AB291),""))</f>
        <v>6.7009574499748953E-2</v>
      </c>
      <c r="G291" s="503">
        <f>IF(終値!A291="","",IFERROR(4*STDEVP(終値!J291:AC291)/AVERAGE(終値!J291:AC291),""))</f>
        <v>6.4623001699580185E-2</v>
      </c>
      <c r="H291" s="503">
        <f>IF(終値!A291="","",IFERROR(4*STDEVP(終値!K291:AD291)/AVERAGE(終値!K291:AD291),""))</f>
        <v>6.3674703803190819E-2</v>
      </c>
      <c r="I291" s="503">
        <f>IF(終値!A291="","",IFERROR(4*STDEVP(終値!L291:AE291)/AVERAGE(終値!L291:AE291),""))</f>
        <v>7.3164923712965901E-2</v>
      </c>
      <c r="J291" s="503">
        <f>IF(終値!A291="","",IFERROR(4*STDEVP(終値!M291:AF291)/AVERAGE(終値!M291:AF291),""))</f>
        <v>7.6119121920424512E-2</v>
      </c>
      <c r="K291" s="503">
        <f>IF(終値!A291="","",IFERROR(4*STDEVP(終値!N291:AG291)/AVERAGE(終値!N291:AG291),""))</f>
        <v>8.3360994382049095E-2</v>
      </c>
      <c r="L291" s="503">
        <f>IF(終値!A291="","",IFERROR(4*STDEVP(終値!O291:AH291)/AVERAGE(終値!O291:AH291),""))</f>
        <v>8.6088510723598688E-2</v>
      </c>
      <c r="M291" s="503">
        <f>IF(終値!A291="","",IFERROR(4*STDEVP(終値!P291:AI291)/AVERAGE(終値!P291:AI291),""))</f>
        <v>8.8551594187831817E-2</v>
      </c>
      <c r="N291" s="503">
        <f>IF(終値!A291="","",IFERROR(4*STDEVP(終値!Q291:AJ291)/AVERAGE(終値!Q291:AJ291),""))</f>
        <v>9.3172817130783819E-2</v>
      </c>
      <c r="O291" s="503">
        <f>IF(終値!A291="","",IFERROR(4*STDEVP(終値!R291:AK291)/AVERAGE(終値!R291:AK291),""))</f>
        <v>9.5141638671528569E-2</v>
      </c>
      <c r="P291" s="503">
        <f>IF(終値!A291="","",IFERROR(4*STDEVP(終値!S291:AL291)/AVERAGE(終値!S291:AL291),""))</f>
        <v>8.4081393219523376E-2</v>
      </c>
      <c r="Q291" s="503">
        <f>IF(終値!A291="","",IFERROR(4*STDEVP(終値!T291:AM291)/AVERAGE(終値!T291:AM291),""))</f>
        <v>8.7337755720133275E-2</v>
      </c>
      <c r="R291" s="503">
        <f>IF(終値!A291="","",IFERROR(4*STDEVP(終値!U291:AN291)/AVERAGE(終値!U291:AN291),""))</f>
        <v>9.0086903667609186E-2</v>
      </c>
      <c r="S291" s="503">
        <f>IF(終値!A291="","",IFERROR(4*STDEVP(終値!V291:AO291)/AVERAGE(終値!V291:AO291),""))</f>
        <v>0.10308492974910589</v>
      </c>
      <c r="T291" s="503">
        <f>IF(終値!A291="","",IFERROR(4*STDEVP(終値!W291:AP291)/AVERAGE(終値!W291:AP291),""))</f>
        <v>0.10335514794272956</v>
      </c>
      <c r="U291" s="503">
        <f>IF(終値!A291="","",IFERROR(4*STDEVP(終値!X291:AQ291)/AVERAGE(終値!X291:AQ291),""))</f>
        <v>0.10511047220167707</v>
      </c>
      <c r="V291" s="503">
        <f>IF(終値!A291="","",IFERROR(4*STDEVP(終値!Y291:AR291)/AVERAGE(終値!Y291:AR291),""))</f>
        <v>0.10348208589176801</v>
      </c>
      <c r="W291" s="503">
        <f>IF(終値!A291="","",IFERROR(4*STDEVP(終値!Z291:AS291)/AVERAGE(終値!Z291:AS291),""))</f>
        <v>0.11752422781141383</v>
      </c>
      <c r="X291" s="503">
        <f>IF(終値!A291="","",IFERROR(4*STDEVP(終値!AA291:AT291)/AVERAGE(終値!AA291:AT291),""))</f>
        <v>0.14005067568828067</v>
      </c>
      <c r="Y291" s="503">
        <f>IF(終値!A291="","",IFERROR(4*STDEVP(終値!AB291:AU291)/AVERAGE(終値!AB291:AU291),""))</f>
        <v>0.15725527342441084</v>
      </c>
      <c r="Z291" s="503">
        <f>IF(終値!A291="","",IFERROR(4*STDEVP(終値!AC291:AV291)/AVERAGE(終値!AC291:AV291),""))</f>
        <v>0.17312446163112782</v>
      </c>
      <c r="AA291" s="503">
        <f>IF(終値!A291="","",IFERROR(4*STDEVP(終値!AD291:AW291)/AVERAGE(終値!AD291:AW291),""))</f>
        <v>0.18024496034565049</v>
      </c>
      <c r="AB291" s="503">
        <f>IF(終値!A291="","",IFERROR(4*STDEVP(終値!AE291:AX291)/AVERAGE(終値!AE291:AX291),""))</f>
        <v>0.18498703323243529</v>
      </c>
      <c r="AC291" s="503">
        <f>IF(終値!A291="","",IFERROR(4*STDEVP(終値!AF291:AY291)/AVERAGE(終値!AF291:AY291),""))</f>
        <v>0.19276689071468267</v>
      </c>
      <c r="AD291" s="503">
        <f>IF(終値!A291="","",IFERROR(4*STDEVP(終値!AG291:AZ291)/AVERAGE(終値!AG291:AZ291),""))</f>
        <v>0.19117440542510428</v>
      </c>
      <c r="AE291" s="503">
        <f>IF(終値!A291="","",IFERROR(4*STDEVP(終値!AH291:BA291)/AVERAGE(終値!AH291:BA291),""))</f>
        <v>0.18970374885074534</v>
      </c>
      <c r="AF291" s="503">
        <f>IF(終値!A291="","",IFERROR(4*STDEVP(終値!AI291:BB291)/AVERAGE(終値!AI291:BB291),""))</f>
        <v>0.18258175677341112</v>
      </c>
      <c r="AG291" s="503">
        <f>IF(終値!A291="","",IFERROR(4*STDEVP(終値!AJ291:BC291)/AVERAGE(終値!AJ291:BC291),""))</f>
        <v>0.17191330268154559</v>
      </c>
      <c r="AH291" s="503">
        <f>IF(終値!A291="","",IFERROR(4*STDEVP(終値!AK291:BD291)/AVERAGE(終値!AK291:BD291),""))</f>
        <v>0.16234260497358188</v>
      </c>
      <c r="AI291" s="503">
        <f>IF(終値!A291="","",IFERROR(4*STDEVP(終値!AL291:BE291)/AVERAGE(終値!AL291:BE291),""))</f>
        <v>0.15456856980145914</v>
      </c>
      <c r="AJ291" s="503">
        <f>IF(終値!A291="","",IFERROR(4*STDEVP(終値!AM291:BF291)/AVERAGE(終値!AM291:BF291),""))</f>
        <v>0.14361624923703903</v>
      </c>
      <c r="AK291" s="503">
        <f>IF(終値!A291="","",IFERROR(4*STDEVP(終値!AN291:BG291)/AVERAGE(終値!AN291:BG291),""))</f>
        <v>0.13014707297812569</v>
      </c>
      <c r="AL291" s="503">
        <f>IF(終値!A291="","",IFERROR(4*STDEVP(終値!AO291:BH291)/AVERAGE(終値!AO291:BH291),""))</f>
        <v>0.1166064732211278</v>
      </c>
      <c r="AM291" s="503">
        <f>IF(終値!A291="","",IFERROR(4*STDEVP(終値!AP291:BI291)/AVERAGE(終値!AP291:BI291),""))</f>
        <v>0.11238267115897126</v>
      </c>
      <c r="AN291" s="503">
        <f>IF(終値!A291="","",IFERROR(4*STDEVP(終値!AQ291:BJ291)/AVERAGE(終値!AQ291:BJ291),""))</f>
        <v>9.159445107391348E-2</v>
      </c>
      <c r="AO291" s="503">
        <f>IF(終値!A291="","",IFERROR(4*STDEVP(終値!AR291:BK291)/AVERAGE(終値!AR291:BK291),""))</f>
        <v>5.9338380745189552E-2</v>
      </c>
      <c r="AP291" s="503">
        <f>IF(終値!A291="","",IFERROR(4*STDEVP(終値!AS291:BL291)/AVERAGE(終値!AS291:BL291),""))</f>
        <v>4.3179076454733574E-2</v>
      </c>
    </row>
    <row r="292" spans="1:42">
      <c r="A292" s="500" t="str">
        <f>IF(終値!A292="","",終値!A292)</f>
        <v>8141</v>
      </c>
      <c r="B292" s="503">
        <f>IF(終値!A292="","",IFERROR(4*STDEVP(終値!E292:X292)/AVERAGE(終値!E292:X292),""))</f>
        <v>3.8345107477378515E-2</v>
      </c>
      <c r="C292" s="503">
        <f>IF(終値!A292="","",IFERROR(4*STDEVP(終値!F292:Y292)/AVERAGE(終値!F292:Y292),""))</f>
        <v>3.7287519389197318E-2</v>
      </c>
      <c r="D292" s="503">
        <f>IF(終値!A292="","",IFERROR(4*STDEVP(終値!G292:Z292)/AVERAGE(終値!G292:Z292),""))</f>
        <v>3.6005842635159553E-2</v>
      </c>
      <c r="E292" s="503">
        <f>IF(終値!A292="","",IFERROR(4*STDEVP(終値!H292:AA292)/AVERAGE(終値!H292:AA292),""))</f>
        <v>3.5901986753813731E-2</v>
      </c>
      <c r="F292" s="503">
        <f>IF(終値!A292="","",IFERROR(4*STDEVP(終値!I292:AB292)/AVERAGE(終値!I292:AB292),""))</f>
        <v>3.4711907884419135E-2</v>
      </c>
      <c r="G292" s="503">
        <f>IF(終値!A292="","",IFERROR(4*STDEVP(終値!J292:AC292)/AVERAGE(終値!J292:AC292),""))</f>
        <v>2.9934574876100482E-2</v>
      </c>
      <c r="H292" s="503">
        <f>IF(終値!A292="","",IFERROR(4*STDEVP(終値!K292:AD292)/AVERAGE(終値!K292:AD292),""))</f>
        <v>2.5201632719016386E-2</v>
      </c>
      <c r="I292" s="503">
        <f>IF(終値!A292="","",IFERROR(4*STDEVP(終値!L292:AE292)/AVERAGE(終値!L292:AE292),""))</f>
        <v>2.3454642491788049E-2</v>
      </c>
      <c r="J292" s="503">
        <f>IF(終値!A292="","",IFERROR(4*STDEVP(終値!M292:AF292)/AVERAGE(終値!M292:AF292),""))</f>
        <v>2.6740726091347877E-2</v>
      </c>
      <c r="K292" s="503">
        <f>IF(終値!A292="","",IFERROR(4*STDEVP(終値!N292:AG292)/AVERAGE(終値!N292:AG292),""))</f>
        <v>2.7477468077534969E-2</v>
      </c>
      <c r="L292" s="503">
        <f>IF(終値!A292="","",IFERROR(4*STDEVP(終値!O292:AH292)/AVERAGE(終値!O292:AH292),""))</f>
        <v>2.7495755600619943E-2</v>
      </c>
      <c r="M292" s="503">
        <f>IF(終値!A292="","",IFERROR(4*STDEVP(終値!P292:AI292)/AVERAGE(終値!P292:AI292),""))</f>
        <v>2.791521346000252E-2</v>
      </c>
      <c r="N292" s="503">
        <f>IF(終値!A292="","",IFERROR(4*STDEVP(終値!Q292:AJ292)/AVERAGE(終値!Q292:AJ292),""))</f>
        <v>2.861222836454852E-2</v>
      </c>
      <c r="O292" s="503">
        <f>IF(終値!A292="","",IFERROR(4*STDEVP(終値!R292:AK292)/AVERAGE(終値!R292:AK292),""))</f>
        <v>2.8693153138316461E-2</v>
      </c>
      <c r="P292" s="503">
        <f>IF(終値!A292="","",IFERROR(4*STDEVP(終値!S292:AL292)/AVERAGE(終値!S292:AL292),""))</f>
        <v>2.6993588935987238E-2</v>
      </c>
      <c r="Q292" s="503">
        <f>IF(終値!A292="","",IFERROR(4*STDEVP(終値!T292:AM292)/AVERAGE(終値!T292:AM292),""))</f>
        <v>1.773317996036735E-2</v>
      </c>
      <c r="R292" s="503">
        <f>IF(終値!A292="","",IFERROR(4*STDEVP(終値!U292:AN292)/AVERAGE(終値!U292:AN292),""))</f>
        <v>1.7787908576657983E-2</v>
      </c>
      <c r="S292" s="503">
        <f>IF(終値!A292="","",IFERROR(4*STDEVP(終値!V292:AO292)/AVERAGE(終値!V292:AO292),""))</f>
        <v>1.817999965945884E-2</v>
      </c>
      <c r="T292" s="503">
        <f>IF(終値!A292="","",IFERROR(4*STDEVP(終値!W292:AP292)/AVERAGE(終値!W292:AP292),""))</f>
        <v>1.8114259352232275E-2</v>
      </c>
      <c r="U292" s="503">
        <f>IF(終値!A292="","",IFERROR(4*STDEVP(終値!X292:AQ292)/AVERAGE(終値!X292:AQ292),""))</f>
        <v>1.805187744683041E-2</v>
      </c>
      <c r="V292" s="503">
        <f>IF(終値!A292="","",IFERROR(4*STDEVP(終値!Y292:AR292)/AVERAGE(終値!Y292:AR292),""))</f>
        <v>1.7748157825356523E-2</v>
      </c>
      <c r="W292" s="503">
        <f>IF(終値!A292="","",IFERROR(4*STDEVP(終値!Z292:AS292)/AVERAGE(終値!Z292:AS292),""))</f>
        <v>1.7444438240870129E-2</v>
      </c>
      <c r="X292" s="503">
        <f>IF(終値!A292="","",IFERROR(4*STDEVP(終値!AA292:AT292)/AVERAGE(終値!AA292:AT292),""))</f>
        <v>1.7068693418319583E-2</v>
      </c>
      <c r="Y292" s="503">
        <f>IF(終値!A292="","",IFERROR(4*STDEVP(終値!AB292:AU292)/AVERAGE(終値!AB292:AU292),""))</f>
        <v>1.6856815887671576E-2</v>
      </c>
      <c r="Z292" s="503">
        <f>IF(終値!A292="","",IFERROR(4*STDEVP(終値!AC292:AV292)/AVERAGE(終値!AC292:AV292),""))</f>
        <v>1.6503421634505525E-2</v>
      </c>
      <c r="AA292" s="503">
        <f>IF(終値!A292="","",IFERROR(4*STDEVP(終値!AD292:AW292)/AVERAGE(終値!AD292:AW292),""))</f>
        <v>1.6061346819410557E-2</v>
      </c>
      <c r="AB292" s="503">
        <f>IF(終値!A292="","",IFERROR(4*STDEVP(終値!AE292:AX292)/AVERAGE(終値!AE292:AX292),""))</f>
        <v>1.5420194767433986E-2</v>
      </c>
      <c r="AC292" s="503">
        <f>IF(終値!A292="","",IFERROR(4*STDEVP(終値!AF292:AY292)/AVERAGE(終値!AF292:AY292),""))</f>
        <v>1.5330422082005919E-2</v>
      </c>
      <c r="AD292" s="503">
        <f>IF(終値!A292="","",IFERROR(4*STDEVP(終値!AG292:AZ292)/AVERAGE(終値!AG292:AZ292),""))</f>
        <v>1.4967241831391403E-2</v>
      </c>
      <c r="AE292" s="503">
        <f>IF(終値!A292="","",IFERROR(4*STDEVP(終値!AH292:BA292)/AVERAGE(終値!AH292:BA292),""))</f>
        <v>1.753645773658704E-2</v>
      </c>
      <c r="AF292" s="503">
        <f>IF(終値!A292="","",IFERROR(4*STDEVP(終値!AI292:BB292)/AVERAGE(終値!AI292:BB292),""))</f>
        <v>2.0468304229259049E-2</v>
      </c>
      <c r="AG292" s="503">
        <f>IF(終値!A292="","",IFERROR(4*STDEVP(終値!AJ292:BC292)/AVERAGE(終値!AJ292:BC292),""))</f>
        <v>2.5719215087654762E-2</v>
      </c>
      <c r="AH292" s="503">
        <f>IF(終値!A292="","",IFERROR(4*STDEVP(終値!AK292:BD292)/AVERAGE(終値!AK292:BD292),""))</f>
        <v>2.7123056241771342E-2</v>
      </c>
      <c r="AI292" s="503">
        <f>IF(終値!A292="","",IFERROR(4*STDEVP(終値!AL292:BE292)/AVERAGE(終値!AL292:BE292),""))</f>
        <v>3.0624425369483333E-2</v>
      </c>
      <c r="AJ292" s="503">
        <f>IF(終値!A292="","",IFERROR(4*STDEVP(終値!AM292:BF292)/AVERAGE(終値!AM292:BF292),""))</f>
        <v>3.0749308812809534E-2</v>
      </c>
      <c r="AK292" s="503">
        <f>IF(終値!A292="","",IFERROR(4*STDEVP(終値!AN292:BG292)/AVERAGE(終値!AN292:BG292),""))</f>
        <v>4.6408529753071519E-2</v>
      </c>
      <c r="AL292" s="503">
        <f>IF(終値!A292="","",IFERROR(4*STDEVP(終値!AO292:BH292)/AVERAGE(終値!AO292:BH292),""))</f>
        <v>7.2391545512762265E-2</v>
      </c>
      <c r="AM292" s="503">
        <f>IF(終値!A292="","",IFERROR(4*STDEVP(終値!AP292:BI292)/AVERAGE(終値!AP292:BI292),""))</f>
        <v>7.243680969490407E-2</v>
      </c>
      <c r="AN292" s="503">
        <f>IF(終値!A292="","",IFERROR(4*STDEVP(終値!AQ292:BJ292)/AVERAGE(終値!AQ292:BJ292),""))</f>
        <v>8.588054646395453E-2</v>
      </c>
      <c r="AO292" s="503">
        <f>IF(終値!A292="","",IFERROR(4*STDEVP(終値!AR292:BK292)/AVERAGE(終値!AR292:BK292),""))</f>
        <v>9.5423446498347844E-2</v>
      </c>
      <c r="AP292" s="503">
        <f>IF(終値!A292="","",IFERROR(4*STDEVP(終値!AS292:BL292)/AVERAGE(終値!AS292:BL292),""))</f>
        <v>0.11667377023732028</v>
      </c>
    </row>
    <row r="293" spans="1:42">
      <c r="A293" s="500" t="str">
        <f>IF(終値!A293="","",終値!A293)</f>
        <v>8344</v>
      </c>
      <c r="B293" s="503">
        <f>IF(終値!A293="","",IFERROR(4*STDEVP(終値!E293:X293)/AVERAGE(終値!E293:X293),""))</f>
        <v>0.16754268424653582</v>
      </c>
      <c r="C293" s="503">
        <f>IF(終値!A293="","",IFERROR(4*STDEVP(終値!F293:Y293)/AVERAGE(終値!F293:Y293),""))</f>
        <v>0.14400861831631659</v>
      </c>
      <c r="D293" s="503">
        <f>IF(終値!A293="","",IFERROR(4*STDEVP(終値!G293:Z293)/AVERAGE(終値!G293:Z293),""))</f>
        <v>0.14338979800189336</v>
      </c>
      <c r="E293" s="503">
        <f>IF(終値!A293="","",IFERROR(4*STDEVP(終値!H293:AA293)/AVERAGE(終値!H293:AA293),""))</f>
        <v>0.14523242281172732</v>
      </c>
      <c r="F293" s="503">
        <f>IF(終値!A293="","",IFERROR(4*STDEVP(終値!I293:AB293)/AVERAGE(終値!I293:AB293),""))</f>
        <v>0.1442795276232951</v>
      </c>
      <c r="G293" s="503">
        <f>IF(終値!A293="","",IFERROR(4*STDEVP(終値!J293:AC293)/AVERAGE(終値!J293:AC293),""))</f>
        <v>0.15376909566387711</v>
      </c>
      <c r="H293" s="503">
        <f>IF(終値!A293="","",IFERROR(4*STDEVP(終値!K293:AD293)/AVERAGE(終値!K293:AD293),""))</f>
        <v>0.16778455044984969</v>
      </c>
      <c r="I293" s="503">
        <f>IF(終値!A293="","",IFERROR(4*STDEVP(終値!L293:AE293)/AVERAGE(終値!L293:AE293),""))</f>
        <v>0.1899408511285029</v>
      </c>
      <c r="J293" s="503">
        <f>IF(終値!A293="","",IFERROR(4*STDEVP(終値!M293:AF293)/AVERAGE(終値!M293:AF293),""))</f>
        <v>0.21159424207104233</v>
      </c>
      <c r="K293" s="503">
        <f>IF(終値!A293="","",IFERROR(4*STDEVP(終値!N293:AG293)/AVERAGE(終値!N293:AG293),""))</f>
        <v>0.21986063411326054</v>
      </c>
      <c r="L293" s="503">
        <f>IF(終値!A293="","",IFERROR(4*STDEVP(終値!O293:AH293)/AVERAGE(終値!O293:AH293),""))</f>
        <v>0.2404806287992288</v>
      </c>
      <c r="M293" s="503">
        <f>IF(終値!A293="","",IFERROR(4*STDEVP(終値!P293:AI293)/AVERAGE(終値!P293:AI293),""))</f>
        <v>0.25017058179051949</v>
      </c>
      <c r="N293" s="503">
        <f>IF(終値!A293="","",IFERROR(4*STDEVP(終値!Q293:AJ293)/AVERAGE(終値!Q293:AJ293),""))</f>
        <v>0.25753862391614557</v>
      </c>
      <c r="O293" s="503">
        <f>IF(終値!A293="","",IFERROR(4*STDEVP(終値!R293:AK293)/AVERAGE(終値!R293:AK293),""))</f>
        <v>0.265499465068118</v>
      </c>
      <c r="P293" s="503">
        <f>IF(終値!A293="","",IFERROR(4*STDEVP(終値!S293:AL293)/AVERAGE(終値!S293:AL293),""))</f>
        <v>0.26837170490411805</v>
      </c>
      <c r="Q293" s="503">
        <f>IF(終値!A293="","",IFERROR(4*STDEVP(終値!T293:AM293)/AVERAGE(終値!T293:AM293),""))</f>
        <v>0.26058954823193115</v>
      </c>
      <c r="R293" s="503">
        <f>IF(終値!A293="","",IFERROR(4*STDEVP(終値!U293:AN293)/AVERAGE(終値!U293:AN293),""))</f>
        <v>0.25791725712280705</v>
      </c>
      <c r="S293" s="503">
        <f>IF(終値!A293="","",IFERROR(4*STDEVP(終値!V293:AO293)/AVERAGE(終値!V293:AO293),""))</f>
        <v>0.25721020145658036</v>
      </c>
      <c r="T293" s="503">
        <f>IF(終値!A293="","",IFERROR(4*STDEVP(終値!W293:AP293)/AVERAGE(終値!W293:AP293),""))</f>
        <v>0.25712270134711468</v>
      </c>
      <c r="U293" s="503">
        <f>IF(終値!A293="","",IFERROR(4*STDEVP(終値!X293:AQ293)/AVERAGE(終値!X293:AQ293),""))</f>
        <v>0.25690107628095032</v>
      </c>
      <c r="V293" s="503">
        <f>IF(終値!A293="","",IFERROR(4*STDEVP(終値!Y293:AR293)/AVERAGE(終値!Y293:AR293),""))</f>
        <v>0.24962856854348228</v>
      </c>
      <c r="W293" s="503">
        <f>IF(終値!A293="","",IFERROR(4*STDEVP(終値!Z293:AS293)/AVERAGE(終値!Z293:AS293),""))</f>
        <v>0.25857925746997851</v>
      </c>
      <c r="X293" s="503">
        <f>IF(終値!A293="","",IFERROR(4*STDEVP(終値!AA293:AT293)/AVERAGE(終値!AA293:AT293),""))</f>
        <v>0.24085797056246877</v>
      </c>
      <c r="Y293" s="503">
        <f>IF(終値!A293="","",IFERROR(4*STDEVP(終値!AB293:AU293)/AVERAGE(終値!AB293:AU293),""))</f>
        <v>0.22026827353848674</v>
      </c>
      <c r="Z293" s="503">
        <f>IF(終値!A293="","",IFERROR(4*STDEVP(終値!AC293:AV293)/AVERAGE(終値!AC293:AV293),""))</f>
        <v>0.21468209380875428</v>
      </c>
      <c r="AA293" s="503">
        <f>IF(終値!A293="","",IFERROR(4*STDEVP(終値!AD293:AW293)/AVERAGE(終値!AD293:AW293),""))</f>
        <v>0.21778613369509972</v>
      </c>
      <c r="AB293" s="503">
        <f>IF(終値!A293="","",IFERROR(4*STDEVP(終値!AE293:AX293)/AVERAGE(終値!AE293:AX293),""))</f>
        <v>0.21927720255787855</v>
      </c>
      <c r="AC293" s="503">
        <f>IF(終値!A293="","",IFERROR(4*STDEVP(終値!AF293:AY293)/AVERAGE(終値!AF293:AY293),""))</f>
        <v>0.22238196936087337</v>
      </c>
      <c r="AD293" s="503">
        <f>IF(終値!A293="","",IFERROR(4*STDEVP(終値!AG293:AZ293)/AVERAGE(終値!AG293:AZ293),""))</f>
        <v>0.22828120630922152</v>
      </c>
      <c r="AE293" s="503">
        <f>IF(終値!A293="","",IFERROR(4*STDEVP(終値!AH293:BA293)/AVERAGE(終値!AH293:BA293),""))</f>
        <v>0.24086295209284594</v>
      </c>
      <c r="AF293" s="503">
        <f>IF(終値!A293="","",IFERROR(4*STDEVP(終値!AI293:BB293)/AVERAGE(終値!AI293:BB293),""))</f>
        <v>0.24737648165630355</v>
      </c>
      <c r="AG293" s="503">
        <f>IF(終値!A293="","",IFERROR(4*STDEVP(終値!AJ293:BC293)/AVERAGE(終値!AJ293:BC293),""))</f>
        <v>0.25316732495256739</v>
      </c>
      <c r="AH293" s="503">
        <f>IF(終値!A293="","",IFERROR(4*STDEVP(終値!AK293:BD293)/AVERAGE(終値!AK293:BD293),""))</f>
        <v>0.25944631470422602</v>
      </c>
      <c r="AI293" s="503">
        <f>IF(終値!A293="","",IFERROR(4*STDEVP(終値!AL293:BE293)/AVERAGE(終値!AL293:BE293),""))</f>
        <v>0.2668665484973185</v>
      </c>
      <c r="AJ293" s="503">
        <f>IF(終値!A293="","",IFERROR(4*STDEVP(終値!AM293:BF293)/AVERAGE(終値!AM293:BF293),""))</f>
        <v>0.26858999504709702</v>
      </c>
      <c r="AK293" s="503">
        <f>IF(終値!A293="","",IFERROR(4*STDEVP(終値!AN293:BG293)/AVERAGE(終値!AN293:BG293),""))</f>
        <v>0.290573402970425</v>
      </c>
      <c r="AL293" s="503">
        <f>IF(終値!A293="","",IFERROR(4*STDEVP(終値!AO293:BH293)/AVERAGE(終値!AO293:BH293),""))</f>
        <v>0.29406600560363833</v>
      </c>
      <c r="AM293" s="503">
        <f>IF(終値!A293="","",IFERROR(4*STDEVP(終値!AP293:BI293)/AVERAGE(終値!AP293:BI293),""))</f>
        <v>0.28894648839273984</v>
      </c>
      <c r="AN293" s="503">
        <f>IF(終値!A293="","",IFERROR(4*STDEVP(終値!AQ293:BJ293)/AVERAGE(終値!AQ293:BJ293),""))</f>
        <v>0.28757865944697386</v>
      </c>
      <c r="AO293" s="503">
        <f>IF(終値!A293="","",IFERROR(4*STDEVP(終値!AR293:BK293)/AVERAGE(終値!AR293:BK293),""))</f>
        <v>0.29277561912573102</v>
      </c>
      <c r="AP293" s="503">
        <f>IF(終値!A293="","",IFERROR(4*STDEVP(終値!AS293:BL293)/AVERAGE(終値!AS293:BL293),""))</f>
        <v>0.29224154555363119</v>
      </c>
    </row>
    <row r="294" spans="1:42">
      <c r="A294" s="500" t="str">
        <f>IF(終値!A294="","",終値!A294)</f>
        <v>7414</v>
      </c>
      <c r="B294" s="503">
        <f>IF(終値!A294="","",IFERROR(4*STDEVP(終値!E294:X294)/AVERAGE(終値!E294:X294),""))</f>
        <v>7.6838277098516983E-2</v>
      </c>
      <c r="C294" s="503">
        <f>IF(終値!A294="","",IFERROR(4*STDEVP(終値!F294:Y294)/AVERAGE(終値!F294:Y294),""))</f>
        <v>8.1968221247546519E-2</v>
      </c>
      <c r="D294" s="503">
        <f>IF(終値!A294="","",IFERROR(4*STDEVP(終値!G294:Z294)/AVERAGE(終値!G294:Z294),""))</f>
        <v>8.7836430085819664E-2</v>
      </c>
      <c r="E294" s="503">
        <f>IF(終値!A294="","",IFERROR(4*STDEVP(終値!H294:AA294)/AVERAGE(終値!H294:AA294),""))</f>
        <v>9.4392198889842335E-2</v>
      </c>
      <c r="F294" s="503">
        <f>IF(終値!A294="","",IFERROR(4*STDEVP(終値!I294:AB294)/AVERAGE(終値!I294:AB294),""))</f>
        <v>0.10340173382675985</v>
      </c>
      <c r="G294" s="503">
        <f>IF(終値!A294="","",IFERROR(4*STDEVP(終値!J294:AC294)/AVERAGE(終値!J294:AC294),""))</f>
        <v>0.11339901325757483</v>
      </c>
      <c r="H294" s="503">
        <f>IF(終値!A294="","",IFERROR(4*STDEVP(終値!K294:AD294)/AVERAGE(終値!K294:AD294),""))</f>
        <v>0.11249920652333208</v>
      </c>
      <c r="I294" s="503">
        <f>IF(終値!A294="","",IFERROR(4*STDEVP(終値!L294:AE294)/AVERAGE(終値!L294:AE294),""))</f>
        <v>0.10675796309235808</v>
      </c>
      <c r="J294" s="503">
        <f>IF(終値!A294="","",IFERROR(4*STDEVP(終値!M294:AF294)/AVERAGE(終値!M294:AF294),""))</f>
        <v>0.10718996560140069</v>
      </c>
      <c r="K294" s="503">
        <f>IF(終値!A294="","",IFERROR(4*STDEVP(終値!N294:AG294)/AVERAGE(終値!N294:AG294),""))</f>
        <v>0.10326674780137067</v>
      </c>
      <c r="L294" s="503">
        <f>IF(終値!A294="","",IFERROR(4*STDEVP(終値!O294:AH294)/AVERAGE(終値!O294:AH294),""))</f>
        <v>0.10580931145975309</v>
      </c>
      <c r="M294" s="503">
        <f>IF(終値!A294="","",IFERROR(4*STDEVP(終値!P294:AI294)/AVERAGE(終値!P294:AI294),""))</f>
        <v>0.10050539464739713</v>
      </c>
      <c r="N294" s="503">
        <f>IF(終値!A294="","",IFERROR(4*STDEVP(終値!Q294:AJ294)/AVERAGE(終値!Q294:AJ294),""))</f>
        <v>9.2596845403329089E-2</v>
      </c>
      <c r="O294" s="503">
        <f>IF(終値!A294="","",IFERROR(4*STDEVP(終値!R294:AK294)/AVERAGE(終値!R294:AK294),""))</f>
        <v>8.9414143058937648E-2</v>
      </c>
      <c r="P294" s="503">
        <f>IF(終値!A294="","",IFERROR(4*STDEVP(終値!S294:AL294)/AVERAGE(終値!S294:AL294),""))</f>
        <v>8.354180048087595E-2</v>
      </c>
      <c r="Q294" s="503">
        <f>IF(終値!A294="","",IFERROR(4*STDEVP(終値!T294:AM294)/AVERAGE(終値!T294:AM294),""))</f>
        <v>6.9538127829826643E-2</v>
      </c>
      <c r="R294" s="503">
        <f>IF(終値!A294="","",IFERROR(4*STDEVP(終値!U294:AN294)/AVERAGE(終値!U294:AN294),""))</f>
        <v>6.6769543777608326E-2</v>
      </c>
      <c r="S294" s="503">
        <f>IF(終値!A294="","",IFERROR(4*STDEVP(終値!V294:AO294)/AVERAGE(終値!V294:AO294),""))</f>
        <v>6.3114857450453338E-2</v>
      </c>
      <c r="T294" s="503">
        <f>IF(終値!A294="","",IFERROR(4*STDEVP(終値!W294:AP294)/AVERAGE(終値!W294:AP294),""))</f>
        <v>5.7245872447167355E-2</v>
      </c>
      <c r="U294" s="503">
        <f>IF(終値!A294="","",IFERROR(4*STDEVP(終値!X294:AQ294)/AVERAGE(終値!X294:AQ294),""))</f>
        <v>5.4554928375854433E-2</v>
      </c>
      <c r="V294" s="503">
        <f>IF(終値!A294="","",IFERROR(4*STDEVP(終値!Y294:AR294)/AVERAGE(終値!Y294:AR294),""))</f>
        <v>4.8203224983497724E-2</v>
      </c>
      <c r="W294" s="503">
        <f>IF(終値!A294="","",IFERROR(4*STDEVP(終値!Z294:AS294)/AVERAGE(終値!Z294:AS294),""))</f>
        <v>4.1623110214733965E-2</v>
      </c>
      <c r="X294" s="503">
        <f>IF(終値!A294="","",IFERROR(4*STDEVP(終値!AA294:AT294)/AVERAGE(終値!AA294:AT294),""))</f>
        <v>3.3559536171878297E-2</v>
      </c>
      <c r="Y294" s="503">
        <f>IF(終値!A294="","",IFERROR(4*STDEVP(終値!AB294:AU294)/AVERAGE(終値!AB294:AU294),""))</f>
        <v>2.833349550290002E-2</v>
      </c>
      <c r="Z294" s="503">
        <f>IF(終値!A294="","",IFERROR(4*STDEVP(終値!AC294:AV294)/AVERAGE(終値!AC294:AV294),""))</f>
        <v>2.6289452700139243E-2</v>
      </c>
      <c r="AA294" s="503">
        <f>IF(終値!A294="","",IFERROR(4*STDEVP(終値!AD294:AW294)/AVERAGE(終値!AD294:AW294),""))</f>
        <v>2.988094488694552E-2</v>
      </c>
      <c r="AB294" s="503">
        <f>IF(終値!A294="","",IFERROR(4*STDEVP(終値!AE294:AX294)/AVERAGE(終値!AE294:AX294),""))</f>
        <v>3.3397997073953578E-2</v>
      </c>
      <c r="AC294" s="503">
        <f>IF(終値!A294="","",IFERROR(4*STDEVP(終値!AF294:AY294)/AVERAGE(終値!AF294:AY294),""))</f>
        <v>3.5279791773138738E-2</v>
      </c>
      <c r="AD294" s="503">
        <f>IF(終値!A294="","",IFERROR(4*STDEVP(終値!AG294:AZ294)/AVERAGE(終値!AG294:AZ294),""))</f>
        <v>3.6674160236890033E-2</v>
      </c>
      <c r="AE294" s="503">
        <f>IF(終値!A294="","",IFERROR(4*STDEVP(終値!AH294:BA294)/AVERAGE(終値!AH294:BA294),""))</f>
        <v>3.6808017258596851E-2</v>
      </c>
      <c r="AF294" s="503">
        <f>IF(終値!A294="","",IFERROR(4*STDEVP(終値!AI294:BB294)/AVERAGE(終値!AI294:BB294),""))</f>
        <v>3.6852089161351451E-2</v>
      </c>
      <c r="AG294" s="503">
        <f>IF(終値!A294="","",IFERROR(4*STDEVP(終値!AJ294:BC294)/AVERAGE(終値!AJ294:BC294),""))</f>
        <v>3.7047592378811875E-2</v>
      </c>
      <c r="AH294" s="503">
        <f>IF(終値!A294="","",IFERROR(4*STDEVP(終値!AK294:BD294)/AVERAGE(終値!AK294:BD294),""))</f>
        <v>3.6683615059905271E-2</v>
      </c>
      <c r="AI294" s="503">
        <f>IF(終値!A294="","",IFERROR(4*STDEVP(終値!AL294:BE294)/AVERAGE(終値!AL294:BE294),""))</f>
        <v>3.9052313303508245E-2</v>
      </c>
      <c r="AJ294" s="503">
        <f>IF(終値!A294="","",IFERROR(4*STDEVP(終値!AM294:BF294)/AVERAGE(終値!AM294:BF294),""))</f>
        <v>3.9510389215628362E-2</v>
      </c>
      <c r="AK294" s="503">
        <f>IF(終値!A294="","",IFERROR(4*STDEVP(終値!AN294:BG294)/AVERAGE(終値!AN294:BG294),""))</f>
        <v>4.7996215062206138E-2</v>
      </c>
      <c r="AL294" s="503">
        <f>IF(終値!A294="","",IFERROR(4*STDEVP(終値!AO294:BH294)/AVERAGE(終値!AO294:BH294),""))</f>
        <v>8.8480126176936236E-2</v>
      </c>
      <c r="AM294" s="503">
        <f>IF(終値!A294="","",IFERROR(4*STDEVP(終値!AP294:BI294)/AVERAGE(終値!AP294:BI294),""))</f>
        <v>0.1079010165669369</v>
      </c>
      <c r="AN294" s="503">
        <f>IF(終値!A294="","",IFERROR(4*STDEVP(終値!AQ294:BJ294)/AVERAGE(終値!AQ294:BJ294),""))</f>
        <v>0.12548359320113461</v>
      </c>
      <c r="AO294" s="503">
        <f>IF(終値!A294="","",IFERROR(4*STDEVP(終値!AR294:BK294)/AVERAGE(終値!AR294:BK294),""))</f>
        <v>0.1358110215740847</v>
      </c>
      <c r="AP294" s="503">
        <f>IF(終値!A294="","",IFERROR(4*STDEVP(終値!AS294:BL294)/AVERAGE(終値!AS294:BL294),""))</f>
        <v>0.14067759673751565</v>
      </c>
    </row>
    <row r="295" spans="1:42">
      <c r="A295" s="500" t="str">
        <f>IF(終値!A295="","",終値!A295)</f>
        <v>6407</v>
      </c>
      <c r="B295" s="503">
        <f>IF(終値!A295="","",IFERROR(4*STDEVP(終値!E295:X295)/AVERAGE(終値!E295:X295),""))</f>
        <v>0.36242562616605128</v>
      </c>
      <c r="C295" s="503">
        <f>IF(終値!A295="","",IFERROR(4*STDEVP(終値!F295:Y295)/AVERAGE(終値!F295:Y295),""))</f>
        <v>0.36738443903360801</v>
      </c>
      <c r="D295" s="503">
        <f>IF(終値!A295="","",IFERROR(4*STDEVP(終値!G295:Z295)/AVERAGE(終値!G295:Z295),""))</f>
        <v>0.39176049912779065</v>
      </c>
      <c r="E295" s="503">
        <f>IF(終値!A295="","",IFERROR(4*STDEVP(終値!H295:AA295)/AVERAGE(終値!H295:AA295),""))</f>
        <v>0.4126018858440868</v>
      </c>
      <c r="F295" s="503">
        <f>IF(終値!A295="","",IFERROR(4*STDEVP(終値!I295:AB295)/AVERAGE(終値!I295:AB295),""))</f>
        <v>0.41551311668527174</v>
      </c>
      <c r="G295" s="503">
        <f>IF(終値!A295="","",IFERROR(4*STDEVP(終値!J295:AC295)/AVERAGE(終値!J295:AC295),""))</f>
        <v>0.43292556225374113</v>
      </c>
      <c r="H295" s="503">
        <f>IF(終値!A295="","",IFERROR(4*STDEVP(終値!K295:AD295)/AVERAGE(終値!K295:AD295),""))</f>
        <v>0.38638465808244921</v>
      </c>
      <c r="I295" s="503">
        <f>IF(終値!A295="","",IFERROR(4*STDEVP(終値!L295:AE295)/AVERAGE(終値!L295:AE295),""))</f>
        <v>0.31089789058707684</v>
      </c>
      <c r="J295" s="503">
        <f>IF(終値!A295="","",IFERROR(4*STDEVP(終値!M295:AF295)/AVERAGE(終値!M295:AF295),""))</f>
        <v>0.24950161929542469</v>
      </c>
      <c r="K295" s="503">
        <f>IF(終値!A295="","",IFERROR(4*STDEVP(終値!N295:AG295)/AVERAGE(終値!N295:AG295),""))</f>
        <v>0.24874853692223348</v>
      </c>
      <c r="L295" s="503">
        <f>IF(終値!A295="","",IFERROR(4*STDEVP(終値!O295:AH295)/AVERAGE(終値!O295:AH295),""))</f>
        <v>0.24543176410412354</v>
      </c>
      <c r="M295" s="503">
        <f>IF(終値!A295="","",IFERROR(4*STDEVP(終値!P295:AI295)/AVERAGE(終値!P295:AI295),""))</f>
        <v>0.24482944514494209</v>
      </c>
      <c r="N295" s="503">
        <f>IF(終値!A295="","",IFERROR(4*STDEVP(終値!Q295:AJ295)/AVERAGE(終値!Q295:AJ295),""))</f>
        <v>0.25814685547259858</v>
      </c>
      <c r="O295" s="503">
        <f>IF(終値!A295="","",IFERROR(4*STDEVP(終値!R295:AK295)/AVERAGE(終値!R295:AK295),""))</f>
        <v>0.24918925697194477</v>
      </c>
      <c r="P295" s="503">
        <f>IF(終値!A295="","",IFERROR(4*STDEVP(終値!S295:AL295)/AVERAGE(終値!S295:AL295),""))</f>
        <v>0.21816595124459787</v>
      </c>
      <c r="Q295" s="503">
        <f>IF(終値!A295="","",IFERROR(4*STDEVP(終値!T295:AM295)/AVERAGE(終値!T295:AM295),""))</f>
        <v>0.21678741124289577</v>
      </c>
      <c r="R295" s="503">
        <f>IF(終値!A295="","",IFERROR(4*STDEVP(終値!U295:AN295)/AVERAGE(終値!U295:AN295),""))</f>
        <v>0.19930363107822965</v>
      </c>
      <c r="S295" s="503">
        <f>IF(終値!A295="","",IFERROR(4*STDEVP(終値!V295:AO295)/AVERAGE(終値!V295:AO295),""))</f>
        <v>0.18524729894338537</v>
      </c>
      <c r="T295" s="503">
        <f>IF(終値!A295="","",IFERROR(4*STDEVP(終値!W295:AP295)/AVERAGE(終値!W295:AP295),""))</f>
        <v>0.20824287294040469</v>
      </c>
      <c r="U295" s="503">
        <f>IF(終値!A295="","",IFERROR(4*STDEVP(終値!X295:AQ295)/AVERAGE(終値!X295:AQ295),""))</f>
        <v>0.25038741576348023</v>
      </c>
      <c r="V295" s="503">
        <f>IF(終値!A295="","",IFERROR(4*STDEVP(終値!Y295:AR295)/AVERAGE(終値!Y295:AR295),""))</f>
        <v>0.27867662097670171</v>
      </c>
      <c r="W295" s="503">
        <f>IF(終値!A295="","",IFERROR(4*STDEVP(終値!Z295:AS295)/AVERAGE(終値!Z295:AS295),""))</f>
        <v>0.33143101496702304</v>
      </c>
      <c r="X295" s="503">
        <f>IF(終値!A295="","",IFERROR(4*STDEVP(終値!AA295:AT295)/AVERAGE(終値!AA295:AT295),""))</f>
        <v>0.35668534537083574</v>
      </c>
      <c r="Y295" s="503">
        <f>IF(終値!A295="","",IFERROR(4*STDEVP(終値!AB295:AU295)/AVERAGE(終値!AB295:AU295),""))</f>
        <v>0.37629464955821929</v>
      </c>
      <c r="Z295" s="503">
        <f>IF(終値!A295="","",IFERROR(4*STDEVP(終値!AC295:AV295)/AVERAGE(終値!AC295:AV295),""))</f>
        <v>0.38706252645255257</v>
      </c>
      <c r="AA295" s="503">
        <f>IF(終値!A295="","",IFERROR(4*STDEVP(終値!AD295:AW295)/AVERAGE(終値!AD295:AW295),""))</f>
        <v>0.39229452369275003</v>
      </c>
      <c r="AB295" s="503">
        <f>IF(終値!A295="","",IFERROR(4*STDEVP(終値!AE295:AX295)/AVERAGE(終値!AE295:AX295),""))</f>
        <v>0.39616656355697771</v>
      </c>
      <c r="AC295" s="503">
        <f>IF(終値!A295="","",IFERROR(4*STDEVP(終値!AF295:AY295)/AVERAGE(終値!AF295:AY295),""))</f>
        <v>0.39497199648231451</v>
      </c>
      <c r="AD295" s="503">
        <f>IF(終値!A295="","",IFERROR(4*STDEVP(終値!AG295:AZ295)/AVERAGE(終値!AG295:AZ295),""))</f>
        <v>0.39476282156450354</v>
      </c>
      <c r="AE295" s="503">
        <f>IF(終値!A295="","",IFERROR(4*STDEVP(終値!AH295:BA295)/AVERAGE(終値!AH295:BA295),""))</f>
        <v>0.38007125626969468</v>
      </c>
      <c r="AF295" s="503">
        <f>IF(終値!A295="","",IFERROR(4*STDEVP(終値!AI295:BB295)/AVERAGE(終値!AI295:BB295),""))</f>
        <v>0.37578563818037064</v>
      </c>
      <c r="AG295" s="503">
        <f>IF(終値!A295="","",IFERROR(4*STDEVP(終値!AJ295:BC295)/AVERAGE(終値!AJ295:BC295),""))</f>
        <v>0.37142019554306183</v>
      </c>
      <c r="AH295" s="503">
        <f>IF(終値!A295="","",IFERROR(4*STDEVP(終値!AK295:BD295)/AVERAGE(終値!AK295:BD295),""))</f>
        <v>0.34553428713189971</v>
      </c>
      <c r="AI295" s="503">
        <f>IF(終値!A295="","",IFERROR(4*STDEVP(終値!AL295:BE295)/AVERAGE(終値!AL295:BE295),""))</f>
        <v>0.33047365918445215</v>
      </c>
      <c r="AJ295" s="503">
        <f>IF(終値!A295="","",IFERROR(4*STDEVP(終値!AM295:BF295)/AVERAGE(終値!AM295:BF295),""))</f>
        <v>0.29009334146481869</v>
      </c>
      <c r="AK295" s="503">
        <f>IF(終値!A295="","",IFERROR(4*STDEVP(終値!AN295:BG295)/AVERAGE(終値!AN295:BG295),""))</f>
        <v>0.26452052888045957</v>
      </c>
      <c r="AL295" s="503">
        <f>IF(終値!A295="","",IFERROR(4*STDEVP(終値!AO295:BH295)/AVERAGE(終値!AO295:BH295),""))</f>
        <v>0.23900811139565983</v>
      </c>
      <c r="AM295" s="503">
        <f>IF(終値!A295="","",IFERROR(4*STDEVP(終値!AP295:BI295)/AVERAGE(終値!AP295:BI295),""))</f>
        <v>0.21046435995417323</v>
      </c>
      <c r="AN295" s="503">
        <f>IF(終値!A295="","",IFERROR(4*STDEVP(終値!AQ295:BJ295)/AVERAGE(終値!AQ295:BJ295),""))</f>
        <v>0.21431324070681601</v>
      </c>
      <c r="AO295" s="503">
        <f>IF(終値!A295="","",IFERROR(4*STDEVP(終値!AR295:BK295)/AVERAGE(終値!AR295:BK295),""))</f>
        <v>0.21064608027665901</v>
      </c>
      <c r="AP295" s="503">
        <f>IF(終値!A295="","",IFERROR(4*STDEVP(終値!AS295:BL295)/AVERAGE(終値!AS295:BL295),""))</f>
        <v>0.20662891954624713</v>
      </c>
    </row>
    <row r="296" spans="1:42">
      <c r="A296" s="500" t="str">
        <f>IF(終値!A296="","",終値!A296)</f>
        <v>7048</v>
      </c>
      <c r="B296" s="503">
        <f>IF(終値!A296="","",IFERROR(4*STDEVP(終値!E296:X296)/AVERAGE(終値!E296:X296),""))</f>
        <v>0.20323171411039156</v>
      </c>
      <c r="C296" s="503">
        <f>IF(終値!A296="","",IFERROR(4*STDEVP(終値!F296:Y296)/AVERAGE(終値!F296:Y296),""))</f>
        <v>0.20123988210729496</v>
      </c>
      <c r="D296" s="503">
        <f>IF(終値!A296="","",IFERROR(4*STDEVP(終値!G296:Z296)/AVERAGE(終値!G296:Z296),""))</f>
        <v>0.20035037125806554</v>
      </c>
      <c r="E296" s="503">
        <f>IF(終値!A296="","",IFERROR(4*STDEVP(終値!H296:AA296)/AVERAGE(終値!H296:AA296),""))</f>
        <v>0.19865868386013455</v>
      </c>
      <c r="F296" s="503">
        <f>IF(終値!A296="","",IFERROR(4*STDEVP(終値!I296:AB296)/AVERAGE(終値!I296:AB296),""))</f>
        <v>0.19692257116765793</v>
      </c>
      <c r="G296" s="503">
        <f>IF(終値!A296="","",IFERROR(4*STDEVP(終値!J296:AC296)/AVERAGE(終値!J296:AC296),""))</f>
        <v>0.19231510000903074</v>
      </c>
      <c r="H296" s="503">
        <f>IF(終値!A296="","",IFERROR(4*STDEVP(終値!K296:AD296)/AVERAGE(終値!K296:AD296),""))</f>
        <v>0.18536100320531396</v>
      </c>
      <c r="I296" s="503">
        <f>IF(終値!A296="","",IFERROR(4*STDEVP(終値!L296:AE296)/AVERAGE(終値!L296:AE296),""))</f>
        <v>0.17776130202148258</v>
      </c>
      <c r="J296" s="503">
        <f>IF(終値!A296="","",IFERROR(4*STDEVP(終値!M296:AF296)/AVERAGE(終値!M296:AF296),""))</f>
        <v>0.16907562061992101</v>
      </c>
      <c r="K296" s="503">
        <f>IF(終値!A296="","",IFERROR(4*STDEVP(終値!N296:AG296)/AVERAGE(終値!N296:AG296),""))</f>
        <v>0.16582284753228635</v>
      </c>
      <c r="L296" s="503">
        <f>IF(終値!A296="","",IFERROR(4*STDEVP(終値!O296:AH296)/AVERAGE(終値!O296:AH296),""))</f>
        <v>0.16740401024840751</v>
      </c>
      <c r="M296" s="503">
        <f>IF(終値!A296="","",IFERROR(4*STDEVP(終値!P296:AI296)/AVERAGE(終値!P296:AI296),""))</f>
        <v>0.20791511970957377</v>
      </c>
      <c r="N296" s="503">
        <f>IF(終値!A296="","",IFERROR(4*STDEVP(終値!Q296:AJ296)/AVERAGE(終値!Q296:AJ296),""))</f>
        <v>0.2002950939774962</v>
      </c>
      <c r="O296" s="503">
        <f>IF(終値!A296="","",IFERROR(4*STDEVP(終値!R296:AK296)/AVERAGE(終値!R296:AK296),""))</f>
        <v>0.2215366751614059</v>
      </c>
      <c r="P296" s="503">
        <f>IF(終値!A296="","",IFERROR(4*STDEVP(終値!S296:AL296)/AVERAGE(終値!S296:AL296),""))</f>
        <v>0.24058417351403483</v>
      </c>
      <c r="Q296" s="503">
        <f>IF(終値!A296="","",IFERROR(4*STDEVP(終値!T296:AM296)/AVERAGE(終値!T296:AM296),""))</f>
        <v>0.29343757012086097</v>
      </c>
      <c r="R296" s="503">
        <f>IF(終値!A296="","",IFERROR(4*STDEVP(終値!U296:AN296)/AVERAGE(終値!U296:AN296),""))</f>
        <v>0.3589218871722451</v>
      </c>
      <c r="S296" s="503">
        <f>IF(終値!A296="","",IFERROR(4*STDEVP(終値!V296:AO296)/AVERAGE(終値!V296:AO296),""))</f>
        <v>0.40227942559100749</v>
      </c>
      <c r="T296" s="503">
        <f>IF(終値!A296="","",IFERROR(4*STDEVP(終値!W296:AP296)/AVERAGE(終値!W296:AP296),""))</f>
        <v>0.46385539186789759</v>
      </c>
      <c r="U296" s="503">
        <f>IF(終値!A296="","",IFERROR(4*STDEVP(終値!X296:AQ296)/AVERAGE(終値!X296:AQ296),""))</f>
        <v>0.52609728321175986</v>
      </c>
      <c r="V296" s="503">
        <f>IF(終値!A296="","",IFERROR(4*STDEVP(終値!Y296:AR296)/AVERAGE(終値!Y296:AR296),""))</f>
        <v>0.56086601457767649</v>
      </c>
      <c r="W296" s="503">
        <f>IF(終値!A296="","",IFERROR(4*STDEVP(終値!Z296:AS296)/AVERAGE(終値!Z296:AS296),""))</f>
        <v>0.58715265906921144</v>
      </c>
      <c r="X296" s="503">
        <f>IF(終値!A296="","",IFERROR(4*STDEVP(終値!AA296:AT296)/AVERAGE(終値!AA296:AT296),""))</f>
        <v>0.59920746171241945</v>
      </c>
      <c r="Y296" s="503">
        <f>IF(終値!A296="","",IFERROR(4*STDEVP(終値!AB296:AU296)/AVERAGE(終値!AB296:AU296),""))</f>
        <v>0.60638520929154682</v>
      </c>
      <c r="Z296" s="503">
        <f>IF(終値!A296="","",IFERROR(4*STDEVP(終値!AC296:AV296)/AVERAGE(終値!AC296:AV296),""))</f>
        <v>0.60789536820748913</v>
      </c>
      <c r="AA296" s="503">
        <f>IF(終値!A296="","",IFERROR(4*STDEVP(終値!AD296:AW296)/AVERAGE(終値!AD296:AW296),""))</f>
        <v>0.61241569271818286</v>
      </c>
      <c r="AB296" s="503">
        <f>IF(終値!A296="","",IFERROR(4*STDEVP(終値!AE296:AX296)/AVERAGE(終値!AE296:AX296),""))</f>
        <v>0.60962312171231481</v>
      </c>
      <c r="AC296" s="503">
        <f>IF(終値!A296="","",IFERROR(4*STDEVP(終値!AF296:AY296)/AVERAGE(終値!AF296:AY296),""))</f>
        <v>0.60510837116969773</v>
      </c>
      <c r="AD296" s="503">
        <f>IF(終値!A296="","",IFERROR(4*STDEVP(終値!AG296:AZ296)/AVERAGE(終値!AG296:AZ296),""))</f>
        <v>0.59779531372453198</v>
      </c>
      <c r="AE296" s="503">
        <f>IF(終値!A296="","",IFERROR(4*STDEVP(終値!AH296:BA296)/AVERAGE(終値!AH296:BA296),""))</f>
        <v>0.58368833754284621</v>
      </c>
      <c r="AF296" s="503">
        <f>IF(終値!A296="","",IFERROR(4*STDEVP(終値!AI296:BB296)/AVERAGE(終値!AI296:BB296),""))</f>
        <v>0.53629111658883832</v>
      </c>
      <c r="AG296" s="503">
        <f>IF(終値!A296="","",IFERROR(4*STDEVP(終値!AJ296:BC296)/AVERAGE(終値!AJ296:BC296),""))</f>
        <v>0.36609561511879013</v>
      </c>
      <c r="AH296" s="503">
        <f>IF(終値!A296="","",IFERROR(4*STDEVP(終値!AK296:BD296)/AVERAGE(終値!AK296:BD296),""))</f>
        <v>0.2794276338358288</v>
      </c>
      <c r="AI296" s="503">
        <f>IF(終値!A296="","",IFERROR(4*STDEVP(終値!AL296:BE296)/AVERAGE(終値!AL296:BE296),""))</f>
        <v>0.26597372482844189</v>
      </c>
      <c r="AJ296" s="503">
        <f>IF(終値!A296="","",IFERROR(4*STDEVP(終値!AM296:BF296)/AVERAGE(終値!AM296:BF296),""))</f>
        <v>0.25327344048837924</v>
      </c>
      <c r="AK296" s="503">
        <f>IF(終値!A296="","",IFERROR(4*STDEVP(終値!AN296:BG296)/AVERAGE(終値!AN296:BG296),""))</f>
        <v>0.27195520258190714</v>
      </c>
      <c r="AL296" s="503">
        <f>IF(終値!A296="","",IFERROR(4*STDEVP(終値!AO296:BH296)/AVERAGE(終値!AO296:BH296),""))</f>
        <v>0.31159995213680169</v>
      </c>
      <c r="AM296" s="503">
        <f>IF(終値!A296="","",IFERROR(4*STDEVP(終値!AP296:BI296)/AVERAGE(終値!AP296:BI296),""))</f>
        <v>0.36098710607340423</v>
      </c>
      <c r="AN296" s="503">
        <f>IF(終値!A296="","",IFERROR(4*STDEVP(終値!AQ296:BJ296)/AVERAGE(終値!AQ296:BJ296),""))</f>
        <v>0.3723611440826694</v>
      </c>
      <c r="AO296" s="503">
        <f>IF(終値!A296="","",IFERROR(4*STDEVP(終値!AR296:BK296)/AVERAGE(終値!AR296:BK296),""))</f>
        <v>0.36655413789576924</v>
      </c>
      <c r="AP296" s="503">
        <f>IF(終値!A296="","",IFERROR(4*STDEVP(終値!AS296:BL296)/AVERAGE(終値!AS296:BL296),""))</f>
        <v>0.36955463085349555</v>
      </c>
    </row>
    <row r="297" spans="1:42">
      <c r="A297" s="500" t="str">
        <f>IF(終値!A297="","",終値!A297)</f>
        <v>1808</v>
      </c>
      <c r="B297" s="503">
        <f>IF(終値!A297="","",IFERROR(4*STDEVP(終値!E297:X297)/AVERAGE(終値!E297:X297),""))</f>
        <v>9.1040784710174849E-2</v>
      </c>
      <c r="C297" s="503">
        <f>IF(終値!A297="","",IFERROR(4*STDEVP(終値!F297:Y297)/AVERAGE(終値!F297:Y297),""))</f>
        <v>8.8540141589521879E-2</v>
      </c>
      <c r="D297" s="503">
        <f>IF(終値!A297="","",IFERROR(4*STDEVP(終値!G297:Z297)/AVERAGE(終値!G297:Z297),""))</f>
        <v>7.9421085378518927E-2</v>
      </c>
      <c r="E297" s="503">
        <f>IF(終値!A297="","",IFERROR(4*STDEVP(終値!H297:AA297)/AVERAGE(終値!H297:AA297),""))</f>
        <v>6.2828008988116343E-2</v>
      </c>
      <c r="F297" s="503">
        <f>IF(終値!A297="","",IFERROR(4*STDEVP(終値!I297:AB297)/AVERAGE(終値!I297:AB297),""))</f>
        <v>5.220061939559606E-2</v>
      </c>
      <c r="G297" s="503">
        <f>IF(終値!A297="","",IFERROR(4*STDEVP(終値!J297:AC297)/AVERAGE(終値!J297:AC297),""))</f>
        <v>5.2670988193407584E-2</v>
      </c>
      <c r="H297" s="503">
        <f>IF(終値!A297="","",IFERROR(4*STDEVP(終値!K297:AD297)/AVERAGE(終値!K297:AD297),""))</f>
        <v>5.3078174726478931E-2</v>
      </c>
      <c r="I297" s="503">
        <f>IF(終値!A297="","",IFERROR(4*STDEVP(終値!L297:AE297)/AVERAGE(終値!L297:AE297),""))</f>
        <v>4.6209661824654712E-2</v>
      </c>
      <c r="J297" s="503">
        <f>IF(終値!A297="","",IFERROR(4*STDEVP(終値!M297:AF297)/AVERAGE(終値!M297:AF297),""))</f>
        <v>4.6879543457474304E-2</v>
      </c>
      <c r="K297" s="503">
        <f>IF(終値!A297="","",IFERROR(4*STDEVP(終値!N297:AG297)/AVERAGE(終値!N297:AG297),""))</f>
        <v>4.8265968292387329E-2</v>
      </c>
      <c r="L297" s="503">
        <f>IF(終値!A297="","",IFERROR(4*STDEVP(終値!O297:AH297)/AVERAGE(終値!O297:AH297),""))</f>
        <v>5.4859361942488971E-2</v>
      </c>
      <c r="M297" s="503">
        <f>IF(終値!A297="","",IFERROR(4*STDEVP(終値!P297:AI297)/AVERAGE(終値!P297:AI297),""))</f>
        <v>6.0185445907850139E-2</v>
      </c>
      <c r="N297" s="503">
        <f>IF(終値!A297="","",IFERROR(4*STDEVP(終値!Q297:AJ297)/AVERAGE(終値!Q297:AJ297),""))</f>
        <v>6.6145849434193826E-2</v>
      </c>
      <c r="O297" s="503">
        <f>IF(終値!A297="","",IFERROR(4*STDEVP(終値!R297:AK297)/AVERAGE(終値!R297:AK297),""))</f>
        <v>6.915013765946372E-2</v>
      </c>
      <c r="P297" s="503">
        <f>IF(終値!A297="","",IFERROR(4*STDEVP(終値!S297:AL297)/AVERAGE(終値!S297:AL297),""))</f>
        <v>7.9943770270036157E-2</v>
      </c>
      <c r="Q297" s="503">
        <f>IF(終値!A297="","",IFERROR(4*STDEVP(終値!T297:AM297)/AVERAGE(終値!T297:AM297),""))</f>
        <v>8.3786474794737442E-2</v>
      </c>
      <c r="R297" s="503">
        <f>IF(終値!A297="","",IFERROR(4*STDEVP(終値!U297:AN297)/AVERAGE(終値!U297:AN297),""))</f>
        <v>8.8462535849971199E-2</v>
      </c>
      <c r="S297" s="503">
        <f>IF(終値!A297="","",IFERROR(4*STDEVP(終値!V297:AO297)/AVERAGE(終値!V297:AO297),""))</f>
        <v>9.1372961137731523E-2</v>
      </c>
      <c r="T297" s="503">
        <f>IF(終値!A297="","",IFERROR(4*STDEVP(終値!W297:AP297)/AVERAGE(終値!W297:AP297),""))</f>
        <v>9.5071265596025231E-2</v>
      </c>
      <c r="U297" s="503">
        <f>IF(終値!A297="","",IFERROR(4*STDEVP(終値!X297:AQ297)/AVERAGE(終値!X297:AQ297),""))</f>
        <v>9.5842218472735871E-2</v>
      </c>
      <c r="V297" s="503">
        <f>IF(終値!A297="","",IFERROR(4*STDEVP(終値!Y297:AR297)/AVERAGE(終値!Y297:AR297),""))</f>
        <v>9.39717277950506E-2</v>
      </c>
      <c r="W297" s="503">
        <f>IF(終値!A297="","",IFERROR(4*STDEVP(終値!Z297:AS297)/AVERAGE(終値!Z297:AS297),""))</f>
        <v>9.3992598389630685E-2</v>
      </c>
      <c r="X297" s="503">
        <f>IF(終値!A297="","",IFERROR(4*STDEVP(終値!AA297:AT297)/AVERAGE(終値!AA297:AT297),""))</f>
        <v>9.0292590383136431E-2</v>
      </c>
      <c r="Y297" s="503">
        <f>IF(終値!A297="","",IFERROR(4*STDEVP(終値!AB297:AU297)/AVERAGE(終値!AB297:AU297),""))</f>
        <v>9.2778745339273203E-2</v>
      </c>
      <c r="Z297" s="503">
        <f>IF(終値!A297="","",IFERROR(4*STDEVP(終値!AC297:AV297)/AVERAGE(終値!AC297:AV297),""))</f>
        <v>9.5180172366969351E-2</v>
      </c>
      <c r="AA297" s="503">
        <f>IF(終値!A297="","",IFERROR(4*STDEVP(終値!AD297:AW297)/AVERAGE(終値!AD297:AW297),""))</f>
        <v>9.9280595556513945E-2</v>
      </c>
      <c r="AB297" s="503">
        <f>IF(終値!A297="","",IFERROR(4*STDEVP(終値!AE297:AX297)/AVERAGE(終値!AE297:AX297),""))</f>
        <v>8.9293021853398907E-2</v>
      </c>
      <c r="AC297" s="503">
        <f>IF(終値!A297="","",IFERROR(4*STDEVP(終値!AF297:AY297)/AVERAGE(終値!AF297:AY297),""))</f>
        <v>7.7039035629056854E-2</v>
      </c>
      <c r="AD297" s="503">
        <f>IF(終値!A297="","",IFERROR(4*STDEVP(終値!AG297:AZ297)/AVERAGE(終値!AG297:AZ297),""))</f>
        <v>5.714823256976162E-2</v>
      </c>
      <c r="AE297" s="503">
        <f>IF(終値!A297="","",IFERROR(4*STDEVP(終値!AH297:BA297)/AVERAGE(終値!AH297:BA297),""))</f>
        <v>5.2325370139853146E-2</v>
      </c>
      <c r="AF297" s="503">
        <f>IF(終値!A297="","",IFERROR(4*STDEVP(終値!AI297:BB297)/AVERAGE(終値!AI297:BB297),""))</f>
        <v>5.1651490308370893E-2</v>
      </c>
      <c r="AG297" s="503">
        <f>IF(終値!A297="","",IFERROR(4*STDEVP(終値!AJ297:BC297)/AVERAGE(終値!AJ297:BC297),""))</f>
        <v>5.1582464704124933E-2</v>
      </c>
      <c r="AH297" s="503">
        <f>IF(終値!A297="","",IFERROR(4*STDEVP(終値!AK297:BD297)/AVERAGE(終値!AK297:BD297),""))</f>
        <v>5.1363803339428658E-2</v>
      </c>
      <c r="AI297" s="503">
        <f>IF(終値!A297="","",IFERROR(4*STDEVP(終値!AL297:BE297)/AVERAGE(終値!AL297:BE297),""))</f>
        <v>5.9968149203207408E-2</v>
      </c>
      <c r="AJ297" s="503">
        <f>IF(終値!A297="","",IFERROR(4*STDEVP(終値!AM297:BF297)/AVERAGE(終値!AM297:BF297),""))</f>
        <v>7.7191039288673921E-2</v>
      </c>
      <c r="AK297" s="503">
        <f>IF(終値!A297="","",IFERROR(4*STDEVP(終値!AN297:BG297)/AVERAGE(終値!AN297:BG297),""))</f>
        <v>7.7311677237829515E-2</v>
      </c>
      <c r="AL297" s="503">
        <f>IF(終値!A297="","",IFERROR(4*STDEVP(終値!AO297:BH297)/AVERAGE(終値!AO297:BH297),""))</f>
        <v>7.7324380051862734E-2</v>
      </c>
      <c r="AM297" s="503">
        <f>IF(終値!A297="","",IFERROR(4*STDEVP(終値!AP297:BI297)/AVERAGE(終値!AP297:BI297),""))</f>
        <v>8.2841948727582868E-2</v>
      </c>
      <c r="AN297" s="503">
        <f>IF(終値!A297="","",IFERROR(4*STDEVP(終値!AQ297:BJ297)/AVERAGE(終値!AQ297:BJ297),""))</f>
        <v>8.8805278046932112E-2</v>
      </c>
      <c r="AO297" s="503">
        <f>IF(終値!A297="","",IFERROR(4*STDEVP(終値!AR297:BK297)/AVERAGE(終値!AR297:BK297),""))</f>
        <v>9.0535713531823145E-2</v>
      </c>
      <c r="AP297" s="503">
        <f>IF(終値!A297="","",IFERROR(4*STDEVP(終値!AS297:BL297)/AVERAGE(終値!AS297:BL297),""))</f>
        <v>9.1686611935431719E-2</v>
      </c>
    </row>
    <row r="298" spans="1:42">
      <c r="A298" s="500" t="str">
        <f>IF(終値!A298="","",終値!A298)</f>
        <v>4208</v>
      </c>
      <c r="B298" s="503">
        <f>IF(終値!A298="","",IFERROR(4*STDEVP(終値!E298:X298)/AVERAGE(終値!E298:X298),""))</f>
        <v>6.91442888007444E-2</v>
      </c>
      <c r="C298" s="503">
        <f>IF(終値!A298="","",IFERROR(4*STDEVP(終値!F298:Y298)/AVERAGE(終値!F298:Y298),""))</f>
        <v>6.5686327522025009E-2</v>
      </c>
      <c r="D298" s="503">
        <f>IF(終値!A298="","",IFERROR(4*STDEVP(終値!G298:Z298)/AVERAGE(終値!G298:Z298),""))</f>
        <v>6.7574231982952815E-2</v>
      </c>
      <c r="E298" s="503">
        <f>IF(終値!A298="","",IFERROR(4*STDEVP(終値!H298:AA298)/AVERAGE(終値!H298:AA298),""))</f>
        <v>6.6144095939638103E-2</v>
      </c>
      <c r="F298" s="503">
        <f>IF(終値!A298="","",IFERROR(4*STDEVP(終値!I298:AB298)/AVERAGE(終値!I298:AB298),""))</f>
        <v>6.3775190989835723E-2</v>
      </c>
      <c r="G298" s="503">
        <f>IF(終値!A298="","",IFERROR(4*STDEVP(終値!J298:AC298)/AVERAGE(終値!J298:AC298),""))</f>
        <v>6.5149914626547803E-2</v>
      </c>
      <c r="H298" s="503">
        <f>IF(終値!A298="","",IFERROR(4*STDEVP(終値!K298:AD298)/AVERAGE(終値!K298:AD298),""))</f>
        <v>6.441318017113612E-2</v>
      </c>
      <c r="I298" s="503">
        <f>IF(終値!A298="","",IFERROR(4*STDEVP(終値!L298:AE298)/AVERAGE(終値!L298:AE298),""))</f>
        <v>6.5692198441426319E-2</v>
      </c>
      <c r="J298" s="503">
        <f>IF(終値!A298="","",IFERROR(4*STDEVP(終値!M298:AF298)/AVERAGE(終値!M298:AF298),""))</f>
        <v>6.8393236060059287E-2</v>
      </c>
      <c r="K298" s="503">
        <f>IF(終値!A298="","",IFERROR(4*STDEVP(終値!N298:AG298)/AVERAGE(終値!N298:AG298),""))</f>
        <v>5.8926461264116915E-2</v>
      </c>
      <c r="L298" s="503">
        <f>IF(終値!A298="","",IFERROR(4*STDEVP(終値!O298:AH298)/AVERAGE(終値!O298:AH298),""))</f>
        <v>6.2570781148704527E-2</v>
      </c>
      <c r="M298" s="503">
        <f>IF(終値!A298="","",IFERROR(4*STDEVP(終値!P298:AI298)/AVERAGE(終値!P298:AI298),""))</f>
        <v>6.0491977818330538E-2</v>
      </c>
      <c r="N298" s="503">
        <f>IF(終値!A298="","",IFERROR(4*STDEVP(終値!Q298:AJ298)/AVERAGE(終値!Q298:AJ298),""))</f>
        <v>5.9372356828926831E-2</v>
      </c>
      <c r="O298" s="503">
        <f>IF(終値!A298="","",IFERROR(4*STDEVP(終値!R298:AK298)/AVERAGE(終値!R298:AK298),""))</f>
        <v>5.8112427475173041E-2</v>
      </c>
      <c r="P298" s="503">
        <f>IF(終値!A298="","",IFERROR(4*STDEVP(終値!S298:AL298)/AVERAGE(終値!S298:AL298),""))</f>
        <v>6.4649915330779018E-2</v>
      </c>
      <c r="Q298" s="503">
        <f>IF(終値!A298="","",IFERROR(4*STDEVP(終値!T298:AM298)/AVERAGE(終値!T298:AM298),""))</f>
        <v>6.0237180564718398E-2</v>
      </c>
      <c r="R298" s="503">
        <f>IF(終値!A298="","",IFERROR(4*STDEVP(終値!U298:AN298)/AVERAGE(終値!U298:AN298),""))</f>
        <v>5.962856807795882E-2</v>
      </c>
      <c r="S298" s="503">
        <f>IF(終値!A298="","",IFERROR(4*STDEVP(終値!V298:AO298)/AVERAGE(終値!V298:AO298),""))</f>
        <v>5.488395961178081E-2</v>
      </c>
      <c r="T298" s="503">
        <f>IF(終値!A298="","",IFERROR(4*STDEVP(終値!W298:AP298)/AVERAGE(終値!W298:AP298),""))</f>
        <v>6.312778923358639E-2</v>
      </c>
      <c r="U298" s="503">
        <f>IF(終値!A298="","",IFERROR(4*STDEVP(終値!X298:AQ298)/AVERAGE(終値!X298:AQ298),""))</f>
        <v>8.0880961663755302E-2</v>
      </c>
      <c r="V298" s="503">
        <f>IF(終値!A298="","",IFERROR(4*STDEVP(終値!Y298:AR298)/AVERAGE(終値!Y298:AR298),""))</f>
        <v>9.1843343476341696E-2</v>
      </c>
      <c r="W298" s="503">
        <f>IF(終値!A298="","",IFERROR(4*STDEVP(終値!Z298:AS298)/AVERAGE(終値!Z298:AS298),""))</f>
        <v>0.11347951812416469</v>
      </c>
      <c r="X298" s="503">
        <f>IF(終値!A298="","",IFERROR(4*STDEVP(終値!AA298:AT298)/AVERAGE(終値!AA298:AT298),""))</f>
        <v>0.12178087689996756</v>
      </c>
      <c r="Y298" s="503">
        <f>IF(終値!A298="","",IFERROR(4*STDEVP(終値!AB298:AU298)/AVERAGE(終値!AB298:AU298),""))</f>
        <v>0.12974866230688012</v>
      </c>
      <c r="Z298" s="503">
        <f>IF(終値!A298="","",IFERROR(4*STDEVP(終値!AC298:AV298)/AVERAGE(終値!AC298:AV298),""))</f>
        <v>0.13278971065704409</v>
      </c>
      <c r="AA298" s="503">
        <f>IF(終値!A298="","",IFERROR(4*STDEVP(終値!AD298:AW298)/AVERAGE(終値!AD298:AW298),""))</f>
        <v>0.14074027755317139</v>
      </c>
      <c r="AB298" s="503">
        <f>IF(終値!A298="","",IFERROR(4*STDEVP(終値!AE298:AX298)/AVERAGE(終値!AE298:AX298),""))</f>
        <v>0.14508621991759857</v>
      </c>
      <c r="AC298" s="503">
        <f>IF(終値!A298="","",IFERROR(4*STDEVP(終値!AF298:AY298)/AVERAGE(終値!AF298:AY298),""))</f>
        <v>0.15068316534769721</v>
      </c>
      <c r="AD298" s="503">
        <f>IF(終値!A298="","",IFERROR(4*STDEVP(終値!AG298:AZ298)/AVERAGE(終値!AG298:AZ298),""))</f>
        <v>0.15248537788494165</v>
      </c>
      <c r="AE298" s="503">
        <f>IF(終値!A298="","",IFERROR(4*STDEVP(終値!AH298:BA298)/AVERAGE(終値!AH298:BA298),""))</f>
        <v>0.15168214764143567</v>
      </c>
      <c r="AF298" s="503">
        <f>IF(終値!A298="","",IFERROR(4*STDEVP(終値!AI298:BB298)/AVERAGE(終値!AI298:BB298),""))</f>
        <v>0.15236935059872161</v>
      </c>
      <c r="AG298" s="503">
        <f>IF(終値!A298="","",IFERROR(4*STDEVP(終値!AJ298:BC298)/AVERAGE(終値!AJ298:BC298),""))</f>
        <v>0.15086436757243674</v>
      </c>
      <c r="AH298" s="503">
        <f>IF(終値!A298="","",IFERROR(4*STDEVP(終値!AK298:BD298)/AVERAGE(終値!AK298:BD298),""))</f>
        <v>0.14871535561199054</v>
      </c>
      <c r="AI298" s="503">
        <f>IF(終値!A298="","",IFERROR(4*STDEVP(終値!AL298:BE298)/AVERAGE(終値!AL298:BE298),""))</f>
        <v>0.23223604885108073</v>
      </c>
      <c r="AJ298" s="503">
        <f>IF(終値!A298="","",IFERROR(4*STDEVP(終値!AM298:BF298)/AVERAGE(終値!AM298:BF298),""))</f>
        <v>0.27555941143643325</v>
      </c>
      <c r="AK298" s="503">
        <f>IF(終値!A298="","",IFERROR(4*STDEVP(終値!AN298:BG298)/AVERAGE(終値!AN298:BG298),""))</f>
        <v>0.31736054262621716</v>
      </c>
      <c r="AL298" s="503">
        <f>IF(終値!A298="","",IFERROR(4*STDEVP(終値!AO298:BH298)/AVERAGE(終値!AO298:BH298),""))</f>
        <v>0.33502745714355731</v>
      </c>
      <c r="AM298" s="503">
        <f>IF(終値!A298="","",IFERROR(4*STDEVP(終値!AP298:BI298)/AVERAGE(終値!AP298:BI298),""))</f>
        <v>0.35800073832228935</v>
      </c>
      <c r="AN298" s="503">
        <f>IF(終値!A298="","",IFERROR(4*STDEVP(終値!AQ298:BJ298)/AVERAGE(終値!AQ298:BJ298),""))</f>
        <v>0.38640428302523999</v>
      </c>
      <c r="AO298" s="503">
        <f>IF(終値!A298="","",IFERROR(4*STDEVP(終値!AR298:BK298)/AVERAGE(終値!AR298:BK298),""))</f>
        <v>0.40411030239317419</v>
      </c>
      <c r="AP298" s="503">
        <f>IF(終値!A298="","",IFERROR(4*STDEVP(終値!AS298:BL298)/AVERAGE(終値!AS298:BL298),""))</f>
        <v>0.41569166916821809</v>
      </c>
    </row>
    <row r="299" spans="1:42">
      <c r="A299" s="500" t="str">
        <f>IF(終値!A299="","",終値!A299)</f>
        <v>186A</v>
      </c>
      <c r="B299" s="503">
        <f>IF(終値!A299="","",IFERROR(4*STDEVP(終値!E299:X299)/AVERAGE(終値!E299:X299),""))</f>
        <v>0.263427834131226</v>
      </c>
      <c r="C299" s="503">
        <f>IF(終値!A299="","",IFERROR(4*STDEVP(終値!F299:Y299)/AVERAGE(終値!F299:Y299),""))</f>
        <v>0.25323614128847638</v>
      </c>
      <c r="D299" s="503">
        <f>IF(終値!A299="","",IFERROR(4*STDEVP(終値!G299:Z299)/AVERAGE(終値!G299:Z299),""))</f>
        <v>0.27122311928138088</v>
      </c>
      <c r="E299" s="503">
        <f>IF(終値!A299="","",IFERROR(4*STDEVP(終値!H299:AA299)/AVERAGE(終値!H299:AA299),""))</f>
        <v>0.2960046980085202</v>
      </c>
      <c r="F299" s="503">
        <f>IF(終値!A299="","",IFERROR(4*STDEVP(終値!I299:AB299)/AVERAGE(終値!I299:AB299),""))</f>
        <v>0.29969113111143497</v>
      </c>
      <c r="G299" s="503">
        <f>IF(終値!A299="","",IFERROR(4*STDEVP(終値!J299:AC299)/AVERAGE(終値!J299:AC299),""))</f>
        <v>0.30144110119930895</v>
      </c>
      <c r="H299" s="503">
        <f>IF(終値!A299="","",IFERROR(4*STDEVP(終値!K299:AD299)/AVERAGE(終値!K299:AD299),""))</f>
        <v>0.29512775143940362</v>
      </c>
      <c r="I299" s="503">
        <f>IF(終値!A299="","",IFERROR(4*STDEVP(終値!L299:AE299)/AVERAGE(終値!L299:AE299),""))</f>
        <v>0.2573893345790666</v>
      </c>
      <c r="J299" s="503">
        <f>IF(終値!A299="","",IFERROR(4*STDEVP(終値!M299:AF299)/AVERAGE(終値!M299:AF299),""))</f>
        <v>0.24619674745265535</v>
      </c>
      <c r="K299" s="503">
        <f>IF(終値!A299="","",IFERROR(4*STDEVP(終値!N299:AG299)/AVERAGE(終値!N299:AG299),""))</f>
        <v>0.24337521079705493</v>
      </c>
      <c r="L299" s="503">
        <f>IF(終値!A299="","",IFERROR(4*STDEVP(終値!O299:AH299)/AVERAGE(終値!O299:AH299),""))</f>
        <v>0.23746656905429342</v>
      </c>
      <c r="M299" s="503">
        <f>IF(終値!A299="","",IFERROR(4*STDEVP(終値!P299:AI299)/AVERAGE(終値!P299:AI299),""))</f>
        <v>0.23205223523937554</v>
      </c>
      <c r="N299" s="503">
        <f>IF(終値!A299="","",IFERROR(4*STDEVP(終値!Q299:AJ299)/AVERAGE(終値!Q299:AJ299),""))</f>
        <v>0.26550566361821976</v>
      </c>
      <c r="O299" s="503">
        <f>IF(終値!A299="","",IFERROR(4*STDEVP(終値!R299:AK299)/AVERAGE(終値!R299:AK299),""))</f>
        <v>0.24526038856369173</v>
      </c>
      <c r="P299" s="503">
        <f>IF(終値!A299="","",IFERROR(4*STDEVP(終値!S299:AL299)/AVERAGE(終値!S299:AL299),""))</f>
        <v>0.2496177235082653</v>
      </c>
      <c r="Q299" s="503">
        <f>IF(終値!A299="","",IFERROR(4*STDEVP(終値!T299:AM299)/AVERAGE(終値!T299:AM299),""))</f>
        <v>0.28169287960863898</v>
      </c>
      <c r="R299" s="503">
        <f>IF(終値!A299="","",IFERROR(4*STDEVP(終値!U299:AN299)/AVERAGE(終値!U299:AN299),""))</f>
        <v>0.30489969025049862</v>
      </c>
      <c r="S299" s="503">
        <f>IF(終値!A299="","",IFERROR(4*STDEVP(終値!V299:AO299)/AVERAGE(終値!V299:AO299),""))</f>
        <v>0.37178380088623803</v>
      </c>
      <c r="T299" s="503">
        <f>IF(終値!A299="","",IFERROR(4*STDEVP(終値!W299:AP299)/AVERAGE(終値!W299:AP299),""))</f>
        <v>0.60049798296865686</v>
      </c>
      <c r="U299" s="503">
        <f>IF(終値!A299="","",IFERROR(4*STDEVP(終値!X299:AQ299)/AVERAGE(終値!X299:AQ299),""))</f>
        <v>0.68848741089673982</v>
      </c>
      <c r="V299" s="503">
        <f>IF(終値!A299="","",IFERROR(4*STDEVP(終値!Y299:AR299)/AVERAGE(終値!Y299:AR299),""))</f>
        <v>0.72220515757387027</v>
      </c>
      <c r="W299" s="503">
        <f>IF(終値!A299="","",IFERROR(4*STDEVP(終値!Z299:AS299)/AVERAGE(終値!Z299:AS299),""))</f>
        <v>0.84455972042284522</v>
      </c>
      <c r="X299" s="503">
        <f>IF(終値!A299="","",IFERROR(4*STDEVP(終値!AA299:AT299)/AVERAGE(終値!AA299:AT299),""))</f>
        <v>0.92960710473328856</v>
      </c>
      <c r="Y299" s="503">
        <f>IF(終値!A299="","",IFERROR(4*STDEVP(終値!AB299:AU299)/AVERAGE(終値!AB299:AU299),""))</f>
        <v>0.95590813084637793</v>
      </c>
      <c r="Z299" s="503">
        <f>IF(終値!A299="","",IFERROR(4*STDEVP(終値!AC299:AV299)/AVERAGE(終値!AC299:AV299),""))</f>
        <v>0.97232636994708244</v>
      </c>
      <c r="AA299" s="503">
        <f>IF(終値!A299="","",IFERROR(4*STDEVP(終値!AD299:AW299)/AVERAGE(終値!AD299:AW299),""))</f>
        <v>0.98591350237030329</v>
      </c>
      <c r="AB299" s="503">
        <f>IF(終値!A299="","",IFERROR(4*STDEVP(終値!AE299:AX299)/AVERAGE(終値!AE299:AX299),""))</f>
        <v>1.115463778184711</v>
      </c>
      <c r="AC299" s="503">
        <f>IF(終値!A299="","",IFERROR(4*STDEVP(終値!AF299:AY299)/AVERAGE(終値!AF299:AY299),""))</f>
        <v>1.2040167133584163</v>
      </c>
      <c r="AD299" s="503">
        <f>IF(終値!A299="","",IFERROR(4*STDEVP(終値!AG299:AZ299)/AVERAGE(終値!AG299:AZ299),""))</f>
        <v>1.2019683211024657</v>
      </c>
      <c r="AE299" s="503">
        <f>IF(終値!A299="","",IFERROR(4*STDEVP(終値!AH299:BA299)/AVERAGE(終値!AH299:BA299),""))</f>
        <v>1.1851711325061018</v>
      </c>
      <c r="AF299" s="503">
        <f>IF(終値!A299="","",IFERROR(4*STDEVP(終値!AI299:BB299)/AVERAGE(終値!AI299:BB299),""))</f>
        <v>1.11721468683956</v>
      </c>
      <c r="AG299" s="503">
        <f>IF(終値!A299="","",IFERROR(4*STDEVP(終値!AJ299:BC299)/AVERAGE(終値!AJ299:BC299),""))</f>
        <v>1.0333544215427093</v>
      </c>
      <c r="AH299" s="503">
        <f>IF(終値!A299="","",IFERROR(4*STDEVP(終値!AK299:BD299)/AVERAGE(終値!AK299:BD299),""))</f>
        <v>0.97463227300322641</v>
      </c>
      <c r="AI299" s="503">
        <f>IF(終値!A299="","",IFERROR(4*STDEVP(終値!AL299:BE299)/AVERAGE(終値!AL299:BE299),""))</f>
        <v>0.88406868995151155</v>
      </c>
      <c r="AJ299" s="503">
        <f>IF(終値!A299="","",IFERROR(4*STDEVP(終値!AM299:BF299)/AVERAGE(終値!AM299:BF299),""))</f>
        <v>0.81742326559305756</v>
      </c>
      <c r="AK299" s="503">
        <f>IF(終値!A299="","",IFERROR(4*STDEVP(終値!AN299:BG299)/AVERAGE(終値!AN299:BG299),""))</f>
        <v>0.74580465320687928</v>
      </c>
      <c r="AL299" s="503">
        <f>IF(終値!A299="","",IFERROR(4*STDEVP(終値!AO299:BH299)/AVERAGE(終値!AO299:BH299),""))</f>
        <v>0.67764055014648528</v>
      </c>
      <c r="AM299" s="503">
        <f>IF(終値!A299="","",IFERROR(4*STDEVP(終値!AP299:BI299)/AVERAGE(終値!AP299:BI299),""))</f>
        <v>0.63302118430261611</v>
      </c>
      <c r="AN299" s="503">
        <f>IF(終値!A299="","",IFERROR(4*STDEVP(終値!AQ299:BJ299)/AVERAGE(終値!AQ299:BJ299),""))</f>
        <v>0.6388363310249987</v>
      </c>
      <c r="AO299" s="503">
        <f>IF(終値!A299="","",IFERROR(4*STDEVP(終値!AR299:BK299)/AVERAGE(終値!AR299:BK299),""))</f>
        <v>0.64215713567259691</v>
      </c>
      <c r="AP299" s="503">
        <f>IF(終値!A299="","",IFERROR(4*STDEVP(終値!AS299:BL299)/AVERAGE(終値!AS299:BL299),""))</f>
        <v>0.66741451775680116</v>
      </c>
    </row>
    <row r="300" spans="1:42">
      <c r="A300" s="500" t="str">
        <f>IF(終値!A300="","",終値!A300)</f>
        <v>6965</v>
      </c>
      <c r="B300" s="503">
        <f>IF(終値!A300="","",IFERROR(4*STDEVP(終値!E300:X300)/AVERAGE(終値!E300:X300),""))</f>
        <v>0.19073018708620149</v>
      </c>
      <c r="C300" s="503">
        <f>IF(終値!A300="","",IFERROR(4*STDEVP(終値!F300:Y300)/AVERAGE(終値!F300:Y300),""))</f>
        <v>0.18835015368116667</v>
      </c>
      <c r="D300" s="503">
        <f>IF(終値!A300="","",IFERROR(4*STDEVP(終値!G300:Z300)/AVERAGE(終値!G300:Z300),""))</f>
        <v>0.1941503589577831</v>
      </c>
      <c r="E300" s="503">
        <f>IF(終値!A300="","",IFERROR(4*STDEVP(終値!H300:AA300)/AVERAGE(終値!H300:AA300),""))</f>
        <v>0.22125159464660046</v>
      </c>
      <c r="F300" s="503">
        <f>IF(終値!A300="","",IFERROR(4*STDEVP(終値!I300:AB300)/AVERAGE(終値!I300:AB300),""))</f>
        <v>0.23693846775534735</v>
      </c>
      <c r="G300" s="503">
        <f>IF(終値!A300="","",IFERROR(4*STDEVP(終値!J300:AC300)/AVERAGE(終値!J300:AC300),""))</f>
        <v>0.26273781262772217</v>
      </c>
      <c r="H300" s="503">
        <f>IF(終値!A300="","",IFERROR(4*STDEVP(終値!K300:AD300)/AVERAGE(終値!K300:AD300),""))</f>
        <v>0.25001420409850345</v>
      </c>
      <c r="I300" s="503">
        <f>IF(終値!A300="","",IFERROR(4*STDEVP(終値!L300:AE300)/AVERAGE(終値!L300:AE300),""))</f>
        <v>0.22809501472931321</v>
      </c>
      <c r="J300" s="503">
        <f>IF(終値!A300="","",IFERROR(4*STDEVP(終値!M300:AF300)/AVERAGE(終値!M300:AF300),""))</f>
        <v>0.20302599200210369</v>
      </c>
      <c r="K300" s="503">
        <f>IF(終値!A300="","",IFERROR(4*STDEVP(終値!N300:AG300)/AVERAGE(終値!N300:AG300),""))</f>
        <v>0.20966933871135657</v>
      </c>
      <c r="L300" s="503">
        <f>IF(終値!A300="","",IFERROR(4*STDEVP(終値!O300:AH300)/AVERAGE(終値!O300:AH300),""))</f>
        <v>0.20949160719025881</v>
      </c>
      <c r="M300" s="503">
        <f>IF(終値!A300="","",IFERROR(4*STDEVP(終値!P300:AI300)/AVERAGE(終値!P300:AI300),""))</f>
        <v>0.20848294528183484</v>
      </c>
      <c r="N300" s="503">
        <f>IF(終値!A300="","",IFERROR(4*STDEVP(終値!Q300:AJ300)/AVERAGE(終値!Q300:AJ300),""))</f>
        <v>0.2201115963451937</v>
      </c>
      <c r="O300" s="503">
        <f>IF(終値!A300="","",IFERROR(4*STDEVP(終値!R300:AK300)/AVERAGE(終値!R300:AK300),""))</f>
        <v>0.21461588290669503</v>
      </c>
      <c r="P300" s="503">
        <f>IF(終値!A300="","",IFERROR(4*STDEVP(終値!S300:AL300)/AVERAGE(終値!S300:AL300),""))</f>
        <v>0.19455335522744599</v>
      </c>
      <c r="Q300" s="503">
        <f>IF(終値!A300="","",IFERROR(4*STDEVP(終値!T300:AM300)/AVERAGE(終値!T300:AM300),""))</f>
        <v>0.19696584937480247</v>
      </c>
      <c r="R300" s="503">
        <f>IF(終値!A300="","",IFERROR(4*STDEVP(終値!U300:AN300)/AVERAGE(終値!U300:AN300),""))</f>
        <v>0.18452415260217941</v>
      </c>
      <c r="S300" s="503">
        <f>IF(終値!A300="","",IFERROR(4*STDEVP(終値!V300:AO300)/AVERAGE(終値!V300:AO300),""))</f>
        <v>0.17224139796605381</v>
      </c>
      <c r="T300" s="503">
        <f>IF(終値!A300="","",IFERROR(4*STDEVP(終値!W300:AP300)/AVERAGE(終値!W300:AP300),""))</f>
        <v>0.1735373016829681</v>
      </c>
      <c r="U300" s="503">
        <f>IF(終値!A300="","",IFERROR(4*STDEVP(終値!X300:AQ300)/AVERAGE(終値!X300:AQ300),""))</f>
        <v>0.17263391808557615</v>
      </c>
      <c r="V300" s="503">
        <f>IF(終値!A300="","",IFERROR(4*STDEVP(終値!Y300:AR300)/AVERAGE(終値!Y300:AR300),""))</f>
        <v>0.18177829669472159</v>
      </c>
      <c r="W300" s="503">
        <f>IF(終値!A300="","",IFERROR(4*STDEVP(終値!Z300:AS300)/AVERAGE(終値!Z300:AS300),""))</f>
        <v>0.17189171719579358</v>
      </c>
      <c r="X300" s="503">
        <f>IF(終値!A300="","",IFERROR(4*STDEVP(終値!AA300:AT300)/AVERAGE(終値!AA300:AT300),""))</f>
        <v>0.18272076841368073</v>
      </c>
      <c r="Y300" s="503">
        <f>IF(終値!A300="","",IFERROR(4*STDEVP(終値!AB300:AU300)/AVERAGE(終値!AB300:AU300),""))</f>
        <v>0.19975687017137742</v>
      </c>
      <c r="Z300" s="503">
        <f>IF(終値!A300="","",IFERROR(4*STDEVP(終値!AC300:AV300)/AVERAGE(終値!AC300:AV300),""))</f>
        <v>0.20860010040740137</v>
      </c>
      <c r="AA300" s="503">
        <f>IF(終値!A300="","",IFERROR(4*STDEVP(終値!AD300:AW300)/AVERAGE(終値!AD300:AW300),""))</f>
        <v>0.2081990163275293</v>
      </c>
      <c r="AB300" s="503">
        <f>IF(終値!A300="","",IFERROR(4*STDEVP(終値!AE300:AX300)/AVERAGE(終値!AE300:AX300),""))</f>
        <v>0.21468896677267377</v>
      </c>
      <c r="AC300" s="503">
        <f>IF(終値!A300="","",IFERROR(4*STDEVP(終値!AF300:AY300)/AVERAGE(終値!AF300:AY300),""))</f>
        <v>0.21720742710774585</v>
      </c>
      <c r="AD300" s="503">
        <f>IF(終値!A300="","",IFERROR(4*STDEVP(終値!AG300:AZ300)/AVERAGE(終値!AG300:AZ300),""))</f>
        <v>0.21513584687200271</v>
      </c>
      <c r="AE300" s="503">
        <f>IF(終値!A300="","",IFERROR(4*STDEVP(終値!AH300:BA300)/AVERAGE(終値!AH300:BA300),""))</f>
        <v>0.23005581848968903</v>
      </c>
      <c r="AF300" s="503">
        <f>IF(終値!A300="","",IFERROR(4*STDEVP(終値!AI300:BB300)/AVERAGE(終値!AI300:BB300),""))</f>
        <v>0.23582647987892366</v>
      </c>
      <c r="AG300" s="503">
        <f>IF(終値!A300="","",IFERROR(4*STDEVP(終値!AJ300:BC300)/AVERAGE(終値!AJ300:BC300),""))</f>
        <v>0.23532885987972824</v>
      </c>
      <c r="AH300" s="503">
        <f>IF(終値!A300="","",IFERROR(4*STDEVP(終値!AK300:BD300)/AVERAGE(終値!AK300:BD300),""))</f>
        <v>0.23627789254433415</v>
      </c>
      <c r="AI300" s="503">
        <f>IF(終値!A300="","",IFERROR(4*STDEVP(終値!AL300:BE300)/AVERAGE(終値!AL300:BE300),""))</f>
        <v>0.23583051956007656</v>
      </c>
      <c r="AJ300" s="503">
        <f>IF(終値!A300="","",IFERROR(4*STDEVP(終値!AM300:BF300)/AVERAGE(終値!AM300:BF300),""))</f>
        <v>0.23960821093466472</v>
      </c>
      <c r="AK300" s="503">
        <f>IF(終値!A300="","",IFERROR(4*STDEVP(終値!AN300:BG300)/AVERAGE(終値!AN300:BG300),""))</f>
        <v>0.24041242504974308</v>
      </c>
      <c r="AL300" s="503">
        <f>IF(終値!A300="","",IFERROR(4*STDEVP(終値!AO300:BH300)/AVERAGE(終値!AO300:BH300),""))</f>
        <v>0.30298318431632498</v>
      </c>
      <c r="AM300" s="503">
        <f>IF(終値!A300="","",IFERROR(4*STDEVP(終値!AP300:BI300)/AVERAGE(終値!AP300:BI300),""))</f>
        <v>0.35149112377639191</v>
      </c>
      <c r="AN300" s="503">
        <f>IF(終値!A300="","",IFERROR(4*STDEVP(終値!AQ300:BJ300)/AVERAGE(終値!AQ300:BJ300),""))</f>
        <v>0.38556436896606322</v>
      </c>
      <c r="AO300" s="503">
        <f>IF(終値!A300="","",IFERROR(4*STDEVP(終値!AR300:BK300)/AVERAGE(終値!AR300:BK300),""))</f>
        <v>0.41435370860110388</v>
      </c>
      <c r="AP300" s="503">
        <f>IF(終値!A300="","",IFERROR(4*STDEVP(終値!AS300:BL300)/AVERAGE(終値!AS300:BL300),""))</f>
        <v>0.43269971069455948</v>
      </c>
    </row>
    <row r="301" spans="1:42">
      <c r="A301" s="500" t="str">
        <f>IF(終値!A301="","",終値!A301)</f>
        <v>6331</v>
      </c>
      <c r="B301" s="503">
        <f>IF(終値!A301="","",IFERROR(4*STDEVP(終値!E301:X301)/AVERAGE(終値!E301:X301),""))</f>
        <v>0.18650990008257837</v>
      </c>
      <c r="C301" s="503">
        <f>IF(終値!A301="","",IFERROR(4*STDEVP(終値!F301:Y301)/AVERAGE(終値!F301:Y301),""))</f>
        <v>0.23647918121420955</v>
      </c>
      <c r="D301" s="503">
        <f>IF(終値!A301="","",IFERROR(4*STDEVP(終値!G301:Z301)/AVERAGE(終値!G301:Z301),""))</f>
        <v>0.28100522959979096</v>
      </c>
      <c r="E301" s="503">
        <f>IF(終値!A301="","",IFERROR(4*STDEVP(終値!H301:AA301)/AVERAGE(終値!H301:AA301),""))</f>
        <v>0.29309166393707886</v>
      </c>
      <c r="F301" s="503">
        <f>IF(終値!A301="","",IFERROR(4*STDEVP(終値!I301:AB301)/AVERAGE(終値!I301:AB301),""))</f>
        <v>0.28708465255223609</v>
      </c>
      <c r="G301" s="503">
        <f>IF(終値!A301="","",IFERROR(4*STDEVP(終値!J301:AC301)/AVERAGE(終値!J301:AC301),""))</f>
        <v>0.28135601366094093</v>
      </c>
      <c r="H301" s="503">
        <f>IF(終値!A301="","",IFERROR(4*STDEVP(終値!K301:AD301)/AVERAGE(終値!K301:AD301),""))</f>
        <v>0.2659829269920525</v>
      </c>
      <c r="I301" s="503">
        <f>IF(終値!A301="","",IFERROR(4*STDEVP(終値!L301:AE301)/AVERAGE(終値!L301:AE301),""))</f>
        <v>0.24615752467159743</v>
      </c>
      <c r="J301" s="503">
        <f>IF(終値!A301="","",IFERROR(4*STDEVP(終値!M301:AF301)/AVERAGE(終値!M301:AF301),""))</f>
        <v>0.24226520652613448</v>
      </c>
      <c r="K301" s="503">
        <f>IF(終値!A301="","",IFERROR(4*STDEVP(終値!N301:AG301)/AVERAGE(終値!N301:AG301),""))</f>
        <v>0.25284143158641476</v>
      </c>
      <c r="L301" s="503">
        <f>IF(終値!A301="","",IFERROR(4*STDEVP(終値!O301:AH301)/AVERAGE(終値!O301:AH301),""))</f>
        <v>0.25351691191558445</v>
      </c>
      <c r="M301" s="503">
        <f>IF(終値!A301="","",IFERROR(4*STDEVP(終値!P301:AI301)/AVERAGE(終値!P301:AI301),""))</f>
        <v>0.25414293164214113</v>
      </c>
      <c r="N301" s="503">
        <f>IF(終値!A301="","",IFERROR(4*STDEVP(終値!Q301:AJ301)/AVERAGE(終値!Q301:AJ301),""))</f>
        <v>0.26468752771120085</v>
      </c>
      <c r="O301" s="503">
        <f>IF(終値!A301="","",IFERROR(4*STDEVP(終値!R301:AK301)/AVERAGE(終値!R301:AK301),""))</f>
        <v>0.25069008578788354</v>
      </c>
      <c r="P301" s="503">
        <f>IF(終値!A301="","",IFERROR(4*STDEVP(終値!S301:AL301)/AVERAGE(終値!S301:AL301),""))</f>
        <v>0.21957062143871456</v>
      </c>
      <c r="Q301" s="503">
        <f>IF(終値!A301="","",IFERROR(4*STDEVP(終値!T301:AM301)/AVERAGE(終値!T301:AM301),""))</f>
        <v>0.21993673299365576</v>
      </c>
      <c r="R301" s="503">
        <f>IF(終値!A301="","",IFERROR(4*STDEVP(終値!U301:AN301)/AVERAGE(終値!U301:AN301),""))</f>
        <v>0.20099399395440154</v>
      </c>
      <c r="S301" s="503">
        <f>IF(終値!A301="","",IFERROR(4*STDEVP(終値!V301:AO301)/AVERAGE(終値!V301:AO301),""))</f>
        <v>0.17805946244714288</v>
      </c>
      <c r="T301" s="503">
        <f>IF(終値!A301="","",IFERROR(4*STDEVP(終値!W301:AP301)/AVERAGE(終値!W301:AP301),""))</f>
        <v>0.17043231034313355</v>
      </c>
      <c r="U301" s="503">
        <f>IF(終値!A301="","",IFERROR(4*STDEVP(終値!X301:AQ301)/AVERAGE(終値!X301:AQ301),""))</f>
        <v>0.15836139442561983</v>
      </c>
      <c r="V301" s="503">
        <f>IF(終値!A301="","",IFERROR(4*STDEVP(終値!Y301:AR301)/AVERAGE(終値!Y301:AR301),""))</f>
        <v>0.15712262290681833</v>
      </c>
      <c r="W301" s="503">
        <f>IF(終値!A301="","",IFERROR(4*STDEVP(終値!Z301:AS301)/AVERAGE(終値!Z301:AS301),""))</f>
        <v>0.17570187313142882</v>
      </c>
      <c r="X301" s="503">
        <f>IF(終値!A301="","",IFERROR(4*STDEVP(終値!AA301:AT301)/AVERAGE(終値!AA301:AT301),""))</f>
        <v>0.17993275486014687</v>
      </c>
      <c r="Y301" s="503">
        <f>IF(終値!A301="","",IFERROR(4*STDEVP(終値!AB301:AU301)/AVERAGE(終値!AB301:AU301),""))</f>
        <v>0.19745015157271209</v>
      </c>
      <c r="Z301" s="503">
        <f>IF(終値!A301="","",IFERROR(4*STDEVP(終値!AC301:AV301)/AVERAGE(終値!AC301:AV301),""))</f>
        <v>0.19993523596928753</v>
      </c>
      <c r="AA301" s="503">
        <f>IF(終値!A301="","",IFERROR(4*STDEVP(終値!AD301:AW301)/AVERAGE(終値!AD301:AW301),""))</f>
        <v>0.21660210335036342</v>
      </c>
      <c r="AB301" s="503">
        <f>IF(終値!A301="","",IFERROR(4*STDEVP(終値!AE301:AX301)/AVERAGE(終値!AE301:AX301),""))</f>
        <v>0.21908665946432815</v>
      </c>
      <c r="AC301" s="503">
        <f>IF(終値!A301="","",IFERROR(4*STDEVP(終値!AF301:AY301)/AVERAGE(終値!AF301:AY301),""))</f>
        <v>0.22076882582136145</v>
      </c>
      <c r="AD301" s="503">
        <f>IF(終値!A301="","",IFERROR(4*STDEVP(終値!AG301:AZ301)/AVERAGE(終値!AG301:AZ301),""))</f>
        <v>0.22172428100341701</v>
      </c>
      <c r="AE301" s="503">
        <f>IF(終値!A301="","",IFERROR(4*STDEVP(終値!AH301:BA301)/AVERAGE(終値!AH301:BA301),""))</f>
        <v>0.2267945034915971</v>
      </c>
      <c r="AF301" s="503">
        <f>IF(終値!A301="","",IFERROR(4*STDEVP(終値!AI301:BB301)/AVERAGE(終値!AI301:BB301),""))</f>
        <v>0.23924374555483241</v>
      </c>
      <c r="AG301" s="503">
        <f>IF(終値!A301="","",IFERROR(4*STDEVP(終値!AJ301:BC301)/AVERAGE(終値!AJ301:BC301),""))</f>
        <v>0.24174532287548955</v>
      </c>
      <c r="AH301" s="503">
        <f>IF(終値!A301="","",IFERROR(4*STDEVP(終値!AK301:BD301)/AVERAGE(終値!AK301:BD301),""))</f>
        <v>0.22257847084107668</v>
      </c>
      <c r="AI301" s="503">
        <f>IF(終値!A301="","",IFERROR(4*STDEVP(終値!AL301:BE301)/AVERAGE(終値!AL301:BE301),""))</f>
        <v>0.20674197547471632</v>
      </c>
      <c r="AJ301" s="503">
        <f>IF(終値!A301="","",IFERROR(4*STDEVP(終値!AM301:BF301)/AVERAGE(終値!AM301:BF301),""))</f>
        <v>0.19246178879463441</v>
      </c>
      <c r="AK301" s="503">
        <f>IF(終値!A301="","",IFERROR(4*STDEVP(終値!AN301:BG301)/AVERAGE(終値!AN301:BG301),""))</f>
        <v>0.15275246619895991</v>
      </c>
      <c r="AL301" s="503">
        <f>IF(終値!A301="","",IFERROR(4*STDEVP(終値!AO301:BH301)/AVERAGE(終値!AO301:BH301),""))</f>
        <v>0.15022130404480491</v>
      </c>
      <c r="AM301" s="503">
        <f>IF(終値!A301="","",IFERROR(4*STDEVP(終値!AP301:BI301)/AVERAGE(終値!AP301:BI301),""))</f>
        <v>0.14779175908643688</v>
      </c>
      <c r="AN301" s="503">
        <f>IF(終値!A301="","",IFERROR(4*STDEVP(終値!AQ301:BJ301)/AVERAGE(終値!AQ301:BJ301),""))</f>
        <v>0.15693006888882036</v>
      </c>
      <c r="AO301" s="503">
        <f>IF(終値!A301="","",IFERROR(4*STDEVP(終値!AR301:BK301)/AVERAGE(終値!AR301:BK301),""))</f>
        <v>0.16754346637318832</v>
      </c>
      <c r="AP301" s="503">
        <f>IF(終値!A301="","",IFERROR(4*STDEVP(終値!AS301:BL301)/AVERAGE(終値!AS301:BL301),""))</f>
        <v>0.17653351419108229</v>
      </c>
    </row>
    <row r="302" spans="1:42">
      <c r="A302" s="500" t="str">
        <f>IF(終値!A302="","",終値!A302)</f>
        <v>7741</v>
      </c>
      <c r="B302" s="503">
        <f>IF(終値!A302="","",IFERROR(4*STDEVP(終値!E302:X302)/AVERAGE(終値!E302:X302),""))</f>
        <v>0.10758033153678499</v>
      </c>
      <c r="C302" s="503">
        <f>IF(終値!A302="","",IFERROR(4*STDEVP(終値!F302:Y302)/AVERAGE(終値!F302:Y302),""))</f>
        <v>0.10882917530879045</v>
      </c>
      <c r="D302" s="503">
        <f>IF(終値!A302="","",IFERROR(4*STDEVP(終値!G302:Z302)/AVERAGE(終値!G302:Z302),""))</f>
        <v>0.1057110347527606</v>
      </c>
      <c r="E302" s="503">
        <f>IF(終値!A302="","",IFERROR(4*STDEVP(終値!H302:AA302)/AVERAGE(終値!H302:AA302),""))</f>
        <v>0.10577183056143319</v>
      </c>
      <c r="F302" s="503">
        <f>IF(終値!A302="","",IFERROR(4*STDEVP(終値!I302:AB302)/AVERAGE(終値!I302:AB302),""))</f>
        <v>0.10770828552789312</v>
      </c>
      <c r="G302" s="503">
        <f>IF(終値!A302="","",IFERROR(4*STDEVP(終値!J302:AC302)/AVERAGE(終値!J302:AC302),""))</f>
        <v>0.11217807262582608</v>
      </c>
      <c r="H302" s="503">
        <f>IF(終値!A302="","",IFERROR(4*STDEVP(終値!K302:AD302)/AVERAGE(終値!K302:AD302),""))</f>
        <v>0.1080848961863342</v>
      </c>
      <c r="I302" s="503">
        <f>IF(終値!A302="","",IFERROR(4*STDEVP(終値!L302:AE302)/AVERAGE(終値!L302:AE302),""))</f>
        <v>9.8619444773564727E-2</v>
      </c>
      <c r="J302" s="503">
        <f>IF(終値!A302="","",IFERROR(4*STDEVP(終値!M302:AF302)/AVERAGE(終値!M302:AF302),""))</f>
        <v>8.2120392328551853E-2</v>
      </c>
      <c r="K302" s="503">
        <f>IF(終値!A302="","",IFERROR(4*STDEVP(終値!N302:AG302)/AVERAGE(終値!N302:AG302),""))</f>
        <v>8.3880385345415961E-2</v>
      </c>
      <c r="L302" s="503">
        <f>IF(終値!A302="","",IFERROR(4*STDEVP(終値!O302:AH302)/AVERAGE(終値!O302:AH302),""))</f>
        <v>8.4838850030671473E-2</v>
      </c>
      <c r="M302" s="503">
        <f>IF(終値!A302="","",IFERROR(4*STDEVP(終値!P302:AI302)/AVERAGE(終値!P302:AI302),""))</f>
        <v>8.851594491691081E-2</v>
      </c>
      <c r="N302" s="503">
        <f>IF(終値!A302="","",IFERROR(4*STDEVP(終値!Q302:AJ302)/AVERAGE(終値!Q302:AJ302),""))</f>
        <v>9.8922687774260318E-2</v>
      </c>
      <c r="O302" s="503">
        <f>IF(終値!A302="","",IFERROR(4*STDEVP(終値!R302:AK302)/AVERAGE(終値!R302:AK302),""))</f>
        <v>0.11240273240821826</v>
      </c>
      <c r="P302" s="503">
        <f>IF(終値!A302="","",IFERROR(4*STDEVP(終値!S302:AL302)/AVERAGE(終値!S302:AL302),""))</f>
        <v>0.14436853756518336</v>
      </c>
      <c r="Q302" s="503">
        <f>IF(終値!A302="","",IFERROR(4*STDEVP(終値!T302:AM302)/AVERAGE(終値!T302:AM302),""))</f>
        <v>0.15344042654086118</v>
      </c>
      <c r="R302" s="503">
        <f>IF(終値!A302="","",IFERROR(4*STDEVP(終値!U302:AN302)/AVERAGE(終値!U302:AN302),""))</f>
        <v>0.15618804322085941</v>
      </c>
      <c r="S302" s="503">
        <f>IF(終値!A302="","",IFERROR(4*STDEVP(終値!V302:AO302)/AVERAGE(終値!V302:AO302),""))</f>
        <v>0.15542454860661234</v>
      </c>
      <c r="T302" s="503">
        <f>IF(終値!A302="","",IFERROR(4*STDEVP(終値!W302:AP302)/AVERAGE(終値!W302:AP302),""))</f>
        <v>0.14979437658106096</v>
      </c>
      <c r="U302" s="503">
        <f>IF(終値!A302="","",IFERROR(4*STDEVP(終値!X302:AQ302)/AVERAGE(終値!X302:AQ302),""))</f>
        <v>0.14255128965546843</v>
      </c>
      <c r="V302" s="503">
        <f>IF(終値!A302="","",IFERROR(4*STDEVP(終値!Y302:AR302)/AVERAGE(終値!Y302:AR302),""))</f>
        <v>0.11842822948454108</v>
      </c>
      <c r="W302" s="503">
        <f>IF(終値!A302="","",IFERROR(4*STDEVP(終値!Z302:AS302)/AVERAGE(終値!Z302:AS302),""))</f>
        <v>0.12155284068389299</v>
      </c>
      <c r="X302" s="503">
        <f>IF(終値!A302="","",IFERROR(4*STDEVP(終値!AA302:AT302)/AVERAGE(終値!AA302:AT302),""))</f>
        <v>0.11857628537447984</v>
      </c>
      <c r="Y302" s="503">
        <f>IF(終値!A302="","",IFERROR(4*STDEVP(終値!AB302:AU302)/AVERAGE(終値!AB302:AU302),""))</f>
        <v>0.11753618889259808</v>
      </c>
      <c r="Z302" s="503">
        <f>IF(終値!A302="","",IFERROR(4*STDEVP(終値!AC302:AV302)/AVERAGE(終値!AC302:AV302),""))</f>
        <v>0.11917179213956677</v>
      </c>
      <c r="AA302" s="503">
        <f>IF(終値!A302="","",IFERROR(4*STDEVP(終値!AD302:AW302)/AVERAGE(終値!AD302:AW302),""))</f>
        <v>0.11760596244935163</v>
      </c>
      <c r="AB302" s="503">
        <f>IF(終値!A302="","",IFERROR(4*STDEVP(終値!AE302:AX302)/AVERAGE(終値!AE302:AX302),""))</f>
        <v>0.11723004191248619</v>
      </c>
      <c r="AC302" s="503">
        <f>IF(終値!A302="","",IFERROR(4*STDEVP(終値!AF302:AY302)/AVERAGE(終値!AF302:AY302),""))</f>
        <v>0.11474302668809348</v>
      </c>
      <c r="AD302" s="503">
        <f>IF(終値!A302="","",IFERROR(4*STDEVP(終値!AG302:AZ302)/AVERAGE(終値!AG302:AZ302),""))</f>
        <v>0.11004318605311439</v>
      </c>
      <c r="AE302" s="503">
        <f>IF(終値!A302="","",IFERROR(4*STDEVP(終値!AH302:BA302)/AVERAGE(終値!AH302:BA302),""))</f>
        <v>0.10910562268149632</v>
      </c>
      <c r="AF302" s="503">
        <f>IF(終値!A302="","",IFERROR(4*STDEVP(終値!AI302:BB302)/AVERAGE(終値!AI302:BB302),""))</f>
        <v>0.1096600679944691</v>
      </c>
      <c r="AG302" s="503">
        <f>IF(終値!A302="","",IFERROR(4*STDEVP(終値!AJ302:BC302)/AVERAGE(終値!AJ302:BC302),""))</f>
        <v>0.10947844184638141</v>
      </c>
      <c r="AH302" s="503">
        <f>IF(終値!A302="","",IFERROR(4*STDEVP(終値!AK302:BD302)/AVERAGE(終値!AK302:BD302),""))</f>
        <v>0.10934237596635778</v>
      </c>
      <c r="AI302" s="503">
        <f>IF(終値!A302="","",IFERROR(4*STDEVP(終値!AL302:BE302)/AVERAGE(終値!AL302:BE302),""))</f>
        <v>0.10796071744487465</v>
      </c>
      <c r="AJ302" s="503">
        <f>IF(終値!A302="","",IFERROR(4*STDEVP(終値!AM302:BF302)/AVERAGE(終値!AM302:BF302),""))</f>
        <v>9.5138005503653006E-2</v>
      </c>
      <c r="AK302" s="503">
        <f>IF(終値!A302="","",IFERROR(4*STDEVP(終値!AN302:BG302)/AVERAGE(終値!AN302:BG302),""))</f>
        <v>0.10032064043637397</v>
      </c>
      <c r="AL302" s="503">
        <f>IF(終値!A302="","",IFERROR(4*STDEVP(終値!AO302:BH302)/AVERAGE(終値!AO302:BH302),""))</f>
        <v>0.1049327098556558</v>
      </c>
      <c r="AM302" s="503">
        <f>IF(終値!A302="","",IFERROR(4*STDEVP(終値!AP302:BI302)/AVERAGE(終値!AP302:BI302),""))</f>
        <v>0.10975571110012652</v>
      </c>
      <c r="AN302" s="503">
        <f>IF(終値!A302="","",IFERROR(4*STDEVP(終値!AQ302:BJ302)/AVERAGE(終値!AQ302:BJ302),""))</f>
        <v>0.1105273567118836</v>
      </c>
      <c r="AO302" s="503">
        <f>IF(終値!A302="","",IFERROR(4*STDEVP(終値!AR302:BK302)/AVERAGE(終値!AR302:BK302),""))</f>
        <v>0.10424228063868786</v>
      </c>
      <c r="AP302" s="503">
        <f>IF(終値!A302="","",IFERROR(4*STDEVP(終値!AS302:BL302)/AVERAGE(終値!AS302:BL302),""))</f>
        <v>9.8152294606168339E-2</v>
      </c>
    </row>
    <row r="303" spans="1:42">
      <c r="A303" s="500" t="str">
        <f>IF(終値!A303="","",終値!A303)</f>
        <v>1321</v>
      </c>
      <c r="B303" s="503">
        <f>IF(終値!A303="","",IFERROR(4*STDEVP(終値!E303:X303)/AVERAGE(終値!E303:X303),""))</f>
        <v>0.12733108396971893</v>
      </c>
      <c r="C303" s="503">
        <f>IF(終値!A303="","",IFERROR(4*STDEVP(終値!F303:Y303)/AVERAGE(終値!F303:Y303),""))</f>
        <v>0.13383058283021421</v>
      </c>
      <c r="D303" s="503">
        <f>IF(終値!A303="","",IFERROR(4*STDEVP(終値!G303:Z303)/AVERAGE(終値!G303:Z303),""))</f>
        <v>0.14811685983852893</v>
      </c>
      <c r="E303" s="503">
        <f>IF(終値!A303="","",IFERROR(4*STDEVP(終値!H303:AA303)/AVERAGE(終値!H303:AA303),""))</f>
        <v>0.15744086744016061</v>
      </c>
      <c r="F303" s="503">
        <f>IF(終値!A303="","",IFERROR(4*STDEVP(終値!I303:AB303)/AVERAGE(終値!I303:AB303),""))</f>
        <v>0.15844632950785434</v>
      </c>
      <c r="G303" s="503">
        <f>IF(終値!A303="","",IFERROR(4*STDEVP(終値!J303:AC303)/AVERAGE(終値!J303:AC303),""))</f>
        <v>0.16597943416477831</v>
      </c>
      <c r="H303" s="503">
        <f>IF(終値!A303="","",IFERROR(4*STDEVP(終値!K303:AD303)/AVERAGE(終値!K303:AD303),""))</f>
        <v>0.15892623008603071</v>
      </c>
      <c r="I303" s="503">
        <f>IF(終値!A303="","",IFERROR(4*STDEVP(終値!L303:AE303)/AVERAGE(終値!L303:AE303),""))</f>
        <v>0.14167758075805503</v>
      </c>
      <c r="J303" s="503">
        <f>IF(終値!A303="","",IFERROR(4*STDEVP(終値!M303:AF303)/AVERAGE(終値!M303:AF303),""))</f>
        <v>0.12399154033864002</v>
      </c>
      <c r="K303" s="503">
        <f>IF(終値!A303="","",IFERROR(4*STDEVP(終値!N303:AG303)/AVERAGE(終値!N303:AG303),""))</f>
        <v>0.1315871081142182</v>
      </c>
      <c r="L303" s="503">
        <f>IF(終値!A303="","",IFERROR(4*STDEVP(終値!O303:AH303)/AVERAGE(終値!O303:AH303),""))</f>
        <v>0.12133595741217627</v>
      </c>
      <c r="M303" s="503">
        <f>IF(終値!A303="","",IFERROR(4*STDEVP(終値!P303:AI303)/AVERAGE(終値!P303:AI303),""))</f>
        <v>0.11867949200045287</v>
      </c>
      <c r="N303" s="503">
        <f>IF(終値!A303="","",IFERROR(4*STDEVP(終値!Q303:AJ303)/AVERAGE(終値!Q303:AJ303),""))</f>
        <v>0.12317969221842992</v>
      </c>
      <c r="O303" s="503">
        <f>IF(終値!A303="","",IFERROR(4*STDEVP(終値!R303:AK303)/AVERAGE(終値!R303:AK303),""))</f>
        <v>0.11931274046418722</v>
      </c>
      <c r="P303" s="503">
        <f>IF(終値!A303="","",IFERROR(4*STDEVP(終値!S303:AL303)/AVERAGE(終値!S303:AL303),""))</f>
        <v>0.10196243836941328</v>
      </c>
      <c r="Q303" s="503">
        <f>IF(終値!A303="","",IFERROR(4*STDEVP(終値!T303:AM303)/AVERAGE(終値!T303:AM303),""))</f>
        <v>0.10066033730397093</v>
      </c>
      <c r="R303" s="503">
        <f>IF(終値!A303="","",IFERROR(4*STDEVP(終値!U303:AN303)/AVERAGE(終値!U303:AN303),""))</f>
        <v>9.524248810301747E-2</v>
      </c>
      <c r="S303" s="503">
        <f>IF(終値!A303="","",IFERROR(4*STDEVP(終値!V303:AO303)/AVERAGE(終値!V303:AO303),""))</f>
        <v>8.6080484854670125E-2</v>
      </c>
      <c r="T303" s="503">
        <f>IF(終値!A303="","",IFERROR(4*STDEVP(終値!W303:AP303)/AVERAGE(終値!W303:AP303),""))</f>
        <v>9.538319035572751E-2</v>
      </c>
      <c r="U303" s="503">
        <f>IF(終値!A303="","",IFERROR(4*STDEVP(終値!X303:AQ303)/AVERAGE(終値!X303:AQ303),""))</f>
        <v>0.11321122718719284</v>
      </c>
      <c r="V303" s="503">
        <f>IF(終値!A303="","",IFERROR(4*STDEVP(終値!Y303:AR303)/AVERAGE(終値!Y303:AR303),""))</f>
        <v>0.12577865165407842</v>
      </c>
      <c r="W303" s="503">
        <f>IF(終値!A303="","",IFERROR(4*STDEVP(終値!Z303:AS303)/AVERAGE(終値!Z303:AS303),""))</f>
        <v>0.14158891694829817</v>
      </c>
      <c r="X303" s="503">
        <f>IF(終値!A303="","",IFERROR(4*STDEVP(終値!AA303:AT303)/AVERAGE(終値!AA303:AT303),""))</f>
        <v>0.1449954474329142</v>
      </c>
      <c r="Y303" s="503">
        <f>IF(終値!A303="","",IFERROR(4*STDEVP(終値!AB303:AU303)/AVERAGE(終値!AB303:AU303),""))</f>
        <v>0.14584334258966519</v>
      </c>
      <c r="Z303" s="503">
        <f>IF(終値!A303="","",IFERROR(4*STDEVP(終値!AC303:AV303)/AVERAGE(終値!AC303:AV303),""))</f>
        <v>0.14597764005544503</v>
      </c>
      <c r="AA303" s="503">
        <f>IF(終値!A303="","",IFERROR(4*STDEVP(終値!AD303:AW303)/AVERAGE(終値!AD303:AW303),""))</f>
        <v>0.14688010248428413</v>
      </c>
      <c r="AB303" s="503">
        <f>IF(終値!A303="","",IFERROR(4*STDEVP(終値!AE303:AX303)/AVERAGE(終値!AE303:AX303),""))</f>
        <v>0.14854111115159993</v>
      </c>
      <c r="AC303" s="503">
        <f>IF(終値!A303="","",IFERROR(4*STDEVP(終値!AF303:AY303)/AVERAGE(終値!AF303:AY303),""))</f>
        <v>0.15564776223776222</v>
      </c>
      <c r="AD303" s="503">
        <f>IF(終値!A303="","",IFERROR(4*STDEVP(終値!AG303:AZ303)/AVERAGE(終値!AG303:AZ303),""))</f>
        <v>0.16001615899836813</v>
      </c>
      <c r="AE303" s="503">
        <f>IF(終値!A303="","",IFERROR(4*STDEVP(終値!AH303:BA303)/AVERAGE(終値!AH303:BA303),""))</f>
        <v>0.15244991663948337</v>
      </c>
      <c r="AF303" s="503">
        <f>IF(終値!A303="","",IFERROR(4*STDEVP(終値!AI303:BB303)/AVERAGE(終値!AI303:BB303),""))</f>
        <v>0.1610923417690405</v>
      </c>
      <c r="AG303" s="503">
        <f>IF(終値!A303="","",IFERROR(4*STDEVP(終値!AJ303:BC303)/AVERAGE(終値!AJ303:BC303),""))</f>
        <v>0.17353155020002214</v>
      </c>
      <c r="AH303" s="503">
        <f>IF(終値!A303="","",IFERROR(4*STDEVP(終値!AK303:BD303)/AVERAGE(終値!AK303:BD303),""))</f>
        <v>0.17908385544213698</v>
      </c>
      <c r="AI303" s="503">
        <f>IF(終値!A303="","",IFERROR(4*STDEVP(終値!AL303:BE303)/AVERAGE(終値!AL303:BE303),""))</f>
        <v>0.18051082961118306</v>
      </c>
      <c r="AJ303" s="503">
        <f>IF(終値!A303="","",IFERROR(4*STDEVP(終値!AM303:BF303)/AVERAGE(終値!AM303:BF303),""))</f>
        <v>0.17622683233881525</v>
      </c>
      <c r="AK303" s="503">
        <f>IF(終値!A303="","",IFERROR(4*STDEVP(終値!AN303:BG303)/AVERAGE(終値!AN303:BG303),""))</f>
        <v>0.17096209351505975</v>
      </c>
      <c r="AL303" s="503">
        <f>IF(終値!A303="","",IFERROR(4*STDEVP(終値!AO303:BH303)/AVERAGE(終値!AO303:BH303),""))</f>
        <v>0.16100985718507388</v>
      </c>
      <c r="AM303" s="503">
        <f>IF(終値!A303="","",IFERROR(4*STDEVP(終値!AP303:BI303)/AVERAGE(終値!AP303:BI303),""))</f>
        <v>0.14602099383820488</v>
      </c>
      <c r="AN303" s="503">
        <f>IF(終値!A303="","",IFERROR(4*STDEVP(終値!AQ303:BJ303)/AVERAGE(終値!AQ303:BJ303),""))</f>
        <v>0.14509319672827892</v>
      </c>
      <c r="AO303" s="503">
        <f>IF(終値!A303="","",IFERROR(4*STDEVP(終値!AR303:BK303)/AVERAGE(終値!AR303:BK303),""))</f>
        <v>0.14667128175090657</v>
      </c>
      <c r="AP303" s="503">
        <f>IF(終値!A303="","",IFERROR(4*STDEVP(終値!AS303:BL303)/AVERAGE(終値!AS303:BL303),""))</f>
        <v>0.14762450016207995</v>
      </c>
    </row>
    <row r="304" spans="1:42">
      <c r="A304" s="500" t="str">
        <f>IF(終値!A304="","",終値!A304)</f>
        <v>1944</v>
      </c>
      <c r="B304" s="503">
        <f>IF(終値!A304="","",IFERROR(4*STDEVP(終値!E304:X304)/AVERAGE(終値!E304:X304),""))</f>
        <v>0.13115407599160675</v>
      </c>
      <c r="C304" s="503">
        <f>IF(終値!A304="","",IFERROR(4*STDEVP(終値!F304:Y304)/AVERAGE(終値!F304:Y304),""))</f>
        <v>0.15599519306348886</v>
      </c>
      <c r="D304" s="503">
        <f>IF(終値!A304="","",IFERROR(4*STDEVP(終値!G304:Z304)/AVERAGE(終値!G304:Z304),""))</f>
        <v>0.17014849629749643</v>
      </c>
      <c r="E304" s="503">
        <f>IF(終値!A304="","",IFERROR(4*STDEVP(終値!H304:AA304)/AVERAGE(終値!H304:AA304),""))</f>
        <v>0.17350365470453152</v>
      </c>
      <c r="F304" s="503">
        <f>IF(終値!A304="","",IFERROR(4*STDEVP(終値!I304:AB304)/AVERAGE(終値!I304:AB304),""))</f>
        <v>0.16353140698998622</v>
      </c>
      <c r="G304" s="503">
        <f>IF(終値!A304="","",IFERROR(4*STDEVP(終値!J304:AC304)/AVERAGE(終値!J304:AC304),""))</f>
        <v>0.15565262342992112</v>
      </c>
      <c r="H304" s="503">
        <f>IF(終値!A304="","",IFERROR(4*STDEVP(終値!K304:AD304)/AVERAGE(終値!K304:AD304),""))</f>
        <v>0.15326306722521643</v>
      </c>
      <c r="I304" s="503">
        <f>IF(終値!A304="","",IFERROR(4*STDEVP(終値!L304:AE304)/AVERAGE(終値!L304:AE304),""))</f>
        <v>0.15077361661115177</v>
      </c>
      <c r="J304" s="503">
        <f>IF(終値!A304="","",IFERROR(4*STDEVP(終値!M304:AF304)/AVERAGE(終値!M304:AF304),""))</f>
        <v>0.15832623468434312</v>
      </c>
      <c r="K304" s="503">
        <f>IF(終値!A304="","",IFERROR(4*STDEVP(終値!N304:AG304)/AVERAGE(終値!N304:AG304),""))</f>
        <v>0.16681029027108066</v>
      </c>
      <c r="L304" s="503">
        <f>IF(終値!A304="","",IFERROR(4*STDEVP(終値!O304:AH304)/AVERAGE(終値!O304:AH304),""))</f>
        <v>0.17330792692017261</v>
      </c>
      <c r="M304" s="503">
        <f>IF(終値!A304="","",IFERROR(4*STDEVP(終値!P304:AI304)/AVERAGE(終値!P304:AI304),""))</f>
        <v>0.17166371360852015</v>
      </c>
      <c r="N304" s="503">
        <f>IF(終値!A304="","",IFERROR(4*STDEVP(終値!Q304:AJ304)/AVERAGE(終値!Q304:AJ304),""))</f>
        <v>0.1751908151923782</v>
      </c>
      <c r="O304" s="503">
        <f>IF(終値!A304="","",IFERROR(4*STDEVP(終値!R304:AK304)/AVERAGE(終値!R304:AK304),""))</f>
        <v>0.16585733491279803</v>
      </c>
      <c r="P304" s="503">
        <f>IF(終値!A304="","",IFERROR(4*STDEVP(終値!S304:AL304)/AVERAGE(終値!S304:AL304),""))</f>
        <v>0.13743360493263954</v>
      </c>
      <c r="Q304" s="503">
        <f>IF(終値!A304="","",IFERROR(4*STDEVP(終値!T304:AM304)/AVERAGE(終値!T304:AM304),""))</f>
        <v>0.13248369503047344</v>
      </c>
      <c r="R304" s="503">
        <f>IF(終値!A304="","",IFERROR(4*STDEVP(終値!U304:AN304)/AVERAGE(終値!U304:AN304),""))</f>
        <v>0.136950997033325</v>
      </c>
      <c r="S304" s="503">
        <f>IF(終値!A304="","",IFERROR(4*STDEVP(終値!V304:AO304)/AVERAGE(終値!V304:AO304),""))</f>
        <v>0.1413890353494055</v>
      </c>
      <c r="T304" s="503">
        <f>IF(終値!A304="","",IFERROR(4*STDEVP(終値!W304:AP304)/AVERAGE(終値!W304:AP304),""))</f>
        <v>0.18811623621580476</v>
      </c>
      <c r="U304" s="503">
        <f>IF(終値!A304="","",IFERROR(4*STDEVP(終値!X304:AQ304)/AVERAGE(終値!X304:AQ304),""))</f>
        <v>0.22159544421638938</v>
      </c>
      <c r="V304" s="503">
        <f>IF(終値!A304="","",IFERROR(4*STDEVP(終値!Y304:AR304)/AVERAGE(終値!Y304:AR304),""))</f>
        <v>0.2453086131993491</v>
      </c>
      <c r="W304" s="503">
        <f>IF(終値!A304="","",IFERROR(4*STDEVP(終値!Z304:AS304)/AVERAGE(終値!Z304:AS304),""))</f>
        <v>0.26907413004477126</v>
      </c>
      <c r="X304" s="503">
        <f>IF(終値!A304="","",IFERROR(4*STDEVP(終値!AA304:AT304)/AVERAGE(終値!AA304:AT304),""))</f>
        <v>0.29570674765487687</v>
      </c>
      <c r="Y304" s="503">
        <f>IF(終値!A304="","",IFERROR(4*STDEVP(終値!AB304:AU304)/AVERAGE(終値!AB304:AU304),""))</f>
        <v>0.32083633501317665</v>
      </c>
      <c r="Z304" s="503">
        <f>IF(終値!A304="","",IFERROR(4*STDEVP(終値!AC304:AV304)/AVERAGE(終値!AC304:AV304),""))</f>
        <v>0.34361929131527597</v>
      </c>
      <c r="AA304" s="503">
        <f>IF(終値!A304="","",IFERROR(4*STDEVP(終値!AD304:AW304)/AVERAGE(終値!AD304:AW304),""))</f>
        <v>0.35423909032548079</v>
      </c>
      <c r="AB304" s="503">
        <f>IF(終値!A304="","",IFERROR(4*STDEVP(終値!AE304:AX304)/AVERAGE(終値!AE304:AX304),""))</f>
        <v>0.35230219624624864</v>
      </c>
      <c r="AC304" s="503">
        <f>IF(終値!A304="","",IFERROR(4*STDEVP(終値!AF304:AY304)/AVERAGE(終値!AF304:AY304),""))</f>
        <v>0.34657886037359764</v>
      </c>
      <c r="AD304" s="503">
        <f>IF(終値!A304="","",IFERROR(4*STDEVP(終値!AG304:AZ304)/AVERAGE(終値!AG304:AZ304),""))</f>
        <v>0.33933921168169406</v>
      </c>
      <c r="AE304" s="503">
        <f>IF(終値!A304="","",IFERROR(4*STDEVP(終値!AH304:BA304)/AVERAGE(終値!AH304:BA304),""))</f>
        <v>0.32534663083253568</v>
      </c>
      <c r="AF304" s="503">
        <f>IF(終値!A304="","",IFERROR(4*STDEVP(終値!AI304:BB304)/AVERAGE(終値!AI304:BB304),""))</f>
        <v>0.31119523875423277</v>
      </c>
      <c r="AG304" s="503">
        <f>IF(終値!A304="","",IFERROR(4*STDEVP(終値!AJ304:BC304)/AVERAGE(終値!AJ304:BC304),""))</f>
        <v>0.29692035612692008</v>
      </c>
      <c r="AH304" s="503">
        <f>IF(終値!A304="","",IFERROR(4*STDEVP(終値!AK304:BD304)/AVERAGE(終値!AK304:BD304),""))</f>
        <v>0.25923182592794058</v>
      </c>
      <c r="AI304" s="503">
        <f>IF(終値!A304="","",IFERROR(4*STDEVP(終値!AL304:BE304)/AVERAGE(終値!AL304:BE304),""))</f>
        <v>0.20868309019754902</v>
      </c>
      <c r="AJ304" s="503">
        <f>IF(終値!A304="","",IFERROR(4*STDEVP(終値!AM304:BF304)/AVERAGE(終値!AM304:BF304),""))</f>
        <v>0.16818306484207918</v>
      </c>
      <c r="AK304" s="503">
        <f>IF(終値!A304="","",IFERROR(4*STDEVP(終値!AN304:BG304)/AVERAGE(終値!AN304:BG304),""))</f>
        <v>0.14958820298160416</v>
      </c>
      <c r="AL304" s="503">
        <f>IF(終値!A304="","",IFERROR(4*STDEVP(終値!AO304:BH304)/AVERAGE(終値!AO304:BH304),""))</f>
        <v>0.17347640533626196</v>
      </c>
      <c r="AM304" s="503">
        <f>IF(終値!A304="","",IFERROR(4*STDEVP(終値!AP304:BI304)/AVERAGE(終値!AP304:BI304),""))</f>
        <v>0.21198184984196874</v>
      </c>
      <c r="AN304" s="503">
        <f>IF(終値!A304="","",IFERROR(4*STDEVP(終値!AQ304:BJ304)/AVERAGE(終値!AQ304:BJ304),""))</f>
        <v>0.25013513938136439</v>
      </c>
      <c r="AO304" s="503">
        <f>IF(終値!A304="","",IFERROR(4*STDEVP(終値!AR304:BK304)/AVERAGE(終値!AR304:BK304),""))</f>
        <v>0.28317067024510462</v>
      </c>
      <c r="AP304" s="503">
        <f>IF(終値!A304="","",IFERROR(4*STDEVP(終値!AS304:BL304)/AVERAGE(終値!AS304:BL304),""))</f>
        <v>0.31262765098404754</v>
      </c>
    </row>
    <row r="305" spans="1:42">
      <c r="A305" s="500" t="str">
        <f>IF(終値!A305="","",終値!A305)</f>
        <v>7532</v>
      </c>
      <c r="B305" s="503">
        <f>IF(終値!A305="","",IFERROR(4*STDEVP(終値!E305:X305)/AVERAGE(終値!E305:X305),""))</f>
        <v>0.1266563788989683</v>
      </c>
      <c r="C305" s="503">
        <f>IF(終値!A305="","",IFERROR(4*STDEVP(終値!F305:Y305)/AVERAGE(終値!F305:Y305),""))</f>
        <v>0.12808843757946853</v>
      </c>
      <c r="D305" s="503">
        <f>IF(終値!A305="","",IFERROR(4*STDEVP(終値!G305:Z305)/AVERAGE(終値!G305:Z305),""))</f>
        <v>0.13241212650513226</v>
      </c>
      <c r="E305" s="503">
        <f>IF(終値!A305="","",IFERROR(4*STDEVP(終値!H305:AA305)/AVERAGE(終値!H305:AA305),""))</f>
        <v>0.14793078773080773</v>
      </c>
      <c r="F305" s="503">
        <f>IF(終値!A305="","",IFERROR(4*STDEVP(終値!I305:AB305)/AVERAGE(終値!I305:AB305),""))</f>
        <v>0.15894728379870735</v>
      </c>
      <c r="G305" s="503">
        <f>IF(終値!A305="","",IFERROR(4*STDEVP(終値!J305:AC305)/AVERAGE(終値!J305:AC305),""))</f>
        <v>0.17778297333670826</v>
      </c>
      <c r="H305" s="503">
        <f>IF(終値!A305="","",IFERROR(4*STDEVP(終値!K305:AD305)/AVERAGE(終値!K305:AD305),""))</f>
        <v>0.16909916317967522</v>
      </c>
      <c r="I305" s="503">
        <f>IF(終値!A305="","",IFERROR(4*STDEVP(終値!L305:AE305)/AVERAGE(終値!L305:AE305),""))</f>
        <v>0.13804759466290417</v>
      </c>
      <c r="J305" s="503">
        <f>IF(終値!A305="","",IFERROR(4*STDEVP(終値!M305:AF305)/AVERAGE(終値!M305:AF305),""))</f>
        <v>0.12438563592129089</v>
      </c>
      <c r="K305" s="503">
        <f>IF(終値!A305="","",IFERROR(4*STDEVP(終値!N305:AG305)/AVERAGE(終値!N305:AG305),""))</f>
        <v>0.12128084954253125</v>
      </c>
      <c r="L305" s="503">
        <f>IF(終値!A305="","",IFERROR(4*STDEVP(終値!O305:AH305)/AVERAGE(終値!O305:AH305),""))</f>
        <v>0.12490605125598046</v>
      </c>
      <c r="M305" s="503">
        <f>IF(終値!A305="","",IFERROR(4*STDEVP(終値!P305:AI305)/AVERAGE(終値!P305:AI305),""))</f>
        <v>0.12969801007653897</v>
      </c>
      <c r="N305" s="503">
        <f>IF(終値!A305="","",IFERROR(4*STDEVP(終値!Q305:AJ305)/AVERAGE(終値!Q305:AJ305),""))</f>
        <v>0.13139077094539484</v>
      </c>
      <c r="O305" s="503">
        <f>IF(終値!A305="","",IFERROR(4*STDEVP(終値!R305:AK305)/AVERAGE(終値!R305:AK305),""))</f>
        <v>0.12735560981565855</v>
      </c>
      <c r="P305" s="503">
        <f>IF(終値!A305="","",IFERROR(4*STDEVP(終値!S305:AL305)/AVERAGE(終値!S305:AL305),""))</f>
        <v>0.11598156257446444</v>
      </c>
      <c r="Q305" s="503">
        <f>IF(終値!A305="","",IFERROR(4*STDEVP(終値!T305:AM305)/AVERAGE(終値!T305:AM305),""))</f>
        <v>0.11380413851446973</v>
      </c>
      <c r="R305" s="503">
        <f>IF(終値!A305="","",IFERROR(4*STDEVP(終値!U305:AN305)/AVERAGE(終値!U305:AN305),""))</f>
        <v>0.10623662503367663</v>
      </c>
      <c r="S305" s="503">
        <f>IF(終値!A305="","",IFERROR(4*STDEVP(終値!V305:AO305)/AVERAGE(終値!V305:AO305),""))</f>
        <v>9.7803393118189502E-2</v>
      </c>
      <c r="T305" s="503">
        <f>IF(終値!A305="","",IFERROR(4*STDEVP(終値!W305:AP305)/AVERAGE(終値!W305:AP305),""))</f>
        <v>9.8938345377219891E-2</v>
      </c>
      <c r="U305" s="503">
        <f>IF(終値!A305="","",IFERROR(4*STDEVP(終値!X305:AQ305)/AVERAGE(終値!X305:AQ305),""))</f>
        <v>9.7620778790633633E-2</v>
      </c>
      <c r="V305" s="503">
        <f>IF(終値!A305="","",IFERROR(4*STDEVP(終値!Y305:AR305)/AVERAGE(終値!Y305:AR305),""))</f>
        <v>8.9024612452897056E-2</v>
      </c>
      <c r="W305" s="503">
        <f>IF(終値!A305="","",IFERROR(4*STDEVP(終値!Z305:AS305)/AVERAGE(終値!Z305:AS305),""))</f>
        <v>8.081349717264745E-2</v>
      </c>
      <c r="X305" s="503">
        <f>IF(終値!A305="","",IFERROR(4*STDEVP(終値!AA305:AT305)/AVERAGE(終値!AA305:AT305),""))</f>
        <v>7.6979506424067007E-2</v>
      </c>
      <c r="Y305" s="503">
        <f>IF(終値!A305="","",IFERROR(4*STDEVP(終値!AB305:AU305)/AVERAGE(終値!AB305:AU305),""))</f>
        <v>7.6120021057716161E-2</v>
      </c>
      <c r="Z305" s="503">
        <f>IF(終値!A305="","",IFERROR(4*STDEVP(終値!AC305:AV305)/AVERAGE(終値!AC305:AV305),""))</f>
        <v>7.5696659303631925E-2</v>
      </c>
      <c r="AA305" s="503">
        <f>IF(終値!A305="","",IFERROR(4*STDEVP(終値!AD305:AW305)/AVERAGE(終値!AD305:AW305),""))</f>
        <v>6.448081161473504E-2</v>
      </c>
      <c r="AB305" s="503">
        <f>IF(終値!A305="","",IFERROR(4*STDEVP(終値!AE305:AX305)/AVERAGE(終値!AE305:AX305),""))</f>
        <v>8.0124775908839402E-2</v>
      </c>
      <c r="AC305" s="503">
        <f>IF(終値!A305="","",IFERROR(4*STDEVP(終値!AF305:AY305)/AVERAGE(終値!AF305:AY305),""))</f>
        <v>8.3436267864768529E-2</v>
      </c>
      <c r="AD305" s="503">
        <f>IF(終値!A305="","",IFERROR(4*STDEVP(終値!AG305:AZ305)/AVERAGE(終値!AG305:AZ305),""))</f>
        <v>8.4246768096522998E-2</v>
      </c>
      <c r="AE305" s="503">
        <f>IF(終値!A305="","",IFERROR(4*STDEVP(終値!AH305:BA305)/AVERAGE(終値!AH305:BA305),""))</f>
        <v>8.3545059223585683E-2</v>
      </c>
      <c r="AF305" s="503">
        <f>IF(終値!A305="","",IFERROR(4*STDEVP(終値!AI305:BB305)/AVERAGE(終値!AI305:BB305),""))</f>
        <v>8.714701178063787E-2</v>
      </c>
      <c r="AG305" s="503">
        <f>IF(終値!A305="","",IFERROR(4*STDEVP(終値!AJ305:BC305)/AVERAGE(終値!AJ305:BC305),""))</f>
        <v>8.7522260602423338E-2</v>
      </c>
      <c r="AH305" s="503">
        <f>IF(終値!A305="","",IFERROR(4*STDEVP(終値!AK305:BD305)/AVERAGE(終値!AK305:BD305),""))</f>
        <v>8.880068929531848E-2</v>
      </c>
      <c r="AI305" s="503">
        <f>IF(終値!A305="","",IFERROR(4*STDEVP(終値!AL305:BE305)/AVERAGE(終値!AL305:BE305),""))</f>
        <v>9.3942235115424821E-2</v>
      </c>
      <c r="AJ305" s="503">
        <f>IF(終値!A305="","",IFERROR(4*STDEVP(終値!AM305:BF305)/AVERAGE(終値!AM305:BF305),""))</f>
        <v>9.613188560116967E-2</v>
      </c>
      <c r="AK305" s="503">
        <f>IF(終値!A305="","",IFERROR(4*STDEVP(終値!AN305:BG305)/AVERAGE(終値!AN305:BG305),""))</f>
        <v>9.7574353452218113E-2</v>
      </c>
      <c r="AL305" s="503">
        <f>IF(終値!A305="","",IFERROR(4*STDEVP(終値!AO305:BH305)/AVERAGE(終値!AO305:BH305),""))</f>
        <v>9.6213650103027626E-2</v>
      </c>
      <c r="AM305" s="503">
        <f>IF(終値!A305="","",IFERROR(4*STDEVP(終値!AP305:BI305)/AVERAGE(終値!AP305:BI305),""))</f>
        <v>9.9983001037232094E-2</v>
      </c>
      <c r="AN305" s="503">
        <f>IF(終値!A305="","",IFERROR(4*STDEVP(終値!AQ305:BJ305)/AVERAGE(終値!AQ305:BJ305),""))</f>
        <v>0.10777666653084897</v>
      </c>
      <c r="AO305" s="503">
        <f>IF(終値!A305="","",IFERROR(4*STDEVP(終値!AR305:BK305)/AVERAGE(終値!AR305:BK305),""))</f>
        <v>0.11921066091775226</v>
      </c>
      <c r="AP305" s="503">
        <f>IF(終値!A305="","",IFERROR(4*STDEVP(終値!AS305:BL305)/AVERAGE(終値!AS305:BL305),""))</f>
        <v>0.12136035133428938</v>
      </c>
    </row>
    <row r="306" spans="1:42">
      <c r="A306" s="500" t="str">
        <f>IF(終値!A306="","",終値!A306)</f>
        <v/>
      </c>
      <c r="B306" s="503" t="str">
        <f>IF(終値!A306="","",IFERROR(4*STDEVP(終値!E306:X306)/AVERAGE(終値!E306:X306),""))</f>
        <v/>
      </c>
      <c r="C306" s="503" t="str">
        <f>IF(終値!A306="","",IFERROR(4*STDEVP(終値!F306:Y306)/AVERAGE(終値!F306:Y306),""))</f>
        <v/>
      </c>
      <c r="D306" s="503" t="str">
        <f>IF(終値!A306="","",IFERROR(4*STDEVP(終値!G306:Z306)/AVERAGE(終値!G306:Z306),""))</f>
        <v/>
      </c>
      <c r="E306" s="503" t="str">
        <f>IF(終値!A306="","",IFERROR(4*STDEVP(終値!H306:AA306)/AVERAGE(終値!H306:AA306),""))</f>
        <v/>
      </c>
      <c r="F306" s="503" t="str">
        <f>IF(終値!A306="","",IFERROR(4*STDEVP(終値!I306:AB306)/AVERAGE(終値!I306:AB306),""))</f>
        <v/>
      </c>
      <c r="G306" s="503" t="str">
        <f>IF(終値!A306="","",IFERROR(4*STDEVP(終値!J306:AC306)/AVERAGE(終値!J306:AC306),""))</f>
        <v/>
      </c>
      <c r="H306" s="503" t="str">
        <f>IF(終値!A306="","",IFERROR(4*STDEVP(終値!K306:AD306)/AVERAGE(終値!K306:AD306),""))</f>
        <v/>
      </c>
      <c r="I306" s="503" t="str">
        <f>IF(終値!A306="","",IFERROR(4*STDEVP(終値!L306:AE306)/AVERAGE(終値!L306:AE306),""))</f>
        <v/>
      </c>
      <c r="J306" s="503" t="str">
        <f>IF(終値!A306="","",IFERROR(4*STDEVP(終値!M306:AF306)/AVERAGE(終値!M306:AF306),""))</f>
        <v/>
      </c>
      <c r="K306" s="503" t="str">
        <f>IF(終値!A306="","",IFERROR(4*STDEVP(終値!N306:AG306)/AVERAGE(終値!N306:AG306),""))</f>
        <v/>
      </c>
      <c r="L306" s="503" t="str">
        <f>IF(終値!A306="","",IFERROR(4*STDEVP(終値!O306:AH306)/AVERAGE(終値!O306:AH306),""))</f>
        <v/>
      </c>
      <c r="M306" s="503" t="str">
        <f>IF(終値!A306="","",IFERROR(4*STDEVP(終値!P306:AI306)/AVERAGE(終値!P306:AI306),""))</f>
        <v/>
      </c>
      <c r="N306" s="503" t="str">
        <f>IF(終値!A306="","",IFERROR(4*STDEVP(終値!Q306:AJ306)/AVERAGE(終値!Q306:AJ306),""))</f>
        <v/>
      </c>
      <c r="O306" s="503" t="str">
        <f>IF(終値!A306="","",IFERROR(4*STDEVP(終値!R306:AK306)/AVERAGE(終値!R306:AK306),""))</f>
        <v/>
      </c>
      <c r="P306" s="503" t="str">
        <f>IF(終値!A306="","",IFERROR(4*STDEVP(終値!S306:AL306)/AVERAGE(終値!S306:AL306),""))</f>
        <v/>
      </c>
      <c r="Q306" s="503" t="str">
        <f>IF(終値!A306="","",IFERROR(4*STDEVP(終値!T306:AM306)/AVERAGE(終値!T306:AM306),""))</f>
        <v/>
      </c>
      <c r="R306" s="503" t="str">
        <f>IF(終値!A306="","",IFERROR(4*STDEVP(終値!U306:AN306)/AVERAGE(終値!U306:AN306),""))</f>
        <v/>
      </c>
      <c r="S306" s="503" t="str">
        <f>IF(終値!A306="","",IFERROR(4*STDEVP(終値!V306:AO306)/AVERAGE(終値!V306:AO306),""))</f>
        <v/>
      </c>
      <c r="T306" s="503" t="str">
        <f>IF(終値!A306="","",IFERROR(4*STDEVP(終値!W306:AP306)/AVERAGE(終値!W306:AP306),""))</f>
        <v/>
      </c>
      <c r="U306" s="503" t="str">
        <f>IF(終値!A306="","",IFERROR(4*STDEVP(終値!X306:AQ306)/AVERAGE(終値!X306:AQ306),""))</f>
        <v/>
      </c>
      <c r="V306" s="503" t="str">
        <f>IF(終値!A306="","",IFERROR(4*STDEVP(終値!Y306:AR306)/AVERAGE(終値!Y306:AR306),""))</f>
        <v/>
      </c>
      <c r="W306" s="503" t="str">
        <f>IF(終値!A306="","",IFERROR(4*STDEVP(終値!Z306:AS306)/AVERAGE(終値!Z306:AS306),""))</f>
        <v/>
      </c>
      <c r="X306" s="503" t="str">
        <f>IF(終値!A306="","",IFERROR(4*STDEVP(終値!AA306:AT306)/AVERAGE(終値!AA306:AT306),""))</f>
        <v/>
      </c>
      <c r="Y306" s="503" t="str">
        <f>IF(終値!A306="","",IFERROR(4*STDEVP(終値!AB306:AU306)/AVERAGE(終値!AB306:AU306),""))</f>
        <v/>
      </c>
      <c r="Z306" s="503" t="str">
        <f>IF(終値!A306="","",IFERROR(4*STDEVP(終値!AC306:AV306)/AVERAGE(終値!AC306:AV306),""))</f>
        <v/>
      </c>
      <c r="AA306" s="503" t="str">
        <f>IF(終値!A306="","",IFERROR(4*STDEVP(終値!AD306:AW306)/AVERAGE(終値!AD306:AW306),""))</f>
        <v/>
      </c>
      <c r="AB306" s="503" t="str">
        <f>IF(終値!A306="","",IFERROR(4*STDEVP(終値!AE306:AX306)/AVERAGE(終値!AE306:AX306),""))</f>
        <v/>
      </c>
      <c r="AC306" s="503" t="str">
        <f>IF(終値!A306="","",IFERROR(4*STDEVP(終値!AF306:AY306)/AVERAGE(終値!AF306:AY306),""))</f>
        <v/>
      </c>
      <c r="AD306" s="503" t="str">
        <f>IF(終値!A306="","",IFERROR(4*STDEVP(終値!AG306:AZ306)/AVERAGE(終値!AG306:AZ306),""))</f>
        <v/>
      </c>
      <c r="AE306" s="503" t="str">
        <f>IF(終値!A306="","",IFERROR(4*STDEVP(終値!AH306:BA306)/AVERAGE(終値!AH306:BA306),""))</f>
        <v/>
      </c>
      <c r="AF306" s="503" t="str">
        <f>IF(終値!A306="","",IFERROR(4*STDEVP(終値!AI306:BB306)/AVERAGE(終値!AI306:BB306),""))</f>
        <v/>
      </c>
      <c r="AG306" s="503" t="str">
        <f>IF(終値!A306="","",IFERROR(4*STDEVP(終値!AJ306:BC306)/AVERAGE(終値!AJ306:BC306),""))</f>
        <v/>
      </c>
      <c r="AH306" s="503" t="str">
        <f>IF(終値!A306="","",IFERROR(4*STDEVP(終値!AK306:BD306)/AVERAGE(終値!AK306:BD306),""))</f>
        <v/>
      </c>
      <c r="AI306" s="503" t="str">
        <f>IF(終値!A306="","",IFERROR(4*STDEVP(終値!AL306:BE306)/AVERAGE(終値!AL306:BE306),""))</f>
        <v/>
      </c>
      <c r="AJ306" s="503" t="str">
        <f>IF(終値!A306="","",IFERROR(4*STDEVP(終値!AM306:BF306)/AVERAGE(終値!AM306:BF306),""))</f>
        <v/>
      </c>
      <c r="AK306" s="503" t="str">
        <f>IF(終値!A306="","",IFERROR(4*STDEVP(終値!AN306:BG306)/AVERAGE(終値!AN306:BG306),""))</f>
        <v/>
      </c>
      <c r="AL306" s="503" t="str">
        <f>IF(終値!A306="","",IFERROR(4*STDEVP(終値!AO306:BH306)/AVERAGE(終値!AO306:BH306),""))</f>
        <v/>
      </c>
      <c r="AM306" s="503" t="str">
        <f>IF(終値!A306="","",IFERROR(4*STDEVP(終値!AP306:BI306)/AVERAGE(終値!AP306:BI306),""))</f>
        <v/>
      </c>
      <c r="AN306" s="503" t="str">
        <f>IF(終値!A306="","",IFERROR(4*STDEVP(終値!AQ306:BJ306)/AVERAGE(終値!AQ306:BJ306),""))</f>
        <v/>
      </c>
      <c r="AO306" s="503" t="str">
        <f>IF(終値!A306="","",IFERROR(4*STDEVP(終値!AR306:BK306)/AVERAGE(終値!AR306:BK306),""))</f>
        <v/>
      </c>
      <c r="AP306" s="503" t="str">
        <f>IF(終値!A306="","",IFERROR(4*STDEVP(終値!AS306:BL306)/AVERAGE(終値!AS306:BL306),""))</f>
        <v/>
      </c>
    </row>
    <row r="307" spans="1:42">
      <c r="A307" s="500" t="str">
        <f>IF(終値!A307="","",終値!A307)</f>
        <v/>
      </c>
      <c r="B307" s="503" t="str">
        <f>IF(終値!A307="","",IFERROR(4*STDEVP(終値!E307:X307)/AVERAGE(終値!E307:X307),""))</f>
        <v/>
      </c>
      <c r="C307" s="503" t="str">
        <f>IF(終値!A307="","",IFERROR(4*STDEVP(終値!F307:Y307)/AVERAGE(終値!F307:Y307),""))</f>
        <v/>
      </c>
      <c r="D307" s="503" t="str">
        <f>IF(終値!A307="","",IFERROR(4*STDEVP(終値!G307:Z307)/AVERAGE(終値!G307:Z307),""))</f>
        <v/>
      </c>
      <c r="E307" s="503" t="str">
        <f>IF(終値!A307="","",IFERROR(4*STDEVP(終値!H307:AA307)/AVERAGE(終値!H307:AA307),""))</f>
        <v/>
      </c>
      <c r="F307" s="503" t="str">
        <f>IF(終値!A307="","",IFERROR(4*STDEVP(終値!I307:AB307)/AVERAGE(終値!I307:AB307),""))</f>
        <v/>
      </c>
      <c r="G307" s="503" t="str">
        <f>IF(終値!A307="","",IFERROR(4*STDEVP(終値!J307:AC307)/AVERAGE(終値!J307:AC307),""))</f>
        <v/>
      </c>
      <c r="H307" s="503" t="str">
        <f>IF(終値!A307="","",IFERROR(4*STDEVP(終値!K307:AD307)/AVERAGE(終値!K307:AD307),""))</f>
        <v/>
      </c>
      <c r="I307" s="503" t="str">
        <f>IF(終値!A307="","",IFERROR(4*STDEVP(終値!L307:AE307)/AVERAGE(終値!L307:AE307),""))</f>
        <v/>
      </c>
      <c r="J307" s="503" t="str">
        <f>IF(終値!A307="","",IFERROR(4*STDEVP(終値!M307:AF307)/AVERAGE(終値!M307:AF307),""))</f>
        <v/>
      </c>
      <c r="K307" s="503" t="str">
        <f>IF(終値!A307="","",IFERROR(4*STDEVP(終値!N307:AG307)/AVERAGE(終値!N307:AG307),""))</f>
        <v/>
      </c>
      <c r="L307" s="503" t="str">
        <f>IF(終値!A307="","",IFERROR(4*STDEVP(終値!O307:AH307)/AVERAGE(終値!O307:AH307),""))</f>
        <v/>
      </c>
      <c r="M307" s="503" t="str">
        <f>IF(終値!A307="","",IFERROR(4*STDEVP(終値!P307:AI307)/AVERAGE(終値!P307:AI307),""))</f>
        <v/>
      </c>
      <c r="N307" s="503" t="str">
        <f>IF(終値!A307="","",IFERROR(4*STDEVP(終値!Q307:AJ307)/AVERAGE(終値!Q307:AJ307),""))</f>
        <v/>
      </c>
      <c r="O307" s="503" t="str">
        <f>IF(終値!A307="","",IFERROR(4*STDEVP(終値!R307:AK307)/AVERAGE(終値!R307:AK307),""))</f>
        <v/>
      </c>
      <c r="P307" s="503" t="str">
        <f>IF(終値!A307="","",IFERROR(4*STDEVP(終値!S307:AL307)/AVERAGE(終値!S307:AL307),""))</f>
        <v/>
      </c>
      <c r="Q307" s="503" t="str">
        <f>IF(終値!A307="","",IFERROR(4*STDEVP(終値!T307:AM307)/AVERAGE(終値!T307:AM307),""))</f>
        <v/>
      </c>
      <c r="R307" s="503" t="str">
        <f>IF(終値!A307="","",IFERROR(4*STDEVP(終値!U307:AN307)/AVERAGE(終値!U307:AN307),""))</f>
        <v/>
      </c>
      <c r="S307" s="503" t="str">
        <f>IF(終値!A307="","",IFERROR(4*STDEVP(終値!V307:AO307)/AVERAGE(終値!V307:AO307),""))</f>
        <v/>
      </c>
      <c r="T307" s="503" t="str">
        <f>IF(終値!A307="","",IFERROR(4*STDEVP(終値!W307:AP307)/AVERAGE(終値!W307:AP307),""))</f>
        <v/>
      </c>
      <c r="U307" s="503" t="str">
        <f>IF(終値!A307="","",IFERROR(4*STDEVP(終値!X307:AQ307)/AVERAGE(終値!X307:AQ307),""))</f>
        <v/>
      </c>
      <c r="V307" s="503" t="str">
        <f>IF(終値!A307="","",IFERROR(4*STDEVP(終値!Y307:AR307)/AVERAGE(終値!Y307:AR307),""))</f>
        <v/>
      </c>
      <c r="W307" s="503" t="str">
        <f>IF(終値!A307="","",IFERROR(4*STDEVP(終値!Z307:AS307)/AVERAGE(終値!Z307:AS307),""))</f>
        <v/>
      </c>
      <c r="X307" s="503" t="str">
        <f>IF(終値!A307="","",IFERROR(4*STDEVP(終値!AA307:AT307)/AVERAGE(終値!AA307:AT307),""))</f>
        <v/>
      </c>
      <c r="Y307" s="503" t="str">
        <f>IF(終値!A307="","",IFERROR(4*STDEVP(終値!AB307:AU307)/AVERAGE(終値!AB307:AU307),""))</f>
        <v/>
      </c>
      <c r="Z307" s="503" t="str">
        <f>IF(終値!A307="","",IFERROR(4*STDEVP(終値!AC307:AV307)/AVERAGE(終値!AC307:AV307),""))</f>
        <v/>
      </c>
      <c r="AA307" s="503" t="str">
        <f>IF(終値!A307="","",IFERROR(4*STDEVP(終値!AD307:AW307)/AVERAGE(終値!AD307:AW307),""))</f>
        <v/>
      </c>
      <c r="AB307" s="503" t="str">
        <f>IF(終値!A307="","",IFERROR(4*STDEVP(終値!AE307:AX307)/AVERAGE(終値!AE307:AX307),""))</f>
        <v/>
      </c>
      <c r="AC307" s="503" t="str">
        <f>IF(終値!A307="","",IFERROR(4*STDEVP(終値!AF307:AY307)/AVERAGE(終値!AF307:AY307),""))</f>
        <v/>
      </c>
      <c r="AD307" s="503" t="str">
        <f>IF(終値!A307="","",IFERROR(4*STDEVP(終値!AG307:AZ307)/AVERAGE(終値!AG307:AZ307),""))</f>
        <v/>
      </c>
      <c r="AE307" s="503" t="str">
        <f>IF(終値!A307="","",IFERROR(4*STDEVP(終値!AH307:BA307)/AVERAGE(終値!AH307:BA307),""))</f>
        <v/>
      </c>
      <c r="AF307" s="503" t="str">
        <f>IF(終値!A307="","",IFERROR(4*STDEVP(終値!AI307:BB307)/AVERAGE(終値!AI307:BB307),""))</f>
        <v/>
      </c>
      <c r="AG307" s="503" t="str">
        <f>IF(終値!A307="","",IFERROR(4*STDEVP(終値!AJ307:BC307)/AVERAGE(終値!AJ307:BC307),""))</f>
        <v/>
      </c>
      <c r="AH307" s="503" t="str">
        <f>IF(終値!A307="","",IFERROR(4*STDEVP(終値!AK307:BD307)/AVERAGE(終値!AK307:BD307),""))</f>
        <v/>
      </c>
      <c r="AI307" s="503" t="str">
        <f>IF(終値!A307="","",IFERROR(4*STDEVP(終値!AL307:BE307)/AVERAGE(終値!AL307:BE307),""))</f>
        <v/>
      </c>
      <c r="AJ307" s="503" t="str">
        <f>IF(終値!A307="","",IFERROR(4*STDEVP(終値!AM307:BF307)/AVERAGE(終値!AM307:BF307),""))</f>
        <v/>
      </c>
      <c r="AK307" s="503" t="str">
        <f>IF(終値!A307="","",IFERROR(4*STDEVP(終値!AN307:BG307)/AVERAGE(終値!AN307:BG307),""))</f>
        <v/>
      </c>
      <c r="AL307" s="503" t="str">
        <f>IF(終値!A307="","",IFERROR(4*STDEVP(終値!AO307:BH307)/AVERAGE(終値!AO307:BH307),""))</f>
        <v/>
      </c>
      <c r="AM307" s="503" t="str">
        <f>IF(終値!A307="","",IFERROR(4*STDEVP(終値!AP307:BI307)/AVERAGE(終値!AP307:BI307),""))</f>
        <v/>
      </c>
      <c r="AN307" s="503" t="str">
        <f>IF(終値!A307="","",IFERROR(4*STDEVP(終値!AQ307:BJ307)/AVERAGE(終値!AQ307:BJ307),""))</f>
        <v/>
      </c>
      <c r="AO307" s="503" t="str">
        <f>IF(終値!A307="","",IFERROR(4*STDEVP(終値!AR307:BK307)/AVERAGE(終値!AR307:BK307),""))</f>
        <v/>
      </c>
      <c r="AP307" s="503" t="str">
        <f>IF(終値!A307="","",IFERROR(4*STDEVP(終値!AS307:BL307)/AVERAGE(終値!AS307:BL307),""))</f>
        <v/>
      </c>
    </row>
    <row r="308" spans="1:42">
      <c r="A308" s="500" t="str">
        <f>IF(終値!A308="","",終値!A308)</f>
        <v/>
      </c>
      <c r="B308" s="503" t="str">
        <f>IF(終値!A308="","",IFERROR(4*STDEVP(終値!E308:X308)/AVERAGE(終値!E308:X308),""))</f>
        <v/>
      </c>
      <c r="C308" s="503" t="str">
        <f>IF(終値!A308="","",IFERROR(4*STDEVP(終値!F308:Y308)/AVERAGE(終値!F308:Y308),""))</f>
        <v/>
      </c>
      <c r="D308" s="503" t="str">
        <f>IF(終値!A308="","",IFERROR(4*STDEVP(終値!G308:Z308)/AVERAGE(終値!G308:Z308),""))</f>
        <v/>
      </c>
      <c r="E308" s="503" t="str">
        <f>IF(終値!A308="","",IFERROR(4*STDEVP(終値!H308:AA308)/AVERAGE(終値!H308:AA308),""))</f>
        <v/>
      </c>
      <c r="F308" s="503" t="str">
        <f>IF(終値!A308="","",IFERROR(4*STDEVP(終値!I308:AB308)/AVERAGE(終値!I308:AB308),""))</f>
        <v/>
      </c>
      <c r="G308" s="503" t="str">
        <f>IF(終値!A308="","",IFERROR(4*STDEVP(終値!J308:AC308)/AVERAGE(終値!J308:AC308),""))</f>
        <v/>
      </c>
      <c r="H308" s="503" t="str">
        <f>IF(終値!A308="","",IFERROR(4*STDEVP(終値!K308:AD308)/AVERAGE(終値!K308:AD308),""))</f>
        <v/>
      </c>
      <c r="I308" s="503" t="str">
        <f>IF(終値!A308="","",IFERROR(4*STDEVP(終値!L308:AE308)/AVERAGE(終値!L308:AE308),""))</f>
        <v/>
      </c>
      <c r="J308" s="503" t="str">
        <f>IF(終値!A308="","",IFERROR(4*STDEVP(終値!M308:AF308)/AVERAGE(終値!M308:AF308),""))</f>
        <v/>
      </c>
      <c r="K308" s="503" t="str">
        <f>IF(終値!A308="","",IFERROR(4*STDEVP(終値!N308:AG308)/AVERAGE(終値!N308:AG308),""))</f>
        <v/>
      </c>
      <c r="L308" s="503" t="str">
        <f>IF(終値!A308="","",IFERROR(4*STDEVP(終値!O308:AH308)/AVERAGE(終値!O308:AH308),""))</f>
        <v/>
      </c>
      <c r="M308" s="503" t="str">
        <f>IF(終値!A308="","",IFERROR(4*STDEVP(終値!P308:AI308)/AVERAGE(終値!P308:AI308),""))</f>
        <v/>
      </c>
      <c r="N308" s="503" t="str">
        <f>IF(終値!A308="","",IFERROR(4*STDEVP(終値!Q308:AJ308)/AVERAGE(終値!Q308:AJ308),""))</f>
        <v/>
      </c>
      <c r="O308" s="503" t="str">
        <f>IF(終値!A308="","",IFERROR(4*STDEVP(終値!R308:AK308)/AVERAGE(終値!R308:AK308),""))</f>
        <v/>
      </c>
      <c r="P308" s="503" t="str">
        <f>IF(終値!A308="","",IFERROR(4*STDEVP(終値!S308:AL308)/AVERAGE(終値!S308:AL308),""))</f>
        <v/>
      </c>
      <c r="Q308" s="503" t="str">
        <f>IF(終値!A308="","",IFERROR(4*STDEVP(終値!T308:AM308)/AVERAGE(終値!T308:AM308),""))</f>
        <v/>
      </c>
      <c r="R308" s="503" t="str">
        <f>IF(終値!A308="","",IFERROR(4*STDEVP(終値!U308:AN308)/AVERAGE(終値!U308:AN308),""))</f>
        <v/>
      </c>
      <c r="S308" s="503" t="str">
        <f>IF(終値!A308="","",IFERROR(4*STDEVP(終値!V308:AO308)/AVERAGE(終値!V308:AO308),""))</f>
        <v/>
      </c>
      <c r="T308" s="503" t="str">
        <f>IF(終値!A308="","",IFERROR(4*STDEVP(終値!W308:AP308)/AVERAGE(終値!W308:AP308),""))</f>
        <v/>
      </c>
      <c r="U308" s="503" t="str">
        <f>IF(終値!A308="","",IFERROR(4*STDEVP(終値!X308:AQ308)/AVERAGE(終値!X308:AQ308),""))</f>
        <v/>
      </c>
      <c r="V308" s="503" t="str">
        <f>IF(終値!A308="","",IFERROR(4*STDEVP(終値!Y308:AR308)/AVERAGE(終値!Y308:AR308),""))</f>
        <v/>
      </c>
      <c r="W308" s="503" t="str">
        <f>IF(終値!A308="","",IFERROR(4*STDEVP(終値!Z308:AS308)/AVERAGE(終値!Z308:AS308),""))</f>
        <v/>
      </c>
      <c r="X308" s="503" t="str">
        <f>IF(終値!A308="","",IFERROR(4*STDEVP(終値!AA308:AT308)/AVERAGE(終値!AA308:AT308),""))</f>
        <v/>
      </c>
      <c r="Y308" s="503" t="str">
        <f>IF(終値!A308="","",IFERROR(4*STDEVP(終値!AB308:AU308)/AVERAGE(終値!AB308:AU308),""))</f>
        <v/>
      </c>
      <c r="Z308" s="503" t="str">
        <f>IF(終値!A308="","",IFERROR(4*STDEVP(終値!AC308:AV308)/AVERAGE(終値!AC308:AV308),""))</f>
        <v/>
      </c>
      <c r="AA308" s="503" t="str">
        <f>IF(終値!A308="","",IFERROR(4*STDEVP(終値!AD308:AW308)/AVERAGE(終値!AD308:AW308),""))</f>
        <v/>
      </c>
      <c r="AB308" s="503" t="str">
        <f>IF(終値!A308="","",IFERROR(4*STDEVP(終値!AE308:AX308)/AVERAGE(終値!AE308:AX308),""))</f>
        <v/>
      </c>
      <c r="AC308" s="503" t="str">
        <f>IF(終値!A308="","",IFERROR(4*STDEVP(終値!AF308:AY308)/AVERAGE(終値!AF308:AY308),""))</f>
        <v/>
      </c>
      <c r="AD308" s="503" t="str">
        <f>IF(終値!A308="","",IFERROR(4*STDEVP(終値!AG308:AZ308)/AVERAGE(終値!AG308:AZ308),""))</f>
        <v/>
      </c>
      <c r="AE308" s="503" t="str">
        <f>IF(終値!A308="","",IFERROR(4*STDEVP(終値!AH308:BA308)/AVERAGE(終値!AH308:BA308),""))</f>
        <v/>
      </c>
      <c r="AF308" s="503" t="str">
        <f>IF(終値!A308="","",IFERROR(4*STDEVP(終値!AI308:BB308)/AVERAGE(終値!AI308:BB308),""))</f>
        <v/>
      </c>
      <c r="AG308" s="503" t="str">
        <f>IF(終値!A308="","",IFERROR(4*STDEVP(終値!AJ308:BC308)/AVERAGE(終値!AJ308:BC308),""))</f>
        <v/>
      </c>
      <c r="AH308" s="503" t="str">
        <f>IF(終値!A308="","",IFERROR(4*STDEVP(終値!AK308:BD308)/AVERAGE(終値!AK308:BD308),""))</f>
        <v/>
      </c>
      <c r="AI308" s="503" t="str">
        <f>IF(終値!A308="","",IFERROR(4*STDEVP(終値!AL308:BE308)/AVERAGE(終値!AL308:BE308),""))</f>
        <v/>
      </c>
      <c r="AJ308" s="503" t="str">
        <f>IF(終値!A308="","",IFERROR(4*STDEVP(終値!AM308:BF308)/AVERAGE(終値!AM308:BF308),""))</f>
        <v/>
      </c>
      <c r="AK308" s="503" t="str">
        <f>IF(終値!A308="","",IFERROR(4*STDEVP(終値!AN308:BG308)/AVERAGE(終値!AN308:BG308),""))</f>
        <v/>
      </c>
      <c r="AL308" s="503" t="str">
        <f>IF(終値!A308="","",IFERROR(4*STDEVP(終値!AO308:BH308)/AVERAGE(終値!AO308:BH308),""))</f>
        <v/>
      </c>
      <c r="AM308" s="503" t="str">
        <f>IF(終値!A308="","",IFERROR(4*STDEVP(終値!AP308:BI308)/AVERAGE(終値!AP308:BI308),""))</f>
        <v/>
      </c>
      <c r="AN308" s="503" t="str">
        <f>IF(終値!A308="","",IFERROR(4*STDEVP(終値!AQ308:BJ308)/AVERAGE(終値!AQ308:BJ308),""))</f>
        <v/>
      </c>
      <c r="AO308" s="503" t="str">
        <f>IF(終値!A308="","",IFERROR(4*STDEVP(終値!AR308:BK308)/AVERAGE(終値!AR308:BK308),""))</f>
        <v/>
      </c>
      <c r="AP308" s="503" t="str">
        <f>IF(終値!A308="","",IFERROR(4*STDEVP(終値!AS308:BL308)/AVERAGE(終値!AS308:BL308),""))</f>
        <v/>
      </c>
    </row>
    <row r="309" spans="1:42">
      <c r="A309" s="500" t="str">
        <f>IF(終値!A309="","",終値!A309)</f>
        <v/>
      </c>
      <c r="B309" s="503" t="str">
        <f>IF(終値!A309="","",IFERROR(4*STDEVP(終値!E309:X309)/AVERAGE(終値!E309:X309),""))</f>
        <v/>
      </c>
      <c r="C309" s="503" t="str">
        <f>IF(終値!A309="","",IFERROR(4*STDEVP(終値!F309:Y309)/AVERAGE(終値!F309:Y309),""))</f>
        <v/>
      </c>
      <c r="D309" s="503" t="str">
        <f>IF(終値!A309="","",IFERROR(4*STDEVP(終値!G309:Z309)/AVERAGE(終値!G309:Z309),""))</f>
        <v/>
      </c>
      <c r="E309" s="503" t="str">
        <f>IF(終値!A309="","",IFERROR(4*STDEVP(終値!H309:AA309)/AVERAGE(終値!H309:AA309),""))</f>
        <v/>
      </c>
      <c r="F309" s="503" t="str">
        <f>IF(終値!A309="","",IFERROR(4*STDEVP(終値!I309:AB309)/AVERAGE(終値!I309:AB309),""))</f>
        <v/>
      </c>
      <c r="G309" s="503" t="str">
        <f>IF(終値!A309="","",IFERROR(4*STDEVP(終値!J309:AC309)/AVERAGE(終値!J309:AC309),""))</f>
        <v/>
      </c>
      <c r="H309" s="503" t="str">
        <f>IF(終値!A309="","",IFERROR(4*STDEVP(終値!K309:AD309)/AVERAGE(終値!K309:AD309),""))</f>
        <v/>
      </c>
      <c r="I309" s="503" t="str">
        <f>IF(終値!A309="","",IFERROR(4*STDEVP(終値!L309:AE309)/AVERAGE(終値!L309:AE309),""))</f>
        <v/>
      </c>
      <c r="J309" s="503" t="str">
        <f>IF(終値!A309="","",IFERROR(4*STDEVP(終値!M309:AF309)/AVERAGE(終値!M309:AF309),""))</f>
        <v/>
      </c>
      <c r="K309" s="503" t="str">
        <f>IF(終値!A309="","",IFERROR(4*STDEVP(終値!N309:AG309)/AVERAGE(終値!N309:AG309),""))</f>
        <v/>
      </c>
      <c r="L309" s="503" t="str">
        <f>IF(終値!A309="","",IFERROR(4*STDEVP(終値!O309:AH309)/AVERAGE(終値!O309:AH309),""))</f>
        <v/>
      </c>
      <c r="M309" s="503" t="str">
        <f>IF(終値!A309="","",IFERROR(4*STDEVP(終値!P309:AI309)/AVERAGE(終値!P309:AI309),""))</f>
        <v/>
      </c>
      <c r="N309" s="503" t="str">
        <f>IF(終値!A309="","",IFERROR(4*STDEVP(終値!Q309:AJ309)/AVERAGE(終値!Q309:AJ309),""))</f>
        <v/>
      </c>
      <c r="O309" s="503" t="str">
        <f>IF(終値!A309="","",IFERROR(4*STDEVP(終値!R309:AK309)/AVERAGE(終値!R309:AK309),""))</f>
        <v/>
      </c>
      <c r="P309" s="503" t="str">
        <f>IF(終値!A309="","",IFERROR(4*STDEVP(終値!S309:AL309)/AVERAGE(終値!S309:AL309),""))</f>
        <v/>
      </c>
      <c r="Q309" s="503" t="str">
        <f>IF(終値!A309="","",IFERROR(4*STDEVP(終値!T309:AM309)/AVERAGE(終値!T309:AM309),""))</f>
        <v/>
      </c>
      <c r="R309" s="503" t="str">
        <f>IF(終値!A309="","",IFERROR(4*STDEVP(終値!U309:AN309)/AVERAGE(終値!U309:AN309),""))</f>
        <v/>
      </c>
      <c r="S309" s="503" t="str">
        <f>IF(終値!A309="","",IFERROR(4*STDEVP(終値!V309:AO309)/AVERAGE(終値!V309:AO309),""))</f>
        <v/>
      </c>
      <c r="T309" s="503" t="str">
        <f>IF(終値!A309="","",IFERROR(4*STDEVP(終値!W309:AP309)/AVERAGE(終値!W309:AP309),""))</f>
        <v/>
      </c>
      <c r="U309" s="503" t="str">
        <f>IF(終値!A309="","",IFERROR(4*STDEVP(終値!X309:AQ309)/AVERAGE(終値!X309:AQ309),""))</f>
        <v/>
      </c>
      <c r="V309" s="503" t="str">
        <f>IF(終値!A309="","",IFERROR(4*STDEVP(終値!Y309:AR309)/AVERAGE(終値!Y309:AR309),""))</f>
        <v/>
      </c>
      <c r="W309" s="503" t="str">
        <f>IF(終値!A309="","",IFERROR(4*STDEVP(終値!Z309:AS309)/AVERAGE(終値!Z309:AS309),""))</f>
        <v/>
      </c>
      <c r="X309" s="503" t="str">
        <f>IF(終値!A309="","",IFERROR(4*STDEVP(終値!AA309:AT309)/AVERAGE(終値!AA309:AT309),""))</f>
        <v/>
      </c>
      <c r="Y309" s="503" t="str">
        <f>IF(終値!A309="","",IFERROR(4*STDEVP(終値!AB309:AU309)/AVERAGE(終値!AB309:AU309),""))</f>
        <v/>
      </c>
      <c r="Z309" s="503" t="str">
        <f>IF(終値!A309="","",IFERROR(4*STDEVP(終値!AC309:AV309)/AVERAGE(終値!AC309:AV309),""))</f>
        <v/>
      </c>
      <c r="AA309" s="503" t="str">
        <f>IF(終値!A309="","",IFERROR(4*STDEVP(終値!AD309:AW309)/AVERAGE(終値!AD309:AW309),""))</f>
        <v/>
      </c>
      <c r="AB309" s="503" t="str">
        <f>IF(終値!A309="","",IFERROR(4*STDEVP(終値!AE309:AX309)/AVERAGE(終値!AE309:AX309),""))</f>
        <v/>
      </c>
      <c r="AC309" s="503" t="str">
        <f>IF(終値!A309="","",IFERROR(4*STDEVP(終値!AF309:AY309)/AVERAGE(終値!AF309:AY309),""))</f>
        <v/>
      </c>
      <c r="AD309" s="503" t="str">
        <f>IF(終値!A309="","",IFERROR(4*STDEVP(終値!AG309:AZ309)/AVERAGE(終値!AG309:AZ309),""))</f>
        <v/>
      </c>
      <c r="AE309" s="503" t="str">
        <f>IF(終値!A309="","",IFERROR(4*STDEVP(終値!AH309:BA309)/AVERAGE(終値!AH309:BA309),""))</f>
        <v/>
      </c>
      <c r="AF309" s="503" t="str">
        <f>IF(終値!A309="","",IFERROR(4*STDEVP(終値!AI309:BB309)/AVERAGE(終値!AI309:BB309),""))</f>
        <v/>
      </c>
      <c r="AG309" s="503" t="str">
        <f>IF(終値!A309="","",IFERROR(4*STDEVP(終値!AJ309:BC309)/AVERAGE(終値!AJ309:BC309),""))</f>
        <v/>
      </c>
      <c r="AH309" s="503" t="str">
        <f>IF(終値!A309="","",IFERROR(4*STDEVP(終値!AK309:BD309)/AVERAGE(終値!AK309:BD309),""))</f>
        <v/>
      </c>
      <c r="AI309" s="503" t="str">
        <f>IF(終値!A309="","",IFERROR(4*STDEVP(終値!AL309:BE309)/AVERAGE(終値!AL309:BE309),""))</f>
        <v/>
      </c>
      <c r="AJ309" s="503" t="str">
        <f>IF(終値!A309="","",IFERROR(4*STDEVP(終値!AM309:BF309)/AVERAGE(終値!AM309:BF309),""))</f>
        <v/>
      </c>
      <c r="AK309" s="503" t="str">
        <f>IF(終値!A309="","",IFERROR(4*STDEVP(終値!AN309:BG309)/AVERAGE(終値!AN309:BG309),""))</f>
        <v/>
      </c>
      <c r="AL309" s="503" t="str">
        <f>IF(終値!A309="","",IFERROR(4*STDEVP(終値!AO309:BH309)/AVERAGE(終値!AO309:BH309),""))</f>
        <v/>
      </c>
      <c r="AM309" s="503" t="str">
        <f>IF(終値!A309="","",IFERROR(4*STDEVP(終値!AP309:BI309)/AVERAGE(終値!AP309:BI309),""))</f>
        <v/>
      </c>
      <c r="AN309" s="503" t="str">
        <f>IF(終値!A309="","",IFERROR(4*STDEVP(終値!AQ309:BJ309)/AVERAGE(終値!AQ309:BJ309),""))</f>
        <v/>
      </c>
      <c r="AO309" s="503" t="str">
        <f>IF(終値!A309="","",IFERROR(4*STDEVP(終値!AR309:BK309)/AVERAGE(終値!AR309:BK309),""))</f>
        <v/>
      </c>
      <c r="AP309" s="503" t="str">
        <f>IF(終値!A309="","",IFERROR(4*STDEVP(終値!AS309:BL309)/AVERAGE(終値!AS309:BL309),""))</f>
        <v/>
      </c>
    </row>
    <row r="310" spans="1:42">
      <c r="A310" s="500" t="str">
        <f>IF(終値!A310="","",終値!A310)</f>
        <v/>
      </c>
      <c r="B310" s="503" t="str">
        <f>IF(終値!A310="","",IFERROR(4*STDEVP(終値!E310:X310)/AVERAGE(終値!E310:X310),""))</f>
        <v/>
      </c>
      <c r="C310" s="503" t="str">
        <f>IF(終値!A310="","",IFERROR(4*STDEVP(終値!F310:Y310)/AVERAGE(終値!F310:Y310),""))</f>
        <v/>
      </c>
      <c r="D310" s="503" t="str">
        <f>IF(終値!A310="","",IFERROR(4*STDEVP(終値!G310:Z310)/AVERAGE(終値!G310:Z310),""))</f>
        <v/>
      </c>
      <c r="E310" s="503" t="str">
        <f>IF(終値!A310="","",IFERROR(4*STDEVP(終値!H310:AA310)/AVERAGE(終値!H310:AA310),""))</f>
        <v/>
      </c>
      <c r="F310" s="503" t="str">
        <f>IF(終値!A310="","",IFERROR(4*STDEVP(終値!I310:AB310)/AVERAGE(終値!I310:AB310),""))</f>
        <v/>
      </c>
      <c r="G310" s="503" t="str">
        <f>IF(終値!A310="","",IFERROR(4*STDEVP(終値!J310:AC310)/AVERAGE(終値!J310:AC310),""))</f>
        <v/>
      </c>
      <c r="H310" s="503" t="str">
        <f>IF(終値!A310="","",IFERROR(4*STDEVP(終値!K310:AD310)/AVERAGE(終値!K310:AD310),""))</f>
        <v/>
      </c>
      <c r="I310" s="503" t="str">
        <f>IF(終値!A310="","",IFERROR(4*STDEVP(終値!L310:AE310)/AVERAGE(終値!L310:AE310),""))</f>
        <v/>
      </c>
      <c r="J310" s="503" t="str">
        <f>IF(終値!A310="","",IFERROR(4*STDEVP(終値!M310:AF310)/AVERAGE(終値!M310:AF310),""))</f>
        <v/>
      </c>
      <c r="K310" s="503" t="str">
        <f>IF(終値!A310="","",IFERROR(4*STDEVP(終値!N310:AG310)/AVERAGE(終値!N310:AG310),""))</f>
        <v/>
      </c>
      <c r="L310" s="503" t="str">
        <f>IF(終値!A310="","",IFERROR(4*STDEVP(終値!O310:AH310)/AVERAGE(終値!O310:AH310),""))</f>
        <v/>
      </c>
      <c r="M310" s="503" t="str">
        <f>IF(終値!A310="","",IFERROR(4*STDEVP(終値!P310:AI310)/AVERAGE(終値!P310:AI310),""))</f>
        <v/>
      </c>
      <c r="N310" s="503" t="str">
        <f>IF(終値!A310="","",IFERROR(4*STDEVP(終値!Q310:AJ310)/AVERAGE(終値!Q310:AJ310),""))</f>
        <v/>
      </c>
      <c r="O310" s="503" t="str">
        <f>IF(終値!A310="","",IFERROR(4*STDEVP(終値!R310:AK310)/AVERAGE(終値!R310:AK310),""))</f>
        <v/>
      </c>
      <c r="P310" s="503" t="str">
        <f>IF(終値!A310="","",IFERROR(4*STDEVP(終値!S310:AL310)/AVERAGE(終値!S310:AL310),""))</f>
        <v/>
      </c>
      <c r="Q310" s="503" t="str">
        <f>IF(終値!A310="","",IFERROR(4*STDEVP(終値!T310:AM310)/AVERAGE(終値!T310:AM310),""))</f>
        <v/>
      </c>
      <c r="R310" s="503" t="str">
        <f>IF(終値!A310="","",IFERROR(4*STDEVP(終値!U310:AN310)/AVERAGE(終値!U310:AN310),""))</f>
        <v/>
      </c>
      <c r="S310" s="503" t="str">
        <f>IF(終値!A310="","",IFERROR(4*STDEVP(終値!V310:AO310)/AVERAGE(終値!V310:AO310),""))</f>
        <v/>
      </c>
      <c r="T310" s="503" t="str">
        <f>IF(終値!A310="","",IFERROR(4*STDEVP(終値!W310:AP310)/AVERAGE(終値!W310:AP310),""))</f>
        <v/>
      </c>
      <c r="U310" s="503" t="str">
        <f>IF(終値!A310="","",IFERROR(4*STDEVP(終値!X310:AQ310)/AVERAGE(終値!X310:AQ310),""))</f>
        <v/>
      </c>
      <c r="V310" s="503" t="str">
        <f>IF(終値!A310="","",IFERROR(4*STDEVP(終値!Y310:AR310)/AVERAGE(終値!Y310:AR310),""))</f>
        <v/>
      </c>
      <c r="W310" s="503" t="str">
        <f>IF(終値!A310="","",IFERROR(4*STDEVP(終値!Z310:AS310)/AVERAGE(終値!Z310:AS310),""))</f>
        <v/>
      </c>
      <c r="X310" s="503" t="str">
        <f>IF(終値!A310="","",IFERROR(4*STDEVP(終値!AA310:AT310)/AVERAGE(終値!AA310:AT310),""))</f>
        <v/>
      </c>
      <c r="Y310" s="503" t="str">
        <f>IF(終値!A310="","",IFERROR(4*STDEVP(終値!AB310:AU310)/AVERAGE(終値!AB310:AU310),""))</f>
        <v/>
      </c>
      <c r="Z310" s="503" t="str">
        <f>IF(終値!A310="","",IFERROR(4*STDEVP(終値!AC310:AV310)/AVERAGE(終値!AC310:AV310),""))</f>
        <v/>
      </c>
      <c r="AA310" s="503" t="str">
        <f>IF(終値!A310="","",IFERROR(4*STDEVP(終値!AD310:AW310)/AVERAGE(終値!AD310:AW310),""))</f>
        <v/>
      </c>
      <c r="AB310" s="503" t="str">
        <f>IF(終値!A310="","",IFERROR(4*STDEVP(終値!AE310:AX310)/AVERAGE(終値!AE310:AX310),""))</f>
        <v/>
      </c>
      <c r="AC310" s="503" t="str">
        <f>IF(終値!A310="","",IFERROR(4*STDEVP(終値!AF310:AY310)/AVERAGE(終値!AF310:AY310),""))</f>
        <v/>
      </c>
      <c r="AD310" s="503" t="str">
        <f>IF(終値!A310="","",IFERROR(4*STDEVP(終値!AG310:AZ310)/AVERAGE(終値!AG310:AZ310),""))</f>
        <v/>
      </c>
      <c r="AE310" s="503" t="str">
        <f>IF(終値!A310="","",IFERROR(4*STDEVP(終値!AH310:BA310)/AVERAGE(終値!AH310:BA310),""))</f>
        <v/>
      </c>
      <c r="AF310" s="503" t="str">
        <f>IF(終値!A310="","",IFERROR(4*STDEVP(終値!AI310:BB310)/AVERAGE(終値!AI310:BB310),""))</f>
        <v/>
      </c>
      <c r="AG310" s="503" t="str">
        <f>IF(終値!A310="","",IFERROR(4*STDEVP(終値!AJ310:BC310)/AVERAGE(終値!AJ310:BC310),""))</f>
        <v/>
      </c>
      <c r="AH310" s="503" t="str">
        <f>IF(終値!A310="","",IFERROR(4*STDEVP(終値!AK310:BD310)/AVERAGE(終値!AK310:BD310),""))</f>
        <v/>
      </c>
      <c r="AI310" s="503" t="str">
        <f>IF(終値!A310="","",IFERROR(4*STDEVP(終値!AL310:BE310)/AVERAGE(終値!AL310:BE310),""))</f>
        <v/>
      </c>
      <c r="AJ310" s="503" t="str">
        <f>IF(終値!A310="","",IFERROR(4*STDEVP(終値!AM310:BF310)/AVERAGE(終値!AM310:BF310),""))</f>
        <v/>
      </c>
      <c r="AK310" s="503" t="str">
        <f>IF(終値!A310="","",IFERROR(4*STDEVP(終値!AN310:BG310)/AVERAGE(終値!AN310:BG310),""))</f>
        <v/>
      </c>
      <c r="AL310" s="503" t="str">
        <f>IF(終値!A310="","",IFERROR(4*STDEVP(終値!AO310:BH310)/AVERAGE(終値!AO310:BH310),""))</f>
        <v/>
      </c>
      <c r="AM310" s="503" t="str">
        <f>IF(終値!A310="","",IFERROR(4*STDEVP(終値!AP310:BI310)/AVERAGE(終値!AP310:BI310),""))</f>
        <v/>
      </c>
      <c r="AN310" s="503" t="str">
        <f>IF(終値!A310="","",IFERROR(4*STDEVP(終値!AQ310:BJ310)/AVERAGE(終値!AQ310:BJ310),""))</f>
        <v/>
      </c>
      <c r="AO310" s="503" t="str">
        <f>IF(終値!A310="","",IFERROR(4*STDEVP(終値!AR310:BK310)/AVERAGE(終値!AR310:BK310),""))</f>
        <v/>
      </c>
      <c r="AP310" s="503" t="str">
        <f>IF(終値!A310="","",IFERROR(4*STDEVP(終値!AS310:BL310)/AVERAGE(終値!AS310:BL310),""))</f>
        <v/>
      </c>
    </row>
    <row r="311" spans="1:42">
      <c r="A311" s="500" t="str">
        <f>IF(終値!A311="","",終値!A311)</f>
        <v/>
      </c>
      <c r="B311" s="503" t="str">
        <f>IF(終値!A311="","",IFERROR(4*STDEVP(終値!E311:X311)/AVERAGE(終値!E311:X311),""))</f>
        <v/>
      </c>
      <c r="C311" s="503" t="str">
        <f>IF(終値!A311="","",IFERROR(4*STDEVP(終値!F311:Y311)/AVERAGE(終値!F311:Y311),""))</f>
        <v/>
      </c>
      <c r="D311" s="503" t="str">
        <f>IF(終値!A311="","",IFERROR(4*STDEVP(終値!G311:Z311)/AVERAGE(終値!G311:Z311),""))</f>
        <v/>
      </c>
      <c r="E311" s="503" t="str">
        <f>IF(終値!A311="","",IFERROR(4*STDEVP(終値!H311:AA311)/AVERAGE(終値!H311:AA311),""))</f>
        <v/>
      </c>
      <c r="F311" s="503" t="str">
        <f>IF(終値!A311="","",IFERROR(4*STDEVP(終値!I311:AB311)/AVERAGE(終値!I311:AB311),""))</f>
        <v/>
      </c>
      <c r="G311" s="503" t="str">
        <f>IF(終値!A311="","",IFERROR(4*STDEVP(終値!J311:AC311)/AVERAGE(終値!J311:AC311),""))</f>
        <v/>
      </c>
      <c r="H311" s="503" t="str">
        <f>IF(終値!A311="","",IFERROR(4*STDEVP(終値!K311:AD311)/AVERAGE(終値!K311:AD311),""))</f>
        <v/>
      </c>
      <c r="I311" s="503" t="str">
        <f>IF(終値!A311="","",IFERROR(4*STDEVP(終値!L311:AE311)/AVERAGE(終値!L311:AE311),""))</f>
        <v/>
      </c>
      <c r="J311" s="503" t="str">
        <f>IF(終値!A311="","",IFERROR(4*STDEVP(終値!M311:AF311)/AVERAGE(終値!M311:AF311),""))</f>
        <v/>
      </c>
      <c r="K311" s="503" t="str">
        <f>IF(終値!A311="","",IFERROR(4*STDEVP(終値!N311:AG311)/AVERAGE(終値!N311:AG311),""))</f>
        <v/>
      </c>
      <c r="L311" s="503" t="str">
        <f>IF(終値!A311="","",IFERROR(4*STDEVP(終値!O311:AH311)/AVERAGE(終値!O311:AH311),""))</f>
        <v/>
      </c>
      <c r="M311" s="503" t="str">
        <f>IF(終値!A311="","",IFERROR(4*STDEVP(終値!P311:AI311)/AVERAGE(終値!P311:AI311),""))</f>
        <v/>
      </c>
      <c r="N311" s="503" t="str">
        <f>IF(終値!A311="","",IFERROR(4*STDEVP(終値!Q311:AJ311)/AVERAGE(終値!Q311:AJ311),""))</f>
        <v/>
      </c>
      <c r="O311" s="503" t="str">
        <f>IF(終値!A311="","",IFERROR(4*STDEVP(終値!R311:AK311)/AVERAGE(終値!R311:AK311),""))</f>
        <v/>
      </c>
      <c r="P311" s="503" t="str">
        <f>IF(終値!A311="","",IFERROR(4*STDEVP(終値!S311:AL311)/AVERAGE(終値!S311:AL311),""))</f>
        <v/>
      </c>
      <c r="Q311" s="503" t="str">
        <f>IF(終値!A311="","",IFERROR(4*STDEVP(終値!T311:AM311)/AVERAGE(終値!T311:AM311),""))</f>
        <v/>
      </c>
      <c r="R311" s="503" t="str">
        <f>IF(終値!A311="","",IFERROR(4*STDEVP(終値!U311:AN311)/AVERAGE(終値!U311:AN311),""))</f>
        <v/>
      </c>
      <c r="S311" s="503" t="str">
        <f>IF(終値!A311="","",IFERROR(4*STDEVP(終値!V311:AO311)/AVERAGE(終値!V311:AO311),""))</f>
        <v/>
      </c>
      <c r="T311" s="503" t="str">
        <f>IF(終値!A311="","",IFERROR(4*STDEVP(終値!W311:AP311)/AVERAGE(終値!W311:AP311),""))</f>
        <v/>
      </c>
      <c r="U311" s="503" t="str">
        <f>IF(終値!A311="","",IFERROR(4*STDEVP(終値!X311:AQ311)/AVERAGE(終値!X311:AQ311),""))</f>
        <v/>
      </c>
      <c r="V311" s="503" t="str">
        <f>IF(終値!A311="","",IFERROR(4*STDEVP(終値!Y311:AR311)/AVERAGE(終値!Y311:AR311),""))</f>
        <v/>
      </c>
      <c r="W311" s="503" t="str">
        <f>IF(終値!A311="","",IFERROR(4*STDEVP(終値!Z311:AS311)/AVERAGE(終値!Z311:AS311),""))</f>
        <v/>
      </c>
      <c r="X311" s="503" t="str">
        <f>IF(終値!A311="","",IFERROR(4*STDEVP(終値!AA311:AT311)/AVERAGE(終値!AA311:AT311),""))</f>
        <v/>
      </c>
      <c r="Y311" s="503" t="str">
        <f>IF(終値!A311="","",IFERROR(4*STDEVP(終値!AB311:AU311)/AVERAGE(終値!AB311:AU311),""))</f>
        <v/>
      </c>
      <c r="Z311" s="503" t="str">
        <f>IF(終値!A311="","",IFERROR(4*STDEVP(終値!AC311:AV311)/AVERAGE(終値!AC311:AV311),""))</f>
        <v/>
      </c>
      <c r="AA311" s="503" t="str">
        <f>IF(終値!A311="","",IFERROR(4*STDEVP(終値!AD311:AW311)/AVERAGE(終値!AD311:AW311),""))</f>
        <v/>
      </c>
      <c r="AB311" s="503" t="str">
        <f>IF(終値!A311="","",IFERROR(4*STDEVP(終値!AE311:AX311)/AVERAGE(終値!AE311:AX311),""))</f>
        <v/>
      </c>
      <c r="AC311" s="503" t="str">
        <f>IF(終値!A311="","",IFERROR(4*STDEVP(終値!AF311:AY311)/AVERAGE(終値!AF311:AY311),""))</f>
        <v/>
      </c>
      <c r="AD311" s="503" t="str">
        <f>IF(終値!A311="","",IFERROR(4*STDEVP(終値!AG311:AZ311)/AVERAGE(終値!AG311:AZ311),""))</f>
        <v/>
      </c>
      <c r="AE311" s="503" t="str">
        <f>IF(終値!A311="","",IFERROR(4*STDEVP(終値!AH311:BA311)/AVERAGE(終値!AH311:BA311),""))</f>
        <v/>
      </c>
      <c r="AF311" s="503" t="str">
        <f>IF(終値!A311="","",IFERROR(4*STDEVP(終値!AI311:BB311)/AVERAGE(終値!AI311:BB311),""))</f>
        <v/>
      </c>
      <c r="AG311" s="503" t="str">
        <f>IF(終値!A311="","",IFERROR(4*STDEVP(終値!AJ311:BC311)/AVERAGE(終値!AJ311:BC311),""))</f>
        <v/>
      </c>
      <c r="AH311" s="503" t="str">
        <f>IF(終値!A311="","",IFERROR(4*STDEVP(終値!AK311:BD311)/AVERAGE(終値!AK311:BD311),""))</f>
        <v/>
      </c>
      <c r="AI311" s="503" t="str">
        <f>IF(終値!A311="","",IFERROR(4*STDEVP(終値!AL311:BE311)/AVERAGE(終値!AL311:BE311),""))</f>
        <v/>
      </c>
      <c r="AJ311" s="503" t="str">
        <f>IF(終値!A311="","",IFERROR(4*STDEVP(終値!AM311:BF311)/AVERAGE(終値!AM311:BF311),""))</f>
        <v/>
      </c>
      <c r="AK311" s="503" t="str">
        <f>IF(終値!A311="","",IFERROR(4*STDEVP(終値!AN311:BG311)/AVERAGE(終値!AN311:BG311),""))</f>
        <v/>
      </c>
      <c r="AL311" s="503" t="str">
        <f>IF(終値!A311="","",IFERROR(4*STDEVP(終値!AO311:BH311)/AVERAGE(終値!AO311:BH311),""))</f>
        <v/>
      </c>
      <c r="AM311" s="503" t="str">
        <f>IF(終値!A311="","",IFERROR(4*STDEVP(終値!AP311:BI311)/AVERAGE(終値!AP311:BI311),""))</f>
        <v/>
      </c>
      <c r="AN311" s="503" t="str">
        <f>IF(終値!A311="","",IFERROR(4*STDEVP(終値!AQ311:BJ311)/AVERAGE(終値!AQ311:BJ311),""))</f>
        <v/>
      </c>
      <c r="AO311" s="503" t="str">
        <f>IF(終値!A311="","",IFERROR(4*STDEVP(終値!AR311:BK311)/AVERAGE(終値!AR311:BK311),""))</f>
        <v/>
      </c>
      <c r="AP311" s="503" t="str">
        <f>IF(終値!A311="","",IFERROR(4*STDEVP(終値!AS311:BL311)/AVERAGE(終値!AS311:BL311),""))</f>
        <v/>
      </c>
    </row>
    <row r="312" spans="1:42">
      <c r="A312" s="500" t="str">
        <f>IF(終値!A312="","",終値!A312)</f>
        <v/>
      </c>
      <c r="B312" s="503" t="str">
        <f>IF(終値!A312="","",IFERROR(4*STDEVP(終値!E312:X312)/AVERAGE(終値!E312:X312),""))</f>
        <v/>
      </c>
      <c r="C312" s="503" t="str">
        <f>IF(終値!A312="","",IFERROR(4*STDEVP(終値!F312:Y312)/AVERAGE(終値!F312:Y312),""))</f>
        <v/>
      </c>
      <c r="D312" s="503" t="str">
        <f>IF(終値!A312="","",IFERROR(4*STDEVP(終値!G312:Z312)/AVERAGE(終値!G312:Z312),""))</f>
        <v/>
      </c>
      <c r="E312" s="503" t="str">
        <f>IF(終値!A312="","",IFERROR(4*STDEVP(終値!H312:AA312)/AVERAGE(終値!H312:AA312),""))</f>
        <v/>
      </c>
      <c r="F312" s="503" t="str">
        <f>IF(終値!A312="","",IFERROR(4*STDEVP(終値!I312:AB312)/AVERAGE(終値!I312:AB312),""))</f>
        <v/>
      </c>
      <c r="G312" s="503" t="str">
        <f>IF(終値!A312="","",IFERROR(4*STDEVP(終値!J312:AC312)/AVERAGE(終値!J312:AC312),""))</f>
        <v/>
      </c>
      <c r="H312" s="503" t="str">
        <f>IF(終値!A312="","",IFERROR(4*STDEVP(終値!K312:AD312)/AVERAGE(終値!K312:AD312),""))</f>
        <v/>
      </c>
      <c r="I312" s="503" t="str">
        <f>IF(終値!A312="","",IFERROR(4*STDEVP(終値!L312:AE312)/AVERAGE(終値!L312:AE312),""))</f>
        <v/>
      </c>
      <c r="J312" s="503" t="str">
        <f>IF(終値!A312="","",IFERROR(4*STDEVP(終値!M312:AF312)/AVERAGE(終値!M312:AF312),""))</f>
        <v/>
      </c>
      <c r="K312" s="503" t="str">
        <f>IF(終値!A312="","",IFERROR(4*STDEVP(終値!N312:AG312)/AVERAGE(終値!N312:AG312),""))</f>
        <v/>
      </c>
      <c r="L312" s="503" t="str">
        <f>IF(終値!A312="","",IFERROR(4*STDEVP(終値!O312:AH312)/AVERAGE(終値!O312:AH312),""))</f>
        <v/>
      </c>
      <c r="M312" s="503" t="str">
        <f>IF(終値!A312="","",IFERROR(4*STDEVP(終値!P312:AI312)/AVERAGE(終値!P312:AI312),""))</f>
        <v/>
      </c>
      <c r="N312" s="503" t="str">
        <f>IF(終値!A312="","",IFERROR(4*STDEVP(終値!Q312:AJ312)/AVERAGE(終値!Q312:AJ312),""))</f>
        <v/>
      </c>
      <c r="O312" s="503" t="str">
        <f>IF(終値!A312="","",IFERROR(4*STDEVP(終値!R312:AK312)/AVERAGE(終値!R312:AK312),""))</f>
        <v/>
      </c>
      <c r="P312" s="503" t="str">
        <f>IF(終値!A312="","",IFERROR(4*STDEVP(終値!S312:AL312)/AVERAGE(終値!S312:AL312),""))</f>
        <v/>
      </c>
      <c r="Q312" s="503" t="str">
        <f>IF(終値!A312="","",IFERROR(4*STDEVP(終値!T312:AM312)/AVERAGE(終値!T312:AM312),""))</f>
        <v/>
      </c>
      <c r="R312" s="503" t="str">
        <f>IF(終値!A312="","",IFERROR(4*STDEVP(終値!U312:AN312)/AVERAGE(終値!U312:AN312),""))</f>
        <v/>
      </c>
      <c r="S312" s="503" t="str">
        <f>IF(終値!A312="","",IFERROR(4*STDEVP(終値!V312:AO312)/AVERAGE(終値!V312:AO312),""))</f>
        <v/>
      </c>
      <c r="T312" s="503" t="str">
        <f>IF(終値!A312="","",IFERROR(4*STDEVP(終値!W312:AP312)/AVERAGE(終値!W312:AP312),""))</f>
        <v/>
      </c>
      <c r="U312" s="503" t="str">
        <f>IF(終値!A312="","",IFERROR(4*STDEVP(終値!X312:AQ312)/AVERAGE(終値!X312:AQ312),""))</f>
        <v/>
      </c>
      <c r="V312" s="503" t="str">
        <f>IF(終値!A312="","",IFERROR(4*STDEVP(終値!Y312:AR312)/AVERAGE(終値!Y312:AR312),""))</f>
        <v/>
      </c>
      <c r="W312" s="503" t="str">
        <f>IF(終値!A312="","",IFERROR(4*STDEVP(終値!Z312:AS312)/AVERAGE(終値!Z312:AS312),""))</f>
        <v/>
      </c>
      <c r="X312" s="503" t="str">
        <f>IF(終値!A312="","",IFERROR(4*STDEVP(終値!AA312:AT312)/AVERAGE(終値!AA312:AT312),""))</f>
        <v/>
      </c>
      <c r="Y312" s="503" t="str">
        <f>IF(終値!A312="","",IFERROR(4*STDEVP(終値!AB312:AU312)/AVERAGE(終値!AB312:AU312),""))</f>
        <v/>
      </c>
      <c r="Z312" s="503" t="str">
        <f>IF(終値!A312="","",IFERROR(4*STDEVP(終値!AC312:AV312)/AVERAGE(終値!AC312:AV312),""))</f>
        <v/>
      </c>
      <c r="AA312" s="503" t="str">
        <f>IF(終値!A312="","",IFERROR(4*STDEVP(終値!AD312:AW312)/AVERAGE(終値!AD312:AW312),""))</f>
        <v/>
      </c>
      <c r="AB312" s="503" t="str">
        <f>IF(終値!A312="","",IFERROR(4*STDEVP(終値!AE312:AX312)/AVERAGE(終値!AE312:AX312),""))</f>
        <v/>
      </c>
      <c r="AC312" s="503" t="str">
        <f>IF(終値!A312="","",IFERROR(4*STDEVP(終値!AF312:AY312)/AVERAGE(終値!AF312:AY312),""))</f>
        <v/>
      </c>
      <c r="AD312" s="503" t="str">
        <f>IF(終値!A312="","",IFERROR(4*STDEVP(終値!AG312:AZ312)/AVERAGE(終値!AG312:AZ312),""))</f>
        <v/>
      </c>
      <c r="AE312" s="503" t="str">
        <f>IF(終値!A312="","",IFERROR(4*STDEVP(終値!AH312:BA312)/AVERAGE(終値!AH312:BA312),""))</f>
        <v/>
      </c>
      <c r="AF312" s="503" t="str">
        <f>IF(終値!A312="","",IFERROR(4*STDEVP(終値!AI312:BB312)/AVERAGE(終値!AI312:BB312),""))</f>
        <v/>
      </c>
      <c r="AG312" s="503" t="str">
        <f>IF(終値!A312="","",IFERROR(4*STDEVP(終値!AJ312:BC312)/AVERAGE(終値!AJ312:BC312),""))</f>
        <v/>
      </c>
      <c r="AH312" s="503" t="str">
        <f>IF(終値!A312="","",IFERROR(4*STDEVP(終値!AK312:BD312)/AVERAGE(終値!AK312:BD312),""))</f>
        <v/>
      </c>
      <c r="AI312" s="503" t="str">
        <f>IF(終値!A312="","",IFERROR(4*STDEVP(終値!AL312:BE312)/AVERAGE(終値!AL312:BE312),""))</f>
        <v/>
      </c>
      <c r="AJ312" s="503" t="str">
        <f>IF(終値!A312="","",IFERROR(4*STDEVP(終値!AM312:BF312)/AVERAGE(終値!AM312:BF312),""))</f>
        <v/>
      </c>
      <c r="AK312" s="503" t="str">
        <f>IF(終値!A312="","",IFERROR(4*STDEVP(終値!AN312:BG312)/AVERAGE(終値!AN312:BG312),""))</f>
        <v/>
      </c>
      <c r="AL312" s="503" t="str">
        <f>IF(終値!A312="","",IFERROR(4*STDEVP(終値!AO312:BH312)/AVERAGE(終値!AO312:BH312),""))</f>
        <v/>
      </c>
      <c r="AM312" s="503" t="str">
        <f>IF(終値!A312="","",IFERROR(4*STDEVP(終値!AP312:BI312)/AVERAGE(終値!AP312:BI312),""))</f>
        <v/>
      </c>
      <c r="AN312" s="503" t="str">
        <f>IF(終値!A312="","",IFERROR(4*STDEVP(終値!AQ312:BJ312)/AVERAGE(終値!AQ312:BJ312),""))</f>
        <v/>
      </c>
      <c r="AO312" s="503" t="str">
        <f>IF(終値!A312="","",IFERROR(4*STDEVP(終値!AR312:BK312)/AVERAGE(終値!AR312:BK312),""))</f>
        <v/>
      </c>
      <c r="AP312" s="503" t="str">
        <f>IF(終値!A312="","",IFERROR(4*STDEVP(終値!AS312:BL312)/AVERAGE(終値!AS312:BL312),""))</f>
        <v/>
      </c>
    </row>
    <row r="313" spans="1:42">
      <c r="A313" s="500" t="str">
        <f>IF(終値!A313="","",終値!A313)</f>
        <v/>
      </c>
      <c r="B313" s="503" t="str">
        <f>IF(終値!A313="","",IFERROR(4*STDEVP(終値!E313:X313)/AVERAGE(終値!E313:X313),""))</f>
        <v/>
      </c>
      <c r="C313" s="503" t="str">
        <f>IF(終値!A313="","",IFERROR(4*STDEVP(終値!F313:Y313)/AVERAGE(終値!F313:Y313),""))</f>
        <v/>
      </c>
      <c r="D313" s="503" t="str">
        <f>IF(終値!A313="","",IFERROR(4*STDEVP(終値!G313:Z313)/AVERAGE(終値!G313:Z313),""))</f>
        <v/>
      </c>
      <c r="E313" s="503" t="str">
        <f>IF(終値!A313="","",IFERROR(4*STDEVP(終値!H313:AA313)/AVERAGE(終値!H313:AA313),""))</f>
        <v/>
      </c>
      <c r="F313" s="503" t="str">
        <f>IF(終値!A313="","",IFERROR(4*STDEVP(終値!I313:AB313)/AVERAGE(終値!I313:AB313),""))</f>
        <v/>
      </c>
      <c r="G313" s="503" t="str">
        <f>IF(終値!A313="","",IFERROR(4*STDEVP(終値!J313:AC313)/AVERAGE(終値!J313:AC313),""))</f>
        <v/>
      </c>
      <c r="H313" s="503" t="str">
        <f>IF(終値!A313="","",IFERROR(4*STDEVP(終値!K313:AD313)/AVERAGE(終値!K313:AD313),""))</f>
        <v/>
      </c>
      <c r="I313" s="503" t="str">
        <f>IF(終値!A313="","",IFERROR(4*STDEVP(終値!L313:AE313)/AVERAGE(終値!L313:AE313),""))</f>
        <v/>
      </c>
      <c r="J313" s="503" t="str">
        <f>IF(終値!A313="","",IFERROR(4*STDEVP(終値!M313:AF313)/AVERAGE(終値!M313:AF313),""))</f>
        <v/>
      </c>
      <c r="K313" s="503" t="str">
        <f>IF(終値!A313="","",IFERROR(4*STDEVP(終値!N313:AG313)/AVERAGE(終値!N313:AG313),""))</f>
        <v/>
      </c>
      <c r="L313" s="503" t="str">
        <f>IF(終値!A313="","",IFERROR(4*STDEVP(終値!O313:AH313)/AVERAGE(終値!O313:AH313),""))</f>
        <v/>
      </c>
      <c r="M313" s="503" t="str">
        <f>IF(終値!A313="","",IFERROR(4*STDEVP(終値!P313:AI313)/AVERAGE(終値!P313:AI313),""))</f>
        <v/>
      </c>
      <c r="N313" s="503" t="str">
        <f>IF(終値!A313="","",IFERROR(4*STDEVP(終値!Q313:AJ313)/AVERAGE(終値!Q313:AJ313),""))</f>
        <v/>
      </c>
      <c r="O313" s="503" t="str">
        <f>IF(終値!A313="","",IFERROR(4*STDEVP(終値!R313:AK313)/AVERAGE(終値!R313:AK313),""))</f>
        <v/>
      </c>
      <c r="P313" s="503" t="str">
        <f>IF(終値!A313="","",IFERROR(4*STDEVP(終値!S313:AL313)/AVERAGE(終値!S313:AL313),""))</f>
        <v/>
      </c>
      <c r="Q313" s="503" t="str">
        <f>IF(終値!A313="","",IFERROR(4*STDEVP(終値!T313:AM313)/AVERAGE(終値!T313:AM313),""))</f>
        <v/>
      </c>
      <c r="R313" s="503" t="str">
        <f>IF(終値!A313="","",IFERROR(4*STDEVP(終値!U313:AN313)/AVERAGE(終値!U313:AN313),""))</f>
        <v/>
      </c>
      <c r="S313" s="503" t="str">
        <f>IF(終値!A313="","",IFERROR(4*STDEVP(終値!V313:AO313)/AVERAGE(終値!V313:AO313),""))</f>
        <v/>
      </c>
      <c r="T313" s="503" t="str">
        <f>IF(終値!A313="","",IFERROR(4*STDEVP(終値!W313:AP313)/AVERAGE(終値!W313:AP313),""))</f>
        <v/>
      </c>
      <c r="U313" s="503" t="str">
        <f>IF(終値!A313="","",IFERROR(4*STDEVP(終値!X313:AQ313)/AVERAGE(終値!X313:AQ313),""))</f>
        <v/>
      </c>
      <c r="V313" s="503" t="str">
        <f>IF(終値!A313="","",IFERROR(4*STDEVP(終値!Y313:AR313)/AVERAGE(終値!Y313:AR313),""))</f>
        <v/>
      </c>
      <c r="W313" s="503" t="str">
        <f>IF(終値!A313="","",IFERROR(4*STDEVP(終値!Z313:AS313)/AVERAGE(終値!Z313:AS313),""))</f>
        <v/>
      </c>
      <c r="X313" s="503" t="str">
        <f>IF(終値!A313="","",IFERROR(4*STDEVP(終値!AA313:AT313)/AVERAGE(終値!AA313:AT313),""))</f>
        <v/>
      </c>
      <c r="Y313" s="503" t="str">
        <f>IF(終値!A313="","",IFERROR(4*STDEVP(終値!AB313:AU313)/AVERAGE(終値!AB313:AU313),""))</f>
        <v/>
      </c>
      <c r="Z313" s="503" t="str">
        <f>IF(終値!A313="","",IFERROR(4*STDEVP(終値!AC313:AV313)/AVERAGE(終値!AC313:AV313),""))</f>
        <v/>
      </c>
      <c r="AA313" s="503" t="str">
        <f>IF(終値!A313="","",IFERROR(4*STDEVP(終値!AD313:AW313)/AVERAGE(終値!AD313:AW313),""))</f>
        <v/>
      </c>
      <c r="AB313" s="503" t="str">
        <f>IF(終値!A313="","",IFERROR(4*STDEVP(終値!AE313:AX313)/AVERAGE(終値!AE313:AX313),""))</f>
        <v/>
      </c>
      <c r="AC313" s="503" t="str">
        <f>IF(終値!A313="","",IFERROR(4*STDEVP(終値!AF313:AY313)/AVERAGE(終値!AF313:AY313),""))</f>
        <v/>
      </c>
      <c r="AD313" s="503" t="str">
        <f>IF(終値!A313="","",IFERROR(4*STDEVP(終値!AG313:AZ313)/AVERAGE(終値!AG313:AZ313),""))</f>
        <v/>
      </c>
      <c r="AE313" s="503" t="str">
        <f>IF(終値!A313="","",IFERROR(4*STDEVP(終値!AH313:BA313)/AVERAGE(終値!AH313:BA313),""))</f>
        <v/>
      </c>
      <c r="AF313" s="503" t="str">
        <f>IF(終値!A313="","",IFERROR(4*STDEVP(終値!AI313:BB313)/AVERAGE(終値!AI313:BB313),""))</f>
        <v/>
      </c>
      <c r="AG313" s="503" t="str">
        <f>IF(終値!A313="","",IFERROR(4*STDEVP(終値!AJ313:BC313)/AVERAGE(終値!AJ313:BC313),""))</f>
        <v/>
      </c>
      <c r="AH313" s="503" t="str">
        <f>IF(終値!A313="","",IFERROR(4*STDEVP(終値!AK313:BD313)/AVERAGE(終値!AK313:BD313),""))</f>
        <v/>
      </c>
      <c r="AI313" s="503" t="str">
        <f>IF(終値!A313="","",IFERROR(4*STDEVP(終値!AL313:BE313)/AVERAGE(終値!AL313:BE313),""))</f>
        <v/>
      </c>
      <c r="AJ313" s="503" t="str">
        <f>IF(終値!A313="","",IFERROR(4*STDEVP(終値!AM313:BF313)/AVERAGE(終値!AM313:BF313),""))</f>
        <v/>
      </c>
      <c r="AK313" s="503" t="str">
        <f>IF(終値!A313="","",IFERROR(4*STDEVP(終値!AN313:BG313)/AVERAGE(終値!AN313:BG313),""))</f>
        <v/>
      </c>
      <c r="AL313" s="503" t="str">
        <f>IF(終値!A313="","",IFERROR(4*STDEVP(終値!AO313:BH313)/AVERAGE(終値!AO313:BH313),""))</f>
        <v/>
      </c>
      <c r="AM313" s="503" t="str">
        <f>IF(終値!A313="","",IFERROR(4*STDEVP(終値!AP313:BI313)/AVERAGE(終値!AP313:BI313),""))</f>
        <v/>
      </c>
      <c r="AN313" s="503" t="str">
        <f>IF(終値!A313="","",IFERROR(4*STDEVP(終値!AQ313:BJ313)/AVERAGE(終値!AQ313:BJ313),""))</f>
        <v/>
      </c>
      <c r="AO313" s="503" t="str">
        <f>IF(終値!A313="","",IFERROR(4*STDEVP(終値!AR313:BK313)/AVERAGE(終値!AR313:BK313),""))</f>
        <v/>
      </c>
      <c r="AP313" s="503" t="str">
        <f>IF(終値!A313="","",IFERROR(4*STDEVP(終値!AS313:BL313)/AVERAGE(終値!AS313:BL313),""))</f>
        <v/>
      </c>
    </row>
    <row r="314" spans="1:42">
      <c r="A314" s="500" t="str">
        <f>IF(終値!A314="","",終値!A314)</f>
        <v/>
      </c>
      <c r="B314" s="503" t="str">
        <f>IF(終値!A314="","",IFERROR(4*STDEVP(終値!E314:X314)/AVERAGE(終値!E314:X314),""))</f>
        <v/>
      </c>
      <c r="C314" s="503" t="str">
        <f>IF(終値!A314="","",IFERROR(4*STDEVP(終値!F314:Y314)/AVERAGE(終値!F314:Y314),""))</f>
        <v/>
      </c>
      <c r="D314" s="503" t="str">
        <f>IF(終値!A314="","",IFERROR(4*STDEVP(終値!G314:Z314)/AVERAGE(終値!G314:Z314),""))</f>
        <v/>
      </c>
      <c r="E314" s="503" t="str">
        <f>IF(終値!A314="","",IFERROR(4*STDEVP(終値!H314:AA314)/AVERAGE(終値!H314:AA314),""))</f>
        <v/>
      </c>
      <c r="F314" s="503" t="str">
        <f>IF(終値!A314="","",IFERROR(4*STDEVP(終値!I314:AB314)/AVERAGE(終値!I314:AB314),""))</f>
        <v/>
      </c>
      <c r="G314" s="503" t="str">
        <f>IF(終値!A314="","",IFERROR(4*STDEVP(終値!J314:AC314)/AVERAGE(終値!J314:AC314),""))</f>
        <v/>
      </c>
      <c r="H314" s="503" t="str">
        <f>IF(終値!A314="","",IFERROR(4*STDEVP(終値!K314:AD314)/AVERAGE(終値!K314:AD314),""))</f>
        <v/>
      </c>
      <c r="I314" s="503" t="str">
        <f>IF(終値!A314="","",IFERROR(4*STDEVP(終値!L314:AE314)/AVERAGE(終値!L314:AE314),""))</f>
        <v/>
      </c>
      <c r="J314" s="503" t="str">
        <f>IF(終値!A314="","",IFERROR(4*STDEVP(終値!M314:AF314)/AVERAGE(終値!M314:AF314),""))</f>
        <v/>
      </c>
      <c r="K314" s="503" t="str">
        <f>IF(終値!A314="","",IFERROR(4*STDEVP(終値!N314:AG314)/AVERAGE(終値!N314:AG314),""))</f>
        <v/>
      </c>
      <c r="L314" s="503" t="str">
        <f>IF(終値!A314="","",IFERROR(4*STDEVP(終値!O314:AH314)/AVERAGE(終値!O314:AH314),""))</f>
        <v/>
      </c>
      <c r="M314" s="503" t="str">
        <f>IF(終値!A314="","",IFERROR(4*STDEVP(終値!P314:AI314)/AVERAGE(終値!P314:AI314),""))</f>
        <v/>
      </c>
      <c r="N314" s="503" t="str">
        <f>IF(終値!A314="","",IFERROR(4*STDEVP(終値!Q314:AJ314)/AVERAGE(終値!Q314:AJ314),""))</f>
        <v/>
      </c>
      <c r="O314" s="503" t="str">
        <f>IF(終値!A314="","",IFERROR(4*STDEVP(終値!R314:AK314)/AVERAGE(終値!R314:AK314),""))</f>
        <v/>
      </c>
      <c r="P314" s="503" t="str">
        <f>IF(終値!A314="","",IFERROR(4*STDEVP(終値!S314:AL314)/AVERAGE(終値!S314:AL314),""))</f>
        <v/>
      </c>
      <c r="Q314" s="503" t="str">
        <f>IF(終値!A314="","",IFERROR(4*STDEVP(終値!T314:AM314)/AVERAGE(終値!T314:AM314),""))</f>
        <v/>
      </c>
      <c r="R314" s="503" t="str">
        <f>IF(終値!A314="","",IFERROR(4*STDEVP(終値!U314:AN314)/AVERAGE(終値!U314:AN314),""))</f>
        <v/>
      </c>
      <c r="S314" s="503" t="str">
        <f>IF(終値!A314="","",IFERROR(4*STDEVP(終値!V314:AO314)/AVERAGE(終値!V314:AO314),""))</f>
        <v/>
      </c>
      <c r="T314" s="503" t="str">
        <f>IF(終値!A314="","",IFERROR(4*STDEVP(終値!W314:AP314)/AVERAGE(終値!W314:AP314),""))</f>
        <v/>
      </c>
      <c r="U314" s="503" t="str">
        <f>IF(終値!A314="","",IFERROR(4*STDEVP(終値!X314:AQ314)/AVERAGE(終値!X314:AQ314),""))</f>
        <v/>
      </c>
      <c r="V314" s="503" t="str">
        <f>IF(終値!A314="","",IFERROR(4*STDEVP(終値!Y314:AR314)/AVERAGE(終値!Y314:AR314),""))</f>
        <v/>
      </c>
      <c r="W314" s="503" t="str">
        <f>IF(終値!A314="","",IFERROR(4*STDEVP(終値!Z314:AS314)/AVERAGE(終値!Z314:AS314),""))</f>
        <v/>
      </c>
      <c r="X314" s="503" t="str">
        <f>IF(終値!A314="","",IFERROR(4*STDEVP(終値!AA314:AT314)/AVERAGE(終値!AA314:AT314),""))</f>
        <v/>
      </c>
      <c r="Y314" s="503" t="str">
        <f>IF(終値!A314="","",IFERROR(4*STDEVP(終値!AB314:AU314)/AVERAGE(終値!AB314:AU314),""))</f>
        <v/>
      </c>
      <c r="Z314" s="503" t="str">
        <f>IF(終値!A314="","",IFERROR(4*STDEVP(終値!AC314:AV314)/AVERAGE(終値!AC314:AV314),""))</f>
        <v/>
      </c>
      <c r="AA314" s="503" t="str">
        <f>IF(終値!A314="","",IFERROR(4*STDEVP(終値!AD314:AW314)/AVERAGE(終値!AD314:AW314),""))</f>
        <v/>
      </c>
      <c r="AB314" s="503" t="str">
        <f>IF(終値!A314="","",IFERROR(4*STDEVP(終値!AE314:AX314)/AVERAGE(終値!AE314:AX314),""))</f>
        <v/>
      </c>
      <c r="AC314" s="503" t="str">
        <f>IF(終値!A314="","",IFERROR(4*STDEVP(終値!AF314:AY314)/AVERAGE(終値!AF314:AY314),""))</f>
        <v/>
      </c>
      <c r="AD314" s="503" t="str">
        <f>IF(終値!A314="","",IFERROR(4*STDEVP(終値!AG314:AZ314)/AVERAGE(終値!AG314:AZ314),""))</f>
        <v/>
      </c>
      <c r="AE314" s="503" t="str">
        <f>IF(終値!A314="","",IFERROR(4*STDEVP(終値!AH314:BA314)/AVERAGE(終値!AH314:BA314),""))</f>
        <v/>
      </c>
      <c r="AF314" s="503" t="str">
        <f>IF(終値!A314="","",IFERROR(4*STDEVP(終値!AI314:BB314)/AVERAGE(終値!AI314:BB314),""))</f>
        <v/>
      </c>
      <c r="AG314" s="503" t="str">
        <f>IF(終値!A314="","",IFERROR(4*STDEVP(終値!AJ314:BC314)/AVERAGE(終値!AJ314:BC314),""))</f>
        <v/>
      </c>
      <c r="AH314" s="503" t="str">
        <f>IF(終値!A314="","",IFERROR(4*STDEVP(終値!AK314:BD314)/AVERAGE(終値!AK314:BD314),""))</f>
        <v/>
      </c>
      <c r="AI314" s="503" t="str">
        <f>IF(終値!A314="","",IFERROR(4*STDEVP(終値!AL314:BE314)/AVERAGE(終値!AL314:BE314),""))</f>
        <v/>
      </c>
      <c r="AJ314" s="503" t="str">
        <f>IF(終値!A314="","",IFERROR(4*STDEVP(終値!AM314:BF314)/AVERAGE(終値!AM314:BF314),""))</f>
        <v/>
      </c>
      <c r="AK314" s="503" t="str">
        <f>IF(終値!A314="","",IFERROR(4*STDEVP(終値!AN314:BG314)/AVERAGE(終値!AN314:BG314),""))</f>
        <v/>
      </c>
      <c r="AL314" s="503" t="str">
        <f>IF(終値!A314="","",IFERROR(4*STDEVP(終値!AO314:BH314)/AVERAGE(終値!AO314:BH314),""))</f>
        <v/>
      </c>
      <c r="AM314" s="503" t="str">
        <f>IF(終値!A314="","",IFERROR(4*STDEVP(終値!AP314:BI314)/AVERAGE(終値!AP314:BI314),""))</f>
        <v/>
      </c>
      <c r="AN314" s="503" t="str">
        <f>IF(終値!A314="","",IFERROR(4*STDEVP(終値!AQ314:BJ314)/AVERAGE(終値!AQ314:BJ314),""))</f>
        <v/>
      </c>
      <c r="AO314" s="503" t="str">
        <f>IF(終値!A314="","",IFERROR(4*STDEVP(終値!AR314:BK314)/AVERAGE(終値!AR314:BK314),""))</f>
        <v/>
      </c>
      <c r="AP314" s="503" t="str">
        <f>IF(終値!A314="","",IFERROR(4*STDEVP(終値!AS314:BL314)/AVERAGE(終値!AS314:BL314),""))</f>
        <v/>
      </c>
    </row>
    <row r="315" spans="1:42">
      <c r="A315" s="500" t="str">
        <f>IF(終値!A315="","",終値!A315)</f>
        <v/>
      </c>
      <c r="B315" s="503" t="str">
        <f>IF(終値!A315="","",IFERROR(4*STDEVP(終値!E315:X315)/AVERAGE(終値!E315:X315),""))</f>
        <v/>
      </c>
      <c r="C315" s="503" t="str">
        <f>IF(終値!A315="","",IFERROR(4*STDEVP(終値!F315:Y315)/AVERAGE(終値!F315:Y315),""))</f>
        <v/>
      </c>
      <c r="D315" s="503" t="str">
        <f>IF(終値!A315="","",IFERROR(4*STDEVP(終値!G315:Z315)/AVERAGE(終値!G315:Z315),""))</f>
        <v/>
      </c>
      <c r="E315" s="503" t="str">
        <f>IF(終値!A315="","",IFERROR(4*STDEVP(終値!H315:AA315)/AVERAGE(終値!H315:AA315),""))</f>
        <v/>
      </c>
      <c r="F315" s="503" t="str">
        <f>IF(終値!A315="","",IFERROR(4*STDEVP(終値!I315:AB315)/AVERAGE(終値!I315:AB315),""))</f>
        <v/>
      </c>
      <c r="G315" s="503" t="str">
        <f>IF(終値!A315="","",IFERROR(4*STDEVP(終値!J315:AC315)/AVERAGE(終値!J315:AC315),""))</f>
        <v/>
      </c>
      <c r="H315" s="503" t="str">
        <f>IF(終値!A315="","",IFERROR(4*STDEVP(終値!K315:AD315)/AVERAGE(終値!K315:AD315),""))</f>
        <v/>
      </c>
      <c r="I315" s="503" t="str">
        <f>IF(終値!A315="","",IFERROR(4*STDEVP(終値!L315:AE315)/AVERAGE(終値!L315:AE315),""))</f>
        <v/>
      </c>
      <c r="J315" s="503" t="str">
        <f>IF(終値!A315="","",IFERROR(4*STDEVP(終値!M315:AF315)/AVERAGE(終値!M315:AF315),""))</f>
        <v/>
      </c>
      <c r="K315" s="503" t="str">
        <f>IF(終値!A315="","",IFERROR(4*STDEVP(終値!N315:AG315)/AVERAGE(終値!N315:AG315),""))</f>
        <v/>
      </c>
      <c r="L315" s="503" t="str">
        <f>IF(終値!A315="","",IFERROR(4*STDEVP(終値!O315:AH315)/AVERAGE(終値!O315:AH315),""))</f>
        <v/>
      </c>
      <c r="M315" s="503" t="str">
        <f>IF(終値!A315="","",IFERROR(4*STDEVP(終値!P315:AI315)/AVERAGE(終値!P315:AI315),""))</f>
        <v/>
      </c>
      <c r="N315" s="503" t="str">
        <f>IF(終値!A315="","",IFERROR(4*STDEVP(終値!Q315:AJ315)/AVERAGE(終値!Q315:AJ315),""))</f>
        <v/>
      </c>
      <c r="O315" s="503" t="str">
        <f>IF(終値!A315="","",IFERROR(4*STDEVP(終値!R315:AK315)/AVERAGE(終値!R315:AK315),""))</f>
        <v/>
      </c>
      <c r="P315" s="503" t="str">
        <f>IF(終値!A315="","",IFERROR(4*STDEVP(終値!S315:AL315)/AVERAGE(終値!S315:AL315),""))</f>
        <v/>
      </c>
      <c r="Q315" s="503" t="str">
        <f>IF(終値!A315="","",IFERROR(4*STDEVP(終値!T315:AM315)/AVERAGE(終値!T315:AM315),""))</f>
        <v/>
      </c>
      <c r="R315" s="503" t="str">
        <f>IF(終値!A315="","",IFERROR(4*STDEVP(終値!U315:AN315)/AVERAGE(終値!U315:AN315),""))</f>
        <v/>
      </c>
      <c r="S315" s="503" t="str">
        <f>IF(終値!A315="","",IFERROR(4*STDEVP(終値!V315:AO315)/AVERAGE(終値!V315:AO315),""))</f>
        <v/>
      </c>
      <c r="T315" s="503" t="str">
        <f>IF(終値!A315="","",IFERROR(4*STDEVP(終値!W315:AP315)/AVERAGE(終値!W315:AP315),""))</f>
        <v/>
      </c>
      <c r="U315" s="503" t="str">
        <f>IF(終値!A315="","",IFERROR(4*STDEVP(終値!X315:AQ315)/AVERAGE(終値!X315:AQ315),""))</f>
        <v/>
      </c>
      <c r="V315" s="503" t="str">
        <f>IF(終値!A315="","",IFERROR(4*STDEVP(終値!Y315:AR315)/AVERAGE(終値!Y315:AR315),""))</f>
        <v/>
      </c>
      <c r="W315" s="503" t="str">
        <f>IF(終値!A315="","",IFERROR(4*STDEVP(終値!Z315:AS315)/AVERAGE(終値!Z315:AS315),""))</f>
        <v/>
      </c>
      <c r="X315" s="503" t="str">
        <f>IF(終値!A315="","",IFERROR(4*STDEVP(終値!AA315:AT315)/AVERAGE(終値!AA315:AT315),""))</f>
        <v/>
      </c>
      <c r="Y315" s="503" t="str">
        <f>IF(終値!A315="","",IFERROR(4*STDEVP(終値!AB315:AU315)/AVERAGE(終値!AB315:AU315),""))</f>
        <v/>
      </c>
      <c r="Z315" s="503" t="str">
        <f>IF(終値!A315="","",IFERROR(4*STDEVP(終値!AC315:AV315)/AVERAGE(終値!AC315:AV315),""))</f>
        <v/>
      </c>
      <c r="AA315" s="503" t="str">
        <f>IF(終値!A315="","",IFERROR(4*STDEVP(終値!AD315:AW315)/AVERAGE(終値!AD315:AW315),""))</f>
        <v/>
      </c>
      <c r="AB315" s="503" t="str">
        <f>IF(終値!A315="","",IFERROR(4*STDEVP(終値!AE315:AX315)/AVERAGE(終値!AE315:AX315),""))</f>
        <v/>
      </c>
      <c r="AC315" s="503" t="str">
        <f>IF(終値!A315="","",IFERROR(4*STDEVP(終値!AF315:AY315)/AVERAGE(終値!AF315:AY315),""))</f>
        <v/>
      </c>
      <c r="AD315" s="503" t="str">
        <f>IF(終値!A315="","",IFERROR(4*STDEVP(終値!AG315:AZ315)/AVERAGE(終値!AG315:AZ315),""))</f>
        <v/>
      </c>
      <c r="AE315" s="503" t="str">
        <f>IF(終値!A315="","",IFERROR(4*STDEVP(終値!AH315:BA315)/AVERAGE(終値!AH315:BA315),""))</f>
        <v/>
      </c>
      <c r="AF315" s="503" t="str">
        <f>IF(終値!A315="","",IFERROR(4*STDEVP(終値!AI315:BB315)/AVERAGE(終値!AI315:BB315),""))</f>
        <v/>
      </c>
      <c r="AG315" s="503" t="str">
        <f>IF(終値!A315="","",IFERROR(4*STDEVP(終値!AJ315:BC315)/AVERAGE(終値!AJ315:BC315),""))</f>
        <v/>
      </c>
      <c r="AH315" s="503" t="str">
        <f>IF(終値!A315="","",IFERROR(4*STDEVP(終値!AK315:BD315)/AVERAGE(終値!AK315:BD315),""))</f>
        <v/>
      </c>
      <c r="AI315" s="503" t="str">
        <f>IF(終値!A315="","",IFERROR(4*STDEVP(終値!AL315:BE315)/AVERAGE(終値!AL315:BE315),""))</f>
        <v/>
      </c>
      <c r="AJ315" s="503" t="str">
        <f>IF(終値!A315="","",IFERROR(4*STDEVP(終値!AM315:BF315)/AVERAGE(終値!AM315:BF315),""))</f>
        <v/>
      </c>
      <c r="AK315" s="503" t="str">
        <f>IF(終値!A315="","",IFERROR(4*STDEVP(終値!AN315:BG315)/AVERAGE(終値!AN315:BG315),""))</f>
        <v/>
      </c>
      <c r="AL315" s="503" t="str">
        <f>IF(終値!A315="","",IFERROR(4*STDEVP(終値!AO315:BH315)/AVERAGE(終値!AO315:BH315),""))</f>
        <v/>
      </c>
      <c r="AM315" s="503" t="str">
        <f>IF(終値!A315="","",IFERROR(4*STDEVP(終値!AP315:BI315)/AVERAGE(終値!AP315:BI315),""))</f>
        <v/>
      </c>
      <c r="AN315" s="503" t="str">
        <f>IF(終値!A315="","",IFERROR(4*STDEVP(終値!AQ315:BJ315)/AVERAGE(終値!AQ315:BJ315),""))</f>
        <v/>
      </c>
      <c r="AO315" s="503" t="str">
        <f>IF(終値!A315="","",IFERROR(4*STDEVP(終値!AR315:BK315)/AVERAGE(終値!AR315:BK315),""))</f>
        <v/>
      </c>
      <c r="AP315" s="503" t="str">
        <f>IF(終値!A315="","",IFERROR(4*STDEVP(終値!AS315:BL315)/AVERAGE(終値!AS315:BL315),""))</f>
        <v/>
      </c>
    </row>
    <row r="316" spans="1:42">
      <c r="A316" s="500" t="str">
        <f>IF(終値!A316="","",終値!A316)</f>
        <v/>
      </c>
      <c r="B316" s="503" t="str">
        <f>IF(終値!A316="","",IFERROR(4*STDEVP(終値!E316:X316)/AVERAGE(終値!E316:X316),""))</f>
        <v/>
      </c>
      <c r="C316" s="503" t="str">
        <f>IF(終値!A316="","",IFERROR(4*STDEVP(終値!F316:Y316)/AVERAGE(終値!F316:Y316),""))</f>
        <v/>
      </c>
      <c r="D316" s="503" t="str">
        <f>IF(終値!A316="","",IFERROR(4*STDEVP(終値!G316:Z316)/AVERAGE(終値!G316:Z316),""))</f>
        <v/>
      </c>
      <c r="E316" s="503" t="str">
        <f>IF(終値!A316="","",IFERROR(4*STDEVP(終値!H316:AA316)/AVERAGE(終値!H316:AA316),""))</f>
        <v/>
      </c>
      <c r="F316" s="503" t="str">
        <f>IF(終値!A316="","",IFERROR(4*STDEVP(終値!I316:AB316)/AVERAGE(終値!I316:AB316),""))</f>
        <v/>
      </c>
      <c r="G316" s="503" t="str">
        <f>IF(終値!A316="","",IFERROR(4*STDEVP(終値!J316:AC316)/AVERAGE(終値!J316:AC316),""))</f>
        <v/>
      </c>
      <c r="H316" s="503" t="str">
        <f>IF(終値!A316="","",IFERROR(4*STDEVP(終値!K316:AD316)/AVERAGE(終値!K316:AD316),""))</f>
        <v/>
      </c>
      <c r="I316" s="503" t="str">
        <f>IF(終値!A316="","",IFERROR(4*STDEVP(終値!L316:AE316)/AVERAGE(終値!L316:AE316),""))</f>
        <v/>
      </c>
      <c r="J316" s="503" t="str">
        <f>IF(終値!A316="","",IFERROR(4*STDEVP(終値!M316:AF316)/AVERAGE(終値!M316:AF316),""))</f>
        <v/>
      </c>
      <c r="K316" s="503" t="str">
        <f>IF(終値!A316="","",IFERROR(4*STDEVP(終値!N316:AG316)/AVERAGE(終値!N316:AG316),""))</f>
        <v/>
      </c>
      <c r="L316" s="503" t="str">
        <f>IF(終値!A316="","",IFERROR(4*STDEVP(終値!O316:AH316)/AVERAGE(終値!O316:AH316),""))</f>
        <v/>
      </c>
      <c r="M316" s="503" t="str">
        <f>IF(終値!A316="","",IFERROR(4*STDEVP(終値!P316:AI316)/AVERAGE(終値!P316:AI316),""))</f>
        <v/>
      </c>
      <c r="N316" s="503" t="str">
        <f>IF(終値!A316="","",IFERROR(4*STDEVP(終値!Q316:AJ316)/AVERAGE(終値!Q316:AJ316),""))</f>
        <v/>
      </c>
      <c r="O316" s="503" t="str">
        <f>IF(終値!A316="","",IFERROR(4*STDEVP(終値!R316:AK316)/AVERAGE(終値!R316:AK316),""))</f>
        <v/>
      </c>
      <c r="P316" s="503" t="str">
        <f>IF(終値!A316="","",IFERROR(4*STDEVP(終値!S316:AL316)/AVERAGE(終値!S316:AL316),""))</f>
        <v/>
      </c>
      <c r="Q316" s="503" t="str">
        <f>IF(終値!A316="","",IFERROR(4*STDEVP(終値!T316:AM316)/AVERAGE(終値!T316:AM316),""))</f>
        <v/>
      </c>
      <c r="R316" s="503" t="str">
        <f>IF(終値!A316="","",IFERROR(4*STDEVP(終値!U316:AN316)/AVERAGE(終値!U316:AN316),""))</f>
        <v/>
      </c>
      <c r="S316" s="503" t="str">
        <f>IF(終値!A316="","",IFERROR(4*STDEVP(終値!V316:AO316)/AVERAGE(終値!V316:AO316),""))</f>
        <v/>
      </c>
      <c r="T316" s="503" t="str">
        <f>IF(終値!A316="","",IFERROR(4*STDEVP(終値!W316:AP316)/AVERAGE(終値!W316:AP316),""))</f>
        <v/>
      </c>
      <c r="U316" s="503" t="str">
        <f>IF(終値!A316="","",IFERROR(4*STDEVP(終値!X316:AQ316)/AVERAGE(終値!X316:AQ316),""))</f>
        <v/>
      </c>
      <c r="V316" s="503" t="str">
        <f>IF(終値!A316="","",IFERROR(4*STDEVP(終値!Y316:AR316)/AVERAGE(終値!Y316:AR316),""))</f>
        <v/>
      </c>
      <c r="W316" s="503" t="str">
        <f>IF(終値!A316="","",IFERROR(4*STDEVP(終値!Z316:AS316)/AVERAGE(終値!Z316:AS316),""))</f>
        <v/>
      </c>
      <c r="X316" s="503" t="str">
        <f>IF(終値!A316="","",IFERROR(4*STDEVP(終値!AA316:AT316)/AVERAGE(終値!AA316:AT316),""))</f>
        <v/>
      </c>
      <c r="Y316" s="503" t="str">
        <f>IF(終値!A316="","",IFERROR(4*STDEVP(終値!AB316:AU316)/AVERAGE(終値!AB316:AU316),""))</f>
        <v/>
      </c>
      <c r="Z316" s="503" t="str">
        <f>IF(終値!A316="","",IFERROR(4*STDEVP(終値!AC316:AV316)/AVERAGE(終値!AC316:AV316),""))</f>
        <v/>
      </c>
      <c r="AA316" s="503" t="str">
        <f>IF(終値!A316="","",IFERROR(4*STDEVP(終値!AD316:AW316)/AVERAGE(終値!AD316:AW316),""))</f>
        <v/>
      </c>
      <c r="AB316" s="503" t="str">
        <f>IF(終値!A316="","",IFERROR(4*STDEVP(終値!AE316:AX316)/AVERAGE(終値!AE316:AX316),""))</f>
        <v/>
      </c>
      <c r="AC316" s="503" t="str">
        <f>IF(終値!A316="","",IFERROR(4*STDEVP(終値!AF316:AY316)/AVERAGE(終値!AF316:AY316),""))</f>
        <v/>
      </c>
      <c r="AD316" s="503" t="str">
        <f>IF(終値!A316="","",IFERROR(4*STDEVP(終値!AG316:AZ316)/AVERAGE(終値!AG316:AZ316),""))</f>
        <v/>
      </c>
      <c r="AE316" s="503" t="str">
        <f>IF(終値!A316="","",IFERROR(4*STDEVP(終値!AH316:BA316)/AVERAGE(終値!AH316:BA316),""))</f>
        <v/>
      </c>
      <c r="AF316" s="503" t="str">
        <f>IF(終値!A316="","",IFERROR(4*STDEVP(終値!AI316:BB316)/AVERAGE(終値!AI316:BB316),""))</f>
        <v/>
      </c>
      <c r="AG316" s="503" t="str">
        <f>IF(終値!A316="","",IFERROR(4*STDEVP(終値!AJ316:BC316)/AVERAGE(終値!AJ316:BC316),""))</f>
        <v/>
      </c>
      <c r="AH316" s="503" t="str">
        <f>IF(終値!A316="","",IFERROR(4*STDEVP(終値!AK316:BD316)/AVERAGE(終値!AK316:BD316),""))</f>
        <v/>
      </c>
      <c r="AI316" s="503" t="str">
        <f>IF(終値!A316="","",IFERROR(4*STDEVP(終値!AL316:BE316)/AVERAGE(終値!AL316:BE316),""))</f>
        <v/>
      </c>
      <c r="AJ316" s="503" t="str">
        <f>IF(終値!A316="","",IFERROR(4*STDEVP(終値!AM316:BF316)/AVERAGE(終値!AM316:BF316),""))</f>
        <v/>
      </c>
      <c r="AK316" s="503" t="str">
        <f>IF(終値!A316="","",IFERROR(4*STDEVP(終値!AN316:BG316)/AVERAGE(終値!AN316:BG316),""))</f>
        <v/>
      </c>
      <c r="AL316" s="503" t="str">
        <f>IF(終値!A316="","",IFERROR(4*STDEVP(終値!AO316:BH316)/AVERAGE(終値!AO316:BH316),""))</f>
        <v/>
      </c>
      <c r="AM316" s="503" t="str">
        <f>IF(終値!A316="","",IFERROR(4*STDEVP(終値!AP316:BI316)/AVERAGE(終値!AP316:BI316),""))</f>
        <v/>
      </c>
      <c r="AN316" s="503" t="str">
        <f>IF(終値!A316="","",IFERROR(4*STDEVP(終値!AQ316:BJ316)/AVERAGE(終値!AQ316:BJ316),""))</f>
        <v/>
      </c>
      <c r="AO316" s="503" t="str">
        <f>IF(終値!A316="","",IFERROR(4*STDEVP(終値!AR316:BK316)/AVERAGE(終値!AR316:BK316),""))</f>
        <v/>
      </c>
      <c r="AP316" s="503" t="str">
        <f>IF(終値!A316="","",IFERROR(4*STDEVP(終値!AS316:BL316)/AVERAGE(終値!AS316:BL316),""))</f>
        <v/>
      </c>
    </row>
    <row r="317" spans="1:42">
      <c r="A317" s="500" t="str">
        <f>IF(終値!A317="","",終値!A317)</f>
        <v/>
      </c>
      <c r="B317" s="503" t="str">
        <f>IF(終値!A317="","",IFERROR(4*STDEVP(終値!E317:X317)/AVERAGE(終値!E317:X317),""))</f>
        <v/>
      </c>
      <c r="C317" s="503" t="str">
        <f>IF(終値!A317="","",IFERROR(4*STDEVP(終値!F317:Y317)/AVERAGE(終値!F317:Y317),""))</f>
        <v/>
      </c>
      <c r="D317" s="503" t="str">
        <f>IF(終値!A317="","",IFERROR(4*STDEVP(終値!G317:Z317)/AVERAGE(終値!G317:Z317),""))</f>
        <v/>
      </c>
      <c r="E317" s="503" t="str">
        <f>IF(終値!A317="","",IFERROR(4*STDEVP(終値!H317:AA317)/AVERAGE(終値!H317:AA317),""))</f>
        <v/>
      </c>
      <c r="F317" s="503" t="str">
        <f>IF(終値!A317="","",IFERROR(4*STDEVP(終値!I317:AB317)/AVERAGE(終値!I317:AB317),""))</f>
        <v/>
      </c>
      <c r="G317" s="503" t="str">
        <f>IF(終値!A317="","",IFERROR(4*STDEVP(終値!J317:AC317)/AVERAGE(終値!J317:AC317),""))</f>
        <v/>
      </c>
      <c r="H317" s="503" t="str">
        <f>IF(終値!A317="","",IFERROR(4*STDEVP(終値!K317:AD317)/AVERAGE(終値!K317:AD317),""))</f>
        <v/>
      </c>
      <c r="I317" s="503" t="str">
        <f>IF(終値!A317="","",IFERROR(4*STDEVP(終値!L317:AE317)/AVERAGE(終値!L317:AE317),""))</f>
        <v/>
      </c>
      <c r="J317" s="503" t="str">
        <f>IF(終値!A317="","",IFERROR(4*STDEVP(終値!M317:AF317)/AVERAGE(終値!M317:AF317),""))</f>
        <v/>
      </c>
      <c r="K317" s="503" t="str">
        <f>IF(終値!A317="","",IFERROR(4*STDEVP(終値!N317:AG317)/AVERAGE(終値!N317:AG317),""))</f>
        <v/>
      </c>
      <c r="L317" s="503" t="str">
        <f>IF(終値!A317="","",IFERROR(4*STDEVP(終値!O317:AH317)/AVERAGE(終値!O317:AH317),""))</f>
        <v/>
      </c>
      <c r="M317" s="503" t="str">
        <f>IF(終値!A317="","",IFERROR(4*STDEVP(終値!P317:AI317)/AVERAGE(終値!P317:AI317),""))</f>
        <v/>
      </c>
      <c r="N317" s="503" t="str">
        <f>IF(終値!A317="","",IFERROR(4*STDEVP(終値!Q317:AJ317)/AVERAGE(終値!Q317:AJ317),""))</f>
        <v/>
      </c>
      <c r="O317" s="503" t="str">
        <f>IF(終値!A317="","",IFERROR(4*STDEVP(終値!R317:AK317)/AVERAGE(終値!R317:AK317),""))</f>
        <v/>
      </c>
      <c r="P317" s="503" t="str">
        <f>IF(終値!A317="","",IFERROR(4*STDEVP(終値!S317:AL317)/AVERAGE(終値!S317:AL317),""))</f>
        <v/>
      </c>
      <c r="Q317" s="503" t="str">
        <f>IF(終値!A317="","",IFERROR(4*STDEVP(終値!T317:AM317)/AVERAGE(終値!T317:AM317),""))</f>
        <v/>
      </c>
      <c r="R317" s="503" t="str">
        <f>IF(終値!A317="","",IFERROR(4*STDEVP(終値!U317:AN317)/AVERAGE(終値!U317:AN317),""))</f>
        <v/>
      </c>
      <c r="S317" s="503" t="str">
        <f>IF(終値!A317="","",IFERROR(4*STDEVP(終値!V317:AO317)/AVERAGE(終値!V317:AO317),""))</f>
        <v/>
      </c>
      <c r="T317" s="503" t="str">
        <f>IF(終値!A317="","",IFERROR(4*STDEVP(終値!W317:AP317)/AVERAGE(終値!W317:AP317),""))</f>
        <v/>
      </c>
      <c r="U317" s="503" t="str">
        <f>IF(終値!A317="","",IFERROR(4*STDEVP(終値!X317:AQ317)/AVERAGE(終値!X317:AQ317),""))</f>
        <v/>
      </c>
      <c r="V317" s="503" t="str">
        <f>IF(終値!A317="","",IFERROR(4*STDEVP(終値!Y317:AR317)/AVERAGE(終値!Y317:AR317),""))</f>
        <v/>
      </c>
      <c r="W317" s="503" t="str">
        <f>IF(終値!A317="","",IFERROR(4*STDEVP(終値!Z317:AS317)/AVERAGE(終値!Z317:AS317),""))</f>
        <v/>
      </c>
      <c r="X317" s="503" t="str">
        <f>IF(終値!A317="","",IFERROR(4*STDEVP(終値!AA317:AT317)/AVERAGE(終値!AA317:AT317),""))</f>
        <v/>
      </c>
      <c r="Y317" s="503" t="str">
        <f>IF(終値!A317="","",IFERROR(4*STDEVP(終値!AB317:AU317)/AVERAGE(終値!AB317:AU317),""))</f>
        <v/>
      </c>
      <c r="Z317" s="503" t="str">
        <f>IF(終値!A317="","",IFERROR(4*STDEVP(終値!AC317:AV317)/AVERAGE(終値!AC317:AV317),""))</f>
        <v/>
      </c>
      <c r="AA317" s="503" t="str">
        <f>IF(終値!A317="","",IFERROR(4*STDEVP(終値!AD317:AW317)/AVERAGE(終値!AD317:AW317),""))</f>
        <v/>
      </c>
      <c r="AB317" s="503" t="str">
        <f>IF(終値!A317="","",IFERROR(4*STDEVP(終値!AE317:AX317)/AVERAGE(終値!AE317:AX317),""))</f>
        <v/>
      </c>
      <c r="AC317" s="503" t="str">
        <f>IF(終値!A317="","",IFERROR(4*STDEVP(終値!AF317:AY317)/AVERAGE(終値!AF317:AY317),""))</f>
        <v/>
      </c>
      <c r="AD317" s="503" t="str">
        <f>IF(終値!A317="","",IFERROR(4*STDEVP(終値!AG317:AZ317)/AVERAGE(終値!AG317:AZ317),""))</f>
        <v/>
      </c>
      <c r="AE317" s="503" t="str">
        <f>IF(終値!A317="","",IFERROR(4*STDEVP(終値!AH317:BA317)/AVERAGE(終値!AH317:BA317),""))</f>
        <v/>
      </c>
      <c r="AF317" s="503" t="str">
        <f>IF(終値!A317="","",IFERROR(4*STDEVP(終値!AI317:BB317)/AVERAGE(終値!AI317:BB317),""))</f>
        <v/>
      </c>
      <c r="AG317" s="503" t="str">
        <f>IF(終値!A317="","",IFERROR(4*STDEVP(終値!AJ317:BC317)/AVERAGE(終値!AJ317:BC317),""))</f>
        <v/>
      </c>
      <c r="AH317" s="503" t="str">
        <f>IF(終値!A317="","",IFERROR(4*STDEVP(終値!AK317:BD317)/AVERAGE(終値!AK317:BD317),""))</f>
        <v/>
      </c>
      <c r="AI317" s="503" t="str">
        <f>IF(終値!A317="","",IFERROR(4*STDEVP(終値!AL317:BE317)/AVERAGE(終値!AL317:BE317),""))</f>
        <v/>
      </c>
      <c r="AJ317" s="503" t="str">
        <f>IF(終値!A317="","",IFERROR(4*STDEVP(終値!AM317:BF317)/AVERAGE(終値!AM317:BF317),""))</f>
        <v/>
      </c>
      <c r="AK317" s="503" t="str">
        <f>IF(終値!A317="","",IFERROR(4*STDEVP(終値!AN317:BG317)/AVERAGE(終値!AN317:BG317),""))</f>
        <v/>
      </c>
      <c r="AL317" s="503" t="str">
        <f>IF(終値!A317="","",IFERROR(4*STDEVP(終値!AO317:BH317)/AVERAGE(終値!AO317:BH317),""))</f>
        <v/>
      </c>
      <c r="AM317" s="503" t="str">
        <f>IF(終値!A317="","",IFERROR(4*STDEVP(終値!AP317:BI317)/AVERAGE(終値!AP317:BI317),""))</f>
        <v/>
      </c>
      <c r="AN317" s="503" t="str">
        <f>IF(終値!A317="","",IFERROR(4*STDEVP(終値!AQ317:BJ317)/AVERAGE(終値!AQ317:BJ317),""))</f>
        <v/>
      </c>
      <c r="AO317" s="503" t="str">
        <f>IF(終値!A317="","",IFERROR(4*STDEVP(終値!AR317:BK317)/AVERAGE(終値!AR317:BK317),""))</f>
        <v/>
      </c>
      <c r="AP317" s="503" t="str">
        <f>IF(終値!A317="","",IFERROR(4*STDEVP(終値!AS317:BL317)/AVERAGE(終値!AS317:BL317),""))</f>
        <v/>
      </c>
    </row>
    <row r="318" spans="1:42">
      <c r="A318" s="500" t="str">
        <f>IF(終値!A318="","",終値!A318)</f>
        <v/>
      </c>
      <c r="B318" s="503" t="str">
        <f>IF(終値!A318="","",IFERROR(4*STDEVP(終値!E318:X318)/AVERAGE(終値!E318:X318),""))</f>
        <v/>
      </c>
      <c r="C318" s="503" t="str">
        <f>IF(終値!A318="","",IFERROR(4*STDEVP(終値!F318:Y318)/AVERAGE(終値!F318:Y318),""))</f>
        <v/>
      </c>
      <c r="D318" s="503" t="str">
        <f>IF(終値!A318="","",IFERROR(4*STDEVP(終値!G318:Z318)/AVERAGE(終値!G318:Z318),""))</f>
        <v/>
      </c>
      <c r="E318" s="503" t="str">
        <f>IF(終値!A318="","",IFERROR(4*STDEVP(終値!H318:AA318)/AVERAGE(終値!H318:AA318),""))</f>
        <v/>
      </c>
      <c r="F318" s="503" t="str">
        <f>IF(終値!A318="","",IFERROR(4*STDEVP(終値!I318:AB318)/AVERAGE(終値!I318:AB318),""))</f>
        <v/>
      </c>
      <c r="G318" s="503" t="str">
        <f>IF(終値!A318="","",IFERROR(4*STDEVP(終値!J318:AC318)/AVERAGE(終値!J318:AC318),""))</f>
        <v/>
      </c>
      <c r="H318" s="503" t="str">
        <f>IF(終値!A318="","",IFERROR(4*STDEVP(終値!K318:AD318)/AVERAGE(終値!K318:AD318),""))</f>
        <v/>
      </c>
      <c r="I318" s="503" t="str">
        <f>IF(終値!A318="","",IFERROR(4*STDEVP(終値!L318:AE318)/AVERAGE(終値!L318:AE318),""))</f>
        <v/>
      </c>
      <c r="J318" s="503" t="str">
        <f>IF(終値!A318="","",IFERROR(4*STDEVP(終値!M318:AF318)/AVERAGE(終値!M318:AF318),""))</f>
        <v/>
      </c>
      <c r="K318" s="503" t="str">
        <f>IF(終値!A318="","",IFERROR(4*STDEVP(終値!N318:AG318)/AVERAGE(終値!N318:AG318),""))</f>
        <v/>
      </c>
      <c r="L318" s="503" t="str">
        <f>IF(終値!A318="","",IFERROR(4*STDEVP(終値!O318:AH318)/AVERAGE(終値!O318:AH318),""))</f>
        <v/>
      </c>
      <c r="M318" s="503" t="str">
        <f>IF(終値!A318="","",IFERROR(4*STDEVP(終値!P318:AI318)/AVERAGE(終値!P318:AI318),""))</f>
        <v/>
      </c>
      <c r="N318" s="503" t="str">
        <f>IF(終値!A318="","",IFERROR(4*STDEVP(終値!Q318:AJ318)/AVERAGE(終値!Q318:AJ318),""))</f>
        <v/>
      </c>
      <c r="O318" s="503" t="str">
        <f>IF(終値!A318="","",IFERROR(4*STDEVP(終値!R318:AK318)/AVERAGE(終値!R318:AK318),""))</f>
        <v/>
      </c>
      <c r="P318" s="503" t="str">
        <f>IF(終値!A318="","",IFERROR(4*STDEVP(終値!S318:AL318)/AVERAGE(終値!S318:AL318),""))</f>
        <v/>
      </c>
      <c r="Q318" s="503" t="str">
        <f>IF(終値!A318="","",IFERROR(4*STDEVP(終値!T318:AM318)/AVERAGE(終値!T318:AM318),""))</f>
        <v/>
      </c>
      <c r="R318" s="503" t="str">
        <f>IF(終値!A318="","",IFERROR(4*STDEVP(終値!U318:AN318)/AVERAGE(終値!U318:AN318),""))</f>
        <v/>
      </c>
      <c r="S318" s="503" t="str">
        <f>IF(終値!A318="","",IFERROR(4*STDEVP(終値!V318:AO318)/AVERAGE(終値!V318:AO318),""))</f>
        <v/>
      </c>
      <c r="T318" s="503" t="str">
        <f>IF(終値!A318="","",IFERROR(4*STDEVP(終値!W318:AP318)/AVERAGE(終値!W318:AP318),""))</f>
        <v/>
      </c>
      <c r="U318" s="503" t="str">
        <f>IF(終値!A318="","",IFERROR(4*STDEVP(終値!X318:AQ318)/AVERAGE(終値!X318:AQ318),""))</f>
        <v/>
      </c>
      <c r="V318" s="503" t="str">
        <f>IF(終値!A318="","",IFERROR(4*STDEVP(終値!Y318:AR318)/AVERAGE(終値!Y318:AR318),""))</f>
        <v/>
      </c>
      <c r="W318" s="503" t="str">
        <f>IF(終値!A318="","",IFERROR(4*STDEVP(終値!Z318:AS318)/AVERAGE(終値!Z318:AS318),""))</f>
        <v/>
      </c>
      <c r="X318" s="503" t="str">
        <f>IF(終値!A318="","",IFERROR(4*STDEVP(終値!AA318:AT318)/AVERAGE(終値!AA318:AT318),""))</f>
        <v/>
      </c>
      <c r="Y318" s="503" t="str">
        <f>IF(終値!A318="","",IFERROR(4*STDEVP(終値!AB318:AU318)/AVERAGE(終値!AB318:AU318),""))</f>
        <v/>
      </c>
      <c r="Z318" s="503" t="str">
        <f>IF(終値!A318="","",IFERROR(4*STDEVP(終値!AC318:AV318)/AVERAGE(終値!AC318:AV318),""))</f>
        <v/>
      </c>
      <c r="AA318" s="503" t="str">
        <f>IF(終値!A318="","",IFERROR(4*STDEVP(終値!AD318:AW318)/AVERAGE(終値!AD318:AW318),""))</f>
        <v/>
      </c>
      <c r="AB318" s="503" t="str">
        <f>IF(終値!A318="","",IFERROR(4*STDEVP(終値!AE318:AX318)/AVERAGE(終値!AE318:AX318),""))</f>
        <v/>
      </c>
      <c r="AC318" s="503" t="str">
        <f>IF(終値!A318="","",IFERROR(4*STDEVP(終値!AF318:AY318)/AVERAGE(終値!AF318:AY318),""))</f>
        <v/>
      </c>
      <c r="AD318" s="503" t="str">
        <f>IF(終値!A318="","",IFERROR(4*STDEVP(終値!AG318:AZ318)/AVERAGE(終値!AG318:AZ318),""))</f>
        <v/>
      </c>
      <c r="AE318" s="503" t="str">
        <f>IF(終値!A318="","",IFERROR(4*STDEVP(終値!AH318:BA318)/AVERAGE(終値!AH318:BA318),""))</f>
        <v/>
      </c>
      <c r="AF318" s="503" t="str">
        <f>IF(終値!A318="","",IFERROR(4*STDEVP(終値!AI318:BB318)/AVERAGE(終値!AI318:BB318),""))</f>
        <v/>
      </c>
      <c r="AG318" s="503" t="str">
        <f>IF(終値!A318="","",IFERROR(4*STDEVP(終値!AJ318:BC318)/AVERAGE(終値!AJ318:BC318),""))</f>
        <v/>
      </c>
      <c r="AH318" s="503" t="str">
        <f>IF(終値!A318="","",IFERROR(4*STDEVP(終値!AK318:BD318)/AVERAGE(終値!AK318:BD318),""))</f>
        <v/>
      </c>
      <c r="AI318" s="503" t="str">
        <f>IF(終値!A318="","",IFERROR(4*STDEVP(終値!AL318:BE318)/AVERAGE(終値!AL318:BE318),""))</f>
        <v/>
      </c>
      <c r="AJ318" s="503" t="str">
        <f>IF(終値!A318="","",IFERROR(4*STDEVP(終値!AM318:BF318)/AVERAGE(終値!AM318:BF318),""))</f>
        <v/>
      </c>
      <c r="AK318" s="503" t="str">
        <f>IF(終値!A318="","",IFERROR(4*STDEVP(終値!AN318:BG318)/AVERAGE(終値!AN318:BG318),""))</f>
        <v/>
      </c>
      <c r="AL318" s="503" t="str">
        <f>IF(終値!A318="","",IFERROR(4*STDEVP(終値!AO318:BH318)/AVERAGE(終値!AO318:BH318),""))</f>
        <v/>
      </c>
      <c r="AM318" s="503" t="str">
        <f>IF(終値!A318="","",IFERROR(4*STDEVP(終値!AP318:BI318)/AVERAGE(終値!AP318:BI318),""))</f>
        <v/>
      </c>
      <c r="AN318" s="503" t="str">
        <f>IF(終値!A318="","",IFERROR(4*STDEVP(終値!AQ318:BJ318)/AVERAGE(終値!AQ318:BJ318),""))</f>
        <v/>
      </c>
      <c r="AO318" s="503" t="str">
        <f>IF(終値!A318="","",IFERROR(4*STDEVP(終値!AR318:BK318)/AVERAGE(終値!AR318:BK318),""))</f>
        <v/>
      </c>
      <c r="AP318" s="503" t="str">
        <f>IF(終値!A318="","",IFERROR(4*STDEVP(終値!AS318:BL318)/AVERAGE(終値!AS318:BL318),""))</f>
        <v/>
      </c>
    </row>
    <row r="319" spans="1:42">
      <c r="A319" s="500" t="str">
        <f>IF(終値!A319="","",終値!A319)</f>
        <v/>
      </c>
      <c r="B319" s="503" t="str">
        <f>IF(終値!A319="","",IFERROR(4*STDEVP(終値!E319:X319)/AVERAGE(終値!E319:X319),""))</f>
        <v/>
      </c>
      <c r="C319" s="503" t="str">
        <f>IF(終値!A319="","",IFERROR(4*STDEVP(終値!F319:Y319)/AVERAGE(終値!F319:Y319),""))</f>
        <v/>
      </c>
      <c r="D319" s="503" t="str">
        <f>IF(終値!A319="","",IFERROR(4*STDEVP(終値!G319:Z319)/AVERAGE(終値!G319:Z319),""))</f>
        <v/>
      </c>
      <c r="E319" s="503" t="str">
        <f>IF(終値!A319="","",IFERROR(4*STDEVP(終値!H319:AA319)/AVERAGE(終値!H319:AA319),""))</f>
        <v/>
      </c>
      <c r="F319" s="503" t="str">
        <f>IF(終値!A319="","",IFERROR(4*STDEVP(終値!I319:AB319)/AVERAGE(終値!I319:AB319),""))</f>
        <v/>
      </c>
      <c r="G319" s="503" t="str">
        <f>IF(終値!A319="","",IFERROR(4*STDEVP(終値!J319:AC319)/AVERAGE(終値!J319:AC319),""))</f>
        <v/>
      </c>
      <c r="H319" s="503" t="str">
        <f>IF(終値!A319="","",IFERROR(4*STDEVP(終値!K319:AD319)/AVERAGE(終値!K319:AD319),""))</f>
        <v/>
      </c>
      <c r="I319" s="503" t="str">
        <f>IF(終値!A319="","",IFERROR(4*STDEVP(終値!L319:AE319)/AVERAGE(終値!L319:AE319),""))</f>
        <v/>
      </c>
      <c r="J319" s="503" t="str">
        <f>IF(終値!A319="","",IFERROR(4*STDEVP(終値!M319:AF319)/AVERAGE(終値!M319:AF319),""))</f>
        <v/>
      </c>
      <c r="K319" s="503" t="str">
        <f>IF(終値!A319="","",IFERROR(4*STDEVP(終値!N319:AG319)/AVERAGE(終値!N319:AG319),""))</f>
        <v/>
      </c>
      <c r="L319" s="503" t="str">
        <f>IF(終値!A319="","",IFERROR(4*STDEVP(終値!O319:AH319)/AVERAGE(終値!O319:AH319),""))</f>
        <v/>
      </c>
      <c r="M319" s="503" t="str">
        <f>IF(終値!A319="","",IFERROR(4*STDEVP(終値!P319:AI319)/AVERAGE(終値!P319:AI319),""))</f>
        <v/>
      </c>
      <c r="N319" s="503" t="str">
        <f>IF(終値!A319="","",IFERROR(4*STDEVP(終値!Q319:AJ319)/AVERAGE(終値!Q319:AJ319),""))</f>
        <v/>
      </c>
      <c r="O319" s="503" t="str">
        <f>IF(終値!A319="","",IFERROR(4*STDEVP(終値!R319:AK319)/AVERAGE(終値!R319:AK319),""))</f>
        <v/>
      </c>
      <c r="P319" s="503" t="str">
        <f>IF(終値!A319="","",IFERROR(4*STDEVP(終値!S319:AL319)/AVERAGE(終値!S319:AL319),""))</f>
        <v/>
      </c>
      <c r="Q319" s="503" t="str">
        <f>IF(終値!A319="","",IFERROR(4*STDEVP(終値!T319:AM319)/AVERAGE(終値!T319:AM319),""))</f>
        <v/>
      </c>
      <c r="R319" s="503" t="str">
        <f>IF(終値!A319="","",IFERROR(4*STDEVP(終値!U319:AN319)/AVERAGE(終値!U319:AN319),""))</f>
        <v/>
      </c>
      <c r="S319" s="503" t="str">
        <f>IF(終値!A319="","",IFERROR(4*STDEVP(終値!V319:AO319)/AVERAGE(終値!V319:AO319),""))</f>
        <v/>
      </c>
      <c r="T319" s="503" t="str">
        <f>IF(終値!A319="","",IFERROR(4*STDEVP(終値!W319:AP319)/AVERAGE(終値!W319:AP319),""))</f>
        <v/>
      </c>
      <c r="U319" s="503" t="str">
        <f>IF(終値!A319="","",IFERROR(4*STDEVP(終値!X319:AQ319)/AVERAGE(終値!X319:AQ319),""))</f>
        <v/>
      </c>
      <c r="V319" s="503" t="str">
        <f>IF(終値!A319="","",IFERROR(4*STDEVP(終値!Y319:AR319)/AVERAGE(終値!Y319:AR319),""))</f>
        <v/>
      </c>
      <c r="W319" s="503" t="str">
        <f>IF(終値!A319="","",IFERROR(4*STDEVP(終値!Z319:AS319)/AVERAGE(終値!Z319:AS319),""))</f>
        <v/>
      </c>
      <c r="X319" s="503" t="str">
        <f>IF(終値!A319="","",IFERROR(4*STDEVP(終値!AA319:AT319)/AVERAGE(終値!AA319:AT319),""))</f>
        <v/>
      </c>
      <c r="Y319" s="503" t="str">
        <f>IF(終値!A319="","",IFERROR(4*STDEVP(終値!AB319:AU319)/AVERAGE(終値!AB319:AU319),""))</f>
        <v/>
      </c>
      <c r="Z319" s="503" t="str">
        <f>IF(終値!A319="","",IFERROR(4*STDEVP(終値!AC319:AV319)/AVERAGE(終値!AC319:AV319),""))</f>
        <v/>
      </c>
      <c r="AA319" s="503" t="str">
        <f>IF(終値!A319="","",IFERROR(4*STDEVP(終値!AD319:AW319)/AVERAGE(終値!AD319:AW319),""))</f>
        <v/>
      </c>
      <c r="AB319" s="503" t="str">
        <f>IF(終値!A319="","",IFERROR(4*STDEVP(終値!AE319:AX319)/AVERAGE(終値!AE319:AX319),""))</f>
        <v/>
      </c>
      <c r="AC319" s="503" t="str">
        <f>IF(終値!A319="","",IFERROR(4*STDEVP(終値!AF319:AY319)/AVERAGE(終値!AF319:AY319),""))</f>
        <v/>
      </c>
      <c r="AD319" s="503" t="str">
        <f>IF(終値!A319="","",IFERROR(4*STDEVP(終値!AG319:AZ319)/AVERAGE(終値!AG319:AZ319),""))</f>
        <v/>
      </c>
      <c r="AE319" s="503" t="str">
        <f>IF(終値!A319="","",IFERROR(4*STDEVP(終値!AH319:BA319)/AVERAGE(終値!AH319:BA319),""))</f>
        <v/>
      </c>
      <c r="AF319" s="503" t="str">
        <f>IF(終値!A319="","",IFERROR(4*STDEVP(終値!AI319:BB319)/AVERAGE(終値!AI319:BB319),""))</f>
        <v/>
      </c>
      <c r="AG319" s="503" t="str">
        <f>IF(終値!A319="","",IFERROR(4*STDEVP(終値!AJ319:BC319)/AVERAGE(終値!AJ319:BC319),""))</f>
        <v/>
      </c>
      <c r="AH319" s="503" t="str">
        <f>IF(終値!A319="","",IFERROR(4*STDEVP(終値!AK319:BD319)/AVERAGE(終値!AK319:BD319),""))</f>
        <v/>
      </c>
      <c r="AI319" s="503" t="str">
        <f>IF(終値!A319="","",IFERROR(4*STDEVP(終値!AL319:BE319)/AVERAGE(終値!AL319:BE319),""))</f>
        <v/>
      </c>
      <c r="AJ319" s="503" t="str">
        <f>IF(終値!A319="","",IFERROR(4*STDEVP(終値!AM319:BF319)/AVERAGE(終値!AM319:BF319),""))</f>
        <v/>
      </c>
      <c r="AK319" s="503" t="str">
        <f>IF(終値!A319="","",IFERROR(4*STDEVP(終値!AN319:BG319)/AVERAGE(終値!AN319:BG319),""))</f>
        <v/>
      </c>
      <c r="AL319" s="503" t="str">
        <f>IF(終値!A319="","",IFERROR(4*STDEVP(終値!AO319:BH319)/AVERAGE(終値!AO319:BH319),""))</f>
        <v/>
      </c>
      <c r="AM319" s="503" t="str">
        <f>IF(終値!A319="","",IFERROR(4*STDEVP(終値!AP319:BI319)/AVERAGE(終値!AP319:BI319),""))</f>
        <v/>
      </c>
      <c r="AN319" s="503" t="str">
        <f>IF(終値!A319="","",IFERROR(4*STDEVP(終値!AQ319:BJ319)/AVERAGE(終値!AQ319:BJ319),""))</f>
        <v/>
      </c>
      <c r="AO319" s="503" t="str">
        <f>IF(終値!A319="","",IFERROR(4*STDEVP(終値!AR319:BK319)/AVERAGE(終値!AR319:BK319),""))</f>
        <v/>
      </c>
      <c r="AP319" s="503" t="str">
        <f>IF(終値!A319="","",IFERROR(4*STDEVP(終値!AS319:BL319)/AVERAGE(終値!AS319:BL319),""))</f>
        <v/>
      </c>
    </row>
    <row r="320" spans="1:42">
      <c r="A320" s="500" t="str">
        <f>IF(終値!A320="","",終値!A320)</f>
        <v/>
      </c>
      <c r="B320" s="503" t="str">
        <f>IF(終値!A320="","",IFERROR(4*STDEVP(終値!E320:X320)/AVERAGE(終値!E320:X320),""))</f>
        <v/>
      </c>
      <c r="C320" s="503" t="str">
        <f>IF(終値!A320="","",IFERROR(4*STDEVP(終値!F320:Y320)/AVERAGE(終値!F320:Y320),""))</f>
        <v/>
      </c>
      <c r="D320" s="503" t="str">
        <f>IF(終値!A320="","",IFERROR(4*STDEVP(終値!G320:Z320)/AVERAGE(終値!G320:Z320),""))</f>
        <v/>
      </c>
      <c r="E320" s="503" t="str">
        <f>IF(終値!A320="","",IFERROR(4*STDEVP(終値!H320:AA320)/AVERAGE(終値!H320:AA320),""))</f>
        <v/>
      </c>
      <c r="F320" s="503" t="str">
        <f>IF(終値!A320="","",IFERROR(4*STDEVP(終値!I320:AB320)/AVERAGE(終値!I320:AB320),""))</f>
        <v/>
      </c>
      <c r="G320" s="503" t="str">
        <f>IF(終値!A320="","",IFERROR(4*STDEVP(終値!J320:AC320)/AVERAGE(終値!J320:AC320),""))</f>
        <v/>
      </c>
      <c r="H320" s="503" t="str">
        <f>IF(終値!A320="","",IFERROR(4*STDEVP(終値!K320:AD320)/AVERAGE(終値!K320:AD320),""))</f>
        <v/>
      </c>
      <c r="I320" s="503" t="str">
        <f>IF(終値!A320="","",IFERROR(4*STDEVP(終値!L320:AE320)/AVERAGE(終値!L320:AE320),""))</f>
        <v/>
      </c>
      <c r="J320" s="503" t="str">
        <f>IF(終値!A320="","",IFERROR(4*STDEVP(終値!M320:AF320)/AVERAGE(終値!M320:AF320),""))</f>
        <v/>
      </c>
      <c r="K320" s="503" t="str">
        <f>IF(終値!A320="","",IFERROR(4*STDEVP(終値!N320:AG320)/AVERAGE(終値!N320:AG320),""))</f>
        <v/>
      </c>
      <c r="L320" s="503" t="str">
        <f>IF(終値!A320="","",IFERROR(4*STDEVP(終値!O320:AH320)/AVERAGE(終値!O320:AH320),""))</f>
        <v/>
      </c>
      <c r="M320" s="503" t="str">
        <f>IF(終値!A320="","",IFERROR(4*STDEVP(終値!P320:AI320)/AVERAGE(終値!P320:AI320),""))</f>
        <v/>
      </c>
      <c r="N320" s="503" t="str">
        <f>IF(終値!A320="","",IFERROR(4*STDEVP(終値!Q320:AJ320)/AVERAGE(終値!Q320:AJ320),""))</f>
        <v/>
      </c>
      <c r="O320" s="503" t="str">
        <f>IF(終値!A320="","",IFERROR(4*STDEVP(終値!R320:AK320)/AVERAGE(終値!R320:AK320),""))</f>
        <v/>
      </c>
      <c r="P320" s="503" t="str">
        <f>IF(終値!A320="","",IFERROR(4*STDEVP(終値!S320:AL320)/AVERAGE(終値!S320:AL320),""))</f>
        <v/>
      </c>
      <c r="Q320" s="503" t="str">
        <f>IF(終値!A320="","",IFERROR(4*STDEVP(終値!T320:AM320)/AVERAGE(終値!T320:AM320),""))</f>
        <v/>
      </c>
      <c r="R320" s="503" t="str">
        <f>IF(終値!A320="","",IFERROR(4*STDEVP(終値!U320:AN320)/AVERAGE(終値!U320:AN320),""))</f>
        <v/>
      </c>
      <c r="S320" s="503" t="str">
        <f>IF(終値!A320="","",IFERROR(4*STDEVP(終値!V320:AO320)/AVERAGE(終値!V320:AO320),""))</f>
        <v/>
      </c>
      <c r="T320" s="503" t="str">
        <f>IF(終値!A320="","",IFERROR(4*STDEVP(終値!W320:AP320)/AVERAGE(終値!W320:AP320),""))</f>
        <v/>
      </c>
      <c r="U320" s="503" t="str">
        <f>IF(終値!A320="","",IFERROR(4*STDEVP(終値!X320:AQ320)/AVERAGE(終値!X320:AQ320),""))</f>
        <v/>
      </c>
      <c r="V320" s="503" t="str">
        <f>IF(終値!A320="","",IFERROR(4*STDEVP(終値!Y320:AR320)/AVERAGE(終値!Y320:AR320),""))</f>
        <v/>
      </c>
      <c r="W320" s="503" t="str">
        <f>IF(終値!A320="","",IFERROR(4*STDEVP(終値!Z320:AS320)/AVERAGE(終値!Z320:AS320),""))</f>
        <v/>
      </c>
      <c r="X320" s="503" t="str">
        <f>IF(終値!A320="","",IFERROR(4*STDEVP(終値!AA320:AT320)/AVERAGE(終値!AA320:AT320),""))</f>
        <v/>
      </c>
      <c r="Y320" s="503" t="str">
        <f>IF(終値!A320="","",IFERROR(4*STDEVP(終値!AB320:AU320)/AVERAGE(終値!AB320:AU320),""))</f>
        <v/>
      </c>
      <c r="Z320" s="503" t="str">
        <f>IF(終値!A320="","",IFERROR(4*STDEVP(終値!AC320:AV320)/AVERAGE(終値!AC320:AV320),""))</f>
        <v/>
      </c>
      <c r="AA320" s="503" t="str">
        <f>IF(終値!A320="","",IFERROR(4*STDEVP(終値!AD320:AW320)/AVERAGE(終値!AD320:AW320),""))</f>
        <v/>
      </c>
      <c r="AB320" s="503" t="str">
        <f>IF(終値!A320="","",IFERROR(4*STDEVP(終値!AE320:AX320)/AVERAGE(終値!AE320:AX320),""))</f>
        <v/>
      </c>
      <c r="AC320" s="503" t="str">
        <f>IF(終値!A320="","",IFERROR(4*STDEVP(終値!AF320:AY320)/AVERAGE(終値!AF320:AY320),""))</f>
        <v/>
      </c>
      <c r="AD320" s="503" t="str">
        <f>IF(終値!A320="","",IFERROR(4*STDEVP(終値!AG320:AZ320)/AVERAGE(終値!AG320:AZ320),""))</f>
        <v/>
      </c>
      <c r="AE320" s="503" t="str">
        <f>IF(終値!A320="","",IFERROR(4*STDEVP(終値!AH320:BA320)/AVERAGE(終値!AH320:BA320),""))</f>
        <v/>
      </c>
      <c r="AF320" s="503" t="str">
        <f>IF(終値!A320="","",IFERROR(4*STDEVP(終値!AI320:BB320)/AVERAGE(終値!AI320:BB320),""))</f>
        <v/>
      </c>
      <c r="AG320" s="503" t="str">
        <f>IF(終値!A320="","",IFERROR(4*STDEVP(終値!AJ320:BC320)/AVERAGE(終値!AJ320:BC320),""))</f>
        <v/>
      </c>
      <c r="AH320" s="503" t="str">
        <f>IF(終値!A320="","",IFERROR(4*STDEVP(終値!AK320:BD320)/AVERAGE(終値!AK320:BD320),""))</f>
        <v/>
      </c>
      <c r="AI320" s="503" t="str">
        <f>IF(終値!A320="","",IFERROR(4*STDEVP(終値!AL320:BE320)/AVERAGE(終値!AL320:BE320),""))</f>
        <v/>
      </c>
      <c r="AJ320" s="503" t="str">
        <f>IF(終値!A320="","",IFERROR(4*STDEVP(終値!AM320:BF320)/AVERAGE(終値!AM320:BF320),""))</f>
        <v/>
      </c>
      <c r="AK320" s="503" t="str">
        <f>IF(終値!A320="","",IFERROR(4*STDEVP(終値!AN320:BG320)/AVERAGE(終値!AN320:BG320),""))</f>
        <v/>
      </c>
      <c r="AL320" s="503" t="str">
        <f>IF(終値!A320="","",IFERROR(4*STDEVP(終値!AO320:BH320)/AVERAGE(終値!AO320:BH320),""))</f>
        <v/>
      </c>
      <c r="AM320" s="503" t="str">
        <f>IF(終値!A320="","",IFERROR(4*STDEVP(終値!AP320:BI320)/AVERAGE(終値!AP320:BI320),""))</f>
        <v/>
      </c>
      <c r="AN320" s="503" t="str">
        <f>IF(終値!A320="","",IFERROR(4*STDEVP(終値!AQ320:BJ320)/AVERAGE(終値!AQ320:BJ320),""))</f>
        <v/>
      </c>
      <c r="AO320" s="503" t="str">
        <f>IF(終値!A320="","",IFERROR(4*STDEVP(終値!AR320:BK320)/AVERAGE(終値!AR320:BK320),""))</f>
        <v/>
      </c>
      <c r="AP320" s="503" t="str">
        <f>IF(終値!A320="","",IFERROR(4*STDEVP(終値!AS320:BL320)/AVERAGE(終値!AS320:BL320),""))</f>
        <v/>
      </c>
    </row>
    <row r="321" spans="1:42">
      <c r="A321" s="500" t="str">
        <f>IF(終値!A321="","",終値!A321)</f>
        <v/>
      </c>
      <c r="B321" s="503" t="str">
        <f>IF(終値!A321="","",IFERROR(4*STDEVP(終値!E321:X321)/AVERAGE(終値!E321:X321),""))</f>
        <v/>
      </c>
      <c r="C321" s="503" t="str">
        <f>IF(終値!A321="","",IFERROR(4*STDEVP(終値!F321:Y321)/AVERAGE(終値!F321:Y321),""))</f>
        <v/>
      </c>
      <c r="D321" s="503" t="str">
        <f>IF(終値!A321="","",IFERROR(4*STDEVP(終値!G321:Z321)/AVERAGE(終値!G321:Z321),""))</f>
        <v/>
      </c>
      <c r="E321" s="503" t="str">
        <f>IF(終値!A321="","",IFERROR(4*STDEVP(終値!H321:AA321)/AVERAGE(終値!H321:AA321),""))</f>
        <v/>
      </c>
      <c r="F321" s="503" t="str">
        <f>IF(終値!A321="","",IFERROR(4*STDEVP(終値!I321:AB321)/AVERAGE(終値!I321:AB321),""))</f>
        <v/>
      </c>
      <c r="G321" s="503" t="str">
        <f>IF(終値!A321="","",IFERROR(4*STDEVP(終値!J321:AC321)/AVERAGE(終値!J321:AC321),""))</f>
        <v/>
      </c>
      <c r="H321" s="503" t="str">
        <f>IF(終値!A321="","",IFERROR(4*STDEVP(終値!K321:AD321)/AVERAGE(終値!K321:AD321),""))</f>
        <v/>
      </c>
      <c r="I321" s="503" t="str">
        <f>IF(終値!A321="","",IFERROR(4*STDEVP(終値!L321:AE321)/AVERAGE(終値!L321:AE321),""))</f>
        <v/>
      </c>
      <c r="J321" s="503" t="str">
        <f>IF(終値!A321="","",IFERROR(4*STDEVP(終値!M321:AF321)/AVERAGE(終値!M321:AF321),""))</f>
        <v/>
      </c>
      <c r="K321" s="503" t="str">
        <f>IF(終値!A321="","",IFERROR(4*STDEVP(終値!N321:AG321)/AVERAGE(終値!N321:AG321),""))</f>
        <v/>
      </c>
      <c r="L321" s="503" t="str">
        <f>IF(終値!A321="","",IFERROR(4*STDEVP(終値!O321:AH321)/AVERAGE(終値!O321:AH321),""))</f>
        <v/>
      </c>
      <c r="M321" s="503" t="str">
        <f>IF(終値!A321="","",IFERROR(4*STDEVP(終値!P321:AI321)/AVERAGE(終値!P321:AI321),""))</f>
        <v/>
      </c>
      <c r="N321" s="503" t="str">
        <f>IF(終値!A321="","",IFERROR(4*STDEVP(終値!Q321:AJ321)/AVERAGE(終値!Q321:AJ321),""))</f>
        <v/>
      </c>
      <c r="O321" s="503" t="str">
        <f>IF(終値!A321="","",IFERROR(4*STDEVP(終値!R321:AK321)/AVERAGE(終値!R321:AK321),""))</f>
        <v/>
      </c>
      <c r="P321" s="503" t="str">
        <f>IF(終値!A321="","",IFERROR(4*STDEVP(終値!S321:AL321)/AVERAGE(終値!S321:AL321),""))</f>
        <v/>
      </c>
      <c r="Q321" s="503" t="str">
        <f>IF(終値!A321="","",IFERROR(4*STDEVP(終値!T321:AM321)/AVERAGE(終値!T321:AM321),""))</f>
        <v/>
      </c>
      <c r="R321" s="503" t="str">
        <f>IF(終値!A321="","",IFERROR(4*STDEVP(終値!U321:AN321)/AVERAGE(終値!U321:AN321),""))</f>
        <v/>
      </c>
      <c r="S321" s="503" t="str">
        <f>IF(終値!A321="","",IFERROR(4*STDEVP(終値!V321:AO321)/AVERAGE(終値!V321:AO321),""))</f>
        <v/>
      </c>
      <c r="T321" s="503" t="str">
        <f>IF(終値!A321="","",IFERROR(4*STDEVP(終値!W321:AP321)/AVERAGE(終値!W321:AP321),""))</f>
        <v/>
      </c>
      <c r="U321" s="503" t="str">
        <f>IF(終値!A321="","",IFERROR(4*STDEVP(終値!X321:AQ321)/AVERAGE(終値!X321:AQ321),""))</f>
        <v/>
      </c>
      <c r="V321" s="503" t="str">
        <f>IF(終値!A321="","",IFERROR(4*STDEVP(終値!Y321:AR321)/AVERAGE(終値!Y321:AR321),""))</f>
        <v/>
      </c>
      <c r="W321" s="503" t="str">
        <f>IF(終値!A321="","",IFERROR(4*STDEVP(終値!Z321:AS321)/AVERAGE(終値!Z321:AS321),""))</f>
        <v/>
      </c>
      <c r="X321" s="503" t="str">
        <f>IF(終値!A321="","",IFERROR(4*STDEVP(終値!AA321:AT321)/AVERAGE(終値!AA321:AT321),""))</f>
        <v/>
      </c>
      <c r="Y321" s="503" t="str">
        <f>IF(終値!A321="","",IFERROR(4*STDEVP(終値!AB321:AU321)/AVERAGE(終値!AB321:AU321),""))</f>
        <v/>
      </c>
      <c r="Z321" s="503" t="str">
        <f>IF(終値!A321="","",IFERROR(4*STDEVP(終値!AC321:AV321)/AVERAGE(終値!AC321:AV321),""))</f>
        <v/>
      </c>
      <c r="AA321" s="503" t="str">
        <f>IF(終値!A321="","",IFERROR(4*STDEVP(終値!AD321:AW321)/AVERAGE(終値!AD321:AW321),""))</f>
        <v/>
      </c>
      <c r="AB321" s="503" t="str">
        <f>IF(終値!A321="","",IFERROR(4*STDEVP(終値!AE321:AX321)/AVERAGE(終値!AE321:AX321),""))</f>
        <v/>
      </c>
      <c r="AC321" s="503" t="str">
        <f>IF(終値!A321="","",IFERROR(4*STDEVP(終値!AF321:AY321)/AVERAGE(終値!AF321:AY321),""))</f>
        <v/>
      </c>
      <c r="AD321" s="503" t="str">
        <f>IF(終値!A321="","",IFERROR(4*STDEVP(終値!AG321:AZ321)/AVERAGE(終値!AG321:AZ321),""))</f>
        <v/>
      </c>
      <c r="AE321" s="503" t="str">
        <f>IF(終値!A321="","",IFERROR(4*STDEVP(終値!AH321:BA321)/AVERAGE(終値!AH321:BA321),""))</f>
        <v/>
      </c>
      <c r="AF321" s="503" t="str">
        <f>IF(終値!A321="","",IFERROR(4*STDEVP(終値!AI321:BB321)/AVERAGE(終値!AI321:BB321),""))</f>
        <v/>
      </c>
      <c r="AG321" s="503" t="str">
        <f>IF(終値!A321="","",IFERROR(4*STDEVP(終値!AJ321:BC321)/AVERAGE(終値!AJ321:BC321),""))</f>
        <v/>
      </c>
      <c r="AH321" s="503" t="str">
        <f>IF(終値!A321="","",IFERROR(4*STDEVP(終値!AK321:BD321)/AVERAGE(終値!AK321:BD321),""))</f>
        <v/>
      </c>
      <c r="AI321" s="503" t="str">
        <f>IF(終値!A321="","",IFERROR(4*STDEVP(終値!AL321:BE321)/AVERAGE(終値!AL321:BE321),""))</f>
        <v/>
      </c>
      <c r="AJ321" s="503" t="str">
        <f>IF(終値!A321="","",IFERROR(4*STDEVP(終値!AM321:BF321)/AVERAGE(終値!AM321:BF321),""))</f>
        <v/>
      </c>
      <c r="AK321" s="503" t="str">
        <f>IF(終値!A321="","",IFERROR(4*STDEVP(終値!AN321:BG321)/AVERAGE(終値!AN321:BG321),""))</f>
        <v/>
      </c>
      <c r="AL321" s="503" t="str">
        <f>IF(終値!A321="","",IFERROR(4*STDEVP(終値!AO321:BH321)/AVERAGE(終値!AO321:BH321),""))</f>
        <v/>
      </c>
      <c r="AM321" s="503" t="str">
        <f>IF(終値!A321="","",IFERROR(4*STDEVP(終値!AP321:BI321)/AVERAGE(終値!AP321:BI321),""))</f>
        <v/>
      </c>
      <c r="AN321" s="503" t="str">
        <f>IF(終値!A321="","",IFERROR(4*STDEVP(終値!AQ321:BJ321)/AVERAGE(終値!AQ321:BJ321),""))</f>
        <v/>
      </c>
      <c r="AO321" s="503" t="str">
        <f>IF(終値!A321="","",IFERROR(4*STDEVP(終値!AR321:BK321)/AVERAGE(終値!AR321:BK321),""))</f>
        <v/>
      </c>
      <c r="AP321" s="503" t="str">
        <f>IF(終値!A321="","",IFERROR(4*STDEVP(終値!AS321:BL321)/AVERAGE(終値!AS321:BL321),""))</f>
        <v/>
      </c>
    </row>
    <row r="322" spans="1:42">
      <c r="A322" s="500" t="str">
        <f>IF(終値!A322="","",終値!A322)</f>
        <v/>
      </c>
      <c r="B322" s="503" t="str">
        <f>IF(終値!A322="","",IFERROR(4*STDEVP(終値!E322:X322)/AVERAGE(終値!E322:X322),""))</f>
        <v/>
      </c>
      <c r="C322" s="503" t="str">
        <f>IF(終値!A322="","",IFERROR(4*STDEVP(終値!F322:Y322)/AVERAGE(終値!F322:Y322),""))</f>
        <v/>
      </c>
      <c r="D322" s="503" t="str">
        <f>IF(終値!A322="","",IFERROR(4*STDEVP(終値!G322:Z322)/AVERAGE(終値!G322:Z322),""))</f>
        <v/>
      </c>
      <c r="E322" s="503" t="str">
        <f>IF(終値!A322="","",IFERROR(4*STDEVP(終値!H322:AA322)/AVERAGE(終値!H322:AA322),""))</f>
        <v/>
      </c>
      <c r="F322" s="503" t="str">
        <f>IF(終値!A322="","",IFERROR(4*STDEVP(終値!I322:AB322)/AVERAGE(終値!I322:AB322),""))</f>
        <v/>
      </c>
      <c r="G322" s="503" t="str">
        <f>IF(終値!A322="","",IFERROR(4*STDEVP(終値!J322:AC322)/AVERAGE(終値!J322:AC322),""))</f>
        <v/>
      </c>
      <c r="H322" s="503" t="str">
        <f>IF(終値!A322="","",IFERROR(4*STDEVP(終値!K322:AD322)/AVERAGE(終値!K322:AD322),""))</f>
        <v/>
      </c>
      <c r="I322" s="503" t="str">
        <f>IF(終値!A322="","",IFERROR(4*STDEVP(終値!L322:AE322)/AVERAGE(終値!L322:AE322),""))</f>
        <v/>
      </c>
      <c r="J322" s="503" t="str">
        <f>IF(終値!A322="","",IFERROR(4*STDEVP(終値!M322:AF322)/AVERAGE(終値!M322:AF322),""))</f>
        <v/>
      </c>
      <c r="K322" s="503" t="str">
        <f>IF(終値!A322="","",IFERROR(4*STDEVP(終値!N322:AG322)/AVERAGE(終値!N322:AG322),""))</f>
        <v/>
      </c>
      <c r="L322" s="503" t="str">
        <f>IF(終値!A322="","",IFERROR(4*STDEVP(終値!O322:AH322)/AVERAGE(終値!O322:AH322),""))</f>
        <v/>
      </c>
      <c r="M322" s="503" t="str">
        <f>IF(終値!A322="","",IFERROR(4*STDEVP(終値!P322:AI322)/AVERAGE(終値!P322:AI322),""))</f>
        <v/>
      </c>
      <c r="N322" s="503" t="str">
        <f>IF(終値!A322="","",IFERROR(4*STDEVP(終値!Q322:AJ322)/AVERAGE(終値!Q322:AJ322),""))</f>
        <v/>
      </c>
      <c r="O322" s="503" t="str">
        <f>IF(終値!A322="","",IFERROR(4*STDEVP(終値!R322:AK322)/AVERAGE(終値!R322:AK322),""))</f>
        <v/>
      </c>
      <c r="P322" s="503" t="str">
        <f>IF(終値!A322="","",IFERROR(4*STDEVP(終値!S322:AL322)/AVERAGE(終値!S322:AL322),""))</f>
        <v/>
      </c>
      <c r="Q322" s="503" t="str">
        <f>IF(終値!A322="","",IFERROR(4*STDEVP(終値!T322:AM322)/AVERAGE(終値!T322:AM322),""))</f>
        <v/>
      </c>
      <c r="R322" s="503" t="str">
        <f>IF(終値!A322="","",IFERROR(4*STDEVP(終値!U322:AN322)/AVERAGE(終値!U322:AN322),""))</f>
        <v/>
      </c>
      <c r="S322" s="503" t="str">
        <f>IF(終値!A322="","",IFERROR(4*STDEVP(終値!V322:AO322)/AVERAGE(終値!V322:AO322),""))</f>
        <v/>
      </c>
      <c r="T322" s="503" t="str">
        <f>IF(終値!A322="","",IFERROR(4*STDEVP(終値!W322:AP322)/AVERAGE(終値!W322:AP322),""))</f>
        <v/>
      </c>
      <c r="U322" s="503" t="str">
        <f>IF(終値!A322="","",IFERROR(4*STDEVP(終値!X322:AQ322)/AVERAGE(終値!X322:AQ322),""))</f>
        <v/>
      </c>
      <c r="V322" s="503" t="str">
        <f>IF(終値!A322="","",IFERROR(4*STDEVP(終値!Y322:AR322)/AVERAGE(終値!Y322:AR322),""))</f>
        <v/>
      </c>
      <c r="W322" s="503" t="str">
        <f>IF(終値!A322="","",IFERROR(4*STDEVP(終値!Z322:AS322)/AVERAGE(終値!Z322:AS322),""))</f>
        <v/>
      </c>
      <c r="X322" s="503" t="str">
        <f>IF(終値!A322="","",IFERROR(4*STDEVP(終値!AA322:AT322)/AVERAGE(終値!AA322:AT322),""))</f>
        <v/>
      </c>
      <c r="Y322" s="503" t="str">
        <f>IF(終値!A322="","",IFERROR(4*STDEVP(終値!AB322:AU322)/AVERAGE(終値!AB322:AU322),""))</f>
        <v/>
      </c>
      <c r="Z322" s="503" t="str">
        <f>IF(終値!A322="","",IFERROR(4*STDEVP(終値!AC322:AV322)/AVERAGE(終値!AC322:AV322),""))</f>
        <v/>
      </c>
      <c r="AA322" s="503" t="str">
        <f>IF(終値!A322="","",IFERROR(4*STDEVP(終値!AD322:AW322)/AVERAGE(終値!AD322:AW322),""))</f>
        <v/>
      </c>
      <c r="AB322" s="503" t="str">
        <f>IF(終値!A322="","",IFERROR(4*STDEVP(終値!AE322:AX322)/AVERAGE(終値!AE322:AX322),""))</f>
        <v/>
      </c>
      <c r="AC322" s="503" t="str">
        <f>IF(終値!A322="","",IFERROR(4*STDEVP(終値!AF322:AY322)/AVERAGE(終値!AF322:AY322),""))</f>
        <v/>
      </c>
      <c r="AD322" s="503" t="str">
        <f>IF(終値!A322="","",IFERROR(4*STDEVP(終値!AG322:AZ322)/AVERAGE(終値!AG322:AZ322),""))</f>
        <v/>
      </c>
      <c r="AE322" s="503" t="str">
        <f>IF(終値!A322="","",IFERROR(4*STDEVP(終値!AH322:BA322)/AVERAGE(終値!AH322:BA322),""))</f>
        <v/>
      </c>
      <c r="AF322" s="503" t="str">
        <f>IF(終値!A322="","",IFERROR(4*STDEVP(終値!AI322:BB322)/AVERAGE(終値!AI322:BB322),""))</f>
        <v/>
      </c>
      <c r="AG322" s="503" t="str">
        <f>IF(終値!A322="","",IFERROR(4*STDEVP(終値!AJ322:BC322)/AVERAGE(終値!AJ322:BC322),""))</f>
        <v/>
      </c>
      <c r="AH322" s="503" t="str">
        <f>IF(終値!A322="","",IFERROR(4*STDEVP(終値!AK322:BD322)/AVERAGE(終値!AK322:BD322),""))</f>
        <v/>
      </c>
      <c r="AI322" s="503" t="str">
        <f>IF(終値!A322="","",IFERROR(4*STDEVP(終値!AL322:BE322)/AVERAGE(終値!AL322:BE322),""))</f>
        <v/>
      </c>
      <c r="AJ322" s="503" t="str">
        <f>IF(終値!A322="","",IFERROR(4*STDEVP(終値!AM322:BF322)/AVERAGE(終値!AM322:BF322),""))</f>
        <v/>
      </c>
      <c r="AK322" s="503" t="str">
        <f>IF(終値!A322="","",IFERROR(4*STDEVP(終値!AN322:BG322)/AVERAGE(終値!AN322:BG322),""))</f>
        <v/>
      </c>
      <c r="AL322" s="503" t="str">
        <f>IF(終値!A322="","",IFERROR(4*STDEVP(終値!AO322:BH322)/AVERAGE(終値!AO322:BH322),""))</f>
        <v/>
      </c>
      <c r="AM322" s="503" t="str">
        <f>IF(終値!A322="","",IFERROR(4*STDEVP(終値!AP322:BI322)/AVERAGE(終値!AP322:BI322),""))</f>
        <v/>
      </c>
      <c r="AN322" s="503" t="str">
        <f>IF(終値!A322="","",IFERROR(4*STDEVP(終値!AQ322:BJ322)/AVERAGE(終値!AQ322:BJ322),""))</f>
        <v/>
      </c>
      <c r="AO322" s="503" t="str">
        <f>IF(終値!A322="","",IFERROR(4*STDEVP(終値!AR322:BK322)/AVERAGE(終値!AR322:BK322),""))</f>
        <v/>
      </c>
      <c r="AP322" s="503" t="str">
        <f>IF(終値!A322="","",IFERROR(4*STDEVP(終値!AS322:BL322)/AVERAGE(終値!AS322:BL322),""))</f>
        <v/>
      </c>
    </row>
    <row r="323" spans="1:42">
      <c r="A323" s="500" t="str">
        <f>IF(終値!A323="","",終値!A323)</f>
        <v/>
      </c>
      <c r="B323" s="503" t="str">
        <f>IF(終値!A323="","",IFERROR(4*STDEVP(終値!E323:X323)/AVERAGE(終値!E323:X323),""))</f>
        <v/>
      </c>
      <c r="C323" s="503" t="str">
        <f>IF(終値!A323="","",IFERROR(4*STDEVP(終値!F323:Y323)/AVERAGE(終値!F323:Y323),""))</f>
        <v/>
      </c>
      <c r="D323" s="503" t="str">
        <f>IF(終値!A323="","",IFERROR(4*STDEVP(終値!G323:Z323)/AVERAGE(終値!G323:Z323),""))</f>
        <v/>
      </c>
      <c r="E323" s="503" t="str">
        <f>IF(終値!A323="","",IFERROR(4*STDEVP(終値!H323:AA323)/AVERAGE(終値!H323:AA323),""))</f>
        <v/>
      </c>
      <c r="F323" s="503" t="str">
        <f>IF(終値!A323="","",IFERROR(4*STDEVP(終値!I323:AB323)/AVERAGE(終値!I323:AB323),""))</f>
        <v/>
      </c>
      <c r="G323" s="503" t="str">
        <f>IF(終値!A323="","",IFERROR(4*STDEVP(終値!J323:AC323)/AVERAGE(終値!J323:AC323),""))</f>
        <v/>
      </c>
      <c r="H323" s="503" t="str">
        <f>IF(終値!A323="","",IFERROR(4*STDEVP(終値!K323:AD323)/AVERAGE(終値!K323:AD323),""))</f>
        <v/>
      </c>
      <c r="I323" s="503" t="str">
        <f>IF(終値!A323="","",IFERROR(4*STDEVP(終値!L323:AE323)/AVERAGE(終値!L323:AE323),""))</f>
        <v/>
      </c>
      <c r="J323" s="503" t="str">
        <f>IF(終値!A323="","",IFERROR(4*STDEVP(終値!M323:AF323)/AVERAGE(終値!M323:AF323),""))</f>
        <v/>
      </c>
      <c r="K323" s="503" t="str">
        <f>IF(終値!A323="","",IFERROR(4*STDEVP(終値!N323:AG323)/AVERAGE(終値!N323:AG323),""))</f>
        <v/>
      </c>
      <c r="L323" s="503" t="str">
        <f>IF(終値!A323="","",IFERROR(4*STDEVP(終値!O323:AH323)/AVERAGE(終値!O323:AH323),""))</f>
        <v/>
      </c>
      <c r="M323" s="503" t="str">
        <f>IF(終値!A323="","",IFERROR(4*STDEVP(終値!P323:AI323)/AVERAGE(終値!P323:AI323),""))</f>
        <v/>
      </c>
      <c r="N323" s="503" t="str">
        <f>IF(終値!A323="","",IFERROR(4*STDEVP(終値!Q323:AJ323)/AVERAGE(終値!Q323:AJ323),""))</f>
        <v/>
      </c>
      <c r="O323" s="503" t="str">
        <f>IF(終値!A323="","",IFERROR(4*STDEVP(終値!R323:AK323)/AVERAGE(終値!R323:AK323),""))</f>
        <v/>
      </c>
      <c r="P323" s="503" t="str">
        <f>IF(終値!A323="","",IFERROR(4*STDEVP(終値!S323:AL323)/AVERAGE(終値!S323:AL323),""))</f>
        <v/>
      </c>
      <c r="Q323" s="503" t="str">
        <f>IF(終値!A323="","",IFERROR(4*STDEVP(終値!T323:AM323)/AVERAGE(終値!T323:AM323),""))</f>
        <v/>
      </c>
      <c r="R323" s="503" t="str">
        <f>IF(終値!A323="","",IFERROR(4*STDEVP(終値!U323:AN323)/AVERAGE(終値!U323:AN323),""))</f>
        <v/>
      </c>
      <c r="S323" s="503" t="str">
        <f>IF(終値!A323="","",IFERROR(4*STDEVP(終値!V323:AO323)/AVERAGE(終値!V323:AO323),""))</f>
        <v/>
      </c>
      <c r="T323" s="503" t="str">
        <f>IF(終値!A323="","",IFERROR(4*STDEVP(終値!W323:AP323)/AVERAGE(終値!W323:AP323),""))</f>
        <v/>
      </c>
      <c r="U323" s="503" t="str">
        <f>IF(終値!A323="","",IFERROR(4*STDEVP(終値!X323:AQ323)/AVERAGE(終値!X323:AQ323),""))</f>
        <v/>
      </c>
      <c r="V323" s="503" t="str">
        <f>IF(終値!A323="","",IFERROR(4*STDEVP(終値!Y323:AR323)/AVERAGE(終値!Y323:AR323),""))</f>
        <v/>
      </c>
      <c r="W323" s="503" t="str">
        <f>IF(終値!A323="","",IFERROR(4*STDEVP(終値!Z323:AS323)/AVERAGE(終値!Z323:AS323),""))</f>
        <v/>
      </c>
      <c r="X323" s="503" t="str">
        <f>IF(終値!A323="","",IFERROR(4*STDEVP(終値!AA323:AT323)/AVERAGE(終値!AA323:AT323),""))</f>
        <v/>
      </c>
      <c r="Y323" s="503" t="str">
        <f>IF(終値!A323="","",IFERROR(4*STDEVP(終値!AB323:AU323)/AVERAGE(終値!AB323:AU323),""))</f>
        <v/>
      </c>
      <c r="Z323" s="503" t="str">
        <f>IF(終値!A323="","",IFERROR(4*STDEVP(終値!AC323:AV323)/AVERAGE(終値!AC323:AV323),""))</f>
        <v/>
      </c>
      <c r="AA323" s="503" t="str">
        <f>IF(終値!A323="","",IFERROR(4*STDEVP(終値!AD323:AW323)/AVERAGE(終値!AD323:AW323),""))</f>
        <v/>
      </c>
      <c r="AB323" s="503" t="str">
        <f>IF(終値!A323="","",IFERROR(4*STDEVP(終値!AE323:AX323)/AVERAGE(終値!AE323:AX323),""))</f>
        <v/>
      </c>
      <c r="AC323" s="503" t="str">
        <f>IF(終値!A323="","",IFERROR(4*STDEVP(終値!AF323:AY323)/AVERAGE(終値!AF323:AY323),""))</f>
        <v/>
      </c>
      <c r="AD323" s="503" t="str">
        <f>IF(終値!A323="","",IFERROR(4*STDEVP(終値!AG323:AZ323)/AVERAGE(終値!AG323:AZ323),""))</f>
        <v/>
      </c>
      <c r="AE323" s="503" t="str">
        <f>IF(終値!A323="","",IFERROR(4*STDEVP(終値!AH323:BA323)/AVERAGE(終値!AH323:BA323),""))</f>
        <v/>
      </c>
      <c r="AF323" s="503" t="str">
        <f>IF(終値!A323="","",IFERROR(4*STDEVP(終値!AI323:BB323)/AVERAGE(終値!AI323:BB323),""))</f>
        <v/>
      </c>
      <c r="AG323" s="503" t="str">
        <f>IF(終値!A323="","",IFERROR(4*STDEVP(終値!AJ323:BC323)/AVERAGE(終値!AJ323:BC323),""))</f>
        <v/>
      </c>
      <c r="AH323" s="503" t="str">
        <f>IF(終値!A323="","",IFERROR(4*STDEVP(終値!AK323:BD323)/AVERAGE(終値!AK323:BD323),""))</f>
        <v/>
      </c>
      <c r="AI323" s="503" t="str">
        <f>IF(終値!A323="","",IFERROR(4*STDEVP(終値!AL323:BE323)/AVERAGE(終値!AL323:BE323),""))</f>
        <v/>
      </c>
      <c r="AJ323" s="503" t="str">
        <f>IF(終値!A323="","",IFERROR(4*STDEVP(終値!AM323:BF323)/AVERAGE(終値!AM323:BF323),""))</f>
        <v/>
      </c>
      <c r="AK323" s="503" t="str">
        <f>IF(終値!A323="","",IFERROR(4*STDEVP(終値!AN323:BG323)/AVERAGE(終値!AN323:BG323),""))</f>
        <v/>
      </c>
      <c r="AL323" s="503" t="str">
        <f>IF(終値!A323="","",IFERROR(4*STDEVP(終値!AO323:BH323)/AVERAGE(終値!AO323:BH323),""))</f>
        <v/>
      </c>
      <c r="AM323" s="503" t="str">
        <f>IF(終値!A323="","",IFERROR(4*STDEVP(終値!AP323:BI323)/AVERAGE(終値!AP323:BI323),""))</f>
        <v/>
      </c>
      <c r="AN323" s="503" t="str">
        <f>IF(終値!A323="","",IFERROR(4*STDEVP(終値!AQ323:BJ323)/AVERAGE(終値!AQ323:BJ323),""))</f>
        <v/>
      </c>
      <c r="AO323" s="503" t="str">
        <f>IF(終値!A323="","",IFERROR(4*STDEVP(終値!AR323:BK323)/AVERAGE(終値!AR323:BK323),""))</f>
        <v/>
      </c>
      <c r="AP323" s="503" t="str">
        <f>IF(終値!A323="","",IFERROR(4*STDEVP(終値!AS323:BL323)/AVERAGE(終値!AS323:BL323),""))</f>
        <v/>
      </c>
    </row>
    <row r="324" spans="1:42">
      <c r="A324" s="500" t="str">
        <f>IF(終値!A324="","",終値!A324)</f>
        <v/>
      </c>
      <c r="B324" s="503" t="str">
        <f>IF(終値!A324="","",IFERROR(4*STDEVP(終値!E324:X324)/AVERAGE(終値!E324:X324),""))</f>
        <v/>
      </c>
      <c r="C324" s="503" t="str">
        <f>IF(終値!A324="","",IFERROR(4*STDEVP(終値!F324:Y324)/AVERAGE(終値!F324:Y324),""))</f>
        <v/>
      </c>
      <c r="D324" s="503" t="str">
        <f>IF(終値!A324="","",IFERROR(4*STDEVP(終値!G324:Z324)/AVERAGE(終値!G324:Z324),""))</f>
        <v/>
      </c>
      <c r="E324" s="503" t="str">
        <f>IF(終値!A324="","",IFERROR(4*STDEVP(終値!H324:AA324)/AVERAGE(終値!H324:AA324),""))</f>
        <v/>
      </c>
      <c r="F324" s="503" t="str">
        <f>IF(終値!A324="","",IFERROR(4*STDEVP(終値!I324:AB324)/AVERAGE(終値!I324:AB324),""))</f>
        <v/>
      </c>
      <c r="G324" s="503" t="str">
        <f>IF(終値!A324="","",IFERROR(4*STDEVP(終値!J324:AC324)/AVERAGE(終値!J324:AC324),""))</f>
        <v/>
      </c>
      <c r="H324" s="503" t="str">
        <f>IF(終値!A324="","",IFERROR(4*STDEVP(終値!K324:AD324)/AVERAGE(終値!K324:AD324),""))</f>
        <v/>
      </c>
      <c r="I324" s="503" t="str">
        <f>IF(終値!A324="","",IFERROR(4*STDEVP(終値!L324:AE324)/AVERAGE(終値!L324:AE324),""))</f>
        <v/>
      </c>
      <c r="J324" s="503" t="str">
        <f>IF(終値!A324="","",IFERROR(4*STDEVP(終値!M324:AF324)/AVERAGE(終値!M324:AF324),""))</f>
        <v/>
      </c>
      <c r="K324" s="503" t="str">
        <f>IF(終値!A324="","",IFERROR(4*STDEVP(終値!N324:AG324)/AVERAGE(終値!N324:AG324),""))</f>
        <v/>
      </c>
      <c r="L324" s="503" t="str">
        <f>IF(終値!A324="","",IFERROR(4*STDEVP(終値!O324:AH324)/AVERAGE(終値!O324:AH324),""))</f>
        <v/>
      </c>
      <c r="M324" s="503" t="str">
        <f>IF(終値!A324="","",IFERROR(4*STDEVP(終値!P324:AI324)/AVERAGE(終値!P324:AI324),""))</f>
        <v/>
      </c>
      <c r="N324" s="503" t="str">
        <f>IF(終値!A324="","",IFERROR(4*STDEVP(終値!Q324:AJ324)/AVERAGE(終値!Q324:AJ324),""))</f>
        <v/>
      </c>
      <c r="O324" s="503" t="str">
        <f>IF(終値!A324="","",IFERROR(4*STDEVP(終値!R324:AK324)/AVERAGE(終値!R324:AK324),""))</f>
        <v/>
      </c>
      <c r="P324" s="503" t="str">
        <f>IF(終値!A324="","",IFERROR(4*STDEVP(終値!S324:AL324)/AVERAGE(終値!S324:AL324),""))</f>
        <v/>
      </c>
      <c r="Q324" s="503" t="str">
        <f>IF(終値!A324="","",IFERROR(4*STDEVP(終値!T324:AM324)/AVERAGE(終値!T324:AM324),""))</f>
        <v/>
      </c>
      <c r="R324" s="503" t="str">
        <f>IF(終値!A324="","",IFERROR(4*STDEVP(終値!U324:AN324)/AVERAGE(終値!U324:AN324),""))</f>
        <v/>
      </c>
      <c r="S324" s="503" t="str">
        <f>IF(終値!A324="","",IFERROR(4*STDEVP(終値!V324:AO324)/AVERAGE(終値!V324:AO324),""))</f>
        <v/>
      </c>
      <c r="T324" s="503" t="str">
        <f>IF(終値!A324="","",IFERROR(4*STDEVP(終値!W324:AP324)/AVERAGE(終値!W324:AP324),""))</f>
        <v/>
      </c>
      <c r="U324" s="503" t="str">
        <f>IF(終値!A324="","",IFERROR(4*STDEVP(終値!X324:AQ324)/AVERAGE(終値!X324:AQ324),""))</f>
        <v/>
      </c>
      <c r="V324" s="503" t="str">
        <f>IF(終値!A324="","",IFERROR(4*STDEVP(終値!Y324:AR324)/AVERAGE(終値!Y324:AR324),""))</f>
        <v/>
      </c>
      <c r="W324" s="503" t="str">
        <f>IF(終値!A324="","",IFERROR(4*STDEVP(終値!Z324:AS324)/AVERAGE(終値!Z324:AS324),""))</f>
        <v/>
      </c>
      <c r="X324" s="503" t="str">
        <f>IF(終値!A324="","",IFERROR(4*STDEVP(終値!AA324:AT324)/AVERAGE(終値!AA324:AT324),""))</f>
        <v/>
      </c>
      <c r="Y324" s="503" t="str">
        <f>IF(終値!A324="","",IFERROR(4*STDEVP(終値!AB324:AU324)/AVERAGE(終値!AB324:AU324),""))</f>
        <v/>
      </c>
      <c r="Z324" s="503" t="str">
        <f>IF(終値!A324="","",IFERROR(4*STDEVP(終値!AC324:AV324)/AVERAGE(終値!AC324:AV324),""))</f>
        <v/>
      </c>
      <c r="AA324" s="503" t="str">
        <f>IF(終値!A324="","",IFERROR(4*STDEVP(終値!AD324:AW324)/AVERAGE(終値!AD324:AW324),""))</f>
        <v/>
      </c>
      <c r="AB324" s="503" t="str">
        <f>IF(終値!A324="","",IFERROR(4*STDEVP(終値!AE324:AX324)/AVERAGE(終値!AE324:AX324),""))</f>
        <v/>
      </c>
      <c r="AC324" s="503" t="str">
        <f>IF(終値!A324="","",IFERROR(4*STDEVP(終値!AF324:AY324)/AVERAGE(終値!AF324:AY324),""))</f>
        <v/>
      </c>
      <c r="AD324" s="503" t="str">
        <f>IF(終値!A324="","",IFERROR(4*STDEVP(終値!AG324:AZ324)/AVERAGE(終値!AG324:AZ324),""))</f>
        <v/>
      </c>
      <c r="AE324" s="503" t="str">
        <f>IF(終値!A324="","",IFERROR(4*STDEVP(終値!AH324:BA324)/AVERAGE(終値!AH324:BA324),""))</f>
        <v/>
      </c>
      <c r="AF324" s="503" t="str">
        <f>IF(終値!A324="","",IFERROR(4*STDEVP(終値!AI324:BB324)/AVERAGE(終値!AI324:BB324),""))</f>
        <v/>
      </c>
      <c r="AG324" s="503" t="str">
        <f>IF(終値!A324="","",IFERROR(4*STDEVP(終値!AJ324:BC324)/AVERAGE(終値!AJ324:BC324),""))</f>
        <v/>
      </c>
      <c r="AH324" s="503" t="str">
        <f>IF(終値!A324="","",IFERROR(4*STDEVP(終値!AK324:BD324)/AVERAGE(終値!AK324:BD324),""))</f>
        <v/>
      </c>
      <c r="AI324" s="503" t="str">
        <f>IF(終値!A324="","",IFERROR(4*STDEVP(終値!AL324:BE324)/AVERAGE(終値!AL324:BE324),""))</f>
        <v/>
      </c>
      <c r="AJ324" s="503" t="str">
        <f>IF(終値!A324="","",IFERROR(4*STDEVP(終値!AM324:BF324)/AVERAGE(終値!AM324:BF324),""))</f>
        <v/>
      </c>
      <c r="AK324" s="503" t="str">
        <f>IF(終値!A324="","",IFERROR(4*STDEVP(終値!AN324:BG324)/AVERAGE(終値!AN324:BG324),""))</f>
        <v/>
      </c>
      <c r="AL324" s="503" t="str">
        <f>IF(終値!A324="","",IFERROR(4*STDEVP(終値!AO324:BH324)/AVERAGE(終値!AO324:BH324),""))</f>
        <v/>
      </c>
      <c r="AM324" s="503" t="str">
        <f>IF(終値!A324="","",IFERROR(4*STDEVP(終値!AP324:BI324)/AVERAGE(終値!AP324:BI324),""))</f>
        <v/>
      </c>
      <c r="AN324" s="503" t="str">
        <f>IF(終値!A324="","",IFERROR(4*STDEVP(終値!AQ324:BJ324)/AVERAGE(終値!AQ324:BJ324),""))</f>
        <v/>
      </c>
      <c r="AO324" s="503" t="str">
        <f>IF(終値!A324="","",IFERROR(4*STDEVP(終値!AR324:BK324)/AVERAGE(終値!AR324:BK324),""))</f>
        <v/>
      </c>
      <c r="AP324" s="503" t="str">
        <f>IF(終値!A324="","",IFERROR(4*STDEVP(終値!AS324:BL324)/AVERAGE(終値!AS324:BL324),""))</f>
        <v/>
      </c>
    </row>
    <row r="325" spans="1:42">
      <c r="A325" s="500" t="str">
        <f>IF(終値!A325="","",終値!A325)</f>
        <v/>
      </c>
      <c r="B325" s="503" t="str">
        <f>IF(終値!A325="","",IFERROR(4*STDEVP(終値!E325:X325)/AVERAGE(終値!E325:X325),""))</f>
        <v/>
      </c>
      <c r="C325" s="503" t="str">
        <f>IF(終値!A325="","",IFERROR(4*STDEVP(終値!F325:Y325)/AVERAGE(終値!F325:Y325),""))</f>
        <v/>
      </c>
      <c r="D325" s="503" t="str">
        <f>IF(終値!A325="","",IFERROR(4*STDEVP(終値!G325:Z325)/AVERAGE(終値!G325:Z325),""))</f>
        <v/>
      </c>
      <c r="E325" s="503" t="str">
        <f>IF(終値!A325="","",IFERROR(4*STDEVP(終値!H325:AA325)/AVERAGE(終値!H325:AA325),""))</f>
        <v/>
      </c>
      <c r="F325" s="503" t="str">
        <f>IF(終値!A325="","",IFERROR(4*STDEVP(終値!I325:AB325)/AVERAGE(終値!I325:AB325),""))</f>
        <v/>
      </c>
      <c r="G325" s="503" t="str">
        <f>IF(終値!A325="","",IFERROR(4*STDEVP(終値!J325:AC325)/AVERAGE(終値!J325:AC325),""))</f>
        <v/>
      </c>
      <c r="H325" s="503" t="str">
        <f>IF(終値!A325="","",IFERROR(4*STDEVP(終値!K325:AD325)/AVERAGE(終値!K325:AD325),""))</f>
        <v/>
      </c>
      <c r="I325" s="503" t="str">
        <f>IF(終値!A325="","",IFERROR(4*STDEVP(終値!L325:AE325)/AVERAGE(終値!L325:AE325),""))</f>
        <v/>
      </c>
      <c r="J325" s="503" t="str">
        <f>IF(終値!A325="","",IFERROR(4*STDEVP(終値!M325:AF325)/AVERAGE(終値!M325:AF325),""))</f>
        <v/>
      </c>
      <c r="K325" s="503" t="str">
        <f>IF(終値!A325="","",IFERROR(4*STDEVP(終値!N325:AG325)/AVERAGE(終値!N325:AG325),""))</f>
        <v/>
      </c>
      <c r="L325" s="503" t="str">
        <f>IF(終値!A325="","",IFERROR(4*STDEVP(終値!O325:AH325)/AVERAGE(終値!O325:AH325),""))</f>
        <v/>
      </c>
      <c r="M325" s="503" t="str">
        <f>IF(終値!A325="","",IFERROR(4*STDEVP(終値!P325:AI325)/AVERAGE(終値!P325:AI325),""))</f>
        <v/>
      </c>
      <c r="N325" s="503" t="str">
        <f>IF(終値!A325="","",IFERROR(4*STDEVP(終値!Q325:AJ325)/AVERAGE(終値!Q325:AJ325),""))</f>
        <v/>
      </c>
      <c r="O325" s="503" t="str">
        <f>IF(終値!A325="","",IFERROR(4*STDEVP(終値!R325:AK325)/AVERAGE(終値!R325:AK325),""))</f>
        <v/>
      </c>
      <c r="P325" s="503" t="str">
        <f>IF(終値!A325="","",IFERROR(4*STDEVP(終値!S325:AL325)/AVERAGE(終値!S325:AL325),""))</f>
        <v/>
      </c>
      <c r="Q325" s="503" t="str">
        <f>IF(終値!A325="","",IFERROR(4*STDEVP(終値!T325:AM325)/AVERAGE(終値!T325:AM325),""))</f>
        <v/>
      </c>
      <c r="R325" s="503" t="str">
        <f>IF(終値!A325="","",IFERROR(4*STDEVP(終値!U325:AN325)/AVERAGE(終値!U325:AN325),""))</f>
        <v/>
      </c>
      <c r="S325" s="503" t="str">
        <f>IF(終値!A325="","",IFERROR(4*STDEVP(終値!V325:AO325)/AVERAGE(終値!V325:AO325),""))</f>
        <v/>
      </c>
      <c r="T325" s="503" t="str">
        <f>IF(終値!A325="","",IFERROR(4*STDEVP(終値!W325:AP325)/AVERAGE(終値!W325:AP325),""))</f>
        <v/>
      </c>
      <c r="U325" s="503" t="str">
        <f>IF(終値!A325="","",IFERROR(4*STDEVP(終値!X325:AQ325)/AVERAGE(終値!X325:AQ325),""))</f>
        <v/>
      </c>
      <c r="V325" s="503" t="str">
        <f>IF(終値!A325="","",IFERROR(4*STDEVP(終値!Y325:AR325)/AVERAGE(終値!Y325:AR325),""))</f>
        <v/>
      </c>
      <c r="W325" s="503" t="str">
        <f>IF(終値!A325="","",IFERROR(4*STDEVP(終値!Z325:AS325)/AVERAGE(終値!Z325:AS325),""))</f>
        <v/>
      </c>
      <c r="X325" s="503" t="str">
        <f>IF(終値!A325="","",IFERROR(4*STDEVP(終値!AA325:AT325)/AVERAGE(終値!AA325:AT325),""))</f>
        <v/>
      </c>
      <c r="Y325" s="503" t="str">
        <f>IF(終値!A325="","",IFERROR(4*STDEVP(終値!AB325:AU325)/AVERAGE(終値!AB325:AU325),""))</f>
        <v/>
      </c>
      <c r="Z325" s="503" t="str">
        <f>IF(終値!A325="","",IFERROR(4*STDEVP(終値!AC325:AV325)/AVERAGE(終値!AC325:AV325),""))</f>
        <v/>
      </c>
      <c r="AA325" s="503" t="str">
        <f>IF(終値!A325="","",IFERROR(4*STDEVP(終値!AD325:AW325)/AVERAGE(終値!AD325:AW325),""))</f>
        <v/>
      </c>
      <c r="AB325" s="503" t="str">
        <f>IF(終値!A325="","",IFERROR(4*STDEVP(終値!AE325:AX325)/AVERAGE(終値!AE325:AX325),""))</f>
        <v/>
      </c>
      <c r="AC325" s="503" t="str">
        <f>IF(終値!A325="","",IFERROR(4*STDEVP(終値!AF325:AY325)/AVERAGE(終値!AF325:AY325),""))</f>
        <v/>
      </c>
      <c r="AD325" s="503" t="str">
        <f>IF(終値!A325="","",IFERROR(4*STDEVP(終値!AG325:AZ325)/AVERAGE(終値!AG325:AZ325),""))</f>
        <v/>
      </c>
      <c r="AE325" s="503" t="str">
        <f>IF(終値!A325="","",IFERROR(4*STDEVP(終値!AH325:BA325)/AVERAGE(終値!AH325:BA325),""))</f>
        <v/>
      </c>
      <c r="AF325" s="503" t="str">
        <f>IF(終値!A325="","",IFERROR(4*STDEVP(終値!AI325:BB325)/AVERAGE(終値!AI325:BB325),""))</f>
        <v/>
      </c>
      <c r="AG325" s="503" t="str">
        <f>IF(終値!A325="","",IFERROR(4*STDEVP(終値!AJ325:BC325)/AVERAGE(終値!AJ325:BC325),""))</f>
        <v/>
      </c>
      <c r="AH325" s="503" t="str">
        <f>IF(終値!A325="","",IFERROR(4*STDEVP(終値!AK325:BD325)/AVERAGE(終値!AK325:BD325),""))</f>
        <v/>
      </c>
      <c r="AI325" s="503" t="str">
        <f>IF(終値!A325="","",IFERROR(4*STDEVP(終値!AL325:BE325)/AVERAGE(終値!AL325:BE325),""))</f>
        <v/>
      </c>
      <c r="AJ325" s="503" t="str">
        <f>IF(終値!A325="","",IFERROR(4*STDEVP(終値!AM325:BF325)/AVERAGE(終値!AM325:BF325),""))</f>
        <v/>
      </c>
      <c r="AK325" s="503" t="str">
        <f>IF(終値!A325="","",IFERROR(4*STDEVP(終値!AN325:BG325)/AVERAGE(終値!AN325:BG325),""))</f>
        <v/>
      </c>
      <c r="AL325" s="503" t="str">
        <f>IF(終値!A325="","",IFERROR(4*STDEVP(終値!AO325:BH325)/AVERAGE(終値!AO325:BH325),""))</f>
        <v/>
      </c>
      <c r="AM325" s="503" t="str">
        <f>IF(終値!A325="","",IFERROR(4*STDEVP(終値!AP325:BI325)/AVERAGE(終値!AP325:BI325),""))</f>
        <v/>
      </c>
      <c r="AN325" s="503" t="str">
        <f>IF(終値!A325="","",IFERROR(4*STDEVP(終値!AQ325:BJ325)/AVERAGE(終値!AQ325:BJ325),""))</f>
        <v/>
      </c>
      <c r="AO325" s="503" t="str">
        <f>IF(終値!A325="","",IFERROR(4*STDEVP(終値!AR325:BK325)/AVERAGE(終値!AR325:BK325),""))</f>
        <v/>
      </c>
      <c r="AP325" s="503" t="str">
        <f>IF(終値!A325="","",IFERROR(4*STDEVP(終値!AS325:BL325)/AVERAGE(終値!AS325:BL325),""))</f>
        <v/>
      </c>
    </row>
    <row r="326" spans="1:42">
      <c r="A326" s="500" t="str">
        <f>IF(終値!A326="","",終値!A326)</f>
        <v/>
      </c>
      <c r="B326" s="503" t="str">
        <f>IF(終値!A326="","",IFERROR(4*STDEVP(終値!E326:X326)/AVERAGE(終値!E326:X326),""))</f>
        <v/>
      </c>
      <c r="C326" s="503" t="str">
        <f>IF(終値!A326="","",IFERROR(4*STDEVP(終値!F326:Y326)/AVERAGE(終値!F326:Y326),""))</f>
        <v/>
      </c>
      <c r="D326" s="503" t="str">
        <f>IF(終値!A326="","",IFERROR(4*STDEVP(終値!G326:Z326)/AVERAGE(終値!G326:Z326),""))</f>
        <v/>
      </c>
      <c r="E326" s="503" t="str">
        <f>IF(終値!A326="","",IFERROR(4*STDEVP(終値!H326:AA326)/AVERAGE(終値!H326:AA326),""))</f>
        <v/>
      </c>
      <c r="F326" s="503" t="str">
        <f>IF(終値!A326="","",IFERROR(4*STDEVP(終値!I326:AB326)/AVERAGE(終値!I326:AB326),""))</f>
        <v/>
      </c>
      <c r="G326" s="503" t="str">
        <f>IF(終値!A326="","",IFERROR(4*STDEVP(終値!J326:AC326)/AVERAGE(終値!J326:AC326),""))</f>
        <v/>
      </c>
      <c r="H326" s="503" t="str">
        <f>IF(終値!A326="","",IFERROR(4*STDEVP(終値!K326:AD326)/AVERAGE(終値!K326:AD326),""))</f>
        <v/>
      </c>
      <c r="I326" s="503" t="str">
        <f>IF(終値!A326="","",IFERROR(4*STDEVP(終値!L326:AE326)/AVERAGE(終値!L326:AE326),""))</f>
        <v/>
      </c>
      <c r="J326" s="503" t="str">
        <f>IF(終値!A326="","",IFERROR(4*STDEVP(終値!M326:AF326)/AVERAGE(終値!M326:AF326),""))</f>
        <v/>
      </c>
      <c r="K326" s="503" t="str">
        <f>IF(終値!A326="","",IFERROR(4*STDEVP(終値!N326:AG326)/AVERAGE(終値!N326:AG326),""))</f>
        <v/>
      </c>
      <c r="L326" s="503" t="str">
        <f>IF(終値!A326="","",IFERROR(4*STDEVP(終値!O326:AH326)/AVERAGE(終値!O326:AH326),""))</f>
        <v/>
      </c>
      <c r="M326" s="503" t="str">
        <f>IF(終値!A326="","",IFERROR(4*STDEVP(終値!P326:AI326)/AVERAGE(終値!P326:AI326),""))</f>
        <v/>
      </c>
      <c r="N326" s="503" t="str">
        <f>IF(終値!A326="","",IFERROR(4*STDEVP(終値!Q326:AJ326)/AVERAGE(終値!Q326:AJ326),""))</f>
        <v/>
      </c>
      <c r="O326" s="503" t="str">
        <f>IF(終値!A326="","",IFERROR(4*STDEVP(終値!R326:AK326)/AVERAGE(終値!R326:AK326),""))</f>
        <v/>
      </c>
      <c r="P326" s="503" t="str">
        <f>IF(終値!A326="","",IFERROR(4*STDEVP(終値!S326:AL326)/AVERAGE(終値!S326:AL326),""))</f>
        <v/>
      </c>
      <c r="Q326" s="503" t="str">
        <f>IF(終値!A326="","",IFERROR(4*STDEVP(終値!T326:AM326)/AVERAGE(終値!T326:AM326),""))</f>
        <v/>
      </c>
      <c r="R326" s="503" t="str">
        <f>IF(終値!A326="","",IFERROR(4*STDEVP(終値!U326:AN326)/AVERAGE(終値!U326:AN326),""))</f>
        <v/>
      </c>
      <c r="S326" s="503" t="str">
        <f>IF(終値!A326="","",IFERROR(4*STDEVP(終値!V326:AO326)/AVERAGE(終値!V326:AO326),""))</f>
        <v/>
      </c>
      <c r="T326" s="503" t="str">
        <f>IF(終値!A326="","",IFERROR(4*STDEVP(終値!W326:AP326)/AVERAGE(終値!W326:AP326),""))</f>
        <v/>
      </c>
      <c r="U326" s="503" t="str">
        <f>IF(終値!A326="","",IFERROR(4*STDEVP(終値!X326:AQ326)/AVERAGE(終値!X326:AQ326),""))</f>
        <v/>
      </c>
      <c r="V326" s="503" t="str">
        <f>IF(終値!A326="","",IFERROR(4*STDEVP(終値!Y326:AR326)/AVERAGE(終値!Y326:AR326),""))</f>
        <v/>
      </c>
      <c r="W326" s="503" t="str">
        <f>IF(終値!A326="","",IFERROR(4*STDEVP(終値!Z326:AS326)/AVERAGE(終値!Z326:AS326),""))</f>
        <v/>
      </c>
      <c r="X326" s="503" t="str">
        <f>IF(終値!A326="","",IFERROR(4*STDEVP(終値!AA326:AT326)/AVERAGE(終値!AA326:AT326),""))</f>
        <v/>
      </c>
      <c r="Y326" s="503" t="str">
        <f>IF(終値!A326="","",IFERROR(4*STDEVP(終値!AB326:AU326)/AVERAGE(終値!AB326:AU326),""))</f>
        <v/>
      </c>
      <c r="Z326" s="503" t="str">
        <f>IF(終値!A326="","",IFERROR(4*STDEVP(終値!AC326:AV326)/AVERAGE(終値!AC326:AV326),""))</f>
        <v/>
      </c>
      <c r="AA326" s="503" t="str">
        <f>IF(終値!A326="","",IFERROR(4*STDEVP(終値!AD326:AW326)/AVERAGE(終値!AD326:AW326),""))</f>
        <v/>
      </c>
      <c r="AB326" s="503" t="str">
        <f>IF(終値!A326="","",IFERROR(4*STDEVP(終値!AE326:AX326)/AVERAGE(終値!AE326:AX326),""))</f>
        <v/>
      </c>
      <c r="AC326" s="503" t="str">
        <f>IF(終値!A326="","",IFERROR(4*STDEVP(終値!AF326:AY326)/AVERAGE(終値!AF326:AY326),""))</f>
        <v/>
      </c>
      <c r="AD326" s="503" t="str">
        <f>IF(終値!A326="","",IFERROR(4*STDEVP(終値!AG326:AZ326)/AVERAGE(終値!AG326:AZ326),""))</f>
        <v/>
      </c>
      <c r="AE326" s="503" t="str">
        <f>IF(終値!A326="","",IFERROR(4*STDEVP(終値!AH326:BA326)/AVERAGE(終値!AH326:BA326),""))</f>
        <v/>
      </c>
      <c r="AF326" s="503" t="str">
        <f>IF(終値!A326="","",IFERROR(4*STDEVP(終値!AI326:BB326)/AVERAGE(終値!AI326:BB326),""))</f>
        <v/>
      </c>
      <c r="AG326" s="503" t="str">
        <f>IF(終値!A326="","",IFERROR(4*STDEVP(終値!AJ326:BC326)/AVERAGE(終値!AJ326:BC326),""))</f>
        <v/>
      </c>
      <c r="AH326" s="503" t="str">
        <f>IF(終値!A326="","",IFERROR(4*STDEVP(終値!AK326:BD326)/AVERAGE(終値!AK326:BD326),""))</f>
        <v/>
      </c>
      <c r="AI326" s="503" t="str">
        <f>IF(終値!A326="","",IFERROR(4*STDEVP(終値!AL326:BE326)/AVERAGE(終値!AL326:BE326),""))</f>
        <v/>
      </c>
      <c r="AJ326" s="503" t="str">
        <f>IF(終値!A326="","",IFERROR(4*STDEVP(終値!AM326:BF326)/AVERAGE(終値!AM326:BF326),""))</f>
        <v/>
      </c>
      <c r="AK326" s="503" t="str">
        <f>IF(終値!A326="","",IFERROR(4*STDEVP(終値!AN326:BG326)/AVERAGE(終値!AN326:BG326),""))</f>
        <v/>
      </c>
      <c r="AL326" s="503" t="str">
        <f>IF(終値!A326="","",IFERROR(4*STDEVP(終値!AO326:BH326)/AVERAGE(終値!AO326:BH326),""))</f>
        <v/>
      </c>
      <c r="AM326" s="503" t="str">
        <f>IF(終値!A326="","",IFERROR(4*STDEVP(終値!AP326:BI326)/AVERAGE(終値!AP326:BI326),""))</f>
        <v/>
      </c>
      <c r="AN326" s="503" t="str">
        <f>IF(終値!A326="","",IFERROR(4*STDEVP(終値!AQ326:BJ326)/AVERAGE(終値!AQ326:BJ326),""))</f>
        <v/>
      </c>
      <c r="AO326" s="503" t="str">
        <f>IF(終値!A326="","",IFERROR(4*STDEVP(終値!AR326:BK326)/AVERAGE(終値!AR326:BK326),""))</f>
        <v/>
      </c>
      <c r="AP326" s="503" t="str">
        <f>IF(終値!A326="","",IFERROR(4*STDEVP(終値!AS326:BL326)/AVERAGE(終値!AS326:BL326),""))</f>
        <v/>
      </c>
    </row>
    <row r="327" spans="1:42">
      <c r="A327" s="500" t="str">
        <f>IF(終値!A327="","",終値!A327)</f>
        <v/>
      </c>
      <c r="B327" s="503" t="str">
        <f>IF(終値!A327="","",IFERROR(4*STDEVP(終値!E327:X327)/AVERAGE(終値!E327:X327),""))</f>
        <v/>
      </c>
      <c r="C327" s="503" t="str">
        <f>IF(終値!A327="","",IFERROR(4*STDEVP(終値!F327:Y327)/AVERAGE(終値!F327:Y327),""))</f>
        <v/>
      </c>
      <c r="D327" s="503" t="str">
        <f>IF(終値!A327="","",IFERROR(4*STDEVP(終値!G327:Z327)/AVERAGE(終値!G327:Z327),""))</f>
        <v/>
      </c>
      <c r="E327" s="503" t="str">
        <f>IF(終値!A327="","",IFERROR(4*STDEVP(終値!H327:AA327)/AVERAGE(終値!H327:AA327),""))</f>
        <v/>
      </c>
      <c r="F327" s="503" t="str">
        <f>IF(終値!A327="","",IFERROR(4*STDEVP(終値!I327:AB327)/AVERAGE(終値!I327:AB327),""))</f>
        <v/>
      </c>
      <c r="G327" s="503" t="str">
        <f>IF(終値!A327="","",IFERROR(4*STDEVP(終値!J327:AC327)/AVERAGE(終値!J327:AC327),""))</f>
        <v/>
      </c>
      <c r="H327" s="503" t="str">
        <f>IF(終値!A327="","",IFERROR(4*STDEVP(終値!K327:AD327)/AVERAGE(終値!K327:AD327),""))</f>
        <v/>
      </c>
      <c r="I327" s="503" t="str">
        <f>IF(終値!A327="","",IFERROR(4*STDEVP(終値!L327:AE327)/AVERAGE(終値!L327:AE327),""))</f>
        <v/>
      </c>
      <c r="J327" s="503" t="str">
        <f>IF(終値!A327="","",IFERROR(4*STDEVP(終値!M327:AF327)/AVERAGE(終値!M327:AF327),""))</f>
        <v/>
      </c>
      <c r="K327" s="503" t="str">
        <f>IF(終値!A327="","",IFERROR(4*STDEVP(終値!N327:AG327)/AVERAGE(終値!N327:AG327),""))</f>
        <v/>
      </c>
      <c r="L327" s="503" t="str">
        <f>IF(終値!A327="","",IFERROR(4*STDEVP(終値!O327:AH327)/AVERAGE(終値!O327:AH327),""))</f>
        <v/>
      </c>
      <c r="M327" s="503" t="str">
        <f>IF(終値!A327="","",IFERROR(4*STDEVP(終値!P327:AI327)/AVERAGE(終値!P327:AI327),""))</f>
        <v/>
      </c>
      <c r="N327" s="503" t="str">
        <f>IF(終値!A327="","",IFERROR(4*STDEVP(終値!Q327:AJ327)/AVERAGE(終値!Q327:AJ327),""))</f>
        <v/>
      </c>
      <c r="O327" s="503" t="str">
        <f>IF(終値!A327="","",IFERROR(4*STDEVP(終値!R327:AK327)/AVERAGE(終値!R327:AK327),""))</f>
        <v/>
      </c>
      <c r="P327" s="503" t="str">
        <f>IF(終値!A327="","",IFERROR(4*STDEVP(終値!S327:AL327)/AVERAGE(終値!S327:AL327),""))</f>
        <v/>
      </c>
      <c r="Q327" s="503" t="str">
        <f>IF(終値!A327="","",IFERROR(4*STDEVP(終値!T327:AM327)/AVERAGE(終値!T327:AM327),""))</f>
        <v/>
      </c>
      <c r="R327" s="503" t="str">
        <f>IF(終値!A327="","",IFERROR(4*STDEVP(終値!U327:AN327)/AVERAGE(終値!U327:AN327),""))</f>
        <v/>
      </c>
      <c r="S327" s="503" t="str">
        <f>IF(終値!A327="","",IFERROR(4*STDEVP(終値!V327:AO327)/AVERAGE(終値!V327:AO327),""))</f>
        <v/>
      </c>
      <c r="T327" s="503" t="str">
        <f>IF(終値!A327="","",IFERROR(4*STDEVP(終値!W327:AP327)/AVERAGE(終値!W327:AP327),""))</f>
        <v/>
      </c>
      <c r="U327" s="503" t="str">
        <f>IF(終値!A327="","",IFERROR(4*STDEVP(終値!X327:AQ327)/AVERAGE(終値!X327:AQ327),""))</f>
        <v/>
      </c>
      <c r="V327" s="503" t="str">
        <f>IF(終値!A327="","",IFERROR(4*STDEVP(終値!Y327:AR327)/AVERAGE(終値!Y327:AR327),""))</f>
        <v/>
      </c>
      <c r="W327" s="503" t="str">
        <f>IF(終値!A327="","",IFERROR(4*STDEVP(終値!Z327:AS327)/AVERAGE(終値!Z327:AS327),""))</f>
        <v/>
      </c>
      <c r="X327" s="503" t="str">
        <f>IF(終値!A327="","",IFERROR(4*STDEVP(終値!AA327:AT327)/AVERAGE(終値!AA327:AT327),""))</f>
        <v/>
      </c>
      <c r="Y327" s="503" t="str">
        <f>IF(終値!A327="","",IFERROR(4*STDEVP(終値!AB327:AU327)/AVERAGE(終値!AB327:AU327),""))</f>
        <v/>
      </c>
      <c r="Z327" s="503" t="str">
        <f>IF(終値!A327="","",IFERROR(4*STDEVP(終値!AC327:AV327)/AVERAGE(終値!AC327:AV327),""))</f>
        <v/>
      </c>
      <c r="AA327" s="503" t="str">
        <f>IF(終値!A327="","",IFERROR(4*STDEVP(終値!AD327:AW327)/AVERAGE(終値!AD327:AW327),""))</f>
        <v/>
      </c>
      <c r="AB327" s="503" t="str">
        <f>IF(終値!A327="","",IFERROR(4*STDEVP(終値!AE327:AX327)/AVERAGE(終値!AE327:AX327),""))</f>
        <v/>
      </c>
      <c r="AC327" s="503" t="str">
        <f>IF(終値!A327="","",IFERROR(4*STDEVP(終値!AF327:AY327)/AVERAGE(終値!AF327:AY327),""))</f>
        <v/>
      </c>
      <c r="AD327" s="503" t="str">
        <f>IF(終値!A327="","",IFERROR(4*STDEVP(終値!AG327:AZ327)/AVERAGE(終値!AG327:AZ327),""))</f>
        <v/>
      </c>
      <c r="AE327" s="503" t="str">
        <f>IF(終値!A327="","",IFERROR(4*STDEVP(終値!AH327:BA327)/AVERAGE(終値!AH327:BA327),""))</f>
        <v/>
      </c>
      <c r="AF327" s="503" t="str">
        <f>IF(終値!A327="","",IFERROR(4*STDEVP(終値!AI327:BB327)/AVERAGE(終値!AI327:BB327),""))</f>
        <v/>
      </c>
      <c r="AG327" s="503" t="str">
        <f>IF(終値!A327="","",IFERROR(4*STDEVP(終値!AJ327:BC327)/AVERAGE(終値!AJ327:BC327),""))</f>
        <v/>
      </c>
      <c r="AH327" s="503" t="str">
        <f>IF(終値!A327="","",IFERROR(4*STDEVP(終値!AK327:BD327)/AVERAGE(終値!AK327:BD327),""))</f>
        <v/>
      </c>
      <c r="AI327" s="503" t="str">
        <f>IF(終値!A327="","",IFERROR(4*STDEVP(終値!AL327:BE327)/AVERAGE(終値!AL327:BE327),""))</f>
        <v/>
      </c>
      <c r="AJ327" s="503" t="str">
        <f>IF(終値!A327="","",IFERROR(4*STDEVP(終値!AM327:BF327)/AVERAGE(終値!AM327:BF327),""))</f>
        <v/>
      </c>
      <c r="AK327" s="503" t="str">
        <f>IF(終値!A327="","",IFERROR(4*STDEVP(終値!AN327:BG327)/AVERAGE(終値!AN327:BG327),""))</f>
        <v/>
      </c>
      <c r="AL327" s="503" t="str">
        <f>IF(終値!A327="","",IFERROR(4*STDEVP(終値!AO327:BH327)/AVERAGE(終値!AO327:BH327),""))</f>
        <v/>
      </c>
      <c r="AM327" s="503" t="str">
        <f>IF(終値!A327="","",IFERROR(4*STDEVP(終値!AP327:BI327)/AVERAGE(終値!AP327:BI327),""))</f>
        <v/>
      </c>
      <c r="AN327" s="503" t="str">
        <f>IF(終値!A327="","",IFERROR(4*STDEVP(終値!AQ327:BJ327)/AVERAGE(終値!AQ327:BJ327),""))</f>
        <v/>
      </c>
      <c r="AO327" s="503" t="str">
        <f>IF(終値!A327="","",IFERROR(4*STDEVP(終値!AR327:BK327)/AVERAGE(終値!AR327:BK327),""))</f>
        <v/>
      </c>
      <c r="AP327" s="503" t="str">
        <f>IF(終値!A327="","",IFERROR(4*STDEVP(終値!AS327:BL327)/AVERAGE(終値!AS327:BL327),""))</f>
        <v/>
      </c>
    </row>
    <row r="328" spans="1:42">
      <c r="A328" s="500" t="str">
        <f>IF(終値!A328="","",終値!A328)</f>
        <v/>
      </c>
      <c r="B328" s="503" t="str">
        <f>IF(終値!A328="","",IFERROR(4*STDEVP(終値!E328:X328)/AVERAGE(終値!E328:X328),""))</f>
        <v/>
      </c>
      <c r="C328" s="503" t="str">
        <f>IF(終値!A328="","",IFERROR(4*STDEVP(終値!F328:Y328)/AVERAGE(終値!F328:Y328),""))</f>
        <v/>
      </c>
      <c r="D328" s="503" t="str">
        <f>IF(終値!A328="","",IFERROR(4*STDEVP(終値!G328:Z328)/AVERAGE(終値!G328:Z328),""))</f>
        <v/>
      </c>
      <c r="E328" s="503" t="str">
        <f>IF(終値!A328="","",IFERROR(4*STDEVP(終値!H328:AA328)/AVERAGE(終値!H328:AA328),""))</f>
        <v/>
      </c>
      <c r="F328" s="503" t="str">
        <f>IF(終値!A328="","",IFERROR(4*STDEVP(終値!I328:AB328)/AVERAGE(終値!I328:AB328),""))</f>
        <v/>
      </c>
      <c r="G328" s="503" t="str">
        <f>IF(終値!A328="","",IFERROR(4*STDEVP(終値!J328:AC328)/AVERAGE(終値!J328:AC328),""))</f>
        <v/>
      </c>
      <c r="H328" s="503" t="str">
        <f>IF(終値!A328="","",IFERROR(4*STDEVP(終値!K328:AD328)/AVERAGE(終値!K328:AD328),""))</f>
        <v/>
      </c>
      <c r="I328" s="503" t="str">
        <f>IF(終値!A328="","",IFERROR(4*STDEVP(終値!L328:AE328)/AVERAGE(終値!L328:AE328),""))</f>
        <v/>
      </c>
      <c r="J328" s="503" t="str">
        <f>IF(終値!A328="","",IFERROR(4*STDEVP(終値!M328:AF328)/AVERAGE(終値!M328:AF328),""))</f>
        <v/>
      </c>
      <c r="K328" s="503" t="str">
        <f>IF(終値!A328="","",IFERROR(4*STDEVP(終値!N328:AG328)/AVERAGE(終値!N328:AG328),""))</f>
        <v/>
      </c>
      <c r="L328" s="503" t="str">
        <f>IF(終値!A328="","",IFERROR(4*STDEVP(終値!O328:AH328)/AVERAGE(終値!O328:AH328),""))</f>
        <v/>
      </c>
      <c r="M328" s="503" t="str">
        <f>IF(終値!A328="","",IFERROR(4*STDEVP(終値!P328:AI328)/AVERAGE(終値!P328:AI328),""))</f>
        <v/>
      </c>
      <c r="N328" s="503" t="str">
        <f>IF(終値!A328="","",IFERROR(4*STDEVP(終値!Q328:AJ328)/AVERAGE(終値!Q328:AJ328),""))</f>
        <v/>
      </c>
      <c r="O328" s="503" t="str">
        <f>IF(終値!A328="","",IFERROR(4*STDEVP(終値!R328:AK328)/AVERAGE(終値!R328:AK328),""))</f>
        <v/>
      </c>
      <c r="P328" s="503" t="str">
        <f>IF(終値!A328="","",IFERROR(4*STDEVP(終値!S328:AL328)/AVERAGE(終値!S328:AL328),""))</f>
        <v/>
      </c>
      <c r="Q328" s="503" t="str">
        <f>IF(終値!A328="","",IFERROR(4*STDEVP(終値!T328:AM328)/AVERAGE(終値!T328:AM328),""))</f>
        <v/>
      </c>
      <c r="R328" s="503" t="str">
        <f>IF(終値!A328="","",IFERROR(4*STDEVP(終値!U328:AN328)/AVERAGE(終値!U328:AN328),""))</f>
        <v/>
      </c>
      <c r="S328" s="503" t="str">
        <f>IF(終値!A328="","",IFERROR(4*STDEVP(終値!V328:AO328)/AVERAGE(終値!V328:AO328),""))</f>
        <v/>
      </c>
      <c r="T328" s="503" t="str">
        <f>IF(終値!A328="","",IFERROR(4*STDEVP(終値!W328:AP328)/AVERAGE(終値!W328:AP328),""))</f>
        <v/>
      </c>
      <c r="U328" s="503" t="str">
        <f>IF(終値!A328="","",IFERROR(4*STDEVP(終値!X328:AQ328)/AVERAGE(終値!X328:AQ328),""))</f>
        <v/>
      </c>
      <c r="V328" s="503" t="str">
        <f>IF(終値!A328="","",IFERROR(4*STDEVP(終値!Y328:AR328)/AVERAGE(終値!Y328:AR328),""))</f>
        <v/>
      </c>
      <c r="W328" s="503" t="str">
        <f>IF(終値!A328="","",IFERROR(4*STDEVP(終値!Z328:AS328)/AVERAGE(終値!Z328:AS328),""))</f>
        <v/>
      </c>
      <c r="X328" s="503" t="str">
        <f>IF(終値!A328="","",IFERROR(4*STDEVP(終値!AA328:AT328)/AVERAGE(終値!AA328:AT328),""))</f>
        <v/>
      </c>
      <c r="Y328" s="503" t="str">
        <f>IF(終値!A328="","",IFERROR(4*STDEVP(終値!AB328:AU328)/AVERAGE(終値!AB328:AU328),""))</f>
        <v/>
      </c>
      <c r="Z328" s="503" t="str">
        <f>IF(終値!A328="","",IFERROR(4*STDEVP(終値!AC328:AV328)/AVERAGE(終値!AC328:AV328),""))</f>
        <v/>
      </c>
      <c r="AA328" s="503" t="str">
        <f>IF(終値!A328="","",IFERROR(4*STDEVP(終値!AD328:AW328)/AVERAGE(終値!AD328:AW328),""))</f>
        <v/>
      </c>
      <c r="AB328" s="503" t="str">
        <f>IF(終値!A328="","",IFERROR(4*STDEVP(終値!AE328:AX328)/AVERAGE(終値!AE328:AX328),""))</f>
        <v/>
      </c>
      <c r="AC328" s="503" t="str">
        <f>IF(終値!A328="","",IFERROR(4*STDEVP(終値!AF328:AY328)/AVERAGE(終値!AF328:AY328),""))</f>
        <v/>
      </c>
      <c r="AD328" s="503" t="str">
        <f>IF(終値!A328="","",IFERROR(4*STDEVP(終値!AG328:AZ328)/AVERAGE(終値!AG328:AZ328),""))</f>
        <v/>
      </c>
      <c r="AE328" s="503" t="str">
        <f>IF(終値!A328="","",IFERROR(4*STDEVP(終値!AH328:BA328)/AVERAGE(終値!AH328:BA328),""))</f>
        <v/>
      </c>
      <c r="AF328" s="503" t="str">
        <f>IF(終値!A328="","",IFERROR(4*STDEVP(終値!AI328:BB328)/AVERAGE(終値!AI328:BB328),""))</f>
        <v/>
      </c>
      <c r="AG328" s="503" t="str">
        <f>IF(終値!A328="","",IFERROR(4*STDEVP(終値!AJ328:BC328)/AVERAGE(終値!AJ328:BC328),""))</f>
        <v/>
      </c>
      <c r="AH328" s="503" t="str">
        <f>IF(終値!A328="","",IFERROR(4*STDEVP(終値!AK328:BD328)/AVERAGE(終値!AK328:BD328),""))</f>
        <v/>
      </c>
      <c r="AI328" s="503" t="str">
        <f>IF(終値!A328="","",IFERROR(4*STDEVP(終値!AL328:BE328)/AVERAGE(終値!AL328:BE328),""))</f>
        <v/>
      </c>
      <c r="AJ328" s="503" t="str">
        <f>IF(終値!A328="","",IFERROR(4*STDEVP(終値!AM328:BF328)/AVERAGE(終値!AM328:BF328),""))</f>
        <v/>
      </c>
      <c r="AK328" s="503" t="str">
        <f>IF(終値!A328="","",IFERROR(4*STDEVP(終値!AN328:BG328)/AVERAGE(終値!AN328:BG328),""))</f>
        <v/>
      </c>
      <c r="AL328" s="503" t="str">
        <f>IF(終値!A328="","",IFERROR(4*STDEVP(終値!AO328:BH328)/AVERAGE(終値!AO328:BH328),""))</f>
        <v/>
      </c>
      <c r="AM328" s="503" t="str">
        <f>IF(終値!A328="","",IFERROR(4*STDEVP(終値!AP328:BI328)/AVERAGE(終値!AP328:BI328),""))</f>
        <v/>
      </c>
      <c r="AN328" s="503" t="str">
        <f>IF(終値!A328="","",IFERROR(4*STDEVP(終値!AQ328:BJ328)/AVERAGE(終値!AQ328:BJ328),""))</f>
        <v/>
      </c>
      <c r="AO328" s="503" t="str">
        <f>IF(終値!A328="","",IFERROR(4*STDEVP(終値!AR328:BK328)/AVERAGE(終値!AR328:BK328),""))</f>
        <v/>
      </c>
      <c r="AP328" s="503" t="str">
        <f>IF(終値!A328="","",IFERROR(4*STDEVP(終値!AS328:BL328)/AVERAGE(終値!AS328:BL328),""))</f>
        <v/>
      </c>
    </row>
    <row r="329" spans="1:42">
      <c r="A329" s="500" t="str">
        <f>IF(終値!A329="","",終値!A329)</f>
        <v/>
      </c>
      <c r="B329" s="503" t="str">
        <f>IF(終値!A329="","",IFERROR(4*STDEVP(終値!E329:X329)/AVERAGE(終値!E329:X329),""))</f>
        <v/>
      </c>
      <c r="C329" s="503" t="str">
        <f>IF(終値!A329="","",IFERROR(4*STDEVP(終値!F329:Y329)/AVERAGE(終値!F329:Y329),""))</f>
        <v/>
      </c>
      <c r="D329" s="503" t="str">
        <f>IF(終値!A329="","",IFERROR(4*STDEVP(終値!G329:Z329)/AVERAGE(終値!G329:Z329),""))</f>
        <v/>
      </c>
      <c r="E329" s="503" t="str">
        <f>IF(終値!A329="","",IFERROR(4*STDEVP(終値!H329:AA329)/AVERAGE(終値!H329:AA329),""))</f>
        <v/>
      </c>
      <c r="F329" s="503" t="str">
        <f>IF(終値!A329="","",IFERROR(4*STDEVP(終値!I329:AB329)/AVERAGE(終値!I329:AB329),""))</f>
        <v/>
      </c>
      <c r="G329" s="503" t="str">
        <f>IF(終値!A329="","",IFERROR(4*STDEVP(終値!J329:AC329)/AVERAGE(終値!J329:AC329),""))</f>
        <v/>
      </c>
      <c r="H329" s="503" t="str">
        <f>IF(終値!A329="","",IFERROR(4*STDEVP(終値!K329:AD329)/AVERAGE(終値!K329:AD329),""))</f>
        <v/>
      </c>
      <c r="I329" s="503" t="str">
        <f>IF(終値!A329="","",IFERROR(4*STDEVP(終値!L329:AE329)/AVERAGE(終値!L329:AE329),""))</f>
        <v/>
      </c>
      <c r="J329" s="503" t="str">
        <f>IF(終値!A329="","",IFERROR(4*STDEVP(終値!M329:AF329)/AVERAGE(終値!M329:AF329),""))</f>
        <v/>
      </c>
      <c r="K329" s="503" t="str">
        <f>IF(終値!A329="","",IFERROR(4*STDEVP(終値!N329:AG329)/AVERAGE(終値!N329:AG329),""))</f>
        <v/>
      </c>
      <c r="L329" s="503" t="str">
        <f>IF(終値!A329="","",IFERROR(4*STDEVP(終値!O329:AH329)/AVERAGE(終値!O329:AH329),""))</f>
        <v/>
      </c>
      <c r="M329" s="503" t="str">
        <f>IF(終値!A329="","",IFERROR(4*STDEVP(終値!P329:AI329)/AVERAGE(終値!P329:AI329),""))</f>
        <v/>
      </c>
      <c r="N329" s="503" t="str">
        <f>IF(終値!A329="","",IFERROR(4*STDEVP(終値!Q329:AJ329)/AVERAGE(終値!Q329:AJ329),""))</f>
        <v/>
      </c>
      <c r="O329" s="503" t="str">
        <f>IF(終値!A329="","",IFERROR(4*STDEVP(終値!R329:AK329)/AVERAGE(終値!R329:AK329),""))</f>
        <v/>
      </c>
      <c r="P329" s="503" t="str">
        <f>IF(終値!A329="","",IFERROR(4*STDEVP(終値!S329:AL329)/AVERAGE(終値!S329:AL329),""))</f>
        <v/>
      </c>
      <c r="Q329" s="503" t="str">
        <f>IF(終値!A329="","",IFERROR(4*STDEVP(終値!T329:AM329)/AVERAGE(終値!T329:AM329),""))</f>
        <v/>
      </c>
      <c r="R329" s="503" t="str">
        <f>IF(終値!A329="","",IFERROR(4*STDEVP(終値!U329:AN329)/AVERAGE(終値!U329:AN329),""))</f>
        <v/>
      </c>
      <c r="S329" s="503" t="str">
        <f>IF(終値!A329="","",IFERROR(4*STDEVP(終値!V329:AO329)/AVERAGE(終値!V329:AO329),""))</f>
        <v/>
      </c>
      <c r="T329" s="503" t="str">
        <f>IF(終値!A329="","",IFERROR(4*STDEVP(終値!W329:AP329)/AVERAGE(終値!W329:AP329),""))</f>
        <v/>
      </c>
      <c r="U329" s="503" t="str">
        <f>IF(終値!A329="","",IFERROR(4*STDEVP(終値!X329:AQ329)/AVERAGE(終値!X329:AQ329),""))</f>
        <v/>
      </c>
      <c r="V329" s="503" t="str">
        <f>IF(終値!A329="","",IFERROR(4*STDEVP(終値!Y329:AR329)/AVERAGE(終値!Y329:AR329),""))</f>
        <v/>
      </c>
      <c r="W329" s="503" t="str">
        <f>IF(終値!A329="","",IFERROR(4*STDEVP(終値!Z329:AS329)/AVERAGE(終値!Z329:AS329),""))</f>
        <v/>
      </c>
      <c r="X329" s="503" t="str">
        <f>IF(終値!A329="","",IFERROR(4*STDEVP(終値!AA329:AT329)/AVERAGE(終値!AA329:AT329),""))</f>
        <v/>
      </c>
      <c r="Y329" s="503" t="str">
        <f>IF(終値!A329="","",IFERROR(4*STDEVP(終値!AB329:AU329)/AVERAGE(終値!AB329:AU329),""))</f>
        <v/>
      </c>
      <c r="Z329" s="503" t="str">
        <f>IF(終値!A329="","",IFERROR(4*STDEVP(終値!AC329:AV329)/AVERAGE(終値!AC329:AV329),""))</f>
        <v/>
      </c>
      <c r="AA329" s="503" t="str">
        <f>IF(終値!A329="","",IFERROR(4*STDEVP(終値!AD329:AW329)/AVERAGE(終値!AD329:AW329),""))</f>
        <v/>
      </c>
      <c r="AB329" s="503" t="str">
        <f>IF(終値!A329="","",IFERROR(4*STDEVP(終値!AE329:AX329)/AVERAGE(終値!AE329:AX329),""))</f>
        <v/>
      </c>
      <c r="AC329" s="503" t="str">
        <f>IF(終値!A329="","",IFERROR(4*STDEVP(終値!AF329:AY329)/AVERAGE(終値!AF329:AY329),""))</f>
        <v/>
      </c>
      <c r="AD329" s="503" t="str">
        <f>IF(終値!A329="","",IFERROR(4*STDEVP(終値!AG329:AZ329)/AVERAGE(終値!AG329:AZ329),""))</f>
        <v/>
      </c>
      <c r="AE329" s="503" t="str">
        <f>IF(終値!A329="","",IFERROR(4*STDEVP(終値!AH329:BA329)/AVERAGE(終値!AH329:BA329),""))</f>
        <v/>
      </c>
      <c r="AF329" s="503" t="str">
        <f>IF(終値!A329="","",IFERROR(4*STDEVP(終値!AI329:BB329)/AVERAGE(終値!AI329:BB329),""))</f>
        <v/>
      </c>
      <c r="AG329" s="503" t="str">
        <f>IF(終値!A329="","",IFERROR(4*STDEVP(終値!AJ329:BC329)/AVERAGE(終値!AJ329:BC329),""))</f>
        <v/>
      </c>
      <c r="AH329" s="503" t="str">
        <f>IF(終値!A329="","",IFERROR(4*STDEVP(終値!AK329:BD329)/AVERAGE(終値!AK329:BD329),""))</f>
        <v/>
      </c>
      <c r="AI329" s="503" t="str">
        <f>IF(終値!A329="","",IFERROR(4*STDEVP(終値!AL329:BE329)/AVERAGE(終値!AL329:BE329),""))</f>
        <v/>
      </c>
      <c r="AJ329" s="503" t="str">
        <f>IF(終値!A329="","",IFERROR(4*STDEVP(終値!AM329:BF329)/AVERAGE(終値!AM329:BF329),""))</f>
        <v/>
      </c>
      <c r="AK329" s="503" t="str">
        <f>IF(終値!A329="","",IFERROR(4*STDEVP(終値!AN329:BG329)/AVERAGE(終値!AN329:BG329),""))</f>
        <v/>
      </c>
      <c r="AL329" s="503" t="str">
        <f>IF(終値!A329="","",IFERROR(4*STDEVP(終値!AO329:BH329)/AVERAGE(終値!AO329:BH329),""))</f>
        <v/>
      </c>
      <c r="AM329" s="503" t="str">
        <f>IF(終値!A329="","",IFERROR(4*STDEVP(終値!AP329:BI329)/AVERAGE(終値!AP329:BI329),""))</f>
        <v/>
      </c>
      <c r="AN329" s="503" t="str">
        <f>IF(終値!A329="","",IFERROR(4*STDEVP(終値!AQ329:BJ329)/AVERAGE(終値!AQ329:BJ329),""))</f>
        <v/>
      </c>
      <c r="AO329" s="503" t="str">
        <f>IF(終値!A329="","",IFERROR(4*STDEVP(終値!AR329:BK329)/AVERAGE(終値!AR329:BK329),""))</f>
        <v/>
      </c>
      <c r="AP329" s="503" t="str">
        <f>IF(終値!A329="","",IFERROR(4*STDEVP(終値!AS329:BL329)/AVERAGE(終値!AS329:BL329),""))</f>
        <v/>
      </c>
    </row>
    <row r="330" spans="1:42">
      <c r="A330" s="500" t="str">
        <f>IF(終値!A330="","",終値!A330)</f>
        <v/>
      </c>
      <c r="B330" s="503" t="str">
        <f>IF(終値!A330="","",IFERROR(4*STDEVP(終値!E330:X330)/AVERAGE(終値!E330:X330),""))</f>
        <v/>
      </c>
      <c r="C330" s="503" t="str">
        <f>IF(終値!A330="","",IFERROR(4*STDEVP(終値!F330:Y330)/AVERAGE(終値!F330:Y330),""))</f>
        <v/>
      </c>
      <c r="D330" s="503" t="str">
        <f>IF(終値!A330="","",IFERROR(4*STDEVP(終値!G330:Z330)/AVERAGE(終値!G330:Z330),""))</f>
        <v/>
      </c>
      <c r="E330" s="503" t="str">
        <f>IF(終値!A330="","",IFERROR(4*STDEVP(終値!H330:AA330)/AVERAGE(終値!H330:AA330),""))</f>
        <v/>
      </c>
      <c r="F330" s="503" t="str">
        <f>IF(終値!A330="","",IFERROR(4*STDEVP(終値!I330:AB330)/AVERAGE(終値!I330:AB330),""))</f>
        <v/>
      </c>
      <c r="G330" s="503" t="str">
        <f>IF(終値!A330="","",IFERROR(4*STDEVP(終値!J330:AC330)/AVERAGE(終値!J330:AC330),""))</f>
        <v/>
      </c>
      <c r="H330" s="503" t="str">
        <f>IF(終値!A330="","",IFERROR(4*STDEVP(終値!K330:AD330)/AVERAGE(終値!K330:AD330),""))</f>
        <v/>
      </c>
      <c r="I330" s="503" t="str">
        <f>IF(終値!A330="","",IFERROR(4*STDEVP(終値!L330:AE330)/AVERAGE(終値!L330:AE330),""))</f>
        <v/>
      </c>
      <c r="J330" s="503" t="str">
        <f>IF(終値!A330="","",IFERROR(4*STDEVP(終値!M330:AF330)/AVERAGE(終値!M330:AF330),""))</f>
        <v/>
      </c>
      <c r="K330" s="503" t="str">
        <f>IF(終値!A330="","",IFERROR(4*STDEVP(終値!N330:AG330)/AVERAGE(終値!N330:AG330),""))</f>
        <v/>
      </c>
      <c r="L330" s="503" t="str">
        <f>IF(終値!A330="","",IFERROR(4*STDEVP(終値!O330:AH330)/AVERAGE(終値!O330:AH330),""))</f>
        <v/>
      </c>
      <c r="M330" s="503" t="str">
        <f>IF(終値!A330="","",IFERROR(4*STDEVP(終値!P330:AI330)/AVERAGE(終値!P330:AI330),""))</f>
        <v/>
      </c>
      <c r="N330" s="503" t="str">
        <f>IF(終値!A330="","",IFERROR(4*STDEVP(終値!Q330:AJ330)/AVERAGE(終値!Q330:AJ330),""))</f>
        <v/>
      </c>
      <c r="O330" s="503" t="str">
        <f>IF(終値!A330="","",IFERROR(4*STDEVP(終値!R330:AK330)/AVERAGE(終値!R330:AK330),""))</f>
        <v/>
      </c>
      <c r="P330" s="503" t="str">
        <f>IF(終値!A330="","",IFERROR(4*STDEVP(終値!S330:AL330)/AVERAGE(終値!S330:AL330),""))</f>
        <v/>
      </c>
      <c r="Q330" s="503" t="str">
        <f>IF(終値!A330="","",IFERROR(4*STDEVP(終値!T330:AM330)/AVERAGE(終値!T330:AM330),""))</f>
        <v/>
      </c>
      <c r="R330" s="503" t="str">
        <f>IF(終値!A330="","",IFERROR(4*STDEVP(終値!U330:AN330)/AVERAGE(終値!U330:AN330),""))</f>
        <v/>
      </c>
      <c r="S330" s="503" t="str">
        <f>IF(終値!A330="","",IFERROR(4*STDEVP(終値!V330:AO330)/AVERAGE(終値!V330:AO330),""))</f>
        <v/>
      </c>
      <c r="T330" s="503" t="str">
        <f>IF(終値!A330="","",IFERROR(4*STDEVP(終値!W330:AP330)/AVERAGE(終値!W330:AP330),""))</f>
        <v/>
      </c>
      <c r="U330" s="503" t="str">
        <f>IF(終値!A330="","",IFERROR(4*STDEVP(終値!X330:AQ330)/AVERAGE(終値!X330:AQ330),""))</f>
        <v/>
      </c>
      <c r="V330" s="503" t="str">
        <f>IF(終値!A330="","",IFERROR(4*STDEVP(終値!Y330:AR330)/AVERAGE(終値!Y330:AR330),""))</f>
        <v/>
      </c>
      <c r="W330" s="503" t="str">
        <f>IF(終値!A330="","",IFERROR(4*STDEVP(終値!Z330:AS330)/AVERAGE(終値!Z330:AS330),""))</f>
        <v/>
      </c>
      <c r="X330" s="503" t="str">
        <f>IF(終値!A330="","",IFERROR(4*STDEVP(終値!AA330:AT330)/AVERAGE(終値!AA330:AT330),""))</f>
        <v/>
      </c>
      <c r="Y330" s="503" t="str">
        <f>IF(終値!A330="","",IFERROR(4*STDEVP(終値!AB330:AU330)/AVERAGE(終値!AB330:AU330),""))</f>
        <v/>
      </c>
      <c r="Z330" s="503" t="str">
        <f>IF(終値!A330="","",IFERROR(4*STDEVP(終値!AC330:AV330)/AVERAGE(終値!AC330:AV330),""))</f>
        <v/>
      </c>
      <c r="AA330" s="503" t="str">
        <f>IF(終値!A330="","",IFERROR(4*STDEVP(終値!AD330:AW330)/AVERAGE(終値!AD330:AW330),""))</f>
        <v/>
      </c>
      <c r="AB330" s="503" t="str">
        <f>IF(終値!A330="","",IFERROR(4*STDEVP(終値!AE330:AX330)/AVERAGE(終値!AE330:AX330),""))</f>
        <v/>
      </c>
      <c r="AC330" s="503" t="str">
        <f>IF(終値!A330="","",IFERROR(4*STDEVP(終値!AF330:AY330)/AVERAGE(終値!AF330:AY330),""))</f>
        <v/>
      </c>
      <c r="AD330" s="503" t="str">
        <f>IF(終値!A330="","",IFERROR(4*STDEVP(終値!AG330:AZ330)/AVERAGE(終値!AG330:AZ330),""))</f>
        <v/>
      </c>
      <c r="AE330" s="503" t="str">
        <f>IF(終値!A330="","",IFERROR(4*STDEVP(終値!AH330:BA330)/AVERAGE(終値!AH330:BA330),""))</f>
        <v/>
      </c>
      <c r="AF330" s="503" t="str">
        <f>IF(終値!A330="","",IFERROR(4*STDEVP(終値!AI330:BB330)/AVERAGE(終値!AI330:BB330),""))</f>
        <v/>
      </c>
      <c r="AG330" s="503" t="str">
        <f>IF(終値!A330="","",IFERROR(4*STDEVP(終値!AJ330:BC330)/AVERAGE(終値!AJ330:BC330),""))</f>
        <v/>
      </c>
      <c r="AH330" s="503" t="str">
        <f>IF(終値!A330="","",IFERROR(4*STDEVP(終値!AK330:BD330)/AVERAGE(終値!AK330:BD330),""))</f>
        <v/>
      </c>
      <c r="AI330" s="503" t="str">
        <f>IF(終値!A330="","",IFERROR(4*STDEVP(終値!AL330:BE330)/AVERAGE(終値!AL330:BE330),""))</f>
        <v/>
      </c>
      <c r="AJ330" s="503" t="str">
        <f>IF(終値!A330="","",IFERROR(4*STDEVP(終値!AM330:BF330)/AVERAGE(終値!AM330:BF330),""))</f>
        <v/>
      </c>
      <c r="AK330" s="503" t="str">
        <f>IF(終値!A330="","",IFERROR(4*STDEVP(終値!AN330:BG330)/AVERAGE(終値!AN330:BG330),""))</f>
        <v/>
      </c>
      <c r="AL330" s="503" t="str">
        <f>IF(終値!A330="","",IFERROR(4*STDEVP(終値!AO330:BH330)/AVERAGE(終値!AO330:BH330),""))</f>
        <v/>
      </c>
      <c r="AM330" s="503" t="str">
        <f>IF(終値!A330="","",IFERROR(4*STDEVP(終値!AP330:BI330)/AVERAGE(終値!AP330:BI330),""))</f>
        <v/>
      </c>
      <c r="AN330" s="503" t="str">
        <f>IF(終値!A330="","",IFERROR(4*STDEVP(終値!AQ330:BJ330)/AVERAGE(終値!AQ330:BJ330),""))</f>
        <v/>
      </c>
      <c r="AO330" s="503" t="str">
        <f>IF(終値!A330="","",IFERROR(4*STDEVP(終値!AR330:BK330)/AVERAGE(終値!AR330:BK330),""))</f>
        <v/>
      </c>
      <c r="AP330" s="503" t="str">
        <f>IF(終値!A330="","",IFERROR(4*STDEVP(終値!AS330:BL330)/AVERAGE(終値!AS330:BL330),""))</f>
        <v/>
      </c>
    </row>
    <row r="331" spans="1:42">
      <c r="A331" s="500" t="str">
        <f>IF(終値!A331="","",終値!A331)</f>
        <v/>
      </c>
      <c r="B331" s="503" t="str">
        <f>IF(終値!A331="","",IFERROR(4*STDEVP(終値!E331:X331)/AVERAGE(終値!E331:X331),""))</f>
        <v/>
      </c>
      <c r="C331" s="503" t="str">
        <f>IF(終値!A331="","",IFERROR(4*STDEVP(終値!F331:Y331)/AVERAGE(終値!F331:Y331),""))</f>
        <v/>
      </c>
      <c r="D331" s="503" t="str">
        <f>IF(終値!A331="","",IFERROR(4*STDEVP(終値!G331:Z331)/AVERAGE(終値!G331:Z331),""))</f>
        <v/>
      </c>
      <c r="E331" s="503" t="str">
        <f>IF(終値!A331="","",IFERROR(4*STDEVP(終値!H331:AA331)/AVERAGE(終値!H331:AA331),""))</f>
        <v/>
      </c>
      <c r="F331" s="503" t="str">
        <f>IF(終値!A331="","",IFERROR(4*STDEVP(終値!I331:AB331)/AVERAGE(終値!I331:AB331),""))</f>
        <v/>
      </c>
      <c r="G331" s="503" t="str">
        <f>IF(終値!A331="","",IFERROR(4*STDEVP(終値!J331:AC331)/AVERAGE(終値!J331:AC331),""))</f>
        <v/>
      </c>
      <c r="H331" s="503" t="str">
        <f>IF(終値!A331="","",IFERROR(4*STDEVP(終値!K331:AD331)/AVERAGE(終値!K331:AD331),""))</f>
        <v/>
      </c>
      <c r="I331" s="503" t="str">
        <f>IF(終値!A331="","",IFERROR(4*STDEVP(終値!L331:AE331)/AVERAGE(終値!L331:AE331),""))</f>
        <v/>
      </c>
      <c r="J331" s="503" t="str">
        <f>IF(終値!A331="","",IFERROR(4*STDEVP(終値!M331:AF331)/AVERAGE(終値!M331:AF331),""))</f>
        <v/>
      </c>
      <c r="K331" s="503" t="str">
        <f>IF(終値!A331="","",IFERROR(4*STDEVP(終値!N331:AG331)/AVERAGE(終値!N331:AG331),""))</f>
        <v/>
      </c>
      <c r="L331" s="503" t="str">
        <f>IF(終値!A331="","",IFERROR(4*STDEVP(終値!O331:AH331)/AVERAGE(終値!O331:AH331),""))</f>
        <v/>
      </c>
      <c r="M331" s="503" t="str">
        <f>IF(終値!A331="","",IFERROR(4*STDEVP(終値!P331:AI331)/AVERAGE(終値!P331:AI331),""))</f>
        <v/>
      </c>
      <c r="N331" s="503" t="str">
        <f>IF(終値!A331="","",IFERROR(4*STDEVP(終値!Q331:AJ331)/AVERAGE(終値!Q331:AJ331),""))</f>
        <v/>
      </c>
      <c r="O331" s="503" t="str">
        <f>IF(終値!A331="","",IFERROR(4*STDEVP(終値!R331:AK331)/AVERAGE(終値!R331:AK331),""))</f>
        <v/>
      </c>
      <c r="P331" s="503" t="str">
        <f>IF(終値!A331="","",IFERROR(4*STDEVP(終値!S331:AL331)/AVERAGE(終値!S331:AL331),""))</f>
        <v/>
      </c>
      <c r="Q331" s="503" t="str">
        <f>IF(終値!A331="","",IFERROR(4*STDEVP(終値!T331:AM331)/AVERAGE(終値!T331:AM331),""))</f>
        <v/>
      </c>
      <c r="R331" s="503" t="str">
        <f>IF(終値!A331="","",IFERROR(4*STDEVP(終値!U331:AN331)/AVERAGE(終値!U331:AN331),""))</f>
        <v/>
      </c>
      <c r="S331" s="503" t="str">
        <f>IF(終値!A331="","",IFERROR(4*STDEVP(終値!V331:AO331)/AVERAGE(終値!V331:AO331),""))</f>
        <v/>
      </c>
      <c r="T331" s="503" t="str">
        <f>IF(終値!A331="","",IFERROR(4*STDEVP(終値!W331:AP331)/AVERAGE(終値!W331:AP331),""))</f>
        <v/>
      </c>
      <c r="U331" s="503" t="str">
        <f>IF(終値!A331="","",IFERROR(4*STDEVP(終値!X331:AQ331)/AVERAGE(終値!X331:AQ331),""))</f>
        <v/>
      </c>
      <c r="V331" s="503" t="str">
        <f>IF(終値!A331="","",IFERROR(4*STDEVP(終値!Y331:AR331)/AVERAGE(終値!Y331:AR331),""))</f>
        <v/>
      </c>
      <c r="W331" s="503" t="str">
        <f>IF(終値!A331="","",IFERROR(4*STDEVP(終値!Z331:AS331)/AVERAGE(終値!Z331:AS331),""))</f>
        <v/>
      </c>
      <c r="X331" s="503" t="str">
        <f>IF(終値!A331="","",IFERROR(4*STDEVP(終値!AA331:AT331)/AVERAGE(終値!AA331:AT331),""))</f>
        <v/>
      </c>
      <c r="Y331" s="503" t="str">
        <f>IF(終値!A331="","",IFERROR(4*STDEVP(終値!AB331:AU331)/AVERAGE(終値!AB331:AU331),""))</f>
        <v/>
      </c>
      <c r="Z331" s="503" t="str">
        <f>IF(終値!A331="","",IFERROR(4*STDEVP(終値!AC331:AV331)/AVERAGE(終値!AC331:AV331),""))</f>
        <v/>
      </c>
      <c r="AA331" s="503" t="str">
        <f>IF(終値!A331="","",IFERROR(4*STDEVP(終値!AD331:AW331)/AVERAGE(終値!AD331:AW331),""))</f>
        <v/>
      </c>
      <c r="AB331" s="503" t="str">
        <f>IF(終値!A331="","",IFERROR(4*STDEVP(終値!AE331:AX331)/AVERAGE(終値!AE331:AX331),""))</f>
        <v/>
      </c>
      <c r="AC331" s="503" t="str">
        <f>IF(終値!A331="","",IFERROR(4*STDEVP(終値!AF331:AY331)/AVERAGE(終値!AF331:AY331),""))</f>
        <v/>
      </c>
      <c r="AD331" s="503" t="str">
        <f>IF(終値!A331="","",IFERROR(4*STDEVP(終値!AG331:AZ331)/AVERAGE(終値!AG331:AZ331),""))</f>
        <v/>
      </c>
      <c r="AE331" s="503" t="str">
        <f>IF(終値!A331="","",IFERROR(4*STDEVP(終値!AH331:BA331)/AVERAGE(終値!AH331:BA331),""))</f>
        <v/>
      </c>
      <c r="AF331" s="503" t="str">
        <f>IF(終値!A331="","",IFERROR(4*STDEVP(終値!AI331:BB331)/AVERAGE(終値!AI331:BB331),""))</f>
        <v/>
      </c>
      <c r="AG331" s="503" t="str">
        <f>IF(終値!A331="","",IFERROR(4*STDEVP(終値!AJ331:BC331)/AVERAGE(終値!AJ331:BC331),""))</f>
        <v/>
      </c>
      <c r="AH331" s="503" t="str">
        <f>IF(終値!A331="","",IFERROR(4*STDEVP(終値!AK331:BD331)/AVERAGE(終値!AK331:BD331),""))</f>
        <v/>
      </c>
      <c r="AI331" s="503" t="str">
        <f>IF(終値!A331="","",IFERROR(4*STDEVP(終値!AL331:BE331)/AVERAGE(終値!AL331:BE331),""))</f>
        <v/>
      </c>
      <c r="AJ331" s="503" t="str">
        <f>IF(終値!A331="","",IFERROR(4*STDEVP(終値!AM331:BF331)/AVERAGE(終値!AM331:BF331),""))</f>
        <v/>
      </c>
      <c r="AK331" s="503" t="str">
        <f>IF(終値!A331="","",IFERROR(4*STDEVP(終値!AN331:BG331)/AVERAGE(終値!AN331:BG331),""))</f>
        <v/>
      </c>
      <c r="AL331" s="503" t="str">
        <f>IF(終値!A331="","",IFERROR(4*STDEVP(終値!AO331:BH331)/AVERAGE(終値!AO331:BH331),""))</f>
        <v/>
      </c>
      <c r="AM331" s="503" t="str">
        <f>IF(終値!A331="","",IFERROR(4*STDEVP(終値!AP331:BI331)/AVERAGE(終値!AP331:BI331),""))</f>
        <v/>
      </c>
      <c r="AN331" s="503" t="str">
        <f>IF(終値!A331="","",IFERROR(4*STDEVP(終値!AQ331:BJ331)/AVERAGE(終値!AQ331:BJ331),""))</f>
        <v/>
      </c>
      <c r="AO331" s="503" t="str">
        <f>IF(終値!A331="","",IFERROR(4*STDEVP(終値!AR331:BK331)/AVERAGE(終値!AR331:BK331),""))</f>
        <v/>
      </c>
      <c r="AP331" s="503" t="str">
        <f>IF(終値!A331="","",IFERROR(4*STDEVP(終値!AS331:BL331)/AVERAGE(終値!AS331:BL331),""))</f>
        <v/>
      </c>
    </row>
    <row r="332" spans="1:42">
      <c r="A332" s="500" t="str">
        <f>IF(終値!A332="","",終値!A332)</f>
        <v/>
      </c>
      <c r="B332" s="503" t="str">
        <f>IF(終値!A332="","",IFERROR(4*STDEVP(終値!E332:X332)/AVERAGE(終値!E332:X332),""))</f>
        <v/>
      </c>
      <c r="C332" s="503" t="str">
        <f>IF(終値!A332="","",IFERROR(4*STDEVP(終値!F332:Y332)/AVERAGE(終値!F332:Y332),""))</f>
        <v/>
      </c>
      <c r="D332" s="503" t="str">
        <f>IF(終値!A332="","",IFERROR(4*STDEVP(終値!G332:Z332)/AVERAGE(終値!G332:Z332),""))</f>
        <v/>
      </c>
      <c r="E332" s="503" t="str">
        <f>IF(終値!A332="","",IFERROR(4*STDEVP(終値!H332:AA332)/AVERAGE(終値!H332:AA332),""))</f>
        <v/>
      </c>
      <c r="F332" s="503" t="str">
        <f>IF(終値!A332="","",IFERROR(4*STDEVP(終値!I332:AB332)/AVERAGE(終値!I332:AB332),""))</f>
        <v/>
      </c>
      <c r="G332" s="503" t="str">
        <f>IF(終値!A332="","",IFERROR(4*STDEVP(終値!J332:AC332)/AVERAGE(終値!J332:AC332),""))</f>
        <v/>
      </c>
      <c r="H332" s="503" t="str">
        <f>IF(終値!A332="","",IFERROR(4*STDEVP(終値!K332:AD332)/AVERAGE(終値!K332:AD332),""))</f>
        <v/>
      </c>
      <c r="I332" s="503" t="str">
        <f>IF(終値!A332="","",IFERROR(4*STDEVP(終値!L332:AE332)/AVERAGE(終値!L332:AE332),""))</f>
        <v/>
      </c>
      <c r="J332" s="503" t="str">
        <f>IF(終値!A332="","",IFERROR(4*STDEVP(終値!M332:AF332)/AVERAGE(終値!M332:AF332),""))</f>
        <v/>
      </c>
      <c r="K332" s="503" t="str">
        <f>IF(終値!A332="","",IFERROR(4*STDEVP(終値!N332:AG332)/AVERAGE(終値!N332:AG332),""))</f>
        <v/>
      </c>
      <c r="L332" s="503" t="str">
        <f>IF(終値!A332="","",IFERROR(4*STDEVP(終値!O332:AH332)/AVERAGE(終値!O332:AH332),""))</f>
        <v/>
      </c>
      <c r="M332" s="503" t="str">
        <f>IF(終値!A332="","",IFERROR(4*STDEVP(終値!P332:AI332)/AVERAGE(終値!P332:AI332),""))</f>
        <v/>
      </c>
      <c r="N332" s="503" t="str">
        <f>IF(終値!A332="","",IFERROR(4*STDEVP(終値!Q332:AJ332)/AVERAGE(終値!Q332:AJ332),""))</f>
        <v/>
      </c>
      <c r="O332" s="503" t="str">
        <f>IF(終値!A332="","",IFERROR(4*STDEVP(終値!R332:AK332)/AVERAGE(終値!R332:AK332),""))</f>
        <v/>
      </c>
      <c r="P332" s="503" t="str">
        <f>IF(終値!A332="","",IFERROR(4*STDEVP(終値!S332:AL332)/AVERAGE(終値!S332:AL332),""))</f>
        <v/>
      </c>
      <c r="Q332" s="503" t="str">
        <f>IF(終値!A332="","",IFERROR(4*STDEVP(終値!T332:AM332)/AVERAGE(終値!T332:AM332),""))</f>
        <v/>
      </c>
      <c r="R332" s="503" t="str">
        <f>IF(終値!A332="","",IFERROR(4*STDEVP(終値!U332:AN332)/AVERAGE(終値!U332:AN332),""))</f>
        <v/>
      </c>
      <c r="S332" s="503" t="str">
        <f>IF(終値!A332="","",IFERROR(4*STDEVP(終値!V332:AO332)/AVERAGE(終値!V332:AO332),""))</f>
        <v/>
      </c>
      <c r="T332" s="503" t="str">
        <f>IF(終値!A332="","",IFERROR(4*STDEVP(終値!W332:AP332)/AVERAGE(終値!W332:AP332),""))</f>
        <v/>
      </c>
      <c r="U332" s="503" t="str">
        <f>IF(終値!A332="","",IFERROR(4*STDEVP(終値!X332:AQ332)/AVERAGE(終値!X332:AQ332),""))</f>
        <v/>
      </c>
      <c r="V332" s="503" t="str">
        <f>IF(終値!A332="","",IFERROR(4*STDEVP(終値!Y332:AR332)/AVERAGE(終値!Y332:AR332),""))</f>
        <v/>
      </c>
      <c r="W332" s="503" t="str">
        <f>IF(終値!A332="","",IFERROR(4*STDEVP(終値!Z332:AS332)/AVERAGE(終値!Z332:AS332),""))</f>
        <v/>
      </c>
      <c r="X332" s="503" t="str">
        <f>IF(終値!A332="","",IFERROR(4*STDEVP(終値!AA332:AT332)/AVERAGE(終値!AA332:AT332),""))</f>
        <v/>
      </c>
      <c r="Y332" s="503" t="str">
        <f>IF(終値!A332="","",IFERROR(4*STDEVP(終値!AB332:AU332)/AVERAGE(終値!AB332:AU332),""))</f>
        <v/>
      </c>
      <c r="Z332" s="503" t="str">
        <f>IF(終値!A332="","",IFERROR(4*STDEVP(終値!AC332:AV332)/AVERAGE(終値!AC332:AV332),""))</f>
        <v/>
      </c>
      <c r="AA332" s="503" t="str">
        <f>IF(終値!A332="","",IFERROR(4*STDEVP(終値!AD332:AW332)/AVERAGE(終値!AD332:AW332),""))</f>
        <v/>
      </c>
      <c r="AB332" s="503" t="str">
        <f>IF(終値!A332="","",IFERROR(4*STDEVP(終値!AE332:AX332)/AVERAGE(終値!AE332:AX332),""))</f>
        <v/>
      </c>
      <c r="AC332" s="503" t="str">
        <f>IF(終値!A332="","",IFERROR(4*STDEVP(終値!AF332:AY332)/AVERAGE(終値!AF332:AY332),""))</f>
        <v/>
      </c>
      <c r="AD332" s="503" t="str">
        <f>IF(終値!A332="","",IFERROR(4*STDEVP(終値!AG332:AZ332)/AVERAGE(終値!AG332:AZ332),""))</f>
        <v/>
      </c>
      <c r="AE332" s="503" t="str">
        <f>IF(終値!A332="","",IFERROR(4*STDEVP(終値!AH332:BA332)/AVERAGE(終値!AH332:BA332),""))</f>
        <v/>
      </c>
      <c r="AF332" s="503" t="str">
        <f>IF(終値!A332="","",IFERROR(4*STDEVP(終値!AI332:BB332)/AVERAGE(終値!AI332:BB332),""))</f>
        <v/>
      </c>
      <c r="AG332" s="503" t="str">
        <f>IF(終値!A332="","",IFERROR(4*STDEVP(終値!AJ332:BC332)/AVERAGE(終値!AJ332:BC332),""))</f>
        <v/>
      </c>
      <c r="AH332" s="503" t="str">
        <f>IF(終値!A332="","",IFERROR(4*STDEVP(終値!AK332:BD332)/AVERAGE(終値!AK332:BD332),""))</f>
        <v/>
      </c>
      <c r="AI332" s="503" t="str">
        <f>IF(終値!A332="","",IFERROR(4*STDEVP(終値!AL332:BE332)/AVERAGE(終値!AL332:BE332),""))</f>
        <v/>
      </c>
      <c r="AJ332" s="503" t="str">
        <f>IF(終値!A332="","",IFERROR(4*STDEVP(終値!AM332:BF332)/AVERAGE(終値!AM332:BF332),""))</f>
        <v/>
      </c>
      <c r="AK332" s="503" t="str">
        <f>IF(終値!A332="","",IFERROR(4*STDEVP(終値!AN332:BG332)/AVERAGE(終値!AN332:BG332),""))</f>
        <v/>
      </c>
      <c r="AL332" s="503" t="str">
        <f>IF(終値!A332="","",IFERROR(4*STDEVP(終値!AO332:BH332)/AVERAGE(終値!AO332:BH332),""))</f>
        <v/>
      </c>
      <c r="AM332" s="503" t="str">
        <f>IF(終値!A332="","",IFERROR(4*STDEVP(終値!AP332:BI332)/AVERAGE(終値!AP332:BI332),""))</f>
        <v/>
      </c>
      <c r="AN332" s="503" t="str">
        <f>IF(終値!A332="","",IFERROR(4*STDEVP(終値!AQ332:BJ332)/AVERAGE(終値!AQ332:BJ332),""))</f>
        <v/>
      </c>
      <c r="AO332" s="503" t="str">
        <f>IF(終値!A332="","",IFERROR(4*STDEVP(終値!AR332:BK332)/AVERAGE(終値!AR332:BK332),""))</f>
        <v/>
      </c>
      <c r="AP332" s="503" t="str">
        <f>IF(終値!A332="","",IFERROR(4*STDEVP(終値!AS332:BL332)/AVERAGE(終値!AS332:BL332),""))</f>
        <v/>
      </c>
    </row>
    <row r="333" spans="1:42">
      <c r="A333" s="500" t="str">
        <f>IF(終値!A333="","",終値!A333)</f>
        <v/>
      </c>
      <c r="B333" s="503" t="str">
        <f>IF(終値!A333="","",IFERROR(4*STDEVP(終値!E333:X333)/AVERAGE(終値!E333:X333),""))</f>
        <v/>
      </c>
      <c r="C333" s="503" t="str">
        <f>IF(終値!A333="","",IFERROR(4*STDEVP(終値!F333:Y333)/AVERAGE(終値!F333:Y333),""))</f>
        <v/>
      </c>
      <c r="D333" s="503" t="str">
        <f>IF(終値!A333="","",IFERROR(4*STDEVP(終値!G333:Z333)/AVERAGE(終値!G333:Z333),""))</f>
        <v/>
      </c>
      <c r="E333" s="503" t="str">
        <f>IF(終値!A333="","",IFERROR(4*STDEVP(終値!H333:AA333)/AVERAGE(終値!H333:AA333),""))</f>
        <v/>
      </c>
      <c r="F333" s="503" t="str">
        <f>IF(終値!A333="","",IFERROR(4*STDEVP(終値!I333:AB333)/AVERAGE(終値!I333:AB333),""))</f>
        <v/>
      </c>
      <c r="G333" s="503" t="str">
        <f>IF(終値!A333="","",IFERROR(4*STDEVP(終値!J333:AC333)/AVERAGE(終値!J333:AC333),""))</f>
        <v/>
      </c>
      <c r="H333" s="503" t="str">
        <f>IF(終値!A333="","",IFERROR(4*STDEVP(終値!K333:AD333)/AVERAGE(終値!K333:AD333),""))</f>
        <v/>
      </c>
      <c r="I333" s="503" t="str">
        <f>IF(終値!A333="","",IFERROR(4*STDEVP(終値!L333:AE333)/AVERAGE(終値!L333:AE333),""))</f>
        <v/>
      </c>
      <c r="J333" s="503" t="str">
        <f>IF(終値!A333="","",IFERROR(4*STDEVP(終値!M333:AF333)/AVERAGE(終値!M333:AF333),""))</f>
        <v/>
      </c>
      <c r="K333" s="503" t="str">
        <f>IF(終値!A333="","",IFERROR(4*STDEVP(終値!N333:AG333)/AVERAGE(終値!N333:AG333),""))</f>
        <v/>
      </c>
      <c r="L333" s="503" t="str">
        <f>IF(終値!A333="","",IFERROR(4*STDEVP(終値!O333:AH333)/AVERAGE(終値!O333:AH333),""))</f>
        <v/>
      </c>
      <c r="M333" s="503" t="str">
        <f>IF(終値!A333="","",IFERROR(4*STDEVP(終値!P333:AI333)/AVERAGE(終値!P333:AI333),""))</f>
        <v/>
      </c>
      <c r="N333" s="503" t="str">
        <f>IF(終値!A333="","",IFERROR(4*STDEVP(終値!Q333:AJ333)/AVERAGE(終値!Q333:AJ333),""))</f>
        <v/>
      </c>
      <c r="O333" s="503" t="str">
        <f>IF(終値!A333="","",IFERROR(4*STDEVP(終値!R333:AK333)/AVERAGE(終値!R333:AK333),""))</f>
        <v/>
      </c>
      <c r="P333" s="503" t="str">
        <f>IF(終値!A333="","",IFERROR(4*STDEVP(終値!S333:AL333)/AVERAGE(終値!S333:AL333),""))</f>
        <v/>
      </c>
      <c r="Q333" s="503" t="str">
        <f>IF(終値!A333="","",IFERROR(4*STDEVP(終値!T333:AM333)/AVERAGE(終値!T333:AM333),""))</f>
        <v/>
      </c>
      <c r="R333" s="503" t="str">
        <f>IF(終値!A333="","",IFERROR(4*STDEVP(終値!U333:AN333)/AVERAGE(終値!U333:AN333),""))</f>
        <v/>
      </c>
      <c r="S333" s="503" t="str">
        <f>IF(終値!A333="","",IFERROR(4*STDEVP(終値!V333:AO333)/AVERAGE(終値!V333:AO333),""))</f>
        <v/>
      </c>
      <c r="T333" s="503" t="str">
        <f>IF(終値!A333="","",IFERROR(4*STDEVP(終値!W333:AP333)/AVERAGE(終値!W333:AP333),""))</f>
        <v/>
      </c>
      <c r="U333" s="503" t="str">
        <f>IF(終値!A333="","",IFERROR(4*STDEVP(終値!X333:AQ333)/AVERAGE(終値!X333:AQ333),""))</f>
        <v/>
      </c>
      <c r="V333" s="503" t="str">
        <f>IF(終値!A333="","",IFERROR(4*STDEVP(終値!Y333:AR333)/AVERAGE(終値!Y333:AR333),""))</f>
        <v/>
      </c>
      <c r="W333" s="503" t="str">
        <f>IF(終値!A333="","",IFERROR(4*STDEVP(終値!Z333:AS333)/AVERAGE(終値!Z333:AS333),""))</f>
        <v/>
      </c>
      <c r="X333" s="503" t="str">
        <f>IF(終値!A333="","",IFERROR(4*STDEVP(終値!AA333:AT333)/AVERAGE(終値!AA333:AT333),""))</f>
        <v/>
      </c>
      <c r="Y333" s="503" t="str">
        <f>IF(終値!A333="","",IFERROR(4*STDEVP(終値!AB333:AU333)/AVERAGE(終値!AB333:AU333),""))</f>
        <v/>
      </c>
      <c r="Z333" s="503" t="str">
        <f>IF(終値!A333="","",IFERROR(4*STDEVP(終値!AC333:AV333)/AVERAGE(終値!AC333:AV333),""))</f>
        <v/>
      </c>
      <c r="AA333" s="503" t="str">
        <f>IF(終値!A333="","",IFERROR(4*STDEVP(終値!AD333:AW333)/AVERAGE(終値!AD333:AW333),""))</f>
        <v/>
      </c>
      <c r="AB333" s="503" t="str">
        <f>IF(終値!A333="","",IFERROR(4*STDEVP(終値!AE333:AX333)/AVERAGE(終値!AE333:AX333),""))</f>
        <v/>
      </c>
      <c r="AC333" s="503" t="str">
        <f>IF(終値!A333="","",IFERROR(4*STDEVP(終値!AF333:AY333)/AVERAGE(終値!AF333:AY333),""))</f>
        <v/>
      </c>
      <c r="AD333" s="503" t="str">
        <f>IF(終値!A333="","",IFERROR(4*STDEVP(終値!AG333:AZ333)/AVERAGE(終値!AG333:AZ333),""))</f>
        <v/>
      </c>
      <c r="AE333" s="503" t="str">
        <f>IF(終値!A333="","",IFERROR(4*STDEVP(終値!AH333:BA333)/AVERAGE(終値!AH333:BA333),""))</f>
        <v/>
      </c>
      <c r="AF333" s="503" t="str">
        <f>IF(終値!A333="","",IFERROR(4*STDEVP(終値!AI333:BB333)/AVERAGE(終値!AI333:BB333),""))</f>
        <v/>
      </c>
      <c r="AG333" s="503" t="str">
        <f>IF(終値!A333="","",IFERROR(4*STDEVP(終値!AJ333:BC333)/AVERAGE(終値!AJ333:BC333),""))</f>
        <v/>
      </c>
      <c r="AH333" s="503" t="str">
        <f>IF(終値!A333="","",IFERROR(4*STDEVP(終値!AK333:BD333)/AVERAGE(終値!AK333:BD333),""))</f>
        <v/>
      </c>
      <c r="AI333" s="503" t="str">
        <f>IF(終値!A333="","",IFERROR(4*STDEVP(終値!AL333:BE333)/AVERAGE(終値!AL333:BE333),""))</f>
        <v/>
      </c>
      <c r="AJ333" s="503" t="str">
        <f>IF(終値!A333="","",IFERROR(4*STDEVP(終値!AM333:BF333)/AVERAGE(終値!AM333:BF333),""))</f>
        <v/>
      </c>
      <c r="AK333" s="503" t="str">
        <f>IF(終値!A333="","",IFERROR(4*STDEVP(終値!AN333:BG333)/AVERAGE(終値!AN333:BG333),""))</f>
        <v/>
      </c>
      <c r="AL333" s="503" t="str">
        <f>IF(終値!A333="","",IFERROR(4*STDEVP(終値!AO333:BH333)/AVERAGE(終値!AO333:BH333),""))</f>
        <v/>
      </c>
      <c r="AM333" s="503" t="str">
        <f>IF(終値!A333="","",IFERROR(4*STDEVP(終値!AP333:BI333)/AVERAGE(終値!AP333:BI333),""))</f>
        <v/>
      </c>
      <c r="AN333" s="503" t="str">
        <f>IF(終値!A333="","",IFERROR(4*STDEVP(終値!AQ333:BJ333)/AVERAGE(終値!AQ333:BJ333),""))</f>
        <v/>
      </c>
      <c r="AO333" s="503" t="str">
        <f>IF(終値!A333="","",IFERROR(4*STDEVP(終値!AR333:BK333)/AVERAGE(終値!AR333:BK333),""))</f>
        <v/>
      </c>
      <c r="AP333" s="503" t="str">
        <f>IF(終値!A333="","",IFERROR(4*STDEVP(終値!AS333:BL333)/AVERAGE(終値!AS333:BL333),""))</f>
        <v/>
      </c>
    </row>
    <row r="334" spans="1:42">
      <c r="A334" s="500" t="str">
        <f>IF(終値!A334="","",終値!A334)</f>
        <v/>
      </c>
      <c r="B334" s="503" t="str">
        <f>IF(終値!A334="","",IFERROR(4*STDEVP(終値!E334:X334)/AVERAGE(終値!E334:X334),""))</f>
        <v/>
      </c>
      <c r="C334" s="503" t="str">
        <f>IF(終値!A334="","",IFERROR(4*STDEVP(終値!F334:Y334)/AVERAGE(終値!F334:Y334),""))</f>
        <v/>
      </c>
      <c r="D334" s="503" t="str">
        <f>IF(終値!A334="","",IFERROR(4*STDEVP(終値!G334:Z334)/AVERAGE(終値!G334:Z334),""))</f>
        <v/>
      </c>
      <c r="E334" s="503" t="str">
        <f>IF(終値!A334="","",IFERROR(4*STDEVP(終値!H334:AA334)/AVERAGE(終値!H334:AA334),""))</f>
        <v/>
      </c>
      <c r="F334" s="503" t="str">
        <f>IF(終値!A334="","",IFERROR(4*STDEVP(終値!I334:AB334)/AVERAGE(終値!I334:AB334),""))</f>
        <v/>
      </c>
      <c r="G334" s="503" t="str">
        <f>IF(終値!A334="","",IFERROR(4*STDEVP(終値!J334:AC334)/AVERAGE(終値!J334:AC334),""))</f>
        <v/>
      </c>
      <c r="H334" s="503" t="str">
        <f>IF(終値!A334="","",IFERROR(4*STDEVP(終値!K334:AD334)/AVERAGE(終値!K334:AD334),""))</f>
        <v/>
      </c>
      <c r="I334" s="503" t="str">
        <f>IF(終値!A334="","",IFERROR(4*STDEVP(終値!L334:AE334)/AVERAGE(終値!L334:AE334),""))</f>
        <v/>
      </c>
      <c r="J334" s="503" t="str">
        <f>IF(終値!A334="","",IFERROR(4*STDEVP(終値!M334:AF334)/AVERAGE(終値!M334:AF334),""))</f>
        <v/>
      </c>
      <c r="K334" s="503" t="str">
        <f>IF(終値!A334="","",IFERROR(4*STDEVP(終値!N334:AG334)/AVERAGE(終値!N334:AG334),""))</f>
        <v/>
      </c>
      <c r="L334" s="503" t="str">
        <f>IF(終値!A334="","",IFERROR(4*STDEVP(終値!O334:AH334)/AVERAGE(終値!O334:AH334),""))</f>
        <v/>
      </c>
      <c r="M334" s="503" t="str">
        <f>IF(終値!A334="","",IFERROR(4*STDEVP(終値!P334:AI334)/AVERAGE(終値!P334:AI334),""))</f>
        <v/>
      </c>
      <c r="N334" s="503" t="str">
        <f>IF(終値!A334="","",IFERROR(4*STDEVP(終値!Q334:AJ334)/AVERAGE(終値!Q334:AJ334),""))</f>
        <v/>
      </c>
      <c r="O334" s="503" t="str">
        <f>IF(終値!A334="","",IFERROR(4*STDEVP(終値!R334:AK334)/AVERAGE(終値!R334:AK334),""))</f>
        <v/>
      </c>
      <c r="P334" s="503" t="str">
        <f>IF(終値!A334="","",IFERROR(4*STDEVP(終値!S334:AL334)/AVERAGE(終値!S334:AL334),""))</f>
        <v/>
      </c>
      <c r="Q334" s="503" t="str">
        <f>IF(終値!A334="","",IFERROR(4*STDEVP(終値!T334:AM334)/AVERAGE(終値!T334:AM334),""))</f>
        <v/>
      </c>
      <c r="R334" s="503" t="str">
        <f>IF(終値!A334="","",IFERROR(4*STDEVP(終値!U334:AN334)/AVERAGE(終値!U334:AN334),""))</f>
        <v/>
      </c>
      <c r="S334" s="503" t="str">
        <f>IF(終値!A334="","",IFERROR(4*STDEVP(終値!V334:AO334)/AVERAGE(終値!V334:AO334),""))</f>
        <v/>
      </c>
      <c r="T334" s="503" t="str">
        <f>IF(終値!A334="","",IFERROR(4*STDEVP(終値!W334:AP334)/AVERAGE(終値!W334:AP334),""))</f>
        <v/>
      </c>
      <c r="U334" s="503" t="str">
        <f>IF(終値!A334="","",IFERROR(4*STDEVP(終値!X334:AQ334)/AVERAGE(終値!X334:AQ334),""))</f>
        <v/>
      </c>
      <c r="V334" s="503" t="str">
        <f>IF(終値!A334="","",IFERROR(4*STDEVP(終値!Y334:AR334)/AVERAGE(終値!Y334:AR334),""))</f>
        <v/>
      </c>
      <c r="W334" s="503" t="str">
        <f>IF(終値!A334="","",IFERROR(4*STDEVP(終値!Z334:AS334)/AVERAGE(終値!Z334:AS334),""))</f>
        <v/>
      </c>
      <c r="X334" s="503" t="str">
        <f>IF(終値!A334="","",IFERROR(4*STDEVP(終値!AA334:AT334)/AVERAGE(終値!AA334:AT334),""))</f>
        <v/>
      </c>
      <c r="Y334" s="503" t="str">
        <f>IF(終値!A334="","",IFERROR(4*STDEVP(終値!AB334:AU334)/AVERAGE(終値!AB334:AU334),""))</f>
        <v/>
      </c>
      <c r="Z334" s="503" t="str">
        <f>IF(終値!A334="","",IFERROR(4*STDEVP(終値!AC334:AV334)/AVERAGE(終値!AC334:AV334),""))</f>
        <v/>
      </c>
      <c r="AA334" s="503" t="str">
        <f>IF(終値!A334="","",IFERROR(4*STDEVP(終値!AD334:AW334)/AVERAGE(終値!AD334:AW334),""))</f>
        <v/>
      </c>
      <c r="AB334" s="503" t="str">
        <f>IF(終値!A334="","",IFERROR(4*STDEVP(終値!AE334:AX334)/AVERAGE(終値!AE334:AX334),""))</f>
        <v/>
      </c>
      <c r="AC334" s="503" t="str">
        <f>IF(終値!A334="","",IFERROR(4*STDEVP(終値!AF334:AY334)/AVERAGE(終値!AF334:AY334),""))</f>
        <v/>
      </c>
      <c r="AD334" s="503" t="str">
        <f>IF(終値!A334="","",IFERROR(4*STDEVP(終値!AG334:AZ334)/AVERAGE(終値!AG334:AZ334),""))</f>
        <v/>
      </c>
      <c r="AE334" s="503" t="str">
        <f>IF(終値!A334="","",IFERROR(4*STDEVP(終値!AH334:BA334)/AVERAGE(終値!AH334:BA334),""))</f>
        <v/>
      </c>
      <c r="AF334" s="503" t="str">
        <f>IF(終値!A334="","",IFERROR(4*STDEVP(終値!AI334:BB334)/AVERAGE(終値!AI334:BB334),""))</f>
        <v/>
      </c>
      <c r="AG334" s="503" t="str">
        <f>IF(終値!A334="","",IFERROR(4*STDEVP(終値!AJ334:BC334)/AVERAGE(終値!AJ334:BC334),""))</f>
        <v/>
      </c>
      <c r="AH334" s="503" t="str">
        <f>IF(終値!A334="","",IFERROR(4*STDEVP(終値!AK334:BD334)/AVERAGE(終値!AK334:BD334),""))</f>
        <v/>
      </c>
      <c r="AI334" s="503" t="str">
        <f>IF(終値!A334="","",IFERROR(4*STDEVP(終値!AL334:BE334)/AVERAGE(終値!AL334:BE334),""))</f>
        <v/>
      </c>
      <c r="AJ334" s="503" t="str">
        <f>IF(終値!A334="","",IFERROR(4*STDEVP(終値!AM334:BF334)/AVERAGE(終値!AM334:BF334),""))</f>
        <v/>
      </c>
      <c r="AK334" s="503" t="str">
        <f>IF(終値!A334="","",IFERROR(4*STDEVP(終値!AN334:BG334)/AVERAGE(終値!AN334:BG334),""))</f>
        <v/>
      </c>
      <c r="AL334" s="503" t="str">
        <f>IF(終値!A334="","",IFERROR(4*STDEVP(終値!AO334:BH334)/AVERAGE(終値!AO334:BH334),""))</f>
        <v/>
      </c>
      <c r="AM334" s="503" t="str">
        <f>IF(終値!A334="","",IFERROR(4*STDEVP(終値!AP334:BI334)/AVERAGE(終値!AP334:BI334),""))</f>
        <v/>
      </c>
      <c r="AN334" s="503" t="str">
        <f>IF(終値!A334="","",IFERROR(4*STDEVP(終値!AQ334:BJ334)/AVERAGE(終値!AQ334:BJ334),""))</f>
        <v/>
      </c>
      <c r="AO334" s="503" t="str">
        <f>IF(終値!A334="","",IFERROR(4*STDEVP(終値!AR334:BK334)/AVERAGE(終値!AR334:BK334),""))</f>
        <v/>
      </c>
      <c r="AP334" s="503" t="str">
        <f>IF(終値!A334="","",IFERROR(4*STDEVP(終値!AS334:BL334)/AVERAGE(終値!AS334:BL334),""))</f>
        <v/>
      </c>
    </row>
    <row r="335" spans="1:42">
      <c r="A335" s="500" t="str">
        <f>IF(終値!A335="","",終値!A335)</f>
        <v/>
      </c>
      <c r="B335" s="503" t="str">
        <f>IF(終値!A335="","",IFERROR(4*STDEVP(終値!E335:X335)/AVERAGE(終値!E335:X335),""))</f>
        <v/>
      </c>
      <c r="C335" s="503" t="str">
        <f>IF(終値!A335="","",IFERROR(4*STDEVP(終値!F335:Y335)/AVERAGE(終値!F335:Y335),""))</f>
        <v/>
      </c>
      <c r="D335" s="503" t="str">
        <f>IF(終値!A335="","",IFERROR(4*STDEVP(終値!G335:Z335)/AVERAGE(終値!G335:Z335),""))</f>
        <v/>
      </c>
      <c r="E335" s="503" t="str">
        <f>IF(終値!A335="","",IFERROR(4*STDEVP(終値!H335:AA335)/AVERAGE(終値!H335:AA335),""))</f>
        <v/>
      </c>
      <c r="F335" s="503" t="str">
        <f>IF(終値!A335="","",IFERROR(4*STDEVP(終値!I335:AB335)/AVERAGE(終値!I335:AB335),""))</f>
        <v/>
      </c>
      <c r="G335" s="503" t="str">
        <f>IF(終値!A335="","",IFERROR(4*STDEVP(終値!J335:AC335)/AVERAGE(終値!J335:AC335),""))</f>
        <v/>
      </c>
      <c r="H335" s="503" t="str">
        <f>IF(終値!A335="","",IFERROR(4*STDEVP(終値!K335:AD335)/AVERAGE(終値!K335:AD335),""))</f>
        <v/>
      </c>
      <c r="I335" s="503" t="str">
        <f>IF(終値!A335="","",IFERROR(4*STDEVP(終値!L335:AE335)/AVERAGE(終値!L335:AE335),""))</f>
        <v/>
      </c>
      <c r="J335" s="503" t="str">
        <f>IF(終値!A335="","",IFERROR(4*STDEVP(終値!M335:AF335)/AVERAGE(終値!M335:AF335),""))</f>
        <v/>
      </c>
      <c r="K335" s="503" t="str">
        <f>IF(終値!A335="","",IFERROR(4*STDEVP(終値!N335:AG335)/AVERAGE(終値!N335:AG335),""))</f>
        <v/>
      </c>
      <c r="L335" s="503" t="str">
        <f>IF(終値!A335="","",IFERROR(4*STDEVP(終値!O335:AH335)/AVERAGE(終値!O335:AH335),""))</f>
        <v/>
      </c>
      <c r="M335" s="503" t="str">
        <f>IF(終値!A335="","",IFERROR(4*STDEVP(終値!P335:AI335)/AVERAGE(終値!P335:AI335),""))</f>
        <v/>
      </c>
      <c r="N335" s="503" t="str">
        <f>IF(終値!A335="","",IFERROR(4*STDEVP(終値!Q335:AJ335)/AVERAGE(終値!Q335:AJ335),""))</f>
        <v/>
      </c>
      <c r="O335" s="503" t="str">
        <f>IF(終値!A335="","",IFERROR(4*STDEVP(終値!R335:AK335)/AVERAGE(終値!R335:AK335),""))</f>
        <v/>
      </c>
      <c r="P335" s="503" t="str">
        <f>IF(終値!A335="","",IFERROR(4*STDEVP(終値!S335:AL335)/AVERAGE(終値!S335:AL335),""))</f>
        <v/>
      </c>
      <c r="Q335" s="503" t="str">
        <f>IF(終値!A335="","",IFERROR(4*STDEVP(終値!T335:AM335)/AVERAGE(終値!T335:AM335),""))</f>
        <v/>
      </c>
      <c r="R335" s="503" t="str">
        <f>IF(終値!A335="","",IFERROR(4*STDEVP(終値!U335:AN335)/AVERAGE(終値!U335:AN335),""))</f>
        <v/>
      </c>
      <c r="S335" s="503" t="str">
        <f>IF(終値!A335="","",IFERROR(4*STDEVP(終値!V335:AO335)/AVERAGE(終値!V335:AO335),""))</f>
        <v/>
      </c>
      <c r="T335" s="503" t="str">
        <f>IF(終値!A335="","",IFERROR(4*STDEVP(終値!W335:AP335)/AVERAGE(終値!W335:AP335),""))</f>
        <v/>
      </c>
      <c r="U335" s="503" t="str">
        <f>IF(終値!A335="","",IFERROR(4*STDEVP(終値!X335:AQ335)/AVERAGE(終値!X335:AQ335),""))</f>
        <v/>
      </c>
      <c r="V335" s="503" t="str">
        <f>IF(終値!A335="","",IFERROR(4*STDEVP(終値!Y335:AR335)/AVERAGE(終値!Y335:AR335),""))</f>
        <v/>
      </c>
      <c r="W335" s="503" t="str">
        <f>IF(終値!A335="","",IFERROR(4*STDEVP(終値!Z335:AS335)/AVERAGE(終値!Z335:AS335),""))</f>
        <v/>
      </c>
      <c r="X335" s="503" t="str">
        <f>IF(終値!A335="","",IFERROR(4*STDEVP(終値!AA335:AT335)/AVERAGE(終値!AA335:AT335),""))</f>
        <v/>
      </c>
      <c r="Y335" s="503" t="str">
        <f>IF(終値!A335="","",IFERROR(4*STDEVP(終値!AB335:AU335)/AVERAGE(終値!AB335:AU335),""))</f>
        <v/>
      </c>
      <c r="Z335" s="503" t="str">
        <f>IF(終値!A335="","",IFERROR(4*STDEVP(終値!AC335:AV335)/AVERAGE(終値!AC335:AV335),""))</f>
        <v/>
      </c>
      <c r="AA335" s="503" t="str">
        <f>IF(終値!A335="","",IFERROR(4*STDEVP(終値!AD335:AW335)/AVERAGE(終値!AD335:AW335),""))</f>
        <v/>
      </c>
      <c r="AB335" s="503" t="str">
        <f>IF(終値!A335="","",IFERROR(4*STDEVP(終値!AE335:AX335)/AVERAGE(終値!AE335:AX335),""))</f>
        <v/>
      </c>
      <c r="AC335" s="503" t="str">
        <f>IF(終値!A335="","",IFERROR(4*STDEVP(終値!AF335:AY335)/AVERAGE(終値!AF335:AY335),""))</f>
        <v/>
      </c>
      <c r="AD335" s="503" t="str">
        <f>IF(終値!A335="","",IFERROR(4*STDEVP(終値!AG335:AZ335)/AVERAGE(終値!AG335:AZ335),""))</f>
        <v/>
      </c>
      <c r="AE335" s="503" t="str">
        <f>IF(終値!A335="","",IFERROR(4*STDEVP(終値!AH335:BA335)/AVERAGE(終値!AH335:BA335),""))</f>
        <v/>
      </c>
      <c r="AF335" s="503" t="str">
        <f>IF(終値!A335="","",IFERROR(4*STDEVP(終値!AI335:BB335)/AVERAGE(終値!AI335:BB335),""))</f>
        <v/>
      </c>
      <c r="AG335" s="503" t="str">
        <f>IF(終値!A335="","",IFERROR(4*STDEVP(終値!AJ335:BC335)/AVERAGE(終値!AJ335:BC335),""))</f>
        <v/>
      </c>
      <c r="AH335" s="503" t="str">
        <f>IF(終値!A335="","",IFERROR(4*STDEVP(終値!AK335:BD335)/AVERAGE(終値!AK335:BD335),""))</f>
        <v/>
      </c>
      <c r="AI335" s="503" t="str">
        <f>IF(終値!A335="","",IFERROR(4*STDEVP(終値!AL335:BE335)/AVERAGE(終値!AL335:BE335),""))</f>
        <v/>
      </c>
      <c r="AJ335" s="503" t="str">
        <f>IF(終値!A335="","",IFERROR(4*STDEVP(終値!AM335:BF335)/AVERAGE(終値!AM335:BF335),""))</f>
        <v/>
      </c>
      <c r="AK335" s="503" t="str">
        <f>IF(終値!A335="","",IFERROR(4*STDEVP(終値!AN335:BG335)/AVERAGE(終値!AN335:BG335),""))</f>
        <v/>
      </c>
      <c r="AL335" s="503" t="str">
        <f>IF(終値!A335="","",IFERROR(4*STDEVP(終値!AO335:BH335)/AVERAGE(終値!AO335:BH335),""))</f>
        <v/>
      </c>
      <c r="AM335" s="503" t="str">
        <f>IF(終値!A335="","",IFERROR(4*STDEVP(終値!AP335:BI335)/AVERAGE(終値!AP335:BI335),""))</f>
        <v/>
      </c>
      <c r="AN335" s="503" t="str">
        <f>IF(終値!A335="","",IFERROR(4*STDEVP(終値!AQ335:BJ335)/AVERAGE(終値!AQ335:BJ335),""))</f>
        <v/>
      </c>
      <c r="AO335" s="503" t="str">
        <f>IF(終値!A335="","",IFERROR(4*STDEVP(終値!AR335:BK335)/AVERAGE(終値!AR335:BK335),""))</f>
        <v/>
      </c>
      <c r="AP335" s="503" t="str">
        <f>IF(終値!A335="","",IFERROR(4*STDEVP(終値!AS335:BL335)/AVERAGE(終値!AS335:BL335),""))</f>
        <v/>
      </c>
    </row>
    <row r="336" spans="1:42">
      <c r="A336" s="500" t="str">
        <f>IF(終値!A336="","",終値!A336)</f>
        <v/>
      </c>
      <c r="B336" s="503" t="str">
        <f>IF(終値!A336="","",IFERROR(4*STDEVP(終値!E336:X336)/AVERAGE(終値!E336:X336),""))</f>
        <v/>
      </c>
      <c r="C336" s="503" t="str">
        <f>IF(終値!A336="","",IFERROR(4*STDEVP(終値!F336:Y336)/AVERAGE(終値!F336:Y336),""))</f>
        <v/>
      </c>
      <c r="D336" s="503" t="str">
        <f>IF(終値!A336="","",IFERROR(4*STDEVP(終値!G336:Z336)/AVERAGE(終値!G336:Z336),""))</f>
        <v/>
      </c>
      <c r="E336" s="503" t="str">
        <f>IF(終値!A336="","",IFERROR(4*STDEVP(終値!H336:AA336)/AVERAGE(終値!H336:AA336),""))</f>
        <v/>
      </c>
      <c r="F336" s="503" t="str">
        <f>IF(終値!A336="","",IFERROR(4*STDEVP(終値!I336:AB336)/AVERAGE(終値!I336:AB336),""))</f>
        <v/>
      </c>
      <c r="G336" s="503" t="str">
        <f>IF(終値!A336="","",IFERROR(4*STDEVP(終値!J336:AC336)/AVERAGE(終値!J336:AC336),""))</f>
        <v/>
      </c>
      <c r="H336" s="503" t="str">
        <f>IF(終値!A336="","",IFERROR(4*STDEVP(終値!K336:AD336)/AVERAGE(終値!K336:AD336),""))</f>
        <v/>
      </c>
      <c r="I336" s="503" t="str">
        <f>IF(終値!A336="","",IFERROR(4*STDEVP(終値!L336:AE336)/AVERAGE(終値!L336:AE336),""))</f>
        <v/>
      </c>
      <c r="J336" s="503" t="str">
        <f>IF(終値!A336="","",IFERROR(4*STDEVP(終値!M336:AF336)/AVERAGE(終値!M336:AF336),""))</f>
        <v/>
      </c>
      <c r="K336" s="503" t="str">
        <f>IF(終値!A336="","",IFERROR(4*STDEVP(終値!N336:AG336)/AVERAGE(終値!N336:AG336),""))</f>
        <v/>
      </c>
      <c r="L336" s="503" t="str">
        <f>IF(終値!A336="","",IFERROR(4*STDEVP(終値!O336:AH336)/AVERAGE(終値!O336:AH336),""))</f>
        <v/>
      </c>
      <c r="M336" s="503" t="str">
        <f>IF(終値!A336="","",IFERROR(4*STDEVP(終値!P336:AI336)/AVERAGE(終値!P336:AI336),""))</f>
        <v/>
      </c>
      <c r="N336" s="503" t="str">
        <f>IF(終値!A336="","",IFERROR(4*STDEVP(終値!Q336:AJ336)/AVERAGE(終値!Q336:AJ336),""))</f>
        <v/>
      </c>
      <c r="O336" s="503" t="str">
        <f>IF(終値!A336="","",IFERROR(4*STDEVP(終値!R336:AK336)/AVERAGE(終値!R336:AK336),""))</f>
        <v/>
      </c>
      <c r="P336" s="503" t="str">
        <f>IF(終値!A336="","",IFERROR(4*STDEVP(終値!S336:AL336)/AVERAGE(終値!S336:AL336),""))</f>
        <v/>
      </c>
      <c r="Q336" s="503" t="str">
        <f>IF(終値!A336="","",IFERROR(4*STDEVP(終値!T336:AM336)/AVERAGE(終値!T336:AM336),""))</f>
        <v/>
      </c>
      <c r="R336" s="503" t="str">
        <f>IF(終値!A336="","",IFERROR(4*STDEVP(終値!U336:AN336)/AVERAGE(終値!U336:AN336),""))</f>
        <v/>
      </c>
      <c r="S336" s="503" t="str">
        <f>IF(終値!A336="","",IFERROR(4*STDEVP(終値!V336:AO336)/AVERAGE(終値!V336:AO336),""))</f>
        <v/>
      </c>
      <c r="T336" s="503" t="str">
        <f>IF(終値!A336="","",IFERROR(4*STDEVP(終値!W336:AP336)/AVERAGE(終値!W336:AP336),""))</f>
        <v/>
      </c>
      <c r="U336" s="503" t="str">
        <f>IF(終値!A336="","",IFERROR(4*STDEVP(終値!X336:AQ336)/AVERAGE(終値!X336:AQ336),""))</f>
        <v/>
      </c>
      <c r="V336" s="503" t="str">
        <f>IF(終値!A336="","",IFERROR(4*STDEVP(終値!Y336:AR336)/AVERAGE(終値!Y336:AR336),""))</f>
        <v/>
      </c>
      <c r="W336" s="503" t="str">
        <f>IF(終値!A336="","",IFERROR(4*STDEVP(終値!Z336:AS336)/AVERAGE(終値!Z336:AS336),""))</f>
        <v/>
      </c>
      <c r="X336" s="503" t="str">
        <f>IF(終値!A336="","",IFERROR(4*STDEVP(終値!AA336:AT336)/AVERAGE(終値!AA336:AT336),""))</f>
        <v/>
      </c>
      <c r="Y336" s="503" t="str">
        <f>IF(終値!A336="","",IFERROR(4*STDEVP(終値!AB336:AU336)/AVERAGE(終値!AB336:AU336),""))</f>
        <v/>
      </c>
      <c r="Z336" s="503" t="str">
        <f>IF(終値!A336="","",IFERROR(4*STDEVP(終値!AC336:AV336)/AVERAGE(終値!AC336:AV336),""))</f>
        <v/>
      </c>
      <c r="AA336" s="503" t="str">
        <f>IF(終値!A336="","",IFERROR(4*STDEVP(終値!AD336:AW336)/AVERAGE(終値!AD336:AW336),""))</f>
        <v/>
      </c>
      <c r="AB336" s="503" t="str">
        <f>IF(終値!A336="","",IFERROR(4*STDEVP(終値!AE336:AX336)/AVERAGE(終値!AE336:AX336),""))</f>
        <v/>
      </c>
      <c r="AC336" s="503" t="str">
        <f>IF(終値!A336="","",IFERROR(4*STDEVP(終値!AF336:AY336)/AVERAGE(終値!AF336:AY336),""))</f>
        <v/>
      </c>
      <c r="AD336" s="503" t="str">
        <f>IF(終値!A336="","",IFERROR(4*STDEVP(終値!AG336:AZ336)/AVERAGE(終値!AG336:AZ336),""))</f>
        <v/>
      </c>
      <c r="AE336" s="503" t="str">
        <f>IF(終値!A336="","",IFERROR(4*STDEVP(終値!AH336:BA336)/AVERAGE(終値!AH336:BA336),""))</f>
        <v/>
      </c>
      <c r="AF336" s="503" t="str">
        <f>IF(終値!A336="","",IFERROR(4*STDEVP(終値!AI336:BB336)/AVERAGE(終値!AI336:BB336),""))</f>
        <v/>
      </c>
      <c r="AG336" s="503" t="str">
        <f>IF(終値!A336="","",IFERROR(4*STDEVP(終値!AJ336:BC336)/AVERAGE(終値!AJ336:BC336),""))</f>
        <v/>
      </c>
      <c r="AH336" s="503" t="str">
        <f>IF(終値!A336="","",IFERROR(4*STDEVP(終値!AK336:BD336)/AVERAGE(終値!AK336:BD336),""))</f>
        <v/>
      </c>
      <c r="AI336" s="503" t="str">
        <f>IF(終値!A336="","",IFERROR(4*STDEVP(終値!AL336:BE336)/AVERAGE(終値!AL336:BE336),""))</f>
        <v/>
      </c>
      <c r="AJ336" s="503" t="str">
        <f>IF(終値!A336="","",IFERROR(4*STDEVP(終値!AM336:BF336)/AVERAGE(終値!AM336:BF336),""))</f>
        <v/>
      </c>
      <c r="AK336" s="503" t="str">
        <f>IF(終値!A336="","",IFERROR(4*STDEVP(終値!AN336:BG336)/AVERAGE(終値!AN336:BG336),""))</f>
        <v/>
      </c>
      <c r="AL336" s="503" t="str">
        <f>IF(終値!A336="","",IFERROR(4*STDEVP(終値!AO336:BH336)/AVERAGE(終値!AO336:BH336),""))</f>
        <v/>
      </c>
      <c r="AM336" s="503" t="str">
        <f>IF(終値!A336="","",IFERROR(4*STDEVP(終値!AP336:BI336)/AVERAGE(終値!AP336:BI336),""))</f>
        <v/>
      </c>
      <c r="AN336" s="503" t="str">
        <f>IF(終値!A336="","",IFERROR(4*STDEVP(終値!AQ336:BJ336)/AVERAGE(終値!AQ336:BJ336),""))</f>
        <v/>
      </c>
      <c r="AO336" s="503" t="str">
        <f>IF(終値!A336="","",IFERROR(4*STDEVP(終値!AR336:BK336)/AVERAGE(終値!AR336:BK336),""))</f>
        <v/>
      </c>
      <c r="AP336" s="503" t="str">
        <f>IF(終値!A336="","",IFERROR(4*STDEVP(終値!AS336:BL336)/AVERAGE(終値!AS336:BL336),""))</f>
        <v/>
      </c>
    </row>
    <row r="337" spans="1:42">
      <c r="A337" s="500" t="str">
        <f>IF(終値!A337="","",終値!A337)</f>
        <v/>
      </c>
      <c r="B337" s="503" t="str">
        <f>IF(終値!A337="","",IFERROR(4*STDEVP(終値!E337:X337)/AVERAGE(終値!E337:X337),""))</f>
        <v/>
      </c>
      <c r="C337" s="503" t="str">
        <f>IF(終値!A337="","",IFERROR(4*STDEVP(終値!F337:Y337)/AVERAGE(終値!F337:Y337),""))</f>
        <v/>
      </c>
      <c r="D337" s="503" t="str">
        <f>IF(終値!A337="","",IFERROR(4*STDEVP(終値!G337:Z337)/AVERAGE(終値!G337:Z337),""))</f>
        <v/>
      </c>
      <c r="E337" s="503" t="str">
        <f>IF(終値!A337="","",IFERROR(4*STDEVP(終値!H337:AA337)/AVERAGE(終値!H337:AA337),""))</f>
        <v/>
      </c>
      <c r="F337" s="503" t="str">
        <f>IF(終値!A337="","",IFERROR(4*STDEVP(終値!I337:AB337)/AVERAGE(終値!I337:AB337),""))</f>
        <v/>
      </c>
      <c r="G337" s="503" t="str">
        <f>IF(終値!A337="","",IFERROR(4*STDEVP(終値!J337:AC337)/AVERAGE(終値!J337:AC337),""))</f>
        <v/>
      </c>
      <c r="H337" s="503" t="str">
        <f>IF(終値!A337="","",IFERROR(4*STDEVP(終値!K337:AD337)/AVERAGE(終値!K337:AD337),""))</f>
        <v/>
      </c>
      <c r="I337" s="503" t="str">
        <f>IF(終値!A337="","",IFERROR(4*STDEVP(終値!L337:AE337)/AVERAGE(終値!L337:AE337),""))</f>
        <v/>
      </c>
      <c r="J337" s="503" t="str">
        <f>IF(終値!A337="","",IFERROR(4*STDEVP(終値!M337:AF337)/AVERAGE(終値!M337:AF337),""))</f>
        <v/>
      </c>
      <c r="K337" s="503" t="str">
        <f>IF(終値!A337="","",IFERROR(4*STDEVP(終値!N337:AG337)/AVERAGE(終値!N337:AG337),""))</f>
        <v/>
      </c>
      <c r="L337" s="503" t="str">
        <f>IF(終値!A337="","",IFERROR(4*STDEVP(終値!O337:AH337)/AVERAGE(終値!O337:AH337),""))</f>
        <v/>
      </c>
      <c r="M337" s="503" t="str">
        <f>IF(終値!A337="","",IFERROR(4*STDEVP(終値!P337:AI337)/AVERAGE(終値!P337:AI337),""))</f>
        <v/>
      </c>
      <c r="N337" s="503" t="str">
        <f>IF(終値!A337="","",IFERROR(4*STDEVP(終値!Q337:AJ337)/AVERAGE(終値!Q337:AJ337),""))</f>
        <v/>
      </c>
      <c r="O337" s="503" t="str">
        <f>IF(終値!A337="","",IFERROR(4*STDEVP(終値!R337:AK337)/AVERAGE(終値!R337:AK337),""))</f>
        <v/>
      </c>
      <c r="P337" s="503" t="str">
        <f>IF(終値!A337="","",IFERROR(4*STDEVP(終値!S337:AL337)/AVERAGE(終値!S337:AL337),""))</f>
        <v/>
      </c>
      <c r="Q337" s="503" t="str">
        <f>IF(終値!A337="","",IFERROR(4*STDEVP(終値!T337:AM337)/AVERAGE(終値!T337:AM337),""))</f>
        <v/>
      </c>
      <c r="R337" s="503" t="str">
        <f>IF(終値!A337="","",IFERROR(4*STDEVP(終値!U337:AN337)/AVERAGE(終値!U337:AN337),""))</f>
        <v/>
      </c>
      <c r="S337" s="503" t="str">
        <f>IF(終値!A337="","",IFERROR(4*STDEVP(終値!V337:AO337)/AVERAGE(終値!V337:AO337),""))</f>
        <v/>
      </c>
      <c r="T337" s="503" t="str">
        <f>IF(終値!A337="","",IFERROR(4*STDEVP(終値!W337:AP337)/AVERAGE(終値!W337:AP337),""))</f>
        <v/>
      </c>
      <c r="U337" s="503" t="str">
        <f>IF(終値!A337="","",IFERROR(4*STDEVP(終値!X337:AQ337)/AVERAGE(終値!X337:AQ337),""))</f>
        <v/>
      </c>
      <c r="V337" s="503" t="str">
        <f>IF(終値!A337="","",IFERROR(4*STDEVP(終値!Y337:AR337)/AVERAGE(終値!Y337:AR337),""))</f>
        <v/>
      </c>
      <c r="W337" s="503" t="str">
        <f>IF(終値!A337="","",IFERROR(4*STDEVP(終値!Z337:AS337)/AVERAGE(終値!Z337:AS337),""))</f>
        <v/>
      </c>
      <c r="X337" s="503" t="str">
        <f>IF(終値!A337="","",IFERROR(4*STDEVP(終値!AA337:AT337)/AVERAGE(終値!AA337:AT337),""))</f>
        <v/>
      </c>
      <c r="Y337" s="503" t="str">
        <f>IF(終値!A337="","",IFERROR(4*STDEVP(終値!AB337:AU337)/AVERAGE(終値!AB337:AU337),""))</f>
        <v/>
      </c>
      <c r="Z337" s="503" t="str">
        <f>IF(終値!A337="","",IFERROR(4*STDEVP(終値!AC337:AV337)/AVERAGE(終値!AC337:AV337),""))</f>
        <v/>
      </c>
      <c r="AA337" s="503" t="str">
        <f>IF(終値!A337="","",IFERROR(4*STDEVP(終値!AD337:AW337)/AVERAGE(終値!AD337:AW337),""))</f>
        <v/>
      </c>
      <c r="AB337" s="503" t="str">
        <f>IF(終値!A337="","",IFERROR(4*STDEVP(終値!AE337:AX337)/AVERAGE(終値!AE337:AX337),""))</f>
        <v/>
      </c>
      <c r="AC337" s="503" t="str">
        <f>IF(終値!A337="","",IFERROR(4*STDEVP(終値!AF337:AY337)/AVERAGE(終値!AF337:AY337),""))</f>
        <v/>
      </c>
      <c r="AD337" s="503" t="str">
        <f>IF(終値!A337="","",IFERROR(4*STDEVP(終値!AG337:AZ337)/AVERAGE(終値!AG337:AZ337),""))</f>
        <v/>
      </c>
      <c r="AE337" s="503" t="str">
        <f>IF(終値!A337="","",IFERROR(4*STDEVP(終値!AH337:BA337)/AVERAGE(終値!AH337:BA337),""))</f>
        <v/>
      </c>
      <c r="AF337" s="503" t="str">
        <f>IF(終値!A337="","",IFERROR(4*STDEVP(終値!AI337:BB337)/AVERAGE(終値!AI337:BB337),""))</f>
        <v/>
      </c>
      <c r="AG337" s="503" t="str">
        <f>IF(終値!A337="","",IFERROR(4*STDEVP(終値!AJ337:BC337)/AVERAGE(終値!AJ337:BC337),""))</f>
        <v/>
      </c>
      <c r="AH337" s="503" t="str">
        <f>IF(終値!A337="","",IFERROR(4*STDEVP(終値!AK337:BD337)/AVERAGE(終値!AK337:BD337),""))</f>
        <v/>
      </c>
      <c r="AI337" s="503" t="str">
        <f>IF(終値!A337="","",IFERROR(4*STDEVP(終値!AL337:BE337)/AVERAGE(終値!AL337:BE337),""))</f>
        <v/>
      </c>
      <c r="AJ337" s="503" t="str">
        <f>IF(終値!A337="","",IFERROR(4*STDEVP(終値!AM337:BF337)/AVERAGE(終値!AM337:BF337),""))</f>
        <v/>
      </c>
      <c r="AK337" s="503" t="str">
        <f>IF(終値!A337="","",IFERROR(4*STDEVP(終値!AN337:BG337)/AVERAGE(終値!AN337:BG337),""))</f>
        <v/>
      </c>
      <c r="AL337" s="503" t="str">
        <f>IF(終値!A337="","",IFERROR(4*STDEVP(終値!AO337:BH337)/AVERAGE(終値!AO337:BH337),""))</f>
        <v/>
      </c>
      <c r="AM337" s="503" t="str">
        <f>IF(終値!A337="","",IFERROR(4*STDEVP(終値!AP337:BI337)/AVERAGE(終値!AP337:BI337),""))</f>
        <v/>
      </c>
      <c r="AN337" s="503" t="str">
        <f>IF(終値!A337="","",IFERROR(4*STDEVP(終値!AQ337:BJ337)/AVERAGE(終値!AQ337:BJ337),""))</f>
        <v/>
      </c>
      <c r="AO337" s="503" t="str">
        <f>IF(終値!A337="","",IFERROR(4*STDEVP(終値!AR337:BK337)/AVERAGE(終値!AR337:BK337),""))</f>
        <v/>
      </c>
      <c r="AP337" s="503" t="str">
        <f>IF(終値!A337="","",IFERROR(4*STDEVP(終値!AS337:BL337)/AVERAGE(終値!AS337:BL337),""))</f>
        <v/>
      </c>
    </row>
    <row r="338" spans="1:42">
      <c r="A338" s="500" t="str">
        <f>IF(終値!A338="","",終値!A338)</f>
        <v/>
      </c>
      <c r="B338" s="503" t="str">
        <f>IF(終値!A338="","",IFERROR(4*STDEVP(終値!E338:X338)/AVERAGE(終値!E338:X338),""))</f>
        <v/>
      </c>
      <c r="C338" s="503" t="str">
        <f>IF(終値!A338="","",IFERROR(4*STDEVP(終値!F338:Y338)/AVERAGE(終値!F338:Y338),""))</f>
        <v/>
      </c>
      <c r="D338" s="503" t="str">
        <f>IF(終値!A338="","",IFERROR(4*STDEVP(終値!G338:Z338)/AVERAGE(終値!G338:Z338),""))</f>
        <v/>
      </c>
      <c r="E338" s="503" t="str">
        <f>IF(終値!A338="","",IFERROR(4*STDEVP(終値!H338:AA338)/AVERAGE(終値!H338:AA338),""))</f>
        <v/>
      </c>
      <c r="F338" s="503" t="str">
        <f>IF(終値!A338="","",IFERROR(4*STDEVP(終値!I338:AB338)/AVERAGE(終値!I338:AB338),""))</f>
        <v/>
      </c>
      <c r="G338" s="503" t="str">
        <f>IF(終値!A338="","",IFERROR(4*STDEVP(終値!J338:AC338)/AVERAGE(終値!J338:AC338),""))</f>
        <v/>
      </c>
      <c r="H338" s="503" t="str">
        <f>IF(終値!A338="","",IFERROR(4*STDEVP(終値!K338:AD338)/AVERAGE(終値!K338:AD338),""))</f>
        <v/>
      </c>
      <c r="I338" s="503" t="str">
        <f>IF(終値!A338="","",IFERROR(4*STDEVP(終値!L338:AE338)/AVERAGE(終値!L338:AE338),""))</f>
        <v/>
      </c>
      <c r="J338" s="503" t="str">
        <f>IF(終値!A338="","",IFERROR(4*STDEVP(終値!M338:AF338)/AVERAGE(終値!M338:AF338),""))</f>
        <v/>
      </c>
      <c r="K338" s="503" t="str">
        <f>IF(終値!A338="","",IFERROR(4*STDEVP(終値!N338:AG338)/AVERAGE(終値!N338:AG338),""))</f>
        <v/>
      </c>
      <c r="L338" s="503" t="str">
        <f>IF(終値!A338="","",IFERROR(4*STDEVP(終値!O338:AH338)/AVERAGE(終値!O338:AH338),""))</f>
        <v/>
      </c>
      <c r="M338" s="503" t="str">
        <f>IF(終値!A338="","",IFERROR(4*STDEVP(終値!P338:AI338)/AVERAGE(終値!P338:AI338),""))</f>
        <v/>
      </c>
      <c r="N338" s="503" t="str">
        <f>IF(終値!A338="","",IFERROR(4*STDEVP(終値!Q338:AJ338)/AVERAGE(終値!Q338:AJ338),""))</f>
        <v/>
      </c>
      <c r="O338" s="503" t="str">
        <f>IF(終値!A338="","",IFERROR(4*STDEVP(終値!R338:AK338)/AVERAGE(終値!R338:AK338),""))</f>
        <v/>
      </c>
      <c r="P338" s="503" t="str">
        <f>IF(終値!A338="","",IFERROR(4*STDEVP(終値!S338:AL338)/AVERAGE(終値!S338:AL338),""))</f>
        <v/>
      </c>
      <c r="Q338" s="503" t="str">
        <f>IF(終値!A338="","",IFERROR(4*STDEVP(終値!T338:AM338)/AVERAGE(終値!T338:AM338),""))</f>
        <v/>
      </c>
      <c r="R338" s="503" t="str">
        <f>IF(終値!A338="","",IFERROR(4*STDEVP(終値!U338:AN338)/AVERAGE(終値!U338:AN338),""))</f>
        <v/>
      </c>
      <c r="S338" s="503" t="str">
        <f>IF(終値!A338="","",IFERROR(4*STDEVP(終値!V338:AO338)/AVERAGE(終値!V338:AO338),""))</f>
        <v/>
      </c>
      <c r="T338" s="503" t="str">
        <f>IF(終値!A338="","",IFERROR(4*STDEVP(終値!W338:AP338)/AVERAGE(終値!W338:AP338),""))</f>
        <v/>
      </c>
      <c r="U338" s="503" t="str">
        <f>IF(終値!A338="","",IFERROR(4*STDEVP(終値!X338:AQ338)/AVERAGE(終値!X338:AQ338),""))</f>
        <v/>
      </c>
      <c r="V338" s="503" t="str">
        <f>IF(終値!A338="","",IFERROR(4*STDEVP(終値!Y338:AR338)/AVERAGE(終値!Y338:AR338),""))</f>
        <v/>
      </c>
      <c r="W338" s="503" t="str">
        <f>IF(終値!A338="","",IFERROR(4*STDEVP(終値!Z338:AS338)/AVERAGE(終値!Z338:AS338),""))</f>
        <v/>
      </c>
      <c r="X338" s="503" t="str">
        <f>IF(終値!A338="","",IFERROR(4*STDEVP(終値!AA338:AT338)/AVERAGE(終値!AA338:AT338),""))</f>
        <v/>
      </c>
      <c r="Y338" s="503" t="str">
        <f>IF(終値!A338="","",IFERROR(4*STDEVP(終値!AB338:AU338)/AVERAGE(終値!AB338:AU338),""))</f>
        <v/>
      </c>
      <c r="Z338" s="503" t="str">
        <f>IF(終値!A338="","",IFERROR(4*STDEVP(終値!AC338:AV338)/AVERAGE(終値!AC338:AV338),""))</f>
        <v/>
      </c>
      <c r="AA338" s="503" t="str">
        <f>IF(終値!A338="","",IFERROR(4*STDEVP(終値!AD338:AW338)/AVERAGE(終値!AD338:AW338),""))</f>
        <v/>
      </c>
      <c r="AB338" s="503" t="str">
        <f>IF(終値!A338="","",IFERROR(4*STDEVP(終値!AE338:AX338)/AVERAGE(終値!AE338:AX338),""))</f>
        <v/>
      </c>
      <c r="AC338" s="503" t="str">
        <f>IF(終値!A338="","",IFERROR(4*STDEVP(終値!AF338:AY338)/AVERAGE(終値!AF338:AY338),""))</f>
        <v/>
      </c>
      <c r="AD338" s="503" t="str">
        <f>IF(終値!A338="","",IFERROR(4*STDEVP(終値!AG338:AZ338)/AVERAGE(終値!AG338:AZ338),""))</f>
        <v/>
      </c>
      <c r="AE338" s="503" t="str">
        <f>IF(終値!A338="","",IFERROR(4*STDEVP(終値!AH338:BA338)/AVERAGE(終値!AH338:BA338),""))</f>
        <v/>
      </c>
      <c r="AF338" s="503" t="str">
        <f>IF(終値!A338="","",IFERROR(4*STDEVP(終値!AI338:BB338)/AVERAGE(終値!AI338:BB338),""))</f>
        <v/>
      </c>
      <c r="AG338" s="503" t="str">
        <f>IF(終値!A338="","",IFERROR(4*STDEVP(終値!AJ338:BC338)/AVERAGE(終値!AJ338:BC338),""))</f>
        <v/>
      </c>
      <c r="AH338" s="503" t="str">
        <f>IF(終値!A338="","",IFERROR(4*STDEVP(終値!AK338:BD338)/AVERAGE(終値!AK338:BD338),""))</f>
        <v/>
      </c>
      <c r="AI338" s="503" t="str">
        <f>IF(終値!A338="","",IFERROR(4*STDEVP(終値!AL338:BE338)/AVERAGE(終値!AL338:BE338),""))</f>
        <v/>
      </c>
      <c r="AJ338" s="503" t="str">
        <f>IF(終値!A338="","",IFERROR(4*STDEVP(終値!AM338:BF338)/AVERAGE(終値!AM338:BF338),""))</f>
        <v/>
      </c>
      <c r="AK338" s="503" t="str">
        <f>IF(終値!A338="","",IFERROR(4*STDEVP(終値!AN338:BG338)/AVERAGE(終値!AN338:BG338),""))</f>
        <v/>
      </c>
      <c r="AL338" s="503" t="str">
        <f>IF(終値!A338="","",IFERROR(4*STDEVP(終値!AO338:BH338)/AVERAGE(終値!AO338:BH338),""))</f>
        <v/>
      </c>
      <c r="AM338" s="503" t="str">
        <f>IF(終値!A338="","",IFERROR(4*STDEVP(終値!AP338:BI338)/AVERAGE(終値!AP338:BI338),""))</f>
        <v/>
      </c>
      <c r="AN338" s="503" t="str">
        <f>IF(終値!A338="","",IFERROR(4*STDEVP(終値!AQ338:BJ338)/AVERAGE(終値!AQ338:BJ338),""))</f>
        <v/>
      </c>
      <c r="AO338" s="503" t="str">
        <f>IF(終値!A338="","",IFERROR(4*STDEVP(終値!AR338:BK338)/AVERAGE(終値!AR338:BK338),""))</f>
        <v/>
      </c>
      <c r="AP338" s="503" t="str">
        <f>IF(終値!A338="","",IFERROR(4*STDEVP(終値!AS338:BL338)/AVERAGE(終値!AS338:BL338),""))</f>
        <v/>
      </c>
    </row>
    <row r="339" spans="1:42">
      <c r="A339" s="500" t="str">
        <f>IF(終値!A339="","",終値!A339)</f>
        <v/>
      </c>
      <c r="B339" s="503" t="str">
        <f>IF(終値!A339="","",IFERROR(4*STDEVP(終値!E339:X339)/AVERAGE(終値!E339:X339),""))</f>
        <v/>
      </c>
      <c r="C339" s="503" t="str">
        <f>IF(終値!A339="","",IFERROR(4*STDEVP(終値!F339:Y339)/AVERAGE(終値!F339:Y339),""))</f>
        <v/>
      </c>
      <c r="D339" s="503" t="str">
        <f>IF(終値!A339="","",IFERROR(4*STDEVP(終値!G339:Z339)/AVERAGE(終値!G339:Z339),""))</f>
        <v/>
      </c>
      <c r="E339" s="503" t="str">
        <f>IF(終値!A339="","",IFERROR(4*STDEVP(終値!H339:AA339)/AVERAGE(終値!H339:AA339),""))</f>
        <v/>
      </c>
      <c r="F339" s="503" t="str">
        <f>IF(終値!A339="","",IFERROR(4*STDEVP(終値!I339:AB339)/AVERAGE(終値!I339:AB339),""))</f>
        <v/>
      </c>
      <c r="G339" s="503" t="str">
        <f>IF(終値!A339="","",IFERROR(4*STDEVP(終値!J339:AC339)/AVERAGE(終値!J339:AC339),""))</f>
        <v/>
      </c>
      <c r="H339" s="503" t="str">
        <f>IF(終値!A339="","",IFERROR(4*STDEVP(終値!K339:AD339)/AVERAGE(終値!K339:AD339),""))</f>
        <v/>
      </c>
      <c r="I339" s="503" t="str">
        <f>IF(終値!A339="","",IFERROR(4*STDEVP(終値!L339:AE339)/AVERAGE(終値!L339:AE339),""))</f>
        <v/>
      </c>
      <c r="J339" s="503" t="str">
        <f>IF(終値!A339="","",IFERROR(4*STDEVP(終値!M339:AF339)/AVERAGE(終値!M339:AF339),""))</f>
        <v/>
      </c>
      <c r="K339" s="503" t="str">
        <f>IF(終値!A339="","",IFERROR(4*STDEVP(終値!N339:AG339)/AVERAGE(終値!N339:AG339),""))</f>
        <v/>
      </c>
      <c r="L339" s="503" t="str">
        <f>IF(終値!A339="","",IFERROR(4*STDEVP(終値!O339:AH339)/AVERAGE(終値!O339:AH339),""))</f>
        <v/>
      </c>
      <c r="M339" s="503" t="str">
        <f>IF(終値!A339="","",IFERROR(4*STDEVP(終値!P339:AI339)/AVERAGE(終値!P339:AI339),""))</f>
        <v/>
      </c>
      <c r="N339" s="503" t="str">
        <f>IF(終値!A339="","",IFERROR(4*STDEVP(終値!Q339:AJ339)/AVERAGE(終値!Q339:AJ339),""))</f>
        <v/>
      </c>
      <c r="O339" s="503" t="str">
        <f>IF(終値!A339="","",IFERROR(4*STDEVP(終値!R339:AK339)/AVERAGE(終値!R339:AK339),""))</f>
        <v/>
      </c>
      <c r="P339" s="503" t="str">
        <f>IF(終値!A339="","",IFERROR(4*STDEVP(終値!S339:AL339)/AVERAGE(終値!S339:AL339),""))</f>
        <v/>
      </c>
      <c r="Q339" s="503" t="str">
        <f>IF(終値!A339="","",IFERROR(4*STDEVP(終値!T339:AM339)/AVERAGE(終値!T339:AM339),""))</f>
        <v/>
      </c>
      <c r="R339" s="503" t="str">
        <f>IF(終値!A339="","",IFERROR(4*STDEVP(終値!U339:AN339)/AVERAGE(終値!U339:AN339),""))</f>
        <v/>
      </c>
      <c r="S339" s="503" t="str">
        <f>IF(終値!A339="","",IFERROR(4*STDEVP(終値!V339:AO339)/AVERAGE(終値!V339:AO339),""))</f>
        <v/>
      </c>
      <c r="T339" s="503" t="str">
        <f>IF(終値!A339="","",IFERROR(4*STDEVP(終値!W339:AP339)/AVERAGE(終値!W339:AP339),""))</f>
        <v/>
      </c>
      <c r="U339" s="503" t="str">
        <f>IF(終値!A339="","",IFERROR(4*STDEVP(終値!X339:AQ339)/AVERAGE(終値!X339:AQ339),""))</f>
        <v/>
      </c>
      <c r="V339" s="503" t="str">
        <f>IF(終値!A339="","",IFERROR(4*STDEVP(終値!Y339:AR339)/AVERAGE(終値!Y339:AR339),""))</f>
        <v/>
      </c>
      <c r="W339" s="503" t="str">
        <f>IF(終値!A339="","",IFERROR(4*STDEVP(終値!Z339:AS339)/AVERAGE(終値!Z339:AS339),""))</f>
        <v/>
      </c>
      <c r="X339" s="503" t="str">
        <f>IF(終値!A339="","",IFERROR(4*STDEVP(終値!AA339:AT339)/AVERAGE(終値!AA339:AT339),""))</f>
        <v/>
      </c>
      <c r="Y339" s="503" t="str">
        <f>IF(終値!A339="","",IFERROR(4*STDEVP(終値!AB339:AU339)/AVERAGE(終値!AB339:AU339),""))</f>
        <v/>
      </c>
      <c r="Z339" s="503" t="str">
        <f>IF(終値!A339="","",IFERROR(4*STDEVP(終値!AC339:AV339)/AVERAGE(終値!AC339:AV339),""))</f>
        <v/>
      </c>
      <c r="AA339" s="503" t="str">
        <f>IF(終値!A339="","",IFERROR(4*STDEVP(終値!AD339:AW339)/AVERAGE(終値!AD339:AW339),""))</f>
        <v/>
      </c>
      <c r="AB339" s="503" t="str">
        <f>IF(終値!A339="","",IFERROR(4*STDEVP(終値!AE339:AX339)/AVERAGE(終値!AE339:AX339),""))</f>
        <v/>
      </c>
      <c r="AC339" s="503" t="str">
        <f>IF(終値!A339="","",IFERROR(4*STDEVP(終値!AF339:AY339)/AVERAGE(終値!AF339:AY339),""))</f>
        <v/>
      </c>
      <c r="AD339" s="503" t="str">
        <f>IF(終値!A339="","",IFERROR(4*STDEVP(終値!AG339:AZ339)/AVERAGE(終値!AG339:AZ339),""))</f>
        <v/>
      </c>
      <c r="AE339" s="503" t="str">
        <f>IF(終値!A339="","",IFERROR(4*STDEVP(終値!AH339:BA339)/AVERAGE(終値!AH339:BA339),""))</f>
        <v/>
      </c>
      <c r="AF339" s="503" t="str">
        <f>IF(終値!A339="","",IFERROR(4*STDEVP(終値!AI339:BB339)/AVERAGE(終値!AI339:BB339),""))</f>
        <v/>
      </c>
      <c r="AG339" s="503" t="str">
        <f>IF(終値!A339="","",IFERROR(4*STDEVP(終値!AJ339:BC339)/AVERAGE(終値!AJ339:BC339),""))</f>
        <v/>
      </c>
      <c r="AH339" s="503" t="str">
        <f>IF(終値!A339="","",IFERROR(4*STDEVP(終値!AK339:BD339)/AVERAGE(終値!AK339:BD339),""))</f>
        <v/>
      </c>
      <c r="AI339" s="503" t="str">
        <f>IF(終値!A339="","",IFERROR(4*STDEVP(終値!AL339:BE339)/AVERAGE(終値!AL339:BE339),""))</f>
        <v/>
      </c>
      <c r="AJ339" s="503" t="str">
        <f>IF(終値!A339="","",IFERROR(4*STDEVP(終値!AM339:BF339)/AVERAGE(終値!AM339:BF339),""))</f>
        <v/>
      </c>
      <c r="AK339" s="503" t="str">
        <f>IF(終値!A339="","",IFERROR(4*STDEVP(終値!AN339:BG339)/AVERAGE(終値!AN339:BG339),""))</f>
        <v/>
      </c>
      <c r="AL339" s="503" t="str">
        <f>IF(終値!A339="","",IFERROR(4*STDEVP(終値!AO339:BH339)/AVERAGE(終値!AO339:BH339),""))</f>
        <v/>
      </c>
      <c r="AM339" s="503" t="str">
        <f>IF(終値!A339="","",IFERROR(4*STDEVP(終値!AP339:BI339)/AVERAGE(終値!AP339:BI339),""))</f>
        <v/>
      </c>
      <c r="AN339" s="503" t="str">
        <f>IF(終値!A339="","",IFERROR(4*STDEVP(終値!AQ339:BJ339)/AVERAGE(終値!AQ339:BJ339),""))</f>
        <v/>
      </c>
      <c r="AO339" s="503" t="str">
        <f>IF(終値!A339="","",IFERROR(4*STDEVP(終値!AR339:BK339)/AVERAGE(終値!AR339:BK339),""))</f>
        <v/>
      </c>
      <c r="AP339" s="503" t="str">
        <f>IF(終値!A339="","",IFERROR(4*STDEVP(終値!AS339:BL339)/AVERAGE(終値!AS339:BL339),""))</f>
        <v/>
      </c>
    </row>
    <row r="340" spans="1:42">
      <c r="A340" s="500" t="str">
        <f>IF(終値!A340="","",終値!A340)</f>
        <v/>
      </c>
      <c r="B340" s="503" t="str">
        <f>IF(終値!A340="","",IFERROR(4*STDEVP(終値!E340:X340)/AVERAGE(終値!E340:X340),""))</f>
        <v/>
      </c>
      <c r="C340" s="503" t="str">
        <f>IF(終値!A340="","",IFERROR(4*STDEVP(終値!F340:Y340)/AVERAGE(終値!F340:Y340),""))</f>
        <v/>
      </c>
      <c r="D340" s="503" t="str">
        <f>IF(終値!A340="","",IFERROR(4*STDEVP(終値!G340:Z340)/AVERAGE(終値!G340:Z340),""))</f>
        <v/>
      </c>
      <c r="E340" s="503" t="str">
        <f>IF(終値!A340="","",IFERROR(4*STDEVP(終値!H340:AA340)/AVERAGE(終値!H340:AA340),""))</f>
        <v/>
      </c>
      <c r="F340" s="503" t="str">
        <f>IF(終値!A340="","",IFERROR(4*STDEVP(終値!I340:AB340)/AVERAGE(終値!I340:AB340),""))</f>
        <v/>
      </c>
      <c r="G340" s="503" t="str">
        <f>IF(終値!A340="","",IFERROR(4*STDEVP(終値!J340:AC340)/AVERAGE(終値!J340:AC340),""))</f>
        <v/>
      </c>
      <c r="H340" s="503" t="str">
        <f>IF(終値!A340="","",IFERROR(4*STDEVP(終値!K340:AD340)/AVERAGE(終値!K340:AD340),""))</f>
        <v/>
      </c>
      <c r="I340" s="503" t="str">
        <f>IF(終値!A340="","",IFERROR(4*STDEVP(終値!L340:AE340)/AVERAGE(終値!L340:AE340),""))</f>
        <v/>
      </c>
      <c r="J340" s="503" t="str">
        <f>IF(終値!A340="","",IFERROR(4*STDEVP(終値!M340:AF340)/AVERAGE(終値!M340:AF340),""))</f>
        <v/>
      </c>
      <c r="K340" s="503" t="str">
        <f>IF(終値!A340="","",IFERROR(4*STDEVP(終値!N340:AG340)/AVERAGE(終値!N340:AG340),""))</f>
        <v/>
      </c>
      <c r="L340" s="503" t="str">
        <f>IF(終値!A340="","",IFERROR(4*STDEVP(終値!O340:AH340)/AVERAGE(終値!O340:AH340),""))</f>
        <v/>
      </c>
      <c r="M340" s="503" t="str">
        <f>IF(終値!A340="","",IFERROR(4*STDEVP(終値!P340:AI340)/AVERAGE(終値!P340:AI340),""))</f>
        <v/>
      </c>
      <c r="N340" s="503" t="str">
        <f>IF(終値!A340="","",IFERROR(4*STDEVP(終値!Q340:AJ340)/AVERAGE(終値!Q340:AJ340),""))</f>
        <v/>
      </c>
      <c r="O340" s="503" t="str">
        <f>IF(終値!A340="","",IFERROR(4*STDEVP(終値!R340:AK340)/AVERAGE(終値!R340:AK340),""))</f>
        <v/>
      </c>
      <c r="P340" s="503" t="str">
        <f>IF(終値!A340="","",IFERROR(4*STDEVP(終値!S340:AL340)/AVERAGE(終値!S340:AL340),""))</f>
        <v/>
      </c>
      <c r="Q340" s="503" t="str">
        <f>IF(終値!A340="","",IFERROR(4*STDEVP(終値!T340:AM340)/AVERAGE(終値!T340:AM340),""))</f>
        <v/>
      </c>
      <c r="R340" s="503" t="str">
        <f>IF(終値!A340="","",IFERROR(4*STDEVP(終値!U340:AN340)/AVERAGE(終値!U340:AN340),""))</f>
        <v/>
      </c>
      <c r="S340" s="503" t="str">
        <f>IF(終値!A340="","",IFERROR(4*STDEVP(終値!V340:AO340)/AVERAGE(終値!V340:AO340),""))</f>
        <v/>
      </c>
      <c r="T340" s="503" t="str">
        <f>IF(終値!A340="","",IFERROR(4*STDEVP(終値!W340:AP340)/AVERAGE(終値!W340:AP340),""))</f>
        <v/>
      </c>
      <c r="U340" s="503" t="str">
        <f>IF(終値!A340="","",IFERROR(4*STDEVP(終値!X340:AQ340)/AVERAGE(終値!X340:AQ340),""))</f>
        <v/>
      </c>
      <c r="V340" s="503" t="str">
        <f>IF(終値!A340="","",IFERROR(4*STDEVP(終値!Y340:AR340)/AVERAGE(終値!Y340:AR340),""))</f>
        <v/>
      </c>
      <c r="W340" s="503" t="str">
        <f>IF(終値!A340="","",IFERROR(4*STDEVP(終値!Z340:AS340)/AVERAGE(終値!Z340:AS340),""))</f>
        <v/>
      </c>
      <c r="X340" s="503" t="str">
        <f>IF(終値!A340="","",IFERROR(4*STDEVP(終値!AA340:AT340)/AVERAGE(終値!AA340:AT340),""))</f>
        <v/>
      </c>
      <c r="Y340" s="503" t="str">
        <f>IF(終値!A340="","",IFERROR(4*STDEVP(終値!AB340:AU340)/AVERAGE(終値!AB340:AU340),""))</f>
        <v/>
      </c>
      <c r="Z340" s="503" t="str">
        <f>IF(終値!A340="","",IFERROR(4*STDEVP(終値!AC340:AV340)/AVERAGE(終値!AC340:AV340),""))</f>
        <v/>
      </c>
      <c r="AA340" s="503" t="str">
        <f>IF(終値!A340="","",IFERROR(4*STDEVP(終値!AD340:AW340)/AVERAGE(終値!AD340:AW340),""))</f>
        <v/>
      </c>
      <c r="AB340" s="503" t="str">
        <f>IF(終値!A340="","",IFERROR(4*STDEVP(終値!AE340:AX340)/AVERAGE(終値!AE340:AX340),""))</f>
        <v/>
      </c>
      <c r="AC340" s="503" t="str">
        <f>IF(終値!A340="","",IFERROR(4*STDEVP(終値!AF340:AY340)/AVERAGE(終値!AF340:AY340),""))</f>
        <v/>
      </c>
      <c r="AD340" s="503" t="str">
        <f>IF(終値!A340="","",IFERROR(4*STDEVP(終値!AG340:AZ340)/AVERAGE(終値!AG340:AZ340),""))</f>
        <v/>
      </c>
      <c r="AE340" s="503" t="str">
        <f>IF(終値!A340="","",IFERROR(4*STDEVP(終値!AH340:BA340)/AVERAGE(終値!AH340:BA340),""))</f>
        <v/>
      </c>
      <c r="AF340" s="503" t="str">
        <f>IF(終値!A340="","",IFERROR(4*STDEVP(終値!AI340:BB340)/AVERAGE(終値!AI340:BB340),""))</f>
        <v/>
      </c>
      <c r="AG340" s="503" t="str">
        <f>IF(終値!A340="","",IFERROR(4*STDEVP(終値!AJ340:BC340)/AVERAGE(終値!AJ340:BC340),""))</f>
        <v/>
      </c>
      <c r="AH340" s="503" t="str">
        <f>IF(終値!A340="","",IFERROR(4*STDEVP(終値!AK340:BD340)/AVERAGE(終値!AK340:BD340),""))</f>
        <v/>
      </c>
      <c r="AI340" s="503" t="str">
        <f>IF(終値!A340="","",IFERROR(4*STDEVP(終値!AL340:BE340)/AVERAGE(終値!AL340:BE340),""))</f>
        <v/>
      </c>
      <c r="AJ340" s="503" t="str">
        <f>IF(終値!A340="","",IFERROR(4*STDEVP(終値!AM340:BF340)/AVERAGE(終値!AM340:BF340),""))</f>
        <v/>
      </c>
      <c r="AK340" s="503" t="str">
        <f>IF(終値!A340="","",IFERROR(4*STDEVP(終値!AN340:BG340)/AVERAGE(終値!AN340:BG340),""))</f>
        <v/>
      </c>
      <c r="AL340" s="503" t="str">
        <f>IF(終値!A340="","",IFERROR(4*STDEVP(終値!AO340:BH340)/AVERAGE(終値!AO340:BH340),""))</f>
        <v/>
      </c>
      <c r="AM340" s="503" t="str">
        <f>IF(終値!A340="","",IFERROR(4*STDEVP(終値!AP340:BI340)/AVERAGE(終値!AP340:BI340),""))</f>
        <v/>
      </c>
      <c r="AN340" s="503" t="str">
        <f>IF(終値!A340="","",IFERROR(4*STDEVP(終値!AQ340:BJ340)/AVERAGE(終値!AQ340:BJ340),""))</f>
        <v/>
      </c>
      <c r="AO340" s="503" t="str">
        <f>IF(終値!A340="","",IFERROR(4*STDEVP(終値!AR340:BK340)/AVERAGE(終値!AR340:BK340),""))</f>
        <v/>
      </c>
      <c r="AP340" s="503" t="str">
        <f>IF(終値!A340="","",IFERROR(4*STDEVP(終値!AS340:BL340)/AVERAGE(終値!AS340:BL340),""))</f>
        <v/>
      </c>
    </row>
    <row r="341" spans="1:42">
      <c r="A341" s="500" t="str">
        <f>IF(終値!A341="","",終値!A341)</f>
        <v/>
      </c>
      <c r="B341" s="503" t="str">
        <f>IF(終値!A341="","",IFERROR(4*STDEVP(終値!E341:X341)/AVERAGE(終値!E341:X341),""))</f>
        <v/>
      </c>
      <c r="C341" s="503" t="str">
        <f>IF(終値!A341="","",IFERROR(4*STDEVP(終値!F341:Y341)/AVERAGE(終値!F341:Y341),""))</f>
        <v/>
      </c>
      <c r="D341" s="503" t="str">
        <f>IF(終値!A341="","",IFERROR(4*STDEVP(終値!G341:Z341)/AVERAGE(終値!G341:Z341),""))</f>
        <v/>
      </c>
      <c r="E341" s="503" t="str">
        <f>IF(終値!A341="","",IFERROR(4*STDEVP(終値!H341:AA341)/AVERAGE(終値!H341:AA341),""))</f>
        <v/>
      </c>
      <c r="F341" s="503" t="str">
        <f>IF(終値!A341="","",IFERROR(4*STDEVP(終値!I341:AB341)/AVERAGE(終値!I341:AB341),""))</f>
        <v/>
      </c>
      <c r="G341" s="503" t="str">
        <f>IF(終値!A341="","",IFERROR(4*STDEVP(終値!J341:AC341)/AVERAGE(終値!J341:AC341),""))</f>
        <v/>
      </c>
      <c r="H341" s="503" t="str">
        <f>IF(終値!A341="","",IFERROR(4*STDEVP(終値!K341:AD341)/AVERAGE(終値!K341:AD341),""))</f>
        <v/>
      </c>
      <c r="I341" s="503" t="str">
        <f>IF(終値!A341="","",IFERROR(4*STDEVP(終値!L341:AE341)/AVERAGE(終値!L341:AE341),""))</f>
        <v/>
      </c>
      <c r="J341" s="503" t="str">
        <f>IF(終値!A341="","",IFERROR(4*STDEVP(終値!M341:AF341)/AVERAGE(終値!M341:AF341),""))</f>
        <v/>
      </c>
      <c r="K341" s="503" t="str">
        <f>IF(終値!A341="","",IFERROR(4*STDEVP(終値!N341:AG341)/AVERAGE(終値!N341:AG341),""))</f>
        <v/>
      </c>
      <c r="L341" s="503" t="str">
        <f>IF(終値!A341="","",IFERROR(4*STDEVP(終値!O341:AH341)/AVERAGE(終値!O341:AH341),""))</f>
        <v/>
      </c>
      <c r="M341" s="503" t="str">
        <f>IF(終値!A341="","",IFERROR(4*STDEVP(終値!P341:AI341)/AVERAGE(終値!P341:AI341),""))</f>
        <v/>
      </c>
      <c r="N341" s="503" t="str">
        <f>IF(終値!A341="","",IFERROR(4*STDEVP(終値!Q341:AJ341)/AVERAGE(終値!Q341:AJ341),""))</f>
        <v/>
      </c>
      <c r="O341" s="503" t="str">
        <f>IF(終値!A341="","",IFERROR(4*STDEVP(終値!R341:AK341)/AVERAGE(終値!R341:AK341),""))</f>
        <v/>
      </c>
      <c r="P341" s="503" t="str">
        <f>IF(終値!A341="","",IFERROR(4*STDEVP(終値!S341:AL341)/AVERAGE(終値!S341:AL341),""))</f>
        <v/>
      </c>
      <c r="Q341" s="503" t="str">
        <f>IF(終値!A341="","",IFERROR(4*STDEVP(終値!T341:AM341)/AVERAGE(終値!T341:AM341),""))</f>
        <v/>
      </c>
      <c r="R341" s="503" t="str">
        <f>IF(終値!A341="","",IFERROR(4*STDEVP(終値!U341:AN341)/AVERAGE(終値!U341:AN341),""))</f>
        <v/>
      </c>
      <c r="S341" s="503" t="str">
        <f>IF(終値!A341="","",IFERROR(4*STDEVP(終値!V341:AO341)/AVERAGE(終値!V341:AO341),""))</f>
        <v/>
      </c>
      <c r="T341" s="503" t="str">
        <f>IF(終値!A341="","",IFERROR(4*STDEVP(終値!W341:AP341)/AVERAGE(終値!W341:AP341),""))</f>
        <v/>
      </c>
      <c r="U341" s="503" t="str">
        <f>IF(終値!A341="","",IFERROR(4*STDEVP(終値!X341:AQ341)/AVERAGE(終値!X341:AQ341),""))</f>
        <v/>
      </c>
      <c r="V341" s="503" t="str">
        <f>IF(終値!A341="","",IFERROR(4*STDEVP(終値!Y341:AR341)/AVERAGE(終値!Y341:AR341),""))</f>
        <v/>
      </c>
      <c r="W341" s="503" t="str">
        <f>IF(終値!A341="","",IFERROR(4*STDEVP(終値!Z341:AS341)/AVERAGE(終値!Z341:AS341),""))</f>
        <v/>
      </c>
      <c r="X341" s="503" t="str">
        <f>IF(終値!A341="","",IFERROR(4*STDEVP(終値!AA341:AT341)/AVERAGE(終値!AA341:AT341),""))</f>
        <v/>
      </c>
      <c r="Y341" s="503" t="str">
        <f>IF(終値!A341="","",IFERROR(4*STDEVP(終値!AB341:AU341)/AVERAGE(終値!AB341:AU341),""))</f>
        <v/>
      </c>
      <c r="Z341" s="503" t="str">
        <f>IF(終値!A341="","",IFERROR(4*STDEVP(終値!AC341:AV341)/AVERAGE(終値!AC341:AV341),""))</f>
        <v/>
      </c>
      <c r="AA341" s="503" t="str">
        <f>IF(終値!A341="","",IFERROR(4*STDEVP(終値!AD341:AW341)/AVERAGE(終値!AD341:AW341),""))</f>
        <v/>
      </c>
      <c r="AB341" s="503" t="str">
        <f>IF(終値!A341="","",IFERROR(4*STDEVP(終値!AE341:AX341)/AVERAGE(終値!AE341:AX341),""))</f>
        <v/>
      </c>
      <c r="AC341" s="503" t="str">
        <f>IF(終値!A341="","",IFERROR(4*STDEVP(終値!AF341:AY341)/AVERAGE(終値!AF341:AY341),""))</f>
        <v/>
      </c>
      <c r="AD341" s="503" t="str">
        <f>IF(終値!A341="","",IFERROR(4*STDEVP(終値!AG341:AZ341)/AVERAGE(終値!AG341:AZ341),""))</f>
        <v/>
      </c>
      <c r="AE341" s="503" t="str">
        <f>IF(終値!A341="","",IFERROR(4*STDEVP(終値!AH341:BA341)/AVERAGE(終値!AH341:BA341),""))</f>
        <v/>
      </c>
      <c r="AF341" s="503" t="str">
        <f>IF(終値!A341="","",IFERROR(4*STDEVP(終値!AI341:BB341)/AVERAGE(終値!AI341:BB341),""))</f>
        <v/>
      </c>
      <c r="AG341" s="503" t="str">
        <f>IF(終値!A341="","",IFERROR(4*STDEVP(終値!AJ341:BC341)/AVERAGE(終値!AJ341:BC341),""))</f>
        <v/>
      </c>
      <c r="AH341" s="503" t="str">
        <f>IF(終値!A341="","",IFERROR(4*STDEVP(終値!AK341:BD341)/AVERAGE(終値!AK341:BD341),""))</f>
        <v/>
      </c>
      <c r="AI341" s="503" t="str">
        <f>IF(終値!A341="","",IFERROR(4*STDEVP(終値!AL341:BE341)/AVERAGE(終値!AL341:BE341),""))</f>
        <v/>
      </c>
      <c r="AJ341" s="503" t="str">
        <f>IF(終値!A341="","",IFERROR(4*STDEVP(終値!AM341:BF341)/AVERAGE(終値!AM341:BF341),""))</f>
        <v/>
      </c>
      <c r="AK341" s="503" t="str">
        <f>IF(終値!A341="","",IFERROR(4*STDEVP(終値!AN341:BG341)/AVERAGE(終値!AN341:BG341),""))</f>
        <v/>
      </c>
      <c r="AL341" s="503" t="str">
        <f>IF(終値!A341="","",IFERROR(4*STDEVP(終値!AO341:BH341)/AVERAGE(終値!AO341:BH341),""))</f>
        <v/>
      </c>
      <c r="AM341" s="503" t="str">
        <f>IF(終値!A341="","",IFERROR(4*STDEVP(終値!AP341:BI341)/AVERAGE(終値!AP341:BI341),""))</f>
        <v/>
      </c>
      <c r="AN341" s="503" t="str">
        <f>IF(終値!A341="","",IFERROR(4*STDEVP(終値!AQ341:BJ341)/AVERAGE(終値!AQ341:BJ341),""))</f>
        <v/>
      </c>
      <c r="AO341" s="503" t="str">
        <f>IF(終値!A341="","",IFERROR(4*STDEVP(終値!AR341:BK341)/AVERAGE(終値!AR341:BK341),""))</f>
        <v/>
      </c>
      <c r="AP341" s="503" t="str">
        <f>IF(終値!A341="","",IFERROR(4*STDEVP(終値!AS341:BL341)/AVERAGE(終値!AS341:BL341),""))</f>
        <v/>
      </c>
    </row>
    <row r="342" spans="1:42">
      <c r="A342" s="500" t="str">
        <f>IF(終値!A342="","",終値!A342)</f>
        <v/>
      </c>
      <c r="B342" s="503" t="str">
        <f>IF(終値!A342="","",IFERROR(4*STDEVP(終値!E342:X342)/AVERAGE(終値!E342:X342),""))</f>
        <v/>
      </c>
      <c r="C342" s="503" t="str">
        <f>IF(終値!A342="","",IFERROR(4*STDEVP(終値!F342:Y342)/AVERAGE(終値!F342:Y342),""))</f>
        <v/>
      </c>
      <c r="D342" s="503" t="str">
        <f>IF(終値!A342="","",IFERROR(4*STDEVP(終値!G342:Z342)/AVERAGE(終値!G342:Z342),""))</f>
        <v/>
      </c>
      <c r="E342" s="503" t="str">
        <f>IF(終値!A342="","",IFERROR(4*STDEVP(終値!H342:AA342)/AVERAGE(終値!H342:AA342),""))</f>
        <v/>
      </c>
      <c r="F342" s="503" t="str">
        <f>IF(終値!A342="","",IFERROR(4*STDEVP(終値!I342:AB342)/AVERAGE(終値!I342:AB342),""))</f>
        <v/>
      </c>
      <c r="G342" s="503" t="str">
        <f>IF(終値!A342="","",IFERROR(4*STDEVP(終値!J342:AC342)/AVERAGE(終値!J342:AC342),""))</f>
        <v/>
      </c>
      <c r="H342" s="503" t="str">
        <f>IF(終値!A342="","",IFERROR(4*STDEVP(終値!K342:AD342)/AVERAGE(終値!K342:AD342),""))</f>
        <v/>
      </c>
      <c r="I342" s="503" t="str">
        <f>IF(終値!A342="","",IFERROR(4*STDEVP(終値!L342:AE342)/AVERAGE(終値!L342:AE342),""))</f>
        <v/>
      </c>
      <c r="J342" s="503" t="str">
        <f>IF(終値!A342="","",IFERROR(4*STDEVP(終値!M342:AF342)/AVERAGE(終値!M342:AF342),""))</f>
        <v/>
      </c>
      <c r="K342" s="503" t="str">
        <f>IF(終値!A342="","",IFERROR(4*STDEVP(終値!N342:AG342)/AVERAGE(終値!N342:AG342),""))</f>
        <v/>
      </c>
      <c r="L342" s="503" t="str">
        <f>IF(終値!A342="","",IFERROR(4*STDEVP(終値!O342:AH342)/AVERAGE(終値!O342:AH342),""))</f>
        <v/>
      </c>
      <c r="M342" s="503" t="str">
        <f>IF(終値!A342="","",IFERROR(4*STDEVP(終値!P342:AI342)/AVERAGE(終値!P342:AI342),""))</f>
        <v/>
      </c>
      <c r="N342" s="503" t="str">
        <f>IF(終値!A342="","",IFERROR(4*STDEVP(終値!Q342:AJ342)/AVERAGE(終値!Q342:AJ342),""))</f>
        <v/>
      </c>
      <c r="O342" s="503" t="str">
        <f>IF(終値!A342="","",IFERROR(4*STDEVP(終値!R342:AK342)/AVERAGE(終値!R342:AK342),""))</f>
        <v/>
      </c>
      <c r="P342" s="503" t="str">
        <f>IF(終値!A342="","",IFERROR(4*STDEVP(終値!S342:AL342)/AVERAGE(終値!S342:AL342),""))</f>
        <v/>
      </c>
      <c r="Q342" s="503" t="str">
        <f>IF(終値!A342="","",IFERROR(4*STDEVP(終値!T342:AM342)/AVERAGE(終値!T342:AM342),""))</f>
        <v/>
      </c>
      <c r="R342" s="503" t="str">
        <f>IF(終値!A342="","",IFERROR(4*STDEVP(終値!U342:AN342)/AVERAGE(終値!U342:AN342),""))</f>
        <v/>
      </c>
      <c r="S342" s="503" t="str">
        <f>IF(終値!A342="","",IFERROR(4*STDEVP(終値!V342:AO342)/AVERAGE(終値!V342:AO342),""))</f>
        <v/>
      </c>
      <c r="T342" s="503" t="str">
        <f>IF(終値!A342="","",IFERROR(4*STDEVP(終値!W342:AP342)/AVERAGE(終値!W342:AP342),""))</f>
        <v/>
      </c>
      <c r="U342" s="503" t="str">
        <f>IF(終値!A342="","",IFERROR(4*STDEVP(終値!X342:AQ342)/AVERAGE(終値!X342:AQ342),""))</f>
        <v/>
      </c>
      <c r="V342" s="503" t="str">
        <f>IF(終値!A342="","",IFERROR(4*STDEVP(終値!Y342:AR342)/AVERAGE(終値!Y342:AR342),""))</f>
        <v/>
      </c>
      <c r="W342" s="503" t="str">
        <f>IF(終値!A342="","",IFERROR(4*STDEVP(終値!Z342:AS342)/AVERAGE(終値!Z342:AS342),""))</f>
        <v/>
      </c>
      <c r="X342" s="503" t="str">
        <f>IF(終値!A342="","",IFERROR(4*STDEVP(終値!AA342:AT342)/AVERAGE(終値!AA342:AT342),""))</f>
        <v/>
      </c>
      <c r="Y342" s="503" t="str">
        <f>IF(終値!A342="","",IFERROR(4*STDEVP(終値!AB342:AU342)/AVERAGE(終値!AB342:AU342),""))</f>
        <v/>
      </c>
      <c r="Z342" s="503" t="str">
        <f>IF(終値!A342="","",IFERROR(4*STDEVP(終値!AC342:AV342)/AVERAGE(終値!AC342:AV342),""))</f>
        <v/>
      </c>
      <c r="AA342" s="503" t="str">
        <f>IF(終値!A342="","",IFERROR(4*STDEVP(終値!AD342:AW342)/AVERAGE(終値!AD342:AW342),""))</f>
        <v/>
      </c>
      <c r="AB342" s="503" t="str">
        <f>IF(終値!A342="","",IFERROR(4*STDEVP(終値!AE342:AX342)/AVERAGE(終値!AE342:AX342),""))</f>
        <v/>
      </c>
      <c r="AC342" s="503" t="str">
        <f>IF(終値!A342="","",IFERROR(4*STDEVP(終値!AF342:AY342)/AVERAGE(終値!AF342:AY342),""))</f>
        <v/>
      </c>
      <c r="AD342" s="503" t="str">
        <f>IF(終値!A342="","",IFERROR(4*STDEVP(終値!AG342:AZ342)/AVERAGE(終値!AG342:AZ342),""))</f>
        <v/>
      </c>
      <c r="AE342" s="503" t="str">
        <f>IF(終値!A342="","",IFERROR(4*STDEVP(終値!AH342:BA342)/AVERAGE(終値!AH342:BA342),""))</f>
        <v/>
      </c>
      <c r="AF342" s="503" t="str">
        <f>IF(終値!A342="","",IFERROR(4*STDEVP(終値!AI342:BB342)/AVERAGE(終値!AI342:BB342),""))</f>
        <v/>
      </c>
      <c r="AG342" s="503" t="str">
        <f>IF(終値!A342="","",IFERROR(4*STDEVP(終値!AJ342:BC342)/AVERAGE(終値!AJ342:BC342),""))</f>
        <v/>
      </c>
      <c r="AH342" s="503" t="str">
        <f>IF(終値!A342="","",IFERROR(4*STDEVP(終値!AK342:BD342)/AVERAGE(終値!AK342:BD342),""))</f>
        <v/>
      </c>
      <c r="AI342" s="503" t="str">
        <f>IF(終値!A342="","",IFERROR(4*STDEVP(終値!AL342:BE342)/AVERAGE(終値!AL342:BE342),""))</f>
        <v/>
      </c>
      <c r="AJ342" s="503" t="str">
        <f>IF(終値!A342="","",IFERROR(4*STDEVP(終値!AM342:BF342)/AVERAGE(終値!AM342:BF342),""))</f>
        <v/>
      </c>
      <c r="AK342" s="503" t="str">
        <f>IF(終値!A342="","",IFERROR(4*STDEVP(終値!AN342:BG342)/AVERAGE(終値!AN342:BG342),""))</f>
        <v/>
      </c>
      <c r="AL342" s="503" t="str">
        <f>IF(終値!A342="","",IFERROR(4*STDEVP(終値!AO342:BH342)/AVERAGE(終値!AO342:BH342),""))</f>
        <v/>
      </c>
      <c r="AM342" s="503" t="str">
        <f>IF(終値!A342="","",IFERROR(4*STDEVP(終値!AP342:BI342)/AVERAGE(終値!AP342:BI342),""))</f>
        <v/>
      </c>
      <c r="AN342" s="503" t="str">
        <f>IF(終値!A342="","",IFERROR(4*STDEVP(終値!AQ342:BJ342)/AVERAGE(終値!AQ342:BJ342),""))</f>
        <v/>
      </c>
      <c r="AO342" s="503" t="str">
        <f>IF(終値!A342="","",IFERROR(4*STDEVP(終値!AR342:BK342)/AVERAGE(終値!AR342:BK342),""))</f>
        <v/>
      </c>
      <c r="AP342" s="503" t="str">
        <f>IF(終値!A342="","",IFERROR(4*STDEVP(終値!AS342:BL342)/AVERAGE(終値!AS342:BL342),""))</f>
        <v/>
      </c>
    </row>
    <row r="343" spans="1:42">
      <c r="A343" s="500" t="str">
        <f>IF(終値!A343="","",終値!A343)</f>
        <v/>
      </c>
      <c r="B343" s="503" t="str">
        <f>IF(終値!A343="","",IFERROR(4*STDEVP(終値!E343:X343)/AVERAGE(終値!E343:X343),""))</f>
        <v/>
      </c>
      <c r="C343" s="503" t="str">
        <f>IF(終値!A343="","",IFERROR(4*STDEVP(終値!F343:Y343)/AVERAGE(終値!F343:Y343),""))</f>
        <v/>
      </c>
      <c r="D343" s="503" t="str">
        <f>IF(終値!A343="","",IFERROR(4*STDEVP(終値!G343:Z343)/AVERAGE(終値!G343:Z343),""))</f>
        <v/>
      </c>
      <c r="E343" s="503" t="str">
        <f>IF(終値!A343="","",IFERROR(4*STDEVP(終値!H343:AA343)/AVERAGE(終値!H343:AA343),""))</f>
        <v/>
      </c>
      <c r="F343" s="503" t="str">
        <f>IF(終値!A343="","",IFERROR(4*STDEVP(終値!I343:AB343)/AVERAGE(終値!I343:AB343),""))</f>
        <v/>
      </c>
      <c r="G343" s="503" t="str">
        <f>IF(終値!A343="","",IFERROR(4*STDEVP(終値!J343:AC343)/AVERAGE(終値!J343:AC343),""))</f>
        <v/>
      </c>
      <c r="H343" s="503" t="str">
        <f>IF(終値!A343="","",IFERROR(4*STDEVP(終値!K343:AD343)/AVERAGE(終値!K343:AD343),""))</f>
        <v/>
      </c>
      <c r="I343" s="503" t="str">
        <f>IF(終値!A343="","",IFERROR(4*STDEVP(終値!L343:AE343)/AVERAGE(終値!L343:AE343),""))</f>
        <v/>
      </c>
      <c r="J343" s="503" t="str">
        <f>IF(終値!A343="","",IFERROR(4*STDEVP(終値!M343:AF343)/AVERAGE(終値!M343:AF343),""))</f>
        <v/>
      </c>
      <c r="K343" s="503" t="str">
        <f>IF(終値!A343="","",IFERROR(4*STDEVP(終値!N343:AG343)/AVERAGE(終値!N343:AG343),""))</f>
        <v/>
      </c>
      <c r="L343" s="503" t="str">
        <f>IF(終値!A343="","",IFERROR(4*STDEVP(終値!O343:AH343)/AVERAGE(終値!O343:AH343),""))</f>
        <v/>
      </c>
      <c r="M343" s="503" t="str">
        <f>IF(終値!A343="","",IFERROR(4*STDEVP(終値!P343:AI343)/AVERAGE(終値!P343:AI343),""))</f>
        <v/>
      </c>
      <c r="N343" s="503" t="str">
        <f>IF(終値!A343="","",IFERROR(4*STDEVP(終値!Q343:AJ343)/AVERAGE(終値!Q343:AJ343),""))</f>
        <v/>
      </c>
      <c r="O343" s="503" t="str">
        <f>IF(終値!A343="","",IFERROR(4*STDEVP(終値!R343:AK343)/AVERAGE(終値!R343:AK343),""))</f>
        <v/>
      </c>
      <c r="P343" s="503" t="str">
        <f>IF(終値!A343="","",IFERROR(4*STDEVP(終値!S343:AL343)/AVERAGE(終値!S343:AL343),""))</f>
        <v/>
      </c>
      <c r="Q343" s="503" t="str">
        <f>IF(終値!A343="","",IFERROR(4*STDEVP(終値!T343:AM343)/AVERAGE(終値!T343:AM343),""))</f>
        <v/>
      </c>
      <c r="R343" s="503" t="str">
        <f>IF(終値!A343="","",IFERROR(4*STDEVP(終値!U343:AN343)/AVERAGE(終値!U343:AN343),""))</f>
        <v/>
      </c>
      <c r="S343" s="503" t="str">
        <f>IF(終値!A343="","",IFERROR(4*STDEVP(終値!V343:AO343)/AVERAGE(終値!V343:AO343),""))</f>
        <v/>
      </c>
      <c r="T343" s="503" t="str">
        <f>IF(終値!A343="","",IFERROR(4*STDEVP(終値!W343:AP343)/AVERAGE(終値!W343:AP343),""))</f>
        <v/>
      </c>
      <c r="U343" s="503" t="str">
        <f>IF(終値!A343="","",IFERROR(4*STDEVP(終値!X343:AQ343)/AVERAGE(終値!X343:AQ343),""))</f>
        <v/>
      </c>
      <c r="V343" s="503" t="str">
        <f>IF(終値!A343="","",IFERROR(4*STDEVP(終値!Y343:AR343)/AVERAGE(終値!Y343:AR343),""))</f>
        <v/>
      </c>
      <c r="W343" s="503" t="str">
        <f>IF(終値!A343="","",IFERROR(4*STDEVP(終値!Z343:AS343)/AVERAGE(終値!Z343:AS343),""))</f>
        <v/>
      </c>
      <c r="X343" s="503" t="str">
        <f>IF(終値!A343="","",IFERROR(4*STDEVP(終値!AA343:AT343)/AVERAGE(終値!AA343:AT343),""))</f>
        <v/>
      </c>
      <c r="Y343" s="503" t="str">
        <f>IF(終値!A343="","",IFERROR(4*STDEVP(終値!AB343:AU343)/AVERAGE(終値!AB343:AU343),""))</f>
        <v/>
      </c>
      <c r="Z343" s="503" t="str">
        <f>IF(終値!A343="","",IFERROR(4*STDEVP(終値!AC343:AV343)/AVERAGE(終値!AC343:AV343),""))</f>
        <v/>
      </c>
      <c r="AA343" s="503" t="str">
        <f>IF(終値!A343="","",IFERROR(4*STDEVP(終値!AD343:AW343)/AVERAGE(終値!AD343:AW343),""))</f>
        <v/>
      </c>
      <c r="AB343" s="503" t="str">
        <f>IF(終値!A343="","",IFERROR(4*STDEVP(終値!AE343:AX343)/AVERAGE(終値!AE343:AX343),""))</f>
        <v/>
      </c>
      <c r="AC343" s="503" t="str">
        <f>IF(終値!A343="","",IFERROR(4*STDEVP(終値!AF343:AY343)/AVERAGE(終値!AF343:AY343),""))</f>
        <v/>
      </c>
      <c r="AD343" s="503" t="str">
        <f>IF(終値!A343="","",IFERROR(4*STDEVP(終値!AG343:AZ343)/AVERAGE(終値!AG343:AZ343),""))</f>
        <v/>
      </c>
      <c r="AE343" s="503" t="str">
        <f>IF(終値!A343="","",IFERROR(4*STDEVP(終値!AH343:BA343)/AVERAGE(終値!AH343:BA343),""))</f>
        <v/>
      </c>
      <c r="AF343" s="503" t="str">
        <f>IF(終値!A343="","",IFERROR(4*STDEVP(終値!AI343:BB343)/AVERAGE(終値!AI343:BB343),""))</f>
        <v/>
      </c>
      <c r="AG343" s="503" t="str">
        <f>IF(終値!A343="","",IFERROR(4*STDEVP(終値!AJ343:BC343)/AVERAGE(終値!AJ343:BC343),""))</f>
        <v/>
      </c>
      <c r="AH343" s="503" t="str">
        <f>IF(終値!A343="","",IFERROR(4*STDEVP(終値!AK343:BD343)/AVERAGE(終値!AK343:BD343),""))</f>
        <v/>
      </c>
      <c r="AI343" s="503" t="str">
        <f>IF(終値!A343="","",IFERROR(4*STDEVP(終値!AL343:BE343)/AVERAGE(終値!AL343:BE343),""))</f>
        <v/>
      </c>
      <c r="AJ343" s="503" t="str">
        <f>IF(終値!A343="","",IFERROR(4*STDEVP(終値!AM343:BF343)/AVERAGE(終値!AM343:BF343),""))</f>
        <v/>
      </c>
      <c r="AK343" s="503" t="str">
        <f>IF(終値!A343="","",IFERROR(4*STDEVP(終値!AN343:BG343)/AVERAGE(終値!AN343:BG343),""))</f>
        <v/>
      </c>
      <c r="AL343" s="503" t="str">
        <f>IF(終値!A343="","",IFERROR(4*STDEVP(終値!AO343:BH343)/AVERAGE(終値!AO343:BH343),""))</f>
        <v/>
      </c>
      <c r="AM343" s="503" t="str">
        <f>IF(終値!A343="","",IFERROR(4*STDEVP(終値!AP343:BI343)/AVERAGE(終値!AP343:BI343),""))</f>
        <v/>
      </c>
      <c r="AN343" s="503" t="str">
        <f>IF(終値!A343="","",IFERROR(4*STDEVP(終値!AQ343:BJ343)/AVERAGE(終値!AQ343:BJ343),""))</f>
        <v/>
      </c>
      <c r="AO343" s="503" t="str">
        <f>IF(終値!A343="","",IFERROR(4*STDEVP(終値!AR343:BK343)/AVERAGE(終値!AR343:BK343),""))</f>
        <v/>
      </c>
      <c r="AP343" s="503" t="str">
        <f>IF(終値!A343="","",IFERROR(4*STDEVP(終値!AS343:BL343)/AVERAGE(終値!AS343:BL343),""))</f>
        <v/>
      </c>
    </row>
    <row r="344" spans="1:42">
      <c r="A344" s="500" t="str">
        <f>IF(終値!A344="","",終値!A344)</f>
        <v/>
      </c>
      <c r="B344" s="503" t="str">
        <f>IF(終値!A344="","",IFERROR(4*STDEVP(終値!E344:X344)/AVERAGE(終値!E344:X344),""))</f>
        <v/>
      </c>
      <c r="C344" s="503" t="str">
        <f>IF(終値!A344="","",IFERROR(4*STDEVP(終値!F344:Y344)/AVERAGE(終値!F344:Y344),""))</f>
        <v/>
      </c>
      <c r="D344" s="503" t="str">
        <f>IF(終値!A344="","",IFERROR(4*STDEVP(終値!G344:Z344)/AVERAGE(終値!G344:Z344),""))</f>
        <v/>
      </c>
      <c r="E344" s="503" t="str">
        <f>IF(終値!A344="","",IFERROR(4*STDEVP(終値!H344:AA344)/AVERAGE(終値!H344:AA344),""))</f>
        <v/>
      </c>
      <c r="F344" s="503" t="str">
        <f>IF(終値!A344="","",IFERROR(4*STDEVP(終値!I344:AB344)/AVERAGE(終値!I344:AB344),""))</f>
        <v/>
      </c>
      <c r="G344" s="503" t="str">
        <f>IF(終値!A344="","",IFERROR(4*STDEVP(終値!J344:AC344)/AVERAGE(終値!J344:AC344),""))</f>
        <v/>
      </c>
      <c r="H344" s="503" t="str">
        <f>IF(終値!A344="","",IFERROR(4*STDEVP(終値!K344:AD344)/AVERAGE(終値!K344:AD344),""))</f>
        <v/>
      </c>
      <c r="I344" s="503" t="str">
        <f>IF(終値!A344="","",IFERROR(4*STDEVP(終値!L344:AE344)/AVERAGE(終値!L344:AE344),""))</f>
        <v/>
      </c>
      <c r="J344" s="503" t="str">
        <f>IF(終値!A344="","",IFERROR(4*STDEVP(終値!M344:AF344)/AVERAGE(終値!M344:AF344),""))</f>
        <v/>
      </c>
      <c r="K344" s="503" t="str">
        <f>IF(終値!A344="","",IFERROR(4*STDEVP(終値!N344:AG344)/AVERAGE(終値!N344:AG344),""))</f>
        <v/>
      </c>
      <c r="L344" s="503" t="str">
        <f>IF(終値!A344="","",IFERROR(4*STDEVP(終値!O344:AH344)/AVERAGE(終値!O344:AH344),""))</f>
        <v/>
      </c>
      <c r="M344" s="503" t="str">
        <f>IF(終値!A344="","",IFERROR(4*STDEVP(終値!P344:AI344)/AVERAGE(終値!P344:AI344),""))</f>
        <v/>
      </c>
      <c r="N344" s="503" t="str">
        <f>IF(終値!A344="","",IFERROR(4*STDEVP(終値!Q344:AJ344)/AVERAGE(終値!Q344:AJ344),""))</f>
        <v/>
      </c>
      <c r="O344" s="503" t="str">
        <f>IF(終値!A344="","",IFERROR(4*STDEVP(終値!R344:AK344)/AVERAGE(終値!R344:AK344),""))</f>
        <v/>
      </c>
      <c r="P344" s="503" t="str">
        <f>IF(終値!A344="","",IFERROR(4*STDEVP(終値!S344:AL344)/AVERAGE(終値!S344:AL344),""))</f>
        <v/>
      </c>
      <c r="Q344" s="503" t="str">
        <f>IF(終値!A344="","",IFERROR(4*STDEVP(終値!T344:AM344)/AVERAGE(終値!T344:AM344),""))</f>
        <v/>
      </c>
      <c r="R344" s="503" t="str">
        <f>IF(終値!A344="","",IFERROR(4*STDEVP(終値!U344:AN344)/AVERAGE(終値!U344:AN344),""))</f>
        <v/>
      </c>
      <c r="S344" s="503" t="str">
        <f>IF(終値!A344="","",IFERROR(4*STDEVP(終値!V344:AO344)/AVERAGE(終値!V344:AO344),""))</f>
        <v/>
      </c>
      <c r="T344" s="503" t="str">
        <f>IF(終値!A344="","",IFERROR(4*STDEVP(終値!W344:AP344)/AVERAGE(終値!W344:AP344),""))</f>
        <v/>
      </c>
      <c r="U344" s="503" t="str">
        <f>IF(終値!A344="","",IFERROR(4*STDEVP(終値!X344:AQ344)/AVERAGE(終値!X344:AQ344),""))</f>
        <v/>
      </c>
      <c r="V344" s="503" t="str">
        <f>IF(終値!A344="","",IFERROR(4*STDEVP(終値!Y344:AR344)/AVERAGE(終値!Y344:AR344),""))</f>
        <v/>
      </c>
      <c r="W344" s="503" t="str">
        <f>IF(終値!A344="","",IFERROR(4*STDEVP(終値!Z344:AS344)/AVERAGE(終値!Z344:AS344),""))</f>
        <v/>
      </c>
      <c r="X344" s="503" t="str">
        <f>IF(終値!A344="","",IFERROR(4*STDEVP(終値!AA344:AT344)/AVERAGE(終値!AA344:AT344),""))</f>
        <v/>
      </c>
      <c r="Y344" s="503" t="str">
        <f>IF(終値!A344="","",IFERROR(4*STDEVP(終値!AB344:AU344)/AVERAGE(終値!AB344:AU344),""))</f>
        <v/>
      </c>
      <c r="Z344" s="503" t="str">
        <f>IF(終値!A344="","",IFERROR(4*STDEVP(終値!AC344:AV344)/AVERAGE(終値!AC344:AV344),""))</f>
        <v/>
      </c>
      <c r="AA344" s="503" t="str">
        <f>IF(終値!A344="","",IFERROR(4*STDEVP(終値!AD344:AW344)/AVERAGE(終値!AD344:AW344),""))</f>
        <v/>
      </c>
      <c r="AB344" s="503" t="str">
        <f>IF(終値!A344="","",IFERROR(4*STDEVP(終値!AE344:AX344)/AVERAGE(終値!AE344:AX344),""))</f>
        <v/>
      </c>
      <c r="AC344" s="503" t="str">
        <f>IF(終値!A344="","",IFERROR(4*STDEVP(終値!AF344:AY344)/AVERAGE(終値!AF344:AY344),""))</f>
        <v/>
      </c>
      <c r="AD344" s="503" t="str">
        <f>IF(終値!A344="","",IFERROR(4*STDEVP(終値!AG344:AZ344)/AVERAGE(終値!AG344:AZ344),""))</f>
        <v/>
      </c>
      <c r="AE344" s="503" t="str">
        <f>IF(終値!A344="","",IFERROR(4*STDEVP(終値!AH344:BA344)/AVERAGE(終値!AH344:BA344),""))</f>
        <v/>
      </c>
      <c r="AF344" s="503" t="str">
        <f>IF(終値!A344="","",IFERROR(4*STDEVP(終値!AI344:BB344)/AVERAGE(終値!AI344:BB344),""))</f>
        <v/>
      </c>
      <c r="AG344" s="503" t="str">
        <f>IF(終値!A344="","",IFERROR(4*STDEVP(終値!AJ344:BC344)/AVERAGE(終値!AJ344:BC344),""))</f>
        <v/>
      </c>
      <c r="AH344" s="503" t="str">
        <f>IF(終値!A344="","",IFERROR(4*STDEVP(終値!AK344:BD344)/AVERAGE(終値!AK344:BD344),""))</f>
        <v/>
      </c>
      <c r="AI344" s="503" t="str">
        <f>IF(終値!A344="","",IFERROR(4*STDEVP(終値!AL344:BE344)/AVERAGE(終値!AL344:BE344),""))</f>
        <v/>
      </c>
      <c r="AJ344" s="503" t="str">
        <f>IF(終値!A344="","",IFERROR(4*STDEVP(終値!AM344:BF344)/AVERAGE(終値!AM344:BF344),""))</f>
        <v/>
      </c>
      <c r="AK344" s="503" t="str">
        <f>IF(終値!A344="","",IFERROR(4*STDEVP(終値!AN344:BG344)/AVERAGE(終値!AN344:BG344),""))</f>
        <v/>
      </c>
      <c r="AL344" s="503" t="str">
        <f>IF(終値!A344="","",IFERROR(4*STDEVP(終値!AO344:BH344)/AVERAGE(終値!AO344:BH344),""))</f>
        <v/>
      </c>
      <c r="AM344" s="503" t="str">
        <f>IF(終値!A344="","",IFERROR(4*STDEVP(終値!AP344:BI344)/AVERAGE(終値!AP344:BI344),""))</f>
        <v/>
      </c>
      <c r="AN344" s="503" t="str">
        <f>IF(終値!A344="","",IFERROR(4*STDEVP(終値!AQ344:BJ344)/AVERAGE(終値!AQ344:BJ344),""))</f>
        <v/>
      </c>
      <c r="AO344" s="503" t="str">
        <f>IF(終値!A344="","",IFERROR(4*STDEVP(終値!AR344:BK344)/AVERAGE(終値!AR344:BK344),""))</f>
        <v/>
      </c>
      <c r="AP344" s="503" t="str">
        <f>IF(終値!A344="","",IFERROR(4*STDEVP(終値!AS344:BL344)/AVERAGE(終値!AS344:BL344),""))</f>
        <v/>
      </c>
    </row>
    <row r="345" spans="1:42">
      <c r="A345" s="500" t="str">
        <f>IF(終値!A345="","",終値!A345)</f>
        <v/>
      </c>
      <c r="B345" s="503" t="str">
        <f>IF(終値!A345="","",IFERROR(4*STDEVP(終値!E345:X345)/AVERAGE(終値!E345:X345),""))</f>
        <v/>
      </c>
      <c r="C345" s="503" t="str">
        <f>IF(終値!A345="","",IFERROR(4*STDEVP(終値!F345:Y345)/AVERAGE(終値!F345:Y345),""))</f>
        <v/>
      </c>
      <c r="D345" s="503" t="str">
        <f>IF(終値!A345="","",IFERROR(4*STDEVP(終値!G345:Z345)/AVERAGE(終値!G345:Z345),""))</f>
        <v/>
      </c>
      <c r="E345" s="503" t="str">
        <f>IF(終値!A345="","",IFERROR(4*STDEVP(終値!H345:AA345)/AVERAGE(終値!H345:AA345),""))</f>
        <v/>
      </c>
      <c r="F345" s="503" t="str">
        <f>IF(終値!A345="","",IFERROR(4*STDEVP(終値!I345:AB345)/AVERAGE(終値!I345:AB345),""))</f>
        <v/>
      </c>
      <c r="G345" s="503" t="str">
        <f>IF(終値!A345="","",IFERROR(4*STDEVP(終値!J345:AC345)/AVERAGE(終値!J345:AC345),""))</f>
        <v/>
      </c>
      <c r="H345" s="503" t="str">
        <f>IF(終値!A345="","",IFERROR(4*STDEVP(終値!K345:AD345)/AVERAGE(終値!K345:AD345),""))</f>
        <v/>
      </c>
      <c r="I345" s="503" t="str">
        <f>IF(終値!A345="","",IFERROR(4*STDEVP(終値!L345:AE345)/AVERAGE(終値!L345:AE345),""))</f>
        <v/>
      </c>
      <c r="J345" s="503" t="str">
        <f>IF(終値!A345="","",IFERROR(4*STDEVP(終値!M345:AF345)/AVERAGE(終値!M345:AF345),""))</f>
        <v/>
      </c>
      <c r="K345" s="503" t="str">
        <f>IF(終値!A345="","",IFERROR(4*STDEVP(終値!N345:AG345)/AVERAGE(終値!N345:AG345),""))</f>
        <v/>
      </c>
      <c r="L345" s="503" t="str">
        <f>IF(終値!A345="","",IFERROR(4*STDEVP(終値!O345:AH345)/AVERAGE(終値!O345:AH345),""))</f>
        <v/>
      </c>
      <c r="M345" s="503" t="str">
        <f>IF(終値!A345="","",IFERROR(4*STDEVP(終値!P345:AI345)/AVERAGE(終値!P345:AI345),""))</f>
        <v/>
      </c>
      <c r="N345" s="503" t="str">
        <f>IF(終値!A345="","",IFERROR(4*STDEVP(終値!Q345:AJ345)/AVERAGE(終値!Q345:AJ345),""))</f>
        <v/>
      </c>
      <c r="O345" s="503" t="str">
        <f>IF(終値!A345="","",IFERROR(4*STDEVP(終値!R345:AK345)/AVERAGE(終値!R345:AK345),""))</f>
        <v/>
      </c>
      <c r="P345" s="503" t="str">
        <f>IF(終値!A345="","",IFERROR(4*STDEVP(終値!S345:AL345)/AVERAGE(終値!S345:AL345),""))</f>
        <v/>
      </c>
      <c r="Q345" s="503" t="str">
        <f>IF(終値!A345="","",IFERROR(4*STDEVP(終値!T345:AM345)/AVERAGE(終値!T345:AM345),""))</f>
        <v/>
      </c>
      <c r="R345" s="503" t="str">
        <f>IF(終値!A345="","",IFERROR(4*STDEVP(終値!U345:AN345)/AVERAGE(終値!U345:AN345),""))</f>
        <v/>
      </c>
      <c r="S345" s="503" t="str">
        <f>IF(終値!A345="","",IFERROR(4*STDEVP(終値!V345:AO345)/AVERAGE(終値!V345:AO345),""))</f>
        <v/>
      </c>
      <c r="T345" s="503" t="str">
        <f>IF(終値!A345="","",IFERROR(4*STDEVP(終値!W345:AP345)/AVERAGE(終値!W345:AP345),""))</f>
        <v/>
      </c>
      <c r="U345" s="503" t="str">
        <f>IF(終値!A345="","",IFERROR(4*STDEVP(終値!X345:AQ345)/AVERAGE(終値!X345:AQ345),""))</f>
        <v/>
      </c>
      <c r="V345" s="503" t="str">
        <f>IF(終値!A345="","",IFERROR(4*STDEVP(終値!Y345:AR345)/AVERAGE(終値!Y345:AR345),""))</f>
        <v/>
      </c>
      <c r="W345" s="503" t="str">
        <f>IF(終値!A345="","",IFERROR(4*STDEVP(終値!Z345:AS345)/AVERAGE(終値!Z345:AS345),""))</f>
        <v/>
      </c>
      <c r="X345" s="503" t="str">
        <f>IF(終値!A345="","",IFERROR(4*STDEVP(終値!AA345:AT345)/AVERAGE(終値!AA345:AT345),""))</f>
        <v/>
      </c>
      <c r="Y345" s="503" t="str">
        <f>IF(終値!A345="","",IFERROR(4*STDEVP(終値!AB345:AU345)/AVERAGE(終値!AB345:AU345),""))</f>
        <v/>
      </c>
      <c r="Z345" s="503" t="str">
        <f>IF(終値!A345="","",IFERROR(4*STDEVP(終値!AC345:AV345)/AVERAGE(終値!AC345:AV345),""))</f>
        <v/>
      </c>
      <c r="AA345" s="503" t="str">
        <f>IF(終値!A345="","",IFERROR(4*STDEVP(終値!AD345:AW345)/AVERAGE(終値!AD345:AW345),""))</f>
        <v/>
      </c>
      <c r="AB345" s="503" t="str">
        <f>IF(終値!A345="","",IFERROR(4*STDEVP(終値!AE345:AX345)/AVERAGE(終値!AE345:AX345),""))</f>
        <v/>
      </c>
      <c r="AC345" s="503" t="str">
        <f>IF(終値!A345="","",IFERROR(4*STDEVP(終値!AF345:AY345)/AVERAGE(終値!AF345:AY345),""))</f>
        <v/>
      </c>
      <c r="AD345" s="503" t="str">
        <f>IF(終値!A345="","",IFERROR(4*STDEVP(終値!AG345:AZ345)/AVERAGE(終値!AG345:AZ345),""))</f>
        <v/>
      </c>
      <c r="AE345" s="503" t="str">
        <f>IF(終値!A345="","",IFERROR(4*STDEVP(終値!AH345:BA345)/AVERAGE(終値!AH345:BA345),""))</f>
        <v/>
      </c>
      <c r="AF345" s="503" t="str">
        <f>IF(終値!A345="","",IFERROR(4*STDEVP(終値!AI345:BB345)/AVERAGE(終値!AI345:BB345),""))</f>
        <v/>
      </c>
      <c r="AG345" s="503" t="str">
        <f>IF(終値!A345="","",IFERROR(4*STDEVP(終値!AJ345:BC345)/AVERAGE(終値!AJ345:BC345),""))</f>
        <v/>
      </c>
      <c r="AH345" s="503" t="str">
        <f>IF(終値!A345="","",IFERROR(4*STDEVP(終値!AK345:BD345)/AVERAGE(終値!AK345:BD345),""))</f>
        <v/>
      </c>
      <c r="AI345" s="503" t="str">
        <f>IF(終値!A345="","",IFERROR(4*STDEVP(終値!AL345:BE345)/AVERAGE(終値!AL345:BE345),""))</f>
        <v/>
      </c>
      <c r="AJ345" s="503" t="str">
        <f>IF(終値!A345="","",IFERROR(4*STDEVP(終値!AM345:BF345)/AVERAGE(終値!AM345:BF345),""))</f>
        <v/>
      </c>
      <c r="AK345" s="503" t="str">
        <f>IF(終値!A345="","",IFERROR(4*STDEVP(終値!AN345:BG345)/AVERAGE(終値!AN345:BG345),""))</f>
        <v/>
      </c>
      <c r="AL345" s="503" t="str">
        <f>IF(終値!A345="","",IFERROR(4*STDEVP(終値!AO345:BH345)/AVERAGE(終値!AO345:BH345),""))</f>
        <v/>
      </c>
      <c r="AM345" s="503" t="str">
        <f>IF(終値!A345="","",IFERROR(4*STDEVP(終値!AP345:BI345)/AVERAGE(終値!AP345:BI345),""))</f>
        <v/>
      </c>
      <c r="AN345" s="503" t="str">
        <f>IF(終値!A345="","",IFERROR(4*STDEVP(終値!AQ345:BJ345)/AVERAGE(終値!AQ345:BJ345),""))</f>
        <v/>
      </c>
      <c r="AO345" s="503" t="str">
        <f>IF(終値!A345="","",IFERROR(4*STDEVP(終値!AR345:BK345)/AVERAGE(終値!AR345:BK345),""))</f>
        <v/>
      </c>
      <c r="AP345" s="503" t="str">
        <f>IF(終値!A345="","",IFERROR(4*STDEVP(終値!AS345:BL345)/AVERAGE(終値!AS345:BL345),""))</f>
        <v/>
      </c>
    </row>
    <row r="346" spans="1:42">
      <c r="A346" s="500" t="str">
        <f>IF(終値!A346="","",終値!A346)</f>
        <v/>
      </c>
      <c r="B346" s="503" t="str">
        <f>IF(終値!A346="","",IFERROR(4*STDEVP(終値!E346:X346)/AVERAGE(終値!E346:X346),""))</f>
        <v/>
      </c>
      <c r="C346" s="503" t="str">
        <f>IF(終値!A346="","",IFERROR(4*STDEVP(終値!F346:Y346)/AVERAGE(終値!F346:Y346),""))</f>
        <v/>
      </c>
      <c r="D346" s="503" t="str">
        <f>IF(終値!A346="","",IFERROR(4*STDEVP(終値!G346:Z346)/AVERAGE(終値!G346:Z346),""))</f>
        <v/>
      </c>
      <c r="E346" s="503" t="str">
        <f>IF(終値!A346="","",IFERROR(4*STDEVP(終値!H346:AA346)/AVERAGE(終値!H346:AA346),""))</f>
        <v/>
      </c>
      <c r="F346" s="503" t="str">
        <f>IF(終値!A346="","",IFERROR(4*STDEVP(終値!I346:AB346)/AVERAGE(終値!I346:AB346),""))</f>
        <v/>
      </c>
      <c r="G346" s="503" t="str">
        <f>IF(終値!A346="","",IFERROR(4*STDEVP(終値!J346:AC346)/AVERAGE(終値!J346:AC346),""))</f>
        <v/>
      </c>
      <c r="H346" s="503" t="str">
        <f>IF(終値!A346="","",IFERROR(4*STDEVP(終値!K346:AD346)/AVERAGE(終値!K346:AD346),""))</f>
        <v/>
      </c>
      <c r="I346" s="503" t="str">
        <f>IF(終値!A346="","",IFERROR(4*STDEVP(終値!L346:AE346)/AVERAGE(終値!L346:AE346),""))</f>
        <v/>
      </c>
      <c r="J346" s="503" t="str">
        <f>IF(終値!A346="","",IFERROR(4*STDEVP(終値!M346:AF346)/AVERAGE(終値!M346:AF346),""))</f>
        <v/>
      </c>
      <c r="K346" s="503" t="str">
        <f>IF(終値!A346="","",IFERROR(4*STDEVP(終値!N346:AG346)/AVERAGE(終値!N346:AG346),""))</f>
        <v/>
      </c>
      <c r="L346" s="503" t="str">
        <f>IF(終値!A346="","",IFERROR(4*STDEVP(終値!O346:AH346)/AVERAGE(終値!O346:AH346),""))</f>
        <v/>
      </c>
      <c r="M346" s="503" t="str">
        <f>IF(終値!A346="","",IFERROR(4*STDEVP(終値!P346:AI346)/AVERAGE(終値!P346:AI346),""))</f>
        <v/>
      </c>
      <c r="N346" s="503" t="str">
        <f>IF(終値!A346="","",IFERROR(4*STDEVP(終値!Q346:AJ346)/AVERAGE(終値!Q346:AJ346),""))</f>
        <v/>
      </c>
      <c r="O346" s="503" t="str">
        <f>IF(終値!A346="","",IFERROR(4*STDEVP(終値!R346:AK346)/AVERAGE(終値!R346:AK346),""))</f>
        <v/>
      </c>
      <c r="P346" s="503" t="str">
        <f>IF(終値!A346="","",IFERROR(4*STDEVP(終値!S346:AL346)/AVERAGE(終値!S346:AL346),""))</f>
        <v/>
      </c>
      <c r="Q346" s="503" t="str">
        <f>IF(終値!A346="","",IFERROR(4*STDEVP(終値!T346:AM346)/AVERAGE(終値!T346:AM346),""))</f>
        <v/>
      </c>
      <c r="R346" s="503" t="str">
        <f>IF(終値!A346="","",IFERROR(4*STDEVP(終値!U346:AN346)/AVERAGE(終値!U346:AN346),""))</f>
        <v/>
      </c>
      <c r="S346" s="503" t="str">
        <f>IF(終値!A346="","",IFERROR(4*STDEVP(終値!V346:AO346)/AVERAGE(終値!V346:AO346),""))</f>
        <v/>
      </c>
      <c r="T346" s="503" t="str">
        <f>IF(終値!A346="","",IFERROR(4*STDEVP(終値!W346:AP346)/AVERAGE(終値!W346:AP346),""))</f>
        <v/>
      </c>
      <c r="U346" s="503" t="str">
        <f>IF(終値!A346="","",IFERROR(4*STDEVP(終値!X346:AQ346)/AVERAGE(終値!X346:AQ346),""))</f>
        <v/>
      </c>
      <c r="V346" s="503" t="str">
        <f>IF(終値!A346="","",IFERROR(4*STDEVP(終値!Y346:AR346)/AVERAGE(終値!Y346:AR346),""))</f>
        <v/>
      </c>
      <c r="W346" s="503" t="str">
        <f>IF(終値!A346="","",IFERROR(4*STDEVP(終値!Z346:AS346)/AVERAGE(終値!Z346:AS346),""))</f>
        <v/>
      </c>
      <c r="X346" s="503" t="str">
        <f>IF(終値!A346="","",IFERROR(4*STDEVP(終値!AA346:AT346)/AVERAGE(終値!AA346:AT346),""))</f>
        <v/>
      </c>
      <c r="Y346" s="503" t="str">
        <f>IF(終値!A346="","",IFERROR(4*STDEVP(終値!AB346:AU346)/AVERAGE(終値!AB346:AU346),""))</f>
        <v/>
      </c>
      <c r="Z346" s="503" t="str">
        <f>IF(終値!A346="","",IFERROR(4*STDEVP(終値!AC346:AV346)/AVERAGE(終値!AC346:AV346),""))</f>
        <v/>
      </c>
      <c r="AA346" s="503" t="str">
        <f>IF(終値!A346="","",IFERROR(4*STDEVP(終値!AD346:AW346)/AVERAGE(終値!AD346:AW346),""))</f>
        <v/>
      </c>
      <c r="AB346" s="503" t="str">
        <f>IF(終値!A346="","",IFERROR(4*STDEVP(終値!AE346:AX346)/AVERAGE(終値!AE346:AX346),""))</f>
        <v/>
      </c>
      <c r="AC346" s="503" t="str">
        <f>IF(終値!A346="","",IFERROR(4*STDEVP(終値!AF346:AY346)/AVERAGE(終値!AF346:AY346),""))</f>
        <v/>
      </c>
      <c r="AD346" s="503" t="str">
        <f>IF(終値!A346="","",IFERROR(4*STDEVP(終値!AG346:AZ346)/AVERAGE(終値!AG346:AZ346),""))</f>
        <v/>
      </c>
      <c r="AE346" s="503" t="str">
        <f>IF(終値!A346="","",IFERROR(4*STDEVP(終値!AH346:BA346)/AVERAGE(終値!AH346:BA346),""))</f>
        <v/>
      </c>
      <c r="AF346" s="503" t="str">
        <f>IF(終値!A346="","",IFERROR(4*STDEVP(終値!AI346:BB346)/AVERAGE(終値!AI346:BB346),""))</f>
        <v/>
      </c>
      <c r="AG346" s="503" t="str">
        <f>IF(終値!A346="","",IFERROR(4*STDEVP(終値!AJ346:BC346)/AVERAGE(終値!AJ346:BC346),""))</f>
        <v/>
      </c>
      <c r="AH346" s="503" t="str">
        <f>IF(終値!A346="","",IFERROR(4*STDEVP(終値!AK346:BD346)/AVERAGE(終値!AK346:BD346),""))</f>
        <v/>
      </c>
      <c r="AI346" s="503" t="str">
        <f>IF(終値!A346="","",IFERROR(4*STDEVP(終値!AL346:BE346)/AVERAGE(終値!AL346:BE346),""))</f>
        <v/>
      </c>
      <c r="AJ346" s="503" t="str">
        <f>IF(終値!A346="","",IFERROR(4*STDEVP(終値!AM346:BF346)/AVERAGE(終値!AM346:BF346),""))</f>
        <v/>
      </c>
      <c r="AK346" s="503" t="str">
        <f>IF(終値!A346="","",IFERROR(4*STDEVP(終値!AN346:BG346)/AVERAGE(終値!AN346:BG346),""))</f>
        <v/>
      </c>
      <c r="AL346" s="503" t="str">
        <f>IF(終値!A346="","",IFERROR(4*STDEVP(終値!AO346:BH346)/AVERAGE(終値!AO346:BH346),""))</f>
        <v/>
      </c>
      <c r="AM346" s="503" t="str">
        <f>IF(終値!A346="","",IFERROR(4*STDEVP(終値!AP346:BI346)/AVERAGE(終値!AP346:BI346),""))</f>
        <v/>
      </c>
      <c r="AN346" s="503" t="str">
        <f>IF(終値!A346="","",IFERROR(4*STDEVP(終値!AQ346:BJ346)/AVERAGE(終値!AQ346:BJ346),""))</f>
        <v/>
      </c>
      <c r="AO346" s="503" t="str">
        <f>IF(終値!A346="","",IFERROR(4*STDEVP(終値!AR346:BK346)/AVERAGE(終値!AR346:BK346),""))</f>
        <v/>
      </c>
      <c r="AP346" s="503" t="str">
        <f>IF(終値!A346="","",IFERROR(4*STDEVP(終値!AS346:BL346)/AVERAGE(終値!AS346:BL346),""))</f>
        <v/>
      </c>
    </row>
    <row r="347" spans="1:42">
      <c r="A347" s="500" t="str">
        <f>IF(終値!A347="","",終値!A347)</f>
        <v/>
      </c>
      <c r="B347" s="503" t="str">
        <f>IF(終値!A347="","",IFERROR(4*STDEVP(終値!E347:X347)/AVERAGE(終値!E347:X347),""))</f>
        <v/>
      </c>
      <c r="C347" s="503" t="str">
        <f>IF(終値!A347="","",IFERROR(4*STDEVP(終値!F347:Y347)/AVERAGE(終値!F347:Y347),""))</f>
        <v/>
      </c>
      <c r="D347" s="503" t="str">
        <f>IF(終値!A347="","",IFERROR(4*STDEVP(終値!G347:Z347)/AVERAGE(終値!G347:Z347),""))</f>
        <v/>
      </c>
      <c r="E347" s="503" t="str">
        <f>IF(終値!A347="","",IFERROR(4*STDEVP(終値!H347:AA347)/AVERAGE(終値!H347:AA347),""))</f>
        <v/>
      </c>
      <c r="F347" s="503" t="str">
        <f>IF(終値!A347="","",IFERROR(4*STDEVP(終値!I347:AB347)/AVERAGE(終値!I347:AB347),""))</f>
        <v/>
      </c>
      <c r="G347" s="503" t="str">
        <f>IF(終値!A347="","",IFERROR(4*STDEVP(終値!J347:AC347)/AVERAGE(終値!J347:AC347),""))</f>
        <v/>
      </c>
      <c r="H347" s="503" t="str">
        <f>IF(終値!A347="","",IFERROR(4*STDEVP(終値!K347:AD347)/AVERAGE(終値!K347:AD347),""))</f>
        <v/>
      </c>
      <c r="I347" s="503" t="str">
        <f>IF(終値!A347="","",IFERROR(4*STDEVP(終値!L347:AE347)/AVERAGE(終値!L347:AE347),""))</f>
        <v/>
      </c>
      <c r="J347" s="503" t="str">
        <f>IF(終値!A347="","",IFERROR(4*STDEVP(終値!M347:AF347)/AVERAGE(終値!M347:AF347),""))</f>
        <v/>
      </c>
      <c r="K347" s="503" t="str">
        <f>IF(終値!A347="","",IFERROR(4*STDEVP(終値!N347:AG347)/AVERAGE(終値!N347:AG347),""))</f>
        <v/>
      </c>
      <c r="L347" s="503" t="str">
        <f>IF(終値!A347="","",IFERROR(4*STDEVP(終値!O347:AH347)/AVERAGE(終値!O347:AH347),""))</f>
        <v/>
      </c>
      <c r="M347" s="503" t="str">
        <f>IF(終値!A347="","",IFERROR(4*STDEVP(終値!P347:AI347)/AVERAGE(終値!P347:AI347),""))</f>
        <v/>
      </c>
      <c r="N347" s="503" t="str">
        <f>IF(終値!A347="","",IFERROR(4*STDEVP(終値!Q347:AJ347)/AVERAGE(終値!Q347:AJ347),""))</f>
        <v/>
      </c>
      <c r="O347" s="503" t="str">
        <f>IF(終値!A347="","",IFERROR(4*STDEVP(終値!R347:AK347)/AVERAGE(終値!R347:AK347),""))</f>
        <v/>
      </c>
      <c r="P347" s="503" t="str">
        <f>IF(終値!A347="","",IFERROR(4*STDEVP(終値!S347:AL347)/AVERAGE(終値!S347:AL347),""))</f>
        <v/>
      </c>
      <c r="Q347" s="503" t="str">
        <f>IF(終値!A347="","",IFERROR(4*STDEVP(終値!T347:AM347)/AVERAGE(終値!T347:AM347),""))</f>
        <v/>
      </c>
      <c r="R347" s="503" t="str">
        <f>IF(終値!A347="","",IFERROR(4*STDEVP(終値!U347:AN347)/AVERAGE(終値!U347:AN347),""))</f>
        <v/>
      </c>
      <c r="S347" s="503" t="str">
        <f>IF(終値!A347="","",IFERROR(4*STDEVP(終値!V347:AO347)/AVERAGE(終値!V347:AO347),""))</f>
        <v/>
      </c>
      <c r="T347" s="503" t="str">
        <f>IF(終値!A347="","",IFERROR(4*STDEVP(終値!W347:AP347)/AVERAGE(終値!W347:AP347),""))</f>
        <v/>
      </c>
      <c r="U347" s="503" t="str">
        <f>IF(終値!A347="","",IFERROR(4*STDEVP(終値!X347:AQ347)/AVERAGE(終値!X347:AQ347),""))</f>
        <v/>
      </c>
      <c r="V347" s="503" t="str">
        <f>IF(終値!A347="","",IFERROR(4*STDEVP(終値!Y347:AR347)/AVERAGE(終値!Y347:AR347),""))</f>
        <v/>
      </c>
      <c r="W347" s="503" t="str">
        <f>IF(終値!A347="","",IFERROR(4*STDEVP(終値!Z347:AS347)/AVERAGE(終値!Z347:AS347),""))</f>
        <v/>
      </c>
      <c r="X347" s="503" t="str">
        <f>IF(終値!A347="","",IFERROR(4*STDEVP(終値!AA347:AT347)/AVERAGE(終値!AA347:AT347),""))</f>
        <v/>
      </c>
      <c r="Y347" s="503" t="str">
        <f>IF(終値!A347="","",IFERROR(4*STDEVP(終値!AB347:AU347)/AVERAGE(終値!AB347:AU347),""))</f>
        <v/>
      </c>
      <c r="Z347" s="503" t="str">
        <f>IF(終値!A347="","",IFERROR(4*STDEVP(終値!AC347:AV347)/AVERAGE(終値!AC347:AV347),""))</f>
        <v/>
      </c>
      <c r="AA347" s="503" t="str">
        <f>IF(終値!A347="","",IFERROR(4*STDEVP(終値!AD347:AW347)/AVERAGE(終値!AD347:AW347),""))</f>
        <v/>
      </c>
      <c r="AB347" s="503" t="str">
        <f>IF(終値!A347="","",IFERROR(4*STDEVP(終値!AE347:AX347)/AVERAGE(終値!AE347:AX347),""))</f>
        <v/>
      </c>
      <c r="AC347" s="503" t="str">
        <f>IF(終値!A347="","",IFERROR(4*STDEVP(終値!AF347:AY347)/AVERAGE(終値!AF347:AY347),""))</f>
        <v/>
      </c>
      <c r="AD347" s="503" t="str">
        <f>IF(終値!A347="","",IFERROR(4*STDEVP(終値!AG347:AZ347)/AVERAGE(終値!AG347:AZ347),""))</f>
        <v/>
      </c>
      <c r="AE347" s="503" t="str">
        <f>IF(終値!A347="","",IFERROR(4*STDEVP(終値!AH347:BA347)/AVERAGE(終値!AH347:BA347),""))</f>
        <v/>
      </c>
      <c r="AF347" s="503" t="str">
        <f>IF(終値!A347="","",IFERROR(4*STDEVP(終値!AI347:BB347)/AVERAGE(終値!AI347:BB347),""))</f>
        <v/>
      </c>
      <c r="AG347" s="503" t="str">
        <f>IF(終値!A347="","",IFERROR(4*STDEVP(終値!AJ347:BC347)/AVERAGE(終値!AJ347:BC347),""))</f>
        <v/>
      </c>
      <c r="AH347" s="503" t="str">
        <f>IF(終値!A347="","",IFERROR(4*STDEVP(終値!AK347:BD347)/AVERAGE(終値!AK347:BD347),""))</f>
        <v/>
      </c>
      <c r="AI347" s="503" t="str">
        <f>IF(終値!A347="","",IFERROR(4*STDEVP(終値!AL347:BE347)/AVERAGE(終値!AL347:BE347),""))</f>
        <v/>
      </c>
      <c r="AJ347" s="503" t="str">
        <f>IF(終値!A347="","",IFERROR(4*STDEVP(終値!AM347:BF347)/AVERAGE(終値!AM347:BF347),""))</f>
        <v/>
      </c>
      <c r="AK347" s="503" t="str">
        <f>IF(終値!A347="","",IFERROR(4*STDEVP(終値!AN347:BG347)/AVERAGE(終値!AN347:BG347),""))</f>
        <v/>
      </c>
      <c r="AL347" s="503" t="str">
        <f>IF(終値!A347="","",IFERROR(4*STDEVP(終値!AO347:BH347)/AVERAGE(終値!AO347:BH347),""))</f>
        <v/>
      </c>
      <c r="AM347" s="503" t="str">
        <f>IF(終値!A347="","",IFERROR(4*STDEVP(終値!AP347:BI347)/AVERAGE(終値!AP347:BI347),""))</f>
        <v/>
      </c>
      <c r="AN347" s="503" t="str">
        <f>IF(終値!A347="","",IFERROR(4*STDEVP(終値!AQ347:BJ347)/AVERAGE(終値!AQ347:BJ347),""))</f>
        <v/>
      </c>
      <c r="AO347" s="503" t="str">
        <f>IF(終値!A347="","",IFERROR(4*STDEVP(終値!AR347:BK347)/AVERAGE(終値!AR347:BK347),""))</f>
        <v/>
      </c>
      <c r="AP347" s="503" t="str">
        <f>IF(終値!A347="","",IFERROR(4*STDEVP(終値!AS347:BL347)/AVERAGE(終値!AS347:BL347),""))</f>
        <v/>
      </c>
    </row>
    <row r="348" spans="1:42">
      <c r="A348" s="500" t="str">
        <f>IF(終値!A348="","",終値!A348)</f>
        <v/>
      </c>
      <c r="B348" s="503" t="str">
        <f>IF(終値!A348="","",IFERROR(4*STDEVP(終値!E348:X348)/AVERAGE(終値!E348:X348),""))</f>
        <v/>
      </c>
      <c r="C348" s="503" t="str">
        <f>IF(終値!A348="","",IFERROR(4*STDEVP(終値!F348:Y348)/AVERAGE(終値!F348:Y348),""))</f>
        <v/>
      </c>
      <c r="D348" s="503" t="str">
        <f>IF(終値!A348="","",IFERROR(4*STDEVP(終値!G348:Z348)/AVERAGE(終値!G348:Z348),""))</f>
        <v/>
      </c>
      <c r="E348" s="503" t="str">
        <f>IF(終値!A348="","",IFERROR(4*STDEVP(終値!H348:AA348)/AVERAGE(終値!H348:AA348),""))</f>
        <v/>
      </c>
      <c r="F348" s="503" t="str">
        <f>IF(終値!A348="","",IFERROR(4*STDEVP(終値!I348:AB348)/AVERAGE(終値!I348:AB348),""))</f>
        <v/>
      </c>
      <c r="G348" s="503" t="str">
        <f>IF(終値!A348="","",IFERROR(4*STDEVP(終値!J348:AC348)/AVERAGE(終値!J348:AC348),""))</f>
        <v/>
      </c>
      <c r="H348" s="503" t="str">
        <f>IF(終値!A348="","",IFERROR(4*STDEVP(終値!K348:AD348)/AVERAGE(終値!K348:AD348),""))</f>
        <v/>
      </c>
      <c r="I348" s="503" t="str">
        <f>IF(終値!A348="","",IFERROR(4*STDEVP(終値!L348:AE348)/AVERAGE(終値!L348:AE348),""))</f>
        <v/>
      </c>
      <c r="J348" s="503" t="str">
        <f>IF(終値!A348="","",IFERROR(4*STDEVP(終値!M348:AF348)/AVERAGE(終値!M348:AF348),""))</f>
        <v/>
      </c>
      <c r="K348" s="503" t="str">
        <f>IF(終値!A348="","",IFERROR(4*STDEVP(終値!N348:AG348)/AVERAGE(終値!N348:AG348),""))</f>
        <v/>
      </c>
      <c r="L348" s="503" t="str">
        <f>IF(終値!A348="","",IFERROR(4*STDEVP(終値!O348:AH348)/AVERAGE(終値!O348:AH348),""))</f>
        <v/>
      </c>
      <c r="M348" s="503" t="str">
        <f>IF(終値!A348="","",IFERROR(4*STDEVP(終値!P348:AI348)/AVERAGE(終値!P348:AI348),""))</f>
        <v/>
      </c>
      <c r="N348" s="503" t="str">
        <f>IF(終値!A348="","",IFERROR(4*STDEVP(終値!Q348:AJ348)/AVERAGE(終値!Q348:AJ348),""))</f>
        <v/>
      </c>
      <c r="O348" s="503" t="str">
        <f>IF(終値!A348="","",IFERROR(4*STDEVP(終値!R348:AK348)/AVERAGE(終値!R348:AK348),""))</f>
        <v/>
      </c>
      <c r="P348" s="503" t="str">
        <f>IF(終値!A348="","",IFERROR(4*STDEVP(終値!S348:AL348)/AVERAGE(終値!S348:AL348),""))</f>
        <v/>
      </c>
      <c r="Q348" s="503" t="str">
        <f>IF(終値!A348="","",IFERROR(4*STDEVP(終値!T348:AM348)/AVERAGE(終値!T348:AM348),""))</f>
        <v/>
      </c>
      <c r="R348" s="503" t="str">
        <f>IF(終値!A348="","",IFERROR(4*STDEVP(終値!U348:AN348)/AVERAGE(終値!U348:AN348),""))</f>
        <v/>
      </c>
      <c r="S348" s="503" t="str">
        <f>IF(終値!A348="","",IFERROR(4*STDEVP(終値!V348:AO348)/AVERAGE(終値!V348:AO348),""))</f>
        <v/>
      </c>
      <c r="T348" s="503" t="str">
        <f>IF(終値!A348="","",IFERROR(4*STDEVP(終値!W348:AP348)/AVERAGE(終値!W348:AP348),""))</f>
        <v/>
      </c>
      <c r="U348" s="503" t="str">
        <f>IF(終値!A348="","",IFERROR(4*STDEVP(終値!X348:AQ348)/AVERAGE(終値!X348:AQ348),""))</f>
        <v/>
      </c>
      <c r="V348" s="503" t="str">
        <f>IF(終値!A348="","",IFERROR(4*STDEVP(終値!Y348:AR348)/AVERAGE(終値!Y348:AR348),""))</f>
        <v/>
      </c>
      <c r="W348" s="503" t="str">
        <f>IF(終値!A348="","",IFERROR(4*STDEVP(終値!Z348:AS348)/AVERAGE(終値!Z348:AS348),""))</f>
        <v/>
      </c>
      <c r="X348" s="503" t="str">
        <f>IF(終値!A348="","",IFERROR(4*STDEVP(終値!AA348:AT348)/AVERAGE(終値!AA348:AT348),""))</f>
        <v/>
      </c>
      <c r="Y348" s="503" t="str">
        <f>IF(終値!A348="","",IFERROR(4*STDEVP(終値!AB348:AU348)/AVERAGE(終値!AB348:AU348),""))</f>
        <v/>
      </c>
      <c r="Z348" s="503" t="str">
        <f>IF(終値!A348="","",IFERROR(4*STDEVP(終値!AC348:AV348)/AVERAGE(終値!AC348:AV348),""))</f>
        <v/>
      </c>
      <c r="AA348" s="503" t="str">
        <f>IF(終値!A348="","",IFERROR(4*STDEVP(終値!AD348:AW348)/AVERAGE(終値!AD348:AW348),""))</f>
        <v/>
      </c>
      <c r="AB348" s="503" t="str">
        <f>IF(終値!A348="","",IFERROR(4*STDEVP(終値!AE348:AX348)/AVERAGE(終値!AE348:AX348),""))</f>
        <v/>
      </c>
      <c r="AC348" s="503" t="str">
        <f>IF(終値!A348="","",IFERROR(4*STDEVP(終値!AF348:AY348)/AVERAGE(終値!AF348:AY348),""))</f>
        <v/>
      </c>
      <c r="AD348" s="503" t="str">
        <f>IF(終値!A348="","",IFERROR(4*STDEVP(終値!AG348:AZ348)/AVERAGE(終値!AG348:AZ348),""))</f>
        <v/>
      </c>
      <c r="AE348" s="503" t="str">
        <f>IF(終値!A348="","",IFERROR(4*STDEVP(終値!AH348:BA348)/AVERAGE(終値!AH348:BA348),""))</f>
        <v/>
      </c>
      <c r="AF348" s="503" t="str">
        <f>IF(終値!A348="","",IFERROR(4*STDEVP(終値!AI348:BB348)/AVERAGE(終値!AI348:BB348),""))</f>
        <v/>
      </c>
      <c r="AG348" s="503" t="str">
        <f>IF(終値!A348="","",IFERROR(4*STDEVP(終値!AJ348:BC348)/AVERAGE(終値!AJ348:BC348),""))</f>
        <v/>
      </c>
      <c r="AH348" s="503" t="str">
        <f>IF(終値!A348="","",IFERROR(4*STDEVP(終値!AK348:BD348)/AVERAGE(終値!AK348:BD348),""))</f>
        <v/>
      </c>
      <c r="AI348" s="503" t="str">
        <f>IF(終値!A348="","",IFERROR(4*STDEVP(終値!AL348:BE348)/AVERAGE(終値!AL348:BE348),""))</f>
        <v/>
      </c>
      <c r="AJ348" s="503" t="str">
        <f>IF(終値!A348="","",IFERROR(4*STDEVP(終値!AM348:BF348)/AVERAGE(終値!AM348:BF348),""))</f>
        <v/>
      </c>
      <c r="AK348" s="503" t="str">
        <f>IF(終値!A348="","",IFERROR(4*STDEVP(終値!AN348:BG348)/AVERAGE(終値!AN348:BG348),""))</f>
        <v/>
      </c>
      <c r="AL348" s="503" t="str">
        <f>IF(終値!A348="","",IFERROR(4*STDEVP(終値!AO348:BH348)/AVERAGE(終値!AO348:BH348),""))</f>
        <v/>
      </c>
      <c r="AM348" s="503" t="str">
        <f>IF(終値!A348="","",IFERROR(4*STDEVP(終値!AP348:BI348)/AVERAGE(終値!AP348:BI348),""))</f>
        <v/>
      </c>
      <c r="AN348" s="503" t="str">
        <f>IF(終値!A348="","",IFERROR(4*STDEVP(終値!AQ348:BJ348)/AVERAGE(終値!AQ348:BJ348),""))</f>
        <v/>
      </c>
      <c r="AO348" s="503" t="str">
        <f>IF(終値!A348="","",IFERROR(4*STDEVP(終値!AR348:BK348)/AVERAGE(終値!AR348:BK348),""))</f>
        <v/>
      </c>
      <c r="AP348" s="503" t="str">
        <f>IF(終値!A348="","",IFERROR(4*STDEVP(終値!AS348:BL348)/AVERAGE(終値!AS348:BL348),""))</f>
        <v/>
      </c>
    </row>
    <row r="349" spans="1:42">
      <c r="A349" s="500" t="str">
        <f>IF(終値!A349="","",終値!A349)</f>
        <v/>
      </c>
      <c r="B349" s="503" t="str">
        <f>IF(終値!A349="","",IFERROR(4*STDEVP(終値!E349:X349)/AVERAGE(終値!E349:X349),""))</f>
        <v/>
      </c>
      <c r="C349" s="503" t="str">
        <f>IF(終値!A349="","",IFERROR(4*STDEVP(終値!F349:Y349)/AVERAGE(終値!F349:Y349),""))</f>
        <v/>
      </c>
      <c r="D349" s="503" t="str">
        <f>IF(終値!A349="","",IFERROR(4*STDEVP(終値!G349:Z349)/AVERAGE(終値!G349:Z349),""))</f>
        <v/>
      </c>
      <c r="E349" s="503" t="str">
        <f>IF(終値!A349="","",IFERROR(4*STDEVP(終値!H349:AA349)/AVERAGE(終値!H349:AA349),""))</f>
        <v/>
      </c>
      <c r="F349" s="503" t="str">
        <f>IF(終値!A349="","",IFERROR(4*STDEVP(終値!I349:AB349)/AVERAGE(終値!I349:AB349),""))</f>
        <v/>
      </c>
      <c r="G349" s="503" t="str">
        <f>IF(終値!A349="","",IFERROR(4*STDEVP(終値!J349:AC349)/AVERAGE(終値!J349:AC349),""))</f>
        <v/>
      </c>
      <c r="H349" s="503" t="str">
        <f>IF(終値!A349="","",IFERROR(4*STDEVP(終値!K349:AD349)/AVERAGE(終値!K349:AD349),""))</f>
        <v/>
      </c>
      <c r="I349" s="503" t="str">
        <f>IF(終値!A349="","",IFERROR(4*STDEVP(終値!L349:AE349)/AVERAGE(終値!L349:AE349),""))</f>
        <v/>
      </c>
      <c r="J349" s="503" t="str">
        <f>IF(終値!A349="","",IFERROR(4*STDEVP(終値!M349:AF349)/AVERAGE(終値!M349:AF349),""))</f>
        <v/>
      </c>
      <c r="K349" s="503" t="str">
        <f>IF(終値!A349="","",IFERROR(4*STDEVP(終値!N349:AG349)/AVERAGE(終値!N349:AG349),""))</f>
        <v/>
      </c>
      <c r="L349" s="503" t="str">
        <f>IF(終値!A349="","",IFERROR(4*STDEVP(終値!O349:AH349)/AVERAGE(終値!O349:AH349),""))</f>
        <v/>
      </c>
      <c r="M349" s="503" t="str">
        <f>IF(終値!A349="","",IFERROR(4*STDEVP(終値!P349:AI349)/AVERAGE(終値!P349:AI349),""))</f>
        <v/>
      </c>
      <c r="N349" s="503" t="str">
        <f>IF(終値!A349="","",IFERROR(4*STDEVP(終値!Q349:AJ349)/AVERAGE(終値!Q349:AJ349),""))</f>
        <v/>
      </c>
      <c r="O349" s="503" t="str">
        <f>IF(終値!A349="","",IFERROR(4*STDEVP(終値!R349:AK349)/AVERAGE(終値!R349:AK349),""))</f>
        <v/>
      </c>
      <c r="P349" s="503" t="str">
        <f>IF(終値!A349="","",IFERROR(4*STDEVP(終値!S349:AL349)/AVERAGE(終値!S349:AL349),""))</f>
        <v/>
      </c>
      <c r="Q349" s="503" t="str">
        <f>IF(終値!A349="","",IFERROR(4*STDEVP(終値!T349:AM349)/AVERAGE(終値!T349:AM349),""))</f>
        <v/>
      </c>
      <c r="R349" s="503" t="str">
        <f>IF(終値!A349="","",IFERROR(4*STDEVP(終値!U349:AN349)/AVERAGE(終値!U349:AN349),""))</f>
        <v/>
      </c>
      <c r="S349" s="503" t="str">
        <f>IF(終値!A349="","",IFERROR(4*STDEVP(終値!V349:AO349)/AVERAGE(終値!V349:AO349),""))</f>
        <v/>
      </c>
      <c r="T349" s="503" t="str">
        <f>IF(終値!A349="","",IFERROR(4*STDEVP(終値!W349:AP349)/AVERAGE(終値!W349:AP349),""))</f>
        <v/>
      </c>
      <c r="U349" s="503" t="str">
        <f>IF(終値!A349="","",IFERROR(4*STDEVP(終値!X349:AQ349)/AVERAGE(終値!X349:AQ349),""))</f>
        <v/>
      </c>
      <c r="V349" s="503" t="str">
        <f>IF(終値!A349="","",IFERROR(4*STDEVP(終値!Y349:AR349)/AVERAGE(終値!Y349:AR349),""))</f>
        <v/>
      </c>
      <c r="W349" s="503" t="str">
        <f>IF(終値!A349="","",IFERROR(4*STDEVP(終値!Z349:AS349)/AVERAGE(終値!Z349:AS349),""))</f>
        <v/>
      </c>
      <c r="X349" s="503" t="str">
        <f>IF(終値!A349="","",IFERROR(4*STDEVP(終値!AA349:AT349)/AVERAGE(終値!AA349:AT349),""))</f>
        <v/>
      </c>
      <c r="Y349" s="503" t="str">
        <f>IF(終値!A349="","",IFERROR(4*STDEVP(終値!AB349:AU349)/AVERAGE(終値!AB349:AU349),""))</f>
        <v/>
      </c>
      <c r="Z349" s="503" t="str">
        <f>IF(終値!A349="","",IFERROR(4*STDEVP(終値!AC349:AV349)/AVERAGE(終値!AC349:AV349),""))</f>
        <v/>
      </c>
      <c r="AA349" s="503" t="str">
        <f>IF(終値!A349="","",IFERROR(4*STDEVP(終値!AD349:AW349)/AVERAGE(終値!AD349:AW349),""))</f>
        <v/>
      </c>
      <c r="AB349" s="503" t="str">
        <f>IF(終値!A349="","",IFERROR(4*STDEVP(終値!AE349:AX349)/AVERAGE(終値!AE349:AX349),""))</f>
        <v/>
      </c>
      <c r="AC349" s="503" t="str">
        <f>IF(終値!A349="","",IFERROR(4*STDEVP(終値!AF349:AY349)/AVERAGE(終値!AF349:AY349),""))</f>
        <v/>
      </c>
      <c r="AD349" s="503" t="str">
        <f>IF(終値!A349="","",IFERROR(4*STDEVP(終値!AG349:AZ349)/AVERAGE(終値!AG349:AZ349),""))</f>
        <v/>
      </c>
      <c r="AE349" s="503" t="str">
        <f>IF(終値!A349="","",IFERROR(4*STDEVP(終値!AH349:BA349)/AVERAGE(終値!AH349:BA349),""))</f>
        <v/>
      </c>
      <c r="AF349" s="503" t="str">
        <f>IF(終値!A349="","",IFERROR(4*STDEVP(終値!AI349:BB349)/AVERAGE(終値!AI349:BB349),""))</f>
        <v/>
      </c>
      <c r="AG349" s="503" t="str">
        <f>IF(終値!A349="","",IFERROR(4*STDEVP(終値!AJ349:BC349)/AVERAGE(終値!AJ349:BC349),""))</f>
        <v/>
      </c>
      <c r="AH349" s="503" t="str">
        <f>IF(終値!A349="","",IFERROR(4*STDEVP(終値!AK349:BD349)/AVERAGE(終値!AK349:BD349),""))</f>
        <v/>
      </c>
      <c r="AI349" s="503" t="str">
        <f>IF(終値!A349="","",IFERROR(4*STDEVP(終値!AL349:BE349)/AVERAGE(終値!AL349:BE349),""))</f>
        <v/>
      </c>
      <c r="AJ349" s="503" t="str">
        <f>IF(終値!A349="","",IFERROR(4*STDEVP(終値!AM349:BF349)/AVERAGE(終値!AM349:BF349),""))</f>
        <v/>
      </c>
      <c r="AK349" s="503" t="str">
        <f>IF(終値!A349="","",IFERROR(4*STDEVP(終値!AN349:BG349)/AVERAGE(終値!AN349:BG349),""))</f>
        <v/>
      </c>
      <c r="AL349" s="503" t="str">
        <f>IF(終値!A349="","",IFERROR(4*STDEVP(終値!AO349:BH349)/AVERAGE(終値!AO349:BH349),""))</f>
        <v/>
      </c>
      <c r="AM349" s="503" t="str">
        <f>IF(終値!A349="","",IFERROR(4*STDEVP(終値!AP349:BI349)/AVERAGE(終値!AP349:BI349),""))</f>
        <v/>
      </c>
      <c r="AN349" s="503" t="str">
        <f>IF(終値!A349="","",IFERROR(4*STDEVP(終値!AQ349:BJ349)/AVERAGE(終値!AQ349:BJ349),""))</f>
        <v/>
      </c>
      <c r="AO349" s="503" t="str">
        <f>IF(終値!A349="","",IFERROR(4*STDEVP(終値!AR349:BK349)/AVERAGE(終値!AR349:BK349),""))</f>
        <v/>
      </c>
      <c r="AP349" s="503" t="str">
        <f>IF(終値!A349="","",IFERROR(4*STDEVP(終値!AS349:BL349)/AVERAGE(終値!AS349:BL349),""))</f>
        <v/>
      </c>
    </row>
    <row r="350" spans="1:42">
      <c r="A350" s="500" t="str">
        <f>IF(終値!A350="","",終値!A350)</f>
        <v/>
      </c>
      <c r="B350" s="503" t="str">
        <f>IF(終値!A350="","",IFERROR(4*STDEVP(終値!E350:X350)/AVERAGE(終値!E350:X350),""))</f>
        <v/>
      </c>
      <c r="C350" s="503" t="str">
        <f>IF(終値!A350="","",IFERROR(4*STDEVP(終値!F350:Y350)/AVERAGE(終値!F350:Y350),""))</f>
        <v/>
      </c>
      <c r="D350" s="503" t="str">
        <f>IF(終値!A350="","",IFERROR(4*STDEVP(終値!G350:Z350)/AVERAGE(終値!G350:Z350),""))</f>
        <v/>
      </c>
      <c r="E350" s="503" t="str">
        <f>IF(終値!A350="","",IFERROR(4*STDEVP(終値!H350:AA350)/AVERAGE(終値!H350:AA350),""))</f>
        <v/>
      </c>
      <c r="F350" s="503" t="str">
        <f>IF(終値!A350="","",IFERROR(4*STDEVP(終値!I350:AB350)/AVERAGE(終値!I350:AB350),""))</f>
        <v/>
      </c>
      <c r="G350" s="503" t="str">
        <f>IF(終値!A350="","",IFERROR(4*STDEVP(終値!J350:AC350)/AVERAGE(終値!J350:AC350),""))</f>
        <v/>
      </c>
      <c r="H350" s="503" t="str">
        <f>IF(終値!A350="","",IFERROR(4*STDEVP(終値!K350:AD350)/AVERAGE(終値!K350:AD350),""))</f>
        <v/>
      </c>
      <c r="I350" s="503" t="str">
        <f>IF(終値!A350="","",IFERROR(4*STDEVP(終値!L350:AE350)/AVERAGE(終値!L350:AE350),""))</f>
        <v/>
      </c>
      <c r="J350" s="503" t="str">
        <f>IF(終値!A350="","",IFERROR(4*STDEVP(終値!M350:AF350)/AVERAGE(終値!M350:AF350),""))</f>
        <v/>
      </c>
      <c r="K350" s="503" t="str">
        <f>IF(終値!A350="","",IFERROR(4*STDEVP(終値!N350:AG350)/AVERAGE(終値!N350:AG350),""))</f>
        <v/>
      </c>
      <c r="L350" s="503" t="str">
        <f>IF(終値!A350="","",IFERROR(4*STDEVP(終値!O350:AH350)/AVERAGE(終値!O350:AH350),""))</f>
        <v/>
      </c>
      <c r="M350" s="503" t="str">
        <f>IF(終値!A350="","",IFERROR(4*STDEVP(終値!P350:AI350)/AVERAGE(終値!P350:AI350),""))</f>
        <v/>
      </c>
      <c r="N350" s="503" t="str">
        <f>IF(終値!A350="","",IFERROR(4*STDEVP(終値!Q350:AJ350)/AVERAGE(終値!Q350:AJ350),""))</f>
        <v/>
      </c>
      <c r="O350" s="503" t="str">
        <f>IF(終値!A350="","",IFERROR(4*STDEVP(終値!R350:AK350)/AVERAGE(終値!R350:AK350),""))</f>
        <v/>
      </c>
      <c r="P350" s="503" t="str">
        <f>IF(終値!A350="","",IFERROR(4*STDEVP(終値!S350:AL350)/AVERAGE(終値!S350:AL350),""))</f>
        <v/>
      </c>
      <c r="Q350" s="503" t="str">
        <f>IF(終値!A350="","",IFERROR(4*STDEVP(終値!T350:AM350)/AVERAGE(終値!T350:AM350),""))</f>
        <v/>
      </c>
      <c r="R350" s="503" t="str">
        <f>IF(終値!A350="","",IFERROR(4*STDEVP(終値!U350:AN350)/AVERAGE(終値!U350:AN350),""))</f>
        <v/>
      </c>
      <c r="S350" s="503" t="str">
        <f>IF(終値!A350="","",IFERROR(4*STDEVP(終値!V350:AO350)/AVERAGE(終値!V350:AO350),""))</f>
        <v/>
      </c>
      <c r="T350" s="503" t="str">
        <f>IF(終値!A350="","",IFERROR(4*STDEVP(終値!W350:AP350)/AVERAGE(終値!W350:AP350),""))</f>
        <v/>
      </c>
      <c r="U350" s="503" t="str">
        <f>IF(終値!A350="","",IFERROR(4*STDEVP(終値!X350:AQ350)/AVERAGE(終値!X350:AQ350),""))</f>
        <v/>
      </c>
      <c r="V350" s="503" t="str">
        <f>IF(終値!A350="","",IFERROR(4*STDEVP(終値!Y350:AR350)/AVERAGE(終値!Y350:AR350),""))</f>
        <v/>
      </c>
      <c r="W350" s="503" t="str">
        <f>IF(終値!A350="","",IFERROR(4*STDEVP(終値!Z350:AS350)/AVERAGE(終値!Z350:AS350),""))</f>
        <v/>
      </c>
      <c r="X350" s="503" t="str">
        <f>IF(終値!A350="","",IFERROR(4*STDEVP(終値!AA350:AT350)/AVERAGE(終値!AA350:AT350),""))</f>
        <v/>
      </c>
      <c r="Y350" s="503" t="str">
        <f>IF(終値!A350="","",IFERROR(4*STDEVP(終値!AB350:AU350)/AVERAGE(終値!AB350:AU350),""))</f>
        <v/>
      </c>
      <c r="Z350" s="503" t="str">
        <f>IF(終値!A350="","",IFERROR(4*STDEVP(終値!AC350:AV350)/AVERAGE(終値!AC350:AV350),""))</f>
        <v/>
      </c>
      <c r="AA350" s="503" t="str">
        <f>IF(終値!A350="","",IFERROR(4*STDEVP(終値!AD350:AW350)/AVERAGE(終値!AD350:AW350),""))</f>
        <v/>
      </c>
      <c r="AB350" s="503" t="str">
        <f>IF(終値!A350="","",IFERROR(4*STDEVP(終値!AE350:AX350)/AVERAGE(終値!AE350:AX350),""))</f>
        <v/>
      </c>
      <c r="AC350" s="503" t="str">
        <f>IF(終値!A350="","",IFERROR(4*STDEVP(終値!AF350:AY350)/AVERAGE(終値!AF350:AY350),""))</f>
        <v/>
      </c>
      <c r="AD350" s="503" t="str">
        <f>IF(終値!A350="","",IFERROR(4*STDEVP(終値!AG350:AZ350)/AVERAGE(終値!AG350:AZ350),""))</f>
        <v/>
      </c>
      <c r="AE350" s="503" t="str">
        <f>IF(終値!A350="","",IFERROR(4*STDEVP(終値!AH350:BA350)/AVERAGE(終値!AH350:BA350),""))</f>
        <v/>
      </c>
      <c r="AF350" s="503" t="str">
        <f>IF(終値!A350="","",IFERROR(4*STDEVP(終値!AI350:BB350)/AVERAGE(終値!AI350:BB350),""))</f>
        <v/>
      </c>
      <c r="AG350" s="503" t="str">
        <f>IF(終値!A350="","",IFERROR(4*STDEVP(終値!AJ350:BC350)/AVERAGE(終値!AJ350:BC350),""))</f>
        <v/>
      </c>
      <c r="AH350" s="503" t="str">
        <f>IF(終値!A350="","",IFERROR(4*STDEVP(終値!AK350:BD350)/AVERAGE(終値!AK350:BD350),""))</f>
        <v/>
      </c>
      <c r="AI350" s="503" t="str">
        <f>IF(終値!A350="","",IFERROR(4*STDEVP(終値!AL350:BE350)/AVERAGE(終値!AL350:BE350),""))</f>
        <v/>
      </c>
      <c r="AJ350" s="503" t="str">
        <f>IF(終値!A350="","",IFERROR(4*STDEVP(終値!AM350:BF350)/AVERAGE(終値!AM350:BF350),""))</f>
        <v/>
      </c>
      <c r="AK350" s="503" t="str">
        <f>IF(終値!A350="","",IFERROR(4*STDEVP(終値!AN350:BG350)/AVERAGE(終値!AN350:BG350),""))</f>
        <v/>
      </c>
      <c r="AL350" s="503" t="str">
        <f>IF(終値!A350="","",IFERROR(4*STDEVP(終値!AO350:BH350)/AVERAGE(終値!AO350:BH350),""))</f>
        <v/>
      </c>
      <c r="AM350" s="503" t="str">
        <f>IF(終値!A350="","",IFERROR(4*STDEVP(終値!AP350:BI350)/AVERAGE(終値!AP350:BI350),""))</f>
        <v/>
      </c>
      <c r="AN350" s="503" t="str">
        <f>IF(終値!A350="","",IFERROR(4*STDEVP(終値!AQ350:BJ350)/AVERAGE(終値!AQ350:BJ350),""))</f>
        <v/>
      </c>
      <c r="AO350" s="503" t="str">
        <f>IF(終値!A350="","",IFERROR(4*STDEVP(終値!AR350:BK350)/AVERAGE(終値!AR350:BK350),""))</f>
        <v/>
      </c>
      <c r="AP350" s="503" t="str">
        <f>IF(終値!A350="","",IFERROR(4*STDEVP(終値!AS350:BL350)/AVERAGE(終値!AS350:BL350),""))</f>
        <v/>
      </c>
    </row>
    <row r="351" spans="1:42">
      <c r="A351" s="500" t="str">
        <f>IF(終値!A351="","",終値!A351)</f>
        <v/>
      </c>
      <c r="B351" s="503" t="str">
        <f>IF(終値!A351="","",IFERROR(4*STDEVP(終値!E351:X351)/AVERAGE(終値!E351:X351),""))</f>
        <v/>
      </c>
      <c r="C351" s="503" t="str">
        <f>IF(終値!A351="","",IFERROR(4*STDEVP(終値!F351:Y351)/AVERAGE(終値!F351:Y351),""))</f>
        <v/>
      </c>
      <c r="D351" s="503" t="str">
        <f>IF(終値!A351="","",IFERROR(4*STDEVP(終値!G351:Z351)/AVERAGE(終値!G351:Z351),""))</f>
        <v/>
      </c>
      <c r="E351" s="503" t="str">
        <f>IF(終値!A351="","",IFERROR(4*STDEVP(終値!H351:AA351)/AVERAGE(終値!H351:AA351),""))</f>
        <v/>
      </c>
      <c r="F351" s="503" t="str">
        <f>IF(終値!A351="","",IFERROR(4*STDEVP(終値!I351:AB351)/AVERAGE(終値!I351:AB351),""))</f>
        <v/>
      </c>
      <c r="G351" s="503" t="str">
        <f>IF(終値!A351="","",IFERROR(4*STDEVP(終値!J351:AC351)/AVERAGE(終値!J351:AC351),""))</f>
        <v/>
      </c>
      <c r="H351" s="503" t="str">
        <f>IF(終値!A351="","",IFERROR(4*STDEVP(終値!K351:AD351)/AVERAGE(終値!K351:AD351),""))</f>
        <v/>
      </c>
      <c r="I351" s="503" t="str">
        <f>IF(終値!A351="","",IFERROR(4*STDEVP(終値!L351:AE351)/AVERAGE(終値!L351:AE351),""))</f>
        <v/>
      </c>
      <c r="J351" s="503" t="str">
        <f>IF(終値!A351="","",IFERROR(4*STDEVP(終値!M351:AF351)/AVERAGE(終値!M351:AF351),""))</f>
        <v/>
      </c>
      <c r="K351" s="503" t="str">
        <f>IF(終値!A351="","",IFERROR(4*STDEVP(終値!N351:AG351)/AVERAGE(終値!N351:AG351),""))</f>
        <v/>
      </c>
      <c r="L351" s="503" t="str">
        <f>IF(終値!A351="","",IFERROR(4*STDEVP(終値!O351:AH351)/AVERAGE(終値!O351:AH351),""))</f>
        <v/>
      </c>
      <c r="M351" s="503" t="str">
        <f>IF(終値!A351="","",IFERROR(4*STDEVP(終値!P351:AI351)/AVERAGE(終値!P351:AI351),""))</f>
        <v/>
      </c>
      <c r="N351" s="503" t="str">
        <f>IF(終値!A351="","",IFERROR(4*STDEVP(終値!Q351:AJ351)/AVERAGE(終値!Q351:AJ351),""))</f>
        <v/>
      </c>
      <c r="O351" s="503" t="str">
        <f>IF(終値!A351="","",IFERROR(4*STDEVP(終値!R351:AK351)/AVERAGE(終値!R351:AK351),""))</f>
        <v/>
      </c>
      <c r="P351" s="503" t="str">
        <f>IF(終値!A351="","",IFERROR(4*STDEVP(終値!S351:AL351)/AVERAGE(終値!S351:AL351),""))</f>
        <v/>
      </c>
      <c r="Q351" s="503" t="str">
        <f>IF(終値!A351="","",IFERROR(4*STDEVP(終値!T351:AM351)/AVERAGE(終値!T351:AM351),""))</f>
        <v/>
      </c>
      <c r="R351" s="503" t="str">
        <f>IF(終値!A351="","",IFERROR(4*STDEVP(終値!U351:AN351)/AVERAGE(終値!U351:AN351),""))</f>
        <v/>
      </c>
      <c r="S351" s="503" t="str">
        <f>IF(終値!A351="","",IFERROR(4*STDEVP(終値!V351:AO351)/AVERAGE(終値!V351:AO351),""))</f>
        <v/>
      </c>
      <c r="T351" s="503" t="str">
        <f>IF(終値!A351="","",IFERROR(4*STDEVP(終値!W351:AP351)/AVERAGE(終値!W351:AP351),""))</f>
        <v/>
      </c>
      <c r="U351" s="503" t="str">
        <f>IF(終値!A351="","",IFERROR(4*STDEVP(終値!X351:AQ351)/AVERAGE(終値!X351:AQ351),""))</f>
        <v/>
      </c>
      <c r="V351" s="503" t="str">
        <f>IF(終値!A351="","",IFERROR(4*STDEVP(終値!Y351:AR351)/AVERAGE(終値!Y351:AR351),""))</f>
        <v/>
      </c>
      <c r="W351" s="503" t="str">
        <f>IF(終値!A351="","",IFERROR(4*STDEVP(終値!Z351:AS351)/AVERAGE(終値!Z351:AS351),""))</f>
        <v/>
      </c>
      <c r="X351" s="503" t="str">
        <f>IF(終値!A351="","",IFERROR(4*STDEVP(終値!AA351:AT351)/AVERAGE(終値!AA351:AT351),""))</f>
        <v/>
      </c>
      <c r="Y351" s="503" t="str">
        <f>IF(終値!A351="","",IFERROR(4*STDEVP(終値!AB351:AU351)/AVERAGE(終値!AB351:AU351),""))</f>
        <v/>
      </c>
      <c r="Z351" s="503" t="str">
        <f>IF(終値!A351="","",IFERROR(4*STDEVP(終値!AC351:AV351)/AVERAGE(終値!AC351:AV351),""))</f>
        <v/>
      </c>
      <c r="AA351" s="503" t="str">
        <f>IF(終値!A351="","",IFERROR(4*STDEVP(終値!AD351:AW351)/AVERAGE(終値!AD351:AW351),""))</f>
        <v/>
      </c>
      <c r="AB351" s="503" t="str">
        <f>IF(終値!A351="","",IFERROR(4*STDEVP(終値!AE351:AX351)/AVERAGE(終値!AE351:AX351),""))</f>
        <v/>
      </c>
      <c r="AC351" s="503" t="str">
        <f>IF(終値!A351="","",IFERROR(4*STDEVP(終値!AF351:AY351)/AVERAGE(終値!AF351:AY351),""))</f>
        <v/>
      </c>
      <c r="AD351" s="503" t="str">
        <f>IF(終値!A351="","",IFERROR(4*STDEVP(終値!AG351:AZ351)/AVERAGE(終値!AG351:AZ351),""))</f>
        <v/>
      </c>
      <c r="AE351" s="503" t="str">
        <f>IF(終値!A351="","",IFERROR(4*STDEVP(終値!AH351:BA351)/AVERAGE(終値!AH351:BA351),""))</f>
        <v/>
      </c>
      <c r="AF351" s="503" t="str">
        <f>IF(終値!A351="","",IFERROR(4*STDEVP(終値!AI351:BB351)/AVERAGE(終値!AI351:BB351),""))</f>
        <v/>
      </c>
      <c r="AG351" s="503" t="str">
        <f>IF(終値!A351="","",IFERROR(4*STDEVP(終値!AJ351:BC351)/AVERAGE(終値!AJ351:BC351),""))</f>
        <v/>
      </c>
      <c r="AH351" s="503" t="str">
        <f>IF(終値!A351="","",IFERROR(4*STDEVP(終値!AK351:BD351)/AVERAGE(終値!AK351:BD351),""))</f>
        <v/>
      </c>
      <c r="AI351" s="503" t="str">
        <f>IF(終値!A351="","",IFERROR(4*STDEVP(終値!AL351:BE351)/AVERAGE(終値!AL351:BE351),""))</f>
        <v/>
      </c>
      <c r="AJ351" s="503" t="str">
        <f>IF(終値!A351="","",IFERROR(4*STDEVP(終値!AM351:BF351)/AVERAGE(終値!AM351:BF351),""))</f>
        <v/>
      </c>
      <c r="AK351" s="503" t="str">
        <f>IF(終値!A351="","",IFERROR(4*STDEVP(終値!AN351:BG351)/AVERAGE(終値!AN351:BG351),""))</f>
        <v/>
      </c>
      <c r="AL351" s="503" t="str">
        <f>IF(終値!A351="","",IFERROR(4*STDEVP(終値!AO351:BH351)/AVERAGE(終値!AO351:BH351),""))</f>
        <v/>
      </c>
      <c r="AM351" s="503" t="str">
        <f>IF(終値!A351="","",IFERROR(4*STDEVP(終値!AP351:BI351)/AVERAGE(終値!AP351:BI351),""))</f>
        <v/>
      </c>
      <c r="AN351" s="503" t="str">
        <f>IF(終値!A351="","",IFERROR(4*STDEVP(終値!AQ351:BJ351)/AVERAGE(終値!AQ351:BJ351),""))</f>
        <v/>
      </c>
      <c r="AO351" s="503" t="str">
        <f>IF(終値!A351="","",IFERROR(4*STDEVP(終値!AR351:BK351)/AVERAGE(終値!AR351:BK351),""))</f>
        <v/>
      </c>
      <c r="AP351" s="503" t="str">
        <f>IF(終値!A351="","",IFERROR(4*STDEVP(終値!AS351:BL351)/AVERAGE(終値!AS351:BL351),""))</f>
        <v/>
      </c>
    </row>
    <row r="352" spans="1:42">
      <c r="A352" s="500" t="str">
        <f>IF(終値!A352="","",終値!A352)</f>
        <v/>
      </c>
      <c r="B352" s="503" t="str">
        <f>IF(終値!A352="","",IFERROR(4*STDEVP(終値!E352:X352)/AVERAGE(終値!E352:X352),""))</f>
        <v/>
      </c>
      <c r="C352" s="503" t="str">
        <f>IF(終値!A352="","",IFERROR(4*STDEVP(終値!F352:Y352)/AVERAGE(終値!F352:Y352),""))</f>
        <v/>
      </c>
      <c r="D352" s="503" t="str">
        <f>IF(終値!A352="","",IFERROR(4*STDEVP(終値!G352:Z352)/AVERAGE(終値!G352:Z352),""))</f>
        <v/>
      </c>
      <c r="E352" s="503" t="str">
        <f>IF(終値!A352="","",IFERROR(4*STDEVP(終値!H352:AA352)/AVERAGE(終値!H352:AA352),""))</f>
        <v/>
      </c>
      <c r="F352" s="503" t="str">
        <f>IF(終値!A352="","",IFERROR(4*STDEVP(終値!I352:AB352)/AVERAGE(終値!I352:AB352),""))</f>
        <v/>
      </c>
      <c r="G352" s="503" t="str">
        <f>IF(終値!A352="","",IFERROR(4*STDEVP(終値!J352:AC352)/AVERAGE(終値!J352:AC352),""))</f>
        <v/>
      </c>
      <c r="H352" s="503" t="str">
        <f>IF(終値!A352="","",IFERROR(4*STDEVP(終値!K352:AD352)/AVERAGE(終値!K352:AD352),""))</f>
        <v/>
      </c>
      <c r="I352" s="503" t="str">
        <f>IF(終値!A352="","",IFERROR(4*STDEVP(終値!L352:AE352)/AVERAGE(終値!L352:AE352),""))</f>
        <v/>
      </c>
      <c r="J352" s="503" t="str">
        <f>IF(終値!A352="","",IFERROR(4*STDEVP(終値!M352:AF352)/AVERAGE(終値!M352:AF352),""))</f>
        <v/>
      </c>
      <c r="K352" s="503" t="str">
        <f>IF(終値!A352="","",IFERROR(4*STDEVP(終値!N352:AG352)/AVERAGE(終値!N352:AG352),""))</f>
        <v/>
      </c>
      <c r="L352" s="503" t="str">
        <f>IF(終値!A352="","",IFERROR(4*STDEVP(終値!O352:AH352)/AVERAGE(終値!O352:AH352),""))</f>
        <v/>
      </c>
      <c r="M352" s="503" t="str">
        <f>IF(終値!A352="","",IFERROR(4*STDEVP(終値!P352:AI352)/AVERAGE(終値!P352:AI352),""))</f>
        <v/>
      </c>
      <c r="N352" s="503" t="str">
        <f>IF(終値!A352="","",IFERROR(4*STDEVP(終値!Q352:AJ352)/AVERAGE(終値!Q352:AJ352),""))</f>
        <v/>
      </c>
      <c r="O352" s="503" t="str">
        <f>IF(終値!A352="","",IFERROR(4*STDEVP(終値!R352:AK352)/AVERAGE(終値!R352:AK352),""))</f>
        <v/>
      </c>
      <c r="P352" s="503" t="str">
        <f>IF(終値!A352="","",IFERROR(4*STDEVP(終値!S352:AL352)/AVERAGE(終値!S352:AL352),""))</f>
        <v/>
      </c>
      <c r="Q352" s="503" t="str">
        <f>IF(終値!A352="","",IFERROR(4*STDEVP(終値!T352:AM352)/AVERAGE(終値!T352:AM352),""))</f>
        <v/>
      </c>
      <c r="R352" s="503" t="str">
        <f>IF(終値!A352="","",IFERROR(4*STDEVP(終値!U352:AN352)/AVERAGE(終値!U352:AN352),""))</f>
        <v/>
      </c>
      <c r="S352" s="503" t="str">
        <f>IF(終値!A352="","",IFERROR(4*STDEVP(終値!V352:AO352)/AVERAGE(終値!V352:AO352),""))</f>
        <v/>
      </c>
      <c r="T352" s="503" t="str">
        <f>IF(終値!A352="","",IFERROR(4*STDEVP(終値!W352:AP352)/AVERAGE(終値!W352:AP352),""))</f>
        <v/>
      </c>
      <c r="U352" s="503" t="str">
        <f>IF(終値!A352="","",IFERROR(4*STDEVP(終値!X352:AQ352)/AVERAGE(終値!X352:AQ352),""))</f>
        <v/>
      </c>
      <c r="V352" s="503" t="str">
        <f>IF(終値!A352="","",IFERROR(4*STDEVP(終値!Y352:AR352)/AVERAGE(終値!Y352:AR352),""))</f>
        <v/>
      </c>
      <c r="W352" s="503" t="str">
        <f>IF(終値!A352="","",IFERROR(4*STDEVP(終値!Z352:AS352)/AVERAGE(終値!Z352:AS352),""))</f>
        <v/>
      </c>
      <c r="X352" s="503" t="str">
        <f>IF(終値!A352="","",IFERROR(4*STDEVP(終値!AA352:AT352)/AVERAGE(終値!AA352:AT352),""))</f>
        <v/>
      </c>
      <c r="Y352" s="503" t="str">
        <f>IF(終値!A352="","",IFERROR(4*STDEVP(終値!AB352:AU352)/AVERAGE(終値!AB352:AU352),""))</f>
        <v/>
      </c>
      <c r="Z352" s="503" t="str">
        <f>IF(終値!A352="","",IFERROR(4*STDEVP(終値!AC352:AV352)/AVERAGE(終値!AC352:AV352),""))</f>
        <v/>
      </c>
      <c r="AA352" s="503" t="str">
        <f>IF(終値!A352="","",IFERROR(4*STDEVP(終値!AD352:AW352)/AVERAGE(終値!AD352:AW352),""))</f>
        <v/>
      </c>
      <c r="AB352" s="503" t="str">
        <f>IF(終値!A352="","",IFERROR(4*STDEVP(終値!AE352:AX352)/AVERAGE(終値!AE352:AX352),""))</f>
        <v/>
      </c>
      <c r="AC352" s="503" t="str">
        <f>IF(終値!A352="","",IFERROR(4*STDEVP(終値!AF352:AY352)/AVERAGE(終値!AF352:AY352),""))</f>
        <v/>
      </c>
      <c r="AD352" s="503" t="str">
        <f>IF(終値!A352="","",IFERROR(4*STDEVP(終値!AG352:AZ352)/AVERAGE(終値!AG352:AZ352),""))</f>
        <v/>
      </c>
      <c r="AE352" s="503" t="str">
        <f>IF(終値!A352="","",IFERROR(4*STDEVP(終値!AH352:BA352)/AVERAGE(終値!AH352:BA352),""))</f>
        <v/>
      </c>
      <c r="AF352" s="503" t="str">
        <f>IF(終値!A352="","",IFERROR(4*STDEVP(終値!AI352:BB352)/AVERAGE(終値!AI352:BB352),""))</f>
        <v/>
      </c>
      <c r="AG352" s="503" t="str">
        <f>IF(終値!A352="","",IFERROR(4*STDEVP(終値!AJ352:BC352)/AVERAGE(終値!AJ352:BC352),""))</f>
        <v/>
      </c>
      <c r="AH352" s="503" t="str">
        <f>IF(終値!A352="","",IFERROR(4*STDEVP(終値!AK352:BD352)/AVERAGE(終値!AK352:BD352),""))</f>
        <v/>
      </c>
      <c r="AI352" s="503" t="str">
        <f>IF(終値!A352="","",IFERROR(4*STDEVP(終値!AL352:BE352)/AVERAGE(終値!AL352:BE352),""))</f>
        <v/>
      </c>
      <c r="AJ352" s="503" t="str">
        <f>IF(終値!A352="","",IFERROR(4*STDEVP(終値!AM352:BF352)/AVERAGE(終値!AM352:BF352),""))</f>
        <v/>
      </c>
      <c r="AK352" s="503" t="str">
        <f>IF(終値!A352="","",IFERROR(4*STDEVP(終値!AN352:BG352)/AVERAGE(終値!AN352:BG352),""))</f>
        <v/>
      </c>
      <c r="AL352" s="503" t="str">
        <f>IF(終値!A352="","",IFERROR(4*STDEVP(終値!AO352:BH352)/AVERAGE(終値!AO352:BH352),""))</f>
        <v/>
      </c>
      <c r="AM352" s="503" t="str">
        <f>IF(終値!A352="","",IFERROR(4*STDEVP(終値!AP352:BI352)/AVERAGE(終値!AP352:BI352),""))</f>
        <v/>
      </c>
      <c r="AN352" s="503" t="str">
        <f>IF(終値!A352="","",IFERROR(4*STDEVP(終値!AQ352:BJ352)/AVERAGE(終値!AQ352:BJ352),""))</f>
        <v/>
      </c>
      <c r="AO352" s="503" t="str">
        <f>IF(終値!A352="","",IFERROR(4*STDEVP(終値!AR352:BK352)/AVERAGE(終値!AR352:BK352),""))</f>
        <v/>
      </c>
      <c r="AP352" s="503" t="str">
        <f>IF(終値!A352="","",IFERROR(4*STDEVP(終値!AS352:BL352)/AVERAGE(終値!AS352:BL352),""))</f>
        <v/>
      </c>
    </row>
    <row r="353" spans="1:42">
      <c r="A353" s="500" t="str">
        <f>IF(終値!A353="","",終値!A353)</f>
        <v/>
      </c>
      <c r="B353" s="503" t="str">
        <f>IF(終値!A353="","",IFERROR(4*STDEVP(終値!E353:X353)/AVERAGE(終値!E353:X353),""))</f>
        <v/>
      </c>
      <c r="C353" s="503" t="str">
        <f>IF(終値!A353="","",IFERROR(4*STDEVP(終値!F353:Y353)/AVERAGE(終値!F353:Y353),""))</f>
        <v/>
      </c>
      <c r="D353" s="503" t="str">
        <f>IF(終値!A353="","",IFERROR(4*STDEVP(終値!G353:Z353)/AVERAGE(終値!G353:Z353),""))</f>
        <v/>
      </c>
      <c r="E353" s="503" t="str">
        <f>IF(終値!A353="","",IFERROR(4*STDEVP(終値!H353:AA353)/AVERAGE(終値!H353:AA353),""))</f>
        <v/>
      </c>
      <c r="F353" s="503" t="str">
        <f>IF(終値!A353="","",IFERROR(4*STDEVP(終値!I353:AB353)/AVERAGE(終値!I353:AB353),""))</f>
        <v/>
      </c>
      <c r="G353" s="503" t="str">
        <f>IF(終値!A353="","",IFERROR(4*STDEVP(終値!J353:AC353)/AVERAGE(終値!J353:AC353),""))</f>
        <v/>
      </c>
      <c r="H353" s="503" t="str">
        <f>IF(終値!A353="","",IFERROR(4*STDEVP(終値!K353:AD353)/AVERAGE(終値!K353:AD353),""))</f>
        <v/>
      </c>
      <c r="I353" s="503" t="str">
        <f>IF(終値!A353="","",IFERROR(4*STDEVP(終値!L353:AE353)/AVERAGE(終値!L353:AE353),""))</f>
        <v/>
      </c>
      <c r="J353" s="503" t="str">
        <f>IF(終値!A353="","",IFERROR(4*STDEVP(終値!M353:AF353)/AVERAGE(終値!M353:AF353),""))</f>
        <v/>
      </c>
      <c r="K353" s="503" t="str">
        <f>IF(終値!A353="","",IFERROR(4*STDEVP(終値!N353:AG353)/AVERAGE(終値!N353:AG353),""))</f>
        <v/>
      </c>
      <c r="L353" s="503" t="str">
        <f>IF(終値!A353="","",IFERROR(4*STDEVP(終値!O353:AH353)/AVERAGE(終値!O353:AH353),""))</f>
        <v/>
      </c>
      <c r="M353" s="503" t="str">
        <f>IF(終値!A353="","",IFERROR(4*STDEVP(終値!P353:AI353)/AVERAGE(終値!P353:AI353),""))</f>
        <v/>
      </c>
      <c r="N353" s="503" t="str">
        <f>IF(終値!A353="","",IFERROR(4*STDEVP(終値!Q353:AJ353)/AVERAGE(終値!Q353:AJ353),""))</f>
        <v/>
      </c>
      <c r="O353" s="503" t="str">
        <f>IF(終値!A353="","",IFERROR(4*STDEVP(終値!R353:AK353)/AVERAGE(終値!R353:AK353),""))</f>
        <v/>
      </c>
      <c r="P353" s="503" t="str">
        <f>IF(終値!A353="","",IFERROR(4*STDEVP(終値!S353:AL353)/AVERAGE(終値!S353:AL353),""))</f>
        <v/>
      </c>
      <c r="Q353" s="503" t="str">
        <f>IF(終値!A353="","",IFERROR(4*STDEVP(終値!T353:AM353)/AVERAGE(終値!T353:AM353),""))</f>
        <v/>
      </c>
      <c r="R353" s="503" t="str">
        <f>IF(終値!A353="","",IFERROR(4*STDEVP(終値!U353:AN353)/AVERAGE(終値!U353:AN353),""))</f>
        <v/>
      </c>
      <c r="S353" s="503" t="str">
        <f>IF(終値!A353="","",IFERROR(4*STDEVP(終値!V353:AO353)/AVERAGE(終値!V353:AO353),""))</f>
        <v/>
      </c>
      <c r="T353" s="503" t="str">
        <f>IF(終値!A353="","",IFERROR(4*STDEVP(終値!W353:AP353)/AVERAGE(終値!W353:AP353),""))</f>
        <v/>
      </c>
      <c r="U353" s="503" t="str">
        <f>IF(終値!A353="","",IFERROR(4*STDEVP(終値!X353:AQ353)/AVERAGE(終値!X353:AQ353),""))</f>
        <v/>
      </c>
      <c r="V353" s="503" t="str">
        <f>IF(終値!A353="","",IFERROR(4*STDEVP(終値!Y353:AR353)/AVERAGE(終値!Y353:AR353),""))</f>
        <v/>
      </c>
      <c r="W353" s="503" t="str">
        <f>IF(終値!A353="","",IFERROR(4*STDEVP(終値!Z353:AS353)/AVERAGE(終値!Z353:AS353),""))</f>
        <v/>
      </c>
      <c r="X353" s="503" t="str">
        <f>IF(終値!A353="","",IFERROR(4*STDEVP(終値!AA353:AT353)/AVERAGE(終値!AA353:AT353),""))</f>
        <v/>
      </c>
      <c r="Y353" s="503" t="str">
        <f>IF(終値!A353="","",IFERROR(4*STDEVP(終値!AB353:AU353)/AVERAGE(終値!AB353:AU353),""))</f>
        <v/>
      </c>
      <c r="Z353" s="503" t="str">
        <f>IF(終値!A353="","",IFERROR(4*STDEVP(終値!AC353:AV353)/AVERAGE(終値!AC353:AV353),""))</f>
        <v/>
      </c>
      <c r="AA353" s="503" t="str">
        <f>IF(終値!A353="","",IFERROR(4*STDEVP(終値!AD353:AW353)/AVERAGE(終値!AD353:AW353),""))</f>
        <v/>
      </c>
      <c r="AB353" s="503" t="str">
        <f>IF(終値!A353="","",IFERROR(4*STDEVP(終値!AE353:AX353)/AVERAGE(終値!AE353:AX353),""))</f>
        <v/>
      </c>
      <c r="AC353" s="503" t="str">
        <f>IF(終値!A353="","",IFERROR(4*STDEVP(終値!AF353:AY353)/AVERAGE(終値!AF353:AY353),""))</f>
        <v/>
      </c>
      <c r="AD353" s="503" t="str">
        <f>IF(終値!A353="","",IFERROR(4*STDEVP(終値!AG353:AZ353)/AVERAGE(終値!AG353:AZ353),""))</f>
        <v/>
      </c>
      <c r="AE353" s="503" t="str">
        <f>IF(終値!A353="","",IFERROR(4*STDEVP(終値!AH353:BA353)/AVERAGE(終値!AH353:BA353),""))</f>
        <v/>
      </c>
      <c r="AF353" s="503" t="str">
        <f>IF(終値!A353="","",IFERROR(4*STDEVP(終値!AI353:BB353)/AVERAGE(終値!AI353:BB353),""))</f>
        <v/>
      </c>
      <c r="AG353" s="503" t="str">
        <f>IF(終値!A353="","",IFERROR(4*STDEVP(終値!AJ353:BC353)/AVERAGE(終値!AJ353:BC353),""))</f>
        <v/>
      </c>
      <c r="AH353" s="503" t="str">
        <f>IF(終値!A353="","",IFERROR(4*STDEVP(終値!AK353:BD353)/AVERAGE(終値!AK353:BD353),""))</f>
        <v/>
      </c>
      <c r="AI353" s="503" t="str">
        <f>IF(終値!A353="","",IFERROR(4*STDEVP(終値!AL353:BE353)/AVERAGE(終値!AL353:BE353),""))</f>
        <v/>
      </c>
      <c r="AJ353" s="503" t="str">
        <f>IF(終値!A353="","",IFERROR(4*STDEVP(終値!AM353:BF353)/AVERAGE(終値!AM353:BF353),""))</f>
        <v/>
      </c>
      <c r="AK353" s="503" t="str">
        <f>IF(終値!A353="","",IFERROR(4*STDEVP(終値!AN353:BG353)/AVERAGE(終値!AN353:BG353),""))</f>
        <v/>
      </c>
      <c r="AL353" s="503" t="str">
        <f>IF(終値!A353="","",IFERROR(4*STDEVP(終値!AO353:BH353)/AVERAGE(終値!AO353:BH353),""))</f>
        <v/>
      </c>
      <c r="AM353" s="503" t="str">
        <f>IF(終値!A353="","",IFERROR(4*STDEVP(終値!AP353:BI353)/AVERAGE(終値!AP353:BI353),""))</f>
        <v/>
      </c>
      <c r="AN353" s="503" t="str">
        <f>IF(終値!A353="","",IFERROR(4*STDEVP(終値!AQ353:BJ353)/AVERAGE(終値!AQ353:BJ353),""))</f>
        <v/>
      </c>
      <c r="AO353" s="503" t="str">
        <f>IF(終値!A353="","",IFERROR(4*STDEVP(終値!AR353:BK353)/AVERAGE(終値!AR353:BK353),""))</f>
        <v/>
      </c>
      <c r="AP353" s="503" t="str">
        <f>IF(終値!A353="","",IFERROR(4*STDEVP(終値!AS353:BL353)/AVERAGE(終値!AS353:BL353),""))</f>
        <v/>
      </c>
    </row>
    <row r="354" spans="1:42">
      <c r="A354" s="500" t="str">
        <f>IF(終値!A354="","",終値!A354)</f>
        <v/>
      </c>
      <c r="B354" s="503" t="str">
        <f>IF(終値!A354="","",IFERROR(4*STDEVP(終値!E354:X354)/AVERAGE(終値!E354:X354),""))</f>
        <v/>
      </c>
      <c r="C354" s="503" t="str">
        <f>IF(終値!A354="","",IFERROR(4*STDEVP(終値!F354:Y354)/AVERAGE(終値!F354:Y354),""))</f>
        <v/>
      </c>
      <c r="D354" s="503" t="str">
        <f>IF(終値!A354="","",IFERROR(4*STDEVP(終値!G354:Z354)/AVERAGE(終値!G354:Z354),""))</f>
        <v/>
      </c>
      <c r="E354" s="503" t="str">
        <f>IF(終値!A354="","",IFERROR(4*STDEVP(終値!H354:AA354)/AVERAGE(終値!H354:AA354),""))</f>
        <v/>
      </c>
      <c r="F354" s="503" t="str">
        <f>IF(終値!A354="","",IFERROR(4*STDEVP(終値!I354:AB354)/AVERAGE(終値!I354:AB354),""))</f>
        <v/>
      </c>
      <c r="G354" s="503" t="str">
        <f>IF(終値!A354="","",IFERROR(4*STDEVP(終値!J354:AC354)/AVERAGE(終値!J354:AC354),""))</f>
        <v/>
      </c>
      <c r="H354" s="503" t="str">
        <f>IF(終値!A354="","",IFERROR(4*STDEVP(終値!K354:AD354)/AVERAGE(終値!K354:AD354),""))</f>
        <v/>
      </c>
      <c r="I354" s="503" t="str">
        <f>IF(終値!A354="","",IFERROR(4*STDEVP(終値!L354:AE354)/AVERAGE(終値!L354:AE354),""))</f>
        <v/>
      </c>
      <c r="J354" s="503" t="str">
        <f>IF(終値!A354="","",IFERROR(4*STDEVP(終値!M354:AF354)/AVERAGE(終値!M354:AF354),""))</f>
        <v/>
      </c>
      <c r="K354" s="503" t="str">
        <f>IF(終値!A354="","",IFERROR(4*STDEVP(終値!N354:AG354)/AVERAGE(終値!N354:AG354),""))</f>
        <v/>
      </c>
      <c r="L354" s="503" t="str">
        <f>IF(終値!A354="","",IFERROR(4*STDEVP(終値!O354:AH354)/AVERAGE(終値!O354:AH354),""))</f>
        <v/>
      </c>
      <c r="M354" s="503" t="str">
        <f>IF(終値!A354="","",IFERROR(4*STDEVP(終値!P354:AI354)/AVERAGE(終値!P354:AI354),""))</f>
        <v/>
      </c>
      <c r="N354" s="503" t="str">
        <f>IF(終値!A354="","",IFERROR(4*STDEVP(終値!Q354:AJ354)/AVERAGE(終値!Q354:AJ354),""))</f>
        <v/>
      </c>
      <c r="O354" s="503" t="str">
        <f>IF(終値!A354="","",IFERROR(4*STDEVP(終値!R354:AK354)/AVERAGE(終値!R354:AK354),""))</f>
        <v/>
      </c>
      <c r="P354" s="503" t="str">
        <f>IF(終値!A354="","",IFERROR(4*STDEVP(終値!S354:AL354)/AVERAGE(終値!S354:AL354),""))</f>
        <v/>
      </c>
      <c r="Q354" s="503" t="str">
        <f>IF(終値!A354="","",IFERROR(4*STDEVP(終値!T354:AM354)/AVERAGE(終値!T354:AM354),""))</f>
        <v/>
      </c>
      <c r="R354" s="503" t="str">
        <f>IF(終値!A354="","",IFERROR(4*STDEVP(終値!U354:AN354)/AVERAGE(終値!U354:AN354),""))</f>
        <v/>
      </c>
      <c r="S354" s="503" t="str">
        <f>IF(終値!A354="","",IFERROR(4*STDEVP(終値!V354:AO354)/AVERAGE(終値!V354:AO354),""))</f>
        <v/>
      </c>
      <c r="T354" s="503" t="str">
        <f>IF(終値!A354="","",IFERROR(4*STDEVP(終値!W354:AP354)/AVERAGE(終値!W354:AP354),""))</f>
        <v/>
      </c>
      <c r="U354" s="503" t="str">
        <f>IF(終値!A354="","",IFERROR(4*STDEVP(終値!X354:AQ354)/AVERAGE(終値!X354:AQ354),""))</f>
        <v/>
      </c>
      <c r="V354" s="503" t="str">
        <f>IF(終値!A354="","",IFERROR(4*STDEVP(終値!Y354:AR354)/AVERAGE(終値!Y354:AR354),""))</f>
        <v/>
      </c>
      <c r="W354" s="503" t="str">
        <f>IF(終値!A354="","",IFERROR(4*STDEVP(終値!Z354:AS354)/AVERAGE(終値!Z354:AS354),""))</f>
        <v/>
      </c>
      <c r="X354" s="503" t="str">
        <f>IF(終値!A354="","",IFERROR(4*STDEVP(終値!AA354:AT354)/AVERAGE(終値!AA354:AT354),""))</f>
        <v/>
      </c>
      <c r="Y354" s="503" t="str">
        <f>IF(終値!A354="","",IFERROR(4*STDEVP(終値!AB354:AU354)/AVERAGE(終値!AB354:AU354),""))</f>
        <v/>
      </c>
      <c r="Z354" s="503" t="str">
        <f>IF(終値!A354="","",IFERROR(4*STDEVP(終値!AC354:AV354)/AVERAGE(終値!AC354:AV354),""))</f>
        <v/>
      </c>
      <c r="AA354" s="503" t="str">
        <f>IF(終値!A354="","",IFERROR(4*STDEVP(終値!AD354:AW354)/AVERAGE(終値!AD354:AW354),""))</f>
        <v/>
      </c>
      <c r="AB354" s="503" t="str">
        <f>IF(終値!A354="","",IFERROR(4*STDEVP(終値!AE354:AX354)/AVERAGE(終値!AE354:AX354),""))</f>
        <v/>
      </c>
      <c r="AC354" s="503" t="str">
        <f>IF(終値!A354="","",IFERROR(4*STDEVP(終値!AF354:AY354)/AVERAGE(終値!AF354:AY354),""))</f>
        <v/>
      </c>
      <c r="AD354" s="503" t="str">
        <f>IF(終値!A354="","",IFERROR(4*STDEVP(終値!AG354:AZ354)/AVERAGE(終値!AG354:AZ354),""))</f>
        <v/>
      </c>
      <c r="AE354" s="503" t="str">
        <f>IF(終値!A354="","",IFERROR(4*STDEVP(終値!AH354:BA354)/AVERAGE(終値!AH354:BA354),""))</f>
        <v/>
      </c>
      <c r="AF354" s="503" t="str">
        <f>IF(終値!A354="","",IFERROR(4*STDEVP(終値!AI354:BB354)/AVERAGE(終値!AI354:BB354),""))</f>
        <v/>
      </c>
      <c r="AG354" s="503" t="str">
        <f>IF(終値!A354="","",IFERROR(4*STDEVP(終値!AJ354:BC354)/AVERAGE(終値!AJ354:BC354),""))</f>
        <v/>
      </c>
      <c r="AH354" s="503" t="str">
        <f>IF(終値!A354="","",IFERROR(4*STDEVP(終値!AK354:BD354)/AVERAGE(終値!AK354:BD354),""))</f>
        <v/>
      </c>
      <c r="AI354" s="503" t="str">
        <f>IF(終値!A354="","",IFERROR(4*STDEVP(終値!AL354:BE354)/AVERAGE(終値!AL354:BE354),""))</f>
        <v/>
      </c>
      <c r="AJ354" s="503" t="str">
        <f>IF(終値!A354="","",IFERROR(4*STDEVP(終値!AM354:BF354)/AVERAGE(終値!AM354:BF354),""))</f>
        <v/>
      </c>
      <c r="AK354" s="503" t="str">
        <f>IF(終値!A354="","",IFERROR(4*STDEVP(終値!AN354:BG354)/AVERAGE(終値!AN354:BG354),""))</f>
        <v/>
      </c>
      <c r="AL354" s="503" t="str">
        <f>IF(終値!A354="","",IFERROR(4*STDEVP(終値!AO354:BH354)/AVERAGE(終値!AO354:BH354),""))</f>
        <v/>
      </c>
      <c r="AM354" s="503" t="str">
        <f>IF(終値!A354="","",IFERROR(4*STDEVP(終値!AP354:BI354)/AVERAGE(終値!AP354:BI354),""))</f>
        <v/>
      </c>
      <c r="AN354" s="503" t="str">
        <f>IF(終値!A354="","",IFERROR(4*STDEVP(終値!AQ354:BJ354)/AVERAGE(終値!AQ354:BJ354),""))</f>
        <v/>
      </c>
      <c r="AO354" s="503" t="str">
        <f>IF(終値!A354="","",IFERROR(4*STDEVP(終値!AR354:BK354)/AVERAGE(終値!AR354:BK354),""))</f>
        <v/>
      </c>
      <c r="AP354" s="503" t="str">
        <f>IF(終値!A354="","",IFERROR(4*STDEVP(終値!AS354:BL354)/AVERAGE(終値!AS354:BL354),""))</f>
        <v/>
      </c>
    </row>
    <row r="355" spans="1:42">
      <c r="A355" s="500" t="str">
        <f>IF(終値!A355="","",終値!A355)</f>
        <v/>
      </c>
      <c r="B355" s="503" t="str">
        <f>IF(終値!A355="","",IFERROR(4*STDEVP(終値!E355:X355)/AVERAGE(終値!E355:X355),""))</f>
        <v/>
      </c>
      <c r="C355" s="503" t="str">
        <f>IF(終値!A355="","",IFERROR(4*STDEVP(終値!F355:Y355)/AVERAGE(終値!F355:Y355),""))</f>
        <v/>
      </c>
      <c r="D355" s="503" t="str">
        <f>IF(終値!A355="","",IFERROR(4*STDEVP(終値!G355:Z355)/AVERAGE(終値!G355:Z355),""))</f>
        <v/>
      </c>
      <c r="E355" s="503" t="str">
        <f>IF(終値!A355="","",IFERROR(4*STDEVP(終値!H355:AA355)/AVERAGE(終値!H355:AA355),""))</f>
        <v/>
      </c>
      <c r="F355" s="503" t="str">
        <f>IF(終値!A355="","",IFERROR(4*STDEVP(終値!I355:AB355)/AVERAGE(終値!I355:AB355),""))</f>
        <v/>
      </c>
      <c r="G355" s="503" t="str">
        <f>IF(終値!A355="","",IFERROR(4*STDEVP(終値!J355:AC355)/AVERAGE(終値!J355:AC355),""))</f>
        <v/>
      </c>
      <c r="H355" s="503" t="str">
        <f>IF(終値!A355="","",IFERROR(4*STDEVP(終値!K355:AD355)/AVERAGE(終値!K355:AD355),""))</f>
        <v/>
      </c>
      <c r="I355" s="503" t="str">
        <f>IF(終値!A355="","",IFERROR(4*STDEVP(終値!L355:AE355)/AVERAGE(終値!L355:AE355),""))</f>
        <v/>
      </c>
      <c r="J355" s="503" t="str">
        <f>IF(終値!A355="","",IFERROR(4*STDEVP(終値!M355:AF355)/AVERAGE(終値!M355:AF355),""))</f>
        <v/>
      </c>
      <c r="K355" s="503" t="str">
        <f>IF(終値!A355="","",IFERROR(4*STDEVP(終値!N355:AG355)/AVERAGE(終値!N355:AG355),""))</f>
        <v/>
      </c>
      <c r="L355" s="503" t="str">
        <f>IF(終値!A355="","",IFERROR(4*STDEVP(終値!O355:AH355)/AVERAGE(終値!O355:AH355),""))</f>
        <v/>
      </c>
      <c r="M355" s="503" t="str">
        <f>IF(終値!A355="","",IFERROR(4*STDEVP(終値!P355:AI355)/AVERAGE(終値!P355:AI355),""))</f>
        <v/>
      </c>
      <c r="N355" s="503" t="str">
        <f>IF(終値!A355="","",IFERROR(4*STDEVP(終値!Q355:AJ355)/AVERAGE(終値!Q355:AJ355),""))</f>
        <v/>
      </c>
      <c r="O355" s="503" t="str">
        <f>IF(終値!A355="","",IFERROR(4*STDEVP(終値!R355:AK355)/AVERAGE(終値!R355:AK355),""))</f>
        <v/>
      </c>
      <c r="P355" s="503" t="str">
        <f>IF(終値!A355="","",IFERROR(4*STDEVP(終値!S355:AL355)/AVERAGE(終値!S355:AL355),""))</f>
        <v/>
      </c>
      <c r="Q355" s="503" t="str">
        <f>IF(終値!A355="","",IFERROR(4*STDEVP(終値!T355:AM355)/AVERAGE(終値!T355:AM355),""))</f>
        <v/>
      </c>
      <c r="R355" s="503" t="str">
        <f>IF(終値!A355="","",IFERROR(4*STDEVP(終値!U355:AN355)/AVERAGE(終値!U355:AN355),""))</f>
        <v/>
      </c>
      <c r="S355" s="503" t="str">
        <f>IF(終値!A355="","",IFERROR(4*STDEVP(終値!V355:AO355)/AVERAGE(終値!V355:AO355),""))</f>
        <v/>
      </c>
      <c r="T355" s="503" t="str">
        <f>IF(終値!A355="","",IFERROR(4*STDEVP(終値!W355:AP355)/AVERAGE(終値!W355:AP355),""))</f>
        <v/>
      </c>
      <c r="U355" s="503" t="str">
        <f>IF(終値!A355="","",IFERROR(4*STDEVP(終値!X355:AQ355)/AVERAGE(終値!X355:AQ355),""))</f>
        <v/>
      </c>
      <c r="V355" s="503" t="str">
        <f>IF(終値!A355="","",IFERROR(4*STDEVP(終値!Y355:AR355)/AVERAGE(終値!Y355:AR355),""))</f>
        <v/>
      </c>
      <c r="W355" s="503" t="str">
        <f>IF(終値!A355="","",IFERROR(4*STDEVP(終値!Z355:AS355)/AVERAGE(終値!Z355:AS355),""))</f>
        <v/>
      </c>
      <c r="X355" s="503" t="str">
        <f>IF(終値!A355="","",IFERROR(4*STDEVP(終値!AA355:AT355)/AVERAGE(終値!AA355:AT355),""))</f>
        <v/>
      </c>
      <c r="Y355" s="503" t="str">
        <f>IF(終値!A355="","",IFERROR(4*STDEVP(終値!AB355:AU355)/AVERAGE(終値!AB355:AU355),""))</f>
        <v/>
      </c>
      <c r="Z355" s="503" t="str">
        <f>IF(終値!A355="","",IFERROR(4*STDEVP(終値!AC355:AV355)/AVERAGE(終値!AC355:AV355),""))</f>
        <v/>
      </c>
      <c r="AA355" s="503" t="str">
        <f>IF(終値!A355="","",IFERROR(4*STDEVP(終値!AD355:AW355)/AVERAGE(終値!AD355:AW355),""))</f>
        <v/>
      </c>
      <c r="AB355" s="503" t="str">
        <f>IF(終値!A355="","",IFERROR(4*STDEVP(終値!AE355:AX355)/AVERAGE(終値!AE355:AX355),""))</f>
        <v/>
      </c>
      <c r="AC355" s="503" t="str">
        <f>IF(終値!A355="","",IFERROR(4*STDEVP(終値!AF355:AY355)/AVERAGE(終値!AF355:AY355),""))</f>
        <v/>
      </c>
      <c r="AD355" s="503" t="str">
        <f>IF(終値!A355="","",IFERROR(4*STDEVP(終値!AG355:AZ355)/AVERAGE(終値!AG355:AZ355),""))</f>
        <v/>
      </c>
      <c r="AE355" s="503" t="str">
        <f>IF(終値!A355="","",IFERROR(4*STDEVP(終値!AH355:BA355)/AVERAGE(終値!AH355:BA355),""))</f>
        <v/>
      </c>
      <c r="AF355" s="503" t="str">
        <f>IF(終値!A355="","",IFERROR(4*STDEVP(終値!AI355:BB355)/AVERAGE(終値!AI355:BB355),""))</f>
        <v/>
      </c>
      <c r="AG355" s="503" t="str">
        <f>IF(終値!A355="","",IFERROR(4*STDEVP(終値!AJ355:BC355)/AVERAGE(終値!AJ355:BC355),""))</f>
        <v/>
      </c>
      <c r="AH355" s="503" t="str">
        <f>IF(終値!A355="","",IFERROR(4*STDEVP(終値!AK355:BD355)/AVERAGE(終値!AK355:BD355),""))</f>
        <v/>
      </c>
      <c r="AI355" s="503" t="str">
        <f>IF(終値!A355="","",IFERROR(4*STDEVP(終値!AL355:BE355)/AVERAGE(終値!AL355:BE355),""))</f>
        <v/>
      </c>
      <c r="AJ355" s="503" t="str">
        <f>IF(終値!A355="","",IFERROR(4*STDEVP(終値!AM355:BF355)/AVERAGE(終値!AM355:BF355),""))</f>
        <v/>
      </c>
      <c r="AK355" s="503" t="str">
        <f>IF(終値!A355="","",IFERROR(4*STDEVP(終値!AN355:BG355)/AVERAGE(終値!AN355:BG355),""))</f>
        <v/>
      </c>
      <c r="AL355" s="503" t="str">
        <f>IF(終値!A355="","",IFERROR(4*STDEVP(終値!AO355:BH355)/AVERAGE(終値!AO355:BH355),""))</f>
        <v/>
      </c>
      <c r="AM355" s="503" t="str">
        <f>IF(終値!A355="","",IFERROR(4*STDEVP(終値!AP355:BI355)/AVERAGE(終値!AP355:BI355),""))</f>
        <v/>
      </c>
      <c r="AN355" s="503" t="str">
        <f>IF(終値!A355="","",IFERROR(4*STDEVP(終値!AQ355:BJ355)/AVERAGE(終値!AQ355:BJ355),""))</f>
        <v/>
      </c>
      <c r="AO355" s="503" t="str">
        <f>IF(終値!A355="","",IFERROR(4*STDEVP(終値!AR355:BK355)/AVERAGE(終値!AR355:BK355),""))</f>
        <v/>
      </c>
      <c r="AP355" s="503" t="str">
        <f>IF(終値!A355="","",IFERROR(4*STDEVP(終値!AS355:BL355)/AVERAGE(終値!AS355:BL355),""))</f>
        <v/>
      </c>
    </row>
    <row r="356" spans="1:42">
      <c r="A356" s="500" t="str">
        <f>IF(終値!A356="","",終値!A356)</f>
        <v/>
      </c>
      <c r="B356" s="503" t="str">
        <f>IF(終値!A356="","",IFERROR(4*STDEVP(終値!E356:X356)/AVERAGE(終値!E356:X356),""))</f>
        <v/>
      </c>
      <c r="C356" s="503" t="str">
        <f>IF(終値!A356="","",IFERROR(4*STDEVP(終値!F356:Y356)/AVERAGE(終値!F356:Y356),""))</f>
        <v/>
      </c>
      <c r="D356" s="503" t="str">
        <f>IF(終値!A356="","",IFERROR(4*STDEVP(終値!G356:Z356)/AVERAGE(終値!G356:Z356),""))</f>
        <v/>
      </c>
      <c r="E356" s="503" t="str">
        <f>IF(終値!A356="","",IFERROR(4*STDEVP(終値!H356:AA356)/AVERAGE(終値!H356:AA356),""))</f>
        <v/>
      </c>
      <c r="F356" s="503" t="str">
        <f>IF(終値!A356="","",IFERROR(4*STDEVP(終値!I356:AB356)/AVERAGE(終値!I356:AB356),""))</f>
        <v/>
      </c>
      <c r="G356" s="503" t="str">
        <f>IF(終値!A356="","",IFERROR(4*STDEVP(終値!J356:AC356)/AVERAGE(終値!J356:AC356),""))</f>
        <v/>
      </c>
      <c r="H356" s="503" t="str">
        <f>IF(終値!A356="","",IFERROR(4*STDEVP(終値!K356:AD356)/AVERAGE(終値!K356:AD356),""))</f>
        <v/>
      </c>
      <c r="I356" s="503" t="str">
        <f>IF(終値!A356="","",IFERROR(4*STDEVP(終値!L356:AE356)/AVERAGE(終値!L356:AE356),""))</f>
        <v/>
      </c>
      <c r="J356" s="503" t="str">
        <f>IF(終値!A356="","",IFERROR(4*STDEVP(終値!M356:AF356)/AVERAGE(終値!M356:AF356),""))</f>
        <v/>
      </c>
      <c r="K356" s="503" t="str">
        <f>IF(終値!A356="","",IFERROR(4*STDEVP(終値!N356:AG356)/AVERAGE(終値!N356:AG356),""))</f>
        <v/>
      </c>
      <c r="L356" s="503" t="str">
        <f>IF(終値!A356="","",IFERROR(4*STDEVP(終値!O356:AH356)/AVERAGE(終値!O356:AH356),""))</f>
        <v/>
      </c>
      <c r="M356" s="503" t="str">
        <f>IF(終値!A356="","",IFERROR(4*STDEVP(終値!P356:AI356)/AVERAGE(終値!P356:AI356),""))</f>
        <v/>
      </c>
      <c r="N356" s="503" t="str">
        <f>IF(終値!A356="","",IFERROR(4*STDEVP(終値!Q356:AJ356)/AVERAGE(終値!Q356:AJ356),""))</f>
        <v/>
      </c>
      <c r="O356" s="503" t="str">
        <f>IF(終値!A356="","",IFERROR(4*STDEVP(終値!R356:AK356)/AVERAGE(終値!R356:AK356),""))</f>
        <v/>
      </c>
      <c r="P356" s="503" t="str">
        <f>IF(終値!A356="","",IFERROR(4*STDEVP(終値!S356:AL356)/AVERAGE(終値!S356:AL356),""))</f>
        <v/>
      </c>
      <c r="Q356" s="503" t="str">
        <f>IF(終値!A356="","",IFERROR(4*STDEVP(終値!T356:AM356)/AVERAGE(終値!T356:AM356),""))</f>
        <v/>
      </c>
      <c r="R356" s="503" t="str">
        <f>IF(終値!A356="","",IFERROR(4*STDEVP(終値!U356:AN356)/AVERAGE(終値!U356:AN356),""))</f>
        <v/>
      </c>
      <c r="S356" s="503" t="str">
        <f>IF(終値!A356="","",IFERROR(4*STDEVP(終値!V356:AO356)/AVERAGE(終値!V356:AO356),""))</f>
        <v/>
      </c>
      <c r="T356" s="503" t="str">
        <f>IF(終値!A356="","",IFERROR(4*STDEVP(終値!W356:AP356)/AVERAGE(終値!W356:AP356),""))</f>
        <v/>
      </c>
      <c r="U356" s="503" t="str">
        <f>IF(終値!A356="","",IFERROR(4*STDEVP(終値!X356:AQ356)/AVERAGE(終値!X356:AQ356),""))</f>
        <v/>
      </c>
      <c r="V356" s="503" t="str">
        <f>IF(終値!A356="","",IFERROR(4*STDEVP(終値!Y356:AR356)/AVERAGE(終値!Y356:AR356),""))</f>
        <v/>
      </c>
      <c r="W356" s="503" t="str">
        <f>IF(終値!A356="","",IFERROR(4*STDEVP(終値!Z356:AS356)/AVERAGE(終値!Z356:AS356),""))</f>
        <v/>
      </c>
      <c r="X356" s="503" t="str">
        <f>IF(終値!A356="","",IFERROR(4*STDEVP(終値!AA356:AT356)/AVERAGE(終値!AA356:AT356),""))</f>
        <v/>
      </c>
      <c r="Y356" s="503" t="str">
        <f>IF(終値!A356="","",IFERROR(4*STDEVP(終値!AB356:AU356)/AVERAGE(終値!AB356:AU356),""))</f>
        <v/>
      </c>
      <c r="Z356" s="503" t="str">
        <f>IF(終値!A356="","",IFERROR(4*STDEVP(終値!AC356:AV356)/AVERAGE(終値!AC356:AV356),""))</f>
        <v/>
      </c>
      <c r="AA356" s="503" t="str">
        <f>IF(終値!A356="","",IFERROR(4*STDEVP(終値!AD356:AW356)/AVERAGE(終値!AD356:AW356),""))</f>
        <v/>
      </c>
      <c r="AB356" s="503" t="str">
        <f>IF(終値!A356="","",IFERROR(4*STDEVP(終値!AE356:AX356)/AVERAGE(終値!AE356:AX356),""))</f>
        <v/>
      </c>
      <c r="AC356" s="503" t="str">
        <f>IF(終値!A356="","",IFERROR(4*STDEVP(終値!AF356:AY356)/AVERAGE(終値!AF356:AY356),""))</f>
        <v/>
      </c>
      <c r="AD356" s="503" t="str">
        <f>IF(終値!A356="","",IFERROR(4*STDEVP(終値!AG356:AZ356)/AVERAGE(終値!AG356:AZ356),""))</f>
        <v/>
      </c>
      <c r="AE356" s="503" t="str">
        <f>IF(終値!A356="","",IFERROR(4*STDEVP(終値!AH356:BA356)/AVERAGE(終値!AH356:BA356),""))</f>
        <v/>
      </c>
      <c r="AF356" s="503" t="str">
        <f>IF(終値!A356="","",IFERROR(4*STDEVP(終値!AI356:BB356)/AVERAGE(終値!AI356:BB356),""))</f>
        <v/>
      </c>
      <c r="AG356" s="503" t="str">
        <f>IF(終値!A356="","",IFERROR(4*STDEVP(終値!AJ356:BC356)/AVERAGE(終値!AJ356:BC356),""))</f>
        <v/>
      </c>
      <c r="AH356" s="503" t="str">
        <f>IF(終値!A356="","",IFERROR(4*STDEVP(終値!AK356:BD356)/AVERAGE(終値!AK356:BD356),""))</f>
        <v/>
      </c>
      <c r="AI356" s="503" t="str">
        <f>IF(終値!A356="","",IFERROR(4*STDEVP(終値!AL356:BE356)/AVERAGE(終値!AL356:BE356),""))</f>
        <v/>
      </c>
      <c r="AJ356" s="503" t="str">
        <f>IF(終値!A356="","",IFERROR(4*STDEVP(終値!AM356:BF356)/AVERAGE(終値!AM356:BF356),""))</f>
        <v/>
      </c>
      <c r="AK356" s="503" t="str">
        <f>IF(終値!A356="","",IFERROR(4*STDEVP(終値!AN356:BG356)/AVERAGE(終値!AN356:BG356),""))</f>
        <v/>
      </c>
      <c r="AL356" s="503" t="str">
        <f>IF(終値!A356="","",IFERROR(4*STDEVP(終値!AO356:BH356)/AVERAGE(終値!AO356:BH356),""))</f>
        <v/>
      </c>
      <c r="AM356" s="503" t="str">
        <f>IF(終値!A356="","",IFERROR(4*STDEVP(終値!AP356:BI356)/AVERAGE(終値!AP356:BI356),""))</f>
        <v/>
      </c>
      <c r="AN356" s="503" t="str">
        <f>IF(終値!A356="","",IFERROR(4*STDEVP(終値!AQ356:BJ356)/AVERAGE(終値!AQ356:BJ356),""))</f>
        <v/>
      </c>
      <c r="AO356" s="503" t="str">
        <f>IF(終値!A356="","",IFERROR(4*STDEVP(終値!AR356:BK356)/AVERAGE(終値!AR356:BK356),""))</f>
        <v/>
      </c>
      <c r="AP356" s="503" t="str">
        <f>IF(終値!A356="","",IFERROR(4*STDEVP(終値!AS356:BL356)/AVERAGE(終値!AS356:BL356),""))</f>
        <v/>
      </c>
    </row>
    <row r="357" spans="1:42">
      <c r="A357" s="500" t="str">
        <f>IF(終値!A357="","",終値!A357)</f>
        <v/>
      </c>
      <c r="B357" s="503" t="str">
        <f>IF(終値!A357="","",IFERROR(4*STDEVP(終値!E357:X357)/AVERAGE(終値!E357:X357),""))</f>
        <v/>
      </c>
      <c r="C357" s="503" t="str">
        <f>IF(終値!A357="","",IFERROR(4*STDEVP(終値!F357:Y357)/AVERAGE(終値!F357:Y357),""))</f>
        <v/>
      </c>
      <c r="D357" s="503" t="str">
        <f>IF(終値!A357="","",IFERROR(4*STDEVP(終値!G357:Z357)/AVERAGE(終値!G357:Z357),""))</f>
        <v/>
      </c>
      <c r="E357" s="503" t="str">
        <f>IF(終値!A357="","",IFERROR(4*STDEVP(終値!H357:AA357)/AVERAGE(終値!H357:AA357),""))</f>
        <v/>
      </c>
      <c r="F357" s="503" t="str">
        <f>IF(終値!A357="","",IFERROR(4*STDEVP(終値!I357:AB357)/AVERAGE(終値!I357:AB357),""))</f>
        <v/>
      </c>
      <c r="G357" s="503" t="str">
        <f>IF(終値!A357="","",IFERROR(4*STDEVP(終値!J357:AC357)/AVERAGE(終値!J357:AC357),""))</f>
        <v/>
      </c>
      <c r="H357" s="503" t="str">
        <f>IF(終値!A357="","",IFERROR(4*STDEVP(終値!K357:AD357)/AVERAGE(終値!K357:AD357),""))</f>
        <v/>
      </c>
      <c r="I357" s="503" t="str">
        <f>IF(終値!A357="","",IFERROR(4*STDEVP(終値!L357:AE357)/AVERAGE(終値!L357:AE357),""))</f>
        <v/>
      </c>
      <c r="J357" s="503" t="str">
        <f>IF(終値!A357="","",IFERROR(4*STDEVP(終値!M357:AF357)/AVERAGE(終値!M357:AF357),""))</f>
        <v/>
      </c>
      <c r="K357" s="503" t="str">
        <f>IF(終値!A357="","",IFERROR(4*STDEVP(終値!N357:AG357)/AVERAGE(終値!N357:AG357),""))</f>
        <v/>
      </c>
      <c r="L357" s="503" t="str">
        <f>IF(終値!A357="","",IFERROR(4*STDEVP(終値!O357:AH357)/AVERAGE(終値!O357:AH357),""))</f>
        <v/>
      </c>
      <c r="M357" s="503" t="str">
        <f>IF(終値!A357="","",IFERROR(4*STDEVP(終値!P357:AI357)/AVERAGE(終値!P357:AI357),""))</f>
        <v/>
      </c>
      <c r="N357" s="503" t="str">
        <f>IF(終値!A357="","",IFERROR(4*STDEVP(終値!Q357:AJ357)/AVERAGE(終値!Q357:AJ357),""))</f>
        <v/>
      </c>
      <c r="O357" s="503" t="str">
        <f>IF(終値!A357="","",IFERROR(4*STDEVP(終値!R357:AK357)/AVERAGE(終値!R357:AK357),""))</f>
        <v/>
      </c>
      <c r="P357" s="503" t="str">
        <f>IF(終値!A357="","",IFERROR(4*STDEVP(終値!S357:AL357)/AVERAGE(終値!S357:AL357),""))</f>
        <v/>
      </c>
      <c r="Q357" s="503" t="str">
        <f>IF(終値!A357="","",IFERROR(4*STDEVP(終値!T357:AM357)/AVERAGE(終値!T357:AM357),""))</f>
        <v/>
      </c>
      <c r="R357" s="503" t="str">
        <f>IF(終値!A357="","",IFERROR(4*STDEVP(終値!U357:AN357)/AVERAGE(終値!U357:AN357),""))</f>
        <v/>
      </c>
      <c r="S357" s="503" t="str">
        <f>IF(終値!A357="","",IFERROR(4*STDEVP(終値!V357:AO357)/AVERAGE(終値!V357:AO357),""))</f>
        <v/>
      </c>
      <c r="T357" s="503" t="str">
        <f>IF(終値!A357="","",IFERROR(4*STDEVP(終値!W357:AP357)/AVERAGE(終値!W357:AP357),""))</f>
        <v/>
      </c>
      <c r="U357" s="503" t="str">
        <f>IF(終値!A357="","",IFERROR(4*STDEVP(終値!X357:AQ357)/AVERAGE(終値!X357:AQ357),""))</f>
        <v/>
      </c>
      <c r="V357" s="503" t="str">
        <f>IF(終値!A357="","",IFERROR(4*STDEVP(終値!Y357:AR357)/AVERAGE(終値!Y357:AR357),""))</f>
        <v/>
      </c>
      <c r="W357" s="503" t="str">
        <f>IF(終値!A357="","",IFERROR(4*STDEVP(終値!Z357:AS357)/AVERAGE(終値!Z357:AS357),""))</f>
        <v/>
      </c>
      <c r="X357" s="503" t="str">
        <f>IF(終値!A357="","",IFERROR(4*STDEVP(終値!AA357:AT357)/AVERAGE(終値!AA357:AT357),""))</f>
        <v/>
      </c>
      <c r="Y357" s="503" t="str">
        <f>IF(終値!A357="","",IFERROR(4*STDEVP(終値!AB357:AU357)/AVERAGE(終値!AB357:AU357),""))</f>
        <v/>
      </c>
      <c r="Z357" s="503" t="str">
        <f>IF(終値!A357="","",IFERROR(4*STDEVP(終値!AC357:AV357)/AVERAGE(終値!AC357:AV357),""))</f>
        <v/>
      </c>
      <c r="AA357" s="503" t="str">
        <f>IF(終値!A357="","",IFERROR(4*STDEVP(終値!AD357:AW357)/AVERAGE(終値!AD357:AW357),""))</f>
        <v/>
      </c>
      <c r="AB357" s="503" t="str">
        <f>IF(終値!A357="","",IFERROR(4*STDEVP(終値!AE357:AX357)/AVERAGE(終値!AE357:AX357),""))</f>
        <v/>
      </c>
      <c r="AC357" s="503" t="str">
        <f>IF(終値!A357="","",IFERROR(4*STDEVP(終値!AF357:AY357)/AVERAGE(終値!AF357:AY357),""))</f>
        <v/>
      </c>
      <c r="AD357" s="503" t="str">
        <f>IF(終値!A357="","",IFERROR(4*STDEVP(終値!AG357:AZ357)/AVERAGE(終値!AG357:AZ357),""))</f>
        <v/>
      </c>
      <c r="AE357" s="503" t="str">
        <f>IF(終値!A357="","",IFERROR(4*STDEVP(終値!AH357:BA357)/AVERAGE(終値!AH357:BA357),""))</f>
        <v/>
      </c>
      <c r="AF357" s="503" t="str">
        <f>IF(終値!A357="","",IFERROR(4*STDEVP(終値!AI357:BB357)/AVERAGE(終値!AI357:BB357),""))</f>
        <v/>
      </c>
      <c r="AG357" s="503" t="str">
        <f>IF(終値!A357="","",IFERROR(4*STDEVP(終値!AJ357:BC357)/AVERAGE(終値!AJ357:BC357),""))</f>
        <v/>
      </c>
      <c r="AH357" s="503" t="str">
        <f>IF(終値!A357="","",IFERROR(4*STDEVP(終値!AK357:BD357)/AVERAGE(終値!AK357:BD357),""))</f>
        <v/>
      </c>
      <c r="AI357" s="503" t="str">
        <f>IF(終値!A357="","",IFERROR(4*STDEVP(終値!AL357:BE357)/AVERAGE(終値!AL357:BE357),""))</f>
        <v/>
      </c>
      <c r="AJ357" s="503" t="str">
        <f>IF(終値!A357="","",IFERROR(4*STDEVP(終値!AM357:BF357)/AVERAGE(終値!AM357:BF357),""))</f>
        <v/>
      </c>
      <c r="AK357" s="503" t="str">
        <f>IF(終値!A357="","",IFERROR(4*STDEVP(終値!AN357:BG357)/AVERAGE(終値!AN357:BG357),""))</f>
        <v/>
      </c>
      <c r="AL357" s="503" t="str">
        <f>IF(終値!A357="","",IFERROR(4*STDEVP(終値!AO357:BH357)/AVERAGE(終値!AO357:BH357),""))</f>
        <v/>
      </c>
      <c r="AM357" s="503" t="str">
        <f>IF(終値!A357="","",IFERROR(4*STDEVP(終値!AP357:BI357)/AVERAGE(終値!AP357:BI357),""))</f>
        <v/>
      </c>
      <c r="AN357" s="503" t="str">
        <f>IF(終値!A357="","",IFERROR(4*STDEVP(終値!AQ357:BJ357)/AVERAGE(終値!AQ357:BJ357),""))</f>
        <v/>
      </c>
      <c r="AO357" s="503" t="str">
        <f>IF(終値!A357="","",IFERROR(4*STDEVP(終値!AR357:BK357)/AVERAGE(終値!AR357:BK357),""))</f>
        <v/>
      </c>
      <c r="AP357" s="503" t="str">
        <f>IF(終値!A357="","",IFERROR(4*STDEVP(終値!AS357:BL357)/AVERAGE(終値!AS357:BL357),""))</f>
        <v/>
      </c>
    </row>
    <row r="358" spans="1:42">
      <c r="A358" s="500" t="str">
        <f>IF(終値!A358="","",終値!A358)</f>
        <v/>
      </c>
      <c r="B358" s="503" t="str">
        <f>IF(終値!A358="","",IFERROR(4*STDEVP(終値!E358:X358)/AVERAGE(終値!E358:X358),""))</f>
        <v/>
      </c>
      <c r="C358" s="503" t="str">
        <f>IF(終値!A358="","",IFERROR(4*STDEVP(終値!F358:Y358)/AVERAGE(終値!F358:Y358),""))</f>
        <v/>
      </c>
      <c r="D358" s="503" t="str">
        <f>IF(終値!A358="","",IFERROR(4*STDEVP(終値!G358:Z358)/AVERAGE(終値!G358:Z358),""))</f>
        <v/>
      </c>
      <c r="E358" s="503" t="str">
        <f>IF(終値!A358="","",IFERROR(4*STDEVP(終値!H358:AA358)/AVERAGE(終値!H358:AA358),""))</f>
        <v/>
      </c>
      <c r="F358" s="503" t="str">
        <f>IF(終値!A358="","",IFERROR(4*STDEVP(終値!I358:AB358)/AVERAGE(終値!I358:AB358),""))</f>
        <v/>
      </c>
      <c r="G358" s="503" t="str">
        <f>IF(終値!A358="","",IFERROR(4*STDEVP(終値!J358:AC358)/AVERAGE(終値!J358:AC358),""))</f>
        <v/>
      </c>
      <c r="H358" s="503" t="str">
        <f>IF(終値!A358="","",IFERROR(4*STDEVP(終値!K358:AD358)/AVERAGE(終値!K358:AD358),""))</f>
        <v/>
      </c>
      <c r="I358" s="503" t="str">
        <f>IF(終値!A358="","",IFERROR(4*STDEVP(終値!L358:AE358)/AVERAGE(終値!L358:AE358),""))</f>
        <v/>
      </c>
      <c r="J358" s="503" t="str">
        <f>IF(終値!A358="","",IFERROR(4*STDEVP(終値!M358:AF358)/AVERAGE(終値!M358:AF358),""))</f>
        <v/>
      </c>
      <c r="K358" s="503" t="str">
        <f>IF(終値!A358="","",IFERROR(4*STDEVP(終値!N358:AG358)/AVERAGE(終値!N358:AG358),""))</f>
        <v/>
      </c>
      <c r="L358" s="503" t="str">
        <f>IF(終値!A358="","",IFERROR(4*STDEVP(終値!O358:AH358)/AVERAGE(終値!O358:AH358),""))</f>
        <v/>
      </c>
      <c r="M358" s="503" t="str">
        <f>IF(終値!A358="","",IFERROR(4*STDEVP(終値!P358:AI358)/AVERAGE(終値!P358:AI358),""))</f>
        <v/>
      </c>
      <c r="N358" s="503" t="str">
        <f>IF(終値!A358="","",IFERROR(4*STDEVP(終値!Q358:AJ358)/AVERAGE(終値!Q358:AJ358),""))</f>
        <v/>
      </c>
      <c r="O358" s="503" t="str">
        <f>IF(終値!A358="","",IFERROR(4*STDEVP(終値!R358:AK358)/AVERAGE(終値!R358:AK358),""))</f>
        <v/>
      </c>
      <c r="P358" s="503" t="str">
        <f>IF(終値!A358="","",IFERROR(4*STDEVP(終値!S358:AL358)/AVERAGE(終値!S358:AL358),""))</f>
        <v/>
      </c>
      <c r="Q358" s="503" t="str">
        <f>IF(終値!A358="","",IFERROR(4*STDEVP(終値!T358:AM358)/AVERAGE(終値!T358:AM358),""))</f>
        <v/>
      </c>
      <c r="R358" s="503" t="str">
        <f>IF(終値!A358="","",IFERROR(4*STDEVP(終値!U358:AN358)/AVERAGE(終値!U358:AN358),""))</f>
        <v/>
      </c>
      <c r="S358" s="503" t="str">
        <f>IF(終値!A358="","",IFERROR(4*STDEVP(終値!V358:AO358)/AVERAGE(終値!V358:AO358),""))</f>
        <v/>
      </c>
      <c r="T358" s="503" t="str">
        <f>IF(終値!A358="","",IFERROR(4*STDEVP(終値!W358:AP358)/AVERAGE(終値!W358:AP358),""))</f>
        <v/>
      </c>
      <c r="U358" s="503" t="str">
        <f>IF(終値!A358="","",IFERROR(4*STDEVP(終値!X358:AQ358)/AVERAGE(終値!X358:AQ358),""))</f>
        <v/>
      </c>
      <c r="V358" s="503" t="str">
        <f>IF(終値!A358="","",IFERROR(4*STDEVP(終値!Y358:AR358)/AVERAGE(終値!Y358:AR358),""))</f>
        <v/>
      </c>
      <c r="W358" s="503" t="str">
        <f>IF(終値!A358="","",IFERROR(4*STDEVP(終値!Z358:AS358)/AVERAGE(終値!Z358:AS358),""))</f>
        <v/>
      </c>
      <c r="X358" s="503" t="str">
        <f>IF(終値!A358="","",IFERROR(4*STDEVP(終値!AA358:AT358)/AVERAGE(終値!AA358:AT358),""))</f>
        <v/>
      </c>
      <c r="Y358" s="503" t="str">
        <f>IF(終値!A358="","",IFERROR(4*STDEVP(終値!AB358:AU358)/AVERAGE(終値!AB358:AU358),""))</f>
        <v/>
      </c>
      <c r="Z358" s="503" t="str">
        <f>IF(終値!A358="","",IFERROR(4*STDEVP(終値!AC358:AV358)/AVERAGE(終値!AC358:AV358),""))</f>
        <v/>
      </c>
      <c r="AA358" s="503" t="str">
        <f>IF(終値!A358="","",IFERROR(4*STDEVP(終値!AD358:AW358)/AVERAGE(終値!AD358:AW358),""))</f>
        <v/>
      </c>
      <c r="AB358" s="503" t="str">
        <f>IF(終値!A358="","",IFERROR(4*STDEVP(終値!AE358:AX358)/AVERAGE(終値!AE358:AX358),""))</f>
        <v/>
      </c>
      <c r="AC358" s="503" t="str">
        <f>IF(終値!A358="","",IFERROR(4*STDEVP(終値!AF358:AY358)/AVERAGE(終値!AF358:AY358),""))</f>
        <v/>
      </c>
      <c r="AD358" s="503" t="str">
        <f>IF(終値!A358="","",IFERROR(4*STDEVP(終値!AG358:AZ358)/AVERAGE(終値!AG358:AZ358),""))</f>
        <v/>
      </c>
      <c r="AE358" s="503" t="str">
        <f>IF(終値!A358="","",IFERROR(4*STDEVP(終値!AH358:BA358)/AVERAGE(終値!AH358:BA358),""))</f>
        <v/>
      </c>
      <c r="AF358" s="503" t="str">
        <f>IF(終値!A358="","",IFERROR(4*STDEVP(終値!AI358:BB358)/AVERAGE(終値!AI358:BB358),""))</f>
        <v/>
      </c>
      <c r="AG358" s="503" t="str">
        <f>IF(終値!A358="","",IFERROR(4*STDEVP(終値!AJ358:BC358)/AVERAGE(終値!AJ358:BC358),""))</f>
        <v/>
      </c>
      <c r="AH358" s="503" t="str">
        <f>IF(終値!A358="","",IFERROR(4*STDEVP(終値!AK358:BD358)/AVERAGE(終値!AK358:BD358),""))</f>
        <v/>
      </c>
      <c r="AI358" s="503" t="str">
        <f>IF(終値!A358="","",IFERROR(4*STDEVP(終値!AL358:BE358)/AVERAGE(終値!AL358:BE358),""))</f>
        <v/>
      </c>
      <c r="AJ358" s="503" t="str">
        <f>IF(終値!A358="","",IFERROR(4*STDEVP(終値!AM358:BF358)/AVERAGE(終値!AM358:BF358),""))</f>
        <v/>
      </c>
      <c r="AK358" s="503" t="str">
        <f>IF(終値!A358="","",IFERROR(4*STDEVP(終値!AN358:BG358)/AVERAGE(終値!AN358:BG358),""))</f>
        <v/>
      </c>
      <c r="AL358" s="503" t="str">
        <f>IF(終値!A358="","",IFERROR(4*STDEVP(終値!AO358:BH358)/AVERAGE(終値!AO358:BH358),""))</f>
        <v/>
      </c>
      <c r="AM358" s="503" t="str">
        <f>IF(終値!A358="","",IFERROR(4*STDEVP(終値!AP358:BI358)/AVERAGE(終値!AP358:BI358),""))</f>
        <v/>
      </c>
      <c r="AN358" s="503" t="str">
        <f>IF(終値!A358="","",IFERROR(4*STDEVP(終値!AQ358:BJ358)/AVERAGE(終値!AQ358:BJ358),""))</f>
        <v/>
      </c>
      <c r="AO358" s="503" t="str">
        <f>IF(終値!A358="","",IFERROR(4*STDEVP(終値!AR358:BK358)/AVERAGE(終値!AR358:BK358),""))</f>
        <v/>
      </c>
      <c r="AP358" s="503" t="str">
        <f>IF(終値!A358="","",IFERROR(4*STDEVP(終値!AS358:BL358)/AVERAGE(終値!AS358:BL358),""))</f>
        <v/>
      </c>
    </row>
    <row r="359" spans="1:42">
      <c r="A359" s="500" t="str">
        <f>IF(終値!A359="","",終値!A359)</f>
        <v/>
      </c>
      <c r="B359" s="503" t="str">
        <f>IF(終値!A359="","",IFERROR(4*STDEVP(終値!E359:X359)/AVERAGE(終値!E359:X359),""))</f>
        <v/>
      </c>
      <c r="C359" s="503" t="str">
        <f>IF(終値!A359="","",IFERROR(4*STDEVP(終値!F359:Y359)/AVERAGE(終値!F359:Y359),""))</f>
        <v/>
      </c>
      <c r="D359" s="503" t="str">
        <f>IF(終値!A359="","",IFERROR(4*STDEVP(終値!G359:Z359)/AVERAGE(終値!G359:Z359),""))</f>
        <v/>
      </c>
      <c r="E359" s="503" t="str">
        <f>IF(終値!A359="","",IFERROR(4*STDEVP(終値!H359:AA359)/AVERAGE(終値!H359:AA359),""))</f>
        <v/>
      </c>
      <c r="F359" s="503" t="str">
        <f>IF(終値!A359="","",IFERROR(4*STDEVP(終値!I359:AB359)/AVERAGE(終値!I359:AB359),""))</f>
        <v/>
      </c>
      <c r="G359" s="503" t="str">
        <f>IF(終値!A359="","",IFERROR(4*STDEVP(終値!J359:AC359)/AVERAGE(終値!J359:AC359),""))</f>
        <v/>
      </c>
      <c r="H359" s="503" t="str">
        <f>IF(終値!A359="","",IFERROR(4*STDEVP(終値!K359:AD359)/AVERAGE(終値!K359:AD359),""))</f>
        <v/>
      </c>
      <c r="I359" s="503" t="str">
        <f>IF(終値!A359="","",IFERROR(4*STDEVP(終値!L359:AE359)/AVERAGE(終値!L359:AE359),""))</f>
        <v/>
      </c>
      <c r="J359" s="503" t="str">
        <f>IF(終値!A359="","",IFERROR(4*STDEVP(終値!M359:AF359)/AVERAGE(終値!M359:AF359),""))</f>
        <v/>
      </c>
      <c r="K359" s="503" t="str">
        <f>IF(終値!A359="","",IFERROR(4*STDEVP(終値!N359:AG359)/AVERAGE(終値!N359:AG359),""))</f>
        <v/>
      </c>
      <c r="L359" s="503" t="str">
        <f>IF(終値!A359="","",IFERROR(4*STDEVP(終値!O359:AH359)/AVERAGE(終値!O359:AH359),""))</f>
        <v/>
      </c>
      <c r="M359" s="503" t="str">
        <f>IF(終値!A359="","",IFERROR(4*STDEVP(終値!P359:AI359)/AVERAGE(終値!P359:AI359),""))</f>
        <v/>
      </c>
      <c r="N359" s="503" t="str">
        <f>IF(終値!A359="","",IFERROR(4*STDEVP(終値!Q359:AJ359)/AVERAGE(終値!Q359:AJ359),""))</f>
        <v/>
      </c>
      <c r="O359" s="503" t="str">
        <f>IF(終値!A359="","",IFERROR(4*STDEVP(終値!R359:AK359)/AVERAGE(終値!R359:AK359),""))</f>
        <v/>
      </c>
      <c r="P359" s="503" t="str">
        <f>IF(終値!A359="","",IFERROR(4*STDEVP(終値!S359:AL359)/AVERAGE(終値!S359:AL359),""))</f>
        <v/>
      </c>
      <c r="Q359" s="503" t="str">
        <f>IF(終値!A359="","",IFERROR(4*STDEVP(終値!T359:AM359)/AVERAGE(終値!T359:AM359),""))</f>
        <v/>
      </c>
      <c r="R359" s="503" t="str">
        <f>IF(終値!A359="","",IFERROR(4*STDEVP(終値!U359:AN359)/AVERAGE(終値!U359:AN359),""))</f>
        <v/>
      </c>
      <c r="S359" s="503" t="str">
        <f>IF(終値!A359="","",IFERROR(4*STDEVP(終値!V359:AO359)/AVERAGE(終値!V359:AO359),""))</f>
        <v/>
      </c>
      <c r="T359" s="503" t="str">
        <f>IF(終値!A359="","",IFERROR(4*STDEVP(終値!W359:AP359)/AVERAGE(終値!W359:AP359),""))</f>
        <v/>
      </c>
      <c r="U359" s="503" t="str">
        <f>IF(終値!A359="","",IFERROR(4*STDEVP(終値!X359:AQ359)/AVERAGE(終値!X359:AQ359),""))</f>
        <v/>
      </c>
      <c r="V359" s="503" t="str">
        <f>IF(終値!A359="","",IFERROR(4*STDEVP(終値!Y359:AR359)/AVERAGE(終値!Y359:AR359),""))</f>
        <v/>
      </c>
      <c r="W359" s="503" t="str">
        <f>IF(終値!A359="","",IFERROR(4*STDEVP(終値!Z359:AS359)/AVERAGE(終値!Z359:AS359),""))</f>
        <v/>
      </c>
      <c r="X359" s="503" t="str">
        <f>IF(終値!A359="","",IFERROR(4*STDEVP(終値!AA359:AT359)/AVERAGE(終値!AA359:AT359),""))</f>
        <v/>
      </c>
      <c r="Y359" s="503" t="str">
        <f>IF(終値!A359="","",IFERROR(4*STDEVP(終値!AB359:AU359)/AVERAGE(終値!AB359:AU359),""))</f>
        <v/>
      </c>
      <c r="Z359" s="503" t="str">
        <f>IF(終値!A359="","",IFERROR(4*STDEVP(終値!AC359:AV359)/AVERAGE(終値!AC359:AV359),""))</f>
        <v/>
      </c>
      <c r="AA359" s="503" t="str">
        <f>IF(終値!A359="","",IFERROR(4*STDEVP(終値!AD359:AW359)/AVERAGE(終値!AD359:AW359),""))</f>
        <v/>
      </c>
      <c r="AB359" s="503" t="str">
        <f>IF(終値!A359="","",IFERROR(4*STDEVP(終値!AE359:AX359)/AVERAGE(終値!AE359:AX359),""))</f>
        <v/>
      </c>
      <c r="AC359" s="503" t="str">
        <f>IF(終値!A359="","",IFERROR(4*STDEVP(終値!AF359:AY359)/AVERAGE(終値!AF359:AY359),""))</f>
        <v/>
      </c>
      <c r="AD359" s="503" t="str">
        <f>IF(終値!A359="","",IFERROR(4*STDEVP(終値!AG359:AZ359)/AVERAGE(終値!AG359:AZ359),""))</f>
        <v/>
      </c>
      <c r="AE359" s="503" t="str">
        <f>IF(終値!A359="","",IFERROR(4*STDEVP(終値!AH359:BA359)/AVERAGE(終値!AH359:BA359),""))</f>
        <v/>
      </c>
      <c r="AF359" s="503" t="str">
        <f>IF(終値!A359="","",IFERROR(4*STDEVP(終値!AI359:BB359)/AVERAGE(終値!AI359:BB359),""))</f>
        <v/>
      </c>
      <c r="AG359" s="503" t="str">
        <f>IF(終値!A359="","",IFERROR(4*STDEVP(終値!AJ359:BC359)/AVERAGE(終値!AJ359:BC359),""))</f>
        <v/>
      </c>
      <c r="AH359" s="503" t="str">
        <f>IF(終値!A359="","",IFERROR(4*STDEVP(終値!AK359:BD359)/AVERAGE(終値!AK359:BD359),""))</f>
        <v/>
      </c>
      <c r="AI359" s="503" t="str">
        <f>IF(終値!A359="","",IFERROR(4*STDEVP(終値!AL359:BE359)/AVERAGE(終値!AL359:BE359),""))</f>
        <v/>
      </c>
      <c r="AJ359" s="503" t="str">
        <f>IF(終値!A359="","",IFERROR(4*STDEVP(終値!AM359:BF359)/AVERAGE(終値!AM359:BF359),""))</f>
        <v/>
      </c>
      <c r="AK359" s="503" t="str">
        <f>IF(終値!A359="","",IFERROR(4*STDEVP(終値!AN359:BG359)/AVERAGE(終値!AN359:BG359),""))</f>
        <v/>
      </c>
      <c r="AL359" s="503" t="str">
        <f>IF(終値!A359="","",IFERROR(4*STDEVP(終値!AO359:BH359)/AVERAGE(終値!AO359:BH359),""))</f>
        <v/>
      </c>
      <c r="AM359" s="503" t="str">
        <f>IF(終値!A359="","",IFERROR(4*STDEVP(終値!AP359:BI359)/AVERAGE(終値!AP359:BI359),""))</f>
        <v/>
      </c>
      <c r="AN359" s="503" t="str">
        <f>IF(終値!A359="","",IFERROR(4*STDEVP(終値!AQ359:BJ359)/AVERAGE(終値!AQ359:BJ359),""))</f>
        <v/>
      </c>
      <c r="AO359" s="503" t="str">
        <f>IF(終値!A359="","",IFERROR(4*STDEVP(終値!AR359:BK359)/AVERAGE(終値!AR359:BK359),""))</f>
        <v/>
      </c>
      <c r="AP359" s="503" t="str">
        <f>IF(終値!A359="","",IFERROR(4*STDEVP(終値!AS359:BL359)/AVERAGE(終値!AS359:BL359),""))</f>
        <v/>
      </c>
    </row>
    <row r="360" spans="1:42">
      <c r="A360" s="500" t="str">
        <f>IF(終値!A360="","",終値!A360)</f>
        <v/>
      </c>
      <c r="B360" s="503" t="str">
        <f>IF(終値!A360="","",IFERROR(4*STDEVP(終値!E360:X360)/AVERAGE(終値!E360:X360),""))</f>
        <v/>
      </c>
      <c r="C360" s="503" t="str">
        <f>IF(終値!A360="","",IFERROR(4*STDEVP(終値!F360:Y360)/AVERAGE(終値!F360:Y360),""))</f>
        <v/>
      </c>
      <c r="D360" s="503" t="str">
        <f>IF(終値!A360="","",IFERROR(4*STDEVP(終値!G360:Z360)/AVERAGE(終値!G360:Z360),""))</f>
        <v/>
      </c>
      <c r="E360" s="503" t="str">
        <f>IF(終値!A360="","",IFERROR(4*STDEVP(終値!H360:AA360)/AVERAGE(終値!H360:AA360),""))</f>
        <v/>
      </c>
      <c r="F360" s="503" t="str">
        <f>IF(終値!A360="","",IFERROR(4*STDEVP(終値!I360:AB360)/AVERAGE(終値!I360:AB360),""))</f>
        <v/>
      </c>
      <c r="G360" s="503" t="str">
        <f>IF(終値!A360="","",IFERROR(4*STDEVP(終値!J360:AC360)/AVERAGE(終値!J360:AC360),""))</f>
        <v/>
      </c>
      <c r="H360" s="503" t="str">
        <f>IF(終値!A360="","",IFERROR(4*STDEVP(終値!K360:AD360)/AVERAGE(終値!K360:AD360),""))</f>
        <v/>
      </c>
      <c r="I360" s="503" t="str">
        <f>IF(終値!A360="","",IFERROR(4*STDEVP(終値!L360:AE360)/AVERAGE(終値!L360:AE360),""))</f>
        <v/>
      </c>
      <c r="J360" s="503" t="str">
        <f>IF(終値!A360="","",IFERROR(4*STDEVP(終値!M360:AF360)/AVERAGE(終値!M360:AF360),""))</f>
        <v/>
      </c>
      <c r="K360" s="503" t="str">
        <f>IF(終値!A360="","",IFERROR(4*STDEVP(終値!N360:AG360)/AVERAGE(終値!N360:AG360),""))</f>
        <v/>
      </c>
      <c r="L360" s="503" t="str">
        <f>IF(終値!A360="","",IFERROR(4*STDEVP(終値!O360:AH360)/AVERAGE(終値!O360:AH360),""))</f>
        <v/>
      </c>
      <c r="M360" s="503" t="str">
        <f>IF(終値!A360="","",IFERROR(4*STDEVP(終値!P360:AI360)/AVERAGE(終値!P360:AI360),""))</f>
        <v/>
      </c>
      <c r="N360" s="503" t="str">
        <f>IF(終値!A360="","",IFERROR(4*STDEVP(終値!Q360:AJ360)/AVERAGE(終値!Q360:AJ360),""))</f>
        <v/>
      </c>
      <c r="O360" s="503" t="str">
        <f>IF(終値!A360="","",IFERROR(4*STDEVP(終値!R360:AK360)/AVERAGE(終値!R360:AK360),""))</f>
        <v/>
      </c>
      <c r="P360" s="503" t="str">
        <f>IF(終値!A360="","",IFERROR(4*STDEVP(終値!S360:AL360)/AVERAGE(終値!S360:AL360),""))</f>
        <v/>
      </c>
      <c r="Q360" s="503" t="str">
        <f>IF(終値!A360="","",IFERROR(4*STDEVP(終値!T360:AM360)/AVERAGE(終値!T360:AM360),""))</f>
        <v/>
      </c>
      <c r="R360" s="503" t="str">
        <f>IF(終値!A360="","",IFERROR(4*STDEVP(終値!U360:AN360)/AVERAGE(終値!U360:AN360),""))</f>
        <v/>
      </c>
      <c r="S360" s="503" t="str">
        <f>IF(終値!A360="","",IFERROR(4*STDEVP(終値!V360:AO360)/AVERAGE(終値!V360:AO360),""))</f>
        <v/>
      </c>
      <c r="T360" s="503" t="str">
        <f>IF(終値!A360="","",IFERROR(4*STDEVP(終値!W360:AP360)/AVERAGE(終値!W360:AP360),""))</f>
        <v/>
      </c>
      <c r="U360" s="503" t="str">
        <f>IF(終値!A360="","",IFERROR(4*STDEVP(終値!X360:AQ360)/AVERAGE(終値!X360:AQ360),""))</f>
        <v/>
      </c>
      <c r="V360" s="503" t="str">
        <f>IF(終値!A360="","",IFERROR(4*STDEVP(終値!Y360:AR360)/AVERAGE(終値!Y360:AR360),""))</f>
        <v/>
      </c>
      <c r="W360" s="503" t="str">
        <f>IF(終値!A360="","",IFERROR(4*STDEVP(終値!Z360:AS360)/AVERAGE(終値!Z360:AS360),""))</f>
        <v/>
      </c>
      <c r="X360" s="503" t="str">
        <f>IF(終値!A360="","",IFERROR(4*STDEVP(終値!AA360:AT360)/AVERAGE(終値!AA360:AT360),""))</f>
        <v/>
      </c>
      <c r="Y360" s="503" t="str">
        <f>IF(終値!A360="","",IFERROR(4*STDEVP(終値!AB360:AU360)/AVERAGE(終値!AB360:AU360),""))</f>
        <v/>
      </c>
      <c r="Z360" s="503" t="str">
        <f>IF(終値!A360="","",IFERROR(4*STDEVP(終値!AC360:AV360)/AVERAGE(終値!AC360:AV360),""))</f>
        <v/>
      </c>
      <c r="AA360" s="503" t="str">
        <f>IF(終値!A360="","",IFERROR(4*STDEVP(終値!AD360:AW360)/AVERAGE(終値!AD360:AW360),""))</f>
        <v/>
      </c>
      <c r="AB360" s="503" t="str">
        <f>IF(終値!A360="","",IFERROR(4*STDEVP(終値!AE360:AX360)/AVERAGE(終値!AE360:AX360),""))</f>
        <v/>
      </c>
      <c r="AC360" s="503" t="str">
        <f>IF(終値!A360="","",IFERROR(4*STDEVP(終値!AF360:AY360)/AVERAGE(終値!AF360:AY360),""))</f>
        <v/>
      </c>
      <c r="AD360" s="503" t="str">
        <f>IF(終値!A360="","",IFERROR(4*STDEVP(終値!AG360:AZ360)/AVERAGE(終値!AG360:AZ360),""))</f>
        <v/>
      </c>
      <c r="AE360" s="503" t="str">
        <f>IF(終値!A360="","",IFERROR(4*STDEVP(終値!AH360:BA360)/AVERAGE(終値!AH360:BA360),""))</f>
        <v/>
      </c>
      <c r="AF360" s="503" t="str">
        <f>IF(終値!A360="","",IFERROR(4*STDEVP(終値!AI360:BB360)/AVERAGE(終値!AI360:BB360),""))</f>
        <v/>
      </c>
      <c r="AG360" s="503" t="str">
        <f>IF(終値!A360="","",IFERROR(4*STDEVP(終値!AJ360:BC360)/AVERAGE(終値!AJ360:BC360),""))</f>
        <v/>
      </c>
      <c r="AH360" s="503" t="str">
        <f>IF(終値!A360="","",IFERROR(4*STDEVP(終値!AK360:BD360)/AVERAGE(終値!AK360:BD360),""))</f>
        <v/>
      </c>
      <c r="AI360" s="503" t="str">
        <f>IF(終値!A360="","",IFERROR(4*STDEVP(終値!AL360:BE360)/AVERAGE(終値!AL360:BE360),""))</f>
        <v/>
      </c>
      <c r="AJ360" s="503" t="str">
        <f>IF(終値!A360="","",IFERROR(4*STDEVP(終値!AM360:BF360)/AVERAGE(終値!AM360:BF360),""))</f>
        <v/>
      </c>
      <c r="AK360" s="503" t="str">
        <f>IF(終値!A360="","",IFERROR(4*STDEVP(終値!AN360:BG360)/AVERAGE(終値!AN360:BG360),""))</f>
        <v/>
      </c>
      <c r="AL360" s="503" t="str">
        <f>IF(終値!A360="","",IFERROR(4*STDEVP(終値!AO360:BH360)/AVERAGE(終値!AO360:BH360),""))</f>
        <v/>
      </c>
      <c r="AM360" s="503" t="str">
        <f>IF(終値!A360="","",IFERROR(4*STDEVP(終値!AP360:BI360)/AVERAGE(終値!AP360:BI360),""))</f>
        <v/>
      </c>
      <c r="AN360" s="503" t="str">
        <f>IF(終値!A360="","",IFERROR(4*STDEVP(終値!AQ360:BJ360)/AVERAGE(終値!AQ360:BJ360),""))</f>
        <v/>
      </c>
      <c r="AO360" s="503" t="str">
        <f>IF(終値!A360="","",IFERROR(4*STDEVP(終値!AR360:BK360)/AVERAGE(終値!AR360:BK360),""))</f>
        <v/>
      </c>
      <c r="AP360" s="503" t="str">
        <f>IF(終値!A360="","",IFERROR(4*STDEVP(終値!AS360:BL360)/AVERAGE(終値!AS360:BL360),""))</f>
        <v/>
      </c>
    </row>
    <row r="361" spans="1:42">
      <c r="A361" s="500" t="str">
        <f>IF(終値!A361="","",終値!A361)</f>
        <v/>
      </c>
      <c r="B361" s="503" t="str">
        <f>IF(終値!A361="","",IFERROR(4*STDEVP(終値!E361:X361)/AVERAGE(終値!E361:X361),""))</f>
        <v/>
      </c>
      <c r="C361" s="503" t="str">
        <f>IF(終値!A361="","",IFERROR(4*STDEVP(終値!F361:Y361)/AVERAGE(終値!F361:Y361),""))</f>
        <v/>
      </c>
      <c r="D361" s="503" t="str">
        <f>IF(終値!A361="","",IFERROR(4*STDEVP(終値!G361:Z361)/AVERAGE(終値!G361:Z361),""))</f>
        <v/>
      </c>
      <c r="E361" s="503" t="str">
        <f>IF(終値!A361="","",IFERROR(4*STDEVP(終値!H361:AA361)/AVERAGE(終値!H361:AA361),""))</f>
        <v/>
      </c>
      <c r="F361" s="503" t="str">
        <f>IF(終値!A361="","",IFERROR(4*STDEVP(終値!I361:AB361)/AVERAGE(終値!I361:AB361),""))</f>
        <v/>
      </c>
      <c r="G361" s="503" t="str">
        <f>IF(終値!A361="","",IFERROR(4*STDEVP(終値!J361:AC361)/AVERAGE(終値!J361:AC361),""))</f>
        <v/>
      </c>
      <c r="H361" s="503" t="str">
        <f>IF(終値!A361="","",IFERROR(4*STDEVP(終値!K361:AD361)/AVERAGE(終値!K361:AD361),""))</f>
        <v/>
      </c>
      <c r="I361" s="503" t="str">
        <f>IF(終値!A361="","",IFERROR(4*STDEVP(終値!L361:AE361)/AVERAGE(終値!L361:AE361),""))</f>
        <v/>
      </c>
      <c r="J361" s="503" t="str">
        <f>IF(終値!A361="","",IFERROR(4*STDEVP(終値!M361:AF361)/AVERAGE(終値!M361:AF361),""))</f>
        <v/>
      </c>
      <c r="K361" s="503" t="str">
        <f>IF(終値!A361="","",IFERROR(4*STDEVP(終値!N361:AG361)/AVERAGE(終値!N361:AG361),""))</f>
        <v/>
      </c>
      <c r="L361" s="503" t="str">
        <f>IF(終値!A361="","",IFERROR(4*STDEVP(終値!O361:AH361)/AVERAGE(終値!O361:AH361),""))</f>
        <v/>
      </c>
      <c r="M361" s="503" t="str">
        <f>IF(終値!A361="","",IFERROR(4*STDEVP(終値!P361:AI361)/AVERAGE(終値!P361:AI361),""))</f>
        <v/>
      </c>
      <c r="N361" s="503" t="str">
        <f>IF(終値!A361="","",IFERROR(4*STDEVP(終値!Q361:AJ361)/AVERAGE(終値!Q361:AJ361),""))</f>
        <v/>
      </c>
      <c r="O361" s="503" t="str">
        <f>IF(終値!A361="","",IFERROR(4*STDEVP(終値!R361:AK361)/AVERAGE(終値!R361:AK361),""))</f>
        <v/>
      </c>
      <c r="P361" s="503" t="str">
        <f>IF(終値!A361="","",IFERROR(4*STDEVP(終値!S361:AL361)/AVERAGE(終値!S361:AL361),""))</f>
        <v/>
      </c>
      <c r="Q361" s="503" t="str">
        <f>IF(終値!A361="","",IFERROR(4*STDEVP(終値!T361:AM361)/AVERAGE(終値!T361:AM361),""))</f>
        <v/>
      </c>
      <c r="R361" s="503" t="str">
        <f>IF(終値!A361="","",IFERROR(4*STDEVP(終値!U361:AN361)/AVERAGE(終値!U361:AN361),""))</f>
        <v/>
      </c>
      <c r="S361" s="503" t="str">
        <f>IF(終値!A361="","",IFERROR(4*STDEVP(終値!V361:AO361)/AVERAGE(終値!V361:AO361),""))</f>
        <v/>
      </c>
      <c r="T361" s="503" t="str">
        <f>IF(終値!A361="","",IFERROR(4*STDEVP(終値!W361:AP361)/AVERAGE(終値!W361:AP361),""))</f>
        <v/>
      </c>
      <c r="U361" s="503" t="str">
        <f>IF(終値!A361="","",IFERROR(4*STDEVP(終値!X361:AQ361)/AVERAGE(終値!X361:AQ361),""))</f>
        <v/>
      </c>
      <c r="V361" s="503" t="str">
        <f>IF(終値!A361="","",IFERROR(4*STDEVP(終値!Y361:AR361)/AVERAGE(終値!Y361:AR361),""))</f>
        <v/>
      </c>
      <c r="W361" s="503" t="str">
        <f>IF(終値!A361="","",IFERROR(4*STDEVP(終値!Z361:AS361)/AVERAGE(終値!Z361:AS361),""))</f>
        <v/>
      </c>
      <c r="X361" s="503" t="str">
        <f>IF(終値!A361="","",IFERROR(4*STDEVP(終値!AA361:AT361)/AVERAGE(終値!AA361:AT361),""))</f>
        <v/>
      </c>
      <c r="Y361" s="503" t="str">
        <f>IF(終値!A361="","",IFERROR(4*STDEVP(終値!AB361:AU361)/AVERAGE(終値!AB361:AU361),""))</f>
        <v/>
      </c>
      <c r="Z361" s="503" t="str">
        <f>IF(終値!A361="","",IFERROR(4*STDEVP(終値!AC361:AV361)/AVERAGE(終値!AC361:AV361),""))</f>
        <v/>
      </c>
      <c r="AA361" s="503" t="str">
        <f>IF(終値!A361="","",IFERROR(4*STDEVP(終値!AD361:AW361)/AVERAGE(終値!AD361:AW361),""))</f>
        <v/>
      </c>
      <c r="AB361" s="503" t="str">
        <f>IF(終値!A361="","",IFERROR(4*STDEVP(終値!AE361:AX361)/AVERAGE(終値!AE361:AX361),""))</f>
        <v/>
      </c>
      <c r="AC361" s="503" t="str">
        <f>IF(終値!A361="","",IFERROR(4*STDEVP(終値!AF361:AY361)/AVERAGE(終値!AF361:AY361),""))</f>
        <v/>
      </c>
      <c r="AD361" s="503" t="str">
        <f>IF(終値!A361="","",IFERROR(4*STDEVP(終値!AG361:AZ361)/AVERAGE(終値!AG361:AZ361),""))</f>
        <v/>
      </c>
      <c r="AE361" s="503" t="str">
        <f>IF(終値!A361="","",IFERROR(4*STDEVP(終値!AH361:BA361)/AVERAGE(終値!AH361:BA361),""))</f>
        <v/>
      </c>
      <c r="AF361" s="503" t="str">
        <f>IF(終値!A361="","",IFERROR(4*STDEVP(終値!AI361:BB361)/AVERAGE(終値!AI361:BB361),""))</f>
        <v/>
      </c>
      <c r="AG361" s="503" t="str">
        <f>IF(終値!A361="","",IFERROR(4*STDEVP(終値!AJ361:BC361)/AVERAGE(終値!AJ361:BC361),""))</f>
        <v/>
      </c>
      <c r="AH361" s="503" t="str">
        <f>IF(終値!A361="","",IFERROR(4*STDEVP(終値!AK361:BD361)/AVERAGE(終値!AK361:BD361),""))</f>
        <v/>
      </c>
      <c r="AI361" s="503" t="str">
        <f>IF(終値!A361="","",IFERROR(4*STDEVP(終値!AL361:BE361)/AVERAGE(終値!AL361:BE361),""))</f>
        <v/>
      </c>
      <c r="AJ361" s="503" t="str">
        <f>IF(終値!A361="","",IFERROR(4*STDEVP(終値!AM361:BF361)/AVERAGE(終値!AM361:BF361),""))</f>
        <v/>
      </c>
      <c r="AK361" s="503" t="str">
        <f>IF(終値!A361="","",IFERROR(4*STDEVP(終値!AN361:BG361)/AVERAGE(終値!AN361:BG361),""))</f>
        <v/>
      </c>
      <c r="AL361" s="503" t="str">
        <f>IF(終値!A361="","",IFERROR(4*STDEVP(終値!AO361:BH361)/AVERAGE(終値!AO361:BH361),""))</f>
        <v/>
      </c>
      <c r="AM361" s="503" t="str">
        <f>IF(終値!A361="","",IFERROR(4*STDEVP(終値!AP361:BI361)/AVERAGE(終値!AP361:BI361),""))</f>
        <v/>
      </c>
      <c r="AN361" s="503" t="str">
        <f>IF(終値!A361="","",IFERROR(4*STDEVP(終値!AQ361:BJ361)/AVERAGE(終値!AQ361:BJ361),""))</f>
        <v/>
      </c>
      <c r="AO361" s="503" t="str">
        <f>IF(終値!A361="","",IFERROR(4*STDEVP(終値!AR361:BK361)/AVERAGE(終値!AR361:BK361),""))</f>
        <v/>
      </c>
      <c r="AP361" s="503" t="str">
        <f>IF(終値!A361="","",IFERROR(4*STDEVP(終値!AS361:BL361)/AVERAGE(終値!AS361:BL361),""))</f>
        <v/>
      </c>
    </row>
    <row r="362" spans="1:42">
      <c r="A362" s="500" t="str">
        <f>IF(終値!A362="","",終値!A362)</f>
        <v/>
      </c>
      <c r="B362" s="503" t="str">
        <f>IF(終値!A362="","",IFERROR(4*STDEVP(終値!E362:X362)/AVERAGE(終値!E362:X362),""))</f>
        <v/>
      </c>
      <c r="C362" s="503" t="str">
        <f>IF(終値!A362="","",IFERROR(4*STDEVP(終値!F362:Y362)/AVERAGE(終値!F362:Y362),""))</f>
        <v/>
      </c>
      <c r="D362" s="503" t="str">
        <f>IF(終値!A362="","",IFERROR(4*STDEVP(終値!G362:Z362)/AVERAGE(終値!G362:Z362),""))</f>
        <v/>
      </c>
      <c r="E362" s="503" t="str">
        <f>IF(終値!A362="","",IFERROR(4*STDEVP(終値!H362:AA362)/AVERAGE(終値!H362:AA362),""))</f>
        <v/>
      </c>
      <c r="F362" s="503" t="str">
        <f>IF(終値!A362="","",IFERROR(4*STDEVP(終値!I362:AB362)/AVERAGE(終値!I362:AB362),""))</f>
        <v/>
      </c>
      <c r="G362" s="503" t="str">
        <f>IF(終値!A362="","",IFERROR(4*STDEVP(終値!J362:AC362)/AVERAGE(終値!J362:AC362),""))</f>
        <v/>
      </c>
      <c r="H362" s="503" t="str">
        <f>IF(終値!A362="","",IFERROR(4*STDEVP(終値!K362:AD362)/AVERAGE(終値!K362:AD362),""))</f>
        <v/>
      </c>
      <c r="I362" s="503" t="str">
        <f>IF(終値!A362="","",IFERROR(4*STDEVP(終値!L362:AE362)/AVERAGE(終値!L362:AE362),""))</f>
        <v/>
      </c>
      <c r="J362" s="503" t="str">
        <f>IF(終値!A362="","",IFERROR(4*STDEVP(終値!M362:AF362)/AVERAGE(終値!M362:AF362),""))</f>
        <v/>
      </c>
      <c r="K362" s="503" t="str">
        <f>IF(終値!A362="","",IFERROR(4*STDEVP(終値!N362:AG362)/AVERAGE(終値!N362:AG362),""))</f>
        <v/>
      </c>
      <c r="L362" s="503" t="str">
        <f>IF(終値!A362="","",IFERROR(4*STDEVP(終値!O362:AH362)/AVERAGE(終値!O362:AH362),""))</f>
        <v/>
      </c>
      <c r="M362" s="503" t="str">
        <f>IF(終値!A362="","",IFERROR(4*STDEVP(終値!P362:AI362)/AVERAGE(終値!P362:AI362),""))</f>
        <v/>
      </c>
      <c r="N362" s="503" t="str">
        <f>IF(終値!A362="","",IFERROR(4*STDEVP(終値!Q362:AJ362)/AVERAGE(終値!Q362:AJ362),""))</f>
        <v/>
      </c>
      <c r="O362" s="503" t="str">
        <f>IF(終値!A362="","",IFERROR(4*STDEVP(終値!R362:AK362)/AVERAGE(終値!R362:AK362),""))</f>
        <v/>
      </c>
      <c r="P362" s="503" t="str">
        <f>IF(終値!A362="","",IFERROR(4*STDEVP(終値!S362:AL362)/AVERAGE(終値!S362:AL362),""))</f>
        <v/>
      </c>
      <c r="Q362" s="503" t="str">
        <f>IF(終値!A362="","",IFERROR(4*STDEVP(終値!T362:AM362)/AVERAGE(終値!T362:AM362),""))</f>
        <v/>
      </c>
      <c r="R362" s="503" t="str">
        <f>IF(終値!A362="","",IFERROR(4*STDEVP(終値!U362:AN362)/AVERAGE(終値!U362:AN362),""))</f>
        <v/>
      </c>
      <c r="S362" s="503" t="str">
        <f>IF(終値!A362="","",IFERROR(4*STDEVP(終値!V362:AO362)/AVERAGE(終値!V362:AO362),""))</f>
        <v/>
      </c>
      <c r="T362" s="503" t="str">
        <f>IF(終値!A362="","",IFERROR(4*STDEVP(終値!W362:AP362)/AVERAGE(終値!W362:AP362),""))</f>
        <v/>
      </c>
      <c r="U362" s="503" t="str">
        <f>IF(終値!A362="","",IFERROR(4*STDEVP(終値!X362:AQ362)/AVERAGE(終値!X362:AQ362),""))</f>
        <v/>
      </c>
      <c r="V362" s="503" t="str">
        <f>IF(終値!A362="","",IFERROR(4*STDEVP(終値!Y362:AR362)/AVERAGE(終値!Y362:AR362),""))</f>
        <v/>
      </c>
      <c r="W362" s="503" t="str">
        <f>IF(終値!A362="","",IFERROR(4*STDEVP(終値!Z362:AS362)/AVERAGE(終値!Z362:AS362),""))</f>
        <v/>
      </c>
      <c r="X362" s="503" t="str">
        <f>IF(終値!A362="","",IFERROR(4*STDEVP(終値!AA362:AT362)/AVERAGE(終値!AA362:AT362),""))</f>
        <v/>
      </c>
      <c r="Y362" s="503" t="str">
        <f>IF(終値!A362="","",IFERROR(4*STDEVP(終値!AB362:AU362)/AVERAGE(終値!AB362:AU362),""))</f>
        <v/>
      </c>
      <c r="Z362" s="503" t="str">
        <f>IF(終値!A362="","",IFERROR(4*STDEVP(終値!AC362:AV362)/AVERAGE(終値!AC362:AV362),""))</f>
        <v/>
      </c>
      <c r="AA362" s="503" t="str">
        <f>IF(終値!A362="","",IFERROR(4*STDEVP(終値!AD362:AW362)/AVERAGE(終値!AD362:AW362),""))</f>
        <v/>
      </c>
      <c r="AB362" s="503" t="str">
        <f>IF(終値!A362="","",IFERROR(4*STDEVP(終値!AE362:AX362)/AVERAGE(終値!AE362:AX362),""))</f>
        <v/>
      </c>
      <c r="AC362" s="503" t="str">
        <f>IF(終値!A362="","",IFERROR(4*STDEVP(終値!AF362:AY362)/AVERAGE(終値!AF362:AY362),""))</f>
        <v/>
      </c>
      <c r="AD362" s="503" t="str">
        <f>IF(終値!A362="","",IFERROR(4*STDEVP(終値!AG362:AZ362)/AVERAGE(終値!AG362:AZ362),""))</f>
        <v/>
      </c>
      <c r="AE362" s="503" t="str">
        <f>IF(終値!A362="","",IFERROR(4*STDEVP(終値!AH362:BA362)/AVERAGE(終値!AH362:BA362),""))</f>
        <v/>
      </c>
      <c r="AF362" s="503" t="str">
        <f>IF(終値!A362="","",IFERROR(4*STDEVP(終値!AI362:BB362)/AVERAGE(終値!AI362:BB362),""))</f>
        <v/>
      </c>
      <c r="AG362" s="503" t="str">
        <f>IF(終値!A362="","",IFERROR(4*STDEVP(終値!AJ362:BC362)/AVERAGE(終値!AJ362:BC362),""))</f>
        <v/>
      </c>
      <c r="AH362" s="503" t="str">
        <f>IF(終値!A362="","",IFERROR(4*STDEVP(終値!AK362:BD362)/AVERAGE(終値!AK362:BD362),""))</f>
        <v/>
      </c>
      <c r="AI362" s="503" t="str">
        <f>IF(終値!A362="","",IFERROR(4*STDEVP(終値!AL362:BE362)/AVERAGE(終値!AL362:BE362),""))</f>
        <v/>
      </c>
      <c r="AJ362" s="503" t="str">
        <f>IF(終値!A362="","",IFERROR(4*STDEVP(終値!AM362:BF362)/AVERAGE(終値!AM362:BF362),""))</f>
        <v/>
      </c>
      <c r="AK362" s="503" t="str">
        <f>IF(終値!A362="","",IFERROR(4*STDEVP(終値!AN362:BG362)/AVERAGE(終値!AN362:BG362),""))</f>
        <v/>
      </c>
      <c r="AL362" s="503" t="str">
        <f>IF(終値!A362="","",IFERROR(4*STDEVP(終値!AO362:BH362)/AVERAGE(終値!AO362:BH362),""))</f>
        <v/>
      </c>
      <c r="AM362" s="503" t="str">
        <f>IF(終値!A362="","",IFERROR(4*STDEVP(終値!AP362:BI362)/AVERAGE(終値!AP362:BI362),""))</f>
        <v/>
      </c>
      <c r="AN362" s="503" t="str">
        <f>IF(終値!A362="","",IFERROR(4*STDEVP(終値!AQ362:BJ362)/AVERAGE(終値!AQ362:BJ362),""))</f>
        <v/>
      </c>
      <c r="AO362" s="503" t="str">
        <f>IF(終値!A362="","",IFERROR(4*STDEVP(終値!AR362:BK362)/AVERAGE(終値!AR362:BK362),""))</f>
        <v/>
      </c>
      <c r="AP362" s="503" t="str">
        <f>IF(終値!A362="","",IFERROR(4*STDEVP(終値!AS362:BL362)/AVERAGE(終値!AS362:BL362),""))</f>
        <v/>
      </c>
    </row>
    <row r="363" spans="1:42">
      <c r="A363" s="500" t="str">
        <f>IF(終値!A363="","",終値!A363)</f>
        <v/>
      </c>
      <c r="B363" s="503" t="str">
        <f>IF(終値!A363="","",IFERROR(4*STDEVP(終値!E363:X363)/AVERAGE(終値!E363:X363),""))</f>
        <v/>
      </c>
      <c r="C363" s="503" t="str">
        <f>IF(終値!A363="","",IFERROR(4*STDEVP(終値!F363:Y363)/AVERAGE(終値!F363:Y363),""))</f>
        <v/>
      </c>
      <c r="D363" s="503" t="str">
        <f>IF(終値!A363="","",IFERROR(4*STDEVP(終値!G363:Z363)/AVERAGE(終値!G363:Z363),""))</f>
        <v/>
      </c>
      <c r="E363" s="503" t="str">
        <f>IF(終値!A363="","",IFERROR(4*STDEVP(終値!H363:AA363)/AVERAGE(終値!H363:AA363),""))</f>
        <v/>
      </c>
      <c r="F363" s="503" t="str">
        <f>IF(終値!A363="","",IFERROR(4*STDEVP(終値!I363:AB363)/AVERAGE(終値!I363:AB363),""))</f>
        <v/>
      </c>
      <c r="G363" s="503" t="str">
        <f>IF(終値!A363="","",IFERROR(4*STDEVP(終値!J363:AC363)/AVERAGE(終値!J363:AC363),""))</f>
        <v/>
      </c>
      <c r="H363" s="503" t="str">
        <f>IF(終値!A363="","",IFERROR(4*STDEVP(終値!K363:AD363)/AVERAGE(終値!K363:AD363),""))</f>
        <v/>
      </c>
      <c r="I363" s="503" t="str">
        <f>IF(終値!A363="","",IFERROR(4*STDEVP(終値!L363:AE363)/AVERAGE(終値!L363:AE363),""))</f>
        <v/>
      </c>
      <c r="J363" s="503" t="str">
        <f>IF(終値!A363="","",IFERROR(4*STDEVP(終値!M363:AF363)/AVERAGE(終値!M363:AF363),""))</f>
        <v/>
      </c>
      <c r="K363" s="503" t="str">
        <f>IF(終値!A363="","",IFERROR(4*STDEVP(終値!N363:AG363)/AVERAGE(終値!N363:AG363),""))</f>
        <v/>
      </c>
      <c r="L363" s="503" t="str">
        <f>IF(終値!A363="","",IFERROR(4*STDEVP(終値!O363:AH363)/AVERAGE(終値!O363:AH363),""))</f>
        <v/>
      </c>
      <c r="M363" s="503" t="str">
        <f>IF(終値!A363="","",IFERROR(4*STDEVP(終値!P363:AI363)/AVERAGE(終値!P363:AI363),""))</f>
        <v/>
      </c>
      <c r="N363" s="503" t="str">
        <f>IF(終値!A363="","",IFERROR(4*STDEVP(終値!Q363:AJ363)/AVERAGE(終値!Q363:AJ363),""))</f>
        <v/>
      </c>
      <c r="O363" s="503" t="str">
        <f>IF(終値!A363="","",IFERROR(4*STDEVP(終値!R363:AK363)/AVERAGE(終値!R363:AK363),""))</f>
        <v/>
      </c>
      <c r="P363" s="503" t="str">
        <f>IF(終値!A363="","",IFERROR(4*STDEVP(終値!S363:AL363)/AVERAGE(終値!S363:AL363),""))</f>
        <v/>
      </c>
      <c r="Q363" s="503" t="str">
        <f>IF(終値!A363="","",IFERROR(4*STDEVP(終値!T363:AM363)/AVERAGE(終値!T363:AM363),""))</f>
        <v/>
      </c>
      <c r="R363" s="503" t="str">
        <f>IF(終値!A363="","",IFERROR(4*STDEVP(終値!U363:AN363)/AVERAGE(終値!U363:AN363),""))</f>
        <v/>
      </c>
      <c r="S363" s="503" t="str">
        <f>IF(終値!A363="","",IFERROR(4*STDEVP(終値!V363:AO363)/AVERAGE(終値!V363:AO363),""))</f>
        <v/>
      </c>
      <c r="T363" s="503" t="str">
        <f>IF(終値!A363="","",IFERROR(4*STDEVP(終値!W363:AP363)/AVERAGE(終値!W363:AP363),""))</f>
        <v/>
      </c>
      <c r="U363" s="503" t="str">
        <f>IF(終値!A363="","",IFERROR(4*STDEVP(終値!X363:AQ363)/AVERAGE(終値!X363:AQ363),""))</f>
        <v/>
      </c>
      <c r="V363" s="503" t="str">
        <f>IF(終値!A363="","",IFERROR(4*STDEVP(終値!Y363:AR363)/AVERAGE(終値!Y363:AR363),""))</f>
        <v/>
      </c>
      <c r="W363" s="503" t="str">
        <f>IF(終値!A363="","",IFERROR(4*STDEVP(終値!Z363:AS363)/AVERAGE(終値!Z363:AS363),""))</f>
        <v/>
      </c>
      <c r="X363" s="503" t="str">
        <f>IF(終値!A363="","",IFERROR(4*STDEVP(終値!AA363:AT363)/AVERAGE(終値!AA363:AT363),""))</f>
        <v/>
      </c>
      <c r="Y363" s="503" t="str">
        <f>IF(終値!A363="","",IFERROR(4*STDEVP(終値!AB363:AU363)/AVERAGE(終値!AB363:AU363),""))</f>
        <v/>
      </c>
      <c r="Z363" s="503" t="str">
        <f>IF(終値!A363="","",IFERROR(4*STDEVP(終値!AC363:AV363)/AVERAGE(終値!AC363:AV363),""))</f>
        <v/>
      </c>
      <c r="AA363" s="503" t="str">
        <f>IF(終値!A363="","",IFERROR(4*STDEVP(終値!AD363:AW363)/AVERAGE(終値!AD363:AW363),""))</f>
        <v/>
      </c>
      <c r="AB363" s="503" t="str">
        <f>IF(終値!A363="","",IFERROR(4*STDEVP(終値!AE363:AX363)/AVERAGE(終値!AE363:AX363),""))</f>
        <v/>
      </c>
      <c r="AC363" s="503" t="str">
        <f>IF(終値!A363="","",IFERROR(4*STDEVP(終値!AF363:AY363)/AVERAGE(終値!AF363:AY363),""))</f>
        <v/>
      </c>
      <c r="AD363" s="503" t="str">
        <f>IF(終値!A363="","",IFERROR(4*STDEVP(終値!AG363:AZ363)/AVERAGE(終値!AG363:AZ363),""))</f>
        <v/>
      </c>
      <c r="AE363" s="503" t="str">
        <f>IF(終値!A363="","",IFERROR(4*STDEVP(終値!AH363:BA363)/AVERAGE(終値!AH363:BA363),""))</f>
        <v/>
      </c>
      <c r="AF363" s="503" t="str">
        <f>IF(終値!A363="","",IFERROR(4*STDEVP(終値!AI363:BB363)/AVERAGE(終値!AI363:BB363),""))</f>
        <v/>
      </c>
      <c r="AG363" s="503" t="str">
        <f>IF(終値!A363="","",IFERROR(4*STDEVP(終値!AJ363:BC363)/AVERAGE(終値!AJ363:BC363),""))</f>
        <v/>
      </c>
      <c r="AH363" s="503" t="str">
        <f>IF(終値!A363="","",IFERROR(4*STDEVP(終値!AK363:BD363)/AVERAGE(終値!AK363:BD363),""))</f>
        <v/>
      </c>
      <c r="AI363" s="503" t="str">
        <f>IF(終値!A363="","",IFERROR(4*STDEVP(終値!AL363:BE363)/AVERAGE(終値!AL363:BE363),""))</f>
        <v/>
      </c>
      <c r="AJ363" s="503" t="str">
        <f>IF(終値!A363="","",IFERROR(4*STDEVP(終値!AM363:BF363)/AVERAGE(終値!AM363:BF363),""))</f>
        <v/>
      </c>
      <c r="AK363" s="503" t="str">
        <f>IF(終値!A363="","",IFERROR(4*STDEVP(終値!AN363:BG363)/AVERAGE(終値!AN363:BG363),""))</f>
        <v/>
      </c>
      <c r="AL363" s="503" t="str">
        <f>IF(終値!A363="","",IFERROR(4*STDEVP(終値!AO363:BH363)/AVERAGE(終値!AO363:BH363),""))</f>
        <v/>
      </c>
      <c r="AM363" s="503" t="str">
        <f>IF(終値!A363="","",IFERROR(4*STDEVP(終値!AP363:BI363)/AVERAGE(終値!AP363:BI363),""))</f>
        <v/>
      </c>
      <c r="AN363" s="503" t="str">
        <f>IF(終値!A363="","",IFERROR(4*STDEVP(終値!AQ363:BJ363)/AVERAGE(終値!AQ363:BJ363),""))</f>
        <v/>
      </c>
      <c r="AO363" s="503" t="str">
        <f>IF(終値!A363="","",IFERROR(4*STDEVP(終値!AR363:BK363)/AVERAGE(終値!AR363:BK363),""))</f>
        <v/>
      </c>
      <c r="AP363" s="503" t="str">
        <f>IF(終値!A363="","",IFERROR(4*STDEVP(終値!AS363:BL363)/AVERAGE(終値!AS363:BL363),""))</f>
        <v/>
      </c>
    </row>
    <row r="364" spans="1:42">
      <c r="A364" s="500" t="str">
        <f>IF(終値!A364="","",終値!A364)</f>
        <v/>
      </c>
      <c r="B364" s="503" t="str">
        <f>IF(終値!A364="","",IFERROR(4*STDEVP(終値!E364:X364)/AVERAGE(終値!E364:X364),""))</f>
        <v/>
      </c>
      <c r="C364" s="503" t="str">
        <f>IF(終値!A364="","",IFERROR(4*STDEVP(終値!F364:Y364)/AVERAGE(終値!F364:Y364),""))</f>
        <v/>
      </c>
      <c r="D364" s="503" t="str">
        <f>IF(終値!A364="","",IFERROR(4*STDEVP(終値!G364:Z364)/AVERAGE(終値!G364:Z364),""))</f>
        <v/>
      </c>
      <c r="E364" s="503" t="str">
        <f>IF(終値!A364="","",IFERROR(4*STDEVP(終値!H364:AA364)/AVERAGE(終値!H364:AA364),""))</f>
        <v/>
      </c>
      <c r="F364" s="503" t="str">
        <f>IF(終値!A364="","",IFERROR(4*STDEVP(終値!I364:AB364)/AVERAGE(終値!I364:AB364),""))</f>
        <v/>
      </c>
      <c r="G364" s="503" t="str">
        <f>IF(終値!A364="","",IFERROR(4*STDEVP(終値!J364:AC364)/AVERAGE(終値!J364:AC364),""))</f>
        <v/>
      </c>
      <c r="H364" s="503" t="str">
        <f>IF(終値!A364="","",IFERROR(4*STDEVP(終値!K364:AD364)/AVERAGE(終値!K364:AD364),""))</f>
        <v/>
      </c>
      <c r="I364" s="503" t="str">
        <f>IF(終値!A364="","",IFERROR(4*STDEVP(終値!L364:AE364)/AVERAGE(終値!L364:AE364),""))</f>
        <v/>
      </c>
      <c r="J364" s="503" t="str">
        <f>IF(終値!A364="","",IFERROR(4*STDEVP(終値!M364:AF364)/AVERAGE(終値!M364:AF364),""))</f>
        <v/>
      </c>
      <c r="K364" s="503" t="str">
        <f>IF(終値!A364="","",IFERROR(4*STDEVP(終値!N364:AG364)/AVERAGE(終値!N364:AG364),""))</f>
        <v/>
      </c>
      <c r="L364" s="503" t="str">
        <f>IF(終値!A364="","",IFERROR(4*STDEVP(終値!O364:AH364)/AVERAGE(終値!O364:AH364),""))</f>
        <v/>
      </c>
      <c r="M364" s="503" t="str">
        <f>IF(終値!A364="","",IFERROR(4*STDEVP(終値!P364:AI364)/AVERAGE(終値!P364:AI364),""))</f>
        <v/>
      </c>
      <c r="N364" s="503" t="str">
        <f>IF(終値!A364="","",IFERROR(4*STDEVP(終値!Q364:AJ364)/AVERAGE(終値!Q364:AJ364),""))</f>
        <v/>
      </c>
      <c r="O364" s="503" t="str">
        <f>IF(終値!A364="","",IFERROR(4*STDEVP(終値!R364:AK364)/AVERAGE(終値!R364:AK364),""))</f>
        <v/>
      </c>
      <c r="P364" s="503" t="str">
        <f>IF(終値!A364="","",IFERROR(4*STDEVP(終値!S364:AL364)/AVERAGE(終値!S364:AL364),""))</f>
        <v/>
      </c>
      <c r="Q364" s="503" t="str">
        <f>IF(終値!A364="","",IFERROR(4*STDEVP(終値!T364:AM364)/AVERAGE(終値!T364:AM364),""))</f>
        <v/>
      </c>
      <c r="R364" s="503" t="str">
        <f>IF(終値!A364="","",IFERROR(4*STDEVP(終値!U364:AN364)/AVERAGE(終値!U364:AN364),""))</f>
        <v/>
      </c>
      <c r="S364" s="503" t="str">
        <f>IF(終値!A364="","",IFERROR(4*STDEVP(終値!V364:AO364)/AVERAGE(終値!V364:AO364),""))</f>
        <v/>
      </c>
      <c r="T364" s="503" t="str">
        <f>IF(終値!A364="","",IFERROR(4*STDEVP(終値!W364:AP364)/AVERAGE(終値!W364:AP364),""))</f>
        <v/>
      </c>
      <c r="U364" s="503" t="str">
        <f>IF(終値!A364="","",IFERROR(4*STDEVP(終値!X364:AQ364)/AVERAGE(終値!X364:AQ364),""))</f>
        <v/>
      </c>
      <c r="V364" s="503" t="str">
        <f>IF(終値!A364="","",IFERROR(4*STDEVP(終値!Y364:AR364)/AVERAGE(終値!Y364:AR364),""))</f>
        <v/>
      </c>
      <c r="W364" s="503" t="str">
        <f>IF(終値!A364="","",IFERROR(4*STDEVP(終値!Z364:AS364)/AVERAGE(終値!Z364:AS364),""))</f>
        <v/>
      </c>
      <c r="X364" s="503" t="str">
        <f>IF(終値!A364="","",IFERROR(4*STDEVP(終値!AA364:AT364)/AVERAGE(終値!AA364:AT364),""))</f>
        <v/>
      </c>
      <c r="Y364" s="503" t="str">
        <f>IF(終値!A364="","",IFERROR(4*STDEVP(終値!AB364:AU364)/AVERAGE(終値!AB364:AU364),""))</f>
        <v/>
      </c>
      <c r="Z364" s="503" t="str">
        <f>IF(終値!A364="","",IFERROR(4*STDEVP(終値!AC364:AV364)/AVERAGE(終値!AC364:AV364),""))</f>
        <v/>
      </c>
      <c r="AA364" s="503" t="str">
        <f>IF(終値!A364="","",IFERROR(4*STDEVP(終値!AD364:AW364)/AVERAGE(終値!AD364:AW364),""))</f>
        <v/>
      </c>
      <c r="AB364" s="503" t="str">
        <f>IF(終値!A364="","",IFERROR(4*STDEVP(終値!AE364:AX364)/AVERAGE(終値!AE364:AX364),""))</f>
        <v/>
      </c>
      <c r="AC364" s="503" t="str">
        <f>IF(終値!A364="","",IFERROR(4*STDEVP(終値!AF364:AY364)/AVERAGE(終値!AF364:AY364),""))</f>
        <v/>
      </c>
      <c r="AD364" s="503" t="str">
        <f>IF(終値!A364="","",IFERROR(4*STDEVP(終値!AG364:AZ364)/AVERAGE(終値!AG364:AZ364),""))</f>
        <v/>
      </c>
      <c r="AE364" s="503" t="str">
        <f>IF(終値!A364="","",IFERROR(4*STDEVP(終値!AH364:BA364)/AVERAGE(終値!AH364:BA364),""))</f>
        <v/>
      </c>
      <c r="AF364" s="503" t="str">
        <f>IF(終値!A364="","",IFERROR(4*STDEVP(終値!AI364:BB364)/AVERAGE(終値!AI364:BB364),""))</f>
        <v/>
      </c>
      <c r="AG364" s="503" t="str">
        <f>IF(終値!A364="","",IFERROR(4*STDEVP(終値!AJ364:BC364)/AVERAGE(終値!AJ364:BC364),""))</f>
        <v/>
      </c>
      <c r="AH364" s="503" t="str">
        <f>IF(終値!A364="","",IFERROR(4*STDEVP(終値!AK364:BD364)/AVERAGE(終値!AK364:BD364),""))</f>
        <v/>
      </c>
      <c r="AI364" s="503" t="str">
        <f>IF(終値!A364="","",IFERROR(4*STDEVP(終値!AL364:BE364)/AVERAGE(終値!AL364:BE364),""))</f>
        <v/>
      </c>
      <c r="AJ364" s="503" t="str">
        <f>IF(終値!A364="","",IFERROR(4*STDEVP(終値!AM364:BF364)/AVERAGE(終値!AM364:BF364),""))</f>
        <v/>
      </c>
      <c r="AK364" s="503" t="str">
        <f>IF(終値!A364="","",IFERROR(4*STDEVP(終値!AN364:BG364)/AVERAGE(終値!AN364:BG364),""))</f>
        <v/>
      </c>
      <c r="AL364" s="503" t="str">
        <f>IF(終値!A364="","",IFERROR(4*STDEVP(終値!AO364:BH364)/AVERAGE(終値!AO364:BH364),""))</f>
        <v/>
      </c>
      <c r="AM364" s="503" t="str">
        <f>IF(終値!A364="","",IFERROR(4*STDEVP(終値!AP364:BI364)/AVERAGE(終値!AP364:BI364),""))</f>
        <v/>
      </c>
      <c r="AN364" s="503" t="str">
        <f>IF(終値!A364="","",IFERROR(4*STDEVP(終値!AQ364:BJ364)/AVERAGE(終値!AQ364:BJ364),""))</f>
        <v/>
      </c>
      <c r="AO364" s="503" t="str">
        <f>IF(終値!A364="","",IFERROR(4*STDEVP(終値!AR364:BK364)/AVERAGE(終値!AR364:BK364),""))</f>
        <v/>
      </c>
      <c r="AP364" s="503" t="str">
        <f>IF(終値!A364="","",IFERROR(4*STDEVP(終値!AS364:BL364)/AVERAGE(終値!AS364:BL364),""))</f>
        <v/>
      </c>
    </row>
    <row r="365" spans="1:42">
      <c r="A365" s="500" t="str">
        <f>IF(終値!A365="","",終値!A365)</f>
        <v/>
      </c>
      <c r="B365" s="503" t="str">
        <f>IF(終値!A365="","",IFERROR(4*STDEVP(終値!E365:X365)/AVERAGE(終値!E365:X365),""))</f>
        <v/>
      </c>
      <c r="C365" s="503" t="str">
        <f>IF(終値!A365="","",IFERROR(4*STDEVP(終値!F365:Y365)/AVERAGE(終値!F365:Y365),""))</f>
        <v/>
      </c>
      <c r="D365" s="503" t="str">
        <f>IF(終値!A365="","",IFERROR(4*STDEVP(終値!G365:Z365)/AVERAGE(終値!G365:Z365),""))</f>
        <v/>
      </c>
      <c r="E365" s="503" t="str">
        <f>IF(終値!A365="","",IFERROR(4*STDEVP(終値!H365:AA365)/AVERAGE(終値!H365:AA365),""))</f>
        <v/>
      </c>
      <c r="F365" s="503" t="str">
        <f>IF(終値!A365="","",IFERROR(4*STDEVP(終値!I365:AB365)/AVERAGE(終値!I365:AB365),""))</f>
        <v/>
      </c>
      <c r="G365" s="503" t="str">
        <f>IF(終値!A365="","",IFERROR(4*STDEVP(終値!J365:AC365)/AVERAGE(終値!J365:AC365),""))</f>
        <v/>
      </c>
      <c r="H365" s="503" t="str">
        <f>IF(終値!A365="","",IFERROR(4*STDEVP(終値!K365:AD365)/AVERAGE(終値!K365:AD365),""))</f>
        <v/>
      </c>
      <c r="I365" s="503" t="str">
        <f>IF(終値!A365="","",IFERROR(4*STDEVP(終値!L365:AE365)/AVERAGE(終値!L365:AE365),""))</f>
        <v/>
      </c>
      <c r="J365" s="503" t="str">
        <f>IF(終値!A365="","",IFERROR(4*STDEVP(終値!M365:AF365)/AVERAGE(終値!M365:AF365),""))</f>
        <v/>
      </c>
      <c r="K365" s="503" t="str">
        <f>IF(終値!A365="","",IFERROR(4*STDEVP(終値!N365:AG365)/AVERAGE(終値!N365:AG365),""))</f>
        <v/>
      </c>
      <c r="L365" s="503" t="str">
        <f>IF(終値!A365="","",IFERROR(4*STDEVP(終値!O365:AH365)/AVERAGE(終値!O365:AH365),""))</f>
        <v/>
      </c>
      <c r="M365" s="503" t="str">
        <f>IF(終値!A365="","",IFERROR(4*STDEVP(終値!P365:AI365)/AVERAGE(終値!P365:AI365),""))</f>
        <v/>
      </c>
      <c r="N365" s="503" t="str">
        <f>IF(終値!A365="","",IFERROR(4*STDEVP(終値!Q365:AJ365)/AVERAGE(終値!Q365:AJ365),""))</f>
        <v/>
      </c>
      <c r="O365" s="503" t="str">
        <f>IF(終値!A365="","",IFERROR(4*STDEVP(終値!R365:AK365)/AVERAGE(終値!R365:AK365),""))</f>
        <v/>
      </c>
      <c r="P365" s="503" t="str">
        <f>IF(終値!A365="","",IFERROR(4*STDEVP(終値!S365:AL365)/AVERAGE(終値!S365:AL365),""))</f>
        <v/>
      </c>
      <c r="Q365" s="503" t="str">
        <f>IF(終値!A365="","",IFERROR(4*STDEVP(終値!T365:AM365)/AVERAGE(終値!T365:AM365),""))</f>
        <v/>
      </c>
      <c r="R365" s="503" t="str">
        <f>IF(終値!A365="","",IFERROR(4*STDEVP(終値!U365:AN365)/AVERAGE(終値!U365:AN365),""))</f>
        <v/>
      </c>
      <c r="S365" s="503" t="str">
        <f>IF(終値!A365="","",IFERROR(4*STDEVP(終値!V365:AO365)/AVERAGE(終値!V365:AO365),""))</f>
        <v/>
      </c>
      <c r="T365" s="503" t="str">
        <f>IF(終値!A365="","",IFERROR(4*STDEVP(終値!W365:AP365)/AVERAGE(終値!W365:AP365),""))</f>
        <v/>
      </c>
      <c r="U365" s="503" t="str">
        <f>IF(終値!A365="","",IFERROR(4*STDEVP(終値!X365:AQ365)/AVERAGE(終値!X365:AQ365),""))</f>
        <v/>
      </c>
      <c r="V365" s="503" t="str">
        <f>IF(終値!A365="","",IFERROR(4*STDEVP(終値!Y365:AR365)/AVERAGE(終値!Y365:AR365),""))</f>
        <v/>
      </c>
      <c r="W365" s="503" t="str">
        <f>IF(終値!A365="","",IFERROR(4*STDEVP(終値!Z365:AS365)/AVERAGE(終値!Z365:AS365),""))</f>
        <v/>
      </c>
      <c r="X365" s="503" t="str">
        <f>IF(終値!A365="","",IFERROR(4*STDEVP(終値!AA365:AT365)/AVERAGE(終値!AA365:AT365),""))</f>
        <v/>
      </c>
      <c r="Y365" s="503" t="str">
        <f>IF(終値!A365="","",IFERROR(4*STDEVP(終値!AB365:AU365)/AVERAGE(終値!AB365:AU365),""))</f>
        <v/>
      </c>
      <c r="Z365" s="503" t="str">
        <f>IF(終値!A365="","",IFERROR(4*STDEVP(終値!AC365:AV365)/AVERAGE(終値!AC365:AV365),""))</f>
        <v/>
      </c>
      <c r="AA365" s="503" t="str">
        <f>IF(終値!A365="","",IFERROR(4*STDEVP(終値!AD365:AW365)/AVERAGE(終値!AD365:AW365),""))</f>
        <v/>
      </c>
      <c r="AB365" s="503" t="str">
        <f>IF(終値!A365="","",IFERROR(4*STDEVP(終値!AE365:AX365)/AVERAGE(終値!AE365:AX365),""))</f>
        <v/>
      </c>
      <c r="AC365" s="503" t="str">
        <f>IF(終値!A365="","",IFERROR(4*STDEVP(終値!AF365:AY365)/AVERAGE(終値!AF365:AY365),""))</f>
        <v/>
      </c>
      <c r="AD365" s="503" t="str">
        <f>IF(終値!A365="","",IFERROR(4*STDEVP(終値!AG365:AZ365)/AVERAGE(終値!AG365:AZ365),""))</f>
        <v/>
      </c>
      <c r="AE365" s="503" t="str">
        <f>IF(終値!A365="","",IFERROR(4*STDEVP(終値!AH365:BA365)/AVERAGE(終値!AH365:BA365),""))</f>
        <v/>
      </c>
      <c r="AF365" s="503" t="str">
        <f>IF(終値!A365="","",IFERROR(4*STDEVP(終値!AI365:BB365)/AVERAGE(終値!AI365:BB365),""))</f>
        <v/>
      </c>
      <c r="AG365" s="503" t="str">
        <f>IF(終値!A365="","",IFERROR(4*STDEVP(終値!AJ365:BC365)/AVERAGE(終値!AJ365:BC365),""))</f>
        <v/>
      </c>
      <c r="AH365" s="503" t="str">
        <f>IF(終値!A365="","",IFERROR(4*STDEVP(終値!AK365:BD365)/AVERAGE(終値!AK365:BD365),""))</f>
        <v/>
      </c>
      <c r="AI365" s="503" t="str">
        <f>IF(終値!A365="","",IFERROR(4*STDEVP(終値!AL365:BE365)/AVERAGE(終値!AL365:BE365),""))</f>
        <v/>
      </c>
      <c r="AJ365" s="503" t="str">
        <f>IF(終値!A365="","",IFERROR(4*STDEVP(終値!AM365:BF365)/AVERAGE(終値!AM365:BF365),""))</f>
        <v/>
      </c>
      <c r="AK365" s="503" t="str">
        <f>IF(終値!A365="","",IFERROR(4*STDEVP(終値!AN365:BG365)/AVERAGE(終値!AN365:BG365),""))</f>
        <v/>
      </c>
      <c r="AL365" s="503" t="str">
        <f>IF(終値!A365="","",IFERROR(4*STDEVP(終値!AO365:BH365)/AVERAGE(終値!AO365:BH365),""))</f>
        <v/>
      </c>
      <c r="AM365" s="503" t="str">
        <f>IF(終値!A365="","",IFERROR(4*STDEVP(終値!AP365:BI365)/AVERAGE(終値!AP365:BI365),""))</f>
        <v/>
      </c>
      <c r="AN365" s="503" t="str">
        <f>IF(終値!A365="","",IFERROR(4*STDEVP(終値!AQ365:BJ365)/AVERAGE(終値!AQ365:BJ365),""))</f>
        <v/>
      </c>
      <c r="AO365" s="503" t="str">
        <f>IF(終値!A365="","",IFERROR(4*STDEVP(終値!AR365:BK365)/AVERAGE(終値!AR365:BK365),""))</f>
        <v/>
      </c>
      <c r="AP365" s="503" t="str">
        <f>IF(終値!A365="","",IFERROR(4*STDEVP(終値!AS365:BL365)/AVERAGE(終値!AS365:BL365),""))</f>
        <v/>
      </c>
    </row>
    <row r="366" spans="1:42">
      <c r="A366" s="500" t="str">
        <f>IF(終値!A366="","",終値!A366)</f>
        <v/>
      </c>
      <c r="B366" s="503" t="str">
        <f>IF(終値!A366="","",IFERROR(4*STDEVP(終値!E366:X366)/AVERAGE(終値!E366:X366),""))</f>
        <v/>
      </c>
      <c r="C366" s="503" t="str">
        <f>IF(終値!A366="","",IFERROR(4*STDEVP(終値!F366:Y366)/AVERAGE(終値!F366:Y366),""))</f>
        <v/>
      </c>
      <c r="D366" s="503" t="str">
        <f>IF(終値!A366="","",IFERROR(4*STDEVP(終値!G366:Z366)/AVERAGE(終値!G366:Z366),""))</f>
        <v/>
      </c>
      <c r="E366" s="503" t="str">
        <f>IF(終値!A366="","",IFERROR(4*STDEVP(終値!H366:AA366)/AVERAGE(終値!H366:AA366),""))</f>
        <v/>
      </c>
      <c r="F366" s="503" t="str">
        <f>IF(終値!A366="","",IFERROR(4*STDEVP(終値!I366:AB366)/AVERAGE(終値!I366:AB366),""))</f>
        <v/>
      </c>
      <c r="G366" s="503" t="str">
        <f>IF(終値!A366="","",IFERROR(4*STDEVP(終値!J366:AC366)/AVERAGE(終値!J366:AC366),""))</f>
        <v/>
      </c>
      <c r="H366" s="503" t="str">
        <f>IF(終値!A366="","",IFERROR(4*STDEVP(終値!K366:AD366)/AVERAGE(終値!K366:AD366),""))</f>
        <v/>
      </c>
      <c r="I366" s="503" t="str">
        <f>IF(終値!A366="","",IFERROR(4*STDEVP(終値!L366:AE366)/AVERAGE(終値!L366:AE366),""))</f>
        <v/>
      </c>
      <c r="J366" s="503" t="str">
        <f>IF(終値!A366="","",IFERROR(4*STDEVP(終値!M366:AF366)/AVERAGE(終値!M366:AF366),""))</f>
        <v/>
      </c>
      <c r="K366" s="503" t="str">
        <f>IF(終値!A366="","",IFERROR(4*STDEVP(終値!N366:AG366)/AVERAGE(終値!N366:AG366),""))</f>
        <v/>
      </c>
      <c r="L366" s="503" t="str">
        <f>IF(終値!A366="","",IFERROR(4*STDEVP(終値!O366:AH366)/AVERAGE(終値!O366:AH366),""))</f>
        <v/>
      </c>
      <c r="M366" s="503" t="str">
        <f>IF(終値!A366="","",IFERROR(4*STDEVP(終値!P366:AI366)/AVERAGE(終値!P366:AI366),""))</f>
        <v/>
      </c>
      <c r="N366" s="503" t="str">
        <f>IF(終値!A366="","",IFERROR(4*STDEVP(終値!Q366:AJ366)/AVERAGE(終値!Q366:AJ366),""))</f>
        <v/>
      </c>
      <c r="O366" s="503" t="str">
        <f>IF(終値!A366="","",IFERROR(4*STDEVP(終値!R366:AK366)/AVERAGE(終値!R366:AK366),""))</f>
        <v/>
      </c>
      <c r="P366" s="503" t="str">
        <f>IF(終値!A366="","",IFERROR(4*STDEVP(終値!S366:AL366)/AVERAGE(終値!S366:AL366),""))</f>
        <v/>
      </c>
      <c r="Q366" s="503" t="str">
        <f>IF(終値!A366="","",IFERROR(4*STDEVP(終値!T366:AM366)/AVERAGE(終値!T366:AM366),""))</f>
        <v/>
      </c>
      <c r="R366" s="503" t="str">
        <f>IF(終値!A366="","",IFERROR(4*STDEVP(終値!U366:AN366)/AVERAGE(終値!U366:AN366),""))</f>
        <v/>
      </c>
      <c r="S366" s="503" t="str">
        <f>IF(終値!A366="","",IFERROR(4*STDEVP(終値!V366:AO366)/AVERAGE(終値!V366:AO366),""))</f>
        <v/>
      </c>
      <c r="T366" s="503" t="str">
        <f>IF(終値!A366="","",IFERROR(4*STDEVP(終値!W366:AP366)/AVERAGE(終値!W366:AP366),""))</f>
        <v/>
      </c>
      <c r="U366" s="503" t="str">
        <f>IF(終値!A366="","",IFERROR(4*STDEVP(終値!X366:AQ366)/AVERAGE(終値!X366:AQ366),""))</f>
        <v/>
      </c>
      <c r="V366" s="503" t="str">
        <f>IF(終値!A366="","",IFERROR(4*STDEVP(終値!Y366:AR366)/AVERAGE(終値!Y366:AR366),""))</f>
        <v/>
      </c>
      <c r="W366" s="503" t="str">
        <f>IF(終値!A366="","",IFERROR(4*STDEVP(終値!Z366:AS366)/AVERAGE(終値!Z366:AS366),""))</f>
        <v/>
      </c>
      <c r="X366" s="503" t="str">
        <f>IF(終値!A366="","",IFERROR(4*STDEVP(終値!AA366:AT366)/AVERAGE(終値!AA366:AT366),""))</f>
        <v/>
      </c>
      <c r="Y366" s="503" t="str">
        <f>IF(終値!A366="","",IFERROR(4*STDEVP(終値!AB366:AU366)/AVERAGE(終値!AB366:AU366),""))</f>
        <v/>
      </c>
      <c r="Z366" s="503" t="str">
        <f>IF(終値!A366="","",IFERROR(4*STDEVP(終値!AC366:AV366)/AVERAGE(終値!AC366:AV366),""))</f>
        <v/>
      </c>
      <c r="AA366" s="503" t="str">
        <f>IF(終値!A366="","",IFERROR(4*STDEVP(終値!AD366:AW366)/AVERAGE(終値!AD366:AW366),""))</f>
        <v/>
      </c>
      <c r="AB366" s="503" t="str">
        <f>IF(終値!A366="","",IFERROR(4*STDEVP(終値!AE366:AX366)/AVERAGE(終値!AE366:AX366),""))</f>
        <v/>
      </c>
      <c r="AC366" s="503" t="str">
        <f>IF(終値!A366="","",IFERROR(4*STDEVP(終値!AF366:AY366)/AVERAGE(終値!AF366:AY366),""))</f>
        <v/>
      </c>
      <c r="AD366" s="503" t="str">
        <f>IF(終値!A366="","",IFERROR(4*STDEVP(終値!AG366:AZ366)/AVERAGE(終値!AG366:AZ366),""))</f>
        <v/>
      </c>
      <c r="AE366" s="503" t="str">
        <f>IF(終値!A366="","",IFERROR(4*STDEVP(終値!AH366:BA366)/AVERAGE(終値!AH366:BA366),""))</f>
        <v/>
      </c>
      <c r="AF366" s="503" t="str">
        <f>IF(終値!A366="","",IFERROR(4*STDEVP(終値!AI366:BB366)/AVERAGE(終値!AI366:BB366),""))</f>
        <v/>
      </c>
      <c r="AG366" s="503" t="str">
        <f>IF(終値!A366="","",IFERROR(4*STDEVP(終値!AJ366:BC366)/AVERAGE(終値!AJ366:BC366),""))</f>
        <v/>
      </c>
      <c r="AH366" s="503" t="str">
        <f>IF(終値!A366="","",IFERROR(4*STDEVP(終値!AK366:BD366)/AVERAGE(終値!AK366:BD366),""))</f>
        <v/>
      </c>
      <c r="AI366" s="503" t="str">
        <f>IF(終値!A366="","",IFERROR(4*STDEVP(終値!AL366:BE366)/AVERAGE(終値!AL366:BE366),""))</f>
        <v/>
      </c>
      <c r="AJ366" s="503" t="str">
        <f>IF(終値!A366="","",IFERROR(4*STDEVP(終値!AM366:BF366)/AVERAGE(終値!AM366:BF366),""))</f>
        <v/>
      </c>
      <c r="AK366" s="503" t="str">
        <f>IF(終値!A366="","",IFERROR(4*STDEVP(終値!AN366:BG366)/AVERAGE(終値!AN366:BG366),""))</f>
        <v/>
      </c>
      <c r="AL366" s="503" t="str">
        <f>IF(終値!A366="","",IFERROR(4*STDEVP(終値!AO366:BH366)/AVERAGE(終値!AO366:BH366),""))</f>
        <v/>
      </c>
      <c r="AM366" s="503" t="str">
        <f>IF(終値!A366="","",IFERROR(4*STDEVP(終値!AP366:BI366)/AVERAGE(終値!AP366:BI366),""))</f>
        <v/>
      </c>
      <c r="AN366" s="503" t="str">
        <f>IF(終値!A366="","",IFERROR(4*STDEVP(終値!AQ366:BJ366)/AVERAGE(終値!AQ366:BJ366),""))</f>
        <v/>
      </c>
      <c r="AO366" s="503" t="str">
        <f>IF(終値!A366="","",IFERROR(4*STDEVP(終値!AR366:BK366)/AVERAGE(終値!AR366:BK366),""))</f>
        <v/>
      </c>
      <c r="AP366" s="503" t="str">
        <f>IF(終値!A366="","",IFERROR(4*STDEVP(終値!AS366:BL366)/AVERAGE(終値!AS366:BL366),""))</f>
        <v/>
      </c>
    </row>
    <row r="367" spans="1:42">
      <c r="A367" s="500" t="str">
        <f>IF(終値!A367="","",終値!A367)</f>
        <v/>
      </c>
      <c r="B367" s="503" t="str">
        <f>IF(終値!A367="","",IFERROR(4*STDEVP(終値!E367:X367)/AVERAGE(終値!E367:X367),""))</f>
        <v/>
      </c>
      <c r="C367" s="503" t="str">
        <f>IF(終値!A367="","",IFERROR(4*STDEVP(終値!F367:Y367)/AVERAGE(終値!F367:Y367),""))</f>
        <v/>
      </c>
      <c r="D367" s="503" t="str">
        <f>IF(終値!A367="","",IFERROR(4*STDEVP(終値!G367:Z367)/AVERAGE(終値!G367:Z367),""))</f>
        <v/>
      </c>
      <c r="E367" s="503" t="str">
        <f>IF(終値!A367="","",IFERROR(4*STDEVP(終値!H367:AA367)/AVERAGE(終値!H367:AA367),""))</f>
        <v/>
      </c>
      <c r="F367" s="503" t="str">
        <f>IF(終値!A367="","",IFERROR(4*STDEVP(終値!I367:AB367)/AVERAGE(終値!I367:AB367),""))</f>
        <v/>
      </c>
      <c r="G367" s="503" t="str">
        <f>IF(終値!A367="","",IFERROR(4*STDEVP(終値!J367:AC367)/AVERAGE(終値!J367:AC367),""))</f>
        <v/>
      </c>
      <c r="H367" s="503" t="str">
        <f>IF(終値!A367="","",IFERROR(4*STDEVP(終値!K367:AD367)/AVERAGE(終値!K367:AD367),""))</f>
        <v/>
      </c>
      <c r="I367" s="503" t="str">
        <f>IF(終値!A367="","",IFERROR(4*STDEVP(終値!L367:AE367)/AVERAGE(終値!L367:AE367),""))</f>
        <v/>
      </c>
      <c r="J367" s="503" t="str">
        <f>IF(終値!A367="","",IFERROR(4*STDEVP(終値!M367:AF367)/AVERAGE(終値!M367:AF367),""))</f>
        <v/>
      </c>
      <c r="K367" s="503" t="str">
        <f>IF(終値!A367="","",IFERROR(4*STDEVP(終値!N367:AG367)/AVERAGE(終値!N367:AG367),""))</f>
        <v/>
      </c>
      <c r="L367" s="503" t="str">
        <f>IF(終値!A367="","",IFERROR(4*STDEVP(終値!O367:AH367)/AVERAGE(終値!O367:AH367),""))</f>
        <v/>
      </c>
      <c r="M367" s="503" t="str">
        <f>IF(終値!A367="","",IFERROR(4*STDEVP(終値!P367:AI367)/AVERAGE(終値!P367:AI367),""))</f>
        <v/>
      </c>
      <c r="N367" s="503" t="str">
        <f>IF(終値!A367="","",IFERROR(4*STDEVP(終値!Q367:AJ367)/AVERAGE(終値!Q367:AJ367),""))</f>
        <v/>
      </c>
      <c r="O367" s="503" t="str">
        <f>IF(終値!A367="","",IFERROR(4*STDEVP(終値!R367:AK367)/AVERAGE(終値!R367:AK367),""))</f>
        <v/>
      </c>
      <c r="P367" s="503" t="str">
        <f>IF(終値!A367="","",IFERROR(4*STDEVP(終値!S367:AL367)/AVERAGE(終値!S367:AL367),""))</f>
        <v/>
      </c>
      <c r="Q367" s="503" t="str">
        <f>IF(終値!A367="","",IFERROR(4*STDEVP(終値!T367:AM367)/AVERAGE(終値!T367:AM367),""))</f>
        <v/>
      </c>
      <c r="R367" s="503" t="str">
        <f>IF(終値!A367="","",IFERROR(4*STDEVP(終値!U367:AN367)/AVERAGE(終値!U367:AN367),""))</f>
        <v/>
      </c>
      <c r="S367" s="503" t="str">
        <f>IF(終値!A367="","",IFERROR(4*STDEVP(終値!V367:AO367)/AVERAGE(終値!V367:AO367),""))</f>
        <v/>
      </c>
      <c r="T367" s="503" t="str">
        <f>IF(終値!A367="","",IFERROR(4*STDEVP(終値!W367:AP367)/AVERAGE(終値!W367:AP367),""))</f>
        <v/>
      </c>
      <c r="U367" s="503" t="str">
        <f>IF(終値!A367="","",IFERROR(4*STDEVP(終値!X367:AQ367)/AVERAGE(終値!X367:AQ367),""))</f>
        <v/>
      </c>
      <c r="V367" s="503" t="str">
        <f>IF(終値!A367="","",IFERROR(4*STDEVP(終値!Y367:AR367)/AVERAGE(終値!Y367:AR367),""))</f>
        <v/>
      </c>
      <c r="W367" s="503" t="str">
        <f>IF(終値!A367="","",IFERROR(4*STDEVP(終値!Z367:AS367)/AVERAGE(終値!Z367:AS367),""))</f>
        <v/>
      </c>
      <c r="X367" s="503" t="str">
        <f>IF(終値!A367="","",IFERROR(4*STDEVP(終値!AA367:AT367)/AVERAGE(終値!AA367:AT367),""))</f>
        <v/>
      </c>
      <c r="Y367" s="503" t="str">
        <f>IF(終値!A367="","",IFERROR(4*STDEVP(終値!AB367:AU367)/AVERAGE(終値!AB367:AU367),""))</f>
        <v/>
      </c>
      <c r="Z367" s="503" t="str">
        <f>IF(終値!A367="","",IFERROR(4*STDEVP(終値!AC367:AV367)/AVERAGE(終値!AC367:AV367),""))</f>
        <v/>
      </c>
      <c r="AA367" s="503" t="str">
        <f>IF(終値!A367="","",IFERROR(4*STDEVP(終値!AD367:AW367)/AVERAGE(終値!AD367:AW367),""))</f>
        <v/>
      </c>
      <c r="AB367" s="503" t="str">
        <f>IF(終値!A367="","",IFERROR(4*STDEVP(終値!AE367:AX367)/AVERAGE(終値!AE367:AX367),""))</f>
        <v/>
      </c>
      <c r="AC367" s="503" t="str">
        <f>IF(終値!A367="","",IFERROR(4*STDEVP(終値!AF367:AY367)/AVERAGE(終値!AF367:AY367),""))</f>
        <v/>
      </c>
      <c r="AD367" s="503" t="str">
        <f>IF(終値!A367="","",IFERROR(4*STDEVP(終値!AG367:AZ367)/AVERAGE(終値!AG367:AZ367),""))</f>
        <v/>
      </c>
      <c r="AE367" s="503" t="str">
        <f>IF(終値!A367="","",IFERROR(4*STDEVP(終値!AH367:BA367)/AVERAGE(終値!AH367:BA367),""))</f>
        <v/>
      </c>
      <c r="AF367" s="503" t="str">
        <f>IF(終値!A367="","",IFERROR(4*STDEVP(終値!AI367:BB367)/AVERAGE(終値!AI367:BB367),""))</f>
        <v/>
      </c>
      <c r="AG367" s="503" t="str">
        <f>IF(終値!A367="","",IFERROR(4*STDEVP(終値!AJ367:BC367)/AVERAGE(終値!AJ367:BC367),""))</f>
        <v/>
      </c>
      <c r="AH367" s="503" t="str">
        <f>IF(終値!A367="","",IFERROR(4*STDEVP(終値!AK367:BD367)/AVERAGE(終値!AK367:BD367),""))</f>
        <v/>
      </c>
      <c r="AI367" s="503" t="str">
        <f>IF(終値!A367="","",IFERROR(4*STDEVP(終値!AL367:BE367)/AVERAGE(終値!AL367:BE367),""))</f>
        <v/>
      </c>
      <c r="AJ367" s="503" t="str">
        <f>IF(終値!A367="","",IFERROR(4*STDEVP(終値!AM367:BF367)/AVERAGE(終値!AM367:BF367),""))</f>
        <v/>
      </c>
      <c r="AK367" s="503" t="str">
        <f>IF(終値!A367="","",IFERROR(4*STDEVP(終値!AN367:BG367)/AVERAGE(終値!AN367:BG367),""))</f>
        <v/>
      </c>
      <c r="AL367" s="503" t="str">
        <f>IF(終値!A367="","",IFERROR(4*STDEVP(終値!AO367:BH367)/AVERAGE(終値!AO367:BH367),""))</f>
        <v/>
      </c>
      <c r="AM367" s="503" t="str">
        <f>IF(終値!A367="","",IFERROR(4*STDEVP(終値!AP367:BI367)/AVERAGE(終値!AP367:BI367),""))</f>
        <v/>
      </c>
      <c r="AN367" s="503" t="str">
        <f>IF(終値!A367="","",IFERROR(4*STDEVP(終値!AQ367:BJ367)/AVERAGE(終値!AQ367:BJ367),""))</f>
        <v/>
      </c>
      <c r="AO367" s="503" t="str">
        <f>IF(終値!A367="","",IFERROR(4*STDEVP(終値!AR367:BK367)/AVERAGE(終値!AR367:BK367),""))</f>
        <v/>
      </c>
      <c r="AP367" s="503" t="str">
        <f>IF(終値!A367="","",IFERROR(4*STDEVP(終値!AS367:BL367)/AVERAGE(終値!AS367:BL367),""))</f>
        <v/>
      </c>
    </row>
    <row r="368" spans="1:42">
      <c r="A368" s="500" t="str">
        <f>IF(終値!A368="","",終値!A368)</f>
        <v/>
      </c>
      <c r="B368" s="503" t="str">
        <f>IF(終値!A368="","",IFERROR(4*STDEVP(終値!E368:X368)/AVERAGE(終値!E368:X368),""))</f>
        <v/>
      </c>
      <c r="C368" s="503" t="str">
        <f>IF(終値!A368="","",IFERROR(4*STDEVP(終値!F368:Y368)/AVERAGE(終値!F368:Y368),""))</f>
        <v/>
      </c>
      <c r="D368" s="503" t="str">
        <f>IF(終値!A368="","",IFERROR(4*STDEVP(終値!G368:Z368)/AVERAGE(終値!G368:Z368),""))</f>
        <v/>
      </c>
      <c r="E368" s="503" t="str">
        <f>IF(終値!A368="","",IFERROR(4*STDEVP(終値!H368:AA368)/AVERAGE(終値!H368:AA368),""))</f>
        <v/>
      </c>
      <c r="F368" s="503" t="str">
        <f>IF(終値!A368="","",IFERROR(4*STDEVP(終値!I368:AB368)/AVERAGE(終値!I368:AB368),""))</f>
        <v/>
      </c>
      <c r="G368" s="503" t="str">
        <f>IF(終値!A368="","",IFERROR(4*STDEVP(終値!J368:AC368)/AVERAGE(終値!J368:AC368),""))</f>
        <v/>
      </c>
      <c r="H368" s="503" t="str">
        <f>IF(終値!A368="","",IFERROR(4*STDEVP(終値!K368:AD368)/AVERAGE(終値!K368:AD368),""))</f>
        <v/>
      </c>
      <c r="I368" s="503" t="str">
        <f>IF(終値!A368="","",IFERROR(4*STDEVP(終値!L368:AE368)/AVERAGE(終値!L368:AE368),""))</f>
        <v/>
      </c>
      <c r="J368" s="503" t="str">
        <f>IF(終値!A368="","",IFERROR(4*STDEVP(終値!M368:AF368)/AVERAGE(終値!M368:AF368),""))</f>
        <v/>
      </c>
      <c r="K368" s="503" t="str">
        <f>IF(終値!A368="","",IFERROR(4*STDEVP(終値!N368:AG368)/AVERAGE(終値!N368:AG368),""))</f>
        <v/>
      </c>
      <c r="L368" s="503" t="str">
        <f>IF(終値!A368="","",IFERROR(4*STDEVP(終値!O368:AH368)/AVERAGE(終値!O368:AH368),""))</f>
        <v/>
      </c>
      <c r="M368" s="503" t="str">
        <f>IF(終値!A368="","",IFERROR(4*STDEVP(終値!P368:AI368)/AVERAGE(終値!P368:AI368),""))</f>
        <v/>
      </c>
      <c r="N368" s="503" t="str">
        <f>IF(終値!A368="","",IFERROR(4*STDEVP(終値!Q368:AJ368)/AVERAGE(終値!Q368:AJ368),""))</f>
        <v/>
      </c>
      <c r="O368" s="503" t="str">
        <f>IF(終値!A368="","",IFERROR(4*STDEVP(終値!R368:AK368)/AVERAGE(終値!R368:AK368),""))</f>
        <v/>
      </c>
      <c r="P368" s="503" t="str">
        <f>IF(終値!A368="","",IFERROR(4*STDEVP(終値!S368:AL368)/AVERAGE(終値!S368:AL368),""))</f>
        <v/>
      </c>
      <c r="Q368" s="503" t="str">
        <f>IF(終値!A368="","",IFERROR(4*STDEVP(終値!T368:AM368)/AVERAGE(終値!T368:AM368),""))</f>
        <v/>
      </c>
      <c r="R368" s="503" t="str">
        <f>IF(終値!A368="","",IFERROR(4*STDEVP(終値!U368:AN368)/AVERAGE(終値!U368:AN368),""))</f>
        <v/>
      </c>
      <c r="S368" s="503" t="str">
        <f>IF(終値!A368="","",IFERROR(4*STDEVP(終値!V368:AO368)/AVERAGE(終値!V368:AO368),""))</f>
        <v/>
      </c>
      <c r="T368" s="503" t="str">
        <f>IF(終値!A368="","",IFERROR(4*STDEVP(終値!W368:AP368)/AVERAGE(終値!W368:AP368),""))</f>
        <v/>
      </c>
      <c r="U368" s="503" t="str">
        <f>IF(終値!A368="","",IFERROR(4*STDEVP(終値!X368:AQ368)/AVERAGE(終値!X368:AQ368),""))</f>
        <v/>
      </c>
      <c r="V368" s="503" t="str">
        <f>IF(終値!A368="","",IFERROR(4*STDEVP(終値!Y368:AR368)/AVERAGE(終値!Y368:AR368),""))</f>
        <v/>
      </c>
      <c r="W368" s="503" t="str">
        <f>IF(終値!A368="","",IFERROR(4*STDEVP(終値!Z368:AS368)/AVERAGE(終値!Z368:AS368),""))</f>
        <v/>
      </c>
      <c r="X368" s="503" t="str">
        <f>IF(終値!A368="","",IFERROR(4*STDEVP(終値!AA368:AT368)/AVERAGE(終値!AA368:AT368),""))</f>
        <v/>
      </c>
      <c r="Y368" s="503" t="str">
        <f>IF(終値!A368="","",IFERROR(4*STDEVP(終値!AB368:AU368)/AVERAGE(終値!AB368:AU368),""))</f>
        <v/>
      </c>
      <c r="Z368" s="503" t="str">
        <f>IF(終値!A368="","",IFERROR(4*STDEVP(終値!AC368:AV368)/AVERAGE(終値!AC368:AV368),""))</f>
        <v/>
      </c>
      <c r="AA368" s="503" t="str">
        <f>IF(終値!A368="","",IFERROR(4*STDEVP(終値!AD368:AW368)/AVERAGE(終値!AD368:AW368),""))</f>
        <v/>
      </c>
      <c r="AB368" s="503" t="str">
        <f>IF(終値!A368="","",IFERROR(4*STDEVP(終値!AE368:AX368)/AVERAGE(終値!AE368:AX368),""))</f>
        <v/>
      </c>
      <c r="AC368" s="503" t="str">
        <f>IF(終値!A368="","",IFERROR(4*STDEVP(終値!AF368:AY368)/AVERAGE(終値!AF368:AY368),""))</f>
        <v/>
      </c>
      <c r="AD368" s="503" t="str">
        <f>IF(終値!A368="","",IFERROR(4*STDEVP(終値!AG368:AZ368)/AVERAGE(終値!AG368:AZ368),""))</f>
        <v/>
      </c>
      <c r="AE368" s="503" t="str">
        <f>IF(終値!A368="","",IFERROR(4*STDEVP(終値!AH368:BA368)/AVERAGE(終値!AH368:BA368),""))</f>
        <v/>
      </c>
      <c r="AF368" s="503" t="str">
        <f>IF(終値!A368="","",IFERROR(4*STDEVP(終値!AI368:BB368)/AVERAGE(終値!AI368:BB368),""))</f>
        <v/>
      </c>
      <c r="AG368" s="503" t="str">
        <f>IF(終値!A368="","",IFERROR(4*STDEVP(終値!AJ368:BC368)/AVERAGE(終値!AJ368:BC368),""))</f>
        <v/>
      </c>
      <c r="AH368" s="503" t="str">
        <f>IF(終値!A368="","",IFERROR(4*STDEVP(終値!AK368:BD368)/AVERAGE(終値!AK368:BD368),""))</f>
        <v/>
      </c>
      <c r="AI368" s="503" t="str">
        <f>IF(終値!A368="","",IFERROR(4*STDEVP(終値!AL368:BE368)/AVERAGE(終値!AL368:BE368),""))</f>
        <v/>
      </c>
      <c r="AJ368" s="503" t="str">
        <f>IF(終値!A368="","",IFERROR(4*STDEVP(終値!AM368:BF368)/AVERAGE(終値!AM368:BF368),""))</f>
        <v/>
      </c>
      <c r="AK368" s="503" t="str">
        <f>IF(終値!A368="","",IFERROR(4*STDEVP(終値!AN368:BG368)/AVERAGE(終値!AN368:BG368),""))</f>
        <v/>
      </c>
      <c r="AL368" s="503" t="str">
        <f>IF(終値!A368="","",IFERROR(4*STDEVP(終値!AO368:BH368)/AVERAGE(終値!AO368:BH368),""))</f>
        <v/>
      </c>
      <c r="AM368" s="503" t="str">
        <f>IF(終値!A368="","",IFERROR(4*STDEVP(終値!AP368:BI368)/AVERAGE(終値!AP368:BI368),""))</f>
        <v/>
      </c>
      <c r="AN368" s="503" t="str">
        <f>IF(終値!A368="","",IFERROR(4*STDEVP(終値!AQ368:BJ368)/AVERAGE(終値!AQ368:BJ368),""))</f>
        <v/>
      </c>
      <c r="AO368" s="503" t="str">
        <f>IF(終値!A368="","",IFERROR(4*STDEVP(終値!AR368:BK368)/AVERAGE(終値!AR368:BK368),""))</f>
        <v/>
      </c>
      <c r="AP368" s="503" t="str">
        <f>IF(終値!A368="","",IFERROR(4*STDEVP(終値!AS368:BL368)/AVERAGE(終値!AS368:BL368),""))</f>
        <v/>
      </c>
    </row>
    <row r="369" spans="1:42">
      <c r="A369" s="500" t="str">
        <f>IF(終値!A369="","",終値!A369)</f>
        <v/>
      </c>
      <c r="B369" s="503" t="str">
        <f>IF(終値!A369="","",IFERROR(4*STDEVP(終値!E369:X369)/AVERAGE(終値!E369:X369),""))</f>
        <v/>
      </c>
      <c r="C369" s="503" t="str">
        <f>IF(終値!A369="","",IFERROR(4*STDEVP(終値!F369:Y369)/AVERAGE(終値!F369:Y369),""))</f>
        <v/>
      </c>
      <c r="D369" s="503" t="str">
        <f>IF(終値!A369="","",IFERROR(4*STDEVP(終値!G369:Z369)/AVERAGE(終値!G369:Z369),""))</f>
        <v/>
      </c>
      <c r="E369" s="503" t="str">
        <f>IF(終値!A369="","",IFERROR(4*STDEVP(終値!H369:AA369)/AVERAGE(終値!H369:AA369),""))</f>
        <v/>
      </c>
      <c r="F369" s="503" t="str">
        <f>IF(終値!A369="","",IFERROR(4*STDEVP(終値!I369:AB369)/AVERAGE(終値!I369:AB369),""))</f>
        <v/>
      </c>
      <c r="G369" s="503" t="str">
        <f>IF(終値!A369="","",IFERROR(4*STDEVP(終値!J369:AC369)/AVERAGE(終値!J369:AC369),""))</f>
        <v/>
      </c>
      <c r="H369" s="503" t="str">
        <f>IF(終値!A369="","",IFERROR(4*STDEVP(終値!K369:AD369)/AVERAGE(終値!K369:AD369),""))</f>
        <v/>
      </c>
      <c r="I369" s="503" t="str">
        <f>IF(終値!A369="","",IFERROR(4*STDEVP(終値!L369:AE369)/AVERAGE(終値!L369:AE369),""))</f>
        <v/>
      </c>
      <c r="J369" s="503" t="str">
        <f>IF(終値!A369="","",IFERROR(4*STDEVP(終値!M369:AF369)/AVERAGE(終値!M369:AF369),""))</f>
        <v/>
      </c>
      <c r="K369" s="503" t="str">
        <f>IF(終値!A369="","",IFERROR(4*STDEVP(終値!N369:AG369)/AVERAGE(終値!N369:AG369),""))</f>
        <v/>
      </c>
      <c r="L369" s="503" t="str">
        <f>IF(終値!A369="","",IFERROR(4*STDEVP(終値!O369:AH369)/AVERAGE(終値!O369:AH369),""))</f>
        <v/>
      </c>
      <c r="M369" s="503" t="str">
        <f>IF(終値!A369="","",IFERROR(4*STDEVP(終値!P369:AI369)/AVERAGE(終値!P369:AI369),""))</f>
        <v/>
      </c>
      <c r="N369" s="503" t="str">
        <f>IF(終値!A369="","",IFERROR(4*STDEVP(終値!Q369:AJ369)/AVERAGE(終値!Q369:AJ369),""))</f>
        <v/>
      </c>
      <c r="O369" s="503" t="str">
        <f>IF(終値!A369="","",IFERROR(4*STDEVP(終値!R369:AK369)/AVERAGE(終値!R369:AK369),""))</f>
        <v/>
      </c>
      <c r="P369" s="503" t="str">
        <f>IF(終値!A369="","",IFERROR(4*STDEVP(終値!S369:AL369)/AVERAGE(終値!S369:AL369),""))</f>
        <v/>
      </c>
      <c r="Q369" s="503" t="str">
        <f>IF(終値!A369="","",IFERROR(4*STDEVP(終値!T369:AM369)/AVERAGE(終値!T369:AM369),""))</f>
        <v/>
      </c>
      <c r="R369" s="503" t="str">
        <f>IF(終値!A369="","",IFERROR(4*STDEVP(終値!U369:AN369)/AVERAGE(終値!U369:AN369),""))</f>
        <v/>
      </c>
      <c r="S369" s="503" t="str">
        <f>IF(終値!A369="","",IFERROR(4*STDEVP(終値!V369:AO369)/AVERAGE(終値!V369:AO369),""))</f>
        <v/>
      </c>
      <c r="T369" s="503" t="str">
        <f>IF(終値!A369="","",IFERROR(4*STDEVP(終値!W369:AP369)/AVERAGE(終値!W369:AP369),""))</f>
        <v/>
      </c>
      <c r="U369" s="503" t="str">
        <f>IF(終値!A369="","",IFERROR(4*STDEVP(終値!X369:AQ369)/AVERAGE(終値!X369:AQ369),""))</f>
        <v/>
      </c>
      <c r="V369" s="503" t="str">
        <f>IF(終値!A369="","",IFERROR(4*STDEVP(終値!Y369:AR369)/AVERAGE(終値!Y369:AR369),""))</f>
        <v/>
      </c>
      <c r="W369" s="503" t="str">
        <f>IF(終値!A369="","",IFERROR(4*STDEVP(終値!Z369:AS369)/AVERAGE(終値!Z369:AS369),""))</f>
        <v/>
      </c>
      <c r="X369" s="503" t="str">
        <f>IF(終値!A369="","",IFERROR(4*STDEVP(終値!AA369:AT369)/AVERAGE(終値!AA369:AT369),""))</f>
        <v/>
      </c>
      <c r="Y369" s="503" t="str">
        <f>IF(終値!A369="","",IFERROR(4*STDEVP(終値!AB369:AU369)/AVERAGE(終値!AB369:AU369),""))</f>
        <v/>
      </c>
      <c r="Z369" s="503" t="str">
        <f>IF(終値!A369="","",IFERROR(4*STDEVP(終値!AC369:AV369)/AVERAGE(終値!AC369:AV369),""))</f>
        <v/>
      </c>
      <c r="AA369" s="503" t="str">
        <f>IF(終値!A369="","",IFERROR(4*STDEVP(終値!AD369:AW369)/AVERAGE(終値!AD369:AW369),""))</f>
        <v/>
      </c>
      <c r="AB369" s="503" t="str">
        <f>IF(終値!A369="","",IFERROR(4*STDEVP(終値!AE369:AX369)/AVERAGE(終値!AE369:AX369),""))</f>
        <v/>
      </c>
      <c r="AC369" s="503" t="str">
        <f>IF(終値!A369="","",IFERROR(4*STDEVP(終値!AF369:AY369)/AVERAGE(終値!AF369:AY369),""))</f>
        <v/>
      </c>
      <c r="AD369" s="503" t="str">
        <f>IF(終値!A369="","",IFERROR(4*STDEVP(終値!AG369:AZ369)/AVERAGE(終値!AG369:AZ369),""))</f>
        <v/>
      </c>
      <c r="AE369" s="503" t="str">
        <f>IF(終値!A369="","",IFERROR(4*STDEVP(終値!AH369:BA369)/AVERAGE(終値!AH369:BA369),""))</f>
        <v/>
      </c>
      <c r="AF369" s="503" t="str">
        <f>IF(終値!A369="","",IFERROR(4*STDEVP(終値!AI369:BB369)/AVERAGE(終値!AI369:BB369),""))</f>
        <v/>
      </c>
      <c r="AG369" s="503" t="str">
        <f>IF(終値!A369="","",IFERROR(4*STDEVP(終値!AJ369:BC369)/AVERAGE(終値!AJ369:BC369),""))</f>
        <v/>
      </c>
      <c r="AH369" s="503" t="str">
        <f>IF(終値!A369="","",IFERROR(4*STDEVP(終値!AK369:BD369)/AVERAGE(終値!AK369:BD369),""))</f>
        <v/>
      </c>
      <c r="AI369" s="503" t="str">
        <f>IF(終値!A369="","",IFERROR(4*STDEVP(終値!AL369:BE369)/AVERAGE(終値!AL369:BE369),""))</f>
        <v/>
      </c>
      <c r="AJ369" s="503" t="str">
        <f>IF(終値!A369="","",IFERROR(4*STDEVP(終値!AM369:BF369)/AVERAGE(終値!AM369:BF369),""))</f>
        <v/>
      </c>
      <c r="AK369" s="503" t="str">
        <f>IF(終値!A369="","",IFERROR(4*STDEVP(終値!AN369:BG369)/AVERAGE(終値!AN369:BG369),""))</f>
        <v/>
      </c>
      <c r="AL369" s="503" t="str">
        <f>IF(終値!A369="","",IFERROR(4*STDEVP(終値!AO369:BH369)/AVERAGE(終値!AO369:BH369),""))</f>
        <v/>
      </c>
      <c r="AM369" s="503" t="str">
        <f>IF(終値!A369="","",IFERROR(4*STDEVP(終値!AP369:BI369)/AVERAGE(終値!AP369:BI369),""))</f>
        <v/>
      </c>
      <c r="AN369" s="503" t="str">
        <f>IF(終値!A369="","",IFERROR(4*STDEVP(終値!AQ369:BJ369)/AVERAGE(終値!AQ369:BJ369),""))</f>
        <v/>
      </c>
      <c r="AO369" s="503" t="str">
        <f>IF(終値!A369="","",IFERROR(4*STDEVP(終値!AR369:BK369)/AVERAGE(終値!AR369:BK369),""))</f>
        <v/>
      </c>
      <c r="AP369" s="503" t="str">
        <f>IF(終値!A369="","",IFERROR(4*STDEVP(終値!AS369:BL369)/AVERAGE(終値!AS369:BL369),""))</f>
        <v/>
      </c>
    </row>
    <row r="370" spans="1:42">
      <c r="A370" s="500" t="str">
        <f>IF(終値!A370="","",終値!A370)</f>
        <v/>
      </c>
      <c r="B370" s="503" t="str">
        <f>IF(終値!A370="","",IFERROR(4*STDEVP(終値!E370:X370)/AVERAGE(終値!E370:X370),""))</f>
        <v/>
      </c>
      <c r="C370" s="503" t="str">
        <f>IF(終値!A370="","",IFERROR(4*STDEVP(終値!F370:Y370)/AVERAGE(終値!F370:Y370),""))</f>
        <v/>
      </c>
      <c r="D370" s="503" t="str">
        <f>IF(終値!A370="","",IFERROR(4*STDEVP(終値!G370:Z370)/AVERAGE(終値!G370:Z370),""))</f>
        <v/>
      </c>
      <c r="E370" s="503" t="str">
        <f>IF(終値!A370="","",IFERROR(4*STDEVP(終値!H370:AA370)/AVERAGE(終値!H370:AA370),""))</f>
        <v/>
      </c>
      <c r="F370" s="503" t="str">
        <f>IF(終値!A370="","",IFERROR(4*STDEVP(終値!I370:AB370)/AVERAGE(終値!I370:AB370),""))</f>
        <v/>
      </c>
      <c r="G370" s="503" t="str">
        <f>IF(終値!A370="","",IFERROR(4*STDEVP(終値!J370:AC370)/AVERAGE(終値!J370:AC370),""))</f>
        <v/>
      </c>
      <c r="H370" s="503" t="str">
        <f>IF(終値!A370="","",IFERROR(4*STDEVP(終値!K370:AD370)/AVERAGE(終値!K370:AD370),""))</f>
        <v/>
      </c>
      <c r="I370" s="503" t="str">
        <f>IF(終値!A370="","",IFERROR(4*STDEVP(終値!L370:AE370)/AVERAGE(終値!L370:AE370),""))</f>
        <v/>
      </c>
      <c r="J370" s="503" t="str">
        <f>IF(終値!A370="","",IFERROR(4*STDEVP(終値!M370:AF370)/AVERAGE(終値!M370:AF370),""))</f>
        <v/>
      </c>
      <c r="K370" s="503" t="str">
        <f>IF(終値!A370="","",IFERROR(4*STDEVP(終値!N370:AG370)/AVERAGE(終値!N370:AG370),""))</f>
        <v/>
      </c>
      <c r="L370" s="503" t="str">
        <f>IF(終値!A370="","",IFERROR(4*STDEVP(終値!O370:AH370)/AVERAGE(終値!O370:AH370),""))</f>
        <v/>
      </c>
      <c r="M370" s="503" t="str">
        <f>IF(終値!A370="","",IFERROR(4*STDEVP(終値!P370:AI370)/AVERAGE(終値!P370:AI370),""))</f>
        <v/>
      </c>
      <c r="N370" s="503" t="str">
        <f>IF(終値!A370="","",IFERROR(4*STDEVP(終値!Q370:AJ370)/AVERAGE(終値!Q370:AJ370),""))</f>
        <v/>
      </c>
      <c r="O370" s="503" t="str">
        <f>IF(終値!A370="","",IFERROR(4*STDEVP(終値!R370:AK370)/AVERAGE(終値!R370:AK370),""))</f>
        <v/>
      </c>
      <c r="P370" s="503" t="str">
        <f>IF(終値!A370="","",IFERROR(4*STDEVP(終値!S370:AL370)/AVERAGE(終値!S370:AL370),""))</f>
        <v/>
      </c>
      <c r="Q370" s="503" t="str">
        <f>IF(終値!A370="","",IFERROR(4*STDEVP(終値!T370:AM370)/AVERAGE(終値!T370:AM370),""))</f>
        <v/>
      </c>
      <c r="R370" s="503" t="str">
        <f>IF(終値!A370="","",IFERROR(4*STDEVP(終値!U370:AN370)/AVERAGE(終値!U370:AN370),""))</f>
        <v/>
      </c>
      <c r="S370" s="503" t="str">
        <f>IF(終値!A370="","",IFERROR(4*STDEVP(終値!V370:AO370)/AVERAGE(終値!V370:AO370),""))</f>
        <v/>
      </c>
      <c r="T370" s="503" t="str">
        <f>IF(終値!A370="","",IFERROR(4*STDEVP(終値!W370:AP370)/AVERAGE(終値!W370:AP370),""))</f>
        <v/>
      </c>
      <c r="U370" s="503" t="str">
        <f>IF(終値!A370="","",IFERROR(4*STDEVP(終値!X370:AQ370)/AVERAGE(終値!X370:AQ370),""))</f>
        <v/>
      </c>
      <c r="V370" s="503" t="str">
        <f>IF(終値!A370="","",IFERROR(4*STDEVP(終値!Y370:AR370)/AVERAGE(終値!Y370:AR370),""))</f>
        <v/>
      </c>
      <c r="W370" s="503" t="str">
        <f>IF(終値!A370="","",IFERROR(4*STDEVP(終値!Z370:AS370)/AVERAGE(終値!Z370:AS370),""))</f>
        <v/>
      </c>
      <c r="X370" s="503" t="str">
        <f>IF(終値!A370="","",IFERROR(4*STDEVP(終値!AA370:AT370)/AVERAGE(終値!AA370:AT370),""))</f>
        <v/>
      </c>
      <c r="Y370" s="503" t="str">
        <f>IF(終値!A370="","",IFERROR(4*STDEVP(終値!AB370:AU370)/AVERAGE(終値!AB370:AU370),""))</f>
        <v/>
      </c>
      <c r="Z370" s="503" t="str">
        <f>IF(終値!A370="","",IFERROR(4*STDEVP(終値!AC370:AV370)/AVERAGE(終値!AC370:AV370),""))</f>
        <v/>
      </c>
      <c r="AA370" s="503" t="str">
        <f>IF(終値!A370="","",IFERROR(4*STDEVP(終値!AD370:AW370)/AVERAGE(終値!AD370:AW370),""))</f>
        <v/>
      </c>
      <c r="AB370" s="503" t="str">
        <f>IF(終値!A370="","",IFERROR(4*STDEVP(終値!AE370:AX370)/AVERAGE(終値!AE370:AX370),""))</f>
        <v/>
      </c>
      <c r="AC370" s="503" t="str">
        <f>IF(終値!A370="","",IFERROR(4*STDEVP(終値!AF370:AY370)/AVERAGE(終値!AF370:AY370),""))</f>
        <v/>
      </c>
      <c r="AD370" s="503" t="str">
        <f>IF(終値!A370="","",IFERROR(4*STDEVP(終値!AG370:AZ370)/AVERAGE(終値!AG370:AZ370),""))</f>
        <v/>
      </c>
      <c r="AE370" s="503" t="str">
        <f>IF(終値!A370="","",IFERROR(4*STDEVP(終値!AH370:BA370)/AVERAGE(終値!AH370:BA370),""))</f>
        <v/>
      </c>
      <c r="AF370" s="503" t="str">
        <f>IF(終値!A370="","",IFERROR(4*STDEVP(終値!AI370:BB370)/AVERAGE(終値!AI370:BB370),""))</f>
        <v/>
      </c>
      <c r="AG370" s="503" t="str">
        <f>IF(終値!A370="","",IFERROR(4*STDEVP(終値!AJ370:BC370)/AVERAGE(終値!AJ370:BC370),""))</f>
        <v/>
      </c>
      <c r="AH370" s="503" t="str">
        <f>IF(終値!A370="","",IFERROR(4*STDEVP(終値!AK370:BD370)/AVERAGE(終値!AK370:BD370),""))</f>
        <v/>
      </c>
      <c r="AI370" s="503" t="str">
        <f>IF(終値!A370="","",IFERROR(4*STDEVP(終値!AL370:BE370)/AVERAGE(終値!AL370:BE370),""))</f>
        <v/>
      </c>
      <c r="AJ370" s="503" t="str">
        <f>IF(終値!A370="","",IFERROR(4*STDEVP(終値!AM370:BF370)/AVERAGE(終値!AM370:BF370),""))</f>
        <v/>
      </c>
      <c r="AK370" s="503" t="str">
        <f>IF(終値!A370="","",IFERROR(4*STDEVP(終値!AN370:BG370)/AVERAGE(終値!AN370:BG370),""))</f>
        <v/>
      </c>
      <c r="AL370" s="503" t="str">
        <f>IF(終値!A370="","",IFERROR(4*STDEVP(終値!AO370:BH370)/AVERAGE(終値!AO370:BH370),""))</f>
        <v/>
      </c>
      <c r="AM370" s="503" t="str">
        <f>IF(終値!A370="","",IFERROR(4*STDEVP(終値!AP370:BI370)/AVERAGE(終値!AP370:BI370),""))</f>
        <v/>
      </c>
      <c r="AN370" s="503" t="str">
        <f>IF(終値!A370="","",IFERROR(4*STDEVP(終値!AQ370:BJ370)/AVERAGE(終値!AQ370:BJ370),""))</f>
        <v/>
      </c>
      <c r="AO370" s="503" t="str">
        <f>IF(終値!A370="","",IFERROR(4*STDEVP(終値!AR370:BK370)/AVERAGE(終値!AR370:BK370),""))</f>
        <v/>
      </c>
      <c r="AP370" s="503" t="str">
        <f>IF(終値!A370="","",IFERROR(4*STDEVP(終値!AS370:BL370)/AVERAGE(終値!AS370:BL370),""))</f>
        <v/>
      </c>
    </row>
    <row r="371" spans="1:42">
      <c r="A371" s="500" t="str">
        <f>IF(終値!A371="","",終値!A371)</f>
        <v/>
      </c>
      <c r="B371" s="503" t="str">
        <f>IF(終値!A371="","",IFERROR(4*STDEVP(終値!E371:X371)/AVERAGE(終値!E371:X371),""))</f>
        <v/>
      </c>
      <c r="C371" s="503" t="str">
        <f>IF(終値!A371="","",IFERROR(4*STDEVP(終値!F371:Y371)/AVERAGE(終値!F371:Y371),""))</f>
        <v/>
      </c>
      <c r="D371" s="503" t="str">
        <f>IF(終値!A371="","",IFERROR(4*STDEVP(終値!G371:Z371)/AVERAGE(終値!G371:Z371),""))</f>
        <v/>
      </c>
      <c r="E371" s="503" t="str">
        <f>IF(終値!A371="","",IFERROR(4*STDEVP(終値!H371:AA371)/AVERAGE(終値!H371:AA371),""))</f>
        <v/>
      </c>
      <c r="F371" s="503" t="str">
        <f>IF(終値!A371="","",IFERROR(4*STDEVP(終値!I371:AB371)/AVERAGE(終値!I371:AB371),""))</f>
        <v/>
      </c>
      <c r="G371" s="503" t="str">
        <f>IF(終値!A371="","",IFERROR(4*STDEVP(終値!J371:AC371)/AVERAGE(終値!J371:AC371),""))</f>
        <v/>
      </c>
      <c r="H371" s="503" t="str">
        <f>IF(終値!A371="","",IFERROR(4*STDEVP(終値!K371:AD371)/AVERAGE(終値!K371:AD371),""))</f>
        <v/>
      </c>
      <c r="I371" s="503" t="str">
        <f>IF(終値!A371="","",IFERROR(4*STDEVP(終値!L371:AE371)/AVERAGE(終値!L371:AE371),""))</f>
        <v/>
      </c>
      <c r="J371" s="503" t="str">
        <f>IF(終値!A371="","",IFERROR(4*STDEVP(終値!M371:AF371)/AVERAGE(終値!M371:AF371),""))</f>
        <v/>
      </c>
      <c r="K371" s="503" t="str">
        <f>IF(終値!A371="","",IFERROR(4*STDEVP(終値!N371:AG371)/AVERAGE(終値!N371:AG371),""))</f>
        <v/>
      </c>
      <c r="L371" s="503" t="str">
        <f>IF(終値!A371="","",IFERROR(4*STDEVP(終値!O371:AH371)/AVERAGE(終値!O371:AH371),""))</f>
        <v/>
      </c>
      <c r="M371" s="503" t="str">
        <f>IF(終値!A371="","",IFERROR(4*STDEVP(終値!P371:AI371)/AVERAGE(終値!P371:AI371),""))</f>
        <v/>
      </c>
      <c r="N371" s="503" t="str">
        <f>IF(終値!A371="","",IFERROR(4*STDEVP(終値!Q371:AJ371)/AVERAGE(終値!Q371:AJ371),""))</f>
        <v/>
      </c>
      <c r="O371" s="503" t="str">
        <f>IF(終値!A371="","",IFERROR(4*STDEVP(終値!R371:AK371)/AVERAGE(終値!R371:AK371),""))</f>
        <v/>
      </c>
      <c r="P371" s="503" t="str">
        <f>IF(終値!A371="","",IFERROR(4*STDEVP(終値!S371:AL371)/AVERAGE(終値!S371:AL371),""))</f>
        <v/>
      </c>
      <c r="Q371" s="503" t="str">
        <f>IF(終値!A371="","",IFERROR(4*STDEVP(終値!T371:AM371)/AVERAGE(終値!T371:AM371),""))</f>
        <v/>
      </c>
      <c r="R371" s="503" t="str">
        <f>IF(終値!A371="","",IFERROR(4*STDEVP(終値!U371:AN371)/AVERAGE(終値!U371:AN371),""))</f>
        <v/>
      </c>
      <c r="S371" s="503" t="str">
        <f>IF(終値!A371="","",IFERROR(4*STDEVP(終値!V371:AO371)/AVERAGE(終値!V371:AO371),""))</f>
        <v/>
      </c>
      <c r="T371" s="503" t="str">
        <f>IF(終値!A371="","",IFERROR(4*STDEVP(終値!W371:AP371)/AVERAGE(終値!W371:AP371),""))</f>
        <v/>
      </c>
      <c r="U371" s="503" t="str">
        <f>IF(終値!A371="","",IFERROR(4*STDEVP(終値!X371:AQ371)/AVERAGE(終値!X371:AQ371),""))</f>
        <v/>
      </c>
      <c r="V371" s="503" t="str">
        <f>IF(終値!A371="","",IFERROR(4*STDEVP(終値!Y371:AR371)/AVERAGE(終値!Y371:AR371),""))</f>
        <v/>
      </c>
      <c r="W371" s="503" t="str">
        <f>IF(終値!A371="","",IFERROR(4*STDEVP(終値!Z371:AS371)/AVERAGE(終値!Z371:AS371),""))</f>
        <v/>
      </c>
      <c r="X371" s="503" t="str">
        <f>IF(終値!A371="","",IFERROR(4*STDEVP(終値!AA371:AT371)/AVERAGE(終値!AA371:AT371),""))</f>
        <v/>
      </c>
      <c r="Y371" s="503" t="str">
        <f>IF(終値!A371="","",IFERROR(4*STDEVP(終値!AB371:AU371)/AVERAGE(終値!AB371:AU371),""))</f>
        <v/>
      </c>
      <c r="Z371" s="503" t="str">
        <f>IF(終値!A371="","",IFERROR(4*STDEVP(終値!AC371:AV371)/AVERAGE(終値!AC371:AV371),""))</f>
        <v/>
      </c>
      <c r="AA371" s="503" t="str">
        <f>IF(終値!A371="","",IFERROR(4*STDEVP(終値!AD371:AW371)/AVERAGE(終値!AD371:AW371),""))</f>
        <v/>
      </c>
      <c r="AB371" s="503" t="str">
        <f>IF(終値!A371="","",IFERROR(4*STDEVP(終値!AE371:AX371)/AVERAGE(終値!AE371:AX371),""))</f>
        <v/>
      </c>
      <c r="AC371" s="503" t="str">
        <f>IF(終値!A371="","",IFERROR(4*STDEVP(終値!AF371:AY371)/AVERAGE(終値!AF371:AY371),""))</f>
        <v/>
      </c>
      <c r="AD371" s="503" t="str">
        <f>IF(終値!A371="","",IFERROR(4*STDEVP(終値!AG371:AZ371)/AVERAGE(終値!AG371:AZ371),""))</f>
        <v/>
      </c>
      <c r="AE371" s="503" t="str">
        <f>IF(終値!A371="","",IFERROR(4*STDEVP(終値!AH371:BA371)/AVERAGE(終値!AH371:BA371),""))</f>
        <v/>
      </c>
      <c r="AF371" s="503" t="str">
        <f>IF(終値!A371="","",IFERROR(4*STDEVP(終値!AI371:BB371)/AVERAGE(終値!AI371:BB371),""))</f>
        <v/>
      </c>
      <c r="AG371" s="503" t="str">
        <f>IF(終値!A371="","",IFERROR(4*STDEVP(終値!AJ371:BC371)/AVERAGE(終値!AJ371:BC371),""))</f>
        <v/>
      </c>
      <c r="AH371" s="503" t="str">
        <f>IF(終値!A371="","",IFERROR(4*STDEVP(終値!AK371:BD371)/AVERAGE(終値!AK371:BD371),""))</f>
        <v/>
      </c>
      <c r="AI371" s="503" t="str">
        <f>IF(終値!A371="","",IFERROR(4*STDEVP(終値!AL371:BE371)/AVERAGE(終値!AL371:BE371),""))</f>
        <v/>
      </c>
      <c r="AJ371" s="503" t="str">
        <f>IF(終値!A371="","",IFERROR(4*STDEVP(終値!AM371:BF371)/AVERAGE(終値!AM371:BF371),""))</f>
        <v/>
      </c>
      <c r="AK371" s="503" t="str">
        <f>IF(終値!A371="","",IFERROR(4*STDEVP(終値!AN371:BG371)/AVERAGE(終値!AN371:BG371),""))</f>
        <v/>
      </c>
      <c r="AL371" s="503" t="str">
        <f>IF(終値!A371="","",IFERROR(4*STDEVP(終値!AO371:BH371)/AVERAGE(終値!AO371:BH371),""))</f>
        <v/>
      </c>
      <c r="AM371" s="503" t="str">
        <f>IF(終値!A371="","",IFERROR(4*STDEVP(終値!AP371:BI371)/AVERAGE(終値!AP371:BI371),""))</f>
        <v/>
      </c>
      <c r="AN371" s="503" t="str">
        <f>IF(終値!A371="","",IFERROR(4*STDEVP(終値!AQ371:BJ371)/AVERAGE(終値!AQ371:BJ371),""))</f>
        <v/>
      </c>
      <c r="AO371" s="503" t="str">
        <f>IF(終値!A371="","",IFERROR(4*STDEVP(終値!AR371:BK371)/AVERAGE(終値!AR371:BK371),""))</f>
        <v/>
      </c>
      <c r="AP371" s="503" t="str">
        <f>IF(終値!A371="","",IFERROR(4*STDEVP(終値!AS371:BL371)/AVERAGE(終値!AS371:BL371),""))</f>
        <v/>
      </c>
    </row>
    <row r="372" spans="1:42">
      <c r="A372" s="500" t="str">
        <f>IF(終値!A372="","",終値!A372)</f>
        <v/>
      </c>
      <c r="B372" s="503" t="str">
        <f>IF(終値!A372="","",IFERROR(4*STDEVP(終値!E372:X372)/AVERAGE(終値!E372:X372),""))</f>
        <v/>
      </c>
      <c r="C372" s="503" t="str">
        <f>IF(終値!A372="","",IFERROR(4*STDEVP(終値!F372:Y372)/AVERAGE(終値!F372:Y372),""))</f>
        <v/>
      </c>
      <c r="D372" s="503" t="str">
        <f>IF(終値!A372="","",IFERROR(4*STDEVP(終値!G372:Z372)/AVERAGE(終値!G372:Z372),""))</f>
        <v/>
      </c>
      <c r="E372" s="503" t="str">
        <f>IF(終値!A372="","",IFERROR(4*STDEVP(終値!H372:AA372)/AVERAGE(終値!H372:AA372),""))</f>
        <v/>
      </c>
      <c r="F372" s="503" t="str">
        <f>IF(終値!A372="","",IFERROR(4*STDEVP(終値!I372:AB372)/AVERAGE(終値!I372:AB372),""))</f>
        <v/>
      </c>
      <c r="G372" s="503" t="str">
        <f>IF(終値!A372="","",IFERROR(4*STDEVP(終値!J372:AC372)/AVERAGE(終値!J372:AC372),""))</f>
        <v/>
      </c>
      <c r="H372" s="503" t="str">
        <f>IF(終値!A372="","",IFERROR(4*STDEVP(終値!K372:AD372)/AVERAGE(終値!K372:AD372),""))</f>
        <v/>
      </c>
      <c r="I372" s="503" t="str">
        <f>IF(終値!A372="","",IFERROR(4*STDEVP(終値!L372:AE372)/AVERAGE(終値!L372:AE372),""))</f>
        <v/>
      </c>
      <c r="J372" s="503" t="str">
        <f>IF(終値!A372="","",IFERROR(4*STDEVP(終値!M372:AF372)/AVERAGE(終値!M372:AF372),""))</f>
        <v/>
      </c>
      <c r="K372" s="503" t="str">
        <f>IF(終値!A372="","",IFERROR(4*STDEVP(終値!N372:AG372)/AVERAGE(終値!N372:AG372),""))</f>
        <v/>
      </c>
      <c r="L372" s="503" t="str">
        <f>IF(終値!A372="","",IFERROR(4*STDEVP(終値!O372:AH372)/AVERAGE(終値!O372:AH372),""))</f>
        <v/>
      </c>
      <c r="M372" s="503" t="str">
        <f>IF(終値!A372="","",IFERROR(4*STDEVP(終値!P372:AI372)/AVERAGE(終値!P372:AI372),""))</f>
        <v/>
      </c>
      <c r="N372" s="503" t="str">
        <f>IF(終値!A372="","",IFERROR(4*STDEVP(終値!Q372:AJ372)/AVERAGE(終値!Q372:AJ372),""))</f>
        <v/>
      </c>
      <c r="O372" s="503" t="str">
        <f>IF(終値!A372="","",IFERROR(4*STDEVP(終値!R372:AK372)/AVERAGE(終値!R372:AK372),""))</f>
        <v/>
      </c>
      <c r="P372" s="503" t="str">
        <f>IF(終値!A372="","",IFERROR(4*STDEVP(終値!S372:AL372)/AVERAGE(終値!S372:AL372),""))</f>
        <v/>
      </c>
      <c r="Q372" s="503" t="str">
        <f>IF(終値!A372="","",IFERROR(4*STDEVP(終値!T372:AM372)/AVERAGE(終値!T372:AM372),""))</f>
        <v/>
      </c>
      <c r="R372" s="503" t="str">
        <f>IF(終値!A372="","",IFERROR(4*STDEVP(終値!U372:AN372)/AVERAGE(終値!U372:AN372),""))</f>
        <v/>
      </c>
      <c r="S372" s="503" t="str">
        <f>IF(終値!A372="","",IFERROR(4*STDEVP(終値!V372:AO372)/AVERAGE(終値!V372:AO372),""))</f>
        <v/>
      </c>
      <c r="T372" s="503" t="str">
        <f>IF(終値!A372="","",IFERROR(4*STDEVP(終値!W372:AP372)/AVERAGE(終値!W372:AP372),""))</f>
        <v/>
      </c>
      <c r="U372" s="503" t="str">
        <f>IF(終値!A372="","",IFERROR(4*STDEVP(終値!X372:AQ372)/AVERAGE(終値!X372:AQ372),""))</f>
        <v/>
      </c>
      <c r="V372" s="503" t="str">
        <f>IF(終値!A372="","",IFERROR(4*STDEVP(終値!Y372:AR372)/AVERAGE(終値!Y372:AR372),""))</f>
        <v/>
      </c>
      <c r="W372" s="503" t="str">
        <f>IF(終値!A372="","",IFERROR(4*STDEVP(終値!Z372:AS372)/AVERAGE(終値!Z372:AS372),""))</f>
        <v/>
      </c>
      <c r="X372" s="503" t="str">
        <f>IF(終値!A372="","",IFERROR(4*STDEVP(終値!AA372:AT372)/AVERAGE(終値!AA372:AT372),""))</f>
        <v/>
      </c>
      <c r="Y372" s="503" t="str">
        <f>IF(終値!A372="","",IFERROR(4*STDEVP(終値!AB372:AU372)/AVERAGE(終値!AB372:AU372),""))</f>
        <v/>
      </c>
      <c r="Z372" s="503" t="str">
        <f>IF(終値!A372="","",IFERROR(4*STDEVP(終値!AC372:AV372)/AVERAGE(終値!AC372:AV372),""))</f>
        <v/>
      </c>
      <c r="AA372" s="503" t="str">
        <f>IF(終値!A372="","",IFERROR(4*STDEVP(終値!AD372:AW372)/AVERAGE(終値!AD372:AW372),""))</f>
        <v/>
      </c>
      <c r="AB372" s="503" t="str">
        <f>IF(終値!A372="","",IFERROR(4*STDEVP(終値!AE372:AX372)/AVERAGE(終値!AE372:AX372),""))</f>
        <v/>
      </c>
      <c r="AC372" s="503" t="str">
        <f>IF(終値!A372="","",IFERROR(4*STDEVP(終値!AF372:AY372)/AVERAGE(終値!AF372:AY372),""))</f>
        <v/>
      </c>
      <c r="AD372" s="503" t="str">
        <f>IF(終値!A372="","",IFERROR(4*STDEVP(終値!AG372:AZ372)/AVERAGE(終値!AG372:AZ372),""))</f>
        <v/>
      </c>
      <c r="AE372" s="503" t="str">
        <f>IF(終値!A372="","",IFERROR(4*STDEVP(終値!AH372:BA372)/AVERAGE(終値!AH372:BA372),""))</f>
        <v/>
      </c>
      <c r="AF372" s="503" t="str">
        <f>IF(終値!A372="","",IFERROR(4*STDEVP(終値!AI372:BB372)/AVERAGE(終値!AI372:BB372),""))</f>
        <v/>
      </c>
      <c r="AG372" s="503" t="str">
        <f>IF(終値!A372="","",IFERROR(4*STDEVP(終値!AJ372:BC372)/AVERAGE(終値!AJ372:BC372),""))</f>
        <v/>
      </c>
      <c r="AH372" s="503" t="str">
        <f>IF(終値!A372="","",IFERROR(4*STDEVP(終値!AK372:BD372)/AVERAGE(終値!AK372:BD372),""))</f>
        <v/>
      </c>
      <c r="AI372" s="503" t="str">
        <f>IF(終値!A372="","",IFERROR(4*STDEVP(終値!AL372:BE372)/AVERAGE(終値!AL372:BE372),""))</f>
        <v/>
      </c>
      <c r="AJ372" s="503" t="str">
        <f>IF(終値!A372="","",IFERROR(4*STDEVP(終値!AM372:BF372)/AVERAGE(終値!AM372:BF372),""))</f>
        <v/>
      </c>
      <c r="AK372" s="503" t="str">
        <f>IF(終値!A372="","",IFERROR(4*STDEVP(終値!AN372:BG372)/AVERAGE(終値!AN372:BG372),""))</f>
        <v/>
      </c>
      <c r="AL372" s="503" t="str">
        <f>IF(終値!A372="","",IFERROR(4*STDEVP(終値!AO372:BH372)/AVERAGE(終値!AO372:BH372),""))</f>
        <v/>
      </c>
      <c r="AM372" s="503" t="str">
        <f>IF(終値!A372="","",IFERROR(4*STDEVP(終値!AP372:BI372)/AVERAGE(終値!AP372:BI372),""))</f>
        <v/>
      </c>
      <c r="AN372" s="503" t="str">
        <f>IF(終値!A372="","",IFERROR(4*STDEVP(終値!AQ372:BJ372)/AVERAGE(終値!AQ372:BJ372),""))</f>
        <v/>
      </c>
      <c r="AO372" s="503" t="str">
        <f>IF(終値!A372="","",IFERROR(4*STDEVP(終値!AR372:BK372)/AVERAGE(終値!AR372:BK372),""))</f>
        <v/>
      </c>
      <c r="AP372" s="503" t="str">
        <f>IF(終値!A372="","",IFERROR(4*STDEVP(終値!AS372:BL372)/AVERAGE(終値!AS372:BL372),""))</f>
        <v/>
      </c>
    </row>
    <row r="373" spans="1:42">
      <c r="A373" s="500" t="str">
        <f>IF(終値!A373="","",終値!A373)</f>
        <v/>
      </c>
      <c r="B373" s="503" t="str">
        <f>IF(終値!A373="","",IFERROR(4*STDEVP(終値!E373:X373)/AVERAGE(終値!E373:X373),""))</f>
        <v/>
      </c>
      <c r="C373" s="503" t="str">
        <f>IF(終値!A373="","",IFERROR(4*STDEVP(終値!F373:Y373)/AVERAGE(終値!F373:Y373),""))</f>
        <v/>
      </c>
      <c r="D373" s="503" t="str">
        <f>IF(終値!A373="","",IFERROR(4*STDEVP(終値!G373:Z373)/AVERAGE(終値!G373:Z373),""))</f>
        <v/>
      </c>
      <c r="E373" s="503" t="str">
        <f>IF(終値!A373="","",IFERROR(4*STDEVP(終値!H373:AA373)/AVERAGE(終値!H373:AA373),""))</f>
        <v/>
      </c>
      <c r="F373" s="503" t="str">
        <f>IF(終値!A373="","",IFERROR(4*STDEVP(終値!I373:AB373)/AVERAGE(終値!I373:AB373),""))</f>
        <v/>
      </c>
      <c r="G373" s="503" t="str">
        <f>IF(終値!A373="","",IFERROR(4*STDEVP(終値!J373:AC373)/AVERAGE(終値!J373:AC373),""))</f>
        <v/>
      </c>
      <c r="H373" s="503" t="str">
        <f>IF(終値!A373="","",IFERROR(4*STDEVP(終値!K373:AD373)/AVERAGE(終値!K373:AD373),""))</f>
        <v/>
      </c>
      <c r="I373" s="503" t="str">
        <f>IF(終値!A373="","",IFERROR(4*STDEVP(終値!L373:AE373)/AVERAGE(終値!L373:AE373),""))</f>
        <v/>
      </c>
      <c r="J373" s="503" t="str">
        <f>IF(終値!A373="","",IFERROR(4*STDEVP(終値!M373:AF373)/AVERAGE(終値!M373:AF373),""))</f>
        <v/>
      </c>
      <c r="K373" s="503" t="str">
        <f>IF(終値!A373="","",IFERROR(4*STDEVP(終値!N373:AG373)/AVERAGE(終値!N373:AG373),""))</f>
        <v/>
      </c>
      <c r="L373" s="503" t="str">
        <f>IF(終値!A373="","",IFERROR(4*STDEVP(終値!O373:AH373)/AVERAGE(終値!O373:AH373),""))</f>
        <v/>
      </c>
      <c r="M373" s="503" t="str">
        <f>IF(終値!A373="","",IFERROR(4*STDEVP(終値!P373:AI373)/AVERAGE(終値!P373:AI373),""))</f>
        <v/>
      </c>
      <c r="N373" s="503" t="str">
        <f>IF(終値!A373="","",IFERROR(4*STDEVP(終値!Q373:AJ373)/AVERAGE(終値!Q373:AJ373),""))</f>
        <v/>
      </c>
      <c r="O373" s="503" t="str">
        <f>IF(終値!A373="","",IFERROR(4*STDEVP(終値!R373:AK373)/AVERAGE(終値!R373:AK373),""))</f>
        <v/>
      </c>
      <c r="P373" s="503" t="str">
        <f>IF(終値!A373="","",IFERROR(4*STDEVP(終値!S373:AL373)/AVERAGE(終値!S373:AL373),""))</f>
        <v/>
      </c>
      <c r="Q373" s="503" t="str">
        <f>IF(終値!A373="","",IFERROR(4*STDEVP(終値!T373:AM373)/AVERAGE(終値!T373:AM373),""))</f>
        <v/>
      </c>
      <c r="R373" s="503" t="str">
        <f>IF(終値!A373="","",IFERROR(4*STDEVP(終値!U373:AN373)/AVERAGE(終値!U373:AN373),""))</f>
        <v/>
      </c>
      <c r="S373" s="503" t="str">
        <f>IF(終値!A373="","",IFERROR(4*STDEVP(終値!V373:AO373)/AVERAGE(終値!V373:AO373),""))</f>
        <v/>
      </c>
      <c r="T373" s="503" t="str">
        <f>IF(終値!A373="","",IFERROR(4*STDEVP(終値!W373:AP373)/AVERAGE(終値!W373:AP373),""))</f>
        <v/>
      </c>
      <c r="U373" s="503" t="str">
        <f>IF(終値!A373="","",IFERROR(4*STDEVP(終値!X373:AQ373)/AVERAGE(終値!X373:AQ373),""))</f>
        <v/>
      </c>
      <c r="V373" s="503" t="str">
        <f>IF(終値!A373="","",IFERROR(4*STDEVP(終値!Y373:AR373)/AVERAGE(終値!Y373:AR373),""))</f>
        <v/>
      </c>
      <c r="W373" s="503" t="str">
        <f>IF(終値!A373="","",IFERROR(4*STDEVP(終値!Z373:AS373)/AVERAGE(終値!Z373:AS373),""))</f>
        <v/>
      </c>
      <c r="X373" s="503" t="str">
        <f>IF(終値!A373="","",IFERROR(4*STDEVP(終値!AA373:AT373)/AVERAGE(終値!AA373:AT373),""))</f>
        <v/>
      </c>
      <c r="Y373" s="503" t="str">
        <f>IF(終値!A373="","",IFERROR(4*STDEVP(終値!AB373:AU373)/AVERAGE(終値!AB373:AU373),""))</f>
        <v/>
      </c>
      <c r="Z373" s="503" t="str">
        <f>IF(終値!A373="","",IFERROR(4*STDEVP(終値!AC373:AV373)/AVERAGE(終値!AC373:AV373),""))</f>
        <v/>
      </c>
      <c r="AA373" s="503" t="str">
        <f>IF(終値!A373="","",IFERROR(4*STDEVP(終値!AD373:AW373)/AVERAGE(終値!AD373:AW373),""))</f>
        <v/>
      </c>
      <c r="AB373" s="503" t="str">
        <f>IF(終値!A373="","",IFERROR(4*STDEVP(終値!AE373:AX373)/AVERAGE(終値!AE373:AX373),""))</f>
        <v/>
      </c>
      <c r="AC373" s="503" t="str">
        <f>IF(終値!A373="","",IFERROR(4*STDEVP(終値!AF373:AY373)/AVERAGE(終値!AF373:AY373),""))</f>
        <v/>
      </c>
      <c r="AD373" s="503" t="str">
        <f>IF(終値!A373="","",IFERROR(4*STDEVP(終値!AG373:AZ373)/AVERAGE(終値!AG373:AZ373),""))</f>
        <v/>
      </c>
      <c r="AE373" s="503" t="str">
        <f>IF(終値!A373="","",IFERROR(4*STDEVP(終値!AH373:BA373)/AVERAGE(終値!AH373:BA373),""))</f>
        <v/>
      </c>
      <c r="AF373" s="503" t="str">
        <f>IF(終値!A373="","",IFERROR(4*STDEVP(終値!AI373:BB373)/AVERAGE(終値!AI373:BB373),""))</f>
        <v/>
      </c>
      <c r="AG373" s="503" t="str">
        <f>IF(終値!A373="","",IFERROR(4*STDEVP(終値!AJ373:BC373)/AVERAGE(終値!AJ373:BC373),""))</f>
        <v/>
      </c>
      <c r="AH373" s="503" t="str">
        <f>IF(終値!A373="","",IFERROR(4*STDEVP(終値!AK373:BD373)/AVERAGE(終値!AK373:BD373),""))</f>
        <v/>
      </c>
      <c r="AI373" s="503" t="str">
        <f>IF(終値!A373="","",IFERROR(4*STDEVP(終値!AL373:BE373)/AVERAGE(終値!AL373:BE373),""))</f>
        <v/>
      </c>
      <c r="AJ373" s="503" t="str">
        <f>IF(終値!A373="","",IFERROR(4*STDEVP(終値!AM373:BF373)/AVERAGE(終値!AM373:BF373),""))</f>
        <v/>
      </c>
      <c r="AK373" s="503" t="str">
        <f>IF(終値!A373="","",IFERROR(4*STDEVP(終値!AN373:BG373)/AVERAGE(終値!AN373:BG373),""))</f>
        <v/>
      </c>
      <c r="AL373" s="503" t="str">
        <f>IF(終値!A373="","",IFERROR(4*STDEVP(終値!AO373:BH373)/AVERAGE(終値!AO373:BH373),""))</f>
        <v/>
      </c>
      <c r="AM373" s="503" t="str">
        <f>IF(終値!A373="","",IFERROR(4*STDEVP(終値!AP373:BI373)/AVERAGE(終値!AP373:BI373),""))</f>
        <v/>
      </c>
      <c r="AN373" s="503" t="str">
        <f>IF(終値!A373="","",IFERROR(4*STDEVP(終値!AQ373:BJ373)/AVERAGE(終値!AQ373:BJ373),""))</f>
        <v/>
      </c>
      <c r="AO373" s="503" t="str">
        <f>IF(終値!A373="","",IFERROR(4*STDEVP(終値!AR373:BK373)/AVERAGE(終値!AR373:BK373),""))</f>
        <v/>
      </c>
      <c r="AP373" s="503" t="str">
        <f>IF(終値!A373="","",IFERROR(4*STDEVP(終値!AS373:BL373)/AVERAGE(終値!AS373:BL373),""))</f>
        <v/>
      </c>
    </row>
    <row r="374" spans="1:42">
      <c r="A374" s="500" t="str">
        <f>IF(終値!A374="","",終値!A374)</f>
        <v/>
      </c>
      <c r="B374" s="503" t="str">
        <f>IF(終値!A374="","",IFERROR(4*STDEVP(終値!E374:X374)/AVERAGE(終値!E374:X374),""))</f>
        <v/>
      </c>
      <c r="C374" s="503" t="str">
        <f>IF(終値!A374="","",IFERROR(4*STDEVP(終値!F374:Y374)/AVERAGE(終値!F374:Y374),""))</f>
        <v/>
      </c>
      <c r="D374" s="503" t="str">
        <f>IF(終値!A374="","",IFERROR(4*STDEVP(終値!G374:Z374)/AVERAGE(終値!G374:Z374),""))</f>
        <v/>
      </c>
      <c r="E374" s="503" t="str">
        <f>IF(終値!A374="","",IFERROR(4*STDEVP(終値!H374:AA374)/AVERAGE(終値!H374:AA374),""))</f>
        <v/>
      </c>
      <c r="F374" s="503" t="str">
        <f>IF(終値!A374="","",IFERROR(4*STDEVP(終値!I374:AB374)/AVERAGE(終値!I374:AB374),""))</f>
        <v/>
      </c>
      <c r="G374" s="503" t="str">
        <f>IF(終値!A374="","",IFERROR(4*STDEVP(終値!J374:AC374)/AVERAGE(終値!J374:AC374),""))</f>
        <v/>
      </c>
      <c r="H374" s="503" t="str">
        <f>IF(終値!A374="","",IFERROR(4*STDEVP(終値!K374:AD374)/AVERAGE(終値!K374:AD374),""))</f>
        <v/>
      </c>
      <c r="I374" s="503" t="str">
        <f>IF(終値!A374="","",IFERROR(4*STDEVP(終値!L374:AE374)/AVERAGE(終値!L374:AE374),""))</f>
        <v/>
      </c>
      <c r="J374" s="503" t="str">
        <f>IF(終値!A374="","",IFERROR(4*STDEVP(終値!M374:AF374)/AVERAGE(終値!M374:AF374),""))</f>
        <v/>
      </c>
      <c r="K374" s="503" t="str">
        <f>IF(終値!A374="","",IFERROR(4*STDEVP(終値!N374:AG374)/AVERAGE(終値!N374:AG374),""))</f>
        <v/>
      </c>
      <c r="L374" s="503" t="str">
        <f>IF(終値!A374="","",IFERROR(4*STDEVP(終値!O374:AH374)/AVERAGE(終値!O374:AH374),""))</f>
        <v/>
      </c>
      <c r="M374" s="503" t="str">
        <f>IF(終値!A374="","",IFERROR(4*STDEVP(終値!P374:AI374)/AVERAGE(終値!P374:AI374),""))</f>
        <v/>
      </c>
      <c r="N374" s="503" t="str">
        <f>IF(終値!A374="","",IFERROR(4*STDEVP(終値!Q374:AJ374)/AVERAGE(終値!Q374:AJ374),""))</f>
        <v/>
      </c>
      <c r="O374" s="503" t="str">
        <f>IF(終値!A374="","",IFERROR(4*STDEVP(終値!R374:AK374)/AVERAGE(終値!R374:AK374),""))</f>
        <v/>
      </c>
      <c r="P374" s="503" t="str">
        <f>IF(終値!A374="","",IFERROR(4*STDEVP(終値!S374:AL374)/AVERAGE(終値!S374:AL374),""))</f>
        <v/>
      </c>
      <c r="Q374" s="503" t="str">
        <f>IF(終値!A374="","",IFERROR(4*STDEVP(終値!T374:AM374)/AVERAGE(終値!T374:AM374),""))</f>
        <v/>
      </c>
      <c r="R374" s="503" t="str">
        <f>IF(終値!A374="","",IFERROR(4*STDEVP(終値!U374:AN374)/AVERAGE(終値!U374:AN374),""))</f>
        <v/>
      </c>
      <c r="S374" s="503" t="str">
        <f>IF(終値!A374="","",IFERROR(4*STDEVP(終値!V374:AO374)/AVERAGE(終値!V374:AO374),""))</f>
        <v/>
      </c>
      <c r="T374" s="503" t="str">
        <f>IF(終値!A374="","",IFERROR(4*STDEVP(終値!W374:AP374)/AVERAGE(終値!W374:AP374),""))</f>
        <v/>
      </c>
      <c r="U374" s="503" t="str">
        <f>IF(終値!A374="","",IFERROR(4*STDEVP(終値!X374:AQ374)/AVERAGE(終値!X374:AQ374),""))</f>
        <v/>
      </c>
      <c r="V374" s="503" t="str">
        <f>IF(終値!A374="","",IFERROR(4*STDEVP(終値!Y374:AR374)/AVERAGE(終値!Y374:AR374),""))</f>
        <v/>
      </c>
      <c r="W374" s="503" t="str">
        <f>IF(終値!A374="","",IFERROR(4*STDEVP(終値!Z374:AS374)/AVERAGE(終値!Z374:AS374),""))</f>
        <v/>
      </c>
      <c r="X374" s="503" t="str">
        <f>IF(終値!A374="","",IFERROR(4*STDEVP(終値!AA374:AT374)/AVERAGE(終値!AA374:AT374),""))</f>
        <v/>
      </c>
      <c r="Y374" s="503" t="str">
        <f>IF(終値!A374="","",IFERROR(4*STDEVP(終値!AB374:AU374)/AVERAGE(終値!AB374:AU374),""))</f>
        <v/>
      </c>
      <c r="Z374" s="503" t="str">
        <f>IF(終値!A374="","",IFERROR(4*STDEVP(終値!AC374:AV374)/AVERAGE(終値!AC374:AV374),""))</f>
        <v/>
      </c>
      <c r="AA374" s="503" t="str">
        <f>IF(終値!A374="","",IFERROR(4*STDEVP(終値!AD374:AW374)/AVERAGE(終値!AD374:AW374),""))</f>
        <v/>
      </c>
      <c r="AB374" s="503" t="str">
        <f>IF(終値!A374="","",IFERROR(4*STDEVP(終値!AE374:AX374)/AVERAGE(終値!AE374:AX374),""))</f>
        <v/>
      </c>
      <c r="AC374" s="503" t="str">
        <f>IF(終値!A374="","",IFERROR(4*STDEVP(終値!AF374:AY374)/AVERAGE(終値!AF374:AY374),""))</f>
        <v/>
      </c>
      <c r="AD374" s="503" t="str">
        <f>IF(終値!A374="","",IFERROR(4*STDEVP(終値!AG374:AZ374)/AVERAGE(終値!AG374:AZ374),""))</f>
        <v/>
      </c>
      <c r="AE374" s="503" t="str">
        <f>IF(終値!A374="","",IFERROR(4*STDEVP(終値!AH374:BA374)/AVERAGE(終値!AH374:BA374),""))</f>
        <v/>
      </c>
      <c r="AF374" s="503" t="str">
        <f>IF(終値!A374="","",IFERROR(4*STDEVP(終値!AI374:BB374)/AVERAGE(終値!AI374:BB374),""))</f>
        <v/>
      </c>
      <c r="AG374" s="503" t="str">
        <f>IF(終値!A374="","",IFERROR(4*STDEVP(終値!AJ374:BC374)/AVERAGE(終値!AJ374:BC374),""))</f>
        <v/>
      </c>
      <c r="AH374" s="503" t="str">
        <f>IF(終値!A374="","",IFERROR(4*STDEVP(終値!AK374:BD374)/AVERAGE(終値!AK374:BD374),""))</f>
        <v/>
      </c>
      <c r="AI374" s="503" t="str">
        <f>IF(終値!A374="","",IFERROR(4*STDEVP(終値!AL374:BE374)/AVERAGE(終値!AL374:BE374),""))</f>
        <v/>
      </c>
      <c r="AJ374" s="503" t="str">
        <f>IF(終値!A374="","",IFERROR(4*STDEVP(終値!AM374:BF374)/AVERAGE(終値!AM374:BF374),""))</f>
        <v/>
      </c>
      <c r="AK374" s="503" t="str">
        <f>IF(終値!A374="","",IFERROR(4*STDEVP(終値!AN374:BG374)/AVERAGE(終値!AN374:BG374),""))</f>
        <v/>
      </c>
      <c r="AL374" s="503" t="str">
        <f>IF(終値!A374="","",IFERROR(4*STDEVP(終値!AO374:BH374)/AVERAGE(終値!AO374:BH374),""))</f>
        <v/>
      </c>
      <c r="AM374" s="503" t="str">
        <f>IF(終値!A374="","",IFERROR(4*STDEVP(終値!AP374:BI374)/AVERAGE(終値!AP374:BI374),""))</f>
        <v/>
      </c>
      <c r="AN374" s="503" t="str">
        <f>IF(終値!A374="","",IFERROR(4*STDEVP(終値!AQ374:BJ374)/AVERAGE(終値!AQ374:BJ374),""))</f>
        <v/>
      </c>
      <c r="AO374" s="503" t="str">
        <f>IF(終値!A374="","",IFERROR(4*STDEVP(終値!AR374:BK374)/AVERAGE(終値!AR374:BK374),""))</f>
        <v/>
      </c>
      <c r="AP374" s="503" t="str">
        <f>IF(終値!A374="","",IFERROR(4*STDEVP(終値!AS374:BL374)/AVERAGE(終値!AS374:BL374),""))</f>
        <v/>
      </c>
    </row>
    <row r="375" spans="1:42">
      <c r="A375" s="500" t="str">
        <f>IF(終値!A375="","",終値!A375)</f>
        <v/>
      </c>
      <c r="B375" s="503" t="str">
        <f>IF(終値!A375="","",IFERROR(4*STDEVP(終値!E375:X375)/AVERAGE(終値!E375:X375),""))</f>
        <v/>
      </c>
      <c r="C375" s="503" t="str">
        <f>IF(終値!A375="","",IFERROR(4*STDEVP(終値!F375:Y375)/AVERAGE(終値!F375:Y375),""))</f>
        <v/>
      </c>
      <c r="D375" s="503" t="str">
        <f>IF(終値!A375="","",IFERROR(4*STDEVP(終値!G375:Z375)/AVERAGE(終値!G375:Z375),""))</f>
        <v/>
      </c>
      <c r="E375" s="503" t="str">
        <f>IF(終値!A375="","",IFERROR(4*STDEVP(終値!H375:AA375)/AVERAGE(終値!H375:AA375),""))</f>
        <v/>
      </c>
      <c r="F375" s="503" t="str">
        <f>IF(終値!A375="","",IFERROR(4*STDEVP(終値!I375:AB375)/AVERAGE(終値!I375:AB375),""))</f>
        <v/>
      </c>
      <c r="G375" s="503" t="str">
        <f>IF(終値!A375="","",IFERROR(4*STDEVP(終値!J375:AC375)/AVERAGE(終値!J375:AC375),""))</f>
        <v/>
      </c>
      <c r="H375" s="503" t="str">
        <f>IF(終値!A375="","",IFERROR(4*STDEVP(終値!K375:AD375)/AVERAGE(終値!K375:AD375),""))</f>
        <v/>
      </c>
      <c r="I375" s="503" t="str">
        <f>IF(終値!A375="","",IFERROR(4*STDEVP(終値!L375:AE375)/AVERAGE(終値!L375:AE375),""))</f>
        <v/>
      </c>
      <c r="J375" s="503" t="str">
        <f>IF(終値!A375="","",IFERROR(4*STDEVP(終値!M375:AF375)/AVERAGE(終値!M375:AF375),""))</f>
        <v/>
      </c>
      <c r="K375" s="503" t="str">
        <f>IF(終値!A375="","",IFERROR(4*STDEVP(終値!N375:AG375)/AVERAGE(終値!N375:AG375),""))</f>
        <v/>
      </c>
      <c r="L375" s="503" t="str">
        <f>IF(終値!A375="","",IFERROR(4*STDEVP(終値!O375:AH375)/AVERAGE(終値!O375:AH375),""))</f>
        <v/>
      </c>
      <c r="M375" s="503" t="str">
        <f>IF(終値!A375="","",IFERROR(4*STDEVP(終値!P375:AI375)/AVERAGE(終値!P375:AI375),""))</f>
        <v/>
      </c>
      <c r="N375" s="503" t="str">
        <f>IF(終値!A375="","",IFERROR(4*STDEVP(終値!Q375:AJ375)/AVERAGE(終値!Q375:AJ375),""))</f>
        <v/>
      </c>
      <c r="O375" s="503" t="str">
        <f>IF(終値!A375="","",IFERROR(4*STDEVP(終値!R375:AK375)/AVERAGE(終値!R375:AK375),""))</f>
        <v/>
      </c>
      <c r="P375" s="503" t="str">
        <f>IF(終値!A375="","",IFERROR(4*STDEVP(終値!S375:AL375)/AVERAGE(終値!S375:AL375),""))</f>
        <v/>
      </c>
      <c r="Q375" s="503" t="str">
        <f>IF(終値!A375="","",IFERROR(4*STDEVP(終値!T375:AM375)/AVERAGE(終値!T375:AM375),""))</f>
        <v/>
      </c>
      <c r="R375" s="503" t="str">
        <f>IF(終値!A375="","",IFERROR(4*STDEVP(終値!U375:AN375)/AVERAGE(終値!U375:AN375),""))</f>
        <v/>
      </c>
      <c r="S375" s="503" t="str">
        <f>IF(終値!A375="","",IFERROR(4*STDEVP(終値!V375:AO375)/AVERAGE(終値!V375:AO375),""))</f>
        <v/>
      </c>
      <c r="T375" s="503" t="str">
        <f>IF(終値!A375="","",IFERROR(4*STDEVP(終値!W375:AP375)/AVERAGE(終値!W375:AP375),""))</f>
        <v/>
      </c>
      <c r="U375" s="503" t="str">
        <f>IF(終値!A375="","",IFERROR(4*STDEVP(終値!X375:AQ375)/AVERAGE(終値!X375:AQ375),""))</f>
        <v/>
      </c>
      <c r="V375" s="503" t="str">
        <f>IF(終値!A375="","",IFERROR(4*STDEVP(終値!Y375:AR375)/AVERAGE(終値!Y375:AR375),""))</f>
        <v/>
      </c>
      <c r="W375" s="503" t="str">
        <f>IF(終値!A375="","",IFERROR(4*STDEVP(終値!Z375:AS375)/AVERAGE(終値!Z375:AS375),""))</f>
        <v/>
      </c>
      <c r="X375" s="503" t="str">
        <f>IF(終値!A375="","",IFERROR(4*STDEVP(終値!AA375:AT375)/AVERAGE(終値!AA375:AT375),""))</f>
        <v/>
      </c>
      <c r="Y375" s="503" t="str">
        <f>IF(終値!A375="","",IFERROR(4*STDEVP(終値!AB375:AU375)/AVERAGE(終値!AB375:AU375),""))</f>
        <v/>
      </c>
      <c r="Z375" s="503" t="str">
        <f>IF(終値!A375="","",IFERROR(4*STDEVP(終値!AC375:AV375)/AVERAGE(終値!AC375:AV375),""))</f>
        <v/>
      </c>
      <c r="AA375" s="503" t="str">
        <f>IF(終値!A375="","",IFERROR(4*STDEVP(終値!AD375:AW375)/AVERAGE(終値!AD375:AW375),""))</f>
        <v/>
      </c>
      <c r="AB375" s="503" t="str">
        <f>IF(終値!A375="","",IFERROR(4*STDEVP(終値!AE375:AX375)/AVERAGE(終値!AE375:AX375),""))</f>
        <v/>
      </c>
      <c r="AC375" s="503" t="str">
        <f>IF(終値!A375="","",IFERROR(4*STDEVP(終値!AF375:AY375)/AVERAGE(終値!AF375:AY375),""))</f>
        <v/>
      </c>
      <c r="AD375" s="503" t="str">
        <f>IF(終値!A375="","",IFERROR(4*STDEVP(終値!AG375:AZ375)/AVERAGE(終値!AG375:AZ375),""))</f>
        <v/>
      </c>
      <c r="AE375" s="503" t="str">
        <f>IF(終値!A375="","",IFERROR(4*STDEVP(終値!AH375:BA375)/AVERAGE(終値!AH375:BA375),""))</f>
        <v/>
      </c>
      <c r="AF375" s="503" t="str">
        <f>IF(終値!A375="","",IFERROR(4*STDEVP(終値!AI375:BB375)/AVERAGE(終値!AI375:BB375),""))</f>
        <v/>
      </c>
      <c r="AG375" s="503" t="str">
        <f>IF(終値!A375="","",IFERROR(4*STDEVP(終値!AJ375:BC375)/AVERAGE(終値!AJ375:BC375),""))</f>
        <v/>
      </c>
      <c r="AH375" s="503" t="str">
        <f>IF(終値!A375="","",IFERROR(4*STDEVP(終値!AK375:BD375)/AVERAGE(終値!AK375:BD375),""))</f>
        <v/>
      </c>
      <c r="AI375" s="503" t="str">
        <f>IF(終値!A375="","",IFERROR(4*STDEVP(終値!AL375:BE375)/AVERAGE(終値!AL375:BE375),""))</f>
        <v/>
      </c>
      <c r="AJ375" s="503" t="str">
        <f>IF(終値!A375="","",IFERROR(4*STDEVP(終値!AM375:BF375)/AVERAGE(終値!AM375:BF375),""))</f>
        <v/>
      </c>
      <c r="AK375" s="503" t="str">
        <f>IF(終値!A375="","",IFERROR(4*STDEVP(終値!AN375:BG375)/AVERAGE(終値!AN375:BG375),""))</f>
        <v/>
      </c>
      <c r="AL375" s="503" t="str">
        <f>IF(終値!A375="","",IFERROR(4*STDEVP(終値!AO375:BH375)/AVERAGE(終値!AO375:BH375),""))</f>
        <v/>
      </c>
      <c r="AM375" s="503" t="str">
        <f>IF(終値!A375="","",IFERROR(4*STDEVP(終値!AP375:BI375)/AVERAGE(終値!AP375:BI375),""))</f>
        <v/>
      </c>
      <c r="AN375" s="503" t="str">
        <f>IF(終値!A375="","",IFERROR(4*STDEVP(終値!AQ375:BJ375)/AVERAGE(終値!AQ375:BJ375),""))</f>
        <v/>
      </c>
      <c r="AO375" s="503" t="str">
        <f>IF(終値!A375="","",IFERROR(4*STDEVP(終値!AR375:BK375)/AVERAGE(終値!AR375:BK375),""))</f>
        <v/>
      </c>
      <c r="AP375" s="503" t="str">
        <f>IF(終値!A375="","",IFERROR(4*STDEVP(終値!AS375:BL375)/AVERAGE(終値!AS375:BL375),""))</f>
        <v/>
      </c>
    </row>
    <row r="376" spans="1:42">
      <c r="A376" s="500" t="str">
        <f>IF(終値!A376="","",終値!A376)</f>
        <v/>
      </c>
      <c r="B376" s="503" t="str">
        <f>IF(終値!A376="","",IFERROR(4*STDEVP(終値!E376:X376)/AVERAGE(終値!E376:X376),""))</f>
        <v/>
      </c>
      <c r="C376" s="503" t="str">
        <f>IF(終値!A376="","",IFERROR(4*STDEVP(終値!F376:Y376)/AVERAGE(終値!F376:Y376),""))</f>
        <v/>
      </c>
      <c r="D376" s="503" t="str">
        <f>IF(終値!A376="","",IFERROR(4*STDEVP(終値!G376:Z376)/AVERAGE(終値!G376:Z376),""))</f>
        <v/>
      </c>
      <c r="E376" s="503" t="str">
        <f>IF(終値!A376="","",IFERROR(4*STDEVP(終値!H376:AA376)/AVERAGE(終値!H376:AA376),""))</f>
        <v/>
      </c>
      <c r="F376" s="503" t="str">
        <f>IF(終値!A376="","",IFERROR(4*STDEVP(終値!I376:AB376)/AVERAGE(終値!I376:AB376),""))</f>
        <v/>
      </c>
      <c r="G376" s="503" t="str">
        <f>IF(終値!A376="","",IFERROR(4*STDEVP(終値!J376:AC376)/AVERAGE(終値!J376:AC376),""))</f>
        <v/>
      </c>
      <c r="H376" s="503" t="str">
        <f>IF(終値!A376="","",IFERROR(4*STDEVP(終値!K376:AD376)/AVERAGE(終値!K376:AD376),""))</f>
        <v/>
      </c>
      <c r="I376" s="503" t="str">
        <f>IF(終値!A376="","",IFERROR(4*STDEVP(終値!L376:AE376)/AVERAGE(終値!L376:AE376),""))</f>
        <v/>
      </c>
      <c r="J376" s="503" t="str">
        <f>IF(終値!A376="","",IFERROR(4*STDEVP(終値!M376:AF376)/AVERAGE(終値!M376:AF376),""))</f>
        <v/>
      </c>
      <c r="K376" s="503" t="str">
        <f>IF(終値!A376="","",IFERROR(4*STDEVP(終値!N376:AG376)/AVERAGE(終値!N376:AG376),""))</f>
        <v/>
      </c>
      <c r="L376" s="503" t="str">
        <f>IF(終値!A376="","",IFERROR(4*STDEVP(終値!O376:AH376)/AVERAGE(終値!O376:AH376),""))</f>
        <v/>
      </c>
      <c r="M376" s="503" t="str">
        <f>IF(終値!A376="","",IFERROR(4*STDEVP(終値!P376:AI376)/AVERAGE(終値!P376:AI376),""))</f>
        <v/>
      </c>
      <c r="N376" s="503" t="str">
        <f>IF(終値!A376="","",IFERROR(4*STDEVP(終値!Q376:AJ376)/AVERAGE(終値!Q376:AJ376),""))</f>
        <v/>
      </c>
      <c r="O376" s="503" t="str">
        <f>IF(終値!A376="","",IFERROR(4*STDEVP(終値!R376:AK376)/AVERAGE(終値!R376:AK376),""))</f>
        <v/>
      </c>
      <c r="P376" s="503" t="str">
        <f>IF(終値!A376="","",IFERROR(4*STDEVP(終値!S376:AL376)/AVERAGE(終値!S376:AL376),""))</f>
        <v/>
      </c>
      <c r="Q376" s="503" t="str">
        <f>IF(終値!A376="","",IFERROR(4*STDEVP(終値!T376:AM376)/AVERAGE(終値!T376:AM376),""))</f>
        <v/>
      </c>
      <c r="R376" s="503" t="str">
        <f>IF(終値!A376="","",IFERROR(4*STDEVP(終値!U376:AN376)/AVERAGE(終値!U376:AN376),""))</f>
        <v/>
      </c>
      <c r="S376" s="503" t="str">
        <f>IF(終値!A376="","",IFERROR(4*STDEVP(終値!V376:AO376)/AVERAGE(終値!V376:AO376),""))</f>
        <v/>
      </c>
      <c r="T376" s="503" t="str">
        <f>IF(終値!A376="","",IFERROR(4*STDEVP(終値!W376:AP376)/AVERAGE(終値!W376:AP376),""))</f>
        <v/>
      </c>
      <c r="U376" s="503" t="str">
        <f>IF(終値!A376="","",IFERROR(4*STDEVP(終値!X376:AQ376)/AVERAGE(終値!X376:AQ376),""))</f>
        <v/>
      </c>
      <c r="V376" s="503" t="str">
        <f>IF(終値!A376="","",IFERROR(4*STDEVP(終値!Y376:AR376)/AVERAGE(終値!Y376:AR376),""))</f>
        <v/>
      </c>
      <c r="W376" s="503" t="str">
        <f>IF(終値!A376="","",IFERROR(4*STDEVP(終値!Z376:AS376)/AVERAGE(終値!Z376:AS376),""))</f>
        <v/>
      </c>
      <c r="X376" s="503" t="str">
        <f>IF(終値!A376="","",IFERROR(4*STDEVP(終値!AA376:AT376)/AVERAGE(終値!AA376:AT376),""))</f>
        <v/>
      </c>
      <c r="Y376" s="503" t="str">
        <f>IF(終値!A376="","",IFERROR(4*STDEVP(終値!AB376:AU376)/AVERAGE(終値!AB376:AU376),""))</f>
        <v/>
      </c>
      <c r="Z376" s="503" t="str">
        <f>IF(終値!A376="","",IFERROR(4*STDEVP(終値!AC376:AV376)/AVERAGE(終値!AC376:AV376),""))</f>
        <v/>
      </c>
      <c r="AA376" s="503" t="str">
        <f>IF(終値!A376="","",IFERROR(4*STDEVP(終値!AD376:AW376)/AVERAGE(終値!AD376:AW376),""))</f>
        <v/>
      </c>
      <c r="AB376" s="503" t="str">
        <f>IF(終値!A376="","",IFERROR(4*STDEVP(終値!AE376:AX376)/AVERAGE(終値!AE376:AX376),""))</f>
        <v/>
      </c>
      <c r="AC376" s="503" t="str">
        <f>IF(終値!A376="","",IFERROR(4*STDEVP(終値!AF376:AY376)/AVERAGE(終値!AF376:AY376),""))</f>
        <v/>
      </c>
      <c r="AD376" s="503" t="str">
        <f>IF(終値!A376="","",IFERROR(4*STDEVP(終値!AG376:AZ376)/AVERAGE(終値!AG376:AZ376),""))</f>
        <v/>
      </c>
      <c r="AE376" s="503" t="str">
        <f>IF(終値!A376="","",IFERROR(4*STDEVP(終値!AH376:BA376)/AVERAGE(終値!AH376:BA376),""))</f>
        <v/>
      </c>
      <c r="AF376" s="503" t="str">
        <f>IF(終値!A376="","",IFERROR(4*STDEVP(終値!AI376:BB376)/AVERAGE(終値!AI376:BB376),""))</f>
        <v/>
      </c>
      <c r="AG376" s="503" t="str">
        <f>IF(終値!A376="","",IFERROR(4*STDEVP(終値!AJ376:BC376)/AVERAGE(終値!AJ376:BC376),""))</f>
        <v/>
      </c>
      <c r="AH376" s="503" t="str">
        <f>IF(終値!A376="","",IFERROR(4*STDEVP(終値!AK376:BD376)/AVERAGE(終値!AK376:BD376),""))</f>
        <v/>
      </c>
      <c r="AI376" s="503" t="str">
        <f>IF(終値!A376="","",IFERROR(4*STDEVP(終値!AL376:BE376)/AVERAGE(終値!AL376:BE376),""))</f>
        <v/>
      </c>
      <c r="AJ376" s="503" t="str">
        <f>IF(終値!A376="","",IFERROR(4*STDEVP(終値!AM376:BF376)/AVERAGE(終値!AM376:BF376),""))</f>
        <v/>
      </c>
      <c r="AK376" s="503" t="str">
        <f>IF(終値!A376="","",IFERROR(4*STDEVP(終値!AN376:BG376)/AVERAGE(終値!AN376:BG376),""))</f>
        <v/>
      </c>
      <c r="AL376" s="503" t="str">
        <f>IF(終値!A376="","",IFERROR(4*STDEVP(終値!AO376:BH376)/AVERAGE(終値!AO376:BH376),""))</f>
        <v/>
      </c>
      <c r="AM376" s="503" t="str">
        <f>IF(終値!A376="","",IFERROR(4*STDEVP(終値!AP376:BI376)/AVERAGE(終値!AP376:BI376),""))</f>
        <v/>
      </c>
      <c r="AN376" s="503" t="str">
        <f>IF(終値!A376="","",IFERROR(4*STDEVP(終値!AQ376:BJ376)/AVERAGE(終値!AQ376:BJ376),""))</f>
        <v/>
      </c>
      <c r="AO376" s="503" t="str">
        <f>IF(終値!A376="","",IFERROR(4*STDEVP(終値!AR376:BK376)/AVERAGE(終値!AR376:BK376),""))</f>
        <v/>
      </c>
      <c r="AP376" s="503" t="str">
        <f>IF(終値!A376="","",IFERROR(4*STDEVP(終値!AS376:BL376)/AVERAGE(終値!AS376:BL376),""))</f>
        <v/>
      </c>
    </row>
    <row r="377" spans="1:42">
      <c r="A377" s="500" t="str">
        <f>IF(終値!A377="","",終値!A377)</f>
        <v/>
      </c>
      <c r="B377" s="503" t="str">
        <f>IF(終値!A377="","",IFERROR(4*STDEVP(終値!E377:X377)/AVERAGE(終値!E377:X377),""))</f>
        <v/>
      </c>
      <c r="C377" s="503" t="str">
        <f>IF(終値!A377="","",IFERROR(4*STDEVP(終値!F377:Y377)/AVERAGE(終値!F377:Y377),""))</f>
        <v/>
      </c>
      <c r="D377" s="503" t="str">
        <f>IF(終値!A377="","",IFERROR(4*STDEVP(終値!G377:Z377)/AVERAGE(終値!G377:Z377),""))</f>
        <v/>
      </c>
      <c r="E377" s="503" t="str">
        <f>IF(終値!A377="","",IFERROR(4*STDEVP(終値!H377:AA377)/AVERAGE(終値!H377:AA377),""))</f>
        <v/>
      </c>
      <c r="F377" s="503" t="str">
        <f>IF(終値!A377="","",IFERROR(4*STDEVP(終値!I377:AB377)/AVERAGE(終値!I377:AB377),""))</f>
        <v/>
      </c>
      <c r="G377" s="503" t="str">
        <f>IF(終値!A377="","",IFERROR(4*STDEVP(終値!J377:AC377)/AVERAGE(終値!J377:AC377),""))</f>
        <v/>
      </c>
      <c r="H377" s="503" t="str">
        <f>IF(終値!A377="","",IFERROR(4*STDEVP(終値!K377:AD377)/AVERAGE(終値!K377:AD377),""))</f>
        <v/>
      </c>
      <c r="I377" s="503" t="str">
        <f>IF(終値!A377="","",IFERROR(4*STDEVP(終値!L377:AE377)/AVERAGE(終値!L377:AE377),""))</f>
        <v/>
      </c>
      <c r="J377" s="503" t="str">
        <f>IF(終値!A377="","",IFERROR(4*STDEVP(終値!M377:AF377)/AVERAGE(終値!M377:AF377),""))</f>
        <v/>
      </c>
      <c r="K377" s="503" t="str">
        <f>IF(終値!A377="","",IFERROR(4*STDEVP(終値!N377:AG377)/AVERAGE(終値!N377:AG377),""))</f>
        <v/>
      </c>
      <c r="L377" s="503" t="str">
        <f>IF(終値!A377="","",IFERROR(4*STDEVP(終値!O377:AH377)/AVERAGE(終値!O377:AH377),""))</f>
        <v/>
      </c>
      <c r="M377" s="503" t="str">
        <f>IF(終値!A377="","",IFERROR(4*STDEVP(終値!P377:AI377)/AVERAGE(終値!P377:AI377),""))</f>
        <v/>
      </c>
      <c r="N377" s="503" t="str">
        <f>IF(終値!A377="","",IFERROR(4*STDEVP(終値!Q377:AJ377)/AVERAGE(終値!Q377:AJ377),""))</f>
        <v/>
      </c>
      <c r="O377" s="503" t="str">
        <f>IF(終値!A377="","",IFERROR(4*STDEVP(終値!R377:AK377)/AVERAGE(終値!R377:AK377),""))</f>
        <v/>
      </c>
      <c r="P377" s="503" t="str">
        <f>IF(終値!A377="","",IFERROR(4*STDEVP(終値!S377:AL377)/AVERAGE(終値!S377:AL377),""))</f>
        <v/>
      </c>
      <c r="Q377" s="503" t="str">
        <f>IF(終値!A377="","",IFERROR(4*STDEVP(終値!T377:AM377)/AVERAGE(終値!T377:AM377),""))</f>
        <v/>
      </c>
      <c r="R377" s="503" t="str">
        <f>IF(終値!A377="","",IFERROR(4*STDEVP(終値!U377:AN377)/AVERAGE(終値!U377:AN377),""))</f>
        <v/>
      </c>
      <c r="S377" s="503" t="str">
        <f>IF(終値!A377="","",IFERROR(4*STDEVP(終値!V377:AO377)/AVERAGE(終値!V377:AO377),""))</f>
        <v/>
      </c>
      <c r="T377" s="503" t="str">
        <f>IF(終値!A377="","",IFERROR(4*STDEVP(終値!W377:AP377)/AVERAGE(終値!W377:AP377),""))</f>
        <v/>
      </c>
      <c r="U377" s="503" t="str">
        <f>IF(終値!A377="","",IFERROR(4*STDEVP(終値!X377:AQ377)/AVERAGE(終値!X377:AQ377),""))</f>
        <v/>
      </c>
      <c r="V377" s="503" t="str">
        <f>IF(終値!A377="","",IFERROR(4*STDEVP(終値!Y377:AR377)/AVERAGE(終値!Y377:AR377),""))</f>
        <v/>
      </c>
      <c r="W377" s="503" t="str">
        <f>IF(終値!A377="","",IFERROR(4*STDEVP(終値!Z377:AS377)/AVERAGE(終値!Z377:AS377),""))</f>
        <v/>
      </c>
      <c r="X377" s="503" t="str">
        <f>IF(終値!A377="","",IFERROR(4*STDEVP(終値!AA377:AT377)/AVERAGE(終値!AA377:AT377),""))</f>
        <v/>
      </c>
      <c r="Y377" s="503" t="str">
        <f>IF(終値!A377="","",IFERROR(4*STDEVP(終値!AB377:AU377)/AVERAGE(終値!AB377:AU377),""))</f>
        <v/>
      </c>
      <c r="Z377" s="503" t="str">
        <f>IF(終値!A377="","",IFERROR(4*STDEVP(終値!AC377:AV377)/AVERAGE(終値!AC377:AV377),""))</f>
        <v/>
      </c>
      <c r="AA377" s="503" t="str">
        <f>IF(終値!A377="","",IFERROR(4*STDEVP(終値!AD377:AW377)/AVERAGE(終値!AD377:AW377),""))</f>
        <v/>
      </c>
      <c r="AB377" s="503" t="str">
        <f>IF(終値!A377="","",IFERROR(4*STDEVP(終値!AE377:AX377)/AVERAGE(終値!AE377:AX377),""))</f>
        <v/>
      </c>
      <c r="AC377" s="503" t="str">
        <f>IF(終値!A377="","",IFERROR(4*STDEVP(終値!AF377:AY377)/AVERAGE(終値!AF377:AY377),""))</f>
        <v/>
      </c>
      <c r="AD377" s="503" t="str">
        <f>IF(終値!A377="","",IFERROR(4*STDEVP(終値!AG377:AZ377)/AVERAGE(終値!AG377:AZ377),""))</f>
        <v/>
      </c>
      <c r="AE377" s="503" t="str">
        <f>IF(終値!A377="","",IFERROR(4*STDEVP(終値!AH377:BA377)/AVERAGE(終値!AH377:BA377),""))</f>
        <v/>
      </c>
      <c r="AF377" s="503" t="str">
        <f>IF(終値!A377="","",IFERROR(4*STDEVP(終値!AI377:BB377)/AVERAGE(終値!AI377:BB377),""))</f>
        <v/>
      </c>
      <c r="AG377" s="503" t="str">
        <f>IF(終値!A377="","",IFERROR(4*STDEVP(終値!AJ377:BC377)/AVERAGE(終値!AJ377:BC377),""))</f>
        <v/>
      </c>
      <c r="AH377" s="503" t="str">
        <f>IF(終値!A377="","",IFERROR(4*STDEVP(終値!AK377:BD377)/AVERAGE(終値!AK377:BD377),""))</f>
        <v/>
      </c>
      <c r="AI377" s="503" t="str">
        <f>IF(終値!A377="","",IFERROR(4*STDEVP(終値!AL377:BE377)/AVERAGE(終値!AL377:BE377),""))</f>
        <v/>
      </c>
      <c r="AJ377" s="503" t="str">
        <f>IF(終値!A377="","",IFERROR(4*STDEVP(終値!AM377:BF377)/AVERAGE(終値!AM377:BF377),""))</f>
        <v/>
      </c>
      <c r="AK377" s="503" t="str">
        <f>IF(終値!A377="","",IFERROR(4*STDEVP(終値!AN377:BG377)/AVERAGE(終値!AN377:BG377),""))</f>
        <v/>
      </c>
      <c r="AL377" s="503" t="str">
        <f>IF(終値!A377="","",IFERROR(4*STDEVP(終値!AO377:BH377)/AVERAGE(終値!AO377:BH377),""))</f>
        <v/>
      </c>
      <c r="AM377" s="503" t="str">
        <f>IF(終値!A377="","",IFERROR(4*STDEVP(終値!AP377:BI377)/AVERAGE(終値!AP377:BI377),""))</f>
        <v/>
      </c>
      <c r="AN377" s="503" t="str">
        <f>IF(終値!A377="","",IFERROR(4*STDEVP(終値!AQ377:BJ377)/AVERAGE(終値!AQ377:BJ377),""))</f>
        <v/>
      </c>
      <c r="AO377" s="503" t="str">
        <f>IF(終値!A377="","",IFERROR(4*STDEVP(終値!AR377:BK377)/AVERAGE(終値!AR377:BK377),""))</f>
        <v/>
      </c>
      <c r="AP377" s="503" t="str">
        <f>IF(終値!A377="","",IFERROR(4*STDEVP(終値!AS377:BL377)/AVERAGE(終値!AS377:BL377),""))</f>
        <v/>
      </c>
    </row>
    <row r="378" spans="1:42">
      <c r="A378" s="500" t="str">
        <f>IF(終値!A378="","",終値!A378)</f>
        <v/>
      </c>
      <c r="B378" s="503" t="str">
        <f>IF(終値!A378="","",IFERROR(4*STDEVP(終値!E378:X378)/AVERAGE(終値!E378:X378),""))</f>
        <v/>
      </c>
      <c r="C378" s="503" t="str">
        <f>IF(終値!A378="","",IFERROR(4*STDEVP(終値!F378:Y378)/AVERAGE(終値!F378:Y378),""))</f>
        <v/>
      </c>
      <c r="D378" s="503" t="str">
        <f>IF(終値!A378="","",IFERROR(4*STDEVP(終値!G378:Z378)/AVERAGE(終値!G378:Z378),""))</f>
        <v/>
      </c>
      <c r="E378" s="503" t="str">
        <f>IF(終値!A378="","",IFERROR(4*STDEVP(終値!H378:AA378)/AVERAGE(終値!H378:AA378),""))</f>
        <v/>
      </c>
      <c r="F378" s="503" t="str">
        <f>IF(終値!A378="","",IFERROR(4*STDEVP(終値!I378:AB378)/AVERAGE(終値!I378:AB378),""))</f>
        <v/>
      </c>
      <c r="G378" s="503" t="str">
        <f>IF(終値!A378="","",IFERROR(4*STDEVP(終値!J378:AC378)/AVERAGE(終値!J378:AC378),""))</f>
        <v/>
      </c>
      <c r="H378" s="503" t="str">
        <f>IF(終値!A378="","",IFERROR(4*STDEVP(終値!K378:AD378)/AVERAGE(終値!K378:AD378),""))</f>
        <v/>
      </c>
      <c r="I378" s="503" t="str">
        <f>IF(終値!A378="","",IFERROR(4*STDEVP(終値!L378:AE378)/AVERAGE(終値!L378:AE378),""))</f>
        <v/>
      </c>
      <c r="J378" s="503" t="str">
        <f>IF(終値!A378="","",IFERROR(4*STDEVP(終値!M378:AF378)/AVERAGE(終値!M378:AF378),""))</f>
        <v/>
      </c>
      <c r="K378" s="503" t="str">
        <f>IF(終値!A378="","",IFERROR(4*STDEVP(終値!N378:AG378)/AVERAGE(終値!N378:AG378),""))</f>
        <v/>
      </c>
      <c r="L378" s="503" t="str">
        <f>IF(終値!A378="","",IFERROR(4*STDEVP(終値!O378:AH378)/AVERAGE(終値!O378:AH378),""))</f>
        <v/>
      </c>
      <c r="M378" s="503" t="str">
        <f>IF(終値!A378="","",IFERROR(4*STDEVP(終値!P378:AI378)/AVERAGE(終値!P378:AI378),""))</f>
        <v/>
      </c>
      <c r="N378" s="503" t="str">
        <f>IF(終値!A378="","",IFERROR(4*STDEVP(終値!Q378:AJ378)/AVERAGE(終値!Q378:AJ378),""))</f>
        <v/>
      </c>
      <c r="O378" s="503" t="str">
        <f>IF(終値!A378="","",IFERROR(4*STDEVP(終値!R378:AK378)/AVERAGE(終値!R378:AK378),""))</f>
        <v/>
      </c>
      <c r="P378" s="503" t="str">
        <f>IF(終値!A378="","",IFERROR(4*STDEVP(終値!S378:AL378)/AVERAGE(終値!S378:AL378),""))</f>
        <v/>
      </c>
      <c r="Q378" s="503" t="str">
        <f>IF(終値!A378="","",IFERROR(4*STDEVP(終値!T378:AM378)/AVERAGE(終値!T378:AM378),""))</f>
        <v/>
      </c>
      <c r="R378" s="503" t="str">
        <f>IF(終値!A378="","",IFERROR(4*STDEVP(終値!U378:AN378)/AVERAGE(終値!U378:AN378),""))</f>
        <v/>
      </c>
      <c r="S378" s="503" t="str">
        <f>IF(終値!A378="","",IFERROR(4*STDEVP(終値!V378:AO378)/AVERAGE(終値!V378:AO378),""))</f>
        <v/>
      </c>
      <c r="T378" s="503" t="str">
        <f>IF(終値!A378="","",IFERROR(4*STDEVP(終値!W378:AP378)/AVERAGE(終値!W378:AP378),""))</f>
        <v/>
      </c>
      <c r="U378" s="503" t="str">
        <f>IF(終値!A378="","",IFERROR(4*STDEVP(終値!X378:AQ378)/AVERAGE(終値!X378:AQ378),""))</f>
        <v/>
      </c>
      <c r="V378" s="503" t="str">
        <f>IF(終値!A378="","",IFERROR(4*STDEVP(終値!Y378:AR378)/AVERAGE(終値!Y378:AR378),""))</f>
        <v/>
      </c>
      <c r="W378" s="503" t="str">
        <f>IF(終値!A378="","",IFERROR(4*STDEVP(終値!Z378:AS378)/AVERAGE(終値!Z378:AS378),""))</f>
        <v/>
      </c>
      <c r="X378" s="503" t="str">
        <f>IF(終値!A378="","",IFERROR(4*STDEVP(終値!AA378:AT378)/AVERAGE(終値!AA378:AT378),""))</f>
        <v/>
      </c>
      <c r="Y378" s="503" t="str">
        <f>IF(終値!A378="","",IFERROR(4*STDEVP(終値!AB378:AU378)/AVERAGE(終値!AB378:AU378),""))</f>
        <v/>
      </c>
      <c r="Z378" s="503" t="str">
        <f>IF(終値!A378="","",IFERROR(4*STDEVP(終値!AC378:AV378)/AVERAGE(終値!AC378:AV378),""))</f>
        <v/>
      </c>
      <c r="AA378" s="503" t="str">
        <f>IF(終値!A378="","",IFERROR(4*STDEVP(終値!AD378:AW378)/AVERAGE(終値!AD378:AW378),""))</f>
        <v/>
      </c>
      <c r="AB378" s="503" t="str">
        <f>IF(終値!A378="","",IFERROR(4*STDEVP(終値!AE378:AX378)/AVERAGE(終値!AE378:AX378),""))</f>
        <v/>
      </c>
      <c r="AC378" s="503" t="str">
        <f>IF(終値!A378="","",IFERROR(4*STDEVP(終値!AF378:AY378)/AVERAGE(終値!AF378:AY378),""))</f>
        <v/>
      </c>
      <c r="AD378" s="503" t="str">
        <f>IF(終値!A378="","",IFERROR(4*STDEVP(終値!AG378:AZ378)/AVERAGE(終値!AG378:AZ378),""))</f>
        <v/>
      </c>
      <c r="AE378" s="503" t="str">
        <f>IF(終値!A378="","",IFERROR(4*STDEVP(終値!AH378:BA378)/AVERAGE(終値!AH378:BA378),""))</f>
        <v/>
      </c>
      <c r="AF378" s="503" t="str">
        <f>IF(終値!A378="","",IFERROR(4*STDEVP(終値!AI378:BB378)/AVERAGE(終値!AI378:BB378),""))</f>
        <v/>
      </c>
      <c r="AG378" s="503" t="str">
        <f>IF(終値!A378="","",IFERROR(4*STDEVP(終値!AJ378:BC378)/AVERAGE(終値!AJ378:BC378),""))</f>
        <v/>
      </c>
      <c r="AH378" s="503" t="str">
        <f>IF(終値!A378="","",IFERROR(4*STDEVP(終値!AK378:BD378)/AVERAGE(終値!AK378:BD378),""))</f>
        <v/>
      </c>
      <c r="AI378" s="503" t="str">
        <f>IF(終値!A378="","",IFERROR(4*STDEVP(終値!AL378:BE378)/AVERAGE(終値!AL378:BE378),""))</f>
        <v/>
      </c>
      <c r="AJ378" s="503" t="str">
        <f>IF(終値!A378="","",IFERROR(4*STDEVP(終値!AM378:BF378)/AVERAGE(終値!AM378:BF378),""))</f>
        <v/>
      </c>
      <c r="AK378" s="503" t="str">
        <f>IF(終値!A378="","",IFERROR(4*STDEVP(終値!AN378:BG378)/AVERAGE(終値!AN378:BG378),""))</f>
        <v/>
      </c>
      <c r="AL378" s="503" t="str">
        <f>IF(終値!A378="","",IFERROR(4*STDEVP(終値!AO378:BH378)/AVERAGE(終値!AO378:BH378),""))</f>
        <v/>
      </c>
      <c r="AM378" s="503" t="str">
        <f>IF(終値!A378="","",IFERROR(4*STDEVP(終値!AP378:BI378)/AVERAGE(終値!AP378:BI378),""))</f>
        <v/>
      </c>
      <c r="AN378" s="503" t="str">
        <f>IF(終値!A378="","",IFERROR(4*STDEVP(終値!AQ378:BJ378)/AVERAGE(終値!AQ378:BJ378),""))</f>
        <v/>
      </c>
      <c r="AO378" s="503" t="str">
        <f>IF(終値!A378="","",IFERROR(4*STDEVP(終値!AR378:BK378)/AVERAGE(終値!AR378:BK378),""))</f>
        <v/>
      </c>
      <c r="AP378" s="503" t="str">
        <f>IF(終値!A378="","",IFERROR(4*STDEVP(終値!AS378:BL378)/AVERAGE(終値!AS378:BL378),""))</f>
        <v/>
      </c>
    </row>
    <row r="379" spans="1:42">
      <c r="A379" s="500" t="str">
        <f>IF(終値!A379="","",終値!A379)</f>
        <v/>
      </c>
      <c r="B379" s="503" t="str">
        <f>IF(終値!A379="","",IFERROR(4*STDEVP(終値!E379:X379)/AVERAGE(終値!E379:X379),""))</f>
        <v/>
      </c>
      <c r="C379" s="503" t="str">
        <f>IF(終値!A379="","",IFERROR(4*STDEVP(終値!F379:Y379)/AVERAGE(終値!F379:Y379),""))</f>
        <v/>
      </c>
      <c r="D379" s="503" t="str">
        <f>IF(終値!A379="","",IFERROR(4*STDEVP(終値!G379:Z379)/AVERAGE(終値!G379:Z379),""))</f>
        <v/>
      </c>
      <c r="E379" s="503" t="str">
        <f>IF(終値!A379="","",IFERROR(4*STDEVP(終値!H379:AA379)/AVERAGE(終値!H379:AA379),""))</f>
        <v/>
      </c>
      <c r="F379" s="503" t="str">
        <f>IF(終値!A379="","",IFERROR(4*STDEVP(終値!I379:AB379)/AVERAGE(終値!I379:AB379),""))</f>
        <v/>
      </c>
      <c r="G379" s="503" t="str">
        <f>IF(終値!A379="","",IFERROR(4*STDEVP(終値!J379:AC379)/AVERAGE(終値!J379:AC379),""))</f>
        <v/>
      </c>
      <c r="H379" s="503" t="str">
        <f>IF(終値!A379="","",IFERROR(4*STDEVP(終値!K379:AD379)/AVERAGE(終値!K379:AD379),""))</f>
        <v/>
      </c>
      <c r="I379" s="503" t="str">
        <f>IF(終値!A379="","",IFERROR(4*STDEVP(終値!L379:AE379)/AVERAGE(終値!L379:AE379),""))</f>
        <v/>
      </c>
      <c r="J379" s="503" t="str">
        <f>IF(終値!A379="","",IFERROR(4*STDEVP(終値!M379:AF379)/AVERAGE(終値!M379:AF379),""))</f>
        <v/>
      </c>
      <c r="K379" s="503" t="str">
        <f>IF(終値!A379="","",IFERROR(4*STDEVP(終値!N379:AG379)/AVERAGE(終値!N379:AG379),""))</f>
        <v/>
      </c>
      <c r="L379" s="503" t="str">
        <f>IF(終値!A379="","",IFERROR(4*STDEVP(終値!O379:AH379)/AVERAGE(終値!O379:AH379),""))</f>
        <v/>
      </c>
      <c r="M379" s="503" t="str">
        <f>IF(終値!A379="","",IFERROR(4*STDEVP(終値!P379:AI379)/AVERAGE(終値!P379:AI379),""))</f>
        <v/>
      </c>
      <c r="N379" s="503" t="str">
        <f>IF(終値!A379="","",IFERROR(4*STDEVP(終値!Q379:AJ379)/AVERAGE(終値!Q379:AJ379),""))</f>
        <v/>
      </c>
      <c r="O379" s="503" t="str">
        <f>IF(終値!A379="","",IFERROR(4*STDEVP(終値!R379:AK379)/AVERAGE(終値!R379:AK379),""))</f>
        <v/>
      </c>
      <c r="P379" s="503" t="str">
        <f>IF(終値!A379="","",IFERROR(4*STDEVP(終値!S379:AL379)/AVERAGE(終値!S379:AL379),""))</f>
        <v/>
      </c>
      <c r="Q379" s="503" t="str">
        <f>IF(終値!A379="","",IFERROR(4*STDEVP(終値!T379:AM379)/AVERAGE(終値!T379:AM379),""))</f>
        <v/>
      </c>
      <c r="R379" s="503" t="str">
        <f>IF(終値!A379="","",IFERROR(4*STDEVP(終値!U379:AN379)/AVERAGE(終値!U379:AN379),""))</f>
        <v/>
      </c>
      <c r="S379" s="503" t="str">
        <f>IF(終値!A379="","",IFERROR(4*STDEVP(終値!V379:AO379)/AVERAGE(終値!V379:AO379),""))</f>
        <v/>
      </c>
      <c r="T379" s="503" t="str">
        <f>IF(終値!A379="","",IFERROR(4*STDEVP(終値!W379:AP379)/AVERAGE(終値!W379:AP379),""))</f>
        <v/>
      </c>
      <c r="U379" s="503" t="str">
        <f>IF(終値!A379="","",IFERROR(4*STDEVP(終値!X379:AQ379)/AVERAGE(終値!X379:AQ379),""))</f>
        <v/>
      </c>
      <c r="V379" s="503" t="str">
        <f>IF(終値!A379="","",IFERROR(4*STDEVP(終値!Y379:AR379)/AVERAGE(終値!Y379:AR379),""))</f>
        <v/>
      </c>
      <c r="W379" s="503" t="str">
        <f>IF(終値!A379="","",IFERROR(4*STDEVP(終値!Z379:AS379)/AVERAGE(終値!Z379:AS379),""))</f>
        <v/>
      </c>
      <c r="X379" s="503" t="str">
        <f>IF(終値!A379="","",IFERROR(4*STDEVP(終値!AA379:AT379)/AVERAGE(終値!AA379:AT379),""))</f>
        <v/>
      </c>
      <c r="Y379" s="503" t="str">
        <f>IF(終値!A379="","",IFERROR(4*STDEVP(終値!AB379:AU379)/AVERAGE(終値!AB379:AU379),""))</f>
        <v/>
      </c>
      <c r="Z379" s="503" t="str">
        <f>IF(終値!A379="","",IFERROR(4*STDEVP(終値!AC379:AV379)/AVERAGE(終値!AC379:AV379),""))</f>
        <v/>
      </c>
      <c r="AA379" s="503" t="str">
        <f>IF(終値!A379="","",IFERROR(4*STDEVP(終値!AD379:AW379)/AVERAGE(終値!AD379:AW379),""))</f>
        <v/>
      </c>
      <c r="AB379" s="503" t="str">
        <f>IF(終値!A379="","",IFERROR(4*STDEVP(終値!AE379:AX379)/AVERAGE(終値!AE379:AX379),""))</f>
        <v/>
      </c>
      <c r="AC379" s="503" t="str">
        <f>IF(終値!A379="","",IFERROR(4*STDEVP(終値!AF379:AY379)/AVERAGE(終値!AF379:AY379),""))</f>
        <v/>
      </c>
      <c r="AD379" s="503" t="str">
        <f>IF(終値!A379="","",IFERROR(4*STDEVP(終値!AG379:AZ379)/AVERAGE(終値!AG379:AZ379),""))</f>
        <v/>
      </c>
      <c r="AE379" s="503" t="str">
        <f>IF(終値!A379="","",IFERROR(4*STDEVP(終値!AH379:BA379)/AVERAGE(終値!AH379:BA379),""))</f>
        <v/>
      </c>
      <c r="AF379" s="503" t="str">
        <f>IF(終値!A379="","",IFERROR(4*STDEVP(終値!AI379:BB379)/AVERAGE(終値!AI379:BB379),""))</f>
        <v/>
      </c>
      <c r="AG379" s="503" t="str">
        <f>IF(終値!A379="","",IFERROR(4*STDEVP(終値!AJ379:BC379)/AVERAGE(終値!AJ379:BC379),""))</f>
        <v/>
      </c>
      <c r="AH379" s="503" t="str">
        <f>IF(終値!A379="","",IFERROR(4*STDEVP(終値!AK379:BD379)/AVERAGE(終値!AK379:BD379),""))</f>
        <v/>
      </c>
      <c r="AI379" s="503" t="str">
        <f>IF(終値!A379="","",IFERROR(4*STDEVP(終値!AL379:BE379)/AVERAGE(終値!AL379:BE379),""))</f>
        <v/>
      </c>
      <c r="AJ379" s="503" t="str">
        <f>IF(終値!A379="","",IFERROR(4*STDEVP(終値!AM379:BF379)/AVERAGE(終値!AM379:BF379),""))</f>
        <v/>
      </c>
      <c r="AK379" s="503" t="str">
        <f>IF(終値!A379="","",IFERROR(4*STDEVP(終値!AN379:BG379)/AVERAGE(終値!AN379:BG379),""))</f>
        <v/>
      </c>
      <c r="AL379" s="503" t="str">
        <f>IF(終値!A379="","",IFERROR(4*STDEVP(終値!AO379:BH379)/AVERAGE(終値!AO379:BH379),""))</f>
        <v/>
      </c>
      <c r="AM379" s="503" t="str">
        <f>IF(終値!A379="","",IFERROR(4*STDEVP(終値!AP379:BI379)/AVERAGE(終値!AP379:BI379),""))</f>
        <v/>
      </c>
      <c r="AN379" s="503" t="str">
        <f>IF(終値!A379="","",IFERROR(4*STDEVP(終値!AQ379:BJ379)/AVERAGE(終値!AQ379:BJ379),""))</f>
        <v/>
      </c>
      <c r="AO379" s="503" t="str">
        <f>IF(終値!A379="","",IFERROR(4*STDEVP(終値!AR379:BK379)/AVERAGE(終値!AR379:BK379),""))</f>
        <v/>
      </c>
      <c r="AP379" s="503" t="str">
        <f>IF(終値!A379="","",IFERROR(4*STDEVP(終値!AS379:BL379)/AVERAGE(終値!AS379:BL379),""))</f>
        <v/>
      </c>
    </row>
    <row r="380" spans="1:42">
      <c r="A380" s="500" t="str">
        <f>IF(終値!A380="","",終値!A380)</f>
        <v/>
      </c>
      <c r="B380" s="503" t="str">
        <f>IF(終値!A380="","",IFERROR(4*STDEVP(終値!E380:X380)/AVERAGE(終値!E380:X380),""))</f>
        <v/>
      </c>
      <c r="C380" s="503" t="str">
        <f>IF(終値!A380="","",IFERROR(4*STDEVP(終値!F380:Y380)/AVERAGE(終値!F380:Y380),""))</f>
        <v/>
      </c>
      <c r="D380" s="503" t="str">
        <f>IF(終値!A380="","",IFERROR(4*STDEVP(終値!G380:Z380)/AVERAGE(終値!G380:Z380),""))</f>
        <v/>
      </c>
      <c r="E380" s="503" t="str">
        <f>IF(終値!A380="","",IFERROR(4*STDEVP(終値!H380:AA380)/AVERAGE(終値!H380:AA380),""))</f>
        <v/>
      </c>
      <c r="F380" s="503" t="str">
        <f>IF(終値!A380="","",IFERROR(4*STDEVP(終値!I380:AB380)/AVERAGE(終値!I380:AB380),""))</f>
        <v/>
      </c>
      <c r="G380" s="503" t="str">
        <f>IF(終値!A380="","",IFERROR(4*STDEVP(終値!J380:AC380)/AVERAGE(終値!J380:AC380),""))</f>
        <v/>
      </c>
      <c r="H380" s="503" t="str">
        <f>IF(終値!A380="","",IFERROR(4*STDEVP(終値!K380:AD380)/AVERAGE(終値!K380:AD380),""))</f>
        <v/>
      </c>
      <c r="I380" s="503" t="str">
        <f>IF(終値!A380="","",IFERROR(4*STDEVP(終値!L380:AE380)/AVERAGE(終値!L380:AE380),""))</f>
        <v/>
      </c>
      <c r="J380" s="503" t="str">
        <f>IF(終値!A380="","",IFERROR(4*STDEVP(終値!M380:AF380)/AVERAGE(終値!M380:AF380),""))</f>
        <v/>
      </c>
      <c r="K380" s="503" t="str">
        <f>IF(終値!A380="","",IFERROR(4*STDEVP(終値!N380:AG380)/AVERAGE(終値!N380:AG380),""))</f>
        <v/>
      </c>
      <c r="L380" s="503" t="str">
        <f>IF(終値!A380="","",IFERROR(4*STDEVP(終値!O380:AH380)/AVERAGE(終値!O380:AH380),""))</f>
        <v/>
      </c>
      <c r="M380" s="503" t="str">
        <f>IF(終値!A380="","",IFERROR(4*STDEVP(終値!P380:AI380)/AVERAGE(終値!P380:AI380),""))</f>
        <v/>
      </c>
      <c r="N380" s="503" t="str">
        <f>IF(終値!A380="","",IFERROR(4*STDEVP(終値!Q380:AJ380)/AVERAGE(終値!Q380:AJ380),""))</f>
        <v/>
      </c>
      <c r="O380" s="503" t="str">
        <f>IF(終値!A380="","",IFERROR(4*STDEVP(終値!R380:AK380)/AVERAGE(終値!R380:AK380),""))</f>
        <v/>
      </c>
      <c r="P380" s="503" t="str">
        <f>IF(終値!A380="","",IFERROR(4*STDEVP(終値!S380:AL380)/AVERAGE(終値!S380:AL380),""))</f>
        <v/>
      </c>
      <c r="Q380" s="503" t="str">
        <f>IF(終値!A380="","",IFERROR(4*STDEVP(終値!T380:AM380)/AVERAGE(終値!T380:AM380),""))</f>
        <v/>
      </c>
      <c r="R380" s="503" t="str">
        <f>IF(終値!A380="","",IFERROR(4*STDEVP(終値!U380:AN380)/AVERAGE(終値!U380:AN380),""))</f>
        <v/>
      </c>
      <c r="S380" s="503" t="str">
        <f>IF(終値!A380="","",IFERROR(4*STDEVP(終値!V380:AO380)/AVERAGE(終値!V380:AO380),""))</f>
        <v/>
      </c>
      <c r="T380" s="503" t="str">
        <f>IF(終値!A380="","",IFERROR(4*STDEVP(終値!W380:AP380)/AVERAGE(終値!W380:AP380),""))</f>
        <v/>
      </c>
      <c r="U380" s="503" t="str">
        <f>IF(終値!A380="","",IFERROR(4*STDEVP(終値!X380:AQ380)/AVERAGE(終値!X380:AQ380),""))</f>
        <v/>
      </c>
      <c r="V380" s="503" t="str">
        <f>IF(終値!A380="","",IFERROR(4*STDEVP(終値!Y380:AR380)/AVERAGE(終値!Y380:AR380),""))</f>
        <v/>
      </c>
      <c r="W380" s="503" t="str">
        <f>IF(終値!A380="","",IFERROR(4*STDEVP(終値!Z380:AS380)/AVERAGE(終値!Z380:AS380),""))</f>
        <v/>
      </c>
      <c r="X380" s="503" t="str">
        <f>IF(終値!A380="","",IFERROR(4*STDEVP(終値!AA380:AT380)/AVERAGE(終値!AA380:AT380),""))</f>
        <v/>
      </c>
      <c r="Y380" s="503" t="str">
        <f>IF(終値!A380="","",IFERROR(4*STDEVP(終値!AB380:AU380)/AVERAGE(終値!AB380:AU380),""))</f>
        <v/>
      </c>
      <c r="Z380" s="503" t="str">
        <f>IF(終値!A380="","",IFERROR(4*STDEVP(終値!AC380:AV380)/AVERAGE(終値!AC380:AV380),""))</f>
        <v/>
      </c>
      <c r="AA380" s="503" t="str">
        <f>IF(終値!A380="","",IFERROR(4*STDEVP(終値!AD380:AW380)/AVERAGE(終値!AD380:AW380),""))</f>
        <v/>
      </c>
      <c r="AB380" s="503" t="str">
        <f>IF(終値!A380="","",IFERROR(4*STDEVP(終値!AE380:AX380)/AVERAGE(終値!AE380:AX380),""))</f>
        <v/>
      </c>
      <c r="AC380" s="503" t="str">
        <f>IF(終値!A380="","",IFERROR(4*STDEVP(終値!AF380:AY380)/AVERAGE(終値!AF380:AY380),""))</f>
        <v/>
      </c>
      <c r="AD380" s="503" t="str">
        <f>IF(終値!A380="","",IFERROR(4*STDEVP(終値!AG380:AZ380)/AVERAGE(終値!AG380:AZ380),""))</f>
        <v/>
      </c>
      <c r="AE380" s="503" t="str">
        <f>IF(終値!A380="","",IFERROR(4*STDEVP(終値!AH380:BA380)/AVERAGE(終値!AH380:BA380),""))</f>
        <v/>
      </c>
      <c r="AF380" s="503" t="str">
        <f>IF(終値!A380="","",IFERROR(4*STDEVP(終値!AI380:BB380)/AVERAGE(終値!AI380:BB380),""))</f>
        <v/>
      </c>
      <c r="AG380" s="503" t="str">
        <f>IF(終値!A380="","",IFERROR(4*STDEVP(終値!AJ380:BC380)/AVERAGE(終値!AJ380:BC380),""))</f>
        <v/>
      </c>
      <c r="AH380" s="503" t="str">
        <f>IF(終値!A380="","",IFERROR(4*STDEVP(終値!AK380:BD380)/AVERAGE(終値!AK380:BD380),""))</f>
        <v/>
      </c>
      <c r="AI380" s="503" t="str">
        <f>IF(終値!A380="","",IFERROR(4*STDEVP(終値!AL380:BE380)/AVERAGE(終値!AL380:BE380),""))</f>
        <v/>
      </c>
      <c r="AJ380" s="503" t="str">
        <f>IF(終値!A380="","",IFERROR(4*STDEVP(終値!AM380:BF380)/AVERAGE(終値!AM380:BF380),""))</f>
        <v/>
      </c>
      <c r="AK380" s="503" t="str">
        <f>IF(終値!A380="","",IFERROR(4*STDEVP(終値!AN380:BG380)/AVERAGE(終値!AN380:BG380),""))</f>
        <v/>
      </c>
      <c r="AL380" s="503" t="str">
        <f>IF(終値!A380="","",IFERROR(4*STDEVP(終値!AO380:BH380)/AVERAGE(終値!AO380:BH380),""))</f>
        <v/>
      </c>
      <c r="AM380" s="503" t="str">
        <f>IF(終値!A380="","",IFERROR(4*STDEVP(終値!AP380:BI380)/AVERAGE(終値!AP380:BI380),""))</f>
        <v/>
      </c>
      <c r="AN380" s="503" t="str">
        <f>IF(終値!A380="","",IFERROR(4*STDEVP(終値!AQ380:BJ380)/AVERAGE(終値!AQ380:BJ380),""))</f>
        <v/>
      </c>
      <c r="AO380" s="503" t="str">
        <f>IF(終値!A380="","",IFERROR(4*STDEVP(終値!AR380:BK380)/AVERAGE(終値!AR380:BK380),""))</f>
        <v/>
      </c>
      <c r="AP380" s="503" t="str">
        <f>IF(終値!A380="","",IFERROR(4*STDEVP(終値!AS380:BL380)/AVERAGE(終値!AS380:BL380),""))</f>
        <v/>
      </c>
    </row>
    <row r="381" spans="1:42">
      <c r="A381" s="500" t="str">
        <f>IF(終値!A381="","",終値!A381)</f>
        <v/>
      </c>
      <c r="B381" s="503" t="str">
        <f>IF(終値!A381="","",IFERROR(4*STDEVP(終値!E381:X381)/AVERAGE(終値!E381:X381),""))</f>
        <v/>
      </c>
      <c r="C381" s="503" t="str">
        <f>IF(終値!A381="","",IFERROR(4*STDEVP(終値!F381:Y381)/AVERAGE(終値!F381:Y381),""))</f>
        <v/>
      </c>
      <c r="D381" s="503" t="str">
        <f>IF(終値!A381="","",IFERROR(4*STDEVP(終値!G381:Z381)/AVERAGE(終値!G381:Z381),""))</f>
        <v/>
      </c>
      <c r="E381" s="503" t="str">
        <f>IF(終値!A381="","",IFERROR(4*STDEVP(終値!H381:AA381)/AVERAGE(終値!H381:AA381),""))</f>
        <v/>
      </c>
      <c r="F381" s="503" t="str">
        <f>IF(終値!A381="","",IFERROR(4*STDEVP(終値!I381:AB381)/AVERAGE(終値!I381:AB381),""))</f>
        <v/>
      </c>
      <c r="G381" s="503" t="str">
        <f>IF(終値!A381="","",IFERROR(4*STDEVP(終値!J381:AC381)/AVERAGE(終値!J381:AC381),""))</f>
        <v/>
      </c>
      <c r="H381" s="503" t="str">
        <f>IF(終値!A381="","",IFERROR(4*STDEVP(終値!K381:AD381)/AVERAGE(終値!K381:AD381),""))</f>
        <v/>
      </c>
      <c r="I381" s="503" t="str">
        <f>IF(終値!A381="","",IFERROR(4*STDEVP(終値!L381:AE381)/AVERAGE(終値!L381:AE381),""))</f>
        <v/>
      </c>
      <c r="J381" s="503" t="str">
        <f>IF(終値!A381="","",IFERROR(4*STDEVP(終値!M381:AF381)/AVERAGE(終値!M381:AF381),""))</f>
        <v/>
      </c>
      <c r="K381" s="503" t="str">
        <f>IF(終値!A381="","",IFERROR(4*STDEVP(終値!N381:AG381)/AVERAGE(終値!N381:AG381),""))</f>
        <v/>
      </c>
      <c r="L381" s="503" t="str">
        <f>IF(終値!A381="","",IFERROR(4*STDEVP(終値!O381:AH381)/AVERAGE(終値!O381:AH381),""))</f>
        <v/>
      </c>
      <c r="M381" s="503" t="str">
        <f>IF(終値!A381="","",IFERROR(4*STDEVP(終値!P381:AI381)/AVERAGE(終値!P381:AI381),""))</f>
        <v/>
      </c>
      <c r="N381" s="503" t="str">
        <f>IF(終値!A381="","",IFERROR(4*STDEVP(終値!Q381:AJ381)/AVERAGE(終値!Q381:AJ381),""))</f>
        <v/>
      </c>
      <c r="O381" s="503" t="str">
        <f>IF(終値!A381="","",IFERROR(4*STDEVP(終値!R381:AK381)/AVERAGE(終値!R381:AK381),""))</f>
        <v/>
      </c>
      <c r="P381" s="503" t="str">
        <f>IF(終値!A381="","",IFERROR(4*STDEVP(終値!S381:AL381)/AVERAGE(終値!S381:AL381),""))</f>
        <v/>
      </c>
      <c r="Q381" s="503" t="str">
        <f>IF(終値!A381="","",IFERROR(4*STDEVP(終値!T381:AM381)/AVERAGE(終値!T381:AM381),""))</f>
        <v/>
      </c>
      <c r="R381" s="503" t="str">
        <f>IF(終値!A381="","",IFERROR(4*STDEVP(終値!U381:AN381)/AVERAGE(終値!U381:AN381),""))</f>
        <v/>
      </c>
      <c r="S381" s="503" t="str">
        <f>IF(終値!A381="","",IFERROR(4*STDEVP(終値!V381:AO381)/AVERAGE(終値!V381:AO381),""))</f>
        <v/>
      </c>
      <c r="T381" s="503" t="str">
        <f>IF(終値!A381="","",IFERROR(4*STDEVP(終値!W381:AP381)/AVERAGE(終値!W381:AP381),""))</f>
        <v/>
      </c>
      <c r="U381" s="503" t="str">
        <f>IF(終値!A381="","",IFERROR(4*STDEVP(終値!X381:AQ381)/AVERAGE(終値!X381:AQ381),""))</f>
        <v/>
      </c>
      <c r="V381" s="503" t="str">
        <f>IF(終値!A381="","",IFERROR(4*STDEVP(終値!Y381:AR381)/AVERAGE(終値!Y381:AR381),""))</f>
        <v/>
      </c>
      <c r="W381" s="503" t="str">
        <f>IF(終値!A381="","",IFERROR(4*STDEVP(終値!Z381:AS381)/AVERAGE(終値!Z381:AS381),""))</f>
        <v/>
      </c>
      <c r="X381" s="503" t="str">
        <f>IF(終値!A381="","",IFERROR(4*STDEVP(終値!AA381:AT381)/AVERAGE(終値!AA381:AT381),""))</f>
        <v/>
      </c>
      <c r="Y381" s="503" t="str">
        <f>IF(終値!A381="","",IFERROR(4*STDEVP(終値!AB381:AU381)/AVERAGE(終値!AB381:AU381),""))</f>
        <v/>
      </c>
      <c r="Z381" s="503" t="str">
        <f>IF(終値!A381="","",IFERROR(4*STDEVP(終値!AC381:AV381)/AVERAGE(終値!AC381:AV381),""))</f>
        <v/>
      </c>
      <c r="AA381" s="503" t="str">
        <f>IF(終値!A381="","",IFERROR(4*STDEVP(終値!AD381:AW381)/AVERAGE(終値!AD381:AW381),""))</f>
        <v/>
      </c>
      <c r="AB381" s="503" t="str">
        <f>IF(終値!A381="","",IFERROR(4*STDEVP(終値!AE381:AX381)/AVERAGE(終値!AE381:AX381),""))</f>
        <v/>
      </c>
      <c r="AC381" s="503" t="str">
        <f>IF(終値!A381="","",IFERROR(4*STDEVP(終値!AF381:AY381)/AVERAGE(終値!AF381:AY381),""))</f>
        <v/>
      </c>
      <c r="AD381" s="503" t="str">
        <f>IF(終値!A381="","",IFERROR(4*STDEVP(終値!AG381:AZ381)/AVERAGE(終値!AG381:AZ381),""))</f>
        <v/>
      </c>
      <c r="AE381" s="503" t="str">
        <f>IF(終値!A381="","",IFERROR(4*STDEVP(終値!AH381:BA381)/AVERAGE(終値!AH381:BA381),""))</f>
        <v/>
      </c>
      <c r="AF381" s="503" t="str">
        <f>IF(終値!A381="","",IFERROR(4*STDEVP(終値!AI381:BB381)/AVERAGE(終値!AI381:BB381),""))</f>
        <v/>
      </c>
      <c r="AG381" s="503" t="str">
        <f>IF(終値!A381="","",IFERROR(4*STDEVP(終値!AJ381:BC381)/AVERAGE(終値!AJ381:BC381),""))</f>
        <v/>
      </c>
      <c r="AH381" s="503" t="str">
        <f>IF(終値!A381="","",IFERROR(4*STDEVP(終値!AK381:BD381)/AVERAGE(終値!AK381:BD381),""))</f>
        <v/>
      </c>
      <c r="AI381" s="503" t="str">
        <f>IF(終値!A381="","",IFERROR(4*STDEVP(終値!AL381:BE381)/AVERAGE(終値!AL381:BE381),""))</f>
        <v/>
      </c>
      <c r="AJ381" s="503" t="str">
        <f>IF(終値!A381="","",IFERROR(4*STDEVP(終値!AM381:BF381)/AVERAGE(終値!AM381:BF381),""))</f>
        <v/>
      </c>
      <c r="AK381" s="503" t="str">
        <f>IF(終値!A381="","",IFERROR(4*STDEVP(終値!AN381:BG381)/AVERAGE(終値!AN381:BG381),""))</f>
        <v/>
      </c>
      <c r="AL381" s="503" t="str">
        <f>IF(終値!A381="","",IFERROR(4*STDEVP(終値!AO381:BH381)/AVERAGE(終値!AO381:BH381),""))</f>
        <v/>
      </c>
      <c r="AM381" s="503" t="str">
        <f>IF(終値!A381="","",IFERROR(4*STDEVP(終値!AP381:BI381)/AVERAGE(終値!AP381:BI381),""))</f>
        <v/>
      </c>
      <c r="AN381" s="503" t="str">
        <f>IF(終値!A381="","",IFERROR(4*STDEVP(終値!AQ381:BJ381)/AVERAGE(終値!AQ381:BJ381),""))</f>
        <v/>
      </c>
      <c r="AO381" s="503" t="str">
        <f>IF(終値!A381="","",IFERROR(4*STDEVP(終値!AR381:BK381)/AVERAGE(終値!AR381:BK381),""))</f>
        <v/>
      </c>
      <c r="AP381" s="503" t="str">
        <f>IF(終値!A381="","",IFERROR(4*STDEVP(終値!AS381:BL381)/AVERAGE(終値!AS381:BL381),""))</f>
        <v/>
      </c>
    </row>
    <row r="382" spans="1:42">
      <c r="A382" s="500" t="str">
        <f>IF(終値!A382="","",終値!A382)</f>
        <v/>
      </c>
      <c r="B382" s="503" t="str">
        <f>IF(終値!A382="","",IFERROR(4*STDEVP(終値!E382:X382)/AVERAGE(終値!E382:X382),""))</f>
        <v/>
      </c>
      <c r="C382" s="503" t="str">
        <f>IF(終値!A382="","",IFERROR(4*STDEVP(終値!F382:Y382)/AVERAGE(終値!F382:Y382),""))</f>
        <v/>
      </c>
      <c r="D382" s="503" t="str">
        <f>IF(終値!A382="","",IFERROR(4*STDEVP(終値!G382:Z382)/AVERAGE(終値!G382:Z382),""))</f>
        <v/>
      </c>
      <c r="E382" s="503" t="str">
        <f>IF(終値!A382="","",IFERROR(4*STDEVP(終値!H382:AA382)/AVERAGE(終値!H382:AA382),""))</f>
        <v/>
      </c>
      <c r="F382" s="503" t="str">
        <f>IF(終値!A382="","",IFERROR(4*STDEVP(終値!I382:AB382)/AVERAGE(終値!I382:AB382),""))</f>
        <v/>
      </c>
      <c r="G382" s="503" t="str">
        <f>IF(終値!A382="","",IFERROR(4*STDEVP(終値!J382:AC382)/AVERAGE(終値!J382:AC382),""))</f>
        <v/>
      </c>
      <c r="H382" s="503" t="str">
        <f>IF(終値!A382="","",IFERROR(4*STDEVP(終値!K382:AD382)/AVERAGE(終値!K382:AD382),""))</f>
        <v/>
      </c>
      <c r="I382" s="503" t="str">
        <f>IF(終値!A382="","",IFERROR(4*STDEVP(終値!L382:AE382)/AVERAGE(終値!L382:AE382),""))</f>
        <v/>
      </c>
      <c r="J382" s="503" t="str">
        <f>IF(終値!A382="","",IFERROR(4*STDEVP(終値!M382:AF382)/AVERAGE(終値!M382:AF382),""))</f>
        <v/>
      </c>
      <c r="K382" s="503" t="str">
        <f>IF(終値!A382="","",IFERROR(4*STDEVP(終値!N382:AG382)/AVERAGE(終値!N382:AG382),""))</f>
        <v/>
      </c>
      <c r="L382" s="503" t="str">
        <f>IF(終値!A382="","",IFERROR(4*STDEVP(終値!O382:AH382)/AVERAGE(終値!O382:AH382),""))</f>
        <v/>
      </c>
      <c r="M382" s="503" t="str">
        <f>IF(終値!A382="","",IFERROR(4*STDEVP(終値!P382:AI382)/AVERAGE(終値!P382:AI382),""))</f>
        <v/>
      </c>
      <c r="N382" s="503" t="str">
        <f>IF(終値!A382="","",IFERROR(4*STDEVP(終値!Q382:AJ382)/AVERAGE(終値!Q382:AJ382),""))</f>
        <v/>
      </c>
      <c r="O382" s="503" t="str">
        <f>IF(終値!A382="","",IFERROR(4*STDEVP(終値!R382:AK382)/AVERAGE(終値!R382:AK382),""))</f>
        <v/>
      </c>
      <c r="P382" s="503" t="str">
        <f>IF(終値!A382="","",IFERROR(4*STDEVP(終値!S382:AL382)/AVERAGE(終値!S382:AL382),""))</f>
        <v/>
      </c>
      <c r="Q382" s="503" t="str">
        <f>IF(終値!A382="","",IFERROR(4*STDEVP(終値!T382:AM382)/AVERAGE(終値!T382:AM382),""))</f>
        <v/>
      </c>
      <c r="R382" s="503" t="str">
        <f>IF(終値!A382="","",IFERROR(4*STDEVP(終値!U382:AN382)/AVERAGE(終値!U382:AN382),""))</f>
        <v/>
      </c>
      <c r="S382" s="503" t="str">
        <f>IF(終値!A382="","",IFERROR(4*STDEVP(終値!V382:AO382)/AVERAGE(終値!V382:AO382),""))</f>
        <v/>
      </c>
      <c r="T382" s="503" t="str">
        <f>IF(終値!A382="","",IFERROR(4*STDEVP(終値!W382:AP382)/AVERAGE(終値!W382:AP382),""))</f>
        <v/>
      </c>
      <c r="U382" s="503" t="str">
        <f>IF(終値!A382="","",IFERROR(4*STDEVP(終値!X382:AQ382)/AVERAGE(終値!X382:AQ382),""))</f>
        <v/>
      </c>
      <c r="V382" s="503" t="str">
        <f>IF(終値!A382="","",IFERROR(4*STDEVP(終値!Y382:AR382)/AVERAGE(終値!Y382:AR382),""))</f>
        <v/>
      </c>
      <c r="W382" s="503" t="str">
        <f>IF(終値!A382="","",IFERROR(4*STDEVP(終値!Z382:AS382)/AVERAGE(終値!Z382:AS382),""))</f>
        <v/>
      </c>
      <c r="X382" s="503" t="str">
        <f>IF(終値!A382="","",IFERROR(4*STDEVP(終値!AA382:AT382)/AVERAGE(終値!AA382:AT382),""))</f>
        <v/>
      </c>
      <c r="Y382" s="503" t="str">
        <f>IF(終値!A382="","",IFERROR(4*STDEVP(終値!AB382:AU382)/AVERAGE(終値!AB382:AU382),""))</f>
        <v/>
      </c>
      <c r="Z382" s="503" t="str">
        <f>IF(終値!A382="","",IFERROR(4*STDEVP(終値!AC382:AV382)/AVERAGE(終値!AC382:AV382),""))</f>
        <v/>
      </c>
      <c r="AA382" s="503" t="str">
        <f>IF(終値!A382="","",IFERROR(4*STDEVP(終値!AD382:AW382)/AVERAGE(終値!AD382:AW382),""))</f>
        <v/>
      </c>
      <c r="AB382" s="503" t="str">
        <f>IF(終値!A382="","",IFERROR(4*STDEVP(終値!AE382:AX382)/AVERAGE(終値!AE382:AX382),""))</f>
        <v/>
      </c>
      <c r="AC382" s="503" t="str">
        <f>IF(終値!A382="","",IFERROR(4*STDEVP(終値!AF382:AY382)/AVERAGE(終値!AF382:AY382),""))</f>
        <v/>
      </c>
      <c r="AD382" s="503" t="str">
        <f>IF(終値!A382="","",IFERROR(4*STDEVP(終値!AG382:AZ382)/AVERAGE(終値!AG382:AZ382),""))</f>
        <v/>
      </c>
      <c r="AE382" s="503" t="str">
        <f>IF(終値!A382="","",IFERROR(4*STDEVP(終値!AH382:BA382)/AVERAGE(終値!AH382:BA382),""))</f>
        <v/>
      </c>
      <c r="AF382" s="503" t="str">
        <f>IF(終値!A382="","",IFERROR(4*STDEVP(終値!AI382:BB382)/AVERAGE(終値!AI382:BB382),""))</f>
        <v/>
      </c>
      <c r="AG382" s="503" t="str">
        <f>IF(終値!A382="","",IFERROR(4*STDEVP(終値!AJ382:BC382)/AVERAGE(終値!AJ382:BC382),""))</f>
        <v/>
      </c>
      <c r="AH382" s="503" t="str">
        <f>IF(終値!A382="","",IFERROR(4*STDEVP(終値!AK382:BD382)/AVERAGE(終値!AK382:BD382),""))</f>
        <v/>
      </c>
      <c r="AI382" s="503" t="str">
        <f>IF(終値!A382="","",IFERROR(4*STDEVP(終値!AL382:BE382)/AVERAGE(終値!AL382:BE382),""))</f>
        <v/>
      </c>
      <c r="AJ382" s="503" t="str">
        <f>IF(終値!A382="","",IFERROR(4*STDEVP(終値!AM382:BF382)/AVERAGE(終値!AM382:BF382),""))</f>
        <v/>
      </c>
      <c r="AK382" s="503" t="str">
        <f>IF(終値!A382="","",IFERROR(4*STDEVP(終値!AN382:BG382)/AVERAGE(終値!AN382:BG382),""))</f>
        <v/>
      </c>
      <c r="AL382" s="503" t="str">
        <f>IF(終値!A382="","",IFERROR(4*STDEVP(終値!AO382:BH382)/AVERAGE(終値!AO382:BH382),""))</f>
        <v/>
      </c>
      <c r="AM382" s="503" t="str">
        <f>IF(終値!A382="","",IFERROR(4*STDEVP(終値!AP382:BI382)/AVERAGE(終値!AP382:BI382),""))</f>
        <v/>
      </c>
      <c r="AN382" s="503" t="str">
        <f>IF(終値!A382="","",IFERROR(4*STDEVP(終値!AQ382:BJ382)/AVERAGE(終値!AQ382:BJ382),""))</f>
        <v/>
      </c>
      <c r="AO382" s="503" t="str">
        <f>IF(終値!A382="","",IFERROR(4*STDEVP(終値!AR382:BK382)/AVERAGE(終値!AR382:BK382),""))</f>
        <v/>
      </c>
      <c r="AP382" s="503" t="str">
        <f>IF(終値!A382="","",IFERROR(4*STDEVP(終値!AS382:BL382)/AVERAGE(終値!AS382:BL382),""))</f>
        <v/>
      </c>
    </row>
    <row r="383" spans="1:42">
      <c r="A383" s="500" t="str">
        <f>IF(終値!A383="","",終値!A383)</f>
        <v/>
      </c>
      <c r="B383" s="503" t="str">
        <f>IF(終値!A383="","",IFERROR(4*STDEVP(終値!E383:X383)/AVERAGE(終値!E383:X383),""))</f>
        <v/>
      </c>
      <c r="C383" s="503" t="str">
        <f>IF(終値!A383="","",IFERROR(4*STDEVP(終値!F383:Y383)/AVERAGE(終値!F383:Y383),""))</f>
        <v/>
      </c>
      <c r="D383" s="503" t="str">
        <f>IF(終値!A383="","",IFERROR(4*STDEVP(終値!G383:Z383)/AVERAGE(終値!G383:Z383),""))</f>
        <v/>
      </c>
      <c r="E383" s="503" t="str">
        <f>IF(終値!A383="","",IFERROR(4*STDEVP(終値!H383:AA383)/AVERAGE(終値!H383:AA383),""))</f>
        <v/>
      </c>
      <c r="F383" s="503" t="str">
        <f>IF(終値!A383="","",IFERROR(4*STDEVP(終値!I383:AB383)/AVERAGE(終値!I383:AB383),""))</f>
        <v/>
      </c>
      <c r="G383" s="503" t="str">
        <f>IF(終値!A383="","",IFERROR(4*STDEVP(終値!J383:AC383)/AVERAGE(終値!J383:AC383),""))</f>
        <v/>
      </c>
      <c r="H383" s="503" t="str">
        <f>IF(終値!A383="","",IFERROR(4*STDEVP(終値!K383:AD383)/AVERAGE(終値!K383:AD383),""))</f>
        <v/>
      </c>
      <c r="I383" s="503" t="str">
        <f>IF(終値!A383="","",IFERROR(4*STDEVP(終値!L383:AE383)/AVERAGE(終値!L383:AE383),""))</f>
        <v/>
      </c>
      <c r="J383" s="503" t="str">
        <f>IF(終値!A383="","",IFERROR(4*STDEVP(終値!M383:AF383)/AVERAGE(終値!M383:AF383),""))</f>
        <v/>
      </c>
      <c r="K383" s="503" t="str">
        <f>IF(終値!A383="","",IFERROR(4*STDEVP(終値!N383:AG383)/AVERAGE(終値!N383:AG383),""))</f>
        <v/>
      </c>
      <c r="L383" s="503" t="str">
        <f>IF(終値!A383="","",IFERROR(4*STDEVP(終値!O383:AH383)/AVERAGE(終値!O383:AH383),""))</f>
        <v/>
      </c>
      <c r="M383" s="503" t="str">
        <f>IF(終値!A383="","",IFERROR(4*STDEVP(終値!P383:AI383)/AVERAGE(終値!P383:AI383),""))</f>
        <v/>
      </c>
      <c r="N383" s="503" t="str">
        <f>IF(終値!A383="","",IFERROR(4*STDEVP(終値!Q383:AJ383)/AVERAGE(終値!Q383:AJ383),""))</f>
        <v/>
      </c>
      <c r="O383" s="503" t="str">
        <f>IF(終値!A383="","",IFERROR(4*STDEVP(終値!R383:AK383)/AVERAGE(終値!R383:AK383),""))</f>
        <v/>
      </c>
      <c r="P383" s="503" t="str">
        <f>IF(終値!A383="","",IFERROR(4*STDEVP(終値!S383:AL383)/AVERAGE(終値!S383:AL383),""))</f>
        <v/>
      </c>
      <c r="Q383" s="503" t="str">
        <f>IF(終値!A383="","",IFERROR(4*STDEVP(終値!T383:AM383)/AVERAGE(終値!T383:AM383),""))</f>
        <v/>
      </c>
      <c r="R383" s="503" t="str">
        <f>IF(終値!A383="","",IFERROR(4*STDEVP(終値!U383:AN383)/AVERAGE(終値!U383:AN383),""))</f>
        <v/>
      </c>
      <c r="S383" s="503" t="str">
        <f>IF(終値!A383="","",IFERROR(4*STDEVP(終値!V383:AO383)/AVERAGE(終値!V383:AO383),""))</f>
        <v/>
      </c>
      <c r="T383" s="503" t="str">
        <f>IF(終値!A383="","",IFERROR(4*STDEVP(終値!W383:AP383)/AVERAGE(終値!W383:AP383),""))</f>
        <v/>
      </c>
      <c r="U383" s="503" t="str">
        <f>IF(終値!A383="","",IFERROR(4*STDEVP(終値!X383:AQ383)/AVERAGE(終値!X383:AQ383),""))</f>
        <v/>
      </c>
      <c r="V383" s="503" t="str">
        <f>IF(終値!A383="","",IFERROR(4*STDEVP(終値!Y383:AR383)/AVERAGE(終値!Y383:AR383),""))</f>
        <v/>
      </c>
      <c r="W383" s="503" t="str">
        <f>IF(終値!A383="","",IFERROR(4*STDEVP(終値!Z383:AS383)/AVERAGE(終値!Z383:AS383),""))</f>
        <v/>
      </c>
      <c r="X383" s="503" t="str">
        <f>IF(終値!A383="","",IFERROR(4*STDEVP(終値!AA383:AT383)/AVERAGE(終値!AA383:AT383),""))</f>
        <v/>
      </c>
      <c r="Y383" s="503" t="str">
        <f>IF(終値!A383="","",IFERROR(4*STDEVP(終値!AB383:AU383)/AVERAGE(終値!AB383:AU383),""))</f>
        <v/>
      </c>
      <c r="Z383" s="503" t="str">
        <f>IF(終値!A383="","",IFERROR(4*STDEVP(終値!AC383:AV383)/AVERAGE(終値!AC383:AV383),""))</f>
        <v/>
      </c>
      <c r="AA383" s="503" t="str">
        <f>IF(終値!A383="","",IFERROR(4*STDEVP(終値!AD383:AW383)/AVERAGE(終値!AD383:AW383),""))</f>
        <v/>
      </c>
      <c r="AB383" s="503" t="str">
        <f>IF(終値!A383="","",IFERROR(4*STDEVP(終値!AE383:AX383)/AVERAGE(終値!AE383:AX383),""))</f>
        <v/>
      </c>
      <c r="AC383" s="503" t="str">
        <f>IF(終値!A383="","",IFERROR(4*STDEVP(終値!AF383:AY383)/AVERAGE(終値!AF383:AY383),""))</f>
        <v/>
      </c>
      <c r="AD383" s="503" t="str">
        <f>IF(終値!A383="","",IFERROR(4*STDEVP(終値!AG383:AZ383)/AVERAGE(終値!AG383:AZ383),""))</f>
        <v/>
      </c>
      <c r="AE383" s="503" t="str">
        <f>IF(終値!A383="","",IFERROR(4*STDEVP(終値!AH383:BA383)/AVERAGE(終値!AH383:BA383),""))</f>
        <v/>
      </c>
      <c r="AF383" s="503" t="str">
        <f>IF(終値!A383="","",IFERROR(4*STDEVP(終値!AI383:BB383)/AVERAGE(終値!AI383:BB383),""))</f>
        <v/>
      </c>
      <c r="AG383" s="503" t="str">
        <f>IF(終値!A383="","",IFERROR(4*STDEVP(終値!AJ383:BC383)/AVERAGE(終値!AJ383:BC383),""))</f>
        <v/>
      </c>
      <c r="AH383" s="503" t="str">
        <f>IF(終値!A383="","",IFERROR(4*STDEVP(終値!AK383:BD383)/AVERAGE(終値!AK383:BD383),""))</f>
        <v/>
      </c>
      <c r="AI383" s="503" t="str">
        <f>IF(終値!A383="","",IFERROR(4*STDEVP(終値!AL383:BE383)/AVERAGE(終値!AL383:BE383),""))</f>
        <v/>
      </c>
      <c r="AJ383" s="503" t="str">
        <f>IF(終値!A383="","",IFERROR(4*STDEVP(終値!AM383:BF383)/AVERAGE(終値!AM383:BF383),""))</f>
        <v/>
      </c>
      <c r="AK383" s="503" t="str">
        <f>IF(終値!A383="","",IFERROR(4*STDEVP(終値!AN383:BG383)/AVERAGE(終値!AN383:BG383),""))</f>
        <v/>
      </c>
      <c r="AL383" s="503" t="str">
        <f>IF(終値!A383="","",IFERROR(4*STDEVP(終値!AO383:BH383)/AVERAGE(終値!AO383:BH383),""))</f>
        <v/>
      </c>
      <c r="AM383" s="503" t="str">
        <f>IF(終値!A383="","",IFERROR(4*STDEVP(終値!AP383:BI383)/AVERAGE(終値!AP383:BI383),""))</f>
        <v/>
      </c>
      <c r="AN383" s="503" t="str">
        <f>IF(終値!A383="","",IFERROR(4*STDEVP(終値!AQ383:BJ383)/AVERAGE(終値!AQ383:BJ383),""))</f>
        <v/>
      </c>
      <c r="AO383" s="503" t="str">
        <f>IF(終値!A383="","",IFERROR(4*STDEVP(終値!AR383:BK383)/AVERAGE(終値!AR383:BK383),""))</f>
        <v/>
      </c>
      <c r="AP383" s="503" t="str">
        <f>IF(終値!A383="","",IFERROR(4*STDEVP(終値!AS383:BL383)/AVERAGE(終値!AS383:BL383),""))</f>
        <v/>
      </c>
    </row>
    <row r="384" spans="1:42">
      <c r="A384" s="500" t="str">
        <f>IF(終値!A384="","",終値!A384)</f>
        <v/>
      </c>
      <c r="B384" s="503" t="str">
        <f>IF(終値!A384="","",IFERROR(4*STDEVP(終値!E384:X384)/AVERAGE(終値!E384:X384),""))</f>
        <v/>
      </c>
      <c r="C384" s="503" t="str">
        <f>IF(終値!A384="","",IFERROR(4*STDEVP(終値!F384:Y384)/AVERAGE(終値!F384:Y384),""))</f>
        <v/>
      </c>
      <c r="D384" s="503" t="str">
        <f>IF(終値!A384="","",IFERROR(4*STDEVP(終値!G384:Z384)/AVERAGE(終値!G384:Z384),""))</f>
        <v/>
      </c>
      <c r="E384" s="503" t="str">
        <f>IF(終値!A384="","",IFERROR(4*STDEVP(終値!H384:AA384)/AVERAGE(終値!H384:AA384),""))</f>
        <v/>
      </c>
      <c r="F384" s="503" t="str">
        <f>IF(終値!A384="","",IFERROR(4*STDEVP(終値!I384:AB384)/AVERAGE(終値!I384:AB384),""))</f>
        <v/>
      </c>
      <c r="G384" s="503" t="str">
        <f>IF(終値!A384="","",IFERROR(4*STDEVP(終値!J384:AC384)/AVERAGE(終値!J384:AC384),""))</f>
        <v/>
      </c>
      <c r="H384" s="503" t="str">
        <f>IF(終値!A384="","",IFERROR(4*STDEVP(終値!K384:AD384)/AVERAGE(終値!K384:AD384),""))</f>
        <v/>
      </c>
      <c r="I384" s="503" t="str">
        <f>IF(終値!A384="","",IFERROR(4*STDEVP(終値!L384:AE384)/AVERAGE(終値!L384:AE384),""))</f>
        <v/>
      </c>
      <c r="J384" s="503" t="str">
        <f>IF(終値!A384="","",IFERROR(4*STDEVP(終値!M384:AF384)/AVERAGE(終値!M384:AF384),""))</f>
        <v/>
      </c>
      <c r="K384" s="503" t="str">
        <f>IF(終値!A384="","",IFERROR(4*STDEVP(終値!N384:AG384)/AVERAGE(終値!N384:AG384),""))</f>
        <v/>
      </c>
      <c r="L384" s="503" t="str">
        <f>IF(終値!A384="","",IFERROR(4*STDEVP(終値!O384:AH384)/AVERAGE(終値!O384:AH384),""))</f>
        <v/>
      </c>
      <c r="M384" s="503" t="str">
        <f>IF(終値!A384="","",IFERROR(4*STDEVP(終値!P384:AI384)/AVERAGE(終値!P384:AI384),""))</f>
        <v/>
      </c>
      <c r="N384" s="503" t="str">
        <f>IF(終値!A384="","",IFERROR(4*STDEVP(終値!Q384:AJ384)/AVERAGE(終値!Q384:AJ384),""))</f>
        <v/>
      </c>
      <c r="O384" s="503" t="str">
        <f>IF(終値!A384="","",IFERROR(4*STDEVP(終値!R384:AK384)/AVERAGE(終値!R384:AK384),""))</f>
        <v/>
      </c>
      <c r="P384" s="503" t="str">
        <f>IF(終値!A384="","",IFERROR(4*STDEVP(終値!S384:AL384)/AVERAGE(終値!S384:AL384),""))</f>
        <v/>
      </c>
      <c r="Q384" s="503" t="str">
        <f>IF(終値!A384="","",IFERROR(4*STDEVP(終値!T384:AM384)/AVERAGE(終値!T384:AM384),""))</f>
        <v/>
      </c>
      <c r="R384" s="503" t="str">
        <f>IF(終値!A384="","",IFERROR(4*STDEVP(終値!U384:AN384)/AVERAGE(終値!U384:AN384),""))</f>
        <v/>
      </c>
      <c r="S384" s="503" t="str">
        <f>IF(終値!A384="","",IFERROR(4*STDEVP(終値!V384:AO384)/AVERAGE(終値!V384:AO384),""))</f>
        <v/>
      </c>
      <c r="T384" s="503" t="str">
        <f>IF(終値!A384="","",IFERROR(4*STDEVP(終値!W384:AP384)/AVERAGE(終値!W384:AP384),""))</f>
        <v/>
      </c>
      <c r="U384" s="503" t="str">
        <f>IF(終値!A384="","",IFERROR(4*STDEVP(終値!X384:AQ384)/AVERAGE(終値!X384:AQ384),""))</f>
        <v/>
      </c>
      <c r="V384" s="503" t="str">
        <f>IF(終値!A384="","",IFERROR(4*STDEVP(終値!Y384:AR384)/AVERAGE(終値!Y384:AR384),""))</f>
        <v/>
      </c>
      <c r="W384" s="503" t="str">
        <f>IF(終値!A384="","",IFERROR(4*STDEVP(終値!Z384:AS384)/AVERAGE(終値!Z384:AS384),""))</f>
        <v/>
      </c>
      <c r="X384" s="503" t="str">
        <f>IF(終値!A384="","",IFERROR(4*STDEVP(終値!AA384:AT384)/AVERAGE(終値!AA384:AT384),""))</f>
        <v/>
      </c>
      <c r="Y384" s="503" t="str">
        <f>IF(終値!A384="","",IFERROR(4*STDEVP(終値!AB384:AU384)/AVERAGE(終値!AB384:AU384),""))</f>
        <v/>
      </c>
      <c r="Z384" s="503" t="str">
        <f>IF(終値!A384="","",IFERROR(4*STDEVP(終値!AC384:AV384)/AVERAGE(終値!AC384:AV384),""))</f>
        <v/>
      </c>
      <c r="AA384" s="503" t="str">
        <f>IF(終値!A384="","",IFERROR(4*STDEVP(終値!AD384:AW384)/AVERAGE(終値!AD384:AW384),""))</f>
        <v/>
      </c>
      <c r="AB384" s="503" t="str">
        <f>IF(終値!A384="","",IFERROR(4*STDEVP(終値!AE384:AX384)/AVERAGE(終値!AE384:AX384),""))</f>
        <v/>
      </c>
      <c r="AC384" s="503" t="str">
        <f>IF(終値!A384="","",IFERROR(4*STDEVP(終値!AF384:AY384)/AVERAGE(終値!AF384:AY384),""))</f>
        <v/>
      </c>
      <c r="AD384" s="503" t="str">
        <f>IF(終値!A384="","",IFERROR(4*STDEVP(終値!AG384:AZ384)/AVERAGE(終値!AG384:AZ384),""))</f>
        <v/>
      </c>
      <c r="AE384" s="503" t="str">
        <f>IF(終値!A384="","",IFERROR(4*STDEVP(終値!AH384:BA384)/AVERAGE(終値!AH384:BA384),""))</f>
        <v/>
      </c>
      <c r="AF384" s="503" t="str">
        <f>IF(終値!A384="","",IFERROR(4*STDEVP(終値!AI384:BB384)/AVERAGE(終値!AI384:BB384),""))</f>
        <v/>
      </c>
      <c r="AG384" s="503" t="str">
        <f>IF(終値!A384="","",IFERROR(4*STDEVP(終値!AJ384:BC384)/AVERAGE(終値!AJ384:BC384),""))</f>
        <v/>
      </c>
      <c r="AH384" s="503" t="str">
        <f>IF(終値!A384="","",IFERROR(4*STDEVP(終値!AK384:BD384)/AVERAGE(終値!AK384:BD384),""))</f>
        <v/>
      </c>
      <c r="AI384" s="503" t="str">
        <f>IF(終値!A384="","",IFERROR(4*STDEVP(終値!AL384:BE384)/AVERAGE(終値!AL384:BE384),""))</f>
        <v/>
      </c>
      <c r="AJ384" s="503" t="str">
        <f>IF(終値!A384="","",IFERROR(4*STDEVP(終値!AM384:BF384)/AVERAGE(終値!AM384:BF384),""))</f>
        <v/>
      </c>
      <c r="AK384" s="503" t="str">
        <f>IF(終値!A384="","",IFERROR(4*STDEVP(終値!AN384:BG384)/AVERAGE(終値!AN384:BG384),""))</f>
        <v/>
      </c>
      <c r="AL384" s="503" t="str">
        <f>IF(終値!A384="","",IFERROR(4*STDEVP(終値!AO384:BH384)/AVERAGE(終値!AO384:BH384),""))</f>
        <v/>
      </c>
      <c r="AM384" s="503" t="str">
        <f>IF(終値!A384="","",IFERROR(4*STDEVP(終値!AP384:BI384)/AVERAGE(終値!AP384:BI384),""))</f>
        <v/>
      </c>
      <c r="AN384" s="503" t="str">
        <f>IF(終値!A384="","",IFERROR(4*STDEVP(終値!AQ384:BJ384)/AVERAGE(終値!AQ384:BJ384),""))</f>
        <v/>
      </c>
      <c r="AO384" s="503" t="str">
        <f>IF(終値!A384="","",IFERROR(4*STDEVP(終値!AR384:BK384)/AVERAGE(終値!AR384:BK384),""))</f>
        <v/>
      </c>
      <c r="AP384" s="503" t="str">
        <f>IF(終値!A384="","",IFERROR(4*STDEVP(終値!AS384:BL384)/AVERAGE(終値!AS384:BL384),""))</f>
        <v/>
      </c>
    </row>
    <row r="385" spans="1:42">
      <c r="A385" s="500" t="str">
        <f>IF(終値!A385="","",終値!A385)</f>
        <v/>
      </c>
      <c r="B385" s="503" t="str">
        <f>IF(終値!A385="","",IFERROR(4*STDEVP(終値!E385:X385)/AVERAGE(終値!E385:X385),""))</f>
        <v/>
      </c>
      <c r="C385" s="503" t="str">
        <f>IF(終値!A385="","",IFERROR(4*STDEVP(終値!F385:Y385)/AVERAGE(終値!F385:Y385),""))</f>
        <v/>
      </c>
      <c r="D385" s="503" t="str">
        <f>IF(終値!A385="","",IFERROR(4*STDEVP(終値!G385:Z385)/AVERAGE(終値!G385:Z385),""))</f>
        <v/>
      </c>
      <c r="E385" s="503" t="str">
        <f>IF(終値!A385="","",IFERROR(4*STDEVP(終値!H385:AA385)/AVERAGE(終値!H385:AA385),""))</f>
        <v/>
      </c>
      <c r="F385" s="503" t="str">
        <f>IF(終値!A385="","",IFERROR(4*STDEVP(終値!I385:AB385)/AVERAGE(終値!I385:AB385),""))</f>
        <v/>
      </c>
      <c r="G385" s="503" t="str">
        <f>IF(終値!A385="","",IFERROR(4*STDEVP(終値!J385:AC385)/AVERAGE(終値!J385:AC385),""))</f>
        <v/>
      </c>
      <c r="H385" s="503" t="str">
        <f>IF(終値!A385="","",IFERROR(4*STDEVP(終値!K385:AD385)/AVERAGE(終値!K385:AD385),""))</f>
        <v/>
      </c>
      <c r="I385" s="503" t="str">
        <f>IF(終値!A385="","",IFERROR(4*STDEVP(終値!L385:AE385)/AVERAGE(終値!L385:AE385),""))</f>
        <v/>
      </c>
      <c r="J385" s="503" t="str">
        <f>IF(終値!A385="","",IFERROR(4*STDEVP(終値!M385:AF385)/AVERAGE(終値!M385:AF385),""))</f>
        <v/>
      </c>
      <c r="K385" s="503" t="str">
        <f>IF(終値!A385="","",IFERROR(4*STDEVP(終値!N385:AG385)/AVERAGE(終値!N385:AG385),""))</f>
        <v/>
      </c>
      <c r="L385" s="503" t="str">
        <f>IF(終値!A385="","",IFERROR(4*STDEVP(終値!O385:AH385)/AVERAGE(終値!O385:AH385),""))</f>
        <v/>
      </c>
      <c r="M385" s="503" t="str">
        <f>IF(終値!A385="","",IFERROR(4*STDEVP(終値!P385:AI385)/AVERAGE(終値!P385:AI385),""))</f>
        <v/>
      </c>
      <c r="N385" s="503" t="str">
        <f>IF(終値!A385="","",IFERROR(4*STDEVP(終値!Q385:AJ385)/AVERAGE(終値!Q385:AJ385),""))</f>
        <v/>
      </c>
      <c r="O385" s="503" t="str">
        <f>IF(終値!A385="","",IFERROR(4*STDEVP(終値!R385:AK385)/AVERAGE(終値!R385:AK385),""))</f>
        <v/>
      </c>
      <c r="P385" s="503" t="str">
        <f>IF(終値!A385="","",IFERROR(4*STDEVP(終値!S385:AL385)/AVERAGE(終値!S385:AL385),""))</f>
        <v/>
      </c>
      <c r="Q385" s="503" t="str">
        <f>IF(終値!A385="","",IFERROR(4*STDEVP(終値!T385:AM385)/AVERAGE(終値!T385:AM385),""))</f>
        <v/>
      </c>
      <c r="R385" s="503" t="str">
        <f>IF(終値!A385="","",IFERROR(4*STDEVP(終値!U385:AN385)/AVERAGE(終値!U385:AN385),""))</f>
        <v/>
      </c>
      <c r="S385" s="503" t="str">
        <f>IF(終値!A385="","",IFERROR(4*STDEVP(終値!V385:AO385)/AVERAGE(終値!V385:AO385),""))</f>
        <v/>
      </c>
      <c r="T385" s="503" t="str">
        <f>IF(終値!A385="","",IFERROR(4*STDEVP(終値!W385:AP385)/AVERAGE(終値!W385:AP385),""))</f>
        <v/>
      </c>
      <c r="U385" s="503" t="str">
        <f>IF(終値!A385="","",IFERROR(4*STDEVP(終値!X385:AQ385)/AVERAGE(終値!X385:AQ385),""))</f>
        <v/>
      </c>
      <c r="V385" s="503" t="str">
        <f>IF(終値!A385="","",IFERROR(4*STDEVP(終値!Y385:AR385)/AVERAGE(終値!Y385:AR385),""))</f>
        <v/>
      </c>
      <c r="W385" s="503" t="str">
        <f>IF(終値!A385="","",IFERROR(4*STDEVP(終値!Z385:AS385)/AVERAGE(終値!Z385:AS385),""))</f>
        <v/>
      </c>
      <c r="X385" s="503" t="str">
        <f>IF(終値!A385="","",IFERROR(4*STDEVP(終値!AA385:AT385)/AVERAGE(終値!AA385:AT385),""))</f>
        <v/>
      </c>
      <c r="Y385" s="503" t="str">
        <f>IF(終値!A385="","",IFERROR(4*STDEVP(終値!AB385:AU385)/AVERAGE(終値!AB385:AU385),""))</f>
        <v/>
      </c>
      <c r="Z385" s="503" t="str">
        <f>IF(終値!A385="","",IFERROR(4*STDEVP(終値!AC385:AV385)/AVERAGE(終値!AC385:AV385),""))</f>
        <v/>
      </c>
      <c r="AA385" s="503" t="str">
        <f>IF(終値!A385="","",IFERROR(4*STDEVP(終値!AD385:AW385)/AVERAGE(終値!AD385:AW385),""))</f>
        <v/>
      </c>
      <c r="AB385" s="503" t="str">
        <f>IF(終値!A385="","",IFERROR(4*STDEVP(終値!AE385:AX385)/AVERAGE(終値!AE385:AX385),""))</f>
        <v/>
      </c>
      <c r="AC385" s="503" t="str">
        <f>IF(終値!A385="","",IFERROR(4*STDEVP(終値!AF385:AY385)/AVERAGE(終値!AF385:AY385),""))</f>
        <v/>
      </c>
      <c r="AD385" s="503" t="str">
        <f>IF(終値!A385="","",IFERROR(4*STDEVP(終値!AG385:AZ385)/AVERAGE(終値!AG385:AZ385),""))</f>
        <v/>
      </c>
      <c r="AE385" s="503" t="str">
        <f>IF(終値!A385="","",IFERROR(4*STDEVP(終値!AH385:BA385)/AVERAGE(終値!AH385:BA385),""))</f>
        <v/>
      </c>
      <c r="AF385" s="503" t="str">
        <f>IF(終値!A385="","",IFERROR(4*STDEVP(終値!AI385:BB385)/AVERAGE(終値!AI385:BB385),""))</f>
        <v/>
      </c>
      <c r="AG385" s="503" t="str">
        <f>IF(終値!A385="","",IFERROR(4*STDEVP(終値!AJ385:BC385)/AVERAGE(終値!AJ385:BC385),""))</f>
        <v/>
      </c>
      <c r="AH385" s="503" t="str">
        <f>IF(終値!A385="","",IFERROR(4*STDEVP(終値!AK385:BD385)/AVERAGE(終値!AK385:BD385),""))</f>
        <v/>
      </c>
      <c r="AI385" s="503" t="str">
        <f>IF(終値!A385="","",IFERROR(4*STDEVP(終値!AL385:BE385)/AVERAGE(終値!AL385:BE385),""))</f>
        <v/>
      </c>
      <c r="AJ385" s="503" t="str">
        <f>IF(終値!A385="","",IFERROR(4*STDEVP(終値!AM385:BF385)/AVERAGE(終値!AM385:BF385),""))</f>
        <v/>
      </c>
      <c r="AK385" s="503" t="str">
        <f>IF(終値!A385="","",IFERROR(4*STDEVP(終値!AN385:BG385)/AVERAGE(終値!AN385:BG385),""))</f>
        <v/>
      </c>
      <c r="AL385" s="503" t="str">
        <f>IF(終値!A385="","",IFERROR(4*STDEVP(終値!AO385:BH385)/AVERAGE(終値!AO385:BH385),""))</f>
        <v/>
      </c>
      <c r="AM385" s="503" t="str">
        <f>IF(終値!A385="","",IFERROR(4*STDEVP(終値!AP385:BI385)/AVERAGE(終値!AP385:BI385),""))</f>
        <v/>
      </c>
      <c r="AN385" s="503" t="str">
        <f>IF(終値!A385="","",IFERROR(4*STDEVP(終値!AQ385:BJ385)/AVERAGE(終値!AQ385:BJ385),""))</f>
        <v/>
      </c>
      <c r="AO385" s="503" t="str">
        <f>IF(終値!A385="","",IFERROR(4*STDEVP(終値!AR385:BK385)/AVERAGE(終値!AR385:BK385),""))</f>
        <v/>
      </c>
      <c r="AP385" s="503" t="str">
        <f>IF(終値!A385="","",IFERROR(4*STDEVP(終値!AS385:BL385)/AVERAGE(終値!AS385:BL385),""))</f>
        <v/>
      </c>
    </row>
    <row r="386" spans="1:42">
      <c r="A386" s="500" t="str">
        <f>IF(終値!A386="","",終値!A386)</f>
        <v/>
      </c>
      <c r="B386" s="503" t="str">
        <f>IF(終値!A386="","",IFERROR(4*STDEVP(終値!E386:X386)/AVERAGE(終値!E386:X386),""))</f>
        <v/>
      </c>
      <c r="C386" s="503" t="str">
        <f>IF(終値!A386="","",IFERROR(4*STDEVP(終値!F386:Y386)/AVERAGE(終値!F386:Y386),""))</f>
        <v/>
      </c>
      <c r="D386" s="503" t="str">
        <f>IF(終値!A386="","",IFERROR(4*STDEVP(終値!G386:Z386)/AVERAGE(終値!G386:Z386),""))</f>
        <v/>
      </c>
      <c r="E386" s="503" t="str">
        <f>IF(終値!A386="","",IFERROR(4*STDEVP(終値!H386:AA386)/AVERAGE(終値!H386:AA386),""))</f>
        <v/>
      </c>
      <c r="F386" s="503" t="str">
        <f>IF(終値!A386="","",IFERROR(4*STDEVP(終値!I386:AB386)/AVERAGE(終値!I386:AB386),""))</f>
        <v/>
      </c>
      <c r="G386" s="503" t="str">
        <f>IF(終値!A386="","",IFERROR(4*STDEVP(終値!J386:AC386)/AVERAGE(終値!J386:AC386),""))</f>
        <v/>
      </c>
      <c r="H386" s="503" t="str">
        <f>IF(終値!A386="","",IFERROR(4*STDEVP(終値!K386:AD386)/AVERAGE(終値!K386:AD386),""))</f>
        <v/>
      </c>
      <c r="I386" s="503" t="str">
        <f>IF(終値!A386="","",IFERROR(4*STDEVP(終値!L386:AE386)/AVERAGE(終値!L386:AE386),""))</f>
        <v/>
      </c>
      <c r="J386" s="503" t="str">
        <f>IF(終値!A386="","",IFERROR(4*STDEVP(終値!M386:AF386)/AVERAGE(終値!M386:AF386),""))</f>
        <v/>
      </c>
      <c r="K386" s="503" t="str">
        <f>IF(終値!A386="","",IFERROR(4*STDEVP(終値!N386:AG386)/AVERAGE(終値!N386:AG386),""))</f>
        <v/>
      </c>
      <c r="L386" s="503" t="str">
        <f>IF(終値!A386="","",IFERROR(4*STDEVP(終値!O386:AH386)/AVERAGE(終値!O386:AH386),""))</f>
        <v/>
      </c>
      <c r="M386" s="503" t="str">
        <f>IF(終値!A386="","",IFERROR(4*STDEVP(終値!P386:AI386)/AVERAGE(終値!P386:AI386),""))</f>
        <v/>
      </c>
      <c r="N386" s="503" t="str">
        <f>IF(終値!A386="","",IFERROR(4*STDEVP(終値!Q386:AJ386)/AVERAGE(終値!Q386:AJ386),""))</f>
        <v/>
      </c>
      <c r="O386" s="503" t="str">
        <f>IF(終値!A386="","",IFERROR(4*STDEVP(終値!R386:AK386)/AVERAGE(終値!R386:AK386),""))</f>
        <v/>
      </c>
      <c r="P386" s="503" t="str">
        <f>IF(終値!A386="","",IFERROR(4*STDEVP(終値!S386:AL386)/AVERAGE(終値!S386:AL386),""))</f>
        <v/>
      </c>
      <c r="Q386" s="503" t="str">
        <f>IF(終値!A386="","",IFERROR(4*STDEVP(終値!T386:AM386)/AVERAGE(終値!T386:AM386),""))</f>
        <v/>
      </c>
      <c r="R386" s="503" t="str">
        <f>IF(終値!A386="","",IFERROR(4*STDEVP(終値!U386:AN386)/AVERAGE(終値!U386:AN386),""))</f>
        <v/>
      </c>
      <c r="S386" s="503" t="str">
        <f>IF(終値!A386="","",IFERROR(4*STDEVP(終値!V386:AO386)/AVERAGE(終値!V386:AO386),""))</f>
        <v/>
      </c>
      <c r="T386" s="503" t="str">
        <f>IF(終値!A386="","",IFERROR(4*STDEVP(終値!W386:AP386)/AVERAGE(終値!W386:AP386),""))</f>
        <v/>
      </c>
      <c r="U386" s="503" t="str">
        <f>IF(終値!A386="","",IFERROR(4*STDEVP(終値!X386:AQ386)/AVERAGE(終値!X386:AQ386),""))</f>
        <v/>
      </c>
      <c r="V386" s="503" t="str">
        <f>IF(終値!A386="","",IFERROR(4*STDEVP(終値!Y386:AR386)/AVERAGE(終値!Y386:AR386),""))</f>
        <v/>
      </c>
      <c r="W386" s="503" t="str">
        <f>IF(終値!A386="","",IFERROR(4*STDEVP(終値!Z386:AS386)/AVERAGE(終値!Z386:AS386),""))</f>
        <v/>
      </c>
      <c r="X386" s="503" t="str">
        <f>IF(終値!A386="","",IFERROR(4*STDEVP(終値!AA386:AT386)/AVERAGE(終値!AA386:AT386),""))</f>
        <v/>
      </c>
      <c r="Y386" s="503" t="str">
        <f>IF(終値!A386="","",IFERROR(4*STDEVP(終値!AB386:AU386)/AVERAGE(終値!AB386:AU386),""))</f>
        <v/>
      </c>
      <c r="Z386" s="503" t="str">
        <f>IF(終値!A386="","",IFERROR(4*STDEVP(終値!AC386:AV386)/AVERAGE(終値!AC386:AV386),""))</f>
        <v/>
      </c>
      <c r="AA386" s="503" t="str">
        <f>IF(終値!A386="","",IFERROR(4*STDEVP(終値!AD386:AW386)/AVERAGE(終値!AD386:AW386),""))</f>
        <v/>
      </c>
      <c r="AB386" s="503" t="str">
        <f>IF(終値!A386="","",IFERROR(4*STDEVP(終値!AE386:AX386)/AVERAGE(終値!AE386:AX386),""))</f>
        <v/>
      </c>
      <c r="AC386" s="503" t="str">
        <f>IF(終値!A386="","",IFERROR(4*STDEVP(終値!AF386:AY386)/AVERAGE(終値!AF386:AY386),""))</f>
        <v/>
      </c>
      <c r="AD386" s="503" t="str">
        <f>IF(終値!A386="","",IFERROR(4*STDEVP(終値!AG386:AZ386)/AVERAGE(終値!AG386:AZ386),""))</f>
        <v/>
      </c>
      <c r="AE386" s="503" t="str">
        <f>IF(終値!A386="","",IFERROR(4*STDEVP(終値!AH386:BA386)/AVERAGE(終値!AH386:BA386),""))</f>
        <v/>
      </c>
      <c r="AF386" s="503" t="str">
        <f>IF(終値!A386="","",IFERROR(4*STDEVP(終値!AI386:BB386)/AVERAGE(終値!AI386:BB386),""))</f>
        <v/>
      </c>
      <c r="AG386" s="503" t="str">
        <f>IF(終値!A386="","",IFERROR(4*STDEVP(終値!AJ386:BC386)/AVERAGE(終値!AJ386:BC386),""))</f>
        <v/>
      </c>
      <c r="AH386" s="503" t="str">
        <f>IF(終値!A386="","",IFERROR(4*STDEVP(終値!AK386:BD386)/AVERAGE(終値!AK386:BD386),""))</f>
        <v/>
      </c>
      <c r="AI386" s="503" t="str">
        <f>IF(終値!A386="","",IFERROR(4*STDEVP(終値!AL386:BE386)/AVERAGE(終値!AL386:BE386),""))</f>
        <v/>
      </c>
      <c r="AJ386" s="503" t="str">
        <f>IF(終値!A386="","",IFERROR(4*STDEVP(終値!AM386:BF386)/AVERAGE(終値!AM386:BF386),""))</f>
        <v/>
      </c>
      <c r="AK386" s="503" t="str">
        <f>IF(終値!A386="","",IFERROR(4*STDEVP(終値!AN386:BG386)/AVERAGE(終値!AN386:BG386),""))</f>
        <v/>
      </c>
      <c r="AL386" s="503" t="str">
        <f>IF(終値!A386="","",IFERROR(4*STDEVP(終値!AO386:BH386)/AVERAGE(終値!AO386:BH386),""))</f>
        <v/>
      </c>
      <c r="AM386" s="503" t="str">
        <f>IF(終値!A386="","",IFERROR(4*STDEVP(終値!AP386:BI386)/AVERAGE(終値!AP386:BI386),""))</f>
        <v/>
      </c>
      <c r="AN386" s="503" t="str">
        <f>IF(終値!A386="","",IFERROR(4*STDEVP(終値!AQ386:BJ386)/AVERAGE(終値!AQ386:BJ386),""))</f>
        <v/>
      </c>
      <c r="AO386" s="503" t="str">
        <f>IF(終値!A386="","",IFERROR(4*STDEVP(終値!AR386:BK386)/AVERAGE(終値!AR386:BK386),""))</f>
        <v/>
      </c>
      <c r="AP386" s="503" t="str">
        <f>IF(終値!A386="","",IFERROR(4*STDEVP(終値!AS386:BL386)/AVERAGE(終値!AS386:BL386),""))</f>
        <v/>
      </c>
    </row>
    <row r="387" spans="1:42">
      <c r="A387" s="500" t="str">
        <f>IF(終値!A387="","",終値!A387)</f>
        <v/>
      </c>
      <c r="B387" s="503" t="str">
        <f>IF(終値!A387="","",IFERROR(4*STDEVP(終値!E387:X387)/AVERAGE(終値!E387:X387),""))</f>
        <v/>
      </c>
      <c r="C387" s="503" t="str">
        <f>IF(終値!A387="","",IFERROR(4*STDEVP(終値!F387:Y387)/AVERAGE(終値!F387:Y387),""))</f>
        <v/>
      </c>
      <c r="D387" s="503" t="str">
        <f>IF(終値!A387="","",IFERROR(4*STDEVP(終値!G387:Z387)/AVERAGE(終値!G387:Z387),""))</f>
        <v/>
      </c>
      <c r="E387" s="503" t="str">
        <f>IF(終値!A387="","",IFERROR(4*STDEVP(終値!H387:AA387)/AVERAGE(終値!H387:AA387),""))</f>
        <v/>
      </c>
      <c r="F387" s="503" t="str">
        <f>IF(終値!A387="","",IFERROR(4*STDEVP(終値!I387:AB387)/AVERAGE(終値!I387:AB387),""))</f>
        <v/>
      </c>
      <c r="G387" s="503" t="str">
        <f>IF(終値!A387="","",IFERROR(4*STDEVP(終値!J387:AC387)/AVERAGE(終値!J387:AC387),""))</f>
        <v/>
      </c>
      <c r="H387" s="503" t="str">
        <f>IF(終値!A387="","",IFERROR(4*STDEVP(終値!K387:AD387)/AVERAGE(終値!K387:AD387),""))</f>
        <v/>
      </c>
      <c r="I387" s="503" t="str">
        <f>IF(終値!A387="","",IFERROR(4*STDEVP(終値!L387:AE387)/AVERAGE(終値!L387:AE387),""))</f>
        <v/>
      </c>
      <c r="J387" s="503" t="str">
        <f>IF(終値!A387="","",IFERROR(4*STDEVP(終値!M387:AF387)/AVERAGE(終値!M387:AF387),""))</f>
        <v/>
      </c>
      <c r="K387" s="503" t="str">
        <f>IF(終値!A387="","",IFERROR(4*STDEVP(終値!N387:AG387)/AVERAGE(終値!N387:AG387),""))</f>
        <v/>
      </c>
      <c r="L387" s="503" t="str">
        <f>IF(終値!A387="","",IFERROR(4*STDEVP(終値!O387:AH387)/AVERAGE(終値!O387:AH387),""))</f>
        <v/>
      </c>
      <c r="M387" s="503" t="str">
        <f>IF(終値!A387="","",IFERROR(4*STDEVP(終値!P387:AI387)/AVERAGE(終値!P387:AI387),""))</f>
        <v/>
      </c>
      <c r="N387" s="503" t="str">
        <f>IF(終値!A387="","",IFERROR(4*STDEVP(終値!Q387:AJ387)/AVERAGE(終値!Q387:AJ387),""))</f>
        <v/>
      </c>
      <c r="O387" s="503" t="str">
        <f>IF(終値!A387="","",IFERROR(4*STDEVP(終値!R387:AK387)/AVERAGE(終値!R387:AK387),""))</f>
        <v/>
      </c>
      <c r="P387" s="503" t="str">
        <f>IF(終値!A387="","",IFERROR(4*STDEVP(終値!S387:AL387)/AVERAGE(終値!S387:AL387),""))</f>
        <v/>
      </c>
      <c r="Q387" s="503" t="str">
        <f>IF(終値!A387="","",IFERROR(4*STDEVP(終値!T387:AM387)/AVERAGE(終値!T387:AM387),""))</f>
        <v/>
      </c>
      <c r="R387" s="503" t="str">
        <f>IF(終値!A387="","",IFERROR(4*STDEVP(終値!U387:AN387)/AVERAGE(終値!U387:AN387),""))</f>
        <v/>
      </c>
      <c r="S387" s="503" t="str">
        <f>IF(終値!A387="","",IFERROR(4*STDEVP(終値!V387:AO387)/AVERAGE(終値!V387:AO387),""))</f>
        <v/>
      </c>
      <c r="T387" s="503" t="str">
        <f>IF(終値!A387="","",IFERROR(4*STDEVP(終値!W387:AP387)/AVERAGE(終値!W387:AP387),""))</f>
        <v/>
      </c>
      <c r="U387" s="503" t="str">
        <f>IF(終値!A387="","",IFERROR(4*STDEVP(終値!X387:AQ387)/AVERAGE(終値!X387:AQ387),""))</f>
        <v/>
      </c>
      <c r="V387" s="503" t="str">
        <f>IF(終値!A387="","",IFERROR(4*STDEVP(終値!Y387:AR387)/AVERAGE(終値!Y387:AR387),""))</f>
        <v/>
      </c>
      <c r="W387" s="503" t="str">
        <f>IF(終値!A387="","",IFERROR(4*STDEVP(終値!Z387:AS387)/AVERAGE(終値!Z387:AS387),""))</f>
        <v/>
      </c>
      <c r="X387" s="503" t="str">
        <f>IF(終値!A387="","",IFERROR(4*STDEVP(終値!AA387:AT387)/AVERAGE(終値!AA387:AT387),""))</f>
        <v/>
      </c>
      <c r="Y387" s="503" t="str">
        <f>IF(終値!A387="","",IFERROR(4*STDEVP(終値!AB387:AU387)/AVERAGE(終値!AB387:AU387),""))</f>
        <v/>
      </c>
      <c r="Z387" s="503" t="str">
        <f>IF(終値!A387="","",IFERROR(4*STDEVP(終値!AC387:AV387)/AVERAGE(終値!AC387:AV387),""))</f>
        <v/>
      </c>
      <c r="AA387" s="503" t="str">
        <f>IF(終値!A387="","",IFERROR(4*STDEVP(終値!AD387:AW387)/AVERAGE(終値!AD387:AW387),""))</f>
        <v/>
      </c>
      <c r="AB387" s="503" t="str">
        <f>IF(終値!A387="","",IFERROR(4*STDEVP(終値!AE387:AX387)/AVERAGE(終値!AE387:AX387),""))</f>
        <v/>
      </c>
      <c r="AC387" s="503" t="str">
        <f>IF(終値!A387="","",IFERROR(4*STDEVP(終値!AF387:AY387)/AVERAGE(終値!AF387:AY387),""))</f>
        <v/>
      </c>
      <c r="AD387" s="503" t="str">
        <f>IF(終値!A387="","",IFERROR(4*STDEVP(終値!AG387:AZ387)/AVERAGE(終値!AG387:AZ387),""))</f>
        <v/>
      </c>
      <c r="AE387" s="503" t="str">
        <f>IF(終値!A387="","",IFERROR(4*STDEVP(終値!AH387:BA387)/AVERAGE(終値!AH387:BA387),""))</f>
        <v/>
      </c>
      <c r="AF387" s="503" t="str">
        <f>IF(終値!A387="","",IFERROR(4*STDEVP(終値!AI387:BB387)/AVERAGE(終値!AI387:BB387),""))</f>
        <v/>
      </c>
      <c r="AG387" s="503" t="str">
        <f>IF(終値!A387="","",IFERROR(4*STDEVP(終値!AJ387:BC387)/AVERAGE(終値!AJ387:BC387),""))</f>
        <v/>
      </c>
      <c r="AH387" s="503" t="str">
        <f>IF(終値!A387="","",IFERROR(4*STDEVP(終値!AK387:BD387)/AVERAGE(終値!AK387:BD387),""))</f>
        <v/>
      </c>
      <c r="AI387" s="503" t="str">
        <f>IF(終値!A387="","",IFERROR(4*STDEVP(終値!AL387:BE387)/AVERAGE(終値!AL387:BE387),""))</f>
        <v/>
      </c>
      <c r="AJ387" s="503" t="str">
        <f>IF(終値!A387="","",IFERROR(4*STDEVP(終値!AM387:BF387)/AVERAGE(終値!AM387:BF387),""))</f>
        <v/>
      </c>
      <c r="AK387" s="503" t="str">
        <f>IF(終値!A387="","",IFERROR(4*STDEVP(終値!AN387:BG387)/AVERAGE(終値!AN387:BG387),""))</f>
        <v/>
      </c>
      <c r="AL387" s="503" t="str">
        <f>IF(終値!A387="","",IFERROR(4*STDEVP(終値!AO387:BH387)/AVERAGE(終値!AO387:BH387),""))</f>
        <v/>
      </c>
      <c r="AM387" s="503" t="str">
        <f>IF(終値!A387="","",IFERROR(4*STDEVP(終値!AP387:BI387)/AVERAGE(終値!AP387:BI387),""))</f>
        <v/>
      </c>
      <c r="AN387" s="503" t="str">
        <f>IF(終値!A387="","",IFERROR(4*STDEVP(終値!AQ387:BJ387)/AVERAGE(終値!AQ387:BJ387),""))</f>
        <v/>
      </c>
      <c r="AO387" s="503" t="str">
        <f>IF(終値!A387="","",IFERROR(4*STDEVP(終値!AR387:BK387)/AVERAGE(終値!AR387:BK387),""))</f>
        <v/>
      </c>
      <c r="AP387" s="503" t="str">
        <f>IF(終値!A387="","",IFERROR(4*STDEVP(終値!AS387:BL387)/AVERAGE(終値!AS387:BL387),""))</f>
        <v/>
      </c>
    </row>
    <row r="388" spans="1:42">
      <c r="A388" s="500" t="str">
        <f>IF(終値!A388="","",終値!A388)</f>
        <v/>
      </c>
      <c r="B388" s="503" t="str">
        <f>IF(終値!A388="","",IFERROR(4*STDEVP(終値!E388:X388)/AVERAGE(終値!E388:X388),""))</f>
        <v/>
      </c>
      <c r="C388" s="503" t="str">
        <f>IF(終値!A388="","",IFERROR(4*STDEVP(終値!F388:Y388)/AVERAGE(終値!F388:Y388),""))</f>
        <v/>
      </c>
      <c r="D388" s="503" t="str">
        <f>IF(終値!A388="","",IFERROR(4*STDEVP(終値!G388:Z388)/AVERAGE(終値!G388:Z388),""))</f>
        <v/>
      </c>
      <c r="E388" s="503" t="str">
        <f>IF(終値!A388="","",IFERROR(4*STDEVP(終値!H388:AA388)/AVERAGE(終値!H388:AA388),""))</f>
        <v/>
      </c>
      <c r="F388" s="503" t="str">
        <f>IF(終値!A388="","",IFERROR(4*STDEVP(終値!I388:AB388)/AVERAGE(終値!I388:AB388),""))</f>
        <v/>
      </c>
      <c r="G388" s="503" t="str">
        <f>IF(終値!A388="","",IFERROR(4*STDEVP(終値!J388:AC388)/AVERAGE(終値!J388:AC388),""))</f>
        <v/>
      </c>
      <c r="H388" s="503" t="str">
        <f>IF(終値!A388="","",IFERROR(4*STDEVP(終値!K388:AD388)/AVERAGE(終値!K388:AD388),""))</f>
        <v/>
      </c>
      <c r="I388" s="503" t="str">
        <f>IF(終値!A388="","",IFERROR(4*STDEVP(終値!L388:AE388)/AVERAGE(終値!L388:AE388),""))</f>
        <v/>
      </c>
      <c r="J388" s="503" t="str">
        <f>IF(終値!A388="","",IFERROR(4*STDEVP(終値!M388:AF388)/AVERAGE(終値!M388:AF388),""))</f>
        <v/>
      </c>
      <c r="K388" s="503" t="str">
        <f>IF(終値!A388="","",IFERROR(4*STDEVP(終値!N388:AG388)/AVERAGE(終値!N388:AG388),""))</f>
        <v/>
      </c>
      <c r="L388" s="503" t="str">
        <f>IF(終値!A388="","",IFERROR(4*STDEVP(終値!O388:AH388)/AVERAGE(終値!O388:AH388),""))</f>
        <v/>
      </c>
      <c r="M388" s="503" t="str">
        <f>IF(終値!A388="","",IFERROR(4*STDEVP(終値!P388:AI388)/AVERAGE(終値!P388:AI388),""))</f>
        <v/>
      </c>
      <c r="N388" s="503" t="str">
        <f>IF(終値!A388="","",IFERROR(4*STDEVP(終値!Q388:AJ388)/AVERAGE(終値!Q388:AJ388),""))</f>
        <v/>
      </c>
      <c r="O388" s="503" t="str">
        <f>IF(終値!A388="","",IFERROR(4*STDEVP(終値!R388:AK388)/AVERAGE(終値!R388:AK388),""))</f>
        <v/>
      </c>
      <c r="P388" s="503" t="str">
        <f>IF(終値!A388="","",IFERROR(4*STDEVP(終値!S388:AL388)/AVERAGE(終値!S388:AL388),""))</f>
        <v/>
      </c>
      <c r="Q388" s="503" t="str">
        <f>IF(終値!A388="","",IFERROR(4*STDEVP(終値!T388:AM388)/AVERAGE(終値!T388:AM388),""))</f>
        <v/>
      </c>
      <c r="R388" s="503" t="str">
        <f>IF(終値!A388="","",IFERROR(4*STDEVP(終値!U388:AN388)/AVERAGE(終値!U388:AN388),""))</f>
        <v/>
      </c>
      <c r="S388" s="503" t="str">
        <f>IF(終値!A388="","",IFERROR(4*STDEVP(終値!V388:AO388)/AVERAGE(終値!V388:AO388),""))</f>
        <v/>
      </c>
      <c r="T388" s="503" t="str">
        <f>IF(終値!A388="","",IFERROR(4*STDEVP(終値!W388:AP388)/AVERAGE(終値!W388:AP388),""))</f>
        <v/>
      </c>
      <c r="U388" s="503" t="str">
        <f>IF(終値!A388="","",IFERROR(4*STDEVP(終値!X388:AQ388)/AVERAGE(終値!X388:AQ388),""))</f>
        <v/>
      </c>
      <c r="V388" s="503" t="str">
        <f>IF(終値!A388="","",IFERROR(4*STDEVP(終値!Y388:AR388)/AVERAGE(終値!Y388:AR388),""))</f>
        <v/>
      </c>
      <c r="W388" s="503" t="str">
        <f>IF(終値!A388="","",IFERROR(4*STDEVP(終値!Z388:AS388)/AVERAGE(終値!Z388:AS388),""))</f>
        <v/>
      </c>
      <c r="X388" s="503" t="str">
        <f>IF(終値!A388="","",IFERROR(4*STDEVP(終値!AA388:AT388)/AVERAGE(終値!AA388:AT388),""))</f>
        <v/>
      </c>
      <c r="Y388" s="503" t="str">
        <f>IF(終値!A388="","",IFERROR(4*STDEVP(終値!AB388:AU388)/AVERAGE(終値!AB388:AU388),""))</f>
        <v/>
      </c>
      <c r="Z388" s="503" t="str">
        <f>IF(終値!A388="","",IFERROR(4*STDEVP(終値!AC388:AV388)/AVERAGE(終値!AC388:AV388),""))</f>
        <v/>
      </c>
      <c r="AA388" s="503" t="str">
        <f>IF(終値!A388="","",IFERROR(4*STDEVP(終値!AD388:AW388)/AVERAGE(終値!AD388:AW388),""))</f>
        <v/>
      </c>
      <c r="AB388" s="503" t="str">
        <f>IF(終値!A388="","",IFERROR(4*STDEVP(終値!AE388:AX388)/AVERAGE(終値!AE388:AX388),""))</f>
        <v/>
      </c>
      <c r="AC388" s="503" t="str">
        <f>IF(終値!A388="","",IFERROR(4*STDEVP(終値!AF388:AY388)/AVERAGE(終値!AF388:AY388),""))</f>
        <v/>
      </c>
      <c r="AD388" s="503" t="str">
        <f>IF(終値!A388="","",IFERROR(4*STDEVP(終値!AG388:AZ388)/AVERAGE(終値!AG388:AZ388),""))</f>
        <v/>
      </c>
      <c r="AE388" s="503" t="str">
        <f>IF(終値!A388="","",IFERROR(4*STDEVP(終値!AH388:BA388)/AVERAGE(終値!AH388:BA388),""))</f>
        <v/>
      </c>
      <c r="AF388" s="503" t="str">
        <f>IF(終値!A388="","",IFERROR(4*STDEVP(終値!AI388:BB388)/AVERAGE(終値!AI388:BB388),""))</f>
        <v/>
      </c>
      <c r="AG388" s="503" t="str">
        <f>IF(終値!A388="","",IFERROR(4*STDEVP(終値!AJ388:BC388)/AVERAGE(終値!AJ388:BC388),""))</f>
        <v/>
      </c>
      <c r="AH388" s="503" t="str">
        <f>IF(終値!A388="","",IFERROR(4*STDEVP(終値!AK388:BD388)/AVERAGE(終値!AK388:BD388),""))</f>
        <v/>
      </c>
      <c r="AI388" s="503" t="str">
        <f>IF(終値!A388="","",IFERROR(4*STDEVP(終値!AL388:BE388)/AVERAGE(終値!AL388:BE388),""))</f>
        <v/>
      </c>
      <c r="AJ388" s="503" t="str">
        <f>IF(終値!A388="","",IFERROR(4*STDEVP(終値!AM388:BF388)/AVERAGE(終値!AM388:BF388),""))</f>
        <v/>
      </c>
      <c r="AK388" s="503" t="str">
        <f>IF(終値!A388="","",IFERROR(4*STDEVP(終値!AN388:BG388)/AVERAGE(終値!AN388:BG388),""))</f>
        <v/>
      </c>
      <c r="AL388" s="503" t="str">
        <f>IF(終値!A388="","",IFERROR(4*STDEVP(終値!AO388:BH388)/AVERAGE(終値!AO388:BH388),""))</f>
        <v/>
      </c>
      <c r="AM388" s="503" t="str">
        <f>IF(終値!A388="","",IFERROR(4*STDEVP(終値!AP388:BI388)/AVERAGE(終値!AP388:BI388),""))</f>
        <v/>
      </c>
      <c r="AN388" s="503" t="str">
        <f>IF(終値!A388="","",IFERROR(4*STDEVP(終値!AQ388:BJ388)/AVERAGE(終値!AQ388:BJ388),""))</f>
        <v/>
      </c>
      <c r="AO388" s="503" t="str">
        <f>IF(終値!A388="","",IFERROR(4*STDEVP(終値!AR388:BK388)/AVERAGE(終値!AR388:BK388),""))</f>
        <v/>
      </c>
      <c r="AP388" s="503" t="str">
        <f>IF(終値!A388="","",IFERROR(4*STDEVP(終値!AS388:BL388)/AVERAGE(終値!AS388:BL388),""))</f>
        <v/>
      </c>
    </row>
    <row r="389" spans="1:42">
      <c r="A389" s="500" t="str">
        <f>IF(終値!A389="","",終値!A389)</f>
        <v/>
      </c>
      <c r="B389" s="503" t="str">
        <f>IF(終値!A389="","",IFERROR(4*STDEVP(終値!E389:X389)/AVERAGE(終値!E389:X389),""))</f>
        <v/>
      </c>
      <c r="C389" s="503" t="str">
        <f>IF(終値!A389="","",IFERROR(4*STDEVP(終値!F389:Y389)/AVERAGE(終値!F389:Y389),""))</f>
        <v/>
      </c>
      <c r="D389" s="503" t="str">
        <f>IF(終値!A389="","",IFERROR(4*STDEVP(終値!G389:Z389)/AVERAGE(終値!G389:Z389),""))</f>
        <v/>
      </c>
      <c r="E389" s="503" t="str">
        <f>IF(終値!A389="","",IFERROR(4*STDEVP(終値!H389:AA389)/AVERAGE(終値!H389:AA389),""))</f>
        <v/>
      </c>
      <c r="F389" s="503" t="str">
        <f>IF(終値!A389="","",IFERROR(4*STDEVP(終値!I389:AB389)/AVERAGE(終値!I389:AB389),""))</f>
        <v/>
      </c>
      <c r="G389" s="503" t="str">
        <f>IF(終値!A389="","",IFERROR(4*STDEVP(終値!J389:AC389)/AVERAGE(終値!J389:AC389),""))</f>
        <v/>
      </c>
      <c r="H389" s="503" t="str">
        <f>IF(終値!A389="","",IFERROR(4*STDEVP(終値!K389:AD389)/AVERAGE(終値!K389:AD389),""))</f>
        <v/>
      </c>
      <c r="I389" s="503" t="str">
        <f>IF(終値!A389="","",IFERROR(4*STDEVP(終値!L389:AE389)/AVERAGE(終値!L389:AE389),""))</f>
        <v/>
      </c>
      <c r="J389" s="503" t="str">
        <f>IF(終値!A389="","",IFERROR(4*STDEVP(終値!M389:AF389)/AVERAGE(終値!M389:AF389),""))</f>
        <v/>
      </c>
      <c r="K389" s="503" t="str">
        <f>IF(終値!A389="","",IFERROR(4*STDEVP(終値!N389:AG389)/AVERAGE(終値!N389:AG389),""))</f>
        <v/>
      </c>
      <c r="L389" s="503" t="str">
        <f>IF(終値!A389="","",IFERROR(4*STDEVP(終値!O389:AH389)/AVERAGE(終値!O389:AH389),""))</f>
        <v/>
      </c>
      <c r="M389" s="503" t="str">
        <f>IF(終値!A389="","",IFERROR(4*STDEVP(終値!P389:AI389)/AVERAGE(終値!P389:AI389),""))</f>
        <v/>
      </c>
      <c r="N389" s="503" t="str">
        <f>IF(終値!A389="","",IFERROR(4*STDEVP(終値!Q389:AJ389)/AVERAGE(終値!Q389:AJ389),""))</f>
        <v/>
      </c>
      <c r="O389" s="503" t="str">
        <f>IF(終値!A389="","",IFERROR(4*STDEVP(終値!R389:AK389)/AVERAGE(終値!R389:AK389),""))</f>
        <v/>
      </c>
      <c r="P389" s="503" t="str">
        <f>IF(終値!A389="","",IFERROR(4*STDEVP(終値!S389:AL389)/AVERAGE(終値!S389:AL389),""))</f>
        <v/>
      </c>
      <c r="Q389" s="503" t="str">
        <f>IF(終値!A389="","",IFERROR(4*STDEVP(終値!T389:AM389)/AVERAGE(終値!T389:AM389),""))</f>
        <v/>
      </c>
      <c r="R389" s="503" t="str">
        <f>IF(終値!A389="","",IFERROR(4*STDEVP(終値!U389:AN389)/AVERAGE(終値!U389:AN389),""))</f>
        <v/>
      </c>
      <c r="S389" s="503" t="str">
        <f>IF(終値!A389="","",IFERROR(4*STDEVP(終値!V389:AO389)/AVERAGE(終値!V389:AO389),""))</f>
        <v/>
      </c>
      <c r="T389" s="503" t="str">
        <f>IF(終値!A389="","",IFERROR(4*STDEVP(終値!W389:AP389)/AVERAGE(終値!W389:AP389),""))</f>
        <v/>
      </c>
      <c r="U389" s="503" t="str">
        <f>IF(終値!A389="","",IFERROR(4*STDEVP(終値!X389:AQ389)/AVERAGE(終値!X389:AQ389),""))</f>
        <v/>
      </c>
      <c r="V389" s="503" t="str">
        <f>IF(終値!A389="","",IFERROR(4*STDEVP(終値!Y389:AR389)/AVERAGE(終値!Y389:AR389),""))</f>
        <v/>
      </c>
      <c r="W389" s="503" t="str">
        <f>IF(終値!A389="","",IFERROR(4*STDEVP(終値!Z389:AS389)/AVERAGE(終値!Z389:AS389),""))</f>
        <v/>
      </c>
      <c r="X389" s="503" t="str">
        <f>IF(終値!A389="","",IFERROR(4*STDEVP(終値!AA389:AT389)/AVERAGE(終値!AA389:AT389),""))</f>
        <v/>
      </c>
      <c r="Y389" s="503" t="str">
        <f>IF(終値!A389="","",IFERROR(4*STDEVP(終値!AB389:AU389)/AVERAGE(終値!AB389:AU389),""))</f>
        <v/>
      </c>
      <c r="Z389" s="503" t="str">
        <f>IF(終値!A389="","",IFERROR(4*STDEVP(終値!AC389:AV389)/AVERAGE(終値!AC389:AV389),""))</f>
        <v/>
      </c>
      <c r="AA389" s="503" t="str">
        <f>IF(終値!A389="","",IFERROR(4*STDEVP(終値!AD389:AW389)/AVERAGE(終値!AD389:AW389),""))</f>
        <v/>
      </c>
      <c r="AB389" s="503" t="str">
        <f>IF(終値!A389="","",IFERROR(4*STDEVP(終値!AE389:AX389)/AVERAGE(終値!AE389:AX389),""))</f>
        <v/>
      </c>
      <c r="AC389" s="503" t="str">
        <f>IF(終値!A389="","",IFERROR(4*STDEVP(終値!AF389:AY389)/AVERAGE(終値!AF389:AY389),""))</f>
        <v/>
      </c>
      <c r="AD389" s="503" t="str">
        <f>IF(終値!A389="","",IFERROR(4*STDEVP(終値!AG389:AZ389)/AVERAGE(終値!AG389:AZ389),""))</f>
        <v/>
      </c>
      <c r="AE389" s="503" t="str">
        <f>IF(終値!A389="","",IFERROR(4*STDEVP(終値!AH389:BA389)/AVERAGE(終値!AH389:BA389),""))</f>
        <v/>
      </c>
      <c r="AF389" s="503" t="str">
        <f>IF(終値!A389="","",IFERROR(4*STDEVP(終値!AI389:BB389)/AVERAGE(終値!AI389:BB389),""))</f>
        <v/>
      </c>
      <c r="AG389" s="503" t="str">
        <f>IF(終値!A389="","",IFERROR(4*STDEVP(終値!AJ389:BC389)/AVERAGE(終値!AJ389:BC389),""))</f>
        <v/>
      </c>
      <c r="AH389" s="503" t="str">
        <f>IF(終値!A389="","",IFERROR(4*STDEVP(終値!AK389:BD389)/AVERAGE(終値!AK389:BD389),""))</f>
        <v/>
      </c>
      <c r="AI389" s="503" t="str">
        <f>IF(終値!A389="","",IFERROR(4*STDEVP(終値!AL389:BE389)/AVERAGE(終値!AL389:BE389),""))</f>
        <v/>
      </c>
      <c r="AJ389" s="503" t="str">
        <f>IF(終値!A389="","",IFERROR(4*STDEVP(終値!AM389:BF389)/AVERAGE(終値!AM389:BF389),""))</f>
        <v/>
      </c>
      <c r="AK389" s="503" t="str">
        <f>IF(終値!A389="","",IFERROR(4*STDEVP(終値!AN389:BG389)/AVERAGE(終値!AN389:BG389),""))</f>
        <v/>
      </c>
      <c r="AL389" s="503" t="str">
        <f>IF(終値!A389="","",IFERROR(4*STDEVP(終値!AO389:BH389)/AVERAGE(終値!AO389:BH389),""))</f>
        <v/>
      </c>
      <c r="AM389" s="503" t="str">
        <f>IF(終値!A389="","",IFERROR(4*STDEVP(終値!AP389:BI389)/AVERAGE(終値!AP389:BI389),""))</f>
        <v/>
      </c>
      <c r="AN389" s="503" t="str">
        <f>IF(終値!A389="","",IFERROR(4*STDEVP(終値!AQ389:BJ389)/AVERAGE(終値!AQ389:BJ389),""))</f>
        <v/>
      </c>
      <c r="AO389" s="503" t="str">
        <f>IF(終値!A389="","",IFERROR(4*STDEVP(終値!AR389:BK389)/AVERAGE(終値!AR389:BK389),""))</f>
        <v/>
      </c>
      <c r="AP389" s="503" t="str">
        <f>IF(終値!A389="","",IFERROR(4*STDEVP(終値!AS389:BL389)/AVERAGE(終値!AS389:BL389),""))</f>
        <v/>
      </c>
    </row>
    <row r="390" spans="1:42">
      <c r="A390" s="500" t="str">
        <f>IF(終値!A390="","",終値!A390)</f>
        <v/>
      </c>
      <c r="B390" s="503" t="str">
        <f>IF(終値!A390="","",IFERROR(4*STDEVP(終値!E390:X390)/AVERAGE(終値!E390:X390),""))</f>
        <v/>
      </c>
      <c r="C390" s="503" t="str">
        <f>IF(終値!A390="","",IFERROR(4*STDEVP(終値!F390:Y390)/AVERAGE(終値!F390:Y390),""))</f>
        <v/>
      </c>
      <c r="D390" s="503" t="str">
        <f>IF(終値!A390="","",IFERROR(4*STDEVP(終値!G390:Z390)/AVERAGE(終値!G390:Z390),""))</f>
        <v/>
      </c>
      <c r="E390" s="503" t="str">
        <f>IF(終値!A390="","",IFERROR(4*STDEVP(終値!H390:AA390)/AVERAGE(終値!H390:AA390),""))</f>
        <v/>
      </c>
      <c r="F390" s="503" t="str">
        <f>IF(終値!A390="","",IFERROR(4*STDEVP(終値!I390:AB390)/AVERAGE(終値!I390:AB390),""))</f>
        <v/>
      </c>
      <c r="G390" s="503" t="str">
        <f>IF(終値!A390="","",IFERROR(4*STDEVP(終値!J390:AC390)/AVERAGE(終値!J390:AC390),""))</f>
        <v/>
      </c>
      <c r="H390" s="503" t="str">
        <f>IF(終値!A390="","",IFERROR(4*STDEVP(終値!K390:AD390)/AVERAGE(終値!K390:AD390),""))</f>
        <v/>
      </c>
      <c r="I390" s="503" t="str">
        <f>IF(終値!A390="","",IFERROR(4*STDEVP(終値!L390:AE390)/AVERAGE(終値!L390:AE390),""))</f>
        <v/>
      </c>
      <c r="J390" s="503" t="str">
        <f>IF(終値!A390="","",IFERROR(4*STDEVP(終値!M390:AF390)/AVERAGE(終値!M390:AF390),""))</f>
        <v/>
      </c>
      <c r="K390" s="503" t="str">
        <f>IF(終値!A390="","",IFERROR(4*STDEVP(終値!N390:AG390)/AVERAGE(終値!N390:AG390),""))</f>
        <v/>
      </c>
      <c r="L390" s="503" t="str">
        <f>IF(終値!A390="","",IFERROR(4*STDEVP(終値!O390:AH390)/AVERAGE(終値!O390:AH390),""))</f>
        <v/>
      </c>
      <c r="M390" s="503" t="str">
        <f>IF(終値!A390="","",IFERROR(4*STDEVP(終値!P390:AI390)/AVERAGE(終値!P390:AI390),""))</f>
        <v/>
      </c>
      <c r="N390" s="503" t="str">
        <f>IF(終値!A390="","",IFERROR(4*STDEVP(終値!Q390:AJ390)/AVERAGE(終値!Q390:AJ390),""))</f>
        <v/>
      </c>
      <c r="O390" s="503" t="str">
        <f>IF(終値!A390="","",IFERROR(4*STDEVP(終値!R390:AK390)/AVERAGE(終値!R390:AK390),""))</f>
        <v/>
      </c>
      <c r="P390" s="503" t="str">
        <f>IF(終値!A390="","",IFERROR(4*STDEVP(終値!S390:AL390)/AVERAGE(終値!S390:AL390),""))</f>
        <v/>
      </c>
      <c r="Q390" s="503" t="str">
        <f>IF(終値!A390="","",IFERROR(4*STDEVP(終値!T390:AM390)/AVERAGE(終値!T390:AM390),""))</f>
        <v/>
      </c>
      <c r="R390" s="503" t="str">
        <f>IF(終値!A390="","",IFERROR(4*STDEVP(終値!U390:AN390)/AVERAGE(終値!U390:AN390),""))</f>
        <v/>
      </c>
      <c r="S390" s="503" t="str">
        <f>IF(終値!A390="","",IFERROR(4*STDEVP(終値!V390:AO390)/AVERAGE(終値!V390:AO390),""))</f>
        <v/>
      </c>
      <c r="T390" s="503" t="str">
        <f>IF(終値!A390="","",IFERROR(4*STDEVP(終値!W390:AP390)/AVERAGE(終値!W390:AP390),""))</f>
        <v/>
      </c>
      <c r="U390" s="503" t="str">
        <f>IF(終値!A390="","",IFERROR(4*STDEVP(終値!X390:AQ390)/AVERAGE(終値!X390:AQ390),""))</f>
        <v/>
      </c>
      <c r="V390" s="503" t="str">
        <f>IF(終値!A390="","",IFERROR(4*STDEVP(終値!Y390:AR390)/AVERAGE(終値!Y390:AR390),""))</f>
        <v/>
      </c>
      <c r="W390" s="503" t="str">
        <f>IF(終値!A390="","",IFERROR(4*STDEVP(終値!Z390:AS390)/AVERAGE(終値!Z390:AS390),""))</f>
        <v/>
      </c>
      <c r="X390" s="503" t="str">
        <f>IF(終値!A390="","",IFERROR(4*STDEVP(終値!AA390:AT390)/AVERAGE(終値!AA390:AT390),""))</f>
        <v/>
      </c>
      <c r="Y390" s="503" t="str">
        <f>IF(終値!A390="","",IFERROR(4*STDEVP(終値!AB390:AU390)/AVERAGE(終値!AB390:AU390),""))</f>
        <v/>
      </c>
      <c r="Z390" s="503" t="str">
        <f>IF(終値!A390="","",IFERROR(4*STDEVP(終値!AC390:AV390)/AVERAGE(終値!AC390:AV390),""))</f>
        <v/>
      </c>
      <c r="AA390" s="503" t="str">
        <f>IF(終値!A390="","",IFERROR(4*STDEVP(終値!AD390:AW390)/AVERAGE(終値!AD390:AW390),""))</f>
        <v/>
      </c>
      <c r="AB390" s="503" t="str">
        <f>IF(終値!A390="","",IFERROR(4*STDEVP(終値!AE390:AX390)/AVERAGE(終値!AE390:AX390),""))</f>
        <v/>
      </c>
      <c r="AC390" s="503" t="str">
        <f>IF(終値!A390="","",IFERROR(4*STDEVP(終値!AF390:AY390)/AVERAGE(終値!AF390:AY390),""))</f>
        <v/>
      </c>
      <c r="AD390" s="503" t="str">
        <f>IF(終値!A390="","",IFERROR(4*STDEVP(終値!AG390:AZ390)/AVERAGE(終値!AG390:AZ390),""))</f>
        <v/>
      </c>
      <c r="AE390" s="503" t="str">
        <f>IF(終値!A390="","",IFERROR(4*STDEVP(終値!AH390:BA390)/AVERAGE(終値!AH390:BA390),""))</f>
        <v/>
      </c>
      <c r="AF390" s="503" t="str">
        <f>IF(終値!A390="","",IFERROR(4*STDEVP(終値!AI390:BB390)/AVERAGE(終値!AI390:BB390),""))</f>
        <v/>
      </c>
      <c r="AG390" s="503" t="str">
        <f>IF(終値!A390="","",IFERROR(4*STDEVP(終値!AJ390:BC390)/AVERAGE(終値!AJ390:BC390),""))</f>
        <v/>
      </c>
      <c r="AH390" s="503" t="str">
        <f>IF(終値!A390="","",IFERROR(4*STDEVP(終値!AK390:BD390)/AVERAGE(終値!AK390:BD390),""))</f>
        <v/>
      </c>
      <c r="AI390" s="503" t="str">
        <f>IF(終値!A390="","",IFERROR(4*STDEVP(終値!AL390:BE390)/AVERAGE(終値!AL390:BE390),""))</f>
        <v/>
      </c>
      <c r="AJ390" s="503" t="str">
        <f>IF(終値!A390="","",IFERROR(4*STDEVP(終値!AM390:BF390)/AVERAGE(終値!AM390:BF390),""))</f>
        <v/>
      </c>
      <c r="AK390" s="503" t="str">
        <f>IF(終値!A390="","",IFERROR(4*STDEVP(終値!AN390:BG390)/AVERAGE(終値!AN390:BG390),""))</f>
        <v/>
      </c>
      <c r="AL390" s="503" t="str">
        <f>IF(終値!A390="","",IFERROR(4*STDEVP(終値!AO390:BH390)/AVERAGE(終値!AO390:BH390),""))</f>
        <v/>
      </c>
      <c r="AM390" s="503" t="str">
        <f>IF(終値!A390="","",IFERROR(4*STDEVP(終値!AP390:BI390)/AVERAGE(終値!AP390:BI390),""))</f>
        <v/>
      </c>
      <c r="AN390" s="503" t="str">
        <f>IF(終値!A390="","",IFERROR(4*STDEVP(終値!AQ390:BJ390)/AVERAGE(終値!AQ390:BJ390),""))</f>
        <v/>
      </c>
      <c r="AO390" s="503" t="str">
        <f>IF(終値!A390="","",IFERROR(4*STDEVP(終値!AR390:BK390)/AVERAGE(終値!AR390:BK390),""))</f>
        <v/>
      </c>
      <c r="AP390" s="503" t="str">
        <f>IF(終値!A390="","",IFERROR(4*STDEVP(終値!AS390:BL390)/AVERAGE(終値!AS390:BL390),""))</f>
        <v/>
      </c>
    </row>
    <row r="391" spans="1:42">
      <c r="A391" s="500" t="str">
        <f>IF(終値!A391="","",終値!A391)</f>
        <v/>
      </c>
      <c r="B391" s="503" t="str">
        <f>IF(終値!A391="","",IFERROR(4*STDEVP(終値!E391:X391)/AVERAGE(終値!E391:X391),""))</f>
        <v/>
      </c>
      <c r="C391" s="503" t="str">
        <f>IF(終値!A391="","",IFERROR(4*STDEVP(終値!F391:Y391)/AVERAGE(終値!F391:Y391),""))</f>
        <v/>
      </c>
      <c r="D391" s="503" t="str">
        <f>IF(終値!A391="","",IFERROR(4*STDEVP(終値!G391:Z391)/AVERAGE(終値!G391:Z391),""))</f>
        <v/>
      </c>
      <c r="E391" s="503" t="str">
        <f>IF(終値!A391="","",IFERROR(4*STDEVP(終値!H391:AA391)/AVERAGE(終値!H391:AA391),""))</f>
        <v/>
      </c>
      <c r="F391" s="503" t="str">
        <f>IF(終値!A391="","",IFERROR(4*STDEVP(終値!I391:AB391)/AVERAGE(終値!I391:AB391),""))</f>
        <v/>
      </c>
      <c r="G391" s="503" t="str">
        <f>IF(終値!A391="","",IFERROR(4*STDEVP(終値!J391:AC391)/AVERAGE(終値!J391:AC391),""))</f>
        <v/>
      </c>
      <c r="H391" s="503" t="str">
        <f>IF(終値!A391="","",IFERROR(4*STDEVP(終値!K391:AD391)/AVERAGE(終値!K391:AD391),""))</f>
        <v/>
      </c>
      <c r="I391" s="503" t="str">
        <f>IF(終値!A391="","",IFERROR(4*STDEVP(終値!L391:AE391)/AVERAGE(終値!L391:AE391),""))</f>
        <v/>
      </c>
      <c r="J391" s="503" t="str">
        <f>IF(終値!A391="","",IFERROR(4*STDEVP(終値!M391:AF391)/AVERAGE(終値!M391:AF391),""))</f>
        <v/>
      </c>
      <c r="K391" s="503" t="str">
        <f>IF(終値!A391="","",IFERROR(4*STDEVP(終値!N391:AG391)/AVERAGE(終値!N391:AG391),""))</f>
        <v/>
      </c>
      <c r="L391" s="503" t="str">
        <f>IF(終値!A391="","",IFERROR(4*STDEVP(終値!O391:AH391)/AVERAGE(終値!O391:AH391),""))</f>
        <v/>
      </c>
      <c r="M391" s="503" t="str">
        <f>IF(終値!A391="","",IFERROR(4*STDEVP(終値!P391:AI391)/AVERAGE(終値!P391:AI391),""))</f>
        <v/>
      </c>
      <c r="N391" s="503" t="str">
        <f>IF(終値!A391="","",IFERROR(4*STDEVP(終値!Q391:AJ391)/AVERAGE(終値!Q391:AJ391),""))</f>
        <v/>
      </c>
      <c r="O391" s="503" t="str">
        <f>IF(終値!A391="","",IFERROR(4*STDEVP(終値!R391:AK391)/AVERAGE(終値!R391:AK391),""))</f>
        <v/>
      </c>
      <c r="P391" s="503" t="str">
        <f>IF(終値!A391="","",IFERROR(4*STDEVP(終値!S391:AL391)/AVERAGE(終値!S391:AL391),""))</f>
        <v/>
      </c>
      <c r="Q391" s="503" t="str">
        <f>IF(終値!A391="","",IFERROR(4*STDEVP(終値!T391:AM391)/AVERAGE(終値!T391:AM391),""))</f>
        <v/>
      </c>
      <c r="R391" s="503" t="str">
        <f>IF(終値!A391="","",IFERROR(4*STDEVP(終値!U391:AN391)/AVERAGE(終値!U391:AN391),""))</f>
        <v/>
      </c>
      <c r="S391" s="503" t="str">
        <f>IF(終値!A391="","",IFERROR(4*STDEVP(終値!V391:AO391)/AVERAGE(終値!V391:AO391),""))</f>
        <v/>
      </c>
      <c r="T391" s="503" t="str">
        <f>IF(終値!A391="","",IFERROR(4*STDEVP(終値!W391:AP391)/AVERAGE(終値!W391:AP391),""))</f>
        <v/>
      </c>
      <c r="U391" s="503" t="str">
        <f>IF(終値!A391="","",IFERROR(4*STDEVP(終値!X391:AQ391)/AVERAGE(終値!X391:AQ391),""))</f>
        <v/>
      </c>
      <c r="V391" s="503" t="str">
        <f>IF(終値!A391="","",IFERROR(4*STDEVP(終値!Y391:AR391)/AVERAGE(終値!Y391:AR391),""))</f>
        <v/>
      </c>
      <c r="W391" s="503" t="str">
        <f>IF(終値!A391="","",IFERROR(4*STDEVP(終値!Z391:AS391)/AVERAGE(終値!Z391:AS391),""))</f>
        <v/>
      </c>
      <c r="X391" s="503" t="str">
        <f>IF(終値!A391="","",IFERROR(4*STDEVP(終値!AA391:AT391)/AVERAGE(終値!AA391:AT391),""))</f>
        <v/>
      </c>
      <c r="Y391" s="503" t="str">
        <f>IF(終値!A391="","",IFERROR(4*STDEVP(終値!AB391:AU391)/AVERAGE(終値!AB391:AU391),""))</f>
        <v/>
      </c>
      <c r="Z391" s="503" t="str">
        <f>IF(終値!A391="","",IFERROR(4*STDEVP(終値!AC391:AV391)/AVERAGE(終値!AC391:AV391),""))</f>
        <v/>
      </c>
      <c r="AA391" s="503" t="str">
        <f>IF(終値!A391="","",IFERROR(4*STDEVP(終値!AD391:AW391)/AVERAGE(終値!AD391:AW391),""))</f>
        <v/>
      </c>
      <c r="AB391" s="503" t="str">
        <f>IF(終値!A391="","",IFERROR(4*STDEVP(終値!AE391:AX391)/AVERAGE(終値!AE391:AX391),""))</f>
        <v/>
      </c>
      <c r="AC391" s="503" t="str">
        <f>IF(終値!A391="","",IFERROR(4*STDEVP(終値!AF391:AY391)/AVERAGE(終値!AF391:AY391),""))</f>
        <v/>
      </c>
      <c r="AD391" s="503" t="str">
        <f>IF(終値!A391="","",IFERROR(4*STDEVP(終値!AG391:AZ391)/AVERAGE(終値!AG391:AZ391),""))</f>
        <v/>
      </c>
      <c r="AE391" s="503" t="str">
        <f>IF(終値!A391="","",IFERROR(4*STDEVP(終値!AH391:BA391)/AVERAGE(終値!AH391:BA391),""))</f>
        <v/>
      </c>
      <c r="AF391" s="503" t="str">
        <f>IF(終値!A391="","",IFERROR(4*STDEVP(終値!AI391:BB391)/AVERAGE(終値!AI391:BB391),""))</f>
        <v/>
      </c>
      <c r="AG391" s="503" t="str">
        <f>IF(終値!A391="","",IFERROR(4*STDEVP(終値!AJ391:BC391)/AVERAGE(終値!AJ391:BC391),""))</f>
        <v/>
      </c>
      <c r="AH391" s="503" t="str">
        <f>IF(終値!A391="","",IFERROR(4*STDEVP(終値!AK391:BD391)/AVERAGE(終値!AK391:BD391),""))</f>
        <v/>
      </c>
      <c r="AI391" s="503" t="str">
        <f>IF(終値!A391="","",IFERROR(4*STDEVP(終値!AL391:BE391)/AVERAGE(終値!AL391:BE391),""))</f>
        <v/>
      </c>
      <c r="AJ391" s="503" t="str">
        <f>IF(終値!A391="","",IFERROR(4*STDEVP(終値!AM391:BF391)/AVERAGE(終値!AM391:BF391),""))</f>
        <v/>
      </c>
      <c r="AK391" s="503" t="str">
        <f>IF(終値!A391="","",IFERROR(4*STDEVP(終値!AN391:BG391)/AVERAGE(終値!AN391:BG391),""))</f>
        <v/>
      </c>
      <c r="AL391" s="503" t="str">
        <f>IF(終値!A391="","",IFERROR(4*STDEVP(終値!AO391:BH391)/AVERAGE(終値!AO391:BH391),""))</f>
        <v/>
      </c>
      <c r="AM391" s="503" t="str">
        <f>IF(終値!A391="","",IFERROR(4*STDEVP(終値!AP391:BI391)/AVERAGE(終値!AP391:BI391),""))</f>
        <v/>
      </c>
      <c r="AN391" s="503" t="str">
        <f>IF(終値!A391="","",IFERROR(4*STDEVP(終値!AQ391:BJ391)/AVERAGE(終値!AQ391:BJ391),""))</f>
        <v/>
      </c>
      <c r="AO391" s="503" t="str">
        <f>IF(終値!A391="","",IFERROR(4*STDEVP(終値!AR391:BK391)/AVERAGE(終値!AR391:BK391),""))</f>
        <v/>
      </c>
      <c r="AP391" s="503" t="str">
        <f>IF(終値!A391="","",IFERROR(4*STDEVP(終値!AS391:BL391)/AVERAGE(終値!AS391:BL391),""))</f>
        <v/>
      </c>
    </row>
    <row r="392" spans="1:42">
      <c r="A392" s="500" t="str">
        <f>IF(終値!A392="","",終値!A392)</f>
        <v/>
      </c>
      <c r="B392" s="503" t="str">
        <f>IF(終値!A392="","",IFERROR(4*STDEVP(終値!E392:X392)/AVERAGE(終値!E392:X392),""))</f>
        <v/>
      </c>
      <c r="C392" s="503" t="str">
        <f>IF(終値!A392="","",IFERROR(4*STDEVP(終値!F392:Y392)/AVERAGE(終値!F392:Y392),""))</f>
        <v/>
      </c>
      <c r="D392" s="503" t="str">
        <f>IF(終値!A392="","",IFERROR(4*STDEVP(終値!G392:Z392)/AVERAGE(終値!G392:Z392),""))</f>
        <v/>
      </c>
      <c r="E392" s="503" t="str">
        <f>IF(終値!A392="","",IFERROR(4*STDEVP(終値!H392:AA392)/AVERAGE(終値!H392:AA392),""))</f>
        <v/>
      </c>
      <c r="F392" s="503" t="str">
        <f>IF(終値!A392="","",IFERROR(4*STDEVP(終値!I392:AB392)/AVERAGE(終値!I392:AB392),""))</f>
        <v/>
      </c>
      <c r="G392" s="503" t="str">
        <f>IF(終値!A392="","",IFERROR(4*STDEVP(終値!J392:AC392)/AVERAGE(終値!J392:AC392),""))</f>
        <v/>
      </c>
      <c r="H392" s="503" t="str">
        <f>IF(終値!A392="","",IFERROR(4*STDEVP(終値!K392:AD392)/AVERAGE(終値!K392:AD392),""))</f>
        <v/>
      </c>
      <c r="I392" s="503" t="str">
        <f>IF(終値!A392="","",IFERROR(4*STDEVP(終値!L392:AE392)/AVERAGE(終値!L392:AE392),""))</f>
        <v/>
      </c>
      <c r="J392" s="503" t="str">
        <f>IF(終値!A392="","",IFERROR(4*STDEVP(終値!M392:AF392)/AVERAGE(終値!M392:AF392),""))</f>
        <v/>
      </c>
      <c r="K392" s="503" t="str">
        <f>IF(終値!A392="","",IFERROR(4*STDEVP(終値!N392:AG392)/AVERAGE(終値!N392:AG392),""))</f>
        <v/>
      </c>
      <c r="L392" s="503" t="str">
        <f>IF(終値!A392="","",IFERROR(4*STDEVP(終値!O392:AH392)/AVERAGE(終値!O392:AH392),""))</f>
        <v/>
      </c>
      <c r="M392" s="503" t="str">
        <f>IF(終値!A392="","",IFERROR(4*STDEVP(終値!P392:AI392)/AVERAGE(終値!P392:AI392),""))</f>
        <v/>
      </c>
      <c r="N392" s="503" t="str">
        <f>IF(終値!A392="","",IFERROR(4*STDEVP(終値!Q392:AJ392)/AVERAGE(終値!Q392:AJ392),""))</f>
        <v/>
      </c>
      <c r="O392" s="503" t="str">
        <f>IF(終値!A392="","",IFERROR(4*STDEVP(終値!R392:AK392)/AVERAGE(終値!R392:AK392),""))</f>
        <v/>
      </c>
      <c r="P392" s="503" t="str">
        <f>IF(終値!A392="","",IFERROR(4*STDEVP(終値!S392:AL392)/AVERAGE(終値!S392:AL392),""))</f>
        <v/>
      </c>
      <c r="Q392" s="503" t="str">
        <f>IF(終値!A392="","",IFERROR(4*STDEVP(終値!T392:AM392)/AVERAGE(終値!T392:AM392),""))</f>
        <v/>
      </c>
      <c r="R392" s="503" t="str">
        <f>IF(終値!A392="","",IFERROR(4*STDEVP(終値!U392:AN392)/AVERAGE(終値!U392:AN392),""))</f>
        <v/>
      </c>
      <c r="S392" s="503" t="str">
        <f>IF(終値!A392="","",IFERROR(4*STDEVP(終値!V392:AO392)/AVERAGE(終値!V392:AO392),""))</f>
        <v/>
      </c>
      <c r="T392" s="503" t="str">
        <f>IF(終値!A392="","",IFERROR(4*STDEVP(終値!W392:AP392)/AVERAGE(終値!W392:AP392),""))</f>
        <v/>
      </c>
      <c r="U392" s="503" t="str">
        <f>IF(終値!A392="","",IFERROR(4*STDEVP(終値!X392:AQ392)/AVERAGE(終値!X392:AQ392),""))</f>
        <v/>
      </c>
      <c r="V392" s="503" t="str">
        <f>IF(終値!A392="","",IFERROR(4*STDEVP(終値!Y392:AR392)/AVERAGE(終値!Y392:AR392),""))</f>
        <v/>
      </c>
      <c r="W392" s="503" t="str">
        <f>IF(終値!A392="","",IFERROR(4*STDEVP(終値!Z392:AS392)/AVERAGE(終値!Z392:AS392),""))</f>
        <v/>
      </c>
      <c r="X392" s="503" t="str">
        <f>IF(終値!A392="","",IFERROR(4*STDEVP(終値!AA392:AT392)/AVERAGE(終値!AA392:AT392),""))</f>
        <v/>
      </c>
      <c r="Y392" s="503" t="str">
        <f>IF(終値!A392="","",IFERROR(4*STDEVP(終値!AB392:AU392)/AVERAGE(終値!AB392:AU392),""))</f>
        <v/>
      </c>
      <c r="Z392" s="503" t="str">
        <f>IF(終値!A392="","",IFERROR(4*STDEVP(終値!AC392:AV392)/AVERAGE(終値!AC392:AV392),""))</f>
        <v/>
      </c>
      <c r="AA392" s="503" t="str">
        <f>IF(終値!A392="","",IFERROR(4*STDEVP(終値!AD392:AW392)/AVERAGE(終値!AD392:AW392),""))</f>
        <v/>
      </c>
      <c r="AB392" s="503" t="str">
        <f>IF(終値!A392="","",IFERROR(4*STDEVP(終値!AE392:AX392)/AVERAGE(終値!AE392:AX392),""))</f>
        <v/>
      </c>
      <c r="AC392" s="503" t="str">
        <f>IF(終値!A392="","",IFERROR(4*STDEVP(終値!AF392:AY392)/AVERAGE(終値!AF392:AY392),""))</f>
        <v/>
      </c>
      <c r="AD392" s="503" t="str">
        <f>IF(終値!A392="","",IFERROR(4*STDEVP(終値!AG392:AZ392)/AVERAGE(終値!AG392:AZ392),""))</f>
        <v/>
      </c>
      <c r="AE392" s="503" t="str">
        <f>IF(終値!A392="","",IFERROR(4*STDEVP(終値!AH392:BA392)/AVERAGE(終値!AH392:BA392),""))</f>
        <v/>
      </c>
      <c r="AF392" s="503" t="str">
        <f>IF(終値!A392="","",IFERROR(4*STDEVP(終値!AI392:BB392)/AVERAGE(終値!AI392:BB392),""))</f>
        <v/>
      </c>
      <c r="AG392" s="503" t="str">
        <f>IF(終値!A392="","",IFERROR(4*STDEVP(終値!AJ392:BC392)/AVERAGE(終値!AJ392:BC392),""))</f>
        <v/>
      </c>
      <c r="AH392" s="503" t="str">
        <f>IF(終値!A392="","",IFERROR(4*STDEVP(終値!AK392:BD392)/AVERAGE(終値!AK392:BD392),""))</f>
        <v/>
      </c>
      <c r="AI392" s="503" t="str">
        <f>IF(終値!A392="","",IFERROR(4*STDEVP(終値!AL392:BE392)/AVERAGE(終値!AL392:BE392),""))</f>
        <v/>
      </c>
      <c r="AJ392" s="503" t="str">
        <f>IF(終値!A392="","",IFERROR(4*STDEVP(終値!AM392:BF392)/AVERAGE(終値!AM392:BF392),""))</f>
        <v/>
      </c>
      <c r="AK392" s="503" t="str">
        <f>IF(終値!A392="","",IFERROR(4*STDEVP(終値!AN392:BG392)/AVERAGE(終値!AN392:BG392),""))</f>
        <v/>
      </c>
      <c r="AL392" s="503" t="str">
        <f>IF(終値!A392="","",IFERROR(4*STDEVP(終値!AO392:BH392)/AVERAGE(終値!AO392:BH392),""))</f>
        <v/>
      </c>
      <c r="AM392" s="503" t="str">
        <f>IF(終値!A392="","",IFERROR(4*STDEVP(終値!AP392:BI392)/AVERAGE(終値!AP392:BI392),""))</f>
        <v/>
      </c>
      <c r="AN392" s="503" t="str">
        <f>IF(終値!A392="","",IFERROR(4*STDEVP(終値!AQ392:BJ392)/AVERAGE(終値!AQ392:BJ392),""))</f>
        <v/>
      </c>
      <c r="AO392" s="503" t="str">
        <f>IF(終値!A392="","",IFERROR(4*STDEVP(終値!AR392:BK392)/AVERAGE(終値!AR392:BK392),""))</f>
        <v/>
      </c>
      <c r="AP392" s="503" t="str">
        <f>IF(終値!A392="","",IFERROR(4*STDEVP(終値!AS392:BL392)/AVERAGE(終値!AS392:BL392),""))</f>
        <v/>
      </c>
    </row>
    <row r="393" spans="1:42">
      <c r="A393" s="500" t="str">
        <f>IF(終値!A393="","",終値!A393)</f>
        <v/>
      </c>
      <c r="B393" s="503" t="str">
        <f>IF(終値!A393="","",IFERROR(4*STDEVP(終値!E393:X393)/AVERAGE(終値!E393:X393),""))</f>
        <v/>
      </c>
      <c r="C393" s="503" t="str">
        <f>IF(終値!A393="","",IFERROR(4*STDEVP(終値!F393:Y393)/AVERAGE(終値!F393:Y393),""))</f>
        <v/>
      </c>
      <c r="D393" s="503" t="str">
        <f>IF(終値!A393="","",IFERROR(4*STDEVP(終値!G393:Z393)/AVERAGE(終値!G393:Z393),""))</f>
        <v/>
      </c>
      <c r="E393" s="503" t="str">
        <f>IF(終値!A393="","",IFERROR(4*STDEVP(終値!H393:AA393)/AVERAGE(終値!H393:AA393),""))</f>
        <v/>
      </c>
      <c r="F393" s="503" t="str">
        <f>IF(終値!A393="","",IFERROR(4*STDEVP(終値!I393:AB393)/AVERAGE(終値!I393:AB393),""))</f>
        <v/>
      </c>
      <c r="G393" s="503" t="str">
        <f>IF(終値!A393="","",IFERROR(4*STDEVP(終値!J393:AC393)/AVERAGE(終値!J393:AC393),""))</f>
        <v/>
      </c>
      <c r="H393" s="503" t="str">
        <f>IF(終値!A393="","",IFERROR(4*STDEVP(終値!K393:AD393)/AVERAGE(終値!K393:AD393),""))</f>
        <v/>
      </c>
      <c r="I393" s="503" t="str">
        <f>IF(終値!A393="","",IFERROR(4*STDEVP(終値!L393:AE393)/AVERAGE(終値!L393:AE393),""))</f>
        <v/>
      </c>
      <c r="J393" s="503" t="str">
        <f>IF(終値!A393="","",IFERROR(4*STDEVP(終値!M393:AF393)/AVERAGE(終値!M393:AF393),""))</f>
        <v/>
      </c>
      <c r="K393" s="503" t="str">
        <f>IF(終値!A393="","",IFERROR(4*STDEVP(終値!N393:AG393)/AVERAGE(終値!N393:AG393),""))</f>
        <v/>
      </c>
      <c r="L393" s="503" t="str">
        <f>IF(終値!A393="","",IFERROR(4*STDEVP(終値!O393:AH393)/AVERAGE(終値!O393:AH393),""))</f>
        <v/>
      </c>
      <c r="M393" s="503" t="str">
        <f>IF(終値!A393="","",IFERROR(4*STDEVP(終値!P393:AI393)/AVERAGE(終値!P393:AI393),""))</f>
        <v/>
      </c>
      <c r="N393" s="503" t="str">
        <f>IF(終値!A393="","",IFERROR(4*STDEVP(終値!Q393:AJ393)/AVERAGE(終値!Q393:AJ393),""))</f>
        <v/>
      </c>
      <c r="O393" s="503" t="str">
        <f>IF(終値!A393="","",IFERROR(4*STDEVP(終値!R393:AK393)/AVERAGE(終値!R393:AK393),""))</f>
        <v/>
      </c>
      <c r="P393" s="503" t="str">
        <f>IF(終値!A393="","",IFERROR(4*STDEVP(終値!S393:AL393)/AVERAGE(終値!S393:AL393),""))</f>
        <v/>
      </c>
      <c r="Q393" s="503" t="str">
        <f>IF(終値!A393="","",IFERROR(4*STDEVP(終値!T393:AM393)/AVERAGE(終値!T393:AM393),""))</f>
        <v/>
      </c>
      <c r="R393" s="503" t="str">
        <f>IF(終値!A393="","",IFERROR(4*STDEVP(終値!U393:AN393)/AVERAGE(終値!U393:AN393),""))</f>
        <v/>
      </c>
      <c r="S393" s="503" t="str">
        <f>IF(終値!A393="","",IFERROR(4*STDEVP(終値!V393:AO393)/AVERAGE(終値!V393:AO393),""))</f>
        <v/>
      </c>
      <c r="T393" s="503" t="str">
        <f>IF(終値!A393="","",IFERROR(4*STDEVP(終値!W393:AP393)/AVERAGE(終値!W393:AP393),""))</f>
        <v/>
      </c>
      <c r="U393" s="503" t="str">
        <f>IF(終値!A393="","",IFERROR(4*STDEVP(終値!X393:AQ393)/AVERAGE(終値!X393:AQ393),""))</f>
        <v/>
      </c>
      <c r="V393" s="503" t="str">
        <f>IF(終値!A393="","",IFERROR(4*STDEVP(終値!Y393:AR393)/AVERAGE(終値!Y393:AR393),""))</f>
        <v/>
      </c>
      <c r="W393" s="503" t="str">
        <f>IF(終値!A393="","",IFERROR(4*STDEVP(終値!Z393:AS393)/AVERAGE(終値!Z393:AS393),""))</f>
        <v/>
      </c>
      <c r="X393" s="503" t="str">
        <f>IF(終値!A393="","",IFERROR(4*STDEVP(終値!AA393:AT393)/AVERAGE(終値!AA393:AT393),""))</f>
        <v/>
      </c>
      <c r="Y393" s="503" t="str">
        <f>IF(終値!A393="","",IFERROR(4*STDEVP(終値!AB393:AU393)/AVERAGE(終値!AB393:AU393),""))</f>
        <v/>
      </c>
      <c r="Z393" s="503" t="str">
        <f>IF(終値!A393="","",IFERROR(4*STDEVP(終値!AC393:AV393)/AVERAGE(終値!AC393:AV393),""))</f>
        <v/>
      </c>
      <c r="AA393" s="503" t="str">
        <f>IF(終値!A393="","",IFERROR(4*STDEVP(終値!AD393:AW393)/AVERAGE(終値!AD393:AW393),""))</f>
        <v/>
      </c>
      <c r="AB393" s="503" t="str">
        <f>IF(終値!A393="","",IFERROR(4*STDEVP(終値!AE393:AX393)/AVERAGE(終値!AE393:AX393),""))</f>
        <v/>
      </c>
      <c r="AC393" s="503" t="str">
        <f>IF(終値!A393="","",IFERROR(4*STDEVP(終値!AF393:AY393)/AVERAGE(終値!AF393:AY393),""))</f>
        <v/>
      </c>
      <c r="AD393" s="503" t="str">
        <f>IF(終値!A393="","",IFERROR(4*STDEVP(終値!AG393:AZ393)/AVERAGE(終値!AG393:AZ393),""))</f>
        <v/>
      </c>
      <c r="AE393" s="503" t="str">
        <f>IF(終値!A393="","",IFERROR(4*STDEVP(終値!AH393:BA393)/AVERAGE(終値!AH393:BA393),""))</f>
        <v/>
      </c>
      <c r="AF393" s="503" t="str">
        <f>IF(終値!A393="","",IFERROR(4*STDEVP(終値!AI393:BB393)/AVERAGE(終値!AI393:BB393),""))</f>
        <v/>
      </c>
      <c r="AG393" s="503" t="str">
        <f>IF(終値!A393="","",IFERROR(4*STDEVP(終値!AJ393:BC393)/AVERAGE(終値!AJ393:BC393),""))</f>
        <v/>
      </c>
      <c r="AH393" s="503" t="str">
        <f>IF(終値!A393="","",IFERROR(4*STDEVP(終値!AK393:BD393)/AVERAGE(終値!AK393:BD393),""))</f>
        <v/>
      </c>
      <c r="AI393" s="503" t="str">
        <f>IF(終値!A393="","",IFERROR(4*STDEVP(終値!AL393:BE393)/AVERAGE(終値!AL393:BE393),""))</f>
        <v/>
      </c>
      <c r="AJ393" s="503" t="str">
        <f>IF(終値!A393="","",IFERROR(4*STDEVP(終値!AM393:BF393)/AVERAGE(終値!AM393:BF393),""))</f>
        <v/>
      </c>
      <c r="AK393" s="503" t="str">
        <f>IF(終値!A393="","",IFERROR(4*STDEVP(終値!AN393:BG393)/AVERAGE(終値!AN393:BG393),""))</f>
        <v/>
      </c>
      <c r="AL393" s="503" t="str">
        <f>IF(終値!A393="","",IFERROR(4*STDEVP(終値!AO393:BH393)/AVERAGE(終値!AO393:BH393),""))</f>
        <v/>
      </c>
      <c r="AM393" s="503" t="str">
        <f>IF(終値!A393="","",IFERROR(4*STDEVP(終値!AP393:BI393)/AVERAGE(終値!AP393:BI393),""))</f>
        <v/>
      </c>
      <c r="AN393" s="503" t="str">
        <f>IF(終値!A393="","",IFERROR(4*STDEVP(終値!AQ393:BJ393)/AVERAGE(終値!AQ393:BJ393),""))</f>
        <v/>
      </c>
      <c r="AO393" s="503" t="str">
        <f>IF(終値!A393="","",IFERROR(4*STDEVP(終値!AR393:BK393)/AVERAGE(終値!AR393:BK393),""))</f>
        <v/>
      </c>
      <c r="AP393" s="503" t="str">
        <f>IF(終値!A393="","",IFERROR(4*STDEVP(終値!AS393:BL393)/AVERAGE(終値!AS393:BL393),""))</f>
        <v/>
      </c>
    </row>
    <row r="394" spans="1:42">
      <c r="A394" s="500" t="str">
        <f>IF(終値!A394="","",終値!A394)</f>
        <v/>
      </c>
      <c r="B394" s="503" t="str">
        <f>IF(終値!A394="","",IFERROR(4*STDEVP(終値!E394:X394)/AVERAGE(終値!E394:X394),""))</f>
        <v/>
      </c>
      <c r="C394" s="503" t="str">
        <f>IF(終値!A394="","",IFERROR(4*STDEVP(終値!F394:Y394)/AVERAGE(終値!F394:Y394),""))</f>
        <v/>
      </c>
      <c r="D394" s="503" t="str">
        <f>IF(終値!A394="","",IFERROR(4*STDEVP(終値!G394:Z394)/AVERAGE(終値!G394:Z394),""))</f>
        <v/>
      </c>
      <c r="E394" s="503" t="str">
        <f>IF(終値!A394="","",IFERROR(4*STDEVP(終値!H394:AA394)/AVERAGE(終値!H394:AA394),""))</f>
        <v/>
      </c>
      <c r="F394" s="503" t="str">
        <f>IF(終値!A394="","",IFERROR(4*STDEVP(終値!I394:AB394)/AVERAGE(終値!I394:AB394),""))</f>
        <v/>
      </c>
      <c r="G394" s="503" t="str">
        <f>IF(終値!A394="","",IFERROR(4*STDEVP(終値!J394:AC394)/AVERAGE(終値!J394:AC394),""))</f>
        <v/>
      </c>
      <c r="H394" s="503" t="str">
        <f>IF(終値!A394="","",IFERROR(4*STDEVP(終値!K394:AD394)/AVERAGE(終値!K394:AD394),""))</f>
        <v/>
      </c>
      <c r="I394" s="503" t="str">
        <f>IF(終値!A394="","",IFERROR(4*STDEVP(終値!L394:AE394)/AVERAGE(終値!L394:AE394),""))</f>
        <v/>
      </c>
      <c r="J394" s="503" t="str">
        <f>IF(終値!A394="","",IFERROR(4*STDEVP(終値!M394:AF394)/AVERAGE(終値!M394:AF394),""))</f>
        <v/>
      </c>
      <c r="K394" s="503" t="str">
        <f>IF(終値!A394="","",IFERROR(4*STDEVP(終値!N394:AG394)/AVERAGE(終値!N394:AG394),""))</f>
        <v/>
      </c>
      <c r="L394" s="503" t="str">
        <f>IF(終値!A394="","",IFERROR(4*STDEVP(終値!O394:AH394)/AVERAGE(終値!O394:AH394),""))</f>
        <v/>
      </c>
      <c r="M394" s="503" t="str">
        <f>IF(終値!A394="","",IFERROR(4*STDEVP(終値!P394:AI394)/AVERAGE(終値!P394:AI394),""))</f>
        <v/>
      </c>
      <c r="N394" s="503" t="str">
        <f>IF(終値!A394="","",IFERROR(4*STDEVP(終値!Q394:AJ394)/AVERAGE(終値!Q394:AJ394),""))</f>
        <v/>
      </c>
      <c r="O394" s="503" t="str">
        <f>IF(終値!A394="","",IFERROR(4*STDEVP(終値!R394:AK394)/AVERAGE(終値!R394:AK394),""))</f>
        <v/>
      </c>
      <c r="P394" s="503" t="str">
        <f>IF(終値!A394="","",IFERROR(4*STDEVP(終値!S394:AL394)/AVERAGE(終値!S394:AL394),""))</f>
        <v/>
      </c>
      <c r="Q394" s="503" t="str">
        <f>IF(終値!A394="","",IFERROR(4*STDEVP(終値!T394:AM394)/AVERAGE(終値!T394:AM394),""))</f>
        <v/>
      </c>
      <c r="R394" s="503" t="str">
        <f>IF(終値!A394="","",IFERROR(4*STDEVP(終値!U394:AN394)/AVERAGE(終値!U394:AN394),""))</f>
        <v/>
      </c>
      <c r="S394" s="503" t="str">
        <f>IF(終値!A394="","",IFERROR(4*STDEVP(終値!V394:AO394)/AVERAGE(終値!V394:AO394),""))</f>
        <v/>
      </c>
      <c r="T394" s="503" t="str">
        <f>IF(終値!A394="","",IFERROR(4*STDEVP(終値!W394:AP394)/AVERAGE(終値!W394:AP394),""))</f>
        <v/>
      </c>
      <c r="U394" s="503" t="str">
        <f>IF(終値!A394="","",IFERROR(4*STDEVP(終値!X394:AQ394)/AVERAGE(終値!X394:AQ394),""))</f>
        <v/>
      </c>
      <c r="V394" s="503" t="str">
        <f>IF(終値!A394="","",IFERROR(4*STDEVP(終値!Y394:AR394)/AVERAGE(終値!Y394:AR394),""))</f>
        <v/>
      </c>
      <c r="W394" s="503" t="str">
        <f>IF(終値!A394="","",IFERROR(4*STDEVP(終値!Z394:AS394)/AVERAGE(終値!Z394:AS394),""))</f>
        <v/>
      </c>
      <c r="X394" s="503" t="str">
        <f>IF(終値!A394="","",IFERROR(4*STDEVP(終値!AA394:AT394)/AVERAGE(終値!AA394:AT394),""))</f>
        <v/>
      </c>
      <c r="Y394" s="503" t="str">
        <f>IF(終値!A394="","",IFERROR(4*STDEVP(終値!AB394:AU394)/AVERAGE(終値!AB394:AU394),""))</f>
        <v/>
      </c>
      <c r="Z394" s="503" t="str">
        <f>IF(終値!A394="","",IFERROR(4*STDEVP(終値!AC394:AV394)/AVERAGE(終値!AC394:AV394),""))</f>
        <v/>
      </c>
      <c r="AA394" s="503" t="str">
        <f>IF(終値!A394="","",IFERROR(4*STDEVP(終値!AD394:AW394)/AVERAGE(終値!AD394:AW394),""))</f>
        <v/>
      </c>
      <c r="AB394" s="503" t="str">
        <f>IF(終値!A394="","",IFERROR(4*STDEVP(終値!AE394:AX394)/AVERAGE(終値!AE394:AX394),""))</f>
        <v/>
      </c>
      <c r="AC394" s="503" t="str">
        <f>IF(終値!A394="","",IFERROR(4*STDEVP(終値!AF394:AY394)/AVERAGE(終値!AF394:AY394),""))</f>
        <v/>
      </c>
      <c r="AD394" s="503" t="str">
        <f>IF(終値!A394="","",IFERROR(4*STDEVP(終値!AG394:AZ394)/AVERAGE(終値!AG394:AZ394),""))</f>
        <v/>
      </c>
      <c r="AE394" s="503" t="str">
        <f>IF(終値!A394="","",IFERROR(4*STDEVP(終値!AH394:BA394)/AVERAGE(終値!AH394:BA394),""))</f>
        <v/>
      </c>
      <c r="AF394" s="503" t="str">
        <f>IF(終値!A394="","",IFERROR(4*STDEVP(終値!AI394:BB394)/AVERAGE(終値!AI394:BB394),""))</f>
        <v/>
      </c>
      <c r="AG394" s="503" t="str">
        <f>IF(終値!A394="","",IFERROR(4*STDEVP(終値!AJ394:BC394)/AVERAGE(終値!AJ394:BC394),""))</f>
        <v/>
      </c>
      <c r="AH394" s="503" t="str">
        <f>IF(終値!A394="","",IFERROR(4*STDEVP(終値!AK394:BD394)/AVERAGE(終値!AK394:BD394),""))</f>
        <v/>
      </c>
      <c r="AI394" s="503" t="str">
        <f>IF(終値!A394="","",IFERROR(4*STDEVP(終値!AL394:BE394)/AVERAGE(終値!AL394:BE394),""))</f>
        <v/>
      </c>
      <c r="AJ394" s="503" t="str">
        <f>IF(終値!A394="","",IFERROR(4*STDEVP(終値!AM394:BF394)/AVERAGE(終値!AM394:BF394),""))</f>
        <v/>
      </c>
      <c r="AK394" s="503" t="str">
        <f>IF(終値!A394="","",IFERROR(4*STDEVP(終値!AN394:BG394)/AVERAGE(終値!AN394:BG394),""))</f>
        <v/>
      </c>
      <c r="AL394" s="503" t="str">
        <f>IF(終値!A394="","",IFERROR(4*STDEVP(終値!AO394:BH394)/AVERAGE(終値!AO394:BH394),""))</f>
        <v/>
      </c>
      <c r="AM394" s="503" t="str">
        <f>IF(終値!A394="","",IFERROR(4*STDEVP(終値!AP394:BI394)/AVERAGE(終値!AP394:BI394),""))</f>
        <v/>
      </c>
      <c r="AN394" s="503" t="str">
        <f>IF(終値!A394="","",IFERROR(4*STDEVP(終値!AQ394:BJ394)/AVERAGE(終値!AQ394:BJ394),""))</f>
        <v/>
      </c>
      <c r="AO394" s="503" t="str">
        <f>IF(終値!A394="","",IFERROR(4*STDEVP(終値!AR394:BK394)/AVERAGE(終値!AR394:BK394),""))</f>
        <v/>
      </c>
      <c r="AP394" s="503" t="str">
        <f>IF(終値!A394="","",IFERROR(4*STDEVP(終値!AS394:BL394)/AVERAGE(終値!AS394:BL394),""))</f>
        <v/>
      </c>
    </row>
    <row r="395" spans="1:42">
      <c r="A395" s="500" t="str">
        <f>IF(終値!A395="","",終値!A395)</f>
        <v/>
      </c>
      <c r="B395" s="503" t="str">
        <f>IF(終値!A395="","",IFERROR(4*STDEVP(終値!E395:X395)/AVERAGE(終値!E395:X395),""))</f>
        <v/>
      </c>
      <c r="C395" s="503" t="str">
        <f>IF(終値!A395="","",IFERROR(4*STDEVP(終値!F395:Y395)/AVERAGE(終値!F395:Y395),""))</f>
        <v/>
      </c>
      <c r="D395" s="503" t="str">
        <f>IF(終値!A395="","",IFERROR(4*STDEVP(終値!G395:Z395)/AVERAGE(終値!G395:Z395),""))</f>
        <v/>
      </c>
      <c r="E395" s="503" t="str">
        <f>IF(終値!A395="","",IFERROR(4*STDEVP(終値!H395:AA395)/AVERAGE(終値!H395:AA395),""))</f>
        <v/>
      </c>
      <c r="F395" s="503" t="str">
        <f>IF(終値!A395="","",IFERROR(4*STDEVP(終値!I395:AB395)/AVERAGE(終値!I395:AB395),""))</f>
        <v/>
      </c>
      <c r="G395" s="503" t="str">
        <f>IF(終値!A395="","",IFERROR(4*STDEVP(終値!J395:AC395)/AVERAGE(終値!J395:AC395),""))</f>
        <v/>
      </c>
      <c r="H395" s="503" t="str">
        <f>IF(終値!A395="","",IFERROR(4*STDEVP(終値!K395:AD395)/AVERAGE(終値!K395:AD395),""))</f>
        <v/>
      </c>
      <c r="I395" s="503" t="str">
        <f>IF(終値!A395="","",IFERROR(4*STDEVP(終値!L395:AE395)/AVERAGE(終値!L395:AE395),""))</f>
        <v/>
      </c>
      <c r="J395" s="503" t="str">
        <f>IF(終値!A395="","",IFERROR(4*STDEVP(終値!M395:AF395)/AVERAGE(終値!M395:AF395),""))</f>
        <v/>
      </c>
      <c r="K395" s="503" t="str">
        <f>IF(終値!A395="","",IFERROR(4*STDEVP(終値!N395:AG395)/AVERAGE(終値!N395:AG395),""))</f>
        <v/>
      </c>
      <c r="L395" s="503" t="str">
        <f>IF(終値!A395="","",IFERROR(4*STDEVP(終値!O395:AH395)/AVERAGE(終値!O395:AH395),""))</f>
        <v/>
      </c>
      <c r="M395" s="503" t="str">
        <f>IF(終値!A395="","",IFERROR(4*STDEVP(終値!P395:AI395)/AVERAGE(終値!P395:AI395),""))</f>
        <v/>
      </c>
      <c r="N395" s="503" t="str">
        <f>IF(終値!A395="","",IFERROR(4*STDEVP(終値!Q395:AJ395)/AVERAGE(終値!Q395:AJ395),""))</f>
        <v/>
      </c>
      <c r="O395" s="503" t="str">
        <f>IF(終値!A395="","",IFERROR(4*STDEVP(終値!R395:AK395)/AVERAGE(終値!R395:AK395),""))</f>
        <v/>
      </c>
      <c r="P395" s="503" t="str">
        <f>IF(終値!A395="","",IFERROR(4*STDEVP(終値!S395:AL395)/AVERAGE(終値!S395:AL395),""))</f>
        <v/>
      </c>
      <c r="Q395" s="503" t="str">
        <f>IF(終値!A395="","",IFERROR(4*STDEVP(終値!T395:AM395)/AVERAGE(終値!T395:AM395),""))</f>
        <v/>
      </c>
      <c r="R395" s="503" t="str">
        <f>IF(終値!A395="","",IFERROR(4*STDEVP(終値!U395:AN395)/AVERAGE(終値!U395:AN395),""))</f>
        <v/>
      </c>
      <c r="S395" s="503" t="str">
        <f>IF(終値!A395="","",IFERROR(4*STDEVP(終値!V395:AO395)/AVERAGE(終値!V395:AO395),""))</f>
        <v/>
      </c>
      <c r="T395" s="503" t="str">
        <f>IF(終値!A395="","",IFERROR(4*STDEVP(終値!W395:AP395)/AVERAGE(終値!W395:AP395),""))</f>
        <v/>
      </c>
      <c r="U395" s="503" t="str">
        <f>IF(終値!A395="","",IFERROR(4*STDEVP(終値!X395:AQ395)/AVERAGE(終値!X395:AQ395),""))</f>
        <v/>
      </c>
      <c r="V395" s="503" t="str">
        <f>IF(終値!A395="","",IFERROR(4*STDEVP(終値!Y395:AR395)/AVERAGE(終値!Y395:AR395),""))</f>
        <v/>
      </c>
      <c r="W395" s="503" t="str">
        <f>IF(終値!A395="","",IFERROR(4*STDEVP(終値!Z395:AS395)/AVERAGE(終値!Z395:AS395),""))</f>
        <v/>
      </c>
      <c r="X395" s="503" t="str">
        <f>IF(終値!A395="","",IFERROR(4*STDEVP(終値!AA395:AT395)/AVERAGE(終値!AA395:AT395),""))</f>
        <v/>
      </c>
      <c r="Y395" s="503" t="str">
        <f>IF(終値!A395="","",IFERROR(4*STDEVP(終値!AB395:AU395)/AVERAGE(終値!AB395:AU395),""))</f>
        <v/>
      </c>
      <c r="Z395" s="503" t="str">
        <f>IF(終値!A395="","",IFERROR(4*STDEVP(終値!AC395:AV395)/AVERAGE(終値!AC395:AV395),""))</f>
        <v/>
      </c>
      <c r="AA395" s="503" t="str">
        <f>IF(終値!A395="","",IFERROR(4*STDEVP(終値!AD395:AW395)/AVERAGE(終値!AD395:AW395),""))</f>
        <v/>
      </c>
      <c r="AB395" s="503" t="str">
        <f>IF(終値!A395="","",IFERROR(4*STDEVP(終値!AE395:AX395)/AVERAGE(終値!AE395:AX395),""))</f>
        <v/>
      </c>
      <c r="AC395" s="503" t="str">
        <f>IF(終値!A395="","",IFERROR(4*STDEVP(終値!AF395:AY395)/AVERAGE(終値!AF395:AY395),""))</f>
        <v/>
      </c>
      <c r="AD395" s="503" t="str">
        <f>IF(終値!A395="","",IFERROR(4*STDEVP(終値!AG395:AZ395)/AVERAGE(終値!AG395:AZ395),""))</f>
        <v/>
      </c>
      <c r="AE395" s="503" t="str">
        <f>IF(終値!A395="","",IFERROR(4*STDEVP(終値!AH395:BA395)/AVERAGE(終値!AH395:BA395),""))</f>
        <v/>
      </c>
      <c r="AF395" s="503" t="str">
        <f>IF(終値!A395="","",IFERROR(4*STDEVP(終値!AI395:BB395)/AVERAGE(終値!AI395:BB395),""))</f>
        <v/>
      </c>
      <c r="AG395" s="503" t="str">
        <f>IF(終値!A395="","",IFERROR(4*STDEVP(終値!AJ395:BC395)/AVERAGE(終値!AJ395:BC395),""))</f>
        <v/>
      </c>
      <c r="AH395" s="503" t="str">
        <f>IF(終値!A395="","",IFERROR(4*STDEVP(終値!AK395:BD395)/AVERAGE(終値!AK395:BD395),""))</f>
        <v/>
      </c>
      <c r="AI395" s="503" t="str">
        <f>IF(終値!A395="","",IFERROR(4*STDEVP(終値!AL395:BE395)/AVERAGE(終値!AL395:BE395),""))</f>
        <v/>
      </c>
      <c r="AJ395" s="503" t="str">
        <f>IF(終値!A395="","",IFERROR(4*STDEVP(終値!AM395:BF395)/AVERAGE(終値!AM395:BF395),""))</f>
        <v/>
      </c>
      <c r="AK395" s="503" t="str">
        <f>IF(終値!A395="","",IFERROR(4*STDEVP(終値!AN395:BG395)/AVERAGE(終値!AN395:BG395),""))</f>
        <v/>
      </c>
      <c r="AL395" s="503" t="str">
        <f>IF(終値!A395="","",IFERROR(4*STDEVP(終値!AO395:BH395)/AVERAGE(終値!AO395:BH395),""))</f>
        <v/>
      </c>
      <c r="AM395" s="503" t="str">
        <f>IF(終値!A395="","",IFERROR(4*STDEVP(終値!AP395:BI395)/AVERAGE(終値!AP395:BI395),""))</f>
        <v/>
      </c>
      <c r="AN395" s="503" t="str">
        <f>IF(終値!A395="","",IFERROR(4*STDEVP(終値!AQ395:BJ395)/AVERAGE(終値!AQ395:BJ395),""))</f>
        <v/>
      </c>
      <c r="AO395" s="503" t="str">
        <f>IF(終値!A395="","",IFERROR(4*STDEVP(終値!AR395:BK395)/AVERAGE(終値!AR395:BK395),""))</f>
        <v/>
      </c>
      <c r="AP395" s="503" t="str">
        <f>IF(終値!A395="","",IFERROR(4*STDEVP(終値!AS395:BL395)/AVERAGE(終値!AS395:BL395),""))</f>
        <v/>
      </c>
    </row>
    <row r="396" spans="1:42">
      <c r="A396" s="500" t="str">
        <f>IF(終値!A396="","",終値!A396)</f>
        <v/>
      </c>
      <c r="B396" s="503" t="str">
        <f>IF(終値!A396="","",IFERROR(4*STDEVP(終値!E396:X396)/AVERAGE(終値!E396:X396),""))</f>
        <v/>
      </c>
      <c r="C396" s="503" t="str">
        <f>IF(終値!A396="","",IFERROR(4*STDEVP(終値!F396:Y396)/AVERAGE(終値!F396:Y396),""))</f>
        <v/>
      </c>
      <c r="D396" s="503" t="str">
        <f>IF(終値!A396="","",IFERROR(4*STDEVP(終値!G396:Z396)/AVERAGE(終値!G396:Z396),""))</f>
        <v/>
      </c>
      <c r="E396" s="503" t="str">
        <f>IF(終値!A396="","",IFERROR(4*STDEVP(終値!H396:AA396)/AVERAGE(終値!H396:AA396),""))</f>
        <v/>
      </c>
      <c r="F396" s="503" t="str">
        <f>IF(終値!A396="","",IFERROR(4*STDEVP(終値!I396:AB396)/AVERAGE(終値!I396:AB396),""))</f>
        <v/>
      </c>
      <c r="G396" s="503" t="str">
        <f>IF(終値!A396="","",IFERROR(4*STDEVP(終値!J396:AC396)/AVERAGE(終値!J396:AC396),""))</f>
        <v/>
      </c>
      <c r="H396" s="503" t="str">
        <f>IF(終値!A396="","",IFERROR(4*STDEVP(終値!K396:AD396)/AVERAGE(終値!K396:AD396),""))</f>
        <v/>
      </c>
      <c r="I396" s="503" t="str">
        <f>IF(終値!A396="","",IFERROR(4*STDEVP(終値!L396:AE396)/AVERAGE(終値!L396:AE396),""))</f>
        <v/>
      </c>
      <c r="J396" s="503" t="str">
        <f>IF(終値!A396="","",IFERROR(4*STDEVP(終値!M396:AF396)/AVERAGE(終値!M396:AF396),""))</f>
        <v/>
      </c>
      <c r="K396" s="503" t="str">
        <f>IF(終値!A396="","",IFERROR(4*STDEVP(終値!N396:AG396)/AVERAGE(終値!N396:AG396),""))</f>
        <v/>
      </c>
      <c r="L396" s="503" t="str">
        <f>IF(終値!A396="","",IFERROR(4*STDEVP(終値!O396:AH396)/AVERAGE(終値!O396:AH396),""))</f>
        <v/>
      </c>
      <c r="M396" s="503" t="str">
        <f>IF(終値!A396="","",IFERROR(4*STDEVP(終値!P396:AI396)/AVERAGE(終値!P396:AI396),""))</f>
        <v/>
      </c>
      <c r="N396" s="503" t="str">
        <f>IF(終値!A396="","",IFERROR(4*STDEVP(終値!Q396:AJ396)/AVERAGE(終値!Q396:AJ396),""))</f>
        <v/>
      </c>
      <c r="O396" s="503" t="str">
        <f>IF(終値!A396="","",IFERROR(4*STDEVP(終値!R396:AK396)/AVERAGE(終値!R396:AK396),""))</f>
        <v/>
      </c>
      <c r="P396" s="503" t="str">
        <f>IF(終値!A396="","",IFERROR(4*STDEVP(終値!S396:AL396)/AVERAGE(終値!S396:AL396),""))</f>
        <v/>
      </c>
      <c r="Q396" s="503" t="str">
        <f>IF(終値!A396="","",IFERROR(4*STDEVP(終値!T396:AM396)/AVERAGE(終値!T396:AM396),""))</f>
        <v/>
      </c>
      <c r="R396" s="503" t="str">
        <f>IF(終値!A396="","",IFERROR(4*STDEVP(終値!U396:AN396)/AVERAGE(終値!U396:AN396),""))</f>
        <v/>
      </c>
      <c r="S396" s="503" t="str">
        <f>IF(終値!A396="","",IFERROR(4*STDEVP(終値!V396:AO396)/AVERAGE(終値!V396:AO396),""))</f>
        <v/>
      </c>
      <c r="T396" s="503" t="str">
        <f>IF(終値!A396="","",IFERROR(4*STDEVP(終値!W396:AP396)/AVERAGE(終値!W396:AP396),""))</f>
        <v/>
      </c>
      <c r="U396" s="503" t="str">
        <f>IF(終値!A396="","",IFERROR(4*STDEVP(終値!X396:AQ396)/AVERAGE(終値!X396:AQ396),""))</f>
        <v/>
      </c>
      <c r="V396" s="503" t="str">
        <f>IF(終値!A396="","",IFERROR(4*STDEVP(終値!Y396:AR396)/AVERAGE(終値!Y396:AR396),""))</f>
        <v/>
      </c>
      <c r="W396" s="503" t="str">
        <f>IF(終値!A396="","",IFERROR(4*STDEVP(終値!Z396:AS396)/AVERAGE(終値!Z396:AS396),""))</f>
        <v/>
      </c>
      <c r="X396" s="503" t="str">
        <f>IF(終値!A396="","",IFERROR(4*STDEVP(終値!AA396:AT396)/AVERAGE(終値!AA396:AT396),""))</f>
        <v/>
      </c>
      <c r="Y396" s="503" t="str">
        <f>IF(終値!A396="","",IFERROR(4*STDEVP(終値!AB396:AU396)/AVERAGE(終値!AB396:AU396),""))</f>
        <v/>
      </c>
      <c r="Z396" s="503" t="str">
        <f>IF(終値!A396="","",IFERROR(4*STDEVP(終値!AC396:AV396)/AVERAGE(終値!AC396:AV396),""))</f>
        <v/>
      </c>
      <c r="AA396" s="503" t="str">
        <f>IF(終値!A396="","",IFERROR(4*STDEVP(終値!AD396:AW396)/AVERAGE(終値!AD396:AW396),""))</f>
        <v/>
      </c>
      <c r="AB396" s="503" t="str">
        <f>IF(終値!A396="","",IFERROR(4*STDEVP(終値!AE396:AX396)/AVERAGE(終値!AE396:AX396),""))</f>
        <v/>
      </c>
      <c r="AC396" s="503" t="str">
        <f>IF(終値!A396="","",IFERROR(4*STDEVP(終値!AF396:AY396)/AVERAGE(終値!AF396:AY396),""))</f>
        <v/>
      </c>
      <c r="AD396" s="503" t="str">
        <f>IF(終値!A396="","",IFERROR(4*STDEVP(終値!AG396:AZ396)/AVERAGE(終値!AG396:AZ396),""))</f>
        <v/>
      </c>
      <c r="AE396" s="503" t="str">
        <f>IF(終値!A396="","",IFERROR(4*STDEVP(終値!AH396:BA396)/AVERAGE(終値!AH396:BA396),""))</f>
        <v/>
      </c>
      <c r="AF396" s="503" t="str">
        <f>IF(終値!A396="","",IFERROR(4*STDEVP(終値!AI396:BB396)/AVERAGE(終値!AI396:BB396),""))</f>
        <v/>
      </c>
      <c r="AG396" s="503" t="str">
        <f>IF(終値!A396="","",IFERROR(4*STDEVP(終値!AJ396:BC396)/AVERAGE(終値!AJ396:BC396),""))</f>
        <v/>
      </c>
      <c r="AH396" s="503" t="str">
        <f>IF(終値!A396="","",IFERROR(4*STDEVP(終値!AK396:BD396)/AVERAGE(終値!AK396:BD396),""))</f>
        <v/>
      </c>
      <c r="AI396" s="503" t="str">
        <f>IF(終値!A396="","",IFERROR(4*STDEVP(終値!AL396:BE396)/AVERAGE(終値!AL396:BE396),""))</f>
        <v/>
      </c>
      <c r="AJ396" s="503" t="str">
        <f>IF(終値!A396="","",IFERROR(4*STDEVP(終値!AM396:BF396)/AVERAGE(終値!AM396:BF396),""))</f>
        <v/>
      </c>
      <c r="AK396" s="503" t="str">
        <f>IF(終値!A396="","",IFERROR(4*STDEVP(終値!AN396:BG396)/AVERAGE(終値!AN396:BG396),""))</f>
        <v/>
      </c>
      <c r="AL396" s="503" t="str">
        <f>IF(終値!A396="","",IFERROR(4*STDEVP(終値!AO396:BH396)/AVERAGE(終値!AO396:BH396),""))</f>
        <v/>
      </c>
      <c r="AM396" s="503" t="str">
        <f>IF(終値!A396="","",IFERROR(4*STDEVP(終値!AP396:BI396)/AVERAGE(終値!AP396:BI396),""))</f>
        <v/>
      </c>
      <c r="AN396" s="503" t="str">
        <f>IF(終値!A396="","",IFERROR(4*STDEVP(終値!AQ396:BJ396)/AVERAGE(終値!AQ396:BJ396),""))</f>
        <v/>
      </c>
      <c r="AO396" s="503" t="str">
        <f>IF(終値!A396="","",IFERROR(4*STDEVP(終値!AR396:BK396)/AVERAGE(終値!AR396:BK396),""))</f>
        <v/>
      </c>
      <c r="AP396" s="503" t="str">
        <f>IF(終値!A396="","",IFERROR(4*STDEVP(終値!AS396:BL396)/AVERAGE(終値!AS396:BL396),""))</f>
        <v/>
      </c>
    </row>
    <row r="397" spans="1:42">
      <c r="A397" s="500" t="str">
        <f>IF(終値!A397="","",終値!A397)</f>
        <v/>
      </c>
      <c r="B397" s="503" t="str">
        <f>IF(終値!A397="","",IFERROR(4*STDEVP(終値!E397:X397)/AVERAGE(終値!E397:X397),""))</f>
        <v/>
      </c>
      <c r="C397" s="503" t="str">
        <f>IF(終値!A397="","",IFERROR(4*STDEVP(終値!F397:Y397)/AVERAGE(終値!F397:Y397),""))</f>
        <v/>
      </c>
      <c r="D397" s="503" t="str">
        <f>IF(終値!A397="","",IFERROR(4*STDEVP(終値!G397:Z397)/AVERAGE(終値!G397:Z397),""))</f>
        <v/>
      </c>
      <c r="E397" s="503" t="str">
        <f>IF(終値!A397="","",IFERROR(4*STDEVP(終値!H397:AA397)/AVERAGE(終値!H397:AA397),""))</f>
        <v/>
      </c>
      <c r="F397" s="503" t="str">
        <f>IF(終値!A397="","",IFERROR(4*STDEVP(終値!I397:AB397)/AVERAGE(終値!I397:AB397),""))</f>
        <v/>
      </c>
      <c r="G397" s="503" t="str">
        <f>IF(終値!A397="","",IFERROR(4*STDEVP(終値!J397:AC397)/AVERAGE(終値!J397:AC397),""))</f>
        <v/>
      </c>
      <c r="H397" s="503" t="str">
        <f>IF(終値!A397="","",IFERROR(4*STDEVP(終値!K397:AD397)/AVERAGE(終値!K397:AD397),""))</f>
        <v/>
      </c>
      <c r="I397" s="503" t="str">
        <f>IF(終値!A397="","",IFERROR(4*STDEVP(終値!L397:AE397)/AVERAGE(終値!L397:AE397),""))</f>
        <v/>
      </c>
      <c r="J397" s="503" t="str">
        <f>IF(終値!A397="","",IFERROR(4*STDEVP(終値!M397:AF397)/AVERAGE(終値!M397:AF397),""))</f>
        <v/>
      </c>
      <c r="K397" s="503" t="str">
        <f>IF(終値!A397="","",IFERROR(4*STDEVP(終値!N397:AG397)/AVERAGE(終値!N397:AG397),""))</f>
        <v/>
      </c>
      <c r="L397" s="503" t="str">
        <f>IF(終値!A397="","",IFERROR(4*STDEVP(終値!O397:AH397)/AVERAGE(終値!O397:AH397),""))</f>
        <v/>
      </c>
      <c r="M397" s="503" t="str">
        <f>IF(終値!A397="","",IFERROR(4*STDEVP(終値!P397:AI397)/AVERAGE(終値!P397:AI397),""))</f>
        <v/>
      </c>
      <c r="N397" s="503" t="str">
        <f>IF(終値!A397="","",IFERROR(4*STDEVP(終値!Q397:AJ397)/AVERAGE(終値!Q397:AJ397),""))</f>
        <v/>
      </c>
      <c r="O397" s="503" t="str">
        <f>IF(終値!A397="","",IFERROR(4*STDEVP(終値!R397:AK397)/AVERAGE(終値!R397:AK397),""))</f>
        <v/>
      </c>
      <c r="P397" s="503" t="str">
        <f>IF(終値!A397="","",IFERROR(4*STDEVP(終値!S397:AL397)/AVERAGE(終値!S397:AL397),""))</f>
        <v/>
      </c>
      <c r="Q397" s="503" t="str">
        <f>IF(終値!A397="","",IFERROR(4*STDEVP(終値!T397:AM397)/AVERAGE(終値!T397:AM397),""))</f>
        <v/>
      </c>
      <c r="R397" s="503" t="str">
        <f>IF(終値!A397="","",IFERROR(4*STDEVP(終値!U397:AN397)/AVERAGE(終値!U397:AN397),""))</f>
        <v/>
      </c>
      <c r="S397" s="503" t="str">
        <f>IF(終値!A397="","",IFERROR(4*STDEVP(終値!V397:AO397)/AVERAGE(終値!V397:AO397),""))</f>
        <v/>
      </c>
      <c r="T397" s="503" t="str">
        <f>IF(終値!A397="","",IFERROR(4*STDEVP(終値!W397:AP397)/AVERAGE(終値!W397:AP397),""))</f>
        <v/>
      </c>
      <c r="U397" s="503" t="str">
        <f>IF(終値!A397="","",IFERROR(4*STDEVP(終値!X397:AQ397)/AVERAGE(終値!X397:AQ397),""))</f>
        <v/>
      </c>
      <c r="V397" s="503" t="str">
        <f>IF(終値!A397="","",IFERROR(4*STDEVP(終値!Y397:AR397)/AVERAGE(終値!Y397:AR397),""))</f>
        <v/>
      </c>
      <c r="W397" s="503" t="str">
        <f>IF(終値!A397="","",IFERROR(4*STDEVP(終値!Z397:AS397)/AVERAGE(終値!Z397:AS397),""))</f>
        <v/>
      </c>
      <c r="X397" s="503" t="str">
        <f>IF(終値!A397="","",IFERROR(4*STDEVP(終値!AA397:AT397)/AVERAGE(終値!AA397:AT397),""))</f>
        <v/>
      </c>
      <c r="Y397" s="503" t="str">
        <f>IF(終値!A397="","",IFERROR(4*STDEVP(終値!AB397:AU397)/AVERAGE(終値!AB397:AU397),""))</f>
        <v/>
      </c>
      <c r="Z397" s="503" t="str">
        <f>IF(終値!A397="","",IFERROR(4*STDEVP(終値!AC397:AV397)/AVERAGE(終値!AC397:AV397),""))</f>
        <v/>
      </c>
      <c r="AA397" s="503" t="str">
        <f>IF(終値!A397="","",IFERROR(4*STDEVP(終値!AD397:AW397)/AVERAGE(終値!AD397:AW397),""))</f>
        <v/>
      </c>
      <c r="AB397" s="503" t="str">
        <f>IF(終値!A397="","",IFERROR(4*STDEVP(終値!AE397:AX397)/AVERAGE(終値!AE397:AX397),""))</f>
        <v/>
      </c>
      <c r="AC397" s="503" t="str">
        <f>IF(終値!A397="","",IFERROR(4*STDEVP(終値!AF397:AY397)/AVERAGE(終値!AF397:AY397),""))</f>
        <v/>
      </c>
      <c r="AD397" s="503" t="str">
        <f>IF(終値!A397="","",IFERROR(4*STDEVP(終値!AG397:AZ397)/AVERAGE(終値!AG397:AZ397),""))</f>
        <v/>
      </c>
      <c r="AE397" s="503" t="str">
        <f>IF(終値!A397="","",IFERROR(4*STDEVP(終値!AH397:BA397)/AVERAGE(終値!AH397:BA397),""))</f>
        <v/>
      </c>
      <c r="AF397" s="503" t="str">
        <f>IF(終値!A397="","",IFERROR(4*STDEVP(終値!AI397:BB397)/AVERAGE(終値!AI397:BB397),""))</f>
        <v/>
      </c>
      <c r="AG397" s="503" t="str">
        <f>IF(終値!A397="","",IFERROR(4*STDEVP(終値!AJ397:BC397)/AVERAGE(終値!AJ397:BC397),""))</f>
        <v/>
      </c>
      <c r="AH397" s="503" t="str">
        <f>IF(終値!A397="","",IFERROR(4*STDEVP(終値!AK397:BD397)/AVERAGE(終値!AK397:BD397),""))</f>
        <v/>
      </c>
      <c r="AI397" s="503" t="str">
        <f>IF(終値!A397="","",IFERROR(4*STDEVP(終値!AL397:BE397)/AVERAGE(終値!AL397:BE397),""))</f>
        <v/>
      </c>
      <c r="AJ397" s="503" t="str">
        <f>IF(終値!A397="","",IFERROR(4*STDEVP(終値!AM397:BF397)/AVERAGE(終値!AM397:BF397),""))</f>
        <v/>
      </c>
      <c r="AK397" s="503" t="str">
        <f>IF(終値!A397="","",IFERROR(4*STDEVP(終値!AN397:BG397)/AVERAGE(終値!AN397:BG397),""))</f>
        <v/>
      </c>
      <c r="AL397" s="503" t="str">
        <f>IF(終値!A397="","",IFERROR(4*STDEVP(終値!AO397:BH397)/AVERAGE(終値!AO397:BH397),""))</f>
        <v/>
      </c>
      <c r="AM397" s="503" t="str">
        <f>IF(終値!A397="","",IFERROR(4*STDEVP(終値!AP397:BI397)/AVERAGE(終値!AP397:BI397),""))</f>
        <v/>
      </c>
      <c r="AN397" s="503" t="str">
        <f>IF(終値!A397="","",IFERROR(4*STDEVP(終値!AQ397:BJ397)/AVERAGE(終値!AQ397:BJ397),""))</f>
        <v/>
      </c>
      <c r="AO397" s="503" t="str">
        <f>IF(終値!A397="","",IFERROR(4*STDEVP(終値!AR397:BK397)/AVERAGE(終値!AR397:BK397),""))</f>
        <v/>
      </c>
      <c r="AP397" s="503" t="str">
        <f>IF(終値!A397="","",IFERROR(4*STDEVP(終値!AS397:BL397)/AVERAGE(終値!AS397:BL397),""))</f>
        <v/>
      </c>
    </row>
    <row r="398" spans="1:42">
      <c r="A398" s="500" t="str">
        <f>IF(終値!A398="","",終値!A398)</f>
        <v/>
      </c>
      <c r="B398" s="503" t="str">
        <f>IF(終値!A398="","",IFERROR(4*STDEVP(終値!E398:X398)/AVERAGE(終値!E398:X398),""))</f>
        <v/>
      </c>
      <c r="C398" s="503" t="str">
        <f>IF(終値!A398="","",IFERROR(4*STDEVP(終値!F398:Y398)/AVERAGE(終値!F398:Y398),""))</f>
        <v/>
      </c>
      <c r="D398" s="503" t="str">
        <f>IF(終値!A398="","",IFERROR(4*STDEVP(終値!G398:Z398)/AVERAGE(終値!G398:Z398),""))</f>
        <v/>
      </c>
      <c r="E398" s="503" t="str">
        <f>IF(終値!A398="","",IFERROR(4*STDEVP(終値!H398:AA398)/AVERAGE(終値!H398:AA398),""))</f>
        <v/>
      </c>
      <c r="F398" s="503" t="str">
        <f>IF(終値!A398="","",IFERROR(4*STDEVP(終値!I398:AB398)/AVERAGE(終値!I398:AB398),""))</f>
        <v/>
      </c>
      <c r="G398" s="503" t="str">
        <f>IF(終値!A398="","",IFERROR(4*STDEVP(終値!J398:AC398)/AVERAGE(終値!J398:AC398),""))</f>
        <v/>
      </c>
      <c r="H398" s="503" t="str">
        <f>IF(終値!A398="","",IFERROR(4*STDEVP(終値!K398:AD398)/AVERAGE(終値!K398:AD398),""))</f>
        <v/>
      </c>
      <c r="I398" s="503" t="str">
        <f>IF(終値!A398="","",IFERROR(4*STDEVP(終値!L398:AE398)/AVERAGE(終値!L398:AE398),""))</f>
        <v/>
      </c>
      <c r="J398" s="503" t="str">
        <f>IF(終値!A398="","",IFERROR(4*STDEVP(終値!M398:AF398)/AVERAGE(終値!M398:AF398),""))</f>
        <v/>
      </c>
      <c r="K398" s="503" t="str">
        <f>IF(終値!A398="","",IFERROR(4*STDEVP(終値!N398:AG398)/AVERAGE(終値!N398:AG398),""))</f>
        <v/>
      </c>
      <c r="L398" s="503" t="str">
        <f>IF(終値!A398="","",IFERROR(4*STDEVP(終値!O398:AH398)/AVERAGE(終値!O398:AH398),""))</f>
        <v/>
      </c>
      <c r="M398" s="503" t="str">
        <f>IF(終値!A398="","",IFERROR(4*STDEVP(終値!P398:AI398)/AVERAGE(終値!P398:AI398),""))</f>
        <v/>
      </c>
      <c r="N398" s="503" t="str">
        <f>IF(終値!A398="","",IFERROR(4*STDEVP(終値!Q398:AJ398)/AVERAGE(終値!Q398:AJ398),""))</f>
        <v/>
      </c>
      <c r="O398" s="503" t="str">
        <f>IF(終値!A398="","",IFERROR(4*STDEVP(終値!R398:AK398)/AVERAGE(終値!R398:AK398),""))</f>
        <v/>
      </c>
      <c r="P398" s="503" t="str">
        <f>IF(終値!A398="","",IFERROR(4*STDEVP(終値!S398:AL398)/AVERAGE(終値!S398:AL398),""))</f>
        <v/>
      </c>
      <c r="Q398" s="503" t="str">
        <f>IF(終値!A398="","",IFERROR(4*STDEVP(終値!T398:AM398)/AVERAGE(終値!T398:AM398),""))</f>
        <v/>
      </c>
      <c r="R398" s="503" t="str">
        <f>IF(終値!A398="","",IFERROR(4*STDEVP(終値!U398:AN398)/AVERAGE(終値!U398:AN398),""))</f>
        <v/>
      </c>
      <c r="S398" s="503" t="str">
        <f>IF(終値!A398="","",IFERROR(4*STDEVP(終値!V398:AO398)/AVERAGE(終値!V398:AO398),""))</f>
        <v/>
      </c>
      <c r="T398" s="503" t="str">
        <f>IF(終値!A398="","",IFERROR(4*STDEVP(終値!W398:AP398)/AVERAGE(終値!W398:AP398),""))</f>
        <v/>
      </c>
      <c r="U398" s="503" t="str">
        <f>IF(終値!A398="","",IFERROR(4*STDEVP(終値!X398:AQ398)/AVERAGE(終値!X398:AQ398),""))</f>
        <v/>
      </c>
      <c r="V398" s="503" t="str">
        <f>IF(終値!A398="","",IFERROR(4*STDEVP(終値!Y398:AR398)/AVERAGE(終値!Y398:AR398),""))</f>
        <v/>
      </c>
      <c r="W398" s="503" t="str">
        <f>IF(終値!A398="","",IFERROR(4*STDEVP(終値!Z398:AS398)/AVERAGE(終値!Z398:AS398),""))</f>
        <v/>
      </c>
      <c r="X398" s="503" t="str">
        <f>IF(終値!A398="","",IFERROR(4*STDEVP(終値!AA398:AT398)/AVERAGE(終値!AA398:AT398),""))</f>
        <v/>
      </c>
      <c r="Y398" s="503" t="str">
        <f>IF(終値!A398="","",IFERROR(4*STDEVP(終値!AB398:AU398)/AVERAGE(終値!AB398:AU398),""))</f>
        <v/>
      </c>
      <c r="Z398" s="503" t="str">
        <f>IF(終値!A398="","",IFERROR(4*STDEVP(終値!AC398:AV398)/AVERAGE(終値!AC398:AV398),""))</f>
        <v/>
      </c>
      <c r="AA398" s="503" t="str">
        <f>IF(終値!A398="","",IFERROR(4*STDEVP(終値!AD398:AW398)/AVERAGE(終値!AD398:AW398),""))</f>
        <v/>
      </c>
      <c r="AB398" s="503" t="str">
        <f>IF(終値!A398="","",IFERROR(4*STDEVP(終値!AE398:AX398)/AVERAGE(終値!AE398:AX398),""))</f>
        <v/>
      </c>
      <c r="AC398" s="503" t="str">
        <f>IF(終値!A398="","",IFERROR(4*STDEVP(終値!AF398:AY398)/AVERAGE(終値!AF398:AY398),""))</f>
        <v/>
      </c>
      <c r="AD398" s="503" t="str">
        <f>IF(終値!A398="","",IFERROR(4*STDEVP(終値!AG398:AZ398)/AVERAGE(終値!AG398:AZ398),""))</f>
        <v/>
      </c>
      <c r="AE398" s="503" t="str">
        <f>IF(終値!A398="","",IFERROR(4*STDEVP(終値!AH398:BA398)/AVERAGE(終値!AH398:BA398),""))</f>
        <v/>
      </c>
      <c r="AF398" s="503" t="str">
        <f>IF(終値!A398="","",IFERROR(4*STDEVP(終値!AI398:BB398)/AVERAGE(終値!AI398:BB398),""))</f>
        <v/>
      </c>
      <c r="AG398" s="503" t="str">
        <f>IF(終値!A398="","",IFERROR(4*STDEVP(終値!AJ398:BC398)/AVERAGE(終値!AJ398:BC398),""))</f>
        <v/>
      </c>
      <c r="AH398" s="503" t="str">
        <f>IF(終値!A398="","",IFERROR(4*STDEVP(終値!AK398:BD398)/AVERAGE(終値!AK398:BD398),""))</f>
        <v/>
      </c>
      <c r="AI398" s="503" t="str">
        <f>IF(終値!A398="","",IFERROR(4*STDEVP(終値!AL398:BE398)/AVERAGE(終値!AL398:BE398),""))</f>
        <v/>
      </c>
      <c r="AJ398" s="503" t="str">
        <f>IF(終値!A398="","",IFERROR(4*STDEVP(終値!AM398:BF398)/AVERAGE(終値!AM398:BF398),""))</f>
        <v/>
      </c>
      <c r="AK398" s="503" t="str">
        <f>IF(終値!A398="","",IFERROR(4*STDEVP(終値!AN398:BG398)/AVERAGE(終値!AN398:BG398),""))</f>
        <v/>
      </c>
      <c r="AL398" s="503" t="str">
        <f>IF(終値!A398="","",IFERROR(4*STDEVP(終値!AO398:BH398)/AVERAGE(終値!AO398:BH398),""))</f>
        <v/>
      </c>
      <c r="AM398" s="503" t="str">
        <f>IF(終値!A398="","",IFERROR(4*STDEVP(終値!AP398:BI398)/AVERAGE(終値!AP398:BI398),""))</f>
        <v/>
      </c>
      <c r="AN398" s="503" t="str">
        <f>IF(終値!A398="","",IFERROR(4*STDEVP(終値!AQ398:BJ398)/AVERAGE(終値!AQ398:BJ398),""))</f>
        <v/>
      </c>
      <c r="AO398" s="503" t="str">
        <f>IF(終値!A398="","",IFERROR(4*STDEVP(終値!AR398:BK398)/AVERAGE(終値!AR398:BK398),""))</f>
        <v/>
      </c>
      <c r="AP398" s="503" t="str">
        <f>IF(終値!A398="","",IFERROR(4*STDEVP(終値!AS398:BL398)/AVERAGE(終値!AS398:BL398),""))</f>
        <v/>
      </c>
    </row>
    <row r="399" spans="1:42">
      <c r="A399" s="500" t="str">
        <f>IF(終値!A399="","",終値!A399)</f>
        <v/>
      </c>
      <c r="B399" s="503" t="str">
        <f>IF(終値!A399="","",IFERROR(4*STDEVP(終値!E399:X399)/AVERAGE(終値!E399:X399),""))</f>
        <v/>
      </c>
      <c r="C399" s="503" t="str">
        <f>IF(終値!A399="","",IFERROR(4*STDEVP(終値!F399:Y399)/AVERAGE(終値!F399:Y399),""))</f>
        <v/>
      </c>
      <c r="D399" s="503" t="str">
        <f>IF(終値!A399="","",IFERROR(4*STDEVP(終値!G399:Z399)/AVERAGE(終値!G399:Z399),""))</f>
        <v/>
      </c>
      <c r="E399" s="503" t="str">
        <f>IF(終値!A399="","",IFERROR(4*STDEVP(終値!H399:AA399)/AVERAGE(終値!H399:AA399),""))</f>
        <v/>
      </c>
      <c r="F399" s="503" t="str">
        <f>IF(終値!A399="","",IFERROR(4*STDEVP(終値!I399:AB399)/AVERAGE(終値!I399:AB399),""))</f>
        <v/>
      </c>
      <c r="G399" s="503" t="str">
        <f>IF(終値!A399="","",IFERROR(4*STDEVP(終値!J399:AC399)/AVERAGE(終値!J399:AC399),""))</f>
        <v/>
      </c>
      <c r="H399" s="503" t="str">
        <f>IF(終値!A399="","",IFERROR(4*STDEVP(終値!K399:AD399)/AVERAGE(終値!K399:AD399),""))</f>
        <v/>
      </c>
      <c r="I399" s="503" t="str">
        <f>IF(終値!A399="","",IFERROR(4*STDEVP(終値!L399:AE399)/AVERAGE(終値!L399:AE399),""))</f>
        <v/>
      </c>
      <c r="J399" s="503" t="str">
        <f>IF(終値!A399="","",IFERROR(4*STDEVP(終値!M399:AF399)/AVERAGE(終値!M399:AF399),""))</f>
        <v/>
      </c>
      <c r="K399" s="503" t="str">
        <f>IF(終値!A399="","",IFERROR(4*STDEVP(終値!N399:AG399)/AVERAGE(終値!N399:AG399),""))</f>
        <v/>
      </c>
      <c r="L399" s="503" t="str">
        <f>IF(終値!A399="","",IFERROR(4*STDEVP(終値!O399:AH399)/AVERAGE(終値!O399:AH399),""))</f>
        <v/>
      </c>
      <c r="M399" s="503" t="str">
        <f>IF(終値!A399="","",IFERROR(4*STDEVP(終値!P399:AI399)/AVERAGE(終値!P399:AI399),""))</f>
        <v/>
      </c>
      <c r="N399" s="503" t="str">
        <f>IF(終値!A399="","",IFERROR(4*STDEVP(終値!Q399:AJ399)/AVERAGE(終値!Q399:AJ399),""))</f>
        <v/>
      </c>
      <c r="O399" s="503" t="str">
        <f>IF(終値!A399="","",IFERROR(4*STDEVP(終値!R399:AK399)/AVERAGE(終値!R399:AK399),""))</f>
        <v/>
      </c>
      <c r="P399" s="503" t="str">
        <f>IF(終値!A399="","",IFERROR(4*STDEVP(終値!S399:AL399)/AVERAGE(終値!S399:AL399),""))</f>
        <v/>
      </c>
      <c r="Q399" s="503" t="str">
        <f>IF(終値!A399="","",IFERROR(4*STDEVP(終値!T399:AM399)/AVERAGE(終値!T399:AM399),""))</f>
        <v/>
      </c>
      <c r="R399" s="503" t="str">
        <f>IF(終値!A399="","",IFERROR(4*STDEVP(終値!U399:AN399)/AVERAGE(終値!U399:AN399),""))</f>
        <v/>
      </c>
      <c r="S399" s="503" t="str">
        <f>IF(終値!A399="","",IFERROR(4*STDEVP(終値!V399:AO399)/AVERAGE(終値!V399:AO399),""))</f>
        <v/>
      </c>
      <c r="T399" s="503" t="str">
        <f>IF(終値!A399="","",IFERROR(4*STDEVP(終値!W399:AP399)/AVERAGE(終値!W399:AP399),""))</f>
        <v/>
      </c>
      <c r="U399" s="503" t="str">
        <f>IF(終値!A399="","",IFERROR(4*STDEVP(終値!X399:AQ399)/AVERAGE(終値!X399:AQ399),""))</f>
        <v/>
      </c>
      <c r="V399" s="503" t="str">
        <f>IF(終値!A399="","",IFERROR(4*STDEVP(終値!Y399:AR399)/AVERAGE(終値!Y399:AR399),""))</f>
        <v/>
      </c>
      <c r="W399" s="503" t="str">
        <f>IF(終値!A399="","",IFERROR(4*STDEVP(終値!Z399:AS399)/AVERAGE(終値!Z399:AS399),""))</f>
        <v/>
      </c>
      <c r="X399" s="503" t="str">
        <f>IF(終値!A399="","",IFERROR(4*STDEVP(終値!AA399:AT399)/AVERAGE(終値!AA399:AT399),""))</f>
        <v/>
      </c>
      <c r="Y399" s="503" t="str">
        <f>IF(終値!A399="","",IFERROR(4*STDEVP(終値!AB399:AU399)/AVERAGE(終値!AB399:AU399),""))</f>
        <v/>
      </c>
      <c r="Z399" s="503" t="str">
        <f>IF(終値!A399="","",IFERROR(4*STDEVP(終値!AC399:AV399)/AVERAGE(終値!AC399:AV399),""))</f>
        <v/>
      </c>
      <c r="AA399" s="503" t="str">
        <f>IF(終値!A399="","",IFERROR(4*STDEVP(終値!AD399:AW399)/AVERAGE(終値!AD399:AW399),""))</f>
        <v/>
      </c>
      <c r="AB399" s="503" t="str">
        <f>IF(終値!A399="","",IFERROR(4*STDEVP(終値!AE399:AX399)/AVERAGE(終値!AE399:AX399),""))</f>
        <v/>
      </c>
      <c r="AC399" s="503" t="str">
        <f>IF(終値!A399="","",IFERROR(4*STDEVP(終値!AF399:AY399)/AVERAGE(終値!AF399:AY399),""))</f>
        <v/>
      </c>
      <c r="AD399" s="503" t="str">
        <f>IF(終値!A399="","",IFERROR(4*STDEVP(終値!AG399:AZ399)/AVERAGE(終値!AG399:AZ399),""))</f>
        <v/>
      </c>
      <c r="AE399" s="503" t="str">
        <f>IF(終値!A399="","",IFERROR(4*STDEVP(終値!AH399:BA399)/AVERAGE(終値!AH399:BA399),""))</f>
        <v/>
      </c>
      <c r="AF399" s="503" t="str">
        <f>IF(終値!A399="","",IFERROR(4*STDEVP(終値!AI399:BB399)/AVERAGE(終値!AI399:BB399),""))</f>
        <v/>
      </c>
      <c r="AG399" s="503" t="str">
        <f>IF(終値!A399="","",IFERROR(4*STDEVP(終値!AJ399:BC399)/AVERAGE(終値!AJ399:BC399),""))</f>
        <v/>
      </c>
      <c r="AH399" s="503" t="str">
        <f>IF(終値!A399="","",IFERROR(4*STDEVP(終値!AK399:BD399)/AVERAGE(終値!AK399:BD399),""))</f>
        <v/>
      </c>
      <c r="AI399" s="503" t="str">
        <f>IF(終値!A399="","",IFERROR(4*STDEVP(終値!AL399:BE399)/AVERAGE(終値!AL399:BE399),""))</f>
        <v/>
      </c>
      <c r="AJ399" s="503" t="str">
        <f>IF(終値!A399="","",IFERROR(4*STDEVP(終値!AM399:BF399)/AVERAGE(終値!AM399:BF399),""))</f>
        <v/>
      </c>
      <c r="AK399" s="503" t="str">
        <f>IF(終値!A399="","",IFERROR(4*STDEVP(終値!AN399:BG399)/AVERAGE(終値!AN399:BG399),""))</f>
        <v/>
      </c>
      <c r="AL399" s="503" t="str">
        <f>IF(終値!A399="","",IFERROR(4*STDEVP(終値!AO399:BH399)/AVERAGE(終値!AO399:BH399),""))</f>
        <v/>
      </c>
      <c r="AM399" s="503" t="str">
        <f>IF(終値!A399="","",IFERROR(4*STDEVP(終値!AP399:BI399)/AVERAGE(終値!AP399:BI399),""))</f>
        <v/>
      </c>
      <c r="AN399" s="503" t="str">
        <f>IF(終値!A399="","",IFERROR(4*STDEVP(終値!AQ399:BJ399)/AVERAGE(終値!AQ399:BJ399),""))</f>
        <v/>
      </c>
      <c r="AO399" s="503" t="str">
        <f>IF(終値!A399="","",IFERROR(4*STDEVP(終値!AR399:BK399)/AVERAGE(終値!AR399:BK399),""))</f>
        <v/>
      </c>
      <c r="AP399" s="503" t="str">
        <f>IF(終値!A399="","",IFERROR(4*STDEVP(終値!AS399:BL399)/AVERAGE(終値!AS399:BL399),""))</f>
        <v/>
      </c>
    </row>
    <row r="400" spans="1:42">
      <c r="A400" s="500" t="str">
        <f>IF(終値!A400="","",終値!A400)</f>
        <v/>
      </c>
      <c r="B400" s="503" t="str">
        <f>IF(終値!A400="","",IFERROR(4*STDEVP(終値!E400:X400)/AVERAGE(終値!E400:X400),""))</f>
        <v/>
      </c>
      <c r="C400" s="503" t="str">
        <f>IF(終値!A400="","",IFERROR(4*STDEVP(終値!F400:Y400)/AVERAGE(終値!F400:Y400),""))</f>
        <v/>
      </c>
      <c r="D400" s="503" t="str">
        <f>IF(終値!A400="","",IFERROR(4*STDEVP(終値!G400:Z400)/AVERAGE(終値!G400:Z400),""))</f>
        <v/>
      </c>
      <c r="E400" s="503" t="str">
        <f>IF(終値!A400="","",IFERROR(4*STDEVP(終値!H400:AA400)/AVERAGE(終値!H400:AA400),""))</f>
        <v/>
      </c>
      <c r="F400" s="503" t="str">
        <f>IF(終値!A400="","",IFERROR(4*STDEVP(終値!I400:AB400)/AVERAGE(終値!I400:AB400),""))</f>
        <v/>
      </c>
      <c r="G400" s="503" t="str">
        <f>IF(終値!A400="","",IFERROR(4*STDEVP(終値!J400:AC400)/AVERAGE(終値!J400:AC400),""))</f>
        <v/>
      </c>
      <c r="H400" s="503" t="str">
        <f>IF(終値!A400="","",IFERROR(4*STDEVP(終値!K400:AD400)/AVERAGE(終値!K400:AD400),""))</f>
        <v/>
      </c>
      <c r="I400" s="503" t="str">
        <f>IF(終値!A400="","",IFERROR(4*STDEVP(終値!L400:AE400)/AVERAGE(終値!L400:AE400),""))</f>
        <v/>
      </c>
      <c r="J400" s="503" t="str">
        <f>IF(終値!A400="","",IFERROR(4*STDEVP(終値!M400:AF400)/AVERAGE(終値!M400:AF400),""))</f>
        <v/>
      </c>
      <c r="K400" s="503" t="str">
        <f>IF(終値!A400="","",IFERROR(4*STDEVP(終値!N400:AG400)/AVERAGE(終値!N400:AG400),""))</f>
        <v/>
      </c>
      <c r="L400" s="503" t="str">
        <f>IF(終値!A400="","",IFERROR(4*STDEVP(終値!O400:AH400)/AVERAGE(終値!O400:AH400),""))</f>
        <v/>
      </c>
      <c r="M400" s="503" t="str">
        <f>IF(終値!A400="","",IFERROR(4*STDEVP(終値!P400:AI400)/AVERAGE(終値!P400:AI400),""))</f>
        <v/>
      </c>
      <c r="N400" s="503" t="str">
        <f>IF(終値!A400="","",IFERROR(4*STDEVP(終値!Q400:AJ400)/AVERAGE(終値!Q400:AJ400),""))</f>
        <v/>
      </c>
      <c r="O400" s="503" t="str">
        <f>IF(終値!A400="","",IFERROR(4*STDEVP(終値!R400:AK400)/AVERAGE(終値!R400:AK400),""))</f>
        <v/>
      </c>
      <c r="P400" s="503" t="str">
        <f>IF(終値!A400="","",IFERROR(4*STDEVP(終値!S400:AL400)/AVERAGE(終値!S400:AL400),""))</f>
        <v/>
      </c>
      <c r="Q400" s="503" t="str">
        <f>IF(終値!A400="","",IFERROR(4*STDEVP(終値!T400:AM400)/AVERAGE(終値!T400:AM400),""))</f>
        <v/>
      </c>
      <c r="R400" s="503" t="str">
        <f>IF(終値!A400="","",IFERROR(4*STDEVP(終値!U400:AN400)/AVERAGE(終値!U400:AN400),""))</f>
        <v/>
      </c>
      <c r="S400" s="503" t="str">
        <f>IF(終値!A400="","",IFERROR(4*STDEVP(終値!V400:AO400)/AVERAGE(終値!V400:AO400),""))</f>
        <v/>
      </c>
      <c r="T400" s="503" t="str">
        <f>IF(終値!A400="","",IFERROR(4*STDEVP(終値!W400:AP400)/AVERAGE(終値!W400:AP400),""))</f>
        <v/>
      </c>
      <c r="U400" s="503" t="str">
        <f>IF(終値!A400="","",IFERROR(4*STDEVP(終値!X400:AQ400)/AVERAGE(終値!X400:AQ400),""))</f>
        <v/>
      </c>
      <c r="V400" s="503" t="str">
        <f>IF(終値!A400="","",IFERROR(4*STDEVP(終値!Y400:AR400)/AVERAGE(終値!Y400:AR400),""))</f>
        <v/>
      </c>
      <c r="W400" s="503" t="str">
        <f>IF(終値!A400="","",IFERROR(4*STDEVP(終値!Z400:AS400)/AVERAGE(終値!Z400:AS400),""))</f>
        <v/>
      </c>
      <c r="X400" s="503" t="str">
        <f>IF(終値!A400="","",IFERROR(4*STDEVP(終値!AA400:AT400)/AVERAGE(終値!AA400:AT400),""))</f>
        <v/>
      </c>
      <c r="Y400" s="503" t="str">
        <f>IF(終値!A400="","",IFERROR(4*STDEVP(終値!AB400:AU400)/AVERAGE(終値!AB400:AU400),""))</f>
        <v/>
      </c>
      <c r="Z400" s="503" t="str">
        <f>IF(終値!A400="","",IFERROR(4*STDEVP(終値!AC400:AV400)/AVERAGE(終値!AC400:AV400),""))</f>
        <v/>
      </c>
      <c r="AA400" s="503" t="str">
        <f>IF(終値!A400="","",IFERROR(4*STDEVP(終値!AD400:AW400)/AVERAGE(終値!AD400:AW400),""))</f>
        <v/>
      </c>
      <c r="AB400" s="503" t="str">
        <f>IF(終値!A400="","",IFERROR(4*STDEVP(終値!AE400:AX400)/AVERAGE(終値!AE400:AX400),""))</f>
        <v/>
      </c>
      <c r="AC400" s="503" t="str">
        <f>IF(終値!A400="","",IFERROR(4*STDEVP(終値!AF400:AY400)/AVERAGE(終値!AF400:AY400),""))</f>
        <v/>
      </c>
      <c r="AD400" s="503" t="str">
        <f>IF(終値!A400="","",IFERROR(4*STDEVP(終値!AG400:AZ400)/AVERAGE(終値!AG400:AZ400),""))</f>
        <v/>
      </c>
      <c r="AE400" s="503" t="str">
        <f>IF(終値!A400="","",IFERROR(4*STDEVP(終値!AH400:BA400)/AVERAGE(終値!AH400:BA400),""))</f>
        <v/>
      </c>
      <c r="AF400" s="503" t="str">
        <f>IF(終値!A400="","",IFERROR(4*STDEVP(終値!AI400:BB400)/AVERAGE(終値!AI400:BB400),""))</f>
        <v/>
      </c>
      <c r="AG400" s="503" t="str">
        <f>IF(終値!A400="","",IFERROR(4*STDEVP(終値!AJ400:BC400)/AVERAGE(終値!AJ400:BC400),""))</f>
        <v/>
      </c>
      <c r="AH400" s="503" t="str">
        <f>IF(終値!A400="","",IFERROR(4*STDEVP(終値!AK400:BD400)/AVERAGE(終値!AK400:BD400),""))</f>
        <v/>
      </c>
      <c r="AI400" s="503" t="str">
        <f>IF(終値!A400="","",IFERROR(4*STDEVP(終値!AL400:BE400)/AVERAGE(終値!AL400:BE400),""))</f>
        <v/>
      </c>
      <c r="AJ400" s="503" t="str">
        <f>IF(終値!A400="","",IFERROR(4*STDEVP(終値!AM400:BF400)/AVERAGE(終値!AM400:BF400),""))</f>
        <v/>
      </c>
      <c r="AK400" s="503" t="str">
        <f>IF(終値!A400="","",IFERROR(4*STDEVP(終値!AN400:BG400)/AVERAGE(終値!AN400:BG400),""))</f>
        <v/>
      </c>
      <c r="AL400" s="503" t="str">
        <f>IF(終値!A400="","",IFERROR(4*STDEVP(終値!AO400:BH400)/AVERAGE(終値!AO400:BH400),""))</f>
        <v/>
      </c>
      <c r="AM400" s="503" t="str">
        <f>IF(終値!A400="","",IFERROR(4*STDEVP(終値!AP400:BI400)/AVERAGE(終値!AP400:BI400),""))</f>
        <v/>
      </c>
      <c r="AN400" s="503" t="str">
        <f>IF(終値!A400="","",IFERROR(4*STDEVP(終値!AQ400:BJ400)/AVERAGE(終値!AQ400:BJ400),""))</f>
        <v/>
      </c>
      <c r="AO400" s="503" t="str">
        <f>IF(終値!A400="","",IFERROR(4*STDEVP(終値!AR400:BK400)/AVERAGE(終値!AR400:BK400),""))</f>
        <v/>
      </c>
      <c r="AP400" s="503" t="str">
        <f>IF(終値!A400="","",IFERROR(4*STDEVP(終値!AS400:BL400)/AVERAGE(終値!AS400:BL400),""))</f>
        <v/>
      </c>
    </row>
    <row r="401" spans="1:42">
      <c r="A401" s="500" t="str">
        <f>IF(終値!A401="","",終値!A401)</f>
        <v/>
      </c>
      <c r="B401" s="503" t="str">
        <f>IF(終値!A401="","",IFERROR(4*STDEVP(終値!E401:X401)/AVERAGE(終値!E401:X401),""))</f>
        <v/>
      </c>
      <c r="C401" s="503" t="str">
        <f>IF(終値!A401="","",IFERROR(4*STDEVP(終値!F401:Y401)/AVERAGE(終値!F401:Y401),""))</f>
        <v/>
      </c>
      <c r="D401" s="503" t="str">
        <f>IF(終値!A401="","",IFERROR(4*STDEVP(終値!G401:Z401)/AVERAGE(終値!G401:Z401),""))</f>
        <v/>
      </c>
      <c r="E401" s="503" t="str">
        <f>IF(終値!A401="","",IFERROR(4*STDEVP(終値!H401:AA401)/AVERAGE(終値!H401:AA401),""))</f>
        <v/>
      </c>
      <c r="F401" s="503" t="str">
        <f>IF(終値!A401="","",IFERROR(4*STDEVP(終値!I401:AB401)/AVERAGE(終値!I401:AB401),""))</f>
        <v/>
      </c>
      <c r="G401" s="503" t="str">
        <f>IF(終値!A401="","",IFERROR(4*STDEVP(終値!J401:AC401)/AVERAGE(終値!J401:AC401),""))</f>
        <v/>
      </c>
      <c r="H401" s="503" t="str">
        <f>IF(終値!A401="","",IFERROR(4*STDEVP(終値!K401:AD401)/AVERAGE(終値!K401:AD401),""))</f>
        <v/>
      </c>
      <c r="I401" s="503" t="str">
        <f>IF(終値!A401="","",IFERROR(4*STDEVP(終値!L401:AE401)/AVERAGE(終値!L401:AE401),""))</f>
        <v/>
      </c>
      <c r="J401" s="503" t="str">
        <f>IF(終値!A401="","",IFERROR(4*STDEVP(終値!M401:AF401)/AVERAGE(終値!M401:AF401),""))</f>
        <v/>
      </c>
      <c r="K401" s="503" t="str">
        <f>IF(終値!A401="","",IFERROR(4*STDEVP(終値!N401:AG401)/AVERAGE(終値!N401:AG401),""))</f>
        <v/>
      </c>
      <c r="L401" s="503" t="str">
        <f>IF(終値!A401="","",IFERROR(4*STDEVP(終値!O401:AH401)/AVERAGE(終値!O401:AH401),""))</f>
        <v/>
      </c>
      <c r="M401" s="503" t="str">
        <f>IF(終値!A401="","",IFERROR(4*STDEVP(終値!P401:AI401)/AVERAGE(終値!P401:AI401),""))</f>
        <v/>
      </c>
      <c r="N401" s="503" t="str">
        <f>IF(終値!A401="","",IFERROR(4*STDEVP(終値!Q401:AJ401)/AVERAGE(終値!Q401:AJ401),""))</f>
        <v/>
      </c>
      <c r="O401" s="503" t="str">
        <f>IF(終値!A401="","",IFERROR(4*STDEVP(終値!R401:AK401)/AVERAGE(終値!R401:AK401),""))</f>
        <v/>
      </c>
      <c r="P401" s="503" t="str">
        <f>IF(終値!A401="","",IFERROR(4*STDEVP(終値!S401:AL401)/AVERAGE(終値!S401:AL401),""))</f>
        <v/>
      </c>
      <c r="Q401" s="503" t="str">
        <f>IF(終値!A401="","",IFERROR(4*STDEVP(終値!T401:AM401)/AVERAGE(終値!T401:AM401),""))</f>
        <v/>
      </c>
      <c r="R401" s="503" t="str">
        <f>IF(終値!A401="","",IFERROR(4*STDEVP(終値!U401:AN401)/AVERAGE(終値!U401:AN401),""))</f>
        <v/>
      </c>
      <c r="S401" s="503" t="str">
        <f>IF(終値!A401="","",IFERROR(4*STDEVP(終値!V401:AO401)/AVERAGE(終値!V401:AO401),""))</f>
        <v/>
      </c>
      <c r="T401" s="503" t="str">
        <f>IF(終値!A401="","",IFERROR(4*STDEVP(終値!W401:AP401)/AVERAGE(終値!W401:AP401),""))</f>
        <v/>
      </c>
      <c r="U401" s="503" t="str">
        <f>IF(終値!A401="","",IFERROR(4*STDEVP(終値!X401:AQ401)/AVERAGE(終値!X401:AQ401),""))</f>
        <v/>
      </c>
      <c r="V401" s="503" t="str">
        <f>IF(終値!A401="","",IFERROR(4*STDEVP(終値!Y401:AR401)/AVERAGE(終値!Y401:AR401),""))</f>
        <v/>
      </c>
      <c r="W401" s="503" t="str">
        <f>IF(終値!A401="","",IFERROR(4*STDEVP(終値!Z401:AS401)/AVERAGE(終値!Z401:AS401),""))</f>
        <v/>
      </c>
      <c r="X401" s="503" t="str">
        <f>IF(終値!A401="","",IFERROR(4*STDEVP(終値!AA401:AT401)/AVERAGE(終値!AA401:AT401),""))</f>
        <v/>
      </c>
      <c r="Y401" s="503" t="str">
        <f>IF(終値!A401="","",IFERROR(4*STDEVP(終値!AB401:AU401)/AVERAGE(終値!AB401:AU401),""))</f>
        <v/>
      </c>
      <c r="Z401" s="503" t="str">
        <f>IF(終値!A401="","",IFERROR(4*STDEVP(終値!AC401:AV401)/AVERAGE(終値!AC401:AV401),""))</f>
        <v/>
      </c>
      <c r="AA401" s="503" t="str">
        <f>IF(終値!A401="","",IFERROR(4*STDEVP(終値!AD401:AW401)/AVERAGE(終値!AD401:AW401),""))</f>
        <v/>
      </c>
      <c r="AB401" s="503" t="str">
        <f>IF(終値!A401="","",IFERROR(4*STDEVP(終値!AE401:AX401)/AVERAGE(終値!AE401:AX401),""))</f>
        <v/>
      </c>
      <c r="AC401" s="503" t="str">
        <f>IF(終値!A401="","",IFERROR(4*STDEVP(終値!AF401:AY401)/AVERAGE(終値!AF401:AY401),""))</f>
        <v/>
      </c>
      <c r="AD401" s="503" t="str">
        <f>IF(終値!A401="","",IFERROR(4*STDEVP(終値!AG401:AZ401)/AVERAGE(終値!AG401:AZ401),""))</f>
        <v/>
      </c>
      <c r="AE401" s="503" t="str">
        <f>IF(終値!A401="","",IFERROR(4*STDEVP(終値!AH401:BA401)/AVERAGE(終値!AH401:BA401),""))</f>
        <v/>
      </c>
      <c r="AF401" s="503" t="str">
        <f>IF(終値!A401="","",IFERROR(4*STDEVP(終値!AI401:BB401)/AVERAGE(終値!AI401:BB401),""))</f>
        <v/>
      </c>
      <c r="AG401" s="503" t="str">
        <f>IF(終値!A401="","",IFERROR(4*STDEVP(終値!AJ401:BC401)/AVERAGE(終値!AJ401:BC401),""))</f>
        <v/>
      </c>
      <c r="AH401" s="503" t="str">
        <f>IF(終値!A401="","",IFERROR(4*STDEVP(終値!AK401:BD401)/AVERAGE(終値!AK401:BD401),""))</f>
        <v/>
      </c>
      <c r="AI401" s="503" t="str">
        <f>IF(終値!A401="","",IFERROR(4*STDEVP(終値!AL401:BE401)/AVERAGE(終値!AL401:BE401),""))</f>
        <v/>
      </c>
      <c r="AJ401" s="503" t="str">
        <f>IF(終値!A401="","",IFERROR(4*STDEVP(終値!AM401:BF401)/AVERAGE(終値!AM401:BF401),""))</f>
        <v/>
      </c>
      <c r="AK401" s="503" t="str">
        <f>IF(終値!A401="","",IFERROR(4*STDEVP(終値!AN401:BG401)/AVERAGE(終値!AN401:BG401),""))</f>
        <v/>
      </c>
      <c r="AL401" s="503" t="str">
        <f>IF(終値!A401="","",IFERROR(4*STDEVP(終値!AO401:BH401)/AVERAGE(終値!AO401:BH401),""))</f>
        <v/>
      </c>
      <c r="AM401" s="503" t="str">
        <f>IF(終値!A401="","",IFERROR(4*STDEVP(終値!AP401:BI401)/AVERAGE(終値!AP401:BI401),""))</f>
        <v/>
      </c>
      <c r="AN401" s="503" t="str">
        <f>IF(終値!A401="","",IFERROR(4*STDEVP(終値!AQ401:BJ401)/AVERAGE(終値!AQ401:BJ401),""))</f>
        <v/>
      </c>
      <c r="AO401" s="503" t="str">
        <f>IF(終値!A401="","",IFERROR(4*STDEVP(終値!AR401:BK401)/AVERAGE(終値!AR401:BK401),""))</f>
        <v/>
      </c>
      <c r="AP401" s="503" t="str">
        <f>IF(終値!A401="","",IFERROR(4*STDEVP(終値!AS401:BL401)/AVERAGE(終値!AS401:BL401),""))</f>
        <v/>
      </c>
    </row>
    <row r="402" spans="1:42">
      <c r="A402" s="500" t="str">
        <f>IF(終値!A402="","",終値!A402)</f>
        <v/>
      </c>
      <c r="B402" s="503" t="str">
        <f>IF(終値!A402="","",IFERROR(4*STDEVP(終値!E402:X402)/AVERAGE(終値!E402:X402),""))</f>
        <v/>
      </c>
      <c r="C402" s="503" t="str">
        <f>IF(終値!A402="","",IFERROR(4*STDEVP(終値!F402:Y402)/AVERAGE(終値!F402:Y402),""))</f>
        <v/>
      </c>
      <c r="D402" s="503" t="str">
        <f>IF(終値!A402="","",IFERROR(4*STDEVP(終値!G402:Z402)/AVERAGE(終値!G402:Z402),""))</f>
        <v/>
      </c>
      <c r="E402" s="503" t="str">
        <f>IF(終値!A402="","",IFERROR(4*STDEVP(終値!H402:AA402)/AVERAGE(終値!H402:AA402),""))</f>
        <v/>
      </c>
      <c r="F402" s="503" t="str">
        <f>IF(終値!A402="","",IFERROR(4*STDEVP(終値!I402:AB402)/AVERAGE(終値!I402:AB402),""))</f>
        <v/>
      </c>
      <c r="G402" s="503" t="str">
        <f>IF(終値!A402="","",IFERROR(4*STDEVP(終値!J402:AC402)/AVERAGE(終値!J402:AC402),""))</f>
        <v/>
      </c>
      <c r="H402" s="503" t="str">
        <f>IF(終値!A402="","",IFERROR(4*STDEVP(終値!K402:AD402)/AVERAGE(終値!K402:AD402),""))</f>
        <v/>
      </c>
      <c r="I402" s="503" t="str">
        <f>IF(終値!A402="","",IFERROR(4*STDEVP(終値!L402:AE402)/AVERAGE(終値!L402:AE402),""))</f>
        <v/>
      </c>
      <c r="J402" s="503" t="str">
        <f>IF(終値!A402="","",IFERROR(4*STDEVP(終値!M402:AF402)/AVERAGE(終値!M402:AF402),""))</f>
        <v/>
      </c>
      <c r="K402" s="503" t="str">
        <f>IF(終値!A402="","",IFERROR(4*STDEVP(終値!N402:AG402)/AVERAGE(終値!N402:AG402),""))</f>
        <v/>
      </c>
      <c r="L402" s="503" t="str">
        <f>IF(終値!A402="","",IFERROR(4*STDEVP(終値!O402:AH402)/AVERAGE(終値!O402:AH402),""))</f>
        <v/>
      </c>
      <c r="M402" s="503" t="str">
        <f>IF(終値!A402="","",IFERROR(4*STDEVP(終値!P402:AI402)/AVERAGE(終値!P402:AI402),""))</f>
        <v/>
      </c>
      <c r="N402" s="503" t="str">
        <f>IF(終値!A402="","",IFERROR(4*STDEVP(終値!Q402:AJ402)/AVERAGE(終値!Q402:AJ402),""))</f>
        <v/>
      </c>
      <c r="O402" s="503" t="str">
        <f>IF(終値!A402="","",IFERROR(4*STDEVP(終値!R402:AK402)/AVERAGE(終値!R402:AK402),""))</f>
        <v/>
      </c>
      <c r="P402" s="503" t="str">
        <f>IF(終値!A402="","",IFERROR(4*STDEVP(終値!S402:AL402)/AVERAGE(終値!S402:AL402),""))</f>
        <v/>
      </c>
      <c r="Q402" s="503" t="str">
        <f>IF(終値!A402="","",IFERROR(4*STDEVP(終値!T402:AM402)/AVERAGE(終値!T402:AM402),""))</f>
        <v/>
      </c>
      <c r="R402" s="503" t="str">
        <f>IF(終値!A402="","",IFERROR(4*STDEVP(終値!U402:AN402)/AVERAGE(終値!U402:AN402),""))</f>
        <v/>
      </c>
      <c r="S402" s="503" t="str">
        <f>IF(終値!A402="","",IFERROR(4*STDEVP(終値!V402:AO402)/AVERAGE(終値!V402:AO402),""))</f>
        <v/>
      </c>
      <c r="T402" s="503" t="str">
        <f>IF(終値!A402="","",IFERROR(4*STDEVP(終値!W402:AP402)/AVERAGE(終値!W402:AP402),""))</f>
        <v/>
      </c>
      <c r="U402" s="503" t="str">
        <f>IF(終値!A402="","",IFERROR(4*STDEVP(終値!X402:AQ402)/AVERAGE(終値!X402:AQ402),""))</f>
        <v/>
      </c>
      <c r="V402" s="503" t="str">
        <f>IF(終値!A402="","",IFERROR(4*STDEVP(終値!Y402:AR402)/AVERAGE(終値!Y402:AR402),""))</f>
        <v/>
      </c>
      <c r="W402" s="503" t="str">
        <f>IF(終値!A402="","",IFERROR(4*STDEVP(終値!Z402:AS402)/AVERAGE(終値!Z402:AS402),""))</f>
        <v/>
      </c>
      <c r="X402" s="503" t="str">
        <f>IF(終値!A402="","",IFERROR(4*STDEVP(終値!AA402:AT402)/AVERAGE(終値!AA402:AT402),""))</f>
        <v/>
      </c>
      <c r="Y402" s="503" t="str">
        <f>IF(終値!A402="","",IFERROR(4*STDEVP(終値!AB402:AU402)/AVERAGE(終値!AB402:AU402),""))</f>
        <v/>
      </c>
      <c r="Z402" s="503" t="str">
        <f>IF(終値!A402="","",IFERROR(4*STDEVP(終値!AC402:AV402)/AVERAGE(終値!AC402:AV402),""))</f>
        <v/>
      </c>
      <c r="AA402" s="503" t="str">
        <f>IF(終値!A402="","",IFERROR(4*STDEVP(終値!AD402:AW402)/AVERAGE(終値!AD402:AW402),""))</f>
        <v/>
      </c>
      <c r="AB402" s="503" t="str">
        <f>IF(終値!A402="","",IFERROR(4*STDEVP(終値!AE402:AX402)/AVERAGE(終値!AE402:AX402),""))</f>
        <v/>
      </c>
      <c r="AC402" s="503" t="str">
        <f>IF(終値!A402="","",IFERROR(4*STDEVP(終値!AF402:AY402)/AVERAGE(終値!AF402:AY402),""))</f>
        <v/>
      </c>
      <c r="AD402" s="503" t="str">
        <f>IF(終値!A402="","",IFERROR(4*STDEVP(終値!AG402:AZ402)/AVERAGE(終値!AG402:AZ402),""))</f>
        <v/>
      </c>
      <c r="AE402" s="503" t="str">
        <f>IF(終値!A402="","",IFERROR(4*STDEVP(終値!AH402:BA402)/AVERAGE(終値!AH402:BA402),""))</f>
        <v/>
      </c>
      <c r="AF402" s="503" t="str">
        <f>IF(終値!A402="","",IFERROR(4*STDEVP(終値!AI402:BB402)/AVERAGE(終値!AI402:BB402),""))</f>
        <v/>
      </c>
      <c r="AG402" s="503" t="str">
        <f>IF(終値!A402="","",IFERROR(4*STDEVP(終値!AJ402:BC402)/AVERAGE(終値!AJ402:BC402),""))</f>
        <v/>
      </c>
      <c r="AH402" s="503" t="str">
        <f>IF(終値!A402="","",IFERROR(4*STDEVP(終値!AK402:BD402)/AVERAGE(終値!AK402:BD402),""))</f>
        <v/>
      </c>
      <c r="AI402" s="503" t="str">
        <f>IF(終値!A402="","",IFERROR(4*STDEVP(終値!AL402:BE402)/AVERAGE(終値!AL402:BE402),""))</f>
        <v/>
      </c>
      <c r="AJ402" s="503" t="str">
        <f>IF(終値!A402="","",IFERROR(4*STDEVP(終値!AM402:BF402)/AVERAGE(終値!AM402:BF402),""))</f>
        <v/>
      </c>
      <c r="AK402" s="503" t="str">
        <f>IF(終値!A402="","",IFERROR(4*STDEVP(終値!AN402:BG402)/AVERAGE(終値!AN402:BG402),""))</f>
        <v/>
      </c>
      <c r="AL402" s="503" t="str">
        <f>IF(終値!A402="","",IFERROR(4*STDEVP(終値!AO402:BH402)/AVERAGE(終値!AO402:BH402),""))</f>
        <v/>
      </c>
      <c r="AM402" s="503" t="str">
        <f>IF(終値!A402="","",IFERROR(4*STDEVP(終値!AP402:BI402)/AVERAGE(終値!AP402:BI402),""))</f>
        <v/>
      </c>
      <c r="AN402" s="503" t="str">
        <f>IF(終値!A402="","",IFERROR(4*STDEVP(終値!AQ402:BJ402)/AVERAGE(終値!AQ402:BJ402),""))</f>
        <v/>
      </c>
      <c r="AO402" s="503" t="str">
        <f>IF(終値!A402="","",IFERROR(4*STDEVP(終値!AR402:BK402)/AVERAGE(終値!AR402:BK402),""))</f>
        <v/>
      </c>
      <c r="AP402" s="503" t="str">
        <f>IF(終値!A402="","",IFERROR(4*STDEVP(終値!AS402:BL402)/AVERAGE(終値!AS402:BL402),""))</f>
        <v/>
      </c>
    </row>
    <row r="403" spans="1:42">
      <c r="A403" s="500" t="str">
        <f>IF(終値!A403="","",終値!A403)</f>
        <v/>
      </c>
      <c r="B403" s="503" t="str">
        <f>IF(終値!A403="","",IFERROR(4*STDEVP(終値!E403:X403)/AVERAGE(終値!E403:X403),""))</f>
        <v/>
      </c>
      <c r="C403" s="503" t="str">
        <f>IF(終値!A403="","",IFERROR(4*STDEVP(終値!F403:Y403)/AVERAGE(終値!F403:Y403),""))</f>
        <v/>
      </c>
      <c r="D403" s="503" t="str">
        <f>IF(終値!A403="","",IFERROR(4*STDEVP(終値!G403:Z403)/AVERAGE(終値!G403:Z403),""))</f>
        <v/>
      </c>
      <c r="E403" s="503" t="str">
        <f>IF(終値!A403="","",IFERROR(4*STDEVP(終値!H403:AA403)/AVERAGE(終値!H403:AA403),""))</f>
        <v/>
      </c>
      <c r="F403" s="503" t="str">
        <f>IF(終値!A403="","",IFERROR(4*STDEVP(終値!I403:AB403)/AVERAGE(終値!I403:AB403),""))</f>
        <v/>
      </c>
      <c r="G403" s="503" t="str">
        <f>IF(終値!A403="","",IFERROR(4*STDEVP(終値!J403:AC403)/AVERAGE(終値!J403:AC403),""))</f>
        <v/>
      </c>
      <c r="H403" s="503" t="str">
        <f>IF(終値!A403="","",IFERROR(4*STDEVP(終値!K403:AD403)/AVERAGE(終値!K403:AD403),""))</f>
        <v/>
      </c>
      <c r="I403" s="503" t="str">
        <f>IF(終値!A403="","",IFERROR(4*STDEVP(終値!L403:AE403)/AVERAGE(終値!L403:AE403),""))</f>
        <v/>
      </c>
      <c r="J403" s="503" t="str">
        <f>IF(終値!A403="","",IFERROR(4*STDEVP(終値!M403:AF403)/AVERAGE(終値!M403:AF403),""))</f>
        <v/>
      </c>
      <c r="K403" s="503" t="str">
        <f>IF(終値!A403="","",IFERROR(4*STDEVP(終値!N403:AG403)/AVERAGE(終値!N403:AG403),""))</f>
        <v/>
      </c>
      <c r="L403" s="503" t="str">
        <f>IF(終値!A403="","",IFERROR(4*STDEVP(終値!O403:AH403)/AVERAGE(終値!O403:AH403),""))</f>
        <v/>
      </c>
      <c r="M403" s="503" t="str">
        <f>IF(終値!A403="","",IFERROR(4*STDEVP(終値!P403:AI403)/AVERAGE(終値!P403:AI403),""))</f>
        <v/>
      </c>
      <c r="N403" s="503" t="str">
        <f>IF(終値!A403="","",IFERROR(4*STDEVP(終値!Q403:AJ403)/AVERAGE(終値!Q403:AJ403),""))</f>
        <v/>
      </c>
      <c r="O403" s="503" t="str">
        <f>IF(終値!A403="","",IFERROR(4*STDEVP(終値!R403:AK403)/AVERAGE(終値!R403:AK403),""))</f>
        <v/>
      </c>
      <c r="P403" s="503" t="str">
        <f>IF(終値!A403="","",IFERROR(4*STDEVP(終値!S403:AL403)/AVERAGE(終値!S403:AL403),""))</f>
        <v/>
      </c>
      <c r="Q403" s="503" t="str">
        <f>IF(終値!A403="","",IFERROR(4*STDEVP(終値!T403:AM403)/AVERAGE(終値!T403:AM403),""))</f>
        <v/>
      </c>
      <c r="R403" s="503" t="str">
        <f>IF(終値!A403="","",IFERROR(4*STDEVP(終値!U403:AN403)/AVERAGE(終値!U403:AN403),""))</f>
        <v/>
      </c>
      <c r="S403" s="503" t="str">
        <f>IF(終値!A403="","",IFERROR(4*STDEVP(終値!V403:AO403)/AVERAGE(終値!V403:AO403),""))</f>
        <v/>
      </c>
      <c r="T403" s="503" t="str">
        <f>IF(終値!A403="","",IFERROR(4*STDEVP(終値!W403:AP403)/AVERAGE(終値!W403:AP403),""))</f>
        <v/>
      </c>
      <c r="U403" s="503" t="str">
        <f>IF(終値!A403="","",IFERROR(4*STDEVP(終値!X403:AQ403)/AVERAGE(終値!X403:AQ403),""))</f>
        <v/>
      </c>
      <c r="V403" s="503" t="str">
        <f>IF(終値!A403="","",IFERROR(4*STDEVP(終値!Y403:AR403)/AVERAGE(終値!Y403:AR403),""))</f>
        <v/>
      </c>
      <c r="W403" s="503" t="str">
        <f>IF(終値!A403="","",IFERROR(4*STDEVP(終値!Z403:AS403)/AVERAGE(終値!Z403:AS403),""))</f>
        <v/>
      </c>
      <c r="X403" s="503" t="str">
        <f>IF(終値!A403="","",IFERROR(4*STDEVP(終値!AA403:AT403)/AVERAGE(終値!AA403:AT403),""))</f>
        <v/>
      </c>
      <c r="Y403" s="503" t="str">
        <f>IF(終値!A403="","",IFERROR(4*STDEVP(終値!AB403:AU403)/AVERAGE(終値!AB403:AU403),""))</f>
        <v/>
      </c>
      <c r="Z403" s="503" t="str">
        <f>IF(終値!A403="","",IFERROR(4*STDEVP(終値!AC403:AV403)/AVERAGE(終値!AC403:AV403),""))</f>
        <v/>
      </c>
      <c r="AA403" s="503" t="str">
        <f>IF(終値!A403="","",IFERROR(4*STDEVP(終値!AD403:AW403)/AVERAGE(終値!AD403:AW403),""))</f>
        <v/>
      </c>
      <c r="AB403" s="503" t="str">
        <f>IF(終値!A403="","",IFERROR(4*STDEVP(終値!AE403:AX403)/AVERAGE(終値!AE403:AX403),""))</f>
        <v/>
      </c>
      <c r="AC403" s="503" t="str">
        <f>IF(終値!A403="","",IFERROR(4*STDEVP(終値!AF403:AY403)/AVERAGE(終値!AF403:AY403),""))</f>
        <v/>
      </c>
      <c r="AD403" s="503" t="str">
        <f>IF(終値!A403="","",IFERROR(4*STDEVP(終値!AG403:AZ403)/AVERAGE(終値!AG403:AZ403),""))</f>
        <v/>
      </c>
      <c r="AE403" s="503" t="str">
        <f>IF(終値!A403="","",IFERROR(4*STDEVP(終値!AH403:BA403)/AVERAGE(終値!AH403:BA403),""))</f>
        <v/>
      </c>
      <c r="AF403" s="503" t="str">
        <f>IF(終値!A403="","",IFERROR(4*STDEVP(終値!AI403:BB403)/AVERAGE(終値!AI403:BB403),""))</f>
        <v/>
      </c>
      <c r="AG403" s="503" t="str">
        <f>IF(終値!A403="","",IFERROR(4*STDEVP(終値!AJ403:BC403)/AVERAGE(終値!AJ403:BC403),""))</f>
        <v/>
      </c>
      <c r="AH403" s="503" t="str">
        <f>IF(終値!A403="","",IFERROR(4*STDEVP(終値!AK403:BD403)/AVERAGE(終値!AK403:BD403),""))</f>
        <v/>
      </c>
      <c r="AI403" s="503" t="str">
        <f>IF(終値!A403="","",IFERROR(4*STDEVP(終値!AL403:BE403)/AVERAGE(終値!AL403:BE403),""))</f>
        <v/>
      </c>
      <c r="AJ403" s="503" t="str">
        <f>IF(終値!A403="","",IFERROR(4*STDEVP(終値!AM403:BF403)/AVERAGE(終値!AM403:BF403),""))</f>
        <v/>
      </c>
      <c r="AK403" s="503" t="str">
        <f>IF(終値!A403="","",IFERROR(4*STDEVP(終値!AN403:BG403)/AVERAGE(終値!AN403:BG403),""))</f>
        <v/>
      </c>
      <c r="AL403" s="503" t="str">
        <f>IF(終値!A403="","",IFERROR(4*STDEVP(終値!AO403:BH403)/AVERAGE(終値!AO403:BH403),""))</f>
        <v/>
      </c>
      <c r="AM403" s="503" t="str">
        <f>IF(終値!A403="","",IFERROR(4*STDEVP(終値!AP403:BI403)/AVERAGE(終値!AP403:BI403),""))</f>
        <v/>
      </c>
      <c r="AN403" s="503" t="str">
        <f>IF(終値!A403="","",IFERROR(4*STDEVP(終値!AQ403:BJ403)/AVERAGE(終値!AQ403:BJ403),""))</f>
        <v/>
      </c>
      <c r="AO403" s="503" t="str">
        <f>IF(終値!A403="","",IFERROR(4*STDEVP(終値!AR403:BK403)/AVERAGE(終値!AR403:BK403),""))</f>
        <v/>
      </c>
      <c r="AP403" s="503" t="str">
        <f>IF(終値!A403="","",IFERROR(4*STDEVP(終値!AS403:BL403)/AVERAGE(終値!AS403:BL403),""))</f>
        <v/>
      </c>
    </row>
    <row r="404" spans="1:42">
      <c r="A404" s="500" t="str">
        <f>IF(終値!A404="","",終値!A404)</f>
        <v/>
      </c>
      <c r="B404" s="503" t="str">
        <f>IF(終値!A404="","",IFERROR(4*STDEVP(終値!E404:X404)/AVERAGE(終値!E404:X404),""))</f>
        <v/>
      </c>
      <c r="C404" s="503" t="str">
        <f>IF(終値!A404="","",IFERROR(4*STDEVP(終値!F404:Y404)/AVERAGE(終値!F404:Y404),""))</f>
        <v/>
      </c>
      <c r="D404" s="503" t="str">
        <f>IF(終値!A404="","",IFERROR(4*STDEVP(終値!G404:Z404)/AVERAGE(終値!G404:Z404),""))</f>
        <v/>
      </c>
      <c r="E404" s="503" t="str">
        <f>IF(終値!A404="","",IFERROR(4*STDEVP(終値!H404:AA404)/AVERAGE(終値!H404:AA404),""))</f>
        <v/>
      </c>
      <c r="F404" s="503" t="str">
        <f>IF(終値!A404="","",IFERROR(4*STDEVP(終値!I404:AB404)/AVERAGE(終値!I404:AB404),""))</f>
        <v/>
      </c>
      <c r="G404" s="503" t="str">
        <f>IF(終値!A404="","",IFERROR(4*STDEVP(終値!J404:AC404)/AVERAGE(終値!J404:AC404),""))</f>
        <v/>
      </c>
      <c r="H404" s="503" t="str">
        <f>IF(終値!A404="","",IFERROR(4*STDEVP(終値!K404:AD404)/AVERAGE(終値!K404:AD404),""))</f>
        <v/>
      </c>
      <c r="I404" s="503" t="str">
        <f>IF(終値!A404="","",IFERROR(4*STDEVP(終値!L404:AE404)/AVERAGE(終値!L404:AE404),""))</f>
        <v/>
      </c>
      <c r="J404" s="503" t="str">
        <f>IF(終値!A404="","",IFERROR(4*STDEVP(終値!M404:AF404)/AVERAGE(終値!M404:AF404),""))</f>
        <v/>
      </c>
      <c r="K404" s="503" t="str">
        <f>IF(終値!A404="","",IFERROR(4*STDEVP(終値!N404:AG404)/AVERAGE(終値!N404:AG404),""))</f>
        <v/>
      </c>
      <c r="L404" s="503" t="str">
        <f>IF(終値!A404="","",IFERROR(4*STDEVP(終値!O404:AH404)/AVERAGE(終値!O404:AH404),""))</f>
        <v/>
      </c>
      <c r="M404" s="503" t="str">
        <f>IF(終値!A404="","",IFERROR(4*STDEVP(終値!P404:AI404)/AVERAGE(終値!P404:AI404),""))</f>
        <v/>
      </c>
      <c r="N404" s="503" t="str">
        <f>IF(終値!A404="","",IFERROR(4*STDEVP(終値!Q404:AJ404)/AVERAGE(終値!Q404:AJ404),""))</f>
        <v/>
      </c>
      <c r="O404" s="503" t="str">
        <f>IF(終値!A404="","",IFERROR(4*STDEVP(終値!R404:AK404)/AVERAGE(終値!R404:AK404),""))</f>
        <v/>
      </c>
      <c r="P404" s="503" t="str">
        <f>IF(終値!A404="","",IFERROR(4*STDEVP(終値!S404:AL404)/AVERAGE(終値!S404:AL404),""))</f>
        <v/>
      </c>
      <c r="Q404" s="503" t="str">
        <f>IF(終値!A404="","",IFERROR(4*STDEVP(終値!T404:AM404)/AVERAGE(終値!T404:AM404),""))</f>
        <v/>
      </c>
      <c r="R404" s="503" t="str">
        <f>IF(終値!A404="","",IFERROR(4*STDEVP(終値!U404:AN404)/AVERAGE(終値!U404:AN404),""))</f>
        <v/>
      </c>
      <c r="S404" s="503" t="str">
        <f>IF(終値!A404="","",IFERROR(4*STDEVP(終値!V404:AO404)/AVERAGE(終値!V404:AO404),""))</f>
        <v/>
      </c>
      <c r="T404" s="503" t="str">
        <f>IF(終値!A404="","",IFERROR(4*STDEVP(終値!W404:AP404)/AVERAGE(終値!W404:AP404),""))</f>
        <v/>
      </c>
      <c r="U404" s="503" t="str">
        <f>IF(終値!A404="","",IFERROR(4*STDEVP(終値!X404:AQ404)/AVERAGE(終値!X404:AQ404),""))</f>
        <v/>
      </c>
      <c r="V404" s="503" t="str">
        <f>IF(終値!A404="","",IFERROR(4*STDEVP(終値!Y404:AR404)/AVERAGE(終値!Y404:AR404),""))</f>
        <v/>
      </c>
      <c r="W404" s="503" t="str">
        <f>IF(終値!A404="","",IFERROR(4*STDEVP(終値!Z404:AS404)/AVERAGE(終値!Z404:AS404),""))</f>
        <v/>
      </c>
      <c r="X404" s="503" t="str">
        <f>IF(終値!A404="","",IFERROR(4*STDEVP(終値!AA404:AT404)/AVERAGE(終値!AA404:AT404),""))</f>
        <v/>
      </c>
      <c r="Y404" s="503" t="str">
        <f>IF(終値!A404="","",IFERROR(4*STDEVP(終値!AB404:AU404)/AVERAGE(終値!AB404:AU404),""))</f>
        <v/>
      </c>
      <c r="Z404" s="503" t="str">
        <f>IF(終値!A404="","",IFERROR(4*STDEVP(終値!AC404:AV404)/AVERAGE(終値!AC404:AV404),""))</f>
        <v/>
      </c>
      <c r="AA404" s="503" t="str">
        <f>IF(終値!A404="","",IFERROR(4*STDEVP(終値!AD404:AW404)/AVERAGE(終値!AD404:AW404),""))</f>
        <v/>
      </c>
      <c r="AB404" s="503" t="str">
        <f>IF(終値!A404="","",IFERROR(4*STDEVP(終値!AE404:AX404)/AVERAGE(終値!AE404:AX404),""))</f>
        <v/>
      </c>
      <c r="AC404" s="503" t="str">
        <f>IF(終値!A404="","",IFERROR(4*STDEVP(終値!AF404:AY404)/AVERAGE(終値!AF404:AY404),""))</f>
        <v/>
      </c>
      <c r="AD404" s="503" t="str">
        <f>IF(終値!A404="","",IFERROR(4*STDEVP(終値!AG404:AZ404)/AVERAGE(終値!AG404:AZ404),""))</f>
        <v/>
      </c>
      <c r="AE404" s="503" t="str">
        <f>IF(終値!A404="","",IFERROR(4*STDEVP(終値!AH404:BA404)/AVERAGE(終値!AH404:BA404),""))</f>
        <v/>
      </c>
      <c r="AF404" s="503" t="str">
        <f>IF(終値!A404="","",IFERROR(4*STDEVP(終値!AI404:BB404)/AVERAGE(終値!AI404:BB404),""))</f>
        <v/>
      </c>
      <c r="AG404" s="503" t="str">
        <f>IF(終値!A404="","",IFERROR(4*STDEVP(終値!AJ404:BC404)/AVERAGE(終値!AJ404:BC404),""))</f>
        <v/>
      </c>
      <c r="AH404" s="503" t="str">
        <f>IF(終値!A404="","",IFERROR(4*STDEVP(終値!AK404:BD404)/AVERAGE(終値!AK404:BD404),""))</f>
        <v/>
      </c>
      <c r="AI404" s="503" t="str">
        <f>IF(終値!A404="","",IFERROR(4*STDEVP(終値!AL404:BE404)/AVERAGE(終値!AL404:BE404),""))</f>
        <v/>
      </c>
      <c r="AJ404" s="503" t="str">
        <f>IF(終値!A404="","",IFERROR(4*STDEVP(終値!AM404:BF404)/AVERAGE(終値!AM404:BF404),""))</f>
        <v/>
      </c>
      <c r="AK404" s="503" t="str">
        <f>IF(終値!A404="","",IFERROR(4*STDEVP(終値!AN404:BG404)/AVERAGE(終値!AN404:BG404),""))</f>
        <v/>
      </c>
      <c r="AL404" s="503" t="str">
        <f>IF(終値!A404="","",IFERROR(4*STDEVP(終値!AO404:BH404)/AVERAGE(終値!AO404:BH404),""))</f>
        <v/>
      </c>
      <c r="AM404" s="503" t="str">
        <f>IF(終値!A404="","",IFERROR(4*STDEVP(終値!AP404:BI404)/AVERAGE(終値!AP404:BI404),""))</f>
        <v/>
      </c>
      <c r="AN404" s="503" t="str">
        <f>IF(終値!A404="","",IFERROR(4*STDEVP(終値!AQ404:BJ404)/AVERAGE(終値!AQ404:BJ404),""))</f>
        <v/>
      </c>
      <c r="AO404" s="503" t="str">
        <f>IF(終値!A404="","",IFERROR(4*STDEVP(終値!AR404:BK404)/AVERAGE(終値!AR404:BK404),""))</f>
        <v/>
      </c>
      <c r="AP404" s="503" t="str">
        <f>IF(終値!A404="","",IFERROR(4*STDEVP(終値!AS404:BL404)/AVERAGE(終値!AS404:BL404),""))</f>
        <v/>
      </c>
    </row>
    <row r="405" spans="1:42">
      <c r="A405" s="500" t="str">
        <f>IF(終値!A405="","",終値!A405)</f>
        <v/>
      </c>
      <c r="B405" s="503" t="str">
        <f>IF(終値!A405="","",IFERROR(4*STDEVP(終値!E405:X405)/AVERAGE(終値!E405:X405),""))</f>
        <v/>
      </c>
      <c r="C405" s="503" t="str">
        <f>IF(終値!A405="","",IFERROR(4*STDEVP(終値!F405:Y405)/AVERAGE(終値!F405:Y405),""))</f>
        <v/>
      </c>
      <c r="D405" s="503" t="str">
        <f>IF(終値!A405="","",IFERROR(4*STDEVP(終値!G405:Z405)/AVERAGE(終値!G405:Z405),""))</f>
        <v/>
      </c>
      <c r="E405" s="503" t="str">
        <f>IF(終値!A405="","",IFERROR(4*STDEVP(終値!H405:AA405)/AVERAGE(終値!H405:AA405),""))</f>
        <v/>
      </c>
      <c r="F405" s="503" t="str">
        <f>IF(終値!A405="","",IFERROR(4*STDEVP(終値!I405:AB405)/AVERAGE(終値!I405:AB405),""))</f>
        <v/>
      </c>
      <c r="G405" s="503" t="str">
        <f>IF(終値!A405="","",IFERROR(4*STDEVP(終値!J405:AC405)/AVERAGE(終値!J405:AC405),""))</f>
        <v/>
      </c>
      <c r="H405" s="503" t="str">
        <f>IF(終値!A405="","",IFERROR(4*STDEVP(終値!K405:AD405)/AVERAGE(終値!K405:AD405),""))</f>
        <v/>
      </c>
      <c r="I405" s="503" t="str">
        <f>IF(終値!A405="","",IFERROR(4*STDEVP(終値!L405:AE405)/AVERAGE(終値!L405:AE405),""))</f>
        <v/>
      </c>
      <c r="J405" s="503" t="str">
        <f>IF(終値!A405="","",IFERROR(4*STDEVP(終値!M405:AF405)/AVERAGE(終値!M405:AF405),""))</f>
        <v/>
      </c>
      <c r="K405" s="503" t="str">
        <f>IF(終値!A405="","",IFERROR(4*STDEVP(終値!N405:AG405)/AVERAGE(終値!N405:AG405),""))</f>
        <v/>
      </c>
      <c r="L405" s="503" t="str">
        <f>IF(終値!A405="","",IFERROR(4*STDEVP(終値!O405:AH405)/AVERAGE(終値!O405:AH405),""))</f>
        <v/>
      </c>
      <c r="M405" s="503" t="str">
        <f>IF(終値!A405="","",IFERROR(4*STDEVP(終値!P405:AI405)/AVERAGE(終値!P405:AI405),""))</f>
        <v/>
      </c>
      <c r="N405" s="503" t="str">
        <f>IF(終値!A405="","",IFERROR(4*STDEVP(終値!Q405:AJ405)/AVERAGE(終値!Q405:AJ405),""))</f>
        <v/>
      </c>
      <c r="O405" s="503" t="str">
        <f>IF(終値!A405="","",IFERROR(4*STDEVP(終値!R405:AK405)/AVERAGE(終値!R405:AK405),""))</f>
        <v/>
      </c>
      <c r="P405" s="503" t="str">
        <f>IF(終値!A405="","",IFERROR(4*STDEVP(終値!S405:AL405)/AVERAGE(終値!S405:AL405),""))</f>
        <v/>
      </c>
      <c r="Q405" s="503" t="str">
        <f>IF(終値!A405="","",IFERROR(4*STDEVP(終値!T405:AM405)/AVERAGE(終値!T405:AM405),""))</f>
        <v/>
      </c>
      <c r="R405" s="503" t="str">
        <f>IF(終値!A405="","",IFERROR(4*STDEVP(終値!U405:AN405)/AVERAGE(終値!U405:AN405),""))</f>
        <v/>
      </c>
      <c r="S405" s="503" t="str">
        <f>IF(終値!A405="","",IFERROR(4*STDEVP(終値!V405:AO405)/AVERAGE(終値!V405:AO405),""))</f>
        <v/>
      </c>
      <c r="T405" s="503" t="str">
        <f>IF(終値!A405="","",IFERROR(4*STDEVP(終値!W405:AP405)/AVERAGE(終値!W405:AP405),""))</f>
        <v/>
      </c>
      <c r="U405" s="503" t="str">
        <f>IF(終値!A405="","",IFERROR(4*STDEVP(終値!X405:AQ405)/AVERAGE(終値!X405:AQ405),""))</f>
        <v/>
      </c>
      <c r="V405" s="503" t="str">
        <f>IF(終値!A405="","",IFERROR(4*STDEVP(終値!Y405:AR405)/AVERAGE(終値!Y405:AR405),""))</f>
        <v/>
      </c>
      <c r="W405" s="503" t="str">
        <f>IF(終値!A405="","",IFERROR(4*STDEVP(終値!Z405:AS405)/AVERAGE(終値!Z405:AS405),""))</f>
        <v/>
      </c>
      <c r="X405" s="503" t="str">
        <f>IF(終値!A405="","",IFERROR(4*STDEVP(終値!AA405:AT405)/AVERAGE(終値!AA405:AT405),""))</f>
        <v/>
      </c>
      <c r="Y405" s="503" t="str">
        <f>IF(終値!A405="","",IFERROR(4*STDEVP(終値!AB405:AU405)/AVERAGE(終値!AB405:AU405),""))</f>
        <v/>
      </c>
      <c r="Z405" s="503" t="str">
        <f>IF(終値!A405="","",IFERROR(4*STDEVP(終値!AC405:AV405)/AVERAGE(終値!AC405:AV405),""))</f>
        <v/>
      </c>
      <c r="AA405" s="503" t="str">
        <f>IF(終値!A405="","",IFERROR(4*STDEVP(終値!AD405:AW405)/AVERAGE(終値!AD405:AW405),""))</f>
        <v/>
      </c>
      <c r="AB405" s="503" t="str">
        <f>IF(終値!A405="","",IFERROR(4*STDEVP(終値!AE405:AX405)/AVERAGE(終値!AE405:AX405),""))</f>
        <v/>
      </c>
      <c r="AC405" s="503" t="str">
        <f>IF(終値!A405="","",IFERROR(4*STDEVP(終値!AF405:AY405)/AVERAGE(終値!AF405:AY405),""))</f>
        <v/>
      </c>
      <c r="AD405" s="503" t="str">
        <f>IF(終値!A405="","",IFERROR(4*STDEVP(終値!AG405:AZ405)/AVERAGE(終値!AG405:AZ405),""))</f>
        <v/>
      </c>
      <c r="AE405" s="503" t="str">
        <f>IF(終値!A405="","",IFERROR(4*STDEVP(終値!AH405:BA405)/AVERAGE(終値!AH405:BA405),""))</f>
        <v/>
      </c>
      <c r="AF405" s="503" t="str">
        <f>IF(終値!A405="","",IFERROR(4*STDEVP(終値!AI405:BB405)/AVERAGE(終値!AI405:BB405),""))</f>
        <v/>
      </c>
      <c r="AG405" s="503" t="str">
        <f>IF(終値!A405="","",IFERROR(4*STDEVP(終値!AJ405:BC405)/AVERAGE(終値!AJ405:BC405),""))</f>
        <v/>
      </c>
      <c r="AH405" s="503" t="str">
        <f>IF(終値!A405="","",IFERROR(4*STDEVP(終値!AK405:BD405)/AVERAGE(終値!AK405:BD405),""))</f>
        <v/>
      </c>
      <c r="AI405" s="503" t="str">
        <f>IF(終値!A405="","",IFERROR(4*STDEVP(終値!AL405:BE405)/AVERAGE(終値!AL405:BE405),""))</f>
        <v/>
      </c>
      <c r="AJ405" s="503" t="str">
        <f>IF(終値!A405="","",IFERROR(4*STDEVP(終値!AM405:BF405)/AVERAGE(終値!AM405:BF405),""))</f>
        <v/>
      </c>
      <c r="AK405" s="503" t="str">
        <f>IF(終値!A405="","",IFERROR(4*STDEVP(終値!AN405:BG405)/AVERAGE(終値!AN405:BG405),""))</f>
        <v/>
      </c>
      <c r="AL405" s="503" t="str">
        <f>IF(終値!A405="","",IFERROR(4*STDEVP(終値!AO405:BH405)/AVERAGE(終値!AO405:BH405),""))</f>
        <v/>
      </c>
      <c r="AM405" s="503" t="str">
        <f>IF(終値!A405="","",IFERROR(4*STDEVP(終値!AP405:BI405)/AVERAGE(終値!AP405:BI405),""))</f>
        <v/>
      </c>
      <c r="AN405" s="503" t="str">
        <f>IF(終値!A405="","",IFERROR(4*STDEVP(終値!AQ405:BJ405)/AVERAGE(終値!AQ405:BJ405),""))</f>
        <v/>
      </c>
      <c r="AO405" s="503" t="str">
        <f>IF(終値!A405="","",IFERROR(4*STDEVP(終値!AR405:BK405)/AVERAGE(終値!AR405:BK405),""))</f>
        <v/>
      </c>
      <c r="AP405" s="503"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93" t="s">
        <v>1170</v>
      </c>
      <c r="B1" s="755"/>
      <c r="C1" s="755"/>
      <c r="D1" s="755"/>
      <c r="E1" s="755"/>
      <c r="F1" s="755"/>
      <c r="G1" s="755"/>
      <c r="H1" s="755"/>
    </row>
    <row r="3" spans="1:72" ht="54">
      <c r="A3" s="498" t="s">
        <v>1171</v>
      </c>
      <c r="AC3" s="498" t="s">
        <v>1172</v>
      </c>
    </row>
    <row r="6" spans="1:72">
      <c r="B6" s="503" t="str">
        <f>IF(終値!A6="","",IF(AND(安値!G6&lt;安値!F6,安値!G6&lt;安値!E6,安値!G6&lt;安値!H6,安値!G6&lt;安値!I6),2,""))</f>
        <v/>
      </c>
      <c r="C6" s="503" t="str">
        <f>IF(終値!A6="","",IF(AND(安値!H6&lt;安値!G6,安値!H6&lt;安値!F6,安値!H6&lt;安値!I6,安値!H6&lt;安値!J6),3,""))</f>
        <v/>
      </c>
      <c r="D6" s="503" t="str">
        <f>IF(終値!A6="","",IF(AND(安値!I6&lt;安値!H6,安値!I6&lt;安値!G6,安値!I6&lt;安値!J6,安値!I6&lt;安値!K6),4,""))</f>
        <v/>
      </c>
      <c r="E6" s="503" t="str">
        <f>IF(終値!A6="","",IF(AND(安値!J6&lt;安値!I6,安値!J6&lt;安値!H6,安値!J6&lt;安値!K6,安値!J6&lt;安値!L6),5,""))</f>
        <v/>
      </c>
      <c r="F6" s="503">
        <f>IF(終値!A6="","",IF(AND(安値!K6&lt;安値!J6,安値!K6&lt;安値!I6,安値!K6&lt;安値!L6,安値!K6&lt;安値!M6),6,""))</f>
        <v>6</v>
      </c>
      <c r="G6" s="503" t="str">
        <f>IF(終値!A6="","",IF(AND(安値!L6&lt;安値!K6,安値!L6&lt;安値!J6,安値!L6&lt;安値!M6,安値!L6&lt;安値!N6),7,""))</f>
        <v/>
      </c>
      <c r="H6" s="503" t="str">
        <f>IF(終値!A6="","",IF(AND(安値!M6&lt;安値!L6,安値!M6&lt;安値!K6,安値!M6&lt;安値!N6,安値!M6&lt;安値!O6),8,""))</f>
        <v/>
      </c>
      <c r="I6" s="503" t="str">
        <f>IF(終値!A6="","",IF(AND(安値!N6&lt;安値!M6,安値!N6&lt;安値!L6,安値!N6&lt;安値!O6,安値!N6&lt;安値!P6),9,""))</f>
        <v/>
      </c>
      <c r="J6" s="503" t="str">
        <f>IF(終値!A6="","",IF(AND(安値!O6&lt;安値!N6,安値!O6&lt;安値!M6,安値!O6&lt;安値!P6,安値!O6&lt;安値!Q6),10,""))</f>
        <v/>
      </c>
      <c r="K6" s="503" t="str">
        <f>IF(終値!A6="","",IF(AND(安値!P6&lt;安値!O6,安値!P6&lt;安値!N6,安値!P6&lt;安値!Q6,安値!P6&lt;安値!R6),11,""))</f>
        <v/>
      </c>
      <c r="L6" s="503" t="str">
        <f>IF(終値!A6="","",IF(AND(安値!Q6&lt;安値!P6,安値!Q6&lt;安値!O6,安値!Q6&lt;安値!R6,安値!Q6&lt;安値!S6),12,""))</f>
        <v/>
      </c>
      <c r="M6" s="503">
        <f>IF(終値!A6="","",IF(AND(安値!R6&lt;安値!Q6,安値!R6&lt;安値!P6,安値!R6&lt;安値!S6,安値!R6&lt;安値!T6),13,""))</f>
        <v>13</v>
      </c>
      <c r="N6" s="503" t="str">
        <f>IF(終値!A6="","",IF(AND(安値!S6&lt;安値!R6,安値!S6&lt;安値!Q6,安値!S6&lt;安値!T6,安値!S6&lt;安値!U6),14,""))</f>
        <v/>
      </c>
      <c r="O6" s="503" t="str">
        <f>IF(終値!A6="","",IF(AND(安値!T6&lt;安値!S6,安値!T6&lt;安値!R6,安値!T6&lt;安値!U6,安値!T6&lt;安値!V6),15,""))</f>
        <v/>
      </c>
      <c r="P6" s="503" t="str">
        <f>IF(終値!A6="","",IF(AND(安値!U6&lt;安値!T6,安値!U6&lt;安値!S6,安値!U6&lt;安値!V6,安値!U6&lt;安値!W6),16,""))</f>
        <v/>
      </c>
      <c r="Q6" s="503" t="str">
        <f>IF(終値!A6="","",IF(AND(安値!V6&lt;安値!U6,安値!V6&lt;安値!T6,安値!V6&lt;安値!W6,安値!V6&lt;安値!X6),17,""))</f>
        <v/>
      </c>
      <c r="R6" s="503" t="str">
        <f>IF(終値!A6="","",IF(AND(安値!W6&lt;安値!V6,安値!W6&lt;安値!U6,安値!W6&lt;安値!X6,安値!W6&lt;安値!Y6),18,""))</f>
        <v/>
      </c>
      <c r="S6" s="503">
        <f>IF(終値!A6="","",IF(AND(安値!X6&lt;安値!W6,安値!X6&lt;安値!V6,安値!X6&lt;安値!Y6,安値!X6&lt;安値!Z6),19,""))</f>
        <v>19</v>
      </c>
      <c r="T6" s="503" t="str">
        <f>IF(終値!A6="","",IF(AND(安値!Y6&lt;安値!X6,安値!Y6&lt;安値!W6,安値!Y6&lt;安値!Z6,安値!Y6&lt;安値!AA6),20,""))</f>
        <v/>
      </c>
      <c r="U6" s="503" t="str">
        <f>IF(終値!A6="","",IF(AND(安値!Z6&lt;安値!Y6,安値!Z6&lt;安値!X6,安値!Z6&lt;安値!AA6,安値!Z6&lt;安値!AB6),21,""))</f>
        <v/>
      </c>
      <c r="V6" s="503" t="str">
        <f>IF(終値!A6="","",IF(AND(安値!AA6&lt;安値!Z6,安値!AA6&lt;安値!Y6,安値!AA6&lt;安値!AB6,安値!AA6&lt;安値!AC6),22,""))</f>
        <v/>
      </c>
      <c r="W6" s="503" t="str">
        <f>IF(終値!A6="","",IF(AND(安値!AB6&lt;安値!AA6,安値!AB6&lt;安値!Z6,安値!AB6&lt;安値!AC6,安値!AB6&lt;安値!AD6),23,""))</f>
        <v/>
      </c>
      <c r="X6" s="503" t="str">
        <f>IF(終値!A6="","",IF(AND(安値!AC6&lt;安値!AB6,安値!AC6&lt;安値!AA6,安値!AC6&lt;安値!AD6,安値!AC6&lt;安値!AE6),24,""))</f>
        <v/>
      </c>
      <c r="Y6" s="503" t="str">
        <f>IF(終値!A6="","",IF(AND(安値!AD6&lt;安値!AC6,安値!AD6&lt;安値!AB6,安値!AD6&lt;安値!AE6,安値!AD6&lt;安値!AF6),25,""))</f>
        <v/>
      </c>
      <c r="Z6" s="503">
        <f>IF(終値!A6="","",IF(AND(安値!AE6&lt;安値!AD6,安値!AE6&lt;安値!AC6,安値!AE6&lt;安値!AF6,安値!AE6&lt;安値!AG6),26,""))</f>
        <v>26</v>
      </c>
      <c r="AA6" s="503" t="str">
        <f>IF(終値!A6="","",IF(AND(安値!AF6&lt;安値!AE6,安値!AF6&lt;安値!AD6,安値!AF6&lt;安値!AG6,安値!AF6&lt;安値!AH6),27,""))</f>
        <v/>
      </c>
      <c r="AB6" s="503" t="str">
        <f>IF(終値!A6="","",IF(AND(安値!AG6&lt;安値!AF6,安値!AG6&lt;安値!AE6,安値!AG6&lt;安値!AH6,安値!AG6&lt;安値!AI6),28,""))</f>
        <v/>
      </c>
      <c r="AC6" s="503" t="str">
        <f>IF(終値!A6="","",IF(AND(高値!G6&gt;高値!F6,高値!G6&gt;高値!E6,高値!G6&gt;高値!H6,高値!G6&gt;高値!I6),2,""))</f>
        <v/>
      </c>
      <c r="AD6" s="503" t="str">
        <f>IF(終値!A6="","",IF(AND(高値!H6&gt;高値!G6,高値!H6&gt;高値!F6,高値!H6&gt;高値!I6,高値!H6&gt;高値!J6),3,""))</f>
        <v/>
      </c>
      <c r="AE6" s="503" t="str">
        <f>IF(終値!A6="","",IF(AND(高値!I6&gt;高値!H6,高値!I6&gt;高値!G6,高値!I6&gt;高値!J6,高値!I6&gt;高値!K6),4,""))</f>
        <v/>
      </c>
      <c r="AF6" s="503" t="str">
        <f>IF(終値!A6="","",IF(AND(高値!J6&gt;高値!I6,高値!J6&gt;高値!H6,高値!J6&gt;高値!K6,高値!J6&gt;高値!L6),5,""))</f>
        <v/>
      </c>
      <c r="AG6" s="503" t="str">
        <f>IF(終値!A6="","",IF(AND(高値!K6&gt;高値!J6,高値!K6&gt;高値!I6,高値!K6&gt;高値!L6,高値!K6&gt;高値!M6),6,""))</f>
        <v/>
      </c>
      <c r="AH6" s="503" t="str">
        <f>IF(終値!A6="","",IF(AND(高値!L6&gt;高値!K6,高値!L6&gt;高値!J6,高値!L6&gt;高値!M6,高値!L6&gt;高値!N6),7,""))</f>
        <v/>
      </c>
      <c r="AI6" s="503" t="str">
        <f>IF(終値!A6="","",IF(AND(高値!M6&gt;高値!L6,高値!M6&gt;高値!K6,高値!M6&gt;高値!N6,高値!M6&gt;高値!O6),8,""))</f>
        <v/>
      </c>
      <c r="AJ6" s="503" t="str">
        <f>IF(終値!A6="","",IF(AND(高値!N6&gt;高値!M6,高値!N6&gt;高値!L6,高値!N6&gt;高値!O6,高値!N6&gt;高値!P6),9,""))</f>
        <v/>
      </c>
      <c r="AK6" s="503" t="str">
        <f>IF(終値!A6="","",IF(AND(高値!O6&gt;高値!N6,高値!O6&gt;高値!M6,高値!O6&gt;高値!P6,高値!O6&gt;高値!Q6),10,""))</f>
        <v/>
      </c>
      <c r="AL6" s="503">
        <f>IF(終値!A6="","",IF(AND(高値!P6&gt;高値!O6,高値!P6&gt;高値!N6,高値!P6&gt;高値!Q6,高値!P6&gt;高値!R6),11,""))</f>
        <v>11</v>
      </c>
      <c r="AM6" s="503" t="str">
        <f>IF(終値!A6="","",IF(AND(高値!Q6&gt;高値!P6,高値!Q6&gt;高値!O6,高値!Q6&gt;高値!R6,高値!Q6&gt;高値!S6),12,""))</f>
        <v/>
      </c>
      <c r="AN6" s="503" t="str">
        <f>IF(終値!A6="","",IF(AND(高値!R6&gt;高値!Q6,高値!R6&gt;高値!P6,高値!R6&gt;高値!S6,高値!R6&gt;高値!T6),13,""))</f>
        <v/>
      </c>
      <c r="AO6" s="503" t="str">
        <f>IF(終値!A6="","",IF(AND(高値!S6&gt;高値!R6,高値!S6&gt;高値!Q6,高値!S6&gt;高値!T6,高値!S6&gt;高値!U6),14,""))</f>
        <v/>
      </c>
      <c r="AP6" s="503" t="str">
        <f>IF(終値!A6="","",IF(AND(高値!T6&gt;高値!S6,高値!T6&gt;高値!R6,高値!T6&gt;高値!U6,高値!T6&gt;高値!V6),15,""))</f>
        <v/>
      </c>
      <c r="AQ6" s="503" t="str">
        <f>IF(終値!A6="","",IF(AND(高値!U6&gt;高値!T6,高値!U6&gt;高値!S6,高値!U6&gt;高値!V6,高値!U6&gt;高値!W6),16,""))</f>
        <v/>
      </c>
      <c r="AR6" s="503">
        <f>IF(終値!A6="","",IF(AND(高値!V6&gt;高値!U6,高値!V6&gt;高値!T6,高値!V6&gt;高値!W6,高値!V6&gt;高値!X6),17,""))</f>
        <v>17</v>
      </c>
      <c r="AS6" s="503" t="str">
        <f>IF(終値!A6="","",IF(AND(高値!W6&gt;高値!V6,高値!W6&gt;高値!U6,高値!W6&gt;高値!X6,高値!W6&gt;高値!Y6),18,""))</f>
        <v/>
      </c>
      <c r="AT6" s="503" t="str">
        <f>IF(終値!A6="","",IF(AND(高値!X6&gt;高値!W6,高値!X6&gt;高値!V6,高値!X6&gt;高値!Y6,高値!X6&gt;高値!Z6),19,""))</f>
        <v/>
      </c>
      <c r="AU6" s="503" t="str">
        <f>IF(終値!A6="","",IF(AND(高値!Y6&gt;高値!X6,高値!Y6&gt;高値!W6,高値!Y6&gt;高値!Z6,高値!Y6&gt;高値!AA6),20,""))</f>
        <v/>
      </c>
      <c r="AV6" s="503" t="str">
        <f>IF(終値!A6="","",IF(AND(高値!Z6&gt;高値!Y6,高値!Z6&gt;高値!X6,高値!Z6&gt;高値!AA6,高値!Z6&gt;高値!AB6),21,""))</f>
        <v/>
      </c>
      <c r="AW6" s="503" t="str">
        <f>IF(終値!A6="","",IF(AND(高値!AA6&gt;高値!Z6,高値!AA6&gt;高値!Y6,高値!AA6&gt;高値!AB6,高値!AA6&gt;高値!AC6),22,""))</f>
        <v/>
      </c>
      <c r="AX6" s="503" t="str">
        <f>IF(終値!A6="","",IF(AND(高値!AB6&gt;高値!AA6,高値!AB6&gt;高値!Z6,高値!AB6&gt;高値!AC6,高値!AB6&gt;高値!AD6),23,""))</f>
        <v/>
      </c>
      <c r="AY6" s="503">
        <f>IF(終値!A6="","",IF(AND(高値!AC6&gt;高値!AB6,高値!AC6&gt;高値!AA6,高値!AC6&gt;高値!AD6,高値!AC6&gt;高値!AE6),24,""))</f>
        <v>24</v>
      </c>
      <c r="AZ6" s="503" t="str">
        <f>IF(終値!A6="","",IF(AND(高値!AD6&gt;高値!AC6,高値!AD6&gt;高値!AB6,高値!AD6&gt;高値!AE6,高値!AD6&gt;高値!AF6),25,""))</f>
        <v/>
      </c>
      <c r="BA6" s="503" t="str">
        <f>IF(終値!A6="","",IF(AND(高値!AE6&gt;高値!AD6,高値!AE6&gt;高値!AC6,高値!AE6&gt;高値!AF6,高値!AE6&gt;高値!AG6),26,""))</f>
        <v/>
      </c>
      <c r="BB6" s="503" t="str">
        <f>IF(終値!A6="","",IF(AND(高値!AF6&gt;高値!AE6,高値!AF6&gt;高値!AD6,高値!AF6&gt;高値!AG6,高値!AF6&gt;高値!AH6),27,""))</f>
        <v/>
      </c>
      <c r="BC6" s="503" t="str">
        <f>IF(終値!A6="","",IF(AND(高値!AG6&gt;高値!AF6,高値!AG6&gt;高値!AE6,高値!AG6&gt;高値!AH6,高値!AG6&gt;高値!AI6),28,""))</f>
        <v/>
      </c>
      <c r="BD6" s="503">
        <f t="shared" ref="BD6:BD69" si="0">COUNT($B6:$AB6)</f>
        <v>4</v>
      </c>
      <c r="BE6" s="503">
        <f t="shared" ref="BE6:BE69" si="1">IF($BD6&gt;=2,MIN($B6:$AB6),"")</f>
        <v>6</v>
      </c>
      <c r="BF6" s="503">
        <f t="shared" ref="BF6:BF69" si="2">IF($BD6&gt;=2,SMALL($B6:$AB6,2),"")</f>
        <v>13</v>
      </c>
      <c r="BG6" s="503">
        <f>IF($BE6="","",INDEX(安値!$E6:$CZ6,1,$BE6+1))</f>
        <v>24780</v>
      </c>
      <c r="BH6" s="503">
        <f>IF($BF6="","",INDEX(安値!$E6:$CZ6,1,$BF6+1))</f>
        <v>28595</v>
      </c>
      <c r="BI6" s="503">
        <f>IF($BF6="","",MAX(INDEX(高値!$E6:$CZ6,1,$BE6+1):INDEX(高値!$E6:$CZ6,1,$BF6+1)))</f>
        <v>35290</v>
      </c>
      <c r="BJ6" s="503">
        <f>IF($BF6="","",AVERAGE(INDEX(終値!$E6:$CZ6,1,$BF6+1):INDEX(終値!$E6:$CZ6,1,$BF6+20))-2*STDEVP(INDEX(終値!$E6:$CZ6,1,$BF6+1):INDEX(終値!$E6:$CZ6,1,$BF6+20)))</f>
        <v>28465.569295270259</v>
      </c>
      <c r="BK6" s="503">
        <f>IF($BE6="","",AVERAGE(INDEX(終値!$E6:$CZ6,1,$BE6+1):INDEX(終値!$E6:$CZ6,1,$BE6+20))-2*STDEVP(INDEX(終値!$E6:$CZ6,1,$BE6+1):INDEX(終値!$E6:$CZ6,1,$BE6+20)))</f>
        <v>26121.793698038735</v>
      </c>
      <c r="BL6" s="503">
        <f t="shared" ref="BL6:BL69" si="3">COUNT($AC6:$BC6)</f>
        <v>3</v>
      </c>
      <c r="BM6" s="503">
        <f t="shared" ref="BM6:BM69" si="4">IF($BL6&gt;=2,MIN($AC6:$BC6),"")</f>
        <v>11</v>
      </c>
      <c r="BN6" s="503">
        <f t="shared" ref="BN6:BN69" si="5">IF($BL6&gt;=2,SMALL($AC6:$BC6,2),"")</f>
        <v>17</v>
      </c>
      <c r="BO6" s="503">
        <f>IF($BM6="","",INDEX(高値!$E6:$CZ6,1,$BM6+1))</f>
        <v>35290</v>
      </c>
      <c r="BP6" s="503">
        <f>IF($BN6="","",INDEX(高値!$E6:$CZ6,1,$BN6+1))</f>
        <v>37640</v>
      </c>
      <c r="BQ6" s="503">
        <f>IF($BN6="","",MIN(INDEX(安値!$E6:$CZ6,1,$BM6+1):INDEX(安値!$E6:$CZ6,1,$BN6+1)))</f>
        <v>28595</v>
      </c>
      <c r="BR6" s="503">
        <f>IF($BN6="","",AVERAGE(INDEX(終値!$E6:$CZ6,1,$BN6+1):INDEX(終値!$E6:$CZ6,1,$BN6+20))+2*STDEVP(INDEX(終値!$E6:$CZ6,1,$BN6+1):INDEX(終値!$E6:$CZ6,1,$BN6+20)))</f>
        <v>53304.460463884978</v>
      </c>
      <c r="BS6" s="503">
        <f>IF($BM6="","",AVERAGE(INDEX(終値!$E6:$CZ6,1,$BM6+1):INDEX(終値!$E6:$CZ6,1,$BM6+20))+2*STDEVP(INDEX(終値!$E6:$CZ6,1,$BM6+1):INDEX(終値!$E6:$CZ6,1,$BM6+20)))</f>
        <v>47964.159122193334</v>
      </c>
      <c r="BT6" s="500"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3">
        <f>IF(終値!A7="","",IF(AND(安値!G7&lt;安値!F7,安値!G7&lt;安値!E7,安値!G7&lt;安値!H7,安値!G7&lt;安値!I7),2,""))</f>
        <v>2</v>
      </c>
      <c r="C7" s="503" t="str">
        <f>IF(終値!A7="","",IF(AND(安値!H7&lt;安値!G7,安値!H7&lt;安値!F7,安値!H7&lt;安値!I7,安値!H7&lt;安値!J7),3,""))</f>
        <v/>
      </c>
      <c r="D7" s="503" t="str">
        <f>IF(終値!A7="","",IF(AND(安値!I7&lt;安値!H7,安値!I7&lt;安値!G7,安値!I7&lt;安値!J7,安値!I7&lt;安値!K7),4,""))</f>
        <v/>
      </c>
      <c r="E7" s="503" t="str">
        <f>IF(終値!A7="","",IF(AND(安値!J7&lt;安値!I7,安値!J7&lt;安値!H7,安値!J7&lt;安値!K7,安値!J7&lt;安値!L7),5,""))</f>
        <v/>
      </c>
      <c r="F7" s="503" t="str">
        <f>IF(終値!A7="","",IF(AND(安値!K7&lt;安値!J7,安値!K7&lt;安値!I7,安値!K7&lt;安値!L7,安値!K7&lt;安値!M7),6,""))</f>
        <v/>
      </c>
      <c r="G7" s="503" t="str">
        <f>IF(終値!A7="","",IF(AND(安値!L7&lt;安値!K7,安値!L7&lt;安値!J7,安値!L7&lt;安値!M7,安値!L7&lt;安値!N7),7,""))</f>
        <v/>
      </c>
      <c r="H7" s="503" t="str">
        <f>IF(終値!A7="","",IF(AND(安値!M7&lt;安値!L7,安値!M7&lt;安値!K7,安値!M7&lt;安値!N7,安値!M7&lt;安値!O7),8,""))</f>
        <v/>
      </c>
      <c r="I7" s="503">
        <f>IF(終値!A7="","",IF(AND(安値!N7&lt;安値!M7,安値!N7&lt;安値!L7,安値!N7&lt;安値!O7,安値!N7&lt;安値!P7),9,""))</f>
        <v>9</v>
      </c>
      <c r="J7" s="503" t="str">
        <f>IF(終値!A7="","",IF(AND(安値!O7&lt;安値!N7,安値!O7&lt;安値!M7,安値!O7&lt;安値!P7,安値!O7&lt;安値!Q7),10,""))</f>
        <v/>
      </c>
      <c r="K7" s="503" t="str">
        <f>IF(終値!A7="","",IF(AND(安値!P7&lt;安値!O7,安値!P7&lt;安値!N7,安値!P7&lt;安値!Q7,安値!P7&lt;安値!R7),11,""))</f>
        <v/>
      </c>
      <c r="L7" s="503" t="str">
        <f>IF(終値!A7="","",IF(AND(安値!Q7&lt;安値!P7,安値!Q7&lt;安値!O7,安値!Q7&lt;安値!R7,安値!Q7&lt;安値!S7),12,""))</f>
        <v/>
      </c>
      <c r="M7" s="503">
        <f>IF(終値!A7="","",IF(AND(安値!R7&lt;安値!Q7,安値!R7&lt;安値!P7,安値!R7&lt;安値!S7,安値!R7&lt;安値!T7),13,""))</f>
        <v>13</v>
      </c>
      <c r="N7" s="503" t="str">
        <f>IF(終値!A7="","",IF(AND(安値!S7&lt;安値!R7,安値!S7&lt;安値!Q7,安値!S7&lt;安値!T7,安値!S7&lt;安値!U7),14,""))</f>
        <v/>
      </c>
      <c r="O7" s="503" t="str">
        <f>IF(終値!A7="","",IF(AND(安値!T7&lt;安値!S7,安値!T7&lt;安値!R7,安値!T7&lt;安値!U7,安値!T7&lt;安値!V7),15,""))</f>
        <v/>
      </c>
      <c r="P7" s="503" t="str">
        <f>IF(終値!A7="","",IF(AND(安値!U7&lt;安値!T7,安値!U7&lt;安値!S7,安値!U7&lt;安値!V7,安値!U7&lt;安値!W7),16,""))</f>
        <v/>
      </c>
      <c r="Q7" s="503" t="str">
        <f>IF(終値!A7="","",IF(AND(安値!V7&lt;安値!U7,安値!V7&lt;安値!T7,安値!V7&lt;安値!W7,安値!V7&lt;安値!X7),17,""))</f>
        <v/>
      </c>
      <c r="R7" s="503" t="str">
        <f>IF(終値!A7="","",IF(AND(安値!W7&lt;安値!V7,安値!W7&lt;安値!U7,安値!W7&lt;安値!X7,安値!W7&lt;安値!Y7),18,""))</f>
        <v/>
      </c>
      <c r="S7" s="503" t="str">
        <f>IF(終値!A7="","",IF(AND(安値!X7&lt;安値!W7,安値!X7&lt;安値!V7,安値!X7&lt;安値!Y7,安値!X7&lt;安値!Z7),19,""))</f>
        <v/>
      </c>
      <c r="T7" s="503" t="str">
        <f>IF(終値!A7="","",IF(AND(安値!Y7&lt;安値!X7,安値!Y7&lt;安値!W7,安値!Y7&lt;安値!Z7,安値!Y7&lt;安値!AA7),20,""))</f>
        <v/>
      </c>
      <c r="U7" s="503" t="str">
        <f>IF(終値!A7="","",IF(AND(安値!Z7&lt;安値!Y7,安値!Z7&lt;安値!X7,安値!Z7&lt;安値!AA7,安値!Z7&lt;安値!AB7),21,""))</f>
        <v/>
      </c>
      <c r="V7" s="503" t="str">
        <f>IF(終値!A7="","",IF(AND(安値!AA7&lt;安値!Z7,安値!AA7&lt;安値!Y7,安値!AA7&lt;安値!AB7,安値!AA7&lt;安値!AC7),22,""))</f>
        <v/>
      </c>
      <c r="W7" s="503" t="str">
        <f>IF(終値!A7="","",IF(AND(安値!AB7&lt;安値!AA7,安値!AB7&lt;安値!Z7,安値!AB7&lt;安値!AC7,安値!AB7&lt;安値!AD7),23,""))</f>
        <v/>
      </c>
      <c r="X7" s="503" t="str">
        <f>IF(終値!A7="","",IF(AND(安値!AC7&lt;安値!AB7,安値!AC7&lt;安値!AA7,安値!AC7&lt;安値!AD7,安値!AC7&lt;安値!AE7),24,""))</f>
        <v/>
      </c>
      <c r="Y7" s="503" t="str">
        <f>IF(終値!A7="","",IF(AND(安値!AD7&lt;安値!AC7,安値!AD7&lt;安値!AB7,安値!AD7&lt;安値!AE7,安値!AD7&lt;安値!AF7),25,""))</f>
        <v/>
      </c>
      <c r="Z7" s="503" t="str">
        <f>IF(終値!A7="","",IF(AND(安値!AE7&lt;安値!AD7,安値!AE7&lt;安値!AC7,安値!AE7&lt;安値!AF7,安値!AE7&lt;安値!AG7),26,""))</f>
        <v/>
      </c>
      <c r="AA7" s="503">
        <f>IF(終値!A7="","",IF(AND(安値!AF7&lt;安値!AE7,安値!AF7&lt;安値!AD7,安値!AF7&lt;安値!AG7,安値!AF7&lt;安値!AH7),27,""))</f>
        <v>27</v>
      </c>
      <c r="AB7" s="503" t="str">
        <f>IF(終値!A7="","",IF(AND(安値!AG7&lt;安値!AF7,安値!AG7&lt;安値!AE7,安値!AG7&lt;安値!AH7,安値!AG7&lt;安値!AI7),28,""))</f>
        <v/>
      </c>
      <c r="AC7" s="503" t="str">
        <f>IF(終値!A7="","",IF(AND(高値!G7&gt;高値!F7,高値!G7&gt;高値!E7,高値!G7&gt;高値!H7,高値!G7&gt;高値!I7),2,""))</f>
        <v/>
      </c>
      <c r="AD7" s="503" t="str">
        <f>IF(終値!A7="","",IF(AND(高値!H7&gt;高値!G7,高値!H7&gt;高値!F7,高値!H7&gt;高値!I7,高値!H7&gt;高値!J7),3,""))</f>
        <v/>
      </c>
      <c r="AE7" s="503" t="str">
        <f>IF(終値!A7="","",IF(AND(高値!I7&gt;高値!H7,高値!I7&gt;高値!G7,高値!I7&gt;高値!J7,高値!I7&gt;高値!K7),4,""))</f>
        <v/>
      </c>
      <c r="AF7" s="503" t="str">
        <f>IF(終値!A7="","",IF(AND(高値!J7&gt;高値!I7,高値!J7&gt;高値!H7,高値!J7&gt;高値!K7,高値!J7&gt;高値!L7),5,""))</f>
        <v/>
      </c>
      <c r="AG7" s="503">
        <f>IF(終値!A7="","",IF(AND(高値!K7&gt;高値!J7,高値!K7&gt;高値!I7,高値!K7&gt;高値!L7,高値!K7&gt;高値!M7),6,""))</f>
        <v>6</v>
      </c>
      <c r="AH7" s="503" t="str">
        <f>IF(終値!A7="","",IF(AND(高値!L7&gt;高値!K7,高値!L7&gt;高値!J7,高値!L7&gt;高値!M7,高値!L7&gt;高値!N7),7,""))</f>
        <v/>
      </c>
      <c r="AI7" s="503" t="str">
        <f>IF(終値!A7="","",IF(AND(高値!M7&gt;高値!L7,高値!M7&gt;高値!K7,高値!M7&gt;高値!N7,高値!M7&gt;高値!O7),8,""))</f>
        <v/>
      </c>
      <c r="AJ7" s="503" t="str">
        <f>IF(終値!A7="","",IF(AND(高値!N7&gt;高値!M7,高値!N7&gt;高値!L7,高値!N7&gt;高値!O7,高値!N7&gt;高値!P7),9,""))</f>
        <v/>
      </c>
      <c r="AK7" s="503" t="str">
        <f>IF(終値!A7="","",IF(AND(高値!O7&gt;高値!N7,高値!O7&gt;高値!M7,高値!O7&gt;高値!P7,高値!O7&gt;高値!Q7),10,""))</f>
        <v/>
      </c>
      <c r="AL7" s="503" t="str">
        <f>IF(終値!A7="","",IF(AND(高値!P7&gt;高値!O7,高値!P7&gt;高値!N7,高値!P7&gt;高値!Q7,高値!P7&gt;高値!R7),11,""))</f>
        <v/>
      </c>
      <c r="AM7" s="503" t="str">
        <f>IF(終値!A7="","",IF(AND(高値!Q7&gt;高値!P7,高値!Q7&gt;高値!O7,高値!Q7&gt;高値!R7,高値!Q7&gt;高値!S7),12,""))</f>
        <v/>
      </c>
      <c r="AN7" s="503" t="str">
        <f>IF(終値!A7="","",IF(AND(高値!R7&gt;高値!Q7,高値!R7&gt;高値!P7,高値!R7&gt;高値!S7,高値!R7&gt;高値!T7),13,""))</f>
        <v/>
      </c>
      <c r="AO7" s="503" t="str">
        <f>IF(終値!A7="","",IF(AND(高値!S7&gt;高値!R7,高値!S7&gt;高値!Q7,高値!S7&gt;高値!T7,高値!S7&gt;高値!U7),14,""))</f>
        <v/>
      </c>
      <c r="AP7" s="503" t="str">
        <f>IF(終値!A7="","",IF(AND(高値!T7&gt;高値!S7,高値!T7&gt;高値!R7,高値!T7&gt;高値!U7,高値!T7&gt;高値!V7),15,""))</f>
        <v/>
      </c>
      <c r="AQ7" s="503" t="str">
        <f>IF(終値!A7="","",IF(AND(高値!U7&gt;高値!T7,高値!U7&gt;高値!S7,高値!U7&gt;高値!V7,高値!U7&gt;高値!W7),16,""))</f>
        <v/>
      </c>
      <c r="AR7" s="503" t="str">
        <f>IF(終値!A7="","",IF(AND(高値!V7&gt;高値!U7,高値!V7&gt;高値!T7,高値!V7&gt;高値!W7,高値!V7&gt;高値!X7),17,""))</f>
        <v/>
      </c>
      <c r="AS7" s="503" t="str">
        <f>IF(終値!A7="","",IF(AND(高値!W7&gt;高値!V7,高値!W7&gt;高値!U7,高値!W7&gt;高値!X7,高値!W7&gt;高値!Y7),18,""))</f>
        <v/>
      </c>
      <c r="AT7" s="503" t="str">
        <f>IF(終値!A7="","",IF(AND(高値!X7&gt;高値!W7,高値!X7&gt;高値!V7,高値!X7&gt;高値!Y7,高値!X7&gt;高値!Z7),19,""))</f>
        <v/>
      </c>
      <c r="AU7" s="503" t="str">
        <f>IF(終値!A7="","",IF(AND(高値!Y7&gt;高値!X7,高値!Y7&gt;高値!W7,高値!Y7&gt;高値!Z7,高値!Y7&gt;高値!AA7),20,""))</f>
        <v/>
      </c>
      <c r="AV7" s="503">
        <f>IF(終値!A7="","",IF(AND(高値!Z7&gt;高値!Y7,高値!Z7&gt;高値!X7,高値!Z7&gt;高値!AA7,高値!Z7&gt;高値!AB7),21,""))</f>
        <v>21</v>
      </c>
      <c r="AW7" s="503" t="str">
        <f>IF(終値!A7="","",IF(AND(高値!AA7&gt;高値!Z7,高値!AA7&gt;高値!Y7,高値!AA7&gt;高値!AB7,高値!AA7&gt;高値!AC7),22,""))</f>
        <v/>
      </c>
      <c r="AX7" s="503" t="str">
        <f>IF(終値!A7="","",IF(AND(高値!AB7&gt;高値!AA7,高値!AB7&gt;高値!Z7,高値!AB7&gt;高値!AC7,高値!AB7&gt;高値!AD7),23,""))</f>
        <v/>
      </c>
      <c r="AY7" s="503" t="str">
        <f>IF(終値!A7="","",IF(AND(高値!AC7&gt;高値!AB7,高値!AC7&gt;高値!AA7,高値!AC7&gt;高値!AD7,高値!AC7&gt;高値!AE7),24,""))</f>
        <v/>
      </c>
      <c r="AZ7" s="503" t="str">
        <f>IF(終値!A7="","",IF(AND(高値!AD7&gt;高値!AC7,高値!AD7&gt;高値!AB7,高値!AD7&gt;高値!AE7,高値!AD7&gt;高値!AF7),25,""))</f>
        <v/>
      </c>
      <c r="BA7" s="503" t="str">
        <f>IF(終値!A7="","",IF(AND(高値!AE7&gt;高値!AD7,高値!AE7&gt;高値!AC7,高値!AE7&gt;高値!AF7,高値!AE7&gt;高値!AG7),26,""))</f>
        <v/>
      </c>
      <c r="BB7" s="503" t="str">
        <f>IF(終値!A7="","",IF(AND(高値!AF7&gt;高値!AE7,高値!AF7&gt;高値!AD7,高値!AF7&gt;高値!AG7,高値!AF7&gt;高値!AH7),27,""))</f>
        <v/>
      </c>
      <c r="BC7" s="503" t="str">
        <f>IF(終値!A7="","",IF(AND(高値!AG7&gt;高値!AF7,高値!AG7&gt;高値!AE7,高値!AG7&gt;高値!AH7,高値!AG7&gt;高値!AI7),28,""))</f>
        <v/>
      </c>
      <c r="BD7" s="503">
        <f t="shared" si="0"/>
        <v>4</v>
      </c>
      <c r="BE7" s="503">
        <f t="shared" si="1"/>
        <v>2</v>
      </c>
      <c r="BF7" s="503">
        <f t="shared" si="2"/>
        <v>9</v>
      </c>
      <c r="BG7" s="503">
        <f>IF($BE7="","",INDEX(安値!$E7:$CZ7,1,$BE7+1))</f>
        <v>1678</v>
      </c>
      <c r="BH7" s="503">
        <f>IF($BF7="","",INDEX(安値!$E7:$CZ7,1,$BF7+1))</f>
        <v>1680</v>
      </c>
      <c r="BI7" s="503">
        <f>IF($BF7="","",MAX(INDEX(高値!$E7:$CZ7,1,$BE7+1):INDEX(高値!$E7:$CZ7,1,$BF7+1)))</f>
        <v>1805</v>
      </c>
      <c r="BJ7" s="503">
        <f>IF($BF7="","",AVERAGE(INDEX(終値!$E7:$CZ7,1,$BF7+1):INDEX(終値!$E7:$CZ7,1,$BF7+20))-2*STDEVP(INDEX(終値!$E7:$CZ7,1,$BF7+1):INDEX(終値!$E7:$CZ7,1,$BF7+20)))</f>
        <v>1665.9573641293673</v>
      </c>
      <c r="BK7" s="503">
        <f>IF($BE7="","",AVERAGE(INDEX(終値!$E7:$CZ7,1,$BE7+1):INDEX(終値!$E7:$CZ7,1,$BE7+20))-2*STDEVP(INDEX(終値!$E7:$CZ7,1,$BE7+1):INDEX(終値!$E7:$CZ7,1,$BE7+20)))</f>
        <v>1678.766819047818</v>
      </c>
      <c r="BL7" s="503">
        <f t="shared" si="3"/>
        <v>2</v>
      </c>
      <c r="BM7" s="503">
        <f t="shared" si="4"/>
        <v>6</v>
      </c>
      <c r="BN7" s="503">
        <f t="shared" si="5"/>
        <v>21</v>
      </c>
      <c r="BO7" s="503">
        <f>IF($BM7="","",INDEX(高値!$E7:$CZ7,1,$BM7+1))</f>
        <v>1805</v>
      </c>
      <c r="BP7" s="503">
        <f>IF($BN7="","",INDEX(高値!$E7:$CZ7,1,$BN7+1))</f>
        <v>1778</v>
      </c>
      <c r="BQ7" s="503">
        <f>IF($BN7="","",MIN(INDEX(安値!$E7:$CZ7,1,$BM7+1):INDEX(安値!$E7:$CZ7,1,$BN7+1)))</f>
        <v>1579</v>
      </c>
      <c r="BR7" s="503">
        <f>IF($BN7="","",AVERAGE(INDEX(終値!$E7:$CZ7,1,$BN7+1):INDEX(終値!$E7:$CZ7,1,$BN7+20))+2*STDEVP(INDEX(終値!$E7:$CZ7,1,$BN7+1):INDEX(終値!$E7:$CZ7,1,$BN7+20)))</f>
        <v>1798.0513426118109</v>
      </c>
      <c r="BS7" s="503">
        <f>IF($BM7="","",AVERAGE(INDEX(終値!$E7:$CZ7,1,$BM7+1):INDEX(終値!$E7:$CZ7,1,$BM7+20))+2*STDEVP(INDEX(終値!$E7:$CZ7,1,$BM7+1):INDEX(終値!$E7:$CZ7,1,$BM7+20)))</f>
        <v>1789.4206228557064</v>
      </c>
      <c r="BT7" s="500"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二番底W形成</v>
      </c>
    </row>
    <row r="8" spans="1:72">
      <c r="B8" s="503" t="str">
        <f>IF(終値!A8="","",IF(AND(安値!G8&lt;安値!F8,安値!G8&lt;安値!E8,安値!G8&lt;安値!H8,安値!G8&lt;安値!I8),2,""))</f>
        <v/>
      </c>
      <c r="C8" s="503" t="str">
        <f>IF(終値!A8="","",IF(AND(安値!H8&lt;安値!G8,安値!H8&lt;安値!F8,安値!H8&lt;安値!I8,安値!H8&lt;安値!J8),3,""))</f>
        <v/>
      </c>
      <c r="D8" s="503" t="str">
        <f>IF(終値!A8="","",IF(AND(安値!I8&lt;安値!H8,安値!I8&lt;安値!G8,安値!I8&lt;安値!J8,安値!I8&lt;安値!K8),4,""))</f>
        <v/>
      </c>
      <c r="E8" s="503" t="str">
        <f>IF(終値!A8="","",IF(AND(安値!J8&lt;安値!I8,安値!J8&lt;安値!H8,安値!J8&lt;安値!K8,安値!J8&lt;安値!L8),5,""))</f>
        <v/>
      </c>
      <c r="F8" s="503">
        <f>IF(終値!A8="","",IF(AND(安値!K8&lt;安値!J8,安値!K8&lt;安値!I8,安値!K8&lt;安値!L8,安値!K8&lt;安値!M8),6,""))</f>
        <v>6</v>
      </c>
      <c r="G8" s="503" t="str">
        <f>IF(終値!A8="","",IF(AND(安値!L8&lt;安値!K8,安値!L8&lt;安値!J8,安値!L8&lt;安値!M8,安値!L8&lt;安値!N8),7,""))</f>
        <v/>
      </c>
      <c r="H8" s="503" t="str">
        <f>IF(終値!A8="","",IF(AND(安値!M8&lt;安値!L8,安値!M8&lt;安値!K8,安値!M8&lt;安値!N8,安値!M8&lt;安値!O8),8,""))</f>
        <v/>
      </c>
      <c r="I8" s="503" t="str">
        <f>IF(終値!A8="","",IF(AND(安値!N8&lt;安値!M8,安値!N8&lt;安値!L8,安値!N8&lt;安値!O8,安値!N8&lt;安値!P8),9,""))</f>
        <v/>
      </c>
      <c r="J8" s="503" t="str">
        <f>IF(終値!A8="","",IF(AND(安値!O8&lt;安値!N8,安値!O8&lt;安値!M8,安値!O8&lt;安値!P8,安値!O8&lt;安値!Q8),10,""))</f>
        <v/>
      </c>
      <c r="K8" s="503" t="str">
        <f>IF(終値!A8="","",IF(AND(安値!P8&lt;安値!O8,安値!P8&lt;安値!N8,安値!P8&lt;安値!Q8,安値!P8&lt;安値!R8),11,""))</f>
        <v/>
      </c>
      <c r="L8" s="503" t="str">
        <f>IF(終値!A8="","",IF(AND(安値!Q8&lt;安値!P8,安値!Q8&lt;安値!O8,安値!Q8&lt;安値!R8,安値!Q8&lt;安値!S8),12,""))</f>
        <v/>
      </c>
      <c r="M8" s="503">
        <f>IF(終値!A8="","",IF(AND(安値!R8&lt;安値!Q8,安値!R8&lt;安値!P8,安値!R8&lt;安値!S8,安値!R8&lt;安値!T8),13,""))</f>
        <v>13</v>
      </c>
      <c r="N8" s="503" t="str">
        <f>IF(終値!A8="","",IF(AND(安値!S8&lt;安値!R8,安値!S8&lt;安値!Q8,安値!S8&lt;安値!T8,安値!S8&lt;安値!U8),14,""))</f>
        <v/>
      </c>
      <c r="O8" s="503" t="str">
        <f>IF(終値!A8="","",IF(AND(安値!T8&lt;安値!S8,安値!T8&lt;安値!R8,安値!T8&lt;安値!U8,安値!T8&lt;安値!V8),15,""))</f>
        <v/>
      </c>
      <c r="P8" s="503" t="str">
        <f>IF(終値!A8="","",IF(AND(安値!U8&lt;安値!T8,安値!U8&lt;安値!S8,安値!U8&lt;安値!V8,安値!U8&lt;安値!W8),16,""))</f>
        <v/>
      </c>
      <c r="Q8" s="503" t="str">
        <f>IF(終値!A8="","",IF(AND(安値!V8&lt;安値!U8,安値!V8&lt;安値!T8,安値!V8&lt;安値!W8,安値!V8&lt;安値!X8),17,""))</f>
        <v/>
      </c>
      <c r="R8" s="503" t="str">
        <f>IF(終値!A8="","",IF(AND(安値!W8&lt;安値!V8,安値!W8&lt;安値!U8,安値!W8&lt;安値!X8,安値!W8&lt;安値!Y8),18,""))</f>
        <v/>
      </c>
      <c r="S8" s="503" t="str">
        <f>IF(終値!A8="","",IF(AND(安値!X8&lt;安値!W8,安値!X8&lt;安値!V8,安値!X8&lt;安値!Y8,安値!X8&lt;安値!Z8),19,""))</f>
        <v/>
      </c>
      <c r="T8" s="503" t="str">
        <f>IF(終値!A8="","",IF(AND(安値!Y8&lt;安値!X8,安値!Y8&lt;安値!W8,安値!Y8&lt;安値!Z8,安値!Y8&lt;安値!AA8),20,""))</f>
        <v/>
      </c>
      <c r="U8" s="503" t="str">
        <f>IF(終値!A8="","",IF(AND(安値!Z8&lt;安値!Y8,安値!Z8&lt;安値!X8,安値!Z8&lt;安値!AA8,安値!Z8&lt;安値!AB8),21,""))</f>
        <v/>
      </c>
      <c r="V8" s="503" t="str">
        <f>IF(終値!A8="","",IF(AND(安値!AA8&lt;安値!Z8,安値!AA8&lt;安値!Y8,安値!AA8&lt;安値!AB8,安値!AA8&lt;安値!AC8),22,""))</f>
        <v/>
      </c>
      <c r="W8" s="503" t="str">
        <f>IF(終値!A8="","",IF(AND(安値!AB8&lt;安値!AA8,安値!AB8&lt;安値!Z8,安値!AB8&lt;安値!AC8,安値!AB8&lt;安値!AD8),23,""))</f>
        <v/>
      </c>
      <c r="X8" s="503" t="str">
        <f>IF(終値!A8="","",IF(AND(安値!AC8&lt;安値!AB8,安値!AC8&lt;安値!AA8,安値!AC8&lt;安値!AD8,安値!AC8&lt;安値!AE8),24,""))</f>
        <v/>
      </c>
      <c r="Y8" s="503" t="str">
        <f>IF(終値!A8="","",IF(AND(安値!AD8&lt;安値!AC8,安値!AD8&lt;安値!AB8,安値!AD8&lt;安値!AE8,安値!AD8&lt;安値!AF8),25,""))</f>
        <v/>
      </c>
      <c r="Z8" s="503">
        <f>IF(終値!A8="","",IF(AND(安値!AE8&lt;安値!AD8,安値!AE8&lt;安値!AC8,安値!AE8&lt;安値!AF8,安値!AE8&lt;安値!AG8),26,""))</f>
        <v>26</v>
      </c>
      <c r="AA8" s="503" t="str">
        <f>IF(終値!A8="","",IF(AND(安値!AF8&lt;安値!AE8,安値!AF8&lt;安値!AD8,安値!AF8&lt;安値!AG8,安値!AF8&lt;安値!AH8),27,""))</f>
        <v/>
      </c>
      <c r="AB8" s="503" t="str">
        <f>IF(終値!A8="","",IF(AND(安値!AG8&lt;安値!AF8,安値!AG8&lt;安値!AE8,安値!AG8&lt;安値!AH8,安値!AG8&lt;安値!AI8),28,""))</f>
        <v/>
      </c>
      <c r="AC8" s="503" t="str">
        <f>IF(終値!A8="","",IF(AND(高値!G8&gt;高値!F8,高値!G8&gt;高値!E8,高値!G8&gt;高値!H8,高値!G8&gt;高値!I8),2,""))</f>
        <v/>
      </c>
      <c r="AD8" s="503" t="str">
        <f>IF(終値!A8="","",IF(AND(高値!H8&gt;高値!G8,高値!H8&gt;高値!F8,高値!H8&gt;高値!I8,高値!H8&gt;高値!J8),3,""))</f>
        <v/>
      </c>
      <c r="AE8" s="503">
        <f>IF(終値!A8="","",IF(AND(高値!I8&gt;高値!H8,高値!I8&gt;高値!G8,高値!I8&gt;高値!J8,高値!I8&gt;高値!K8),4,""))</f>
        <v>4</v>
      </c>
      <c r="AF8" s="503" t="str">
        <f>IF(終値!A8="","",IF(AND(高値!J8&gt;高値!I8,高値!J8&gt;高値!H8,高値!J8&gt;高値!K8,高値!J8&gt;高値!L8),5,""))</f>
        <v/>
      </c>
      <c r="AG8" s="503" t="str">
        <f>IF(終値!A8="","",IF(AND(高値!K8&gt;高値!J8,高値!K8&gt;高値!I8,高値!K8&gt;高値!L8,高値!K8&gt;高値!M8),6,""))</f>
        <v/>
      </c>
      <c r="AH8" s="503" t="str">
        <f>IF(終値!A8="","",IF(AND(高値!L8&gt;高値!K8,高値!L8&gt;高値!J8,高値!L8&gt;高値!M8,高値!L8&gt;高値!N8),7,""))</f>
        <v/>
      </c>
      <c r="AI8" s="503" t="str">
        <f>IF(終値!A8="","",IF(AND(高値!M8&gt;高値!L8,高値!M8&gt;高値!K8,高値!M8&gt;高値!N8,高値!M8&gt;高値!O8),8,""))</f>
        <v/>
      </c>
      <c r="AJ8" s="503" t="str">
        <f>IF(終値!A8="","",IF(AND(高値!N8&gt;高値!M8,高値!N8&gt;高値!L8,高値!N8&gt;高値!O8,高値!N8&gt;高値!P8),9,""))</f>
        <v/>
      </c>
      <c r="AK8" s="503">
        <f>IF(終値!A8="","",IF(AND(高値!O8&gt;高値!N8,高値!O8&gt;高値!M8,高値!O8&gt;高値!P8,高値!O8&gt;高値!Q8),10,""))</f>
        <v>10</v>
      </c>
      <c r="AL8" s="503" t="str">
        <f>IF(終値!A8="","",IF(AND(高値!P8&gt;高値!O8,高値!P8&gt;高値!N8,高値!P8&gt;高値!Q8,高値!P8&gt;高値!R8),11,""))</f>
        <v/>
      </c>
      <c r="AM8" s="503" t="str">
        <f>IF(終値!A8="","",IF(AND(高値!Q8&gt;高値!P8,高値!Q8&gt;高値!O8,高値!Q8&gt;高値!R8,高値!Q8&gt;高値!S8),12,""))</f>
        <v/>
      </c>
      <c r="AN8" s="503" t="str">
        <f>IF(終値!A8="","",IF(AND(高値!R8&gt;高値!Q8,高値!R8&gt;高値!P8,高値!R8&gt;高値!S8,高値!R8&gt;高値!T8),13,""))</f>
        <v/>
      </c>
      <c r="AO8" s="503">
        <f>IF(終値!A8="","",IF(AND(高値!S8&gt;高値!R8,高値!S8&gt;高値!Q8,高値!S8&gt;高値!T8,高値!S8&gt;高値!U8),14,""))</f>
        <v>14</v>
      </c>
      <c r="AP8" s="503" t="str">
        <f>IF(終値!A8="","",IF(AND(高値!T8&gt;高値!S8,高値!T8&gt;高値!R8,高値!T8&gt;高値!U8,高値!T8&gt;高値!V8),15,""))</f>
        <v/>
      </c>
      <c r="AQ8" s="503" t="str">
        <f>IF(終値!A8="","",IF(AND(高値!U8&gt;高値!T8,高値!U8&gt;高値!S8,高値!U8&gt;高値!V8,高値!U8&gt;高値!W8),16,""))</f>
        <v/>
      </c>
      <c r="AR8" s="503" t="str">
        <f>IF(終値!A8="","",IF(AND(高値!V8&gt;高値!U8,高値!V8&gt;高値!T8,高値!V8&gt;高値!W8,高値!V8&gt;高値!X8),17,""))</f>
        <v/>
      </c>
      <c r="AS8" s="503" t="str">
        <f>IF(終値!A8="","",IF(AND(高値!W8&gt;高値!V8,高値!W8&gt;高値!U8,高値!W8&gt;高値!X8,高値!W8&gt;高値!Y8),18,""))</f>
        <v/>
      </c>
      <c r="AT8" s="503" t="str">
        <f>IF(終値!A8="","",IF(AND(高値!X8&gt;高値!W8,高値!X8&gt;高値!V8,高値!X8&gt;高値!Y8,高値!X8&gt;高値!Z8),19,""))</f>
        <v/>
      </c>
      <c r="AU8" s="503" t="str">
        <f>IF(終値!A8="","",IF(AND(高値!Y8&gt;高値!X8,高値!Y8&gt;高値!W8,高値!Y8&gt;高値!Z8,高値!Y8&gt;高値!AA8),20,""))</f>
        <v/>
      </c>
      <c r="AV8" s="503">
        <f>IF(終値!A8="","",IF(AND(高値!Z8&gt;高値!Y8,高値!Z8&gt;高値!X8,高値!Z8&gt;高値!AA8,高値!Z8&gt;高値!AB8),21,""))</f>
        <v>21</v>
      </c>
      <c r="AW8" s="503" t="str">
        <f>IF(終値!A8="","",IF(AND(高値!AA8&gt;高値!Z8,高値!AA8&gt;高値!Y8,高値!AA8&gt;高値!AB8,高値!AA8&gt;高値!AC8),22,""))</f>
        <v/>
      </c>
      <c r="AX8" s="503" t="str">
        <f>IF(終値!A8="","",IF(AND(高値!AB8&gt;高値!AA8,高値!AB8&gt;高値!Z8,高値!AB8&gt;高値!AC8,高値!AB8&gt;高値!AD8),23,""))</f>
        <v/>
      </c>
      <c r="AY8" s="503" t="str">
        <f>IF(終値!A8="","",IF(AND(高値!AC8&gt;高値!AB8,高値!AC8&gt;高値!AA8,高値!AC8&gt;高値!AD8,高値!AC8&gt;高値!AE8),24,""))</f>
        <v/>
      </c>
      <c r="AZ8" s="503" t="str">
        <f>IF(終値!A8="","",IF(AND(高値!AD8&gt;高値!AC8,高値!AD8&gt;高値!AB8,高値!AD8&gt;高値!AE8,高値!AD8&gt;高値!AF8),25,""))</f>
        <v/>
      </c>
      <c r="BA8" s="503" t="str">
        <f>IF(終値!A8="","",IF(AND(高値!AE8&gt;高値!AD8,高値!AE8&gt;高値!AC8,高値!AE8&gt;高値!AF8,高値!AE8&gt;高値!AG8),26,""))</f>
        <v/>
      </c>
      <c r="BB8" s="503" t="str">
        <f>IF(終値!A8="","",IF(AND(高値!AF8&gt;高値!AE8,高値!AF8&gt;高値!AD8,高値!AF8&gt;高値!AG8,高値!AF8&gt;高値!AH8),27,""))</f>
        <v/>
      </c>
      <c r="BC8" s="503" t="str">
        <f>IF(終値!A8="","",IF(AND(高値!AG8&gt;高値!AF8,高値!AG8&gt;高値!AE8,高値!AG8&gt;高値!AH8,高値!AG8&gt;高値!AI8),28,""))</f>
        <v/>
      </c>
      <c r="BD8" s="503">
        <f t="shared" si="0"/>
        <v>3</v>
      </c>
      <c r="BE8" s="503">
        <f t="shared" si="1"/>
        <v>6</v>
      </c>
      <c r="BF8" s="503">
        <f t="shared" si="2"/>
        <v>13</v>
      </c>
      <c r="BG8" s="503">
        <f>IF($BE8="","",INDEX(安値!$E8:$CZ8,1,$BE8+1))</f>
        <v>6969</v>
      </c>
      <c r="BH8" s="503">
        <f>IF($BF8="","",INDEX(安値!$E8:$CZ8,1,$BF8+1))</f>
        <v>6578</v>
      </c>
      <c r="BI8" s="503">
        <f>IF($BF8="","",MAX(INDEX(高値!$E8:$CZ8,1,$BE8+1):INDEX(高値!$E8:$CZ8,1,$BF8+1)))</f>
        <v>7952</v>
      </c>
      <c r="BJ8" s="503">
        <f>IF($BF8="","",AVERAGE(INDEX(終値!$E8:$CZ8,1,$BF8+1):INDEX(終値!$E8:$CZ8,1,$BF8+20))-2*STDEVP(INDEX(終値!$E8:$CZ8,1,$BF8+1):INDEX(終値!$E8:$CZ8,1,$BF8+20)))</f>
        <v>6653.0530535477747</v>
      </c>
      <c r="BK8" s="503">
        <f>IF($BE8="","",AVERAGE(INDEX(終値!$E8:$CZ8,1,$BE8+1):INDEX(終値!$E8:$CZ8,1,$BE8+20))-2*STDEVP(INDEX(終値!$E8:$CZ8,1,$BE8+1):INDEX(終値!$E8:$CZ8,1,$BE8+20)))</f>
        <v>6892.3360430670782</v>
      </c>
      <c r="BL8" s="503">
        <f t="shared" si="3"/>
        <v>4</v>
      </c>
      <c r="BM8" s="503">
        <f t="shared" si="4"/>
        <v>4</v>
      </c>
      <c r="BN8" s="503">
        <f t="shared" si="5"/>
        <v>10</v>
      </c>
      <c r="BO8" s="503">
        <f>IF($BM8="","",INDEX(高値!$E8:$CZ8,1,$BM8+1))</f>
        <v>8292</v>
      </c>
      <c r="BP8" s="503">
        <f>IF($BN8="","",INDEX(高値!$E8:$CZ8,1,$BN8+1))</f>
        <v>7952</v>
      </c>
      <c r="BQ8" s="503">
        <f>IF($BN8="","",MIN(INDEX(安値!$E8:$CZ8,1,$BM8+1):INDEX(安値!$E8:$CZ8,1,$BN8+1)))</f>
        <v>6969</v>
      </c>
      <c r="BR8" s="503">
        <f>IF($BN8="","",AVERAGE(INDEX(終値!$E8:$CZ8,1,$BN8+1):INDEX(終値!$E8:$CZ8,1,$BN8+20))+2*STDEVP(INDEX(終値!$E8:$CZ8,1,$BN8+1):INDEX(終値!$E8:$CZ8,1,$BN8+20)))</f>
        <v>8056.3250600311485</v>
      </c>
      <c r="BS8" s="503">
        <f>IF($BM8="","",AVERAGE(INDEX(終値!$E8:$CZ8,1,$BM8+1):INDEX(終値!$E8:$CZ8,1,$BM8+20))+2*STDEVP(INDEX(終値!$E8:$CZ8,1,$BM8+1):INDEX(終値!$E8:$CZ8,1,$BM8+20)))</f>
        <v>8111.2938907029129</v>
      </c>
      <c r="BT8" s="500"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3" t="str">
        <f>IF(終値!A9="","",IF(AND(安値!G9&lt;安値!F9,安値!G9&lt;安値!E9,安値!G9&lt;安値!H9,安値!G9&lt;安値!I9),2,""))</f>
        <v/>
      </c>
      <c r="C9" s="503" t="str">
        <f>IF(終値!A9="","",IF(AND(安値!H9&lt;安値!G9,安値!H9&lt;安値!F9,安値!H9&lt;安値!I9,安値!H9&lt;安値!J9),3,""))</f>
        <v/>
      </c>
      <c r="D9" s="503" t="str">
        <f>IF(終値!A9="","",IF(AND(安値!I9&lt;安値!H9,安値!I9&lt;安値!G9,安値!I9&lt;安値!J9,安値!I9&lt;安値!K9),4,""))</f>
        <v/>
      </c>
      <c r="E9" s="503" t="str">
        <f>IF(終値!A9="","",IF(AND(安値!J9&lt;安値!I9,安値!J9&lt;安値!H9,安値!J9&lt;安値!K9,安値!J9&lt;安値!L9),5,""))</f>
        <v/>
      </c>
      <c r="F9" s="503">
        <f>IF(終値!A9="","",IF(AND(安値!K9&lt;安値!J9,安値!K9&lt;安値!I9,安値!K9&lt;安値!L9,安値!K9&lt;安値!M9),6,""))</f>
        <v>6</v>
      </c>
      <c r="G9" s="503" t="str">
        <f>IF(終値!A9="","",IF(AND(安値!L9&lt;安値!K9,安値!L9&lt;安値!J9,安値!L9&lt;安値!M9,安値!L9&lt;安値!N9),7,""))</f>
        <v/>
      </c>
      <c r="H9" s="503" t="str">
        <f>IF(終値!A9="","",IF(AND(安値!M9&lt;安値!L9,安値!M9&lt;安値!K9,安値!M9&lt;安値!N9,安値!M9&lt;安値!O9),8,""))</f>
        <v/>
      </c>
      <c r="I9" s="503" t="str">
        <f>IF(終値!A9="","",IF(AND(安値!N9&lt;安値!M9,安値!N9&lt;安値!L9,安値!N9&lt;安値!O9,安値!N9&lt;安値!P9),9,""))</f>
        <v/>
      </c>
      <c r="J9" s="503" t="str">
        <f>IF(終値!A9="","",IF(AND(安値!O9&lt;安値!N9,安値!O9&lt;安値!M9,安値!O9&lt;安値!P9,安値!O9&lt;安値!Q9),10,""))</f>
        <v/>
      </c>
      <c r="K9" s="503" t="str">
        <f>IF(終値!A9="","",IF(AND(安値!P9&lt;安値!O9,安値!P9&lt;安値!N9,安値!P9&lt;安値!Q9,安値!P9&lt;安値!R9),11,""))</f>
        <v/>
      </c>
      <c r="L9" s="503" t="str">
        <f>IF(終値!A9="","",IF(AND(安値!Q9&lt;安値!P9,安値!Q9&lt;安値!O9,安値!Q9&lt;安値!R9,安値!Q9&lt;安値!S9),12,""))</f>
        <v/>
      </c>
      <c r="M9" s="503">
        <f>IF(終値!A9="","",IF(AND(安値!R9&lt;安値!Q9,安値!R9&lt;安値!P9,安値!R9&lt;安値!S9,安値!R9&lt;安値!T9),13,""))</f>
        <v>13</v>
      </c>
      <c r="N9" s="503" t="str">
        <f>IF(終値!A9="","",IF(AND(安値!S9&lt;安値!R9,安値!S9&lt;安値!Q9,安値!S9&lt;安値!T9,安値!S9&lt;安値!U9),14,""))</f>
        <v/>
      </c>
      <c r="O9" s="503" t="str">
        <f>IF(終値!A9="","",IF(AND(安値!T9&lt;安値!S9,安値!T9&lt;安値!R9,安値!T9&lt;安値!U9,安値!T9&lt;安値!V9),15,""))</f>
        <v/>
      </c>
      <c r="P9" s="503" t="str">
        <f>IF(終値!A9="","",IF(AND(安値!U9&lt;安値!T9,安値!U9&lt;安値!S9,安値!U9&lt;安値!V9,安値!U9&lt;安値!W9),16,""))</f>
        <v/>
      </c>
      <c r="Q9" s="503" t="str">
        <f>IF(終値!A9="","",IF(AND(安値!V9&lt;安値!U9,安値!V9&lt;安値!T9,安値!V9&lt;安値!W9,安値!V9&lt;安値!X9),17,""))</f>
        <v/>
      </c>
      <c r="R9" s="503">
        <f>IF(終値!A9="","",IF(AND(安値!W9&lt;安値!V9,安値!W9&lt;安値!U9,安値!W9&lt;安値!X9,安値!W9&lt;安値!Y9),18,""))</f>
        <v>18</v>
      </c>
      <c r="S9" s="503" t="str">
        <f>IF(終値!A9="","",IF(AND(安値!X9&lt;安値!W9,安値!X9&lt;安値!V9,安値!X9&lt;安値!Y9,安値!X9&lt;安値!Z9),19,""))</f>
        <v/>
      </c>
      <c r="T9" s="503" t="str">
        <f>IF(終値!A9="","",IF(AND(安値!Y9&lt;安値!X9,安値!Y9&lt;安値!W9,安値!Y9&lt;安値!Z9,安値!Y9&lt;安値!AA9),20,""))</f>
        <v/>
      </c>
      <c r="U9" s="503" t="str">
        <f>IF(終値!A9="","",IF(AND(安値!Z9&lt;安値!Y9,安値!Z9&lt;安値!X9,安値!Z9&lt;安値!AA9,安値!Z9&lt;安値!AB9),21,""))</f>
        <v/>
      </c>
      <c r="V9" s="503" t="str">
        <f>IF(終値!A9="","",IF(AND(安値!AA9&lt;安値!Z9,安値!AA9&lt;安値!Y9,安値!AA9&lt;安値!AB9,安値!AA9&lt;安値!AC9),22,""))</f>
        <v/>
      </c>
      <c r="W9" s="503" t="str">
        <f>IF(終値!A9="","",IF(AND(安値!AB9&lt;安値!AA9,安値!AB9&lt;安値!Z9,安値!AB9&lt;安値!AC9,安値!AB9&lt;安値!AD9),23,""))</f>
        <v/>
      </c>
      <c r="X9" s="503" t="str">
        <f>IF(終値!A9="","",IF(AND(安値!AC9&lt;安値!AB9,安値!AC9&lt;安値!AA9,安値!AC9&lt;安値!AD9,安値!AC9&lt;安値!AE9),24,""))</f>
        <v/>
      </c>
      <c r="Y9" s="503" t="str">
        <f>IF(終値!A9="","",IF(AND(安値!AD9&lt;安値!AC9,安値!AD9&lt;安値!AB9,安値!AD9&lt;安値!AE9,安値!AD9&lt;安値!AF9),25,""))</f>
        <v/>
      </c>
      <c r="Z9" s="503">
        <f>IF(終値!A9="","",IF(AND(安値!AE9&lt;安値!AD9,安値!AE9&lt;安値!AC9,安値!AE9&lt;安値!AF9,安値!AE9&lt;安値!AG9),26,""))</f>
        <v>26</v>
      </c>
      <c r="AA9" s="503" t="str">
        <f>IF(終値!A9="","",IF(AND(安値!AF9&lt;安値!AE9,安値!AF9&lt;安値!AD9,安値!AF9&lt;安値!AG9,安値!AF9&lt;安値!AH9),27,""))</f>
        <v/>
      </c>
      <c r="AB9" s="503" t="str">
        <f>IF(終値!A9="","",IF(AND(安値!AG9&lt;安値!AF9,安値!AG9&lt;安値!AE9,安値!AG9&lt;安値!AH9,安値!AG9&lt;安値!AI9),28,""))</f>
        <v/>
      </c>
      <c r="AC9" s="503" t="str">
        <f>IF(終値!A9="","",IF(AND(高値!G9&gt;高値!F9,高値!G9&gt;高値!E9,高値!G9&gt;高値!H9,高値!G9&gt;高値!I9),2,""))</f>
        <v/>
      </c>
      <c r="AD9" s="503" t="str">
        <f>IF(終値!A9="","",IF(AND(高値!H9&gt;高値!G9,高値!H9&gt;高値!F9,高値!H9&gt;高値!I9,高値!H9&gt;高値!J9),3,""))</f>
        <v/>
      </c>
      <c r="AE9" s="503">
        <f>IF(終値!A9="","",IF(AND(高値!I9&gt;高値!H9,高値!I9&gt;高値!G9,高値!I9&gt;高値!J9,高値!I9&gt;高値!K9),4,""))</f>
        <v>4</v>
      </c>
      <c r="AF9" s="503" t="str">
        <f>IF(終値!A9="","",IF(AND(高値!J9&gt;高値!I9,高値!J9&gt;高値!H9,高値!J9&gt;高値!K9,高値!J9&gt;高値!L9),5,""))</f>
        <v/>
      </c>
      <c r="AG9" s="503" t="str">
        <f>IF(終値!A9="","",IF(AND(高値!K9&gt;高値!J9,高値!K9&gt;高値!I9,高値!K9&gt;高値!L9,高値!K9&gt;高値!M9),6,""))</f>
        <v/>
      </c>
      <c r="AH9" s="503" t="str">
        <f>IF(終値!A9="","",IF(AND(高値!L9&gt;高値!K9,高値!L9&gt;高値!J9,高値!L9&gt;高値!M9,高値!L9&gt;高値!N9),7,""))</f>
        <v/>
      </c>
      <c r="AI9" s="503" t="str">
        <f>IF(終値!A9="","",IF(AND(高値!M9&gt;高値!L9,高値!M9&gt;高値!K9,高値!M9&gt;高値!N9,高値!M9&gt;高値!O9),8,""))</f>
        <v/>
      </c>
      <c r="AJ9" s="503" t="str">
        <f>IF(終値!A9="","",IF(AND(高値!N9&gt;高値!M9,高値!N9&gt;高値!L9,高値!N9&gt;高値!O9,高値!N9&gt;高値!P9),9,""))</f>
        <v/>
      </c>
      <c r="AK9" s="503">
        <f>IF(終値!A9="","",IF(AND(高値!O9&gt;高値!N9,高値!O9&gt;高値!M9,高値!O9&gt;高値!P9,高値!O9&gt;高値!Q9),10,""))</f>
        <v>10</v>
      </c>
      <c r="AL9" s="503" t="str">
        <f>IF(終値!A9="","",IF(AND(高値!P9&gt;高値!O9,高値!P9&gt;高値!N9,高値!P9&gt;高値!Q9,高値!P9&gt;高値!R9),11,""))</f>
        <v/>
      </c>
      <c r="AM9" s="503" t="str">
        <f>IF(終値!A9="","",IF(AND(高値!Q9&gt;高値!P9,高値!Q9&gt;高値!O9,高値!Q9&gt;高値!R9,高値!Q9&gt;高値!S9),12,""))</f>
        <v/>
      </c>
      <c r="AN9" s="503" t="str">
        <f>IF(終値!A9="","",IF(AND(高値!R9&gt;高値!Q9,高値!R9&gt;高値!P9,高値!R9&gt;高値!S9,高値!R9&gt;高値!T9),13,""))</f>
        <v/>
      </c>
      <c r="AO9" s="503">
        <f>IF(終値!A9="","",IF(AND(高値!S9&gt;高値!R9,高値!S9&gt;高値!Q9,高値!S9&gt;高値!T9,高値!S9&gt;高値!U9),14,""))</f>
        <v>14</v>
      </c>
      <c r="AP9" s="503" t="str">
        <f>IF(終値!A9="","",IF(AND(高値!T9&gt;高値!S9,高値!T9&gt;高値!R9,高値!T9&gt;高値!U9,高値!T9&gt;高値!V9),15,""))</f>
        <v/>
      </c>
      <c r="AQ9" s="503" t="str">
        <f>IF(終値!A9="","",IF(AND(高値!U9&gt;高値!T9,高値!U9&gt;高値!S9,高値!U9&gt;高値!V9,高値!U9&gt;高値!W9),16,""))</f>
        <v/>
      </c>
      <c r="AR9" s="503" t="str">
        <f>IF(終値!A9="","",IF(AND(高値!V9&gt;高値!U9,高値!V9&gt;高値!T9,高値!V9&gt;高値!W9,高値!V9&gt;高値!X9),17,""))</f>
        <v/>
      </c>
      <c r="AS9" s="503" t="str">
        <f>IF(終値!A9="","",IF(AND(高値!W9&gt;高値!V9,高値!W9&gt;高値!U9,高値!W9&gt;高値!X9,高値!W9&gt;高値!Y9),18,""))</f>
        <v/>
      </c>
      <c r="AT9" s="503" t="str">
        <f>IF(終値!A9="","",IF(AND(高値!X9&gt;高値!W9,高値!X9&gt;高値!V9,高値!X9&gt;高値!Y9,高値!X9&gt;高値!Z9),19,""))</f>
        <v/>
      </c>
      <c r="AU9" s="503" t="str">
        <f>IF(終値!A9="","",IF(AND(高値!Y9&gt;高値!X9,高値!Y9&gt;高値!W9,高値!Y9&gt;高値!Z9,高値!Y9&gt;高値!AA9),20,""))</f>
        <v/>
      </c>
      <c r="AV9" s="503">
        <f>IF(終値!A9="","",IF(AND(高値!Z9&gt;高値!Y9,高値!Z9&gt;高値!X9,高値!Z9&gt;高値!AA9,高値!Z9&gt;高値!AB9),21,""))</f>
        <v>21</v>
      </c>
      <c r="AW9" s="503" t="str">
        <f>IF(終値!A9="","",IF(AND(高値!AA9&gt;高値!Z9,高値!AA9&gt;高値!Y9,高値!AA9&gt;高値!AB9,高値!AA9&gt;高値!AC9),22,""))</f>
        <v/>
      </c>
      <c r="AX9" s="503" t="str">
        <f>IF(終値!A9="","",IF(AND(高値!AB9&gt;高値!AA9,高値!AB9&gt;高値!Z9,高値!AB9&gt;高値!AC9,高値!AB9&gt;高値!AD9),23,""))</f>
        <v/>
      </c>
      <c r="AY9" s="503" t="str">
        <f>IF(終値!A9="","",IF(AND(高値!AC9&gt;高値!AB9,高値!AC9&gt;高値!AA9,高値!AC9&gt;高値!AD9,高値!AC9&gt;高値!AE9),24,""))</f>
        <v/>
      </c>
      <c r="AZ9" s="503" t="str">
        <f>IF(終値!A9="","",IF(AND(高値!AD9&gt;高値!AC9,高値!AD9&gt;高値!AB9,高値!AD9&gt;高値!AE9,高値!AD9&gt;高値!AF9),25,""))</f>
        <v/>
      </c>
      <c r="BA9" s="503" t="str">
        <f>IF(終値!A9="","",IF(AND(高値!AE9&gt;高値!AD9,高値!AE9&gt;高値!AC9,高値!AE9&gt;高値!AF9,高値!AE9&gt;高値!AG9),26,""))</f>
        <v/>
      </c>
      <c r="BB9" s="503" t="str">
        <f>IF(終値!A9="","",IF(AND(高値!AF9&gt;高値!AE9,高値!AF9&gt;高値!AD9,高値!AF9&gt;高値!AG9,高値!AF9&gt;高値!AH9),27,""))</f>
        <v/>
      </c>
      <c r="BC9" s="503" t="str">
        <f>IF(終値!A9="","",IF(AND(高値!AG9&gt;高値!AF9,高値!AG9&gt;高値!AE9,高値!AG9&gt;高値!AH9,高値!AG9&gt;高値!AI9),28,""))</f>
        <v/>
      </c>
      <c r="BD9" s="503">
        <f t="shared" si="0"/>
        <v>4</v>
      </c>
      <c r="BE9" s="503">
        <f t="shared" si="1"/>
        <v>6</v>
      </c>
      <c r="BF9" s="503">
        <f t="shared" si="2"/>
        <v>13</v>
      </c>
      <c r="BG9" s="503">
        <f>IF($BE9="","",INDEX(安値!$E9:$CZ9,1,$BE9+1))</f>
        <v>3825</v>
      </c>
      <c r="BH9" s="503">
        <f>IF($BF9="","",INDEX(安値!$E9:$CZ9,1,$BF9+1))</f>
        <v>3854</v>
      </c>
      <c r="BI9" s="503">
        <f>IF($BF9="","",MAX(INDEX(高値!$E9:$CZ9,1,$BE9+1):INDEX(高値!$E9:$CZ9,1,$BF9+1)))</f>
        <v>4333</v>
      </c>
      <c r="BJ9" s="503">
        <f>IF($BF9="","",AVERAGE(INDEX(終値!$E9:$CZ9,1,$BF9+1):INDEX(終値!$E9:$CZ9,1,$BF9+20))-2*STDEVP(INDEX(終値!$E9:$CZ9,1,$BF9+1):INDEX(終値!$E9:$CZ9,1,$BF9+20)))</f>
        <v>3863.6341895414907</v>
      </c>
      <c r="BK9" s="503">
        <f>IF($BE9="","",AVERAGE(INDEX(終値!$E9:$CZ9,1,$BE9+1):INDEX(終値!$E9:$CZ9,1,$BE9+20))-2*STDEVP(INDEX(終値!$E9:$CZ9,1,$BE9+1):INDEX(終値!$E9:$CZ9,1,$BE9+20)))</f>
        <v>3846.3740511949441</v>
      </c>
      <c r="BL9" s="503">
        <f t="shared" si="3"/>
        <v>4</v>
      </c>
      <c r="BM9" s="503">
        <f t="shared" si="4"/>
        <v>4</v>
      </c>
      <c r="BN9" s="503">
        <f t="shared" si="5"/>
        <v>10</v>
      </c>
      <c r="BO9" s="503">
        <f>IF($BM9="","",INDEX(高値!$E9:$CZ9,1,$BM9+1))</f>
        <v>4248</v>
      </c>
      <c r="BP9" s="503">
        <f>IF($BN9="","",INDEX(高値!$E9:$CZ9,1,$BN9+1))</f>
        <v>4333</v>
      </c>
      <c r="BQ9" s="503">
        <f>IF($BN9="","",MIN(INDEX(安値!$E9:$CZ9,1,$BM9+1):INDEX(安値!$E9:$CZ9,1,$BN9+1)))</f>
        <v>3825</v>
      </c>
      <c r="BR9" s="503">
        <f>IF($BN9="","",AVERAGE(INDEX(終値!$E9:$CZ9,1,$BN9+1):INDEX(終値!$E9:$CZ9,1,$BN9+20))+2*STDEVP(INDEX(終値!$E9:$CZ9,1,$BN9+1):INDEX(終値!$E9:$CZ9,1,$BN9+20)))</f>
        <v>4655.9816608194096</v>
      </c>
      <c r="BS9" s="503">
        <f>IF($BM9="","",AVERAGE(INDEX(終値!$E9:$CZ9,1,$BM9+1):INDEX(終値!$E9:$CZ9,1,$BM9+20))+2*STDEVP(INDEX(終値!$E9:$CZ9,1,$BM9+1):INDEX(終値!$E9:$CZ9,1,$BM9+20)))</f>
        <v>4570.205346207772</v>
      </c>
      <c r="BT9" s="500"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3" t="str">
        <f>IF(終値!A10="","",IF(AND(安値!G10&lt;安値!F10,安値!G10&lt;安値!E10,安値!G10&lt;安値!H10,安値!G10&lt;安値!I10),2,""))</f>
        <v/>
      </c>
      <c r="C10" s="503" t="str">
        <f>IF(終値!A10="","",IF(AND(安値!H10&lt;安値!G10,安値!H10&lt;安値!F10,安値!H10&lt;安値!I10,安値!H10&lt;安値!J10),3,""))</f>
        <v/>
      </c>
      <c r="D10" s="503" t="str">
        <f>IF(終値!A10="","",IF(AND(安値!I10&lt;安値!H10,安値!I10&lt;安値!G10,安値!I10&lt;安値!J10,安値!I10&lt;安値!K10),4,""))</f>
        <v/>
      </c>
      <c r="E10" s="503" t="str">
        <f>IF(終値!A10="","",IF(AND(安値!J10&lt;安値!I10,安値!J10&lt;安値!H10,安値!J10&lt;安値!K10,安値!J10&lt;安値!L10),5,""))</f>
        <v/>
      </c>
      <c r="F10" s="503">
        <f>IF(終値!A10="","",IF(AND(安値!K10&lt;安値!J10,安値!K10&lt;安値!I10,安値!K10&lt;安値!L10,安値!K10&lt;安値!M10),6,""))</f>
        <v>6</v>
      </c>
      <c r="G10" s="503" t="str">
        <f>IF(終値!A10="","",IF(AND(安値!L10&lt;安値!K10,安値!L10&lt;安値!J10,安値!L10&lt;安値!M10,安値!L10&lt;安値!N10),7,""))</f>
        <v/>
      </c>
      <c r="H10" s="503" t="str">
        <f>IF(終値!A10="","",IF(AND(安値!M10&lt;安値!L10,安値!M10&lt;安値!K10,安値!M10&lt;安値!N10,安値!M10&lt;安値!O10),8,""))</f>
        <v/>
      </c>
      <c r="I10" s="503" t="str">
        <f>IF(終値!A10="","",IF(AND(安値!N10&lt;安値!M10,安値!N10&lt;安値!L10,安値!N10&lt;安値!O10,安値!N10&lt;安値!P10),9,""))</f>
        <v/>
      </c>
      <c r="J10" s="503" t="str">
        <f>IF(終値!A10="","",IF(AND(安値!O10&lt;安値!N10,安値!O10&lt;安値!M10,安値!O10&lt;安値!P10,安値!O10&lt;安値!Q10),10,""))</f>
        <v/>
      </c>
      <c r="K10" s="503" t="str">
        <f>IF(終値!A10="","",IF(AND(安値!P10&lt;安値!O10,安値!P10&lt;安値!N10,安値!P10&lt;安値!Q10,安値!P10&lt;安値!R10),11,""))</f>
        <v/>
      </c>
      <c r="L10" s="503" t="str">
        <f>IF(終値!A10="","",IF(AND(安値!Q10&lt;安値!P10,安値!Q10&lt;安値!O10,安値!Q10&lt;安値!R10,安値!Q10&lt;安値!S10),12,""))</f>
        <v/>
      </c>
      <c r="M10" s="503">
        <f>IF(終値!A10="","",IF(AND(安値!R10&lt;安値!Q10,安値!R10&lt;安値!P10,安値!R10&lt;安値!S10,安値!R10&lt;安値!T10),13,""))</f>
        <v>13</v>
      </c>
      <c r="N10" s="503" t="str">
        <f>IF(終値!A10="","",IF(AND(安値!S10&lt;安値!R10,安値!S10&lt;安値!Q10,安値!S10&lt;安値!T10,安値!S10&lt;安値!U10),14,""))</f>
        <v/>
      </c>
      <c r="O10" s="503" t="str">
        <f>IF(終値!A10="","",IF(AND(安値!T10&lt;安値!S10,安値!T10&lt;安値!R10,安値!T10&lt;安値!U10,安値!T10&lt;安値!V10),15,""))</f>
        <v/>
      </c>
      <c r="P10" s="503" t="str">
        <f>IF(終値!A10="","",IF(AND(安値!U10&lt;安値!T10,安値!U10&lt;安値!S10,安値!U10&lt;安値!V10,安値!U10&lt;安値!W10),16,""))</f>
        <v/>
      </c>
      <c r="Q10" s="503" t="str">
        <f>IF(終値!A10="","",IF(AND(安値!V10&lt;安値!U10,安値!V10&lt;安値!T10,安値!V10&lt;安値!W10,安値!V10&lt;安値!X10),17,""))</f>
        <v/>
      </c>
      <c r="R10" s="503" t="str">
        <f>IF(終値!A10="","",IF(AND(安値!W10&lt;安値!V10,安値!W10&lt;安値!U10,安値!W10&lt;安値!X10,安値!W10&lt;安値!Y10),18,""))</f>
        <v/>
      </c>
      <c r="S10" s="503" t="str">
        <f>IF(終値!A10="","",IF(AND(安値!X10&lt;安値!W10,安値!X10&lt;安値!V10,安値!X10&lt;安値!Y10,安値!X10&lt;安値!Z10),19,""))</f>
        <v/>
      </c>
      <c r="T10" s="503" t="str">
        <f>IF(終値!A10="","",IF(AND(安値!Y10&lt;安値!X10,安値!Y10&lt;安値!W10,安値!Y10&lt;安値!Z10,安値!Y10&lt;安値!AA10),20,""))</f>
        <v/>
      </c>
      <c r="U10" s="503" t="str">
        <f>IF(終値!A10="","",IF(AND(安値!Z10&lt;安値!Y10,安値!Z10&lt;安値!X10,安値!Z10&lt;安値!AA10,安値!Z10&lt;安値!AB10),21,""))</f>
        <v/>
      </c>
      <c r="V10" s="503" t="str">
        <f>IF(終値!A10="","",IF(AND(安値!AA10&lt;安値!Z10,安値!AA10&lt;安値!Y10,安値!AA10&lt;安値!AB10,安値!AA10&lt;安値!AC10),22,""))</f>
        <v/>
      </c>
      <c r="W10" s="503" t="str">
        <f>IF(終値!A10="","",IF(AND(安値!AB10&lt;安値!AA10,安値!AB10&lt;安値!Z10,安値!AB10&lt;安値!AC10,安値!AB10&lt;安値!AD10),23,""))</f>
        <v/>
      </c>
      <c r="X10" s="503" t="str">
        <f>IF(終値!A10="","",IF(AND(安値!AC10&lt;安値!AB10,安値!AC10&lt;安値!AA10,安値!AC10&lt;安値!AD10,安値!AC10&lt;安値!AE10),24,""))</f>
        <v/>
      </c>
      <c r="Y10" s="503" t="str">
        <f>IF(終値!A10="","",IF(AND(安値!AD10&lt;安値!AC10,安値!AD10&lt;安値!AB10,安値!AD10&lt;安値!AE10,安値!AD10&lt;安値!AF10),25,""))</f>
        <v/>
      </c>
      <c r="Z10" s="503">
        <f>IF(終値!A10="","",IF(AND(安値!AE10&lt;安値!AD10,安値!AE10&lt;安値!AC10,安値!AE10&lt;安値!AF10,安値!AE10&lt;安値!AG10),26,""))</f>
        <v>26</v>
      </c>
      <c r="AA10" s="503" t="str">
        <f>IF(終値!A10="","",IF(AND(安値!AF10&lt;安値!AE10,安値!AF10&lt;安値!AD10,安値!AF10&lt;安値!AG10,安値!AF10&lt;安値!AH10),27,""))</f>
        <v/>
      </c>
      <c r="AB10" s="503" t="str">
        <f>IF(終値!A10="","",IF(AND(安値!AG10&lt;安値!AF10,安値!AG10&lt;安値!AE10,安値!AG10&lt;安値!AH10,安値!AG10&lt;安値!AI10),28,""))</f>
        <v/>
      </c>
      <c r="AC10" s="503" t="str">
        <f>IF(終値!A10="","",IF(AND(高値!G10&gt;高値!F10,高値!G10&gt;高値!E10,高値!G10&gt;高値!H10,高値!G10&gt;高値!I10),2,""))</f>
        <v/>
      </c>
      <c r="AD10" s="503" t="str">
        <f>IF(終値!A10="","",IF(AND(高値!H10&gt;高値!G10,高値!H10&gt;高値!F10,高値!H10&gt;高値!I10,高値!H10&gt;高値!J10),3,""))</f>
        <v/>
      </c>
      <c r="AE10" s="503">
        <f>IF(終値!A10="","",IF(AND(高値!I10&gt;高値!H10,高値!I10&gt;高値!G10,高値!I10&gt;高値!J10,高値!I10&gt;高値!K10),4,""))</f>
        <v>4</v>
      </c>
      <c r="AF10" s="503" t="str">
        <f>IF(終値!A10="","",IF(AND(高値!J10&gt;高値!I10,高値!J10&gt;高値!H10,高値!J10&gt;高値!K10,高値!J10&gt;高値!L10),5,""))</f>
        <v/>
      </c>
      <c r="AG10" s="503" t="str">
        <f>IF(終値!A10="","",IF(AND(高値!K10&gt;高値!J10,高値!K10&gt;高値!I10,高値!K10&gt;高値!L10,高値!K10&gt;高値!M10),6,""))</f>
        <v/>
      </c>
      <c r="AH10" s="503" t="str">
        <f>IF(終値!A10="","",IF(AND(高値!L10&gt;高値!K10,高値!L10&gt;高値!J10,高値!L10&gt;高値!M10,高値!L10&gt;高値!N10),7,""))</f>
        <v/>
      </c>
      <c r="AI10" s="503" t="str">
        <f>IF(終値!A10="","",IF(AND(高値!M10&gt;高値!L10,高値!M10&gt;高値!K10,高値!M10&gt;高値!N10,高値!M10&gt;高値!O10),8,""))</f>
        <v/>
      </c>
      <c r="AJ10" s="503" t="str">
        <f>IF(終値!A10="","",IF(AND(高値!N10&gt;高値!M10,高値!N10&gt;高値!L10,高値!N10&gt;高値!O10,高値!N10&gt;高値!P10),9,""))</f>
        <v/>
      </c>
      <c r="AK10" s="503" t="str">
        <f>IF(終値!A10="","",IF(AND(高値!O10&gt;高値!N10,高値!O10&gt;高値!M10,高値!O10&gt;高値!P10,高値!O10&gt;高値!Q10),10,""))</f>
        <v/>
      </c>
      <c r="AL10" s="503">
        <f>IF(終値!A10="","",IF(AND(高値!P10&gt;高値!O10,高値!P10&gt;高値!N10,高値!P10&gt;高値!Q10,高値!P10&gt;高値!R10),11,""))</f>
        <v>11</v>
      </c>
      <c r="AM10" s="503" t="str">
        <f>IF(終値!A10="","",IF(AND(高値!Q10&gt;高値!P10,高値!Q10&gt;高値!O10,高値!Q10&gt;高値!R10,高値!Q10&gt;高値!S10),12,""))</f>
        <v/>
      </c>
      <c r="AN10" s="503" t="str">
        <f>IF(終値!A10="","",IF(AND(高値!R10&gt;高値!Q10,高値!R10&gt;高値!P10,高値!R10&gt;高値!S10,高値!R10&gt;高値!T10),13,""))</f>
        <v/>
      </c>
      <c r="AO10" s="503">
        <f>IF(終値!A10="","",IF(AND(高値!S10&gt;高値!R10,高値!S10&gt;高値!Q10,高値!S10&gt;高値!T10,高値!S10&gt;高値!U10),14,""))</f>
        <v>14</v>
      </c>
      <c r="AP10" s="503" t="str">
        <f>IF(終値!A10="","",IF(AND(高値!T10&gt;高値!S10,高値!T10&gt;高値!R10,高値!T10&gt;高値!U10,高値!T10&gt;高値!V10),15,""))</f>
        <v/>
      </c>
      <c r="AQ10" s="503" t="str">
        <f>IF(終値!A10="","",IF(AND(高値!U10&gt;高値!T10,高値!U10&gt;高値!S10,高値!U10&gt;高値!V10,高値!U10&gt;高値!W10),16,""))</f>
        <v/>
      </c>
      <c r="AR10" s="503" t="str">
        <f>IF(終値!A10="","",IF(AND(高値!V10&gt;高値!U10,高値!V10&gt;高値!T10,高値!V10&gt;高値!W10,高値!V10&gt;高値!X10),17,""))</f>
        <v/>
      </c>
      <c r="AS10" s="503" t="str">
        <f>IF(終値!A10="","",IF(AND(高値!W10&gt;高値!V10,高値!W10&gt;高値!U10,高値!W10&gt;高値!X10,高値!W10&gt;高値!Y10),18,""))</f>
        <v/>
      </c>
      <c r="AT10" s="503" t="str">
        <f>IF(終値!A10="","",IF(AND(高値!X10&gt;高値!W10,高値!X10&gt;高値!V10,高値!X10&gt;高値!Y10,高値!X10&gt;高値!Z10),19,""))</f>
        <v/>
      </c>
      <c r="AU10" s="503" t="str">
        <f>IF(終値!A10="","",IF(AND(高値!Y10&gt;高値!X10,高値!Y10&gt;高値!W10,高値!Y10&gt;高値!Z10,高値!Y10&gt;高値!AA10),20,""))</f>
        <v/>
      </c>
      <c r="AV10" s="503">
        <f>IF(終値!A10="","",IF(AND(高値!Z10&gt;高値!Y10,高値!Z10&gt;高値!X10,高値!Z10&gt;高値!AA10,高値!Z10&gt;高値!AB10),21,""))</f>
        <v>21</v>
      </c>
      <c r="AW10" s="503" t="str">
        <f>IF(終値!A10="","",IF(AND(高値!AA10&gt;高値!Z10,高値!AA10&gt;高値!Y10,高値!AA10&gt;高値!AB10,高値!AA10&gt;高値!AC10),22,""))</f>
        <v/>
      </c>
      <c r="AX10" s="503" t="str">
        <f>IF(終値!A10="","",IF(AND(高値!AB10&gt;高値!AA10,高値!AB10&gt;高値!Z10,高値!AB10&gt;高値!AC10,高値!AB10&gt;高値!AD10),23,""))</f>
        <v/>
      </c>
      <c r="AY10" s="503" t="str">
        <f>IF(終値!A10="","",IF(AND(高値!AC10&gt;高値!AB10,高値!AC10&gt;高値!AA10,高値!AC10&gt;高値!AD10,高値!AC10&gt;高値!AE10),24,""))</f>
        <v/>
      </c>
      <c r="AZ10" s="503" t="str">
        <f>IF(終値!A10="","",IF(AND(高値!AD10&gt;高値!AC10,高値!AD10&gt;高値!AB10,高値!AD10&gt;高値!AE10,高値!AD10&gt;高値!AF10),25,""))</f>
        <v/>
      </c>
      <c r="BA10" s="503" t="str">
        <f>IF(終値!A10="","",IF(AND(高値!AE10&gt;高値!AD10,高値!AE10&gt;高値!AC10,高値!AE10&gt;高値!AF10,高値!AE10&gt;高値!AG10),26,""))</f>
        <v/>
      </c>
      <c r="BB10" s="503" t="str">
        <f>IF(終値!A10="","",IF(AND(高値!AF10&gt;高値!AE10,高値!AF10&gt;高値!AD10,高値!AF10&gt;高値!AG10,高値!AF10&gt;高値!AH10),27,""))</f>
        <v/>
      </c>
      <c r="BC10" s="503" t="str">
        <f>IF(終値!A10="","",IF(AND(高値!AG10&gt;高値!AF10,高値!AG10&gt;高値!AE10,高値!AG10&gt;高値!AH10,高値!AG10&gt;高値!AI10),28,""))</f>
        <v/>
      </c>
      <c r="BD10" s="503">
        <f t="shared" si="0"/>
        <v>3</v>
      </c>
      <c r="BE10" s="503">
        <f t="shared" si="1"/>
        <v>6</v>
      </c>
      <c r="BF10" s="503">
        <f t="shared" si="2"/>
        <v>13</v>
      </c>
      <c r="BG10" s="503">
        <f>IF($BE10="","",INDEX(安値!$E10:$CZ10,1,$BE10+1))</f>
        <v>7685</v>
      </c>
      <c r="BH10" s="503">
        <f>IF($BF10="","",INDEX(安値!$E10:$CZ10,1,$BF10+1))</f>
        <v>7725</v>
      </c>
      <c r="BI10" s="503">
        <f>IF($BF10="","",MAX(INDEX(高値!$E10:$CZ10,1,$BE10+1):INDEX(高値!$E10:$CZ10,1,$BF10+1)))</f>
        <v>8657</v>
      </c>
      <c r="BJ10" s="503">
        <f>IF($BF10="","",AVERAGE(INDEX(終値!$E10:$CZ10,1,$BF10+1):INDEX(終値!$E10:$CZ10,1,$BF10+20))-2*STDEVP(INDEX(終値!$E10:$CZ10,1,$BF10+1):INDEX(終値!$E10:$CZ10,1,$BF10+20)))</f>
        <v>7894.2636029872629</v>
      </c>
      <c r="BK10" s="503">
        <f>IF($BE10="","",AVERAGE(INDEX(終値!$E10:$CZ10,1,$BE10+1):INDEX(終値!$E10:$CZ10,1,$BE10+20))-2*STDEVP(INDEX(終値!$E10:$CZ10,1,$BE10+1):INDEX(終値!$E10:$CZ10,1,$BE10+20)))</f>
        <v>7890.4378715633511</v>
      </c>
      <c r="BL10" s="503">
        <f t="shared" si="3"/>
        <v>4</v>
      </c>
      <c r="BM10" s="503">
        <f t="shared" si="4"/>
        <v>4</v>
      </c>
      <c r="BN10" s="503">
        <f t="shared" si="5"/>
        <v>11</v>
      </c>
      <c r="BO10" s="503">
        <f>IF($BM10="","",INDEX(高値!$E10:$CZ10,1,$BM10+1))</f>
        <v>8343</v>
      </c>
      <c r="BP10" s="503">
        <f>IF($BN10="","",INDEX(高値!$E10:$CZ10,1,$BN10+1))</f>
        <v>8657</v>
      </c>
      <c r="BQ10" s="503">
        <f>IF($BN10="","",MIN(INDEX(安値!$E10:$CZ10,1,$BM10+1):INDEX(安値!$E10:$CZ10,1,$BN10+1)))</f>
        <v>7685</v>
      </c>
      <c r="BR10" s="503">
        <f>IF($BN10="","",AVERAGE(INDEX(終値!$E10:$CZ10,1,$BN10+1):INDEX(終値!$E10:$CZ10,1,$BN10+20))+2*STDEVP(INDEX(終値!$E10:$CZ10,1,$BN10+1):INDEX(終値!$E10:$CZ10,1,$BN10+20)))</f>
        <v>9169.5509031507263</v>
      </c>
      <c r="BS10" s="503">
        <f>IF($BM10="","",AVERAGE(INDEX(終値!$E10:$CZ10,1,$BM10+1):INDEX(終値!$E10:$CZ10,1,$BM10+20))+2*STDEVP(INDEX(終値!$E10:$CZ10,1,$BM10+1):INDEX(終値!$E10:$CZ10,1,$BM10+20)))</f>
        <v>8923.7444012616106</v>
      </c>
      <c r="BT10" s="500"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二番底W▲</v>
      </c>
    </row>
    <row r="11" spans="1:72">
      <c r="B11" s="503">
        <f>IF(終値!A11="","",IF(AND(安値!G11&lt;安値!F11,安値!G11&lt;安値!E11,安値!G11&lt;安値!H11,安値!G11&lt;安値!I11),2,""))</f>
        <v>2</v>
      </c>
      <c r="C11" s="503" t="str">
        <f>IF(終値!A11="","",IF(AND(安値!H11&lt;安値!G11,安値!H11&lt;安値!F11,安値!H11&lt;安値!I11,安値!H11&lt;安値!J11),3,""))</f>
        <v/>
      </c>
      <c r="D11" s="503" t="str">
        <f>IF(終値!A11="","",IF(AND(安値!I11&lt;安値!H11,安値!I11&lt;安値!G11,安値!I11&lt;安値!J11,安値!I11&lt;安値!K11),4,""))</f>
        <v/>
      </c>
      <c r="E11" s="503" t="str">
        <f>IF(終値!A11="","",IF(AND(安値!J11&lt;安値!I11,安値!J11&lt;安値!H11,安値!J11&lt;安値!K11,安値!J11&lt;安値!L11),5,""))</f>
        <v/>
      </c>
      <c r="F11" s="503" t="str">
        <f>IF(終値!A11="","",IF(AND(安値!K11&lt;安値!J11,安値!K11&lt;安値!I11,安値!K11&lt;安値!L11,安値!K11&lt;安値!M11),6,""))</f>
        <v/>
      </c>
      <c r="G11" s="503" t="str">
        <f>IF(終値!A11="","",IF(AND(安値!L11&lt;安値!K11,安値!L11&lt;安値!J11,安値!L11&lt;安値!M11,安値!L11&lt;安値!N11),7,""))</f>
        <v/>
      </c>
      <c r="H11" s="503" t="str">
        <f>IF(終値!A11="","",IF(AND(安値!M11&lt;安値!L11,安値!M11&lt;安値!K11,安値!M11&lt;安値!N11,安値!M11&lt;安値!O11),8,""))</f>
        <v/>
      </c>
      <c r="I11" s="503">
        <f>IF(終値!A11="","",IF(AND(安値!N11&lt;安値!M11,安値!N11&lt;安値!L11,安値!N11&lt;安値!O11,安値!N11&lt;安値!P11),9,""))</f>
        <v>9</v>
      </c>
      <c r="J11" s="503" t="str">
        <f>IF(終値!A11="","",IF(AND(安値!O11&lt;安値!N11,安値!O11&lt;安値!M11,安値!O11&lt;安値!P11,安値!O11&lt;安値!Q11),10,""))</f>
        <v/>
      </c>
      <c r="K11" s="503" t="str">
        <f>IF(終値!A11="","",IF(AND(安値!P11&lt;安値!O11,安値!P11&lt;安値!N11,安値!P11&lt;安値!Q11,安値!P11&lt;安値!R11),11,""))</f>
        <v/>
      </c>
      <c r="L11" s="503" t="str">
        <f>IF(終値!A11="","",IF(AND(安値!Q11&lt;安値!P11,安値!Q11&lt;安値!O11,安値!Q11&lt;安値!R11,安値!Q11&lt;安値!S11),12,""))</f>
        <v/>
      </c>
      <c r="M11" s="503" t="str">
        <f>IF(終値!A11="","",IF(AND(安値!R11&lt;安値!Q11,安値!R11&lt;安値!P11,安値!R11&lt;安値!S11,安値!R11&lt;安値!T11),13,""))</f>
        <v/>
      </c>
      <c r="N11" s="503">
        <f>IF(終値!A11="","",IF(AND(安値!S11&lt;安値!R11,安値!S11&lt;安値!Q11,安値!S11&lt;安値!T11,安値!S11&lt;安値!U11),14,""))</f>
        <v>14</v>
      </c>
      <c r="O11" s="503" t="str">
        <f>IF(終値!A11="","",IF(AND(安値!T11&lt;安値!S11,安値!T11&lt;安値!R11,安値!T11&lt;安値!U11,安値!T11&lt;安値!V11),15,""))</f>
        <v/>
      </c>
      <c r="P11" s="503" t="str">
        <f>IF(終値!A11="","",IF(AND(安値!U11&lt;安値!T11,安値!U11&lt;安値!S11,安値!U11&lt;安値!V11,安値!U11&lt;安値!W11),16,""))</f>
        <v/>
      </c>
      <c r="Q11" s="503" t="str">
        <f>IF(終値!A11="","",IF(AND(安値!V11&lt;安値!U11,安値!V11&lt;安値!T11,安値!V11&lt;安値!W11,安値!V11&lt;安値!X11),17,""))</f>
        <v/>
      </c>
      <c r="R11" s="503">
        <f>IF(終値!A11="","",IF(AND(安値!W11&lt;安値!V11,安値!W11&lt;安値!U11,安値!W11&lt;安値!X11,安値!W11&lt;安値!Y11),18,""))</f>
        <v>18</v>
      </c>
      <c r="S11" s="503" t="str">
        <f>IF(終値!A11="","",IF(AND(安値!X11&lt;安値!W11,安値!X11&lt;安値!V11,安値!X11&lt;安値!Y11,安値!X11&lt;安値!Z11),19,""))</f>
        <v/>
      </c>
      <c r="T11" s="503" t="str">
        <f>IF(終値!A11="","",IF(AND(安値!Y11&lt;安値!X11,安値!Y11&lt;安値!W11,安値!Y11&lt;安値!Z11,安値!Y11&lt;安値!AA11),20,""))</f>
        <v/>
      </c>
      <c r="U11" s="503" t="str">
        <f>IF(終値!A11="","",IF(AND(安値!Z11&lt;安値!Y11,安値!Z11&lt;安値!X11,安値!Z11&lt;安値!AA11,安値!Z11&lt;安値!AB11),21,""))</f>
        <v/>
      </c>
      <c r="V11" s="503" t="str">
        <f>IF(終値!A11="","",IF(AND(安値!AA11&lt;安値!Z11,安値!AA11&lt;安値!Y11,安値!AA11&lt;安値!AB11,安値!AA11&lt;安値!AC11),22,""))</f>
        <v/>
      </c>
      <c r="W11" s="503" t="str">
        <f>IF(終値!A11="","",IF(AND(安値!AB11&lt;安値!AA11,安値!AB11&lt;安値!Z11,安値!AB11&lt;安値!AC11,安値!AB11&lt;安値!AD11),23,""))</f>
        <v/>
      </c>
      <c r="X11" s="503">
        <f>IF(終値!A11="","",IF(AND(安値!AC11&lt;安値!AB11,安値!AC11&lt;安値!AA11,安値!AC11&lt;安値!AD11,安値!AC11&lt;安値!AE11),24,""))</f>
        <v>24</v>
      </c>
      <c r="Y11" s="503" t="str">
        <f>IF(終値!A11="","",IF(AND(安値!AD11&lt;安値!AC11,安値!AD11&lt;安値!AB11,安値!AD11&lt;安値!AE11,安値!AD11&lt;安値!AF11),25,""))</f>
        <v/>
      </c>
      <c r="Z11" s="503" t="str">
        <f>IF(終値!A11="","",IF(AND(安値!AE11&lt;安値!AD11,安値!AE11&lt;安値!AC11,安値!AE11&lt;安値!AF11,安値!AE11&lt;安値!AG11),26,""))</f>
        <v/>
      </c>
      <c r="AA11" s="503">
        <f>IF(終値!A11="","",IF(AND(安値!AF11&lt;安値!AE11,安値!AF11&lt;安値!AD11,安値!AF11&lt;安値!AG11,安値!AF11&lt;安値!AH11),27,""))</f>
        <v>27</v>
      </c>
      <c r="AB11" s="503" t="str">
        <f>IF(終値!A11="","",IF(AND(安値!AG11&lt;安値!AF11,安値!AG11&lt;安値!AE11,安値!AG11&lt;安値!AH11,安値!AG11&lt;安値!AI11),28,""))</f>
        <v/>
      </c>
      <c r="AC11" s="503" t="str">
        <f>IF(終値!A11="","",IF(AND(高値!G11&gt;高値!F11,高値!G11&gt;高値!E11,高値!G11&gt;高値!H11,高値!G11&gt;高値!I11),2,""))</f>
        <v/>
      </c>
      <c r="AD11" s="503" t="str">
        <f>IF(終値!A11="","",IF(AND(高値!H11&gt;高値!G11,高値!H11&gt;高値!F11,高値!H11&gt;高値!I11,高値!H11&gt;高値!J11),3,""))</f>
        <v/>
      </c>
      <c r="AE11" s="503" t="str">
        <f>IF(終値!A11="","",IF(AND(高値!I11&gt;高値!H11,高値!I11&gt;高値!G11,高値!I11&gt;高値!J11,高値!I11&gt;高値!K11),4,""))</f>
        <v/>
      </c>
      <c r="AF11" s="503">
        <f>IF(終値!A11="","",IF(AND(高値!J11&gt;高値!I11,高値!J11&gt;高値!H11,高値!J11&gt;高値!K11,高値!J11&gt;高値!L11),5,""))</f>
        <v>5</v>
      </c>
      <c r="AG11" s="503" t="str">
        <f>IF(終値!A11="","",IF(AND(高値!K11&gt;高値!J11,高値!K11&gt;高値!I11,高値!K11&gt;高値!L11,高値!K11&gt;高値!M11),6,""))</f>
        <v/>
      </c>
      <c r="AH11" s="503" t="str">
        <f>IF(終値!A11="","",IF(AND(高値!L11&gt;高値!K11,高値!L11&gt;高値!J11,高値!L11&gt;高値!M11,高値!L11&gt;高値!N11),7,""))</f>
        <v/>
      </c>
      <c r="AI11" s="503" t="str">
        <f>IF(終値!A11="","",IF(AND(高値!M11&gt;高値!L11,高値!M11&gt;高値!K11,高値!M11&gt;高値!N11,高値!M11&gt;高値!O11),8,""))</f>
        <v/>
      </c>
      <c r="AJ11" s="503" t="str">
        <f>IF(終値!A11="","",IF(AND(高値!N11&gt;高値!M11,高値!N11&gt;高値!L11,高値!N11&gt;高値!O11,高値!N11&gt;高値!P11),9,""))</f>
        <v/>
      </c>
      <c r="AK11" s="503" t="str">
        <f>IF(終値!A11="","",IF(AND(高値!O11&gt;高値!N11,高値!O11&gt;高値!M11,高値!O11&gt;高値!P11,高値!O11&gt;高値!Q11),10,""))</f>
        <v/>
      </c>
      <c r="AL11" s="503" t="str">
        <f>IF(終値!A11="","",IF(AND(高値!P11&gt;高値!O11,高値!P11&gt;高値!N11,高値!P11&gt;高値!Q11,高値!P11&gt;高値!R11),11,""))</f>
        <v/>
      </c>
      <c r="AM11" s="503">
        <f>IF(終値!A11="","",IF(AND(高値!Q11&gt;高値!P11,高値!Q11&gt;高値!O11,高値!Q11&gt;高値!R11,高値!Q11&gt;高値!S11),12,""))</f>
        <v>12</v>
      </c>
      <c r="AN11" s="503" t="str">
        <f>IF(終値!A11="","",IF(AND(高値!R11&gt;高値!Q11,高値!R11&gt;高値!P11,高値!R11&gt;高値!S11,高値!R11&gt;高値!T11),13,""))</f>
        <v/>
      </c>
      <c r="AO11" s="503" t="str">
        <f>IF(終値!A11="","",IF(AND(高値!S11&gt;高値!R11,高値!S11&gt;高値!Q11,高値!S11&gt;高値!T11,高値!S11&gt;高値!U11),14,""))</f>
        <v/>
      </c>
      <c r="AP11" s="503">
        <f>IF(終値!A11="","",IF(AND(高値!T11&gt;高値!S11,高値!T11&gt;高値!R11,高値!T11&gt;高値!U11,高値!T11&gt;高値!V11),15,""))</f>
        <v>15</v>
      </c>
      <c r="AQ11" s="503" t="str">
        <f>IF(終値!A11="","",IF(AND(高値!U11&gt;高値!T11,高値!U11&gt;高値!S11,高値!U11&gt;高値!V11,高値!U11&gt;高値!W11),16,""))</f>
        <v/>
      </c>
      <c r="AR11" s="503" t="str">
        <f>IF(終値!A11="","",IF(AND(高値!V11&gt;高値!U11,高値!V11&gt;高値!T11,高値!V11&gt;高値!W11,高値!V11&gt;高値!X11),17,""))</f>
        <v/>
      </c>
      <c r="AS11" s="503" t="str">
        <f>IF(終値!A11="","",IF(AND(高値!W11&gt;高値!V11,高値!W11&gt;高値!U11,高値!W11&gt;高値!X11,高値!W11&gt;高値!Y11),18,""))</f>
        <v/>
      </c>
      <c r="AT11" s="503">
        <f>IF(終値!A11="","",IF(AND(高値!X11&gt;高値!W11,高値!X11&gt;高値!V11,高値!X11&gt;高値!Y11,高値!X11&gt;高値!Z11),19,""))</f>
        <v>19</v>
      </c>
      <c r="AU11" s="503" t="str">
        <f>IF(終値!A11="","",IF(AND(高値!Y11&gt;高値!X11,高値!Y11&gt;高値!W11,高値!Y11&gt;高値!Z11,高値!Y11&gt;高値!AA11),20,""))</f>
        <v/>
      </c>
      <c r="AV11" s="503" t="str">
        <f>IF(終値!A11="","",IF(AND(高値!Z11&gt;高値!Y11,高値!Z11&gt;高値!X11,高値!Z11&gt;高値!AA11,高値!Z11&gt;高値!AB11),21,""))</f>
        <v/>
      </c>
      <c r="AW11" s="503" t="str">
        <f>IF(終値!A11="","",IF(AND(高値!AA11&gt;高値!Z11,高値!AA11&gt;高値!Y11,高値!AA11&gt;高値!AB11,高値!AA11&gt;高値!AC11),22,""))</f>
        <v/>
      </c>
      <c r="AX11" s="503" t="str">
        <f>IF(終値!A11="","",IF(AND(高値!AB11&gt;高値!AA11,高値!AB11&gt;高値!Z11,高値!AB11&gt;高値!AC11,高値!AB11&gt;高値!AD11),23,""))</f>
        <v/>
      </c>
      <c r="AY11" s="503" t="str">
        <f>IF(終値!A11="","",IF(AND(高値!AC11&gt;高値!AB11,高値!AC11&gt;高値!AA11,高値!AC11&gt;高値!AD11,高値!AC11&gt;高値!AE11),24,""))</f>
        <v/>
      </c>
      <c r="AZ11" s="503" t="str">
        <f>IF(終値!A11="","",IF(AND(高値!AD11&gt;高値!AC11,高値!AD11&gt;高値!AB11,高値!AD11&gt;高値!AE11,高値!AD11&gt;高値!AF11),25,""))</f>
        <v/>
      </c>
      <c r="BA11" s="503" t="str">
        <f>IF(終値!A11="","",IF(AND(高値!AE11&gt;高値!AD11,高値!AE11&gt;高値!AC11,高値!AE11&gt;高値!AF11,高値!AE11&gt;高値!AG11),26,""))</f>
        <v/>
      </c>
      <c r="BB11" s="503" t="str">
        <f>IF(終値!A11="","",IF(AND(高値!AF11&gt;高値!AE11,高値!AF11&gt;高値!AD11,高値!AF11&gt;高値!AG11,高値!AF11&gt;高値!AH11),27,""))</f>
        <v/>
      </c>
      <c r="BC11" s="503" t="str">
        <f>IF(終値!A11="","",IF(AND(高値!AG11&gt;高値!AF11,高値!AG11&gt;高値!AE11,高値!AG11&gt;高値!AH11,高値!AG11&gt;高値!AI11),28,""))</f>
        <v/>
      </c>
      <c r="BD11" s="503">
        <f t="shared" si="0"/>
        <v>6</v>
      </c>
      <c r="BE11" s="503">
        <f t="shared" si="1"/>
        <v>2</v>
      </c>
      <c r="BF11" s="503">
        <f t="shared" si="2"/>
        <v>9</v>
      </c>
      <c r="BG11" s="503">
        <f>IF($BE11="","",INDEX(安値!$E11:$CZ11,1,$BE11+1))</f>
        <v>4560</v>
      </c>
      <c r="BH11" s="503">
        <f>IF($BF11="","",INDEX(安値!$E11:$CZ11,1,$BF11+1))</f>
        <v>4191</v>
      </c>
      <c r="BI11" s="503">
        <f>IF($BF11="","",MAX(INDEX(高値!$E11:$CZ11,1,$BE11+1):INDEX(高値!$E11:$CZ11,1,$BF11+1)))</f>
        <v>5104</v>
      </c>
      <c r="BJ11" s="503">
        <f>IF($BF11="","",AVERAGE(INDEX(終値!$E11:$CZ11,1,$BF11+1):INDEX(終値!$E11:$CZ11,1,$BF11+20))-2*STDEVP(INDEX(終値!$E11:$CZ11,1,$BF11+1):INDEX(終値!$E11:$CZ11,1,$BF11+20)))</f>
        <v>3813.3689268410112</v>
      </c>
      <c r="BK11" s="503">
        <f>IF($BE11="","",AVERAGE(INDEX(終値!$E11:$CZ11,1,$BE11+1):INDEX(終値!$E11:$CZ11,1,$BE11+20))-2*STDEVP(INDEX(終値!$E11:$CZ11,1,$BE11+1):INDEX(終値!$E11:$CZ11,1,$BE11+20)))</f>
        <v>4073.9852866409115</v>
      </c>
      <c r="BL11" s="503">
        <f t="shared" si="3"/>
        <v>4</v>
      </c>
      <c r="BM11" s="503">
        <f t="shared" si="4"/>
        <v>5</v>
      </c>
      <c r="BN11" s="503">
        <f t="shared" si="5"/>
        <v>12</v>
      </c>
      <c r="BO11" s="503">
        <f>IF($BM11="","",INDEX(高値!$E11:$CZ11,1,$BM11+1))</f>
        <v>5104</v>
      </c>
      <c r="BP11" s="503">
        <f>IF($BN11="","",INDEX(高値!$E11:$CZ11,1,$BN11+1))</f>
        <v>4497</v>
      </c>
      <c r="BQ11" s="503">
        <f>IF($BN11="","",MIN(INDEX(安値!$E11:$CZ11,1,$BM11+1):INDEX(安値!$E11:$CZ11,1,$BN11+1)))</f>
        <v>4191</v>
      </c>
      <c r="BR11" s="503">
        <f>IF($BN11="","",AVERAGE(INDEX(終値!$E11:$CZ11,1,$BN11+1):INDEX(終値!$E11:$CZ11,1,$BN11+20))+2*STDEVP(INDEX(終値!$E11:$CZ11,1,$BN11+1):INDEX(終値!$E11:$CZ11,1,$BN11+20)))</f>
        <v>4648.2077772838138</v>
      </c>
      <c r="BS11" s="503">
        <f>IF($BM11="","",AVERAGE(INDEX(終値!$E11:$CZ11,1,$BM11+1):INDEX(終値!$E11:$CZ11,1,$BM11+20))+2*STDEVP(INDEX(終値!$E11:$CZ11,1,$BM11+1):INDEX(終値!$E11:$CZ11,1,$BM11+20)))</f>
        <v>4755.5151141903289</v>
      </c>
      <c r="BT11" s="500"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v>
      </c>
    </row>
    <row r="12" spans="1:72">
      <c r="B12" s="503" t="str">
        <f>IF(終値!A12="","",IF(AND(安値!G12&lt;安値!F12,安値!G12&lt;安値!E12,安値!G12&lt;安値!H12,安値!G12&lt;安値!I12),2,""))</f>
        <v/>
      </c>
      <c r="C12" s="503" t="str">
        <f>IF(終値!A12="","",IF(AND(安値!H12&lt;安値!G12,安値!H12&lt;安値!F12,安値!H12&lt;安値!I12,安値!H12&lt;安値!J12),3,""))</f>
        <v/>
      </c>
      <c r="D12" s="503" t="str">
        <f>IF(終値!A12="","",IF(AND(安値!I12&lt;安値!H12,安値!I12&lt;安値!G12,安値!I12&lt;安値!J12,安値!I12&lt;安値!K12),4,""))</f>
        <v/>
      </c>
      <c r="E12" s="503" t="str">
        <f>IF(終値!A12="","",IF(AND(安値!J12&lt;安値!I12,安値!J12&lt;安値!H12,安値!J12&lt;安値!K12,安値!J12&lt;安値!L12),5,""))</f>
        <v/>
      </c>
      <c r="F12" s="503" t="str">
        <f>IF(終値!A12="","",IF(AND(安値!K12&lt;安値!J12,安値!K12&lt;安値!I12,安値!K12&lt;安値!L12,安値!K12&lt;安値!M12),6,""))</f>
        <v/>
      </c>
      <c r="G12" s="503">
        <f>IF(終値!A12="","",IF(AND(安値!L12&lt;安値!K12,安値!L12&lt;安値!J12,安値!L12&lt;安値!M12,安値!L12&lt;安値!N12),7,""))</f>
        <v>7</v>
      </c>
      <c r="H12" s="503" t="str">
        <f>IF(終値!A12="","",IF(AND(安値!M12&lt;安値!L12,安値!M12&lt;安値!K12,安値!M12&lt;安値!N12,安値!M12&lt;安値!O12),8,""))</f>
        <v/>
      </c>
      <c r="I12" s="503" t="str">
        <f>IF(終値!A12="","",IF(AND(安値!N12&lt;安値!M12,安値!N12&lt;安値!L12,安値!N12&lt;安値!O12,安値!N12&lt;安値!P12),9,""))</f>
        <v/>
      </c>
      <c r="J12" s="503" t="str">
        <f>IF(終値!A12="","",IF(AND(安値!O12&lt;安値!N12,安値!O12&lt;安値!M12,安値!O12&lt;安値!P12,安値!O12&lt;安値!Q12),10,""))</f>
        <v/>
      </c>
      <c r="K12" s="503" t="str">
        <f>IF(終値!A12="","",IF(AND(安値!P12&lt;安値!O12,安値!P12&lt;安値!N12,安値!P12&lt;安値!Q12,安値!P12&lt;安値!R12),11,""))</f>
        <v/>
      </c>
      <c r="L12" s="503" t="str">
        <f>IF(終値!A12="","",IF(AND(安値!Q12&lt;安値!P12,安値!Q12&lt;安値!O12,安値!Q12&lt;安値!R12,安値!Q12&lt;安値!S12),12,""))</f>
        <v/>
      </c>
      <c r="M12" s="503">
        <f>IF(終値!A12="","",IF(AND(安値!R12&lt;安値!Q12,安値!R12&lt;安値!P12,安値!R12&lt;安値!S12,安値!R12&lt;安値!T12),13,""))</f>
        <v>13</v>
      </c>
      <c r="N12" s="503" t="str">
        <f>IF(終値!A12="","",IF(AND(安値!S12&lt;安値!R12,安値!S12&lt;安値!Q12,安値!S12&lt;安値!T12,安値!S12&lt;安値!U12),14,""))</f>
        <v/>
      </c>
      <c r="O12" s="503" t="str">
        <f>IF(終値!A12="","",IF(AND(安値!T12&lt;安値!S12,安値!T12&lt;安値!R12,安値!T12&lt;安値!U12,安値!T12&lt;安値!V12),15,""))</f>
        <v/>
      </c>
      <c r="P12" s="503" t="str">
        <f>IF(終値!A12="","",IF(AND(安値!U12&lt;安値!T12,安値!U12&lt;安値!S12,安値!U12&lt;安値!V12,安値!U12&lt;安値!W12),16,""))</f>
        <v/>
      </c>
      <c r="Q12" s="503" t="str">
        <f>IF(終値!A12="","",IF(AND(安値!V12&lt;安値!U12,安値!V12&lt;安値!T12,安値!V12&lt;安値!W12,安値!V12&lt;安値!X12),17,""))</f>
        <v/>
      </c>
      <c r="R12" s="503" t="str">
        <f>IF(終値!A12="","",IF(AND(安値!W12&lt;安値!V12,安値!W12&lt;安値!U12,安値!W12&lt;安値!X12,安値!W12&lt;安値!Y12),18,""))</f>
        <v/>
      </c>
      <c r="S12" s="503" t="str">
        <f>IF(終値!A12="","",IF(AND(安値!X12&lt;安値!W12,安値!X12&lt;安値!V12,安値!X12&lt;安値!Y12,安値!X12&lt;安値!Z12),19,""))</f>
        <v/>
      </c>
      <c r="T12" s="503" t="str">
        <f>IF(終値!A12="","",IF(AND(安値!Y12&lt;安値!X12,安値!Y12&lt;安値!W12,安値!Y12&lt;安値!Z12,安値!Y12&lt;安値!AA12),20,""))</f>
        <v/>
      </c>
      <c r="U12" s="503" t="str">
        <f>IF(終値!A12="","",IF(AND(安値!Z12&lt;安値!Y12,安値!Z12&lt;安値!X12,安値!Z12&lt;安値!AA12,安値!Z12&lt;安値!AB12),21,""))</f>
        <v/>
      </c>
      <c r="V12" s="503" t="str">
        <f>IF(終値!A12="","",IF(AND(安値!AA12&lt;安値!Z12,安値!AA12&lt;安値!Y12,安値!AA12&lt;安値!AB12,安値!AA12&lt;安値!AC12),22,""))</f>
        <v/>
      </c>
      <c r="W12" s="503">
        <f>IF(終値!A12="","",IF(AND(安値!AB12&lt;安値!AA12,安値!AB12&lt;安値!Z12,安値!AB12&lt;安値!AC12,安値!AB12&lt;安値!AD12),23,""))</f>
        <v>23</v>
      </c>
      <c r="X12" s="503" t="str">
        <f>IF(終値!A12="","",IF(AND(安値!AC12&lt;安値!AB12,安値!AC12&lt;安値!AA12,安値!AC12&lt;安値!AD12,安値!AC12&lt;安値!AE12),24,""))</f>
        <v/>
      </c>
      <c r="Y12" s="503" t="str">
        <f>IF(終値!A12="","",IF(AND(安値!AD12&lt;安値!AC12,安値!AD12&lt;安値!AB12,安値!AD12&lt;安値!AE12,安値!AD12&lt;安値!AF12),25,""))</f>
        <v/>
      </c>
      <c r="Z12" s="503" t="str">
        <f>IF(終値!A12="","",IF(AND(安値!AE12&lt;安値!AD12,安値!AE12&lt;安値!AC12,安値!AE12&lt;安値!AF12,安値!AE12&lt;安値!AG12),26,""))</f>
        <v/>
      </c>
      <c r="AA12" s="503" t="str">
        <f>IF(終値!A12="","",IF(AND(安値!AF12&lt;安値!AE12,安値!AF12&lt;安値!AD12,安値!AF12&lt;安値!AG12,安値!AF12&lt;安値!AH12),27,""))</f>
        <v/>
      </c>
      <c r="AB12" s="503">
        <f>IF(終値!A12="","",IF(AND(安値!AG12&lt;安値!AF12,安値!AG12&lt;安値!AE12,安値!AG12&lt;安値!AH12,安値!AG12&lt;安値!AI12),28,""))</f>
        <v>28</v>
      </c>
      <c r="AC12" s="503" t="str">
        <f>IF(終値!A12="","",IF(AND(高値!G12&gt;高値!F12,高値!G12&gt;高値!E12,高値!G12&gt;高値!H12,高値!G12&gt;高値!I12),2,""))</f>
        <v/>
      </c>
      <c r="AD12" s="503" t="str">
        <f>IF(終値!A12="","",IF(AND(高値!H12&gt;高値!G12,高値!H12&gt;高値!F12,高値!H12&gt;高値!I12,高値!H12&gt;高値!J12),3,""))</f>
        <v/>
      </c>
      <c r="AE12" s="503" t="str">
        <f>IF(終値!A12="","",IF(AND(高値!I12&gt;高値!H12,高値!I12&gt;高値!G12,高値!I12&gt;高値!J12,高値!I12&gt;高値!K12),4,""))</f>
        <v/>
      </c>
      <c r="AF12" s="503">
        <f>IF(終値!A12="","",IF(AND(高値!J12&gt;高値!I12,高値!J12&gt;高値!H12,高値!J12&gt;高値!K12,高値!J12&gt;高値!L12),5,""))</f>
        <v>5</v>
      </c>
      <c r="AG12" s="503" t="str">
        <f>IF(終値!A12="","",IF(AND(高値!K12&gt;高値!J12,高値!K12&gt;高値!I12,高値!K12&gt;高値!L12,高値!K12&gt;高値!M12),6,""))</f>
        <v/>
      </c>
      <c r="AH12" s="503" t="str">
        <f>IF(終値!A12="","",IF(AND(高値!L12&gt;高値!K12,高値!L12&gt;高値!J12,高値!L12&gt;高値!M12,高値!L12&gt;高値!N12),7,""))</f>
        <v/>
      </c>
      <c r="AI12" s="503" t="str">
        <f>IF(終値!A12="","",IF(AND(高値!M12&gt;高値!L12,高値!M12&gt;高値!K12,高値!M12&gt;高値!N12,高値!M12&gt;高値!O12),8,""))</f>
        <v/>
      </c>
      <c r="AJ12" s="503">
        <f>IF(終値!A12="","",IF(AND(高値!N12&gt;高値!M12,高値!N12&gt;高値!L12,高値!N12&gt;高値!O12,高値!N12&gt;高値!P12),9,""))</f>
        <v>9</v>
      </c>
      <c r="AK12" s="503" t="str">
        <f>IF(終値!A12="","",IF(AND(高値!O12&gt;高値!N12,高値!O12&gt;高値!M12,高値!O12&gt;高値!P12,高値!O12&gt;高値!Q12),10,""))</f>
        <v/>
      </c>
      <c r="AL12" s="503" t="str">
        <f>IF(終値!A12="","",IF(AND(高値!P12&gt;高値!O12,高値!P12&gt;高値!N12,高値!P12&gt;高値!Q12,高値!P12&gt;高値!R12),11,""))</f>
        <v/>
      </c>
      <c r="AM12" s="503" t="str">
        <f>IF(終値!A12="","",IF(AND(高値!Q12&gt;高値!P12,高値!Q12&gt;高値!O12,高値!Q12&gt;高値!R12,高値!Q12&gt;高値!S12),12,""))</f>
        <v/>
      </c>
      <c r="AN12" s="503" t="str">
        <f>IF(終値!A12="","",IF(AND(高値!R12&gt;高値!Q12,高値!R12&gt;高値!P12,高値!R12&gt;高値!S12,高値!R12&gt;高値!T12),13,""))</f>
        <v/>
      </c>
      <c r="AO12" s="503" t="str">
        <f>IF(終値!A12="","",IF(AND(高値!S12&gt;高値!R12,高値!S12&gt;高値!Q12,高値!S12&gt;高値!T12,高値!S12&gt;高値!U12),14,""))</f>
        <v/>
      </c>
      <c r="AP12" s="503">
        <f>IF(終値!A12="","",IF(AND(高値!T12&gt;高値!S12,高値!T12&gt;高値!R12,高値!T12&gt;高値!U12,高値!T12&gt;高値!V12),15,""))</f>
        <v>15</v>
      </c>
      <c r="AQ12" s="503" t="str">
        <f>IF(終値!A12="","",IF(AND(高値!U12&gt;高値!T12,高値!U12&gt;高値!S12,高値!U12&gt;高値!V12,高値!U12&gt;高値!W12),16,""))</f>
        <v/>
      </c>
      <c r="AR12" s="503" t="str">
        <f>IF(終値!A12="","",IF(AND(高値!V12&gt;高値!U12,高値!V12&gt;高値!T12,高値!V12&gt;高値!W12,高値!V12&gt;高値!X12),17,""))</f>
        <v/>
      </c>
      <c r="AS12" s="503">
        <f>IF(終値!A12="","",IF(AND(高値!W12&gt;高値!V12,高値!W12&gt;高値!U12,高値!W12&gt;高値!X12,高値!W12&gt;高値!Y12),18,""))</f>
        <v>18</v>
      </c>
      <c r="AT12" s="503" t="str">
        <f>IF(終値!A12="","",IF(AND(高値!X12&gt;高値!W12,高値!X12&gt;高値!V12,高値!X12&gt;高値!Y12,高値!X12&gt;高値!Z12),19,""))</f>
        <v/>
      </c>
      <c r="AU12" s="503" t="str">
        <f>IF(終値!A12="","",IF(AND(高値!Y12&gt;高値!X12,高値!Y12&gt;高値!W12,高値!Y12&gt;高値!Z12,高値!Y12&gt;高値!AA12),20,""))</f>
        <v/>
      </c>
      <c r="AV12" s="503" t="str">
        <f>IF(終値!A12="","",IF(AND(高値!Z12&gt;高値!Y12,高値!Z12&gt;高値!X12,高値!Z12&gt;高値!AA12,高値!Z12&gt;高値!AB12),21,""))</f>
        <v/>
      </c>
      <c r="AW12" s="503" t="str">
        <f>IF(終値!A12="","",IF(AND(高値!AA12&gt;高値!Z12,高値!AA12&gt;高値!Y12,高値!AA12&gt;高値!AB12,高値!AA12&gt;高値!AC12),22,""))</f>
        <v/>
      </c>
      <c r="AX12" s="503" t="str">
        <f>IF(終値!A12="","",IF(AND(高値!AB12&gt;高値!AA12,高値!AB12&gt;高値!Z12,高値!AB12&gt;高値!AC12,高値!AB12&gt;高値!AD12),23,""))</f>
        <v/>
      </c>
      <c r="AY12" s="503" t="str">
        <f>IF(終値!A12="","",IF(AND(高値!AC12&gt;高値!AB12,高値!AC12&gt;高値!AA12,高値!AC12&gt;高値!AD12,高値!AC12&gt;高値!AE12),24,""))</f>
        <v/>
      </c>
      <c r="AZ12" s="503" t="str">
        <f>IF(終値!A12="","",IF(AND(高値!AD12&gt;高値!AC12,高値!AD12&gt;高値!AB12,高値!AD12&gt;高値!AE12,高値!AD12&gt;高値!AF12),25,""))</f>
        <v/>
      </c>
      <c r="BA12" s="503" t="str">
        <f>IF(終値!A12="","",IF(AND(高値!AE12&gt;高値!AD12,高値!AE12&gt;高値!AC12,高値!AE12&gt;高値!AF12,高値!AE12&gt;高値!AG12),26,""))</f>
        <v/>
      </c>
      <c r="BB12" s="503" t="str">
        <f>IF(終値!A12="","",IF(AND(高値!AF12&gt;高値!AE12,高値!AF12&gt;高値!AD12,高値!AF12&gt;高値!AG12,高値!AF12&gt;高値!AH12),27,""))</f>
        <v/>
      </c>
      <c r="BC12" s="503" t="str">
        <f>IF(終値!A12="","",IF(AND(高値!AG12&gt;高値!AF12,高値!AG12&gt;高値!AE12,高値!AG12&gt;高値!AH12,高値!AG12&gt;高値!AI12),28,""))</f>
        <v/>
      </c>
      <c r="BD12" s="503">
        <f t="shared" si="0"/>
        <v>4</v>
      </c>
      <c r="BE12" s="503">
        <f t="shared" si="1"/>
        <v>7</v>
      </c>
      <c r="BF12" s="503">
        <f t="shared" si="2"/>
        <v>13</v>
      </c>
      <c r="BG12" s="503">
        <f>IF($BE12="","",INDEX(安値!$E12:$CZ12,1,$BE12+1))</f>
        <v>3534</v>
      </c>
      <c r="BH12" s="503">
        <f>IF($BF12="","",INDEX(安値!$E12:$CZ12,1,$BF12+1))</f>
        <v>3375</v>
      </c>
      <c r="BI12" s="503">
        <f>IF($BF12="","",MAX(INDEX(高値!$E12:$CZ12,1,$BE12+1):INDEX(高値!$E12:$CZ12,1,$BF12+1)))</f>
        <v>3761</v>
      </c>
      <c r="BJ12" s="503">
        <f>IF($BF12="","",AVERAGE(INDEX(終値!$E12:$CZ12,1,$BF12+1):INDEX(終値!$E12:$CZ12,1,$BF12+20))-2*STDEVP(INDEX(終値!$E12:$CZ12,1,$BF12+1):INDEX(終値!$E12:$CZ12,1,$BF12+20)))</f>
        <v>3172.2291902068941</v>
      </c>
      <c r="BK12" s="503">
        <f>IF($BE12="","",AVERAGE(INDEX(終値!$E12:$CZ12,1,$BE12+1):INDEX(終値!$E12:$CZ12,1,$BE12+20))-2*STDEVP(INDEX(終値!$E12:$CZ12,1,$BE12+1):INDEX(終値!$E12:$CZ12,1,$BE12+20)))</f>
        <v>3098.8809531089046</v>
      </c>
      <c r="BL12" s="503">
        <f t="shared" si="3"/>
        <v>4</v>
      </c>
      <c r="BM12" s="503">
        <f t="shared" si="4"/>
        <v>5</v>
      </c>
      <c r="BN12" s="503">
        <f t="shared" si="5"/>
        <v>9</v>
      </c>
      <c r="BO12" s="503">
        <f>IF($BM12="","",INDEX(高値!$E12:$CZ12,1,$BM12+1))</f>
        <v>3678</v>
      </c>
      <c r="BP12" s="503">
        <f>IF($BN12="","",INDEX(高値!$E12:$CZ12,1,$BN12+1))</f>
        <v>3761</v>
      </c>
      <c r="BQ12" s="503">
        <f>IF($BN12="","",MIN(INDEX(安値!$E12:$CZ12,1,$BM12+1):INDEX(安値!$E12:$CZ12,1,$BN12+1)))</f>
        <v>3534</v>
      </c>
      <c r="BR12" s="503">
        <f>IF($BN12="","",AVERAGE(INDEX(終値!$E12:$CZ12,1,$BN12+1):INDEX(終値!$E12:$CZ12,1,$BN12+20))+2*STDEVP(INDEX(終値!$E12:$CZ12,1,$BN12+1):INDEX(終値!$E12:$CZ12,1,$BN12+20)))</f>
        <v>3713.7776433938043</v>
      </c>
      <c r="BS12" s="503">
        <f>IF($BM12="","",AVERAGE(INDEX(終値!$E12:$CZ12,1,$BM12+1):INDEX(終値!$E12:$CZ12,1,$BM12+20))+2*STDEVP(INDEX(終値!$E12:$CZ12,1,$BM12+1):INDEX(終値!$E12:$CZ12,1,$BM12+20)))</f>
        <v>3795.6004082247255</v>
      </c>
      <c r="BT12" s="500"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二番天井M▼</v>
      </c>
    </row>
    <row r="13" spans="1:72">
      <c r="B13" s="503" t="str">
        <f>IF(終値!A13="","",IF(AND(安値!G13&lt;安値!F13,安値!G13&lt;安値!E13,安値!G13&lt;安値!H13,安値!G13&lt;安値!I13),2,""))</f>
        <v/>
      </c>
      <c r="C13" s="503" t="str">
        <f>IF(終値!A13="","",IF(AND(安値!H13&lt;安値!G13,安値!H13&lt;安値!F13,安値!H13&lt;安値!I13,安値!H13&lt;安値!J13),3,""))</f>
        <v/>
      </c>
      <c r="D13" s="503" t="str">
        <f>IF(終値!A13="","",IF(AND(安値!I13&lt;安値!H13,安値!I13&lt;安値!G13,安値!I13&lt;安値!J13,安値!I13&lt;安値!K13),4,""))</f>
        <v/>
      </c>
      <c r="E13" s="503" t="str">
        <f>IF(終値!A13="","",IF(AND(安値!J13&lt;安値!I13,安値!J13&lt;安値!H13,安値!J13&lt;安値!K13,安値!J13&lt;安値!L13),5,""))</f>
        <v/>
      </c>
      <c r="F13" s="503">
        <f>IF(終値!A13="","",IF(AND(安値!K13&lt;安値!J13,安値!K13&lt;安値!I13,安値!K13&lt;安値!L13,安値!K13&lt;安値!M13),6,""))</f>
        <v>6</v>
      </c>
      <c r="G13" s="503" t="str">
        <f>IF(終値!A13="","",IF(AND(安値!L13&lt;安値!K13,安値!L13&lt;安値!J13,安値!L13&lt;安値!M13,安値!L13&lt;安値!N13),7,""))</f>
        <v/>
      </c>
      <c r="H13" s="503" t="str">
        <f>IF(終値!A13="","",IF(AND(安値!M13&lt;安値!L13,安値!M13&lt;安値!K13,安値!M13&lt;安値!N13,安値!M13&lt;安値!O13),8,""))</f>
        <v/>
      </c>
      <c r="I13" s="503" t="str">
        <f>IF(終値!A13="","",IF(AND(安値!N13&lt;安値!M13,安値!N13&lt;安値!L13,安値!N13&lt;安値!O13,安値!N13&lt;安値!P13),9,""))</f>
        <v/>
      </c>
      <c r="J13" s="503" t="str">
        <f>IF(終値!A13="","",IF(AND(安値!O13&lt;安値!N13,安値!O13&lt;安値!M13,安値!O13&lt;安値!P13,安値!O13&lt;安値!Q13),10,""))</f>
        <v/>
      </c>
      <c r="K13" s="503" t="str">
        <f>IF(終値!A13="","",IF(AND(安値!P13&lt;安値!O13,安値!P13&lt;安値!N13,安値!P13&lt;安値!Q13,安値!P13&lt;安値!R13),11,""))</f>
        <v/>
      </c>
      <c r="L13" s="503" t="str">
        <f>IF(終値!A13="","",IF(AND(安値!Q13&lt;安値!P13,安値!Q13&lt;安値!O13,安値!Q13&lt;安値!R13,安値!Q13&lt;安値!S13),12,""))</f>
        <v/>
      </c>
      <c r="M13" s="503">
        <f>IF(終値!A13="","",IF(AND(安値!R13&lt;安値!Q13,安値!R13&lt;安値!P13,安値!R13&lt;安値!S13,安値!R13&lt;安値!T13),13,""))</f>
        <v>13</v>
      </c>
      <c r="N13" s="503" t="str">
        <f>IF(終値!A13="","",IF(AND(安値!S13&lt;安値!R13,安値!S13&lt;安値!Q13,安値!S13&lt;安値!T13,安値!S13&lt;安値!U13),14,""))</f>
        <v/>
      </c>
      <c r="O13" s="503" t="str">
        <f>IF(終値!A13="","",IF(AND(安値!T13&lt;安値!S13,安値!T13&lt;安値!R13,安値!T13&lt;安値!U13,安値!T13&lt;安値!V13),15,""))</f>
        <v/>
      </c>
      <c r="P13" s="503" t="str">
        <f>IF(終値!A13="","",IF(AND(安値!U13&lt;安値!T13,安値!U13&lt;安値!S13,安値!U13&lt;安値!V13,安値!U13&lt;安値!W13),16,""))</f>
        <v/>
      </c>
      <c r="Q13" s="503" t="str">
        <f>IF(終値!A13="","",IF(AND(安値!V13&lt;安値!U13,安値!V13&lt;安値!T13,安値!V13&lt;安値!W13,安値!V13&lt;安値!X13),17,""))</f>
        <v/>
      </c>
      <c r="R13" s="503">
        <f>IF(終値!A13="","",IF(AND(安値!W13&lt;安値!V13,安値!W13&lt;安値!U13,安値!W13&lt;安値!X13,安値!W13&lt;安値!Y13),18,""))</f>
        <v>18</v>
      </c>
      <c r="S13" s="503" t="str">
        <f>IF(終値!A13="","",IF(AND(安値!X13&lt;安値!W13,安値!X13&lt;安値!V13,安値!X13&lt;安値!Y13,安値!X13&lt;安値!Z13),19,""))</f>
        <v/>
      </c>
      <c r="T13" s="503" t="str">
        <f>IF(終値!A13="","",IF(AND(安値!Y13&lt;安値!X13,安値!Y13&lt;安値!W13,安値!Y13&lt;安値!Z13,安値!Y13&lt;安値!AA13),20,""))</f>
        <v/>
      </c>
      <c r="U13" s="503" t="str">
        <f>IF(終値!A13="","",IF(AND(安値!Z13&lt;安値!Y13,安値!Z13&lt;安値!X13,安値!Z13&lt;安値!AA13,安値!Z13&lt;安値!AB13),21,""))</f>
        <v/>
      </c>
      <c r="V13" s="503" t="str">
        <f>IF(終値!A13="","",IF(AND(安値!AA13&lt;安値!Z13,安値!AA13&lt;安値!Y13,安値!AA13&lt;安値!AB13,安値!AA13&lt;安値!AC13),22,""))</f>
        <v/>
      </c>
      <c r="W13" s="503">
        <f>IF(終値!A13="","",IF(AND(安値!AB13&lt;安値!AA13,安値!AB13&lt;安値!Z13,安値!AB13&lt;安値!AC13,安値!AB13&lt;安値!AD13),23,""))</f>
        <v>23</v>
      </c>
      <c r="X13" s="503" t="str">
        <f>IF(終値!A13="","",IF(AND(安値!AC13&lt;安値!AB13,安値!AC13&lt;安値!AA13,安値!AC13&lt;安値!AD13,安値!AC13&lt;安値!AE13),24,""))</f>
        <v/>
      </c>
      <c r="Y13" s="503" t="str">
        <f>IF(終値!A13="","",IF(AND(安値!AD13&lt;安値!AC13,安値!AD13&lt;安値!AB13,安値!AD13&lt;安値!AE13,安値!AD13&lt;安値!AF13),25,""))</f>
        <v/>
      </c>
      <c r="Z13" s="503" t="str">
        <f>IF(終値!A13="","",IF(AND(安値!AE13&lt;安値!AD13,安値!AE13&lt;安値!AC13,安値!AE13&lt;安値!AF13,安値!AE13&lt;安値!AG13),26,""))</f>
        <v/>
      </c>
      <c r="AA13" s="503" t="str">
        <f>IF(終値!A13="","",IF(AND(安値!AF13&lt;安値!AE13,安値!AF13&lt;安値!AD13,安値!AF13&lt;安値!AG13,安値!AF13&lt;安値!AH13),27,""))</f>
        <v/>
      </c>
      <c r="AB13" s="503" t="str">
        <f>IF(終値!A13="","",IF(AND(安値!AG13&lt;安値!AF13,安値!AG13&lt;安値!AE13,安値!AG13&lt;安値!AH13,安値!AG13&lt;安値!AI13),28,""))</f>
        <v/>
      </c>
      <c r="AC13" s="503" t="str">
        <f>IF(終値!A13="","",IF(AND(高値!G13&gt;高値!F13,高値!G13&gt;高値!E13,高値!G13&gt;高値!H13,高値!G13&gt;高値!I13),2,""))</f>
        <v/>
      </c>
      <c r="AD13" s="503">
        <f>IF(終値!A13="","",IF(AND(高値!H13&gt;高値!G13,高値!H13&gt;高値!F13,高値!H13&gt;高値!I13,高値!H13&gt;高値!J13),3,""))</f>
        <v>3</v>
      </c>
      <c r="AE13" s="503" t="str">
        <f>IF(終値!A13="","",IF(AND(高値!I13&gt;高値!H13,高値!I13&gt;高値!G13,高値!I13&gt;高値!J13,高値!I13&gt;高値!K13),4,""))</f>
        <v/>
      </c>
      <c r="AF13" s="503" t="str">
        <f>IF(終値!A13="","",IF(AND(高値!J13&gt;高値!I13,高値!J13&gt;高値!H13,高値!J13&gt;高値!K13,高値!J13&gt;高値!L13),5,""))</f>
        <v/>
      </c>
      <c r="AG13" s="503" t="str">
        <f>IF(終値!A13="","",IF(AND(高値!K13&gt;高値!J13,高値!K13&gt;高値!I13,高値!K13&gt;高値!L13,高値!K13&gt;高値!M13),6,""))</f>
        <v/>
      </c>
      <c r="AH13" s="503" t="str">
        <f>IF(終値!A13="","",IF(AND(高値!L13&gt;高値!K13,高値!L13&gt;高値!J13,高値!L13&gt;高値!M13,高値!L13&gt;高値!N13),7,""))</f>
        <v/>
      </c>
      <c r="AI13" s="503" t="str">
        <f>IF(終値!A13="","",IF(AND(高値!M13&gt;高値!L13,高値!M13&gt;高値!K13,高値!M13&gt;高値!N13,高値!M13&gt;高値!O13),8,""))</f>
        <v/>
      </c>
      <c r="AJ13" s="503" t="str">
        <f>IF(終値!A13="","",IF(AND(高値!N13&gt;高値!M13,高値!N13&gt;高値!L13,高値!N13&gt;高値!O13,高値!N13&gt;高値!P13),9,""))</f>
        <v/>
      </c>
      <c r="AK13" s="503" t="str">
        <f>IF(終値!A13="","",IF(AND(高値!O13&gt;高値!N13,高値!O13&gt;高値!M13,高値!O13&gt;高値!P13,高値!O13&gt;高値!Q13),10,""))</f>
        <v/>
      </c>
      <c r="AL13" s="503">
        <f>IF(終値!A13="","",IF(AND(高値!P13&gt;高値!O13,高値!P13&gt;高値!N13,高値!P13&gt;高値!Q13,高値!P13&gt;高値!R13),11,""))</f>
        <v>11</v>
      </c>
      <c r="AM13" s="503" t="str">
        <f>IF(終値!A13="","",IF(AND(高値!Q13&gt;高値!P13,高値!Q13&gt;高値!O13,高値!Q13&gt;高値!R13,高値!Q13&gt;高値!S13),12,""))</f>
        <v/>
      </c>
      <c r="AN13" s="503" t="str">
        <f>IF(終値!A13="","",IF(AND(高値!R13&gt;高値!Q13,高値!R13&gt;高値!P13,高値!R13&gt;高値!S13,高値!R13&gt;高値!T13),13,""))</f>
        <v/>
      </c>
      <c r="AO13" s="503">
        <f>IF(終値!A13="","",IF(AND(高値!S13&gt;高値!R13,高値!S13&gt;高値!Q13,高値!S13&gt;高値!T13,高値!S13&gt;高値!U13),14,""))</f>
        <v>14</v>
      </c>
      <c r="AP13" s="503" t="str">
        <f>IF(終値!A13="","",IF(AND(高値!T13&gt;高値!S13,高値!T13&gt;高値!R13,高値!T13&gt;高値!U13,高値!T13&gt;高値!V13),15,""))</f>
        <v/>
      </c>
      <c r="AQ13" s="503" t="str">
        <f>IF(終値!A13="","",IF(AND(高値!U13&gt;高値!T13,高値!U13&gt;高値!S13,高値!U13&gt;高値!V13,高値!U13&gt;高値!W13),16,""))</f>
        <v/>
      </c>
      <c r="AR13" s="503" t="str">
        <f>IF(終値!A13="","",IF(AND(高値!V13&gt;高値!U13,高値!V13&gt;高値!T13,高値!V13&gt;高値!W13,高値!V13&gt;高値!X13),17,""))</f>
        <v/>
      </c>
      <c r="AS13" s="503" t="str">
        <f>IF(終値!A13="","",IF(AND(高値!W13&gt;高値!V13,高値!W13&gt;高値!U13,高値!W13&gt;高値!X13,高値!W13&gt;高値!Y13),18,""))</f>
        <v/>
      </c>
      <c r="AT13" s="503" t="str">
        <f>IF(終値!A13="","",IF(AND(高値!X13&gt;高値!W13,高値!X13&gt;高値!V13,高値!X13&gt;高値!Y13,高値!X13&gt;高値!Z13),19,""))</f>
        <v/>
      </c>
      <c r="AU13" s="503" t="str">
        <f>IF(終値!A13="","",IF(AND(高値!Y13&gt;高値!X13,高値!Y13&gt;高値!W13,高値!Y13&gt;高値!Z13,高値!Y13&gt;高値!AA13),20,""))</f>
        <v/>
      </c>
      <c r="AV13" s="503">
        <f>IF(終値!A13="","",IF(AND(高値!Z13&gt;高値!Y13,高値!Z13&gt;高値!X13,高値!Z13&gt;高値!AA13,高値!Z13&gt;高値!AB13),21,""))</f>
        <v>21</v>
      </c>
      <c r="AW13" s="503" t="str">
        <f>IF(終値!A13="","",IF(AND(高値!AA13&gt;高値!Z13,高値!AA13&gt;高値!Y13,高値!AA13&gt;高値!AB13,高値!AA13&gt;高値!AC13),22,""))</f>
        <v/>
      </c>
      <c r="AX13" s="503" t="str">
        <f>IF(終値!A13="","",IF(AND(高値!AB13&gt;高値!AA13,高値!AB13&gt;高値!Z13,高値!AB13&gt;高値!AC13,高値!AB13&gt;高値!AD13),23,""))</f>
        <v/>
      </c>
      <c r="AY13" s="503" t="str">
        <f>IF(終値!A13="","",IF(AND(高値!AC13&gt;高値!AB13,高値!AC13&gt;高値!AA13,高値!AC13&gt;高値!AD13,高値!AC13&gt;高値!AE13),24,""))</f>
        <v/>
      </c>
      <c r="AZ13" s="503" t="str">
        <f>IF(終値!A13="","",IF(AND(高値!AD13&gt;高値!AC13,高値!AD13&gt;高値!AB13,高値!AD13&gt;高値!AE13,高値!AD13&gt;高値!AF13),25,""))</f>
        <v/>
      </c>
      <c r="BA13" s="503" t="str">
        <f>IF(終値!A13="","",IF(AND(高値!AE13&gt;高値!AD13,高値!AE13&gt;高値!AC13,高値!AE13&gt;高値!AF13,高値!AE13&gt;高値!AG13),26,""))</f>
        <v/>
      </c>
      <c r="BB13" s="503" t="str">
        <f>IF(終値!A13="","",IF(AND(高値!AF13&gt;高値!AE13,高値!AF13&gt;高値!AD13,高値!AF13&gt;高値!AG13,高値!AF13&gt;高値!AH13),27,""))</f>
        <v/>
      </c>
      <c r="BC13" s="503" t="str">
        <f>IF(終値!A13="","",IF(AND(高値!AG13&gt;高値!AF13,高値!AG13&gt;高値!AE13,高値!AG13&gt;高値!AH13,高値!AG13&gt;高値!AI13),28,""))</f>
        <v/>
      </c>
      <c r="BD13" s="503">
        <f t="shared" si="0"/>
        <v>4</v>
      </c>
      <c r="BE13" s="503">
        <f t="shared" si="1"/>
        <v>6</v>
      </c>
      <c r="BF13" s="503">
        <f t="shared" si="2"/>
        <v>13</v>
      </c>
      <c r="BG13" s="503">
        <f>IF($BE13="","",INDEX(安値!$E13:$CZ13,1,$BE13+1))</f>
        <v>2530</v>
      </c>
      <c r="BH13" s="503">
        <f>IF($BF13="","",INDEX(安値!$E13:$CZ13,1,$BF13+1))</f>
        <v>2591</v>
      </c>
      <c r="BI13" s="503">
        <f>IF($BF13="","",MAX(INDEX(高値!$E13:$CZ13,1,$BE13+1):INDEX(高値!$E13:$CZ13,1,$BF13+1)))</f>
        <v>2750</v>
      </c>
      <c r="BJ13" s="503">
        <f>IF($BF13="","",AVERAGE(INDEX(終値!$E13:$CZ13,1,$BF13+1):INDEX(終値!$E13:$CZ13,1,$BF13+20))-2*STDEVP(INDEX(終値!$E13:$CZ13,1,$BF13+1):INDEX(終値!$E13:$CZ13,1,$BF13+20)))</f>
        <v>2560.516510084984</v>
      </c>
      <c r="BK13" s="503">
        <f>IF($BE13="","",AVERAGE(INDEX(終値!$E13:$CZ13,1,$BE13+1):INDEX(終値!$E13:$CZ13,1,$BE13+20))-2*STDEVP(INDEX(終値!$E13:$CZ13,1,$BE13+1):INDEX(終値!$E13:$CZ13,1,$BE13+20)))</f>
        <v>2590.4711013015944</v>
      </c>
      <c r="BL13" s="503">
        <f t="shared" si="3"/>
        <v>4</v>
      </c>
      <c r="BM13" s="503">
        <f t="shared" si="4"/>
        <v>3</v>
      </c>
      <c r="BN13" s="503">
        <f t="shared" si="5"/>
        <v>11</v>
      </c>
      <c r="BO13" s="503">
        <f>IF($BM13="","",INDEX(高値!$E13:$CZ13,1,$BM13+1))</f>
        <v>2970</v>
      </c>
      <c r="BP13" s="503">
        <f>IF($BN13="","",INDEX(高値!$E13:$CZ13,1,$BN13+1))</f>
        <v>2750</v>
      </c>
      <c r="BQ13" s="503">
        <f>IF($BN13="","",MIN(INDEX(安値!$E13:$CZ13,1,$BM13+1):INDEX(安値!$E13:$CZ13,1,$BN13+1)))</f>
        <v>2530</v>
      </c>
      <c r="BR13" s="503">
        <f>IF($BN13="","",AVERAGE(INDEX(終値!$E13:$CZ13,1,$BN13+1):INDEX(終値!$E13:$CZ13,1,$BN13+20))+2*STDEVP(INDEX(終値!$E13:$CZ13,1,$BN13+1):INDEX(終値!$E13:$CZ13,1,$BN13+20)))</f>
        <v>2887.3044639128489</v>
      </c>
      <c r="BS13" s="503">
        <f>IF($BM13="","",AVERAGE(INDEX(終値!$E13:$CZ13,1,$BM13+1):INDEX(終値!$E13:$CZ13,1,$BM13+20))+2*STDEVP(INDEX(終値!$E13:$CZ13,1,$BM13+1):INDEX(終値!$E13:$CZ13,1,$BM13+20)))</f>
        <v>2815.4657235380982</v>
      </c>
      <c r="BT13" s="500"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二番底W▲</v>
      </c>
    </row>
    <row r="14" spans="1:72">
      <c r="B14" s="503" t="str">
        <f>IF(終値!A14="","",IF(AND(安値!G14&lt;安値!F14,安値!G14&lt;安値!E14,安値!G14&lt;安値!H14,安値!G14&lt;安値!I14),2,""))</f>
        <v/>
      </c>
      <c r="C14" s="503" t="str">
        <f>IF(終値!A14="","",IF(AND(安値!H14&lt;安値!G14,安値!H14&lt;安値!F14,安値!H14&lt;安値!I14,安値!H14&lt;安値!J14),3,""))</f>
        <v/>
      </c>
      <c r="D14" s="503" t="str">
        <f>IF(終値!A14="","",IF(AND(安値!I14&lt;安値!H14,安値!I14&lt;安値!G14,安値!I14&lt;安値!J14,安値!I14&lt;安値!K14),4,""))</f>
        <v/>
      </c>
      <c r="E14" s="503" t="str">
        <f>IF(終値!A14="","",IF(AND(安値!J14&lt;安値!I14,安値!J14&lt;安値!H14,安値!J14&lt;安値!K14,安値!J14&lt;安値!L14),5,""))</f>
        <v/>
      </c>
      <c r="F14" s="503" t="str">
        <f>IF(終値!A14="","",IF(AND(安値!K14&lt;安値!J14,安値!K14&lt;安値!I14,安値!K14&lt;安値!L14,安値!K14&lt;安値!M14),6,""))</f>
        <v/>
      </c>
      <c r="G14" s="503" t="str">
        <f>IF(終値!A14="","",IF(AND(安値!L14&lt;安値!K14,安値!L14&lt;安値!J14,安値!L14&lt;安値!M14,安値!L14&lt;安値!N14),7,""))</f>
        <v/>
      </c>
      <c r="H14" s="503" t="str">
        <f>IF(終値!A14="","",IF(AND(安値!M14&lt;安値!L14,安値!M14&lt;安値!K14,安値!M14&lt;安値!N14,安値!M14&lt;安値!O14),8,""))</f>
        <v/>
      </c>
      <c r="I14" s="503" t="str">
        <f>IF(終値!A14="","",IF(AND(安値!N14&lt;安値!M14,安値!N14&lt;安値!L14,安値!N14&lt;安値!O14,安値!N14&lt;安値!P14),9,""))</f>
        <v/>
      </c>
      <c r="J14" s="503" t="str">
        <f>IF(終値!A14="","",IF(AND(安値!O14&lt;安値!N14,安値!O14&lt;安値!M14,安値!O14&lt;安値!P14,安値!O14&lt;安値!Q14),10,""))</f>
        <v/>
      </c>
      <c r="K14" s="503" t="str">
        <f>IF(終値!A14="","",IF(AND(安値!P14&lt;安値!O14,安値!P14&lt;安値!N14,安値!P14&lt;安値!Q14,安値!P14&lt;安値!R14),11,""))</f>
        <v/>
      </c>
      <c r="L14" s="503" t="str">
        <f>IF(終値!A14="","",IF(AND(安値!Q14&lt;安値!P14,安値!Q14&lt;安値!O14,安値!Q14&lt;安値!R14,安値!Q14&lt;安値!S14),12,""))</f>
        <v/>
      </c>
      <c r="M14" s="503" t="str">
        <f>IF(終値!A14="","",IF(AND(安値!R14&lt;安値!Q14,安値!R14&lt;安値!P14,安値!R14&lt;安値!S14,安値!R14&lt;安値!T14),13,""))</f>
        <v/>
      </c>
      <c r="N14" s="503" t="str">
        <f>IF(終値!A14="","",IF(AND(安値!S14&lt;安値!R14,安値!S14&lt;安値!Q14,安値!S14&lt;安値!T14,安値!S14&lt;安値!U14),14,""))</f>
        <v/>
      </c>
      <c r="O14" s="503" t="str">
        <f>IF(終値!A14="","",IF(AND(安値!T14&lt;安値!S14,安値!T14&lt;安値!R14,安値!T14&lt;安値!U14,安値!T14&lt;安値!V14),15,""))</f>
        <v/>
      </c>
      <c r="P14" s="503">
        <f>IF(終値!A14="","",IF(AND(安値!U14&lt;安値!T14,安値!U14&lt;安値!S14,安値!U14&lt;安値!V14,安値!U14&lt;安値!W14),16,""))</f>
        <v>16</v>
      </c>
      <c r="Q14" s="503" t="str">
        <f>IF(終値!A14="","",IF(AND(安値!V14&lt;安値!U14,安値!V14&lt;安値!T14,安値!V14&lt;安値!W14,安値!V14&lt;安値!X14),17,""))</f>
        <v/>
      </c>
      <c r="R14" s="503" t="str">
        <f>IF(終値!A14="","",IF(AND(安値!W14&lt;安値!V14,安値!W14&lt;安値!U14,安値!W14&lt;安値!X14,安値!W14&lt;安値!Y14),18,""))</f>
        <v/>
      </c>
      <c r="S14" s="503" t="str">
        <f>IF(終値!A14="","",IF(AND(安値!X14&lt;安値!W14,安値!X14&lt;安値!V14,安値!X14&lt;安値!Y14,安値!X14&lt;安値!Z14),19,""))</f>
        <v/>
      </c>
      <c r="T14" s="503" t="str">
        <f>IF(終値!A14="","",IF(AND(安値!Y14&lt;安値!X14,安値!Y14&lt;安値!W14,安値!Y14&lt;安値!Z14,安値!Y14&lt;安値!AA14),20,""))</f>
        <v/>
      </c>
      <c r="U14" s="503" t="str">
        <f>IF(終値!A14="","",IF(AND(安値!Z14&lt;安値!Y14,安値!Z14&lt;安値!X14,安値!Z14&lt;安値!AA14,安値!Z14&lt;安値!AB14),21,""))</f>
        <v/>
      </c>
      <c r="V14" s="503" t="str">
        <f>IF(終値!A14="","",IF(AND(安値!AA14&lt;安値!Z14,安値!AA14&lt;安値!Y14,安値!AA14&lt;安値!AB14,安値!AA14&lt;安値!AC14),22,""))</f>
        <v/>
      </c>
      <c r="W14" s="503" t="str">
        <f>IF(終値!A14="","",IF(AND(安値!AB14&lt;安値!AA14,安値!AB14&lt;安値!Z14,安値!AB14&lt;安値!AC14,安値!AB14&lt;安値!AD14),23,""))</f>
        <v/>
      </c>
      <c r="X14" s="503">
        <f>IF(終値!A14="","",IF(AND(安値!AC14&lt;安値!AB14,安値!AC14&lt;安値!AA14,安値!AC14&lt;安値!AD14,安値!AC14&lt;安値!AE14),24,""))</f>
        <v>24</v>
      </c>
      <c r="Y14" s="503" t="str">
        <f>IF(終値!A14="","",IF(AND(安値!AD14&lt;安値!AC14,安値!AD14&lt;安値!AB14,安値!AD14&lt;安値!AE14,安値!AD14&lt;安値!AF14),25,""))</f>
        <v/>
      </c>
      <c r="Z14" s="503" t="str">
        <f>IF(終値!A14="","",IF(AND(安値!AE14&lt;安値!AD14,安値!AE14&lt;安値!AC14,安値!AE14&lt;安値!AF14,安値!AE14&lt;安値!AG14),26,""))</f>
        <v/>
      </c>
      <c r="AA14" s="503" t="str">
        <f>IF(終値!A14="","",IF(AND(安値!AF14&lt;安値!AE14,安値!AF14&lt;安値!AD14,安値!AF14&lt;安値!AG14,安値!AF14&lt;安値!AH14),27,""))</f>
        <v/>
      </c>
      <c r="AB14" s="503">
        <f>IF(終値!A14="","",IF(AND(安値!AG14&lt;安値!AF14,安値!AG14&lt;安値!AE14,安値!AG14&lt;安値!AH14,安値!AG14&lt;安値!AI14),28,""))</f>
        <v>28</v>
      </c>
      <c r="AC14" s="503" t="str">
        <f>IF(終値!A14="","",IF(AND(高値!G14&gt;高値!F14,高値!G14&gt;高値!E14,高値!G14&gt;高値!H14,高値!G14&gt;高値!I14),2,""))</f>
        <v/>
      </c>
      <c r="AD14" s="503">
        <f>IF(終値!A14="","",IF(AND(高値!H14&gt;高値!G14,高値!H14&gt;高値!F14,高値!H14&gt;高値!I14,高値!H14&gt;高値!J14),3,""))</f>
        <v>3</v>
      </c>
      <c r="AE14" s="503" t="str">
        <f>IF(終値!A14="","",IF(AND(高値!I14&gt;高値!H14,高値!I14&gt;高値!G14,高値!I14&gt;高値!J14,高値!I14&gt;高値!K14),4,""))</f>
        <v/>
      </c>
      <c r="AF14" s="503" t="str">
        <f>IF(終値!A14="","",IF(AND(高値!J14&gt;高値!I14,高値!J14&gt;高値!H14,高値!J14&gt;高値!K14,高値!J14&gt;高値!L14),5,""))</f>
        <v/>
      </c>
      <c r="AG14" s="503" t="str">
        <f>IF(終値!A14="","",IF(AND(高値!K14&gt;高値!J14,高値!K14&gt;高値!I14,高値!K14&gt;高値!L14,高値!K14&gt;高値!M14),6,""))</f>
        <v/>
      </c>
      <c r="AH14" s="503" t="str">
        <f>IF(終値!A14="","",IF(AND(高値!L14&gt;高値!K14,高値!L14&gt;高値!J14,高値!L14&gt;高値!M14,高値!L14&gt;高値!N14),7,""))</f>
        <v/>
      </c>
      <c r="AI14" s="503">
        <f>IF(終値!A14="","",IF(AND(高値!M14&gt;高値!L14,高値!M14&gt;高値!K14,高値!M14&gt;高値!N14,高値!M14&gt;高値!O14),8,""))</f>
        <v>8</v>
      </c>
      <c r="AJ14" s="503" t="str">
        <f>IF(終値!A14="","",IF(AND(高値!N14&gt;高値!M14,高値!N14&gt;高値!L14,高値!N14&gt;高値!O14,高値!N14&gt;高値!P14),9,""))</f>
        <v/>
      </c>
      <c r="AK14" s="503" t="str">
        <f>IF(終値!A14="","",IF(AND(高値!O14&gt;高値!N14,高値!O14&gt;高値!M14,高値!O14&gt;高値!P14,高値!O14&gt;高値!Q14),10,""))</f>
        <v/>
      </c>
      <c r="AL14" s="503" t="str">
        <f>IF(終値!A14="","",IF(AND(高値!P14&gt;高値!O14,高値!P14&gt;高値!N14,高値!P14&gt;高値!Q14,高値!P14&gt;高値!R14),11,""))</f>
        <v/>
      </c>
      <c r="AM14" s="503" t="str">
        <f>IF(終値!A14="","",IF(AND(高値!Q14&gt;高値!P14,高値!Q14&gt;高値!O14,高値!Q14&gt;高値!R14,高値!Q14&gt;高値!S14),12,""))</f>
        <v/>
      </c>
      <c r="AN14" s="503" t="str">
        <f>IF(終値!A14="","",IF(AND(高値!R14&gt;高値!Q14,高値!R14&gt;高値!P14,高値!R14&gt;高値!S14,高値!R14&gt;高値!T14),13,""))</f>
        <v/>
      </c>
      <c r="AO14" s="503" t="str">
        <f>IF(終値!A14="","",IF(AND(高値!S14&gt;高値!R14,高値!S14&gt;高値!Q14,高値!S14&gt;高値!T14,高値!S14&gt;高値!U14),14,""))</f>
        <v/>
      </c>
      <c r="AP14" s="503" t="str">
        <f>IF(終値!A14="","",IF(AND(高値!T14&gt;高値!S14,高値!T14&gt;高値!R14,高値!T14&gt;高値!U14,高値!T14&gt;高値!V14),15,""))</f>
        <v/>
      </c>
      <c r="AQ14" s="503" t="str">
        <f>IF(終値!A14="","",IF(AND(高値!U14&gt;高値!T14,高値!U14&gt;高値!S14,高値!U14&gt;高値!V14,高値!U14&gt;高値!W14),16,""))</f>
        <v/>
      </c>
      <c r="AR14" s="503" t="str">
        <f>IF(終値!A14="","",IF(AND(高値!V14&gt;高値!U14,高値!V14&gt;高値!T14,高値!V14&gt;高値!W14,高値!V14&gt;高値!X14),17,""))</f>
        <v/>
      </c>
      <c r="AS14" s="503" t="str">
        <f>IF(終値!A14="","",IF(AND(高値!W14&gt;高値!V14,高値!W14&gt;高値!U14,高値!W14&gt;高値!X14,高値!W14&gt;高値!Y14),18,""))</f>
        <v/>
      </c>
      <c r="AT14" s="503" t="str">
        <f>IF(終値!A14="","",IF(AND(高値!X14&gt;高値!W14,高値!X14&gt;高値!V14,高値!X14&gt;高値!Y14,高値!X14&gt;高値!Z14),19,""))</f>
        <v/>
      </c>
      <c r="AU14" s="503">
        <f>IF(終値!A14="","",IF(AND(高値!Y14&gt;高値!X14,高値!Y14&gt;高値!W14,高値!Y14&gt;高値!Z14,高値!Y14&gt;高値!AA14),20,""))</f>
        <v>20</v>
      </c>
      <c r="AV14" s="503" t="str">
        <f>IF(終値!A14="","",IF(AND(高値!Z14&gt;高値!Y14,高値!Z14&gt;高値!X14,高値!Z14&gt;高値!AA14,高値!Z14&gt;高値!AB14),21,""))</f>
        <v/>
      </c>
      <c r="AW14" s="503" t="str">
        <f>IF(終値!A14="","",IF(AND(高値!AA14&gt;高値!Z14,高値!AA14&gt;高値!Y14,高値!AA14&gt;高値!AB14,高値!AA14&gt;高値!AC14),22,""))</f>
        <v/>
      </c>
      <c r="AX14" s="503" t="str">
        <f>IF(終値!A14="","",IF(AND(高値!AB14&gt;高値!AA14,高値!AB14&gt;高値!Z14,高値!AB14&gt;高値!AC14,高値!AB14&gt;高値!AD14),23,""))</f>
        <v/>
      </c>
      <c r="AY14" s="503" t="str">
        <f>IF(終値!A14="","",IF(AND(高値!AC14&gt;高値!AB14,高値!AC14&gt;高値!AA14,高値!AC14&gt;高値!AD14,高値!AC14&gt;高値!AE14),24,""))</f>
        <v/>
      </c>
      <c r="AZ14" s="503" t="str">
        <f>IF(終値!A14="","",IF(AND(高値!AD14&gt;高値!AC14,高値!AD14&gt;高値!AB14,高値!AD14&gt;高値!AE14,高値!AD14&gt;高値!AF14),25,""))</f>
        <v/>
      </c>
      <c r="BA14" s="503">
        <f>IF(終値!A14="","",IF(AND(高値!AE14&gt;高値!AD14,高値!AE14&gt;高値!AC14,高値!AE14&gt;高値!AF14,高値!AE14&gt;高値!AG14),26,""))</f>
        <v>26</v>
      </c>
      <c r="BB14" s="503" t="str">
        <f>IF(終値!A14="","",IF(AND(高値!AF14&gt;高値!AE14,高値!AF14&gt;高値!AD14,高値!AF14&gt;高値!AG14,高値!AF14&gt;高値!AH14),27,""))</f>
        <v/>
      </c>
      <c r="BC14" s="503" t="str">
        <f>IF(終値!A14="","",IF(AND(高値!AG14&gt;高値!AF14,高値!AG14&gt;高値!AE14,高値!AG14&gt;高値!AH14,高値!AG14&gt;高値!AI14),28,""))</f>
        <v/>
      </c>
      <c r="BD14" s="503">
        <f t="shared" si="0"/>
        <v>3</v>
      </c>
      <c r="BE14" s="503">
        <f t="shared" si="1"/>
        <v>16</v>
      </c>
      <c r="BF14" s="503">
        <f t="shared" si="2"/>
        <v>24</v>
      </c>
      <c r="BG14" s="503">
        <f>IF($BE14="","",INDEX(安値!$E14:$CZ14,1,$BE14+1))</f>
        <v>4810</v>
      </c>
      <c r="BH14" s="503">
        <f>IF($BF14="","",INDEX(安値!$E14:$CZ14,1,$BF14+1))</f>
        <v>4630</v>
      </c>
      <c r="BI14" s="503">
        <f>IF($BF14="","",MAX(INDEX(高値!$E14:$CZ14,1,$BE14+1):INDEX(高値!$E14:$CZ14,1,$BF14+1)))</f>
        <v>5162</v>
      </c>
      <c r="BJ14" s="503">
        <f>IF($BF14="","",AVERAGE(INDEX(終値!$E14:$CZ14,1,$BF14+1):INDEX(終値!$E14:$CZ14,1,$BF14+20))-2*STDEVP(INDEX(終値!$E14:$CZ14,1,$BF14+1):INDEX(終値!$E14:$CZ14,1,$BF14+20)))</f>
        <v>4585.7825822382938</v>
      </c>
      <c r="BK14" s="503">
        <f>IF($BE14="","",AVERAGE(INDEX(終値!$E14:$CZ14,1,$BE14+1):INDEX(終値!$E14:$CZ14,1,$BE14+20))-2*STDEVP(INDEX(終値!$E14:$CZ14,1,$BE14+1):INDEX(終値!$E14:$CZ14,1,$BE14+20)))</f>
        <v>4592.7663586767103</v>
      </c>
      <c r="BL14" s="503">
        <f t="shared" si="3"/>
        <v>4</v>
      </c>
      <c r="BM14" s="503">
        <f t="shared" si="4"/>
        <v>3</v>
      </c>
      <c r="BN14" s="503">
        <f t="shared" si="5"/>
        <v>8</v>
      </c>
      <c r="BO14" s="503">
        <f>IF($BM14="","",INDEX(高値!$E14:$CZ14,1,$BM14+1))</f>
        <v>5351</v>
      </c>
      <c r="BP14" s="503">
        <f>IF($BN14="","",INDEX(高値!$E14:$CZ14,1,$BN14+1))</f>
        <v>5479</v>
      </c>
      <c r="BQ14" s="503">
        <f>IF($BN14="","",MIN(INDEX(安値!$E14:$CZ14,1,$BM14+1):INDEX(安値!$E14:$CZ14,1,$BN14+1)))</f>
        <v>4985</v>
      </c>
      <c r="BR14" s="503">
        <f>IF($BN14="","",AVERAGE(INDEX(終値!$E14:$CZ14,1,$BN14+1):INDEX(終値!$E14:$CZ14,1,$BN14+20))+2*STDEVP(INDEX(終値!$E14:$CZ14,1,$BN14+1):INDEX(終値!$E14:$CZ14,1,$BN14+20)))</f>
        <v>5459.4768901809266</v>
      </c>
      <c r="BS14" s="503">
        <f>IF($BM14="","",AVERAGE(INDEX(終値!$E14:$CZ14,1,$BM14+1):INDEX(終値!$E14:$CZ14,1,$BM14+20))+2*STDEVP(INDEX(終値!$E14:$CZ14,1,$BM14+1):INDEX(終値!$E14:$CZ14,1,$BM14+20)))</f>
        <v>5461.7396950563252</v>
      </c>
      <c r="BT14" s="500"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二番底W形成</v>
      </c>
    </row>
    <row r="15" spans="1:72">
      <c r="B15" s="503" t="str">
        <f>IF(終値!A15="","",IF(AND(安値!G15&lt;安値!F15,安値!G15&lt;安値!E15,安値!G15&lt;安値!H15,安値!G15&lt;安値!I15),2,""))</f>
        <v/>
      </c>
      <c r="C15" s="503" t="str">
        <f>IF(終値!A15="","",IF(AND(安値!H15&lt;安値!G15,安値!H15&lt;安値!F15,安値!H15&lt;安値!I15,安値!H15&lt;安値!J15),3,""))</f>
        <v/>
      </c>
      <c r="D15" s="503" t="str">
        <f>IF(終値!A15="","",IF(AND(安値!I15&lt;安値!H15,安値!I15&lt;安値!G15,安値!I15&lt;安値!J15,安値!I15&lt;安値!K15),4,""))</f>
        <v/>
      </c>
      <c r="E15" s="503" t="str">
        <f>IF(終値!A15="","",IF(AND(安値!J15&lt;安値!I15,安値!J15&lt;安値!H15,安値!J15&lt;安値!K15,安値!J15&lt;安値!L15),5,""))</f>
        <v/>
      </c>
      <c r="F15" s="503" t="str">
        <f>IF(終値!A15="","",IF(AND(安値!K15&lt;安値!J15,安値!K15&lt;安値!I15,安値!K15&lt;安値!L15,安値!K15&lt;安値!M15),6,""))</f>
        <v/>
      </c>
      <c r="G15" s="503" t="str">
        <f>IF(終値!A15="","",IF(AND(安値!L15&lt;安値!K15,安値!L15&lt;安値!J15,安値!L15&lt;安値!M15,安値!L15&lt;安値!N15),7,""))</f>
        <v/>
      </c>
      <c r="H15" s="503" t="str">
        <f>IF(終値!A15="","",IF(AND(安値!M15&lt;安値!L15,安値!M15&lt;安値!K15,安値!M15&lt;安値!N15,安値!M15&lt;安値!O15),8,""))</f>
        <v/>
      </c>
      <c r="I15" s="503" t="str">
        <f>IF(終値!A15="","",IF(AND(安値!N15&lt;安値!M15,安値!N15&lt;安値!L15,安値!N15&lt;安値!O15,安値!N15&lt;安値!P15),9,""))</f>
        <v/>
      </c>
      <c r="J15" s="503" t="str">
        <f>IF(終値!A15="","",IF(AND(安値!O15&lt;安値!N15,安値!O15&lt;安値!M15,安値!O15&lt;安値!P15,安値!O15&lt;安値!Q15),10,""))</f>
        <v/>
      </c>
      <c r="K15" s="503" t="str">
        <f>IF(終値!A15="","",IF(AND(安値!P15&lt;安値!O15,安値!P15&lt;安値!N15,安値!P15&lt;安値!Q15,安値!P15&lt;安値!R15),11,""))</f>
        <v/>
      </c>
      <c r="L15" s="503" t="str">
        <f>IF(終値!A15="","",IF(AND(安値!Q15&lt;安値!P15,安値!Q15&lt;安値!O15,安値!Q15&lt;安値!R15,安値!Q15&lt;安値!S15),12,""))</f>
        <v/>
      </c>
      <c r="M15" s="503">
        <f>IF(終値!A15="","",IF(AND(安値!R15&lt;安値!Q15,安値!R15&lt;安値!P15,安値!R15&lt;安値!S15,安値!R15&lt;安値!T15),13,""))</f>
        <v>13</v>
      </c>
      <c r="N15" s="503" t="str">
        <f>IF(終値!A15="","",IF(AND(安値!S15&lt;安値!R15,安値!S15&lt;安値!Q15,安値!S15&lt;安値!T15,安値!S15&lt;安値!U15),14,""))</f>
        <v/>
      </c>
      <c r="O15" s="503" t="str">
        <f>IF(終値!A15="","",IF(AND(安値!T15&lt;安値!S15,安値!T15&lt;安値!R15,安値!T15&lt;安値!U15,安値!T15&lt;安値!V15),15,""))</f>
        <v/>
      </c>
      <c r="P15" s="503" t="str">
        <f>IF(終値!A15="","",IF(AND(安値!U15&lt;安値!T15,安値!U15&lt;安値!S15,安値!U15&lt;安値!V15,安値!U15&lt;安値!W15),16,""))</f>
        <v/>
      </c>
      <c r="Q15" s="503" t="str">
        <f>IF(終値!A15="","",IF(AND(安値!V15&lt;安値!U15,安値!V15&lt;安値!T15,安値!V15&lt;安値!W15,安値!V15&lt;安値!X15),17,""))</f>
        <v/>
      </c>
      <c r="R15" s="503" t="str">
        <f>IF(終値!A15="","",IF(AND(安値!W15&lt;安値!V15,安値!W15&lt;安値!U15,安値!W15&lt;安値!X15,安値!W15&lt;安値!Y15),18,""))</f>
        <v/>
      </c>
      <c r="S15" s="503">
        <f>IF(終値!A15="","",IF(AND(安値!X15&lt;安値!W15,安値!X15&lt;安値!V15,安値!X15&lt;安値!Y15,安値!X15&lt;安値!Z15),19,""))</f>
        <v>19</v>
      </c>
      <c r="T15" s="503" t="str">
        <f>IF(終値!A15="","",IF(AND(安値!Y15&lt;安値!X15,安値!Y15&lt;安値!W15,安値!Y15&lt;安値!Z15,安値!Y15&lt;安値!AA15),20,""))</f>
        <v/>
      </c>
      <c r="U15" s="503" t="str">
        <f>IF(終値!A15="","",IF(AND(安値!Z15&lt;安値!Y15,安値!Z15&lt;安値!X15,安値!Z15&lt;安値!AA15,安値!Z15&lt;安値!AB15),21,""))</f>
        <v/>
      </c>
      <c r="V15" s="503" t="str">
        <f>IF(終値!A15="","",IF(AND(安値!AA15&lt;安値!Z15,安値!AA15&lt;安値!Y15,安値!AA15&lt;安値!AB15,安値!AA15&lt;安値!AC15),22,""))</f>
        <v/>
      </c>
      <c r="W15" s="503" t="str">
        <f>IF(終値!A15="","",IF(AND(安値!AB15&lt;安値!AA15,安値!AB15&lt;安値!Z15,安値!AB15&lt;安値!AC15,安値!AB15&lt;安値!AD15),23,""))</f>
        <v/>
      </c>
      <c r="X15" s="503" t="str">
        <f>IF(終値!A15="","",IF(AND(安値!AC15&lt;安値!AB15,安値!AC15&lt;安値!AA15,安値!AC15&lt;安値!AD15,安値!AC15&lt;安値!AE15),24,""))</f>
        <v/>
      </c>
      <c r="Y15" s="503" t="str">
        <f>IF(終値!A15="","",IF(AND(安値!AD15&lt;安値!AC15,安値!AD15&lt;安値!AB15,安値!AD15&lt;安値!AE15,安値!AD15&lt;安値!AF15),25,""))</f>
        <v/>
      </c>
      <c r="Z15" s="503" t="str">
        <f>IF(終値!A15="","",IF(AND(安値!AE15&lt;安値!AD15,安値!AE15&lt;安値!AC15,安値!AE15&lt;安値!AF15,安値!AE15&lt;安値!AG15),26,""))</f>
        <v/>
      </c>
      <c r="AA15" s="503" t="str">
        <f>IF(終値!A15="","",IF(AND(安値!AF15&lt;安値!AE15,安値!AF15&lt;安値!AD15,安値!AF15&lt;安値!AG15,安値!AF15&lt;安値!AH15),27,""))</f>
        <v/>
      </c>
      <c r="AB15" s="503">
        <f>IF(終値!A15="","",IF(AND(安値!AG15&lt;安値!AF15,安値!AG15&lt;安値!AE15,安値!AG15&lt;安値!AH15,安値!AG15&lt;安値!AI15),28,""))</f>
        <v>28</v>
      </c>
      <c r="AC15" s="503" t="str">
        <f>IF(終値!A15="","",IF(AND(高値!G15&gt;高値!F15,高値!G15&gt;高値!E15,高値!G15&gt;高値!H15,高値!G15&gt;高値!I15),2,""))</f>
        <v/>
      </c>
      <c r="AD15" s="503" t="str">
        <f>IF(終値!A15="","",IF(AND(高値!H15&gt;高値!G15,高値!H15&gt;高値!F15,高値!H15&gt;高値!I15,高値!H15&gt;高値!J15),3,""))</f>
        <v/>
      </c>
      <c r="AE15" s="503" t="str">
        <f>IF(終値!A15="","",IF(AND(高値!I15&gt;高値!H15,高値!I15&gt;高値!G15,高値!I15&gt;高値!J15,高値!I15&gt;高値!K15),4,""))</f>
        <v/>
      </c>
      <c r="AF15" s="503">
        <f>IF(終値!A15="","",IF(AND(高値!J15&gt;高値!I15,高値!J15&gt;高値!H15,高値!J15&gt;高値!K15,高値!J15&gt;高値!L15),5,""))</f>
        <v>5</v>
      </c>
      <c r="AG15" s="503" t="str">
        <f>IF(終値!A15="","",IF(AND(高値!K15&gt;高値!J15,高値!K15&gt;高値!I15,高値!K15&gt;高値!L15,高値!K15&gt;高値!M15),6,""))</f>
        <v/>
      </c>
      <c r="AH15" s="503" t="str">
        <f>IF(終値!A15="","",IF(AND(高値!L15&gt;高値!K15,高値!L15&gt;高値!J15,高値!L15&gt;高値!M15,高値!L15&gt;高値!N15),7,""))</f>
        <v/>
      </c>
      <c r="AI15" s="503" t="str">
        <f>IF(終値!A15="","",IF(AND(高値!M15&gt;高値!L15,高値!M15&gt;高値!K15,高値!M15&gt;高値!N15,高値!M15&gt;高値!O15),8,""))</f>
        <v/>
      </c>
      <c r="AJ15" s="503" t="str">
        <f>IF(終値!A15="","",IF(AND(高値!N15&gt;高値!M15,高値!N15&gt;高値!L15,高値!N15&gt;高値!O15,高値!N15&gt;高値!P15),9,""))</f>
        <v/>
      </c>
      <c r="AK15" s="503" t="str">
        <f>IF(終値!A15="","",IF(AND(高値!O15&gt;高値!N15,高値!O15&gt;高値!M15,高値!O15&gt;高値!P15,高値!O15&gt;高値!Q15),10,""))</f>
        <v/>
      </c>
      <c r="AL15" s="503" t="str">
        <f>IF(終値!A15="","",IF(AND(高値!P15&gt;高値!O15,高値!P15&gt;高値!N15,高値!P15&gt;高値!Q15,高値!P15&gt;高値!R15),11,""))</f>
        <v/>
      </c>
      <c r="AM15" s="503" t="str">
        <f>IF(終値!A15="","",IF(AND(高値!Q15&gt;高値!P15,高値!Q15&gt;高値!O15,高値!Q15&gt;高値!R15,高値!Q15&gt;高値!S15),12,""))</f>
        <v/>
      </c>
      <c r="AN15" s="503" t="str">
        <f>IF(終値!A15="","",IF(AND(高値!R15&gt;高値!Q15,高値!R15&gt;高値!P15,高値!R15&gt;高値!S15,高値!R15&gt;高値!T15),13,""))</f>
        <v/>
      </c>
      <c r="AO15" s="503" t="str">
        <f>IF(終値!A15="","",IF(AND(高値!S15&gt;高値!R15,高値!S15&gt;高値!Q15,高値!S15&gt;高値!T15,高値!S15&gt;高値!U15),14,""))</f>
        <v/>
      </c>
      <c r="AP15" s="503">
        <f>IF(終値!A15="","",IF(AND(高値!T15&gt;高値!S15,高値!T15&gt;高値!R15,高値!T15&gt;高値!U15,高値!T15&gt;高値!V15),15,""))</f>
        <v>15</v>
      </c>
      <c r="AQ15" s="503" t="str">
        <f>IF(終値!A15="","",IF(AND(高値!U15&gt;高値!T15,高値!U15&gt;高値!S15,高値!U15&gt;高値!V15,高値!U15&gt;高値!W15),16,""))</f>
        <v/>
      </c>
      <c r="AR15" s="503" t="str">
        <f>IF(終値!A15="","",IF(AND(高値!V15&gt;高値!U15,高値!V15&gt;高値!T15,高値!V15&gt;高値!W15,高値!V15&gt;高値!X15),17,""))</f>
        <v/>
      </c>
      <c r="AS15" s="503" t="str">
        <f>IF(終値!A15="","",IF(AND(高値!W15&gt;高値!V15,高値!W15&gt;高値!U15,高値!W15&gt;高値!X15,高値!W15&gt;高値!Y15),18,""))</f>
        <v/>
      </c>
      <c r="AT15" s="503" t="str">
        <f>IF(終値!A15="","",IF(AND(高値!X15&gt;高値!W15,高値!X15&gt;高値!V15,高値!X15&gt;高値!Y15,高値!X15&gt;高値!Z15),19,""))</f>
        <v/>
      </c>
      <c r="AU15" s="503">
        <f>IF(終値!A15="","",IF(AND(高値!Y15&gt;高値!X15,高値!Y15&gt;高値!W15,高値!Y15&gt;高値!Z15,高値!Y15&gt;高値!AA15),20,""))</f>
        <v>20</v>
      </c>
      <c r="AV15" s="503" t="str">
        <f>IF(終値!A15="","",IF(AND(高値!Z15&gt;高値!Y15,高値!Z15&gt;高値!X15,高値!Z15&gt;高値!AA15,高値!Z15&gt;高値!AB15),21,""))</f>
        <v/>
      </c>
      <c r="AW15" s="503" t="str">
        <f>IF(終値!A15="","",IF(AND(高値!AA15&gt;高値!Z15,高値!AA15&gt;高値!Y15,高値!AA15&gt;高値!AB15,高値!AA15&gt;高値!AC15),22,""))</f>
        <v/>
      </c>
      <c r="AX15" s="503" t="str">
        <f>IF(終値!A15="","",IF(AND(高値!AB15&gt;高値!AA15,高値!AB15&gt;高値!Z15,高値!AB15&gt;高値!AC15,高値!AB15&gt;高値!AD15),23,""))</f>
        <v/>
      </c>
      <c r="AY15" s="503" t="str">
        <f>IF(終値!A15="","",IF(AND(高値!AC15&gt;高値!AB15,高値!AC15&gt;高値!AA15,高値!AC15&gt;高値!AD15,高値!AC15&gt;高値!AE15),24,""))</f>
        <v/>
      </c>
      <c r="AZ15" s="503" t="str">
        <f>IF(終値!A15="","",IF(AND(高値!AD15&gt;高値!AC15,高値!AD15&gt;高値!AB15,高値!AD15&gt;高値!AE15,高値!AD15&gt;高値!AF15),25,""))</f>
        <v/>
      </c>
      <c r="BA15" s="503" t="str">
        <f>IF(終値!A15="","",IF(AND(高値!AE15&gt;高値!AD15,高値!AE15&gt;高値!AC15,高値!AE15&gt;高値!AF15,高値!AE15&gt;高値!AG15),26,""))</f>
        <v/>
      </c>
      <c r="BB15" s="503" t="str">
        <f>IF(終値!A15="","",IF(AND(高値!AF15&gt;高値!AE15,高値!AF15&gt;高値!AD15,高値!AF15&gt;高値!AG15,高値!AF15&gt;高値!AH15),27,""))</f>
        <v/>
      </c>
      <c r="BC15" s="503">
        <f>IF(終値!A15="","",IF(AND(高値!AG15&gt;高値!AF15,高値!AG15&gt;高値!AE15,高値!AG15&gt;高値!AH15,高値!AG15&gt;高値!AI15),28,""))</f>
        <v>28</v>
      </c>
      <c r="BD15" s="503">
        <f t="shared" si="0"/>
        <v>3</v>
      </c>
      <c r="BE15" s="503">
        <f t="shared" si="1"/>
        <v>13</v>
      </c>
      <c r="BF15" s="503">
        <f t="shared" si="2"/>
        <v>19</v>
      </c>
      <c r="BG15" s="503">
        <f>IF($BE15="","",INDEX(安値!$E15:$CZ15,1,$BE15+1))</f>
        <v>3753</v>
      </c>
      <c r="BH15" s="503">
        <f>IF($BF15="","",INDEX(安値!$E15:$CZ15,1,$BF15+1))</f>
        <v>3817</v>
      </c>
      <c r="BI15" s="503">
        <f>IF($BF15="","",MAX(INDEX(高値!$E15:$CZ15,1,$BE15+1):INDEX(高値!$E15:$CZ15,1,$BF15+1)))</f>
        <v>3933</v>
      </c>
      <c r="BJ15" s="503">
        <f>IF($BF15="","",AVERAGE(INDEX(終値!$E15:$CZ15,1,$BF15+1):INDEX(終値!$E15:$CZ15,1,$BF15+20))-2*STDEVP(INDEX(終値!$E15:$CZ15,1,$BF15+1):INDEX(終値!$E15:$CZ15,1,$BF15+20)))</f>
        <v>3530.4977562032145</v>
      </c>
      <c r="BK15" s="503">
        <f>IF($BE15="","",AVERAGE(INDEX(終値!$E15:$CZ15,1,$BE15+1):INDEX(終値!$E15:$CZ15,1,$BE15+20))-2*STDEVP(INDEX(終値!$E15:$CZ15,1,$BE15+1):INDEX(終値!$E15:$CZ15,1,$BE15+20)))</f>
        <v>3659.3799498779158</v>
      </c>
      <c r="BL15" s="503">
        <f t="shared" si="3"/>
        <v>4</v>
      </c>
      <c r="BM15" s="503">
        <f t="shared" si="4"/>
        <v>5</v>
      </c>
      <c r="BN15" s="503">
        <f t="shared" si="5"/>
        <v>15</v>
      </c>
      <c r="BO15" s="503">
        <f>IF($BM15="","",INDEX(高値!$E15:$CZ15,1,$BM15+1))</f>
        <v>4019</v>
      </c>
      <c r="BP15" s="503">
        <f>IF($BN15="","",INDEX(高値!$E15:$CZ15,1,$BN15+1))</f>
        <v>3916</v>
      </c>
      <c r="BQ15" s="503">
        <f>IF($BN15="","",MIN(INDEX(安値!$E15:$CZ15,1,$BM15+1):INDEX(安値!$E15:$CZ15,1,$BN15+1)))</f>
        <v>3753</v>
      </c>
      <c r="BR15" s="503">
        <f>IF($BN15="","",AVERAGE(INDEX(終値!$E15:$CZ15,1,$BN15+1):INDEX(終値!$E15:$CZ15,1,$BN15+20))+2*STDEVP(INDEX(終値!$E15:$CZ15,1,$BN15+1):INDEX(終値!$E15:$CZ15,1,$BN15+20)))</f>
        <v>3971.6131102402178</v>
      </c>
      <c r="BS15" s="503">
        <f>IF($BM15="","",AVERAGE(INDEX(終値!$E15:$CZ15,1,$BM15+1):INDEX(終値!$E15:$CZ15,1,$BM15+20))+2*STDEVP(INDEX(終値!$E15:$CZ15,1,$BM15+1):INDEX(終値!$E15:$CZ15,1,$BM15+20)))</f>
        <v>4027.1506239584469</v>
      </c>
      <c r="BT15" s="500"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二番底W形成</v>
      </c>
    </row>
    <row r="16" spans="1:72">
      <c r="B16" s="503" t="str">
        <f>IF(終値!A16="","",IF(AND(安値!G16&lt;安値!F16,安値!G16&lt;安値!E16,安値!G16&lt;安値!H16,安値!G16&lt;安値!I16),2,""))</f>
        <v/>
      </c>
      <c r="C16" s="503">
        <f>IF(終値!A16="","",IF(AND(安値!H16&lt;安値!G16,安値!H16&lt;安値!F16,安値!H16&lt;安値!I16,安値!H16&lt;安値!J16),3,""))</f>
        <v>3</v>
      </c>
      <c r="D16" s="503" t="str">
        <f>IF(終値!A16="","",IF(AND(安値!I16&lt;安値!H16,安値!I16&lt;安値!G16,安値!I16&lt;安値!J16,安値!I16&lt;安値!K16),4,""))</f>
        <v/>
      </c>
      <c r="E16" s="503" t="str">
        <f>IF(終値!A16="","",IF(AND(安値!J16&lt;安値!I16,安値!J16&lt;安値!H16,安値!J16&lt;安値!K16,安値!J16&lt;安値!L16),5,""))</f>
        <v/>
      </c>
      <c r="F16" s="503" t="str">
        <f>IF(終値!A16="","",IF(AND(安値!K16&lt;安値!J16,安値!K16&lt;安値!I16,安値!K16&lt;安値!L16,安値!K16&lt;安値!M16),6,""))</f>
        <v/>
      </c>
      <c r="G16" s="503">
        <f>IF(終値!A16="","",IF(AND(安値!L16&lt;安値!K16,安値!L16&lt;安値!J16,安値!L16&lt;安値!M16,安値!L16&lt;安値!N16),7,""))</f>
        <v>7</v>
      </c>
      <c r="H16" s="503" t="str">
        <f>IF(終値!A16="","",IF(AND(安値!M16&lt;安値!L16,安値!M16&lt;安値!K16,安値!M16&lt;安値!N16,安値!M16&lt;安値!O16),8,""))</f>
        <v/>
      </c>
      <c r="I16" s="503" t="str">
        <f>IF(終値!A16="","",IF(AND(安値!N16&lt;安値!M16,安値!N16&lt;安値!L16,安値!N16&lt;安値!O16,安値!N16&lt;安値!P16),9,""))</f>
        <v/>
      </c>
      <c r="J16" s="503" t="str">
        <f>IF(終値!A16="","",IF(AND(安値!O16&lt;安値!N16,安値!O16&lt;安値!M16,安値!O16&lt;安値!P16,安値!O16&lt;安値!Q16),10,""))</f>
        <v/>
      </c>
      <c r="K16" s="503" t="str">
        <f>IF(終値!A16="","",IF(AND(安値!P16&lt;安値!O16,安値!P16&lt;安値!N16,安値!P16&lt;安値!Q16,安値!P16&lt;安値!R16),11,""))</f>
        <v/>
      </c>
      <c r="L16" s="503" t="str">
        <f>IF(終値!A16="","",IF(AND(安値!Q16&lt;安値!P16,安値!Q16&lt;安値!O16,安値!Q16&lt;安値!R16,安値!Q16&lt;安値!S16),12,""))</f>
        <v/>
      </c>
      <c r="M16" s="503">
        <f>IF(終値!A16="","",IF(AND(安値!R16&lt;安値!Q16,安値!R16&lt;安値!P16,安値!R16&lt;安値!S16,安値!R16&lt;安値!T16),13,""))</f>
        <v>13</v>
      </c>
      <c r="N16" s="503" t="str">
        <f>IF(終値!A16="","",IF(AND(安値!S16&lt;安値!R16,安値!S16&lt;安値!Q16,安値!S16&lt;安値!T16,安値!S16&lt;安値!U16),14,""))</f>
        <v/>
      </c>
      <c r="O16" s="503" t="str">
        <f>IF(終値!A16="","",IF(AND(安値!T16&lt;安値!S16,安値!T16&lt;安値!R16,安値!T16&lt;安値!U16,安値!T16&lt;安値!V16),15,""))</f>
        <v/>
      </c>
      <c r="P16" s="503" t="str">
        <f>IF(終値!A16="","",IF(AND(安値!U16&lt;安値!T16,安値!U16&lt;安値!S16,安値!U16&lt;安値!V16,安値!U16&lt;安値!W16),16,""))</f>
        <v/>
      </c>
      <c r="Q16" s="503">
        <f>IF(終値!A16="","",IF(AND(安値!V16&lt;安値!U16,安値!V16&lt;安値!T16,安値!V16&lt;安値!W16,安値!V16&lt;安値!X16),17,""))</f>
        <v>17</v>
      </c>
      <c r="R16" s="503" t="str">
        <f>IF(終値!A16="","",IF(AND(安値!W16&lt;安値!V16,安値!W16&lt;安値!U16,安値!W16&lt;安値!X16,安値!W16&lt;安値!Y16),18,""))</f>
        <v/>
      </c>
      <c r="S16" s="503" t="str">
        <f>IF(終値!A16="","",IF(AND(安値!X16&lt;安値!W16,安値!X16&lt;安値!V16,安値!X16&lt;安値!Y16,安値!X16&lt;安値!Z16),19,""))</f>
        <v/>
      </c>
      <c r="T16" s="503" t="str">
        <f>IF(終値!A16="","",IF(AND(安値!Y16&lt;安値!X16,安値!Y16&lt;安値!W16,安値!Y16&lt;安値!Z16,安値!Y16&lt;安値!AA16),20,""))</f>
        <v/>
      </c>
      <c r="U16" s="503" t="str">
        <f>IF(終値!A16="","",IF(AND(安値!Z16&lt;安値!Y16,安値!Z16&lt;安値!X16,安値!Z16&lt;安値!AA16,安値!Z16&lt;安値!AB16),21,""))</f>
        <v/>
      </c>
      <c r="V16" s="503" t="str">
        <f>IF(終値!A16="","",IF(AND(安値!AA16&lt;安値!Z16,安値!AA16&lt;安値!Y16,安値!AA16&lt;安値!AB16,安値!AA16&lt;安値!AC16),22,""))</f>
        <v/>
      </c>
      <c r="W16" s="503" t="str">
        <f>IF(終値!A16="","",IF(AND(安値!AB16&lt;安値!AA16,安値!AB16&lt;安値!Z16,安値!AB16&lt;安値!AC16,安値!AB16&lt;安値!AD16),23,""))</f>
        <v/>
      </c>
      <c r="X16" s="503">
        <f>IF(終値!A16="","",IF(AND(安値!AC16&lt;安値!AB16,安値!AC16&lt;安値!AA16,安値!AC16&lt;安値!AD16,安値!AC16&lt;安値!AE16),24,""))</f>
        <v>24</v>
      </c>
      <c r="Y16" s="503" t="str">
        <f>IF(終値!A16="","",IF(AND(安値!AD16&lt;安値!AC16,安値!AD16&lt;安値!AB16,安値!AD16&lt;安値!AE16,安値!AD16&lt;安値!AF16),25,""))</f>
        <v/>
      </c>
      <c r="Z16" s="503" t="str">
        <f>IF(終値!A16="","",IF(AND(安値!AE16&lt;安値!AD16,安値!AE16&lt;安値!AC16,安値!AE16&lt;安値!AF16,安値!AE16&lt;安値!AG16),26,""))</f>
        <v/>
      </c>
      <c r="AA16" s="503" t="str">
        <f>IF(終値!A16="","",IF(AND(安値!AF16&lt;安値!AE16,安値!AF16&lt;安値!AD16,安値!AF16&lt;安値!AG16,安値!AF16&lt;安値!AH16),27,""))</f>
        <v/>
      </c>
      <c r="AB16" s="503" t="str">
        <f>IF(終値!A16="","",IF(AND(安値!AG16&lt;安値!AF16,安値!AG16&lt;安値!AE16,安値!AG16&lt;安値!AH16,安値!AG16&lt;安値!AI16),28,""))</f>
        <v/>
      </c>
      <c r="AC16" s="503" t="str">
        <f>IF(終値!A16="","",IF(AND(高値!G16&gt;高値!F16,高値!G16&gt;高値!E16,高値!G16&gt;高値!H16,高値!G16&gt;高値!I16),2,""))</f>
        <v/>
      </c>
      <c r="AD16" s="503" t="str">
        <f>IF(終値!A16="","",IF(AND(高値!H16&gt;高値!G16,高値!H16&gt;高値!F16,高値!H16&gt;高値!I16,高値!H16&gt;高値!J16),3,""))</f>
        <v/>
      </c>
      <c r="AE16" s="503">
        <f>IF(終値!A16="","",IF(AND(高値!I16&gt;高値!H16,高値!I16&gt;高値!G16,高値!I16&gt;高値!J16,高値!I16&gt;高値!K16),4,""))</f>
        <v>4</v>
      </c>
      <c r="AF16" s="503" t="str">
        <f>IF(終値!A16="","",IF(AND(高値!J16&gt;高値!I16,高値!J16&gt;高値!H16,高値!J16&gt;高値!K16,高値!J16&gt;高値!L16),5,""))</f>
        <v/>
      </c>
      <c r="AG16" s="503" t="str">
        <f>IF(終値!A16="","",IF(AND(高値!K16&gt;高値!J16,高値!K16&gt;高値!I16,高値!K16&gt;高値!L16,高値!K16&gt;高値!M16),6,""))</f>
        <v/>
      </c>
      <c r="AH16" s="503" t="str">
        <f>IF(終値!A16="","",IF(AND(高値!L16&gt;高値!K16,高値!L16&gt;高値!J16,高値!L16&gt;高値!M16,高値!L16&gt;高値!N16),7,""))</f>
        <v/>
      </c>
      <c r="AI16" s="503">
        <f>IF(終値!A16="","",IF(AND(高値!M16&gt;高値!L16,高値!M16&gt;高値!K16,高値!M16&gt;高値!N16,高値!M16&gt;高値!O16),8,""))</f>
        <v>8</v>
      </c>
      <c r="AJ16" s="503" t="str">
        <f>IF(終値!A16="","",IF(AND(高値!N16&gt;高値!M16,高値!N16&gt;高値!L16,高値!N16&gt;高値!O16,高値!N16&gt;高値!P16),9,""))</f>
        <v/>
      </c>
      <c r="AK16" s="503" t="str">
        <f>IF(終値!A16="","",IF(AND(高値!O16&gt;高値!N16,高値!O16&gt;高値!M16,高値!O16&gt;高値!P16,高値!O16&gt;高値!Q16),10,""))</f>
        <v/>
      </c>
      <c r="AL16" s="503">
        <f>IF(終値!A16="","",IF(AND(高値!P16&gt;高値!O16,高値!P16&gt;高値!N16,高値!P16&gt;高値!Q16,高値!P16&gt;高値!R16),11,""))</f>
        <v>11</v>
      </c>
      <c r="AM16" s="503" t="str">
        <f>IF(終値!A16="","",IF(AND(高値!Q16&gt;高値!P16,高値!Q16&gt;高値!O16,高値!Q16&gt;高値!R16,高値!Q16&gt;高値!S16),12,""))</f>
        <v/>
      </c>
      <c r="AN16" s="503" t="str">
        <f>IF(終値!A16="","",IF(AND(高値!R16&gt;高値!Q16,高値!R16&gt;高値!P16,高値!R16&gt;高値!S16,高値!R16&gt;高値!T16),13,""))</f>
        <v/>
      </c>
      <c r="AO16" s="503" t="str">
        <f>IF(終値!A16="","",IF(AND(高値!S16&gt;高値!R16,高値!S16&gt;高値!Q16,高値!S16&gt;高値!T16,高値!S16&gt;高値!U16),14,""))</f>
        <v/>
      </c>
      <c r="AP16" s="503" t="str">
        <f>IF(終値!A16="","",IF(AND(高値!T16&gt;高値!S16,高値!T16&gt;高値!R16,高値!T16&gt;高値!U16,高値!T16&gt;高値!V16),15,""))</f>
        <v/>
      </c>
      <c r="AQ16" s="503" t="str">
        <f>IF(終値!A16="","",IF(AND(高値!U16&gt;高値!T16,高値!U16&gt;高値!S16,高値!U16&gt;高値!V16,高値!U16&gt;高値!W16),16,""))</f>
        <v/>
      </c>
      <c r="AR16" s="503" t="str">
        <f>IF(終値!A16="","",IF(AND(高値!V16&gt;高値!U16,高値!V16&gt;高値!T16,高値!V16&gt;高値!W16,高値!V16&gt;高値!X16),17,""))</f>
        <v/>
      </c>
      <c r="AS16" s="503" t="str">
        <f>IF(終値!A16="","",IF(AND(高値!W16&gt;高値!V16,高値!W16&gt;高値!U16,高値!W16&gt;高値!X16,高値!W16&gt;高値!Y16),18,""))</f>
        <v/>
      </c>
      <c r="AT16" s="503" t="str">
        <f>IF(終値!A16="","",IF(AND(高値!X16&gt;高値!W16,高値!X16&gt;高値!V16,高値!X16&gt;高値!Y16,高値!X16&gt;高値!Z16),19,""))</f>
        <v/>
      </c>
      <c r="AU16" s="503">
        <f>IF(終値!A16="","",IF(AND(高値!Y16&gt;高値!X16,高値!Y16&gt;高値!W16,高値!Y16&gt;高値!Z16,高値!Y16&gt;高値!AA16),20,""))</f>
        <v>20</v>
      </c>
      <c r="AV16" s="503" t="str">
        <f>IF(終値!A16="","",IF(AND(高値!Z16&gt;高値!Y16,高値!Z16&gt;高値!X16,高値!Z16&gt;高値!AA16,高値!Z16&gt;高値!AB16),21,""))</f>
        <v/>
      </c>
      <c r="AW16" s="503" t="str">
        <f>IF(終値!A16="","",IF(AND(高値!AA16&gt;高値!Z16,高値!AA16&gt;高値!Y16,高値!AA16&gt;高値!AB16,高値!AA16&gt;高値!AC16),22,""))</f>
        <v/>
      </c>
      <c r="AX16" s="503" t="str">
        <f>IF(終値!A16="","",IF(AND(高値!AB16&gt;高値!AA16,高値!AB16&gt;高値!Z16,高値!AB16&gt;高値!AC16,高値!AB16&gt;高値!AD16),23,""))</f>
        <v/>
      </c>
      <c r="AY16" s="503" t="str">
        <f>IF(終値!A16="","",IF(AND(高値!AC16&gt;高値!AB16,高値!AC16&gt;高値!AA16,高値!AC16&gt;高値!AD16,高値!AC16&gt;高値!AE16),24,""))</f>
        <v/>
      </c>
      <c r="AZ16" s="503" t="str">
        <f>IF(終値!A16="","",IF(AND(高値!AD16&gt;高値!AC16,高値!AD16&gt;高値!AB16,高値!AD16&gt;高値!AE16,高値!AD16&gt;高値!AF16),25,""))</f>
        <v/>
      </c>
      <c r="BA16" s="503" t="str">
        <f>IF(終値!A16="","",IF(AND(高値!AE16&gt;高値!AD16,高値!AE16&gt;高値!AC16,高値!AE16&gt;高値!AF16,高値!AE16&gt;高値!AG16),26,""))</f>
        <v/>
      </c>
      <c r="BB16" s="503" t="str">
        <f>IF(終値!A16="","",IF(AND(高値!AF16&gt;高値!AE16,高値!AF16&gt;高値!AD16,高値!AF16&gt;高値!AG16,高値!AF16&gt;高値!AH16),27,""))</f>
        <v/>
      </c>
      <c r="BC16" s="503" t="str">
        <f>IF(終値!A16="","",IF(AND(高値!AG16&gt;高値!AF16,高値!AG16&gt;高値!AE16,高値!AG16&gt;高値!AH16,高値!AG16&gt;高値!AI16),28,""))</f>
        <v/>
      </c>
      <c r="BD16" s="503">
        <f t="shared" si="0"/>
        <v>5</v>
      </c>
      <c r="BE16" s="503">
        <f t="shared" si="1"/>
        <v>3</v>
      </c>
      <c r="BF16" s="503">
        <f t="shared" si="2"/>
        <v>7</v>
      </c>
      <c r="BG16" s="503">
        <f>IF($BE16="","",INDEX(安値!$E16:$CZ16,1,$BE16+1))</f>
        <v>4581</v>
      </c>
      <c r="BH16" s="503">
        <f>IF($BF16="","",INDEX(安値!$E16:$CZ16,1,$BF16+1))</f>
        <v>4710</v>
      </c>
      <c r="BI16" s="503">
        <f>IF($BF16="","",MAX(INDEX(高値!$E16:$CZ16,1,$BE16+1):INDEX(高値!$E16:$CZ16,1,$BF16+1)))</f>
        <v>4851</v>
      </c>
      <c r="BJ16" s="503">
        <f>IF($BF16="","",AVERAGE(INDEX(終値!$E16:$CZ16,1,$BF16+1):INDEX(終値!$E16:$CZ16,1,$BF16+20))-2*STDEVP(INDEX(終値!$E16:$CZ16,1,$BF16+1):INDEX(終値!$E16:$CZ16,1,$BF16+20)))</f>
        <v>4173.6051304743924</v>
      </c>
      <c r="BK16" s="503">
        <f>IF($BE16="","",AVERAGE(INDEX(終値!$E16:$CZ16,1,$BE16+1):INDEX(終値!$E16:$CZ16,1,$BE16+20))-2*STDEVP(INDEX(終値!$E16:$CZ16,1,$BE16+1):INDEX(終値!$E16:$CZ16,1,$BE16+20)))</f>
        <v>4276.5008838737849</v>
      </c>
      <c r="BL16" s="503">
        <f t="shared" si="3"/>
        <v>4</v>
      </c>
      <c r="BM16" s="503">
        <f t="shared" si="4"/>
        <v>4</v>
      </c>
      <c r="BN16" s="503">
        <f t="shared" si="5"/>
        <v>8</v>
      </c>
      <c r="BO16" s="503">
        <f>IF($BM16="","",INDEX(高値!$E16:$CZ16,1,$BM16+1))</f>
        <v>4851</v>
      </c>
      <c r="BP16" s="503">
        <f>IF($BN16="","",INDEX(高値!$E16:$CZ16,1,$BN16+1))</f>
        <v>4966</v>
      </c>
      <c r="BQ16" s="503">
        <f>IF($BN16="","",MIN(INDEX(安値!$E16:$CZ16,1,$BM16+1):INDEX(安値!$E16:$CZ16,1,$BN16+1)))</f>
        <v>4710</v>
      </c>
      <c r="BR16" s="503">
        <f>IF($BN16="","",AVERAGE(INDEX(終値!$E16:$CZ16,1,$BN16+1):INDEX(終値!$E16:$CZ16,1,$BN16+20))+2*STDEVP(INDEX(終値!$E16:$CZ16,1,$BN16+1):INDEX(終値!$E16:$CZ16,1,$BN16+20)))</f>
        <v>4921.8372249332424</v>
      </c>
      <c r="BS16" s="503">
        <f>IF($BM16="","",AVERAGE(INDEX(終値!$E16:$CZ16,1,$BM16+1):INDEX(終値!$E16:$CZ16,1,$BM16+20))+2*STDEVP(INDEX(終値!$E16:$CZ16,1,$BM16+1):INDEX(終値!$E16:$CZ16,1,$BM16+20)))</f>
        <v>5002.1808908157091</v>
      </c>
      <c r="BT16" s="500"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3" t="str">
        <f>IF(終値!A17="","",IF(AND(安値!G17&lt;安値!F17,安値!G17&lt;安値!E17,安値!G17&lt;安値!H17,安値!G17&lt;安値!I17),2,""))</f>
        <v/>
      </c>
      <c r="C17" s="503" t="str">
        <f>IF(終値!A17="","",IF(AND(安値!H17&lt;安値!G17,安値!H17&lt;安値!F17,安値!H17&lt;安値!I17,安値!H17&lt;安値!J17),3,""))</f>
        <v/>
      </c>
      <c r="D17" s="503" t="str">
        <f>IF(終値!A17="","",IF(AND(安値!I17&lt;安値!H17,安値!I17&lt;安値!G17,安値!I17&lt;安値!J17,安値!I17&lt;安値!K17),4,""))</f>
        <v/>
      </c>
      <c r="E17" s="503" t="str">
        <f>IF(終値!A17="","",IF(AND(安値!J17&lt;安値!I17,安値!J17&lt;安値!H17,安値!J17&lt;安値!K17,安値!J17&lt;安値!L17),5,""))</f>
        <v/>
      </c>
      <c r="F17" s="503">
        <f>IF(終値!A17="","",IF(AND(安値!K17&lt;安値!J17,安値!K17&lt;安値!I17,安値!K17&lt;安値!L17,安値!K17&lt;安値!M17),6,""))</f>
        <v>6</v>
      </c>
      <c r="G17" s="503" t="str">
        <f>IF(終値!A17="","",IF(AND(安値!L17&lt;安値!K17,安値!L17&lt;安値!J17,安値!L17&lt;安値!M17,安値!L17&lt;安値!N17),7,""))</f>
        <v/>
      </c>
      <c r="H17" s="503" t="str">
        <f>IF(終値!A17="","",IF(AND(安値!M17&lt;安値!L17,安値!M17&lt;安値!K17,安値!M17&lt;安値!N17,安値!M17&lt;安値!O17),8,""))</f>
        <v/>
      </c>
      <c r="I17" s="503" t="str">
        <f>IF(終値!A17="","",IF(AND(安値!N17&lt;安値!M17,安値!N17&lt;安値!L17,安値!N17&lt;安値!O17,安値!N17&lt;安値!P17),9,""))</f>
        <v/>
      </c>
      <c r="J17" s="503" t="str">
        <f>IF(終値!A17="","",IF(AND(安値!O17&lt;安値!N17,安値!O17&lt;安値!M17,安値!O17&lt;安値!P17,安値!O17&lt;安値!Q17),10,""))</f>
        <v/>
      </c>
      <c r="K17" s="503" t="str">
        <f>IF(終値!A17="","",IF(AND(安値!P17&lt;安値!O17,安値!P17&lt;安値!N17,安値!P17&lt;安値!Q17,安値!P17&lt;安値!R17),11,""))</f>
        <v/>
      </c>
      <c r="L17" s="503" t="str">
        <f>IF(終値!A17="","",IF(AND(安値!Q17&lt;安値!P17,安値!Q17&lt;安値!O17,安値!Q17&lt;安値!R17,安値!Q17&lt;安値!S17),12,""))</f>
        <v/>
      </c>
      <c r="M17" s="503">
        <f>IF(終値!A17="","",IF(AND(安値!R17&lt;安値!Q17,安値!R17&lt;安値!P17,安値!R17&lt;安値!S17,安値!R17&lt;安値!T17),13,""))</f>
        <v>13</v>
      </c>
      <c r="N17" s="503" t="str">
        <f>IF(終値!A17="","",IF(AND(安値!S17&lt;安値!R17,安値!S17&lt;安値!Q17,安値!S17&lt;安値!T17,安値!S17&lt;安値!U17),14,""))</f>
        <v/>
      </c>
      <c r="O17" s="503" t="str">
        <f>IF(終値!A17="","",IF(AND(安値!T17&lt;安値!S17,安値!T17&lt;安値!R17,安値!T17&lt;安値!U17,安値!T17&lt;安値!V17),15,""))</f>
        <v/>
      </c>
      <c r="P17" s="503" t="str">
        <f>IF(終値!A17="","",IF(AND(安値!U17&lt;安値!T17,安値!U17&lt;安値!S17,安値!U17&lt;安値!V17,安値!U17&lt;安値!W17),16,""))</f>
        <v/>
      </c>
      <c r="Q17" s="503" t="str">
        <f>IF(終値!A17="","",IF(AND(安値!V17&lt;安値!U17,安値!V17&lt;安値!T17,安値!V17&lt;安値!W17,安値!V17&lt;安値!X17),17,""))</f>
        <v/>
      </c>
      <c r="R17" s="503" t="str">
        <f>IF(終値!A17="","",IF(AND(安値!W17&lt;安値!V17,安値!W17&lt;安値!U17,安値!W17&lt;安値!X17,安値!W17&lt;安値!Y17),18,""))</f>
        <v/>
      </c>
      <c r="S17" s="503">
        <f>IF(終値!A17="","",IF(AND(安値!X17&lt;安値!W17,安値!X17&lt;安値!V17,安値!X17&lt;安値!Y17,安値!X17&lt;安値!Z17),19,""))</f>
        <v>19</v>
      </c>
      <c r="T17" s="503" t="str">
        <f>IF(終値!A17="","",IF(AND(安値!Y17&lt;安値!X17,安値!Y17&lt;安値!W17,安値!Y17&lt;安値!Z17,安値!Y17&lt;安値!AA17),20,""))</f>
        <v/>
      </c>
      <c r="U17" s="503" t="str">
        <f>IF(終値!A17="","",IF(AND(安値!Z17&lt;安値!Y17,安値!Z17&lt;安値!X17,安値!Z17&lt;安値!AA17,安値!Z17&lt;安値!AB17),21,""))</f>
        <v/>
      </c>
      <c r="V17" s="503">
        <f>IF(終値!A17="","",IF(AND(安値!AA17&lt;安値!Z17,安値!AA17&lt;安値!Y17,安値!AA17&lt;安値!AB17,安値!AA17&lt;安値!AC17),22,""))</f>
        <v>22</v>
      </c>
      <c r="W17" s="503" t="str">
        <f>IF(終値!A17="","",IF(AND(安値!AB17&lt;安値!AA17,安値!AB17&lt;安値!Z17,安値!AB17&lt;安値!AC17,安値!AB17&lt;安値!AD17),23,""))</f>
        <v/>
      </c>
      <c r="X17" s="503" t="str">
        <f>IF(終値!A17="","",IF(AND(安値!AC17&lt;安値!AB17,安値!AC17&lt;安値!AA17,安値!AC17&lt;安値!AD17,安値!AC17&lt;安値!AE17),24,""))</f>
        <v/>
      </c>
      <c r="Y17" s="503" t="str">
        <f>IF(終値!A17="","",IF(AND(安値!AD17&lt;安値!AC17,安値!AD17&lt;安値!AB17,安値!AD17&lt;安値!AE17,安値!AD17&lt;安値!AF17),25,""))</f>
        <v/>
      </c>
      <c r="Z17" s="503">
        <f>IF(終値!A17="","",IF(AND(安値!AE17&lt;安値!AD17,安値!AE17&lt;安値!AC17,安値!AE17&lt;安値!AF17,安値!AE17&lt;安値!AG17),26,""))</f>
        <v>26</v>
      </c>
      <c r="AA17" s="503" t="str">
        <f>IF(終値!A17="","",IF(AND(安値!AF17&lt;安値!AE17,安値!AF17&lt;安値!AD17,安値!AF17&lt;安値!AG17,安値!AF17&lt;安値!AH17),27,""))</f>
        <v/>
      </c>
      <c r="AB17" s="503" t="str">
        <f>IF(終値!A17="","",IF(AND(安値!AG17&lt;安値!AF17,安値!AG17&lt;安値!AE17,安値!AG17&lt;安値!AH17,安値!AG17&lt;安値!AI17),28,""))</f>
        <v/>
      </c>
      <c r="AC17" s="503" t="str">
        <f>IF(終値!A17="","",IF(AND(高値!G17&gt;高値!F17,高値!G17&gt;高値!E17,高値!G17&gt;高値!H17,高値!G17&gt;高値!I17),2,""))</f>
        <v/>
      </c>
      <c r="AD17" s="503" t="str">
        <f>IF(終値!A17="","",IF(AND(高値!H17&gt;高値!G17,高値!H17&gt;高値!F17,高値!H17&gt;高値!I17,高値!H17&gt;高値!J17),3,""))</f>
        <v/>
      </c>
      <c r="AE17" s="503">
        <f>IF(終値!A17="","",IF(AND(高値!I17&gt;高値!H17,高値!I17&gt;高値!G17,高値!I17&gt;高値!J17,高値!I17&gt;高値!K17),4,""))</f>
        <v>4</v>
      </c>
      <c r="AF17" s="503" t="str">
        <f>IF(終値!A17="","",IF(AND(高値!J17&gt;高値!I17,高値!J17&gt;高値!H17,高値!J17&gt;高値!K17,高値!J17&gt;高値!L17),5,""))</f>
        <v/>
      </c>
      <c r="AG17" s="503" t="str">
        <f>IF(終値!A17="","",IF(AND(高値!K17&gt;高値!J17,高値!K17&gt;高値!I17,高値!K17&gt;高値!L17,高値!K17&gt;高値!M17),6,""))</f>
        <v/>
      </c>
      <c r="AH17" s="503" t="str">
        <f>IF(終値!A17="","",IF(AND(高値!L17&gt;高値!K17,高値!L17&gt;高値!J17,高値!L17&gt;高値!M17,高値!L17&gt;高値!N17),7,""))</f>
        <v/>
      </c>
      <c r="AI17" s="503" t="str">
        <f>IF(終値!A17="","",IF(AND(高値!M17&gt;高値!L17,高値!M17&gt;高値!K17,高値!M17&gt;高値!N17,高値!M17&gt;高値!O17),8,""))</f>
        <v/>
      </c>
      <c r="AJ17" s="503" t="str">
        <f>IF(終値!A17="","",IF(AND(高値!N17&gt;高値!M17,高値!N17&gt;高値!L17,高値!N17&gt;高値!O17,高値!N17&gt;高値!P17),9,""))</f>
        <v/>
      </c>
      <c r="AK17" s="503">
        <f>IF(終値!A17="","",IF(AND(高値!O17&gt;高値!N17,高値!O17&gt;高値!M17,高値!O17&gt;高値!P17,高値!O17&gt;高値!Q17),10,""))</f>
        <v>10</v>
      </c>
      <c r="AL17" s="503" t="str">
        <f>IF(終値!A17="","",IF(AND(高値!P17&gt;高値!O17,高値!P17&gt;高値!N17,高値!P17&gt;高値!Q17,高値!P17&gt;高値!R17),11,""))</f>
        <v/>
      </c>
      <c r="AM17" s="503" t="str">
        <f>IF(終値!A17="","",IF(AND(高値!Q17&gt;高値!P17,高値!Q17&gt;高値!O17,高値!Q17&gt;高値!R17,高値!Q17&gt;高値!S17),12,""))</f>
        <v/>
      </c>
      <c r="AN17" s="503" t="str">
        <f>IF(終値!A17="","",IF(AND(高値!R17&gt;高値!Q17,高値!R17&gt;高値!P17,高値!R17&gt;高値!S17,高値!R17&gt;高値!T17),13,""))</f>
        <v/>
      </c>
      <c r="AO17" s="503" t="str">
        <f>IF(終値!A17="","",IF(AND(高値!S17&gt;高値!R17,高値!S17&gt;高値!Q17,高値!S17&gt;高値!T17,高値!S17&gt;高値!U17),14,""))</f>
        <v/>
      </c>
      <c r="AP17" s="503" t="str">
        <f>IF(終値!A17="","",IF(AND(高値!T17&gt;高値!S17,高値!T17&gt;高値!R17,高値!T17&gt;高値!U17,高値!T17&gt;高値!V17),15,""))</f>
        <v/>
      </c>
      <c r="AQ17" s="503" t="str">
        <f>IF(終値!A17="","",IF(AND(高値!U17&gt;高値!T17,高値!U17&gt;高値!S17,高値!U17&gt;高値!V17,高値!U17&gt;高値!W17),16,""))</f>
        <v/>
      </c>
      <c r="AR17" s="503">
        <f>IF(終値!A17="","",IF(AND(高値!V17&gt;高値!U17,高値!V17&gt;高値!T17,高値!V17&gt;高値!W17,高値!V17&gt;高値!X17),17,""))</f>
        <v>17</v>
      </c>
      <c r="AS17" s="503" t="str">
        <f>IF(終値!A17="","",IF(AND(高値!W17&gt;高値!V17,高値!W17&gt;高値!U17,高値!W17&gt;高値!X17,高値!W17&gt;高値!Y17),18,""))</f>
        <v/>
      </c>
      <c r="AT17" s="503" t="str">
        <f>IF(終値!A17="","",IF(AND(高値!X17&gt;高値!W17,高値!X17&gt;高値!V17,高値!X17&gt;高値!Y17,高値!X17&gt;高値!Z17),19,""))</f>
        <v/>
      </c>
      <c r="AU17" s="503" t="str">
        <f>IF(終値!A17="","",IF(AND(高値!Y17&gt;高値!X17,高値!Y17&gt;高値!W17,高値!Y17&gt;高値!Z17,高値!Y17&gt;高値!AA17),20,""))</f>
        <v/>
      </c>
      <c r="AV17" s="503" t="str">
        <f>IF(終値!A17="","",IF(AND(高値!Z17&gt;高値!Y17,高値!Z17&gt;高値!X17,高値!Z17&gt;高値!AA17,高値!Z17&gt;高値!AB17),21,""))</f>
        <v/>
      </c>
      <c r="AW17" s="503" t="str">
        <f>IF(終値!A17="","",IF(AND(高値!AA17&gt;高値!Z17,高値!AA17&gt;高値!Y17,高値!AA17&gt;高値!AB17,高値!AA17&gt;高値!AC17),22,""))</f>
        <v/>
      </c>
      <c r="AX17" s="503" t="str">
        <f>IF(終値!A17="","",IF(AND(高値!AB17&gt;高値!AA17,高値!AB17&gt;高値!Z17,高値!AB17&gt;高値!AC17,高値!AB17&gt;高値!AD17),23,""))</f>
        <v/>
      </c>
      <c r="AY17" s="503">
        <f>IF(終値!A17="","",IF(AND(高値!AC17&gt;高値!AB17,高値!AC17&gt;高値!AA17,高値!AC17&gt;高値!AD17,高値!AC17&gt;高値!AE17),24,""))</f>
        <v>24</v>
      </c>
      <c r="AZ17" s="503" t="str">
        <f>IF(終値!A17="","",IF(AND(高値!AD17&gt;高値!AC17,高値!AD17&gt;高値!AB17,高値!AD17&gt;高値!AE17,高値!AD17&gt;高値!AF17),25,""))</f>
        <v/>
      </c>
      <c r="BA17" s="503" t="str">
        <f>IF(終値!A17="","",IF(AND(高値!AE17&gt;高値!AD17,高値!AE17&gt;高値!AC17,高値!AE17&gt;高値!AF17,高値!AE17&gt;高値!AG17),26,""))</f>
        <v/>
      </c>
      <c r="BB17" s="503" t="str">
        <f>IF(終値!A17="","",IF(AND(高値!AF17&gt;高値!AE17,高値!AF17&gt;高値!AD17,高値!AF17&gt;高値!AG17,高値!AF17&gt;高値!AH17),27,""))</f>
        <v/>
      </c>
      <c r="BC17" s="503">
        <f>IF(終値!A17="","",IF(AND(高値!AG17&gt;高値!AF17,高値!AG17&gt;高値!AE17,高値!AG17&gt;高値!AH17,高値!AG17&gt;高値!AI17),28,""))</f>
        <v>28</v>
      </c>
      <c r="BD17" s="503">
        <f t="shared" si="0"/>
        <v>5</v>
      </c>
      <c r="BE17" s="503">
        <f t="shared" si="1"/>
        <v>6</v>
      </c>
      <c r="BF17" s="503">
        <f t="shared" si="2"/>
        <v>13</v>
      </c>
      <c r="BG17" s="503">
        <f>IF($BE17="","",INDEX(安値!$E17:$CZ17,1,$BE17+1))</f>
        <v>5050</v>
      </c>
      <c r="BH17" s="503">
        <f>IF($BF17="","",INDEX(安値!$E17:$CZ17,1,$BF17+1))</f>
        <v>5814</v>
      </c>
      <c r="BI17" s="503">
        <f>IF($BF17="","",MAX(INDEX(高値!$E17:$CZ17,1,$BE17+1):INDEX(高値!$E17:$CZ17,1,$BF17+1)))</f>
        <v>6411</v>
      </c>
      <c r="BJ17" s="503">
        <f>IF($BF17="","",AVERAGE(INDEX(終値!$E17:$CZ17,1,$BF17+1):INDEX(終値!$E17:$CZ17,1,$BF17+20))-2*STDEVP(INDEX(終値!$E17:$CZ17,1,$BF17+1):INDEX(終値!$E17:$CZ17,1,$BF17+20)))</f>
        <v>6338.4382287529552</v>
      </c>
      <c r="BK17" s="503">
        <f>IF($BE17="","",AVERAGE(INDEX(終値!$E17:$CZ17,1,$BE17+1):INDEX(終値!$E17:$CZ17,1,$BE17+20))-2*STDEVP(INDEX(終値!$E17:$CZ17,1,$BE17+1):INDEX(終値!$E17:$CZ17,1,$BE17+20)))</f>
        <v>5283.4422156567834</v>
      </c>
      <c r="BL17" s="503">
        <f t="shared" si="3"/>
        <v>5</v>
      </c>
      <c r="BM17" s="503">
        <f t="shared" si="4"/>
        <v>4</v>
      </c>
      <c r="BN17" s="503">
        <f t="shared" si="5"/>
        <v>10</v>
      </c>
      <c r="BO17" s="503">
        <f>IF($BM17="","",INDEX(高値!$E17:$CZ17,1,$BM17+1))</f>
        <v>6050</v>
      </c>
      <c r="BP17" s="503">
        <f>IF($BN17="","",INDEX(高値!$E17:$CZ17,1,$BN17+1))</f>
        <v>6411</v>
      </c>
      <c r="BQ17" s="503">
        <f>IF($BN17="","",MIN(INDEX(安値!$E17:$CZ17,1,$BM17+1):INDEX(安値!$E17:$CZ17,1,$BN17+1)))</f>
        <v>5050</v>
      </c>
      <c r="BR17" s="503">
        <f>IF($BN17="","",AVERAGE(INDEX(終値!$E17:$CZ17,1,$BN17+1):INDEX(終値!$E17:$CZ17,1,$BN17+20))+2*STDEVP(INDEX(終値!$E17:$CZ17,1,$BN17+1):INDEX(終値!$E17:$CZ17,1,$BN17+20)))</f>
        <v>8118.0169459333247</v>
      </c>
      <c r="BS17" s="503">
        <f>IF($BM17="","",AVERAGE(INDEX(終値!$E17:$CZ17,1,$BM17+1):INDEX(終値!$E17:$CZ17,1,$BM17+20))+2*STDEVP(INDEX(終値!$E17:$CZ17,1,$BM17+1):INDEX(終値!$E17:$CZ17,1,$BM17+20)))</f>
        <v>7822.9189767919625</v>
      </c>
      <c r="BT17" s="500"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3" t="str">
        <f>IF(終値!A18="","",IF(AND(安値!G18&lt;安値!F18,安値!G18&lt;安値!E18,安値!G18&lt;安値!H18,安値!G18&lt;安値!I18),2,""))</f>
        <v/>
      </c>
      <c r="C18" s="503">
        <f>IF(終値!A18="","",IF(AND(安値!H18&lt;安値!G18,安値!H18&lt;安値!F18,安値!H18&lt;安値!I18,安値!H18&lt;安値!J18),3,""))</f>
        <v>3</v>
      </c>
      <c r="D18" s="503" t="str">
        <f>IF(終値!A18="","",IF(AND(安値!I18&lt;安値!H18,安値!I18&lt;安値!G18,安値!I18&lt;安値!J18,安値!I18&lt;安値!K18),4,""))</f>
        <v/>
      </c>
      <c r="E18" s="503" t="str">
        <f>IF(終値!A18="","",IF(AND(安値!J18&lt;安値!I18,安値!J18&lt;安値!H18,安値!J18&lt;安値!K18,安値!J18&lt;安値!L18),5,""))</f>
        <v/>
      </c>
      <c r="F18" s="503" t="str">
        <f>IF(終値!A18="","",IF(AND(安値!K18&lt;安値!J18,安値!K18&lt;安値!I18,安値!K18&lt;安値!L18,安値!K18&lt;安値!M18),6,""))</f>
        <v/>
      </c>
      <c r="G18" s="503" t="str">
        <f>IF(終値!A18="","",IF(AND(安値!L18&lt;安値!K18,安値!L18&lt;安値!J18,安値!L18&lt;安値!M18,安値!L18&lt;安値!N18),7,""))</f>
        <v/>
      </c>
      <c r="H18" s="503" t="str">
        <f>IF(終値!A18="","",IF(AND(安値!M18&lt;安値!L18,安値!M18&lt;安値!K18,安値!M18&lt;安値!N18,安値!M18&lt;安値!O18),8,""))</f>
        <v/>
      </c>
      <c r="I18" s="503">
        <f>IF(終値!A18="","",IF(AND(安値!N18&lt;安値!M18,安値!N18&lt;安値!L18,安値!N18&lt;安値!O18,安値!N18&lt;安値!P18),9,""))</f>
        <v>9</v>
      </c>
      <c r="J18" s="503" t="str">
        <f>IF(終値!A18="","",IF(AND(安値!O18&lt;安値!N18,安値!O18&lt;安値!M18,安値!O18&lt;安値!P18,安値!O18&lt;安値!Q18),10,""))</f>
        <v/>
      </c>
      <c r="K18" s="503" t="str">
        <f>IF(終値!A18="","",IF(AND(安値!P18&lt;安値!O18,安値!P18&lt;安値!N18,安値!P18&lt;安値!Q18,安値!P18&lt;安値!R18),11,""))</f>
        <v/>
      </c>
      <c r="L18" s="503" t="str">
        <f>IF(終値!A18="","",IF(AND(安値!Q18&lt;安値!P18,安値!Q18&lt;安値!O18,安値!Q18&lt;安値!R18,安値!Q18&lt;安値!S18),12,""))</f>
        <v/>
      </c>
      <c r="M18" s="503">
        <f>IF(終値!A18="","",IF(AND(安値!R18&lt;安値!Q18,安値!R18&lt;安値!P18,安値!R18&lt;安値!S18,安値!R18&lt;安値!T18),13,""))</f>
        <v>13</v>
      </c>
      <c r="N18" s="503" t="str">
        <f>IF(終値!A18="","",IF(AND(安値!S18&lt;安値!R18,安値!S18&lt;安値!Q18,安値!S18&lt;安値!T18,安値!S18&lt;安値!U18),14,""))</f>
        <v/>
      </c>
      <c r="O18" s="503" t="str">
        <f>IF(終値!A18="","",IF(AND(安値!T18&lt;安値!S18,安値!T18&lt;安値!R18,安値!T18&lt;安値!U18,安値!T18&lt;安値!V18),15,""))</f>
        <v/>
      </c>
      <c r="P18" s="503" t="str">
        <f>IF(終値!A18="","",IF(AND(安値!U18&lt;安値!T18,安値!U18&lt;安値!S18,安値!U18&lt;安値!V18,安値!U18&lt;安値!W18),16,""))</f>
        <v/>
      </c>
      <c r="Q18" s="503">
        <f>IF(終値!A18="","",IF(AND(安値!V18&lt;安値!U18,安値!V18&lt;安値!T18,安値!V18&lt;安値!W18,安値!V18&lt;安値!X18),17,""))</f>
        <v>17</v>
      </c>
      <c r="R18" s="503" t="str">
        <f>IF(終値!A18="","",IF(AND(安値!W18&lt;安値!V18,安値!W18&lt;安値!U18,安値!W18&lt;安値!X18,安値!W18&lt;安値!Y18),18,""))</f>
        <v/>
      </c>
      <c r="S18" s="503" t="str">
        <f>IF(終値!A18="","",IF(AND(安値!X18&lt;安値!W18,安値!X18&lt;安値!V18,安値!X18&lt;安値!Y18,安値!X18&lt;安値!Z18),19,""))</f>
        <v/>
      </c>
      <c r="T18" s="503" t="str">
        <f>IF(終値!A18="","",IF(AND(安値!Y18&lt;安値!X18,安値!Y18&lt;安値!W18,安値!Y18&lt;安値!Z18,安値!Y18&lt;安値!AA18),20,""))</f>
        <v/>
      </c>
      <c r="U18" s="503" t="str">
        <f>IF(終値!A18="","",IF(AND(安値!Z18&lt;安値!Y18,安値!Z18&lt;安値!X18,安値!Z18&lt;安値!AA18,安値!Z18&lt;安値!AB18),21,""))</f>
        <v/>
      </c>
      <c r="V18" s="503" t="str">
        <f>IF(終値!A18="","",IF(AND(安値!AA18&lt;安値!Z18,安値!AA18&lt;安値!Y18,安値!AA18&lt;安値!AB18,安値!AA18&lt;安値!AC18),22,""))</f>
        <v/>
      </c>
      <c r="W18" s="503" t="str">
        <f>IF(終値!A18="","",IF(AND(安値!AB18&lt;安値!AA18,安値!AB18&lt;安値!Z18,安値!AB18&lt;安値!AC18,安値!AB18&lt;安値!AD18),23,""))</f>
        <v/>
      </c>
      <c r="X18" s="503">
        <f>IF(終値!A18="","",IF(AND(安値!AC18&lt;安値!AB18,安値!AC18&lt;安値!AA18,安値!AC18&lt;安値!AD18,安値!AC18&lt;安値!AE18),24,""))</f>
        <v>24</v>
      </c>
      <c r="Y18" s="503" t="str">
        <f>IF(終値!A18="","",IF(AND(安値!AD18&lt;安値!AC18,安値!AD18&lt;安値!AB18,安値!AD18&lt;安値!AE18,安値!AD18&lt;安値!AF18),25,""))</f>
        <v/>
      </c>
      <c r="Z18" s="503" t="str">
        <f>IF(終値!A18="","",IF(AND(安値!AE18&lt;安値!AD18,安値!AE18&lt;安値!AC18,安値!AE18&lt;安値!AF18,安値!AE18&lt;安値!AG18),26,""))</f>
        <v/>
      </c>
      <c r="AA18" s="503" t="str">
        <f>IF(終値!A18="","",IF(AND(安値!AF18&lt;安値!AE18,安値!AF18&lt;安値!AD18,安値!AF18&lt;安値!AG18,安値!AF18&lt;安値!AH18),27,""))</f>
        <v/>
      </c>
      <c r="AB18" s="503">
        <f>IF(終値!A18="","",IF(AND(安値!AG18&lt;安値!AF18,安値!AG18&lt;安値!AE18,安値!AG18&lt;安値!AH18,安値!AG18&lt;安値!AI18),28,""))</f>
        <v>28</v>
      </c>
      <c r="AC18" s="503" t="str">
        <f>IF(終値!A18="","",IF(AND(高値!G18&gt;高値!F18,高値!G18&gt;高値!E18,高値!G18&gt;高値!H18,高値!G18&gt;高値!I18),2,""))</f>
        <v/>
      </c>
      <c r="AD18" s="503" t="str">
        <f>IF(終値!A18="","",IF(AND(高値!H18&gt;高値!G18,高値!H18&gt;高値!F18,高値!H18&gt;高値!I18,高値!H18&gt;高値!J18),3,""))</f>
        <v/>
      </c>
      <c r="AE18" s="503">
        <f>IF(終値!A18="","",IF(AND(高値!I18&gt;高値!H18,高値!I18&gt;高値!G18,高値!I18&gt;高値!J18,高値!I18&gt;高値!K18),4,""))</f>
        <v>4</v>
      </c>
      <c r="AF18" s="503" t="str">
        <f>IF(終値!A18="","",IF(AND(高値!J18&gt;高値!I18,高値!J18&gt;高値!H18,高値!J18&gt;高値!K18,高値!J18&gt;高値!L18),5,""))</f>
        <v/>
      </c>
      <c r="AG18" s="503" t="str">
        <f>IF(終値!A18="","",IF(AND(高値!K18&gt;高値!J18,高値!K18&gt;高値!I18,高値!K18&gt;高値!L18,高値!K18&gt;高値!M18),6,""))</f>
        <v/>
      </c>
      <c r="AH18" s="503" t="str">
        <f>IF(終値!A18="","",IF(AND(高値!L18&gt;高値!K18,高値!L18&gt;高値!J18,高値!L18&gt;高値!M18,高値!L18&gt;高値!N18),7,""))</f>
        <v/>
      </c>
      <c r="AI18" s="503" t="str">
        <f>IF(終値!A18="","",IF(AND(高値!M18&gt;高値!L18,高値!M18&gt;高値!K18,高値!M18&gt;高値!N18,高値!M18&gt;高値!O18),8,""))</f>
        <v/>
      </c>
      <c r="AJ18" s="503" t="str">
        <f>IF(終値!A18="","",IF(AND(高値!N18&gt;高値!M18,高値!N18&gt;高値!L18,高値!N18&gt;高値!O18,高値!N18&gt;高値!P18),9,""))</f>
        <v/>
      </c>
      <c r="AK18" s="503">
        <f>IF(終値!A18="","",IF(AND(高値!O18&gt;高値!N18,高値!O18&gt;高値!M18,高値!O18&gt;高値!P18,高値!O18&gt;高値!Q18),10,""))</f>
        <v>10</v>
      </c>
      <c r="AL18" s="503" t="str">
        <f>IF(終値!A18="","",IF(AND(高値!P18&gt;高値!O18,高値!P18&gt;高値!N18,高値!P18&gt;高値!Q18,高値!P18&gt;高値!R18),11,""))</f>
        <v/>
      </c>
      <c r="AM18" s="503" t="str">
        <f>IF(終値!A18="","",IF(AND(高値!Q18&gt;高値!P18,高値!Q18&gt;高値!O18,高値!Q18&gt;高値!R18,高値!Q18&gt;高値!S18),12,""))</f>
        <v/>
      </c>
      <c r="AN18" s="503" t="str">
        <f>IF(終値!A18="","",IF(AND(高値!R18&gt;高値!Q18,高値!R18&gt;高値!P18,高値!R18&gt;高値!S18,高値!R18&gt;高値!T18),13,""))</f>
        <v/>
      </c>
      <c r="AO18" s="503" t="str">
        <f>IF(終値!A18="","",IF(AND(高値!S18&gt;高値!R18,高値!S18&gt;高値!Q18,高値!S18&gt;高値!T18,高値!S18&gt;高値!U18),14,""))</f>
        <v/>
      </c>
      <c r="AP18" s="503">
        <f>IF(終値!A18="","",IF(AND(高値!T18&gt;高値!S18,高値!T18&gt;高値!R18,高値!T18&gt;高値!U18,高値!T18&gt;高値!V18),15,""))</f>
        <v>15</v>
      </c>
      <c r="AQ18" s="503" t="str">
        <f>IF(終値!A18="","",IF(AND(高値!U18&gt;高値!T18,高値!U18&gt;高値!S18,高値!U18&gt;高値!V18,高値!U18&gt;高値!W18),16,""))</f>
        <v/>
      </c>
      <c r="AR18" s="503" t="str">
        <f>IF(終値!A18="","",IF(AND(高値!V18&gt;高値!U18,高値!V18&gt;高値!T18,高値!V18&gt;高値!W18,高値!V18&gt;高値!X18),17,""))</f>
        <v/>
      </c>
      <c r="AS18" s="503">
        <f>IF(終値!A18="","",IF(AND(高値!W18&gt;高値!V18,高値!W18&gt;高値!U18,高値!W18&gt;高値!X18,高値!W18&gt;高値!Y18),18,""))</f>
        <v>18</v>
      </c>
      <c r="AT18" s="503" t="str">
        <f>IF(終値!A18="","",IF(AND(高値!X18&gt;高値!W18,高値!X18&gt;高値!V18,高値!X18&gt;高値!Y18,高値!X18&gt;高値!Z18),19,""))</f>
        <v/>
      </c>
      <c r="AU18" s="503" t="str">
        <f>IF(終値!A18="","",IF(AND(高値!Y18&gt;高値!X18,高値!Y18&gt;高値!W18,高値!Y18&gt;高値!Z18,高値!Y18&gt;高値!AA18),20,""))</f>
        <v/>
      </c>
      <c r="AV18" s="503" t="str">
        <f>IF(終値!A18="","",IF(AND(高値!Z18&gt;高値!Y18,高値!Z18&gt;高値!X18,高値!Z18&gt;高値!AA18,高値!Z18&gt;高値!AB18),21,""))</f>
        <v/>
      </c>
      <c r="AW18" s="503" t="str">
        <f>IF(終値!A18="","",IF(AND(高値!AA18&gt;高値!Z18,高値!AA18&gt;高値!Y18,高値!AA18&gt;高値!AB18,高値!AA18&gt;高値!AC18),22,""))</f>
        <v/>
      </c>
      <c r="AX18" s="503" t="str">
        <f>IF(終値!A18="","",IF(AND(高値!AB18&gt;高値!AA18,高値!AB18&gt;高値!Z18,高値!AB18&gt;高値!AC18,高値!AB18&gt;高値!AD18),23,""))</f>
        <v/>
      </c>
      <c r="AY18" s="503" t="str">
        <f>IF(終値!A18="","",IF(AND(高値!AC18&gt;高値!AB18,高値!AC18&gt;高値!AA18,高値!AC18&gt;高値!AD18,高値!AC18&gt;高値!AE18),24,""))</f>
        <v/>
      </c>
      <c r="AZ18" s="503">
        <f>IF(終値!A18="","",IF(AND(高値!AD18&gt;高値!AC18,高値!AD18&gt;高値!AB18,高値!AD18&gt;高値!AE18,高値!AD18&gt;高値!AF18),25,""))</f>
        <v>25</v>
      </c>
      <c r="BA18" s="503" t="str">
        <f>IF(終値!A18="","",IF(AND(高値!AE18&gt;高値!AD18,高値!AE18&gt;高値!AC18,高値!AE18&gt;高値!AF18,高値!AE18&gt;高値!AG18),26,""))</f>
        <v/>
      </c>
      <c r="BB18" s="503" t="str">
        <f>IF(終値!A18="","",IF(AND(高値!AF18&gt;高値!AE18,高値!AF18&gt;高値!AD18,高値!AF18&gt;高値!AG18,高値!AF18&gt;高値!AH18),27,""))</f>
        <v/>
      </c>
      <c r="BC18" s="503" t="str">
        <f>IF(終値!A18="","",IF(AND(高値!AG18&gt;高値!AF18,高値!AG18&gt;高値!AE18,高値!AG18&gt;高値!AH18,高値!AG18&gt;高値!AI18),28,""))</f>
        <v/>
      </c>
      <c r="BD18" s="503">
        <f t="shared" si="0"/>
        <v>6</v>
      </c>
      <c r="BE18" s="503">
        <f t="shared" si="1"/>
        <v>3</v>
      </c>
      <c r="BF18" s="503">
        <f t="shared" si="2"/>
        <v>9</v>
      </c>
      <c r="BG18" s="503">
        <f>IF($BE18="","",INDEX(安値!$E18:$CZ18,1,$BE18+1))</f>
        <v>1665</v>
      </c>
      <c r="BH18" s="503">
        <f>IF($BF18="","",INDEX(安値!$E18:$CZ18,1,$BF18+1))</f>
        <v>0</v>
      </c>
      <c r="BI18" s="503">
        <f>IF($BF18="","",MAX(INDEX(高値!$E18:$CZ18,1,$BE18+1):INDEX(高値!$E18:$CZ18,1,$BF18+1)))</f>
        <v>1793</v>
      </c>
      <c r="BJ18" s="503">
        <f>IF($BF18="","",AVERAGE(INDEX(終値!$E18:$CZ18,1,$BF18+1):INDEX(終値!$E18:$CZ18,1,$BF18+20))-2*STDEVP(INDEX(終値!$E18:$CZ18,1,$BF18+1):INDEX(終値!$E18:$CZ18,1,$BF18+20)))</f>
        <v>1545.4271085230866</v>
      </c>
      <c r="BK18" s="503">
        <f>IF($BE18="","",AVERAGE(INDEX(終値!$E18:$CZ18,1,$BE18+1):INDEX(終値!$E18:$CZ18,1,$BE18+20))-2*STDEVP(INDEX(終値!$E18:$CZ18,1,$BE18+1):INDEX(終値!$E18:$CZ18,1,$BE18+20)))</f>
        <v>1614.9101321199007</v>
      </c>
      <c r="BL18" s="503">
        <f t="shared" si="3"/>
        <v>5</v>
      </c>
      <c r="BM18" s="503">
        <f t="shared" si="4"/>
        <v>4</v>
      </c>
      <c r="BN18" s="503">
        <f t="shared" si="5"/>
        <v>10</v>
      </c>
      <c r="BO18" s="503">
        <f>IF($BM18="","",INDEX(高値!$E18:$CZ18,1,$BM18+1))</f>
        <v>1793</v>
      </c>
      <c r="BP18" s="503">
        <f>IF($BN18="","",INDEX(高値!$E18:$CZ18,1,$BN18+1))</f>
        <v>1770</v>
      </c>
      <c r="BQ18" s="503">
        <f>IF($BN18="","",MIN(INDEX(安値!$E18:$CZ18,1,$BM18+1):INDEX(安値!$E18:$CZ18,1,$BN18+1)))</f>
        <v>1709</v>
      </c>
      <c r="BR18" s="503">
        <f>IF($BN18="","",AVERAGE(INDEX(終値!$E18:$CZ18,1,$BN18+1):INDEX(終値!$E18:$CZ18,1,$BN18+20))+2*STDEVP(INDEX(終値!$E18:$CZ18,1,$BN18+1):INDEX(終値!$E18:$CZ18,1,$BN18+20)))</f>
        <v>1765.8039128763619</v>
      </c>
      <c r="BS18" s="503">
        <f>IF($BM18="","",AVERAGE(INDEX(終値!$E18:$CZ18,1,$BM18+1):INDEX(終値!$E18:$CZ18,1,$BM18+20))+2*STDEVP(INDEX(終値!$E18:$CZ18,1,$BM18+1):INDEX(終値!$E18:$CZ18,1,$BM18+20)))</f>
        <v>1802.0929417757272</v>
      </c>
      <c r="BT18" s="500"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v>
      </c>
    </row>
    <row r="19" spans="2:72">
      <c r="B19" s="503" t="str">
        <f>IF(終値!A19="","",IF(AND(安値!G19&lt;安値!F19,安値!G19&lt;安値!E19,安値!G19&lt;安値!H19,安値!G19&lt;安値!I19),2,""))</f>
        <v/>
      </c>
      <c r="C19" s="503" t="str">
        <f>IF(終値!A19="","",IF(AND(安値!H19&lt;安値!G19,安値!H19&lt;安値!F19,安値!H19&lt;安値!I19,安値!H19&lt;安値!J19),3,""))</f>
        <v/>
      </c>
      <c r="D19" s="503" t="str">
        <f>IF(終値!A19="","",IF(AND(安値!I19&lt;安値!H19,安値!I19&lt;安値!G19,安値!I19&lt;安値!J19,安値!I19&lt;安値!K19),4,""))</f>
        <v/>
      </c>
      <c r="E19" s="503">
        <f>IF(終値!A19="","",IF(AND(安値!J19&lt;安値!I19,安値!J19&lt;安値!H19,安値!J19&lt;安値!K19,安値!J19&lt;安値!L19),5,""))</f>
        <v>5</v>
      </c>
      <c r="F19" s="503" t="str">
        <f>IF(終値!A19="","",IF(AND(安値!K19&lt;安値!J19,安値!K19&lt;安値!I19,安値!K19&lt;安値!L19,安値!K19&lt;安値!M19),6,""))</f>
        <v/>
      </c>
      <c r="G19" s="503" t="str">
        <f>IF(終値!A19="","",IF(AND(安値!L19&lt;安値!K19,安値!L19&lt;安値!J19,安値!L19&lt;安値!M19,安値!L19&lt;安値!N19),7,""))</f>
        <v/>
      </c>
      <c r="H19" s="503" t="str">
        <f>IF(終値!A19="","",IF(AND(安値!M19&lt;安値!L19,安値!M19&lt;安値!K19,安値!M19&lt;安値!N19,安値!M19&lt;安値!O19),8,""))</f>
        <v/>
      </c>
      <c r="I19" s="503" t="str">
        <f>IF(終値!A19="","",IF(AND(安値!N19&lt;安値!M19,安値!N19&lt;安値!L19,安値!N19&lt;安値!O19,安値!N19&lt;安値!P19),9,""))</f>
        <v/>
      </c>
      <c r="J19" s="503" t="str">
        <f>IF(終値!A19="","",IF(AND(安値!O19&lt;安値!N19,安値!O19&lt;安値!M19,安値!O19&lt;安値!P19,安値!O19&lt;安値!Q19),10,""))</f>
        <v/>
      </c>
      <c r="K19" s="503" t="str">
        <f>IF(終値!A19="","",IF(AND(安値!P19&lt;安値!O19,安値!P19&lt;安値!N19,安値!P19&lt;安値!Q19,安値!P19&lt;安値!R19),11,""))</f>
        <v/>
      </c>
      <c r="L19" s="503" t="str">
        <f>IF(終値!A19="","",IF(AND(安値!Q19&lt;安値!P19,安値!Q19&lt;安値!O19,安値!Q19&lt;安値!R19,安値!Q19&lt;安値!S19),12,""))</f>
        <v/>
      </c>
      <c r="M19" s="503">
        <f>IF(終値!A19="","",IF(AND(安値!R19&lt;安値!Q19,安値!R19&lt;安値!P19,安値!R19&lt;安値!S19,安値!R19&lt;安値!T19),13,""))</f>
        <v>13</v>
      </c>
      <c r="N19" s="503" t="str">
        <f>IF(終値!A19="","",IF(AND(安値!S19&lt;安値!R19,安値!S19&lt;安値!Q19,安値!S19&lt;安値!T19,安値!S19&lt;安値!U19),14,""))</f>
        <v/>
      </c>
      <c r="O19" s="503" t="str">
        <f>IF(終値!A19="","",IF(AND(安値!T19&lt;安値!S19,安値!T19&lt;安値!R19,安値!T19&lt;安値!U19,安値!T19&lt;安値!V19),15,""))</f>
        <v/>
      </c>
      <c r="P19" s="503" t="str">
        <f>IF(終値!A19="","",IF(AND(安値!U19&lt;安値!T19,安値!U19&lt;安値!S19,安値!U19&lt;安値!V19,安値!U19&lt;安値!W19),16,""))</f>
        <v/>
      </c>
      <c r="Q19" s="503" t="str">
        <f>IF(終値!A19="","",IF(AND(安値!V19&lt;安値!U19,安値!V19&lt;安値!T19,安値!V19&lt;安値!W19,安値!V19&lt;安値!X19),17,""))</f>
        <v/>
      </c>
      <c r="R19" s="503">
        <f>IF(終値!A19="","",IF(AND(安値!W19&lt;安値!V19,安値!W19&lt;安値!U19,安値!W19&lt;安値!X19,安値!W19&lt;安値!Y19),18,""))</f>
        <v>18</v>
      </c>
      <c r="S19" s="503" t="str">
        <f>IF(終値!A19="","",IF(AND(安値!X19&lt;安値!W19,安値!X19&lt;安値!V19,安値!X19&lt;安値!Y19,安値!X19&lt;安値!Z19),19,""))</f>
        <v/>
      </c>
      <c r="T19" s="503" t="str">
        <f>IF(終値!A19="","",IF(AND(安値!Y19&lt;安値!X19,安値!Y19&lt;安値!W19,安値!Y19&lt;安値!Z19,安値!Y19&lt;安値!AA19),20,""))</f>
        <v/>
      </c>
      <c r="U19" s="503" t="str">
        <f>IF(終値!A19="","",IF(AND(安値!Z19&lt;安値!Y19,安値!Z19&lt;安値!X19,安値!Z19&lt;安値!AA19,安値!Z19&lt;安値!AB19),21,""))</f>
        <v/>
      </c>
      <c r="V19" s="503" t="str">
        <f>IF(終値!A19="","",IF(AND(安値!AA19&lt;安値!Z19,安値!AA19&lt;安値!Y19,安値!AA19&lt;安値!AB19,安値!AA19&lt;安値!AC19),22,""))</f>
        <v/>
      </c>
      <c r="W19" s="503" t="str">
        <f>IF(終値!A19="","",IF(AND(安値!AB19&lt;安値!AA19,安値!AB19&lt;安値!Z19,安値!AB19&lt;安値!AC19,安値!AB19&lt;安値!AD19),23,""))</f>
        <v/>
      </c>
      <c r="X19" s="503" t="str">
        <f>IF(終値!A19="","",IF(AND(安値!AC19&lt;安値!AB19,安値!AC19&lt;安値!AA19,安値!AC19&lt;安値!AD19,安値!AC19&lt;安値!AE19),24,""))</f>
        <v/>
      </c>
      <c r="Y19" s="503" t="str">
        <f>IF(終値!A19="","",IF(AND(安値!AD19&lt;安値!AC19,安値!AD19&lt;安値!AB19,安値!AD19&lt;安値!AE19,安値!AD19&lt;安値!AF19),25,""))</f>
        <v/>
      </c>
      <c r="Z19" s="503">
        <f>IF(終値!A19="","",IF(AND(安値!AE19&lt;安値!AD19,安値!AE19&lt;安値!AC19,安値!AE19&lt;安値!AF19,安値!AE19&lt;安値!AG19),26,""))</f>
        <v>26</v>
      </c>
      <c r="AA19" s="503" t="str">
        <f>IF(終値!A19="","",IF(AND(安値!AF19&lt;安値!AE19,安値!AF19&lt;安値!AD19,安値!AF19&lt;安値!AG19,安値!AF19&lt;安値!AH19),27,""))</f>
        <v/>
      </c>
      <c r="AB19" s="503" t="str">
        <f>IF(終値!A19="","",IF(AND(安値!AG19&lt;安値!AF19,安値!AG19&lt;安値!AE19,安値!AG19&lt;安値!AH19,安値!AG19&lt;安値!AI19),28,""))</f>
        <v/>
      </c>
      <c r="AC19" s="503" t="str">
        <f>IF(終値!A19="","",IF(AND(高値!G19&gt;高値!F19,高値!G19&gt;高値!E19,高値!G19&gt;高値!H19,高値!G19&gt;高値!I19),2,""))</f>
        <v/>
      </c>
      <c r="AD19" s="503" t="str">
        <f>IF(終値!A19="","",IF(AND(高値!H19&gt;高値!G19,高値!H19&gt;高値!F19,高値!H19&gt;高値!I19,高値!H19&gt;高値!J19),3,""))</f>
        <v/>
      </c>
      <c r="AE19" s="503">
        <f>IF(終値!A19="","",IF(AND(高値!I19&gt;高値!H19,高値!I19&gt;高値!G19,高値!I19&gt;高値!J19,高値!I19&gt;高値!K19),4,""))</f>
        <v>4</v>
      </c>
      <c r="AF19" s="503" t="str">
        <f>IF(終値!A19="","",IF(AND(高値!J19&gt;高値!I19,高値!J19&gt;高値!H19,高値!J19&gt;高値!K19,高値!J19&gt;高値!L19),5,""))</f>
        <v/>
      </c>
      <c r="AG19" s="503" t="str">
        <f>IF(終値!A19="","",IF(AND(高値!K19&gt;高値!J19,高値!K19&gt;高値!I19,高値!K19&gt;高値!L19,高値!K19&gt;高値!M19),6,""))</f>
        <v/>
      </c>
      <c r="AH19" s="503" t="str">
        <f>IF(終値!A19="","",IF(AND(高値!L19&gt;高値!K19,高値!L19&gt;高値!J19,高値!L19&gt;高値!M19,高値!L19&gt;高値!N19),7,""))</f>
        <v/>
      </c>
      <c r="AI19" s="503" t="str">
        <f>IF(終値!A19="","",IF(AND(高値!M19&gt;高値!L19,高値!M19&gt;高値!K19,高値!M19&gt;高値!N19,高値!M19&gt;高値!O19),8,""))</f>
        <v/>
      </c>
      <c r="AJ19" s="503" t="str">
        <f>IF(終値!A19="","",IF(AND(高値!N19&gt;高値!M19,高値!N19&gt;高値!L19,高値!N19&gt;高値!O19,高値!N19&gt;高値!P19),9,""))</f>
        <v/>
      </c>
      <c r="AK19" s="503">
        <f>IF(終値!A19="","",IF(AND(高値!O19&gt;高値!N19,高値!O19&gt;高値!M19,高値!O19&gt;高値!P19,高値!O19&gt;高値!Q19),10,""))</f>
        <v>10</v>
      </c>
      <c r="AL19" s="503" t="str">
        <f>IF(終値!A19="","",IF(AND(高値!P19&gt;高値!O19,高値!P19&gt;高値!N19,高値!P19&gt;高値!Q19,高値!P19&gt;高値!R19),11,""))</f>
        <v/>
      </c>
      <c r="AM19" s="503" t="str">
        <f>IF(終値!A19="","",IF(AND(高値!Q19&gt;高値!P19,高値!Q19&gt;高値!O19,高値!Q19&gt;高値!R19,高値!Q19&gt;高値!S19),12,""))</f>
        <v/>
      </c>
      <c r="AN19" s="503" t="str">
        <f>IF(終値!A19="","",IF(AND(高値!R19&gt;高値!Q19,高値!R19&gt;高値!P19,高値!R19&gt;高値!S19,高値!R19&gt;高値!T19),13,""))</f>
        <v/>
      </c>
      <c r="AO19" s="503">
        <f>IF(終値!A19="","",IF(AND(高値!S19&gt;高値!R19,高値!S19&gt;高値!Q19,高値!S19&gt;高値!T19,高値!S19&gt;高値!U19),14,""))</f>
        <v>14</v>
      </c>
      <c r="AP19" s="503" t="str">
        <f>IF(終値!A19="","",IF(AND(高値!T19&gt;高値!S19,高値!T19&gt;高値!R19,高値!T19&gt;高値!U19,高値!T19&gt;高値!V19),15,""))</f>
        <v/>
      </c>
      <c r="AQ19" s="503" t="str">
        <f>IF(終値!A19="","",IF(AND(高値!U19&gt;高値!T19,高値!U19&gt;高値!S19,高値!U19&gt;高値!V19,高値!U19&gt;高値!W19),16,""))</f>
        <v/>
      </c>
      <c r="AR19" s="503" t="str">
        <f>IF(終値!A19="","",IF(AND(高値!V19&gt;高値!U19,高値!V19&gt;高値!T19,高値!V19&gt;高値!W19,高値!V19&gt;高値!X19),17,""))</f>
        <v/>
      </c>
      <c r="AS19" s="503" t="str">
        <f>IF(終値!A19="","",IF(AND(高値!W19&gt;高値!V19,高値!W19&gt;高値!U19,高値!W19&gt;高値!X19,高値!W19&gt;高値!Y19),18,""))</f>
        <v/>
      </c>
      <c r="AT19" s="503" t="str">
        <f>IF(終値!A19="","",IF(AND(高値!X19&gt;高値!W19,高値!X19&gt;高値!V19,高値!X19&gt;高値!Y19,高値!X19&gt;高値!Z19),19,""))</f>
        <v/>
      </c>
      <c r="AU19" s="503">
        <f>IF(終値!A19="","",IF(AND(高値!Y19&gt;高値!X19,高値!Y19&gt;高値!W19,高値!Y19&gt;高値!Z19,高値!Y19&gt;高値!AA19),20,""))</f>
        <v>20</v>
      </c>
      <c r="AV19" s="503" t="str">
        <f>IF(終値!A19="","",IF(AND(高値!Z19&gt;高値!Y19,高値!Z19&gt;高値!X19,高値!Z19&gt;高値!AA19,高値!Z19&gt;高値!AB19),21,""))</f>
        <v/>
      </c>
      <c r="AW19" s="503" t="str">
        <f>IF(終値!A19="","",IF(AND(高値!AA19&gt;高値!Z19,高値!AA19&gt;高値!Y19,高値!AA19&gt;高値!AB19,高値!AA19&gt;高値!AC19),22,""))</f>
        <v/>
      </c>
      <c r="AX19" s="503" t="str">
        <f>IF(終値!A19="","",IF(AND(高値!AB19&gt;高値!AA19,高値!AB19&gt;高値!Z19,高値!AB19&gt;高値!AC19,高値!AB19&gt;高値!AD19),23,""))</f>
        <v/>
      </c>
      <c r="AY19" s="503" t="str">
        <f>IF(終値!A19="","",IF(AND(高値!AC19&gt;高値!AB19,高値!AC19&gt;高値!AA19,高値!AC19&gt;高値!AD19,高値!AC19&gt;高値!AE19),24,""))</f>
        <v/>
      </c>
      <c r="AZ19" s="503" t="str">
        <f>IF(終値!A19="","",IF(AND(高値!AD19&gt;高値!AC19,高値!AD19&gt;高値!AB19,高値!AD19&gt;高値!AE19,高値!AD19&gt;高値!AF19),25,""))</f>
        <v/>
      </c>
      <c r="BA19" s="503" t="str">
        <f>IF(終値!A19="","",IF(AND(高値!AE19&gt;高値!AD19,高値!AE19&gt;高値!AC19,高値!AE19&gt;高値!AF19,高値!AE19&gt;高値!AG19),26,""))</f>
        <v/>
      </c>
      <c r="BB19" s="503" t="str">
        <f>IF(終値!A19="","",IF(AND(高値!AF19&gt;高値!AE19,高値!AF19&gt;高値!AD19,高値!AF19&gt;高値!AG19,高値!AF19&gt;高値!AH19),27,""))</f>
        <v/>
      </c>
      <c r="BC19" s="503" t="str">
        <f>IF(終値!A19="","",IF(AND(高値!AG19&gt;高値!AF19,高値!AG19&gt;高値!AE19,高値!AG19&gt;高値!AH19,高値!AG19&gt;高値!AI19),28,""))</f>
        <v/>
      </c>
      <c r="BD19" s="503">
        <f t="shared" si="0"/>
        <v>4</v>
      </c>
      <c r="BE19" s="503">
        <f t="shared" si="1"/>
        <v>5</v>
      </c>
      <c r="BF19" s="503">
        <f t="shared" si="2"/>
        <v>13</v>
      </c>
      <c r="BG19" s="503">
        <f>IF($BE19="","",INDEX(安値!$E19:$CZ19,1,$BE19+1))</f>
        <v>7761</v>
      </c>
      <c r="BH19" s="503">
        <f>IF($BF19="","",INDEX(安値!$E19:$CZ19,1,$BF19+1))</f>
        <v>7790</v>
      </c>
      <c r="BI19" s="503">
        <f>IF($BF19="","",MAX(INDEX(高値!$E19:$CZ19,1,$BE19+1):INDEX(高値!$E19:$CZ19,1,$BF19+1)))</f>
        <v>8816</v>
      </c>
      <c r="BJ19" s="503">
        <f>IF($BF19="","",AVERAGE(INDEX(終値!$E19:$CZ19,1,$BF19+1):INDEX(終値!$E19:$CZ19,1,$BF19+20))-2*STDEVP(INDEX(終値!$E19:$CZ19,1,$BF19+1):INDEX(終値!$E19:$CZ19,1,$BF19+20)))</f>
        <v>7492.7861183333644</v>
      </c>
      <c r="BK19" s="503">
        <f>IF($BE19="","",AVERAGE(INDEX(終値!$E19:$CZ19,1,$BE19+1):INDEX(終値!$E19:$CZ19,1,$BE19+20))-2*STDEVP(INDEX(終値!$E19:$CZ19,1,$BE19+1):INDEX(終値!$E19:$CZ19,1,$BE19+20)))</f>
        <v>7733.4187025594201</v>
      </c>
      <c r="BL19" s="503">
        <f t="shared" si="3"/>
        <v>4</v>
      </c>
      <c r="BM19" s="503">
        <f t="shared" si="4"/>
        <v>4</v>
      </c>
      <c r="BN19" s="503">
        <f t="shared" si="5"/>
        <v>10</v>
      </c>
      <c r="BO19" s="503">
        <f>IF($BM19="","",INDEX(高値!$E19:$CZ19,1,$BM19+1))</f>
        <v>8310</v>
      </c>
      <c r="BP19" s="503">
        <f>IF($BN19="","",INDEX(高値!$E19:$CZ19,1,$BN19+1))</f>
        <v>8816</v>
      </c>
      <c r="BQ19" s="503">
        <f>IF($BN19="","",MIN(INDEX(安値!$E19:$CZ19,1,$BM19+1):INDEX(安値!$E19:$CZ19,1,$BN19+1)))</f>
        <v>7761</v>
      </c>
      <c r="BR19" s="503">
        <f>IF($BN19="","",AVERAGE(INDEX(終値!$E19:$CZ19,1,$BN19+1):INDEX(終値!$E19:$CZ19,1,$BN19+20))+2*STDEVP(INDEX(終値!$E19:$CZ19,1,$BN19+1):INDEX(終値!$E19:$CZ19,1,$BN19+20)))</f>
        <v>8784.6251037604652</v>
      </c>
      <c r="BS19" s="503">
        <f>IF($BM19="","",AVERAGE(INDEX(終値!$E19:$CZ19,1,$BM19+1):INDEX(終値!$E19:$CZ19,1,$BM19+20))+2*STDEVP(INDEX(終値!$E19:$CZ19,1,$BM19+1):INDEX(終値!$E19:$CZ19,1,$BM19+20)))</f>
        <v>8797.3501962245027</v>
      </c>
      <c r="BT19" s="500"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3" t="str">
        <f>IF(終値!A20="","",IF(AND(安値!G20&lt;安値!F20,安値!G20&lt;安値!E20,安値!G20&lt;安値!H20,安値!G20&lt;安値!I20),2,""))</f>
        <v/>
      </c>
      <c r="C20" s="503" t="str">
        <f>IF(終値!A20="","",IF(AND(安値!H20&lt;安値!G20,安値!H20&lt;安値!F20,安値!H20&lt;安値!I20,安値!H20&lt;安値!J20),3,""))</f>
        <v/>
      </c>
      <c r="D20" s="503" t="str">
        <f>IF(終値!A20="","",IF(AND(安値!I20&lt;安値!H20,安値!I20&lt;安値!G20,安値!I20&lt;安値!J20,安値!I20&lt;安値!K20),4,""))</f>
        <v/>
      </c>
      <c r="E20" s="503" t="str">
        <f>IF(終値!A20="","",IF(AND(安値!J20&lt;安値!I20,安値!J20&lt;安値!H20,安値!J20&lt;安値!K20,安値!J20&lt;安値!L20),5,""))</f>
        <v/>
      </c>
      <c r="F20" s="503" t="str">
        <f>IF(終値!A20="","",IF(AND(安値!K20&lt;安値!J20,安値!K20&lt;安値!I20,安値!K20&lt;安値!L20,安値!K20&lt;安値!M20),6,""))</f>
        <v/>
      </c>
      <c r="G20" s="503" t="str">
        <f>IF(終値!A20="","",IF(AND(安値!L20&lt;安値!K20,安値!L20&lt;安値!J20,安値!L20&lt;安値!M20,安値!L20&lt;安値!N20),7,""))</f>
        <v/>
      </c>
      <c r="H20" s="503" t="str">
        <f>IF(終値!A20="","",IF(AND(安値!M20&lt;安値!L20,安値!M20&lt;安値!K20,安値!M20&lt;安値!N20,安値!M20&lt;安値!O20),8,""))</f>
        <v/>
      </c>
      <c r="I20" s="503">
        <f>IF(終値!A20="","",IF(AND(安値!N20&lt;安値!M20,安値!N20&lt;安値!L20,安値!N20&lt;安値!O20,安値!N20&lt;安値!P20),9,""))</f>
        <v>9</v>
      </c>
      <c r="J20" s="503" t="str">
        <f>IF(終値!A20="","",IF(AND(安値!O20&lt;安値!N20,安値!O20&lt;安値!M20,安値!O20&lt;安値!P20,安値!O20&lt;安値!Q20),10,""))</f>
        <v/>
      </c>
      <c r="K20" s="503" t="str">
        <f>IF(終値!A20="","",IF(AND(安値!P20&lt;安値!O20,安値!P20&lt;安値!N20,安値!P20&lt;安値!Q20,安値!P20&lt;安値!R20),11,""))</f>
        <v/>
      </c>
      <c r="L20" s="503" t="str">
        <f>IF(終値!A20="","",IF(AND(安値!Q20&lt;安値!P20,安値!Q20&lt;安値!O20,安値!Q20&lt;安値!R20,安値!Q20&lt;安値!S20),12,""))</f>
        <v/>
      </c>
      <c r="M20" s="503" t="str">
        <f>IF(終値!A20="","",IF(AND(安値!R20&lt;安値!Q20,安値!R20&lt;安値!P20,安値!R20&lt;安値!S20,安値!R20&lt;安値!T20),13,""))</f>
        <v/>
      </c>
      <c r="N20" s="503" t="str">
        <f>IF(終値!A20="","",IF(AND(安値!S20&lt;安値!R20,安値!S20&lt;安値!Q20,安値!S20&lt;安値!T20,安値!S20&lt;安値!U20),14,""))</f>
        <v/>
      </c>
      <c r="O20" s="503" t="str">
        <f>IF(終値!A20="","",IF(AND(安値!T20&lt;安値!S20,安値!T20&lt;安値!R20,安値!T20&lt;安値!U20,安値!T20&lt;安値!V20),15,""))</f>
        <v/>
      </c>
      <c r="P20" s="503" t="str">
        <f>IF(終値!A20="","",IF(AND(安値!U20&lt;安値!T20,安値!U20&lt;安値!S20,安値!U20&lt;安値!V20,安値!U20&lt;安値!W20),16,""))</f>
        <v/>
      </c>
      <c r="Q20" s="503" t="str">
        <f>IF(終値!A20="","",IF(AND(安値!V20&lt;安値!U20,安値!V20&lt;安値!T20,安値!V20&lt;安値!W20,安値!V20&lt;安値!X20),17,""))</f>
        <v/>
      </c>
      <c r="R20" s="503">
        <f>IF(終値!A20="","",IF(AND(安値!W20&lt;安値!V20,安値!W20&lt;安値!U20,安値!W20&lt;安値!X20,安値!W20&lt;安値!Y20),18,""))</f>
        <v>18</v>
      </c>
      <c r="S20" s="503" t="str">
        <f>IF(終値!A20="","",IF(AND(安値!X20&lt;安値!W20,安値!X20&lt;安値!V20,安値!X20&lt;安値!Y20,安値!X20&lt;安値!Z20),19,""))</f>
        <v/>
      </c>
      <c r="T20" s="503" t="str">
        <f>IF(終値!A20="","",IF(AND(安値!Y20&lt;安値!X20,安値!Y20&lt;安値!W20,安値!Y20&lt;安値!Z20,安値!Y20&lt;安値!AA20),20,""))</f>
        <v/>
      </c>
      <c r="U20" s="503" t="str">
        <f>IF(終値!A20="","",IF(AND(安値!Z20&lt;安値!Y20,安値!Z20&lt;安値!X20,安値!Z20&lt;安値!AA20,安値!Z20&lt;安値!AB20),21,""))</f>
        <v/>
      </c>
      <c r="V20" s="503" t="str">
        <f>IF(終値!A20="","",IF(AND(安値!AA20&lt;安値!Z20,安値!AA20&lt;安値!Y20,安値!AA20&lt;安値!AB20,安値!AA20&lt;安値!AC20),22,""))</f>
        <v/>
      </c>
      <c r="W20" s="503" t="str">
        <f>IF(終値!A20="","",IF(AND(安値!AB20&lt;安値!AA20,安値!AB20&lt;安値!Z20,安値!AB20&lt;安値!AC20,安値!AB20&lt;安値!AD20),23,""))</f>
        <v/>
      </c>
      <c r="X20" s="503" t="str">
        <f>IF(終値!A20="","",IF(AND(安値!AC20&lt;安値!AB20,安値!AC20&lt;安値!AA20,安値!AC20&lt;安値!AD20,安値!AC20&lt;安値!AE20),24,""))</f>
        <v/>
      </c>
      <c r="Y20" s="503" t="str">
        <f>IF(終値!A20="","",IF(AND(安値!AD20&lt;安値!AC20,安値!AD20&lt;安値!AB20,安値!AD20&lt;安値!AE20,安値!AD20&lt;安値!AF20),25,""))</f>
        <v/>
      </c>
      <c r="Z20" s="503">
        <f>IF(終値!A20="","",IF(AND(安値!AE20&lt;安値!AD20,安値!AE20&lt;安値!AC20,安値!AE20&lt;安値!AF20,安値!AE20&lt;安値!AG20),26,""))</f>
        <v>26</v>
      </c>
      <c r="AA20" s="503" t="str">
        <f>IF(終値!A20="","",IF(AND(安値!AF20&lt;安値!AE20,安値!AF20&lt;安値!AD20,安値!AF20&lt;安値!AG20,安値!AF20&lt;安値!AH20),27,""))</f>
        <v/>
      </c>
      <c r="AB20" s="503" t="str">
        <f>IF(終値!A20="","",IF(AND(安値!AG20&lt;安値!AF20,安値!AG20&lt;安値!AE20,安値!AG20&lt;安値!AH20,安値!AG20&lt;安値!AI20),28,""))</f>
        <v/>
      </c>
      <c r="AC20" s="503" t="str">
        <f>IF(終値!A20="","",IF(AND(高値!G20&gt;高値!F20,高値!G20&gt;高値!E20,高値!G20&gt;高値!H20,高値!G20&gt;高値!I20),2,""))</f>
        <v/>
      </c>
      <c r="AD20" s="503" t="str">
        <f>IF(終値!A20="","",IF(AND(高値!H20&gt;高値!G20,高値!H20&gt;高値!F20,高値!H20&gt;高値!I20,高値!H20&gt;高値!J20),3,""))</f>
        <v/>
      </c>
      <c r="AE20" s="503" t="str">
        <f>IF(終値!A20="","",IF(AND(高値!I20&gt;高値!H20,高値!I20&gt;高値!G20,高値!I20&gt;高値!J20,高値!I20&gt;高値!K20),4,""))</f>
        <v/>
      </c>
      <c r="AF20" s="503" t="str">
        <f>IF(終値!A20="","",IF(AND(高値!J20&gt;高値!I20,高値!J20&gt;高値!H20,高値!J20&gt;高値!K20,高値!J20&gt;高値!L20),5,""))</f>
        <v/>
      </c>
      <c r="AG20" s="503" t="str">
        <f>IF(終値!A20="","",IF(AND(高値!K20&gt;高値!J20,高値!K20&gt;高値!I20,高値!K20&gt;高値!L20,高値!K20&gt;高値!M20),6,""))</f>
        <v/>
      </c>
      <c r="AH20" s="503" t="str">
        <f>IF(終値!A20="","",IF(AND(高値!L20&gt;高値!K20,高値!L20&gt;高値!J20,高値!L20&gt;高値!M20,高値!L20&gt;高値!N20),7,""))</f>
        <v/>
      </c>
      <c r="AI20" s="503">
        <f>IF(終値!A20="","",IF(AND(高値!M20&gt;高値!L20,高値!M20&gt;高値!K20,高値!M20&gt;高値!N20,高値!M20&gt;高値!O20),8,""))</f>
        <v>8</v>
      </c>
      <c r="AJ20" s="503" t="str">
        <f>IF(終値!A20="","",IF(AND(高値!N20&gt;高値!M20,高値!N20&gt;高値!L20,高値!N20&gt;高値!O20,高値!N20&gt;高値!P20),9,""))</f>
        <v/>
      </c>
      <c r="AK20" s="503" t="str">
        <f>IF(終値!A20="","",IF(AND(高値!O20&gt;高値!N20,高値!O20&gt;高値!M20,高値!O20&gt;高値!P20,高値!O20&gt;高値!Q20),10,""))</f>
        <v/>
      </c>
      <c r="AL20" s="503">
        <f>IF(終値!A20="","",IF(AND(高値!P20&gt;高値!O20,高値!P20&gt;高値!N20,高値!P20&gt;高値!Q20,高値!P20&gt;高値!R20),11,""))</f>
        <v>11</v>
      </c>
      <c r="AM20" s="503" t="str">
        <f>IF(終値!A20="","",IF(AND(高値!Q20&gt;高値!P20,高値!Q20&gt;高値!O20,高値!Q20&gt;高値!R20,高値!Q20&gt;高値!S20),12,""))</f>
        <v/>
      </c>
      <c r="AN20" s="503" t="str">
        <f>IF(終値!A20="","",IF(AND(高値!R20&gt;高値!Q20,高値!R20&gt;高値!P20,高値!R20&gt;高値!S20,高値!R20&gt;高値!T20),13,""))</f>
        <v/>
      </c>
      <c r="AO20" s="503">
        <f>IF(終値!A20="","",IF(AND(高値!S20&gt;高値!R20,高値!S20&gt;高値!Q20,高値!S20&gt;高値!T20,高値!S20&gt;高値!U20),14,""))</f>
        <v>14</v>
      </c>
      <c r="AP20" s="503" t="str">
        <f>IF(終値!A20="","",IF(AND(高値!T20&gt;高値!S20,高値!T20&gt;高値!R20,高値!T20&gt;高値!U20,高値!T20&gt;高値!V20),15,""))</f>
        <v/>
      </c>
      <c r="AQ20" s="503" t="str">
        <f>IF(終値!A20="","",IF(AND(高値!U20&gt;高値!T20,高値!U20&gt;高値!S20,高値!U20&gt;高値!V20,高値!U20&gt;高値!W20),16,""))</f>
        <v/>
      </c>
      <c r="AR20" s="503" t="str">
        <f>IF(終値!A20="","",IF(AND(高値!V20&gt;高値!U20,高値!V20&gt;高値!T20,高値!V20&gt;高値!W20,高値!V20&gt;高値!X20),17,""))</f>
        <v/>
      </c>
      <c r="AS20" s="503" t="str">
        <f>IF(終値!A20="","",IF(AND(高値!W20&gt;高値!V20,高値!W20&gt;高値!U20,高値!W20&gt;高値!X20,高値!W20&gt;高値!Y20),18,""))</f>
        <v/>
      </c>
      <c r="AT20" s="503" t="str">
        <f>IF(終値!A20="","",IF(AND(高値!X20&gt;高値!W20,高値!X20&gt;高値!V20,高値!X20&gt;高値!Y20,高値!X20&gt;高値!Z20),19,""))</f>
        <v/>
      </c>
      <c r="AU20" s="503" t="str">
        <f>IF(終値!A20="","",IF(AND(高値!Y20&gt;高値!X20,高値!Y20&gt;高値!W20,高値!Y20&gt;高値!Z20,高値!Y20&gt;高値!AA20),20,""))</f>
        <v/>
      </c>
      <c r="AV20" s="503">
        <f>IF(終値!A20="","",IF(AND(高値!Z20&gt;高値!Y20,高値!Z20&gt;高値!X20,高値!Z20&gt;高値!AA20,高値!Z20&gt;高値!AB20),21,""))</f>
        <v>21</v>
      </c>
      <c r="AW20" s="503" t="str">
        <f>IF(終値!A20="","",IF(AND(高値!AA20&gt;高値!Z20,高値!AA20&gt;高値!Y20,高値!AA20&gt;高値!AB20,高値!AA20&gt;高値!AC20),22,""))</f>
        <v/>
      </c>
      <c r="AX20" s="503" t="str">
        <f>IF(終値!A20="","",IF(AND(高値!AB20&gt;高値!AA20,高値!AB20&gt;高値!Z20,高値!AB20&gt;高値!AC20,高値!AB20&gt;高値!AD20),23,""))</f>
        <v/>
      </c>
      <c r="AY20" s="503" t="str">
        <f>IF(終値!A20="","",IF(AND(高値!AC20&gt;高値!AB20,高値!AC20&gt;高値!AA20,高値!AC20&gt;高値!AD20,高値!AC20&gt;高値!AE20),24,""))</f>
        <v/>
      </c>
      <c r="AZ20" s="503" t="str">
        <f>IF(終値!A20="","",IF(AND(高値!AD20&gt;高値!AC20,高値!AD20&gt;高値!AB20,高値!AD20&gt;高値!AE20,高値!AD20&gt;高値!AF20),25,""))</f>
        <v/>
      </c>
      <c r="BA20" s="503" t="str">
        <f>IF(終値!A20="","",IF(AND(高値!AE20&gt;高値!AD20,高値!AE20&gt;高値!AC20,高値!AE20&gt;高値!AF20,高値!AE20&gt;高値!AG20),26,""))</f>
        <v/>
      </c>
      <c r="BB20" s="503" t="str">
        <f>IF(終値!A20="","",IF(AND(高値!AF20&gt;高値!AE20,高値!AF20&gt;高値!AD20,高値!AF20&gt;高値!AG20,高値!AF20&gt;高値!AH20),27,""))</f>
        <v/>
      </c>
      <c r="BC20" s="503" t="str">
        <f>IF(終値!A20="","",IF(AND(高値!AG20&gt;高値!AF20,高値!AG20&gt;高値!AE20,高値!AG20&gt;高値!AH20,高値!AG20&gt;高値!AI20),28,""))</f>
        <v/>
      </c>
      <c r="BD20" s="503">
        <f t="shared" si="0"/>
        <v>3</v>
      </c>
      <c r="BE20" s="503">
        <f t="shared" si="1"/>
        <v>9</v>
      </c>
      <c r="BF20" s="503">
        <f t="shared" si="2"/>
        <v>18</v>
      </c>
      <c r="BG20" s="503">
        <f>IF($BE20="","",INDEX(安値!$E20:$CZ20,1,$BE20+1))</f>
        <v>0</v>
      </c>
      <c r="BH20" s="503">
        <f>IF($BF20="","",INDEX(安値!$E20:$CZ20,1,$BF20+1))</f>
        <v>2203</v>
      </c>
      <c r="BI20" s="503">
        <f>IF($BF20="","",MAX(INDEX(高値!$E20:$CZ20,1,$BE20+1):INDEX(高値!$E20:$CZ20,1,$BF20+1)))</f>
        <v>2349</v>
      </c>
      <c r="BJ20" s="503">
        <f>IF($BF20="","",AVERAGE(INDEX(終値!$E20:$CZ20,1,$BF20+1):INDEX(終値!$E20:$CZ20,1,$BF20+20))-2*STDEVP(INDEX(終値!$E20:$CZ20,1,$BF20+1):INDEX(終値!$E20:$CZ20,1,$BF20+20)))</f>
        <v>2122.4826951603732</v>
      </c>
      <c r="BK20" s="503">
        <f>IF($BE20="","",AVERAGE(INDEX(終値!$E20:$CZ20,1,$BE20+1):INDEX(終値!$E20:$CZ20,1,$BE20+20))-2*STDEVP(INDEX(終値!$E20:$CZ20,1,$BE20+1):INDEX(終値!$E20:$CZ20,1,$BE20+20)))</f>
        <v>2135.7799383318197</v>
      </c>
      <c r="BL20" s="503">
        <f t="shared" si="3"/>
        <v>4</v>
      </c>
      <c r="BM20" s="503">
        <f t="shared" si="4"/>
        <v>8</v>
      </c>
      <c r="BN20" s="503">
        <f t="shared" si="5"/>
        <v>11</v>
      </c>
      <c r="BO20" s="503">
        <f>IF($BM20="","",INDEX(高値!$E20:$CZ20,1,$BM20+1))</f>
        <v>2416</v>
      </c>
      <c r="BP20" s="503">
        <f>IF($BN20="","",INDEX(高値!$E20:$CZ20,1,$BN20+1))</f>
        <v>2349</v>
      </c>
      <c r="BQ20" s="503">
        <f>IF($BN20="","",MIN(INDEX(安値!$E20:$CZ20,1,$BM20+1):INDEX(安値!$E20:$CZ20,1,$BN20+1)))</f>
        <v>2296</v>
      </c>
      <c r="BR20" s="503">
        <f>IF($BN20="","",AVERAGE(INDEX(終値!$E20:$CZ20,1,$BN20+1):INDEX(終値!$E20:$CZ20,1,$BN20+20))+2*STDEVP(INDEX(終値!$E20:$CZ20,1,$BN20+1):INDEX(終値!$E20:$CZ20,1,$BN20+20)))</f>
        <v>2353.0249744027274</v>
      </c>
      <c r="BS20" s="503">
        <f>IF($BM20="","",AVERAGE(INDEX(終値!$E20:$CZ20,1,$BM20+1):INDEX(終値!$E20:$CZ20,1,$BM20+20))+2*STDEVP(INDEX(終値!$E20:$CZ20,1,$BM20+1):INDEX(終値!$E20:$CZ20,1,$BM20+20)))</f>
        <v>2394.630460707881</v>
      </c>
      <c r="BT20" s="500"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v>
      </c>
    </row>
    <row r="21" spans="2:72">
      <c r="B21" s="503">
        <f>IF(終値!A21="","",IF(AND(安値!G21&lt;安値!F21,安値!G21&lt;安値!E21,安値!G21&lt;安値!H21,安値!G21&lt;安値!I21),2,""))</f>
        <v>2</v>
      </c>
      <c r="C21" s="503" t="str">
        <f>IF(終値!A21="","",IF(AND(安値!H21&lt;安値!G21,安値!H21&lt;安値!F21,安値!H21&lt;安値!I21,安値!H21&lt;安値!J21),3,""))</f>
        <v/>
      </c>
      <c r="D21" s="503" t="str">
        <f>IF(終値!A21="","",IF(AND(安値!I21&lt;安値!H21,安値!I21&lt;安値!G21,安値!I21&lt;安値!J21,安値!I21&lt;安値!K21),4,""))</f>
        <v/>
      </c>
      <c r="E21" s="503" t="str">
        <f>IF(終値!A21="","",IF(AND(安値!J21&lt;安値!I21,安値!J21&lt;安値!H21,安値!J21&lt;安値!K21,安値!J21&lt;安値!L21),5,""))</f>
        <v/>
      </c>
      <c r="F21" s="503" t="str">
        <f>IF(終値!A21="","",IF(AND(安値!K21&lt;安値!J21,安値!K21&lt;安値!I21,安値!K21&lt;安値!L21,安値!K21&lt;安値!M21),6,""))</f>
        <v/>
      </c>
      <c r="G21" s="503" t="str">
        <f>IF(終値!A21="","",IF(AND(安値!L21&lt;安値!K21,安値!L21&lt;安値!J21,安値!L21&lt;安値!M21,安値!L21&lt;安値!N21),7,""))</f>
        <v/>
      </c>
      <c r="H21" s="503" t="str">
        <f>IF(終値!A21="","",IF(AND(安値!M21&lt;安値!L21,安値!M21&lt;安値!K21,安値!M21&lt;安値!N21,安値!M21&lt;安値!O21),8,""))</f>
        <v/>
      </c>
      <c r="I21" s="503">
        <f>IF(終値!A21="","",IF(AND(安値!N21&lt;安値!M21,安値!N21&lt;安値!L21,安値!N21&lt;安値!O21,安値!N21&lt;安値!P21),9,""))</f>
        <v>9</v>
      </c>
      <c r="J21" s="503" t="str">
        <f>IF(終値!A21="","",IF(AND(安値!O21&lt;安値!N21,安値!O21&lt;安値!M21,安値!O21&lt;安値!P21,安値!O21&lt;安値!Q21),10,""))</f>
        <v/>
      </c>
      <c r="K21" s="503" t="str">
        <f>IF(終値!A21="","",IF(AND(安値!P21&lt;安値!O21,安値!P21&lt;安値!N21,安値!P21&lt;安値!Q21,安値!P21&lt;安値!R21),11,""))</f>
        <v/>
      </c>
      <c r="L21" s="503" t="str">
        <f>IF(終値!A21="","",IF(AND(安値!Q21&lt;安値!P21,安値!Q21&lt;安値!O21,安値!Q21&lt;安値!R21,安値!Q21&lt;安値!S21),12,""))</f>
        <v/>
      </c>
      <c r="M21" s="503">
        <f>IF(終値!A21="","",IF(AND(安値!R21&lt;安値!Q21,安値!R21&lt;安値!P21,安値!R21&lt;安値!S21,安値!R21&lt;安値!T21),13,""))</f>
        <v>13</v>
      </c>
      <c r="N21" s="503" t="str">
        <f>IF(終値!A21="","",IF(AND(安値!S21&lt;安値!R21,安値!S21&lt;安値!Q21,安値!S21&lt;安値!T21,安値!S21&lt;安値!U21),14,""))</f>
        <v/>
      </c>
      <c r="O21" s="503" t="str">
        <f>IF(終値!A21="","",IF(AND(安値!T21&lt;安値!S21,安値!T21&lt;安値!R21,安値!T21&lt;安値!U21,安値!T21&lt;安値!V21),15,""))</f>
        <v/>
      </c>
      <c r="P21" s="503" t="str">
        <f>IF(終値!A21="","",IF(AND(安値!U21&lt;安値!T21,安値!U21&lt;安値!S21,安値!U21&lt;安値!V21,安値!U21&lt;安値!W21),16,""))</f>
        <v/>
      </c>
      <c r="Q21" s="503" t="str">
        <f>IF(終値!A21="","",IF(AND(安値!V21&lt;安値!U21,安値!V21&lt;安値!T21,安値!V21&lt;安値!W21,安値!V21&lt;安値!X21),17,""))</f>
        <v/>
      </c>
      <c r="R21" s="503" t="str">
        <f>IF(終値!A21="","",IF(AND(安値!W21&lt;安値!V21,安値!W21&lt;安値!U21,安値!W21&lt;安値!X21,安値!W21&lt;安値!Y21),18,""))</f>
        <v/>
      </c>
      <c r="S21" s="503" t="str">
        <f>IF(終値!A21="","",IF(AND(安値!X21&lt;安値!W21,安値!X21&lt;安値!V21,安値!X21&lt;安値!Y21,安値!X21&lt;安値!Z21),19,""))</f>
        <v/>
      </c>
      <c r="T21" s="503" t="str">
        <f>IF(終値!A21="","",IF(AND(安値!Y21&lt;安値!X21,安値!Y21&lt;安値!W21,安値!Y21&lt;安値!Z21,安値!Y21&lt;安値!AA21),20,""))</f>
        <v/>
      </c>
      <c r="U21" s="503" t="str">
        <f>IF(終値!A21="","",IF(AND(安値!Z21&lt;安値!Y21,安値!Z21&lt;安値!X21,安値!Z21&lt;安値!AA21,安値!Z21&lt;安値!AB21),21,""))</f>
        <v/>
      </c>
      <c r="V21" s="503">
        <f>IF(終値!A21="","",IF(AND(安値!AA21&lt;安値!Z21,安値!AA21&lt;安値!Y21,安値!AA21&lt;安値!AB21,安値!AA21&lt;安値!AC21),22,""))</f>
        <v>22</v>
      </c>
      <c r="W21" s="503" t="str">
        <f>IF(終値!A21="","",IF(AND(安値!AB21&lt;安値!AA21,安値!AB21&lt;安値!Z21,安値!AB21&lt;安値!AC21,安値!AB21&lt;安値!AD21),23,""))</f>
        <v/>
      </c>
      <c r="X21" s="503" t="str">
        <f>IF(終値!A21="","",IF(AND(安値!AC21&lt;安値!AB21,安値!AC21&lt;安値!AA21,安値!AC21&lt;安値!AD21,安値!AC21&lt;安値!AE21),24,""))</f>
        <v/>
      </c>
      <c r="Y21" s="503" t="str">
        <f>IF(終値!A21="","",IF(AND(安値!AD21&lt;安値!AC21,安値!AD21&lt;安値!AB21,安値!AD21&lt;安値!AE21,安値!AD21&lt;安値!AF21),25,""))</f>
        <v/>
      </c>
      <c r="Z21" s="503" t="str">
        <f>IF(終値!A21="","",IF(AND(安値!AE21&lt;安値!AD21,安値!AE21&lt;安値!AC21,安値!AE21&lt;安値!AF21,安値!AE21&lt;安値!AG21),26,""))</f>
        <v/>
      </c>
      <c r="AA21" s="503" t="str">
        <f>IF(終値!A21="","",IF(AND(安値!AF21&lt;安値!AE21,安値!AF21&lt;安値!AD21,安値!AF21&lt;安値!AG21,安値!AF21&lt;安値!AH21),27,""))</f>
        <v/>
      </c>
      <c r="AB21" s="503" t="str">
        <f>IF(終値!A21="","",IF(AND(安値!AG21&lt;安値!AF21,安値!AG21&lt;安値!AE21,安値!AG21&lt;安値!AH21,安値!AG21&lt;安値!AI21),28,""))</f>
        <v/>
      </c>
      <c r="AC21" s="503" t="str">
        <f>IF(終値!A21="","",IF(AND(高値!G21&gt;高値!F21,高値!G21&gt;高値!E21,高値!G21&gt;高値!H21,高値!G21&gt;高値!I21),2,""))</f>
        <v/>
      </c>
      <c r="AD21" s="503" t="str">
        <f>IF(終値!A21="","",IF(AND(高値!H21&gt;高値!G21,高値!H21&gt;高値!F21,高値!H21&gt;高値!I21,高値!H21&gt;高値!J21),3,""))</f>
        <v/>
      </c>
      <c r="AE21" s="503">
        <f>IF(終値!A21="","",IF(AND(高値!I21&gt;高値!H21,高値!I21&gt;高値!G21,高値!I21&gt;高値!J21,高値!I21&gt;高値!K21),4,""))</f>
        <v>4</v>
      </c>
      <c r="AF21" s="503" t="str">
        <f>IF(終値!A21="","",IF(AND(高値!J21&gt;高値!I21,高値!J21&gt;高値!H21,高値!J21&gt;高値!K21,高値!J21&gt;高値!L21),5,""))</f>
        <v/>
      </c>
      <c r="AG21" s="503" t="str">
        <f>IF(終値!A21="","",IF(AND(高値!K21&gt;高値!J21,高値!K21&gt;高値!I21,高値!K21&gt;高値!L21,高値!K21&gt;高値!M21),6,""))</f>
        <v/>
      </c>
      <c r="AH21" s="503" t="str">
        <f>IF(終値!A21="","",IF(AND(高値!L21&gt;高値!K21,高値!L21&gt;高値!J21,高値!L21&gt;高値!M21,高値!L21&gt;高値!N21),7,""))</f>
        <v/>
      </c>
      <c r="AI21" s="503" t="str">
        <f>IF(終値!A21="","",IF(AND(高値!M21&gt;高値!L21,高値!M21&gt;高値!K21,高値!M21&gt;高値!N21,高値!M21&gt;高値!O21),8,""))</f>
        <v/>
      </c>
      <c r="AJ21" s="503" t="str">
        <f>IF(終値!A21="","",IF(AND(高値!N21&gt;高値!M21,高値!N21&gt;高値!L21,高値!N21&gt;高値!O21,高値!N21&gt;高値!P21),9,""))</f>
        <v/>
      </c>
      <c r="AK21" s="503" t="str">
        <f>IF(終値!A21="","",IF(AND(高値!O21&gt;高値!N21,高値!O21&gt;高値!M21,高値!O21&gt;高値!P21,高値!O21&gt;高値!Q21),10,""))</f>
        <v/>
      </c>
      <c r="AL21" s="503">
        <f>IF(終値!A21="","",IF(AND(高値!P21&gt;高値!O21,高値!P21&gt;高値!N21,高値!P21&gt;高値!Q21,高値!P21&gt;高値!R21),11,""))</f>
        <v>11</v>
      </c>
      <c r="AM21" s="503" t="str">
        <f>IF(終値!A21="","",IF(AND(高値!Q21&gt;高値!P21,高値!Q21&gt;高値!O21,高値!Q21&gt;高値!R21,高値!Q21&gt;高値!S21),12,""))</f>
        <v/>
      </c>
      <c r="AN21" s="503" t="str">
        <f>IF(終値!A21="","",IF(AND(高値!R21&gt;高値!Q21,高値!R21&gt;高値!P21,高値!R21&gt;高値!S21,高値!R21&gt;高値!T21),13,""))</f>
        <v/>
      </c>
      <c r="AO21" s="503" t="str">
        <f>IF(終値!A21="","",IF(AND(高値!S21&gt;高値!R21,高値!S21&gt;高値!Q21,高値!S21&gt;高値!T21,高値!S21&gt;高値!U21),14,""))</f>
        <v/>
      </c>
      <c r="AP21" s="503" t="str">
        <f>IF(終値!A21="","",IF(AND(高値!T21&gt;高値!S21,高値!T21&gt;高値!R21,高値!T21&gt;高値!U21,高値!T21&gt;高値!V21),15,""))</f>
        <v/>
      </c>
      <c r="AQ21" s="503" t="str">
        <f>IF(終値!A21="","",IF(AND(高値!U21&gt;高値!T21,高値!U21&gt;高値!S21,高値!U21&gt;高値!V21,高値!U21&gt;高値!W21),16,""))</f>
        <v/>
      </c>
      <c r="AR21" s="503" t="str">
        <f>IF(終値!A21="","",IF(AND(高値!V21&gt;高値!U21,高値!V21&gt;高値!T21,高値!V21&gt;高値!W21,高値!V21&gt;高値!X21),17,""))</f>
        <v/>
      </c>
      <c r="AS21" s="503" t="str">
        <f>IF(終値!A21="","",IF(AND(高値!W21&gt;高値!V21,高値!W21&gt;高値!U21,高値!W21&gt;高値!X21,高値!W21&gt;高値!Y21),18,""))</f>
        <v/>
      </c>
      <c r="AT21" s="503" t="str">
        <f>IF(終値!A21="","",IF(AND(高値!X21&gt;高値!W21,高値!X21&gt;高値!V21,高値!X21&gt;高値!Y21,高値!X21&gt;高値!Z21),19,""))</f>
        <v/>
      </c>
      <c r="AU21" s="503" t="str">
        <f>IF(終値!A21="","",IF(AND(高値!Y21&gt;高値!X21,高値!Y21&gt;高値!W21,高値!Y21&gt;高値!Z21,高値!Y21&gt;高値!AA21),20,""))</f>
        <v/>
      </c>
      <c r="AV21" s="503">
        <f>IF(終値!A21="","",IF(AND(高値!Z21&gt;高値!Y21,高値!Z21&gt;高値!X21,高値!Z21&gt;高値!AA21,高値!Z21&gt;高値!AB21),21,""))</f>
        <v>21</v>
      </c>
      <c r="AW21" s="503" t="str">
        <f>IF(終値!A21="","",IF(AND(高値!AA21&gt;高値!Z21,高値!AA21&gt;高値!Y21,高値!AA21&gt;高値!AB21,高値!AA21&gt;高値!AC21),22,""))</f>
        <v/>
      </c>
      <c r="AX21" s="503" t="str">
        <f>IF(終値!A21="","",IF(AND(高値!AB21&gt;高値!AA21,高値!AB21&gt;高値!Z21,高値!AB21&gt;高値!AC21,高値!AB21&gt;高値!AD21),23,""))</f>
        <v/>
      </c>
      <c r="AY21" s="503">
        <f>IF(終値!A21="","",IF(AND(高値!AC21&gt;高値!AB21,高値!AC21&gt;高値!AA21,高値!AC21&gt;高値!AD21,高値!AC21&gt;高値!AE21),24,""))</f>
        <v>24</v>
      </c>
      <c r="AZ21" s="503" t="str">
        <f>IF(終値!A21="","",IF(AND(高値!AD21&gt;高値!AC21,高値!AD21&gt;高値!AB21,高値!AD21&gt;高値!AE21,高値!AD21&gt;高値!AF21),25,""))</f>
        <v/>
      </c>
      <c r="BA21" s="503" t="str">
        <f>IF(終値!A21="","",IF(AND(高値!AE21&gt;高値!AD21,高値!AE21&gt;高値!AC21,高値!AE21&gt;高値!AF21,高値!AE21&gt;高値!AG21),26,""))</f>
        <v/>
      </c>
      <c r="BB21" s="503" t="str">
        <f>IF(終値!A21="","",IF(AND(高値!AF21&gt;高値!AE21,高値!AF21&gt;高値!AD21,高値!AF21&gt;高値!AG21,高値!AF21&gt;高値!AH21),27,""))</f>
        <v/>
      </c>
      <c r="BC21" s="503" t="str">
        <f>IF(終値!A21="","",IF(AND(高値!AG21&gt;高値!AF21,高値!AG21&gt;高値!AE21,高値!AG21&gt;高値!AH21,高値!AG21&gt;高値!AI21),28,""))</f>
        <v/>
      </c>
      <c r="BD21" s="503">
        <f t="shared" si="0"/>
        <v>4</v>
      </c>
      <c r="BE21" s="503">
        <f t="shared" si="1"/>
        <v>2</v>
      </c>
      <c r="BF21" s="503">
        <f t="shared" si="2"/>
        <v>9</v>
      </c>
      <c r="BG21" s="503">
        <f>IF($BE21="","",INDEX(安値!$E21:$CZ21,1,$BE21+1))</f>
        <v>6095</v>
      </c>
      <c r="BH21" s="503">
        <f>IF($BF21="","",INDEX(安値!$E21:$CZ21,1,$BF21+1))</f>
        <v>0</v>
      </c>
      <c r="BI21" s="503">
        <f>IF($BF21="","",MAX(INDEX(高値!$E21:$CZ21,1,$BE21+1):INDEX(高値!$E21:$CZ21,1,$BF21+1)))</f>
        <v>7520</v>
      </c>
      <c r="BJ21" s="503">
        <f>IF($BF21="","",AVERAGE(INDEX(終値!$E21:$CZ21,1,$BF21+1):INDEX(終値!$E21:$CZ21,1,$BF21+20))-2*STDEVP(INDEX(終値!$E21:$CZ21,1,$BF21+1):INDEX(終値!$E21:$CZ21,1,$BF21+20)))</f>
        <v>7337.759877393627</v>
      </c>
      <c r="BK21" s="503">
        <f>IF($BE21="","",AVERAGE(INDEX(終値!$E21:$CZ21,1,$BE21+1):INDEX(終値!$E21:$CZ21,1,$BE21+20))-2*STDEVP(INDEX(終値!$E21:$CZ21,1,$BE21+1):INDEX(終値!$E21:$CZ21,1,$BE21+20)))</f>
        <v>6152.4534726923639</v>
      </c>
      <c r="BL21" s="503">
        <f t="shared" si="3"/>
        <v>4</v>
      </c>
      <c r="BM21" s="503">
        <f t="shared" si="4"/>
        <v>4</v>
      </c>
      <c r="BN21" s="503">
        <f t="shared" si="5"/>
        <v>11</v>
      </c>
      <c r="BO21" s="503">
        <f>IF($BM21="","",INDEX(高値!$E21:$CZ21,1,$BM21+1))</f>
        <v>7210</v>
      </c>
      <c r="BP21" s="503">
        <f>IF($BN21="","",INDEX(高値!$E21:$CZ21,1,$BN21+1))</f>
        <v>7809</v>
      </c>
      <c r="BQ21" s="503">
        <f>IF($BN21="","",MIN(INDEX(安値!$E21:$CZ21,1,$BM21+1):INDEX(安値!$E21:$CZ21,1,$BN21+1)))</f>
        <v>6562</v>
      </c>
      <c r="BR21" s="503">
        <f>IF($BN21="","",AVERAGE(INDEX(終値!$E21:$CZ21,1,$BN21+1):INDEX(終値!$E21:$CZ21,1,$BN21+20))+2*STDEVP(INDEX(終値!$E21:$CZ21,1,$BN21+1):INDEX(終値!$E21:$CZ21,1,$BN21+20)))</f>
        <v>9080.8952738354874</v>
      </c>
      <c r="BS21" s="503">
        <f>IF($BM21="","",AVERAGE(INDEX(終値!$E21:$CZ21,1,$BM21+1):INDEX(終値!$E21:$CZ21,1,$BM21+20))+2*STDEVP(INDEX(終値!$E21:$CZ21,1,$BM21+1):INDEX(終値!$E21:$CZ21,1,$BM21+20)))</f>
        <v>8901.5338836418923</v>
      </c>
      <c r="BT21" s="500"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3" t="str">
        <f>IF(終値!A22="","",IF(AND(安値!G22&lt;安値!F22,安値!G22&lt;安値!E22,安値!G22&lt;安値!H22,安値!G22&lt;安値!I22),2,""))</f>
        <v/>
      </c>
      <c r="C22" s="503">
        <f>IF(終値!A22="","",IF(AND(安値!H22&lt;安値!G22,安値!H22&lt;安値!F22,安値!H22&lt;安値!I22,安値!H22&lt;安値!J22),3,""))</f>
        <v>3</v>
      </c>
      <c r="D22" s="503" t="str">
        <f>IF(終値!A22="","",IF(AND(安値!I22&lt;安値!H22,安値!I22&lt;安値!G22,安値!I22&lt;安値!J22,安値!I22&lt;安値!K22),4,""))</f>
        <v/>
      </c>
      <c r="E22" s="503" t="str">
        <f>IF(終値!A22="","",IF(AND(安値!J22&lt;安値!I22,安値!J22&lt;安値!H22,安値!J22&lt;安値!K22,安値!J22&lt;安値!L22),5,""))</f>
        <v/>
      </c>
      <c r="F22" s="503" t="str">
        <f>IF(終値!A22="","",IF(AND(安値!K22&lt;安値!J22,安値!K22&lt;安値!I22,安値!K22&lt;安値!L22,安値!K22&lt;安値!M22),6,""))</f>
        <v/>
      </c>
      <c r="G22" s="503" t="str">
        <f>IF(終値!A22="","",IF(AND(安値!L22&lt;安値!K22,安値!L22&lt;安値!J22,安値!L22&lt;安値!M22,安値!L22&lt;安値!N22),7,""))</f>
        <v/>
      </c>
      <c r="H22" s="503" t="str">
        <f>IF(終値!A22="","",IF(AND(安値!M22&lt;安値!L22,安値!M22&lt;安値!K22,安値!M22&lt;安値!N22,安値!M22&lt;安値!O22),8,""))</f>
        <v/>
      </c>
      <c r="I22" s="503" t="str">
        <f>IF(終値!A22="","",IF(AND(安値!N22&lt;安値!M22,安値!N22&lt;安値!L22,安値!N22&lt;安値!O22,安値!N22&lt;安値!P22),9,""))</f>
        <v/>
      </c>
      <c r="J22" s="503" t="str">
        <f>IF(終値!A22="","",IF(AND(安値!O22&lt;安値!N22,安値!O22&lt;安値!M22,安値!O22&lt;安値!P22,安値!O22&lt;安値!Q22),10,""))</f>
        <v/>
      </c>
      <c r="K22" s="503" t="str">
        <f>IF(終値!A22="","",IF(AND(安値!P22&lt;安値!O22,安値!P22&lt;安値!N22,安値!P22&lt;安値!Q22,安値!P22&lt;安値!R22),11,""))</f>
        <v/>
      </c>
      <c r="L22" s="503" t="str">
        <f>IF(終値!A22="","",IF(AND(安値!Q22&lt;安値!P22,安値!Q22&lt;安値!O22,安値!Q22&lt;安値!R22,安値!Q22&lt;安値!S22),12,""))</f>
        <v/>
      </c>
      <c r="M22" s="503" t="str">
        <f>IF(終値!A22="","",IF(AND(安値!R22&lt;安値!Q22,安値!R22&lt;安値!P22,安値!R22&lt;安値!S22,安値!R22&lt;安値!T22),13,""))</f>
        <v/>
      </c>
      <c r="N22" s="503" t="str">
        <f>IF(終値!A22="","",IF(AND(安値!S22&lt;安値!R22,安値!S22&lt;安値!Q22,安値!S22&lt;安値!T22,安値!S22&lt;安値!U22),14,""))</f>
        <v/>
      </c>
      <c r="O22" s="503" t="str">
        <f>IF(終値!A22="","",IF(AND(安値!T22&lt;安値!S22,安値!T22&lt;安値!R22,安値!T22&lt;安値!U22,安値!T22&lt;安値!V22),15,""))</f>
        <v/>
      </c>
      <c r="P22" s="503">
        <f>IF(終値!A22="","",IF(AND(安値!U22&lt;安値!T22,安値!U22&lt;安値!S22,安値!U22&lt;安値!V22,安値!U22&lt;安値!W22),16,""))</f>
        <v>16</v>
      </c>
      <c r="Q22" s="503" t="str">
        <f>IF(終値!A22="","",IF(AND(安値!V22&lt;安値!U22,安値!V22&lt;安値!T22,安値!V22&lt;安値!W22,安値!V22&lt;安値!X22),17,""))</f>
        <v/>
      </c>
      <c r="R22" s="503" t="str">
        <f>IF(終値!A22="","",IF(AND(安値!W22&lt;安値!V22,安値!W22&lt;安値!U22,安値!W22&lt;安値!X22,安値!W22&lt;安値!Y22),18,""))</f>
        <v/>
      </c>
      <c r="S22" s="503" t="str">
        <f>IF(終値!A22="","",IF(AND(安値!X22&lt;安値!W22,安値!X22&lt;安値!V22,安値!X22&lt;安値!Y22,安値!X22&lt;安値!Z22),19,""))</f>
        <v/>
      </c>
      <c r="T22" s="503" t="str">
        <f>IF(終値!A22="","",IF(AND(安値!Y22&lt;安値!X22,安値!Y22&lt;安値!W22,安値!Y22&lt;安値!Z22,安値!Y22&lt;安値!AA22),20,""))</f>
        <v/>
      </c>
      <c r="U22" s="503" t="str">
        <f>IF(終値!A22="","",IF(AND(安値!Z22&lt;安値!Y22,安値!Z22&lt;安値!X22,安値!Z22&lt;安値!AA22,安値!Z22&lt;安値!AB22),21,""))</f>
        <v/>
      </c>
      <c r="V22" s="503" t="str">
        <f>IF(終値!A22="","",IF(AND(安値!AA22&lt;安値!Z22,安値!AA22&lt;安値!Y22,安値!AA22&lt;安値!AB22,安値!AA22&lt;安値!AC22),22,""))</f>
        <v/>
      </c>
      <c r="W22" s="503" t="str">
        <f>IF(終値!A22="","",IF(AND(安値!AB22&lt;安値!AA22,安値!AB22&lt;安値!Z22,安値!AB22&lt;安値!AC22,安値!AB22&lt;安値!AD22),23,""))</f>
        <v/>
      </c>
      <c r="X22" s="503" t="str">
        <f>IF(終値!A22="","",IF(AND(安値!AC22&lt;安値!AB22,安値!AC22&lt;安値!AA22,安値!AC22&lt;安値!AD22,安値!AC22&lt;安値!AE22),24,""))</f>
        <v/>
      </c>
      <c r="Y22" s="503" t="str">
        <f>IF(終値!A22="","",IF(AND(安値!AD22&lt;安値!AC22,安値!AD22&lt;安値!AB22,安値!AD22&lt;安値!AE22,安値!AD22&lt;安値!AF22),25,""))</f>
        <v/>
      </c>
      <c r="Z22" s="503">
        <f>IF(終値!A22="","",IF(AND(安値!AE22&lt;安値!AD22,安値!AE22&lt;安値!AC22,安値!AE22&lt;安値!AF22,安値!AE22&lt;安値!AG22),26,""))</f>
        <v>26</v>
      </c>
      <c r="AA22" s="503" t="str">
        <f>IF(終値!A22="","",IF(AND(安値!AF22&lt;安値!AE22,安値!AF22&lt;安値!AD22,安値!AF22&lt;安値!AG22,安値!AF22&lt;安値!AH22),27,""))</f>
        <v/>
      </c>
      <c r="AB22" s="503" t="str">
        <f>IF(終値!A22="","",IF(AND(安値!AG22&lt;安値!AF22,安値!AG22&lt;安値!AE22,安値!AG22&lt;安値!AH22,安値!AG22&lt;安値!AI22),28,""))</f>
        <v/>
      </c>
      <c r="AC22" s="503" t="str">
        <f>IF(終値!A22="","",IF(AND(高値!G22&gt;高値!F22,高値!G22&gt;高値!E22,高値!G22&gt;高値!H22,高値!G22&gt;高値!I22),2,""))</f>
        <v/>
      </c>
      <c r="AD22" s="503" t="str">
        <f>IF(終値!A22="","",IF(AND(高値!H22&gt;高値!G22,高値!H22&gt;高値!F22,高値!H22&gt;高値!I22,高値!H22&gt;高値!J22),3,""))</f>
        <v/>
      </c>
      <c r="AE22" s="503" t="str">
        <f>IF(終値!A22="","",IF(AND(高値!I22&gt;高値!H22,高値!I22&gt;高値!G22,高値!I22&gt;高値!J22,高値!I22&gt;高値!K22),4,""))</f>
        <v/>
      </c>
      <c r="AF22" s="503" t="str">
        <f>IF(終値!A22="","",IF(AND(高値!J22&gt;高値!I22,高値!J22&gt;高値!H22,高値!J22&gt;高値!K22,高値!J22&gt;高値!L22),5,""))</f>
        <v/>
      </c>
      <c r="AG22" s="503" t="str">
        <f>IF(終値!A22="","",IF(AND(高値!K22&gt;高値!J22,高値!K22&gt;高値!I22,高値!K22&gt;高値!L22,高値!K22&gt;高値!M22),6,""))</f>
        <v/>
      </c>
      <c r="AH22" s="503">
        <f>IF(終値!A22="","",IF(AND(高値!L22&gt;高値!K22,高値!L22&gt;高値!J22,高値!L22&gt;高値!M22,高値!L22&gt;高値!N22),7,""))</f>
        <v>7</v>
      </c>
      <c r="AI22" s="503" t="str">
        <f>IF(終値!A22="","",IF(AND(高値!M22&gt;高値!L22,高値!M22&gt;高値!K22,高値!M22&gt;高値!N22,高値!M22&gt;高値!O22),8,""))</f>
        <v/>
      </c>
      <c r="AJ22" s="503" t="str">
        <f>IF(終値!A22="","",IF(AND(高値!N22&gt;高値!M22,高値!N22&gt;高値!L22,高値!N22&gt;高値!O22,高値!N22&gt;高値!P22),9,""))</f>
        <v/>
      </c>
      <c r="AK22" s="503" t="str">
        <f>IF(終値!A22="","",IF(AND(高値!O22&gt;高値!N22,高値!O22&gt;高値!M22,高値!O22&gt;高値!P22,高値!O22&gt;高値!Q22),10,""))</f>
        <v/>
      </c>
      <c r="AL22" s="503" t="str">
        <f>IF(終値!A22="","",IF(AND(高値!P22&gt;高値!O22,高値!P22&gt;高値!N22,高値!P22&gt;高値!Q22,高値!P22&gt;高値!R22),11,""))</f>
        <v/>
      </c>
      <c r="AM22" s="503" t="str">
        <f>IF(終値!A22="","",IF(AND(高値!Q22&gt;高値!P22,高値!Q22&gt;高値!O22,高値!Q22&gt;高値!R22,高値!Q22&gt;高値!S22),12,""))</f>
        <v/>
      </c>
      <c r="AN22" s="503" t="str">
        <f>IF(終値!A22="","",IF(AND(高値!R22&gt;高値!Q22,高値!R22&gt;高値!P22,高値!R22&gt;高値!S22,高値!R22&gt;高値!T22),13,""))</f>
        <v/>
      </c>
      <c r="AO22" s="503" t="str">
        <f>IF(終値!A22="","",IF(AND(高値!S22&gt;高値!R22,高値!S22&gt;高値!Q22,高値!S22&gt;高値!T22,高値!S22&gt;高値!U22),14,""))</f>
        <v/>
      </c>
      <c r="AP22" s="503" t="str">
        <f>IF(終値!A22="","",IF(AND(高値!T22&gt;高値!S22,高値!T22&gt;高値!R22,高値!T22&gt;高値!U22,高値!T22&gt;高値!V22),15,""))</f>
        <v/>
      </c>
      <c r="AQ22" s="503" t="str">
        <f>IF(終値!A22="","",IF(AND(高値!U22&gt;高値!T22,高値!U22&gt;高値!S22,高値!U22&gt;高値!V22,高値!U22&gt;高値!W22),16,""))</f>
        <v/>
      </c>
      <c r="AR22" s="503" t="str">
        <f>IF(終値!A22="","",IF(AND(高値!V22&gt;高値!U22,高値!V22&gt;高値!T22,高値!V22&gt;高値!W22,高値!V22&gt;高値!X22),17,""))</f>
        <v/>
      </c>
      <c r="AS22" s="503" t="str">
        <f>IF(終値!A22="","",IF(AND(高値!W22&gt;高値!V22,高値!W22&gt;高値!U22,高値!W22&gt;高値!X22,高値!W22&gt;高値!Y22),18,""))</f>
        <v/>
      </c>
      <c r="AT22" s="503" t="str">
        <f>IF(終値!A22="","",IF(AND(高値!X22&gt;高値!W22,高値!X22&gt;高値!V22,高値!X22&gt;高値!Y22,高値!X22&gt;高値!Z22),19,""))</f>
        <v/>
      </c>
      <c r="AU22" s="503">
        <f>IF(終値!A22="","",IF(AND(高値!Y22&gt;高値!X22,高値!Y22&gt;高値!W22,高値!Y22&gt;高値!Z22,高値!Y22&gt;高値!AA22),20,""))</f>
        <v>20</v>
      </c>
      <c r="AV22" s="503" t="str">
        <f>IF(終値!A22="","",IF(AND(高値!Z22&gt;高値!Y22,高値!Z22&gt;高値!X22,高値!Z22&gt;高値!AA22,高値!Z22&gt;高値!AB22),21,""))</f>
        <v/>
      </c>
      <c r="AW22" s="503" t="str">
        <f>IF(終値!A22="","",IF(AND(高値!AA22&gt;高値!Z22,高値!AA22&gt;高値!Y22,高値!AA22&gt;高値!AB22,高値!AA22&gt;高値!AC22),22,""))</f>
        <v/>
      </c>
      <c r="AX22" s="503" t="str">
        <f>IF(終値!A22="","",IF(AND(高値!AB22&gt;高値!AA22,高値!AB22&gt;高値!Z22,高値!AB22&gt;高値!AC22,高値!AB22&gt;高値!AD22),23,""))</f>
        <v/>
      </c>
      <c r="AY22" s="503" t="str">
        <f>IF(終値!A22="","",IF(AND(高値!AC22&gt;高値!AB22,高値!AC22&gt;高値!AA22,高値!AC22&gt;高値!AD22,高値!AC22&gt;高値!AE22),24,""))</f>
        <v/>
      </c>
      <c r="AZ22" s="503" t="str">
        <f>IF(終値!A22="","",IF(AND(高値!AD22&gt;高値!AC22,高値!AD22&gt;高値!AB22,高値!AD22&gt;高値!AE22,高値!AD22&gt;高値!AF22),25,""))</f>
        <v/>
      </c>
      <c r="BA22" s="503" t="str">
        <f>IF(終値!A22="","",IF(AND(高値!AE22&gt;高値!AD22,高値!AE22&gt;高値!AC22,高値!AE22&gt;高値!AF22,高値!AE22&gt;高値!AG22),26,""))</f>
        <v/>
      </c>
      <c r="BB22" s="503" t="str">
        <f>IF(終値!A22="","",IF(AND(高値!AF22&gt;高値!AE22,高値!AF22&gt;高値!AD22,高値!AF22&gt;高値!AG22,高値!AF22&gt;高値!AH22),27,""))</f>
        <v/>
      </c>
      <c r="BC22" s="503" t="str">
        <f>IF(終値!A22="","",IF(AND(高値!AG22&gt;高値!AF22,高値!AG22&gt;高値!AE22,高値!AG22&gt;高値!AH22,高値!AG22&gt;高値!AI22),28,""))</f>
        <v/>
      </c>
      <c r="BD22" s="503">
        <f t="shared" si="0"/>
        <v>3</v>
      </c>
      <c r="BE22" s="503">
        <f t="shared" si="1"/>
        <v>3</v>
      </c>
      <c r="BF22" s="503">
        <f t="shared" si="2"/>
        <v>16</v>
      </c>
      <c r="BG22" s="503">
        <f>IF($BE22="","",INDEX(安値!$E22:$CZ22,1,$BE22+1))</f>
        <v>4702</v>
      </c>
      <c r="BH22" s="503">
        <f>IF($BF22="","",INDEX(安値!$E22:$CZ22,1,$BF22+1))</f>
        <v>4395</v>
      </c>
      <c r="BI22" s="503">
        <f>IF($BF22="","",MAX(INDEX(高値!$E22:$CZ22,1,$BE22+1):INDEX(高値!$E22:$CZ22,1,$BF22+1)))</f>
        <v>5073</v>
      </c>
      <c r="BJ22" s="503">
        <f>IF($BF22="","",AVERAGE(INDEX(終値!$E22:$CZ22,1,$BF22+1):INDEX(終値!$E22:$CZ22,1,$BF22+20))-2*STDEVP(INDEX(終値!$E22:$CZ22,1,$BF22+1):INDEX(終値!$E22:$CZ22,1,$BF22+20)))</f>
        <v>4190.1420310163994</v>
      </c>
      <c r="BK22" s="503">
        <f>IF($BE22="","",AVERAGE(INDEX(終値!$E22:$CZ22,1,$BE22+1):INDEX(終値!$E22:$CZ22,1,$BE22+20))-2*STDEVP(INDEX(終値!$E22:$CZ22,1,$BE22+1):INDEX(終値!$E22:$CZ22,1,$BE22+20)))</f>
        <v>4261.1280398323624</v>
      </c>
      <c r="BL22" s="503">
        <f t="shared" si="3"/>
        <v>2</v>
      </c>
      <c r="BM22" s="503">
        <f t="shared" si="4"/>
        <v>7</v>
      </c>
      <c r="BN22" s="503">
        <f t="shared" si="5"/>
        <v>20</v>
      </c>
      <c r="BO22" s="503">
        <f>IF($BM22="","",INDEX(高値!$E22:$CZ22,1,$BM22+1))</f>
        <v>5073</v>
      </c>
      <c r="BP22" s="503">
        <f>IF($BN22="","",INDEX(高値!$E22:$CZ22,1,$BN22+1))</f>
        <v>4594</v>
      </c>
      <c r="BQ22" s="503">
        <f>IF($BN22="","",MIN(INDEX(安値!$E22:$CZ22,1,$BM22+1):INDEX(安値!$E22:$CZ22,1,$BN22+1)))</f>
        <v>4395</v>
      </c>
      <c r="BR22" s="503">
        <f>IF($BN22="","",AVERAGE(INDEX(終値!$E22:$CZ22,1,$BN22+1):INDEX(終値!$E22:$CZ22,1,$BN22+20))+2*STDEVP(INDEX(終値!$E22:$CZ22,1,$BN22+1):INDEX(終値!$E22:$CZ22,1,$BN22+20)))</f>
        <v>4774.3747164682354</v>
      </c>
      <c r="BS22" s="503">
        <f>IF($BM22="","",AVERAGE(INDEX(終値!$E22:$CZ22,1,$BM22+1):INDEX(終値!$E22:$CZ22,1,$BM22+20))+2*STDEVP(INDEX(終値!$E22:$CZ22,1,$BM22+1):INDEX(終値!$E22:$CZ22,1,$BM22+20)))</f>
        <v>5047.0608586754224</v>
      </c>
      <c r="BT22" s="500"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v>
      </c>
    </row>
    <row r="23" spans="2:72">
      <c r="B23" s="503" t="str">
        <f>IF(終値!A23="","",IF(AND(安値!G23&lt;安値!F23,安値!G23&lt;安値!E23,安値!G23&lt;安値!H23,安値!G23&lt;安値!I23),2,""))</f>
        <v/>
      </c>
      <c r="C23" s="503">
        <f>IF(終値!A23="","",IF(AND(安値!H23&lt;安値!G23,安値!H23&lt;安値!F23,安値!H23&lt;安値!I23,安値!H23&lt;安値!J23),3,""))</f>
        <v>3</v>
      </c>
      <c r="D23" s="503" t="str">
        <f>IF(終値!A23="","",IF(AND(安値!I23&lt;安値!H23,安値!I23&lt;安値!G23,安値!I23&lt;安値!J23,安値!I23&lt;安値!K23),4,""))</f>
        <v/>
      </c>
      <c r="E23" s="503" t="str">
        <f>IF(終値!A23="","",IF(AND(安値!J23&lt;安値!I23,安値!J23&lt;安値!H23,安値!J23&lt;安値!K23,安値!J23&lt;安値!L23),5,""))</f>
        <v/>
      </c>
      <c r="F23" s="503" t="str">
        <f>IF(終値!A23="","",IF(AND(安値!K23&lt;安値!J23,安値!K23&lt;安値!I23,安値!K23&lt;安値!L23,安値!K23&lt;安値!M23),6,""))</f>
        <v/>
      </c>
      <c r="G23" s="503" t="str">
        <f>IF(終値!A23="","",IF(AND(安値!L23&lt;安値!K23,安値!L23&lt;安値!J23,安値!L23&lt;安値!M23,安値!L23&lt;安値!N23),7,""))</f>
        <v/>
      </c>
      <c r="H23" s="503" t="str">
        <f>IF(終値!A23="","",IF(AND(安値!M23&lt;安値!L23,安値!M23&lt;安値!K23,安値!M23&lt;安値!N23,安値!M23&lt;安値!O23),8,""))</f>
        <v/>
      </c>
      <c r="I23" s="503">
        <f>IF(終値!A23="","",IF(AND(安値!N23&lt;安値!M23,安値!N23&lt;安値!L23,安値!N23&lt;安値!O23,安値!N23&lt;安値!P23),9,""))</f>
        <v>9</v>
      </c>
      <c r="J23" s="503" t="str">
        <f>IF(終値!A23="","",IF(AND(安値!O23&lt;安値!N23,安値!O23&lt;安値!M23,安値!O23&lt;安値!P23,安値!O23&lt;安値!Q23),10,""))</f>
        <v/>
      </c>
      <c r="K23" s="503" t="str">
        <f>IF(終値!A23="","",IF(AND(安値!P23&lt;安値!O23,安値!P23&lt;安値!N23,安値!P23&lt;安値!Q23,安値!P23&lt;安値!R23),11,""))</f>
        <v/>
      </c>
      <c r="L23" s="503" t="str">
        <f>IF(終値!A23="","",IF(AND(安値!Q23&lt;安値!P23,安値!Q23&lt;安値!O23,安値!Q23&lt;安値!R23,安値!Q23&lt;安値!S23),12,""))</f>
        <v/>
      </c>
      <c r="M23" s="503">
        <f>IF(終値!A23="","",IF(AND(安値!R23&lt;安値!Q23,安値!R23&lt;安値!P23,安値!R23&lt;安値!S23,安値!R23&lt;安値!T23),13,""))</f>
        <v>13</v>
      </c>
      <c r="N23" s="503" t="str">
        <f>IF(終値!A23="","",IF(AND(安値!S23&lt;安値!R23,安値!S23&lt;安値!Q23,安値!S23&lt;安値!T23,安値!S23&lt;安値!U23),14,""))</f>
        <v/>
      </c>
      <c r="O23" s="503" t="str">
        <f>IF(終値!A23="","",IF(AND(安値!T23&lt;安値!S23,安値!T23&lt;安値!R23,安値!T23&lt;安値!U23,安値!T23&lt;安値!V23),15,""))</f>
        <v/>
      </c>
      <c r="P23" s="503" t="str">
        <f>IF(終値!A23="","",IF(AND(安値!U23&lt;安値!T23,安値!U23&lt;安値!S23,安値!U23&lt;安値!V23,安値!U23&lt;安値!W23),16,""))</f>
        <v/>
      </c>
      <c r="Q23" s="503" t="str">
        <f>IF(終値!A23="","",IF(AND(安値!V23&lt;安値!U23,安値!V23&lt;安値!T23,安値!V23&lt;安値!W23,安値!V23&lt;安値!X23),17,""))</f>
        <v/>
      </c>
      <c r="R23" s="503">
        <f>IF(終値!A23="","",IF(AND(安値!W23&lt;安値!V23,安値!W23&lt;安値!U23,安値!W23&lt;安値!X23,安値!W23&lt;安値!Y23),18,""))</f>
        <v>18</v>
      </c>
      <c r="S23" s="503" t="str">
        <f>IF(終値!A23="","",IF(AND(安値!X23&lt;安値!W23,安値!X23&lt;安値!V23,安値!X23&lt;安値!Y23,安値!X23&lt;安値!Z23),19,""))</f>
        <v/>
      </c>
      <c r="T23" s="503" t="str">
        <f>IF(終値!A23="","",IF(AND(安値!Y23&lt;安値!X23,安値!Y23&lt;安値!W23,安値!Y23&lt;安値!Z23,安値!Y23&lt;安値!AA23),20,""))</f>
        <v/>
      </c>
      <c r="U23" s="503" t="str">
        <f>IF(終値!A23="","",IF(AND(安値!Z23&lt;安値!Y23,安値!Z23&lt;安値!X23,安値!Z23&lt;安値!AA23,安値!Z23&lt;安値!AB23),21,""))</f>
        <v/>
      </c>
      <c r="V23" s="503" t="str">
        <f>IF(終値!A23="","",IF(AND(安値!AA23&lt;安値!Z23,安値!AA23&lt;安値!Y23,安値!AA23&lt;安値!AB23,安値!AA23&lt;安値!AC23),22,""))</f>
        <v/>
      </c>
      <c r="W23" s="503" t="str">
        <f>IF(終値!A23="","",IF(AND(安値!AB23&lt;安値!AA23,安値!AB23&lt;安値!Z23,安値!AB23&lt;安値!AC23,安値!AB23&lt;安値!AD23),23,""))</f>
        <v/>
      </c>
      <c r="X23" s="503" t="str">
        <f>IF(終値!A23="","",IF(AND(安値!AC23&lt;安値!AB23,安値!AC23&lt;安値!AA23,安値!AC23&lt;安値!AD23,安値!AC23&lt;安値!AE23),24,""))</f>
        <v/>
      </c>
      <c r="Y23" s="503" t="str">
        <f>IF(終値!A23="","",IF(AND(安値!AD23&lt;安値!AC23,安値!AD23&lt;安値!AB23,安値!AD23&lt;安値!AE23,安値!AD23&lt;安値!AF23),25,""))</f>
        <v/>
      </c>
      <c r="Z23" s="503">
        <f>IF(終値!A23="","",IF(AND(安値!AE23&lt;安値!AD23,安値!AE23&lt;安値!AC23,安値!AE23&lt;安値!AF23,安値!AE23&lt;安値!AG23),26,""))</f>
        <v>26</v>
      </c>
      <c r="AA23" s="503" t="str">
        <f>IF(終値!A23="","",IF(AND(安値!AF23&lt;安値!AE23,安値!AF23&lt;安値!AD23,安値!AF23&lt;安値!AG23,安値!AF23&lt;安値!AH23),27,""))</f>
        <v/>
      </c>
      <c r="AB23" s="503" t="str">
        <f>IF(終値!A23="","",IF(AND(安値!AG23&lt;安値!AF23,安値!AG23&lt;安値!AE23,安値!AG23&lt;安値!AH23,安値!AG23&lt;安値!AI23),28,""))</f>
        <v/>
      </c>
      <c r="AC23" s="503" t="str">
        <f>IF(終値!A23="","",IF(AND(高値!G23&gt;高値!F23,高値!G23&gt;高値!E23,高値!G23&gt;高値!H23,高値!G23&gt;高値!I23),2,""))</f>
        <v/>
      </c>
      <c r="AD23" s="503" t="str">
        <f>IF(終値!A23="","",IF(AND(高値!H23&gt;高値!G23,高値!H23&gt;高値!F23,高値!H23&gt;高値!I23,高値!H23&gt;高値!J23),3,""))</f>
        <v/>
      </c>
      <c r="AE23" s="503">
        <f>IF(終値!A23="","",IF(AND(高値!I23&gt;高値!H23,高値!I23&gt;高値!G23,高値!I23&gt;高値!J23,高値!I23&gt;高値!K23),4,""))</f>
        <v>4</v>
      </c>
      <c r="AF23" s="503" t="str">
        <f>IF(終値!A23="","",IF(AND(高値!J23&gt;高値!I23,高値!J23&gt;高値!H23,高値!J23&gt;高値!K23,高値!J23&gt;高値!L23),5,""))</f>
        <v/>
      </c>
      <c r="AG23" s="503" t="str">
        <f>IF(終値!A23="","",IF(AND(高値!K23&gt;高値!J23,高値!K23&gt;高値!I23,高値!K23&gt;高値!L23,高値!K23&gt;高値!M23),6,""))</f>
        <v/>
      </c>
      <c r="AH23" s="503" t="str">
        <f>IF(終値!A23="","",IF(AND(高値!L23&gt;高値!K23,高値!L23&gt;高値!J23,高値!L23&gt;高値!M23,高値!L23&gt;高値!N23),7,""))</f>
        <v/>
      </c>
      <c r="AI23" s="503">
        <f>IF(終値!A23="","",IF(AND(高値!M23&gt;高値!L23,高値!M23&gt;高値!K23,高値!M23&gt;高値!N23,高値!M23&gt;高値!O23),8,""))</f>
        <v>8</v>
      </c>
      <c r="AJ23" s="503" t="str">
        <f>IF(終値!A23="","",IF(AND(高値!N23&gt;高値!M23,高値!N23&gt;高値!L23,高値!N23&gt;高値!O23,高値!N23&gt;高値!P23),9,""))</f>
        <v/>
      </c>
      <c r="AK23" s="503" t="str">
        <f>IF(終値!A23="","",IF(AND(高値!O23&gt;高値!N23,高値!O23&gt;高値!M23,高値!O23&gt;高値!P23,高値!O23&gt;高値!Q23),10,""))</f>
        <v/>
      </c>
      <c r="AL23" s="503" t="str">
        <f>IF(終値!A23="","",IF(AND(高値!P23&gt;高値!O23,高値!P23&gt;高値!N23,高値!P23&gt;高値!Q23,高値!P23&gt;高値!R23),11,""))</f>
        <v/>
      </c>
      <c r="AM23" s="503" t="str">
        <f>IF(終値!A23="","",IF(AND(高値!Q23&gt;高値!P23,高値!Q23&gt;高値!O23,高値!Q23&gt;高値!R23,高値!Q23&gt;高値!S23),12,""))</f>
        <v/>
      </c>
      <c r="AN23" s="503" t="str">
        <f>IF(終値!A23="","",IF(AND(高値!R23&gt;高値!Q23,高値!R23&gt;高値!P23,高値!R23&gt;高値!S23,高値!R23&gt;高値!T23),13,""))</f>
        <v/>
      </c>
      <c r="AO23" s="503">
        <f>IF(終値!A23="","",IF(AND(高値!S23&gt;高値!R23,高値!S23&gt;高値!Q23,高値!S23&gt;高値!T23,高値!S23&gt;高値!U23),14,""))</f>
        <v>14</v>
      </c>
      <c r="AP23" s="503" t="str">
        <f>IF(終値!A23="","",IF(AND(高値!T23&gt;高値!S23,高値!T23&gt;高値!R23,高値!T23&gt;高値!U23,高値!T23&gt;高値!V23),15,""))</f>
        <v/>
      </c>
      <c r="AQ23" s="503" t="str">
        <f>IF(終値!A23="","",IF(AND(高値!U23&gt;高値!T23,高値!U23&gt;高値!S23,高値!U23&gt;高値!V23,高値!U23&gt;高値!W23),16,""))</f>
        <v/>
      </c>
      <c r="AR23" s="503">
        <f>IF(終値!A23="","",IF(AND(高値!V23&gt;高値!U23,高値!V23&gt;高値!T23,高値!V23&gt;高値!W23,高値!V23&gt;高値!X23),17,""))</f>
        <v>17</v>
      </c>
      <c r="AS23" s="503" t="str">
        <f>IF(終値!A23="","",IF(AND(高値!W23&gt;高値!V23,高値!W23&gt;高値!U23,高値!W23&gt;高値!X23,高値!W23&gt;高値!Y23),18,""))</f>
        <v/>
      </c>
      <c r="AT23" s="503" t="str">
        <f>IF(終値!A23="","",IF(AND(高値!X23&gt;高値!W23,高値!X23&gt;高値!V23,高値!X23&gt;高値!Y23,高値!X23&gt;高値!Z23),19,""))</f>
        <v/>
      </c>
      <c r="AU23" s="503">
        <f>IF(終値!A23="","",IF(AND(高値!Y23&gt;高値!X23,高値!Y23&gt;高値!W23,高値!Y23&gt;高値!Z23,高値!Y23&gt;高値!AA23),20,""))</f>
        <v>20</v>
      </c>
      <c r="AV23" s="503" t="str">
        <f>IF(終値!A23="","",IF(AND(高値!Z23&gt;高値!Y23,高値!Z23&gt;高値!X23,高値!Z23&gt;高値!AA23,高値!Z23&gt;高値!AB23),21,""))</f>
        <v/>
      </c>
      <c r="AW23" s="503" t="str">
        <f>IF(終値!A23="","",IF(AND(高値!AA23&gt;高値!Z23,高値!AA23&gt;高値!Y23,高値!AA23&gt;高値!AB23,高値!AA23&gt;高値!AC23),22,""))</f>
        <v/>
      </c>
      <c r="AX23" s="503" t="str">
        <f>IF(終値!A23="","",IF(AND(高値!AB23&gt;高値!AA23,高値!AB23&gt;高値!Z23,高値!AB23&gt;高値!AC23,高値!AB23&gt;高値!AD23),23,""))</f>
        <v/>
      </c>
      <c r="AY23" s="503" t="str">
        <f>IF(終値!A23="","",IF(AND(高値!AC23&gt;高値!AB23,高値!AC23&gt;高値!AA23,高値!AC23&gt;高値!AD23,高値!AC23&gt;高値!AE23),24,""))</f>
        <v/>
      </c>
      <c r="AZ23" s="503" t="str">
        <f>IF(終値!A23="","",IF(AND(高値!AD23&gt;高値!AC23,高値!AD23&gt;高値!AB23,高値!AD23&gt;高値!AE23,高値!AD23&gt;高値!AF23),25,""))</f>
        <v/>
      </c>
      <c r="BA23" s="503" t="str">
        <f>IF(終値!A23="","",IF(AND(高値!AE23&gt;高値!AD23,高値!AE23&gt;高値!AC23,高値!AE23&gt;高値!AF23,高値!AE23&gt;高値!AG23),26,""))</f>
        <v/>
      </c>
      <c r="BB23" s="503" t="str">
        <f>IF(終値!A23="","",IF(AND(高値!AF23&gt;高値!AE23,高値!AF23&gt;高値!AD23,高値!AF23&gt;高値!AG23,高値!AF23&gt;高値!AH23),27,""))</f>
        <v/>
      </c>
      <c r="BC23" s="503" t="str">
        <f>IF(終値!A23="","",IF(AND(高値!AG23&gt;高値!AF23,高値!AG23&gt;高値!AE23,高値!AG23&gt;高値!AH23,高値!AG23&gt;高値!AI23),28,""))</f>
        <v/>
      </c>
      <c r="BD23" s="503">
        <f t="shared" si="0"/>
        <v>5</v>
      </c>
      <c r="BE23" s="503">
        <f t="shared" si="1"/>
        <v>3</v>
      </c>
      <c r="BF23" s="503">
        <f t="shared" si="2"/>
        <v>9</v>
      </c>
      <c r="BG23" s="503">
        <f>IF($BE23="","",INDEX(安値!$E23:$CZ23,1,$BE23+1))</f>
        <v>4868</v>
      </c>
      <c r="BH23" s="503">
        <f>IF($BF23="","",INDEX(安値!$E23:$CZ23,1,$BF23+1))</f>
        <v>0</v>
      </c>
      <c r="BI23" s="503">
        <f>IF($BF23="","",MAX(INDEX(高値!$E23:$CZ23,1,$BE23+1):INDEX(高値!$E23:$CZ23,1,$BF23+1)))</f>
        <v>5176</v>
      </c>
      <c r="BJ23" s="503">
        <f>IF($BF23="","",AVERAGE(INDEX(終値!$E23:$CZ23,1,$BF23+1):INDEX(終値!$E23:$CZ23,1,$BF23+20))-2*STDEVP(INDEX(終値!$E23:$CZ23,1,$BF23+1):INDEX(終値!$E23:$CZ23,1,$BF23+20)))</f>
        <v>4658.5809586306541</v>
      </c>
      <c r="BK23" s="503">
        <f>IF($BE23="","",AVERAGE(INDEX(終値!$E23:$CZ23,1,$BE23+1):INDEX(終値!$E23:$CZ23,1,$BE23+20))-2*STDEVP(INDEX(終値!$E23:$CZ23,1,$BE23+1):INDEX(終値!$E23:$CZ23,1,$BE23+20)))</f>
        <v>4833.219758561002</v>
      </c>
      <c r="BL23" s="503">
        <f t="shared" si="3"/>
        <v>5</v>
      </c>
      <c r="BM23" s="503">
        <f t="shared" si="4"/>
        <v>4</v>
      </c>
      <c r="BN23" s="503">
        <f t="shared" si="5"/>
        <v>8</v>
      </c>
      <c r="BO23" s="503">
        <f>IF($BM23="","",INDEX(高値!$E23:$CZ23,1,$BM23+1))</f>
        <v>5172</v>
      </c>
      <c r="BP23" s="503">
        <f>IF($BN23="","",INDEX(高値!$E23:$CZ23,1,$BN23+1))</f>
        <v>5176</v>
      </c>
      <c r="BQ23" s="503">
        <f>IF($BN23="","",MIN(INDEX(安値!$E23:$CZ23,1,$BM23+1):INDEX(安値!$E23:$CZ23,1,$BN23+1)))</f>
        <v>4933</v>
      </c>
      <c r="BR23" s="503">
        <f>IF($BN23="","",AVERAGE(INDEX(終値!$E23:$CZ23,1,$BN23+1):INDEX(終値!$E23:$CZ23,1,$BN23+20))+2*STDEVP(INDEX(終値!$E23:$CZ23,1,$BN23+1):INDEX(終値!$E23:$CZ23,1,$BN23+20)))</f>
        <v>5181.2531690212545</v>
      </c>
      <c r="BS23" s="503">
        <f>IF($BM23="","",AVERAGE(INDEX(終値!$E23:$CZ23,1,$BM23+1):INDEX(終値!$E23:$CZ23,1,$BM23+20))+2*STDEVP(INDEX(終値!$E23:$CZ23,1,$BM23+1):INDEX(終値!$E23:$CZ23,1,$BM23+20)))</f>
        <v>5163.8198089288762</v>
      </c>
      <c r="BT23" s="500"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v>
      </c>
    </row>
    <row r="24" spans="2:72">
      <c r="B24" s="503" t="str">
        <f>IF(終値!A24="","",IF(AND(安値!G24&lt;安値!F24,安値!G24&lt;安値!E24,安値!G24&lt;安値!H24,安値!G24&lt;安値!I24),2,""))</f>
        <v/>
      </c>
      <c r="C24" s="503" t="str">
        <f>IF(終値!A24="","",IF(AND(安値!H24&lt;安値!G24,安値!H24&lt;安値!F24,安値!H24&lt;安値!I24,安値!H24&lt;安値!J24),3,""))</f>
        <v/>
      </c>
      <c r="D24" s="503" t="str">
        <f>IF(終値!A24="","",IF(AND(安値!I24&lt;安値!H24,安値!I24&lt;安値!G24,安値!I24&lt;安値!J24,安値!I24&lt;安値!K24),4,""))</f>
        <v/>
      </c>
      <c r="E24" s="503" t="str">
        <f>IF(終値!A24="","",IF(AND(安値!J24&lt;安値!I24,安値!J24&lt;安値!H24,安値!J24&lt;安値!K24,安値!J24&lt;安値!L24),5,""))</f>
        <v/>
      </c>
      <c r="F24" s="503" t="str">
        <f>IF(終値!A24="","",IF(AND(安値!K24&lt;安値!J24,安値!K24&lt;安値!I24,安値!K24&lt;安値!L24,安値!K24&lt;安値!M24),6,""))</f>
        <v/>
      </c>
      <c r="G24" s="503">
        <f>IF(終値!A24="","",IF(AND(安値!L24&lt;安値!K24,安値!L24&lt;安値!J24,安値!L24&lt;安値!M24,安値!L24&lt;安値!N24),7,""))</f>
        <v>7</v>
      </c>
      <c r="H24" s="503" t="str">
        <f>IF(終値!A24="","",IF(AND(安値!M24&lt;安値!L24,安値!M24&lt;安値!K24,安値!M24&lt;安値!N24,安値!M24&lt;安値!O24),8,""))</f>
        <v/>
      </c>
      <c r="I24" s="503" t="str">
        <f>IF(終値!A24="","",IF(AND(安値!N24&lt;安値!M24,安値!N24&lt;安値!L24,安値!N24&lt;安値!O24,安値!N24&lt;安値!P24),9,""))</f>
        <v/>
      </c>
      <c r="J24" s="503" t="str">
        <f>IF(終値!A24="","",IF(AND(安値!O24&lt;安値!N24,安値!O24&lt;安値!M24,安値!O24&lt;安値!P24,安値!O24&lt;安値!Q24),10,""))</f>
        <v/>
      </c>
      <c r="K24" s="503" t="str">
        <f>IF(終値!A24="","",IF(AND(安値!P24&lt;安値!O24,安値!P24&lt;安値!N24,安値!P24&lt;安値!Q24,安値!P24&lt;安値!R24),11,""))</f>
        <v/>
      </c>
      <c r="L24" s="503" t="str">
        <f>IF(終値!A24="","",IF(AND(安値!Q24&lt;安値!P24,安値!Q24&lt;安値!O24,安値!Q24&lt;安値!R24,安値!Q24&lt;安値!S24),12,""))</f>
        <v/>
      </c>
      <c r="M24" s="503">
        <f>IF(終値!A24="","",IF(AND(安値!R24&lt;安値!Q24,安値!R24&lt;安値!P24,安値!R24&lt;安値!S24,安値!R24&lt;安値!T24),13,""))</f>
        <v>13</v>
      </c>
      <c r="N24" s="503" t="str">
        <f>IF(終値!A24="","",IF(AND(安値!S24&lt;安値!R24,安値!S24&lt;安値!Q24,安値!S24&lt;安値!T24,安値!S24&lt;安値!U24),14,""))</f>
        <v/>
      </c>
      <c r="O24" s="503" t="str">
        <f>IF(終値!A24="","",IF(AND(安値!T24&lt;安値!S24,安値!T24&lt;安値!R24,安値!T24&lt;安値!U24,安値!T24&lt;安値!V24),15,""))</f>
        <v/>
      </c>
      <c r="P24" s="503" t="str">
        <f>IF(終値!A24="","",IF(AND(安値!U24&lt;安値!T24,安値!U24&lt;安値!S24,安値!U24&lt;安値!V24,安値!U24&lt;安値!W24),16,""))</f>
        <v/>
      </c>
      <c r="Q24" s="503" t="str">
        <f>IF(終値!A24="","",IF(AND(安値!V24&lt;安値!U24,安値!V24&lt;安値!T24,安値!V24&lt;安値!W24,安値!V24&lt;安値!X24),17,""))</f>
        <v/>
      </c>
      <c r="R24" s="503" t="str">
        <f>IF(終値!A24="","",IF(AND(安値!W24&lt;安値!V24,安値!W24&lt;安値!U24,安値!W24&lt;安値!X24,安値!W24&lt;安値!Y24),18,""))</f>
        <v/>
      </c>
      <c r="S24" s="503" t="str">
        <f>IF(終値!A24="","",IF(AND(安値!X24&lt;安値!W24,安値!X24&lt;安値!V24,安値!X24&lt;安値!Y24,安値!X24&lt;安値!Z24),19,""))</f>
        <v/>
      </c>
      <c r="T24" s="503" t="str">
        <f>IF(終値!A24="","",IF(AND(安値!Y24&lt;安値!X24,安値!Y24&lt;安値!W24,安値!Y24&lt;安値!Z24,安値!Y24&lt;安値!AA24),20,""))</f>
        <v/>
      </c>
      <c r="U24" s="503" t="str">
        <f>IF(終値!A24="","",IF(AND(安値!Z24&lt;安値!Y24,安値!Z24&lt;安値!X24,安値!Z24&lt;安値!AA24,安値!Z24&lt;安値!AB24),21,""))</f>
        <v/>
      </c>
      <c r="V24" s="503" t="str">
        <f>IF(終値!A24="","",IF(AND(安値!AA24&lt;安値!Z24,安値!AA24&lt;安値!Y24,安値!AA24&lt;安値!AB24,安値!AA24&lt;安値!AC24),22,""))</f>
        <v/>
      </c>
      <c r="W24" s="503" t="str">
        <f>IF(終値!A24="","",IF(AND(安値!AB24&lt;安値!AA24,安値!AB24&lt;安値!Z24,安値!AB24&lt;安値!AC24,安値!AB24&lt;安値!AD24),23,""))</f>
        <v/>
      </c>
      <c r="X24" s="503">
        <f>IF(終値!A24="","",IF(AND(安値!AC24&lt;安値!AB24,安値!AC24&lt;安値!AA24,安値!AC24&lt;安値!AD24,安値!AC24&lt;安値!AE24),24,""))</f>
        <v>24</v>
      </c>
      <c r="Y24" s="503" t="str">
        <f>IF(終値!A24="","",IF(AND(安値!AD24&lt;安値!AC24,安値!AD24&lt;安値!AB24,安値!AD24&lt;安値!AE24,安値!AD24&lt;安値!AF24),25,""))</f>
        <v/>
      </c>
      <c r="Z24" s="503" t="str">
        <f>IF(終値!A24="","",IF(AND(安値!AE24&lt;安値!AD24,安値!AE24&lt;安値!AC24,安値!AE24&lt;安値!AF24,安値!AE24&lt;安値!AG24),26,""))</f>
        <v/>
      </c>
      <c r="AA24" s="503" t="str">
        <f>IF(終値!A24="","",IF(AND(安値!AF24&lt;安値!AE24,安値!AF24&lt;安値!AD24,安値!AF24&lt;安値!AG24,安値!AF24&lt;安値!AH24),27,""))</f>
        <v/>
      </c>
      <c r="AB24" s="503">
        <f>IF(終値!A24="","",IF(AND(安値!AG24&lt;安値!AF24,安値!AG24&lt;安値!AE24,安値!AG24&lt;安値!AH24,安値!AG24&lt;安値!AI24),28,""))</f>
        <v>28</v>
      </c>
      <c r="AC24" s="503" t="str">
        <f>IF(終値!A24="","",IF(AND(高値!G24&gt;高値!F24,高値!G24&gt;高値!E24,高値!G24&gt;高値!H24,高値!G24&gt;高値!I24),2,""))</f>
        <v/>
      </c>
      <c r="AD24" s="503" t="str">
        <f>IF(終値!A24="","",IF(AND(高値!H24&gt;高値!G24,高値!H24&gt;高値!F24,高値!H24&gt;高値!I24,高値!H24&gt;高値!J24),3,""))</f>
        <v/>
      </c>
      <c r="AE24" s="503" t="str">
        <f>IF(終値!A24="","",IF(AND(高値!I24&gt;高値!H24,高値!I24&gt;高値!G24,高値!I24&gt;高値!J24,高値!I24&gt;高値!K24),4,""))</f>
        <v/>
      </c>
      <c r="AF24" s="503" t="str">
        <f>IF(終値!A24="","",IF(AND(高値!J24&gt;高値!I24,高値!J24&gt;高値!H24,高値!J24&gt;高値!K24,高値!J24&gt;高値!L24),5,""))</f>
        <v/>
      </c>
      <c r="AG24" s="503" t="str">
        <f>IF(終値!A24="","",IF(AND(高値!K24&gt;高値!J24,高値!K24&gt;高値!I24,高値!K24&gt;高値!L24,高値!K24&gt;高値!M24),6,""))</f>
        <v/>
      </c>
      <c r="AH24" s="503" t="str">
        <f>IF(終値!A24="","",IF(AND(高値!L24&gt;高値!K24,高値!L24&gt;高値!J24,高値!L24&gt;高値!M24,高値!L24&gt;高値!N24),7,""))</f>
        <v/>
      </c>
      <c r="AI24" s="503" t="str">
        <f>IF(終値!A24="","",IF(AND(高値!M24&gt;高値!L24,高値!M24&gt;高値!K24,高値!M24&gt;高値!N24,高値!M24&gt;高値!O24),8,""))</f>
        <v/>
      </c>
      <c r="AJ24" s="503">
        <f>IF(終値!A24="","",IF(AND(高値!N24&gt;高値!M24,高値!N24&gt;高値!L24,高値!N24&gt;高値!O24,高値!N24&gt;高値!P24),9,""))</f>
        <v>9</v>
      </c>
      <c r="AK24" s="503" t="str">
        <f>IF(終値!A24="","",IF(AND(高値!O24&gt;高値!N24,高値!O24&gt;高値!M24,高値!O24&gt;高値!P24,高値!O24&gt;高値!Q24),10,""))</f>
        <v/>
      </c>
      <c r="AL24" s="503" t="str">
        <f>IF(終値!A24="","",IF(AND(高値!P24&gt;高値!O24,高値!P24&gt;高値!N24,高値!P24&gt;高値!Q24,高値!P24&gt;高値!R24),11,""))</f>
        <v/>
      </c>
      <c r="AM24" s="503" t="str">
        <f>IF(終値!A24="","",IF(AND(高値!Q24&gt;高値!P24,高値!Q24&gt;高値!O24,高値!Q24&gt;高値!R24,高値!Q24&gt;高値!S24),12,""))</f>
        <v/>
      </c>
      <c r="AN24" s="503" t="str">
        <f>IF(終値!A24="","",IF(AND(高値!R24&gt;高値!Q24,高値!R24&gt;高値!P24,高値!R24&gt;高値!S24,高値!R24&gt;高値!T24),13,""))</f>
        <v/>
      </c>
      <c r="AO24" s="503" t="str">
        <f>IF(終値!A24="","",IF(AND(高値!S24&gt;高値!R24,高値!S24&gt;高値!Q24,高値!S24&gt;高値!T24,高値!S24&gt;高値!U24),14,""))</f>
        <v/>
      </c>
      <c r="AP24" s="503" t="str">
        <f>IF(終値!A24="","",IF(AND(高値!T24&gt;高値!S24,高値!T24&gt;高値!R24,高値!T24&gt;高値!U24,高値!T24&gt;高値!V24),15,""))</f>
        <v/>
      </c>
      <c r="AQ24" s="503" t="str">
        <f>IF(終値!A24="","",IF(AND(高値!U24&gt;高値!T24,高値!U24&gt;高値!S24,高値!U24&gt;高値!V24,高値!U24&gt;高値!W24),16,""))</f>
        <v/>
      </c>
      <c r="AR24" s="503" t="str">
        <f>IF(終値!A24="","",IF(AND(高値!V24&gt;高値!U24,高値!V24&gt;高値!T24,高値!V24&gt;高値!W24,高値!V24&gt;高値!X24),17,""))</f>
        <v/>
      </c>
      <c r="AS24" s="503" t="str">
        <f>IF(終値!A24="","",IF(AND(高値!W24&gt;高値!V24,高値!W24&gt;高値!U24,高値!W24&gt;高値!X24,高値!W24&gt;高値!Y24),18,""))</f>
        <v/>
      </c>
      <c r="AT24" s="503" t="str">
        <f>IF(終値!A24="","",IF(AND(高値!X24&gt;高値!W24,高値!X24&gt;高値!V24,高値!X24&gt;高値!Y24,高値!X24&gt;高値!Z24),19,""))</f>
        <v/>
      </c>
      <c r="AU24" s="503" t="str">
        <f>IF(終値!A24="","",IF(AND(高値!Y24&gt;高値!X24,高値!Y24&gt;高値!W24,高値!Y24&gt;高値!Z24,高値!Y24&gt;高値!AA24),20,""))</f>
        <v/>
      </c>
      <c r="AV24" s="503" t="str">
        <f>IF(終値!A24="","",IF(AND(高値!Z24&gt;高値!Y24,高値!Z24&gt;高値!X24,高値!Z24&gt;高値!AA24,高値!Z24&gt;高値!AB24),21,""))</f>
        <v/>
      </c>
      <c r="AW24" s="503" t="str">
        <f>IF(終値!A24="","",IF(AND(高値!AA24&gt;高値!Z24,高値!AA24&gt;高値!Y24,高値!AA24&gt;高値!AB24,高値!AA24&gt;高値!AC24),22,""))</f>
        <v/>
      </c>
      <c r="AX24" s="503" t="str">
        <f>IF(終値!A24="","",IF(AND(高値!AB24&gt;高値!AA24,高値!AB24&gt;高値!Z24,高値!AB24&gt;高値!AC24,高値!AB24&gt;高値!AD24),23,""))</f>
        <v/>
      </c>
      <c r="AY24" s="503" t="str">
        <f>IF(終値!A24="","",IF(AND(高値!AC24&gt;高値!AB24,高値!AC24&gt;高値!AA24,高値!AC24&gt;高値!AD24,高値!AC24&gt;高値!AE24),24,""))</f>
        <v/>
      </c>
      <c r="AZ24" s="503" t="str">
        <f>IF(終値!A24="","",IF(AND(高値!AD24&gt;高値!AC24,高値!AD24&gt;高値!AB24,高値!AD24&gt;高値!AE24,高値!AD24&gt;高値!AF24),25,""))</f>
        <v/>
      </c>
      <c r="BA24" s="503" t="str">
        <f>IF(終値!A24="","",IF(AND(高値!AE24&gt;高値!AD24,高値!AE24&gt;高値!AC24,高値!AE24&gt;高値!AF24,高値!AE24&gt;高値!AG24),26,""))</f>
        <v/>
      </c>
      <c r="BB24" s="503" t="str">
        <f>IF(終値!A24="","",IF(AND(高値!AF24&gt;高値!AE24,高値!AF24&gt;高値!AD24,高値!AF24&gt;高値!AG24,高値!AF24&gt;高値!AH24),27,""))</f>
        <v/>
      </c>
      <c r="BC24" s="503">
        <f>IF(終値!A24="","",IF(AND(高値!AG24&gt;高値!AF24,高値!AG24&gt;高値!AE24,高値!AG24&gt;高値!AH24,高値!AG24&gt;高値!AI24),28,""))</f>
        <v>28</v>
      </c>
      <c r="BD24" s="503">
        <f t="shared" si="0"/>
        <v>4</v>
      </c>
      <c r="BE24" s="503">
        <f t="shared" si="1"/>
        <v>7</v>
      </c>
      <c r="BF24" s="503">
        <f t="shared" si="2"/>
        <v>13</v>
      </c>
      <c r="BG24" s="503">
        <f>IF($BE24="","",INDEX(安値!$E24:$CZ24,1,$BE24+1))</f>
        <v>1292</v>
      </c>
      <c r="BH24" s="503">
        <f>IF($BF24="","",INDEX(安値!$E24:$CZ24,1,$BF24+1))</f>
        <v>1235</v>
      </c>
      <c r="BI24" s="503">
        <f>IF($BF24="","",MAX(INDEX(高値!$E24:$CZ24,1,$BE24+1):INDEX(高値!$E24:$CZ24,1,$BF24+1)))</f>
        <v>1352</v>
      </c>
      <c r="BJ24" s="503">
        <f>IF($BF24="","",AVERAGE(INDEX(終値!$E24:$CZ24,1,$BF24+1):INDEX(終値!$E24:$CZ24,1,$BF24+20))-2*STDEVP(INDEX(終値!$E24:$CZ24,1,$BF24+1):INDEX(終値!$E24:$CZ24,1,$BF24+20)))</f>
        <v>1185.7642096132754</v>
      </c>
      <c r="BK24" s="503">
        <f>IF($BE24="","",AVERAGE(INDEX(終値!$E24:$CZ24,1,$BE24+1):INDEX(終値!$E24:$CZ24,1,$BE24+20))-2*STDEVP(INDEX(終値!$E24:$CZ24,1,$BE24+1):INDEX(終値!$E24:$CZ24,1,$BE24+20)))</f>
        <v>1167.977453502649</v>
      </c>
      <c r="BL24" s="503">
        <f t="shared" si="3"/>
        <v>2</v>
      </c>
      <c r="BM24" s="503">
        <f t="shared" si="4"/>
        <v>9</v>
      </c>
      <c r="BN24" s="503">
        <f t="shared" si="5"/>
        <v>28</v>
      </c>
      <c r="BO24" s="503">
        <f>IF($BM24="","",INDEX(高値!$E24:$CZ24,1,$BM24+1))</f>
        <v>1352</v>
      </c>
      <c r="BP24" s="503">
        <f>IF($BN24="","",INDEX(高値!$E24:$CZ24,1,$BN24+1))</f>
        <v>1281</v>
      </c>
      <c r="BQ24" s="503">
        <f>IF($BN24="","",MIN(INDEX(安値!$E24:$CZ24,1,$BM24+1):INDEX(安値!$E24:$CZ24,1,$BN24+1)))</f>
        <v>1175.5</v>
      </c>
      <c r="BR24" s="503">
        <f>IF($BN24="","",AVERAGE(INDEX(終値!$E24:$CZ24,1,$BN24+1):INDEX(終値!$E24:$CZ24,1,$BN24+20))+2*STDEVP(INDEX(終値!$E24:$CZ24,1,$BN24+1):INDEX(終値!$E24:$CZ24,1,$BN24+20)))</f>
        <v>1428.6958260112078</v>
      </c>
      <c r="BS24" s="503">
        <f>IF($BM24="","",AVERAGE(INDEX(終値!$E24:$CZ24,1,$BM24+1):INDEX(終値!$E24:$CZ24,1,$BM24+20))+2*STDEVP(INDEX(終値!$E24:$CZ24,1,$BM24+1):INDEX(終値!$E24:$CZ24,1,$BM24+20)))</f>
        <v>1330.906822996395</v>
      </c>
      <c r="BT24" s="500"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v>
      </c>
    </row>
    <row r="25" spans="2:72">
      <c r="B25" s="503" t="str">
        <f>IF(終値!A25="","",IF(AND(安値!G25&lt;安値!F25,安値!G25&lt;安値!E25,安値!G25&lt;安値!H25,安値!G25&lt;安値!I25),2,""))</f>
        <v/>
      </c>
      <c r="C25" s="503" t="str">
        <f>IF(終値!A25="","",IF(AND(安値!H25&lt;安値!G25,安値!H25&lt;安値!F25,安値!H25&lt;安値!I25,安値!H25&lt;安値!J25),3,""))</f>
        <v/>
      </c>
      <c r="D25" s="503">
        <f>IF(終値!A25="","",IF(AND(安値!I25&lt;安値!H25,安値!I25&lt;安値!G25,安値!I25&lt;安値!J25,安値!I25&lt;安値!K25),4,""))</f>
        <v>4</v>
      </c>
      <c r="E25" s="503" t="str">
        <f>IF(終値!A25="","",IF(AND(安値!J25&lt;安値!I25,安値!J25&lt;安値!H25,安値!J25&lt;安値!K25,安値!J25&lt;安値!L25),5,""))</f>
        <v/>
      </c>
      <c r="F25" s="503" t="str">
        <f>IF(終値!A25="","",IF(AND(安値!K25&lt;安値!J25,安値!K25&lt;安値!I25,安値!K25&lt;安値!L25,安値!K25&lt;安値!M25),6,""))</f>
        <v/>
      </c>
      <c r="G25" s="503">
        <f>IF(終値!A25="","",IF(AND(安値!L25&lt;安値!K25,安値!L25&lt;安値!J25,安値!L25&lt;安値!M25,安値!L25&lt;安値!N25),7,""))</f>
        <v>7</v>
      </c>
      <c r="H25" s="503" t="str">
        <f>IF(終値!A25="","",IF(AND(安値!M25&lt;安値!L25,安値!M25&lt;安値!K25,安値!M25&lt;安値!N25,安値!M25&lt;安値!O25),8,""))</f>
        <v/>
      </c>
      <c r="I25" s="503" t="str">
        <f>IF(終値!A25="","",IF(AND(安値!N25&lt;安値!M25,安値!N25&lt;安値!L25,安値!N25&lt;安値!O25,安値!N25&lt;安値!P25),9,""))</f>
        <v/>
      </c>
      <c r="J25" s="503" t="str">
        <f>IF(終値!A25="","",IF(AND(安値!O25&lt;安値!N25,安値!O25&lt;安値!M25,安値!O25&lt;安値!P25,安値!O25&lt;安値!Q25),10,""))</f>
        <v/>
      </c>
      <c r="K25" s="503" t="str">
        <f>IF(終値!A25="","",IF(AND(安値!P25&lt;安値!O25,安値!P25&lt;安値!N25,安値!P25&lt;安値!Q25,安値!P25&lt;安値!R25),11,""))</f>
        <v/>
      </c>
      <c r="L25" s="503" t="str">
        <f>IF(終値!A25="","",IF(AND(安値!Q25&lt;安値!P25,安値!Q25&lt;安値!O25,安値!Q25&lt;安値!R25,安値!Q25&lt;安値!S25),12,""))</f>
        <v/>
      </c>
      <c r="M25" s="503">
        <f>IF(終値!A25="","",IF(AND(安値!R25&lt;安値!Q25,安値!R25&lt;安値!P25,安値!R25&lt;安値!S25,安値!R25&lt;安値!T25),13,""))</f>
        <v>13</v>
      </c>
      <c r="N25" s="503" t="str">
        <f>IF(終値!A25="","",IF(AND(安値!S25&lt;安値!R25,安値!S25&lt;安値!Q25,安値!S25&lt;安値!T25,安値!S25&lt;安値!U25),14,""))</f>
        <v/>
      </c>
      <c r="O25" s="503" t="str">
        <f>IF(終値!A25="","",IF(AND(安値!T25&lt;安値!S25,安値!T25&lt;安値!R25,安値!T25&lt;安値!U25,安値!T25&lt;安値!V25),15,""))</f>
        <v/>
      </c>
      <c r="P25" s="503" t="str">
        <f>IF(終値!A25="","",IF(AND(安値!U25&lt;安値!T25,安値!U25&lt;安値!S25,安値!U25&lt;安値!V25,安値!U25&lt;安値!W25),16,""))</f>
        <v/>
      </c>
      <c r="Q25" s="503">
        <f>IF(終値!A25="","",IF(AND(安値!V25&lt;安値!U25,安値!V25&lt;安値!T25,安値!V25&lt;安値!W25,安値!V25&lt;安値!X25),17,""))</f>
        <v>17</v>
      </c>
      <c r="R25" s="503" t="str">
        <f>IF(終値!A25="","",IF(AND(安値!W25&lt;安値!V25,安値!W25&lt;安値!U25,安値!W25&lt;安値!X25,安値!W25&lt;安値!Y25),18,""))</f>
        <v/>
      </c>
      <c r="S25" s="503" t="str">
        <f>IF(終値!A25="","",IF(AND(安値!X25&lt;安値!W25,安値!X25&lt;安値!V25,安値!X25&lt;安値!Y25,安値!X25&lt;安値!Z25),19,""))</f>
        <v/>
      </c>
      <c r="T25" s="503" t="str">
        <f>IF(終値!A25="","",IF(AND(安値!Y25&lt;安値!X25,安値!Y25&lt;安値!W25,安値!Y25&lt;安値!Z25,安値!Y25&lt;安値!AA25),20,""))</f>
        <v/>
      </c>
      <c r="U25" s="503" t="str">
        <f>IF(終値!A25="","",IF(AND(安値!Z25&lt;安値!Y25,安値!Z25&lt;安値!X25,安値!Z25&lt;安値!AA25,安値!Z25&lt;安値!AB25),21,""))</f>
        <v/>
      </c>
      <c r="V25" s="503" t="str">
        <f>IF(終値!A25="","",IF(AND(安値!AA25&lt;安値!Z25,安値!AA25&lt;安値!Y25,安値!AA25&lt;安値!AB25,安値!AA25&lt;安値!AC25),22,""))</f>
        <v/>
      </c>
      <c r="W25" s="503" t="str">
        <f>IF(終値!A25="","",IF(AND(安値!AB25&lt;安値!AA25,安値!AB25&lt;安値!Z25,安値!AB25&lt;安値!AC25,安値!AB25&lt;安値!AD25),23,""))</f>
        <v/>
      </c>
      <c r="X25" s="503" t="str">
        <f>IF(終値!A25="","",IF(AND(安値!AC25&lt;安値!AB25,安値!AC25&lt;安値!AA25,安値!AC25&lt;安値!AD25,安値!AC25&lt;安値!AE25),24,""))</f>
        <v/>
      </c>
      <c r="Y25" s="503" t="str">
        <f>IF(終値!A25="","",IF(AND(安値!AD25&lt;安値!AC25,安値!AD25&lt;安値!AB25,安値!AD25&lt;安値!AE25,安値!AD25&lt;安値!AF25),25,""))</f>
        <v/>
      </c>
      <c r="Z25" s="503" t="str">
        <f>IF(終値!A25="","",IF(AND(安値!AE25&lt;安値!AD25,安値!AE25&lt;安値!AC25,安値!AE25&lt;安値!AF25,安値!AE25&lt;安値!AG25),26,""))</f>
        <v/>
      </c>
      <c r="AA25" s="503">
        <f>IF(終値!A25="","",IF(AND(安値!AF25&lt;安値!AE25,安値!AF25&lt;安値!AD25,安値!AF25&lt;安値!AG25,安値!AF25&lt;安値!AH25),27,""))</f>
        <v>27</v>
      </c>
      <c r="AB25" s="503" t="str">
        <f>IF(終値!A25="","",IF(AND(安値!AG25&lt;安値!AF25,安値!AG25&lt;安値!AE25,安値!AG25&lt;安値!AH25,安値!AG25&lt;安値!AI25),28,""))</f>
        <v/>
      </c>
      <c r="AC25" s="503" t="str">
        <f>IF(終値!A25="","",IF(AND(高値!G25&gt;高値!F25,高値!G25&gt;高値!E25,高値!G25&gt;高値!H25,高値!G25&gt;高値!I25),2,""))</f>
        <v/>
      </c>
      <c r="AD25" s="503" t="str">
        <f>IF(終値!A25="","",IF(AND(高値!H25&gt;高値!G25,高値!H25&gt;高値!F25,高値!H25&gt;高値!I25,高値!H25&gt;高値!J25),3,""))</f>
        <v/>
      </c>
      <c r="AE25" s="503">
        <f>IF(終値!A25="","",IF(AND(高値!I25&gt;高値!H25,高値!I25&gt;高値!G25,高値!I25&gt;高値!J25,高値!I25&gt;高値!K25),4,""))</f>
        <v>4</v>
      </c>
      <c r="AF25" s="503" t="str">
        <f>IF(終値!A25="","",IF(AND(高値!J25&gt;高値!I25,高値!J25&gt;高値!H25,高値!J25&gt;高値!K25,高値!J25&gt;高値!L25),5,""))</f>
        <v/>
      </c>
      <c r="AG25" s="503" t="str">
        <f>IF(終値!A25="","",IF(AND(高値!K25&gt;高値!J25,高値!K25&gt;高値!I25,高値!K25&gt;高値!L25,高値!K25&gt;高値!M25),6,""))</f>
        <v/>
      </c>
      <c r="AH25" s="503" t="str">
        <f>IF(終値!A25="","",IF(AND(高値!L25&gt;高値!K25,高値!L25&gt;高値!J25,高値!L25&gt;高値!M25,高値!L25&gt;高値!N25),7,""))</f>
        <v/>
      </c>
      <c r="AI25" s="503" t="str">
        <f>IF(終値!A25="","",IF(AND(高値!M25&gt;高値!L25,高値!M25&gt;高値!K25,高値!M25&gt;高値!N25,高値!M25&gt;高値!O25),8,""))</f>
        <v/>
      </c>
      <c r="AJ25" s="503" t="str">
        <f>IF(終値!A25="","",IF(AND(高値!N25&gt;高値!M25,高値!N25&gt;高値!L25,高値!N25&gt;高値!O25,高値!N25&gt;高値!P25),9,""))</f>
        <v/>
      </c>
      <c r="AK25" s="503">
        <f>IF(終値!A25="","",IF(AND(高値!O25&gt;高値!N25,高値!O25&gt;高値!M25,高値!O25&gt;高値!P25,高値!O25&gt;高値!Q25),10,""))</f>
        <v>10</v>
      </c>
      <c r="AL25" s="503" t="str">
        <f>IF(終値!A25="","",IF(AND(高値!P25&gt;高値!O25,高値!P25&gt;高値!N25,高値!P25&gt;高値!Q25,高値!P25&gt;高値!R25),11,""))</f>
        <v/>
      </c>
      <c r="AM25" s="503" t="str">
        <f>IF(終値!A25="","",IF(AND(高値!Q25&gt;高値!P25,高値!Q25&gt;高値!O25,高値!Q25&gt;高値!R25,高値!Q25&gt;高値!S25),12,""))</f>
        <v/>
      </c>
      <c r="AN25" s="503" t="str">
        <f>IF(終値!A25="","",IF(AND(高値!R25&gt;高値!Q25,高値!R25&gt;高値!P25,高値!R25&gt;高値!S25,高値!R25&gt;高値!T25),13,""))</f>
        <v/>
      </c>
      <c r="AO25" s="503">
        <f>IF(終値!A25="","",IF(AND(高値!S25&gt;高値!R25,高値!S25&gt;高値!Q25,高値!S25&gt;高値!T25,高値!S25&gt;高値!U25),14,""))</f>
        <v>14</v>
      </c>
      <c r="AP25" s="503" t="str">
        <f>IF(終値!A25="","",IF(AND(高値!T25&gt;高値!S25,高値!T25&gt;高値!R25,高値!T25&gt;高値!U25,高値!T25&gt;高値!V25),15,""))</f>
        <v/>
      </c>
      <c r="AQ25" s="503" t="str">
        <f>IF(終値!A25="","",IF(AND(高値!U25&gt;高値!T25,高値!U25&gt;高値!S25,高値!U25&gt;高値!V25,高値!U25&gt;高値!W25),16,""))</f>
        <v/>
      </c>
      <c r="AR25" s="503" t="str">
        <f>IF(終値!A25="","",IF(AND(高値!V25&gt;高値!U25,高値!V25&gt;高値!T25,高値!V25&gt;高値!W25,高値!V25&gt;高値!X25),17,""))</f>
        <v/>
      </c>
      <c r="AS25" s="503" t="str">
        <f>IF(終値!A25="","",IF(AND(高値!W25&gt;高値!V25,高値!W25&gt;高値!U25,高値!W25&gt;高値!X25,高値!W25&gt;高値!Y25),18,""))</f>
        <v/>
      </c>
      <c r="AT25" s="503" t="str">
        <f>IF(終値!A25="","",IF(AND(高値!X25&gt;高値!W25,高値!X25&gt;高値!V25,高値!X25&gt;高値!Y25,高値!X25&gt;高値!Z25),19,""))</f>
        <v/>
      </c>
      <c r="AU25" s="503">
        <f>IF(終値!A25="","",IF(AND(高値!Y25&gt;高値!X25,高値!Y25&gt;高値!W25,高値!Y25&gt;高値!Z25,高値!Y25&gt;高値!AA25),20,""))</f>
        <v>20</v>
      </c>
      <c r="AV25" s="503" t="str">
        <f>IF(終値!A25="","",IF(AND(高値!Z25&gt;高値!Y25,高値!Z25&gt;高値!X25,高値!Z25&gt;高値!AA25,高値!Z25&gt;高値!AB25),21,""))</f>
        <v/>
      </c>
      <c r="AW25" s="503" t="str">
        <f>IF(終値!A25="","",IF(AND(高値!AA25&gt;高値!Z25,高値!AA25&gt;高値!Y25,高値!AA25&gt;高値!AB25,高値!AA25&gt;高値!AC25),22,""))</f>
        <v/>
      </c>
      <c r="AX25" s="503">
        <f>IF(終値!A25="","",IF(AND(高値!AB25&gt;高値!AA25,高値!AB25&gt;高値!Z25,高値!AB25&gt;高値!AC25,高値!AB25&gt;高値!AD25),23,""))</f>
        <v>23</v>
      </c>
      <c r="AY25" s="503" t="str">
        <f>IF(終値!A25="","",IF(AND(高値!AC25&gt;高値!AB25,高値!AC25&gt;高値!AA25,高値!AC25&gt;高値!AD25,高値!AC25&gt;高値!AE25),24,""))</f>
        <v/>
      </c>
      <c r="AZ25" s="503" t="str">
        <f>IF(終値!A25="","",IF(AND(高値!AD25&gt;高値!AC25,高値!AD25&gt;高値!AB25,高値!AD25&gt;高値!AE25,高値!AD25&gt;高値!AF25),25,""))</f>
        <v/>
      </c>
      <c r="BA25" s="503" t="str">
        <f>IF(終値!A25="","",IF(AND(高値!AE25&gt;高値!AD25,高値!AE25&gt;高値!AC25,高値!AE25&gt;高値!AF25,高値!AE25&gt;高値!AG25),26,""))</f>
        <v/>
      </c>
      <c r="BB25" s="503" t="str">
        <f>IF(終値!A25="","",IF(AND(高値!AF25&gt;高値!AE25,高値!AF25&gt;高値!AD25,高値!AF25&gt;高値!AG25,高値!AF25&gt;高値!AH25),27,""))</f>
        <v/>
      </c>
      <c r="BC25" s="503" t="str">
        <f>IF(終値!A25="","",IF(AND(高値!AG25&gt;高値!AF25,高値!AG25&gt;高値!AE25,高値!AG25&gt;高値!AH25,高値!AG25&gt;高値!AI25),28,""))</f>
        <v/>
      </c>
      <c r="BD25" s="503">
        <f t="shared" si="0"/>
        <v>5</v>
      </c>
      <c r="BE25" s="503">
        <f t="shared" si="1"/>
        <v>4</v>
      </c>
      <c r="BF25" s="503">
        <f t="shared" si="2"/>
        <v>7</v>
      </c>
      <c r="BG25" s="503">
        <f>IF($BE25="","",INDEX(安値!$E25:$CZ25,1,$BE25+1))</f>
        <v>1539.5</v>
      </c>
      <c r="BH25" s="503">
        <f>IF($BF25="","",INDEX(安値!$E25:$CZ25,1,$BF25+1))</f>
        <v>1566</v>
      </c>
      <c r="BI25" s="503">
        <f>IF($BF25="","",MAX(INDEX(高値!$E25:$CZ25,1,$BE25+1):INDEX(高値!$E25:$CZ25,1,$BF25+1)))</f>
        <v>1697.5</v>
      </c>
      <c r="BJ25" s="503">
        <f>IF($BF25="","",AVERAGE(INDEX(終値!$E25:$CZ25,1,$BF25+1):INDEX(終値!$E25:$CZ25,1,$BF25+20))-2*STDEVP(INDEX(終値!$E25:$CZ25,1,$BF25+1):INDEX(終値!$E25:$CZ25,1,$BF25+20)))</f>
        <v>1521.0532747129516</v>
      </c>
      <c r="BK25" s="503">
        <f>IF($BE25="","",AVERAGE(INDEX(終値!$E25:$CZ25,1,$BE25+1):INDEX(終値!$E25:$CZ25,1,$BE25+20))-2*STDEVP(INDEX(終値!$E25:$CZ25,1,$BE25+1):INDEX(終値!$E25:$CZ25,1,$BE25+20)))</f>
        <v>1524.2592488905486</v>
      </c>
      <c r="BL25" s="503">
        <f t="shared" si="3"/>
        <v>5</v>
      </c>
      <c r="BM25" s="503">
        <f t="shared" si="4"/>
        <v>4</v>
      </c>
      <c r="BN25" s="503">
        <f t="shared" si="5"/>
        <v>10</v>
      </c>
      <c r="BO25" s="503">
        <f>IF($BM25="","",INDEX(高値!$E25:$CZ25,1,$BM25+1))</f>
        <v>1697.5</v>
      </c>
      <c r="BP25" s="503">
        <f>IF($BN25="","",INDEX(高値!$E25:$CZ25,1,$BN25+1))</f>
        <v>1634.5</v>
      </c>
      <c r="BQ25" s="503">
        <f>IF($BN25="","",MIN(INDEX(安値!$E25:$CZ25,1,$BM25+1):INDEX(安値!$E25:$CZ25,1,$BN25+1)))</f>
        <v>1539.5</v>
      </c>
      <c r="BR25" s="503">
        <f>IF($BN25="","",AVERAGE(INDEX(終値!$E25:$CZ25,1,$BN25+1):INDEX(終値!$E25:$CZ25,1,$BN25+20))+2*STDEVP(INDEX(終値!$E25:$CZ25,1,$BN25+1):INDEX(終値!$E25:$CZ25,1,$BN25+20)))</f>
        <v>1622.5184716342872</v>
      </c>
      <c r="BS25" s="503">
        <f>IF($BM25="","",AVERAGE(INDEX(終値!$E25:$CZ25,1,$BM25+1):INDEX(終値!$E25:$CZ25,1,$BM25+20))+2*STDEVP(INDEX(終値!$E25:$CZ25,1,$BM25+1):INDEX(終値!$E25:$CZ25,1,$BM25+20)))</f>
        <v>1649.9407511094512</v>
      </c>
      <c r="BT25" s="500"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二番底W▲</v>
      </c>
    </row>
    <row r="26" spans="2:72">
      <c r="B26" s="503" t="str">
        <f>IF(終値!A26="","",IF(AND(安値!G26&lt;安値!F26,安値!G26&lt;安値!E26,安値!G26&lt;安値!H26,安値!G26&lt;安値!I26),2,""))</f>
        <v/>
      </c>
      <c r="C26" s="503">
        <f>IF(終値!A26="","",IF(AND(安値!H26&lt;安値!G26,安値!H26&lt;安値!F26,安値!H26&lt;安値!I26,安値!H26&lt;安値!J26),3,""))</f>
        <v>3</v>
      </c>
      <c r="D26" s="503" t="str">
        <f>IF(終値!A26="","",IF(AND(安値!I26&lt;安値!H26,安値!I26&lt;安値!G26,安値!I26&lt;安値!J26,安値!I26&lt;安値!K26),4,""))</f>
        <v/>
      </c>
      <c r="E26" s="503" t="str">
        <f>IF(終値!A26="","",IF(AND(安値!J26&lt;安値!I26,安値!J26&lt;安値!H26,安値!J26&lt;安値!K26,安値!J26&lt;安値!L26),5,""))</f>
        <v/>
      </c>
      <c r="F26" s="503" t="str">
        <f>IF(終値!A26="","",IF(AND(安値!K26&lt;安値!J26,安値!K26&lt;安値!I26,安値!K26&lt;安値!L26,安値!K26&lt;安値!M26),6,""))</f>
        <v/>
      </c>
      <c r="G26" s="503" t="str">
        <f>IF(終値!A26="","",IF(AND(安値!L26&lt;安値!K26,安値!L26&lt;安値!J26,安値!L26&lt;安値!M26,安値!L26&lt;安値!N26),7,""))</f>
        <v/>
      </c>
      <c r="H26" s="503" t="str">
        <f>IF(終値!A26="","",IF(AND(安値!M26&lt;安値!L26,安値!M26&lt;安値!K26,安値!M26&lt;安値!N26,安値!M26&lt;安値!O26),8,""))</f>
        <v/>
      </c>
      <c r="I26" s="503" t="str">
        <f>IF(終値!A26="","",IF(AND(安値!N26&lt;安値!M26,安値!N26&lt;安値!L26,安値!N26&lt;安値!O26,安値!N26&lt;安値!P26),9,""))</f>
        <v/>
      </c>
      <c r="J26" s="503" t="str">
        <f>IF(終値!A26="","",IF(AND(安値!O26&lt;安値!N26,安値!O26&lt;安値!M26,安値!O26&lt;安値!P26,安値!O26&lt;安値!Q26),10,""))</f>
        <v/>
      </c>
      <c r="K26" s="503" t="str">
        <f>IF(終値!A26="","",IF(AND(安値!P26&lt;安値!O26,安値!P26&lt;安値!N26,安値!P26&lt;安値!Q26,安値!P26&lt;安値!R26),11,""))</f>
        <v/>
      </c>
      <c r="L26" s="503" t="str">
        <f>IF(終値!A26="","",IF(AND(安値!Q26&lt;安値!P26,安値!Q26&lt;安値!O26,安値!Q26&lt;安値!R26,安値!Q26&lt;安値!S26),12,""))</f>
        <v/>
      </c>
      <c r="M26" s="503">
        <f>IF(終値!A26="","",IF(AND(安値!R26&lt;安値!Q26,安値!R26&lt;安値!P26,安値!R26&lt;安値!S26,安値!R26&lt;安値!T26),13,""))</f>
        <v>13</v>
      </c>
      <c r="N26" s="503" t="str">
        <f>IF(終値!A26="","",IF(AND(安値!S26&lt;安値!R26,安値!S26&lt;安値!Q26,安値!S26&lt;安値!T26,安値!S26&lt;安値!U26),14,""))</f>
        <v/>
      </c>
      <c r="O26" s="503" t="str">
        <f>IF(終値!A26="","",IF(AND(安値!T26&lt;安値!S26,安値!T26&lt;安値!R26,安値!T26&lt;安値!U26,安値!T26&lt;安値!V26),15,""))</f>
        <v/>
      </c>
      <c r="P26" s="503" t="str">
        <f>IF(終値!A26="","",IF(AND(安値!U26&lt;安値!T26,安値!U26&lt;安値!S26,安値!U26&lt;安値!V26,安値!U26&lt;安値!W26),16,""))</f>
        <v/>
      </c>
      <c r="Q26" s="503" t="str">
        <f>IF(終値!A26="","",IF(AND(安値!V26&lt;安値!U26,安値!V26&lt;安値!T26,安値!V26&lt;安値!W26,安値!V26&lt;安値!X26),17,""))</f>
        <v/>
      </c>
      <c r="R26" s="503">
        <f>IF(終値!A26="","",IF(AND(安値!W26&lt;安値!V26,安値!W26&lt;安値!U26,安値!W26&lt;安値!X26,安値!W26&lt;安値!Y26),18,""))</f>
        <v>18</v>
      </c>
      <c r="S26" s="503" t="str">
        <f>IF(終値!A26="","",IF(AND(安値!X26&lt;安値!W26,安値!X26&lt;安値!V26,安値!X26&lt;安値!Y26,安値!X26&lt;安値!Z26),19,""))</f>
        <v/>
      </c>
      <c r="T26" s="503" t="str">
        <f>IF(終値!A26="","",IF(AND(安値!Y26&lt;安値!X26,安値!Y26&lt;安値!W26,安値!Y26&lt;安値!Z26,安値!Y26&lt;安値!AA26),20,""))</f>
        <v/>
      </c>
      <c r="U26" s="503" t="str">
        <f>IF(終値!A26="","",IF(AND(安値!Z26&lt;安値!Y26,安値!Z26&lt;安値!X26,安値!Z26&lt;安値!AA26,安値!Z26&lt;安値!AB26),21,""))</f>
        <v/>
      </c>
      <c r="V26" s="503" t="str">
        <f>IF(終値!A26="","",IF(AND(安値!AA26&lt;安値!Z26,安値!AA26&lt;安値!Y26,安値!AA26&lt;安値!AB26,安値!AA26&lt;安値!AC26),22,""))</f>
        <v/>
      </c>
      <c r="W26" s="503" t="str">
        <f>IF(終値!A26="","",IF(AND(安値!AB26&lt;安値!AA26,安値!AB26&lt;安値!Z26,安値!AB26&lt;安値!AC26,安値!AB26&lt;安値!AD26),23,""))</f>
        <v/>
      </c>
      <c r="X26" s="503" t="str">
        <f>IF(終値!A26="","",IF(AND(安値!AC26&lt;安値!AB26,安値!AC26&lt;安値!AA26,安値!AC26&lt;安値!AD26,安値!AC26&lt;安値!AE26),24,""))</f>
        <v/>
      </c>
      <c r="Y26" s="503" t="str">
        <f>IF(終値!A26="","",IF(AND(安値!AD26&lt;安値!AC26,安値!AD26&lt;安値!AB26,安値!AD26&lt;安値!AE26,安値!AD26&lt;安値!AF26),25,""))</f>
        <v/>
      </c>
      <c r="Z26" s="503">
        <f>IF(終値!A26="","",IF(AND(安値!AE26&lt;安値!AD26,安値!AE26&lt;安値!AC26,安値!AE26&lt;安値!AF26,安値!AE26&lt;安値!AG26),26,""))</f>
        <v>26</v>
      </c>
      <c r="AA26" s="503" t="str">
        <f>IF(終値!A26="","",IF(AND(安値!AF26&lt;安値!AE26,安値!AF26&lt;安値!AD26,安値!AF26&lt;安値!AG26,安値!AF26&lt;安値!AH26),27,""))</f>
        <v/>
      </c>
      <c r="AB26" s="503" t="str">
        <f>IF(終値!A26="","",IF(AND(安値!AG26&lt;安値!AF26,安値!AG26&lt;安値!AE26,安値!AG26&lt;安値!AH26,安値!AG26&lt;安値!AI26),28,""))</f>
        <v/>
      </c>
      <c r="AC26" s="503" t="str">
        <f>IF(終値!A26="","",IF(AND(高値!G26&gt;高値!F26,高値!G26&gt;高値!E26,高値!G26&gt;高値!H26,高値!G26&gt;高値!I26),2,""))</f>
        <v/>
      </c>
      <c r="AD26" s="503" t="str">
        <f>IF(終値!A26="","",IF(AND(高値!H26&gt;高値!G26,高値!H26&gt;高値!F26,高値!H26&gt;高値!I26,高値!H26&gt;高値!J26),3,""))</f>
        <v/>
      </c>
      <c r="AE26" s="503">
        <f>IF(終値!A26="","",IF(AND(高値!I26&gt;高値!H26,高値!I26&gt;高値!G26,高値!I26&gt;高値!J26,高値!I26&gt;高値!K26),4,""))</f>
        <v>4</v>
      </c>
      <c r="AF26" s="503" t="str">
        <f>IF(終値!A26="","",IF(AND(高値!J26&gt;高値!I26,高値!J26&gt;高値!H26,高値!J26&gt;高値!K26,高値!J26&gt;高値!L26),5,""))</f>
        <v/>
      </c>
      <c r="AG26" s="503" t="str">
        <f>IF(終値!A26="","",IF(AND(高値!K26&gt;高値!J26,高値!K26&gt;高値!I26,高値!K26&gt;高値!L26,高値!K26&gt;高値!M26),6,""))</f>
        <v/>
      </c>
      <c r="AH26" s="503">
        <f>IF(終値!A26="","",IF(AND(高値!L26&gt;高値!K26,高値!L26&gt;高値!J26,高値!L26&gt;高値!M26,高値!L26&gt;高値!N26),7,""))</f>
        <v>7</v>
      </c>
      <c r="AI26" s="503" t="str">
        <f>IF(終値!A26="","",IF(AND(高値!M26&gt;高値!L26,高値!M26&gt;高値!K26,高値!M26&gt;高値!N26,高値!M26&gt;高値!O26),8,""))</f>
        <v/>
      </c>
      <c r="AJ26" s="503" t="str">
        <f>IF(終値!A26="","",IF(AND(高値!N26&gt;高値!M26,高値!N26&gt;高値!L26,高値!N26&gt;高値!O26,高値!N26&gt;高値!P26),9,""))</f>
        <v/>
      </c>
      <c r="AK26" s="503" t="str">
        <f>IF(終値!A26="","",IF(AND(高値!O26&gt;高値!N26,高値!O26&gt;高値!M26,高値!O26&gt;高値!P26,高値!O26&gt;高値!Q26),10,""))</f>
        <v/>
      </c>
      <c r="AL26" s="503" t="str">
        <f>IF(終値!A26="","",IF(AND(高値!P26&gt;高値!O26,高値!P26&gt;高値!N26,高値!P26&gt;高値!Q26,高値!P26&gt;高値!R26),11,""))</f>
        <v/>
      </c>
      <c r="AM26" s="503" t="str">
        <f>IF(終値!A26="","",IF(AND(高値!Q26&gt;高値!P26,高値!Q26&gt;高値!O26,高値!Q26&gt;高値!R26,高値!Q26&gt;高値!S26),12,""))</f>
        <v/>
      </c>
      <c r="AN26" s="503" t="str">
        <f>IF(終値!A26="","",IF(AND(高値!R26&gt;高値!Q26,高値!R26&gt;高値!P26,高値!R26&gt;高値!S26,高値!R26&gt;高値!T26),13,""))</f>
        <v/>
      </c>
      <c r="AO26" s="503">
        <f>IF(終値!A26="","",IF(AND(高値!S26&gt;高値!R26,高値!S26&gt;高値!Q26,高値!S26&gt;高値!T26,高値!S26&gt;高値!U26),14,""))</f>
        <v>14</v>
      </c>
      <c r="AP26" s="503" t="str">
        <f>IF(終値!A26="","",IF(AND(高値!T26&gt;高値!S26,高値!T26&gt;高値!R26,高値!T26&gt;高値!U26,高値!T26&gt;高値!V26),15,""))</f>
        <v/>
      </c>
      <c r="AQ26" s="503" t="str">
        <f>IF(終値!A26="","",IF(AND(高値!U26&gt;高値!T26,高値!U26&gt;高値!S26,高値!U26&gt;高値!V26,高値!U26&gt;高値!W26),16,""))</f>
        <v/>
      </c>
      <c r="AR26" s="503" t="str">
        <f>IF(終値!A26="","",IF(AND(高値!V26&gt;高値!U26,高値!V26&gt;高値!T26,高値!V26&gt;高値!W26,高値!V26&gt;高値!X26),17,""))</f>
        <v/>
      </c>
      <c r="AS26" s="503" t="str">
        <f>IF(終値!A26="","",IF(AND(高値!W26&gt;高値!V26,高値!W26&gt;高値!U26,高値!W26&gt;高値!X26,高値!W26&gt;高値!Y26),18,""))</f>
        <v/>
      </c>
      <c r="AT26" s="503" t="str">
        <f>IF(終値!A26="","",IF(AND(高値!X26&gt;高値!W26,高値!X26&gt;高値!V26,高値!X26&gt;高値!Y26,高値!X26&gt;高値!Z26),19,""))</f>
        <v/>
      </c>
      <c r="AU26" s="503">
        <f>IF(終値!A26="","",IF(AND(高値!Y26&gt;高値!X26,高値!Y26&gt;高値!W26,高値!Y26&gt;高値!Z26,高値!Y26&gt;高値!AA26),20,""))</f>
        <v>20</v>
      </c>
      <c r="AV26" s="503" t="str">
        <f>IF(終値!A26="","",IF(AND(高値!Z26&gt;高値!Y26,高値!Z26&gt;高値!X26,高値!Z26&gt;高値!AA26,高値!Z26&gt;高値!AB26),21,""))</f>
        <v/>
      </c>
      <c r="AW26" s="503" t="str">
        <f>IF(終値!A26="","",IF(AND(高値!AA26&gt;高値!Z26,高値!AA26&gt;高値!Y26,高値!AA26&gt;高値!AB26,高値!AA26&gt;高値!AC26),22,""))</f>
        <v/>
      </c>
      <c r="AX26" s="503" t="str">
        <f>IF(終値!A26="","",IF(AND(高値!AB26&gt;高値!AA26,高値!AB26&gt;高値!Z26,高値!AB26&gt;高値!AC26,高値!AB26&gt;高値!AD26),23,""))</f>
        <v/>
      </c>
      <c r="AY26" s="503" t="str">
        <f>IF(終値!A26="","",IF(AND(高値!AC26&gt;高値!AB26,高値!AC26&gt;高値!AA26,高値!AC26&gt;高値!AD26,高値!AC26&gt;高値!AE26),24,""))</f>
        <v/>
      </c>
      <c r="AZ26" s="503" t="str">
        <f>IF(終値!A26="","",IF(AND(高値!AD26&gt;高値!AC26,高値!AD26&gt;高値!AB26,高値!AD26&gt;高値!AE26,高値!AD26&gt;高値!AF26),25,""))</f>
        <v/>
      </c>
      <c r="BA26" s="503" t="str">
        <f>IF(終値!A26="","",IF(AND(高値!AE26&gt;高値!AD26,高値!AE26&gt;高値!AC26,高値!AE26&gt;高値!AF26,高値!AE26&gt;高値!AG26),26,""))</f>
        <v/>
      </c>
      <c r="BB26" s="503" t="str">
        <f>IF(終値!A26="","",IF(AND(高値!AF26&gt;高値!AE26,高値!AF26&gt;高値!AD26,高値!AF26&gt;高値!AG26,高値!AF26&gt;高値!AH26),27,""))</f>
        <v/>
      </c>
      <c r="BC26" s="503" t="str">
        <f>IF(終値!A26="","",IF(AND(高値!AG26&gt;高値!AF26,高値!AG26&gt;高値!AE26,高値!AG26&gt;高値!AH26,高値!AG26&gt;高値!AI26),28,""))</f>
        <v/>
      </c>
      <c r="BD26" s="503">
        <f t="shared" si="0"/>
        <v>4</v>
      </c>
      <c r="BE26" s="503">
        <f t="shared" si="1"/>
        <v>3</v>
      </c>
      <c r="BF26" s="503">
        <f t="shared" si="2"/>
        <v>13</v>
      </c>
      <c r="BG26" s="503">
        <f>IF($BE26="","",INDEX(安値!$E26:$CZ26,1,$BE26+1))</f>
        <v>6157</v>
      </c>
      <c r="BH26" s="503">
        <f>IF($BF26="","",INDEX(安値!$E26:$CZ26,1,$BF26+1))</f>
        <v>6115</v>
      </c>
      <c r="BI26" s="503">
        <f>IF($BF26="","",MAX(INDEX(高値!$E26:$CZ26,1,$BE26+1):INDEX(高値!$E26:$CZ26,1,$BF26+1)))</f>
        <v>6680</v>
      </c>
      <c r="BJ26" s="503">
        <f>IF($BF26="","",AVERAGE(INDEX(終値!$E26:$CZ26,1,$BF26+1):INDEX(終値!$E26:$CZ26,1,$BF26+20))-2*STDEVP(INDEX(終値!$E26:$CZ26,1,$BF26+1):INDEX(終値!$E26:$CZ26,1,$BF26+20)))</f>
        <v>6064.5289665040673</v>
      </c>
      <c r="BK26" s="503">
        <f>IF($BE26="","",AVERAGE(INDEX(終値!$E26:$CZ26,1,$BE26+1):INDEX(終値!$E26:$CZ26,1,$BE26+20))-2*STDEVP(INDEX(終値!$E26:$CZ26,1,$BE26+1):INDEX(終値!$E26:$CZ26,1,$BE26+20)))</f>
        <v>6222.9183325936101</v>
      </c>
      <c r="BL26" s="503">
        <f t="shared" si="3"/>
        <v>4</v>
      </c>
      <c r="BM26" s="503">
        <f t="shared" si="4"/>
        <v>4</v>
      </c>
      <c r="BN26" s="503">
        <f t="shared" si="5"/>
        <v>7</v>
      </c>
      <c r="BO26" s="503">
        <f>IF($BM26="","",INDEX(高値!$E26:$CZ26,1,$BM26+1))</f>
        <v>6503</v>
      </c>
      <c r="BP26" s="503">
        <f>IF($BN26="","",INDEX(高値!$E26:$CZ26,1,$BN26+1))</f>
        <v>6680</v>
      </c>
      <c r="BQ26" s="503">
        <f>IF($BN26="","",MIN(INDEX(安値!$E26:$CZ26,1,$BM26+1):INDEX(安値!$E26:$CZ26,1,$BN26+1)))</f>
        <v>6274</v>
      </c>
      <c r="BR26" s="503">
        <f>IF($BN26="","",AVERAGE(INDEX(終値!$E26:$CZ26,1,$BN26+1):INDEX(終値!$E26:$CZ26,1,$BN26+20))+2*STDEVP(INDEX(終値!$E26:$CZ26,1,$BN26+1):INDEX(終値!$E26:$CZ26,1,$BN26+20)))</f>
        <v>6709.2553397187658</v>
      </c>
      <c r="BS26" s="503">
        <f>IF($BM26="","",AVERAGE(INDEX(終値!$E26:$CZ26,1,$BM26+1):INDEX(終値!$E26:$CZ26,1,$BM26+20))+2*STDEVP(INDEX(終値!$E26:$CZ26,1,$BM26+1):INDEX(終値!$E26:$CZ26,1,$BM26+20)))</f>
        <v>6674.3807970875587</v>
      </c>
      <c r="BT26" s="500"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3" t="str">
        <f>IF(終値!A27="","",IF(AND(安値!G27&lt;安値!F27,安値!G27&lt;安値!E27,安値!G27&lt;安値!H27,安値!G27&lt;安値!I27),2,""))</f>
        <v/>
      </c>
      <c r="C27" s="503">
        <f>IF(終値!A27="","",IF(AND(安値!H27&lt;安値!G27,安値!H27&lt;安値!F27,安値!H27&lt;安値!I27,安値!H27&lt;安値!J27),3,""))</f>
        <v>3</v>
      </c>
      <c r="D27" s="503" t="str">
        <f>IF(終値!A27="","",IF(AND(安値!I27&lt;安値!H27,安値!I27&lt;安値!G27,安値!I27&lt;安値!J27,安値!I27&lt;安値!K27),4,""))</f>
        <v/>
      </c>
      <c r="E27" s="503" t="str">
        <f>IF(終値!A27="","",IF(AND(安値!J27&lt;安値!I27,安値!J27&lt;安値!H27,安値!J27&lt;安値!K27,安値!J27&lt;安値!L27),5,""))</f>
        <v/>
      </c>
      <c r="F27" s="503" t="str">
        <f>IF(終値!A27="","",IF(AND(安値!K27&lt;安値!J27,安値!K27&lt;安値!I27,安値!K27&lt;安値!L27,安値!K27&lt;安値!M27),6,""))</f>
        <v/>
      </c>
      <c r="G27" s="503" t="str">
        <f>IF(終値!A27="","",IF(AND(安値!L27&lt;安値!K27,安値!L27&lt;安値!J27,安値!L27&lt;安値!M27,安値!L27&lt;安値!N27),7,""))</f>
        <v/>
      </c>
      <c r="H27" s="503" t="str">
        <f>IF(終値!A27="","",IF(AND(安値!M27&lt;安値!L27,安値!M27&lt;安値!K27,安値!M27&lt;安値!N27,安値!M27&lt;安値!O27),8,""))</f>
        <v/>
      </c>
      <c r="I27" s="503" t="str">
        <f>IF(終値!A27="","",IF(AND(安値!N27&lt;安値!M27,安値!N27&lt;安値!L27,安値!N27&lt;安値!O27,安値!N27&lt;安値!P27),9,""))</f>
        <v/>
      </c>
      <c r="J27" s="503" t="str">
        <f>IF(終値!A27="","",IF(AND(安値!O27&lt;安値!N27,安値!O27&lt;安値!M27,安値!O27&lt;安値!P27,安値!O27&lt;安値!Q27),10,""))</f>
        <v/>
      </c>
      <c r="K27" s="503" t="str">
        <f>IF(終値!A27="","",IF(AND(安値!P27&lt;安値!O27,安値!P27&lt;安値!N27,安値!P27&lt;安値!Q27,安値!P27&lt;安値!R27),11,""))</f>
        <v/>
      </c>
      <c r="L27" s="503" t="str">
        <f>IF(終値!A27="","",IF(AND(安値!Q27&lt;安値!P27,安値!Q27&lt;安値!O27,安値!Q27&lt;安値!R27,安値!Q27&lt;安値!S27),12,""))</f>
        <v/>
      </c>
      <c r="M27" s="503" t="str">
        <f>IF(終値!A27="","",IF(AND(安値!R27&lt;安値!Q27,安値!R27&lt;安値!P27,安値!R27&lt;安値!S27,安値!R27&lt;安値!T27),13,""))</f>
        <v/>
      </c>
      <c r="N27" s="503" t="str">
        <f>IF(終値!A27="","",IF(AND(安値!S27&lt;安値!R27,安値!S27&lt;安値!Q27,安値!S27&lt;安値!T27,安値!S27&lt;安値!U27),14,""))</f>
        <v/>
      </c>
      <c r="O27" s="503" t="str">
        <f>IF(終値!A27="","",IF(AND(安値!T27&lt;安値!S27,安値!T27&lt;安値!R27,安値!T27&lt;安値!U27,安値!T27&lt;安値!V27),15,""))</f>
        <v/>
      </c>
      <c r="P27" s="503">
        <f>IF(終値!A27="","",IF(AND(安値!U27&lt;安値!T27,安値!U27&lt;安値!S27,安値!U27&lt;安値!V27,安値!U27&lt;安値!W27),16,""))</f>
        <v>16</v>
      </c>
      <c r="Q27" s="503" t="str">
        <f>IF(終値!A27="","",IF(AND(安値!V27&lt;安値!U27,安値!V27&lt;安値!T27,安値!V27&lt;安値!W27,安値!V27&lt;安値!X27),17,""))</f>
        <v/>
      </c>
      <c r="R27" s="503" t="str">
        <f>IF(終値!A27="","",IF(AND(安値!W27&lt;安値!V27,安値!W27&lt;安値!U27,安値!W27&lt;安値!X27,安値!W27&lt;安値!Y27),18,""))</f>
        <v/>
      </c>
      <c r="S27" s="503" t="str">
        <f>IF(終値!A27="","",IF(AND(安値!X27&lt;安値!W27,安値!X27&lt;安値!V27,安値!X27&lt;安値!Y27,安値!X27&lt;安値!Z27),19,""))</f>
        <v/>
      </c>
      <c r="T27" s="503" t="str">
        <f>IF(終値!A27="","",IF(AND(安値!Y27&lt;安値!X27,安値!Y27&lt;安値!W27,安値!Y27&lt;安値!Z27,安値!Y27&lt;安値!AA27),20,""))</f>
        <v/>
      </c>
      <c r="U27" s="503" t="str">
        <f>IF(終値!A27="","",IF(AND(安値!Z27&lt;安値!Y27,安値!Z27&lt;安値!X27,安値!Z27&lt;安値!AA27,安値!Z27&lt;安値!AB27),21,""))</f>
        <v/>
      </c>
      <c r="V27" s="503" t="str">
        <f>IF(終値!A27="","",IF(AND(安値!AA27&lt;安値!Z27,安値!AA27&lt;安値!Y27,安値!AA27&lt;安値!AB27,安値!AA27&lt;安値!AC27),22,""))</f>
        <v/>
      </c>
      <c r="W27" s="503" t="str">
        <f>IF(終値!A27="","",IF(AND(安値!AB27&lt;安値!AA27,安値!AB27&lt;安値!Z27,安値!AB27&lt;安値!AC27,安値!AB27&lt;安値!AD27),23,""))</f>
        <v/>
      </c>
      <c r="X27" s="503" t="str">
        <f>IF(終値!A27="","",IF(AND(安値!AC27&lt;安値!AB27,安値!AC27&lt;安値!AA27,安値!AC27&lt;安値!AD27,安値!AC27&lt;安値!AE27),24,""))</f>
        <v/>
      </c>
      <c r="Y27" s="503" t="str">
        <f>IF(終値!A27="","",IF(AND(安値!AD27&lt;安値!AC27,安値!AD27&lt;安値!AB27,安値!AD27&lt;安値!AE27,安値!AD27&lt;安値!AF27),25,""))</f>
        <v/>
      </c>
      <c r="Z27" s="503" t="str">
        <f>IF(終値!A27="","",IF(AND(安値!AE27&lt;安値!AD27,安値!AE27&lt;安値!AC27,安値!AE27&lt;安値!AF27,安値!AE27&lt;安値!AG27),26,""))</f>
        <v/>
      </c>
      <c r="AA27" s="503" t="str">
        <f>IF(終値!A27="","",IF(AND(安値!AF27&lt;安値!AE27,安値!AF27&lt;安値!AD27,安値!AF27&lt;安値!AG27,安値!AF27&lt;安値!AH27),27,""))</f>
        <v/>
      </c>
      <c r="AB27" s="503" t="str">
        <f>IF(終値!A27="","",IF(AND(安値!AG27&lt;安値!AF27,安値!AG27&lt;安値!AE27,安値!AG27&lt;安値!AH27,安値!AG27&lt;安値!AI27),28,""))</f>
        <v/>
      </c>
      <c r="AC27" s="503" t="str">
        <f>IF(終値!A27="","",IF(AND(高値!G27&gt;高値!F27,高値!G27&gt;高値!E27,高値!G27&gt;高値!H27,高値!G27&gt;高値!I27),2,""))</f>
        <v/>
      </c>
      <c r="AD27" s="503" t="str">
        <f>IF(終値!A27="","",IF(AND(高値!H27&gt;高値!G27,高値!H27&gt;高値!F27,高値!H27&gt;高値!I27,高値!H27&gt;高値!J27),3,""))</f>
        <v/>
      </c>
      <c r="AE27" s="503" t="str">
        <f>IF(終値!A27="","",IF(AND(高値!I27&gt;高値!H27,高値!I27&gt;高値!G27,高値!I27&gt;高値!J27,高値!I27&gt;高値!K27),4,""))</f>
        <v/>
      </c>
      <c r="AF27" s="503" t="str">
        <f>IF(終値!A27="","",IF(AND(高値!J27&gt;高値!I27,高値!J27&gt;高値!H27,高値!J27&gt;高値!K27,高値!J27&gt;高値!L27),5,""))</f>
        <v/>
      </c>
      <c r="AG27" s="503" t="str">
        <f>IF(終値!A27="","",IF(AND(高値!K27&gt;高値!J27,高値!K27&gt;高値!I27,高値!K27&gt;高値!L27,高値!K27&gt;高値!M27),6,""))</f>
        <v/>
      </c>
      <c r="AH27" s="503" t="str">
        <f>IF(終値!A27="","",IF(AND(高値!L27&gt;高値!K27,高値!L27&gt;高値!J27,高値!L27&gt;高値!M27,高値!L27&gt;高値!N27),7,""))</f>
        <v/>
      </c>
      <c r="AI27" s="503">
        <f>IF(終値!A27="","",IF(AND(高値!M27&gt;高値!L27,高値!M27&gt;高値!K27,高値!M27&gt;高値!N27,高値!M27&gt;高値!O27),8,""))</f>
        <v>8</v>
      </c>
      <c r="AJ27" s="503" t="str">
        <f>IF(終値!A27="","",IF(AND(高値!N27&gt;高値!M27,高値!N27&gt;高値!L27,高値!N27&gt;高値!O27,高値!N27&gt;高値!P27),9,""))</f>
        <v/>
      </c>
      <c r="AK27" s="503" t="str">
        <f>IF(終値!A27="","",IF(AND(高値!O27&gt;高値!N27,高値!O27&gt;高値!M27,高値!O27&gt;高値!P27,高値!O27&gt;高値!Q27),10,""))</f>
        <v/>
      </c>
      <c r="AL27" s="503" t="str">
        <f>IF(終値!A27="","",IF(AND(高値!P27&gt;高値!O27,高値!P27&gt;高値!N27,高値!P27&gt;高値!Q27,高値!P27&gt;高値!R27),11,""))</f>
        <v/>
      </c>
      <c r="AM27" s="503" t="str">
        <f>IF(終値!A27="","",IF(AND(高値!Q27&gt;高値!P27,高値!Q27&gt;高値!O27,高値!Q27&gt;高値!R27,高値!Q27&gt;高値!S27),12,""))</f>
        <v/>
      </c>
      <c r="AN27" s="503">
        <f>IF(終値!A27="","",IF(AND(高値!R27&gt;高値!Q27,高値!R27&gt;高値!P27,高値!R27&gt;高値!S27,高値!R27&gt;高値!T27),13,""))</f>
        <v>13</v>
      </c>
      <c r="AO27" s="503" t="str">
        <f>IF(終値!A27="","",IF(AND(高値!S27&gt;高値!R27,高値!S27&gt;高値!Q27,高値!S27&gt;高値!T27,高値!S27&gt;高値!U27),14,""))</f>
        <v/>
      </c>
      <c r="AP27" s="503" t="str">
        <f>IF(終値!A27="","",IF(AND(高値!T27&gt;高値!S27,高値!T27&gt;高値!R27,高値!T27&gt;高値!U27,高値!T27&gt;高値!V27),15,""))</f>
        <v/>
      </c>
      <c r="AQ27" s="503" t="str">
        <f>IF(終値!A27="","",IF(AND(高値!U27&gt;高値!T27,高値!U27&gt;高値!S27,高値!U27&gt;高値!V27,高値!U27&gt;高値!W27),16,""))</f>
        <v/>
      </c>
      <c r="AR27" s="503" t="str">
        <f>IF(終値!A27="","",IF(AND(高値!V27&gt;高値!U27,高値!V27&gt;高値!T27,高値!V27&gt;高値!W27,高値!V27&gt;高値!X27),17,""))</f>
        <v/>
      </c>
      <c r="AS27" s="503" t="str">
        <f>IF(終値!A27="","",IF(AND(高値!W27&gt;高値!V27,高値!W27&gt;高値!U27,高値!W27&gt;高値!X27,高値!W27&gt;高値!Y27),18,""))</f>
        <v/>
      </c>
      <c r="AT27" s="503" t="str">
        <f>IF(終値!A27="","",IF(AND(高値!X27&gt;高値!W27,高値!X27&gt;高値!V27,高値!X27&gt;高値!Y27,高値!X27&gt;高値!Z27),19,""))</f>
        <v/>
      </c>
      <c r="AU27" s="503" t="str">
        <f>IF(終値!A27="","",IF(AND(高値!Y27&gt;高値!X27,高値!Y27&gt;高値!W27,高値!Y27&gt;高値!Z27,高値!Y27&gt;高値!AA27),20,""))</f>
        <v/>
      </c>
      <c r="AV27" s="503">
        <f>IF(終値!A27="","",IF(AND(高値!Z27&gt;高値!Y27,高値!Z27&gt;高値!X27,高値!Z27&gt;高値!AA27,高値!Z27&gt;高値!AB27),21,""))</f>
        <v>21</v>
      </c>
      <c r="AW27" s="503" t="str">
        <f>IF(終値!A27="","",IF(AND(高値!AA27&gt;高値!Z27,高値!AA27&gt;高値!Y27,高値!AA27&gt;高値!AB27,高値!AA27&gt;高値!AC27),22,""))</f>
        <v/>
      </c>
      <c r="AX27" s="503" t="str">
        <f>IF(終値!A27="","",IF(AND(高値!AB27&gt;高値!AA27,高値!AB27&gt;高値!Z27,高値!AB27&gt;高値!AC27,高値!AB27&gt;高値!AD27),23,""))</f>
        <v/>
      </c>
      <c r="AY27" s="503" t="str">
        <f>IF(終値!A27="","",IF(AND(高値!AC27&gt;高値!AB27,高値!AC27&gt;高値!AA27,高値!AC27&gt;高値!AD27,高値!AC27&gt;高値!AE27),24,""))</f>
        <v/>
      </c>
      <c r="AZ27" s="503" t="str">
        <f>IF(終値!A27="","",IF(AND(高値!AD27&gt;高値!AC27,高値!AD27&gt;高値!AB27,高値!AD27&gt;高値!AE27,高値!AD27&gt;高値!AF27),25,""))</f>
        <v/>
      </c>
      <c r="BA27" s="503" t="str">
        <f>IF(終値!A27="","",IF(AND(高値!AE27&gt;高値!AD27,高値!AE27&gt;高値!AC27,高値!AE27&gt;高値!AF27,高値!AE27&gt;高値!AG27),26,""))</f>
        <v/>
      </c>
      <c r="BB27" s="503">
        <f>IF(終値!A27="","",IF(AND(高値!AF27&gt;高値!AE27,高値!AF27&gt;高値!AD27,高値!AF27&gt;高値!AG27,高値!AF27&gt;高値!AH27),27,""))</f>
        <v>27</v>
      </c>
      <c r="BC27" s="503" t="str">
        <f>IF(終値!A27="","",IF(AND(高値!AG27&gt;高値!AF27,高値!AG27&gt;高値!AE27,高値!AG27&gt;高値!AH27,高値!AG27&gt;高値!AI27),28,""))</f>
        <v/>
      </c>
      <c r="BD27" s="503">
        <f t="shared" si="0"/>
        <v>2</v>
      </c>
      <c r="BE27" s="503">
        <f t="shared" si="1"/>
        <v>3</v>
      </c>
      <c r="BF27" s="503">
        <f t="shared" si="2"/>
        <v>16</v>
      </c>
      <c r="BG27" s="503">
        <f>IF($BE27="","",INDEX(安値!$E27:$CZ27,1,$BE27+1))</f>
        <v>1567</v>
      </c>
      <c r="BH27" s="503">
        <f>IF($BF27="","",INDEX(安値!$E27:$CZ27,1,$BF27+1))</f>
        <v>1641</v>
      </c>
      <c r="BI27" s="503">
        <f>IF($BF27="","",MAX(INDEX(高値!$E27:$CZ27,1,$BE27+1):INDEX(高値!$E27:$CZ27,1,$BF27+1)))</f>
        <v>1768</v>
      </c>
      <c r="BJ27" s="503">
        <f>IF($BF27="","",AVERAGE(INDEX(終値!$E27:$CZ27,1,$BF27+1):INDEX(終値!$E27:$CZ27,1,$BF27+20))-2*STDEVP(INDEX(終値!$E27:$CZ27,1,$BF27+1):INDEX(終値!$E27:$CZ27,1,$BF27+20)))</f>
        <v>1562.2466254858682</v>
      </c>
      <c r="BK27" s="503">
        <f>IF($BE27="","",AVERAGE(INDEX(終値!$E27:$CZ27,1,$BE27+1):INDEX(終値!$E27:$CZ27,1,$BE27+20))-2*STDEVP(INDEX(終値!$E27:$CZ27,1,$BE27+1):INDEX(終値!$E27:$CZ27,1,$BE27+20)))</f>
        <v>1625.6137320224798</v>
      </c>
      <c r="BL27" s="503">
        <f t="shared" si="3"/>
        <v>4</v>
      </c>
      <c r="BM27" s="503">
        <f t="shared" si="4"/>
        <v>8</v>
      </c>
      <c r="BN27" s="503">
        <f t="shared" si="5"/>
        <v>13</v>
      </c>
      <c r="BO27" s="503">
        <f>IF($BM27="","",INDEX(高値!$E27:$CZ27,1,$BM27+1))</f>
        <v>1739.5</v>
      </c>
      <c r="BP27" s="503">
        <f>IF($BN27="","",INDEX(高値!$E27:$CZ27,1,$BN27+1))</f>
        <v>1768</v>
      </c>
      <c r="BQ27" s="503">
        <f>IF($BN27="","",MIN(INDEX(安値!$E27:$CZ27,1,$BM27+1):INDEX(安値!$E27:$CZ27,1,$BN27+1)))</f>
        <v>1666</v>
      </c>
      <c r="BR27" s="503">
        <f>IF($BN27="","",AVERAGE(INDEX(終値!$E27:$CZ27,1,$BN27+1):INDEX(終値!$E27:$CZ27,1,$BN27+20))+2*STDEVP(INDEX(終値!$E27:$CZ27,1,$BN27+1):INDEX(終値!$E27:$CZ27,1,$BN27+20)))</f>
        <v>1754.4160252195359</v>
      </c>
      <c r="BS27" s="503">
        <f>IF($BM27="","",AVERAGE(INDEX(終値!$E27:$CZ27,1,$BM27+1):INDEX(終値!$E27:$CZ27,1,$BM27+20))+2*STDEVP(INDEX(終値!$E27:$CZ27,1,$BM27+1):INDEX(終値!$E27:$CZ27,1,$BM27+20)))</f>
        <v>1763.016535191877</v>
      </c>
      <c r="BT27" s="500"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3" t="str">
        <f>IF(終値!A28="","",IF(AND(安値!G28&lt;安値!F28,安値!G28&lt;安値!E28,安値!G28&lt;安値!H28,安値!G28&lt;安値!I28),2,""))</f>
        <v/>
      </c>
      <c r="C28" s="503" t="str">
        <f>IF(終値!A28="","",IF(AND(安値!H28&lt;安値!G28,安値!H28&lt;安値!F28,安値!H28&lt;安値!I28,安値!H28&lt;安値!J28),3,""))</f>
        <v/>
      </c>
      <c r="D28" s="503" t="str">
        <f>IF(終値!A28="","",IF(AND(安値!I28&lt;安値!H28,安値!I28&lt;安値!G28,安値!I28&lt;安値!J28,安値!I28&lt;安値!K28),4,""))</f>
        <v/>
      </c>
      <c r="E28" s="503" t="str">
        <f>IF(終値!A28="","",IF(AND(安値!J28&lt;安値!I28,安値!J28&lt;安値!H28,安値!J28&lt;安値!K28,安値!J28&lt;安値!L28),5,""))</f>
        <v/>
      </c>
      <c r="F28" s="503" t="str">
        <f>IF(終値!A28="","",IF(AND(安値!K28&lt;安値!J28,安値!K28&lt;安値!I28,安値!K28&lt;安値!L28,安値!K28&lt;安値!M28),6,""))</f>
        <v/>
      </c>
      <c r="G28" s="503" t="str">
        <f>IF(終値!A28="","",IF(AND(安値!L28&lt;安値!K28,安値!L28&lt;安値!J28,安値!L28&lt;安値!M28,安値!L28&lt;安値!N28),7,""))</f>
        <v/>
      </c>
      <c r="H28" s="503" t="str">
        <f>IF(終値!A28="","",IF(AND(安値!M28&lt;安値!L28,安値!M28&lt;安値!K28,安値!M28&lt;安値!N28,安値!M28&lt;安値!O28),8,""))</f>
        <v/>
      </c>
      <c r="I28" s="503">
        <f>IF(終値!A28="","",IF(AND(安値!N28&lt;安値!M28,安値!N28&lt;安値!L28,安値!N28&lt;安値!O28,安値!N28&lt;安値!P28),9,""))</f>
        <v>9</v>
      </c>
      <c r="J28" s="503" t="str">
        <f>IF(終値!A28="","",IF(AND(安値!O28&lt;安値!N28,安値!O28&lt;安値!M28,安値!O28&lt;安値!P28,安値!O28&lt;安値!Q28),10,""))</f>
        <v/>
      </c>
      <c r="K28" s="503" t="str">
        <f>IF(終値!A28="","",IF(AND(安値!P28&lt;安値!O28,安値!P28&lt;安値!N28,安値!P28&lt;安値!Q28,安値!P28&lt;安値!R28),11,""))</f>
        <v/>
      </c>
      <c r="L28" s="503" t="str">
        <f>IF(終値!A28="","",IF(AND(安値!Q28&lt;安値!P28,安値!Q28&lt;安値!O28,安値!Q28&lt;安値!R28,安値!Q28&lt;安値!S28),12,""))</f>
        <v/>
      </c>
      <c r="M28" s="503">
        <f>IF(終値!A28="","",IF(AND(安値!R28&lt;安値!Q28,安値!R28&lt;安値!P28,安値!R28&lt;安値!S28,安値!R28&lt;安値!T28),13,""))</f>
        <v>13</v>
      </c>
      <c r="N28" s="503" t="str">
        <f>IF(終値!A28="","",IF(AND(安値!S28&lt;安値!R28,安値!S28&lt;安値!Q28,安値!S28&lt;安値!T28,安値!S28&lt;安値!U28),14,""))</f>
        <v/>
      </c>
      <c r="O28" s="503" t="str">
        <f>IF(終値!A28="","",IF(AND(安値!T28&lt;安値!S28,安値!T28&lt;安値!R28,安値!T28&lt;安値!U28,安値!T28&lt;安値!V28),15,""))</f>
        <v/>
      </c>
      <c r="P28" s="503" t="str">
        <f>IF(終値!A28="","",IF(AND(安値!U28&lt;安値!T28,安値!U28&lt;安値!S28,安値!U28&lt;安値!V28,安値!U28&lt;安値!W28),16,""))</f>
        <v/>
      </c>
      <c r="Q28" s="503" t="str">
        <f>IF(終値!A28="","",IF(AND(安値!V28&lt;安値!U28,安値!V28&lt;安値!T28,安値!V28&lt;安値!W28,安値!V28&lt;安値!X28),17,""))</f>
        <v/>
      </c>
      <c r="R28" s="503">
        <f>IF(終値!A28="","",IF(AND(安値!W28&lt;安値!V28,安値!W28&lt;安値!U28,安値!W28&lt;安値!X28,安値!W28&lt;安値!Y28),18,""))</f>
        <v>18</v>
      </c>
      <c r="S28" s="503" t="str">
        <f>IF(終値!A28="","",IF(AND(安値!X28&lt;安値!W28,安値!X28&lt;安値!V28,安値!X28&lt;安値!Y28,安値!X28&lt;安値!Z28),19,""))</f>
        <v/>
      </c>
      <c r="T28" s="503" t="str">
        <f>IF(終値!A28="","",IF(AND(安値!Y28&lt;安値!X28,安値!Y28&lt;安値!W28,安値!Y28&lt;安値!Z28,安値!Y28&lt;安値!AA28),20,""))</f>
        <v/>
      </c>
      <c r="U28" s="503" t="str">
        <f>IF(終値!A28="","",IF(AND(安値!Z28&lt;安値!Y28,安値!Z28&lt;安値!X28,安値!Z28&lt;安値!AA28,安値!Z28&lt;安値!AB28),21,""))</f>
        <v/>
      </c>
      <c r="V28" s="503" t="str">
        <f>IF(終値!A28="","",IF(AND(安値!AA28&lt;安値!Z28,安値!AA28&lt;安値!Y28,安値!AA28&lt;安値!AB28,安値!AA28&lt;安値!AC28),22,""))</f>
        <v/>
      </c>
      <c r="W28" s="503" t="str">
        <f>IF(終値!A28="","",IF(AND(安値!AB28&lt;安値!AA28,安値!AB28&lt;安値!Z28,安値!AB28&lt;安値!AC28,安値!AB28&lt;安値!AD28),23,""))</f>
        <v/>
      </c>
      <c r="X28" s="503" t="str">
        <f>IF(終値!A28="","",IF(AND(安値!AC28&lt;安値!AB28,安値!AC28&lt;安値!AA28,安値!AC28&lt;安値!AD28,安値!AC28&lt;安値!AE28),24,""))</f>
        <v/>
      </c>
      <c r="Y28" s="503" t="str">
        <f>IF(終値!A28="","",IF(AND(安値!AD28&lt;安値!AC28,安値!AD28&lt;安値!AB28,安値!AD28&lt;安値!AE28,安値!AD28&lt;安値!AF28),25,""))</f>
        <v/>
      </c>
      <c r="Z28" s="503">
        <f>IF(終値!A28="","",IF(AND(安値!AE28&lt;安値!AD28,安値!AE28&lt;安値!AC28,安値!AE28&lt;安値!AF28,安値!AE28&lt;安値!AG28),26,""))</f>
        <v>26</v>
      </c>
      <c r="AA28" s="503" t="str">
        <f>IF(終値!A28="","",IF(AND(安値!AF28&lt;安値!AE28,安値!AF28&lt;安値!AD28,安値!AF28&lt;安値!AG28,安値!AF28&lt;安値!AH28),27,""))</f>
        <v/>
      </c>
      <c r="AB28" s="503" t="str">
        <f>IF(終値!A28="","",IF(AND(安値!AG28&lt;安値!AF28,安値!AG28&lt;安値!AE28,安値!AG28&lt;安値!AH28,安値!AG28&lt;安値!AI28),28,""))</f>
        <v/>
      </c>
      <c r="AC28" s="503" t="str">
        <f>IF(終値!A28="","",IF(AND(高値!G28&gt;高値!F28,高値!G28&gt;高値!E28,高値!G28&gt;高値!H28,高値!G28&gt;高値!I28),2,""))</f>
        <v/>
      </c>
      <c r="AD28" s="503" t="str">
        <f>IF(終値!A28="","",IF(AND(高値!H28&gt;高値!G28,高値!H28&gt;高値!F28,高値!H28&gt;高値!I28,高値!H28&gt;高値!J28),3,""))</f>
        <v/>
      </c>
      <c r="AE28" s="503">
        <f>IF(終値!A28="","",IF(AND(高値!I28&gt;高値!H28,高値!I28&gt;高値!G28,高値!I28&gt;高値!J28,高値!I28&gt;高値!K28),4,""))</f>
        <v>4</v>
      </c>
      <c r="AF28" s="503" t="str">
        <f>IF(終値!A28="","",IF(AND(高値!J28&gt;高値!I28,高値!J28&gt;高値!H28,高値!J28&gt;高値!K28,高値!J28&gt;高値!L28),5,""))</f>
        <v/>
      </c>
      <c r="AG28" s="503" t="str">
        <f>IF(終値!A28="","",IF(AND(高値!K28&gt;高値!J28,高値!K28&gt;高値!I28,高値!K28&gt;高値!L28,高値!K28&gt;高値!M28),6,""))</f>
        <v/>
      </c>
      <c r="AH28" s="503">
        <f>IF(終値!A28="","",IF(AND(高値!L28&gt;高値!K28,高値!L28&gt;高値!J28,高値!L28&gt;高値!M28,高値!L28&gt;高値!N28),7,""))</f>
        <v>7</v>
      </c>
      <c r="AI28" s="503" t="str">
        <f>IF(終値!A28="","",IF(AND(高値!M28&gt;高値!L28,高値!M28&gt;高値!K28,高値!M28&gt;高値!N28,高値!M28&gt;高値!O28),8,""))</f>
        <v/>
      </c>
      <c r="AJ28" s="503" t="str">
        <f>IF(終値!A28="","",IF(AND(高値!N28&gt;高値!M28,高値!N28&gt;高値!L28,高値!N28&gt;高値!O28,高値!N28&gt;高値!P28),9,""))</f>
        <v/>
      </c>
      <c r="AK28" s="503" t="str">
        <f>IF(終値!A28="","",IF(AND(高値!O28&gt;高値!N28,高値!O28&gt;高値!M28,高値!O28&gt;高値!P28,高値!O28&gt;高値!Q28),10,""))</f>
        <v/>
      </c>
      <c r="AL28" s="503" t="str">
        <f>IF(終値!A28="","",IF(AND(高値!P28&gt;高値!O28,高値!P28&gt;高値!N28,高値!P28&gt;高値!Q28,高値!P28&gt;高値!R28),11,""))</f>
        <v/>
      </c>
      <c r="AM28" s="503" t="str">
        <f>IF(終値!A28="","",IF(AND(高値!Q28&gt;高値!P28,高値!Q28&gt;高値!O28,高値!Q28&gt;高値!R28,高値!Q28&gt;高値!S28),12,""))</f>
        <v/>
      </c>
      <c r="AN28" s="503" t="str">
        <f>IF(終値!A28="","",IF(AND(高値!R28&gt;高値!Q28,高値!R28&gt;高値!P28,高値!R28&gt;高値!S28,高値!R28&gt;高値!T28),13,""))</f>
        <v/>
      </c>
      <c r="AO28" s="503">
        <f>IF(終値!A28="","",IF(AND(高値!S28&gt;高値!R28,高値!S28&gt;高値!Q28,高値!S28&gt;高値!T28,高値!S28&gt;高値!U28),14,""))</f>
        <v>14</v>
      </c>
      <c r="AP28" s="503" t="str">
        <f>IF(終値!A28="","",IF(AND(高値!T28&gt;高値!S28,高値!T28&gt;高値!R28,高値!T28&gt;高値!U28,高値!T28&gt;高値!V28),15,""))</f>
        <v/>
      </c>
      <c r="AQ28" s="503" t="str">
        <f>IF(終値!A28="","",IF(AND(高値!U28&gt;高値!T28,高値!U28&gt;高値!S28,高値!U28&gt;高値!V28,高値!U28&gt;高値!W28),16,""))</f>
        <v/>
      </c>
      <c r="AR28" s="503" t="str">
        <f>IF(終値!A28="","",IF(AND(高値!V28&gt;高値!U28,高値!V28&gt;高値!T28,高値!V28&gt;高値!W28,高値!V28&gt;高値!X28),17,""))</f>
        <v/>
      </c>
      <c r="AS28" s="503" t="str">
        <f>IF(終値!A28="","",IF(AND(高値!W28&gt;高値!V28,高値!W28&gt;高値!U28,高値!W28&gt;高値!X28,高値!W28&gt;高値!Y28),18,""))</f>
        <v/>
      </c>
      <c r="AT28" s="503" t="str">
        <f>IF(終値!A28="","",IF(AND(高値!X28&gt;高値!W28,高値!X28&gt;高値!V28,高値!X28&gt;高値!Y28,高値!X28&gt;高値!Z28),19,""))</f>
        <v/>
      </c>
      <c r="AU28" s="503">
        <f>IF(終値!A28="","",IF(AND(高値!Y28&gt;高値!X28,高値!Y28&gt;高値!W28,高値!Y28&gt;高値!Z28,高値!Y28&gt;高値!AA28),20,""))</f>
        <v>20</v>
      </c>
      <c r="AV28" s="503" t="str">
        <f>IF(終値!A28="","",IF(AND(高値!Z28&gt;高値!Y28,高値!Z28&gt;高値!X28,高値!Z28&gt;高値!AA28,高値!Z28&gt;高値!AB28),21,""))</f>
        <v/>
      </c>
      <c r="AW28" s="503" t="str">
        <f>IF(終値!A28="","",IF(AND(高値!AA28&gt;高値!Z28,高値!AA28&gt;高値!Y28,高値!AA28&gt;高値!AB28,高値!AA28&gt;高値!AC28),22,""))</f>
        <v/>
      </c>
      <c r="AX28" s="503" t="str">
        <f>IF(終値!A28="","",IF(AND(高値!AB28&gt;高値!AA28,高値!AB28&gt;高値!Z28,高値!AB28&gt;高値!AC28,高値!AB28&gt;高値!AD28),23,""))</f>
        <v/>
      </c>
      <c r="AY28" s="503" t="str">
        <f>IF(終値!A28="","",IF(AND(高値!AC28&gt;高値!AB28,高値!AC28&gt;高値!AA28,高値!AC28&gt;高値!AD28,高値!AC28&gt;高値!AE28),24,""))</f>
        <v/>
      </c>
      <c r="AZ28" s="503" t="str">
        <f>IF(終値!A28="","",IF(AND(高値!AD28&gt;高値!AC28,高値!AD28&gt;高値!AB28,高値!AD28&gt;高値!AE28,高値!AD28&gt;高値!AF28),25,""))</f>
        <v/>
      </c>
      <c r="BA28" s="503" t="str">
        <f>IF(終値!A28="","",IF(AND(高値!AE28&gt;高値!AD28,高値!AE28&gt;高値!AC28,高値!AE28&gt;高値!AF28,高値!AE28&gt;高値!AG28),26,""))</f>
        <v/>
      </c>
      <c r="BB28" s="503" t="str">
        <f>IF(終値!A28="","",IF(AND(高値!AF28&gt;高値!AE28,高値!AF28&gt;高値!AD28,高値!AF28&gt;高値!AG28,高値!AF28&gt;高値!AH28),27,""))</f>
        <v/>
      </c>
      <c r="BC28" s="503" t="str">
        <f>IF(終値!A28="","",IF(AND(高値!AG28&gt;高値!AF28,高値!AG28&gt;高値!AE28,高値!AG28&gt;高値!AH28,高値!AG28&gt;高値!AI28),28,""))</f>
        <v/>
      </c>
      <c r="BD28" s="503">
        <f t="shared" si="0"/>
        <v>4</v>
      </c>
      <c r="BE28" s="503">
        <f t="shared" si="1"/>
        <v>9</v>
      </c>
      <c r="BF28" s="503">
        <f t="shared" si="2"/>
        <v>13</v>
      </c>
      <c r="BG28" s="503">
        <f>IF($BE28="","",INDEX(安値!$E28:$CZ28,1,$BE28+1))</f>
        <v>3552</v>
      </c>
      <c r="BH28" s="503">
        <f>IF($BF28="","",INDEX(安値!$E28:$CZ28,1,$BF28+1))</f>
        <v>6115</v>
      </c>
      <c r="BI28" s="503">
        <f>IF($BF28="","",MAX(INDEX(高値!$E28:$CZ28,1,$BE28+1):INDEX(高値!$E28:$CZ28,1,$BF28+1)))</f>
        <v>6653</v>
      </c>
      <c r="BJ28" s="503">
        <f>IF($BF28="","",AVERAGE(INDEX(終値!$E28:$CZ28,1,$BF28+1):INDEX(終値!$E28:$CZ28,1,$BF28+20))-2*STDEVP(INDEX(終値!$E28:$CZ28,1,$BF28+1):INDEX(終値!$E28:$CZ28,1,$BF28+20)))</f>
        <v>6064.5289665040673</v>
      </c>
      <c r="BK28" s="503">
        <f>IF($BE28="","",AVERAGE(INDEX(終値!$E28:$CZ28,1,$BE28+1):INDEX(終値!$E28:$CZ28,1,$BE28+20))-2*STDEVP(INDEX(終値!$E28:$CZ28,1,$BE28+1):INDEX(終値!$E28:$CZ28,1,$BE28+20)))</f>
        <v>4991.962631633096</v>
      </c>
      <c r="BL28" s="503">
        <f t="shared" si="3"/>
        <v>4</v>
      </c>
      <c r="BM28" s="503">
        <f t="shared" si="4"/>
        <v>4</v>
      </c>
      <c r="BN28" s="503">
        <f t="shared" si="5"/>
        <v>7</v>
      </c>
      <c r="BO28" s="503">
        <f>IF($BM28="","",INDEX(高値!$E28:$CZ28,1,$BM28+1))</f>
        <v>6503</v>
      </c>
      <c r="BP28" s="503">
        <f>IF($BN28="","",INDEX(高値!$E28:$CZ28,1,$BN28+1))</f>
        <v>6680</v>
      </c>
      <c r="BQ28" s="503">
        <f>IF($BN28="","",MIN(INDEX(安値!$E28:$CZ28,1,$BM28+1):INDEX(安値!$E28:$CZ28,1,$BN28+1)))</f>
        <v>6274</v>
      </c>
      <c r="BR28" s="503">
        <f>IF($BN28="","",AVERAGE(INDEX(終値!$E28:$CZ28,1,$BN28+1):INDEX(終値!$E28:$CZ28,1,$BN28+20))+2*STDEVP(INDEX(終値!$E28:$CZ28,1,$BN28+1):INDEX(終値!$E28:$CZ28,1,$BN28+20)))</f>
        <v>7506.6588181287325</v>
      </c>
      <c r="BS28" s="503">
        <f>IF($BM28="","",AVERAGE(INDEX(終値!$E28:$CZ28,1,$BM28+1):INDEX(終値!$E28:$CZ28,1,$BM28+20))+2*STDEVP(INDEX(終値!$E28:$CZ28,1,$BM28+1):INDEX(終値!$E28:$CZ28,1,$BM28+20)))</f>
        <v>7545.2169667102571</v>
      </c>
      <c r="BT28" s="500"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二番天井M▼</v>
      </c>
    </row>
    <row r="29" spans="2:72">
      <c r="B29" s="503" t="str">
        <f>IF(終値!A29="","",IF(AND(安値!G29&lt;安値!F29,安値!G29&lt;安値!E29,安値!G29&lt;安値!H29,安値!G29&lt;安値!I29),2,""))</f>
        <v/>
      </c>
      <c r="C29" s="503">
        <f>IF(終値!A29="","",IF(AND(安値!H29&lt;安値!G29,安値!H29&lt;安値!F29,安値!H29&lt;安値!I29,安値!H29&lt;安値!J29),3,""))</f>
        <v>3</v>
      </c>
      <c r="D29" s="503" t="str">
        <f>IF(終値!A29="","",IF(AND(安値!I29&lt;安値!H29,安値!I29&lt;安値!G29,安値!I29&lt;安値!J29,安値!I29&lt;安値!K29),4,""))</f>
        <v/>
      </c>
      <c r="E29" s="503" t="str">
        <f>IF(終値!A29="","",IF(AND(安値!J29&lt;安値!I29,安値!J29&lt;安値!H29,安値!J29&lt;安値!K29,安値!J29&lt;安値!L29),5,""))</f>
        <v/>
      </c>
      <c r="F29" s="503" t="str">
        <f>IF(終値!A29="","",IF(AND(安値!K29&lt;安値!J29,安値!K29&lt;安値!I29,安値!K29&lt;安値!L29,安値!K29&lt;安値!M29),6,""))</f>
        <v/>
      </c>
      <c r="G29" s="503">
        <f>IF(終値!A29="","",IF(AND(安値!L29&lt;安値!K29,安値!L29&lt;安値!J29,安値!L29&lt;安値!M29,安値!L29&lt;安値!N29),7,""))</f>
        <v>7</v>
      </c>
      <c r="H29" s="503" t="str">
        <f>IF(終値!A29="","",IF(AND(安値!M29&lt;安値!L29,安値!M29&lt;安値!K29,安値!M29&lt;安値!N29,安値!M29&lt;安値!O29),8,""))</f>
        <v/>
      </c>
      <c r="I29" s="503" t="str">
        <f>IF(終値!A29="","",IF(AND(安値!N29&lt;安値!M29,安値!N29&lt;安値!L29,安値!N29&lt;安値!O29,安値!N29&lt;安値!P29),9,""))</f>
        <v/>
      </c>
      <c r="J29" s="503" t="str">
        <f>IF(終値!A29="","",IF(AND(安値!O29&lt;安値!N29,安値!O29&lt;安値!M29,安値!O29&lt;安値!P29,安値!O29&lt;安値!Q29),10,""))</f>
        <v/>
      </c>
      <c r="K29" s="503" t="str">
        <f>IF(終値!A29="","",IF(AND(安値!P29&lt;安値!O29,安値!P29&lt;安値!N29,安値!P29&lt;安値!Q29,安値!P29&lt;安値!R29),11,""))</f>
        <v/>
      </c>
      <c r="L29" s="503" t="str">
        <f>IF(終値!A29="","",IF(AND(安値!Q29&lt;安値!P29,安値!Q29&lt;安値!O29,安値!Q29&lt;安値!R29,安値!Q29&lt;安値!S29),12,""))</f>
        <v/>
      </c>
      <c r="M29" s="503">
        <f>IF(終値!A29="","",IF(AND(安値!R29&lt;安値!Q29,安値!R29&lt;安値!P29,安値!R29&lt;安値!S29,安値!R29&lt;安値!T29),13,""))</f>
        <v>13</v>
      </c>
      <c r="N29" s="503" t="str">
        <f>IF(終値!A29="","",IF(AND(安値!S29&lt;安値!R29,安値!S29&lt;安値!Q29,安値!S29&lt;安値!T29,安値!S29&lt;安値!U29),14,""))</f>
        <v/>
      </c>
      <c r="O29" s="503" t="str">
        <f>IF(終値!A29="","",IF(AND(安値!T29&lt;安値!S29,安値!T29&lt;安値!R29,安値!T29&lt;安値!U29,安値!T29&lt;安値!V29),15,""))</f>
        <v/>
      </c>
      <c r="P29" s="503" t="str">
        <f>IF(終値!A29="","",IF(AND(安値!U29&lt;安値!T29,安値!U29&lt;安値!S29,安値!U29&lt;安値!V29,安値!U29&lt;安値!W29),16,""))</f>
        <v/>
      </c>
      <c r="Q29" s="503">
        <f>IF(終値!A29="","",IF(AND(安値!V29&lt;安値!U29,安値!V29&lt;安値!T29,安値!V29&lt;安値!W29,安値!V29&lt;安値!X29),17,""))</f>
        <v>17</v>
      </c>
      <c r="R29" s="503" t="str">
        <f>IF(終値!A29="","",IF(AND(安値!W29&lt;安値!V29,安値!W29&lt;安値!U29,安値!W29&lt;安値!X29,安値!W29&lt;安値!Y29),18,""))</f>
        <v/>
      </c>
      <c r="S29" s="503" t="str">
        <f>IF(終値!A29="","",IF(AND(安値!X29&lt;安値!W29,安値!X29&lt;安値!V29,安値!X29&lt;安値!Y29,安値!X29&lt;安値!Z29),19,""))</f>
        <v/>
      </c>
      <c r="T29" s="503" t="str">
        <f>IF(終値!A29="","",IF(AND(安値!Y29&lt;安値!X29,安値!Y29&lt;安値!W29,安値!Y29&lt;安値!Z29,安値!Y29&lt;安値!AA29),20,""))</f>
        <v/>
      </c>
      <c r="U29" s="503" t="str">
        <f>IF(終値!A29="","",IF(AND(安値!Z29&lt;安値!Y29,安値!Z29&lt;安値!X29,安値!Z29&lt;安値!AA29,安値!Z29&lt;安値!AB29),21,""))</f>
        <v/>
      </c>
      <c r="V29" s="503" t="str">
        <f>IF(終値!A29="","",IF(AND(安値!AA29&lt;安値!Z29,安値!AA29&lt;安値!Y29,安値!AA29&lt;安値!AB29,安値!AA29&lt;安値!AC29),22,""))</f>
        <v/>
      </c>
      <c r="W29" s="503" t="str">
        <f>IF(終値!A29="","",IF(AND(安値!AB29&lt;安値!AA29,安値!AB29&lt;安値!Z29,安値!AB29&lt;安値!AC29,安値!AB29&lt;安値!AD29),23,""))</f>
        <v/>
      </c>
      <c r="X29" s="503" t="str">
        <f>IF(終値!A29="","",IF(AND(安値!AC29&lt;安値!AB29,安値!AC29&lt;安値!AA29,安値!AC29&lt;安値!AD29,安値!AC29&lt;安値!AE29),24,""))</f>
        <v/>
      </c>
      <c r="Y29" s="503">
        <f>IF(終値!A29="","",IF(AND(安値!AD29&lt;安値!AC29,安値!AD29&lt;安値!AB29,安値!AD29&lt;安値!AE29,安値!AD29&lt;安値!AF29),25,""))</f>
        <v>25</v>
      </c>
      <c r="Z29" s="503" t="str">
        <f>IF(終値!A29="","",IF(AND(安値!AE29&lt;安値!AD29,安値!AE29&lt;安値!AC29,安値!AE29&lt;安値!AF29,安値!AE29&lt;安値!AG29),26,""))</f>
        <v/>
      </c>
      <c r="AA29" s="503" t="str">
        <f>IF(終値!A29="","",IF(AND(安値!AF29&lt;安値!AE29,安値!AF29&lt;安値!AD29,安値!AF29&lt;安値!AG29,安値!AF29&lt;安値!AH29),27,""))</f>
        <v/>
      </c>
      <c r="AB29" s="503" t="str">
        <f>IF(終値!A29="","",IF(AND(安値!AG29&lt;安値!AF29,安値!AG29&lt;安値!AE29,安値!AG29&lt;安値!AH29,安値!AG29&lt;安値!AI29),28,""))</f>
        <v/>
      </c>
      <c r="AC29" s="503" t="str">
        <f>IF(終値!A29="","",IF(AND(高値!G29&gt;高値!F29,高値!G29&gt;高値!E29,高値!G29&gt;高値!H29,高値!G29&gt;高値!I29),2,""))</f>
        <v/>
      </c>
      <c r="AD29" s="503" t="str">
        <f>IF(終値!A29="","",IF(AND(高値!H29&gt;高値!G29,高値!H29&gt;高値!F29,高値!H29&gt;高値!I29,高値!H29&gt;高値!J29),3,""))</f>
        <v/>
      </c>
      <c r="AE29" s="503">
        <f>IF(終値!A29="","",IF(AND(高値!I29&gt;高値!H29,高値!I29&gt;高値!G29,高値!I29&gt;高値!J29,高値!I29&gt;高値!K29),4,""))</f>
        <v>4</v>
      </c>
      <c r="AF29" s="503" t="str">
        <f>IF(終値!A29="","",IF(AND(高値!J29&gt;高値!I29,高値!J29&gt;高値!H29,高値!J29&gt;高値!K29,高値!J29&gt;高値!L29),5,""))</f>
        <v/>
      </c>
      <c r="AG29" s="503" t="str">
        <f>IF(終値!A29="","",IF(AND(高値!K29&gt;高値!J29,高値!K29&gt;高値!I29,高値!K29&gt;高値!L29,高値!K29&gt;高値!M29),6,""))</f>
        <v/>
      </c>
      <c r="AH29" s="503" t="str">
        <f>IF(終値!A29="","",IF(AND(高値!L29&gt;高値!K29,高値!L29&gt;高値!J29,高値!L29&gt;高値!M29,高値!L29&gt;高値!N29),7,""))</f>
        <v/>
      </c>
      <c r="AI29" s="503" t="str">
        <f>IF(終値!A29="","",IF(AND(高値!M29&gt;高値!L29,高値!M29&gt;高値!K29,高値!M29&gt;高値!N29,高値!M29&gt;高値!O29),8,""))</f>
        <v/>
      </c>
      <c r="AJ29" s="503">
        <f>IF(終値!A29="","",IF(AND(高値!N29&gt;高値!M29,高値!N29&gt;高値!L29,高値!N29&gt;高値!O29,高値!N29&gt;高値!P29),9,""))</f>
        <v>9</v>
      </c>
      <c r="AK29" s="503" t="str">
        <f>IF(終値!A29="","",IF(AND(高値!O29&gt;高値!N29,高値!O29&gt;高値!M29,高値!O29&gt;高値!P29,高値!O29&gt;高値!Q29),10,""))</f>
        <v/>
      </c>
      <c r="AL29" s="503" t="str">
        <f>IF(終値!A29="","",IF(AND(高値!P29&gt;高値!O29,高値!P29&gt;高値!N29,高値!P29&gt;高値!Q29,高値!P29&gt;高値!R29),11,""))</f>
        <v/>
      </c>
      <c r="AM29" s="503" t="str">
        <f>IF(終値!A29="","",IF(AND(高値!Q29&gt;高値!P29,高値!Q29&gt;高値!O29,高値!Q29&gt;高値!R29,高値!Q29&gt;高値!S29),12,""))</f>
        <v/>
      </c>
      <c r="AN29" s="503" t="str">
        <f>IF(終値!A29="","",IF(AND(高値!R29&gt;高値!Q29,高値!R29&gt;高値!P29,高値!R29&gt;高値!S29,高値!R29&gt;高値!T29),13,""))</f>
        <v/>
      </c>
      <c r="AO29" s="503" t="str">
        <f>IF(終値!A29="","",IF(AND(高値!S29&gt;高値!R29,高値!S29&gt;高値!Q29,高値!S29&gt;高値!T29,高値!S29&gt;高値!U29),14,""))</f>
        <v/>
      </c>
      <c r="AP29" s="503" t="str">
        <f>IF(終値!A29="","",IF(AND(高値!T29&gt;高値!S29,高値!T29&gt;高値!R29,高値!T29&gt;高値!U29,高値!T29&gt;高値!V29),15,""))</f>
        <v/>
      </c>
      <c r="AQ29" s="503" t="str">
        <f>IF(終値!A29="","",IF(AND(高値!U29&gt;高値!T29,高値!U29&gt;高値!S29,高値!U29&gt;高値!V29,高値!U29&gt;高値!W29),16,""))</f>
        <v/>
      </c>
      <c r="AR29" s="503" t="str">
        <f>IF(終値!A29="","",IF(AND(高値!V29&gt;高値!U29,高値!V29&gt;高値!T29,高値!V29&gt;高値!W29,高値!V29&gt;高値!X29),17,""))</f>
        <v/>
      </c>
      <c r="AS29" s="503" t="str">
        <f>IF(終値!A29="","",IF(AND(高値!W29&gt;高値!V29,高値!W29&gt;高値!U29,高値!W29&gt;高値!X29,高値!W29&gt;高値!Y29),18,""))</f>
        <v/>
      </c>
      <c r="AT29" s="503" t="str">
        <f>IF(終値!A29="","",IF(AND(高値!X29&gt;高値!W29,高値!X29&gt;高値!V29,高値!X29&gt;高値!Y29,高値!X29&gt;高値!Z29),19,""))</f>
        <v/>
      </c>
      <c r="AU29" s="503">
        <f>IF(終値!A29="","",IF(AND(高値!Y29&gt;高値!X29,高値!Y29&gt;高値!W29,高値!Y29&gt;高値!Z29,高値!Y29&gt;高値!AA29),20,""))</f>
        <v>20</v>
      </c>
      <c r="AV29" s="503" t="str">
        <f>IF(終値!A29="","",IF(AND(高値!Z29&gt;高値!Y29,高値!Z29&gt;高値!X29,高値!Z29&gt;高値!AA29,高値!Z29&gt;高値!AB29),21,""))</f>
        <v/>
      </c>
      <c r="AW29" s="503" t="str">
        <f>IF(終値!A29="","",IF(AND(高値!AA29&gt;高値!Z29,高値!AA29&gt;高値!Y29,高値!AA29&gt;高値!AB29,高値!AA29&gt;高値!AC29),22,""))</f>
        <v/>
      </c>
      <c r="AX29" s="503" t="str">
        <f>IF(終値!A29="","",IF(AND(高値!AB29&gt;高値!AA29,高値!AB29&gt;高値!Z29,高値!AB29&gt;高値!AC29,高値!AB29&gt;高値!AD29),23,""))</f>
        <v/>
      </c>
      <c r="AY29" s="503" t="str">
        <f>IF(終値!A29="","",IF(AND(高値!AC29&gt;高値!AB29,高値!AC29&gt;高値!AA29,高値!AC29&gt;高値!AD29,高値!AC29&gt;高値!AE29),24,""))</f>
        <v/>
      </c>
      <c r="AZ29" s="503" t="str">
        <f>IF(終値!A29="","",IF(AND(高値!AD29&gt;高値!AC29,高値!AD29&gt;高値!AB29,高値!AD29&gt;高値!AE29,高値!AD29&gt;高値!AF29),25,""))</f>
        <v/>
      </c>
      <c r="BA29" s="503" t="str">
        <f>IF(終値!A29="","",IF(AND(高値!AE29&gt;高値!AD29,高値!AE29&gt;高値!AC29,高値!AE29&gt;高値!AF29,高値!AE29&gt;高値!AG29),26,""))</f>
        <v/>
      </c>
      <c r="BB29" s="503" t="str">
        <f>IF(終値!A29="","",IF(AND(高値!AF29&gt;高値!AE29,高値!AF29&gt;高値!AD29,高値!AF29&gt;高値!AG29,高値!AF29&gt;高値!AH29),27,""))</f>
        <v/>
      </c>
      <c r="BC29" s="503" t="str">
        <f>IF(終値!A29="","",IF(AND(高値!AG29&gt;高値!AF29,高値!AG29&gt;高値!AE29,高値!AG29&gt;高値!AH29,高値!AG29&gt;高値!AI29),28,""))</f>
        <v/>
      </c>
      <c r="BD29" s="503">
        <f t="shared" si="0"/>
        <v>5</v>
      </c>
      <c r="BE29" s="503">
        <f t="shared" si="1"/>
        <v>3</v>
      </c>
      <c r="BF29" s="503">
        <f t="shared" si="2"/>
        <v>7</v>
      </c>
      <c r="BG29" s="503">
        <f>IF($BE29="","",INDEX(安値!$E29:$CZ29,1,$BE29+1))</f>
        <v>1266.5</v>
      </c>
      <c r="BH29" s="503">
        <f>IF($BF29="","",INDEX(安値!$E29:$CZ29,1,$BF29+1))</f>
        <v>1288</v>
      </c>
      <c r="BI29" s="503">
        <f>IF($BF29="","",MAX(INDEX(高値!$E29:$CZ29,1,$BE29+1):INDEX(高値!$E29:$CZ29,1,$BF29+1)))</f>
        <v>1340</v>
      </c>
      <c r="BJ29" s="503">
        <f>IF($BF29="","",AVERAGE(INDEX(終値!$E29:$CZ29,1,$BF29+1):INDEX(終値!$E29:$CZ29,1,$BF29+20))-2*STDEVP(INDEX(終値!$E29:$CZ29,1,$BF29+1):INDEX(終値!$E29:$CZ29,1,$BF29+20)))</f>
        <v>1178.5722670697069</v>
      </c>
      <c r="BK29" s="503">
        <f>IF($BE29="","",AVERAGE(INDEX(終値!$E29:$CZ29,1,$BE29+1):INDEX(終値!$E29:$CZ29,1,$BE29+20))-2*STDEVP(INDEX(終値!$E29:$CZ29,1,$BE29+1):INDEX(終値!$E29:$CZ29,1,$BE29+20)))</f>
        <v>1215.749651358286</v>
      </c>
      <c r="BL29" s="503">
        <f t="shared" si="3"/>
        <v>3</v>
      </c>
      <c r="BM29" s="503">
        <f t="shared" si="4"/>
        <v>4</v>
      </c>
      <c r="BN29" s="503">
        <f t="shared" si="5"/>
        <v>9</v>
      </c>
      <c r="BO29" s="503">
        <f>IF($BM29="","",INDEX(高値!$E29:$CZ29,1,$BM29+1))</f>
        <v>1340</v>
      </c>
      <c r="BP29" s="503">
        <f>IF($BN29="","",INDEX(高値!$E29:$CZ29,1,$BN29+1))</f>
        <v>1342</v>
      </c>
      <c r="BQ29" s="503">
        <f>IF($BN29="","",MIN(INDEX(安値!$E29:$CZ29,1,$BM29+1):INDEX(安値!$E29:$CZ29,1,$BN29+1)))</f>
        <v>1288</v>
      </c>
      <c r="BR29" s="503">
        <f>IF($BN29="","",AVERAGE(INDEX(終値!$E29:$CZ29,1,$BN29+1):INDEX(終値!$E29:$CZ29,1,$BN29+20))+2*STDEVP(INDEX(終値!$E29:$CZ29,1,$BN29+1):INDEX(終値!$E29:$CZ29,1,$BN29+20)))</f>
        <v>1335.5007260915866</v>
      </c>
      <c r="BS29" s="503">
        <f>IF($BM29="","",AVERAGE(INDEX(終値!$E29:$CZ29,1,$BM29+1):INDEX(終値!$E29:$CZ29,1,$BM29+20))+2*STDEVP(INDEX(終値!$E29:$CZ29,1,$BM29+1):INDEX(終値!$E29:$CZ29,1,$BM29+20)))</f>
        <v>1351.6740981994253</v>
      </c>
      <c r="BT29" s="500"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3" t="str">
        <f>IF(終値!A30="","",IF(AND(安値!G30&lt;安値!F30,安値!G30&lt;安値!E30,安値!G30&lt;安値!H30,安値!G30&lt;安値!I30),2,""))</f>
        <v/>
      </c>
      <c r="C30" s="503" t="str">
        <f>IF(終値!A30="","",IF(AND(安値!H30&lt;安値!G30,安値!H30&lt;安値!F30,安値!H30&lt;安値!I30,安値!H30&lt;安値!J30),3,""))</f>
        <v/>
      </c>
      <c r="D30" s="503" t="str">
        <f>IF(終値!A30="","",IF(AND(安値!I30&lt;安値!H30,安値!I30&lt;安値!G30,安値!I30&lt;安値!J30,安値!I30&lt;安値!K30),4,""))</f>
        <v/>
      </c>
      <c r="E30" s="503">
        <f>IF(終値!A30="","",IF(AND(安値!J30&lt;安値!I30,安値!J30&lt;安値!H30,安値!J30&lt;安値!K30,安値!J30&lt;安値!L30),5,""))</f>
        <v>5</v>
      </c>
      <c r="F30" s="503" t="str">
        <f>IF(終値!A30="","",IF(AND(安値!K30&lt;安値!J30,安値!K30&lt;安値!I30,安値!K30&lt;安値!L30,安値!K30&lt;安値!M30),6,""))</f>
        <v/>
      </c>
      <c r="G30" s="503" t="str">
        <f>IF(終値!A30="","",IF(AND(安値!L30&lt;安値!K30,安値!L30&lt;安値!J30,安値!L30&lt;安値!M30,安値!L30&lt;安値!N30),7,""))</f>
        <v/>
      </c>
      <c r="H30" s="503" t="str">
        <f>IF(終値!A30="","",IF(AND(安値!M30&lt;安値!L30,安値!M30&lt;安値!K30,安値!M30&lt;安値!N30,安値!M30&lt;安値!O30),8,""))</f>
        <v/>
      </c>
      <c r="I30" s="503" t="str">
        <f>IF(終値!A30="","",IF(AND(安値!N30&lt;安値!M30,安値!N30&lt;安値!L30,安値!N30&lt;安値!O30,安値!N30&lt;安値!P30),9,""))</f>
        <v/>
      </c>
      <c r="J30" s="503" t="str">
        <f>IF(終値!A30="","",IF(AND(安値!O30&lt;安値!N30,安値!O30&lt;安値!M30,安値!O30&lt;安値!P30,安値!O30&lt;安値!Q30),10,""))</f>
        <v/>
      </c>
      <c r="K30" s="503" t="str">
        <f>IF(終値!A30="","",IF(AND(安値!P30&lt;安値!O30,安値!P30&lt;安値!N30,安値!P30&lt;安値!Q30,安値!P30&lt;安値!R30),11,""))</f>
        <v/>
      </c>
      <c r="L30" s="503" t="str">
        <f>IF(終値!A30="","",IF(AND(安値!Q30&lt;安値!P30,安値!Q30&lt;安値!O30,安値!Q30&lt;安値!R30,安値!Q30&lt;安値!S30),12,""))</f>
        <v/>
      </c>
      <c r="M30" s="503">
        <f>IF(終値!A30="","",IF(AND(安値!R30&lt;安値!Q30,安値!R30&lt;安値!P30,安値!R30&lt;安値!S30,安値!R30&lt;安値!T30),13,""))</f>
        <v>13</v>
      </c>
      <c r="N30" s="503" t="str">
        <f>IF(終値!A30="","",IF(AND(安値!S30&lt;安値!R30,安値!S30&lt;安値!Q30,安値!S30&lt;安値!T30,安値!S30&lt;安値!U30),14,""))</f>
        <v/>
      </c>
      <c r="O30" s="503" t="str">
        <f>IF(終値!A30="","",IF(AND(安値!T30&lt;安値!S30,安値!T30&lt;安値!R30,安値!T30&lt;安値!U30,安値!T30&lt;安値!V30),15,""))</f>
        <v/>
      </c>
      <c r="P30" s="503" t="str">
        <f>IF(終値!A30="","",IF(AND(安値!U30&lt;安値!T30,安値!U30&lt;安値!S30,安値!U30&lt;安値!V30,安値!U30&lt;安値!W30),16,""))</f>
        <v/>
      </c>
      <c r="Q30" s="503" t="str">
        <f>IF(終値!A30="","",IF(AND(安値!V30&lt;安値!U30,安値!V30&lt;安値!T30,安値!V30&lt;安値!W30,安値!V30&lt;安値!X30),17,""))</f>
        <v/>
      </c>
      <c r="R30" s="503" t="str">
        <f>IF(終値!A30="","",IF(AND(安値!W30&lt;安値!V30,安値!W30&lt;安値!U30,安値!W30&lt;安値!X30,安値!W30&lt;安値!Y30),18,""))</f>
        <v/>
      </c>
      <c r="S30" s="503">
        <f>IF(終値!A30="","",IF(AND(安値!X30&lt;安値!W30,安値!X30&lt;安値!V30,安値!X30&lt;安値!Y30,安値!X30&lt;安値!Z30),19,""))</f>
        <v>19</v>
      </c>
      <c r="T30" s="503" t="str">
        <f>IF(終値!A30="","",IF(AND(安値!Y30&lt;安値!X30,安値!Y30&lt;安値!W30,安値!Y30&lt;安値!Z30,安値!Y30&lt;安値!AA30),20,""))</f>
        <v/>
      </c>
      <c r="U30" s="503" t="str">
        <f>IF(終値!A30="","",IF(AND(安値!Z30&lt;安値!Y30,安値!Z30&lt;安値!X30,安値!Z30&lt;安値!AA30,安値!Z30&lt;安値!AB30),21,""))</f>
        <v/>
      </c>
      <c r="V30" s="503" t="str">
        <f>IF(終値!A30="","",IF(AND(安値!AA30&lt;安値!Z30,安値!AA30&lt;安値!Y30,安値!AA30&lt;安値!AB30,安値!AA30&lt;安値!AC30),22,""))</f>
        <v/>
      </c>
      <c r="W30" s="503" t="str">
        <f>IF(終値!A30="","",IF(AND(安値!AB30&lt;安値!AA30,安値!AB30&lt;安値!Z30,安値!AB30&lt;安値!AC30,安値!AB30&lt;安値!AD30),23,""))</f>
        <v/>
      </c>
      <c r="X30" s="503" t="str">
        <f>IF(終値!A30="","",IF(AND(安値!AC30&lt;安値!AB30,安値!AC30&lt;安値!AA30,安値!AC30&lt;安値!AD30,安値!AC30&lt;安値!AE30),24,""))</f>
        <v/>
      </c>
      <c r="Y30" s="503" t="str">
        <f>IF(終値!A30="","",IF(AND(安値!AD30&lt;安値!AC30,安値!AD30&lt;安値!AB30,安値!AD30&lt;安値!AE30,安値!AD30&lt;安値!AF30),25,""))</f>
        <v/>
      </c>
      <c r="Z30" s="503">
        <f>IF(終値!A30="","",IF(AND(安値!AE30&lt;安値!AD30,安値!AE30&lt;安値!AC30,安値!AE30&lt;安値!AF30,安値!AE30&lt;安値!AG30),26,""))</f>
        <v>26</v>
      </c>
      <c r="AA30" s="503" t="str">
        <f>IF(終値!A30="","",IF(AND(安値!AF30&lt;安値!AE30,安値!AF30&lt;安値!AD30,安値!AF30&lt;安値!AG30,安値!AF30&lt;安値!AH30),27,""))</f>
        <v/>
      </c>
      <c r="AB30" s="503" t="str">
        <f>IF(終値!A30="","",IF(AND(安値!AG30&lt;安値!AF30,安値!AG30&lt;安値!AE30,安値!AG30&lt;安値!AH30,安値!AG30&lt;安値!AI30),28,""))</f>
        <v/>
      </c>
      <c r="AC30" s="503" t="str">
        <f>IF(終値!A30="","",IF(AND(高値!G30&gt;高値!F30,高値!G30&gt;高値!E30,高値!G30&gt;高値!H30,高値!G30&gt;高値!I30),2,""))</f>
        <v/>
      </c>
      <c r="AD30" s="503" t="str">
        <f>IF(終値!A30="","",IF(AND(高値!H30&gt;高値!G30,高値!H30&gt;高値!F30,高値!H30&gt;高値!I30,高値!H30&gt;高値!J30),3,""))</f>
        <v/>
      </c>
      <c r="AE30" s="503" t="str">
        <f>IF(終値!A30="","",IF(AND(高値!I30&gt;高値!H30,高値!I30&gt;高値!G30,高値!I30&gt;高値!J30,高値!I30&gt;高値!K30),4,""))</f>
        <v/>
      </c>
      <c r="AF30" s="503" t="str">
        <f>IF(終値!A30="","",IF(AND(高値!J30&gt;高値!I30,高値!J30&gt;高値!H30,高値!J30&gt;高値!K30,高値!J30&gt;高値!L30),5,""))</f>
        <v/>
      </c>
      <c r="AG30" s="503" t="str">
        <f>IF(終値!A30="","",IF(AND(高値!K30&gt;高値!J30,高値!K30&gt;高値!I30,高値!K30&gt;高値!L30,高値!K30&gt;高値!M30),6,""))</f>
        <v/>
      </c>
      <c r="AH30" s="503" t="str">
        <f>IF(終値!A30="","",IF(AND(高値!L30&gt;高値!K30,高値!L30&gt;高値!J30,高値!L30&gt;高値!M30,高値!L30&gt;高値!N30),7,""))</f>
        <v/>
      </c>
      <c r="AI30" s="503" t="str">
        <f>IF(終値!A30="","",IF(AND(高値!M30&gt;高値!L30,高値!M30&gt;高値!K30,高値!M30&gt;高値!N30,高値!M30&gt;高値!O30),8,""))</f>
        <v/>
      </c>
      <c r="AJ30" s="503" t="str">
        <f>IF(終値!A30="","",IF(AND(高値!N30&gt;高値!M30,高値!N30&gt;高値!L30,高値!N30&gt;高値!O30,高値!N30&gt;高値!P30),9,""))</f>
        <v/>
      </c>
      <c r="AK30" s="503">
        <f>IF(終値!A30="","",IF(AND(高値!O30&gt;高値!N30,高値!O30&gt;高値!M30,高値!O30&gt;高値!P30,高値!O30&gt;高値!Q30),10,""))</f>
        <v>10</v>
      </c>
      <c r="AL30" s="503" t="str">
        <f>IF(終値!A30="","",IF(AND(高値!P30&gt;高値!O30,高値!P30&gt;高値!N30,高値!P30&gt;高値!Q30,高値!P30&gt;高値!R30),11,""))</f>
        <v/>
      </c>
      <c r="AM30" s="503" t="str">
        <f>IF(終値!A30="","",IF(AND(高値!Q30&gt;高値!P30,高値!Q30&gt;高値!O30,高値!Q30&gt;高値!R30,高値!Q30&gt;高値!S30),12,""))</f>
        <v/>
      </c>
      <c r="AN30" s="503" t="str">
        <f>IF(終値!A30="","",IF(AND(高値!R30&gt;高値!Q30,高値!R30&gt;高値!P30,高値!R30&gt;高値!S30,高値!R30&gt;高値!T30),13,""))</f>
        <v/>
      </c>
      <c r="AO30" s="503" t="str">
        <f>IF(終値!A30="","",IF(AND(高値!S30&gt;高値!R30,高値!S30&gt;高値!Q30,高値!S30&gt;高値!T30,高値!S30&gt;高値!U30),14,""))</f>
        <v/>
      </c>
      <c r="AP30" s="503" t="str">
        <f>IF(終値!A30="","",IF(AND(高値!T30&gt;高値!S30,高値!T30&gt;高値!R30,高値!T30&gt;高値!U30,高値!T30&gt;高値!V30),15,""))</f>
        <v/>
      </c>
      <c r="AQ30" s="503" t="str">
        <f>IF(終値!A30="","",IF(AND(高値!U30&gt;高値!T30,高値!U30&gt;高値!S30,高値!U30&gt;高値!V30,高値!U30&gt;高値!W30),16,""))</f>
        <v/>
      </c>
      <c r="AR30" s="503">
        <f>IF(終値!A30="","",IF(AND(高値!V30&gt;高値!U30,高値!V30&gt;高値!T30,高値!V30&gt;高値!W30,高値!V30&gt;高値!X30),17,""))</f>
        <v>17</v>
      </c>
      <c r="AS30" s="503" t="str">
        <f>IF(終値!A30="","",IF(AND(高値!W30&gt;高値!V30,高値!W30&gt;高値!U30,高値!W30&gt;高値!X30,高値!W30&gt;高値!Y30),18,""))</f>
        <v/>
      </c>
      <c r="AT30" s="503" t="str">
        <f>IF(終値!A30="","",IF(AND(高値!X30&gt;高値!W30,高値!X30&gt;高値!V30,高値!X30&gt;高値!Y30,高値!X30&gt;高値!Z30),19,""))</f>
        <v/>
      </c>
      <c r="AU30" s="503" t="str">
        <f>IF(終値!A30="","",IF(AND(高値!Y30&gt;高値!X30,高値!Y30&gt;高値!W30,高値!Y30&gt;高値!Z30,高値!Y30&gt;高値!AA30),20,""))</f>
        <v/>
      </c>
      <c r="AV30" s="503">
        <f>IF(終値!A30="","",IF(AND(高値!Z30&gt;高値!Y30,高値!Z30&gt;高値!X30,高値!Z30&gt;高値!AA30,高値!Z30&gt;高値!AB30),21,""))</f>
        <v>21</v>
      </c>
      <c r="AW30" s="503" t="str">
        <f>IF(終値!A30="","",IF(AND(高値!AA30&gt;高値!Z30,高値!AA30&gt;高値!Y30,高値!AA30&gt;高値!AB30,高値!AA30&gt;高値!AC30),22,""))</f>
        <v/>
      </c>
      <c r="AX30" s="503" t="str">
        <f>IF(終値!A30="","",IF(AND(高値!AB30&gt;高値!AA30,高値!AB30&gt;高値!Z30,高値!AB30&gt;高値!AC30,高値!AB30&gt;高値!AD30),23,""))</f>
        <v/>
      </c>
      <c r="AY30" s="503">
        <f>IF(終値!A30="","",IF(AND(高値!AC30&gt;高値!AB30,高値!AC30&gt;高値!AA30,高値!AC30&gt;高値!AD30,高値!AC30&gt;高値!AE30),24,""))</f>
        <v>24</v>
      </c>
      <c r="AZ30" s="503" t="str">
        <f>IF(終値!A30="","",IF(AND(高値!AD30&gt;高値!AC30,高値!AD30&gt;高値!AB30,高値!AD30&gt;高値!AE30,高値!AD30&gt;高値!AF30),25,""))</f>
        <v/>
      </c>
      <c r="BA30" s="503" t="str">
        <f>IF(終値!A30="","",IF(AND(高値!AE30&gt;高値!AD30,高値!AE30&gt;高値!AC30,高値!AE30&gt;高値!AF30,高値!AE30&gt;高値!AG30),26,""))</f>
        <v/>
      </c>
      <c r="BB30" s="503" t="str">
        <f>IF(終値!A30="","",IF(AND(高値!AF30&gt;高値!AE30,高値!AF30&gt;高値!AD30,高値!AF30&gt;高値!AG30,高値!AF30&gt;高値!AH30),27,""))</f>
        <v/>
      </c>
      <c r="BC30" s="503" t="str">
        <f>IF(終値!A30="","",IF(AND(高値!AG30&gt;高値!AF30,高値!AG30&gt;高値!AE30,高値!AG30&gt;高値!AH30,高値!AG30&gt;高値!AI30),28,""))</f>
        <v/>
      </c>
      <c r="BD30" s="503">
        <f t="shared" si="0"/>
        <v>4</v>
      </c>
      <c r="BE30" s="503">
        <f t="shared" si="1"/>
        <v>5</v>
      </c>
      <c r="BF30" s="503">
        <f t="shared" si="2"/>
        <v>13</v>
      </c>
      <c r="BG30" s="503">
        <f>IF($BE30="","",INDEX(安値!$E30:$CZ30,1,$BE30+1))</f>
        <v>3380</v>
      </c>
      <c r="BH30" s="503">
        <f>IF($BF30="","",INDEX(安値!$E30:$CZ30,1,$BF30+1))</f>
        <v>3700</v>
      </c>
      <c r="BI30" s="503">
        <f>IF($BF30="","",MAX(INDEX(高値!$E30:$CZ30,1,$BE30+1):INDEX(高値!$E30:$CZ30,1,$BF30+1)))</f>
        <v>4345</v>
      </c>
      <c r="BJ30" s="503">
        <f>IF($BF30="","",AVERAGE(INDEX(終値!$E30:$CZ30,1,$BF30+1):INDEX(終値!$E30:$CZ30,1,$BF30+20))-2*STDEVP(INDEX(終値!$E30:$CZ30,1,$BF30+1):INDEX(終値!$E30:$CZ30,1,$BF30+20)))</f>
        <v>3946.0977229214982</v>
      </c>
      <c r="BK30" s="503">
        <f>IF($BE30="","",AVERAGE(INDEX(終値!$E30:$CZ30,1,$BE30+1):INDEX(終値!$E30:$CZ30,1,$BE30+20))-2*STDEVP(INDEX(終値!$E30:$CZ30,1,$BE30+1):INDEX(終値!$E30:$CZ30,1,$BE30+20)))</f>
        <v>3421.0558669332049</v>
      </c>
      <c r="BL30" s="503">
        <f t="shared" si="3"/>
        <v>4</v>
      </c>
      <c r="BM30" s="503">
        <f t="shared" si="4"/>
        <v>10</v>
      </c>
      <c r="BN30" s="503">
        <f t="shared" si="5"/>
        <v>17</v>
      </c>
      <c r="BO30" s="503">
        <f>IF($BM30="","",INDEX(高値!$E30:$CZ30,1,$BM30+1))</f>
        <v>4345</v>
      </c>
      <c r="BP30" s="503">
        <f>IF($BN30="","",INDEX(高値!$E30:$CZ30,1,$BN30+1))</f>
        <v>4730</v>
      </c>
      <c r="BQ30" s="503">
        <f>IF($BN30="","",MIN(INDEX(安値!$E30:$CZ30,1,$BM30+1):INDEX(安値!$E30:$CZ30,1,$BN30+1)))</f>
        <v>3700</v>
      </c>
      <c r="BR30" s="503">
        <f>IF($BN30="","",AVERAGE(INDEX(終値!$E30:$CZ30,1,$BN30+1):INDEX(終値!$E30:$CZ30,1,$BN30+20))+2*STDEVP(INDEX(終値!$E30:$CZ30,1,$BN30+1):INDEX(終値!$E30:$CZ30,1,$BN30+20)))</f>
        <v>5365.1876045827394</v>
      </c>
      <c r="BS30" s="503">
        <f>IF($BM30="","",AVERAGE(INDEX(終値!$E30:$CZ30,1,$BM30+1):INDEX(終値!$E30:$CZ30,1,$BM30+20))+2*STDEVP(INDEX(終値!$E30:$CZ30,1,$BM30+1):INDEX(終値!$E30:$CZ30,1,$BM30+20)))</f>
        <v>5221.8600862333733</v>
      </c>
      <c r="BT30" s="500"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3" t="str">
        <f>IF(終値!A31="","",IF(AND(安値!G31&lt;安値!F31,安値!G31&lt;安値!E31,安値!G31&lt;安値!H31,安値!G31&lt;安値!I31),2,""))</f>
        <v/>
      </c>
      <c r="C31" s="503">
        <f>IF(終値!A31="","",IF(AND(安値!H31&lt;安値!G31,安値!H31&lt;安値!F31,安値!H31&lt;安値!I31,安値!H31&lt;安値!J31),3,""))</f>
        <v>3</v>
      </c>
      <c r="D31" s="503" t="str">
        <f>IF(終値!A31="","",IF(AND(安値!I31&lt;安値!H31,安値!I31&lt;安値!G31,安値!I31&lt;安値!J31,安値!I31&lt;安値!K31),4,""))</f>
        <v/>
      </c>
      <c r="E31" s="503" t="str">
        <f>IF(終値!A31="","",IF(AND(安値!J31&lt;安値!I31,安値!J31&lt;安値!H31,安値!J31&lt;安値!K31,安値!J31&lt;安値!L31),5,""))</f>
        <v/>
      </c>
      <c r="F31" s="503" t="str">
        <f>IF(終値!A31="","",IF(AND(安値!K31&lt;安値!J31,安値!K31&lt;安値!I31,安値!K31&lt;安値!L31,安値!K31&lt;安値!M31),6,""))</f>
        <v/>
      </c>
      <c r="G31" s="503" t="str">
        <f>IF(終値!A31="","",IF(AND(安値!L31&lt;安値!K31,安値!L31&lt;安値!J31,安値!L31&lt;安値!M31,安値!L31&lt;安値!N31),7,""))</f>
        <v/>
      </c>
      <c r="H31" s="503" t="str">
        <f>IF(終値!A31="","",IF(AND(安値!M31&lt;安値!L31,安値!M31&lt;安値!K31,安値!M31&lt;安値!N31,安値!M31&lt;安値!O31),8,""))</f>
        <v/>
      </c>
      <c r="I31" s="503" t="str">
        <f>IF(終値!A31="","",IF(AND(安値!N31&lt;安値!M31,安値!N31&lt;安値!L31,安値!N31&lt;安値!O31,安値!N31&lt;安値!P31),9,""))</f>
        <v/>
      </c>
      <c r="J31" s="503" t="str">
        <f>IF(終値!A31="","",IF(AND(安値!O31&lt;安値!N31,安値!O31&lt;安値!M31,安値!O31&lt;安値!P31,安値!O31&lt;安値!Q31),10,""))</f>
        <v/>
      </c>
      <c r="K31" s="503" t="str">
        <f>IF(終値!A31="","",IF(AND(安値!P31&lt;安値!O31,安値!P31&lt;安値!N31,安値!P31&lt;安値!Q31,安値!P31&lt;安値!R31),11,""))</f>
        <v/>
      </c>
      <c r="L31" s="503" t="str">
        <f>IF(終値!A31="","",IF(AND(安値!Q31&lt;安値!P31,安値!Q31&lt;安値!O31,安値!Q31&lt;安値!R31,安値!Q31&lt;安値!S31),12,""))</f>
        <v/>
      </c>
      <c r="M31" s="503">
        <f>IF(終値!A31="","",IF(AND(安値!R31&lt;安値!Q31,安値!R31&lt;安値!P31,安値!R31&lt;安値!S31,安値!R31&lt;安値!T31),13,""))</f>
        <v>13</v>
      </c>
      <c r="N31" s="503" t="str">
        <f>IF(終値!A31="","",IF(AND(安値!S31&lt;安値!R31,安値!S31&lt;安値!Q31,安値!S31&lt;安値!T31,安値!S31&lt;安値!U31),14,""))</f>
        <v/>
      </c>
      <c r="O31" s="503" t="str">
        <f>IF(終値!A31="","",IF(AND(安値!T31&lt;安値!S31,安値!T31&lt;安値!R31,安値!T31&lt;安値!U31,安値!T31&lt;安値!V31),15,""))</f>
        <v/>
      </c>
      <c r="P31" s="503" t="str">
        <f>IF(終値!A31="","",IF(AND(安値!U31&lt;安値!T31,安値!U31&lt;安値!S31,安値!U31&lt;安値!V31,安値!U31&lt;安値!W31),16,""))</f>
        <v/>
      </c>
      <c r="Q31" s="503">
        <f>IF(終値!A31="","",IF(AND(安値!V31&lt;安値!U31,安値!V31&lt;安値!T31,安値!V31&lt;安値!W31,安値!V31&lt;安値!X31),17,""))</f>
        <v>17</v>
      </c>
      <c r="R31" s="503" t="str">
        <f>IF(終値!A31="","",IF(AND(安値!W31&lt;安値!V31,安値!W31&lt;安値!U31,安値!W31&lt;安値!X31,安値!W31&lt;安値!Y31),18,""))</f>
        <v/>
      </c>
      <c r="S31" s="503" t="str">
        <f>IF(終値!A31="","",IF(AND(安値!X31&lt;安値!W31,安値!X31&lt;安値!V31,安値!X31&lt;安値!Y31,安値!X31&lt;安値!Z31),19,""))</f>
        <v/>
      </c>
      <c r="T31" s="503" t="str">
        <f>IF(終値!A31="","",IF(AND(安値!Y31&lt;安値!X31,安値!Y31&lt;安値!W31,安値!Y31&lt;安値!Z31,安値!Y31&lt;安値!AA31),20,""))</f>
        <v/>
      </c>
      <c r="U31" s="503" t="str">
        <f>IF(終値!A31="","",IF(AND(安値!Z31&lt;安値!Y31,安値!Z31&lt;安値!X31,安値!Z31&lt;安値!AA31,安値!Z31&lt;安値!AB31),21,""))</f>
        <v/>
      </c>
      <c r="V31" s="503" t="str">
        <f>IF(終値!A31="","",IF(AND(安値!AA31&lt;安値!Z31,安値!AA31&lt;安値!Y31,安値!AA31&lt;安値!AB31,安値!AA31&lt;安値!AC31),22,""))</f>
        <v/>
      </c>
      <c r="W31" s="503" t="str">
        <f>IF(終値!A31="","",IF(AND(安値!AB31&lt;安値!AA31,安値!AB31&lt;安値!Z31,安値!AB31&lt;安値!AC31,安値!AB31&lt;安値!AD31),23,""))</f>
        <v/>
      </c>
      <c r="X31" s="503" t="str">
        <f>IF(終値!A31="","",IF(AND(安値!AC31&lt;安値!AB31,安値!AC31&lt;安値!AA31,安値!AC31&lt;安値!AD31,安値!AC31&lt;安値!AE31),24,""))</f>
        <v/>
      </c>
      <c r="Y31" s="503" t="str">
        <f>IF(終値!A31="","",IF(AND(安値!AD31&lt;安値!AC31,安値!AD31&lt;安値!AB31,安値!AD31&lt;安値!AE31,安値!AD31&lt;安値!AF31),25,""))</f>
        <v/>
      </c>
      <c r="Z31" s="503" t="str">
        <f>IF(終値!A31="","",IF(AND(安値!AE31&lt;安値!AD31,安値!AE31&lt;安値!AC31,安値!AE31&lt;安値!AF31,安値!AE31&lt;安値!AG31),26,""))</f>
        <v/>
      </c>
      <c r="AA31" s="503" t="str">
        <f>IF(終値!A31="","",IF(AND(安値!AF31&lt;安値!AE31,安値!AF31&lt;安値!AD31,安値!AF31&lt;安値!AG31,安値!AF31&lt;安値!AH31),27,""))</f>
        <v/>
      </c>
      <c r="AB31" s="503" t="str">
        <f>IF(終値!A31="","",IF(AND(安値!AG31&lt;安値!AF31,安値!AG31&lt;安値!AE31,安値!AG31&lt;安値!AH31,安値!AG31&lt;安値!AI31),28,""))</f>
        <v/>
      </c>
      <c r="AC31" s="503" t="str">
        <f>IF(終値!A31="","",IF(AND(高値!G31&gt;高値!F31,高値!G31&gt;高値!E31,高値!G31&gt;高値!H31,高値!G31&gt;高値!I31),2,""))</f>
        <v/>
      </c>
      <c r="AD31" s="503" t="str">
        <f>IF(終値!A31="","",IF(AND(高値!H31&gt;高値!G31,高値!H31&gt;高値!F31,高値!H31&gt;高値!I31,高値!H31&gt;高値!J31),3,""))</f>
        <v/>
      </c>
      <c r="AE31" s="503" t="str">
        <f>IF(終値!A31="","",IF(AND(高値!I31&gt;高値!H31,高値!I31&gt;高値!G31,高値!I31&gt;高値!J31,高値!I31&gt;高値!K31),4,""))</f>
        <v/>
      </c>
      <c r="AF31" s="503" t="str">
        <f>IF(終値!A31="","",IF(AND(高値!J31&gt;高値!I31,高値!J31&gt;高値!H31,高値!J31&gt;高値!K31,高値!J31&gt;高値!L31),5,""))</f>
        <v/>
      </c>
      <c r="AG31" s="503" t="str">
        <f>IF(終値!A31="","",IF(AND(高値!K31&gt;高値!J31,高値!K31&gt;高値!I31,高値!K31&gt;高値!L31,高値!K31&gt;高値!M31),6,""))</f>
        <v/>
      </c>
      <c r="AH31" s="503">
        <f>IF(終値!A31="","",IF(AND(高値!L31&gt;高値!K31,高値!L31&gt;高値!J31,高値!L31&gt;高値!M31,高値!L31&gt;高値!N31),7,""))</f>
        <v>7</v>
      </c>
      <c r="AI31" s="503" t="str">
        <f>IF(終値!A31="","",IF(AND(高値!M31&gt;高値!L31,高値!M31&gt;高値!K31,高値!M31&gt;高値!N31,高値!M31&gt;高値!O31),8,""))</f>
        <v/>
      </c>
      <c r="AJ31" s="503" t="str">
        <f>IF(終値!A31="","",IF(AND(高値!N31&gt;高値!M31,高値!N31&gt;高値!L31,高値!N31&gt;高値!O31,高値!N31&gt;高値!P31),9,""))</f>
        <v/>
      </c>
      <c r="AK31" s="503" t="str">
        <f>IF(終値!A31="","",IF(AND(高値!O31&gt;高値!N31,高値!O31&gt;高値!M31,高値!O31&gt;高値!P31,高値!O31&gt;高値!Q31),10,""))</f>
        <v/>
      </c>
      <c r="AL31" s="503" t="str">
        <f>IF(終値!A31="","",IF(AND(高値!P31&gt;高値!O31,高値!P31&gt;高値!N31,高値!P31&gt;高値!Q31,高値!P31&gt;高値!R31),11,""))</f>
        <v/>
      </c>
      <c r="AM31" s="503" t="str">
        <f>IF(終値!A31="","",IF(AND(高値!Q31&gt;高値!P31,高値!Q31&gt;高値!O31,高値!Q31&gt;高値!R31,高値!Q31&gt;高値!S31),12,""))</f>
        <v/>
      </c>
      <c r="AN31" s="503" t="str">
        <f>IF(終値!A31="","",IF(AND(高値!R31&gt;高値!Q31,高値!R31&gt;高値!P31,高値!R31&gt;高値!S31,高値!R31&gt;高値!T31),13,""))</f>
        <v/>
      </c>
      <c r="AO31" s="503">
        <f>IF(終値!A31="","",IF(AND(高値!S31&gt;高値!R31,高値!S31&gt;高値!Q31,高値!S31&gt;高値!T31,高値!S31&gt;高値!U31),14,""))</f>
        <v>14</v>
      </c>
      <c r="AP31" s="503" t="str">
        <f>IF(終値!A31="","",IF(AND(高値!T31&gt;高値!S31,高値!T31&gt;高値!R31,高値!T31&gt;高値!U31,高値!T31&gt;高値!V31),15,""))</f>
        <v/>
      </c>
      <c r="AQ31" s="503" t="str">
        <f>IF(終値!A31="","",IF(AND(高値!U31&gt;高値!T31,高値!U31&gt;高値!S31,高値!U31&gt;高値!V31,高値!U31&gt;高値!W31),16,""))</f>
        <v/>
      </c>
      <c r="AR31" s="503" t="str">
        <f>IF(終値!A31="","",IF(AND(高値!V31&gt;高値!U31,高値!V31&gt;高値!T31,高値!V31&gt;高値!W31,高値!V31&gt;高値!X31),17,""))</f>
        <v/>
      </c>
      <c r="AS31" s="503" t="str">
        <f>IF(終値!A31="","",IF(AND(高値!W31&gt;高値!V31,高値!W31&gt;高値!U31,高値!W31&gt;高値!X31,高値!W31&gt;高値!Y31),18,""))</f>
        <v/>
      </c>
      <c r="AT31" s="503">
        <f>IF(終値!A31="","",IF(AND(高値!X31&gt;高値!W31,高値!X31&gt;高値!V31,高値!X31&gt;高値!Y31,高値!X31&gt;高値!Z31),19,""))</f>
        <v>19</v>
      </c>
      <c r="AU31" s="503" t="str">
        <f>IF(終値!A31="","",IF(AND(高値!Y31&gt;高値!X31,高値!Y31&gt;高値!W31,高値!Y31&gt;高値!Z31,高値!Y31&gt;高値!AA31),20,""))</f>
        <v/>
      </c>
      <c r="AV31" s="503" t="str">
        <f>IF(終値!A31="","",IF(AND(高値!Z31&gt;高値!Y31,高値!Z31&gt;高値!X31,高値!Z31&gt;高値!AA31,高値!Z31&gt;高値!AB31),21,""))</f>
        <v/>
      </c>
      <c r="AW31" s="503" t="str">
        <f>IF(終値!A31="","",IF(AND(高値!AA31&gt;高値!Z31,高値!AA31&gt;高値!Y31,高値!AA31&gt;高値!AB31,高値!AA31&gt;高値!AC31),22,""))</f>
        <v/>
      </c>
      <c r="AX31" s="503" t="str">
        <f>IF(終値!A31="","",IF(AND(高値!AB31&gt;高値!AA31,高値!AB31&gt;高値!Z31,高値!AB31&gt;高値!AC31,高値!AB31&gt;高値!AD31),23,""))</f>
        <v/>
      </c>
      <c r="AY31" s="503" t="str">
        <f>IF(終値!A31="","",IF(AND(高値!AC31&gt;高値!AB31,高値!AC31&gt;高値!AA31,高値!AC31&gt;高値!AD31,高値!AC31&gt;高値!AE31),24,""))</f>
        <v/>
      </c>
      <c r="AZ31" s="503" t="str">
        <f>IF(終値!A31="","",IF(AND(高値!AD31&gt;高値!AC31,高値!AD31&gt;高値!AB31,高値!AD31&gt;高値!AE31,高値!AD31&gt;高値!AF31),25,""))</f>
        <v/>
      </c>
      <c r="BA31" s="503" t="str">
        <f>IF(終値!A31="","",IF(AND(高値!AE31&gt;高値!AD31,高値!AE31&gt;高値!AC31,高値!AE31&gt;高値!AF31,高値!AE31&gt;高値!AG31),26,""))</f>
        <v/>
      </c>
      <c r="BB31" s="503" t="str">
        <f>IF(終値!A31="","",IF(AND(高値!AF31&gt;高値!AE31,高値!AF31&gt;高値!AD31,高値!AF31&gt;高値!AG31,高値!AF31&gt;高値!AH31),27,""))</f>
        <v/>
      </c>
      <c r="BC31" s="503" t="str">
        <f>IF(終値!A31="","",IF(AND(高値!AG31&gt;高値!AF31,高値!AG31&gt;高値!AE31,高値!AG31&gt;高値!AH31,高値!AG31&gt;高値!AI31),28,""))</f>
        <v/>
      </c>
      <c r="BD31" s="503">
        <f t="shared" si="0"/>
        <v>3</v>
      </c>
      <c r="BE31" s="503">
        <f t="shared" si="1"/>
        <v>3</v>
      </c>
      <c r="BF31" s="503">
        <f t="shared" si="2"/>
        <v>13</v>
      </c>
      <c r="BG31" s="503">
        <f>IF($BE31="","",INDEX(安値!$E31:$CZ31,1,$BE31+1))</f>
        <v>1573.5</v>
      </c>
      <c r="BH31" s="503">
        <f>IF($BF31="","",INDEX(安値!$E31:$CZ31,1,$BF31+1))</f>
        <v>1590.5</v>
      </c>
      <c r="BI31" s="503">
        <f>IF($BF31="","",MAX(INDEX(高値!$E31:$CZ31,1,$BE31+1):INDEX(高値!$E31:$CZ31,1,$BF31+1)))</f>
        <v>1748.75</v>
      </c>
      <c r="BJ31" s="503">
        <f>IF($BF31="","",AVERAGE(INDEX(終値!$E31:$CZ31,1,$BF31+1):INDEX(終値!$E31:$CZ31,1,$BF31+20))-2*STDEVP(INDEX(終値!$E31:$CZ31,1,$BF31+1):INDEX(終値!$E31:$CZ31,1,$BF31+20)))</f>
        <v>1441.9445427586729</v>
      </c>
      <c r="BK31" s="503">
        <f>IF($BE31="","",AVERAGE(INDEX(終値!$E31:$CZ31,1,$BE31+1):INDEX(終値!$E31:$CZ31,1,$BE31+20))-2*STDEVP(INDEX(終値!$E31:$CZ31,1,$BE31+1):INDEX(終値!$E31:$CZ31,1,$BE31+20)))</f>
        <v>1591.0739167030008</v>
      </c>
      <c r="BL31" s="503">
        <f t="shared" si="3"/>
        <v>3</v>
      </c>
      <c r="BM31" s="503">
        <f t="shared" si="4"/>
        <v>7</v>
      </c>
      <c r="BN31" s="503">
        <f t="shared" si="5"/>
        <v>14</v>
      </c>
      <c r="BO31" s="503">
        <f>IF($BM31="","",INDEX(高値!$E31:$CZ31,1,$BM31+1))</f>
        <v>1748.75</v>
      </c>
      <c r="BP31" s="503">
        <f>IF($BN31="","",INDEX(高値!$E31:$CZ31,1,$BN31+1))</f>
        <v>1691.75</v>
      </c>
      <c r="BQ31" s="503">
        <f>IF($BN31="","",MIN(INDEX(安値!$E31:$CZ31,1,$BM31+1):INDEX(安値!$E31:$CZ31,1,$BN31+1)))</f>
        <v>1590.5</v>
      </c>
      <c r="BR31" s="503">
        <f>IF($BN31="","",AVERAGE(INDEX(終値!$E31:$CZ31,1,$BN31+1):INDEX(終値!$E31:$CZ31,1,$BN31+20))+2*STDEVP(INDEX(終値!$E31:$CZ31,1,$BN31+1):INDEX(終値!$E31:$CZ31,1,$BN31+20)))</f>
        <v>1710.7743033842312</v>
      </c>
      <c r="BS31" s="503">
        <f>IF($BM31="","",AVERAGE(INDEX(終値!$E31:$CZ31,1,$BM31+1):INDEX(終値!$E31:$CZ31,1,$BM31+20))+2*STDEVP(INDEX(終値!$E31:$CZ31,1,$BM31+1):INDEX(終値!$E31:$CZ31,1,$BM31+20)))</f>
        <v>1767.0051936936793</v>
      </c>
      <c r="BT31" s="500"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二番底W形成</v>
      </c>
    </row>
    <row r="32" spans="2:72">
      <c r="B32" s="503" t="str">
        <f>IF(終値!A32="","",IF(AND(安値!G32&lt;安値!F32,安値!G32&lt;安値!E32,安値!G32&lt;安値!H32,安値!G32&lt;安値!I32),2,""))</f>
        <v/>
      </c>
      <c r="C32" s="503" t="str">
        <f>IF(終値!A32="","",IF(AND(安値!H32&lt;安値!G32,安値!H32&lt;安値!F32,安値!H32&lt;安値!I32,安値!H32&lt;安値!J32),3,""))</f>
        <v/>
      </c>
      <c r="D32" s="503" t="str">
        <f>IF(終値!A32="","",IF(AND(安値!I32&lt;安値!H32,安値!I32&lt;安値!G32,安値!I32&lt;安値!J32,安値!I32&lt;安値!K32),4,""))</f>
        <v/>
      </c>
      <c r="E32" s="503" t="str">
        <f>IF(終値!A32="","",IF(AND(安値!J32&lt;安値!I32,安値!J32&lt;安値!H32,安値!J32&lt;安値!K32,安値!J32&lt;安値!L32),5,""))</f>
        <v/>
      </c>
      <c r="F32" s="503" t="str">
        <f>IF(終値!A32="","",IF(AND(安値!K32&lt;安値!J32,安値!K32&lt;安値!I32,安値!K32&lt;安値!L32,安値!K32&lt;安値!M32),6,""))</f>
        <v/>
      </c>
      <c r="G32" s="503" t="str">
        <f>IF(終値!A32="","",IF(AND(安値!L32&lt;安値!K32,安値!L32&lt;安値!J32,安値!L32&lt;安値!M32,安値!L32&lt;安値!N32),7,""))</f>
        <v/>
      </c>
      <c r="H32" s="503" t="str">
        <f>IF(終値!A32="","",IF(AND(安値!M32&lt;安値!L32,安値!M32&lt;安値!K32,安値!M32&lt;安値!N32,安値!M32&lt;安値!O32),8,""))</f>
        <v/>
      </c>
      <c r="I32" s="503" t="str">
        <f>IF(終値!A32="","",IF(AND(安値!N32&lt;安値!M32,安値!N32&lt;安値!L32,安値!N32&lt;安値!O32,安値!N32&lt;安値!P32),9,""))</f>
        <v/>
      </c>
      <c r="J32" s="503" t="str">
        <f>IF(終値!A32="","",IF(AND(安値!O32&lt;安値!N32,安値!O32&lt;安値!M32,安値!O32&lt;安値!P32,安値!O32&lt;安値!Q32),10,""))</f>
        <v/>
      </c>
      <c r="K32" s="503" t="str">
        <f>IF(終値!A32="","",IF(AND(安値!P32&lt;安値!O32,安値!P32&lt;安値!N32,安値!P32&lt;安値!Q32,安値!P32&lt;安値!R32),11,""))</f>
        <v/>
      </c>
      <c r="L32" s="503" t="str">
        <f>IF(終値!A32="","",IF(AND(安値!Q32&lt;安値!P32,安値!Q32&lt;安値!O32,安値!Q32&lt;安値!R32,安値!Q32&lt;安値!S32),12,""))</f>
        <v/>
      </c>
      <c r="M32" s="503" t="str">
        <f>IF(終値!A32="","",IF(AND(安値!R32&lt;安値!Q32,安値!R32&lt;安値!P32,安値!R32&lt;安値!S32,安値!R32&lt;安値!T32),13,""))</f>
        <v/>
      </c>
      <c r="N32" s="503" t="str">
        <f>IF(終値!A32="","",IF(AND(安値!S32&lt;安値!R32,安値!S32&lt;安値!Q32,安値!S32&lt;安値!T32,安値!S32&lt;安値!U32),14,""))</f>
        <v/>
      </c>
      <c r="O32" s="503" t="str">
        <f>IF(終値!A32="","",IF(AND(安値!T32&lt;安値!S32,安値!T32&lt;安値!R32,安値!T32&lt;安値!U32,安値!T32&lt;安値!V32),15,""))</f>
        <v/>
      </c>
      <c r="P32" s="503" t="str">
        <f>IF(終値!A32="","",IF(AND(安値!U32&lt;安値!T32,安値!U32&lt;安値!S32,安値!U32&lt;安値!V32,安値!U32&lt;安値!W32),16,""))</f>
        <v/>
      </c>
      <c r="Q32" s="503">
        <f>IF(終値!A32="","",IF(AND(安値!V32&lt;安値!U32,安値!V32&lt;安値!T32,安値!V32&lt;安値!W32,安値!V32&lt;安値!X32),17,""))</f>
        <v>17</v>
      </c>
      <c r="R32" s="503" t="str">
        <f>IF(終値!A32="","",IF(AND(安値!W32&lt;安値!V32,安値!W32&lt;安値!U32,安値!W32&lt;安値!X32,安値!W32&lt;安値!Y32),18,""))</f>
        <v/>
      </c>
      <c r="S32" s="503" t="str">
        <f>IF(終値!A32="","",IF(AND(安値!X32&lt;安値!W32,安値!X32&lt;安値!V32,安値!X32&lt;安値!Y32,安値!X32&lt;安値!Z32),19,""))</f>
        <v/>
      </c>
      <c r="T32" s="503" t="str">
        <f>IF(終値!A32="","",IF(AND(安値!Y32&lt;安値!X32,安値!Y32&lt;安値!W32,安値!Y32&lt;安値!Z32,安値!Y32&lt;安値!AA32),20,""))</f>
        <v/>
      </c>
      <c r="U32" s="503" t="str">
        <f>IF(終値!A32="","",IF(AND(安値!Z32&lt;安値!Y32,安値!Z32&lt;安値!X32,安値!Z32&lt;安値!AA32,安値!Z32&lt;安値!AB32),21,""))</f>
        <v/>
      </c>
      <c r="V32" s="503" t="str">
        <f>IF(終値!A32="","",IF(AND(安値!AA32&lt;安値!Z32,安値!AA32&lt;安値!Y32,安値!AA32&lt;安値!AB32,安値!AA32&lt;安値!AC32),22,""))</f>
        <v/>
      </c>
      <c r="W32" s="503" t="str">
        <f>IF(終値!A32="","",IF(AND(安値!AB32&lt;安値!AA32,安値!AB32&lt;安値!Z32,安値!AB32&lt;安値!AC32,安値!AB32&lt;安値!AD32),23,""))</f>
        <v/>
      </c>
      <c r="X32" s="503" t="str">
        <f>IF(終値!A32="","",IF(AND(安値!AC32&lt;安値!AB32,安値!AC32&lt;安値!AA32,安値!AC32&lt;安値!AD32,安値!AC32&lt;安値!AE32),24,""))</f>
        <v/>
      </c>
      <c r="Y32" s="503" t="str">
        <f>IF(終値!A32="","",IF(AND(安値!AD32&lt;安値!AC32,安値!AD32&lt;安値!AB32,安値!AD32&lt;安値!AE32,安値!AD32&lt;安値!AF32),25,""))</f>
        <v/>
      </c>
      <c r="Z32" s="503" t="str">
        <f>IF(終値!A32="","",IF(AND(安値!AE32&lt;安値!AD32,安値!AE32&lt;安値!AC32,安値!AE32&lt;安値!AF32,安値!AE32&lt;安値!AG32),26,""))</f>
        <v/>
      </c>
      <c r="AA32" s="503" t="str">
        <f>IF(終値!A32="","",IF(AND(安値!AF32&lt;安値!AE32,安値!AF32&lt;安値!AD32,安値!AF32&lt;安値!AG32,安値!AF32&lt;安値!AH32),27,""))</f>
        <v/>
      </c>
      <c r="AB32" s="503" t="str">
        <f>IF(終値!A32="","",IF(AND(安値!AG32&lt;安値!AF32,安値!AG32&lt;安値!AE32,安値!AG32&lt;安値!AH32,安値!AG32&lt;安値!AI32),28,""))</f>
        <v/>
      </c>
      <c r="AC32" s="503" t="str">
        <f>IF(終値!A32="","",IF(AND(高値!G32&gt;高値!F32,高値!G32&gt;高値!E32,高値!G32&gt;高値!H32,高値!G32&gt;高値!I32),2,""))</f>
        <v/>
      </c>
      <c r="AD32" s="503" t="str">
        <f>IF(終値!A32="","",IF(AND(高値!H32&gt;高値!G32,高値!H32&gt;高値!F32,高値!H32&gt;高値!I32,高値!H32&gt;高値!J32),3,""))</f>
        <v/>
      </c>
      <c r="AE32" s="503" t="str">
        <f>IF(終値!A32="","",IF(AND(高値!I32&gt;高値!H32,高値!I32&gt;高値!G32,高値!I32&gt;高値!J32,高値!I32&gt;高値!K32),4,""))</f>
        <v/>
      </c>
      <c r="AF32" s="503" t="str">
        <f>IF(終値!A32="","",IF(AND(高値!J32&gt;高値!I32,高値!J32&gt;高値!H32,高値!J32&gt;高値!K32,高値!J32&gt;高値!L32),5,""))</f>
        <v/>
      </c>
      <c r="AG32" s="503" t="str">
        <f>IF(終値!A32="","",IF(AND(高値!K32&gt;高値!J32,高値!K32&gt;高値!I32,高値!K32&gt;高値!L32,高値!K32&gt;高値!M32),6,""))</f>
        <v/>
      </c>
      <c r="AH32" s="503" t="str">
        <f>IF(終値!A32="","",IF(AND(高値!L32&gt;高値!K32,高値!L32&gt;高値!J32,高値!L32&gt;高値!M32,高値!L32&gt;高値!N32),7,""))</f>
        <v/>
      </c>
      <c r="AI32" s="503" t="str">
        <f>IF(終値!A32="","",IF(AND(高値!M32&gt;高値!L32,高値!M32&gt;高値!K32,高値!M32&gt;高値!N32,高値!M32&gt;高値!O32),8,""))</f>
        <v/>
      </c>
      <c r="AJ32" s="503" t="str">
        <f>IF(終値!A32="","",IF(AND(高値!N32&gt;高値!M32,高値!N32&gt;高値!L32,高値!N32&gt;高値!O32,高値!N32&gt;高値!P32),9,""))</f>
        <v/>
      </c>
      <c r="AK32" s="503">
        <f>IF(終値!A32="","",IF(AND(高値!O32&gt;高値!N32,高値!O32&gt;高値!M32,高値!O32&gt;高値!P32,高値!O32&gt;高値!Q32),10,""))</f>
        <v>10</v>
      </c>
      <c r="AL32" s="503" t="str">
        <f>IF(終値!A32="","",IF(AND(高値!P32&gt;高値!O32,高値!P32&gt;高値!N32,高値!P32&gt;高値!Q32,高値!P32&gt;高値!R32),11,""))</f>
        <v/>
      </c>
      <c r="AM32" s="503" t="str">
        <f>IF(終値!A32="","",IF(AND(高値!Q32&gt;高値!P32,高値!Q32&gt;高値!O32,高値!Q32&gt;高値!R32,高値!Q32&gt;高値!S32),12,""))</f>
        <v/>
      </c>
      <c r="AN32" s="503" t="str">
        <f>IF(終値!A32="","",IF(AND(高値!R32&gt;高値!Q32,高値!R32&gt;高値!P32,高値!R32&gt;高値!S32,高値!R32&gt;高値!T32),13,""))</f>
        <v/>
      </c>
      <c r="AO32" s="503" t="str">
        <f>IF(終値!A32="","",IF(AND(高値!S32&gt;高値!R32,高値!S32&gt;高値!Q32,高値!S32&gt;高値!T32,高値!S32&gt;高値!U32),14,""))</f>
        <v/>
      </c>
      <c r="AP32" s="503" t="str">
        <f>IF(終値!A32="","",IF(AND(高値!T32&gt;高値!S32,高値!T32&gt;高値!R32,高値!T32&gt;高値!U32,高値!T32&gt;高値!V32),15,""))</f>
        <v/>
      </c>
      <c r="AQ32" s="503" t="str">
        <f>IF(終値!A32="","",IF(AND(高値!U32&gt;高値!T32,高値!U32&gt;高値!S32,高値!U32&gt;高値!V32,高値!U32&gt;高値!W32),16,""))</f>
        <v/>
      </c>
      <c r="AR32" s="503" t="str">
        <f>IF(終値!A32="","",IF(AND(高値!V32&gt;高値!U32,高値!V32&gt;高値!T32,高値!V32&gt;高値!W32,高値!V32&gt;高値!X32),17,""))</f>
        <v/>
      </c>
      <c r="AS32" s="503" t="str">
        <f>IF(終値!A32="","",IF(AND(高値!W32&gt;高値!V32,高値!W32&gt;高値!U32,高値!W32&gt;高値!X32,高値!W32&gt;高値!Y32),18,""))</f>
        <v/>
      </c>
      <c r="AT32" s="503" t="str">
        <f>IF(終値!A32="","",IF(AND(高値!X32&gt;高値!W32,高値!X32&gt;高値!V32,高値!X32&gt;高値!Y32,高値!X32&gt;高値!Z32),19,""))</f>
        <v/>
      </c>
      <c r="AU32" s="503" t="str">
        <f>IF(終値!A32="","",IF(AND(高値!Y32&gt;高値!X32,高値!Y32&gt;高値!W32,高値!Y32&gt;高値!Z32,高値!Y32&gt;高値!AA32),20,""))</f>
        <v/>
      </c>
      <c r="AV32" s="503" t="str">
        <f>IF(終値!A32="","",IF(AND(高値!Z32&gt;高値!Y32,高値!Z32&gt;高値!X32,高値!Z32&gt;高値!AA32,高値!Z32&gt;高値!AB32),21,""))</f>
        <v/>
      </c>
      <c r="AW32" s="503" t="str">
        <f>IF(終値!A32="","",IF(AND(高値!AA32&gt;高値!Z32,高値!AA32&gt;高値!Y32,高値!AA32&gt;高値!AB32,高値!AA32&gt;高値!AC32),22,""))</f>
        <v/>
      </c>
      <c r="AX32" s="503" t="str">
        <f>IF(終値!A32="","",IF(AND(高値!AB32&gt;高値!AA32,高値!AB32&gt;高値!Z32,高値!AB32&gt;高値!AC32,高値!AB32&gt;高値!AD32),23,""))</f>
        <v/>
      </c>
      <c r="AY32" s="503" t="str">
        <f>IF(終値!A32="","",IF(AND(高値!AC32&gt;高値!AB32,高値!AC32&gt;高値!AA32,高値!AC32&gt;高値!AD32,高値!AC32&gt;高値!AE32),24,""))</f>
        <v/>
      </c>
      <c r="AZ32" s="503" t="str">
        <f>IF(終値!A32="","",IF(AND(高値!AD32&gt;高値!AC32,高値!AD32&gt;高値!AB32,高値!AD32&gt;高値!AE32,高値!AD32&gt;高値!AF32),25,""))</f>
        <v/>
      </c>
      <c r="BA32" s="503" t="str">
        <f>IF(終値!A32="","",IF(AND(高値!AE32&gt;高値!AD32,高値!AE32&gt;高値!AC32,高値!AE32&gt;高値!AF32,高値!AE32&gt;高値!AG32),26,""))</f>
        <v/>
      </c>
      <c r="BB32" s="503" t="str">
        <f>IF(終値!A32="","",IF(AND(高値!AF32&gt;高値!AE32,高値!AF32&gt;高値!AD32,高値!AF32&gt;高値!AG32,高値!AF32&gt;高値!AH32),27,""))</f>
        <v/>
      </c>
      <c r="BC32" s="503" t="str">
        <f>IF(終値!A32="","",IF(AND(高値!AG32&gt;高値!AF32,高値!AG32&gt;高値!AE32,高値!AG32&gt;高値!AH32,高値!AG32&gt;高値!AI32),28,""))</f>
        <v/>
      </c>
      <c r="BD32" s="503">
        <f t="shared" si="0"/>
        <v>1</v>
      </c>
      <c r="BE32" s="503" t="str">
        <f t="shared" si="1"/>
        <v/>
      </c>
      <c r="BF32" s="503" t="str">
        <f t="shared" si="2"/>
        <v/>
      </c>
      <c r="BG32" s="503" t="str">
        <f>IF($BE32="","",INDEX(安値!$E32:$CZ32,1,$BE32+1))</f>
        <v/>
      </c>
      <c r="BH32" s="503" t="str">
        <f>IF($BF32="","",INDEX(安値!$E32:$CZ32,1,$BF32+1))</f>
        <v/>
      </c>
      <c r="BI32" s="503" t="str">
        <f>IF($BF32="","",MAX(INDEX(高値!$E32:$CZ32,1,$BE32+1):INDEX(高値!$E32:$CZ32,1,$BF32+1)))</f>
        <v/>
      </c>
      <c r="BJ32" s="503" t="str">
        <f>IF($BF32="","",AVERAGE(INDEX(終値!$E32:$CZ32,1,$BF32+1):INDEX(終値!$E32:$CZ32,1,$BF32+20))-2*STDEVP(INDEX(終値!$E32:$CZ32,1,$BF32+1):INDEX(終値!$E32:$CZ32,1,$BF32+20)))</f>
        <v/>
      </c>
      <c r="BK32" s="503" t="str">
        <f>IF($BE32="","",AVERAGE(INDEX(終値!$E32:$CZ32,1,$BE32+1):INDEX(終値!$E32:$CZ32,1,$BE32+20))-2*STDEVP(INDEX(終値!$E32:$CZ32,1,$BE32+1):INDEX(終値!$E32:$CZ32,1,$BE32+20)))</f>
        <v/>
      </c>
      <c r="BL32" s="503">
        <f t="shared" si="3"/>
        <v>1</v>
      </c>
      <c r="BM32" s="503" t="str">
        <f t="shared" si="4"/>
        <v/>
      </c>
      <c r="BN32" s="503" t="str">
        <f t="shared" si="5"/>
        <v/>
      </c>
      <c r="BO32" s="503" t="str">
        <f>IF($BM32="","",INDEX(高値!$E32:$CZ32,1,$BM32+1))</f>
        <v/>
      </c>
      <c r="BP32" s="503" t="str">
        <f>IF($BN32="","",INDEX(高値!$E32:$CZ32,1,$BN32+1))</f>
        <v/>
      </c>
      <c r="BQ32" s="503" t="str">
        <f>IF($BN32="","",MIN(INDEX(安値!$E32:$CZ32,1,$BM32+1):INDEX(安値!$E32:$CZ32,1,$BN32+1)))</f>
        <v/>
      </c>
      <c r="BR32" s="503" t="str">
        <f>IF($BN32="","",AVERAGE(INDEX(終値!$E32:$CZ32,1,$BN32+1):INDEX(終値!$E32:$CZ32,1,$BN32+20))+2*STDEVP(INDEX(終値!$E32:$CZ32,1,$BN32+1):INDEX(終値!$E32:$CZ32,1,$BN32+20)))</f>
        <v/>
      </c>
      <c r="BS32" s="503" t="str">
        <f>IF($BM32="","",AVERAGE(INDEX(終値!$E32:$CZ32,1,$BM32+1):INDEX(終値!$E32:$CZ32,1,$BM32+20))+2*STDEVP(INDEX(終値!$E32:$CZ32,1,$BM32+1):INDEX(終値!$E32:$CZ32,1,$BM32+20)))</f>
        <v/>
      </c>
      <c r="BT32" s="500"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3" t="str">
        <f>IF(終値!A33="","",IF(AND(安値!G33&lt;安値!F33,安値!G33&lt;安値!E33,安値!G33&lt;安値!H33,安値!G33&lt;安値!I33),2,""))</f>
        <v/>
      </c>
      <c r="C33" s="503">
        <f>IF(終値!A33="","",IF(AND(安値!H33&lt;安値!G33,安値!H33&lt;安値!F33,安値!H33&lt;安値!I33,安値!H33&lt;安値!J33),3,""))</f>
        <v>3</v>
      </c>
      <c r="D33" s="503" t="str">
        <f>IF(終値!A33="","",IF(AND(安値!I33&lt;安値!H33,安値!I33&lt;安値!G33,安値!I33&lt;安値!J33,安値!I33&lt;安値!K33),4,""))</f>
        <v/>
      </c>
      <c r="E33" s="503" t="str">
        <f>IF(終値!A33="","",IF(AND(安値!J33&lt;安値!I33,安値!J33&lt;安値!H33,安値!J33&lt;安値!K33,安値!J33&lt;安値!L33),5,""))</f>
        <v/>
      </c>
      <c r="F33" s="503" t="str">
        <f>IF(終値!A33="","",IF(AND(安値!K33&lt;安値!J33,安値!K33&lt;安値!I33,安値!K33&lt;安値!L33,安値!K33&lt;安値!M33),6,""))</f>
        <v/>
      </c>
      <c r="G33" s="503" t="str">
        <f>IF(終値!A33="","",IF(AND(安値!L33&lt;安値!K33,安値!L33&lt;安値!J33,安値!L33&lt;安値!M33,安値!L33&lt;安値!N33),7,""))</f>
        <v/>
      </c>
      <c r="H33" s="503" t="str">
        <f>IF(終値!A33="","",IF(AND(安値!M33&lt;安値!L33,安値!M33&lt;安値!K33,安値!M33&lt;安値!N33,安値!M33&lt;安値!O33),8,""))</f>
        <v/>
      </c>
      <c r="I33" s="503" t="str">
        <f>IF(終値!A33="","",IF(AND(安値!N33&lt;安値!M33,安値!N33&lt;安値!L33,安値!N33&lt;安値!O33,安値!N33&lt;安値!P33),9,""))</f>
        <v/>
      </c>
      <c r="J33" s="503" t="str">
        <f>IF(終値!A33="","",IF(AND(安値!O33&lt;安値!N33,安値!O33&lt;安値!M33,安値!O33&lt;安値!P33,安値!O33&lt;安値!Q33),10,""))</f>
        <v/>
      </c>
      <c r="K33" s="503" t="str">
        <f>IF(終値!A33="","",IF(AND(安値!P33&lt;安値!O33,安値!P33&lt;安値!N33,安値!P33&lt;安値!Q33,安値!P33&lt;安値!R33),11,""))</f>
        <v/>
      </c>
      <c r="L33" s="503" t="str">
        <f>IF(終値!A33="","",IF(AND(安値!Q33&lt;安値!P33,安値!Q33&lt;安値!O33,安値!Q33&lt;安値!R33,安値!Q33&lt;安値!S33),12,""))</f>
        <v/>
      </c>
      <c r="M33" s="503">
        <f>IF(終値!A33="","",IF(AND(安値!R33&lt;安値!Q33,安値!R33&lt;安値!P33,安値!R33&lt;安値!S33,安値!R33&lt;安値!T33),13,""))</f>
        <v>13</v>
      </c>
      <c r="N33" s="503" t="str">
        <f>IF(終値!A33="","",IF(AND(安値!S33&lt;安値!R33,安値!S33&lt;安値!Q33,安値!S33&lt;安値!T33,安値!S33&lt;安値!U33),14,""))</f>
        <v/>
      </c>
      <c r="O33" s="503" t="str">
        <f>IF(終値!A33="","",IF(AND(安値!T33&lt;安値!S33,安値!T33&lt;安値!R33,安値!T33&lt;安値!U33,安値!T33&lt;安値!V33),15,""))</f>
        <v/>
      </c>
      <c r="P33" s="503" t="str">
        <f>IF(終値!A33="","",IF(AND(安値!U33&lt;安値!T33,安値!U33&lt;安値!S33,安値!U33&lt;安値!V33,安値!U33&lt;安値!W33),16,""))</f>
        <v/>
      </c>
      <c r="Q33" s="503" t="str">
        <f>IF(終値!A33="","",IF(AND(安値!V33&lt;安値!U33,安値!V33&lt;安値!T33,安値!V33&lt;安値!W33,安値!V33&lt;安値!X33),17,""))</f>
        <v/>
      </c>
      <c r="R33" s="503">
        <f>IF(終値!A33="","",IF(AND(安値!W33&lt;安値!V33,安値!W33&lt;安値!U33,安値!W33&lt;安値!X33,安値!W33&lt;安値!Y33),18,""))</f>
        <v>18</v>
      </c>
      <c r="S33" s="503" t="str">
        <f>IF(終値!A33="","",IF(AND(安値!X33&lt;安値!W33,安値!X33&lt;安値!V33,安値!X33&lt;安値!Y33,安値!X33&lt;安値!Z33),19,""))</f>
        <v/>
      </c>
      <c r="T33" s="503" t="str">
        <f>IF(終値!A33="","",IF(AND(安値!Y33&lt;安値!X33,安値!Y33&lt;安値!W33,安値!Y33&lt;安値!Z33,安値!Y33&lt;安値!AA33),20,""))</f>
        <v/>
      </c>
      <c r="U33" s="503" t="str">
        <f>IF(終値!A33="","",IF(AND(安値!Z33&lt;安値!Y33,安値!Z33&lt;安値!X33,安値!Z33&lt;安値!AA33,安値!Z33&lt;安値!AB33),21,""))</f>
        <v/>
      </c>
      <c r="V33" s="503" t="str">
        <f>IF(終値!A33="","",IF(AND(安値!AA33&lt;安値!Z33,安値!AA33&lt;安値!Y33,安値!AA33&lt;安値!AB33,安値!AA33&lt;安値!AC33),22,""))</f>
        <v/>
      </c>
      <c r="W33" s="503" t="str">
        <f>IF(終値!A33="","",IF(AND(安値!AB33&lt;安値!AA33,安値!AB33&lt;安値!Z33,安値!AB33&lt;安値!AC33,安値!AB33&lt;安値!AD33),23,""))</f>
        <v/>
      </c>
      <c r="X33" s="503" t="str">
        <f>IF(終値!A33="","",IF(AND(安値!AC33&lt;安値!AB33,安値!AC33&lt;安値!AA33,安値!AC33&lt;安値!AD33,安値!AC33&lt;安値!AE33),24,""))</f>
        <v/>
      </c>
      <c r="Y33" s="503" t="str">
        <f>IF(終値!A33="","",IF(AND(安値!AD33&lt;安値!AC33,安値!AD33&lt;安値!AB33,安値!AD33&lt;安値!AE33,安値!AD33&lt;安値!AF33),25,""))</f>
        <v/>
      </c>
      <c r="Z33" s="503" t="str">
        <f>IF(終値!A33="","",IF(AND(安値!AE33&lt;安値!AD33,安値!AE33&lt;安値!AC33,安値!AE33&lt;安値!AF33,安値!AE33&lt;安値!AG33),26,""))</f>
        <v/>
      </c>
      <c r="AA33" s="503" t="str">
        <f>IF(終値!A33="","",IF(AND(安値!AF33&lt;安値!AE33,安値!AF33&lt;安値!AD33,安値!AF33&lt;安値!AG33,安値!AF33&lt;安値!AH33),27,""))</f>
        <v/>
      </c>
      <c r="AB33" s="503" t="str">
        <f>IF(終値!A33="","",IF(AND(安値!AG33&lt;安値!AF33,安値!AG33&lt;安値!AE33,安値!AG33&lt;安値!AH33,安値!AG33&lt;安値!AI33),28,""))</f>
        <v/>
      </c>
      <c r="AC33" s="503" t="str">
        <f>IF(終値!A33="","",IF(AND(高値!G33&gt;高値!F33,高値!G33&gt;高値!E33,高値!G33&gt;高値!H33,高値!G33&gt;高値!I33),2,""))</f>
        <v/>
      </c>
      <c r="AD33" s="503" t="str">
        <f>IF(終値!A33="","",IF(AND(高値!H33&gt;高値!G33,高値!H33&gt;高値!F33,高値!H33&gt;高値!I33,高値!H33&gt;高値!J33),3,""))</f>
        <v/>
      </c>
      <c r="AE33" s="503" t="str">
        <f>IF(終値!A33="","",IF(AND(高値!I33&gt;高値!H33,高値!I33&gt;高値!G33,高値!I33&gt;高値!J33,高値!I33&gt;高値!K33),4,""))</f>
        <v/>
      </c>
      <c r="AF33" s="503" t="str">
        <f>IF(終値!A33="","",IF(AND(高値!J33&gt;高値!I33,高値!J33&gt;高値!H33,高値!J33&gt;高値!K33,高値!J33&gt;高値!L33),5,""))</f>
        <v/>
      </c>
      <c r="AG33" s="503" t="str">
        <f>IF(終値!A33="","",IF(AND(高値!K33&gt;高値!J33,高値!K33&gt;高値!I33,高値!K33&gt;高値!L33,高値!K33&gt;高値!M33),6,""))</f>
        <v/>
      </c>
      <c r="AH33" s="503" t="str">
        <f>IF(終値!A33="","",IF(AND(高値!L33&gt;高値!K33,高値!L33&gt;高値!J33,高値!L33&gt;高値!M33,高値!L33&gt;高値!N33),7,""))</f>
        <v/>
      </c>
      <c r="AI33" s="503">
        <f>IF(終値!A33="","",IF(AND(高値!M33&gt;高値!L33,高値!M33&gt;高値!K33,高値!M33&gt;高値!N33,高値!M33&gt;高値!O33),8,""))</f>
        <v>8</v>
      </c>
      <c r="AJ33" s="503" t="str">
        <f>IF(終値!A33="","",IF(AND(高値!N33&gt;高値!M33,高値!N33&gt;高値!L33,高値!N33&gt;高値!O33,高値!N33&gt;高値!P33),9,""))</f>
        <v/>
      </c>
      <c r="AK33" s="503" t="str">
        <f>IF(終値!A33="","",IF(AND(高値!O33&gt;高値!N33,高値!O33&gt;高値!M33,高値!O33&gt;高値!P33,高値!O33&gt;高値!Q33),10,""))</f>
        <v/>
      </c>
      <c r="AL33" s="503" t="str">
        <f>IF(終値!A33="","",IF(AND(高値!P33&gt;高値!O33,高値!P33&gt;高値!N33,高値!P33&gt;高値!Q33,高値!P33&gt;高値!R33),11,""))</f>
        <v/>
      </c>
      <c r="AM33" s="503" t="str">
        <f>IF(終値!A33="","",IF(AND(高値!Q33&gt;高値!P33,高値!Q33&gt;高値!O33,高値!Q33&gt;高値!R33,高値!Q33&gt;高値!S33),12,""))</f>
        <v/>
      </c>
      <c r="AN33" s="503" t="str">
        <f>IF(終値!A33="","",IF(AND(高値!R33&gt;高値!Q33,高値!R33&gt;高値!P33,高値!R33&gt;高値!S33,高値!R33&gt;高値!T33),13,""))</f>
        <v/>
      </c>
      <c r="AO33" s="503">
        <f>IF(終値!A33="","",IF(AND(高値!S33&gt;高値!R33,高値!S33&gt;高値!Q33,高値!S33&gt;高値!T33,高値!S33&gt;高値!U33),14,""))</f>
        <v>14</v>
      </c>
      <c r="AP33" s="503" t="str">
        <f>IF(終値!A33="","",IF(AND(高値!T33&gt;高値!S33,高値!T33&gt;高値!R33,高値!T33&gt;高値!U33,高値!T33&gt;高値!V33),15,""))</f>
        <v/>
      </c>
      <c r="AQ33" s="503" t="str">
        <f>IF(終値!A33="","",IF(AND(高値!U33&gt;高値!T33,高値!U33&gt;高値!S33,高値!U33&gt;高値!V33,高値!U33&gt;高値!W33),16,""))</f>
        <v/>
      </c>
      <c r="AR33" s="503" t="str">
        <f>IF(終値!A33="","",IF(AND(高値!V33&gt;高値!U33,高値!V33&gt;高値!T33,高値!V33&gt;高値!W33,高値!V33&gt;高値!X33),17,""))</f>
        <v/>
      </c>
      <c r="AS33" s="503" t="str">
        <f>IF(終値!A33="","",IF(AND(高値!W33&gt;高値!V33,高値!W33&gt;高値!U33,高値!W33&gt;高値!X33,高値!W33&gt;高値!Y33),18,""))</f>
        <v/>
      </c>
      <c r="AT33" s="503">
        <f>IF(終値!A33="","",IF(AND(高値!X33&gt;高値!W33,高値!X33&gt;高値!V33,高値!X33&gt;高値!Y33,高値!X33&gt;高値!Z33),19,""))</f>
        <v>19</v>
      </c>
      <c r="AU33" s="503" t="str">
        <f>IF(終値!A33="","",IF(AND(高値!Y33&gt;高値!X33,高値!Y33&gt;高値!W33,高値!Y33&gt;高値!Z33,高値!Y33&gt;高値!AA33),20,""))</f>
        <v/>
      </c>
      <c r="AV33" s="503" t="str">
        <f>IF(終値!A33="","",IF(AND(高値!Z33&gt;高値!Y33,高値!Z33&gt;高値!X33,高値!Z33&gt;高値!AA33,高値!Z33&gt;高値!AB33),21,""))</f>
        <v/>
      </c>
      <c r="AW33" s="503" t="str">
        <f>IF(終値!A33="","",IF(AND(高値!AA33&gt;高値!Z33,高値!AA33&gt;高値!Y33,高値!AA33&gt;高値!AB33,高値!AA33&gt;高値!AC33),22,""))</f>
        <v/>
      </c>
      <c r="AX33" s="503" t="str">
        <f>IF(終値!A33="","",IF(AND(高値!AB33&gt;高値!AA33,高値!AB33&gt;高値!Z33,高値!AB33&gt;高値!AC33,高値!AB33&gt;高値!AD33),23,""))</f>
        <v/>
      </c>
      <c r="AY33" s="503" t="str">
        <f>IF(終値!A33="","",IF(AND(高値!AC33&gt;高値!AB33,高値!AC33&gt;高値!AA33,高値!AC33&gt;高値!AD33,高値!AC33&gt;高値!AE33),24,""))</f>
        <v/>
      </c>
      <c r="AZ33" s="503" t="str">
        <f>IF(終値!A33="","",IF(AND(高値!AD33&gt;高値!AC33,高値!AD33&gt;高値!AB33,高値!AD33&gt;高値!AE33,高値!AD33&gt;高値!AF33),25,""))</f>
        <v/>
      </c>
      <c r="BA33" s="503" t="str">
        <f>IF(終値!A33="","",IF(AND(高値!AE33&gt;高値!AD33,高値!AE33&gt;高値!AC33,高値!AE33&gt;高値!AF33,高値!AE33&gt;高値!AG33),26,""))</f>
        <v/>
      </c>
      <c r="BB33" s="503">
        <f>IF(終値!A33="","",IF(AND(高値!AF33&gt;高値!AE33,高値!AF33&gt;高値!AD33,高値!AF33&gt;高値!AG33,高値!AF33&gt;高値!AH33),27,""))</f>
        <v>27</v>
      </c>
      <c r="BC33" s="503" t="str">
        <f>IF(終値!A33="","",IF(AND(高値!AG33&gt;高値!AF33,高値!AG33&gt;高値!AE33,高値!AG33&gt;高値!AH33,高値!AG33&gt;高値!AI33),28,""))</f>
        <v/>
      </c>
      <c r="BD33" s="503">
        <f t="shared" si="0"/>
        <v>3</v>
      </c>
      <c r="BE33" s="503">
        <f t="shared" si="1"/>
        <v>3</v>
      </c>
      <c r="BF33" s="503">
        <f t="shared" si="2"/>
        <v>13</v>
      </c>
      <c r="BG33" s="503">
        <f>IF($BE33="","",INDEX(安値!$E33:$CZ33,1,$BE33+1))</f>
        <v>1741.5</v>
      </c>
      <c r="BH33" s="503">
        <f>IF($BF33="","",INDEX(安値!$E33:$CZ33,1,$BF33+1))</f>
        <v>1744</v>
      </c>
      <c r="BI33" s="503">
        <f>IF($BF33="","",MAX(INDEX(高値!$E33:$CZ33,1,$BE33+1):INDEX(高値!$E33:$CZ33,1,$BF33+1)))</f>
        <v>1885</v>
      </c>
      <c r="BJ33" s="503">
        <f>IF($BF33="","",AVERAGE(INDEX(終値!$E33:$CZ33,1,$BF33+1):INDEX(終値!$E33:$CZ33,1,$BF33+20))-2*STDEVP(INDEX(終値!$E33:$CZ33,1,$BF33+1):INDEX(終値!$E33:$CZ33,1,$BF33+20)))</f>
        <v>1507.3554844935404</v>
      </c>
      <c r="BK33" s="503">
        <f>IF($BE33="","",AVERAGE(INDEX(終値!$E33:$CZ33,1,$BE33+1):INDEX(終値!$E33:$CZ33,1,$BE33+20))-2*STDEVP(INDEX(終値!$E33:$CZ33,1,$BE33+1):INDEX(終値!$E33:$CZ33,1,$BE33+20)))</f>
        <v>1697.96367044351</v>
      </c>
      <c r="BL33" s="503">
        <f t="shared" si="3"/>
        <v>4</v>
      </c>
      <c r="BM33" s="503">
        <f t="shared" si="4"/>
        <v>8</v>
      </c>
      <c r="BN33" s="503">
        <f t="shared" si="5"/>
        <v>14</v>
      </c>
      <c r="BO33" s="503">
        <f>IF($BM33="","",INDEX(高値!$E33:$CZ33,1,$BM33+1))</f>
        <v>1885</v>
      </c>
      <c r="BP33" s="503">
        <f>IF($BN33="","",INDEX(高値!$E33:$CZ33,1,$BN33+1))</f>
        <v>1879</v>
      </c>
      <c r="BQ33" s="503">
        <f>IF($BN33="","",MIN(INDEX(安値!$E33:$CZ33,1,$BM33+1):INDEX(安値!$E33:$CZ33,1,$BN33+1)))</f>
        <v>1744</v>
      </c>
      <c r="BR33" s="503">
        <f>IF($BN33="","",AVERAGE(INDEX(終値!$E33:$CZ33,1,$BN33+1):INDEX(終値!$E33:$CZ33,1,$BN33+20))+2*STDEVP(INDEX(終値!$E33:$CZ33,1,$BN33+1):INDEX(終値!$E33:$CZ33,1,$BN33+20)))</f>
        <v>1855.4472918530073</v>
      </c>
      <c r="BS33" s="503">
        <f>IF($BM33="","",AVERAGE(INDEX(終値!$E33:$CZ33,1,$BM33+1):INDEX(終値!$E33:$CZ33,1,$BM33+20))+2*STDEVP(INDEX(終値!$E33:$CZ33,1,$BM33+1):INDEX(終値!$E33:$CZ33,1,$BM33+20)))</f>
        <v>1944.7614627183566</v>
      </c>
      <c r="BT33" s="500"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3" t="str">
        <f>IF(終値!A34="","",IF(AND(安値!G34&lt;安値!F34,安値!G34&lt;安値!E34,安値!G34&lt;安値!H34,安値!G34&lt;安値!I34),2,""))</f>
        <v/>
      </c>
      <c r="C34" s="503">
        <f>IF(終値!A34="","",IF(AND(安値!H34&lt;安値!G34,安値!H34&lt;安値!F34,安値!H34&lt;安値!I34,安値!H34&lt;安値!J34),3,""))</f>
        <v>3</v>
      </c>
      <c r="D34" s="503" t="str">
        <f>IF(終値!A34="","",IF(AND(安値!I34&lt;安値!H34,安値!I34&lt;安値!G34,安値!I34&lt;安値!J34,安値!I34&lt;安値!K34),4,""))</f>
        <v/>
      </c>
      <c r="E34" s="503" t="str">
        <f>IF(終値!A34="","",IF(AND(安値!J34&lt;安値!I34,安値!J34&lt;安値!H34,安値!J34&lt;安値!K34,安値!J34&lt;安値!L34),5,""))</f>
        <v/>
      </c>
      <c r="F34" s="503" t="str">
        <f>IF(終値!A34="","",IF(AND(安値!K34&lt;安値!J34,安値!K34&lt;安値!I34,安値!K34&lt;安値!L34,安値!K34&lt;安値!M34),6,""))</f>
        <v/>
      </c>
      <c r="G34" s="503" t="str">
        <f>IF(終値!A34="","",IF(AND(安値!L34&lt;安値!K34,安値!L34&lt;安値!J34,安値!L34&lt;安値!M34,安値!L34&lt;安値!N34),7,""))</f>
        <v/>
      </c>
      <c r="H34" s="503">
        <f>IF(終値!A34="","",IF(AND(安値!M34&lt;安値!L34,安値!M34&lt;安値!K34,安値!M34&lt;安値!N34,安値!M34&lt;安値!O34),8,""))</f>
        <v>8</v>
      </c>
      <c r="I34" s="503" t="str">
        <f>IF(終値!A34="","",IF(AND(安値!N34&lt;安値!M34,安値!N34&lt;安値!L34,安値!N34&lt;安値!O34,安値!N34&lt;安値!P34),9,""))</f>
        <v/>
      </c>
      <c r="J34" s="503" t="str">
        <f>IF(終値!A34="","",IF(AND(安値!O34&lt;安値!N34,安値!O34&lt;安値!M34,安値!O34&lt;安値!P34,安値!O34&lt;安値!Q34),10,""))</f>
        <v/>
      </c>
      <c r="K34" s="503" t="str">
        <f>IF(終値!A34="","",IF(AND(安値!P34&lt;安値!O34,安値!P34&lt;安値!N34,安値!P34&lt;安値!Q34,安値!P34&lt;安値!R34),11,""))</f>
        <v/>
      </c>
      <c r="L34" s="503" t="str">
        <f>IF(終値!A34="","",IF(AND(安値!Q34&lt;安値!P34,安値!Q34&lt;安値!O34,安値!Q34&lt;安値!R34,安値!Q34&lt;安値!S34),12,""))</f>
        <v/>
      </c>
      <c r="M34" s="503">
        <f>IF(終値!A34="","",IF(AND(安値!R34&lt;安値!Q34,安値!R34&lt;安値!P34,安値!R34&lt;安値!S34,安値!R34&lt;安値!T34),13,""))</f>
        <v>13</v>
      </c>
      <c r="N34" s="503" t="str">
        <f>IF(終値!A34="","",IF(AND(安値!S34&lt;安値!R34,安値!S34&lt;安値!Q34,安値!S34&lt;安値!T34,安値!S34&lt;安値!U34),14,""))</f>
        <v/>
      </c>
      <c r="O34" s="503" t="str">
        <f>IF(終値!A34="","",IF(AND(安値!T34&lt;安値!S34,安値!T34&lt;安値!R34,安値!T34&lt;安値!U34,安値!T34&lt;安値!V34),15,""))</f>
        <v/>
      </c>
      <c r="P34" s="503">
        <f>IF(終値!A34="","",IF(AND(安値!U34&lt;安値!T34,安値!U34&lt;安値!S34,安値!U34&lt;安値!V34,安値!U34&lt;安値!W34),16,""))</f>
        <v>16</v>
      </c>
      <c r="Q34" s="503" t="str">
        <f>IF(終値!A34="","",IF(AND(安値!V34&lt;安値!U34,安値!V34&lt;安値!T34,安値!V34&lt;安値!W34,安値!V34&lt;安値!X34),17,""))</f>
        <v/>
      </c>
      <c r="R34" s="503" t="str">
        <f>IF(終値!A34="","",IF(AND(安値!W34&lt;安値!V34,安値!W34&lt;安値!U34,安値!W34&lt;安値!X34,安値!W34&lt;安値!Y34),18,""))</f>
        <v/>
      </c>
      <c r="S34" s="503" t="str">
        <f>IF(終値!A34="","",IF(AND(安値!X34&lt;安値!W34,安値!X34&lt;安値!V34,安値!X34&lt;安値!Y34,安値!X34&lt;安値!Z34),19,""))</f>
        <v/>
      </c>
      <c r="T34" s="503" t="str">
        <f>IF(終値!A34="","",IF(AND(安値!Y34&lt;安値!X34,安値!Y34&lt;安値!W34,安値!Y34&lt;安値!Z34,安値!Y34&lt;安値!AA34),20,""))</f>
        <v/>
      </c>
      <c r="U34" s="503" t="str">
        <f>IF(終値!A34="","",IF(AND(安値!Z34&lt;安値!Y34,安値!Z34&lt;安値!X34,安値!Z34&lt;安値!AA34,安値!Z34&lt;安値!AB34),21,""))</f>
        <v/>
      </c>
      <c r="V34" s="503" t="str">
        <f>IF(終値!A34="","",IF(AND(安値!AA34&lt;安値!Z34,安値!AA34&lt;安値!Y34,安値!AA34&lt;安値!AB34,安値!AA34&lt;安値!AC34),22,""))</f>
        <v/>
      </c>
      <c r="W34" s="503" t="str">
        <f>IF(終値!A34="","",IF(AND(安値!AB34&lt;安値!AA34,安値!AB34&lt;安値!Z34,安値!AB34&lt;安値!AC34,安値!AB34&lt;安値!AD34),23,""))</f>
        <v/>
      </c>
      <c r="X34" s="503">
        <f>IF(終値!A34="","",IF(AND(安値!AC34&lt;安値!AB34,安値!AC34&lt;安値!AA34,安値!AC34&lt;安値!AD34,安値!AC34&lt;安値!AE34),24,""))</f>
        <v>24</v>
      </c>
      <c r="Y34" s="503" t="str">
        <f>IF(終値!A34="","",IF(AND(安値!AD34&lt;安値!AC34,安値!AD34&lt;安値!AB34,安値!AD34&lt;安値!AE34,安値!AD34&lt;安値!AF34),25,""))</f>
        <v/>
      </c>
      <c r="Z34" s="503" t="str">
        <f>IF(終値!A34="","",IF(AND(安値!AE34&lt;安値!AD34,安値!AE34&lt;安値!AC34,安値!AE34&lt;安値!AF34,安値!AE34&lt;安値!AG34),26,""))</f>
        <v/>
      </c>
      <c r="AA34" s="503" t="str">
        <f>IF(終値!A34="","",IF(AND(安値!AF34&lt;安値!AE34,安値!AF34&lt;安値!AD34,安値!AF34&lt;安値!AG34,安値!AF34&lt;安値!AH34),27,""))</f>
        <v/>
      </c>
      <c r="AB34" s="503" t="str">
        <f>IF(終値!A34="","",IF(AND(安値!AG34&lt;安値!AF34,安値!AG34&lt;安値!AE34,安値!AG34&lt;安値!AH34,安値!AG34&lt;安値!AI34),28,""))</f>
        <v/>
      </c>
      <c r="AC34" s="503" t="str">
        <f>IF(終値!A34="","",IF(AND(高値!G34&gt;高値!F34,高値!G34&gt;高値!E34,高値!G34&gt;高値!H34,高値!G34&gt;高値!I34),2,""))</f>
        <v/>
      </c>
      <c r="AD34" s="503" t="str">
        <f>IF(終値!A34="","",IF(AND(高値!H34&gt;高値!G34,高値!H34&gt;高値!F34,高値!H34&gt;高値!I34,高値!H34&gt;高値!J34),3,""))</f>
        <v/>
      </c>
      <c r="AE34" s="503" t="str">
        <f>IF(終値!A34="","",IF(AND(高値!I34&gt;高値!H34,高値!I34&gt;高値!G34,高値!I34&gt;高値!J34,高値!I34&gt;高値!K34),4,""))</f>
        <v/>
      </c>
      <c r="AF34" s="503" t="str">
        <f>IF(終値!A34="","",IF(AND(高値!J34&gt;高値!I34,高値!J34&gt;高値!H34,高値!J34&gt;高値!K34,高値!J34&gt;高値!L34),5,""))</f>
        <v/>
      </c>
      <c r="AG34" s="503">
        <f>IF(終値!A34="","",IF(AND(高値!K34&gt;高値!J34,高値!K34&gt;高値!I34,高値!K34&gt;高値!L34,高値!K34&gt;高値!M34),6,""))</f>
        <v>6</v>
      </c>
      <c r="AH34" s="503" t="str">
        <f>IF(終値!A34="","",IF(AND(高値!L34&gt;高値!K34,高値!L34&gt;高値!J34,高値!L34&gt;高値!M34,高値!L34&gt;高値!N34),7,""))</f>
        <v/>
      </c>
      <c r="AI34" s="503" t="str">
        <f>IF(終値!A34="","",IF(AND(高値!M34&gt;高値!L34,高値!M34&gt;高値!K34,高値!M34&gt;高値!N34,高値!M34&gt;高値!O34),8,""))</f>
        <v/>
      </c>
      <c r="AJ34" s="503" t="str">
        <f>IF(終値!A34="","",IF(AND(高値!N34&gt;高値!M34,高値!N34&gt;高値!L34,高値!N34&gt;高値!O34,高値!N34&gt;高値!P34),9,""))</f>
        <v/>
      </c>
      <c r="AK34" s="503" t="str">
        <f>IF(終値!A34="","",IF(AND(高値!O34&gt;高値!N34,高値!O34&gt;高値!M34,高値!O34&gt;高値!P34,高値!O34&gt;高値!Q34),10,""))</f>
        <v/>
      </c>
      <c r="AL34" s="503">
        <f>IF(終値!A34="","",IF(AND(高値!P34&gt;高値!O34,高値!P34&gt;高値!N34,高値!P34&gt;高値!Q34,高値!P34&gt;高値!R34),11,""))</f>
        <v>11</v>
      </c>
      <c r="AM34" s="503" t="str">
        <f>IF(終値!A34="","",IF(AND(高値!Q34&gt;高値!P34,高値!Q34&gt;高値!O34,高値!Q34&gt;高値!R34,高値!Q34&gt;高値!S34),12,""))</f>
        <v/>
      </c>
      <c r="AN34" s="503" t="str">
        <f>IF(終値!A34="","",IF(AND(高値!R34&gt;高値!Q34,高値!R34&gt;高値!P34,高値!R34&gt;高値!S34,高値!R34&gt;高値!T34),13,""))</f>
        <v/>
      </c>
      <c r="AO34" s="503" t="str">
        <f>IF(終値!A34="","",IF(AND(高値!S34&gt;高値!R34,高値!S34&gt;高値!Q34,高値!S34&gt;高値!T34,高値!S34&gt;高値!U34),14,""))</f>
        <v/>
      </c>
      <c r="AP34" s="503" t="str">
        <f>IF(終値!A34="","",IF(AND(高値!T34&gt;高値!S34,高値!T34&gt;高値!R34,高値!T34&gt;高値!U34,高値!T34&gt;高値!V34),15,""))</f>
        <v/>
      </c>
      <c r="AQ34" s="503" t="str">
        <f>IF(終値!A34="","",IF(AND(高値!U34&gt;高値!T34,高値!U34&gt;高値!S34,高値!U34&gt;高値!V34,高値!U34&gt;高値!W34),16,""))</f>
        <v/>
      </c>
      <c r="AR34" s="503" t="str">
        <f>IF(終値!A34="","",IF(AND(高値!V34&gt;高値!U34,高値!V34&gt;高値!T34,高値!V34&gt;高値!W34,高値!V34&gt;高値!X34),17,""))</f>
        <v/>
      </c>
      <c r="AS34" s="503" t="str">
        <f>IF(終値!A34="","",IF(AND(高値!W34&gt;高値!V34,高値!W34&gt;高値!U34,高値!W34&gt;高値!X34,高値!W34&gt;高値!Y34),18,""))</f>
        <v/>
      </c>
      <c r="AT34" s="503" t="str">
        <f>IF(終値!A34="","",IF(AND(高値!X34&gt;高値!W34,高値!X34&gt;高値!V34,高値!X34&gt;高値!Y34,高値!X34&gt;高値!Z34),19,""))</f>
        <v/>
      </c>
      <c r="AU34" s="503">
        <f>IF(終値!A34="","",IF(AND(高値!Y34&gt;高値!X34,高値!Y34&gt;高値!W34,高値!Y34&gt;高値!Z34,高値!Y34&gt;高値!AA34),20,""))</f>
        <v>20</v>
      </c>
      <c r="AV34" s="503" t="str">
        <f>IF(終値!A34="","",IF(AND(高値!Z34&gt;高値!Y34,高値!Z34&gt;高値!X34,高値!Z34&gt;高値!AA34,高値!Z34&gt;高値!AB34),21,""))</f>
        <v/>
      </c>
      <c r="AW34" s="503" t="str">
        <f>IF(終値!A34="","",IF(AND(高値!AA34&gt;高値!Z34,高値!AA34&gt;高値!Y34,高値!AA34&gt;高値!AB34,高値!AA34&gt;高値!AC34),22,""))</f>
        <v/>
      </c>
      <c r="AX34" s="503" t="str">
        <f>IF(終値!A34="","",IF(AND(高値!AB34&gt;高値!AA34,高値!AB34&gt;高値!Z34,高値!AB34&gt;高値!AC34,高値!AB34&gt;高値!AD34),23,""))</f>
        <v/>
      </c>
      <c r="AY34" s="503" t="str">
        <f>IF(終値!A34="","",IF(AND(高値!AC34&gt;高値!AB34,高値!AC34&gt;高値!AA34,高値!AC34&gt;高値!AD34,高値!AC34&gt;高値!AE34),24,""))</f>
        <v/>
      </c>
      <c r="AZ34" s="503" t="str">
        <f>IF(終値!A34="","",IF(AND(高値!AD34&gt;高値!AC34,高値!AD34&gt;高値!AB34,高値!AD34&gt;高値!AE34,高値!AD34&gt;高値!AF34),25,""))</f>
        <v/>
      </c>
      <c r="BA34" s="503" t="str">
        <f>IF(終値!A34="","",IF(AND(高値!AE34&gt;高値!AD34,高値!AE34&gt;高値!AC34,高値!AE34&gt;高値!AF34,高値!AE34&gt;高値!AG34),26,""))</f>
        <v/>
      </c>
      <c r="BB34" s="503" t="str">
        <f>IF(終値!A34="","",IF(AND(高値!AF34&gt;高値!AE34,高値!AF34&gt;高値!AD34,高値!AF34&gt;高値!AG34,高値!AF34&gt;高値!AH34),27,""))</f>
        <v/>
      </c>
      <c r="BC34" s="503" t="str">
        <f>IF(終値!A34="","",IF(AND(高値!AG34&gt;高値!AF34,高値!AG34&gt;高値!AE34,高値!AG34&gt;高値!AH34,高値!AG34&gt;高値!AI34),28,""))</f>
        <v/>
      </c>
      <c r="BD34" s="503">
        <f t="shared" si="0"/>
        <v>5</v>
      </c>
      <c r="BE34" s="503">
        <f t="shared" si="1"/>
        <v>3</v>
      </c>
      <c r="BF34" s="503">
        <f t="shared" si="2"/>
        <v>8</v>
      </c>
      <c r="BG34" s="503">
        <f>IF($BE34="","",INDEX(安値!$E34:$CZ34,1,$BE34+1))</f>
        <v>3915</v>
      </c>
      <c r="BH34" s="503">
        <f>IF($BF34="","",INDEX(安値!$E34:$CZ34,1,$BF34+1))</f>
        <v>4102</v>
      </c>
      <c r="BI34" s="503">
        <f>IF($BF34="","",MAX(INDEX(高値!$E34:$CZ34,1,$BE34+1):INDEX(高値!$E34:$CZ34,1,$BF34+1)))</f>
        <v>4315</v>
      </c>
      <c r="BJ34" s="503">
        <f>IF($BF34="","",AVERAGE(INDEX(終値!$E34:$CZ34,1,$BF34+1):INDEX(終値!$E34:$CZ34,1,$BF34+20))-2*STDEVP(INDEX(終値!$E34:$CZ34,1,$BF34+1):INDEX(終値!$E34:$CZ34,1,$BF34+20)))</f>
        <v>3820.6384126596254</v>
      </c>
      <c r="BK34" s="503">
        <f>IF($BE34="","",AVERAGE(INDEX(終値!$E34:$CZ34,1,$BE34+1):INDEX(終値!$E34:$CZ34,1,$BE34+20))-2*STDEVP(INDEX(終値!$E34:$CZ34,1,$BE34+1):INDEX(終値!$E34:$CZ34,1,$BE34+20)))</f>
        <v>3840.9035965195944</v>
      </c>
      <c r="BL34" s="503">
        <f t="shared" si="3"/>
        <v>3</v>
      </c>
      <c r="BM34" s="503">
        <f t="shared" si="4"/>
        <v>6</v>
      </c>
      <c r="BN34" s="503">
        <f t="shared" si="5"/>
        <v>11</v>
      </c>
      <c r="BO34" s="503">
        <f>IF($BM34="","",INDEX(高値!$E34:$CZ34,1,$BM34+1))</f>
        <v>4315</v>
      </c>
      <c r="BP34" s="503">
        <f>IF($BN34="","",INDEX(高値!$E34:$CZ34,1,$BN34+1))</f>
        <v>4295</v>
      </c>
      <c r="BQ34" s="503">
        <f>IF($BN34="","",MIN(INDEX(安値!$E34:$CZ34,1,$BM34+1):INDEX(安値!$E34:$CZ34,1,$BN34+1)))</f>
        <v>4102</v>
      </c>
      <c r="BR34" s="503">
        <f>IF($BN34="","",AVERAGE(INDEX(終値!$E34:$CZ34,1,$BN34+1):INDEX(終値!$E34:$CZ34,1,$BN34+20))+2*STDEVP(INDEX(終値!$E34:$CZ34,1,$BN34+1):INDEX(終値!$E34:$CZ34,1,$BN34+20)))</f>
        <v>4214.4543970659652</v>
      </c>
      <c r="BS34" s="503">
        <f>IF($BM34="","",AVERAGE(INDEX(終値!$E34:$CZ34,1,$BM34+1):INDEX(終値!$E34:$CZ34,1,$BM34+20))+2*STDEVP(INDEX(終値!$E34:$CZ34,1,$BM34+1):INDEX(終値!$E34:$CZ34,1,$BM34+20)))</f>
        <v>4288.111769326968</v>
      </c>
      <c r="BT34" s="500"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二番底W▲</v>
      </c>
    </row>
    <row r="35" spans="2:72">
      <c r="B35" s="503" t="str">
        <f>IF(終値!A35="","",IF(AND(安値!G35&lt;安値!F35,安値!G35&lt;安値!E35,安値!G35&lt;安値!H35,安値!G35&lt;安値!I35),2,""))</f>
        <v/>
      </c>
      <c r="C35" s="503" t="str">
        <f>IF(終値!A35="","",IF(AND(安値!H35&lt;安値!G35,安値!H35&lt;安値!F35,安値!H35&lt;安値!I35,安値!H35&lt;安値!J35),3,""))</f>
        <v/>
      </c>
      <c r="D35" s="503" t="str">
        <f>IF(終値!A35="","",IF(AND(安値!I35&lt;安値!H35,安値!I35&lt;安値!G35,安値!I35&lt;安値!J35,安値!I35&lt;安値!K35),4,""))</f>
        <v/>
      </c>
      <c r="E35" s="503">
        <f>IF(終値!A35="","",IF(AND(安値!J35&lt;安値!I35,安値!J35&lt;安値!H35,安値!J35&lt;安値!K35,安値!J35&lt;安値!L35),5,""))</f>
        <v>5</v>
      </c>
      <c r="F35" s="503" t="str">
        <f>IF(終値!A35="","",IF(AND(安値!K35&lt;安値!J35,安値!K35&lt;安値!I35,安値!K35&lt;安値!L35,安値!K35&lt;安値!M35),6,""))</f>
        <v/>
      </c>
      <c r="G35" s="503" t="str">
        <f>IF(終値!A35="","",IF(AND(安値!L35&lt;安値!K35,安値!L35&lt;安値!J35,安値!L35&lt;安値!M35,安値!L35&lt;安値!N35),7,""))</f>
        <v/>
      </c>
      <c r="H35" s="503" t="str">
        <f>IF(終値!A35="","",IF(AND(安値!M35&lt;安値!L35,安値!M35&lt;安値!K35,安値!M35&lt;安値!N35,安値!M35&lt;安値!O35),8,""))</f>
        <v/>
      </c>
      <c r="I35" s="503" t="str">
        <f>IF(終値!A35="","",IF(AND(安値!N35&lt;安値!M35,安値!N35&lt;安値!L35,安値!N35&lt;安値!O35,安値!N35&lt;安値!P35),9,""))</f>
        <v/>
      </c>
      <c r="J35" s="503" t="str">
        <f>IF(終値!A35="","",IF(AND(安値!O35&lt;安値!N35,安値!O35&lt;安値!M35,安値!O35&lt;安値!P35,安値!O35&lt;安値!Q35),10,""))</f>
        <v/>
      </c>
      <c r="K35" s="503" t="str">
        <f>IF(終値!A35="","",IF(AND(安値!P35&lt;安値!O35,安値!P35&lt;安値!N35,安値!P35&lt;安値!Q35,安値!P35&lt;安値!R35),11,""))</f>
        <v/>
      </c>
      <c r="L35" s="503" t="str">
        <f>IF(終値!A35="","",IF(AND(安値!Q35&lt;安値!P35,安値!Q35&lt;安値!O35,安値!Q35&lt;安値!R35,安値!Q35&lt;安値!S35),12,""))</f>
        <v/>
      </c>
      <c r="M35" s="503">
        <f>IF(終値!A35="","",IF(AND(安値!R35&lt;安値!Q35,安値!R35&lt;安値!P35,安値!R35&lt;安値!S35,安値!R35&lt;安値!T35),13,""))</f>
        <v>13</v>
      </c>
      <c r="N35" s="503" t="str">
        <f>IF(終値!A35="","",IF(AND(安値!S35&lt;安値!R35,安値!S35&lt;安値!Q35,安値!S35&lt;安値!T35,安値!S35&lt;安値!U35),14,""))</f>
        <v/>
      </c>
      <c r="O35" s="503" t="str">
        <f>IF(終値!A35="","",IF(AND(安値!T35&lt;安値!S35,安値!T35&lt;安値!R35,安値!T35&lt;安値!U35,安値!T35&lt;安値!V35),15,""))</f>
        <v/>
      </c>
      <c r="P35" s="503" t="str">
        <f>IF(終値!A35="","",IF(AND(安値!U35&lt;安値!T35,安値!U35&lt;安値!S35,安値!U35&lt;安値!V35,安値!U35&lt;安値!W35),16,""))</f>
        <v/>
      </c>
      <c r="Q35" s="503" t="str">
        <f>IF(終値!A35="","",IF(AND(安値!V35&lt;安値!U35,安値!V35&lt;安値!T35,安値!V35&lt;安値!W35,安値!V35&lt;安値!X35),17,""))</f>
        <v/>
      </c>
      <c r="R35" s="503" t="str">
        <f>IF(終値!A35="","",IF(AND(安値!W35&lt;安値!V35,安値!W35&lt;安値!U35,安値!W35&lt;安値!X35,安値!W35&lt;安値!Y35),18,""))</f>
        <v/>
      </c>
      <c r="S35" s="503" t="str">
        <f>IF(終値!A35="","",IF(AND(安値!X35&lt;安値!W35,安値!X35&lt;安値!V35,安値!X35&lt;安値!Y35,安値!X35&lt;安値!Z35),19,""))</f>
        <v/>
      </c>
      <c r="T35" s="503" t="str">
        <f>IF(終値!A35="","",IF(AND(安値!Y35&lt;安値!X35,安値!Y35&lt;安値!W35,安値!Y35&lt;安値!Z35,安値!Y35&lt;安値!AA35),20,""))</f>
        <v/>
      </c>
      <c r="U35" s="503" t="str">
        <f>IF(終値!A35="","",IF(AND(安値!Z35&lt;安値!Y35,安値!Z35&lt;安値!X35,安値!Z35&lt;安値!AA35,安値!Z35&lt;安値!AB35),21,""))</f>
        <v/>
      </c>
      <c r="V35" s="503" t="str">
        <f>IF(終値!A35="","",IF(AND(安値!AA35&lt;安値!Z35,安値!AA35&lt;安値!Y35,安値!AA35&lt;安値!AB35,安値!AA35&lt;安値!AC35),22,""))</f>
        <v/>
      </c>
      <c r="W35" s="503" t="str">
        <f>IF(終値!A35="","",IF(AND(安値!AB35&lt;安値!AA35,安値!AB35&lt;安値!Z35,安値!AB35&lt;安値!AC35,安値!AB35&lt;安値!AD35),23,""))</f>
        <v/>
      </c>
      <c r="X35" s="503" t="str">
        <f>IF(終値!A35="","",IF(AND(安値!AC35&lt;安値!AB35,安値!AC35&lt;安値!AA35,安値!AC35&lt;安値!AD35,安値!AC35&lt;安値!AE35),24,""))</f>
        <v/>
      </c>
      <c r="Y35" s="503" t="str">
        <f>IF(終値!A35="","",IF(AND(安値!AD35&lt;安値!AC35,安値!AD35&lt;安値!AB35,安値!AD35&lt;安値!AE35,安値!AD35&lt;安値!AF35),25,""))</f>
        <v/>
      </c>
      <c r="Z35" s="503">
        <f>IF(終値!A35="","",IF(AND(安値!AE35&lt;安値!AD35,安値!AE35&lt;安値!AC35,安値!AE35&lt;安値!AF35,安値!AE35&lt;安値!AG35),26,""))</f>
        <v>26</v>
      </c>
      <c r="AA35" s="503" t="str">
        <f>IF(終値!A35="","",IF(AND(安値!AF35&lt;安値!AE35,安値!AF35&lt;安値!AD35,安値!AF35&lt;安値!AG35,安値!AF35&lt;安値!AH35),27,""))</f>
        <v/>
      </c>
      <c r="AB35" s="503" t="str">
        <f>IF(終値!A35="","",IF(AND(安値!AG35&lt;安値!AF35,安値!AG35&lt;安値!AE35,安値!AG35&lt;安値!AH35,安値!AG35&lt;安値!AI35),28,""))</f>
        <v/>
      </c>
      <c r="AC35" s="503" t="str">
        <f>IF(終値!A35="","",IF(AND(高値!G35&gt;高値!F35,高値!G35&gt;高値!E35,高値!G35&gt;高値!H35,高値!G35&gt;高値!I35),2,""))</f>
        <v/>
      </c>
      <c r="AD35" s="503" t="str">
        <f>IF(終値!A35="","",IF(AND(高値!H35&gt;高値!G35,高値!H35&gt;高値!F35,高値!H35&gt;高値!I35,高値!H35&gt;高値!J35),3,""))</f>
        <v/>
      </c>
      <c r="AE35" s="503" t="str">
        <f>IF(終値!A35="","",IF(AND(高値!I35&gt;高値!H35,高値!I35&gt;高値!G35,高値!I35&gt;高値!J35,高値!I35&gt;高値!K35),4,""))</f>
        <v/>
      </c>
      <c r="AF35" s="503" t="str">
        <f>IF(終値!A35="","",IF(AND(高値!J35&gt;高値!I35,高値!J35&gt;高値!H35,高値!J35&gt;高値!K35,高値!J35&gt;高値!L35),5,""))</f>
        <v/>
      </c>
      <c r="AG35" s="503" t="str">
        <f>IF(終値!A35="","",IF(AND(高値!K35&gt;高値!J35,高値!K35&gt;高値!I35,高値!K35&gt;高値!L35,高値!K35&gt;高値!M35),6,""))</f>
        <v/>
      </c>
      <c r="AH35" s="503" t="str">
        <f>IF(終値!A35="","",IF(AND(高値!L35&gt;高値!K35,高値!L35&gt;高値!J35,高値!L35&gt;高値!M35,高値!L35&gt;高値!N35),7,""))</f>
        <v/>
      </c>
      <c r="AI35" s="503">
        <f>IF(終値!A35="","",IF(AND(高値!M35&gt;高値!L35,高値!M35&gt;高値!K35,高値!M35&gt;高値!N35,高値!M35&gt;高値!O35),8,""))</f>
        <v>8</v>
      </c>
      <c r="AJ35" s="503" t="str">
        <f>IF(終値!A35="","",IF(AND(高値!N35&gt;高値!M35,高値!N35&gt;高値!L35,高値!N35&gt;高値!O35,高値!N35&gt;高値!P35),9,""))</f>
        <v/>
      </c>
      <c r="AK35" s="503" t="str">
        <f>IF(終値!A35="","",IF(AND(高値!O35&gt;高値!N35,高値!O35&gt;高値!M35,高値!O35&gt;高値!P35,高値!O35&gt;高値!Q35),10,""))</f>
        <v/>
      </c>
      <c r="AL35" s="503" t="str">
        <f>IF(終値!A35="","",IF(AND(高値!P35&gt;高値!O35,高値!P35&gt;高値!N35,高値!P35&gt;高値!Q35,高値!P35&gt;高値!R35),11,""))</f>
        <v/>
      </c>
      <c r="AM35" s="503" t="str">
        <f>IF(終値!A35="","",IF(AND(高値!Q35&gt;高値!P35,高値!Q35&gt;高値!O35,高値!Q35&gt;高値!R35,高値!Q35&gt;高値!S35),12,""))</f>
        <v/>
      </c>
      <c r="AN35" s="503" t="str">
        <f>IF(終値!A35="","",IF(AND(高値!R35&gt;高値!Q35,高値!R35&gt;高値!P35,高値!R35&gt;高値!S35,高値!R35&gt;高値!T35),13,""))</f>
        <v/>
      </c>
      <c r="AO35" s="503">
        <f>IF(終値!A35="","",IF(AND(高値!S35&gt;高値!R35,高値!S35&gt;高値!Q35,高値!S35&gt;高値!T35,高値!S35&gt;高値!U35),14,""))</f>
        <v>14</v>
      </c>
      <c r="AP35" s="503" t="str">
        <f>IF(終値!A35="","",IF(AND(高値!T35&gt;高値!S35,高値!T35&gt;高値!R35,高値!T35&gt;高値!U35,高値!T35&gt;高値!V35),15,""))</f>
        <v/>
      </c>
      <c r="AQ35" s="503" t="str">
        <f>IF(終値!A35="","",IF(AND(高値!U35&gt;高値!T35,高値!U35&gt;高値!S35,高値!U35&gt;高値!V35,高値!U35&gt;高値!W35),16,""))</f>
        <v/>
      </c>
      <c r="AR35" s="503" t="str">
        <f>IF(終値!A35="","",IF(AND(高値!V35&gt;高値!U35,高値!V35&gt;高値!T35,高値!V35&gt;高値!W35,高値!V35&gt;高値!X35),17,""))</f>
        <v/>
      </c>
      <c r="AS35" s="503" t="str">
        <f>IF(終値!A35="","",IF(AND(高値!W35&gt;高値!V35,高値!W35&gt;高値!U35,高値!W35&gt;高値!X35,高値!W35&gt;高値!Y35),18,""))</f>
        <v/>
      </c>
      <c r="AT35" s="503" t="str">
        <f>IF(終値!A35="","",IF(AND(高値!X35&gt;高値!W35,高値!X35&gt;高値!V35,高値!X35&gt;高値!Y35,高値!X35&gt;高値!Z35),19,""))</f>
        <v/>
      </c>
      <c r="AU35" s="503">
        <f>IF(終値!A35="","",IF(AND(高値!Y35&gt;高値!X35,高値!Y35&gt;高値!W35,高値!Y35&gt;高値!Z35,高値!Y35&gt;高値!AA35),20,""))</f>
        <v>20</v>
      </c>
      <c r="AV35" s="503" t="str">
        <f>IF(終値!A35="","",IF(AND(高値!Z35&gt;高値!Y35,高値!Z35&gt;高値!X35,高値!Z35&gt;高値!AA35,高値!Z35&gt;高値!AB35),21,""))</f>
        <v/>
      </c>
      <c r="AW35" s="503" t="str">
        <f>IF(終値!A35="","",IF(AND(高値!AA35&gt;高値!Z35,高値!AA35&gt;高値!Y35,高値!AA35&gt;高値!AB35,高値!AA35&gt;高値!AC35),22,""))</f>
        <v/>
      </c>
      <c r="AX35" s="503" t="str">
        <f>IF(終値!A35="","",IF(AND(高値!AB35&gt;高値!AA35,高値!AB35&gt;高値!Z35,高値!AB35&gt;高値!AC35,高値!AB35&gt;高値!AD35),23,""))</f>
        <v/>
      </c>
      <c r="AY35" s="503" t="str">
        <f>IF(終値!A35="","",IF(AND(高値!AC35&gt;高値!AB35,高値!AC35&gt;高値!AA35,高値!AC35&gt;高値!AD35,高値!AC35&gt;高値!AE35),24,""))</f>
        <v/>
      </c>
      <c r="AZ35" s="503" t="str">
        <f>IF(終値!A35="","",IF(AND(高値!AD35&gt;高値!AC35,高値!AD35&gt;高値!AB35,高値!AD35&gt;高値!AE35,高値!AD35&gt;高値!AF35),25,""))</f>
        <v/>
      </c>
      <c r="BA35" s="503" t="str">
        <f>IF(終値!A35="","",IF(AND(高値!AE35&gt;高値!AD35,高値!AE35&gt;高値!AC35,高値!AE35&gt;高値!AF35,高値!AE35&gt;高値!AG35),26,""))</f>
        <v/>
      </c>
      <c r="BB35" s="503" t="str">
        <f>IF(終値!A35="","",IF(AND(高値!AF35&gt;高値!AE35,高値!AF35&gt;高値!AD35,高値!AF35&gt;高値!AG35,高値!AF35&gt;高値!AH35),27,""))</f>
        <v/>
      </c>
      <c r="BC35" s="503" t="str">
        <f>IF(終値!A35="","",IF(AND(高値!AG35&gt;高値!AF35,高値!AG35&gt;高値!AE35,高値!AG35&gt;高値!AH35,高値!AG35&gt;高値!AI35),28,""))</f>
        <v/>
      </c>
      <c r="BD35" s="503">
        <f t="shared" si="0"/>
        <v>3</v>
      </c>
      <c r="BE35" s="503">
        <f t="shared" si="1"/>
        <v>5</v>
      </c>
      <c r="BF35" s="503">
        <f t="shared" si="2"/>
        <v>13</v>
      </c>
      <c r="BG35" s="503">
        <f>IF($BE35="","",INDEX(安値!$E35:$CZ35,1,$BE35+1))</f>
        <v>2153</v>
      </c>
      <c r="BH35" s="503">
        <f>IF($BF35="","",INDEX(安値!$E35:$CZ35,1,$BF35+1))</f>
        <v>2197</v>
      </c>
      <c r="BI35" s="503">
        <f>IF($BF35="","",MAX(INDEX(高値!$E35:$CZ35,1,$BE35+1):INDEX(高値!$E35:$CZ35,1,$BF35+1)))</f>
        <v>2420</v>
      </c>
      <c r="BJ35" s="503">
        <f>IF($BF35="","",AVERAGE(INDEX(終値!$E35:$CZ35,1,$BF35+1):INDEX(終値!$E35:$CZ35,1,$BF35+20))-2*STDEVP(INDEX(終値!$E35:$CZ35,1,$BF35+1):INDEX(終値!$E35:$CZ35,1,$BF35+20)))</f>
        <v>2028.6637273771644</v>
      </c>
      <c r="BK35" s="503">
        <f>IF($BE35="","",AVERAGE(INDEX(終値!$E35:$CZ35,1,$BE35+1):INDEX(終値!$E35:$CZ35,1,$BE35+20))-2*STDEVP(INDEX(終値!$E35:$CZ35,1,$BE35+1):INDEX(終値!$E35:$CZ35,1,$BE35+20)))</f>
        <v>2147.4360215293264</v>
      </c>
      <c r="BL35" s="503">
        <f t="shared" si="3"/>
        <v>3</v>
      </c>
      <c r="BM35" s="503">
        <f t="shared" si="4"/>
        <v>8</v>
      </c>
      <c r="BN35" s="503">
        <f t="shared" si="5"/>
        <v>14</v>
      </c>
      <c r="BO35" s="503">
        <f>IF($BM35="","",INDEX(高値!$E35:$CZ35,1,$BM35+1))</f>
        <v>2420</v>
      </c>
      <c r="BP35" s="503">
        <f>IF($BN35="","",INDEX(高値!$E35:$CZ35,1,$BN35+1))</f>
        <v>2420.5</v>
      </c>
      <c r="BQ35" s="503">
        <f>IF($BN35="","",MIN(INDEX(安値!$E35:$CZ35,1,$BM35+1):INDEX(安値!$E35:$CZ35,1,$BN35+1)))</f>
        <v>2197</v>
      </c>
      <c r="BR35" s="503">
        <f>IF($BN35="","",AVERAGE(INDEX(終値!$E35:$CZ35,1,$BN35+1):INDEX(終値!$E35:$CZ35,1,$BN35+20))+2*STDEVP(INDEX(終値!$E35:$CZ35,1,$BN35+1):INDEX(終値!$E35:$CZ35,1,$BN35+20)))</f>
        <v>2441.9646695636857</v>
      </c>
      <c r="BS35" s="503">
        <f>IF($BM35="","",AVERAGE(INDEX(終値!$E35:$CZ35,1,$BM35+1):INDEX(終値!$E35:$CZ35,1,$BM35+20))+2*STDEVP(INDEX(終値!$E35:$CZ35,1,$BM35+1):INDEX(終値!$E35:$CZ35,1,$BM35+20)))</f>
        <v>2480.2154702557827</v>
      </c>
      <c r="BT35" s="500"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二番底W形成</v>
      </c>
    </row>
    <row r="36" spans="2:72">
      <c r="B36" s="503" t="str">
        <f>IF(終値!A36="","",IF(AND(安値!G36&lt;安値!F36,安値!G36&lt;安値!E36,安値!G36&lt;安値!H36,安値!G36&lt;安値!I36),2,""))</f>
        <v/>
      </c>
      <c r="C36" s="503">
        <f>IF(終値!A36="","",IF(AND(安値!H36&lt;安値!G36,安値!H36&lt;安値!F36,安値!H36&lt;安値!I36,安値!H36&lt;安値!J36),3,""))</f>
        <v>3</v>
      </c>
      <c r="D36" s="503" t="str">
        <f>IF(終値!A36="","",IF(AND(安値!I36&lt;安値!H36,安値!I36&lt;安値!G36,安値!I36&lt;安値!J36,安値!I36&lt;安値!K36),4,""))</f>
        <v/>
      </c>
      <c r="E36" s="503" t="str">
        <f>IF(終値!A36="","",IF(AND(安値!J36&lt;安値!I36,安値!J36&lt;安値!H36,安値!J36&lt;安値!K36,安値!J36&lt;安値!L36),5,""))</f>
        <v/>
      </c>
      <c r="F36" s="503" t="str">
        <f>IF(終値!A36="","",IF(AND(安値!K36&lt;安値!J36,安値!K36&lt;安値!I36,安値!K36&lt;安値!L36,安値!K36&lt;安値!M36),6,""))</f>
        <v/>
      </c>
      <c r="G36" s="503" t="str">
        <f>IF(終値!A36="","",IF(AND(安値!L36&lt;安値!K36,安値!L36&lt;安値!J36,安値!L36&lt;安値!M36,安値!L36&lt;安値!N36),7,""))</f>
        <v/>
      </c>
      <c r="H36" s="503" t="str">
        <f>IF(終値!A36="","",IF(AND(安値!M36&lt;安値!L36,安値!M36&lt;安値!K36,安値!M36&lt;安値!N36,安値!M36&lt;安値!O36),8,""))</f>
        <v/>
      </c>
      <c r="I36" s="503">
        <f>IF(終値!A36="","",IF(AND(安値!N36&lt;安値!M36,安値!N36&lt;安値!L36,安値!N36&lt;安値!O36,安値!N36&lt;安値!P36),9,""))</f>
        <v>9</v>
      </c>
      <c r="J36" s="503" t="str">
        <f>IF(終値!A36="","",IF(AND(安値!O36&lt;安値!N36,安値!O36&lt;安値!M36,安値!O36&lt;安値!P36,安値!O36&lt;安値!Q36),10,""))</f>
        <v/>
      </c>
      <c r="K36" s="503" t="str">
        <f>IF(終値!A36="","",IF(AND(安値!P36&lt;安値!O36,安値!P36&lt;安値!N36,安値!P36&lt;安値!Q36,安値!P36&lt;安値!R36),11,""))</f>
        <v/>
      </c>
      <c r="L36" s="503" t="str">
        <f>IF(終値!A36="","",IF(AND(安値!Q36&lt;安値!P36,安値!Q36&lt;安値!O36,安値!Q36&lt;安値!R36,安値!Q36&lt;安値!S36),12,""))</f>
        <v/>
      </c>
      <c r="M36" s="503" t="str">
        <f>IF(終値!A36="","",IF(AND(安値!R36&lt;安値!Q36,安値!R36&lt;安値!P36,安値!R36&lt;安値!S36,安値!R36&lt;安値!T36),13,""))</f>
        <v/>
      </c>
      <c r="N36" s="503" t="str">
        <f>IF(終値!A36="","",IF(AND(安値!S36&lt;安値!R36,安値!S36&lt;安値!Q36,安値!S36&lt;安値!T36,安値!S36&lt;安値!U36),14,""))</f>
        <v/>
      </c>
      <c r="O36" s="503" t="str">
        <f>IF(終値!A36="","",IF(AND(安値!T36&lt;安値!S36,安値!T36&lt;安値!R36,安値!T36&lt;安値!U36,安値!T36&lt;安値!V36),15,""))</f>
        <v/>
      </c>
      <c r="P36" s="503">
        <f>IF(終値!A36="","",IF(AND(安値!U36&lt;安値!T36,安値!U36&lt;安値!S36,安値!U36&lt;安値!V36,安値!U36&lt;安値!W36),16,""))</f>
        <v>16</v>
      </c>
      <c r="Q36" s="503" t="str">
        <f>IF(終値!A36="","",IF(AND(安値!V36&lt;安値!U36,安値!V36&lt;安値!T36,安値!V36&lt;安値!W36,安値!V36&lt;安値!X36),17,""))</f>
        <v/>
      </c>
      <c r="R36" s="503" t="str">
        <f>IF(終値!A36="","",IF(AND(安値!W36&lt;安値!V36,安値!W36&lt;安値!U36,安値!W36&lt;安値!X36,安値!W36&lt;安値!Y36),18,""))</f>
        <v/>
      </c>
      <c r="S36" s="503" t="str">
        <f>IF(終値!A36="","",IF(AND(安値!X36&lt;安値!W36,安値!X36&lt;安値!V36,安値!X36&lt;安値!Y36,安値!X36&lt;安値!Z36),19,""))</f>
        <v/>
      </c>
      <c r="T36" s="503" t="str">
        <f>IF(終値!A36="","",IF(AND(安値!Y36&lt;安値!X36,安値!Y36&lt;安値!W36,安値!Y36&lt;安値!Z36,安値!Y36&lt;安値!AA36),20,""))</f>
        <v/>
      </c>
      <c r="U36" s="503" t="str">
        <f>IF(終値!A36="","",IF(AND(安値!Z36&lt;安値!Y36,安値!Z36&lt;安値!X36,安値!Z36&lt;安値!AA36,安値!Z36&lt;安値!AB36),21,""))</f>
        <v/>
      </c>
      <c r="V36" s="503" t="str">
        <f>IF(終値!A36="","",IF(AND(安値!AA36&lt;安値!Z36,安値!AA36&lt;安値!Y36,安値!AA36&lt;安値!AB36,安値!AA36&lt;安値!AC36),22,""))</f>
        <v/>
      </c>
      <c r="W36" s="503" t="str">
        <f>IF(終値!A36="","",IF(AND(安値!AB36&lt;安値!AA36,安値!AB36&lt;安値!Z36,安値!AB36&lt;安値!AC36,安値!AB36&lt;安値!AD36),23,""))</f>
        <v/>
      </c>
      <c r="X36" s="503" t="str">
        <f>IF(終値!A36="","",IF(AND(安値!AC36&lt;安値!AB36,安値!AC36&lt;安値!AA36,安値!AC36&lt;安値!AD36,安値!AC36&lt;安値!AE36),24,""))</f>
        <v/>
      </c>
      <c r="Y36" s="503" t="str">
        <f>IF(終値!A36="","",IF(AND(安値!AD36&lt;安値!AC36,安値!AD36&lt;安値!AB36,安値!AD36&lt;安値!AE36,安値!AD36&lt;安値!AF36),25,""))</f>
        <v/>
      </c>
      <c r="Z36" s="503" t="str">
        <f>IF(終値!A36="","",IF(AND(安値!AE36&lt;安値!AD36,安値!AE36&lt;安値!AC36,安値!AE36&lt;安値!AF36,安値!AE36&lt;安値!AG36),26,""))</f>
        <v/>
      </c>
      <c r="AA36" s="503" t="str">
        <f>IF(終値!A36="","",IF(AND(安値!AF36&lt;安値!AE36,安値!AF36&lt;安値!AD36,安値!AF36&lt;安値!AG36,安値!AF36&lt;安値!AH36),27,""))</f>
        <v/>
      </c>
      <c r="AB36" s="503" t="str">
        <f>IF(終値!A36="","",IF(AND(安値!AG36&lt;安値!AF36,安値!AG36&lt;安値!AE36,安値!AG36&lt;安値!AH36,安値!AG36&lt;安値!AI36),28,""))</f>
        <v/>
      </c>
      <c r="AC36" s="503" t="str">
        <f>IF(終値!A36="","",IF(AND(高値!G36&gt;高値!F36,高値!G36&gt;高値!E36,高値!G36&gt;高値!H36,高値!G36&gt;高値!I36),2,""))</f>
        <v/>
      </c>
      <c r="AD36" s="503" t="str">
        <f>IF(終値!A36="","",IF(AND(高値!H36&gt;高値!G36,高値!H36&gt;高値!F36,高値!H36&gt;高値!I36,高値!H36&gt;高値!J36),3,""))</f>
        <v/>
      </c>
      <c r="AE36" s="503" t="str">
        <f>IF(終値!A36="","",IF(AND(高値!I36&gt;高値!H36,高値!I36&gt;高値!G36,高値!I36&gt;高値!J36,高値!I36&gt;高値!K36),4,""))</f>
        <v/>
      </c>
      <c r="AF36" s="503" t="str">
        <f>IF(終値!A36="","",IF(AND(高値!J36&gt;高値!I36,高値!J36&gt;高値!H36,高値!J36&gt;高値!K36,高値!J36&gt;高値!L36),5,""))</f>
        <v/>
      </c>
      <c r="AG36" s="503">
        <f>IF(終値!A36="","",IF(AND(高値!K36&gt;高値!J36,高値!K36&gt;高値!I36,高値!K36&gt;高値!L36,高値!K36&gt;高値!M36),6,""))</f>
        <v>6</v>
      </c>
      <c r="AH36" s="503" t="str">
        <f>IF(終値!A36="","",IF(AND(高値!L36&gt;高値!K36,高値!L36&gt;高値!J36,高値!L36&gt;高値!M36,高値!L36&gt;高値!N36),7,""))</f>
        <v/>
      </c>
      <c r="AI36" s="503" t="str">
        <f>IF(終値!A36="","",IF(AND(高値!M36&gt;高値!L36,高値!M36&gt;高値!K36,高値!M36&gt;高値!N36,高値!M36&gt;高値!O36),8,""))</f>
        <v/>
      </c>
      <c r="AJ36" s="503" t="str">
        <f>IF(終値!A36="","",IF(AND(高値!N36&gt;高値!M36,高値!N36&gt;高値!L36,高値!N36&gt;高値!O36,高値!N36&gt;高値!P36),9,""))</f>
        <v/>
      </c>
      <c r="AK36" s="503" t="str">
        <f>IF(終値!A36="","",IF(AND(高値!O36&gt;高値!N36,高値!O36&gt;高値!M36,高値!O36&gt;高値!P36,高値!O36&gt;高値!Q36),10,""))</f>
        <v/>
      </c>
      <c r="AL36" s="503" t="str">
        <f>IF(終値!A36="","",IF(AND(高値!P36&gt;高値!O36,高値!P36&gt;高値!N36,高値!P36&gt;高値!Q36,高値!P36&gt;高値!R36),11,""))</f>
        <v/>
      </c>
      <c r="AM36" s="503" t="str">
        <f>IF(終値!A36="","",IF(AND(高値!Q36&gt;高値!P36,高値!Q36&gt;高値!O36,高値!Q36&gt;高値!R36,高値!Q36&gt;高値!S36),12,""))</f>
        <v/>
      </c>
      <c r="AN36" s="503">
        <f>IF(終値!A36="","",IF(AND(高値!R36&gt;高値!Q36,高値!R36&gt;高値!P36,高値!R36&gt;高値!S36,高値!R36&gt;高値!T36),13,""))</f>
        <v>13</v>
      </c>
      <c r="AO36" s="503" t="str">
        <f>IF(終値!A36="","",IF(AND(高値!S36&gt;高値!R36,高値!S36&gt;高値!Q36,高値!S36&gt;高値!T36,高値!S36&gt;高値!U36),14,""))</f>
        <v/>
      </c>
      <c r="AP36" s="503" t="str">
        <f>IF(終値!A36="","",IF(AND(高値!T36&gt;高値!S36,高値!T36&gt;高値!R36,高値!T36&gt;高値!U36,高値!T36&gt;高値!V36),15,""))</f>
        <v/>
      </c>
      <c r="AQ36" s="503" t="str">
        <f>IF(終値!A36="","",IF(AND(高値!U36&gt;高値!T36,高値!U36&gt;高値!S36,高値!U36&gt;高値!V36,高値!U36&gt;高値!W36),16,""))</f>
        <v/>
      </c>
      <c r="AR36" s="503" t="str">
        <f>IF(終値!A36="","",IF(AND(高値!V36&gt;高値!U36,高値!V36&gt;高値!T36,高値!V36&gt;高値!W36,高値!V36&gt;高値!X36),17,""))</f>
        <v/>
      </c>
      <c r="AS36" s="503" t="str">
        <f>IF(終値!A36="","",IF(AND(高値!W36&gt;高値!V36,高値!W36&gt;高値!U36,高値!W36&gt;高値!X36,高値!W36&gt;高値!Y36),18,""))</f>
        <v/>
      </c>
      <c r="AT36" s="503">
        <f>IF(終値!A36="","",IF(AND(高値!X36&gt;高値!W36,高値!X36&gt;高値!V36,高値!X36&gt;高値!Y36,高値!X36&gt;高値!Z36),19,""))</f>
        <v>19</v>
      </c>
      <c r="AU36" s="503" t="str">
        <f>IF(終値!A36="","",IF(AND(高値!Y36&gt;高値!X36,高値!Y36&gt;高値!W36,高値!Y36&gt;高値!Z36,高値!Y36&gt;高値!AA36),20,""))</f>
        <v/>
      </c>
      <c r="AV36" s="503" t="str">
        <f>IF(終値!A36="","",IF(AND(高値!Z36&gt;高値!Y36,高値!Z36&gt;高値!X36,高値!Z36&gt;高値!AA36,高値!Z36&gt;高値!AB36),21,""))</f>
        <v/>
      </c>
      <c r="AW36" s="503" t="str">
        <f>IF(終値!A36="","",IF(AND(高値!AA36&gt;高値!Z36,高値!AA36&gt;高値!Y36,高値!AA36&gt;高値!AB36,高値!AA36&gt;高値!AC36),22,""))</f>
        <v/>
      </c>
      <c r="AX36" s="503" t="str">
        <f>IF(終値!A36="","",IF(AND(高値!AB36&gt;高値!AA36,高値!AB36&gt;高値!Z36,高値!AB36&gt;高値!AC36,高値!AB36&gt;高値!AD36),23,""))</f>
        <v/>
      </c>
      <c r="AY36" s="503" t="str">
        <f>IF(終値!A36="","",IF(AND(高値!AC36&gt;高値!AB36,高値!AC36&gt;高値!AA36,高値!AC36&gt;高値!AD36,高値!AC36&gt;高値!AE36),24,""))</f>
        <v/>
      </c>
      <c r="AZ36" s="503" t="str">
        <f>IF(終値!A36="","",IF(AND(高値!AD36&gt;高値!AC36,高値!AD36&gt;高値!AB36,高値!AD36&gt;高値!AE36,高値!AD36&gt;高値!AF36),25,""))</f>
        <v/>
      </c>
      <c r="BA36" s="503" t="str">
        <f>IF(終値!A36="","",IF(AND(高値!AE36&gt;高値!AD36,高値!AE36&gt;高値!AC36,高値!AE36&gt;高値!AF36,高値!AE36&gt;高値!AG36),26,""))</f>
        <v/>
      </c>
      <c r="BB36" s="503" t="str">
        <f>IF(終値!A36="","",IF(AND(高値!AF36&gt;高値!AE36,高値!AF36&gt;高値!AD36,高値!AF36&gt;高値!AG36,高値!AF36&gt;高値!AH36),27,""))</f>
        <v/>
      </c>
      <c r="BC36" s="503" t="str">
        <f>IF(終値!A36="","",IF(AND(高値!AG36&gt;高値!AF36,高値!AG36&gt;高値!AE36,高値!AG36&gt;高値!AH36,高値!AG36&gt;高値!AI36),28,""))</f>
        <v/>
      </c>
      <c r="BD36" s="503">
        <f t="shared" si="0"/>
        <v>3</v>
      </c>
      <c r="BE36" s="503">
        <f t="shared" si="1"/>
        <v>3</v>
      </c>
      <c r="BF36" s="503">
        <f t="shared" si="2"/>
        <v>9</v>
      </c>
      <c r="BG36" s="503">
        <f>IF($BE36="","",INDEX(安値!$E36:$CZ36,1,$BE36+1))</f>
        <v>1689</v>
      </c>
      <c r="BH36" s="503">
        <f>IF($BF36="","",INDEX(安値!$E36:$CZ36,1,$BF36+1))</f>
        <v>1807</v>
      </c>
      <c r="BI36" s="503">
        <f>IF($BF36="","",MAX(INDEX(高値!$E36:$CZ36,1,$BE36+1):INDEX(高値!$E36:$CZ36,1,$BF36+1)))</f>
        <v>1933</v>
      </c>
      <c r="BJ36" s="503">
        <f>IF($BF36="","",AVERAGE(INDEX(終値!$E36:$CZ36,1,$BF36+1):INDEX(終値!$E36:$CZ36,1,$BF36+20))-2*STDEVP(INDEX(終値!$E36:$CZ36,1,$BF36+1):INDEX(終値!$E36:$CZ36,1,$BF36+20)))</f>
        <v>1761.3254708111842</v>
      </c>
      <c r="BK36" s="503">
        <f>IF($BE36="","",AVERAGE(INDEX(終値!$E36:$CZ36,1,$BE36+1):INDEX(終値!$E36:$CZ36,1,$BE36+20))-2*STDEVP(INDEX(終値!$E36:$CZ36,1,$BE36+1):INDEX(終値!$E36:$CZ36,1,$BE36+20)))</f>
        <v>1754.7459683161858</v>
      </c>
      <c r="BL36" s="503">
        <f t="shared" si="3"/>
        <v>3</v>
      </c>
      <c r="BM36" s="503">
        <f t="shared" si="4"/>
        <v>6</v>
      </c>
      <c r="BN36" s="503">
        <f t="shared" si="5"/>
        <v>13</v>
      </c>
      <c r="BO36" s="503">
        <f>IF($BM36="","",INDEX(高値!$E36:$CZ36,1,$BM36+1))</f>
        <v>1933</v>
      </c>
      <c r="BP36" s="503">
        <f>IF($BN36="","",INDEX(高値!$E36:$CZ36,1,$BN36+1))</f>
        <v>1903</v>
      </c>
      <c r="BQ36" s="503">
        <f>IF($BN36="","",MIN(INDEX(安値!$E36:$CZ36,1,$BM36+1):INDEX(安値!$E36:$CZ36,1,$BN36+1)))</f>
        <v>1807</v>
      </c>
      <c r="BR36" s="503">
        <f>IF($BN36="","",AVERAGE(INDEX(終値!$E36:$CZ36,1,$BN36+1):INDEX(終値!$E36:$CZ36,1,$BN36+20))+2*STDEVP(INDEX(終値!$E36:$CZ36,1,$BN36+1):INDEX(終値!$E36:$CZ36,1,$BN36+20)))</f>
        <v>1942.7723443764121</v>
      </c>
      <c r="BS36" s="503">
        <f>IF($BM36="","",AVERAGE(INDEX(終値!$E36:$CZ36,1,$BM36+1):INDEX(終値!$E36:$CZ36,1,$BM36+20))+2*STDEVP(INDEX(終値!$E36:$CZ36,1,$BM36+1):INDEX(終値!$E36:$CZ36,1,$BM36+20)))</f>
        <v>1931.159842390352</v>
      </c>
      <c r="BT36" s="500"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二番天井M▼</v>
      </c>
    </row>
    <row r="37" spans="2:72">
      <c r="B37" s="503" t="str">
        <f>IF(終値!A37="","",IF(AND(安値!G37&lt;安値!F37,安値!G37&lt;安値!E37,安値!G37&lt;安値!H37,安値!G37&lt;安値!I37),2,""))</f>
        <v/>
      </c>
      <c r="C37" s="503">
        <f>IF(終値!A37="","",IF(AND(安値!H37&lt;安値!G37,安値!H37&lt;安値!F37,安値!H37&lt;安値!I37,安値!H37&lt;安値!J37),3,""))</f>
        <v>3</v>
      </c>
      <c r="D37" s="503" t="str">
        <f>IF(終値!A37="","",IF(AND(安値!I37&lt;安値!H37,安値!I37&lt;安値!G37,安値!I37&lt;安値!J37,安値!I37&lt;安値!K37),4,""))</f>
        <v/>
      </c>
      <c r="E37" s="503" t="str">
        <f>IF(終値!A37="","",IF(AND(安値!J37&lt;安値!I37,安値!J37&lt;安値!H37,安値!J37&lt;安値!K37,安値!J37&lt;安値!L37),5,""))</f>
        <v/>
      </c>
      <c r="F37" s="503" t="str">
        <f>IF(終値!A37="","",IF(AND(安値!K37&lt;安値!J37,安値!K37&lt;安値!I37,安値!K37&lt;安値!L37,安値!K37&lt;安値!M37),6,""))</f>
        <v/>
      </c>
      <c r="G37" s="503" t="str">
        <f>IF(終値!A37="","",IF(AND(安値!L37&lt;安値!K37,安値!L37&lt;安値!J37,安値!L37&lt;安値!M37,安値!L37&lt;安値!N37),7,""))</f>
        <v/>
      </c>
      <c r="H37" s="503" t="str">
        <f>IF(終値!A37="","",IF(AND(安値!M37&lt;安値!L37,安値!M37&lt;安値!K37,安値!M37&lt;安値!N37,安値!M37&lt;安値!O37),8,""))</f>
        <v/>
      </c>
      <c r="I37" s="503">
        <f>IF(終値!A37="","",IF(AND(安値!N37&lt;安値!M37,安値!N37&lt;安値!L37,安値!N37&lt;安値!O37,安値!N37&lt;安値!P37),9,""))</f>
        <v>9</v>
      </c>
      <c r="J37" s="503" t="str">
        <f>IF(終値!A37="","",IF(AND(安値!O37&lt;安値!N37,安値!O37&lt;安値!M37,安値!O37&lt;安値!P37,安値!O37&lt;安値!Q37),10,""))</f>
        <v/>
      </c>
      <c r="K37" s="503" t="str">
        <f>IF(終値!A37="","",IF(AND(安値!P37&lt;安値!O37,安値!P37&lt;安値!N37,安値!P37&lt;安値!Q37,安値!P37&lt;安値!R37),11,""))</f>
        <v/>
      </c>
      <c r="L37" s="503" t="str">
        <f>IF(終値!A37="","",IF(AND(安値!Q37&lt;安値!P37,安値!Q37&lt;安値!O37,安値!Q37&lt;安値!R37,安値!Q37&lt;安値!S37),12,""))</f>
        <v/>
      </c>
      <c r="M37" s="503">
        <f>IF(終値!A37="","",IF(AND(安値!R37&lt;安値!Q37,安値!R37&lt;安値!P37,安値!R37&lt;安値!S37,安値!R37&lt;安値!T37),13,""))</f>
        <v>13</v>
      </c>
      <c r="N37" s="503" t="str">
        <f>IF(終値!A37="","",IF(AND(安値!S37&lt;安値!R37,安値!S37&lt;安値!Q37,安値!S37&lt;安値!T37,安値!S37&lt;安値!U37),14,""))</f>
        <v/>
      </c>
      <c r="O37" s="503" t="str">
        <f>IF(終値!A37="","",IF(AND(安値!T37&lt;安値!S37,安値!T37&lt;安値!R37,安値!T37&lt;安値!U37,安値!T37&lt;安値!V37),15,""))</f>
        <v/>
      </c>
      <c r="P37" s="503" t="str">
        <f>IF(終値!A37="","",IF(AND(安値!U37&lt;安値!T37,安値!U37&lt;安値!S37,安値!U37&lt;安値!V37,安値!U37&lt;安値!W37),16,""))</f>
        <v/>
      </c>
      <c r="Q37" s="503" t="str">
        <f>IF(終値!A37="","",IF(AND(安値!V37&lt;安値!U37,安値!V37&lt;安値!T37,安値!V37&lt;安値!W37,安値!V37&lt;安値!X37),17,""))</f>
        <v/>
      </c>
      <c r="R37" s="503">
        <f>IF(終値!A37="","",IF(AND(安値!W37&lt;安値!V37,安値!W37&lt;安値!U37,安値!W37&lt;安値!X37,安値!W37&lt;安値!Y37),18,""))</f>
        <v>18</v>
      </c>
      <c r="S37" s="503" t="str">
        <f>IF(終値!A37="","",IF(AND(安値!X37&lt;安値!W37,安値!X37&lt;安値!V37,安値!X37&lt;安値!Y37,安値!X37&lt;安値!Z37),19,""))</f>
        <v/>
      </c>
      <c r="T37" s="503" t="str">
        <f>IF(終値!A37="","",IF(AND(安値!Y37&lt;安値!X37,安値!Y37&lt;安値!W37,安値!Y37&lt;安値!Z37,安値!Y37&lt;安値!AA37),20,""))</f>
        <v/>
      </c>
      <c r="U37" s="503" t="str">
        <f>IF(終値!A37="","",IF(AND(安値!Z37&lt;安値!Y37,安値!Z37&lt;安値!X37,安値!Z37&lt;安値!AA37,安値!Z37&lt;安値!AB37),21,""))</f>
        <v/>
      </c>
      <c r="V37" s="503" t="str">
        <f>IF(終値!A37="","",IF(AND(安値!AA37&lt;安値!Z37,安値!AA37&lt;安値!Y37,安値!AA37&lt;安値!AB37,安値!AA37&lt;安値!AC37),22,""))</f>
        <v/>
      </c>
      <c r="W37" s="503" t="str">
        <f>IF(終値!A37="","",IF(AND(安値!AB37&lt;安値!AA37,安値!AB37&lt;安値!Z37,安値!AB37&lt;安値!AC37,安値!AB37&lt;安値!AD37),23,""))</f>
        <v/>
      </c>
      <c r="X37" s="503" t="str">
        <f>IF(終値!A37="","",IF(AND(安値!AC37&lt;安値!AB37,安値!AC37&lt;安値!AA37,安値!AC37&lt;安値!AD37,安値!AC37&lt;安値!AE37),24,""))</f>
        <v/>
      </c>
      <c r="Y37" s="503" t="str">
        <f>IF(終値!A37="","",IF(AND(安値!AD37&lt;安値!AC37,安値!AD37&lt;安値!AB37,安値!AD37&lt;安値!AE37,安値!AD37&lt;安値!AF37),25,""))</f>
        <v/>
      </c>
      <c r="Z37" s="503" t="str">
        <f>IF(終値!A37="","",IF(AND(安値!AE37&lt;安値!AD37,安値!AE37&lt;安値!AC37,安値!AE37&lt;安値!AF37,安値!AE37&lt;安値!AG37),26,""))</f>
        <v/>
      </c>
      <c r="AA37" s="503" t="str">
        <f>IF(終値!A37="","",IF(AND(安値!AF37&lt;安値!AE37,安値!AF37&lt;安値!AD37,安値!AF37&lt;安値!AG37,安値!AF37&lt;安値!AH37),27,""))</f>
        <v/>
      </c>
      <c r="AB37" s="503" t="str">
        <f>IF(終値!A37="","",IF(AND(安値!AG37&lt;安値!AF37,安値!AG37&lt;安値!AE37,安値!AG37&lt;安値!AH37,安値!AG37&lt;安値!AI37),28,""))</f>
        <v/>
      </c>
      <c r="AC37" s="503" t="str">
        <f>IF(終値!A37="","",IF(AND(高値!G37&gt;高値!F37,高値!G37&gt;高値!E37,高値!G37&gt;高値!H37,高値!G37&gt;高値!I37),2,""))</f>
        <v/>
      </c>
      <c r="AD37" s="503" t="str">
        <f>IF(終値!A37="","",IF(AND(高値!H37&gt;高値!G37,高値!H37&gt;高値!F37,高値!H37&gt;高値!I37,高値!H37&gt;高値!J37),3,""))</f>
        <v/>
      </c>
      <c r="AE37" s="503" t="str">
        <f>IF(終値!A37="","",IF(AND(高値!I37&gt;高値!H37,高値!I37&gt;高値!G37,高値!I37&gt;高値!J37,高値!I37&gt;高値!K37),4,""))</f>
        <v/>
      </c>
      <c r="AF37" s="503" t="str">
        <f>IF(終値!A37="","",IF(AND(高値!J37&gt;高値!I37,高値!J37&gt;高値!H37,高値!J37&gt;高値!K37,高値!J37&gt;高値!L37),5,""))</f>
        <v/>
      </c>
      <c r="AG37" s="503" t="str">
        <f>IF(終値!A37="","",IF(AND(高値!K37&gt;高値!J37,高値!K37&gt;高値!I37,高値!K37&gt;高値!L37,高値!K37&gt;高値!M37),6,""))</f>
        <v/>
      </c>
      <c r="AH37" s="503">
        <f>IF(終値!A37="","",IF(AND(高値!L37&gt;高値!K37,高値!L37&gt;高値!J37,高値!L37&gt;高値!M37,高値!L37&gt;高値!N37),7,""))</f>
        <v>7</v>
      </c>
      <c r="AI37" s="503" t="str">
        <f>IF(終値!A37="","",IF(AND(高値!M37&gt;高値!L37,高値!M37&gt;高値!K37,高値!M37&gt;高値!N37,高値!M37&gt;高値!O37),8,""))</f>
        <v/>
      </c>
      <c r="AJ37" s="503" t="str">
        <f>IF(終値!A37="","",IF(AND(高値!N37&gt;高値!M37,高値!N37&gt;高値!L37,高値!N37&gt;高値!O37,高値!N37&gt;高値!P37),9,""))</f>
        <v/>
      </c>
      <c r="AK37" s="503" t="str">
        <f>IF(終値!A37="","",IF(AND(高値!O37&gt;高値!N37,高値!O37&gt;高値!M37,高値!O37&gt;高値!P37,高値!O37&gt;高値!Q37),10,""))</f>
        <v/>
      </c>
      <c r="AL37" s="503">
        <f>IF(終値!A37="","",IF(AND(高値!P37&gt;高値!O37,高値!P37&gt;高値!N37,高値!P37&gt;高値!Q37,高値!P37&gt;高値!R37),11,""))</f>
        <v>11</v>
      </c>
      <c r="AM37" s="503" t="str">
        <f>IF(終値!A37="","",IF(AND(高値!Q37&gt;高値!P37,高値!Q37&gt;高値!O37,高値!Q37&gt;高値!R37,高値!Q37&gt;高値!S37),12,""))</f>
        <v/>
      </c>
      <c r="AN37" s="503" t="str">
        <f>IF(終値!A37="","",IF(AND(高値!R37&gt;高値!Q37,高値!R37&gt;高値!P37,高値!R37&gt;高値!S37,高値!R37&gt;高値!T37),13,""))</f>
        <v/>
      </c>
      <c r="AO37" s="503" t="str">
        <f>IF(終値!A37="","",IF(AND(高値!S37&gt;高値!R37,高値!S37&gt;高値!Q37,高値!S37&gt;高値!T37,高値!S37&gt;高値!U37),14,""))</f>
        <v/>
      </c>
      <c r="AP37" s="503" t="str">
        <f>IF(終値!A37="","",IF(AND(高値!T37&gt;高値!S37,高値!T37&gt;高値!R37,高値!T37&gt;高値!U37,高値!T37&gt;高値!V37),15,""))</f>
        <v/>
      </c>
      <c r="AQ37" s="503" t="str">
        <f>IF(終値!A37="","",IF(AND(高値!U37&gt;高値!T37,高値!U37&gt;高値!S37,高値!U37&gt;高値!V37,高値!U37&gt;高値!W37),16,""))</f>
        <v/>
      </c>
      <c r="AR37" s="503" t="str">
        <f>IF(終値!A37="","",IF(AND(高値!V37&gt;高値!U37,高値!V37&gt;高値!T37,高値!V37&gt;高値!W37,高値!V37&gt;高値!X37),17,""))</f>
        <v/>
      </c>
      <c r="AS37" s="503" t="str">
        <f>IF(終値!A37="","",IF(AND(高値!W37&gt;高値!V37,高値!W37&gt;高値!U37,高値!W37&gt;高値!X37,高値!W37&gt;高値!Y37),18,""))</f>
        <v/>
      </c>
      <c r="AT37" s="503" t="str">
        <f>IF(終値!A37="","",IF(AND(高値!X37&gt;高値!W37,高値!X37&gt;高値!V37,高値!X37&gt;高値!Y37,高値!X37&gt;高値!Z37),19,""))</f>
        <v/>
      </c>
      <c r="AU37" s="503" t="str">
        <f>IF(終値!A37="","",IF(AND(高値!Y37&gt;高値!X37,高値!Y37&gt;高値!W37,高値!Y37&gt;高値!Z37,高値!Y37&gt;高値!AA37),20,""))</f>
        <v/>
      </c>
      <c r="AV37" s="503" t="str">
        <f>IF(終値!A37="","",IF(AND(高値!Z37&gt;高値!Y37,高値!Z37&gt;高値!X37,高値!Z37&gt;高値!AA37,高値!Z37&gt;高値!AB37),21,""))</f>
        <v/>
      </c>
      <c r="AW37" s="503" t="str">
        <f>IF(終値!A37="","",IF(AND(高値!AA37&gt;高値!Z37,高値!AA37&gt;高値!Y37,高値!AA37&gt;高値!AB37,高値!AA37&gt;高値!AC37),22,""))</f>
        <v/>
      </c>
      <c r="AX37" s="503" t="str">
        <f>IF(終値!A37="","",IF(AND(高値!AB37&gt;高値!AA37,高値!AB37&gt;高値!Z37,高値!AB37&gt;高値!AC37,高値!AB37&gt;高値!AD37),23,""))</f>
        <v/>
      </c>
      <c r="AY37" s="503" t="str">
        <f>IF(終値!A37="","",IF(AND(高値!AC37&gt;高値!AB37,高値!AC37&gt;高値!AA37,高値!AC37&gt;高値!AD37,高値!AC37&gt;高値!AE37),24,""))</f>
        <v/>
      </c>
      <c r="AZ37" s="503" t="str">
        <f>IF(終値!A37="","",IF(AND(高値!AD37&gt;高値!AC37,高値!AD37&gt;高値!AB37,高値!AD37&gt;高値!AE37,高値!AD37&gt;高値!AF37),25,""))</f>
        <v/>
      </c>
      <c r="BA37" s="503">
        <f>IF(終値!A37="","",IF(AND(高値!AE37&gt;高値!AD37,高値!AE37&gt;高値!AC37,高値!AE37&gt;高値!AF37,高値!AE37&gt;高値!AG37),26,""))</f>
        <v>26</v>
      </c>
      <c r="BB37" s="503" t="str">
        <f>IF(終値!A37="","",IF(AND(高値!AF37&gt;高値!AE37,高値!AF37&gt;高値!AD37,高値!AF37&gt;高値!AG37,高値!AF37&gt;高値!AH37),27,""))</f>
        <v/>
      </c>
      <c r="BC37" s="503" t="str">
        <f>IF(終値!A37="","",IF(AND(高値!AG37&gt;高値!AF37,高値!AG37&gt;高値!AE37,高値!AG37&gt;高値!AH37,高値!AG37&gt;高値!AI37),28,""))</f>
        <v/>
      </c>
      <c r="BD37" s="503">
        <f t="shared" si="0"/>
        <v>4</v>
      </c>
      <c r="BE37" s="503">
        <f t="shared" si="1"/>
        <v>3</v>
      </c>
      <c r="BF37" s="503">
        <f t="shared" si="2"/>
        <v>9</v>
      </c>
      <c r="BG37" s="503">
        <f>IF($BE37="","",INDEX(安値!$E37:$CZ37,1,$BE37+1))</f>
        <v>1519.5</v>
      </c>
      <c r="BH37" s="503">
        <f>IF($BF37="","",INDEX(安値!$E37:$CZ37,1,$BF37+1))</f>
        <v>1547</v>
      </c>
      <c r="BI37" s="503">
        <f>IF($BF37="","",MAX(INDEX(高値!$E37:$CZ37,1,$BE37+1):INDEX(高値!$E37:$CZ37,1,$BF37+1)))</f>
        <v>1590</v>
      </c>
      <c r="BJ37" s="503">
        <f>IF($BF37="","",AVERAGE(INDEX(終値!$E37:$CZ37,1,$BF37+1):INDEX(終値!$E37:$CZ37,1,$BF37+20))-2*STDEVP(INDEX(終値!$E37:$CZ37,1,$BF37+1):INDEX(終値!$E37:$CZ37,1,$BF37+20)))</f>
        <v>1444.6824341408374</v>
      </c>
      <c r="BK37" s="503">
        <f>IF($BE37="","",AVERAGE(INDEX(終値!$E37:$CZ37,1,$BE37+1):INDEX(終値!$E37:$CZ37,1,$BE37+20))-2*STDEVP(INDEX(終値!$E37:$CZ37,1,$BE37+1):INDEX(終値!$E37:$CZ37,1,$BE37+20)))</f>
        <v>1504.0236427995874</v>
      </c>
      <c r="BL37" s="503">
        <f t="shared" si="3"/>
        <v>3</v>
      </c>
      <c r="BM37" s="503">
        <f t="shared" si="4"/>
        <v>7</v>
      </c>
      <c r="BN37" s="503">
        <f t="shared" si="5"/>
        <v>11</v>
      </c>
      <c r="BO37" s="503">
        <f>IF($BM37="","",INDEX(高値!$E37:$CZ37,1,$BM37+1))</f>
        <v>1590</v>
      </c>
      <c r="BP37" s="503">
        <f>IF($BN37="","",INDEX(高値!$E37:$CZ37,1,$BN37+1))</f>
        <v>1588.5</v>
      </c>
      <c r="BQ37" s="503">
        <f>IF($BN37="","",MIN(INDEX(安値!$E37:$CZ37,1,$BM37+1):INDEX(安値!$E37:$CZ37,1,$BN37+1)))</f>
        <v>1547</v>
      </c>
      <c r="BR37" s="503">
        <f>IF($BN37="","",AVERAGE(INDEX(終値!$E37:$CZ37,1,$BN37+1):INDEX(終値!$E37:$CZ37,1,$BN37+20))+2*STDEVP(INDEX(終値!$E37:$CZ37,1,$BN37+1):INDEX(終値!$E37:$CZ37,1,$BN37+20)))</f>
        <v>1589.386277269125</v>
      </c>
      <c r="BS37" s="503">
        <f>IF($BM37="","",AVERAGE(INDEX(終値!$E37:$CZ37,1,$BM37+1):INDEX(終値!$E37:$CZ37,1,$BM37+20))+2*STDEVP(INDEX(終値!$E37:$CZ37,1,$BM37+1):INDEX(終値!$E37:$CZ37,1,$BM37+20)))</f>
        <v>1604.0693921866787</v>
      </c>
      <c r="BT37" s="500"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3" t="str">
        <f>IF(終値!A38="","",IF(AND(安値!G38&lt;安値!F38,安値!G38&lt;安値!E38,安値!G38&lt;安値!H38,安値!G38&lt;安値!I38),2,""))</f>
        <v/>
      </c>
      <c r="C38" s="503" t="str">
        <f>IF(終値!A38="","",IF(AND(安値!H38&lt;安値!G38,安値!H38&lt;安値!F38,安値!H38&lt;安値!I38,安値!H38&lt;安値!J38),3,""))</f>
        <v/>
      </c>
      <c r="D38" s="503" t="str">
        <f>IF(終値!A38="","",IF(AND(安値!I38&lt;安値!H38,安値!I38&lt;安値!G38,安値!I38&lt;安値!J38,安値!I38&lt;安値!K38),4,""))</f>
        <v/>
      </c>
      <c r="E38" s="503" t="str">
        <f>IF(終値!A38="","",IF(AND(安値!J38&lt;安値!I38,安値!J38&lt;安値!H38,安値!J38&lt;安値!K38,安値!J38&lt;安値!L38),5,""))</f>
        <v/>
      </c>
      <c r="F38" s="503" t="str">
        <f>IF(終値!A38="","",IF(AND(安値!K38&lt;安値!J38,安値!K38&lt;安値!I38,安値!K38&lt;安値!L38,安値!K38&lt;安値!M38),6,""))</f>
        <v/>
      </c>
      <c r="G38" s="503" t="str">
        <f>IF(終値!A38="","",IF(AND(安値!L38&lt;安値!K38,安値!L38&lt;安値!J38,安値!L38&lt;安値!M38,安値!L38&lt;安値!N38),7,""))</f>
        <v/>
      </c>
      <c r="H38" s="503" t="str">
        <f>IF(終値!A38="","",IF(AND(安値!M38&lt;安値!L38,安値!M38&lt;安値!K38,安値!M38&lt;安値!N38,安値!M38&lt;安値!O38),8,""))</f>
        <v/>
      </c>
      <c r="I38" s="503" t="str">
        <f>IF(終値!A38="","",IF(AND(安値!N38&lt;安値!M38,安値!N38&lt;安値!L38,安値!N38&lt;安値!O38,安値!N38&lt;安値!P38),9,""))</f>
        <v/>
      </c>
      <c r="J38" s="503" t="str">
        <f>IF(終値!A38="","",IF(AND(安値!O38&lt;安値!N38,安値!O38&lt;安値!M38,安値!O38&lt;安値!P38,安値!O38&lt;安値!Q38),10,""))</f>
        <v/>
      </c>
      <c r="K38" s="503" t="str">
        <f>IF(終値!A38="","",IF(AND(安値!P38&lt;安値!O38,安値!P38&lt;安値!N38,安値!P38&lt;安値!Q38,安値!P38&lt;安値!R38),11,""))</f>
        <v/>
      </c>
      <c r="L38" s="503" t="str">
        <f>IF(終値!A38="","",IF(AND(安値!Q38&lt;安値!P38,安値!Q38&lt;安値!O38,安値!Q38&lt;安値!R38,安値!Q38&lt;安値!S38),12,""))</f>
        <v/>
      </c>
      <c r="M38" s="503" t="str">
        <f>IF(終値!A38="","",IF(AND(安値!R38&lt;安値!Q38,安値!R38&lt;安値!P38,安値!R38&lt;安値!S38,安値!R38&lt;安値!T38),13,""))</f>
        <v/>
      </c>
      <c r="N38" s="503" t="str">
        <f>IF(終値!A38="","",IF(AND(安値!S38&lt;安値!R38,安値!S38&lt;安値!Q38,安値!S38&lt;安値!T38,安値!S38&lt;安値!U38),14,""))</f>
        <v/>
      </c>
      <c r="O38" s="503" t="str">
        <f>IF(終値!A38="","",IF(AND(安値!T38&lt;安値!S38,安値!T38&lt;安値!R38,安値!T38&lt;安値!U38,安値!T38&lt;安値!V38),15,""))</f>
        <v/>
      </c>
      <c r="P38" s="503">
        <f>IF(終値!A38="","",IF(AND(安値!U38&lt;安値!T38,安値!U38&lt;安値!S38,安値!U38&lt;安値!V38,安値!U38&lt;安値!W38),16,""))</f>
        <v>16</v>
      </c>
      <c r="Q38" s="503" t="str">
        <f>IF(終値!A38="","",IF(AND(安値!V38&lt;安値!U38,安値!V38&lt;安値!T38,安値!V38&lt;安値!W38,安値!V38&lt;安値!X38),17,""))</f>
        <v/>
      </c>
      <c r="R38" s="503" t="str">
        <f>IF(終値!A38="","",IF(AND(安値!W38&lt;安値!V38,安値!W38&lt;安値!U38,安値!W38&lt;安値!X38,安値!W38&lt;安値!Y38),18,""))</f>
        <v/>
      </c>
      <c r="S38" s="503" t="str">
        <f>IF(終値!A38="","",IF(AND(安値!X38&lt;安値!W38,安値!X38&lt;安値!V38,安値!X38&lt;安値!Y38,安値!X38&lt;安値!Z38),19,""))</f>
        <v/>
      </c>
      <c r="T38" s="503" t="str">
        <f>IF(終値!A38="","",IF(AND(安値!Y38&lt;安値!X38,安値!Y38&lt;安値!W38,安値!Y38&lt;安値!Z38,安値!Y38&lt;安値!AA38),20,""))</f>
        <v/>
      </c>
      <c r="U38" s="503" t="str">
        <f>IF(終値!A38="","",IF(AND(安値!Z38&lt;安値!Y38,安値!Z38&lt;安値!X38,安値!Z38&lt;安値!AA38,安値!Z38&lt;安値!AB38),21,""))</f>
        <v/>
      </c>
      <c r="V38" s="503" t="str">
        <f>IF(終値!A38="","",IF(AND(安値!AA38&lt;安値!Z38,安値!AA38&lt;安値!Y38,安値!AA38&lt;安値!AB38,安値!AA38&lt;安値!AC38),22,""))</f>
        <v/>
      </c>
      <c r="W38" s="503">
        <f>IF(終値!A38="","",IF(AND(安値!AB38&lt;安値!AA38,安値!AB38&lt;安値!Z38,安値!AB38&lt;安値!AC38,安値!AB38&lt;安値!AD38),23,""))</f>
        <v>23</v>
      </c>
      <c r="X38" s="503" t="str">
        <f>IF(終値!A38="","",IF(AND(安値!AC38&lt;安値!AB38,安値!AC38&lt;安値!AA38,安値!AC38&lt;安値!AD38,安値!AC38&lt;安値!AE38),24,""))</f>
        <v/>
      </c>
      <c r="Y38" s="503" t="str">
        <f>IF(終値!A38="","",IF(AND(安値!AD38&lt;安値!AC38,安値!AD38&lt;安値!AB38,安値!AD38&lt;安値!AE38,安値!AD38&lt;安値!AF38),25,""))</f>
        <v/>
      </c>
      <c r="Z38" s="503" t="str">
        <f>IF(終値!A38="","",IF(AND(安値!AE38&lt;安値!AD38,安値!AE38&lt;安値!AC38,安値!AE38&lt;安値!AF38,安値!AE38&lt;安値!AG38),26,""))</f>
        <v/>
      </c>
      <c r="AA38" s="503" t="str">
        <f>IF(終値!A38="","",IF(AND(安値!AF38&lt;安値!AE38,安値!AF38&lt;安値!AD38,安値!AF38&lt;安値!AG38,安値!AF38&lt;安値!AH38),27,""))</f>
        <v/>
      </c>
      <c r="AB38" s="503" t="str">
        <f>IF(終値!A38="","",IF(AND(安値!AG38&lt;安値!AF38,安値!AG38&lt;安値!AE38,安値!AG38&lt;安値!AH38,安値!AG38&lt;安値!AI38),28,""))</f>
        <v/>
      </c>
      <c r="AC38" s="503" t="str">
        <f>IF(終値!A38="","",IF(AND(高値!G38&gt;高値!F38,高値!G38&gt;高値!E38,高値!G38&gt;高値!H38,高値!G38&gt;高値!I38),2,""))</f>
        <v/>
      </c>
      <c r="AD38" s="503" t="str">
        <f>IF(終値!A38="","",IF(AND(高値!H38&gt;高値!G38,高値!H38&gt;高値!F38,高値!H38&gt;高値!I38,高値!H38&gt;高値!J38),3,""))</f>
        <v/>
      </c>
      <c r="AE38" s="503">
        <f>IF(終値!A38="","",IF(AND(高値!I38&gt;高値!H38,高値!I38&gt;高値!G38,高値!I38&gt;高値!J38,高値!I38&gt;高値!K38),4,""))</f>
        <v>4</v>
      </c>
      <c r="AF38" s="503" t="str">
        <f>IF(終値!A38="","",IF(AND(高値!J38&gt;高値!I38,高値!J38&gt;高値!H38,高値!J38&gt;高値!K38,高値!J38&gt;高値!L38),5,""))</f>
        <v/>
      </c>
      <c r="AG38" s="503" t="str">
        <f>IF(終値!A38="","",IF(AND(高値!K38&gt;高値!J38,高値!K38&gt;高値!I38,高値!K38&gt;高値!L38,高値!K38&gt;高値!M38),6,""))</f>
        <v/>
      </c>
      <c r="AH38" s="503" t="str">
        <f>IF(終値!A38="","",IF(AND(高値!L38&gt;高値!K38,高値!L38&gt;高値!J38,高値!L38&gt;高値!M38,高値!L38&gt;高値!N38),7,""))</f>
        <v/>
      </c>
      <c r="AI38" s="503" t="str">
        <f>IF(終値!A38="","",IF(AND(高値!M38&gt;高値!L38,高値!M38&gt;高値!K38,高値!M38&gt;高値!N38,高値!M38&gt;高値!O38),8,""))</f>
        <v/>
      </c>
      <c r="AJ38" s="503" t="str">
        <f>IF(終値!A38="","",IF(AND(高値!N38&gt;高値!M38,高値!N38&gt;高値!L38,高値!N38&gt;高値!O38,高値!N38&gt;高値!P38),9,""))</f>
        <v/>
      </c>
      <c r="AK38" s="503" t="str">
        <f>IF(終値!A38="","",IF(AND(高値!O38&gt;高値!N38,高値!O38&gt;高値!M38,高値!O38&gt;高値!P38,高値!O38&gt;高値!Q38),10,""))</f>
        <v/>
      </c>
      <c r="AL38" s="503">
        <f>IF(終値!A38="","",IF(AND(高値!P38&gt;高値!O38,高値!P38&gt;高値!N38,高値!P38&gt;高値!Q38,高値!P38&gt;高値!R38),11,""))</f>
        <v>11</v>
      </c>
      <c r="AM38" s="503" t="str">
        <f>IF(終値!A38="","",IF(AND(高値!Q38&gt;高値!P38,高値!Q38&gt;高値!O38,高値!Q38&gt;高値!R38,高値!Q38&gt;高値!S38),12,""))</f>
        <v/>
      </c>
      <c r="AN38" s="503" t="str">
        <f>IF(終値!A38="","",IF(AND(高値!R38&gt;高値!Q38,高値!R38&gt;高値!P38,高値!R38&gt;高値!S38,高値!R38&gt;高値!T38),13,""))</f>
        <v/>
      </c>
      <c r="AO38" s="503" t="str">
        <f>IF(終値!A38="","",IF(AND(高値!S38&gt;高値!R38,高値!S38&gt;高値!Q38,高値!S38&gt;高値!T38,高値!S38&gt;高値!U38),14,""))</f>
        <v/>
      </c>
      <c r="AP38" s="503" t="str">
        <f>IF(終値!A38="","",IF(AND(高値!T38&gt;高値!S38,高値!T38&gt;高値!R38,高値!T38&gt;高値!U38,高値!T38&gt;高値!V38),15,""))</f>
        <v/>
      </c>
      <c r="AQ38" s="503" t="str">
        <f>IF(終値!A38="","",IF(AND(高値!U38&gt;高値!T38,高値!U38&gt;高値!S38,高値!U38&gt;高値!V38,高値!U38&gt;高値!W38),16,""))</f>
        <v/>
      </c>
      <c r="AR38" s="503" t="str">
        <f>IF(終値!A38="","",IF(AND(高値!V38&gt;高値!U38,高値!V38&gt;高値!T38,高値!V38&gt;高値!W38,高値!V38&gt;高値!X38),17,""))</f>
        <v/>
      </c>
      <c r="AS38" s="503" t="str">
        <f>IF(終値!A38="","",IF(AND(高値!W38&gt;高値!V38,高値!W38&gt;高値!U38,高値!W38&gt;高値!X38,高値!W38&gt;高値!Y38),18,""))</f>
        <v/>
      </c>
      <c r="AT38" s="503" t="str">
        <f>IF(終値!A38="","",IF(AND(高値!X38&gt;高値!W38,高値!X38&gt;高値!V38,高値!X38&gt;高値!Y38,高値!X38&gt;高値!Z38),19,""))</f>
        <v/>
      </c>
      <c r="AU38" s="503" t="str">
        <f>IF(終値!A38="","",IF(AND(高値!Y38&gt;高値!X38,高値!Y38&gt;高値!W38,高値!Y38&gt;高値!Z38,高値!Y38&gt;高値!AA38),20,""))</f>
        <v/>
      </c>
      <c r="AV38" s="503">
        <f>IF(終値!A38="","",IF(AND(高値!Z38&gt;高値!Y38,高値!Z38&gt;高値!X38,高値!Z38&gt;高値!AA38,高値!Z38&gt;高値!AB38),21,""))</f>
        <v>21</v>
      </c>
      <c r="AW38" s="503" t="str">
        <f>IF(終値!A38="","",IF(AND(高値!AA38&gt;高値!Z38,高値!AA38&gt;高値!Y38,高値!AA38&gt;高値!AB38,高値!AA38&gt;高値!AC38),22,""))</f>
        <v/>
      </c>
      <c r="AX38" s="503" t="str">
        <f>IF(終値!A38="","",IF(AND(高値!AB38&gt;高値!AA38,高値!AB38&gt;高値!Z38,高値!AB38&gt;高値!AC38,高値!AB38&gt;高値!AD38),23,""))</f>
        <v/>
      </c>
      <c r="AY38" s="503" t="str">
        <f>IF(終値!A38="","",IF(AND(高値!AC38&gt;高値!AB38,高値!AC38&gt;高値!AA38,高値!AC38&gt;高値!AD38,高値!AC38&gt;高値!AE38),24,""))</f>
        <v/>
      </c>
      <c r="AZ38" s="503">
        <f>IF(終値!A38="","",IF(AND(高値!AD38&gt;高値!AC38,高値!AD38&gt;高値!AB38,高値!AD38&gt;高値!AE38,高値!AD38&gt;高値!AF38),25,""))</f>
        <v>25</v>
      </c>
      <c r="BA38" s="503" t="str">
        <f>IF(終値!A38="","",IF(AND(高値!AE38&gt;高値!AD38,高値!AE38&gt;高値!AC38,高値!AE38&gt;高値!AF38,高値!AE38&gt;高値!AG38),26,""))</f>
        <v/>
      </c>
      <c r="BB38" s="503" t="str">
        <f>IF(終値!A38="","",IF(AND(高値!AF38&gt;高値!AE38,高値!AF38&gt;高値!AD38,高値!AF38&gt;高値!AG38,高値!AF38&gt;高値!AH38),27,""))</f>
        <v/>
      </c>
      <c r="BC38" s="503" t="str">
        <f>IF(終値!A38="","",IF(AND(高値!AG38&gt;高値!AF38,高値!AG38&gt;高値!AE38,高値!AG38&gt;高値!AH38,高値!AG38&gt;高値!AI38),28,""))</f>
        <v/>
      </c>
      <c r="BD38" s="503">
        <f t="shared" si="0"/>
        <v>2</v>
      </c>
      <c r="BE38" s="503">
        <f t="shared" si="1"/>
        <v>16</v>
      </c>
      <c r="BF38" s="503">
        <f t="shared" si="2"/>
        <v>23</v>
      </c>
      <c r="BG38" s="503">
        <f>IF($BE38="","",INDEX(安値!$E38:$CZ38,1,$BE38+1))</f>
        <v>1836.5</v>
      </c>
      <c r="BH38" s="503">
        <f>IF($BF38="","",INDEX(安値!$E38:$CZ38,1,$BF38+1))</f>
        <v>1789</v>
      </c>
      <c r="BI38" s="503">
        <f>IF($BF38="","",MAX(INDEX(高値!$E38:$CZ38,1,$BE38+1):INDEX(高値!$E38:$CZ38,1,$BF38+1)))</f>
        <v>1947</v>
      </c>
      <c r="BJ38" s="503">
        <f>IF($BF38="","",AVERAGE(INDEX(終値!$E38:$CZ38,1,$BF38+1):INDEX(終値!$E38:$CZ38,1,$BF38+20))-2*STDEVP(INDEX(終値!$E38:$CZ38,1,$BF38+1):INDEX(終値!$E38:$CZ38,1,$BF38+20)))</f>
        <v>1822.6196833886731</v>
      </c>
      <c r="BK38" s="503">
        <f>IF($BE38="","",AVERAGE(INDEX(終値!$E38:$CZ38,1,$BE38+1):INDEX(終値!$E38:$CZ38,1,$BE38+20))-2*STDEVP(INDEX(終値!$E38:$CZ38,1,$BE38+1):INDEX(終値!$E38:$CZ38,1,$BE38+20)))</f>
        <v>1807.6352072567861</v>
      </c>
      <c r="BL38" s="503">
        <f t="shared" si="3"/>
        <v>4</v>
      </c>
      <c r="BM38" s="503">
        <f t="shared" si="4"/>
        <v>4</v>
      </c>
      <c r="BN38" s="503">
        <f t="shared" si="5"/>
        <v>11</v>
      </c>
      <c r="BO38" s="503">
        <f>IF($BM38="","",INDEX(高値!$E38:$CZ38,1,$BM38+1))</f>
        <v>2098.5</v>
      </c>
      <c r="BP38" s="503">
        <f>IF($BN38="","",INDEX(高値!$E38:$CZ38,1,$BN38+1))</f>
        <v>2001</v>
      </c>
      <c r="BQ38" s="503">
        <f>IF($BN38="","",MIN(INDEX(安値!$E38:$CZ38,1,$BM38+1):INDEX(安値!$E38:$CZ38,1,$BN38+1)))</f>
        <v>1963.5</v>
      </c>
      <c r="BR38" s="503">
        <f>IF($BN38="","",AVERAGE(INDEX(終値!$E38:$CZ38,1,$BN38+1):INDEX(終値!$E38:$CZ38,1,$BN38+20))+2*STDEVP(INDEX(終値!$E38:$CZ38,1,$BN38+1):INDEX(終値!$E38:$CZ38,1,$BN38+20)))</f>
        <v>1970.9704791205195</v>
      </c>
      <c r="BS38" s="503">
        <f>IF($BM38="","",AVERAGE(INDEX(終値!$E38:$CZ38,1,$BM38+1):INDEX(終値!$E38:$CZ38,1,$BM38+20))+2*STDEVP(INDEX(終値!$E38:$CZ38,1,$BM38+1):INDEX(終値!$E38:$CZ38,1,$BM38+20)))</f>
        <v>2097.3366989376318</v>
      </c>
      <c r="BT38" s="500"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3" t="str">
        <f>IF(終値!A39="","",IF(AND(安値!G39&lt;安値!F39,安値!G39&lt;安値!E39,安値!G39&lt;安値!H39,安値!G39&lt;安値!I39),2,""))</f>
        <v/>
      </c>
      <c r="C39" s="503">
        <f>IF(終値!A39="","",IF(AND(安値!H39&lt;安値!G39,安値!H39&lt;安値!F39,安値!H39&lt;安値!I39,安値!H39&lt;安値!J39),3,""))</f>
        <v>3</v>
      </c>
      <c r="D39" s="503" t="str">
        <f>IF(終値!A39="","",IF(AND(安値!I39&lt;安値!H39,安値!I39&lt;安値!G39,安値!I39&lt;安値!J39,安値!I39&lt;安値!K39),4,""))</f>
        <v/>
      </c>
      <c r="E39" s="503" t="str">
        <f>IF(終値!A39="","",IF(AND(安値!J39&lt;安値!I39,安値!J39&lt;安値!H39,安値!J39&lt;安値!K39,安値!J39&lt;安値!L39),5,""))</f>
        <v/>
      </c>
      <c r="F39" s="503" t="str">
        <f>IF(終値!A39="","",IF(AND(安値!K39&lt;安値!J39,安値!K39&lt;安値!I39,安値!K39&lt;安値!L39,安値!K39&lt;安値!M39),6,""))</f>
        <v/>
      </c>
      <c r="G39" s="503" t="str">
        <f>IF(終値!A39="","",IF(AND(安値!L39&lt;安値!K39,安値!L39&lt;安値!J39,安値!L39&lt;安値!M39,安値!L39&lt;安値!N39),7,""))</f>
        <v/>
      </c>
      <c r="H39" s="503" t="str">
        <f>IF(終値!A39="","",IF(AND(安値!M39&lt;安値!L39,安値!M39&lt;安値!K39,安値!M39&lt;安値!N39,安値!M39&lt;安値!O39),8,""))</f>
        <v/>
      </c>
      <c r="I39" s="503">
        <f>IF(終値!A39="","",IF(AND(安値!N39&lt;安値!M39,安値!N39&lt;安値!L39,安値!N39&lt;安値!O39,安値!N39&lt;安値!P39),9,""))</f>
        <v>9</v>
      </c>
      <c r="J39" s="503" t="str">
        <f>IF(終値!A39="","",IF(AND(安値!O39&lt;安値!N39,安値!O39&lt;安値!M39,安値!O39&lt;安値!P39,安値!O39&lt;安値!Q39),10,""))</f>
        <v/>
      </c>
      <c r="K39" s="503" t="str">
        <f>IF(終値!A39="","",IF(AND(安値!P39&lt;安値!O39,安値!P39&lt;安値!N39,安値!P39&lt;安値!Q39,安値!P39&lt;安値!R39),11,""))</f>
        <v/>
      </c>
      <c r="L39" s="503" t="str">
        <f>IF(終値!A39="","",IF(AND(安値!Q39&lt;安値!P39,安値!Q39&lt;安値!O39,安値!Q39&lt;安値!R39,安値!Q39&lt;安値!S39),12,""))</f>
        <v/>
      </c>
      <c r="M39" s="503">
        <f>IF(終値!A39="","",IF(AND(安値!R39&lt;安値!Q39,安値!R39&lt;安値!P39,安値!R39&lt;安値!S39,安値!R39&lt;安値!T39),13,""))</f>
        <v>13</v>
      </c>
      <c r="N39" s="503" t="str">
        <f>IF(終値!A39="","",IF(AND(安値!S39&lt;安値!R39,安値!S39&lt;安値!Q39,安値!S39&lt;安値!T39,安値!S39&lt;安値!U39),14,""))</f>
        <v/>
      </c>
      <c r="O39" s="503" t="str">
        <f>IF(終値!A39="","",IF(AND(安値!T39&lt;安値!S39,安値!T39&lt;安値!R39,安値!T39&lt;安値!U39,安値!T39&lt;安値!V39),15,""))</f>
        <v/>
      </c>
      <c r="P39" s="503" t="str">
        <f>IF(終値!A39="","",IF(AND(安値!U39&lt;安値!T39,安値!U39&lt;安値!S39,安値!U39&lt;安値!V39,安値!U39&lt;安値!W39),16,""))</f>
        <v/>
      </c>
      <c r="Q39" s="503">
        <f>IF(終値!A39="","",IF(AND(安値!V39&lt;安値!U39,安値!V39&lt;安値!T39,安値!V39&lt;安値!W39,安値!V39&lt;安値!X39),17,""))</f>
        <v>17</v>
      </c>
      <c r="R39" s="503" t="str">
        <f>IF(終値!A39="","",IF(AND(安値!W39&lt;安値!V39,安値!W39&lt;安値!U39,安値!W39&lt;安値!X39,安値!W39&lt;安値!Y39),18,""))</f>
        <v/>
      </c>
      <c r="S39" s="503" t="str">
        <f>IF(終値!A39="","",IF(AND(安値!X39&lt;安値!W39,安値!X39&lt;安値!V39,安値!X39&lt;安値!Y39,安値!X39&lt;安値!Z39),19,""))</f>
        <v/>
      </c>
      <c r="T39" s="503" t="str">
        <f>IF(終値!A39="","",IF(AND(安値!Y39&lt;安値!X39,安値!Y39&lt;安値!W39,安値!Y39&lt;安値!Z39,安値!Y39&lt;安値!AA39),20,""))</f>
        <v/>
      </c>
      <c r="U39" s="503" t="str">
        <f>IF(終値!A39="","",IF(AND(安値!Z39&lt;安値!Y39,安値!Z39&lt;安値!X39,安値!Z39&lt;安値!AA39,安値!Z39&lt;安値!AB39),21,""))</f>
        <v/>
      </c>
      <c r="V39" s="503" t="str">
        <f>IF(終値!A39="","",IF(AND(安値!AA39&lt;安値!Z39,安値!AA39&lt;安値!Y39,安値!AA39&lt;安値!AB39,安値!AA39&lt;安値!AC39),22,""))</f>
        <v/>
      </c>
      <c r="W39" s="503" t="str">
        <f>IF(終値!A39="","",IF(AND(安値!AB39&lt;安値!AA39,安値!AB39&lt;安値!Z39,安値!AB39&lt;安値!AC39,安値!AB39&lt;安値!AD39),23,""))</f>
        <v/>
      </c>
      <c r="X39" s="503">
        <f>IF(終値!A39="","",IF(AND(安値!AC39&lt;安値!AB39,安値!AC39&lt;安値!AA39,安値!AC39&lt;安値!AD39,安値!AC39&lt;安値!AE39),24,""))</f>
        <v>24</v>
      </c>
      <c r="Y39" s="503" t="str">
        <f>IF(終値!A39="","",IF(AND(安値!AD39&lt;安値!AC39,安値!AD39&lt;安値!AB39,安値!AD39&lt;安値!AE39,安値!AD39&lt;安値!AF39),25,""))</f>
        <v/>
      </c>
      <c r="Z39" s="503" t="str">
        <f>IF(終値!A39="","",IF(AND(安値!AE39&lt;安値!AD39,安値!AE39&lt;安値!AC39,安値!AE39&lt;安値!AF39,安値!AE39&lt;安値!AG39),26,""))</f>
        <v/>
      </c>
      <c r="AA39" s="503" t="str">
        <f>IF(終値!A39="","",IF(AND(安値!AF39&lt;安値!AE39,安値!AF39&lt;安値!AD39,安値!AF39&lt;安値!AG39,安値!AF39&lt;安値!AH39),27,""))</f>
        <v/>
      </c>
      <c r="AB39" s="503" t="str">
        <f>IF(終値!A39="","",IF(AND(安値!AG39&lt;安値!AF39,安値!AG39&lt;安値!AE39,安値!AG39&lt;安値!AH39,安値!AG39&lt;安値!AI39),28,""))</f>
        <v/>
      </c>
      <c r="AC39" s="503" t="str">
        <f>IF(終値!A39="","",IF(AND(高値!G39&gt;高値!F39,高値!G39&gt;高値!E39,高値!G39&gt;高値!H39,高値!G39&gt;高値!I39),2,""))</f>
        <v/>
      </c>
      <c r="AD39" s="503" t="str">
        <f>IF(終値!A39="","",IF(AND(高値!H39&gt;高値!G39,高値!H39&gt;高値!F39,高値!H39&gt;高値!I39,高値!H39&gt;高値!J39),3,""))</f>
        <v/>
      </c>
      <c r="AE39" s="503" t="str">
        <f>IF(終値!A39="","",IF(AND(高値!I39&gt;高値!H39,高値!I39&gt;高値!G39,高値!I39&gt;高値!J39,高値!I39&gt;高値!K39),4,""))</f>
        <v/>
      </c>
      <c r="AF39" s="503" t="str">
        <f>IF(終値!A39="","",IF(AND(高値!J39&gt;高値!I39,高値!J39&gt;高値!H39,高値!J39&gt;高値!K39,高値!J39&gt;高値!L39),5,""))</f>
        <v/>
      </c>
      <c r="AG39" s="503">
        <f>IF(終値!A39="","",IF(AND(高値!K39&gt;高値!J39,高値!K39&gt;高値!I39,高値!K39&gt;高値!L39,高値!K39&gt;高値!M39),6,""))</f>
        <v>6</v>
      </c>
      <c r="AH39" s="503" t="str">
        <f>IF(終値!A39="","",IF(AND(高値!L39&gt;高値!K39,高値!L39&gt;高値!J39,高値!L39&gt;高値!M39,高値!L39&gt;高値!N39),7,""))</f>
        <v/>
      </c>
      <c r="AI39" s="503" t="str">
        <f>IF(終値!A39="","",IF(AND(高値!M39&gt;高値!L39,高値!M39&gt;高値!K39,高値!M39&gt;高値!N39,高値!M39&gt;高値!O39),8,""))</f>
        <v/>
      </c>
      <c r="AJ39" s="503" t="str">
        <f>IF(終値!A39="","",IF(AND(高値!N39&gt;高値!M39,高値!N39&gt;高値!L39,高値!N39&gt;高値!O39,高値!N39&gt;高値!P39),9,""))</f>
        <v/>
      </c>
      <c r="AK39" s="503" t="str">
        <f>IF(終値!A39="","",IF(AND(高値!O39&gt;高値!N39,高値!O39&gt;高値!M39,高値!O39&gt;高値!P39,高値!O39&gt;高値!Q39),10,""))</f>
        <v/>
      </c>
      <c r="AL39" s="503" t="str">
        <f>IF(終値!A39="","",IF(AND(高値!P39&gt;高値!O39,高値!P39&gt;高値!N39,高値!P39&gt;高値!Q39,高値!P39&gt;高値!R39),11,""))</f>
        <v/>
      </c>
      <c r="AM39" s="503">
        <f>IF(終値!A39="","",IF(AND(高値!Q39&gt;高値!P39,高値!Q39&gt;高値!O39,高値!Q39&gt;高値!R39,高値!Q39&gt;高値!S39),12,""))</f>
        <v>12</v>
      </c>
      <c r="AN39" s="503" t="str">
        <f>IF(終値!A39="","",IF(AND(高値!R39&gt;高値!Q39,高値!R39&gt;高値!P39,高値!R39&gt;高値!S39,高値!R39&gt;高値!T39),13,""))</f>
        <v/>
      </c>
      <c r="AO39" s="503" t="str">
        <f>IF(終値!A39="","",IF(AND(高値!S39&gt;高値!R39,高値!S39&gt;高値!Q39,高値!S39&gt;高値!T39,高値!S39&gt;高値!U39),14,""))</f>
        <v/>
      </c>
      <c r="AP39" s="503" t="str">
        <f>IF(終値!A39="","",IF(AND(高値!T39&gt;高値!S39,高値!T39&gt;高値!R39,高値!T39&gt;高値!U39,高値!T39&gt;高値!V39),15,""))</f>
        <v/>
      </c>
      <c r="AQ39" s="503" t="str">
        <f>IF(終値!A39="","",IF(AND(高値!U39&gt;高値!T39,高値!U39&gt;高値!S39,高値!U39&gt;高値!V39,高値!U39&gt;高値!W39),16,""))</f>
        <v/>
      </c>
      <c r="AR39" s="503" t="str">
        <f>IF(終値!A39="","",IF(AND(高値!V39&gt;高値!U39,高値!V39&gt;高値!T39,高値!V39&gt;高値!W39,高値!V39&gt;高値!X39),17,""))</f>
        <v/>
      </c>
      <c r="AS39" s="503" t="str">
        <f>IF(終値!A39="","",IF(AND(高値!W39&gt;高値!V39,高値!W39&gt;高値!U39,高値!W39&gt;高値!X39,高値!W39&gt;高値!Y39),18,""))</f>
        <v/>
      </c>
      <c r="AT39" s="503">
        <f>IF(終値!A39="","",IF(AND(高値!X39&gt;高値!W39,高値!X39&gt;高値!V39,高値!X39&gt;高値!Y39,高値!X39&gt;高値!Z39),19,""))</f>
        <v>19</v>
      </c>
      <c r="AU39" s="503" t="str">
        <f>IF(終値!A39="","",IF(AND(高値!Y39&gt;高値!X39,高値!Y39&gt;高値!W39,高値!Y39&gt;高値!Z39,高値!Y39&gt;高値!AA39),20,""))</f>
        <v/>
      </c>
      <c r="AV39" s="503" t="str">
        <f>IF(終値!A39="","",IF(AND(高値!Z39&gt;高値!Y39,高値!Z39&gt;高値!X39,高値!Z39&gt;高値!AA39,高値!Z39&gt;高値!AB39),21,""))</f>
        <v/>
      </c>
      <c r="AW39" s="503" t="str">
        <f>IF(終値!A39="","",IF(AND(高値!AA39&gt;高値!Z39,高値!AA39&gt;高値!Y39,高値!AA39&gt;高値!AB39,高値!AA39&gt;高値!AC39),22,""))</f>
        <v/>
      </c>
      <c r="AX39" s="503" t="str">
        <f>IF(終値!A39="","",IF(AND(高値!AB39&gt;高値!AA39,高値!AB39&gt;高値!Z39,高値!AB39&gt;高値!AC39,高値!AB39&gt;高値!AD39),23,""))</f>
        <v/>
      </c>
      <c r="AY39" s="503" t="str">
        <f>IF(終値!A39="","",IF(AND(高値!AC39&gt;高値!AB39,高値!AC39&gt;高値!AA39,高値!AC39&gt;高値!AD39,高値!AC39&gt;高値!AE39),24,""))</f>
        <v/>
      </c>
      <c r="AZ39" s="503" t="str">
        <f>IF(終値!A39="","",IF(AND(高値!AD39&gt;高値!AC39,高値!AD39&gt;高値!AB39,高値!AD39&gt;高値!AE39,高値!AD39&gt;高値!AF39),25,""))</f>
        <v/>
      </c>
      <c r="BA39" s="503" t="str">
        <f>IF(終値!A39="","",IF(AND(高値!AE39&gt;高値!AD39,高値!AE39&gt;高値!AC39,高値!AE39&gt;高値!AF39,高値!AE39&gt;高値!AG39),26,""))</f>
        <v/>
      </c>
      <c r="BB39" s="503" t="str">
        <f>IF(終値!A39="","",IF(AND(高値!AF39&gt;高値!AE39,高値!AF39&gt;高値!AD39,高値!AF39&gt;高値!AG39,高値!AF39&gt;高値!AH39),27,""))</f>
        <v/>
      </c>
      <c r="BC39" s="503" t="str">
        <f>IF(終値!A39="","",IF(AND(高値!AG39&gt;高値!AF39,高値!AG39&gt;高値!AE39,高値!AG39&gt;高値!AH39,高値!AG39&gt;高値!AI39),28,""))</f>
        <v/>
      </c>
      <c r="BD39" s="503">
        <f t="shared" si="0"/>
        <v>5</v>
      </c>
      <c r="BE39" s="503">
        <f t="shared" si="1"/>
        <v>3</v>
      </c>
      <c r="BF39" s="503">
        <f t="shared" si="2"/>
        <v>9</v>
      </c>
      <c r="BG39" s="503">
        <f>IF($BE39="","",INDEX(安値!$E39:$CZ39,1,$BE39+1))</f>
        <v>1404</v>
      </c>
      <c r="BH39" s="503">
        <f>IF($BF39="","",INDEX(安値!$E39:$CZ39,1,$BF39+1))</f>
        <v>1423.5</v>
      </c>
      <c r="BI39" s="503">
        <f>IF($BF39="","",MAX(INDEX(高値!$E39:$CZ39,1,$BE39+1):INDEX(高値!$E39:$CZ39,1,$BF39+1)))</f>
        <v>1518</v>
      </c>
      <c r="BJ39" s="503">
        <f>IF($BF39="","",AVERAGE(INDEX(終値!$E39:$CZ39,1,$BF39+1):INDEX(終値!$E39:$CZ39,1,$BF39+20))-2*STDEVP(INDEX(終値!$E39:$CZ39,1,$BF39+1):INDEX(終値!$E39:$CZ39,1,$BF39+20)))</f>
        <v>1280.3313096755205</v>
      </c>
      <c r="BK39" s="503">
        <f>IF($BE39="","",AVERAGE(INDEX(終値!$E39:$CZ39,1,$BE39+1):INDEX(終値!$E39:$CZ39,1,$BE39+20))-2*STDEVP(INDEX(終値!$E39:$CZ39,1,$BE39+1):INDEX(終値!$E39:$CZ39,1,$BE39+20)))</f>
        <v>1329.0742659138971</v>
      </c>
      <c r="BL39" s="503">
        <f t="shared" si="3"/>
        <v>3</v>
      </c>
      <c r="BM39" s="503">
        <f t="shared" si="4"/>
        <v>6</v>
      </c>
      <c r="BN39" s="503">
        <f t="shared" si="5"/>
        <v>12</v>
      </c>
      <c r="BO39" s="503">
        <f>IF($BM39="","",INDEX(高値!$E39:$CZ39,1,$BM39+1))</f>
        <v>1518</v>
      </c>
      <c r="BP39" s="503">
        <f>IF($BN39="","",INDEX(高値!$E39:$CZ39,1,$BN39+1))</f>
        <v>1444</v>
      </c>
      <c r="BQ39" s="503">
        <f>IF($BN39="","",MIN(INDEX(安値!$E39:$CZ39,1,$BM39+1):INDEX(安値!$E39:$CZ39,1,$BN39+1)))</f>
        <v>1400</v>
      </c>
      <c r="BR39" s="503">
        <f>IF($BN39="","",AVERAGE(INDEX(終値!$E39:$CZ39,1,$BN39+1):INDEX(終値!$E39:$CZ39,1,$BN39+20))+2*STDEVP(INDEX(終値!$E39:$CZ39,1,$BN39+1):INDEX(終値!$E39:$CZ39,1,$BN39+20)))</f>
        <v>1437.470760891377</v>
      </c>
      <c r="BS39" s="503">
        <f>IF($BM39="","",AVERAGE(INDEX(終値!$E39:$CZ39,1,$BM39+1):INDEX(終値!$E39:$CZ39,1,$BM39+20))+2*STDEVP(INDEX(終値!$E39:$CZ39,1,$BM39+1):INDEX(終値!$E39:$CZ39,1,$BM39+20)))</f>
        <v>1504.9307286454434</v>
      </c>
      <c r="BT39" s="500"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二番底W形成</v>
      </c>
    </row>
    <row r="40" spans="2:72">
      <c r="B40" s="503" t="str">
        <f>IF(終値!A40="","",IF(AND(安値!G40&lt;安値!F40,安値!G40&lt;安値!E40,安値!G40&lt;安値!H40,安値!G40&lt;安値!I40),2,""))</f>
        <v/>
      </c>
      <c r="C40" s="503">
        <f>IF(終値!A40="","",IF(AND(安値!H40&lt;安値!G40,安値!H40&lt;安値!F40,安値!H40&lt;安値!I40,安値!H40&lt;安値!J40),3,""))</f>
        <v>3</v>
      </c>
      <c r="D40" s="503" t="str">
        <f>IF(終値!A40="","",IF(AND(安値!I40&lt;安値!H40,安値!I40&lt;安値!G40,安値!I40&lt;安値!J40,安値!I40&lt;安値!K40),4,""))</f>
        <v/>
      </c>
      <c r="E40" s="503" t="str">
        <f>IF(終値!A40="","",IF(AND(安値!J40&lt;安値!I40,安値!J40&lt;安値!H40,安値!J40&lt;安値!K40,安値!J40&lt;安値!L40),5,""))</f>
        <v/>
      </c>
      <c r="F40" s="503" t="str">
        <f>IF(終値!A40="","",IF(AND(安値!K40&lt;安値!J40,安値!K40&lt;安値!I40,安値!K40&lt;安値!L40,安値!K40&lt;安値!M40),6,""))</f>
        <v/>
      </c>
      <c r="G40" s="503" t="str">
        <f>IF(終値!A40="","",IF(AND(安値!L40&lt;安値!K40,安値!L40&lt;安値!J40,安値!L40&lt;安値!M40,安値!L40&lt;安値!N40),7,""))</f>
        <v/>
      </c>
      <c r="H40" s="503" t="str">
        <f>IF(終値!A40="","",IF(AND(安値!M40&lt;安値!L40,安値!M40&lt;安値!K40,安値!M40&lt;安値!N40,安値!M40&lt;安値!O40),8,""))</f>
        <v/>
      </c>
      <c r="I40" s="503" t="str">
        <f>IF(終値!A40="","",IF(AND(安値!N40&lt;安値!M40,安値!N40&lt;安値!L40,安値!N40&lt;安値!O40,安値!N40&lt;安値!P40),9,""))</f>
        <v/>
      </c>
      <c r="J40" s="503" t="str">
        <f>IF(終値!A40="","",IF(AND(安値!O40&lt;安値!N40,安値!O40&lt;安値!M40,安値!O40&lt;安値!P40,安値!O40&lt;安値!Q40),10,""))</f>
        <v/>
      </c>
      <c r="K40" s="503" t="str">
        <f>IF(終値!A40="","",IF(AND(安値!P40&lt;安値!O40,安値!P40&lt;安値!N40,安値!P40&lt;安値!Q40,安値!P40&lt;安値!R40),11,""))</f>
        <v/>
      </c>
      <c r="L40" s="503" t="str">
        <f>IF(終値!A40="","",IF(AND(安値!Q40&lt;安値!P40,安値!Q40&lt;安値!O40,安値!Q40&lt;安値!R40,安値!Q40&lt;安値!S40),12,""))</f>
        <v/>
      </c>
      <c r="M40" s="503">
        <f>IF(終値!A40="","",IF(AND(安値!R40&lt;安値!Q40,安値!R40&lt;安値!P40,安値!R40&lt;安値!S40,安値!R40&lt;安値!T40),13,""))</f>
        <v>13</v>
      </c>
      <c r="N40" s="503" t="str">
        <f>IF(終値!A40="","",IF(AND(安値!S40&lt;安値!R40,安値!S40&lt;安値!Q40,安値!S40&lt;安値!T40,安値!S40&lt;安値!U40),14,""))</f>
        <v/>
      </c>
      <c r="O40" s="503" t="str">
        <f>IF(終値!A40="","",IF(AND(安値!T40&lt;安値!S40,安値!T40&lt;安値!R40,安値!T40&lt;安値!U40,安値!T40&lt;安値!V40),15,""))</f>
        <v/>
      </c>
      <c r="P40" s="503" t="str">
        <f>IF(終値!A40="","",IF(AND(安値!U40&lt;安値!T40,安値!U40&lt;安値!S40,安値!U40&lt;安値!V40,安値!U40&lt;安値!W40),16,""))</f>
        <v/>
      </c>
      <c r="Q40" s="503" t="str">
        <f>IF(終値!A40="","",IF(AND(安値!V40&lt;安値!U40,安値!V40&lt;安値!T40,安値!V40&lt;安値!W40,安値!V40&lt;安値!X40),17,""))</f>
        <v/>
      </c>
      <c r="R40" s="503">
        <f>IF(終値!A40="","",IF(AND(安値!W40&lt;安値!V40,安値!W40&lt;安値!U40,安値!W40&lt;安値!X40,安値!W40&lt;安値!Y40),18,""))</f>
        <v>18</v>
      </c>
      <c r="S40" s="503" t="str">
        <f>IF(終値!A40="","",IF(AND(安値!X40&lt;安値!W40,安値!X40&lt;安値!V40,安値!X40&lt;安値!Y40,安値!X40&lt;安値!Z40),19,""))</f>
        <v/>
      </c>
      <c r="T40" s="503" t="str">
        <f>IF(終値!A40="","",IF(AND(安値!Y40&lt;安値!X40,安値!Y40&lt;安値!W40,安値!Y40&lt;安値!Z40,安値!Y40&lt;安値!AA40),20,""))</f>
        <v/>
      </c>
      <c r="U40" s="503" t="str">
        <f>IF(終値!A40="","",IF(AND(安値!Z40&lt;安値!Y40,安値!Z40&lt;安値!X40,安値!Z40&lt;安値!AA40,安値!Z40&lt;安値!AB40),21,""))</f>
        <v/>
      </c>
      <c r="V40" s="503" t="str">
        <f>IF(終値!A40="","",IF(AND(安値!AA40&lt;安値!Z40,安値!AA40&lt;安値!Y40,安値!AA40&lt;安値!AB40,安値!AA40&lt;安値!AC40),22,""))</f>
        <v/>
      </c>
      <c r="W40" s="503" t="str">
        <f>IF(終値!A40="","",IF(AND(安値!AB40&lt;安値!AA40,安値!AB40&lt;安値!Z40,安値!AB40&lt;安値!AC40,安値!AB40&lt;安値!AD40),23,""))</f>
        <v/>
      </c>
      <c r="X40" s="503" t="str">
        <f>IF(終値!A40="","",IF(AND(安値!AC40&lt;安値!AB40,安値!AC40&lt;安値!AA40,安値!AC40&lt;安値!AD40,安値!AC40&lt;安値!AE40),24,""))</f>
        <v/>
      </c>
      <c r="Y40" s="503" t="str">
        <f>IF(終値!A40="","",IF(AND(安値!AD40&lt;安値!AC40,安値!AD40&lt;安値!AB40,安値!AD40&lt;安値!AE40,安値!AD40&lt;安値!AF40),25,""))</f>
        <v/>
      </c>
      <c r="Z40" s="503">
        <f>IF(終値!A40="","",IF(AND(安値!AE40&lt;安値!AD40,安値!AE40&lt;安値!AC40,安値!AE40&lt;安値!AF40,安値!AE40&lt;安値!AG40),26,""))</f>
        <v>26</v>
      </c>
      <c r="AA40" s="503" t="str">
        <f>IF(終値!A40="","",IF(AND(安値!AF40&lt;安値!AE40,安値!AF40&lt;安値!AD40,安値!AF40&lt;安値!AG40,安値!AF40&lt;安値!AH40),27,""))</f>
        <v/>
      </c>
      <c r="AB40" s="503" t="str">
        <f>IF(終値!A40="","",IF(AND(安値!AG40&lt;安値!AF40,安値!AG40&lt;安値!AE40,安値!AG40&lt;安値!AH40,安値!AG40&lt;安値!AI40),28,""))</f>
        <v/>
      </c>
      <c r="AC40" s="503" t="str">
        <f>IF(終値!A40="","",IF(AND(高値!G40&gt;高値!F40,高値!G40&gt;高値!E40,高値!G40&gt;高値!H40,高値!G40&gt;高値!I40),2,""))</f>
        <v/>
      </c>
      <c r="AD40" s="503" t="str">
        <f>IF(終値!A40="","",IF(AND(高値!H40&gt;高値!G40,高値!H40&gt;高値!F40,高値!H40&gt;高値!I40,高値!H40&gt;高値!J40),3,""))</f>
        <v/>
      </c>
      <c r="AE40" s="503" t="str">
        <f>IF(終値!A40="","",IF(AND(高値!I40&gt;高値!H40,高値!I40&gt;高値!G40,高値!I40&gt;高値!J40,高値!I40&gt;高値!K40),4,""))</f>
        <v/>
      </c>
      <c r="AF40" s="503" t="str">
        <f>IF(終値!A40="","",IF(AND(高値!J40&gt;高値!I40,高値!J40&gt;高値!H40,高値!J40&gt;高値!K40,高値!J40&gt;高値!L40),5,""))</f>
        <v/>
      </c>
      <c r="AG40" s="503" t="str">
        <f>IF(終値!A40="","",IF(AND(高値!K40&gt;高値!J40,高値!K40&gt;高値!I40,高値!K40&gt;高値!L40,高値!K40&gt;高値!M40),6,""))</f>
        <v/>
      </c>
      <c r="AH40" s="503" t="str">
        <f>IF(終値!A40="","",IF(AND(高値!L40&gt;高値!K40,高値!L40&gt;高値!J40,高値!L40&gt;高値!M40,高値!L40&gt;高値!N40),7,""))</f>
        <v/>
      </c>
      <c r="AI40" s="503" t="str">
        <f>IF(終値!A40="","",IF(AND(高値!M40&gt;高値!L40,高値!M40&gt;高値!K40,高値!M40&gt;高値!N40,高値!M40&gt;高値!O40),8,""))</f>
        <v/>
      </c>
      <c r="AJ40" s="503" t="str">
        <f>IF(終値!A40="","",IF(AND(高値!N40&gt;高値!M40,高値!N40&gt;高値!L40,高値!N40&gt;高値!O40,高値!N40&gt;高値!P40),9,""))</f>
        <v/>
      </c>
      <c r="AK40" s="503" t="str">
        <f>IF(終値!A40="","",IF(AND(高値!O40&gt;高値!N40,高値!O40&gt;高値!M40,高値!O40&gt;高値!P40,高値!O40&gt;高値!Q40),10,""))</f>
        <v/>
      </c>
      <c r="AL40" s="503" t="str">
        <f>IF(終値!A40="","",IF(AND(高値!P40&gt;高値!O40,高値!P40&gt;高値!N40,高値!P40&gt;高値!Q40,高値!P40&gt;高値!R40),11,""))</f>
        <v/>
      </c>
      <c r="AM40" s="503" t="str">
        <f>IF(終値!A40="","",IF(AND(高値!Q40&gt;高値!P40,高値!Q40&gt;高値!O40,高値!Q40&gt;高値!R40,高値!Q40&gt;高値!S40),12,""))</f>
        <v/>
      </c>
      <c r="AN40" s="503" t="str">
        <f>IF(終値!A40="","",IF(AND(高値!R40&gt;高値!Q40,高値!R40&gt;高値!P40,高値!R40&gt;高値!S40,高値!R40&gt;高値!T40),13,""))</f>
        <v/>
      </c>
      <c r="AO40" s="503">
        <f>IF(終値!A40="","",IF(AND(高値!S40&gt;高値!R40,高値!S40&gt;高値!Q40,高値!S40&gt;高値!T40,高値!S40&gt;高値!U40),14,""))</f>
        <v>14</v>
      </c>
      <c r="AP40" s="503" t="str">
        <f>IF(終値!A40="","",IF(AND(高値!T40&gt;高値!S40,高値!T40&gt;高値!R40,高値!T40&gt;高値!U40,高値!T40&gt;高値!V40),15,""))</f>
        <v/>
      </c>
      <c r="AQ40" s="503" t="str">
        <f>IF(終値!A40="","",IF(AND(高値!U40&gt;高値!T40,高値!U40&gt;高値!S40,高値!U40&gt;高値!V40,高値!U40&gt;高値!W40),16,""))</f>
        <v/>
      </c>
      <c r="AR40" s="503" t="str">
        <f>IF(終値!A40="","",IF(AND(高値!V40&gt;高値!U40,高値!V40&gt;高値!T40,高値!V40&gt;高値!W40,高値!V40&gt;高値!X40),17,""))</f>
        <v/>
      </c>
      <c r="AS40" s="503" t="str">
        <f>IF(終値!A40="","",IF(AND(高値!W40&gt;高値!V40,高値!W40&gt;高値!U40,高値!W40&gt;高値!X40,高値!W40&gt;高値!Y40),18,""))</f>
        <v/>
      </c>
      <c r="AT40" s="503" t="str">
        <f>IF(終値!A40="","",IF(AND(高値!X40&gt;高値!W40,高値!X40&gt;高値!V40,高値!X40&gt;高値!Y40,高値!X40&gt;高値!Z40),19,""))</f>
        <v/>
      </c>
      <c r="AU40" s="503" t="str">
        <f>IF(終値!A40="","",IF(AND(高値!Y40&gt;高値!X40,高値!Y40&gt;高値!W40,高値!Y40&gt;高値!Z40,高値!Y40&gt;高値!AA40),20,""))</f>
        <v/>
      </c>
      <c r="AV40" s="503" t="str">
        <f>IF(終値!A40="","",IF(AND(高値!Z40&gt;高値!Y40,高値!Z40&gt;高値!X40,高値!Z40&gt;高値!AA40,高値!Z40&gt;高値!AB40),21,""))</f>
        <v/>
      </c>
      <c r="AW40" s="503" t="str">
        <f>IF(終値!A40="","",IF(AND(高値!AA40&gt;高値!Z40,高値!AA40&gt;高値!Y40,高値!AA40&gt;高値!AB40,高値!AA40&gt;高値!AC40),22,""))</f>
        <v/>
      </c>
      <c r="AX40" s="503" t="str">
        <f>IF(終値!A40="","",IF(AND(高値!AB40&gt;高値!AA40,高値!AB40&gt;高値!Z40,高値!AB40&gt;高値!AC40,高値!AB40&gt;高値!AD40),23,""))</f>
        <v/>
      </c>
      <c r="AY40" s="503" t="str">
        <f>IF(終値!A40="","",IF(AND(高値!AC40&gt;高値!AB40,高値!AC40&gt;高値!AA40,高値!AC40&gt;高値!AD40,高値!AC40&gt;高値!AE40),24,""))</f>
        <v/>
      </c>
      <c r="AZ40" s="503" t="str">
        <f>IF(終値!A40="","",IF(AND(高値!AD40&gt;高値!AC40,高値!AD40&gt;高値!AB40,高値!AD40&gt;高値!AE40,高値!AD40&gt;高値!AF40),25,""))</f>
        <v/>
      </c>
      <c r="BA40" s="503" t="str">
        <f>IF(終値!A40="","",IF(AND(高値!AE40&gt;高値!AD40,高値!AE40&gt;高値!AC40,高値!AE40&gt;高値!AF40,高値!AE40&gt;高値!AG40),26,""))</f>
        <v/>
      </c>
      <c r="BB40" s="503">
        <f>IF(終値!A40="","",IF(AND(高値!AF40&gt;高値!AE40,高値!AF40&gt;高値!AD40,高値!AF40&gt;高値!AG40,高値!AF40&gt;高値!AH40),27,""))</f>
        <v>27</v>
      </c>
      <c r="BC40" s="503" t="str">
        <f>IF(終値!A40="","",IF(AND(高値!AG40&gt;高値!AF40,高値!AG40&gt;高値!AE40,高値!AG40&gt;高値!AH40,高値!AG40&gt;高値!AI40),28,""))</f>
        <v/>
      </c>
      <c r="BD40" s="503">
        <f t="shared" si="0"/>
        <v>4</v>
      </c>
      <c r="BE40" s="503">
        <f t="shared" si="1"/>
        <v>3</v>
      </c>
      <c r="BF40" s="503">
        <f t="shared" si="2"/>
        <v>13</v>
      </c>
      <c r="BG40" s="503">
        <f>IF($BE40="","",INDEX(安値!$E40:$CZ40,1,$BE40+1))</f>
        <v>1455.5</v>
      </c>
      <c r="BH40" s="503">
        <f>IF($BF40="","",INDEX(安値!$E40:$CZ40,1,$BF40+1))</f>
        <v>1496.5</v>
      </c>
      <c r="BI40" s="503">
        <f>IF($BF40="","",MAX(INDEX(高値!$E40:$CZ40,1,$BE40+1):INDEX(高値!$E40:$CZ40,1,$BF40+1)))</f>
        <v>1624.5</v>
      </c>
      <c r="BJ40" s="503">
        <f>IF($BF40="","",AVERAGE(INDEX(終値!$E40:$CZ40,1,$BF40+1):INDEX(終値!$E40:$CZ40,1,$BF40+20))-2*STDEVP(INDEX(終値!$E40:$CZ40,1,$BF40+1):INDEX(終値!$E40:$CZ40,1,$BF40+20)))</f>
        <v>1349.9994154339115</v>
      </c>
      <c r="BK40" s="503">
        <f>IF($BE40="","",AVERAGE(INDEX(終値!$E40:$CZ40,1,$BE40+1):INDEX(終値!$E40:$CZ40,1,$BE40+20))-2*STDEVP(INDEX(終値!$E40:$CZ40,1,$BE40+1):INDEX(終値!$E40:$CZ40,1,$BE40+20)))</f>
        <v>1457.7987213313629</v>
      </c>
      <c r="BL40" s="503">
        <f t="shared" si="3"/>
        <v>2</v>
      </c>
      <c r="BM40" s="503">
        <f t="shared" si="4"/>
        <v>14</v>
      </c>
      <c r="BN40" s="503">
        <f t="shared" si="5"/>
        <v>27</v>
      </c>
      <c r="BO40" s="503">
        <f>IF($BM40="","",INDEX(高値!$E40:$CZ40,1,$BM40+1))</f>
        <v>1631.5</v>
      </c>
      <c r="BP40" s="503">
        <f>IF($BN40="","",INDEX(高値!$E40:$CZ40,1,$BN40+1))</f>
        <v>1464.5</v>
      </c>
      <c r="BQ40" s="503">
        <f>IF($BN40="","",MIN(INDEX(安値!$E40:$CZ40,1,$BM40+1):INDEX(安値!$E40:$CZ40,1,$BN40+1)))</f>
        <v>1396</v>
      </c>
      <c r="BR40" s="503">
        <f>IF($BN40="","",AVERAGE(INDEX(終値!$E40:$CZ40,1,$BN40+1):INDEX(終値!$E40:$CZ40,1,$BN40+20))+2*STDEVP(INDEX(終値!$E40:$CZ40,1,$BN40+1):INDEX(終値!$E40:$CZ40,1,$BN40+20)))</f>
        <v>1480.6314706356852</v>
      </c>
      <c r="BS40" s="503">
        <f>IF($BM40="","",AVERAGE(INDEX(終値!$E40:$CZ40,1,$BM40+1):INDEX(終値!$E40:$CZ40,1,$BM40+20))+2*STDEVP(INDEX(終値!$E40:$CZ40,1,$BM40+1):INDEX(終値!$E40:$CZ40,1,$BM40+20)))</f>
        <v>1602.1748999999609</v>
      </c>
      <c r="BT40" s="500"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二番底W形成</v>
      </c>
    </row>
    <row r="41" spans="2:72">
      <c r="B41" s="503" t="str">
        <f>IF(終値!A41="","",IF(AND(安値!G41&lt;安値!F41,安値!G41&lt;安値!E41,安値!G41&lt;安値!H41,安値!G41&lt;安値!I41),2,""))</f>
        <v/>
      </c>
      <c r="C41" s="503" t="str">
        <f>IF(終値!A41="","",IF(AND(安値!H41&lt;安値!G41,安値!H41&lt;安値!F41,安値!H41&lt;安値!I41,安値!H41&lt;安値!J41),3,""))</f>
        <v/>
      </c>
      <c r="D41" s="503" t="str">
        <f>IF(終値!A41="","",IF(AND(安値!I41&lt;安値!H41,安値!I41&lt;安値!G41,安値!I41&lt;安値!J41,安値!I41&lt;安値!K41),4,""))</f>
        <v/>
      </c>
      <c r="E41" s="503" t="str">
        <f>IF(終値!A41="","",IF(AND(安値!J41&lt;安値!I41,安値!J41&lt;安値!H41,安値!J41&lt;安値!K41,安値!J41&lt;安値!L41),5,""))</f>
        <v/>
      </c>
      <c r="F41" s="503" t="str">
        <f>IF(終値!A41="","",IF(AND(安値!K41&lt;安値!J41,安値!K41&lt;安値!I41,安値!K41&lt;安値!L41,安値!K41&lt;安値!M41),6,""))</f>
        <v/>
      </c>
      <c r="G41" s="503" t="str">
        <f>IF(終値!A41="","",IF(AND(安値!L41&lt;安値!K41,安値!L41&lt;安値!J41,安値!L41&lt;安値!M41,安値!L41&lt;安値!N41),7,""))</f>
        <v/>
      </c>
      <c r="H41" s="503" t="str">
        <f>IF(終値!A41="","",IF(AND(安値!M41&lt;安値!L41,安値!M41&lt;安値!K41,安値!M41&lt;安値!N41,安値!M41&lt;安値!O41),8,""))</f>
        <v/>
      </c>
      <c r="I41" s="503" t="str">
        <f>IF(終値!A41="","",IF(AND(安値!N41&lt;安値!M41,安値!N41&lt;安値!L41,安値!N41&lt;安値!O41,安値!N41&lt;安値!P41),9,""))</f>
        <v/>
      </c>
      <c r="J41" s="503" t="str">
        <f>IF(終値!A41="","",IF(AND(安値!O41&lt;安値!N41,安値!O41&lt;安値!M41,安値!O41&lt;安値!P41,安値!O41&lt;安値!Q41),10,""))</f>
        <v/>
      </c>
      <c r="K41" s="503" t="str">
        <f>IF(終値!A41="","",IF(AND(安値!P41&lt;安値!O41,安値!P41&lt;安値!N41,安値!P41&lt;安値!Q41,安値!P41&lt;安値!R41),11,""))</f>
        <v/>
      </c>
      <c r="L41" s="503" t="str">
        <f>IF(終値!A41="","",IF(AND(安値!Q41&lt;安値!P41,安値!Q41&lt;安値!O41,安値!Q41&lt;安値!R41,安値!Q41&lt;安値!S41),12,""))</f>
        <v/>
      </c>
      <c r="M41" s="503" t="str">
        <f>IF(終値!A41="","",IF(AND(安値!R41&lt;安値!Q41,安値!R41&lt;安値!P41,安値!R41&lt;安値!S41,安値!R41&lt;安値!T41),13,""))</f>
        <v/>
      </c>
      <c r="N41" s="503" t="str">
        <f>IF(終値!A41="","",IF(AND(安値!S41&lt;安値!R41,安値!S41&lt;安値!Q41,安値!S41&lt;安値!T41,安値!S41&lt;安値!U41),14,""))</f>
        <v/>
      </c>
      <c r="O41" s="503">
        <f>IF(終値!A41="","",IF(AND(安値!T41&lt;安値!S41,安値!T41&lt;安値!R41,安値!T41&lt;安値!U41,安値!T41&lt;安値!V41),15,""))</f>
        <v>15</v>
      </c>
      <c r="P41" s="503" t="str">
        <f>IF(終値!A41="","",IF(AND(安値!U41&lt;安値!T41,安値!U41&lt;安値!S41,安値!U41&lt;安値!V41,安値!U41&lt;安値!W41),16,""))</f>
        <v/>
      </c>
      <c r="Q41" s="503" t="str">
        <f>IF(終値!A41="","",IF(AND(安値!V41&lt;安値!U41,安値!V41&lt;安値!T41,安値!V41&lt;安値!W41,安値!V41&lt;安値!X41),17,""))</f>
        <v/>
      </c>
      <c r="R41" s="503" t="str">
        <f>IF(終値!A41="","",IF(AND(安値!W41&lt;安値!V41,安値!W41&lt;安値!U41,安値!W41&lt;安値!X41,安値!W41&lt;安値!Y41),18,""))</f>
        <v/>
      </c>
      <c r="S41" s="503" t="str">
        <f>IF(終値!A41="","",IF(AND(安値!X41&lt;安値!W41,安値!X41&lt;安値!V41,安値!X41&lt;安値!Y41,安値!X41&lt;安値!Z41),19,""))</f>
        <v/>
      </c>
      <c r="T41" s="503" t="str">
        <f>IF(終値!A41="","",IF(AND(安値!Y41&lt;安値!X41,安値!Y41&lt;安値!W41,安値!Y41&lt;安値!Z41,安値!Y41&lt;安値!AA41),20,""))</f>
        <v/>
      </c>
      <c r="U41" s="503" t="str">
        <f>IF(終値!A41="","",IF(AND(安値!Z41&lt;安値!Y41,安値!Z41&lt;安値!X41,安値!Z41&lt;安値!AA41,安値!Z41&lt;安値!AB41),21,""))</f>
        <v/>
      </c>
      <c r="V41" s="503" t="str">
        <f>IF(終値!A41="","",IF(AND(安値!AA41&lt;安値!Z41,安値!AA41&lt;安値!Y41,安値!AA41&lt;安値!AB41,安値!AA41&lt;安値!AC41),22,""))</f>
        <v/>
      </c>
      <c r="W41" s="503" t="str">
        <f>IF(終値!A41="","",IF(AND(安値!AB41&lt;安値!AA41,安値!AB41&lt;安値!Z41,安値!AB41&lt;安値!AC41,安値!AB41&lt;安値!AD41),23,""))</f>
        <v/>
      </c>
      <c r="X41" s="503">
        <f>IF(終値!A41="","",IF(AND(安値!AC41&lt;安値!AB41,安値!AC41&lt;安値!AA41,安値!AC41&lt;安値!AD41,安値!AC41&lt;安値!AE41),24,""))</f>
        <v>24</v>
      </c>
      <c r="Y41" s="503" t="str">
        <f>IF(終値!A41="","",IF(AND(安値!AD41&lt;安値!AC41,安値!AD41&lt;安値!AB41,安値!AD41&lt;安値!AE41,安値!AD41&lt;安値!AF41),25,""))</f>
        <v/>
      </c>
      <c r="Z41" s="503" t="str">
        <f>IF(終値!A41="","",IF(AND(安値!AE41&lt;安値!AD41,安値!AE41&lt;安値!AC41,安値!AE41&lt;安値!AF41,安値!AE41&lt;安値!AG41),26,""))</f>
        <v/>
      </c>
      <c r="AA41" s="503" t="str">
        <f>IF(終値!A41="","",IF(AND(安値!AF41&lt;安値!AE41,安値!AF41&lt;安値!AD41,安値!AF41&lt;安値!AG41,安値!AF41&lt;安値!AH41),27,""))</f>
        <v/>
      </c>
      <c r="AB41" s="503" t="str">
        <f>IF(終値!A41="","",IF(AND(安値!AG41&lt;安値!AF41,安値!AG41&lt;安値!AE41,安値!AG41&lt;安値!AH41,安値!AG41&lt;安値!AI41),28,""))</f>
        <v/>
      </c>
      <c r="AC41" s="503" t="str">
        <f>IF(終値!A41="","",IF(AND(高値!G41&gt;高値!F41,高値!G41&gt;高値!E41,高値!G41&gt;高値!H41,高値!G41&gt;高値!I41),2,""))</f>
        <v/>
      </c>
      <c r="AD41" s="503" t="str">
        <f>IF(終値!A41="","",IF(AND(高値!H41&gt;高値!G41,高値!H41&gt;高値!F41,高値!H41&gt;高値!I41,高値!H41&gt;高値!J41),3,""))</f>
        <v/>
      </c>
      <c r="AE41" s="503" t="str">
        <f>IF(終値!A41="","",IF(AND(高値!I41&gt;高値!H41,高値!I41&gt;高値!G41,高値!I41&gt;高値!J41,高値!I41&gt;高値!K41),4,""))</f>
        <v/>
      </c>
      <c r="AF41" s="503" t="str">
        <f>IF(終値!A41="","",IF(AND(高値!J41&gt;高値!I41,高値!J41&gt;高値!H41,高値!J41&gt;高値!K41,高値!J41&gt;高値!L41),5,""))</f>
        <v/>
      </c>
      <c r="AG41" s="503">
        <f>IF(終値!A41="","",IF(AND(高値!K41&gt;高値!J41,高値!K41&gt;高値!I41,高値!K41&gt;高値!L41,高値!K41&gt;高値!M41),6,""))</f>
        <v>6</v>
      </c>
      <c r="AH41" s="503" t="str">
        <f>IF(終値!A41="","",IF(AND(高値!L41&gt;高値!K41,高値!L41&gt;高値!J41,高値!L41&gt;高値!M41,高値!L41&gt;高値!N41),7,""))</f>
        <v/>
      </c>
      <c r="AI41" s="503" t="str">
        <f>IF(終値!A41="","",IF(AND(高値!M41&gt;高値!L41,高値!M41&gt;高値!K41,高値!M41&gt;高値!N41,高値!M41&gt;高値!O41),8,""))</f>
        <v/>
      </c>
      <c r="AJ41" s="503" t="str">
        <f>IF(終値!A41="","",IF(AND(高値!N41&gt;高値!M41,高値!N41&gt;高値!L41,高値!N41&gt;高値!O41,高値!N41&gt;高値!P41),9,""))</f>
        <v/>
      </c>
      <c r="AK41" s="503" t="str">
        <f>IF(終値!A41="","",IF(AND(高値!O41&gt;高値!N41,高値!O41&gt;高値!M41,高値!O41&gt;高値!P41,高値!O41&gt;高値!Q41),10,""))</f>
        <v/>
      </c>
      <c r="AL41" s="503" t="str">
        <f>IF(終値!A41="","",IF(AND(高値!P41&gt;高値!O41,高値!P41&gt;高値!N41,高値!P41&gt;高値!Q41,高値!P41&gt;高値!R41),11,""))</f>
        <v/>
      </c>
      <c r="AM41" s="503" t="str">
        <f>IF(終値!A41="","",IF(AND(高値!Q41&gt;高値!P41,高値!Q41&gt;高値!O41,高値!Q41&gt;高値!R41,高値!Q41&gt;高値!S41),12,""))</f>
        <v/>
      </c>
      <c r="AN41" s="503" t="str">
        <f>IF(終値!A41="","",IF(AND(高値!R41&gt;高値!Q41,高値!R41&gt;高値!P41,高値!R41&gt;高値!S41,高値!R41&gt;高値!T41),13,""))</f>
        <v/>
      </c>
      <c r="AO41" s="503" t="str">
        <f>IF(終値!A41="","",IF(AND(高値!S41&gt;高値!R41,高値!S41&gt;高値!Q41,高値!S41&gt;高値!T41,高値!S41&gt;高値!U41),14,""))</f>
        <v/>
      </c>
      <c r="AP41" s="503" t="str">
        <f>IF(終値!A41="","",IF(AND(高値!T41&gt;高値!S41,高値!T41&gt;高値!R41,高値!T41&gt;高値!U41,高値!T41&gt;高値!V41),15,""))</f>
        <v/>
      </c>
      <c r="AQ41" s="503" t="str">
        <f>IF(終値!A41="","",IF(AND(高値!U41&gt;高値!T41,高値!U41&gt;高値!S41,高値!U41&gt;高値!V41,高値!U41&gt;高値!W41),16,""))</f>
        <v/>
      </c>
      <c r="AR41" s="503" t="str">
        <f>IF(終値!A41="","",IF(AND(高値!V41&gt;高値!U41,高値!V41&gt;高値!T41,高値!V41&gt;高値!W41,高値!V41&gt;高値!X41),17,""))</f>
        <v/>
      </c>
      <c r="AS41" s="503" t="str">
        <f>IF(終値!A41="","",IF(AND(高値!W41&gt;高値!V41,高値!W41&gt;高値!U41,高値!W41&gt;高値!X41,高値!W41&gt;高値!Y41),18,""))</f>
        <v/>
      </c>
      <c r="AT41" s="503">
        <f>IF(終値!A41="","",IF(AND(高値!X41&gt;高値!W41,高値!X41&gt;高値!V41,高値!X41&gt;高値!Y41,高値!X41&gt;高値!Z41),19,""))</f>
        <v>19</v>
      </c>
      <c r="AU41" s="503" t="str">
        <f>IF(終値!A41="","",IF(AND(高値!Y41&gt;高値!X41,高値!Y41&gt;高値!W41,高値!Y41&gt;高値!Z41,高値!Y41&gt;高値!AA41),20,""))</f>
        <v/>
      </c>
      <c r="AV41" s="503" t="str">
        <f>IF(終値!A41="","",IF(AND(高値!Z41&gt;高値!Y41,高値!Z41&gt;高値!X41,高値!Z41&gt;高値!AA41,高値!Z41&gt;高値!AB41),21,""))</f>
        <v/>
      </c>
      <c r="AW41" s="503">
        <f>IF(終値!A41="","",IF(AND(高値!AA41&gt;高値!Z41,高値!AA41&gt;高値!Y41,高値!AA41&gt;高値!AB41,高値!AA41&gt;高値!AC41),22,""))</f>
        <v>22</v>
      </c>
      <c r="AX41" s="503" t="str">
        <f>IF(終値!A41="","",IF(AND(高値!AB41&gt;高値!AA41,高値!AB41&gt;高値!Z41,高値!AB41&gt;高値!AC41,高値!AB41&gt;高値!AD41),23,""))</f>
        <v/>
      </c>
      <c r="AY41" s="503" t="str">
        <f>IF(終値!A41="","",IF(AND(高値!AC41&gt;高値!AB41,高値!AC41&gt;高値!AA41,高値!AC41&gt;高値!AD41,高値!AC41&gt;高値!AE41),24,""))</f>
        <v/>
      </c>
      <c r="AZ41" s="503" t="str">
        <f>IF(終値!A41="","",IF(AND(高値!AD41&gt;高値!AC41,高値!AD41&gt;高値!AB41,高値!AD41&gt;高値!AE41,高値!AD41&gt;高値!AF41),25,""))</f>
        <v/>
      </c>
      <c r="BA41" s="503" t="str">
        <f>IF(終値!A41="","",IF(AND(高値!AE41&gt;高値!AD41,高値!AE41&gt;高値!AC41,高値!AE41&gt;高値!AF41,高値!AE41&gt;高値!AG41),26,""))</f>
        <v/>
      </c>
      <c r="BB41" s="503" t="str">
        <f>IF(終値!A41="","",IF(AND(高値!AF41&gt;高値!AE41,高値!AF41&gt;高値!AD41,高値!AF41&gt;高値!AG41,高値!AF41&gt;高値!AH41),27,""))</f>
        <v/>
      </c>
      <c r="BC41" s="503" t="str">
        <f>IF(終値!A41="","",IF(AND(高値!AG41&gt;高値!AF41,高値!AG41&gt;高値!AE41,高値!AG41&gt;高値!AH41,高値!AG41&gt;高値!AI41),28,""))</f>
        <v/>
      </c>
      <c r="BD41" s="503">
        <f t="shared" si="0"/>
        <v>2</v>
      </c>
      <c r="BE41" s="503">
        <f t="shared" si="1"/>
        <v>15</v>
      </c>
      <c r="BF41" s="503">
        <f t="shared" si="2"/>
        <v>24</v>
      </c>
      <c r="BG41" s="503">
        <f>IF($BE41="","",INDEX(安値!$E41:$CZ41,1,$BE41+1))</f>
        <v>814.2</v>
      </c>
      <c r="BH41" s="503">
        <f>IF($BF41="","",INDEX(安値!$E41:$CZ41,1,$BF41+1))</f>
        <v>790.5</v>
      </c>
      <c r="BI41" s="503">
        <f>IF($BF41="","",MAX(INDEX(高値!$E41:$CZ41,1,$BE41+1):INDEX(高値!$E41:$CZ41,1,$BF41+1)))</f>
        <v>835</v>
      </c>
      <c r="BJ41" s="503">
        <f>IF($BF41="","",AVERAGE(INDEX(終値!$E41:$CZ41,1,$BF41+1):INDEX(終値!$E41:$CZ41,1,$BF41+20))-2*STDEVP(INDEX(終値!$E41:$CZ41,1,$BF41+1):INDEX(終値!$E41:$CZ41,1,$BF41+20)))</f>
        <v>771.07342220274916</v>
      </c>
      <c r="BK41" s="503">
        <f>IF($BE41="","",AVERAGE(INDEX(終値!$E41:$CZ41,1,$BE41+1):INDEX(終値!$E41:$CZ41,1,$BE41+20))-2*STDEVP(INDEX(終値!$E41:$CZ41,1,$BE41+1):INDEX(終値!$E41:$CZ41,1,$BE41+20)))</f>
        <v>773.73487935269623</v>
      </c>
      <c r="BL41" s="503">
        <f t="shared" si="3"/>
        <v>3</v>
      </c>
      <c r="BM41" s="503">
        <f t="shared" si="4"/>
        <v>6</v>
      </c>
      <c r="BN41" s="503">
        <f t="shared" si="5"/>
        <v>19</v>
      </c>
      <c r="BO41" s="503">
        <f>IF($BM41="","",INDEX(高値!$E41:$CZ41,1,$BM41+1))</f>
        <v>898.2</v>
      </c>
      <c r="BP41" s="503">
        <f>IF($BN41="","",INDEX(高値!$E41:$CZ41,1,$BN41+1))</f>
        <v>834.3</v>
      </c>
      <c r="BQ41" s="503">
        <f>IF($BN41="","",MIN(INDEX(安値!$E41:$CZ41,1,$BM41+1):INDEX(安値!$E41:$CZ41,1,$BN41+1)))</f>
        <v>814.2</v>
      </c>
      <c r="BR41" s="503">
        <f>IF($BN41="","",AVERAGE(INDEX(終値!$E41:$CZ41,1,$BN41+1):INDEX(終値!$E41:$CZ41,1,$BN41+20))+2*STDEVP(INDEX(終値!$E41:$CZ41,1,$BN41+1):INDEX(終値!$E41:$CZ41,1,$BN41+20)))</f>
        <v>831.88441364396317</v>
      </c>
      <c r="BS41" s="503">
        <f>IF($BM41="","",AVERAGE(INDEX(終値!$E41:$CZ41,1,$BM41+1):INDEX(終値!$E41:$CZ41,1,$BM41+20))+2*STDEVP(INDEX(終値!$E41:$CZ41,1,$BM41+1):INDEX(終値!$E41:$CZ41,1,$BM41+20)))</f>
        <v>894.61673209756816</v>
      </c>
      <c r="BT41" s="500"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3" t="str">
        <f>IF(終値!A42="","",IF(AND(安値!G42&lt;安値!F42,安値!G42&lt;安値!E42,安値!G42&lt;安値!H42,安値!G42&lt;安値!I42),2,""))</f>
        <v/>
      </c>
      <c r="C42" s="503" t="str">
        <f>IF(終値!A42="","",IF(AND(安値!H42&lt;安値!G42,安値!H42&lt;安値!F42,安値!H42&lt;安値!I42,安値!H42&lt;安値!J42),3,""))</f>
        <v/>
      </c>
      <c r="D42" s="503" t="str">
        <f>IF(終値!A42="","",IF(AND(安値!I42&lt;安値!H42,安値!I42&lt;安値!G42,安値!I42&lt;安値!J42,安値!I42&lt;安値!K42),4,""))</f>
        <v/>
      </c>
      <c r="E42" s="503" t="str">
        <f>IF(終値!A42="","",IF(AND(安値!J42&lt;安値!I42,安値!J42&lt;安値!H42,安値!J42&lt;安値!K42,安値!J42&lt;安値!L42),5,""))</f>
        <v/>
      </c>
      <c r="F42" s="503" t="str">
        <f>IF(終値!A42="","",IF(AND(安値!K42&lt;安値!J42,安値!K42&lt;安値!I42,安値!K42&lt;安値!L42,安値!K42&lt;安値!M42),6,""))</f>
        <v/>
      </c>
      <c r="G42" s="503" t="str">
        <f>IF(終値!A42="","",IF(AND(安値!L42&lt;安値!K42,安値!L42&lt;安値!J42,安値!L42&lt;安値!M42,安値!L42&lt;安値!N42),7,""))</f>
        <v/>
      </c>
      <c r="H42" s="503" t="str">
        <f>IF(終値!A42="","",IF(AND(安値!M42&lt;安値!L42,安値!M42&lt;安値!K42,安値!M42&lt;安値!N42,安値!M42&lt;安値!O42),8,""))</f>
        <v/>
      </c>
      <c r="I42" s="503">
        <f>IF(終値!A42="","",IF(AND(安値!N42&lt;安値!M42,安値!N42&lt;安値!L42,安値!N42&lt;安値!O42,安値!N42&lt;安値!P42),9,""))</f>
        <v>9</v>
      </c>
      <c r="J42" s="503" t="str">
        <f>IF(終値!A42="","",IF(AND(安値!O42&lt;安値!N42,安値!O42&lt;安値!M42,安値!O42&lt;安値!P42,安値!O42&lt;安値!Q42),10,""))</f>
        <v/>
      </c>
      <c r="K42" s="503" t="str">
        <f>IF(終値!A42="","",IF(AND(安値!P42&lt;安値!O42,安値!P42&lt;安値!N42,安値!P42&lt;安値!Q42,安値!P42&lt;安値!R42),11,""))</f>
        <v/>
      </c>
      <c r="L42" s="503" t="str">
        <f>IF(終値!A42="","",IF(AND(安値!Q42&lt;安値!P42,安値!Q42&lt;安値!O42,安値!Q42&lt;安値!R42,安値!Q42&lt;安値!S42),12,""))</f>
        <v/>
      </c>
      <c r="M42" s="503" t="str">
        <f>IF(終値!A42="","",IF(AND(安値!R42&lt;安値!Q42,安値!R42&lt;安値!P42,安値!R42&lt;安値!S42,安値!R42&lt;安値!T42),13,""))</f>
        <v/>
      </c>
      <c r="N42" s="503" t="str">
        <f>IF(終値!A42="","",IF(AND(安値!S42&lt;安値!R42,安値!S42&lt;安値!Q42,安値!S42&lt;安値!T42,安値!S42&lt;安値!U42),14,""))</f>
        <v/>
      </c>
      <c r="O42" s="503" t="str">
        <f>IF(終値!A42="","",IF(AND(安値!T42&lt;安値!S42,安値!T42&lt;安値!R42,安値!T42&lt;安値!U42,安値!T42&lt;安値!V42),15,""))</f>
        <v/>
      </c>
      <c r="P42" s="503">
        <f>IF(終値!A42="","",IF(AND(安値!U42&lt;安値!T42,安値!U42&lt;安値!S42,安値!U42&lt;安値!V42,安値!U42&lt;安値!W42),16,""))</f>
        <v>16</v>
      </c>
      <c r="Q42" s="503" t="str">
        <f>IF(終値!A42="","",IF(AND(安値!V42&lt;安値!U42,安値!V42&lt;安値!T42,安値!V42&lt;安値!W42,安値!V42&lt;安値!X42),17,""))</f>
        <v/>
      </c>
      <c r="R42" s="503" t="str">
        <f>IF(終値!A42="","",IF(AND(安値!W42&lt;安値!V42,安値!W42&lt;安値!U42,安値!W42&lt;安値!X42,安値!W42&lt;安値!Y42),18,""))</f>
        <v/>
      </c>
      <c r="S42" s="503" t="str">
        <f>IF(終値!A42="","",IF(AND(安値!X42&lt;安値!W42,安値!X42&lt;安値!V42,安値!X42&lt;安値!Y42,安値!X42&lt;安値!Z42),19,""))</f>
        <v/>
      </c>
      <c r="T42" s="503" t="str">
        <f>IF(終値!A42="","",IF(AND(安値!Y42&lt;安値!X42,安値!Y42&lt;安値!W42,安値!Y42&lt;安値!Z42,安値!Y42&lt;安値!AA42),20,""))</f>
        <v/>
      </c>
      <c r="U42" s="503" t="str">
        <f>IF(終値!A42="","",IF(AND(安値!Z42&lt;安値!Y42,安値!Z42&lt;安値!X42,安値!Z42&lt;安値!AA42,安値!Z42&lt;安値!AB42),21,""))</f>
        <v/>
      </c>
      <c r="V42" s="503" t="str">
        <f>IF(終値!A42="","",IF(AND(安値!AA42&lt;安値!Z42,安値!AA42&lt;安値!Y42,安値!AA42&lt;安値!AB42,安値!AA42&lt;安値!AC42),22,""))</f>
        <v/>
      </c>
      <c r="W42" s="503" t="str">
        <f>IF(終値!A42="","",IF(AND(安値!AB42&lt;安値!AA42,安値!AB42&lt;安値!Z42,安値!AB42&lt;安値!AC42,安値!AB42&lt;安値!AD42),23,""))</f>
        <v/>
      </c>
      <c r="X42" s="503" t="str">
        <f>IF(終値!A42="","",IF(AND(安値!AC42&lt;安値!AB42,安値!AC42&lt;安値!AA42,安値!AC42&lt;安値!AD42,安値!AC42&lt;安値!AE42),24,""))</f>
        <v/>
      </c>
      <c r="Y42" s="503">
        <f>IF(終値!A42="","",IF(AND(安値!AD42&lt;安値!AC42,安値!AD42&lt;安値!AB42,安値!AD42&lt;安値!AE42,安値!AD42&lt;安値!AF42),25,""))</f>
        <v>25</v>
      </c>
      <c r="Z42" s="503" t="str">
        <f>IF(終値!A42="","",IF(AND(安値!AE42&lt;安値!AD42,安値!AE42&lt;安値!AC42,安値!AE42&lt;安値!AF42,安値!AE42&lt;安値!AG42),26,""))</f>
        <v/>
      </c>
      <c r="AA42" s="503" t="str">
        <f>IF(終値!A42="","",IF(AND(安値!AF42&lt;安値!AE42,安値!AF42&lt;安値!AD42,安値!AF42&lt;安値!AG42,安値!AF42&lt;安値!AH42),27,""))</f>
        <v/>
      </c>
      <c r="AB42" s="503" t="str">
        <f>IF(終値!A42="","",IF(AND(安値!AG42&lt;安値!AF42,安値!AG42&lt;安値!AE42,安値!AG42&lt;安値!AH42,安値!AG42&lt;安値!AI42),28,""))</f>
        <v/>
      </c>
      <c r="AC42" s="503" t="str">
        <f>IF(終値!A42="","",IF(AND(高値!G42&gt;高値!F42,高値!G42&gt;高値!E42,高値!G42&gt;高値!H42,高値!G42&gt;高値!I42),2,""))</f>
        <v/>
      </c>
      <c r="AD42" s="503" t="str">
        <f>IF(終値!A42="","",IF(AND(高値!H42&gt;高値!G42,高値!H42&gt;高値!F42,高値!H42&gt;高値!I42,高値!H42&gt;高値!J42),3,""))</f>
        <v/>
      </c>
      <c r="AE42" s="503" t="str">
        <f>IF(終値!A42="","",IF(AND(高値!I42&gt;高値!H42,高値!I42&gt;高値!G42,高値!I42&gt;高値!J42,高値!I42&gt;高値!K42),4,""))</f>
        <v/>
      </c>
      <c r="AF42" s="503">
        <f>IF(終値!A42="","",IF(AND(高値!J42&gt;高値!I42,高値!J42&gt;高値!H42,高値!J42&gt;高値!K42,高値!J42&gt;高値!L42),5,""))</f>
        <v>5</v>
      </c>
      <c r="AG42" s="503" t="str">
        <f>IF(終値!A42="","",IF(AND(高値!K42&gt;高値!J42,高値!K42&gt;高値!I42,高値!K42&gt;高値!L42,高値!K42&gt;高値!M42),6,""))</f>
        <v/>
      </c>
      <c r="AH42" s="503" t="str">
        <f>IF(終値!A42="","",IF(AND(高値!L42&gt;高値!K42,高値!L42&gt;高値!J42,高値!L42&gt;高値!M42,高値!L42&gt;高値!N42),7,""))</f>
        <v/>
      </c>
      <c r="AI42" s="503" t="str">
        <f>IF(終値!A42="","",IF(AND(高値!M42&gt;高値!L42,高値!M42&gt;高値!K42,高値!M42&gt;高値!N42,高値!M42&gt;高値!O42),8,""))</f>
        <v/>
      </c>
      <c r="AJ42" s="503" t="str">
        <f>IF(終値!A42="","",IF(AND(高値!N42&gt;高値!M42,高値!N42&gt;高値!L42,高値!N42&gt;高値!O42,高値!N42&gt;高値!P42),9,""))</f>
        <v/>
      </c>
      <c r="AK42" s="503" t="str">
        <f>IF(終値!A42="","",IF(AND(高値!O42&gt;高値!N42,高値!O42&gt;高値!M42,高値!O42&gt;高値!P42,高値!O42&gt;高値!Q42),10,""))</f>
        <v/>
      </c>
      <c r="AL42" s="503" t="str">
        <f>IF(終値!A42="","",IF(AND(高値!P42&gt;高値!O42,高値!P42&gt;高値!N42,高値!P42&gt;高値!Q42,高値!P42&gt;高値!R42),11,""))</f>
        <v/>
      </c>
      <c r="AM42" s="503">
        <f>IF(終値!A42="","",IF(AND(高値!Q42&gt;高値!P42,高値!Q42&gt;高値!O42,高値!Q42&gt;高値!R42,高値!Q42&gt;高値!S42),12,""))</f>
        <v>12</v>
      </c>
      <c r="AN42" s="503" t="str">
        <f>IF(終値!A42="","",IF(AND(高値!R42&gt;高値!Q42,高値!R42&gt;高値!P42,高値!R42&gt;高値!S42,高値!R42&gt;高値!T42),13,""))</f>
        <v/>
      </c>
      <c r="AO42" s="503" t="str">
        <f>IF(終値!A42="","",IF(AND(高値!S42&gt;高値!R42,高値!S42&gt;高値!Q42,高値!S42&gt;高値!T42,高値!S42&gt;高値!U42),14,""))</f>
        <v/>
      </c>
      <c r="AP42" s="503" t="str">
        <f>IF(終値!A42="","",IF(AND(高値!T42&gt;高値!S42,高値!T42&gt;高値!R42,高値!T42&gt;高値!U42,高値!T42&gt;高値!V42),15,""))</f>
        <v/>
      </c>
      <c r="AQ42" s="503" t="str">
        <f>IF(終値!A42="","",IF(AND(高値!U42&gt;高値!T42,高値!U42&gt;高値!S42,高値!U42&gt;高値!V42,高値!U42&gt;高値!W42),16,""))</f>
        <v/>
      </c>
      <c r="AR42" s="503" t="str">
        <f>IF(終値!A42="","",IF(AND(高値!V42&gt;高値!U42,高値!V42&gt;高値!T42,高値!V42&gt;高値!W42,高値!V42&gt;高値!X42),17,""))</f>
        <v/>
      </c>
      <c r="AS42" s="503" t="str">
        <f>IF(終値!A42="","",IF(AND(高値!W42&gt;高値!V42,高値!W42&gt;高値!U42,高値!W42&gt;高値!X42,高値!W42&gt;高値!Y42),18,""))</f>
        <v/>
      </c>
      <c r="AT42" s="503" t="str">
        <f>IF(終値!A42="","",IF(AND(高値!X42&gt;高値!W42,高値!X42&gt;高値!V42,高値!X42&gt;高値!Y42,高値!X42&gt;高値!Z42),19,""))</f>
        <v/>
      </c>
      <c r="AU42" s="503">
        <f>IF(終値!A42="","",IF(AND(高値!Y42&gt;高値!X42,高値!Y42&gt;高値!W42,高値!Y42&gt;高値!Z42,高値!Y42&gt;高値!AA42),20,""))</f>
        <v>20</v>
      </c>
      <c r="AV42" s="503" t="str">
        <f>IF(終値!A42="","",IF(AND(高値!Z42&gt;高値!Y42,高値!Z42&gt;高値!X42,高値!Z42&gt;高値!AA42,高値!Z42&gt;高値!AB42),21,""))</f>
        <v/>
      </c>
      <c r="AW42" s="503" t="str">
        <f>IF(終値!A42="","",IF(AND(高値!AA42&gt;高値!Z42,高値!AA42&gt;高値!Y42,高値!AA42&gt;高値!AB42,高値!AA42&gt;高値!AC42),22,""))</f>
        <v/>
      </c>
      <c r="AX42" s="503" t="str">
        <f>IF(終値!A42="","",IF(AND(高値!AB42&gt;高値!AA42,高値!AB42&gt;高値!Z42,高値!AB42&gt;高値!AC42,高値!AB42&gt;高値!AD42),23,""))</f>
        <v/>
      </c>
      <c r="AY42" s="503" t="str">
        <f>IF(終値!A42="","",IF(AND(高値!AC42&gt;高値!AB42,高値!AC42&gt;高値!AA42,高値!AC42&gt;高値!AD42,高値!AC42&gt;高値!AE42),24,""))</f>
        <v/>
      </c>
      <c r="AZ42" s="503" t="str">
        <f>IF(終値!A42="","",IF(AND(高値!AD42&gt;高値!AC42,高値!AD42&gt;高値!AB42,高値!AD42&gt;高値!AE42,高値!AD42&gt;高値!AF42),25,""))</f>
        <v/>
      </c>
      <c r="BA42" s="503">
        <f>IF(終値!A42="","",IF(AND(高値!AE42&gt;高値!AD42,高値!AE42&gt;高値!AC42,高値!AE42&gt;高値!AF42,高値!AE42&gt;高値!AG42),26,""))</f>
        <v>26</v>
      </c>
      <c r="BB42" s="503" t="str">
        <f>IF(終値!A42="","",IF(AND(高値!AF42&gt;高値!AE42,高値!AF42&gt;高値!AD42,高値!AF42&gt;高値!AG42,高値!AF42&gt;高値!AH42),27,""))</f>
        <v/>
      </c>
      <c r="BC42" s="503" t="str">
        <f>IF(終値!A42="","",IF(AND(高値!AG42&gt;高値!AF42,高値!AG42&gt;高値!AE42,高値!AG42&gt;高値!AH42,高値!AG42&gt;高値!AI42),28,""))</f>
        <v/>
      </c>
      <c r="BD42" s="503">
        <f t="shared" si="0"/>
        <v>3</v>
      </c>
      <c r="BE42" s="503">
        <f t="shared" si="1"/>
        <v>9</v>
      </c>
      <c r="BF42" s="503">
        <f t="shared" si="2"/>
        <v>16</v>
      </c>
      <c r="BG42" s="503">
        <f>IF($BE42="","",INDEX(安値!$E42:$CZ42,1,$BE42+1))</f>
        <v>3528</v>
      </c>
      <c r="BH42" s="503">
        <f>IF($BF42="","",INDEX(安値!$E42:$CZ42,1,$BF42+1))</f>
        <v>3531</v>
      </c>
      <c r="BI42" s="503">
        <f>IF($BF42="","",MAX(INDEX(高値!$E42:$CZ42,1,$BE42+1):INDEX(高値!$E42:$CZ42,1,$BF42+1)))</f>
        <v>3669</v>
      </c>
      <c r="BJ42" s="503">
        <f>IF($BF42="","",AVERAGE(INDEX(終値!$E42:$CZ42,1,$BF42+1):INDEX(終値!$E42:$CZ42,1,$BF42+20))-2*STDEVP(INDEX(終値!$E42:$CZ42,1,$BF42+1):INDEX(終値!$E42:$CZ42,1,$BF42+20)))</f>
        <v>3408.132808399967</v>
      </c>
      <c r="BK42" s="503">
        <f>IF($BE42="","",AVERAGE(INDEX(終値!$E42:$CZ42,1,$BE42+1):INDEX(終値!$E42:$CZ42,1,$BE42+20))-2*STDEVP(INDEX(終値!$E42:$CZ42,1,$BE42+1):INDEX(終値!$E42:$CZ42,1,$BE42+20)))</f>
        <v>3530.8557502755471</v>
      </c>
      <c r="BL42" s="503">
        <f t="shared" si="3"/>
        <v>4</v>
      </c>
      <c r="BM42" s="503">
        <f t="shared" si="4"/>
        <v>5</v>
      </c>
      <c r="BN42" s="503">
        <f t="shared" si="5"/>
        <v>12</v>
      </c>
      <c r="BO42" s="503">
        <f>IF($BM42="","",INDEX(高値!$E42:$CZ42,1,$BM42+1))</f>
        <v>3797</v>
      </c>
      <c r="BP42" s="503">
        <f>IF($BN42="","",INDEX(高値!$E42:$CZ42,1,$BN42+1))</f>
        <v>3669</v>
      </c>
      <c r="BQ42" s="503">
        <f>IF($BN42="","",MIN(INDEX(安値!$E42:$CZ42,1,$BM42+1):INDEX(安値!$E42:$CZ42,1,$BN42+1)))</f>
        <v>3528</v>
      </c>
      <c r="BR42" s="503">
        <f>IF($BN42="","",AVERAGE(INDEX(終値!$E42:$CZ42,1,$BN42+1):INDEX(終値!$E42:$CZ42,1,$BN42+20))+2*STDEVP(INDEX(終値!$E42:$CZ42,1,$BN42+1):INDEX(終値!$E42:$CZ42,1,$BN42+20)))</f>
        <v>3671.8836312711246</v>
      </c>
      <c r="BS42" s="503">
        <f>IF($BM42="","",AVERAGE(INDEX(終値!$E42:$CZ42,1,$BM42+1):INDEX(終値!$E42:$CZ42,1,$BM42+20))+2*STDEVP(INDEX(終値!$E42:$CZ42,1,$BM42+1):INDEX(終値!$E42:$CZ42,1,$BM42+20)))</f>
        <v>3739.3719030541874</v>
      </c>
      <c r="BT42" s="500"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二番底W形成</v>
      </c>
    </row>
    <row r="43" spans="2:72">
      <c r="B43" s="503" t="str">
        <f>IF(終値!A43="","",IF(AND(安値!G43&lt;安値!F43,安値!G43&lt;安値!E43,安値!G43&lt;安値!H43,安値!G43&lt;安値!I43),2,""))</f>
        <v/>
      </c>
      <c r="C43" s="503">
        <f>IF(終値!A43="","",IF(AND(安値!H43&lt;安値!G43,安値!H43&lt;安値!F43,安値!H43&lt;安値!I43,安値!H43&lt;安値!J43),3,""))</f>
        <v>3</v>
      </c>
      <c r="D43" s="503" t="str">
        <f>IF(終値!A43="","",IF(AND(安値!I43&lt;安値!H43,安値!I43&lt;安値!G43,安値!I43&lt;安値!J43,安値!I43&lt;安値!K43),4,""))</f>
        <v/>
      </c>
      <c r="E43" s="503" t="str">
        <f>IF(終値!A43="","",IF(AND(安値!J43&lt;安値!I43,安値!J43&lt;安値!H43,安値!J43&lt;安値!K43,安値!J43&lt;安値!L43),5,""))</f>
        <v/>
      </c>
      <c r="F43" s="503" t="str">
        <f>IF(終値!A43="","",IF(AND(安値!K43&lt;安値!J43,安値!K43&lt;安値!I43,安値!K43&lt;安値!L43,安値!K43&lt;安値!M43),6,""))</f>
        <v/>
      </c>
      <c r="G43" s="503" t="str">
        <f>IF(終値!A43="","",IF(AND(安値!L43&lt;安値!K43,安値!L43&lt;安値!J43,安値!L43&lt;安値!M43,安値!L43&lt;安値!N43),7,""))</f>
        <v/>
      </c>
      <c r="H43" s="503" t="str">
        <f>IF(終値!A43="","",IF(AND(安値!M43&lt;安値!L43,安値!M43&lt;安値!K43,安値!M43&lt;安値!N43,安値!M43&lt;安値!O43),8,""))</f>
        <v/>
      </c>
      <c r="I43" s="503">
        <f>IF(終値!A43="","",IF(AND(安値!N43&lt;安値!M43,安値!N43&lt;安値!L43,安値!N43&lt;安値!O43,安値!N43&lt;安値!P43),9,""))</f>
        <v>9</v>
      </c>
      <c r="J43" s="503" t="str">
        <f>IF(終値!A43="","",IF(AND(安値!O43&lt;安値!N43,安値!O43&lt;安値!M43,安値!O43&lt;安値!P43,安値!O43&lt;安値!Q43),10,""))</f>
        <v/>
      </c>
      <c r="K43" s="503" t="str">
        <f>IF(終値!A43="","",IF(AND(安値!P43&lt;安値!O43,安値!P43&lt;安値!N43,安値!P43&lt;安値!Q43,安値!P43&lt;安値!R43),11,""))</f>
        <v/>
      </c>
      <c r="L43" s="503" t="str">
        <f>IF(終値!A43="","",IF(AND(安値!Q43&lt;安値!P43,安値!Q43&lt;安値!O43,安値!Q43&lt;安値!R43,安値!Q43&lt;安値!S43),12,""))</f>
        <v/>
      </c>
      <c r="M43" s="503">
        <f>IF(終値!A43="","",IF(AND(安値!R43&lt;安値!Q43,安値!R43&lt;安値!P43,安値!R43&lt;安値!S43,安値!R43&lt;安値!T43),13,""))</f>
        <v>13</v>
      </c>
      <c r="N43" s="503" t="str">
        <f>IF(終値!A43="","",IF(AND(安値!S43&lt;安値!R43,安値!S43&lt;安値!Q43,安値!S43&lt;安値!T43,安値!S43&lt;安値!U43),14,""))</f>
        <v/>
      </c>
      <c r="O43" s="503" t="str">
        <f>IF(終値!A43="","",IF(AND(安値!T43&lt;安値!S43,安値!T43&lt;安値!R43,安値!T43&lt;安値!U43,安値!T43&lt;安値!V43),15,""))</f>
        <v/>
      </c>
      <c r="P43" s="503" t="str">
        <f>IF(終値!A43="","",IF(AND(安値!U43&lt;安値!T43,安値!U43&lt;安値!S43,安値!U43&lt;安値!V43,安値!U43&lt;安値!W43),16,""))</f>
        <v/>
      </c>
      <c r="Q43" s="503" t="str">
        <f>IF(終値!A43="","",IF(AND(安値!V43&lt;安値!U43,安値!V43&lt;安値!T43,安値!V43&lt;安値!W43,安値!V43&lt;安値!X43),17,""))</f>
        <v/>
      </c>
      <c r="R43" s="503" t="str">
        <f>IF(終値!A43="","",IF(AND(安値!W43&lt;安値!V43,安値!W43&lt;安値!U43,安値!W43&lt;安値!X43,安値!W43&lt;安値!Y43),18,""))</f>
        <v/>
      </c>
      <c r="S43" s="503" t="str">
        <f>IF(終値!A43="","",IF(AND(安値!X43&lt;安値!W43,安値!X43&lt;安値!V43,安値!X43&lt;安値!Y43,安値!X43&lt;安値!Z43),19,""))</f>
        <v/>
      </c>
      <c r="T43" s="503" t="str">
        <f>IF(終値!A43="","",IF(AND(安値!Y43&lt;安値!X43,安値!Y43&lt;安値!W43,安値!Y43&lt;安値!Z43,安値!Y43&lt;安値!AA43),20,""))</f>
        <v/>
      </c>
      <c r="U43" s="503" t="str">
        <f>IF(終値!A43="","",IF(AND(安値!Z43&lt;安値!Y43,安値!Z43&lt;安値!X43,安値!Z43&lt;安値!AA43,安値!Z43&lt;安値!AB43),21,""))</f>
        <v/>
      </c>
      <c r="V43" s="503" t="str">
        <f>IF(終値!A43="","",IF(AND(安値!AA43&lt;安値!Z43,安値!AA43&lt;安値!Y43,安値!AA43&lt;安値!AB43,安値!AA43&lt;安値!AC43),22,""))</f>
        <v/>
      </c>
      <c r="W43" s="503" t="str">
        <f>IF(終値!A43="","",IF(AND(安値!AB43&lt;安値!AA43,安値!AB43&lt;安値!Z43,安値!AB43&lt;安値!AC43,安値!AB43&lt;安値!AD43),23,""))</f>
        <v/>
      </c>
      <c r="X43" s="503" t="str">
        <f>IF(終値!A43="","",IF(AND(安値!AC43&lt;安値!AB43,安値!AC43&lt;安値!AA43,安値!AC43&lt;安値!AD43,安値!AC43&lt;安値!AE43),24,""))</f>
        <v/>
      </c>
      <c r="Y43" s="503" t="str">
        <f>IF(終値!A43="","",IF(AND(安値!AD43&lt;安値!AC43,安値!AD43&lt;安値!AB43,安値!AD43&lt;安値!AE43,安値!AD43&lt;安値!AF43),25,""))</f>
        <v/>
      </c>
      <c r="Z43" s="503" t="str">
        <f>IF(終値!A43="","",IF(AND(安値!AE43&lt;安値!AD43,安値!AE43&lt;安値!AC43,安値!AE43&lt;安値!AF43,安値!AE43&lt;安値!AG43),26,""))</f>
        <v/>
      </c>
      <c r="AA43" s="503" t="str">
        <f>IF(終値!A43="","",IF(AND(安値!AF43&lt;安値!AE43,安値!AF43&lt;安値!AD43,安値!AF43&lt;安値!AG43,安値!AF43&lt;安値!AH43),27,""))</f>
        <v/>
      </c>
      <c r="AB43" s="503">
        <f>IF(終値!A43="","",IF(AND(安値!AG43&lt;安値!AF43,安値!AG43&lt;安値!AE43,安値!AG43&lt;安値!AH43,安値!AG43&lt;安値!AI43),28,""))</f>
        <v>28</v>
      </c>
      <c r="AC43" s="503" t="str">
        <f>IF(終値!A43="","",IF(AND(高値!G43&gt;高値!F43,高値!G43&gt;高値!E43,高値!G43&gt;高値!H43,高値!G43&gt;高値!I43),2,""))</f>
        <v/>
      </c>
      <c r="AD43" s="503" t="str">
        <f>IF(終値!A43="","",IF(AND(高値!H43&gt;高値!G43,高値!H43&gt;高値!F43,高値!H43&gt;高値!I43,高値!H43&gt;高値!J43),3,""))</f>
        <v/>
      </c>
      <c r="AE43" s="503" t="str">
        <f>IF(終値!A43="","",IF(AND(高値!I43&gt;高値!H43,高値!I43&gt;高値!G43,高値!I43&gt;高値!J43,高値!I43&gt;高値!K43),4,""))</f>
        <v/>
      </c>
      <c r="AF43" s="503" t="str">
        <f>IF(終値!A43="","",IF(AND(高値!J43&gt;高値!I43,高値!J43&gt;高値!H43,高値!J43&gt;高値!K43,高値!J43&gt;高値!L43),5,""))</f>
        <v/>
      </c>
      <c r="AG43" s="503" t="str">
        <f>IF(終値!A43="","",IF(AND(高値!K43&gt;高値!J43,高値!K43&gt;高値!I43,高値!K43&gt;高値!L43,高値!K43&gt;高値!M43),6,""))</f>
        <v/>
      </c>
      <c r="AH43" s="503" t="str">
        <f>IF(終値!A43="","",IF(AND(高値!L43&gt;高値!K43,高値!L43&gt;高値!J43,高値!L43&gt;高値!M43,高値!L43&gt;高値!N43),7,""))</f>
        <v/>
      </c>
      <c r="AI43" s="503">
        <f>IF(終値!A43="","",IF(AND(高値!M43&gt;高値!L43,高値!M43&gt;高値!K43,高値!M43&gt;高値!N43,高値!M43&gt;高値!O43),8,""))</f>
        <v>8</v>
      </c>
      <c r="AJ43" s="503" t="str">
        <f>IF(終値!A43="","",IF(AND(高値!N43&gt;高値!M43,高値!N43&gt;高値!L43,高値!N43&gt;高値!O43,高値!N43&gt;高値!P43),9,""))</f>
        <v/>
      </c>
      <c r="AK43" s="503" t="str">
        <f>IF(終値!A43="","",IF(AND(高値!O43&gt;高値!N43,高値!O43&gt;高値!M43,高値!O43&gt;高値!P43,高値!O43&gt;高値!Q43),10,""))</f>
        <v/>
      </c>
      <c r="AL43" s="503" t="str">
        <f>IF(終値!A43="","",IF(AND(高値!P43&gt;高値!O43,高値!P43&gt;高値!N43,高値!P43&gt;高値!Q43,高値!P43&gt;高値!R43),11,""))</f>
        <v/>
      </c>
      <c r="AM43" s="503" t="str">
        <f>IF(終値!A43="","",IF(AND(高値!Q43&gt;高値!P43,高値!Q43&gt;高値!O43,高値!Q43&gt;高値!R43,高値!Q43&gt;高値!S43),12,""))</f>
        <v/>
      </c>
      <c r="AN43" s="503" t="str">
        <f>IF(終値!A43="","",IF(AND(高値!R43&gt;高値!Q43,高値!R43&gt;高値!P43,高値!R43&gt;高値!S43,高値!R43&gt;高値!T43),13,""))</f>
        <v/>
      </c>
      <c r="AO43" s="503">
        <f>IF(終値!A43="","",IF(AND(高値!S43&gt;高値!R43,高値!S43&gt;高値!Q43,高値!S43&gt;高値!T43,高値!S43&gt;高値!U43),14,""))</f>
        <v>14</v>
      </c>
      <c r="AP43" s="503" t="str">
        <f>IF(終値!A43="","",IF(AND(高値!T43&gt;高値!S43,高値!T43&gt;高値!R43,高値!T43&gt;高値!U43,高値!T43&gt;高値!V43),15,""))</f>
        <v/>
      </c>
      <c r="AQ43" s="503" t="str">
        <f>IF(終値!A43="","",IF(AND(高値!U43&gt;高値!T43,高値!U43&gt;高値!S43,高値!U43&gt;高値!V43,高値!U43&gt;高値!W43),16,""))</f>
        <v/>
      </c>
      <c r="AR43" s="503">
        <f>IF(終値!A43="","",IF(AND(高値!V43&gt;高値!U43,高値!V43&gt;高値!T43,高値!V43&gt;高値!W43,高値!V43&gt;高値!X43),17,""))</f>
        <v>17</v>
      </c>
      <c r="AS43" s="503" t="str">
        <f>IF(終値!A43="","",IF(AND(高値!W43&gt;高値!V43,高値!W43&gt;高値!U43,高値!W43&gt;高値!X43,高値!W43&gt;高値!Y43),18,""))</f>
        <v/>
      </c>
      <c r="AT43" s="503" t="str">
        <f>IF(終値!A43="","",IF(AND(高値!X43&gt;高値!W43,高値!X43&gt;高値!V43,高値!X43&gt;高値!Y43,高値!X43&gt;高値!Z43),19,""))</f>
        <v/>
      </c>
      <c r="AU43" s="503">
        <f>IF(終値!A43="","",IF(AND(高値!Y43&gt;高値!X43,高値!Y43&gt;高値!W43,高値!Y43&gt;高値!Z43,高値!Y43&gt;高値!AA43),20,""))</f>
        <v>20</v>
      </c>
      <c r="AV43" s="503" t="str">
        <f>IF(終値!A43="","",IF(AND(高値!Z43&gt;高値!Y43,高値!Z43&gt;高値!X43,高値!Z43&gt;高値!AA43,高値!Z43&gt;高値!AB43),21,""))</f>
        <v/>
      </c>
      <c r="AW43" s="503" t="str">
        <f>IF(終値!A43="","",IF(AND(高値!AA43&gt;高値!Z43,高値!AA43&gt;高値!Y43,高値!AA43&gt;高値!AB43,高値!AA43&gt;高値!AC43),22,""))</f>
        <v/>
      </c>
      <c r="AX43" s="503" t="str">
        <f>IF(終値!A43="","",IF(AND(高値!AB43&gt;高値!AA43,高値!AB43&gt;高値!Z43,高値!AB43&gt;高値!AC43,高値!AB43&gt;高値!AD43),23,""))</f>
        <v/>
      </c>
      <c r="AY43" s="503" t="str">
        <f>IF(終値!A43="","",IF(AND(高値!AC43&gt;高値!AB43,高値!AC43&gt;高値!AA43,高値!AC43&gt;高値!AD43,高値!AC43&gt;高値!AE43),24,""))</f>
        <v/>
      </c>
      <c r="AZ43" s="503" t="str">
        <f>IF(終値!A43="","",IF(AND(高値!AD43&gt;高値!AC43,高値!AD43&gt;高値!AB43,高値!AD43&gt;高値!AE43,高値!AD43&gt;高値!AF43),25,""))</f>
        <v/>
      </c>
      <c r="BA43" s="503" t="str">
        <f>IF(終値!A43="","",IF(AND(高値!AE43&gt;高値!AD43,高値!AE43&gt;高値!AC43,高値!AE43&gt;高値!AF43,高値!AE43&gt;高値!AG43),26,""))</f>
        <v/>
      </c>
      <c r="BB43" s="503" t="str">
        <f>IF(終値!A43="","",IF(AND(高値!AF43&gt;高値!AE43,高値!AF43&gt;高値!AD43,高値!AF43&gt;高値!AG43,高値!AF43&gt;高値!AH43),27,""))</f>
        <v/>
      </c>
      <c r="BC43" s="503" t="str">
        <f>IF(終値!A43="","",IF(AND(高値!AG43&gt;高値!AF43,高値!AG43&gt;高値!AE43,高値!AG43&gt;高値!AH43,高値!AG43&gt;高値!AI43),28,""))</f>
        <v/>
      </c>
      <c r="BD43" s="503">
        <f t="shared" si="0"/>
        <v>4</v>
      </c>
      <c r="BE43" s="503">
        <f t="shared" si="1"/>
        <v>3</v>
      </c>
      <c r="BF43" s="503">
        <f t="shared" si="2"/>
        <v>9</v>
      </c>
      <c r="BG43" s="503">
        <f>IF($BE43="","",INDEX(安値!$E43:$CZ43,1,$BE43+1))</f>
        <v>1835.5</v>
      </c>
      <c r="BH43" s="503">
        <f>IF($BF43="","",INDEX(安値!$E43:$CZ43,1,$BF43+1))</f>
        <v>0</v>
      </c>
      <c r="BI43" s="503">
        <f>IF($BF43="","",MAX(INDEX(高値!$E43:$CZ43,1,$BE43+1):INDEX(高値!$E43:$CZ43,1,$BF43+1)))</f>
        <v>1959</v>
      </c>
      <c r="BJ43" s="503">
        <f>IF($BF43="","",AVERAGE(INDEX(終値!$E43:$CZ43,1,$BF43+1):INDEX(終値!$E43:$CZ43,1,$BF43+20))-2*STDEVP(INDEX(終値!$E43:$CZ43,1,$BF43+1):INDEX(終値!$E43:$CZ43,1,$BF43+20)))</f>
        <v>1715.8920452128743</v>
      </c>
      <c r="BK43" s="503">
        <f>IF($BE43="","",AVERAGE(INDEX(終値!$E43:$CZ43,1,$BE43+1):INDEX(終値!$E43:$CZ43,1,$BE43+20))-2*STDEVP(INDEX(終値!$E43:$CZ43,1,$BE43+1):INDEX(終値!$E43:$CZ43,1,$BE43+20)))</f>
        <v>1807.9596301142744</v>
      </c>
      <c r="BL43" s="503">
        <f t="shared" si="3"/>
        <v>4</v>
      </c>
      <c r="BM43" s="503">
        <f t="shared" si="4"/>
        <v>8</v>
      </c>
      <c r="BN43" s="503">
        <f t="shared" si="5"/>
        <v>14</v>
      </c>
      <c r="BO43" s="503">
        <f>IF($BM43="","",INDEX(高値!$E43:$CZ43,1,$BM43+1))</f>
        <v>1959</v>
      </c>
      <c r="BP43" s="503">
        <f>IF($BN43="","",INDEX(高値!$E43:$CZ43,1,$BN43+1))</f>
        <v>1917</v>
      </c>
      <c r="BQ43" s="503">
        <f>IF($BN43="","",MIN(INDEX(安値!$E43:$CZ43,1,$BM43+1):INDEX(安値!$E43:$CZ43,1,$BN43+1)))</f>
        <v>1775.5</v>
      </c>
      <c r="BR43" s="503">
        <f>IF($BN43="","",AVERAGE(INDEX(終値!$E43:$CZ43,1,$BN43+1):INDEX(終値!$E43:$CZ43,1,$BN43+20))+2*STDEVP(INDEX(終値!$E43:$CZ43,1,$BN43+1):INDEX(終値!$E43:$CZ43,1,$BN43+20)))</f>
        <v>1922.8554431734451</v>
      </c>
      <c r="BS43" s="503">
        <f>IF($BM43="","",AVERAGE(INDEX(終値!$E43:$CZ43,1,$BM43+1):INDEX(終値!$E43:$CZ43,1,$BM43+20))+2*STDEVP(INDEX(終値!$E43:$CZ43,1,$BM43+1):INDEX(終値!$E43:$CZ43,1,$BM43+20)))</f>
        <v>1957.1531705816808</v>
      </c>
      <c r="BT43" s="500"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v>
      </c>
    </row>
    <row r="44" spans="2:72">
      <c r="B44" s="503" t="str">
        <f>IF(終値!A44="","",IF(AND(安値!G44&lt;安値!F44,安値!G44&lt;安値!E44,安値!G44&lt;安値!H44,安値!G44&lt;安値!I44),2,""))</f>
        <v/>
      </c>
      <c r="C44" s="503">
        <f>IF(終値!A44="","",IF(AND(安値!H44&lt;安値!G44,安値!H44&lt;安値!F44,安値!H44&lt;安値!I44,安値!H44&lt;安値!J44),3,""))</f>
        <v>3</v>
      </c>
      <c r="D44" s="503" t="str">
        <f>IF(終値!A44="","",IF(AND(安値!I44&lt;安値!H44,安値!I44&lt;安値!G44,安値!I44&lt;安値!J44,安値!I44&lt;安値!K44),4,""))</f>
        <v/>
      </c>
      <c r="E44" s="503" t="str">
        <f>IF(終値!A44="","",IF(AND(安値!J44&lt;安値!I44,安値!J44&lt;安値!H44,安値!J44&lt;安値!K44,安値!J44&lt;安値!L44),5,""))</f>
        <v/>
      </c>
      <c r="F44" s="503" t="str">
        <f>IF(終値!A44="","",IF(AND(安値!K44&lt;安値!J44,安値!K44&lt;安値!I44,安値!K44&lt;安値!L44,安値!K44&lt;安値!M44),6,""))</f>
        <v/>
      </c>
      <c r="G44" s="503" t="str">
        <f>IF(終値!A44="","",IF(AND(安値!L44&lt;安値!K44,安値!L44&lt;安値!J44,安値!L44&lt;安値!M44,安値!L44&lt;安値!N44),7,""))</f>
        <v/>
      </c>
      <c r="H44" s="503" t="str">
        <f>IF(終値!A44="","",IF(AND(安値!M44&lt;安値!L44,安値!M44&lt;安値!K44,安値!M44&lt;安値!N44,安値!M44&lt;安値!O44),8,""))</f>
        <v/>
      </c>
      <c r="I44" s="503" t="str">
        <f>IF(終値!A44="","",IF(AND(安値!N44&lt;安値!M44,安値!N44&lt;安値!L44,安値!N44&lt;安値!O44,安値!N44&lt;安値!P44),9,""))</f>
        <v/>
      </c>
      <c r="J44" s="503" t="str">
        <f>IF(終値!A44="","",IF(AND(安値!O44&lt;安値!N44,安値!O44&lt;安値!M44,安値!O44&lt;安値!P44,安値!O44&lt;安値!Q44),10,""))</f>
        <v/>
      </c>
      <c r="K44" s="503" t="str">
        <f>IF(終値!A44="","",IF(AND(安値!P44&lt;安値!O44,安値!P44&lt;安値!N44,安値!P44&lt;安値!Q44,安値!P44&lt;安値!R44),11,""))</f>
        <v/>
      </c>
      <c r="L44" s="503" t="str">
        <f>IF(終値!A44="","",IF(AND(安値!Q44&lt;安値!P44,安値!Q44&lt;安値!O44,安値!Q44&lt;安値!R44,安値!Q44&lt;安値!S44),12,""))</f>
        <v/>
      </c>
      <c r="M44" s="503" t="str">
        <f>IF(終値!A44="","",IF(AND(安値!R44&lt;安値!Q44,安値!R44&lt;安値!P44,安値!R44&lt;安値!S44,安値!R44&lt;安値!T44),13,""))</f>
        <v/>
      </c>
      <c r="N44" s="503" t="str">
        <f>IF(終値!A44="","",IF(AND(安値!S44&lt;安値!R44,安値!S44&lt;安値!Q44,安値!S44&lt;安値!T44,安値!S44&lt;安値!U44),14,""))</f>
        <v/>
      </c>
      <c r="O44" s="503">
        <f>IF(終値!A44="","",IF(AND(安値!T44&lt;安値!S44,安値!T44&lt;安値!R44,安値!T44&lt;安値!U44,安値!T44&lt;安値!V44),15,""))</f>
        <v>15</v>
      </c>
      <c r="P44" s="503" t="str">
        <f>IF(終値!A44="","",IF(AND(安値!U44&lt;安値!T44,安値!U44&lt;安値!S44,安値!U44&lt;安値!V44,安値!U44&lt;安値!W44),16,""))</f>
        <v/>
      </c>
      <c r="Q44" s="503" t="str">
        <f>IF(終値!A44="","",IF(AND(安値!V44&lt;安値!U44,安値!V44&lt;安値!T44,安値!V44&lt;安値!W44,安値!V44&lt;安値!X44),17,""))</f>
        <v/>
      </c>
      <c r="R44" s="503" t="str">
        <f>IF(終値!A44="","",IF(AND(安値!W44&lt;安値!V44,安値!W44&lt;安値!U44,安値!W44&lt;安値!X44,安値!W44&lt;安値!Y44),18,""))</f>
        <v/>
      </c>
      <c r="S44" s="503" t="str">
        <f>IF(終値!A44="","",IF(AND(安値!X44&lt;安値!W44,安値!X44&lt;安値!V44,安値!X44&lt;安値!Y44,安値!X44&lt;安値!Z44),19,""))</f>
        <v/>
      </c>
      <c r="T44" s="503" t="str">
        <f>IF(終値!A44="","",IF(AND(安値!Y44&lt;安値!X44,安値!Y44&lt;安値!W44,安値!Y44&lt;安値!Z44,安値!Y44&lt;安値!AA44),20,""))</f>
        <v/>
      </c>
      <c r="U44" s="503" t="str">
        <f>IF(終値!A44="","",IF(AND(安値!Z44&lt;安値!Y44,安値!Z44&lt;安値!X44,安値!Z44&lt;安値!AA44,安値!Z44&lt;安値!AB44),21,""))</f>
        <v/>
      </c>
      <c r="V44" s="503" t="str">
        <f>IF(終値!A44="","",IF(AND(安値!AA44&lt;安値!Z44,安値!AA44&lt;安値!Y44,安値!AA44&lt;安値!AB44,安値!AA44&lt;安値!AC44),22,""))</f>
        <v/>
      </c>
      <c r="W44" s="503" t="str">
        <f>IF(終値!A44="","",IF(AND(安値!AB44&lt;安値!AA44,安値!AB44&lt;安値!Z44,安値!AB44&lt;安値!AC44,安値!AB44&lt;安値!AD44),23,""))</f>
        <v/>
      </c>
      <c r="X44" s="503">
        <f>IF(終値!A44="","",IF(AND(安値!AC44&lt;安値!AB44,安値!AC44&lt;安値!AA44,安値!AC44&lt;安値!AD44,安値!AC44&lt;安値!AE44),24,""))</f>
        <v>24</v>
      </c>
      <c r="Y44" s="503" t="str">
        <f>IF(終値!A44="","",IF(AND(安値!AD44&lt;安値!AC44,安値!AD44&lt;安値!AB44,安値!AD44&lt;安値!AE44,安値!AD44&lt;安値!AF44),25,""))</f>
        <v/>
      </c>
      <c r="Z44" s="503" t="str">
        <f>IF(終値!A44="","",IF(AND(安値!AE44&lt;安値!AD44,安値!AE44&lt;安値!AC44,安値!AE44&lt;安値!AF44,安値!AE44&lt;安値!AG44),26,""))</f>
        <v/>
      </c>
      <c r="AA44" s="503" t="str">
        <f>IF(終値!A44="","",IF(AND(安値!AF44&lt;安値!AE44,安値!AF44&lt;安値!AD44,安値!AF44&lt;安値!AG44,安値!AF44&lt;安値!AH44),27,""))</f>
        <v/>
      </c>
      <c r="AB44" s="503" t="str">
        <f>IF(終値!A44="","",IF(AND(安値!AG44&lt;安値!AF44,安値!AG44&lt;安値!AE44,安値!AG44&lt;安値!AH44,安値!AG44&lt;安値!AI44),28,""))</f>
        <v/>
      </c>
      <c r="AC44" s="503" t="str">
        <f>IF(終値!A44="","",IF(AND(高値!G44&gt;高値!F44,高値!G44&gt;高値!E44,高値!G44&gt;高値!H44,高値!G44&gt;高値!I44),2,""))</f>
        <v/>
      </c>
      <c r="AD44" s="503" t="str">
        <f>IF(終値!A44="","",IF(AND(高値!H44&gt;高値!G44,高値!H44&gt;高値!F44,高値!H44&gt;高値!I44,高値!H44&gt;高値!J44),3,""))</f>
        <v/>
      </c>
      <c r="AE44" s="503" t="str">
        <f>IF(終値!A44="","",IF(AND(高値!I44&gt;高値!H44,高値!I44&gt;高値!G44,高値!I44&gt;高値!J44,高値!I44&gt;高値!K44),4,""))</f>
        <v/>
      </c>
      <c r="AF44" s="503" t="str">
        <f>IF(終値!A44="","",IF(AND(高値!J44&gt;高値!I44,高値!J44&gt;高値!H44,高値!J44&gt;高値!K44,高値!J44&gt;高値!L44),5,""))</f>
        <v/>
      </c>
      <c r="AG44" s="503" t="str">
        <f>IF(終値!A44="","",IF(AND(高値!K44&gt;高値!J44,高値!K44&gt;高値!I44,高値!K44&gt;高値!L44,高値!K44&gt;高値!M44),6,""))</f>
        <v/>
      </c>
      <c r="AH44" s="503" t="str">
        <f>IF(終値!A44="","",IF(AND(高値!L44&gt;高値!K44,高値!L44&gt;高値!J44,高値!L44&gt;高値!M44,高値!L44&gt;高値!N44),7,""))</f>
        <v/>
      </c>
      <c r="AI44" s="503">
        <f>IF(終値!A44="","",IF(AND(高値!M44&gt;高値!L44,高値!M44&gt;高値!K44,高値!M44&gt;高値!N44,高値!M44&gt;高値!O44),8,""))</f>
        <v>8</v>
      </c>
      <c r="AJ44" s="503" t="str">
        <f>IF(終値!A44="","",IF(AND(高値!N44&gt;高値!M44,高値!N44&gt;高値!L44,高値!N44&gt;高値!O44,高値!N44&gt;高値!P44),9,""))</f>
        <v/>
      </c>
      <c r="AK44" s="503" t="str">
        <f>IF(終値!A44="","",IF(AND(高値!O44&gt;高値!N44,高値!O44&gt;高値!M44,高値!O44&gt;高値!P44,高値!O44&gt;高値!Q44),10,""))</f>
        <v/>
      </c>
      <c r="AL44" s="503">
        <f>IF(終値!A44="","",IF(AND(高値!P44&gt;高値!O44,高値!P44&gt;高値!N44,高値!P44&gt;高値!Q44,高値!P44&gt;高値!R44),11,""))</f>
        <v>11</v>
      </c>
      <c r="AM44" s="503" t="str">
        <f>IF(終値!A44="","",IF(AND(高値!Q44&gt;高値!P44,高値!Q44&gt;高値!O44,高値!Q44&gt;高値!R44,高値!Q44&gt;高値!S44),12,""))</f>
        <v/>
      </c>
      <c r="AN44" s="503" t="str">
        <f>IF(終値!A44="","",IF(AND(高値!R44&gt;高値!Q44,高値!R44&gt;高値!P44,高値!R44&gt;高値!S44,高値!R44&gt;高値!T44),13,""))</f>
        <v/>
      </c>
      <c r="AO44" s="503">
        <f>IF(終値!A44="","",IF(AND(高値!S44&gt;高値!R44,高値!S44&gt;高値!Q44,高値!S44&gt;高値!T44,高値!S44&gt;高値!U44),14,""))</f>
        <v>14</v>
      </c>
      <c r="AP44" s="503" t="str">
        <f>IF(終値!A44="","",IF(AND(高値!T44&gt;高値!S44,高値!T44&gt;高値!R44,高値!T44&gt;高値!U44,高値!T44&gt;高値!V44),15,""))</f>
        <v/>
      </c>
      <c r="AQ44" s="503" t="str">
        <f>IF(終値!A44="","",IF(AND(高値!U44&gt;高値!T44,高値!U44&gt;高値!S44,高値!U44&gt;高値!V44,高値!U44&gt;高値!W44),16,""))</f>
        <v/>
      </c>
      <c r="AR44" s="503" t="str">
        <f>IF(終値!A44="","",IF(AND(高値!V44&gt;高値!U44,高値!V44&gt;高値!T44,高値!V44&gt;高値!W44,高値!V44&gt;高値!X44),17,""))</f>
        <v/>
      </c>
      <c r="AS44" s="503" t="str">
        <f>IF(終値!A44="","",IF(AND(高値!W44&gt;高値!V44,高値!W44&gt;高値!U44,高値!W44&gt;高値!X44,高値!W44&gt;高値!Y44),18,""))</f>
        <v/>
      </c>
      <c r="AT44" s="503" t="str">
        <f>IF(終値!A44="","",IF(AND(高値!X44&gt;高値!W44,高値!X44&gt;高値!V44,高値!X44&gt;高値!Y44,高値!X44&gt;高値!Z44),19,""))</f>
        <v/>
      </c>
      <c r="AU44" s="503" t="str">
        <f>IF(終値!A44="","",IF(AND(高値!Y44&gt;高値!X44,高値!Y44&gt;高値!W44,高値!Y44&gt;高値!Z44,高値!Y44&gt;高値!AA44),20,""))</f>
        <v/>
      </c>
      <c r="AV44" s="503">
        <f>IF(終値!A44="","",IF(AND(高値!Z44&gt;高値!Y44,高値!Z44&gt;高値!X44,高値!Z44&gt;高値!AA44,高値!Z44&gt;高値!AB44),21,""))</f>
        <v>21</v>
      </c>
      <c r="AW44" s="503" t="str">
        <f>IF(終値!A44="","",IF(AND(高値!AA44&gt;高値!Z44,高値!AA44&gt;高値!Y44,高値!AA44&gt;高値!AB44,高値!AA44&gt;高値!AC44),22,""))</f>
        <v/>
      </c>
      <c r="AX44" s="503" t="str">
        <f>IF(終値!A44="","",IF(AND(高値!AB44&gt;高値!AA44,高値!AB44&gt;高値!Z44,高値!AB44&gt;高値!AC44,高値!AB44&gt;高値!AD44),23,""))</f>
        <v/>
      </c>
      <c r="AY44" s="503" t="str">
        <f>IF(終値!A44="","",IF(AND(高値!AC44&gt;高値!AB44,高値!AC44&gt;高値!AA44,高値!AC44&gt;高値!AD44,高値!AC44&gt;高値!AE44),24,""))</f>
        <v/>
      </c>
      <c r="AZ44" s="503" t="str">
        <f>IF(終値!A44="","",IF(AND(高値!AD44&gt;高値!AC44,高値!AD44&gt;高値!AB44,高値!AD44&gt;高値!AE44,高値!AD44&gt;高値!AF44),25,""))</f>
        <v/>
      </c>
      <c r="BA44" s="503" t="str">
        <f>IF(終値!A44="","",IF(AND(高値!AE44&gt;高値!AD44,高値!AE44&gt;高値!AC44,高値!AE44&gt;高値!AF44,高値!AE44&gt;高値!AG44),26,""))</f>
        <v/>
      </c>
      <c r="BB44" s="503" t="str">
        <f>IF(終値!A44="","",IF(AND(高値!AF44&gt;高値!AE44,高値!AF44&gt;高値!AD44,高値!AF44&gt;高値!AG44,高値!AF44&gt;高値!AH44),27,""))</f>
        <v/>
      </c>
      <c r="BC44" s="503" t="str">
        <f>IF(終値!A44="","",IF(AND(高値!AG44&gt;高値!AF44,高値!AG44&gt;高値!AE44,高値!AG44&gt;高値!AH44,高値!AG44&gt;高値!AI44),28,""))</f>
        <v/>
      </c>
      <c r="BD44" s="503">
        <f t="shared" si="0"/>
        <v>3</v>
      </c>
      <c r="BE44" s="503">
        <f t="shared" si="1"/>
        <v>3</v>
      </c>
      <c r="BF44" s="503">
        <f t="shared" si="2"/>
        <v>15</v>
      </c>
      <c r="BG44" s="503">
        <f>IF($BE44="","",INDEX(安値!$E44:$CZ44,1,$BE44+1))</f>
        <v>1105</v>
      </c>
      <c r="BH44" s="503">
        <f>IF($BF44="","",INDEX(安値!$E44:$CZ44,1,$BF44+1))</f>
        <v>1124</v>
      </c>
      <c r="BI44" s="503">
        <f>IF($BF44="","",MAX(INDEX(高値!$E44:$CZ44,1,$BE44+1):INDEX(高値!$E44:$CZ44,1,$BF44+1)))</f>
        <v>1183.5</v>
      </c>
      <c r="BJ44" s="503">
        <f>IF($BF44="","",AVERAGE(INDEX(終値!$E44:$CZ44,1,$BF44+1):INDEX(終値!$E44:$CZ44,1,$BF44+20))-2*STDEVP(INDEX(終値!$E44:$CZ44,1,$BF44+1):INDEX(終値!$E44:$CZ44,1,$BF44+20)))</f>
        <v>1115.6569486544067</v>
      </c>
      <c r="BK44" s="503">
        <f>IF($BE44="","",AVERAGE(INDEX(終値!$E44:$CZ44,1,$BE44+1):INDEX(終値!$E44:$CZ44,1,$BE44+20))-2*STDEVP(INDEX(終値!$E44:$CZ44,1,$BE44+1):INDEX(終値!$E44:$CZ44,1,$BE44+20)))</f>
        <v>1131.9638216552391</v>
      </c>
      <c r="BL44" s="503">
        <f t="shared" si="3"/>
        <v>4</v>
      </c>
      <c r="BM44" s="503">
        <f t="shared" si="4"/>
        <v>8</v>
      </c>
      <c r="BN44" s="503">
        <f t="shared" si="5"/>
        <v>11</v>
      </c>
      <c r="BO44" s="503">
        <f>IF($BM44="","",INDEX(高値!$E44:$CZ44,1,$BM44+1))</f>
        <v>1182</v>
      </c>
      <c r="BP44" s="503">
        <f>IF($BN44="","",INDEX(高値!$E44:$CZ44,1,$BN44+1))</f>
        <v>1183.5</v>
      </c>
      <c r="BQ44" s="503">
        <f>IF($BN44="","",MIN(INDEX(安値!$E44:$CZ44,1,$BM44+1):INDEX(安値!$E44:$CZ44,1,$BN44+1)))</f>
        <v>1153.5</v>
      </c>
      <c r="BR44" s="503">
        <f>IF($BN44="","",AVERAGE(INDEX(終値!$E44:$CZ44,1,$BN44+1):INDEX(終値!$E44:$CZ44,1,$BN44+20))+2*STDEVP(INDEX(終値!$E44:$CZ44,1,$BN44+1):INDEX(終値!$E44:$CZ44,1,$BN44+20)))</f>
        <v>1183.0241283556297</v>
      </c>
      <c r="BS44" s="503">
        <f>IF($BM44="","",AVERAGE(INDEX(終値!$E44:$CZ44,1,$BM44+1):INDEX(終値!$E44:$CZ44,1,$BM44+20))+2*STDEVP(INDEX(終値!$E44:$CZ44,1,$BM44+1):INDEX(終値!$E44:$CZ44,1,$BM44+20)))</f>
        <v>1189.7285048314186</v>
      </c>
      <c r="BT44" s="500"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v>
      </c>
    </row>
    <row r="45" spans="2:72">
      <c r="B45" s="503" t="str">
        <f>IF(終値!A45="","",IF(AND(安値!G45&lt;安値!F45,安値!G45&lt;安値!E45,安値!G45&lt;安値!H45,安値!G45&lt;安値!I45),2,""))</f>
        <v/>
      </c>
      <c r="C45" s="503">
        <f>IF(終値!A45="","",IF(AND(安値!H45&lt;安値!G45,安値!H45&lt;安値!F45,安値!H45&lt;安値!I45,安値!H45&lt;安値!J45),3,""))</f>
        <v>3</v>
      </c>
      <c r="D45" s="503" t="str">
        <f>IF(終値!A45="","",IF(AND(安値!I45&lt;安値!H45,安値!I45&lt;安値!G45,安値!I45&lt;安値!J45,安値!I45&lt;安値!K45),4,""))</f>
        <v/>
      </c>
      <c r="E45" s="503" t="str">
        <f>IF(終値!A45="","",IF(AND(安値!J45&lt;安値!I45,安値!J45&lt;安値!H45,安値!J45&lt;安値!K45,安値!J45&lt;安値!L45),5,""))</f>
        <v/>
      </c>
      <c r="F45" s="503" t="str">
        <f>IF(終値!A45="","",IF(AND(安値!K45&lt;安値!J45,安値!K45&lt;安値!I45,安値!K45&lt;安値!L45,安値!K45&lt;安値!M45),6,""))</f>
        <v/>
      </c>
      <c r="G45" s="503" t="str">
        <f>IF(終値!A45="","",IF(AND(安値!L45&lt;安値!K45,安値!L45&lt;安値!J45,安値!L45&lt;安値!M45,安値!L45&lt;安値!N45),7,""))</f>
        <v/>
      </c>
      <c r="H45" s="503" t="str">
        <f>IF(終値!A45="","",IF(AND(安値!M45&lt;安値!L45,安値!M45&lt;安値!K45,安値!M45&lt;安値!N45,安値!M45&lt;安値!O45),8,""))</f>
        <v/>
      </c>
      <c r="I45" s="503" t="str">
        <f>IF(終値!A45="","",IF(AND(安値!N45&lt;安値!M45,安値!N45&lt;安値!L45,安値!N45&lt;安値!O45,安値!N45&lt;安値!P45),9,""))</f>
        <v/>
      </c>
      <c r="J45" s="503" t="str">
        <f>IF(終値!A45="","",IF(AND(安値!O45&lt;安値!N45,安値!O45&lt;安値!M45,安値!O45&lt;安値!P45,安値!O45&lt;安値!Q45),10,""))</f>
        <v/>
      </c>
      <c r="K45" s="503" t="str">
        <f>IF(終値!A45="","",IF(AND(安値!P45&lt;安値!O45,安値!P45&lt;安値!N45,安値!P45&lt;安値!Q45,安値!P45&lt;安値!R45),11,""))</f>
        <v/>
      </c>
      <c r="L45" s="503" t="str">
        <f>IF(終値!A45="","",IF(AND(安値!Q45&lt;安値!P45,安値!Q45&lt;安値!O45,安値!Q45&lt;安値!R45,安値!Q45&lt;安値!S45),12,""))</f>
        <v/>
      </c>
      <c r="M45" s="503">
        <f>IF(終値!A45="","",IF(AND(安値!R45&lt;安値!Q45,安値!R45&lt;安値!P45,安値!R45&lt;安値!S45,安値!R45&lt;安値!T45),13,""))</f>
        <v>13</v>
      </c>
      <c r="N45" s="503" t="str">
        <f>IF(終値!A45="","",IF(AND(安値!S45&lt;安値!R45,安値!S45&lt;安値!Q45,安値!S45&lt;安値!T45,安値!S45&lt;安値!U45),14,""))</f>
        <v/>
      </c>
      <c r="O45" s="503" t="str">
        <f>IF(終値!A45="","",IF(AND(安値!T45&lt;安値!S45,安値!T45&lt;安値!R45,安値!T45&lt;安値!U45,安値!T45&lt;安値!V45),15,""))</f>
        <v/>
      </c>
      <c r="P45" s="503" t="str">
        <f>IF(終値!A45="","",IF(AND(安値!U45&lt;安値!T45,安値!U45&lt;安値!S45,安値!U45&lt;安値!V45,安値!U45&lt;安値!W45),16,""))</f>
        <v/>
      </c>
      <c r="Q45" s="503" t="str">
        <f>IF(終値!A45="","",IF(AND(安値!V45&lt;安値!U45,安値!V45&lt;安値!T45,安値!V45&lt;安値!W45,安値!V45&lt;安値!X45),17,""))</f>
        <v/>
      </c>
      <c r="R45" s="503">
        <f>IF(終値!A45="","",IF(AND(安値!W45&lt;安値!V45,安値!W45&lt;安値!U45,安値!W45&lt;安値!X45,安値!W45&lt;安値!Y45),18,""))</f>
        <v>18</v>
      </c>
      <c r="S45" s="503" t="str">
        <f>IF(終値!A45="","",IF(AND(安値!X45&lt;安値!W45,安値!X45&lt;安値!V45,安値!X45&lt;安値!Y45,安値!X45&lt;安値!Z45),19,""))</f>
        <v/>
      </c>
      <c r="T45" s="503" t="str">
        <f>IF(終値!A45="","",IF(AND(安値!Y45&lt;安値!X45,安値!Y45&lt;安値!W45,安値!Y45&lt;安値!Z45,安値!Y45&lt;安値!AA45),20,""))</f>
        <v/>
      </c>
      <c r="U45" s="503" t="str">
        <f>IF(終値!A45="","",IF(AND(安値!Z45&lt;安値!Y45,安値!Z45&lt;安値!X45,安値!Z45&lt;安値!AA45,安値!Z45&lt;安値!AB45),21,""))</f>
        <v/>
      </c>
      <c r="V45" s="503" t="str">
        <f>IF(終値!A45="","",IF(AND(安値!AA45&lt;安値!Z45,安値!AA45&lt;安値!Y45,安値!AA45&lt;安値!AB45,安値!AA45&lt;安値!AC45),22,""))</f>
        <v/>
      </c>
      <c r="W45" s="503" t="str">
        <f>IF(終値!A45="","",IF(AND(安値!AB45&lt;安値!AA45,安値!AB45&lt;安値!Z45,安値!AB45&lt;安値!AC45,安値!AB45&lt;安値!AD45),23,""))</f>
        <v/>
      </c>
      <c r="X45" s="503" t="str">
        <f>IF(終値!A45="","",IF(AND(安値!AC45&lt;安値!AB45,安値!AC45&lt;安値!AA45,安値!AC45&lt;安値!AD45,安値!AC45&lt;安値!AE45),24,""))</f>
        <v/>
      </c>
      <c r="Y45" s="503" t="str">
        <f>IF(終値!A45="","",IF(AND(安値!AD45&lt;安値!AC45,安値!AD45&lt;安値!AB45,安値!AD45&lt;安値!AE45,安値!AD45&lt;安値!AF45),25,""))</f>
        <v/>
      </c>
      <c r="Z45" s="503">
        <f>IF(終値!A45="","",IF(AND(安値!AE45&lt;安値!AD45,安値!AE45&lt;安値!AC45,安値!AE45&lt;安値!AF45,安値!AE45&lt;安値!AG45),26,""))</f>
        <v>26</v>
      </c>
      <c r="AA45" s="503" t="str">
        <f>IF(終値!A45="","",IF(AND(安値!AF45&lt;安値!AE45,安値!AF45&lt;安値!AD45,安値!AF45&lt;安値!AG45,安値!AF45&lt;安値!AH45),27,""))</f>
        <v/>
      </c>
      <c r="AB45" s="503" t="str">
        <f>IF(終値!A45="","",IF(AND(安値!AG45&lt;安値!AF45,安値!AG45&lt;安値!AE45,安値!AG45&lt;安値!AH45,安値!AG45&lt;安値!AI45),28,""))</f>
        <v/>
      </c>
      <c r="AC45" s="503" t="str">
        <f>IF(終値!A45="","",IF(AND(高値!G45&gt;高値!F45,高値!G45&gt;高値!E45,高値!G45&gt;高値!H45,高値!G45&gt;高値!I45),2,""))</f>
        <v/>
      </c>
      <c r="AD45" s="503" t="str">
        <f>IF(終値!A45="","",IF(AND(高値!H45&gt;高値!G45,高値!H45&gt;高値!F45,高値!H45&gt;高値!I45,高値!H45&gt;高値!J45),3,""))</f>
        <v/>
      </c>
      <c r="AE45" s="503" t="str">
        <f>IF(終値!A45="","",IF(AND(高値!I45&gt;高値!H45,高値!I45&gt;高値!G45,高値!I45&gt;高値!J45,高値!I45&gt;高値!K45),4,""))</f>
        <v/>
      </c>
      <c r="AF45" s="503" t="str">
        <f>IF(終値!A45="","",IF(AND(高値!J45&gt;高値!I45,高値!J45&gt;高値!H45,高値!J45&gt;高値!K45,高値!J45&gt;高値!L45),5,""))</f>
        <v/>
      </c>
      <c r="AG45" s="503" t="str">
        <f>IF(終値!A45="","",IF(AND(高値!K45&gt;高値!J45,高値!K45&gt;高値!I45,高値!K45&gt;高値!L45,高値!K45&gt;高値!M45),6,""))</f>
        <v/>
      </c>
      <c r="AH45" s="503" t="str">
        <f>IF(終値!A45="","",IF(AND(高値!L45&gt;高値!K45,高値!L45&gt;高値!J45,高値!L45&gt;高値!M45,高値!L45&gt;高値!N45),7,""))</f>
        <v/>
      </c>
      <c r="AI45" s="503">
        <f>IF(終値!A45="","",IF(AND(高値!M45&gt;高値!L45,高値!M45&gt;高値!K45,高値!M45&gt;高値!N45,高値!M45&gt;高値!O45),8,""))</f>
        <v>8</v>
      </c>
      <c r="AJ45" s="503" t="str">
        <f>IF(終値!A45="","",IF(AND(高値!N45&gt;高値!M45,高値!N45&gt;高値!L45,高値!N45&gt;高値!O45,高値!N45&gt;高値!P45),9,""))</f>
        <v/>
      </c>
      <c r="AK45" s="503" t="str">
        <f>IF(終値!A45="","",IF(AND(高値!O45&gt;高値!N45,高値!O45&gt;高値!M45,高値!O45&gt;高値!P45,高値!O45&gt;高値!Q45),10,""))</f>
        <v/>
      </c>
      <c r="AL45" s="503" t="str">
        <f>IF(終値!A45="","",IF(AND(高値!P45&gt;高値!O45,高値!P45&gt;高値!N45,高値!P45&gt;高値!Q45,高値!P45&gt;高値!R45),11,""))</f>
        <v/>
      </c>
      <c r="AM45" s="503" t="str">
        <f>IF(終値!A45="","",IF(AND(高値!Q45&gt;高値!P45,高値!Q45&gt;高値!O45,高値!Q45&gt;高値!R45,高値!Q45&gt;高値!S45),12,""))</f>
        <v/>
      </c>
      <c r="AN45" s="503" t="str">
        <f>IF(終値!A45="","",IF(AND(高値!R45&gt;高値!Q45,高値!R45&gt;高値!P45,高値!R45&gt;高値!S45,高値!R45&gt;高値!T45),13,""))</f>
        <v/>
      </c>
      <c r="AO45" s="503">
        <f>IF(終値!A45="","",IF(AND(高値!S45&gt;高値!R45,高値!S45&gt;高値!Q45,高値!S45&gt;高値!T45,高値!S45&gt;高値!U45),14,""))</f>
        <v>14</v>
      </c>
      <c r="AP45" s="503" t="str">
        <f>IF(終値!A45="","",IF(AND(高値!T45&gt;高値!S45,高値!T45&gt;高値!R45,高値!T45&gt;高値!U45,高値!T45&gt;高値!V45),15,""))</f>
        <v/>
      </c>
      <c r="AQ45" s="503" t="str">
        <f>IF(終値!A45="","",IF(AND(高値!U45&gt;高値!T45,高値!U45&gt;高値!S45,高値!U45&gt;高値!V45,高値!U45&gt;高値!W45),16,""))</f>
        <v/>
      </c>
      <c r="AR45" s="503" t="str">
        <f>IF(終値!A45="","",IF(AND(高値!V45&gt;高値!U45,高値!V45&gt;高値!T45,高値!V45&gt;高値!W45,高値!V45&gt;高値!X45),17,""))</f>
        <v/>
      </c>
      <c r="AS45" s="503" t="str">
        <f>IF(終値!A45="","",IF(AND(高値!W45&gt;高値!V45,高値!W45&gt;高値!U45,高値!W45&gt;高値!X45,高値!W45&gt;高値!Y45),18,""))</f>
        <v/>
      </c>
      <c r="AT45" s="503" t="str">
        <f>IF(終値!A45="","",IF(AND(高値!X45&gt;高値!W45,高値!X45&gt;高値!V45,高値!X45&gt;高値!Y45,高値!X45&gt;高値!Z45),19,""))</f>
        <v/>
      </c>
      <c r="AU45" s="503">
        <f>IF(終値!A45="","",IF(AND(高値!Y45&gt;高値!X45,高値!Y45&gt;高値!W45,高値!Y45&gt;高値!Z45,高値!Y45&gt;高値!AA45),20,""))</f>
        <v>20</v>
      </c>
      <c r="AV45" s="503" t="str">
        <f>IF(終値!A45="","",IF(AND(高値!Z45&gt;高値!Y45,高値!Z45&gt;高値!X45,高値!Z45&gt;高値!AA45,高値!Z45&gt;高値!AB45),21,""))</f>
        <v/>
      </c>
      <c r="AW45" s="503" t="str">
        <f>IF(終値!A45="","",IF(AND(高値!AA45&gt;高値!Z45,高値!AA45&gt;高値!Y45,高値!AA45&gt;高値!AB45,高値!AA45&gt;高値!AC45),22,""))</f>
        <v/>
      </c>
      <c r="AX45" s="503" t="str">
        <f>IF(終値!A45="","",IF(AND(高値!AB45&gt;高値!AA45,高値!AB45&gt;高値!Z45,高値!AB45&gt;高値!AC45,高値!AB45&gt;高値!AD45),23,""))</f>
        <v/>
      </c>
      <c r="AY45" s="503" t="str">
        <f>IF(終値!A45="","",IF(AND(高値!AC45&gt;高値!AB45,高値!AC45&gt;高値!AA45,高値!AC45&gt;高値!AD45,高値!AC45&gt;高値!AE45),24,""))</f>
        <v/>
      </c>
      <c r="AZ45" s="503" t="str">
        <f>IF(終値!A45="","",IF(AND(高値!AD45&gt;高値!AC45,高値!AD45&gt;高値!AB45,高値!AD45&gt;高値!AE45,高値!AD45&gt;高値!AF45),25,""))</f>
        <v/>
      </c>
      <c r="BA45" s="503" t="str">
        <f>IF(終値!A45="","",IF(AND(高値!AE45&gt;高値!AD45,高値!AE45&gt;高値!AC45,高値!AE45&gt;高値!AF45,高値!AE45&gt;高値!AG45),26,""))</f>
        <v/>
      </c>
      <c r="BB45" s="503" t="str">
        <f>IF(終値!A45="","",IF(AND(高値!AF45&gt;高値!AE45,高値!AF45&gt;高値!AD45,高値!AF45&gt;高値!AG45,高値!AF45&gt;高値!AH45),27,""))</f>
        <v/>
      </c>
      <c r="BC45" s="503" t="str">
        <f>IF(終値!A45="","",IF(AND(高値!AG45&gt;高値!AF45,高値!AG45&gt;高値!AE45,高値!AG45&gt;高値!AH45,高値!AG45&gt;高値!AI45),28,""))</f>
        <v/>
      </c>
      <c r="BD45" s="503">
        <f t="shared" si="0"/>
        <v>4</v>
      </c>
      <c r="BE45" s="503">
        <f t="shared" si="1"/>
        <v>3</v>
      </c>
      <c r="BF45" s="503">
        <f t="shared" si="2"/>
        <v>13</v>
      </c>
      <c r="BG45" s="503">
        <f>IF($BE45="","",INDEX(安値!$E45:$CZ45,1,$BE45+1))</f>
        <v>3426</v>
      </c>
      <c r="BH45" s="503">
        <f>IF($BF45="","",INDEX(安値!$E45:$CZ45,1,$BF45+1))</f>
        <v>3411</v>
      </c>
      <c r="BI45" s="503">
        <f>IF($BF45="","",MAX(INDEX(高値!$E45:$CZ45,1,$BE45+1):INDEX(高値!$E45:$CZ45,1,$BF45+1)))</f>
        <v>3813</v>
      </c>
      <c r="BJ45" s="503">
        <f>IF($BF45="","",AVERAGE(INDEX(終値!$E45:$CZ45,1,$BF45+1):INDEX(終値!$E45:$CZ45,1,$BF45+20))-2*STDEVP(INDEX(終値!$E45:$CZ45,1,$BF45+1):INDEX(終値!$E45:$CZ45,1,$BF45+20)))</f>
        <v>3091.1027280340745</v>
      </c>
      <c r="BK45" s="503">
        <f>IF($BE45="","",AVERAGE(INDEX(終値!$E45:$CZ45,1,$BE45+1):INDEX(終値!$E45:$CZ45,1,$BE45+20))-2*STDEVP(INDEX(終値!$E45:$CZ45,1,$BE45+1):INDEX(終値!$E45:$CZ45,1,$BE45+20)))</f>
        <v>3302.9456547068944</v>
      </c>
      <c r="BL45" s="503">
        <f t="shared" si="3"/>
        <v>3</v>
      </c>
      <c r="BM45" s="503">
        <f t="shared" si="4"/>
        <v>8</v>
      </c>
      <c r="BN45" s="503">
        <f t="shared" si="5"/>
        <v>14</v>
      </c>
      <c r="BO45" s="503">
        <f>IF($BM45="","",INDEX(高値!$E45:$CZ45,1,$BM45+1))</f>
        <v>3813</v>
      </c>
      <c r="BP45" s="503">
        <f>IF($BN45="","",INDEX(高値!$E45:$CZ45,1,$BN45+1))</f>
        <v>3733</v>
      </c>
      <c r="BQ45" s="503">
        <f>IF($BN45="","",MIN(INDEX(安値!$E45:$CZ45,1,$BM45+1):INDEX(安値!$E45:$CZ45,1,$BN45+1)))</f>
        <v>3411</v>
      </c>
      <c r="BR45" s="503">
        <f>IF($BN45="","",AVERAGE(INDEX(終値!$E45:$CZ45,1,$BN45+1):INDEX(終値!$E45:$CZ45,1,$BN45+20))+2*STDEVP(INDEX(終値!$E45:$CZ45,1,$BN45+1):INDEX(終値!$E45:$CZ45,1,$BN45+20)))</f>
        <v>3628.7718119759106</v>
      </c>
      <c r="BS45" s="503">
        <f>IF($BM45="","",AVERAGE(INDEX(終値!$E45:$CZ45,1,$BM45+1):INDEX(終値!$E45:$CZ45,1,$BM45+20))+2*STDEVP(INDEX(終値!$E45:$CZ45,1,$BM45+1):INDEX(終値!$E45:$CZ45,1,$BM45+20)))</f>
        <v>3848.0608131078661</v>
      </c>
      <c r="BT45" s="500"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3" t="str">
        <f>IF(終値!A46="","",IF(AND(安値!G46&lt;安値!F46,安値!G46&lt;安値!E46,安値!G46&lt;安値!H46,安値!G46&lt;安値!I46),2,""))</f>
        <v/>
      </c>
      <c r="C46" s="503">
        <f>IF(終値!A46="","",IF(AND(安値!H46&lt;安値!G46,安値!H46&lt;安値!F46,安値!H46&lt;安値!I46,安値!H46&lt;安値!J46),3,""))</f>
        <v>3</v>
      </c>
      <c r="D46" s="503" t="str">
        <f>IF(終値!A46="","",IF(AND(安値!I46&lt;安値!H46,安値!I46&lt;安値!G46,安値!I46&lt;安値!J46,安値!I46&lt;安値!K46),4,""))</f>
        <v/>
      </c>
      <c r="E46" s="503" t="str">
        <f>IF(終値!A46="","",IF(AND(安値!J46&lt;安値!I46,安値!J46&lt;安値!H46,安値!J46&lt;安値!K46,安値!J46&lt;安値!L46),5,""))</f>
        <v/>
      </c>
      <c r="F46" s="503" t="str">
        <f>IF(終値!A46="","",IF(AND(安値!K46&lt;安値!J46,安値!K46&lt;安値!I46,安値!K46&lt;安値!L46,安値!K46&lt;安値!M46),6,""))</f>
        <v/>
      </c>
      <c r="G46" s="503" t="str">
        <f>IF(終値!A46="","",IF(AND(安値!L46&lt;安値!K46,安値!L46&lt;安値!J46,安値!L46&lt;安値!M46,安値!L46&lt;安値!N46),7,""))</f>
        <v/>
      </c>
      <c r="H46" s="503" t="str">
        <f>IF(終値!A46="","",IF(AND(安値!M46&lt;安値!L46,安値!M46&lt;安値!K46,安値!M46&lt;安値!N46,安値!M46&lt;安値!O46),8,""))</f>
        <v/>
      </c>
      <c r="I46" s="503">
        <f>IF(終値!A46="","",IF(AND(安値!N46&lt;安値!M46,安値!N46&lt;安値!L46,安値!N46&lt;安値!O46,安値!N46&lt;安値!P46),9,""))</f>
        <v>9</v>
      </c>
      <c r="J46" s="503" t="str">
        <f>IF(終値!A46="","",IF(AND(安値!O46&lt;安値!N46,安値!O46&lt;安値!M46,安値!O46&lt;安値!P46,安値!O46&lt;安値!Q46),10,""))</f>
        <v/>
      </c>
      <c r="K46" s="503" t="str">
        <f>IF(終値!A46="","",IF(AND(安値!P46&lt;安値!O46,安値!P46&lt;安値!N46,安値!P46&lt;安値!Q46,安値!P46&lt;安値!R46),11,""))</f>
        <v/>
      </c>
      <c r="L46" s="503" t="str">
        <f>IF(終値!A46="","",IF(AND(安値!Q46&lt;安値!P46,安値!Q46&lt;安値!O46,安値!Q46&lt;安値!R46,安値!Q46&lt;安値!S46),12,""))</f>
        <v/>
      </c>
      <c r="M46" s="503" t="str">
        <f>IF(終値!A46="","",IF(AND(安値!R46&lt;安値!Q46,安値!R46&lt;安値!P46,安値!R46&lt;安値!S46,安値!R46&lt;安値!T46),13,""))</f>
        <v/>
      </c>
      <c r="N46" s="503" t="str">
        <f>IF(終値!A46="","",IF(AND(安値!S46&lt;安値!R46,安値!S46&lt;安値!Q46,安値!S46&lt;安値!T46,安値!S46&lt;安値!U46),14,""))</f>
        <v/>
      </c>
      <c r="O46" s="503" t="str">
        <f>IF(終値!A46="","",IF(AND(安値!T46&lt;安値!S46,安値!T46&lt;安値!R46,安値!T46&lt;安値!U46,安値!T46&lt;安値!V46),15,""))</f>
        <v/>
      </c>
      <c r="P46" s="503" t="str">
        <f>IF(終値!A46="","",IF(AND(安値!U46&lt;安値!T46,安値!U46&lt;安値!S46,安値!U46&lt;安値!V46,安値!U46&lt;安値!W46),16,""))</f>
        <v/>
      </c>
      <c r="Q46" s="503">
        <f>IF(終値!A46="","",IF(AND(安値!V46&lt;安値!U46,安値!V46&lt;安値!T46,安値!V46&lt;安値!W46,安値!V46&lt;安値!X46),17,""))</f>
        <v>17</v>
      </c>
      <c r="R46" s="503" t="str">
        <f>IF(終値!A46="","",IF(AND(安値!W46&lt;安値!V46,安値!W46&lt;安値!U46,安値!W46&lt;安値!X46,安値!W46&lt;安値!Y46),18,""))</f>
        <v/>
      </c>
      <c r="S46" s="503" t="str">
        <f>IF(終値!A46="","",IF(AND(安値!X46&lt;安値!W46,安値!X46&lt;安値!V46,安値!X46&lt;安値!Y46,安値!X46&lt;安値!Z46),19,""))</f>
        <v/>
      </c>
      <c r="T46" s="503" t="str">
        <f>IF(終値!A46="","",IF(AND(安値!Y46&lt;安値!X46,安値!Y46&lt;安値!W46,安値!Y46&lt;安値!Z46,安値!Y46&lt;安値!AA46),20,""))</f>
        <v/>
      </c>
      <c r="U46" s="503" t="str">
        <f>IF(終値!A46="","",IF(AND(安値!Z46&lt;安値!Y46,安値!Z46&lt;安値!X46,安値!Z46&lt;安値!AA46,安値!Z46&lt;安値!AB46),21,""))</f>
        <v/>
      </c>
      <c r="V46" s="503" t="str">
        <f>IF(終値!A46="","",IF(AND(安値!AA46&lt;安値!Z46,安値!AA46&lt;安値!Y46,安値!AA46&lt;安値!AB46,安値!AA46&lt;安値!AC46),22,""))</f>
        <v/>
      </c>
      <c r="W46" s="503">
        <f>IF(終値!A46="","",IF(AND(安値!AB46&lt;安値!AA46,安値!AB46&lt;安値!Z46,安値!AB46&lt;安値!AC46,安値!AB46&lt;安値!AD46),23,""))</f>
        <v>23</v>
      </c>
      <c r="X46" s="503" t="str">
        <f>IF(終値!A46="","",IF(AND(安値!AC46&lt;安値!AB46,安値!AC46&lt;安値!AA46,安値!AC46&lt;安値!AD46,安値!AC46&lt;安値!AE46),24,""))</f>
        <v/>
      </c>
      <c r="Y46" s="503" t="str">
        <f>IF(終値!A46="","",IF(AND(安値!AD46&lt;安値!AC46,安値!AD46&lt;安値!AB46,安値!AD46&lt;安値!AE46,安値!AD46&lt;安値!AF46),25,""))</f>
        <v/>
      </c>
      <c r="Z46" s="503" t="str">
        <f>IF(終値!A46="","",IF(AND(安値!AE46&lt;安値!AD46,安値!AE46&lt;安値!AC46,安値!AE46&lt;安値!AF46,安値!AE46&lt;安値!AG46),26,""))</f>
        <v/>
      </c>
      <c r="AA46" s="503" t="str">
        <f>IF(終値!A46="","",IF(AND(安値!AF46&lt;安値!AE46,安値!AF46&lt;安値!AD46,安値!AF46&lt;安値!AG46,安値!AF46&lt;安値!AH46),27,""))</f>
        <v/>
      </c>
      <c r="AB46" s="503" t="str">
        <f>IF(終値!A46="","",IF(AND(安値!AG46&lt;安値!AF46,安値!AG46&lt;安値!AE46,安値!AG46&lt;安値!AH46,安値!AG46&lt;安値!AI46),28,""))</f>
        <v/>
      </c>
      <c r="AC46" s="503" t="str">
        <f>IF(終値!A46="","",IF(AND(高値!G46&gt;高値!F46,高値!G46&gt;高値!E46,高値!G46&gt;高値!H46,高値!G46&gt;高値!I46),2,""))</f>
        <v/>
      </c>
      <c r="AD46" s="503" t="str">
        <f>IF(終値!A46="","",IF(AND(高値!H46&gt;高値!G46,高値!H46&gt;高値!F46,高値!H46&gt;高値!I46,高値!H46&gt;高値!J46),3,""))</f>
        <v/>
      </c>
      <c r="AE46" s="503" t="str">
        <f>IF(終値!A46="","",IF(AND(高値!I46&gt;高値!H46,高値!I46&gt;高値!G46,高値!I46&gt;高値!J46,高値!I46&gt;高値!K46),4,""))</f>
        <v/>
      </c>
      <c r="AF46" s="503" t="str">
        <f>IF(終値!A46="","",IF(AND(高値!J46&gt;高値!I46,高値!J46&gt;高値!H46,高値!J46&gt;高値!K46,高値!J46&gt;高値!L46),5,""))</f>
        <v/>
      </c>
      <c r="AG46" s="503">
        <f>IF(終値!A46="","",IF(AND(高値!K46&gt;高値!J46,高値!K46&gt;高値!I46,高値!K46&gt;高値!L46,高値!K46&gt;高値!M46),6,""))</f>
        <v>6</v>
      </c>
      <c r="AH46" s="503" t="str">
        <f>IF(終値!A46="","",IF(AND(高値!L46&gt;高値!K46,高値!L46&gt;高値!J46,高値!L46&gt;高値!M46,高値!L46&gt;高値!N46),7,""))</f>
        <v/>
      </c>
      <c r="AI46" s="503" t="str">
        <f>IF(終値!A46="","",IF(AND(高値!M46&gt;高値!L46,高値!M46&gt;高値!K46,高値!M46&gt;高値!N46,高値!M46&gt;高値!O46),8,""))</f>
        <v/>
      </c>
      <c r="AJ46" s="503" t="str">
        <f>IF(終値!A46="","",IF(AND(高値!N46&gt;高値!M46,高値!N46&gt;高値!L46,高値!N46&gt;高値!O46,高値!N46&gt;高値!P46),9,""))</f>
        <v/>
      </c>
      <c r="AK46" s="503" t="str">
        <f>IF(終値!A46="","",IF(AND(高値!O46&gt;高値!N46,高値!O46&gt;高値!M46,高値!O46&gt;高値!P46,高値!O46&gt;高値!Q46),10,""))</f>
        <v/>
      </c>
      <c r="AL46" s="503" t="str">
        <f>IF(終値!A46="","",IF(AND(高値!P46&gt;高値!O46,高値!P46&gt;高値!N46,高値!P46&gt;高値!Q46,高値!P46&gt;高値!R46),11,""))</f>
        <v/>
      </c>
      <c r="AM46" s="503" t="str">
        <f>IF(終値!A46="","",IF(AND(高値!Q46&gt;高値!P46,高値!Q46&gt;高値!O46,高値!Q46&gt;高値!R46,高値!Q46&gt;高値!S46),12,""))</f>
        <v/>
      </c>
      <c r="AN46" s="503" t="str">
        <f>IF(終値!A46="","",IF(AND(高値!R46&gt;高値!Q46,高値!R46&gt;高値!P46,高値!R46&gt;高値!S46,高値!R46&gt;高値!T46),13,""))</f>
        <v/>
      </c>
      <c r="AO46" s="503" t="str">
        <f>IF(終値!A46="","",IF(AND(高値!S46&gt;高値!R46,高値!S46&gt;高値!Q46,高値!S46&gt;高値!T46,高値!S46&gt;高値!U46),14,""))</f>
        <v/>
      </c>
      <c r="AP46" s="503" t="str">
        <f>IF(終値!A46="","",IF(AND(高値!T46&gt;高値!S46,高値!T46&gt;高値!R46,高値!T46&gt;高値!U46,高値!T46&gt;高値!V46),15,""))</f>
        <v/>
      </c>
      <c r="AQ46" s="503" t="str">
        <f>IF(終値!A46="","",IF(AND(高値!U46&gt;高値!T46,高値!U46&gt;高値!S46,高値!U46&gt;高値!V46,高値!U46&gt;高値!W46),16,""))</f>
        <v/>
      </c>
      <c r="AR46" s="503" t="str">
        <f>IF(終値!A46="","",IF(AND(高値!V46&gt;高値!U46,高値!V46&gt;高値!T46,高値!V46&gt;高値!W46,高値!V46&gt;高値!X46),17,""))</f>
        <v/>
      </c>
      <c r="AS46" s="503" t="str">
        <f>IF(終値!A46="","",IF(AND(高値!W46&gt;高値!V46,高値!W46&gt;高値!U46,高値!W46&gt;高値!X46,高値!W46&gt;高値!Y46),18,""))</f>
        <v/>
      </c>
      <c r="AT46" s="503" t="str">
        <f>IF(終値!A46="","",IF(AND(高値!X46&gt;高値!W46,高値!X46&gt;高値!V46,高値!X46&gt;高値!Y46,高値!X46&gt;高値!Z46),19,""))</f>
        <v/>
      </c>
      <c r="AU46" s="503" t="str">
        <f>IF(終値!A46="","",IF(AND(高値!Y46&gt;高値!X46,高値!Y46&gt;高値!W46,高値!Y46&gt;高値!Z46,高値!Y46&gt;高値!AA46),20,""))</f>
        <v/>
      </c>
      <c r="AV46" s="503">
        <f>IF(終値!A46="","",IF(AND(高値!Z46&gt;高値!Y46,高値!Z46&gt;高値!X46,高値!Z46&gt;高値!AA46,高値!Z46&gt;高値!AB46),21,""))</f>
        <v>21</v>
      </c>
      <c r="AW46" s="503" t="str">
        <f>IF(終値!A46="","",IF(AND(高値!AA46&gt;高値!Z46,高値!AA46&gt;高値!Y46,高値!AA46&gt;高値!AB46,高値!AA46&gt;高値!AC46),22,""))</f>
        <v/>
      </c>
      <c r="AX46" s="503" t="str">
        <f>IF(終値!A46="","",IF(AND(高値!AB46&gt;高値!AA46,高値!AB46&gt;高値!Z46,高値!AB46&gt;高値!AC46,高値!AB46&gt;高値!AD46),23,""))</f>
        <v/>
      </c>
      <c r="AY46" s="503" t="str">
        <f>IF(終値!A46="","",IF(AND(高値!AC46&gt;高値!AB46,高値!AC46&gt;高値!AA46,高値!AC46&gt;高値!AD46,高値!AC46&gt;高値!AE46),24,""))</f>
        <v/>
      </c>
      <c r="AZ46" s="503" t="str">
        <f>IF(終値!A46="","",IF(AND(高値!AD46&gt;高値!AC46,高値!AD46&gt;高値!AB46,高値!AD46&gt;高値!AE46,高値!AD46&gt;高値!AF46),25,""))</f>
        <v/>
      </c>
      <c r="BA46" s="503" t="str">
        <f>IF(終値!A46="","",IF(AND(高値!AE46&gt;高値!AD46,高値!AE46&gt;高値!AC46,高値!AE46&gt;高値!AF46,高値!AE46&gt;高値!AG46),26,""))</f>
        <v/>
      </c>
      <c r="BB46" s="503" t="str">
        <f>IF(終値!A46="","",IF(AND(高値!AF46&gt;高値!AE46,高値!AF46&gt;高値!AD46,高値!AF46&gt;高値!AG46,高値!AF46&gt;高値!AH46),27,""))</f>
        <v/>
      </c>
      <c r="BC46" s="503" t="str">
        <f>IF(終値!A46="","",IF(AND(高値!AG46&gt;高値!AF46,高値!AG46&gt;高値!AE46,高値!AG46&gt;高値!AH46,高値!AG46&gt;高値!AI46),28,""))</f>
        <v/>
      </c>
      <c r="BD46" s="503">
        <f t="shared" si="0"/>
        <v>4</v>
      </c>
      <c r="BE46" s="503">
        <f t="shared" si="1"/>
        <v>3</v>
      </c>
      <c r="BF46" s="503">
        <f t="shared" si="2"/>
        <v>9</v>
      </c>
      <c r="BG46" s="503">
        <f>IF($BE46="","",INDEX(安値!$E46:$CZ46,1,$BE46+1))</f>
        <v>628.20000000000005</v>
      </c>
      <c r="BH46" s="503">
        <f>IF($BF46="","",INDEX(安値!$E46:$CZ46,1,$BF46+1))</f>
        <v>0</v>
      </c>
      <c r="BI46" s="503">
        <f>IF($BF46="","",MAX(INDEX(高値!$E46:$CZ46,1,$BE46+1):INDEX(高値!$E46:$CZ46,1,$BF46+1)))</f>
        <v>672.8</v>
      </c>
      <c r="BJ46" s="503">
        <f>IF($BF46="","",AVERAGE(INDEX(終値!$E46:$CZ46,1,$BF46+1):INDEX(終値!$E46:$CZ46,1,$BF46+20))-2*STDEVP(INDEX(終値!$E46:$CZ46,1,$BF46+1):INDEX(終値!$E46:$CZ46,1,$BF46+20)))</f>
        <v>518.39388687556425</v>
      </c>
      <c r="BK46" s="503">
        <f>IF($BE46="","",AVERAGE(INDEX(終値!$E46:$CZ46,1,$BE46+1):INDEX(終値!$E46:$CZ46,1,$BE46+20))-2*STDEVP(INDEX(終値!$E46:$CZ46,1,$BE46+1):INDEX(終値!$E46:$CZ46,1,$BE46+20)))</f>
        <v>512.95365732088896</v>
      </c>
      <c r="BL46" s="503">
        <f t="shared" si="3"/>
        <v>2</v>
      </c>
      <c r="BM46" s="503">
        <f t="shared" si="4"/>
        <v>6</v>
      </c>
      <c r="BN46" s="503">
        <f t="shared" si="5"/>
        <v>21</v>
      </c>
      <c r="BO46" s="503">
        <f>IF($BM46="","",INDEX(高値!$E46:$CZ46,1,$BM46+1))</f>
        <v>672.8</v>
      </c>
      <c r="BP46" s="503">
        <f>IF($BN46="","",INDEX(高値!$E46:$CZ46,1,$BN46+1))</f>
        <v>564.70000000000005</v>
      </c>
      <c r="BQ46" s="503">
        <f>IF($BN46="","",MIN(INDEX(安値!$E46:$CZ46,1,$BM46+1):INDEX(安値!$E46:$CZ46,1,$BN46+1)))</f>
        <v>549.9</v>
      </c>
      <c r="BR46" s="503">
        <f>IF($BN46="","",AVERAGE(INDEX(終値!$E46:$CZ46,1,$BN46+1):INDEX(終値!$E46:$CZ46,1,$BN46+20))+2*STDEVP(INDEX(終値!$E46:$CZ46,1,$BN46+1):INDEX(終値!$E46:$CZ46,1,$BN46+20)))</f>
        <v>572.88069412776963</v>
      </c>
      <c r="BS46" s="503">
        <f>IF($BM46="","",AVERAGE(INDEX(終値!$E46:$CZ46,1,$BM46+1):INDEX(終値!$E46:$CZ46,1,$BM46+20))+2*STDEVP(INDEX(終値!$E46:$CZ46,1,$BM46+1):INDEX(終値!$E46:$CZ46,1,$BM46+20)))</f>
        <v>656.90014719257238</v>
      </c>
      <c r="BT46" s="500"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3">
        <f>IF(終値!A47="","",IF(AND(安値!G47&lt;安値!F47,安値!G47&lt;安値!E47,安値!G47&lt;安値!H47,安値!G47&lt;安値!I47),2,""))</f>
        <v>2</v>
      </c>
      <c r="C47" s="503" t="str">
        <f>IF(終値!A47="","",IF(AND(安値!H47&lt;安値!G47,安値!H47&lt;安値!F47,安値!H47&lt;安値!I47,安値!H47&lt;安値!J47),3,""))</f>
        <v/>
      </c>
      <c r="D47" s="503" t="str">
        <f>IF(終値!A47="","",IF(AND(安値!I47&lt;安値!H47,安値!I47&lt;安値!G47,安値!I47&lt;安値!J47,安値!I47&lt;安値!K47),4,""))</f>
        <v/>
      </c>
      <c r="E47" s="503" t="str">
        <f>IF(終値!A47="","",IF(AND(安値!J47&lt;安値!I47,安値!J47&lt;安値!H47,安値!J47&lt;安値!K47,安値!J47&lt;安値!L47),5,""))</f>
        <v/>
      </c>
      <c r="F47" s="503" t="str">
        <f>IF(終値!A47="","",IF(AND(安値!K47&lt;安値!J47,安値!K47&lt;安値!I47,安値!K47&lt;安値!L47,安値!K47&lt;安値!M47),6,""))</f>
        <v/>
      </c>
      <c r="G47" s="503" t="str">
        <f>IF(終値!A47="","",IF(AND(安値!L47&lt;安値!K47,安値!L47&lt;安値!J47,安値!L47&lt;安値!M47,安値!L47&lt;安値!N47),7,""))</f>
        <v/>
      </c>
      <c r="H47" s="503" t="str">
        <f>IF(終値!A47="","",IF(AND(安値!M47&lt;安値!L47,安値!M47&lt;安値!K47,安値!M47&lt;安値!N47,安値!M47&lt;安値!O47),8,""))</f>
        <v/>
      </c>
      <c r="I47" s="503">
        <f>IF(終値!A47="","",IF(AND(安値!N47&lt;安値!M47,安値!N47&lt;安値!L47,安値!N47&lt;安値!O47,安値!N47&lt;安値!P47),9,""))</f>
        <v>9</v>
      </c>
      <c r="J47" s="503" t="str">
        <f>IF(終値!A47="","",IF(AND(安値!O47&lt;安値!N47,安値!O47&lt;安値!M47,安値!O47&lt;安値!P47,安値!O47&lt;安値!Q47),10,""))</f>
        <v/>
      </c>
      <c r="K47" s="503" t="str">
        <f>IF(終値!A47="","",IF(AND(安値!P47&lt;安値!O47,安値!P47&lt;安値!N47,安値!P47&lt;安値!Q47,安値!P47&lt;安値!R47),11,""))</f>
        <v/>
      </c>
      <c r="L47" s="503" t="str">
        <f>IF(終値!A47="","",IF(AND(安値!Q47&lt;安値!P47,安値!Q47&lt;安値!O47,安値!Q47&lt;安値!R47,安値!Q47&lt;安値!S47),12,""))</f>
        <v/>
      </c>
      <c r="M47" s="503">
        <f>IF(終値!A47="","",IF(AND(安値!R47&lt;安値!Q47,安値!R47&lt;安値!P47,安値!R47&lt;安値!S47,安値!R47&lt;安値!T47),13,""))</f>
        <v>13</v>
      </c>
      <c r="N47" s="503" t="str">
        <f>IF(終値!A47="","",IF(AND(安値!S47&lt;安値!R47,安値!S47&lt;安値!Q47,安値!S47&lt;安値!T47,安値!S47&lt;安値!U47),14,""))</f>
        <v/>
      </c>
      <c r="O47" s="503" t="str">
        <f>IF(終値!A47="","",IF(AND(安値!T47&lt;安値!S47,安値!T47&lt;安値!R47,安値!T47&lt;安値!U47,安値!T47&lt;安値!V47),15,""))</f>
        <v/>
      </c>
      <c r="P47" s="503" t="str">
        <f>IF(終値!A47="","",IF(AND(安値!U47&lt;安値!T47,安値!U47&lt;安値!S47,安値!U47&lt;安値!V47,安値!U47&lt;安値!W47),16,""))</f>
        <v/>
      </c>
      <c r="Q47" s="503">
        <f>IF(終値!A47="","",IF(AND(安値!V47&lt;安値!U47,安値!V47&lt;安値!T47,安値!V47&lt;安値!W47,安値!V47&lt;安値!X47),17,""))</f>
        <v>17</v>
      </c>
      <c r="R47" s="503" t="str">
        <f>IF(終値!A47="","",IF(AND(安値!W47&lt;安値!V47,安値!W47&lt;安値!U47,安値!W47&lt;安値!X47,安値!W47&lt;安値!Y47),18,""))</f>
        <v/>
      </c>
      <c r="S47" s="503" t="str">
        <f>IF(終値!A47="","",IF(AND(安値!X47&lt;安値!W47,安値!X47&lt;安値!V47,安値!X47&lt;安値!Y47,安値!X47&lt;安値!Z47),19,""))</f>
        <v/>
      </c>
      <c r="T47" s="503" t="str">
        <f>IF(終値!A47="","",IF(AND(安値!Y47&lt;安値!X47,安値!Y47&lt;安値!W47,安値!Y47&lt;安値!Z47,安値!Y47&lt;安値!AA47),20,""))</f>
        <v/>
      </c>
      <c r="U47" s="503" t="str">
        <f>IF(終値!A47="","",IF(AND(安値!Z47&lt;安値!Y47,安値!Z47&lt;安値!X47,安値!Z47&lt;安値!AA47,安値!Z47&lt;安値!AB47),21,""))</f>
        <v/>
      </c>
      <c r="V47" s="503" t="str">
        <f>IF(終値!A47="","",IF(AND(安値!AA47&lt;安値!Z47,安値!AA47&lt;安値!Y47,安値!AA47&lt;安値!AB47,安値!AA47&lt;安値!AC47),22,""))</f>
        <v/>
      </c>
      <c r="W47" s="503" t="str">
        <f>IF(終値!A47="","",IF(AND(安値!AB47&lt;安値!AA47,安値!AB47&lt;安値!Z47,安値!AB47&lt;安値!AC47,安値!AB47&lt;安値!AD47),23,""))</f>
        <v/>
      </c>
      <c r="X47" s="503">
        <f>IF(終値!A47="","",IF(AND(安値!AC47&lt;安値!AB47,安値!AC47&lt;安値!AA47,安値!AC47&lt;安値!AD47,安値!AC47&lt;安値!AE47),24,""))</f>
        <v>24</v>
      </c>
      <c r="Y47" s="503" t="str">
        <f>IF(終値!A47="","",IF(AND(安値!AD47&lt;安値!AC47,安値!AD47&lt;安値!AB47,安値!AD47&lt;安値!AE47,安値!AD47&lt;安値!AF47),25,""))</f>
        <v/>
      </c>
      <c r="Z47" s="503" t="str">
        <f>IF(終値!A47="","",IF(AND(安値!AE47&lt;安値!AD47,安値!AE47&lt;安値!AC47,安値!AE47&lt;安値!AF47,安値!AE47&lt;安値!AG47),26,""))</f>
        <v/>
      </c>
      <c r="AA47" s="503" t="str">
        <f>IF(終値!A47="","",IF(AND(安値!AF47&lt;安値!AE47,安値!AF47&lt;安値!AD47,安値!AF47&lt;安値!AG47,安値!AF47&lt;安値!AH47),27,""))</f>
        <v/>
      </c>
      <c r="AB47" s="503" t="str">
        <f>IF(終値!A47="","",IF(AND(安値!AG47&lt;安値!AF47,安値!AG47&lt;安値!AE47,安値!AG47&lt;安値!AH47,安値!AG47&lt;安値!AI47),28,""))</f>
        <v/>
      </c>
      <c r="AC47" s="503" t="str">
        <f>IF(終値!A47="","",IF(AND(高値!G47&gt;高値!F47,高値!G47&gt;高値!E47,高値!G47&gt;高値!H47,高値!G47&gt;高値!I47),2,""))</f>
        <v/>
      </c>
      <c r="AD47" s="503" t="str">
        <f>IF(終値!A47="","",IF(AND(高値!H47&gt;高値!G47,高値!H47&gt;高値!F47,高値!H47&gt;高値!I47,高値!H47&gt;高値!J47),3,""))</f>
        <v/>
      </c>
      <c r="AE47" s="503" t="str">
        <f>IF(終値!A47="","",IF(AND(高値!I47&gt;高値!H47,高値!I47&gt;高値!G47,高値!I47&gt;高値!J47,高値!I47&gt;高値!K47),4,""))</f>
        <v/>
      </c>
      <c r="AF47" s="503" t="str">
        <f>IF(終値!A47="","",IF(AND(高値!J47&gt;高値!I47,高値!J47&gt;高値!H47,高値!J47&gt;高値!K47,高値!J47&gt;高値!L47),5,""))</f>
        <v/>
      </c>
      <c r="AG47" s="503">
        <f>IF(終値!A47="","",IF(AND(高値!K47&gt;高値!J47,高値!K47&gt;高値!I47,高値!K47&gt;高値!L47,高値!K47&gt;高値!M47),6,""))</f>
        <v>6</v>
      </c>
      <c r="AH47" s="503" t="str">
        <f>IF(終値!A47="","",IF(AND(高値!L47&gt;高値!K47,高値!L47&gt;高値!J47,高値!L47&gt;高値!M47,高値!L47&gt;高値!N47),7,""))</f>
        <v/>
      </c>
      <c r="AI47" s="503" t="str">
        <f>IF(終値!A47="","",IF(AND(高値!M47&gt;高値!L47,高値!M47&gt;高値!K47,高値!M47&gt;高値!N47,高値!M47&gt;高値!O47),8,""))</f>
        <v/>
      </c>
      <c r="AJ47" s="503" t="str">
        <f>IF(終値!A47="","",IF(AND(高値!N47&gt;高値!M47,高値!N47&gt;高値!L47,高値!N47&gt;高値!O47,高値!N47&gt;高値!P47),9,""))</f>
        <v/>
      </c>
      <c r="AK47" s="503" t="str">
        <f>IF(終値!A47="","",IF(AND(高値!O47&gt;高値!N47,高値!O47&gt;高値!M47,高値!O47&gt;高値!P47,高値!O47&gt;高値!Q47),10,""))</f>
        <v/>
      </c>
      <c r="AL47" s="503">
        <f>IF(終値!A47="","",IF(AND(高値!P47&gt;高値!O47,高値!P47&gt;高値!N47,高値!P47&gt;高値!Q47,高値!P47&gt;高値!R47),11,""))</f>
        <v>11</v>
      </c>
      <c r="AM47" s="503" t="str">
        <f>IF(終値!A47="","",IF(AND(高値!Q47&gt;高値!P47,高値!Q47&gt;高値!O47,高値!Q47&gt;高値!R47,高値!Q47&gt;高値!S47),12,""))</f>
        <v/>
      </c>
      <c r="AN47" s="503" t="str">
        <f>IF(終値!A47="","",IF(AND(高値!R47&gt;高値!Q47,高値!R47&gt;高値!P47,高値!R47&gt;高値!S47,高値!R47&gt;高値!T47),13,""))</f>
        <v/>
      </c>
      <c r="AO47" s="503" t="str">
        <f>IF(終値!A47="","",IF(AND(高値!S47&gt;高値!R47,高値!S47&gt;高値!Q47,高値!S47&gt;高値!T47,高値!S47&gt;高値!U47),14,""))</f>
        <v/>
      </c>
      <c r="AP47" s="503" t="str">
        <f>IF(終値!A47="","",IF(AND(高値!T47&gt;高値!S47,高値!T47&gt;高値!R47,高値!T47&gt;高値!U47,高値!T47&gt;高値!V47),15,""))</f>
        <v/>
      </c>
      <c r="AQ47" s="503" t="str">
        <f>IF(終値!A47="","",IF(AND(高値!U47&gt;高値!T47,高値!U47&gt;高値!S47,高値!U47&gt;高値!V47,高値!U47&gt;高値!W47),16,""))</f>
        <v/>
      </c>
      <c r="AR47" s="503">
        <f>IF(終値!A47="","",IF(AND(高値!V47&gt;高値!U47,高値!V47&gt;高値!T47,高値!V47&gt;高値!W47,高値!V47&gt;高値!X47),17,""))</f>
        <v>17</v>
      </c>
      <c r="AS47" s="503" t="str">
        <f>IF(終値!A47="","",IF(AND(高値!W47&gt;高値!V47,高値!W47&gt;高値!U47,高値!W47&gt;高値!X47,高値!W47&gt;高値!Y47),18,""))</f>
        <v/>
      </c>
      <c r="AT47" s="503" t="str">
        <f>IF(終値!A47="","",IF(AND(高値!X47&gt;高値!W47,高値!X47&gt;高値!V47,高値!X47&gt;高値!Y47,高値!X47&gt;高値!Z47),19,""))</f>
        <v/>
      </c>
      <c r="AU47" s="503" t="str">
        <f>IF(終値!A47="","",IF(AND(高値!Y47&gt;高値!X47,高値!Y47&gt;高値!W47,高値!Y47&gt;高値!Z47,高値!Y47&gt;高値!AA47),20,""))</f>
        <v/>
      </c>
      <c r="AV47" s="503" t="str">
        <f>IF(終値!A47="","",IF(AND(高値!Z47&gt;高値!Y47,高値!Z47&gt;高値!X47,高値!Z47&gt;高値!AA47,高値!Z47&gt;高値!AB47),21,""))</f>
        <v/>
      </c>
      <c r="AW47" s="503" t="str">
        <f>IF(終値!A47="","",IF(AND(高値!AA47&gt;高値!Z47,高値!AA47&gt;高値!Y47,高値!AA47&gt;高値!AB47,高値!AA47&gt;高値!AC47),22,""))</f>
        <v/>
      </c>
      <c r="AX47" s="503" t="str">
        <f>IF(終値!A47="","",IF(AND(高値!AB47&gt;高値!AA47,高値!AB47&gt;高値!Z47,高値!AB47&gt;高値!AC47,高値!AB47&gt;高値!AD47),23,""))</f>
        <v/>
      </c>
      <c r="AY47" s="503" t="str">
        <f>IF(終値!A47="","",IF(AND(高値!AC47&gt;高値!AB47,高値!AC47&gt;高値!AA47,高値!AC47&gt;高値!AD47,高値!AC47&gt;高値!AE47),24,""))</f>
        <v/>
      </c>
      <c r="AZ47" s="503" t="str">
        <f>IF(終値!A47="","",IF(AND(高値!AD47&gt;高値!AC47,高値!AD47&gt;高値!AB47,高値!AD47&gt;高値!AE47,高値!AD47&gt;高値!AF47),25,""))</f>
        <v/>
      </c>
      <c r="BA47" s="503" t="str">
        <f>IF(終値!A47="","",IF(AND(高値!AE47&gt;高値!AD47,高値!AE47&gt;高値!AC47,高値!AE47&gt;高値!AF47,高値!AE47&gt;高値!AG47),26,""))</f>
        <v/>
      </c>
      <c r="BB47" s="503" t="str">
        <f>IF(終値!A47="","",IF(AND(高値!AF47&gt;高値!AE47,高値!AF47&gt;高値!AD47,高値!AF47&gt;高値!AG47,高値!AF47&gt;高値!AH47),27,""))</f>
        <v/>
      </c>
      <c r="BC47" s="503" t="str">
        <f>IF(終値!A47="","",IF(AND(高値!AG47&gt;高値!AF47,高値!AG47&gt;高値!AE47,高値!AG47&gt;高値!AH47,高値!AG47&gt;高値!AI47),28,""))</f>
        <v/>
      </c>
      <c r="BD47" s="503">
        <f t="shared" si="0"/>
        <v>5</v>
      </c>
      <c r="BE47" s="503">
        <f t="shared" si="1"/>
        <v>2</v>
      </c>
      <c r="BF47" s="503">
        <f t="shared" si="2"/>
        <v>9</v>
      </c>
      <c r="BG47" s="503">
        <f>IF($BE47="","",INDEX(安値!$E47:$CZ47,1,$BE47+1))</f>
        <v>469.2</v>
      </c>
      <c r="BH47" s="503">
        <f>IF($BF47="","",INDEX(安値!$E47:$CZ47,1,$BF47+1))</f>
        <v>483.5</v>
      </c>
      <c r="BI47" s="503">
        <f>IF($BF47="","",MAX(INDEX(高値!$E47:$CZ47,1,$BE47+1):INDEX(高値!$E47:$CZ47,1,$BF47+1)))</f>
        <v>496.9</v>
      </c>
      <c r="BJ47" s="503">
        <f>IF($BF47="","",AVERAGE(INDEX(終値!$E47:$CZ47,1,$BF47+1):INDEX(終値!$E47:$CZ47,1,$BF47+20))-2*STDEVP(INDEX(終値!$E47:$CZ47,1,$BF47+1):INDEX(終値!$E47:$CZ47,1,$BF47+20)))</f>
        <v>445.04249844385436</v>
      </c>
      <c r="BK47" s="503">
        <f>IF($BE47="","",AVERAGE(INDEX(終値!$E47:$CZ47,1,$BE47+1):INDEX(終値!$E47:$CZ47,1,$BE47+20))-2*STDEVP(INDEX(終値!$E47:$CZ47,1,$BE47+1):INDEX(終値!$E47:$CZ47,1,$BE47+20)))</f>
        <v>472.87245894450263</v>
      </c>
      <c r="BL47" s="503">
        <f t="shared" si="3"/>
        <v>3</v>
      </c>
      <c r="BM47" s="503">
        <f t="shared" si="4"/>
        <v>6</v>
      </c>
      <c r="BN47" s="503">
        <f t="shared" si="5"/>
        <v>11</v>
      </c>
      <c r="BO47" s="503">
        <f>IF($BM47="","",INDEX(高値!$E47:$CZ47,1,$BM47+1))</f>
        <v>496.9</v>
      </c>
      <c r="BP47" s="503">
        <f>IF($BN47="","",INDEX(高値!$E47:$CZ47,1,$BN47+1))</f>
        <v>494.4</v>
      </c>
      <c r="BQ47" s="503">
        <f>IF($BN47="","",MIN(INDEX(安値!$E47:$CZ47,1,$BM47+1):INDEX(安値!$E47:$CZ47,1,$BN47+1)))</f>
        <v>483.5</v>
      </c>
      <c r="BR47" s="503">
        <f>IF($BN47="","",AVERAGE(INDEX(終値!$E47:$CZ47,1,$BN47+1):INDEX(終値!$E47:$CZ47,1,$BN47+20))+2*STDEVP(INDEX(終値!$E47:$CZ47,1,$BN47+1):INDEX(終値!$E47:$CZ47,1,$BN47+20)))</f>
        <v>504.62252664709632</v>
      </c>
      <c r="BS47" s="503">
        <f>IF($BM47="","",AVERAGE(INDEX(終値!$E47:$CZ47,1,$BM47+1):INDEX(終値!$E47:$CZ47,1,$BM47+20))+2*STDEVP(INDEX(終値!$E47:$CZ47,1,$BM47+1):INDEX(終値!$E47:$CZ47,1,$BM47+20)))</f>
        <v>504.4751088373564</v>
      </c>
      <c r="BT47" s="500"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3" t="str">
        <f>IF(終値!A48="","",IF(AND(安値!G48&lt;安値!F48,安値!G48&lt;安値!E48,安値!G48&lt;安値!H48,安値!G48&lt;安値!I48),2,""))</f>
        <v/>
      </c>
      <c r="C48" s="503">
        <f>IF(終値!A48="","",IF(AND(安値!H48&lt;安値!G48,安値!H48&lt;安値!F48,安値!H48&lt;安値!I48,安値!H48&lt;安値!J48),3,""))</f>
        <v>3</v>
      </c>
      <c r="D48" s="503" t="str">
        <f>IF(終値!A48="","",IF(AND(安値!I48&lt;安値!H48,安値!I48&lt;安値!G48,安値!I48&lt;安値!J48,安値!I48&lt;安値!K48),4,""))</f>
        <v/>
      </c>
      <c r="E48" s="503" t="str">
        <f>IF(終値!A48="","",IF(AND(安値!J48&lt;安値!I48,安値!J48&lt;安値!H48,安値!J48&lt;安値!K48,安値!J48&lt;安値!L48),5,""))</f>
        <v/>
      </c>
      <c r="F48" s="503" t="str">
        <f>IF(終値!A48="","",IF(AND(安値!K48&lt;安値!J48,安値!K48&lt;安値!I48,安値!K48&lt;安値!L48,安値!K48&lt;安値!M48),6,""))</f>
        <v/>
      </c>
      <c r="G48" s="503" t="str">
        <f>IF(終値!A48="","",IF(AND(安値!L48&lt;安値!K48,安値!L48&lt;安値!J48,安値!L48&lt;安値!M48,安値!L48&lt;安値!N48),7,""))</f>
        <v/>
      </c>
      <c r="H48" s="503" t="str">
        <f>IF(終値!A48="","",IF(AND(安値!M48&lt;安値!L48,安値!M48&lt;安値!K48,安値!M48&lt;安値!N48,安値!M48&lt;安値!O48),8,""))</f>
        <v/>
      </c>
      <c r="I48" s="503">
        <f>IF(終値!A48="","",IF(AND(安値!N48&lt;安値!M48,安値!N48&lt;安値!L48,安値!N48&lt;安値!O48,安値!N48&lt;安値!P48),9,""))</f>
        <v>9</v>
      </c>
      <c r="J48" s="503" t="str">
        <f>IF(終値!A48="","",IF(AND(安値!O48&lt;安値!N48,安値!O48&lt;安値!M48,安値!O48&lt;安値!P48,安値!O48&lt;安値!Q48),10,""))</f>
        <v/>
      </c>
      <c r="K48" s="503" t="str">
        <f>IF(終値!A48="","",IF(AND(安値!P48&lt;安値!O48,安値!P48&lt;安値!N48,安値!P48&lt;安値!Q48,安値!P48&lt;安値!R48),11,""))</f>
        <v/>
      </c>
      <c r="L48" s="503" t="str">
        <f>IF(終値!A48="","",IF(AND(安値!Q48&lt;安値!P48,安値!Q48&lt;安値!O48,安値!Q48&lt;安値!R48,安値!Q48&lt;安値!S48),12,""))</f>
        <v/>
      </c>
      <c r="M48" s="503" t="str">
        <f>IF(終値!A48="","",IF(AND(安値!R48&lt;安値!Q48,安値!R48&lt;安値!P48,安値!R48&lt;安値!S48,安値!R48&lt;安値!T48),13,""))</f>
        <v/>
      </c>
      <c r="N48" s="503" t="str">
        <f>IF(終値!A48="","",IF(AND(安値!S48&lt;安値!R48,安値!S48&lt;安値!Q48,安値!S48&lt;安値!T48,安値!S48&lt;安値!U48),14,""))</f>
        <v/>
      </c>
      <c r="O48" s="503" t="str">
        <f>IF(終値!A48="","",IF(AND(安値!T48&lt;安値!S48,安値!T48&lt;安値!R48,安値!T48&lt;安値!U48,安値!T48&lt;安値!V48),15,""))</f>
        <v/>
      </c>
      <c r="P48" s="503" t="str">
        <f>IF(終値!A48="","",IF(AND(安値!U48&lt;安値!T48,安値!U48&lt;安値!S48,安値!U48&lt;安値!V48,安値!U48&lt;安値!W48),16,""))</f>
        <v/>
      </c>
      <c r="Q48" s="503" t="str">
        <f>IF(終値!A48="","",IF(AND(安値!V48&lt;安値!U48,安値!V48&lt;安値!T48,安値!V48&lt;安値!W48,安値!V48&lt;安値!X48),17,""))</f>
        <v/>
      </c>
      <c r="R48" s="503" t="str">
        <f>IF(終値!A48="","",IF(AND(安値!W48&lt;安値!V48,安値!W48&lt;安値!U48,安値!W48&lt;安値!X48,安値!W48&lt;安値!Y48),18,""))</f>
        <v/>
      </c>
      <c r="S48" s="503" t="str">
        <f>IF(終値!A48="","",IF(AND(安値!X48&lt;安値!W48,安値!X48&lt;安値!V48,安値!X48&lt;安値!Y48,安値!X48&lt;安値!Z48),19,""))</f>
        <v/>
      </c>
      <c r="T48" s="503" t="str">
        <f>IF(終値!A48="","",IF(AND(安値!Y48&lt;安値!X48,安値!Y48&lt;安値!W48,安値!Y48&lt;安値!Z48,安値!Y48&lt;安値!AA48),20,""))</f>
        <v/>
      </c>
      <c r="U48" s="503" t="str">
        <f>IF(終値!A48="","",IF(AND(安値!Z48&lt;安値!Y48,安値!Z48&lt;安値!X48,安値!Z48&lt;安値!AA48,安値!Z48&lt;安値!AB48),21,""))</f>
        <v/>
      </c>
      <c r="V48" s="503" t="str">
        <f>IF(終値!A48="","",IF(AND(安値!AA48&lt;安値!Z48,安値!AA48&lt;安値!Y48,安値!AA48&lt;安値!AB48,安値!AA48&lt;安値!AC48),22,""))</f>
        <v/>
      </c>
      <c r="W48" s="503">
        <f>IF(終値!A48="","",IF(AND(安値!AB48&lt;安値!AA48,安値!AB48&lt;安値!Z48,安値!AB48&lt;安値!AC48,安値!AB48&lt;安値!AD48),23,""))</f>
        <v>23</v>
      </c>
      <c r="X48" s="503" t="str">
        <f>IF(終値!A48="","",IF(AND(安値!AC48&lt;安値!AB48,安値!AC48&lt;安値!AA48,安値!AC48&lt;安値!AD48,安値!AC48&lt;安値!AE48),24,""))</f>
        <v/>
      </c>
      <c r="Y48" s="503" t="str">
        <f>IF(終値!A48="","",IF(AND(安値!AD48&lt;安値!AC48,安値!AD48&lt;安値!AB48,安値!AD48&lt;安値!AE48,安値!AD48&lt;安値!AF48),25,""))</f>
        <v/>
      </c>
      <c r="Z48" s="503" t="str">
        <f>IF(終値!A48="","",IF(AND(安値!AE48&lt;安値!AD48,安値!AE48&lt;安値!AC48,安値!AE48&lt;安値!AF48,安値!AE48&lt;安値!AG48),26,""))</f>
        <v/>
      </c>
      <c r="AA48" s="503" t="str">
        <f>IF(終値!A48="","",IF(AND(安値!AF48&lt;安値!AE48,安値!AF48&lt;安値!AD48,安値!AF48&lt;安値!AG48,安値!AF48&lt;安値!AH48),27,""))</f>
        <v/>
      </c>
      <c r="AB48" s="503" t="str">
        <f>IF(終値!A48="","",IF(AND(安値!AG48&lt;安値!AF48,安値!AG48&lt;安値!AE48,安値!AG48&lt;安値!AH48,安値!AG48&lt;安値!AI48),28,""))</f>
        <v/>
      </c>
      <c r="AC48" s="503" t="str">
        <f>IF(終値!A48="","",IF(AND(高値!G48&gt;高値!F48,高値!G48&gt;高値!E48,高値!G48&gt;高値!H48,高値!G48&gt;高値!I48),2,""))</f>
        <v/>
      </c>
      <c r="AD48" s="503" t="str">
        <f>IF(終値!A48="","",IF(AND(高値!H48&gt;高値!G48,高値!H48&gt;高値!F48,高値!H48&gt;高値!I48,高値!H48&gt;高値!J48),3,""))</f>
        <v/>
      </c>
      <c r="AE48" s="503" t="str">
        <f>IF(終値!A48="","",IF(AND(高値!I48&gt;高値!H48,高値!I48&gt;高値!G48,高値!I48&gt;高値!J48,高値!I48&gt;高値!K48),4,""))</f>
        <v/>
      </c>
      <c r="AF48" s="503" t="str">
        <f>IF(終値!A48="","",IF(AND(高値!J48&gt;高値!I48,高値!J48&gt;高値!H48,高値!J48&gt;高値!K48,高値!J48&gt;高値!L48),5,""))</f>
        <v/>
      </c>
      <c r="AG48" s="503" t="str">
        <f>IF(終値!A48="","",IF(AND(高値!K48&gt;高値!J48,高値!K48&gt;高値!I48,高値!K48&gt;高値!L48,高値!K48&gt;高値!M48),6,""))</f>
        <v/>
      </c>
      <c r="AH48" s="503">
        <f>IF(終値!A48="","",IF(AND(高値!L48&gt;高値!K48,高値!L48&gt;高値!J48,高値!L48&gt;高値!M48,高値!L48&gt;高値!N48),7,""))</f>
        <v>7</v>
      </c>
      <c r="AI48" s="503" t="str">
        <f>IF(終値!A48="","",IF(AND(高値!M48&gt;高値!L48,高値!M48&gt;高値!K48,高値!M48&gt;高値!N48,高値!M48&gt;高値!O48),8,""))</f>
        <v/>
      </c>
      <c r="AJ48" s="503" t="str">
        <f>IF(終値!A48="","",IF(AND(高値!N48&gt;高値!M48,高値!N48&gt;高値!L48,高値!N48&gt;高値!O48,高値!N48&gt;高値!P48),9,""))</f>
        <v/>
      </c>
      <c r="AK48" s="503" t="str">
        <f>IF(終値!A48="","",IF(AND(高値!O48&gt;高値!N48,高値!O48&gt;高値!M48,高値!O48&gt;高値!P48,高値!O48&gt;高値!Q48),10,""))</f>
        <v/>
      </c>
      <c r="AL48" s="503" t="str">
        <f>IF(終値!A48="","",IF(AND(高値!P48&gt;高値!O48,高値!P48&gt;高値!N48,高値!P48&gt;高値!Q48,高値!P48&gt;高値!R48),11,""))</f>
        <v/>
      </c>
      <c r="AM48" s="503" t="str">
        <f>IF(終値!A48="","",IF(AND(高値!Q48&gt;高値!P48,高値!Q48&gt;高値!O48,高値!Q48&gt;高値!R48,高値!Q48&gt;高値!S48),12,""))</f>
        <v/>
      </c>
      <c r="AN48" s="503" t="str">
        <f>IF(終値!A48="","",IF(AND(高値!R48&gt;高値!Q48,高値!R48&gt;高値!P48,高値!R48&gt;高値!S48,高値!R48&gt;高値!T48),13,""))</f>
        <v/>
      </c>
      <c r="AO48" s="503" t="str">
        <f>IF(終値!A48="","",IF(AND(高値!S48&gt;高値!R48,高値!S48&gt;高値!Q48,高値!S48&gt;高値!T48,高値!S48&gt;高値!U48),14,""))</f>
        <v/>
      </c>
      <c r="AP48" s="503" t="str">
        <f>IF(終値!A48="","",IF(AND(高値!T48&gt;高値!S48,高値!T48&gt;高値!R48,高値!T48&gt;高値!U48,高値!T48&gt;高値!V48),15,""))</f>
        <v/>
      </c>
      <c r="AQ48" s="503" t="str">
        <f>IF(終値!A48="","",IF(AND(高値!U48&gt;高値!T48,高値!U48&gt;高値!S48,高値!U48&gt;高値!V48,高値!U48&gt;高値!W48),16,""))</f>
        <v/>
      </c>
      <c r="AR48" s="503" t="str">
        <f>IF(終値!A48="","",IF(AND(高値!V48&gt;高値!U48,高値!V48&gt;高値!T48,高値!V48&gt;高値!W48,高値!V48&gt;高値!X48),17,""))</f>
        <v/>
      </c>
      <c r="AS48" s="503" t="str">
        <f>IF(終値!A48="","",IF(AND(高値!W48&gt;高値!V48,高値!W48&gt;高値!U48,高値!W48&gt;高値!X48,高値!W48&gt;高値!Y48),18,""))</f>
        <v/>
      </c>
      <c r="AT48" s="503">
        <f>IF(終値!A48="","",IF(AND(高値!X48&gt;高値!W48,高値!X48&gt;高値!V48,高値!X48&gt;高値!Y48,高値!X48&gt;高値!Z48),19,""))</f>
        <v>19</v>
      </c>
      <c r="AU48" s="503" t="str">
        <f>IF(終値!A48="","",IF(AND(高値!Y48&gt;高値!X48,高値!Y48&gt;高値!W48,高値!Y48&gt;高値!Z48,高値!Y48&gt;高値!AA48),20,""))</f>
        <v/>
      </c>
      <c r="AV48" s="503" t="str">
        <f>IF(終値!A48="","",IF(AND(高値!Z48&gt;高値!Y48,高値!Z48&gt;高値!X48,高値!Z48&gt;高値!AA48,高値!Z48&gt;高値!AB48),21,""))</f>
        <v/>
      </c>
      <c r="AW48" s="503" t="str">
        <f>IF(終値!A48="","",IF(AND(高値!AA48&gt;高値!Z48,高値!AA48&gt;高値!Y48,高値!AA48&gt;高値!AB48,高値!AA48&gt;高値!AC48),22,""))</f>
        <v/>
      </c>
      <c r="AX48" s="503" t="str">
        <f>IF(終値!A48="","",IF(AND(高値!AB48&gt;高値!AA48,高値!AB48&gt;高値!Z48,高値!AB48&gt;高値!AC48,高値!AB48&gt;高値!AD48),23,""))</f>
        <v/>
      </c>
      <c r="AY48" s="503" t="str">
        <f>IF(終値!A48="","",IF(AND(高値!AC48&gt;高値!AB48,高値!AC48&gt;高値!AA48,高値!AC48&gt;高値!AD48,高値!AC48&gt;高値!AE48),24,""))</f>
        <v/>
      </c>
      <c r="AZ48" s="503" t="str">
        <f>IF(終値!A48="","",IF(AND(高値!AD48&gt;高値!AC48,高値!AD48&gt;高値!AB48,高値!AD48&gt;高値!AE48,高値!AD48&gt;高値!AF48),25,""))</f>
        <v/>
      </c>
      <c r="BA48" s="503">
        <f>IF(終値!A48="","",IF(AND(高値!AE48&gt;高値!AD48,高値!AE48&gt;高値!AC48,高値!AE48&gt;高値!AF48,高値!AE48&gt;高値!AG48),26,""))</f>
        <v>26</v>
      </c>
      <c r="BB48" s="503" t="str">
        <f>IF(終値!A48="","",IF(AND(高値!AF48&gt;高値!AE48,高値!AF48&gt;高値!AD48,高値!AF48&gt;高値!AG48,高値!AF48&gt;高値!AH48),27,""))</f>
        <v/>
      </c>
      <c r="BC48" s="503" t="str">
        <f>IF(終値!A48="","",IF(AND(高値!AG48&gt;高値!AF48,高値!AG48&gt;高値!AE48,高値!AG48&gt;高値!AH48,高値!AG48&gt;高値!AI48),28,""))</f>
        <v/>
      </c>
      <c r="BD48" s="503">
        <f t="shared" si="0"/>
        <v>3</v>
      </c>
      <c r="BE48" s="503">
        <f t="shared" si="1"/>
        <v>3</v>
      </c>
      <c r="BF48" s="503">
        <f t="shared" si="2"/>
        <v>9</v>
      </c>
      <c r="BG48" s="503">
        <f>IF($BE48="","",INDEX(安値!$E48:$CZ48,1,$BE48+1))</f>
        <v>1462</v>
      </c>
      <c r="BH48" s="503">
        <f>IF($BF48="","",INDEX(安値!$E48:$CZ48,1,$BF48+1))</f>
        <v>1440</v>
      </c>
      <c r="BI48" s="503">
        <f>IF($BF48="","",MAX(INDEX(高値!$E48:$CZ48,1,$BE48+1):INDEX(高値!$E48:$CZ48,1,$BF48+1)))</f>
        <v>1538</v>
      </c>
      <c r="BJ48" s="503">
        <f>IF($BF48="","",AVERAGE(INDEX(終値!$E48:$CZ48,1,$BF48+1):INDEX(終値!$E48:$CZ48,1,$BF48+20))-2*STDEVP(INDEX(終値!$E48:$CZ48,1,$BF48+1):INDEX(終値!$E48:$CZ48,1,$BF48+20)))</f>
        <v>1386.7712908948824</v>
      </c>
      <c r="BK48" s="503">
        <f>IF($BE48="","",AVERAGE(INDEX(終値!$E48:$CZ48,1,$BE48+1):INDEX(終値!$E48:$CZ48,1,$BE48+20))-2*STDEVP(INDEX(終値!$E48:$CZ48,1,$BE48+1):INDEX(終値!$E48:$CZ48,1,$BE48+20)))</f>
        <v>1374.2971148641423</v>
      </c>
      <c r="BL48" s="503">
        <f t="shared" si="3"/>
        <v>3</v>
      </c>
      <c r="BM48" s="503">
        <f t="shared" si="4"/>
        <v>7</v>
      </c>
      <c r="BN48" s="503">
        <f t="shared" si="5"/>
        <v>19</v>
      </c>
      <c r="BO48" s="503">
        <f>IF($BM48="","",INDEX(高値!$E48:$CZ48,1,$BM48+1))</f>
        <v>1538</v>
      </c>
      <c r="BP48" s="503">
        <f>IF($BN48="","",INDEX(高値!$E48:$CZ48,1,$BN48+1))</f>
        <v>1448</v>
      </c>
      <c r="BQ48" s="503">
        <f>IF($BN48="","",MIN(INDEX(安値!$E48:$CZ48,1,$BM48+1):INDEX(安値!$E48:$CZ48,1,$BN48+1)))</f>
        <v>1399</v>
      </c>
      <c r="BR48" s="503">
        <f>IF($BN48="","",AVERAGE(INDEX(終値!$E48:$CZ48,1,$BN48+1):INDEX(終値!$E48:$CZ48,1,$BN48+20))+2*STDEVP(INDEX(終値!$E48:$CZ48,1,$BN48+1):INDEX(終値!$E48:$CZ48,1,$BN48+20)))</f>
        <v>1449.5670827476151</v>
      </c>
      <c r="BS48" s="503">
        <f>IF($BM48="","",AVERAGE(INDEX(終値!$E48:$CZ48,1,$BM48+1):INDEX(終値!$E48:$CZ48,1,$BM48+20))+2*STDEVP(INDEX(終値!$E48:$CZ48,1,$BM48+1):INDEX(終値!$E48:$CZ48,1,$BM48+20)))</f>
        <v>1510.5006941921754</v>
      </c>
      <c r="BT48" s="500"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二番底W▲</v>
      </c>
    </row>
    <row r="49" spans="2:72">
      <c r="B49" s="503" t="str">
        <f>IF(終値!A49="","",IF(AND(安値!G49&lt;安値!F49,安値!G49&lt;安値!E49,安値!G49&lt;安値!H49,安値!G49&lt;安値!I49),2,""))</f>
        <v/>
      </c>
      <c r="C49" s="503" t="str">
        <f>IF(終値!A49="","",IF(AND(安値!H49&lt;安値!G49,安値!H49&lt;安値!F49,安値!H49&lt;安値!I49,安値!H49&lt;安値!J49),3,""))</f>
        <v/>
      </c>
      <c r="D49" s="503">
        <f>IF(終値!A49="","",IF(AND(安値!I49&lt;安値!H49,安値!I49&lt;安値!G49,安値!I49&lt;安値!J49,安値!I49&lt;安値!K49),4,""))</f>
        <v>4</v>
      </c>
      <c r="E49" s="503" t="str">
        <f>IF(終値!A49="","",IF(AND(安値!J49&lt;安値!I49,安値!J49&lt;安値!H49,安値!J49&lt;安値!K49,安値!J49&lt;安値!L49),5,""))</f>
        <v/>
      </c>
      <c r="F49" s="503" t="str">
        <f>IF(終値!A49="","",IF(AND(安値!K49&lt;安値!J49,安値!K49&lt;安値!I49,安値!K49&lt;安値!L49,安値!K49&lt;安値!M49),6,""))</f>
        <v/>
      </c>
      <c r="G49" s="503" t="str">
        <f>IF(終値!A49="","",IF(AND(安値!L49&lt;安値!K49,安値!L49&lt;安値!J49,安値!L49&lt;安値!M49,安値!L49&lt;安値!N49),7,""))</f>
        <v/>
      </c>
      <c r="H49" s="503" t="str">
        <f>IF(終値!A49="","",IF(AND(安値!M49&lt;安値!L49,安値!M49&lt;安値!K49,安値!M49&lt;安値!N49,安値!M49&lt;安値!O49),8,""))</f>
        <v/>
      </c>
      <c r="I49" s="503">
        <f>IF(終値!A49="","",IF(AND(安値!N49&lt;安値!M49,安値!N49&lt;安値!L49,安値!N49&lt;安値!O49,安値!N49&lt;安値!P49),9,""))</f>
        <v>9</v>
      </c>
      <c r="J49" s="503" t="str">
        <f>IF(終値!A49="","",IF(AND(安値!O49&lt;安値!N49,安値!O49&lt;安値!M49,安値!O49&lt;安値!P49,安値!O49&lt;安値!Q49),10,""))</f>
        <v/>
      </c>
      <c r="K49" s="503" t="str">
        <f>IF(終値!A49="","",IF(AND(安値!P49&lt;安値!O49,安値!P49&lt;安値!N49,安値!P49&lt;安値!Q49,安値!P49&lt;安値!R49),11,""))</f>
        <v/>
      </c>
      <c r="L49" s="503" t="str">
        <f>IF(終値!A49="","",IF(AND(安値!Q49&lt;安値!P49,安値!Q49&lt;安値!O49,安値!Q49&lt;安値!R49,安値!Q49&lt;安値!S49),12,""))</f>
        <v/>
      </c>
      <c r="M49" s="503" t="str">
        <f>IF(終値!A49="","",IF(AND(安値!R49&lt;安値!Q49,安値!R49&lt;安値!P49,安値!R49&lt;安値!S49,安値!R49&lt;安値!T49),13,""))</f>
        <v/>
      </c>
      <c r="N49" s="503" t="str">
        <f>IF(終値!A49="","",IF(AND(安値!S49&lt;安値!R49,安値!S49&lt;安値!Q49,安値!S49&lt;安値!T49,安値!S49&lt;安値!U49),14,""))</f>
        <v/>
      </c>
      <c r="O49" s="503" t="str">
        <f>IF(終値!A49="","",IF(AND(安値!T49&lt;安値!S49,安値!T49&lt;安値!R49,安値!T49&lt;安値!U49,安値!T49&lt;安値!V49),15,""))</f>
        <v/>
      </c>
      <c r="P49" s="503">
        <f>IF(終値!A49="","",IF(AND(安値!U49&lt;安値!T49,安値!U49&lt;安値!S49,安値!U49&lt;安値!V49,安値!U49&lt;安値!W49),16,""))</f>
        <v>16</v>
      </c>
      <c r="Q49" s="503" t="str">
        <f>IF(終値!A49="","",IF(AND(安値!V49&lt;安値!U49,安値!V49&lt;安値!T49,安値!V49&lt;安値!W49,安値!V49&lt;安値!X49),17,""))</f>
        <v/>
      </c>
      <c r="R49" s="503" t="str">
        <f>IF(終値!A49="","",IF(AND(安値!W49&lt;安値!V49,安値!W49&lt;安値!U49,安値!W49&lt;安値!X49,安値!W49&lt;安値!Y49),18,""))</f>
        <v/>
      </c>
      <c r="S49" s="503" t="str">
        <f>IF(終値!A49="","",IF(AND(安値!X49&lt;安値!W49,安値!X49&lt;安値!V49,安値!X49&lt;安値!Y49,安値!X49&lt;安値!Z49),19,""))</f>
        <v/>
      </c>
      <c r="T49" s="503" t="str">
        <f>IF(終値!A49="","",IF(AND(安値!Y49&lt;安値!X49,安値!Y49&lt;安値!W49,安値!Y49&lt;安値!Z49,安値!Y49&lt;安値!AA49),20,""))</f>
        <v/>
      </c>
      <c r="U49" s="503" t="str">
        <f>IF(終値!A49="","",IF(AND(安値!Z49&lt;安値!Y49,安値!Z49&lt;安値!X49,安値!Z49&lt;安値!AA49,安値!Z49&lt;安値!AB49),21,""))</f>
        <v/>
      </c>
      <c r="V49" s="503" t="str">
        <f>IF(終値!A49="","",IF(AND(安値!AA49&lt;安値!Z49,安値!AA49&lt;安値!Y49,安値!AA49&lt;安値!AB49,安値!AA49&lt;安値!AC49),22,""))</f>
        <v/>
      </c>
      <c r="W49" s="503" t="str">
        <f>IF(終値!A49="","",IF(AND(安値!AB49&lt;安値!AA49,安値!AB49&lt;安値!Z49,安値!AB49&lt;安値!AC49,安値!AB49&lt;安値!AD49),23,""))</f>
        <v/>
      </c>
      <c r="X49" s="503">
        <f>IF(終値!A49="","",IF(AND(安値!AC49&lt;安値!AB49,安値!AC49&lt;安値!AA49,安値!AC49&lt;安値!AD49,安値!AC49&lt;安値!AE49),24,""))</f>
        <v>24</v>
      </c>
      <c r="Y49" s="503" t="str">
        <f>IF(終値!A49="","",IF(AND(安値!AD49&lt;安値!AC49,安値!AD49&lt;安値!AB49,安値!AD49&lt;安値!AE49,安値!AD49&lt;安値!AF49),25,""))</f>
        <v/>
      </c>
      <c r="Z49" s="503" t="str">
        <f>IF(終値!A49="","",IF(AND(安値!AE49&lt;安値!AD49,安値!AE49&lt;安値!AC49,安値!AE49&lt;安値!AF49,安値!AE49&lt;安値!AG49),26,""))</f>
        <v/>
      </c>
      <c r="AA49" s="503" t="str">
        <f>IF(終値!A49="","",IF(AND(安値!AF49&lt;安値!AE49,安値!AF49&lt;安値!AD49,安値!AF49&lt;安値!AG49,安値!AF49&lt;安値!AH49),27,""))</f>
        <v/>
      </c>
      <c r="AB49" s="503" t="str">
        <f>IF(終値!A49="","",IF(AND(安値!AG49&lt;安値!AF49,安値!AG49&lt;安値!AE49,安値!AG49&lt;安値!AH49,安値!AG49&lt;安値!AI49),28,""))</f>
        <v/>
      </c>
      <c r="AC49" s="503" t="str">
        <f>IF(終値!A49="","",IF(AND(高値!G49&gt;高値!F49,高値!G49&gt;高値!E49,高値!G49&gt;高値!H49,高値!G49&gt;高値!I49),2,""))</f>
        <v/>
      </c>
      <c r="AD49" s="503" t="str">
        <f>IF(終値!A49="","",IF(AND(高値!H49&gt;高値!G49,高値!H49&gt;高値!F49,高値!H49&gt;高値!I49,高値!H49&gt;高値!J49),3,""))</f>
        <v/>
      </c>
      <c r="AE49" s="503" t="str">
        <f>IF(終値!A49="","",IF(AND(高値!I49&gt;高値!H49,高値!I49&gt;高値!G49,高値!I49&gt;高値!J49,高値!I49&gt;高値!K49),4,""))</f>
        <v/>
      </c>
      <c r="AF49" s="503" t="str">
        <f>IF(終値!A49="","",IF(AND(高値!J49&gt;高値!I49,高値!J49&gt;高値!H49,高値!J49&gt;高値!K49,高値!J49&gt;高値!L49),5,""))</f>
        <v/>
      </c>
      <c r="AG49" s="503">
        <f>IF(終値!A49="","",IF(AND(高値!K49&gt;高値!J49,高値!K49&gt;高値!I49,高値!K49&gt;高値!L49,高値!K49&gt;高値!M49),6,""))</f>
        <v>6</v>
      </c>
      <c r="AH49" s="503" t="str">
        <f>IF(終値!A49="","",IF(AND(高値!L49&gt;高値!K49,高値!L49&gt;高値!J49,高値!L49&gt;高値!M49,高値!L49&gt;高値!N49),7,""))</f>
        <v/>
      </c>
      <c r="AI49" s="503" t="str">
        <f>IF(終値!A49="","",IF(AND(高値!M49&gt;高値!L49,高値!M49&gt;高値!K49,高値!M49&gt;高値!N49,高値!M49&gt;高値!O49),8,""))</f>
        <v/>
      </c>
      <c r="AJ49" s="503" t="str">
        <f>IF(終値!A49="","",IF(AND(高値!N49&gt;高値!M49,高値!N49&gt;高値!L49,高値!N49&gt;高値!O49,高値!N49&gt;高値!P49),9,""))</f>
        <v/>
      </c>
      <c r="AK49" s="503" t="str">
        <f>IF(終値!A49="","",IF(AND(高値!O49&gt;高値!N49,高値!O49&gt;高値!M49,高値!O49&gt;高値!P49,高値!O49&gt;高値!Q49),10,""))</f>
        <v/>
      </c>
      <c r="AL49" s="503" t="str">
        <f>IF(終値!A49="","",IF(AND(高値!P49&gt;高値!O49,高値!P49&gt;高値!N49,高値!P49&gt;高値!Q49,高値!P49&gt;高値!R49),11,""))</f>
        <v/>
      </c>
      <c r="AM49" s="503">
        <f>IF(終値!A49="","",IF(AND(高値!Q49&gt;高値!P49,高値!Q49&gt;高値!O49,高値!Q49&gt;高値!R49,高値!Q49&gt;高値!S49),12,""))</f>
        <v>12</v>
      </c>
      <c r="AN49" s="503" t="str">
        <f>IF(終値!A49="","",IF(AND(高値!R49&gt;高値!Q49,高値!R49&gt;高値!P49,高値!R49&gt;高値!S49,高値!R49&gt;高値!T49),13,""))</f>
        <v/>
      </c>
      <c r="AO49" s="503" t="str">
        <f>IF(終値!A49="","",IF(AND(高値!S49&gt;高値!R49,高値!S49&gt;高値!Q49,高値!S49&gt;高値!T49,高値!S49&gt;高値!U49),14,""))</f>
        <v/>
      </c>
      <c r="AP49" s="503" t="str">
        <f>IF(終値!A49="","",IF(AND(高値!T49&gt;高値!S49,高値!T49&gt;高値!R49,高値!T49&gt;高値!U49,高値!T49&gt;高値!V49),15,""))</f>
        <v/>
      </c>
      <c r="AQ49" s="503" t="str">
        <f>IF(終値!A49="","",IF(AND(高値!U49&gt;高値!T49,高値!U49&gt;高値!S49,高値!U49&gt;高値!V49,高値!U49&gt;高値!W49),16,""))</f>
        <v/>
      </c>
      <c r="AR49" s="503" t="str">
        <f>IF(終値!A49="","",IF(AND(高値!V49&gt;高値!U49,高値!V49&gt;高値!T49,高値!V49&gt;高値!W49,高値!V49&gt;高値!X49),17,""))</f>
        <v/>
      </c>
      <c r="AS49" s="503" t="str">
        <f>IF(終値!A49="","",IF(AND(高値!W49&gt;高値!V49,高値!W49&gt;高値!U49,高値!W49&gt;高値!X49,高値!W49&gt;高値!Y49),18,""))</f>
        <v/>
      </c>
      <c r="AT49" s="503" t="str">
        <f>IF(終値!A49="","",IF(AND(高値!X49&gt;高値!W49,高値!X49&gt;高値!V49,高値!X49&gt;高値!Y49,高値!X49&gt;高値!Z49),19,""))</f>
        <v/>
      </c>
      <c r="AU49" s="503">
        <f>IF(終値!A49="","",IF(AND(高値!Y49&gt;高値!X49,高値!Y49&gt;高値!W49,高値!Y49&gt;高値!Z49,高値!Y49&gt;高値!AA49),20,""))</f>
        <v>20</v>
      </c>
      <c r="AV49" s="503" t="str">
        <f>IF(終値!A49="","",IF(AND(高値!Z49&gt;高値!Y49,高値!Z49&gt;高値!X49,高値!Z49&gt;高値!AA49,高値!Z49&gt;高値!AB49),21,""))</f>
        <v/>
      </c>
      <c r="AW49" s="503" t="str">
        <f>IF(終値!A49="","",IF(AND(高値!AA49&gt;高値!Z49,高値!AA49&gt;高値!Y49,高値!AA49&gt;高値!AB49,高値!AA49&gt;高値!AC49),22,""))</f>
        <v/>
      </c>
      <c r="AX49" s="503" t="str">
        <f>IF(終値!A49="","",IF(AND(高値!AB49&gt;高値!AA49,高値!AB49&gt;高値!Z49,高値!AB49&gt;高値!AC49,高値!AB49&gt;高値!AD49),23,""))</f>
        <v/>
      </c>
      <c r="AY49" s="503" t="str">
        <f>IF(終値!A49="","",IF(AND(高値!AC49&gt;高値!AB49,高値!AC49&gt;高値!AA49,高値!AC49&gt;高値!AD49,高値!AC49&gt;高値!AE49),24,""))</f>
        <v/>
      </c>
      <c r="AZ49" s="503" t="str">
        <f>IF(終値!A49="","",IF(AND(高値!AD49&gt;高値!AC49,高値!AD49&gt;高値!AB49,高値!AD49&gt;高値!AE49,高値!AD49&gt;高値!AF49),25,""))</f>
        <v/>
      </c>
      <c r="BA49" s="503" t="str">
        <f>IF(終値!A49="","",IF(AND(高値!AE49&gt;高値!AD49,高値!AE49&gt;高値!AC49,高値!AE49&gt;高値!AF49,高値!AE49&gt;高値!AG49),26,""))</f>
        <v/>
      </c>
      <c r="BB49" s="503" t="str">
        <f>IF(終値!A49="","",IF(AND(高値!AF49&gt;高値!AE49,高値!AF49&gt;高値!AD49,高値!AF49&gt;高値!AG49,高値!AF49&gt;高値!AH49),27,""))</f>
        <v/>
      </c>
      <c r="BC49" s="503" t="str">
        <f>IF(終値!A49="","",IF(AND(高値!AG49&gt;高値!AF49,高値!AG49&gt;高値!AE49,高値!AG49&gt;高値!AH49,高値!AG49&gt;高値!AI49),28,""))</f>
        <v/>
      </c>
      <c r="BD49" s="503">
        <f t="shared" si="0"/>
        <v>4</v>
      </c>
      <c r="BE49" s="503">
        <f t="shared" si="1"/>
        <v>4</v>
      </c>
      <c r="BF49" s="503">
        <f t="shared" si="2"/>
        <v>9</v>
      </c>
      <c r="BG49" s="503">
        <f>IF($BE49="","",INDEX(安値!$E49:$CZ49,1,$BE49+1))</f>
        <v>3258</v>
      </c>
      <c r="BH49" s="503">
        <f>IF($BF49="","",INDEX(安値!$E49:$CZ49,1,$BF49+1))</f>
        <v>0</v>
      </c>
      <c r="BI49" s="503">
        <f>IF($BF49="","",MAX(INDEX(高値!$E49:$CZ49,1,$BE49+1):INDEX(高値!$E49:$CZ49,1,$BF49+1)))</f>
        <v>4020</v>
      </c>
      <c r="BJ49" s="503">
        <f>IF($BF49="","",AVERAGE(INDEX(終値!$E49:$CZ49,1,$BF49+1):INDEX(終値!$E49:$CZ49,1,$BF49+20))-2*STDEVP(INDEX(終値!$E49:$CZ49,1,$BF49+1):INDEX(終値!$E49:$CZ49,1,$BF49+20)))</f>
        <v>3640.3346502135737</v>
      </c>
      <c r="BK49" s="503">
        <f>IF($BE49="","",AVERAGE(INDEX(終値!$E49:$CZ49,1,$BE49+1):INDEX(終値!$E49:$CZ49,1,$BE49+20))-2*STDEVP(INDEX(終値!$E49:$CZ49,1,$BE49+1):INDEX(終値!$E49:$CZ49,1,$BE49+20)))</f>
        <v>3535.1134553571164</v>
      </c>
      <c r="BL49" s="503">
        <f t="shared" si="3"/>
        <v>3</v>
      </c>
      <c r="BM49" s="503">
        <f t="shared" si="4"/>
        <v>6</v>
      </c>
      <c r="BN49" s="503">
        <f t="shared" si="5"/>
        <v>12</v>
      </c>
      <c r="BO49" s="503">
        <f>IF($BM49="","",INDEX(高値!$E49:$CZ49,1,$BM49+1))</f>
        <v>4020</v>
      </c>
      <c r="BP49" s="503">
        <f>IF($BN49="","",INDEX(高値!$E49:$CZ49,1,$BN49+1))</f>
        <v>3826</v>
      </c>
      <c r="BQ49" s="503">
        <f>IF($BN49="","",MIN(INDEX(安値!$E49:$CZ49,1,$BM49+1):INDEX(安値!$E49:$CZ49,1,$BN49+1)))</f>
        <v>3748</v>
      </c>
      <c r="BR49" s="503">
        <f>IF($BN49="","",AVERAGE(INDEX(終値!$E49:$CZ49,1,$BN49+1):INDEX(終値!$E49:$CZ49,1,$BN49+20))+2*STDEVP(INDEX(終値!$E49:$CZ49,1,$BN49+1):INDEX(終値!$E49:$CZ49,1,$BN49+20)))</f>
        <v>3879.8999629355026</v>
      </c>
      <c r="BS49" s="503">
        <f>IF($BM49="","",AVERAGE(INDEX(終値!$E49:$CZ49,1,$BM49+1):INDEX(終値!$E49:$CZ49,1,$BM49+20))+2*STDEVP(INDEX(終値!$E49:$CZ49,1,$BM49+1):INDEX(終値!$E49:$CZ49,1,$BM49+20)))</f>
        <v>3958.7608106211778</v>
      </c>
      <c r="BT49" s="500"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3" t="str">
        <f>IF(終値!A50="","",IF(AND(安値!G50&lt;安値!F50,安値!G50&lt;安値!E50,安値!G50&lt;安値!H50,安値!G50&lt;安値!I50),2,""))</f>
        <v/>
      </c>
      <c r="C50" s="503">
        <f>IF(終値!A50="","",IF(AND(安値!H50&lt;安値!G50,安値!H50&lt;安値!F50,安値!H50&lt;安値!I50,安値!H50&lt;安値!J50),3,""))</f>
        <v>3</v>
      </c>
      <c r="D50" s="503" t="str">
        <f>IF(終値!A50="","",IF(AND(安値!I50&lt;安値!H50,安値!I50&lt;安値!G50,安値!I50&lt;安値!J50,安値!I50&lt;安値!K50),4,""))</f>
        <v/>
      </c>
      <c r="E50" s="503" t="str">
        <f>IF(終値!A50="","",IF(AND(安値!J50&lt;安値!I50,安値!J50&lt;安値!H50,安値!J50&lt;安値!K50,安値!J50&lt;安値!L50),5,""))</f>
        <v/>
      </c>
      <c r="F50" s="503" t="str">
        <f>IF(終値!A50="","",IF(AND(安値!K50&lt;安値!J50,安値!K50&lt;安値!I50,安値!K50&lt;安値!L50,安値!K50&lt;安値!M50),6,""))</f>
        <v/>
      </c>
      <c r="G50" s="503" t="str">
        <f>IF(終値!A50="","",IF(AND(安値!L50&lt;安値!K50,安値!L50&lt;安値!J50,安値!L50&lt;安値!M50,安値!L50&lt;安値!N50),7,""))</f>
        <v/>
      </c>
      <c r="H50" s="503" t="str">
        <f>IF(終値!A50="","",IF(AND(安値!M50&lt;安値!L50,安値!M50&lt;安値!K50,安値!M50&lt;安値!N50,安値!M50&lt;安値!O50),8,""))</f>
        <v/>
      </c>
      <c r="I50" s="503" t="str">
        <f>IF(終値!A50="","",IF(AND(安値!N50&lt;安値!M50,安値!N50&lt;安値!L50,安値!N50&lt;安値!O50,安値!N50&lt;安値!P50),9,""))</f>
        <v/>
      </c>
      <c r="J50" s="503" t="str">
        <f>IF(終値!A50="","",IF(AND(安値!O50&lt;安値!N50,安値!O50&lt;安値!M50,安値!O50&lt;安値!P50,安値!O50&lt;安値!Q50),10,""))</f>
        <v/>
      </c>
      <c r="K50" s="503" t="str">
        <f>IF(終値!A50="","",IF(AND(安値!P50&lt;安値!O50,安値!P50&lt;安値!N50,安値!P50&lt;安値!Q50,安値!P50&lt;安値!R50),11,""))</f>
        <v/>
      </c>
      <c r="L50" s="503" t="str">
        <f>IF(終値!A50="","",IF(AND(安値!Q50&lt;安値!P50,安値!Q50&lt;安値!O50,安値!Q50&lt;安値!R50,安値!Q50&lt;安値!S50),12,""))</f>
        <v/>
      </c>
      <c r="M50" s="503">
        <f>IF(終値!A50="","",IF(AND(安値!R50&lt;安値!Q50,安値!R50&lt;安値!P50,安値!R50&lt;安値!S50,安値!R50&lt;安値!T50),13,""))</f>
        <v>13</v>
      </c>
      <c r="N50" s="503" t="str">
        <f>IF(終値!A50="","",IF(AND(安値!S50&lt;安値!R50,安値!S50&lt;安値!Q50,安値!S50&lt;安値!T50,安値!S50&lt;安値!U50),14,""))</f>
        <v/>
      </c>
      <c r="O50" s="503" t="str">
        <f>IF(終値!A50="","",IF(AND(安値!T50&lt;安値!S50,安値!T50&lt;安値!R50,安値!T50&lt;安値!U50,安値!T50&lt;安値!V50),15,""))</f>
        <v/>
      </c>
      <c r="P50" s="503" t="str">
        <f>IF(終値!A50="","",IF(AND(安値!U50&lt;安値!T50,安値!U50&lt;安値!S50,安値!U50&lt;安値!V50,安値!U50&lt;安値!W50),16,""))</f>
        <v/>
      </c>
      <c r="Q50" s="503" t="str">
        <f>IF(終値!A50="","",IF(AND(安値!V50&lt;安値!U50,安値!V50&lt;安値!T50,安値!V50&lt;安値!W50,安値!V50&lt;安値!X50),17,""))</f>
        <v/>
      </c>
      <c r="R50" s="503">
        <f>IF(終値!A50="","",IF(AND(安値!W50&lt;安値!V50,安値!W50&lt;安値!U50,安値!W50&lt;安値!X50,安値!W50&lt;安値!Y50),18,""))</f>
        <v>18</v>
      </c>
      <c r="S50" s="503" t="str">
        <f>IF(終値!A50="","",IF(AND(安値!X50&lt;安値!W50,安値!X50&lt;安値!V50,安値!X50&lt;安値!Y50,安値!X50&lt;安値!Z50),19,""))</f>
        <v/>
      </c>
      <c r="T50" s="503" t="str">
        <f>IF(終値!A50="","",IF(AND(安値!Y50&lt;安値!X50,安値!Y50&lt;安値!W50,安値!Y50&lt;安値!Z50,安値!Y50&lt;安値!AA50),20,""))</f>
        <v/>
      </c>
      <c r="U50" s="503" t="str">
        <f>IF(終値!A50="","",IF(AND(安値!Z50&lt;安値!Y50,安値!Z50&lt;安値!X50,安値!Z50&lt;安値!AA50,安値!Z50&lt;安値!AB50),21,""))</f>
        <v/>
      </c>
      <c r="V50" s="503" t="str">
        <f>IF(終値!A50="","",IF(AND(安値!AA50&lt;安値!Z50,安値!AA50&lt;安値!Y50,安値!AA50&lt;安値!AB50,安値!AA50&lt;安値!AC50),22,""))</f>
        <v/>
      </c>
      <c r="W50" s="503" t="str">
        <f>IF(終値!A50="","",IF(AND(安値!AB50&lt;安値!AA50,安値!AB50&lt;安値!Z50,安値!AB50&lt;安値!AC50,安値!AB50&lt;安値!AD50),23,""))</f>
        <v/>
      </c>
      <c r="X50" s="503" t="str">
        <f>IF(終値!A50="","",IF(AND(安値!AC50&lt;安値!AB50,安値!AC50&lt;安値!AA50,安値!AC50&lt;安値!AD50,安値!AC50&lt;安値!AE50),24,""))</f>
        <v/>
      </c>
      <c r="Y50" s="503" t="str">
        <f>IF(終値!A50="","",IF(AND(安値!AD50&lt;安値!AC50,安値!AD50&lt;安値!AB50,安値!AD50&lt;安値!AE50,安値!AD50&lt;安値!AF50),25,""))</f>
        <v/>
      </c>
      <c r="Z50" s="503">
        <f>IF(終値!A50="","",IF(AND(安値!AE50&lt;安値!AD50,安値!AE50&lt;安値!AC50,安値!AE50&lt;安値!AF50,安値!AE50&lt;安値!AG50),26,""))</f>
        <v>26</v>
      </c>
      <c r="AA50" s="503" t="str">
        <f>IF(終値!A50="","",IF(AND(安値!AF50&lt;安値!AE50,安値!AF50&lt;安値!AD50,安値!AF50&lt;安値!AG50,安値!AF50&lt;安値!AH50),27,""))</f>
        <v/>
      </c>
      <c r="AB50" s="503" t="str">
        <f>IF(終値!A50="","",IF(AND(安値!AG50&lt;安値!AF50,安値!AG50&lt;安値!AE50,安値!AG50&lt;安値!AH50,安値!AG50&lt;安値!AI50),28,""))</f>
        <v/>
      </c>
      <c r="AC50" s="503" t="str">
        <f>IF(終値!A50="","",IF(AND(高値!G50&gt;高値!F50,高値!G50&gt;高値!E50,高値!G50&gt;高値!H50,高値!G50&gt;高値!I50),2,""))</f>
        <v/>
      </c>
      <c r="AD50" s="503" t="str">
        <f>IF(終値!A50="","",IF(AND(高値!H50&gt;高値!G50,高値!H50&gt;高値!F50,高値!H50&gt;高値!I50,高値!H50&gt;高値!J50),3,""))</f>
        <v/>
      </c>
      <c r="AE50" s="503" t="str">
        <f>IF(終値!A50="","",IF(AND(高値!I50&gt;高値!H50,高値!I50&gt;高値!G50,高値!I50&gt;高値!J50,高値!I50&gt;高値!K50),4,""))</f>
        <v/>
      </c>
      <c r="AF50" s="503" t="str">
        <f>IF(終値!A50="","",IF(AND(高値!J50&gt;高値!I50,高値!J50&gt;高値!H50,高値!J50&gt;高値!K50,高値!J50&gt;高値!L50),5,""))</f>
        <v/>
      </c>
      <c r="AG50" s="503" t="str">
        <f>IF(終値!A50="","",IF(AND(高値!K50&gt;高値!J50,高値!K50&gt;高値!I50,高値!K50&gt;高値!L50,高値!K50&gt;高値!M50),6,""))</f>
        <v/>
      </c>
      <c r="AH50" s="503" t="str">
        <f>IF(終値!A50="","",IF(AND(高値!L50&gt;高値!K50,高値!L50&gt;高値!J50,高値!L50&gt;高値!M50,高値!L50&gt;高値!N50),7,""))</f>
        <v/>
      </c>
      <c r="AI50" s="503">
        <f>IF(終値!A50="","",IF(AND(高値!M50&gt;高値!L50,高値!M50&gt;高値!K50,高値!M50&gt;高値!N50,高値!M50&gt;高値!O50),8,""))</f>
        <v>8</v>
      </c>
      <c r="AJ50" s="503" t="str">
        <f>IF(終値!A50="","",IF(AND(高値!N50&gt;高値!M50,高値!N50&gt;高値!L50,高値!N50&gt;高値!O50,高値!N50&gt;高値!P50),9,""))</f>
        <v/>
      </c>
      <c r="AK50" s="503" t="str">
        <f>IF(終値!A50="","",IF(AND(高値!O50&gt;高値!N50,高値!O50&gt;高値!M50,高値!O50&gt;高値!P50,高値!O50&gt;高値!Q50),10,""))</f>
        <v/>
      </c>
      <c r="AL50" s="503" t="str">
        <f>IF(終値!A50="","",IF(AND(高値!P50&gt;高値!O50,高値!P50&gt;高値!N50,高値!P50&gt;高値!Q50,高値!P50&gt;高値!R50),11,""))</f>
        <v/>
      </c>
      <c r="AM50" s="503" t="str">
        <f>IF(終値!A50="","",IF(AND(高値!Q50&gt;高値!P50,高値!Q50&gt;高値!O50,高値!Q50&gt;高値!R50,高値!Q50&gt;高値!S50),12,""))</f>
        <v/>
      </c>
      <c r="AN50" s="503" t="str">
        <f>IF(終値!A50="","",IF(AND(高値!R50&gt;高値!Q50,高値!R50&gt;高値!P50,高値!R50&gt;高値!S50,高値!R50&gt;高値!T50),13,""))</f>
        <v/>
      </c>
      <c r="AO50" s="503">
        <f>IF(終値!A50="","",IF(AND(高値!S50&gt;高値!R50,高値!S50&gt;高値!Q50,高値!S50&gt;高値!T50,高値!S50&gt;高値!U50),14,""))</f>
        <v>14</v>
      </c>
      <c r="AP50" s="503" t="str">
        <f>IF(終値!A50="","",IF(AND(高値!T50&gt;高値!S50,高値!T50&gt;高値!R50,高値!T50&gt;高値!U50,高値!T50&gt;高値!V50),15,""))</f>
        <v/>
      </c>
      <c r="AQ50" s="503" t="str">
        <f>IF(終値!A50="","",IF(AND(高値!U50&gt;高値!T50,高値!U50&gt;高値!S50,高値!U50&gt;高値!V50,高値!U50&gt;高値!W50),16,""))</f>
        <v/>
      </c>
      <c r="AR50" s="503" t="str">
        <f>IF(終値!A50="","",IF(AND(高値!V50&gt;高値!U50,高値!V50&gt;高値!T50,高値!V50&gt;高値!W50,高値!V50&gt;高値!X50),17,""))</f>
        <v/>
      </c>
      <c r="AS50" s="503" t="str">
        <f>IF(終値!A50="","",IF(AND(高値!W50&gt;高値!V50,高値!W50&gt;高値!U50,高値!W50&gt;高値!X50,高値!W50&gt;高値!Y50),18,""))</f>
        <v/>
      </c>
      <c r="AT50" s="503" t="str">
        <f>IF(終値!A50="","",IF(AND(高値!X50&gt;高値!W50,高値!X50&gt;高値!V50,高値!X50&gt;高値!Y50,高値!X50&gt;高値!Z50),19,""))</f>
        <v/>
      </c>
      <c r="AU50" s="503">
        <f>IF(終値!A50="","",IF(AND(高値!Y50&gt;高値!X50,高値!Y50&gt;高値!W50,高値!Y50&gt;高値!Z50,高値!Y50&gt;高値!AA50),20,""))</f>
        <v>20</v>
      </c>
      <c r="AV50" s="503" t="str">
        <f>IF(終値!A50="","",IF(AND(高値!Z50&gt;高値!Y50,高値!Z50&gt;高値!X50,高値!Z50&gt;高値!AA50,高値!Z50&gt;高値!AB50),21,""))</f>
        <v/>
      </c>
      <c r="AW50" s="503" t="str">
        <f>IF(終値!A50="","",IF(AND(高値!AA50&gt;高値!Z50,高値!AA50&gt;高値!Y50,高値!AA50&gt;高値!AB50,高値!AA50&gt;高値!AC50),22,""))</f>
        <v/>
      </c>
      <c r="AX50" s="503" t="str">
        <f>IF(終値!A50="","",IF(AND(高値!AB50&gt;高値!AA50,高値!AB50&gt;高値!Z50,高値!AB50&gt;高値!AC50,高値!AB50&gt;高値!AD50),23,""))</f>
        <v/>
      </c>
      <c r="AY50" s="503" t="str">
        <f>IF(終値!A50="","",IF(AND(高値!AC50&gt;高値!AB50,高値!AC50&gt;高値!AA50,高値!AC50&gt;高値!AD50,高値!AC50&gt;高値!AE50),24,""))</f>
        <v/>
      </c>
      <c r="AZ50" s="503" t="str">
        <f>IF(終値!A50="","",IF(AND(高値!AD50&gt;高値!AC50,高値!AD50&gt;高値!AB50,高値!AD50&gt;高値!AE50,高値!AD50&gt;高値!AF50),25,""))</f>
        <v/>
      </c>
      <c r="BA50" s="503" t="str">
        <f>IF(終値!A50="","",IF(AND(高値!AE50&gt;高値!AD50,高値!AE50&gt;高値!AC50,高値!AE50&gt;高値!AF50,高値!AE50&gt;高値!AG50),26,""))</f>
        <v/>
      </c>
      <c r="BB50" s="503" t="str">
        <f>IF(終値!A50="","",IF(AND(高値!AF50&gt;高値!AE50,高値!AF50&gt;高値!AD50,高値!AF50&gt;高値!AG50,高値!AF50&gt;高値!AH50),27,""))</f>
        <v/>
      </c>
      <c r="BC50" s="503" t="str">
        <f>IF(終値!A50="","",IF(AND(高値!AG50&gt;高値!AF50,高値!AG50&gt;高値!AE50,高値!AG50&gt;高値!AH50,高値!AG50&gt;高値!AI50),28,""))</f>
        <v/>
      </c>
      <c r="BD50" s="503">
        <f t="shared" si="0"/>
        <v>4</v>
      </c>
      <c r="BE50" s="503">
        <f t="shared" si="1"/>
        <v>3</v>
      </c>
      <c r="BF50" s="503">
        <f t="shared" si="2"/>
        <v>13</v>
      </c>
      <c r="BG50" s="503">
        <f>IF($BE50="","",INDEX(安値!$E50:$CZ50,1,$BE50+1))</f>
        <v>6420</v>
      </c>
      <c r="BH50" s="503">
        <f>IF($BF50="","",INDEX(安値!$E50:$CZ50,1,$BF50+1))</f>
        <v>6576</v>
      </c>
      <c r="BI50" s="503">
        <f>IF($BF50="","",MAX(INDEX(高値!$E50:$CZ50,1,$BE50+1):INDEX(高値!$E50:$CZ50,1,$BF50+1)))</f>
        <v>7260</v>
      </c>
      <c r="BJ50" s="503">
        <f>IF($BF50="","",AVERAGE(INDEX(終値!$E50:$CZ50,1,$BF50+1):INDEX(終値!$E50:$CZ50,1,$BF50+20))-2*STDEVP(INDEX(終値!$E50:$CZ50,1,$BF50+1):INDEX(終値!$E50:$CZ50,1,$BF50+20)))</f>
        <v>6175.5387614065121</v>
      </c>
      <c r="BK50" s="503">
        <f>IF($BE50="","",AVERAGE(INDEX(終値!$E50:$CZ50,1,$BE50+1):INDEX(終値!$E50:$CZ50,1,$BE50+20))-2*STDEVP(INDEX(終値!$E50:$CZ50,1,$BE50+1):INDEX(終値!$E50:$CZ50,1,$BE50+20)))</f>
        <v>6551.8107372537552</v>
      </c>
      <c r="BL50" s="503">
        <f t="shared" si="3"/>
        <v>3</v>
      </c>
      <c r="BM50" s="503">
        <f t="shared" si="4"/>
        <v>8</v>
      </c>
      <c r="BN50" s="503">
        <f t="shared" si="5"/>
        <v>14</v>
      </c>
      <c r="BO50" s="503">
        <f>IF($BM50="","",INDEX(高値!$E50:$CZ50,1,$BM50+1))</f>
        <v>7260</v>
      </c>
      <c r="BP50" s="503">
        <f>IF($BN50="","",INDEX(高値!$E50:$CZ50,1,$BN50+1))</f>
        <v>7137</v>
      </c>
      <c r="BQ50" s="503">
        <f>IF($BN50="","",MIN(INDEX(安値!$E50:$CZ50,1,$BM50+1):INDEX(安値!$E50:$CZ50,1,$BN50+1)))</f>
        <v>6576</v>
      </c>
      <c r="BR50" s="503">
        <f>IF($BN50="","",AVERAGE(INDEX(終値!$E50:$CZ50,1,$BN50+1):INDEX(終値!$E50:$CZ50,1,$BN50+20))+2*STDEVP(INDEX(終値!$E50:$CZ50,1,$BN50+1):INDEX(終値!$E50:$CZ50,1,$BN50+20)))</f>
        <v>7107.760554005592</v>
      </c>
      <c r="BS50" s="503">
        <f>IF($BM50="","",AVERAGE(INDEX(終値!$E50:$CZ50,1,$BM50+1):INDEX(終値!$E50:$CZ50,1,$BM50+20))+2*STDEVP(INDEX(終値!$E50:$CZ50,1,$BM50+1):INDEX(終値!$E50:$CZ50,1,$BM50+20)))</f>
        <v>7347.771901070033</v>
      </c>
      <c r="BT50" s="500"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3" t="str">
        <f>IF(終値!A51="","",IF(AND(安値!G51&lt;安値!F51,安値!G51&lt;安値!E51,安値!G51&lt;安値!H51,安値!G51&lt;安値!I51),2,""))</f>
        <v/>
      </c>
      <c r="C51" s="503">
        <f>IF(終値!A51="","",IF(AND(安値!H51&lt;安値!G51,安値!H51&lt;安値!F51,安値!H51&lt;安値!I51,安値!H51&lt;安値!J51),3,""))</f>
        <v>3</v>
      </c>
      <c r="D51" s="503" t="str">
        <f>IF(終値!A51="","",IF(AND(安値!I51&lt;安値!H51,安値!I51&lt;安値!G51,安値!I51&lt;安値!J51,安値!I51&lt;安値!K51),4,""))</f>
        <v/>
      </c>
      <c r="E51" s="503" t="str">
        <f>IF(終値!A51="","",IF(AND(安値!J51&lt;安値!I51,安値!J51&lt;安値!H51,安値!J51&lt;安値!K51,安値!J51&lt;安値!L51),5,""))</f>
        <v/>
      </c>
      <c r="F51" s="503" t="str">
        <f>IF(終値!A51="","",IF(AND(安値!K51&lt;安値!J51,安値!K51&lt;安値!I51,安値!K51&lt;安値!L51,安値!K51&lt;安値!M51),6,""))</f>
        <v/>
      </c>
      <c r="G51" s="503" t="str">
        <f>IF(終値!A51="","",IF(AND(安値!L51&lt;安値!K51,安値!L51&lt;安値!J51,安値!L51&lt;安値!M51,安値!L51&lt;安値!N51),7,""))</f>
        <v/>
      </c>
      <c r="H51" s="503" t="str">
        <f>IF(終値!A51="","",IF(AND(安値!M51&lt;安値!L51,安値!M51&lt;安値!K51,安値!M51&lt;安値!N51,安値!M51&lt;安値!O51),8,""))</f>
        <v/>
      </c>
      <c r="I51" s="503" t="str">
        <f>IF(終値!A51="","",IF(AND(安値!N51&lt;安値!M51,安値!N51&lt;安値!L51,安値!N51&lt;安値!O51,安値!N51&lt;安値!P51),9,""))</f>
        <v/>
      </c>
      <c r="J51" s="503" t="str">
        <f>IF(終値!A51="","",IF(AND(安値!O51&lt;安値!N51,安値!O51&lt;安値!M51,安値!O51&lt;安値!P51,安値!O51&lt;安値!Q51),10,""))</f>
        <v/>
      </c>
      <c r="K51" s="503" t="str">
        <f>IF(終値!A51="","",IF(AND(安値!P51&lt;安値!O51,安値!P51&lt;安値!N51,安値!P51&lt;安値!Q51,安値!P51&lt;安値!R51),11,""))</f>
        <v/>
      </c>
      <c r="L51" s="503" t="str">
        <f>IF(終値!A51="","",IF(AND(安値!Q51&lt;安値!P51,安値!Q51&lt;安値!O51,安値!Q51&lt;安値!R51,安値!Q51&lt;安値!S51),12,""))</f>
        <v/>
      </c>
      <c r="M51" s="503" t="str">
        <f>IF(終値!A51="","",IF(AND(安値!R51&lt;安値!Q51,安値!R51&lt;安値!P51,安値!R51&lt;安値!S51,安値!R51&lt;安値!T51),13,""))</f>
        <v/>
      </c>
      <c r="N51" s="503">
        <f>IF(終値!A51="","",IF(AND(安値!S51&lt;安値!R51,安値!S51&lt;安値!Q51,安値!S51&lt;安値!T51,安値!S51&lt;安値!U51),14,""))</f>
        <v>14</v>
      </c>
      <c r="O51" s="503" t="str">
        <f>IF(終値!A51="","",IF(AND(安値!T51&lt;安値!S51,安値!T51&lt;安値!R51,安値!T51&lt;安値!U51,安値!T51&lt;安値!V51),15,""))</f>
        <v/>
      </c>
      <c r="P51" s="503" t="str">
        <f>IF(終値!A51="","",IF(AND(安値!U51&lt;安値!T51,安値!U51&lt;安値!S51,安値!U51&lt;安値!V51,安値!U51&lt;安値!W51),16,""))</f>
        <v/>
      </c>
      <c r="Q51" s="503" t="str">
        <f>IF(終値!A51="","",IF(AND(安値!V51&lt;安値!U51,安値!V51&lt;安値!T51,安値!V51&lt;安値!W51,安値!V51&lt;安値!X51),17,""))</f>
        <v/>
      </c>
      <c r="R51" s="503" t="str">
        <f>IF(終値!A51="","",IF(AND(安値!W51&lt;安値!V51,安値!W51&lt;安値!U51,安値!W51&lt;安値!X51,安値!W51&lt;安値!Y51),18,""))</f>
        <v/>
      </c>
      <c r="S51" s="503" t="str">
        <f>IF(終値!A51="","",IF(AND(安値!X51&lt;安値!W51,安値!X51&lt;安値!V51,安値!X51&lt;安値!Y51,安値!X51&lt;安値!Z51),19,""))</f>
        <v/>
      </c>
      <c r="T51" s="503" t="str">
        <f>IF(終値!A51="","",IF(AND(安値!Y51&lt;安値!X51,安値!Y51&lt;安値!W51,安値!Y51&lt;安値!Z51,安値!Y51&lt;安値!AA51),20,""))</f>
        <v/>
      </c>
      <c r="U51" s="503" t="str">
        <f>IF(終値!A51="","",IF(AND(安値!Z51&lt;安値!Y51,安値!Z51&lt;安値!X51,安値!Z51&lt;安値!AA51,安値!Z51&lt;安値!AB51),21,""))</f>
        <v/>
      </c>
      <c r="V51" s="503" t="str">
        <f>IF(終値!A51="","",IF(AND(安値!AA51&lt;安値!Z51,安値!AA51&lt;安値!Y51,安値!AA51&lt;安値!AB51,安値!AA51&lt;安値!AC51),22,""))</f>
        <v/>
      </c>
      <c r="W51" s="503" t="str">
        <f>IF(終値!A51="","",IF(AND(安値!AB51&lt;安値!AA51,安値!AB51&lt;安値!Z51,安値!AB51&lt;安値!AC51,安値!AB51&lt;安値!AD51),23,""))</f>
        <v/>
      </c>
      <c r="X51" s="503">
        <f>IF(終値!A51="","",IF(AND(安値!AC51&lt;安値!AB51,安値!AC51&lt;安値!AA51,安値!AC51&lt;安値!AD51,安値!AC51&lt;安値!AE51),24,""))</f>
        <v>24</v>
      </c>
      <c r="Y51" s="503" t="str">
        <f>IF(終値!A51="","",IF(AND(安値!AD51&lt;安値!AC51,安値!AD51&lt;安値!AB51,安値!AD51&lt;安値!AE51,安値!AD51&lt;安値!AF51),25,""))</f>
        <v/>
      </c>
      <c r="Z51" s="503" t="str">
        <f>IF(終値!A51="","",IF(AND(安値!AE51&lt;安値!AD51,安値!AE51&lt;安値!AC51,安値!AE51&lt;安値!AF51,安値!AE51&lt;安値!AG51),26,""))</f>
        <v/>
      </c>
      <c r="AA51" s="503" t="str">
        <f>IF(終値!A51="","",IF(AND(安値!AF51&lt;安値!AE51,安値!AF51&lt;安値!AD51,安値!AF51&lt;安値!AG51,安値!AF51&lt;安値!AH51),27,""))</f>
        <v/>
      </c>
      <c r="AB51" s="503" t="str">
        <f>IF(終値!A51="","",IF(AND(安値!AG51&lt;安値!AF51,安値!AG51&lt;安値!AE51,安値!AG51&lt;安値!AH51,安値!AG51&lt;安値!AI51),28,""))</f>
        <v/>
      </c>
      <c r="AC51" s="503" t="str">
        <f>IF(終値!A51="","",IF(AND(高値!G51&gt;高値!F51,高値!G51&gt;高値!E51,高値!G51&gt;高値!H51,高値!G51&gt;高値!I51),2,""))</f>
        <v/>
      </c>
      <c r="AD51" s="503" t="str">
        <f>IF(終値!A51="","",IF(AND(高値!H51&gt;高値!G51,高値!H51&gt;高値!F51,高値!H51&gt;高値!I51,高値!H51&gt;高値!J51),3,""))</f>
        <v/>
      </c>
      <c r="AE51" s="503" t="str">
        <f>IF(終値!A51="","",IF(AND(高値!I51&gt;高値!H51,高値!I51&gt;高値!G51,高値!I51&gt;高値!J51,高値!I51&gt;高値!K51),4,""))</f>
        <v/>
      </c>
      <c r="AF51" s="503">
        <f>IF(終値!A51="","",IF(AND(高値!J51&gt;高値!I51,高値!J51&gt;高値!H51,高値!J51&gt;高値!K51,高値!J51&gt;高値!L51),5,""))</f>
        <v>5</v>
      </c>
      <c r="AG51" s="503" t="str">
        <f>IF(終値!A51="","",IF(AND(高値!K51&gt;高値!J51,高値!K51&gt;高値!I51,高値!K51&gt;高値!L51,高値!K51&gt;高値!M51),6,""))</f>
        <v/>
      </c>
      <c r="AH51" s="503" t="str">
        <f>IF(終値!A51="","",IF(AND(高値!L51&gt;高値!K51,高値!L51&gt;高値!J51,高値!L51&gt;高値!M51,高値!L51&gt;高値!N51),7,""))</f>
        <v/>
      </c>
      <c r="AI51" s="503" t="str">
        <f>IF(終値!A51="","",IF(AND(高値!M51&gt;高値!L51,高値!M51&gt;高値!K51,高値!M51&gt;高値!N51,高値!M51&gt;高値!O51),8,""))</f>
        <v/>
      </c>
      <c r="AJ51" s="503" t="str">
        <f>IF(終値!A51="","",IF(AND(高値!N51&gt;高値!M51,高値!N51&gt;高値!L51,高値!N51&gt;高値!O51,高値!N51&gt;高値!P51),9,""))</f>
        <v/>
      </c>
      <c r="AK51" s="503" t="str">
        <f>IF(終値!A51="","",IF(AND(高値!O51&gt;高値!N51,高値!O51&gt;高値!M51,高値!O51&gt;高値!P51,高値!O51&gt;高値!Q51),10,""))</f>
        <v/>
      </c>
      <c r="AL51" s="503" t="str">
        <f>IF(終値!A51="","",IF(AND(高値!P51&gt;高値!O51,高値!P51&gt;高値!N51,高値!P51&gt;高値!Q51,高値!P51&gt;高値!R51),11,""))</f>
        <v/>
      </c>
      <c r="AM51" s="503" t="str">
        <f>IF(終値!A51="","",IF(AND(高値!Q51&gt;高値!P51,高値!Q51&gt;高値!O51,高値!Q51&gt;高値!R51,高値!Q51&gt;高値!S51),12,""))</f>
        <v/>
      </c>
      <c r="AN51" s="503" t="str">
        <f>IF(終値!A51="","",IF(AND(高値!R51&gt;高値!Q51,高値!R51&gt;高値!P51,高値!R51&gt;高値!S51,高値!R51&gt;高値!T51),13,""))</f>
        <v/>
      </c>
      <c r="AO51" s="503" t="str">
        <f>IF(終値!A51="","",IF(AND(高値!S51&gt;高値!R51,高値!S51&gt;高値!Q51,高値!S51&gt;高値!T51,高値!S51&gt;高値!U51),14,""))</f>
        <v/>
      </c>
      <c r="AP51" s="503" t="str">
        <f>IF(終値!A51="","",IF(AND(高値!T51&gt;高値!S51,高値!T51&gt;高値!R51,高値!T51&gt;高値!U51,高値!T51&gt;高値!V51),15,""))</f>
        <v/>
      </c>
      <c r="AQ51" s="503">
        <f>IF(終値!A51="","",IF(AND(高値!U51&gt;高値!T51,高値!U51&gt;高値!S51,高値!U51&gt;高値!V51,高値!U51&gt;高値!W51),16,""))</f>
        <v>16</v>
      </c>
      <c r="AR51" s="503" t="str">
        <f>IF(終値!A51="","",IF(AND(高値!V51&gt;高値!U51,高値!V51&gt;高値!T51,高値!V51&gt;高値!W51,高値!V51&gt;高値!X51),17,""))</f>
        <v/>
      </c>
      <c r="AS51" s="503" t="str">
        <f>IF(終値!A51="","",IF(AND(高値!W51&gt;高値!V51,高値!W51&gt;高値!U51,高値!W51&gt;高値!X51,高値!W51&gt;高値!Y51),18,""))</f>
        <v/>
      </c>
      <c r="AT51" s="503">
        <f>IF(終値!A51="","",IF(AND(高値!X51&gt;高値!W51,高値!X51&gt;高値!V51,高値!X51&gt;高値!Y51,高値!X51&gt;高値!Z51),19,""))</f>
        <v>19</v>
      </c>
      <c r="AU51" s="503" t="str">
        <f>IF(終値!A51="","",IF(AND(高値!Y51&gt;高値!X51,高値!Y51&gt;高値!W51,高値!Y51&gt;高値!Z51,高値!Y51&gt;高値!AA51),20,""))</f>
        <v/>
      </c>
      <c r="AV51" s="503" t="str">
        <f>IF(終値!A51="","",IF(AND(高値!Z51&gt;高値!Y51,高値!Z51&gt;高値!X51,高値!Z51&gt;高値!AA51,高値!Z51&gt;高値!AB51),21,""))</f>
        <v/>
      </c>
      <c r="AW51" s="503" t="str">
        <f>IF(終値!A51="","",IF(AND(高値!AA51&gt;高値!Z51,高値!AA51&gt;高値!Y51,高値!AA51&gt;高値!AB51,高値!AA51&gt;高値!AC51),22,""))</f>
        <v/>
      </c>
      <c r="AX51" s="503" t="str">
        <f>IF(終値!A51="","",IF(AND(高値!AB51&gt;高値!AA51,高値!AB51&gt;高値!Z51,高値!AB51&gt;高値!AC51,高値!AB51&gt;高値!AD51),23,""))</f>
        <v/>
      </c>
      <c r="AY51" s="503" t="str">
        <f>IF(終値!A51="","",IF(AND(高値!AC51&gt;高値!AB51,高値!AC51&gt;高値!AA51,高値!AC51&gt;高値!AD51,高値!AC51&gt;高値!AE51),24,""))</f>
        <v/>
      </c>
      <c r="AZ51" s="503">
        <f>IF(終値!A51="","",IF(AND(高値!AD51&gt;高値!AC51,高値!AD51&gt;高値!AB51,高値!AD51&gt;高値!AE51,高値!AD51&gt;高値!AF51),25,""))</f>
        <v>25</v>
      </c>
      <c r="BA51" s="503" t="str">
        <f>IF(終値!A51="","",IF(AND(高値!AE51&gt;高値!AD51,高値!AE51&gt;高値!AC51,高値!AE51&gt;高値!AF51,高値!AE51&gt;高値!AG51),26,""))</f>
        <v/>
      </c>
      <c r="BB51" s="503" t="str">
        <f>IF(終値!A51="","",IF(AND(高値!AF51&gt;高値!AE51,高値!AF51&gt;高値!AD51,高値!AF51&gt;高値!AG51,高値!AF51&gt;高値!AH51),27,""))</f>
        <v/>
      </c>
      <c r="BC51" s="503" t="str">
        <f>IF(終値!A51="","",IF(AND(高値!AG51&gt;高値!AF51,高値!AG51&gt;高値!AE51,高値!AG51&gt;高値!AH51,高値!AG51&gt;高値!AI51),28,""))</f>
        <v/>
      </c>
      <c r="BD51" s="503">
        <f t="shared" si="0"/>
        <v>3</v>
      </c>
      <c r="BE51" s="503">
        <f t="shared" si="1"/>
        <v>3</v>
      </c>
      <c r="BF51" s="503">
        <f t="shared" si="2"/>
        <v>14</v>
      </c>
      <c r="BG51" s="503">
        <f>IF($BE51="","",INDEX(安値!$E51:$CZ51,1,$BE51+1))</f>
        <v>2314</v>
      </c>
      <c r="BH51" s="503">
        <f>IF($BF51="","",INDEX(安値!$E51:$CZ51,1,$BF51+1))</f>
        <v>2471</v>
      </c>
      <c r="BI51" s="503">
        <f>IF($BF51="","",MAX(INDEX(高値!$E51:$CZ51,1,$BE51+1):INDEX(高値!$E51:$CZ51,1,$BF51+1)))</f>
        <v>2925</v>
      </c>
      <c r="BJ51" s="503">
        <f>IF($BF51="","",AVERAGE(INDEX(終値!$E51:$CZ51,1,$BF51+1):INDEX(終値!$E51:$CZ51,1,$BF51+20))-2*STDEVP(INDEX(終値!$E51:$CZ51,1,$BF51+1):INDEX(終値!$E51:$CZ51,1,$BF51+20)))</f>
        <v>2199.8826801346222</v>
      </c>
      <c r="BK51" s="503">
        <f>IF($BE51="","",AVERAGE(INDEX(終値!$E51:$CZ51,1,$BE51+1):INDEX(終値!$E51:$CZ51,1,$BE51+20))-2*STDEVP(INDEX(終値!$E51:$CZ51,1,$BE51+1):INDEX(終値!$E51:$CZ51,1,$BE51+20)))</f>
        <v>2306.875171492155</v>
      </c>
      <c r="BL51" s="503">
        <f t="shared" si="3"/>
        <v>4</v>
      </c>
      <c r="BM51" s="503">
        <f t="shared" si="4"/>
        <v>5</v>
      </c>
      <c r="BN51" s="503">
        <f t="shared" si="5"/>
        <v>16</v>
      </c>
      <c r="BO51" s="503">
        <f>IF($BM51="","",INDEX(高値!$E51:$CZ51,1,$BM51+1))</f>
        <v>2925</v>
      </c>
      <c r="BP51" s="503">
        <f>IF($BN51="","",INDEX(高値!$E51:$CZ51,1,$BN51+1))</f>
        <v>2575</v>
      </c>
      <c r="BQ51" s="503">
        <f>IF($BN51="","",MIN(INDEX(安値!$E51:$CZ51,1,$BM51+1):INDEX(安値!$E51:$CZ51,1,$BN51+1)))</f>
        <v>2471</v>
      </c>
      <c r="BR51" s="503">
        <f>IF($BN51="","",AVERAGE(INDEX(終値!$E51:$CZ51,1,$BN51+1):INDEX(終値!$E51:$CZ51,1,$BN51+20))+2*STDEVP(INDEX(終値!$E51:$CZ51,1,$BN51+1):INDEX(終値!$E51:$CZ51,1,$BN51+20)))</f>
        <v>2560.528282037872</v>
      </c>
      <c r="BS51" s="503">
        <f>IF($BM51="","",AVERAGE(INDEX(終値!$E51:$CZ51,1,$BM51+1):INDEX(終値!$E51:$CZ51,1,$BM51+20))+2*STDEVP(INDEX(終値!$E51:$CZ51,1,$BM51+1):INDEX(終値!$E51:$CZ51,1,$BM51+20)))</f>
        <v>2857.8598901299624</v>
      </c>
      <c r="BT51" s="500"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3" t="str">
        <f>IF(終値!A52="","",IF(AND(安値!G52&lt;安値!F52,安値!G52&lt;安値!E52,安値!G52&lt;安値!H52,安値!G52&lt;安値!I52),2,""))</f>
        <v/>
      </c>
      <c r="C52" s="503" t="str">
        <f>IF(終値!A52="","",IF(AND(安値!H52&lt;安値!G52,安値!H52&lt;安値!F52,安値!H52&lt;安値!I52,安値!H52&lt;安値!J52),3,""))</f>
        <v/>
      </c>
      <c r="D52" s="503" t="str">
        <f>IF(終値!A52="","",IF(AND(安値!I52&lt;安値!H52,安値!I52&lt;安値!G52,安値!I52&lt;安値!J52,安値!I52&lt;安値!K52),4,""))</f>
        <v/>
      </c>
      <c r="E52" s="503" t="str">
        <f>IF(終値!A52="","",IF(AND(安値!J52&lt;安値!I52,安値!J52&lt;安値!H52,安値!J52&lt;安値!K52,安値!J52&lt;安値!L52),5,""))</f>
        <v/>
      </c>
      <c r="F52" s="503" t="str">
        <f>IF(終値!A52="","",IF(AND(安値!K52&lt;安値!J52,安値!K52&lt;安値!I52,安値!K52&lt;安値!L52,安値!K52&lt;安値!M52),6,""))</f>
        <v/>
      </c>
      <c r="G52" s="503" t="str">
        <f>IF(終値!A52="","",IF(AND(安値!L52&lt;安値!K52,安値!L52&lt;安値!J52,安値!L52&lt;安値!M52,安値!L52&lt;安値!N52),7,""))</f>
        <v/>
      </c>
      <c r="H52" s="503" t="str">
        <f>IF(終値!A52="","",IF(AND(安値!M52&lt;安値!L52,安値!M52&lt;安値!K52,安値!M52&lt;安値!N52,安値!M52&lt;安値!O52),8,""))</f>
        <v/>
      </c>
      <c r="I52" s="503" t="str">
        <f>IF(終値!A52="","",IF(AND(安値!N52&lt;安値!M52,安値!N52&lt;安値!L52,安値!N52&lt;安値!O52,安値!N52&lt;安値!P52),9,""))</f>
        <v/>
      </c>
      <c r="J52" s="503" t="str">
        <f>IF(終値!A52="","",IF(AND(安値!O52&lt;安値!N52,安値!O52&lt;安値!M52,安値!O52&lt;安値!P52,安値!O52&lt;安値!Q52),10,""))</f>
        <v/>
      </c>
      <c r="K52" s="503" t="str">
        <f>IF(終値!A52="","",IF(AND(安値!P52&lt;安値!O52,安値!P52&lt;安値!N52,安値!P52&lt;安値!Q52,安値!P52&lt;安値!R52),11,""))</f>
        <v/>
      </c>
      <c r="L52" s="503" t="str">
        <f>IF(終値!A52="","",IF(AND(安値!Q52&lt;安値!P52,安値!Q52&lt;安値!O52,安値!Q52&lt;安値!R52,安値!Q52&lt;安値!S52),12,""))</f>
        <v/>
      </c>
      <c r="M52" s="503">
        <f>IF(終値!A52="","",IF(AND(安値!R52&lt;安値!Q52,安値!R52&lt;安値!P52,安値!R52&lt;安値!S52,安値!R52&lt;安値!T52),13,""))</f>
        <v>13</v>
      </c>
      <c r="N52" s="503" t="str">
        <f>IF(終値!A52="","",IF(AND(安値!S52&lt;安値!R52,安値!S52&lt;安値!Q52,安値!S52&lt;安値!T52,安値!S52&lt;安値!U52),14,""))</f>
        <v/>
      </c>
      <c r="O52" s="503" t="str">
        <f>IF(終値!A52="","",IF(AND(安値!T52&lt;安値!S52,安値!T52&lt;安値!R52,安値!T52&lt;安値!U52,安値!T52&lt;安値!V52),15,""))</f>
        <v/>
      </c>
      <c r="P52" s="503">
        <f>IF(終値!A52="","",IF(AND(安値!U52&lt;安値!T52,安値!U52&lt;安値!S52,安値!U52&lt;安値!V52,安値!U52&lt;安値!W52),16,""))</f>
        <v>16</v>
      </c>
      <c r="Q52" s="503" t="str">
        <f>IF(終値!A52="","",IF(AND(安値!V52&lt;安値!U52,安値!V52&lt;安値!T52,安値!V52&lt;安値!W52,安値!V52&lt;安値!X52),17,""))</f>
        <v/>
      </c>
      <c r="R52" s="503" t="str">
        <f>IF(終値!A52="","",IF(AND(安値!W52&lt;安値!V52,安値!W52&lt;安値!U52,安値!W52&lt;安値!X52,安値!W52&lt;安値!Y52),18,""))</f>
        <v/>
      </c>
      <c r="S52" s="503" t="str">
        <f>IF(終値!A52="","",IF(AND(安値!X52&lt;安値!W52,安値!X52&lt;安値!V52,安値!X52&lt;安値!Y52,安値!X52&lt;安値!Z52),19,""))</f>
        <v/>
      </c>
      <c r="T52" s="503" t="str">
        <f>IF(終値!A52="","",IF(AND(安値!Y52&lt;安値!X52,安値!Y52&lt;安値!W52,安値!Y52&lt;安値!Z52,安値!Y52&lt;安値!AA52),20,""))</f>
        <v/>
      </c>
      <c r="U52" s="503" t="str">
        <f>IF(終値!A52="","",IF(AND(安値!Z52&lt;安値!Y52,安値!Z52&lt;安値!X52,安値!Z52&lt;安値!AA52,安値!Z52&lt;安値!AB52),21,""))</f>
        <v/>
      </c>
      <c r="V52" s="503" t="str">
        <f>IF(終値!A52="","",IF(AND(安値!AA52&lt;安値!Z52,安値!AA52&lt;安値!Y52,安値!AA52&lt;安値!AB52,安値!AA52&lt;安値!AC52),22,""))</f>
        <v/>
      </c>
      <c r="W52" s="503" t="str">
        <f>IF(終値!A52="","",IF(AND(安値!AB52&lt;安値!AA52,安値!AB52&lt;安値!Z52,安値!AB52&lt;安値!AC52,安値!AB52&lt;安値!AD52),23,""))</f>
        <v/>
      </c>
      <c r="X52" s="503">
        <f>IF(終値!A52="","",IF(AND(安値!AC52&lt;安値!AB52,安値!AC52&lt;安値!AA52,安値!AC52&lt;安値!AD52,安値!AC52&lt;安値!AE52),24,""))</f>
        <v>24</v>
      </c>
      <c r="Y52" s="503" t="str">
        <f>IF(終値!A52="","",IF(AND(安値!AD52&lt;安値!AC52,安値!AD52&lt;安値!AB52,安値!AD52&lt;安値!AE52,安値!AD52&lt;安値!AF52),25,""))</f>
        <v/>
      </c>
      <c r="Z52" s="503" t="str">
        <f>IF(終値!A52="","",IF(AND(安値!AE52&lt;安値!AD52,安値!AE52&lt;安値!AC52,安値!AE52&lt;安値!AF52,安値!AE52&lt;安値!AG52),26,""))</f>
        <v/>
      </c>
      <c r="AA52" s="503">
        <f>IF(終値!A52="","",IF(AND(安値!AF52&lt;安値!AE52,安値!AF52&lt;安値!AD52,安値!AF52&lt;安値!AG52,安値!AF52&lt;安値!AH52),27,""))</f>
        <v>27</v>
      </c>
      <c r="AB52" s="503" t="str">
        <f>IF(終値!A52="","",IF(AND(安値!AG52&lt;安値!AF52,安値!AG52&lt;安値!AE52,安値!AG52&lt;安値!AH52,安値!AG52&lt;安値!AI52),28,""))</f>
        <v/>
      </c>
      <c r="AC52" s="503" t="str">
        <f>IF(終値!A52="","",IF(AND(高値!G52&gt;高値!F52,高値!G52&gt;高値!E52,高値!G52&gt;高値!H52,高値!G52&gt;高値!I52),2,""))</f>
        <v/>
      </c>
      <c r="AD52" s="503" t="str">
        <f>IF(終値!A52="","",IF(AND(高値!H52&gt;高値!G52,高値!H52&gt;高値!F52,高値!H52&gt;高値!I52,高値!H52&gt;高値!J52),3,""))</f>
        <v/>
      </c>
      <c r="AE52" s="503" t="str">
        <f>IF(終値!A52="","",IF(AND(高値!I52&gt;高値!H52,高値!I52&gt;高値!G52,高値!I52&gt;高値!J52,高値!I52&gt;高値!K52),4,""))</f>
        <v/>
      </c>
      <c r="AF52" s="503" t="str">
        <f>IF(終値!A52="","",IF(AND(高値!J52&gt;高値!I52,高値!J52&gt;高値!H52,高値!J52&gt;高値!K52,高値!J52&gt;高値!L52),5,""))</f>
        <v/>
      </c>
      <c r="AG52" s="503">
        <f>IF(終値!A52="","",IF(AND(高値!K52&gt;高値!J52,高値!K52&gt;高値!I52,高値!K52&gt;高値!L52,高値!K52&gt;高値!M52),6,""))</f>
        <v>6</v>
      </c>
      <c r="AH52" s="503" t="str">
        <f>IF(終値!A52="","",IF(AND(高値!L52&gt;高値!K52,高値!L52&gt;高値!J52,高値!L52&gt;高値!M52,高値!L52&gt;高値!N52),7,""))</f>
        <v/>
      </c>
      <c r="AI52" s="503" t="str">
        <f>IF(終値!A52="","",IF(AND(高値!M52&gt;高値!L52,高値!M52&gt;高値!K52,高値!M52&gt;高値!N52,高値!M52&gt;高値!O52),8,""))</f>
        <v/>
      </c>
      <c r="AJ52" s="503" t="str">
        <f>IF(終値!A52="","",IF(AND(高値!N52&gt;高値!M52,高値!N52&gt;高値!L52,高値!N52&gt;高値!O52,高値!N52&gt;高値!P52),9,""))</f>
        <v/>
      </c>
      <c r="AK52" s="503" t="str">
        <f>IF(終値!A52="","",IF(AND(高値!O52&gt;高値!N52,高値!O52&gt;高値!M52,高値!O52&gt;高値!P52,高値!O52&gt;高値!Q52),10,""))</f>
        <v/>
      </c>
      <c r="AL52" s="503" t="str">
        <f>IF(終値!A52="","",IF(AND(高値!P52&gt;高値!O52,高値!P52&gt;高値!N52,高値!P52&gt;高値!Q52,高値!P52&gt;高値!R52),11,""))</f>
        <v/>
      </c>
      <c r="AM52" s="503" t="str">
        <f>IF(終値!A52="","",IF(AND(高値!Q52&gt;高値!P52,高値!Q52&gt;高値!O52,高値!Q52&gt;高値!R52,高値!Q52&gt;高値!S52),12,""))</f>
        <v/>
      </c>
      <c r="AN52" s="503" t="str">
        <f>IF(終値!A52="","",IF(AND(高値!R52&gt;高値!Q52,高値!R52&gt;高値!P52,高値!R52&gt;高値!S52,高値!R52&gt;高値!T52),13,""))</f>
        <v/>
      </c>
      <c r="AO52" s="503" t="str">
        <f>IF(終値!A52="","",IF(AND(高値!S52&gt;高値!R52,高値!S52&gt;高値!Q52,高値!S52&gt;高値!T52,高値!S52&gt;高値!U52),14,""))</f>
        <v/>
      </c>
      <c r="AP52" s="503" t="str">
        <f>IF(終値!A52="","",IF(AND(高値!T52&gt;高値!S52,高値!T52&gt;高値!R52,高値!T52&gt;高値!U52,高値!T52&gt;高値!V52),15,""))</f>
        <v/>
      </c>
      <c r="AQ52" s="503" t="str">
        <f>IF(終値!A52="","",IF(AND(高値!U52&gt;高値!T52,高値!U52&gt;高値!S52,高値!U52&gt;高値!V52,高値!U52&gt;高値!W52),16,""))</f>
        <v/>
      </c>
      <c r="AR52" s="503">
        <f>IF(終値!A52="","",IF(AND(高値!V52&gt;高値!U52,高値!V52&gt;高値!T52,高値!V52&gt;高値!W52,高値!V52&gt;高値!X52),17,""))</f>
        <v>17</v>
      </c>
      <c r="AS52" s="503" t="str">
        <f>IF(終値!A52="","",IF(AND(高値!W52&gt;高値!V52,高値!W52&gt;高値!U52,高値!W52&gt;高値!X52,高値!W52&gt;高値!Y52),18,""))</f>
        <v/>
      </c>
      <c r="AT52" s="503" t="str">
        <f>IF(終値!A52="","",IF(AND(高値!X52&gt;高値!W52,高値!X52&gt;高値!V52,高値!X52&gt;高値!Y52,高値!X52&gt;高値!Z52),19,""))</f>
        <v/>
      </c>
      <c r="AU52" s="503">
        <f>IF(終値!A52="","",IF(AND(高値!Y52&gt;高値!X52,高値!Y52&gt;高値!W52,高値!Y52&gt;高値!Z52,高値!Y52&gt;高値!AA52),20,""))</f>
        <v>20</v>
      </c>
      <c r="AV52" s="503" t="str">
        <f>IF(終値!A52="","",IF(AND(高値!Z52&gt;高値!Y52,高値!Z52&gt;高値!X52,高値!Z52&gt;高値!AA52,高値!Z52&gt;高値!AB52),21,""))</f>
        <v/>
      </c>
      <c r="AW52" s="503" t="str">
        <f>IF(終値!A52="","",IF(AND(高値!AA52&gt;高値!Z52,高値!AA52&gt;高値!Y52,高値!AA52&gt;高値!AB52,高値!AA52&gt;高値!AC52),22,""))</f>
        <v/>
      </c>
      <c r="AX52" s="503" t="str">
        <f>IF(終値!A52="","",IF(AND(高値!AB52&gt;高値!AA52,高値!AB52&gt;高値!Z52,高値!AB52&gt;高値!AC52,高値!AB52&gt;高値!AD52),23,""))</f>
        <v/>
      </c>
      <c r="AY52" s="503" t="str">
        <f>IF(終値!A52="","",IF(AND(高値!AC52&gt;高値!AB52,高値!AC52&gt;高値!AA52,高値!AC52&gt;高値!AD52,高値!AC52&gt;高値!AE52),24,""))</f>
        <v/>
      </c>
      <c r="AZ52" s="503" t="str">
        <f>IF(終値!A52="","",IF(AND(高値!AD52&gt;高値!AC52,高値!AD52&gt;高値!AB52,高値!AD52&gt;高値!AE52,高値!AD52&gt;高値!AF52),25,""))</f>
        <v/>
      </c>
      <c r="BA52" s="503" t="str">
        <f>IF(終値!A52="","",IF(AND(高値!AE52&gt;高値!AD52,高値!AE52&gt;高値!AC52,高値!AE52&gt;高値!AF52,高値!AE52&gt;高値!AG52),26,""))</f>
        <v/>
      </c>
      <c r="BB52" s="503" t="str">
        <f>IF(終値!A52="","",IF(AND(高値!AF52&gt;高値!AE52,高値!AF52&gt;高値!AD52,高値!AF52&gt;高値!AG52,高値!AF52&gt;高値!AH52),27,""))</f>
        <v/>
      </c>
      <c r="BC52" s="503" t="str">
        <f>IF(終値!A52="","",IF(AND(高値!AG52&gt;高値!AF52,高値!AG52&gt;高値!AE52,高値!AG52&gt;高値!AH52,高値!AG52&gt;高値!AI52),28,""))</f>
        <v/>
      </c>
      <c r="BD52" s="503">
        <f t="shared" si="0"/>
        <v>4</v>
      </c>
      <c r="BE52" s="503">
        <f t="shared" si="1"/>
        <v>13</v>
      </c>
      <c r="BF52" s="503">
        <f t="shared" si="2"/>
        <v>16</v>
      </c>
      <c r="BG52" s="503">
        <f>IF($BE52="","",INDEX(安値!$E52:$CZ52,1,$BE52+1))</f>
        <v>7461</v>
      </c>
      <c r="BH52" s="503">
        <f>IF($BF52="","",INDEX(安値!$E52:$CZ52,1,$BF52+1))</f>
        <v>7450</v>
      </c>
      <c r="BI52" s="503">
        <f>IF($BF52="","",MAX(INDEX(高値!$E52:$CZ52,1,$BE52+1):INDEX(高値!$E52:$CZ52,1,$BF52+1)))</f>
        <v>7873</v>
      </c>
      <c r="BJ52" s="503">
        <f>IF($BF52="","",AVERAGE(INDEX(終値!$E52:$CZ52,1,$BF52+1):INDEX(終値!$E52:$CZ52,1,$BF52+20))-2*STDEVP(INDEX(終値!$E52:$CZ52,1,$BF52+1):INDEX(終値!$E52:$CZ52,1,$BF52+20)))</f>
        <v>6787.8411977362803</v>
      </c>
      <c r="BK52" s="503">
        <f>IF($BE52="","",AVERAGE(INDEX(終値!$E52:$CZ52,1,$BE52+1):INDEX(終値!$E52:$CZ52,1,$BE52+20))-2*STDEVP(INDEX(終値!$E52:$CZ52,1,$BE52+1):INDEX(終値!$E52:$CZ52,1,$BE52+20)))</f>
        <v>6807.7931604917176</v>
      </c>
      <c r="BL52" s="503">
        <f t="shared" si="3"/>
        <v>3</v>
      </c>
      <c r="BM52" s="503">
        <f t="shared" si="4"/>
        <v>6</v>
      </c>
      <c r="BN52" s="503">
        <f t="shared" si="5"/>
        <v>17</v>
      </c>
      <c r="BO52" s="503">
        <f>IF($BM52="","",INDEX(高値!$E52:$CZ52,1,$BM52+1))</f>
        <v>8468</v>
      </c>
      <c r="BP52" s="503">
        <f>IF($BN52="","",INDEX(高値!$E52:$CZ52,1,$BN52+1))</f>
        <v>7887</v>
      </c>
      <c r="BQ52" s="503">
        <f>IF($BN52="","",MIN(INDEX(安値!$E52:$CZ52,1,$BM52+1):INDEX(安値!$E52:$CZ52,1,$BN52+1)))</f>
        <v>7450</v>
      </c>
      <c r="BR52" s="503">
        <f>IF($BN52="","",AVERAGE(INDEX(終値!$E52:$CZ52,1,$BN52+1):INDEX(終値!$E52:$CZ52,1,$BN52+20))+2*STDEVP(INDEX(終値!$E52:$CZ52,1,$BN52+1):INDEX(終値!$E52:$CZ52,1,$BN52+20)))</f>
        <v>7920.136790930731</v>
      </c>
      <c r="BS52" s="503">
        <f>IF($BM52="","",AVERAGE(INDEX(終値!$E52:$CZ52,1,$BM52+1):INDEX(終値!$E52:$CZ52,1,$BM52+20))+2*STDEVP(INDEX(終値!$E52:$CZ52,1,$BM52+1):INDEX(終値!$E52:$CZ52,1,$BM52+20)))</f>
        <v>8412.596878432345</v>
      </c>
      <c r="BT52" s="500"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二番底W形成</v>
      </c>
    </row>
    <row r="53" spans="2:72">
      <c r="B53" s="503">
        <f>IF(終値!A53="","",IF(AND(安値!G53&lt;安値!F53,安値!G53&lt;安値!E53,安値!G53&lt;安値!H53,安値!G53&lt;安値!I53),2,""))</f>
        <v>2</v>
      </c>
      <c r="C53" s="503" t="str">
        <f>IF(終値!A53="","",IF(AND(安値!H53&lt;安値!G53,安値!H53&lt;安値!F53,安値!H53&lt;安値!I53,安値!H53&lt;安値!J53),3,""))</f>
        <v/>
      </c>
      <c r="D53" s="503" t="str">
        <f>IF(終値!A53="","",IF(AND(安値!I53&lt;安値!H53,安値!I53&lt;安値!G53,安値!I53&lt;安値!J53,安値!I53&lt;安値!K53),4,""))</f>
        <v/>
      </c>
      <c r="E53" s="503" t="str">
        <f>IF(終値!A53="","",IF(AND(安値!J53&lt;安値!I53,安値!J53&lt;安値!H53,安値!J53&lt;安値!K53,安値!J53&lt;安値!L53),5,""))</f>
        <v/>
      </c>
      <c r="F53" s="503" t="str">
        <f>IF(終値!A53="","",IF(AND(安値!K53&lt;安値!J53,安値!K53&lt;安値!I53,安値!K53&lt;安値!L53,安値!K53&lt;安値!M53),6,""))</f>
        <v/>
      </c>
      <c r="G53" s="503" t="str">
        <f>IF(終値!A53="","",IF(AND(安値!L53&lt;安値!K53,安値!L53&lt;安値!J53,安値!L53&lt;安値!M53,安値!L53&lt;安値!N53),7,""))</f>
        <v/>
      </c>
      <c r="H53" s="503" t="str">
        <f>IF(終値!A53="","",IF(AND(安値!M53&lt;安値!L53,安値!M53&lt;安値!K53,安値!M53&lt;安値!N53,安値!M53&lt;安値!O53),8,""))</f>
        <v/>
      </c>
      <c r="I53" s="503" t="str">
        <f>IF(終値!A53="","",IF(AND(安値!N53&lt;安値!M53,安値!N53&lt;安値!L53,安値!N53&lt;安値!O53,安値!N53&lt;安値!P53),9,""))</f>
        <v/>
      </c>
      <c r="J53" s="503" t="str">
        <f>IF(終値!A53="","",IF(AND(安値!O53&lt;安値!N53,安値!O53&lt;安値!M53,安値!O53&lt;安値!P53,安値!O53&lt;安値!Q53),10,""))</f>
        <v/>
      </c>
      <c r="K53" s="503" t="str">
        <f>IF(終値!A53="","",IF(AND(安値!P53&lt;安値!O53,安値!P53&lt;安値!N53,安値!P53&lt;安値!Q53,安値!P53&lt;安値!R53),11,""))</f>
        <v/>
      </c>
      <c r="L53" s="503" t="str">
        <f>IF(終値!A53="","",IF(AND(安値!Q53&lt;安値!P53,安値!Q53&lt;安値!O53,安値!Q53&lt;安値!R53,安値!Q53&lt;安値!S53),12,""))</f>
        <v/>
      </c>
      <c r="M53" s="503">
        <f>IF(終値!A53="","",IF(AND(安値!R53&lt;安値!Q53,安値!R53&lt;安値!P53,安値!R53&lt;安値!S53,安値!R53&lt;安値!T53),13,""))</f>
        <v>13</v>
      </c>
      <c r="N53" s="503" t="str">
        <f>IF(終値!A53="","",IF(AND(安値!S53&lt;安値!R53,安値!S53&lt;安値!Q53,安値!S53&lt;安値!T53,安値!S53&lt;安値!U53),14,""))</f>
        <v/>
      </c>
      <c r="O53" s="503" t="str">
        <f>IF(終値!A53="","",IF(AND(安値!T53&lt;安値!S53,安値!T53&lt;安値!R53,安値!T53&lt;安値!U53,安値!T53&lt;安値!V53),15,""))</f>
        <v/>
      </c>
      <c r="P53" s="503" t="str">
        <f>IF(終値!A53="","",IF(AND(安値!U53&lt;安値!T53,安値!U53&lt;安値!S53,安値!U53&lt;安値!V53,安値!U53&lt;安値!W53),16,""))</f>
        <v/>
      </c>
      <c r="Q53" s="503" t="str">
        <f>IF(終値!A53="","",IF(AND(安値!V53&lt;安値!U53,安値!V53&lt;安値!T53,安値!V53&lt;安値!W53,安値!V53&lt;安値!X53),17,""))</f>
        <v/>
      </c>
      <c r="R53" s="503" t="str">
        <f>IF(終値!A53="","",IF(AND(安値!W53&lt;安値!V53,安値!W53&lt;安値!U53,安値!W53&lt;安値!X53,安値!W53&lt;安値!Y53),18,""))</f>
        <v/>
      </c>
      <c r="S53" s="503" t="str">
        <f>IF(終値!A53="","",IF(AND(安値!X53&lt;安値!W53,安値!X53&lt;安値!V53,安値!X53&lt;安値!Y53,安値!X53&lt;安値!Z53),19,""))</f>
        <v/>
      </c>
      <c r="T53" s="503" t="str">
        <f>IF(終値!A53="","",IF(AND(安値!Y53&lt;安値!X53,安値!Y53&lt;安値!W53,安値!Y53&lt;安値!Z53,安値!Y53&lt;安値!AA53),20,""))</f>
        <v/>
      </c>
      <c r="U53" s="503" t="str">
        <f>IF(終値!A53="","",IF(AND(安値!Z53&lt;安値!Y53,安値!Z53&lt;安値!X53,安値!Z53&lt;安値!AA53,安値!Z53&lt;安値!AB53),21,""))</f>
        <v/>
      </c>
      <c r="V53" s="503" t="str">
        <f>IF(終値!A53="","",IF(AND(安値!AA53&lt;安値!Z53,安値!AA53&lt;安値!Y53,安値!AA53&lt;安値!AB53,安値!AA53&lt;安値!AC53),22,""))</f>
        <v/>
      </c>
      <c r="W53" s="503" t="str">
        <f>IF(終値!A53="","",IF(AND(安値!AB53&lt;安値!AA53,安値!AB53&lt;安値!Z53,安値!AB53&lt;安値!AC53,安値!AB53&lt;安値!AD53),23,""))</f>
        <v/>
      </c>
      <c r="X53" s="503" t="str">
        <f>IF(終値!A53="","",IF(AND(安値!AC53&lt;安値!AB53,安値!AC53&lt;安値!AA53,安値!AC53&lt;安値!AD53,安値!AC53&lt;安値!AE53),24,""))</f>
        <v/>
      </c>
      <c r="Y53" s="503" t="str">
        <f>IF(終値!A53="","",IF(AND(安値!AD53&lt;安値!AC53,安値!AD53&lt;安値!AB53,安値!AD53&lt;安値!AE53,安値!AD53&lt;安値!AF53),25,""))</f>
        <v/>
      </c>
      <c r="Z53" s="503" t="str">
        <f>IF(終値!A53="","",IF(AND(安値!AE53&lt;安値!AD53,安値!AE53&lt;安値!AC53,安値!AE53&lt;安値!AF53,安値!AE53&lt;安値!AG53),26,""))</f>
        <v/>
      </c>
      <c r="AA53" s="503" t="str">
        <f>IF(終値!A53="","",IF(AND(安値!AF53&lt;安値!AE53,安値!AF53&lt;安値!AD53,安値!AF53&lt;安値!AG53,安値!AF53&lt;安値!AH53),27,""))</f>
        <v/>
      </c>
      <c r="AB53" s="503" t="str">
        <f>IF(終値!A53="","",IF(AND(安値!AG53&lt;安値!AF53,安値!AG53&lt;安値!AE53,安値!AG53&lt;安値!AH53,安値!AG53&lt;安値!AI53),28,""))</f>
        <v/>
      </c>
      <c r="AC53" s="503">
        <f>IF(終値!A53="","",IF(AND(高値!G53&gt;高値!F53,高値!G53&gt;高値!E53,高値!G53&gt;高値!H53,高値!G53&gt;高値!I53),2,""))</f>
        <v>2</v>
      </c>
      <c r="AD53" s="503" t="str">
        <f>IF(終値!A53="","",IF(AND(高値!H53&gt;高値!G53,高値!H53&gt;高値!F53,高値!H53&gt;高値!I53,高値!H53&gt;高値!J53),3,""))</f>
        <v/>
      </c>
      <c r="AE53" s="503" t="str">
        <f>IF(終値!A53="","",IF(AND(高値!I53&gt;高値!H53,高値!I53&gt;高値!G53,高値!I53&gt;高値!J53,高値!I53&gt;高値!K53),4,""))</f>
        <v/>
      </c>
      <c r="AF53" s="503" t="str">
        <f>IF(終値!A53="","",IF(AND(高値!J53&gt;高値!I53,高値!J53&gt;高値!H53,高値!J53&gt;高値!K53,高値!J53&gt;高値!L53),5,""))</f>
        <v/>
      </c>
      <c r="AG53" s="503" t="str">
        <f>IF(終値!A53="","",IF(AND(高値!K53&gt;高値!J53,高値!K53&gt;高値!I53,高値!K53&gt;高値!L53,高値!K53&gt;高値!M53),6,""))</f>
        <v/>
      </c>
      <c r="AH53" s="503" t="str">
        <f>IF(終値!A53="","",IF(AND(高値!L53&gt;高値!K53,高値!L53&gt;高値!J53,高値!L53&gt;高値!M53,高値!L53&gt;高値!N53),7,""))</f>
        <v/>
      </c>
      <c r="AI53" s="503" t="str">
        <f>IF(終値!A53="","",IF(AND(高値!M53&gt;高値!L53,高値!M53&gt;高値!K53,高値!M53&gt;高値!N53,高値!M53&gt;高値!O53),8,""))</f>
        <v/>
      </c>
      <c r="AJ53" s="503" t="str">
        <f>IF(終値!A53="","",IF(AND(高値!N53&gt;高値!M53,高値!N53&gt;高値!L53,高値!N53&gt;高値!O53,高値!N53&gt;高値!P53),9,""))</f>
        <v/>
      </c>
      <c r="AK53" s="503" t="str">
        <f>IF(終値!A53="","",IF(AND(高値!O53&gt;高値!N53,高値!O53&gt;高値!M53,高値!O53&gt;高値!P53,高値!O53&gt;高値!Q53),10,""))</f>
        <v/>
      </c>
      <c r="AL53" s="503">
        <f>IF(終値!A53="","",IF(AND(高値!P53&gt;高値!O53,高値!P53&gt;高値!N53,高値!P53&gt;高値!Q53,高値!P53&gt;高値!R53),11,""))</f>
        <v>11</v>
      </c>
      <c r="AM53" s="503" t="str">
        <f>IF(終値!A53="","",IF(AND(高値!Q53&gt;高値!P53,高値!Q53&gt;高値!O53,高値!Q53&gt;高値!R53,高値!Q53&gt;高値!S53),12,""))</f>
        <v/>
      </c>
      <c r="AN53" s="503" t="str">
        <f>IF(終値!A53="","",IF(AND(高値!R53&gt;高値!Q53,高値!R53&gt;高値!P53,高値!R53&gt;高値!S53,高値!R53&gt;高値!T53),13,""))</f>
        <v/>
      </c>
      <c r="AO53" s="503">
        <f>IF(終値!A53="","",IF(AND(高値!S53&gt;高値!R53,高値!S53&gt;高値!Q53,高値!S53&gt;高値!T53,高値!S53&gt;高値!U53),14,""))</f>
        <v>14</v>
      </c>
      <c r="AP53" s="503" t="str">
        <f>IF(終値!A53="","",IF(AND(高値!T53&gt;高値!S53,高値!T53&gt;高値!R53,高値!T53&gt;高値!U53,高値!T53&gt;高値!V53),15,""))</f>
        <v/>
      </c>
      <c r="AQ53" s="503" t="str">
        <f>IF(終値!A53="","",IF(AND(高値!U53&gt;高値!T53,高値!U53&gt;高値!S53,高値!U53&gt;高値!V53,高値!U53&gt;高値!W53),16,""))</f>
        <v/>
      </c>
      <c r="AR53" s="503">
        <f>IF(終値!A53="","",IF(AND(高値!V53&gt;高値!U53,高値!V53&gt;高値!T53,高値!V53&gt;高値!W53,高値!V53&gt;高値!X53),17,""))</f>
        <v>17</v>
      </c>
      <c r="AS53" s="503" t="str">
        <f>IF(終値!A53="","",IF(AND(高値!W53&gt;高値!V53,高値!W53&gt;高値!U53,高値!W53&gt;高値!X53,高値!W53&gt;高値!Y53),18,""))</f>
        <v/>
      </c>
      <c r="AT53" s="503" t="str">
        <f>IF(終値!A53="","",IF(AND(高値!X53&gt;高値!W53,高値!X53&gt;高値!V53,高値!X53&gt;高値!Y53,高値!X53&gt;高値!Z53),19,""))</f>
        <v/>
      </c>
      <c r="AU53" s="503" t="str">
        <f>IF(終値!A53="","",IF(AND(高値!Y53&gt;高値!X53,高値!Y53&gt;高値!W53,高値!Y53&gt;高値!Z53,高値!Y53&gt;高値!AA53),20,""))</f>
        <v/>
      </c>
      <c r="AV53" s="503" t="str">
        <f>IF(終値!A53="","",IF(AND(高値!Z53&gt;高値!Y53,高値!Z53&gt;高値!X53,高値!Z53&gt;高値!AA53,高値!Z53&gt;高値!AB53),21,""))</f>
        <v/>
      </c>
      <c r="AW53" s="503" t="str">
        <f>IF(終値!A53="","",IF(AND(高値!AA53&gt;高値!Z53,高値!AA53&gt;高値!Y53,高値!AA53&gt;高値!AB53,高値!AA53&gt;高値!AC53),22,""))</f>
        <v/>
      </c>
      <c r="AX53" s="503" t="str">
        <f>IF(終値!A53="","",IF(AND(高値!AB53&gt;高値!AA53,高値!AB53&gt;高値!Z53,高値!AB53&gt;高値!AC53,高値!AB53&gt;高値!AD53),23,""))</f>
        <v/>
      </c>
      <c r="AY53" s="503" t="str">
        <f>IF(終値!A53="","",IF(AND(高値!AC53&gt;高値!AB53,高値!AC53&gt;高値!AA53,高値!AC53&gt;高値!AD53,高値!AC53&gt;高値!AE53),24,""))</f>
        <v/>
      </c>
      <c r="AZ53" s="503" t="str">
        <f>IF(終値!A53="","",IF(AND(高値!AD53&gt;高値!AC53,高値!AD53&gt;高値!AB53,高値!AD53&gt;高値!AE53,高値!AD53&gt;高値!AF53),25,""))</f>
        <v/>
      </c>
      <c r="BA53" s="503" t="str">
        <f>IF(終値!A53="","",IF(AND(高値!AE53&gt;高値!AD53,高値!AE53&gt;高値!AC53,高値!AE53&gt;高値!AF53,高値!AE53&gt;高値!AG53),26,""))</f>
        <v/>
      </c>
      <c r="BB53" s="503" t="str">
        <f>IF(終値!A53="","",IF(AND(高値!AF53&gt;高値!AE53,高値!AF53&gt;高値!AD53,高値!AF53&gt;高値!AG53,高値!AF53&gt;高値!AH53),27,""))</f>
        <v/>
      </c>
      <c r="BC53" s="503" t="str">
        <f>IF(終値!A53="","",IF(AND(高値!AG53&gt;高値!AF53,高値!AG53&gt;高値!AE53,高値!AG53&gt;高値!AH53,高値!AG53&gt;高値!AI53),28,""))</f>
        <v/>
      </c>
      <c r="BD53" s="503">
        <f t="shared" si="0"/>
        <v>2</v>
      </c>
      <c r="BE53" s="503">
        <f t="shared" si="1"/>
        <v>2</v>
      </c>
      <c r="BF53" s="503">
        <f t="shared" si="2"/>
        <v>13</v>
      </c>
      <c r="BG53" s="503">
        <f>IF($BE53="","",INDEX(安値!$E53:$CZ53,1,$BE53+1))</f>
        <v>5581</v>
      </c>
      <c r="BH53" s="503">
        <f>IF($BF53="","",INDEX(安値!$E53:$CZ53,1,$BF53+1))</f>
        <v>5997</v>
      </c>
      <c r="BI53" s="503">
        <f>IF($BF53="","",MAX(INDEX(高値!$E53:$CZ53,1,$BE53+1):INDEX(高値!$E53:$CZ53,1,$BF53+1)))</f>
        <v>6459</v>
      </c>
      <c r="BJ53" s="503">
        <f>IF($BF53="","",AVERAGE(INDEX(終値!$E53:$CZ53,1,$BF53+1):INDEX(終値!$E53:$CZ53,1,$BF53+20))-2*STDEVP(INDEX(終値!$E53:$CZ53,1,$BF53+1):INDEX(終値!$E53:$CZ53,1,$BF53+20)))</f>
        <v>6016.9151499750415</v>
      </c>
      <c r="BK53" s="503">
        <f>IF($BE53="","",AVERAGE(INDEX(終値!$E53:$CZ53,1,$BE53+1):INDEX(終値!$E53:$CZ53,1,$BE53+20))-2*STDEVP(INDEX(終値!$E53:$CZ53,1,$BE53+1):INDEX(終値!$E53:$CZ53,1,$BE53+20)))</f>
        <v>5774.390312119589</v>
      </c>
      <c r="BL53" s="503">
        <f t="shared" si="3"/>
        <v>4</v>
      </c>
      <c r="BM53" s="503">
        <f t="shared" si="4"/>
        <v>2</v>
      </c>
      <c r="BN53" s="503">
        <f t="shared" si="5"/>
        <v>11</v>
      </c>
      <c r="BO53" s="503">
        <f>IF($BM53="","",INDEX(高値!$E53:$CZ53,1,$BM53+1))</f>
        <v>6175</v>
      </c>
      <c r="BP53" s="503">
        <f>IF($BN53="","",INDEX(高値!$E53:$CZ53,1,$BN53+1))</f>
        <v>6459</v>
      </c>
      <c r="BQ53" s="503">
        <f>IF($BN53="","",MIN(INDEX(安値!$E53:$CZ53,1,$BM53+1):INDEX(安値!$E53:$CZ53,1,$BN53+1)))</f>
        <v>5581</v>
      </c>
      <c r="BR53" s="503">
        <f>IF($BN53="","",AVERAGE(INDEX(終値!$E53:$CZ53,1,$BN53+1):INDEX(終値!$E53:$CZ53,1,$BN53+20))+2*STDEVP(INDEX(終値!$E53:$CZ53,1,$BN53+1):INDEX(終値!$E53:$CZ53,1,$BN53+20)))</f>
        <v>7388.5647284544466</v>
      </c>
      <c r="BS53" s="503">
        <f>IF($BM53="","",AVERAGE(INDEX(終値!$E53:$CZ53,1,$BM53+1):INDEX(終値!$E53:$CZ53,1,$BM53+20))+2*STDEVP(INDEX(終値!$E53:$CZ53,1,$BM53+1):INDEX(終値!$E53:$CZ53,1,$BM53+20)))</f>
        <v>6759.9096878804103</v>
      </c>
      <c r="BT53" s="500"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二番天井M形成</v>
      </c>
    </row>
    <row r="54" spans="2:72">
      <c r="B54" s="503" t="str">
        <f>IF(終値!A54="","",IF(AND(安値!G54&lt;安値!F54,安値!G54&lt;安値!E54,安値!G54&lt;安値!H54,安値!G54&lt;安値!I54),2,""))</f>
        <v/>
      </c>
      <c r="C54" s="503">
        <f>IF(終値!A54="","",IF(AND(安値!H54&lt;安値!G54,安値!H54&lt;安値!F54,安値!H54&lt;安値!I54,安値!H54&lt;安値!J54),3,""))</f>
        <v>3</v>
      </c>
      <c r="D54" s="503" t="str">
        <f>IF(終値!A54="","",IF(AND(安値!I54&lt;安値!H54,安値!I54&lt;安値!G54,安値!I54&lt;安値!J54,安値!I54&lt;安値!K54),4,""))</f>
        <v/>
      </c>
      <c r="E54" s="503" t="str">
        <f>IF(終値!A54="","",IF(AND(安値!J54&lt;安値!I54,安値!J54&lt;安値!H54,安値!J54&lt;安値!K54,安値!J54&lt;安値!L54),5,""))</f>
        <v/>
      </c>
      <c r="F54" s="503" t="str">
        <f>IF(終値!A54="","",IF(AND(安値!K54&lt;安値!J54,安値!K54&lt;安値!I54,安値!K54&lt;安値!L54,安値!K54&lt;安値!M54),6,""))</f>
        <v/>
      </c>
      <c r="G54" s="503" t="str">
        <f>IF(終値!A54="","",IF(AND(安値!L54&lt;安値!K54,安値!L54&lt;安値!J54,安値!L54&lt;安値!M54,安値!L54&lt;安値!N54),7,""))</f>
        <v/>
      </c>
      <c r="H54" s="503" t="str">
        <f>IF(終値!A54="","",IF(AND(安値!M54&lt;安値!L54,安値!M54&lt;安値!K54,安値!M54&lt;安値!N54,安値!M54&lt;安値!O54),8,""))</f>
        <v/>
      </c>
      <c r="I54" s="503" t="str">
        <f>IF(終値!A54="","",IF(AND(安値!N54&lt;安値!M54,安値!N54&lt;安値!L54,安値!N54&lt;安値!O54,安値!N54&lt;安値!P54),9,""))</f>
        <v/>
      </c>
      <c r="J54" s="503" t="str">
        <f>IF(終値!A54="","",IF(AND(安値!O54&lt;安値!N54,安値!O54&lt;安値!M54,安値!O54&lt;安値!P54,安値!O54&lt;安値!Q54),10,""))</f>
        <v/>
      </c>
      <c r="K54" s="503" t="str">
        <f>IF(終値!A54="","",IF(AND(安値!P54&lt;安値!O54,安値!P54&lt;安値!N54,安値!P54&lt;安値!Q54,安値!P54&lt;安値!R54),11,""))</f>
        <v/>
      </c>
      <c r="L54" s="503" t="str">
        <f>IF(終値!A54="","",IF(AND(安値!Q54&lt;安値!P54,安値!Q54&lt;安値!O54,安値!Q54&lt;安値!R54,安値!Q54&lt;安値!S54),12,""))</f>
        <v/>
      </c>
      <c r="M54" s="503" t="str">
        <f>IF(終値!A54="","",IF(AND(安値!R54&lt;安値!Q54,安値!R54&lt;安値!P54,安値!R54&lt;安値!S54,安値!R54&lt;安値!T54),13,""))</f>
        <v/>
      </c>
      <c r="N54" s="503" t="str">
        <f>IF(終値!A54="","",IF(AND(安値!S54&lt;安値!R54,安値!S54&lt;安値!Q54,安値!S54&lt;安値!T54,安値!S54&lt;安値!U54),14,""))</f>
        <v/>
      </c>
      <c r="O54" s="503" t="str">
        <f>IF(終値!A54="","",IF(AND(安値!T54&lt;安値!S54,安値!T54&lt;安値!R54,安値!T54&lt;安値!U54,安値!T54&lt;安値!V54),15,""))</f>
        <v/>
      </c>
      <c r="P54" s="503">
        <f>IF(終値!A54="","",IF(AND(安値!U54&lt;安値!T54,安値!U54&lt;安値!S54,安値!U54&lt;安値!V54,安値!U54&lt;安値!W54),16,""))</f>
        <v>16</v>
      </c>
      <c r="Q54" s="503" t="str">
        <f>IF(終値!A54="","",IF(AND(安値!V54&lt;安値!U54,安値!V54&lt;安値!T54,安値!V54&lt;安値!W54,安値!V54&lt;安値!X54),17,""))</f>
        <v/>
      </c>
      <c r="R54" s="503" t="str">
        <f>IF(終値!A54="","",IF(AND(安値!W54&lt;安値!V54,安値!W54&lt;安値!U54,安値!W54&lt;安値!X54,安値!W54&lt;安値!Y54),18,""))</f>
        <v/>
      </c>
      <c r="S54" s="503" t="str">
        <f>IF(終値!A54="","",IF(AND(安値!X54&lt;安値!W54,安値!X54&lt;安値!V54,安値!X54&lt;安値!Y54,安値!X54&lt;安値!Z54),19,""))</f>
        <v/>
      </c>
      <c r="T54" s="503" t="str">
        <f>IF(終値!A54="","",IF(AND(安値!Y54&lt;安値!X54,安値!Y54&lt;安値!W54,安値!Y54&lt;安値!Z54,安値!Y54&lt;安値!AA54),20,""))</f>
        <v/>
      </c>
      <c r="U54" s="503" t="str">
        <f>IF(終値!A54="","",IF(AND(安値!Z54&lt;安値!Y54,安値!Z54&lt;安値!X54,安値!Z54&lt;安値!AA54,安値!Z54&lt;安値!AB54),21,""))</f>
        <v/>
      </c>
      <c r="V54" s="503" t="str">
        <f>IF(終値!A54="","",IF(AND(安値!AA54&lt;安値!Z54,安値!AA54&lt;安値!Y54,安値!AA54&lt;安値!AB54,安値!AA54&lt;安値!AC54),22,""))</f>
        <v/>
      </c>
      <c r="W54" s="503" t="str">
        <f>IF(終値!A54="","",IF(AND(安値!AB54&lt;安値!AA54,安値!AB54&lt;安値!Z54,安値!AB54&lt;安値!AC54,安値!AB54&lt;安値!AD54),23,""))</f>
        <v/>
      </c>
      <c r="X54" s="503" t="str">
        <f>IF(終値!A54="","",IF(AND(安値!AC54&lt;安値!AB54,安値!AC54&lt;安値!AA54,安値!AC54&lt;安値!AD54,安値!AC54&lt;安値!AE54),24,""))</f>
        <v/>
      </c>
      <c r="Y54" s="503" t="str">
        <f>IF(終値!A54="","",IF(AND(安値!AD54&lt;安値!AC54,安値!AD54&lt;安値!AB54,安値!AD54&lt;安値!AE54,安値!AD54&lt;安値!AF54),25,""))</f>
        <v/>
      </c>
      <c r="Z54" s="503" t="str">
        <f>IF(終値!A54="","",IF(AND(安値!AE54&lt;安値!AD54,安値!AE54&lt;安値!AC54,安値!AE54&lt;安値!AF54,安値!AE54&lt;安値!AG54),26,""))</f>
        <v/>
      </c>
      <c r="AA54" s="503" t="str">
        <f>IF(終値!A54="","",IF(AND(安値!AF54&lt;安値!AE54,安値!AF54&lt;安値!AD54,安値!AF54&lt;安値!AG54,安値!AF54&lt;安値!AH54),27,""))</f>
        <v/>
      </c>
      <c r="AB54" s="503">
        <f>IF(終値!A54="","",IF(AND(安値!AG54&lt;安値!AF54,安値!AG54&lt;安値!AE54,安値!AG54&lt;安値!AH54,安値!AG54&lt;安値!AI54),28,""))</f>
        <v>28</v>
      </c>
      <c r="AC54" s="503" t="str">
        <f>IF(終値!A54="","",IF(AND(高値!G54&gt;高値!F54,高値!G54&gt;高値!E54,高値!G54&gt;高値!H54,高値!G54&gt;高値!I54),2,""))</f>
        <v/>
      </c>
      <c r="AD54" s="503" t="str">
        <f>IF(終値!A54="","",IF(AND(高値!H54&gt;高値!G54,高値!H54&gt;高値!F54,高値!H54&gt;高値!I54,高値!H54&gt;高値!J54),3,""))</f>
        <v/>
      </c>
      <c r="AE54" s="503" t="str">
        <f>IF(終値!A54="","",IF(AND(高値!I54&gt;高値!H54,高値!I54&gt;高値!G54,高値!I54&gt;高値!J54,高値!I54&gt;高値!K54),4,""))</f>
        <v/>
      </c>
      <c r="AF54" s="503" t="str">
        <f>IF(終値!A54="","",IF(AND(高値!J54&gt;高値!I54,高値!J54&gt;高値!H54,高値!J54&gt;高値!K54,高値!J54&gt;高値!L54),5,""))</f>
        <v/>
      </c>
      <c r="AG54" s="503">
        <f>IF(終値!A54="","",IF(AND(高値!K54&gt;高値!J54,高値!K54&gt;高値!I54,高値!K54&gt;高値!L54,高値!K54&gt;高値!M54),6,""))</f>
        <v>6</v>
      </c>
      <c r="AH54" s="503" t="str">
        <f>IF(終値!A54="","",IF(AND(高値!L54&gt;高値!K54,高値!L54&gt;高値!J54,高値!L54&gt;高値!M54,高値!L54&gt;高値!N54),7,""))</f>
        <v/>
      </c>
      <c r="AI54" s="503" t="str">
        <f>IF(終値!A54="","",IF(AND(高値!M54&gt;高値!L54,高値!M54&gt;高値!K54,高値!M54&gt;高値!N54,高値!M54&gt;高値!O54),8,""))</f>
        <v/>
      </c>
      <c r="AJ54" s="503" t="str">
        <f>IF(終値!A54="","",IF(AND(高値!N54&gt;高値!M54,高値!N54&gt;高値!L54,高値!N54&gt;高値!O54,高値!N54&gt;高値!P54),9,""))</f>
        <v/>
      </c>
      <c r="AK54" s="503" t="str">
        <f>IF(終値!A54="","",IF(AND(高値!O54&gt;高値!N54,高値!O54&gt;高値!M54,高値!O54&gt;高値!P54,高値!O54&gt;高値!Q54),10,""))</f>
        <v/>
      </c>
      <c r="AL54" s="503" t="str">
        <f>IF(終値!A54="","",IF(AND(高値!P54&gt;高値!O54,高値!P54&gt;高値!N54,高値!P54&gt;高値!Q54,高値!P54&gt;高値!R54),11,""))</f>
        <v/>
      </c>
      <c r="AM54" s="503" t="str">
        <f>IF(終値!A54="","",IF(AND(高値!Q54&gt;高値!P54,高値!Q54&gt;高値!O54,高値!Q54&gt;高値!R54,高値!Q54&gt;高値!S54),12,""))</f>
        <v/>
      </c>
      <c r="AN54" s="503" t="str">
        <f>IF(終値!A54="","",IF(AND(高値!R54&gt;高値!Q54,高値!R54&gt;高値!P54,高値!R54&gt;高値!S54,高値!R54&gt;高値!T54),13,""))</f>
        <v/>
      </c>
      <c r="AO54" s="503" t="str">
        <f>IF(終値!A54="","",IF(AND(高値!S54&gt;高値!R54,高値!S54&gt;高値!Q54,高値!S54&gt;高値!T54,高値!S54&gt;高値!U54),14,""))</f>
        <v/>
      </c>
      <c r="AP54" s="503" t="str">
        <f>IF(終値!A54="","",IF(AND(高値!T54&gt;高値!S54,高値!T54&gt;高値!R54,高値!T54&gt;高値!U54,高値!T54&gt;高値!V54),15,""))</f>
        <v/>
      </c>
      <c r="AQ54" s="503" t="str">
        <f>IF(終値!A54="","",IF(AND(高値!U54&gt;高値!T54,高値!U54&gt;高値!S54,高値!U54&gt;高値!V54,高値!U54&gt;高値!W54),16,""))</f>
        <v/>
      </c>
      <c r="AR54" s="503" t="str">
        <f>IF(終値!A54="","",IF(AND(高値!V54&gt;高値!U54,高値!V54&gt;高値!T54,高値!V54&gt;高値!W54,高値!V54&gt;高値!X54),17,""))</f>
        <v/>
      </c>
      <c r="AS54" s="503" t="str">
        <f>IF(終値!A54="","",IF(AND(高値!W54&gt;高値!V54,高値!W54&gt;高値!U54,高値!W54&gt;高値!X54,高値!W54&gt;高値!Y54),18,""))</f>
        <v/>
      </c>
      <c r="AT54" s="503" t="str">
        <f>IF(終値!A54="","",IF(AND(高値!X54&gt;高値!W54,高値!X54&gt;高値!V54,高値!X54&gt;高値!Y54,高値!X54&gt;高値!Z54),19,""))</f>
        <v/>
      </c>
      <c r="AU54" s="503">
        <f>IF(終値!A54="","",IF(AND(高値!Y54&gt;高値!X54,高値!Y54&gt;高値!W54,高値!Y54&gt;高値!Z54,高値!Y54&gt;高値!AA54),20,""))</f>
        <v>20</v>
      </c>
      <c r="AV54" s="503" t="str">
        <f>IF(終値!A54="","",IF(AND(高値!Z54&gt;高値!Y54,高値!Z54&gt;高値!X54,高値!Z54&gt;高値!AA54,高値!Z54&gt;高値!AB54),21,""))</f>
        <v/>
      </c>
      <c r="AW54" s="503" t="str">
        <f>IF(終値!A54="","",IF(AND(高値!AA54&gt;高値!Z54,高値!AA54&gt;高値!Y54,高値!AA54&gt;高値!AB54,高値!AA54&gt;高値!AC54),22,""))</f>
        <v/>
      </c>
      <c r="AX54" s="503" t="str">
        <f>IF(終値!A54="","",IF(AND(高値!AB54&gt;高値!AA54,高値!AB54&gt;高値!Z54,高値!AB54&gt;高値!AC54,高値!AB54&gt;高値!AD54),23,""))</f>
        <v/>
      </c>
      <c r="AY54" s="503" t="str">
        <f>IF(終値!A54="","",IF(AND(高値!AC54&gt;高値!AB54,高値!AC54&gt;高値!AA54,高値!AC54&gt;高値!AD54,高値!AC54&gt;高値!AE54),24,""))</f>
        <v/>
      </c>
      <c r="AZ54" s="503" t="str">
        <f>IF(終値!A54="","",IF(AND(高値!AD54&gt;高値!AC54,高値!AD54&gt;高値!AB54,高値!AD54&gt;高値!AE54,高値!AD54&gt;高値!AF54),25,""))</f>
        <v/>
      </c>
      <c r="BA54" s="503" t="str">
        <f>IF(終値!A54="","",IF(AND(高値!AE54&gt;高値!AD54,高値!AE54&gt;高値!AC54,高値!AE54&gt;高値!AF54,高値!AE54&gt;高値!AG54),26,""))</f>
        <v/>
      </c>
      <c r="BB54" s="503" t="str">
        <f>IF(終値!A54="","",IF(AND(高値!AF54&gt;高値!AE54,高値!AF54&gt;高値!AD54,高値!AF54&gt;高値!AG54,高値!AF54&gt;高値!AH54),27,""))</f>
        <v/>
      </c>
      <c r="BC54" s="503" t="str">
        <f>IF(終値!A54="","",IF(AND(高値!AG54&gt;高値!AF54,高値!AG54&gt;高値!AE54,高値!AG54&gt;高値!AH54,高値!AG54&gt;高値!AI54),28,""))</f>
        <v/>
      </c>
      <c r="BD54" s="503">
        <f t="shared" si="0"/>
        <v>3</v>
      </c>
      <c r="BE54" s="503">
        <f t="shared" si="1"/>
        <v>3</v>
      </c>
      <c r="BF54" s="503">
        <f t="shared" si="2"/>
        <v>16</v>
      </c>
      <c r="BG54" s="503">
        <f>IF($BE54="","",INDEX(安値!$E54:$CZ54,1,$BE54+1))</f>
        <v>6740</v>
      </c>
      <c r="BH54" s="503">
        <f>IF($BF54="","",INDEX(安値!$E54:$CZ54,1,$BF54+1))</f>
        <v>6468</v>
      </c>
      <c r="BI54" s="503">
        <f>IF($BF54="","",MAX(INDEX(高値!$E54:$CZ54,1,$BE54+1):INDEX(高値!$E54:$CZ54,1,$BF54+1)))</f>
        <v>7413</v>
      </c>
      <c r="BJ54" s="503">
        <f>IF($BF54="","",AVERAGE(INDEX(終値!$E54:$CZ54,1,$BF54+1):INDEX(終値!$E54:$CZ54,1,$BF54+20))-2*STDEVP(INDEX(終値!$E54:$CZ54,1,$BF54+1):INDEX(終値!$E54:$CZ54,1,$BF54+20)))</f>
        <v>5992.6443658446578</v>
      </c>
      <c r="BK54" s="503">
        <f>IF($BE54="","",AVERAGE(INDEX(終値!$E54:$CZ54,1,$BE54+1):INDEX(終値!$E54:$CZ54,1,$BE54+20))-2*STDEVP(INDEX(終値!$E54:$CZ54,1,$BE54+1):INDEX(終値!$E54:$CZ54,1,$BE54+20)))</f>
        <v>6322.626505079199</v>
      </c>
      <c r="BL54" s="503">
        <f t="shared" si="3"/>
        <v>2</v>
      </c>
      <c r="BM54" s="503">
        <f t="shared" si="4"/>
        <v>6</v>
      </c>
      <c r="BN54" s="503">
        <f t="shared" si="5"/>
        <v>20</v>
      </c>
      <c r="BO54" s="503">
        <f>IF($BM54="","",INDEX(高値!$E54:$CZ54,1,$BM54+1))</f>
        <v>7413</v>
      </c>
      <c r="BP54" s="503">
        <f>IF($BN54="","",INDEX(高値!$E54:$CZ54,1,$BN54+1))</f>
        <v>6820</v>
      </c>
      <c r="BQ54" s="503">
        <f>IF($BN54="","",MIN(INDEX(安値!$E54:$CZ54,1,$BM54+1):INDEX(安値!$E54:$CZ54,1,$BN54+1)))</f>
        <v>6468</v>
      </c>
      <c r="BR54" s="503">
        <f>IF($BN54="","",AVERAGE(INDEX(終値!$E54:$CZ54,1,$BN54+1):INDEX(終値!$E54:$CZ54,1,$BN54+20))+2*STDEVP(INDEX(終値!$E54:$CZ54,1,$BN54+1):INDEX(終値!$E54:$CZ54,1,$BN54+20)))</f>
        <v>6689.3645240366814</v>
      </c>
      <c r="BS54" s="503">
        <f>IF($BM54="","",AVERAGE(INDEX(終値!$E54:$CZ54,1,$BM54+1):INDEX(終値!$E54:$CZ54,1,$BM54+20))+2*STDEVP(INDEX(終値!$E54:$CZ54,1,$BM54+1):INDEX(終値!$E54:$CZ54,1,$BM54+20)))</f>
        <v>7363.4216936312132</v>
      </c>
      <c r="BT54" s="500"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二番底W形成</v>
      </c>
    </row>
    <row r="55" spans="2:72">
      <c r="B55" s="503">
        <f>IF(終値!A55="","",IF(AND(安値!G55&lt;安値!F55,安値!G55&lt;安値!E55,安値!G55&lt;安値!H55,安値!G55&lt;安値!I55),2,""))</f>
        <v>2</v>
      </c>
      <c r="C55" s="503" t="str">
        <f>IF(終値!A55="","",IF(AND(安値!H55&lt;安値!G55,安値!H55&lt;安値!F55,安値!H55&lt;安値!I55,安値!H55&lt;安値!J55),3,""))</f>
        <v/>
      </c>
      <c r="D55" s="503" t="str">
        <f>IF(終値!A55="","",IF(AND(安値!I55&lt;安値!H55,安値!I55&lt;安値!G55,安値!I55&lt;安値!J55,安値!I55&lt;安値!K55),4,""))</f>
        <v/>
      </c>
      <c r="E55" s="503" t="str">
        <f>IF(終値!A55="","",IF(AND(安値!J55&lt;安値!I55,安値!J55&lt;安値!H55,安値!J55&lt;安値!K55,安値!J55&lt;安値!L55),5,""))</f>
        <v/>
      </c>
      <c r="F55" s="503" t="str">
        <f>IF(終値!A55="","",IF(AND(安値!K55&lt;安値!J55,安値!K55&lt;安値!I55,安値!K55&lt;安値!L55,安値!K55&lt;安値!M55),6,""))</f>
        <v/>
      </c>
      <c r="G55" s="503" t="str">
        <f>IF(終値!A55="","",IF(AND(安値!L55&lt;安値!K55,安値!L55&lt;安値!J55,安値!L55&lt;安値!M55,安値!L55&lt;安値!N55),7,""))</f>
        <v/>
      </c>
      <c r="H55" s="503" t="str">
        <f>IF(終値!A55="","",IF(AND(安値!M55&lt;安値!L55,安値!M55&lt;安値!K55,安値!M55&lt;安値!N55,安値!M55&lt;安値!O55),8,""))</f>
        <v/>
      </c>
      <c r="I55" s="503">
        <f>IF(終値!A55="","",IF(AND(安値!N55&lt;安値!M55,安値!N55&lt;安値!L55,安値!N55&lt;安値!O55,安値!N55&lt;安値!P55),9,""))</f>
        <v>9</v>
      </c>
      <c r="J55" s="503" t="str">
        <f>IF(終値!A55="","",IF(AND(安値!O55&lt;安値!N55,安値!O55&lt;安値!M55,安値!O55&lt;安値!P55,安値!O55&lt;安値!Q55),10,""))</f>
        <v/>
      </c>
      <c r="K55" s="503" t="str">
        <f>IF(終値!A55="","",IF(AND(安値!P55&lt;安値!O55,安値!P55&lt;安値!N55,安値!P55&lt;安値!Q55,安値!P55&lt;安値!R55),11,""))</f>
        <v/>
      </c>
      <c r="L55" s="503" t="str">
        <f>IF(終値!A55="","",IF(AND(安値!Q55&lt;安値!P55,安値!Q55&lt;安値!O55,安値!Q55&lt;安値!R55,安値!Q55&lt;安値!S55),12,""))</f>
        <v/>
      </c>
      <c r="M55" s="503" t="str">
        <f>IF(終値!A55="","",IF(AND(安値!R55&lt;安値!Q55,安値!R55&lt;安値!P55,安値!R55&lt;安値!S55,安値!R55&lt;安値!T55),13,""))</f>
        <v/>
      </c>
      <c r="N55" s="503" t="str">
        <f>IF(終値!A55="","",IF(AND(安値!S55&lt;安値!R55,安値!S55&lt;安値!Q55,安値!S55&lt;安値!T55,安値!S55&lt;安値!U55),14,""))</f>
        <v/>
      </c>
      <c r="O55" s="503" t="str">
        <f>IF(終値!A55="","",IF(AND(安値!T55&lt;安値!S55,安値!T55&lt;安値!R55,安値!T55&lt;安値!U55,安値!T55&lt;安値!V55),15,""))</f>
        <v/>
      </c>
      <c r="P55" s="503" t="str">
        <f>IF(終値!A55="","",IF(AND(安値!U55&lt;安値!T55,安値!U55&lt;安値!S55,安値!U55&lt;安値!V55,安値!U55&lt;安値!W55),16,""))</f>
        <v/>
      </c>
      <c r="Q55" s="503" t="str">
        <f>IF(終値!A55="","",IF(AND(安値!V55&lt;安値!U55,安値!V55&lt;安値!T55,安値!V55&lt;安値!W55,安値!V55&lt;安値!X55),17,""))</f>
        <v/>
      </c>
      <c r="R55" s="503" t="str">
        <f>IF(終値!A55="","",IF(AND(安値!W55&lt;安値!V55,安値!W55&lt;安値!U55,安値!W55&lt;安値!X55,安値!W55&lt;安値!Y55),18,""))</f>
        <v/>
      </c>
      <c r="S55" s="503" t="str">
        <f>IF(終値!A55="","",IF(AND(安値!X55&lt;安値!W55,安値!X55&lt;安値!V55,安値!X55&lt;安値!Y55,安値!X55&lt;安値!Z55),19,""))</f>
        <v/>
      </c>
      <c r="T55" s="503" t="str">
        <f>IF(終値!A55="","",IF(AND(安値!Y55&lt;安値!X55,安値!Y55&lt;安値!W55,安値!Y55&lt;安値!Z55,安値!Y55&lt;安値!AA55),20,""))</f>
        <v/>
      </c>
      <c r="U55" s="503" t="str">
        <f>IF(終値!A55="","",IF(AND(安値!Z55&lt;安値!Y55,安値!Z55&lt;安値!X55,安値!Z55&lt;安値!AA55,安値!Z55&lt;安値!AB55),21,""))</f>
        <v/>
      </c>
      <c r="V55" s="503" t="str">
        <f>IF(終値!A55="","",IF(AND(安値!AA55&lt;安値!Z55,安値!AA55&lt;安値!Y55,安値!AA55&lt;安値!AB55,安値!AA55&lt;安値!AC55),22,""))</f>
        <v/>
      </c>
      <c r="W55" s="503" t="str">
        <f>IF(終値!A55="","",IF(AND(安値!AB55&lt;安値!AA55,安値!AB55&lt;安値!Z55,安値!AB55&lt;安値!AC55,安値!AB55&lt;安値!AD55),23,""))</f>
        <v/>
      </c>
      <c r="X55" s="503">
        <f>IF(終値!A55="","",IF(AND(安値!AC55&lt;安値!AB55,安値!AC55&lt;安値!AA55,安値!AC55&lt;安値!AD55,安値!AC55&lt;安値!AE55),24,""))</f>
        <v>24</v>
      </c>
      <c r="Y55" s="503" t="str">
        <f>IF(終値!A55="","",IF(AND(安値!AD55&lt;安値!AC55,安値!AD55&lt;安値!AB55,安値!AD55&lt;安値!AE55,安値!AD55&lt;安値!AF55),25,""))</f>
        <v/>
      </c>
      <c r="Z55" s="503" t="str">
        <f>IF(終値!A55="","",IF(AND(安値!AE55&lt;安値!AD55,安値!AE55&lt;安値!AC55,安値!AE55&lt;安値!AF55,安値!AE55&lt;安値!AG55),26,""))</f>
        <v/>
      </c>
      <c r="AA55" s="503" t="str">
        <f>IF(終値!A55="","",IF(AND(安値!AF55&lt;安値!AE55,安値!AF55&lt;安値!AD55,安値!AF55&lt;安値!AG55,安値!AF55&lt;安値!AH55),27,""))</f>
        <v/>
      </c>
      <c r="AB55" s="503" t="str">
        <f>IF(終値!A55="","",IF(AND(安値!AG55&lt;安値!AF55,安値!AG55&lt;安値!AE55,安値!AG55&lt;安値!AH55,安値!AG55&lt;安値!AI55),28,""))</f>
        <v/>
      </c>
      <c r="AC55" s="503" t="str">
        <f>IF(終値!A55="","",IF(AND(高値!G55&gt;高値!F55,高値!G55&gt;高値!E55,高値!G55&gt;高値!H55,高値!G55&gt;高値!I55),2,""))</f>
        <v/>
      </c>
      <c r="AD55" s="503" t="str">
        <f>IF(終値!A55="","",IF(AND(高値!H55&gt;高値!G55,高値!H55&gt;高値!F55,高値!H55&gt;高値!I55,高値!H55&gt;高値!J55),3,""))</f>
        <v/>
      </c>
      <c r="AE55" s="503" t="str">
        <f>IF(終値!A55="","",IF(AND(高値!I55&gt;高値!H55,高値!I55&gt;高値!G55,高値!I55&gt;高値!J55,高値!I55&gt;高値!K55),4,""))</f>
        <v/>
      </c>
      <c r="AF55" s="503" t="str">
        <f>IF(終値!A55="","",IF(AND(高値!J55&gt;高値!I55,高値!J55&gt;高値!H55,高値!J55&gt;高値!K55,高値!J55&gt;高値!L55),5,""))</f>
        <v/>
      </c>
      <c r="AG55" s="503">
        <f>IF(終値!A55="","",IF(AND(高値!K55&gt;高値!J55,高値!K55&gt;高値!I55,高値!K55&gt;高値!L55,高値!K55&gt;高値!M55),6,""))</f>
        <v>6</v>
      </c>
      <c r="AH55" s="503" t="str">
        <f>IF(終値!A55="","",IF(AND(高値!L55&gt;高値!K55,高値!L55&gt;高値!J55,高値!L55&gt;高値!M55,高値!L55&gt;高値!N55),7,""))</f>
        <v/>
      </c>
      <c r="AI55" s="503" t="str">
        <f>IF(終値!A55="","",IF(AND(高値!M55&gt;高値!L55,高値!M55&gt;高値!K55,高値!M55&gt;高値!N55,高値!M55&gt;高値!O55),8,""))</f>
        <v/>
      </c>
      <c r="AJ55" s="503" t="str">
        <f>IF(終値!A55="","",IF(AND(高値!N55&gt;高値!M55,高値!N55&gt;高値!L55,高値!N55&gt;高値!O55,高値!N55&gt;高値!P55),9,""))</f>
        <v/>
      </c>
      <c r="AK55" s="503" t="str">
        <f>IF(終値!A55="","",IF(AND(高値!O55&gt;高値!N55,高値!O55&gt;高値!M55,高値!O55&gt;高値!P55,高値!O55&gt;高値!Q55),10,""))</f>
        <v/>
      </c>
      <c r="AL55" s="503" t="str">
        <f>IF(終値!A55="","",IF(AND(高値!P55&gt;高値!O55,高値!P55&gt;高値!N55,高値!P55&gt;高値!Q55,高値!P55&gt;高値!R55),11,""))</f>
        <v/>
      </c>
      <c r="AM55" s="503" t="str">
        <f>IF(終値!A55="","",IF(AND(高値!Q55&gt;高値!P55,高値!Q55&gt;高値!O55,高値!Q55&gt;高値!R55,高値!Q55&gt;高値!S55),12,""))</f>
        <v/>
      </c>
      <c r="AN55" s="503" t="str">
        <f>IF(終値!A55="","",IF(AND(高値!R55&gt;高値!Q55,高値!R55&gt;高値!P55,高値!R55&gt;高値!S55,高値!R55&gt;高値!T55),13,""))</f>
        <v/>
      </c>
      <c r="AO55" s="503" t="str">
        <f>IF(終値!A55="","",IF(AND(高値!S55&gt;高値!R55,高値!S55&gt;高値!Q55,高値!S55&gt;高値!T55,高値!S55&gt;高値!U55),14,""))</f>
        <v/>
      </c>
      <c r="AP55" s="503" t="str">
        <f>IF(終値!A55="","",IF(AND(高値!T55&gt;高値!S55,高値!T55&gt;高値!R55,高値!T55&gt;高値!U55,高値!T55&gt;高値!V55),15,""))</f>
        <v/>
      </c>
      <c r="AQ55" s="503" t="str">
        <f>IF(終値!A55="","",IF(AND(高値!U55&gt;高値!T55,高値!U55&gt;高値!S55,高値!U55&gt;高値!V55,高値!U55&gt;高値!W55),16,""))</f>
        <v/>
      </c>
      <c r="AR55" s="503" t="str">
        <f>IF(終値!A55="","",IF(AND(高値!V55&gt;高値!U55,高値!V55&gt;高値!T55,高値!V55&gt;高値!W55,高値!V55&gt;高値!X55),17,""))</f>
        <v/>
      </c>
      <c r="AS55" s="503" t="str">
        <f>IF(終値!A55="","",IF(AND(高値!W55&gt;高値!V55,高値!W55&gt;高値!U55,高値!W55&gt;高値!X55,高値!W55&gt;高値!Y55),18,""))</f>
        <v/>
      </c>
      <c r="AT55" s="503" t="str">
        <f>IF(終値!A55="","",IF(AND(高値!X55&gt;高値!W55,高値!X55&gt;高値!V55,高値!X55&gt;高値!Y55,高値!X55&gt;高値!Z55),19,""))</f>
        <v/>
      </c>
      <c r="AU55" s="503">
        <f>IF(終値!A55="","",IF(AND(高値!Y55&gt;高値!X55,高値!Y55&gt;高値!W55,高値!Y55&gt;高値!Z55,高値!Y55&gt;高値!AA55),20,""))</f>
        <v>20</v>
      </c>
      <c r="AV55" s="503" t="str">
        <f>IF(終値!A55="","",IF(AND(高値!Z55&gt;高値!Y55,高値!Z55&gt;高値!X55,高値!Z55&gt;高値!AA55,高値!Z55&gt;高値!AB55),21,""))</f>
        <v/>
      </c>
      <c r="AW55" s="503" t="str">
        <f>IF(終値!A55="","",IF(AND(高値!AA55&gt;高値!Z55,高値!AA55&gt;高値!Y55,高値!AA55&gt;高値!AB55,高値!AA55&gt;高値!AC55),22,""))</f>
        <v/>
      </c>
      <c r="AX55" s="503" t="str">
        <f>IF(終値!A55="","",IF(AND(高値!AB55&gt;高値!AA55,高値!AB55&gt;高値!Z55,高値!AB55&gt;高値!AC55,高値!AB55&gt;高値!AD55),23,""))</f>
        <v/>
      </c>
      <c r="AY55" s="503" t="str">
        <f>IF(終値!A55="","",IF(AND(高値!AC55&gt;高値!AB55,高値!AC55&gt;高値!AA55,高値!AC55&gt;高値!AD55,高値!AC55&gt;高値!AE55),24,""))</f>
        <v/>
      </c>
      <c r="AZ55" s="503" t="str">
        <f>IF(終値!A55="","",IF(AND(高値!AD55&gt;高値!AC55,高値!AD55&gt;高値!AB55,高値!AD55&gt;高値!AE55,高値!AD55&gt;高値!AF55),25,""))</f>
        <v/>
      </c>
      <c r="BA55" s="503" t="str">
        <f>IF(終値!A55="","",IF(AND(高値!AE55&gt;高値!AD55,高値!AE55&gt;高値!AC55,高値!AE55&gt;高値!AF55,高値!AE55&gt;高値!AG55),26,""))</f>
        <v/>
      </c>
      <c r="BB55" s="503">
        <f>IF(終値!A55="","",IF(AND(高値!AF55&gt;高値!AE55,高値!AF55&gt;高値!AD55,高値!AF55&gt;高値!AG55,高値!AF55&gt;高値!AH55),27,""))</f>
        <v>27</v>
      </c>
      <c r="BC55" s="503" t="str">
        <f>IF(終値!A55="","",IF(AND(高値!AG55&gt;高値!AF55,高値!AG55&gt;高値!AE55,高値!AG55&gt;高値!AH55,高値!AG55&gt;高値!AI55),28,""))</f>
        <v/>
      </c>
      <c r="BD55" s="503">
        <f t="shared" si="0"/>
        <v>3</v>
      </c>
      <c r="BE55" s="503">
        <f t="shared" si="1"/>
        <v>2</v>
      </c>
      <c r="BF55" s="503">
        <f t="shared" si="2"/>
        <v>9</v>
      </c>
      <c r="BG55" s="503">
        <f>IF($BE55="","",INDEX(安値!$E55:$CZ55,1,$BE55+1))</f>
        <v>3955</v>
      </c>
      <c r="BH55" s="503">
        <f>IF($BF55="","",INDEX(安値!$E55:$CZ55,1,$BF55+1))</f>
        <v>4021</v>
      </c>
      <c r="BI55" s="503">
        <f>IF($BF55="","",MAX(INDEX(高値!$E55:$CZ55,1,$BE55+1):INDEX(高値!$E55:$CZ55,1,$BF55+1)))</f>
        <v>4186</v>
      </c>
      <c r="BJ55" s="503">
        <f>IF($BF55="","",AVERAGE(INDEX(終値!$E55:$CZ55,1,$BF55+1):INDEX(終値!$E55:$CZ55,1,$BF55+20))-2*STDEVP(INDEX(終値!$E55:$CZ55,1,$BF55+1):INDEX(終値!$E55:$CZ55,1,$BF55+20)))</f>
        <v>3988.9192562349472</v>
      </c>
      <c r="BK55" s="503">
        <f>IF($BE55="","",AVERAGE(INDEX(終値!$E55:$CZ55,1,$BE55+1):INDEX(終値!$E55:$CZ55,1,$BE55+20))-2*STDEVP(INDEX(終値!$E55:$CZ55,1,$BE55+1):INDEX(終値!$E55:$CZ55,1,$BE55+20)))</f>
        <v>3963.8674216709751</v>
      </c>
      <c r="BL55" s="503">
        <f t="shared" si="3"/>
        <v>3</v>
      </c>
      <c r="BM55" s="503">
        <f t="shared" si="4"/>
        <v>6</v>
      </c>
      <c r="BN55" s="503">
        <f t="shared" si="5"/>
        <v>20</v>
      </c>
      <c r="BO55" s="503">
        <f>IF($BM55="","",INDEX(高値!$E55:$CZ55,1,$BM55+1))</f>
        <v>4186</v>
      </c>
      <c r="BP55" s="503">
        <f>IF($BN55="","",INDEX(高値!$E55:$CZ55,1,$BN55+1))</f>
        <v>4175</v>
      </c>
      <c r="BQ55" s="503">
        <f>IF($BN55="","",MIN(INDEX(安値!$E55:$CZ55,1,$BM55+1):INDEX(安値!$E55:$CZ55,1,$BN55+1)))</f>
        <v>3981</v>
      </c>
      <c r="BR55" s="503">
        <f>IF($BN55="","",AVERAGE(INDEX(終値!$E55:$CZ55,1,$BN55+1):INDEX(終値!$E55:$CZ55,1,$BN55+20))+2*STDEVP(INDEX(終値!$E55:$CZ55,1,$BN55+1):INDEX(終値!$E55:$CZ55,1,$BN55+20)))</f>
        <v>4251.1999668170929</v>
      </c>
      <c r="BS55" s="503">
        <f>IF($BM55="","",AVERAGE(INDEX(終値!$E55:$CZ55,1,$BM55+1):INDEX(終値!$E55:$CZ55,1,$BM55+20))+2*STDEVP(INDEX(終値!$E55:$CZ55,1,$BM55+1):INDEX(終値!$E55:$CZ55,1,$BM55+20)))</f>
        <v>4194.9156610516029</v>
      </c>
      <c r="BT55" s="500"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二番底W▲</v>
      </c>
    </row>
    <row r="56" spans="2:72">
      <c r="B56" s="503" t="str">
        <f>IF(終値!A56="","",IF(AND(安値!G56&lt;安値!F56,安値!G56&lt;安値!E56,安値!G56&lt;安値!H56,安値!G56&lt;安値!I56),2,""))</f>
        <v/>
      </c>
      <c r="C56" s="503" t="str">
        <f>IF(終値!A56="","",IF(AND(安値!H56&lt;安値!G56,安値!H56&lt;安値!F56,安値!H56&lt;安値!I56,安値!H56&lt;安値!J56),3,""))</f>
        <v/>
      </c>
      <c r="D56" s="503" t="str">
        <f>IF(終値!A56="","",IF(AND(安値!I56&lt;安値!H56,安値!I56&lt;安値!G56,安値!I56&lt;安値!J56,安値!I56&lt;安値!K56),4,""))</f>
        <v/>
      </c>
      <c r="E56" s="503" t="str">
        <f>IF(終値!A56="","",IF(AND(安値!J56&lt;安値!I56,安値!J56&lt;安値!H56,安値!J56&lt;安値!K56,安値!J56&lt;安値!L56),5,""))</f>
        <v/>
      </c>
      <c r="F56" s="503">
        <f>IF(終値!A56="","",IF(AND(安値!K56&lt;安値!J56,安値!K56&lt;安値!I56,安値!K56&lt;安値!L56,安値!K56&lt;安値!M56),6,""))</f>
        <v>6</v>
      </c>
      <c r="G56" s="503" t="str">
        <f>IF(終値!A56="","",IF(AND(安値!L56&lt;安値!K56,安値!L56&lt;安値!J56,安値!L56&lt;安値!M56,安値!L56&lt;安値!N56),7,""))</f>
        <v/>
      </c>
      <c r="H56" s="503" t="str">
        <f>IF(終値!A56="","",IF(AND(安値!M56&lt;安値!L56,安値!M56&lt;安値!K56,安値!M56&lt;安値!N56,安値!M56&lt;安値!O56),8,""))</f>
        <v/>
      </c>
      <c r="I56" s="503" t="str">
        <f>IF(終値!A56="","",IF(AND(安値!N56&lt;安値!M56,安値!N56&lt;安値!L56,安値!N56&lt;安値!O56,安値!N56&lt;安値!P56),9,""))</f>
        <v/>
      </c>
      <c r="J56" s="503" t="str">
        <f>IF(終値!A56="","",IF(AND(安値!O56&lt;安値!N56,安値!O56&lt;安値!M56,安値!O56&lt;安値!P56,安値!O56&lt;安値!Q56),10,""))</f>
        <v/>
      </c>
      <c r="K56" s="503" t="str">
        <f>IF(終値!A56="","",IF(AND(安値!P56&lt;安値!O56,安値!P56&lt;安値!N56,安値!P56&lt;安値!Q56,安値!P56&lt;安値!R56),11,""))</f>
        <v/>
      </c>
      <c r="L56" s="503" t="str">
        <f>IF(終値!A56="","",IF(AND(安値!Q56&lt;安値!P56,安値!Q56&lt;安値!O56,安値!Q56&lt;安値!R56,安値!Q56&lt;安値!S56),12,""))</f>
        <v/>
      </c>
      <c r="M56" s="503">
        <f>IF(終値!A56="","",IF(AND(安値!R56&lt;安値!Q56,安値!R56&lt;安値!P56,安値!R56&lt;安値!S56,安値!R56&lt;安値!T56),13,""))</f>
        <v>13</v>
      </c>
      <c r="N56" s="503" t="str">
        <f>IF(終値!A56="","",IF(AND(安値!S56&lt;安値!R56,安値!S56&lt;安値!Q56,安値!S56&lt;安値!T56,安値!S56&lt;安値!U56),14,""))</f>
        <v/>
      </c>
      <c r="O56" s="503" t="str">
        <f>IF(終値!A56="","",IF(AND(安値!T56&lt;安値!S56,安値!T56&lt;安値!R56,安値!T56&lt;安値!U56,安値!T56&lt;安値!V56),15,""))</f>
        <v/>
      </c>
      <c r="P56" s="503" t="str">
        <f>IF(終値!A56="","",IF(AND(安値!U56&lt;安値!T56,安値!U56&lt;安値!S56,安値!U56&lt;安値!V56,安値!U56&lt;安値!W56),16,""))</f>
        <v/>
      </c>
      <c r="Q56" s="503" t="str">
        <f>IF(終値!A56="","",IF(AND(安値!V56&lt;安値!U56,安値!V56&lt;安値!T56,安値!V56&lt;安値!W56,安値!V56&lt;安値!X56),17,""))</f>
        <v/>
      </c>
      <c r="R56" s="503" t="str">
        <f>IF(終値!A56="","",IF(AND(安値!W56&lt;安値!V56,安値!W56&lt;安値!U56,安値!W56&lt;安値!X56,安値!W56&lt;安値!Y56),18,""))</f>
        <v/>
      </c>
      <c r="S56" s="503" t="str">
        <f>IF(終値!A56="","",IF(AND(安値!X56&lt;安値!W56,安値!X56&lt;安値!V56,安値!X56&lt;安値!Y56,安値!X56&lt;安値!Z56),19,""))</f>
        <v/>
      </c>
      <c r="T56" s="503" t="str">
        <f>IF(終値!A56="","",IF(AND(安値!Y56&lt;安値!X56,安値!Y56&lt;安値!W56,安値!Y56&lt;安値!Z56,安値!Y56&lt;安値!AA56),20,""))</f>
        <v/>
      </c>
      <c r="U56" s="503" t="str">
        <f>IF(終値!A56="","",IF(AND(安値!Z56&lt;安値!Y56,安値!Z56&lt;安値!X56,安値!Z56&lt;安値!AA56,安値!Z56&lt;安値!AB56),21,""))</f>
        <v/>
      </c>
      <c r="V56" s="503" t="str">
        <f>IF(終値!A56="","",IF(AND(安値!AA56&lt;安値!Z56,安値!AA56&lt;安値!Y56,安値!AA56&lt;安値!AB56,安値!AA56&lt;安値!AC56),22,""))</f>
        <v/>
      </c>
      <c r="W56" s="503" t="str">
        <f>IF(終値!A56="","",IF(AND(安値!AB56&lt;安値!AA56,安値!AB56&lt;安値!Z56,安値!AB56&lt;安値!AC56,安値!AB56&lt;安値!AD56),23,""))</f>
        <v/>
      </c>
      <c r="X56" s="503" t="str">
        <f>IF(終値!A56="","",IF(AND(安値!AC56&lt;安値!AB56,安値!AC56&lt;安値!AA56,安値!AC56&lt;安値!AD56,安値!AC56&lt;安値!AE56),24,""))</f>
        <v/>
      </c>
      <c r="Y56" s="503" t="str">
        <f>IF(終値!A56="","",IF(AND(安値!AD56&lt;安値!AC56,安値!AD56&lt;安値!AB56,安値!AD56&lt;安値!AE56,安値!AD56&lt;安値!AF56),25,""))</f>
        <v/>
      </c>
      <c r="Z56" s="503" t="str">
        <f>IF(終値!A56="","",IF(AND(安値!AE56&lt;安値!AD56,安値!AE56&lt;安値!AC56,安値!AE56&lt;安値!AF56,安値!AE56&lt;安値!AG56),26,""))</f>
        <v/>
      </c>
      <c r="AA56" s="503">
        <f>IF(終値!A56="","",IF(AND(安値!AF56&lt;安値!AE56,安値!AF56&lt;安値!AD56,安値!AF56&lt;安値!AG56,安値!AF56&lt;安値!AH56),27,""))</f>
        <v>27</v>
      </c>
      <c r="AB56" s="503" t="str">
        <f>IF(終値!A56="","",IF(AND(安値!AG56&lt;安値!AF56,安値!AG56&lt;安値!AE56,安値!AG56&lt;安値!AH56,安値!AG56&lt;安値!AI56),28,""))</f>
        <v/>
      </c>
      <c r="AC56" s="503" t="str">
        <f>IF(終値!A56="","",IF(AND(高値!G56&gt;高値!F56,高値!G56&gt;高値!E56,高値!G56&gt;高値!H56,高値!G56&gt;高値!I56),2,""))</f>
        <v/>
      </c>
      <c r="AD56" s="503" t="str">
        <f>IF(終値!A56="","",IF(AND(高値!H56&gt;高値!G56,高値!H56&gt;高値!F56,高値!H56&gt;高値!I56,高値!H56&gt;高値!J56),3,""))</f>
        <v/>
      </c>
      <c r="AE56" s="503" t="str">
        <f>IF(終値!A56="","",IF(AND(高値!I56&gt;高値!H56,高値!I56&gt;高値!G56,高値!I56&gt;高値!J56,高値!I56&gt;高値!K56),4,""))</f>
        <v/>
      </c>
      <c r="AF56" s="503" t="str">
        <f>IF(終値!A56="","",IF(AND(高値!J56&gt;高値!I56,高値!J56&gt;高値!H56,高値!J56&gt;高値!K56,高値!J56&gt;高値!L56),5,""))</f>
        <v/>
      </c>
      <c r="AG56" s="503" t="str">
        <f>IF(終値!A56="","",IF(AND(高値!K56&gt;高値!J56,高値!K56&gt;高値!I56,高値!K56&gt;高値!L56,高値!K56&gt;高値!M56),6,""))</f>
        <v/>
      </c>
      <c r="AH56" s="503" t="str">
        <f>IF(終値!A56="","",IF(AND(高値!L56&gt;高値!K56,高値!L56&gt;高値!J56,高値!L56&gt;高値!M56,高値!L56&gt;高値!N56),7,""))</f>
        <v/>
      </c>
      <c r="AI56" s="503" t="str">
        <f>IF(終値!A56="","",IF(AND(高値!M56&gt;高値!L56,高値!M56&gt;高値!K56,高値!M56&gt;高値!N56,高値!M56&gt;高値!O56),8,""))</f>
        <v/>
      </c>
      <c r="AJ56" s="503" t="str">
        <f>IF(終値!A56="","",IF(AND(高値!N56&gt;高値!M56,高値!N56&gt;高値!L56,高値!N56&gt;高値!O56,高値!N56&gt;高値!P56),9,""))</f>
        <v/>
      </c>
      <c r="AK56" s="503" t="str">
        <f>IF(終値!A56="","",IF(AND(高値!O56&gt;高値!N56,高値!O56&gt;高値!M56,高値!O56&gt;高値!P56,高値!O56&gt;高値!Q56),10,""))</f>
        <v/>
      </c>
      <c r="AL56" s="503">
        <f>IF(終値!A56="","",IF(AND(高値!P56&gt;高値!O56,高値!P56&gt;高値!N56,高値!P56&gt;高値!Q56,高値!P56&gt;高値!R56),11,""))</f>
        <v>11</v>
      </c>
      <c r="AM56" s="503" t="str">
        <f>IF(終値!A56="","",IF(AND(高値!Q56&gt;高値!P56,高値!Q56&gt;高値!O56,高値!Q56&gt;高値!R56,高値!Q56&gt;高値!S56),12,""))</f>
        <v/>
      </c>
      <c r="AN56" s="503" t="str">
        <f>IF(終値!A56="","",IF(AND(高値!R56&gt;高値!Q56,高値!R56&gt;高値!P56,高値!R56&gt;高値!S56,高値!R56&gt;高値!T56),13,""))</f>
        <v/>
      </c>
      <c r="AO56" s="503" t="str">
        <f>IF(終値!A56="","",IF(AND(高値!S56&gt;高値!R56,高値!S56&gt;高値!Q56,高値!S56&gt;高値!T56,高値!S56&gt;高値!U56),14,""))</f>
        <v/>
      </c>
      <c r="AP56" s="503" t="str">
        <f>IF(終値!A56="","",IF(AND(高値!T56&gt;高値!S56,高値!T56&gt;高値!R56,高値!T56&gt;高値!U56,高値!T56&gt;高値!V56),15,""))</f>
        <v/>
      </c>
      <c r="AQ56" s="503" t="str">
        <f>IF(終値!A56="","",IF(AND(高値!U56&gt;高値!T56,高値!U56&gt;高値!S56,高値!U56&gt;高値!V56,高値!U56&gt;高値!W56),16,""))</f>
        <v/>
      </c>
      <c r="AR56" s="503" t="str">
        <f>IF(終値!A56="","",IF(AND(高値!V56&gt;高値!U56,高値!V56&gt;高値!T56,高値!V56&gt;高値!W56,高値!V56&gt;高値!X56),17,""))</f>
        <v/>
      </c>
      <c r="AS56" s="503" t="str">
        <f>IF(終値!A56="","",IF(AND(高値!W56&gt;高値!V56,高値!W56&gt;高値!U56,高値!W56&gt;高値!X56,高値!W56&gt;高値!Y56),18,""))</f>
        <v/>
      </c>
      <c r="AT56" s="503" t="str">
        <f>IF(終値!A56="","",IF(AND(高値!X56&gt;高値!W56,高値!X56&gt;高値!V56,高値!X56&gt;高値!Y56,高値!X56&gt;高値!Z56),19,""))</f>
        <v/>
      </c>
      <c r="AU56" s="503" t="str">
        <f>IF(終値!A56="","",IF(AND(高値!Y56&gt;高値!X56,高値!Y56&gt;高値!W56,高値!Y56&gt;高値!Z56,高値!Y56&gt;高値!AA56),20,""))</f>
        <v/>
      </c>
      <c r="AV56" s="503">
        <f>IF(終値!A56="","",IF(AND(高値!Z56&gt;高値!Y56,高値!Z56&gt;高値!X56,高値!Z56&gt;高値!AA56,高値!Z56&gt;高値!AB56),21,""))</f>
        <v>21</v>
      </c>
      <c r="AW56" s="503" t="str">
        <f>IF(終値!A56="","",IF(AND(高値!AA56&gt;高値!Z56,高値!AA56&gt;高値!Y56,高値!AA56&gt;高値!AB56,高値!AA56&gt;高値!AC56),22,""))</f>
        <v/>
      </c>
      <c r="AX56" s="503" t="str">
        <f>IF(終値!A56="","",IF(AND(高値!AB56&gt;高値!AA56,高値!AB56&gt;高値!Z56,高値!AB56&gt;高値!AC56,高値!AB56&gt;高値!AD56),23,""))</f>
        <v/>
      </c>
      <c r="AY56" s="503" t="str">
        <f>IF(終値!A56="","",IF(AND(高値!AC56&gt;高値!AB56,高値!AC56&gt;高値!AA56,高値!AC56&gt;高値!AD56,高値!AC56&gt;高値!AE56),24,""))</f>
        <v/>
      </c>
      <c r="AZ56" s="503">
        <f>IF(終値!A56="","",IF(AND(高値!AD56&gt;高値!AC56,高値!AD56&gt;高値!AB56,高値!AD56&gt;高値!AE56,高値!AD56&gt;高値!AF56),25,""))</f>
        <v>25</v>
      </c>
      <c r="BA56" s="503" t="str">
        <f>IF(終値!A56="","",IF(AND(高値!AE56&gt;高値!AD56,高値!AE56&gt;高値!AC56,高値!AE56&gt;高値!AF56,高値!AE56&gt;高値!AG56),26,""))</f>
        <v/>
      </c>
      <c r="BB56" s="503" t="str">
        <f>IF(終値!A56="","",IF(AND(高値!AF56&gt;高値!AE56,高値!AF56&gt;高値!AD56,高値!AF56&gt;高値!AG56,高値!AF56&gt;高値!AH56),27,""))</f>
        <v/>
      </c>
      <c r="BC56" s="503" t="str">
        <f>IF(終値!A56="","",IF(AND(高値!AG56&gt;高値!AF56,高値!AG56&gt;高値!AE56,高値!AG56&gt;高値!AH56,高値!AG56&gt;高値!AI56),28,""))</f>
        <v/>
      </c>
      <c r="BD56" s="503">
        <f t="shared" si="0"/>
        <v>3</v>
      </c>
      <c r="BE56" s="503">
        <f t="shared" si="1"/>
        <v>6</v>
      </c>
      <c r="BF56" s="503">
        <f t="shared" si="2"/>
        <v>13</v>
      </c>
      <c r="BG56" s="503">
        <f>IF($BE56="","",INDEX(安値!$E56:$CZ56,1,$BE56+1))</f>
        <v>2007</v>
      </c>
      <c r="BH56" s="503">
        <f>IF($BF56="","",INDEX(安値!$E56:$CZ56,1,$BF56+1))</f>
        <v>2226</v>
      </c>
      <c r="BI56" s="503">
        <f>IF($BF56="","",MAX(INDEX(高値!$E56:$CZ56,1,$BE56+1):INDEX(高値!$E56:$CZ56,1,$BF56+1)))</f>
        <v>2375</v>
      </c>
      <c r="BJ56" s="503">
        <f>IF($BF56="","",AVERAGE(INDEX(終値!$E56:$CZ56,1,$BF56+1):INDEX(終値!$E56:$CZ56,1,$BF56+20))-2*STDEVP(INDEX(終値!$E56:$CZ56,1,$BF56+1):INDEX(終値!$E56:$CZ56,1,$BF56+20)))</f>
        <v>2195.6906706733594</v>
      </c>
      <c r="BK56" s="503">
        <f>IF($BE56="","",AVERAGE(INDEX(終値!$E56:$CZ56,1,$BE56+1):INDEX(終値!$E56:$CZ56,1,$BE56+20))-2*STDEVP(INDEX(終値!$E56:$CZ56,1,$BE56+1):INDEX(終値!$E56:$CZ56,1,$BE56+20)))</f>
        <v>2042.3228707155474</v>
      </c>
      <c r="BL56" s="503">
        <f t="shared" si="3"/>
        <v>3</v>
      </c>
      <c r="BM56" s="503">
        <f t="shared" si="4"/>
        <v>11</v>
      </c>
      <c r="BN56" s="503">
        <f t="shared" si="5"/>
        <v>21</v>
      </c>
      <c r="BO56" s="503">
        <f>IF($BM56="","",INDEX(高値!$E56:$CZ56,1,$BM56+1))</f>
        <v>2375</v>
      </c>
      <c r="BP56" s="503">
        <f>IF($BN56="","",INDEX(高値!$E56:$CZ56,1,$BN56+1))</f>
        <v>2792</v>
      </c>
      <c r="BQ56" s="503">
        <f>IF($BN56="","",MIN(INDEX(安値!$E56:$CZ56,1,$BM56+1):INDEX(安値!$E56:$CZ56,1,$BN56+1)))</f>
        <v>2226</v>
      </c>
      <c r="BR56" s="503">
        <f>IF($BN56="","",AVERAGE(INDEX(終値!$E56:$CZ56,1,$BN56+1):INDEX(終値!$E56:$CZ56,1,$BN56+20))+2*STDEVP(INDEX(終値!$E56:$CZ56,1,$BN56+1):INDEX(終値!$E56:$CZ56,1,$BN56+20)))</f>
        <v>3648.4864149288715</v>
      </c>
      <c r="BS56" s="503">
        <f>IF($BM56="","",AVERAGE(INDEX(終値!$E56:$CZ56,1,$BM56+1):INDEX(終値!$E56:$CZ56,1,$BM56+20))+2*STDEVP(INDEX(終値!$E56:$CZ56,1,$BM56+1):INDEX(終値!$E56:$CZ56,1,$BM56+20)))</f>
        <v>2870.8671567051283</v>
      </c>
      <c r="BT56" s="500"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3" t="str">
        <f>IF(終値!A57="","",IF(AND(安値!G57&lt;安値!F57,安値!G57&lt;安値!E57,安値!G57&lt;安値!H57,安値!G57&lt;安値!I57),2,""))</f>
        <v/>
      </c>
      <c r="C57" s="503" t="str">
        <f>IF(終値!A57="","",IF(AND(安値!H57&lt;安値!G57,安値!H57&lt;安値!F57,安値!H57&lt;安値!I57,安値!H57&lt;安値!J57),3,""))</f>
        <v/>
      </c>
      <c r="D57" s="503" t="str">
        <f>IF(終値!A57="","",IF(AND(安値!I57&lt;安値!H57,安値!I57&lt;安値!G57,安値!I57&lt;安値!J57,安値!I57&lt;安値!K57),4,""))</f>
        <v/>
      </c>
      <c r="E57" s="503">
        <f>IF(終値!A57="","",IF(AND(安値!J57&lt;安値!I57,安値!J57&lt;安値!H57,安値!J57&lt;安値!K57,安値!J57&lt;安値!L57),5,""))</f>
        <v>5</v>
      </c>
      <c r="F57" s="503" t="str">
        <f>IF(終値!A57="","",IF(AND(安値!K57&lt;安値!J57,安値!K57&lt;安値!I57,安値!K57&lt;安値!L57,安値!K57&lt;安値!M57),6,""))</f>
        <v/>
      </c>
      <c r="G57" s="503" t="str">
        <f>IF(終値!A57="","",IF(AND(安値!L57&lt;安値!K57,安値!L57&lt;安値!J57,安値!L57&lt;安値!M57,安値!L57&lt;安値!N57),7,""))</f>
        <v/>
      </c>
      <c r="H57" s="503" t="str">
        <f>IF(終値!A57="","",IF(AND(安値!M57&lt;安値!L57,安値!M57&lt;安値!K57,安値!M57&lt;安値!N57,安値!M57&lt;安値!O57),8,""))</f>
        <v/>
      </c>
      <c r="I57" s="503" t="str">
        <f>IF(終値!A57="","",IF(AND(安値!N57&lt;安値!M57,安値!N57&lt;安値!L57,安値!N57&lt;安値!O57,安値!N57&lt;安値!P57),9,""))</f>
        <v/>
      </c>
      <c r="J57" s="503" t="str">
        <f>IF(終値!A57="","",IF(AND(安値!O57&lt;安値!N57,安値!O57&lt;安値!M57,安値!O57&lt;安値!P57,安値!O57&lt;安値!Q57),10,""))</f>
        <v/>
      </c>
      <c r="K57" s="503" t="str">
        <f>IF(終値!A57="","",IF(AND(安値!P57&lt;安値!O57,安値!P57&lt;安値!N57,安値!P57&lt;安値!Q57,安値!P57&lt;安値!R57),11,""))</f>
        <v/>
      </c>
      <c r="L57" s="503" t="str">
        <f>IF(終値!A57="","",IF(AND(安値!Q57&lt;安値!P57,安値!Q57&lt;安値!O57,安値!Q57&lt;安値!R57,安値!Q57&lt;安値!S57),12,""))</f>
        <v/>
      </c>
      <c r="M57" s="503">
        <f>IF(終値!A57="","",IF(AND(安値!R57&lt;安値!Q57,安値!R57&lt;安値!P57,安値!R57&lt;安値!S57,安値!R57&lt;安値!T57),13,""))</f>
        <v>13</v>
      </c>
      <c r="N57" s="503" t="str">
        <f>IF(終値!A57="","",IF(AND(安値!S57&lt;安値!R57,安値!S57&lt;安値!Q57,安値!S57&lt;安値!T57,安値!S57&lt;安値!U57),14,""))</f>
        <v/>
      </c>
      <c r="O57" s="503" t="str">
        <f>IF(終値!A57="","",IF(AND(安値!T57&lt;安値!S57,安値!T57&lt;安値!R57,安値!T57&lt;安値!U57,安値!T57&lt;安値!V57),15,""))</f>
        <v/>
      </c>
      <c r="P57" s="503" t="str">
        <f>IF(終値!A57="","",IF(AND(安値!U57&lt;安値!T57,安値!U57&lt;安値!S57,安値!U57&lt;安値!V57,安値!U57&lt;安値!W57),16,""))</f>
        <v/>
      </c>
      <c r="Q57" s="503" t="str">
        <f>IF(終値!A57="","",IF(AND(安値!V57&lt;安値!U57,安値!V57&lt;安値!T57,安値!V57&lt;安値!W57,安値!V57&lt;安値!X57),17,""))</f>
        <v/>
      </c>
      <c r="R57" s="503" t="str">
        <f>IF(終値!A57="","",IF(AND(安値!W57&lt;安値!V57,安値!W57&lt;安値!U57,安値!W57&lt;安値!X57,安値!W57&lt;安値!Y57),18,""))</f>
        <v/>
      </c>
      <c r="S57" s="503" t="str">
        <f>IF(終値!A57="","",IF(AND(安値!X57&lt;安値!W57,安値!X57&lt;安値!V57,安値!X57&lt;安値!Y57,安値!X57&lt;安値!Z57),19,""))</f>
        <v/>
      </c>
      <c r="T57" s="503" t="str">
        <f>IF(終値!A57="","",IF(AND(安値!Y57&lt;安値!X57,安値!Y57&lt;安値!W57,安値!Y57&lt;安値!Z57,安値!Y57&lt;安値!AA57),20,""))</f>
        <v/>
      </c>
      <c r="U57" s="503" t="str">
        <f>IF(終値!A57="","",IF(AND(安値!Z57&lt;安値!Y57,安値!Z57&lt;安値!X57,安値!Z57&lt;安値!AA57,安値!Z57&lt;安値!AB57),21,""))</f>
        <v/>
      </c>
      <c r="V57" s="503" t="str">
        <f>IF(終値!A57="","",IF(AND(安値!AA57&lt;安値!Z57,安値!AA57&lt;安値!Y57,安値!AA57&lt;安値!AB57,安値!AA57&lt;安値!AC57),22,""))</f>
        <v/>
      </c>
      <c r="W57" s="503" t="str">
        <f>IF(終値!A57="","",IF(AND(安値!AB57&lt;安値!AA57,安値!AB57&lt;安値!Z57,安値!AB57&lt;安値!AC57,安値!AB57&lt;安値!AD57),23,""))</f>
        <v/>
      </c>
      <c r="X57" s="503" t="str">
        <f>IF(終値!A57="","",IF(AND(安値!AC57&lt;安値!AB57,安値!AC57&lt;安値!AA57,安値!AC57&lt;安値!AD57,安値!AC57&lt;安値!AE57),24,""))</f>
        <v/>
      </c>
      <c r="Y57" s="503">
        <f>IF(終値!A57="","",IF(AND(安値!AD57&lt;安値!AC57,安値!AD57&lt;安値!AB57,安値!AD57&lt;安値!AE57,安値!AD57&lt;安値!AF57),25,""))</f>
        <v>25</v>
      </c>
      <c r="Z57" s="503" t="str">
        <f>IF(終値!A57="","",IF(AND(安値!AE57&lt;安値!AD57,安値!AE57&lt;安値!AC57,安値!AE57&lt;安値!AF57,安値!AE57&lt;安値!AG57),26,""))</f>
        <v/>
      </c>
      <c r="AA57" s="503" t="str">
        <f>IF(終値!A57="","",IF(AND(安値!AF57&lt;安値!AE57,安値!AF57&lt;安値!AD57,安値!AF57&lt;安値!AG57,安値!AF57&lt;安値!AH57),27,""))</f>
        <v/>
      </c>
      <c r="AB57" s="503" t="str">
        <f>IF(終値!A57="","",IF(AND(安値!AG57&lt;安値!AF57,安値!AG57&lt;安値!AE57,安値!AG57&lt;安値!AH57,安値!AG57&lt;安値!AI57),28,""))</f>
        <v/>
      </c>
      <c r="AC57" s="503" t="str">
        <f>IF(終値!A57="","",IF(AND(高値!G57&gt;高値!F57,高値!G57&gt;高値!E57,高値!G57&gt;高値!H57,高値!G57&gt;高値!I57),2,""))</f>
        <v/>
      </c>
      <c r="AD57" s="503" t="str">
        <f>IF(終値!A57="","",IF(AND(高値!H57&gt;高値!G57,高値!H57&gt;高値!F57,高値!H57&gt;高値!I57,高値!H57&gt;高値!J57),3,""))</f>
        <v/>
      </c>
      <c r="AE57" s="503">
        <f>IF(終値!A57="","",IF(AND(高値!I57&gt;高値!H57,高値!I57&gt;高値!G57,高値!I57&gt;高値!J57,高値!I57&gt;高値!K57),4,""))</f>
        <v>4</v>
      </c>
      <c r="AF57" s="503" t="str">
        <f>IF(終値!A57="","",IF(AND(高値!J57&gt;高値!I57,高値!J57&gt;高値!H57,高値!J57&gt;高値!K57,高値!J57&gt;高値!L57),5,""))</f>
        <v/>
      </c>
      <c r="AG57" s="503" t="str">
        <f>IF(終値!A57="","",IF(AND(高値!K57&gt;高値!J57,高値!K57&gt;高値!I57,高値!K57&gt;高値!L57,高値!K57&gt;高値!M57),6,""))</f>
        <v/>
      </c>
      <c r="AH57" s="503" t="str">
        <f>IF(終値!A57="","",IF(AND(高値!L57&gt;高値!K57,高値!L57&gt;高値!J57,高値!L57&gt;高値!M57,高値!L57&gt;高値!N57),7,""))</f>
        <v/>
      </c>
      <c r="AI57" s="503">
        <f>IF(終値!A57="","",IF(AND(高値!M57&gt;高値!L57,高値!M57&gt;高値!K57,高値!M57&gt;高値!N57,高値!M57&gt;高値!O57),8,""))</f>
        <v>8</v>
      </c>
      <c r="AJ57" s="503" t="str">
        <f>IF(終値!A57="","",IF(AND(高値!N57&gt;高値!M57,高値!N57&gt;高値!L57,高値!N57&gt;高値!O57,高値!N57&gt;高値!P57),9,""))</f>
        <v/>
      </c>
      <c r="AK57" s="503" t="str">
        <f>IF(終値!A57="","",IF(AND(高値!O57&gt;高値!N57,高値!O57&gt;高値!M57,高値!O57&gt;高値!P57,高値!O57&gt;高値!Q57),10,""))</f>
        <v/>
      </c>
      <c r="AL57" s="503">
        <f>IF(終値!A57="","",IF(AND(高値!P57&gt;高値!O57,高値!P57&gt;高値!N57,高値!P57&gt;高値!Q57,高値!P57&gt;高値!R57),11,""))</f>
        <v>11</v>
      </c>
      <c r="AM57" s="503" t="str">
        <f>IF(終値!A57="","",IF(AND(高値!Q57&gt;高値!P57,高値!Q57&gt;高値!O57,高値!Q57&gt;高値!R57,高値!Q57&gt;高値!S57),12,""))</f>
        <v/>
      </c>
      <c r="AN57" s="503" t="str">
        <f>IF(終値!A57="","",IF(AND(高値!R57&gt;高値!Q57,高値!R57&gt;高値!P57,高値!R57&gt;高値!S57,高値!R57&gt;高値!T57),13,""))</f>
        <v/>
      </c>
      <c r="AO57" s="503">
        <f>IF(終値!A57="","",IF(AND(高値!S57&gt;高値!R57,高値!S57&gt;高値!Q57,高値!S57&gt;高値!T57,高値!S57&gt;高値!U57),14,""))</f>
        <v>14</v>
      </c>
      <c r="AP57" s="503" t="str">
        <f>IF(終値!A57="","",IF(AND(高値!T57&gt;高値!S57,高値!T57&gt;高値!R57,高値!T57&gt;高値!U57,高値!T57&gt;高値!V57),15,""))</f>
        <v/>
      </c>
      <c r="AQ57" s="503" t="str">
        <f>IF(終値!A57="","",IF(AND(高値!U57&gt;高値!T57,高値!U57&gt;高値!S57,高値!U57&gt;高値!V57,高値!U57&gt;高値!W57),16,""))</f>
        <v/>
      </c>
      <c r="AR57" s="503">
        <f>IF(終値!A57="","",IF(AND(高値!V57&gt;高値!U57,高値!V57&gt;高値!T57,高値!V57&gt;高値!W57,高値!V57&gt;高値!X57),17,""))</f>
        <v>17</v>
      </c>
      <c r="AS57" s="503" t="str">
        <f>IF(終値!A57="","",IF(AND(高値!W57&gt;高値!V57,高値!W57&gt;高値!U57,高値!W57&gt;高値!X57,高値!W57&gt;高値!Y57),18,""))</f>
        <v/>
      </c>
      <c r="AT57" s="503" t="str">
        <f>IF(終値!A57="","",IF(AND(高値!X57&gt;高値!W57,高値!X57&gt;高値!V57,高値!X57&gt;高値!Y57,高値!X57&gt;高値!Z57),19,""))</f>
        <v/>
      </c>
      <c r="AU57" s="503">
        <f>IF(終値!A57="","",IF(AND(高値!Y57&gt;高値!X57,高値!Y57&gt;高値!W57,高値!Y57&gt;高値!Z57,高値!Y57&gt;高値!AA57),20,""))</f>
        <v>20</v>
      </c>
      <c r="AV57" s="503" t="str">
        <f>IF(終値!A57="","",IF(AND(高値!Z57&gt;高値!Y57,高値!Z57&gt;高値!X57,高値!Z57&gt;高値!AA57,高値!Z57&gt;高値!AB57),21,""))</f>
        <v/>
      </c>
      <c r="AW57" s="503" t="str">
        <f>IF(終値!A57="","",IF(AND(高値!AA57&gt;高値!Z57,高値!AA57&gt;高値!Y57,高値!AA57&gt;高値!AB57,高値!AA57&gt;高値!AC57),22,""))</f>
        <v/>
      </c>
      <c r="AX57" s="503" t="str">
        <f>IF(終値!A57="","",IF(AND(高値!AB57&gt;高値!AA57,高値!AB57&gt;高値!Z57,高値!AB57&gt;高値!AC57,高値!AB57&gt;高値!AD57),23,""))</f>
        <v/>
      </c>
      <c r="AY57" s="503" t="str">
        <f>IF(終値!A57="","",IF(AND(高値!AC57&gt;高値!AB57,高値!AC57&gt;高値!AA57,高値!AC57&gt;高値!AD57,高値!AC57&gt;高値!AE57),24,""))</f>
        <v/>
      </c>
      <c r="AZ57" s="503" t="str">
        <f>IF(終値!A57="","",IF(AND(高値!AD57&gt;高値!AC57,高値!AD57&gt;高値!AB57,高値!AD57&gt;高値!AE57,高値!AD57&gt;高値!AF57),25,""))</f>
        <v/>
      </c>
      <c r="BA57" s="503" t="str">
        <f>IF(終値!A57="","",IF(AND(高値!AE57&gt;高値!AD57,高値!AE57&gt;高値!AC57,高値!AE57&gt;高値!AF57,高値!AE57&gt;高値!AG57),26,""))</f>
        <v/>
      </c>
      <c r="BB57" s="503">
        <f>IF(終値!A57="","",IF(AND(高値!AF57&gt;高値!AE57,高値!AF57&gt;高値!AD57,高値!AF57&gt;高値!AG57,高値!AF57&gt;高値!AH57),27,""))</f>
        <v>27</v>
      </c>
      <c r="BC57" s="503" t="str">
        <f>IF(終値!A57="","",IF(AND(高値!AG57&gt;高値!AF57,高値!AG57&gt;高値!AE57,高値!AG57&gt;高値!AH57,高値!AG57&gt;高値!AI57),28,""))</f>
        <v/>
      </c>
      <c r="BD57" s="503">
        <f t="shared" si="0"/>
        <v>3</v>
      </c>
      <c r="BE57" s="503">
        <f t="shared" si="1"/>
        <v>5</v>
      </c>
      <c r="BF57" s="503">
        <f t="shared" si="2"/>
        <v>13</v>
      </c>
      <c r="BG57" s="503">
        <f>IF($BE57="","",INDEX(安値!$E57:$CZ57,1,$BE57+1))</f>
        <v>1296</v>
      </c>
      <c r="BH57" s="503">
        <f>IF($BF57="","",INDEX(安値!$E57:$CZ57,1,$BF57+1))</f>
        <v>1372</v>
      </c>
      <c r="BI57" s="503">
        <f>IF($BF57="","",MAX(INDEX(高値!$E57:$CZ57,1,$BE57+1):INDEX(高値!$E57:$CZ57,1,$BF57+1)))</f>
        <v>1477</v>
      </c>
      <c r="BJ57" s="503">
        <f>IF($BF57="","",AVERAGE(INDEX(終値!$E57:$CZ57,1,$BF57+1):INDEX(終値!$E57:$CZ57,1,$BF57+20))-2*STDEVP(INDEX(終値!$E57:$CZ57,1,$BF57+1):INDEX(終値!$E57:$CZ57,1,$BF57+20)))</f>
        <v>1469.3270837634968</v>
      </c>
      <c r="BK57" s="503">
        <f>IF($BE57="","",AVERAGE(INDEX(終値!$E57:$CZ57,1,$BE57+1):INDEX(終値!$E57:$CZ57,1,$BE57+20))-2*STDEVP(INDEX(終値!$E57:$CZ57,1,$BE57+1):INDEX(終値!$E57:$CZ57,1,$BE57+20)))</f>
        <v>1300.077485897639</v>
      </c>
      <c r="BL57" s="503">
        <f t="shared" si="3"/>
        <v>7</v>
      </c>
      <c r="BM57" s="503">
        <f t="shared" si="4"/>
        <v>4</v>
      </c>
      <c r="BN57" s="503">
        <f t="shared" si="5"/>
        <v>8</v>
      </c>
      <c r="BO57" s="503">
        <f>IF($BM57="","",INDEX(高値!$E57:$CZ57,1,$BM57+1))</f>
        <v>1415</v>
      </c>
      <c r="BP57" s="503">
        <f>IF($BN57="","",INDEX(高値!$E57:$CZ57,1,$BN57+1))</f>
        <v>1470</v>
      </c>
      <c r="BQ57" s="503">
        <f>IF($BN57="","",MIN(INDEX(安値!$E57:$CZ57,1,$BM57+1):INDEX(安値!$E57:$CZ57,1,$BN57+1)))</f>
        <v>1296</v>
      </c>
      <c r="BR57" s="503">
        <f>IF($BN57="","",AVERAGE(INDEX(終値!$E57:$CZ57,1,$BN57+1):INDEX(終値!$E57:$CZ57,1,$BN57+20))+2*STDEVP(INDEX(終値!$E57:$CZ57,1,$BN57+1):INDEX(終値!$E57:$CZ57,1,$BN57+20)))</f>
        <v>1722.2361840362116</v>
      </c>
      <c r="BS57" s="503">
        <f>IF($BM57="","",AVERAGE(INDEX(終値!$E57:$CZ57,1,$BM57+1):INDEX(終値!$E57:$CZ57,1,$BM57+20))+2*STDEVP(INDEX(終値!$E57:$CZ57,1,$BM57+1):INDEX(終値!$E57:$CZ57,1,$BM57+20)))</f>
        <v>1744.5509142341405</v>
      </c>
      <c r="BT57" s="500"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v>
      </c>
    </row>
    <row r="58" spans="2:72">
      <c r="B58" s="503">
        <f>IF(終値!A58="","",IF(AND(安値!G58&lt;安値!F58,安値!G58&lt;安値!E58,安値!G58&lt;安値!H58,安値!G58&lt;安値!I58),2,""))</f>
        <v>2</v>
      </c>
      <c r="C58" s="503" t="str">
        <f>IF(終値!A58="","",IF(AND(安値!H58&lt;安値!G58,安値!H58&lt;安値!F58,安値!H58&lt;安値!I58,安値!H58&lt;安値!J58),3,""))</f>
        <v/>
      </c>
      <c r="D58" s="503" t="str">
        <f>IF(終値!A58="","",IF(AND(安値!I58&lt;安値!H58,安値!I58&lt;安値!G58,安値!I58&lt;安値!J58,安値!I58&lt;安値!K58),4,""))</f>
        <v/>
      </c>
      <c r="E58" s="503" t="str">
        <f>IF(終値!A58="","",IF(AND(安値!J58&lt;安値!I58,安値!J58&lt;安値!H58,安値!J58&lt;安値!K58,安値!J58&lt;安値!L58),5,""))</f>
        <v/>
      </c>
      <c r="F58" s="503" t="str">
        <f>IF(終値!A58="","",IF(AND(安値!K58&lt;安値!J58,安値!K58&lt;安値!I58,安値!K58&lt;安値!L58,安値!K58&lt;安値!M58),6,""))</f>
        <v/>
      </c>
      <c r="G58" s="503" t="str">
        <f>IF(終値!A58="","",IF(AND(安値!L58&lt;安値!K58,安値!L58&lt;安値!J58,安値!L58&lt;安値!M58,安値!L58&lt;安値!N58),7,""))</f>
        <v/>
      </c>
      <c r="H58" s="503" t="str">
        <f>IF(終値!A58="","",IF(AND(安値!M58&lt;安値!L58,安値!M58&lt;安値!K58,安値!M58&lt;安値!N58,安値!M58&lt;安値!O58),8,""))</f>
        <v/>
      </c>
      <c r="I58" s="503">
        <f>IF(終値!A58="","",IF(AND(安値!N58&lt;安値!M58,安値!N58&lt;安値!L58,安値!N58&lt;安値!O58,安値!N58&lt;安値!P58),9,""))</f>
        <v>9</v>
      </c>
      <c r="J58" s="503" t="str">
        <f>IF(終値!A58="","",IF(AND(安値!O58&lt;安値!N58,安値!O58&lt;安値!M58,安値!O58&lt;安値!P58,安値!O58&lt;安値!Q58),10,""))</f>
        <v/>
      </c>
      <c r="K58" s="503" t="str">
        <f>IF(終値!A58="","",IF(AND(安値!P58&lt;安値!O58,安値!P58&lt;安値!N58,安値!P58&lt;安値!Q58,安値!P58&lt;安値!R58),11,""))</f>
        <v/>
      </c>
      <c r="L58" s="503" t="str">
        <f>IF(終値!A58="","",IF(AND(安値!Q58&lt;安値!P58,安値!Q58&lt;安値!O58,安値!Q58&lt;安値!R58,安値!Q58&lt;安値!S58),12,""))</f>
        <v/>
      </c>
      <c r="M58" s="503">
        <f>IF(終値!A58="","",IF(AND(安値!R58&lt;安値!Q58,安値!R58&lt;安値!P58,安値!R58&lt;安値!S58,安値!R58&lt;安値!T58),13,""))</f>
        <v>13</v>
      </c>
      <c r="N58" s="503" t="str">
        <f>IF(終値!A58="","",IF(AND(安値!S58&lt;安値!R58,安値!S58&lt;安値!Q58,安値!S58&lt;安値!T58,安値!S58&lt;安値!U58),14,""))</f>
        <v/>
      </c>
      <c r="O58" s="503" t="str">
        <f>IF(終値!A58="","",IF(AND(安値!T58&lt;安値!S58,安値!T58&lt;安値!R58,安値!T58&lt;安値!U58,安値!T58&lt;安値!V58),15,""))</f>
        <v/>
      </c>
      <c r="P58" s="503" t="str">
        <f>IF(終値!A58="","",IF(AND(安値!U58&lt;安値!T58,安値!U58&lt;安値!S58,安値!U58&lt;安値!V58,安値!U58&lt;安値!W58),16,""))</f>
        <v/>
      </c>
      <c r="Q58" s="503" t="str">
        <f>IF(終値!A58="","",IF(AND(安値!V58&lt;安値!U58,安値!V58&lt;安値!T58,安値!V58&lt;安値!W58,安値!V58&lt;安値!X58),17,""))</f>
        <v/>
      </c>
      <c r="R58" s="503">
        <f>IF(終値!A58="","",IF(AND(安値!W58&lt;安値!V58,安値!W58&lt;安値!U58,安値!W58&lt;安値!X58,安値!W58&lt;安値!Y58),18,""))</f>
        <v>18</v>
      </c>
      <c r="S58" s="503" t="str">
        <f>IF(終値!A58="","",IF(AND(安値!X58&lt;安値!W58,安値!X58&lt;安値!V58,安値!X58&lt;安値!Y58,安値!X58&lt;安値!Z58),19,""))</f>
        <v/>
      </c>
      <c r="T58" s="503" t="str">
        <f>IF(終値!A58="","",IF(AND(安値!Y58&lt;安値!X58,安値!Y58&lt;安値!W58,安値!Y58&lt;安値!Z58,安値!Y58&lt;安値!AA58),20,""))</f>
        <v/>
      </c>
      <c r="U58" s="503" t="str">
        <f>IF(終値!A58="","",IF(AND(安値!Z58&lt;安値!Y58,安値!Z58&lt;安値!X58,安値!Z58&lt;安値!AA58,安値!Z58&lt;安値!AB58),21,""))</f>
        <v/>
      </c>
      <c r="V58" s="503" t="str">
        <f>IF(終値!A58="","",IF(AND(安値!AA58&lt;安値!Z58,安値!AA58&lt;安値!Y58,安値!AA58&lt;安値!AB58,安値!AA58&lt;安値!AC58),22,""))</f>
        <v/>
      </c>
      <c r="W58" s="503" t="str">
        <f>IF(終値!A58="","",IF(AND(安値!AB58&lt;安値!AA58,安値!AB58&lt;安値!Z58,安値!AB58&lt;安値!AC58,安値!AB58&lt;安値!AD58),23,""))</f>
        <v/>
      </c>
      <c r="X58" s="503" t="str">
        <f>IF(終値!A58="","",IF(AND(安値!AC58&lt;安値!AB58,安値!AC58&lt;安値!AA58,安値!AC58&lt;安値!AD58,安値!AC58&lt;安値!AE58),24,""))</f>
        <v/>
      </c>
      <c r="Y58" s="503" t="str">
        <f>IF(終値!A58="","",IF(AND(安値!AD58&lt;安値!AC58,安値!AD58&lt;安値!AB58,安値!AD58&lt;安値!AE58,安値!AD58&lt;安値!AF58),25,""))</f>
        <v/>
      </c>
      <c r="Z58" s="503">
        <f>IF(終値!A58="","",IF(AND(安値!AE58&lt;安値!AD58,安値!AE58&lt;安値!AC58,安値!AE58&lt;安値!AF58,安値!AE58&lt;安値!AG58),26,""))</f>
        <v>26</v>
      </c>
      <c r="AA58" s="503" t="str">
        <f>IF(終値!A58="","",IF(AND(安値!AF58&lt;安値!AE58,安値!AF58&lt;安値!AD58,安値!AF58&lt;安値!AG58,安値!AF58&lt;安値!AH58),27,""))</f>
        <v/>
      </c>
      <c r="AB58" s="503" t="str">
        <f>IF(終値!A58="","",IF(AND(安値!AG58&lt;安値!AF58,安値!AG58&lt;安値!AE58,安値!AG58&lt;安値!AH58,安値!AG58&lt;安値!AI58),28,""))</f>
        <v/>
      </c>
      <c r="AC58" s="503" t="str">
        <f>IF(終値!A58="","",IF(AND(高値!G58&gt;高値!F58,高値!G58&gt;高値!E58,高値!G58&gt;高値!H58,高値!G58&gt;高値!I58),2,""))</f>
        <v/>
      </c>
      <c r="AD58" s="503" t="str">
        <f>IF(終値!A58="","",IF(AND(高値!H58&gt;高値!G58,高値!H58&gt;高値!F58,高値!H58&gt;高値!I58,高値!H58&gt;高値!J58),3,""))</f>
        <v/>
      </c>
      <c r="AE58" s="503" t="str">
        <f>IF(終値!A58="","",IF(AND(高値!I58&gt;高値!H58,高値!I58&gt;高値!G58,高値!I58&gt;高値!J58,高値!I58&gt;高値!K58),4,""))</f>
        <v/>
      </c>
      <c r="AF58" s="503" t="str">
        <f>IF(終値!A58="","",IF(AND(高値!J58&gt;高値!I58,高値!J58&gt;高値!H58,高値!J58&gt;高値!K58,高値!J58&gt;高値!L58),5,""))</f>
        <v/>
      </c>
      <c r="AG58" s="503">
        <f>IF(終値!A58="","",IF(AND(高値!K58&gt;高値!J58,高値!K58&gt;高値!I58,高値!K58&gt;高値!L58,高値!K58&gt;高値!M58),6,""))</f>
        <v>6</v>
      </c>
      <c r="AH58" s="503" t="str">
        <f>IF(終値!A58="","",IF(AND(高値!L58&gt;高値!K58,高値!L58&gt;高値!J58,高値!L58&gt;高値!M58,高値!L58&gt;高値!N58),7,""))</f>
        <v/>
      </c>
      <c r="AI58" s="503" t="str">
        <f>IF(終値!A58="","",IF(AND(高値!M58&gt;高値!L58,高値!M58&gt;高値!K58,高値!M58&gt;高値!N58,高値!M58&gt;高値!O58),8,""))</f>
        <v/>
      </c>
      <c r="AJ58" s="503" t="str">
        <f>IF(終値!A58="","",IF(AND(高値!N58&gt;高値!M58,高値!N58&gt;高値!L58,高値!N58&gt;高値!O58,高値!N58&gt;高値!P58),9,""))</f>
        <v/>
      </c>
      <c r="AK58" s="503" t="str">
        <f>IF(終値!A58="","",IF(AND(高値!O58&gt;高値!N58,高値!O58&gt;高値!M58,高値!O58&gt;高値!P58,高値!O58&gt;高値!Q58),10,""))</f>
        <v/>
      </c>
      <c r="AL58" s="503" t="str">
        <f>IF(終値!A58="","",IF(AND(高値!P58&gt;高値!O58,高値!P58&gt;高値!N58,高値!P58&gt;高値!Q58,高値!P58&gt;高値!R58),11,""))</f>
        <v/>
      </c>
      <c r="AM58" s="503" t="str">
        <f>IF(終値!A58="","",IF(AND(高値!Q58&gt;高値!P58,高値!Q58&gt;高値!O58,高値!Q58&gt;高値!R58,高値!Q58&gt;高値!S58),12,""))</f>
        <v/>
      </c>
      <c r="AN58" s="503" t="str">
        <f>IF(終値!A58="","",IF(AND(高値!R58&gt;高値!Q58,高値!R58&gt;高値!P58,高値!R58&gt;高値!S58,高値!R58&gt;高値!T58),13,""))</f>
        <v/>
      </c>
      <c r="AO58" s="503" t="str">
        <f>IF(終値!A58="","",IF(AND(高値!S58&gt;高値!R58,高値!S58&gt;高値!Q58,高値!S58&gt;高値!T58,高値!S58&gt;高値!U58),14,""))</f>
        <v/>
      </c>
      <c r="AP58" s="503">
        <f>IF(終値!A58="","",IF(AND(高値!T58&gt;高値!S58,高値!T58&gt;高値!R58,高値!T58&gt;高値!U58,高値!T58&gt;高値!V58),15,""))</f>
        <v>15</v>
      </c>
      <c r="AQ58" s="503" t="str">
        <f>IF(終値!A58="","",IF(AND(高値!U58&gt;高値!T58,高値!U58&gt;高値!S58,高値!U58&gt;高値!V58,高値!U58&gt;高値!W58),16,""))</f>
        <v/>
      </c>
      <c r="AR58" s="503" t="str">
        <f>IF(終値!A58="","",IF(AND(高値!V58&gt;高値!U58,高値!V58&gt;高値!T58,高値!V58&gt;高値!W58,高値!V58&gt;高値!X58),17,""))</f>
        <v/>
      </c>
      <c r="AS58" s="503" t="str">
        <f>IF(終値!A58="","",IF(AND(高値!W58&gt;高値!V58,高値!W58&gt;高値!U58,高値!W58&gt;高値!X58,高値!W58&gt;高値!Y58),18,""))</f>
        <v/>
      </c>
      <c r="AT58" s="503" t="str">
        <f>IF(終値!A58="","",IF(AND(高値!X58&gt;高値!W58,高値!X58&gt;高値!V58,高値!X58&gt;高値!Y58,高値!X58&gt;高値!Z58),19,""))</f>
        <v/>
      </c>
      <c r="AU58" s="503">
        <f>IF(終値!A58="","",IF(AND(高値!Y58&gt;高値!X58,高値!Y58&gt;高値!W58,高値!Y58&gt;高値!Z58,高値!Y58&gt;高値!AA58),20,""))</f>
        <v>20</v>
      </c>
      <c r="AV58" s="503" t="str">
        <f>IF(終値!A58="","",IF(AND(高値!Z58&gt;高値!Y58,高値!Z58&gt;高値!X58,高値!Z58&gt;高値!AA58,高値!Z58&gt;高値!AB58),21,""))</f>
        <v/>
      </c>
      <c r="AW58" s="503" t="str">
        <f>IF(終値!A58="","",IF(AND(高値!AA58&gt;高値!Z58,高値!AA58&gt;高値!Y58,高値!AA58&gt;高値!AB58,高値!AA58&gt;高値!AC58),22,""))</f>
        <v/>
      </c>
      <c r="AX58" s="503" t="str">
        <f>IF(終値!A58="","",IF(AND(高値!AB58&gt;高値!AA58,高値!AB58&gt;高値!Z58,高値!AB58&gt;高値!AC58,高値!AB58&gt;高値!AD58),23,""))</f>
        <v/>
      </c>
      <c r="AY58" s="503" t="str">
        <f>IF(終値!A58="","",IF(AND(高値!AC58&gt;高値!AB58,高値!AC58&gt;高値!AA58,高値!AC58&gt;高値!AD58,高値!AC58&gt;高値!AE58),24,""))</f>
        <v/>
      </c>
      <c r="AZ58" s="503" t="str">
        <f>IF(終値!A58="","",IF(AND(高値!AD58&gt;高値!AC58,高値!AD58&gt;高値!AB58,高値!AD58&gt;高値!AE58,高値!AD58&gt;高値!AF58),25,""))</f>
        <v/>
      </c>
      <c r="BA58" s="503" t="str">
        <f>IF(終値!A58="","",IF(AND(高値!AE58&gt;高値!AD58,高値!AE58&gt;高値!AC58,高値!AE58&gt;高値!AF58,高値!AE58&gt;高値!AG58),26,""))</f>
        <v/>
      </c>
      <c r="BB58" s="503" t="str">
        <f>IF(終値!A58="","",IF(AND(高値!AF58&gt;高値!AE58,高値!AF58&gt;高値!AD58,高値!AF58&gt;高値!AG58,高値!AF58&gt;高値!AH58),27,""))</f>
        <v/>
      </c>
      <c r="BC58" s="503">
        <f>IF(終値!A58="","",IF(AND(高値!AG58&gt;高値!AF58,高値!AG58&gt;高値!AE58,高値!AG58&gt;高値!AH58,高値!AG58&gt;高値!AI58),28,""))</f>
        <v>28</v>
      </c>
      <c r="BD58" s="503">
        <f t="shared" si="0"/>
        <v>5</v>
      </c>
      <c r="BE58" s="503">
        <f t="shared" si="1"/>
        <v>2</v>
      </c>
      <c r="BF58" s="503">
        <f t="shared" si="2"/>
        <v>9</v>
      </c>
      <c r="BG58" s="503">
        <f>IF($BE58="","",INDEX(安値!$E58:$CZ58,1,$BE58+1))</f>
        <v>3851</v>
      </c>
      <c r="BH58" s="503">
        <f>IF($BF58="","",INDEX(安値!$E58:$CZ58,1,$BF58+1))</f>
        <v>3975</v>
      </c>
      <c r="BI58" s="503">
        <f>IF($BF58="","",MAX(INDEX(高値!$E58:$CZ58,1,$BE58+1):INDEX(高値!$E58:$CZ58,1,$BF58+1)))</f>
        <v>4259</v>
      </c>
      <c r="BJ58" s="503">
        <f>IF($BF58="","",AVERAGE(INDEX(終値!$E58:$CZ58,1,$BF58+1):INDEX(終値!$E58:$CZ58,1,$BF58+20))-2*STDEVP(INDEX(終値!$E58:$CZ58,1,$BF58+1):INDEX(終値!$E58:$CZ58,1,$BF58+20)))</f>
        <v>3818.9752904290472</v>
      </c>
      <c r="BK58" s="503">
        <f>IF($BE58="","",AVERAGE(INDEX(終値!$E58:$CZ58,1,$BE58+1):INDEX(終値!$E58:$CZ58,1,$BE58+20))-2*STDEVP(INDEX(終値!$E58:$CZ58,1,$BE58+1):INDEX(終値!$E58:$CZ58,1,$BE58+20)))</f>
        <v>3907.0888959124518</v>
      </c>
      <c r="BL58" s="503">
        <f t="shared" si="3"/>
        <v>4</v>
      </c>
      <c r="BM58" s="503">
        <f t="shared" si="4"/>
        <v>6</v>
      </c>
      <c r="BN58" s="503">
        <f t="shared" si="5"/>
        <v>15</v>
      </c>
      <c r="BO58" s="503">
        <f>IF($BM58="","",INDEX(高値!$E58:$CZ58,1,$BM58+1))</f>
        <v>4259</v>
      </c>
      <c r="BP58" s="503">
        <f>IF($BN58="","",INDEX(高値!$E58:$CZ58,1,$BN58+1))</f>
        <v>4289</v>
      </c>
      <c r="BQ58" s="503">
        <f>IF($BN58="","",MIN(INDEX(安値!$E58:$CZ58,1,$BM58+1):INDEX(安値!$E58:$CZ58,1,$BN58+1)))</f>
        <v>3975</v>
      </c>
      <c r="BR58" s="503">
        <f>IF($BN58="","",AVERAGE(INDEX(終値!$E58:$CZ58,1,$BN58+1):INDEX(終値!$E58:$CZ58,1,$BN58+20))+2*STDEVP(INDEX(終値!$E58:$CZ58,1,$BN58+1):INDEX(終値!$E58:$CZ58,1,$BN58+20)))</f>
        <v>4228.0822859049331</v>
      </c>
      <c r="BS58" s="503">
        <f>IF($BM58="","",AVERAGE(INDEX(終値!$E58:$CZ58,1,$BM58+1):INDEX(終値!$E58:$CZ58,1,$BM58+20))+2*STDEVP(INDEX(終値!$E58:$CZ58,1,$BM58+1):INDEX(終値!$E58:$CZ58,1,$BM58+20)))</f>
        <v>4283.6752863310003</v>
      </c>
      <c r="BT58" s="500"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二番底W形成</v>
      </c>
    </row>
    <row r="59" spans="2:72">
      <c r="B59" s="503" t="str">
        <f>IF(終値!A59="","",IF(AND(安値!G59&lt;安値!F59,安値!G59&lt;安値!E59,安値!G59&lt;安値!H59,安値!G59&lt;安値!I59),2,""))</f>
        <v/>
      </c>
      <c r="C59" s="503" t="str">
        <f>IF(終値!A59="","",IF(AND(安値!H59&lt;安値!G59,安値!H59&lt;安値!F59,安値!H59&lt;安値!I59,安値!H59&lt;安値!J59),3,""))</f>
        <v/>
      </c>
      <c r="D59" s="503" t="str">
        <f>IF(終値!A59="","",IF(AND(安値!I59&lt;安値!H59,安値!I59&lt;安値!G59,安値!I59&lt;安値!J59,安値!I59&lt;安値!K59),4,""))</f>
        <v/>
      </c>
      <c r="E59" s="503">
        <f>IF(終値!A59="","",IF(AND(安値!J59&lt;安値!I59,安値!J59&lt;安値!H59,安値!J59&lt;安値!K59,安値!J59&lt;安値!L59),5,""))</f>
        <v>5</v>
      </c>
      <c r="F59" s="503" t="str">
        <f>IF(終値!A59="","",IF(AND(安値!K59&lt;安値!J59,安値!K59&lt;安値!I59,安値!K59&lt;安値!L59,安値!K59&lt;安値!M59),6,""))</f>
        <v/>
      </c>
      <c r="G59" s="503" t="str">
        <f>IF(終値!A59="","",IF(AND(安値!L59&lt;安値!K59,安値!L59&lt;安値!J59,安値!L59&lt;安値!M59,安値!L59&lt;安値!N59),7,""))</f>
        <v/>
      </c>
      <c r="H59" s="503" t="str">
        <f>IF(終値!A59="","",IF(AND(安値!M59&lt;安値!L59,安値!M59&lt;安値!K59,安値!M59&lt;安値!N59,安値!M59&lt;安値!O59),8,""))</f>
        <v/>
      </c>
      <c r="I59" s="503" t="str">
        <f>IF(終値!A59="","",IF(AND(安値!N59&lt;安値!M59,安値!N59&lt;安値!L59,安値!N59&lt;安値!O59,安値!N59&lt;安値!P59),9,""))</f>
        <v/>
      </c>
      <c r="J59" s="503" t="str">
        <f>IF(終値!A59="","",IF(AND(安値!O59&lt;安値!N59,安値!O59&lt;安値!M59,安値!O59&lt;安値!P59,安値!O59&lt;安値!Q59),10,""))</f>
        <v/>
      </c>
      <c r="K59" s="503" t="str">
        <f>IF(終値!A59="","",IF(AND(安値!P59&lt;安値!O59,安値!P59&lt;安値!N59,安値!P59&lt;安値!Q59,安値!P59&lt;安値!R59),11,""))</f>
        <v/>
      </c>
      <c r="L59" s="503">
        <f>IF(終値!A59="","",IF(AND(安値!Q59&lt;安値!P59,安値!Q59&lt;安値!O59,安値!Q59&lt;安値!R59,安値!Q59&lt;安値!S59),12,""))</f>
        <v>12</v>
      </c>
      <c r="M59" s="503" t="str">
        <f>IF(終値!A59="","",IF(AND(安値!R59&lt;安値!Q59,安値!R59&lt;安値!P59,安値!R59&lt;安値!S59,安値!R59&lt;安値!T59),13,""))</f>
        <v/>
      </c>
      <c r="N59" s="503" t="str">
        <f>IF(終値!A59="","",IF(AND(安値!S59&lt;安値!R59,安値!S59&lt;安値!Q59,安値!S59&lt;安値!T59,安値!S59&lt;安値!U59),14,""))</f>
        <v/>
      </c>
      <c r="O59" s="503" t="str">
        <f>IF(終値!A59="","",IF(AND(安値!T59&lt;安値!S59,安値!T59&lt;安値!R59,安値!T59&lt;安値!U59,安値!T59&lt;安値!V59),15,""))</f>
        <v/>
      </c>
      <c r="P59" s="503" t="str">
        <f>IF(終値!A59="","",IF(AND(安値!U59&lt;安値!T59,安値!U59&lt;安値!S59,安値!U59&lt;安値!V59,安値!U59&lt;安値!W59),16,""))</f>
        <v/>
      </c>
      <c r="Q59" s="503" t="str">
        <f>IF(終値!A59="","",IF(AND(安値!V59&lt;安値!U59,安値!V59&lt;安値!T59,安値!V59&lt;安値!W59,安値!V59&lt;安値!X59),17,""))</f>
        <v/>
      </c>
      <c r="R59" s="503" t="str">
        <f>IF(終値!A59="","",IF(AND(安値!W59&lt;安値!V59,安値!W59&lt;安値!U59,安値!W59&lt;安値!X59,安値!W59&lt;安値!Y59),18,""))</f>
        <v/>
      </c>
      <c r="S59" s="503" t="str">
        <f>IF(終値!A59="","",IF(AND(安値!X59&lt;安値!W59,安値!X59&lt;安値!V59,安値!X59&lt;安値!Y59,安値!X59&lt;安値!Z59),19,""))</f>
        <v/>
      </c>
      <c r="T59" s="503" t="str">
        <f>IF(終値!A59="","",IF(AND(安値!Y59&lt;安値!X59,安値!Y59&lt;安値!W59,安値!Y59&lt;安値!Z59,安値!Y59&lt;安値!AA59),20,""))</f>
        <v/>
      </c>
      <c r="U59" s="503" t="str">
        <f>IF(終値!A59="","",IF(AND(安値!Z59&lt;安値!Y59,安値!Z59&lt;安値!X59,安値!Z59&lt;安値!AA59,安値!Z59&lt;安値!AB59),21,""))</f>
        <v/>
      </c>
      <c r="V59" s="503">
        <f>IF(終値!A59="","",IF(AND(安値!AA59&lt;安値!Z59,安値!AA59&lt;安値!Y59,安値!AA59&lt;安値!AB59,安値!AA59&lt;安値!AC59),22,""))</f>
        <v>22</v>
      </c>
      <c r="W59" s="503" t="str">
        <f>IF(終値!A59="","",IF(AND(安値!AB59&lt;安値!AA59,安値!AB59&lt;安値!Z59,安値!AB59&lt;安値!AC59,安値!AB59&lt;安値!AD59),23,""))</f>
        <v/>
      </c>
      <c r="X59" s="503" t="str">
        <f>IF(終値!A59="","",IF(AND(安値!AC59&lt;安値!AB59,安値!AC59&lt;安値!AA59,安値!AC59&lt;安値!AD59,安値!AC59&lt;安値!AE59),24,""))</f>
        <v/>
      </c>
      <c r="Y59" s="503" t="str">
        <f>IF(終値!A59="","",IF(AND(安値!AD59&lt;安値!AC59,安値!AD59&lt;安値!AB59,安値!AD59&lt;安値!AE59,安値!AD59&lt;安値!AF59),25,""))</f>
        <v/>
      </c>
      <c r="Z59" s="503" t="str">
        <f>IF(終値!A59="","",IF(AND(安値!AE59&lt;安値!AD59,安値!AE59&lt;安値!AC59,安値!AE59&lt;安値!AF59,安値!AE59&lt;安値!AG59),26,""))</f>
        <v/>
      </c>
      <c r="AA59" s="503" t="str">
        <f>IF(終値!A59="","",IF(AND(安値!AF59&lt;安値!AE59,安値!AF59&lt;安値!AD59,安値!AF59&lt;安値!AG59,安値!AF59&lt;安値!AH59),27,""))</f>
        <v/>
      </c>
      <c r="AB59" s="503" t="str">
        <f>IF(終値!A59="","",IF(AND(安値!AG59&lt;安値!AF59,安値!AG59&lt;安値!AE59,安値!AG59&lt;安値!AH59,安値!AG59&lt;安値!AI59),28,""))</f>
        <v/>
      </c>
      <c r="AC59" s="503" t="str">
        <f>IF(終値!A59="","",IF(AND(高値!G59&gt;高値!F59,高値!G59&gt;高値!E59,高値!G59&gt;高値!H59,高値!G59&gt;高値!I59),2,""))</f>
        <v/>
      </c>
      <c r="AD59" s="503" t="str">
        <f>IF(終値!A59="","",IF(AND(高値!H59&gt;高値!G59,高値!H59&gt;高値!F59,高値!H59&gt;高値!I59,高値!H59&gt;高値!J59),3,""))</f>
        <v/>
      </c>
      <c r="AE59" s="503">
        <f>IF(終値!A59="","",IF(AND(高値!I59&gt;高値!H59,高値!I59&gt;高値!G59,高値!I59&gt;高値!J59,高値!I59&gt;高値!K59),4,""))</f>
        <v>4</v>
      </c>
      <c r="AF59" s="503" t="str">
        <f>IF(終値!A59="","",IF(AND(高値!J59&gt;高値!I59,高値!J59&gt;高値!H59,高値!J59&gt;高値!K59,高値!J59&gt;高値!L59),5,""))</f>
        <v/>
      </c>
      <c r="AG59" s="503" t="str">
        <f>IF(終値!A59="","",IF(AND(高値!K59&gt;高値!J59,高値!K59&gt;高値!I59,高値!K59&gt;高値!L59,高値!K59&gt;高値!M59),6,""))</f>
        <v/>
      </c>
      <c r="AH59" s="503" t="str">
        <f>IF(終値!A59="","",IF(AND(高値!L59&gt;高値!K59,高値!L59&gt;高値!J59,高値!L59&gt;高値!M59,高値!L59&gt;高値!N59),7,""))</f>
        <v/>
      </c>
      <c r="AI59" s="503" t="str">
        <f>IF(終値!A59="","",IF(AND(高値!M59&gt;高値!L59,高値!M59&gt;高値!K59,高値!M59&gt;高値!N59,高値!M59&gt;高値!O59),8,""))</f>
        <v/>
      </c>
      <c r="AJ59" s="503" t="str">
        <f>IF(終値!A59="","",IF(AND(高値!N59&gt;高値!M59,高値!N59&gt;高値!L59,高値!N59&gt;高値!O59,高値!N59&gt;高値!P59),9,""))</f>
        <v/>
      </c>
      <c r="AK59" s="503" t="str">
        <f>IF(終値!A59="","",IF(AND(高値!O59&gt;高値!N59,高値!O59&gt;高値!M59,高値!O59&gt;高値!P59,高値!O59&gt;高値!Q59),10,""))</f>
        <v/>
      </c>
      <c r="AL59" s="503" t="str">
        <f>IF(終値!A59="","",IF(AND(高値!P59&gt;高値!O59,高値!P59&gt;高値!N59,高値!P59&gt;高値!Q59,高値!P59&gt;高値!R59),11,""))</f>
        <v/>
      </c>
      <c r="AM59" s="503" t="str">
        <f>IF(終値!A59="","",IF(AND(高値!Q59&gt;高値!P59,高値!Q59&gt;高値!O59,高値!Q59&gt;高値!R59,高値!Q59&gt;高値!S59),12,""))</f>
        <v/>
      </c>
      <c r="AN59" s="503" t="str">
        <f>IF(終値!A59="","",IF(AND(高値!R59&gt;高値!Q59,高値!R59&gt;高値!P59,高値!R59&gt;高値!S59,高値!R59&gt;高値!T59),13,""))</f>
        <v/>
      </c>
      <c r="AO59" s="503" t="str">
        <f>IF(終値!A59="","",IF(AND(高値!S59&gt;高値!R59,高値!S59&gt;高値!Q59,高値!S59&gt;高値!T59,高値!S59&gt;高値!U59),14,""))</f>
        <v/>
      </c>
      <c r="AP59" s="503" t="str">
        <f>IF(終値!A59="","",IF(AND(高値!T59&gt;高値!S59,高値!T59&gt;高値!R59,高値!T59&gt;高値!U59,高値!T59&gt;高値!V59),15,""))</f>
        <v/>
      </c>
      <c r="AQ59" s="503" t="str">
        <f>IF(終値!A59="","",IF(AND(高値!U59&gt;高値!T59,高値!U59&gt;高値!S59,高値!U59&gt;高値!V59,高値!U59&gt;高値!W59),16,""))</f>
        <v/>
      </c>
      <c r="AR59" s="503" t="str">
        <f>IF(終値!A59="","",IF(AND(高値!V59&gt;高値!U59,高値!V59&gt;高値!T59,高値!V59&gt;高値!W59,高値!V59&gt;高値!X59),17,""))</f>
        <v/>
      </c>
      <c r="AS59" s="503" t="str">
        <f>IF(終値!A59="","",IF(AND(高値!W59&gt;高値!V59,高値!W59&gt;高値!U59,高値!W59&gt;高値!X59,高値!W59&gt;高値!Y59),18,""))</f>
        <v/>
      </c>
      <c r="AT59" s="503" t="str">
        <f>IF(終値!A59="","",IF(AND(高値!X59&gt;高値!W59,高値!X59&gt;高値!V59,高値!X59&gt;高値!Y59,高値!X59&gt;高値!Z59),19,""))</f>
        <v/>
      </c>
      <c r="AU59" s="503">
        <f>IF(終値!A59="","",IF(AND(高値!Y59&gt;高値!X59,高値!Y59&gt;高値!W59,高値!Y59&gt;高値!Z59,高値!Y59&gt;高値!AA59),20,""))</f>
        <v>20</v>
      </c>
      <c r="AV59" s="503" t="str">
        <f>IF(終値!A59="","",IF(AND(高値!Z59&gt;高値!Y59,高値!Z59&gt;高値!X59,高値!Z59&gt;高値!AA59,高値!Z59&gt;高値!AB59),21,""))</f>
        <v/>
      </c>
      <c r="AW59" s="503" t="str">
        <f>IF(終値!A59="","",IF(AND(高値!AA59&gt;高値!Z59,高値!AA59&gt;高値!Y59,高値!AA59&gt;高値!AB59,高値!AA59&gt;高値!AC59),22,""))</f>
        <v/>
      </c>
      <c r="AX59" s="503" t="str">
        <f>IF(終値!A59="","",IF(AND(高値!AB59&gt;高値!AA59,高値!AB59&gt;高値!Z59,高値!AB59&gt;高値!AC59,高値!AB59&gt;高値!AD59),23,""))</f>
        <v/>
      </c>
      <c r="AY59" s="503" t="str">
        <f>IF(終値!A59="","",IF(AND(高値!AC59&gt;高値!AB59,高値!AC59&gt;高値!AA59,高値!AC59&gt;高値!AD59,高値!AC59&gt;高値!AE59),24,""))</f>
        <v/>
      </c>
      <c r="AZ59" s="503" t="str">
        <f>IF(終値!A59="","",IF(AND(高値!AD59&gt;高値!AC59,高値!AD59&gt;高値!AB59,高値!AD59&gt;高値!AE59,高値!AD59&gt;高値!AF59),25,""))</f>
        <v/>
      </c>
      <c r="BA59" s="503" t="str">
        <f>IF(終値!A59="","",IF(AND(高値!AE59&gt;高値!AD59,高値!AE59&gt;高値!AC59,高値!AE59&gt;高値!AF59,高値!AE59&gt;高値!AG59),26,""))</f>
        <v/>
      </c>
      <c r="BB59" s="503" t="str">
        <f>IF(終値!A59="","",IF(AND(高値!AF59&gt;高値!AE59,高値!AF59&gt;高値!AD59,高値!AF59&gt;高値!AG59,高値!AF59&gt;高値!AH59),27,""))</f>
        <v/>
      </c>
      <c r="BC59" s="503" t="str">
        <f>IF(終値!A59="","",IF(AND(高値!AG59&gt;高値!AF59,高値!AG59&gt;高値!AE59,高値!AG59&gt;高値!AH59,高値!AG59&gt;高値!AI59),28,""))</f>
        <v/>
      </c>
      <c r="BD59" s="503">
        <f t="shared" si="0"/>
        <v>3</v>
      </c>
      <c r="BE59" s="503">
        <f t="shared" si="1"/>
        <v>5</v>
      </c>
      <c r="BF59" s="503">
        <f t="shared" si="2"/>
        <v>12</v>
      </c>
      <c r="BG59" s="503">
        <f>IF($BE59="","",INDEX(安値!$E59:$CZ59,1,$BE59+1))</f>
        <v>2127</v>
      </c>
      <c r="BH59" s="503">
        <f>IF($BF59="","",INDEX(安値!$E59:$CZ59,1,$BF59+1))</f>
        <v>2407</v>
      </c>
      <c r="BI59" s="503">
        <f>IF($BF59="","",MAX(INDEX(高値!$E59:$CZ59,1,$BE59+1):INDEX(高値!$E59:$CZ59,1,$BF59+1)))</f>
        <v>2557</v>
      </c>
      <c r="BJ59" s="503">
        <f>IF($BF59="","",AVERAGE(INDEX(終値!$E59:$CZ59,1,$BF59+1):INDEX(終値!$E59:$CZ59,1,$BF59+20))-2*STDEVP(INDEX(終値!$E59:$CZ59,1,$BF59+1):INDEX(終値!$E59:$CZ59,1,$BF59+20)))</f>
        <v>2377.9701833227045</v>
      </c>
      <c r="BK59" s="503">
        <f>IF($BE59="","",AVERAGE(INDEX(終値!$E59:$CZ59,1,$BE59+1):INDEX(終値!$E59:$CZ59,1,$BE59+20))-2*STDEVP(INDEX(終値!$E59:$CZ59,1,$BE59+1):INDEX(終値!$E59:$CZ59,1,$BE59+20)))</f>
        <v>2176.7693560219927</v>
      </c>
      <c r="BL59" s="503">
        <f t="shared" si="3"/>
        <v>2</v>
      </c>
      <c r="BM59" s="503">
        <f t="shared" si="4"/>
        <v>4</v>
      </c>
      <c r="BN59" s="503">
        <f t="shared" si="5"/>
        <v>20</v>
      </c>
      <c r="BO59" s="503">
        <f>IF($BM59="","",INDEX(高値!$E59:$CZ59,1,$BM59+1))</f>
        <v>2406</v>
      </c>
      <c r="BP59" s="503">
        <f>IF($BN59="","",INDEX(高値!$E59:$CZ59,1,$BN59+1))</f>
        <v>2913</v>
      </c>
      <c r="BQ59" s="503">
        <f>IF($BN59="","",MIN(INDEX(安値!$E59:$CZ59,1,$BM59+1):INDEX(安値!$E59:$CZ59,1,$BN59+1)))</f>
        <v>2127</v>
      </c>
      <c r="BR59" s="503">
        <f>IF($BN59="","",AVERAGE(INDEX(終値!$E59:$CZ59,1,$BN59+1):INDEX(終値!$E59:$CZ59,1,$BN59+20))+2*STDEVP(INDEX(終値!$E59:$CZ59,1,$BN59+1):INDEX(終値!$E59:$CZ59,1,$BN59+20)))</f>
        <v>3290.8003177484097</v>
      </c>
      <c r="BS59" s="503">
        <f>IF($BM59="","",AVERAGE(INDEX(終値!$E59:$CZ59,1,$BM59+1):INDEX(終値!$E59:$CZ59,1,$BM59+20))+2*STDEVP(INDEX(終値!$E59:$CZ59,1,$BM59+1):INDEX(終値!$E59:$CZ59,1,$BM59+20)))</f>
        <v>2934.4760795110724</v>
      </c>
      <c r="BT59" s="500"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3" t="str">
        <f>IF(終値!A60="","",IF(AND(安値!G60&lt;安値!F60,安値!G60&lt;安値!E60,安値!G60&lt;安値!H60,安値!G60&lt;安値!I60),2,""))</f>
        <v/>
      </c>
      <c r="C60" s="503">
        <f>IF(終値!A60="","",IF(AND(安値!H60&lt;安値!G60,安値!H60&lt;安値!F60,安値!H60&lt;安値!I60,安値!H60&lt;安値!J60),3,""))</f>
        <v>3</v>
      </c>
      <c r="D60" s="503" t="str">
        <f>IF(終値!A60="","",IF(AND(安値!I60&lt;安値!H60,安値!I60&lt;安値!G60,安値!I60&lt;安値!J60,安値!I60&lt;安値!K60),4,""))</f>
        <v/>
      </c>
      <c r="E60" s="503" t="str">
        <f>IF(終値!A60="","",IF(AND(安値!J60&lt;安値!I60,安値!J60&lt;安値!H60,安値!J60&lt;安値!K60,安値!J60&lt;安値!L60),5,""))</f>
        <v/>
      </c>
      <c r="F60" s="503" t="str">
        <f>IF(終値!A60="","",IF(AND(安値!K60&lt;安値!J60,安値!K60&lt;安値!I60,安値!K60&lt;安値!L60,安値!K60&lt;安値!M60),6,""))</f>
        <v/>
      </c>
      <c r="G60" s="503" t="str">
        <f>IF(終値!A60="","",IF(AND(安値!L60&lt;安値!K60,安値!L60&lt;安値!J60,安値!L60&lt;安値!M60,安値!L60&lt;安値!N60),7,""))</f>
        <v/>
      </c>
      <c r="H60" s="503" t="str">
        <f>IF(終値!A60="","",IF(AND(安値!M60&lt;安値!L60,安値!M60&lt;安値!K60,安値!M60&lt;安値!N60,安値!M60&lt;安値!O60),8,""))</f>
        <v/>
      </c>
      <c r="I60" s="503">
        <f>IF(終値!A60="","",IF(AND(安値!N60&lt;安値!M60,安値!N60&lt;安値!L60,安値!N60&lt;安値!O60,安値!N60&lt;安値!P60),9,""))</f>
        <v>9</v>
      </c>
      <c r="J60" s="503" t="str">
        <f>IF(終値!A60="","",IF(AND(安値!O60&lt;安値!N60,安値!O60&lt;安値!M60,安値!O60&lt;安値!P60,安値!O60&lt;安値!Q60),10,""))</f>
        <v/>
      </c>
      <c r="K60" s="503" t="str">
        <f>IF(終値!A60="","",IF(AND(安値!P60&lt;安値!O60,安値!P60&lt;安値!N60,安値!P60&lt;安値!Q60,安値!P60&lt;安値!R60),11,""))</f>
        <v/>
      </c>
      <c r="L60" s="503" t="str">
        <f>IF(終値!A60="","",IF(AND(安値!Q60&lt;安値!P60,安値!Q60&lt;安値!O60,安値!Q60&lt;安値!R60,安値!Q60&lt;安値!S60),12,""))</f>
        <v/>
      </c>
      <c r="M60" s="503" t="str">
        <f>IF(終値!A60="","",IF(AND(安値!R60&lt;安値!Q60,安値!R60&lt;安値!P60,安値!R60&lt;安値!S60,安値!R60&lt;安値!T60),13,""))</f>
        <v/>
      </c>
      <c r="N60" s="503" t="str">
        <f>IF(終値!A60="","",IF(AND(安値!S60&lt;安値!R60,安値!S60&lt;安値!Q60,安値!S60&lt;安値!T60,安値!S60&lt;安値!U60),14,""))</f>
        <v/>
      </c>
      <c r="O60" s="503" t="str">
        <f>IF(終値!A60="","",IF(AND(安値!T60&lt;安値!S60,安値!T60&lt;安値!R60,安値!T60&lt;安値!U60,安値!T60&lt;安値!V60),15,""))</f>
        <v/>
      </c>
      <c r="P60" s="503">
        <f>IF(終値!A60="","",IF(AND(安値!U60&lt;安値!T60,安値!U60&lt;安値!S60,安値!U60&lt;安値!V60,安値!U60&lt;安値!W60),16,""))</f>
        <v>16</v>
      </c>
      <c r="Q60" s="503" t="str">
        <f>IF(終値!A60="","",IF(AND(安値!V60&lt;安値!U60,安値!V60&lt;安値!T60,安値!V60&lt;安値!W60,安値!V60&lt;安値!X60),17,""))</f>
        <v/>
      </c>
      <c r="R60" s="503" t="str">
        <f>IF(終値!A60="","",IF(AND(安値!W60&lt;安値!V60,安値!W60&lt;安値!U60,安値!W60&lt;安値!X60,安値!W60&lt;安値!Y60),18,""))</f>
        <v/>
      </c>
      <c r="S60" s="503" t="str">
        <f>IF(終値!A60="","",IF(AND(安値!X60&lt;安値!W60,安値!X60&lt;安値!V60,安値!X60&lt;安値!Y60,安値!X60&lt;安値!Z60),19,""))</f>
        <v/>
      </c>
      <c r="T60" s="503" t="str">
        <f>IF(終値!A60="","",IF(AND(安値!Y60&lt;安値!X60,安値!Y60&lt;安値!W60,安値!Y60&lt;安値!Z60,安値!Y60&lt;安値!AA60),20,""))</f>
        <v/>
      </c>
      <c r="U60" s="503" t="str">
        <f>IF(終値!A60="","",IF(AND(安値!Z60&lt;安値!Y60,安値!Z60&lt;安値!X60,安値!Z60&lt;安値!AA60,安値!Z60&lt;安値!AB60),21,""))</f>
        <v/>
      </c>
      <c r="V60" s="503" t="str">
        <f>IF(終値!A60="","",IF(AND(安値!AA60&lt;安値!Z60,安値!AA60&lt;安値!Y60,安値!AA60&lt;安値!AB60,安値!AA60&lt;安値!AC60),22,""))</f>
        <v/>
      </c>
      <c r="W60" s="503" t="str">
        <f>IF(終値!A60="","",IF(AND(安値!AB60&lt;安値!AA60,安値!AB60&lt;安値!Z60,安値!AB60&lt;安値!AC60,安値!AB60&lt;安値!AD60),23,""))</f>
        <v/>
      </c>
      <c r="X60" s="503">
        <f>IF(終値!A60="","",IF(AND(安値!AC60&lt;安値!AB60,安値!AC60&lt;安値!AA60,安値!AC60&lt;安値!AD60,安値!AC60&lt;安値!AE60),24,""))</f>
        <v>24</v>
      </c>
      <c r="Y60" s="503" t="str">
        <f>IF(終値!A60="","",IF(AND(安値!AD60&lt;安値!AC60,安値!AD60&lt;安値!AB60,安値!AD60&lt;安値!AE60,安値!AD60&lt;安値!AF60),25,""))</f>
        <v/>
      </c>
      <c r="Z60" s="503" t="str">
        <f>IF(終値!A60="","",IF(AND(安値!AE60&lt;安値!AD60,安値!AE60&lt;安値!AC60,安値!AE60&lt;安値!AF60,安値!AE60&lt;安値!AG60),26,""))</f>
        <v/>
      </c>
      <c r="AA60" s="503" t="str">
        <f>IF(終値!A60="","",IF(AND(安値!AF60&lt;安値!AE60,安値!AF60&lt;安値!AD60,安値!AF60&lt;安値!AG60,安値!AF60&lt;安値!AH60),27,""))</f>
        <v/>
      </c>
      <c r="AB60" s="503" t="str">
        <f>IF(終値!A60="","",IF(AND(安値!AG60&lt;安値!AF60,安値!AG60&lt;安値!AE60,安値!AG60&lt;安値!AH60,安値!AG60&lt;安値!AI60),28,""))</f>
        <v/>
      </c>
      <c r="AC60" s="503" t="str">
        <f>IF(終値!A60="","",IF(AND(高値!G60&gt;高値!F60,高値!G60&gt;高値!E60,高値!G60&gt;高値!H60,高値!G60&gt;高値!I60),2,""))</f>
        <v/>
      </c>
      <c r="AD60" s="503" t="str">
        <f>IF(終値!A60="","",IF(AND(高値!H60&gt;高値!G60,高値!H60&gt;高値!F60,高値!H60&gt;高値!I60,高値!H60&gt;高値!J60),3,""))</f>
        <v/>
      </c>
      <c r="AE60" s="503" t="str">
        <f>IF(終値!A60="","",IF(AND(高値!I60&gt;高値!H60,高値!I60&gt;高値!G60,高値!I60&gt;高値!J60,高値!I60&gt;高値!K60),4,""))</f>
        <v/>
      </c>
      <c r="AF60" s="503">
        <f>IF(終値!A60="","",IF(AND(高値!J60&gt;高値!I60,高値!J60&gt;高値!H60,高値!J60&gt;高値!K60,高値!J60&gt;高値!L60),5,""))</f>
        <v>5</v>
      </c>
      <c r="AG60" s="503" t="str">
        <f>IF(終値!A60="","",IF(AND(高値!K60&gt;高値!J60,高値!K60&gt;高値!I60,高値!K60&gt;高値!L60,高値!K60&gt;高値!M60),6,""))</f>
        <v/>
      </c>
      <c r="AH60" s="503" t="str">
        <f>IF(終値!A60="","",IF(AND(高値!L60&gt;高値!K60,高値!L60&gt;高値!J60,高値!L60&gt;高値!M60,高値!L60&gt;高値!N60),7,""))</f>
        <v/>
      </c>
      <c r="AI60" s="503" t="str">
        <f>IF(終値!A60="","",IF(AND(高値!M60&gt;高値!L60,高値!M60&gt;高値!K60,高値!M60&gt;高値!N60,高値!M60&gt;高値!O60),8,""))</f>
        <v/>
      </c>
      <c r="AJ60" s="503" t="str">
        <f>IF(終値!A60="","",IF(AND(高値!N60&gt;高値!M60,高値!N60&gt;高値!L60,高値!N60&gt;高値!O60,高値!N60&gt;高値!P60),9,""))</f>
        <v/>
      </c>
      <c r="AK60" s="503" t="str">
        <f>IF(終値!A60="","",IF(AND(高値!O60&gt;高値!N60,高値!O60&gt;高値!M60,高値!O60&gt;高値!P60,高値!O60&gt;高値!Q60),10,""))</f>
        <v/>
      </c>
      <c r="AL60" s="503" t="str">
        <f>IF(終値!A60="","",IF(AND(高値!P60&gt;高値!O60,高値!P60&gt;高値!N60,高値!P60&gt;高値!Q60,高値!P60&gt;高値!R60),11,""))</f>
        <v/>
      </c>
      <c r="AM60" s="503" t="str">
        <f>IF(終値!A60="","",IF(AND(高値!Q60&gt;高値!P60,高値!Q60&gt;高値!O60,高値!Q60&gt;高値!R60,高値!Q60&gt;高値!S60),12,""))</f>
        <v/>
      </c>
      <c r="AN60" s="503" t="str">
        <f>IF(終値!A60="","",IF(AND(高値!R60&gt;高値!Q60,高値!R60&gt;高値!P60,高値!R60&gt;高値!S60,高値!R60&gt;高値!T60),13,""))</f>
        <v/>
      </c>
      <c r="AO60" s="503" t="str">
        <f>IF(終値!A60="","",IF(AND(高値!S60&gt;高値!R60,高値!S60&gt;高値!Q60,高値!S60&gt;高値!T60,高値!S60&gt;高値!U60),14,""))</f>
        <v/>
      </c>
      <c r="AP60" s="503" t="str">
        <f>IF(終値!A60="","",IF(AND(高値!T60&gt;高値!S60,高値!T60&gt;高値!R60,高値!T60&gt;高値!U60,高値!T60&gt;高値!V60),15,""))</f>
        <v/>
      </c>
      <c r="AQ60" s="503" t="str">
        <f>IF(終値!A60="","",IF(AND(高値!U60&gt;高値!T60,高値!U60&gt;高値!S60,高値!U60&gt;高値!V60,高値!U60&gt;高値!W60),16,""))</f>
        <v/>
      </c>
      <c r="AR60" s="503" t="str">
        <f>IF(終値!A60="","",IF(AND(高値!V60&gt;高値!U60,高値!V60&gt;高値!T60,高値!V60&gt;高値!W60,高値!V60&gt;高値!X60),17,""))</f>
        <v/>
      </c>
      <c r="AS60" s="503" t="str">
        <f>IF(終値!A60="","",IF(AND(高値!W60&gt;高値!V60,高値!W60&gt;高値!U60,高値!W60&gt;高値!X60,高値!W60&gt;高値!Y60),18,""))</f>
        <v/>
      </c>
      <c r="AT60" s="503" t="str">
        <f>IF(終値!A60="","",IF(AND(高値!X60&gt;高値!W60,高値!X60&gt;高値!V60,高値!X60&gt;高値!Y60,高値!X60&gt;高値!Z60),19,""))</f>
        <v/>
      </c>
      <c r="AU60" s="503" t="str">
        <f>IF(終値!A60="","",IF(AND(高値!Y60&gt;高値!X60,高値!Y60&gt;高値!W60,高値!Y60&gt;高値!Z60,高値!Y60&gt;高値!AA60),20,""))</f>
        <v/>
      </c>
      <c r="AV60" s="503">
        <f>IF(終値!A60="","",IF(AND(高値!Z60&gt;高値!Y60,高値!Z60&gt;高値!X60,高値!Z60&gt;高値!AA60,高値!Z60&gt;高値!AB60),21,""))</f>
        <v>21</v>
      </c>
      <c r="AW60" s="503" t="str">
        <f>IF(終値!A60="","",IF(AND(高値!AA60&gt;高値!Z60,高値!AA60&gt;高値!Y60,高値!AA60&gt;高値!AB60,高値!AA60&gt;高値!AC60),22,""))</f>
        <v/>
      </c>
      <c r="AX60" s="503" t="str">
        <f>IF(終値!A60="","",IF(AND(高値!AB60&gt;高値!AA60,高値!AB60&gt;高値!Z60,高値!AB60&gt;高値!AC60,高値!AB60&gt;高値!AD60),23,""))</f>
        <v/>
      </c>
      <c r="AY60" s="503" t="str">
        <f>IF(終値!A60="","",IF(AND(高値!AC60&gt;高値!AB60,高値!AC60&gt;高値!AA60,高値!AC60&gt;高値!AD60,高値!AC60&gt;高値!AE60),24,""))</f>
        <v/>
      </c>
      <c r="AZ60" s="503" t="str">
        <f>IF(終値!A60="","",IF(AND(高値!AD60&gt;高値!AC60,高値!AD60&gt;高値!AB60,高値!AD60&gt;高値!AE60,高値!AD60&gt;高値!AF60),25,""))</f>
        <v/>
      </c>
      <c r="BA60" s="503">
        <f>IF(終値!A60="","",IF(AND(高値!AE60&gt;高値!AD60,高値!AE60&gt;高値!AC60,高値!AE60&gt;高値!AF60,高値!AE60&gt;高値!AG60),26,""))</f>
        <v>26</v>
      </c>
      <c r="BB60" s="503" t="str">
        <f>IF(終値!A60="","",IF(AND(高値!AF60&gt;高値!AE60,高値!AF60&gt;高値!AD60,高値!AF60&gt;高値!AG60,高値!AF60&gt;高値!AH60),27,""))</f>
        <v/>
      </c>
      <c r="BC60" s="503" t="str">
        <f>IF(終値!A60="","",IF(AND(高値!AG60&gt;高値!AF60,高値!AG60&gt;高値!AE60,高値!AG60&gt;高値!AH60,高値!AG60&gt;高値!AI60),28,""))</f>
        <v/>
      </c>
      <c r="BD60" s="503">
        <f t="shared" si="0"/>
        <v>4</v>
      </c>
      <c r="BE60" s="503">
        <f t="shared" si="1"/>
        <v>3</v>
      </c>
      <c r="BF60" s="503">
        <f t="shared" si="2"/>
        <v>9</v>
      </c>
      <c r="BG60" s="503">
        <f>IF($BE60="","",INDEX(安値!$E60:$CZ60,1,$BE60+1))</f>
        <v>3485</v>
      </c>
      <c r="BH60" s="503">
        <f>IF($BF60="","",INDEX(安値!$E60:$CZ60,1,$BF60+1))</f>
        <v>3424</v>
      </c>
      <c r="BI60" s="503">
        <f>IF($BF60="","",MAX(INDEX(高値!$E60:$CZ60,1,$BE60+1):INDEX(高値!$E60:$CZ60,1,$BF60+1)))</f>
        <v>3673</v>
      </c>
      <c r="BJ60" s="503">
        <f>IF($BF60="","",AVERAGE(INDEX(終値!$E60:$CZ60,1,$BF60+1):INDEX(終値!$E60:$CZ60,1,$BF60+20))-2*STDEVP(INDEX(終値!$E60:$CZ60,1,$BF60+1):INDEX(終値!$E60:$CZ60,1,$BF60+20)))</f>
        <v>3345.763889900049</v>
      </c>
      <c r="BK60" s="503">
        <f>IF($BE60="","",AVERAGE(INDEX(終値!$E60:$CZ60,1,$BE60+1):INDEX(終値!$E60:$CZ60,1,$BE60+20))-2*STDEVP(INDEX(終値!$E60:$CZ60,1,$BE60+1):INDEX(終値!$E60:$CZ60,1,$BE60+20)))</f>
        <v>3319.3045705961536</v>
      </c>
      <c r="BL60" s="503">
        <f t="shared" si="3"/>
        <v>3</v>
      </c>
      <c r="BM60" s="503">
        <f t="shared" si="4"/>
        <v>5</v>
      </c>
      <c r="BN60" s="503">
        <f t="shared" si="5"/>
        <v>21</v>
      </c>
      <c r="BO60" s="503">
        <f>IF($BM60="","",INDEX(高値!$E60:$CZ60,1,$BM60+1))</f>
        <v>3673</v>
      </c>
      <c r="BP60" s="503">
        <f>IF($BN60="","",INDEX(高値!$E60:$CZ60,1,$BN60+1))</f>
        <v>3565</v>
      </c>
      <c r="BQ60" s="503">
        <f>IF($BN60="","",MIN(INDEX(安値!$E60:$CZ60,1,$BM60+1):INDEX(安値!$E60:$CZ60,1,$BN60+1)))</f>
        <v>3326</v>
      </c>
      <c r="BR60" s="503">
        <f>IF($BN60="","",AVERAGE(INDEX(終値!$E60:$CZ60,1,$BN60+1):INDEX(終値!$E60:$CZ60,1,$BN60+20))+2*STDEVP(INDEX(終値!$E60:$CZ60,1,$BN60+1):INDEX(終値!$E60:$CZ60,1,$BN60+20)))</f>
        <v>3543.6345625463691</v>
      </c>
      <c r="BS60" s="503">
        <f>IF($BM60="","",AVERAGE(INDEX(終値!$E60:$CZ60,1,$BM60+1):INDEX(終値!$E60:$CZ60,1,$BM60+20))+2*STDEVP(INDEX(終値!$E60:$CZ60,1,$BM60+1):INDEX(終値!$E60:$CZ60,1,$BM60+20)))</f>
        <v>3638.5349227340771</v>
      </c>
      <c r="BT60" s="500"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二番底W▲</v>
      </c>
    </row>
    <row r="61" spans="2:72">
      <c r="B61" s="503" t="str">
        <f>IF(終値!A61="","",IF(AND(安値!G61&lt;安値!F61,安値!G61&lt;安値!E61,安値!G61&lt;安値!H61,安値!G61&lt;安値!I61),2,""))</f>
        <v/>
      </c>
      <c r="C61" s="503" t="str">
        <f>IF(終値!A61="","",IF(AND(安値!H61&lt;安値!G61,安値!H61&lt;安値!F61,安値!H61&lt;安値!I61,安値!H61&lt;安値!J61),3,""))</f>
        <v/>
      </c>
      <c r="D61" s="503">
        <f>IF(終値!A61="","",IF(AND(安値!I61&lt;安値!H61,安値!I61&lt;安値!G61,安値!I61&lt;安値!J61,安値!I61&lt;安値!K61),4,""))</f>
        <v>4</v>
      </c>
      <c r="E61" s="503" t="str">
        <f>IF(終値!A61="","",IF(AND(安値!J61&lt;安値!I61,安値!J61&lt;安値!H61,安値!J61&lt;安値!K61,安値!J61&lt;安値!L61),5,""))</f>
        <v/>
      </c>
      <c r="F61" s="503" t="str">
        <f>IF(終値!A61="","",IF(AND(安値!K61&lt;安値!J61,安値!K61&lt;安値!I61,安値!K61&lt;安値!L61,安値!K61&lt;安値!M61),6,""))</f>
        <v/>
      </c>
      <c r="G61" s="503" t="str">
        <f>IF(終値!A61="","",IF(AND(安値!L61&lt;安値!K61,安値!L61&lt;安値!J61,安値!L61&lt;安値!M61,安値!L61&lt;安値!N61),7,""))</f>
        <v/>
      </c>
      <c r="H61" s="503" t="str">
        <f>IF(終値!A61="","",IF(AND(安値!M61&lt;安値!L61,安値!M61&lt;安値!K61,安値!M61&lt;安値!N61,安値!M61&lt;安値!O61),8,""))</f>
        <v/>
      </c>
      <c r="I61" s="503">
        <f>IF(終値!A61="","",IF(AND(安値!N61&lt;安値!M61,安値!N61&lt;安値!L61,安値!N61&lt;安値!O61,安値!N61&lt;安値!P61),9,""))</f>
        <v>9</v>
      </c>
      <c r="J61" s="503" t="str">
        <f>IF(終値!A61="","",IF(AND(安値!O61&lt;安値!N61,安値!O61&lt;安値!M61,安値!O61&lt;安値!P61,安値!O61&lt;安値!Q61),10,""))</f>
        <v/>
      </c>
      <c r="K61" s="503" t="str">
        <f>IF(終値!A61="","",IF(AND(安値!P61&lt;安値!O61,安値!P61&lt;安値!N61,安値!P61&lt;安値!Q61,安値!P61&lt;安値!R61),11,""))</f>
        <v/>
      </c>
      <c r="L61" s="503" t="str">
        <f>IF(終値!A61="","",IF(AND(安値!Q61&lt;安値!P61,安値!Q61&lt;安値!O61,安値!Q61&lt;安値!R61,安値!Q61&lt;安値!S61),12,""))</f>
        <v/>
      </c>
      <c r="M61" s="503">
        <f>IF(終値!A61="","",IF(AND(安値!R61&lt;安値!Q61,安値!R61&lt;安値!P61,安値!R61&lt;安値!S61,安値!R61&lt;安値!T61),13,""))</f>
        <v>13</v>
      </c>
      <c r="N61" s="503" t="str">
        <f>IF(終値!A61="","",IF(AND(安値!S61&lt;安値!R61,安値!S61&lt;安値!Q61,安値!S61&lt;安値!T61,安値!S61&lt;安値!U61),14,""))</f>
        <v/>
      </c>
      <c r="O61" s="503" t="str">
        <f>IF(終値!A61="","",IF(AND(安値!T61&lt;安値!S61,安値!T61&lt;安値!R61,安値!T61&lt;安値!U61,安値!T61&lt;安値!V61),15,""))</f>
        <v/>
      </c>
      <c r="P61" s="503">
        <f>IF(終値!A61="","",IF(AND(安値!U61&lt;安値!T61,安値!U61&lt;安値!S61,安値!U61&lt;安値!V61,安値!U61&lt;安値!W61),16,""))</f>
        <v>16</v>
      </c>
      <c r="Q61" s="503" t="str">
        <f>IF(終値!A61="","",IF(AND(安値!V61&lt;安値!U61,安値!V61&lt;安値!T61,安値!V61&lt;安値!W61,安値!V61&lt;安値!X61),17,""))</f>
        <v/>
      </c>
      <c r="R61" s="503" t="str">
        <f>IF(終値!A61="","",IF(AND(安値!W61&lt;安値!V61,安値!W61&lt;安値!U61,安値!W61&lt;安値!X61,安値!W61&lt;安値!Y61),18,""))</f>
        <v/>
      </c>
      <c r="S61" s="503" t="str">
        <f>IF(終値!A61="","",IF(AND(安値!X61&lt;安値!W61,安値!X61&lt;安値!V61,安値!X61&lt;安値!Y61,安値!X61&lt;安値!Z61),19,""))</f>
        <v/>
      </c>
      <c r="T61" s="503" t="str">
        <f>IF(終値!A61="","",IF(AND(安値!Y61&lt;安値!X61,安値!Y61&lt;安値!W61,安値!Y61&lt;安値!Z61,安値!Y61&lt;安値!AA61),20,""))</f>
        <v/>
      </c>
      <c r="U61" s="503" t="str">
        <f>IF(終値!A61="","",IF(AND(安値!Z61&lt;安値!Y61,安値!Z61&lt;安値!X61,安値!Z61&lt;安値!AA61,安値!Z61&lt;安値!AB61),21,""))</f>
        <v/>
      </c>
      <c r="V61" s="503" t="str">
        <f>IF(終値!A61="","",IF(AND(安値!AA61&lt;安値!Z61,安値!AA61&lt;安値!Y61,安値!AA61&lt;安値!AB61,安値!AA61&lt;安値!AC61),22,""))</f>
        <v/>
      </c>
      <c r="W61" s="503" t="str">
        <f>IF(終値!A61="","",IF(AND(安値!AB61&lt;安値!AA61,安値!AB61&lt;安値!Z61,安値!AB61&lt;安値!AC61,安値!AB61&lt;安値!AD61),23,""))</f>
        <v/>
      </c>
      <c r="X61" s="503" t="str">
        <f>IF(終値!A61="","",IF(AND(安値!AC61&lt;安値!AB61,安値!AC61&lt;安値!AA61,安値!AC61&lt;安値!AD61,安値!AC61&lt;安値!AE61),24,""))</f>
        <v/>
      </c>
      <c r="Y61" s="503" t="str">
        <f>IF(終値!A61="","",IF(AND(安値!AD61&lt;安値!AC61,安値!AD61&lt;安値!AB61,安値!AD61&lt;安値!AE61,安値!AD61&lt;安値!AF61),25,""))</f>
        <v/>
      </c>
      <c r="Z61" s="503">
        <f>IF(終値!A61="","",IF(AND(安値!AE61&lt;安値!AD61,安値!AE61&lt;安値!AC61,安値!AE61&lt;安値!AF61,安値!AE61&lt;安値!AG61),26,""))</f>
        <v>26</v>
      </c>
      <c r="AA61" s="503" t="str">
        <f>IF(終値!A61="","",IF(AND(安値!AF61&lt;安値!AE61,安値!AF61&lt;安値!AD61,安値!AF61&lt;安値!AG61,安値!AF61&lt;安値!AH61),27,""))</f>
        <v/>
      </c>
      <c r="AB61" s="503" t="str">
        <f>IF(終値!A61="","",IF(AND(安値!AG61&lt;安値!AF61,安値!AG61&lt;安値!AE61,安値!AG61&lt;安値!AH61,安値!AG61&lt;安値!AI61),28,""))</f>
        <v/>
      </c>
      <c r="AC61" s="503" t="str">
        <f>IF(終値!A61="","",IF(AND(高値!G61&gt;高値!F61,高値!G61&gt;高値!E61,高値!G61&gt;高値!H61,高値!G61&gt;高値!I61),2,""))</f>
        <v/>
      </c>
      <c r="AD61" s="503" t="str">
        <f>IF(終値!A61="","",IF(AND(高値!H61&gt;高値!G61,高値!H61&gt;高値!F61,高値!H61&gt;高値!I61,高値!H61&gt;高値!J61),3,""))</f>
        <v/>
      </c>
      <c r="AE61" s="503">
        <f>IF(終値!A61="","",IF(AND(高値!I61&gt;高値!H61,高値!I61&gt;高値!G61,高値!I61&gt;高値!J61,高値!I61&gt;高値!K61),4,""))</f>
        <v>4</v>
      </c>
      <c r="AF61" s="503" t="str">
        <f>IF(終値!A61="","",IF(AND(高値!J61&gt;高値!I61,高値!J61&gt;高値!H61,高値!J61&gt;高値!K61,高値!J61&gt;高値!L61),5,""))</f>
        <v/>
      </c>
      <c r="AG61" s="503" t="str">
        <f>IF(終値!A61="","",IF(AND(高値!K61&gt;高値!J61,高値!K61&gt;高値!I61,高値!K61&gt;高値!L61,高値!K61&gt;高値!M61),6,""))</f>
        <v/>
      </c>
      <c r="AH61" s="503">
        <f>IF(終値!A61="","",IF(AND(高値!L61&gt;高値!K61,高値!L61&gt;高値!J61,高値!L61&gt;高値!M61,高値!L61&gt;高値!N61),7,""))</f>
        <v>7</v>
      </c>
      <c r="AI61" s="503" t="str">
        <f>IF(終値!A61="","",IF(AND(高値!M61&gt;高値!L61,高値!M61&gt;高値!K61,高値!M61&gt;高値!N61,高値!M61&gt;高値!O61),8,""))</f>
        <v/>
      </c>
      <c r="AJ61" s="503" t="str">
        <f>IF(終値!A61="","",IF(AND(高値!N61&gt;高値!M61,高値!N61&gt;高値!L61,高値!N61&gt;高値!O61,高値!N61&gt;高値!P61),9,""))</f>
        <v/>
      </c>
      <c r="AK61" s="503" t="str">
        <f>IF(終値!A61="","",IF(AND(高値!O61&gt;高値!N61,高値!O61&gt;高値!M61,高値!O61&gt;高値!P61,高値!O61&gt;高値!Q61),10,""))</f>
        <v/>
      </c>
      <c r="AL61" s="503">
        <f>IF(終値!A61="","",IF(AND(高値!P61&gt;高値!O61,高値!P61&gt;高値!N61,高値!P61&gt;高値!Q61,高値!P61&gt;高値!R61),11,""))</f>
        <v>11</v>
      </c>
      <c r="AM61" s="503" t="str">
        <f>IF(終値!A61="","",IF(AND(高値!Q61&gt;高値!P61,高値!Q61&gt;高値!O61,高値!Q61&gt;高値!R61,高値!Q61&gt;高値!S61),12,""))</f>
        <v/>
      </c>
      <c r="AN61" s="503" t="str">
        <f>IF(終値!A61="","",IF(AND(高値!R61&gt;高値!Q61,高値!R61&gt;高値!P61,高値!R61&gt;高値!S61,高値!R61&gt;高値!T61),13,""))</f>
        <v/>
      </c>
      <c r="AO61" s="503">
        <f>IF(終値!A61="","",IF(AND(高値!S61&gt;高値!R61,高値!S61&gt;高値!Q61,高値!S61&gt;高値!T61,高値!S61&gt;高値!U61),14,""))</f>
        <v>14</v>
      </c>
      <c r="AP61" s="503" t="str">
        <f>IF(終値!A61="","",IF(AND(高値!T61&gt;高値!S61,高値!T61&gt;高値!R61,高値!T61&gt;高値!U61,高値!T61&gt;高値!V61),15,""))</f>
        <v/>
      </c>
      <c r="AQ61" s="503" t="str">
        <f>IF(終値!A61="","",IF(AND(高値!U61&gt;高値!T61,高値!U61&gt;高値!S61,高値!U61&gt;高値!V61,高値!U61&gt;高値!W61),16,""))</f>
        <v/>
      </c>
      <c r="AR61" s="503" t="str">
        <f>IF(終値!A61="","",IF(AND(高値!V61&gt;高値!U61,高値!V61&gt;高値!T61,高値!V61&gt;高値!W61,高値!V61&gt;高値!X61),17,""))</f>
        <v/>
      </c>
      <c r="AS61" s="503" t="str">
        <f>IF(終値!A61="","",IF(AND(高値!W61&gt;高値!V61,高値!W61&gt;高値!U61,高値!W61&gt;高値!X61,高値!W61&gt;高値!Y61),18,""))</f>
        <v/>
      </c>
      <c r="AT61" s="503" t="str">
        <f>IF(終値!A61="","",IF(AND(高値!X61&gt;高値!W61,高値!X61&gt;高値!V61,高値!X61&gt;高値!Y61,高値!X61&gt;高値!Z61),19,""))</f>
        <v/>
      </c>
      <c r="AU61" s="503" t="str">
        <f>IF(終値!A61="","",IF(AND(高値!Y61&gt;高値!X61,高値!Y61&gt;高値!W61,高値!Y61&gt;高値!Z61,高値!Y61&gt;高値!AA61),20,""))</f>
        <v/>
      </c>
      <c r="AV61" s="503" t="str">
        <f>IF(終値!A61="","",IF(AND(高値!Z61&gt;高値!Y61,高値!Z61&gt;高値!X61,高値!Z61&gt;高値!AA61,高値!Z61&gt;高値!AB61),21,""))</f>
        <v/>
      </c>
      <c r="AW61" s="503">
        <f>IF(終値!A61="","",IF(AND(高値!AA61&gt;高値!Z61,高値!AA61&gt;高値!Y61,高値!AA61&gt;高値!AB61,高値!AA61&gt;高値!AC61),22,""))</f>
        <v>22</v>
      </c>
      <c r="AX61" s="503" t="str">
        <f>IF(終値!A61="","",IF(AND(高値!AB61&gt;高値!AA61,高値!AB61&gt;高値!Z61,高値!AB61&gt;高値!AC61,高値!AB61&gt;高値!AD61),23,""))</f>
        <v/>
      </c>
      <c r="AY61" s="503" t="str">
        <f>IF(終値!A61="","",IF(AND(高値!AC61&gt;高値!AB61,高値!AC61&gt;高値!AA61,高値!AC61&gt;高値!AD61,高値!AC61&gt;高値!AE61),24,""))</f>
        <v/>
      </c>
      <c r="AZ61" s="503" t="str">
        <f>IF(終値!A61="","",IF(AND(高値!AD61&gt;高値!AC61,高値!AD61&gt;高値!AB61,高値!AD61&gt;高値!AE61,高値!AD61&gt;高値!AF61),25,""))</f>
        <v/>
      </c>
      <c r="BA61" s="503" t="str">
        <f>IF(終値!A61="","",IF(AND(高値!AE61&gt;高値!AD61,高値!AE61&gt;高値!AC61,高値!AE61&gt;高値!AF61,高値!AE61&gt;高値!AG61),26,""))</f>
        <v/>
      </c>
      <c r="BB61" s="503" t="str">
        <f>IF(終値!A61="","",IF(AND(高値!AF61&gt;高値!AE61,高値!AF61&gt;高値!AD61,高値!AF61&gt;高値!AG61,高値!AF61&gt;高値!AH61),27,""))</f>
        <v/>
      </c>
      <c r="BC61" s="503">
        <f>IF(終値!A61="","",IF(AND(高値!AG61&gt;高値!AF61,高値!AG61&gt;高値!AE61,高値!AG61&gt;高値!AH61,高値!AG61&gt;高値!AI61),28,""))</f>
        <v>28</v>
      </c>
      <c r="BD61" s="503">
        <f t="shared" si="0"/>
        <v>5</v>
      </c>
      <c r="BE61" s="503">
        <f t="shared" si="1"/>
        <v>4</v>
      </c>
      <c r="BF61" s="503">
        <f t="shared" si="2"/>
        <v>9</v>
      </c>
      <c r="BG61" s="503">
        <f>IF($BE61="","",INDEX(安値!$E61:$CZ61,1,$BE61+1))</f>
        <v>1755</v>
      </c>
      <c r="BH61" s="503">
        <f>IF($BF61="","",INDEX(安値!$E61:$CZ61,1,$BF61+1))</f>
        <v>1743</v>
      </c>
      <c r="BI61" s="503">
        <f>IF($BF61="","",MAX(INDEX(高値!$E61:$CZ61,1,$BE61+1):INDEX(高値!$E61:$CZ61,1,$BF61+1)))</f>
        <v>1848</v>
      </c>
      <c r="BJ61" s="503">
        <f>IF($BF61="","",AVERAGE(INDEX(終値!$E61:$CZ61,1,$BF61+1):INDEX(終値!$E61:$CZ61,1,$BF61+20))-2*STDEVP(INDEX(終値!$E61:$CZ61,1,$BF61+1):INDEX(終値!$E61:$CZ61,1,$BF61+20)))</f>
        <v>1708.5739681729324</v>
      </c>
      <c r="BK61" s="503">
        <f>IF($BE61="","",AVERAGE(INDEX(終値!$E61:$CZ61,1,$BE61+1):INDEX(終値!$E61:$CZ61,1,$BE61+20))-2*STDEVP(INDEX(終値!$E61:$CZ61,1,$BE61+1):INDEX(終値!$E61:$CZ61,1,$BE61+20)))</f>
        <v>1705.9612048661947</v>
      </c>
      <c r="BL61" s="503">
        <f t="shared" si="3"/>
        <v>6</v>
      </c>
      <c r="BM61" s="503">
        <f t="shared" si="4"/>
        <v>4</v>
      </c>
      <c r="BN61" s="503">
        <f t="shared" si="5"/>
        <v>7</v>
      </c>
      <c r="BO61" s="503">
        <f>IF($BM61="","",INDEX(高値!$E61:$CZ61,1,$BM61+1))</f>
        <v>1848</v>
      </c>
      <c r="BP61" s="503">
        <f>IF($BN61="","",INDEX(高値!$E61:$CZ61,1,$BN61+1))</f>
        <v>1810</v>
      </c>
      <c r="BQ61" s="503">
        <f>IF($BN61="","",MIN(INDEX(安値!$E61:$CZ61,1,$BM61+1):INDEX(安値!$E61:$CZ61,1,$BN61+1)))</f>
        <v>1755</v>
      </c>
      <c r="BR61" s="503">
        <f>IF($BN61="","",AVERAGE(INDEX(終値!$E61:$CZ61,1,$BN61+1):INDEX(終値!$E61:$CZ61,1,$BN61+20))+2*STDEVP(INDEX(終値!$E61:$CZ61,1,$BN61+1):INDEX(終値!$E61:$CZ61,1,$BN61+20)))</f>
        <v>1799.214176961767</v>
      </c>
      <c r="BS61" s="503">
        <f>IF($BM61="","",AVERAGE(INDEX(終値!$E61:$CZ61,1,$BM61+1):INDEX(終値!$E61:$CZ61,1,$BM61+20))+2*STDEVP(INDEX(終値!$E61:$CZ61,1,$BM61+1):INDEX(終値!$E61:$CZ61,1,$BM61+20)))</f>
        <v>1813.9387951338053</v>
      </c>
      <c r="BT61" s="500"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二番底W▲</v>
      </c>
    </row>
    <row r="62" spans="2:72">
      <c r="B62" s="503" t="str">
        <f>IF(終値!A62="","",IF(AND(安値!G62&lt;安値!F62,安値!G62&lt;安値!E62,安値!G62&lt;安値!H62,安値!G62&lt;安値!I62),2,""))</f>
        <v/>
      </c>
      <c r="C62" s="503">
        <f>IF(終値!A62="","",IF(AND(安値!H62&lt;安値!G62,安値!H62&lt;安値!F62,安値!H62&lt;安値!I62,安値!H62&lt;安値!J62),3,""))</f>
        <v>3</v>
      </c>
      <c r="D62" s="503" t="str">
        <f>IF(終値!A62="","",IF(AND(安値!I62&lt;安値!H62,安値!I62&lt;安値!G62,安値!I62&lt;安値!J62,安値!I62&lt;安値!K62),4,""))</f>
        <v/>
      </c>
      <c r="E62" s="503" t="str">
        <f>IF(終値!A62="","",IF(AND(安値!J62&lt;安値!I62,安値!J62&lt;安値!H62,安値!J62&lt;安値!K62,安値!J62&lt;安値!L62),5,""))</f>
        <v/>
      </c>
      <c r="F62" s="503">
        <f>IF(終値!A62="","",IF(AND(安値!K62&lt;安値!J62,安値!K62&lt;安値!I62,安値!K62&lt;安値!L62,安値!K62&lt;安値!M62),6,""))</f>
        <v>6</v>
      </c>
      <c r="G62" s="503" t="str">
        <f>IF(終値!A62="","",IF(AND(安値!L62&lt;安値!K62,安値!L62&lt;安値!J62,安値!L62&lt;安値!M62,安値!L62&lt;安値!N62),7,""))</f>
        <v/>
      </c>
      <c r="H62" s="503" t="str">
        <f>IF(終値!A62="","",IF(AND(安値!M62&lt;安値!L62,安値!M62&lt;安値!K62,安値!M62&lt;安値!N62,安値!M62&lt;安値!O62),8,""))</f>
        <v/>
      </c>
      <c r="I62" s="503" t="str">
        <f>IF(終値!A62="","",IF(AND(安値!N62&lt;安値!M62,安値!N62&lt;安値!L62,安値!N62&lt;安値!O62,安値!N62&lt;安値!P62),9,""))</f>
        <v/>
      </c>
      <c r="J62" s="503" t="str">
        <f>IF(終値!A62="","",IF(AND(安値!O62&lt;安値!N62,安値!O62&lt;安値!M62,安値!O62&lt;安値!P62,安値!O62&lt;安値!Q62),10,""))</f>
        <v/>
      </c>
      <c r="K62" s="503" t="str">
        <f>IF(終値!A62="","",IF(AND(安値!P62&lt;安値!O62,安値!P62&lt;安値!N62,安値!P62&lt;安値!Q62,安値!P62&lt;安値!R62),11,""))</f>
        <v/>
      </c>
      <c r="L62" s="503" t="str">
        <f>IF(終値!A62="","",IF(AND(安値!Q62&lt;安値!P62,安値!Q62&lt;安値!O62,安値!Q62&lt;安値!R62,安値!Q62&lt;安値!S62),12,""))</f>
        <v/>
      </c>
      <c r="M62" s="503">
        <f>IF(終値!A62="","",IF(AND(安値!R62&lt;安値!Q62,安値!R62&lt;安値!P62,安値!R62&lt;安値!S62,安値!R62&lt;安値!T62),13,""))</f>
        <v>13</v>
      </c>
      <c r="N62" s="503" t="str">
        <f>IF(終値!A62="","",IF(AND(安値!S62&lt;安値!R62,安値!S62&lt;安値!Q62,安値!S62&lt;安値!T62,安値!S62&lt;安値!U62),14,""))</f>
        <v/>
      </c>
      <c r="O62" s="503" t="str">
        <f>IF(終値!A62="","",IF(AND(安値!T62&lt;安値!S62,安値!T62&lt;安値!R62,安値!T62&lt;安値!U62,安値!T62&lt;安値!V62),15,""))</f>
        <v/>
      </c>
      <c r="P62" s="503" t="str">
        <f>IF(終値!A62="","",IF(AND(安値!U62&lt;安値!T62,安値!U62&lt;安値!S62,安値!U62&lt;安値!V62,安値!U62&lt;安値!W62),16,""))</f>
        <v/>
      </c>
      <c r="Q62" s="503" t="str">
        <f>IF(終値!A62="","",IF(AND(安値!V62&lt;安値!U62,安値!V62&lt;安値!T62,安値!V62&lt;安値!W62,安値!V62&lt;安値!X62),17,""))</f>
        <v/>
      </c>
      <c r="R62" s="503">
        <f>IF(終値!A62="","",IF(AND(安値!W62&lt;安値!V62,安値!W62&lt;安値!U62,安値!W62&lt;安値!X62,安値!W62&lt;安値!Y62),18,""))</f>
        <v>18</v>
      </c>
      <c r="S62" s="503" t="str">
        <f>IF(終値!A62="","",IF(AND(安値!X62&lt;安値!W62,安値!X62&lt;安値!V62,安値!X62&lt;安値!Y62,安値!X62&lt;安値!Z62),19,""))</f>
        <v/>
      </c>
      <c r="T62" s="503" t="str">
        <f>IF(終値!A62="","",IF(AND(安値!Y62&lt;安値!X62,安値!Y62&lt;安値!W62,安値!Y62&lt;安値!Z62,安値!Y62&lt;安値!AA62),20,""))</f>
        <v/>
      </c>
      <c r="U62" s="503" t="str">
        <f>IF(終値!A62="","",IF(AND(安値!Z62&lt;安値!Y62,安値!Z62&lt;安値!X62,安値!Z62&lt;安値!AA62,安値!Z62&lt;安値!AB62),21,""))</f>
        <v/>
      </c>
      <c r="V62" s="503" t="str">
        <f>IF(終値!A62="","",IF(AND(安値!AA62&lt;安値!Z62,安値!AA62&lt;安値!Y62,安値!AA62&lt;安値!AB62,安値!AA62&lt;安値!AC62),22,""))</f>
        <v/>
      </c>
      <c r="W62" s="503" t="str">
        <f>IF(終値!A62="","",IF(AND(安値!AB62&lt;安値!AA62,安値!AB62&lt;安値!Z62,安値!AB62&lt;安値!AC62,安値!AB62&lt;安値!AD62),23,""))</f>
        <v/>
      </c>
      <c r="X62" s="503" t="str">
        <f>IF(終値!A62="","",IF(AND(安値!AC62&lt;安値!AB62,安値!AC62&lt;安値!AA62,安値!AC62&lt;安値!AD62,安値!AC62&lt;安値!AE62),24,""))</f>
        <v/>
      </c>
      <c r="Y62" s="503" t="str">
        <f>IF(終値!A62="","",IF(AND(安値!AD62&lt;安値!AC62,安値!AD62&lt;安値!AB62,安値!AD62&lt;安値!AE62,安値!AD62&lt;安値!AF62),25,""))</f>
        <v/>
      </c>
      <c r="Z62" s="503" t="str">
        <f>IF(終値!A62="","",IF(AND(安値!AE62&lt;安値!AD62,安値!AE62&lt;安値!AC62,安値!AE62&lt;安値!AF62,安値!AE62&lt;安値!AG62),26,""))</f>
        <v/>
      </c>
      <c r="AA62" s="503">
        <f>IF(終値!A62="","",IF(AND(安値!AF62&lt;安値!AE62,安値!AF62&lt;安値!AD62,安値!AF62&lt;安値!AG62,安値!AF62&lt;安値!AH62),27,""))</f>
        <v>27</v>
      </c>
      <c r="AB62" s="503" t="str">
        <f>IF(終値!A62="","",IF(AND(安値!AG62&lt;安値!AF62,安値!AG62&lt;安値!AE62,安値!AG62&lt;安値!AH62,安値!AG62&lt;安値!AI62),28,""))</f>
        <v/>
      </c>
      <c r="AC62" s="503" t="str">
        <f>IF(終値!A62="","",IF(AND(高値!G62&gt;高値!F62,高値!G62&gt;高値!E62,高値!G62&gt;高値!H62,高値!G62&gt;高値!I62),2,""))</f>
        <v/>
      </c>
      <c r="AD62" s="503" t="str">
        <f>IF(終値!A62="","",IF(AND(高値!H62&gt;高値!G62,高値!H62&gt;高値!F62,高値!H62&gt;高値!I62,高値!H62&gt;高値!J62),3,""))</f>
        <v/>
      </c>
      <c r="AE62" s="503">
        <f>IF(終値!A62="","",IF(AND(高値!I62&gt;高値!H62,高値!I62&gt;高値!G62,高値!I62&gt;高値!J62,高値!I62&gt;高値!K62),4,""))</f>
        <v>4</v>
      </c>
      <c r="AF62" s="503" t="str">
        <f>IF(終値!A62="","",IF(AND(高値!J62&gt;高値!I62,高値!J62&gt;高値!H62,高値!J62&gt;高値!K62,高値!J62&gt;高値!L62),5,""))</f>
        <v/>
      </c>
      <c r="AG62" s="503" t="str">
        <f>IF(終値!A62="","",IF(AND(高値!K62&gt;高値!J62,高値!K62&gt;高値!I62,高値!K62&gt;高値!L62,高値!K62&gt;高値!M62),6,""))</f>
        <v/>
      </c>
      <c r="AH62" s="503" t="str">
        <f>IF(終値!A62="","",IF(AND(高値!L62&gt;高値!K62,高値!L62&gt;高値!J62,高値!L62&gt;高値!M62,高値!L62&gt;高値!N62),7,""))</f>
        <v/>
      </c>
      <c r="AI62" s="503" t="str">
        <f>IF(終値!A62="","",IF(AND(高値!M62&gt;高値!L62,高値!M62&gt;高値!K62,高値!M62&gt;高値!N62,高値!M62&gt;高値!O62),8,""))</f>
        <v/>
      </c>
      <c r="AJ62" s="503" t="str">
        <f>IF(終値!A62="","",IF(AND(高値!N62&gt;高値!M62,高値!N62&gt;高値!L62,高値!N62&gt;高値!O62,高値!N62&gt;高値!P62),9,""))</f>
        <v/>
      </c>
      <c r="AK62" s="503">
        <f>IF(終値!A62="","",IF(AND(高値!O62&gt;高値!N62,高値!O62&gt;高値!M62,高値!O62&gt;高値!P62,高値!O62&gt;高値!Q62),10,""))</f>
        <v>10</v>
      </c>
      <c r="AL62" s="503" t="str">
        <f>IF(終値!A62="","",IF(AND(高値!P62&gt;高値!O62,高値!P62&gt;高値!N62,高値!P62&gt;高値!Q62,高値!P62&gt;高値!R62),11,""))</f>
        <v/>
      </c>
      <c r="AM62" s="503" t="str">
        <f>IF(終値!A62="","",IF(AND(高値!Q62&gt;高値!P62,高値!Q62&gt;高値!O62,高値!Q62&gt;高値!R62,高値!Q62&gt;高値!S62),12,""))</f>
        <v/>
      </c>
      <c r="AN62" s="503" t="str">
        <f>IF(終値!A62="","",IF(AND(高値!R62&gt;高値!Q62,高値!R62&gt;高値!P62,高値!R62&gt;高値!S62,高値!R62&gt;高値!T62),13,""))</f>
        <v/>
      </c>
      <c r="AO62" s="503">
        <f>IF(終値!A62="","",IF(AND(高値!S62&gt;高値!R62,高値!S62&gt;高値!Q62,高値!S62&gt;高値!T62,高値!S62&gt;高値!U62),14,""))</f>
        <v>14</v>
      </c>
      <c r="AP62" s="503" t="str">
        <f>IF(終値!A62="","",IF(AND(高値!T62&gt;高値!S62,高値!T62&gt;高値!R62,高値!T62&gt;高値!U62,高値!T62&gt;高値!V62),15,""))</f>
        <v/>
      </c>
      <c r="AQ62" s="503" t="str">
        <f>IF(終値!A62="","",IF(AND(高値!U62&gt;高値!T62,高値!U62&gt;高値!S62,高値!U62&gt;高値!V62,高値!U62&gt;高値!W62),16,""))</f>
        <v/>
      </c>
      <c r="AR62" s="503" t="str">
        <f>IF(終値!A62="","",IF(AND(高値!V62&gt;高値!U62,高値!V62&gt;高値!T62,高値!V62&gt;高値!W62,高値!V62&gt;高値!X62),17,""))</f>
        <v/>
      </c>
      <c r="AS62" s="503" t="str">
        <f>IF(終値!A62="","",IF(AND(高値!W62&gt;高値!V62,高値!W62&gt;高値!U62,高値!W62&gt;高値!X62,高値!W62&gt;高値!Y62),18,""))</f>
        <v/>
      </c>
      <c r="AT62" s="503" t="str">
        <f>IF(終値!A62="","",IF(AND(高値!X62&gt;高値!W62,高値!X62&gt;高値!V62,高値!X62&gt;高値!Y62,高値!X62&gt;高値!Z62),19,""))</f>
        <v/>
      </c>
      <c r="AU62" s="503" t="str">
        <f>IF(終値!A62="","",IF(AND(高値!Y62&gt;高値!X62,高値!Y62&gt;高値!W62,高値!Y62&gt;高値!Z62,高値!Y62&gt;高値!AA62),20,""))</f>
        <v/>
      </c>
      <c r="AV62" s="503">
        <f>IF(終値!A62="","",IF(AND(高値!Z62&gt;高値!Y62,高値!Z62&gt;高値!X62,高値!Z62&gt;高値!AA62,高値!Z62&gt;高値!AB62),21,""))</f>
        <v>21</v>
      </c>
      <c r="AW62" s="503" t="str">
        <f>IF(終値!A62="","",IF(AND(高値!AA62&gt;高値!Z62,高値!AA62&gt;高値!Y62,高値!AA62&gt;高値!AB62,高値!AA62&gt;高値!AC62),22,""))</f>
        <v/>
      </c>
      <c r="AX62" s="503" t="str">
        <f>IF(終値!A62="","",IF(AND(高値!AB62&gt;高値!AA62,高値!AB62&gt;高値!Z62,高値!AB62&gt;高値!AC62,高値!AB62&gt;高値!AD62),23,""))</f>
        <v/>
      </c>
      <c r="AY62" s="503" t="str">
        <f>IF(終値!A62="","",IF(AND(高値!AC62&gt;高値!AB62,高値!AC62&gt;高値!AA62,高値!AC62&gt;高値!AD62,高値!AC62&gt;高値!AE62),24,""))</f>
        <v/>
      </c>
      <c r="AZ62" s="503" t="str">
        <f>IF(終値!A62="","",IF(AND(高値!AD62&gt;高値!AC62,高値!AD62&gt;高値!AB62,高値!AD62&gt;高値!AE62,高値!AD62&gt;高値!AF62),25,""))</f>
        <v/>
      </c>
      <c r="BA62" s="503" t="str">
        <f>IF(終値!A62="","",IF(AND(高値!AE62&gt;高値!AD62,高値!AE62&gt;高値!AC62,高値!AE62&gt;高値!AF62,高値!AE62&gt;高値!AG62),26,""))</f>
        <v/>
      </c>
      <c r="BB62" s="503" t="str">
        <f>IF(終値!A62="","",IF(AND(高値!AF62&gt;高値!AE62,高値!AF62&gt;高値!AD62,高値!AF62&gt;高値!AG62,高値!AF62&gt;高値!AH62),27,""))</f>
        <v/>
      </c>
      <c r="BC62" s="503" t="str">
        <f>IF(終値!A62="","",IF(AND(高値!AG62&gt;高値!AF62,高値!AG62&gt;高値!AE62,高値!AG62&gt;高値!AH62,高値!AG62&gt;高値!AI62),28,""))</f>
        <v/>
      </c>
      <c r="BD62" s="503">
        <f t="shared" si="0"/>
        <v>5</v>
      </c>
      <c r="BE62" s="503">
        <f t="shared" si="1"/>
        <v>3</v>
      </c>
      <c r="BF62" s="503">
        <f t="shared" si="2"/>
        <v>6</v>
      </c>
      <c r="BG62" s="503">
        <f>IF($BE62="","",INDEX(安値!$E62:$CZ62,1,$BE62+1))</f>
        <v>2964</v>
      </c>
      <c r="BH62" s="503">
        <f>IF($BF62="","",INDEX(安値!$E62:$CZ62,1,$BF62+1))</f>
        <v>2947</v>
      </c>
      <c r="BI62" s="503">
        <f>IF($BF62="","",MAX(INDEX(高値!$E62:$CZ62,1,$BE62+1):INDEX(高値!$E62:$CZ62,1,$BF62+1)))</f>
        <v>3145</v>
      </c>
      <c r="BJ62" s="503">
        <f>IF($BF62="","",AVERAGE(INDEX(終値!$E62:$CZ62,1,$BF62+1):INDEX(終値!$E62:$CZ62,1,$BF62+20))-2*STDEVP(INDEX(終値!$E62:$CZ62,1,$BF62+1):INDEX(終値!$E62:$CZ62,1,$BF62+20)))</f>
        <v>2880.8494493403205</v>
      </c>
      <c r="BK62" s="503">
        <f>IF($BE62="","",AVERAGE(INDEX(終値!$E62:$CZ62,1,$BE62+1):INDEX(終値!$E62:$CZ62,1,$BE62+20))-2*STDEVP(INDEX(終値!$E62:$CZ62,1,$BE62+1):INDEX(終値!$E62:$CZ62,1,$BE62+20)))</f>
        <v>2912.4746104237429</v>
      </c>
      <c r="BL62" s="503">
        <f t="shared" si="3"/>
        <v>4</v>
      </c>
      <c r="BM62" s="503">
        <f t="shared" si="4"/>
        <v>4</v>
      </c>
      <c r="BN62" s="503">
        <f t="shared" si="5"/>
        <v>10</v>
      </c>
      <c r="BO62" s="503">
        <f>IF($BM62="","",INDEX(高値!$E62:$CZ62,1,$BM62+1))</f>
        <v>3145</v>
      </c>
      <c r="BP62" s="503">
        <f>IF($BN62="","",INDEX(高値!$E62:$CZ62,1,$BN62+1))</f>
        <v>3160</v>
      </c>
      <c r="BQ62" s="503">
        <f>IF($BN62="","",MIN(INDEX(安値!$E62:$CZ62,1,$BM62+1):INDEX(安値!$E62:$CZ62,1,$BN62+1)))</f>
        <v>2947</v>
      </c>
      <c r="BR62" s="503">
        <f>IF($BN62="","",AVERAGE(INDEX(終値!$E62:$CZ62,1,$BN62+1):INDEX(終値!$E62:$CZ62,1,$BN62+20))+2*STDEVP(INDEX(終値!$E62:$CZ62,1,$BN62+1):INDEX(終値!$E62:$CZ62,1,$BN62+20)))</f>
        <v>3143.748443276932</v>
      </c>
      <c r="BS62" s="503">
        <f>IF($BM62="","",AVERAGE(INDEX(終値!$E62:$CZ62,1,$BM62+1):INDEX(終値!$E62:$CZ62,1,$BM62+20))+2*STDEVP(INDEX(終値!$E62:$CZ62,1,$BM62+1):INDEX(終値!$E62:$CZ62,1,$BM62+20)))</f>
        <v>3154.0798383740353</v>
      </c>
      <c r="BT62" s="500"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v>
      </c>
    </row>
    <row r="63" spans="2:72">
      <c r="B63" s="503" t="str">
        <f>IF(終値!A63="","",IF(AND(安値!G63&lt;安値!F63,安値!G63&lt;安値!E63,安値!G63&lt;安値!H63,安値!G63&lt;安値!I63),2,""))</f>
        <v/>
      </c>
      <c r="C63" s="503" t="str">
        <f>IF(終値!A63="","",IF(AND(安値!H63&lt;安値!G63,安値!H63&lt;安値!F63,安値!H63&lt;安値!I63,安値!H63&lt;安値!J63),3,""))</f>
        <v/>
      </c>
      <c r="D63" s="503" t="str">
        <f>IF(終値!A63="","",IF(AND(安値!I63&lt;安値!H63,安値!I63&lt;安値!G63,安値!I63&lt;安値!J63,安値!I63&lt;安値!K63),4,""))</f>
        <v/>
      </c>
      <c r="E63" s="503" t="str">
        <f>IF(終値!A63="","",IF(AND(安値!J63&lt;安値!I63,安値!J63&lt;安値!H63,安値!J63&lt;安値!K63,安値!J63&lt;安値!L63),5,""))</f>
        <v/>
      </c>
      <c r="F63" s="503" t="str">
        <f>IF(終値!A63="","",IF(AND(安値!K63&lt;安値!J63,安値!K63&lt;安値!I63,安値!K63&lt;安値!L63,安値!K63&lt;安値!M63),6,""))</f>
        <v/>
      </c>
      <c r="G63" s="503" t="str">
        <f>IF(終値!A63="","",IF(AND(安値!L63&lt;安値!K63,安値!L63&lt;安値!J63,安値!L63&lt;安値!M63,安値!L63&lt;安値!N63),7,""))</f>
        <v/>
      </c>
      <c r="H63" s="503" t="str">
        <f>IF(終値!A63="","",IF(AND(安値!M63&lt;安値!L63,安値!M63&lt;安値!K63,安値!M63&lt;安値!N63,安値!M63&lt;安値!O63),8,""))</f>
        <v/>
      </c>
      <c r="I63" s="503">
        <f>IF(終値!A63="","",IF(AND(安値!N63&lt;安値!M63,安値!N63&lt;安値!L63,安値!N63&lt;安値!O63,安値!N63&lt;安値!P63),9,""))</f>
        <v>9</v>
      </c>
      <c r="J63" s="503" t="str">
        <f>IF(終値!A63="","",IF(AND(安値!O63&lt;安値!N63,安値!O63&lt;安値!M63,安値!O63&lt;安値!P63,安値!O63&lt;安値!Q63),10,""))</f>
        <v/>
      </c>
      <c r="K63" s="503" t="str">
        <f>IF(終値!A63="","",IF(AND(安値!P63&lt;安値!O63,安値!P63&lt;安値!N63,安値!P63&lt;安値!Q63,安値!P63&lt;安値!R63),11,""))</f>
        <v/>
      </c>
      <c r="L63" s="503" t="str">
        <f>IF(終値!A63="","",IF(AND(安値!Q63&lt;安値!P63,安値!Q63&lt;安値!O63,安値!Q63&lt;安値!R63,安値!Q63&lt;安値!S63),12,""))</f>
        <v/>
      </c>
      <c r="M63" s="503" t="str">
        <f>IF(終値!A63="","",IF(AND(安値!R63&lt;安値!Q63,安値!R63&lt;安値!P63,安値!R63&lt;安値!S63,安値!R63&lt;安値!T63),13,""))</f>
        <v/>
      </c>
      <c r="N63" s="503" t="str">
        <f>IF(終値!A63="","",IF(AND(安値!S63&lt;安値!R63,安値!S63&lt;安値!Q63,安値!S63&lt;安値!T63,安値!S63&lt;安値!U63),14,""))</f>
        <v/>
      </c>
      <c r="O63" s="503" t="str">
        <f>IF(終値!A63="","",IF(AND(安値!T63&lt;安値!S63,安値!T63&lt;安値!R63,安値!T63&lt;安値!U63,安値!T63&lt;安値!V63),15,""))</f>
        <v/>
      </c>
      <c r="P63" s="503">
        <f>IF(終値!A63="","",IF(AND(安値!U63&lt;安値!T63,安値!U63&lt;安値!S63,安値!U63&lt;安値!V63,安値!U63&lt;安値!W63),16,""))</f>
        <v>16</v>
      </c>
      <c r="Q63" s="503" t="str">
        <f>IF(終値!A63="","",IF(AND(安値!V63&lt;安値!U63,安値!V63&lt;安値!T63,安値!V63&lt;安値!W63,安値!V63&lt;安値!X63),17,""))</f>
        <v/>
      </c>
      <c r="R63" s="503" t="str">
        <f>IF(終値!A63="","",IF(AND(安値!W63&lt;安値!V63,安値!W63&lt;安値!U63,安値!W63&lt;安値!X63,安値!W63&lt;安値!Y63),18,""))</f>
        <v/>
      </c>
      <c r="S63" s="503" t="str">
        <f>IF(終値!A63="","",IF(AND(安値!X63&lt;安値!W63,安値!X63&lt;安値!V63,安値!X63&lt;安値!Y63,安値!X63&lt;安値!Z63),19,""))</f>
        <v/>
      </c>
      <c r="T63" s="503" t="str">
        <f>IF(終値!A63="","",IF(AND(安値!Y63&lt;安値!X63,安値!Y63&lt;安値!W63,安値!Y63&lt;安値!Z63,安値!Y63&lt;安値!AA63),20,""))</f>
        <v/>
      </c>
      <c r="U63" s="503" t="str">
        <f>IF(終値!A63="","",IF(AND(安値!Z63&lt;安値!Y63,安値!Z63&lt;安値!X63,安値!Z63&lt;安値!AA63,安値!Z63&lt;安値!AB63),21,""))</f>
        <v/>
      </c>
      <c r="V63" s="503" t="str">
        <f>IF(終値!A63="","",IF(AND(安値!AA63&lt;安値!Z63,安値!AA63&lt;安値!Y63,安値!AA63&lt;安値!AB63,安値!AA63&lt;安値!AC63),22,""))</f>
        <v/>
      </c>
      <c r="W63" s="503" t="str">
        <f>IF(終値!A63="","",IF(AND(安値!AB63&lt;安値!AA63,安値!AB63&lt;安値!Z63,安値!AB63&lt;安値!AC63,安値!AB63&lt;安値!AD63),23,""))</f>
        <v/>
      </c>
      <c r="X63" s="503">
        <f>IF(終値!A63="","",IF(AND(安値!AC63&lt;安値!AB63,安値!AC63&lt;安値!AA63,安値!AC63&lt;安値!AD63,安値!AC63&lt;安値!AE63),24,""))</f>
        <v>24</v>
      </c>
      <c r="Y63" s="503" t="str">
        <f>IF(終値!A63="","",IF(AND(安値!AD63&lt;安値!AC63,安値!AD63&lt;安値!AB63,安値!AD63&lt;安値!AE63,安値!AD63&lt;安値!AF63),25,""))</f>
        <v/>
      </c>
      <c r="Z63" s="503" t="str">
        <f>IF(終値!A63="","",IF(AND(安値!AE63&lt;安値!AD63,安値!AE63&lt;安値!AC63,安値!AE63&lt;安値!AF63,安値!AE63&lt;安値!AG63),26,""))</f>
        <v/>
      </c>
      <c r="AA63" s="503" t="str">
        <f>IF(終値!A63="","",IF(AND(安値!AF63&lt;安値!AE63,安値!AF63&lt;安値!AD63,安値!AF63&lt;安値!AG63,安値!AF63&lt;安値!AH63),27,""))</f>
        <v/>
      </c>
      <c r="AB63" s="503" t="str">
        <f>IF(終値!A63="","",IF(AND(安値!AG63&lt;安値!AF63,安値!AG63&lt;安値!AE63,安値!AG63&lt;安値!AH63,安値!AG63&lt;安値!AI63),28,""))</f>
        <v/>
      </c>
      <c r="AC63" s="503" t="str">
        <f>IF(終値!A63="","",IF(AND(高値!G63&gt;高値!F63,高値!G63&gt;高値!E63,高値!G63&gt;高値!H63,高値!G63&gt;高値!I63),2,""))</f>
        <v/>
      </c>
      <c r="AD63" s="503" t="str">
        <f>IF(終値!A63="","",IF(AND(高値!H63&gt;高値!G63,高値!H63&gt;高値!F63,高値!H63&gt;高値!I63,高値!H63&gt;高値!J63),3,""))</f>
        <v/>
      </c>
      <c r="AE63" s="503" t="str">
        <f>IF(終値!A63="","",IF(AND(高値!I63&gt;高値!H63,高値!I63&gt;高値!G63,高値!I63&gt;高値!J63,高値!I63&gt;高値!K63),4,""))</f>
        <v/>
      </c>
      <c r="AF63" s="503" t="str">
        <f>IF(終値!A63="","",IF(AND(高値!J63&gt;高値!I63,高値!J63&gt;高値!H63,高値!J63&gt;高値!K63,高値!J63&gt;高値!L63),5,""))</f>
        <v/>
      </c>
      <c r="AG63" s="503">
        <f>IF(終値!A63="","",IF(AND(高値!K63&gt;高値!J63,高値!K63&gt;高値!I63,高値!K63&gt;高値!L63,高値!K63&gt;高値!M63),6,""))</f>
        <v>6</v>
      </c>
      <c r="AH63" s="503" t="str">
        <f>IF(終値!A63="","",IF(AND(高値!L63&gt;高値!K63,高値!L63&gt;高値!J63,高値!L63&gt;高値!M63,高値!L63&gt;高値!N63),7,""))</f>
        <v/>
      </c>
      <c r="AI63" s="503" t="str">
        <f>IF(終値!A63="","",IF(AND(高値!M63&gt;高値!L63,高値!M63&gt;高値!K63,高値!M63&gt;高値!N63,高値!M63&gt;高値!O63),8,""))</f>
        <v/>
      </c>
      <c r="AJ63" s="503" t="str">
        <f>IF(終値!A63="","",IF(AND(高値!N63&gt;高値!M63,高値!N63&gt;高値!L63,高値!N63&gt;高値!O63,高値!N63&gt;高値!P63),9,""))</f>
        <v/>
      </c>
      <c r="AK63" s="503" t="str">
        <f>IF(終値!A63="","",IF(AND(高値!O63&gt;高値!N63,高値!O63&gt;高値!M63,高値!O63&gt;高値!P63,高値!O63&gt;高値!Q63),10,""))</f>
        <v/>
      </c>
      <c r="AL63" s="503" t="str">
        <f>IF(終値!A63="","",IF(AND(高値!P63&gt;高値!O63,高値!P63&gt;高値!N63,高値!P63&gt;高値!Q63,高値!P63&gt;高値!R63),11,""))</f>
        <v/>
      </c>
      <c r="AM63" s="503">
        <f>IF(終値!A63="","",IF(AND(高値!Q63&gt;高値!P63,高値!Q63&gt;高値!O63,高値!Q63&gt;高値!R63,高値!Q63&gt;高値!S63),12,""))</f>
        <v>12</v>
      </c>
      <c r="AN63" s="503" t="str">
        <f>IF(終値!A63="","",IF(AND(高値!R63&gt;高値!Q63,高値!R63&gt;高値!P63,高値!R63&gt;高値!S63,高値!R63&gt;高値!T63),13,""))</f>
        <v/>
      </c>
      <c r="AO63" s="503" t="str">
        <f>IF(終値!A63="","",IF(AND(高値!S63&gt;高値!R63,高値!S63&gt;高値!Q63,高値!S63&gt;高値!T63,高値!S63&gt;高値!U63),14,""))</f>
        <v/>
      </c>
      <c r="AP63" s="503" t="str">
        <f>IF(終値!A63="","",IF(AND(高値!T63&gt;高値!S63,高値!T63&gt;高値!R63,高値!T63&gt;高値!U63,高値!T63&gt;高値!V63),15,""))</f>
        <v/>
      </c>
      <c r="AQ63" s="503" t="str">
        <f>IF(終値!A63="","",IF(AND(高値!U63&gt;高値!T63,高値!U63&gt;高値!S63,高値!U63&gt;高値!V63,高値!U63&gt;高値!W63),16,""))</f>
        <v/>
      </c>
      <c r="AR63" s="503" t="str">
        <f>IF(終値!A63="","",IF(AND(高値!V63&gt;高値!U63,高値!V63&gt;高値!T63,高値!V63&gt;高値!W63,高値!V63&gt;高値!X63),17,""))</f>
        <v/>
      </c>
      <c r="AS63" s="503" t="str">
        <f>IF(終値!A63="","",IF(AND(高値!W63&gt;高値!V63,高値!W63&gt;高値!U63,高値!W63&gt;高値!X63,高値!W63&gt;高値!Y63),18,""))</f>
        <v/>
      </c>
      <c r="AT63" s="503" t="str">
        <f>IF(終値!A63="","",IF(AND(高値!X63&gt;高値!W63,高値!X63&gt;高値!V63,高値!X63&gt;高値!Y63,高値!X63&gt;高値!Z63),19,""))</f>
        <v/>
      </c>
      <c r="AU63" s="503">
        <f>IF(終値!A63="","",IF(AND(高値!Y63&gt;高値!X63,高値!Y63&gt;高値!W63,高値!Y63&gt;高値!Z63,高値!Y63&gt;高値!AA63),20,""))</f>
        <v>20</v>
      </c>
      <c r="AV63" s="503" t="str">
        <f>IF(終値!A63="","",IF(AND(高値!Z63&gt;高値!Y63,高値!Z63&gt;高値!X63,高値!Z63&gt;高値!AA63,高値!Z63&gt;高値!AB63),21,""))</f>
        <v/>
      </c>
      <c r="AW63" s="503" t="str">
        <f>IF(終値!A63="","",IF(AND(高値!AA63&gt;高値!Z63,高値!AA63&gt;高値!Y63,高値!AA63&gt;高値!AB63,高値!AA63&gt;高値!AC63),22,""))</f>
        <v/>
      </c>
      <c r="AX63" s="503" t="str">
        <f>IF(終値!A63="","",IF(AND(高値!AB63&gt;高値!AA63,高値!AB63&gt;高値!Z63,高値!AB63&gt;高値!AC63,高値!AB63&gt;高値!AD63),23,""))</f>
        <v/>
      </c>
      <c r="AY63" s="503" t="str">
        <f>IF(終値!A63="","",IF(AND(高値!AC63&gt;高値!AB63,高値!AC63&gt;高値!AA63,高値!AC63&gt;高値!AD63,高値!AC63&gt;高値!AE63),24,""))</f>
        <v/>
      </c>
      <c r="AZ63" s="503" t="str">
        <f>IF(終値!A63="","",IF(AND(高値!AD63&gt;高値!AC63,高値!AD63&gt;高値!AB63,高値!AD63&gt;高値!AE63,高値!AD63&gt;高値!AF63),25,""))</f>
        <v/>
      </c>
      <c r="BA63" s="503">
        <f>IF(終値!A63="","",IF(AND(高値!AE63&gt;高値!AD63,高値!AE63&gt;高値!AC63,高値!AE63&gt;高値!AF63,高値!AE63&gt;高値!AG63),26,""))</f>
        <v>26</v>
      </c>
      <c r="BB63" s="503" t="str">
        <f>IF(終値!A63="","",IF(AND(高値!AF63&gt;高値!AE63,高値!AF63&gt;高値!AD63,高値!AF63&gt;高値!AG63,高値!AF63&gt;高値!AH63),27,""))</f>
        <v/>
      </c>
      <c r="BC63" s="503" t="str">
        <f>IF(終値!A63="","",IF(AND(高値!AG63&gt;高値!AF63,高値!AG63&gt;高値!AE63,高値!AG63&gt;高値!AH63,高値!AG63&gt;高値!AI63),28,""))</f>
        <v/>
      </c>
      <c r="BD63" s="503">
        <f t="shared" si="0"/>
        <v>3</v>
      </c>
      <c r="BE63" s="503">
        <f t="shared" si="1"/>
        <v>9</v>
      </c>
      <c r="BF63" s="503">
        <f t="shared" si="2"/>
        <v>16</v>
      </c>
      <c r="BG63" s="503">
        <f>IF($BE63="","",INDEX(安値!$E63:$CZ63,1,$BE63+1))</f>
        <v>0</v>
      </c>
      <c r="BH63" s="503">
        <f>IF($BF63="","",INDEX(安値!$E63:$CZ63,1,$BF63+1))</f>
        <v>1078</v>
      </c>
      <c r="BI63" s="503">
        <f>IF($BF63="","",MAX(INDEX(高値!$E63:$CZ63,1,$BE63+1):INDEX(高値!$E63:$CZ63,1,$BF63+1)))</f>
        <v>1132</v>
      </c>
      <c r="BJ63" s="503">
        <f>IF($BF63="","",AVERAGE(INDEX(終値!$E63:$CZ63,1,$BF63+1):INDEX(終値!$E63:$CZ63,1,$BF63+20))-2*STDEVP(INDEX(終値!$E63:$CZ63,1,$BF63+1):INDEX(終値!$E63:$CZ63,1,$BF63+20)))</f>
        <v>1011.2598662705969</v>
      </c>
      <c r="BK63" s="503">
        <f>IF($BE63="","",AVERAGE(INDEX(終値!$E63:$CZ63,1,$BE63+1):INDEX(終値!$E63:$CZ63,1,$BE63+20))-2*STDEVP(INDEX(終値!$E63:$CZ63,1,$BE63+1):INDEX(終値!$E63:$CZ63,1,$BE63+20)))</f>
        <v>1043.0488450701932</v>
      </c>
      <c r="BL63" s="503">
        <f t="shared" si="3"/>
        <v>4</v>
      </c>
      <c r="BM63" s="503">
        <f t="shared" si="4"/>
        <v>6</v>
      </c>
      <c r="BN63" s="503">
        <f t="shared" si="5"/>
        <v>12</v>
      </c>
      <c r="BO63" s="503">
        <f>IF($BM63="","",INDEX(高値!$E63:$CZ63,1,$BM63+1))</f>
        <v>1147</v>
      </c>
      <c r="BP63" s="503">
        <f>IF($BN63="","",INDEX(高値!$E63:$CZ63,1,$BN63+1))</f>
        <v>1132</v>
      </c>
      <c r="BQ63" s="503">
        <f>IF($BN63="","",MIN(INDEX(安値!$E63:$CZ63,1,$BM63+1):INDEX(安値!$E63:$CZ63,1,$BN63+1)))</f>
        <v>1091</v>
      </c>
      <c r="BR63" s="503">
        <f>IF($BN63="","",AVERAGE(INDEX(終値!$E63:$CZ63,1,$BN63+1):INDEX(終値!$E63:$CZ63,1,$BN63+20))+2*STDEVP(INDEX(終値!$E63:$CZ63,1,$BN63+1):INDEX(終値!$E63:$CZ63,1,$BN63+20)))</f>
        <v>1133.9037075997719</v>
      </c>
      <c r="BS63" s="503">
        <f>IF($BM63="","",AVERAGE(INDEX(終値!$E63:$CZ63,1,$BM63+1):INDEX(終値!$E63:$CZ63,1,$BM63+20))+2*STDEVP(INDEX(終値!$E63:$CZ63,1,$BM63+1):INDEX(終値!$E63:$CZ63,1,$BM63+20)))</f>
        <v>1139.694409491884</v>
      </c>
      <c r="BT63" s="500"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二番天井M▼</v>
      </c>
    </row>
    <row r="64" spans="2:72">
      <c r="B64" s="503" t="str">
        <f>IF(終値!A64="","",IF(AND(安値!G64&lt;安値!F64,安値!G64&lt;安値!E64,安値!G64&lt;安値!H64,安値!G64&lt;安値!I64),2,""))</f>
        <v/>
      </c>
      <c r="C64" s="503" t="str">
        <f>IF(終値!A64="","",IF(AND(安値!H64&lt;安値!G64,安値!H64&lt;安値!F64,安値!H64&lt;安値!I64,安値!H64&lt;安値!J64),3,""))</f>
        <v/>
      </c>
      <c r="D64" s="503" t="str">
        <f>IF(終値!A64="","",IF(AND(安値!I64&lt;安値!H64,安値!I64&lt;安値!G64,安値!I64&lt;安値!J64,安値!I64&lt;安値!K64),4,""))</f>
        <v/>
      </c>
      <c r="E64" s="503" t="str">
        <f>IF(終値!A64="","",IF(AND(安値!J64&lt;安値!I64,安値!J64&lt;安値!H64,安値!J64&lt;安値!K64,安値!J64&lt;安値!L64),5,""))</f>
        <v/>
      </c>
      <c r="F64" s="503" t="str">
        <f>IF(終値!A64="","",IF(AND(安値!K64&lt;安値!J64,安値!K64&lt;安値!I64,安値!K64&lt;安値!L64,安値!K64&lt;安値!M64),6,""))</f>
        <v/>
      </c>
      <c r="G64" s="503" t="str">
        <f>IF(終値!A64="","",IF(AND(安値!L64&lt;安値!K64,安値!L64&lt;安値!J64,安値!L64&lt;安値!M64,安値!L64&lt;安値!N64),7,""))</f>
        <v/>
      </c>
      <c r="H64" s="503" t="str">
        <f>IF(終値!A64="","",IF(AND(安値!M64&lt;安値!L64,安値!M64&lt;安値!K64,安値!M64&lt;安値!N64,安値!M64&lt;安値!O64),8,""))</f>
        <v/>
      </c>
      <c r="I64" s="503">
        <f>IF(終値!A64="","",IF(AND(安値!N64&lt;安値!M64,安値!N64&lt;安値!L64,安値!N64&lt;安値!O64,安値!N64&lt;安値!P64),9,""))</f>
        <v>9</v>
      </c>
      <c r="J64" s="503" t="str">
        <f>IF(終値!A64="","",IF(AND(安値!O64&lt;安値!N64,安値!O64&lt;安値!M64,安値!O64&lt;安値!P64,安値!O64&lt;安値!Q64),10,""))</f>
        <v/>
      </c>
      <c r="K64" s="503" t="str">
        <f>IF(終値!A64="","",IF(AND(安値!P64&lt;安値!O64,安値!P64&lt;安値!N64,安値!P64&lt;安値!Q64,安値!P64&lt;安値!R64),11,""))</f>
        <v/>
      </c>
      <c r="L64" s="503" t="str">
        <f>IF(終値!A64="","",IF(AND(安値!Q64&lt;安値!P64,安値!Q64&lt;安値!O64,安値!Q64&lt;安値!R64,安値!Q64&lt;安値!S64),12,""))</f>
        <v/>
      </c>
      <c r="M64" s="503">
        <f>IF(終値!A64="","",IF(AND(安値!R64&lt;安値!Q64,安値!R64&lt;安値!P64,安値!R64&lt;安値!S64,安値!R64&lt;安値!T64),13,""))</f>
        <v>13</v>
      </c>
      <c r="N64" s="503" t="str">
        <f>IF(終値!A64="","",IF(AND(安値!S64&lt;安値!R64,安値!S64&lt;安値!Q64,安値!S64&lt;安値!T64,安値!S64&lt;安値!U64),14,""))</f>
        <v/>
      </c>
      <c r="O64" s="503" t="str">
        <f>IF(終値!A64="","",IF(AND(安値!T64&lt;安値!S64,安値!T64&lt;安値!R64,安値!T64&lt;安値!U64,安値!T64&lt;安値!V64),15,""))</f>
        <v/>
      </c>
      <c r="P64" s="503" t="str">
        <f>IF(終値!A64="","",IF(AND(安値!U64&lt;安値!T64,安値!U64&lt;安値!S64,安値!U64&lt;安値!V64,安値!U64&lt;安値!W64),16,""))</f>
        <v/>
      </c>
      <c r="Q64" s="503" t="str">
        <f>IF(終値!A64="","",IF(AND(安値!V64&lt;安値!U64,安値!V64&lt;安値!T64,安値!V64&lt;安値!W64,安値!V64&lt;安値!X64),17,""))</f>
        <v/>
      </c>
      <c r="R64" s="503">
        <f>IF(終値!A64="","",IF(AND(安値!W64&lt;安値!V64,安値!W64&lt;安値!U64,安値!W64&lt;安値!X64,安値!W64&lt;安値!Y64),18,""))</f>
        <v>18</v>
      </c>
      <c r="S64" s="503" t="str">
        <f>IF(終値!A64="","",IF(AND(安値!X64&lt;安値!W64,安値!X64&lt;安値!V64,安値!X64&lt;安値!Y64,安値!X64&lt;安値!Z64),19,""))</f>
        <v/>
      </c>
      <c r="T64" s="503" t="str">
        <f>IF(終値!A64="","",IF(AND(安値!Y64&lt;安値!X64,安値!Y64&lt;安値!W64,安値!Y64&lt;安値!Z64,安値!Y64&lt;安値!AA64),20,""))</f>
        <v/>
      </c>
      <c r="U64" s="503" t="str">
        <f>IF(終値!A64="","",IF(AND(安値!Z64&lt;安値!Y64,安値!Z64&lt;安値!X64,安値!Z64&lt;安値!AA64,安値!Z64&lt;安値!AB64),21,""))</f>
        <v/>
      </c>
      <c r="V64" s="503" t="str">
        <f>IF(終値!A64="","",IF(AND(安値!AA64&lt;安値!Z64,安値!AA64&lt;安値!Y64,安値!AA64&lt;安値!AB64,安値!AA64&lt;安値!AC64),22,""))</f>
        <v/>
      </c>
      <c r="W64" s="503" t="str">
        <f>IF(終値!A64="","",IF(AND(安値!AB64&lt;安値!AA64,安値!AB64&lt;安値!Z64,安値!AB64&lt;安値!AC64,安値!AB64&lt;安値!AD64),23,""))</f>
        <v/>
      </c>
      <c r="X64" s="503">
        <f>IF(終値!A64="","",IF(AND(安値!AC64&lt;安値!AB64,安値!AC64&lt;安値!AA64,安値!AC64&lt;安値!AD64,安値!AC64&lt;安値!AE64),24,""))</f>
        <v>24</v>
      </c>
      <c r="Y64" s="503" t="str">
        <f>IF(終値!A64="","",IF(AND(安値!AD64&lt;安値!AC64,安値!AD64&lt;安値!AB64,安値!AD64&lt;安値!AE64,安値!AD64&lt;安値!AF64),25,""))</f>
        <v/>
      </c>
      <c r="Z64" s="503" t="str">
        <f>IF(終値!A64="","",IF(AND(安値!AE64&lt;安値!AD64,安値!AE64&lt;安値!AC64,安値!AE64&lt;安値!AF64,安値!AE64&lt;安値!AG64),26,""))</f>
        <v/>
      </c>
      <c r="AA64" s="503" t="str">
        <f>IF(終値!A64="","",IF(AND(安値!AF64&lt;安値!AE64,安値!AF64&lt;安値!AD64,安値!AF64&lt;安値!AG64,安値!AF64&lt;安値!AH64),27,""))</f>
        <v/>
      </c>
      <c r="AB64" s="503">
        <f>IF(終値!A64="","",IF(AND(安値!AG64&lt;安値!AF64,安値!AG64&lt;安値!AE64,安値!AG64&lt;安値!AH64,安値!AG64&lt;安値!AI64),28,""))</f>
        <v>28</v>
      </c>
      <c r="AC64" s="503" t="str">
        <f>IF(終値!A64="","",IF(AND(高値!G64&gt;高値!F64,高値!G64&gt;高値!E64,高値!G64&gt;高値!H64,高値!G64&gt;高値!I64),2,""))</f>
        <v/>
      </c>
      <c r="AD64" s="503" t="str">
        <f>IF(終値!A64="","",IF(AND(高値!H64&gt;高値!G64,高値!H64&gt;高値!F64,高値!H64&gt;高値!I64,高値!H64&gt;高値!J64),3,""))</f>
        <v/>
      </c>
      <c r="AE64" s="503" t="str">
        <f>IF(終値!A64="","",IF(AND(高値!I64&gt;高値!H64,高値!I64&gt;高値!G64,高値!I64&gt;高値!J64,高値!I64&gt;高値!K64),4,""))</f>
        <v/>
      </c>
      <c r="AF64" s="503" t="str">
        <f>IF(終値!A64="","",IF(AND(高値!J64&gt;高値!I64,高値!J64&gt;高値!H64,高値!J64&gt;高値!K64,高値!J64&gt;高値!L64),5,""))</f>
        <v/>
      </c>
      <c r="AG64" s="503">
        <f>IF(終値!A64="","",IF(AND(高値!K64&gt;高値!J64,高値!K64&gt;高値!I64,高値!K64&gt;高値!L64,高値!K64&gt;高値!M64),6,""))</f>
        <v>6</v>
      </c>
      <c r="AH64" s="503" t="str">
        <f>IF(終値!A64="","",IF(AND(高値!L64&gt;高値!K64,高値!L64&gt;高値!J64,高値!L64&gt;高値!M64,高値!L64&gt;高値!N64),7,""))</f>
        <v/>
      </c>
      <c r="AI64" s="503" t="str">
        <f>IF(終値!A64="","",IF(AND(高値!M64&gt;高値!L64,高値!M64&gt;高値!K64,高値!M64&gt;高値!N64,高値!M64&gt;高値!O64),8,""))</f>
        <v/>
      </c>
      <c r="AJ64" s="503" t="str">
        <f>IF(終値!A64="","",IF(AND(高値!N64&gt;高値!M64,高値!N64&gt;高値!L64,高値!N64&gt;高値!O64,高値!N64&gt;高値!P64),9,""))</f>
        <v/>
      </c>
      <c r="AK64" s="503" t="str">
        <f>IF(終値!A64="","",IF(AND(高値!O64&gt;高値!N64,高値!O64&gt;高値!M64,高値!O64&gt;高値!P64,高値!O64&gt;高値!Q64),10,""))</f>
        <v/>
      </c>
      <c r="AL64" s="503" t="str">
        <f>IF(終値!A64="","",IF(AND(高値!P64&gt;高値!O64,高値!P64&gt;高値!N64,高値!P64&gt;高値!Q64,高値!P64&gt;高値!R64),11,""))</f>
        <v/>
      </c>
      <c r="AM64" s="503">
        <f>IF(終値!A64="","",IF(AND(高値!Q64&gt;高値!P64,高値!Q64&gt;高値!O64,高値!Q64&gt;高値!R64,高値!Q64&gt;高値!S64),12,""))</f>
        <v>12</v>
      </c>
      <c r="AN64" s="503" t="str">
        <f>IF(終値!A64="","",IF(AND(高値!R64&gt;高値!Q64,高値!R64&gt;高値!P64,高値!R64&gt;高値!S64,高値!R64&gt;高値!T64),13,""))</f>
        <v/>
      </c>
      <c r="AO64" s="503" t="str">
        <f>IF(終値!A64="","",IF(AND(高値!S64&gt;高値!R64,高値!S64&gt;高値!Q64,高値!S64&gt;高値!T64,高値!S64&gt;高値!U64),14,""))</f>
        <v/>
      </c>
      <c r="AP64" s="503">
        <f>IF(終値!A64="","",IF(AND(高値!T64&gt;高値!S64,高値!T64&gt;高値!R64,高値!T64&gt;高値!U64,高値!T64&gt;高値!V64),15,""))</f>
        <v>15</v>
      </c>
      <c r="AQ64" s="503" t="str">
        <f>IF(終値!A64="","",IF(AND(高値!U64&gt;高値!T64,高値!U64&gt;高値!S64,高値!U64&gt;高値!V64,高値!U64&gt;高値!W64),16,""))</f>
        <v/>
      </c>
      <c r="AR64" s="503" t="str">
        <f>IF(終値!A64="","",IF(AND(高値!V64&gt;高値!U64,高値!V64&gt;高値!T64,高値!V64&gt;高値!W64,高値!V64&gt;高値!X64),17,""))</f>
        <v/>
      </c>
      <c r="AS64" s="503" t="str">
        <f>IF(終値!A64="","",IF(AND(高値!W64&gt;高値!V64,高値!W64&gt;高値!U64,高値!W64&gt;高値!X64,高値!W64&gt;高値!Y64),18,""))</f>
        <v/>
      </c>
      <c r="AT64" s="503" t="str">
        <f>IF(終値!A64="","",IF(AND(高値!X64&gt;高値!W64,高値!X64&gt;高値!V64,高値!X64&gt;高値!Y64,高値!X64&gt;高値!Z64),19,""))</f>
        <v/>
      </c>
      <c r="AU64" s="503">
        <f>IF(終値!A64="","",IF(AND(高値!Y64&gt;高値!X64,高値!Y64&gt;高値!W64,高値!Y64&gt;高値!Z64,高値!Y64&gt;高値!AA64),20,""))</f>
        <v>20</v>
      </c>
      <c r="AV64" s="503" t="str">
        <f>IF(終値!A64="","",IF(AND(高値!Z64&gt;高値!Y64,高値!Z64&gt;高値!X64,高値!Z64&gt;高値!AA64,高値!Z64&gt;高値!AB64),21,""))</f>
        <v/>
      </c>
      <c r="AW64" s="503" t="str">
        <f>IF(終値!A64="","",IF(AND(高値!AA64&gt;高値!Z64,高値!AA64&gt;高値!Y64,高値!AA64&gt;高値!AB64,高値!AA64&gt;高値!AC64),22,""))</f>
        <v/>
      </c>
      <c r="AX64" s="503" t="str">
        <f>IF(終値!A64="","",IF(AND(高値!AB64&gt;高値!AA64,高値!AB64&gt;高値!Z64,高値!AB64&gt;高値!AC64,高値!AB64&gt;高値!AD64),23,""))</f>
        <v/>
      </c>
      <c r="AY64" s="503" t="str">
        <f>IF(終値!A64="","",IF(AND(高値!AC64&gt;高値!AB64,高値!AC64&gt;高値!AA64,高値!AC64&gt;高値!AD64,高値!AC64&gt;高値!AE64),24,""))</f>
        <v/>
      </c>
      <c r="AZ64" s="503" t="str">
        <f>IF(終値!A64="","",IF(AND(高値!AD64&gt;高値!AC64,高値!AD64&gt;高値!AB64,高値!AD64&gt;高値!AE64,高値!AD64&gt;高値!AF64),25,""))</f>
        <v/>
      </c>
      <c r="BA64" s="503" t="str">
        <f>IF(終値!A64="","",IF(AND(高値!AE64&gt;高値!AD64,高値!AE64&gt;高値!AC64,高値!AE64&gt;高値!AF64,高値!AE64&gt;高値!AG64),26,""))</f>
        <v/>
      </c>
      <c r="BB64" s="503" t="str">
        <f>IF(終値!A64="","",IF(AND(高値!AF64&gt;高値!AE64,高値!AF64&gt;高値!AD64,高値!AF64&gt;高値!AG64,高値!AF64&gt;高値!AH64),27,""))</f>
        <v/>
      </c>
      <c r="BC64" s="503" t="str">
        <f>IF(終値!A64="","",IF(AND(高値!AG64&gt;高値!AF64,高値!AG64&gt;高値!AE64,高値!AG64&gt;高値!AH64,高値!AG64&gt;高値!AI64),28,""))</f>
        <v/>
      </c>
      <c r="BD64" s="503">
        <f t="shared" si="0"/>
        <v>5</v>
      </c>
      <c r="BE64" s="503">
        <f t="shared" si="1"/>
        <v>9</v>
      </c>
      <c r="BF64" s="503">
        <f t="shared" si="2"/>
        <v>13</v>
      </c>
      <c r="BG64" s="503">
        <f>IF($BE64="","",INDEX(安値!$E64:$CZ64,1,$BE64+1))</f>
        <v>3777</v>
      </c>
      <c r="BH64" s="503">
        <f>IF($BF64="","",INDEX(安値!$E64:$CZ64,1,$BF64+1))</f>
        <v>3814</v>
      </c>
      <c r="BI64" s="503">
        <f>IF($BF64="","",MAX(INDEX(高値!$E64:$CZ64,1,$BE64+1):INDEX(高値!$E64:$CZ64,1,$BF64+1)))</f>
        <v>3929</v>
      </c>
      <c r="BJ64" s="503">
        <f>IF($BF64="","",AVERAGE(INDEX(終値!$E64:$CZ64,1,$BF64+1):INDEX(終値!$E64:$CZ64,1,$BF64+20))-2*STDEVP(INDEX(終値!$E64:$CZ64,1,$BF64+1):INDEX(終値!$E64:$CZ64,1,$BF64+20)))</f>
        <v>3663.5388239708905</v>
      </c>
      <c r="BK64" s="503">
        <f>IF($BE64="","",AVERAGE(INDEX(終値!$E64:$CZ64,1,$BE64+1):INDEX(終値!$E64:$CZ64,1,$BE64+20))-2*STDEVP(INDEX(終値!$E64:$CZ64,1,$BE64+1):INDEX(終値!$E64:$CZ64,1,$BE64+20)))</f>
        <v>3674.3909445579443</v>
      </c>
      <c r="BL64" s="503">
        <f t="shared" si="3"/>
        <v>4</v>
      </c>
      <c r="BM64" s="503">
        <f t="shared" si="4"/>
        <v>6</v>
      </c>
      <c r="BN64" s="503">
        <f t="shared" si="5"/>
        <v>12</v>
      </c>
      <c r="BO64" s="503">
        <f>IF($BM64="","",INDEX(高値!$E64:$CZ64,1,$BM64+1))</f>
        <v>4079</v>
      </c>
      <c r="BP64" s="503">
        <f>IF($BN64="","",INDEX(高値!$E64:$CZ64,1,$BN64+1))</f>
        <v>3929</v>
      </c>
      <c r="BQ64" s="503">
        <f>IF($BN64="","",MIN(INDEX(安値!$E64:$CZ64,1,$BM64+1):INDEX(安値!$E64:$CZ64,1,$BN64+1)))</f>
        <v>3777</v>
      </c>
      <c r="BR64" s="503">
        <f>IF($BN64="","",AVERAGE(INDEX(終値!$E64:$CZ64,1,$BN64+1):INDEX(終値!$E64:$CZ64,1,$BN64+20))+2*STDEVP(INDEX(終値!$E64:$CZ64,1,$BN64+1):INDEX(終値!$E64:$CZ64,1,$BN64+20)))</f>
        <v>3895.0708891161107</v>
      </c>
      <c r="BS64" s="503">
        <f>IF($BM64="","",AVERAGE(INDEX(終値!$E64:$CZ64,1,$BM64+1):INDEX(終値!$E64:$CZ64,1,$BM64+20))+2*STDEVP(INDEX(終値!$E64:$CZ64,1,$BM64+1):INDEX(終値!$E64:$CZ64,1,$BM64+20)))</f>
        <v>3990</v>
      </c>
      <c r="BT64" s="500"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二番天井M▼</v>
      </c>
    </row>
    <row r="65" spans="2:72">
      <c r="B65" s="503" t="str">
        <f>IF(終値!A65="","",IF(AND(安値!G65&lt;安値!F65,安値!G65&lt;安値!E65,安値!G65&lt;安値!H65,安値!G65&lt;安値!I65),2,""))</f>
        <v/>
      </c>
      <c r="C65" s="503" t="str">
        <f>IF(終値!A65="","",IF(AND(安値!H65&lt;安値!G65,安値!H65&lt;安値!F65,安値!H65&lt;安値!I65,安値!H65&lt;安値!J65),3,""))</f>
        <v/>
      </c>
      <c r="D65" s="503" t="str">
        <f>IF(終値!A65="","",IF(AND(安値!I65&lt;安値!H65,安値!I65&lt;安値!G65,安値!I65&lt;安値!J65,安値!I65&lt;安値!K65),4,""))</f>
        <v/>
      </c>
      <c r="E65" s="503">
        <f>IF(終値!A65="","",IF(AND(安値!J65&lt;安値!I65,安値!J65&lt;安値!H65,安値!J65&lt;安値!K65,安値!J65&lt;安値!L65),5,""))</f>
        <v>5</v>
      </c>
      <c r="F65" s="503" t="str">
        <f>IF(終値!A65="","",IF(AND(安値!K65&lt;安値!J65,安値!K65&lt;安値!I65,安値!K65&lt;安値!L65,安値!K65&lt;安値!M65),6,""))</f>
        <v/>
      </c>
      <c r="G65" s="503" t="str">
        <f>IF(終値!A65="","",IF(AND(安値!L65&lt;安値!K65,安値!L65&lt;安値!J65,安値!L65&lt;安値!M65,安値!L65&lt;安値!N65),7,""))</f>
        <v/>
      </c>
      <c r="H65" s="503" t="str">
        <f>IF(終値!A65="","",IF(AND(安値!M65&lt;安値!L65,安値!M65&lt;安値!K65,安値!M65&lt;安値!N65,安値!M65&lt;安値!O65),8,""))</f>
        <v/>
      </c>
      <c r="I65" s="503" t="str">
        <f>IF(終値!A65="","",IF(AND(安値!N65&lt;安値!M65,安値!N65&lt;安値!L65,安値!N65&lt;安値!O65,安値!N65&lt;安値!P65),9,""))</f>
        <v/>
      </c>
      <c r="J65" s="503" t="str">
        <f>IF(終値!A65="","",IF(AND(安値!O65&lt;安値!N65,安値!O65&lt;安値!M65,安値!O65&lt;安値!P65,安値!O65&lt;安値!Q65),10,""))</f>
        <v/>
      </c>
      <c r="K65" s="503" t="str">
        <f>IF(終値!A65="","",IF(AND(安値!P65&lt;安値!O65,安値!P65&lt;安値!N65,安値!P65&lt;安値!Q65,安値!P65&lt;安値!R65),11,""))</f>
        <v/>
      </c>
      <c r="L65" s="503" t="str">
        <f>IF(終値!A65="","",IF(AND(安値!Q65&lt;安値!P65,安値!Q65&lt;安値!O65,安値!Q65&lt;安値!R65,安値!Q65&lt;安値!S65),12,""))</f>
        <v/>
      </c>
      <c r="M65" s="503">
        <f>IF(終値!A65="","",IF(AND(安値!R65&lt;安値!Q65,安値!R65&lt;安値!P65,安値!R65&lt;安値!S65,安値!R65&lt;安値!T65),13,""))</f>
        <v>13</v>
      </c>
      <c r="N65" s="503" t="str">
        <f>IF(終値!A65="","",IF(AND(安値!S65&lt;安値!R65,安値!S65&lt;安値!Q65,安値!S65&lt;安値!T65,安値!S65&lt;安値!U65),14,""))</f>
        <v/>
      </c>
      <c r="O65" s="503" t="str">
        <f>IF(終値!A65="","",IF(AND(安値!T65&lt;安値!S65,安値!T65&lt;安値!R65,安値!T65&lt;安値!U65,安値!T65&lt;安値!V65),15,""))</f>
        <v/>
      </c>
      <c r="P65" s="503" t="str">
        <f>IF(終値!A65="","",IF(AND(安値!U65&lt;安値!T65,安値!U65&lt;安値!S65,安値!U65&lt;安値!V65,安値!U65&lt;安値!W65),16,""))</f>
        <v/>
      </c>
      <c r="Q65" s="503" t="str">
        <f>IF(終値!A65="","",IF(AND(安値!V65&lt;安値!U65,安値!V65&lt;安値!T65,安値!V65&lt;安値!W65,安値!V65&lt;安値!X65),17,""))</f>
        <v/>
      </c>
      <c r="R65" s="503" t="str">
        <f>IF(終値!A65="","",IF(AND(安値!W65&lt;安値!V65,安値!W65&lt;安値!U65,安値!W65&lt;安値!X65,安値!W65&lt;安値!Y65),18,""))</f>
        <v/>
      </c>
      <c r="S65" s="503">
        <f>IF(終値!A65="","",IF(AND(安値!X65&lt;安値!W65,安値!X65&lt;安値!V65,安値!X65&lt;安値!Y65,安値!X65&lt;安値!Z65),19,""))</f>
        <v>19</v>
      </c>
      <c r="T65" s="503" t="str">
        <f>IF(終値!A65="","",IF(AND(安値!Y65&lt;安値!X65,安値!Y65&lt;安値!W65,安値!Y65&lt;安値!Z65,安値!Y65&lt;安値!AA65),20,""))</f>
        <v/>
      </c>
      <c r="U65" s="503" t="str">
        <f>IF(終値!A65="","",IF(AND(安値!Z65&lt;安値!Y65,安値!Z65&lt;安値!X65,安値!Z65&lt;安値!AA65,安値!Z65&lt;安値!AB65),21,""))</f>
        <v/>
      </c>
      <c r="V65" s="503" t="str">
        <f>IF(終値!A65="","",IF(AND(安値!AA65&lt;安値!Z65,安値!AA65&lt;安値!Y65,安値!AA65&lt;安値!AB65,安値!AA65&lt;安値!AC65),22,""))</f>
        <v/>
      </c>
      <c r="W65" s="503" t="str">
        <f>IF(終値!A65="","",IF(AND(安値!AB65&lt;安値!AA65,安値!AB65&lt;安値!Z65,安値!AB65&lt;安値!AC65,安値!AB65&lt;安値!AD65),23,""))</f>
        <v/>
      </c>
      <c r="X65" s="503" t="str">
        <f>IF(終値!A65="","",IF(AND(安値!AC65&lt;安値!AB65,安値!AC65&lt;安値!AA65,安値!AC65&lt;安値!AD65,安値!AC65&lt;安値!AE65),24,""))</f>
        <v/>
      </c>
      <c r="Y65" s="503">
        <f>IF(終値!A65="","",IF(AND(安値!AD65&lt;安値!AC65,安値!AD65&lt;安値!AB65,安値!AD65&lt;安値!AE65,安値!AD65&lt;安値!AF65),25,""))</f>
        <v>25</v>
      </c>
      <c r="Z65" s="503" t="str">
        <f>IF(終値!A65="","",IF(AND(安値!AE65&lt;安値!AD65,安値!AE65&lt;安値!AC65,安値!AE65&lt;安値!AF65,安値!AE65&lt;安値!AG65),26,""))</f>
        <v/>
      </c>
      <c r="AA65" s="503" t="str">
        <f>IF(終値!A65="","",IF(AND(安値!AF65&lt;安値!AE65,安値!AF65&lt;安値!AD65,安値!AF65&lt;安値!AG65,安値!AF65&lt;安値!AH65),27,""))</f>
        <v/>
      </c>
      <c r="AB65" s="503" t="str">
        <f>IF(終値!A65="","",IF(AND(安値!AG65&lt;安値!AF65,安値!AG65&lt;安値!AE65,安値!AG65&lt;安値!AH65,安値!AG65&lt;安値!AI65),28,""))</f>
        <v/>
      </c>
      <c r="AC65" s="503" t="str">
        <f>IF(終値!A65="","",IF(AND(高値!G65&gt;高値!F65,高値!G65&gt;高値!E65,高値!G65&gt;高値!H65,高値!G65&gt;高値!I65),2,""))</f>
        <v/>
      </c>
      <c r="AD65" s="503" t="str">
        <f>IF(終値!A65="","",IF(AND(高値!H65&gt;高値!G65,高値!H65&gt;高値!F65,高値!H65&gt;高値!I65,高値!H65&gt;高値!J65),3,""))</f>
        <v/>
      </c>
      <c r="AE65" s="503" t="str">
        <f>IF(終値!A65="","",IF(AND(高値!I65&gt;高値!H65,高値!I65&gt;高値!G65,高値!I65&gt;高値!J65,高値!I65&gt;高値!K65),4,""))</f>
        <v/>
      </c>
      <c r="AF65" s="503" t="str">
        <f>IF(終値!A65="","",IF(AND(高値!J65&gt;高値!I65,高値!J65&gt;高値!H65,高値!J65&gt;高値!K65,高値!J65&gt;高値!L65),5,""))</f>
        <v/>
      </c>
      <c r="AG65" s="503" t="str">
        <f>IF(終値!A65="","",IF(AND(高値!K65&gt;高値!J65,高値!K65&gt;高値!I65,高値!K65&gt;高値!L65,高値!K65&gt;高値!M65),6,""))</f>
        <v/>
      </c>
      <c r="AH65" s="503" t="str">
        <f>IF(終値!A65="","",IF(AND(高値!L65&gt;高値!K65,高値!L65&gt;高値!J65,高値!L65&gt;高値!M65,高値!L65&gt;高値!N65),7,""))</f>
        <v/>
      </c>
      <c r="AI65" s="503" t="str">
        <f>IF(終値!A65="","",IF(AND(高値!M65&gt;高値!L65,高値!M65&gt;高値!K65,高値!M65&gt;高値!N65,高値!M65&gt;高値!O65),8,""))</f>
        <v/>
      </c>
      <c r="AJ65" s="503" t="str">
        <f>IF(終値!A65="","",IF(AND(高値!N65&gt;高値!M65,高値!N65&gt;高値!L65,高値!N65&gt;高値!O65,高値!N65&gt;高値!P65),9,""))</f>
        <v/>
      </c>
      <c r="AK65" s="503" t="str">
        <f>IF(終値!A65="","",IF(AND(高値!O65&gt;高値!N65,高値!O65&gt;高値!M65,高値!O65&gt;高値!P65,高値!O65&gt;高値!Q65),10,""))</f>
        <v/>
      </c>
      <c r="AL65" s="503">
        <f>IF(終値!A65="","",IF(AND(高値!P65&gt;高値!O65,高値!P65&gt;高値!N65,高値!P65&gt;高値!Q65,高値!P65&gt;高値!R65),11,""))</f>
        <v>11</v>
      </c>
      <c r="AM65" s="503" t="str">
        <f>IF(終値!A65="","",IF(AND(高値!Q65&gt;高値!P65,高値!Q65&gt;高値!O65,高値!Q65&gt;高値!R65,高値!Q65&gt;高値!S65),12,""))</f>
        <v/>
      </c>
      <c r="AN65" s="503" t="str">
        <f>IF(終値!A65="","",IF(AND(高値!R65&gt;高値!Q65,高値!R65&gt;高値!P65,高値!R65&gt;高値!S65,高値!R65&gt;高値!T65),13,""))</f>
        <v/>
      </c>
      <c r="AO65" s="503">
        <f>IF(終値!A65="","",IF(AND(高値!S65&gt;高値!R65,高値!S65&gt;高値!Q65,高値!S65&gt;高値!T65,高値!S65&gt;高値!U65),14,""))</f>
        <v>14</v>
      </c>
      <c r="AP65" s="503" t="str">
        <f>IF(終値!A65="","",IF(AND(高値!T65&gt;高値!S65,高値!T65&gt;高値!R65,高値!T65&gt;高値!U65,高値!T65&gt;高値!V65),15,""))</f>
        <v/>
      </c>
      <c r="AQ65" s="503" t="str">
        <f>IF(終値!A65="","",IF(AND(高値!U65&gt;高値!T65,高値!U65&gt;高値!S65,高値!U65&gt;高値!V65,高値!U65&gt;高値!W65),16,""))</f>
        <v/>
      </c>
      <c r="AR65" s="503" t="str">
        <f>IF(終値!A65="","",IF(AND(高値!V65&gt;高値!U65,高値!V65&gt;高値!T65,高値!V65&gt;高値!W65,高値!V65&gt;高値!X65),17,""))</f>
        <v/>
      </c>
      <c r="AS65" s="503" t="str">
        <f>IF(終値!A65="","",IF(AND(高値!W65&gt;高値!V65,高値!W65&gt;高値!U65,高値!W65&gt;高値!X65,高値!W65&gt;高値!Y65),18,""))</f>
        <v/>
      </c>
      <c r="AT65" s="503" t="str">
        <f>IF(終値!A65="","",IF(AND(高値!X65&gt;高値!W65,高値!X65&gt;高値!V65,高値!X65&gt;高値!Y65,高値!X65&gt;高値!Z65),19,""))</f>
        <v/>
      </c>
      <c r="AU65" s="503" t="str">
        <f>IF(終値!A65="","",IF(AND(高値!Y65&gt;高値!X65,高値!Y65&gt;高値!W65,高値!Y65&gt;高値!Z65,高値!Y65&gt;高値!AA65),20,""))</f>
        <v/>
      </c>
      <c r="AV65" s="503" t="str">
        <f>IF(終値!A65="","",IF(AND(高値!Z65&gt;高値!Y65,高値!Z65&gt;高値!X65,高値!Z65&gt;高値!AA65,高値!Z65&gt;高値!AB65),21,""))</f>
        <v/>
      </c>
      <c r="AW65" s="503" t="str">
        <f>IF(終値!A65="","",IF(AND(高値!AA65&gt;高値!Z65,高値!AA65&gt;高値!Y65,高値!AA65&gt;高値!AB65,高値!AA65&gt;高値!AC65),22,""))</f>
        <v/>
      </c>
      <c r="AX65" s="503">
        <f>IF(終値!A65="","",IF(AND(高値!AB65&gt;高値!AA65,高値!AB65&gt;高値!Z65,高値!AB65&gt;高値!AC65,高値!AB65&gt;高値!AD65),23,""))</f>
        <v>23</v>
      </c>
      <c r="AY65" s="503" t="str">
        <f>IF(終値!A65="","",IF(AND(高値!AC65&gt;高値!AB65,高値!AC65&gt;高値!AA65,高値!AC65&gt;高値!AD65,高値!AC65&gt;高値!AE65),24,""))</f>
        <v/>
      </c>
      <c r="AZ65" s="503" t="str">
        <f>IF(終値!A65="","",IF(AND(高値!AD65&gt;高値!AC65,高値!AD65&gt;高値!AB65,高値!AD65&gt;高値!AE65,高値!AD65&gt;高値!AF65),25,""))</f>
        <v/>
      </c>
      <c r="BA65" s="503" t="str">
        <f>IF(終値!A65="","",IF(AND(高値!AE65&gt;高値!AD65,高値!AE65&gt;高値!AC65,高値!AE65&gt;高値!AF65,高値!AE65&gt;高値!AG65),26,""))</f>
        <v/>
      </c>
      <c r="BB65" s="503" t="str">
        <f>IF(終値!A65="","",IF(AND(高値!AF65&gt;高値!AE65,高値!AF65&gt;高値!AD65,高値!AF65&gt;高値!AG65,高値!AF65&gt;高値!AH65),27,""))</f>
        <v/>
      </c>
      <c r="BC65" s="503">
        <f>IF(終値!A65="","",IF(AND(高値!AG65&gt;高値!AF65,高値!AG65&gt;高値!AE65,高値!AG65&gt;高値!AH65,高値!AG65&gt;高値!AI65),28,""))</f>
        <v>28</v>
      </c>
      <c r="BD65" s="503">
        <f t="shared" si="0"/>
        <v>4</v>
      </c>
      <c r="BE65" s="503">
        <f t="shared" si="1"/>
        <v>5</v>
      </c>
      <c r="BF65" s="503">
        <f t="shared" si="2"/>
        <v>13</v>
      </c>
      <c r="BG65" s="503">
        <f>IF($BE65="","",INDEX(安値!$E65:$CZ65,1,$BE65+1))</f>
        <v>4500</v>
      </c>
      <c r="BH65" s="503">
        <f>IF($BF65="","",INDEX(安値!$E65:$CZ65,1,$BF65+1))</f>
        <v>5191</v>
      </c>
      <c r="BI65" s="503">
        <f>IF($BF65="","",MAX(INDEX(高値!$E65:$CZ65,1,$BE65+1):INDEX(高値!$E65:$CZ65,1,$BF65+1)))</f>
        <v>6032</v>
      </c>
      <c r="BJ65" s="503">
        <f>IF($BF65="","",AVERAGE(INDEX(終値!$E65:$CZ65,1,$BF65+1):INDEX(終値!$E65:$CZ65,1,$BF65+20))-2*STDEVP(INDEX(終値!$E65:$CZ65,1,$BF65+1):INDEX(終値!$E65:$CZ65,1,$BF65+20)))</f>
        <v>5315.0015713400744</v>
      </c>
      <c r="BK65" s="503">
        <f>IF($BE65="","",AVERAGE(INDEX(終値!$E65:$CZ65,1,$BE65+1):INDEX(終値!$E65:$CZ65,1,$BE65+20))-2*STDEVP(INDEX(終値!$E65:$CZ65,1,$BE65+1):INDEX(終値!$E65:$CZ65,1,$BE65+20)))</f>
        <v>4731.2333832367394</v>
      </c>
      <c r="BL65" s="503">
        <f t="shared" si="3"/>
        <v>4</v>
      </c>
      <c r="BM65" s="503">
        <f t="shared" si="4"/>
        <v>11</v>
      </c>
      <c r="BN65" s="503">
        <f t="shared" si="5"/>
        <v>14</v>
      </c>
      <c r="BO65" s="503">
        <f>IF($BM65="","",INDEX(高値!$E65:$CZ65,1,$BM65+1))</f>
        <v>6032</v>
      </c>
      <c r="BP65" s="503">
        <f>IF($BN65="","",INDEX(高値!$E65:$CZ65,1,$BN65+1))</f>
        <v>6660</v>
      </c>
      <c r="BQ65" s="503">
        <f>IF($BN65="","",MIN(INDEX(安値!$E65:$CZ65,1,$BM65+1):INDEX(安値!$E65:$CZ65,1,$BN65+1)))</f>
        <v>5191</v>
      </c>
      <c r="BR65" s="503">
        <f>IF($BN65="","",AVERAGE(INDEX(終値!$E65:$CZ65,1,$BN65+1):INDEX(終値!$E65:$CZ65,1,$BN65+20))+2*STDEVP(INDEX(終値!$E65:$CZ65,1,$BN65+1):INDEX(終値!$E65:$CZ65,1,$BN65+20)))</f>
        <v>7309.7729538150661</v>
      </c>
      <c r="BS65" s="503">
        <f>IF($BM65="","",AVERAGE(INDEX(終値!$E65:$CZ65,1,$BM65+1):INDEX(終値!$E65:$CZ65,1,$BM65+20))+2*STDEVP(INDEX(終値!$E65:$CZ65,1,$BM65+1):INDEX(終値!$E65:$CZ65,1,$BM65+20)))</f>
        <v>6907.8855538975622</v>
      </c>
      <c r="BT65" s="500"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3" t="str">
        <f>IF(終値!A66="","",IF(AND(安値!G66&lt;安値!F66,安値!G66&lt;安値!E66,安値!G66&lt;安値!H66,安値!G66&lt;安値!I66),2,""))</f>
        <v/>
      </c>
      <c r="C66" s="503">
        <f>IF(終値!A66="","",IF(AND(安値!H66&lt;安値!G66,安値!H66&lt;安値!F66,安値!H66&lt;安値!I66,安値!H66&lt;安値!J66),3,""))</f>
        <v>3</v>
      </c>
      <c r="D66" s="503" t="str">
        <f>IF(終値!A66="","",IF(AND(安値!I66&lt;安値!H66,安値!I66&lt;安値!G66,安値!I66&lt;安値!J66,安値!I66&lt;安値!K66),4,""))</f>
        <v/>
      </c>
      <c r="E66" s="503" t="str">
        <f>IF(終値!A66="","",IF(AND(安値!J66&lt;安値!I66,安値!J66&lt;安値!H66,安値!J66&lt;安値!K66,安値!J66&lt;安値!L66),5,""))</f>
        <v/>
      </c>
      <c r="F66" s="503">
        <f>IF(終値!A66="","",IF(AND(安値!K66&lt;安値!J66,安値!K66&lt;安値!I66,安値!K66&lt;安値!L66,安値!K66&lt;安値!M66),6,""))</f>
        <v>6</v>
      </c>
      <c r="G66" s="503" t="str">
        <f>IF(終値!A66="","",IF(AND(安値!L66&lt;安値!K66,安値!L66&lt;安値!J66,安値!L66&lt;安値!M66,安値!L66&lt;安値!N66),7,""))</f>
        <v/>
      </c>
      <c r="H66" s="503" t="str">
        <f>IF(終値!A66="","",IF(AND(安値!M66&lt;安値!L66,安値!M66&lt;安値!K66,安値!M66&lt;安値!N66,安値!M66&lt;安値!O66),8,""))</f>
        <v/>
      </c>
      <c r="I66" s="503" t="str">
        <f>IF(終値!A66="","",IF(AND(安値!N66&lt;安値!M66,安値!N66&lt;安値!L66,安値!N66&lt;安値!O66,安値!N66&lt;安値!P66),9,""))</f>
        <v/>
      </c>
      <c r="J66" s="503" t="str">
        <f>IF(終値!A66="","",IF(AND(安値!O66&lt;安値!N66,安値!O66&lt;安値!M66,安値!O66&lt;安値!P66,安値!O66&lt;安値!Q66),10,""))</f>
        <v/>
      </c>
      <c r="K66" s="503" t="str">
        <f>IF(終値!A66="","",IF(AND(安値!P66&lt;安値!O66,安値!P66&lt;安値!N66,安値!P66&lt;安値!Q66,安値!P66&lt;安値!R66),11,""))</f>
        <v/>
      </c>
      <c r="L66" s="503" t="str">
        <f>IF(終値!A66="","",IF(AND(安値!Q66&lt;安値!P66,安値!Q66&lt;安値!O66,安値!Q66&lt;安値!R66,安値!Q66&lt;安値!S66),12,""))</f>
        <v/>
      </c>
      <c r="M66" s="503">
        <f>IF(終値!A66="","",IF(AND(安値!R66&lt;安値!Q66,安値!R66&lt;安値!P66,安値!R66&lt;安値!S66,安値!R66&lt;安値!T66),13,""))</f>
        <v>13</v>
      </c>
      <c r="N66" s="503" t="str">
        <f>IF(終値!A66="","",IF(AND(安値!S66&lt;安値!R66,安値!S66&lt;安値!Q66,安値!S66&lt;安値!T66,安値!S66&lt;安値!U66),14,""))</f>
        <v/>
      </c>
      <c r="O66" s="503" t="str">
        <f>IF(終値!A66="","",IF(AND(安値!T66&lt;安値!S66,安値!T66&lt;安値!R66,安値!T66&lt;安値!U66,安値!T66&lt;安値!V66),15,""))</f>
        <v/>
      </c>
      <c r="P66" s="503" t="str">
        <f>IF(終値!A66="","",IF(AND(安値!U66&lt;安値!T66,安値!U66&lt;安値!S66,安値!U66&lt;安値!V66,安値!U66&lt;安値!W66),16,""))</f>
        <v/>
      </c>
      <c r="Q66" s="503" t="str">
        <f>IF(終値!A66="","",IF(AND(安値!V66&lt;安値!U66,安値!V66&lt;安値!T66,安値!V66&lt;安値!W66,安値!V66&lt;安値!X66),17,""))</f>
        <v/>
      </c>
      <c r="R66" s="503">
        <f>IF(終値!A66="","",IF(AND(安値!W66&lt;安値!V66,安値!W66&lt;安値!U66,安値!W66&lt;安値!X66,安値!W66&lt;安値!Y66),18,""))</f>
        <v>18</v>
      </c>
      <c r="S66" s="503" t="str">
        <f>IF(終値!A66="","",IF(AND(安値!X66&lt;安値!W66,安値!X66&lt;安値!V66,安値!X66&lt;安値!Y66,安値!X66&lt;安値!Z66),19,""))</f>
        <v/>
      </c>
      <c r="T66" s="503" t="str">
        <f>IF(終値!A66="","",IF(AND(安値!Y66&lt;安値!X66,安値!Y66&lt;安値!W66,安値!Y66&lt;安値!Z66,安値!Y66&lt;安値!AA66),20,""))</f>
        <v/>
      </c>
      <c r="U66" s="503" t="str">
        <f>IF(終値!A66="","",IF(AND(安値!Z66&lt;安値!Y66,安値!Z66&lt;安値!X66,安値!Z66&lt;安値!AA66,安値!Z66&lt;安値!AB66),21,""))</f>
        <v/>
      </c>
      <c r="V66" s="503">
        <f>IF(終値!A66="","",IF(AND(安値!AA66&lt;安値!Z66,安値!AA66&lt;安値!Y66,安値!AA66&lt;安値!AB66,安値!AA66&lt;安値!AC66),22,""))</f>
        <v>22</v>
      </c>
      <c r="W66" s="503" t="str">
        <f>IF(終値!A66="","",IF(AND(安値!AB66&lt;安値!AA66,安値!AB66&lt;安値!Z66,安値!AB66&lt;安値!AC66,安値!AB66&lt;安値!AD66),23,""))</f>
        <v/>
      </c>
      <c r="X66" s="503" t="str">
        <f>IF(終値!A66="","",IF(AND(安値!AC66&lt;安値!AB66,安値!AC66&lt;安値!AA66,安値!AC66&lt;安値!AD66,安値!AC66&lt;安値!AE66),24,""))</f>
        <v/>
      </c>
      <c r="Y66" s="503" t="str">
        <f>IF(終値!A66="","",IF(AND(安値!AD66&lt;安値!AC66,安値!AD66&lt;安値!AB66,安値!AD66&lt;安値!AE66,安値!AD66&lt;安値!AF66),25,""))</f>
        <v/>
      </c>
      <c r="Z66" s="503">
        <f>IF(終値!A66="","",IF(AND(安値!AE66&lt;安値!AD66,安値!AE66&lt;安値!AC66,安値!AE66&lt;安値!AF66,安値!AE66&lt;安値!AG66),26,""))</f>
        <v>26</v>
      </c>
      <c r="AA66" s="503" t="str">
        <f>IF(終値!A66="","",IF(AND(安値!AF66&lt;安値!AE66,安値!AF66&lt;安値!AD66,安値!AF66&lt;安値!AG66,安値!AF66&lt;安値!AH66),27,""))</f>
        <v/>
      </c>
      <c r="AB66" s="503" t="str">
        <f>IF(終値!A66="","",IF(AND(安値!AG66&lt;安値!AF66,安値!AG66&lt;安値!AE66,安値!AG66&lt;安値!AH66,安値!AG66&lt;安値!AI66),28,""))</f>
        <v/>
      </c>
      <c r="AC66" s="503" t="str">
        <f>IF(終値!A66="","",IF(AND(高値!G66&gt;高値!F66,高値!G66&gt;高値!E66,高値!G66&gt;高値!H66,高値!G66&gt;高値!I66),2,""))</f>
        <v/>
      </c>
      <c r="AD66" s="503" t="str">
        <f>IF(終値!A66="","",IF(AND(高値!H66&gt;高値!G66,高値!H66&gt;高値!F66,高値!H66&gt;高値!I66,高値!H66&gt;高値!J66),3,""))</f>
        <v/>
      </c>
      <c r="AE66" s="503">
        <f>IF(終値!A66="","",IF(AND(高値!I66&gt;高値!H66,高値!I66&gt;高値!G66,高値!I66&gt;高値!J66,高値!I66&gt;高値!K66),4,""))</f>
        <v>4</v>
      </c>
      <c r="AF66" s="503" t="str">
        <f>IF(終値!A66="","",IF(AND(高値!J66&gt;高値!I66,高値!J66&gt;高値!H66,高値!J66&gt;高値!K66,高値!J66&gt;高値!L66),5,""))</f>
        <v/>
      </c>
      <c r="AG66" s="503" t="str">
        <f>IF(終値!A66="","",IF(AND(高値!K66&gt;高値!J66,高値!K66&gt;高値!I66,高値!K66&gt;高値!L66,高値!K66&gt;高値!M66),6,""))</f>
        <v/>
      </c>
      <c r="AH66" s="503" t="str">
        <f>IF(終値!A66="","",IF(AND(高値!L66&gt;高値!K66,高値!L66&gt;高値!J66,高値!L66&gt;高値!M66,高値!L66&gt;高値!N66),7,""))</f>
        <v/>
      </c>
      <c r="AI66" s="503" t="str">
        <f>IF(終値!A66="","",IF(AND(高値!M66&gt;高値!L66,高値!M66&gt;高値!K66,高値!M66&gt;高値!N66,高値!M66&gt;高値!O66),8,""))</f>
        <v/>
      </c>
      <c r="AJ66" s="503" t="str">
        <f>IF(終値!A66="","",IF(AND(高値!N66&gt;高値!M66,高値!N66&gt;高値!L66,高値!N66&gt;高値!O66,高値!N66&gt;高値!P66),9,""))</f>
        <v/>
      </c>
      <c r="AK66" s="503" t="str">
        <f>IF(終値!A66="","",IF(AND(高値!O66&gt;高値!N66,高値!O66&gt;高値!M66,高値!O66&gt;高値!P66,高値!O66&gt;高値!Q66),10,""))</f>
        <v/>
      </c>
      <c r="AL66" s="503">
        <f>IF(終値!A66="","",IF(AND(高値!P66&gt;高値!O66,高値!P66&gt;高値!N66,高値!P66&gt;高値!Q66,高値!P66&gt;高値!R66),11,""))</f>
        <v>11</v>
      </c>
      <c r="AM66" s="503" t="str">
        <f>IF(終値!A66="","",IF(AND(高値!Q66&gt;高値!P66,高値!Q66&gt;高値!O66,高値!Q66&gt;高値!R66,高値!Q66&gt;高値!S66),12,""))</f>
        <v/>
      </c>
      <c r="AN66" s="503" t="str">
        <f>IF(終値!A66="","",IF(AND(高値!R66&gt;高値!Q66,高値!R66&gt;高値!P66,高値!R66&gt;高値!S66,高値!R66&gt;高値!T66),13,""))</f>
        <v/>
      </c>
      <c r="AO66" s="503">
        <f>IF(終値!A66="","",IF(AND(高値!S66&gt;高値!R66,高値!S66&gt;高値!Q66,高値!S66&gt;高値!T66,高値!S66&gt;高値!U66),14,""))</f>
        <v>14</v>
      </c>
      <c r="AP66" s="503" t="str">
        <f>IF(終値!A66="","",IF(AND(高値!T66&gt;高値!S66,高値!T66&gt;高値!R66,高値!T66&gt;高値!U66,高値!T66&gt;高値!V66),15,""))</f>
        <v/>
      </c>
      <c r="AQ66" s="503" t="str">
        <f>IF(終値!A66="","",IF(AND(高値!U66&gt;高値!T66,高値!U66&gt;高値!S66,高値!U66&gt;高値!V66,高値!U66&gt;高値!W66),16,""))</f>
        <v/>
      </c>
      <c r="AR66" s="503" t="str">
        <f>IF(終値!A66="","",IF(AND(高値!V66&gt;高値!U66,高値!V66&gt;高値!T66,高値!V66&gt;高値!W66,高値!V66&gt;高値!X66),17,""))</f>
        <v/>
      </c>
      <c r="AS66" s="503" t="str">
        <f>IF(終値!A66="","",IF(AND(高値!W66&gt;高値!V66,高値!W66&gt;高値!U66,高値!W66&gt;高値!X66,高値!W66&gt;高値!Y66),18,""))</f>
        <v/>
      </c>
      <c r="AT66" s="503" t="str">
        <f>IF(終値!A66="","",IF(AND(高値!X66&gt;高値!W66,高値!X66&gt;高値!V66,高値!X66&gt;高値!Y66,高値!X66&gt;高値!Z66),19,""))</f>
        <v/>
      </c>
      <c r="AU66" s="503">
        <f>IF(終値!A66="","",IF(AND(高値!Y66&gt;高値!X66,高値!Y66&gt;高値!W66,高値!Y66&gt;高値!Z66,高値!Y66&gt;高値!AA66),20,""))</f>
        <v>20</v>
      </c>
      <c r="AV66" s="503" t="str">
        <f>IF(終値!A66="","",IF(AND(高値!Z66&gt;高値!Y66,高値!Z66&gt;高値!X66,高値!Z66&gt;高値!AA66,高値!Z66&gt;高値!AB66),21,""))</f>
        <v/>
      </c>
      <c r="AW66" s="503" t="str">
        <f>IF(終値!A66="","",IF(AND(高値!AA66&gt;高値!Z66,高値!AA66&gt;高値!Y66,高値!AA66&gt;高値!AB66,高値!AA66&gt;高値!AC66),22,""))</f>
        <v/>
      </c>
      <c r="AX66" s="503" t="str">
        <f>IF(終値!A66="","",IF(AND(高値!AB66&gt;高値!AA66,高値!AB66&gt;高値!Z66,高値!AB66&gt;高値!AC66,高値!AB66&gt;高値!AD66),23,""))</f>
        <v/>
      </c>
      <c r="AY66" s="503">
        <f>IF(終値!A66="","",IF(AND(高値!AC66&gt;高値!AB66,高値!AC66&gt;高値!AA66,高値!AC66&gt;高値!AD66,高値!AC66&gt;高値!AE66),24,""))</f>
        <v>24</v>
      </c>
      <c r="AZ66" s="503" t="str">
        <f>IF(終値!A66="","",IF(AND(高値!AD66&gt;高値!AC66,高値!AD66&gt;高値!AB66,高値!AD66&gt;高値!AE66,高値!AD66&gt;高値!AF66),25,""))</f>
        <v/>
      </c>
      <c r="BA66" s="503" t="str">
        <f>IF(終値!A66="","",IF(AND(高値!AE66&gt;高値!AD66,高値!AE66&gt;高値!AC66,高値!AE66&gt;高値!AF66,高値!AE66&gt;高値!AG66),26,""))</f>
        <v/>
      </c>
      <c r="BB66" s="503" t="str">
        <f>IF(終値!A66="","",IF(AND(高値!AF66&gt;高値!AE66,高値!AF66&gt;高値!AD66,高値!AF66&gt;高値!AG66,高値!AF66&gt;高値!AH66),27,""))</f>
        <v/>
      </c>
      <c r="BC66" s="503" t="str">
        <f>IF(終値!A66="","",IF(AND(高値!AG66&gt;高値!AF66,高値!AG66&gt;高値!AE66,高値!AG66&gt;高値!AH66,高値!AG66&gt;高値!AI66),28,""))</f>
        <v/>
      </c>
      <c r="BD66" s="503">
        <f t="shared" si="0"/>
        <v>6</v>
      </c>
      <c r="BE66" s="503">
        <f t="shared" si="1"/>
        <v>3</v>
      </c>
      <c r="BF66" s="503">
        <f t="shared" si="2"/>
        <v>6</v>
      </c>
      <c r="BG66" s="503">
        <f>IF($BE66="","",INDEX(安値!$E66:$CZ66,1,$BE66+1))</f>
        <v>5674</v>
      </c>
      <c r="BH66" s="503">
        <f>IF($BF66="","",INDEX(安値!$E66:$CZ66,1,$BF66+1))</f>
        <v>5636</v>
      </c>
      <c r="BI66" s="503">
        <f>IF($BF66="","",MAX(INDEX(高値!$E66:$CZ66,1,$BE66+1):INDEX(高値!$E66:$CZ66,1,$BF66+1)))</f>
        <v>6042</v>
      </c>
      <c r="BJ66" s="503">
        <f>IF($BF66="","",AVERAGE(INDEX(終値!$E66:$CZ66,1,$BF66+1):INDEX(終値!$E66:$CZ66,1,$BF66+20))-2*STDEVP(INDEX(終値!$E66:$CZ66,1,$BF66+1):INDEX(終値!$E66:$CZ66,1,$BF66+20)))</f>
        <v>5964.4812937064307</v>
      </c>
      <c r="BK66" s="503">
        <f>IF($BE66="","",AVERAGE(INDEX(終値!$E66:$CZ66,1,$BE66+1):INDEX(終値!$E66:$CZ66,1,$BE66+20))-2*STDEVP(INDEX(終値!$E66:$CZ66,1,$BE66+1):INDEX(終値!$E66:$CZ66,1,$BE66+20)))</f>
        <v>5485.7941979652742</v>
      </c>
      <c r="BL66" s="503">
        <f t="shared" si="3"/>
        <v>5</v>
      </c>
      <c r="BM66" s="503">
        <f t="shared" si="4"/>
        <v>4</v>
      </c>
      <c r="BN66" s="503">
        <f t="shared" si="5"/>
        <v>11</v>
      </c>
      <c r="BO66" s="503">
        <f>IF($BM66="","",INDEX(高値!$E66:$CZ66,1,$BM66+1))</f>
        <v>6042</v>
      </c>
      <c r="BP66" s="503">
        <f>IF($BN66="","",INDEX(高値!$E66:$CZ66,1,$BN66+1))</f>
        <v>7367</v>
      </c>
      <c r="BQ66" s="503">
        <f>IF($BN66="","",MIN(INDEX(安値!$E66:$CZ66,1,$BM66+1):INDEX(安値!$E66:$CZ66,1,$BN66+1)))</f>
        <v>5636</v>
      </c>
      <c r="BR66" s="503">
        <f>IF($BN66="","",AVERAGE(INDEX(終値!$E66:$CZ66,1,$BN66+1):INDEX(終値!$E66:$CZ66,1,$BN66+20))+2*STDEVP(INDEX(終値!$E66:$CZ66,1,$BN66+1):INDEX(終値!$E66:$CZ66,1,$BN66+20)))</f>
        <v>7581.1443240407762</v>
      </c>
      <c r="BS66" s="503">
        <f>IF($BM66="","",AVERAGE(INDEX(終値!$E66:$CZ66,1,$BM66+1):INDEX(終値!$E66:$CZ66,1,$BM66+20))+2*STDEVP(INDEX(終値!$E66:$CZ66,1,$BM66+1):INDEX(終値!$E66:$CZ66,1,$BM66+20)))</f>
        <v>8053.6103584605016</v>
      </c>
      <c r="BT66" s="500"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二番底W▲</v>
      </c>
    </row>
    <row r="67" spans="2:72">
      <c r="B67" s="503">
        <f>IF(終値!A67="","",IF(AND(安値!G67&lt;安値!F67,安値!G67&lt;安値!E67,安値!G67&lt;安値!H67,安値!G67&lt;安値!I67),2,""))</f>
        <v>2</v>
      </c>
      <c r="C67" s="503" t="str">
        <f>IF(終値!A67="","",IF(AND(安値!H67&lt;安値!G67,安値!H67&lt;安値!F67,安値!H67&lt;安値!I67,安値!H67&lt;安値!J67),3,""))</f>
        <v/>
      </c>
      <c r="D67" s="503" t="str">
        <f>IF(終値!A67="","",IF(AND(安値!I67&lt;安値!H67,安値!I67&lt;安値!G67,安値!I67&lt;安値!J67,安値!I67&lt;安値!K67),4,""))</f>
        <v/>
      </c>
      <c r="E67" s="503" t="str">
        <f>IF(終値!A67="","",IF(AND(安値!J67&lt;安値!I67,安値!J67&lt;安値!H67,安値!J67&lt;安値!K67,安値!J67&lt;安値!L67),5,""))</f>
        <v/>
      </c>
      <c r="F67" s="503" t="str">
        <f>IF(終値!A67="","",IF(AND(安値!K67&lt;安値!J67,安値!K67&lt;安値!I67,安値!K67&lt;安値!L67,安値!K67&lt;安値!M67),6,""))</f>
        <v/>
      </c>
      <c r="G67" s="503" t="str">
        <f>IF(終値!A67="","",IF(AND(安値!L67&lt;安値!K67,安値!L67&lt;安値!J67,安値!L67&lt;安値!M67,安値!L67&lt;安値!N67),7,""))</f>
        <v/>
      </c>
      <c r="H67" s="503" t="str">
        <f>IF(終値!A67="","",IF(AND(安値!M67&lt;安値!L67,安値!M67&lt;安値!K67,安値!M67&lt;安値!N67,安値!M67&lt;安値!O67),8,""))</f>
        <v/>
      </c>
      <c r="I67" s="503">
        <f>IF(終値!A67="","",IF(AND(安値!N67&lt;安値!M67,安値!N67&lt;安値!L67,安値!N67&lt;安値!O67,安値!N67&lt;安値!P67),9,""))</f>
        <v>9</v>
      </c>
      <c r="J67" s="503" t="str">
        <f>IF(終値!A67="","",IF(AND(安値!O67&lt;安値!N67,安値!O67&lt;安値!M67,安値!O67&lt;安値!P67,安値!O67&lt;安値!Q67),10,""))</f>
        <v/>
      </c>
      <c r="K67" s="503" t="str">
        <f>IF(終値!A67="","",IF(AND(安値!P67&lt;安値!O67,安値!P67&lt;安値!N67,安値!P67&lt;安値!Q67,安値!P67&lt;安値!R67),11,""))</f>
        <v/>
      </c>
      <c r="L67" s="503" t="str">
        <f>IF(終値!A67="","",IF(AND(安値!Q67&lt;安値!P67,安値!Q67&lt;安値!O67,安値!Q67&lt;安値!R67,安値!Q67&lt;安値!S67),12,""))</f>
        <v/>
      </c>
      <c r="M67" s="503" t="str">
        <f>IF(終値!A67="","",IF(AND(安値!R67&lt;安値!Q67,安値!R67&lt;安値!P67,安値!R67&lt;安値!S67,安値!R67&lt;安値!T67),13,""))</f>
        <v/>
      </c>
      <c r="N67" s="503" t="str">
        <f>IF(終値!A67="","",IF(AND(安値!S67&lt;安値!R67,安値!S67&lt;安値!Q67,安値!S67&lt;安値!T67,安値!S67&lt;安値!U67),14,""))</f>
        <v/>
      </c>
      <c r="O67" s="503" t="str">
        <f>IF(終値!A67="","",IF(AND(安値!T67&lt;安値!S67,安値!T67&lt;安値!R67,安値!T67&lt;安値!U67,安値!T67&lt;安値!V67),15,""))</f>
        <v/>
      </c>
      <c r="P67" s="503" t="str">
        <f>IF(終値!A67="","",IF(AND(安値!U67&lt;安値!T67,安値!U67&lt;安値!S67,安値!U67&lt;安値!V67,安値!U67&lt;安値!W67),16,""))</f>
        <v/>
      </c>
      <c r="Q67" s="503" t="str">
        <f>IF(終値!A67="","",IF(AND(安値!V67&lt;安値!U67,安値!V67&lt;安値!T67,安値!V67&lt;安値!W67,安値!V67&lt;安値!X67),17,""))</f>
        <v/>
      </c>
      <c r="R67" s="503" t="str">
        <f>IF(終値!A67="","",IF(AND(安値!W67&lt;安値!V67,安値!W67&lt;安値!U67,安値!W67&lt;安値!X67,安値!W67&lt;安値!Y67),18,""))</f>
        <v/>
      </c>
      <c r="S67" s="503" t="str">
        <f>IF(終値!A67="","",IF(AND(安値!X67&lt;安値!W67,安値!X67&lt;安値!V67,安値!X67&lt;安値!Y67,安値!X67&lt;安値!Z67),19,""))</f>
        <v/>
      </c>
      <c r="T67" s="503" t="str">
        <f>IF(終値!A67="","",IF(AND(安値!Y67&lt;安値!X67,安値!Y67&lt;安値!W67,安値!Y67&lt;安値!Z67,安値!Y67&lt;安値!AA67),20,""))</f>
        <v/>
      </c>
      <c r="U67" s="503" t="str">
        <f>IF(終値!A67="","",IF(AND(安値!Z67&lt;安値!Y67,安値!Z67&lt;安値!X67,安値!Z67&lt;安値!AA67,安値!Z67&lt;安値!AB67),21,""))</f>
        <v/>
      </c>
      <c r="V67" s="503" t="str">
        <f>IF(終値!A67="","",IF(AND(安値!AA67&lt;安値!Z67,安値!AA67&lt;安値!Y67,安値!AA67&lt;安値!AB67,安値!AA67&lt;安値!AC67),22,""))</f>
        <v/>
      </c>
      <c r="W67" s="503" t="str">
        <f>IF(終値!A67="","",IF(AND(安値!AB67&lt;安値!AA67,安値!AB67&lt;安値!Z67,安値!AB67&lt;安値!AC67,安値!AB67&lt;安値!AD67),23,""))</f>
        <v/>
      </c>
      <c r="X67" s="503">
        <f>IF(終値!A67="","",IF(AND(安値!AC67&lt;安値!AB67,安値!AC67&lt;安値!AA67,安値!AC67&lt;安値!AD67,安値!AC67&lt;安値!AE67),24,""))</f>
        <v>24</v>
      </c>
      <c r="Y67" s="503" t="str">
        <f>IF(終値!A67="","",IF(AND(安値!AD67&lt;安値!AC67,安値!AD67&lt;安値!AB67,安値!AD67&lt;安値!AE67,安値!AD67&lt;安値!AF67),25,""))</f>
        <v/>
      </c>
      <c r="Z67" s="503" t="str">
        <f>IF(終値!A67="","",IF(AND(安値!AE67&lt;安値!AD67,安値!AE67&lt;安値!AC67,安値!AE67&lt;安値!AF67,安値!AE67&lt;安値!AG67),26,""))</f>
        <v/>
      </c>
      <c r="AA67" s="503" t="str">
        <f>IF(終値!A67="","",IF(AND(安値!AF67&lt;安値!AE67,安値!AF67&lt;安値!AD67,安値!AF67&lt;安値!AG67,安値!AF67&lt;安値!AH67),27,""))</f>
        <v/>
      </c>
      <c r="AB67" s="503" t="str">
        <f>IF(終値!A67="","",IF(AND(安値!AG67&lt;安値!AF67,安値!AG67&lt;安値!AE67,安値!AG67&lt;安値!AH67,安値!AG67&lt;安値!AI67),28,""))</f>
        <v/>
      </c>
      <c r="AC67" s="503" t="str">
        <f>IF(終値!A67="","",IF(AND(高値!G67&gt;高値!F67,高値!G67&gt;高値!E67,高値!G67&gt;高値!H67,高値!G67&gt;高値!I67),2,""))</f>
        <v/>
      </c>
      <c r="AD67" s="503" t="str">
        <f>IF(終値!A67="","",IF(AND(高値!H67&gt;高値!G67,高値!H67&gt;高値!F67,高値!H67&gt;高値!I67,高値!H67&gt;高値!J67),3,""))</f>
        <v/>
      </c>
      <c r="AE67" s="503" t="str">
        <f>IF(終値!A67="","",IF(AND(高値!I67&gt;高値!H67,高値!I67&gt;高値!G67,高値!I67&gt;高値!J67,高値!I67&gt;高値!K67),4,""))</f>
        <v/>
      </c>
      <c r="AF67" s="503" t="str">
        <f>IF(終値!A67="","",IF(AND(高値!J67&gt;高値!I67,高値!J67&gt;高値!H67,高値!J67&gt;高値!K67,高値!J67&gt;高値!L67),5,""))</f>
        <v/>
      </c>
      <c r="AG67" s="503">
        <f>IF(終値!A67="","",IF(AND(高値!K67&gt;高値!J67,高値!K67&gt;高値!I67,高値!K67&gt;高値!L67,高値!K67&gt;高値!M67),6,""))</f>
        <v>6</v>
      </c>
      <c r="AH67" s="503" t="str">
        <f>IF(終値!A67="","",IF(AND(高値!L67&gt;高値!K67,高値!L67&gt;高値!J67,高値!L67&gt;高値!M67,高値!L67&gt;高値!N67),7,""))</f>
        <v/>
      </c>
      <c r="AI67" s="503" t="str">
        <f>IF(終値!A67="","",IF(AND(高値!M67&gt;高値!L67,高値!M67&gt;高値!K67,高値!M67&gt;高値!N67,高値!M67&gt;高値!O67),8,""))</f>
        <v/>
      </c>
      <c r="AJ67" s="503" t="str">
        <f>IF(終値!A67="","",IF(AND(高値!N67&gt;高値!M67,高値!N67&gt;高値!L67,高値!N67&gt;高値!O67,高値!N67&gt;高値!P67),9,""))</f>
        <v/>
      </c>
      <c r="AK67" s="503" t="str">
        <f>IF(終値!A67="","",IF(AND(高値!O67&gt;高値!N67,高値!O67&gt;高値!M67,高値!O67&gt;高値!P67,高値!O67&gt;高値!Q67),10,""))</f>
        <v/>
      </c>
      <c r="AL67" s="503" t="str">
        <f>IF(終値!A67="","",IF(AND(高値!P67&gt;高値!O67,高値!P67&gt;高値!N67,高値!P67&gt;高値!Q67,高値!P67&gt;高値!R67),11,""))</f>
        <v/>
      </c>
      <c r="AM67" s="503" t="str">
        <f>IF(終値!A67="","",IF(AND(高値!Q67&gt;高値!P67,高値!Q67&gt;高値!O67,高値!Q67&gt;高値!R67,高値!Q67&gt;高値!S67),12,""))</f>
        <v/>
      </c>
      <c r="AN67" s="503" t="str">
        <f>IF(終値!A67="","",IF(AND(高値!R67&gt;高値!Q67,高値!R67&gt;高値!P67,高値!R67&gt;高値!S67,高値!R67&gt;高値!T67),13,""))</f>
        <v/>
      </c>
      <c r="AO67" s="503" t="str">
        <f>IF(終値!A67="","",IF(AND(高値!S67&gt;高値!R67,高値!S67&gt;高値!Q67,高値!S67&gt;高値!T67,高値!S67&gt;高値!U67),14,""))</f>
        <v/>
      </c>
      <c r="AP67" s="503" t="str">
        <f>IF(終値!A67="","",IF(AND(高値!T67&gt;高値!S67,高値!T67&gt;高値!R67,高値!T67&gt;高値!U67,高値!T67&gt;高値!V67),15,""))</f>
        <v/>
      </c>
      <c r="AQ67" s="503" t="str">
        <f>IF(終値!A67="","",IF(AND(高値!U67&gt;高値!T67,高値!U67&gt;高値!S67,高値!U67&gt;高値!V67,高値!U67&gt;高値!W67),16,""))</f>
        <v/>
      </c>
      <c r="AR67" s="503" t="str">
        <f>IF(終値!A67="","",IF(AND(高値!V67&gt;高値!U67,高値!V67&gt;高値!T67,高値!V67&gt;高値!W67,高値!V67&gt;高値!X67),17,""))</f>
        <v/>
      </c>
      <c r="AS67" s="503" t="str">
        <f>IF(終値!A67="","",IF(AND(高値!W67&gt;高値!V67,高値!W67&gt;高値!U67,高値!W67&gt;高値!X67,高値!W67&gt;高値!Y67),18,""))</f>
        <v/>
      </c>
      <c r="AT67" s="503" t="str">
        <f>IF(終値!A67="","",IF(AND(高値!X67&gt;高値!W67,高値!X67&gt;高値!V67,高値!X67&gt;高値!Y67,高値!X67&gt;高値!Z67),19,""))</f>
        <v/>
      </c>
      <c r="AU67" s="503" t="str">
        <f>IF(終値!A67="","",IF(AND(高値!Y67&gt;高値!X67,高値!Y67&gt;高値!W67,高値!Y67&gt;高値!Z67,高値!Y67&gt;高値!AA67),20,""))</f>
        <v/>
      </c>
      <c r="AV67" s="503" t="str">
        <f>IF(終値!A67="","",IF(AND(高値!Z67&gt;高値!Y67,高値!Z67&gt;高値!X67,高値!Z67&gt;高値!AA67,高値!Z67&gt;高値!AB67),21,""))</f>
        <v/>
      </c>
      <c r="AW67" s="503">
        <f>IF(終値!A67="","",IF(AND(高値!AA67&gt;高値!Z67,高値!AA67&gt;高値!Y67,高値!AA67&gt;高値!AB67,高値!AA67&gt;高値!AC67),22,""))</f>
        <v>22</v>
      </c>
      <c r="AX67" s="503" t="str">
        <f>IF(終値!A67="","",IF(AND(高値!AB67&gt;高値!AA67,高値!AB67&gt;高値!Z67,高値!AB67&gt;高値!AC67,高値!AB67&gt;高値!AD67),23,""))</f>
        <v/>
      </c>
      <c r="AY67" s="503" t="str">
        <f>IF(終値!A67="","",IF(AND(高値!AC67&gt;高値!AB67,高値!AC67&gt;高値!AA67,高値!AC67&gt;高値!AD67,高値!AC67&gt;高値!AE67),24,""))</f>
        <v/>
      </c>
      <c r="AZ67" s="503" t="str">
        <f>IF(終値!A67="","",IF(AND(高値!AD67&gt;高値!AC67,高値!AD67&gt;高値!AB67,高値!AD67&gt;高値!AE67,高値!AD67&gt;高値!AF67),25,""))</f>
        <v/>
      </c>
      <c r="BA67" s="503">
        <f>IF(終値!A67="","",IF(AND(高値!AE67&gt;高値!AD67,高値!AE67&gt;高値!AC67,高値!AE67&gt;高値!AF67,高値!AE67&gt;高値!AG67),26,""))</f>
        <v>26</v>
      </c>
      <c r="BB67" s="503" t="str">
        <f>IF(終値!A67="","",IF(AND(高値!AF67&gt;高値!AE67,高値!AF67&gt;高値!AD67,高値!AF67&gt;高値!AG67,高値!AF67&gt;高値!AH67),27,""))</f>
        <v/>
      </c>
      <c r="BC67" s="503" t="str">
        <f>IF(終値!A67="","",IF(AND(高値!AG67&gt;高値!AF67,高値!AG67&gt;高値!AE67,高値!AG67&gt;高値!AH67,高値!AG67&gt;高値!AI67),28,""))</f>
        <v/>
      </c>
      <c r="BD67" s="503">
        <f t="shared" si="0"/>
        <v>3</v>
      </c>
      <c r="BE67" s="503">
        <f t="shared" si="1"/>
        <v>2</v>
      </c>
      <c r="BF67" s="503">
        <f t="shared" si="2"/>
        <v>9</v>
      </c>
      <c r="BG67" s="503">
        <f>IF($BE67="","",INDEX(安値!$E67:$CZ67,1,$BE67+1))</f>
        <v>1826.5</v>
      </c>
      <c r="BH67" s="503">
        <f>IF($BF67="","",INDEX(安値!$E67:$CZ67,1,$BF67+1))</f>
        <v>0</v>
      </c>
      <c r="BI67" s="503">
        <f>IF($BF67="","",MAX(INDEX(高値!$E67:$CZ67,1,$BE67+1):INDEX(高値!$E67:$CZ67,1,$BF67+1)))</f>
        <v>2039.5</v>
      </c>
      <c r="BJ67" s="503">
        <f>IF($BF67="","",AVERAGE(INDEX(終値!$E67:$CZ67,1,$BF67+1):INDEX(終値!$E67:$CZ67,1,$BF67+20))-2*STDEVP(INDEX(終値!$E67:$CZ67,1,$BF67+1):INDEX(終値!$E67:$CZ67,1,$BF67+20)))</f>
        <v>1980.3496634385822</v>
      </c>
      <c r="BK67" s="503">
        <f>IF($BE67="","",AVERAGE(INDEX(終値!$E67:$CZ67,1,$BE67+1):INDEX(終値!$E67:$CZ67,1,$BE67+20))-2*STDEVP(INDEX(終値!$E67:$CZ67,1,$BE67+1):INDEX(終値!$E67:$CZ67,1,$BE67+20)))</f>
        <v>1814.1143647793028</v>
      </c>
      <c r="BL67" s="503">
        <f t="shared" si="3"/>
        <v>3</v>
      </c>
      <c r="BM67" s="503">
        <f t="shared" si="4"/>
        <v>6</v>
      </c>
      <c r="BN67" s="503">
        <f t="shared" si="5"/>
        <v>22</v>
      </c>
      <c r="BO67" s="503">
        <f>IF($BM67="","",INDEX(高値!$E67:$CZ67,1,$BM67+1))</f>
        <v>2039.5</v>
      </c>
      <c r="BP67" s="503">
        <f>IF($BN67="","",INDEX(高値!$E67:$CZ67,1,$BN67+1))</f>
        <v>2254</v>
      </c>
      <c r="BQ67" s="503">
        <f>IF($BN67="","",MIN(INDEX(安値!$E67:$CZ67,1,$BM67+1):INDEX(安値!$E67:$CZ67,1,$BN67+1)))</f>
        <v>1950.5</v>
      </c>
      <c r="BR67" s="503">
        <f>IF($BN67="","",AVERAGE(INDEX(終値!$E67:$CZ67,1,$BN67+1):INDEX(終値!$E67:$CZ67,1,$BN67+20))+2*STDEVP(INDEX(終値!$E67:$CZ67,1,$BN67+1):INDEX(終値!$E67:$CZ67,1,$BN67+20)))</f>
        <v>2232.3187597505266</v>
      </c>
      <c r="BS67" s="503">
        <f>IF($BM67="","",AVERAGE(INDEX(終値!$E67:$CZ67,1,$BM67+1):INDEX(終値!$E67:$CZ67,1,$BM67+20))+2*STDEVP(INDEX(終値!$E67:$CZ67,1,$BM67+1):INDEX(終値!$E67:$CZ67,1,$BM67+20)))</f>
        <v>2279.9913878109264</v>
      </c>
      <c r="BT67" s="500"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v>
      </c>
    </row>
    <row r="68" spans="2:72">
      <c r="B68" s="503" t="str">
        <f>IF(終値!A68="","",IF(AND(安値!G68&lt;安値!F68,安値!G68&lt;安値!E68,安値!G68&lt;安値!H68,安値!G68&lt;安値!I68),2,""))</f>
        <v/>
      </c>
      <c r="C68" s="503" t="str">
        <f>IF(終値!A68="","",IF(AND(安値!H68&lt;安値!G68,安値!H68&lt;安値!F68,安値!H68&lt;安値!I68,安値!H68&lt;安値!J68),3,""))</f>
        <v/>
      </c>
      <c r="D68" s="503" t="str">
        <f>IF(終値!A68="","",IF(AND(安値!I68&lt;安値!H68,安値!I68&lt;安値!G68,安値!I68&lt;安値!J68,安値!I68&lt;安値!K68),4,""))</f>
        <v/>
      </c>
      <c r="E68" s="503" t="str">
        <f>IF(終値!A68="","",IF(AND(安値!J68&lt;安値!I68,安値!J68&lt;安値!H68,安値!J68&lt;安値!K68,安値!J68&lt;安値!L68),5,""))</f>
        <v/>
      </c>
      <c r="F68" s="503">
        <f>IF(終値!A68="","",IF(AND(安値!K68&lt;安値!J68,安値!K68&lt;安値!I68,安値!K68&lt;安値!L68,安値!K68&lt;安値!M68),6,""))</f>
        <v>6</v>
      </c>
      <c r="G68" s="503" t="str">
        <f>IF(終値!A68="","",IF(AND(安値!L68&lt;安値!K68,安値!L68&lt;安値!J68,安値!L68&lt;安値!M68,安値!L68&lt;安値!N68),7,""))</f>
        <v/>
      </c>
      <c r="H68" s="503" t="str">
        <f>IF(終値!A68="","",IF(AND(安値!M68&lt;安値!L68,安値!M68&lt;安値!K68,安値!M68&lt;安値!N68,安値!M68&lt;安値!O68),8,""))</f>
        <v/>
      </c>
      <c r="I68" s="503" t="str">
        <f>IF(終値!A68="","",IF(AND(安値!N68&lt;安値!M68,安値!N68&lt;安値!L68,安値!N68&lt;安値!O68,安値!N68&lt;安値!P68),9,""))</f>
        <v/>
      </c>
      <c r="J68" s="503" t="str">
        <f>IF(終値!A68="","",IF(AND(安値!O68&lt;安値!N68,安値!O68&lt;安値!M68,安値!O68&lt;安値!P68,安値!O68&lt;安値!Q68),10,""))</f>
        <v/>
      </c>
      <c r="K68" s="503" t="str">
        <f>IF(終値!A68="","",IF(AND(安値!P68&lt;安値!O68,安値!P68&lt;安値!N68,安値!P68&lt;安値!Q68,安値!P68&lt;安値!R68),11,""))</f>
        <v/>
      </c>
      <c r="L68" s="503" t="str">
        <f>IF(終値!A68="","",IF(AND(安値!Q68&lt;安値!P68,安値!Q68&lt;安値!O68,安値!Q68&lt;安値!R68,安値!Q68&lt;安値!S68),12,""))</f>
        <v/>
      </c>
      <c r="M68" s="503">
        <f>IF(終値!A68="","",IF(AND(安値!R68&lt;安値!Q68,安値!R68&lt;安値!P68,安値!R68&lt;安値!S68,安値!R68&lt;安値!T68),13,""))</f>
        <v>13</v>
      </c>
      <c r="N68" s="503" t="str">
        <f>IF(終値!A68="","",IF(AND(安値!S68&lt;安値!R68,安値!S68&lt;安値!Q68,安値!S68&lt;安値!T68,安値!S68&lt;安値!U68),14,""))</f>
        <v/>
      </c>
      <c r="O68" s="503" t="str">
        <f>IF(終値!A68="","",IF(AND(安値!T68&lt;安値!S68,安値!T68&lt;安値!R68,安値!T68&lt;安値!U68,安値!T68&lt;安値!V68),15,""))</f>
        <v/>
      </c>
      <c r="P68" s="503" t="str">
        <f>IF(終値!A68="","",IF(AND(安値!U68&lt;安値!T68,安値!U68&lt;安値!S68,安値!U68&lt;安値!V68,安値!U68&lt;安値!W68),16,""))</f>
        <v/>
      </c>
      <c r="Q68" s="503" t="str">
        <f>IF(終値!A68="","",IF(AND(安値!V68&lt;安値!U68,安値!V68&lt;安値!T68,安値!V68&lt;安値!W68,安値!V68&lt;安値!X68),17,""))</f>
        <v/>
      </c>
      <c r="R68" s="503" t="str">
        <f>IF(終値!A68="","",IF(AND(安値!W68&lt;安値!V68,安値!W68&lt;安値!U68,安値!W68&lt;安値!X68,安値!W68&lt;安値!Y68),18,""))</f>
        <v/>
      </c>
      <c r="S68" s="503">
        <f>IF(終値!A68="","",IF(AND(安値!X68&lt;安値!W68,安値!X68&lt;安値!V68,安値!X68&lt;安値!Y68,安値!X68&lt;安値!Z68),19,""))</f>
        <v>19</v>
      </c>
      <c r="T68" s="503" t="str">
        <f>IF(終値!A68="","",IF(AND(安値!Y68&lt;安値!X68,安値!Y68&lt;安値!W68,安値!Y68&lt;安値!Z68,安値!Y68&lt;安値!AA68),20,""))</f>
        <v/>
      </c>
      <c r="U68" s="503" t="str">
        <f>IF(終値!A68="","",IF(AND(安値!Z68&lt;安値!Y68,安値!Z68&lt;安値!X68,安値!Z68&lt;安値!AA68,安値!Z68&lt;安値!AB68),21,""))</f>
        <v/>
      </c>
      <c r="V68" s="503">
        <f>IF(終値!A68="","",IF(AND(安値!AA68&lt;安値!Z68,安値!AA68&lt;安値!Y68,安値!AA68&lt;安値!AB68,安値!AA68&lt;安値!AC68),22,""))</f>
        <v>22</v>
      </c>
      <c r="W68" s="503" t="str">
        <f>IF(終値!A68="","",IF(AND(安値!AB68&lt;安値!AA68,安値!AB68&lt;安値!Z68,安値!AB68&lt;安値!AC68,安値!AB68&lt;安値!AD68),23,""))</f>
        <v/>
      </c>
      <c r="X68" s="503" t="str">
        <f>IF(終値!A68="","",IF(AND(安値!AC68&lt;安値!AB68,安値!AC68&lt;安値!AA68,安値!AC68&lt;安値!AD68,安値!AC68&lt;安値!AE68),24,""))</f>
        <v/>
      </c>
      <c r="Y68" s="503" t="str">
        <f>IF(終値!A68="","",IF(AND(安値!AD68&lt;安値!AC68,安値!AD68&lt;安値!AB68,安値!AD68&lt;安値!AE68,安値!AD68&lt;安値!AF68),25,""))</f>
        <v/>
      </c>
      <c r="Z68" s="503">
        <f>IF(終値!A68="","",IF(AND(安値!AE68&lt;安値!AD68,安値!AE68&lt;安値!AC68,安値!AE68&lt;安値!AF68,安値!AE68&lt;安値!AG68),26,""))</f>
        <v>26</v>
      </c>
      <c r="AA68" s="503" t="str">
        <f>IF(終値!A68="","",IF(AND(安値!AF68&lt;安値!AE68,安値!AF68&lt;安値!AD68,安値!AF68&lt;安値!AG68,安値!AF68&lt;安値!AH68),27,""))</f>
        <v/>
      </c>
      <c r="AB68" s="503" t="str">
        <f>IF(終値!A68="","",IF(AND(安値!AG68&lt;安値!AF68,安値!AG68&lt;安値!AE68,安値!AG68&lt;安値!AH68,安値!AG68&lt;安値!AI68),28,""))</f>
        <v/>
      </c>
      <c r="AC68" s="503" t="str">
        <f>IF(終値!A68="","",IF(AND(高値!G68&gt;高値!F68,高値!G68&gt;高値!E68,高値!G68&gt;高値!H68,高値!G68&gt;高値!I68),2,""))</f>
        <v/>
      </c>
      <c r="AD68" s="503" t="str">
        <f>IF(終値!A68="","",IF(AND(高値!H68&gt;高値!G68,高値!H68&gt;高値!F68,高値!H68&gt;高値!I68,高値!H68&gt;高値!J68),3,""))</f>
        <v/>
      </c>
      <c r="AE68" s="503">
        <f>IF(終値!A68="","",IF(AND(高値!I68&gt;高値!H68,高値!I68&gt;高値!G68,高値!I68&gt;高値!J68,高値!I68&gt;高値!K68),4,""))</f>
        <v>4</v>
      </c>
      <c r="AF68" s="503" t="str">
        <f>IF(終値!A68="","",IF(AND(高値!J68&gt;高値!I68,高値!J68&gt;高値!H68,高値!J68&gt;高値!K68,高値!J68&gt;高値!L68),5,""))</f>
        <v/>
      </c>
      <c r="AG68" s="503" t="str">
        <f>IF(終値!A68="","",IF(AND(高値!K68&gt;高値!J68,高値!K68&gt;高値!I68,高値!K68&gt;高値!L68,高値!K68&gt;高値!M68),6,""))</f>
        <v/>
      </c>
      <c r="AH68" s="503" t="str">
        <f>IF(終値!A68="","",IF(AND(高値!L68&gt;高値!K68,高値!L68&gt;高値!J68,高値!L68&gt;高値!M68,高値!L68&gt;高値!N68),7,""))</f>
        <v/>
      </c>
      <c r="AI68" s="503" t="str">
        <f>IF(終値!A68="","",IF(AND(高値!M68&gt;高値!L68,高値!M68&gt;高値!K68,高値!M68&gt;高値!N68,高値!M68&gt;高値!O68),8,""))</f>
        <v/>
      </c>
      <c r="AJ68" s="503" t="str">
        <f>IF(終値!A68="","",IF(AND(高値!N68&gt;高値!M68,高値!N68&gt;高値!L68,高値!N68&gt;高値!O68,高値!N68&gt;高値!P68),9,""))</f>
        <v/>
      </c>
      <c r="AK68" s="503" t="str">
        <f>IF(終値!A68="","",IF(AND(高値!O68&gt;高値!N68,高値!O68&gt;高値!M68,高値!O68&gt;高値!P68,高値!O68&gt;高値!Q68),10,""))</f>
        <v/>
      </c>
      <c r="AL68" s="503">
        <f>IF(終値!A68="","",IF(AND(高値!P68&gt;高値!O68,高値!P68&gt;高値!N68,高値!P68&gt;高値!Q68,高値!P68&gt;高値!R68),11,""))</f>
        <v>11</v>
      </c>
      <c r="AM68" s="503" t="str">
        <f>IF(終値!A68="","",IF(AND(高値!Q68&gt;高値!P68,高値!Q68&gt;高値!O68,高値!Q68&gt;高値!R68,高値!Q68&gt;高値!S68),12,""))</f>
        <v/>
      </c>
      <c r="AN68" s="503" t="str">
        <f>IF(終値!A68="","",IF(AND(高値!R68&gt;高値!Q68,高値!R68&gt;高値!P68,高値!R68&gt;高値!S68,高値!R68&gt;高値!T68),13,""))</f>
        <v/>
      </c>
      <c r="AO68" s="503" t="str">
        <f>IF(終値!A68="","",IF(AND(高値!S68&gt;高値!R68,高値!S68&gt;高値!Q68,高値!S68&gt;高値!T68,高値!S68&gt;高値!U68),14,""))</f>
        <v/>
      </c>
      <c r="AP68" s="503" t="str">
        <f>IF(終値!A68="","",IF(AND(高値!T68&gt;高値!S68,高値!T68&gt;高値!R68,高値!T68&gt;高値!U68,高値!T68&gt;高値!V68),15,""))</f>
        <v/>
      </c>
      <c r="AQ68" s="503" t="str">
        <f>IF(終値!A68="","",IF(AND(高値!U68&gt;高値!T68,高値!U68&gt;高値!S68,高値!U68&gt;高値!V68,高値!U68&gt;高値!W68),16,""))</f>
        <v/>
      </c>
      <c r="AR68" s="503">
        <f>IF(終値!A68="","",IF(AND(高値!V68&gt;高値!U68,高値!V68&gt;高値!T68,高値!V68&gt;高値!W68,高値!V68&gt;高値!X68),17,""))</f>
        <v>17</v>
      </c>
      <c r="AS68" s="503" t="str">
        <f>IF(終値!A68="","",IF(AND(高値!W68&gt;高値!V68,高値!W68&gt;高値!U68,高値!W68&gt;高値!X68,高値!W68&gt;高値!Y68),18,""))</f>
        <v/>
      </c>
      <c r="AT68" s="503" t="str">
        <f>IF(終値!A68="","",IF(AND(高値!X68&gt;高値!W68,高値!X68&gt;高値!V68,高値!X68&gt;高値!Y68,高値!X68&gt;高値!Z68),19,""))</f>
        <v/>
      </c>
      <c r="AU68" s="503">
        <f>IF(終値!A68="","",IF(AND(高値!Y68&gt;高値!X68,高値!Y68&gt;高値!W68,高値!Y68&gt;高値!Z68,高値!Y68&gt;高値!AA68),20,""))</f>
        <v>20</v>
      </c>
      <c r="AV68" s="503" t="str">
        <f>IF(終値!A68="","",IF(AND(高値!Z68&gt;高値!Y68,高値!Z68&gt;高値!X68,高値!Z68&gt;高値!AA68,高値!Z68&gt;高値!AB68),21,""))</f>
        <v/>
      </c>
      <c r="AW68" s="503" t="str">
        <f>IF(終値!A68="","",IF(AND(高値!AA68&gt;高値!Z68,高値!AA68&gt;高値!Y68,高値!AA68&gt;高値!AB68,高値!AA68&gt;高値!AC68),22,""))</f>
        <v/>
      </c>
      <c r="AX68" s="503" t="str">
        <f>IF(終値!A68="","",IF(AND(高値!AB68&gt;高値!AA68,高値!AB68&gt;高値!Z68,高値!AB68&gt;高値!AC68,高値!AB68&gt;高値!AD68),23,""))</f>
        <v/>
      </c>
      <c r="AY68" s="503">
        <f>IF(終値!A68="","",IF(AND(高値!AC68&gt;高値!AB68,高値!AC68&gt;高値!AA68,高値!AC68&gt;高値!AD68,高値!AC68&gt;高値!AE68),24,""))</f>
        <v>24</v>
      </c>
      <c r="AZ68" s="503" t="str">
        <f>IF(終値!A68="","",IF(AND(高値!AD68&gt;高値!AC68,高値!AD68&gt;高値!AB68,高値!AD68&gt;高値!AE68,高値!AD68&gt;高値!AF68),25,""))</f>
        <v/>
      </c>
      <c r="BA68" s="503" t="str">
        <f>IF(終値!A68="","",IF(AND(高値!AE68&gt;高値!AD68,高値!AE68&gt;高値!AC68,高値!AE68&gt;高値!AF68,高値!AE68&gt;高値!AG68),26,""))</f>
        <v/>
      </c>
      <c r="BB68" s="503" t="str">
        <f>IF(終値!A68="","",IF(AND(高値!AF68&gt;高値!AE68,高値!AF68&gt;高値!AD68,高値!AF68&gt;高値!AG68,高値!AF68&gt;高値!AH68),27,""))</f>
        <v/>
      </c>
      <c r="BC68" s="503" t="str">
        <f>IF(終値!A68="","",IF(AND(高値!AG68&gt;高値!AF68,高値!AG68&gt;高値!AE68,高値!AG68&gt;高値!AH68,高値!AG68&gt;高値!AI68),28,""))</f>
        <v/>
      </c>
      <c r="BD68" s="503">
        <f t="shared" si="0"/>
        <v>5</v>
      </c>
      <c r="BE68" s="503">
        <f t="shared" si="1"/>
        <v>6</v>
      </c>
      <c r="BF68" s="503">
        <f t="shared" si="2"/>
        <v>13</v>
      </c>
      <c r="BG68" s="503">
        <f>IF($BE68="","",INDEX(安値!$E68:$CZ68,1,$BE68+1))</f>
        <v>5050</v>
      </c>
      <c r="BH68" s="503">
        <f>IF($BF68="","",INDEX(安値!$E68:$CZ68,1,$BF68+1))</f>
        <v>5203</v>
      </c>
      <c r="BI68" s="503">
        <f>IF($BF68="","",MAX(INDEX(高値!$E68:$CZ68,1,$BE68+1):INDEX(高値!$E68:$CZ68,1,$BF68+1)))</f>
        <v>5795</v>
      </c>
      <c r="BJ68" s="503">
        <f>IF($BF68="","",AVERAGE(INDEX(終値!$E68:$CZ68,1,$BF68+1):INDEX(終値!$E68:$CZ68,1,$BF68+20))-2*STDEVP(INDEX(終値!$E68:$CZ68,1,$BF68+1):INDEX(終値!$E68:$CZ68,1,$BF68+20)))</f>
        <v>5496.7049044017176</v>
      </c>
      <c r="BK68" s="503">
        <f>IF($BE68="","",AVERAGE(INDEX(終値!$E68:$CZ68,1,$BE68+1):INDEX(終値!$E68:$CZ68,1,$BE68+20))-2*STDEVP(INDEX(終値!$E68:$CZ68,1,$BE68+1):INDEX(終値!$E68:$CZ68,1,$BE68+20)))</f>
        <v>5258.9279664513915</v>
      </c>
      <c r="BL68" s="503">
        <f t="shared" si="3"/>
        <v>5</v>
      </c>
      <c r="BM68" s="503">
        <f t="shared" si="4"/>
        <v>4</v>
      </c>
      <c r="BN68" s="503">
        <f t="shared" si="5"/>
        <v>11</v>
      </c>
      <c r="BO68" s="503">
        <f>IF($BM68="","",INDEX(高値!$E68:$CZ68,1,$BM68+1))</f>
        <v>5912</v>
      </c>
      <c r="BP68" s="503">
        <f>IF($BN68="","",INDEX(高値!$E68:$CZ68,1,$BN68+1))</f>
        <v>5795</v>
      </c>
      <c r="BQ68" s="503">
        <f>IF($BN68="","",MIN(INDEX(安値!$E68:$CZ68,1,$BM68+1):INDEX(安値!$E68:$CZ68,1,$BN68+1)))</f>
        <v>5050</v>
      </c>
      <c r="BR68" s="503">
        <f>IF($BN68="","",AVERAGE(INDEX(終値!$E68:$CZ68,1,$BN68+1):INDEX(終値!$E68:$CZ68,1,$BN68+20))+2*STDEVP(INDEX(終値!$E68:$CZ68,1,$BN68+1):INDEX(終値!$E68:$CZ68,1,$BN68+20)))</f>
        <v>6188.1616213630623</v>
      </c>
      <c r="BS68" s="503">
        <f>IF($BM68="","",AVERAGE(INDEX(終値!$E68:$CZ68,1,$BM68+1):INDEX(終値!$E68:$CZ68,1,$BM68+20))+2*STDEVP(INDEX(終値!$E68:$CZ68,1,$BM68+1):INDEX(終値!$E68:$CZ68,1,$BM68+20)))</f>
        <v>6137.3043941816213</v>
      </c>
      <c r="BT68" s="500"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二番底W▲</v>
      </c>
    </row>
    <row r="69" spans="2:72">
      <c r="B69" s="503" t="str">
        <f>IF(終値!A69="","",IF(AND(安値!G69&lt;安値!F69,安値!G69&lt;安値!E69,安値!G69&lt;安値!H69,安値!G69&lt;安値!I69),2,""))</f>
        <v/>
      </c>
      <c r="C69" s="503" t="str">
        <f>IF(終値!A69="","",IF(AND(安値!H69&lt;安値!G69,安値!H69&lt;安値!F69,安値!H69&lt;安値!I69,安値!H69&lt;安値!J69),3,""))</f>
        <v/>
      </c>
      <c r="D69" s="503" t="str">
        <f>IF(終値!A69="","",IF(AND(安値!I69&lt;安値!H69,安値!I69&lt;安値!G69,安値!I69&lt;安値!J69,安値!I69&lt;安値!K69),4,""))</f>
        <v/>
      </c>
      <c r="E69" s="503" t="str">
        <f>IF(終値!A69="","",IF(AND(安値!J69&lt;安値!I69,安値!J69&lt;安値!H69,安値!J69&lt;安値!K69,安値!J69&lt;安値!L69),5,""))</f>
        <v/>
      </c>
      <c r="F69" s="503">
        <f>IF(終値!A69="","",IF(AND(安値!K69&lt;安値!J69,安値!K69&lt;安値!I69,安値!K69&lt;安値!L69,安値!K69&lt;安値!M69),6,""))</f>
        <v>6</v>
      </c>
      <c r="G69" s="503" t="str">
        <f>IF(終値!A69="","",IF(AND(安値!L69&lt;安値!K69,安値!L69&lt;安値!J69,安値!L69&lt;安値!M69,安値!L69&lt;安値!N69),7,""))</f>
        <v/>
      </c>
      <c r="H69" s="503" t="str">
        <f>IF(終値!A69="","",IF(AND(安値!M69&lt;安値!L69,安値!M69&lt;安値!K69,安値!M69&lt;安値!N69,安値!M69&lt;安値!O69),8,""))</f>
        <v/>
      </c>
      <c r="I69" s="503" t="str">
        <f>IF(終値!A69="","",IF(AND(安値!N69&lt;安値!M69,安値!N69&lt;安値!L69,安値!N69&lt;安値!O69,安値!N69&lt;安値!P69),9,""))</f>
        <v/>
      </c>
      <c r="J69" s="503" t="str">
        <f>IF(終値!A69="","",IF(AND(安値!O69&lt;安値!N69,安値!O69&lt;安値!M69,安値!O69&lt;安値!P69,安値!O69&lt;安値!Q69),10,""))</f>
        <v/>
      </c>
      <c r="K69" s="503" t="str">
        <f>IF(終値!A69="","",IF(AND(安値!P69&lt;安値!O69,安値!P69&lt;安値!N69,安値!P69&lt;安値!Q69,安値!P69&lt;安値!R69),11,""))</f>
        <v/>
      </c>
      <c r="L69" s="503" t="str">
        <f>IF(終値!A69="","",IF(AND(安値!Q69&lt;安値!P69,安値!Q69&lt;安値!O69,安値!Q69&lt;安値!R69,安値!Q69&lt;安値!S69),12,""))</f>
        <v/>
      </c>
      <c r="M69" s="503">
        <f>IF(終値!A69="","",IF(AND(安値!R69&lt;安値!Q69,安値!R69&lt;安値!P69,安値!R69&lt;安値!S69,安値!R69&lt;安値!T69),13,""))</f>
        <v>13</v>
      </c>
      <c r="N69" s="503" t="str">
        <f>IF(終値!A69="","",IF(AND(安値!S69&lt;安値!R69,安値!S69&lt;安値!Q69,安値!S69&lt;安値!T69,安値!S69&lt;安値!U69),14,""))</f>
        <v/>
      </c>
      <c r="O69" s="503" t="str">
        <f>IF(終値!A69="","",IF(AND(安値!T69&lt;安値!S69,安値!T69&lt;安値!R69,安値!T69&lt;安値!U69,安値!T69&lt;安値!V69),15,""))</f>
        <v/>
      </c>
      <c r="P69" s="503" t="str">
        <f>IF(終値!A69="","",IF(AND(安値!U69&lt;安値!T69,安値!U69&lt;安値!S69,安値!U69&lt;安値!V69,安値!U69&lt;安値!W69),16,""))</f>
        <v/>
      </c>
      <c r="Q69" s="503" t="str">
        <f>IF(終値!A69="","",IF(AND(安値!V69&lt;安値!U69,安値!V69&lt;安値!T69,安値!V69&lt;安値!W69,安値!V69&lt;安値!X69),17,""))</f>
        <v/>
      </c>
      <c r="R69" s="503" t="str">
        <f>IF(終値!A69="","",IF(AND(安値!W69&lt;安値!V69,安値!W69&lt;安値!U69,安値!W69&lt;安値!X69,安値!W69&lt;安値!Y69),18,""))</f>
        <v/>
      </c>
      <c r="S69" s="503">
        <f>IF(終値!A69="","",IF(AND(安値!X69&lt;安値!W69,安値!X69&lt;安値!V69,安値!X69&lt;安値!Y69,安値!X69&lt;安値!Z69),19,""))</f>
        <v>19</v>
      </c>
      <c r="T69" s="503" t="str">
        <f>IF(終値!A69="","",IF(AND(安値!Y69&lt;安値!X69,安値!Y69&lt;安値!W69,安値!Y69&lt;安値!Z69,安値!Y69&lt;安値!AA69),20,""))</f>
        <v/>
      </c>
      <c r="U69" s="503" t="str">
        <f>IF(終値!A69="","",IF(AND(安値!Z69&lt;安値!Y69,安値!Z69&lt;安値!X69,安値!Z69&lt;安値!AA69,安値!Z69&lt;安値!AB69),21,""))</f>
        <v/>
      </c>
      <c r="V69" s="503">
        <f>IF(終値!A69="","",IF(AND(安値!AA69&lt;安値!Z69,安値!AA69&lt;安値!Y69,安値!AA69&lt;安値!AB69,安値!AA69&lt;安値!AC69),22,""))</f>
        <v>22</v>
      </c>
      <c r="W69" s="503" t="str">
        <f>IF(終値!A69="","",IF(AND(安値!AB69&lt;安値!AA69,安値!AB69&lt;安値!Z69,安値!AB69&lt;安値!AC69,安値!AB69&lt;安値!AD69),23,""))</f>
        <v/>
      </c>
      <c r="X69" s="503" t="str">
        <f>IF(終値!A69="","",IF(AND(安値!AC69&lt;安値!AB69,安値!AC69&lt;安値!AA69,安値!AC69&lt;安値!AD69,安値!AC69&lt;安値!AE69),24,""))</f>
        <v/>
      </c>
      <c r="Y69" s="503" t="str">
        <f>IF(終値!A69="","",IF(AND(安値!AD69&lt;安値!AC69,安値!AD69&lt;安値!AB69,安値!AD69&lt;安値!AE69,安値!AD69&lt;安値!AF69),25,""))</f>
        <v/>
      </c>
      <c r="Z69" s="503">
        <f>IF(終値!A69="","",IF(AND(安値!AE69&lt;安値!AD69,安値!AE69&lt;安値!AC69,安値!AE69&lt;安値!AF69,安値!AE69&lt;安値!AG69),26,""))</f>
        <v>26</v>
      </c>
      <c r="AA69" s="503" t="str">
        <f>IF(終値!A69="","",IF(AND(安値!AF69&lt;安値!AE69,安値!AF69&lt;安値!AD69,安値!AF69&lt;安値!AG69,安値!AF69&lt;安値!AH69),27,""))</f>
        <v/>
      </c>
      <c r="AB69" s="503" t="str">
        <f>IF(終値!A69="","",IF(AND(安値!AG69&lt;安値!AF69,安値!AG69&lt;安値!AE69,安値!AG69&lt;安値!AH69,安値!AG69&lt;安値!AI69),28,""))</f>
        <v/>
      </c>
      <c r="AC69" s="503">
        <f>IF(終値!A69="","",IF(AND(高値!G69&gt;高値!F69,高値!G69&gt;高値!E69,高値!G69&gt;高値!H69,高値!G69&gt;高値!I69),2,""))</f>
        <v>2</v>
      </c>
      <c r="AD69" s="503" t="str">
        <f>IF(終値!A69="","",IF(AND(高値!H69&gt;高値!G69,高値!H69&gt;高値!F69,高値!H69&gt;高値!I69,高値!H69&gt;高値!J69),3,""))</f>
        <v/>
      </c>
      <c r="AE69" s="503" t="str">
        <f>IF(終値!A69="","",IF(AND(高値!I69&gt;高値!H69,高値!I69&gt;高値!G69,高値!I69&gt;高値!J69,高値!I69&gt;高値!K69),4,""))</f>
        <v/>
      </c>
      <c r="AF69" s="503" t="str">
        <f>IF(終値!A69="","",IF(AND(高値!J69&gt;高値!I69,高値!J69&gt;高値!H69,高値!J69&gt;高値!K69,高値!J69&gt;高値!L69),5,""))</f>
        <v/>
      </c>
      <c r="AG69" s="503" t="str">
        <f>IF(終値!A69="","",IF(AND(高値!K69&gt;高値!J69,高値!K69&gt;高値!I69,高値!K69&gt;高値!L69,高値!K69&gt;高値!M69),6,""))</f>
        <v/>
      </c>
      <c r="AH69" s="503" t="str">
        <f>IF(終値!A69="","",IF(AND(高値!L69&gt;高値!K69,高値!L69&gt;高値!J69,高値!L69&gt;高値!M69,高値!L69&gt;高値!N69),7,""))</f>
        <v/>
      </c>
      <c r="AI69" s="503" t="str">
        <f>IF(終値!A69="","",IF(AND(高値!M69&gt;高値!L69,高値!M69&gt;高値!K69,高値!M69&gt;高値!N69,高値!M69&gt;高値!O69),8,""))</f>
        <v/>
      </c>
      <c r="AJ69" s="503" t="str">
        <f>IF(終値!A69="","",IF(AND(高値!N69&gt;高値!M69,高値!N69&gt;高値!L69,高値!N69&gt;高値!O69,高値!N69&gt;高値!P69),9,""))</f>
        <v/>
      </c>
      <c r="AK69" s="503" t="str">
        <f>IF(終値!A69="","",IF(AND(高値!O69&gt;高値!N69,高値!O69&gt;高値!M69,高値!O69&gt;高値!P69,高値!O69&gt;高値!Q69),10,""))</f>
        <v/>
      </c>
      <c r="AL69" s="503">
        <f>IF(終値!A69="","",IF(AND(高値!P69&gt;高値!O69,高値!P69&gt;高値!N69,高値!P69&gt;高値!Q69,高値!P69&gt;高値!R69),11,""))</f>
        <v>11</v>
      </c>
      <c r="AM69" s="503" t="str">
        <f>IF(終値!A69="","",IF(AND(高値!Q69&gt;高値!P69,高値!Q69&gt;高値!O69,高値!Q69&gt;高値!R69,高値!Q69&gt;高値!S69),12,""))</f>
        <v/>
      </c>
      <c r="AN69" s="503" t="str">
        <f>IF(終値!A69="","",IF(AND(高値!R69&gt;高値!Q69,高値!R69&gt;高値!P69,高値!R69&gt;高値!S69,高値!R69&gt;高値!T69),13,""))</f>
        <v/>
      </c>
      <c r="AO69" s="503" t="str">
        <f>IF(終値!A69="","",IF(AND(高値!S69&gt;高値!R69,高値!S69&gt;高値!Q69,高値!S69&gt;高値!T69,高値!S69&gt;高値!U69),14,""))</f>
        <v/>
      </c>
      <c r="AP69" s="503" t="str">
        <f>IF(終値!A69="","",IF(AND(高値!T69&gt;高値!S69,高値!T69&gt;高値!R69,高値!T69&gt;高値!U69,高値!T69&gt;高値!V69),15,""))</f>
        <v/>
      </c>
      <c r="AQ69" s="503" t="str">
        <f>IF(終値!A69="","",IF(AND(高値!U69&gt;高値!T69,高値!U69&gt;高値!S69,高値!U69&gt;高値!V69,高値!U69&gt;高値!W69),16,""))</f>
        <v/>
      </c>
      <c r="AR69" s="503">
        <f>IF(終値!A69="","",IF(AND(高値!V69&gt;高値!U69,高値!V69&gt;高値!T69,高値!V69&gt;高値!W69,高値!V69&gt;高値!X69),17,""))</f>
        <v>17</v>
      </c>
      <c r="AS69" s="503" t="str">
        <f>IF(終値!A69="","",IF(AND(高値!W69&gt;高値!V69,高値!W69&gt;高値!U69,高値!W69&gt;高値!X69,高値!W69&gt;高値!Y69),18,""))</f>
        <v/>
      </c>
      <c r="AT69" s="503" t="str">
        <f>IF(終値!A69="","",IF(AND(高値!X69&gt;高値!W69,高値!X69&gt;高値!V69,高値!X69&gt;高値!Y69,高値!X69&gt;高値!Z69),19,""))</f>
        <v/>
      </c>
      <c r="AU69" s="503" t="str">
        <f>IF(終値!A69="","",IF(AND(高値!Y69&gt;高値!X69,高値!Y69&gt;高値!W69,高値!Y69&gt;高値!Z69,高値!Y69&gt;高値!AA69),20,""))</f>
        <v/>
      </c>
      <c r="AV69" s="503">
        <f>IF(終値!A69="","",IF(AND(高値!Z69&gt;高値!Y69,高値!Z69&gt;高値!X69,高値!Z69&gt;高値!AA69,高値!Z69&gt;高値!AB69),21,""))</f>
        <v>21</v>
      </c>
      <c r="AW69" s="503" t="str">
        <f>IF(終値!A69="","",IF(AND(高値!AA69&gt;高値!Z69,高値!AA69&gt;高値!Y69,高値!AA69&gt;高値!AB69,高値!AA69&gt;高値!AC69),22,""))</f>
        <v/>
      </c>
      <c r="AX69" s="503" t="str">
        <f>IF(終値!A69="","",IF(AND(高値!AB69&gt;高値!AA69,高値!AB69&gt;高値!Z69,高値!AB69&gt;高値!AC69,高値!AB69&gt;高値!AD69),23,""))</f>
        <v/>
      </c>
      <c r="AY69" s="503" t="str">
        <f>IF(終値!A69="","",IF(AND(高値!AC69&gt;高値!AB69,高値!AC69&gt;高値!AA69,高値!AC69&gt;高値!AD69,高値!AC69&gt;高値!AE69),24,""))</f>
        <v/>
      </c>
      <c r="AZ69" s="503" t="str">
        <f>IF(終値!A69="","",IF(AND(高値!AD69&gt;高値!AC69,高値!AD69&gt;高値!AB69,高値!AD69&gt;高値!AE69,高値!AD69&gt;高値!AF69),25,""))</f>
        <v/>
      </c>
      <c r="BA69" s="503" t="str">
        <f>IF(終値!A69="","",IF(AND(高値!AE69&gt;高値!AD69,高値!AE69&gt;高値!AC69,高値!AE69&gt;高値!AF69,高値!AE69&gt;高値!AG69),26,""))</f>
        <v/>
      </c>
      <c r="BB69" s="503" t="str">
        <f>IF(終値!A69="","",IF(AND(高値!AF69&gt;高値!AE69,高値!AF69&gt;高値!AD69,高値!AF69&gt;高値!AG69,高値!AF69&gt;高値!AH69),27,""))</f>
        <v/>
      </c>
      <c r="BC69" s="503" t="str">
        <f>IF(終値!A69="","",IF(AND(高値!AG69&gt;高値!AF69,高値!AG69&gt;高値!AE69,高値!AG69&gt;高値!AH69,高値!AG69&gt;高値!AI69),28,""))</f>
        <v/>
      </c>
      <c r="BD69" s="503">
        <f t="shared" si="0"/>
        <v>5</v>
      </c>
      <c r="BE69" s="503">
        <f t="shared" si="1"/>
        <v>6</v>
      </c>
      <c r="BF69" s="503">
        <f t="shared" si="2"/>
        <v>13</v>
      </c>
      <c r="BG69" s="503">
        <f>IF($BE69="","",INDEX(安値!$E69:$CZ69,1,$BE69+1))</f>
        <v>3088</v>
      </c>
      <c r="BH69" s="503">
        <f>IF($BF69="","",INDEX(安値!$E69:$CZ69,1,$BF69+1))</f>
        <v>3402</v>
      </c>
      <c r="BI69" s="503">
        <f>IF($BF69="","",MAX(INDEX(高値!$E69:$CZ69,1,$BE69+1):INDEX(高値!$E69:$CZ69,1,$BF69+1)))</f>
        <v>3814</v>
      </c>
      <c r="BJ69" s="503">
        <f>IF($BF69="","",AVERAGE(INDEX(終値!$E69:$CZ69,1,$BF69+1):INDEX(終値!$E69:$CZ69,1,$BF69+20))-2*STDEVP(INDEX(終値!$E69:$CZ69,1,$BF69+1):INDEX(終値!$E69:$CZ69,1,$BF69+20)))</f>
        <v>3472.6493485146279</v>
      </c>
      <c r="BK69" s="503">
        <f>IF($BE69="","",AVERAGE(INDEX(終値!$E69:$CZ69,1,$BE69+1):INDEX(終値!$E69:$CZ69,1,$BE69+20))-2*STDEVP(INDEX(終値!$E69:$CZ69,1,$BE69+1):INDEX(終値!$E69:$CZ69,1,$BE69+20)))</f>
        <v>3230.4514424234903</v>
      </c>
      <c r="BL69" s="503">
        <f t="shared" si="3"/>
        <v>4</v>
      </c>
      <c r="BM69" s="503">
        <f t="shared" si="4"/>
        <v>2</v>
      </c>
      <c r="BN69" s="503">
        <f t="shared" si="5"/>
        <v>11</v>
      </c>
      <c r="BO69" s="503">
        <f>IF($BM69="","",INDEX(高値!$E69:$CZ69,1,$BM69+1))</f>
        <v>3492</v>
      </c>
      <c r="BP69" s="503">
        <f>IF($BN69="","",INDEX(高値!$E69:$CZ69,1,$BN69+1))</f>
        <v>3814</v>
      </c>
      <c r="BQ69" s="503">
        <f>IF($BN69="","",MIN(INDEX(安値!$E69:$CZ69,1,$BM69+1):INDEX(安値!$E69:$CZ69,1,$BN69+1)))</f>
        <v>3088</v>
      </c>
      <c r="BR69" s="503">
        <f>IF($BN69="","",AVERAGE(INDEX(終値!$E69:$CZ69,1,$BN69+1):INDEX(終値!$E69:$CZ69,1,$BN69+20))+2*STDEVP(INDEX(終値!$E69:$CZ69,1,$BN69+1):INDEX(終値!$E69:$CZ69,1,$BN69+20)))</f>
        <v>4965.0265270909695</v>
      </c>
      <c r="BS69" s="503">
        <f>IF($BM69="","",AVERAGE(INDEX(終値!$E69:$CZ69,1,$BM69+1):INDEX(終値!$E69:$CZ69,1,$BM69+20))+2*STDEVP(INDEX(終値!$E69:$CZ69,1,$BM69+1):INDEX(終値!$E69:$CZ69,1,$BM69+20)))</f>
        <v>4333.3499540652256</v>
      </c>
      <c r="BT69" s="500"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3" t="str">
        <f>IF(終値!A70="","",IF(AND(安値!G70&lt;安値!F70,安値!G70&lt;安値!E70,安値!G70&lt;安値!H70,安値!G70&lt;安値!I70),2,""))</f>
        <v/>
      </c>
      <c r="C70" s="503" t="str">
        <f>IF(終値!A70="","",IF(AND(安値!H70&lt;安値!G70,安値!H70&lt;安値!F70,安値!H70&lt;安値!I70,安値!H70&lt;安値!J70),3,""))</f>
        <v/>
      </c>
      <c r="D70" s="503" t="str">
        <f>IF(終値!A70="","",IF(AND(安値!I70&lt;安値!H70,安値!I70&lt;安値!G70,安値!I70&lt;安値!J70,安値!I70&lt;安値!K70),4,""))</f>
        <v/>
      </c>
      <c r="E70" s="503">
        <f>IF(終値!A70="","",IF(AND(安値!J70&lt;安値!I70,安値!J70&lt;安値!H70,安値!J70&lt;安値!K70,安値!J70&lt;安値!L70),5,""))</f>
        <v>5</v>
      </c>
      <c r="F70" s="503" t="str">
        <f>IF(終値!A70="","",IF(AND(安値!K70&lt;安値!J70,安値!K70&lt;安値!I70,安値!K70&lt;安値!L70,安値!K70&lt;安値!M70),6,""))</f>
        <v/>
      </c>
      <c r="G70" s="503" t="str">
        <f>IF(終値!A70="","",IF(AND(安値!L70&lt;安値!K70,安値!L70&lt;安値!J70,安値!L70&lt;安値!M70,安値!L70&lt;安値!N70),7,""))</f>
        <v/>
      </c>
      <c r="H70" s="503" t="str">
        <f>IF(終値!A70="","",IF(AND(安値!M70&lt;安値!L70,安値!M70&lt;安値!K70,安値!M70&lt;安値!N70,安値!M70&lt;安値!O70),8,""))</f>
        <v/>
      </c>
      <c r="I70" s="503">
        <f>IF(終値!A70="","",IF(AND(安値!N70&lt;安値!M70,安値!N70&lt;安値!L70,安値!N70&lt;安値!O70,安値!N70&lt;安値!P70),9,""))</f>
        <v>9</v>
      </c>
      <c r="J70" s="503" t="str">
        <f>IF(終値!A70="","",IF(AND(安値!O70&lt;安値!N70,安値!O70&lt;安値!M70,安値!O70&lt;安値!P70,安値!O70&lt;安値!Q70),10,""))</f>
        <v/>
      </c>
      <c r="K70" s="503" t="str">
        <f>IF(終値!A70="","",IF(AND(安値!P70&lt;安値!O70,安値!P70&lt;安値!N70,安値!P70&lt;安値!Q70,安値!P70&lt;安値!R70),11,""))</f>
        <v/>
      </c>
      <c r="L70" s="503" t="str">
        <f>IF(終値!A70="","",IF(AND(安値!Q70&lt;安値!P70,安値!Q70&lt;安値!O70,安値!Q70&lt;安値!R70,安値!Q70&lt;安値!S70),12,""))</f>
        <v/>
      </c>
      <c r="M70" s="503" t="str">
        <f>IF(終値!A70="","",IF(AND(安値!R70&lt;安値!Q70,安値!R70&lt;安値!P70,安値!R70&lt;安値!S70,安値!R70&lt;安値!T70),13,""))</f>
        <v/>
      </c>
      <c r="N70" s="503" t="str">
        <f>IF(終値!A70="","",IF(AND(安値!S70&lt;安値!R70,安値!S70&lt;安値!Q70,安値!S70&lt;安値!T70,安値!S70&lt;安値!U70),14,""))</f>
        <v/>
      </c>
      <c r="O70" s="503" t="str">
        <f>IF(終値!A70="","",IF(AND(安値!T70&lt;安値!S70,安値!T70&lt;安値!R70,安値!T70&lt;安値!U70,安値!T70&lt;安値!V70),15,""))</f>
        <v/>
      </c>
      <c r="P70" s="503" t="str">
        <f>IF(終値!A70="","",IF(AND(安値!U70&lt;安値!T70,安値!U70&lt;安値!S70,安値!U70&lt;安値!V70,安値!U70&lt;安値!W70),16,""))</f>
        <v/>
      </c>
      <c r="Q70" s="503" t="str">
        <f>IF(終値!A70="","",IF(AND(安値!V70&lt;安値!U70,安値!V70&lt;安値!T70,安値!V70&lt;安値!W70,安値!V70&lt;安値!X70),17,""))</f>
        <v/>
      </c>
      <c r="R70" s="503" t="str">
        <f>IF(終値!A70="","",IF(AND(安値!W70&lt;安値!V70,安値!W70&lt;安値!U70,安値!W70&lt;安値!X70,安値!W70&lt;安値!Y70),18,""))</f>
        <v/>
      </c>
      <c r="S70" s="503" t="str">
        <f>IF(終値!A70="","",IF(AND(安値!X70&lt;安値!W70,安値!X70&lt;安値!V70,安値!X70&lt;安値!Y70,安値!X70&lt;安値!Z70),19,""))</f>
        <v/>
      </c>
      <c r="T70" s="503" t="str">
        <f>IF(終値!A70="","",IF(AND(安値!Y70&lt;安値!X70,安値!Y70&lt;安値!W70,安値!Y70&lt;安値!Z70,安値!Y70&lt;安値!AA70),20,""))</f>
        <v/>
      </c>
      <c r="U70" s="503" t="str">
        <f>IF(終値!A70="","",IF(AND(安値!Z70&lt;安値!Y70,安値!Z70&lt;安値!X70,安値!Z70&lt;安値!AA70,安値!Z70&lt;安値!AB70),21,""))</f>
        <v/>
      </c>
      <c r="V70" s="503" t="str">
        <f>IF(終値!A70="","",IF(AND(安値!AA70&lt;安値!Z70,安値!AA70&lt;安値!Y70,安値!AA70&lt;安値!AB70,安値!AA70&lt;安値!AC70),22,""))</f>
        <v/>
      </c>
      <c r="W70" s="503" t="str">
        <f>IF(終値!A70="","",IF(AND(安値!AB70&lt;安値!AA70,安値!AB70&lt;安値!Z70,安値!AB70&lt;安値!AC70,安値!AB70&lt;安値!AD70),23,""))</f>
        <v/>
      </c>
      <c r="X70" s="503">
        <f>IF(終値!A70="","",IF(AND(安値!AC70&lt;安値!AB70,安値!AC70&lt;安値!AA70,安値!AC70&lt;安値!AD70,安値!AC70&lt;安値!AE70),24,""))</f>
        <v>24</v>
      </c>
      <c r="Y70" s="503" t="str">
        <f>IF(終値!A70="","",IF(AND(安値!AD70&lt;安値!AC70,安値!AD70&lt;安値!AB70,安値!AD70&lt;安値!AE70,安値!AD70&lt;安値!AF70),25,""))</f>
        <v/>
      </c>
      <c r="Z70" s="503" t="str">
        <f>IF(終値!A70="","",IF(AND(安値!AE70&lt;安値!AD70,安値!AE70&lt;安値!AC70,安値!AE70&lt;安値!AF70,安値!AE70&lt;安値!AG70),26,""))</f>
        <v/>
      </c>
      <c r="AA70" s="503" t="str">
        <f>IF(終値!A70="","",IF(AND(安値!AF70&lt;安値!AE70,安値!AF70&lt;安値!AD70,安値!AF70&lt;安値!AG70,安値!AF70&lt;安値!AH70),27,""))</f>
        <v/>
      </c>
      <c r="AB70" s="503" t="str">
        <f>IF(終値!A70="","",IF(AND(安値!AG70&lt;安値!AF70,安値!AG70&lt;安値!AE70,安値!AG70&lt;安値!AH70,安値!AG70&lt;安値!AI70),28,""))</f>
        <v/>
      </c>
      <c r="AC70" s="503" t="str">
        <f>IF(終値!A70="","",IF(AND(高値!G70&gt;高値!F70,高値!G70&gt;高値!E70,高値!G70&gt;高値!H70,高値!G70&gt;高値!I70),2,""))</f>
        <v/>
      </c>
      <c r="AD70" s="503" t="str">
        <f>IF(終値!A70="","",IF(AND(高値!H70&gt;高値!G70,高値!H70&gt;高値!F70,高値!H70&gt;高値!I70,高値!H70&gt;高値!J70),3,""))</f>
        <v/>
      </c>
      <c r="AE70" s="503" t="str">
        <f>IF(終値!A70="","",IF(AND(高値!I70&gt;高値!H70,高値!I70&gt;高値!G70,高値!I70&gt;高値!J70,高値!I70&gt;高値!K70),4,""))</f>
        <v/>
      </c>
      <c r="AF70" s="503" t="str">
        <f>IF(終値!A70="","",IF(AND(高値!J70&gt;高値!I70,高値!J70&gt;高値!H70,高値!J70&gt;高値!K70,高値!J70&gt;高値!L70),5,""))</f>
        <v/>
      </c>
      <c r="AG70" s="503" t="str">
        <f>IF(終値!A70="","",IF(AND(高値!K70&gt;高値!J70,高値!K70&gt;高値!I70,高値!K70&gt;高値!L70,高値!K70&gt;高値!M70),6,""))</f>
        <v/>
      </c>
      <c r="AH70" s="503" t="str">
        <f>IF(終値!A70="","",IF(AND(高値!L70&gt;高値!K70,高値!L70&gt;高値!J70,高値!L70&gt;高値!M70,高値!L70&gt;高値!N70),7,""))</f>
        <v/>
      </c>
      <c r="AI70" s="503" t="str">
        <f>IF(終値!A70="","",IF(AND(高値!M70&gt;高値!L70,高値!M70&gt;高値!K70,高値!M70&gt;高値!N70,高値!M70&gt;高値!O70),8,""))</f>
        <v/>
      </c>
      <c r="AJ70" s="503" t="str">
        <f>IF(終値!A70="","",IF(AND(高値!N70&gt;高値!M70,高値!N70&gt;高値!L70,高値!N70&gt;高値!O70,高値!N70&gt;高値!P70),9,""))</f>
        <v/>
      </c>
      <c r="AK70" s="503" t="str">
        <f>IF(終値!A70="","",IF(AND(高値!O70&gt;高値!N70,高値!O70&gt;高値!M70,高値!O70&gt;高値!P70,高値!O70&gt;高値!Q70),10,""))</f>
        <v/>
      </c>
      <c r="AL70" s="503" t="str">
        <f>IF(終値!A70="","",IF(AND(高値!P70&gt;高値!O70,高値!P70&gt;高値!N70,高値!P70&gt;高値!Q70,高値!P70&gt;高値!R70),11,""))</f>
        <v/>
      </c>
      <c r="AM70" s="503" t="str">
        <f>IF(終値!A70="","",IF(AND(高値!Q70&gt;高値!P70,高値!Q70&gt;高値!O70,高値!Q70&gt;高値!R70,高値!Q70&gt;高値!S70),12,""))</f>
        <v/>
      </c>
      <c r="AN70" s="503" t="str">
        <f>IF(終値!A70="","",IF(AND(高値!R70&gt;高値!Q70,高値!R70&gt;高値!P70,高値!R70&gt;高値!S70,高値!R70&gt;高値!T70),13,""))</f>
        <v/>
      </c>
      <c r="AO70" s="503" t="str">
        <f>IF(終値!A70="","",IF(AND(高値!S70&gt;高値!R70,高値!S70&gt;高値!Q70,高値!S70&gt;高値!T70,高値!S70&gt;高値!U70),14,""))</f>
        <v/>
      </c>
      <c r="AP70" s="503" t="str">
        <f>IF(終値!A70="","",IF(AND(高値!T70&gt;高値!S70,高値!T70&gt;高値!R70,高値!T70&gt;高値!U70,高値!T70&gt;高値!V70),15,""))</f>
        <v/>
      </c>
      <c r="AQ70" s="503" t="str">
        <f>IF(終値!A70="","",IF(AND(高値!U70&gt;高値!T70,高値!U70&gt;高値!S70,高値!U70&gt;高値!V70,高値!U70&gt;高値!W70),16,""))</f>
        <v/>
      </c>
      <c r="AR70" s="503" t="str">
        <f>IF(終値!A70="","",IF(AND(高値!V70&gt;高値!U70,高値!V70&gt;高値!T70,高値!V70&gt;高値!W70,高値!V70&gt;高値!X70),17,""))</f>
        <v/>
      </c>
      <c r="AS70" s="503" t="str">
        <f>IF(終値!A70="","",IF(AND(高値!W70&gt;高値!V70,高値!W70&gt;高値!U70,高値!W70&gt;高値!X70,高値!W70&gt;高値!Y70),18,""))</f>
        <v/>
      </c>
      <c r="AT70" s="503" t="str">
        <f>IF(終値!A70="","",IF(AND(高値!X70&gt;高値!W70,高値!X70&gt;高値!V70,高値!X70&gt;高値!Y70,高値!X70&gt;高値!Z70),19,""))</f>
        <v/>
      </c>
      <c r="AU70" s="503" t="str">
        <f>IF(終値!A70="","",IF(AND(高値!Y70&gt;高値!X70,高値!Y70&gt;高値!W70,高値!Y70&gt;高値!Z70,高値!Y70&gt;高値!AA70),20,""))</f>
        <v/>
      </c>
      <c r="AV70" s="503">
        <f>IF(終値!A70="","",IF(AND(高値!Z70&gt;高値!Y70,高値!Z70&gt;高値!X70,高値!Z70&gt;高値!AA70,高値!Z70&gt;高値!AB70),21,""))</f>
        <v>21</v>
      </c>
      <c r="AW70" s="503" t="str">
        <f>IF(終値!A70="","",IF(AND(高値!AA70&gt;高値!Z70,高値!AA70&gt;高値!Y70,高値!AA70&gt;高値!AB70,高値!AA70&gt;高値!AC70),22,""))</f>
        <v/>
      </c>
      <c r="AX70" s="503" t="str">
        <f>IF(終値!A70="","",IF(AND(高値!AB70&gt;高値!AA70,高値!AB70&gt;高値!Z70,高値!AB70&gt;高値!AC70,高値!AB70&gt;高値!AD70),23,""))</f>
        <v/>
      </c>
      <c r="AY70" s="503" t="str">
        <f>IF(終値!A70="","",IF(AND(高値!AC70&gt;高値!AB70,高値!AC70&gt;高値!AA70,高値!AC70&gt;高値!AD70,高値!AC70&gt;高値!AE70),24,""))</f>
        <v/>
      </c>
      <c r="AZ70" s="503" t="str">
        <f>IF(終値!A70="","",IF(AND(高値!AD70&gt;高値!AC70,高値!AD70&gt;高値!AB70,高値!AD70&gt;高値!AE70,高値!AD70&gt;高値!AF70),25,""))</f>
        <v/>
      </c>
      <c r="BA70" s="503" t="str">
        <f>IF(終値!A70="","",IF(AND(高値!AE70&gt;高値!AD70,高値!AE70&gt;高値!AC70,高値!AE70&gt;高値!AF70,高値!AE70&gt;高値!AG70),26,""))</f>
        <v/>
      </c>
      <c r="BB70" s="503" t="str">
        <f>IF(終値!A70="","",IF(AND(高値!AF70&gt;高値!AE70,高値!AF70&gt;高値!AD70,高値!AF70&gt;高値!AG70,高値!AF70&gt;高値!AH70),27,""))</f>
        <v/>
      </c>
      <c r="BC70" s="503" t="str">
        <f>IF(終値!A70="","",IF(AND(高値!AG70&gt;高値!AF70,高値!AG70&gt;高値!AE70,高値!AG70&gt;高値!AH70,高値!AG70&gt;高値!AI70),28,""))</f>
        <v/>
      </c>
      <c r="BD70" s="503">
        <f t="shared" ref="BD70:BD133" si="6">COUNT($B70:$AB70)</f>
        <v>3</v>
      </c>
      <c r="BE70" s="503">
        <f t="shared" ref="BE70:BE133" si="7">IF($BD70&gt;=2,MIN($B70:$AB70),"")</f>
        <v>5</v>
      </c>
      <c r="BF70" s="503">
        <f t="shared" ref="BF70:BF133" si="8">IF($BD70&gt;=2,SMALL($B70:$AB70,2),"")</f>
        <v>9</v>
      </c>
      <c r="BG70" s="503">
        <f>IF($BE70="","",INDEX(安値!$E70:$CZ70,1,$BE70+1))</f>
        <v>111</v>
      </c>
      <c r="BH70" s="503">
        <f>IF($BF70="","",INDEX(安値!$E70:$CZ70,1,$BF70+1))</f>
        <v>0</v>
      </c>
      <c r="BI70" s="503">
        <f>IF($BF70="","",MAX(INDEX(高値!$E70:$CZ70,1,$BE70+1):INDEX(高値!$E70:$CZ70,1,$BF70+1)))</f>
        <v>116</v>
      </c>
      <c r="BJ70" s="503">
        <f>IF($BF70="","",AVERAGE(INDEX(終値!$E70:$CZ70,1,$BF70+1):INDEX(終値!$E70:$CZ70,1,$BF70+20))-2*STDEVP(INDEX(終値!$E70:$CZ70,1,$BF70+1):INDEX(終値!$E70:$CZ70,1,$BF70+20)))</f>
        <v>104.40626622702123</v>
      </c>
      <c r="BK70" s="503">
        <f>IF($BE70="","",AVERAGE(INDEX(終値!$E70:$CZ70,1,$BE70+1):INDEX(終値!$E70:$CZ70,1,$BE70+20))-2*STDEVP(INDEX(終値!$E70:$CZ70,1,$BE70+1):INDEX(終値!$E70:$CZ70,1,$BE70+20)))</f>
        <v>106.6565255243587</v>
      </c>
      <c r="BL70" s="503">
        <f t="shared" ref="BL70:BL133" si="9">COUNT($AC70:$BC70)</f>
        <v>1</v>
      </c>
      <c r="BM70" s="503" t="str">
        <f t="shared" ref="BM70:BM133" si="10">IF($BL70&gt;=2,MIN($AC70:$BC70),"")</f>
        <v/>
      </c>
      <c r="BN70" s="503" t="str">
        <f t="shared" ref="BN70:BN133" si="11">IF($BL70&gt;=2,SMALL($AC70:$BC70,2),"")</f>
        <v/>
      </c>
      <c r="BO70" s="503" t="str">
        <f>IF($BM70="","",INDEX(高値!$E70:$CZ70,1,$BM70+1))</f>
        <v/>
      </c>
      <c r="BP70" s="503" t="str">
        <f>IF($BN70="","",INDEX(高値!$E70:$CZ70,1,$BN70+1))</f>
        <v/>
      </c>
      <c r="BQ70" s="503" t="str">
        <f>IF($BN70="","",MIN(INDEX(安値!$E70:$CZ70,1,$BM70+1):INDEX(安値!$E70:$CZ70,1,$BN70+1)))</f>
        <v/>
      </c>
      <c r="BR70" s="503" t="str">
        <f>IF($BN70="","",AVERAGE(INDEX(終値!$E70:$CZ70,1,$BN70+1):INDEX(終値!$E70:$CZ70,1,$BN70+20))+2*STDEVP(INDEX(終値!$E70:$CZ70,1,$BN70+1):INDEX(終値!$E70:$CZ70,1,$BN70+20)))</f>
        <v/>
      </c>
      <c r="BS70" s="503" t="str">
        <f>IF($BM70="","",AVERAGE(INDEX(終値!$E70:$CZ70,1,$BM70+1):INDEX(終値!$E70:$CZ70,1,$BM70+20))+2*STDEVP(INDEX(終値!$E70:$CZ70,1,$BM70+1):INDEX(終値!$E70:$CZ70,1,$BM70+20)))</f>
        <v/>
      </c>
      <c r="BT70" s="500"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v>
      </c>
    </row>
    <row r="71" spans="2:72">
      <c r="B71" s="503" t="str">
        <f>IF(終値!A71="","",IF(AND(安値!G71&lt;安値!F71,安値!G71&lt;安値!E71,安値!G71&lt;安値!H71,安値!G71&lt;安値!I71),2,""))</f>
        <v/>
      </c>
      <c r="C71" s="503" t="str">
        <f>IF(終値!A71="","",IF(AND(安値!H71&lt;安値!G71,安値!H71&lt;安値!F71,安値!H71&lt;安値!I71,安値!H71&lt;安値!J71),3,""))</f>
        <v/>
      </c>
      <c r="D71" s="503" t="str">
        <f>IF(終値!A71="","",IF(AND(安値!I71&lt;安値!H71,安値!I71&lt;安値!G71,安値!I71&lt;安値!J71,安値!I71&lt;安値!K71),4,""))</f>
        <v/>
      </c>
      <c r="E71" s="503" t="str">
        <f>IF(終値!A71="","",IF(AND(安値!J71&lt;安値!I71,安値!J71&lt;安値!H71,安値!J71&lt;安値!K71,安値!J71&lt;安値!L71),5,""))</f>
        <v/>
      </c>
      <c r="F71" s="503" t="str">
        <f>IF(終値!A71="","",IF(AND(安値!K71&lt;安値!J71,安値!K71&lt;安値!I71,安値!K71&lt;安値!L71,安値!K71&lt;安値!M71),6,""))</f>
        <v/>
      </c>
      <c r="G71" s="503" t="str">
        <f>IF(終値!A71="","",IF(AND(安値!L71&lt;安値!K71,安値!L71&lt;安値!J71,安値!L71&lt;安値!M71,安値!L71&lt;安値!N71),7,""))</f>
        <v/>
      </c>
      <c r="H71" s="503" t="str">
        <f>IF(終値!A71="","",IF(AND(安値!M71&lt;安値!L71,安値!M71&lt;安値!K71,安値!M71&lt;安値!N71,安値!M71&lt;安値!O71),8,""))</f>
        <v/>
      </c>
      <c r="I71" s="503">
        <f>IF(終値!A71="","",IF(AND(安値!N71&lt;安値!M71,安値!N71&lt;安値!L71,安値!N71&lt;安値!O71,安値!N71&lt;安値!P71),9,""))</f>
        <v>9</v>
      </c>
      <c r="J71" s="503" t="str">
        <f>IF(終値!A71="","",IF(AND(安値!O71&lt;安値!N71,安値!O71&lt;安値!M71,安値!O71&lt;安値!P71,安値!O71&lt;安値!Q71),10,""))</f>
        <v/>
      </c>
      <c r="K71" s="503" t="str">
        <f>IF(終値!A71="","",IF(AND(安値!P71&lt;安値!O71,安値!P71&lt;安値!N71,安値!P71&lt;安値!Q71,安値!P71&lt;安値!R71),11,""))</f>
        <v/>
      </c>
      <c r="L71" s="503" t="str">
        <f>IF(終値!A71="","",IF(AND(安値!Q71&lt;安値!P71,安値!Q71&lt;安値!O71,安値!Q71&lt;安値!R71,安値!Q71&lt;安値!S71),12,""))</f>
        <v/>
      </c>
      <c r="M71" s="503" t="str">
        <f>IF(終値!A71="","",IF(AND(安値!R71&lt;安値!Q71,安値!R71&lt;安値!P71,安値!R71&lt;安値!S71,安値!R71&lt;安値!T71),13,""))</f>
        <v/>
      </c>
      <c r="N71" s="503" t="str">
        <f>IF(終値!A71="","",IF(AND(安値!S71&lt;安値!R71,安値!S71&lt;安値!Q71,安値!S71&lt;安値!T71,安値!S71&lt;安値!U71),14,""))</f>
        <v/>
      </c>
      <c r="O71" s="503" t="str">
        <f>IF(終値!A71="","",IF(AND(安値!T71&lt;安値!S71,安値!T71&lt;安値!R71,安値!T71&lt;安値!U71,安値!T71&lt;安値!V71),15,""))</f>
        <v/>
      </c>
      <c r="P71" s="503" t="str">
        <f>IF(終値!A71="","",IF(AND(安値!U71&lt;安値!T71,安値!U71&lt;安値!S71,安値!U71&lt;安値!V71,安値!U71&lt;安値!W71),16,""))</f>
        <v/>
      </c>
      <c r="Q71" s="503" t="str">
        <f>IF(終値!A71="","",IF(AND(安値!V71&lt;安値!U71,安値!V71&lt;安値!T71,安値!V71&lt;安値!W71,安値!V71&lt;安値!X71),17,""))</f>
        <v/>
      </c>
      <c r="R71" s="503" t="str">
        <f>IF(終値!A71="","",IF(AND(安値!W71&lt;安値!V71,安値!W71&lt;安値!U71,安値!W71&lt;安値!X71,安値!W71&lt;安値!Y71),18,""))</f>
        <v/>
      </c>
      <c r="S71" s="503" t="str">
        <f>IF(終値!A71="","",IF(AND(安値!X71&lt;安値!W71,安値!X71&lt;安値!V71,安値!X71&lt;安値!Y71,安値!X71&lt;安値!Z71),19,""))</f>
        <v/>
      </c>
      <c r="T71" s="503" t="str">
        <f>IF(終値!A71="","",IF(AND(安値!Y71&lt;安値!X71,安値!Y71&lt;安値!W71,安値!Y71&lt;安値!Z71,安値!Y71&lt;安値!AA71),20,""))</f>
        <v/>
      </c>
      <c r="U71" s="503" t="str">
        <f>IF(終値!A71="","",IF(AND(安値!Z71&lt;安値!Y71,安値!Z71&lt;安値!X71,安値!Z71&lt;安値!AA71,安値!Z71&lt;安値!AB71),21,""))</f>
        <v/>
      </c>
      <c r="V71" s="503" t="str">
        <f>IF(終値!A71="","",IF(AND(安値!AA71&lt;安値!Z71,安値!AA71&lt;安値!Y71,安値!AA71&lt;安値!AB71,安値!AA71&lt;安値!AC71),22,""))</f>
        <v/>
      </c>
      <c r="W71" s="503" t="str">
        <f>IF(終値!A71="","",IF(AND(安値!AB71&lt;安値!AA71,安値!AB71&lt;安値!Z71,安値!AB71&lt;安値!AC71,安値!AB71&lt;安値!AD71),23,""))</f>
        <v/>
      </c>
      <c r="X71" s="503" t="str">
        <f>IF(終値!A71="","",IF(AND(安値!AC71&lt;安値!AB71,安値!AC71&lt;安値!AA71,安値!AC71&lt;安値!AD71,安値!AC71&lt;安値!AE71),24,""))</f>
        <v/>
      </c>
      <c r="Y71" s="503" t="str">
        <f>IF(終値!A71="","",IF(AND(安値!AD71&lt;安値!AC71,安値!AD71&lt;安値!AB71,安値!AD71&lt;安値!AE71,安値!AD71&lt;安値!AF71),25,""))</f>
        <v/>
      </c>
      <c r="Z71" s="503" t="str">
        <f>IF(終値!A71="","",IF(AND(安値!AE71&lt;安値!AD71,安値!AE71&lt;安値!AC71,安値!AE71&lt;安値!AF71,安値!AE71&lt;安値!AG71),26,""))</f>
        <v/>
      </c>
      <c r="AA71" s="503">
        <f>IF(終値!A71="","",IF(AND(安値!AF71&lt;安値!AE71,安値!AF71&lt;安値!AD71,安値!AF71&lt;安値!AG71,安値!AF71&lt;安値!AH71),27,""))</f>
        <v>27</v>
      </c>
      <c r="AB71" s="503" t="str">
        <f>IF(終値!A71="","",IF(AND(安値!AG71&lt;安値!AF71,安値!AG71&lt;安値!AE71,安値!AG71&lt;安値!AH71,安値!AG71&lt;安値!AI71),28,""))</f>
        <v/>
      </c>
      <c r="AC71" s="503" t="str">
        <f>IF(終値!A71="","",IF(AND(高値!G71&gt;高値!F71,高値!G71&gt;高値!E71,高値!G71&gt;高値!H71,高値!G71&gt;高値!I71),2,""))</f>
        <v/>
      </c>
      <c r="AD71" s="503" t="str">
        <f>IF(終値!A71="","",IF(AND(高値!H71&gt;高値!G71,高値!H71&gt;高値!F71,高値!H71&gt;高値!I71,高値!H71&gt;高値!J71),3,""))</f>
        <v/>
      </c>
      <c r="AE71" s="503" t="str">
        <f>IF(終値!A71="","",IF(AND(高値!I71&gt;高値!H71,高値!I71&gt;高値!G71,高値!I71&gt;高値!J71,高値!I71&gt;高値!K71),4,""))</f>
        <v/>
      </c>
      <c r="AF71" s="503" t="str">
        <f>IF(終値!A71="","",IF(AND(高値!J71&gt;高値!I71,高値!J71&gt;高値!H71,高値!J71&gt;高値!K71,高値!J71&gt;高値!L71),5,""))</f>
        <v/>
      </c>
      <c r="AG71" s="503">
        <f>IF(終値!A71="","",IF(AND(高値!K71&gt;高値!J71,高値!K71&gt;高値!I71,高値!K71&gt;高値!L71,高値!K71&gt;高値!M71),6,""))</f>
        <v>6</v>
      </c>
      <c r="AH71" s="503" t="str">
        <f>IF(終値!A71="","",IF(AND(高値!L71&gt;高値!K71,高値!L71&gt;高値!J71,高値!L71&gt;高値!M71,高値!L71&gt;高値!N71),7,""))</f>
        <v/>
      </c>
      <c r="AI71" s="503" t="str">
        <f>IF(終値!A71="","",IF(AND(高値!M71&gt;高値!L71,高値!M71&gt;高値!K71,高値!M71&gt;高値!N71,高値!M71&gt;高値!O71),8,""))</f>
        <v/>
      </c>
      <c r="AJ71" s="503" t="str">
        <f>IF(終値!A71="","",IF(AND(高値!N71&gt;高値!M71,高値!N71&gt;高値!L71,高値!N71&gt;高値!O71,高値!N71&gt;高値!P71),9,""))</f>
        <v/>
      </c>
      <c r="AK71" s="503" t="str">
        <f>IF(終値!A71="","",IF(AND(高値!O71&gt;高値!N71,高値!O71&gt;高値!M71,高値!O71&gt;高値!P71,高値!O71&gt;高値!Q71),10,""))</f>
        <v/>
      </c>
      <c r="AL71" s="503" t="str">
        <f>IF(終値!A71="","",IF(AND(高値!P71&gt;高値!O71,高値!P71&gt;高値!N71,高値!P71&gt;高値!Q71,高値!P71&gt;高値!R71),11,""))</f>
        <v/>
      </c>
      <c r="AM71" s="503" t="str">
        <f>IF(終値!A71="","",IF(AND(高値!Q71&gt;高値!P71,高値!Q71&gt;高値!O71,高値!Q71&gt;高値!R71,高値!Q71&gt;高値!S71),12,""))</f>
        <v/>
      </c>
      <c r="AN71" s="503" t="str">
        <f>IF(終値!A71="","",IF(AND(高値!R71&gt;高値!Q71,高値!R71&gt;高値!P71,高値!R71&gt;高値!S71,高値!R71&gt;高値!T71),13,""))</f>
        <v/>
      </c>
      <c r="AO71" s="503" t="str">
        <f>IF(終値!A71="","",IF(AND(高値!S71&gt;高値!R71,高値!S71&gt;高値!Q71,高値!S71&gt;高値!T71,高値!S71&gt;高値!U71),14,""))</f>
        <v/>
      </c>
      <c r="AP71" s="503" t="str">
        <f>IF(終値!A71="","",IF(AND(高値!T71&gt;高値!S71,高値!T71&gt;高値!R71,高値!T71&gt;高値!U71,高値!T71&gt;高値!V71),15,""))</f>
        <v/>
      </c>
      <c r="AQ71" s="503" t="str">
        <f>IF(終値!A71="","",IF(AND(高値!U71&gt;高値!T71,高値!U71&gt;高値!S71,高値!U71&gt;高値!V71,高値!U71&gt;高値!W71),16,""))</f>
        <v/>
      </c>
      <c r="AR71" s="503" t="str">
        <f>IF(終値!A71="","",IF(AND(高値!V71&gt;高値!U71,高値!V71&gt;高値!T71,高値!V71&gt;高値!W71,高値!V71&gt;高値!X71),17,""))</f>
        <v/>
      </c>
      <c r="AS71" s="503" t="str">
        <f>IF(終値!A71="","",IF(AND(高値!W71&gt;高値!V71,高値!W71&gt;高値!U71,高値!W71&gt;高値!X71,高値!W71&gt;高値!Y71),18,""))</f>
        <v/>
      </c>
      <c r="AT71" s="503">
        <f>IF(終値!A71="","",IF(AND(高値!X71&gt;高値!W71,高値!X71&gt;高値!V71,高値!X71&gt;高値!Y71,高値!X71&gt;高値!Z71),19,""))</f>
        <v>19</v>
      </c>
      <c r="AU71" s="503" t="str">
        <f>IF(終値!A71="","",IF(AND(高値!Y71&gt;高値!X71,高値!Y71&gt;高値!W71,高値!Y71&gt;高値!Z71,高値!Y71&gt;高値!AA71),20,""))</f>
        <v/>
      </c>
      <c r="AV71" s="503" t="str">
        <f>IF(終値!A71="","",IF(AND(高値!Z71&gt;高値!Y71,高値!Z71&gt;高値!X71,高値!Z71&gt;高値!AA71,高値!Z71&gt;高値!AB71),21,""))</f>
        <v/>
      </c>
      <c r="AW71" s="503" t="str">
        <f>IF(終値!A71="","",IF(AND(高値!AA71&gt;高値!Z71,高値!AA71&gt;高値!Y71,高値!AA71&gt;高値!AB71,高値!AA71&gt;高値!AC71),22,""))</f>
        <v/>
      </c>
      <c r="AX71" s="503" t="str">
        <f>IF(終値!A71="","",IF(AND(高値!AB71&gt;高値!AA71,高値!AB71&gt;高値!Z71,高値!AB71&gt;高値!AC71,高値!AB71&gt;高値!AD71),23,""))</f>
        <v/>
      </c>
      <c r="AY71" s="503" t="str">
        <f>IF(終値!A71="","",IF(AND(高値!AC71&gt;高値!AB71,高値!AC71&gt;高値!AA71,高値!AC71&gt;高値!AD71,高値!AC71&gt;高値!AE71),24,""))</f>
        <v/>
      </c>
      <c r="AZ71" s="503" t="str">
        <f>IF(終値!A71="","",IF(AND(高値!AD71&gt;高値!AC71,高値!AD71&gt;高値!AB71,高値!AD71&gt;高値!AE71,高値!AD71&gt;高値!AF71),25,""))</f>
        <v/>
      </c>
      <c r="BA71" s="503" t="str">
        <f>IF(終値!A71="","",IF(AND(高値!AE71&gt;高値!AD71,高値!AE71&gt;高値!AC71,高値!AE71&gt;高値!AF71,高値!AE71&gt;高値!AG71),26,""))</f>
        <v/>
      </c>
      <c r="BB71" s="503" t="str">
        <f>IF(終値!A71="","",IF(AND(高値!AF71&gt;高値!AE71,高値!AF71&gt;高値!AD71,高値!AF71&gt;高値!AG71,高値!AF71&gt;高値!AH71),27,""))</f>
        <v/>
      </c>
      <c r="BC71" s="503" t="str">
        <f>IF(終値!A71="","",IF(AND(高値!AG71&gt;高値!AF71,高値!AG71&gt;高値!AE71,高値!AG71&gt;高値!AH71,高値!AG71&gt;高値!AI71),28,""))</f>
        <v/>
      </c>
      <c r="BD71" s="503">
        <f t="shared" si="6"/>
        <v>2</v>
      </c>
      <c r="BE71" s="503">
        <f t="shared" si="7"/>
        <v>9</v>
      </c>
      <c r="BF71" s="503">
        <f t="shared" si="8"/>
        <v>27</v>
      </c>
      <c r="BG71" s="503">
        <f>IF($BE71="","",INDEX(安値!$E71:$CZ71,1,$BE71+1))</f>
        <v>2215</v>
      </c>
      <c r="BH71" s="503">
        <f>IF($BF71="","",INDEX(安値!$E71:$CZ71,1,$BF71+1))</f>
        <v>2120</v>
      </c>
      <c r="BI71" s="503">
        <f>IF($BF71="","",MAX(INDEX(高値!$E71:$CZ71,1,$BE71+1):INDEX(高値!$E71:$CZ71,1,$BF71+1)))</f>
        <v>2521</v>
      </c>
      <c r="BJ71" s="503">
        <f>IF($BF71="","",AVERAGE(INDEX(終値!$E71:$CZ71,1,$BF71+1):INDEX(終値!$E71:$CZ71,1,$BF71+20))-2*STDEVP(INDEX(終値!$E71:$CZ71,1,$BF71+1):INDEX(終値!$E71:$CZ71,1,$BF71+20)))</f>
        <v>1979.1418386845958</v>
      </c>
      <c r="BK71" s="503">
        <f>IF($BE71="","",AVERAGE(INDEX(終値!$E71:$CZ71,1,$BE71+1):INDEX(終値!$E71:$CZ71,1,$BE71+20))-2*STDEVP(INDEX(終値!$E71:$CZ71,1,$BE71+1):INDEX(終値!$E71:$CZ71,1,$BE71+20)))</f>
        <v>2113.7448352844917</v>
      </c>
      <c r="BL71" s="503">
        <f t="shared" si="9"/>
        <v>2</v>
      </c>
      <c r="BM71" s="503">
        <f t="shared" si="10"/>
        <v>6</v>
      </c>
      <c r="BN71" s="503">
        <f t="shared" si="11"/>
        <v>19</v>
      </c>
      <c r="BO71" s="503">
        <f>IF($BM71="","",INDEX(高値!$E71:$CZ71,1,$BM71+1))</f>
        <v>2410</v>
      </c>
      <c r="BP71" s="503">
        <f>IF($BN71="","",INDEX(高値!$E71:$CZ71,1,$BN71+1))</f>
        <v>2521</v>
      </c>
      <c r="BQ71" s="503">
        <f>IF($BN71="","",MIN(INDEX(安値!$E71:$CZ71,1,$BM71+1):INDEX(安値!$E71:$CZ71,1,$BN71+1)))</f>
        <v>2215</v>
      </c>
      <c r="BR71" s="503">
        <f>IF($BN71="","",AVERAGE(INDEX(終値!$E71:$CZ71,1,$BN71+1):INDEX(終値!$E71:$CZ71,1,$BN71+20))+2*STDEVP(INDEX(終値!$E71:$CZ71,1,$BN71+1):INDEX(終値!$E71:$CZ71,1,$BN71+20)))</f>
        <v>2431.1208485130242</v>
      </c>
      <c r="BS71" s="503">
        <f>IF($BM71="","",AVERAGE(INDEX(終値!$E71:$CZ71,1,$BM71+1):INDEX(終値!$E71:$CZ71,1,$BM71+20))+2*STDEVP(INDEX(終値!$E71:$CZ71,1,$BM71+1):INDEX(終値!$E71:$CZ71,1,$BM71+20)))</f>
        <v>2497.1018113524383</v>
      </c>
      <c r="BT71" s="500"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二番天井M▼</v>
      </c>
    </row>
    <row r="72" spans="2:72">
      <c r="B72" s="503">
        <f>IF(終値!A72="","",IF(AND(安値!G72&lt;安値!F72,安値!G72&lt;安値!E72,安値!G72&lt;安値!H72,安値!G72&lt;安値!I72),2,""))</f>
        <v>2</v>
      </c>
      <c r="C72" s="503" t="str">
        <f>IF(終値!A72="","",IF(AND(安値!H72&lt;安値!G72,安値!H72&lt;安値!F72,安値!H72&lt;安値!I72,安値!H72&lt;安値!J72),3,""))</f>
        <v/>
      </c>
      <c r="D72" s="503" t="str">
        <f>IF(終値!A72="","",IF(AND(安値!I72&lt;安値!H72,安値!I72&lt;安値!G72,安値!I72&lt;安値!J72,安値!I72&lt;安値!K72),4,""))</f>
        <v/>
      </c>
      <c r="E72" s="503" t="str">
        <f>IF(終値!A72="","",IF(AND(安値!J72&lt;安値!I72,安値!J72&lt;安値!H72,安値!J72&lt;安値!K72,安値!J72&lt;安値!L72),5,""))</f>
        <v/>
      </c>
      <c r="F72" s="503" t="str">
        <f>IF(終値!A72="","",IF(AND(安値!K72&lt;安値!J72,安値!K72&lt;安値!I72,安値!K72&lt;安値!L72,安値!K72&lt;安値!M72),6,""))</f>
        <v/>
      </c>
      <c r="G72" s="503" t="str">
        <f>IF(終値!A72="","",IF(AND(安値!L72&lt;安値!K72,安値!L72&lt;安値!J72,安値!L72&lt;安値!M72,安値!L72&lt;安値!N72),7,""))</f>
        <v/>
      </c>
      <c r="H72" s="503" t="str">
        <f>IF(終値!A72="","",IF(AND(安値!M72&lt;安値!L72,安値!M72&lt;安値!K72,安値!M72&lt;安値!N72,安値!M72&lt;安値!O72),8,""))</f>
        <v/>
      </c>
      <c r="I72" s="503">
        <f>IF(終値!A72="","",IF(AND(安値!N72&lt;安値!M72,安値!N72&lt;安値!L72,安値!N72&lt;安値!O72,安値!N72&lt;安値!P72),9,""))</f>
        <v>9</v>
      </c>
      <c r="J72" s="503" t="str">
        <f>IF(終値!A72="","",IF(AND(安値!O72&lt;安値!N72,安値!O72&lt;安値!M72,安値!O72&lt;安値!P72,安値!O72&lt;安値!Q72),10,""))</f>
        <v/>
      </c>
      <c r="K72" s="503" t="str">
        <f>IF(終値!A72="","",IF(AND(安値!P72&lt;安値!O72,安値!P72&lt;安値!N72,安値!P72&lt;安値!Q72,安値!P72&lt;安値!R72),11,""))</f>
        <v/>
      </c>
      <c r="L72" s="503" t="str">
        <f>IF(終値!A72="","",IF(AND(安値!Q72&lt;安値!P72,安値!Q72&lt;安値!O72,安値!Q72&lt;安値!R72,安値!Q72&lt;安値!S72),12,""))</f>
        <v/>
      </c>
      <c r="M72" s="503" t="str">
        <f>IF(終値!A72="","",IF(AND(安値!R72&lt;安値!Q72,安値!R72&lt;安値!P72,安値!R72&lt;安値!S72,安値!R72&lt;安値!T72),13,""))</f>
        <v/>
      </c>
      <c r="N72" s="503" t="str">
        <f>IF(終値!A72="","",IF(AND(安値!S72&lt;安値!R72,安値!S72&lt;安値!Q72,安値!S72&lt;安値!T72,安値!S72&lt;安値!U72),14,""))</f>
        <v/>
      </c>
      <c r="O72" s="503">
        <f>IF(終値!A72="","",IF(AND(安値!T72&lt;安値!S72,安値!T72&lt;安値!R72,安値!T72&lt;安値!U72,安値!T72&lt;安値!V72),15,""))</f>
        <v>15</v>
      </c>
      <c r="P72" s="503" t="str">
        <f>IF(終値!A72="","",IF(AND(安値!U72&lt;安値!T72,安値!U72&lt;安値!S72,安値!U72&lt;安値!V72,安値!U72&lt;安値!W72),16,""))</f>
        <v/>
      </c>
      <c r="Q72" s="503" t="str">
        <f>IF(終値!A72="","",IF(AND(安値!V72&lt;安値!U72,安値!V72&lt;安値!T72,安値!V72&lt;安値!W72,安値!V72&lt;安値!X72),17,""))</f>
        <v/>
      </c>
      <c r="R72" s="503">
        <f>IF(終値!A72="","",IF(AND(安値!W72&lt;安値!V72,安値!W72&lt;安値!U72,安値!W72&lt;安値!X72,安値!W72&lt;安値!Y72),18,""))</f>
        <v>18</v>
      </c>
      <c r="S72" s="503" t="str">
        <f>IF(終値!A72="","",IF(AND(安値!X72&lt;安値!W72,安値!X72&lt;安値!V72,安値!X72&lt;安値!Y72,安値!X72&lt;安値!Z72),19,""))</f>
        <v/>
      </c>
      <c r="T72" s="503" t="str">
        <f>IF(終値!A72="","",IF(AND(安値!Y72&lt;安値!X72,安値!Y72&lt;安値!W72,安値!Y72&lt;安値!Z72,安値!Y72&lt;安値!AA72),20,""))</f>
        <v/>
      </c>
      <c r="U72" s="503" t="str">
        <f>IF(終値!A72="","",IF(AND(安値!Z72&lt;安値!Y72,安値!Z72&lt;安値!X72,安値!Z72&lt;安値!AA72,安値!Z72&lt;安値!AB72),21,""))</f>
        <v/>
      </c>
      <c r="V72" s="503" t="str">
        <f>IF(終値!A72="","",IF(AND(安値!AA72&lt;安値!Z72,安値!AA72&lt;安値!Y72,安値!AA72&lt;安値!AB72,安値!AA72&lt;安値!AC72),22,""))</f>
        <v/>
      </c>
      <c r="W72" s="503" t="str">
        <f>IF(終値!A72="","",IF(AND(安値!AB72&lt;安値!AA72,安値!AB72&lt;安値!Z72,安値!AB72&lt;安値!AC72,安値!AB72&lt;安値!AD72),23,""))</f>
        <v/>
      </c>
      <c r="X72" s="503" t="str">
        <f>IF(終値!A72="","",IF(AND(安値!AC72&lt;安値!AB72,安値!AC72&lt;安値!AA72,安値!AC72&lt;安値!AD72,安値!AC72&lt;安値!AE72),24,""))</f>
        <v/>
      </c>
      <c r="Y72" s="503" t="str">
        <f>IF(終値!A72="","",IF(AND(安値!AD72&lt;安値!AC72,安値!AD72&lt;安値!AB72,安値!AD72&lt;安値!AE72,安値!AD72&lt;安値!AF72),25,""))</f>
        <v/>
      </c>
      <c r="Z72" s="503" t="str">
        <f>IF(終値!A72="","",IF(AND(安値!AE72&lt;安値!AD72,安値!AE72&lt;安値!AC72,安値!AE72&lt;安値!AF72,安値!AE72&lt;安値!AG72),26,""))</f>
        <v/>
      </c>
      <c r="AA72" s="503" t="str">
        <f>IF(終値!A72="","",IF(AND(安値!AF72&lt;安値!AE72,安値!AF72&lt;安値!AD72,安値!AF72&lt;安値!AG72,安値!AF72&lt;安値!AH72),27,""))</f>
        <v/>
      </c>
      <c r="AB72" s="503">
        <f>IF(終値!A72="","",IF(AND(安値!AG72&lt;安値!AF72,安値!AG72&lt;安値!AE72,安値!AG72&lt;安値!AH72,安値!AG72&lt;安値!AI72),28,""))</f>
        <v>28</v>
      </c>
      <c r="AC72" s="503" t="str">
        <f>IF(終値!A72="","",IF(AND(高値!G72&gt;高値!F72,高値!G72&gt;高値!E72,高値!G72&gt;高値!H72,高値!G72&gt;高値!I72),2,""))</f>
        <v/>
      </c>
      <c r="AD72" s="503" t="str">
        <f>IF(終値!A72="","",IF(AND(高値!H72&gt;高値!G72,高値!H72&gt;高値!F72,高値!H72&gt;高値!I72,高値!H72&gt;高値!J72),3,""))</f>
        <v/>
      </c>
      <c r="AE72" s="503" t="str">
        <f>IF(終値!A72="","",IF(AND(高値!I72&gt;高値!H72,高値!I72&gt;高値!G72,高値!I72&gt;高値!J72,高値!I72&gt;高値!K72),4,""))</f>
        <v/>
      </c>
      <c r="AF72" s="503" t="str">
        <f>IF(終値!A72="","",IF(AND(高値!J72&gt;高値!I72,高値!J72&gt;高値!H72,高値!J72&gt;高値!K72,高値!J72&gt;高値!L72),5,""))</f>
        <v/>
      </c>
      <c r="AG72" s="503" t="str">
        <f>IF(終値!A72="","",IF(AND(高値!K72&gt;高値!J72,高値!K72&gt;高値!I72,高値!K72&gt;高値!L72,高値!K72&gt;高値!M72),6,""))</f>
        <v/>
      </c>
      <c r="AH72" s="503" t="str">
        <f>IF(終値!A72="","",IF(AND(高値!L72&gt;高値!K72,高値!L72&gt;高値!J72,高値!L72&gt;高値!M72,高値!L72&gt;高値!N72),7,""))</f>
        <v/>
      </c>
      <c r="AI72" s="503" t="str">
        <f>IF(終値!A72="","",IF(AND(高値!M72&gt;高値!L72,高値!M72&gt;高値!K72,高値!M72&gt;高値!N72,高値!M72&gt;高値!O72),8,""))</f>
        <v/>
      </c>
      <c r="AJ72" s="503" t="str">
        <f>IF(終値!A72="","",IF(AND(高値!N72&gt;高値!M72,高値!N72&gt;高値!L72,高値!N72&gt;高値!O72,高値!N72&gt;高値!P72),9,""))</f>
        <v/>
      </c>
      <c r="AK72" s="503" t="str">
        <f>IF(終値!A72="","",IF(AND(高値!O72&gt;高値!N72,高値!O72&gt;高値!M72,高値!O72&gt;高値!P72,高値!O72&gt;高値!Q72),10,""))</f>
        <v/>
      </c>
      <c r="AL72" s="503" t="str">
        <f>IF(終値!A72="","",IF(AND(高値!P72&gt;高値!O72,高値!P72&gt;高値!N72,高値!P72&gt;高値!Q72,高値!P72&gt;高値!R72),11,""))</f>
        <v/>
      </c>
      <c r="AM72" s="503" t="str">
        <f>IF(終値!A72="","",IF(AND(高値!Q72&gt;高値!P72,高値!Q72&gt;高値!O72,高値!Q72&gt;高値!R72,高値!Q72&gt;高値!S72),12,""))</f>
        <v/>
      </c>
      <c r="AN72" s="503" t="str">
        <f>IF(終値!A72="","",IF(AND(高値!R72&gt;高値!Q72,高値!R72&gt;高値!P72,高値!R72&gt;高値!S72,高値!R72&gt;高値!T72),13,""))</f>
        <v/>
      </c>
      <c r="AO72" s="503" t="str">
        <f>IF(終値!A72="","",IF(AND(高値!S72&gt;高値!R72,高値!S72&gt;高値!Q72,高値!S72&gt;高値!T72,高値!S72&gt;高値!U72),14,""))</f>
        <v/>
      </c>
      <c r="AP72" s="503" t="str">
        <f>IF(終値!A72="","",IF(AND(高値!T72&gt;高値!S72,高値!T72&gt;高値!R72,高値!T72&gt;高値!U72,高値!T72&gt;高値!V72),15,""))</f>
        <v/>
      </c>
      <c r="AQ72" s="503" t="str">
        <f>IF(終値!A72="","",IF(AND(高値!U72&gt;高値!T72,高値!U72&gt;高値!S72,高値!U72&gt;高値!V72,高値!U72&gt;高値!W72),16,""))</f>
        <v/>
      </c>
      <c r="AR72" s="503" t="str">
        <f>IF(終値!A72="","",IF(AND(高値!V72&gt;高値!U72,高値!V72&gt;高値!T72,高値!V72&gt;高値!W72,高値!V72&gt;高値!X72),17,""))</f>
        <v/>
      </c>
      <c r="AS72" s="503" t="str">
        <f>IF(終値!A72="","",IF(AND(高値!W72&gt;高値!V72,高値!W72&gt;高値!U72,高値!W72&gt;高値!X72,高値!W72&gt;高値!Y72),18,""))</f>
        <v/>
      </c>
      <c r="AT72" s="503" t="str">
        <f>IF(終値!A72="","",IF(AND(高値!X72&gt;高値!W72,高値!X72&gt;高値!V72,高値!X72&gt;高値!Y72,高値!X72&gt;高値!Z72),19,""))</f>
        <v/>
      </c>
      <c r="AU72" s="503" t="str">
        <f>IF(終値!A72="","",IF(AND(高値!Y72&gt;高値!X72,高値!Y72&gt;高値!W72,高値!Y72&gt;高値!Z72,高値!Y72&gt;高値!AA72),20,""))</f>
        <v/>
      </c>
      <c r="AV72" s="503" t="str">
        <f>IF(終値!A72="","",IF(AND(高値!Z72&gt;高値!Y72,高値!Z72&gt;高値!X72,高値!Z72&gt;高値!AA72,高値!Z72&gt;高値!AB72),21,""))</f>
        <v/>
      </c>
      <c r="AW72" s="503" t="str">
        <f>IF(終値!A72="","",IF(AND(高値!AA72&gt;高値!Z72,高値!AA72&gt;高値!Y72,高値!AA72&gt;高値!AB72,高値!AA72&gt;高値!AC72),22,""))</f>
        <v/>
      </c>
      <c r="AX72" s="503">
        <f>IF(終値!A72="","",IF(AND(高値!AB72&gt;高値!AA72,高値!AB72&gt;高値!Z72,高値!AB72&gt;高値!AC72,高値!AB72&gt;高値!AD72),23,""))</f>
        <v>23</v>
      </c>
      <c r="AY72" s="503" t="str">
        <f>IF(終値!A72="","",IF(AND(高値!AC72&gt;高値!AB72,高値!AC72&gt;高値!AA72,高値!AC72&gt;高値!AD72,高値!AC72&gt;高値!AE72),24,""))</f>
        <v/>
      </c>
      <c r="AZ72" s="503" t="str">
        <f>IF(終値!A72="","",IF(AND(高値!AD72&gt;高値!AC72,高値!AD72&gt;高値!AB72,高値!AD72&gt;高値!AE72,高値!AD72&gt;高値!AF72),25,""))</f>
        <v/>
      </c>
      <c r="BA72" s="503" t="str">
        <f>IF(終値!A72="","",IF(AND(高値!AE72&gt;高値!AD72,高値!AE72&gt;高値!AC72,高値!AE72&gt;高値!AF72,高値!AE72&gt;高値!AG72),26,""))</f>
        <v/>
      </c>
      <c r="BB72" s="503" t="str">
        <f>IF(終値!A72="","",IF(AND(高値!AF72&gt;高値!AE72,高値!AF72&gt;高値!AD72,高値!AF72&gt;高値!AG72,高値!AF72&gt;高値!AH72),27,""))</f>
        <v/>
      </c>
      <c r="BC72" s="503" t="str">
        <f>IF(終値!A72="","",IF(AND(高値!AG72&gt;高値!AF72,高値!AG72&gt;高値!AE72,高値!AG72&gt;高値!AH72,高値!AG72&gt;高値!AI72),28,""))</f>
        <v/>
      </c>
      <c r="BD72" s="503">
        <f t="shared" si="6"/>
        <v>5</v>
      </c>
      <c r="BE72" s="503">
        <f t="shared" si="7"/>
        <v>2</v>
      </c>
      <c r="BF72" s="503">
        <f t="shared" si="8"/>
        <v>9</v>
      </c>
      <c r="BG72" s="503">
        <f>IF($BE72="","",INDEX(安値!$E72:$CZ72,1,$BE72+1))</f>
        <v>2255</v>
      </c>
      <c r="BH72" s="503">
        <f>IF($BF72="","",INDEX(安値!$E72:$CZ72,1,$BF72+1))</f>
        <v>2169</v>
      </c>
      <c r="BI72" s="503">
        <f>IF($BF72="","",MAX(INDEX(高値!$E72:$CZ72,1,$BE72+1):INDEX(高値!$E72:$CZ72,1,$BF72+1)))</f>
        <v>2362</v>
      </c>
      <c r="BJ72" s="503">
        <f>IF($BF72="","",AVERAGE(INDEX(終値!$E72:$CZ72,1,$BF72+1):INDEX(終値!$E72:$CZ72,1,$BF72+20))-2*STDEVP(INDEX(終値!$E72:$CZ72,1,$BF72+1):INDEX(終値!$E72:$CZ72,1,$BF72+20)))</f>
        <v>2082.4278122855521</v>
      </c>
      <c r="BK72" s="503">
        <f>IF($BE72="","",AVERAGE(INDEX(終値!$E72:$CZ72,1,$BE72+1):INDEX(終値!$E72:$CZ72,1,$BE72+20))-2*STDEVP(INDEX(終値!$E72:$CZ72,1,$BE72+1):INDEX(終値!$E72:$CZ72,1,$BE72+20)))</f>
        <v>2204.4470047804325</v>
      </c>
      <c r="BL72" s="503">
        <f t="shared" si="9"/>
        <v>1</v>
      </c>
      <c r="BM72" s="503" t="str">
        <f t="shared" si="10"/>
        <v/>
      </c>
      <c r="BN72" s="503" t="str">
        <f t="shared" si="11"/>
        <v/>
      </c>
      <c r="BO72" s="503" t="str">
        <f>IF($BM72="","",INDEX(高値!$E72:$CZ72,1,$BM72+1))</f>
        <v/>
      </c>
      <c r="BP72" s="503" t="str">
        <f>IF($BN72="","",INDEX(高値!$E72:$CZ72,1,$BN72+1))</f>
        <v/>
      </c>
      <c r="BQ72" s="503" t="str">
        <f>IF($BN72="","",MIN(INDEX(安値!$E72:$CZ72,1,$BM72+1):INDEX(安値!$E72:$CZ72,1,$BN72+1)))</f>
        <v/>
      </c>
      <c r="BR72" s="503" t="str">
        <f>IF($BN72="","",AVERAGE(INDEX(終値!$E72:$CZ72,1,$BN72+1):INDEX(終値!$E72:$CZ72,1,$BN72+20))+2*STDEVP(INDEX(終値!$E72:$CZ72,1,$BN72+1):INDEX(終値!$E72:$CZ72,1,$BN72+20)))</f>
        <v/>
      </c>
      <c r="BS72" s="503" t="str">
        <f>IF($BM72="","",AVERAGE(INDEX(終値!$E72:$CZ72,1,$BM72+1):INDEX(終値!$E72:$CZ72,1,$BM72+20))+2*STDEVP(INDEX(終値!$E72:$CZ72,1,$BM72+1):INDEX(終値!$E72:$CZ72,1,$BM72+20)))</f>
        <v/>
      </c>
      <c r="BT72" s="500"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二番底W形成</v>
      </c>
    </row>
    <row r="73" spans="2:72">
      <c r="B73" s="503" t="str">
        <f>IF(終値!A73="","",IF(AND(安値!G73&lt;安値!F73,安値!G73&lt;安値!E73,安値!G73&lt;安値!H73,安値!G73&lt;安値!I73),2,""))</f>
        <v/>
      </c>
      <c r="C73" s="503" t="str">
        <f>IF(終値!A73="","",IF(AND(安値!H73&lt;安値!G73,安値!H73&lt;安値!F73,安値!H73&lt;安値!I73,安値!H73&lt;安値!J73),3,""))</f>
        <v/>
      </c>
      <c r="D73" s="503" t="str">
        <f>IF(終値!A73="","",IF(AND(安値!I73&lt;安値!H73,安値!I73&lt;安値!G73,安値!I73&lt;安値!J73,安値!I73&lt;安値!K73),4,""))</f>
        <v/>
      </c>
      <c r="E73" s="503" t="str">
        <f>IF(終値!A73="","",IF(AND(安値!J73&lt;安値!I73,安値!J73&lt;安値!H73,安値!J73&lt;安値!K73,安値!J73&lt;安値!L73),5,""))</f>
        <v/>
      </c>
      <c r="F73" s="503">
        <f>IF(終値!A73="","",IF(AND(安値!K73&lt;安値!J73,安値!K73&lt;安値!I73,安値!K73&lt;安値!L73,安値!K73&lt;安値!M73),6,""))</f>
        <v>6</v>
      </c>
      <c r="G73" s="503" t="str">
        <f>IF(終値!A73="","",IF(AND(安値!L73&lt;安値!K73,安値!L73&lt;安値!J73,安値!L73&lt;安値!M73,安値!L73&lt;安値!N73),7,""))</f>
        <v/>
      </c>
      <c r="H73" s="503" t="str">
        <f>IF(終値!A73="","",IF(AND(安値!M73&lt;安値!L73,安値!M73&lt;安値!K73,安値!M73&lt;安値!N73,安値!M73&lt;安値!O73),8,""))</f>
        <v/>
      </c>
      <c r="I73" s="503" t="str">
        <f>IF(終値!A73="","",IF(AND(安値!N73&lt;安値!M73,安値!N73&lt;安値!L73,安値!N73&lt;安値!O73,安値!N73&lt;安値!P73),9,""))</f>
        <v/>
      </c>
      <c r="J73" s="503" t="str">
        <f>IF(終値!A73="","",IF(AND(安値!O73&lt;安値!N73,安値!O73&lt;安値!M73,安値!O73&lt;安値!P73,安値!O73&lt;安値!Q73),10,""))</f>
        <v/>
      </c>
      <c r="K73" s="503" t="str">
        <f>IF(終値!A73="","",IF(AND(安値!P73&lt;安値!O73,安値!P73&lt;安値!N73,安値!P73&lt;安値!Q73,安値!P73&lt;安値!R73),11,""))</f>
        <v/>
      </c>
      <c r="L73" s="503" t="str">
        <f>IF(終値!A73="","",IF(AND(安値!Q73&lt;安値!P73,安値!Q73&lt;安値!O73,安値!Q73&lt;安値!R73,安値!Q73&lt;安値!S73),12,""))</f>
        <v/>
      </c>
      <c r="M73" s="503" t="str">
        <f>IF(終値!A73="","",IF(AND(安値!R73&lt;安値!Q73,安値!R73&lt;安値!P73,安値!R73&lt;安値!S73,安値!R73&lt;安値!T73),13,""))</f>
        <v/>
      </c>
      <c r="N73" s="503" t="str">
        <f>IF(終値!A73="","",IF(AND(安値!S73&lt;安値!R73,安値!S73&lt;安値!Q73,安値!S73&lt;安値!T73,安値!S73&lt;安値!U73),14,""))</f>
        <v/>
      </c>
      <c r="O73" s="503" t="str">
        <f>IF(終値!A73="","",IF(AND(安値!T73&lt;安値!S73,安値!T73&lt;安値!R73,安値!T73&lt;安値!U73,安値!T73&lt;安値!V73),15,""))</f>
        <v/>
      </c>
      <c r="P73" s="503" t="str">
        <f>IF(終値!A73="","",IF(AND(安値!U73&lt;安値!T73,安値!U73&lt;安値!S73,安値!U73&lt;安値!V73,安値!U73&lt;安値!W73),16,""))</f>
        <v/>
      </c>
      <c r="Q73" s="503" t="str">
        <f>IF(終値!A73="","",IF(AND(安値!V73&lt;安値!U73,安値!V73&lt;安値!T73,安値!V73&lt;安値!W73,安値!V73&lt;安値!X73),17,""))</f>
        <v/>
      </c>
      <c r="R73" s="503" t="str">
        <f>IF(終値!A73="","",IF(AND(安値!W73&lt;安値!V73,安値!W73&lt;安値!U73,安値!W73&lt;安値!X73,安値!W73&lt;安値!Y73),18,""))</f>
        <v/>
      </c>
      <c r="S73" s="503" t="str">
        <f>IF(終値!A73="","",IF(AND(安値!X73&lt;安値!W73,安値!X73&lt;安値!V73,安値!X73&lt;安値!Y73,安値!X73&lt;安値!Z73),19,""))</f>
        <v/>
      </c>
      <c r="T73" s="503" t="str">
        <f>IF(終値!A73="","",IF(AND(安値!Y73&lt;安値!X73,安値!Y73&lt;安値!W73,安値!Y73&lt;安値!Z73,安値!Y73&lt;安値!AA73),20,""))</f>
        <v/>
      </c>
      <c r="U73" s="503" t="str">
        <f>IF(終値!A73="","",IF(AND(安値!Z73&lt;安値!Y73,安値!Z73&lt;安値!X73,安値!Z73&lt;安値!AA73,安値!Z73&lt;安値!AB73),21,""))</f>
        <v/>
      </c>
      <c r="V73" s="503" t="str">
        <f>IF(終値!A73="","",IF(AND(安値!AA73&lt;安値!Z73,安値!AA73&lt;安値!Y73,安値!AA73&lt;安値!AB73,安値!AA73&lt;安値!AC73),22,""))</f>
        <v/>
      </c>
      <c r="W73" s="503" t="str">
        <f>IF(終値!A73="","",IF(AND(安値!AB73&lt;安値!AA73,安値!AB73&lt;安値!Z73,安値!AB73&lt;安値!AC73,安値!AB73&lt;安値!AD73),23,""))</f>
        <v/>
      </c>
      <c r="X73" s="503" t="str">
        <f>IF(終値!A73="","",IF(AND(安値!AC73&lt;安値!AB73,安値!AC73&lt;安値!AA73,安値!AC73&lt;安値!AD73,安値!AC73&lt;安値!AE73),24,""))</f>
        <v/>
      </c>
      <c r="Y73" s="503" t="str">
        <f>IF(終値!A73="","",IF(AND(安値!AD73&lt;安値!AC73,安値!AD73&lt;安値!AB73,安値!AD73&lt;安値!AE73,安値!AD73&lt;安値!AF73),25,""))</f>
        <v/>
      </c>
      <c r="Z73" s="503" t="str">
        <f>IF(終値!A73="","",IF(AND(安値!AE73&lt;安値!AD73,安値!AE73&lt;安値!AC73,安値!AE73&lt;安値!AF73,安値!AE73&lt;安値!AG73),26,""))</f>
        <v/>
      </c>
      <c r="AA73" s="503">
        <f>IF(終値!A73="","",IF(AND(安値!AF73&lt;安値!AE73,安値!AF73&lt;安値!AD73,安値!AF73&lt;安値!AG73,安値!AF73&lt;安値!AH73),27,""))</f>
        <v>27</v>
      </c>
      <c r="AB73" s="503" t="str">
        <f>IF(終値!A73="","",IF(AND(安値!AG73&lt;安値!AF73,安値!AG73&lt;安値!AE73,安値!AG73&lt;安値!AH73,安値!AG73&lt;安値!AI73),28,""))</f>
        <v/>
      </c>
      <c r="AC73" s="503" t="str">
        <f>IF(終値!A73="","",IF(AND(高値!G73&gt;高値!F73,高値!G73&gt;高値!E73,高値!G73&gt;高値!H73,高値!G73&gt;高値!I73),2,""))</f>
        <v/>
      </c>
      <c r="AD73" s="503" t="str">
        <f>IF(終値!A73="","",IF(AND(高値!H73&gt;高値!G73,高値!H73&gt;高値!F73,高値!H73&gt;高値!I73,高値!H73&gt;高値!J73),3,""))</f>
        <v/>
      </c>
      <c r="AE73" s="503" t="str">
        <f>IF(終値!A73="","",IF(AND(高値!I73&gt;高値!H73,高値!I73&gt;高値!G73,高値!I73&gt;高値!J73,高値!I73&gt;高値!K73),4,""))</f>
        <v/>
      </c>
      <c r="AF73" s="503" t="str">
        <f>IF(終値!A73="","",IF(AND(高値!J73&gt;高値!I73,高値!J73&gt;高値!H73,高値!J73&gt;高値!K73,高値!J73&gt;高値!L73),5,""))</f>
        <v/>
      </c>
      <c r="AG73" s="503" t="str">
        <f>IF(終値!A73="","",IF(AND(高値!K73&gt;高値!J73,高値!K73&gt;高値!I73,高値!K73&gt;高値!L73,高値!K73&gt;高値!M73),6,""))</f>
        <v/>
      </c>
      <c r="AH73" s="503" t="str">
        <f>IF(終値!A73="","",IF(AND(高値!L73&gt;高値!K73,高値!L73&gt;高値!J73,高値!L73&gt;高値!M73,高値!L73&gt;高値!N73),7,""))</f>
        <v/>
      </c>
      <c r="AI73" s="503" t="str">
        <f>IF(終値!A73="","",IF(AND(高値!M73&gt;高値!L73,高値!M73&gt;高値!K73,高値!M73&gt;高値!N73,高値!M73&gt;高値!O73),8,""))</f>
        <v/>
      </c>
      <c r="AJ73" s="503" t="str">
        <f>IF(終値!A73="","",IF(AND(高値!N73&gt;高値!M73,高値!N73&gt;高値!L73,高値!N73&gt;高値!O73,高値!N73&gt;高値!P73),9,""))</f>
        <v/>
      </c>
      <c r="AK73" s="503" t="str">
        <f>IF(終値!A73="","",IF(AND(高値!O73&gt;高値!N73,高値!O73&gt;高値!M73,高値!O73&gt;高値!P73,高値!O73&gt;高値!Q73),10,""))</f>
        <v/>
      </c>
      <c r="AL73" s="503" t="str">
        <f>IF(終値!A73="","",IF(AND(高値!P73&gt;高値!O73,高値!P73&gt;高値!N73,高値!P73&gt;高値!Q73,高値!P73&gt;高値!R73),11,""))</f>
        <v/>
      </c>
      <c r="AM73" s="503">
        <f>IF(終値!A73="","",IF(AND(高値!Q73&gt;高値!P73,高値!Q73&gt;高値!O73,高値!Q73&gt;高値!R73,高値!Q73&gt;高値!S73),12,""))</f>
        <v>12</v>
      </c>
      <c r="AN73" s="503" t="str">
        <f>IF(終値!A73="","",IF(AND(高値!R73&gt;高値!Q73,高値!R73&gt;高値!P73,高値!R73&gt;高値!S73,高値!R73&gt;高値!T73),13,""))</f>
        <v/>
      </c>
      <c r="AO73" s="503" t="str">
        <f>IF(終値!A73="","",IF(AND(高値!S73&gt;高値!R73,高値!S73&gt;高値!Q73,高値!S73&gt;高値!T73,高値!S73&gt;高値!U73),14,""))</f>
        <v/>
      </c>
      <c r="AP73" s="503" t="str">
        <f>IF(終値!A73="","",IF(AND(高値!T73&gt;高値!S73,高値!T73&gt;高値!R73,高値!T73&gt;高値!U73,高値!T73&gt;高値!V73),15,""))</f>
        <v/>
      </c>
      <c r="AQ73" s="503" t="str">
        <f>IF(終値!A73="","",IF(AND(高値!U73&gt;高値!T73,高値!U73&gt;高値!S73,高値!U73&gt;高値!V73,高値!U73&gt;高値!W73),16,""))</f>
        <v/>
      </c>
      <c r="AR73" s="503" t="str">
        <f>IF(終値!A73="","",IF(AND(高値!V73&gt;高値!U73,高値!V73&gt;高値!T73,高値!V73&gt;高値!W73,高値!V73&gt;高値!X73),17,""))</f>
        <v/>
      </c>
      <c r="AS73" s="503" t="str">
        <f>IF(終値!A73="","",IF(AND(高値!W73&gt;高値!V73,高値!W73&gt;高値!U73,高値!W73&gt;高値!X73,高値!W73&gt;高値!Y73),18,""))</f>
        <v/>
      </c>
      <c r="AT73" s="503" t="str">
        <f>IF(終値!A73="","",IF(AND(高値!X73&gt;高値!W73,高値!X73&gt;高値!V73,高値!X73&gt;高値!Y73,高値!X73&gt;高値!Z73),19,""))</f>
        <v/>
      </c>
      <c r="AU73" s="503" t="str">
        <f>IF(終値!A73="","",IF(AND(高値!Y73&gt;高値!X73,高値!Y73&gt;高値!W73,高値!Y73&gt;高値!Z73,高値!Y73&gt;高値!AA73),20,""))</f>
        <v/>
      </c>
      <c r="AV73" s="503" t="str">
        <f>IF(終値!A73="","",IF(AND(高値!Z73&gt;高値!Y73,高値!Z73&gt;高値!X73,高値!Z73&gt;高値!AA73,高値!Z73&gt;高値!AB73),21,""))</f>
        <v/>
      </c>
      <c r="AW73" s="503">
        <f>IF(終値!A73="","",IF(AND(高値!AA73&gt;高値!Z73,高値!AA73&gt;高値!Y73,高値!AA73&gt;高値!AB73,高値!AA73&gt;高値!AC73),22,""))</f>
        <v>22</v>
      </c>
      <c r="AX73" s="503" t="str">
        <f>IF(終値!A73="","",IF(AND(高値!AB73&gt;高値!AA73,高値!AB73&gt;高値!Z73,高値!AB73&gt;高値!AC73,高値!AB73&gt;高値!AD73),23,""))</f>
        <v/>
      </c>
      <c r="AY73" s="503" t="str">
        <f>IF(終値!A73="","",IF(AND(高値!AC73&gt;高値!AB73,高値!AC73&gt;高値!AA73,高値!AC73&gt;高値!AD73,高値!AC73&gt;高値!AE73),24,""))</f>
        <v/>
      </c>
      <c r="AZ73" s="503" t="str">
        <f>IF(終値!A73="","",IF(AND(高値!AD73&gt;高値!AC73,高値!AD73&gt;高値!AB73,高値!AD73&gt;高値!AE73,高値!AD73&gt;高値!AF73),25,""))</f>
        <v/>
      </c>
      <c r="BA73" s="503" t="str">
        <f>IF(終値!A73="","",IF(AND(高値!AE73&gt;高値!AD73,高値!AE73&gt;高値!AC73,高値!AE73&gt;高値!AF73,高値!AE73&gt;高値!AG73),26,""))</f>
        <v/>
      </c>
      <c r="BB73" s="503" t="str">
        <f>IF(終値!A73="","",IF(AND(高値!AF73&gt;高値!AE73,高値!AF73&gt;高値!AD73,高値!AF73&gt;高値!AG73,高値!AF73&gt;高値!AH73),27,""))</f>
        <v/>
      </c>
      <c r="BC73" s="503" t="str">
        <f>IF(終値!A73="","",IF(AND(高値!AG73&gt;高値!AF73,高値!AG73&gt;高値!AE73,高値!AG73&gt;高値!AH73,高値!AG73&gt;高値!AI73),28,""))</f>
        <v/>
      </c>
      <c r="BD73" s="503">
        <f t="shared" si="6"/>
        <v>2</v>
      </c>
      <c r="BE73" s="503">
        <f t="shared" si="7"/>
        <v>6</v>
      </c>
      <c r="BF73" s="503">
        <f t="shared" si="8"/>
        <v>27</v>
      </c>
      <c r="BG73" s="503">
        <f>IF($BE73="","",INDEX(安値!$E73:$CZ73,1,$BE73+1))</f>
        <v>7110</v>
      </c>
      <c r="BH73" s="503">
        <f>IF($BF73="","",INDEX(安値!$E73:$CZ73,1,$BF73+1))</f>
        <v>7190</v>
      </c>
      <c r="BI73" s="503">
        <f>IF($BF73="","",MAX(INDEX(高値!$E73:$CZ73,1,$BE73+1):INDEX(高値!$E73:$CZ73,1,$BF73+1)))</f>
        <v>8380</v>
      </c>
      <c r="BJ73" s="503">
        <f>IF($BF73="","",AVERAGE(INDEX(終値!$E73:$CZ73,1,$BF73+1):INDEX(終値!$E73:$CZ73,1,$BF73+20))-2*STDEVP(INDEX(終値!$E73:$CZ73,1,$BF73+1):INDEX(終値!$E73:$CZ73,1,$BF73+20)))</f>
        <v>6651.9528442925584</v>
      </c>
      <c r="BK73" s="503">
        <f>IF($BE73="","",AVERAGE(INDEX(終値!$E73:$CZ73,1,$BE73+1):INDEX(終値!$E73:$CZ73,1,$BE73+20))-2*STDEVP(INDEX(終値!$E73:$CZ73,1,$BE73+1):INDEX(終値!$E73:$CZ73,1,$BE73+20)))</f>
        <v>7128.3233978155176</v>
      </c>
      <c r="BL73" s="503">
        <f t="shared" si="9"/>
        <v>2</v>
      </c>
      <c r="BM73" s="503">
        <f t="shared" si="10"/>
        <v>12</v>
      </c>
      <c r="BN73" s="503">
        <f t="shared" si="11"/>
        <v>22</v>
      </c>
      <c r="BO73" s="503">
        <f>IF($BM73="","",INDEX(高値!$E73:$CZ73,1,$BM73+1))</f>
        <v>8030</v>
      </c>
      <c r="BP73" s="503">
        <f>IF($BN73="","",INDEX(高値!$E73:$CZ73,1,$BN73+1))</f>
        <v>8380</v>
      </c>
      <c r="BQ73" s="503">
        <f>IF($BN73="","",MIN(INDEX(安値!$E73:$CZ73,1,$BM73+1):INDEX(安値!$E73:$CZ73,1,$BN73+1)))</f>
        <v>7230</v>
      </c>
      <c r="BR73" s="503">
        <f>IF($BN73="","",AVERAGE(INDEX(終値!$E73:$CZ73,1,$BN73+1):INDEX(終値!$E73:$CZ73,1,$BN73+20))+2*STDEVP(INDEX(終値!$E73:$CZ73,1,$BN73+1):INDEX(終値!$E73:$CZ73,1,$BN73+20)))</f>
        <v>8022.2234268994853</v>
      </c>
      <c r="BS73" s="503">
        <f>IF($BM73="","",AVERAGE(INDEX(終値!$E73:$CZ73,1,$BM73+1):INDEX(終値!$E73:$CZ73,1,$BM73+20))+2*STDEVP(INDEX(終値!$E73:$CZ73,1,$BM73+1):INDEX(終値!$E73:$CZ73,1,$BM73+20)))</f>
        <v>8224.2250837582651</v>
      </c>
      <c r="BT73" s="500"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二番底W形成</v>
      </c>
    </row>
    <row r="74" spans="2:72">
      <c r="B74" s="503" t="str">
        <f>IF(終値!A74="","",IF(AND(安値!G74&lt;安値!F74,安値!G74&lt;安値!E74,安値!G74&lt;安値!H74,安値!G74&lt;安値!I74),2,""))</f>
        <v/>
      </c>
      <c r="C74" s="503">
        <f>IF(終値!A74="","",IF(AND(安値!H74&lt;安値!G74,安値!H74&lt;安値!F74,安値!H74&lt;安値!I74,安値!H74&lt;安値!J74),3,""))</f>
        <v>3</v>
      </c>
      <c r="D74" s="503" t="str">
        <f>IF(終値!A74="","",IF(AND(安値!I74&lt;安値!H74,安値!I74&lt;安値!G74,安値!I74&lt;安値!J74,安値!I74&lt;安値!K74),4,""))</f>
        <v/>
      </c>
      <c r="E74" s="503" t="str">
        <f>IF(終値!A74="","",IF(AND(安値!J74&lt;安値!I74,安値!J74&lt;安値!H74,安値!J74&lt;安値!K74,安値!J74&lt;安値!L74),5,""))</f>
        <v/>
      </c>
      <c r="F74" s="503" t="str">
        <f>IF(終値!A74="","",IF(AND(安値!K74&lt;安値!J74,安値!K74&lt;安値!I74,安値!K74&lt;安値!L74,安値!K74&lt;安値!M74),6,""))</f>
        <v/>
      </c>
      <c r="G74" s="503" t="str">
        <f>IF(終値!A74="","",IF(AND(安値!L74&lt;安値!K74,安値!L74&lt;安値!J74,安値!L74&lt;安値!M74,安値!L74&lt;安値!N74),7,""))</f>
        <v/>
      </c>
      <c r="H74" s="503" t="str">
        <f>IF(終値!A74="","",IF(AND(安値!M74&lt;安値!L74,安値!M74&lt;安値!K74,安値!M74&lt;安値!N74,安値!M74&lt;安値!O74),8,""))</f>
        <v/>
      </c>
      <c r="I74" s="503">
        <f>IF(終値!A74="","",IF(AND(安値!N74&lt;安値!M74,安値!N74&lt;安値!L74,安値!N74&lt;安値!O74,安値!N74&lt;安値!P74),9,""))</f>
        <v>9</v>
      </c>
      <c r="J74" s="503" t="str">
        <f>IF(終値!A74="","",IF(AND(安値!O74&lt;安値!N74,安値!O74&lt;安値!M74,安値!O74&lt;安値!P74,安値!O74&lt;安値!Q74),10,""))</f>
        <v/>
      </c>
      <c r="K74" s="503" t="str">
        <f>IF(終値!A74="","",IF(AND(安値!P74&lt;安値!O74,安値!P74&lt;安値!N74,安値!P74&lt;安値!Q74,安値!P74&lt;安値!R74),11,""))</f>
        <v/>
      </c>
      <c r="L74" s="503" t="str">
        <f>IF(終値!A74="","",IF(AND(安値!Q74&lt;安値!P74,安値!Q74&lt;安値!O74,安値!Q74&lt;安値!R74,安値!Q74&lt;安値!S74),12,""))</f>
        <v/>
      </c>
      <c r="M74" s="503" t="str">
        <f>IF(終値!A74="","",IF(AND(安値!R74&lt;安値!Q74,安値!R74&lt;安値!P74,安値!R74&lt;安値!S74,安値!R74&lt;安値!T74),13,""))</f>
        <v/>
      </c>
      <c r="N74" s="503" t="str">
        <f>IF(終値!A74="","",IF(AND(安値!S74&lt;安値!R74,安値!S74&lt;安値!Q74,安値!S74&lt;安値!T74,安値!S74&lt;安値!U74),14,""))</f>
        <v/>
      </c>
      <c r="O74" s="503" t="str">
        <f>IF(終値!A74="","",IF(AND(安値!T74&lt;安値!S74,安値!T74&lt;安値!R74,安値!T74&lt;安値!U74,安値!T74&lt;安値!V74),15,""))</f>
        <v/>
      </c>
      <c r="P74" s="503">
        <f>IF(終値!A74="","",IF(AND(安値!U74&lt;安値!T74,安値!U74&lt;安値!S74,安値!U74&lt;安値!V74,安値!U74&lt;安値!W74),16,""))</f>
        <v>16</v>
      </c>
      <c r="Q74" s="503" t="str">
        <f>IF(終値!A74="","",IF(AND(安値!V74&lt;安値!U74,安値!V74&lt;安値!T74,安値!V74&lt;安値!W74,安値!V74&lt;安値!X74),17,""))</f>
        <v/>
      </c>
      <c r="R74" s="503" t="str">
        <f>IF(終値!A74="","",IF(AND(安値!W74&lt;安値!V74,安値!W74&lt;安値!U74,安値!W74&lt;安値!X74,安値!W74&lt;安値!Y74),18,""))</f>
        <v/>
      </c>
      <c r="S74" s="503" t="str">
        <f>IF(終値!A74="","",IF(AND(安値!X74&lt;安値!W74,安値!X74&lt;安値!V74,安値!X74&lt;安値!Y74,安値!X74&lt;安値!Z74),19,""))</f>
        <v/>
      </c>
      <c r="T74" s="503" t="str">
        <f>IF(終値!A74="","",IF(AND(安値!Y74&lt;安値!X74,安値!Y74&lt;安値!W74,安値!Y74&lt;安値!Z74,安値!Y74&lt;安値!AA74),20,""))</f>
        <v/>
      </c>
      <c r="U74" s="503" t="str">
        <f>IF(終値!A74="","",IF(AND(安値!Z74&lt;安値!Y74,安値!Z74&lt;安値!X74,安値!Z74&lt;安値!AA74,安値!Z74&lt;安値!AB74),21,""))</f>
        <v/>
      </c>
      <c r="V74" s="503" t="str">
        <f>IF(終値!A74="","",IF(AND(安値!AA74&lt;安値!Z74,安値!AA74&lt;安値!Y74,安値!AA74&lt;安値!AB74,安値!AA74&lt;安値!AC74),22,""))</f>
        <v/>
      </c>
      <c r="W74" s="503" t="str">
        <f>IF(終値!A74="","",IF(AND(安値!AB74&lt;安値!AA74,安値!AB74&lt;安値!Z74,安値!AB74&lt;安値!AC74,安値!AB74&lt;安値!AD74),23,""))</f>
        <v/>
      </c>
      <c r="X74" s="503">
        <f>IF(終値!A74="","",IF(AND(安値!AC74&lt;安値!AB74,安値!AC74&lt;安値!AA74,安値!AC74&lt;安値!AD74,安値!AC74&lt;安値!AE74),24,""))</f>
        <v>24</v>
      </c>
      <c r="Y74" s="503" t="str">
        <f>IF(終値!A74="","",IF(AND(安値!AD74&lt;安値!AC74,安値!AD74&lt;安値!AB74,安値!AD74&lt;安値!AE74,安値!AD74&lt;安値!AF74),25,""))</f>
        <v/>
      </c>
      <c r="Z74" s="503" t="str">
        <f>IF(終値!A74="","",IF(AND(安値!AE74&lt;安値!AD74,安値!AE74&lt;安値!AC74,安値!AE74&lt;安値!AF74,安値!AE74&lt;安値!AG74),26,""))</f>
        <v/>
      </c>
      <c r="AA74" s="503" t="str">
        <f>IF(終値!A74="","",IF(AND(安値!AF74&lt;安値!AE74,安値!AF74&lt;安値!AD74,安値!AF74&lt;安値!AG74,安値!AF74&lt;安値!AH74),27,""))</f>
        <v/>
      </c>
      <c r="AB74" s="503" t="str">
        <f>IF(終値!A74="","",IF(AND(安値!AG74&lt;安値!AF74,安値!AG74&lt;安値!AE74,安値!AG74&lt;安値!AH74,安値!AG74&lt;安値!AI74),28,""))</f>
        <v/>
      </c>
      <c r="AC74" s="503" t="str">
        <f>IF(終値!A74="","",IF(AND(高値!G74&gt;高値!F74,高値!G74&gt;高値!E74,高値!G74&gt;高値!H74,高値!G74&gt;高値!I74),2,""))</f>
        <v/>
      </c>
      <c r="AD74" s="503" t="str">
        <f>IF(終値!A74="","",IF(AND(高値!H74&gt;高値!G74,高値!H74&gt;高値!F74,高値!H74&gt;高値!I74,高値!H74&gt;高値!J74),3,""))</f>
        <v/>
      </c>
      <c r="AE74" s="503" t="str">
        <f>IF(終値!A74="","",IF(AND(高値!I74&gt;高値!H74,高値!I74&gt;高値!G74,高値!I74&gt;高値!J74,高値!I74&gt;高値!K74),4,""))</f>
        <v/>
      </c>
      <c r="AF74" s="503">
        <f>IF(終値!A74="","",IF(AND(高値!J74&gt;高値!I74,高値!J74&gt;高値!H74,高値!J74&gt;高値!K74,高値!J74&gt;高値!L74),5,""))</f>
        <v>5</v>
      </c>
      <c r="AG74" s="503" t="str">
        <f>IF(終値!A74="","",IF(AND(高値!K74&gt;高値!J74,高値!K74&gt;高値!I74,高値!K74&gt;高値!L74,高値!K74&gt;高値!M74),6,""))</f>
        <v/>
      </c>
      <c r="AH74" s="503" t="str">
        <f>IF(終値!A74="","",IF(AND(高値!L74&gt;高値!K74,高値!L74&gt;高値!J74,高値!L74&gt;高値!M74,高値!L74&gt;高値!N74),7,""))</f>
        <v/>
      </c>
      <c r="AI74" s="503" t="str">
        <f>IF(終値!A74="","",IF(AND(高値!M74&gt;高値!L74,高値!M74&gt;高値!K74,高値!M74&gt;高値!N74,高値!M74&gt;高値!O74),8,""))</f>
        <v/>
      </c>
      <c r="AJ74" s="503" t="str">
        <f>IF(終値!A74="","",IF(AND(高値!N74&gt;高値!M74,高値!N74&gt;高値!L74,高値!N74&gt;高値!O74,高値!N74&gt;高値!P74),9,""))</f>
        <v/>
      </c>
      <c r="AK74" s="503" t="str">
        <f>IF(終値!A74="","",IF(AND(高値!O74&gt;高値!N74,高値!O74&gt;高値!M74,高値!O74&gt;高値!P74,高値!O74&gt;高値!Q74),10,""))</f>
        <v/>
      </c>
      <c r="AL74" s="503" t="str">
        <f>IF(終値!A74="","",IF(AND(高値!P74&gt;高値!O74,高値!P74&gt;高値!N74,高値!P74&gt;高値!Q74,高値!P74&gt;高値!R74),11,""))</f>
        <v/>
      </c>
      <c r="AM74" s="503">
        <f>IF(終値!A74="","",IF(AND(高値!Q74&gt;高値!P74,高値!Q74&gt;高値!O74,高値!Q74&gt;高値!R74,高値!Q74&gt;高値!S74),12,""))</f>
        <v>12</v>
      </c>
      <c r="AN74" s="503" t="str">
        <f>IF(終値!A74="","",IF(AND(高値!R74&gt;高値!Q74,高値!R74&gt;高値!P74,高値!R74&gt;高値!S74,高値!R74&gt;高値!T74),13,""))</f>
        <v/>
      </c>
      <c r="AO74" s="503" t="str">
        <f>IF(終値!A74="","",IF(AND(高値!S74&gt;高値!R74,高値!S74&gt;高値!Q74,高値!S74&gt;高値!T74,高値!S74&gt;高値!U74),14,""))</f>
        <v/>
      </c>
      <c r="AP74" s="503" t="str">
        <f>IF(終値!A74="","",IF(AND(高値!T74&gt;高値!S74,高値!T74&gt;高値!R74,高値!T74&gt;高値!U74,高値!T74&gt;高値!V74),15,""))</f>
        <v/>
      </c>
      <c r="AQ74" s="503" t="str">
        <f>IF(終値!A74="","",IF(AND(高値!U74&gt;高値!T74,高値!U74&gt;高値!S74,高値!U74&gt;高値!V74,高値!U74&gt;高値!W74),16,""))</f>
        <v/>
      </c>
      <c r="AR74" s="503" t="str">
        <f>IF(終値!A74="","",IF(AND(高値!V74&gt;高値!U74,高値!V74&gt;高値!T74,高値!V74&gt;高値!W74,高値!V74&gt;高値!X74),17,""))</f>
        <v/>
      </c>
      <c r="AS74" s="503" t="str">
        <f>IF(終値!A74="","",IF(AND(高値!W74&gt;高値!V74,高値!W74&gt;高値!U74,高値!W74&gt;高値!X74,高値!W74&gt;高値!Y74),18,""))</f>
        <v/>
      </c>
      <c r="AT74" s="503" t="str">
        <f>IF(終値!A74="","",IF(AND(高値!X74&gt;高値!W74,高値!X74&gt;高値!V74,高値!X74&gt;高値!Y74,高値!X74&gt;高値!Z74),19,""))</f>
        <v/>
      </c>
      <c r="AU74" s="503">
        <f>IF(終値!A74="","",IF(AND(高値!Y74&gt;高値!X74,高値!Y74&gt;高値!W74,高値!Y74&gt;高値!Z74,高値!Y74&gt;高値!AA74),20,""))</f>
        <v>20</v>
      </c>
      <c r="AV74" s="503" t="str">
        <f>IF(終値!A74="","",IF(AND(高値!Z74&gt;高値!Y74,高値!Z74&gt;高値!X74,高値!Z74&gt;高値!AA74,高値!Z74&gt;高値!AB74),21,""))</f>
        <v/>
      </c>
      <c r="AW74" s="503" t="str">
        <f>IF(終値!A74="","",IF(AND(高値!AA74&gt;高値!Z74,高値!AA74&gt;高値!Y74,高値!AA74&gt;高値!AB74,高値!AA74&gt;高値!AC74),22,""))</f>
        <v/>
      </c>
      <c r="AX74" s="503" t="str">
        <f>IF(終値!A74="","",IF(AND(高値!AB74&gt;高値!AA74,高値!AB74&gt;高値!Z74,高値!AB74&gt;高値!AC74,高値!AB74&gt;高値!AD74),23,""))</f>
        <v/>
      </c>
      <c r="AY74" s="503" t="str">
        <f>IF(終値!A74="","",IF(AND(高値!AC74&gt;高値!AB74,高値!AC74&gt;高値!AA74,高値!AC74&gt;高値!AD74,高値!AC74&gt;高値!AE74),24,""))</f>
        <v/>
      </c>
      <c r="AZ74" s="503" t="str">
        <f>IF(終値!A74="","",IF(AND(高値!AD74&gt;高値!AC74,高値!AD74&gt;高値!AB74,高値!AD74&gt;高値!AE74,高値!AD74&gt;高値!AF74),25,""))</f>
        <v/>
      </c>
      <c r="BA74" s="503">
        <f>IF(終値!A74="","",IF(AND(高値!AE74&gt;高値!AD74,高値!AE74&gt;高値!AC74,高値!AE74&gt;高値!AF74,高値!AE74&gt;高値!AG74),26,""))</f>
        <v>26</v>
      </c>
      <c r="BB74" s="503" t="str">
        <f>IF(終値!A74="","",IF(AND(高値!AF74&gt;高値!AE74,高値!AF74&gt;高値!AD74,高値!AF74&gt;高値!AG74,高値!AF74&gt;高値!AH74),27,""))</f>
        <v/>
      </c>
      <c r="BC74" s="503" t="str">
        <f>IF(終値!A74="","",IF(AND(高値!AG74&gt;高値!AF74,高値!AG74&gt;高値!AE74,高値!AG74&gt;高値!AH74,高値!AG74&gt;高値!AI74),28,""))</f>
        <v/>
      </c>
      <c r="BD74" s="503">
        <f t="shared" si="6"/>
        <v>4</v>
      </c>
      <c r="BE74" s="503">
        <f t="shared" si="7"/>
        <v>3</v>
      </c>
      <c r="BF74" s="503">
        <f t="shared" si="8"/>
        <v>9</v>
      </c>
      <c r="BG74" s="503">
        <f>IF($BE74="","",INDEX(安値!$E74:$CZ74,1,$BE74+1))</f>
        <v>3058</v>
      </c>
      <c r="BH74" s="503">
        <f>IF($BF74="","",INDEX(安値!$E74:$CZ74,1,$BF74+1))</f>
        <v>2883</v>
      </c>
      <c r="BI74" s="503">
        <f>IF($BF74="","",MAX(INDEX(高値!$E74:$CZ74,1,$BE74+1):INDEX(高値!$E74:$CZ74,1,$BF74+1)))</f>
        <v>3225</v>
      </c>
      <c r="BJ74" s="503">
        <f>IF($BF74="","",AVERAGE(INDEX(終値!$E74:$CZ74,1,$BF74+1):INDEX(終値!$E74:$CZ74,1,$BF74+20))-2*STDEVP(INDEX(終値!$E74:$CZ74,1,$BF74+1):INDEX(終値!$E74:$CZ74,1,$BF74+20)))</f>
        <v>2906.9766521182282</v>
      </c>
      <c r="BK74" s="503">
        <f>IF($BE74="","",AVERAGE(INDEX(終値!$E74:$CZ74,1,$BE74+1):INDEX(終値!$E74:$CZ74,1,$BE74+20))-2*STDEVP(INDEX(終値!$E74:$CZ74,1,$BE74+1):INDEX(終値!$E74:$CZ74,1,$BE74+20)))</f>
        <v>2935.8675450736264</v>
      </c>
      <c r="BL74" s="503">
        <f t="shared" si="9"/>
        <v>4</v>
      </c>
      <c r="BM74" s="503">
        <f t="shared" si="10"/>
        <v>5</v>
      </c>
      <c r="BN74" s="503">
        <f t="shared" si="11"/>
        <v>12</v>
      </c>
      <c r="BO74" s="503">
        <f>IF($BM74="","",INDEX(高値!$E74:$CZ74,1,$BM74+1))</f>
        <v>3225</v>
      </c>
      <c r="BP74" s="503">
        <f>IF($BN74="","",INDEX(高値!$E74:$CZ74,1,$BN74+1))</f>
        <v>3066</v>
      </c>
      <c r="BQ74" s="503">
        <f>IF($BN74="","",MIN(INDEX(安値!$E74:$CZ74,1,$BM74+1):INDEX(安値!$E74:$CZ74,1,$BN74+1)))</f>
        <v>2883</v>
      </c>
      <c r="BR74" s="503">
        <f>IF($BN74="","",AVERAGE(INDEX(終値!$E74:$CZ74,1,$BN74+1):INDEX(終値!$E74:$CZ74,1,$BN74+20))+2*STDEVP(INDEX(終値!$E74:$CZ74,1,$BN74+1):INDEX(終値!$E74:$CZ74,1,$BN74+20)))</f>
        <v>3177.8720451144177</v>
      </c>
      <c r="BS74" s="503">
        <f>IF($BM74="","",AVERAGE(INDEX(終値!$E74:$CZ74,1,$BM74+1):INDEX(終値!$E74:$CZ74,1,$BM74+20))+2*STDEVP(INDEX(終値!$E74:$CZ74,1,$BM74+1):INDEX(終値!$E74:$CZ74,1,$BM74+20)))</f>
        <v>3221.8334789567616</v>
      </c>
      <c r="BT74" s="500"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3" t="str">
        <f>IF(終値!A75="","",IF(AND(安値!G75&lt;安値!F75,安値!G75&lt;安値!E75,安値!G75&lt;安値!H75,安値!G75&lt;安値!I75),2,""))</f>
        <v/>
      </c>
      <c r="C75" s="503" t="str">
        <f>IF(終値!A75="","",IF(AND(安値!H75&lt;安値!G75,安値!H75&lt;安値!F75,安値!H75&lt;安値!I75,安値!H75&lt;安値!J75),3,""))</f>
        <v/>
      </c>
      <c r="D75" s="503" t="str">
        <f>IF(終値!A75="","",IF(AND(安値!I75&lt;安値!H75,安値!I75&lt;安値!G75,安値!I75&lt;安値!J75,安値!I75&lt;安値!K75),4,""))</f>
        <v/>
      </c>
      <c r="E75" s="503" t="str">
        <f>IF(終値!A75="","",IF(AND(安値!J75&lt;安値!I75,安値!J75&lt;安値!H75,安値!J75&lt;安値!K75,安値!J75&lt;安値!L75),5,""))</f>
        <v/>
      </c>
      <c r="F75" s="503" t="str">
        <f>IF(終値!A75="","",IF(AND(安値!K75&lt;安値!J75,安値!K75&lt;安値!I75,安値!K75&lt;安値!L75,安値!K75&lt;安値!M75),6,""))</f>
        <v/>
      </c>
      <c r="G75" s="503" t="str">
        <f>IF(終値!A75="","",IF(AND(安値!L75&lt;安値!K75,安値!L75&lt;安値!J75,安値!L75&lt;安値!M75,安値!L75&lt;安値!N75),7,""))</f>
        <v/>
      </c>
      <c r="H75" s="503" t="str">
        <f>IF(終値!A75="","",IF(AND(安値!M75&lt;安値!L75,安値!M75&lt;安値!K75,安値!M75&lt;安値!N75,安値!M75&lt;安値!O75),8,""))</f>
        <v/>
      </c>
      <c r="I75" s="503">
        <f>IF(終値!A75="","",IF(AND(安値!N75&lt;安値!M75,安値!N75&lt;安値!L75,安値!N75&lt;安値!O75,安値!N75&lt;安値!P75),9,""))</f>
        <v>9</v>
      </c>
      <c r="J75" s="503" t="str">
        <f>IF(終値!A75="","",IF(AND(安値!O75&lt;安値!N75,安値!O75&lt;安値!M75,安値!O75&lt;安値!P75,安値!O75&lt;安値!Q75),10,""))</f>
        <v/>
      </c>
      <c r="K75" s="503" t="str">
        <f>IF(終値!A75="","",IF(AND(安値!P75&lt;安値!O75,安値!P75&lt;安値!N75,安値!P75&lt;安値!Q75,安値!P75&lt;安値!R75),11,""))</f>
        <v/>
      </c>
      <c r="L75" s="503" t="str">
        <f>IF(終値!A75="","",IF(AND(安値!Q75&lt;安値!P75,安値!Q75&lt;安値!O75,安値!Q75&lt;安値!R75,安値!Q75&lt;安値!S75),12,""))</f>
        <v/>
      </c>
      <c r="M75" s="503" t="str">
        <f>IF(終値!A75="","",IF(AND(安値!R75&lt;安値!Q75,安値!R75&lt;安値!P75,安値!R75&lt;安値!S75,安値!R75&lt;安値!T75),13,""))</f>
        <v/>
      </c>
      <c r="N75" s="503" t="str">
        <f>IF(終値!A75="","",IF(AND(安値!S75&lt;安値!R75,安値!S75&lt;安値!Q75,安値!S75&lt;安値!T75,安値!S75&lt;安値!U75),14,""))</f>
        <v/>
      </c>
      <c r="O75" s="503" t="str">
        <f>IF(終値!A75="","",IF(AND(安値!T75&lt;安値!S75,安値!T75&lt;安値!R75,安値!T75&lt;安値!U75,安値!T75&lt;安値!V75),15,""))</f>
        <v/>
      </c>
      <c r="P75" s="503">
        <f>IF(終値!A75="","",IF(AND(安値!U75&lt;安値!T75,安値!U75&lt;安値!S75,安値!U75&lt;安値!V75,安値!U75&lt;安値!W75),16,""))</f>
        <v>16</v>
      </c>
      <c r="Q75" s="503" t="str">
        <f>IF(終値!A75="","",IF(AND(安値!V75&lt;安値!U75,安値!V75&lt;安値!T75,安値!V75&lt;安値!W75,安値!V75&lt;安値!X75),17,""))</f>
        <v/>
      </c>
      <c r="R75" s="503" t="str">
        <f>IF(終値!A75="","",IF(AND(安値!W75&lt;安値!V75,安値!W75&lt;安値!U75,安値!W75&lt;安値!X75,安値!W75&lt;安値!Y75),18,""))</f>
        <v/>
      </c>
      <c r="S75" s="503" t="str">
        <f>IF(終値!A75="","",IF(AND(安値!X75&lt;安値!W75,安値!X75&lt;安値!V75,安値!X75&lt;安値!Y75,安値!X75&lt;安値!Z75),19,""))</f>
        <v/>
      </c>
      <c r="T75" s="503" t="str">
        <f>IF(終値!A75="","",IF(AND(安値!Y75&lt;安値!X75,安値!Y75&lt;安値!W75,安値!Y75&lt;安値!Z75,安値!Y75&lt;安値!AA75),20,""))</f>
        <v/>
      </c>
      <c r="U75" s="503" t="str">
        <f>IF(終値!A75="","",IF(AND(安値!Z75&lt;安値!Y75,安値!Z75&lt;安値!X75,安値!Z75&lt;安値!AA75,安値!Z75&lt;安値!AB75),21,""))</f>
        <v/>
      </c>
      <c r="V75" s="503">
        <f>IF(終値!A75="","",IF(AND(安値!AA75&lt;安値!Z75,安値!AA75&lt;安値!Y75,安値!AA75&lt;安値!AB75,安値!AA75&lt;安値!AC75),22,""))</f>
        <v>22</v>
      </c>
      <c r="W75" s="503" t="str">
        <f>IF(終値!A75="","",IF(AND(安値!AB75&lt;安値!AA75,安値!AB75&lt;安値!Z75,安値!AB75&lt;安値!AC75,安値!AB75&lt;安値!AD75),23,""))</f>
        <v/>
      </c>
      <c r="X75" s="503" t="str">
        <f>IF(終値!A75="","",IF(AND(安値!AC75&lt;安値!AB75,安値!AC75&lt;安値!AA75,安値!AC75&lt;安値!AD75,安値!AC75&lt;安値!AE75),24,""))</f>
        <v/>
      </c>
      <c r="Y75" s="503">
        <f>IF(終値!A75="","",IF(AND(安値!AD75&lt;安値!AC75,安値!AD75&lt;安値!AB75,安値!AD75&lt;安値!AE75,安値!AD75&lt;安値!AF75),25,""))</f>
        <v>25</v>
      </c>
      <c r="Z75" s="503" t="str">
        <f>IF(終値!A75="","",IF(AND(安値!AE75&lt;安値!AD75,安値!AE75&lt;安値!AC75,安値!AE75&lt;安値!AF75,安値!AE75&lt;安値!AG75),26,""))</f>
        <v/>
      </c>
      <c r="AA75" s="503" t="str">
        <f>IF(終値!A75="","",IF(AND(安値!AF75&lt;安値!AE75,安値!AF75&lt;安値!AD75,安値!AF75&lt;安値!AG75,安値!AF75&lt;安値!AH75),27,""))</f>
        <v/>
      </c>
      <c r="AB75" s="503" t="str">
        <f>IF(終値!A75="","",IF(AND(安値!AG75&lt;安値!AF75,安値!AG75&lt;安値!AE75,安値!AG75&lt;安値!AH75,安値!AG75&lt;安値!AI75),28,""))</f>
        <v/>
      </c>
      <c r="AC75" s="503" t="str">
        <f>IF(終値!A75="","",IF(AND(高値!G75&gt;高値!F75,高値!G75&gt;高値!E75,高値!G75&gt;高値!H75,高値!G75&gt;高値!I75),2,""))</f>
        <v/>
      </c>
      <c r="AD75" s="503" t="str">
        <f>IF(終値!A75="","",IF(AND(高値!H75&gt;高値!G75,高値!H75&gt;高値!F75,高値!H75&gt;高値!I75,高値!H75&gt;高値!J75),3,""))</f>
        <v/>
      </c>
      <c r="AE75" s="503" t="str">
        <f>IF(終値!A75="","",IF(AND(高値!I75&gt;高値!H75,高値!I75&gt;高値!G75,高値!I75&gt;高値!J75,高値!I75&gt;高値!K75),4,""))</f>
        <v/>
      </c>
      <c r="AF75" s="503" t="str">
        <f>IF(終値!A75="","",IF(AND(高値!J75&gt;高値!I75,高値!J75&gt;高値!H75,高値!J75&gt;高値!K75,高値!J75&gt;高値!L75),5,""))</f>
        <v/>
      </c>
      <c r="AG75" s="503">
        <f>IF(終値!A75="","",IF(AND(高値!K75&gt;高値!J75,高値!K75&gt;高値!I75,高値!K75&gt;高値!L75,高値!K75&gt;高値!M75),6,""))</f>
        <v>6</v>
      </c>
      <c r="AH75" s="503" t="str">
        <f>IF(終値!A75="","",IF(AND(高値!L75&gt;高値!K75,高値!L75&gt;高値!J75,高値!L75&gt;高値!M75,高値!L75&gt;高値!N75),7,""))</f>
        <v/>
      </c>
      <c r="AI75" s="503" t="str">
        <f>IF(終値!A75="","",IF(AND(高値!M75&gt;高値!L75,高値!M75&gt;高値!K75,高値!M75&gt;高値!N75,高値!M75&gt;高値!O75),8,""))</f>
        <v/>
      </c>
      <c r="AJ75" s="503" t="str">
        <f>IF(終値!A75="","",IF(AND(高値!N75&gt;高値!M75,高値!N75&gt;高値!L75,高値!N75&gt;高値!O75,高値!N75&gt;高値!P75),9,""))</f>
        <v/>
      </c>
      <c r="AK75" s="503" t="str">
        <f>IF(終値!A75="","",IF(AND(高値!O75&gt;高値!N75,高値!O75&gt;高値!M75,高値!O75&gt;高値!P75,高値!O75&gt;高値!Q75),10,""))</f>
        <v/>
      </c>
      <c r="AL75" s="503" t="str">
        <f>IF(終値!A75="","",IF(AND(高値!P75&gt;高値!O75,高値!P75&gt;高値!N75,高値!P75&gt;高値!Q75,高値!P75&gt;高値!R75),11,""))</f>
        <v/>
      </c>
      <c r="AM75" s="503" t="str">
        <f>IF(終値!A75="","",IF(AND(高値!Q75&gt;高値!P75,高値!Q75&gt;高値!O75,高値!Q75&gt;高値!R75,高値!Q75&gt;高値!S75),12,""))</f>
        <v/>
      </c>
      <c r="AN75" s="503">
        <f>IF(終値!A75="","",IF(AND(高値!R75&gt;高値!Q75,高値!R75&gt;高値!P75,高値!R75&gt;高値!S75,高値!R75&gt;高値!T75),13,""))</f>
        <v>13</v>
      </c>
      <c r="AO75" s="503" t="str">
        <f>IF(終値!A75="","",IF(AND(高値!S75&gt;高値!R75,高値!S75&gt;高値!Q75,高値!S75&gt;高値!T75,高値!S75&gt;高値!U75),14,""))</f>
        <v/>
      </c>
      <c r="AP75" s="503" t="str">
        <f>IF(終値!A75="","",IF(AND(高値!T75&gt;高値!S75,高値!T75&gt;高値!R75,高値!T75&gt;高値!U75,高値!T75&gt;高値!V75),15,""))</f>
        <v/>
      </c>
      <c r="AQ75" s="503" t="str">
        <f>IF(終値!A75="","",IF(AND(高値!U75&gt;高値!T75,高値!U75&gt;高値!S75,高値!U75&gt;高値!V75,高値!U75&gt;高値!W75),16,""))</f>
        <v/>
      </c>
      <c r="AR75" s="503" t="str">
        <f>IF(終値!A75="","",IF(AND(高値!V75&gt;高値!U75,高値!V75&gt;高値!T75,高値!V75&gt;高値!W75,高値!V75&gt;高値!X75),17,""))</f>
        <v/>
      </c>
      <c r="AS75" s="503">
        <f>IF(終値!A75="","",IF(AND(高値!W75&gt;高値!V75,高値!W75&gt;高値!U75,高値!W75&gt;高値!X75,高値!W75&gt;高値!Y75),18,""))</f>
        <v>18</v>
      </c>
      <c r="AT75" s="503" t="str">
        <f>IF(終値!A75="","",IF(AND(高値!X75&gt;高値!W75,高値!X75&gt;高値!V75,高値!X75&gt;高値!Y75,高値!X75&gt;高値!Z75),19,""))</f>
        <v/>
      </c>
      <c r="AU75" s="503" t="str">
        <f>IF(終値!A75="","",IF(AND(高値!Y75&gt;高値!X75,高値!Y75&gt;高値!W75,高値!Y75&gt;高値!Z75,高値!Y75&gt;高値!AA75),20,""))</f>
        <v/>
      </c>
      <c r="AV75" s="503" t="str">
        <f>IF(終値!A75="","",IF(AND(高値!Z75&gt;高値!Y75,高値!Z75&gt;高値!X75,高値!Z75&gt;高値!AA75,高値!Z75&gt;高値!AB75),21,""))</f>
        <v/>
      </c>
      <c r="AW75" s="503">
        <f>IF(終値!A75="","",IF(AND(高値!AA75&gt;高値!Z75,高値!AA75&gt;高値!Y75,高値!AA75&gt;高値!AB75,高値!AA75&gt;高値!AC75),22,""))</f>
        <v>22</v>
      </c>
      <c r="AX75" s="503" t="str">
        <f>IF(終値!A75="","",IF(AND(高値!AB75&gt;高値!AA75,高値!AB75&gt;高値!Z75,高値!AB75&gt;高値!AC75,高値!AB75&gt;高値!AD75),23,""))</f>
        <v/>
      </c>
      <c r="AY75" s="503" t="str">
        <f>IF(終値!A75="","",IF(AND(高値!AC75&gt;高値!AB75,高値!AC75&gt;高値!AA75,高値!AC75&gt;高値!AD75,高値!AC75&gt;高値!AE75),24,""))</f>
        <v/>
      </c>
      <c r="AZ75" s="503" t="str">
        <f>IF(終値!A75="","",IF(AND(高値!AD75&gt;高値!AC75,高値!AD75&gt;高値!AB75,高値!AD75&gt;高値!AE75,高値!AD75&gt;高値!AF75),25,""))</f>
        <v/>
      </c>
      <c r="BA75" s="503" t="str">
        <f>IF(終値!A75="","",IF(AND(高値!AE75&gt;高値!AD75,高値!AE75&gt;高値!AC75,高値!AE75&gt;高値!AF75,高値!AE75&gt;高値!AG75),26,""))</f>
        <v/>
      </c>
      <c r="BB75" s="503">
        <f>IF(終値!A75="","",IF(AND(高値!AF75&gt;高値!AE75,高値!AF75&gt;高値!AD75,高値!AF75&gt;高値!AG75,高値!AF75&gt;高値!AH75),27,""))</f>
        <v>27</v>
      </c>
      <c r="BC75" s="503" t="str">
        <f>IF(終値!A75="","",IF(AND(高値!AG75&gt;高値!AF75,高値!AG75&gt;高値!AE75,高値!AG75&gt;高値!AH75,高値!AG75&gt;高値!AI75),28,""))</f>
        <v/>
      </c>
      <c r="BD75" s="503">
        <f t="shared" si="6"/>
        <v>4</v>
      </c>
      <c r="BE75" s="503">
        <f t="shared" si="7"/>
        <v>9</v>
      </c>
      <c r="BF75" s="503">
        <f t="shared" si="8"/>
        <v>16</v>
      </c>
      <c r="BG75" s="503">
        <f>IF($BE75="","",INDEX(安値!$E75:$CZ75,1,$BE75+1))</f>
        <v>1741</v>
      </c>
      <c r="BH75" s="503">
        <f>IF($BF75="","",INDEX(安値!$E75:$CZ75,1,$BF75+1))</f>
        <v>1755.5</v>
      </c>
      <c r="BI75" s="503">
        <f>IF($BF75="","",MAX(INDEX(高値!$E75:$CZ75,1,$BE75+1):INDEX(高値!$E75:$CZ75,1,$BF75+1)))</f>
        <v>1825</v>
      </c>
      <c r="BJ75" s="503">
        <f>IF($BF75="","",AVERAGE(INDEX(終値!$E75:$CZ75,1,$BF75+1):INDEX(終値!$E75:$CZ75,1,$BF75+20))-2*STDEVP(INDEX(終値!$E75:$CZ75,1,$BF75+1):INDEX(終値!$E75:$CZ75,1,$BF75+20)))</f>
        <v>1612.1821062368658</v>
      </c>
      <c r="BK75" s="503">
        <f>IF($BE75="","",AVERAGE(INDEX(終値!$E75:$CZ75,1,$BE75+1):INDEX(終値!$E75:$CZ75,1,$BE75+20))-2*STDEVP(INDEX(終値!$E75:$CZ75,1,$BE75+1):INDEX(終値!$E75:$CZ75,1,$BE75+20)))</f>
        <v>1674.6755653811913</v>
      </c>
      <c r="BL75" s="503">
        <f t="shared" si="9"/>
        <v>5</v>
      </c>
      <c r="BM75" s="503">
        <f t="shared" si="10"/>
        <v>6</v>
      </c>
      <c r="BN75" s="503">
        <f t="shared" si="11"/>
        <v>13</v>
      </c>
      <c r="BO75" s="503">
        <f>IF($BM75="","",INDEX(高値!$E75:$CZ75,1,$BM75+1))</f>
        <v>1862.5</v>
      </c>
      <c r="BP75" s="503">
        <f>IF($BN75="","",INDEX(高値!$E75:$CZ75,1,$BN75+1))</f>
        <v>1825</v>
      </c>
      <c r="BQ75" s="503">
        <f>IF($BN75="","",MIN(INDEX(安値!$E75:$CZ75,1,$BM75+1):INDEX(安値!$E75:$CZ75,1,$BN75+1)))</f>
        <v>1741</v>
      </c>
      <c r="BR75" s="503">
        <f>IF($BN75="","",AVERAGE(INDEX(終値!$E75:$CZ75,1,$BN75+1):INDEX(終値!$E75:$CZ75,1,$BN75+20))+2*STDEVP(INDEX(終値!$E75:$CZ75,1,$BN75+1):INDEX(終値!$E75:$CZ75,1,$BN75+20)))</f>
        <v>1820.0679062463605</v>
      </c>
      <c r="BS75" s="503">
        <f>IF($BM75="","",AVERAGE(INDEX(終値!$E75:$CZ75,1,$BM75+1):INDEX(終値!$E75:$CZ75,1,$BM75+20))+2*STDEVP(INDEX(終値!$E75:$CZ75,1,$BM75+1):INDEX(終値!$E75:$CZ75,1,$BM75+20)))</f>
        <v>1848.1028057567696</v>
      </c>
      <c r="BT75" s="500"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二番底W形成</v>
      </c>
    </row>
    <row r="76" spans="2:72">
      <c r="B76" s="503" t="str">
        <f>IF(終値!A76="","",IF(AND(安値!G76&lt;安値!F76,安値!G76&lt;安値!E76,安値!G76&lt;安値!H76,安値!G76&lt;安値!I76),2,""))</f>
        <v/>
      </c>
      <c r="C76" s="503" t="str">
        <f>IF(終値!A76="","",IF(AND(安値!H76&lt;安値!G76,安値!H76&lt;安値!F76,安値!H76&lt;安値!I76,安値!H76&lt;安値!J76),3,""))</f>
        <v/>
      </c>
      <c r="D76" s="503" t="str">
        <f>IF(終値!A76="","",IF(AND(安値!I76&lt;安値!H76,安値!I76&lt;安値!G76,安値!I76&lt;安値!J76,安値!I76&lt;安値!K76),4,""))</f>
        <v/>
      </c>
      <c r="E76" s="503">
        <f>IF(終値!A76="","",IF(AND(安値!J76&lt;安値!I76,安値!J76&lt;安値!H76,安値!J76&lt;安値!K76,安値!J76&lt;安値!L76),5,""))</f>
        <v>5</v>
      </c>
      <c r="F76" s="503" t="str">
        <f>IF(終値!A76="","",IF(AND(安値!K76&lt;安値!J76,安値!K76&lt;安値!I76,安値!K76&lt;安値!L76,安値!K76&lt;安値!M76),6,""))</f>
        <v/>
      </c>
      <c r="G76" s="503" t="str">
        <f>IF(終値!A76="","",IF(AND(安値!L76&lt;安値!K76,安値!L76&lt;安値!J76,安値!L76&lt;安値!M76,安値!L76&lt;安値!N76),7,""))</f>
        <v/>
      </c>
      <c r="H76" s="503" t="str">
        <f>IF(終値!A76="","",IF(AND(安値!M76&lt;安値!L76,安値!M76&lt;安値!K76,安値!M76&lt;安値!N76,安値!M76&lt;安値!O76),8,""))</f>
        <v/>
      </c>
      <c r="I76" s="503" t="str">
        <f>IF(終値!A76="","",IF(AND(安値!N76&lt;安値!M76,安値!N76&lt;安値!L76,安値!N76&lt;安値!O76,安値!N76&lt;安値!P76),9,""))</f>
        <v/>
      </c>
      <c r="J76" s="503" t="str">
        <f>IF(終値!A76="","",IF(AND(安値!O76&lt;安値!N76,安値!O76&lt;安値!M76,安値!O76&lt;安値!P76,安値!O76&lt;安値!Q76),10,""))</f>
        <v/>
      </c>
      <c r="K76" s="503" t="str">
        <f>IF(終値!A76="","",IF(AND(安値!P76&lt;安値!O76,安値!P76&lt;安値!N76,安値!P76&lt;安値!Q76,安値!P76&lt;安値!R76),11,""))</f>
        <v/>
      </c>
      <c r="L76" s="503" t="str">
        <f>IF(終値!A76="","",IF(AND(安値!Q76&lt;安値!P76,安値!Q76&lt;安値!O76,安値!Q76&lt;安値!R76,安値!Q76&lt;安値!S76),12,""))</f>
        <v/>
      </c>
      <c r="M76" s="503">
        <f>IF(終値!A76="","",IF(AND(安値!R76&lt;安値!Q76,安値!R76&lt;安値!P76,安値!R76&lt;安値!S76,安値!R76&lt;安値!T76),13,""))</f>
        <v>13</v>
      </c>
      <c r="N76" s="503" t="str">
        <f>IF(終値!A76="","",IF(AND(安値!S76&lt;安値!R76,安値!S76&lt;安値!Q76,安値!S76&lt;安値!T76,安値!S76&lt;安値!U76),14,""))</f>
        <v/>
      </c>
      <c r="O76" s="503" t="str">
        <f>IF(終値!A76="","",IF(AND(安値!T76&lt;安値!S76,安値!T76&lt;安値!R76,安値!T76&lt;安値!U76,安値!T76&lt;安値!V76),15,""))</f>
        <v/>
      </c>
      <c r="P76" s="503" t="str">
        <f>IF(終値!A76="","",IF(AND(安値!U76&lt;安値!T76,安値!U76&lt;安値!S76,安値!U76&lt;安値!V76,安値!U76&lt;安値!W76),16,""))</f>
        <v/>
      </c>
      <c r="Q76" s="503" t="str">
        <f>IF(終値!A76="","",IF(AND(安値!V76&lt;安値!U76,安値!V76&lt;安値!T76,安値!V76&lt;安値!W76,安値!V76&lt;安値!X76),17,""))</f>
        <v/>
      </c>
      <c r="R76" s="503" t="str">
        <f>IF(終値!A76="","",IF(AND(安値!W76&lt;安値!V76,安値!W76&lt;安値!U76,安値!W76&lt;安値!X76,安値!W76&lt;安値!Y76),18,""))</f>
        <v/>
      </c>
      <c r="S76" s="503" t="str">
        <f>IF(終値!A76="","",IF(AND(安値!X76&lt;安値!W76,安値!X76&lt;安値!V76,安値!X76&lt;安値!Y76,安値!X76&lt;安値!Z76),19,""))</f>
        <v/>
      </c>
      <c r="T76" s="503" t="str">
        <f>IF(終値!A76="","",IF(AND(安値!Y76&lt;安値!X76,安値!Y76&lt;安値!W76,安値!Y76&lt;安値!Z76,安値!Y76&lt;安値!AA76),20,""))</f>
        <v/>
      </c>
      <c r="U76" s="503" t="str">
        <f>IF(終値!A76="","",IF(AND(安値!Z76&lt;安値!Y76,安値!Z76&lt;安値!X76,安値!Z76&lt;安値!AA76,安値!Z76&lt;安値!AB76),21,""))</f>
        <v/>
      </c>
      <c r="V76" s="503" t="str">
        <f>IF(終値!A76="","",IF(AND(安値!AA76&lt;安値!Z76,安値!AA76&lt;安値!Y76,安値!AA76&lt;安値!AB76,安値!AA76&lt;安値!AC76),22,""))</f>
        <v/>
      </c>
      <c r="W76" s="503" t="str">
        <f>IF(終値!A76="","",IF(AND(安値!AB76&lt;安値!AA76,安値!AB76&lt;安値!Z76,安値!AB76&lt;安値!AC76,安値!AB76&lt;安値!AD76),23,""))</f>
        <v/>
      </c>
      <c r="X76" s="503" t="str">
        <f>IF(終値!A76="","",IF(AND(安値!AC76&lt;安値!AB76,安値!AC76&lt;安値!AA76,安値!AC76&lt;安値!AD76,安値!AC76&lt;安値!AE76),24,""))</f>
        <v/>
      </c>
      <c r="Y76" s="503" t="str">
        <f>IF(終値!A76="","",IF(AND(安値!AD76&lt;安値!AC76,安値!AD76&lt;安値!AB76,安値!AD76&lt;安値!AE76,安値!AD76&lt;安値!AF76),25,""))</f>
        <v/>
      </c>
      <c r="Z76" s="503" t="str">
        <f>IF(終値!A76="","",IF(AND(安値!AE76&lt;安値!AD76,安値!AE76&lt;安値!AC76,安値!AE76&lt;安値!AF76,安値!AE76&lt;安値!AG76),26,""))</f>
        <v/>
      </c>
      <c r="AA76" s="503" t="str">
        <f>IF(終値!A76="","",IF(AND(安値!AF76&lt;安値!AE76,安値!AF76&lt;安値!AD76,安値!AF76&lt;安値!AG76,安値!AF76&lt;安値!AH76),27,""))</f>
        <v/>
      </c>
      <c r="AB76" s="503" t="str">
        <f>IF(終値!A76="","",IF(AND(安値!AG76&lt;安値!AF76,安値!AG76&lt;安値!AE76,安値!AG76&lt;安値!AH76,安値!AG76&lt;安値!AI76),28,""))</f>
        <v/>
      </c>
      <c r="AC76" s="503" t="str">
        <f>IF(終値!A76="","",IF(AND(高値!G76&gt;高値!F76,高値!G76&gt;高値!E76,高値!G76&gt;高値!H76,高値!G76&gt;高値!I76),2,""))</f>
        <v/>
      </c>
      <c r="AD76" s="503" t="str">
        <f>IF(終値!A76="","",IF(AND(高値!H76&gt;高値!G76,高値!H76&gt;高値!F76,高値!H76&gt;高値!I76,高値!H76&gt;高値!J76),3,""))</f>
        <v/>
      </c>
      <c r="AE76" s="503">
        <f>IF(終値!A76="","",IF(AND(高値!I76&gt;高値!H76,高値!I76&gt;高値!G76,高値!I76&gt;高値!J76,高値!I76&gt;高値!K76),4,""))</f>
        <v>4</v>
      </c>
      <c r="AF76" s="503" t="str">
        <f>IF(終値!A76="","",IF(AND(高値!J76&gt;高値!I76,高値!J76&gt;高値!H76,高値!J76&gt;高値!K76,高値!J76&gt;高値!L76),5,""))</f>
        <v/>
      </c>
      <c r="AG76" s="503" t="str">
        <f>IF(終値!A76="","",IF(AND(高値!K76&gt;高値!J76,高値!K76&gt;高値!I76,高値!K76&gt;高値!L76,高値!K76&gt;高値!M76),6,""))</f>
        <v/>
      </c>
      <c r="AH76" s="503" t="str">
        <f>IF(終値!A76="","",IF(AND(高値!L76&gt;高値!K76,高値!L76&gt;高値!J76,高値!L76&gt;高値!M76,高値!L76&gt;高値!N76),7,""))</f>
        <v/>
      </c>
      <c r="AI76" s="503" t="str">
        <f>IF(終値!A76="","",IF(AND(高値!M76&gt;高値!L76,高値!M76&gt;高値!K76,高値!M76&gt;高値!N76,高値!M76&gt;高値!O76),8,""))</f>
        <v/>
      </c>
      <c r="AJ76" s="503" t="str">
        <f>IF(終値!A76="","",IF(AND(高値!N76&gt;高値!M76,高値!N76&gt;高値!L76,高値!N76&gt;高値!O76,高値!N76&gt;高値!P76),9,""))</f>
        <v/>
      </c>
      <c r="AK76" s="503" t="str">
        <f>IF(終値!A76="","",IF(AND(高値!O76&gt;高値!N76,高値!O76&gt;高値!M76,高値!O76&gt;高値!P76,高値!O76&gt;高値!Q76),10,""))</f>
        <v/>
      </c>
      <c r="AL76" s="503">
        <f>IF(終値!A76="","",IF(AND(高値!P76&gt;高値!O76,高値!P76&gt;高値!N76,高値!P76&gt;高値!Q76,高値!P76&gt;高値!R76),11,""))</f>
        <v>11</v>
      </c>
      <c r="AM76" s="503" t="str">
        <f>IF(終値!A76="","",IF(AND(高値!Q76&gt;高値!P76,高値!Q76&gt;高値!O76,高値!Q76&gt;高値!R76,高値!Q76&gt;高値!S76),12,""))</f>
        <v/>
      </c>
      <c r="AN76" s="503" t="str">
        <f>IF(終値!A76="","",IF(AND(高値!R76&gt;高値!Q76,高値!R76&gt;高値!P76,高値!R76&gt;高値!S76,高値!R76&gt;高値!T76),13,""))</f>
        <v/>
      </c>
      <c r="AO76" s="503" t="str">
        <f>IF(終値!A76="","",IF(AND(高値!S76&gt;高値!R76,高値!S76&gt;高値!Q76,高値!S76&gt;高値!T76,高値!S76&gt;高値!U76),14,""))</f>
        <v/>
      </c>
      <c r="AP76" s="503" t="str">
        <f>IF(終値!A76="","",IF(AND(高値!T76&gt;高値!S76,高値!T76&gt;高値!R76,高値!T76&gt;高値!U76,高値!T76&gt;高値!V76),15,""))</f>
        <v/>
      </c>
      <c r="AQ76" s="503" t="str">
        <f>IF(終値!A76="","",IF(AND(高値!U76&gt;高値!T76,高値!U76&gt;高値!S76,高値!U76&gt;高値!V76,高値!U76&gt;高値!W76),16,""))</f>
        <v/>
      </c>
      <c r="AR76" s="503" t="str">
        <f>IF(終値!A76="","",IF(AND(高値!V76&gt;高値!U76,高値!V76&gt;高値!T76,高値!V76&gt;高値!W76,高値!V76&gt;高値!X76),17,""))</f>
        <v/>
      </c>
      <c r="AS76" s="503" t="str">
        <f>IF(終値!A76="","",IF(AND(高値!W76&gt;高値!V76,高値!W76&gt;高値!U76,高値!W76&gt;高値!X76,高値!W76&gt;高値!Y76),18,""))</f>
        <v/>
      </c>
      <c r="AT76" s="503" t="str">
        <f>IF(終値!A76="","",IF(AND(高値!X76&gt;高値!W76,高値!X76&gt;高値!V76,高値!X76&gt;高値!Y76,高値!X76&gt;高値!Z76),19,""))</f>
        <v/>
      </c>
      <c r="AU76" s="503" t="str">
        <f>IF(終値!A76="","",IF(AND(高値!Y76&gt;高値!X76,高値!Y76&gt;高値!W76,高値!Y76&gt;高値!Z76,高値!Y76&gt;高値!AA76),20,""))</f>
        <v/>
      </c>
      <c r="AV76" s="503">
        <f>IF(終値!A76="","",IF(AND(高値!Z76&gt;高値!Y76,高値!Z76&gt;高値!X76,高値!Z76&gt;高値!AA76,高値!Z76&gt;高値!AB76),21,""))</f>
        <v>21</v>
      </c>
      <c r="AW76" s="503" t="str">
        <f>IF(終値!A76="","",IF(AND(高値!AA76&gt;高値!Z76,高値!AA76&gt;高値!Y76,高値!AA76&gt;高値!AB76,高値!AA76&gt;高値!AC76),22,""))</f>
        <v/>
      </c>
      <c r="AX76" s="503" t="str">
        <f>IF(終値!A76="","",IF(AND(高値!AB76&gt;高値!AA76,高値!AB76&gt;高値!Z76,高値!AB76&gt;高値!AC76,高値!AB76&gt;高値!AD76),23,""))</f>
        <v/>
      </c>
      <c r="AY76" s="503">
        <f>IF(終値!A76="","",IF(AND(高値!AC76&gt;高値!AB76,高値!AC76&gt;高値!AA76,高値!AC76&gt;高値!AD76,高値!AC76&gt;高値!AE76),24,""))</f>
        <v>24</v>
      </c>
      <c r="AZ76" s="503" t="str">
        <f>IF(終値!A76="","",IF(AND(高値!AD76&gt;高値!AC76,高値!AD76&gt;高値!AB76,高値!AD76&gt;高値!AE76,高値!AD76&gt;高値!AF76),25,""))</f>
        <v/>
      </c>
      <c r="BA76" s="503" t="str">
        <f>IF(終値!A76="","",IF(AND(高値!AE76&gt;高値!AD76,高値!AE76&gt;高値!AC76,高値!AE76&gt;高値!AF76,高値!AE76&gt;高値!AG76),26,""))</f>
        <v/>
      </c>
      <c r="BB76" s="503" t="str">
        <f>IF(終値!A76="","",IF(AND(高値!AF76&gt;高値!AE76,高値!AF76&gt;高値!AD76,高値!AF76&gt;高値!AG76,高値!AF76&gt;高値!AH76),27,""))</f>
        <v/>
      </c>
      <c r="BC76" s="503" t="str">
        <f>IF(終値!A76="","",IF(AND(高値!AG76&gt;高値!AF76,高値!AG76&gt;高値!AE76,高値!AG76&gt;高値!AH76,高値!AG76&gt;高値!AI76),28,""))</f>
        <v/>
      </c>
      <c r="BD76" s="503">
        <f t="shared" si="6"/>
        <v>2</v>
      </c>
      <c r="BE76" s="503">
        <f t="shared" si="7"/>
        <v>5</v>
      </c>
      <c r="BF76" s="503">
        <f t="shared" si="8"/>
        <v>13</v>
      </c>
      <c r="BG76" s="503">
        <f>IF($BE76="","",INDEX(安値!$E76:$CZ76,1,$BE76+1))</f>
        <v>4721</v>
      </c>
      <c r="BH76" s="503">
        <f>IF($BF76="","",INDEX(安値!$E76:$CZ76,1,$BF76+1))</f>
        <v>5114</v>
      </c>
      <c r="BI76" s="503">
        <f>IF($BF76="","",MAX(INDEX(高値!$E76:$CZ76,1,$BE76+1):INDEX(高値!$E76:$CZ76,1,$BF76+1)))</f>
        <v>5430</v>
      </c>
      <c r="BJ76" s="503">
        <f>IF($BF76="","",AVERAGE(INDEX(終値!$E76:$CZ76,1,$BF76+1):INDEX(終値!$E76:$CZ76,1,$BF76+20))-2*STDEVP(INDEX(終値!$E76:$CZ76,1,$BF76+1):INDEX(終値!$E76:$CZ76,1,$BF76+20)))</f>
        <v>5305.2610249705485</v>
      </c>
      <c r="BK76" s="503">
        <f>IF($BE76="","",AVERAGE(INDEX(終値!$E76:$CZ76,1,$BE76+1):INDEX(終値!$E76:$CZ76,1,$BE76+20))-2*STDEVP(INDEX(終値!$E76:$CZ76,1,$BE76+1):INDEX(終値!$E76:$CZ76,1,$BE76+20)))</f>
        <v>4621.4314593900472</v>
      </c>
      <c r="BL76" s="503">
        <f t="shared" si="9"/>
        <v>4</v>
      </c>
      <c r="BM76" s="503">
        <f t="shared" si="10"/>
        <v>4</v>
      </c>
      <c r="BN76" s="503">
        <f t="shared" si="11"/>
        <v>11</v>
      </c>
      <c r="BO76" s="503">
        <f>IF($BM76="","",INDEX(高値!$E76:$CZ76,1,$BM76+1))</f>
        <v>5105</v>
      </c>
      <c r="BP76" s="503">
        <f>IF($BN76="","",INDEX(高値!$E76:$CZ76,1,$BN76+1))</f>
        <v>5430</v>
      </c>
      <c r="BQ76" s="503">
        <f>IF($BN76="","",MIN(INDEX(安値!$E76:$CZ76,1,$BM76+1):INDEX(安値!$E76:$CZ76,1,$BN76+1)))</f>
        <v>4721</v>
      </c>
      <c r="BR76" s="503">
        <f>IF($BN76="","",AVERAGE(INDEX(終値!$E76:$CZ76,1,$BN76+1):INDEX(終値!$E76:$CZ76,1,$BN76+20))+2*STDEVP(INDEX(終値!$E76:$CZ76,1,$BN76+1):INDEX(終値!$E76:$CZ76,1,$BN76+20)))</f>
        <v>6263.329151425356</v>
      </c>
      <c r="BS76" s="503">
        <f>IF($BM76="","",AVERAGE(INDEX(終値!$E76:$CZ76,1,$BM76+1):INDEX(終値!$E76:$CZ76,1,$BM76+20))+2*STDEVP(INDEX(終値!$E76:$CZ76,1,$BM76+1):INDEX(終値!$E76:$CZ76,1,$BM76+20)))</f>
        <v>6275.7373871325472</v>
      </c>
      <c r="BT76" s="500"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3" t="str">
        <f>IF(終値!A77="","",IF(AND(安値!G77&lt;安値!F77,安値!G77&lt;安値!E77,安値!G77&lt;安値!H77,安値!G77&lt;安値!I77),2,""))</f>
        <v/>
      </c>
      <c r="C77" s="503" t="str">
        <f>IF(終値!A77="","",IF(AND(安値!H77&lt;安値!G77,安値!H77&lt;安値!F77,安値!H77&lt;安値!I77,安値!H77&lt;安値!J77),3,""))</f>
        <v/>
      </c>
      <c r="D77" s="503" t="str">
        <f>IF(終値!A77="","",IF(AND(安値!I77&lt;安値!H77,安値!I77&lt;安値!G77,安値!I77&lt;安値!J77,安値!I77&lt;安値!K77),4,""))</f>
        <v/>
      </c>
      <c r="E77" s="503" t="str">
        <f>IF(終値!A77="","",IF(AND(安値!J77&lt;安値!I77,安値!J77&lt;安値!H77,安値!J77&lt;安値!K77,安値!J77&lt;安値!L77),5,""))</f>
        <v/>
      </c>
      <c r="F77" s="503" t="str">
        <f>IF(終値!A77="","",IF(AND(安値!K77&lt;安値!J77,安値!K77&lt;安値!I77,安値!K77&lt;安値!L77,安値!K77&lt;安値!M77),6,""))</f>
        <v/>
      </c>
      <c r="G77" s="503" t="str">
        <f>IF(終値!A77="","",IF(AND(安値!L77&lt;安値!K77,安値!L77&lt;安値!J77,安値!L77&lt;安値!M77,安値!L77&lt;安値!N77),7,""))</f>
        <v/>
      </c>
      <c r="H77" s="503" t="str">
        <f>IF(終値!A77="","",IF(AND(安値!M77&lt;安値!L77,安値!M77&lt;安値!K77,安値!M77&lt;安値!N77,安値!M77&lt;安値!O77),8,""))</f>
        <v/>
      </c>
      <c r="I77" s="503">
        <f>IF(終値!A77="","",IF(AND(安値!N77&lt;安値!M77,安値!N77&lt;安値!L77,安値!N77&lt;安値!O77,安値!N77&lt;安値!P77),9,""))</f>
        <v>9</v>
      </c>
      <c r="J77" s="503" t="str">
        <f>IF(終値!A77="","",IF(AND(安値!O77&lt;安値!N77,安値!O77&lt;安値!M77,安値!O77&lt;安値!P77,安値!O77&lt;安値!Q77),10,""))</f>
        <v/>
      </c>
      <c r="K77" s="503" t="str">
        <f>IF(終値!A77="","",IF(AND(安値!P77&lt;安値!O77,安値!P77&lt;安値!N77,安値!P77&lt;安値!Q77,安値!P77&lt;安値!R77),11,""))</f>
        <v/>
      </c>
      <c r="L77" s="503" t="str">
        <f>IF(終値!A77="","",IF(AND(安値!Q77&lt;安値!P77,安値!Q77&lt;安値!O77,安値!Q77&lt;安値!R77,安値!Q77&lt;安値!S77),12,""))</f>
        <v/>
      </c>
      <c r="M77" s="503" t="str">
        <f>IF(終値!A77="","",IF(AND(安値!R77&lt;安値!Q77,安値!R77&lt;安値!P77,安値!R77&lt;安値!S77,安値!R77&lt;安値!T77),13,""))</f>
        <v/>
      </c>
      <c r="N77" s="503" t="str">
        <f>IF(終値!A77="","",IF(AND(安値!S77&lt;安値!R77,安値!S77&lt;安値!Q77,安値!S77&lt;安値!T77,安値!S77&lt;安値!U77),14,""))</f>
        <v/>
      </c>
      <c r="O77" s="503" t="str">
        <f>IF(終値!A77="","",IF(AND(安値!T77&lt;安値!S77,安値!T77&lt;安値!R77,安値!T77&lt;安値!U77,安値!T77&lt;安値!V77),15,""))</f>
        <v/>
      </c>
      <c r="P77" s="503">
        <f>IF(終値!A77="","",IF(AND(安値!U77&lt;安値!T77,安値!U77&lt;安値!S77,安値!U77&lt;安値!V77,安値!U77&lt;安値!W77),16,""))</f>
        <v>16</v>
      </c>
      <c r="Q77" s="503" t="str">
        <f>IF(終値!A77="","",IF(AND(安値!V77&lt;安値!U77,安値!V77&lt;安値!T77,安値!V77&lt;安値!W77,安値!V77&lt;安値!X77),17,""))</f>
        <v/>
      </c>
      <c r="R77" s="503" t="str">
        <f>IF(終値!A77="","",IF(AND(安値!W77&lt;安値!V77,安値!W77&lt;安値!U77,安値!W77&lt;安値!X77,安値!W77&lt;安値!Y77),18,""))</f>
        <v/>
      </c>
      <c r="S77" s="503" t="str">
        <f>IF(終値!A77="","",IF(AND(安値!X77&lt;安値!W77,安値!X77&lt;安値!V77,安値!X77&lt;安値!Y77,安値!X77&lt;安値!Z77),19,""))</f>
        <v/>
      </c>
      <c r="T77" s="503" t="str">
        <f>IF(終値!A77="","",IF(AND(安値!Y77&lt;安値!X77,安値!Y77&lt;安値!W77,安値!Y77&lt;安値!Z77,安値!Y77&lt;安値!AA77),20,""))</f>
        <v/>
      </c>
      <c r="U77" s="503" t="str">
        <f>IF(終値!A77="","",IF(AND(安値!Z77&lt;安値!Y77,安値!Z77&lt;安値!X77,安値!Z77&lt;安値!AA77,安値!Z77&lt;安値!AB77),21,""))</f>
        <v/>
      </c>
      <c r="V77" s="503" t="str">
        <f>IF(終値!A77="","",IF(AND(安値!AA77&lt;安値!Z77,安値!AA77&lt;安値!Y77,安値!AA77&lt;安値!AB77,安値!AA77&lt;安値!AC77),22,""))</f>
        <v/>
      </c>
      <c r="W77" s="503" t="str">
        <f>IF(終値!A77="","",IF(AND(安値!AB77&lt;安値!AA77,安値!AB77&lt;安値!Z77,安値!AB77&lt;安値!AC77,安値!AB77&lt;安値!AD77),23,""))</f>
        <v/>
      </c>
      <c r="X77" s="503" t="str">
        <f>IF(終値!A77="","",IF(AND(安値!AC77&lt;安値!AB77,安値!AC77&lt;安値!AA77,安値!AC77&lt;安値!AD77,安値!AC77&lt;安値!AE77),24,""))</f>
        <v/>
      </c>
      <c r="Y77" s="503" t="str">
        <f>IF(終値!A77="","",IF(AND(安値!AD77&lt;安値!AC77,安値!AD77&lt;安値!AB77,安値!AD77&lt;安値!AE77,安値!AD77&lt;安値!AF77),25,""))</f>
        <v/>
      </c>
      <c r="Z77" s="503" t="str">
        <f>IF(終値!A77="","",IF(AND(安値!AE77&lt;安値!AD77,安値!AE77&lt;安値!AC77,安値!AE77&lt;安値!AF77,安値!AE77&lt;安値!AG77),26,""))</f>
        <v/>
      </c>
      <c r="AA77" s="503" t="str">
        <f>IF(終値!A77="","",IF(AND(安値!AF77&lt;安値!AE77,安値!AF77&lt;安値!AD77,安値!AF77&lt;安値!AG77,安値!AF77&lt;安値!AH77),27,""))</f>
        <v/>
      </c>
      <c r="AB77" s="503" t="str">
        <f>IF(終値!A77="","",IF(AND(安値!AG77&lt;安値!AF77,安値!AG77&lt;安値!AE77,安値!AG77&lt;安値!AH77,安値!AG77&lt;安値!AI77),28,""))</f>
        <v/>
      </c>
      <c r="AC77" s="503" t="str">
        <f>IF(終値!A77="","",IF(AND(高値!G77&gt;高値!F77,高値!G77&gt;高値!E77,高値!G77&gt;高値!H77,高値!G77&gt;高値!I77),2,""))</f>
        <v/>
      </c>
      <c r="AD77" s="503" t="str">
        <f>IF(終値!A77="","",IF(AND(高値!H77&gt;高値!G77,高値!H77&gt;高値!F77,高値!H77&gt;高値!I77,高値!H77&gt;高値!J77),3,""))</f>
        <v/>
      </c>
      <c r="AE77" s="503" t="str">
        <f>IF(終値!A77="","",IF(AND(高値!I77&gt;高値!H77,高値!I77&gt;高値!G77,高値!I77&gt;高値!J77,高値!I77&gt;高値!K77),4,""))</f>
        <v/>
      </c>
      <c r="AF77" s="503" t="str">
        <f>IF(終値!A77="","",IF(AND(高値!J77&gt;高値!I77,高値!J77&gt;高値!H77,高値!J77&gt;高値!K77,高値!J77&gt;高値!L77),5,""))</f>
        <v/>
      </c>
      <c r="AG77" s="503">
        <f>IF(終値!A77="","",IF(AND(高値!K77&gt;高値!J77,高値!K77&gt;高値!I77,高値!K77&gt;高値!L77,高値!K77&gt;高値!M77),6,""))</f>
        <v>6</v>
      </c>
      <c r="AH77" s="503" t="str">
        <f>IF(終値!A77="","",IF(AND(高値!L77&gt;高値!K77,高値!L77&gt;高値!J77,高値!L77&gt;高値!M77,高値!L77&gt;高値!N77),7,""))</f>
        <v/>
      </c>
      <c r="AI77" s="503" t="str">
        <f>IF(終値!A77="","",IF(AND(高値!M77&gt;高値!L77,高値!M77&gt;高値!K77,高値!M77&gt;高値!N77,高値!M77&gt;高値!O77),8,""))</f>
        <v/>
      </c>
      <c r="AJ77" s="503" t="str">
        <f>IF(終値!A77="","",IF(AND(高値!N77&gt;高値!M77,高値!N77&gt;高値!L77,高値!N77&gt;高値!O77,高値!N77&gt;高値!P77),9,""))</f>
        <v/>
      </c>
      <c r="AK77" s="503" t="str">
        <f>IF(終値!A77="","",IF(AND(高値!O77&gt;高値!N77,高値!O77&gt;高値!M77,高値!O77&gt;高値!P77,高値!O77&gt;高値!Q77),10,""))</f>
        <v/>
      </c>
      <c r="AL77" s="503" t="str">
        <f>IF(終値!A77="","",IF(AND(高値!P77&gt;高値!O77,高値!P77&gt;高値!N77,高値!P77&gt;高値!Q77,高値!P77&gt;高値!R77),11,""))</f>
        <v/>
      </c>
      <c r="AM77" s="503">
        <f>IF(終値!A77="","",IF(AND(高値!Q77&gt;高値!P77,高値!Q77&gt;高値!O77,高値!Q77&gt;高値!R77,高値!Q77&gt;高値!S77),12,""))</f>
        <v>12</v>
      </c>
      <c r="AN77" s="503" t="str">
        <f>IF(終値!A77="","",IF(AND(高値!R77&gt;高値!Q77,高値!R77&gt;高値!P77,高値!R77&gt;高値!S77,高値!R77&gt;高値!T77),13,""))</f>
        <v/>
      </c>
      <c r="AO77" s="503" t="str">
        <f>IF(終値!A77="","",IF(AND(高値!S77&gt;高値!R77,高値!S77&gt;高値!Q77,高値!S77&gt;高値!T77,高値!S77&gt;高値!U77),14,""))</f>
        <v/>
      </c>
      <c r="AP77" s="503" t="str">
        <f>IF(終値!A77="","",IF(AND(高値!T77&gt;高値!S77,高値!T77&gt;高値!R77,高値!T77&gt;高値!U77,高値!T77&gt;高値!V77),15,""))</f>
        <v/>
      </c>
      <c r="AQ77" s="503" t="str">
        <f>IF(終値!A77="","",IF(AND(高値!U77&gt;高値!T77,高値!U77&gt;高値!S77,高値!U77&gt;高値!V77,高値!U77&gt;高値!W77),16,""))</f>
        <v/>
      </c>
      <c r="AR77" s="503" t="str">
        <f>IF(終値!A77="","",IF(AND(高値!V77&gt;高値!U77,高値!V77&gt;高値!T77,高値!V77&gt;高値!W77,高値!V77&gt;高値!X77),17,""))</f>
        <v/>
      </c>
      <c r="AS77" s="503" t="str">
        <f>IF(終値!A77="","",IF(AND(高値!W77&gt;高値!V77,高値!W77&gt;高値!U77,高値!W77&gt;高値!X77,高値!W77&gt;高値!Y77),18,""))</f>
        <v/>
      </c>
      <c r="AT77" s="503" t="str">
        <f>IF(終値!A77="","",IF(AND(高値!X77&gt;高値!W77,高値!X77&gt;高値!V77,高値!X77&gt;高値!Y77,高値!X77&gt;高値!Z77),19,""))</f>
        <v/>
      </c>
      <c r="AU77" s="503">
        <f>IF(終値!A77="","",IF(AND(高値!Y77&gt;高値!X77,高値!Y77&gt;高値!W77,高値!Y77&gt;高値!Z77,高値!Y77&gt;高値!AA77),20,""))</f>
        <v>20</v>
      </c>
      <c r="AV77" s="503" t="str">
        <f>IF(終値!A77="","",IF(AND(高値!Z77&gt;高値!Y77,高値!Z77&gt;高値!X77,高値!Z77&gt;高値!AA77,高値!Z77&gt;高値!AB77),21,""))</f>
        <v/>
      </c>
      <c r="AW77" s="503" t="str">
        <f>IF(終値!A77="","",IF(AND(高値!AA77&gt;高値!Z77,高値!AA77&gt;高値!Y77,高値!AA77&gt;高値!AB77,高値!AA77&gt;高値!AC77),22,""))</f>
        <v/>
      </c>
      <c r="AX77" s="503" t="str">
        <f>IF(終値!A77="","",IF(AND(高値!AB77&gt;高値!AA77,高値!AB77&gt;高値!Z77,高値!AB77&gt;高値!AC77,高値!AB77&gt;高値!AD77),23,""))</f>
        <v/>
      </c>
      <c r="AY77" s="503" t="str">
        <f>IF(終値!A77="","",IF(AND(高値!AC77&gt;高値!AB77,高値!AC77&gt;高値!AA77,高値!AC77&gt;高値!AD77,高値!AC77&gt;高値!AE77),24,""))</f>
        <v/>
      </c>
      <c r="AZ77" s="503" t="str">
        <f>IF(終値!A77="","",IF(AND(高値!AD77&gt;高値!AC77,高値!AD77&gt;高値!AB77,高値!AD77&gt;高値!AE77,高値!AD77&gt;高値!AF77),25,""))</f>
        <v/>
      </c>
      <c r="BA77" s="503">
        <f>IF(終値!A77="","",IF(AND(高値!AE77&gt;高値!AD77,高値!AE77&gt;高値!AC77,高値!AE77&gt;高値!AF77,高値!AE77&gt;高値!AG77),26,""))</f>
        <v>26</v>
      </c>
      <c r="BB77" s="503" t="str">
        <f>IF(終値!A77="","",IF(AND(高値!AF77&gt;高値!AE77,高値!AF77&gt;高値!AD77,高値!AF77&gt;高値!AG77,高値!AF77&gt;高値!AH77),27,""))</f>
        <v/>
      </c>
      <c r="BC77" s="503" t="str">
        <f>IF(終値!A77="","",IF(AND(高値!AG77&gt;高値!AF77,高値!AG77&gt;高値!AE77,高値!AG77&gt;高値!AH77,高値!AG77&gt;高値!AI77),28,""))</f>
        <v/>
      </c>
      <c r="BD77" s="503">
        <f t="shared" si="6"/>
        <v>2</v>
      </c>
      <c r="BE77" s="503">
        <f t="shared" si="7"/>
        <v>9</v>
      </c>
      <c r="BF77" s="503">
        <f t="shared" si="8"/>
        <v>16</v>
      </c>
      <c r="BG77" s="503">
        <f>IF($BE77="","",INDEX(安値!$E77:$CZ77,1,$BE77+1))</f>
        <v>2877.5</v>
      </c>
      <c r="BH77" s="503">
        <f>IF($BF77="","",INDEX(安値!$E77:$CZ77,1,$BF77+1))</f>
        <v>2794</v>
      </c>
      <c r="BI77" s="503">
        <f>IF($BF77="","",MAX(INDEX(高値!$E77:$CZ77,1,$BE77+1):INDEX(高値!$E77:$CZ77,1,$BF77+1)))</f>
        <v>2972</v>
      </c>
      <c r="BJ77" s="503">
        <f>IF($BF77="","",AVERAGE(INDEX(終値!$E77:$CZ77,1,$BF77+1):INDEX(終値!$E77:$CZ77,1,$BF77+20))-2*STDEVP(INDEX(終値!$E77:$CZ77,1,$BF77+1):INDEX(終値!$E77:$CZ77,1,$BF77+20)))</f>
        <v>2654.9422056779867</v>
      </c>
      <c r="BK77" s="503">
        <f>IF($BE77="","",AVERAGE(INDEX(終値!$E77:$CZ77,1,$BE77+1):INDEX(終値!$E77:$CZ77,1,$BE77+20))-2*STDEVP(INDEX(終値!$E77:$CZ77,1,$BE77+1):INDEX(終値!$E77:$CZ77,1,$BE77+20)))</f>
        <v>2687.7202844544868</v>
      </c>
      <c r="BL77" s="503">
        <f t="shared" si="9"/>
        <v>4</v>
      </c>
      <c r="BM77" s="503">
        <f t="shared" si="10"/>
        <v>6</v>
      </c>
      <c r="BN77" s="503">
        <f t="shared" si="11"/>
        <v>12</v>
      </c>
      <c r="BO77" s="503">
        <f>IF($BM77="","",INDEX(高値!$E77:$CZ77,1,$BM77+1))</f>
        <v>3233</v>
      </c>
      <c r="BP77" s="503">
        <f>IF($BN77="","",INDEX(高値!$E77:$CZ77,1,$BN77+1))</f>
        <v>2972</v>
      </c>
      <c r="BQ77" s="503">
        <f>IF($BN77="","",MIN(INDEX(安値!$E77:$CZ77,1,$BM77+1):INDEX(安値!$E77:$CZ77,1,$BN77+1)))</f>
        <v>2877.5</v>
      </c>
      <c r="BR77" s="503">
        <f>IF($BN77="","",AVERAGE(INDEX(終値!$E77:$CZ77,1,$BN77+1):INDEX(終値!$E77:$CZ77,1,$BN77+20))+2*STDEVP(INDEX(終値!$E77:$CZ77,1,$BN77+1):INDEX(終値!$E77:$CZ77,1,$BN77+20)))</f>
        <v>2972.1556905160051</v>
      </c>
      <c r="BS77" s="503">
        <f>IF($BM77="","",AVERAGE(INDEX(終値!$E77:$CZ77,1,$BM77+1):INDEX(終値!$E77:$CZ77,1,$BM77+20))+2*STDEVP(INDEX(終値!$E77:$CZ77,1,$BM77+1):INDEX(終値!$E77:$CZ77,1,$BM77+20)))</f>
        <v>3106.1492484578098</v>
      </c>
      <c r="BT77" s="500"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3" t="str">
        <f>IF(終値!A78="","",IF(AND(安値!G78&lt;安値!F78,安値!G78&lt;安値!E78,安値!G78&lt;安値!H78,安値!G78&lt;安値!I78),2,""))</f>
        <v/>
      </c>
      <c r="C78" s="503">
        <f>IF(終値!A78="","",IF(AND(安値!H78&lt;安値!G78,安値!H78&lt;安値!F78,安値!H78&lt;安値!I78,安値!H78&lt;安値!J78),3,""))</f>
        <v>3</v>
      </c>
      <c r="D78" s="503" t="str">
        <f>IF(終値!A78="","",IF(AND(安値!I78&lt;安値!H78,安値!I78&lt;安値!G78,安値!I78&lt;安値!J78,安値!I78&lt;安値!K78),4,""))</f>
        <v/>
      </c>
      <c r="E78" s="503" t="str">
        <f>IF(終値!A78="","",IF(AND(安値!J78&lt;安値!I78,安値!J78&lt;安値!H78,安値!J78&lt;安値!K78,安値!J78&lt;安値!L78),5,""))</f>
        <v/>
      </c>
      <c r="F78" s="503">
        <f>IF(終値!A78="","",IF(AND(安値!K78&lt;安値!J78,安値!K78&lt;安値!I78,安値!K78&lt;安値!L78,安値!K78&lt;安値!M78),6,""))</f>
        <v>6</v>
      </c>
      <c r="G78" s="503" t="str">
        <f>IF(終値!A78="","",IF(AND(安値!L78&lt;安値!K78,安値!L78&lt;安値!J78,安値!L78&lt;安値!M78,安値!L78&lt;安値!N78),7,""))</f>
        <v/>
      </c>
      <c r="H78" s="503" t="str">
        <f>IF(終値!A78="","",IF(AND(安値!M78&lt;安値!L78,安値!M78&lt;安値!K78,安値!M78&lt;安値!N78,安値!M78&lt;安値!O78),8,""))</f>
        <v/>
      </c>
      <c r="I78" s="503" t="str">
        <f>IF(終値!A78="","",IF(AND(安値!N78&lt;安値!M78,安値!N78&lt;安値!L78,安値!N78&lt;安値!O78,安値!N78&lt;安値!P78),9,""))</f>
        <v/>
      </c>
      <c r="J78" s="503" t="str">
        <f>IF(終値!A78="","",IF(AND(安値!O78&lt;安値!N78,安値!O78&lt;安値!M78,安値!O78&lt;安値!P78,安値!O78&lt;安値!Q78),10,""))</f>
        <v/>
      </c>
      <c r="K78" s="503" t="str">
        <f>IF(終値!A78="","",IF(AND(安値!P78&lt;安値!O78,安値!P78&lt;安値!N78,安値!P78&lt;安値!Q78,安値!P78&lt;安値!R78),11,""))</f>
        <v/>
      </c>
      <c r="L78" s="503" t="str">
        <f>IF(終値!A78="","",IF(AND(安値!Q78&lt;安値!P78,安値!Q78&lt;安値!O78,安値!Q78&lt;安値!R78,安値!Q78&lt;安値!S78),12,""))</f>
        <v/>
      </c>
      <c r="M78" s="503">
        <f>IF(終値!A78="","",IF(AND(安値!R78&lt;安値!Q78,安値!R78&lt;安値!P78,安値!R78&lt;安値!S78,安値!R78&lt;安値!T78),13,""))</f>
        <v>13</v>
      </c>
      <c r="N78" s="503" t="str">
        <f>IF(終値!A78="","",IF(AND(安値!S78&lt;安値!R78,安値!S78&lt;安値!Q78,安値!S78&lt;安値!T78,安値!S78&lt;安値!U78),14,""))</f>
        <v/>
      </c>
      <c r="O78" s="503" t="str">
        <f>IF(終値!A78="","",IF(AND(安値!T78&lt;安値!S78,安値!T78&lt;安値!R78,安値!T78&lt;安値!U78,安値!T78&lt;安値!V78),15,""))</f>
        <v/>
      </c>
      <c r="P78" s="503" t="str">
        <f>IF(終値!A78="","",IF(AND(安値!U78&lt;安値!T78,安値!U78&lt;安値!S78,安値!U78&lt;安値!V78,安値!U78&lt;安値!W78),16,""))</f>
        <v/>
      </c>
      <c r="Q78" s="503" t="str">
        <f>IF(終値!A78="","",IF(AND(安値!V78&lt;安値!U78,安値!V78&lt;安値!T78,安値!V78&lt;安値!W78,安値!V78&lt;安値!X78),17,""))</f>
        <v/>
      </c>
      <c r="R78" s="503" t="str">
        <f>IF(終値!A78="","",IF(AND(安値!W78&lt;安値!V78,安値!W78&lt;安値!U78,安値!W78&lt;安値!X78,安値!W78&lt;安値!Y78),18,""))</f>
        <v/>
      </c>
      <c r="S78" s="503">
        <f>IF(終値!A78="","",IF(AND(安値!X78&lt;安値!W78,安値!X78&lt;安値!V78,安値!X78&lt;安値!Y78,安値!X78&lt;安値!Z78),19,""))</f>
        <v>19</v>
      </c>
      <c r="T78" s="503" t="str">
        <f>IF(終値!A78="","",IF(AND(安値!Y78&lt;安値!X78,安値!Y78&lt;安値!W78,安値!Y78&lt;安値!Z78,安値!Y78&lt;安値!AA78),20,""))</f>
        <v/>
      </c>
      <c r="U78" s="503" t="str">
        <f>IF(終値!A78="","",IF(AND(安値!Z78&lt;安値!Y78,安値!Z78&lt;安値!X78,安値!Z78&lt;安値!AA78,安値!Z78&lt;安値!AB78),21,""))</f>
        <v/>
      </c>
      <c r="V78" s="503">
        <f>IF(終値!A78="","",IF(AND(安値!AA78&lt;安値!Z78,安値!AA78&lt;安値!Y78,安値!AA78&lt;安値!AB78,安値!AA78&lt;安値!AC78),22,""))</f>
        <v>22</v>
      </c>
      <c r="W78" s="503" t="str">
        <f>IF(終値!A78="","",IF(AND(安値!AB78&lt;安値!AA78,安値!AB78&lt;安値!Z78,安値!AB78&lt;安値!AC78,安値!AB78&lt;安値!AD78),23,""))</f>
        <v/>
      </c>
      <c r="X78" s="503" t="str">
        <f>IF(終値!A78="","",IF(AND(安値!AC78&lt;安値!AB78,安値!AC78&lt;安値!AA78,安値!AC78&lt;安値!AD78,安値!AC78&lt;安値!AE78),24,""))</f>
        <v/>
      </c>
      <c r="Y78" s="503" t="str">
        <f>IF(終値!A78="","",IF(AND(安値!AD78&lt;安値!AC78,安値!AD78&lt;安値!AB78,安値!AD78&lt;安値!AE78,安値!AD78&lt;安値!AF78),25,""))</f>
        <v/>
      </c>
      <c r="Z78" s="503">
        <f>IF(終値!A78="","",IF(AND(安値!AE78&lt;安値!AD78,安値!AE78&lt;安値!AC78,安値!AE78&lt;安値!AF78,安値!AE78&lt;安値!AG78),26,""))</f>
        <v>26</v>
      </c>
      <c r="AA78" s="503" t="str">
        <f>IF(終値!A78="","",IF(AND(安値!AF78&lt;安値!AE78,安値!AF78&lt;安値!AD78,安値!AF78&lt;安値!AG78,安値!AF78&lt;安値!AH78),27,""))</f>
        <v/>
      </c>
      <c r="AB78" s="503" t="str">
        <f>IF(終値!A78="","",IF(AND(安値!AG78&lt;安値!AF78,安値!AG78&lt;安値!AE78,安値!AG78&lt;安値!AH78,安値!AG78&lt;安値!AI78),28,""))</f>
        <v/>
      </c>
      <c r="AC78" s="503" t="str">
        <f>IF(終値!A78="","",IF(AND(高値!G78&gt;高値!F78,高値!G78&gt;高値!E78,高値!G78&gt;高値!H78,高値!G78&gt;高値!I78),2,""))</f>
        <v/>
      </c>
      <c r="AD78" s="503" t="str">
        <f>IF(終値!A78="","",IF(AND(高値!H78&gt;高値!G78,高値!H78&gt;高値!F78,高値!H78&gt;高値!I78,高値!H78&gt;高値!J78),3,""))</f>
        <v/>
      </c>
      <c r="AE78" s="503">
        <f>IF(終値!A78="","",IF(AND(高値!I78&gt;高値!H78,高値!I78&gt;高値!G78,高値!I78&gt;高値!J78,高値!I78&gt;高値!K78),4,""))</f>
        <v>4</v>
      </c>
      <c r="AF78" s="503" t="str">
        <f>IF(終値!A78="","",IF(AND(高値!J78&gt;高値!I78,高値!J78&gt;高値!H78,高値!J78&gt;高値!K78,高値!J78&gt;高値!L78),5,""))</f>
        <v/>
      </c>
      <c r="AG78" s="503" t="str">
        <f>IF(終値!A78="","",IF(AND(高値!K78&gt;高値!J78,高値!K78&gt;高値!I78,高値!K78&gt;高値!L78,高値!K78&gt;高値!M78),6,""))</f>
        <v/>
      </c>
      <c r="AH78" s="503" t="str">
        <f>IF(終値!A78="","",IF(AND(高値!L78&gt;高値!K78,高値!L78&gt;高値!J78,高値!L78&gt;高値!M78,高値!L78&gt;高値!N78),7,""))</f>
        <v/>
      </c>
      <c r="AI78" s="503" t="str">
        <f>IF(終値!A78="","",IF(AND(高値!M78&gt;高値!L78,高値!M78&gt;高値!K78,高値!M78&gt;高値!N78,高値!M78&gt;高値!O78),8,""))</f>
        <v/>
      </c>
      <c r="AJ78" s="503" t="str">
        <f>IF(終値!A78="","",IF(AND(高値!N78&gt;高値!M78,高値!N78&gt;高値!L78,高値!N78&gt;高値!O78,高値!N78&gt;高値!P78),9,""))</f>
        <v/>
      </c>
      <c r="AK78" s="503" t="str">
        <f>IF(終値!A78="","",IF(AND(高値!O78&gt;高値!N78,高値!O78&gt;高値!M78,高値!O78&gt;高値!P78,高値!O78&gt;高値!Q78),10,""))</f>
        <v/>
      </c>
      <c r="AL78" s="503">
        <f>IF(終値!A78="","",IF(AND(高値!P78&gt;高値!O78,高値!P78&gt;高値!N78,高値!P78&gt;高値!Q78,高値!P78&gt;高値!R78),11,""))</f>
        <v>11</v>
      </c>
      <c r="AM78" s="503" t="str">
        <f>IF(終値!A78="","",IF(AND(高値!Q78&gt;高値!P78,高値!Q78&gt;高値!O78,高値!Q78&gt;高値!R78,高値!Q78&gt;高値!S78),12,""))</f>
        <v/>
      </c>
      <c r="AN78" s="503" t="str">
        <f>IF(終値!A78="","",IF(AND(高値!R78&gt;高値!Q78,高値!R78&gt;高値!P78,高値!R78&gt;高値!S78,高値!R78&gt;高値!T78),13,""))</f>
        <v/>
      </c>
      <c r="AO78" s="503" t="str">
        <f>IF(終値!A78="","",IF(AND(高値!S78&gt;高値!R78,高値!S78&gt;高値!Q78,高値!S78&gt;高値!T78,高値!S78&gt;高値!U78),14,""))</f>
        <v/>
      </c>
      <c r="AP78" s="503" t="str">
        <f>IF(終値!A78="","",IF(AND(高値!T78&gt;高値!S78,高値!T78&gt;高値!R78,高値!T78&gt;高値!U78,高値!T78&gt;高値!V78),15,""))</f>
        <v/>
      </c>
      <c r="AQ78" s="503" t="str">
        <f>IF(終値!A78="","",IF(AND(高値!U78&gt;高値!T78,高値!U78&gt;高値!S78,高値!U78&gt;高値!V78,高値!U78&gt;高値!W78),16,""))</f>
        <v/>
      </c>
      <c r="AR78" s="503">
        <f>IF(終値!A78="","",IF(AND(高値!V78&gt;高値!U78,高値!V78&gt;高値!T78,高値!V78&gt;高値!W78,高値!V78&gt;高値!X78),17,""))</f>
        <v>17</v>
      </c>
      <c r="AS78" s="503" t="str">
        <f>IF(終値!A78="","",IF(AND(高値!W78&gt;高値!V78,高値!W78&gt;高値!U78,高値!W78&gt;高値!X78,高値!W78&gt;高値!Y78),18,""))</f>
        <v/>
      </c>
      <c r="AT78" s="503" t="str">
        <f>IF(終値!A78="","",IF(AND(高値!X78&gt;高値!W78,高値!X78&gt;高値!V78,高値!X78&gt;高値!Y78,高値!X78&gt;高値!Z78),19,""))</f>
        <v/>
      </c>
      <c r="AU78" s="503" t="str">
        <f>IF(終値!A78="","",IF(AND(高値!Y78&gt;高値!X78,高値!Y78&gt;高値!W78,高値!Y78&gt;高値!Z78,高値!Y78&gt;高値!AA78),20,""))</f>
        <v/>
      </c>
      <c r="AV78" s="503">
        <f>IF(終値!A78="","",IF(AND(高値!Z78&gt;高値!Y78,高値!Z78&gt;高値!X78,高値!Z78&gt;高値!AA78,高値!Z78&gt;高値!AB78),21,""))</f>
        <v>21</v>
      </c>
      <c r="AW78" s="503" t="str">
        <f>IF(終値!A78="","",IF(AND(高値!AA78&gt;高値!Z78,高値!AA78&gt;高値!Y78,高値!AA78&gt;高値!AB78,高値!AA78&gt;高値!AC78),22,""))</f>
        <v/>
      </c>
      <c r="AX78" s="503" t="str">
        <f>IF(終値!A78="","",IF(AND(高値!AB78&gt;高値!AA78,高値!AB78&gt;高値!Z78,高値!AB78&gt;高値!AC78,高値!AB78&gt;高値!AD78),23,""))</f>
        <v/>
      </c>
      <c r="AY78" s="503">
        <f>IF(終値!A78="","",IF(AND(高値!AC78&gt;高値!AB78,高値!AC78&gt;高値!AA78,高値!AC78&gt;高値!AD78,高値!AC78&gt;高値!AE78),24,""))</f>
        <v>24</v>
      </c>
      <c r="AZ78" s="503" t="str">
        <f>IF(終値!A78="","",IF(AND(高値!AD78&gt;高値!AC78,高値!AD78&gt;高値!AB78,高値!AD78&gt;高値!AE78,高値!AD78&gt;高値!AF78),25,""))</f>
        <v/>
      </c>
      <c r="BA78" s="503" t="str">
        <f>IF(終値!A78="","",IF(AND(高値!AE78&gt;高値!AD78,高値!AE78&gt;高値!AC78,高値!AE78&gt;高値!AF78,高値!AE78&gt;高値!AG78),26,""))</f>
        <v/>
      </c>
      <c r="BB78" s="503" t="str">
        <f>IF(終値!A78="","",IF(AND(高値!AF78&gt;高値!AE78,高値!AF78&gt;高値!AD78,高値!AF78&gt;高値!AG78,高値!AF78&gt;高値!AH78),27,""))</f>
        <v/>
      </c>
      <c r="BC78" s="503" t="str">
        <f>IF(終値!A78="","",IF(AND(高値!AG78&gt;高値!AF78,高値!AG78&gt;高値!AE78,高値!AG78&gt;高値!AH78,高値!AG78&gt;高値!AI78),28,""))</f>
        <v/>
      </c>
      <c r="BD78" s="503">
        <f t="shared" si="6"/>
        <v>6</v>
      </c>
      <c r="BE78" s="503">
        <f t="shared" si="7"/>
        <v>3</v>
      </c>
      <c r="BF78" s="503">
        <f t="shared" si="8"/>
        <v>6</v>
      </c>
      <c r="BG78" s="503">
        <f>IF($BE78="","",INDEX(安値!$E78:$CZ78,1,$BE78+1))</f>
        <v>5808</v>
      </c>
      <c r="BH78" s="503">
        <f>IF($BF78="","",INDEX(安値!$E78:$CZ78,1,$BF78+1))</f>
        <v>6223</v>
      </c>
      <c r="BI78" s="503">
        <f>IF($BF78="","",MAX(INDEX(高値!$E78:$CZ78,1,$BE78+1):INDEX(高値!$E78:$CZ78,1,$BF78+1)))</f>
        <v>7240</v>
      </c>
      <c r="BJ78" s="503">
        <f>IF($BF78="","",AVERAGE(INDEX(終値!$E78:$CZ78,1,$BF78+1):INDEX(終値!$E78:$CZ78,1,$BF78+20))-2*STDEVP(INDEX(終値!$E78:$CZ78,1,$BF78+1):INDEX(終値!$E78:$CZ78,1,$BF78+20)))</f>
        <v>6323.2806849395656</v>
      </c>
      <c r="BK78" s="503">
        <f>IF($BE78="","",AVERAGE(INDEX(終値!$E78:$CZ78,1,$BE78+1):INDEX(終値!$E78:$CZ78,1,$BE78+20))-2*STDEVP(INDEX(終値!$E78:$CZ78,1,$BE78+1):INDEX(終値!$E78:$CZ78,1,$BE78+20)))</f>
        <v>6192.9806739646374</v>
      </c>
      <c r="BL78" s="503">
        <f t="shared" si="9"/>
        <v>5</v>
      </c>
      <c r="BM78" s="503">
        <f t="shared" si="10"/>
        <v>4</v>
      </c>
      <c r="BN78" s="503">
        <f t="shared" si="11"/>
        <v>11</v>
      </c>
      <c r="BO78" s="503">
        <f>IF($BM78="","",INDEX(高値!$E78:$CZ78,1,$BM78+1))</f>
        <v>7240</v>
      </c>
      <c r="BP78" s="503">
        <f>IF($BN78="","",INDEX(高値!$E78:$CZ78,1,$BN78+1))</f>
        <v>7057</v>
      </c>
      <c r="BQ78" s="503">
        <f>IF($BN78="","",MIN(INDEX(安値!$E78:$CZ78,1,$BM78+1):INDEX(安値!$E78:$CZ78,1,$BN78+1)))</f>
        <v>6223</v>
      </c>
      <c r="BR78" s="503">
        <f>IF($BN78="","",AVERAGE(INDEX(終値!$E78:$CZ78,1,$BN78+1):INDEX(終値!$E78:$CZ78,1,$BN78+20))+2*STDEVP(INDEX(終値!$E78:$CZ78,1,$BN78+1):INDEX(終値!$E78:$CZ78,1,$BN78+20)))</f>
        <v>7629.805925560071</v>
      </c>
      <c r="BS78" s="503">
        <f>IF($BM78="","",AVERAGE(INDEX(終値!$E78:$CZ78,1,$BM78+1):INDEX(終値!$E78:$CZ78,1,$BM78+20))+2*STDEVP(INDEX(終値!$E78:$CZ78,1,$BM78+1):INDEX(終値!$E78:$CZ78,1,$BM78+20)))</f>
        <v>7471.4475789560065</v>
      </c>
      <c r="BT78" s="500"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二番天井M形成</v>
      </c>
    </row>
    <row r="79" spans="2:72">
      <c r="B79" s="503" t="str">
        <f>IF(終値!A79="","",IF(AND(安値!G79&lt;安値!F79,安値!G79&lt;安値!E79,安値!G79&lt;安値!H79,安値!G79&lt;安値!I79),2,""))</f>
        <v/>
      </c>
      <c r="C79" s="503" t="str">
        <f>IF(終値!A79="","",IF(AND(安値!H79&lt;安値!G79,安値!H79&lt;安値!F79,安値!H79&lt;安値!I79,安値!H79&lt;安値!J79),3,""))</f>
        <v/>
      </c>
      <c r="D79" s="503" t="str">
        <f>IF(終値!A79="","",IF(AND(安値!I79&lt;安値!H79,安値!I79&lt;安値!G79,安値!I79&lt;安値!J79,安値!I79&lt;安値!K79),4,""))</f>
        <v/>
      </c>
      <c r="E79" s="503" t="str">
        <f>IF(終値!A79="","",IF(AND(安値!J79&lt;安値!I79,安値!J79&lt;安値!H79,安値!J79&lt;安値!K79,安値!J79&lt;安値!L79),5,""))</f>
        <v/>
      </c>
      <c r="F79" s="503">
        <f>IF(終値!A79="","",IF(AND(安値!K79&lt;安値!J79,安値!K79&lt;安値!I79,安値!K79&lt;安値!L79,安値!K79&lt;安値!M79),6,""))</f>
        <v>6</v>
      </c>
      <c r="G79" s="503" t="str">
        <f>IF(終値!A79="","",IF(AND(安値!L79&lt;安値!K79,安値!L79&lt;安値!J79,安値!L79&lt;安値!M79,安値!L79&lt;安値!N79),7,""))</f>
        <v/>
      </c>
      <c r="H79" s="503" t="str">
        <f>IF(終値!A79="","",IF(AND(安値!M79&lt;安値!L79,安値!M79&lt;安値!K79,安値!M79&lt;安値!N79,安値!M79&lt;安値!O79),8,""))</f>
        <v/>
      </c>
      <c r="I79" s="503" t="str">
        <f>IF(終値!A79="","",IF(AND(安値!N79&lt;安値!M79,安値!N79&lt;安値!L79,安値!N79&lt;安値!O79,安値!N79&lt;安値!P79),9,""))</f>
        <v/>
      </c>
      <c r="J79" s="503" t="str">
        <f>IF(終値!A79="","",IF(AND(安値!O79&lt;安値!N79,安値!O79&lt;安値!M79,安値!O79&lt;安値!P79,安値!O79&lt;安値!Q79),10,""))</f>
        <v/>
      </c>
      <c r="K79" s="503" t="str">
        <f>IF(終値!A79="","",IF(AND(安値!P79&lt;安値!O79,安値!P79&lt;安値!N79,安値!P79&lt;安値!Q79,安値!P79&lt;安値!R79),11,""))</f>
        <v/>
      </c>
      <c r="L79" s="503" t="str">
        <f>IF(終値!A79="","",IF(AND(安値!Q79&lt;安値!P79,安値!Q79&lt;安値!O79,安値!Q79&lt;安値!R79,安値!Q79&lt;安値!S79),12,""))</f>
        <v/>
      </c>
      <c r="M79" s="503">
        <f>IF(終値!A79="","",IF(AND(安値!R79&lt;安値!Q79,安値!R79&lt;安値!P79,安値!R79&lt;安値!S79,安値!R79&lt;安値!T79),13,""))</f>
        <v>13</v>
      </c>
      <c r="N79" s="503" t="str">
        <f>IF(終値!A79="","",IF(AND(安値!S79&lt;安値!R79,安値!S79&lt;安値!Q79,安値!S79&lt;安値!T79,安値!S79&lt;安値!U79),14,""))</f>
        <v/>
      </c>
      <c r="O79" s="503" t="str">
        <f>IF(終値!A79="","",IF(AND(安値!T79&lt;安値!S79,安値!T79&lt;安値!R79,安値!T79&lt;安値!U79,安値!T79&lt;安値!V79),15,""))</f>
        <v/>
      </c>
      <c r="P79" s="503" t="str">
        <f>IF(終値!A79="","",IF(AND(安値!U79&lt;安値!T79,安値!U79&lt;安値!S79,安値!U79&lt;安値!V79,安値!U79&lt;安値!W79),16,""))</f>
        <v/>
      </c>
      <c r="Q79" s="503" t="str">
        <f>IF(終値!A79="","",IF(AND(安値!V79&lt;安値!U79,安値!V79&lt;安値!T79,安値!V79&lt;安値!W79,安値!V79&lt;安値!X79),17,""))</f>
        <v/>
      </c>
      <c r="R79" s="503" t="str">
        <f>IF(終値!A79="","",IF(AND(安値!W79&lt;安値!V79,安値!W79&lt;安値!U79,安値!W79&lt;安値!X79,安値!W79&lt;安値!Y79),18,""))</f>
        <v/>
      </c>
      <c r="S79" s="503">
        <f>IF(終値!A79="","",IF(AND(安値!X79&lt;安値!W79,安値!X79&lt;安値!V79,安値!X79&lt;安値!Y79,安値!X79&lt;安値!Z79),19,""))</f>
        <v>19</v>
      </c>
      <c r="T79" s="503" t="str">
        <f>IF(終値!A79="","",IF(AND(安値!Y79&lt;安値!X79,安値!Y79&lt;安値!W79,安値!Y79&lt;安値!Z79,安値!Y79&lt;安値!AA79),20,""))</f>
        <v/>
      </c>
      <c r="U79" s="503" t="str">
        <f>IF(終値!A79="","",IF(AND(安値!Z79&lt;安値!Y79,安値!Z79&lt;安値!X79,安値!Z79&lt;安値!AA79,安値!Z79&lt;安値!AB79),21,""))</f>
        <v/>
      </c>
      <c r="V79" s="503" t="str">
        <f>IF(終値!A79="","",IF(AND(安値!AA79&lt;安値!Z79,安値!AA79&lt;安値!Y79,安値!AA79&lt;安値!AB79,安値!AA79&lt;安値!AC79),22,""))</f>
        <v/>
      </c>
      <c r="W79" s="503" t="str">
        <f>IF(終値!A79="","",IF(AND(安値!AB79&lt;安値!AA79,安値!AB79&lt;安値!Z79,安値!AB79&lt;安値!AC79,安値!AB79&lt;安値!AD79),23,""))</f>
        <v/>
      </c>
      <c r="X79" s="503" t="str">
        <f>IF(終値!A79="","",IF(AND(安値!AC79&lt;安値!AB79,安値!AC79&lt;安値!AA79,安値!AC79&lt;安値!AD79,安値!AC79&lt;安値!AE79),24,""))</f>
        <v/>
      </c>
      <c r="Y79" s="503" t="str">
        <f>IF(終値!A79="","",IF(AND(安値!AD79&lt;安値!AC79,安値!AD79&lt;安値!AB79,安値!AD79&lt;安値!AE79,安値!AD79&lt;安値!AF79),25,""))</f>
        <v/>
      </c>
      <c r="Z79" s="503">
        <f>IF(終値!A79="","",IF(AND(安値!AE79&lt;安値!AD79,安値!AE79&lt;安値!AC79,安値!AE79&lt;安値!AF79,安値!AE79&lt;安値!AG79),26,""))</f>
        <v>26</v>
      </c>
      <c r="AA79" s="503" t="str">
        <f>IF(終値!A79="","",IF(AND(安値!AF79&lt;安値!AE79,安値!AF79&lt;安値!AD79,安値!AF79&lt;安値!AG79,安値!AF79&lt;安値!AH79),27,""))</f>
        <v/>
      </c>
      <c r="AB79" s="503" t="str">
        <f>IF(終値!A79="","",IF(AND(安値!AG79&lt;安値!AF79,安値!AG79&lt;安値!AE79,安値!AG79&lt;安値!AH79,安値!AG79&lt;安値!AI79),28,""))</f>
        <v/>
      </c>
      <c r="AC79" s="503" t="str">
        <f>IF(終値!A79="","",IF(AND(高値!G79&gt;高値!F79,高値!G79&gt;高値!E79,高値!G79&gt;高値!H79,高値!G79&gt;高値!I79),2,""))</f>
        <v/>
      </c>
      <c r="AD79" s="503" t="str">
        <f>IF(終値!A79="","",IF(AND(高値!H79&gt;高値!G79,高値!H79&gt;高値!F79,高値!H79&gt;高値!I79,高値!H79&gt;高値!J79),3,""))</f>
        <v/>
      </c>
      <c r="AE79" s="503" t="str">
        <f>IF(終値!A79="","",IF(AND(高値!I79&gt;高値!H79,高値!I79&gt;高値!G79,高値!I79&gt;高値!J79,高値!I79&gt;高値!K79),4,""))</f>
        <v/>
      </c>
      <c r="AF79" s="503" t="str">
        <f>IF(終値!A79="","",IF(AND(高値!J79&gt;高値!I79,高値!J79&gt;高値!H79,高値!J79&gt;高値!K79,高値!J79&gt;高値!L79),5,""))</f>
        <v/>
      </c>
      <c r="AG79" s="503" t="str">
        <f>IF(終値!A79="","",IF(AND(高値!K79&gt;高値!J79,高値!K79&gt;高値!I79,高値!K79&gt;高値!L79,高値!K79&gt;高値!M79),6,""))</f>
        <v/>
      </c>
      <c r="AH79" s="503" t="str">
        <f>IF(終値!A79="","",IF(AND(高値!L79&gt;高値!K79,高値!L79&gt;高値!J79,高値!L79&gt;高値!M79,高値!L79&gt;高値!N79),7,""))</f>
        <v/>
      </c>
      <c r="AI79" s="503" t="str">
        <f>IF(終値!A79="","",IF(AND(高値!M79&gt;高値!L79,高値!M79&gt;高値!K79,高値!M79&gt;高値!N79,高値!M79&gt;高値!O79),8,""))</f>
        <v/>
      </c>
      <c r="AJ79" s="503" t="str">
        <f>IF(終値!A79="","",IF(AND(高値!N79&gt;高値!M79,高値!N79&gt;高値!L79,高値!N79&gt;高値!O79,高値!N79&gt;高値!P79),9,""))</f>
        <v/>
      </c>
      <c r="AK79" s="503" t="str">
        <f>IF(終値!A79="","",IF(AND(高値!O79&gt;高値!N79,高値!O79&gt;高値!M79,高値!O79&gt;高値!P79,高値!O79&gt;高値!Q79),10,""))</f>
        <v/>
      </c>
      <c r="AL79" s="503">
        <f>IF(終値!A79="","",IF(AND(高値!P79&gt;高値!O79,高値!P79&gt;高値!N79,高値!P79&gt;高値!Q79,高値!P79&gt;高値!R79),11,""))</f>
        <v>11</v>
      </c>
      <c r="AM79" s="503" t="str">
        <f>IF(終値!A79="","",IF(AND(高値!Q79&gt;高値!P79,高値!Q79&gt;高値!O79,高値!Q79&gt;高値!R79,高値!Q79&gt;高値!S79),12,""))</f>
        <v/>
      </c>
      <c r="AN79" s="503" t="str">
        <f>IF(終値!A79="","",IF(AND(高値!R79&gt;高値!Q79,高値!R79&gt;高値!P79,高値!R79&gt;高値!S79,高値!R79&gt;高値!T79),13,""))</f>
        <v/>
      </c>
      <c r="AO79" s="503" t="str">
        <f>IF(終値!A79="","",IF(AND(高値!S79&gt;高値!R79,高値!S79&gt;高値!Q79,高値!S79&gt;高値!T79,高値!S79&gt;高値!U79),14,""))</f>
        <v/>
      </c>
      <c r="AP79" s="503" t="str">
        <f>IF(終値!A79="","",IF(AND(高値!T79&gt;高値!S79,高値!T79&gt;高値!R79,高値!T79&gt;高値!U79,高値!T79&gt;高値!V79),15,""))</f>
        <v/>
      </c>
      <c r="AQ79" s="503" t="str">
        <f>IF(終値!A79="","",IF(AND(高値!U79&gt;高値!T79,高値!U79&gt;高値!S79,高値!U79&gt;高値!V79,高値!U79&gt;高値!W79),16,""))</f>
        <v/>
      </c>
      <c r="AR79" s="503" t="str">
        <f>IF(終値!A79="","",IF(AND(高値!V79&gt;高値!U79,高値!V79&gt;高値!T79,高値!V79&gt;高値!W79,高値!V79&gt;高値!X79),17,""))</f>
        <v/>
      </c>
      <c r="AS79" s="503" t="str">
        <f>IF(終値!A79="","",IF(AND(高値!W79&gt;高値!V79,高値!W79&gt;高値!U79,高値!W79&gt;高値!X79,高値!W79&gt;高値!Y79),18,""))</f>
        <v/>
      </c>
      <c r="AT79" s="503" t="str">
        <f>IF(終値!A79="","",IF(AND(高値!X79&gt;高値!W79,高値!X79&gt;高値!V79,高値!X79&gt;高値!Y79,高値!X79&gt;高値!Z79),19,""))</f>
        <v/>
      </c>
      <c r="AU79" s="503" t="str">
        <f>IF(終値!A79="","",IF(AND(高値!Y79&gt;高値!X79,高値!Y79&gt;高値!W79,高値!Y79&gt;高値!Z79,高値!Y79&gt;高値!AA79),20,""))</f>
        <v/>
      </c>
      <c r="AV79" s="503">
        <f>IF(終値!A79="","",IF(AND(高値!Z79&gt;高値!Y79,高値!Z79&gt;高値!X79,高値!Z79&gt;高値!AA79,高値!Z79&gt;高値!AB79),21,""))</f>
        <v>21</v>
      </c>
      <c r="AW79" s="503" t="str">
        <f>IF(終値!A79="","",IF(AND(高値!AA79&gt;高値!Z79,高値!AA79&gt;高値!Y79,高値!AA79&gt;高値!AB79,高値!AA79&gt;高値!AC79),22,""))</f>
        <v/>
      </c>
      <c r="AX79" s="503" t="str">
        <f>IF(終値!A79="","",IF(AND(高値!AB79&gt;高値!AA79,高値!AB79&gt;高値!Z79,高値!AB79&gt;高値!AC79,高値!AB79&gt;高値!AD79),23,""))</f>
        <v/>
      </c>
      <c r="AY79" s="503">
        <f>IF(終値!A79="","",IF(AND(高値!AC79&gt;高値!AB79,高値!AC79&gt;高値!AA79,高値!AC79&gt;高値!AD79,高値!AC79&gt;高値!AE79),24,""))</f>
        <v>24</v>
      </c>
      <c r="AZ79" s="503" t="str">
        <f>IF(終値!A79="","",IF(AND(高値!AD79&gt;高値!AC79,高値!AD79&gt;高値!AB79,高値!AD79&gt;高値!AE79,高値!AD79&gt;高値!AF79),25,""))</f>
        <v/>
      </c>
      <c r="BA79" s="503" t="str">
        <f>IF(終値!A79="","",IF(AND(高値!AE79&gt;高値!AD79,高値!AE79&gt;高値!AC79,高値!AE79&gt;高値!AF79,高値!AE79&gt;高値!AG79),26,""))</f>
        <v/>
      </c>
      <c r="BB79" s="503" t="str">
        <f>IF(終値!A79="","",IF(AND(高値!AF79&gt;高値!AE79,高値!AF79&gt;高値!AD79,高値!AF79&gt;高値!AG79,高値!AF79&gt;高値!AH79),27,""))</f>
        <v/>
      </c>
      <c r="BC79" s="503">
        <f>IF(終値!A79="","",IF(AND(高値!AG79&gt;高値!AF79,高値!AG79&gt;高値!AE79,高値!AG79&gt;高値!AH79,高値!AG79&gt;高値!AI79),28,""))</f>
        <v>28</v>
      </c>
      <c r="BD79" s="503">
        <f t="shared" si="6"/>
        <v>4</v>
      </c>
      <c r="BE79" s="503">
        <f t="shared" si="7"/>
        <v>6</v>
      </c>
      <c r="BF79" s="503">
        <f t="shared" si="8"/>
        <v>13</v>
      </c>
      <c r="BG79" s="503">
        <f>IF($BE79="","",INDEX(安値!$E79:$CZ79,1,$BE79+1))</f>
        <v>3429</v>
      </c>
      <c r="BH79" s="503">
        <f>IF($BF79="","",INDEX(安値!$E79:$CZ79,1,$BF79+1))</f>
        <v>3682</v>
      </c>
      <c r="BI79" s="503">
        <f>IF($BF79="","",MAX(INDEX(高値!$E79:$CZ79,1,$BE79+1):INDEX(高値!$E79:$CZ79,1,$BF79+1)))</f>
        <v>4085</v>
      </c>
      <c r="BJ79" s="503">
        <f>IF($BF79="","",AVERAGE(INDEX(終値!$E79:$CZ79,1,$BF79+1):INDEX(終値!$E79:$CZ79,1,$BF79+20))-2*STDEVP(INDEX(終値!$E79:$CZ79,1,$BF79+1):INDEX(終値!$E79:$CZ79,1,$BF79+20)))</f>
        <v>3879.0244214943223</v>
      </c>
      <c r="BK79" s="503">
        <f>IF($BE79="","",AVERAGE(INDEX(終値!$E79:$CZ79,1,$BE79+1):INDEX(終値!$E79:$CZ79,1,$BE79+20))-2*STDEVP(INDEX(終値!$E79:$CZ79,1,$BE79+1):INDEX(終値!$E79:$CZ79,1,$BE79+20)))</f>
        <v>3437.2504877504234</v>
      </c>
      <c r="BL79" s="503">
        <f t="shared" si="9"/>
        <v>4</v>
      </c>
      <c r="BM79" s="503">
        <f t="shared" si="10"/>
        <v>11</v>
      </c>
      <c r="BN79" s="503">
        <f t="shared" si="11"/>
        <v>21</v>
      </c>
      <c r="BO79" s="503">
        <f>IF($BM79="","",INDEX(高値!$E79:$CZ79,1,$BM79+1))</f>
        <v>4085</v>
      </c>
      <c r="BP79" s="503">
        <f>IF($BN79="","",INDEX(高値!$E79:$CZ79,1,$BN79+1))</f>
        <v>4918</v>
      </c>
      <c r="BQ79" s="503">
        <f>IF($BN79="","",MIN(INDEX(安値!$E79:$CZ79,1,$BM79+1):INDEX(安値!$E79:$CZ79,1,$BN79+1)))</f>
        <v>3682</v>
      </c>
      <c r="BR79" s="503">
        <f>IF($BN79="","",AVERAGE(INDEX(終値!$E79:$CZ79,1,$BN79+1):INDEX(終値!$E79:$CZ79,1,$BN79+20))+2*STDEVP(INDEX(終値!$E79:$CZ79,1,$BN79+1):INDEX(終値!$E79:$CZ79,1,$BN79+20)))</f>
        <v>5202.3580557133882</v>
      </c>
      <c r="BS79" s="503">
        <f>IF($BM79="","",AVERAGE(INDEX(終値!$E79:$CZ79,1,$BM79+1):INDEX(終値!$E79:$CZ79,1,$BM79+20))+2*STDEVP(INDEX(終値!$E79:$CZ79,1,$BM79+1):INDEX(終値!$E79:$CZ79,1,$BM79+20)))</f>
        <v>5290.3989234138044</v>
      </c>
      <c r="BT79" s="500"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3" t="str">
        <f>IF(終値!A80="","",IF(AND(安値!G80&lt;安値!F80,安値!G80&lt;安値!E80,安値!G80&lt;安値!H80,安値!G80&lt;安値!I80),2,""))</f>
        <v/>
      </c>
      <c r="C80" s="503">
        <f>IF(終値!A80="","",IF(AND(安値!H80&lt;安値!G80,安値!H80&lt;安値!F80,安値!H80&lt;安値!I80,安値!H80&lt;安値!J80),3,""))</f>
        <v>3</v>
      </c>
      <c r="D80" s="503" t="str">
        <f>IF(終値!A80="","",IF(AND(安値!I80&lt;安値!H80,安値!I80&lt;安値!G80,安値!I80&lt;安値!J80,安値!I80&lt;安値!K80),4,""))</f>
        <v/>
      </c>
      <c r="E80" s="503" t="str">
        <f>IF(終値!A80="","",IF(AND(安値!J80&lt;安値!I80,安値!J80&lt;安値!H80,安値!J80&lt;安値!K80,安値!J80&lt;安値!L80),5,""))</f>
        <v/>
      </c>
      <c r="F80" s="503">
        <f>IF(終値!A80="","",IF(AND(安値!K80&lt;安値!J80,安値!K80&lt;安値!I80,安値!K80&lt;安値!L80,安値!K80&lt;安値!M80),6,""))</f>
        <v>6</v>
      </c>
      <c r="G80" s="503" t="str">
        <f>IF(終値!A80="","",IF(AND(安値!L80&lt;安値!K80,安値!L80&lt;安値!J80,安値!L80&lt;安値!M80,安値!L80&lt;安値!N80),7,""))</f>
        <v/>
      </c>
      <c r="H80" s="503" t="str">
        <f>IF(終値!A80="","",IF(AND(安値!M80&lt;安値!L80,安値!M80&lt;安値!K80,安値!M80&lt;安値!N80,安値!M80&lt;安値!O80),8,""))</f>
        <v/>
      </c>
      <c r="I80" s="503">
        <f>IF(終値!A80="","",IF(AND(安値!N80&lt;安値!M80,安値!N80&lt;安値!L80,安値!N80&lt;安値!O80,安値!N80&lt;安値!P80),9,""))</f>
        <v>9</v>
      </c>
      <c r="J80" s="503" t="str">
        <f>IF(終値!A80="","",IF(AND(安値!O80&lt;安値!N80,安値!O80&lt;安値!M80,安値!O80&lt;安値!P80,安値!O80&lt;安値!Q80),10,""))</f>
        <v/>
      </c>
      <c r="K80" s="503" t="str">
        <f>IF(終値!A80="","",IF(AND(安値!P80&lt;安値!O80,安値!P80&lt;安値!N80,安値!P80&lt;安値!Q80,安値!P80&lt;安値!R80),11,""))</f>
        <v/>
      </c>
      <c r="L80" s="503" t="str">
        <f>IF(終値!A80="","",IF(AND(安値!Q80&lt;安値!P80,安値!Q80&lt;安値!O80,安値!Q80&lt;安値!R80,安値!Q80&lt;安値!S80),12,""))</f>
        <v/>
      </c>
      <c r="M80" s="503">
        <f>IF(終値!A80="","",IF(AND(安値!R80&lt;安値!Q80,安値!R80&lt;安値!P80,安値!R80&lt;安値!S80,安値!R80&lt;安値!T80),13,""))</f>
        <v>13</v>
      </c>
      <c r="N80" s="503" t="str">
        <f>IF(終値!A80="","",IF(AND(安値!S80&lt;安値!R80,安値!S80&lt;安値!Q80,安値!S80&lt;安値!T80,安値!S80&lt;安値!U80),14,""))</f>
        <v/>
      </c>
      <c r="O80" s="503" t="str">
        <f>IF(終値!A80="","",IF(AND(安値!T80&lt;安値!S80,安値!T80&lt;安値!R80,安値!T80&lt;安値!U80,安値!T80&lt;安値!V80),15,""))</f>
        <v/>
      </c>
      <c r="P80" s="503">
        <f>IF(終値!A80="","",IF(AND(安値!U80&lt;安値!T80,安値!U80&lt;安値!S80,安値!U80&lt;安値!V80,安値!U80&lt;安値!W80),16,""))</f>
        <v>16</v>
      </c>
      <c r="Q80" s="503" t="str">
        <f>IF(終値!A80="","",IF(AND(安値!V80&lt;安値!U80,安値!V80&lt;安値!T80,安値!V80&lt;安値!W80,安値!V80&lt;安値!X80),17,""))</f>
        <v/>
      </c>
      <c r="R80" s="503" t="str">
        <f>IF(終値!A80="","",IF(AND(安値!W80&lt;安値!V80,安値!W80&lt;安値!U80,安値!W80&lt;安値!X80,安値!W80&lt;安値!Y80),18,""))</f>
        <v/>
      </c>
      <c r="S80" s="503" t="str">
        <f>IF(終値!A80="","",IF(AND(安値!X80&lt;安値!W80,安値!X80&lt;安値!V80,安値!X80&lt;安値!Y80,安値!X80&lt;安値!Z80),19,""))</f>
        <v/>
      </c>
      <c r="T80" s="503" t="str">
        <f>IF(終値!A80="","",IF(AND(安値!Y80&lt;安値!X80,安値!Y80&lt;安値!W80,安値!Y80&lt;安値!Z80,安値!Y80&lt;安値!AA80),20,""))</f>
        <v/>
      </c>
      <c r="U80" s="503" t="str">
        <f>IF(終値!A80="","",IF(AND(安値!Z80&lt;安値!Y80,安値!Z80&lt;安値!X80,安値!Z80&lt;安値!AA80,安値!Z80&lt;安値!AB80),21,""))</f>
        <v/>
      </c>
      <c r="V80" s="503" t="str">
        <f>IF(終値!A80="","",IF(AND(安値!AA80&lt;安値!Z80,安値!AA80&lt;安値!Y80,安値!AA80&lt;安値!AB80,安値!AA80&lt;安値!AC80),22,""))</f>
        <v/>
      </c>
      <c r="W80" s="503" t="str">
        <f>IF(終値!A80="","",IF(AND(安値!AB80&lt;安値!AA80,安値!AB80&lt;安値!Z80,安値!AB80&lt;安値!AC80,安値!AB80&lt;安値!AD80),23,""))</f>
        <v/>
      </c>
      <c r="X80" s="503">
        <f>IF(終値!A80="","",IF(AND(安値!AC80&lt;安値!AB80,安値!AC80&lt;安値!AA80,安値!AC80&lt;安値!AD80,安値!AC80&lt;安値!AE80),24,""))</f>
        <v>24</v>
      </c>
      <c r="Y80" s="503" t="str">
        <f>IF(終値!A80="","",IF(AND(安値!AD80&lt;安値!AC80,安値!AD80&lt;安値!AB80,安値!AD80&lt;安値!AE80,安値!AD80&lt;安値!AF80),25,""))</f>
        <v/>
      </c>
      <c r="Z80" s="503" t="str">
        <f>IF(終値!A80="","",IF(AND(安値!AE80&lt;安値!AD80,安値!AE80&lt;安値!AC80,安値!AE80&lt;安値!AF80,安値!AE80&lt;安値!AG80),26,""))</f>
        <v/>
      </c>
      <c r="AA80" s="503">
        <f>IF(終値!A80="","",IF(AND(安値!AF80&lt;安値!AE80,安値!AF80&lt;安値!AD80,安値!AF80&lt;安値!AG80,安値!AF80&lt;安値!AH80),27,""))</f>
        <v>27</v>
      </c>
      <c r="AB80" s="503" t="str">
        <f>IF(終値!A80="","",IF(AND(安値!AG80&lt;安値!AF80,安値!AG80&lt;安値!AE80,安値!AG80&lt;安値!AH80,安値!AG80&lt;安値!AI80),28,""))</f>
        <v/>
      </c>
      <c r="AC80" s="503" t="str">
        <f>IF(終値!A80="","",IF(AND(高値!G80&gt;高値!F80,高値!G80&gt;高値!E80,高値!G80&gt;高値!H80,高値!G80&gt;高値!I80),2,""))</f>
        <v/>
      </c>
      <c r="AD80" s="503">
        <f>IF(終値!A80="","",IF(AND(高値!H80&gt;高値!G80,高値!H80&gt;高値!F80,高値!H80&gt;高値!I80,高値!H80&gt;高値!J80),3,""))</f>
        <v>3</v>
      </c>
      <c r="AE80" s="503" t="str">
        <f>IF(終値!A80="","",IF(AND(高値!I80&gt;高値!H80,高値!I80&gt;高値!G80,高値!I80&gt;高値!J80,高値!I80&gt;高値!K80),4,""))</f>
        <v/>
      </c>
      <c r="AF80" s="503" t="str">
        <f>IF(終値!A80="","",IF(AND(高値!J80&gt;高値!I80,高値!J80&gt;高値!H80,高値!J80&gt;高値!K80,高値!J80&gt;高値!L80),5,""))</f>
        <v/>
      </c>
      <c r="AG80" s="503">
        <f>IF(終値!A80="","",IF(AND(高値!K80&gt;高値!J80,高値!K80&gt;高値!I80,高値!K80&gt;高値!L80,高値!K80&gt;高値!M80),6,""))</f>
        <v>6</v>
      </c>
      <c r="AH80" s="503" t="str">
        <f>IF(終値!A80="","",IF(AND(高値!L80&gt;高値!K80,高値!L80&gt;高値!J80,高値!L80&gt;高値!M80,高値!L80&gt;高値!N80),7,""))</f>
        <v/>
      </c>
      <c r="AI80" s="503" t="str">
        <f>IF(終値!A80="","",IF(AND(高値!M80&gt;高値!L80,高値!M80&gt;高値!K80,高値!M80&gt;高値!N80,高値!M80&gt;高値!O80),8,""))</f>
        <v/>
      </c>
      <c r="AJ80" s="503" t="str">
        <f>IF(終値!A80="","",IF(AND(高値!N80&gt;高値!M80,高値!N80&gt;高値!L80,高値!N80&gt;高値!O80,高値!N80&gt;高値!P80),9,""))</f>
        <v/>
      </c>
      <c r="AK80" s="503" t="str">
        <f>IF(終値!A80="","",IF(AND(高値!O80&gt;高値!N80,高値!O80&gt;高値!M80,高値!O80&gt;高値!P80,高値!O80&gt;高値!Q80),10,""))</f>
        <v/>
      </c>
      <c r="AL80" s="503" t="str">
        <f>IF(終値!A80="","",IF(AND(高値!P80&gt;高値!O80,高値!P80&gt;高値!N80,高値!P80&gt;高値!Q80,高値!P80&gt;高値!R80),11,""))</f>
        <v/>
      </c>
      <c r="AM80" s="503" t="str">
        <f>IF(終値!A80="","",IF(AND(高値!Q80&gt;高値!P80,高値!Q80&gt;高値!O80,高値!Q80&gt;高値!R80,高値!Q80&gt;高値!S80),12,""))</f>
        <v/>
      </c>
      <c r="AN80" s="503" t="str">
        <f>IF(終値!A80="","",IF(AND(高値!R80&gt;高値!Q80,高値!R80&gt;高値!P80,高値!R80&gt;高値!S80,高値!R80&gt;高値!T80),13,""))</f>
        <v/>
      </c>
      <c r="AO80" s="503" t="str">
        <f>IF(終値!A80="","",IF(AND(高値!S80&gt;高値!R80,高値!S80&gt;高値!Q80,高値!S80&gt;高値!T80,高値!S80&gt;高値!U80),14,""))</f>
        <v/>
      </c>
      <c r="AP80" s="503" t="str">
        <f>IF(終値!A80="","",IF(AND(高値!T80&gt;高値!S80,高値!T80&gt;高値!R80,高値!T80&gt;高値!U80,高値!T80&gt;高値!V80),15,""))</f>
        <v/>
      </c>
      <c r="AQ80" s="503" t="str">
        <f>IF(終値!A80="","",IF(AND(高値!U80&gt;高値!T80,高値!U80&gt;高値!S80,高値!U80&gt;高値!V80,高値!U80&gt;高値!W80),16,""))</f>
        <v/>
      </c>
      <c r="AR80" s="503" t="str">
        <f>IF(終値!A80="","",IF(AND(高値!V80&gt;高値!U80,高値!V80&gt;高値!T80,高値!V80&gt;高値!W80,高値!V80&gt;高値!X80),17,""))</f>
        <v/>
      </c>
      <c r="AS80" s="503" t="str">
        <f>IF(終値!A80="","",IF(AND(高値!W80&gt;高値!V80,高値!W80&gt;高値!U80,高値!W80&gt;高値!X80,高値!W80&gt;高値!Y80),18,""))</f>
        <v/>
      </c>
      <c r="AT80" s="503" t="str">
        <f>IF(終値!A80="","",IF(AND(高値!X80&gt;高値!W80,高値!X80&gt;高値!V80,高値!X80&gt;高値!Y80,高値!X80&gt;高値!Z80),19,""))</f>
        <v/>
      </c>
      <c r="AU80" s="503">
        <f>IF(終値!A80="","",IF(AND(高値!Y80&gt;高値!X80,高値!Y80&gt;高値!W80,高値!Y80&gt;高値!Z80,高値!Y80&gt;高値!AA80),20,""))</f>
        <v>20</v>
      </c>
      <c r="AV80" s="503" t="str">
        <f>IF(終値!A80="","",IF(AND(高値!Z80&gt;高値!Y80,高値!Z80&gt;高値!X80,高値!Z80&gt;高値!AA80,高値!Z80&gt;高値!AB80),21,""))</f>
        <v/>
      </c>
      <c r="AW80" s="503" t="str">
        <f>IF(終値!A80="","",IF(AND(高値!AA80&gt;高値!Z80,高値!AA80&gt;高値!Y80,高値!AA80&gt;高値!AB80,高値!AA80&gt;高値!AC80),22,""))</f>
        <v/>
      </c>
      <c r="AX80" s="503" t="str">
        <f>IF(終値!A80="","",IF(AND(高値!AB80&gt;高値!AA80,高値!AB80&gt;高値!Z80,高値!AB80&gt;高値!AC80,高値!AB80&gt;高値!AD80),23,""))</f>
        <v/>
      </c>
      <c r="AY80" s="503" t="str">
        <f>IF(終値!A80="","",IF(AND(高値!AC80&gt;高値!AB80,高値!AC80&gt;高値!AA80,高値!AC80&gt;高値!AD80,高値!AC80&gt;高値!AE80),24,""))</f>
        <v/>
      </c>
      <c r="AZ80" s="503" t="str">
        <f>IF(終値!A80="","",IF(AND(高値!AD80&gt;高値!AC80,高値!AD80&gt;高値!AB80,高値!AD80&gt;高値!AE80,高値!AD80&gt;高値!AF80),25,""))</f>
        <v/>
      </c>
      <c r="BA80" s="503">
        <f>IF(終値!A80="","",IF(AND(高値!AE80&gt;高値!AD80,高値!AE80&gt;高値!AC80,高値!AE80&gt;高値!AF80,高値!AE80&gt;高値!AG80),26,""))</f>
        <v>26</v>
      </c>
      <c r="BB80" s="503" t="str">
        <f>IF(終値!A80="","",IF(AND(高値!AF80&gt;高値!AE80,高値!AF80&gt;高値!AD80,高値!AF80&gt;高値!AG80,高値!AF80&gt;高値!AH80),27,""))</f>
        <v/>
      </c>
      <c r="BC80" s="503" t="str">
        <f>IF(終値!A80="","",IF(AND(高値!AG80&gt;高値!AF80,高値!AG80&gt;高値!AE80,高値!AG80&gt;高値!AH80,高値!AG80&gt;高値!AI80),28,""))</f>
        <v/>
      </c>
      <c r="BD80" s="503">
        <f t="shared" si="6"/>
        <v>7</v>
      </c>
      <c r="BE80" s="503">
        <f t="shared" si="7"/>
        <v>3</v>
      </c>
      <c r="BF80" s="503">
        <f t="shared" si="8"/>
        <v>6</v>
      </c>
      <c r="BG80" s="503">
        <f>IF($BE80="","",INDEX(安値!$E80:$CZ80,1,$BE80+1))</f>
        <v>5680</v>
      </c>
      <c r="BH80" s="503">
        <f>IF($BF80="","",INDEX(安値!$E80:$CZ80,1,$BF80+1))</f>
        <v>5710</v>
      </c>
      <c r="BI80" s="503">
        <f>IF($BF80="","",MAX(INDEX(高値!$E80:$CZ80,1,$BE80+1):INDEX(高値!$E80:$CZ80,1,$BF80+1)))</f>
        <v>5900</v>
      </c>
      <c r="BJ80" s="503">
        <f>IF($BF80="","",AVERAGE(INDEX(終値!$E80:$CZ80,1,$BF80+1):INDEX(終値!$E80:$CZ80,1,$BF80+20))-2*STDEVP(INDEX(終値!$E80:$CZ80,1,$BF80+1):INDEX(終値!$E80:$CZ80,1,$BF80+20)))</f>
        <v>5534.9605957491849</v>
      </c>
      <c r="BK80" s="503">
        <f>IF($BE80="","",AVERAGE(INDEX(終値!$E80:$CZ80,1,$BE80+1):INDEX(終値!$E80:$CZ80,1,$BE80+20))-2*STDEVP(INDEX(終値!$E80:$CZ80,1,$BE80+1):INDEX(終値!$E80:$CZ80,1,$BE80+20)))</f>
        <v>5555.1895579245302</v>
      </c>
      <c r="BL80" s="503">
        <f t="shared" si="9"/>
        <v>4</v>
      </c>
      <c r="BM80" s="503">
        <f t="shared" si="10"/>
        <v>3</v>
      </c>
      <c r="BN80" s="503">
        <f t="shared" si="11"/>
        <v>6</v>
      </c>
      <c r="BO80" s="503">
        <f>IF($BM80="","",INDEX(高値!$E80:$CZ80,1,$BM80+1))</f>
        <v>5880</v>
      </c>
      <c r="BP80" s="503">
        <f>IF($BN80="","",INDEX(高値!$E80:$CZ80,1,$BN80+1))</f>
        <v>5900</v>
      </c>
      <c r="BQ80" s="503">
        <f>IF($BN80="","",MIN(INDEX(安値!$E80:$CZ80,1,$BM80+1):INDEX(安値!$E80:$CZ80,1,$BN80+1)))</f>
        <v>5680</v>
      </c>
      <c r="BR80" s="503">
        <f>IF($BN80="","",AVERAGE(INDEX(終値!$E80:$CZ80,1,$BN80+1):INDEX(終値!$E80:$CZ80,1,$BN80+20))+2*STDEVP(INDEX(終値!$E80:$CZ80,1,$BN80+1):INDEX(終値!$E80:$CZ80,1,$BN80+20)))</f>
        <v>5856.6183516192368</v>
      </c>
      <c r="BS80" s="503">
        <f>IF($BM80="","",AVERAGE(INDEX(終値!$E80:$CZ80,1,$BM80+1):INDEX(終値!$E80:$CZ80,1,$BM80+20))+2*STDEVP(INDEX(終値!$E80:$CZ80,1,$BM80+1):INDEX(終値!$E80:$CZ80,1,$BM80+20)))</f>
        <v>5882.7051789175748</v>
      </c>
      <c r="BT80" s="500"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二番底W形成</v>
      </c>
    </row>
    <row r="81" spans="2:72">
      <c r="B81" s="503" t="str">
        <f>IF(終値!A81="","",IF(AND(安値!G81&lt;安値!F81,安値!G81&lt;安値!E81,安値!G81&lt;安値!H81,安値!G81&lt;安値!I81),2,""))</f>
        <v/>
      </c>
      <c r="C81" s="503" t="str">
        <f>IF(終値!A81="","",IF(AND(安値!H81&lt;安値!G81,安値!H81&lt;安値!F81,安値!H81&lt;安値!I81,安値!H81&lt;安値!J81),3,""))</f>
        <v/>
      </c>
      <c r="D81" s="503" t="str">
        <f>IF(終値!A81="","",IF(AND(安値!I81&lt;安値!H81,安値!I81&lt;安値!G81,安値!I81&lt;安値!J81,安値!I81&lt;安値!K81),4,""))</f>
        <v/>
      </c>
      <c r="E81" s="503" t="str">
        <f>IF(終値!A81="","",IF(AND(安値!J81&lt;安値!I81,安値!J81&lt;安値!H81,安値!J81&lt;安値!K81,安値!J81&lt;安値!L81),5,""))</f>
        <v/>
      </c>
      <c r="F81" s="503">
        <f>IF(終値!A81="","",IF(AND(安値!K81&lt;安値!J81,安値!K81&lt;安値!I81,安値!K81&lt;安値!L81,安値!K81&lt;安値!M81),6,""))</f>
        <v>6</v>
      </c>
      <c r="G81" s="503" t="str">
        <f>IF(終値!A81="","",IF(AND(安値!L81&lt;安値!K81,安値!L81&lt;安値!J81,安値!L81&lt;安値!M81,安値!L81&lt;安値!N81),7,""))</f>
        <v/>
      </c>
      <c r="H81" s="503" t="str">
        <f>IF(終値!A81="","",IF(AND(安値!M81&lt;安値!L81,安値!M81&lt;安値!K81,安値!M81&lt;安値!N81,安値!M81&lt;安値!O81),8,""))</f>
        <v/>
      </c>
      <c r="I81" s="503" t="str">
        <f>IF(終値!A81="","",IF(AND(安値!N81&lt;安値!M81,安値!N81&lt;安値!L81,安値!N81&lt;安値!O81,安値!N81&lt;安値!P81),9,""))</f>
        <v/>
      </c>
      <c r="J81" s="503" t="str">
        <f>IF(終値!A81="","",IF(AND(安値!O81&lt;安値!N81,安値!O81&lt;安値!M81,安値!O81&lt;安値!P81,安値!O81&lt;安値!Q81),10,""))</f>
        <v/>
      </c>
      <c r="K81" s="503" t="str">
        <f>IF(終値!A81="","",IF(AND(安値!P81&lt;安値!O81,安値!P81&lt;安値!N81,安値!P81&lt;安値!Q81,安値!P81&lt;安値!R81),11,""))</f>
        <v/>
      </c>
      <c r="L81" s="503" t="str">
        <f>IF(終値!A81="","",IF(AND(安値!Q81&lt;安値!P81,安値!Q81&lt;安値!O81,安値!Q81&lt;安値!R81,安値!Q81&lt;安値!S81),12,""))</f>
        <v/>
      </c>
      <c r="M81" s="503">
        <f>IF(終値!A81="","",IF(AND(安値!R81&lt;安値!Q81,安値!R81&lt;安値!P81,安値!R81&lt;安値!S81,安値!R81&lt;安値!T81),13,""))</f>
        <v>13</v>
      </c>
      <c r="N81" s="503" t="str">
        <f>IF(終値!A81="","",IF(AND(安値!S81&lt;安値!R81,安値!S81&lt;安値!Q81,安値!S81&lt;安値!T81,安値!S81&lt;安値!U81),14,""))</f>
        <v/>
      </c>
      <c r="O81" s="503" t="str">
        <f>IF(終値!A81="","",IF(AND(安値!T81&lt;安値!S81,安値!T81&lt;安値!R81,安値!T81&lt;安値!U81,安値!T81&lt;安値!V81),15,""))</f>
        <v/>
      </c>
      <c r="P81" s="503" t="str">
        <f>IF(終値!A81="","",IF(AND(安値!U81&lt;安値!T81,安値!U81&lt;安値!S81,安値!U81&lt;安値!V81,安値!U81&lt;安値!W81),16,""))</f>
        <v/>
      </c>
      <c r="Q81" s="503" t="str">
        <f>IF(終値!A81="","",IF(AND(安値!V81&lt;安値!U81,安値!V81&lt;安値!T81,安値!V81&lt;安値!W81,安値!V81&lt;安値!X81),17,""))</f>
        <v/>
      </c>
      <c r="R81" s="503">
        <f>IF(終値!A81="","",IF(AND(安値!W81&lt;安値!V81,安値!W81&lt;安値!U81,安値!W81&lt;安値!X81,安値!W81&lt;安値!Y81),18,""))</f>
        <v>18</v>
      </c>
      <c r="S81" s="503" t="str">
        <f>IF(終値!A81="","",IF(AND(安値!X81&lt;安値!W81,安値!X81&lt;安値!V81,安値!X81&lt;安値!Y81,安値!X81&lt;安値!Z81),19,""))</f>
        <v/>
      </c>
      <c r="T81" s="503" t="str">
        <f>IF(終値!A81="","",IF(AND(安値!Y81&lt;安値!X81,安値!Y81&lt;安値!W81,安値!Y81&lt;安値!Z81,安値!Y81&lt;安値!AA81),20,""))</f>
        <v/>
      </c>
      <c r="U81" s="503" t="str">
        <f>IF(終値!A81="","",IF(AND(安値!Z81&lt;安値!Y81,安値!Z81&lt;安値!X81,安値!Z81&lt;安値!AA81,安値!Z81&lt;安値!AB81),21,""))</f>
        <v/>
      </c>
      <c r="V81" s="503" t="str">
        <f>IF(終値!A81="","",IF(AND(安値!AA81&lt;安値!Z81,安値!AA81&lt;安値!Y81,安値!AA81&lt;安値!AB81,安値!AA81&lt;安値!AC81),22,""))</f>
        <v/>
      </c>
      <c r="W81" s="503">
        <f>IF(終値!A81="","",IF(AND(安値!AB81&lt;安値!AA81,安値!AB81&lt;安値!Z81,安値!AB81&lt;安値!AC81,安値!AB81&lt;安値!AD81),23,""))</f>
        <v>23</v>
      </c>
      <c r="X81" s="503" t="str">
        <f>IF(終値!A81="","",IF(AND(安値!AC81&lt;安値!AB81,安値!AC81&lt;安値!AA81,安値!AC81&lt;安値!AD81,安値!AC81&lt;安値!AE81),24,""))</f>
        <v/>
      </c>
      <c r="Y81" s="503" t="str">
        <f>IF(終値!A81="","",IF(AND(安値!AD81&lt;安値!AC81,安値!AD81&lt;安値!AB81,安値!AD81&lt;安値!AE81,安値!AD81&lt;安値!AF81),25,""))</f>
        <v/>
      </c>
      <c r="Z81" s="503">
        <f>IF(終値!A81="","",IF(AND(安値!AE81&lt;安値!AD81,安値!AE81&lt;安値!AC81,安値!AE81&lt;安値!AF81,安値!AE81&lt;安値!AG81),26,""))</f>
        <v>26</v>
      </c>
      <c r="AA81" s="503" t="str">
        <f>IF(終値!A81="","",IF(AND(安値!AF81&lt;安値!AE81,安値!AF81&lt;安値!AD81,安値!AF81&lt;安値!AG81,安値!AF81&lt;安値!AH81),27,""))</f>
        <v/>
      </c>
      <c r="AB81" s="503" t="str">
        <f>IF(終値!A81="","",IF(AND(安値!AG81&lt;安値!AF81,安値!AG81&lt;安値!AE81,安値!AG81&lt;安値!AH81,安値!AG81&lt;安値!AI81),28,""))</f>
        <v/>
      </c>
      <c r="AC81" s="503">
        <f>IF(終値!A81="","",IF(AND(高値!G81&gt;高値!F81,高値!G81&gt;高値!E81,高値!G81&gt;高値!H81,高値!G81&gt;高値!I81),2,""))</f>
        <v>2</v>
      </c>
      <c r="AD81" s="503" t="str">
        <f>IF(終値!A81="","",IF(AND(高値!H81&gt;高値!G81,高値!H81&gt;高値!F81,高値!H81&gt;高値!I81,高値!H81&gt;高値!J81),3,""))</f>
        <v/>
      </c>
      <c r="AE81" s="503" t="str">
        <f>IF(終値!A81="","",IF(AND(高値!I81&gt;高値!H81,高値!I81&gt;高値!G81,高値!I81&gt;高値!J81,高値!I81&gt;高値!K81),4,""))</f>
        <v/>
      </c>
      <c r="AF81" s="503" t="str">
        <f>IF(終値!A81="","",IF(AND(高値!J81&gt;高値!I81,高値!J81&gt;高値!H81,高値!J81&gt;高値!K81,高値!J81&gt;高値!L81),5,""))</f>
        <v/>
      </c>
      <c r="AG81" s="503" t="str">
        <f>IF(終値!A81="","",IF(AND(高値!K81&gt;高値!J81,高値!K81&gt;高値!I81,高値!K81&gt;高値!L81,高値!K81&gt;高値!M81),6,""))</f>
        <v/>
      </c>
      <c r="AH81" s="503" t="str">
        <f>IF(終値!A81="","",IF(AND(高値!L81&gt;高値!K81,高値!L81&gt;高値!J81,高値!L81&gt;高値!M81,高値!L81&gt;高値!N81),7,""))</f>
        <v/>
      </c>
      <c r="AI81" s="503">
        <f>IF(終値!A81="","",IF(AND(高値!M81&gt;高値!L81,高値!M81&gt;高値!K81,高値!M81&gt;高値!N81,高値!M81&gt;高値!O81),8,""))</f>
        <v>8</v>
      </c>
      <c r="AJ81" s="503" t="str">
        <f>IF(終値!A81="","",IF(AND(高値!N81&gt;高値!M81,高値!N81&gt;高値!L81,高値!N81&gt;高値!O81,高値!N81&gt;高値!P81),9,""))</f>
        <v/>
      </c>
      <c r="AK81" s="503" t="str">
        <f>IF(終値!A81="","",IF(AND(高値!O81&gt;高値!N81,高値!O81&gt;高値!M81,高値!O81&gt;高値!P81,高値!O81&gt;高値!Q81),10,""))</f>
        <v/>
      </c>
      <c r="AL81" s="503" t="str">
        <f>IF(終値!A81="","",IF(AND(高値!P81&gt;高値!O81,高値!P81&gt;高値!N81,高値!P81&gt;高値!Q81,高値!P81&gt;高値!R81),11,""))</f>
        <v/>
      </c>
      <c r="AM81" s="503" t="str">
        <f>IF(終値!A81="","",IF(AND(高値!Q81&gt;高値!P81,高値!Q81&gt;高値!O81,高値!Q81&gt;高値!R81,高値!Q81&gt;高値!S81),12,""))</f>
        <v/>
      </c>
      <c r="AN81" s="503" t="str">
        <f>IF(終値!A81="","",IF(AND(高値!R81&gt;高値!Q81,高値!R81&gt;高値!P81,高値!R81&gt;高値!S81,高値!R81&gt;高値!T81),13,""))</f>
        <v/>
      </c>
      <c r="AO81" s="503" t="str">
        <f>IF(終値!A81="","",IF(AND(高値!S81&gt;高値!R81,高値!S81&gt;高値!Q81,高値!S81&gt;高値!T81,高値!S81&gt;高値!U81),14,""))</f>
        <v/>
      </c>
      <c r="AP81" s="503" t="str">
        <f>IF(終値!A81="","",IF(AND(高値!T81&gt;高値!S81,高値!T81&gt;高値!R81,高値!T81&gt;高値!U81,高値!T81&gt;高値!V81),15,""))</f>
        <v/>
      </c>
      <c r="AQ81" s="503">
        <f>IF(終値!A81="","",IF(AND(高値!U81&gt;高値!T81,高値!U81&gt;高値!S81,高値!U81&gt;高値!V81,高値!U81&gt;高値!W81),16,""))</f>
        <v>16</v>
      </c>
      <c r="AR81" s="503" t="str">
        <f>IF(終値!A81="","",IF(AND(高値!V81&gt;高値!U81,高値!V81&gt;高値!T81,高値!V81&gt;高値!W81,高値!V81&gt;高値!X81),17,""))</f>
        <v/>
      </c>
      <c r="AS81" s="503" t="str">
        <f>IF(終値!A81="","",IF(AND(高値!W81&gt;高値!V81,高値!W81&gt;高値!U81,高値!W81&gt;高値!X81,高値!W81&gt;高値!Y81),18,""))</f>
        <v/>
      </c>
      <c r="AT81" s="503" t="str">
        <f>IF(終値!A81="","",IF(AND(高値!X81&gt;高値!W81,高値!X81&gt;高値!V81,高値!X81&gt;高値!Y81,高値!X81&gt;高値!Z81),19,""))</f>
        <v/>
      </c>
      <c r="AU81" s="503" t="str">
        <f>IF(終値!A81="","",IF(AND(高値!Y81&gt;高値!X81,高値!Y81&gt;高値!W81,高値!Y81&gt;高値!Z81,高値!Y81&gt;高値!AA81),20,""))</f>
        <v/>
      </c>
      <c r="AV81" s="503">
        <f>IF(終値!A81="","",IF(AND(高値!Z81&gt;高値!Y81,高値!Z81&gt;高値!X81,高値!Z81&gt;高値!AA81,高値!Z81&gt;高値!AB81),21,""))</f>
        <v>21</v>
      </c>
      <c r="AW81" s="503" t="str">
        <f>IF(終値!A81="","",IF(AND(高値!AA81&gt;高値!Z81,高値!AA81&gt;高値!Y81,高値!AA81&gt;高値!AB81,高値!AA81&gt;高値!AC81),22,""))</f>
        <v/>
      </c>
      <c r="AX81" s="503" t="str">
        <f>IF(終値!A81="","",IF(AND(高値!AB81&gt;高値!AA81,高値!AB81&gt;高値!Z81,高値!AB81&gt;高値!AC81,高値!AB81&gt;高値!AD81),23,""))</f>
        <v/>
      </c>
      <c r="AY81" s="503" t="str">
        <f>IF(終値!A81="","",IF(AND(高値!AC81&gt;高値!AB81,高値!AC81&gt;高値!AA81,高値!AC81&gt;高値!AD81,高値!AC81&gt;高値!AE81),24,""))</f>
        <v/>
      </c>
      <c r="AZ81" s="503" t="str">
        <f>IF(終値!A81="","",IF(AND(高値!AD81&gt;高値!AC81,高値!AD81&gt;高値!AB81,高値!AD81&gt;高値!AE81,高値!AD81&gt;高値!AF81),25,""))</f>
        <v/>
      </c>
      <c r="BA81" s="503" t="str">
        <f>IF(終値!A81="","",IF(AND(高値!AE81&gt;高値!AD81,高値!AE81&gt;高値!AC81,高値!AE81&gt;高値!AF81,高値!AE81&gt;高値!AG81),26,""))</f>
        <v/>
      </c>
      <c r="BB81" s="503" t="str">
        <f>IF(終値!A81="","",IF(AND(高値!AF81&gt;高値!AE81,高値!AF81&gt;高値!AD81,高値!AF81&gt;高値!AG81,高値!AF81&gt;高値!AH81),27,""))</f>
        <v/>
      </c>
      <c r="BC81" s="503" t="str">
        <f>IF(終値!A81="","",IF(AND(高値!AG81&gt;高値!AF81,高値!AG81&gt;高値!AE81,高値!AG81&gt;高値!AH81,高値!AG81&gt;高値!AI81),28,""))</f>
        <v/>
      </c>
      <c r="BD81" s="503">
        <f t="shared" si="6"/>
        <v>5</v>
      </c>
      <c r="BE81" s="503">
        <f t="shared" si="7"/>
        <v>6</v>
      </c>
      <c r="BF81" s="503">
        <f t="shared" si="8"/>
        <v>13</v>
      </c>
      <c r="BG81" s="503">
        <f>IF($BE81="","",INDEX(安値!$E81:$CZ81,1,$BE81+1))</f>
        <v>5472</v>
      </c>
      <c r="BH81" s="503">
        <f>IF($BF81="","",INDEX(安値!$E81:$CZ81,1,$BF81+1))</f>
        <v>5326</v>
      </c>
      <c r="BI81" s="503">
        <f>IF($BF81="","",MAX(INDEX(高値!$E81:$CZ81,1,$BE81+1):INDEX(高値!$E81:$CZ81,1,$BF81+1)))</f>
        <v>6022</v>
      </c>
      <c r="BJ81" s="503">
        <f>IF($BF81="","",AVERAGE(INDEX(終値!$E81:$CZ81,1,$BF81+1):INDEX(終値!$E81:$CZ81,1,$BF81+20))-2*STDEVP(INDEX(終値!$E81:$CZ81,1,$BF81+1):INDEX(終値!$E81:$CZ81,1,$BF81+20)))</f>
        <v>5354.1494384456055</v>
      </c>
      <c r="BK81" s="503">
        <f>IF($BE81="","",AVERAGE(INDEX(終値!$E81:$CZ81,1,$BE81+1):INDEX(終値!$E81:$CZ81,1,$BE81+20))-2*STDEVP(INDEX(終値!$E81:$CZ81,1,$BE81+1):INDEX(終値!$E81:$CZ81,1,$BE81+20)))</f>
        <v>5355.1396792339829</v>
      </c>
      <c r="BL81" s="503">
        <f t="shared" si="9"/>
        <v>4</v>
      </c>
      <c r="BM81" s="503">
        <f t="shared" si="10"/>
        <v>2</v>
      </c>
      <c r="BN81" s="503">
        <f t="shared" si="11"/>
        <v>8</v>
      </c>
      <c r="BO81" s="503">
        <f>IF($BM81="","",INDEX(高値!$E81:$CZ81,1,$BM81+1))</f>
        <v>5980</v>
      </c>
      <c r="BP81" s="503">
        <f>IF($BN81="","",INDEX(高値!$E81:$CZ81,1,$BN81+1))</f>
        <v>6022</v>
      </c>
      <c r="BQ81" s="503">
        <f>IF($BN81="","",MIN(INDEX(安値!$E81:$CZ81,1,$BM81+1):INDEX(安値!$E81:$CZ81,1,$BN81+1)))</f>
        <v>5472</v>
      </c>
      <c r="BR81" s="503">
        <f>IF($BN81="","",AVERAGE(INDEX(終値!$E81:$CZ81,1,$BN81+1):INDEX(終値!$E81:$CZ81,1,$BN81+20))+2*STDEVP(INDEX(終値!$E81:$CZ81,1,$BN81+1):INDEX(終値!$E81:$CZ81,1,$BN81+20)))</f>
        <v>5945.1224369974316</v>
      </c>
      <c r="BS81" s="503">
        <f>IF($BM81="","",AVERAGE(INDEX(終値!$E81:$CZ81,1,$BM81+1):INDEX(終値!$E81:$CZ81,1,$BM81+20))+2*STDEVP(INDEX(終値!$E81:$CZ81,1,$BM81+1):INDEX(終値!$E81:$CZ81,1,$BM81+20)))</f>
        <v>5973.5235008018562</v>
      </c>
      <c r="BT81" s="500"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二番天井M▼</v>
      </c>
    </row>
    <row r="82" spans="2:72">
      <c r="B82" s="503" t="str">
        <f>IF(終値!A82="","",IF(AND(安値!G82&lt;安値!F82,安値!G82&lt;安値!E82,安値!G82&lt;安値!H82,安値!G82&lt;安値!I82),2,""))</f>
        <v/>
      </c>
      <c r="C82" s="503">
        <f>IF(終値!A82="","",IF(AND(安値!H82&lt;安値!G82,安値!H82&lt;安値!F82,安値!H82&lt;安値!I82,安値!H82&lt;安値!J82),3,""))</f>
        <v>3</v>
      </c>
      <c r="D82" s="503" t="str">
        <f>IF(終値!A82="","",IF(AND(安値!I82&lt;安値!H82,安値!I82&lt;安値!G82,安値!I82&lt;安値!J82,安値!I82&lt;安値!K82),4,""))</f>
        <v/>
      </c>
      <c r="E82" s="503" t="str">
        <f>IF(終値!A82="","",IF(AND(安値!J82&lt;安値!I82,安値!J82&lt;安値!H82,安値!J82&lt;安値!K82,安値!J82&lt;安値!L82),5,""))</f>
        <v/>
      </c>
      <c r="F82" s="503" t="str">
        <f>IF(終値!A82="","",IF(AND(安値!K82&lt;安値!J82,安値!K82&lt;安値!I82,安値!K82&lt;安値!L82,安値!K82&lt;安値!M82),6,""))</f>
        <v/>
      </c>
      <c r="G82" s="503" t="str">
        <f>IF(終値!A82="","",IF(AND(安値!L82&lt;安値!K82,安値!L82&lt;安値!J82,安値!L82&lt;安値!M82,安値!L82&lt;安値!N82),7,""))</f>
        <v/>
      </c>
      <c r="H82" s="503" t="str">
        <f>IF(終値!A82="","",IF(AND(安値!M82&lt;安値!L82,安値!M82&lt;安値!K82,安値!M82&lt;安値!N82,安値!M82&lt;安値!O82),8,""))</f>
        <v/>
      </c>
      <c r="I82" s="503" t="str">
        <f>IF(終値!A82="","",IF(AND(安値!N82&lt;安値!M82,安値!N82&lt;安値!L82,安値!N82&lt;安値!O82,安値!N82&lt;安値!P82),9,""))</f>
        <v/>
      </c>
      <c r="J82" s="503" t="str">
        <f>IF(終値!A82="","",IF(AND(安値!O82&lt;安値!N82,安値!O82&lt;安値!M82,安値!O82&lt;安値!P82,安値!O82&lt;安値!Q82),10,""))</f>
        <v/>
      </c>
      <c r="K82" s="503" t="str">
        <f>IF(終値!A82="","",IF(AND(安値!P82&lt;安値!O82,安値!P82&lt;安値!N82,安値!P82&lt;安値!Q82,安値!P82&lt;安値!R82),11,""))</f>
        <v/>
      </c>
      <c r="L82" s="503" t="str">
        <f>IF(終値!A82="","",IF(AND(安値!Q82&lt;安値!P82,安値!Q82&lt;安値!O82,安値!Q82&lt;安値!R82,安値!Q82&lt;安値!S82),12,""))</f>
        <v/>
      </c>
      <c r="M82" s="503">
        <f>IF(終値!A82="","",IF(AND(安値!R82&lt;安値!Q82,安値!R82&lt;安値!P82,安値!R82&lt;安値!S82,安値!R82&lt;安値!T82),13,""))</f>
        <v>13</v>
      </c>
      <c r="N82" s="503" t="str">
        <f>IF(終値!A82="","",IF(AND(安値!S82&lt;安値!R82,安値!S82&lt;安値!Q82,安値!S82&lt;安値!T82,安値!S82&lt;安値!U82),14,""))</f>
        <v/>
      </c>
      <c r="O82" s="503" t="str">
        <f>IF(終値!A82="","",IF(AND(安値!T82&lt;安値!S82,安値!T82&lt;安値!R82,安値!T82&lt;安値!U82,安値!T82&lt;安値!V82),15,""))</f>
        <v/>
      </c>
      <c r="P82" s="503" t="str">
        <f>IF(終値!A82="","",IF(AND(安値!U82&lt;安値!T82,安値!U82&lt;安値!S82,安値!U82&lt;安値!V82,安値!U82&lt;安値!W82),16,""))</f>
        <v/>
      </c>
      <c r="Q82" s="503" t="str">
        <f>IF(終値!A82="","",IF(AND(安値!V82&lt;安値!U82,安値!V82&lt;安値!T82,安値!V82&lt;安値!W82,安値!V82&lt;安値!X82),17,""))</f>
        <v/>
      </c>
      <c r="R82" s="503" t="str">
        <f>IF(終値!A82="","",IF(AND(安値!W82&lt;安値!V82,安値!W82&lt;安値!U82,安値!W82&lt;安値!X82,安値!W82&lt;安値!Y82),18,""))</f>
        <v/>
      </c>
      <c r="S82" s="503" t="str">
        <f>IF(終値!A82="","",IF(AND(安値!X82&lt;安値!W82,安値!X82&lt;安値!V82,安値!X82&lt;安値!Y82,安値!X82&lt;安値!Z82),19,""))</f>
        <v/>
      </c>
      <c r="T82" s="503" t="str">
        <f>IF(終値!A82="","",IF(AND(安値!Y82&lt;安値!X82,安値!Y82&lt;安値!W82,安値!Y82&lt;安値!Z82,安値!Y82&lt;安値!AA82),20,""))</f>
        <v/>
      </c>
      <c r="U82" s="503" t="str">
        <f>IF(終値!A82="","",IF(AND(安値!Z82&lt;安値!Y82,安値!Z82&lt;安値!X82,安値!Z82&lt;安値!AA82,安値!Z82&lt;安値!AB82),21,""))</f>
        <v/>
      </c>
      <c r="V82" s="503" t="str">
        <f>IF(終値!A82="","",IF(AND(安値!AA82&lt;安値!Z82,安値!AA82&lt;安値!Y82,安値!AA82&lt;安値!AB82,安値!AA82&lt;安値!AC82),22,""))</f>
        <v/>
      </c>
      <c r="W82" s="503" t="str">
        <f>IF(終値!A82="","",IF(AND(安値!AB82&lt;安値!AA82,安値!AB82&lt;安値!Z82,安値!AB82&lt;安値!AC82,安値!AB82&lt;安値!AD82),23,""))</f>
        <v/>
      </c>
      <c r="X82" s="503" t="str">
        <f>IF(終値!A82="","",IF(AND(安値!AC82&lt;安値!AB82,安値!AC82&lt;安値!AA82,安値!AC82&lt;安値!AD82,安値!AC82&lt;安値!AE82),24,""))</f>
        <v/>
      </c>
      <c r="Y82" s="503" t="str">
        <f>IF(終値!A82="","",IF(AND(安値!AD82&lt;安値!AC82,安値!AD82&lt;安値!AB82,安値!AD82&lt;安値!AE82,安値!AD82&lt;安値!AF82),25,""))</f>
        <v/>
      </c>
      <c r="Z82" s="503" t="str">
        <f>IF(終値!A82="","",IF(AND(安値!AE82&lt;安値!AD82,安値!AE82&lt;安値!AC82,安値!AE82&lt;安値!AF82,安値!AE82&lt;安値!AG82),26,""))</f>
        <v/>
      </c>
      <c r="AA82" s="503" t="str">
        <f>IF(終値!A82="","",IF(AND(安値!AF82&lt;安値!AE82,安値!AF82&lt;安値!AD82,安値!AF82&lt;安値!AG82,安値!AF82&lt;安値!AH82),27,""))</f>
        <v/>
      </c>
      <c r="AB82" s="503" t="str">
        <f>IF(終値!A82="","",IF(AND(安値!AG82&lt;安値!AF82,安値!AG82&lt;安値!AE82,安値!AG82&lt;安値!AH82,安値!AG82&lt;安値!AI82),28,""))</f>
        <v/>
      </c>
      <c r="AC82" s="503" t="str">
        <f>IF(終値!A82="","",IF(AND(高値!G82&gt;高値!F82,高値!G82&gt;高値!E82,高値!G82&gt;高値!H82,高値!G82&gt;高値!I82),2,""))</f>
        <v/>
      </c>
      <c r="AD82" s="503" t="str">
        <f>IF(終値!A82="","",IF(AND(高値!H82&gt;高値!G82,高値!H82&gt;高値!F82,高値!H82&gt;高値!I82,高値!H82&gt;高値!J82),3,""))</f>
        <v/>
      </c>
      <c r="AE82" s="503" t="str">
        <f>IF(終値!A82="","",IF(AND(高値!I82&gt;高値!H82,高値!I82&gt;高値!G82,高値!I82&gt;高値!J82,高値!I82&gt;高値!K82),4,""))</f>
        <v/>
      </c>
      <c r="AF82" s="503" t="str">
        <f>IF(終値!A82="","",IF(AND(高値!J82&gt;高値!I82,高値!J82&gt;高値!H82,高値!J82&gt;高値!K82,高値!J82&gt;高値!L82),5,""))</f>
        <v/>
      </c>
      <c r="AG82" s="503" t="str">
        <f>IF(終値!A82="","",IF(AND(高値!K82&gt;高値!J82,高値!K82&gt;高値!I82,高値!K82&gt;高値!L82,高値!K82&gt;高値!M82),6,""))</f>
        <v/>
      </c>
      <c r="AH82" s="503" t="str">
        <f>IF(終値!A82="","",IF(AND(高値!L82&gt;高値!K82,高値!L82&gt;高値!J82,高値!L82&gt;高値!M82,高値!L82&gt;高値!N82),7,""))</f>
        <v/>
      </c>
      <c r="AI82" s="503">
        <f>IF(終値!A82="","",IF(AND(高値!M82&gt;高値!L82,高値!M82&gt;高値!K82,高値!M82&gt;高値!N82,高値!M82&gt;高値!O82),8,""))</f>
        <v>8</v>
      </c>
      <c r="AJ82" s="503" t="str">
        <f>IF(終値!A82="","",IF(AND(高値!N82&gt;高値!M82,高値!N82&gt;高値!L82,高値!N82&gt;高値!O82,高値!N82&gt;高値!P82),9,""))</f>
        <v/>
      </c>
      <c r="AK82" s="503" t="str">
        <f>IF(終値!A82="","",IF(AND(高値!O82&gt;高値!N82,高値!O82&gt;高値!M82,高値!O82&gt;高値!P82,高値!O82&gt;高値!Q82),10,""))</f>
        <v/>
      </c>
      <c r="AL82" s="503" t="str">
        <f>IF(終値!A82="","",IF(AND(高値!P82&gt;高値!O82,高値!P82&gt;高値!N82,高値!P82&gt;高値!Q82,高値!P82&gt;高値!R82),11,""))</f>
        <v/>
      </c>
      <c r="AM82" s="503" t="str">
        <f>IF(終値!A82="","",IF(AND(高値!Q82&gt;高値!P82,高値!Q82&gt;高値!O82,高値!Q82&gt;高値!R82,高値!Q82&gt;高値!S82),12,""))</f>
        <v/>
      </c>
      <c r="AN82" s="503" t="str">
        <f>IF(終値!A82="","",IF(AND(高値!R82&gt;高値!Q82,高値!R82&gt;高値!P82,高値!R82&gt;高値!S82,高値!R82&gt;高値!T82),13,""))</f>
        <v/>
      </c>
      <c r="AO82" s="503" t="str">
        <f>IF(終値!A82="","",IF(AND(高値!S82&gt;高値!R82,高値!S82&gt;高値!Q82,高値!S82&gt;高値!T82,高値!S82&gt;高値!U82),14,""))</f>
        <v/>
      </c>
      <c r="AP82" s="503" t="str">
        <f>IF(終値!A82="","",IF(AND(高値!T82&gt;高値!S82,高値!T82&gt;高値!R82,高値!T82&gt;高値!U82,高値!T82&gt;高値!V82),15,""))</f>
        <v/>
      </c>
      <c r="AQ82" s="503" t="str">
        <f>IF(終値!A82="","",IF(AND(高値!U82&gt;高値!T82,高値!U82&gt;高値!S82,高値!U82&gt;高値!V82,高値!U82&gt;高値!W82),16,""))</f>
        <v/>
      </c>
      <c r="AR82" s="503">
        <f>IF(終値!A82="","",IF(AND(高値!V82&gt;高値!U82,高値!V82&gt;高値!T82,高値!V82&gt;高値!W82,高値!V82&gt;高値!X82),17,""))</f>
        <v>17</v>
      </c>
      <c r="AS82" s="503" t="str">
        <f>IF(終値!A82="","",IF(AND(高値!W82&gt;高値!V82,高値!W82&gt;高値!U82,高値!W82&gt;高値!X82,高値!W82&gt;高値!Y82),18,""))</f>
        <v/>
      </c>
      <c r="AT82" s="503" t="str">
        <f>IF(終値!A82="","",IF(AND(高値!X82&gt;高値!W82,高値!X82&gt;高値!V82,高値!X82&gt;高値!Y82,高値!X82&gt;高値!Z82),19,""))</f>
        <v/>
      </c>
      <c r="AU82" s="503" t="str">
        <f>IF(終値!A82="","",IF(AND(高値!Y82&gt;高値!X82,高値!Y82&gt;高値!W82,高値!Y82&gt;高値!Z82,高値!Y82&gt;高値!AA82),20,""))</f>
        <v/>
      </c>
      <c r="AV82" s="503" t="str">
        <f>IF(終値!A82="","",IF(AND(高値!Z82&gt;高値!Y82,高値!Z82&gt;高値!X82,高値!Z82&gt;高値!AA82,高値!Z82&gt;高値!AB82),21,""))</f>
        <v/>
      </c>
      <c r="AW82" s="503" t="str">
        <f>IF(終値!A82="","",IF(AND(高値!AA82&gt;高値!Z82,高値!AA82&gt;高値!Y82,高値!AA82&gt;高値!AB82,高値!AA82&gt;高値!AC82),22,""))</f>
        <v/>
      </c>
      <c r="AX82" s="503" t="str">
        <f>IF(終値!A82="","",IF(AND(高値!AB82&gt;高値!AA82,高値!AB82&gt;高値!Z82,高値!AB82&gt;高値!AC82,高値!AB82&gt;高値!AD82),23,""))</f>
        <v/>
      </c>
      <c r="AY82" s="503" t="str">
        <f>IF(終値!A82="","",IF(AND(高値!AC82&gt;高値!AB82,高値!AC82&gt;高値!AA82,高値!AC82&gt;高値!AD82,高値!AC82&gt;高値!AE82),24,""))</f>
        <v/>
      </c>
      <c r="AZ82" s="503" t="str">
        <f>IF(終値!A82="","",IF(AND(高値!AD82&gt;高値!AC82,高値!AD82&gt;高値!AB82,高値!AD82&gt;高値!AE82,高値!AD82&gt;高値!AF82),25,""))</f>
        <v/>
      </c>
      <c r="BA82" s="503" t="str">
        <f>IF(終値!A82="","",IF(AND(高値!AE82&gt;高値!AD82,高値!AE82&gt;高値!AC82,高値!AE82&gt;高値!AF82,高値!AE82&gt;高値!AG82),26,""))</f>
        <v/>
      </c>
      <c r="BB82" s="503" t="str">
        <f>IF(終値!A82="","",IF(AND(高値!AF82&gt;高値!AE82,高値!AF82&gt;高値!AD82,高値!AF82&gt;高値!AG82,高値!AF82&gt;高値!AH82),27,""))</f>
        <v/>
      </c>
      <c r="BC82" s="503" t="str">
        <f>IF(終値!A82="","",IF(AND(高値!AG82&gt;高値!AF82,高値!AG82&gt;高値!AE82,高値!AG82&gt;高値!AH82,高値!AG82&gt;高値!AI82),28,""))</f>
        <v/>
      </c>
      <c r="BD82" s="503">
        <f t="shared" si="6"/>
        <v>2</v>
      </c>
      <c r="BE82" s="503">
        <f t="shared" si="7"/>
        <v>3</v>
      </c>
      <c r="BF82" s="503">
        <f t="shared" si="8"/>
        <v>13</v>
      </c>
      <c r="BG82" s="503">
        <f>IF($BE82="","",INDEX(安値!$E82:$CZ82,1,$BE82+1))</f>
        <v>1432</v>
      </c>
      <c r="BH82" s="503">
        <f>IF($BF82="","",INDEX(安値!$E82:$CZ82,1,$BF82+1))</f>
        <v>1408</v>
      </c>
      <c r="BI82" s="503">
        <f>IF($BF82="","",MAX(INDEX(高値!$E82:$CZ82,1,$BE82+1):INDEX(高値!$E82:$CZ82,1,$BF82+1)))</f>
        <v>1558.5</v>
      </c>
      <c r="BJ82" s="503">
        <f>IF($BF82="","",AVERAGE(INDEX(終値!$E82:$CZ82,1,$BF82+1):INDEX(終値!$E82:$CZ82,1,$BF82+20))-2*STDEVP(INDEX(終値!$E82:$CZ82,1,$BF82+1):INDEX(終値!$E82:$CZ82,1,$BF82+20)))</f>
        <v>1344.5760406311954</v>
      </c>
      <c r="BK82" s="503">
        <f>IF($BE82="","",AVERAGE(INDEX(終値!$E82:$CZ82,1,$BE82+1):INDEX(終値!$E82:$CZ82,1,$BE82+20))-2*STDEVP(INDEX(終値!$E82:$CZ82,1,$BE82+1):INDEX(終値!$E82:$CZ82,1,$BE82+20)))</f>
        <v>1448.3872268217569</v>
      </c>
      <c r="BL82" s="503">
        <f t="shared" si="9"/>
        <v>2</v>
      </c>
      <c r="BM82" s="503">
        <f t="shared" si="10"/>
        <v>8</v>
      </c>
      <c r="BN82" s="503">
        <f t="shared" si="11"/>
        <v>17</v>
      </c>
      <c r="BO82" s="503">
        <f>IF($BM82="","",INDEX(高値!$E82:$CZ82,1,$BM82+1))</f>
        <v>1558.5</v>
      </c>
      <c r="BP82" s="503">
        <f>IF($BN82="","",INDEX(高値!$E82:$CZ82,1,$BN82+1))</f>
        <v>1585.5</v>
      </c>
      <c r="BQ82" s="503">
        <f>IF($BN82="","",MIN(INDEX(安値!$E82:$CZ82,1,$BM82+1):INDEX(安値!$E82:$CZ82,1,$BN82+1)))</f>
        <v>1408</v>
      </c>
      <c r="BR82" s="503">
        <f>IF($BN82="","",AVERAGE(INDEX(終値!$E82:$CZ82,1,$BN82+1):INDEX(終値!$E82:$CZ82,1,$BN82+20))+2*STDEVP(INDEX(終値!$E82:$CZ82,1,$BN82+1):INDEX(終値!$E82:$CZ82,1,$BN82+20)))</f>
        <v>1573.2232076505459</v>
      </c>
      <c r="BS82" s="503">
        <f>IF($BM82="","",AVERAGE(INDEX(終値!$E82:$CZ82,1,$BM82+1):INDEX(終値!$E82:$CZ82,1,$BM82+20))+2*STDEVP(INDEX(終値!$E82:$CZ82,1,$BM82+1):INDEX(終値!$E82:$CZ82,1,$BM82+20)))</f>
        <v>1601.477446611759</v>
      </c>
      <c r="BT82" s="500"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v>
      </c>
    </row>
    <row r="83" spans="2:72">
      <c r="B83" s="503" t="str">
        <f>IF(終値!A83="","",IF(AND(安値!G83&lt;安値!F83,安値!G83&lt;安値!E83,安値!G83&lt;安値!H83,安値!G83&lt;安値!I83),2,""))</f>
        <v/>
      </c>
      <c r="C83" s="503" t="str">
        <f>IF(終値!A83="","",IF(AND(安値!H83&lt;安値!G83,安値!H83&lt;安値!F83,安値!H83&lt;安値!I83,安値!H83&lt;安値!J83),3,""))</f>
        <v/>
      </c>
      <c r="D83" s="503" t="str">
        <f>IF(終値!A83="","",IF(AND(安値!I83&lt;安値!H83,安値!I83&lt;安値!G83,安値!I83&lt;安値!J83,安値!I83&lt;安値!K83),4,""))</f>
        <v/>
      </c>
      <c r="E83" s="503" t="str">
        <f>IF(終値!A83="","",IF(AND(安値!J83&lt;安値!I83,安値!J83&lt;安値!H83,安値!J83&lt;安値!K83,安値!J83&lt;安値!L83),5,""))</f>
        <v/>
      </c>
      <c r="F83" s="503" t="str">
        <f>IF(終値!A83="","",IF(AND(安値!K83&lt;安値!J83,安値!K83&lt;安値!I83,安値!K83&lt;安値!L83,安値!K83&lt;安値!M83),6,""))</f>
        <v/>
      </c>
      <c r="G83" s="503" t="str">
        <f>IF(終値!A83="","",IF(AND(安値!L83&lt;安値!K83,安値!L83&lt;安値!J83,安値!L83&lt;安値!M83,安値!L83&lt;安値!N83),7,""))</f>
        <v/>
      </c>
      <c r="H83" s="503" t="str">
        <f>IF(終値!A83="","",IF(AND(安値!M83&lt;安値!L83,安値!M83&lt;安値!K83,安値!M83&lt;安値!N83,安値!M83&lt;安値!O83),8,""))</f>
        <v/>
      </c>
      <c r="I83" s="503">
        <f>IF(終値!A83="","",IF(AND(安値!N83&lt;安値!M83,安値!N83&lt;安値!L83,安値!N83&lt;安値!O83,安値!N83&lt;安値!P83),9,""))</f>
        <v>9</v>
      </c>
      <c r="J83" s="503" t="str">
        <f>IF(終値!A83="","",IF(AND(安値!O83&lt;安値!N83,安値!O83&lt;安値!M83,安値!O83&lt;安値!P83,安値!O83&lt;安値!Q83),10,""))</f>
        <v/>
      </c>
      <c r="K83" s="503" t="str">
        <f>IF(終値!A83="","",IF(AND(安値!P83&lt;安値!O83,安値!P83&lt;安値!N83,安値!P83&lt;安値!Q83,安値!P83&lt;安値!R83),11,""))</f>
        <v/>
      </c>
      <c r="L83" s="503" t="str">
        <f>IF(終値!A83="","",IF(AND(安値!Q83&lt;安値!P83,安値!Q83&lt;安値!O83,安値!Q83&lt;安値!R83,安値!Q83&lt;安値!S83),12,""))</f>
        <v/>
      </c>
      <c r="M83" s="503" t="str">
        <f>IF(終値!A83="","",IF(AND(安値!R83&lt;安値!Q83,安値!R83&lt;安値!P83,安値!R83&lt;安値!S83,安値!R83&lt;安値!T83),13,""))</f>
        <v/>
      </c>
      <c r="N83" s="503" t="str">
        <f>IF(終値!A83="","",IF(AND(安値!S83&lt;安値!R83,安値!S83&lt;安値!Q83,安値!S83&lt;安値!T83,安値!S83&lt;安値!U83),14,""))</f>
        <v/>
      </c>
      <c r="O83" s="503" t="str">
        <f>IF(終値!A83="","",IF(AND(安値!T83&lt;安値!S83,安値!T83&lt;安値!R83,安値!T83&lt;安値!U83,安値!T83&lt;安値!V83),15,""))</f>
        <v/>
      </c>
      <c r="P83" s="503">
        <f>IF(終値!A83="","",IF(AND(安値!U83&lt;安値!T83,安値!U83&lt;安値!S83,安値!U83&lt;安値!V83,安値!U83&lt;安値!W83),16,""))</f>
        <v>16</v>
      </c>
      <c r="Q83" s="503" t="str">
        <f>IF(終値!A83="","",IF(AND(安値!V83&lt;安値!U83,安値!V83&lt;安値!T83,安値!V83&lt;安値!W83,安値!V83&lt;安値!X83),17,""))</f>
        <v/>
      </c>
      <c r="R83" s="503" t="str">
        <f>IF(終値!A83="","",IF(AND(安値!W83&lt;安値!V83,安値!W83&lt;安値!U83,安値!W83&lt;安値!X83,安値!W83&lt;安値!Y83),18,""))</f>
        <v/>
      </c>
      <c r="S83" s="503" t="str">
        <f>IF(終値!A83="","",IF(AND(安値!X83&lt;安値!W83,安値!X83&lt;安値!V83,安値!X83&lt;安値!Y83,安値!X83&lt;安値!Z83),19,""))</f>
        <v/>
      </c>
      <c r="T83" s="503" t="str">
        <f>IF(終値!A83="","",IF(AND(安値!Y83&lt;安値!X83,安値!Y83&lt;安値!W83,安値!Y83&lt;安値!Z83,安値!Y83&lt;安値!AA83),20,""))</f>
        <v/>
      </c>
      <c r="U83" s="503" t="str">
        <f>IF(終値!A83="","",IF(AND(安値!Z83&lt;安値!Y83,安値!Z83&lt;安値!X83,安値!Z83&lt;安値!AA83,安値!Z83&lt;安値!AB83),21,""))</f>
        <v/>
      </c>
      <c r="V83" s="503" t="str">
        <f>IF(終値!A83="","",IF(AND(安値!AA83&lt;安値!Z83,安値!AA83&lt;安値!Y83,安値!AA83&lt;安値!AB83,安値!AA83&lt;安値!AC83),22,""))</f>
        <v/>
      </c>
      <c r="W83" s="503" t="str">
        <f>IF(終値!A83="","",IF(AND(安値!AB83&lt;安値!AA83,安値!AB83&lt;安値!Z83,安値!AB83&lt;安値!AC83,安値!AB83&lt;安値!AD83),23,""))</f>
        <v/>
      </c>
      <c r="X83" s="503">
        <f>IF(終値!A83="","",IF(AND(安値!AC83&lt;安値!AB83,安値!AC83&lt;安値!AA83,安値!AC83&lt;安値!AD83,安値!AC83&lt;安値!AE83),24,""))</f>
        <v>24</v>
      </c>
      <c r="Y83" s="503" t="str">
        <f>IF(終値!A83="","",IF(AND(安値!AD83&lt;安値!AC83,安値!AD83&lt;安値!AB83,安値!AD83&lt;安値!AE83,安値!AD83&lt;安値!AF83),25,""))</f>
        <v/>
      </c>
      <c r="Z83" s="503" t="str">
        <f>IF(終値!A83="","",IF(AND(安値!AE83&lt;安値!AD83,安値!AE83&lt;安値!AC83,安値!AE83&lt;安値!AF83,安値!AE83&lt;安値!AG83),26,""))</f>
        <v/>
      </c>
      <c r="AA83" s="503" t="str">
        <f>IF(終値!A83="","",IF(AND(安値!AF83&lt;安値!AE83,安値!AF83&lt;安値!AD83,安値!AF83&lt;安値!AG83,安値!AF83&lt;安値!AH83),27,""))</f>
        <v/>
      </c>
      <c r="AB83" s="503" t="str">
        <f>IF(終値!A83="","",IF(AND(安値!AG83&lt;安値!AF83,安値!AG83&lt;安値!AE83,安値!AG83&lt;安値!AH83,安値!AG83&lt;安値!AI83),28,""))</f>
        <v/>
      </c>
      <c r="AC83" s="503" t="str">
        <f>IF(終値!A83="","",IF(AND(高値!G83&gt;高値!F83,高値!G83&gt;高値!E83,高値!G83&gt;高値!H83,高値!G83&gt;高値!I83),2,""))</f>
        <v/>
      </c>
      <c r="AD83" s="503" t="str">
        <f>IF(終値!A83="","",IF(AND(高値!H83&gt;高値!G83,高値!H83&gt;高値!F83,高値!H83&gt;高値!I83,高値!H83&gt;高値!J83),3,""))</f>
        <v/>
      </c>
      <c r="AE83" s="503" t="str">
        <f>IF(終値!A83="","",IF(AND(高値!I83&gt;高値!H83,高値!I83&gt;高値!G83,高値!I83&gt;高値!J83,高値!I83&gt;高値!K83),4,""))</f>
        <v/>
      </c>
      <c r="AF83" s="503" t="str">
        <f>IF(終値!A83="","",IF(AND(高値!J83&gt;高値!I83,高値!J83&gt;高値!H83,高値!J83&gt;高値!K83,高値!J83&gt;高値!L83),5,""))</f>
        <v/>
      </c>
      <c r="AG83" s="503">
        <f>IF(終値!A83="","",IF(AND(高値!K83&gt;高値!J83,高値!K83&gt;高値!I83,高値!K83&gt;高値!L83,高値!K83&gt;高値!M83),6,""))</f>
        <v>6</v>
      </c>
      <c r="AH83" s="503" t="str">
        <f>IF(終値!A83="","",IF(AND(高値!L83&gt;高値!K83,高値!L83&gt;高値!J83,高値!L83&gt;高値!M83,高値!L83&gt;高値!N83),7,""))</f>
        <v/>
      </c>
      <c r="AI83" s="503" t="str">
        <f>IF(終値!A83="","",IF(AND(高値!M83&gt;高値!L83,高値!M83&gt;高値!K83,高値!M83&gt;高値!N83,高値!M83&gt;高値!O83),8,""))</f>
        <v/>
      </c>
      <c r="AJ83" s="503" t="str">
        <f>IF(終値!A83="","",IF(AND(高値!N83&gt;高値!M83,高値!N83&gt;高値!L83,高値!N83&gt;高値!O83,高値!N83&gt;高値!P83),9,""))</f>
        <v/>
      </c>
      <c r="AK83" s="503" t="str">
        <f>IF(終値!A83="","",IF(AND(高値!O83&gt;高値!N83,高値!O83&gt;高値!M83,高値!O83&gt;高値!P83,高値!O83&gt;高値!Q83),10,""))</f>
        <v/>
      </c>
      <c r="AL83" s="503" t="str">
        <f>IF(終値!A83="","",IF(AND(高値!P83&gt;高値!O83,高値!P83&gt;高値!N83,高値!P83&gt;高値!Q83,高値!P83&gt;高値!R83),11,""))</f>
        <v/>
      </c>
      <c r="AM83" s="503" t="str">
        <f>IF(終値!A83="","",IF(AND(高値!Q83&gt;高値!P83,高値!Q83&gt;高値!O83,高値!Q83&gt;高値!R83,高値!Q83&gt;高値!S83),12,""))</f>
        <v/>
      </c>
      <c r="AN83" s="503">
        <f>IF(終値!A83="","",IF(AND(高値!R83&gt;高値!Q83,高値!R83&gt;高値!P83,高値!R83&gt;高値!S83,高値!R83&gt;高値!T83),13,""))</f>
        <v>13</v>
      </c>
      <c r="AO83" s="503" t="str">
        <f>IF(終値!A83="","",IF(AND(高値!S83&gt;高値!R83,高値!S83&gt;高値!Q83,高値!S83&gt;高値!T83,高値!S83&gt;高値!U83),14,""))</f>
        <v/>
      </c>
      <c r="AP83" s="503" t="str">
        <f>IF(終値!A83="","",IF(AND(高値!T83&gt;高値!S83,高値!T83&gt;高値!R83,高値!T83&gt;高値!U83,高値!T83&gt;高値!V83),15,""))</f>
        <v/>
      </c>
      <c r="AQ83" s="503" t="str">
        <f>IF(終値!A83="","",IF(AND(高値!U83&gt;高値!T83,高値!U83&gt;高値!S83,高値!U83&gt;高値!V83,高値!U83&gt;高値!W83),16,""))</f>
        <v/>
      </c>
      <c r="AR83" s="503" t="str">
        <f>IF(終値!A83="","",IF(AND(高値!V83&gt;高値!U83,高値!V83&gt;高値!T83,高値!V83&gt;高値!W83,高値!V83&gt;高値!X83),17,""))</f>
        <v/>
      </c>
      <c r="AS83" s="503" t="str">
        <f>IF(終値!A83="","",IF(AND(高値!W83&gt;高値!V83,高値!W83&gt;高値!U83,高値!W83&gt;高値!X83,高値!W83&gt;高値!Y83),18,""))</f>
        <v/>
      </c>
      <c r="AT83" s="503" t="str">
        <f>IF(終値!A83="","",IF(AND(高値!X83&gt;高値!W83,高値!X83&gt;高値!V83,高値!X83&gt;高値!Y83,高値!X83&gt;高値!Z83),19,""))</f>
        <v/>
      </c>
      <c r="AU83" s="503" t="str">
        <f>IF(終値!A83="","",IF(AND(高値!Y83&gt;高値!X83,高値!Y83&gt;高値!W83,高値!Y83&gt;高値!Z83,高値!Y83&gt;高値!AA83),20,""))</f>
        <v/>
      </c>
      <c r="AV83" s="503" t="str">
        <f>IF(終値!A83="","",IF(AND(高値!Z83&gt;高値!Y83,高値!Z83&gt;高値!X83,高値!Z83&gt;高値!AA83,高値!Z83&gt;高値!AB83),21,""))</f>
        <v/>
      </c>
      <c r="AW83" s="503" t="str">
        <f>IF(終値!A83="","",IF(AND(高値!AA83&gt;高値!Z83,高値!AA83&gt;高値!Y83,高値!AA83&gt;高値!AB83,高値!AA83&gt;高値!AC83),22,""))</f>
        <v/>
      </c>
      <c r="AX83" s="503" t="str">
        <f>IF(終値!A83="","",IF(AND(高値!AB83&gt;高値!AA83,高値!AB83&gt;高値!Z83,高値!AB83&gt;高値!AC83,高値!AB83&gt;高値!AD83),23,""))</f>
        <v/>
      </c>
      <c r="AY83" s="503" t="str">
        <f>IF(終値!A83="","",IF(AND(高値!AC83&gt;高値!AB83,高値!AC83&gt;高値!AA83,高値!AC83&gt;高値!AD83,高値!AC83&gt;高値!AE83),24,""))</f>
        <v/>
      </c>
      <c r="AZ83" s="503" t="str">
        <f>IF(終値!A83="","",IF(AND(高値!AD83&gt;高値!AC83,高値!AD83&gt;高値!AB83,高値!AD83&gt;高値!AE83,高値!AD83&gt;高値!AF83),25,""))</f>
        <v/>
      </c>
      <c r="BA83" s="503">
        <f>IF(終値!A83="","",IF(AND(高値!AE83&gt;高値!AD83,高値!AE83&gt;高値!AC83,高値!AE83&gt;高値!AF83,高値!AE83&gt;高値!AG83),26,""))</f>
        <v>26</v>
      </c>
      <c r="BB83" s="503" t="str">
        <f>IF(終値!A83="","",IF(AND(高値!AF83&gt;高値!AE83,高値!AF83&gt;高値!AD83,高値!AF83&gt;高値!AG83,高値!AF83&gt;高値!AH83),27,""))</f>
        <v/>
      </c>
      <c r="BC83" s="503" t="str">
        <f>IF(終値!A83="","",IF(AND(高値!AG83&gt;高値!AF83,高値!AG83&gt;高値!AE83,高値!AG83&gt;高値!AH83,高値!AG83&gt;高値!AI83),28,""))</f>
        <v/>
      </c>
      <c r="BD83" s="503">
        <f t="shared" si="6"/>
        <v>3</v>
      </c>
      <c r="BE83" s="503">
        <f t="shared" si="7"/>
        <v>9</v>
      </c>
      <c r="BF83" s="503">
        <f t="shared" si="8"/>
        <v>16</v>
      </c>
      <c r="BG83" s="503">
        <f>IF($BE83="","",INDEX(安値!$E83:$CZ83,1,$BE83+1))</f>
        <v>4520</v>
      </c>
      <c r="BH83" s="503">
        <f>IF($BF83="","",INDEX(安値!$E83:$CZ83,1,$BF83+1))</f>
        <v>4481</v>
      </c>
      <c r="BI83" s="503">
        <f>IF($BF83="","",MAX(INDEX(高値!$E83:$CZ83,1,$BE83+1):INDEX(高値!$E83:$CZ83,1,$BF83+1)))</f>
        <v>4684</v>
      </c>
      <c r="BJ83" s="503">
        <f>IF($BF83="","",AVERAGE(INDEX(終値!$E83:$CZ83,1,$BF83+1):INDEX(終値!$E83:$CZ83,1,$BF83+20))-2*STDEVP(INDEX(終値!$E83:$CZ83,1,$BF83+1):INDEX(終値!$E83:$CZ83,1,$BF83+20)))</f>
        <v>4245.2288725364497</v>
      </c>
      <c r="BK83" s="503">
        <f>IF($BE83="","",AVERAGE(INDEX(終値!$E83:$CZ83,1,$BE83+1):INDEX(終値!$E83:$CZ83,1,$BE83+20))-2*STDEVP(INDEX(終値!$E83:$CZ83,1,$BE83+1):INDEX(終値!$E83:$CZ83,1,$BE83+20)))</f>
        <v>4363.9304113747667</v>
      </c>
      <c r="BL83" s="503">
        <f t="shared" si="9"/>
        <v>3</v>
      </c>
      <c r="BM83" s="503">
        <f t="shared" si="10"/>
        <v>6</v>
      </c>
      <c r="BN83" s="503">
        <f t="shared" si="11"/>
        <v>13</v>
      </c>
      <c r="BO83" s="503">
        <f>IF($BM83="","",INDEX(高値!$E83:$CZ83,1,$BM83+1))</f>
        <v>4929</v>
      </c>
      <c r="BP83" s="503">
        <f>IF($BN83="","",INDEX(高値!$E83:$CZ83,1,$BN83+1))</f>
        <v>4684</v>
      </c>
      <c r="BQ83" s="503">
        <f>IF($BN83="","",MIN(INDEX(安値!$E83:$CZ83,1,$BM83+1):INDEX(安値!$E83:$CZ83,1,$BN83+1)))</f>
        <v>4520</v>
      </c>
      <c r="BR83" s="503">
        <f>IF($BN83="","",AVERAGE(INDEX(終値!$E83:$CZ83,1,$BN83+1):INDEX(終値!$E83:$CZ83,1,$BN83+20))+2*STDEVP(INDEX(終値!$E83:$CZ83,1,$BN83+1):INDEX(終値!$E83:$CZ83,1,$BN83+20)))</f>
        <v>4668.0528130921875</v>
      </c>
      <c r="BS83" s="503">
        <f>IF($BM83="","",AVERAGE(INDEX(終値!$E83:$CZ83,1,$BM83+1):INDEX(終値!$E83:$CZ83,1,$BM83+20))+2*STDEVP(INDEX(終値!$E83:$CZ83,1,$BM83+1):INDEX(終値!$E83:$CZ83,1,$BM83+20)))</f>
        <v>4811.552655425191</v>
      </c>
      <c r="BT83" s="500"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二番底W形成</v>
      </c>
    </row>
    <row r="84" spans="2:72">
      <c r="B84" s="503" t="str">
        <f>IF(終値!A84="","",IF(AND(安値!G84&lt;安値!F84,安値!G84&lt;安値!E84,安値!G84&lt;安値!H84,安値!G84&lt;安値!I84),2,""))</f>
        <v/>
      </c>
      <c r="C84" s="503">
        <f>IF(終値!A84="","",IF(AND(安値!H84&lt;安値!G84,安値!H84&lt;安値!F84,安値!H84&lt;安値!I84,安値!H84&lt;安値!J84),3,""))</f>
        <v>3</v>
      </c>
      <c r="D84" s="503" t="str">
        <f>IF(終値!A84="","",IF(AND(安値!I84&lt;安値!H84,安値!I84&lt;安値!G84,安値!I84&lt;安値!J84,安値!I84&lt;安値!K84),4,""))</f>
        <v/>
      </c>
      <c r="E84" s="503" t="str">
        <f>IF(終値!A84="","",IF(AND(安値!J84&lt;安値!I84,安値!J84&lt;安値!H84,安値!J84&lt;安値!K84,安値!J84&lt;安値!L84),5,""))</f>
        <v/>
      </c>
      <c r="F84" s="503" t="str">
        <f>IF(終値!A84="","",IF(AND(安値!K84&lt;安値!J84,安値!K84&lt;安値!I84,安値!K84&lt;安値!L84,安値!K84&lt;安値!M84),6,""))</f>
        <v/>
      </c>
      <c r="G84" s="503" t="str">
        <f>IF(終値!A84="","",IF(AND(安値!L84&lt;安値!K84,安値!L84&lt;安値!J84,安値!L84&lt;安値!M84,安値!L84&lt;安値!N84),7,""))</f>
        <v/>
      </c>
      <c r="H84" s="503" t="str">
        <f>IF(終値!A84="","",IF(AND(安値!M84&lt;安値!L84,安値!M84&lt;安値!K84,安値!M84&lt;安値!N84,安値!M84&lt;安値!O84),8,""))</f>
        <v/>
      </c>
      <c r="I84" s="503" t="str">
        <f>IF(終値!A84="","",IF(AND(安値!N84&lt;安値!M84,安値!N84&lt;安値!L84,安値!N84&lt;安値!O84,安値!N84&lt;安値!P84),9,""))</f>
        <v/>
      </c>
      <c r="J84" s="503">
        <f>IF(終値!A84="","",IF(AND(安値!O84&lt;安値!N84,安値!O84&lt;安値!M84,安値!O84&lt;安値!P84,安値!O84&lt;安値!Q84),10,""))</f>
        <v>10</v>
      </c>
      <c r="K84" s="503" t="str">
        <f>IF(終値!A84="","",IF(AND(安値!P84&lt;安値!O84,安値!P84&lt;安値!N84,安値!P84&lt;安値!Q84,安値!P84&lt;安値!R84),11,""))</f>
        <v/>
      </c>
      <c r="L84" s="503" t="str">
        <f>IF(終値!A84="","",IF(AND(安値!Q84&lt;安値!P84,安値!Q84&lt;安値!O84,安値!Q84&lt;安値!R84,安値!Q84&lt;安値!S84),12,""))</f>
        <v/>
      </c>
      <c r="M84" s="503" t="str">
        <f>IF(終値!A84="","",IF(AND(安値!R84&lt;安値!Q84,安値!R84&lt;安値!P84,安値!R84&lt;安値!S84,安値!R84&lt;安値!T84),13,""))</f>
        <v/>
      </c>
      <c r="N84" s="503" t="str">
        <f>IF(終値!A84="","",IF(AND(安値!S84&lt;安値!R84,安値!S84&lt;安値!Q84,安値!S84&lt;安値!T84,安値!S84&lt;安値!U84),14,""))</f>
        <v/>
      </c>
      <c r="O84" s="503" t="str">
        <f>IF(終値!A84="","",IF(AND(安値!T84&lt;安値!S84,安値!T84&lt;安値!R84,安値!T84&lt;安値!U84,安値!T84&lt;安値!V84),15,""))</f>
        <v/>
      </c>
      <c r="P84" s="503" t="str">
        <f>IF(終値!A84="","",IF(AND(安値!U84&lt;安値!T84,安値!U84&lt;安値!S84,安値!U84&lt;安値!V84,安値!U84&lt;安値!W84),16,""))</f>
        <v/>
      </c>
      <c r="Q84" s="503">
        <f>IF(終値!A84="","",IF(AND(安値!V84&lt;安値!U84,安値!V84&lt;安値!T84,安値!V84&lt;安値!W84,安値!V84&lt;安値!X84),17,""))</f>
        <v>17</v>
      </c>
      <c r="R84" s="503" t="str">
        <f>IF(終値!A84="","",IF(AND(安値!W84&lt;安値!V84,安値!W84&lt;安値!U84,安値!W84&lt;安値!X84,安値!W84&lt;安値!Y84),18,""))</f>
        <v/>
      </c>
      <c r="S84" s="503" t="str">
        <f>IF(終値!A84="","",IF(AND(安値!X84&lt;安値!W84,安値!X84&lt;安値!V84,安値!X84&lt;安値!Y84,安値!X84&lt;安値!Z84),19,""))</f>
        <v/>
      </c>
      <c r="T84" s="503" t="str">
        <f>IF(終値!A84="","",IF(AND(安値!Y84&lt;安値!X84,安値!Y84&lt;安値!W84,安値!Y84&lt;安値!Z84,安値!Y84&lt;安値!AA84),20,""))</f>
        <v/>
      </c>
      <c r="U84" s="503" t="str">
        <f>IF(終値!A84="","",IF(AND(安値!Z84&lt;安値!Y84,安値!Z84&lt;安値!X84,安値!Z84&lt;安値!AA84,安値!Z84&lt;安値!AB84),21,""))</f>
        <v/>
      </c>
      <c r="V84" s="503" t="str">
        <f>IF(終値!A84="","",IF(AND(安値!AA84&lt;安値!Z84,安値!AA84&lt;安値!Y84,安値!AA84&lt;安値!AB84,安値!AA84&lt;安値!AC84),22,""))</f>
        <v/>
      </c>
      <c r="W84" s="503" t="str">
        <f>IF(終値!A84="","",IF(AND(安値!AB84&lt;安値!AA84,安値!AB84&lt;安値!Z84,安値!AB84&lt;安値!AC84,安値!AB84&lt;安値!AD84),23,""))</f>
        <v/>
      </c>
      <c r="X84" s="503" t="str">
        <f>IF(終値!A84="","",IF(AND(安値!AC84&lt;安値!AB84,安値!AC84&lt;安値!AA84,安値!AC84&lt;安値!AD84,安値!AC84&lt;安値!AE84),24,""))</f>
        <v/>
      </c>
      <c r="Y84" s="503" t="str">
        <f>IF(終値!A84="","",IF(AND(安値!AD84&lt;安値!AC84,安値!AD84&lt;安値!AB84,安値!AD84&lt;安値!AE84,安値!AD84&lt;安値!AF84),25,""))</f>
        <v/>
      </c>
      <c r="Z84" s="503" t="str">
        <f>IF(終値!A84="","",IF(AND(安値!AE84&lt;安値!AD84,安値!AE84&lt;安値!AC84,安値!AE84&lt;安値!AF84,安値!AE84&lt;安値!AG84),26,""))</f>
        <v/>
      </c>
      <c r="AA84" s="503">
        <f>IF(終値!A84="","",IF(AND(安値!AF84&lt;安値!AE84,安値!AF84&lt;安値!AD84,安値!AF84&lt;安値!AG84,安値!AF84&lt;安値!AH84),27,""))</f>
        <v>27</v>
      </c>
      <c r="AB84" s="503" t="str">
        <f>IF(終値!A84="","",IF(AND(安値!AG84&lt;安値!AF84,安値!AG84&lt;安値!AE84,安値!AG84&lt;安値!AH84,安値!AG84&lt;安値!AI84),28,""))</f>
        <v/>
      </c>
      <c r="AC84" s="503" t="str">
        <f>IF(終値!A84="","",IF(AND(高値!G84&gt;高値!F84,高値!G84&gt;高値!E84,高値!G84&gt;高値!H84,高値!G84&gt;高値!I84),2,""))</f>
        <v/>
      </c>
      <c r="AD84" s="503" t="str">
        <f>IF(終値!A84="","",IF(AND(高値!H84&gt;高値!G84,高値!H84&gt;高値!F84,高値!H84&gt;高値!I84,高値!H84&gt;高値!J84),3,""))</f>
        <v/>
      </c>
      <c r="AE84" s="503" t="str">
        <f>IF(終値!A84="","",IF(AND(高値!I84&gt;高値!H84,高値!I84&gt;高値!G84,高値!I84&gt;高値!J84,高値!I84&gt;高値!K84),4,""))</f>
        <v/>
      </c>
      <c r="AF84" s="503" t="str">
        <f>IF(終値!A84="","",IF(AND(高値!J84&gt;高値!I84,高値!J84&gt;高値!H84,高値!J84&gt;高値!K84,高値!J84&gt;高値!L84),5,""))</f>
        <v/>
      </c>
      <c r="AG84" s="503">
        <f>IF(終値!A84="","",IF(AND(高値!K84&gt;高値!J84,高値!K84&gt;高値!I84,高値!K84&gt;高値!L84,高値!K84&gt;高値!M84),6,""))</f>
        <v>6</v>
      </c>
      <c r="AH84" s="503" t="str">
        <f>IF(終値!A84="","",IF(AND(高値!L84&gt;高値!K84,高値!L84&gt;高値!J84,高値!L84&gt;高値!M84,高値!L84&gt;高値!N84),7,""))</f>
        <v/>
      </c>
      <c r="AI84" s="503" t="str">
        <f>IF(終値!A84="","",IF(AND(高値!M84&gt;高値!L84,高値!M84&gt;高値!K84,高値!M84&gt;高値!N84,高値!M84&gt;高値!O84),8,""))</f>
        <v/>
      </c>
      <c r="AJ84" s="503" t="str">
        <f>IF(終値!A84="","",IF(AND(高値!N84&gt;高値!M84,高値!N84&gt;高値!L84,高値!N84&gt;高値!O84,高値!N84&gt;高値!P84),9,""))</f>
        <v/>
      </c>
      <c r="AK84" s="503" t="str">
        <f>IF(終値!A84="","",IF(AND(高値!O84&gt;高値!N84,高値!O84&gt;高値!M84,高値!O84&gt;高値!P84,高値!O84&gt;高値!Q84),10,""))</f>
        <v/>
      </c>
      <c r="AL84" s="503">
        <f>IF(終値!A84="","",IF(AND(高値!P84&gt;高値!O84,高値!P84&gt;高値!N84,高値!P84&gt;高値!Q84,高値!P84&gt;高値!R84),11,""))</f>
        <v>11</v>
      </c>
      <c r="AM84" s="503" t="str">
        <f>IF(終値!A84="","",IF(AND(高値!Q84&gt;高値!P84,高値!Q84&gt;高値!O84,高値!Q84&gt;高値!R84,高値!Q84&gt;高値!S84),12,""))</f>
        <v/>
      </c>
      <c r="AN84" s="503" t="str">
        <f>IF(終値!A84="","",IF(AND(高値!R84&gt;高値!Q84,高値!R84&gt;高値!P84,高値!R84&gt;高値!S84,高値!R84&gt;高値!T84),13,""))</f>
        <v/>
      </c>
      <c r="AO84" s="503" t="str">
        <f>IF(終値!A84="","",IF(AND(高値!S84&gt;高値!R84,高値!S84&gt;高値!Q84,高値!S84&gt;高値!T84,高値!S84&gt;高値!U84),14,""))</f>
        <v/>
      </c>
      <c r="AP84" s="503" t="str">
        <f>IF(終値!A84="","",IF(AND(高値!T84&gt;高値!S84,高値!T84&gt;高値!R84,高値!T84&gt;高値!U84,高値!T84&gt;高値!V84),15,""))</f>
        <v/>
      </c>
      <c r="AQ84" s="503" t="str">
        <f>IF(終値!A84="","",IF(AND(高値!U84&gt;高値!T84,高値!U84&gt;高値!S84,高値!U84&gt;高値!V84,高値!U84&gt;高値!W84),16,""))</f>
        <v/>
      </c>
      <c r="AR84" s="503" t="str">
        <f>IF(終値!A84="","",IF(AND(高値!V84&gt;高値!U84,高値!V84&gt;高値!T84,高値!V84&gt;高値!W84,高値!V84&gt;高値!X84),17,""))</f>
        <v/>
      </c>
      <c r="AS84" s="503" t="str">
        <f>IF(終値!A84="","",IF(AND(高値!W84&gt;高値!V84,高値!W84&gt;高値!U84,高値!W84&gt;高値!X84,高値!W84&gt;高値!Y84),18,""))</f>
        <v/>
      </c>
      <c r="AT84" s="503" t="str">
        <f>IF(終値!A84="","",IF(AND(高値!X84&gt;高値!W84,高値!X84&gt;高値!V84,高値!X84&gt;高値!Y84,高値!X84&gt;高値!Z84),19,""))</f>
        <v/>
      </c>
      <c r="AU84" s="503">
        <f>IF(終値!A84="","",IF(AND(高値!Y84&gt;高値!X84,高値!Y84&gt;高値!W84,高値!Y84&gt;高値!Z84,高値!Y84&gt;高値!AA84),20,""))</f>
        <v>20</v>
      </c>
      <c r="AV84" s="503" t="str">
        <f>IF(終値!A84="","",IF(AND(高値!Z84&gt;高値!Y84,高値!Z84&gt;高値!X84,高値!Z84&gt;高値!AA84,高値!Z84&gt;高値!AB84),21,""))</f>
        <v/>
      </c>
      <c r="AW84" s="503" t="str">
        <f>IF(終値!A84="","",IF(AND(高値!AA84&gt;高値!Z84,高値!AA84&gt;高値!Y84,高値!AA84&gt;高値!AB84,高値!AA84&gt;高値!AC84),22,""))</f>
        <v/>
      </c>
      <c r="AX84" s="503" t="str">
        <f>IF(終値!A84="","",IF(AND(高値!AB84&gt;高値!AA84,高値!AB84&gt;高値!Z84,高値!AB84&gt;高値!AC84,高値!AB84&gt;高値!AD84),23,""))</f>
        <v/>
      </c>
      <c r="AY84" s="503" t="str">
        <f>IF(終値!A84="","",IF(AND(高値!AC84&gt;高値!AB84,高値!AC84&gt;高値!AA84,高値!AC84&gt;高値!AD84,高値!AC84&gt;高値!AE84),24,""))</f>
        <v/>
      </c>
      <c r="AZ84" s="503" t="str">
        <f>IF(終値!A84="","",IF(AND(高値!AD84&gt;高値!AC84,高値!AD84&gt;高値!AB84,高値!AD84&gt;高値!AE84,高値!AD84&gt;高値!AF84),25,""))</f>
        <v/>
      </c>
      <c r="BA84" s="503" t="str">
        <f>IF(終値!A84="","",IF(AND(高値!AE84&gt;高値!AD84,高値!AE84&gt;高値!AC84,高値!AE84&gt;高値!AF84,高値!AE84&gt;高値!AG84),26,""))</f>
        <v/>
      </c>
      <c r="BB84" s="503" t="str">
        <f>IF(終値!A84="","",IF(AND(高値!AF84&gt;高値!AE84,高値!AF84&gt;高値!AD84,高値!AF84&gt;高値!AG84,高値!AF84&gt;高値!AH84),27,""))</f>
        <v/>
      </c>
      <c r="BC84" s="503" t="str">
        <f>IF(終値!A84="","",IF(AND(高値!AG84&gt;高値!AF84,高値!AG84&gt;高値!AE84,高値!AG84&gt;高値!AH84,高値!AG84&gt;高値!AI84),28,""))</f>
        <v/>
      </c>
      <c r="BD84" s="503">
        <f t="shared" si="6"/>
        <v>4</v>
      </c>
      <c r="BE84" s="503">
        <f t="shared" si="7"/>
        <v>3</v>
      </c>
      <c r="BF84" s="503">
        <f t="shared" si="8"/>
        <v>10</v>
      </c>
      <c r="BG84" s="503">
        <f>IF($BE84="","",INDEX(安値!$E84:$CZ84,1,$BE84+1))</f>
        <v>1745</v>
      </c>
      <c r="BH84" s="503">
        <f>IF($BF84="","",INDEX(安値!$E84:$CZ84,1,$BF84+1))</f>
        <v>1699</v>
      </c>
      <c r="BI84" s="503">
        <f>IF($BF84="","",MAX(INDEX(高値!$E84:$CZ84,1,$BE84+1):INDEX(高値!$E84:$CZ84,1,$BF84+1)))</f>
        <v>1867.5</v>
      </c>
      <c r="BJ84" s="503">
        <f>IF($BF84="","",AVERAGE(INDEX(終値!$E84:$CZ84,1,$BF84+1):INDEX(終値!$E84:$CZ84,1,$BF84+20))-2*STDEVP(INDEX(終値!$E84:$CZ84,1,$BF84+1):INDEX(終値!$E84:$CZ84,1,$BF84+20)))</f>
        <v>1503.233108916517</v>
      </c>
      <c r="BK84" s="503">
        <f>IF($BE84="","",AVERAGE(INDEX(終値!$E84:$CZ84,1,$BE84+1):INDEX(終値!$E84:$CZ84,1,$BE84+20))-2*STDEVP(INDEX(終値!$E84:$CZ84,1,$BE84+1):INDEX(終値!$E84:$CZ84,1,$BE84+20)))</f>
        <v>1553.3170082670802</v>
      </c>
      <c r="BL84" s="503">
        <f t="shared" si="9"/>
        <v>3</v>
      </c>
      <c r="BM84" s="503">
        <f t="shared" si="10"/>
        <v>6</v>
      </c>
      <c r="BN84" s="503">
        <f t="shared" si="11"/>
        <v>11</v>
      </c>
      <c r="BO84" s="503">
        <f>IF($BM84="","",INDEX(高値!$E84:$CZ84,1,$BM84+1))</f>
        <v>1867.5</v>
      </c>
      <c r="BP84" s="503">
        <f>IF($BN84="","",INDEX(高値!$E84:$CZ84,1,$BN84+1))</f>
        <v>1747.5</v>
      </c>
      <c r="BQ84" s="503">
        <f>IF($BN84="","",MIN(INDEX(安値!$E84:$CZ84,1,$BM84+1):INDEX(安値!$E84:$CZ84,1,$BN84+1)))</f>
        <v>1699</v>
      </c>
      <c r="BR84" s="503">
        <f>IF($BN84="","",AVERAGE(INDEX(終値!$E84:$CZ84,1,$BN84+1):INDEX(終値!$E84:$CZ84,1,$BN84+20))+2*STDEVP(INDEX(終値!$E84:$CZ84,1,$BN84+1):INDEX(終値!$E84:$CZ84,1,$BN84+20)))</f>
        <v>1737.2717394303731</v>
      </c>
      <c r="BS84" s="503">
        <f>IF($BM84="","",AVERAGE(INDEX(終値!$E84:$CZ84,1,$BM84+1):INDEX(終値!$E84:$CZ84,1,$BM84+20))+2*STDEVP(INDEX(終値!$E84:$CZ84,1,$BM84+1):INDEX(終値!$E84:$CZ84,1,$BM84+20)))</f>
        <v>1840.1485276101071</v>
      </c>
      <c r="BT84" s="500"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二番底W形成</v>
      </c>
    </row>
    <row r="85" spans="2:72">
      <c r="B85" s="503" t="str">
        <f>IF(終値!A85="","",IF(AND(安値!G85&lt;安値!F85,安値!G85&lt;安値!E85,安値!G85&lt;安値!H85,安値!G85&lt;安値!I85),2,""))</f>
        <v/>
      </c>
      <c r="C85" s="503">
        <f>IF(終値!A85="","",IF(AND(安値!H85&lt;安値!G85,安値!H85&lt;安値!F85,安値!H85&lt;安値!I85,安値!H85&lt;安値!J85),3,""))</f>
        <v>3</v>
      </c>
      <c r="D85" s="503" t="str">
        <f>IF(終値!A85="","",IF(AND(安値!I85&lt;安値!H85,安値!I85&lt;安値!G85,安値!I85&lt;安値!J85,安値!I85&lt;安値!K85),4,""))</f>
        <v/>
      </c>
      <c r="E85" s="503" t="str">
        <f>IF(終値!A85="","",IF(AND(安値!J85&lt;安値!I85,安値!J85&lt;安値!H85,安値!J85&lt;安値!K85,安値!J85&lt;安値!L85),5,""))</f>
        <v/>
      </c>
      <c r="F85" s="503" t="str">
        <f>IF(終値!A85="","",IF(AND(安値!K85&lt;安値!J85,安値!K85&lt;安値!I85,安値!K85&lt;安値!L85,安値!K85&lt;安値!M85),6,""))</f>
        <v/>
      </c>
      <c r="G85" s="503" t="str">
        <f>IF(終値!A85="","",IF(AND(安値!L85&lt;安値!K85,安値!L85&lt;安値!J85,安値!L85&lt;安値!M85,安値!L85&lt;安値!N85),7,""))</f>
        <v/>
      </c>
      <c r="H85" s="503" t="str">
        <f>IF(終値!A85="","",IF(AND(安値!M85&lt;安値!L85,安値!M85&lt;安値!K85,安値!M85&lt;安値!N85,安値!M85&lt;安値!O85),8,""))</f>
        <v/>
      </c>
      <c r="I85" s="503" t="str">
        <f>IF(終値!A85="","",IF(AND(安値!N85&lt;安値!M85,安値!N85&lt;安値!L85,安値!N85&lt;安値!O85,安値!N85&lt;安値!P85),9,""))</f>
        <v/>
      </c>
      <c r="J85" s="503" t="str">
        <f>IF(終値!A85="","",IF(AND(安値!O85&lt;安値!N85,安値!O85&lt;安値!M85,安値!O85&lt;安値!P85,安値!O85&lt;安値!Q85),10,""))</f>
        <v/>
      </c>
      <c r="K85" s="503" t="str">
        <f>IF(終値!A85="","",IF(AND(安値!P85&lt;安値!O85,安値!P85&lt;安値!N85,安値!P85&lt;安値!Q85,安値!P85&lt;安値!R85),11,""))</f>
        <v/>
      </c>
      <c r="L85" s="503" t="str">
        <f>IF(終値!A85="","",IF(AND(安値!Q85&lt;安値!P85,安値!Q85&lt;安値!O85,安値!Q85&lt;安値!R85,安値!Q85&lt;安値!S85),12,""))</f>
        <v/>
      </c>
      <c r="M85" s="503">
        <f>IF(終値!A85="","",IF(AND(安値!R85&lt;安値!Q85,安値!R85&lt;安値!P85,安値!R85&lt;安値!S85,安値!R85&lt;安値!T85),13,""))</f>
        <v>13</v>
      </c>
      <c r="N85" s="503" t="str">
        <f>IF(終値!A85="","",IF(AND(安値!S85&lt;安値!R85,安値!S85&lt;安値!Q85,安値!S85&lt;安値!T85,安値!S85&lt;安値!U85),14,""))</f>
        <v/>
      </c>
      <c r="O85" s="503" t="str">
        <f>IF(終値!A85="","",IF(AND(安値!T85&lt;安値!S85,安値!T85&lt;安値!R85,安値!T85&lt;安値!U85,安値!T85&lt;安値!V85),15,""))</f>
        <v/>
      </c>
      <c r="P85" s="503" t="str">
        <f>IF(終値!A85="","",IF(AND(安値!U85&lt;安値!T85,安値!U85&lt;安値!S85,安値!U85&lt;安値!V85,安値!U85&lt;安値!W85),16,""))</f>
        <v/>
      </c>
      <c r="Q85" s="503" t="str">
        <f>IF(終値!A85="","",IF(AND(安値!V85&lt;安値!U85,安値!V85&lt;安値!T85,安値!V85&lt;安値!W85,安値!V85&lt;安値!X85),17,""))</f>
        <v/>
      </c>
      <c r="R85" s="503" t="str">
        <f>IF(終値!A85="","",IF(AND(安値!W85&lt;安値!V85,安値!W85&lt;安値!U85,安値!W85&lt;安値!X85,安値!W85&lt;安値!Y85),18,""))</f>
        <v/>
      </c>
      <c r="S85" s="503" t="str">
        <f>IF(終値!A85="","",IF(AND(安値!X85&lt;安値!W85,安値!X85&lt;安値!V85,安値!X85&lt;安値!Y85,安値!X85&lt;安値!Z85),19,""))</f>
        <v/>
      </c>
      <c r="T85" s="503" t="str">
        <f>IF(終値!A85="","",IF(AND(安値!Y85&lt;安値!X85,安値!Y85&lt;安値!W85,安値!Y85&lt;安値!Z85,安値!Y85&lt;安値!AA85),20,""))</f>
        <v/>
      </c>
      <c r="U85" s="503" t="str">
        <f>IF(終値!A85="","",IF(AND(安値!Z85&lt;安値!Y85,安値!Z85&lt;安値!X85,安値!Z85&lt;安値!AA85,安値!Z85&lt;安値!AB85),21,""))</f>
        <v/>
      </c>
      <c r="V85" s="503" t="str">
        <f>IF(終値!A85="","",IF(AND(安値!AA85&lt;安値!Z85,安値!AA85&lt;安値!Y85,安値!AA85&lt;安値!AB85,安値!AA85&lt;安値!AC85),22,""))</f>
        <v/>
      </c>
      <c r="W85" s="503" t="str">
        <f>IF(終値!A85="","",IF(AND(安値!AB85&lt;安値!AA85,安値!AB85&lt;安値!Z85,安値!AB85&lt;安値!AC85,安値!AB85&lt;安値!AD85),23,""))</f>
        <v/>
      </c>
      <c r="X85" s="503" t="str">
        <f>IF(終値!A85="","",IF(AND(安値!AC85&lt;安値!AB85,安値!AC85&lt;安値!AA85,安値!AC85&lt;安値!AD85,安値!AC85&lt;安値!AE85),24,""))</f>
        <v/>
      </c>
      <c r="Y85" s="503" t="str">
        <f>IF(終値!A85="","",IF(AND(安値!AD85&lt;安値!AC85,安値!AD85&lt;安値!AB85,安値!AD85&lt;安値!AE85,安値!AD85&lt;安値!AF85),25,""))</f>
        <v/>
      </c>
      <c r="Z85" s="503">
        <f>IF(終値!A85="","",IF(AND(安値!AE85&lt;安値!AD85,安値!AE85&lt;安値!AC85,安値!AE85&lt;安値!AF85,安値!AE85&lt;安値!AG85),26,""))</f>
        <v>26</v>
      </c>
      <c r="AA85" s="503" t="str">
        <f>IF(終値!A85="","",IF(AND(安値!AF85&lt;安値!AE85,安値!AF85&lt;安値!AD85,安値!AF85&lt;安値!AG85,安値!AF85&lt;安値!AH85),27,""))</f>
        <v/>
      </c>
      <c r="AB85" s="503" t="str">
        <f>IF(終値!A85="","",IF(AND(安値!AG85&lt;安値!AF85,安値!AG85&lt;安値!AE85,安値!AG85&lt;安値!AH85,安値!AG85&lt;安値!AI85),28,""))</f>
        <v/>
      </c>
      <c r="AC85" s="503" t="str">
        <f>IF(終値!A85="","",IF(AND(高値!G85&gt;高値!F85,高値!G85&gt;高値!E85,高値!G85&gt;高値!H85,高値!G85&gt;高値!I85),2,""))</f>
        <v/>
      </c>
      <c r="AD85" s="503" t="str">
        <f>IF(終値!A85="","",IF(AND(高値!H85&gt;高値!G85,高値!H85&gt;高値!F85,高値!H85&gt;高値!I85,高値!H85&gt;高値!J85),3,""))</f>
        <v/>
      </c>
      <c r="AE85" s="503" t="str">
        <f>IF(終値!A85="","",IF(AND(高値!I85&gt;高値!H85,高値!I85&gt;高値!G85,高値!I85&gt;高値!J85,高値!I85&gt;高値!K85),4,""))</f>
        <v/>
      </c>
      <c r="AF85" s="503" t="str">
        <f>IF(終値!A85="","",IF(AND(高値!J85&gt;高値!I85,高値!J85&gt;高値!H85,高値!J85&gt;高値!K85,高値!J85&gt;高値!L85),5,""))</f>
        <v/>
      </c>
      <c r="AG85" s="503" t="str">
        <f>IF(終値!A85="","",IF(AND(高値!K85&gt;高値!J85,高値!K85&gt;高値!I85,高値!K85&gt;高値!L85,高値!K85&gt;高値!M85),6,""))</f>
        <v/>
      </c>
      <c r="AH85" s="503" t="str">
        <f>IF(終値!A85="","",IF(AND(高値!L85&gt;高値!K85,高値!L85&gt;高値!J85,高値!L85&gt;高値!M85,高値!L85&gt;高値!N85),7,""))</f>
        <v/>
      </c>
      <c r="AI85" s="503" t="str">
        <f>IF(終値!A85="","",IF(AND(高値!M85&gt;高値!L85,高値!M85&gt;高値!K85,高値!M85&gt;高値!N85,高値!M85&gt;高値!O85),8,""))</f>
        <v/>
      </c>
      <c r="AJ85" s="503">
        <f>IF(終値!A85="","",IF(AND(高値!N85&gt;高値!M85,高値!N85&gt;高値!L85,高値!N85&gt;高値!O85,高値!N85&gt;高値!P85),9,""))</f>
        <v>9</v>
      </c>
      <c r="AK85" s="503" t="str">
        <f>IF(終値!A85="","",IF(AND(高値!O85&gt;高値!N85,高値!O85&gt;高値!M85,高値!O85&gt;高値!P85,高値!O85&gt;高値!Q85),10,""))</f>
        <v/>
      </c>
      <c r="AL85" s="503" t="str">
        <f>IF(終値!A85="","",IF(AND(高値!P85&gt;高値!O85,高値!P85&gt;高値!N85,高値!P85&gt;高値!Q85,高値!P85&gt;高値!R85),11,""))</f>
        <v/>
      </c>
      <c r="AM85" s="503" t="str">
        <f>IF(終値!A85="","",IF(AND(高値!Q85&gt;高値!P85,高値!Q85&gt;高値!O85,高値!Q85&gt;高値!R85,高値!Q85&gt;高値!S85),12,""))</f>
        <v/>
      </c>
      <c r="AN85" s="503" t="str">
        <f>IF(終値!A85="","",IF(AND(高値!R85&gt;高値!Q85,高値!R85&gt;高値!P85,高値!R85&gt;高値!S85,高値!R85&gt;高値!T85),13,""))</f>
        <v/>
      </c>
      <c r="AO85" s="503" t="str">
        <f>IF(終値!A85="","",IF(AND(高値!S85&gt;高値!R85,高値!S85&gt;高値!Q85,高値!S85&gt;高値!T85,高値!S85&gt;高値!U85),14,""))</f>
        <v/>
      </c>
      <c r="AP85" s="503" t="str">
        <f>IF(終値!A85="","",IF(AND(高値!T85&gt;高値!S85,高値!T85&gt;高値!R85,高値!T85&gt;高値!U85,高値!T85&gt;高値!V85),15,""))</f>
        <v/>
      </c>
      <c r="AQ85" s="503">
        <f>IF(終値!A85="","",IF(AND(高値!U85&gt;高値!T85,高値!U85&gt;高値!S85,高値!U85&gt;高値!V85,高値!U85&gt;高値!W85),16,""))</f>
        <v>16</v>
      </c>
      <c r="AR85" s="503" t="str">
        <f>IF(終値!A85="","",IF(AND(高値!V85&gt;高値!U85,高値!V85&gt;高値!T85,高値!V85&gt;高値!W85,高値!V85&gt;高値!X85),17,""))</f>
        <v/>
      </c>
      <c r="AS85" s="503" t="str">
        <f>IF(終値!A85="","",IF(AND(高値!W85&gt;高値!V85,高値!W85&gt;高値!U85,高値!W85&gt;高値!X85,高値!W85&gt;高値!Y85),18,""))</f>
        <v/>
      </c>
      <c r="AT85" s="503" t="str">
        <f>IF(終値!A85="","",IF(AND(高値!X85&gt;高値!W85,高値!X85&gt;高値!V85,高値!X85&gt;高値!Y85,高値!X85&gt;高値!Z85),19,""))</f>
        <v/>
      </c>
      <c r="AU85" s="503">
        <f>IF(終値!A85="","",IF(AND(高値!Y85&gt;高値!X85,高値!Y85&gt;高値!W85,高値!Y85&gt;高値!Z85,高値!Y85&gt;高値!AA85),20,""))</f>
        <v>20</v>
      </c>
      <c r="AV85" s="503" t="str">
        <f>IF(終値!A85="","",IF(AND(高値!Z85&gt;高値!Y85,高値!Z85&gt;高値!X85,高値!Z85&gt;高値!AA85,高値!Z85&gt;高値!AB85),21,""))</f>
        <v/>
      </c>
      <c r="AW85" s="503" t="str">
        <f>IF(終値!A85="","",IF(AND(高値!AA85&gt;高値!Z85,高値!AA85&gt;高値!Y85,高値!AA85&gt;高値!AB85,高値!AA85&gt;高値!AC85),22,""))</f>
        <v/>
      </c>
      <c r="AX85" s="503" t="str">
        <f>IF(終値!A85="","",IF(AND(高値!AB85&gt;高値!AA85,高値!AB85&gt;高値!Z85,高値!AB85&gt;高値!AC85,高値!AB85&gt;高値!AD85),23,""))</f>
        <v/>
      </c>
      <c r="AY85" s="503" t="str">
        <f>IF(終値!A85="","",IF(AND(高値!AC85&gt;高値!AB85,高値!AC85&gt;高値!AA85,高値!AC85&gt;高値!AD85,高値!AC85&gt;高値!AE85),24,""))</f>
        <v/>
      </c>
      <c r="AZ85" s="503" t="str">
        <f>IF(終値!A85="","",IF(AND(高値!AD85&gt;高値!AC85,高値!AD85&gt;高値!AB85,高値!AD85&gt;高値!AE85,高値!AD85&gt;高値!AF85),25,""))</f>
        <v/>
      </c>
      <c r="BA85" s="503" t="str">
        <f>IF(終値!A85="","",IF(AND(高値!AE85&gt;高値!AD85,高値!AE85&gt;高値!AC85,高値!AE85&gt;高値!AF85,高値!AE85&gt;高値!AG85),26,""))</f>
        <v/>
      </c>
      <c r="BB85" s="503" t="str">
        <f>IF(終値!A85="","",IF(AND(高値!AF85&gt;高値!AE85,高値!AF85&gt;高値!AD85,高値!AF85&gt;高値!AG85,高値!AF85&gt;高値!AH85),27,""))</f>
        <v/>
      </c>
      <c r="BC85" s="503" t="str">
        <f>IF(終値!A85="","",IF(AND(高値!AG85&gt;高値!AF85,高値!AG85&gt;高値!AE85,高値!AG85&gt;高値!AH85,高値!AG85&gt;高値!AI85),28,""))</f>
        <v/>
      </c>
      <c r="BD85" s="503">
        <f t="shared" si="6"/>
        <v>3</v>
      </c>
      <c r="BE85" s="503">
        <f t="shared" si="7"/>
        <v>3</v>
      </c>
      <c r="BF85" s="503">
        <f t="shared" si="8"/>
        <v>13</v>
      </c>
      <c r="BG85" s="503">
        <f>IF($BE85="","",INDEX(安値!$E85:$CZ85,1,$BE85+1))</f>
        <v>2978</v>
      </c>
      <c r="BH85" s="503">
        <f>IF($BF85="","",INDEX(安値!$E85:$CZ85,1,$BF85+1))</f>
        <v>3096</v>
      </c>
      <c r="BI85" s="503">
        <f>IF($BF85="","",MAX(INDEX(高値!$E85:$CZ85,1,$BE85+1):INDEX(高値!$E85:$CZ85,1,$BF85+1)))</f>
        <v>3465</v>
      </c>
      <c r="BJ85" s="503">
        <f>IF($BF85="","",AVERAGE(INDEX(終値!$E85:$CZ85,1,$BF85+1):INDEX(終値!$E85:$CZ85,1,$BF85+20))-2*STDEVP(INDEX(終値!$E85:$CZ85,1,$BF85+1):INDEX(終値!$E85:$CZ85,1,$BF85+20)))</f>
        <v>3006.2285248487196</v>
      </c>
      <c r="BK85" s="503">
        <f>IF($BE85="","",AVERAGE(INDEX(終値!$E85:$CZ85,1,$BE85+1):INDEX(終値!$E85:$CZ85,1,$BE85+20))-2*STDEVP(INDEX(終値!$E85:$CZ85,1,$BE85+1):INDEX(終値!$E85:$CZ85,1,$BE85+20)))</f>
        <v>3071.5407329642671</v>
      </c>
      <c r="BL85" s="503">
        <f t="shared" si="9"/>
        <v>3</v>
      </c>
      <c r="BM85" s="503">
        <f t="shared" si="10"/>
        <v>9</v>
      </c>
      <c r="BN85" s="503">
        <f t="shared" si="11"/>
        <v>16</v>
      </c>
      <c r="BO85" s="503">
        <f>IF($BM85="","",INDEX(高値!$E85:$CZ85,1,$BM85+1))</f>
        <v>3465</v>
      </c>
      <c r="BP85" s="503">
        <f>IF($BN85="","",INDEX(高値!$E85:$CZ85,1,$BN85+1))</f>
        <v>3363</v>
      </c>
      <c r="BQ85" s="503">
        <f>IF($BN85="","",MIN(INDEX(安値!$E85:$CZ85,1,$BM85+1):INDEX(安値!$E85:$CZ85,1,$BN85+1)))</f>
        <v>3096</v>
      </c>
      <c r="BR85" s="503">
        <f>IF($BN85="","",AVERAGE(INDEX(終値!$E85:$CZ85,1,$BN85+1):INDEX(終値!$E85:$CZ85,1,$BN85+20))+2*STDEVP(INDEX(終値!$E85:$CZ85,1,$BN85+1):INDEX(終値!$E85:$CZ85,1,$BN85+20)))</f>
        <v>3372.7283311312672</v>
      </c>
      <c r="BS85" s="503">
        <f>IF($BM85="","",AVERAGE(INDEX(終値!$E85:$CZ85,1,$BM85+1):INDEX(終値!$E85:$CZ85,1,$BM85+20))+2*STDEVP(INDEX(終値!$E85:$CZ85,1,$BM85+1):INDEX(終値!$E85:$CZ85,1,$BM85+20)))</f>
        <v>3497.7491113728483</v>
      </c>
      <c r="BT85" s="500"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3" t="str">
        <f>IF(終値!A86="","",IF(AND(安値!G86&lt;安値!F86,安値!G86&lt;安値!E86,安値!G86&lt;安値!H86,安値!G86&lt;安値!I86),2,""))</f>
        <v/>
      </c>
      <c r="C86" s="503">
        <f>IF(終値!A86="","",IF(AND(安値!H86&lt;安値!G86,安値!H86&lt;安値!F86,安値!H86&lt;安値!I86,安値!H86&lt;安値!J86),3,""))</f>
        <v>3</v>
      </c>
      <c r="D86" s="503" t="str">
        <f>IF(終値!A86="","",IF(AND(安値!I86&lt;安値!H86,安値!I86&lt;安値!G86,安値!I86&lt;安値!J86,安値!I86&lt;安値!K86),4,""))</f>
        <v/>
      </c>
      <c r="E86" s="503" t="str">
        <f>IF(終値!A86="","",IF(AND(安値!J86&lt;安値!I86,安値!J86&lt;安値!H86,安値!J86&lt;安値!K86,安値!J86&lt;安値!L86),5,""))</f>
        <v/>
      </c>
      <c r="F86" s="503">
        <f>IF(終値!A86="","",IF(AND(安値!K86&lt;安値!J86,安値!K86&lt;安値!I86,安値!K86&lt;安値!L86,安値!K86&lt;安値!M86),6,""))</f>
        <v>6</v>
      </c>
      <c r="G86" s="503" t="str">
        <f>IF(終値!A86="","",IF(AND(安値!L86&lt;安値!K86,安値!L86&lt;安値!J86,安値!L86&lt;安値!M86,安値!L86&lt;安値!N86),7,""))</f>
        <v/>
      </c>
      <c r="H86" s="503" t="str">
        <f>IF(終値!A86="","",IF(AND(安値!M86&lt;安値!L86,安値!M86&lt;安値!K86,安値!M86&lt;安値!N86,安値!M86&lt;安値!O86),8,""))</f>
        <v/>
      </c>
      <c r="I86" s="503">
        <f>IF(終値!A86="","",IF(AND(安値!N86&lt;安値!M86,安値!N86&lt;安値!L86,安値!N86&lt;安値!O86,安値!N86&lt;安値!P86),9,""))</f>
        <v>9</v>
      </c>
      <c r="J86" s="503" t="str">
        <f>IF(終値!A86="","",IF(AND(安値!O86&lt;安値!N86,安値!O86&lt;安値!M86,安値!O86&lt;安値!P86,安値!O86&lt;安値!Q86),10,""))</f>
        <v/>
      </c>
      <c r="K86" s="503" t="str">
        <f>IF(終値!A86="","",IF(AND(安値!P86&lt;安値!O86,安値!P86&lt;安値!N86,安値!P86&lt;安値!Q86,安値!P86&lt;安値!R86),11,""))</f>
        <v/>
      </c>
      <c r="L86" s="503" t="str">
        <f>IF(終値!A86="","",IF(AND(安値!Q86&lt;安値!P86,安値!Q86&lt;安値!O86,安値!Q86&lt;安値!R86,安値!Q86&lt;安値!S86),12,""))</f>
        <v/>
      </c>
      <c r="M86" s="503">
        <f>IF(終値!A86="","",IF(AND(安値!R86&lt;安値!Q86,安値!R86&lt;安値!P86,安値!R86&lt;安値!S86,安値!R86&lt;安値!T86),13,""))</f>
        <v>13</v>
      </c>
      <c r="N86" s="503" t="str">
        <f>IF(終値!A86="","",IF(AND(安値!S86&lt;安値!R86,安値!S86&lt;安値!Q86,安値!S86&lt;安値!T86,安値!S86&lt;安値!U86),14,""))</f>
        <v/>
      </c>
      <c r="O86" s="503" t="str">
        <f>IF(終値!A86="","",IF(AND(安値!T86&lt;安値!S86,安値!T86&lt;安値!R86,安値!T86&lt;安値!U86,安値!T86&lt;安値!V86),15,""))</f>
        <v/>
      </c>
      <c r="P86" s="503" t="str">
        <f>IF(終値!A86="","",IF(AND(安値!U86&lt;安値!T86,安値!U86&lt;安値!S86,安値!U86&lt;安値!V86,安値!U86&lt;安値!W86),16,""))</f>
        <v/>
      </c>
      <c r="Q86" s="503" t="str">
        <f>IF(終値!A86="","",IF(AND(安値!V86&lt;安値!U86,安値!V86&lt;安値!T86,安値!V86&lt;安値!W86,安値!V86&lt;安値!X86),17,""))</f>
        <v/>
      </c>
      <c r="R86" s="503" t="str">
        <f>IF(終値!A86="","",IF(AND(安値!W86&lt;安値!V86,安値!W86&lt;安値!U86,安値!W86&lt;安値!X86,安値!W86&lt;安値!Y86),18,""))</f>
        <v/>
      </c>
      <c r="S86" s="503" t="str">
        <f>IF(終値!A86="","",IF(AND(安値!X86&lt;安値!W86,安値!X86&lt;安値!V86,安値!X86&lt;安値!Y86,安値!X86&lt;安値!Z86),19,""))</f>
        <v/>
      </c>
      <c r="T86" s="503" t="str">
        <f>IF(終値!A86="","",IF(AND(安値!Y86&lt;安値!X86,安値!Y86&lt;安値!W86,安値!Y86&lt;安値!Z86,安値!Y86&lt;安値!AA86),20,""))</f>
        <v/>
      </c>
      <c r="U86" s="503" t="str">
        <f>IF(終値!A86="","",IF(AND(安値!Z86&lt;安値!Y86,安値!Z86&lt;安値!X86,安値!Z86&lt;安値!AA86,安値!Z86&lt;安値!AB86),21,""))</f>
        <v/>
      </c>
      <c r="V86" s="503">
        <f>IF(終値!A86="","",IF(AND(安値!AA86&lt;安値!Z86,安値!AA86&lt;安値!Y86,安値!AA86&lt;安値!AB86,安値!AA86&lt;安値!AC86),22,""))</f>
        <v>22</v>
      </c>
      <c r="W86" s="503" t="str">
        <f>IF(終値!A86="","",IF(AND(安値!AB86&lt;安値!AA86,安値!AB86&lt;安値!Z86,安値!AB86&lt;安値!AC86,安値!AB86&lt;安値!AD86),23,""))</f>
        <v/>
      </c>
      <c r="X86" s="503" t="str">
        <f>IF(終値!A86="","",IF(AND(安値!AC86&lt;安値!AB86,安値!AC86&lt;安値!AA86,安値!AC86&lt;安値!AD86,安値!AC86&lt;安値!AE86),24,""))</f>
        <v/>
      </c>
      <c r="Y86" s="503" t="str">
        <f>IF(終値!A86="","",IF(AND(安値!AD86&lt;安値!AC86,安値!AD86&lt;安値!AB86,安値!AD86&lt;安値!AE86,安値!AD86&lt;安値!AF86),25,""))</f>
        <v/>
      </c>
      <c r="Z86" s="503" t="str">
        <f>IF(終値!A86="","",IF(AND(安値!AE86&lt;安値!AD86,安値!AE86&lt;安値!AC86,安値!AE86&lt;安値!AF86,安値!AE86&lt;安値!AG86),26,""))</f>
        <v/>
      </c>
      <c r="AA86" s="503" t="str">
        <f>IF(終値!A86="","",IF(AND(安値!AF86&lt;安値!AE86,安値!AF86&lt;安値!AD86,安値!AF86&lt;安値!AG86,安値!AF86&lt;安値!AH86),27,""))</f>
        <v/>
      </c>
      <c r="AB86" s="503" t="str">
        <f>IF(終値!A86="","",IF(AND(安値!AG86&lt;安値!AF86,安値!AG86&lt;安値!AE86,安値!AG86&lt;安値!AH86,安値!AG86&lt;安値!AI86),28,""))</f>
        <v/>
      </c>
      <c r="AC86" s="503" t="str">
        <f>IF(終値!A86="","",IF(AND(高値!G86&gt;高値!F86,高値!G86&gt;高値!E86,高値!G86&gt;高値!H86,高値!G86&gt;高値!I86),2,""))</f>
        <v/>
      </c>
      <c r="AD86" s="503" t="str">
        <f>IF(終値!A86="","",IF(AND(高値!H86&gt;高値!G86,高値!H86&gt;高値!F86,高値!H86&gt;高値!I86,高値!H86&gt;高値!J86),3,""))</f>
        <v/>
      </c>
      <c r="AE86" s="503" t="str">
        <f>IF(終値!A86="","",IF(AND(高値!I86&gt;高値!H86,高値!I86&gt;高値!G86,高値!I86&gt;高値!J86,高値!I86&gt;高値!K86),4,""))</f>
        <v/>
      </c>
      <c r="AF86" s="503" t="str">
        <f>IF(終値!A86="","",IF(AND(高値!J86&gt;高値!I86,高値!J86&gt;高値!H86,高値!J86&gt;高値!K86,高値!J86&gt;高値!L86),5,""))</f>
        <v/>
      </c>
      <c r="AG86" s="503" t="str">
        <f>IF(終値!A86="","",IF(AND(高値!K86&gt;高値!J86,高値!K86&gt;高値!I86,高値!K86&gt;高値!L86,高値!K86&gt;高値!M86),6,""))</f>
        <v/>
      </c>
      <c r="AH86" s="503" t="str">
        <f>IF(終値!A86="","",IF(AND(高値!L86&gt;高値!K86,高値!L86&gt;高値!J86,高値!L86&gt;高値!M86,高値!L86&gt;高値!N86),7,""))</f>
        <v/>
      </c>
      <c r="AI86" s="503">
        <f>IF(終値!A86="","",IF(AND(高値!M86&gt;高値!L86,高値!M86&gt;高値!K86,高値!M86&gt;高値!N86,高値!M86&gt;高値!O86),8,""))</f>
        <v>8</v>
      </c>
      <c r="AJ86" s="503" t="str">
        <f>IF(終値!A86="","",IF(AND(高値!N86&gt;高値!M86,高値!N86&gt;高値!L86,高値!N86&gt;高値!O86,高値!N86&gt;高値!P86),9,""))</f>
        <v/>
      </c>
      <c r="AK86" s="503" t="str">
        <f>IF(終値!A86="","",IF(AND(高値!O86&gt;高値!N86,高値!O86&gt;高値!M86,高値!O86&gt;高値!P86,高値!O86&gt;高値!Q86),10,""))</f>
        <v/>
      </c>
      <c r="AL86" s="503" t="str">
        <f>IF(終値!A86="","",IF(AND(高値!P86&gt;高値!O86,高値!P86&gt;高値!N86,高値!P86&gt;高値!Q86,高値!P86&gt;高値!R86),11,""))</f>
        <v/>
      </c>
      <c r="AM86" s="503" t="str">
        <f>IF(終値!A86="","",IF(AND(高値!Q86&gt;高値!P86,高値!Q86&gt;高値!O86,高値!Q86&gt;高値!R86,高値!Q86&gt;高値!S86),12,""))</f>
        <v/>
      </c>
      <c r="AN86" s="503" t="str">
        <f>IF(終値!A86="","",IF(AND(高値!R86&gt;高値!Q86,高値!R86&gt;高値!P86,高値!R86&gt;高値!S86,高値!R86&gt;高値!T86),13,""))</f>
        <v/>
      </c>
      <c r="AO86" s="503" t="str">
        <f>IF(終値!A86="","",IF(AND(高値!S86&gt;高値!R86,高値!S86&gt;高値!Q86,高値!S86&gt;高値!T86,高値!S86&gt;高値!U86),14,""))</f>
        <v/>
      </c>
      <c r="AP86" s="503" t="str">
        <f>IF(終値!A86="","",IF(AND(高値!T86&gt;高値!S86,高値!T86&gt;高値!R86,高値!T86&gt;高値!U86,高値!T86&gt;高値!V86),15,""))</f>
        <v/>
      </c>
      <c r="AQ86" s="503">
        <f>IF(終値!A86="","",IF(AND(高値!U86&gt;高値!T86,高値!U86&gt;高値!S86,高値!U86&gt;高値!V86,高値!U86&gt;高値!W86),16,""))</f>
        <v>16</v>
      </c>
      <c r="AR86" s="503" t="str">
        <f>IF(終値!A86="","",IF(AND(高値!V86&gt;高値!U86,高値!V86&gt;高値!T86,高値!V86&gt;高値!W86,高値!V86&gt;高値!X86),17,""))</f>
        <v/>
      </c>
      <c r="AS86" s="503" t="str">
        <f>IF(終値!A86="","",IF(AND(高値!W86&gt;高値!V86,高値!W86&gt;高値!U86,高値!W86&gt;高値!X86,高値!W86&gt;高値!Y86),18,""))</f>
        <v/>
      </c>
      <c r="AT86" s="503" t="str">
        <f>IF(終値!A86="","",IF(AND(高値!X86&gt;高値!W86,高値!X86&gt;高値!V86,高値!X86&gt;高値!Y86,高値!X86&gt;高値!Z86),19,""))</f>
        <v/>
      </c>
      <c r="AU86" s="503">
        <f>IF(終値!A86="","",IF(AND(高値!Y86&gt;高値!X86,高値!Y86&gt;高値!W86,高値!Y86&gt;高値!Z86,高値!Y86&gt;高値!AA86),20,""))</f>
        <v>20</v>
      </c>
      <c r="AV86" s="503" t="str">
        <f>IF(終値!A86="","",IF(AND(高値!Z86&gt;高値!Y86,高値!Z86&gt;高値!X86,高値!Z86&gt;高値!AA86,高値!Z86&gt;高値!AB86),21,""))</f>
        <v/>
      </c>
      <c r="AW86" s="503" t="str">
        <f>IF(終値!A86="","",IF(AND(高値!AA86&gt;高値!Z86,高値!AA86&gt;高値!Y86,高値!AA86&gt;高値!AB86,高値!AA86&gt;高値!AC86),22,""))</f>
        <v/>
      </c>
      <c r="AX86" s="503" t="str">
        <f>IF(終値!A86="","",IF(AND(高値!AB86&gt;高値!AA86,高値!AB86&gt;高値!Z86,高値!AB86&gt;高値!AC86,高値!AB86&gt;高値!AD86),23,""))</f>
        <v/>
      </c>
      <c r="AY86" s="503" t="str">
        <f>IF(終値!A86="","",IF(AND(高値!AC86&gt;高値!AB86,高値!AC86&gt;高値!AA86,高値!AC86&gt;高値!AD86,高値!AC86&gt;高値!AE86),24,""))</f>
        <v/>
      </c>
      <c r="AZ86" s="503" t="str">
        <f>IF(終値!A86="","",IF(AND(高値!AD86&gt;高値!AC86,高値!AD86&gt;高値!AB86,高値!AD86&gt;高値!AE86,高値!AD86&gt;高値!AF86),25,""))</f>
        <v/>
      </c>
      <c r="BA86" s="503">
        <f>IF(終値!A86="","",IF(AND(高値!AE86&gt;高値!AD86,高値!AE86&gt;高値!AC86,高値!AE86&gt;高値!AF86,高値!AE86&gt;高値!AG86),26,""))</f>
        <v>26</v>
      </c>
      <c r="BB86" s="503" t="str">
        <f>IF(終値!A86="","",IF(AND(高値!AF86&gt;高値!AE86,高値!AF86&gt;高値!AD86,高値!AF86&gt;高値!AG86,高値!AF86&gt;高値!AH86),27,""))</f>
        <v/>
      </c>
      <c r="BC86" s="503" t="str">
        <f>IF(終値!A86="","",IF(AND(高値!AG86&gt;高値!AF86,高値!AG86&gt;高値!AE86,高値!AG86&gt;高値!AH86,高値!AG86&gt;高値!AI86),28,""))</f>
        <v/>
      </c>
      <c r="BD86" s="503">
        <f t="shared" si="6"/>
        <v>5</v>
      </c>
      <c r="BE86" s="503">
        <f t="shared" si="7"/>
        <v>3</v>
      </c>
      <c r="BF86" s="503">
        <f t="shared" si="8"/>
        <v>6</v>
      </c>
      <c r="BG86" s="503">
        <f>IF($BE86="","",INDEX(安値!$E86:$CZ86,1,$BE86+1))</f>
        <v>2193</v>
      </c>
      <c r="BH86" s="503">
        <f>IF($BF86="","",INDEX(安値!$E86:$CZ86,1,$BF86+1))</f>
        <v>2184</v>
      </c>
      <c r="BI86" s="503">
        <f>IF($BF86="","",MAX(INDEX(高値!$E86:$CZ86,1,$BE86+1):INDEX(高値!$E86:$CZ86,1,$BF86+1)))</f>
        <v>2329</v>
      </c>
      <c r="BJ86" s="503">
        <f>IF($BF86="","",AVERAGE(INDEX(終値!$E86:$CZ86,1,$BF86+1):INDEX(終値!$E86:$CZ86,1,$BF86+20))-2*STDEVP(INDEX(終値!$E86:$CZ86,1,$BF86+1):INDEX(終値!$E86:$CZ86,1,$BF86+20)))</f>
        <v>2160.3441652446859</v>
      </c>
      <c r="BK86" s="503">
        <f>IF($BE86="","",AVERAGE(INDEX(終値!$E86:$CZ86,1,$BE86+1):INDEX(終値!$E86:$CZ86,1,$BE86+20))-2*STDEVP(INDEX(終値!$E86:$CZ86,1,$BE86+1):INDEX(終値!$E86:$CZ86,1,$BE86+20)))</f>
        <v>2143.8980340136532</v>
      </c>
      <c r="BL86" s="503">
        <f t="shared" si="9"/>
        <v>4</v>
      </c>
      <c r="BM86" s="503">
        <f t="shared" si="10"/>
        <v>8</v>
      </c>
      <c r="BN86" s="503">
        <f t="shared" si="11"/>
        <v>16</v>
      </c>
      <c r="BO86" s="503">
        <f>IF($BM86="","",INDEX(高値!$E86:$CZ86,1,$BM86+1))</f>
        <v>2375</v>
      </c>
      <c r="BP86" s="503">
        <f>IF($BN86="","",INDEX(高値!$E86:$CZ86,1,$BN86+1))</f>
        <v>2432</v>
      </c>
      <c r="BQ86" s="503">
        <f>IF($BN86="","",MIN(INDEX(安値!$E86:$CZ86,1,$BM86+1):INDEX(安値!$E86:$CZ86,1,$BN86+1)))</f>
        <v>2149</v>
      </c>
      <c r="BR86" s="503">
        <f>IF($BN86="","",AVERAGE(INDEX(終値!$E86:$CZ86,1,$BN86+1):INDEX(終値!$E86:$CZ86,1,$BN86+20))+2*STDEVP(INDEX(終値!$E86:$CZ86,1,$BN86+1):INDEX(終値!$E86:$CZ86,1,$BN86+20)))</f>
        <v>2806.0070058601677</v>
      </c>
      <c r="BS86" s="503">
        <f>IF($BM86="","",AVERAGE(INDEX(終値!$E86:$CZ86,1,$BM86+1):INDEX(終値!$E86:$CZ86,1,$BM86+20))+2*STDEVP(INDEX(終値!$E86:$CZ86,1,$BM86+1):INDEX(終値!$E86:$CZ86,1,$BM86+20)))</f>
        <v>2609.4603880099235</v>
      </c>
      <c r="BT86" s="500"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二番底W形成</v>
      </c>
    </row>
    <row r="87" spans="2:72">
      <c r="B87" s="503" t="str">
        <f>IF(終値!A87="","",IF(AND(安値!G87&lt;安値!F87,安値!G87&lt;安値!E87,安値!G87&lt;安値!H87,安値!G87&lt;安値!I87),2,""))</f>
        <v/>
      </c>
      <c r="C87" s="503" t="str">
        <f>IF(終値!A87="","",IF(AND(安値!H87&lt;安値!G87,安値!H87&lt;安値!F87,安値!H87&lt;安値!I87,安値!H87&lt;安値!J87),3,""))</f>
        <v/>
      </c>
      <c r="D87" s="503" t="str">
        <f>IF(終値!A87="","",IF(AND(安値!I87&lt;安値!H87,安値!I87&lt;安値!G87,安値!I87&lt;安値!J87,安値!I87&lt;安値!K87),4,""))</f>
        <v/>
      </c>
      <c r="E87" s="503" t="str">
        <f>IF(終値!A87="","",IF(AND(安値!J87&lt;安値!I87,安値!J87&lt;安値!H87,安値!J87&lt;安値!K87,安値!J87&lt;安値!L87),5,""))</f>
        <v/>
      </c>
      <c r="F87" s="503" t="str">
        <f>IF(終値!A87="","",IF(AND(安値!K87&lt;安値!J87,安値!K87&lt;安値!I87,安値!K87&lt;安値!L87,安値!K87&lt;安値!M87),6,""))</f>
        <v/>
      </c>
      <c r="G87" s="503" t="str">
        <f>IF(終値!A87="","",IF(AND(安値!L87&lt;安値!K87,安値!L87&lt;安値!J87,安値!L87&lt;安値!M87,安値!L87&lt;安値!N87),7,""))</f>
        <v/>
      </c>
      <c r="H87" s="503" t="str">
        <f>IF(終値!A87="","",IF(AND(安値!M87&lt;安値!L87,安値!M87&lt;安値!K87,安値!M87&lt;安値!N87,安値!M87&lt;安値!O87),8,""))</f>
        <v/>
      </c>
      <c r="I87" s="503" t="str">
        <f>IF(終値!A87="","",IF(AND(安値!N87&lt;安値!M87,安値!N87&lt;安値!L87,安値!N87&lt;安値!O87,安値!N87&lt;安値!P87),9,""))</f>
        <v/>
      </c>
      <c r="J87" s="503" t="str">
        <f>IF(終値!A87="","",IF(AND(安値!O87&lt;安値!N87,安値!O87&lt;安値!M87,安値!O87&lt;安値!P87,安値!O87&lt;安値!Q87),10,""))</f>
        <v/>
      </c>
      <c r="K87" s="503" t="str">
        <f>IF(終値!A87="","",IF(AND(安値!P87&lt;安値!O87,安値!P87&lt;安値!N87,安値!P87&lt;安値!Q87,安値!P87&lt;安値!R87),11,""))</f>
        <v/>
      </c>
      <c r="L87" s="503" t="str">
        <f>IF(終値!A87="","",IF(AND(安値!Q87&lt;安値!P87,安値!Q87&lt;安値!O87,安値!Q87&lt;安値!R87,安値!Q87&lt;安値!S87),12,""))</f>
        <v/>
      </c>
      <c r="M87" s="503" t="str">
        <f>IF(終値!A87="","",IF(AND(安値!R87&lt;安値!Q87,安値!R87&lt;安値!P87,安値!R87&lt;安値!S87,安値!R87&lt;安値!T87),13,""))</f>
        <v/>
      </c>
      <c r="N87" s="503" t="str">
        <f>IF(終値!A87="","",IF(AND(安値!S87&lt;安値!R87,安値!S87&lt;安値!Q87,安値!S87&lt;安値!T87,安値!S87&lt;安値!U87),14,""))</f>
        <v/>
      </c>
      <c r="O87" s="503" t="str">
        <f>IF(終値!A87="","",IF(AND(安値!T87&lt;安値!S87,安値!T87&lt;安値!R87,安値!T87&lt;安値!U87,安値!T87&lt;安値!V87),15,""))</f>
        <v/>
      </c>
      <c r="P87" s="503">
        <f>IF(終値!A87="","",IF(AND(安値!U87&lt;安値!T87,安値!U87&lt;安値!S87,安値!U87&lt;安値!V87,安値!U87&lt;安値!W87),16,""))</f>
        <v>16</v>
      </c>
      <c r="Q87" s="503" t="str">
        <f>IF(終値!A87="","",IF(AND(安値!V87&lt;安値!U87,安値!V87&lt;安値!T87,安値!V87&lt;安値!W87,安値!V87&lt;安値!X87),17,""))</f>
        <v/>
      </c>
      <c r="R87" s="503" t="str">
        <f>IF(終値!A87="","",IF(AND(安値!W87&lt;安値!V87,安値!W87&lt;安値!U87,安値!W87&lt;安値!X87,安値!W87&lt;安値!Y87),18,""))</f>
        <v/>
      </c>
      <c r="S87" s="503" t="str">
        <f>IF(終値!A87="","",IF(AND(安値!X87&lt;安値!W87,安値!X87&lt;安値!V87,安値!X87&lt;安値!Y87,安値!X87&lt;安値!Z87),19,""))</f>
        <v/>
      </c>
      <c r="T87" s="503" t="str">
        <f>IF(終値!A87="","",IF(AND(安値!Y87&lt;安値!X87,安値!Y87&lt;安値!W87,安値!Y87&lt;安値!Z87,安値!Y87&lt;安値!AA87),20,""))</f>
        <v/>
      </c>
      <c r="U87" s="503" t="str">
        <f>IF(終値!A87="","",IF(AND(安値!Z87&lt;安値!Y87,安値!Z87&lt;安値!X87,安値!Z87&lt;安値!AA87,安値!Z87&lt;安値!AB87),21,""))</f>
        <v/>
      </c>
      <c r="V87" s="503" t="str">
        <f>IF(終値!A87="","",IF(AND(安値!AA87&lt;安値!Z87,安値!AA87&lt;安値!Y87,安値!AA87&lt;安値!AB87,安値!AA87&lt;安値!AC87),22,""))</f>
        <v/>
      </c>
      <c r="W87" s="503" t="str">
        <f>IF(終値!A87="","",IF(AND(安値!AB87&lt;安値!AA87,安値!AB87&lt;安値!Z87,安値!AB87&lt;安値!AC87,安値!AB87&lt;安値!AD87),23,""))</f>
        <v/>
      </c>
      <c r="X87" s="503" t="str">
        <f>IF(終値!A87="","",IF(AND(安値!AC87&lt;安値!AB87,安値!AC87&lt;安値!AA87,安値!AC87&lt;安値!AD87,安値!AC87&lt;安値!AE87),24,""))</f>
        <v/>
      </c>
      <c r="Y87" s="503" t="str">
        <f>IF(終値!A87="","",IF(AND(安値!AD87&lt;安値!AC87,安値!AD87&lt;安値!AB87,安値!AD87&lt;安値!AE87,安値!AD87&lt;安値!AF87),25,""))</f>
        <v/>
      </c>
      <c r="Z87" s="503" t="str">
        <f>IF(終値!A87="","",IF(AND(安値!AE87&lt;安値!AD87,安値!AE87&lt;安値!AC87,安値!AE87&lt;安値!AF87,安値!AE87&lt;安値!AG87),26,""))</f>
        <v/>
      </c>
      <c r="AA87" s="503" t="str">
        <f>IF(終値!A87="","",IF(AND(安値!AF87&lt;安値!AE87,安値!AF87&lt;安値!AD87,安値!AF87&lt;安値!AG87,安値!AF87&lt;安値!AH87),27,""))</f>
        <v/>
      </c>
      <c r="AB87" s="503" t="str">
        <f>IF(終値!A87="","",IF(AND(安値!AG87&lt;安値!AF87,安値!AG87&lt;安値!AE87,安値!AG87&lt;安値!AH87,安値!AG87&lt;安値!AI87),28,""))</f>
        <v/>
      </c>
      <c r="AC87" s="503" t="str">
        <f>IF(終値!A87="","",IF(AND(高値!G87&gt;高値!F87,高値!G87&gt;高値!E87,高値!G87&gt;高値!H87,高値!G87&gt;高値!I87),2,""))</f>
        <v/>
      </c>
      <c r="AD87" s="503" t="str">
        <f>IF(終値!A87="","",IF(AND(高値!H87&gt;高値!G87,高値!H87&gt;高値!F87,高値!H87&gt;高値!I87,高値!H87&gt;高値!J87),3,""))</f>
        <v/>
      </c>
      <c r="AE87" s="503">
        <f>IF(終値!A87="","",IF(AND(高値!I87&gt;高値!H87,高値!I87&gt;高値!G87,高値!I87&gt;高値!J87,高値!I87&gt;高値!K87),4,""))</f>
        <v>4</v>
      </c>
      <c r="AF87" s="503" t="str">
        <f>IF(終値!A87="","",IF(AND(高値!J87&gt;高値!I87,高値!J87&gt;高値!H87,高値!J87&gt;高値!K87,高値!J87&gt;高値!L87),5,""))</f>
        <v/>
      </c>
      <c r="AG87" s="503" t="str">
        <f>IF(終値!A87="","",IF(AND(高値!K87&gt;高値!J87,高値!K87&gt;高値!I87,高値!K87&gt;高値!L87,高値!K87&gt;高値!M87),6,""))</f>
        <v/>
      </c>
      <c r="AH87" s="503" t="str">
        <f>IF(終値!A87="","",IF(AND(高値!L87&gt;高値!K87,高値!L87&gt;高値!J87,高値!L87&gt;高値!M87,高値!L87&gt;高値!N87),7,""))</f>
        <v/>
      </c>
      <c r="AI87" s="503" t="str">
        <f>IF(終値!A87="","",IF(AND(高値!M87&gt;高値!L87,高値!M87&gt;高値!K87,高値!M87&gt;高値!N87,高値!M87&gt;高値!O87),8,""))</f>
        <v/>
      </c>
      <c r="AJ87" s="503" t="str">
        <f>IF(終値!A87="","",IF(AND(高値!N87&gt;高値!M87,高値!N87&gt;高値!L87,高値!N87&gt;高値!O87,高値!N87&gt;高値!P87),9,""))</f>
        <v/>
      </c>
      <c r="AK87" s="503" t="str">
        <f>IF(終値!A87="","",IF(AND(高値!O87&gt;高値!N87,高値!O87&gt;高値!M87,高値!O87&gt;高値!P87,高値!O87&gt;高値!Q87),10,""))</f>
        <v/>
      </c>
      <c r="AL87" s="503" t="str">
        <f>IF(終値!A87="","",IF(AND(高値!P87&gt;高値!O87,高値!P87&gt;高値!N87,高値!P87&gt;高値!Q87,高値!P87&gt;高値!R87),11,""))</f>
        <v/>
      </c>
      <c r="AM87" s="503" t="str">
        <f>IF(終値!A87="","",IF(AND(高値!Q87&gt;高値!P87,高値!Q87&gt;高値!O87,高値!Q87&gt;高値!R87,高値!Q87&gt;高値!S87),12,""))</f>
        <v/>
      </c>
      <c r="AN87" s="503" t="str">
        <f>IF(終値!A87="","",IF(AND(高値!R87&gt;高値!Q87,高値!R87&gt;高値!P87,高値!R87&gt;高値!S87,高値!R87&gt;高値!T87),13,""))</f>
        <v/>
      </c>
      <c r="AO87" s="503" t="str">
        <f>IF(終値!A87="","",IF(AND(高値!S87&gt;高値!R87,高値!S87&gt;高値!Q87,高値!S87&gt;高値!T87,高値!S87&gt;高値!U87),14,""))</f>
        <v/>
      </c>
      <c r="AP87" s="503" t="str">
        <f>IF(終値!A87="","",IF(AND(高値!T87&gt;高値!S87,高値!T87&gt;高値!R87,高値!T87&gt;高値!U87,高値!T87&gt;高値!V87),15,""))</f>
        <v/>
      </c>
      <c r="AQ87" s="503" t="str">
        <f>IF(終値!A87="","",IF(AND(高値!U87&gt;高値!T87,高値!U87&gt;高値!S87,高値!U87&gt;高値!V87,高値!U87&gt;高値!W87),16,""))</f>
        <v/>
      </c>
      <c r="AR87" s="503" t="str">
        <f>IF(終値!A87="","",IF(AND(高値!V87&gt;高値!U87,高値!V87&gt;高値!T87,高値!V87&gt;高値!W87,高値!V87&gt;高値!X87),17,""))</f>
        <v/>
      </c>
      <c r="AS87" s="503" t="str">
        <f>IF(終値!A87="","",IF(AND(高値!W87&gt;高値!V87,高値!W87&gt;高値!U87,高値!W87&gt;高値!X87,高値!W87&gt;高値!Y87),18,""))</f>
        <v/>
      </c>
      <c r="AT87" s="503">
        <f>IF(終値!A87="","",IF(AND(高値!X87&gt;高値!W87,高値!X87&gt;高値!V87,高値!X87&gt;高値!Y87,高値!X87&gt;高値!Z87),19,""))</f>
        <v>19</v>
      </c>
      <c r="AU87" s="503" t="str">
        <f>IF(終値!A87="","",IF(AND(高値!Y87&gt;高値!X87,高値!Y87&gt;高値!W87,高値!Y87&gt;高値!Z87,高値!Y87&gt;高値!AA87),20,""))</f>
        <v/>
      </c>
      <c r="AV87" s="503" t="str">
        <f>IF(終値!A87="","",IF(AND(高値!Z87&gt;高値!Y87,高値!Z87&gt;高値!X87,高値!Z87&gt;高値!AA87,高値!Z87&gt;高値!AB87),21,""))</f>
        <v/>
      </c>
      <c r="AW87" s="503" t="str">
        <f>IF(終値!A87="","",IF(AND(高値!AA87&gt;高値!Z87,高値!AA87&gt;高値!Y87,高値!AA87&gt;高値!AB87,高値!AA87&gt;高値!AC87),22,""))</f>
        <v/>
      </c>
      <c r="AX87" s="503" t="str">
        <f>IF(終値!A87="","",IF(AND(高値!AB87&gt;高値!AA87,高値!AB87&gt;高値!Z87,高値!AB87&gt;高値!AC87,高値!AB87&gt;高値!AD87),23,""))</f>
        <v/>
      </c>
      <c r="AY87" s="503" t="str">
        <f>IF(終値!A87="","",IF(AND(高値!AC87&gt;高値!AB87,高値!AC87&gt;高値!AA87,高値!AC87&gt;高値!AD87,高値!AC87&gt;高値!AE87),24,""))</f>
        <v/>
      </c>
      <c r="AZ87" s="503" t="str">
        <f>IF(終値!A87="","",IF(AND(高値!AD87&gt;高値!AC87,高値!AD87&gt;高値!AB87,高値!AD87&gt;高値!AE87,高値!AD87&gt;高値!AF87),25,""))</f>
        <v/>
      </c>
      <c r="BA87" s="503" t="str">
        <f>IF(終値!A87="","",IF(AND(高値!AE87&gt;高値!AD87,高値!AE87&gt;高値!AC87,高値!AE87&gt;高値!AF87,高値!AE87&gt;高値!AG87),26,""))</f>
        <v/>
      </c>
      <c r="BB87" s="503">
        <f>IF(終値!A87="","",IF(AND(高値!AF87&gt;高値!AE87,高値!AF87&gt;高値!AD87,高値!AF87&gt;高値!AG87,高値!AF87&gt;高値!AH87),27,""))</f>
        <v>27</v>
      </c>
      <c r="BC87" s="503" t="str">
        <f>IF(終値!A87="","",IF(AND(高値!AG87&gt;高値!AF87,高値!AG87&gt;高値!AE87,高値!AG87&gt;高値!AH87,高値!AG87&gt;高値!AI87),28,""))</f>
        <v/>
      </c>
      <c r="BD87" s="503">
        <f t="shared" si="6"/>
        <v>1</v>
      </c>
      <c r="BE87" s="503" t="str">
        <f t="shared" si="7"/>
        <v/>
      </c>
      <c r="BF87" s="503" t="str">
        <f t="shared" si="8"/>
        <v/>
      </c>
      <c r="BG87" s="503" t="str">
        <f>IF($BE87="","",INDEX(安値!$E87:$CZ87,1,$BE87+1))</f>
        <v/>
      </c>
      <c r="BH87" s="503" t="str">
        <f>IF($BF87="","",INDEX(安値!$E87:$CZ87,1,$BF87+1))</f>
        <v/>
      </c>
      <c r="BI87" s="503" t="str">
        <f>IF($BF87="","",MAX(INDEX(高値!$E87:$CZ87,1,$BE87+1):INDEX(高値!$E87:$CZ87,1,$BF87+1)))</f>
        <v/>
      </c>
      <c r="BJ87" s="503" t="str">
        <f>IF($BF87="","",AVERAGE(INDEX(終値!$E87:$CZ87,1,$BF87+1):INDEX(終値!$E87:$CZ87,1,$BF87+20))-2*STDEVP(INDEX(終値!$E87:$CZ87,1,$BF87+1):INDEX(終値!$E87:$CZ87,1,$BF87+20)))</f>
        <v/>
      </c>
      <c r="BK87" s="503" t="str">
        <f>IF($BE87="","",AVERAGE(INDEX(終値!$E87:$CZ87,1,$BE87+1):INDEX(終値!$E87:$CZ87,1,$BE87+20))-2*STDEVP(INDEX(終値!$E87:$CZ87,1,$BE87+1):INDEX(終値!$E87:$CZ87,1,$BE87+20)))</f>
        <v/>
      </c>
      <c r="BL87" s="503">
        <f t="shared" si="9"/>
        <v>3</v>
      </c>
      <c r="BM87" s="503">
        <f t="shared" si="10"/>
        <v>4</v>
      </c>
      <c r="BN87" s="503">
        <f t="shared" si="11"/>
        <v>19</v>
      </c>
      <c r="BO87" s="503">
        <f>IF($BM87="","",INDEX(高値!$E87:$CZ87,1,$BM87+1))</f>
        <v>7218</v>
      </c>
      <c r="BP87" s="503">
        <f>IF($BN87="","",INDEX(高値!$E87:$CZ87,1,$BN87+1))</f>
        <v>6278</v>
      </c>
      <c r="BQ87" s="503">
        <f>IF($BN87="","",MIN(INDEX(安値!$E87:$CZ87,1,$BM87+1):INDEX(安値!$E87:$CZ87,1,$BN87+1)))</f>
        <v>6049</v>
      </c>
      <c r="BR87" s="503">
        <f>IF($BN87="","",AVERAGE(INDEX(終値!$E87:$CZ87,1,$BN87+1):INDEX(終値!$E87:$CZ87,1,$BN87+20))+2*STDEVP(INDEX(終値!$E87:$CZ87,1,$BN87+1):INDEX(終値!$E87:$CZ87,1,$BN87+20)))</f>
        <v>6274.15249494399</v>
      </c>
      <c r="BS87" s="503">
        <f>IF($BM87="","",AVERAGE(INDEX(終値!$E87:$CZ87,1,$BM87+1):INDEX(終値!$E87:$CZ87,1,$BM87+20))+2*STDEVP(INDEX(終値!$E87:$CZ87,1,$BM87+1):INDEX(終値!$E87:$CZ87,1,$BM87+20)))</f>
        <v>6912.5919879918592</v>
      </c>
      <c r="BT87" s="500"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v>
      </c>
    </row>
    <row r="88" spans="2:72">
      <c r="B88" s="503" t="str">
        <f>IF(終値!A88="","",IF(AND(安値!G88&lt;安値!F88,安値!G88&lt;安値!E88,安値!G88&lt;安値!H88,安値!G88&lt;安値!I88),2,""))</f>
        <v/>
      </c>
      <c r="C88" s="503" t="str">
        <f>IF(終値!A88="","",IF(AND(安値!H88&lt;安値!G88,安値!H88&lt;安値!F88,安値!H88&lt;安値!I88,安値!H88&lt;安値!J88),3,""))</f>
        <v/>
      </c>
      <c r="D88" s="503" t="str">
        <f>IF(終値!A88="","",IF(AND(安値!I88&lt;安値!H88,安値!I88&lt;安値!G88,安値!I88&lt;安値!J88,安値!I88&lt;安値!K88),4,""))</f>
        <v/>
      </c>
      <c r="E88" s="503" t="str">
        <f>IF(終値!A88="","",IF(AND(安値!J88&lt;安値!I88,安値!J88&lt;安値!H88,安値!J88&lt;安値!K88,安値!J88&lt;安値!L88),5,""))</f>
        <v/>
      </c>
      <c r="F88" s="503" t="str">
        <f>IF(終値!A88="","",IF(AND(安値!K88&lt;安値!J88,安値!K88&lt;安値!I88,安値!K88&lt;安値!L88,安値!K88&lt;安値!M88),6,""))</f>
        <v/>
      </c>
      <c r="G88" s="503" t="str">
        <f>IF(終値!A88="","",IF(AND(安値!L88&lt;安値!K88,安値!L88&lt;安値!J88,安値!L88&lt;安値!M88,安値!L88&lt;安値!N88),7,""))</f>
        <v/>
      </c>
      <c r="H88" s="503" t="str">
        <f>IF(終値!A88="","",IF(AND(安値!M88&lt;安値!L88,安値!M88&lt;安値!K88,安値!M88&lt;安値!N88,安値!M88&lt;安値!O88),8,""))</f>
        <v/>
      </c>
      <c r="I88" s="503">
        <f>IF(終値!A88="","",IF(AND(安値!N88&lt;安値!M88,安値!N88&lt;安値!L88,安値!N88&lt;安値!O88,安値!N88&lt;安値!P88),9,""))</f>
        <v>9</v>
      </c>
      <c r="J88" s="503" t="str">
        <f>IF(終値!A88="","",IF(AND(安値!O88&lt;安値!N88,安値!O88&lt;安値!M88,安値!O88&lt;安値!P88,安値!O88&lt;安値!Q88),10,""))</f>
        <v/>
      </c>
      <c r="K88" s="503" t="str">
        <f>IF(終値!A88="","",IF(AND(安値!P88&lt;安値!O88,安値!P88&lt;安値!N88,安値!P88&lt;安値!Q88,安値!P88&lt;安値!R88),11,""))</f>
        <v/>
      </c>
      <c r="L88" s="503" t="str">
        <f>IF(終値!A88="","",IF(AND(安値!Q88&lt;安値!P88,安値!Q88&lt;安値!O88,安値!Q88&lt;安値!R88,安値!Q88&lt;安値!S88),12,""))</f>
        <v/>
      </c>
      <c r="M88" s="503" t="str">
        <f>IF(終値!A88="","",IF(AND(安値!R88&lt;安値!Q88,安値!R88&lt;安値!P88,安値!R88&lt;安値!S88,安値!R88&lt;安値!T88),13,""))</f>
        <v/>
      </c>
      <c r="N88" s="503" t="str">
        <f>IF(終値!A88="","",IF(AND(安値!S88&lt;安値!R88,安値!S88&lt;安値!Q88,安値!S88&lt;安値!T88,安値!S88&lt;安値!U88),14,""))</f>
        <v/>
      </c>
      <c r="O88" s="503" t="str">
        <f>IF(終値!A88="","",IF(AND(安値!T88&lt;安値!S88,安値!T88&lt;安値!R88,安値!T88&lt;安値!U88,安値!T88&lt;安値!V88),15,""))</f>
        <v/>
      </c>
      <c r="P88" s="503" t="str">
        <f>IF(終値!A88="","",IF(AND(安値!U88&lt;安値!T88,安値!U88&lt;安値!S88,安値!U88&lt;安値!V88,安値!U88&lt;安値!W88),16,""))</f>
        <v/>
      </c>
      <c r="Q88" s="503">
        <f>IF(終値!A88="","",IF(AND(安値!V88&lt;安値!U88,安値!V88&lt;安値!T88,安値!V88&lt;安値!W88,安値!V88&lt;安値!X88),17,""))</f>
        <v>17</v>
      </c>
      <c r="R88" s="503" t="str">
        <f>IF(終値!A88="","",IF(AND(安値!W88&lt;安値!V88,安値!W88&lt;安値!U88,安値!W88&lt;安値!X88,安値!W88&lt;安値!Y88),18,""))</f>
        <v/>
      </c>
      <c r="S88" s="503" t="str">
        <f>IF(終値!A88="","",IF(AND(安値!X88&lt;安値!W88,安値!X88&lt;安値!V88,安値!X88&lt;安値!Y88,安値!X88&lt;安値!Z88),19,""))</f>
        <v/>
      </c>
      <c r="T88" s="503" t="str">
        <f>IF(終値!A88="","",IF(AND(安値!Y88&lt;安値!X88,安値!Y88&lt;安値!W88,安値!Y88&lt;安値!Z88,安値!Y88&lt;安値!AA88),20,""))</f>
        <v/>
      </c>
      <c r="U88" s="503" t="str">
        <f>IF(終値!A88="","",IF(AND(安値!Z88&lt;安値!Y88,安値!Z88&lt;安値!X88,安値!Z88&lt;安値!AA88,安値!Z88&lt;安値!AB88),21,""))</f>
        <v/>
      </c>
      <c r="V88" s="503" t="str">
        <f>IF(終値!A88="","",IF(AND(安値!AA88&lt;安値!Z88,安値!AA88&lt;安値!Y88,安値!AA88&lt;安値!AB88,安値!AA88&lt;安値!AC88),22,""))</f>
        <v/>
      </c>
      <c r="W88" s="503" t="str">
        <f>IF(終値!A88="","",IF(AND(安値!AB88&lt;安値!AA88,安値!AB88&lt;安値!Z88,安値!AB88&lt;安値!AC88,安値!AB88&lt;安値!AD88),23,""))</f>
        <v/>
      </c>
      <c r="X88" s="503">
        <f>IF(終値!A88="","",IF(AND(安値!AC88&lt;安値!AB88,安値!AC88&lt;安値!AA88,安値!AC88&lt;安値!AD88,安値!AC88&lt;安値!AE88),24,""))</f>
        <v>24</v>
      </c>
      <c r="Y88" s="503" t="str">
        <f>IF(終値!A88="","",IF(AND(安値!AD88&lt;安値!AC88,安値!AD88&lt;安値!AB88,安値!AD88&lt;安値!AE88,安値!AD88&lt;安値!AF88),25,""))</f>
        <v/>
      </c>
      <c r="Z88" s="503" t="str">
        <f>IF(終値!A88="","",IF(AND(安値!AE88&lt;安値!AD88,安値!AE88&lt;安値!AC88,安値!AE88&lt;安値!AF88,安値!AE88&lt;安値!AG88),26,""))</f>
        <v/>
      </c>
      <c r="AA88" s="503" t="str">
        <f>IF(終値!A88="","",IF(AND(安値!AF88&lt;安値!AE88,安値!AF88&lt;安値!AD88,安値!AF88&lt;安値!AG88,安値!AF88&lt;安値!AH88),27,""))</f>
        <v/>
      </c>
      <c r="AB88" s="503" t="str">
        <f>IF(終値!A88="","",IF(AND(安値!AG88&lt;安値!AF88,安値!AG88&lt;安値!AE88,安値!AG88&lt;安値!AH88,安値!AG88&lt;安値!AI88),28,""))</f>
        <v/>
      </c>
      <c r="AC88" s="503" t="str">
        <f>IF(終値!A88="","",IF(AND(高値!G88&gt;高値!F88,高値!G88&gt;高値!E88,高値!G88&gt;高値!H88,高値!G88&gt;高値!I88),2,""))</f>
        <v/>
      </c>
      <c r="AD88" s="503" t="str">
        <f>IF(終値!A88="","",IF(AND(高値!H88&gt;高値!G88,高値!H88&gt;高値!F88,高値!H88&gt;高値!I88,高値!H88&gt;高値!J88),3,""))</f>
        <v/>
      </c>
      <c r="AE88" s="503" t="str">
        <f>IF(終値!A88="","",IF(AND(高値!I88&gt;高値!H88,高値!I88&gt;高値!G88,高値!I88&gt;高値!J88,高値!I88&gt;高値!K88),4,""))</f>
        <v/>
      </c>
      <c r="AF88" s="503" t="str">
        <f>IF(終値!A88="","",IF(AND(高値!J88&gt;高値!I88,高値!J88&gt;高値!H88,高値!J88&gt;高値!K88,高値!J88&gt;高値!L88),5,""))</f>
        <v/>
      </c>
      <c r="AG88" s="503">
        <f>IF(終値!A88="","",IF(AND(高値!K88&gt;高値!J88,高値!K88&gt;高値!I88,高値!K88&gt;高値!L88,高値!K88&gt;高値!M88),6,""))</f>
        <v>6</v>
      </c>
      <c r="AH88" s="503" t="str">
        <f>IF(終値!A88="","",IF(AND(高値!L88&gt;高値!K88,高値!L88&gt;高値!J88,高値!L88&gt;高値!M88,高値!L88&gt;高値!N88),7,""))</f>
        <v/>
      </c>
      <c r="AI88" s="503" t="str">
        <f>IF(終値!A88="","",IF(AND(高値!M88&gt;高値!L88,高値!M88&gt;高値!K88,高値!M88&gt;高値!N88,高値!M88&gt;高値!O88),8,""))</f>
        <v/>
      </c>
      <c r="AJ88" s="503" t="str">
        <f>IF(終値!A88="","",IF(AND(高値!N88&gt;高値!M88,高値!N88&gt;高値!L88,高値!N88&gt;高値!O88,高値!N88&gt;高値!P88),9,""))</f>
        <v/>
      </c>
      <c r="AK88" s="503" t="str">
        <f>IF(終値!A88="","",IF(AND(高値!O88&gt;高値!N88,高値!O88&gt;高値!M88,高値!O88&gt;高値!P88,高値!O88&gt;高値!Q88),10,""))</f>
        <v/>
      </c>
      <c r="AL88" s="503" t="str">
        <f>IF(終値!A88="","",IF(AND(高値!P88&gt;高値!O88,高値!P88&gt;高値!N88,高値!P88&gt;高値!Q88,高値!P88&gt;高値!R88),11,""))</f>
        <v/>
      </c>
      <c r="AM88" s="503">
        <f>IF(終値!A88="","",IF(AND(高値!Q88&gt;高値!P88,高値!Q88&gt;高値!O88,高値!Q88&gt;高値!R88,高値!Q88&gt;高値!S88),12,""))</f>
        <v>12</v>
      </c>
      <c r="AN88" s="503" t="str">
        <f>IF(終値!A88="","",IF(AND(高値!R88&gt;高値!Q88,高値!R88&gt;高値!P88,高値!R88&gt;高値!S88,高値!R88&gt;高値!T88),13,""))</f>
        <v/>
      </c>
      <c r="AO88" s="503" t="str">
        <f>IF(終値!A88="","",IF(AND(高値!S88&gt;高値!R88,高値!S88&gt;高値!Q88,高値!S88&gt;高値!T88,高値!S88&gt;高値!U88),14,""))</f>
        <v/>
      </c>
      <c r="AP88" s="503" t="str">
        <f>IF(終値!A88="","",IF(AND(高値!T88&gt;高値!S88,高値!T88&gt;高値!R88,高値!T88&gt;高値!U88,高値!T88&gt;高値!V88),15,""))</f>
        <v/>
      </c>
      <c r="AQ88" s="503" t="str">
        <f>IF(終値!A88="","",IF(AND(高値!U88&gt;高値!T88,高値!U88&gt;高値!S88,高値!U88&gt;高値!V88,高値!U88&gt;高値!W88),16,""))</f>
        <v/>
      </c>
      <c r="AR88" s="503" t="str">
        <f>IF(終値!A88="","",IF(AND(高値!V88&gt;高値!U88,高値!V88&gt;高値!T88,高値!V88&gt;高値!W88,高値!V88&gt;高値!X88),17,""))</f>
        <v/>
      </c>
      <c r="AS88" s="503" t="str">
        <f>IF(終値!A88="","",IF(AND(高値!W88&gt;高値!V88,高値!W88&gt;高値!U88,高値!W88&gt;高値!X88,高値!W88&gt;高値!Y88),18,""))</f>
        <v/>
      </c>
      <c r="AT88" s="503">
        <f>IF(終値!A88="","",IF(AND(高値!X88&gt;高値!W88,高値!X88&gt;高値!V88,高値!X88&gt;高値!Y88,高値!X88&gt;高値!Z88),19,""))</f>
        <v>19</v>
      </c>
      <c r="AU88" s="503" t="str">
        <f>IF(終値!A88="","",IF(AND(高値!Y88&gt;高値!X88,高値!Y88&gt;高値!W88,高値!Y88&gt;高値!Z88,高値!Y88&gt;高値!AA88),20,""))</f>
        <v/>
      </c>
      <c r="AV88" s="503" t="str">
        <f>IF(終値!A88="","",IF(AND(高値!Z88&gt;高値!Y88,高値!Z88&gt;高値!X88,高値!Z88&gt;高値!AA88,高値!Z88&gt;高値!AB88),21,""))</f>
        <v/>
      </c>
      <c r="AW88" s="503" t="str">
        <f>IF(終値!A88="","",IF(AND(高値!AA88&gt;高値!Z88,高値!AA88&gt;高値!Y88,高値!AA88&gt;高値!AB88,高値!AA88&gt;高値!AC88),22,""))</f>
        <v/>
      </c>
      <c r="AX88" s="503" t="str">
        <f>IF(終値!A88="","",IF(AND(高値!AB88&gt;高値!AA88,高値!AB88&gt;高値!Z88,高値!AB88&gt;高値!AC88,高値!AB88&gt;高値!AD88),23,""))</f>
        <v/>
      </c>
      <c r="AY88" s="503" t="str">
        <f>IF(終値!A88="","",IF(AND(高値!AC88&gt;高値!AB88,高値!AC88&gt;高値!AA88,高値!AC88&gt;高値!AD88,高値!AC88&gt;高値!AE88),24,""))</f>
        <v/>
      </c>
      <c r="AZ88" s="503">
        <f>IF(終値!A88="","",IF(AND(高値!AD88&gt;高値!AC88,高値!AD88&gt;高値!AB88,高値!AD88&gt;高値!AE88,高値!AD88&gt;高値!AF88),25,""))</f>
        <v>25</v>
      </c>
      <c r="BA88" s="503" t="str">
        <f>IF(終値!A88="","",IF(AND(高値!AE88&gt;高値!AD88,高値!AE88&gt;高値!AC88,高値!AE88&gt;高値!AF88,高値!AE88&gt;高値!AG88),26,""))</f>
        <v/>
      </c>
      <c r="BB88" s="503" t="str">
        <f>IF(終値!A88="","",IF(AND(高値!AF88&gt;高値!AE88,高値!AF88&gt;高値!AD88,高値!AF88&gt;高値!AG88,高値!AF88&gt;高値!AH88),27,""))</f>
        <v/>
      </c>
      <c r="BC88" s="503" t="str">
        <f>IF(終値!A88="","",IF(AND(高値!AG88&gt;高値!AF88,高値!AG88&gt;高値!AE88,高値!AG88&gt;高値!AH88,高値!AG88&gt;高値!AI88),28,""))</f>
        <v/>
      </c>
      <c r="BD88" s="503">
        <f t="shared" si="6"/>
        <v>3</v>
      </c>
      <c r="BE88" s="503">
        <f t="shared" si="7"/>
        <v>9</v>
      </c>
      <c r="BF88" s="503">
        <f t="shared" si="8"/>
        <v>17</v>
      </c>
      <c r="BG88" s="503">
        <f>IF($BE88="","",INDEX(安値!$E88:$CZ88,1,$BE88+1))</f>
        <v>1759</v>
      </c>
      <c r="BH88" s="503">
        <f>IF($BF88="","",INDEX(安値!$E88:$CZ88,1,$BF88+1))</f>
        <v>1744</v>
      </c>
      <c r="BI88" s="503">
        <f>IF($BF88="","",MAX(INDEX(高値!$E88:$CZ88,1,$BE88+1):INDEX(高値!$E88:$CZ88,1,$BF88+1)))</f>
        <v>1839.5</v>
      </c>
      <c r="BJ88" s="503">
        <f>IF($BF88="","",AVERAGE(INDEX(終値!$E88:$CZ88,1,$BF88+1):INDEX(終値!$E88:$CZ88,1,$BF88+20))-2*STDEVP(INDEX(終値!$E88:$CZ88,1,$BF88+1):INDEX(終値!$E88:$CZ88,1,$BF88+20)))</f>
        <v>1657.881489953031</v>
      </c>
      <c r="BK88" s="503">
        <f>IF($BE88="","",AVERAGE(INDEX(終値!$E88:$CZ88,1,$BE88+1):INDEX(終値!$E88:$CZ88,1,$BE88+20))-2*STDEVP(INDEX(終値!$E88:$CZ88,1,$BE88+1):INDEX(終値!$E88:$CZ88,1,$BE88+20)))</f>
        <v>1671.6755203601992</v>
      </c>
      <c r="BL88" s="503">
        <f t="shared" si="9"/>
        <v>4</v>
      </c>
      <c r="BM88" s="503">
        <f t="shared" si="10"/>
        <v>6</v>
      </c>
      <c r="BN88" s="503">
        <f t="shared" si="11"/>
        <v>12</v>
      </c>
      <c r="BO88" s="503">
        <f>IF($BM88="","",INDEX(高値!$E88:$CZ88,1,$BM88+1))</f>
        <v>1915</v>
      </c>
      <c r="BP88" s="503">
        <f>IF($BN88="","",INDEX(高値!$E88:$CZ88,1,$BN88+1))</f>
        <v>1839.5</v>
      </c>
      <c r="BQ88" s="503">
        <f>IF($BN88="","",MIN(INDEX(安値!$E88:$CZ88,1,$BM88+1):INDEX(安値!$E88:$CZ88,1,$BN88+1)))</f>
        <v>1759</v>
      </c>
      <c r="BR88" s="503">
        <f>IF($BN88="","",AVERAGE(INDEX(終値!$E88:$CZ88,1,$BN88+1):INDEX(終値!$E88:$CZ88,1,$BN88+20))+2*STDEVP(INDEX(終値!$E88:$CZ88,1,$BN88+1):INDEX(終値!$E88:$CZ88,1,$BN88+20)))</f>
        <v>1827.796606269698</v>
      </c>
      <c r="BS88" s="503">
        <f>IF($BM88="","",AVERAGE(INDEX(終値!$E88:$CZ88,1,$BM88+1):INDEX(終値!$E88:$CZ88,1,$BM88+20))+2*STDEVP(INDEX(終値!$E88:$CZ88,1,$BM88+1):INDEX(終値!$E88:$CZ88,1,$BM88+20)))</f>
        <v>1876.8289555414492</v>
      </c>
      <c r="BT88" s="500"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二番天井M▼</v>
      </c>
    </row>
    <row r="89" spans="2:72">
      <c r="B89" s="503" t="str">
        <f>IF(終値!A89="","",IF(AND(安値!G89&lt;安値!F89,安値!G89&lt;安値!E89,安値!G89&lt;安値!H89,安値!G89&lt;安値!I89),2,""))</f>
        <v/>
      </c>
      <c r="C89" s="503" t="str">
        <f>IF(終値!A89="","",IF(AND(安値!H89&lt;安値!G89,安値!H89&lt;安値!F89,安値!H89&lt;安値!I89,安値!H89&lt;安値!J89),3,""))</f>
        <v/>
      </c>
      <c r="D89" s="503" t="str">
        <f>IF(終値!A89="","",IF(AND(安値!I89&lt;安値!H89,安値!I89&lt;安値!G89,安値!I89&lt;安値!J89,安値!I89&lt;安値!K89),4,""))</f>
        <v/>
      </c>
      <c r="E89" s="503" t="str">
        <f>IF(終値!A89="","",IF(AND(安値!J89&lt;安値!I89,安値!J89&lt;安値!H89,安値!J89&lt;安値!K89,安値!J89&lt;安値!L89),5,""))</f>
        <v/>
      </c>
      <c r="F89" s="503" t="str">
        <f>IF(終値!A89="","",IF(AND(安値!K89&lt;安値!J89,安値!K89&lt;安値!I89,安値!K89&lt;安値!L89,安値!K89&lt;安値!M89),6,""))</f>
        <v/>
      </c>
      <c r="G89" s="503" t="str">
        <f>IF(終値!A89="","",IF(AND(安値!L89&lt;安値!K89,安値!L89&lt;安値!J89,安値!L89&lt;安値!M89,安値!L89&lt;安値!N89),7,""))</f>
        <v/>
      </c>
      <c r="H89" s="503" t="str">
        <f>IF(終値!A89="","",IF(AND(安値!M89&lt;安値!L89,安値!M89&lt;安値!K89,安値!M89&lt;安値!N89,安値!M89&lt;安値!O89),8,""))</f>
        <v/>
      </c>
      <c r="I89" s="503">
        <f>IF(終値!A89="","",IF(AND(安値!N89&lt;安値!M89,安値!N89&lt;安値!L89,安値!N89&lt;安値!O89,安値!N89&lt;安値!P89),9,""))</f>
        <v>9</v>
      </c>
      <c r="J89" s="503" t="str">
        <f>IF(終値!A89="","",IF(AND(安値!O89&lt;安値!N89,安値!O89&lt;安値!M89,安値!O89&lt;安値!P89,安値!O89&lt;安値!Q89),10,""))</f>
        <v/>
      </c>
      <c r="K89" s="503" t="str">
        <f>IF(終値!A89="","",IF(AND(安値!P89&lt;安値!O89,安値!P89&lt;安値!N89,安値!P89&lt;安値!Q89,安値!P89&lt;安値!R89),11,""))</f>
        <v/>
      </c>
      <c r="L89" s="503" t="str">
        <f>IF(終値!A89="","",IF(AND(安値!Q89&lt;安値!P89,安値!Q89&lt;安値!O89,安値!Q89&lt;安値!R89,安値!Q89&lt;安値!S89),12,""))</f>
        <v/>
      </c>
      <c r="M89" s="503">
        <f>IF(終値!A89="","",IF(AND(安値!R89&lt;安値!Q89,安値!R89&lt;安値!P89,安値!R89&lt;安値!S89,安値!R89&lt;安値!T89),13,""))</f>
        <v>13</v>
      </c>
      <c r="N89" s="503" t="str">
        <f>IF(終値!A89="","",IF(AND(安値!S89&lt;安値!R89,安値!S89&lt;安値!Q89,安値!S89&lt;安値!T89,安値!S89&lt;安値!U89),14,""))</f>
        <v/>
      </c>
      <c r="O89" s="503" t="str">
        <f>IF(終値!A89="","",IF(AND(安値!T89&lt;安値!S89,安値!T89&lt;安値!R89,安値!T89&lt;安値!U89,安値!T89&lt;安値!V89),15,""))</f>
        <v/>
      </c>
      <c r="P89" s="503" t="str">
        <f>IF(終値!A89="","",IF(AND(安値!U89&lt;安値!T89,安値!U89&lt;安値!S89,安値!U89&lt;安値!V89,安値!U89&lt;安値!W89),16,""))</f>
        <v/>
      </c>
      <c r="Q89" s="503" t="str">
        <f>IF(終値!A89="","",IF(AND(安値!V89&lt;安値!U89,安値!V89&lt;安値!T89,安値!V89&lt;安値!W89,安値!V89&lt;安値!X89),17,""))</f>
        <v/>
      </c>
      <c r="R89" s="503">
        <f>IF(終値!A89="","",IF(AND(安値!W89&lt;安値!V89,安値!W89&lt;安値!U89,安値!W89&lt;安値!X89,安値!W89&lt;安値!Y89),18,""))</f>
        <v>18</v>
      </c>
      <c r="S89" s="503" t="str">
        <f>IF(終値!A89="","",IF(AND(安値!X89&lt;安値!W89,安値!X89&lt;安値!V89,安値!X89&lt;安値!Y89,安値!X89&lt;安値!Z89),19,""))</f>
        <v/>
      </c>
      <c r="T89" s="503" t="str">
        <f>IF(終値!A89="","",IF(AND(安値!Y89&lt;安値!X89,安値!Y89&lt;安値!W89,安値!Y89&lt;安値!Z89,安値!Y89&lt;安値!AA89),20,""))</f>
        <v/>
      </c>
      <c r="U89" s="503" t="str">
        <f>IF(終値!A89="","",IF(AND(安値!Z89&lt;安値!Y89,安値!Z89&lt;安値!X89,安値!Z89&lt;安値!AA89,安値!Z89&lt;安値!AB89),21,""))</f>
        <v/>
      </c>
      <c r="V89" s="503" t="str">
        <f>IF(終値!A89="","",IF(AND(安値!AA89&lt;安値!Z89,安値!AA89&lt;安値!Y89,安値!AA89&lt;安値!AB89,安値!AA89&lt;安値!AC89),22,""))</f>
        <v/>
      </c>
      <c r="W89" s="503" t="str">
        <f>IF(終値!A89="","",IF(AND(安値!AB89&lt;安値!AA89,安値!AB89&lt;安値!Z89,安値!AB89&lt;安値!AC89,安値!AB89&lt;安値!AD89),23,""))</f>
        <v/>
      </c>
      <c r="X89" s="503" t="str">
        <f>IF(終値!A89="","",IF(AND(安値!AC89&lt;安値!AB89,安値!AC89&lt;安値!AA89,安値!AC89&lt;安値!AD89,安値!AC89&lt;安値!AE89),24,""))</f>
        <v/>
      </c>
      <c r="Y89" s="503" t="str">
        <f>IF(終値!A89="","",IF(AND(安値!AD89&lt;安値!AC89,安値!AD89&lt;安値!AB89,安値!AD89&lt;安値!AE89,安値!AD89&lt;安値!AF89),25,""))</f>
        <v/>
      </c>
      <c r="Z89" s="503" t="str">
        <f>IF(終値!A89="","",IF(AND(安値!AE89&lt;安値!AD89,安値!AE89&lt;安値!AC89,安値!AE89&lt;安値!AF89,安値!AE89&lt;安値!AG89),26,""))</f>
        <v/>
      </c>
      <c r="AA89" s="503">
        <f>IF(終値!A89="","",IF(AND(安値!AF89&lt;安値!AE89,安値!AF89&lt;安値!AD89,安値!AF89&lt;安値!AG89,安値!AF89&lt;安値!AH89),27,""))</f>
        <v>27</v>
      </c>
      <c r="AB89" s="503" t="str">
        <f>IF(終値!A89="","",IF(AND(安値!AG89&lt;安値!AF89,安値!AG89&lt;安値!AE89,安値!AG89&lt;安値!AH89,安値!AG89&lt;安値!AI89),28,""))</f>
        <v/>
      </c>
      <c r="AC89" s="503" t="str">
        <f>IF(終値!A89="","",IF(AND(高値!G89&gt;高値!F89,高値!G89&gt;高値!E89,高値!G89&gt;高値!H89,高値!G89&gt;高値!I89),2,""))</f>
        <v/>
      </c>
      <c r="AD89" s="503" t="str">
        <f>IF(終値!A89="","",IF(AND(高値!H89&gt;高値!G89,高値!H89&gt;高値!F89,高値!H89&gt;高値!I89,高値!H89&gt;高値!J89),3,""))</f>
        <v/>
      </c>
      <c r="AE89" s="503" t="str">
        <f>IF(終値!A89="","",IF(AND(高値!I89&gt;高値!H89,高値!I89&gt;高値!G89,高値!I89&gt;高値!J89,高値!I89&gt;高値!K89),4,""))</f>
        <v/>
      </c>
      <c r="AF89" s="503" t="str">
        <f>IF(終値!A89="","",IF(AND(高値!J89&gt;高値!I89,高値!J89&gt;高値!H89,高値!J89&gt;高値!K89,高値!J89&gt;高値!L89),5,""))</f>
        <v/>
      </c>
      <c r="AG89" s="503" t="str">
        <f>IF(終値!A89="","",IF(AND(高値!K89&gt;高値!J89,高値!K89&gt;高値!I89,高値!K89&gt;高値!L89,高値!K89&gt;高値!M89),6,""))</f>
        <v/>
      </c>
      <c r="AH89" s="503" t="str">
        <f>IF(終値!A89="","",IF(AND(高値!L89&gt;高値!K89,高値!L89&gt;高値!J89,高値!L89&gt;高値!M89,高値!L89&gt;高値!N89),7,""))</f>
        <v/>
      </c>
      <c r="AI89" s="503" t="str">
        <f>IF(終値!A89="","",IF(AND(高値!M89&gt;高値!L89,高値!M89&gt;高値!K89,高値!M89&gt;高値!N89,高値!M89&gt;高値!O89),8,""))</f>
        <v/>
      </c>
      <c r="AJ89" s="503" t="str">
        <f>IF(終値!A89="","",IF(AND(高値!N89&gt;高値!M89,高値!N89&gt;高値!L89,高値!N89&gt;高値!O89,高値!N89&gt;高値!P89),9,""))</f>
        <v/>
      </c>
      <c r="AK89" s="503" t="str">
        <f>IF(終値!A89="","",IF(AND(高値!O89&gt;高値!N89,高値!O89&gt;高値!M89,高値!O89&gt;高値!P89,高値!O89&gt;高値!Q89),10,""))</f>
        <v/>
      </c>
      <c r="AL89" s="503" t="str">
        <f>IF(終値!A89="","",IF(AND(高値!P89&gt;高値!O89,高値!P89&gt;高値!N89,高値!P89&gt;高値!Q89,高値!P89&gt;高値!R89),11,""))</f>
        <v/>
      </c>
      <c r="AM89" s="503" t="str">
        <f>IF(終値!A89="","",IF(AND(高値!Q89&gt;高値!P89,高値!Q89&gt;高値!O89,高値!Q89&gt;高値!R89,高値!Q89&gt;高値!S89),12,""))</f>
        <v/>
      </c>
      <c r="AN89" s="503" t="str">
        <f>IF(終値!A89="","",IF(AND(高値!R89&gt;高値!Q89,高値!R89&gt;高値!P89,高値!R89&gt;高値!S89,高値!R89&gt;高値!T89),13,""))</f>
        <v/>
      </c>
      <c r="AO89" s="503">
        <f>IF(終値!A89="","",IF(AND(高値!S89&gt;高値!R89,高値!S89&gt;高値!Q89,高値!S89&gt;高値!T89,高値!S89&gt;高値!U89),14,""))</f>
        <v>14</v>
      </c>
      <c r="AP89" s="503" t="str">
        <f>IF(終値!A89="","",IF(AND(高値!T89&gt;高値!S89,高値!T89&gt;高値!R89,高値!T89&gt;高値!U89,高値!T89&gt;高値!V89),15,""))</f>
        <v/>
      </c>
      <c r="AQ89" s="503" t="str">
        <f>IF(終値!A89="","",IF(AND(高値!U89&gt;高値!T89,高値!U89&gt;高値!S89,高値!U89&gt;高値!V89,高値!U89&gt;高値!W89),16,""))</f>
        <v/>
      </c>
      <c r="AR89" s="503" t="str">
        <f>IF(終値!A89="","",IF(AND(高値!V89&gt;高値!U89,高値!V89&gt;高値!T89,高値!V89&gt;高値!W89,高値!V89&gt;高値!X89),17,""))</f>
        <v/>
      </c>
      <c r="AS89" s="503" t="str">
        <f>IF(終値!A89="","",IF(AND(高値!W89&gt;高値!V89,高値!W89&gt;高値!U89,高値!W89&gt;高値!X89,高値!W89&gt;高値!Y89),18,""))</f>
        <v/>
      </c>
      <c r="AT89" s="503" t="str">
        <f>IF(終値!A89="","",IF(AND(高値!X89&gt;高値!W89,高値!X89&gt;高値!V89,高値!X89&gt;高値!Y89,高値!X89&gt;高値!Z89),19,""))</f>
        <v/>
      </c>
      <c r="AU89" s="503" t="str">
        <f>IF(終値!A89="","",IF(AND(高値!Y89&gt;高値!X89,高値!Y89&gt;高値!W89,高値!Y89&gt;高値!Z89,高値!Y89&gt;高値!AA89),20,""))</f>
        <v/>
      </c>
      <c r="AV89" s="503">
        <f>IF(終値!A89="","",IF(AND(高値!Z89&gt;高値!Y89,高値!Z89&gt;高値!X89,高値!Z89&gt;高値!AA89,高値!Z89&gt;高値!AB89),21,""))</f>
        <v>21</v>
      </c>
      <c r="AW89" s="503" t="str">
        <f>IF(終値!A89="","",IF(AND(高値!AA89&gt;高値!Z89,高値!AA89&gt;高値!Y89,高値!AA89&gt;高値!AB89,高値!AA89&gt;高値!AC89),22,""))</f>
        <v/>
      </c>
      <c r="AX89" s="503" t="str">
        <f>IF(終値!A89="","",IF(AND(高値!AB89&gt;高値!AA89,高値!AB89&gt;高値!Z89,高値!AB89&gt;高値!AC89,高値!AB89&gt;高値!AD89),23,""))</f>
        <v/>
      </c>
      <c r="AY89" s="503" t="str">
        <f>IF(終値!A89="","",IF(AND(高値!AC89&gt;高値!AB89,高値!AC89&gt;高値!AA89,高値!AC89&gt;高値!AD89,高値!AC89&gt;高値!AE89),24,""))</f>
        <v/>
      </c>
      <c r="AZ89" s="503" t="str">
        <f>IF(終値!A89="","",IF(AND(高値!AD89&gt;高値!AC89,高値!AD89&gt;高値!AB89,高値!AD89&gt;高値!AE89,高値!AD89&gt;高値!AF89),25,""))</f>
        <v/>
      </c>
      <c r="BA89" s="503">
        <f>IF(終値!A89="","",IF(AND(高値!AE89&gt;高値!AD89,高値!AE89&gt;高値!AC89,高値!AE89&gt;高値!AF89,高値!AE89&gt;高値!AG89),26,""))</f>
        <v>26</v>
      </c>
      <c r="BB89" s="503" t="str">
        <f>IF(終値!A89="","",IF(AND(高値!AF89&gt;高値!AE89,高値!AF89&gt;高値!AD89,高値!AF89&gt;高値!AG89,高値!AF89&gt;高値!AH89),27,""))</f>
        <v/>
      </c>
      <c r="BC89" s="503" t="str">
        <f>IF(終値!A89="","",IF(AND(高値!AG89&gt;高値!AF89,高値!AG89&gt;高値!AE89,高値!AG89&gt;高値!AH89,高値!AG89&gt;高値!AI89),28,""))</f>
        <v/>
      </c>
      <c r="BD89" s="503">
        <f t="shared" si="6"/>
        <v>4</v>
      </c>
      <c r="BE89" s="503">
        <f t="shared" si="7"/>
        <v>9</v>
      </c>
      <c r="BF89" s="503">
        <f t="shared" si="8"/>
        <v>13</v>
      </c>
      <c r="BG89" s="503">
        <f>IF($BE89="","",INDEX(安値!$E89:$CZ89,1,$BE89+1))</f>
        <v>1904</v>
      </c>
      <c r="BH89" s="503">
        <f>IF($BF89="","",INDEX(安値!$E89:$CZ89,1,$BF89+1))</f>
        <v>1974</v>
      </c>
      <c r="BI89" s="503">
        <f>IF($BF89="","",MAX(INDEX(高値!$E89:$CZ89,1,$BE89+1):INDEX(高値!$E89:$CZ89,1,$BF89+1)))</f>
        <v>2077</v>
      </c>
      <c r="BJ89" s="503">
        <f>IF($BF89="","",AVERAGE(INDEX(終値!$E89:$CZ89,1,$BF89+1):INDEX(終値!$E89:$CZ89,1,$BF89+20))-2*STDEVP(INDEX(終値!$E89:$CZ89,1,$BF89+1):INDEX(終値!$E89:$CZ89,1,$BF89+20)))</f>
        <v>1977.3064829655705</v>
      </c>
      <c r="BK89" s="503">
        <f>IF($BE89="","",AVERAGE(INDEX(終値!$E89:$CZ89,1,$BE89+1):INDEX(終値!$E89:$CZ89,1,$BE89+20))-2*STDEVP(INDEX(終値!$E89:$CZ89,1,$BE89+1):INDEX(終値!$E89:$CZ89,1,$BE89+20)))</f>
        <v>1958.5949725153348</v>
      </c>
      <c r="BL89" s="503">
        <f t="shared" si="9"/>
        <v>3</v>
      </c>
      <c r="BM89" s="503">
        <f t="shared" si="10"/>
        <v>14</v>
      </c>
      <c r="BN89" s="503">
        <f t="shared" si="11"/>
        <v>21</v>
      </c>
      <c r="BO89" s="503">
        <f>IF($BM89="","",INDEX(高値!$E89:$CZ89,1,$BM89+1))</f>
        <v>2118</v>
      </c>
      <c r="BP89" s="503">
        <f>IF($BN89="","",INDEX(高値!$E89:$CZ89,1,$BN89+1))</f>
        <v>2193</v>
      </c>
      <c r="BQ89" s="503">
        <f>IF($BN89="","",MIN(INDEX(安値!$E89:$CZ89,1,$BM89+1):INDEX(安値!$E89:$CZ89,1,$BN89+1)))</f>
        <v>2010</v>
      </c>
      <c r="BR89" s="503">
        <f>IF($BN89="","",AVERAGE(INDEX(終値!$E89:$CZ89,1,$BN89+1):INDEX(終値!$E89:$CZ89,1,$BN89+20))+2*STDEVP(INDEX(終値!$E89:$CZ89,1,$BN89+1):INDEX(終値!$E89:$CZ89,1,$BN89+20)))</f>
        <v>2212.0404480837933</v>
      </c>
      <c r="BS89" s="503">
        <f>IF($BM89="","",AVERAGE(INDEX(終値!$E89:$CZ89,1,$BM89+1):INDEX(終値!$E89:$CZ89,1,$BM89+20))+2*STDEVP(INDEX(終値!$E89:$CZ89,1,$BM89+1):INDEX(終値!$E89:$CZ89,1,$BM89+20)))</f>
        <v>2132.0222975827373</v>
      </c>
      <c r="BT89" s="500"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3" t="str">
        <f>IF(終値!A90="","",IF(AND(安値!G90&lt;安値!F90,安値!G90&lt;安値!E90,安値!G90&lt;安値!H90,安値!G90&lt;安値!I90),2,""))</f>
        <v/>
      </c>
      <c r="C90" s="503" t="str">
        <f>IF(終値!A90="","",IF(AND(安値!H90&lt;安値!G90,安値!H90&lt;安値!F90,安値!H90&lt;安値!I90,安値!H90&lt;安値!J90),3,""))</f>
        <v/>
      </c>
      <c r="D90" s="503" t="str">
        <f>IF(終値!A90="","",IF(AND(安値!I90&lt;安値!H90,安値!I90&lt;安値!G90,安値!I90&lt;安値!J90,安値!I90&lt;安値!K90),4,""))</f>
        <v/>
      </c>
      <c r="E90" s="503">
        <f>IF(終値!A90="","",IF(AND(安値!J90&lt;安値!I90,安値!J90&lt;安値!H90,安値!J90&lt;安値!K90,安値!J90&lt;安値!L90),5,""))</f>
        <v>5</v>
      </c>
      <c r="F90" s="503" t="str">
        <f>IF(終値!A90="","",IF(AND(安値!K90&lt;安値!J90,安値!K90&lt;安値!I90,安値!K90&lt;安値!L90,安値!K90&lt;安値!M90),6,""))</f>
        <v/>
      </c>
      <c r="G90" s="503" t="str">
        <f>IF(終値!A90="","",IF(AND(安値!L90&lt;安値!K90,安値!L90&lt;安値!J90,安値!L90&lt;安値!M90,安値!L90&lt;安値!N90),7,""))</f>
        <v/>
      </c>
      <c r="H90" s="503" t="str">
        <f>IF(終値!A90="","",IF(AND(安値!M90&lt;安値!L90,安値!M90&lt;安値!K90,安値!M90&lt;安値!N90,安値!M90&lt;安値!O90),8,""))</f>
        <v/>
      </c>
      <c r="I90" s="503" t="str">
        <f>IF(終値!A90="","",IF(AND(安値!N90&lt;安値!M90,安値!N90&lt;安値!L90,安値!N90&lt;安値!O90,安値!N90&lt;安値!P90),9,""))</f>
        <v/>
      </c>
      <c r="J90" s="503" t="str">
        <f>IF(終値!A90="","",IF(AND(安値!O90&lt;安値!N90,安値!O90&lt;安値!M90,安値!O90&lt;安値!P90,安値!O90&lt;安値!Q90),10,""))</f>
        <v/>
      </c>
      <c r="K90" s="503" t="str">
        <f>IF(終値!A90="","",IF(AND(安値!P90&lt;安値!O90,安値!P90&lt;安値!N90,安値!P90&lt;安値!Q90,安値!P90&lt;安値!R90),11,""))</f>
        <v/>
      </c>
      <c r="L90" s="503" t="str">
        <f>IF(終値!A90="","",IF(AND(安値!Q90&lt;安値!P90,安値!Q90&lt;安値!O90,安値!Q90&lt;安値!R90,安値!Q90&lt;安値!S90),12,""))</f>
        <v/>
      </c>
      <c r="M90" s="503" t="str">
        <f>IF(終値!A90="","",IF(AND(安値!R90&lt;安値!Q90,安値!R90&lt;安値!P90,安値!R90&lt;安値!S90,安値!R90&lt;安値!T90),13,""))</f>
        <v/>
      </c>
      <c r="N90" s="503" t="str">
        <f>IF(終値!A90="","",IF(AND(安値!S90&lt;安値!R90,安値!S90&lt;安値!Q90,安値!S90&lt;安値!T90,安値!S90&lt;安値!U90),14,""))</f>
        <v/>
      </c>
      <c r="O90" s="503" t="str">
        <f>IF(終値!A90="","",IF(AND(安値!T90&lt;安値!S90,安値!T90&lt;安値!R90,安値!T90&lt;安値!U90,安値!T90&lt;安値!V90),15,""))</f>
        <v/>
      </c>
      <c r="P90" s="503" t="str">
        <f>IF(終値!A90="","",IF(AND(安値!U90&lt;安値!T90,安値!U90&lt;安値!S90,安値!U90&lt;安値!V90,安値!U90&lt;安値!W90),16,""))</f>
        <v/>
      </c>
      <c r="Q90" s="503" t="str">
        <f>IF(終値!A90="","",IF(AND(安値!V90&lt;安値!U90,安値!V90&lt;安値!T90,安値!V90&lt;安値!W90,安値!V90&lt;安値!X90),17,""))</f>
        <v/>
      </c>
      <c r="R90" s="503" t="str">
        <f>IF(終値!A90="","",IF(AND(安値!W90&lt;安値!V90,安値!W90&lt;安値!U90,安値!W90&lt;安値!X90,安値!W90&lt;安値!Y90),18,""))</f>
        <v/>
      </c>
      <c r="S90" s="503">
        <f>IF(終値!A90="","",IF(AND(安値!X90&lt;安値!W90,安値!X90&lt;安値!V90,安値!X90&lt;安値!Y90,安値!X90&lt;安値!Z90),19,""))</f>
        <v>19</v>
      </c>
      <c r="T90" s="503" t="str">
        <f>IF(終値!A90="","",IF(AND(安値!Y90&lt;安値!X90,安値!Y90&lt;安値!W90,安値!Y90&lt;安値!Z90,安値!Y90&lt;安値!AA90),20,""))</f>
        <v/>
      </c>
      <c r="U90" s="503" t="str">
        <f>IF(終値!A90="","",IF(AND(安値!Z90&lt;安値!Y90,安値!Z90&lt;安値!X90,安値!Z90&lt;安値!AA90,安値!Z90&lt;安値!AB90),21,""))</f>
        <v/>
      </c>
      <c r="V90" s="503">
        <f>IF(終値!A90="","",IF(AND(安値!AA90&lt;安値!Z90,安値!AA90&lt;安値!Y90,安値!AA90&lt;安値!AB90,安値!AA90&lt;安値!AC90),22,""))</f>
        <v>22</v>
      </c>
      <c r="W90" s="503" t="str">
        <f>IF(終値!A90="","",IF(AND(安値!AB90&lt;安値!AA90,安値!AB90&lt;安値!Z90,安値!AB90&lt;安値!AC90,安値!AB90&lt;安値!AD90),23,""))</f>
        <v/>
      </c>
      <c r="X90" s="503" t="str">
        <f>IF(終値!A90="","",IF(AND(安値!AC90&lt;安値!AB90,安値!AC90&lt;安値!AA90,安値!AC90&lt;安値!AD90,安値!AC90&lt;安値!AE90),24,""))</f>
        <v/>
      </c>
      <c r="Y90" s="503" t="str">
        <f>IF(終値!A90="","",IF(AND(安値!AD90&lt;安値!AC90,安値!AD90&lt;安値!AB90,安値!AD90&lt;安値!AE90,安値!AD90&lt;安値!AF90),25,""))</f>
        <v/>
      </c>
      <c r="Z90" s="503">
        <f>IF(終値!A90="","",IF(AND(安値!AE90&lt;安値!AD90,安値!AE90&lt;安値!AC90,安値!AE90&lt;安値!AF90,安値!AE90&lt;安値!AG90),26,""))</f>
        <v>26</v>
      </c>
      <c r="AA90" s="503" t="str">
        <f>IF(終値!A90="","",IF(AND(安値!AF90&lt;安値!AE90,安値!AF90&lt;安値!AD90,安値!AF90&lt;安値!AG90,安値!AF90&lt;安値!AH90),27,""))</f>
        <v/>
      </c>
      <c r="AB90" s="503" t="str">
        <f>IF(終値!A90="","",IF(AND(安値!AG90&lt;安値!AF90,安値!AG90&lt;安値!AE90,安値!AG90&lt;安値!AH90,安値!AG90&lt;安値!AI90),28,""))</f>
        <v/>
      </c>
      <c r="AC90" s="503" t="str">
        <f>IF(終値!A90="","",IF(AND(高値!G90&gt;高値!F90,高値!G90&gt;高値!E90,高値!G90&gt;高値!H90,高値!G90&gt;高値!I90),2,""))</f>
        <v/>
      </c>
      <c r="AD90" s="503" t="str">
        <f>IF(終値!A90="","",IF(AND(高値!H90&gt;高値!G90,高値!H90&gt;高値!F90,高値!H90&gt;高値!I90,高値!H90&gt;高値!J90),3,""))</f>
        <v/>
      </c>
      <c r="AE90" s="503" t="str">
        <f>IF(終値!A90="","",IF(AND(高値!I90&gt;高値!H90,高値!I90&gt;高値!G90,高値!I90&gt;高値!J90,高値!I90&gt;高値!K90),4,""))</f>
        <v/>
      </c>
      <c r="AF90" s="503" t="str">
        <f>IF(終値!A90="","",IF(AND(高値!J90&gt;高値!I90,高値!J90&gt;高値!H90,高値!J90&gt;高値!K90,高値!J90&gt;高値!L90),5,""))</f>
        <v/>
      </c>
      <c r="AG90" s="503" t="str">
        <f>IF(終値!A90="","",IF(AND(高値!K90&gt;高値!J90,高値!K90&gt;高値!I90,高値!K90&gt;高値!L90,高値!K90&gt;高値!M90),6,""))</f>
        <v/>
      </c>
      <c r="AH90" s="503" t="str">
        <f>IF(終値!A90="","",IF(AND(高値!L90&gt;高値!K90,高値!L90&gt;高値!J90,高値!L90&gt;高値!M90,高値!L90&gt;高値!N90),7,""))</f>
        <v/>
      </c>
      <c r="AI90" s="503" t="str">
        <f>IF(終値!A90="","",IF(AND(高値!M90&gt;高値!L90,高値!M90&gt;高値!K90,高値!M90&gt;高値!N90,高値!M90&gt;高値!O90),8,""))</f>
        <v/>
      </c>
      <c r="AJ90" s="503" t="str">
        <f>IF(終値!A90="","",IF(AND(高値!N90&gt;高値!M90,高値!N90&gt;高値!L90,高値!N90&gt;高値!O90,高値!N90&gt;高値!P90),9,""))</f>
        <v/>
      </c>
      <c r="AK90" s="503" t="str">
        <f>IF(終値!A90="","",IF(AND(高値!O90&gt;高値!N90,高値!O90&gt;高値!M90,高値!O90&gt;高値!P90,高値!O90&gt;高値!Q90),10,""))</f>
        <v/>
      </c>
      <c r="AL90" s="503">
        <f>IF(終値!A90="","",IF(AND(高値!P90&gt;高値!O90,高値!P90&gt;高値!N90,高値!P90&gt;高値!Q90,高値!P90&gt;高値!R90),11,""))</f>
        <v>11</v>
      </c>
      <c r="AM90" s="503" t="str">
        <f>IF(終値!A90="","",IF(AND(高値!Q90&gt;高値!P90,高値!Q90&gt;高値!O90,高値!Q90&gt;高値!R90,高値!Q90&gt;高値!S90),12,""))</f>
        <v/>
      </c>
      <c r="AN90" s="503" t="str">
        <f>IF(終値!A90="","",IF(AND(高値!R90&gt;高値!Q90,高値!R90&gt;高値!P90,高値!R90&gt;高値!S90,高値!R90&gt;高値!T90),13,""))</f>
        <v/>
      </c>
      <c r="AO90" s="503">
        <f>IF(終値!A90="","",IF(AND(高値!S90&gt;高値!R90,高値!S90&gt;高値!Q90,高値!S90&gt;高値!T90,高値!S90&gt;高値!U90),14,""))</f>
        <v>14</v>
      </c>
      <c r="AP90" s="503" t="str">
        <f>IF(終値!A90="","",IF(AND(高値!T90&gt;高値!S90,高値!T90&gt;高値!R90,高値!T90&gt;高値!U90,高値!T90&gt;高値!V90),15,""))</f>
        <v/>
      </c>
      <c r="AQ90" s="503" t="str">
        <f>IF(終値!A90="","",IF(AND(高値!U90&gt;高値!T90,高値!U90&gt;高値!S90,高値!U90&gt;高値!V90,高値!U90&gt;高値!W90),16,""))</f>
        <v/>
      </c>
      <c r="AR90" s="503">
        <f>IF(終値!A90="","",IF(AND(高値!V90&gt;高値!U90,高値!V90&gt;高値!T90,高値!V90&gt;高値!W90,高値!V90&gt;高値!X90),17,""))</f>
        <v>17</v>
      </c>
      <c r="AS90" s="503" t="str">
        <f>IF(終値!A90="","",IF(AND(高値!W90&gt;高値!V90,高値!W90&gt;高値!U90,高値!W90&gt;高値!X90,高値!W90&gt;高値!Y90),18,""))</f>
        <v/>
      </c>
      <c r="AT90" s="503" t="str">
        <f>IF(終値!A90="","",IF(AND(高値!X90&gt;高値!W90,高値!X90&gt;高値!V90,高値!X90&gt;高値!Y90,高値!X90&gt;高値!Z90),19,""))</f>
        <v/>
      </c>
      <c r="AU90" s="503" t="str">
        <f>IF(終値!A90="","",IF(AND(高値!Y90&gt;高値!X90,高値!Y90&gt;高値!W90,高値!Y90&gt;高値!Z90,高値!Y90&gt;高値!AA90),20,""))</f>
        <v/>
      </c>
      <c r="AV90" s="503">
        <f>IF(終値!A90="","",IF(AND(高値!Z90&gt;高値!Y90,高値!Z90&gt;高値!X90,高値!Z90&gt;高値!AA90,高値!Z90&gt;高値!AB90),21,""))</f>
        <v>21</v>
      </c>
      <c r="AW90" s="503" t="str">
        <f>IF(終値!A90="","",IF(AND(高値!AA90&gt;高値!Z90,高値!AA90&gt;高値!Y90,高値!AA90&gt;高値!AB90,高値!AA90&gt;高値!AC90),22,""))</f>
        <v/>
      </c>
      <c r="AX90" s="503" t="str">
        <f>IF(終値!A90="","",IF(AND(高値!AB90&gt;高値!AA90,高値!AB90&gt;高値!Z90,高値!AB90&gt;高値!AC90,高値!AB90&gt;高値!AD90),23,""))</f>
        <v/>
      </c>
      <c r="AY90" s="503">
        <f>IF(終値!A90="","",IF(AND(高値!AC90&gt;高値!AB90,高値!AC90&gt;高値!AA90,高値!AC90&gt;高値!AD90,高値!AC90&gt;高値!AE90),24,""))</f>
        <v>24</v>
      </c>
      <c r="AZ90" s="503" t="str">
        <f>IF(終値!A90="","",IF(AND(高値!AD90&gt;高値!AC90,高値!AD90&gt;高値!AB90,高値!AD90&gt;高値!AE90,高値!AD90&gt;高値!AF90),25,""))</f>
        <v/>
      </c>
      <c r="BA90" s="503" t="str">
        <f>IF(終値!A90="","",IF(AND(高値!AE90&gt;高値!AD90,高値!AE90&gt;高値!AC90,高値!AE90&gt;高値!AF90,高値!AE90&gt;高値!AG90),26,""))</f>
        <v/>
      </c>
      <c r="BB90" s="503" t="str">
        <f>IF(終値!A90="","",IF(AND(高値!AF90&gt;高値!AE90,高値!AF90&gt;高値!AD90,高値!AF90&gt;高値!AG90,高値!AF90&gt;高値!AH90),27,""))</f>
        <v/>
      </c>
      <c r="BC90" s="503" t="str">
        <f>IF(終値!A90="","",IF(AND(高値!AG90&gt;高値!AF90,高値!AG90&gt;高値!AE90,高値!AG90&gt;高値!AH90,高値!AG90&gt;高値!AI90),28,""))</f>
        <v/>
      </c>
      <c r="BD90" s="503">
        <f t="shared" si="6"/>
        <v>4</v>
      </c>
      <c r="BE90" s="503">
        <f t="shared" si="7"/>
        <v>5</v>
      </c>
      <c r="BF90" s="503">
        <f t="shared" si="8"/>
        <v>19</v>
      </c>
      <c r="BG90" s="503">
        <f>IF($BE90="","",INDEX(安値!$E90:$CZ90,1,$BE90+1))</f>
        <v>3320</v>
      </c>
      <c r="BH90" s="503">
        <f>IF($BF90="","",INDEX(安値!$E90:$CZ90,1,$BF90+1))</f>
        <v>4203</v>
      </c>
      <c r="BI90" s="503">
        <f>IF($BF90="","",MAX(INDEX(高値!$E90:$CZ90,1,$BE90+1):INDEX(高値!$E90:$CZ90,1,$BF90+1)))</f>
        <v>5149</v>
      </c>
      <c r="BJ90" s="503">
        <f>IF($BF90="","",AVERAGE(INDEX(終値!$E90:$CZ90,1,$BF90+1):INDEX(終値!$E90:$CZ90,1,$BF90+20))-2*STDEVP(INDEX(終値!$E90:$CZ90,1,$BF90+1):INDEX(終値!$E90:$CZ90,1,$BF90+20)))</f>
        <v>4019.4271444530664</v>
      </c>
      <c r="BK90" s="503">
        <f>IF($BE90="","",AVERAGE(INDEX(終値!$E90:$CZ90,1,$BE90+1):INDEX(終値!$E90:$CZ90,1,$BE90+20))-2*STDEVP(INDEX(終値!$E90:$CZ90,1,$BE90+1):INDEX(終値!$E90:$CZ90,1,$BE90+20)))</f>
        <v>3592.4075814287662</v>
      </c>
      <c r="BL90" s="503">
        <f t="shared" si="9"/>
        <v>5</v>
      </c>
      <c r="BM90" s="503">
        <f t="shared" si="10"/>
        <v>11</v>
      </c>
      <c r="BN90" s="503">
        <f t="shared" si="11"/>
        <v>14</v>
      </c>
      <c r="BO90" s="503">
        <f>IF($BM90="","",INDEX(高値!$E90:$CZ90,1,$BM90+1))</f>
        <v>4865</v>
      </c>
      <c r="BP90" s="503">
        <f>IF($BN90="","",INDEX(高値!$E90:$CZ90,1,$BN90+1))</f>
        <v>5149</v>
      </c>
      <c r="BQ90" s="503">
        <f>IF($BN90="","",MIN(INDEX(安値!$E90:$CZ90,1,$BM90+1):INDEX(安値!$E90:$CZ90,1,$BN90+1)))</f>
        <v>4200</v>
      </c>
      <c r="BR90" s="503">
        <f>IF($BN90="","",AVERAGE(INDEX(終値!$E90:$CZ90,1,$BN90+1):INDEX(終値!$E90:$CZ90,1,$BN90+20))+2*STDEVP(INDEX(終値!$E90:$CZ90,1,$BN90+1):INDEX(終値!$E90:$CZ90,1,$BN90+20)))</f>
        <v>5117.1357502376259</v>
      </c>
      <c r="BS90" s="503">
        <f>IF($BM90="","",AVERAGE(INDEX(終値!$E90:$CZ90,1,$BM90+1):INDEX(終値!$E90:$CZ90,1,$BM90+20))+2*STDEVP(INDEX(終値!$E90:$CZ90,1,$BM90+1):INDEX(終値!$E90:$CZ90,1,$BM90+20)))</f>
        <v>5046.1422181528087</v>
      </c>
      <c r="BT90" s="500"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3" t="str">
        <f>IF(終値!A91="","",IF(AND(安値!G91&lt;安値!F91,安値!G91&lt;安値!E91,安値!G91&lt;安値!H91,安値!G91&lt;安値!I91),2,""))</f>
        <v/>
      </c>
      <c r="C91" s="503" t="str">
        <f>IF(終値!A91="","",IF(AND(安値!H91&lt;安値!G91,安値!H91&lt;安値!F91,安値!H91&lt;安値!I91,安値!H91&lt;安値!J91),3,""))</f>
        <v/>
      </c>
      <c r="D91" s="503" t="str">
        <f>IF(終値!A91="","",IF(AND(安値!I91&lt;安値!H91,安値!I91&lt;安値!G91,安値!I91&lt;安値!J91,安値!I91&lt;安値!K91),4,""))</f>
        <v/>
      </c>
      <c r="E91" s="503" t="str">
        <f>IF(終値!A91="","",IF(AND(安値!J91&lt;安値!I91,安値!J91&lt;安値!H91,安値!J91&lt;安値!K91,安値!J91&lt;安値!L91),5,""))</f>
        <v/>
      </c>
      <c r="F91" s="503" t="str">
        <f>IF(終値!A91="","",IF(AND(安値!K91&lt;安値!J91,安値!K91&lt;安値!I91,安値!K91&lt;安値!L91,安値!K91&lt;安値!M91),6,""))</f>
        <v/>
      </c>
      <c r="G91" s="503" t="str">
        <f>IF(終値!A91="","",IF(AND(安値!L91&lt;安値!K91,安値!L91&lt;安値!J91,安値!L91&lt;安値!M91,安値!L91&lt;安値!N91),7,""))</f>
        <v/>
      </c>
      <c r="H91" s="503" t="str">
        <f>IF(終値!A91="","",IF(AND(安値!M91&lt;安値!L91,安値!M91&lt;安値!K91,安値!M91&lt;安値!N91,安値!M91&lt;安値!O91),8,""))</f>
        <v/>
      </c>
      <c r="I91" s="503" t="str">
        <f>IF(終値!A91="","",IF(AND(安値!N91&lt;安値!M91,安値!N91&lt;安値!L91,安値!N91&lt;安値!O91,安値!N91&lt;安値!P91),9,""))</f>
        <v/>
      </c>
      <c r="J91" s="503" t="str">
        <f>IF(終値!A91="","",IF(AND(安値!O91&lt;安値!N91,安値!O91&lt;安値!M91,安値!O91&lt;安値!P91,安値!O91&lt;安値!Q91),10,""))</f>
        <v/>
      </c>
      <c r="K91" s="503" t="str">
        <f>IF(終値!A91="","",IF(AND(安値!P91&lt;安値!O91,安値!P91&lt;安値!N91,安値!P91&lt;安値!Q91,安値!P91&lt;安値!R91),11,""))</f>
        <v/>
      </c>
      <c r="L91" s="503" t="str">
        <f>IF(終値!A91="","",IF(AND(安値!Q91&lt;安値!P91,安値!Q91&lt;安値!O91,安値!Q91&lt;安値!R91,安値!Q91&lt;安値!S91),12,""))</f>
        <v/>
      </c>
      <c r="M91" s="503">
        <f>IF(終値!A91="","",IF(AND(安値!R91&lt;安値!Q91,安値!R91&lt;安値!P91,安値!R91&lt;安値!S91,安値!R91&lt;安値!T91),13,""))</f>
        <v>13</v>
      </c>
      <c r="N91" s="503" t="str">
        <f>IF(終値!A91="","",IF(AND(安値!S91&lt;安値!R91,安値!S91&lt;安値!Q91,安値!S91&lt;安値!T91,安値!S91&lt;安値!U91),14,""))</f>
        <v/>
      </c>
      <c r="O91" s="503" t="str">
        <f>IF(終値!A91="","",IF(AND(安値!T91&lt;安値!S91,安値!T91&lt;安値!R91,安値!T91&lt;安値!U91,安値!T91&lt;安値!V91),15,""))</f>
        <v/>
      </c>
      <c r="P91" s="503" t="str">
        <f>IF(終値!A91="","",IF(AND(安値!U91&lt;安値!T91,安値!U91&lt;安値!S91,安値!U91&lt;安値!V91,安値!U91&lt;安値!W91),16,""))</f>
        <v/>
      </c>
      <c r="Q91" s="503" t="str">
        <f>IF(終値!A91="","",IF(AND(安値!V91&lt;安値!U91,安値!V91&lt;安値!T91,安値!V91&lt;安値!W91,安値!V91&lt;安値!X91),17,""))</f>
        <v/>
      </c>
      <c r="R91" s="503" t="str">
        <f>IF(終値!A91="","",IF(AND(安値!W91&lt;安値!V91,安値!W91&lt;安値!U91,安値!W91&lt;安値!X91,安値!W91&lt;安値!Y91),18,""))</f>
        <v/>
      </c>
      <c r="S91" s="503" t="str">
        <f>IF(終値!A91="","",IF(AND(安値!X91&lt;安値!W91,安値!X91&lt;安値!V91,安値!X91&lt;安値!Y91,安値!X91&lt;安値!Z91),19,""))</f>
        <v/>
      </c>
      <c r="T91" s="503" t="str">
        <f>IF(終値!A91="","",IF(AND(安値!Y91&lt;安値!X91,安値!Y91&lt;安値!W91,安値!Y91&lt;安値!Z91,安値!Y91&lt;安値!AA91),20,""))</f>
        <v/>
      </c>
      <c r="U91" s="503" t="str">
        <f>IF(終値!A91="","",IF(AND(安値!Z91&lt;安値!Y91,安値!Z91&lt;安値!X91,安値!Z91&lt;安値!AA91,安値!Z91&lt;安値!AB91),21,""))</f>
        <v/>
      </c>
      <c r="V91" s="503" t="str">
        <f>IF(終値!A91="","",IF(AND(安値!AA91&lt;安値!Z91,安値!AA91&lt;安値!Y91,安値!AA91&lt;安値!AB91,安値!AA91&lt;安値!AC91),22,""))</f>
        <v/>
      </c>
      <c r="W91" s="503" t="str">
        <f>IF(終値!A91="","",IF(AND(安値!AB91&lt;安値!AA91,安値!AB91&lt;安値!Z91,安値!AB91&lt;安値!AC91,安値!AB91&lt;安値!AD91),23,""))</f>
        <v/>
      </c>
      <c r="X91" s="503" t="str">
        <f>IF(終値!A91="","",IF(AND(安値!AC91&lt;安値!AB91,安値!AC91&lt;安値!AA91,安値!AC91&lt;安値!AD91,安値!AC91&lt;安値!AE91),24,""))</f>
        <v/>
      </c>
      <c r="Y91" s="503">
        <f>IF(終値!A91="","",IF(AND(安値!AD91&lt;安値!AC91,安値!AD91&lt;安値!AB91,安値!AD91&lt;安値!AE91,安値!AD91&lt;安値!AF91),25,""))</f>
        <v>25</v>
      </c>
      <c r="Z91" s="503" t="str">
        <f>IF(終値!A91="","",IF(AND(安値!AE91&lt;安値!AD91,安値!AE91&lt;安値!AC91,安値!AE91&lt;安値!AF91,安値!AE91&lt;安値!AG91),26,""))</f>
        <v/>
      </c>
      <c r="AA91" s="503" t="str">
        <f>IF(終値!A91="","",IF(AND(安値!AF91&lt;安値!AE91,安値!AF91&lt;安値!AD91,安値!AF91&lt;安値!AG91,安値!AF91&lt;安値!AH91),27,""))</f>
        <v/>
      </c>
      <c r="AB91" s="503" t="str">
        <f>IF(終値!A91="","",IF(AND(安値!AG91&lt;安値!AF91,安値!AG91&lt;安値!AE91,安値!AG91&lt;安値!AH91,安値!AG91&lt;安値!AI91),28,""))</f>
        <v/>
      </c>
      <c r="AC91" s="503" t="str">
        <f>IF(終値!A91="","",IF(AND(高値!G91&gt;高値!F91,高値!G91&gt;高値!E91,高値!G91&gt;高値!H91,高値!G91&gt;高値!I91),2,""))</f>
        <v/>
      </c>
      <c r="AD91" s="503" t="str">
        <f>IF(終値!A91="","",IF(AND(高値!H91&gt;高値!G91,高値!H91&gt;高値!F91,高値!H91&gt;高値!I91,高値!H91&gt;高値!J91),3,""))</f>
        <v/>
      </c>
      <c r="AE91" s="503" t="str">
        <f>IF(終値!A91="","",IF(AND(高値!I91&gt;高値!H91,高値!I91&gt;高値!G91,高値!I91&gt;高値!J91,高値!I91&gt;高値!K91),4,""))</f>
        <v/>
      </c>
      <c r="AF91" s="503" t="str">
        <f>IF(終値!A91="","",IF(AND(高値!J91&gt;高値!I91,高値!J91&gt;高値!H91,高値!J91&gt;高値!K91,高値!J91&gt;高値!L91),5,""))</f>
        <v/>
      </c>
      <c r="AG91" s="503" t="str">
        <f>IF(終値!A91="","",IF(AND(高値!K91&gt;高値!J91,高値!K91&gt;高値!I91,高値!K91&gt;高値!L91,高値!K91&gt;高値!M91),6,""))</f>
        <v/>
      </c>
      <c r="AH91" s="503" t="str">
        <f>IF(終値!A91="","",IF(AND(高値!L91&gt;高値!K91,高値!L91&gt;高値!J91,高値!L91&gt;高値!M91,高値!L91&gt;高値!N91),7,""))</f>
        <v/>
      </c>
      <c r="AI91" s="503">
        <f>IF(終値!A91="","",IF(AND(高値!M91&gt;高値!L91,高値!M91&gt;高値!K91,高値!M91&gt;高値!N91,高値!M91&gt;高値!O91),8,""))</f>
        <v>8</v>
      </c>
      <c r="AJ91" s="503" t="str">
        <f>IF(終値!A91="","",IF(AND(高値!N91&gt;高値!M91,高値!N91&gt;高値!L91,高値!N91&gt;高値!O91,高値!N91&gt;高値!P91),9,""))</f>
        <v/>
      </c>
      <c r="AK91" s="503" t="str">
        <f>IF(終値!A91="","",IF(AND(高値!O91&gt;高値!N91,高値!O91&gt;高値!M91,高値!O91&gt;高値!P91,高値!O91&gt;高値!Q91),10,""))</f>
        <v/>
      </c>
      <c r="AL91" s="503" t="str">
        <f>IF(終値!A91="","",IF(AND(高値!P91&gt;高値!O91,高値!P91&gt;高値!N91,高値!P91&gt;高値!Q91,高値!P91&gt;高値!R91),11,""))</f>
        <v/>
      </c>
      <c r="AM91" s="503" t="str">
        <f>IF(終値!A91="","",IF(AND(高値!Q91&gt;高値!P91,高値!Q91&gt;高値!O91,高値!Q91&gt;高値!R91,高値!Q91&gt;高値!S91),12,""))</f>
        <v/>
      </c>
      <c r="AN91" s="503" t="str">
        <f>IF(終値!A91="","",IF(AND(高値!R91&gt;高値!Q91,高値!R91&gt;高値!P91,高値!R91&gt;高値!S91,高値!R91&gt;高値!T91),13,""))</f>
        <v/>
      </c>
      <c r="AO91" s="503" t="str">
        <f>IF(終値!A91="","",IF(AND(高値!S91&gt;高値!R91,高値!S91&gt;高値!Q91,高値!S91&gt;高値!T91,高値!S91&gt;高値!U91),14,""))</f>
        <v/>
      </c>
      <c r="AP91" s="503">
        <f>IF(終値!A91="","",IF(AND(高値!T91&gt;高値!S91,高値!T91&gt;高値!R91,高値!T91&gt;高値!U91,高値!T91&gt;高値!V91),15,""))</f>
        <v>15</v>
      </c>
      <c r="AQ91" s="503" t="str">
        <f>IF(終値!A91="","",IF(AND(高値!U91&gt;高値!T91,高値!U91&gt;高値!S91,高値!U91&gt;高値!V91,高値!U91&gt;高値!W91),16,""))</f>
        <v/>
      </c>
      <c r="AR91" s="503" t="str">
        <f>IF(終値!A91="","",IF(AND(高値!V91&gt;高値!U91,高値!V91&gt;高値!T91,高値!V91&gt;高値!W91,高値!V91&gt;高値!X91),17,""))</f>
        <v/>
      </c>
      <c r="AS91" s="503" t="str">
        <f>IF(終値!A91="","",IF(AND(高値!W91&gt;高値!V91,高値!W91&gt;高値!U91,高値!W91&gt;高値!X91,高値!W91&gt;高値!Y91),18,""))</f>
        <v/>
      </c>
      <c r="AT91" s="503" t="str">
        <f>IF(終値!A91="","",IF(AND(高値!X91&gt;高値!W91,高値!X91&gt;高値!V91,高値!X91&gt;高値!Y91,高値!X91&gt;高値!Z91),19,""))</f>
        <v/>
      </c>
      <c r="AU91" s="503">
        <f>IF(終値!A91="","",IF(AND(高値!Y91&gt;高値!X91,高値!Y91&gt;高値!W91,高値!Y91&gt;高値!Z91,高値!Y91&gt;高値!AA91),20,""))</f>
        <v>20</v>
      </c>
      <c r="AV91" s="503" t="str">
        <f>IF(終値!A91="","",IF(AND(高値!Z91&gt;高値!Y91,高値!Z91&gt;高値!X91,高値!Z91&gt;高値!AA91,高値!Z91&gt;高値!AB91),21,""))</f>
        <v/>
      </c>
      <c r="AW91" s="503" t="str">
        <f>IF(終値!A91="","",IF(AND(高値!AA91&gt;高値!Z91,高値!AA91&gt;高値!Y91,高値!AA91&gt;高値!AB91,高値!AA91&gt;高値!AC91),22,""))</f>
        <v/>
      </c>
      <c r="AX91" s="503" t="str">
        <f>IF(終値!A91="","",IF(AND(高値!AB91&gt;高値!AA91,高値!AB91&gt;高値!Z91,高値!AB91&gt;高値!AC91,高値!AB91&gt;高値!AD91),23,""))</f>
        <v/>
      </c>
      <c r="AY91" s="503" t="str">
        <f>IF(終値!A91="","",IF(AND(高値!AC91&gt;高値!AB91,高値!AC91&gt;高値!AA91,高値!AC91&gt;高値!AD91,高値!AC91&gt;高値!AE91),24,""))</f>
        <v/>
      </c>
      <c r="AZ91" s="503" t="str">
        <f>IF(終値!A91="","",IF(AND(高値!AD91&gt;高値!AC91,高値!AD91&gt;高値!AB91,高値!AD91&gt;高値!AE91,高値!AD91&gt;高値!AF91),25,""))</f>
        <v/>
      </c>
      <c r="BA91" s="503" t="str">
        <f>IF(終値!A91="","",IF(AND(高値!AE91&gt;高値!AD91,高値!AE91&gt;高値!AC91,高値!AE91&gt;高値!AF91,高値!AE91&gt;高値!AG91),26,""))</f>
        <v/>
      </c>
      <c r="BB91" s="503" t="str">
        <f>IF(終値!A91="","",IF(AND(高値!AF91&gt;高値!AE91,高値!AF91&gt;高値!AD91,高値!AF91&gt;高値!AG91,高値!AF91&gt;高値!AH91),27,""))</f>
        <v/>
      </c>
      <c r="BC91" s="503" t="str">
        <f>IF(終値!A91="","",IF(AND(高値!AG91&gt;高値!AF91,高値!AG91&gt;高値!AE91,高値!AG91&gt;高値!AH91,高値!AG91&gt;高値!AI91),28,""))</f>
        <v/>
      </c>
      <c r="BD91" s="503">
        <f t="shared" si="6"/>
        <v>2</v>
      </c>
      <c r="BE91" s="503">
        <f t="shared" si="7"/>
        <v>13</v>
      </c>
      <c r="BF91" s="503">
        <f t="shared" si="8"/>
        <v>25</v>
      </c>
      <c r="BG91" s="503">
        <f>IF($BE91="","",INDEX(安値!$E91:$CZ91,1,$BE91+1))</f>
        <v>4616</v>
      </c>
      <c r="BH91" s="503">
        <f>IF($BF91="","",INDEX(安値!$E91:$CZ91,1,$BF91+1))</f>
        <v>4422</v>
      </c>
      <c r="BI91" s="503">
        <f>IF($BF91="","",MAX(INDEX(高値!$E91:$CZ91,1,$BE91+1):INDEX(高値!$E91:$CZ91,1,$BF91+1)))</f>
        <v>5004</v>
      </c>
      <c r="BJ91" s="503">
        <f>IF($BF91="","",AVERAGE(INDEX(終値!$E91:$CZ91,1,$BF91+1):INDEX(終値!$E91:$CZ91,1,$BF91+20))-2*STDEVP(INDEX(終値!$E91:$CZ91,1,$BF91+1):INDEX(終値!$E91:$CZ91,1,$BF91+20)))</f>
        <v>4310.370168289377</v>
      </c>
      <c r="BK91" s="503">
        <f>IF($BE91="","",AVERAGE(INDEX(終値!$E91:$CZ91,1,$BE91+1):INDEX(終値!$E91:$CZ91,1,$BE91+20))-2*STDEVP(INDEX(終値!$E91:$CZ91,1,$BE91+1):INDEX(終値!$E91:$CZ91,1,$BE91+20)))</f>
        <v>4427.904401245507</v>
      </c>
      <c r="BL91" s="503">
        <f t="shared" si="9"/>
        <v>3</v>
      </c>
      <c r="BM91" s="503">
        <f t="shared" si="10"/>
        <v>8</v>
      </c>
      <c r="BN91" s="503">
        <f t="shared" si="11"/>
        <v>15</v>
      </c>
      <c r="BO91" s="503">
        <f>IF($BM91="","",INDEX(高値!$E91:$CZ91,1,$BM91+1))</f>
        <v>5034</v>
      </c>
      <c r="BP91" s="503">
        <f>IF($BN91="","",INDEX(高値!$E91:$CZ91,1,$BN91+1))</f>
        <v>4817</v>
      </c>
      <c r="BQ91" s="503">
        <f>IF($BN91="","",MIN(INDEX(安値!$E91:$CZ91,1,$BM91+1):INDEX(安値!$E91:$CZ91,1,$BN91+1)))</f>
        <v>4616</v>
      </c>
      <c r="BR91" s="503">
        <f>IF($BN91="","",AVERAGE(INDEX(終値!$E91:$CZ91,1,$BN91+1):INDEX(終値!$E91:$CZ91,1,$BN91+20))+2*STDEVP(INDEX(終値!$E91:$CZ91,1,$BN91+1):INDEX(終値!$E91:$CZ91,1,$BN91+20)))</f>
        <v>4956.8131416678561</v>
      </c>
      <c r="BS91" s="503">
        <f>IF($BM91="","",AVERAGE(INDEX(終値!$E91:$CZ91,1,$BM91+1):INDEX(終値!$E91:$CZ91,1,$BM91+20))+2*STDEVP(INDEX(終値!$E91:$CZ91,1,$BM91+1):INDEX(終値!$E91:$CZ91,1,$BM91+20)))</f>
        <v>5028.2767874915644</v>
      </c>
      <c r="BT91" s="500"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3" t="str">
        <f>IF(終値!A92="","",IF(AND(安値!G92&lt;安値!F92,安値!G92&lt;安値!E92,安値!G92&lt;安値!H92,安値!G92&lt;安値!I92),2,""))</f>
        <v/>
      </c>
      <c r="C92" s="503" t="str">
        <f>IF(終値!A92="","",IF(AND(安値!H92&lt;安値!G92,安値!H92&lt;安値!F92,安値!H92&lt;安値!I92,安値!H92&lt;安値!J92),3,""))</f>
        <v/>
      </c>
      <c r="D92" s="503" t="str">
        <f>IF(終値!A92="","",IF(AND(安値!I92&lt;安値!H92,安値!I92&lt;安値!G92,安値!I92&lt;安値!J92,安値!I92&lt;安値!K92),4,""))</f>
        <v/>
      </c>
      <c r="E92" s="503" t="str">
        <f>IF(終値!A92="","",IF(AND(安値!J92&lt;安値!I92,安値!J92&lt;安値!H92,安値!J92&lt;安値!K92,安値!J92&lt;安値!L92),5,""))</f>
        <v/>
      </c>
      <c r="F92" s="503">
        <f>IF(終値!A92="","",IF(AND(安値!K92&lt;安値!J92,安値!K92&lt;安値!I92,安値!K92&lt;安値!L92,安値!K92&lt;安値!M92),6,""))</f>
        <v>6</v>
      </c>
      <c r="G92" s="503" t="str">
        <f>IF(終値!A92="","",IF(AND(安値!L92&lt;安値!K92,安値!L92&lt;安値!J92,安値!L92&lt;安値!M92,安値!L92&lt;安値!N92),7,""))</f>
        <v/>
      </c>
      <c r="H92" s="503" t="str">
        <f>IF(終値!A92="","",IF(AND(安値!M92&lt;安値!L92,安値!M92&lt;安値!K92,安値!M92&lt;安値!N92,安値!M92&lt;安値!O92),8,""))</f>
        <v/>
      </c>
      <c r="I92" s="503" t="str">
        <f>IF(終値!A92="","",IF(AND(安値!N92&lt;安値!M92,安値!N92&lt;安値!L92,安値!N92&lt;安値!O92,安値!N92&lt;安値!P92),9,""))</f>
        <v/>
      </c>
      <c r="J92" s="503" t="str">
        <f>IF(終値!A92="","",IF(AND(安値!O92&lt;安値!N92,安値!O92&lt;安値!M92,安値!O92&lt;安値!P92,安値!O92&lt;安値!Q92),10,""))</f>
        <v/>
      </c>
      <c r="K92" s="503" t="str">
        <f>IF(終値!A92="","",IF(AND(安値!P92&lt;安値!O92,安値!P92&lt;安値!N92,安値!P92&lt;安値!Q92,安値!P92&lt;安値!R92),11,""))</f>
        <v/>
      </c>
      <c r="L92" s="503" t="str">
        <f>IF(終値!A92="","",IF(AND(安値!Q92&lt;安値!P92,安値!Q92&lt;安値!O92,安値!Q92&lt;安値!R92,安値!Q92&lt;安値!S92),12,""))</f>
        <v/>
      </c>
      <c r="M92" s="503">
        <f>IF(終値!A92="","",IF(AND(安値!R92&lt;安値!Q92,安値!R92&lt;安値!P92,安値!R92&lt;安値!S92,安値!R92&lt;安値!T92),13,""))</f>
        <v>13</v>
      </c>
      <c r="N92" s="503" t="str">
        <f>IF(終値!A92="","",IF(AND(安値!S92&lt;安値!R92,安値!S92&lt;安値!Q92,安値!S92&lt;安値!T92,安値!S92&lt;安値!U92),14,""))</f>
        <v/>
      </c>
      <c r="O92" s="503" t="str">
        <f>IF(終値!A92="","",IF(AND(安値!T92&lt;安値!S92,安値!T92&lt;安値!R92,安値!T92&lt;安値!U92,安値!T92&lt;安値!V92),15,""))</f>
        <v/>
      </c>
      <c r="P92" s="503" t="str">
        <f>IF(終値!A92="","",IF(AND(安値!U92&lt;安値!T92,安値!U92&lt;安値!S92,安値!U92&lt;安値!V92,安値!U92&lt;安値!W92),16,""))</f>
        <v/>
      </c>
      <c r="Q92" s="503" t="str">
        <f>IF(終値!A92="","",IF(AND(安値!V92&lt;安値!U92,安値!V92&lt;安値!T92,安値!V92&lt;安値!W92,安値!V92&lt;安値!X92),17,""))</f>
        <v/>
      </c>
      <c r="R92" s="503" t="str">
        <f>IF(終値!A92="","",IF(AND(安値!W92&lt;安値!V92,安値!W92&lt;安値!U92,安値!W92&lt;安値!X92,安値!W92&lt;安値!Y92),18,""))</f>
        <v/>
      </c>
      <c r="S92" s="503">
        <f>IF(終値!A92="","",IF(AND(安値!X92&lt;安値!W92,安値!X92&lt;安値!V92,安値!X92&lt;安値!Y92,安値!X92&lt;安値!Z92),19,""))</f>
        <v>19</v>
      </c>
      <c r="T92" s="503" t="str">
        <f>IF(終値!A92="","",IF(AND(安値!Y92&lt;安値!X92,安値!Y92&lt;安値!W92,安値!Y92&lt;安値!Z92,安値!Y92&lt;安値!AA92),20,""))</f>
        <v/>
      </c>
      <c r="U92" s="503" t="str">
        <f>IF(終値!A92="","",IF(AND(安値!Z92&lt;安値!Y92,安値!Z92&lt;安値!X92,安値!Z92&lt;安値!AA92,安値!Z92&lt;安値!AB92),21,""))</f>
        <v/>
      </c>
      <c r="V92" s="503" t="str">
        <f>IF(終値!A92="","",IF(AND(安値!AA92&lt;安値!Z92,安値!AA92&lt;安値!Y92,安値!AA92&lt;安値!AB92,安値!AA92&lt;安値!AC92),22,""))</f>
        <v/>
      </c>
      <c r="W92" s="503" t="str">
        <f>IF(終値!A92="","",IF(AND(安値!AB92&lt;安値!AA92,安値!AB92&lt;安値!Z92,安値!AB92&lt;安値!AC92,安値!AB92&lt;安値!AD92),23,""))</f>
        <v/>
      </c>
      <c r="X92" s="503" t="str">
        <f>IF(終値!A92="","",IF(AND(安値!AC92&lt;安値!AB92,安値!AC92&lt;安値!AA92,安値!AC92&lt;安値!AD92,安値!AC92&lt;安値!AE92),24,""))</f>
        <v/>
      </c>
      <c r="Y92" s="503" t="str">
        <f>IF(終値!A92="","",IF(AND(安値!AD92&lt;安値!AC92,安値!AD92&lt;安値!AB92,安値!AD92&lt;安値!AE92,安値!AD92&lt;安値!AF92),25,""))</f>
        <v/>
      </c>
      <c r="Z92" s="503">
        <f>IF(終値!A92="","",IF(AND(安値!AE92&lt;安値!AD92,安値!AE92&lt;安値!AC92,安値!AE92&lt;安値!AF92,安値!AE92&lt;安値!AG92),26,""))</f>
        <v>26</v>
      </c>
      <c r="AA92" s="503" t="str">
        <f>IF(終値!A92="","",IF(AND(安値!AF92&lt;安値!AE92,安値!AF92&lt;安値!AD92,安値!AF92&lt;安値!AG92,安値!AF92&lt;安値!AH92),27,""))</f>
        <v/>
      </c>
      <c r="AB92" s="503" t="str">
        <f>IF(終値!A92="","",IF(AND(安値!AG92&lt;安値!AF92,安値!AG92&lt;安値!AE92,安値!AG92&lt;安値!AH92,安値!AG92&lt;安値!AI92),28,""))</f>
        <v/>
      </c>
      <c r="AC92" s="503">
        <f>IF(終値!A92="","",IF(AND(高値!G92&gt;高値!F92,高値!G92&gt;高値!E92,高値!G92&gt;高値!H92,高値!G92&gt;高値!I92),2,""))</f>
        <v>2</v>
      </c>
      <c r="AD92" s="503" t="str">
        <f>IF(終値!A92="","",IF(AND(高値!H92&gt;高値!G92,高値!H92&gt;高値!F92,高値!H92&gt;高値!I92,高値!H92&gt;高値!J92),3,""))</f>
        <v/>
      </c>
      <c r="AE92" s="503" t="str">
        <f>IF(終値!A92="","",IF(AND(高値!I92&gt;高値!H92,高値!I92&gt;高値!G92,高値!I92&gt;高値!J92,高値!I92&gt;高値!K92),4,""))</f>
        <v/>
      </c>
      <c r="AF92" s="503" t="str">
        <f>IF(終値!A92="","",IF(AND(高値!J92&gt;高値!I92,高値!J92&gt;高値!H92,高値!J92&gt;高値!K92,高値!J92&gt;高値!L92),5,""))</f>
        <v/>
      </c>
      <c r="AG92" s="503" t="str">
        <f>IF(終値!A92="","",IF(AND(高値!K92&gt;高値!J92,高値!K92&gt;高値!I92,高値!K92&gt;高値!L92,高値!K92&gt;高値!M92),6,""))</f>
        <v/>
      </c>
      <c r="AH92" s="503" t="str">
        <f>IF(終値!A92="","",IF(AND(高値!L92&gt;高値!K92,高値!L92&gt;高値!J92,高値!L92&gt;高値!M92,高値!L92&gt;高値!N92),7,""))</f>
        <v/>
      </c>
      <c r="AI92" s="503" t="str">
        <f>IF(終値!A92="","",IF(AND(高値!M92&gt;高値!L92,高値!M92&gt;高値!K92,高値!M92&gt;高値!N92,高値!M92&gt;高値!O92),8,""))</f>
        <v/>
      </c>
      <c r="AJ92" s="503" t="str">
        <f>IF(終値!A92="","",IF(AND(高値!N92&gt;高値!M92,高値!N92&gt;高値!L92,高値!N92&gt;高値!O92,高値!N92&gt;高値!P92),9,""))</f>
        <v/>
      </c>
      <c r="AK92" s="503">
        <f>IF(終値!A92="","",IF(AND(高値!O92&gt;高値!N92,高値!O92&gt;高値!M92,高値!O92&gt;高値!P92,高値!O92&gt;高値!Q92),10,""))</f>
        <v>10</v>
      </c>
      <c r="AL92" s="503" t="str">
        <f>IF(終値!A92="","",IF(AND(高値!P92&gt;高値!O92,高値!P92&gt;高値!N92,高値!P92&gt;高値!Q92,高値!P92&gt;高値!R92),11,""))</f>
        <v/>
      </c>
      <c r="AM92" s="503" t="str">
        <f>IF(終値!A92="","",IF(AND(高値!Q92&gt;高値!P92,高値!Q92&gt;高値!O92,高値!Q92&gt;高値!R92,高値!Q92&gt;高値!S92),12,""))</f>
        <v/>
      </c>
      <c r="AN92" s="503" t="str">
        <f>IF(終値!A92="","",IF(AND(高値!R92&gt;高値!Q92,高値!R92&gt;高値!P92,高値!R92&gt;高値!S92,高値!R92&gt;高値!T92),13,""))</f>
        <v/>
      </c>
      <c r="AO92" s="503" t="str">
        <f>IF(終値!A92="","",IF(AND(高値!S92&gt;高値!R92,高値!S92&gt;高値!Q92,高値!S92&gt;高値!T92,高値!S92&gt;高値!U92),14,""))</f>
        <v/>
      </c>
      <c r="AP92" s="503" t="str">
        <f>IF(終値!A92="","",IF(AND(高値!T92&gt;高値!S92,高値!T92&gt;高値!R92,高値!T92&gt;高値!U92,高値!T92&gt;高値!V92),15,""))</f>
        <v/>
      </c>
      <c r="AQ92" s="503" t="str">
        <f>IF(終値!A92="","",IF(AND(高値!U92&gt;高値!T92,高値!U92&gt;高値!S92,高値!U92&gt;高値!V92,高値!U92&gt;高値!W92),16,""))</f>
        <v/>
      </c>
      <c r="AR92" s="503">
        <f>IF(終値!A92="","",IF(AND(高値!V92&gt;高値!U92,高値!V92&gt;高値!T92,高値!V92&gt;高値!W92,高値!V92&gt;高値!X92),17,""))</f>
        <v>17</v>
      </c>
      <c r="AS92" s="503" t="str">
        <f>IF(終値!A92="","",IF(AND(高値!W92&gt;高値!V92,高値!W92&gt;高値!U92,高値!W92&gt;高値!X92,高値!W92&gt;高値!Y92),18,""))</f>
        <v/>
      </c>
      <c r="AT92" s="503" t="str">
        <f>IF(終値!A92="","",IF(AND(高値!X92&gt;高値!W92,高値!X92&gt;高値!V92,高値!X92&gt;高値!Y92,高値!X92&gt;高値!Z92),19,""))</f>
        <v/>
      </c>
      <c r="AU92" s="503" t="str">
        <f>IF(終値!A92="","",IF(AND(高値!Y92&gt;高値!X92,高値!Y92&gt;高値!W92,高値!Y92&gt;高値!Z92,高値!Y92&gt;高値!AA92),20,""))</f>
        <v/>
      </c>
      <c r="AV92" s="503">
        <f>IF(終値!A92="","",IF(AND(高値!Z92&gt;高値!Y92,高値!Z92&gt;高値!X92,高値!Z92&gt;高値!AA92,高値!Z92&gt;高値!AB92),21,""))</f>
        <v>21</v>
      </c>
      <c r="AW92" s="503" t="str">
        <f>IF(終値!A92="","",IF(AND(高値!AA92&gt;高値!Z92,高値!AA92&gt;高値!Y92,高値!AA92&gt;高値!AB92,高値!AA92&gt;高値!AC92),22,""))</f>
        <v/>
      </c>
      <c r="AX92" s="503" t="str">
        <f>IF(終値!A92="","",IF(AND(高値!AB92&gt;高値!AA92,高値!AB92&gt;高値!Z92,高値!AB92&gt;高値!AC92,高値!AB92&gt;高値!AD92),23,""))</f>
        <v/>
      </c>
      <c r="AY92" s="503">
        <f>IF(終値!A92="","",IF(AND(高値!AC92&gt;高値!AB92,高値!AC92&gt;高値!AA92,高値!AC92&gt;高値!AD92,高値!AC92&gt;高値!AE92),24,""))</f>
        <v>24</v>
      </c>
      <c r="AZ92" s="503" t="str">
        <f>IF(終値!A92="","",IF(AND(高値!AD92&gt;高値!AC92,高値!AD92&gt;高値!AB92,高値!AD92&gt;高値!AE92,高値!AD92&gt;高値!AF92),25,""))</f>
        <v/>
      </c>
      <c r="BA92" s="503" t="str">
        <f>IF(終値!A92="","",IF(AND(高値!AE92&gt;高値!AD92,高値!AE92&gt;高値!AC92,高値!AE92&gt;高値!AF92,高値!AE92&gt;高値!AG92),26,""))</f>
        <v/>
      </c>
      <c r="BB92" s="503" t="str">
        <f>IF(終値!A92="","",IF(AND(高値!AF92&gt;高値!AE92,高値!AF92&gt;高値!AD92,高値!AF92&gt;高値!AG92,高値!AF92&gt;高値!AH92),27,""))</f>
        <v/>
      </c>
      <c r="BC92" s="503" t="str">
        <f>IF(終値!A92="","",IF(AND(高値!AG92&gt;高値!AF92,高値!AG92&gt;高値!AE92,高値!AG92&gt;高値!AH92,高値!AG92&gt;高値!AI92),28,""))</f>
        <v/>
      </c>
      <c r="BD92" s="503">
        <f t="shared" si="6"/>
        <v>4</v>
      </c>
      <c r="BE92" s="503">
        <f t="shared" si="7"/>
        <v>6</v>
      </c>
      <c r="BF92" s="503">
        <f t="shared" si="8"/>
        <v>13</v>
      </c>
      <c r="BG92" s="503">
        <f>IF($BE92="","",INDEX(安値!$E92:$CZ92,1,$BE92+1))</f>
        <v>6234</v>
      </c>
      <c r="BH92" s="503">
        <f>IF($BF92="","",INDEX(安値!$E92:$CZ92,1,$BF92+1))</f>
        <v>6933</v>
      </c>
      <c r="BI92" s="503">
        <f>IF($BF92="","",MAX(INDEX(高値!$E92:$CZ92,1,$BE92+1):INDEX(高値!$E92:$CZ92,1,$BF92+1)))</f>
        <v>7744</v>
      </c>
      <c r="BJ92" s="503">
        <f>IF($BF92="","",AVERAGE(INDEX(終値!$E92:$CZ92,1,$BF92+1):INDEX(終値!$E92:$CZ92,1,$BF92+20))-2*STDEVP(INDEX(終値!$E92:$CZ92,1,$BF92+1):INDEX(終値!$E92:$CZ92,1,$BF92+20)))</f>
        <v>7323.8804858582762</v>
      </c>
      <c r="BK92" s="503">
        <f>IF($BE92="","",AVERAGE(INDEX(終値!$E92:$CZ92,1,$BE92+1):INDEX(終値!$E92:$CZ92,1,$BE92+20))-2*STDEVP(INDEX(終値!$E92:$CZ92,1,$BE92+1):INDEX(終値!$E92:$CZ92,1,$BE92+20)))</f>
        <v>6596.6015673991333</v>
      </c>
      <c r="BL92" s="503">
        <f t="shared" si="9"/>
        <v>5</v>
      </c>
      <c r="BM92" s="503">
        <f t="shared" si="10"/>
        <v>2</v>
      </c>
      <c r="BN92" s="503">
        <f t="shared" si="11"/>
        <v>10</v>
      </c>
      <c r="BO92" s="503">
        <f>IF($BM92="","",INDEX(高値!$E92:$CZ92,1,$BM92+1))</f>
        <v>8673</v>
      </c>
      <c r="BP92" s="503">
        <f>IF($BN92="","",INDEX(高値!$E92:$CZ92,1,$BN92+1))</f>
        <v>7744</v>
      </c>
      <c r="BQ92" s="503">
        <f>IF($BN92="","",MIN(INDEX(安値!$E92:$CZ92,1,$BM92+1):INDEX(安値!$E92:$CZ92,1,$BN92+1)))</f>
        <v>6234</v>
      </c>
      <c r="BR92" s="503">
        <f>IF($BN92="","",AVERAGE(INDEX(終値!$E92:$CZ92,1,$BN92+1):INDEX(終値!$E92:$CZ92,1,$BN92+20))+2*STDEVP(INDEX(終値!$E92:$CZ92,1,$BN92+1):INDEX(終値!$E92:$CZ92,1,$BN92+20)))</f>
        <v>8940.2232547899093</v>
      </c>
      <c r="BS92" s="503">
        <f>IF($BM92="","",AVERAGE(INDEX(終値!$E92:$CZ92,1,$BM92+1):INDEX(終値!$E92:$CZ92,1,$BM92+20))+2*STDEVP(INDEX(終値!$E92:$CZ92,1,$BM92+1):INDEX(終値!$E92:$CZ92,1,$BM92+20)))</f>
        <v>8585.8287060843268</v>
      </c>
      <c r="BT92" s="500"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3" t="str">
        <f>IF(終値!A93="","",IF(AND(安値!G93&lt;安値!F93,安値!G93&lt;安値!E93,安値!G93&lt;安値!H93,安値!G93&lt;安値!I93),2,""))</f>
        <v/>
      </c>
      <c r="C93" s="503" t="str">
        <f>IF(終値!A93="","",IF(AND(安値!H93&lt;安値!G93,安値!H93&lt;安値!F93,安値!H93&lt;安値!I93,安値!H93&lt;安値!J93),3,""))</f>
        <v/>
      </c>
      <c r="D93" s="503" t="str">
        <f>IF(終値!A93="","",IF(AND(安値!I93&lt;安値!H93,安値!I93&lt;安値!G93,安値!I93&lt;安値!J93,安値!I93&lt;安値!K93),4,""))</f>
        <v/>
      </c>
      <c r="E93" s="503" t="str">
        <f>IF(終値!A93="","",IF(AND(安値!J93&lt;安値!I93,安値!J93&lt;安値!H93,安値!J93&lt;安値!K93,安値!J93&lt;安値!L93),5,""))</f>
        <v/>
      </c>
      <c r="F93" s="503">
        <f>IF(終値!A93="","",IF(AND(安値!K93&lt;安値!J93,安値!K93&lt;安値!I93,安値!K93&lt;安値!L93,安値!K93&lt;安値!M93),6,""))</f>
        <v>6</v>
      </c>
      <c r="G93" s="503" t="str">
        <f>IF(終値!A93="","",IF(AND(安値!L93&lt;安値!K93,安値!L93&lt;安値!J93,安値!L93&lt;安値!M93,安値!L93&lt;安値!N93),7,""))</f>
        <v/>
      </c>
      <c r="H93" s="503" t="str">
        <f>IF(終値!A93="","",IF(AND(安値!M93&lt;安値!L93,安値!M93&lt;安値!K93,安値!M93&lt;安値!N93,安値!M93&lt;安値!O93),8,""))</f>
        <v/>
      </c>
      <c r="I93" s="503" t="str">
        <f>IF(終値!A93="","",IF(AND(安値!N93&lt;安値!M93,安値!N93&lt;安値!L93,安値!N93&lt;安値!O93,安値!N93&lt;安値!P93),9,""))</f>
        <v/>
      </c>
      <c r="J93" s="503" t="str">
        <f>IF(終値!A93="","",IF(AND(安値!O93&lt;安値!N93,安値!O93&lt;安値!M93,安値!O93&lt;安値!P93,安値!O93&lt;安値!Q93),10,""))</f>
        <v/>
      </c>
      <c r="K93" s="503" t="str">
        <f>IF(終値!A93="","",IF(AND(安値!P93&lt;安値!O93,安値!P93&lt;安値!N93,安値!P93&lt;安値!Q93,安値!P93&lt;安値!R93),11,""))</f>
        <v/>
      </c>
      <c r="L93" s="503">
        <f>IF(終値!A93="","",IF(AND(安値!Q93&lt;安値!P93,安値!Q93&lt;安値!O93,安値!Q93&lt;安値!R93,安値!Q93&lt;安値!S93),12,""))</f>
        <v>12</v>
      </c>
      <c r="M93" s="503" t="str">
        <f>IF(終値!A93="","",IF(AND(安値!R93&lt;安値!Q93,安値!R93&lt;安値!P93,安値!R93&lt;安値!S93,安値!R93&lt;安値!T93),13,""))</f>
        <v/>
      </c>
      <c r="N93" s="503" t="str">
        <f>IF(終値!A93="","",IF(AND(安値!S93&lt;安値!R93,安値!S93&lt;安値!Q93,安値!S93&lt;安値!T93,安値!S93&lt;安値!U93),14,""))</f>
        <v/>
      </c>
      <c r="O93" s="503" t="str">
        <f>IF(終値!A93="","",IF(AND(安値!T93&lt;安値!S93,安値!T93&lt;安値!R93,安値!T93&lt;安値!U93,安値!T93&lt;安値!V93),15,""))</f>
        <v/>
      </c>
      <c r="P93" s="503" t="str">
        <f>IF(終値!A93="","",IF(AND(安値!U93&lt;安値!T93,安値!U93&lt;安値!S93,安値!U93&lt;安値!V93,安値!U93&lt;安値!W93),16,""))</f>
        <v/>
      </c>
      <c r="Q93" s="503" t="str">
        <f>IF(終値!A93="","",IF(AND(安値!V93&lt;安値!U93,安値!V93&lt;安値!T93,安値!V93&lt;安値!W93,安値!V93&lt;安値!X93),17,""))</f>
        <v/>
      </c>
      <c r="R93" s="503">
        <f>IF(終値!A93="","",IF(AND(安値!W93&lt;安値!V93,安値!W93&lt;安値!U93,安値!W93&lt;安値!X93,安値!W93&lt;安値!Y93),18,""))</f>
        <v>18</v>
      </c>
      <c r="S93" s="503" t="str">
        <f>IF(終値!A93="","",IF(AND(安値!X93&lt;安値!W93,安値!X93&lt;安値!V93,安値!X93&lt;安値!Y93,安値!X93&lt;安値!Z93),19,""))</f>
        <v/>
      </c>
      <c r="T93" s="503" t="str">
        <f>IF(終値!A93="","",IF(AND(安値!Y93&lt;安値!X93,安値!Y93&lt;安値!W93,安値!Y93&lt;安値!Z93,安値!Y93&lt;安値!AA93),20,""))</f>
        <v/>
      </c>
      <c r="U93" s="503" t="str">
        <f>IF(終値!A93="","",IF(AND(安値!Z93&lt;安値!Y93,安値!Z93&lt;安値!X93,安値!Z93&lt;安値!AA93,安値!Z93&lt;安値!AB93),21,""))</f>
        <v/>
      </c>
      <c r="V93" s="503" t="str">
        <f>IF(終値!A93="","",IF(AND(安値!AA93&lt;安値!Z93,安値!AA93&lt;安値!Y93,安値!AA93&lt;安値!AB93,安値!AA93&lt;安値!AC93),22,""))</f>
        <v/>
      </c>
      <c r="W93" s="503" t="str">
        <f>IF(終値!A93="","",IF(AND(安値!AB93&lt;安値!AA93,安値!AB93&lt;安値!Z93,安値!AB93&lt;安値!AC93,安値!AB93&lt;安値!AD93),23,""))</f>
        <v/>
      </c>
      <c r="X93" s="503" t="str">
        <f>IF(終値!A93="","",IF(AND(安値!AC93&lt;安値!AB93,安値!AC93&lt;安値!AA93,安値!AC93&lt;安値!AD93,安値!AC93&lt;安値!AE93),24,""))</f>
        <v/>
      </c>
      <c r="Y93" s="503" t="str">
        <f>IF(終値!A93="","",IF(AND(安値!AD93&lt;安値!AC93,安値!AD93&lt;安値!AB93,安値!AD93&lt;安値!AE93,安値!AD93&lt;安値!AF93),25,""))</f>
        <v/>
      </c>
      <c r="Z93" s="503" t="str">
        <f>IF(終値!A93="","",IF(AND(安値!AE93&lt;安値!AD93,安値!AE93&lt;安値!AC93,安値!AE93&lt;安値!AF93,安値!AE93&lt;安値!AG93),26,""))</f>
        <v/>
      </c>
      <c r="AA93" s="503" t="str">
        <f>IF(終値!A93="","",IF(AND(安値!AF93&lt;安値!AE93,安値!AF93&lt;安値!AD93,安値!AF93&lt;安値!AG93,安値!AF93&lt;安値!AH93),27,""))</f>
        <v/>
      </c>
      <c r="AB93" s="503" t="str">
        <f>IF(終値!A93="","",IF(AND(安値!AG93&lt;安値!AF93,安値!AG93&lt;安値!AE93,安値!AG93&lt;安値!AH93,安値!AG93&lt;安値!AI93),28,""))</f>
        <v/>
      </c>
      <c r="AC93" s="503" t="str">
        <f>IF(終値!A93="","",IF(AND(高値!G93&gt;高値!F93,高値!G93&gt;高値!E93,高値!G93&gt;高値!H93,高値!G93&gt;高値!I93),2,""))</f>
        <v/>
      </c>
      <c r="AD93" s="503" t="str">
        <f>IF(終値!A93="","",IF(AND(高値!H93&gt;高値!G93,高値!H93&gt;高値!F93,高値!H93&gt;高値!I93,高値!H93&gt;高値!J93),3,""))</f>
        <v/>
      </c>
      <c r="AE93" s="503" t="str">
        <f>IF(終値!A93="","",IF(AND(高値!I93&gt;高値!H93,高値!I93&gt;高値!G93,高値!I93&gt;高値!J93,高値!I93&gt;高値!K93),4,""))</f>
        <v/>
      </c>
      <c r="AF93" s="503" t="str">
        <f>IF(終値!A93="","",IF(AND(高値!J93&gt;高値!I93,高値!J93&gt;高値!H93,高値!J93&gt;高値!K93,高値!J93&gt;高値!L93),5,""))</f>
        <v/>
      </c>
      <c r="AG93" s="503" t="str">
        <f>IF(終値!A93="","",IF(AND(高値!K93&gt;高値!J93,高値!K93&gt;高値!I93,高値!K93&gt;高値!L93,高値!K93&gt;高値!M93),6,""))</f>
        <v/>
      </c>
      <c r="AH93" s="503" t="str">
        <f>IF(終値!A93="","",IF(AND(高値!L93&gt;高値!K93,高値!L93&gt;高値!J93,高値!L93&gt;高値!M93,高値!L93&gt;高値!N93),7,""))</f>
        <v/>
      </c>
      <c r="AI93" s="503" t="str">
        <f>IF(終値!A93="","",IF(AND(高値!M93&gt;高値!L93,高値!M93&gt;高値!K93,高値!M93&gt;高値!N93,高値!M93&gt;高値!O93),8,""))</f>
        <v/>
      </c>
      <c r="AJ93" s="503">
        <f>IF(終値!A93="","",IF(AND(高値!N93&gt;高値!M93,高値!N93&gt;高値!L93,高値!N93&gt;高値!O93,高値!N93&gt;高値!P93),9,""))</f>
        <v>9</v>
      </c>
      <c r="AK93" s="503" t="str">
        <f>IF(終値!A93="","",IF(AND(高値!O93&gt;高値!N93,高値!O93&gt;高値!M93,高値!O93&gt;高値!P93,高値!O93&gt;高値!Q93),10,""))</f>
        <v/>
      </c>
      <c r="AL93" s="503" t="str">
        <f>IF(終値!A93="","",IF(AND(高値!P93&gt;高値!O93,高値!P93&gt;高値!N93,高値!P93&gt;高値!Q93,高値!P93&gt;高値!R93),11,""))</f>
        <v/>
      </c>
      <c r="AM93" s="503">
        <f>IF(終値!A93="","",IF(AND(高値!Q93&gt;高値!P93,高値!Q93&gt;高値!O93,高値!Q93&gt;高値!R93,高値!Q93&gt;高値!S93),12,""))</f>
        <v>12</v>
      </c>
      <c r="AN93" s="503" t="str">
        <f>IF(終値!A93="","",IF(AND(高値!R93&gt;高値!Q93,高値!R93&gt;高値!P93,高値!R93&gt;高値!S93,高値!R93&gt;高値!T93),13,""))</f>
        <v/>
      </c>
      <c r="AO93" s="503" t="str">
        <f>IF(終値!A93="","",IF(AND(高値!S93&gt;高値!R93,高値!S93&gt;高値!Q93,高値!S93&gt;高値!T93,高値!S93&gt;高値!U93),14,""))</f>
        <v/>
      </c>
      <c r="AP93" s="503" t="str">
        <f>IF(終値!A93="","",IF(AND(高値!T93&gt;高値!S93,高値!T93&gt;高値!R93,高値!T93&gt;高値!U93,高値!T93&gt;高値!V93),15,""))</f>
        <v/>
      </c>
      <c r="AQ93" s="503" t="str">
        <f>IF(終値!A93="","",IF(AND(高値!U93&gt;高値!T93,高値!U93&gt;高値!S93,高値!U93&gt;高値!V93,高値!U93&gt;高値!W93),16,""))</f>
        <v/>
      </c>
      <c r="AR93" s="503" t="str">
        <f>IF(終値!A93="","",IF(AND(高値!V93&gt;高値!U93,高値!V93&gt;高値!T93,高値!V93&gt;高値!W93,高値!V93&gt;高値!X93),17,""))</f>
        <v/>
      </c>
      <c r="AS93" s="503" t="str">
        <f>IF(終値!A93="","",IF(AND(高値!W93&gt;高値!V93,高値!W93&gt;高値!U93,高値!W93&gt;高値!X93,高値!W93&gt;高値!Y93),18,""))</f>
        <v/>
      </c>
      <c r="AT93" s="503" t="str">
        <f>IF(終値!A93="","",IF(AND(高値!X93&gt;高値!W93,高値!X93&gt;高値!V93,高値!X93&gt;高値!Y93,高値!X93&gt;高値!Z93),19,""))</f>
        <v/>
      </c>
      <c r="AU93" s="503" t="str">
        <f>IF(終値!A93="","",IF(AND(高値!Y93&gt;高値!X93,高値!Y93&gt;高値!W93,高値!Y93&gt;高値!Z93,高値!Y93&gt;高値!AA93),20,""))</f>
        <v/>
      </c>
      <c r="AV93" s="503" t="str">
        <f>IF(終値!A93="","",IF(AND(高値!Z93&gt;高値!Y93,高値!Z93&gt;高値!X93,高値!Z93&gt;高値!AA93,高値!Z93&gt;高値!AB93),21,""))</f>
        <v/>
      </c>
      <c r="AW93" s="503" t="str">
        <f>IF(終値!A93="","",IF(AND(高値!AA93&gt;高値!Z93,高値!AA93&gt;高値!Y93,高値!AA93&gt;高値!AB93,高値!AA93&gt;高値!AC93),22,""))</f>
        <v/>
      </c>
      <c r="AX93" s="503" t="str">
        <f>IF(終値!A93="","",IF(AND(高値!AB93&gt;高値!AA93,高値!AB93&gt;高値!Z93,高値!AB93&gt;高値!AC93,高値!AB93&gt;高値!AD93),23,""))</f>
        <v/>
      </c>
      <c r="AY93" s="503" t="str">
        <f>IF(終値!A93="","",IF(AND(高値!AC93&gt;高値!AB93,高値!AC93&gt;高値!AA93,高値!AC93&gt;高値!AD93,高値!AC93&gt;高値!AE93),24,""))</f>
        <v/>
      </c>
      <c r="AZ93" s="503" t="str">
        <f>IF(終値!A93="","",IF(AND(高値!AD93&gt;高値!AC93,高値!AD93&gt;高値!AB93,高値!AD93&gt;高値!AE93,高値!AD93&gt;高値!AF93),25,""))</f>
        <v/>
      </c>
      <c r="BA93" s="503">
        <f>IF(終値!A93="","",IF(AND(高値!AE93&gt;高値!AD93,高値!AE93&gt;高値!AC93,高値!AE93&gt;高値!AF93,高値!AE93&gt;高値!AG93),26,""))</f>
        <v>26</v>
      </c>
      <c r="BB93" s="503" t="str">
        <f>IF(終値!A93="","",IF(AND(高値!AF93&gt;高値!AE93,高値!AF93&gt;高値!AD93,高値!AF93&gt;高値!AG93,高値!AF93&gt;高値!AH93),27,""))</f>
        <v/>
      </c>
      <c r="BC93" s="503" t="str">
        <f>IF(終値!A93="","",IF(AND(高値!AG93&gt;高値!AF93,高値!AG93&gt;高値!AE93,高値!AG93&gt;高値!AH93,高値!AG93&gt;高値!AI93),28,""))</f>
        <v/>
      </c>
      <c r="BD93" s="503">
        <f t="shared" si="6"/>
        <v>3</v>
      </c>
      <c r="BE93" s="503">
        <f t="shared" si="7"/>
        <v>6</v>
      </c>
      <c r="BF93" s="503">
        <f t="shared" si="8"/>
        <v>12</v>
      </c>
      <c r="BG93" s="503">
        <f>IF($BE93="","",INDEX(安値!$E93:$CZ93,1,$BE93+1))</f>
        <v>701</v>
      </c>
      <c r="BH93" s="503">
        <f>IF($BF93="","",INDEX(安値!$E93:$CZ93,1,$BF93+1))</f>
        <v>730</v>
      </c>
      <c r="BI93" s="503">
        <f>IF($BF93="","",MAX(INDEX(高値!$E93:$CZ93,1,$BE93+1):INDEX(高値!$E93:$CZ93,1,$BF93+1)))</f>
        <v>832</v>
      </c>
      <c r="BJ93" s="503">
        <f>IF($BF93="","",AVERAGE(INDEX(終値!$E93:$CZ93,1,$BF93+1):INDEX(終値!$E93:$CZ93,1,$BF93+20))-2*STDEVP(INDEX(終値!$E93:$CZ93,1,$BF93+1):INDEX(終値!$E93:$CZ93,1,$BF93+20)))</f>
        <v>701.06615080628433</v>
      </c>
      <c r="BK93" s="503">
        <f>IF($BE93="","",AVERAGE(INDEX(終値!$E93:$CZ93,1,$BE93+1):INDEX(終値!$E93:$CZ93,1,$BE93+20))-2*STDEVP(INDEX(終値!$E93:$CZ93,1,$BE93+1):INDEX(終値!$E93:$CZ93,1,$BE93+20)))</f>
        <v>689.35101758110773</v>
      </c>
      <c r="BL93" s="503">
        <f t="shared" si="9"/>
        <v>3</v>
      </c>
      <c r="BM93" s="503">
        <f t="shared" si="10"/>
        <v>9</v>
      </c>
      <c r="BN93" s="503">
        <f t="shared" si="11"/>
        <v>12</v>
      </c>
      <c r="BO93" s="503">
        <f>IF($BM93="","",INDEX(高値!$E93:$CZ93,1,$BM93+1))</f>
        <v>797</v>
      </c>
      <c r="BP93" s="503">
        <f>IF($BN93="","",INDEX(高値!$E93:$CZ93,1,$BN93+1))</f>
        <v>832</v>
      </c>
      <c r="BQ93" s="503">
        <f>IF($BN93="","",MIN(INDEX(安値!$E93:$CZ93,1,$BM93+1):INDEX(安値!$E93:$CZ93,1,$BN93+1)))</f>
        <v>730</v>
      </c>
      <c r="BR93" s="503">
        <f>IF($BN93="","",AVERAGE(INDEX(終値!$E93:$CZ93,1,$BN93+1):INDEX(終値!$E93:$CZ93,1,$BN93+20))+2*STDEVP(INDEX(終値!$E93:$CZ93,1,$BN93+1):INDEX(終値!$E93:$CZ93,1,$BN93+20)))</f>
        <v>931.53384919371558</v>
      </c>
      <c r="BS93" s="503">
        <f>IF($BM93="","",AVERAGE(INDEX(終値!$E93:$CZ93,1,$BM93+1):INDEX(終値!$E93:$CZ93,1,$BM93+20))+2*STDEVP(INDEX(終値!$E93:$CZ93,1,$BM93+1):INDEX(終値!$E93:$CZ93,1,$BM93+20)))</f>
        <v>931.83144260154381</v>
      </c>
      <c r="BT93" s="500"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二番底W形成</v>
      </c>
    </row>
    <row r="94" spans="2:72">
      <c r="B94" s="503">
        <f>IF(終値!A94="","",IF(AND(安値!G94&lt;安値!F94,安値!G94&lt;安値!E94,安値!G94&lt;安値!H94,安値!G94&lt;安値!I94),2,""))</f>
        <v>2</v>
      </c>
      <c r="C94" s="503" t="str">
        <f>IF(終値!A94="","",IF(AND(安値!H94&lt;安値!G94,安値!H94&lt;安値!F94,安値!H94&lt;安値!I94,安値!H94&lt;安値!J94),3,""))</f>
        <v/>
      </c>
      <c r="D94" s="503" t="str">
        <f>IF(終値!A94="","",IF(AND(安値!I94&lt;安値!H94,安値!I94&lt;安値!G94,安値!I94&lt;安値!J94,安値!I94&lt;安値!K94),4,""))</f>
        <v/>
      </c>
      <c r="E94" s="503" t="str">
        <f>IF(終値!A94="","",IF(AND(安値!J94&lt;安値!I94,安値!J94&lt;安値!H94,安値!J94&lt;安値!K94,安値!J94&lt;安値!L94),5,""))</f>
        <v/>
      </c>
      <c r="F94" s="503" t="str">
        <f>IF(終値!A94="","",IF(AND(安値!K94&lt;安値!J94,安値!K94&lt;安値!I94,安値!K94&lt;安値!L94,安値!K94&lt;安値!M94),6,""))</f>
        <v/>
      </c>
      <c r="G94" s="503" t="str">
        <f>IF(終値!A94="","",IF(AND(安値!L94&lt;安値!K94,安値!L94&lt;安値!J94,安値!L94&lt;安値!M94,安値!L94&lt;安値!N94),7,""))</f>
        <v/>
      </c>
      <c r="H94" s="503" t="str">
        <f>IF(終値!A94="","",IF(AND(安値!M94&lt;安値!L94,安値!M94&lt;安値!K94,安値!M94&lt;安値!N94,安値!M94&lt;安値!O94),8,""))</f>
        <v/>
      </c>
      <c r="I94" s="503" t="str">
        <f>IF(終値!A94="","",IF(AND(安値!N94&lt;安値!M94,安値!N94&lt;安値!L94,安値!N94&lt;安値!O94,安値!N94&lt;安値!P94),9,""))</f>
        <v/>
      </c>
      <c r="J94" s="503" t="str">
        <f>IF(終値!A94="","",IF(AND(安値!O94&lt;安値!N94,安値!O94&lt;安値!M94,安値!O94&lt;安値!P94,安値!O94&lt;安値!Q94),10,""))</f>
        <v/>
      </c>
      <c r="K94" s="503" t="str">
        <f>IF(終値!A94="","",IF(AND(安値!P94&lt;安値!O94,安値!P94&lt;安値!N94,安値!P94&lt;安値!Q94,安値!P94&lt;安値!R94),11,""))</f>
        <v/>
      </c>
      <c r="L94" s="503" t="str">
        <f>IF(終値!A94="","",IF(AND(安値!Q94&lt;安値!P94,安値!Q94&lt;安値!O94,安値!Q94&lt;安値!R94,安値!Q94&lt;安値!S94),12,""))</f>
        <v/>
      </c>
      <c r="M94" s="503">
        <f>IF(終値!A94="","",IF(AND(安値!R94&lt;安値!Q94,安値!R94&lt;安値!P94,安値!R94&lt;安値!S94,安値!R94&lt;安値!T94),13,""))</f>
        <v>13</v>
      </c>
      <c r="N94" s="503" t="str">
        <f>IF(終値!A94="","",IF(AND(安値!S94&lt;安値!R94,安値!S94&lt;安値!Q94,安値!S94&lt;安値!T94,安値!S94&lt;安値!U94),14,""))</f>
        <v/>
      </c>
      <c r="O94" s="503" t="str">
        <f>IF(終値!A94="","",IF(AND(安値!T94&lt;安値!S94,安値!T94&lt;安値!R94,安値!T94&lt;安値!U94,安値!T94&lt;安値!V94),15,""))</f>
        <v/>
      </c>
      <c r="P94" s="503" t="str">
        <f>IF(終値!A94="","",IF(AND(安値!U94&lt;安値!T94,安値!U94&lt;安値!S94,安値!U94&lt;安値!V94,安値!U94&lt;安値!W94),16,""))</f>
        <v/>
      </c>
      <c r="Q94" s="503" t="str">
        <f>IF(終値!A94="","",IF(AND(安値!V94&lt;安値!U94,安値!V94&lt;安値!T94,安値!V94&lt;安値!W94,安値!V94&lt;安値!X94),17,""))</f>
        <v/>
      </c>
      <c r="R94" s="503" t="str">
        <f>IF(終値!A94="","",IF(AND(安値!W94&lt;安値!V94,安値!W94&lt;安値!U94,安値!W94&lt;安値!X94,安値!W94&lt;安値!Y94),18,""))</f>
        <v/>
      </c>
      <c r="S94" s="503" t="str">
        <f>IF(終値!A94="","",IF(AND(安値!X94&lt;安値!W94,安値!X94&lt;安値!V94,安値!X94&lt;安値!Y94,安値!X94&lt;安値!Z94),19,""))</f>
        <v/>
      </c>
      <c r="T94" s="503" t="str">
        <f>IF(終値!A94="","",IF(AND(安値!Y94&lt;安値!X94,安値!Y94&lt;安値!W94,安値!Y94&lt;安値!Z94,安値!Y94&lt;安値!AA94),20,""))</f>
        <v/>
      </c>
      <c r="U94" s="503" t="str">
        <f>IF(終値!A94="","",IF(AND(安値!Z94&lt;安値!Y94,安値!Z94&lt;安値!X94,安値!Z94&lt;安値!AA94,安値!Z94&lt;安値!AB94),21,""))</f>
        <v/>
      </c>
      <c r="V94" s="503" t="str">
        <f>IF(終値!A94="","",IF(AND(安値!AA94&lt;安値!Z94,安値!AA94&lt;安値!Y94,安値!AA94&lt;安値!AB94,安値!AA94&lt;安値!AC94),22,""))</f>
        <v/>
      </c>
      <c r="W94" s="503">
        <f>IF(終値!A94="","",IF(AND(安値!AB94&lt;安値!AA94,安値!AB94&lt;安値!Z94,安値!AB94&lt;安値!AC94,安値!AB94&lt;安値!AD94),23,""))</f>
        <v>23</v>
      </c>
      <c r="X94" s="503" t="str">
        <f>IF(終値!A94="","",IF(AND(安値!AC94&lt;安値!AB94,安値!AC94&lt;安値!AA94,安値!AC94&lt;安値!AD94,安値!AC94&lt;安値!AE94),24,""))</f>
        <v/>
      </c>
      <c r="Y94" s="503" t="str">
        <f>IF(終値!A94="","",IF(AND(安値!AD94&lt;安値!AC94,安値!AD94&lt;安値!AB94,安値!AD94&lt;安値!AE94,安値!AD94&lt;安値!AF94),25,""))</f>
        <v/>
      </c>
      <c r="Z94" s="503" t="str">
        <f>IF(終値!A94="","",IF(AND(安値!AE94&lt;安値!AD94,安値!AE94&lt;安値!AC94,安値!AE94&lt;安値!AF94,安値!AE94&lt;安値!AG94),26,""))</f>
        <v/>
      </c>
      <c r="AA94" s="503" t="str">
        <f>IF(終値!A94="","",IF(AND(安値!AF94&lt;安値!AE94,安値!AF94&lt;安値!AD94,安値!AF94&lt;安値!AG94,安値!AF94&lt;安値!AH94),27,""))</f>
        <v/>
      </c>
      <c r="AB94" s="503" t="str">
        <f>IF(終値!A94="","",IF(AND(安値!AG94&lt;安値!AF94,安値!AG94&lt;安値!AE94,安値!AG94&lt;安値!AH94,安値!AG94&lt;安値!AI94),28,""))</f>
        <v/>
      </c>
      <c r="AC94" s="503" t="str">
        <f>IF(終値!A94="","",IF(AND(高値!G94&gt;高値!F94,高値!G94&gt;高値!E94,高値!G94&gt;高値!H94,高値!G94&gt;高値!I94),2,""))</f>
        <v/>
      </c>
      <c r="AD94" s="503" t="str">
        <f>IF(終値!A94="","",IF(AND(高値!H94&gt;高値!G94,高値!H94&gt;高値!F94,高値!H94&gt;高値!I94,高値!H94&gt;高値!J94),3,""))</f>
        <v/>
      </c>
      <c r="AE94" s="503">
        <f>IF(終値!A94="","",IF(AND(高値!I94&gt;高値!H94,高値!I94&gt;高値!G94,高値!I94&gt;高値!J94,高値!I94&gt;高値!K94),4,""))</f>
        <v>4</v>
      </c>
      <c r="AF94" s="503" t="str">
        <f>IF(終値!A94="","",IF(AND(高値!J94&gt;高値!I94,高値!J94&gt;高値!H94,高値!J94&gt;高値!K94,高値!J94&gt;高値!L94),5,""))</f>
        <v/>
      </c>
      <c r="AG94" s="503" t="str">
        <f>IF(終値!A94="","",IF(AND(高値!K94&gt;高値!J94,高値!K94&gt;高値!I94,高値!K94&gt;高値!L94,高値!K94&gt;高値!M94),6,""))</f>
        <v/>
      </c>
      <c r="AH94" s="503" t="str">
        <f>IF(終値!A94="","",IF(AND(高値!L94&gt;高値!K94,高値!L94&gt;高値!J94,高値!L94&gt;高値!M94,高値!L94&gt;高値!N94),7,""))</f>
        <v/>
      </c>
      <c r="AI94" s="503">
        <f>IF(終値!A94="","",IF(AND(高値!M94&gt;高値!L94,高値!M94&gt;高値!K94,高値!M94&gt;高値!N94,高値!M94&gt;高値!O94),8,""))</f>
        <v>8</v>
      </c>
      <c r="AJ94" s="503" t="str">
        <f>IF(終値!A94="","",IF(AND(高値!N94&gt;高値!M94,高値!N94&gt;高値!L94,高値!N94&gt;高値!O94,高値!N94&gt;高値!P94),9,""))</f>
        <v/>
      </c>
      <c r="AK94" s="503" t="str">
        <f>IF(終値!A94="","",IF(AND(高値!O94&gt;高値!N94,高値!O94&gt;高値!M94,高値!O94&gt;高値!P94,高値!O94&gt;高値!Q94),10,""))</f>
        <v/>
      </c>
      <c r="AL94" s="503">
        <f>IF(終値!A94="","",IF(AND(高値!P94&gt;高値!O94,高値!P94&gt;高値!N94,高値!P94&gt;高値!Q94,高値!P94&gt;高値!R94),11,""))</f>
        <v>11</v>
      </c>
      <c r="AM94" s="503" t="str">
        <f>IF(終値!A94="","",IF(AND(高値!Q94&gt;高値!P94,高値!Q94&gt;高値!O94,高値!Q94&gt;高値!R94,高値!Q94&gt;高値!S94),12,""))</f>
        <v/>
      </c>
      <c r="AN94" s="503" t="str">
        <f>IF(終値!A94="","",IF(AND(高値!R94&gt;高値!Q94,高値!R94&gt;高値!P94,高値!R94&gt;高値!S94,高値!R94&gt;高値!T94),13,""))</f>
        <v/>
      </c>
      <c r="AO94" s="503">
        <f>IF(終値!A94="","",IF(AND(高値!S94&gt;高値!R94,高値!S94&gt;高値!Q94,高値!S94&gt;高値!T94,高値!S94&gt;高値!U94),14,""))</f>
        <v>14</v>
      </c>
      <c r="AP94" s="503" t="str">
        <f>IF(終値!A94="","",IF(AND(高値!T94&gt;高値!S94,高値!T94&gt;高値!R94,高値!T94&gt;高値!U94,高値!T94&gt;高値!V94),15,""))</f>
        <v/>
      </c>
      <c r="AQ94" s="503" t="str">
        <f>IF(終値!A94="","",IF(AND(高値!U94&gt;高値!T94,高値!U94&gt;高値!S94,高値!U94&gt;高値!V94,高値!U94&gt;高値!W94),16,""))</f>
        <v/>
      </c>
      <c r="AR94" s="503" t="str">
        <f>IF(終値!A94="","",IF(AND(高値!V94&gt;高値!U94,高値!V94&gt;高値!T94,高値!V94&gt;高値!W94,高値!V94&gt;高値!X94),17,""))</f>
        <v/>
      </c>
      <c r="AS94" s="503" t="str">
        <f>IF(終値!A94="","",IF(AND(高値!W94&gt;高値!V94,高値!W94&gt;高値!U94,高値!W94&gt;高値!X94,高値!W94&gt;高値!Y94),18,""))</f>
        <v/>
      </c>
      <c r="AT94" s="503" t="str">
        <f>IF(終値!A94="","",IF(AND(高値!X94&gt;高値!W94,高値!X94&gt;高値!V94,高値!X94&gt;高値!Y94,高値!X94&gt;高値!Z94),19,""))</f>
        <v/>
      </c>
      <c r="AU94" s="503" t="str">
        <f>IF(終値!A94="","",IF(AND(高値!Y94&gt;高値!X94,高値!Y94&gt;高値!W94,高値!Y94&gt;高値!Z94,高値!Y94&gt;高値!AA94),20,""))</f>
        <v/>
      </c>
      <c r="AV94" s="503">
        <f>IF(終値!A94="","",IF(AND(高値!Z94&gt;高値!Y94,高値!Z94&gt;高値!X94,高値!Z94&gt;高値!AA94,高値!Z94&gt;高値!AB94),21,""))</f>
        <v>21</v>
      </c>
      <c r="AW94" s="503" t="str">
        <f>IF(終値!A94="","",IF(AND(高値!AA94&gt;高値!Z94,高値!AA94&gt;高値!Y94,高値!AA94&gt;高値!AB94,高値!AA94&gt;高値!AC94),22,""))</f>
        <v/>
      </c>
      <c r="AX94" s="503" t="str">
        <f>IF(終値!A94="","",IF(AND(高値!AB94&gt;高値!AA94,高値!AB94&gt;高値!Z94,高値!AB94&gt;高値!AC94,高値!AB94&gt;高値!AD94),23,""))</f>
        <v/>
      </c>
      <c r="AY94" s="503" t="str">
        <f>IF(終値!A94="","",IF(AND(高値!AC94&gt;高値!AB94,高値!AC94&gt;高値!AA94,高値!AC94&gt;高値!AD94,高値!AC94&gt;高値!AE94),24,""))</f>
        <v/>
      </c>
      <c r="AZ94" s="503" t="str">
        <f>IF(終値!A94="","",IF(AND(高値!AD94&gt;高値!AC94,高値!AD94&gt;高値!AB94,高値!AD94&gt;高値!AE94,高値!AD94&gt;高値!AF94),25,""))</f>
        <v/>
      </c>
      <c r="BA94" s="503" t="str">
        <f>IF(終値!A94="","",IF(AND(高値!AE94&gt;高値!AD94,高値!AE94&gt;高値!AC94,高値!AE94&gt;高値!AF94,高値!AE94&gt;高値!AG94),26,""))</f>
        <v/>
      </c>
      <c r="BB94" s="503" t="str">
        <f>IF(終値!A94="","",IF(AND(高値!AF94&gt;高値!AE94,高値!AF94&gt;高値!AD94,高値!AF94&gt;高値!AG94,高値!AF94&gt;高値!AH94),27,""))</f>
        <v/>
      </c>
      <c r="BC94" s="503">
        <f>IF(終値!A94="","",IF(AND(高値!AG94&gt;高値!AF94,高値!AG94&gt;高値!AE94,高値!AG94&gt;高値!AH94,高値!AG94&gt;高値!AI94),28,""))</f>
        <v>28</v>
      </c>
      <c r="BD94" s="503">
        <f t="shared" si="6"/>
        <v>3</v>
      </c>
      <c r="BE94" s="503">
        <f t="shared" si="7"/>
        <v>2</v>
      </c>
      <c r="BF94" s="503">
        <f t="shared" si="8"/>
        <v>13</v>
      </c>
      <c r="BG94" s="503">
        <f>IF($BE94="","",INDEX(安値!$E94:$CZ94,1,$BE94+1))</f>
        <v>1558.5</v>
      </c>
      <c r="BH94" s="503">
        <f>IF($BF94="","",INDEX(安値!$E94:$CZ94,1,$BF94+1))</f>
        <v>1804</v>
      </c>
      <c r="BI94" s="503">
        <f>IF($BF94="","",MAX(INDEX(高値!$E94:$CZ94,1,$BE94+1):INDEX(高値!$E94:$CZ94,1,$BF94+1)))</f>
        <v>1895</v>
      </c>
      <c r="BJ94" s="503">
        <f>IF($BF94="","",AVERAGE(INDEX(終値!$E94:$CZ94,1,$BF94+1):INDEX(終値!$E94:$CZ94,1,$BF94+20))-2*STDEVP(INDEX(終値!$E94:$CZ94,1,$BF94+1):INDEX(終値!$E94:$CZ94,1,$BF94+20)))</f>
        <v>1752.4623923675745</v>
      </c>
      <c r="BK94" s="503">
        <f>IF($BE94="","",AVERAGE(INDEX(終値!$E94:$CZ94,1,$BE94+1):INDEX(終値!$E94:$CZ94,1,$BE94+20))-2*STDEVP(INDEX(終値!$E94:$CZ94,1,$BE94+1):INDEX(終値!$E94:$CZ94,1,$BE94+20)))</f>
        <v>1663.4025534040504</v>
      </c>
      <c r="BL94" s="503">
        <f t="shared" si="9"/>
        <v>6</v>
      </c>
      <c r="BM94" s="503">
        <f t="shared" si="10"/>
        <v>4</v>
      </c>
      <c r="BN94" s="503">
        <f t="shared" si="11"/>
        <v>8</v>
      </c>
      <c r="BO94" s="503">
        <f>IF($BM94="","",INDEX(高値!$E94:$CZ94,1,$BM94+1))</f>
        <v>1895</v>
      </c>
      <c r="BP94" s="503">
        <f>IF($BN94="","",INDEX(高値!$E94:$CZ94,1,$BN94+1))</f>
        <v>1878.5</v>
      </c>
      <c r="BQ94" s="503">
        <f>IF($BN94="","",MIN(INDEX(安値!$E94:$CZ94,1,$BM94+1):INDEX(安値!$E94:$CZ94,1,$BN94+1)))</f>
        <v>1710</v>
      </c>
      <c r="BR94" s="503">
        <f>IF($BN94="","",AVERAGE(INDEX(終値!$E94:$CZ94,1,$BN94+1):INDEX(終値!$E94:$CZ94,1,$BN94+20))+2*STDEVP(INDEX(終値!$E94:$CZ94,1,$BN94+1):INDEX(終値!$E94:$CZ94,1,$BN94+20)))</f>
        <v>1912.9673028412176</v>
      </c>
      <c r="BS94" s="503">
        <f>IF($BM94="","",AVERAGE(INDEX(終値!$E94:$CZ94,1,$BM94+1):INDEX(終値!$E94:$CZ94,1,$BM94+20))+2*STDEVP(INDEX(終値!$E94:$CZ94,1,$BM94+1):INDEX(終値!$E94:$CZ94,1,$BM94+20)))</f>
        <v>1921.6214075077423</v>
      </c>
      <c r="BT94" s="500"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二番天井M▼</v>
      </c>
    </row>
    <row r="95" spans="2:72">
      <c r="B95" s="503" t="str">
        <f>IF(終値!A95="","",IF(AND(安値!G95&lt;安値!F95,安値!G95&lt;安値!E95,安値!G95&lt;安値!H95,安値!G95&lt;安値!I95),2,""))</f>
        <v/>
      </c>
      <c r="C95" s="503">
        <f>IF(終値!A95="","",IF(AND(安値!H95&lt;安値!G95,安値!H95&lt;安値!F95,安値!H95&lt;安値!I95,安値!H95&lt;安値!J95),3,""))</f>
        <v>3</v>
      </c>
      <c r="D95" s="503" t="str">
        <f>IF(終値!A95="","",IF(AND(安値!I95&lt;安値!H95,安値!I95&lt;安値!G95,安値!I95&lt;安値!J95,安値!I95&lt;安値!K95),4,""))</f>
        <v/>
      </c>
      <c r="E95" s="503" t="str">
        <f>IF(終値!A95="","",IF(AND(安値!J95&lt;安値!I95,安値!J95&lt;安値!H95,安値!J95&lt;安値!K95,安値!J95&lt;安値!L95),5,""))</f>
        <v/>
      </c>
      <c r="F95" s="503">
        <f>IF(終値!A95="","",IF(AND(安値!K95&lt;安値!J95,安値!K95&lt;安値!I95,安値!K95&lt;安値!L95,安値!K95&lt;安値!M95),6,""))</f>
        <v>6</v>
      </c>
      <c r="G95" s="503" t="str">
        <f>IF(終値!A95="","",IF(AND(安値!L95&lt;安値!K95,安値!L95&lt;安値!J95,安値!L95&lt;安値!M95,安値!L95&lt;安値!N95),7,""))</f>
        <v/>
      </c>
      <c r="H95" s="503" t="str">
        <f>IF(終値!A95="","",IF(AND(安値!M95&lt;安値!L95,安値!M95&lt;安値!K95,安値!M95&lt;安値!N95,安値!M95&lt;安値!O95),8,""))</f>
        <v/>
      </c>
      <c r="I95" s="503">
        <f>IF(終値!A95="","",IF(AND(安値!N95&lt;安値!M95,安値!N95&lt;安値!L95,安値!N95&lt;安値!O95,安値!N95&lt;安値!P95),9,""))</f>
        <v>9</v>
      </c>
      <c r="J95" s="503" t="str">
        <f>IF(終値!A95="","",IF(AND(安値!O95&lt;安値!N95,安値!O95&lt;安値!M95,安値!O95&lt;安値!P95,安値!O95&lt;安値!Q95),10,""))</f>
        <v/>
      </c>
      <c r="K95" s="503" t="str">
        <f>IF(終値!A95="","",IF(AND(安値!P95&lt;安値!O95,安値!P95&lt;安値!N95,安値!P95&lt;安値!Q95,安値!P95&lt;安値!R95),11,""))</f>
        <v/>
      </c>
      <c r="L95" s="503" t="str">
        <f>IF(終値!A95="","",IF(AND(安値!Q95&lt;安値!P95,安値!Q95&lt;安値!O95,安値!Q95&lt;安値!R95,安値!Q95&lt;安値!S95),12,""))</f>
        <v/>
      </c>
      <c r="M95" s="503">
        <f>IF(終値!A95="","",IF(AND(安値!R95&lt;安値!Q95,安値!R95&lt;安値!P95,安値!R95&lt;安値!S95,安値!R95&lt;安値!T95),13,""))</f>
        <v>13</v>
      </c>
      <c r="N95" s="503" t="str">
        <f>IF(終値!A95="","",IF(AND(安値!S95&lt;安値!R95,安値!S95&lt;安値!Q95,安値!S95&lt;安値!T95,安値!S95&lt;安値!U95),14,""))</f>
        <v/>
      </c>
      <c r="O95" s="503" t="str">
        <f>IF(終値!A95="","",IF(AND(安値!T95&lt;安値!S95,安値!T95&lt;安値!R95,安値!T95&lt;安値!U95,安値!T95&lt;安値!V95),15,""))</f>
        <v/>
      </c>
      <c r="P95" s="503">
        <f>IF(終値!A95="","",IF(AND(安値!U95&lt;安値!T95,安値!U95&lt;安値!S95,安値!U95&lt;安値!V95,安値!U95&lt;安値!W95),16,""))</f>
        <v>16</v>
      </c>
      <c r="Q95" s="503" t="str">
        <f>IF(終値!A95="","",IF(AND(安値!V95&lt;安値!U95,安値!V95&lt;安値!T95,安値!V95&lt;安値!W95,安値!V95&lt;安値!X95),17,""))</f>
        <v/>
      </c>
      <c r="R95" s="503" t="str">
        <f>IF(終値!A95="","",IF(AND(安値!W95&lt;安値!V95,安値!W95&lt;安値!U95,安値!W95&lt;安値!X95,安値!W95&lt;安値!Y95),18,""))</f>
        <v/>
      </c>
      <c r="S95" s="503" t="str">
        <f>IF(終値!A95="","",IF(AND(安値!X95&lt;安値!W95,安値!X95&lt;安値!V95,安値!X95&lt;安値!Y95,安値!X95&lt;安値!Z95),19,""))</f>
        <v/>
      </c>
      <c r="T95" s="503" t="str">
        <f>IF(終値!A95="","",IF(AND(安値!Y95&lt;安値!X95,安値!Y95&lt;安値!W95,安値!Y95&lt;安値!Z95,安値!Y95&lt;安値!AA95),20,""))</f>
        <v/>
      </c>
      <c r="U95" s="503" t="str">
        <f>IF(終値!A95="","",IF(AND(安値!Z95&lt;安値!Y95,安値!Z95&lt;安値!X95,安値!Z95&lt;安値!AA95,安値!Z95&lt;安値!AB95),21,""))</f>
        <v/>
      </c>
      <c r="V95" s="503" t="str">
        <f>IF(終値!A95="","",IF(AND(安値!AA95&lt;安値!Z95,安値!AA95&lt;安値!Y95,安値!AA95&lt;安値!AB95,安値!AA95&lt;安値!AC95),22,""))</f>
        <v/>
      </c>
      <c r="W95" s="503" t="str">
        <f>IF(終値!A95="","",IF(AND(安値!AB95&lt;安値!AA95,安値!AB95&lt;安値!Z95,安値!AB95&lt;安値!AC95,安値!AB95&lt;安値!AD95),23,""))</f>
        <v/>
      </c>
      <c r="X95" s="503" t="str">
        <f>IF(終値!A95="","",IF(AND(安値!AC95&lt;安値!AB95,安値!AC95&lt;安値!AA95,安値!AC95&lt;安値!AD95,安値!AC95&lt;安値!AE95),24,""))</f>
        <v/>
      </c>
      <c r="Y95" s="503">
        <f>IF(終値!A95="","",IF(AND(安値!AD95&lt;安値!AC95,安値!AD95&lt;安値!AB95,安値!AD95&lt;安値!AE95,安値!AD95&lt;安値!AF95),25,""))</f>
        <v>25</v>
      </c>
      <c r="Z95" s="503" t="str">
        <f>IF(終値!A95="","",IF(AND(安値!AE95&lt;安値!AD95,安値!AE95&lt;安値!AC95,安値!AE95&lt;安値!AF95,安値!AE95&lt;安値!AG95),26,""))</f>
        <v/>
      </c>
      <c r="AA95" s="503" t="str">
        <f>IF(終値!A95="","",IF(AND(安値!AF95&lt;安値!AE95,安値!AF95&lt;安値!AD95,安値!AF95&lt;安値!AG95,安値!AF95&lt;安値!AH95),27,""))</f>
        <v/>
      </c>
      <c r="AB95" s="503" t="str">
        <f>IF(終値!A95="","",IF(AND(安値!AG95&lt;安値!AF95,安値!AG95&lt;安値!AE95,安値!AG95&lt;安値!AH95,安値!AG95&lt;安値!AI95),28,""))</f>
        <v/>
      </c>
      <c r="AC95" s="503" t="str">
        <f>IF(終値!A95="","",IF(AND(高値!G95&gt;高値!F95,高値!G95&gt;高値!E95,高値!G95&gt;高値!H95,高値!G95&gt;高値!I95),2,""))</f>
        <v/>
      </c>
      <c r="AD95" s="503" t="str">
        <f>IF(終値!A95="","",IF(AND(高値!H95&gt;高値!G95,高値!H95&gt;高値!F95,高値!H95&gt;高値!I95,高値!H95&gt;高値!J95),3,""))</f>
        <v/>
      </c>
      <c r="AE95" s="503" t="str">
        <f>IF(終値!A95="","",IF(AND(高値!I95&gt;高値!H95,高値!I95&gt;高値!G95,高値!I95&gt;高値!J95,高値!I95&gt;高値!K95),4,""))</f>
        <v/>
      </c>
      <c r="AF95" s="503" t="str">
        <f>IF(終値!A95="","",IF(AND(高値!J95&gt;高値!I95,高値!J95&gt;高値!H95,高値!J95&gt;高値!K95,高値!J95&gt;高値!L95),5,""))</f>
        <v/>
      </c>
      <c r="AG95" s="503" t="str">
        <f>IF(終値!A95="","",IF(AND(高値!K95&gt;高値!J95,高値!K95&gt;高値!I95,高値!K95&gt;高値!L95,高値!K95&gt;高値!M95),6,""))</f>
        <v/>
      </c>
      <c r="AH95" s="503" t="str">
        <f>IF(終値!A95="","",IF(AND(高値!L95&gt;高値!K95,高値!L95&gt;高値!J95,高値!L95&gt;高値!M95,高値!L95&gt;高値!N95),7,""))</f>
        <v/>
      </c>
      <c r="AI95" s="503" t="str">
        <f>IF(終値!A95="","",IF(AND(高値!M95&gt;高値!L95,高値!M95&gt;高値!K95,高値!M95&gt;高値!N95,高値!M95&gt;高値!O95),8,""))</f>
        <v/>
      </c>
      <c r="AJ95" s="503" t="str">
        <f>IF(終値!A95="","",IF(AND(高値!N95&gt;高値!M95,高値!N95&gt;高値!L95,高値!N95&gt;高値!O95,高値!N95&gt;高値!P95),9,""))</f>
        <v/>
      </c>
      <c r="AK95" s="503" t="str">
        <f>IF(終値!A95="","",IF(AND(高値!O95&gt;高値!N95,高値!O95&gt;高値!M95,高値!O95&gt;高値!P95,高値!O95&gt;高値!Q95),10,""))</f>
        <v/>
      </c>
      <c r="AL95" s="503">
        <f>IF(終値!A95="","",IF(AND(高値!P95&gt;高値!O95,高値!P95&gt;高値!N95,高値!P95&gt;高値!Q95,高値!P95&gt;高値!R95),11,""))</f>
        <v>11</v>
      </c>
      <c r="AM95" s="503" t="str">
        <f>IF(終値!A95="","",IF(AND(高値!Q95&gt;高値!P95,高値!Q95&gt;高値!O95,高値!Q95&gt;高値!R95,高値!Q95&gt;高値!S95),12,""))</f>
        <v/>
      </c>
      <c r="AN95" s="503" t="str">
        <f>IF(終値!A95="","",IF(AND(高値!R95&gt;高値!Q95,高値!R95&gt;高値!P95,高値!R95&gt;高値!S95,高値!R95&gt;高値!T95),13,""))</f>
        <v/>
      </c>
      <c r="AO95" s="503">
        <f>IF(終値!A95="","",IF(AND(高値!S95&gt;高値!R95,高値!S95&gt;高値!Q95,高値!S95&gt;高値!T95,高値!S95&gt;高値!U95),14,""))</f>
        <v>14</v>
      </c>
      <c r="AP95" s="503" t="str">
        <f>IF(終値!A95="","",IF(AND(高値!T95&gt;高値!S95,高値!T95&gt;高値!R95,高値!T95&gt;高値!U95,高値!T95&gt;高値!V95),15,""))</f>
        <v/>
      </c>
      <c r="AQ95" s="503" t="str">
        <f>IF(終値!A95="","",IF(AND(高値!U95&gt;高値!T95,高値!U95&gt;高値!S95,高値!U95&gt;高値!V95,高値!U95&gt;高値!W95),16,""))</f>
        <v/>
      </c>
      <c r="AR95" s="503" t="str">
        <f>IF(終値!A95="","",IF(AND(高値!V95&gt;高値!U95,高値!V95&gt;高値!T95,高値!V95&gt;高値!W95,高値!V95&gt;高値!X95),17,""))</f>
        <v/>
      </c>
      <c r="AS95" s="503" t="str">
        <f>IF(終値!A95="","",IF(AND(高値!W95&gt;高値!V95,高値!W95&gt;高値!U95,高値!W95&gt;高値!X95,高値!W95&gt;高値!Y95),18,""))</f>
        <v/>
      </c>
      <c r="AT95" s="503" t="str">
        <f>IF(終値!A95="","",IF(AND(高値!X95&gt;高値!W95,高値!X95&gt;高値!V95,高値!X95&gt;高値!Y95,高値!X95&gt;高値!Z95),19,""))</f>
        <v/>
      </c>
      <c r="AU95" s="503" t="str">
        <f>IF(終値!A95="","",IF(AND(高値!Y95&gt;高値!X95,高値!Y95&gt;高値!W95,高値!Y95&gt;高値!Z95,高値!Y95&gt;高値!AA95),20,""))</f>
        <v/>
      </c>
      <c r="AV95" s="503">
        <f>IF(終値!A95="","",IF(AND(高値!Z95&gt;高値!Y95,高値!Z95&gt;高値!X95,高値!Z95&gt;高値!AA95,高値!Z95&gt;高値!AB95),21,""))</f>
        <v>21</v>
      </c>
      <c r="AW95" s="503" t="str">
        <f>IF(終値!A95="","",IF(AND(高値!AA95&gt;高値!Z95,高値!AA95&gt;高値!Y95,高値!AA95&gt;高値!AB95,高値!AA95&gt;高値!AC95),22,""))</f>
        <v/>
      </c>
      <c r="AX95" s="503" t="str">
        <f>IF(終値!A95="","",IF(AND(高値!AB95&gt;高値!AA95,高値!AB95&gt;高値!Z95,高値!AB95&gt;高値!AC95,高値!AB95&gt;高値!AD95),23,""))</f>
        <v/>
      </c>
      <c r="AY95" s="503" t="str">
        <f>IF(終値!A95="","",IF(AND(高値!AC95&gt;高値!AB95,高値!AC95&gt;高値!AA95,高値!AC95&gt;高値!AD95,高値!AC95&gt;高値!AE95),24,""))</f>
        <v/>
      </c>
      <c r="AZ95" s="503" t="str">
        <f>IF(終値!A95="","",IF(AND(高値!AD95&gt;高値!AC95,高値!AD95&gt;高値!AB95,高値!AD95&gt;高値!AE95,高値!AD95&gt;高値!AF95),25,""))</f>
        <v/>
      </c>
      <c r="BA95" s="503" t="str">
        <f>IF(終値!A95="","",IF(AND(高値!AE95&gt;高値!AD95,高値!AE95&gt;高値!AC95,高値!AE95&gt;高値!AF95,高値!AE95&gt;高値!AG95),26,""))</f>
        <v/>
      </c>
      <c r="BB95" s="503">
        <f>IF(終値!A95="","",IF(AND(高値!AF95&gt;高値!AE95,高値!AF95&gt;高値!AD95,高値!AF95&gt;高値!AG95,高値!AF95&gt;高値!AH95),27,""))</f>
        <v>27</v>
      </c>
      <c r="BC95" s="503" t="str">
        <f>IF(終値!A95="","",IF(AND(高値!AG95&gt;高値!AF95,高値!AG95&gt;高値!AE95,高値!AG95&gt;高値!AH95,高値!AG95&gt;高値!AI95),28,""))</f>
        <v/>
      </c>
      <c r="BD95" s="503">
        <f t="shared" si="6"/>
        <v>6</v>
      </c>
      <c r="BE95" s="503">
        <f t="shared" si="7"/>
        <v>3</v>
      </c>
      <c r="BF95" s="503">
        <f t="shared" si="8"/>
        <v>6</v>
      </c>
      <c r="BG95" s="503">
        <f>IF($BE95="","",INDEX(安値!$E95:$CZ95,1,$BE95+1))</f>
        <v>1199</v>
      </c>
      <c r="BH95" s="503">
        <f>IF($BF95="","",INDEX(安値!$E95:$CZ95,1,$BF95+1))</f>
        <v>1195</v>
      </c>
      <c r="BI95" s="503">
        <f>IF($BF95="","",MAX(INDEX(高値!$E95:$CZ95,1,$BE95+1):INDEX(高値!$E95:$CZ95,1,$BF95+1)))</f>
        <v>1247</v>
      </c>
      <c r="BJ95" s="503">
        <f>IF($BF95="","",AVERAGE(INDEX(終値!$E95:$CZ95,1,$BF95+1):INDEX(終値!$E95:$CZ95,1,$BF95+20))-2*STDEVP(INDEX(終値!$E95:$CZ95,1,$BF95+1):INDEX(終値!$E95:$CZ95,1,$BF95+20)))</f>
        <v>1218.8792056575858</v>
      </c>
      <c r="BK95" s="503">
        <f>IF($BE95="","",AVERAGE(INDEX(終値!$E95:$CZ95,1,$BE95+1):INDEX(終値!$E95:$CZ95,1,$BE95+20))-2*STDEVP(INDEX(終値!$E95:$CZ95,1,$BE95+1):INDEX(終値!$E95:$CZ95,1,$BE95+20)))</f>
        <v>1194.0330130409686</v>
      </c>
      <c r="BL95" s="503">
        <f t="shared" si="9"/>
        <v>4</v>
      </c>
      <c r="BM95" s="503">
        <f t="shared" si="10"/>
        <v>11</v>
      </c>
      <c r="BN95" s="503">
        <f t="shared" si="11"/>
        <v>14</v>
      </c>
      <c r="BO95" s="503">
        <f>IF($BM95="","",INDEX(高値!$E95:$CZ95,1,$BM95+1))</f>
        <v>1318</v>
      </c>
      <c r="BP95" s="503">
        <f>IF($BN95="","",INDEX(高値!$E95:$CZ95,1,$BN95+1))</f>
        <v>1318</v>
      </c>
      <c r="BQ95" s="503">
        <f>IF($BN95="","",MIN(INDEX(安値!$E95:$CZ95,1,$BM95+1):INDEX(安値!$E95:$CZ95,1,$BN95+1)))</f>
        <v>1242</v>
      </c>
      <c r="BR95" s="503">
        <f>IF($BN95="","",AVERAGE(INDEX(終値!$E95:$CZ95,1,$BN95+1):INDEX(終値!$E95:$CZ95,1,$BN95+20))+2*STDEVP(INDEX(終値!$E95:$CZ95,1,$BN95+1):INDEX(終値!$E95:$CZ95,1,$BN95+20)))</f>
        <v>1358.9617136060392</v>
      </c>
      <c r="BS95" s="503">
        <f>IF($BM95="","",AVERAGE(INDEX(終値!$E95:$CZ95,1,$BM95+1):INDEX(終値!$E95:$CZ95,1,$BM95+20))+2*STDEVP(INDEX(終値!$E95:$CZ95,1,$BM95+1):INDEX(終値!$E95:$CZ95,1,$BM95+20)))</f>
        <v>1348.2804461184896</v>
      </c>
      <c r="BT95" s="500"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二番底W▲</v>
      </c>
    </row>
    <row r="96" spans="2:72">
      <c r="B96" s="503" t="str">
        <f>IF(終値!A96="","",IF(AND(安値!G96&lt;安値!F96,安値!G96&lt;安値!E96,安値!G96&lt;安値!H96,安値!G96&lt;安値!I96),2,""))</f>
        <v/>
      </c>
      <c r="C96" s="503" t="str">
        <f>IF(終値!A96="","",IF(AND(安値!H96&lt;安値!G96,安値!H96&lt;安値!F96,安値!H96&lt;安値!I96,安値!H96&lt;安値!J96),3,""))</f>
        <v/>
      </c>
      <c r="D96" s="503" t="str">
        <f>IF(終値!A96="","",IF(AND(安値!I96&lt;安値!H96,安値!I96&lt;安値!G96,安値!I96&lt;安値!J96,安値!I96&lt;安値!K96),4,""))</f>
        <v/>
      </c>
      <c r="E96" s="503" t="str">
        <f>IF(終値!A96="","",IF(AND(安値!J96&lt;安値!I96,安値!J96&lt;安値!H96,安値!J96&lt;安値!K96,安値!J96&lt;安値!L96),5,""))</f>
        <v/>
      </c>
      <c r="F96" s="503">
        <f>IF(終値!A96="","",IF(AND(安値!K96&lt;安値!J96,安値!K96&lt;安値!I96,安値!K96&lt;安値!L96,安値!K96&lt;安値!M96),6,""))</f>
        <v>6</v>
      </c>
      <c r="G96" s="503" t="str">
        <f>IF(終値!A96="","",IF(AND(安値!L96&lt;安値!K96,安値!L96&lt;安値!J96,安値!L96&lt;安値!M96,安値!L96&lt;安値!N96),7,""))</f>
        <v/>
      </c>
      <c r="H96" s="503" t="str">
        <f>IF(終値!A96="","",IF(AND(安値!M96&lt;安値!L96,安値!M96&lt;安値!K96,安値!M96&lt;安値!N96,安値!M96&lt;安値!O96),8,""))</f>
        <v/>
      </c>
      <c r="I96" s="503" t="str">
        <f>IF(終値!A96="","",IF(AND(安値!N96&lt;安値!M96,安値!N96&lt;安値!L96,安値!N96&lt;安値!O96,安値!N96&lt;安値!P96),9,""))</f>
        <v/>
      </c>
      <c r="J96" s="503" t="str">
        <f>IF(終値!A96="","",IF(AND(安値!O96&lt;安値!N96,安値!O96&lt;安値!M96,安値!O96&lt;安値!P96,安値!O96&lt;安値!Q96),10,""))</f>
        <v/>
      </c>
      <c r="K96" s="503" t="str">
        <f>IF(終値!A96="","",IF(AND(安値!P96&lt;安値!O96,安値!P96&lt;安値!N96,安値!P96&lt;安値!Q96,安値!P96&lt;安値!R96),11,""))</f>
        <v/>
      </c>
      <c r="L96" s="503" t="str">
        <f>IF(終値!A96="","",IF(AND(安値!Q96&lt;安値!P96,安値!Q96&lt;安値!O96,安値!Q96&lt;安値!R96,安値!Q96&lt;安値!S96),12,""))</f>
        <v/>
      </c>
      <c r="M96" s="503">
        <f>IF(終値!A96="","",IF(AND(安値!R96&lt;安値!Q96,安値!R96&lt;安値!P96,安値!R96&lt;安値!S96,安値!R96&lt;安値!T96),13,""))</f>
        <v>13</v>
      </c>
      <c r="N96" s="503" t="str">
        <f>IF(終値!A96="","",IF(AND(安値!S96&lt;安値!R96,安値!S96&lt;安値!Q96,安値!S96&lt;安値!T96,安値!S96&lt;安値!U96),14,""))</f>
        <v/>
      </c>
      <c r="O96" s="503" t="str">
        <f>IF(終値!A96="","",IF(AND(安値!T96&lt;安値!S96,安値!T96&lt;安値!R96,安値!T96&lt;安値!U96,安値!T96&lt;安値!V96),15,""))</f>
        <v/>
      </c>
      <c r="P96" s="503" t="str">
        <f>IF(終値!A96="","",IF(AND(安値!U96&lt;安値!T96,安値!U96&lt;安値!S96,安値!U96&lt;安値!V96,安値!U96&lt;安値!W96),16,""))</f>
        <v/>
      </c>
      <c r="Q96" s="503" t="str">
        <f>IF(終値!A96="","",IF(AND(安値!V96&lt;安値!U96,安値!V96&lt;安値!T96,安値!V96&lt;安値!W96,安値!V96&lt;安値!X96),17,""))</f>
        <v/>
      </c>
      <c r="R96" s="503" t="str">
        <f>IF(終値!A96="","",IF(AND(安値!W96&lt;安値!V96,安値!W96&lt;安値!U96,安値!W96&lt;安値!X96,安値!W96&lt;安値!Y96),18,""))</f>
        <v/>
      </c>
      <c r="S96" s="503">
        <f>IF(終値!A96="","",IF(AND(安値!X96&lt;安値!W96,安値!X96&lt;安値!V96,安値!X96&lt;安値!Y96,安値!X96&lt;安値!Z96),19,""))</f>
        <v>19</v>
      </c>
      <c r="T96" s="503" t="str">
        <f>IF(終値!A96="","",IF(AND(安値!Y96&lt;安値!X96,安値!Y96&lt;安値!W96,安値!Y96&lt;安値!Z96,安値!Y96&lt;安値!AA96),20,""))</f>
        <v/>
      </c>
      <c r="U96" s="503" t="str">
        <f>IF(終値!A96="","",IF(AND(安値!Z96&lt;安値!Y96,安値!Z96&lt;安値!X96,安値!Z96&lt;安値!AA96,安値!Z96&lt;安値!AB96),21,""))</f>
        <v/>
      </c>
      <c r="V96" s="503" t="str">
        <f>IF(終値!A96="","",IF(AND(安値!AA96&lt;安値!Z96,安値!AA96&lt;安値!Y96,安値!AA96&lt;安値!AB96,安値!AA96&lt;安値!AC96),22,""))</f>
        <v/>
      </c>
      <c r="W96" s="503" t="str">
        <f>IF(終値!A96="","",IF(AND(安値!AB96&lt;安値!AA96,安値!AB96&lt;安値!Z96,安値!AB96&lt;安値!AC96,安値!AB96&lt;安値!AD96),23,""))</f>
        <v/>
      </c>
      <c r="X96" s="503" t="str">
        <f>IF(終値!A96="","",IF(AND(安値!AC96&lt;安値!AB96,安値!AC96&lt;安値!AA96,安値!AC96&lt;安値!AD96,安値!AC96&lt;安値!AE96),24,""))</f>
        <v/>
      </c>
      <c r="Y96" s="503" t="str">
        <f>IF(終値!A96="","",IF(AND(安値!AD96&lt;安値!AC96,安値!AD96&lt;安値!AB96,安値!AD96&lt;安値!AE96,安値!AD96&lt;安値!AF96),25,""))</f>
        <v/>
      </c>
      <c r="Z96" s="503">
        <f>IF(終値!A96="","",IF(AND(安値!AE96&lt;安値!AD96,安値!AE96&lt;安値!AC96,安値!AE96&lt;安値!AF96,安値!AE96&lt;安値!AG96),26,""))</f>
        <v>26</v>
      </c>
      <c r="AA96" s="503" t="str">
        <f>IF(終値!A96="","",IF(AND(安値!AF96&lt;安値!AE96,安値!AF96&lt;安値!AD96,安値!AF96&lt;安値!AG96,安値!AF96&lt;安値!AH96),27,""))</f>
        <v/>
      </c>
      <c r="AB96" s="503" t="str">
        <f>IF(終値!A96="","",IF(AND(安値!AG96&lt;安値!AF96,安値!AG96&lt;安値!AE96,安値!AG96&lt;安値!AH96,安値!AG96&lt;安値!AI96),28,""))</f>
        <v/>
      </c>
      <c r="AC96" s="503" t="str">
        <f>IF(終値!A96="","",IF(AND(高値!G96&gt;高値!F96,高値!G96&gt;高値!E96,高値!G96&gt;高値!H96,高値!G96&gt;高値!I96),2,""))</f>
        <v/>
      </c>
      <c r="AD96" s="503" t="str">
        <f>IF(終値!A96="","",IF(AND(高値!H96&gt;高値!G96,高値!H96&gt;高値!F96,高値!H96&gt;高値!I96,高値!H96&gt;高値!J96),3,""))</f>
        <v/>
      </c>
      <c r="AE96" s="503">
        <f>IF(終値!A96="","",IF(AND(高値!I96&gt;高値!H96,高値!I96&gt;高値!G96,高値!I96&gt;高値!J96,高値!I96&gt;高値!K96),4,""))</f>
        <v>4</v>
      </c>
      <c r="AF96" s="503" t="str">
        <f>IF(終値!A96="","",IF(AND(高値!J96&gt;高値!I96,高値!J96&gt;高値!H96,高値!J96&gt;高値!K96,高値!J96&gt;高値!L96),5,""))</f>
        <v/>
      </c>
      <c r="AG96" s="503" t="str">
        <f>IF(終値!A96="","",IF(AND(高値!K96&gt;高値!J96,高値!K96&gt;高値!I96,高値!K96&gt;高値!L96,高値!K96&gt;高値!M96),6,""))</f>
        <v/>
      </c>
      <c r="AH96" s="503" t="str">
        <f>IF(終値!A96="","",IF(AND(高値!L96&gt;高値!K96,高値!L96&gt;高値!J96,高値!L96&gt;高値!M96,高値!L96&gt;高値!N96),7,""))</f>
        <v/>
      </c>
      <c r="AI96" s="503" t="str">
        <f>IF(終値!A96="","",IF(AND(高値!M96&gt;高値!L96,高値!M96&gt;高値!K96,高値!M96&gt;高値!N96,高値!M96&gt;高値!O96),8,""))</f>
        <v/>
      </c>
      <c r="AJ96" s="503" t="str">
        <f>IF(終値!A96="","",IF(AND(高値!N96&gt;高値!M96,高値!N96&gt;高値!L96,高値!N96&gt;高値!O96,高値!N96&gt;高値!P96),9,""))</f>
        <v/>
      </c>
      <c r="AK96" s="503" t="str">
        <f>IF(終値!A96="","",IF(AND(高値!O96&gt;高値!N96,高値!O96&gt;高値!M96,高値!O96&gt;高値!P96,高値!O96&gt;高値!Q96),10,""))</f>
        <v/>
      </c>
      <c r="AL96" s="503">
        <f>IF(終値!A96="","",IF(AND(高値!P96&gt;高値!O96,高値!P96&gt;高値!N96,高値!P96&gt;高値!Q96,高値!P96&gt;高値!R96),11,""))</f>
        <v>11</v>
      </c>
      <c r="AM96" s="503" t="str">
        <f>IF(終値!A96="","",IF(AND(高値!Q96&gt;高値!P96,高値!Q96&gt;高値!O96,高値!Q96&gt;高値!R96,高値!Q96&gt;高値!S96),12,""))</f>
        <v/>
      </c>
      <c r="AN96" s="503" t="str">
        <f>IF(終値!A96="","",IF(AND(高値!R96&gt;高値!Q96,高値!R96&gt;高値!P96,高値!R96&gt;高値!S96,高値!R96&gt;高値!T96),13,""))</f>
        <v/>
      </c>
      <c r="AO96" s="503" t="str">
        <f>IF(終値!A96="","",IF(AND(高値!S96&gt;高値!R96,高値!S96&gt;高値!Q96,高値!S96&gt;高値!T96,高値!S96&gt;高値!U96),14,""))</f>
        <v/>
      </c>
      <c r="AP96" s="503" t="str">
        <f>IF(終値!A96="","",IF(AND(高値!T96&gt;高値!S96,高値!T96&gt;高値!R96,高値!T96&gt;高値!U96,高値!T96&gt;高値!V96),15,""))</f>
        <v/>
      </c>
      <c r="AQ96" s="503" t="str">
        <f>IF(終値!A96="","",IF(AND(高値!U96&gt;高値!T96,高値!U96&gt;高値!S96,高値!U96&gt;高値!V96,高値!U96&gt;高値!W96),16,""))</f>
        <v/>
      </c>
      <c r="AR96" s="503">
        <f>IF(終値!A96="","",IF(AND(高値!V96&gt;高値!U96,高値!V96&gt;高値!T96,高値!V96&gt;高値!W96,高値!V96&gt;高値!X96),17,""))</f>
        <v>17</v>
      </c>
      <c r="AS96" s="503" t="str">
        <f>IF(終値!A96="","",IF(AND(高値!W96&gt;高値!V96,高値!W96&gt;高値!U96,高値!W96&gt;高値!X96,高値!W96&gt;高値!Y96),18,""))</f>
        <v/>
      </c>
      <c r="AT96" s="503" t="str">
        <f>IF(終値!A96="","",IF(AND(高値!X96&gt;高値!W96,高値!X96&gt;高値!V96,高値!X96&gt;高値!Y96,高値!X96&gt;高値!Z96),19,""))</f>
        <v/>
      </c>
      <c r="AU96" s="503" t="str">
        <f>IF(終値!A96="","",IF(AND(高値!Y96&gt;高値!X96,高値!Y96&gt;高値!W96,高値!Y96&gt;高値!Z96,高値!Y96&gt;高値!AA96),20,""))</f>
        <v/>
      </c>
      <c r="AV96" s="503" t="str">
        <f>IF(終値!A96="","",IF(AND(高値!Z96&gt;高値!Y96,高値!Z96&gt;高値!X96,高値!Z96&gt;高値!AA96,高値!Z96&gt;高値!AB96),21,""))</f>
        <v/>
      </c>
      <c r="AW96" s="503" t="str">
        <f>IF(終値!A96="","",IF(AND(高値!AA96&gt;高値!Z96,高値!AA96&gt;高値!Y96,高値!AA96&gt;高値!AB96,高値!AA96&gt;高値!AC96),22,""))</f>
        <v/>
      </c>
      <c r="AX96" s="503" t="str">
        <f>IF(終値!A96="","",IF(AND(高値!AB96&gt;高値!AA96,高値!AB96&gt;高値!Z96,高値!AB96&gt;高値!AC96,高値!AB96&gt;高値!AD96),23,""))</f>
        <v/>
      </c>
      <c r="AY96" s="503">
        <f>IF(終値!A96="","",IF(AND(高値!AC96&gt;高値!AB96,高値!AC96&gt;高値!AA96,高値!AC96&gt;高値!AD96,高値!AC96&gt;高値!AE96),24,""))</f>
        <v>24</v>
      </c>
      <c r="AZ96" s="503" t="str">
        <f>IF(終値!A96="","",IF(AND(高値!AD96&gt;高値!AC96,高値!AD96&gt;高値!AB96,高値!AD96&gt;高値!AE96,高値!AD96&gt;高値!AF96),25,""))</f>
        <v/>
      </c>
      <c r="BA96" s="503" t="str">
        <f>IF(終値!A96="","",IF(AND(高値!AE96&gt;高値!AD96,高値!AE96&gt;高値!AC96,高値!AE96&gt;高値!AF96,高値!AE96&gt;高値!AG96),26,""))</f>
        <v/>
      </c>
      <c r="BB96" s="503">
        <f>IF(終値!A96="","",IF(AND(高値!AF96&gt;高値!AE96,高値!AF96&gt;高値!AD96,高値!AF96&gt;高値!AG96,高値!AF96&gt;高値!AH96),27,""))</f>
        <v>27</v>
      </c>
      <c r="BC96" s="503" t="str">
        <f>IF(終値!A96="","",IF(AND(高値!AG96&gt;高値!AF96,高値!AG96&gt;高値!AE96,高値!AG96&gt;高値!AH96,高値!AG96&gt;高値!AI96),28,""))</f>
        <v/>
      </c>
      <c r="BD96" s="503">
        <f t="shared" si="6"/>
        <v>4</v>
      </c>
      <c r="BE96" s="503">
        <f t="shared" si="7"/>
        <v>6</v>
      </c>
      <c r="BF96" s="503">
        <f t="shared" si="8"/>
        <v>13</v>
      </c>
      <c r="BG96" s="503">
        <f>IF($BE96="","",INDEX(安値!$E96:$CZ96,1,$BE96+1))</f>
        <v>12980</v>
      </c>
      <c r="BH96" s="503">
        <f>IF($BF96="","",INDEX(安値!$E96:$CZ96,1,$BF96+1))</f>
        <v>14860</v>
      </c>
      <c r="BI96" s="503">
        <f>IF($BF96="","",MAX(INDEX(高値!$E96:$CZ96,1,$BE96+1):INDEX(高値!$E96:$CZ96,1,$BF96+1)))</f>
        <v>19820</v>
      </c>
      <c r="BJ96" s="503">
        <f>IF($BF96="","",AVERAGE(INDEX(終値!$E96:$CZ96,1,$BF96+1):INDEX(終値!$E96:$CZ96,1,$BF96+20))-2*STDEVP(INDEX(終値!$E96:$CZ96,1,$BF96+1):INDEX(終値!$E96:$CZ96,1,$BF96+20)))</f>
        <v>16074.271987767734</v>
      </c>
      <c r="BK96" s="503">
        <f>IF($BE96="","",AVERAGE(INDEX(終値!$E96:$CZ96,1,$BE96+1):INDEX(終値!$E96:$CZ96,1,$BE96+20))-2*STDEVP(INDEX(終値!$E96:$CZ96,1,$BE96+1):INDEX(終値!$E96:$CZ96,1,$BE96+20)))</f>
        <v>13103.92446089815</v>
      </c>
      <c r="BL96" s="503">
        <f t="shared" si="9"/>
        <v>5</v>
      </c>
      <c r="BM96" s="503">
        <f t="shared" si="10"/>
        <v>4</v>
      </c>
      <c r="BN96" s="503">
        <f t="shared" si="11"/>
        <v>11</v>
      </c>
      <c r="BO96" s="503">
        <f>IF($BM96="","",INDEX(高値!$E96:$CZ96,1,$BM96+1))</f>
        <v>16650</v>
      </c>
      <c r="BP96" s="503">
        <f>IF($BN96="","",INDEX(高値!$E96:$CZ96,1,$BN96+1))</f>
        <v>19820</v>
      </c>
      <c r="BQ96" s="503">
        <f>IF($BN96="","",MIN(INDEX(安値!$E96:$CZ96,1,$BM96+1):INDEX(安値!$E96:$CZ96,1,$BN96+1)))</f>
        <v>12980</v>
      </c>
      <c r="BR96" s="503">
        <f>IF($BN96="","",AVERAGE(INDEX(終値!$E96:$CZ96,1,$BN96+1):INDEX(終値!$E96:$CZ96,1,$BN96+20))+2*STDEVP(INDEX(終値!$E96:$CZ96,1,$BN96+1):INDEX(終値!$E96:$CZ96,1,$BN96+20)))</f>
        <v>27425.729268784889</v>
      </c>
      <c r="BS96" s="503">
        <f>IF($BM96="","",AVERAGE(INDEX(終値!$E96:$CZ96,1,$BM96+1):INDEX(終値!$E96:$CZ96,1,$BM96+20))+2*STDEVP(INDEX(終値!$E96:$CZ96,1,$BM96+1):INDEX(終値!$E96:$CZ96,1,$BM96+20)))</f>
        <v>23580.860493854489</v>
      </c>
      <c r="BT96" s="500"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v>
      </c>
    </row>
    <row r="97" spans="2:72">
      <c r="B97" s="503" t="str">
        <f>IF(終値!A97="","",IF(AND(安値!G97&lt;安値!F97,安値!G97&lt;安値!E97,安値!G97&lt;安値!H97,安値!G97&lt;安値!I97),2,""))</f>
        <v/>
      </c>
      <c r="C97" s="503" t="str">
        <f>IF(終値!A97="","",IF(AND(安値!H97&lt;安値!G97,安値!H97&lt;安値!F97,安値!H97&lt;安値!I97,安値!H97&lt;安値!J97),3,""))</f>
        <v/>
      </c>
      <c r="D97" s="503" t="str">
        <f>IF(終値!A97="","",IF(AND(安値!I97&lt;安値!H97,安値!I97&lt;安値!G97,安値!I97&lt;安値!J97,安値!I97&lt;安値!K97),4,""))</f>
        <v/>
      </c>
      <c r="E97" s="503">
        <f>IF(終値!A97="","",IF(AND(安値!J97&lt;安値!I97,安値!J97&lt;安値!H97,安値!J97&lt;安値!K97,安値!J97&lt;安値!L97),5,""))</f>
        <v>5</v>
      </c>
      <c r="F97" s="503" t="str">
        <f>IF(終値!A97="","",IF(AND(安値!K97&lt;安値!J97,安値!K97&lt;安値!I97,安値!K97&lt;安値!L97,安値!K97&lt;安値!M97),6,""))</f>
        <v/>
      </c>
      <c r="G97" s="503" t="str">
        <f>IF(終値!A97="","",IF(AND(安値!L97&lt;安値!K97,安値!L97&lt;安値!J97,安値!L97&lt;安値!M97,安値!L97&lt;安値!N97),7,""))</f>
        <v/>
      </c>
      <c r="H97" s="503" t="str">
        <f>IF(終値!A97="","",IF(AND(安値!M97&lt;安値!L97,安値!M97&lt;安値!K97,安値!M97&lt;安値!N97,安値!M97&lt;安値!O97),8,""))</f>
        <v/>
      </c>
      <c r="I97" s="503" t="str">
        <f>IF(終値!A97="","",IF(AND(安値!N97&lt;安値!M97,安値!N97&lt;安値!L97,安値!N97&lt;安値!O97,安値!N97&lt;安値!P97),9,""))</f>
        <v/>
      </c>
      <c r="J97" s="503" t="str">
        <f>IF(終値!A97="","",IF(AND(安値!O97&lt;安値!N97,安値!O97&lt;安値!M97,安値!O97&lt;安値!P97,安値!O97&lt;安値!Q97),10,""))</f>
        <v/>
      </c>
      <c r="K97" s="503" t="str">
        <f>IF(終値!A97="","",IF(AND(安値!P97&lt;安値!O97,安値!P97&lt;安値!N97,安値!P97&lt;安値!Q97,安値!P97&lt;安値!R97),11,""))</f>
        <v/>
      </c>
      <c r="L97" s="503" t="str">
        <f>IF(終値!A97="","",IF(AND(安値!Q97&lt;安値!P97,安値!Q97&lt;安値!O97,安値!Q97&lt;安値!R97,安値!Q97&lt;安値!S97),12,""))</f>
        <v/>
      </c>
      <c r="M97" s="503">
        <f>IF(終値!A97="","",IF(AND(安値!R97&lt;安値!Q97,安値!R97&lt;安値!P97,安値!R97&lt;安値!S97,安値!R97&lt;安値!T97),13,""))</f>
        <v>13</v>
      </c>
      <c r="N97" s="503" t="str">
        <f>IF(終値!A97="","",IF(AND(安値!S97&lt;安値!R97,安値!S97&lt;安値!Q97,安値!S97&lt;安値!T97,安値!S97&lt;安値!U97),14,""))</f>
        <v/>
      </c>
      <c r="O97" s="503" t="str">
        <f>IF(終値!A97="","",IF(AND(安値!T97&lt;安値!S97,安値!T97&lt;安値!R97,安値!T97&lt;安値!U97,安値!T97&lt;安値!V97),15,""))</f>
        <v/>
      </c>
      <c r="P97" s="503" t="str">
        <f>IF(終値!A97="","",IF(AND(安値!U97&lt;安値!T97,安値!U97&lt;安値!S97,安値!U97&lt;安値!V97,安値!U97&lt;安値!W97),16,""))</f>
        <v/>
      </c>
      <c r="Q97" s="503" t="str">
        <f>IF(終値!A97="","",IF(AND(安値!V97&lt;安値!U97,安値!V97&lt;安値!T97,安値!V97&lt;安値!W97,安値!V97&lt;安値!X97),17,""))</f>
        <v/>
      </c>
      <c r="R97" s="503" t="str">
        <f>IF(終値!A97="","",IF(AND(安値!W97&lt;安値!V97,安値!W97&lt;安値!U97,安値!W97&lt;安値!X97,安値!W97&lt;安値!Y97),18,""))</f>
        <v/>
      </c>
      <c r="S97" s="503">
        <f>IF(終値!A97="","",IF(AND(安値!X97&lt;安値!W97,安値!X97&lt;安値!V97,安値!X97&lt;安値!Y97,安値!X97&lt;安値!Z97),19,""))</f>
        <v>19</v>
      </c>
      <c r="T97" s="503" t="str">
        <f>IF(終値!A97="","",IF(AND(安値!Y97&lt;安値!X97,安値!Y97&lt;安値!W97,安値!Y97&lt;安値!Z97,安値!Y97&lt;安値!AA97),20,""))</f>
        <v/>
      </c>
      <c r="U97" s="503" t="str">
        <f>IF(終値!A97="","",IF(AND(安値!Z97&lt;安値!Y97,安値!Z97&lt;安値!X97,安値!Z97&lt;安値!AA97,安値!Z97&lt;安値!AB97),21,""))</f>
        <v/>
      </c>
      <c r="V97" s="503" t="str">
        <f>IF(終値!A97="","",IF(AND(安値!AA97&lt;安値!Z97,安値!AA97&lt;安値!Y97,安値!AA97&lt;安値!AB97,安値!AA97&lt;安値!AC97),22,""))</f>
        <v/>
      </c>
      <c r="W97" s="503" t="str">
        <f>IF(終値!A97="","",IF(AND(安値!AB97&lt;安値!AA97,安値!AB97&lt;安値!Z97,安値!AB97&lt;安値!AC97,安値!AB97&lt;安値!AD97),23,""))</f>
        <v/>
      </c>
      <c r="X97" s="503" t="str">
        <f>IF(終値!A97="","",IF(AND(安値!AC97&lt;安値!AB97,安値!AC97&lt;安値!AA97,安値!AC97&lt;安値!AD97,安値!AC97&lt;安値!AE97),24,""))</f>
        <v/>
      </c>
      <c r="Y97" s="503" t="str">
        <f>IF(終値!A97="","",IF(AND(安値!AD97&lt;安値!AC97,安値!AD97&lt;安値!AB97,安値!AD97&lt;安値!AE97,安値!AD97&lt;安値!AF97),25,""))</f>
        <v/>
      </c>
      <c r="Z97" s="503">
        <f>IF(終値!A97="","",IF(AND(安値!AE97&lt;安値!AD97,安値!AE97&lt;安値!AC97,安値!AE97&lt;安値!AF97,安値!AE97&lt;安値!AG97),26,""))</f>
        <v>26</v>
      </c>
      <c r="AA97" s="503" t="str">
        <f>IF(終値!A97="","",IF(AND(安値!AF97&lt;安値!AE97,安値!AF97&lt;安値!AD97,安値!AF97&lt;安値!AG97,安値!AF97&lt;安値!AH97),27,""))</f>
        <v/>
      </c>
      <c r="AB97" s="503" t="str">
        <f>IF(終値!A97="","",IF(AND(安値!AG97&lt;安値!AF97,安値!AG97&lt;安値!AE97,安値!AG97&lt;安値!AH97,安値!AG97&lt;安値!AI97),28,""))</f>
        <v/>
      </c>
      <c r="AC97" s="503" t="str">
        <f>IF(終値!A97="","",IF(AND(高値!G97&gt;高値!F97,高値!G97&gt;高値!E97,高値!G97&gt;高値!H97,高値!G97&gt;高値!I97),2,""))</f>
        <v/>
      </c>
      <c r="AD97" s="503" t="str">
        <f>IF(終値!A97="","",IF(AND(高値!H97&gt;高値!G97,高値!H97&gt;高値!F97,高値!H97&gt;高値!I97,高値!H97&gt;高値!J97),3,""))</f>
        <v/>
      </c>
      <c r="AE97" s="503">
        <f>IF(終値!A97="","",IF(AND(高値!I97&gt;高値!H97,高値!I97&gt;高値!G97,高値!I97&gt;高値!J97,高値!I97&gt;高値!K97),4,""))</f>
        <v>4</v>
      </c>
      <c r="AF97" s="503" t="str">
        <f>IF(終値!A97="","",IF(AND(高値!J97&gt;高値!I97,高値!J97&gt;高値!H97,高値!J97&gt;高値!K97,高値!J97&gt;高値!L97),5,""))</f>
        <v/>
      </c>
      <c r="AG97" s="503" t="str">
        <f>IF(終値!A97="","",IF(AND(高値!K97&gt;高値!J97,高値!K97&gt;高値!I97,高値!K97&gt;高値!L97,高値!K97&gt;高値!M97),6,""))</f>
        <v/>
      </c>
      <c r="AH97" s="503" t="str">
        <f>IF(終値!A97="","",IF(AND(高値!L97&gt;高値!K97,高値!L97&gt;高値!J97,高値!L97&gt;高値!M97,高値!L97&gt;高値!N97),7,""))</f>
        <v/>
      </c>
      <c r="AI97" s="503" t="str">
        <f>IF(終値!A97="","",IF(AND(高値!M97&gt;高値!L97,高値!M97&gt;高値!K97,高値!M97&gt;高値!N97,高値!M97&gt;高値!O97),8,""))</f>
        <v/>
      </c>
      <c r="AJ97" s="503" t="str">
        <f>IF(終値!A97="","",IF(AND(高値!N97&gt;高値!M97,高値!N97&gt;高値!L97,高値!N97&gt;高値!O97,高値!N97&gt;高値!P97),9,""))</f>
        <v/>
      </c>
      <c r="AK97" s="503" t="str">
        <f>IF(終値!A97="","",IF(AND(高値!O97&gt;高値!N97,高値!O97&gt;高値!M97,高値!O97&gt;高値!P97,高値!O97&gt;高値!Q97),10,""))</f>
        <v/>
      </c>
      <c r="AL97" s="503">
        <f>IF(終値!A97="","",IF(AND(高値!P97&gt;高値!O97,高値!P97&gt;高値!N97,高値!P97&gt;高値!Q97,高値!P97&gt;高値!R97),11,""))</f>
        <v>11</v>
      </c>
      <c r="AM97" s="503" t="str">
        <f>IF(終値!A97="","",IF(AND(高値!Q97&gt;高値!P97,高値!Q97&gt;高値!O97,高値!Q97&gt;高値!R97,高値!Q97&gt;高値!S97),12,""))</f>
        <v/>
      </c>
      <c r="AN97" s="503" t="str">
        <f>IF(終値!A97="","",IF(AND(高値!R97&gt;高値!Q97,高値!R97&gt;高値!P97,高値!R97&gt;高値!S97,高値!R97&gt;高値!T97),13,""))</f>
        <v/>
      </c>
      <c r="AO97" s="503" t="str">
        <f>IF(終値!A97="","",IF(AND(高値!S97&gt;高値!R97,高値!S97&gt;高値!Q97,高値!S97&gt;高値!T97,高値!S97&gt;高値!U97),14,""))</f>
        <v/>
      </c>
      <c r="AP97" s="503" t="str">
        <f>IF(終値!A97="","",IF(AND(高値!T97&gt;高値!S97,高値!T97&gt;高値!R97,高値!T97&gt;高値!U97,高値!T97&gt;高値!V97),15,""))</f>
        <v/>
      </c>
      <c r="AQ97" s="503" t="str">
        <f>IF(終値!A97="","",IF(AND(高値!U97&gt;高値!T97,高値!U97&gt;高値!S97,高値!U97&gt;高値!V97,高値!U97&gt;高値!W97),16,""))</f>
        <v/>
      </c>
      <c r="AR97" s="503">
        <f>IF(終値!A97="","",IF(AND(高値!V97&gt;高値!U97,高値!V97&gt;高値!T97,高値!V97&gt;高値!W97,高値!V97&gt;高値!X97),17,""))</f>
        <v>17</v>
      </c>
      <c r="AS97" s="503" t="str">
        <f>IF(終値!A97="","",IF(AND(高値!W97&gt;高値!V97,高値!W97&gt;高値!U97,高値!W97&gt;高値!X97,高値!W97&gt;高値!Y97),18,""))</f>
        <v/>
      </c>
      <c r="AT97" s="503" t="str">
        <f>IF(終値!A97="","",IF(AND(高値!X97&gt;高値!W97,高値!X97&gt;高値!V97,高値!X97&gt;高値!Y97,高値!X97&gt;高値!Z97),19,""))</f>
        <v/>
      </c>
      <c r="AU97" s="503" t="str">
        <f>IF(終値!A97="","",IF(AND(高値!Y97&gt;高値!X97,高値!Y97&gt;高値!W97,高値!Y97&gt;高値!Z97,高値!Y97&gt;高値!AA97),20,""))</f>
        <v/>
      </c>
      <c r="AV97" s="503" t="str">
        <f>IF(終値!A97="","",IF(AND(高値!Z97&gt;高値!Y97,高値!Z97&gt;高値!X97,高値!Z97&gt;高値!AA97,高値!Z97&gt;高値!AB97),21,""))</f>
        <v/>
      </c>
      <c r="AW97" s="503" t="str">
        <f>IF(終値!A97="","",IF(AND(高値!AA97&gt;高値!Z97,高値!AA97&gt;高値!Y97,高値!AA97&gt;高値!AB97,高値!AA97&gt;高値!AC97),22,""))</f>
        <v/>
      </c>
      <c r="AX97" s="503" t="str">
        <f>IF(終値!A97="","",IF(AND(高値!AB97&gt;高値!AA97,高値!AB97&gt;高値!Z97,高値!AB97&gt;高値!AC97,高値!AB97&gt;高値!AD97),23,""))</f>
        <v/>
      </c>
      <c r="AY97" s="503">
        <f>IF(終値!A97="","",IF(AND(高値!AC97&gt;高値!AB97,高値!AC97&gt;高値!AA97,高値!AC97&gt;高値!AD97,高値!AC97&gt;高値!AE97),24,""))</f>
        <v>24</v>
      </c>
      <c r="AZ97" s="503" t="str">
        <f>IF(終値!A97="","",IF(AND(高値!AD97&gt;高値!AC97,高値!AD97&gt;高値!AB97,高値!AD97&gt;高値!AE97,高値!AD97&gt;高値!AF97),25,""))</f>
        <v/>
      </c>
      <c r="BA97" s="503" t="str">
        <f>IF(終値!A97="","",IF(AND(高値!AE97&gt;高値!AD97,高値!AE97&gt;高値!AC97,高値!AE97&gt;高値!AF97,高値!AE97&gt;高値!AG97),26,""))</f>
        <v/>
      </c>
      <c r="BB97" s="503" t="str">
        <f>IF(終値!A97="","",IF(AND(高値!AF97&gt;高値!AE97,高値!AF97&gt;高値!AD97,高値!AF97&gt;高値!AG97,高値!AF97&gt;高値!AH97),27,""))</f>
        <v/>
      </c>
      <c r="BC97" s="503" t="str">
        <f>IF(終値!A97="","",IF(AND(高値!AG97&gt;高値!AF97,高値!AG97&gt;高値!AE97,高値!AG97&gt;高値!AH97,高値!AG97&gt;高値!AI97),28,""))</f>
        <v/>
      </c>
      <c r="BD97" s="503">
        <f t="shared" si="6"/>
        <v>4</v>
      </c>
      <c r="BE97" s="503">
        <f t="shared" si="7"/>
        <v>5</v>
      </c>
      <c r="BF97" s="503">
        <f t="shared" si="8"/>
        <v>13</v>
      </c>
      <c r="BG97" s="503">
        <f>IF($BE97="","",INDEX(安値!$E97:$CZ97,1,$BE97+1))</f>
        <v>3711</v>
      </c>
      <c r="BH97" s="503">
        <f>IF($BF97="","",INDEX(安値!$E97:$CZ97,1,$BF97+1))</f>
        <v>4168</v>
      </c>
      <c r="BI97" s="503">
        <f>IF($BF97="","",MAX(INDEX(高値!$E97:$CZ97,1,$BE97+1):INDEX(高値!$E97:$CZ97,1,$BF97+1)))</f>
        <v>4687</v>
      </c>
      <c r="BJ97" s="503">
        <f>IF($BF97="","",AVERAGE(INDEX(終値!$E97:$CZ97,1,$BF97+1):INDEX(終値!$E97:$CZ97,1,$BF97+20))-2*STDEVP(INDEX(終値!$E97:$CZ97,1,$BF97+1):INDEX(終値!$E97:$CZ97,1,$BF97+20)))</f>
        <v>4279.6712199852727</v>
      </c>
      <c r="BK97" s="503">
        <f>IF($BE97="","",AVERAGE(INDEX(終値!$E97:$CZ97,1,$BE97+1):INDEX(終値!$E97:$CZ97,1,$BE97+20))-2*STDEVP(INDEX(終値!$E97:$CZ97,1,$BE97+1):INDEX(終値!$E97:$CZ97,1,$BE97+20)))</f>
        <v>3866.3980286767369</v>
      </c>
      <c r="BL97" s="503">
        <f t="shared" si="9"/>
        <v>4</v>
      </c>
      <c r="BM97" s="503">
        <f t="shared" si="10"/>
        <v>4</v>
      </c>
      <c r="BN97" s="503">
        <f t="shared" si="11"/>
        <v>11</v>
      </c>
      <c r="BO97" s="503">
        <f>IF($BM97="","",INDEX(高値!$E97:$CZ97,1,$BM97+1))</f>
        <v>4426</v>
      </c>
      <c r="BP97" s="503">
        <f>IF($BN97="","",INDEX(高値!$E97:$CZ97,1,$BN97+1))</f>
        <v>4687</v>
      </c>
      <c r="BQ97" s="503">
        <f>IF($BN97="","",MIN(INDEX(安値!$E97:$CZ97,1,$BM97+1):INDEX(安値!$E97:$CZ97,1,$BN97+1)))</f>
        <v>3711</v>
      </c>
      <c r="BR97" s="503">
        <f>IF($BN97="","",AVERAGE(INDEX(終値!$E97:$CZ97,1,$BN97+1):INDEX(終値!$E97:$CZ97,1,$BN97+20))+2*STDEVP(INDEX(終値!$E97:$CZ97,1,$BN97+1):INDEX(終値!$E97:$CZ97,1,$BN97+20)))</f>
        <v>5426.6008814439592</v>
      </c>
      <c r="BS97" s="503">
        <f>IF($BM97="","",AVERAGE(INDEX(終値!$E97:$CZ97,1,$BM97+1):INDEX(終値!$E97:$CZ97,1,$BM97+20))+2*STDEVP(INDEX(終値!$E97:$CZ97,1,$BM97+1):INDEX(終値!$E97:$CZ97,1,$BM97+20)))</f>
        <v>5108.050403290722</v>
      </c>
      <c r="BT97" s="500"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v>
      </c>
    </row>
    <row r="98" spans="2:72">
      <c r="B98" s="503" t="str">
        <f>IF(終値!A98="","",IF(AND(安値!G98&lt;安値!F98,安値!G98&lt;安値!E98,安値!G98&lt;安値!H98,安値!G98&lt;安値!I98),2,""))</f>
        <v/>
      </c>
      <c r="C98" s="503">
        <f>IF(終値!A98="","",IF(AND(安値!H98&lt;安値!G98,安値!H98&lt;安値!F98,安値!H98&lt;安値!I98,安値!H98&lt;安値!J98),3,""))</f>
        <v>3</v>
      </c>
      <c r="D98" s="503" t="str">
        <f>IF(終値!A98="","",IF(AND(安値!I98&lt;安値!H98,安値!I98&lt;安値!G98,安値!I98&lt;安値!J98,安値!I98&lt;安値!K98),4,""))</f>
        <v/>
      </c>
      <c r="E98" s="503" t="str">
        <f>IF(終値!A98="","",IF(AND(安値!J98&lt;安値!I98,安値!J98&lt;安値!H98,安値!J98&lt;安値!K98,安値!J98&lt;安値!L98),5,""))</f>
        <v/>
      </c>
      <c r="F98" s="503" t="str">
        <f>IF(終値!A98="","",IF(AND(安値!K98&lt;安値!J98,安値!K98&lt;安値!I98,安値!K98&lt;安値!L98,安値!K98&lt;安値!M98),6,""))</f>
        <v/>
      </c>
      <c r="G98" s="503" t="str">
        <f>IF(終値!A98="","",IF(AND(安値!L98&lt;安値!K98,安値!L98&lt;安値!J98,安値!L98&lt;安値!M98,安値!L98&lt;安値!N98),7,""))</f>
        <v/>
      </c>
      <c r="H98" s="503" t="str">
        <f>IF(終値!A98="","",IF(AND(安値!M98&lt;安値!L98,安値!M98&lt;安値!K98,安値!M98&lt;安値!N98,安値!M98&lt;安値!O98),8,""))</f>
        <v/>
      </c>
      <c r="I98" s="503">
        <f>IF(終値!A98="","",IF(AND(安値!N98&lt;安値!M98,安値!N98&lt;安値!L98,安値!N98&lt;安値!O98,安値!N98&lt;安値!P98),9,""))</f>
        <v>9</v>
      </c>
      <c r="J98" s="503" t="str">
        <f>IF(終値!A98="","",IF(AND(安値!O98&lt;安値!N98,安値!O98&lt;安値!M98,安値!O98&lt;安値!P98,安値!O98&lt;安値!Q98),10,""))</f>
        <v/>
      </c>
      <c r="K98" s="503" t="str">
        <f>IF(終値!A98="","",IF(AND(安値!P98&lt;安値!O98,安値!P98&lt;安値!N98,安値!P98&lt;安値!Q98,安値!P98&lt;安値!R98),11,""))</f>
        <v/>
      </c>
      <c r="L98" s="503" t="str">
        <f>IF(終値!A98="","",IF(AND(安値!Q98&lt;安値!P98,安値!Q98&lt;安値!O98,安値!Q98&lt;安値!R98,安値!Q98&lt;安値!S98),12,""))</f>
        <v/>
      </c>
      <c r="M98" s="503">
        <f>IF(終値!A98="","",IF(AND(安値!R98&lt;安値!Q98,安値!R98&lt;安値!P98,安値!R98&lt;安値!S98,安値!R98&lt;安値!T98),13,""))</f>
        <v>13</v>
      </c>
      <c r="N98" s="503" t="str">
        <f>IF(終値!A98="","",IF(AND(安値!S98&lt;安値!R98,安値!S98&lt;安値!Q98,安値!S98&lt;安値!T98,安値!S98&lt;安値!U98),14,""))</f>
        <v/>
      </c>
      <c r="O98" s="503" t="str">
        <f>IF(終値!A98="","",IF(AND(安値!T98&lt;安値!S98,安値!T98&lt;安値!R98,安値!T98&lt;安値!U98,安値!T98&lt;安値!V98),15,""))</f>
        <v/>
      </c>
      <c r="P98" s="503" t="str">
        <f>IF(終値!A98="","",IF(AND(安値!U98&lt;安値!T98,安値!U98&lt;安値!S98,安値!U98&lt;安値!V98,安値!U98&lt;安値!W98),16,""))</f>
        <v/>
      </c>
      <c r="Q98" s="503" t="str">
        <f>IF(終値!A98="","",IF(AND(安値!V98&lt;安値!U98,安値!V98&lt;安値!T98,安値!V98&lt;安値!W98,安値!V98&lt;安値!X98),17,""))</f>
        <v/>
      </c>
      <c r="R98" s="503">
        <f>IF(終値!A98="","",IF(AND(安値!W98&lt;安値!V98,安値!W98&lt;安値!U98,安値!W98&lt;安値!X98,安値!W98&lt;安値!Y98),18,""))</f>
        <v>18</v>
      </c>
      <c r="S98" s="503" t="str">
        <f>IF(終値!A98="","",IF(AND(安値!X98&lt;安値!W98,安値!X98&lt;安値!V98,安値!X98&lt;安値!Y98,安値!X98&lt;安値!Z98),19,""))</f>
        <v/>
      </c>
      <c r="T98" s="503" t="str">
        <f>IF(終値!A98="","",IF(AND(安値!Y98&lt;安値!X98,安値!Y98&lt;安値!W98,安値!Y98&lt;安値!Z98,安値!Y98&lt;安値!AA98),20,""))</f>
        <v/>
      </c>
      <c r="U98" s="503" t="str">
        <f>IF(終値!A98="","",IF(AND(安値!Z98&lt;安値!Y98,安値!Z98&lt;安値!X98,安値!Z98&lt;安値!AA98,安値!Z98&lt;安値!AB98),21,""))</f>
        <v/>
      </c>
      <c r="V98" s="503" t="str">
        <f>IF(終値!A98="","",IF(AND(安値!AA98&lt;安値!Z98,安値!AA98&lt;安値!Y98,安値!AA98&lt;安値!AB98,安値!AA98&lt;安値!AC98),22,""))</f>
        <v/>
      </c>
      <c r="W98" s="503" t="str">
        <f>IF(終値!A98="","",IF(AND(安値!AB98&lt;安値!AA98,安値!AB98&lt;安値!Z98,安値!AB98&lt;安値!AC98,安値!AB98&lt;安値!AD98),23,""))</f>
        <v/>
      </c>
      <c r="X98" s="503" t="str">
        <f>IF(終値!A98="","",IF(AND(安値!AC98&lt;安値!AB98,安値!AC98&lt;安値!AA98,安値!AC98&lt;安値!AD98,安値!AC98&lt;安値!AE98),24,""))</f>
        <v/>
      </c>
      <c r="Y98" s="503" t="str">
        <f>IF(終値!A98="","",IF(AND(安値!AD98&lt;安値!AC98,安値!AD98&lt;安値!AB98,安値!AD98&lt;安値!AE98,安値!AD98&lt;安値!AF98),25,""))</f>
        <v/>
      </c>
      <c r="Z98" s="503" t="str">
        <f>IF(終値!A98="","",IF(AND(安値!AE98&lt;安値!AD98,安値!AE98&lt;安値!AC98,安値!AE98&lt;安値!AF98,安値!AE98&lt;安値!AG98),26,""))</f>
        <v/>
      </c>
      <c r="AA98" s="503" t="str">
        <f>IF(終値!A98="","",IF(AND(安値!AF98&lt;安値!AE98,安値!AF98&lt;安値!AD98,安値!AF98&lt;安値!AG98,安値!AF98&lt;安値!AH98),27,""))</f>
        <v/>
      </c>
      <c r="AB98" s="503" t="str">
        <f>IF(終値!A98="","",IF(AND(安値!AG98&lt;安値!AF98,安値!AG98&lt;安値!AE98,安値!AG98&lt;安値!AH98,安値!AG98&lt;安値!AI98),28,""))</f>
        <v/>
      </c>
      <c r="AC98" s="503" t="str">
        <f>IF(終値!A98="","",IF(AND(高値!G98&gt;高値!F98,高値!G98&gt;高値!E98,高値!G98&gt;高値!H98,高値!G98&gt;高値!I98),2,""))</f>
        <v/>
      </c>
      <c r="AD98" s="503" t="str">
        <f>IF(終値!A98="","",IF(AND(高値!H98&gt;高値!G98,高値!H98&gt;高値!F98,高値!H98&gt;高値!I98,高値!H98&gt;高値!J98),3,""))</f>
        <v/>
      </c>
      <c r="AE98" s="503">
        <f>IF(終値!A98="","",IF(AND(高値!I98&gt;高値!H98,高値!I98&gt;高値!G98,高値!I98&gt;高値!J98,高値!I98&gt;高値!K98),4,""))</f>
        <v>4</v>
      </c>
      <c r="AF98" s="503" t="str">
        <f>IF(終値!A98="","",IF(AND(高値!J98&gt;高値!I98,高値!J98&gt;高値!H98,高値!J98&gt;高値!K98,高値!J98&gt;高値!L98),5,""))</f>
        <v/>
      </c>
      <c r="AG98" s="503" t="str">
        <f>IF(終値!A98="","",IF(AND(高値!K98&gt;高値!J98,高値!K98&gt;高値!I98,高値!K98&gt;高値!L98,高値!K98&gt;高値!M98),6,""))</f>
        <v/>
      </c>
      <c r="AH98" s="503" t="str">
        <f>IF(終値!A98="","",IF(AND(高値!L98&gt;高値!K98,高値!L98&gt;高値!J98,高値!L98&gt;高値!M98,高値!L98&gt;高値!N98),7,""))</f>
        <v/>
      </c>
      <c r="AI98" s="503">
        <f>IF(終値!A98="","",IF(AND(高値!M98&gt;高値!L98,高値!M98&gt;高値!K98,高値!M98&gt;高値!N98,高値!M98&gt;高値!O98),8,""))</f>
        <v>8</v>
      </c>
      <c r="AJ98" s="503" t="str">
        <f>IF(終値!A98="","",IF(AND(高値!N98&gt;高値!M98,高値!N98&gt;高値!L98,高値!N98&gt;高値!O98,高値!N98&gt;高値!P98),9,""))</f>
        <v/>
      </c>
      <c r="AK98" s="503" t="str">
        <f>IF(終値!A98="","",IF(AND(高値!O98&gt;高値!N98,高値!O98&gt;高値!M98,高値!O98&gt;高値!P98,高値!O98&gt;高値!Q98),10,""))</f>
        <v/>
      </c>
      <c r="AL98" s="503" t="str">
        <f>IF(終値!A98="","",IF(AND(高値!P98&gt;高値!O98,高値!P98&gt;高値!N98,高値!P98&gt;高値!Q98,高値!P98&gt;高値!R98),11,""))</f>
        <v/>
      </c>
      <c r="AM98" s="503" t="str">
        <f>IF(終値!A98="","",IF(AND(高値!Q98&gt;高値!P98,高値!Q98&gt;高値!O98,高値!Q98&gt;高値!R98,高値!Q98&gt;高値!S98),12,""))</f>
        <v/>
      </c>
      <c r="AN98" s="503" t="str">
        <f>IF(終値!A98="","",IF(AND(高値!R98&gt;高値!Q98,高値!R98&gt;高値!P98,高値!R98&gt;高値!S98,高値!R98&gt;高値!T98),13,""))</f>
        <v/>
      </c>
      <c r="AO98" s="503">
        <f>IF(終値!A98="","",IF(AND(高値!S98&gt;高値!R98,高値!S98&gt;高値!Q98,高値!S98&gt;高値!T98,高値!S98&gt;高値!U98),14,""))</f>
        <v>14</v>
      </c>
      <c r="AP98" s="503" t="str">
        <f>IF(終値!A98="","",IF(AND(高値!T98&gt;高値!S98,高値!T98&gt;高値!R98,高値!T98&gt;高値!U98,高値!T98&gt;高値!V98),15,""))</f>
        <v/>
      </c>
      <c r="AQ98" s="503" t="str">
        <f>IF(終値!A98="","",IF(AND(高値!U98&gt;高値!T98,高値!U98&gt;高値!S98,高値!U98&gt;高値!V98,高値!U98&gt;高値!W98),16,""))</f>
        <v/>
      </c>
      <c r="AR98" s="503" t="str">
        <f>IF(終値!A98="","",IF(AND(高値!V98&gt;高値!U98,高値!V98&gt;高値!T98,高値!V98&gt;高値!W98,高値!V98&gt;高値!X98),17,""))</f>
        <v/>
      </c>
      <c r="AS98" s="503" t="str">
        <f>IF(終値!A98="","",IF(AND(高値!W98&gt;高値!V98,高値!W98&gt;高値!U98,高値!W98&gt;高値!X98,高値!W98&gt;高値!Y98),18,""))</f>
        <v/>
      </c>
      <c r="AT98" s="503" t="str">
        <f>IF(終値!A98="","",IF(AND(高値!X98&gt;高値!W98,高値!X98&gt;高値!V98,高値!X98&gt;高値!Y98,高値!X98&gt;高値!Z98),19,""))</f>
        <v/>
      </c>
      <c r="AU98" s="503" t="str">
        <f>IF(終値!A98="","",IF(AND(高値!Y98&gt;高値!X98,高値!Y98&gt;高値!W98,高値!Y98&gt;高値!Z98,高値!Y98&gt;高値!AA98),20,""))</f>
        <v/>
      </c>
      <c r="AV98" s="503">
        <f>IF(終値!A98="","",IF(AND(高値!Z98&gt;高値!Y98,高値!Z98&gt;高値!X98,高値!Z98&gt;高値!AA98,高値!Z98&gt;高値!AB98),21,""))</f>
        <v>21</v>
      </c>
      <c r="AW98" s="503" t="str">
        <f>IF(終値!A98="","",IF(AND(高値!AA98&gt;高値!Z98,高値!AA98&gt;高値!Y98,高値!AA98&gt;高値!AB98,高値!AA98&gt;高値!AC98),22,""))</f>
        <v/>
      </c>
      <c r="AX98" s="503" t="str">
        <f>IF(終値!A98="","",IF(AND(高値!AB98&gt;高値!AA98,高値!AB98&gt;高値!Z98,高値!AB98&gt;高値!AC98,高値!AB98&gt;高値!AD98),23,""))</f>
        <v/>
      </c>
      <c r="AY98" s="503" t="str">
        <f>IF(終値!A98="","",IF(AND(高値!AC98&gt;高値!AB98,高値!AC98&gt;高値!AA98,高値!AC98&gt;高値!AD98,高値!AC98&gt;高値!AE98),24,""))</f>
        <v/>
      </c>
      <c r="AZ98" s="503" t="str">
        <f>IF(終値!A98="","",IF(AND(高値!AD98&gt;高値!AC98,高値!AD98&gt;高値!AB98,高値!AD98&gt;高値!AE98,高値!AD98&gt;高値!AF98),25,""))</f>
        <v/>
      </c>
      <c r="BA98" s="503" t="str">
        <f>IF(終値!A98="","",IF(AND(高値!AE98&gt;高値!AD98,高値!AE98&gt;高値!AC98,高値!AE98&gt;高値!AF98,高値!AE98&gt;高値!AG98),26,""))</f>
        <v/>
      </c>
      <c r="BB98" s="503" t="str">
        <f>IF(終値!A98="","",IF(AND(高値!AF98&gt;高値!AE98,高値!AF98&gt;高値!AD98,高値!AF98&gt;高値!AG98,高値!AF98&gt;高値!AH98),27,""))</f>
        <v/>
      </c>
      <c r="BC98" s="503" t="str">
        <f>IF(終値!A98="","",IF(AND(高値!AG98&gt;高値!AF98,高値!AG98&gt;高値!AE98,高値!AG98&gt;高値!AH98,高値!AG98&gt;高値!AI98),28,""))</f>
        <v/>
      </c>
      <c r="BD98" s="503">
        <f t="shared" si="6"/>
        <v>4</v>
      </c>
      <c r="BE98" s="503">
        <f t="shared" si="7"/>
        <v>3</v>
      </c>
      <c r="BF98" s="503">
        <f t="shared" si="8"/>
        <v>9</v>
      </c>
      <c r="BG98" s="503">
        <f>IF($BE98="","",INDEX(安値!$E98:$CZ98,1,$BE98+1))</f>
        <v>1100.5</v>
      </c>
      <c r="BH98" s="503">
        <f>IF($BF98="","",INDEX(安値!$E98:$CZ98,1,$BF98+1))</f>
        <v>0</v>
      </c>
      <c r="BI98" s="503">
        <f>IF($BF98="","",MAX(INDEX(高値!$E98:$CZ98,1,$BE98+1):INDEX(高値!$E98:$CZ98,1,$BF98+1)))</f>
        <v>1232.5</v>
      </c>
      <c r="BJ98" s="503">
        <f>IF($BF98="","",AVERAGE(INDEX(終値!$E98:$CZ98,1,$BF98+1):INDEX(終値!$E98:$CZ98,1,$BF98+20))-2*STDEVP(INDEX(終値!$E98:$CZ98,1,$BF98+1):INDEX(終値!$E98:$CZ98,1,$BF98+20)))</f>
        <v>1087.5032850316891</v>
      </c>
      <c r="BK98" s="503">
        <f>IF($BE98="","",AVERAGE(INDEX(終値!$E98:$CZ98,1,$BE98+1):INDEX(終値!$E98:$CZ98,1,$BE98+20))-2*STDEVP(INDEX(終値!$E98:$CZ98,1,$BE98+1):INDEX(終値!$E98:$CZ98,1,$BE98+20)))</f>
        <v>1128.6172407400807</v>
      </c>
      <c r="BL98" s="503">
        <f t="shared" si="9"/>
        <v>4</v>
      </c>
      <c r="BM98" s="503">
        <f t="shared" si="10"/>
        <v>4</v>
      </c>
      <c r="BN98" s="503">
        <f t="shared" si="11"/>
        <v>8</v>
      </c>
      <c r="BO98" s="503">
        <f>IF($BM98="","",INDEX(高値!$E98:$CZ98,1,$BM98+1))</f>
        <v>1211</v>
      </c>
      <c r="BP98" s="503">
        <f>IF($BN98="","",INDEX(高値!$E98:$CZ98,1,$BN98+1))</f>
        <v>1232.5</v>
      </c>
      <c r="BQ98" s="503">
        <f>IF($BN98="","",MIN(INDEX(安値!$E98:$CZ98,1,$BM98+1):INDEX(安値!$E98:$CZ98,1,$BN98+1)))</f>
        <v>1101.5</v>
      </c>
      <c r="BR98" s="503">
        <f>IF($BN98="","",AVERAGE(INDEX(終値!$E98:$CZ98,1,$BN98+1):INDEX(終値!$E98:$CZ98,1,$BN98+20))+2*STDEVP(INDEX(終値!$E98:$CZ98,1,$BN98+1):INDEX(終値!$E98:$CZ98,1,$BN98+20)))</f>
        <v>1245.0307546897718</v>
      </c>
      <c r="BS98" s="503">
        <f>IF($BM98="","",AVERAGE(INDEX(終値!$E98:$CZ98,1,$BM98+1):INDEX(終値!$E98:$CZ98,1,$BM98+20))+2*STDEVP(INDEX(終値!$E98:$CZ98,1,$BM98+1):INDEX(終値!$E98:$CZ98,1,$BM98+20)))</f>
        <v>1233.7458277024696</v>
      </c>
      <c r="BT98" s="500"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v>
      </c>
    </row>
    <row r="99" spans="2:72">
      <c r="B99" s="503" t="str">
        <f>IF(終値!A99="","",IF(AND(安値!G99&lt;安値!F99,安値!G99&lt;安値!E99,安値!G99&lt;安値!H99,安値!G99&lt;安値!I99),2,""))</f>
        <v/>
      </c>
      <c r="C99" s="503" t="str">
        <f>IF(終値!A99="","",IF(AND(安値!H99&lt;安値!G99,安値!H99&lt;安値!F99,安値!H99&lt;安値!I99,安値!H99&lt;安値!J99),3,""))</f>
        <v/>
      </c>
      <c r="D99" s="503" t="str">
        <f>IF(終値!A99="","",IF(AND(安値!I99&lt;安値!H99,安値!I99&lt;安値!G99,安値!I99&lt;安値!J99,安値!I99&lt;安値!K99),4,""))</f>
        <v/>
      </c>
      <c r="E99" s="503" t="str">
        <f>IF(終値!A99="","",IF(AND(安値!J99&lt;安値!I99,安値!J99&lt;安値!H99,安値!J99&lt;安値!K99,安値!J99&lt;安値!L99),5,""))</f>
        <v/>
      </c>
      <c r="F99" s="503" t="str">
        <f>IF(終値!A99="","",IF(AND(安値!K99&lt;安値!J99,安値!K99&lt;安値!I99,安値!K99&lt;安値!L99,安値!K99&lt;安値!M99),6,""))</f>
        <v/>
      </c>
      <c r="G99" s="503" t="str">
        <f>IF(終値!A99="","",IF(AND(安値!L99&lt;安値!K99,安値!L99&lt;安値!J99,安値!L99&lt;安値!M99,安値!L99&lt;安値!N99),7,""))</f>
        <v/>
      </c>
      <c r="H99" s="503" t="str">
        <f>IF(終値!A99="","",IF(AND(安値!M99&lt;安値!L99,安値!M99&lt;安値!K99,安値!M99&lt;安値!N99,安値!M99&lt;安値!O99),8,""))</f>
        <v/>
      </c>
      <c r="I99" s="503" t="str">
        <f>IF(終値!A99="","",IF(AND(安値!N99&lt;安値!M99,安値!N99&lt;安値!L99,安値!N99&lt;安値!O99,安値!N99&lt;安値!P99),9,""))</f>
        <v/>
      </c>
      <c r="J99" s="503" t="str">
        <f>IF(終値!A99="","",IF(AND(安値!O99&lt;安値!N99,安値!O99&lt;安値!M99,安値!O99&lt;安値!P99,安値!O99&lt;安値!Q99),10,""))</f>
        <v/>
      </c>
      <c r="K99" s="503" t="str">
        <f>IF(終値!A99="","",IF(AND(安値!P99&lt;安値!O99,安値!P99&lt;安値!N99,安値!P99&lt;安値!Q99,安値!P99&lt;安値!R99),11,""))</f>
        <v/>
      </c>
      <c r="L99" s="503" t="str">
        <f>IF(終値!A99="","",IF(AND(安値!Q99&lt;安値!P99,安値!Q99&lt;安値!O99,安値!Q99&lt;安値!R99,安値!Q99&lt;安値!S99),12,""))</f>
        <v/>
      </c>
      <c r="M99" s="503" t="str">
        <f>IF(終値!A99="","",IF(AND(安値!R99&lt;安値!Q99,安値!R99&lt;安値!P99,安値!R99&lt;安値!S99,安値!R99&lt;安値!T99),13,""))</f>
        <v/>
      </c>
      <c r="N99" s="503" t="str">
        <f>IF(終値!A99="","",IF(AND(安値!S99&lt;安値!R99,安値!S99&lt;安値!Q99,安値!S99&lt;安値!T99,安値!S99&lt;安値!U99),14,""))</f>
        <v/>
      </c>
      <c r="O99" s="503" t="str">
        <f>IF(終値!A99="","",IF(AND(安値!T99&lt;安値!S99,安値!T99&lt;安値!R99,安値!T99&lt;安値!U99,安値!T99&lt;安値!V99),15,""))</f>
        <v/>
      </c>
      <c r="P99" s="503">
        <f>IF(終値!A99="","",IF(AND(安値!U99&lt;安値!T99,安値!U99&lt;安値!S99,安値!U99&lt;安値!V99,安値!U99&lt;安値!W99),16,""))</f>
        <v>16</v>
      </c>
      <c r="Q99" s="503" t="str">
        <f>IF(終値!A99="","",IF(AND(安値!V99&lt;安値!U99,安値!V99&lt;安値!T99,安値!V99&lt;安値!W99,安値!V99&lt;安値!X99),17,""))</f>
        <v/>
      </c>
      <c r="R99" s="503" t="str">
        <f>IF(終値!A99="","",IF(AND(安値!W99&lt;安値!V99,安値!W99&lt;安値!U99,安値!W99&lt;安値!X99,安値!W99&lt;安値!Y99),18,""))</f>
        <v/>
      </c>
      <c r="S99" s="503" t="str">
        <f>IF(終値!A99="","",IF(AND(安値!X99&lt;安値!W99,安値!X99&lt;安値!V99,安値!X99&lt;安値!Y99,安値!X99&lt;安値!Z99),19,""))</f>
        <v/>
      </c>
      <c r="T99" s="503" t="str">
        <f>IF(終値!A99="","",IF(AND(安値!Y99&lt;安値!X99,安値!Y99&lt;安値!W99,安値!Y99&lt;安値!Z99,安値!Y99&lt;安値!AA99),20,""))</f>
        <v/>
      </c>
      <c r="U99" s="503" t="str">
        <f>IF(終値!A99="","",IF(AND(安値!Z99&lt;安値!Y99,安値!Z99&lt;安値!X99,安値!Z99&lt;安値!AA99,安値!Z99&lt;安値!AB99),21,""))</f>
        <v/>
      </c>
      <c r="V99" s="503" t="str">
        <f>IF(終値!A99="","",IF(AND(安値!AA99&lt;安値!Z99,安値!AA99&lt;安値!Y99,安値!AA99&lt;安値!AB99,安値!AA99&lt;安値!AC99),22,""))</f>
        <v/>
      </c>
      <c r="W99" s="503" t="str">
        <f>IF(終値!A99="","",IF(AND(安値!AB99&lt;安値!AA99,安値!AB99&lt;安値!Z99,安値!AB99&lt;安値!AC99,安値!AB99&lt;安値!AD99),23,""))</f>
        <v/>
      </c>
      <c r="X99" s="503" t="str">
        <f>IF(終値!A99="","",IF(AND(安値!AC99&lt;安値!AB99,安値!AC99&lt;安値!AA99,安値!AC99&lt;安値!AD99,安値!AC99&lt;安値!AE99),24,""))</f>
        <v/>
      </c>
      <c r="Y99" s="503" t="str">
        <f>IF(終値!A99="","",IF(AND(安値!AD99&lt;安値!AC99,安値!AD99&lt;安値!AB99,安値!AD99&lt;安値!AE99,安値!AD99&lt;安値!AF99),25,""))</f>
        <v/>
      </c>
      <c r="Z99" s="503" t="str">
        <f>IF(終値!A99="","",IF(AND(安値!AE99&lt;安値!AD99,安値!AE99&lt;安値!AC99,安値!AE99&lt;安値!AF99,安値!AE99&lt;安値!AG99),26,""))</f>
        <v/>
      </c>
      <c r="AA99" s="503" t="str">
        <f>IF(終値!A99="","",IF(AND(安値!AF99&lt;安値!AE99,安値!AF99&lt;安値!AD99,安値!AF99&lt;安値!AG99,安値!AF99&lt;安値!AH99),27,""))</f>
        <v/>
      </c>
      <c r="AB99" s="503" t="str">
        <f>IF(終値!A99="","",IF(AND(安値!AG99&lt;安値!AF99,安値!AG99&lt;安値!AE99,安値!AG99&lt;安値!AH99,安値!AG99&lt;安値!AI99),28,""))</f>
        <v/>
      </c>
      <c r="AC99" s="503" t="str">
        <f>IF(終値!A99="","",IF(AND(高値!G99&gt;高値!F99,高値!G99&gt;高値!E99,高値!G99&gt;高値!H99,高値!G99&gt;高値!I99),2,""))</f>
        <v/>
      </c>
      <c r="AD99" s="503" t="str">
        <f>IF(終値!A99="","",IF(AND(高値!H99&gt;高値!G99,高値!H99&gt;高値!F99,高値!H99&gt;高値!I99,高値!H99&gt;高値!J99),3,""))</f>
        <v/>
      </c>
      <c r="AE99" s="503" t="str">
        <f>IF(終値!A99="","",IF(AND(高値!I99&gt;高値!H99,高値!I99&gt;高値!G99,高値!I99&gt;高値!J99,高値!I99&gt;高値!K99),4,""))</f>
        <v/>
      </c>
      <c r="AF99" s="503">
        <f>IF(終値!A99="","",IF(AND(高値!J99&gt;高値!I99,高値!J99&gt;高値!H99,高値!J99&gt;高値!K99,高値!J99&gt;高値!L99),5,""))</f>
        <v>5</v>
      </c>
      <c r="AG99" s="503" t="str">
        <f>IF(終値!A99="","",IF(AND(高値!K99&gt;高値!J99,高値!K99&gt;高値!I99,高値!K99&gt;高値!L99,高値!K99&gt;高値!M99),6,""))</f>
        <v/>
      </c>
      <c r="AH99" s="503" t="str">
        <f>IF(終値!A99="","",IF(AND(高値!L99&gt;高値!K99,高値!L99&gt;高値!J99,高値!L99&gt;高値!M99,高値!L99&gt;高値!N99),7,""))</f>
        <v/>
      </c>
      <c r="AI99" s="503" t="str">
        <f>IF(終値!A99="","",IF(AND(高値!M99&gt;高値!L99,高値!M99&gt;高値!K99,高値!M99&gt;高値!N99,高値!M99&gt;高値!O99),8,""))</f>
        <v/>
      </c>
      <c r="AJ99" s="503" t="str">
        <f>IF(終値!A99="","",IF(AND(高値!N99&gt;高値!M99,高値!N99&gt;高値!L99,高値!N99&gt;高値!O99,高値!N99&gt;高値!P99),9,""))</f>
        <v/>
      </c>
      <c r="AK99" s="503" t="str">
        <f>IF(終値!A99="","",IF(AND(高値!O99&gt;高値!N99,高値!O99&gt;高値!M99,高値!O99&gt;高値!P99,高値!O99&gt;高値!Q99),10,""))</f>
        <v/>
      </c>
      <c r="AL99" s="503" t="str">
        <f>IF(終値!A99="","",IF(AND(高値!P99&gt;高値!O99,高値!P99&gt;高値!N99,高値!P99&gt;高値!Q99,高値!P99&gt;高値!R99),11,""))</f>
        <v/>
      </c>
      <c r="AM99" s="503" t="str">
        <f>IF(終値!A99="","",IF(AND(高値!Q99&gt;高値!P99,高値!Q99&gt;高値!O99,高値!Q99&gt;高値!R99,高値!Q99&gt;高値!S99),12,""))</f>
        <v/>
      </c>
      <c r="AN99" s="503" t="str">
        <f>IF(終値!A99="","",IF(AND(高値!R99&gt;高値!Q99,高値!R99&gt;高値!P99,高値!R99&gt;高値!S99,高値!R99&gt;高値!T99),13,""))</f>
        <v/>
      </c>
      <c r="AO99" s="503" t="str">
        <f>IF(終値!A99="","",IF(AND(高値!S99&gt;高値!R99,高値!S99&gt;高値!Q99,高値!S99&gt;高値!T99,高値!S99&gt;高値!U99),14,""))</f>
        <v/>
      </c>
      <c r="AP99" s="503" t="str">
        <f>IF(終値!A99="","",IF(AND(高値!T99&gt;高値!S99,高値!T99&gt;高値!R99,高値!T99&gt;高値!U99,高値!T99&gt;高値!V99),15,""))</f>
        <v/>
      </c>
      <c r="AQ99" s="503" t="str">
        <f>IF(終値!A99="","",IF(AND(高値!U99&gt;高値!T99,高値!U99&gt;高値!S99,高値!U99&gt;高値!V99,高値!U99&gt;高値!W99),16,""))</f>
        <v/>
      </c>
      <c r="AR99" s="503" t="str">
        <f>IF(終値!A99="","",IF(AND(高値!V99&gt;高値!U99,高値!V99&gt;高値!T99,高値!V99&gt;高値!W99,高値!V99&gt;高値!X99),17,""))</f>
        <v/>
      </c>
      <c r="AS99" s="503" t="str">
        <f>IF(終値!A99="","",IF(AND(高値!W99&gt;高値!V99,高値!W99&gt;高値!U99,高値!W99&gt;高値!X99,高値!W99&gt;高値!Y99),18,""))</f>
        <v/>
      </c>
      <c r="AT99" s="503">
        <f>IF(終値!A99="","",IF(AND(高値!X99&gt;高値!W99,高値!X99&gt;高値!V99,高値!X99&gt;高値!Y99,高値!X99&gt;高値!Z99),19,""))</f>
        <v>19</v>
      </c>
      <c r="AU99" s="503" t="str">
        <f>IF(終値!A99="","",IF(AND(高値!Y99&gt;高値!X99,高値!Y99&gt;高値!W99,高値!Y99&gt;高値!Z99,高値!Y99&gt;高値!AA99),20,""))</f>
        <v/>
      </c>
      <c r="AV99" s="503" t="str">
        <f>IF(終値!A99="","",IF(AND(高値!Z99&gt;高値!Y99,高値!Z99&gt;高値!X99,高値!Z99&gt;高値!AA99,高値!Z99&gt;高値!AB99),21,""))</f>
        <v/>
      </c>
      <c r="AW99" s="503" t="str">
        <f>IF(終値!A99="","",IF(AND(高値!AA99&gt;高値!Z99,高値!AA99&gt;高値!Y99,高値!AA99&gt;高値!AB99,高値!AA99&gt;高値!AC99),22,""))</f>
        <v/>
      </c>
      <c r="AX99" s="503" t="str">
        <f>IF(終値!A99="","",IF(AND(高値!AB99&gt;高値!AA99,高値!AB99&gt;高値!Z99,高値!AB99&gt;高値!AC99,高値!AB99&gt;高値!AD99),23,""))</f>
        <v/>
      </c>
      <c r="AY99" s="503" t="str">
        <f>IF(終値!A99="","",IF(AND(高値!AC99&gt;高値!AB99,高値!AC99&gt;高値!AA99,高値!AC99&gt;高値!AD99,高値!AC99&gt;高値!AE99),24,""))</f>
        <v/>
      </c>
      <c r="AZ99" s="503" t="str">
        <f>IF(終値!A99="","",IF(AND(高値!AD99&gt;高値!AC99,高値!AD99&gt;高値!AB99,高値!AD99&gt;高値!AE99,高値!AD99&gt;高値!AF99),25,""))</f>
        <v/>
      </c>
      <c r="BA99" s="503" t="str">
        <f>IF(終値!A99="","",IF(AND(高値!AE99&gt;高値!AD99,高値!AE99&gt;高値!AC99,高値!AE99&gt;高値!AF99,高値!AE99&gt;高値!AG99),26,""))</f>
        <v/>
      </c>
      <c r="BB99" s="503" t="str">
        <f>IF(終値!A99="","",IF(AND(高値!AF99&gt;高値!AE99,高値!AF99&gt;高値!AD99,高値!AF99&gt;高値!AG99,高値!AF99&gt;高値!AH99),27,""))</f>
        <v/>
      </c>
      <c r="BC99" s="503" t="str">
        <f>IF(終値!A99="","",IF(AND(高値!AG99&gt;高値!AF99,高値!AG99&gt;高値!AE99,高値!AG99&gt;高値!AH99,高値!AG99&gt;高値!AI99),28,""))</f>
        <v/>
      </c>
      <c r="BD99" s="503">
        <f t="shared" si="6"/>
        <v>1</v>
      </c>
      <c r="BE99" s="503" t="str">
        <f t="shared" si="7"/>
        <v/>
      </c>
      <c r="BF99" s="503" t="str">
        <f t="shared" si="8"/>
        <v/>
      </c>
      <c r="BG99" s="503" t="str">
        <f>IF($BE99="","",INDEX(安値!$E99:$CZ99,1,$BE99+1))</f>
        <v/>
      </c>
      <c r="BH99" s="503" t="str">
        <f>IF($BF99="","",INDEX(安値!$E99:$CZ99,1,$BF99+1))</f>
        <v/>
      </c>
      <c r="BI99" s="503" t="str">
        <f>IF($BF99="","",MAX(INDEX(高値!$E99:$CZ99,1,$BE99+1):INDEX(高値!$E99:$CZ99,1,$BF99+1)))</f>
        <v/>
      </c>
      <c r="BJ99" s="503" t="str">
        <f>IF($BF99="","",AVERAGE(INDEX(終値!$E99:$CZ99,1,$BF99+1):INDEX(終値!$E99:$CZ99,1,$BF99+20))-2*STDEVP(INDEX(終値!$E99:$CZ99,1,$BF99+1):INDEX(終値!$E99:$CZ99,1,$BF99+20)))</f>
        <v/>
      </c>
      <c r="BK99" s="503" t="str">
        <f>IF($BE99="","",AVERAGE(INDEX(終値!$E99:$CZ99,1,$BE99+1):INDEX(終値!$E99:$CZ99,1,$BE99+20))-2*STDEVP(INDEX(終値!$E99:$CZ99,1,$BE99+1):INDEX(終値!$E99:$CZ99,1,$BE99+20)))</f>
        <v/>
      </c>
      <c r="BL99" s="503">
        <f t="shared" si="9"/>
        <v>2</v>
      </c>
      <c r="BM99" s="503">
        <f t="shared" si="10"/>
        <v>5</v>
      </c>
      <c r="BN99" s="503">
        <f t="shared" si="11"/>
        <v>19</v>
      </c>
      <c r="BO99" s="503">
        <f>IF($BM99="","",INDEX(高値!$E99:$CZ99,1,$BM99+1))</f>
        <v>5132</v>
      </c>
      <c r="BP99" s="503">
        <f>IF($BN99="","",INDEX(高値!$E99:$CZ99,1,$BN99+1))</f>
        <v>4366</v>
      </c>
      <c r="BQ99" s="503">
        <f>IF($BN99="","",MIN(INDEX(安値!$E99:$CZ99,1,$BM99+1):INDEX(安値!$E99:$CZ99,1,$BN99+1)))</f>
        <v>4222</v>
      </c>
      <c r="BR99" s="503">
        <f>IF($BN99="","",AVERAGE(INDEX(終値!$E99:$CZ99,1,$BN99+1):INDEX(終値!$E99:$CZ99,1,$BN99+20))+2*STDEVP(INDEX(終値!$E99:$CZ99,1,$BN99+1):INDEX(終値!$E99:$CZ99,1,$BN99+20)))</f>
        <v>4396.4295601628346</v>
      </c>
      <c r="BS99" s="503">
        <f>IF($BM99="","",AVERAGE(INDEX(終値!$E99:$CZ99,1,$BM99+1):INDEX(終値!$E99:$CZ99,1,$BM99+20))+2*STDEVP(INDEX(終値!$E99:$CZ99,1,$BM99+1):INDEX(終値!$E99:$CZ99,1,$BM99+20)))</f>
        <v>5008.3127976051737</v>
      </c>
      <c r="BT99" s="500"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3" t="str">
        <f>IF(終値!A100="","",IF(AND(安値!G100&lt;安値!F100,安値!G100&lt;安値!E100,安値!G100&lt;安値!H100,安値!G100&lt;安値!I100),2,""))</f>
        <v/>
      </c>
      <c r="C100" s="503" t="str">
        <f>IF(終値!A100="","",IF(AND(安値!H100&lt;安値!G100,安値!H100&lt;安値!F100,安値!H100&lt;安値!I100,安値!H100&lt;安値!J100),3,""))</f>
        <v/>
      </c>
      <c r="D100" s="503" t="str">
        <f>IF(終値!A100="","",IF(AND(安値!I100&lt;安値!H100,安値!I100&lt;安値!G100,安値!I100&lt;安値!J100,安値!I100&lt;安値!K100),4,""))</f>
        <v/>
      </c>
      <c r="E100" s="503" t="str">
        <f>IF(終値!A100="","",IF(AND(安値!J100&lt;安値!I100,安値!J100&lt;安値!H100,安値!J100&lt;安値!K100,安値!J100&lt;安値!L100),5,""))</f>
        <v/>
      </c>
      <c r="F100" s="503" t="str">
        <f>IF(終値!A100="","",IF(AND(安値!K100&lt;安値!J100,安値!K100&lt;安値!I100,安値!K100&lt;安値!L100,安値!K100&lt;安値!M100),6,""))</f>
        <v/>
      </c>
      <c r="G100" s="503" t="str">
        <f>IF(終値!A100="","",IF(AND(安値!L100&lt;安値!K100,安値!L100&lt;安値!J100,安値!L100&lt;安値!M100,安値!L100&lt;安値!N100),7,""))</f>
        <v/>
      </c>
      <c r="H100" s="503" t="str">
        <f>IF(終値!A100="","",IF(AND(安値!M100&lt;安値!L100,安値!M100&lt;安値!K100,安値!M100&lt;安値!N100,安値!M100&lt;安値!O100),8,""))</f>
        <v/>
      </c>
      <c r="I100" s="503">
        <f>IF(終値!A100="","",IF(AND(安値!N100&lt;安値!M100,安値!N100&lt;安値!L100,安値!N100&lt;安値!O100,安値!N100&lt;安値!P100),9,""))</f>
        <v>9</v>
      </c>
      <c r="J100" s="503" t="str">
        <f>IF(終値!A100="","",IF(AND(安値!O100&lt;安値!N100,安値!O100&lt;安値!M100,安値!O100&lt;安値!P100,安値!O100&lt;安値!Q100),10,""))</f>
        <v/>
      </c>
      <c r="K100" s="503" t="str">
        <f>IF(終値!A100="","",IF(AND(安値!P100&lt;安値!O100,安値!P100&lt;安値!N100,安値!P100&lt;安値!Q100,安値!P100&lt;安値!R100),11,""))</f>
        <v/>
      </c>
      <c r="L100" s="503" t="str">
        <f>IF(終値!A100="","",IF(AND(安値!Q100&lt;安値!P100,安値!Q100&lt;安値!O100,安値!Q100&lt;安値!R100,安値!Q100&lt;安値!S100),12,""))</f>
        <v/>
      </c>
      <c r="M100" s="503">
        <f>IF(終値!A100="","",IF(AND(安値!R100&lt;安値!Q100,安値!R100&lt;安値!P100,安値!R100&lt;安値!S100,安値!R100&lt;安値!T100),13,""))</f>
        <v>13</v>
      </c>
      <c r="N100" s="503" t="str">
        <f>IF(終値!A100="","",IF(AND(安値!S100&lt;安値!R100,安値!S100&lt;安値!Q100,安値!S100&lt;安値!T100,安値!S100&lt;安値!U100),14,""))</f>
        <v/>
      </c>
      <c r="O100" s="503" t="str">
        <f>IF(終値!A100="","",IF(AND(安値!T100&lt;安値!S100,安値!T100&lt;安値!R100,安値!T100&lt;安値!U100,安値!T100&lt;安値!V100),15,""))</f>
        <v/>
      </c>
      <c r="P100" s="503" t="str">
        <f>IF(終値!A100="","",IF(AND(安値!U100&lt;安値!T100,安値!U100&lt;安値!S100,安値!U100&lt;安値!V100,安値!U100&lt;安値!W100),16,""))</f>
        <v/>
      </c>
      <c r="Q100" s="503" t="str">
        <f>IF(終値!A100="","",IF(AND(安値!V100&lt;安値!U100,安値!V100&lt;安値!T100,安値!V100&lt;安値!W100,安値!V100&lt;安値!X100),17,""))</f>
        <v/>
      </c>
      <c r="R100" s="503" t="str">
        <f>IF(終値!A100="","",IF(AND(安値!W100&lt;安値!V100,安値!W100&lt;安値!U100,安値!W100&lt;安値!X100,安値!W100&lt;安値!Y100),18,""))</f>
        <v/>
      </c>
      <c r="S100" s="503" t="str">
        <f>IF(終値!A100="","",IF(AND(安値!X100&lt;安値!W100,安値!X100&lt;安値!V100,安値!X100&lt;安値!Y100,安値!X100&lt;安値!Z100),19,""))</f>
        <v/>
      </c>
      <c r="T100" s="503" t="str">
        <f>IF(終値!A100="","",IF(AND(安値!Y100&lt;安値!X100,安値!Y100&lt;安値!W100,安値!Y100&lt;安値!Z100,安値!Y100&lt;安値!AA100),20,""))</f>
        <v/>
      </c>
      <c r="U100" s="503" t="str">
        <f>IF(終値!A100="","",IF(AND(安値!Z100&lt;安値!Y100,安値!Z100&lt;安値!X100,安値!Z100&lt;安値!AA100,安値!Z100&lt;安値!AB100),21,""))</f>
        <v/>
      </c>
      <c r="V100" s="503" t="str">
        <f>IF(終値!A100="","",IF(AND(安値!AA100&lt;安値!Z100,安値!AA100&lt;安値!Y100,安値!AA100&lt;安値!AB100,安値!AA100&lt;安値!AC100),22,""))</f>
        <v/>
      </c>
      <c r="W100" s="503" t="str">
        <f>IF(終値!A100="","",IF(AND(安値!AB100&lt;安値!AA100,安値!AB100&lt;安値!Z100,安値!AB100&lt;安値!AC100,安値!AB100&lt;安値!AD100),23,""))</f>
        <v/>
      </c>
      <c r="X100" s="503">
        <f>IF(終値!A100="","",IF(AND(安値!AC100&lt;安値!AB100,安値!AC100&lt;安値!AA100,安値!AC100&lt;安値!AD100,安値!AC100&lt;安値!AE100),24,""))</f>
        <v>24</v>
      </c>
      <c r="Y100" s="503" t="str">
        <f>IF(終値!A100="","",IF(AND(安値!AD100&lt;安値!AC100,安値!AD100&lt;安値!AB100,安値!AD100&lt;安値!AE100,安値!AD100&lt;安値!AF100),25,""))</f>
        <v/>
      </c>
      <c r="Z100" s="503" t="str">
        <f>IF(終値!A100="","",IF(AND(安値!AE100&lt;安値!AD100,安値!AE100&lt;安値!AC100,安値!AE100&lt;安値!AF100,安値!AE100&lt;安値!AG100),26,""))</f>
        <v/>
      </c>
      <c r="AA100" s="503" t="str">
        <f>IF(終値!A100="","",IF(AND(安値!AF100&lt;安値!AE100,安値!AF100&lt;安値!AD100,安値!AF100&lt;安値!AG100,安値!AF100&lt;安値!AH100),27,""))</f>
        <v/>
      </c>
      <c r="AB100" s="503" t="str">
        <f>IF(終値!A100="","",IF(AND(安値!AG100&lt;安値!AF100,安値!AG100&lt;安値!AE100,安値!AG100&lt;安値!AH100,安値!AG100&lt;安値!AI100),28,""))</f>
        <v/>
      </c>
      <c r="AC100" s="503" t="str">
        <f>IF(終値!A100="","",IF(AND(高値!G100&gt;高値!F100,高値!G100&gt;高値!E100,高値!G100&gt;高値!H100,高値!G100&gt;高値!I100),2,""))</f>
        <v/>
      </c>
      <c r="AD100" s="503" t="str">
        <f>IF(終値!A100="","",IF(AND(高値!H100&gt;高値!G100,高値!H100&gt;高値!F100,高値!H100&gt;高値!I100,高値!H100&gt;高値!J100),3,""))</f>
        <v/>
      </c>
      <c r="AE100" s="503" t="str">
        <f>IF(終値!A100="","",IF(AND(高値!I100&gt;高値!H100,高値!I100&gt;高値!G100,高値!I100&gt;高値!J100,高値!I100&gt;高値!K100),4,""))</f>
        <v/>
      </c>
      <c r="AF100" s="503" t="str">
        <f>IF(終値!A100="","",IF(AND(高値!J100&gt;高値!I100,高値!J100&gt;高値!H100,高値!J100&gt;高値!K100,高値!J100&gt;高値!L100),5,""))</f>
        <v/>
      </c>
      <c r="AG100" s="503">
        <f>IF(終値!A100="","",IF(AND(高値!K100&gt;高値!J100,高値!K100&gt;高値!I100,高値!K100&gt;高値!L100,高値!K100&gt;高値!M100),6,""))</f>
        <v>6</v>
      </c>
      <c r="AH100" s="503" t="str">
        <f>IF(終値!A100="","",IF(AND(高値!L100&gt;高値!K100,高値!L100&gt;高値!J100,高値!L100&gt;高値!M100,高値!L100&gt;高値!N100),7,""))</f>
        <v/>
      </c>
      <c r="AI100" s="503" t="str">
        <f>IF(終値!A100="","",IF(AND(高値!M100&gt;高値!L100,高値!M100&gt;高値!K100,高値!M100&gt;高値!N100,高値!M100&gt;高値!O100),8,""))</f>
        <v/>
      </c>
      <c r="AJ100" s="503" t="str">
        <f>IF(終値!A100="","",IF(AND(高値!N100&gt;高値!M100,高値!N100&gt;高値!L100,高値!N100&gt;高値!O100,高値!N100&gt;高値!P100),9,""))</f>
        <v/>
      </c>
      <c r="AK100" s="503" t="str">
        <f>IF(終値!A100="","",IF(AND(高値!O100&gt;高値!N100,高値!O100&gt;高値!M100,高値!O100&gt;高値!P100,高値!O100&gt;高値!Q100),10,""))</f>
        <v/>
      </c>
      <c r="AL100" s="503" t="str">
        <f>IF(終値!A100="","",IF(AND(高値!P100&gt;高値!O100,高値!P100&gt;高値!N100,高値!P100&gt;高値!Q100,高値!P100&gt;高値!R100),11,""))</f>
        <v/>
      </c>
      <c r="AM100" s="503">
        <f>IF(終値!A100="","",IF(AND(高値!Q100&gt;高値!P100,高値!Q100&gt;高値!O100,高値!Q100&gt;高値!R100,高値!Q100&gt;高値!S100),12,""))</f>
        <v>12</v>
      </c>
      <c r="AN100" s="503" t="str">
        <f>IF(終値!A100="","",IF(AND(高値!R100&gt;高値!Q100,高値!R100&gt;高値!P100,高値!R100&gt;高値!S100,高値!R100&gt;高値!T100),13,""))</f>
        <v/>
      </c>
      <c r="AO100" s="503" t="str">
        <f>IF(終値!A100="","",IF(AND(高値!S100&gt;高値!R100,高値!S100&gt;高値!Q100,高値!S100&gt;高値!T100,高値!S100&gt;高値!U100),14,""))</f>
        <v/>
      </c>
      <c r="AP100" s="503" t="str">
        <f>IF(終値!A100="","",IF(AND(高値!T100&gt;高値!S100,高値!T100&gt;高値!R100,高値!T100&gt;高値!U100,高値!T100&gt;高値!V100),15,""))</f>
        <v/>
      </c>
      <c r="AQ100" s="503" t="str">
        <f>IF(終値!A100="","",IF(AND(高値!U100&gt;高値!T100,高値!U100&gt;高値!S100,高値!U100&gt;高値!V100,高値!U100&gt;高値!W100),16,""))</f>
        <v/>
      </c>
      <c r="AR100" s="503" t="str">
        <f>IF(終値!A100="","",IF(AND(高値!V100&gt;高値!U100,高値!V100&gt;高値!T100,高値!V100&gt;高値!W100,高値!V100&gt;高値!X100),17,""))</f>
        <v/>
      </c>
      <c r="AS100" s="503">
        <f>IF(終値!A100="","",IF(AND(高値!W100&gt;高値!V100,高値!W100&gt;高値!U100,高値!W100&gt;高値!X100,高値!W100&gt;高値!Y100),18,""))</f>
        <v>18</v>
      </c>
      <c r="AT100" s="503" t="str">
        <f>IF(終値!A100="","",IF(AND(高値!X100&gt;高値!W100,高値!X100&gt;高値!V100,高値!X100&gt;高値!Y100,高値!X100&gt;高値!Z100),19,""))</f>
        <v/>
      </c>
      <c r="AU100" s="503" t="str">
        <f>IF(終値!A100="","",IF(AND(高値!Y100&gt;高値!X100,高値!Y100&gt;高値!W100,高値!Y100&gt;高値!Z100,高値!Y100&gt;高値!AA100),20,""))</f>
        <v/>
      </c>
      <c r="AV100" s="503" t="str">
        <f>IF(終値!A100="","",IF(AND(高値!Z100&gt;高値!Y100,高値!Z100&gt;高値!X100,高値!Z100&gt;高値!AA100,高値!Z100&gt;高値!AB100),21,""))</f>
        <v/>
      </c>
      <c r="AW100" s="503">
        <f>IF(終値!A100="","",IF(AND(高値!AA100&gt;高値!Z100,高値!AA100&gt;高値!Y100,高値!AA100&gt;高値!AB100,高値!AA100&gt;高値!AC100),22,""))</f>
        <v>22</v>
      </c>
      <c r="AX100" s="503" t="str">
        <f>IF(終値!A100="","",IF(AND(高値!AB100&gt;高値!AA100,高値!AB100&gt;高値!Z100,高値!AB100&gt;高値!AC100,高値!AB100&gt;高値!AD100),23,""))</f>
        <v/>
      </c>
      <c r="AY100" s="503" t="str">
        <f>IF(終値!A100="","",IF(AND(高値!AC100&gt;高値!AB100,高値!AC100&gt;高値!AA100,高値!AC100&gt;高値!AD100,高値!AC100&gt;高値!AE100),24,""))</f>
        <v/>
      </c>
      <c r="AZ100" s="503">
        <f>IF(終値!A100="","",IF(AND(高値!AD100&gt;高値!AC100,高値!AD100&gt;高値!AB100,高値!AD100&gt;高値!AE100,高値!AD100&gt;高値!AF100),25,""))</f>
        <v>25</v>
      </c>
      <c r="BA100" s="503" t="str">
        <f>IF(終値!A100="","",IF(AND(高値!AE100&gt;高値!AD100,高値!AE100&gt;高値!AC100,高値!AE100&gt;高値!AF100,高値!AE100&gt;高値!AG100),26,""))</f>
        <v/>
      </c>
      <c r="BB100" s="503" t="str">
        <f>IF(終値!A100="","",IF(AND(高値!AF100&gt;高値!AE100,高値!AF100&gt;高値!AD100,高値!AF100&gt;高値!AG100,高値!AF100&gt;高値!AH100),27,""))</f>
        <v/>
      </c>
      <c r="BC100" s="503" t="str">
        <f>IF(終値!A100="","",IF(AND(高値!AG100&gt;高値!AF100,高値!AG100&gt;高値!AE100,高値!AG100&gt;高値!AH100,高値!AG100&gt;高値!AI100),28,""))</f>
        <v/>
      </c>
      <c r="BD100" s="503">
        <f t="shared" si="6"/>
        <v>3</v>
      </c>
      <c r="BE100" s="503">
        <f t="shared" si="7"/>
        <v>9</v>
      </c>
      <c r="BF100" s="503">
        <f t="shared" si="8"/>
        <v>13</v>
      </c>
      <c r="BG100" s="503">
        <f>IF($BE100="","",INDEX(安値!$E100:$CZ100,1,$BE100+1))</f>
        <v>0</v>
      </c>
      <c r="BH100" s="503">
        <f>IF($BF100="","",INDEX(安値!$E100:$CZ100,1,$BF100+1))</f>
        <v>2354</v>
      </c>
      <c r="BI100" s="503">
        <f>IF($BF100="","",MAX(INDEX(高値!$E100:$CZ100,1,$BE100+1):INDEX(高値!$E100:$CZ100,1,$BF100+1)))</f>
        <v>2448.5</v>
      </c>
      <c r="BJ100" s="503">
        <f>IF($BF100="","",AVERAGE(INDEX(終値!$E100:$CZ100,1,$BF100+1):INDEX(終値!$E100:$CZ100,1,$BF100+20))-2*STDEVP(INDEX(終値!$E100:$CZ100,1,$BF100+1):INDEX(終値!$E100:$CZ100,1,$BF100+20)))</f>
        <v>2287.9706756367468</v>
      </c>
      <c r="BK100" s="503">
        <f>IF($BE100="","",AVERAGE(INDEX(終値!$E100:$CZ100,1,$BE100+1):INDEX(終値!$E100:$CZ100,1,$BE100+20))-2*STDEVP(INDEX(終値!$E100:$CZ100,1,$BE100+1):INDEX(終値!$E100:$CZ100,1,$BE100+20)))</f>
        <v>2344.1866252374753</v>
      </c>
      <c r="BL100" s="503">
        <f t="shared" si="9"/>
        <v>5</v>
      </c>
      <c r="BM100" s="503">
        <f t="shared" si="10"/>
        <v>6</v>
      </c>
      <c r="BN100" s="503">
        <f t="shared" si="11"/>
        <v>12</v>
      </c>
      <c r="BO100" s="503">
        <f>IF($BM100="","",INDEX(高値!$E100:$CZ100,1,$BM100+1))</f>
        <v>2514.5</v>
      </c>
      <c r="BP100" s="503">
        <f>IF($BN100="","",INDEX(高値!$E100:$CZ100,1,$BN100+1))</f>
        <v>2448.5</v>
      </c>
      <c r="BQ100" s="503">
        <f>IF($BN100="","",MIN(INDEX(安値!$E100:$CZ100,1,$BM100+1):INDEX(安値!$E100:$CZ100,1,$BN100+1)))</f>
        <v>2378</v>
      </c>
      <c r="BR100" s="503">
        <f>IF($BN100="","",AVERAGE(INDEX(終値!$E100:$CZ100,1,$BN100+1):INDEX(終値!$E100:$CZ100,1,$BN100+20))+2*STDEVP(INDEX(終値!$E100:$CZ100,1,$BN100+1):INDEX(終値!$E100:$CZ100,1,$BN100+20)))</f>
        <v>2485.7649634467798</v>
      </c>
      <c r="BS100" s="503">
        <f>IF($BM100="","",AVERAGE(INDEX(終値!$E100:$CZ100,1,$BM100+1):INDEX(終値!$E100:$CZ100,1,$BM100+20))+2*STDEVP(INDEX(終値!$E100:$CZ100,1,$BM100+1):INDEX(終値!$E100:$CZ100,1,$BM100+20)))</f>
        <v>2488.4404002231272</v>
      </c>
      <c r="BT100" s="500"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3" t="str">
        <f>IF(終値!A101="","",IF(AND(安値!G101&lt;安値!F101,安値!G101&lt;安値!E101,安値!G101&lt;安値!H101,安値!G101&lt;安値!I101),2,""))</f>
        <v/>
      </c>
      <c r="C101" s="503" t="str">
        <f>IF(終値!A101="","",IF(AND(安値!H101&lt;安値!G101,安値!H101&lt;安値!F101,安値!H101&lt;安値!I101,安値!H101&lt;安値!J101),3,""))</f>
        <v/>
      </c>
      <c r="D101" s="503" t="str">
        <f>IF(終値!A101="","",IF(AND(安値!I101&lt;安値!H101,安値!I101&lt;安値!G101,安値!I101&lt;安値!J101,安値!I101&lt;安値!K101),4,""))</f>
        <v/>
      </c>
      <c r="E101" s="503" t="str">
        <f>IF(終値!A101="","",IF(AND(安値!J101&lt;安値!I101,安値!J101&lt;安値!H101,安値!J101&lt;安値!K101,安値!J101&lt;安値!L101),5,""))</f>
        <v/>
      </c>
      <c r="F101" s="503" t="str">
        <f>IF(終値!A101="","",IF(AND(安値!K101&lt;安値!J101,安値!K101&lt;安値!I101,安値!K101&lt;安値!L101,安値!K101&lt;安値!M101),6,""))</f>
        <v/>
      </c>
      <c r="G101" s="503" t="str">
        <f>IF(終値!A101="","",IF(AND(安値!L101&lt;安値!K101,安値!L101&lt;安値!J101,安値!L101&lt;安値!M101,安値!L101&lt;安値!N101),7,""))</f>
        <v/>
      </c>
      <c r="H101" s="503" t="str">
        <f>IF(終値!A101="","",IF(AND(安値!M101&lt;安値!L101,安値!M101&lt;安値!K101,安値!M101&lt;安値!N101,安値!M101&lt;安値!O101),8,""))</f>
        <v/>
      </c>
      <c r="I101" s="503">
        <f>IF(終値!A101="","",IF(AND(安値!N101&lt;安値!M101,安値!N101&lt;安値!L101,安値!N101&lt;安値!O101,安値!N101&lt;安値!P101),9,""))</f>
        <v>9</v>
      </c>
      <c r="J101" s="503" t="str">
        <f>IF(終値!A101="","",IF(AND(安値!O101&lt;安値!N101,安値!O101&lt;安値!M101,安値!O101&lt;安値!P101,安値!O101&lt;安値!Q101),10,""))</f>
        <v/>
      </c>
      <c r="K101" s="503" t="str">
        <f>IF(終値!A101="","",IF(AND(安値!P101&lt;安値!O101,安値!P101&lt;安値!N101,安値!P101&lt;安値!Q101,安値!P101&lt;安値!R101),11,""))</f>
        <v/>
      </c>
      <c r="L101" s="503" t="str">
        <f>IF(終値!A101="","",IF(AND(安値!Q101&lt;安値!P101,安値!Q101&lt;安値!O101,安値!Q101&lt;安値!R101,安値!Q101&lt;安値!S101),12,""))</f>
        <v/>
      </c>
      <c r="M101" s="503" t="str">
        <f>IF(終値!A101="","",IF(AND(安値!R101&lt;安値!Q101,安値!R101&lt;安値!P101,安値!R101&lt;安値!S101,安値!R101&lt;安値!T101),13,""))</f>
        <v/>
      </c>
      <c r="N101" s="503" t="str">
        <f>IF(終値!A101="","",IF(AND(安値!S101&lt;安値!R101,安値!S101&lt;安値!Q101,安値!S101&lt;安値!T101,安値!S101&lt;安値!U101),14,""))</f>
        <v/>
      </c>
      <c r="O101" s="503" t="str">
        <f>IF(終値!A101="","",IF(AND(安値!T101&lt;安値!S101,安値!T101&lt;安値!R101,安値!T101&lt;安値!U101,安値!T101&lt;安値!V101),15,""))</f>
        <v/>
      </c>
      <c r="P101" s="503" t="str">
        <f>IF(終値!A101="","",IF(AND(安値!U101&lt;安値!T101,安値!U101&lt;安値!S101,安値!U101&lt;安値!V101,安値!U101&lt;安値!W101),16,""))</f>
        <v/>
      </c>
      <c r="Q101" s="503" t="str">
        <f>IF(終値!A101="","",IF(AND(安値!V101&lt;安値!U101,安値!V101&lt;安値!T101,安値!V101&lt;安値!W101,安値!V101&lt;安値!X101),17,""))</f>
        <v/>
      </c>
      <c r="R101" s="503" t="str">
        <f>IF(終値!A101="","",IF(AND(安値!W101&lt;安値!V101,安値!W101&lt;安値!U101,安値!W101&lt;安値!X101,安値!W101&lt;安値!Y101),18,""))</f>
        <v/>
      </c>
      <c r="S101" s="503" t="str">
        <f>IF(終値!A101="","",IF(AND(安値!X101&lt;安値!W101,安値!X101&lt;安値!V101,安値!X101&lt;安値!Y101,安値!X101&lt;安値!Z101),19,""))</f>
        <v/>
      </c>
      <c r="T101" s="503" t="str">
        <f>IF(終値!A101="","",IF(AND(安値!Y101&lt;安値!X101,安値!Y101&lt;安値!W101,安値!Y101&lt;安値!Z101,安値!Y101&lt;安値!AA101),20,""))</f>
        <v/>
      </c>
      <c r="U101" s="503" t="str">
        <f>IF(終値!A101="","",IF(AND(安値!Z101&lt;安値!Y101,安値!Z101&lt;安値!X101,安値!Z101&lt;安値!AA101,安値!Z101&lt;安値!AB101),21,""))</f>
        <v/>
      </c>
      <c r="V101" s="503" t="str">
        <f>IF(終値!A101="","",IF(AND(安値!AA101&lt;安値!Z101,安値!AA101&lt;安値!Y101,安値!AA101&lt;安値!AB101,安値!AA101&lt;安値!AC101),22,""))</f>
        <v/>
      </c>
      <c r="W101" s="503" t="str">
        <f>IF(終値!A101="","",IF(AND(安値!AB101&lt;安値!AA101,安値!AB101&lt;安値!Z101,安値!AB101&lt;安値!AC101,安値!AB101&lt;安値!AD101),23,""))</f>
        <v/>
      </c>
      <c r="X101" s="503" t="str">
        <f>IF(終値!A101="","",IF(AND(安値!AC101&lt;安値!AB101,安値!AC101&lt;安値!AA101,安値!AC101&lt;安値!AD101,安値!AC101&lt;安値!AE101),24,""))</f>
        <v/>
      </c>
      <c r="Y101" s="503" t="str">
        <f>IF(終値!A101="","",IF(AND(安値!AD101&lt;安値!AC101,安値!AD101&lt;安値!AB101,安値!AD101&lt;安値!AE101,安値!AD101&lt;安値!AF101),25,""))</f>
        <v/>
      </c>
      <c r="Z101" s="503" t="str">
        <f>IF(終値!A101="","",IF(AND(安値!AE101&lt;安値!AD101,安値!AE101&lt;安値!AC101,安値!AE101&lt;安値!AF101,安値!AE101&lt;安値!AG101),26,""))</f>
        <v/>
      </c>
      <c r="AA101" s="503" t="str">
        <f>IF(終値!A101="","",IF(AND(安値!AF101&lt;安値!AE101,安値!AF101&lt;安値!AD101,安値!AF101&lt;安値!AG101,安値!AF101&lt;安値!AH101),27,""))</f>
        <v/>
      </c>
      <c r="AB101" s="503" t="str">
        <f>IF(終値!A101="","",IF(AND(安値!AG101&lt;安値!AF101,安値!AG101&lt;安値!AE101,安値!AG101&lt;安値!AH101,安値!AG101&lt;安値!AI101),28,""))</f>
        <v/>
      </c>
      <c r="AC101" s="503" t="str">
        <f>IF(終値!A101="","",IF(AND(高値!G101&gt;高値!F101,高値!G101&gt;高値!E101,高値!G101&gt;高値!H101,高値!G101&gt;高値!I101),2,""))</f>
        <v/>
      </c>
      <c r="AD101" s="503" t="str">
        <f>IF(終値!A101="","",IF(AND(高値!H101&gt;高値!G101,高値!H101&gt;高値!F101,高値!H101&gt;高値!I101,高値!H101&gt;高値!J101),3,""))</f>
        <v/>
      </c>
      <c r="AE101" s="503">
        <f>IF(終値!A101="","",IF(AND(高値!I101&gt;高値!H101,高値!I101&gt;高値!G101,高値!I101&gt;高値!J101,高値!I101&gt;高値!K101),4,""))</f>
        <v>4</v>
      </c>
      <c r="AF101" s="503" t="str">
        <f>IF(終値!A101="","",IF(AND(高値!J101&gt;高値!I101,高値!J101&gt;高値!H101,高値!J101&gt;高値!K101,高値!J101&gt;高値!L101),5,""))</f>
        <v/>
      </c>
      <c r="AG101" s="503" t="str">
        <f>IF(終値!A101="","",IF(AND(高値!K101&gt;高値!J101,高値!K101&gt;高値!I101,高値!K101&gt;高値!L101,高値!K101&gt;高値!M101),6,""))</f>
        <v/>
      </c>
      <c r="AH101" s="503" t="str">
        <f>IF(終値!A101="","",IF(AND(高値!L101&gt;高値!K101,高値!L101&gt;高値!J101,高値!L101&gt;高値!M101,高値!L101&gt;高値!N101),7,""))</f>
        <v/>
      </c>
      <c r="AI101" s="503" t="str">
        <f>IF(終値!A101="","",IF(AND(高値!M101&gt;高値!L101,高値!M101&gt;高値!K101,高値!M101&gt;高値!N101,高値!M101&gt;高値!O101),8,""))</f>
        <v/>
      </c>
      <c r="AJ101" s="503" t="str">
        <f>IF(終値!A101="","",IF(AND(高値!N101&gt;高値!M101,高値!N101&gt;高値!L101,高値!N101&gt;高値!O101,高値!N101&gt;高値!P101),9,""))</f>
        <v/>
      </c>
      <c r="AK101" s="503" t="str">
        <f>IF(終値!A101="","",IF(AND(高値!O101&gt;高値!N101,高値!O101&gt;高値!M101,高値!O101&gt;高値!P101,高値!O101&gt;高値!Q101),10,""))</f>
        <v/>
      </c>
      <c r="AL101" s="503" t="str">
        <f>IF(終値!A101="","",IF(AND(高値!P101&gt;高値!O101,高値!P101&gt;高値!N101,高値!P101&gt;高値!Q101,高値!P101&gt;高値!R101),11,""))</f>
        <v/>
      </c>
      <c r="AM101" s="503">
        <f>IF(終値!A101="","",IF(AND(高値!Q101&gt;高値!P101,高値!Q101&gt;高値!O101,高値!Q101&gt;高値!R101,高値!Q101&gt;高値!S101),12,""))</f>
        <v>12</v>
      </c>
      <c r="AN101" s="503" t="str">
        <f>IF(終値!A101="","",IF(AND(高値!R101&gt;高値!Q101,高値!R101&gt;高値!P101,高値!R101&gt;高値!S101,高値!R101&gt;高値!T101),13,""))</f>
        <v/>
      </c>
      <c r="AO101" s="503" t="str">
        <f>IF(終値!A101="","",IF(AND(高値!S101&gt;高値!R101,高値!S101&gt;高値!Q101,高値!S101&gt;高値!T101,高値!S101&gt;高値!U101),14,""))</f>
        <v/>
      </c>
      <c r="AP101" s="503">
        <f>IF(終値!A101="","",IF(AND(高値!T101&gt;高値!S101,高値!T101&gt;高値!R101,高値!T101&gt;高値!U101,高値!T101&gt;高値!V101),15,""))</f>
        <v>15</v>
      </c>
      <c r="AQ101" s="503" t="str">
        <f>IF(終値!A101="","",IF(AND(高値!U101&gt;高値!T101,高値!U101&gt;高値!S101,高値!U101&gt;高値!V101,高値!U101&gt;高値!W101),16,""))</f>
        <v/>
      </c>
      <c r="AR101" s="503" t="str">
        <f>IF(終値!A101="","",IF(AND(高値!V101&gt;高値!U101,高値!V101&gt;高値!T101,高値!V101&gt;高値!W101,高値!V101&gt;高値!X101),17,""))</f>
        <v/>
      </c>
      <c r="AS101" s="503" t="str">
        <f>IF(終値!A101="","",IF(AND(高値!W101&gt;高値!V101,高値!W101&gt;高値!U101,高値!W101&gt;高値!X101,高値!W101&gt;高値!Y101),18,""))</f>
        <v/>
      </c>
      <c r="AT101" s="503">
        <f>IF(終値!A101="","",IF(AND(高値!X101&gt;高値!W101,高値!X101&gt;高値!V101,高値!X101&gt;高値!Y101,高値!X101&gt;高値!Z101),19,""))</f>
        <v>19</v>
      </c>
      <c r="AU101" s="503" t="str">
        <f>IF(終値!A101="","",IF(AND(高値!Y101&gt;高値!X101,高値!Y101&gt;高値!W101,高値!Y101&gt;高値!Z101,高値!Y101&gt;高値!AA101),20,""))</f>
        <v/>
      </c>
      <c r="AV101" s="503" t="str">
        <f>IF(終値!A101="","",IF(AND(高値!Z101&gt;高値!Y101,高値!Z101&gt;高値!X101,高値!Z101&gt;高値!AA101,高値!Z101&gt;高値!AB101),21,""))</f>
        <v/>
      </c>
      <c r="AW101" s="503" t="str">
        <f>IF(終値!A101="","",IF(AND(高値!AA101&gt;高値!Z101,高値!AA101&gt;高値!Y101,高値!AA101&gt;高値!AB101,高値!AA101&gt;高値!AC101),22,""))</f>
        <v/>
      </c>
      <c r="AX101" s="503" t="str">
        <f>IF(終値!A101="","",IF(AND(高値!AB101&gt;高値!AA101,高値!AB101&gt;高値!Z101,高値!AB101&gt;高値!AC101,高値!AB101&gt;高値!AD101),23,""))</f>
        <v/>
      </c>
      <c r="AY101" s="503" t="str">
        <f>IF(終値!A101="","",IF(AND(高値!AC101&gt;高値!AB101,高値!AC101&gt;高値!AA101,高値!AC101&gt;高値!AD101,高値!AC101&gt;高値!AE101),24,""))</f>
        <v/>
      </c>
      <c r="AZ101" s="503">
        <f>IF(終値!A101="","",IF(AND(高値!AD101&gt;高値!AC101,高値!AD101&gt;高値!AB101,高値!AD101&gt;高値!AE101,高値!AD101&gt;高値!AF101),25,""))</f>
        <v>25</v>
      </c>
      <c r="BA101" s="503" t="str">
        <f>IF(終値!A101="","",IF(AND(高値!AE101&gt;高値!AD101,高値!AE101&gt;高値!AC101,高値!AE101&gt;高値!AF101,高値!AE101&gt;高値!AG101),26,""))</f>
        <v/>
      </c>
      <c r="BB101" s="503" t="str">
        <f>IF(終値!A101="","",IF(AND(高値!AF101&gt;高値!AE101,高値!AF101&gt;高値!AD101,高値!AF101&gt;高値!AG101,高値!AF101&gt;高値!AH101),27,""))</f>
        <v/>
      </c>
      <c r="BC101" s="503" t="str">
        <f>IF(終値!A101="","",IF(AND(高値!AG101&gt;高値!AF101,高値!AG101&gt;高値!AE101,高値!AG101&gt;高値!AH101,高値!AG101&gt;高値!AI101),28,""))</f>
        <v/>
      </c>
      <c r="BD101" s="503">
        <f t="shared" si="6"/>
        <v>1</v>
      </c>
      <c r="BE101" s="503" t="str">
        <f t="shared" si="7"/>
        <v/>
      </c>
      <c r="BF101" s="503" t="str">
        <f t="shared" si="8"/>
        <v/>
      </c>
      <c r="BG101" s="503" t="str">
        <f>IF($BE101="","",INDEX(安値!$E101:$CZ101,1,$BE101+1))</f>
        <v/>
      </c>
      <c r="BH101" s="503" t="str">
        <f>IF($BF101="","",INDEX(安値!$E101:$CZ101,1,$BF101+1))</f>
        <v/>
      </c>
      <c r="BI101" s="503" t="str">
        <f>IF($BF101="","",MAX(INDEX(高値!$E101:$CZ101,1,$BE101+1):INDEX(高値!$E101:$CZ101,1,$BF101+1)))</f>
        <v/>
      </c>
      <c r="BJ101" s="503" t="str">
        <f>IF($BF101="","",AVERAGE(INDEX(終値!$E101:$CZ101,1,$BF101+1):INDEX(終値!$E101:$CZ101,1,$BF101+20))-2*STDEVP(INDEX(終値!$E101:$CZ101,1,$BF101+1):INDEX(終値!$E101:$CZ101,1,$BF101+20)))</f>
        <v/>
      </c>
      <c r="BK101" s="503" t="str">
        <f>IF($BE101="","",AVERAGE(INDEX(終値!$E101:$CZ101,1,$BE101+1):INDEX(終値!$E101:$CZ101,1,$BE101+20))-2*STDEVP(INDEX(終値!$E101:$CZ101,1,$BE101+1):INDEX(終値!$E101:$CZ101,1,$BE101+20)))</f>
        <v/>
      </c>
      <c r="BL101" s="503">
        <f t="shared" si="9"/>
        <v>5</v>
      </c>
      <c r="BM101" s="503">
        <f t="shared" si="10"/>
        <v>4</v>
      </c>
      <c r="BN101" s="503">
        <f t="shared" si="11"/>
        <v>12</v>
      </c>
      <c r="BO101" s="503">
        <f>IF($BM101="","",INDEX(高値!$E101:$CZ101,1,$BM101+1))</f>
        <v>3167</v>
      </c>
      <c r="BP101" s="503">
        <f>IF($BN101="","",INDEX(高値!$E101:$CZ101,1,$BN101+1))</f>
        <v>2822</v>
      </c>
      <c r="BQ101" s="503">
        <f>IF($BN101="","",MIN(INDEX(安値!$E101:$CZ101,1,$BM101+1):INDEX(安値!$E101:$CZ101,1,$BN101+1)))</f>
        <v>2582</v>
      </c>
      <c r="BR101" s="503">
        <f>IF($BN101="","",AVERAGE(INDEX(終値!$E101:$CZ101,1,$BN101+1):INDEX(終値!$E101:$CZ101,1,$BN101+20))+2*STDEVP(INDEX(終値!$E101:$CZ101,1,$BN101+1):INDEX(終値!$E101:$CZ101,1,$BN101+20)))</f>
        <v>2790.433466564547</v>
      </c>
      <c r="BS101" s="503">
        <f>IF($BM101="","",AVERAGE(INDEX(終値!$E101:$CZ101,1,$BM101+1):INDEX(終値!$E101:$CZ101,1,$BM101+20))+2*STDEVP(INDEX(終値!$E101:$CZ101,1,$BM101+1):INDEX(終値!$E101:$CZ101,1,$BM101+20)))</f>
        <v>3064.1334053981964</v>
      </c>
      <c r="BT101" s="500"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3" t="str">
        <f>IF(終値!A102="","",IF(AND(安値!G102&lt;安値!F102,安値!G102&lt;安値!E102,安値!G102&lt;安値!H102,安値!G102&lt;安値!I102),2,""))</f>
        <v/>
      </c>
      <c r="C102" s="503" t="str">
        <f>IF(終値!A102="","",IF(AND(安値!H102&lt;安値!G102,安値!H102&lt;安値!F102,安値!H102&lt;安値!I102,安値!H102&lt;安値!J102),3,""))</f>
        <v/>
      </c>
      <c r="D102" s="503" t="str">
        <f>IF(終値!A102="","",IF(AND(安値!I102&lt;安値!H102,安値!I102&lt;安値!G102,安値!I102&lt;安値!J102,安値!I102&lt;安値!K102),4,""))</f>
        <v/>
      </c>
      <c r="E102" s="503" t="str">
        <f>IF(終値!A102="","",IF(AND(安値!J102&lt;安値!I102,安値!J102&lt;安値!H102,安値!J102&lt;安値!K102,安値!J102&lt;安値!L102),5,""))</f>
        <v/>
      </c>
      <c r="F102" s="503" t="str">
        <f>IF(終値!A102="","",IF(AND(安値!K102&lt;安値!J102,安値!K102&lt;安値!I102,安値!K102&lt;安値!L102,安値!K102&lt;安値!M102),6,""))</f>
        <v/>
      </c>
      <c r="G102" s="503" t="str">
        <f>IF(終値!A102="","",IF(AND(安値!L102&lt;安値!K102,安値!L102&lt;安値!J102,安値!L102&lt;安値!M102,安値!L102&lt;安値!N102),7,""))</f>
        <v/>
      </c>
      <c r="H102" s="503" t="str">
        <f>IF(終値!A102="","",IF(AND(安値!M102&lt;安値!L102,安値!M102&lt;安値!K102,安値!M102&lt;安値!N102,安値!M102&lt;安値!O102),8,""))</f>
        <v/>
      </c>
      <c r="I102" s="503" t="str">
        <f>IF(終値!A102="","",IF(AND(安値!N102&lt;安値!M102,安値!N102&lt;安値!L102,安値!N102&lt;安値!O102,安値!N102&lt;安値!P102),9,""))</f>
        <v/>
      </c>
      <c r="J102" s="503" t="str">
        <f>IF(終値!A102="","",IF(AND(安値!O102&lt;安値!N102,安値!O102&lt;安値!M102,安値!O102&lt;安値!P102,安値!O102&lt;安値!Q102),10,""))</f>
        <v/>
      </c>
      <c r="K102" s="503" t="str">
        <f>IF(終値!A102="","",IF(AND(安値!P102&lt;安値!O102,安値!P102&lt;安値!N102,安値!P102&lt;安値!Q102,安値!P102&lt;安値!R102),11,""))</f>
        <v/>
      </c>
      <c r="L102" s="503" t="str">
        <f>IF(終値!A102="","",IF(AND(安値!Q102&lt;安値!P102,安値!Q102&lt;安値!O102,安値!Q102&lt;安値!R102,安値!Q102&lt;安値!S102),12,""))</f>
        <v/>
      </c>
      <c r="M102" s="503" t="str">
        <f>IF(終値!A102="","",IF(AND(安値!R102&lt;安値!Q102,安値!R102&lt;安値!P102,安値!R102&lt;安値!S102,安値!R102&lt;安値!T102),13,""))</f>
        <v/>
      </c>
      <c r="N102" s="503" t="str">
        <f>IF(終値!A102="","",IF(AND(安値!S102&lt;安値!R102,安値!S102&lt;安値!Q102,安値!S102&lt;安値!T102,安値!S102&lt;安値!U102),14,""))</f>
        <v/>
      </c>
      <c r="O102" s="503" t="str">
        <f>IF(終値!A102="","",IF(AND(安値!T102&lt;安値!S102,安値!T102&lt;安値!R102,安値!T102&lt;安値!U102,安値!T102&lt;安値!V102),15,""))</f>
        <v/>
      </c>
      <c r="P102" s="503" t="str">
        <f>IF(終値!A102="","",IF(AND(安値!U102&lt;安値!T102,安値!U102&lt;安値!S102,安値!U102&lt;安値!V102,安値!U102&lt;安値!W102),16,""))</f>
        <v/>
      </c>
      <c r="Q102" s="503" t="str">
        <f>IF(終値!A102="","",IF(AND(安値!V102&lt;安値!U102,安値!V102&lt;安値!T102,安値!V102&lt;安値!W102,安値!V102&lt;安値!X102),17,""))</f>
        <v/>
      </c>
      <c r="R102" s="503" t="str">
        <f>IF(終値!A102="","",IF(AND(安値!W102&lt;安値!V102,安値!W102&lt;安値!U102,安値!W102&lt;安値!X102,安値!W102&lt;安値!Y102),18,""))</f>
        <v/>
      </c>
      <c r="S102" s="503" t="str">
        <f>IF(終値!A102="","",IF(AND(安値!X102&lt;安値!W102,安値!X102&lt;安値!V102,安値!X102&lt;安値!Y102,安値!X102&lt;安値!Z102),19,""))</f>
        <v/>
      </c>
      <c r="T102" s="503" t="str">
        <f>IF(終値!A102="","",IF(AND(安値!Y102&lt;安値!X102,安値!Y102&lt;安値!W102,安値!Y102&lt;安値!Z102,安値!Y102&lt;安値!AA102),20,""))</f>
        <v/>
      </c>
      <c r="U102" s="503" t="str">
        <f>IF(終値!A102="","",IF(AND(安値!Z102&lt;安値!Y102,安値!Z102&lt;安値!X102,安値!Z102&lt;安値!AA102,安値!Z102&lt;安値!AB102),21,""))</f>
        <v/>
      </c>
      <c r="V102" s="503" t="str">
        <f>IF(終値!A102="","",IF(AND(安値!AA102&lt;安値!Z102,安値!AA102&lt;安値!Y102,安値!AA102&lt;安値!AB102,安値!AA102&lt;安値!AC102),22,""))</f>
        <v/>
      </c>
      <c r="W102" s="503" t="str">
        <f>IF(終値!A102="","",IF(AND(安値!AB102&lt;安値!AA102,安値!AB102&lt;安値!Z102,安値!AB102&lt;安値!AC102,安値!AB102&lt;安値!AD102),23,""))</f>
        <v/>
      </c>
      <c r="X102" s="503" t="str">
        <f>IF(終値!A102="","",IF(AND(安値!AC102&lt;安値!AB102,安値!AC102&lt;安値!AA102,安値!AC102&lt;安値!AD102,安値!AC102&lt;安値!AE102),24,""))</f>
        <v/>
      </c>
      <c r="Y102" s="503" t="str">
        <f>IF(終値!A102="","",IF(AND(安値!AD102&lt;安値!AC102,安値!AD102&lt;安値!AB102,安値!AD102&lt;安値!AE102,安値!AD102&lt;安値!AF102),25,""))</f>
        <v/>
      </c>
      <c r="Z102" s="503" t="str">
        <f>IF(終値!A102="","",IF(AND(安値!AE102&lt;安値!AD102,安値!AE102&lt;安値!AC102,安値!AE102&lt;安値!AF102,安値!AE102&lt;安値!AG102),26,""))</f>
        <v/>
      </c>
      <c r="AA102" s="503" t="str">
        <f>IF(終値!A102="","",IF(AND(安値!AF102&lt;安値!AE102,安値!AF102&lt;安値!AD102,安値!AF102&lt;安値!AG102,安値!AF102&lt;安値!AH102),27,""))</f>
        <v/>
      </c>
      <c r="AB102" s="503" t="str">
        <f>IF(終値!A102="","",IF(AND(安値!AG102&lt;安値!AF102,安値!AG102&lt;安値!AE102,安値!AG102&lt;安値!AH102,安値!AG102&lt;安値!AI102),28,""))</f>
        <v/>
      </c>
      <c r="AC102" s="503" t="str">
        <f>IF(終値!A102="","",IF(AND(高値!G102&gt;高値!F102,高値!G102&gt;高値!E102,高値!G102&gt;高値!H102,高値!G102&gt;高値!I102),2,""))</f>
        <v/>
      </c>
      <c r="AD102" s="503" t="str">
        <f>IF(終値!A102="","",IF(AND(高値!H102&gt;高値!G102,高値!H102&gt;高値!F102,高値!H102&gt;高値!I102,高値!H102&gt;高値!J102),3,""))</f>
        <v/>
      </c>
      <c r="AE102" s="503" t="str">
        <f>IF(終値!A102="","",IF(AND(高値!I102&gt;高値!H102,高値!I102&gt;高値!G102,高値!I102&gt;高値!J102,高値!I102&gt;高値!K102),4,""))</f>
        <v/>
      </c>
      <c r="AF102" s="503" t="str">
        <f>IF(終値!A102="","",IF(AND(高値!J102&gt;高値!I102,高値!J102&gt;高値!H102,高値!J102&gt;高値!K102,高値!J102&gt;高値!L102),5,""))</f>
        <v/>
      </c>
      <c r="AG102" s="503" t="str">
        <f>IF(終値!A102="","",IF(AND(高値!K102&gt;高値!J102,高値!K102&gt;高値!I102,高値!K102&gt;高値!L102,高値!K102&gt;高値!M102),6,""))</f>
        <v/>
      </c>
      <c r="AH102" s="503" t="str">
        <f>IF(終値!A102="","",IF(AND(高値!L102&gt;高値!K102,高値!L102&gt;高値!J102,高値!L102&gt;高値!M102,高値!L102&gt;高値!N102),7,""))</f>
        <v/>
      </c>
      <c r="AI102" s="503" t="str">
        <f>IF(終値!A102="","",IF(AND(高値!M102&gt;高値!L102,高値!M102&gt;高値!K102,高値!M102&gt;高値!N102,高値!M102&gt;高値!O102),8,""))</f>
        <v/>
      </c>
      <c r="AJ102" s="503" t="str">
        <f>IF(終値!A102="","",IF(AND(高値!N102&gt;高値!M102,高値!N102&gt;高値!L102,高値!N102&gt;高値!O102,高値!N102&gt;高値!P102),9,""))</f>
        <v/>
      </c>
      <c r="AK102" s="503" t="str">
        <f>IF(終値!A102="","",IF(AND(高値!O102&gt;高値!N102,高値!O102&gt;高値!M102,高値!O102&gt;高値!P102,高値!O102&gt;高値!Q102),10,""))</f>
        <v/>
      </c>
      <c r="AL102" s="503" t="str">
        <f>IF(終値!A102="","",IF(AND(高値!P102&gt;高値!O102,高値!P102&gt;高値!N102,高値!P102&gt;高値!Q102,高値!P102&gt;高値!R102),11,""))</f>
        <v/>
      </c>
      <c r="AM102" s="503" t="str">
        <f>IF(終値!A102="","",IF(AND(高値!Q102&gt;高値!P102,高値!Q102&gt;高値!O102,高値!Q102&gt;高値!R102,高値!Q102&gt;高値!S102),12,""))</f>
        <v/>
      </c>
      <c r="AN102" s="503" t="str">
        <f>IF(終値!A102="","",IF(AND(高値!R102&gt;高値!Q102,高値!R102&gt;高値!P102,高値!R102&gt;高値!S102,高値!R102&gt;高値!T102),13,""))</f>
        <v/>
      </c>
      <c r="AO102" s="503" t="str">
        <f>IF(終値!A102="","",IF(AND(高値!S102&gt;高値!R102,高値!S102&gt;高値!Q102,高値!S102&gt;高値!T102,高値!S102&gt;高値!U102),14,""))</f>
        <v/>
      </c>
      <c r="AP102" s="503" t="str">
        <f>IF(終値!A102="","",IF(AND(高値!T102&gt;高値!S102,高値!T102&gt;高値!R102,高値!T102&gt;高値!U102,高値!T102&gt;高値!V102),15,""))</f>
        <v/>
      </c>
      <c r="AQ102" s="503" t="str">
        <f>IF(終値!A102="","",IF(AND(高値!U102&gt;高値!T102,高値!U102&gt;高値!S102,高値!U102&gt;高値!V102,高値!U102&gt;高値!W102),16,""))</f>
        <v/>
      </c>
      <c r="AR102" s="503" t="str">
        <f>IF(終値!A102="","",IF(AND(高値!V102&gt;高値!U102,高値!V102&gt;高値!T102,高値!V102&gt;高値!W102,高値!V102&gt;高値!X102),17,""))</f>
        <v/>
      </c>
      <c r="AS102" s="503" t="str">
        <f>IF(終値!A102="","",IF(AND(高値!W102&gt;高値!V102,高値!W102&gt;高値!U102,高値!W102&gt;高値!X102,高値!W102&gt;高値!Y102),18,""))</f>
        <v/>
      </c>
      <c r="AT102" s="503" t="str">
        <f>IF(終値!A102="","",IF(AND(高値!X102&gt;高値!W102,高値!X102&gt;高値!V102,高値!X102&gt;高値!Y102,高値!X102&gt;高値!Z102),19,""))</f>
        <v/>
      </c>
      <c r="AU102" s="503" t="str">
        <f>IF(終値!A102="","",IF(AND(高値!Y102&gt;高値!X102,高値!Y102&gt;高値!W102,高値!Y102&gt;高値!Z102,高値!Y102&gt;高値!AA102),20,""))</f>
        <v/>
      </c>
      <c r="AV102" s="503" t="str">
        <f>IF(終値!A102="","",IF(AND(高値!Z102&gt;高値!Y102,高値!Z102&gt;高値!X102,高値!Z102&gt;高値!AA102,高値!Z102&gt;高値!AB102),21,""))</f>
        <v/>
      </c>
      <c r="AW102" s="503" t="str">
        <f>IF(終値!A102="","",IF(AND(高値!AA102&gt;高値!Z102,高値!AA102&gt;高値!Y102,高値!AA102&gt;高値!AB102,高値!AA102&gt;高値!AC102),22,""))</f>
        <v/>
      </c>
      <c r="AX102" s="503" t="str">
        <f>IF(終値!A102="","",IF(AND(高値!AB102&gt;高値!AA102,高値!AB102&gt;高値!Z102,高値!AB102&gt;高値!AC102,高値!AB102&gt;高値!AD102),23,""))</f>
        <v/>
      </c>
      <c r="AY102" s="503" t="str">
        <f>IF(終値!A102="","",IF(AND(高値!AC102&gt;高値!AB102,高値!AC102&gt;高値!AA102,高値!AC102&gt;高値!AD102,高値!AC102&gt;高値!AE102),24,""))</f>
        <v/>
      </c>
      <c r="AZ102" s="503" t="str">
        <f>IF(終値!A102="","",IF(AND(高値!AD102&gt;高値!AC102,高値!AD102&gt;高値!AB102,高値!AD102&gt;高値!AE102,高値!AD102&gt;高値!AF102),25,""))</f>
        <v/>
      </c>
      <c r="BA102" s="503" t="str">
        <f>IF(終値!A102="","",IF(AND(高値!AE102&gt;高値!AD102,高値!AE102&gt;高値!AC102,高値!AE102&gt;高値!AF102,高値!AE102&gt;高値!AG102),26,""))</f>
        <v/>
      </c>
      <c r="BB102" s="503" t="str">
        <f>IF(終値!A102="","",IF(AND(高値!AF102&gt;高値!AE102,高値!AF102&gt;高値!AD102,高値!AF102&gt;高値!AG102,高値!AF102&gt;高値!AH102),27,""))</f>
        <v/>
      </c>
      <c r="BC102" s="503" t="str">
        <f>IF(終値!A102="","",IF(AND(高値!AG102&gt;高値!AF102,高値!AG102&gt;高値!AE102,高値!AG102&gt;高値!AH102,高値!AG102&gt;高値!AI102),28,""))</f>
        <v/>
      </c>
      <c r="BD102" s="503">
        <f t="shared" si="6"/>
        <v>0</v>
      </c>
      <c r="BE102" s="503" t="str">
        <f t="shared" si="7"/>
        <v/>
      </c>
      <c r="BF102" s="503" t="str">
        <f t="shared" si="8"/>
        <v/>
      </c>
      <c r="BG102" s="503" t="str">
        <f>IF($BE102="","",INDEX(安値!$E102:$CZ102,1,$BE102+1))</f>
        <v/>
      </c>
      <c r="BH102" s="503" t="str">
        <f>IF($BF102="","",INDEX(安値!$E102:$CZ102,1,$BF102+1))</f>
        <v/>
      </c>
      <c r="BI102" s="503" t="str">
        <f>IF($BF102="","",MAX(INDEX(高値!$E102:$CZ102,1,$BE102+1):INDEX(高値!$E102:$CZ102,1,$BF102+1)))</f>
        <v/>
      </c>
      <c r="BJ102" s="503" t="str">
        <f>IF($BF102="","",AVERAGE(INDEX(終値!$E102:$CZ102,1,$BF102+1):INDEX(終値!$E102:$CZ102,1,$BF102+20))-2*STDEVP(INDEX(終値!$E102:$CZ102,1,$BF102+1):INDEX(終値!$E102:$CZ102,1,$BF102+20)))</f>
        <v/>
      </c>
      <c r="BK102" s="503" t="str">
        <f>IF($BE102="","",AVERAGE(INDEX(終値!$E102:$CZ102,1,$BE102+1):INDEX(終値!$E102:$CZ102,1,$BE102+20))-2*STDEVP(INDEX(終値!$E102:$CZ102,1,$BE102+1):INDEX(終値!$E102:$CZ102,1,$BE102+20)))</f>
        <v/>
      </c>
      <c r="BL102" s="503">
        <f t="shared" si="9"/>
        <v>0</v>
      </c>
      <c r="BM102" s="503" t="str">
        <f t="shared" si="10"/>
        <v/>
      </c>
      <c r="BN102" s="503" t="str">
        <f t="shared" si="11"/>
        <v/>
      </c>
      <c r="BO102" s="503" t="str">
        <f>IF($BM102="","",INDEX(高値!$E102:$CZ102,1,$BM102+1))</f>
        <v/>
      </c>
      <c r="BP102" s="503" t="str">
        <f>IF($BN102="","",INDEX(高値!$E102:$CZ102,1,$BN102+1))</f>
        <v/>
      </c>
      <c r="BQ102" s="503" t="str">
        <f>IF($BN102="","",MIN(INDEX(安値!$E102:$CZ102,1,$BM102+1):INDEX(安値!$E102:$CZ102,1,$BN102+1)))</f>
        <v/>
      </c>
      <c r="BR102" s="503" t="str">
        <f>IF($BN102="","",AVERAGE(INDEX(終値!$E102:$CZ102,1,$BN102+1):INDEX(終値!$E102:$CZ102,1,$BN102+20))+2*STDEVP(INDEX(終値!$E102:$CZ102,1,$BN102+1):INDEX(終値!$E102:$CZ102,1,$BN102+20)))</f>
        <v/>
      </c>
      <c r="BS102" s="503" t="str">
        <f>IF($BM102="","",AVERAGE(INDEX(終値!$E102:$CZ102,1,$BM102+1):INDEX(終値!$E102:$CZ102,1,$BM102+20))+2*STDEVP(INDEX(終値!$E102:$CZ102,1,$BM102+1):INDEX(終値!$E102:$CZ102,1,$BM102+20)))</f>
        <v/>
      </c>
      <c r="BT102" s="500"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v>
      </c>
    </row>
    <row r="103" spans="2:72">
      <c r="B103" s="503" t="str">
        <f>IF(終値!A103="","",IF(AND(安値!G103&lt;安値!F103,安値!G103&lt;安値!E103,安値!G103&lt;安値!H103,安値!G103&lt;安値!I103),2,""))</f>
        <v/>
      </c>
      <c r="C103" s="503" t="str">
        <f>IF(終値!A103="","",IF(AND(安値!H103&lt;安値!G103,安値!H103&lt;安値!F103,安値!H103&lt;安値!I103,安値!H103&lt;安値!J103),3,""))</f>
        <v/>
      </c>
      <c r="D103" s="503" t="str">
        <f>IF(終値!A103="","",IF(AND(安値!I103&lt;安値!H103,安値!I103&lt;安値!G103,安値!I103&lt;安値!J103,安値!I103&lt;安値!K103),4,""))</f>
        <v/>
      </c>
      <c r="E103" s="503" t="str">
        <f>IF(終値!A103="","",IF(AND(安値!J103&lt;安値!I103,安値!J103&lt;安値!H103,安値!J103&lt;安値!K103,安値!J103&lt;安値!L103),5,""))</f>
        <v/>
      </c>
      <c r="F103" s="503">
        <f>IF(終値!A103="","",IF(AND(安値!K103&lt;安値!J103,安値!K103&lt;安値!I103,安値!K103&lt;安値!L103,安値!K103&lt;安値!M103),6,""))</f>
        <v>6</v>
      </c>
      <c r="G103" s="503" t="str">
        <f>IF(終値!A103="","",IF(AND(安値!L103&lt;安値!K103,安値!L103&lt;安値!J103,安値!L103&lt;安値!M103,安値!L103&lt;安値!N103),7,""))</f>
        <v/>
      </c>
      <c r="H103" s="503" t="str">
        <f>IF(終値!A103="","",IF(AND(安値!M103&lt;安値!L103,安値!M103&lt;安値!K103,安値!M103&lt;安値!N103,安値!M103&lt;安値!O103),8,""))</f>
        <v/>
      </c>
      <c r="I103" s="503" t="str">
        <f>IF(終値!A103="","",IF(AND(安値!N103&lt;安値!M103,安値!N103&lt;安値!L103,安値!N103&lt;安値!O103,安値!N103&lt;安値!P103),9,""))</f>
        <v/>
      </c>
      <c r="J103" s="503" t="str">
        <f>IF(終値!A103="","",IF(AND(安値!O103&lt;安値!N103,安値!O103&lt;安値!M103,安値!O103&lt;安値!P103,安値!O103&lt;安値!Q103),10,""))</f>
        <v/>
      </c>
      <c r="K103" s="503" t="str">
        <f>IF(終値!A103="","",IF(AND(安値!P103&lt;安値!O103,安値!P103&lt;安値!N103,安値!P103&lt;安値!Q103,安値!P103&lt;安値!R103),11,""))</f>
        <v/>
      </c>
      <c r="L103" s="503" t="str">
        <f>IF(終値!A103="","",IF(AND(安値!Q103&lt;安値!P103,安値!Q103&lt;安値!O103,安値!Q103&lt;安値!R103,安値!Q103&lt;安値!S103),12,""))</f>
        <v/>
      </c>
      <c r="M103" s="503">
        <f>IF(終値!A103="","",IF(AND(安値!R103&lt;安値!Q103,安値!R103&lt;安値!P103,安値!R103&lt;安値!S103,安値!R103&lt;安値!T103),13,""))</f>
        <v>13</v>
      </c>
      <c r="N103" s="503" t="str">
        <f>IF(終値!A103="","",IF(AND(安値!S103&lt;安値!R103,安値!S103&lt;安値!Q103,安値!S103&lt;安値!T103,安値!S103&lt;安値!U103),14,""))</f>
        <v/>
      </c>
      <c r="O103" s="503" t="str">
        <f>IF(終値!A103="","",IF(AND(安値!T103&lt;安値!S103,安値!T103&lt;安値!R103,安値!T103&lt;安値!U103,安値!T103&lt;安値!V103),15,""))</f>
        <v/>
      </c>
      <c r="P103" s="503" t="str">
        <f>IF(終値!A103="","",IF(AND(安値!U103&lt;安値!T103,安値!U103&lt;安値!S103,安値!U103&lt;安値!V103,安値!U103&lt;安値!W103),16,""))</f>
        <v/>
      </c>
      <c r="Q103" s="503" t="str">
        <f>IF(終値!A103="","",IF(AND(安値!V103&lt;安値!U103,安値!V103&lt;安値!T103,安値!V103&lt;安値!W103,安値!V103&lt;安値!X103),17,""))</f>
        <v/>
      </c>
      <c r="R103" s="503" t="str">
        <f>IF(終値!A103="","",IF(AND(安値!W103&lt;安値!V103,安値!W103&lt;安値!U103,安値!W103&lt;安値!X103,安値!W103&lt;安値!Y103),18,""))</f>
        <v/>
      </c>
      <c r="S103" s="503">
        <f>IF(終値!A103="","",IF(AND(安値!X103&lt;安値!W103,安値!X103&lt;安値!V103,安値!X103&lt;安値!Y103,安値!X103&lt;安値!Z103),19,""))</f>
        <v>19</v>
      </c>
      <c r="T103" s="503" t="str">
        <f>IF(終値!A103="","",IF(AND(安値!Y103&lt;安値!X103,安値!Y103&lt;安値!W103,安値!Y103&lt;安値!Z103,安値!Y103&lt;安値!AA103),20,""))</f>
        <v/>
      </c>
      <c r="U103" s="503" t="str">
        <f>IF(終値!A103="","",IF(AND(安値!Z103&lt;安値!Y103,安値!Z103&lt;安値!X103,安値!Z103&lt;安値!AA103,安値!Z103&lt;安値!AB103),21,""))</f>
        <v/>
      </c>
      <c r="V103" s="503">
        <f>IF(終値!A103="","",IF(AND(安値!AA103&lt;安値!Z103,安値!AA103&lt;安値!Y103,安値!AA103&lt;安値!AB103,安値!AA103&lt;安値!AC103),22,""))</f>
        <v>22</v>
      </c>
      <c r="W103" s="503" t="str">
        <f>IF(終値!A103="","",IF(AND(安値!AB103&lt;安値!AA103,安値!AB103&lt;安値!Z103,安値!AB103&lt;安値!AC103,安値!AB103&lt;安値!AD103),23,""))</f>
        <v/>
      </c>
      <c r="X103" s="503" t="str">
        <f>IF(終値!A103="","",IF(AND(安値!AC103&lt;安値!AB103,安値!AC103&lt;安値!AA103,安値!AC103&lt;安値!AD103,安値!AC103&lt;安値!AE103),24,""))</f>
        <v/>
      </c>
      <c r="Y103" s="503" t="str">
        <f>IF(終値!A103="","",IF(AND(安値!AD103&lt;安値!AC103,安値!AD103&lt;安値!AB103,安値!AD103&lt;安値!AE103,安値!AD103&lt;安値!AF103),25,""))</f>
        <v/>
      </c>
      <c r="Z103" s="503">
        <f>IF(終値!A103="","",IF(AND(安値!AE103&lt;安値!AD103,安値!AE103&lt;安値!AC103,安値!AE103&lt;安値!AF103,安値!AE103&lt;安値!AG103),26,""))</f>
        <v>26</v>
      </c>
      <c r="AA103" s="503" t="str">
        <f>IF(終値!A103="","",IF(AND(安値!AF103&lt;安値!AE103,安値!AF103&lt;安値!AD103,安値!AF103&lt;安値!AG103,安値!AF103&lt;安値!AH103),27,""))</f>
        <v/>
      </c>
      <c r="AB103" s="503" t="str">
        <f>IF(終値!A103="","",IF(AND(安値!AG103&lt;安値!AF103,安値!AG103&lt;安値!AE103,安値!AG103&lt;安値!AH103,安値!AG103&lt;安値!AI103),28,""))</f>
        <v/>
      </c>
      <c r="AC103" s="503" t="str">
        <f>IF(終値!A103="","",IF(AND(高値!G103&gt;高値!F103,高値!G103&gt;高値!E103,高値!G103&gt;高値!H103,高値!G103&gt;高値!I103),2,""))</f>
        <v/>
      </c>
      <c r="AD103" s="503" t="str">
        <f>IF(終値!A103="","",IF(AND(高値!H103&gt;高値!G103,高値!H103&gt;高値!F103,高値!H103&gt;高値!I103,高値!H103&gt;高値!J103),3,""))</f>
        <v/>
      </c>
      <c r="AE103" s="503" t="str">
        <f>IF(終値!A103="","",IF(AND(高値!I103&gt;高値!H103,高値!I103&gt;高値!G103,高値!I103&gt;高値!J103,高値!I103&gt;高値!K103),4,""))</f>
        <v/>
      </c>
      <c r="AF103" s="503" t="str">
        <f>IF(終値!A103="","",IF(AND(高値!J103&gt;高値!I103,高値!J103&gt;高値!H103,高値!J103&gt;高値!K103,高値!J103&gt;高値!L103),5,""))</f>
        <v/>
      </c>
      <c r="AG103" s="503" t="str">
        <f>IF(終値!A103="","",IF(AND(高値!K103&gt;高値!J103,高値!K103&gt;高値!I103,高値!K103&gt;高値!L103,高値!K103&gt;高値!M103),6,""))</f>
        <v/>
      </c>
      <c r="AH103" s="503" t="str">
        <f>IF(終値!A103="","",IF(AND(高値!L103&gt;高値!K103,高値!L103&gt;高値!J103,高値!L103&gt;高値!M103,高値!L103&gt;高値!N103),7,""))</f>
        <v/>
      </c>
      <c r="AI103" s="503" t="str">
        <f>IF(終値!A103="","",IF(AND(高値!M103&gt;高値!L103,高値!M103&gt;高値!K103,高値!M103&gt;高値!N103,高値!M103&gt;高値!O103),8,""))</f>
        <v/>
      </c>
      <c r="AJ103" s="503" t="str">
        <f>IF(終値!A103="","",IF(AND(高値!N103&gt;高値!M103,高値!N103&gt;高値!L103,高値!N103&gt;高値!O103,高値!N103&gt;高値!P103),9,""))</f>
        <v/>
      </c>
      <c r="AK103" s="503" t="str">
        <f>IF(終値!A103="","",IF(AND(高値!O103&gt;高値!N103,高値!O103&gt;高値!M103,高値!O103&gt;高値!P103,高値!O103&gt;高値!Q103),10,""))</f>
        <v/>
      </c>
      <c r="AL103" s="503">
        <f>IF(終値!A103="","",IF(AND(高値!P103&gt;高値!O103,高値!P103&gt;高値!N103,高値!P103&gt;高値!Q103,高値!P103&gt;高値!R103),11,""))</f>
        <v>11</v>
      </c>
      <c r="AM103" s="503" t="str">
        <f>IF(終値!A103="","",IF(AND(高値!Q103&gt;高値!P103,高値!Q103&gt;高値!O103,高値!Q103&gt;高値!R103,高値!Q103&gt;高値!S103),12,""))</f>
        <v/>
      </c>
      <c r="AN103" s="503" t="str">
        <f>IF(終値!A103="","",IF(AND(高値!R103&gt;高値!Q103,高値!R103&gt;高値!P103,高値!R103&gt;高値!S103,高値!R103&gt;高値!T103),13,""))</f>
        <v/>
      </c>
      <c r="AO103" s="503" t="str">
        <f>IF(終値!A103="","",IF(AND(高値!S103&gt;高値!R103,高値!S103&gt;高値!Q103,高値!S103&gt;高値!T103,高値!S103&gt;高値!U103),14,""))</f>
        <v/>
      </c>
      <c r="AP103" s="503" t="str">
        <f>IF(終値!A103="","",IF(AND(高値!T103&gt;高値!S103,高値!T103&gt;高値!R103,高値!T103&gt;高値!U103,高値!T103&gt;高値!V103),15,""))</f>
        <v/>
      </c>
      <c r="AQ103" s="503" t="str">
        <f>IF(終値!A103="","",IF(AND(高値!U103&gt;高値!T103,高値!U103&gt;高値!S103,高値!U103&gt;高値!V103,高値!U103&gt;高値!W103),16,""))</f>
        <v/>
      </c>
      <c r="AR103" s="503">
        <f>IF(終値!A103="","",IF(AND(高値!V103&gt;高値!U103,高値!V103&gt;高値!T103,高値!V103&gt;高値!W103,高値!V103&gt;高値!X103),17,""))</f>
        <v>17</v>
      </c>
      <c r="AS103" s="503" t="str">
        <f>IF(終値!A103="","",IF(AND(高値!W103&gt;高値!V103,高値!W103&gt;高値!U103,高値!W103&gt;高値!X103,高値!W103&gt;高値!Y103),18,""))</f>
        <v/>
      </c>
      <c r="AT103" s="503" t="str">
        <f>IF(終値!A103="","",IF(AND(高値!X103&gt;高値!W103,高値!X103&gt;高値!V103,高値!X103&gt;高値!Y103,高値!X103&gt;高値!Z103),19,""))</f>
        <v/>
      </c>
      <c r="AU103" s="503" t="str">
        <f>IF(終値!A103="","",IF(AND(高値!Y103&gt;高値!X103,高値!Y103&gt;高値!W103,高値!Y103&gt;高値!Z103,高値!Y103&gt;高値!AA103),20,""))</f>
        <v/>
      </c>
      <c r="AV103" s="503" t="str">
        <f>IF(終値!A103="","",IF(AND(高値!Z103&gt;高値!Y103,高値!Z103&gt;高値!X103,高値!Z103&gt;高値!AA103,高値!Z103&gt;高値!AB103),21,""))</f>
        <v/>
      </c>
      <c r="AW103" s="503" t="str">
        <f>IF(終値!A103="","",IF(AND(高値!AA103&gt;高値!Z103,高値!AA103&gt;高値!Y103,高値!AA103&gt;高値!AB103,高値!AA103&gt;高値!AC103),22,""))</f>
        <v/>
      </c>
      <c r="AX103" s="503" t="str">
        <f>IF(終値!A103="","",IF(AND(高値!AB103&gt;高値!AA103,高値!AB103&gt;高値!Z103,高値!AB103&gt;高値!AC103,高値!AB103&gt;高値!AD103),23,""))</f>
        <v/>
      </c>
      <c r="AY103" s="503">
        <f>IF(終値!A103="","",IF(AND(高値!AC103&gt;高値!AB103,高値!AC103&gt;高値!AA103,高値!AC103&gt;高値!AD103,高値!AC103&gt;高値!AE103),24,""))</f>
        <v>24</v>
      </c>
      <c r="AZ103" s="503" t="str">
        <f>IF(終値!A103="","",IF(AND(高値!AD103&gt;高値!AC103,高値!AD103&gt;高値!AB103,高値!AD103&gt;高値!AE103,高値!AD103&gt;高値!AF103),25,""))</f>
        <v/>
      </c>
      <c r="BA103" s="503" t="str">
        <f>IF(終値!A103="","",IF(AND(高値!AE103&gt;高値!AD103,高値!AE103&gt;高値!AC103,高値!AE103&gt;高値!AF103,高値!AE103&gt;高値!AG103),26,""))</f>
        <v/>
      </c>
      <c r="BB103" s="503" t="str">
        <f>IF(終値!A103="","",IF(AND(高値!AF103&gt;高値!AE103,高値!AF103&gt;高値!AD103,高値!AF103&gt;高値!AG103,高値!AF103&gt;高値!AH103),27,""))</f>
        <v/>
      </c>
      <c r="BC103" s="503" t="str">
        <f>IF(終値!A103="","",IF(AND(高値!AG103&gt;高値!AF103,高値!AG103&gt;高値!AE103,高値!AG103&gt;高値!AH103,高値!AG103&gt;高値!AI103),28,""))</f>
        <v/>
      </c>
      <c r="BD103" s="503">
        <f t="shared" si="6"/>
        <v>5</v>
      </c>
      <c r="BE103" s="503">
        <f t="shared" si="7"/>
        <v>6</v>
      </c>
      <c r="BF103" s="503">
        <f t="shared" si="8"/>
        <v>13</v>
      </c>
      <c r="BG103" s="503">
        <f>IF($BE103="","",INDEX(安値!$E103:$CZ103,1,$BE103+1))</f>
        <v>3665</v>
      </c>
      <c r="BH103" s="503">
        <f>IF($BF103="","",INDEX(安値!$E103:$CZ103,1,$BF103+1))</f>
        <v>4280</v>
      </c>
      <c r="BI103" s="503">
        <f>IF($BF103="","",MAX(INDEX(高値!$E103:$CZ103,1,$BE103+1):INDEX(高値!$E103:$CZ103,1,$BF103+1)))</f>
        <v>5026</v>
      </c>
      <c r="BJ103" s="503">
        <f>IF($BF103="","",AVERAGE(INDEX(終値!$E103:$CZ103,1,$BF103+1):INDEX(終値!$E103:$CZ103,1,$BF103+20))-2*STDEVP(INDEX(終値!$E103:$CZ103,1,$BF103+1):INDEX(終値!$E103:$CZ103,1,$BF103+20)))</f>
        <v>4296.9320493745508</v>
      </c>
      <c r="BK103" s="503">
        <f>IF($BE103="","",AVERAGE(INDEX(終値!$E103:$CZ103,1,$BE103+1):INDEX(終値!$E103:$CZ103,1,$BE103+20))-2*STDEVP(INDEX(終値!$E103:$CZ103,1,$BE103+1):INDEX(終値!$E103:$CZ103,1,$BE103+20)))</f>
        <v>3813.7007180217843</v>
      </c>
      <c r="BL103" s="503">
        <f t="shared" si="9"/>
        <v>3</v>
      </c>
      <c r="BM103" s="503">
        <f t="shared" si="10"/>
        <v>11</v>
      </c>
      <c r="BN103" s="503">
        <f t="shared" si="11"/>
        <v>17</v>
      </c>
      <c r="BO103" s="503">
        <f>IF($BM103="","",INDEX(高値!$E103:$CZ103,1,$BM103+1))</f>
        <v>5026</v>
      </c>
      <c r="BP103" s="503">
        <f>IF($BN103="","",INDEX(高値!$E103:$CZ103,1,$BN103+1))</f>
        <v>5437</v>
      </c>
      <c r="BQ103" s="503">
        <f>IF($BN103="","",MIN(INDEX(安値!$E103:$CZ103,1,$BM103+1):INDEX(安値!$E103:$CZ103,1,$BN103+1)))</f>
        <v>4280</v>
      </c>
      <c r="BR103" s="503">
        <f>IF($BN103="","",AVERAGE(INDEX(終値!$E103:$CZ103,1,$BN103+1):INDEX(終値!$E103:$CZ103,1,$BN103+20))+2*STDEVP(INDEX(終値!$E103:$CZ103,1,$BN103+1):INDEX(終値!$E103:$CZ103,1,$BN103+20)))</f>
        <v>6785.3390529273729</v>
      </c>
      <c r="BS103" s="503">
        <f>IF($BM103="","",AVERAGE(INDEX(終値!$E103:$CZ103,1,$BM103+1):INDEX(終値!$E103:$CZ103,1,$BM103+20))+2*STDEVP(INDEX(終値!$E103:$CZ103,1,$BM103+1):INDEX(終値!$E103:$CZ103,1,$BM103+20)))</f>
        <v>6664.4433365077002</v>
      </c>
      <c r="BT103" s="500"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3" t="str">
        <f>IF(終値!A104="","",IF(AND(安値!G104&lt;安値!F104,安値!G104&lt;安値!E104,安値!G104&lt;安値!H104,安値!G104&lt;安値!I104),2,""))</f>
        <v/>
      </c>
      <c r="C104" s="503">
        <f>IF(終値!A104="","",IF(AND(安値!H104&lt;安値!G104,安値!H104&lt;安値!F104,安値!H104&lt;安値!I104,安値!H104&lt;安値!J104),3,""))</f>
        <v>3</v>
      </c>
      <c r="D104" s="503" t="str">
        <f>IF(終値!A104="","",IF(AND(安値!I104&lt;安値!H104,安値!I104&lt;安値!G104,安値!I104&lt;安値!J104,安値!I104&lt;安値!K104),4,""))</f>
        <v/>
      </c>
      <c r="E104" s="503" t="str">
        <f>IF(終値!A104="","",IF(AND(安値!J104&lt;安値!I104,安値!J104&lt;安値!H104,安値!J104&lt;安値!K104,安値!J104&lt;安値!L104),5,""))</f>
        <v/>
      </c>
      <c r="F104" s="503" t="str">
        <f>IF(終値!A104="","",IF(AND(安値!K104&lt;安値!J104,安値!K104&lt;安値!I104,安値!K104&lt;安値!L104,安値!K104&lt;安値!M104),6,""))</f>
        <v/>
      </c>
      <c r="G104" s="503" t="str">
        <f>IF(終値!A104="","",IF(AND(安値!L104&lt;安値!K104,安値!L104&lt;安値!J104,安値!L104&lt;安値!M104,安値!L104&lt;安値!N104),7,""))</f>
        <v/>
      </c>
      <c r="H104" s="503" t="str">
        <f>IF(終値!A104="","",IF(AND(安値!M104&lt;安値!L104,安値!M104&lt;安値!K104,安値!M104&lt;安値!N104,安値!M104&lt;安値!O104),8,""))</f>
        <v/>
      </c>
      <c r="I104" s="503" t="str">
        <f>IF(終値!A104="","",IF(AND(安値!N104&lt;安値!M104,安値!N104&lt;安値!L104,安値!N104&lt;安値!O104,安値!N104&lt;安値!P104),9,""))</f>
        <v/>
      </c>
      <c r="J104" s="503" t="str">
        <f>IF(終値!A104="","",IF(AND(安値!O104&lt;安値!N104,安値!O104&lt;安値!M104,安値!O104&lt;安値!P104,安値!O104&lt;安値!Q104),10,""))</f>
        <v/>
      </c>
      <c r="K104" s="503" t="str">
        <f>IF(終値!A104="","",IF(AND(安値!P104&lt;安値!O104,安値!P104&lt;安値!N104,安値!P104&lt;安値!Q104,安値!P104&lt;安値!R104),11,""))</f>
        <v/>
      </c>
      <c r="L104" s="503" t="str">
        <f>IF(終値!A104="","",IF(AND(安値!Q104&lt;安値!P104,安値!Q104&lt;安値!O104,安値!Q104&lt;安値!R104,安値!Q104&lt;安値!S104),12,""))</f>
        <v/>
      </c>
      <c r="M104" s="503">
        <f>IF(終値!A104="","",IF(AND(安値!R104&lt;安値!Q104,安値!R104&lt;安値!P104,安値!R104&lt;安値!S104,安値!R104&lt;安値!T104),13,""))</f>
        <v>13</v>
      </c>
      <c r="N104" s="503" t="str">
        <f>IF(終値!A104="","",IF(AND(安値!S104&lt;安値!R104,安値!S104&lt;安値!Q104,安値!S104&lt;安値!T104,安値!S104&lt;安値!U104),14,""))</f>
        <v/>
      </c>
      <c r="O104" s="503" t="str">
        <f>IF(終値!A104="","",IF(AND(安値!T104&lt;安値!S104,安値!T104&lt;安値!R104,安値!T104&lt;安値!U104,安値!T104&lt;安値!V104),15,""))</f>
        <v/>
      </c>
      <c r="P104" s="503" t="str">
        <f>IF(終値!A104="","",IF(AND(安値!U104&lt;安値!T104,安値!U104&lt;安値!S104,安値!U104&lt;安値!V104,安値!U104&lt;安値!W104),16,""))</f>
        <v/>
      </c>
      <c r="Q104" s="503">
        <f>IF(終値!A104="","",IF(AND(安値!V104&lt;安値!U104,安値!V104&lt;安値!T104,安値!V104&lt;安値!W104,安値!V104&lt;安値!X104),17,""))</f>
        <v>17</v>
      </c>
      <c r="R104" s="503" t="str">
        <f>IF(終値!A104="","",IF(AND(安値!W104&lt;安値!V104,安値!W104&lt;安値!U104,安値!W104&lt;安値!X104,安値!W104&lt;安値!Y104),18,""))</f>
        <v/>
      </c>
      <c r="S104" s="503" t="str">
        <f>IF(終値!A104="","",IF(AND(安値!X104&lt;安値!W104,安値!X104&lt;安値!V104,安値!X104&lt;安値!Y104,安値!X104&lt;安値!Z104),19,""))</f>
        <v/>
      </c>
      <c r="T104" s="503" t="str">
        <f>IF(終値!A104="","",IF(AND(安値!Y104&lt;安値!X104,安値!Y104&lt;安値!W104,安値!Y104&lt;安値!Z104,安値!Y104&lt;安値!AA104),20,""))</f>
        <v/>
      </c>
      <c r="U104" s="503" t="str">
        <f>IF(終値!A104="","",IF(AND(安値!Z104&lt;安値!Y104,安値!Z104&lt;安値!X104,安値!Z104&lt;安値!AA104,安値!Z104&lt;安値!AB104),21,""))</f>
        <v/>
      </c>
      <c r="V104" s="503" t="str">
        <f>IF(終値!A104="","",IF(AND(安値!AA104&lt;安値!Z104,安値!AA104&lt;安値!Y104,安値!AA104&lt;安値!AB104,安値!AA104&lt;安値!AC104),22,""))</f>
        <v/>
      </c>
      <c r="W104" s="503" t="str">
        <f>IF(終値!A104="","",IF(AND(安値!AB104&lt;安値!AA104,安値!AB104&lt;安値!Z104,安値!AB104&lt;安値!AC104,安値!AB104&lt;安値!AD104),23,""))</f>
        <v/>
      </c>
      <c r="X104" s="503" t="str">
        <f>IF(終値!A104="","",IF(AND(安値!AC104&lt;安値!AB104,安値!AC104&lt;安値!AA104,安値!AC104&lt;安値!AD104,安値!AC104&lt;安値!AE104),24,""))</f>
        <v/>
      </c>
      <c r="Y104" s="503" t="str">
        <f>IF(終値!A104="","",IF(AND(安値!AD104&lt;安値!AC104,安値!AD104&lt;安値!AB104,安値!AD104&lt;安値!AE104,安値!AD104&lt;安値!AF104),25,""))</f>
        <v/>
      </c>
      <c r="Z104" s="503">
        <f>IF(終値!A104="","",IF(AND(安値!AE104&lt;安値!AD104,安値!AE104&lt;安値!AC104,安値!AE104&lt;安値!AF104,安値!AE104&lt;安値!AG104),26,""))</f>
        <v>26</v>
      </c>
      <c r="AA104" s="503" t="str">
        <f>IF(終値!A104="","",IF(AND(安値!AF104&lt;安値!AE104,安値!AF104&lt;安値!AD104,安値!AF104&lt;安値!AG104,安値!AF104&lt;安値!AH104),27,""))</f>
        <v/>
      </c>
      <c r="AB104" s="503" t="str">
        <f>IF(終値!A104="","",IF(AND(安値!AG104&lt;安値!AF104,安値!AG104&lt;安値!AE104,安値!AG104&lt;安値!AH104,安値!AG104&lt;安値!AI104),28,""))</f>
        <v/>
      </c>
      <c r="AC104" s="503" t="str">
        <f>IF(終値!A104="","",IF(AND(高値!G104&gt;高値!F104,高値!G104&gt;高値!E104,高値!G104&gt;高値!H104,高値!G104&gt;高値!I104),2,""))</f>
        <v/>
      </c>
      <c r="AD104" s="503" t="str">
        <f>IF(終値!A104="","",IF(AND(高値!H104&gt;高値!G104,高値!H104&gt;高値!F104,高値!H104&gt;高値!I104,高値!H104&gt;高値!J104),3,""))</f>
        <v/>
      </c>
      <c r="AE104" s="503" t="str">
        <f>IF(終値!A104="","",IF(AND(高値!I104&gt;高値!H104,高値!I104&gt;高値!G104,高値!I104&gt;高値!J104,高値!I104&gt;高値!K104),4,""))</f>
        <v/>
      </c>
      <c r="AF104" s="503" t="str">
        <f>IF(終値!A104="","",IF(AND(高値!J104&gt;高値!I104,高値!J104&gt;高値!H104,高値!J104&gt;高値!K104,高値!J104&gt;高値!L104),5,""))</f>
        <v/>
      </c>
      <c r="AG104" s="503" t="str">
        <f>IF(終値!A104="","",IF(AND(高値!K104&gt;高値!J104,高値!K104&gt;高値!I104,高値!K104&gt;高値!L104,高値!K104&gt;高値!M104),6,""))</f>
        <v/>
      </c>
      <c r="AH104" s="503" t="str">
        <f>IF(終値!A104="","",IF(AND(高値!L104&gt;高値!K104,高値!L104&gt;高値!J104,高値!L104&gt;高値!M104,高値!L104&gt;高値!N104),7,""))</f>
        <v/>
      </c>
      <c r="AI104" s="503">
        <f>IF(終値!A104="","",IF(AND(高値!M104&gt;高値!L104,高値!M104&gt;高値!K104,高値!M104&gt;高値!N104,高値!M104&gt;高値!O104),8,""))</f>
        <v>8</v>
      </c>
      <c r="AJ104" s="503" t="str">
        <f>IF(終値!A104="","",IF(AND(高値!N104&gt;高値!M104,高値!N104&gt;高値!L104,高値!N104&gt;高値!O104,高値!N104&gt;高値!P104),9,""))</f>
        <v/>
      </c>
      <c r="AK104" s="503" t="str">
        <f>IF(終値!A104="","",IF(AND(高値!O104&gt;高値!N104,高値!O104&gt;高値!M104,高値!O104&gt;高値!P104,高値!O104&gt;高値!Q104),10,""))</f>
        <v/>
      </c>
      <c r="AL104" s="503" t="str">
        <f>IF(終値!A104="","",IF(AND(高値!P104&gt;高値!O104,高値!P104&gt;高値!N104,高値!P104&gt;高値!Q104,高値!P104&gt;高値!R104),11,""))</f>
        <v/>
      </c>
      <c r="AM104" s="503" t="str">
        <f>IF(終値!A104="","",IF(AND(高値!Q104&gt;高値!P104,高値!Q104&gt;高値!O104,高値!Q104&gt;高値!R104,高値!Q104&gt;高値!S104),12,""))</f>
        <v/>
      </c>
      <c r="AN104" s="503" t="str">
        <f>IF(終値!A104="","",IF(AND(高値!R104&gt;高値!Q104,高値!R104&gt;高値!P104,高値!R104&gt;高値!S104,高値!R104&gt;高値!T104),13,""))</f>
        <v/>
      </c>
      <c r="AO104" s="503" t="str">
        <f>IF(終値!A104="","",IF(AND(高値!S104&gt;高値!R104,高値!S104&gt;高値!Q104,高値!S104&gt;高値!T104,高値!S104&gt;高値!U104),14,""))</f>
        <v/>
      </c>
      <c r="AP104" s="503" t="str">
        <f>IF(終値!A104="","",IF(AND(高値!T104&gt;高値!S104,高値!T104&gt;高値!R104,高値!T104&gt;高値!U104,高値!T104&gt;高値!V104),15,""))</f>
        <v/>
      </c>
      <c r="AQ104" s="503" t="str">
        <f>IF(終値!A104="","",IF(AND(高値!U104&gt;高値!T104,高値!U104&gt;高値!S104,高値!U104&gt;高値!V104,高値!U104&gt;高値!W104),16,""))</f>
        <v/>
      </c>
      <c r="AR104" s="503" t="str">
        <f>IF(終値!A104="","",IF(AND(高値!V104&gt;高値!U104,高値!V104&gt;高値!T104,高値!V104&gt;高値!W104,高値!V104&gt;高値!X104),17,""))</f>
        <v/>
      </c>
      <c r="AS104" s="503" t="str">
        <f>IF(終値!A104="","",IF(AND(高値!W104&gt;高値!V104,高値!W104&gt;高値!U104,高値!W104&gt;高値!X104,高値!W104&gt;高値!Y104),18,""))</f>
        <v/>
      </c>
      <c r="AT104" s="503">
        <f>IF(終値!A104="","",IF(AND(高値!X104&gt;高値!W104,高値!X104&gt;高値!V104,高値!X104&gt;高値!Y104,高値!X104&gt;高値!Z104),19,""))</f>
        <v>19</v>
      </c>
      <c r="AU104" s="503" t="str">
        <f>IF(終値!A104="","",IF(AND(高値!Y104&gt;高値!X104,高値!Y104&gt;高値!W104,高値!Y104&gt;高値!Z104,高値!Y104&gt;高値!AA104),20,""))</f>
        <v/>
      </c>
      <c r="AV104" s="503" t="str">
        <f>IF(終値!A104="","",IF(AND(高値!Z104&gt;高値!Y104,高値!Z104&gt;高値!X104,高値!Z104&gt;高値!AA104,高値!Z104&gt;高値!AB104),21,""))</f>
        <v/>
      </c>
      <c r="AW104" s="503" t="str">
        <f>IF(終値!A104="","",IF(AND(高値!AA104&gt;高値!Z104,高値!AA104&gt;高値!Y104,高値!AA104&gt;高値!AB104,高値!AA104&gt;高値!AC104),22,""))</f>
        <v/>
      </c>
      <c r="AX104" s="503" t="str">
        <f>IF(終値!A104="","",IF(AND(高値!AB104&gt;高値!AA104,高値!AB104&gt;高値!Z104,高値!AB104&gt;高値!AC104,高値!AB104&gt;高値!AD104),23,""))</f>
        <v/>
      </c>
      <c r="AY104" s="503" t="str">
        <f>IF(終値!A104="","",IF(AND(高値!AC104&gt;高値!AB104,高値!AC104&gt;高値!AA104,高値!AC104&gt;高値!AD104,高値!AC104&gt;高値!AE104),24,""))</f>
        <v/>
      </c>
      <c r="AZ104" s="503" t="str">
        <f>IF(終値!A104="","",IF(AND(高値!AD104&gt;高値!AC104,高値!AD104&gt;高値!AB104,高値!AD104&gt;高値!AE104,高値!AD104&gt;高値!AF104),25,""))</f>
        <v/>
      </c>
      <c r="BA104" s="503" t="str">
        <f>IF(終値!A104="","",IF(AND(高値!AE104&gt;高値!AD104,高値!AE104&gt;高値!AC104,高値!AE104&gt;高値!AF104,高値!AE104&gt;高値!AG104),26,""))</f>
        <v/>
      </c>
      <c r="BB104" s="503" t="str">
        <f>IF(終値!A104="","",IF(AND(高値!AF104&gt;高値!AE104,高値!AF104&gt;高値!AD104,高値!AF104&gt;高値!AG104,高値!AF104&gt;高値!AH104),27,""))</f>
        <v/>
      </c>
      <c r="BC104" s="503" t="str">
        <f>IF(終値!A104="","",IF(AND(高値!AG104&gt;高値!AF104,高値!AG104&gt;高値!AE104,高値!AG104&gt;高値!AH104,高値!AG104&gt;高値!AI104),28,""))</f>
        <v/>
      </c>
      <c r="BD104" s="503">
        <f t="shared" si="6"/>
        <v>4</v>
      </c>
      <c r="BE104" s="503">
        <f t="shared" si="7"/>
        <v>3</v>
      </c>
      <c r="BF104" s="503">
        <f t="shared" si="8"/>
        <v>13</v>
      </c>
      <c r="BG104" s="503">
        <f>IF($BE104="","",INDEX(安値!$E104:$CZ104,1,$BE104+1))</f>
        <v>2267.5</v>
      </c>
      <c r="BH104" s="503">
        <f>IF($BF104="","",INDEX(安値!$E104:$CZ104,1,$BF104+1))</f>
        <v>2313.5</v>
      </c>
      <c r="BI104" s="503">
        <f>IF($BF104="","",MAX(INDEX(高値!$E104:$CZ104,1,$BE104+1):INDEX(高値!$E104:$CZ104,1,$BF104+1)))</f>
        <v>2539.5</v>
      </c>
      <c r="BJ104" s="503">
        <f>IF($BF104="","",AVERAGE(INDEX(終値!$E104:$CZ104,1,$BF104+1):INDEX(終値!$E104:$CZ104,1,$BF104+20))-2*STDEVP(INDEX(終値!$E104:$CZ104,1,$BF104+1):INDEX(終値!$E104:$CZ104,1,$BF104+20)))</f>
        <v>2111.186294777166</v>
      </c>
      <c r="BK104" s="503">
        <f>IF($BE104="","",AVERAGE(INDEX(終値!$E104:$CZ104,1,$BE104+1):INDEX(終値!$E104:$CZ104,1,$BE104+20))-2*STDEVP(INDEX(終値!$E104:$CZ104,1,$BE104+1):INDEX(終値!$E104:$CZ104,1,$BE104+20)))</f>
        <v>2259.601555742498</v>
      </c>
      <c r="BL104" s="503">
        <f t="shared" si="9"/>
        <v>2</v>
      </c>
      <c r="BM104" s="503">
        <f t="shared" si="10"/>
        <v>8</v>
      </c>
      <c r="BN104" s="503">
        <f t="shared" si="11"/>
        <v>19</v>
      </c>
      <c r="BO104" s="503">
        <f>IF($BM104="","",INDEX(高値!$E104:$CZ104,1,$BM104+1))</f>
        <v>2539.5</v>
      </c>
      <c r="BP104" s="503">
        <f>IF($BN104="","",INDEX(高値!$E104:$CZ104,1,$BN104+1))</f>
        <v>2395</v>
      </c>
      <c r="BQ104" s="503">
        <f>IF($BN104="","",MIN(INDEX(安値!$E104:$CZ104,1,$BM104+1):INDEX(安値!$E104:$CZ104,1,$BN104+1)))</f>
        <v>2218</v>
      </c>
      <c r="BR104" s="503">
        <f>IF($BN104="","",AVERAGE(INDEX(終値!$E104:$CZ104,1,$BN104+1):INDEX(終値!$E104:$CZ104,1,$BN104+20))+2*STDEVP(INDEX(終値!$E104:$CZ104,1,$BN104+1):INDEX(終値!$E104:$CZ104,1,$BN104+20)))</f>
        <v>2365.8100634933148</v>
      </c>
      <c r="BS104" s="503">
        <f>IF($BM104="","",AVERAGE(INDEX(終値!$E104:$CZ104,1,$BM104+1):INDEX(終値!$E104:$CZ104,1,$BM104+20))+2*STDEVP(INDEX(終値!$E104:$CZ104,1,$BM104+1):INDEX(終値!$E104:$CZ104,1,$BM104+20)))</f>
        <v>2549.2849486921932</v>
      </c>
      <c r="BT104" s="500"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二番底W形成</v>
      </c>
    </row>
    <row r="105" spans="2:72">
      <c r="B105" s="503" t="str">
        <f>IF(終値!A105="","",IF(AND(安値!G105&lt;安値!F105,安値!G105&lt;安値!E105,安値!G105&lt;安値!H105,安値!G105&lt;安値!I105),2,""))</f>
        <v/>
      </c>
      <c r="C105" s="503" t="str">
        <f>IF(終値!A105="","",IF(AND(安値!H105&lt;安値!G105,安値!H105&lt;安値!F105,安値!H105&lt;安値!I105,安値!H105&lt;安値!J105),3,""))</f>
        <v/>
      </c>
      <c r="D105" s="503" t="str">
        <f>IF(終値!A105="","",IF(AND(安値!I105&lt;安値!H105,安値!I105&lt;安値!G105,安値!I105&lt;安値!J105,安値!I105&lt;安値!K105),4,""))</f>
        <v/>
      </c>
      <c r="E105" s="503" t="str">
        <f>IF(終値!A105="","",IF(AND(安値!J105&lt;安値!I105,安値!J105&lt;安値!H105,安値!J105&lt;安値!K105,安値!J105&lt;安値!L105),5,""))</f>
        <v/>
      </c>
      <c r="F105" s="503">
        <f>IF(終値!A105="","",IF(AND(安値!K105&lt;安値!J105,安値!K105&lt;安値!I105,安値!K105&lt;安値!L105,安値!K105&lt;安値!M105),6,""))</f>
        <v>6</v>
      </c>
      <c r="G105" s="503" t="str">
        <f>IF(終値!A105="","",IF(AND(安値!L105&lt;安値!K105,安値!L105&lt;安値!J105,安値!L105&lt;安値!M105,安値!L105&lt;安値!N105),7,""))</f>
        <v/>
      </c>
      <c r="H105" s="503" t="str">
        <f>IF(終値!A105="","",IF(AND(安値!M105&lt;安値!L105,安値!M105&lt;安値!K105,安値!M105&lt;安値!N105,安値!M105&lt;安値!O105),8,""))</f>
        <v/>
      </c>
      <c r="I105" s="503" t="str">
        <f>IF(終値!A105="","",IF(AND(安値!N105&lt;安値!M105,安値!N105&lt;安値!L105,安値!N105&lt;安値!O105,安値!N105&lt;安値!P105),9,""))</f>
        <v/>
      </c>
      <c r="J105" s="503" t="str">
        <f>IF(終値!A105="","",IF(AND(安値!O105&lt;安値!N105,安値!O105&lt;安値!M105,安値!O105&lt;安値!P105,安値!O105&lt;安値!Q105),10,""))</f>
        <v/>
      </c>
      <c r="K105" s="503" t="str">
        <f>IF(終値!A105="","",IF(AND(安値!P105&lt;安値!O105,安値!P105&lt;安値!N105,安値!P105&lt;安値!Q105,安値!P105&lt;安値!R105),11,""))</f>
        <v/>
      </c>
      <c r="L105" s="503" t="str">
        <f>IF(終値!A105="","",IF(AND(安値!Q105&lt;安値!P105,安値!Q105&lt;安値!O105,安値!Q105&lt;安値!R105,安値!Q105&lt;安値!S105),12,""))</f>
        <v/>
      </c>
      <c r="M105" s="503">
        <f>IF(終値!A105="","",IF(AND(安値!R105&lt;安値!Q105,安値!R105&lt;安値!P105,安値!R105&lt;安値!S105,安値!R105&lt;安値!T105),13,""))</f>
        <v>13</v>
      </c>
      <c r="N105" s="503" t="str">
        <f>IF(終値!A105="","",IF(AND(安値!S105&lt;安値!R105,安値!S105&lt;安値!Q105,安値!S105&lt;安値!T105,安値!S105&lt;安値!U105),14,""))</f>
        <v/>
      </c>
      <c r="O105" s="503" t="str">
        <f>IF(終値!A105="","",IF(AND(安値!T105&lt;安値!S105,安値!T105&lt;安値!R105,安値!T105&lt;安値!U105,安値!T105&lt;安値!V105),15,""))</f>
        <v/>
      </c>
      <c r="P105" s="503" t="str">
        <f>IF(終値!A105="","",IF(AND(安値!U105&lt;安値!T105,安値!U105&lt;安値!S105,安値!U105&lt;安値!V105,安値!U105&lt;安値!W105),16,""))</f>
        <v/>
      </c>
      <c r="Q105" s="503" t="str">
        <f>IF(終値!A105="","",IF(AND(安値!V105&lt;安値!U105,安値!V105&lt;安値!T105,安値!V105&lt;安値!W105,安値!V105&lt;安値!X105),17,""))</f>
        <v/>
      </c>
      <c r="R105" s="503" t="str">
        <f>IF(終値!A105="","",IF(AND(安値!W105&lt;安値!V105,安値!W105&lt;安値!U105,安値!W105&lt;安値!X105,安値!W105&lt;安値!Y105),18,""))</f>
        <v/>
      </c>
      <c r="S105" s="503">
        <f>IF(終値!A105="","",IF(AND(安値!X105&lt;安値!W105,安値!X105&lt;安値!V105,安値!X105&lt;安値!Y105,安値!X105&lt;安値!Z105),19,""))</f>
        <v>19</v>
      </c>
      <c r="T105" s="503" t="str">
        <f>IF(終値!A105="","",IF(AND(安値!Y105&lt;安値!X105,安値!Y105&lt;安値!W105,安値!Y105&lt;安値!Z105,安値!Y105&lt;安値!AA105),20,""))</f>
        <v/>
      </c>
      <c r="U105" s="503" t="str">
        <f>IF(終値!A105="","",IF(AND(安値!Z105&lt;安値!Y105,安値!Z105&lt;安値!X105,安値!Z105&lt;安値!AA105,安値!Z105&lt;安値!AB105),21,""))</f>
        <v/>
      </c>
      <c r="V105" s="503" t="str">
        <f>IF(終値!A105="","",IF(AND(安値!AA105&lt;安値!Z105,安値!AA105&lt;安値!Y105,安値!AA105&lt;安値!AB105,安値!AA105&lt;安値!AC105),22,""))</f>
        <v/>
      </c>
      <c r="W105" s="503" t="str">
        <f>IF(終値!A105="","",IF(AND(安値!AB105&lt;安値!AA105,安値!AB105&lt;安値!Z105,安値!AB105&lt;安値!AC105,安値!AB105&lt;安値!AD105),23,""))</f>
        <v/>
      </c>
      <c r="X105" s="503" t="str">
        <f>IF(終値!A105="","",IF(AND(安値!AC105&lt;安値!AB105,安値!AC105&lt;安値!AA105,安値!AC105&lt;安値!AD105,安値!AC105&lt;安値!AE105),24,""))</f>
        <v/>
      </c>
      <c r="Y105" s="503" t="str">
        <f>IF(終値!A105="","",IF(AND(安値!AD105&lt;安値!AC105,安値!AD105&lt;安値!AB105,安値!AD105&lt;安値!AE105,安値!AD105&lt;安値!AF105),25,""))</f>
        <v/>
      </c>
      <c r="Z105" s="503">
        <f>IF(終値!A105="","",IF(AND(安値!AE105&lt;安値!AD105,安値!AE105&lt;安値!AC105,安値!AE105&lt;安値!AF105,安値!AE105&lt;安値!AG105),26,""))</f>
        <v>26</v>
      </c>
      <c r="AA105" s="503" t="str">
        <f>IF(終値!A105="","",IF(AND(安値!AF105&lt;安値!AE105,安値!AF105&lt;安値!AD105,安値!AF105&lt;安値!AG105,安値!AF105&lt;安値!AH105),27,""))</f>
        <v/>
      </c>
      <c r="AB105" s="503" t="str">
        <f>IF(終値!A105="","",IF(AND(安値!AG105&lt;安値!AF105,安値!AG105&lt;安値!AE105,安値!AG105&lt;安値!AH105,安値!AG105&lt;安値!AI105),28,""))</f>
        <v/>
      </c>
      <c r="AC105" s="503" t="str">
        <f>IF(終値!A105="","",IF(AND(高値!G105&gt;高値!F105,高値!G105&gt;高値!E105,高値!G105&gt;高値!H105,高値!G105&gt;高値!I105),2,""))</f>
        <v/>
      </c>
      <c r="AD105" s="503" t="str">
        <f>IF(終値!A105="","",IF(AND(高値!H105&gt;高値!G105,高値!H105&gt;高値!F105,高値!H105&gt;高値!I105,高値!H105&gt;高値!J105),3,""))</f>
        <v/>
      </c>
      <c r="AE105" s="503" t="str">
        <f>IF(終値!A105="","",IF(AND(高値!I105&gt;高値!H105,高値!I105&gt;高値!G105,高値!I105&gt;高値!J105,高値!I105&gt;高値!K105),4,""))</f>
        <v/>
      </c>
      <c r="AF105" s="503" t="str">
        <f>IF(終値!A105="","",IF(AND(高値!J105&gt;高値!I105,高値!J105&gt;高値!H105,高値!J105&gt;高値!K105,高値!J105&gt;高値!L105),5,""))</f>
        <v/>
      </c>
      <c r="AG105" s="503" t="str">
        <f>IF(終値!A105="","",IF(AND(高値!K105&gt;高値!J105,高値!K105&gt;高値!I105,高値!K105&gt;高値!L105,高値!K105&gt;高値!M105),6,""))</f>
        <v/>
      </c>
      <c r="AH105" s="503" t="str">
        <f>IF(終値!A105="","",IF(AND(高値!L105&gt;高値!K105,高値!L105&gt;高値!J105,高値!L105&gt;高値!M105,高値!L105&gt;高値!N105),7,""))</f>
        <v/>
      </c>
      <c r="AI105" s="503" t="str">
        <f>IF(終値!A105="","",IF(AND(高値!M105&gt;高値!L105,高値!M105&gt;高値!K105,高値!M105&gt;高値!N105,高値!M105&gt;高値!O105),8,""))</f>
        <v/>
      </c>
      <c r="AJ105" s="503" t="str">
        <f>IF(終値!A105="","",IF(AND(高値!N105&gt;高値!M105,高値!N105&gt;高値!L105,高値!N105&gt;高値!O105,高値!N105&gt;高値!P105),9,""))</f>
        <v/>
      </c>
      <c r="AK105" s="503">
        <f>IF(終値!A105="","",IF(AND(高値!O105&gt;高値!N105,高値!O105&gt;高値!M105,高値!O105&gt;高値!P105,高値!O105&gt;高値!Q105),10,""))</f>
        <v>10</v>
      </c>
      <c r="AL105" s="503" t="str">
        <f>IF(終値!A105="","",IF(AND(高値!P105&gt;高値!O105,高値!P105&gt;高値!N105,高値!P105&gt;高値!Q105,高値!P105&gt;高値!R105),11,""))</f>
        <v/>
      </c>
      <c r="AM105" s="503" t="str">
        <f>IF(終値!A105="","",IF(AND(高値!Q105&gt;高値!P105,高値!Q105&gt;高値!O105,高値!Q105&gt;高値!R105,高値!Q105&gt;高値!S105),12,""))</f>
        <v/>
      </c>
      <c r="AN105" s="503" t="str">
        <f>IF(終値!A105="","",IF(AND(高値!R105&gt;高値!Q105,高値!R105&gt;高値!P105,高値!R105&gt;高値!S105,高値!R105&gt;高値!T105),13,""))</f>
        <v/>
      </c>
      <c r="AO105" s="503" t="str">
        <f>IF(終値!A105="","",IF(AND(高値!S105&gt;高値!R105,高値!S105&gt;高値!Q105,高値!S105&gt;高値!T105,高値!S105&gt;高値!U105),14,""))</f>
        <v/>
      </c>
      <c r="AP105" s="503" t="str">
        <f>IF(終値!A105="","",IF(AND(高値!T105&gt;高値!S105,高値!T105&gt;高値!R105,高値!T105&gt;高値!U105,高値!T105&gt;高値!V105),15,""))</f>
        <v/>
      </c>
      <c r="AQ105" s="503" t="str">
        <f>IF(終値!A105="","",IF(AND(高値!U105&gt;高値!T105,高値!U105&gt;高値!S105,高値!U105&gt;高値!V105,高値!U105&gt;高値!W105),16,""))</f>
        <v/>
      </c>
      <c r="AR105" s="503">
        <f>IF(終値!A105="","",IF(AND(高値!V105&gt;高値!U105,高値!V105&gt;高値!T105,高値!V105&gt;高値!W105,高値!V105&gt;高値!X105),17,""))</f>
        <v>17</v>
      </c>
      <c r="AS105" s="503" t="str">
        <f>IF(終値!A105="","",IF(AND(高値!W105&gt;高値!V105,高値!W105&gt;高値!U105,高値!W105&gt;高値!X105,高値!W105&gt;高値!Y105),18,""))</f>
        <v/>
      </c>
      <c r="AT105" s="503" t="str">
        <f>IF(終値!A105="","",IF(AND(高値!X105&gt;高値!W105,高値!X105&gt;高値!V105,高値!X105&gt;高値!Y105,高値!X105&gt;高値!Z105),19,""))</f>
        <v/>
      </c>
      <c r="AU105" s="503" t="str">
        <f>IF(終値!A105="","",IF(AND(高値!Y105&gt;高値!X105,高値!Y105&gt;高値!W105,高値!Y105&gt;高値!Z105,高値!Y105&gt;高値!AA105),20,""))</f>
        <v/>
      </c>
      <c r="AV105" s="503" t="str">
        <f>IF(終値!A105="","",IF(AND(高値!Z105&gt;高値!Y105,高値!Z105&gt;高値!X105,高値!Z105&gt;高値!AA105,高値!Z105&gt;高値!AB105),21,""))</f>
        <v/>
      </c>
      <c r="AW105" s="503" t="str">
        <f>IF(終値!A105="","",IF(AND(高値!AA105&gt;高値!Z105,高値!AA105&gt;高値!Y105,高値!AA105&gt;高値!AB105,高値!AA105&gt;高値!AC105),22,""))</f>
        <v/>
      </c>
      <c r="AX105" s="503" t="str">
        <f>IF(終値!A105="","",IF(AND(高値!AB105&gt;高値!AA105,高値!AB105&gt;高値!Z105,高値!AB105&gt;高値!AC105,高値!AB105&gt;高値!AD105),23,""))</f>
        <v/>
      </c>
      <c r="AY105" s="503">
        <f>IF(終値!A105="","",IF(AND(高値!AC105&gt;高値!AB105,高値!AC105&gt;高値!AA105,高値!AC105&gt;高値!AD105,高値!AC105&gt;高値!AE105),24,""))</f>
        <v>24</v>
      </c>
      <c r="AZ105" s="503" t="str">
        <f>IF(終値!A105="","",IF(AND(高値!AD105&gt;高値!AC105,高値!AD105&gt;高値!AB105,高値!AD105&gt;高値!AE105,高値!AD105&gt;高値!AF105),25,""))</f>
        <v/>
      </c>
      <c r="BA105" s="503" t="str">
        <f>IF(終値!A105="","",IF(AND(高値!AE105&gt;高値!AD105,高値!AE105&gt;高値!AC105,高値!AE105&gt;高値!AF105,高値!AE105&gt;高値!AG105),26,""))</f>
        <v/>
      </c>
      <c r="BB105" s="503" t="str">
        <f>IF(終値!A105="","",IF(AND(高値!AF105&gt;高値!AE105,高値!AF105&gt;高値!AD105,高値!AF105&gt;高値!AG105,高値!AF105&gt;高値!AH105),27,""))</f>
        <v/>
      </c>
      <c r="BC105" s="503" t="str">
        <f>IF(終値!A105="","",IF(AND(高値!AG105&gt;高値!AF105,高値!AG105&gt;高値!AE105,高値!AG105&gt;高値!AH105,高値!AG105&gt;高値!AI105),28,""))</f>
        <v/>
      </c>
      <c r="BD105" s="503">
        <f t="shared" si="6"/>
        <v>4</v>
      </c>
      <c r="BE105" s="503">
        <f t="shared" si="7"/>
        <v>6</v>
      </c>
      <c r="BF105" s="503">
        <f t="shared" si="8"/>
        <v>13</v>
      </c>
      <c r="BG105" s="503">
        <f>IF($BE105="","",INDEX(安値!$E105:$CZ105,1,$BE105+1))</f>
        <v>3513</v>
      </c>
      <c r="BH105" s="503">
        <f>IF($BF105="","",INDEX(安値!$E105:$CZ105,1,$BF105+1))</f>
        <v>3729</v>
      </c>
      <c r="BI105" s="503">
        <f>IF($BF105="","",MAX(INDEX(高値!$E105:$CZ105,1,$BE105+1):INDEX(高値!$E105:$CZ105,1,$BF105+1)))</f>
        <v>4326</v>
      </c>
      <c r="BJ105" s="503">
        <f>IF($BF105="","",AVERAGE(INDEX(終値!$E105:$CZ105,1,$BF105+1):INDEX(終値!$E105:$CZ105,1,$BF105+20))-2*STDEVP(INDEX(終値!$E105:$CZ105,1,$BF105+1):INDEX(終値!$E105:$CZ105,1,$BF105+20)))</f>
        <v>3923.2976121919532</v>
      </c>
      <c r="BK105" s="503">
        <f>IF($BE105="","",AVERAGE(INDEX(終値!$E105:$CZ105,1,$BE105+1):INDEX(終値!$E105:$CZ105,1,$BE105+20))-2*STDEVP(INDEX(終値!$E105:$CZ105,1,$BE105+1):INDEX(終値!$E105:$CZ105,1,$BE105+20)))</f>
        <v>3639.5945211729518</v>
      </c>
      <c r="BL105" s="503">
        <f t="shared" si="9"/>
        <v>3</v>
      </c>
      <c r="BM105" s="503">
        <f t="shared" si="10"/>
        <v>10</v>
      </c>
      <c r="BN105" s="503">
        <f t="shared" si="11"/>
        <v>17</v>
      </c>
      <c r="BO105" s="503">
        <f>IF($BM105="","",INDEX(高値!$E105:$CZ105,1,$BM105+1))</f>
        <v>4326</v>
      </c>
      <c r="BP105" s="503">
        <f>IF($BN105="","",INDEX(高値!$E105:$CZ105,1,$BN105+1))</f>
        <v>4507</v>
      </c>
      <c r="BQ105" s="503">
        <f>IF($BN105="","",MIN(INDEX(安値!$E105:$CZ105,1,$BM105+1):INDEX(安値!$E105:$CZ105,1,$BN105+1)))</f>
        <v>3729</v>
      </c>
      <c r="BR105" s="503">
        <f>IF($BN105="","",AVERAGE(INDEX(終値!$E105:$CZ105,1,$BN105+1):INDEX(終値!$E105:$CZ105,1,$BN105+20))+2*STDEVP(INDEX(終値!$E105:$CZ105,1,$BN105+1):INDEX(終値!$E105:$CZ105,1,$BN105+20)))</f>
        <v>4852.2733683163797</v>
      </c>
      <c r="BS105" s="503">
        <f>IF($BM105="","",AVERAGE(INDEX(終値!$E105:$CZ105,1,$BM105+1):INDEX(終値!$E105:$CZ105,1,$BM105+20))+2*STDEVP(INDEX(終値!$E105:$CZ105,1,$BM105+1):INDEX(終値!$E105:$CZ105,1,$BM105+20)))</f>
        <v>4805.0965258584274</v>
      </c>
      <c r="BT105" s="500"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二番天井M形成</v>
      </c>
    </row>
    <row r="106" spans="2:72">
      <c r="B106" s="503" t="str">
        <f>IF(終値!A106="","",IF(AND(安値!G106&lt;安値!F106,安値!G106&lt;安値!E106,安値!G106&lt;安値!H106,安値!G106&lt;安値!I106),2,""))</f>
        <v/>
      </c>
      <c r="C106" s="503" t="str">
        <f>IF(終値!A106="","",IF(AND(安値!H106&lt;安値!G106,安値!H106&lt;安値!F106,安値!H106&lt;安値!I106,安値!H106&lt;安値!J106),3,""))</f>
        <v/>
      </c>
      <c r="D106" s="503">
        <f>IF(終値!A106="","",IF(AND(安値!I106&lt;安値!H106,安値!I106&lt;安値!G106,安値!I106&lt;安値!J106,安値!I106&lt;安値!K106),4,""))</f>
        <v>4</v>
      </c>
      <c r="E106" s="503" t="str">
        <f>IF(終値!A106="","",IF(AND(安値!J106&lt;安値!I106,安値!J106&lt;安値!H106,安値!J106&lt;安値!K106,安値!J106&lt;安値!L106),5,""))</f>
        <v/>
      </c>
      <c r="F106" s="503" t="str">
        <f>IF(終値!A106="","",IF(AND(安値!K106&lt;安値!J106,安値!K106&lt;安値!I106,安値!K106&lt;安値!L106,安値!K106&lt;安値!M106),6,""))</f>
        <v/>
      </c>
      <c r="G106" s="503" t="str">
        <f>IF(終値!A106="","",IF(AND(安値!L106&lt;安値!K106,安値!L106&lt;安値!J106,安値!L106&lt;安値!M106,安値!L106&lt;安値!N106),7,""))</f>
        <v/>
      </c>
      <c r="H106" s="503" t="str">
        <f>IF(終値!A106="","",IF(AND(安値!M106&lt;安値!L106,安値!M106&lt;安値!K106,安値!M106&lt;安値!N106,安値!M106&lt;安値!O106),8,""))</f>
        <v/>
      </c>
      <c r="I106" s="503" t="str">
        <f>IF(終値!A106="","",IF(AND(安値!N106&lt;安値!M106,安値!N106&lt;安値!L106,安値!N106&lt;安値!O106,安値!N106&lt;安値!P106),9,""))</f>
        <v/>
      </c>
      <c r="J106" s="503" t="str">
        <f>IF(終値!A106="","",IF(AND(安値!O106&lt;安値!N106,安値!O106&lt;安値!M106,安値!O106&lt;安値!P106,安値!O106&lt;安値!Q106),10,""))</f>
        <v/>
      </c>
      <c r="K106" s="503" t="str">
        <f>IF(終値!A106="","",IF(AND(安値!P106&lt;安値!O106,安値!P106&lt;安値!N106,安値!P106&lt;安値!Q106,安値!P106&lt;安値!R106),11,""))</f>
        <v/>
      </c>
      <c r="L106" s="503" t="str">
        <f>IF(終値!A106="","",IF(AND(安値!Q106&lt;安値!P106,安値!Q106&lt;安値!O106,安値!Q106&lt;安値!R106,安値!Q106&lt;安値!S106),12,""))</f>
        <v/>
      </c>
      <c r="M106" s="503" t="str">
        <f>IF(終値!A106="","",IF(AND(安値!R106&lt;安値!Q106,安値!R106&lt;安値!P106,安値!R106&lt;安値!S106,安値!R106&lt;安値!T106),13,""))</f>
        <v/>
      </c>
      <c r="N106" s="503" t="str">
        <f>IF(終値!A106="","",IF(AND(安値!S106&lt;安値!R106,安値!S106&lt;安値!Q106,安値!S106&lt;安値!T106,安値!S106&lt;安値!U106),14,""))</f>
        <v/>
      </c>
      <c r="O106" s="503" t="str">
        <f>IF(終値!A106="","",IF(AND(安値!T106&lt;安値!S106,安値!T106&lt;安値!R106,安値!T106&lt;安値!U106,安値!T106&lt;安値!V106),15,""))</f>
        <v/>
      </c>
      <c r="P106" s="503" t="str">
        <f>IF(終値!A106="","",IF(AND(安値!U106&lt;安値!T106,安値!U106&lt;安値!S106,安値!U106&lt;安値!V106,安値!U106&lt;安値!W106),16,""))</f>
        <v/>
      </c>
      <c r="Q106" s="503" t="str">
        <f>IF(終値!A106="","",IF(AND(安値!V106&lt;安値!U106,安値!V106&lt;安値!T106,安値!V106&lt;安値!W106,安値!V106&lt;安値!X106),17,""))</f>
        <v/>
      </c>
      <c r="R106" s="503" t="str">
        <f>IF(終値!A106="","",IF(AND(安値!W106&lt;安値!V106,安値!W106&lt;安値!U106,安値!W106&lt;安値!X106,安値!W106&lt;安値!Y106),18,""))</f>
        <v/>
      </c>
      <c r="S106" s="503" t="str">
        <f>IF(終値!A106="","",IF(AND(安値!X106&lt;安値!W106,安値!X106&lt;安値!V106,安値!X106&lt;安値!Y106,安値!X106&lt;安値!Z106),19,""))</f>
        <v/>
      </c>
      <c r="T106" s="503" t="str">
        <f>IF(終値!A106="","",IF(AND(安値!Y106&lt;安値!X106,安値!Y106&lt;安値!W106,安値!Y106&lt;安値!Z106,安値!Y106&lt;安値!AA106),20,""))</f>
        <v/>
      </c>
      <c r="U106" s="503" t="str">
        <f>IF(終値!A106="","",IF(AND(安値!Z106&lt;安値!Y106,安値!Z106&lt;安値!X106,安値!Z106&lt;安値!AA106,安値!Z106&lt;安値!AB106),21,""))</f>
        <v/>
      </c>
      <c r="V106" s="503" t="str">
        <f>IF(終値!A106="","",IF(AND(安値!AA106&lt;安値!Z106,安値!AA106&lt;安値!Y106,安値!AA106&lt;安値!AB106,安値!AA106&lt;安値!AC106),22,""))</f>
        <v/>
      </c>
      <c r="W106" s="503" t="str">
        <f>IF(終値!A106="","",IF(AND(安値!AB106&lt;安値!AA106,安値!AB106&lt;安値!Z106,安値!AB106&lt;安値!AC106,安値!AB106&lt;安値!AD106),23,""))</f>
        <v/>
      </c>
      <c r="X106" s="503" t="str">
        <f>IF(終値!A106="","",IF(AND(安値!AC106&lt;安値!AB106,安値!AC106&lt;安値!AA106,安値!AC106&lt;安値!AD106,安値!AC106&lt;安値!AE106),24,""))</f>
        <v/>
      </c>
      <c r="Y106" s="503" t="str">
        <f>IF(終値!A106="","",IF(AND(安値!AD106&lt;安値!AC106,安値!AD106&lt;安値!AB106,安値!AD106&lt;安値!AE106,安値!AD106&lt;安値!AF106),25,""))</f>
        <v/>
      </c>
      <c r="Z106" s="503" t="str">
        <f>IF(終値!A106="","",IF(AND(安値!AE106&lt;安値!AD106,安値!AE106&lt;安値!AC106,安値!AE106&lt;安値!AF106,安値!AE106&lt;安値!AG106),26,""))</f>
        <v/>
      </c>
      <c r="AA106" s="503" t="str">
        <f>IF(終値!A106="","",IF(AND(安値!AF106&lt;安値!AE106,安値!AF106&lt;安値!AD106,安値!AF106&lt;安値!AG106,安値!AF106&lt;安値!AH106),27,""))</f>
        <v/>
      </c>
      <c r="AB106" s="503" t="str">
        <f>IF(終値!A106="","",IF(AND(安値!AG106&lt;安値!AF106,安値!AG106&lt;安値!AE106,安値!AG106&lt;安値!AH106,安値!AG106&lt;安値!AI106),28,""))</f>
        <v/>
      </c>
      <c r="AC106" s="503" t="str">
        <f>IF(終値!A106="","",IF(AND(高値!G106&gt;高値!F106,高値!G106&gt;高値!E106,高値!G106&gt;高値!H106,高値!G106&gt;高値!I106),2,""))</f>
        <v/>
      </c>
      <c r="AD106" s="503" t="str">
        <f>IF(終値!A106="","",IF(AND(高値!H106&gt;高値!G106,高値!H106&gt;高値!F106,高値!H106&gt;高値!I106,高値!H106&gt;高値!J106),3,""))</f>
        <v/>
      </c>
      <c r="AE106" s="503" t="str">
        <f>IF(終値!A106="","",IF(AND(高値!I106&gt;高値!H106,高値!I106&gt;高値!G106,高値!I106&gt;高値!J106,高値!I106&gt;高値!K106),4,""))</f>
        <v/>
      </c>
      <c r="AF106" s="503" t="str">
        <f>IF(終値!A106="","",IF(AND(高値!J106&gt;高値!I106,高値!J106&gt;高値!H106,高値!J106&gt;高値!K106,高値!J106&gt;高値!L106),5,""))</f>
        <v/>
      </c>
      <c r="AG106" s="503" t="str">
        <f>IF(終値!A106="","",IF(AND(高値!K106&gt;高値!J106,高値!K106&gt;高値!I106,高値!K106&gt;高値!L106,高値!K106&gt;高値!M106),6,""))</f>
        <v/>
      </c>
      <c r="AH106" s="503">
        <f>IF(終値!A106="","",IF(AND(高値!L106&gt;高値!K106,高値!L106&gt;高値!J106,高値!L106&gt;高値!M106,高値!L106&gt;高値!N106),7,""))</f>
        <v>7</v>
      </c>
      <c r="AI106" s="503" t="str">
        <f>IF(終値!A106="","",IF(AND(高値!M106&gt;高値!L106,高値!M106&gt;高値!K106,高値!M106&gt;高値!N106,高値!M106&gt;高値!O106),8,""))</f>
        <v/>
      </c>
      <c r="AJ106" s="503" t="str">
        <f>IF(終値!A106="","",IF(AND(高値!N106&gt;高値!M106,高値!N106&gt;高値!L106,高値!N106&gt;高値!O106,高値!N106&gt;高値!P106),9,""))</f>
        <v/>
      </c>
      <c r="AK106" s="503" t="str">
        <f>IF(終値!A106="","",IF(AND(高値!O106&gt;高値!N106,高値!O106&gt;高値!M106,高値!O106&gt;高値!P106,高値!O106&gt;高値!Q106),10,""))</f>
        <v/>
      </c>
      <c r="AL106" s="503" t="str">
        <f>IF(終値!A106="","",IF(AND(高値!P106&gt;高値!O106,高値!P106&gt;高値!N106,高値!P106&gt;高値!Q106,高値!P106&gt;高値!R106),11,""))</f>
        <v/>
      </c>
      <c r="AM106" s="503" t="str">
        <f>IF(終値!A106="","",IF(AND(高値!Q106&gt;高値!P106,高値!Q106&gt;高値!O106,高値!Q106&gt;高値!R106,高値!Q106&gt;高値!S106),12,""))</f>
        <v/>
      </c>
      <c r="AN106" s="503" t="str">
        <f>IF(終値!A106="","",IF(AND(高値!R106&gt;高値!Q106,高値!R106&gt;高値!P106,高値!R106&gt;高値!S106,高値!R106&gt;高値!T106),13,""))</f>
        <v/>
      </c>
      <c r="AO106" s="503" t="str">
        <f>IF(終値!A106="","",IF(AND(高値!S106&gt;高値!R106,高値!S106&gt;高値!Q106,高値!S106&gt;高値!T106,高値!S106&gt;高値!U106),14,""))</f>
        <v/>
      </c>
      <c r="AP106" s="503" t="str">
        <f>IF(終値!A106="","",IF(AND(高値!T106&gt;高値!S106,高値!T106&gt;高値!R106,高値!T106&gt;高値!U106,高値!T106&gt;高値!V106),15,""))</f>
        <v/>
      </c>
      <c r="AQ106" s="503" t="str">
        <f>IF(終値!A106="","",IF(AND(高値!U106&gt;高値!T106,高値!U106&gt;高値!S106,高値!U106&gt;高値!V106,高値!U106&gt;高値!W106),16,""))</f>
        <v/>
      </c>
      <c r="AR106" s="503" t="str">
        <f>IF(終値!A106="","",IF(AND(高値!V106&gt;高値!U106,高値!V106&gt;高値!T106,高値!V106&gt;高値!W106,高値!V106&gt;高値!X106),17,""))</f>
        <v/>
      </c>
      <c r="AS106" s="503" t="str">
        <f>IF(終値!A106="","",IF(AND(高値!W106&gt;高値!V106,高値!W106&gt;高値!U106,高値!W106&gt;高値!X106,高値!W106&gt;高値!Y106),18,""))</f>
        <v/>
      </c>
      <c r="AT106" s="503" t="str">
        <f>IF(終値!A106="","",IF(AND(高値!X106&gt;高値!W106,高値!X106&gt;高値!V106,高値!X106&gt;高値!Y106,高値!X106&gt;高値!Z106),19,""))</f>
        <v/>
      </c>
      <c r="AU106" s="503" t="str">
        <f>IF(終値!A106="","",IF(AND(高値!Y106&gt;高値!X106,高値!Y106&gt;高値!W106,高値!Y106&gt;高値!Z106,高値!Y106&gt;高値!AA106),20,""))</f>
        <v/>
      </c>
      <c r="AV106" s="503" t="str">
        <f>IF(終値!A106="","",IF(AND(高値!Z106&gt;高値!Y106,高値!Z106&gt;高値!X106,高値!Z106&gt;高値!AA106,高値!Z106&gt;高値!AB106),21,""))</f>
        <v/>
      </c>
      <c r="AW106" s="503" t="str">
        <f>IF(終値!A106="","",IF(AND(高値!AA106&gt;高値!Z106,高値!AA106&gt;高値!Y106,高値!AA106&gt;高値!AB106,高値!AA106&gt;高値!AC106),22,""))</f>
        <v/>
      </c>
      <c r="AX106" s="503" t="str">
        <f>IF(終値!A106="","",IF(AND(高値!AB106&gt;高値!AA106,高値!AB106&gt;高値!Z106,高値!AB106&gt;高値!AC106,高値!AB106&gt;高値!AD106),23,""))</f>
        <v/>
      </c>
      <c r="AY106" s="503" t="str">
        <f>IF(終値!A106="","",IF(AND(高値!AC106&gt;高値!AB106,高値!AC106&gt;高値!AA106,高値!AC106&gt;高値!AD106,高値!AC106&gt;高値!AE106),24,""))</f>
        <v/>
      </c>
      <c r="AZ106" s="503" t="str">
        <f>IF(終値!A106="","",IF(AND(高値!AD106&gt;高値!AC106,高値!AD106&gt;高値!AB106,高値!AD106&gt;高値!AE106,高値!AD106&gt;高値!AF106),25,""))</f>
        <v/>
      </c>
      <c r="BA106" s="503">
        <f>IF(終値!A106="","",IF(AND(高値!AE106&gt;高値!AD106,高値!AE106&gt;高値!AC106,高値!AE106&gt;高値!AF106,高値!AE106&gt;高値!AG106),26,""))</f>
        <v>26</v>
      </c>
      <c r="BB106" s="503" t="str">
        <f>IF(終値!A106="","",IF(AND(高値!AF106&gt;高値!AE106,高値!AF106&gt;高値!AD106,高値!AF106&gt;高値!AG106,高値!AF106&gt;高値!AH106),27,""))</f>
        <v/>
      </c>
      <c r="BC106" s="503" t="str">
        <f>IF(終値!A106="","",IF(AND(高値!AG106&gt;高値!AF106,高値!AG106&gt;高値!AE106,高値!AG106&gt;高値!AH106,高値!AG106&gt;高値!AI106),28,""))</f>
        <v/>
      </c>
      <c r="BD106" s="503">
        <f t="shared" si="6"/>
        <v>1</v>
      </c>
      <c r="BE106" s="503" t="str">
        <f t="shared" si="7"/>
        <v/>
      </c>
      <c r="BF106" s="503" t="str">
        <f t="shared" si="8"/>
        <v/>
      </c>
      <c r="BG106" s="503" t="str">
        <f>IF($BE106="","",INDEX(安値!$E106:$CZ106,1,$BE106+1))</f>
        <v/>
      </c>
      <c r="BH106" s="503" t="str">
        <f>IF($BF106="","",INDEX(安値!$E106:$CZ106,1,$BF106+1))</f>
        <v/>
      </c>
      <c r="BI106" s="503" t="str">
        <f>IF($BF106="","",MAX(INDEX(高値!$E106:$CZ106,1,$BE106+1):INDEX(高値!$E106:$CZ106,1,$BF106+1)))</f>
        <v/>
      </c>
      <c r="BJ106" s="503" t="str">
        <f>IF($BF106="","",AVERAGE(INDEX(終値!$E106:$CZ106,1,$BF106+1):INDEX(終値!$E106:$CZ106,1,$BF106+20))-2*STDEVP(INDEX(終値!$E106:$CZ106,1,$BF106+1):INDEX(終値!$E106:$CZ106,1,$BF106+20)))</f>
        <v/>
      </c>
      <c r="BK106" s="503" t="str">
        <f>IF($BE106="","",AVERAGE(INDEX(終値!$E106:$CZ106,1,$BE106+1):INDEX(終値!$E106:$CZ106,1,$BE106+20))-2*STDEVP(INDEX(終値!$E106:$CZ106,1,$BE106+1):INDEX(終値!$E106:$CZ106,1,$BE106+20)))</f>
        <v/>
      </c>
      <c r="BL106" s="503">
        <f t="shared" si="9"/>
        <v>2</v>
      </c>
      <c r="BM106" s="503">
        <f t="shared" si="10"/>
        <v>7</v>
      </c>
      <c r="BN106" s="503">
        <f t="shared" si="11"/>
        <v>26</v>
      </c>
      <c r="BO106" s="503">
        <f>IF($BM106="","",INDEX(高値!$E106:$CZ106,1,$BM106+1))</f>
        <v>2011</v>
      </c>
      <c r="BP106" s="503">
        <f>IF($BN106="","",INDEX(高値!$E106:$CZ106,1,$BN106+1))</f>
        <v>1817</v>
      </c>
      <c r="BQ106" s="503">
        <f>IF($BN106="","",MIN(INDEX(安値!$E106:$CZ106,1,$BM106+1):INDEX(安値!$E106:$CZ106,1,$BN106+1)))</f>
        <v>1775</v>
      </c>
      <c r="BR106" s="503">
        <f>IF($BN106="","",AVERAGE(INDEX(終値!$E106:$CZ106,1,$BN106+1):INDEX(終値!$E106:$CZ106,1,$BN106+20))+2*STDEVP(INDEX(終値!$E106:$CZ106,1,$BN106+1):INDEX(終値!$E106:$CZ106,1,$BN106+20)))</f>
        <v>1834.8813069101229</v>
      </c>
      <c r="BS106" s="503">
        <f>IF($BM106="","",AVERAGE(INDEX(終値!$E106:$CZ106,1,$BM106+1):INDEX(終値!$E106:$CZ106,1,$BM106+20))+2*STDEVP(INDEX(終値!$E106:$CZ106,1,$BM106+1):INDEX(終値!$E106:$CZ106,1,$BM106+20)))</f>
        <v>1969.0217878969572</v>
      </c>
      <c r="BT106" s="500"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v>
      </c>
    </row>
    <row r="107" spans="2:72">
      <c r="B107" s="503" t="str">
        <f>IF(終値!A107="","",IF(AND(安値!G107&lt;安値!F107,安値!G107&lt;安値!E107,安値!G107&lt;安値!H107,安値!G107&lt;安値!I107),2,""))</f>
        <v/>
      </c>
      <c r="C107" s="503" t="str">
        <f>IF(終値!A107="","",IF(AND(安値!H107&lt;安値!G107,安値!H107&lt;安値!F107,安値!H107&lt;安値!I107,安値!H107&lt;安値!J107),3,""))</f>
        <v/>
      </c>
      <c r="D107" s="503" t="str">
        <f>IF(終値!A107="","",IF(AND(安値!I107&lt;安値!H107,安値!I107&lt;安値!G107,安値!I107&lt;安値!J107,安値!I107&lt;安値!K107),4,""))</f>
        <v/>
      </c>
      <c r="E107" s="503" t="str">
        <f>IF(終値!A107="","",IF(AND(安値!J107&lt;安値!I107,安値!J107&lt;安値!H107,安値!J107&lt;安値!K107,安値!J107&lt;安値!L107),5,""))</f>
        <v/>
      </c>
      <c r="F107" s="503">
        <f>IF(終値!A107="","",IF(AND(安値!K107&lt;安値!J107,安値!K107&lt;安値!I107,安値!K107&lt;安値!L107,安値!K107&lt;安値!M107),6,""))</f>
        <v>6</v>
      </c>
      <c r="G107" s="503" t="str">
        <f>IF(終値!A107="","",IF(AND(安値!L107&lt;安値!K107,安値!L107&lt;安値!J107,安値!L107&lt;安値!M107,安値!L107&lt;安値!N107),7,""))</f>
        <v/>
      </c>
      <c r="H107" s="503" t="str">
        <f>IF(終値!A107="","",IF(AND(安値!M107&lt;安値!L107,安値!M107&lt;安値!K107,安値!M107&lt;安値!N107,安値!M107&lt;安値!O107),8,""))</f>
        <v/>
      </c>
      <c r="I107" s="503" t="str">
        <f>IF(終値!A107="","",IF(AND(安値!N107&lt;安値!M107,安値!N107&lt;安値!L107,安値!N107&lt;安値!O107,安値!N107&lt;安値!P107),9,""))</f>
        <v/>
      </c>
      <c r="J107" s="503" t="str">
        <f>IF(終値!A107="","",IF(AND(安値!O107&lt;安値!N107,安値!O107&lt;安値!M107,安値!O107&lt;安値!P107,安値!O107&lt;安値!Q107),10,""))</f>
        <v/>
      </c>
      <c r="K107" s="503" t="str">
        <f>IF(終値!A107="","",IF(AND(安値!P107&lt;安値!O107,安値!P107&lt;安値!N107,安値!P107&lt;安値!Q107,安値!P107&lt;安値!R107),11,""))</f>
        <v/>
      </c>
      <c r="L107" s="503" t="str">
        <f>IF(終値!A107="","",IF(AND(安値!Q107&lt;安値!P107,安値!Q107&lt;安値!O107,安値!Q107&lt;安値!R107,安値!Q107&lt;安値!S107),12,""))</f>
        <v/>
      </c>
      <c r="M107" s="503">
        <f>IF(終値!A107="","",IF(AND(安値!R107&lt;安値!Q107,安値!R107&lt;安値!P107,安値!R107&lt;安値!S107,安値!R107&lt;安値!T107),13,""))</f>
        <v>13</v>
      </c>
      <c r="N107" s="503" t="str">
        <f>IF(終値!A107="","",IF(AND(安値!S107&lt;安値!R107,安値!S107&lt;安値!Q107,安値!S107&lt;安値!T107,安値!S107&lt;安値!U107),14,""))</f>
        <v/>
      </c>
      <c r="O107" s="503" t="str">
        <f>IF(終値!A107="","",IF(AND(安値!T107&lt;安値!S107,安値!T107&lt;安値!R107,安値!T107&lt;安値!U107,安値!T107&lt;安値!V107),15,""))</f>
        <v/>
      </c>
      <c r="P107" s="503" t="str">
        <f>IF(終値!A107="","",IF(AND(安値!U107&lt;安値!T107,安値!U107&lt;安値!S107,安値!U107&lt;安値!V107,安値!U107&lt;安値!W107),16,""))</f>
        <v/>
      </c>
      <c r="Q107" s="503" t="str">
        <f>IF(終値!A107="","",IF(AND(安値!V107&lt;安値!U107,安値!V107&lt;安値!T107,安値!V107&lt;安値!W107,安値!V107&lt;安値!X107),17,""))</f>
        <v/>
      </c>
      <c r="R107" s="503" t="str">
        <f>IF(終値!A107="","",IF(AND(安値!W107&lt;安値!V107,安値!W107&lt;安値!U107,安値!W107&lt;安値!X107,安値!W107&lt;安値!Y107),18,""))</f>
        <v/>
      </c>
      <c r="S107" s="503">
        <f>IF(終値!A107="","",IF(AND(安値!X107&lt;安値!W107,安値!X107&lt;安値!V107,安値!X107&lt;安値!Y107,安値!X107&lt;安値!Z107),19,""))</f>
        <v>19</v>
      </c>
      <c r="T107" s="503" t="str">
        <f>IF(終値!A107="","",IF(AND(安値!Y107&lt;安値!X107,安値!Y107&lt;安値!W107,安値!Y107&lt;安値!Z107,安値!Y107&lt;安値!AA107),20,""))</f>
        <v/>
      </c>
      <c r="U107" s="503" t="str">
        <f>IF(終値!A107="","",IF(AND(安値!Z107&lt;安値!Y107,安値!Z107&lt;安値!X107,安値!Z107&lt;安値!AA107,安値!Z107&lt;安値!AB107),21,""))</f>
        <v/>
      </c>
      <c r="V107" s="503" t="str">
        <f>IF(終値!A107="","",IF(AND(安値!AA107&lt;安値!Z107,安値!AA107&lt;安値!Y107,安値!AA107&lt;安値!AB107,安値!AA107&lt;安値!AC107),22,""))</f>
        <v/>
      </c>
      <c r="W107" s="503" t="str">
        <f>IF(終値!A107="","",IF(AND(安値!AB107&lt;安値!AA107,安値!AB107&lt;安値!Z107,安値!AB107&lt;安値!AC107,安値!AB107&lt;安値!AD107),23,""))</f>
        <v/>
      </c>
      <c r="X107" s="503" t="str">
        <f>IF(終値!A107="","",IF(AND(安値!AC107&lt;安値!AB107,安値!AC107&lt;安値!AA107,安値!AC107&lt;安値!AD107,安値!AC107&lt;安値!AE107),24,""))</f>
        <v/>
      </c>
      <c r="Y107" s="503" t="str">
        <f>IF(終値!A107="","",IF(AND(安値!AD107&lt;安値!AC107,安値!AD107&lt;安値!AB107,安値!AD107&lt;安値!AE107,安値!AD107&lt;安値!AF107),25,""))</f>
        <v/>
      </c>
      <c r="Z107" s="503">
        <f>IF(終値!A107="","",IF(AND(安値!AE107&lt;安値!AD107,安値!AE107&lt;安値!AC107,安値!AE107&lt;安値!AF107,安値!AE107&lt;安値!AG107),26,""))</f>
        <v>26</v>
      </c>
      <c r="AA107" s="503" t="str">
        <f>IF(終値!A107="","",IF(AND(安値!AF107&lt;安値!AE107,安値!AF107&lt;安値!AD107,安値!AF107&lt;安値!AG107,安値!AF107&lt;安値!AH107),27,""))</f>
        <v/>
      </c>
      <c r="AB107" s="503" t="str">
        <f>IF(終値!A107="","",IF(AND(安値!AG107&lt;安値!AF107,安値!AG107&lt;安値!AE107,安値!AG107&lt;安値!AH107,安値!AG107&lt;安値!AI107),28,""))</f>
        <v/>
      </c>
      <c r="AC107" s="503" t="str">
        <f>IF(終値!A107="","",IF(AND(高値!G107&gt;高値!F107,高値!G107&gt;高値!E107,高値!G107&gt;高値!H107,高値!G107&gt;高値!I107),2,""))</f>
        <v/>
      </c>
      <c r="AD107" s="503" t="str">
        <f>IF(終値!A107="","",IF(AND(高値!H107&gt;高値!G107,高値!H107&gt;高値!F107,高値!H107&gt;高値!I107,高値!H107&gt;高値!J107),3,""))</f>
        <v/>
      </c>
      <c r="AE107" s="503" t="str">
        <f>IF(終値!A107="","",IF(AND(高値!I107&gt;高値!H107,高値!I107&gt;高値!G107,高値!I107&gt;高値!J107,高値!I107&gt;高値!K107),4,""))</f>
        <v/>
      </c>
      <c r="AF107" s="503" t="str">
        <f>IF(終値!A107="","",IF(AND(高値!J107&gt;高値!I107,高値!J107&gt;高値!H107,高値!J107&gt;高値!K107,高値!J107&gt;高値!L107),5,""))</f>
        <v/>
      </c>
      <c r="AG107" s="503" t="str">
        <f>IF(終値!A107="","",IF(AND(高値!K107&gt;高値!J107,高値!K107&gt;高値!I107,高値!K107&gt;高値!L107,高値!K107&gt;高値!M107),6,""))</f>
        <v/>
      </c>
      <c r="AH107" s="503" t="str">
        <f>IF(終値!A107="","",IF(AND(高値!L107&gt;高値!K107,高値!L107&gt;高値!J107,高値!L107&gt;高値!M107,高値!L107&gt;高値!N107),7,""))</f>
        <v/>
      </c>
      <c r="AI107" s="503" t="str">
        <f>IF(終値!A107="","",IF(AND(高値!M107&gt;高値!L107,高値!M107&gt;高値!K107,高値!M107&gt;高値!N107,高値!M107&gt;高値!O107),8,""))</f>
        <v/>
      </c>
      <c r="AJ107" s="503" t="str">
        <f>IF(終値!A107="","",IF(AND(高値!N107&gt;高値!M107,高値!N107&gt;高値!L107,高値!N107&gt;高値!O107,高値!N107&gt;高値!P107),9,""))</f>
        <v/>
      </c>
      <c r="AK107" s="503" t="str">
        <f>IF(終値!A107="","",IF(AND(高値!O107&gt;高値!N107,高値!O107&gt;高値!M107,高値!O107&gt;高値!P107,高値!O107&gt;高値!Q107),10,""))</f>
        <v/>
      </c>
      <c r="AL107" s="503">
        <f>IF(終値!A107="","",IF(AND(高値!P107&gt;高値!O107,高値!P107&gt;高値!N107,高値!P107&gt;高値!Q107,高値!P107&gt;高値!R107),11,""))</f>
        <v>11</v>
      </c>
      <c r="AM107" s="503" t="str">
        <f>IF(終値!A107="","",IF(AND(高値!Q107&gt;高値!P107,高値!Q107&gt;高値!O107,高値!Q107&gt;高値!R107,高値!Q107&gt;高値!S107),12,""))</f>
        <v/>
      </c>
      <c r="AN107" s="503" t="str">
        <f>IF(終値!A107="","",IF(AND(高値!R107&gt;高値!Q107,高値!R107&gt;高値!P107,高値!R107&gt;高値!S107,高値!R107&gt;高値!T107),13,""))</f>
        <v/>
      </c>
      <c r="AO107" s="503" t="str">
        <f>IF(終値!A107="","",IF(AND(高値!S107&gt;高値!R107,高値!S107&gt;高値!Q107,高値!S107&gt;高値!T107,高値!S107&gt;高値!U107),14,""))</f>
        <v/>
      </c>
      <c r="AP107" s="503" t="str">
        <f>IF(終値!A107="","",IF(AND(高値!T107&gt;高値!S107,高値!T107&gt;高値!R107,高値!T107&gt;高値!U107,高値!T107&gt;高値!V107),15,""))</f>
        <v/>
      </c>
      <c r="AQ107" s="503">
        <f>IF(終値!A107="","",IF(AND(高値!U107&gt;高値!T107,高値!U107&gt;高値!S107,高値!U107&gt;高値!V107,高値!U107&gt;高値!W107),16,""))</f>
        <v>16</v>
      </c>
      <c r="AR107" s="503" t="str">
        <f>IF(終値!A107="","",IF(AND(高値!V107&gt;高値!U107,高値!V107&gt;高値!T107,高値!V107&gt;高値!W107,高値!V107&gt;高値!X107),17,""))</f>
        <v/>
      </c>
      <c r="AS107" s="503" t="str">
        <f>IF(終値!A107="","",IF(AND(高値!W107&gt;高値!V107,高値!W107&gt;高値!U107,高値!W107&gt;高値!X107,高値!W107&gt;高値!Y107),18,""))</f>
        <v/>
      </c>
      <c r="AT107" s="503" t="str">
        <f>IF(終値!A107="","",IF(AND(高値!X107&gt;高値!W107,高値!X107&gt;高値!V107,高値!X107&gt;高値!Y107,高値!X107&gt;高値!Z107),19,""))</f>
        <v/>
      </c>
      <c r="AU107" s="503" t="str">
        <f>IF(終値!A107="","",IF(AND(高値!Y107&gt;高値!X107,高値!Y107&gt;高値!W107,高値!Y107&gt;高値!Z107,高値!Y107&gt;高値!AA107),20,""))</f>
        <v/>
      </c>
      <c r="AV107" s="503" t="str">
        <f>IF(終値!A107="","",IF(AND(高値!Z107&gt;高値!Y107,高値!Z107&gt;高値!X107,高値!Z107&gt;高値!AA107,高値!Z107&gt;高値!AB107),21,""))</f>
        <v/>
      </c>
      <c r="AW107" s="503" t="str">
        <f>IF(終値!A107="","",IF(AND(高値!AA107&gt;高値!Z107,高値!AA107&gt;高値!Y107,高値!AA107&gt;高値!AB107,高値!AA107&gt;高値!AC107),22,""))</f>
        <v/>
      </c>
      <c r="AX107" s="503" t="str">
        <f>IF(終値!A107="","",IF(AND(高値!AB107&gt;高値!AA107,高値!AB107&gt;高値!Z107,高値!AB107&gt;高値!AC107,高値!AB107&gt;高値!AD107),23,""))</f>
        <v/>
      </c>
      <c r="AY107" s="503">
        <f>IF(終値!A107="","",IF(AND(高値!AC107&gt;高値!AB107,高値!AC107&gt;高値!AA107,高値!AC107&gt;高値!AD107,高値!AC107&gt;高値!AE107),24,""))</f>
        <v>24</v>
      </c>
      <c r="AZ107" s="503" t="str">
        <f>IF(終値!A107="","",IF(AND(高値!AD107&gt;高値!AC107,高値!AD107&gt;高値!AB107,高値!AD107&gt;高値!AE107,高値!AD107&gt;高値!AF107),25,""))</f>
        <v/>
      </c>
      <c r="BA107" s="503" t="str">
        <f>IF(終値!A107="","",IF(AND(高値!AE107&gt;高値!AD107,高値!AE107&gt;高値!AC107,高値!AE107&gt;高値!AF107,高値!AE107&gt;高値!AG107),26,""))</f>
        <v/>
      </c>
      <c r="BB107" s="503" t="str">
        <f>IF(終値!A107="","",IF(AND(高値!AF107&gt;高値!AE107,高値!AF107&gt;高値!AD107,高値!AF107&gt;高値!AG107,高値!AF107&gt;高値!AH107),27,""))</f>
        <v/>
      </c>
      <c r="BC107" s="503" t="str">
        <f>IF(終値!A107="","",IF(AND(高値!AG107&gt;高値!AF107,高値!AG107&gt;高値!AE107,高値!AG107&gt;高値!AH107,高値!AG107&gt;高値!AI107),28,""))</f>
        <v/>
      </c>
      <c r="BD107" s="503">
        <f t="shared" si="6"/>
        <v>4</v>
      </c>
      <c r="BE107" s="503">
        <f t="shared" si="7"/>
        <v>6</v>
      </c>
      <c r="BF107" s="503">
        <f t="shared" si="8"/>
        <v>13</v>
      </c>
      <c r="BG107" s="503">
        <f>IF($BE107="","",INDEX(安値!$E107:$CZ107,1,$BE107+1))</f>
        <v>14390</v>
      </c>
      <c r="BH107" s="503">
        <f>IF($BF107="","",INDEX(安値!$E107:$CZ107,1,$BF107+1))</f>
        <v>16420</v>
      </c>
      <c r="BI107" s="503">
        <f>IF($BF107="","",MAX(INDEX(高値!$E107:$CZ107,1,$BE107+1):INDEX(高値!$E107:$CZ107,1,$BF107+1)))</f>
        <v>19195</v>
      </c>
      <c r="BJ107" s="503">
        <f>IF($BF107="","",AVERAGE(INDEX(終値!$E107:$CZ107,1,$BF107+1):INDEX(終値!$E107:$CZ107,1,$BF107+20))-2*STDEVP(INDEX(終値!$E107:$CZ107,1,$BF107+1):INDEX(終値!$E107:$CZ107,1,$BF107+20)))</f>
        <v>17093.473974068671</v>
      </c>
      <c r="BK107" s="503">
        <f>IF($BE107="","",AVERAGE(INDEX(終値!$E107:$CZ107,1,$BE107+1):INDEX(終値!$E107:$CZ107,1,$BE107+20))-2*STDEVP(INDEX(終値!$E107:$CZ107,1,$BE107+1):INDEX(終値!$E107:$CZ107,1,$BE107+20)))</f>
        <v>15616.686242701289</v>
      </c>
      <c r="BL107" s="503">
        <f t="shared" si="9"/>
        <v>3</v>
      </c>
      <c r="BM107" s="503">
        <f t="shared" si="10"/>
        <v>11</v>
      </c>
      <c r="BN107" s="503">
        <f t="shared" si="11"/>
        <v>16</v>
      </c>
      <c r="BO107" s="503">
        <f>IF($BM107="","",INDEX(高値!$E107:$CZ107,1,$BM107+1))</f>
        <v>19195</v>
      </c>
      <c r="BP107" s="503">
        <f>IF($BN107="","",INDEX(高値!$E107:$CZ107,1,$BN107+1))</f>
        <v>19420</v>
      </c>
      <c r="BQ107" s="503">
        <f>IF($BN107="","",MIN(INDEX(安値!$E107:$CZ107,1,$BM107+1):INDEX(安値!$E107:$CZ107,1,$BN107+1)))</f>
        <v>16420</v>
      </c>
      <c r="BR107" s="503">
        <f>IF($BN107="","",AVERAGE(INDEX(終値!$E107:$CZ107,1,$BN107+1):INDEX(終値!$E107:$CZ107,1,$BN107+20))+2*STDEVP(INDEX(終値!$E107:$CZ107,1,$BN107+1):INDEX(終値!$E107:$CZ107,1,$BN107+20)))</f>
        <v>20933.313482790069</v>
      </c>
      <c r="BS107" s="503">
        <f>IF($BM107="","",AVERAGE(INDEX(終値!$E107:$CZ107,1,$BM107+1):INDEX(終値!$E107:$CZ107,1,$BM107+20))+2*STDEVP(INDEX(終値!$E107:$CZ107,1,$BM107+1):INDEX(終値!$E107:$CZ107,1,$BM107+20)))</f>
        <v>20653.890643122726</v>
      </c>
      <c r="BT107" s="500"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二番天井M形成</v>
      </c>
    </row>
    <row r="108" spans="2:72">
      <c r="B108" s="503" t="str">
        <f>IF(終値!A108="","",IF(AND(安値!G108&lt;安値!F108,安値!G108&lt;安値!E108,安値!G108&lt;安値!H108,安値!G108&lt;安値!I108),2,""))</f>
        <v/>
      </c>
      <c r="C108" s="503" t="str">
        <f>IF(終値!A108="","",IF(AND(安値!H108&lt;安値!G108,安値!H108&lt;安値!F108,安値!H108&lt;安値!I108,安値!H108&lt;安値!J108),3,""))</f>
        <v/>
      </c>
      <c r="D108" s="503" t="str">
        <f>IF(終値!A108="","",IF(AND(安値!I108&lt;安値!H108,安値!I108&lt;安値!G108,安値!I108&lt;安値!J108,安値!I108&lt;安値!K108),4,""))</f>
        <v/>
      </c>
      <c r="E108" s="503" t="str">
        <f>IF(終値!A108="","",IF(AND(安値!J108&lt;安値!I108,安値!J108&lt;安値!H108,安値!J108&lt;安値!K108,安値!J108&lt;安値!L108),5,""))</f>
        <v/>
      </c>
      <c r="F108" s="503" t="str">
        <f>IF(終値!A108="","",IF(AND(安値!K108&lt;安値!J108,安値!K108&lt;安値!I108,安値!K108&lt;安値!L108,安値!K108&lt;安値!M108),6,""))</f>
        <v/>
      </c>
      <c r="G108" s="503" t="str">
        <f>IF(終値!A108="","",IF(AND(安値!L108&lt;安値!K108,安値!L108&lt;安値!J108,安値!L108&lt;安値!M108,安値!L108&lt;安値!N108),7,""))</f>
        <v/>
      </c>
      <c r="H108" s="503" t="str">
        <f>IF(終値!A108="","",IF(AND(安値!M108&lt;安値!L108,安値!M108&lt;安値!K108,安値!M108&lt;安値!N108,安値!M108&lt;安値!O108),8,""))</f>
        <v/>
      </c>
      <c r="I108" s="503">
        <f>IF(終値!A108="","",IF(AND(安値!N108&lt;安値!M108,安値!N108&lt;安値!L108,安値!N108&lt;安値!O108,安値!N108&lt;安値!P108),9,""))</f>
        <v>9</v>
      </c>
      <c r="J108" s="503" t="str">
        <f>IF(終値!A108="","",IF(AND(安値!O108&lt;安値!N108,安値!O108&lt;安値!M108,安値!O108&lt;安値!P108,安値!O108&lt;安値!Q108),10,""))</f>
        <v/>
      </c>
      <c r="K108" s="503" t="str">
        <f>IF(終値!A108="","",IF(AND(安値!P108&lt;安値!O108,安値!P108&lt;安値!N108,安値!P108&lt;安値!Q108,安値!P108&lt;安値!R108),11,""))</f>
        <v/>
      </c>
      <c r="L108" s="503" t="str">
        <f>IF(終値!A108="","",IF(AND(安値!Q108&lt;安値!P108,安値!Q108&lt;安値!O108,安値!Q108&lt;安値!R108,安値!Q108&lt;安値!S108),12,""))</f>
        <v/>
      </c>
      <c r="M108" s="503" t="str">
        <f>IF(終値!A108="","",IF(AND(安値!R108&lt;安値!Q108,安値!R108&lt;安値!P108,安値!R108&lt;安値!S108,安値!R108&lt;安値!T108),13,""))</f>
        <v/>
      </c>
      <c r="N108" s="503" t="str">
        <f>IF(終値!A108="","",IF(AND(安値!S108&lt;安値!R108,安値!S108&lt;安値!Q108,安値!S108&lt;安値!T108,安値!S108&lt;安値!U108),14,""))</f>
        <v/>
      </c>
      <c r="O108" s="503" t="str">
        <f>IF(終値!A108="","",IF(AND(安値!T108&lt;安値!S108,安値!T108&lt;安値!R108,安値!T108&lt;安値!U108,安値!T108&lt;安値!V108),15,""))</f>
        <v/>
      </c>
      <c r="P108" s="503" t="str">
        <f>IF(終値!A108="","",IF(AND(安値!U108&lt;安値!T108,安値!U108&lt;安値!S108,安値!U108&lt;安値!V108,安値!U108&lt;安値!W108),16,""))</f>
        <v/>
      </c>
      <c r="Q108" s="503" t="str">
        <f>IF(終値!A108="","",IF(AND(安値!V108&lt;安値!U108,安値!V108&lt;安値!T108,安値!V108&lt;安値!W108,安値!V108&lt;安値!X108),17,""))</f>
        <v/>
      </c>
      <c r="R108" s="503">
        <f>IF(終値!A108="","",IF(AND(安値!W108&lt;安値!V108,安値!W108&lt;安値!U108,安値!W108&lt;安値!X108,安値!W108&lt;安値!Y108),18,""))</f>
        <v>18</v>
      </c>
      <c r="S108" s="503" t="str">
        <f>IF(終値!A108="","",IF(AND(安値!X108&lt;安値!W108,安値!X108&lt;安値!V108,安値!X108&lt;安値!Y108,安値!X108&lt;安値!Z108),19,""))</f>
        <v/>
      </c>
      <c r="T108" s="503" t="str">
        <f>IF(終値!A108="","",IF(AND(安値!Y108&lt;安値!X108,安値!Y108&lt;安値!W108,安値!Y108&lt;安値!Z108,安値!Y108&lt;安値!AA108),20,""))</f>
        <v/>
      </c>
      <c r="U108" s="503" t="str">
        <f>IF(終値!A108="","",IF(AND(安値!Z108&lt;安値!Y108,安値!Z108&lt;安値!X108,安値!Z108&lt;安値!AA108,安値!Z108&lt;安値!AB108),21,""))</f>
        <v/>
      </c>
      <c r="V108" s="503" t="str">
        <f>IF(終値!A108="","",IF(AND(安値!AA108&lt;安値!Z108,安値!AA108&lt;安値!Y108,安値!AA108&lt;安値!AB108,安値!AA108&lt;安値!AC108),22,""))</f>
        <v/>
      </c>
      <c r="W108" s="503" t="str">
        <f>IF(終値!A108="","",IF(AND(安値!AB108&lt;安値!AA108,安値!AB108&lt;安値!Z108,安値!AB108&lt;安値!AC108,安値!AB108&lt;安値!AD108),23,""))</f>
        <v/>
      </c>
      <c r="X108" s="503">
        <f>IF(終値!A108="","",IF(AND(安値!AC108&lt;安値!AB108,安値!AC108&lt;安値!AA108,安値!AC108&lt;安値!AD108,安値!AC108&lt;安値!AE108),24,""))</f>
        <v>24</v>
      </c>
      <c r="Y108" s="503" t="str">
        <f>IF(終値!A108="","",IF(AND(安値!AD108&lt;安値!AC108,安値!AD108&lt;安値!AB108,安値!AD108&lt;安値!AE108,安値!AD108&lt;安値!AF108),25,""))</f>
        <v/>
      </c>
      <c r="Z108" s="503" t="str">
        <f>IF(終値!A108="","",IF(AND(安値!AE108&lt;安値!AD108,安値!AE108&lt;安値!AC108,安値!AE108&lt;安値!AF108,安値!AE108&lt;安値!AG108),26,""))</f>
        <v/>
      </c>
      <c r="AA108" s="503" t="str">
        <f>IF(終値!A108="","",IF(AND(安値!AF108&lt;安値!AE108,安値!AF108&lt;安値!AD108,安値!AF108&lt;安値!AG108,安値!AF108&lt;安値!AH108),27,""))</f>
        <v/>
      </c>
      <c r="AB108" s="503" t="str">
        <f>IF(終値!A108="","",IF(AND(安値!AG108&lt;安値!AF108,安値!AG108&lt;安値!AE108,安値!AG108&lt;安値!AH108,安値!AG108&lt;安値!AI108),28,""))</f>
        <v/>
      </c>
      <c r="AC108" s="503" t="str">
        <f>IF(終値!A108="","",IF(AND(高値!G108&gt;高値!F108,高値!G108&gt;高値!E108,高値!G108&gt;高値!H108,高値!G108&gt;高値!I108),2,""))</f>
        <v/>
      </c>
      <c r="AD108" s="503" t="str">
        <f>IF(終値!A108="","",IF(AND(高値!H108&gt;高値!G108,高値!H108&gt;高値!F108,高値!H108&gt;高値!I108,高値!H108&gt;高値!J108),3,""))</f>
        <v/>
      </c>
      <c r="AE108" s="503" t="str">
        <f>IF(終値!A108="","",IF(AND(高値!I108&gt;高値!H108,高値!I108&gt;高値!G108,高値!I108&gt;高値!J108,高値!I108&gt;高値!K108),4,""))</f>
        <v/>
      </c>
      <c r="AF108" s="503" t="str">
        <f>IF(終値!A108="","",IF(AND(高値!J108&gt;高値!I108,高値!J108&gt;高値!H108,高値!J108&gt;高値!K108,高値!J108&gt;高値!L108),5,""))</f>
        <v/>
      </c>
      <c r="AG108" s="503">
        <f>IF(終値!A108="","",IF(AND(高値!K108&gt;高値!J108,高値!K108&gt;高値!I108,高値!K108&gt;高値!L108,高値!K108&gt;高値!M108),6,""))</f>
        <v>6</v>
      </c>
      <c r="AH108" s="503" t="str">
        <f>IF(終値!A108="","",IF(AND(高値!L108&gt;高値!K108,高値!L108&gt;高値!J108,高値!L108&gt;高値!M108,高値!L108&gt;高値!N108),7,""))</f>
        <v/>
      </c>
      <c r="AI108" s="503" t="str">
        <f>IF(終値!A108="","",IF(AND(高値!M108&gt;高値!L108,高値!M108&gt;高値!K108,高値!M108&gt;高値!N108,高値!M108&gt;高値!O108),8,""))</f>
        <v/>
      </c>
      <c r="AJ108" s="503" t="str">
        <f>IF(終値!A108="","",IF(AND(高値!N108&gt;高値!M108,高値!N108&gt;高値!L108,高値!N108&gt;高値!O108,高値!N108&gt;高値!P108),9,""))</f>
        <v/>
      </c>
      <c r="AK108" s="503" t="str">
        <f>IF(終値!A108="","",IF(AND(高値!O108&gt;高値!N108,高値!O108&gt;高値!M108,高値!O108&gt;高値!P108,高値!O108&gt;高値!Q108),10,""))</f>
        <v/>
      </c>
      <c r="AL108" s="503" t="str">
        <f>IF(終値!A108="","",IF(AND(高値!P108&gt;高値!O108,高値!P108&gt;高値!N108,高値!P108&gt;高値!Q108,高値!P108&gt;高値!R108),11,""))</f>
        <v/>
      </c>
      <c r="AM108" s="503">
        <f>IF(終値!A108="","",IF(AND(高値!Q108&gt;高値!P108,高値!Q108&gt;高値!O108,高値!Q108&gt;高値!R108,高値!Q108&gt;高値!S108),12,""))</f>
        <v>12</v>
      </c>
      <c r="AN108" s="503" t="str">
        <f>IF(終値!A108="","",IF(AND(高値!R108&gt;高値!Q108,高値!R108&gt;高値!P108,高値!R108&gt;高値!S108,高値!R108&gt;高値!T108),13,""))</f>
        <v/>
      </c>
      <c r="AO108" s="503" t="str">
        <f>IF(終値!A108="","",IF(AND(高値!S108&gt;高値!R108,高値!S108&gt;高値!Q108,高値!S108&gt;高値!T108,高値!S108&gt;高値!U108),14,""))</f>
        <v/>
      </c>
      <c r="AP108" s="503" t="str">
        <f>IF(終値!A108="","",IF(AND(高値!T108&gt;高値!S108,高値!T108&gt;高値!R108,高値!T108&gt;高値!U108,高値!T108&gt;高値!V108),15,""))</f>
        <v/>
      </c>
      <c r="AQ108" s="503" t="str">
        <f>IF(終値!A108="","",IF(AND(高値!U108&gt;高値!T108,高値!U108&gt;高値!S108,高値!U108&gt;高値!V108,高値!U108&gt;高値!W108),16,""))</f>
        <v/>
      </c>
      <c r="AR108" s="503" t="str">
        <f>IF(終値!A108="","",IF(AND(高値!V108&gt;高値!U108,高値!V108&gt;高値!T108,高値!V108&gt;高値!W108,高値!V108&gt;高値!X108),17,""))</f>
        <v/>
      </c>
      <c r="AS108" s="503" t="str">
        <f>IF(終値!A108="","",IF(AND(高値!W108&gt;高値!V108,高値!W108&gt;高値!U108,高値!W108&gt;高値!X108,高値!W108&gt;高値!Y108),18,""))</f>
        <v/>
      </c>
      <c r="AT108" s="503" t="str">
        <f>IF(終値!A108="","",IF(AND(高値!X108&gt;高値!W108,高値!X108&gt;高値!V108,高値!X108&gt;高値!Y108,高値!X108&gt;高値!Z108),19,""))</f>
        <v/>
      </c>
      <c r="AU108" s="503" t="str">
        <f>IF(終値!A108="","",IF(AND(高値!Y108&gt;高値!X108,高値!Y108&gt;高値!W108,高値!Y108&gt;高値!Z108,高値!Y108&gt;高値!AA108),20,""))</f>
        <v/>
      </c>
      <c r="AV108" s="503" t="str">
        <f>IF(終値!A108="","",IF(AND(高値!Z108&gt;高値!Y108,高値!Z108&gt;高値!X108,高値!Z108&gt;高値!AA108,高値!Z108&gt;高値!AB108),21,""))</f>
        <v/>
      </c>
      <c r="AW108" s="503" t="str">
        <f>IF(終値!A108="","",IF(AND(高値!AA108&gt;高値!Z108,高値!AA108&gt;高値!Y108,高値!AA108&gt;高値!AB108,高値!AA108&gt;高値!AC108),22,""))</f>
        <v/>
      </c>
      <c r="AX108" s="503" t="str">
        <f>IF(終値!A108="","",IF(AND(高値!AB108&gt;高値!AA108,高値!AB108&gt;高値!Z108,高値!AB108&gt;高値!AC108,高値!AB108&gt;高値!AD108),23,""))</f>
        <v/>
      </c>
      <c r="AY108" s="503" t="str">
        <f>IF(終値!A108="","",IF(AND(高値!AC108&gt;高値!AB108,高値!AC108&gt;高値!AA108,高値!AC108&gt;高値!AD108,高値!AC108&gt;高値!AE108),24,""))</f>
        <v/>
      </c>
      <c r="AZ108" s="503" t="str">
        <f>IF(終値!A108="","",IF(AND(高値!AD108&gt;高値!AC108,高値!AD108&gt;高値!AB108,高値!AD108&gt;高値!AE108,高値!AD108&gt;高値!AF108),25,""))</f>
        <v/>
      </c>
      <c r="BA108" s="503">
        <f>IF(終値!A108="","",IF(AND(高値!AE108&gt;高値!AD108,高値!AE108&gt;高値!AC108,高値!AE108&gt;高値!AF108,高値!AE108&gt;高値!AG108),26,""))</f>
        <v>26</v>
      </c>
      <c r="BB108" s="503" t="str">
        <f>IF(終値!A108="","",IF(AND(高値!AF108&gt;高値!AE108,高値!AF108&gt;高値!AD108,高値!AF108&gt;高値!AG108,高値!AF108&gt;高値!AH108),27,""))</f>
        <v/>
      </c>
      <c r="BC108" s="503" t="str">
        <f>IF(終値!A108="","",IF(AND(高値!AG108&gt;高値!AF108,高値!AG108&gt;高値!AE108,高値!AG108&gt;高値!AH108,高値!AG108&gt;高値!AI108),28,""))</f>
        <v/>
      </c>
      <c r="BD108" s="503">
        <f t="shared" si="6"/>
        <v>3</v>
      </c>
      <c r="BE108" s="503">
        <f t="shared" si="7"/>
        <v>9</v>
      </c>
      <c r="BF108" s="503">
        <f t="shared" si="8"/>
        <v>18</v>
      </c>
      <c r="BG108" s="503">
        <f>IF($BE108="","",INDEX(安値!$E108:$CZ108,1,$BE108+1))</f>
        <v>4372</v>
      </c>
      <c r="BH108" s="503">
        <f>IF($BF108="","",INDEX(安値!$E108:$CZ108,1,$BF108+1))</f>
        <v>4228</v>
      </c>
      <c r="BI108" s="503">
        <f>IF($BF108="","",MAX(INDEX(高値!$E108:$CZ108,1,$BE108+1):INDEX(高値!$E108:$CZ108,1,$BF108+1)))</f>
        <v>4449</v>
      </c>
      <c r="BJ108" s="503">
        <f>IF($BF108="","",AVERAGE(INDEX(終値!$E108:$CZ108,1,$BF108+1):INDEX(終値!$E108:$CZ108,1,$BF108+20))-2*STDEVP(INDEX(終値!$E108:$CZ108,1,$BF108+1):INDEX(終値!$E108:$CZ108,1,$BF108+20)))</f>
        <v>4150.0048781938831</v>
      </c>
      <c r="BK108" s="503">
        <f>IF($BE108="","",AVERAGE(INDEX(終値!$E108:$CZ108,1,$BE108+1):INDEX(終値!$E108:$CZ108,1,$BE108+20))-2*STDEVP(INDEX(終値!$E108:$CZ108,1,$BE108+1):INDEX(終値!$E108:$CZ108,1,$BE108+20)))</f>
        <v>4114.2868578068083</v>
      </c>
      <c r="BL108" s="503">
        <f t="shared" si="9"/>
        <v>3</v>
      </c>
      <c r="BM108" s="503">
        <f t="shared" si="10"/>
        <v>6</v>
      </c>
      <c r="BN108" s="503">
        <f t="shared" si="11"/>
        <v>12</v>
      </c>
      <c r="BO108" s="503">
        <f>IF($BM108="","",INDEX(高値!$E108:$CZ108,1,$BM108+1))</f>
        <v>4620</v>
      </c>
      <c r="BP108" s="503">
        <f>IF($BN108="","",INDEX(高値!$E108:$CZ108,1,$BN108+1))</f>
        <v>4449</v>
      </c>
      <c r="BQ108" s="503">
        <f>IF($BN108="","",MIN(INDEX(安値!$E108:$CZ108,1,$BM108+1):INDEX(安値!$E108:$CZ108,1,$BN108+1)))</f>
        <v>4354</v>
      </c>
      <c r="BR108" s="503">
        <f>IF($BN108="","",AVERAGE(INDEX(終値!$E108:$CZ108,1,$BN108+1):INDEX(終値!$E108:$CZ108,1,$BN108+20))+2*STDEVP(INDEX(終値!$E108:$CZ108,1,$BN108+1):INDEX(終値!$E108:$CZ108,1,$BN108+20)))</f>
        <v>4388.4173727073485</v>
      </c>
      <c r="BS108" s="503">
        <f>IF($BM108="","",AVERAGE(INDEX(終値!$E108:$CZ108,1,$BM108+1):INDEX(終値!$E108:$CZ108,1,$BM108+20))+2*STDEVP(INDEX(終値!$E108:$CZ108,1,$BM108+1):INDEX(終値!$E108:$CZ108,1,$BM108+20)))</f>
        <v>4568.7159550883862</v>
      </c>
      <c r="BT108" s="500"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3" t="str">
        <f>IF(終値!A109="","",IF(AND(安値!G109&lt;安値!F109,安値!G109&lt;安値!E109,安値!G109&lt;安値!H109,安値!G109&lt;安値!I109),2,""))</f>
        <v/>
      </c>
      <c r="C109" s="503" t="str">
        <f>IF(終値!A109="","",IF(AND(安値!H109&lt;安値!G109,安値!H109&lt;安値!F109,安値!H109&lt;安値!I109,安値!H109&lt;安値!J109),3,""))</f>
        <v/>
      </c>
      <c r="D109" s="503" t="str">
        <f>IF(終値!A109="","",IF(AND(安値!I109&lt;安値!H109,安値!I109&lt;安値!G109,安値!I109&lt;安値!J109,安値!I109&lt;安値!K109),4,""))</f>
        <v/>
      </c>
      <c r="E109" s="503" t="str">
        <f>IF(終値!A109="","",IF(AND(安値!J109&lt;安値!I109,安値!J109&lt;安値!H109,安値!J109&lt;安値!K109,安値!J109&lt;安値!L109),5,""))</f>
        <v/>
      </c>
      <c r="F109" s="503" t="str">
        <f>IF(終値!A109="","",IF(AND(安値!K109&lt;安値!J109,安値!K109&lt;安値!I109,安値!K109&lt;安値!L109,安値!K109&lt;安値!M109),6,""))</f>
        <v/>
      </c>
      <c r="G109" s="503" t="str">
        <f>IF(終値!A109="","",IF(AND(安値!L109&lt;安値!K109,安値!L109&lt;安値!J109,安値!L109&lt;安値!M109,安値!L109&lt;安値!N109),7,""))</f>
        <v/>
      </c>
      <c r="H109" s="503" t="str">
        <f>IF(終値!A109="","",IF(AND(安値!M109&lt;安値!L109,安値!M109&lt;安値!K109,安値!M109&lt;安値!N109,安値!M109&lt;安値!O109),8,""))</f>
        <v/>
      </c>
      <c r="I109" s="503">
        <f>IF(終値!A109="","",IF(AND(安値!N109&lt;安値!M109,安値!N109&lt;安値!L109,安値!N109&lt;安値!O109,安値!N109&lt;安値!P109),9,""))</f>
        <v>9</v>
      </c>
      <c r="J109" s="503" t="str">
        <f>IF(終値!A109="","",IF(AND(安値!O109&lt;安値!N109,安値!O109&lt;安値!M109,安値!O109&lt;安値!P109,安値!O109&lt;安値!Q109),10,""))</f>
        <v/>
      </c>
      <c r="K109" s="503" t="str">
        <f>IF(終値!A109="","",IF(AND(安値!P109&lt;安値!O109,安値!P109&lt;安値!N109,安値!P109&lt;安値!Q109,安値!P109&lt;安値!R109),11,""))</f>
        <v/>
      </c>
      <c r="L109" s="503" t="str">
        <f>IF(終値!A109="","",IF(AND(安値!Q109&lt;安値!P109,安値!Q109&lt;安値!O109,安値!Q109&lt;安値!R109,安値!Q109&lt;安値!S109),12,""))</f>
        <v/>
      </c>
      <c r="M109" s="503" t="str">
        <f>IF(終値!A109="","",IF(AND(安値!R109&lt;安値!Q109,安値!R109&lt;安値!P109,安値!R109&lt;安値!S109,安値!R109&lt;安値!T109),13,""))</f>
        <v/>
      </c>
      <c r="N109" s="503" t="str">
        <f>IF(終値!A109="","",IF(AND(安値!S109&lt;安値!R109,安値!S109&lt;安値!Q109,安値!S109&lt;安値!T109,安値!S109&lt;安値!U109),14,""))</f>
        <v/>
      </c>
      <c r="O109" s="503" t="str">
        <f>IF(終値!A109="","",IF(AND(安値!T109&lt;安値!S109,安値!T109&lt;安値!R109,安値!T109&lt;安値!U109,安値!T109&lt;安値!V109),15,""))</f>
        <v/>
      </c>
      <c r="P109" s="503" t="str">
        <f>IF(終値!A109="","",IF(AND(安値!U109&lt;安値!T109,安値!U109&lt;安値!S109,安値!U109&lt;安値!V109,安値!U109&lt;安値!W109),16,""))</f>
        <v/>
      </c>
      <c r="Q109" s="503">
        <f>IF(終値!A109="","",IF(AND(安値!V109&lt;安値!U109,安値!V109&lt;安値!T109,安値!V109&lt;安値!W109,安値!V109&lt;安値!X109),17,""))</f>
        <v>17</v>
      </c>
      <c r="R109" s="503" t="str">
        <f>IF(終値!A109="","",IF(AND(安値!W109&lt;安値!V109,安値!W109&lt;安値!U109,安値!W109&lt;安値!X109,安値!W109&lt;安値!Y109),18,""))</f>
        <v/>
      </c>
      <c r="S109" s="503" t="str">
        <f>IF(終値!A109="","",IF(AND(安値!X109&lt;安値!W109,安値!X109&lt;安値!V109,安値!X109&lt;安値!Y109,安値!X109&lt;安値!Z109),19,""))</f>
        <v/>
      </c>
      <c r="T109" s="503" t="str">
        <f>IF(終値!A109="","",IF(AND(安値!Y109&lt;安値!X109,安値!Y109&lt;安値!W109,安値!Y109&lt;安値!Z109,安値!Y109&lt;安値!AA109),20,""))</f>
        <v/>
      </c>
      <c r="U109" s="503" t="str">
        <f>IF(終値!A109="","",IF(AND(安値!Z109&lt;安値!Y109,安値!Z109&lt;安値!X109,安値!Z109&lt;安値!AA109,安値!Z109&lt;安値!AB109),21,""))</f>
        <v/>
      </c>
      <c r="V109" s="503" t="str">
        <f>IF(終値!A109="","",IF(AND(安値!AA109&lt;安値!Z109,安値!AA109&lt;安値!Y109,安値!AA109&lt;安値!AB109,安値!AA109&lt;安値!AC109),22,""))</f>
        <v/>
      </c>
      <c r="W109" s="503" t="str">
        <f>IF(終値!A109="","",IF(AND(安値!AB109&lt;安値!AA109,安値!AB109&lt;安値!Z109,安値!AB109&lt;安値!AC109,安値!AB109&lt;安値!AD109),23,""))</f>
        <v/>
      </c>
      <c r="X109" s="503">
        <f>IF(終値!A109="","",IF(AND(安値!AC109&lt;安値!AB109,安値!AC109&lt;安値!AA109,安値!AC109&lt;安値!AD109,安値!AC109&lt;安値!AE109),24,""))</f>
        <v>24</v>
      </c>
      <c r="Y109" s="503" t="str">
        <f>IF(終値!A109="","",IF(AND(安値!AD109&lt;安値!AC109,安値!AD109&lt;安値!AB109,安値!AD109&lt;安値!AE109,安値!AD109&lt;安値!AF109),25,""))</f>
        <v/>
      </c>
      <c r="Z109" s="503" t="str">
        <f>IF(終値!A109="","",IF(AND(安値!AE109&lt;安値!AD109,安値!AE109&lt;安値!AC109,安値!AE109&lt;安値!AF109,安値!AE109&lt;安値!AG109),26,""))</f>
        <v/>
      </c>
      <c r="AA109" s="503" t="str">
        <f>IF(終値!A109="","",IF(AND(安値!AF109&lt;安値!AE109,安値!AF109&lt;安値!AD109,安値!AF109&lt;安値!AG109,安値!AF109&lt;安値!AH109),27,""))</f>
        <v/>
      </c>
      <c r="AB109" s="503" t="str">
        <f>IF(終値!A109="","",IF(AND(安値!AG109&lt;安値!AF109,安値!AG109&lt;安値!AE109,安値!AG109&lt;安値!AH109,安値!AG109&lt;安値!AI109),28,""))</f>
        <v/>
      </c>
      <c r="AC109" s="503" t="str">
        <f>IF(終値!A109="","",IF(AND(高値!G109&gt;高値!F109,高値!G109&gt;高値!E109,高値!G109&gt;高値!H109,高値!G109&gt;高値!I109),2,""))</f>
        <v/>
      </c>
      <c r="AD109" s="503" t="str">
        <f>IF(終値!A109="","",IF(AND(高値!H109&gt;高値!G109,高値!H109&gt;高値!F109,高値!H109&gt;高値!I109,高値!H109&gt;高値!J109),3,""))</f>
        <v/>
      </c>
      <c r="AE109" s="503" t="str">
        <f>IF(終値!A109="","",IF(AND(高値!I109&gt;高値!H109,高値!I109&gt;高値!G109,高値!I109&gt;高値!J109,高値!I109&gt;高値!K109),4,""))</f>
        <v/>
      </c>
      <c r="AF109" s="503" t="str">
        <f>IF(終値!A109="","",IF(AND(高値!J109&gt;高値!I109,高値!J109&gt;高値!H109,高値!J109&gt;高値!K109,高値!J109&gt;高値!L109),5,""))</f>
        <v/>
      </c>
      <c r="AG109" s="503">
        <f>IF(終値!A109="","",IF(AND(高値!K109&gt;高値!J109,高値!K109&gt;高値!I109,高値!K109&gt;高値!L109,高値!K109&gt;高値!M109),6,""))</f>
        <v>6</v>
      </c>
      <c r="AH109" s="503" t="str">
        <f>IF(終値!A109="","",IF(AND(高値!L109&gt;高値!K109,高値!L109&gt;高値!J109,高値!L109&gt;高値!M109,高値!L109&gt;高値!N109),7,""))</f>
        <v/>
      </c>
      <c r="AI109" s="503" t="str">
        <f>IF(終値!A109="","",IF(AND(高値!M109&gt;高値!L109,高値!M109&gt;高値!K109,高値!M109&gt;高値!N109,高値!M109&gt;高値!O109),8,""))</f>
        <v/>
      </c>
      <c r="AJ109" s="503" t="str">
        <f>IF(終値!A109="","",IF(AND(高値!N109&gt;高値!M109,高値!N109&gt;高値!L109,高値!N109&gt;高値!O109,高値!N109&gt;高値!P109),9,""))</f>
        <v/>
      </c>
      <c r="AK109" s="503" t="str">
        <f>IF(終値!A109="","",IF(AND(高値!O109&gt;高値!N109,高値!O109&gt;高値!M109,高値!O109&gt;高値!P109,高値!O109&gt;高値!Q109),10,""))</f>
        <v/>
      </c>
      <c r="AL109" s="503" t="str">
        <f>IF(終値!A109="","",IF(AND(高値!P109&gt;高値!O109,高値!P109&gt;高値!N109,高値!P109&gt;高値!Q109,高値!P109&gt;高値!R109),11,""))</f>
        <v/>
      </c>
      <c r="AM109" s="503">
        <f>IF(終値!A109="","",IF(AND(高値!Q109&gt;高値!P109,高値!Q109&gt;高値!O109,高値!Q109&gt;高値!R109,高値!Q109&gt;高値!S109),12,""))</f>
        <v>12</v>
      </c>
      <c r="AN109" s="503" t="str">
        <f>IF(終値!A109="","",IF(AND(高値!R109&gt;高値!Q109,高値!R109&gt;高値!P109,高値!R109&gt;高値!S109,高値!R109&gt;高値!T109),13,""))</f>
        <v/>
      </c>
      <c r="AO109" s="503" t="str">
        <f>IF(終値!A109="","",IF(AND(高値!S109&gt;高値!R109,高値!S109&gt;高値!Q109,高値!S109&gt;高値!T109,高値!S109&gt;高値!U109),14,""))</f>
        <v/>
      </c>
      <c r="AP109" s="503" t="str">
        <f>IF(終値!A109="","",IF(AND(高値!T109&gt;高値!S109,高値!T109&gt;高値!R109,高値!T109&gt;高値!U109,高値!T109&gt;高値!V109),15,""))</f>
        <v/>
      </c>
      <c r="AQ109" s="503" t="str">
        <f>IF(終値!A109="","",IF(AND(高値!U109&gt;高値!T109,高値!U109&gt;高値!S109,高値!U109&gt;高値!V109,高値!U109&gt;高値!W109),16,""))</f>
        <v/>
      </c>
      <c r="AR109" s="503" t="str">
        <f>IF(終値!A109="","",IF(AND(高値!V109&gt;高値!U109,高値!V109&gt;高値!T109,高値!V109&gt;高値!W109,高値!V109&gt;高値!X109),17,""))</f>
        <v/>
      </c>
      <c r="AS109" s="503" t="str">
        <f>IF(終値!A109="","",IF(AND(高値!W109&gt;高値!V109,高値!W109&gt;高値!U109,高値!W109&gt;高値!X109,高値!W109&gt;高値!Y109),18,""))</f>
        <v/>
      </c>
      <c r="AT109" s="503">
        <f>IF(終値!A109="","",IF(AND(高値!X109&gt;高値!W109,高値!X109&gt;高値!V109,高値!X109&gt;高値!Y109,高値!X109&gt;高値!Z109),19,""))</f>
        <v>19</v>
      </c>
      <c r="AU109" s="503" t="str">
        <f>IF(終値!A109="","",IF(AND(高値!Y109&gt;高値!X109,高値!Y109&gt;高値!W109,高値!Y109&gt;高値!Z109,高値!Y109&gt;高値!AA109),20,""))</f>
        <v/>
      </c>
      <c r="AV109" s="503" t="str">
        <f>IF(終値!A109="","",IF(AND(高値!Z109&gt;高値!Y109,高値!Z109&gt;高値!X109,高値!Z109&gt;高値!AA109,高値!Z109&gt;高値!AB109),21,""))</f>
        <v/>
      </c>
      <c r="AW109" s="503" t="str">
        <f>IF(終値!A109="","",IF(AND(高値!AA109&gt;高値!Z109,高値!AA109&gt;高値!Y109,高値!AA109&gt;高値!AB109,高値!AA109&gt;高値!AC109),22,""))</f>
        <v/>
      </c>
      <c r="AX109" s="503" t="str">
        <f>IF(終値!A109="","",IF(AND(高値!AB109&gt;高値!AA109,高値!AB109&gt;高値!Z109,高値!AB109&gt;高値!AC109,高値!AB109&gt;高値!AD109),23,""))</f>
        <v/>
      </c>
      <c r="AY109" s="503" t="str">
        <f>IF(終値!A109="","",IF(AND(高値!AC109&gt;高値!AB109,高値!AC109&gt;高値!AA109,高値!AC109&gt;高値!AD109,高値!AC109&gt;高値!AE109),24,""))</f>
        <v/>
      </c>
      <c r="AZ109" s="503" t="str">
        <f>IF(終値!A109="","",IF(AND(高値!AD109&gt;高値!AC109,高値!AD109&gt;高値!AB109,高値!AD109&gt;高値!AE109,高値!AD109&gt;高値!AF109),25,""))</f>
        <v/>
      </c>
      <c r="BA109" s="503">
        <f>IF(終値!A109="","",IF(AND(高値!AE109&gt;高値!AD109,高値!AE109&gt;高値!AC109,高値!AE109&gt;高値!AF109,高値!AE109&gt;高値!AG109),26,""))</f>
        <v>26</v>
      </c>
      <c r="BB109" s="503" t="str">
        <f>IF(終値!A109="","",IF(AND(高値!AF109&gt;高値!AE109,高値!AF109&gt;高値!AD109,高値!AF109&gt;高値!AG109,高値!AF109&gt;高値!AH109),27,""))</f>
        <v/>
      </c>
      <c r="BC109" s="503" t="str">
        <f>IF(終値!A109="","",IF(AND(高値!AG109&gt;高値!AF109,高値!AG109&gt;高値!AE109,高値!AG109&gt;高値!AH109,高値!AG109&gt;高値!AI109),28,""))</f>
        <v/>
      </c>
      <c r="BD109" s="503">
        <f t="shared" si="6"/>
        <v>3</v>
      </c>
      <c r="BE109" s="503">
        <f t="shared" si="7"/>
        <v>9</v>
      </c>
      <c r="BF109" s="503">
        <f t="shared" si="8"/>
        <v>17</v>
      </c>
      <c r="BG109" s="503">
        <f>IF($BE109="","",INDEX(安値!$E109:$CZ109,1,$BE109+1))</f>
        <v>3548</v>
      </c>
      <c r="BH109" s="503">
        <f>IF($BF109="","",INDEX(安値!$E109:$CZ109,1,$BF109+1))</f>
        <v>3457</v>
      </c>
      <c r="BI109" s="503">
        <f>IF($BF109="","",MAX(INDEX(高値!$E109:$CZ109,1,$BE109+1):INDEX(高値!$E109:$CZ109,1,$BF109+1)))</f>
        <v>3708</v>
      </c>
      <c r="BJ109" s="503">
        <f>IF($BF109="","",AVERAGE(INDEX(終値!$E109:$CZ109,1,$BF109+1):INDEX(終値!$E109:$CZ109,1,$BF109+20))-2*STDEVP(INDEX(終値!$E109:$CZ109,1,$BF109+1):INDEX(終値!$E109:$CZ109,1,$BF109+20)))</f>
        <v>3271.9290057129533</v>
      </c>
      <c r="BK109" s="503">
        <f>IF($BE109="","",AVERAGE(INDEX(終値!$E109:$CZ109,1,$BE109+1):INDEX(終値!$E109:$CZ109,1,$BE109+20))-2*STDEVP(INDEX(終値!$E109:$CZ109,1,$BE109+1):INDEX(終値!$E109:$CZ109,1,$BE109+20)))</f>
        <v>3310.6162503568744</v>
      </c>
      <c r="BL109" s="503">
        <f t="shared" si="9"/>
        <v>4</v>
      </c>
      <c r="BM109" s="503">
        <f t="shared" si="10"/>
        <v>6</v>
      </c>
      <c r="BN109" s="503">
        <f t="shared" si="11"/>
        <v>12</v>
      </c>
      <c r="BO109" s="503">
        <f>IF($BM109="","",INDEX(高値!$E109:$CZ109,1,$BM109+1))</f>
        <v>3966</v>
      </c>
      <c r="BP109" s="503">
        <f>IF($BN109="","",INDEX(高値!$E109:$CZ109,1,$BN109+1))</f>
        <v>3708</v>
      </c>
      <c r="BQ109" s="503">
        <f>IF($BN109="","",MIN(INDEX(安値!$E109:$CZ109,1,$BM109+1):INDEX(安値!$E109:$CZ109,1,$BN109+1)))</f>
        <v>3548</v>
      </c>
      <c r="BR109" s="503">
        <f>IF($BN109="","",AVERAGE(INDEX(終値!$E109:$CZ109,1,$BN109+1):INDEX(終値!$E109:$CZ109,1,$BN109+20))+2*STDEVP(INDEX(終値!$E109:$CZ109,1,$BN109+1):INDEX(終値!$E109:$CZ109,1,$BN109+20)))</f>
        <v>3668.8675455924654</v>
      </c>
      <c r="BS109" s="503">
        <f>IF($BM109="","",AVERAGE(INDEX(終値!$E109:$CZ109,1,$BM109+1):INDEX(終値!$E109:$CZ109,1,$BM109+20))+2*STDEVP(INDEX(終値!$E109:$CZ109,1,$BM109+1):INDEX(終値!$E109:$CZ109,1,$BM109+20)))</f>
        <v>3858.2715795597737</v>
      </c>
      <c r="BT109" s="500"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v>
      </c>
    </row>
    <row r="110" spans="2:72">
      <c r="B110" s="503" t="str">
        <f>IF(終値!A110="","",IF(AND(安値!G110&lt;安値!F110,安値!G110&lt;安値!E110,安値!G110&lt;安値!H110,安値!G110&lt;安値!I110),2,""))</f>
        <v/>
      </c>
      <c r="C110" s="503">
        <f>IF(終値!A110="","",IF(AND(安値!H110&lt;安値!G110,安値!H110&lt;安値!F110,安値!H110&lt;安値!I110,安値!H110&lt;安値!J110),3,""))</f>
        <v>3</v>
      </c>
      <c r="D110" s="503" t="str">
        <f>IF(終値!A110="","",IF(AND(安値!I110&lt;安値!H110,安値!I110&lt;安値!G110,安値!I110&lt;安値!J110,安値!I110&lt;安値!K110),4,""))</f>
        <v/>
      </c>
      <c r="E110" s="503" t="str">
        <f>IF(終値!A110="","",IF(AND(安値!J110&lt;安値!I110,安値!J110&lt;安値!H110,安値!J110&lt;安値!K110,安値!J110&lt;安値!L110),5,""))</f>
        <v/>
      </c>
      <c r="F110" s="503" t="str">
        <f>IF(終値!A110="","",IF(AND(安値!K110&lt;安値!J110,安値!K110&lt;安値!I110,安値!K110&lt;安値!L110,安値!K110&lt;安値!M110),6,""))</f>
        <v/>
      </c>
      <c r="G110" s="503" t="str">
        <f>IF(終値!A110="","",IF(AND(安値!L110&lt;安値!K110,安値!L110&lt;安値!J110,安値!L110&lt;安値!M110,安値!L110&lt;安値!N110),7,""))</f>
        <v/>
      </c>
      <c r="H110" s="503" t="str">
        <f>IF(終値!A110="","",IF(AND(安値!M110&lt;安値!L110,安値!M110&lt;安値!K110,安値!M110&lt;安値!N110,安値!M110&lt;安値!O110),8,""))</f>
        <v/>
      </c>
      <c r="I110" s="503">
        <f>IF(終値!A110="","",IF(AND(安値!N110&lt;安値!M110,安値!N110&lt;安値!L110,安値!N110&lt;安値!O110,安値!N110&lt;安値!P110),9,""))</f>
        <v>9</v>
      </c>
      <c r="J110" s="503" t="str">
        <f>IF(終値!A110="","",IF(AND(安値!O110&lt;安値!N110,安値!O110&lt;安値!M110,安値!O110&lt;安値!P110,安値!O110&lt;安値!Q110),10,""))</f>
        <v/>
      </c>
      <c r="K110" s="503" t="str">
        <f>IF(終値!A110="","",IF(AND(安値!P110&lt;安値!O110,安値!P110&lt;安値!N110,安値!P110&lt;安値!Q110,安値!P110&lt;安値!R110),11,""))</f>
        <v/>
      </c>
      <c r="L110" s="503" t="str">
        <f>IF(終値!A110="","",IF(AND(安値!Q110&lt;安値!P110,安値!Q110&lt;安値!O110,安値!Q110&lt;安値!R110,安値!Q110&lt;安値!S110),12,""))</f>
        <v/>
      </c>
      <c r="M110" s="503" t="str">
        <f>IF(終値!A110="","",IF(AND(安値!R110&lt;安値!Q110,安値!R110&lt;安値!P110,安値!R110&lt;安値!S110,安値!R110&lt;安値!T110),13,""))</f>
        <v/>
      </c>
      <c r="N110" s="503" t="str">
        <f>IF(終値!A110="","",IF(AND(安値!S110&lt;安値!R110,安値!S110&lt;安値!Q110,安値!S110&lt;安値!T110,安値!S110&lt;安値!U110),14,""))</f>
        <v/>
      </c>
      <c r="O110" s="503" t="str">
        <f>IF(終値!A110="","",IF(AND(安値!T110&lt;安値!S110,安値!T110&lt;安値!R110,安値!T110&lt;安値!U110,安値!T110&lt;安値!V110),15,""))</f>
        <v/>
      </c>
      <c r="P110" s="503" t="str">
        <f>IF(終値!A110="","",IF(AND(安値!U110&lt;安値!T110,安値!U110&lt;安値!S110,安値!U110&lt;安値!V110,安値!U110&lt;安値!W110),16,""))</f>
        <v/>
      </c>
      <c r="Q110" s="503" t="str">
        <f>IF(終値!A110="","",IF(AND(安値!V110&lt;安値!U110,安値!V110&lt;安値!T110,安値!V110&lt;安値!W110,安値!V110&lt;安値!X110),17,""))</f>
        <v/>
      </c>
      <c r="R110" s="503" t="str">
        <f>IF(終値!A110="","",IF(AND(安値!W110&lt;安値!V110,安値!W110&lt;安値!U110,安値!W110&lt;安値!X110,安値!W110&lt;安値!Y110),18,""))</f>
        <v/>
      </c>
      <c r="S110" s="503" t="str">
        <f>IF(終値!A110="","",IF(AND(安値!X110&lt;安値!W110,安値!X110&lt;安値!V110,安値!X110&lt;安値!Y110,安値!X110&lt;安値!Z110),19,""))</f>
        <v/>
      </c>
      <c r="T110" s="503" t="str">
        <f>IF(終値!A110="","",IF(AND(安値!Y110&lt;安値!X110,安値!Y110&lt;安値!W110,安値!Y110&lt;安値!Z110,安値!Y110&lt;安値!AA110),20,""))</f>
        <v/>
      </c>
      <c r="U110" s="503" t="str">
        <f>IF(終値!A110="","",IF(AND(安値!Z110&lt;安値!Y110,安値!Z110&lt;安値!X110,安値!Z110&lt;安値!AA110,安値!Z110&lt;安値!AB110),21,""))</f>
        <v/>
      </c>
      <c r="V110" s="503" t="str">
        <f>IF(終値!A110="","",IF(AND(安値!AA110&lt;安値!Z110,安値!AA110&lt;安値!Y110,安値!AA110&lt;安値!AB110,安値!AA110&lt;安値!AC110),22,""))</f>
        <v/>
      </c>
      <c r="W110" s="503" t="str">
        <f>IF(終値!A110="","",IF(AND(安値!AB110&lt;安値!AA110,安値!AB110&lt;安値!Z110,安値!AB110&lt;安値!AC110,安値!AB110&lt;安値!AD110),23,""))</f>
        <v/>
      </c>
      <c r="X110" s="503">
        <f>IF(終値!A110="","",IF(AND(安値!AC110&lt;安値!AB110,安値!AC110&lt;安値!AA110,安値!AC110&lt;安値!AD110,安値!AC110&lt;安値!AE110),24,""))</f>
        <v>24</v>
      </c>
      <c r="Y110" s="503" t="str">
        <f>IF(終値!A110="","",IF(AND(安値!AD110&lt;安値!AC110,安値!AD110&lt;安値!AB110,安値!AD110&lt;安値!AE110,安値!AD110&lt;安値!AF110),25,""))</f>
        <v/>
      </c>
      <c r="Z110" s="503" t="str">
        <f>IF(終値!A110="","",IF(AND(安値!AE110&lt;安値!AD110,安値!AE110&lt;安値!AC110,安値!AE110&lt;安値!AF110,安値!AE110&lt;安値!AG110),26,""))</f>
        <v/>
      </c>
      <c r="AA110" s="503" t="str">
        <f>IF(終値!A110="","",IF(AND(安値!AF110&lt;安値!AE110,安値!AF110&lt;安値!AD110,安値!AF110&lt;安値!AG110,安値!AF110&lt;安値!AH110),27,""))</f>
        <v/>
      </c>
      <c r="AB110" s="503" t="str">
        <f>IF(終値!A110="","",IF(AND(安値!AG110&lt;安値!AF110,安値!AG110&lt;安値!AE110,安値!AG110&lt;安値!AH110,安値!AG110&lt;安値!AI110),28,""))</f>
        <v/>
      </c>
      <c r="AC110" s="503" t="str">
        <f>IF(終値!A110="","",IF(AND(高値!G110&gt;高値!F110,高値!G110&gt;高値!E110,高値!G110&gt;高値!H110,高値!G110&gt;高値!I110),2,""))</f>
        <v/>
      </c>
      <c r="AD110" s="503" t="str">
        <f>IF(終値!A110="","",IF(AND(高値!H110&gt;高値!G110,高値!H110&gt;高値!F110,高値!H110&gt;高値!I110,高値!H110&gt;高値!J110),3,""))</f>
        <v/>
      </c>
      <c r="AE110" s="503" t="str">
        <f>IF(終値!A110="","",IF(AND(高値!I110&gt;高値!H110,高値!I110&gt;高値!G110,高値!I110&gt;高値!J110,高値!I110&gt;高値!K110),4,""))</f>
        <v/>
      </c>
      <c r="AF110" s="503" t="str">
        <f>IF(終値!A110="","",IF(AND(高値!J110&gt;高値!I110,高値!J110&gt;高値!H110,高値!J110&gt;高値!K110,高値!J110&gt;高値!L110),5,""))</f>
        <v/>
      </c>
      <c r="AG110" s="503">
        <f>IF(終値!A110="","",IF(AND(高値!K110&gt;高値!J110,高値!K110&gt;高値!I110,高値!K110&gt;高値!L110,高値!K110&gt;高値!M110),6,""))</f>
        <v>6</v>
      </c>
      <c r="AH110" s="503" t="str">
        <f>IF(終値!A110="","",IF(AND(高値!L110&gt;高値!K110,高値!L110&gt;高値!J110,高値!L110&gt;高値!M110,高値!L110&gt;高値!N110),7,""))</f>
        <v/>
      </c>
      <c r="AI110" s="503" t="str">
        <f>IF(終値!A110="","",IF(AND(高値!M110&gt;高値!L110,高値!M110&gt;高値!K110,高値!M110&gt;高値!N110,高値!M110&gt;高値!O110),8,""))</f>
        <v/>
      </c>
      <c r="AJ110" s="503" t="str">
        <f>IF(終値!A110="","",IF(AND(高値!N110&gt;高値!M110,高値!N110&gt;高値!L110,高値!N110&gt;高値!O110,高値!N110&gt;高値!P110),9,""))</f>
        <v/>
      </c>
      <c r="AK110" s="503" t="str">
        <f>IF(終値!A110="","",IF(AND(高値!O110&gt;高値!N110,高値!O110&gt;高値!M110,高値!O110&gt;高値!P110,高値!O110&gt;高値!Q110),10,""))</f>
        <v/>
      </c>
      <c r="AL110" s="503" t="str">
        <f>IF(終値!A110="","",IF(AND(高値!P110&gt;高値!O110,高値!P110&gt;高値!N110,高値!P110&gt;高値!Q110,高値!P110&gt;高値!R110),11,""))</f>
        <v/>
      </c>
      <c r="AM110" s="503">
        <f>IF(終値!A110="","",IF(AND(高値!Q110&gt;高値!P110,高値!Q110&gt;高値!O110,高値!Q110&gt;高値!R110,高値!Q110&gt;高値!S110),12,""))</f>
        <v>12</v>
      </c>
      <c r="AN110" s="503" t="str">
        <f>IF(終値!A110="","",IF(AND(高値!R110&gt;高値!Q110,高値!R110&gt;高値!P110,高値!R110&gt;高値!S110,高値!R110&gt;高値!T110),13,""))</f>
        <v/>
      </c>
      <c r="AO110" s="503" t="str">
        <f>IF(終値!A110="","",IF(AND(高値!S110&gt;高値!R110,高値!S110&gt;高値!Q110,高値!S110&gt;高値!T110,高値!S110&gt;高値!U110),14,""))</f>
        <v/>
      </c>
      <c r="AP110" s="503" t="str">
        <f>IF(終値!A110="","",IF(AND(高値!T110&gt;高値!S110,高値!T110&gt;高値!R110,高値!T110&gt;高値!U110,高値!T110&gt;高値!V110),15,""))</f>
        <v/>
      </c>
      <c r="AQ110" s="503" t="str">
        <f>IF(終値!A110="","",IF(AND(高値!U110&gt;高値!T110,高値!U110&gt;高値!S110,高値!U110&gt;高値!V110,高値!U110&gt;高値!W110),16,""))</f>
        <v/>
      </c>
      <c r="AR110" s="503" t="str">
        <f>IF(終値!A110="","",IF(AND(高値!V110&gt;高値!U110,高値!V110&gt;高値!T110,高値!V110&gt;高値!W110,高値!V110&gt;高値!X110),17,""))</f>
        <v/>
      </c>
      <c r="AS110" s="503" t="str">
        <f>IF(終値!A110="","",IF(AND(高値!W110&gt;高値!V110,高値!W110&gt;高値!U110,高値!W110&gt;高値!X110,高値!W110&gt;高値!Y110),18,""))</f>
        <v/>
      </c>
      <c r="AT110" s="503" t="str">
        <f>IF(終値!A110="","",IF(AND(高値!X110&gt;高値!W110,高値!X110&gt;高値!V110,高値!X110&gt;高値!Y110,高値!X110&gt;高値!Z110),19,""))</f>
        <v/>
      </c>
      <c r="AU110" s="503" t="str">
        <f>IF(終値!A110="","",IF(AND(高値!Y110&gt;高値!X110,高値!Y110&gt;高値!W110,高値!Y110&gt;高値!Z110,高値!Y110&gt;高値!AA110),20,""))</f>
        <v/>
      </c>
      <c r="AV110" s="503" t="str">
        <f>IF(終値!A110="","",IF(AND(高値!Z110&gt;高値!Y110,高値!Z110&gt;高値!X110,高値!Z110&gt;高値!AA110,高値!Z110&gt;高値!AB110),21,""))</f>
        <v/>
      </c>
      <c r="AW110" s="503" t="str">
        <f>IF(終値!A110="","",IF(AND(高値!AA110&gt;高値!Z110,高値!AA110&gt;高値!Y110,高値!AA110&gt;高値!AB110,高値!AA110&gt;高値!AC110),22,""))</f>
        <v/>
      </c>
      <c r="AX110" s="503" t="str">
        <f>IF(終値!A110="","",IF(AND(高値!AB110&gt;高値!AA110,高値!AB110&gt;高値!Z110,高値!AB110&gt;高値!AC110,高値!AB110&gt;高値!AD110),23,""))</f>
        <v/>
      </c>
      <c r="AY110" s="503" t="str">
        <f>IF(終値!A110="","",IF(AND(高値!AC110&gt;高値!AB110,高値!AC110&gt;高値!AA110,高値!AC110&gt;高値!AD110,高値!AC110&gt;高値!AE110),24,""))</f>
        <v/>
      </c>
      <c r="AZ110" s="503">
        <f>IF(終値!A110="","",IF(AND(高値!AD110&gt;高値!AC110,高値!AD110&gt;高値!AB110,高値!AD110&gt;高値!AE110,高値!AD110&gt;高値!AF110),25,""))</f>
        <v>25</v>
      </c>
      <c r="BA110" s="503" t="str">
        <f>IF(終値!A110="","",IF(AND(高値!AE110&gt;高値!AD110,高値!AE110&gt;高値!AC110,高値!AE110&gt;高値!AF110,高値!AE110&gt;高値!AG110),26,""))</f>
        <v/>
      </c>
      <c r="BB110" s="503" t="str">
        <f>IF(終値!A110="","",IF(AND(高値!AF110&gt;高値!AE110,高値!AF110&gt;高値!AD110,高値!AF110&gt;高値!AG110,高値!AF110&gt;高値!AH110),27,""))</f>
        <v/>
      </c>
      <c r="BC110" s="503" t="str">
        <f>IF(終値!A110="","",IF(AND(高値!AG110&gt;高値!AF110,高値!AG110&gt;高値!AE110,高値!AG110&gt;高値!AH110,高値!AG110&gt;高値!AI110),28,""))</f>
        <v/>
      </c>
      <c r="BD110" s="503">
        <f t="shared" si="6"/>
        <v>3</v>
      </c>
      <c r="BE110" s="503">
        <f t="shared" si="7"/>
        <v>3</v>
      </c>
      <c r="BF110" s="503">
        <f t="shared" si="8"/>
        <v>9</v>
      </c>
      <c r="BG110" s="503">
        <f>IF($BE110="","",INDEX(安値!$E110:$CZ110,1,$BE110+1))</f>
        <v>2172</v>
      </c>
      <c r="BH110" s="503">
        <f>IF($BF110="","",INDEX(安値!$E110:$CZ110,1,$BF110+1))</f>
        <v>2141</v>
      </c>
      <c r="BI110" s="503">
        <f>IF($BF110="","",MAX(INDEX(高値!$E110:$CZ110,1,$BE110+1):INDEX(高値!$E110:$CZ110,1,$BF110+1)))</f>
        <v>2274</v>
      </c>
      <c r="BJ110" s="503">
        <f>IF($BF110="","",AVERAGE(INDEX(終値!$E110:$CZ110,1,$BF110+1):INDEX(終値!$E110:$CZ110,1,$BF110+20))-2*STDEVP(INDEX(終値!$E110:$CZ110,1,$BF110+1):INDEX(終値!$E110:$CZ110,1,$BF110+20)))</f>
        <v>1828.6437166142016</v>
      </c>
      <c r="BK110" s="503">
        <f>IF($BE110="","",AVERAGE(INDEX(終値!$E110:$CZ110,1,$BE110+1):INDEX(終値!$E110:$CZ110,1,$BE110+20))-2*STDEVP(INDEX(終値!$E110:$CZ110,1,$BE110+1):INDEX(終値!$E110:$CZ110,1,$BE110+20)))</f>
        <v>1959.6975581318097</v>
      </c>
      <c r="BL110" s="503">
        <f t="shared" si="9"/>
        <v>3</v>
      </c>
      <c r="BM110" s="503">
        <f t="shared" si="10"/>
        <v>6</v>
      </c>
      <c r="BN110" s="503">
        <f t="shared" si="11"/>
        <v>12</v>
      </c>
      <c r="BO110" s="503">
        <f>IF($BM110="","",INDEX(高値!$E110:$CZ110,1,$BM110+1))</f>
        <v>2274</v>
      </c>
      <c r="BP110" s="503">
        <f>IF($BN110="","",INDEX(高値!$E110:$CZ110,1,$BN110+1))</f>
        <v>2252.5</v>
      </c>
      <c r="BQ110" s="503">
        <f>IF($BN110="","",MIN(INDEX(安値!$E110:$CZ110,1,$BM110+1):INDEX(安値!$E110:$CZ110,1,$BN110+1)))</f>
        <v>2141</v>
      </c>
      <c r="BR110" s="503">
        <f>IF($BN110="","",AVERAGE(INDEX(終値!$E110:$CZ110,1,$BN110+1):INDEX(終値!$E110:$CZ110,1,$BN110+20))+2*STDEVP(INDEX(終値!$E110:$CZ110,1,$BN110+1):INDEX(終値!$E110:$CZ110,1,$BN110+20)))</f>
        <v>2207.8906550365682</v>
      </c>
      <c r="BS110" s="503">
        <f>IF($BM110="","",AVERAGE(INDEX(終値!$E110:$CZ110,1,$BM110+1):INDEX(終値!$E110:$CZ110,1,$BM110+20))+2*STDEVP(INDEX(終値!$E110:$CZ110,1,$BM110+1):INDEX(終値!$E110:$CZ110,1,$BM110+20)))</f>
        <v>2312.9521630130266</v>
      </c>
      <c r="BT110" s="500"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二番底W形成</v>
      </c>
    </row>
    <row r="111" spans="2:72">
      <c r="B111" s="503" t="str">
        <f>IF(終値!A111="","",IF(AND(安値!G111&lt;安値!F111,安値!G111&lt;安値!E111,安値!G111&lt;安値!H111,安値!G111&lt;安値!I111),2,""))</f>
        <v/>
      </c>
      <c r="C111" s="503">
        <f>IF(終値!A111="","",IF(AND(安値!H111&lt;安値!G111,安値!H111&lt;安値!F111,安値!H111&lt;安値!I111,安値!H111&lt;安値!J111),3,""))</f>
        <v>3</v>
      </c>
      <c r="D111" s="503" t="str">
        <f>IF(終値!A111="","",IF(AND(安値!I111&lt;安値!H111,安値!I111&lt;安値!G111,安値!I111&lt;安値!J111,安値!I111&lt;安値!K111),4,""))</f>
        <v/>
      </c>
      <c r="E111" s="503" t="str">
        <f>IF(終値!A111="","",IF(AND(安値!J111&lt;安値!I111,安値!J111&lt;安値!H111,安値!J111&lt;安値!K111,安値!J111&lt;安値!L111),5,""))</f>
        <v/>
      </c>
      <c r="F111" s="503" t="str">
        <f>IF(終値!A111="","",IF(AND(安値!K111&lt;安値!J111,安値!K111&lt;安値!I111,安値!K111&lt;安値!L111,安値!K111&lt;安値!M111),6,""))</f>
        <v/>
      </c>
      <c r="G111" s="503" t="str">
        <f>IF(終値!A111="","",IF(AND(安値!L111&lt;安値!K111,安値!L111&lt;安値!J111,安値!L111&lt;安値!M111,安値!L111&lt;安値!N111),7,""))</f>
        <v/>
      </c>
      <c r="H111" s="503" t="str">
        <f>IF(終値!A111="","",IF(AND(安値!M111&lt;安値!L111,安値!M111&lt;安値!K111,安値!M111&lt;安値!N111,安値!M111&lt;安値!O111),8,""))</f>
        <v/>
      </c>
      <c r="I111" s="503">
        <f>IF(終値!A111="","",IF(AND(安値!N111&lt;安値!M111,安値!N111&lt;安値!L111,安値!N111&lt;安値!O111,安値!N111&lt;安値!P111),9,""))</f>
        <v>9</v>
      </c>
      <c r="J111" s="503" t="str">
        <f>IF(終値!A111="","",IF(AND(安値!O111&lt;安値!N111,安値!O111&lt;安値!M111,安値!O111&lt;安値!P111,安値!O111&lt;安値!Q111),10,""))</f>
        <v/>
      </c>
      <c r="K111" s="503" t="str">
        <f>IF(終値!A111="","",IF(AND(安値!P111&lt;安値!O111,安値!P111&lt;安値!N111,安値!P111&lt;安値!Q111,安値!P111&lt;安値!R111),11,""))</f>
        <v/>
      </c>
      <c r="L111" s="503" t="str">
        <f>IF(終値!A111="","",IF(AND(安値!Q111&lt;安値!P111,安値!Q111&lt;安値!O111,安値!Q111&lt;安値!R111,安値!Q111&lt;安値!S111),12,""))</f>
        <v/>
      </c>
      <c r="M111" s="503">
        <f>IF(終値!A111="","",IF(AND(安値!R111&lt;安値!Q111,安値!R111&lt;安値!P111,安値!R111&lt;安値!S111,安値!R111&lt;安値!T111),13,""))</f>
        <v>13</v>
      </c>
      <c r="N111" s="503" t="str">
        <f>IF(終値!A111="","",IF(AND(安値!S111&lt;安値!R111,安値!S111&lt;安値!Q111,安値!S111&lt;安値!T111,安値!S111&lt;安値!U111),14,""))</f>
        <v/>
      </c>
      <c r="O111" s="503" t="str">
        <f>IF(終値!A111="","",IF(AND(安値!T111&lt;安値!S111,安値!T111&lt;安値!R111,安値!T111&lt;安値!U111,安値!T111&lt;安値!V111),15,""))</f>
        <v/>
      </c>
      <c r="P111" s="503" t="str">
        <f>IF(終値!A111="","",IF(AND(安値!U111&lt;安値!T111,安値!U111&lt;安値!S111,安値!U111&lt;安値!V111,安値!U111&lt;安値!W111),16,""))</f>
        <v/>
      </c>
      <c r="Q111" s="503" t="str">
        <f>IF(終値!A111="","",IF(AND(安値!V111&lt;安値!U111,安値!V111&lt;安値!T111,安値!V111&lt;安値!W111,安値!V111&lt;安値!X111),17,""))</f>
        <v/>
      </c>
      <c r="R111" s="503" t="str">
        <f>IF(終値!A111="","",IF(AND(安値!W111&lt;安値!V111,安値!W111&lt;安値!U111,安値!W111&lt;安値!X111,安値!W111&lt;安値!Y111),18,""))</f>
        <v/>
      </c>
      <c r="S111" s="503" t="str">
        <f>IF(終値!A111="","",IF(AND(安値!X111&lt;安値!W111,安値!X111&lt;安値!V111,安値!X111&lt;安値!Y111,安値!X111&lt;安値!Z111),19,""))</f>
        <v/>
      </c>
      <c r="T111" s="503" t="str">
        <f>IF(終値!A111="","",IF(AND(安値!Y111&lt;安値!X111,安値!Y111&lt;安値!W111,安値!Y111&lt;安値!Z111,安値!Y111&lt;安値!AA111),20,""))</f>
        <v/>
      </c>
      <c r="U111" s="503" t="str">
        <f>IF(終値!A111="","",IF(AND(安値!Z111&lt;安値!Y111,安値!Z111&lt;安値!X111,安値!Z111&lt;安値!AA111,安値!Z111&lt;安値!AB111),21,""))</f>
        <v/>
      </c>
      <c r="V111" s="503" t="str">
        <f>IF(終値!A111="","",IF(AND(安値!AA111&lt;安値!Z111,安値!AA111&lt;安値!Y111,安値!AA111&lt;安値!AB111,安値!AA111&lt;安値!AC111),22,""))</f>
        <v/>
      </c>
      <c r="W111" s="503" t="str">
        <f>IF(終値!A111="","",IF(AND(安値!AB111&lt;安値!AA111,安値!AB111&lt;安値!Z111,安値!AB111&lt;安値!AC111,安値!AB111&lt;安値!AD111),23,""))</f>
        <v/>
      </c>
      <c r="X111" s="503" t="str">
        <f>IF(終値!A111="","",IF(AND(安値!AC111&lt;安値!AB111,安値!AC111&lt;安値!AA111,安値!AC111&lt;安値!AD111,安値!AC111&lt;安値!AE111),24,""))</f>
        <v/>
      </c>
      <c r="Y111" s="503" t="str">
        <f>IF(終値!A111="","",IF(AND(安値!AD111&lt;安値!AC111,安値!AD111&lt;安値!AB111,安値!AD111&lt;安値!AE111,安値!AD111&lt;安値!AF111),25,""))</f>
        <v/>
      </c>
      <c r="Z111" s="503">
        <f>IF(終値!A111="","",IF(AND(安値!AE111&lt;安値!AD111,安値!AE111&lt;安値!AC111,安値!AE111&lt;安値!AF111,安値!AE111&lt;安値!AG111),26,""))</f>
        <v>26</v>
      </c>
      <c r="AA111" s="503" t="str">
        <f>IF(終値!A111="","",IF(AND(安値!AF111&lt;安値!AE111,安値!AF111&lt;安値!AD111,安値!AF111&lt;安値!AG111,安値!AF111&lt;安値!AH111),27,""))</f>
        <v/>
      </c>
      <c r="AB111" s="503" t="str">
        <f>IF(終値!A111="","",IF(AND(安値!AG111&lt;安値!AF111,安値!AG111&lt;安値!AE111,安値!AG111&lt;安値!AH111,安値!AG111&lt;安値!AI111),28,""))</f>
        <v/>
      </c>
      <c r="AC111" s="503" t="str">
        <f>IF(終値!A111="","",IF(AND(高値!G111&gt;高値!F111,高値!G111&gt;高値!E111,高値!G111&gt;高値!H111,高値!G111&gt;高値!I111),2,""))</f>
        <v/>
      </c>
      <c r="AD111" s="503" t="str">
        <f>IF(終値!A111="","",IF(AND(高値!H111&gt;高値!G111,高値!H111&gt;高値!F111,高値!H111&gt;高値!I111,高値!H111&gt;高値!J111),3,""))</f>
        <v/>
      </c>
      <c r="AE111" s="503" t="str">
        <f>IF(終値!A111="","",IF(AND(高値!I111&gt;高値!H111,高値!I111&gt;高値!G111,高値!I111&gt;高値!J111,高値!I111&gt;高値!K111),4,""))</f>
        <v/>
      </c>
      <c r="AF111" s="503">
        <f>IF(終値!A111="","",IF(AND(高値!J111&gt;高値!I111,高値!J111&gt;高値!H111,高値!J111&gt;高値!K111,高値!J111&gt;高値!L111),5,""))</f>
        <v>5</v>
      </c>
      <c r="AG111" s="503" t="str">
        <f>IF(終値!A111="","",IF(AND(高値!K111&gt;高値!J111,高値!K111&gt;高値!I111,高値!K111&gt;高値!L111,高値!K111&gt;高値!M111),6,""))</f>
        <v/>
      </c>
      <c r="AH111" s="503" t="str">
        <f>IF(終値!A111="","",IF(AND(高値!L111&gt;高値!K111,高値!L111&gt;高値!J111,高値!L111&gt;高値!M111,高値!L111&gt;高値!N111),7,""))</f>
        <v/>
      </c>
      <c r="AI111" s="503" t="str">
        <f>IF(終値!A111="","",IF(AND(高値!M111&gt;高値!L111,高値!M111&gt;高値!K111,高値!M111&gt;高値!N111,高値!M111&gt;高値!O111),8,""))</f>
        <v/>
      </c>
      <c r="AJ111" s="503" t="str">
        <f>IF(終値!A111="","",IF(AND(高値!N111&gt;高値!M111,高値!N111&gt;高値!L111,高値!N111&gt;高値!O111,高値!N111&gt;高値!P111),9,""))</f>
        <v/>
      </c>
      <c r="AK111" s="503" t="str">
        <f>IF(終値!A111="","",IF(AND(高値!O111&gt;高値!N111,高値!O111&gt;高値!M111,高値!O111&gt;高値!P111,高値!O111&gt;高値!Q111),10,""))</f>
        <v/>
      </c>
      <c r="AL111" s="503">
        <f>IF(終値!A111="","",IF(AND(高値!P111&gt;高値!O111,高値!P111&gt;高値!N111,高値!P111&gt;高値!Q111,高値!P111&gt;高値!R111),11,""))</f>
        <v>11</v>
      </c>
      <c r="AM111" s="503" t="str">
        <f>IF(終値!A111="","",IF(AND(高値!Q111&gt;高値!P111,高値!Q111&gt;高値!O111,高値!Q111&gt;高値!R111,高値!Q111&gt;高値!S111),12,""))</f>
        <v/>
      </c>
      <c r="AN111" s="503" t="str">
        <f>IF(終値!A111="","",IF(AND(高値!R111&gt;高値!Q111,高値!R111&gt;高値!P111,高値!R111&gt;高値!S111,高値!R111&gt;高値!T111),13,""))</f>
        <v/>
      </c>
      <c r="AO111" s="503" t="str">
        <f>IF(終値!A111="","",IF(AND(高値!S111&gt;高値!R111,高値!S111&gt;高値!Q111,高値!S111&gt;高値!T111,高値!S111&gt;高値!U111),14,""))</f>
        <v/>
      </c>
      <c r="AP111" s="503" t="str">
        <f>IF(終値!A111="","",IF(AND(高値!T111&gt;高値!S111,高値!T111&gt;高値!R111,高値!T111&gt;高値!U111,高値!T111&gt;高値!V111),15,""))</f>
        <v/>
      </c>
      <c r="AQ111" s="503" t="str">
        <f>IF(終値!A111="","",IF(AND(高値!U111&gt;高値!T111,高値!U111&gt;高値!S111,高値!U111&gt;高値!V111,高値!U111&gt;高値!W111),16,""))</f>
        <v/>
      </c>
      <c r="AR111" s="503" t="str">
        <f>IF(終値!A111="","",IF(AND(高値!V111&gt;高値!U111,高値!V111&gt;高値!T111,高値!V111&gt;高値!W111,高値!V111&gt;高値!X111),17,""))</f>
        <v/>
      </c>
      <c r="AS111" s="503" t="str">
        <f>IF(終値!A111="","",IF(AND(高値!W111&gt;高値!V111,高値!W111&gt;高値!U111,高値!W111&gt;高値!X111,高値!W111&gt;高値!Y111),18,""))</f>
        <v/>
      </c>
      <c r="AT111" s="503" t="str">
        <f>IF(終値!A111="","",IF(AND(高値!X111&gt;高値!W111,高値!X111&gt;高値!V111,高値!X111&gt;高値!Y111,高値!X111&gt;高値!Z111),19,""))</f>
        <v/>
      </c>
      <c r="AU111" s="503">
        <f>IF(終値!A111="","",IF(AND(高値!Y111&gt;高値!X111,高値!Y111&gt;高値!W111,高値!Y111&gt;高値!Z111,高値!Y111&gt;高値!AA111),20,""))</f>
        <v>20</v>
      </c>
      <c r="AV111" s="503" t="str">
        <f>IF(終値!A111="","",IF(AND(高値!Z111&gt;高値!Y111,高値!Z111&gt;高値!X111,高値!Z111&gt;高値!AA111,高値!Z111&gt;高値!AB111),21,""))</f>
        <v/>
      </c>
      <c r="AW111" s="503" t="str">
        <f>IF(終値!A111="","",IF(AND(高値!AA111&gt;高値!Z111,高値!AA111&gt;高値!Y111,高値!AA111&gt;高値!AB111,高値!AA111&gt;高値!AC111),22,""))</f>
        <v/>
      </c>
      <c r="AX111" s="503" t="str">
        <f>IF(終値!A111="","",IF(AND(高値!AB111&gt;高値!AA111,高値!AB111&gt;高値!Z111,高値!AB111&gt;高値!AC111,高値!AB111&gt;高値!AD111),23,""))</f>
        <v/>
      </c>
      <c r="AY111" s="503">
        <f>IF(終値!A111="","",IF(AND(高値!AC111&gt;高値!AB111,高値!AC111&gt;高値!AA111,高値!AC111&gt;高値!AD111,高値!AC111&gt;高値!AE111),24,""))</f>
        <v>24</v>
      </c>
      <c r="AZ111" s="503" t="str">
        <f>IF(終値!A111="","",IF(AND(高値!AD111&gt;高値!AC111,高値!AD111&gt;高値!AB111,高値!AD111&gt;高値!AE111,高値!AD111&gt;高値!AF111),25,""))</f>
        <v/>
      </c>
      <c r="BA111" s="503" t="str">
        <f>IF(終値!A111="","",IF(AND(高値!AE111&gt;高値!AD111,高値!AE111&gt;高値!AC111,高値!AE111&gt;高値!AF111,高値!AE111&gt;高値!AG111),26,""))</f>
        <v/>
      </c>
      <c r="BB111" s="503" t="str">
        <f>IF(終値!A111="","",IF(AND(高値!AF111&gt;高値!AE111,高値!AF111&gt;高値!AD111,高値!AF111&gt;高値!AG111,高値!AF111&gt;高値!AH111),27,""))</f>
        <v/>
      </c>
      <c r="BC111" s="503" t="str">
        <f>IF(終値!A111="","",IF(AND(高値!AG111&gt;高値!AF111,高値!AG111&gt;高値!AE111,高値!AG111&gt;高値!AH111,高値!AG111&gt;高値!AI111),28,""))</f>
        <v/>
      </c>
      <c r="BD111" s="503">
        <f t="shared" si="6"/>
        <v>4</v>
      </c>
      <c r="BE111" s="503">
        <f t="shared" si="7"/>
        <v>3</v>
      </c>
      <c r="BF111" s="503">
        <f t="shared" si="8"/>
        <v>9</v>
      </c>
      <c r="BG111" s="503">
        <f>IF($BE111="","",INDEX(安値!$E111:$CZ111,1,$BE111+1))</f>
        <v>818</v>
      </c>
      <c r="BH111" s="503">
        <f>IF($BF111="","",INDEX(安値!$E111:$CZ111,1,$BF111+1))</f>
        <v>0</v>
      </c>
      <c r="BI111" s="503">
        <f>IF($BF111="","",MAX(INDEX(高値!$E111:$CZ111,1,$BE111+1):INDEX(高値!$E111:$CZ111,1,$BF111+1)))</f>
        <v>1041</v>
      </c>
      <c r="BJ111" s="503">
        <f>IF($BF111="","",AVERAGE(INDEX(終値!$E111:$CZ111,1,$BF111+1):INDEX(終値!$E111:$CZ111,1,$BF111+20))-2*STDEVP(INDEX(終値!$E111:$CZ111,1,$BF111+1):INDEX(終値!$E111:$CZ111,1,$BF111+20)))</f>
        <v>766.12952744984682</v>
      </c>
      <c r="BK111" s="503">
        <f>IF($BE111="","",AVERAGE(INDEX(終値!$E111:$CZ111,1,$BE111+1):INDEX(終値!$E111:$CZ111,1,$BE111+20))-2*STDEVP(INDEX(終値!$E111:$CZ111,1,$BE111+1):INDEX(終値!$E111:$CZ111,1,$BE111+20)))</f>
        <v>755.80995223085733</v>
      </c>
      <c r="BL111" s="503">
        <f t="shared" si="9"/>
        <v>4</v>
      </c>
      <c r="BM111" s="503">
        <f t="shared" si="10"/>
        <v>5</v>
      </c>
      <c r="BN111" s="503">
        <f t="shared" si="11"/>
        <v>11</v>
      </c>
      <c r="BO111" s="503">
        <f>IF($BM111="","",INDEX(高値!$E111:$CZ111,1,$BM111+1))</f>
        <v>1041</v>
      </c>
      <c r="BP111" s="503">
        <f>IF($BN111="","",INDEX(高値!$E111:$CZ111,1,$BN111+1))</f>
        <v>831</v>
      </c>
      <c r="BQ111" s="503">
        <f>IF($BN111="","",MIN(INDEX(安値!$E111:$CZ111,1,$BM111+1):INDEX(安値!$E111:$CZ111,1,$BN111+1)))</f>
        <v>787</v>
      </c>
      <c r="BR111" s="503">
        <f>IF($BN111="","",AVERAGE(INDEX(終値!$E111:$CZ111,1,$BN111+1):INDEX(終値!$E111:$CZ111,1,$BN111+20))+2*STDEVP(INDEX(終値!$E111:$CZ111,1,$BN111+1):INDEX(終値!$E111:$CZ111,1,$BN111+20)))</f>
        <v>985.20622864636653</v>
      </c>
      <c r="BS111" s="503">
        <f>IF($BM111="","",AVERAGE(INDEX(終値!$E111:$CZ111,1,$BM111+1):INDEX(終値!$E111:$CZ111,1,$BM111+20))+2*STDEVP(INDEX(終値!$E111:$CZ111,1,$BM111+1):INDEX(終値!$E111:$CZ111,1,$BM111+20)))</f>
        <v>987.78439550437292</v>
      </c>
      <c r="BT111" s="500"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v>
      </c>
    </row>
    <row r="112" spans="2:72">
      <c r="B112" s="503" t="str">
        <f>IF(終値!A112="","",IF(AND(安値!G112&lt;安値!F112,安値!G112&lt;安値!E112,安値!G112&lt;安値!H112,安値!G112&lt;安値!I112),2,""))</f>
        <v/>
      </c>
      <c r="C112" s="503">
        <f>IF(終値!A112="","",IF(AND(安値!H112&lt;安値!G112,安値!H112&lt;安値!F112,安値!H112&lt;安値!I112,安値!H112&lt;安値!J112),3,""))</f>
        <v>3</v>
      </c>
      <c r="D112" s="503" t="str">
        <f>IF(終値!A112="","",IF(AND(安値!I112&lt;安値!H112,安値!I112&lt;安値!G112,安値!I112&lt;安値!J112,安値!I112&lt;安値!K112),4,""))</f>
        <v/>
      </c>
      <c r="E112" s="503" t="str">
        <f>IF(終値!A112="","",IF(AND(安値!J112&lt;安値!I112,安値!J112&lt;安値!H112,安値!J112&lt;安値!K112,安値!J112&lt;安値!L112),5,""))</f>
        <v/>
      </c>
      <c r="F112" s="503">
        <f>IF(終値!A112="","",IF(AND(安値!K112&lt;安値!J112,安値!K112&lt;安値!I112,安値!K112&lt;安値!L112,安値!K112&lt;安値!M112),6,""))</f>
        <v>6</v>
      </c>
      <c r="G112" s="503" t="str">
        <f>IF(終値!A112="","",IF(AND(安値!L112&lt;安値!K112,安値!L112&lt;安値!J112,安値!L112&lt;安値!M112,安値!L112&lt;安値!N112),7,""))</f>
        <v/>
      </c>
      <c r="H112" s="503" t="str">
        <f>IF(終値!A112="","",IF(AND(安値!M112&lt;安値!L112,安値!M112&lt;安値!K112,安値!M112&lt;安値!N112,安値!M112&lt;安値!O112),8,""))</f>
        <v/>
      </c>
      <c r="I112" s="503">
        <f>IF(終値!A112="","",IF(AND(安値!N112&lt;安値!M112,安値!N112&lt;安値!L112,安値!N112&lt;安値!O112,安値!N112&lt;安値!P112),9,""))</f>
        <v>9</v>
      </c>
      <c r="J112" s="503" t="str">
        <f>IF(終値!A112="","",IF(AND(安値!O112&lt;安値!N112,安値!O112&lt;安値!M112,安値!O112&lt;安値!P112,安値!O112&lt;安値!Q112),10,""))</f>
        <v/>
      </c>
      <c r="K112" s="503" t="str">
        <f>IF(終値!A112="","",IF(AND(安値!P112&lt;安値!O112,安値!P112&lt;安値!N112,安値!P112&lt;安値!Q112,安値!P112&lt;安値!R112),11,""))</f>
        <v/>
      </c>
      <c r="L112" s="503" t="str">
        <f>IF(終値!A112="","",IF(AND(安値!Q112&lt;安値!P112,安値!Q112&lt;安値!O112,安値!Q112&lt;安値!R112,安値!Q112&lt;安値!S112),12,""))</f>
        <v/>
      </c>
      <c r="M112" s="503">
        <f>IF(終値!A112="","",IF(AND(安値!R112&lt;安値!Q112,安値!R112&lt;安値!P112,安値!R112&lt;安値!S112,安値!R112&lt;安値!T112),13,""))</f>
        <v>13</v>
      </c>
      <c r="N112" s="503" t="str">
        <f>IF(終値!A112="","",IF(AND(安値!S112&lt;安値!R112,安値!S112&lt;安値!Q112,安値!S112&lt;安値!T112,安値!S112&lt;安値!U112),14,""))</f>
        <v/>
      </c>
      <c r="O112" s="503" t="str">
        <f>IF(終値!A112="","",IF(AND(安値!T112&lt;安値!S112,安値!T112&lt;安値!R112,安値!T112&lt;安値!U112,安値!T112&lt;安値!V112),15,""))</f>
        <v/>
      </c>
      <c r="P112" s="503" t="str">
        <f>IF(終値!A112="","",IF(AND(安値!U112&lt;安値!T112,安値!U112&lt;安値!S112,安値!U112&lt;安値!V112,安値!U112&lt;安値!W112),16,""))</f>
        <v/>
      </c>
      <c r="Q112" s="503" t="str">
        <f>IF(終値!A112="","",IF(AND(安値!V112&lt;安値!U112,安値!V112&lt;安値!T112,安値!V112&lt;安値!W112,安値!V112&lt;安値!X112),17,""))</f>
        <v/>
      </c>
      <c r="R112" s="503" t="str">
        <f>IF(終値!A112="","",IF(AND(安値!W112&lt;安値!V112,安値!W112&lt;安値!U112,安値!W112&lt;安値!X112,安値!W112&lt;安値!Y112),18,""))</f>
        <v/>
      </c>
      <c r="S112" s="503">
        <f>IF(終値!A112="","",IF(AND(安値!X112&lt;安値!W112,安値!X112&lt;安値!V112,安値!X112&lt;安値!Y112,安値!X112&lt;安値!Z112),19,""))</f>
        <v>19</v>
      </c>
      <c r="T112" s="503" t="str">
        <f>IF(終値!A112="","",IF(AND(安値!Y112&lt;安値!X112,安値!Y112&lt;安値!W112,安値!Y112&lt;安値!Z112,安値!Y112&lt;安値!AA112),20,""))</f>
        <v/>
      </c>
      <c r="U112" s="503" t="str">
        <f>IF(終値!A112="","",IF(AND(安値!Z112&lt;安値!Y112,安値!Z112&lt;安値!X112,安値!Z112&lt;安値!AA112,安値!Z112&lt;安値!AB112),21,""))</f>
        <v/>
      </c>
      <c r="V112" s="503" t="str">
        <f>IF(終値!A112="","",IF(AND(安値!AA112&lt;安値!Z112,安値!AA112&lt;安値!Y112,安値!AA112&lt;安値!AB112,安値!AA112&lt;安値!AC112),22,""))</f>
        <v/>
      </c>
      <c r="W112" s="503">
        <f>IF(終値!A112="","",IF(AND(安値!AB112&lt;安値!AA112,安値!AB112&lt;安値!Z112,安値!AB112&lt;安値!AC112,安値!AB112&lt;安値!AD112),23,""))</f>
        <v>23</v>
      </c>
      <c r="X112" s="503" t="str">
        <f>IF(終値!A112="","",IF(AND(安値!AC112&lt;安値!AB112,安値!AC112&lt;安値!AA112,安値!AC112&lt;安値!AD112,安値!AC112&lt;安値!AE112),24,""))</f>
        <v/>
      </c>
      <c r="Y112" s="503" t="str">
        <f>IF(終値!A112="","",IF(AND(安値!AD112&lt;安値!AC112,安値!AD112&lt;安値!AB112,安値!AD112&lt;安値!AE112,安値!AD112&lt;安値!AF112),25,""))</f>
        <v/>
      </c>
      <c r="Z112" s="503" t="str">
        <f>IF(終値!A112="","",IF(AND(安値!AE112&lt;安値!AD112,安値!AE112&lt;安値!AC112,安値!AE112&lt;安値!AF112,安値!AE112&lt;安値!AG112),26,""))</f>
        <v/>
      </c>
      <c r="AA112" s="503">
        <f>IF(終値!A112="","",IF(AND(安値!AF112&lt;安値!AE112,安値!AF112&lt;安値!AD112,安値!AF112&lt;安値!AG112,安値!AF112&lt;安値!AH112),27,""))</f>
        <v>27</v>
      </c>
      <c r="AB112" s="503" t="str">
        <f>IF(終値!A112="","",IF(AND(安値!AG112&lt;安値!AF112,安値!AG112&lt;安値!AE112,安値!AG112&lt;安値!AH112,安値!AG112&lt;安値!AI112),28,""))</f>
        <v/>
      </c>
      <c r="AC112" s="503" t="str">
        <f>IF(終値!A112="","",IF(AND(高値!G112&gt;高値!F112,高値!G112&gt;高値!E112,高値!G112&gt;高値!H112,高値!G112&gt;高値!I112),2,""))</f>
        <v/>
      </c>
      <c r="AD112" s="503" t="str">
        <f>IF(終値!A112="","",IF(AND(高値!H112&gt;高値!G112,高値!H112&gt;高値!F112,高値!H112&gt;高値!I112,高値!H112&gt;高値!J112),3,""))</f>
        <v/>
      </c>
      <c r="AE112" s="503" t="str">
        <f>IF(終値!A112="","",IF(AND(高値!I112&gt;高値!H112,高値!I112&gt;高値!G112,高値!I112&gt;高値!J112,高値!I112&gt;高値!K112),4,""))</f>
        <v/>
      </c>
      <c r="AF112" s="503">
        <f>IF(終値!A112="","",IF(AND(高値!J112&gt;高値!I112,高値!J112&gt;高値!H112,高値!J112&gt;高値!K112,高値!J112&gt;高値!L112),5,""))</f>
        <v>5</v>
      </c>
      <c r="AG112" s="503" t="str">
        <f>IF(終値!A112="","",IF(AND(高値!K112&gt;高値!J112,高値!K112&gt;高値!I112,高値!K112&gt;高値!L112,高値!K112&gt;高値!M112),6,""))</f>
        <v/>
      </c>
      <c r="AH112" s="503" t="str">
        <f>IF(終値!A112="","",IF(AND(高値!L112&gt;高値!K112,高値!L112&gt;高値!J112,高値!L112&gt;高値!M112,高値!L112&gt;高値!N112),7,""))</f>
        <v/>
      </c>
      <c r="AI112" s="503">
        <f>IF(終値!A112="","",IF(AND(高値!M112&gt;高値!L112,高値!M112&gt;高値!K112,高値!M112&gt;高値!N112,高値!M112&gt;高値!O112),8,""))</f>
        <v>8</v>
      </c>
      <c r="AJ112" s="503" t="str">
        <f>IF(終値!A112="","",IF(AND(高値!N112&gt;高値!M112,高値!N112&gt;高値!L112,高値!N112&gt;高値!O112,高値!N112&gt;高値!P112),9,""))</f>
        <v/>
      </c>
      <c r="AK112" s="503" t="str">
        <f>IF(終値!A112="","",IF(AND(高値!O112&gt;高値!N112,高値!O112&gt;高値!M112,高値!O112&gt;高値!P112,高値!O112&gt;高値!Q112),10,""))</f>
        <v/>
      </c>
      <c r="AL112" s="503">
        <f>IF(終値!A112="","",IF(AND(高値!P112&gt;高値!O112,高値!P112&gt;高値!N112,高値!P112&gt;高値!Q112,高値!P112&gt;高値!R112),11,""))</f>
        <v>11</v>
      </c>
      <c r="AM112" s="503" t="str">
        <f>IF(終値!A112="","",IF(AND(高値!Q112&gt;高値!P112,高値!Q112&gt;高値!O112,高値!Q112&gt;高値!R112,高値!Q112&gt;高値!S112),12,""))</f>
        <v/>
      </c>
      <c r="AN112" s="503" t="str">
        <f>IF(終値!A112="","",IF(AND(高値!R112&gt;高値!Q112,高値!R112&gt;高値!P112,高値!R112&gt;高値!S112,高値!R112&gt;高値!T112),13,""))</f>
        <v/>
      </c>
      <c r="AO112" s="503" t="str">
        <f>IF(終値!A112="","",IF(AND(高値!S112&gt;高値!R112,高値!S112&gt;高値!Q112,高値!S112&gt;高値!T112,高値!S112&gt;高値!U112),14,""))</f>
        <v/>
      </c>
      <c r="AP112" s="503" t="str">
        <f>IF(終値!A112="","",IF(AND(高値!T112&gt;高値!S112,高値!T112&gt;高値!R112,高値!T112&gt;高値!U112,高値!T112&gt;高値!V112),15,""))</f>
        <v/>
      </c>
      <c r="AQ112" s="503" t="str">
        <f>IF(終値!A112="","",IF(AND(高値!U112&gt;高値!T112,高値!U112&gt;高値!S112,高値!U112&gt;高値!V112,高値!U112&gt;高値!W112),16,""))</f>
        <v/>
      </c>
      <c r="AR112" s="503" t="str">
        <f>IF(終値!A112="","",IF(AND(高値!V112&gt;高値!U112,高値!V112&gt;高値!T112,高値!V112&gt;高値!W112,高値!V112&gt;高値!X112),17,""))</f>
        <v/>
      </c>
      <c r="AS112" s="503">
        <f>IF(終値!A112="","",IF(AND(高値!W112&gt;高値!V112,高値!W112&gt;高値!U112,高値!W112&gt;高値!X112,高値!W112&gt;高値!Y112),18,""))</f>
        <v>18</v>
      </c>
      <c r="AT112" s="503" t="str">
        <f>IF(終値!A112="","",IF(AND(高値!X112&gt;高値!W112,高値!X112&gt;高値!V112,高値!X112&gt;高値!Y112,高値!X112&gt;高値!Z112),19,""))</f>
        <v/>
      </c>
      <c r="AU112" s="503" t="str">
        <f>IF(終値!A112="","",IF(AND(高値!Y112&gt;高値!X112,高値!Y112&gt;高値!W112,高値!Y112&gt;高値!Z112,高値!Y112&gt;高値!AA112),20,""))</f>
        <v/>
      </c>
      <c r="AV112" s="503">
        <f>IF(終値!A112="","",IF(AND(高値!Z112&gt;高値!Y112,高値!Z112&gt;高値!X112,高値!Z112&gt;高値!AA112,高値!Z112&gt;高値!AB112),21,""))</f>
        <v>21</v>
      </c>
      <c r="AW112" s="503" t="str">
        <f>IF(終値!A112="","",IF(AND(高値!AA112&gt;高値!Z112,高値!AA112&gt;高値!Y112,高値!AA112&gt;高値!AB112,高値!AA112&gt;高値!AC112),22,""))</f>
        <v/>
      </c>
      <c r="AX112" s="503" t="str">
        <f>IF(終値!A112="","",IF(AND(高値!AB112&gt;高値!AA112,高値!AB112&gt;高値!Z112,高値!AB112&gt;高値!AC112,高値!AB112&gt;高値!AD112),23,""))</f>
        <v/>
      </c>
      <c r="AY112" s="503" t="str">
        <f>IF(終値!A112="","",IF(AND(高値!AC112&gt;高値!AB112,高値!AC112&gt;高値!AA112,高値!AC112&gt;高値!AD112,高値!AC112&gt;高値!AE112),24,""))</f>
        <v/>
      </c>
      <c r="AZ112" s="503">
        <f>IF(終値!A112="","",IF(AND(高値!AD112&gt;高値!AC112,高値!AD112&gt;高値!AB112,高値!AD112&gt;高値!AE112,高値!AD112&gt;高値!AF112),25,""))</f>
        <v>25</v>
      </c>
      <c r="BA112" s="503" t="str">
        <f>IF(終値!A112="","",IF(AND(高値!AE112&gt;高値!AD112,高値!AE112&gt;高値!AC112,高値!AE112&gt;高値!AF112,高値!AE112&gt;高値!AG112),26,""))</f>
        <v/>
      </c>
      <c r="BB112" s="503" t="str">
        <f>IF(終値!A112="","",IF(AND(高値!AF112&gt;高値!AE112,高値!AF112&gt;高値!AD112,高値!AF112&gt;高値!AG112,高値!AF112&gt;高値!AH112),27,""))</f>
        <v/>
      </c>
      <c r="BC112" s="503" t="str">
        <f>IF(終値!A112="","",IF(AND(高値!AG112&gt;高値!AF112,高値!AG112&gt;高値!AE112,高値!AG112&gt;高値!AH112,高値!AG112&gt;高値!AI112),28,""))</f>
        <v/>
      </c>
      <c r="BD112" s="503">
        <f t="shared" si="6"/>
        <v>7</v>
      </c>
      <c r="BE112" s="503">
        <f t="shared" si="7"/>
        <v>3</v>
      </c>
      <c r="BF112" s="503">
        <f t="shared" si="8"/>
        <v>6</v>
      </c>
      <c r="BG112" s="503">
        <f>IF($BE112="","",INDEX(安値!$E112:$CZ112,1,$BE112+1))</f>
        <v>398</v>
      </c>
      <c r="BH112" s="503">
        <f>IF($BF112="","",INDEX(安値!$E112:$CZ112,1,$BF112+1))</f>
        <v>397</v>
      </c>
      <c r="BI112" s="503">
        <f>IF($BF112="","",MAX(INDEX(高値!$E112:$CZ112,1,$BE112+1):INDEX(高値!$E112:$CZ112,1,$BF112+1)))</f>
        <v>415</v>
      </c>
      <c r="BJ112" s="503">
        <f>IF($BF112="","",AVERAGE(INDEX(終値!$E112:$CZ112,1,$BF112+1):INDEX(終値!$E112:$CZ112,1,$BF112+20))-2*STDEVP(INDEX(終値!$E112:$CZ112,1,$BF112+1):INDEX(終値!$E112:$CZ112,1,$BF112+20)))</f>
        <v>387.95515759683519</v>
      </c>
      <c r="BK112" s="503">
        <f>IF($BE112="","",AVERAGE(INDEX(終値!$E112:$CZ112,1,$BE112+1):INDEX(終値!$E112:$CZ112,1,$BE112+20))-2*STDEVP(INDEX(終値!$E112:$CZ112,1,$BE112+1):INDEX(終値!$E112:$CZ112,1,$BE112+20)))</f>
        <v>378.02446730603526</v>
      </c>
      <c r="BL112" s="503">
        <f t="shared" si="9"/>
        <v>6</v>
      </c>
      <c r="BM112" s="503">
        <f t="shared" si="10"/>
        <v>5</v>
      </c>
      <c r="BN112" s="503">
        <f t="shared" si="11"/>
        <v>8</v>
      </c>
      <c r="BO112" s="503">
        <f>IF($BM112="","",INDEX(高値!$E112:$CZ112,1,$BM112+1))</f>
        <v>415</v>
      </c>
      <c r="BP112" s="503">
        <f>IF($BN112="","",INDEX(高値!$E112:$CZ112,1,$BN112+1))</f>
        <v>420</v>
      </c>
      <c r="BQ112" s="503">
        <f>IF($BN112="","",MIN(INDEX(安値!$E112:$CZ112,1,$BM112+1):INDEX(安値!$E112:$CZ112,1,$BN112+1)))</f>
        <v>397</v>
      </c>
      <c r="BR112" s="503">
        <f>IF($BN112="","",AVERAGE(INDEX(終値!$E112:$CZ112,1,$BN112+1):INDEX(終値!$E112:$CZ112,1,$BN112+20))+2*STDEVP(INDEX(終値!$E112:$CZ112,1,$BN112+1):INDEX(終値!$E112:$CZ112,1,$BN112+20)))</f>
        <v>480.08217278483437</v>
      </c>
      <c r="BS112" s="503">
        <f>IF($BM112="","",AVERAGE(INDEX(終値!$E112:$CZ112,1,$BM112+1):INDEX(終値!$E112:$CZ112,1,$BM112+20))+2*STDEVP(INDEX(終値!$E112:$CZ112,1,$BM112+1):INDEX(終値!$E112:$CZ112,1,$BM112+20)))</f>
        <v>480.7638988749041</v>
      </c>
      <c r="BT112" s="500"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二番底W▲</v>
      </c>
    </row>
    <row r="113" spans="2:72">
      <c r="B113" s="503" t="str">
        <f>IF(終値!A113="","",IF(AND(安値!G113&lt;安値!F113,安値!G113&lt;安値!E113,安値!G113&lt;安値!H113,安値!G113&lt;安値!I113),2,""))</f>
        <v/>
      </c>
      <c r="C113" s="503">
        <f>IF(終値!A113="","",IF(AND(安値!H113&lt;安値!G113,安値!H113&lt;安値!F113,安値!H113&lt;安値!I113,安値!H113&lt;安値!J113),3,""))</f>
        <v>3</v>
      </c>
      <c r="D113" s="503" t="str">
        <f>IF(終値!A113="","",IF(AND(安値!I113&lt;安値!H113,安値!I113&lt;安値!G113,安値!I113&lt;安値!J113,安値!I113&lt;安値!K113),4,""))</f>
        <v/>
      </c>
      <c r="E113" s="503" t="str">
        <f>IF(終値!A113="","",IF(AND(安値!J113&lt;安値!I113,安値!J113&lt;安値!H113,安値!J113&lt;安値!K113,安値!J113&lt;安値!L113),5,""))</f>
        <v/>
      </c>
      <c r="F113" s="503" t="str">
        <f>IF(終値!A113="","",IF(AND(安値!K113&lt;安値!J113,安値!K113&lt;安値!I113,安値!K113&lt;安値!L113,安値!K113&lt;安値!M113),6,""))</f>
        <v/>
      </c>
      <c r="G113" s="503" t="str">
        <f>IF(終値!A113="","",IF(AND(安値!L113&lt;安値!K113,安値!L113&lt;安値!J113,安値!L113&lt;安値!M113,安値!L113&lt;安値!N113),7,""))</f>
        <v/>
      </c>
      <c r="H113" s="503" t="str">
        <f>IF(終値!A113="","",IF(AND(安値!M113&lt;安値!L113,安値!M113&lt;安値!K113,安値!M113&lt;安値!N113,安値!M113&lt;安値!O113),8,""))</f>
        <v/>
      </c>
      <c r="I113" s="503">
        <f>IF(終値!A113="","",IF(AND(安値!N113&lt;安値!M113,安値!N113&lt;安値!L113,安値!N113&lt;安値!O113,安値!N113&lt;安値!P113),9,""))</f>
        <v>9</v>
      </c>
      <c r="J113" s="503" t="str">
        <f>IF(終値!A113="","",IF(AND(安値!O113&lt;安値!N113,安値!O113&lt;安値!M113,安値!O113&lt;安値!P113,安値!O113&lt;安値!Q113),10,""))</f>
        <v/>
      </c>
      <c r="K113" s="503" t="str">
        <f>IF(終値!A113="","",IF(AND(安値!P113&lt;安値!O113,安値!P113&lt;安値!N113,安値!P113&lt;安値!Q113,安値!P113&lt;安値!R113),11,""))</f>
        <v/>
      </c>
      <c r="L113" s="503" t="str">
        <f>IF(終値!A113="","",IF(AND(安値!Q113&lt;安値!P113,安値!Q113&lt;安値!O113,安値!Q113&lt;安値!R113,安値!Q113&lt;安値!S113),12,""))</f>
        <v/>
      </c>
      <c r="M113" s="503" t="str">
        <f>IF(終値!A113="","",IF(AND(安値!R113&lt;安値!Q113,安値!R113&lt;安値!P113,安値!R113&lt;安値!S113,安値!R113&lt;安値!T113),13,""))</f>
        <v/>
      </c>
      <c r="N113" s="503" t="str">
        <f>IF(終値!A113="","",IF(AND(安値!S113&lt;安値!R113,安値!S113&lt;安値!Q113,安値!S113&lt;安値!T113,安値!S113&lt;安値!U113),14,""))</f>
        <v/>
      </c>
      <c r="O113" s="503" t="str">
        <f>IF(終値!A113="","",IF(AND(安値!T113&lt;安値!S113,安値!T113&lt;安値!R113,安値!T113&lt;安値!U113,安値!T113&lt;安値!V113),15,""))</f>
        <v/>
      </c>
      <c r="P113" s="503" t="str">
        <f>IF(終値!A113="","",IF(AND(安値!U113&lt;安値!T113,安値!U113&lt;安値!S113,安値!U113&lt;安値!V113,安値!U113&lt;安値!W113),16,""))</f>
        <v/>
      </c>
      <c r="Q113" s="503" t="str">
        <f>IF(終値!A113="","",IF(AND(安値!V113&lt;安値!U113,安値!V113&lt;安値!T113,安値!V113&lt;安値!W113,安値!V113&lt;安値!X113),17,""))</f>
        <v/>
      </c>
      <c r="R113" s="503" t="str">
        <f>IF(終値!A113="","",IF(AND(安値!W113&lt;安値!V113,安値!W113&lt;安値!U113,安値!W113&lt;安値!X113,安値!W113&lt;安値!Y113),18,""))</f>
        <v/>
      </c>
      <c r="S113" s="503" t="str">
        <f>IF(終値!A113="","",IF(AND(安値!X113&lt;安値!W113,安値!X113&lt;安値!V113,安値!X113&lt;安値!Y113,安値!X113&lt;安値!Z113),19,""))</f>
        <v/>
      </c>
      <c r="T113" s="503" t="str">
        <f>IF(終値!A113="","",IF(AND(安値!Y113&lt;安値!X113,安値!Y113&lt;安値!W113,安値!Y113&lt;安値!Z113,安値!Y113&lt;安値!AA113),20,""))</f>
        <v/>
      </c>
      <c r="U113" s="503" t="str">
        <f>IF(終値!A113="","",IF(AND(安値!Z113&lt;安値!Y113,安値!Z113&lt;安値!X113,安値!Z113&lt;安値!AA113,安値!Z113&lt;安値!AB113),21,""))</f>
        <v/>
      </c>
      <c r="V113" s="503" t="str">
        <f>IF(終値!A113="","",IF(AND(安値!AA113&lt;安値!Z113,安値!AA113&lt;安値!Y113,安値!AA113&lt;安値!AB113,安値!AA113&lt;安値!AC113),22,""))</f>
        <v/>
      </c>
      <c r="W113" s="503" t="str">
        <f>IF(終値!A113="","",IF(AND(安値!AB113&lt;安値!AA113,安値!AB113&lt;安値!Z113,安値!AB113&lt;安値!AC113,安値!AB113&lt;安値!AD113),23,""))</f>
        <v/>
      </c>
      <c r="X113" s="503" t="str">
        <f>IF(終値!A113="","",IF(AND(安値!AC113&lt;安値!AB113,安値!AC113&lt;安値!AA113,安値!AC113&lt;安値!AD113,安値!AC113&lt;安値!AE113),24,""))</f>
        <v/>
      </c>
      <c r="Y113" s="503" t="str">
        <f>IF(終値!A113="","",IF(AND(安値!AD113&lt;安値!AC113,安値!AD113&lt;安値!AB113,安値!AD113&lt;安値!AE113,安値!AD113&lt;安値!AF113),25,""))</f>
        <v/>
      </c>
      <c r="Z113" s="503" t="str">
        <f>IF(終値!A113="","",IF(AND(安値!AE113&lt;安値!AD113,安値!AE113&lt;安値!AC113,安値!AE113&lt;安値!AF113,安値!AE113&lt;安値!AG113),26,""))</f>
        <v/>
      </c>
      <c r="AA113" s="503" t="str">
        <f>IF(終値!A113="","",IF(AND(安値!AF113&lt;安値!AE113,安値!AF113&lt;安値!AD113,安値!AF113&lt;安値!AG113,安値!AF113&lt;安値!AH113),27,""))</f>
        <v/>
      </c>
      <c r="AB113" s="503" t="str">
        <f>IF(終値!A113="","",IF(AND(安値!AG113&lt;安値!AF113,安値!AG113&lt;安値!AE113,安値!AG113&lt;安値!AH113,安値!AG113&lt;安値!AI113),28,""))</f>
        <v/>
      </c>
      <c r="AC113" s="503" t="str">
        <f>IF(終値!A113="","",IF(AND(高値!G113&gt;高値!F113,高値!G113&gt;高値!E113,高値!G113&gt;高値!H113,高値!G113&gt;高値!I113),2,""))</f>
        <v/>
      </c>
      <c r="AD113" s="503" t="str">
        <f>IF(終値!A113="","",IF(AND(高値!H113&gt;高値!G113,高値!H113&gt;高値!F113,高値!H113&gt;高値!I113,高値!H113&gt;高値!J113),3,""))</f>
        <v/>
      </c>
      <c r="AE113" s="503" t="str">
        <f>IF(終値!A113="","",IF(AND(高値!I113&gt;高値!H113,高値!I113&gt;高値!G113,高値!I113&gt;高値!J113,高値!I113&gt;高値!K113),4,""))</f>
        <v/>
      </c>
      <c r="AF113" s="503">
        <f>IF(終値!A113="","",IF(AND(高値!J113&gt;高値!I113,高値!J113&gt;高値!H113,高値!J113&gt;高値!K113,高値!J113&gt;高値!L113),5,""))</f>
        <v>5</v>
      </c>
      <c r="AG113" s="503" t="str">
        <f>IF(終値!A113="","",IF(AND(高値!K113&gt;高値!J113,高値!K113&gt;高値!I113,高値!K113&gt;高値!L113,高値!K113&gt;高値!M113),6,""))</f>
        <v/>
      </c>
      <c r="AH113" s="503" t="str">
        <f>IF(終値!A113="","",IF(AND(高値!L113&gt;高値!K113,高値!L113&gt;高値!J113,高値!L113&gt;高値!M113,高値!L113&gt;高値!N113),7,""))</f>
        <v/>
      </c>
      <c r="AI113" s="503" t="str">
        <f>IF(終値!A113="","",IF(AND(高値!M113&gt;高値!L113,高値!M113&gt;高値!K113,高値!M113&gt;高値!N113,高値!M113&gt;高値!O113),8,""))</f>
        <v/>
      </c>
      <c r="AJ113" s="503" t="str">
        <f>IF(終値!A113="","",IF(AND(高値!N113&gt;高値!M113,高値!N113&gt;高値!L113,高値!N113&gt;高値!O113,高値!N113&gt;高値!P113),9,""))</f>
        <v/>
      </c>
      <c r="AK113" s="503" t="str">
        <f>IF(終値!A113="","",IF(AND(高値!O113&gt;高値!N113,高値!O113&gt;高値!M113,高値!O113&gt;高値!P113,高値!O113&gt;高値!Q113),10,""))</f>
        <v/>
      </c>
      <c r="AL113" s="503" t="str">
        <f>IF(終値!A113="","",IF(AND(高値!P113&gt;高値!O113,高値!P113&gt;高値!N113,高値!P113&gt;高値!Q113,高値!P113&gt;高値!R113),11,""))</f>
        <v/>
      </c>
      <c r="AM113" s="503">
        <f>IF(終値!A113="","",IF(AND(高値!Q113&gt;高値!P113,高値!Q113&gt;高値!O113,高値!Q113&gt;高値!R113,高値!Q113&gt;高値!S113),12,""))</f>
        <v>12</v>
      </c>
      <c r="AN113" s="503" t="str">
        <f>IF(終値!A113="","",IF(AND(高値!R113&gt;高値!Q113,高値!R113&gt;高値!P113,高値!R113&gt;高値!S113,高値!R113&gt;高値!T113),13,""))</f>
        <v/>
      </c>
      <c r="AO113" s="503" t="str">
        <f>IF(終値!A113="","",IF(AND(高値!S113&gt;高値!R113,高値!S113&gt;高値!Q113,高値!S113&gt;高値!T113,高値!S113&gt;高値!U113),14,""))</f>
        <v/>
      </c>
      <c r="AP113" s="503" t="str">
        <f>IF(終値!A113="","",IF(AND(高値!T113&gt;高値!S113,高値!T113&gt;高値!R113,高値!T113&gt;高値!U113,高値!T113&gt;高値!V113),15,""))</f>
        <v/>
      </c>
      <c r="AQ113" s="503" t="str">
        <f>IF(終値!A113="","",IF(AND(高値!U113&gt;高値!T113,高値!U113&gt;高値!S113,高値!U113&gt;高値!V113,高値!U113&gt;高値!W113),16,""))</f>
        <v/>
      </c>
      <c r="AR113" s="503" t="str">
        <f>IF(終値!A113="","",IF(AND(高値!V113&gt;高値!U113,高値!V113&gt;高値!T113,高値!V113&gt;高値!W113,高値!V113&gt;高値!X113),17,""))</f>
        <v/>
      </c>
      <c r="AS113" s="503" t="str">
        <f>IF(終値!A113="","",IF(AND(高値!W113&gt;高値!V113,高値!W113&gt;高値!U113,高値!W113&gt;高値!X113,高値!W113&gt;高値!Y113),18,""))</f>
        <v/>
      </c>
      <c r="AT113" s="503" t="str">
        <f>IF(終値!A113="","",IF(AND(高値!X113&gt;高値!W113,高値!X113&gt;高値!V113,高値!X113&gt;高値!Y113,高値!X113&gt;高値!Z113),19,""))</f>
        <v/>
      </c>
      <c r="AU113" s="503" t="str">
        <f>IF(終値!A113="","",IF(AND(高値!Y113&gt;高値!X113,高値!Y113&gt;高値!W113,高値!Y113&gt;高値!Z113,高値!Y113&gt;高値!AA113),20,""))</f>
        <v/>
      </c>
      <c r="AV113" s="503" t="str">
        <f>IF(終値!A113="","",IF(AND(高値!Z113&gt;高値!Y113,高値!Z113&gt;高値!X113,高値!Z113&gt;高値!AA113,高値!Z113&gt;高値!AB113),21,""))</f>
        <v/>
      </c>
      <c r="AW113" s="503" t="str">
        <f>IF(終値!A113="","",IF(AND(高値!AA113&gt;高値!Z113,高値!AA113&gt;高値!Y113,高値!AA113&gt;高値!AB113,高値!AA113&gt;高値!AC113),22,""))</f>
        <v/>
      </c>
      <c r="AX113" s="503" t="str">
        <f>IF(終値!A113="","",IF(AND(高値!AB113&gt;高値!AA113,高値!AB113&gt;高値!Z113,高値!AB113&gt;高値!AC113,高値!AB113&gt;高値!AD113),23,""))</f>
        <v/>
      </c>
      <c r="AY113" s="503" t="str">
        <f>IF(終値!A113="","",IF(AND(高値!AC113&gt;高値!AB113,高値!AC113&gt;高値!AA113,高値!AC113&gt;高値!AD113,高値!AC113&gt;高値!AE113),24,""))</f>
        <v/>
      </c>
      <c r="AZ113" s="503" t="str">
        <f>IF(終値!A113="","",IF(AND(高値!AD113&gt;高値!AC113,高値!AD113&gt;高値!AB113,高値!AD113&gt;高値!AE113,高値!AD113&gt;高値!AF113),25,""))</f>
        <v/>
      </c>
      <c r="BA113" s="503">
        <f>IF(終値!A113="","",IF(AND(高値!AE113&gt;高値!AD113,高値!AE113&gt;高値!AC113,高値!AE113&gt;高値!AF113,高値!AE113&gt;高値!AG113),26,""))</f>
        <v>26</v>
      </c>
      <c r="BB113" s="503" t="str">
        <f>IF(終値!A113="","",IF(AND(高値!AF113&gt;高値!AE113,高値!AF113&gt;高値!AD113,高値!AF113&gt;高値!AG113,高値!AF113&gt;高値!AH113),27,""))</f>
        <v/>
      </c>
      <c r="BC113" s="503" t="str">
        <f>IF(終値!A113="","",IF(AND(高値!AG113&gt;高値!AF113,高値!AG113&gt;高値!AE113,高値!AG113&gt;高値!AH113,高値!AG113&gt;高値!AI113),28,""))</f>
        <v/>
      </c>
      <c r="BD113" s="503">
        <f t="shared" si="6"/>
        <v>2</v>
      </c>
      <c r="BE113" s="503">
        <f t="shared" si="7"/>
        <v>3</v>
      </c>
      <c r="BF113" s="503">
        <f t="shared" si="8"/>
        <v>9</v>
      </c>
      <c r="BG113" s="503">
        <f>IF($BE113="","",INDEX(安値!$E113:$CZ113,1,$BE113+1))</f>
        <v>4032</v>
      </c>
      <c r="BH113" s="503">
        <f>IF($BF113="","",INDEX(安値!$E113:$CZ113,1,$BF113+1))</f>
        <v>3860</v>
      </c>
      <c r="BI113" s="503">
        <f>IF($BF113="","",MAX(INDEX(高値!$E113:$CZ113,1,$BE113+1):INDEX(高値!$E113:$CZ113,1,$BF113+1)))</f>
        <v>4302</v>
      </c>
      <c r="BJ113" s="503">
        <f>IF($BF113="","",AVERAGE(INDEX(終値!$E113:$CZ113,1,$BF113+1):INDEX(終値!$E113:$CZ113,1,$BF113+20))-2*STDEVP(INDEX(終値!$E113:$CZ113,1,$BF113+1):INDEX(終値!$E113:$CZ113,1,$BF113+20)))</f>
        <v>3176.1037215776614</v>
      </c>
      <c r="BK113" s="503">
        <f>IF($BE113="","",AVERAGE(INDEX(終値!$E113:$CZ113,1,$BE113+1):INDEX(終値!$E113:$CZ113,1,$BE113+20))-2*STDEVP(INDEX(終値!$E113:$CZ113,1,$BE113+1):INDEX(終値!$E113:$CZ113,1,$BE113+20)))</f>
        <v>3601.3267758732654</v>
      </c>
      <c r="BL113" s="503">
        <f t="shared" si="9"/>
        <v>3</v>
      </c>
      <c r="BM113" s="503">
        <f t="shared" si="10"/>
        <v>5</v>
      </c>
      <c r="BN113" s="503">
        <f t="shared" si="11"/>
        <v>12</v>
      </c>
      <c r="BO113" s="503">
        <f>IF($BM113="","",INDEX(高値!$E113:$CZ113,1,$BM113+1))</f>
        <v>4302</v>
      </c>
      <c r="BP113" s="503">
        <f>IF($BN113="","",INDEX(高値!$E113:$CZ113,1,$BN113+1))</f>
        <v>4127</v>
      </c>
      <c r="BQ113" s="503">
        <f>IF($BN113="","",MIN(INDEX(安値!$E113:$CZ113,1,$BM113+1):INDEX(安値!$E113:$CZ113,1,$BN113+1)))</f>
        <v>3860</v>
      </c>
      <c r="BR113" s="503">
        <f>IF($BN113="","",AVERAGE(INDEX(終値!$E113:$CZ113,1,$BN113+1):INDEX(終値!$E113:$CZ113,1,$BN113+20))+2*STDEVP(INDEX(終値!$E113:$CZ113,1,$BN113+1):INDEX(終値!$E113:$CZ113,1,$BN113+20)))</f>
        <v>4216.8823384684983</v>
      </c>
      <c r="BS113" s="503">
        <f>IF($BM113="","",AVERAGE(INDEX(終値!$E113:$CZ113,1,$BM113+1):INDEX(終値!$E113:$CZ113,1,$BM113+20))+2*STDEVP(INDEX(終値!$E113:$CZ113,1,$BM113+1):INDEX(終値!$E113:$CZ113,1,$BM113+20)))</f>
        <v>4350.8135518183653</v>
      </c>
      <c r="BT113" s="500"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二番底W形成</v>
      </c>
    </row>
    <row r="114" spans="2:72">
      <c r="B114" s="503" t="str">
        <f>IF(終値!A114="","",IF(AND(安値!G114&lt;安値!F114,安値!G114&lt;安値!E114,安値!G114&lt;安値!H114,安値!G114&lt;安値!I114),2,""))</f>
        <v/>
      </c>
      <c r="C114" s="503">
        <f>IF(終値!A114="","",IF(AND(安値!H114&lt;安値!G114,安値!H114&lt;安値!F114,安値!H114&lt;安値!I114,安値!H114&lt;安値!J114),3,""))</f>
        <v>3</v>
      </c>
      <c r="D114" s="503" t="str">
        <f>IF(終値!A114="","",IF(AND(安値!I114&lt;安値!H114,安値!I114&lt;安値!G114,安値!I114&lt;安値!J114,安値!I114&lt;安値!K114),4,""))</f>
        <v/>
      </c>
      <c r="E114" s="503" t="str">
        <f>IF(終値!A114="","",IF(AND(安値!J114&lt;安値!I114,安値!J114&lt;安値!H114,安値!J114&lt;安値!K114,安値!J114&lt;安値!L114),5,""))</f>
        <v/>
      </c>
      <c r="F114" s="503" t="str">
        <f>IF(終値!A114="","",IF(AND(安値!K114&lt;安値!J114,安値!K114&lt;安値!I114,安値!K114&lt;安値!L114,安値!K114&lt;安値!M114),6,""))</f>
        <v/>
      </c>
      <c r="G114" s="503" t="str">
        <f>IF(終値!A114="","",IF(AND(安値!L114&lt;安値!K114,安値!L114&lt;安値!J114,安値!L114&lt;安値!M114,安値!L114&lt;安値!N114),7,""))</f>
        <v/>
      </c>
      <c r="H114" s="503" t="str">
        <f>IF(終値!A114="","",IF(AND(安値!M114&lt;安値!L114,安値!M114&lt;安値!K114,安値!M114&lt;安値!N114,安値!M114&lt;安値!O114),8,""))</f>
        <v/>
      </c>
      <c r="I114" s="503" t="str">
        <f>IF(終値!A114="","",IF(AND(安値!N114&lt;安値!M114,安値!N114&lt;安値!L114,安値!N114&lt;安値!O114,安値!N114&lt;安値!P114),9,""))</f>
        <v/>
      </c>
      <c r="J114" s="503" t="str">
        <f>IF(終値!A114="","",IF(AND(安値!O114&lt;安値!N114,安値!O114&lt;安値!M114,安値!O114&lt;安値!P114,安値!O114&lt;安値!Q114),10,""))</f>
        <v/>
      </c>
      <c r="K114" s="503" t="str">
        <f>IF(終値!A114="","",IF(AND(安値!P114&lt;安値!O114,安値!P114&lt;安値!N114,安値!P114&lt;安値!Q114,安値!P114&lt;安値!R114),11,""))</f>
        <v/>
      </c>
      <c r="L114" s="503" t="str">
        <f>IF(終値!A114="","",IF(AND(安値!Q114&lt;安値!P114,安値!Q114&lt;安値!O114,安値!Q114&lt;安値!R114,安値!Q114&lt;安値!S114),12,""))</f>
        <v/>
      </c>
      <c r="M114" s="503" t="str">
        <f>IF(終値!A114="","",IF(AND(安値!R114&lt;安値!Q114,安値!R114&lt;安値!P114,安値!R114&lt;安値!S114,安値!R114&lt;安値!T114),13,""))</f>
        <v/>
      </c>
      <c r="N114" s="503" t="str">
        <f>IF(終値!A114="","",IF(AND(安値!S114&lt;安値!R114,安値!S114&lt;安値!Q114,安値!S114&lt;安値!T114,安値!S114&lt;安値!U114),14,""))</f>
        <v/>
      </c>
      <c r="O114" s="503" t="str">
        <f>IF(終値!A114="","",IF(AND(安値!T114&lt;安値!S114,安値!T114&lt;安値!R114,安値!T114&lt;安値!U114,安値!T114&lt;安値!V114),15,""))</f>
        <v/>
      </c>
      <c r="P114" s="503" t="str">
        <f>IF(終値!A114="","",IF(AND(安値!U114&lt;安値!T114,安値!U114&lt;安値!S114,安値!U114&lt;安値!V114,安値!U114&lt;安値!W114),16,""))</f>
        <v/>
      </c>
      <c r="Q114" s="503" t="str">
        <f>IF(終値!A114="","",IF(AND(安値!V114&lt;安値!U114,安値!V114&lt;安値!T114,安値!V114&lt;安値!W114,安値!V114&lt;安値!X114),17,""))</f>
        <v/>
      </c>
      <c r="R114" s="503" t="str">
        <f>IF(終値!A114="","",IF(AND(安値!W114&lt;安値!V114,安値!W114&lt;安値!U114,安値!W114&lt;安値!X114,安値!W114&lt;安値!Y114),18,""))</f>
        <v/>
      </c>
      <c r="S114" s="503" t="str">
        <f>IF(終値!A114="","",IF(AND(安値!X114&lt;安値!W114,安値!X114&lt;安値!V114,安値!X114&lt;安値!Y114,安値!X114&lt;安値!Z114),19,""))</f>
        <v/>
      </c>
      <c r="T114" s="503">
        <f>IF(終値!A114="","",IF(AND(安値!Y114&lt;安値!X114,安値!Y114&lt;安値!W114,安値!Y114&lt;安値!Z114,安値!Y114&lt;安値!AA114),20,""))</f>
        <v>20</v>
      </c>
      <c r="U114" s="503" t="str">
        <f>IF(終値!A114="","",IF(AND(安値!Z114&lt;安値!Y114,安値!Z114&lt;安値!X114,安値!Z114&lt;安値!AA114,安値!Z114&lt;安値!AB114),21,""))</f>
        <v/>
      </c>
      <c r="V114" s="503" t="str">
        <f>IF(終値!A114="","",IF(AND(安値!AA114&lt;安値!Z114,安値!AA114&lt;安値!Y114,安値!AA114&lt;安値!AB114,安値!AA114&lt;安値!AC114),22,""))</f>
        <v/>
      </c>
      <c r="W114" s="503" t="str">
        <f>IF(終値!A114="","",IF(AND(安値!AB114&lt;安値!AA114,安値!AB114&lt;安値!Z114,安値!AB114&lt;安値!AC114,安値!AB114&lt;安値!AD114),23,""))</f>
        <v/>
      </c>
      <c r="X114" s="503">
        <f>IF(終値!A114="","",IF(AND(安値!AC114&lt;安値!AB114,安値!AC114&lt;安値!AA114,安値!AC114&lt;安値!AD114,安値!AC114&lt;安値!AE114),24,""))</f>
        <v>24</v>
      </c>
      <c r="Y114" s="503" t="str">
        <f>IF(終値!A114="","",IF(AND(安値!AD114&lt;安値!AC114,安値!AD114&lt;安値!AB114,安値!AD114&lt;安値!AE114,安値!AD114&lt;安値!AF114),25,""))</f>
        <v/>
      </c>
      <c r="Z114" s="503" t="str">
        <f>IF(終値!A114="","",IF(AND(安値!AE114&lt;安値!AD114,安値!AE114&lt;安値!AC114,安値!AE114&lt;安値!AF114,安値!AE114&lt;安値!AG114),26,""))</f>
        <v/>
      </c>
      <c r="AA114" s="503" t="str">
        <f>IF(終値!A114="","",IF(AND(安値!AF114&lt;安値!AE114,安値!AF114&lt;安値!AD114,安値!AF114&lt;安値!AG114,安値!AF114&lt;安値!AH114),27,""))</f>
        <v/>
      </c>
      <c r="AB114" s="503" t="str">
        <f>IF(終値!A114="","",IF(AND(安値!AG114&lt;安値!AF114,安値!AG114&lt;安値!AE114,安値!AG114&lt;安値!AH114,安値!AG114&lt;安値!AI114),28,""))</f>
        <v/>
      </c>
      <c r="AC114" s="503" t="str">
        <f>IF(終値!A114="","",IF(AND(高値!G114&gt;高値!F114,高値!G114&gt;高値!E114,高値!G114&gt;高値!H114,高値!G114&gt;高値!I114),2,""))</f>
        <v/>
      </c>
      <c r="AD114" s="503" t="str">
        <f>IF(終値!A114="","",IF(AND(高値!H114&gt;高値!G114,高値!H114&gt;高値!F114,高値!H114&gt;高値!I114,高値!H114&gt;高値!J114),3,""))</f>
        <v/>
      </c>
      <c r="AE114" s="503">
        <f>IF(終値!A114="","",IF(AND(高値!I114&gt;高値!H114,高値!I114&gt;高値!G114,高値!I114&gt;高値!J114,高値!I114&gt;高値!K114),4,""))</f>
        <v>4</v>
      </c>
      <c r="AF114" s="503" t="str">
        <f>IF(終値!A114="","",IF(AND(高値!J114&gt;高値!I114,高値!J114&gt;高値!H114,高値!J114&gt;高値!K114,高値!J114&gt;高値!L114),5,""))</f>
        <v/>
      </c>
      <c r="AG114" s="503" t="str">
        <f>IF(終値!A114="","",IF(AND(高値!K114&gt;高値!J114,高値!K114&gt;高値!I114,高値!K114&gt;高値!L114,高値!K114&gt;高値!M114),6,""))</f>
        <v/>
      </c>
      <c r="AH114" s="503" t="str">
        <f>IF(終値!A114="","",IF(AND(高値!L114&gt;高値!K114,高値!L114&gt;高値!J114,高値!L114&gt;高値!M114,高値!L114&gt;高値!N114),7,""))</f>
        <v/>
      </c>
      <c r="AI114" s="503">
        <f>IF(終値!A114="","",IF(AND(高値!M114&gt;高値!L114,高値!M114&gt;高値!K114,高値!M114&gt;高値!N114,高値!M114&gt;高値!O114),8,""))</f>
        <v>8</v>
      </c>
      <c r="AJ114" s="503" t="str">
        <f>IF(終値!A114="","",IF(AND(高値!N114&gt;高値!M114,高値!N114&gt;高値!L114,高値!N114&gt;高値!O114,高値!N114&gt;高値!P114),9,""))</f>
        <v/>
      </c>
      <c r="AK114" s="503" t="str">
        <f>IF(終値!A114="","",IF(AND(高値!O114&gt;高値!N114,高値!O114&gt;高値!M114,高値!O114&gt;高値!P114,高値!O114&gt;高値!Q114),10,""))</f>
        <v/>
      </c>
      <c r="AL114" s="503" t="str">
        <f>IF(終値!A114="","",IF(AND(高値!P114&gt;高値!O114,高値!P114&gt;高値!N114,高値!P114&gt;高値!Q114,高値!P114&gt;高値!R114),11,""))</f>
        <v/>
      </c>
      <c r="AM114" s="503" t="str">
        <f>IF(終値!A114="","",IF(AND(高値!Q114&gt;高値!P114,高値!Q114&gt;高値!O114,高値!Q114&gt;高値!R114,高値!Q114&gt;高値!S114),12,""))</f>
        <v/>
      </c>
      <c r="AN114" s="503" t="str">
        <f>IF(終値!A114="","",IF(AND(高値!R114&gt;高値!Q114,高値!R114&gt;高値!P114,高値!R114&gt;高値!S114,高値!R114&gt;高値!T114),13,""))</f>
        <v/>
      </c>
      <c r="AO114" s="503" t="str">
        <f>IF(終値!A114="","",IF(AND(高値!S114&gt;高値!R114,高値!S114&gt;高値!Q114,高値!S114&gt;高値!T114,高値!S114&gt;高値!U114),14,""))</f>
        <v/>
      </c>
      <c r="AP114" s="503" t="str">
        <f>IF(終値!A114="","",IF(AND(高値!T114&gt;高値!S114,高値!T114&gt;高値!R114,高値!T114&gt;高値!U114,高値!T114&gt;高値!V114),15,""))</f>
        <v/>
      </c>
      <c r="AQ114" s="503" t="str">
        <f>IF(終値!A114="","",IF(AND(高値!U114&gt;高値!T114,高値!U114&gt;高値!S114,高値!U114&gt;高値!V114,高値!U114&gt;高値!W114),16,""))</f>
        <v/>
      </c>
      <c r="AR114" s="503" t="str">
        <f>IF(終値!A114="","",IF(AND(高値!V114&gt;高値!U114,高値!V114&gt;高値!T114,高値!V114&gt;高値!W114,高値!V114&gt;高値!X114),17,""))</f>
        <v/>
      </c>
      <c r="AS114" s="503" t="str">
        <f>IF(終値!A114="","",IF(AND(高値!W114&gt;高値!V114,高値!W114&gt;高値!U114,高値!W114&gt;高値!X114,高値!W114&gt;高値!Y114),18,""))</f>
        <v/>
      </c>
      <c r="AT114" s="503" t="str">
        <f>IF(終値!A114="","",IF(AND(高値!X114&gt;高値!W114,高値!X114&gt;高値!V114,高値!X114&gt;高値!Y114,高値!X114&gt;高値!Z114),19,""))</f>
        <v/>
      </c>
      <c r="AU114" s="503" t="str">
        <f>IF(終値!A114="","",IF(AND(高値!Y114&gt;高値!X114,高値!Y114&gt;高値!W114,高値!Y114&gt;高値!Z114,高値!Y114&gt;高値!AA114),20,""))</f>
        <v/>
      </c>
      <c r="AV114" s="503" t="str">
        <f>IF(終値!A114="","",IF(AND(高値!Z114&gt;高値!Y114,高値!Z114&gt;高値!X114,高値!Z114&gt;高値!AA114,高値!Z114&gt;高値!AB114),21,""))</f>
        <v/>
      </c>
      <c r="AW114" s="503" t="str">
        <f>IF(終値!A114="","",IF(AND(高値!AA114&gt;高値!Z114,高値!AA114&gt;高値!Y114,高値!AA114&gt;高値!AB114,高値!AA114&gt;高値!AC114),22,""))</f>
        <v/>
      </c>
      <c r="AX114" s="503" t="str">
        <f>IF(終値!A114="","",IF(AND(高値!AB114&gt;高値!AA114,高値!AB114&gt;高値!Z114,高値!AB114&gt;高値!AC114,高値!AB114&gt;高値!AD114),23,""))</f>
        <v/>
      </c>
      <c r="AY114" s="503" t="str">
        <f>IF(終値!A114="","",IF(AND(高値!AC114&gt;高値!AB114,高値!AC114&gt;高値!AA114,高値!AC114&gt;高値!AD114,高値!AC114&gt;高値!AE114),24,""))</f>
        <v/>
      </c>
      <c r="AZ114" s="503" t="str">
        <f>IF(終値!A114="","",IF(AND(高値!AD114&gt;高値!AC114,高値!AD114&gt;高値!AB114,高値!AD114&gt;高値!AE114,高値!AD114&gt;高値!AF114),25,""))</f>
        <v/>
      </c>
      <c r="BA114" s="503" t="str">
        <f>IF(終値!A114="","",IF(AND(高値!AE114&gt;高値!AD114,高値!AE114&gt;高値!AC114,高値!AE114&gt;高値!AF114,高値!AE114&gt;高値!AG114),26,""))</f>
        <v/>
      </c>
      <c r="BB114" s="503" t="str">
        <f>IF(終値!A114="","",IF(AND(高値!AF114&gt;高値!AE114,高値!AF114&gt;高値!AD114,高値!AF114&gt;高値!AG114,高値!AF114&gt;高値!AH114),27,""))</f>
        <v/>
      </c>
      <c r="BC114" s="503">
        <f>IF(終値!A114="","",IF(AND(高値!AG114&gt;高値!AF114,高値!AG114&gt;高値!AE114,高値!AG114&gt;高値!AH114,高値!AG114&gt;高値!AI114),28,""))</f>
        <v>28</v>
      </c>
      <c r="BD114" s="503">
        <f t="shared" si="6"/>
        <v>3</v>
      </c>
      <c r="BE114" s="503">
        <f t="shared" si="7"/>
        <v>3</v>
      </c>
      <c r="BF114" s="503">
        <f t="shared" si="8"/>
        <v>20</v>
      </c>
      <c r="BG114" s="503">
        <f>IF($BE114="","",INDEX(安値!$E114:$CZ114,1,$BE114+1))</f>
        <v>485.8</v>
      </c>
      <c r="BH114" s="503">
        <f>IF($BF114="","",INDEX(安値!$E114:$CZ114,1,$BF114+1))</f>
        <v>456</v>
      </c>
      <c r="BI114" s="503">
        <f>IF($BF114="","",MAX(INDEX(高値!$E114:$CZ114,1,$BE114+1):INDEX(高値!$E114:$CZ114,1,$BF114+1)))</f>
        <v>549.4</v>
      </c>
      <c r="BJ114" s="503">
        <f>IF($BF114="","",AVERAGE(INDEX(終値!$E114:$CZ114,1,$BF114+1):INDEX(終値!$E114:$CZ114,1,$BF114+20))-2*STDEVP(INDEX(終値!$E114:$CZ114,1,$BF114+1):INDEX(終値!$E114:$CZ114,1,$BF114+20)))</f>
        <v>435.94587245105566</v>
      </c>
      <c r="BK114" s="503">
        <f>IF($BE114="","",AVERAGE(INDEX(終値!$E114:$CZ114,1,$BE114+1):INDEX(終値!$E114:$CZ114,1,$BE114+20))-2*STDEVP(INDEX(終値!$E114:$CZ114,1,$BE114+1):INDEX(終値!$E114:$CZ114,1,$BE114+20)))</f>
        <v>456.67593877734134</v>
      </c>
      <c r="BL114" s="503">
        <f t="shared" si="9"/>
        <v>3</v>
      </c>
      <c r="BM114" s="503">
        <f t="shared" si="10"/>
        <v>4</v>
      </c>
      <c r="BN114" s="503">
        <f t="shared" si="11"/>
        <v>8</v>
      </c>
      <c r="BO114" s="503">
        <f>IF($BM114="","",INDEX(高値!$E114:$CZ114,1,$BM114+1))</f>
        <v>549.4</v>
      </c>
      <c r="BP114" s="503">
        <f>IF($BN114="","",INDEX(高値!$E114:$CZ114,1,$BN114+1))</f>
        <v>538.5</v>
      </c>
      <c r="BQ114" s="503">
        <f>IF($BN114="","",MIN(INDEX(安値!$E114:$CZ114,1,$BM114+1):INDEX(安値!$E114:$CZ114,1,$BN114+1)))</f>
        <v>498.4</v>
      </c>
      <c r="BR114" s="503">
        <f>IF($BN114="","",AVERAGE(INDEX(終値!$E114:$CZ114,1,$BN114+1):INDEX(終値!$E114:$CZ114,1,$BN114+20))+2*STDEVP(INDEX(終値!$E114:$CZ114,1,$BN114+1):INDEX(終値!$E114:$CZ114,1,$BN114+20)))</f>
        <v>533.74029350667763</v>
      </c>
      <c r="BS114" s="503">
        <f>IF($BM114="","",AVERAGE(INDEX(終値!$E114:$CZ114,1,$BM114+1):INDEX(終値!$E114:$CZ114,1,$BM114+20))+2*STDEVP(INDEX(終値!$E114:$CZ114,1,$BM114+1):INDEX(終値!$E114:$CZ114,1,$BM114+20)))</f>
        <v>547.03107578958873</v>
      </c>
      <c r="BT114" s="500"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二番天井M形成</v>
      </c>
    </row>
    <row r="115" spans="2:72">
      <c r="B115" s="503" t="str">
        <f>IF(終値!A115="","",IF(AND(安値!G115&lt;安値!F115,安値!G115&lt;安値!E115,安値!G115&lt;安値!H115,安値!G115&lt;安値!I115),2,""))</f>
        <v/>
      </c>
      <c r="C115" s="503" t="str">
        <f>IF(終値!A115="","",IF(AND(安値!H115&lt;安値!G115,安値!H115&lt;安値!F115,安値!H115&lt;安値!I115,安値!H115&lt;安値!J115),3,""))</f>
        <v/>
      </c>
      <c r="D115" s="503" t="str">
        <f>IF(終値!A115="","",IF(AND(安値!I115&lt;安値!H115,安値!I115&lt;安値!G115,安値!I115&lt;安値!J115,安値!I115&lt;安値!K115),4,""))</f>
        <v/>
      </c>
      <c r="E115" s="503" t="str">
        <f>IF(終値!A115="","",IF(AND(安値!J115&lt;安値!I115,安値!J115&lt;安値!H115,安値!J115&lt;安値!K115,安値!J115&lt;安値!L115),5,""))</f>
        <v/>
      </c>
      <c r="F115" s="503" t="str">
        <f>IF(終値!A115="","",IF(AND(安値!K115&lt;安値!J115,安値!K115&lt;安値!I115,安値!K115&lt;安値!L115,安値!K115&lt;安値!M115),6,""))</f>
        <v/>
      </c>
      <c r="G115" s="503" t="str">
        <f>IF(終値!A115="","",IF(AND(安値!L115&lt;安値!K115,安値!L115&lt;安値!J115,安値!L115&lt;安値!M115,安値!L115&lt;安値!N115),7,""))</f>
        <v/>
      </c>
      <c r="H115" s="503" t="str">
        <f>IF(終値!A115="","",IF(AND(安値!M115&lt;安値!L115,安値!M115&lt;安値!K115,安値!M115&lt;安値!N115,安値!M115&lt;安値!O115),8,""))</f>
        <v/>
      </c>
      <c r="I115" s="503" t="str">
        <f>IF(終値!A115="","",IF(AND(安値!N115&lt;安値!M115,安値!N115&lt;安値!L115,安値!N115&lt;安値!O115,安値!N115&lt;安値!P115),9,""))</f>
        <v/>
      </c>
      <c r="J115" s="503" t="str">
        <f>IF(終値!A115="","",IF(AND(安値!O115&lt;安値!N115,安値!O115&lt;安値!M115,安値!O115&lt;安値!P115,安値!O115&lt;安値!Q115),10,""))</f>
        <v/>
      </c>
      <c r="K115" s="503" t="str">
        <f>IF(終値!A115="","",IF(AND(安値!P115&lt;安値!O115,安値!P115&lt;安値!N115,安値!P115&lt;安値!Q115,安値!P115&lt;安値!R115),11,""))</f>
        <v/>
      </c>
      <c r="L115" s="503" t="str">
        <f>IF(終値!A115="","",IF(AND(安値!Q115&lt;安値!P115,安値!Q115&lt;安値!O115,安値!Q115&lt;安値!R115,安値!Q115&lt;安値!S115),12,""))</f>
        <v/>
      </c>
      <c r="M115" s="503" t="str">
        <f>IF(終値!A115="","",IF(AND(安値!R115&lt;安値!Q115,安値!R115&lt;安値!P115,安値!R115&lt;安値!S115,安値!R115&lt;安値!T115),13,""))</f>
        <v/>
      </c>
      <c r="N115" s="503" t="str">
        <f>IF(終値!A115="","",IF(AND(安値!S115&lt;安値!R115,安値!S115&lt;安値!Q115,安値!S115&lt;安値!T115,安値!S115&lt;安値!U115),14,""))</f>
        <v/>
      </c>
      <c r="O115" s="503" t="str">
        <f>IF(終値!A115="","",IF(AND(安値!T115&lt;安値!S115,安値!T115&lt;安値!R115,安値!T115&lt;安値!U115,安値!T115&lt;安値!V115),15,""))</f>
        <v/>
      </c>
      <c r="P115" s="503">
        <f>IF(終値!A115="","",IF(AND(安値!U115&lt;安値!T115,安値!U115&lt;安値!S115,安値!U115&lt;安値!V115,安値!U115&lt;安値!W115),16,""))</f>
        <v>16</v>
      </c>
      <c r="Q115" s="503" t="str">
        <f>IF(終値!A115="","",IF(AND(安値!V115&lt;安値!U115,安値!V115&lt;安値!T115,安値!V115&lt;安値!W115,安値!V115&lt;安値!X115),17,""))</f>
        <v/>
      </c>
      <c r="R115" s="503" t="str">
        <f>IF(終値!A115="","",IF(AND(安値!W115&lt;安値!V115,安値!W115&lt;安値!U115,安値!W115&lt;安値!X115,安値!W115&lt;安値!Y115),18,""))</f>
        <v/>
      </c>
      <c r="S115" s="503" t="str">
        <f>IF(終値!A115="","",IF(AND(安値!X115&lt;安値!W115,安値!X115&lt;安値!V115,安値!X115&lt;安値!Y115,安値!X115&lt;安値!Z115),19,""))</f>
        <v/>
      </c>
      <c r="T115" s="503" t="str">
        <f>IF(終値!A115="","",IF(AND(安値!Y115&lt;安値!X115,安値!Y115&lt;安値!W115,安値!Y115&lt;安値!Z115,安値!Y115&lt;安値!AA115),20,""))</f>
        <v/>
      </c>
      <c r="U115" s="503" t="str">
        <f>IF(終値!A115="","",IF(AND(安値!Z115&lt;安値!Y115,安値!Z115&lt;安値!X115,安値!Z115&lt;安値!AA115,安値!Z115&lt;安値!AB115),21,""))</f>
        <v/>
      </c>
      <c r="V115" s="503" t="str">
        <f>IF(終値!A115="","",IF(AND(安値!AA115&lt;安値!Z115,安値!AA115&lt;安値!Y115,安値!AA115&lt;安値!AB115,安値!AA115&lt;安値!AC115),22,""))</f>
        <v/>
      </c>
      <c r="W115" s="503" t="str">
        <f>IF(終値!A115="","",IF(AND(安値!AB115&lt;安値!AA115,安値!AB115&lt;安値!Z115,安値!AB115&lt;安値!AC115,安値!AB115&lt;安値!AD115),23,""))</f>
        <v/>
      </c>
      <c r="X115" s="503">
        <f>IF(終値!A115="","",IF(AND(安値!AC115&lt;安値!AB115,安値!AC115&lt;安値!AA115,安値!AC115&lt;安値!AD115,安値!AC115&lt;安値!AE115),24,""))</f>
        <v>24</v>
      </c>
      <c r="Y115" s="503" t="str">
        <f>IF(終値!A115="","",IF(AND(安値!AD115&lt;安値!AC115,安値!AD115&lt;安値!AB115,安値!AD115&lt;安値!AE115,安値!AD115&lt;安値!AF115),25,""))</f>
        <v/>
      </c>
      <c r="Z115" s="503" t="str">
        <f>IF(終値!A115="","",IF(AND(安値!AE115&lt;安値!AD115,安値!AE115&lt;安値!AC115,安値!AE115&lt;安値!AF115,安値!AE115&lt;安値!AG115),26,""))</f>
        <v/>
      </c>
      <c r="AA115" s="503">
        <f>IF(終値!A115="","",IF(AND(安値!AF115&lt;安値!AE115,安値!AF115&lt;安値!AD115,安値!AF115&lt;安値!AG115,安値!AF115&lt;安値!AH115),27,""))</f>
        <v>27</v>
      </c>
      <c r="AB115" s="503" t="str">
        <f>IF(終値!A115="","",IF(AND(安値!AG115&lt;安値!AF115,安値!AG115&lt;安値!AE115,安値!AG115&lt;安値!AH115,安値!AG115&lt;安値!AI115),28,""))</f>
        <v/>
      </c>
      <c r="AC115" s="503" t="str">
        <f>IF(終値!A115="","",IF(AND(高値!G115&gt;高値!F115,高値!G115&gt;高値!E115,高値!G115&gt;高値!H115,高値!G115&gt;高値!I115),2,""))</f>
        <v/>
      </c>
      <c r="AD115" s="503" t="str">
        <f>IF(終値!A115="","",IF(AND(高値!H115&gt;高値!G115,高値!H115&gt;高値!F115,高値!H115&gt;高値!I115,高値!H115&gt;高値!J115),3,""))</f>
        <v/>
      </c>
      <c r="AE115" s="503" t="str">
        <f>IF(終値!A115="","",IF(AND(高値!I115&gt;高値!H115,高値!I115&gt;高値!G115,高値!I115&gt;高値!J115,高値!I115&gt;高値!K115),4,""))</f>
        <v/>
      </c>
      <c r="AF115" s="503">
        <f>IF(終値!A115="","",IF(AND(高値!J115&gt;高値!I115,高値!J115&gt;高値!H115,高値!J115&gt;高値!K115,高値!J115&gt;高値!L115),5,""))</f>
        <v>5</v>
      </c>
      <c r="AG115" s="503" t="str">
        <f>IF(終値!A115="","",IF(AND(高値!K115&gt;高値!J115,高値!K115&gt;高値!I115,高値!K115&gt;高値!L115,高値!K115&gt;高値!M115),6,""))</f>
        <v/>
      </c>
      <c r="AH115" s="503" t="str">
        <f>IF(終値!A115="","",IF(AND(高値!L115&gt;高値!K115,高値!L115&gt;高値!J115,高値!L115&gt;高値!M115,高値!L115&gt;高値!N115),7,""))</f>
        <v/>
      </c>
      <c r="AI115" s="503" t="str">
        <f>IF(終値!A115="","",IF(AND(高値!M115&gt;高値!L115,高値!M115&gt;高値!K115,高値!M115&gt;高値!N115,高値!M115&gt;高値!O115),8,""))</f>
        <v/>
      </c>
      <c r="AJ115" s="503" t="str">
        <f>IF(終値!A115="","",IF(AND(高値!N115&gt;高値!M115,高値!N115&gt;高値!L115,高値!N115&gt;高値!O115,高値!N115&gt;高値!P115),9,""))</f>
        <v/>
      </c>
      <c r="AK115" s="503" t="str">
        <f>IF(終値!A115="","",IF(AND(高値!O115&gt;高値!N115,高値!O115&gt;高値!M115,高値!O115&gt;高値!P115,高値!O115&gt;高値!Q115),10,""))</f>
        <v/>
      </c>
      <c r="AL115" s="503" t="str">
        <f>IF(終値!A115="","",IF(AND(高値!P115&gt;高値!O115,高値!P115&gt;高値!N115,高値!P115&gt;高値!Q115,高値!P115&gt;高値!R115),11,""))</f>
        <v/>
      </c>
      <c r="AM115" s="503">
        <f>IF(終値!A115="","",IF(AND(高値!Q115&gt;高値!P115,高値!Q115&gt;高値!O115,高値!Q115&gt;高値!R115,高値!Q115&gt;高値!S115),12,""))</f>
        <v>12</v>
      </c>
      <c r="AN115" s="503" t="str">
        <f>IF(終値!A115="","",IF(AND(高値!R115&gt;高値!Q115,高値!R115&gt;高値!P115,高値!R115&gt;高値!S115,高値!R115&gt;高値!T115),13,""))</f>
        <v/>
      </c>
      <c r="AO115" s="503" t="str">
        <f>IF(終値!A115="","",IF(AND(高値!S115&gt;高値!R115,高値!S115&gt;高値!Q115,高値!S115&gt;高値!T115,高値!S115&gt;高値!U115),14,""))</f>
        <v/>
      </c>
      <c r="AP115" s="503" t="str">
        <f>IF(終値!A115="","",IF(AND(高値!T115&gt;高値!S115,高値!T115&gt;高値!R115,高値!T115&gt;高値!U115,高値!T115&gt;高値!V115),15,""))</f>
        <v/>
      </c>
      <c r="AQ115" s="503" t="str">
        <f>IF(終値!A115="","",IF(AND(高値!U115&gt;高値!T115,高値!U115&gt;高値!S115,高値!U115&gt;高値!V115,高値!U115&gt;高値!W115),16,""))</f>
        <v/>
      </c>
      <c r="AR115" s="503" t="str">
        <f>IF(終値!A115="","",IF(AND(高値!V115&gt;高値!U115,高値!V115&gt;高値!T115,高値!V115&gt;高値!W115,高値!V115&gt;高値!X115),17,""))</f>
        <v/>
      </c>
      <c r="AS115" s="503" t="str">
        <f>IF(終値!A115="","",IF(AND(高値!W115&gt;高値!V115,高値!W115&gt;高値!U115,高値!W115&gt;高値!X115,高値!W115&gt;高値!Y115),18,""))</f>
        <v/>
      </c>
      <c r="AT115" s="503" t="str">
        <f>IF(終値!A115="","",IF(AND(高値!X115&gt;高値!W115,高値!X115&gt;高値!V115,高値!X115&gt;高値!Y115,高値!X115&gt;高値!Z115),19,""))</f>
        <v/>
      </c>
      <c r="AU115" s="503" t="str">
        <f>IF(終値!A115="","",IF(AND(高値!Y115&gt;高値!X115,高値!Y115&gt;高値!W115,高値!Y115&gt;高値!Z115,高値!Y115&gt;高値!AA115),20,""))</f>
        <v/>
      </c>
      <c r="AV115" s="503">
        <f>IF(終値!A115="","",IF(AND(高値!Z115&gt;高値!Y115,高値!Z115&gt;高値!X115,高値!Z115&gt;高値!AA115,高値!Z115&gt;高値!AB115),21,""))</f>
        <v>21</v>
      </c>
      <c r="AW115" s="503" t="str">
        <f>IF(終値!A115="","",IF(AND(高値!AA115&gt;高値!Z115,高値!AA115&gt;高値!Y115,高値!AA115&gt;高値!AB115,高値!AA115&gt;高値!AC115),22,""))</f>
        <v/>
      </c>
      <c r="AX115" s="503" t="str">
        <f>IF(終値!A115="","",IF(AND(高値!AB115&gt;高値!AA115,高値!AB115&gt;高値!Z115,高値!AB115&gt;高値!AC115,高値!AB115&gt;高値!AD115),23,""))</f>
        <v/>
      </c>
      <c r="AY115" s="503" t="str">
        <f>IF(終値!A115="","",IF(AND(高値!AC115&gt;高値!AB115,高値!AC115&gt;高値!AA115,高値!AC115&gt;高値!AD115,高値!AC115&gt;高値!AE115),24,""))</f>
        <v/>
      </c>
      <c r="AZ115" s="503">
        <f>IF(終値!A115="","",IF(AND(高値!AD115&gt;高値!AC115,高値!AD115&gt;高値!AB115,高値!AD115&gt;高値!AE115,高値!AD115&gt;高値!AF115),25,""))</f>
        <v>25</v>
      </c>
      <c r="BA115" s="503" t="str">
        <f>IF(終値!A115="","",IF(AND(高値!AE115&gt;高値!AD115,高値!AE115&gt;高値!AC115,高値!AE115&gt;高値!AF115,高値!AE115&gt;高値!AG115),26,""))</f>
        <v/>
      </c>
      <c r="BB115" s="503" t="str">
        <f>IF(終値!A115="","",IF(AND(高値!AF115&gt;高値!AE115,高値!AF115&gt;高値!AD115,高値!AF115&gt;高値!AG115,高値!AF115&gt;高値!AH115),27,""))</f>
        <v/>
      </c>
      <c r="BC115" s="503" t="str">
        <f>IF(終値!A115="","",IF(AND(高値!AG115&gt;高値!AF115,高値!AG115&gt;高値!AE115,高値!AG115&gt;高値!AH115,高値!AG115&gt;高値!AI115),28,""))</f>
        <v/>
      </c>
      <c r="BD115" s="503">
        <f t="shared" si="6"/>
        <v>3</v>
      </c>
      <c r="BE115" s="503">
        <f t="shared" si="7"/>
        <v>16</v>
      </c>
      <c r="BF115" s="503">
        <f t="shared" si="8"/>
        <v>24</v>
      </c>
      <c r="BG115" s="503">
        <f>IF($BE115="","",INDEX(安値!$E115:$CZ115,1,$BE115+1))</f>
        <v>5905</v>
      </c>
      <c r="BH115" s="503">
        <f>IF($BF115="","",INDEX(安値!$E115:$CZ115,1,$BF115+1))</f>
        <v>5896</v>
      </c>
      <c r="BI115" s="503">
        <f>IF($BF115="","",MAX(INDEX(高値!$E115:$CZ115,1,$BE115+1):INDEX(高値!$E115:$CZ115,1,$BF115+1)))</f>
        <v>6192</v>
      </c>
      <c r="BJ115" s="503">
        <f>IF($BF115="","",AVERAGE(INDEX(終値!$E115:$CZ115,1,$BF115+1):INDEX(終値!$E115:$CZ115,1,$BF115+20))-2*STDEVP(INDEX(終値!$E115:$CZ115,1,$BF115+1):INDEX(終値!$E115:$CZ115,1,$BF115+20)))</f>
        <v>6006.46085061554</v>
      </c>
      <c r="BK115" s="503">
        <f>IF($BE115="","",AVERAGE(INDEX(終値!$E115:$CZ115,1,$BE115+1):INDEX(終値!$E115:$CZ115,1,$BE115+20))-2*STDEVP(INDEX(終値!$E115:$CZ115,1,$BE115+1):INDEX(終値!$E115:$CZ115,1,$BE115+20)))</f>
        <v>5938.2441128370065</v>
      </c>
      <c r="BL115" s="503">
        <f t="shared" si="9"/>
        <v>4</v>
      </c>
      <c r="BM115" s="503">
        <f t="shared" si="10"/>
        <v>5</v>
      </c>
      <c r="BN115" s="503">
        <f t="shared" si="11"/>
        <v>12</v>
      </c>
      <c r="BO115" s="503">
        <f>IF($BM115="","",INDEX(高値!$E115:$CZ115,1,$BM115+1))</f>
        <v>6386</v>
      </c>
      <c r="BP115" s="503">
        <f>IF($BN115="","",INDEX(高値!$E115:$CZ115,1,$BN115+1))</f>
        <v>6206</v>
      </c>
      <c r="BQ115" s="503">
        <f>IF($BN115="","",MIN(INDEX(安値!$E115:$CZ115,1,$BM115+1):INDEX(安値!$E115:$CZ115,1,$BN115+1)))</f>
        <v>6089</v>
      </c>
      <c r="BR115" s="503">
        <f>IF($BN115="","",AVERAGE(INDEX(終値!$E115:$CZ115,1,$BN115+1):INDEX(終値!$E115:$CZ115,1,$BN115+20))+2*STDEVP(INDEX(終値!$E115:$CZ115,1,$BN115+1):INDEX(終値!$E115:$CZ115,1,$BN115+20)))</f>
        <v>6228.2973972370746</v>
      </c>
      <c r="BS115" s="503">
        <f>IF($BM115="","",AVERAGE(INDEX(終値!$E115:$CZ115,1,$BM115+1):INDEX(終値!$E115:$CZ115,1,$BM115+20))+2*STDEVP(INDEX(終値!$E115:$CZ115,1,$BM115+1):INDEX(終値!$E115:$CZ115,1,$BM115+20)))</f>
        <v>6326.543227077299</v>
      </c>
      <c r="BT115" s="500"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二番底W形成</v>
      </c>
    </row>
    <row r="116" spans="2:72">
      <c r="B116" s="503" t="str">
        <f>IF(終値!A116="","",IF(AND(安値!G116&lt;安値!F116,安値!G116&lt;安値!E116,安値!G116&lt;安値!H116,安値!G116&lt;安値!I116),2,""))</f>
        <v/>
      </c>
      <c r="C116" s="503">
        <f>IF(終値!A116="","",IF(AND(安値!H116&lt;安値!G116,安値!H116&lt;安値!F116,安値!H116&lt;安値!I116,安値!H116&lt;安値!J116),3,""))</f>
        <v>3</v>
      </c>
      <c r="D116" s="503" t="str">
        <f>IF(終値!A116="","",IF(AND(安値!I116&lt;安値!H116,安値!I116&lt;安値!G116,安値!I116&lt;安値!J116,安値!I116&lt;安値!K116),4,""))</f>
        <v/>
      </c>
      <c r="E116" s="503" t="str">
        <f>IF(終値!A116="","",IF(AND(安値!J116&lt;安値!I116,安値!J116&lt;安値!H116,安値!J116&lt;安値!K116,安値!J116&lt;安値!L116),5,""))</f>
        <v/>
      </c>
      <c r="F116" s="503" t="str">
        <f>IF(終値!A116="","",IF(AND(安値!K116&lt;安値!J116,安値!K116&lt;安値!I116,安値!K116&lt;安値!L116,安値!K116&lt;安値!M116),6,""))</f>
        <v/>
      </c>
      <c r="G116" s="503" t="str">
        <f>IF(終値!A116="","",IF(AND(安値!L116&lt;安値!K116,安値!L116&lt;安値!J116,安値!L116&lt;安値!M116,安値!L116&lt;安値!N116),7,""))</f>
        <v/>
      </c>
      <c r="H116" s="503" t="str">
        <f>IF(終値!A116="","",IF(AND(安値!M116&lt;安値!L116,安値!M116&lt;安値!K116,安値!M116&lt;安値!N116,安値!M116&lt;安値!O116),8,""))</f>
        <v/>
      </c>
      <c r="I116" s="503">
        <f>IF(終値!A116="","",IF(AND(安値!N116&lt;安値!M116,安値!N116&lt;安値!L116,安値!N116&lt;安値!O116,安値!N116&lt;安値!P116),9,""))</f>
        <v>9</v>
      </c>
      <c r="J116" s="503" t="str">
        <f>IF(終値!A116="","",IF(AND(安値!O116&lt;安値!N116,安値!O116&lt;安値!M116,安値!O116&lt;安値!P116,安値!O116&lt;安値!Q116),10,""))</f>
        <v/>
      </c>
      <c r="K116" s="503" t="str">
        <f>IF(終値!A116="","",IF(AND(安値!P116&lt;安値!O116,安値!P116&lt;安値!N116,安値!P116&lt;安値!Q116,安値!P116&lt;安値!R116),11,""))</f>
        <v/>
      </c>
      <c r="L116" s="503" t="str">
        <f>IF(終値!A116="","",IF(AND(安値!Q116&lt;安値!P116,安値!Q116&lt;安値!O116,安値!Q116&lt;安値!R116,安値!Q116&lt;安値!S116),12,""))</f>
        <v/>
      </c>
      <c r="M116" s="503" t="str">
        <f>IF(終値!A116="","",IF(AND(安値!R116&lt;安値!Q116,安値!R116&lt;安値!P116,安値!R116&lt;安値!S116,安値!R116&lt;安値!T116),13,""))</f>
        <v/>
      </c>
      <c r="N116" s="503" t="str">
        <f>IF(終値!A116="","",IF(AND(安値!S116&lt;安値!R116,安値!S116&lt;安値!Q116,安値!S116&lt;安値!T116,安値!S116&lt;安値!U116),14,""))</f>
        <v/>
      </c>
      <c r="O116" s="503">
        <f>IF(終値!A116="","",IF(AND(安値!T116&lt;安値!S116,安値!T116&lt;安値!R116,安値!T116&lt;安値!U116,安値!T116&lt;安値!V116),15,""))</f>
        <v>15</v>
      </c>
      <c r="P116" s="503" t="str">
        <f>IF(終値!A116="","",IF(AND(安値!U116&lt;安値!T116,安値!U116&lt;安値!S116,安値!U116&lt;安値!V116,安値!U116&lt;安値!W116),16,""))</f>
        <v/>
      </c>
      <c r="Q116" s="503" t="str">
        <f>IF(終値!A116="","",IF(AND(安値!V116&lt;安値!U116,安値!V116&lt;安値!T116,安値!V116&lt;安値!W116,安値!V116&lt;安値!X116),17,""))</f>
        <v/>
      </c>
      <c r="R116" s="503" t="str">
        <f>IF(終値!A116="","",IF(AND(安値!W116&lt;安値!V116,安値!W116&lt;安値!U116,安値!W116&lt;安値!X116,安値!W116&lt;安値!Y116),18,""))</f>
        <v/>
      </c>
      <c r="S116" s="503" t="str">
        <f>IF(終値!A116="","",IF(AND(安値!X116&lt;安値!W116,安値!X116&lt;安値!V116,安値!X116&lt;安値!Y116,安値!X116&lt;安値!Z116),19,""))</f>
        <v/>
      </c>
      <c r="T116" s="503" t="str">
        <f>IF(終値!A116="","",IF(AND(安値!Y116&lt;安値!X116,安値!Y116&lt;安値!W116,安値!Y116&lt;安値!Z116,安値!Y116&lt;安値!AA116),20,""))</f>
        <v/>
      </c>
      <c r="U116" s="503" t="str">
        <f>IF(終値!A116="","",IF(AND(安値!Z116&lt;安値!Y116,安値!Z116&lt;安値!X116,安値!Z116&lt;安値!AA116,安値!Z116&lt;安値!AB116),21,""))</f>
        <v/>
      </c>
      <c r="V116" s="503" t="str">
        <f>IF(終値!A116="","",IF(AND(安値!AA116&lt;安値!Z116,安値!AA116&lt;安値!Y116,安値!AA116&lt;安値!AB116,安値!AA116&lt;安値!AC116),22,""))</f>
        <v/>
      </c>
      <c r="W116" s="503" t="str">
        <f>IF(終値!A116="","",IF(AND(安値!AB116&lt;安値!AA116,安値!AB116&lt;安値!Z116,安値!AB116&lt;安値!AC116,安値!AB116&lt;安値!AD116),23,""))</f>
        <v/>
      </c>
      <c r="X116" s="503">
        <f>IF(終値!A116="","",IF(AND(安値!AC116&lt;安値!AB116,安値!AC116&lt;安値!AA116,安値!AC116&lt;安値!AD116,安値!AC116&lt;安値!AE116),24,""))</f>
        <v>24</v>
      </c>
      <c r="Y116" s="503" t="str">
        <f>IF(終値!A116="","",IF(AND(安値!AD116&lt;安値!AC116,安値!AD116&lt;安値!AB116,安値!AD116&lt;安値!AE116,安値!AD116&lt;安値!AF116),25,""))</f>
        <v/>
      </c>
      <c r="Z116" s="503" t="str">
        <f>IF(終値!A116="","",IF(AND(安値!AE116&lt;安値!AD116,安値!AE116&lt;安値!AC116,安値!AE116&lt;安値!AF116,安値!AE116&lt;安値!AG116),26,""))</f>
        <v/>
      </c>
      <c r="AA116" s="503" t="str">
        <f>IF(終値!A116="","",IF(AND(安値!AF116&lt;安値!AE116,安値!AF116&lt;安値!AD116,安値!AF116&lt;安値!AG116,安値!AF116&lt;安値!AH116),27,""))</f>
        <v/>
      </c>
      <c r="AB116" s="503" t="str">
        <f>IF(終値!A116="","",IF(AND(安値!AG116&lt;安値!AF116,安値!AG116&lt;安値!AE116,安値!AG116&lt;安値!AH116,安値!AG116&lt;安値!AI116),28,""))</f>
        <v/>
      </c>
      <c r="AC116" s="503" t="str">
        <f>IF(終値!A116="","",IF(AND(高値!G116&gt;高値!F116,高値!G116&gt;高値!E116,高値!G116&gt;高値!H116,高値!G116&gt;高値!I116),2,""))</f>
        <v/>
      </c>
      <c r="AD116" s="503" t="str">
        <f>IF(終値!A116="","",IF(AND(高値!H116&gt;高値!G116,高値!H116&gt;高値!F116,高値!H116&gt;高値!I116,高値!H116&gt;高値!J116),3,""))</f>
        <v/>
      </c>
      <c r="AE116" s="503" t="str">
        <f>IF(終値!A116="","",IF(AND(高値!I116&gt;高値!H116,高値!I116&gt;高値!G116,高値!I116&gt;高値!J116,高値!I116&gt;高値!K116),4,""))</f>
        <v/>
      </c>
      <c r="AF116" s="503" t="str">
        <f>IF(終値!A116="","",IF(AND(高値!J116&gt;高値!I116,高値!J116&gt;高値!H116,高値!J116&gt;高値!K116,高値!J116&gt;高値!L116),5,""))</f>
        <v/>
      </c>
      <c r="AG116" s="503">
        <f>IF(終値!A116="","",IF(AND(高値!K116&gt;高値!J116,高値!K116&gt;高値!I116,高値!K116&gt;高値!L116,高値!K116&gt;高値!M116),6,""))</f>
        <v>6</v>
      </c>
      <c r="AH116" s="503" t="str">
        <f>IF(終値!A116="","",IF(AND(高値!L116&gt;高値!K116,高値!L116&gt;高値!J116,高値!L116&gt;高値!M116,高値!L116&gt;高値!N116),7,""))</f>
        <v/>
      </c>
      <c r="AI116" s="503" t="str">
        <f>IF(終値!A116="","",IF(AND(高値!M116&gt;高値!L116,高値!M116&gt;高値!K116,高値!M116&gt;高値!N116,高値!M116&gt;高値!O116),8,""))</f>
        <v/>
      </c>
      <c r="AJ116" s="503" t="str">
        <f>IF(終値!A116="","",IF(AND(高値!N116&gt;高値!M116,高値!N116&gt;高値!L116,高値!N116&gt;高値!O116,高値!N116&gt;高値!P116),9,""))</f>
        <v/>
      </c>
      <c r="AK116" s="503" t="str">
        <f>IF(終値!A116="","",IF(AND(高値!O116&gt;高値!N116,高値!O116&gt;高値!M116,高値!O116&gt;高値!P116,高値!O116&gt;高値!Q116),10,""))</f>
        <v/>
      </c>
      <c r="AL116" s="503" t="str">
        <f>IF(終値!A116="","",IF(AND(高値!P116&gt;高値!O116,高値!P116&gt;高値!N116,高値!P116&gt;高値!Q116,高値!P116&gt;高値!R116),11,""))</f>
        <v/>
      </c>
      <c r="AM116" s="503">
        <f>IF(終値!A116="","",IF(AND(高値!Q116&gt;高値!P116,高値!Q116&gt;高値!O116,高値!Q116&gt;高値!R116,高値!Q116&gt;高値!S116),12,""))</f>
        <v>12</v>
      </c>
      <c r="AN116" s="503" t="str">
        <f>IF(終値!A116="","",IF(AND(高値!R116&gt;高値!Q116,高値!R116&gt;高値!P116,高値!R116&gt;高値!S116,高値!R116&gt;高値!T116),13,""))</f>
        <v/>
      </c>
      <c r="AO116" s="503" t="str">
        <f>IF(終値!A116="","",IF(AND(高値!S116&gt;高値!R116,高値!S116&gt;高値!Q116,高値!S116&gt;高値!T116,高値!S116&gt;高値!U116),14,""))</f>
        <v/>
      </c>
      <c r="AP116" s="503" t="str">
        <f>IF(終値!A116="","",IF(AND(高値!T116&gt;高値!S116,高値!T116&gt;高値!R116,高値!T116&gt;高値!U116,高値!T116&gt;高値!V116),15,""))</f>
        <v/>
      </c>
      <c r="AQ116" s="503" t="str">
        <f>IF(終値!A116="","",IF(AND(高値!U116&gt;高値!T116,高値!U116&gt;高値!S116,高値!U116&gt;高値!V116,高値!U116&gt;高値!W116),16,""))</f>
        <v/>
      </c>
      <c r="AR116" s="503" t="str">
        <f>IF(終値!A116="","",IF(AND(高値!V116&gt;高値!U116,高値!V116&gt;高値!T116,高値!V116&gt;高値!W116,高値!V116&gt;高値!X116),17,""))</f>
        <v/>
      </c>
      <c r="AS116" s="503" t="str">
        <f>IF(終値!A116="","",IF(AND(高値!W116&gt;高値!V116,高値!W116&gt;高値!U116,高値!W116&gt;高値!X116,高値!W116&gt;高値!Y116),18,""))</f>
        <v/>
      </c>
      <c r="AT116" s="503">
        <f>IF(終値!A116="","",IF(AND(高値!X116&gt;高値!W116,高値!X116&gt;高値!V116,高値!X116&gt;高値!Y116,高値!X116&gt;高値!Z116),19,""))</f>
        <v>19</v>
      </c>
      <c r="AU116" s="503" t="str">
        <f>IF(終値!A116="","",IF(AND(高値!Y116&gt;高値!X116,高値!Y116&gt;高値!W116,高値!Y116&gt;高値!Z116,高値!Y116&gt;高値!AA116),20,""))</f>
        <v/>
      </c>
      <c r="AV116" s="503" t="str">
        <f>IF(終値!A116="","",IF(AND(高値!Z116&gt;高値!Y116,高値!Z116&gt;高値!X116,高値!Z116&gt;高値!AA116,高値!Z116&gt;高値!AB116),21,""))</f>
        <v/>
      </c>
      <c r="AW116" s="503" t="str">
        <f>IF(終値!A116="","",IF(AND(高値!AA116&gt;高値!Z116,高値!AA116&gt;高値!Y116,高値!AA116&gt;高値!AB116,高値!AA116&gt;高値!AC116),22,""))</f>
        <v/>
      </c>
      <c r="AX116" s="503" t="str">
        <f>IF(終値!A116="","",IF(AND(高値!AB116&gt;高値!AA116,高値!AB116&gt;高値!Z116,高値!AB116&gt;高値!AC116,高値!AB116&gt;高値!AD116),23,""))</f>
        <v/>
      </c>
      <c r="AY116" s="503" t="str">
        <f>IF(終値!A116="","",IF(AND(高値!AC116&gt;高値!AB116,高値!AC116&gt;高値!AA116,高値!AC116&gt;高値!AD116,高値!AC116&gt;高値!AE116),24,""))</f>
        <v/>
      </c>
      <c r="AZ116" s="503" t="str">
        <f>IF(終値!A116="","",IF(AND(高値!AD116&gt;高値!AC116,高値!AD116&gt;高値!AB116,高値!AD116&gt;高値!AE116,高値!AD116&gt;高値!AF116),25,""))</f>
        <v/>
      </c>
      <c r="BA116" s="503">
        <f>IF(終値!A116="","",IF(AND(高値!AE116&gt;高値!AD116,高値!AE116&gt;高値!AC116,高値!AE116&gt;高値!AF116,高値!AE116&gt;高値!AG116),26,""))</f>
        <v>26</v>
      </c>
      <c r="BB116" s="503" t="str">
        <f>IF(終値!A116="","",IF(AND(高値!AF116&gt;高値!AE116,高値!AF116&gt;高値!AD116,高値!AF116&gt;高値!AG116,高値!AF116&gt;高値!AH116),27,""))</f>
        <v/>
      </c>
      <c r="BC116" s="503" t="str">
        <f>IF(終値!A116="","",IF(AND(高値!AG116&gt;高値!AF116,高値!AG116&gt;高値!AE116,高値!AG116&gt;高値!AH116,高値!AG116&gt;高値!AI116),28,""))</f>
        <v/>
      </c>
      <c r="BD116" s="503">
        <f t="shared" si="6"/>
        <v>4</v>
      </c>
      <c r="BE116" s="503">
        <f t="shared" si="7"/>
        <v>3</v>
      </c>
      <c r="BF116" s="503">
        <f t="shared" si="8"/>
        <v>9</v>
      </c>
      <c r="BG116" s="503">
        <f>IF($BE116="","",INDEX(安値!$E116:$CZ116,1,$BE116+1))</f>
        <v>1706</v>
      </c>
      <c r="BH116" s="503">
        <f>IF($BF116="","",INDEX(安値!$E116:$CZ116,1,$BF116+1))</f>
        <v>1765</v>
      </c>
      <c r="BI116" s="503">
        <f>IF($BF116="","",MAX(INDEX(高値!$E116:$CZ116,1,$BE116+1):INDEX(高値!$E116:$CZ116,1,$BF116+1)))</f>
        <v>1891</v>
      </c>
      <c r="BJ116" s="503">
        <f>IF($BF116="","",AVERAGE(INDEX(終値!$E116:$CZ116,1,$BF116+1):INDEX(終値!$E116:$CZ116,1,$BF116+20))-2*STDEVP(INDEX(終値!$E116:$CZ116,1,$BF116+1):INDEX(終値!$E116:$CZ116,1,$BF116+20)))</f>
        <v>1740.2082016513853</v>
      </c>
      <c r="BK116" s="503">
        <f>IF($BE116="","",AVERAGE(INDEX(終値!$E116:$CZ116,1,$BE116+1):INDEX(終値!$E116:$CZ116,1,$BE116+20))-2*STDEVP(INDEX(終値!$E116:$CZ116,1,$BE116+1):INDEX(終値!$E116:$CZ116,1,$BE116+20)))</f>
        <v>1758.2588390414871</v>
      </c>
      <c r="BL116" s="503">
        <f t="shared" si="9"/>
        <v>4</v>
      </c>
      <c r="BM116" s="503">
        <f t="shared" si="10"/>
        <v>6</v>
      </c>
      <c r="BN116" s="503">
        <f t="shared" si="11"/>
        <v>12</v>
      </c>
      <c r="BO116" s="503">
        <f>IF($BM116="","",INDEX(高値!$E116:$CZ116,1,$BM116+1))</f>
        <v>1891</v>
      </c>
      <c r="BP116" s="503">
        <f>IF($BN116="","",INDEX(高値!$E116:$CZ116,1,$BN116+1))</f>
        <v>1857</v>
      </c>
      <c r="BQ116" s="503">
        <f>IF($BN116="","",MIN(INDEX(安値!$E116:$CZ116,1,$BM116+1):INDEX(安値!$E116:$CZ116,1,$BN116+1)))</f>
        <v>1765</v>
      </c>
      <c r="BR116" s="503">
        <f>IF($BN116="","",AVERAGE(INDEX(終値!$E116:$CZ116,1,$BN116+1):INDEX(終値!$E116:$CZ116,1,$BN116+20))+2*STDEVP(INDEX(終値!$E116:$CZ116,1,$BN116+1):INDEX(終値!$E116:$CZ116,1,$BN116+20)))</f>
        <v>1856.6147042517721</v>
      </c>
      <c r="BS116" s="503">
        <f>IF($BM116="","",AVERAGE(INDEX(終値!$E116:$CZ116,1,$BM116+1):INDEX(終値!$E116:$CZ116,1,$BM116+20))+2*STDEVP(INDEX(終値!$E116:$CZ116,1,$BM116+1):INDEX(終値!$E116:$CZ116,1,$BM116+20)))</f>
        <v>1873.414354233747</v>
      </c>
      <c r="BT116" s="500"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二番底W形成</v>
      </c>
    </row>
    <row r="117" spans="2:72">
      <c r="B117" s="503" t="str">
        <f>IF(終値!A117="","",IF(AND(安値!G117&lt;安値!F117,安値!G117&lt;安値!E117,安値!G117&lt;安値!H117,安値!G117&lt;安値!I117),2,""))</f>
        <v/>
      </c>
      <c r="C117" s="503">
        <f>IF(終値!A117="","",IF(AND(安値!H117&lt;安値!G117,安値!H117&lt;安値!F117,安値!H117&lt;安値!I117,安値!H117&lt;安値!J117),3,""))</f>
        <v>3</v>
      </c>
      <c r="D117" s="503" t="str">
        <f>IF(終値!A117="","",IF(AND(安値!I117&lt;安値!H117,安値!I117&lt;安値!G117,安値!I117&lt;安値!J117,安値!I117&lt;安値!K117),4,""))</f>
        <v/>
      </c>
      <c r="E117" s="503" t="str">
        <f>IF(終値!A117="","",IF(AND(安値!J117&lt;安値!I117,安値!J117&lt;安値!H117,安値!J117&lt;安値!K117,安値!J117&lt;安値!L117),5,""))</f>
        <v/>
      </c>
      <c r="F117" s="503" t="str">
        <f>IF(終値!A117="","",IF(AND(安値!K117&lt;安値!J117,安値!K117&lt;安値!I117,安値!K117&lt;安値!L117,安値!K117&lt;安値!M117),6,""))</f>
        <v/>
      </c>
      <c r="G117" s="503" t="str">
        <f>IF(終値!A117="","",IF(AND(安値!L117&lt;安値!K117,安値!L117&lt;安値!J117,安値!L117&lt;安値!M117,安値!L117&lt;安値!N117),7,""))</f>
        <v/>
      </c>
      <c r="H117" s="503" t="str">
        <f>IF(終値!A117="","",IF(AND(安値!M117&lt;安値!L117,安値!M117&lt;安値!K117,安値!M117&lt;安値!N117,安値!M117&lt;安値!O117),8,""))</f>
        <v/>
      </c>
      <c r="I117" s="503" t="str">
        <f>IF(終値!A117="","",IF(AND(安値!N117&lt;安値!M117,安値!N117&lt;安値!L117,安値!N117&lt;安値!O117,安値!N117&lt;安値!P117),9,""))</f>
        <v/>
      </c>
      <c r="J117" s="503" t="str">
        <f>IF(終値!A117="","",IF(AND(安値!O117&lt;安値!N117,安値!O117&lt;安値!M117,安値!O117&lt;安値!P117,安値!O117&lt;安値!Q117),10,""))</f>
        <v/>
      </c>
      <c r="K117" s="503" t="str">
        <f>IF(終値!A117="","",IF(AND(安値!P117&lt;安値!O117,安値!P117&lt;安値!N117,安値!P117&lt;安値!Q117,安値!P117&lt;安値!R117),11,""))</f>
        <v/>
      </c>
      <c r="L117" s="503" t="str">
        <f>IF(終値!A117="","",IF(AND(安値!Q117&lt;安値!P117,安値!Q117&lt;安値!O117,安値!Q117&lt;安値!R117,安値!Q117&lt;安値!S117),12,""))</f>
        <v/>
      </c>
      <c r="M117" s="503">
        <f>IF(終値!A117="","",IF(AND(安値!R117&lt;安値!Q117,安値!R117&lt;安値!P117,安値!R117&lt;安値!S117,安値!R117&lt;安値!T117),13,""))</f>
        <v>13</v>
      </c>
      <c r="N117" s="503" t="str">
        <f>IF(終値!A117="","",IF(AND(安値!S117&lt;安値!R117,安値!S117&lt;安値!Q117,安値!S117&lt;安値!T117,安値!S117&lt;安値!U117),14,""))</f>
        <v/>
      </c>
      <c r="O117" s="503" t="str">
        <f>IF(終値!A117="","",IF(AND(安値!T117&lt;安値!S117,安値!T117&lt;安値!R117,安値!T117&lt;安値!U117,安値!T117&lt;安値!V117),15,""))</f>
        <v/>
      </c>
      <c r="P117" s="503" t="str">
        <f>IF(終値!A117="","",IF(AND(安値!U117&lt;安値!T117,安値!U117&lt;安値!S117,安値!U117&lt;安値!V117,安値!U117&lt;安値!W117),16,""))</f>
        <v/>
      </c>
      <c r="Q117" s="503" t="str">
        <f>IF(終値!A117="","",IF(AND(安値!V117&lt;安値!U117,安値!V117&lt;安値!T117,安値!V117&lt;安値!W117,安値!V117&lt;安値!X117),17,""))</f>
        <v/>
      </c>
      <c r="R117" s="503" t="str">
        <f>IF(終値!A117="","",IF(AND(安値!W117&lt;安値!V117,安値!W117&lt;安値!U117,安値!W117&lt;安値!X117,安値!W117&lt;安値!Y117),18,""))</f>
        <v/>
      </c>
      <c r="S117" s="503" t="str">
        <f>IF(終値!A117="","",IF(AND(安値!X117&lt;安値!W117,安値!X117&lt;安値!V117,安値!X117&lt;安値!Y117,安値!X117&lt;安値!Z117),19,""))</f>
        <v/>
      </c>
      <c r="T117" s="503" t="str">
        <f>IF(終値!A117="","",IF(AND(安値!Y117&lt;安値!X117,安値!Y117&lt;安値!W117,安値!Y117&lt;安値!Z117,安値!Y117&lt;安値!AA117),20,""))</f>
        <v/>
      </c>
      <c r="U117" s="503" t="str">
        <f>IF(終値!A117="","",IF(AND(安値!Z117&lt;安値!Y117,安値!Z117&lt;安値!X117,安値!Z117&lt;安値!AA117,安値!Z117&lt;安値!AB117),21,""))</f>
        <v/>
      </c>
      <c r="V117" s="503" t="str">
        <f>IF(終値!A117="","",IF(AND(安値!AA117&lt;安値!Z117,安値!AA117&lt;安値!Y117,安値!AA117&lt;安値!AB117,安値!AA117&lt;安値!AC117),22,""))</f>
        <v/>
      </c>
      <c r="W117" s="503" t="str">
        <f>IF(終値!A117="","",IF(AND(安値!AB117&lt;安値!AA117,安値!AB117&lt;安値!Z117,安値!AB117&lt;安値!AC117,安値!AB117&lt;安値!AD117),23,""))</f>
        <v/>
      </c>
      <c r="X117" s="503" t="str">
        <f>IF(終値!A117="","",IF(AND(安値!AC117&lt;安値!AB117,安値!AC117&lt;安値!AA117,安値!AC117&lt;安値!AD117,安値!AC117&lt;安値!AE117),24,""))</f>
        <v/>
      </c>
      <c r="Y117" s="503" t="str">
        <f>IF(終値!A117="","",IF(AND(安値!AD117&lt;安値!AC117,安値!AD117&lt;安値!AB117,安値!AD117&lt;安値!AE117,安値!AD117&lt;安値!AF117),25,""))</f>
        <v/>
      </c>
      <c r="Z117" s="503" t="str">
        <f>IF(終値!A117="","",IF(AND(安値!AE117&lt;安値!AD117,安値!AE117&lt;安値!AC117,安値!AE117&lt;安値!AF117,安値!AE117&lt;安値!AG117),26,""))</f>
        <v/>
      </c>
      <c r="AA117" s="503" t="str">
        <f>IF(終値!A117="","",IF(AND(安値!AF117&lt;安値!AE117,安値!AF117&lt;安値!AD117,安値!AF117&lt;安値!AG117,安値!AF117&lt;安値!AH117),27,""))</f>
        <v/>
      </c>
      <c r="AB117" s="503">
        <f>IF(終値!A117="","",IF(AND(安値!AG117&lt;安値!AF117,安値!AG117&lt;安値!AE117,安値!AG117&lt;安値!AH117,安値!AG117&lt;安値!AI117),28,""))</f>
        <v>28</v>
      </c>
      <c r="AC117" s="503" t="str">
        <f>IF(終値!A117="","",IF(AND(高値!G117&gt;高値!F117,高値!G117&gt;高値!E117,高値!G117&gt;高値!H117,高値!G117&gt;高値!I117),2,""))</f>
        <v/>
      </c>
      <c r="AD117" s="503" t="str">
        <f>IF(終値!A117="","",IF(AND(高値!H117&gt;高値!G117,高値!H117&gt;高値!F117,高値!H117&gt;高値!I117,高値!H117&gt;高値!J117),3,""))</f>
        <v/>
      </c>
      <c r="AE117" s="503" t="str">
        <f>IF(終値!A117="","",IF(AND(高値!I117&gt;高値!H117,高値!I117&gt;高値!G117,高値!I117&gt;高値!J117,高値!I117&gt;高値!K117),4,""))</f>
        <v/>
      </c>
      <c r="AF117" s="503" t="str">
        <f>IF(終値!A117="","",IF(AND(高値!J117&gt;高値!I117,高値!J117&gt;高値!H117,高値!J117&gt;高値!K117,高値!J117&gt;高値!L117),5,""))</f>
        <v/>
      </c>
      <c r="AG117" s="503" t="str">
        <f>IF(終値!A117="","",IF(AND(高値!K117&gt;高値!J117,高値!K117&gt;高値!I117,高値!K117&gt;高値!L117,高値!K117&gt;高値!M117),6,""))</f>
        <v/>
      </c>
      <c r="AH117" s="503" t="str">
        <f>IF(終値!A117="","",IF(AND(高値!L117&gt;高値!K117,高値!L117&gt;高値!J117,高値!L117&gt;高値!M117,高値!L117&gt;高値!N117),7,""))</f>
        <v/>
      </c>
      <c r="AI117" s="503" t="str">
        <f>IF(終値!A117="","",IF(AND(高値!M117&gt;高値!L117,高値!M117&gt;高値!K117,高値!M117&gt;高値!N117,高値!M117&gt;高値!O117),8,""))</f>
        <v/>
      </c>
      <c r="AJ117" s="503" t="str">
        <f>IF(終値!A117="","",IF(AND(高値!N117&gt;高値!M117,高値!N117&gt;高値!L117,高値!N117&gt;高値!O117,高値!N117&gt;高値!P117),9,""))</f>
        <v/>
      </c>
      <c r="AK117" s="503">
        <f>IF(終値!A117="","",IF(AND(高値!O117&gt;高値!N117,高値!O117&gt;高値!M117,高値!O117&gt;高値!P117,高値!O117&gt;高値!Q117),10,""))</f>
        <v>10</v>
      </c>
      <c r="AL117" s="503" t="str">
        <f>IF(終値!A117="","",IF(AND(高値!P117&gt;高値!O117,高値!P117&gt;高値!N117,高値!P117&gt;高値!Q117,高値!P117&gt;高値!R117),11,""))</f>
        <v/>
      </c>
      <c r="AM117" s="503" t="str">
        <f>IF(終値!A117="","",IF(AND(高値!Q117&gt;高値!P117,高値!Q117&gt;高値!O117,高値!Q117&gt;高値!R117,高値!Q117&gt;高値!S117),12,""))</f>
        <v/>
      </c>
      <c r="AN117" s="503" t="str">
        <f>IF(終値!A117="","",IF(AND(高値!R117&gt;高値!Q117,高値!R117&gt;高値!P117,高値!R117&gt;高値!S117,高値!R117&gt;高値!T117),13,""))</f>
        <v/>
      </c>
      <c r="AO117" s="503">
        <f>IF(終値!A117="","",IF(AND(高値!S117&gt;高値!R117,高値!S117&gt;高値!Q117,高値!S117&gt;高値!T117,高値!S117&gt;高値!U117),14,""))</f>
        <v>14</v>
      </c>
      <c r="AP117" s="503" t="str">
        <f>IF(終値!A117="","",IF(AND(高値!T117&gt;高値!S117,高値!T117&gt;高値!R117,高値!T117&gt;高値!U117,高値!T117&gt;高値!V117),15,""))</f>
        <v/>
      </c>
      <c r="AQ117" s="503" t="str">
        <f>IF(終値!A117="","",IF(AND(高値!U117&gt;高値!T117,高値!U117&gt;高値!S117,高値!U117&gt;高値!V117,高値!U117&gt;高値!W117),16,""))</f>
        <v/>
      </c>
      <c r="AR117" s="503" t="str">
        <f>IF(終値!A117="","",IF(AND(高値!V117&gt;高値!U117,高値!V117&gt;高値!T117,高値!V117&gt;高値!W117,高値!V117&gt;高値!X117),17,""))</f>
        <v/>
      </c>
      <c r="AS117" s="503" t="str">
        <f>IF(終値!A117="","",IF(AND(高値!W117&gt;高値!V117,高値!W117&gt;高値!U117,高値!W117&gt;高値!X117,高値!W117&gt;高値!Y117),18,""))</f>
        <v/>
      </c>
      <c r="AT117" s="503">
        <f>IF(終値!A117="","",IF(AND(高値!X117&gt;高値!W117,高値!X117&gt;高値!V117,高値!X117&gt;高値!Y117,高値!X117&gt;高値!Z117),19,""))</f>
        <v>19</v>
      </c>
      <c r="AU117" s="503" t="str">
        <f>IF(終値!A117="","",IF(AND(高値!Y117&gt;高値!X117,高値!Y117&gt;高値!W117,高値!Y117&gt;高値!Z117,高値!Y117&gt;高値!AA117),20,""))</f>
        <v/>
      </c>
      <c r="AV117" s="503" t="str">
        <f>IF(終値!A117="","",IF(AND(高値!Z117&gt;高値!Y117,高値!Z117&gt;高値!X117,高値!Z117&gt;高値!AA117,高値!Z117&gt;高値!AB117),21,""))</f>
        <v/>
      </c>
      <c r="AW117" s="503" t="str">
        <f>IF(終値!A117="","",IF(AND(高値!AA117&gt;高値!Z117,高値!AA117&gt;高値!Y117,高値!AA117&gt;高値!AB117,高値!AA117&gt;高値!AC117),22,""))</f>
        <v/>
      </c>
      <c r="AX117" s="503" t="str">
        <f>IF(終値!A117="","",IF(AND(高値!AB117&gt;高値!AA117,高値!AB117&gt;高値!Z117,高値!AB117&gt;高値!AC117,高値!AB117&gt;高値!AD117),23,""))</f>
        <v/>
      </c>
      <c r="AY117" s="503" t="str">
        <f>IF(終値!A117="","",IF(AND(高値!AC117&gt;高値!AB117,高値!AC117&gt;高値!AA117,高値!AC117&gt;高値!AD117,高値!AC117&gt;高値!AE117),24,""))</f>
        <v/>
      </c>
      <c r="AZ117" s="503" t="str">
        <f>IF(終値!A117="","",IF(AND(高値!AD117&gt;高値!AC117,高値!AD117&gt;高値!AB117,高値!AD117&gt;高値!AE117,高値!AD117&gt;高値!AF117),25,""))</f>
        <v/>
      </c>
      <c r="BA117" s="503" t="str">
        <f>IF(終値!A117="","",IF(AND(高値!AE117&gt;高値!AD117,高値!AE117&gt;高値!AC117,高値!AE117&gt;高値!AF117,高値!AE117&gt;高値!AG117),26,""))</f>
        <v/>
      </c>
      <c r="BB117" s="503" t="str">
        <f>IF(終値!A117="","",IF(AND(高値!AF117&gt;高値!AE117,高値!AF117&gt;高値!AD117,高値!AF117&gt;高値!AG117,高値!AF117&gt;高値!AH117),27,""))</f>
        <v/>
      </c>
      <c r="BC117" s="503" t="str">
        <f>IF(終値!A117="","",IF(AND(高値!AG117&gt;高値!AF117,高値!AG117&gt;高値!AE117,高値!AG117&gt;高値!AH117,高値!AG117&gt;高値!AI117),28,""))</f>
        <v/>
      </c>
      <c r="BD117" s="503">
        <f t="shared" si="6"/>
        <v>3</v>
      </c>
      <c r="BE117" s="503">
        <f t="shared" si="7"/>
        <v>3</v>
      </c>
      <c r="BF117" s="503">
        <f t="shared" si="8"/>
        <v>13</v>
      </c>
      <c r="BG117" s="503">
        <f>IF($BE117="","",INDEX(安値!$E117:$CZ117,1,$BE117+1))</f>
        <v>5192</v>
      </c>
      <c r="BH117" s="503">
        <f>IF($BF117="","",INDEX(安値!$E117:$CZ117,1,$BF117+1))</f>
        <v>5173</v>
      </c>
      <c r="BI117" s="503">
        <f>IF($BF117="","",MAX(INDEX(高値!$E117:$CZ117,1,$BE117+1):INDEX(高値!$E117:$CZ117,1,$BF117+1)))</f>
        <v>5729</v>
      </c>
      <c r="BJ117" s="503">
        <f>IF($BF117="","",AVERAGE(INDEX(終値!$E117:$CZ117,1,$BF117+1):INDEX(終値!$E117:$CZ117,1,$BF117+20))-2*STDEVP(INDEX(終値!$E117:$CZ117,1,$BF117+1):INDEX(終値!$E117:$CZ117,1,$BF117+20)))</f>
        <v>4748.9234104749794</v>
      </c>
      <c r="BK117" s="503">
        <f>IF($BE117="","",AVERAGE(INDEX(終値!$E117:$CZ117,1,$BE117+1):INDEX(終値!$E117:$CZ117,1,$BE117+20))-2*STDEVP(INDEX(終値!$E117:$CZ117,1,$BE117+1):INDEX(終値!$E117:$CZ117,1,$BE117+20)))</f>
        <v>5195.9198753950932</v>
      </c>
      <c r="BL117" s="503">
        <f t="shared" si="9"/>
        <v>3</v>
      </c>
      <c r="BM117" s="503">
        <f t="shared" si="10"/>
        <v>10</v>
      </c>
      <c r="BN117" s="503">
        <f t="shared" si="11"/>
        <v>14</v>
      </c>
      <c r="BO117" s="503">
        <f>IF($BM117="","",INDEX(高値!$E117:$CZ117,1,$BM117+1))</f>
        <v>5729</v>
      </c>
      <c r="BP117" s="503">
        <f>IF($BN117="","",INDEX(高値!$E117:$CZ117,1,$BN117+1))</f>
        <v>5947</v>
      </c>
      <c r="BQ117" s="503">
        <f>IF($BN117="","",MIN(INDEX(安値!$E117:$CZ117,1,$BM117+1):INDEX(安値!$E117:$CZ117,1,$BN117+1)))</f>
        <v>5173</v>
      </c>
      <c r="BR117" s="503">
        <f>IF($BN117="","",AVERAGE(INDEX(終値!$E117:$CZ117,1,$BN117+1):INDEX(終値!$E117:$CZ117,1,$BN117+20))+2*STDEVP(INDEX(終値!$E117:$CZ117,1,$BN117+1):INDEX(終値!$E117:$CZ117,1,$BN117+20)))</f>
        <v>5967.2241206619856</v>
      </c>
      <c r="BS117" s="503">
        <f>IF($BM117="","",AVERAGE(INDEX(終値!$E117:$CZ117,1,$BM117+1):INDEX(終値!$E117:$CZ117,1,$BM117+20))+2*STDEVP(INDEX(終値!$E117:$CZ117,1,$BM117+1):INDEX(終値!$E117:$CZ117,1,$BM117+20)))</f>
        <v>5996.6482671074718</v>
      </c>
      <c r="BT117" s="500"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3" t="str">
        <f>IF(終値!A118="","",IF(AND(安値!G118&lt;安値!F118,安値!G118&lt;安値!E118,安値!G118&lt;安値!H118,安値!G118&lt;安値!I118),2,""))</f>
        <v/>
      </c>
      <c r="C118" s="503">
        <f>IF(終値!A118="","",IF(AND(安値!H118&lt;安値!G118,安値!H118&lt;安値!F118,安値!H118&lt;安値!I118,安値!H118&lt;安値!J118),3,""))</f>
        <v>3</v>
      </c>
      <c r="D118" s="503" t="str">
        <f>IF(終値!A118="","",IF(AND(安値!I118&lt;安値!H118,安値!I118&lt;安値!G118,安値!I118&lt;安値!J118,安値!I118&lt;安値!K118),4,""))</f>
        <v/>
      </c>
      <c r="E118" s="503" t="str">
        <f>IF(終値!A118="","",IF(AND(安値!J118&lt;安値!I118,安値!J118&lt;安値!H118,安値!J118&lt;安値!K118,安値!J118&lt;安値!L118),5,""))</f>
        <v/>
      </c>
      <c r="F118" s="503" t="str">
        <f>IF(終値!A118="","",IF(AND(安値!K118&lt;安値!J118,安値!K118&lt;安値!I118,安値!K118&lt;安値!L118,安値!K118&lt;安値!M118),6,""))</f>
        <v/>
      </c>
      <c r="G118" s="503" t="str">
        <f>IF(終値!A118="","",IF(AND(安値!L118&lt;安値!K118,安値!L118&lt;安値!J118,安値!L118&lt;安値!M118,安値!L118&lt;安値!N118),7,""))</f>
        <v/>
      </c>
      <c r="H118" s="503" t="str">
        <f>IF(終値!A118="","",IF(AND(安値!M118&lt;安値!L118,安値!M118&lt;安値!K118,安値!M118&lt;安値!N118,安値!M118&lt;安値!O118),8,""))</f>
        <v/>
      </c>
      <c r="I118" s="503" t="str">
        <f>IF(終値!A118="","",IF(AND(安値!N118&lt;安値!M118,安値!N118&lt;安値!L118,安値!N118&lt;安値!O118,安値!N118&lt;安値!P118),9,""))</f>
        <v/>
      </c>
      <c r="J118" s="503" t="str">
        <f>IF(終値!A118="","",IF(AND(安値!O118&lt;安値!N118,安値!O118&lt;安値!M118,安値!O118&lt;安値!P118,安値!O118&lt;安値!Q118),10,""))</f>
        <v/>
      </c>
      <c r="K118" s="503" t="str">
        <f>IF(終値!A118="","",IF(AND(安値!P118&lt;安値!O118,安値!P118&lt;安値!N118,安値!P118&lt;安値!Q118,安値!P118&lt;安値!R118),11,""))</f>
        <v/>
      </c>
      <c r="L118" s="503" t="str">
        <f>IF(終値!A118="","",IF(AND(安値!Q118&lt;安値!P118,安値!Q118&lt;安値!O118,安値!Q118&lt;安値!R118,安値!Q118&lt;安値!S118),12,""))</f>
        <v/>
      </c>
      <c r="M118" s="503">
        <f>IF(終値!A118="","",IF(AND(安値!R118&lt;安値!Q118,安値!R118&lt;安値!P118,安値!R118&lt;安値!S118,安値!R118&lt;安値!T118),13,""))</f>
        <v>13</v>
      </c>
      <c r="N118" s="503" t="str">
        <f>IF(終値!A118="","",IF(AND(安値!S118&lt;安値!R118,安値!S118&lt;安値!Q118,安値!S118&lt;安値!T118,安値!S118&lt;安値!U118),14,""))</f>
        <v/>
      </c>
      <c r="O118" s="503" t="str">
        <f>IF(終値!A118="","",IF(AND(安値!T118&lt;安値!S118,安値!T118&lt;安値!R118,安値!T118&lt;安値!U118,安値!T118&lt;安値!V118),15,""))</f>
        <v/>
      </c>
      <c r="P118" s="503" t="str">
        <f>IF(終値!A118="","",IF(AND(安値!U118&lt;安値!T118,安値!U118&lt;安値!S118,安値!U118&lt;安値!V118,安値!U118&lt;安値!W118),16,""))</f>
        <v/>
      </c>
      <c r="Q118" s="503">
        <f>IF(終値!A118="","",IF(AND(安値!V118&lt;安値!U118,安値!V118&lt;安値!T118,安値!V118&lt;安値!W118,安値!V118&lt;安値!X118),17,""))</f>
        <v>17</v>
      </c>
      <c r="R118" s="503" t="str">
        <f>IF(終値!A118="","",IF(AND(安値!W118&lt;安値!V118,安値!W118&lt;安値!U118,安値!W118&lt;安値!X118,安値!W118&lt;安値!Y118),18,""))</f>
        <v/>
      </c>
      <c r="S118" s="503" t="str">
        <f>IF(終値!A118="","",IF(AND(安値!X118&lt;安値!W118,安値!X118&lt;安値!V118,安値!X118&lt;安値!Y118,安値!X118&lt;安値!Z118),19,""))</f>
        <v/>
      </c>
      <c r="T118" s="503" t="str">
        <f>IF(終値!A118="","",IF(AND(安値!Y118&lt;安値!X118,安値!Y118&lt;安値!W118,安値!Y118&lt;安値!Z118,安値!Y118&lt;安値!AA118),20,""))</f>
        <v/>
      </c>
      <c r="U118" s="503" t="str">
        <f>IF(終値!A118="","",IF(AND(安値!Z118&lt;安値!Y118,安値!Z118&lt;安値!X118,安値!Z118&lt;安値!AA118,安値!Z118&lt;安値!AB118),21,""))</f>
        <v/>
      </c>
      <c r="V118" s="503" t="str">
        <f>IF(終値!A118="","",IF(AND(安値!AA118&lt;安値!Z118,安値!AA118&lt;安値!Y118,安値!AA118&lt;安値!AB118,安値!AA118&lt;安値!AC118),22,""))</f>
        <v/>
      </c>
      <c r="W118" s="503" t="str">
        <f>IF(終値!A118="","",IF(AND(安値!AB118&lt;安値!AA118,安値!AB118&lt;安値!Z118,安値!AB118&lt;安値!AC118,安値!AB118&lt;安値!AD118),23,""))</f>
        <v/>
      </c>
      <c r="X118" s="503" t="str">
        <f>IF(終値!A118="","",IF(AND(安値!AC118&lt;安値!AB118,安値!AC118&lt;安値!AA118,安値!AC118&lt;安値!AD118,安値!AC118&lt;安値!AE118),24,""))</f>
        <v/>
      </c>
      <c r="Y118" s="503" t="str">
        <f>IF(終値!A118="","",IF(AND(安値!AD118&lt;安値!AC118,安値!AD118&lt;安値!AB118,安値!AD118&lt;安値!AE118,安値!AD118&lt;安値!AF118),25,""))</f>
        <v/>
      </c>
      <c r="Z118" s="503">
        <f>IF(終値!A118="","",IF(AND(安値!AE118&lt;安値!AD118,安値!AE118&lt;安値!AC118,安値!AE118&lt;安値!AF118,安値!AE118&lt;安値!AG118),26,""))</f>
        <v>26</v>
      </c>
      <c r="AA118" s="503" t="str">
        <f>IF(終値!A118="","",IF(AND(安値!AF118&lt;安値!AE118,安値!AF118&lt;安値!AD118,安値!AF118&lt;安値!AG118,安値!AF118&lt;安値!AH118),27,""))</f>
        <v/>
      </c>
      <c r="AB118" s="503" t="str">
        <f>IF(終値!A118="","",IF(AND(安値!AG118&lt;安値!AF118,安値!AG118&lt;安値!AE118,安値!AG118&lt;安値!AH118,安値!AG118&lt;安値!AI118),28,""))</f>
        <v/>
      </c>
      <c r="AC118" s="503" t="str">
        <f>IF(終値!A118="","",IF(AND(高値!G118&gt;高値!F118,高値!G118&gt;高値!E118,高値!G118&gt;高値!H118,高値!G118&gt;高値!I118),2,""))</f>
        <v/>
      </c>
      <c r="AD118" s="503" t="str">
        <f>IF(終値!A118="","",IF(AND(高値!H118&gt;高値!G118,高値!H118&gt;高値!F118,高値!H118&gt;高値!I118,高値!H118&gt;高値!J118),3,""))</f>
        <v/>
      </c>
      <c r="AE118" s="503" t="str">
        <f>IF(終値!A118="","",IF(AND(高値!I118&gt;高値!H118,高値!I118&gt;高値!G118,高値!I118&gt;高値!J118,高値!I118&gt;高値!K118),4,""))</f>
        <v/>
      </c>
      <c r="AF118" s="503" t="str">
        <f>IF(終値!A118="","",IF(AND(高値!J118&gt;高値!I118,高値!J118&gt;高値!H118,高値!J118&gt;高値!K118,高値!J118&gt;高値!L118),5,""))</f>
        <v/>
      </c>
      <c r="AG118" s="503" t="str">
        <f>IF(終値!A118="","",IF(AND(高値!K118&gt;高値!J118,高値!K118&gt;高値!I118,高値!K118&gt;高値!L118,高値!K118&gt;高値!M118),6,""))</f>
        <v/>
      </c>
      <c r="AH118" s="503" t="str">
        <f>IF(終値!A118="","",IF(AND(高値!L118&gt;高値!K118,高値!L118&gt;高値!J118,高値!L118&gt;高値!M118,高値!L118&gt;高値!N118),7,""))</f>
        <v/>
      </c>
      <c r="AI118" s="503">
        <f>IF(終値!A118="","",IF(AND(高値!M118&gt;高値!L118,高値!M118&gt;高値!K118,高値!M118&gt;高値!N118,高値!M118&gt;高値!O118),8,""))</f>
        <v>8</v>
      </c>
      <c r="AJ118" s="503" t="str">
        <f>IF(終値!A118="","",IF(AND(高値!N118&gt;高値!M118,高値!N118&gt;高値!L118,高値!N118&gt;高値!O118,高値!N118&gt;高値!P118),9,""))</f>
        <v/>
      </c>
      <c r="AK118" s="503" t="str">
        <f>IF(終値!A118="","",IF(AND(高値!O118&gt;高値!N118,高値!O118&gt;高値!M118,高値!O118&gt;高値!P118,高値!O118&gt;高値!Q118),10,""))</f>
        <v/>
      </c>
      <c r="AL118" s="503" t="str">
        <f>IF(終値!A118="","",IF(AND(高値!P118&gt;高値!O118,高値!P118&gt;高値!N118,高値!P118&gt;高値!Q118,高値!P118&gt;高値!R118),11,""))</f>
        <v/>
      </c>
      <c r="AM118" s="503" t="str">
        <f>IF(終値!A118="","",IF(AND(高値!Q118&gt;高値!P118,高値!Q118&gt;高値!O118,高値!Q118&gt;高値!R118,高値!Q118&gt;高値!S118),12,""))</f>
        <v/>
      </c>
      <c r="AN118" s="503" t="str">
        <f>IF(終値!A118="","",IF(AND(高値!R118&gt;高値!Q118,高値!R118&gt;高値!P118,高値!R118&gt;高値!S118,高値!R118&gt;高値!T118),13,""))</f>
        <v/>
      </c>
      <c r="AO118" s="503">
        <f>IF(終値!A118="","",IF(AND(高値!S118&gt;高値!R118,高値!S118&gt;高値!Q118,高値!S118&gt;高値!T118,高値!S118&gt;高値!U118),14,""))</f>
        <v>14</v>
      </c>
      <c r="AP118" s="503" t="str">
        <f>IF(終値!A118="","",IF(AND(高値!T118&gt;高値!S118,高値!T118&gt;高値!R118,高値!T118&gt;高値!U118,高値!T118&gt;高値!V118),15,""))</f>
        <v/>
      </c>
      <c r="AQ118" s="503" t="str">
        <f>IF(終値!A118="","",IF(AND(高値!U118&gt;高値!T118,高値!U118&gt;高値!S118,高値!U118&gt;高値!V118,高値!U118&gt;高値!W118),16,""))</f>
        <v/>
      </c>
      <c r="AR118" s="503" t="str">
        <f>IF(終値!A118="","",IF(AND(高値!V118&gt;高値!U118,高値!V118&gt;高値!T118,高値!V118&gt;高値!W118,高値!V118&gt;高値!X118),17,""))</f>
        <v/>
      </c>
      <c r="AS118" s="503" t="str">
        <f>IF(終値!A118="","",IF(AND(高値!W118&gt;高値!V118,高値!W118&gt;高値!U118,高値!W118&gt;高値!X118,高値!W118&gt;高値!Y118),18,""))</f>
        <v/>
      </c>
      <c r="AT118" s="503" t="str">
        <f>IF(終値!A118="","",IF(AND(高値!X118&gt;高値!W118,高値!X118&gt;高値!V118,高値!X118&gt;高値!Y118,高値!X118&gt;高値!Z118),19,""))</f>
        <v/>
      </c>
      <c r="AU118" s="503">
        <f>IF(終値!A118="","",IF(AND(高値!Y118&gt;高値!X118,高値!Y118&gt;高値!W118,高値!Y118&gt;高値!Z118,高値!Y118&gt;高値!AA118),20,""))</f>
        <v>20</v>
      </c>
      <c r="AV118" s="503" t="str">
        <f>IF(終値!A118="","",IF(AND(高値!Z118&gt;高値!Y118,高値!Z118&gt;高値!X118,高値!Z118&gt;高値!AA118,高値!Z118&gt;高値!AB118),21,""))</f>
        <v/>
      </c>
      <c r="AW118" s="503" t="str">
        <f>IF(終値!A118="","",IF(AND(高値!AA118&gt;高値!Z118,高値!AA118&gt;高値!Y118,高値!AA118&gt;高値!AB118,高値!AA118&gt;高値!AC118),22,""))</f>
        <v/>
      </c>
      <c r="AX118" s="503" t="str">
        <f>IF(終値!A118="","",IF(AND(高値!AB118&gt;高値!AA118,高値!AB118&gt;高値!Z118,高値!AB118&gt;高値!AC118,高値!AB118&gt;高値!AD118),23,""))</f>
        <v/>
      </c>
      <c r="AY118" s="503" t="str">
        <f>IF(終値!A118="","",IF(AND(高値!AC118&gt;高値!AB118,高値!AC118&gt;高値!AA118,高値!AC118&gt;高値!AD118,高値!AC118&gt;高値!AE118),24,""))</f>
        <v/>
      </c>
      <c r="AZ118" s="503" t="str">
        <f>IF(終値!A118="","",IF(AND(高値!AD118&gt;高値!AC118,高値!AD118&gt;高値!AB118,高値!AD118&gt;高値!AE118,高値!AD118&gt;高値!AF118),25,""))</f>
        <v/>
      </c>
      <c r="BA118" s="503" t="str">
        <f>IF(終値!A118="","",IF(AND(高値!AE118&gt;高値!AD118,高値!AE118&gt;高値!AC118,高値!AE118&gt;高値!AF118,高値!AE118&gt;高値!AG118),26,""))</f>
        <v/>
      </c>
      <c r="BB118" s="503" t="str">
        <f>IF(終値!A118="","",IF(AND(高値!AF118&gt;高値!AE118,高値!AF118&gt;高値!AD118,高値!AF118&gt;高値!AG118,高値!AF118&gt;高値!AH118),27,""))</f>
        <v/>
      </c>
      <c r="BC118" s="503" t="str">
        <f>IF(終値!A118="","",IF(AND(高値!AG118&gt;高値!AF118,高値!AG118&gt;高値!AE118,高値!AG118&gt;高値!AH118,高値!AG118&gt;高値!AI118),28,""))</f>
        <v/>
      </c>
      <c r="BD118" s="503">
        <f t="shared" si="6"/>
        <v>4</v>
      </c>
      <c r="BE118" s="503">
        <f t="shared" si="7"/>
        <v>3</v>
      </c>
      <c r="BF118" s="503">
        <f t="shared" si="8"/>
        <v>13</v>
      </c>
      <c r="BG118" s="503">
        <f>IF($BE118="","",INDEX(安値!$E118:$CZ118,1,$BE118+1))</f>
        <v>4375</v>
      </c>
      <c r="BH118" s="503">
        <f>IF($BF118="","",INDEX(安値!$E118:$CZ118,1,$BF118+1))</f>
        <v>4300</v>
      </c>
      <c r="BI118" s="503">
        <f>IF($BF118="","",MAX(INDEX(高値!$E118:$CZ118,1,$BE118+1):INDEX(高値!$E118:$CZ118,1,$BF118+1)))</f>
        <v>4687</v>
      </c>
      <c r="BJ118" s="503">
        <f>IF($BF118="","",AVERAGE(INDEX(終値!$E118:$CZ118,1,$BF118+1):INDEX(終値!$E118:$CZ118,1,$BF118+20))-2*STDEVP(INDEX(終値!$E118:$CZ118,1,$BF118+1):INDEX(終値!$E118:$CZ118,1,$BF118+20)))</f>
        <v>4403.6441421568643</v>
      </c>
      <c r="BK118" s="503">
        <f>IF($BE118="","",AVERAGE(INDEX(終値!$E118:$CZ118,1,$BE118+1):INDEX(終値!$E118:$CZ118,1,$BE118+20))-2*STDEVP(INDEX(終値!$E118:$CZ118,1,$BE118+1):INDEX(終値!$E118:$CZ118,1,$BE118+20)))</f>
        <v>4390.7390132593009</v>
      </c>
      <c r="BL118" s="503">
        <f t="shared" si="9"/>
        <v>3</v>
      </c>
      <c r="BM118" s="503">
        <f t="shared" si="10"/>
        <v>8</v>
      </c>
      <c r="BN118" s="503">
        <f t="shared" si="11"/>
        <v>14</v>
      </c>
      <c r="BO118" s="503">
        <f>IF($BM118="","",INDEX(高値!$E118:$CZ118,1,$BM118+1))</f>
        <v>4687</v>
      </c>
      <c r="BP118" s="503">
        <f>IF($BN118="","",INDEX(高値!$E118:$CZ118,1,$BN118+1))</f>
        <v>4780</v>
      </c>
      <c r="BQ118" s="503">
        <f>IF($BN118="","",MIN(INDEX(安値!$E118:$CZ118,1,$BM118+1):INDEX(安値!$E118:$CZ118,1,$BN118+1)))</f>
        <v>4300</v>
      </c>
      <c r="BR118" s="503">
        <f>IF($BN118="","",AVERAGE(INDEX(終値!$E118:$CZ118,1,$BN118+1):INDEX(終値!$E118:$CZ118,1,$BN118+20))+2*STDEVP(INDEX(終値!$E118:$CZ118,1,$BN118+1):INDEX(終値!$E118:$CZ118,1,$BN118+20)))</f>
        <v>4867.0222230345462</v>
      </c>
      <c r="BS118" s="503">
        <f>IF($BM118="","",AVERAGE(INDEX(終値!$E118:$CZ118,1,$BM118+1):INDEX(終値!$E118:$CZ118,1,$BM118+20))+2*STDEVP(INDEX(終値!$E118:$CZ118,1,$BM118+1):INDEX(終値!$E118:$CZ118,1,$BM118+20)))</f>
        <v>4861.2121425280329</v>
      </c>
      <c r="BT118" s="500"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二番底W形成</v>
      </c>
    </row>
    <row r="119" spans="2:72">
      <c r="B119" s="503" t="str">
        <f>IF(終値!A119="","",IF(AND(安値!G119&lt;安値!F119,安値!G119&lt;安値!E119,安値!G119&lt;安値!H119,安値!G119&lt;安値!I119),2,""))</f>
        <v/>
      </c>
      <c r="C119" s="503" t="str">
        <f>IF(終値!A119="","",IF(AND(安値!H119&lt;安値!G119,安値!H119&lt;安値!F119,安値!H119&lt;安値!I119,安値!H119&lt;安値!J119),3,""))</f>
        <v/>
      </c>
      <c r="D119" s="503" t="str">
        <f>IF(終値!A119="","",IF(AND(安値!I119&lt;安値!H119,安値!I119&lt;安値!G119,安値!I119&lt;安値!J119,安値!I119&lt;安値!K119),4,""))</f>
        <v/>
      </c>
      <c r="E119" s="503" t="str">
        <f>IF(終値!A119="","",IF(AND(安値!J119&lt;安値!I119,安値!J119&lt;安値!H119,安値!J119&lt;安値!K119,安値!J119&lt;安値!L119),5,""))</f>
        <v/>
      </c>
      <c r="F119" s="503" t="str">
        <f>IF(終値!A119="","",IF(AND(安値!K119&lt;安値!J119,安値!K119&lt;安値!I119,安値!K119&lt;安値!L119,安値!K119&lt;安値!M119),6,""))</f>
        <v/>
      </c>
      <c r="G119" s="503" t="str">
        <f>IF(終値!A119="","",IF(AND(安値!L119&lt;安値!K119,安値!L119&lt;安値!J119,安値!L119&lt;安値!M119,安値!L119&lt;安値!N119),7,""))</f>
        <v/>
      </c>
      <c r="H119" s="503" t="str">
        <f>IF(終値!A119="","",IF(AND(安値!M119&lt;安値!L119,安値!M119&lt;安値!K119,安値!M119&lt;安値!N119,安値!M119&lt;安値!O119),8,""))</f>
        <v/>
      </c>
      <c r="I119" s="503">
        <f>IF(終値!A119="","",IF(AND(安値!N119&lt;安値!M119,安値!N119&lt;安値!L119,安値!N119&lt;安値!O119,安値!N119&lt;安値!P119),9,""))</f>
        <v>9</v>
      </c>
      <c r="J119" s="503" t="str">
        <f>IF(終値!A119="","",IF(AND(安値!O119&lt;安値!N119,安値!O119&lt;安値!M119,安値!O119&lt;安値!P119,安値!O119&lt;安値!Q119),10,""))</f>
        <v/>
      </c>
      <c r="K119" s="503" t="str">
        <f>IF(終値!A119="","",IF(AND(安値!P119&lt;安値!O119,安値!P119&lt;安値!N119,安値!P119&lt;安値!Q119,安値!P119&lt;安値!R119),11,""))</f>
        <v/>
      </c>
      <c r="L119" s="503" t="str">
        <f>IF(終値!A119="","",IF(AND(安値!Q119&lt;安値!P119,安値!Q119&lt;安値!O119,安値!Q119&lt;安値!R119,安値!Q119&lt;安値!S119),12,""))</f>
        <v/>
      </c>
      <c r="M119" s="503" t="str">
        <f>IF(終値!A119="","",IF(AND(安値!R119&lt;安値!Q119,安値!R119&lt;安値!P119,安値!R119&lt;安値!S119,安値!R119&lt;安値!T119),13,""))</f>
        <v/>
      </c>
      <c r="N119" s="503">
        <f>IF(終値!A119="","",IF(AND(安値!S119&lt;安値!R119,安値!S119&lt;安値!Q119,安値!S119&lt;安値!T119,安値!S119&lt;安値!U119),14,""))</f>
        <v>14</v>
      </c>
      <c r="O119" s="503" t="str">
        <f>IF(終値!A119="","",IF(AND(安値!T119&lt;安値!S119,安値!T119&lt;安値!R119,安値!T119&lt;安値!U119,安値!T119&lt;安値!V119),15,""))</f>
        <v/>
      </c>
      <c r="P119" s="503" t="str">
        <f>IF(終値!A119="","",IF(AND(安値!U119&lt;安値!T119,安値!U119&lt;安値!S119,安値!U119&lt;安値!V119,安値!U119&lt;安値!W119),16,""))</f>
        <v/>
      </c>
      <c r="Q119" s="503" t="str">
        <f>IF(終値!A119="","",IF(AND(安値!V119&lt;安値!U119,安値!V119&lt;安値!T119,安値!V119&lt;安値!W119,安値!V119&lt;安値!X119),17,""))</f>
        <v/>
      </c>
      <c r="R119" s="503" t="str">
        <f>IF(終値!A119="","",IF(AND(安値!W119&lt;安値!V119,安値!W119&lt;安値!U119,安値!W119&lt;安値!X119,安値!W119&lt;安値!Y119),18,""))</f>
        <v/>
      </c>
      <c r="S119" s="503" t="str">
        <f>IF(終値!A119="","",IF(AND(安値!X119&lt;安値!W119,安値!X119&lt;安値!V119,安値!X119&lt;安値!Y119,安値!X119&lt;安値!Z119),19,""))</f>
        <v/>
      </c>
      <c r="T119" s="503" t="str">
        <f>IF(終値!A119="","",IF(AND(安値!Y119&lt;安値!X119,安値!Y119&lt;安値!W119,安値!Y119&lt;安値!Z119,安値!Y119&lt;安値!AA119),20,""))</f>
        <v/>
      </c>
      <c r="U119" s="503" t="str">
        <f>IF(終値!A119="","",IF(AND(安値!Z119&lt;安値!Y119,安値!Z119&lt;安値!X119,安値!Z119&lt;安値!AA119,安値!Z119&lt;安値!AB119),21,""))</f>
        <v/>
      </c>
      <c r="V119" s="503" t="str">
        <f>IF(終値!A119="","",IF(AND(安値!AA119&lt;安値!Z119,安値!AA119&lt;安値!Y119,安値!AA119&lt;安値!AB119,安値!AA119&lt;安値!AC119),22,""))</f>
        <v/>
      </c>
      <c r="W119" s="503" t="str">
        <f>IF(終値!A119="","",IF(AND(安値!AB119&lt;安値!AA119,安値!AB119&lt;安値!Z119,安値!AB119&lt;安値!AC119,安値!AB119&lt;安値!AD119),23,""))</f>
        <v/>
      </c>
      <c r="X119" s="503" t="str">
        <f>IF(終値!A119="","",IF(AND(安値!AC119&lt;安値!AB119,安値!AC119&lt;安値!AA119,安値!AC119&lt;安値!AD119,安値!AC119&lt;安値!AE119),24,""))</f>
        <v/>
      </c>
      <c r="Y119" s="503" t="str">
        <f>IF(終値!A119="","",IF(AND(安値!AD119&lt;安値!AC119,安値!AD119&lt;安値!AB119,安値!AD119&lt;安値!AE119,安値!AD119&lt;安値!AF119),25,""))</f>
        <v/>
      </c>
      <c r="Z119" s="503" t="str">
        <f>IF(終値!A119="","",IF(AND(安値!AE119&lt;安値!AD119,安値!AE119&lt;安値!AC119,安値!AE119&lt;安値!AF119,安値!AE119&lt;安値!AG119),26,""))</f>
        <v/>
      </c>
      <c r="AA119" s="503">
        <f>IF(終値!A119="","",IF(AND(安値!AF119&lt;安値!AE119,安値!AF119&lt;安値!AD119,安値!AF119&lt;安値!AG119,安値!AF119&lt;安値!AH119),27,""))</f>
        <v>27</v>
      </c>
      <c r="AB119" s="503" t="str">
        <f>IF(終値!A119="","",IF(AND(安値!AG119&lt;安値!AF119,安値!AG119&lt;安値!AE119,安値!AG119&lt;安値!AH119,安値!AG119&lt;安値!AI119),28,""))</f>
        <v/>
      </c>
      <c r="AC119" s="503" t="str">
        <f>IF(終値!A119="","",IF(AND(高値!G119&gt;高値!F119,高値!G119&gt;高値!E119,高値!G119&gt;高値!H119,高値!G119&gt;高値!I119),2,""))</f>
        <v/>
      </c>
      <c r="AD119" s="503" t="str">
        <f>IF(終値!A119="","",IF(AND(高値!H119&gt;高値!G119,高値!H119&gt;高値!F119,高値!H119&gt;高値!I119,高値!H119&gt;高値!J119),3,""))</f>
        <v/>
      </c>
      <c r="AE119" s="503" t="str">
        <f>IF(終値!A119="","",IF(AND(高値!I119&gt;高値!H119,高値!I119&gt;高値!G119,高値!I119&gt;高値!J119,高値!I119&gt;高値!K119),4,""))</f>
        <v/>
      </c>
      <c r="AF119" s="503">
        <f>IF(終値!A119="","",IF(AND(高値!J119&gt;高値!I119,高値!J119&gt;高値!H119,高値!J119&gt;高値!K119,高値!J119&gt;高値!L119),5,""))</f>
        <v>5</v>
      </c>
      <c r="AG119" s="503" t="str">
        <f>IF(終値!A119="","",IF(AND(高値!K119&gt;高値!J119,高値!K119&gt;高値!I119,高値!K119&gt;高値!L119,高値!K119&gt;高値!M119),6,""))</f>
        <v/>
      </c>
      <c r="AH119" s="503" t="str">
        <f>IF(終値!A119="","",IF(AND(高値!L119&gt;高値!K119,高値!L119&gt;高値!J119,高値!L119&gt;高値!M119,高値!L119&gt;高値!N119),7,""))</f>
        <v/>
      </c>
      <c r="AI119" s="503" t="str">
        <f>IF(終値!A119="","",IF(AND(高値!M119&gt;高値!L119,高値!M119&gt;高値!K119,高値!M119&gt;高値!N119,高値!M119&gt;高値!O119),8,""))</f>
        <v/>
      </c>
      <c r="AJ119" s="503" t="str">
        <f>IF(終値!A119="","",IF(AND(高値!N119&gt;高値!M119,高値!N119&gt;高値!L119,高値!N119&gt;高値!O119,高値!N119&gt;高値!P119),9,""))</f>
        <v/>
      </c>
      <c r="AK119" s="503" t="str">
        <f>IF(終値!A119="","",IF(AND(高値!O119&gt;高値!N119,高値!O119&gt;高値!M119,高値!O119&gt;高値!P119,高値!O119&gt;高値!Q119),10,""))</f>
        <v/>
      </c>
      <c r="AL119" s="503" t="str">
        <f>IF(終値!A119="","",IF(AND(高値!P119&gt;高値!O119,高値!P119&gt;高値!N119,高値!P119&gt;高値!Q119,高値!P119&gt;高値!R119),11,""))</f>
        <v/>
      </c>
      <c r="AM119" s="503" t="str">
        <f>IF(終値!A119="","",IF(AND(高値!Q119&gt;高値!P119,高値!Q119&gt;高値!O119,高値!Q119&gt;高値!R119,高値!Q119&gt;高値!S119),12,""))</f>
        <v/>
      </c>
      <c r="AN119" s="503">
        <f>IF(終値!A119="","",IF(AND(高値!R119&gt;高値!Q119,高値!R119&gt;高値!P119,高値!R119&gt;高値!S119,高値!R119&gt;高値!T119),13,""))</f>
        <v>13</v>
      </c>
      <c r="AO119" s="503" t="str">
        <f>IF(終値!A119="","",IF(AND(高値!S119&gt;高値!R119,高値!S119&gt;高値!Q119,高値!S119&gt;高値!T119,高値!S119&gt;高値!U119),14,""))</f>
        <v/>
      </c>
      <c r="AP119" s="503" t="str">
        <f>IF(終値!A119="","",IF(AND(高値!T119&gt;高値!S119,高値!T119&gt;高値!R119,高値!T119&gt;高値!U119,高値!T119&gt;高値!V119),15,""))</f>
        <v/>
      </c>
      <c r="AQ119" s="503" t="str">
        <f>IF(終値!A119="","",IF(AND(高値!U119&gt;高値!T119,高値!U119&gt;高値!S119,高値!U119&gt;高値!V119,高値!U119&gt;高値!W119),16,""))</f>
        <v/>
      </c>
      <c r="AR119" s="503" t="str">
        <f>IF(終値!A119="","",IF(AND(高値!V119&gt;高値!U119,高値!V119&gt;高値!T119,高値!V119&gt;高値!W119,高値!V119&gt;高値!X119),17,""))</f>
        <v/>
      </c>
      <c r="AS119" s="503" t="str">
        <f>IF(終値!A119="","",IF(AND(高値!W119&gt;高値!V119,高値!W119&gt;高値!U119,高値!W119&gt;高値!X119,高値!W119&gt;高値!Y119),18,""))</f>
        <v/>
      </c>
      <c r="AT119" s="503">
        <f>IF(終値!A119="","",IF(AND(高値!X119&gt;高値!W119,高値!X119&gt;高値!V119,高値!X119&gt;高値!Y119,高値!X119&gt;高値!Z119),19,""))</f>
        <v>19</v>
      </c>
      <c r="AU119" s="503" t="str">
        <f>IF(終値!A119="","",IF(AND(高値!Y119&gt;高値!X119,高値!Y119&gt;高値!W119,高値!Y119&gt;高値!Z119,高値!Y119&gt;高値!AA119),20,""))</f>
        <v/>
      </c>
      <c r="AV119" s="503" t="str">
        <f>IF(終値!A119="","",IF(AND(高値!Z119&gt;高値!Y119,高値!Z119&gt;高値!X119,高値!Z119&gt;高値!AA119,高値!Z119&gt;高値!AB119),21,""))</f>
        <v/>
      </c>
      <c r="AW119" s="503" t="str">
        <f>IF(終値!A119="","",IF(AND(高値!AA119&gt;高値!Z119,高値!AA119&gt;高値!Y119,高値!AA119&gt;高値!AB119,高値!AA119&gt;高値!AC119),22,""))</f>
        <v/>
      </c>
      <c r="AX119" s="503" t="str">
        <f>IF(終値!A119="","",IF(AND(高値!AB119&gt;高値!AA119,高値!AB119&gt;高値!Z119,高値!AB119&gt;高値!AC119,高値!AB119&gt;高値!AD119),23,""))</f>
        <v/>
      </c>
      <c r="AY119" s="503" t="str">
        <f>IF(終値!A119="","",IF(AND(高値!AC119&gt;高値!AB119,高値!AC119&gt;高値!AA119,高値!AC119&gt;高値!AD119,高値!AC119&gt;高値!AE119),24,""))</f>
        <v/>
      </c>
      <c r="AZ119" s="503" t="str">
        <f>IF(終値!A119="","",IF(AND(高値!AD119&gt;高値!AC119,高値!AD119&gt;高値!AB119,高値!AD119&gt;高値!AE119,高値!AD119&gt;高値!AF119),25,""))</f>
        <v/>
      </c>
      <c r="BA119" s="503" t="str">
        <f>IF(終値!A119="","",IF(AND(高値!AE119&gt;高値!AD119,高値!AE119&gt;高値!AC119,高値!AE119&gt;高値!AF119,高値!AE119&gt;高値!AG119),26,""))</f>
        <v/>
      </c>
      <c r="BB119" s="503" t="str">
        <f>IF(終値!A119="","",IF(AND(高値!AF119&gt;高値!AE119,高値!AF119&gt;高値!AD119,高値!AF119&gt;高値!AG119,高値!AF119&gt;高値!AH119),27,""))</f>
        <v/>
      </c>
      <c r="BC119" s="503" t="str">
        <f>IF(終値!A119="","",IF(AND(高値!AG119&gt;高値!AF119,高値!AG119&gt;高値!AE119,高値!AG119&gt;高値!AH119,高値!AG119&gt;高値!AI119),28,""))</f>
        <v/>
      </c>
      <c r="BD119" s="503">
        <f t="shared" si="6"/>
        <v>3</v>
      </c>
      <c r="BE119" s="503">
        <f t="shared" si="7"/>
        <v>9</v>
      </c>
      <c r="BF119" s="503">
        <f t="shared" si="8"/>
        <v>14</v>
      </c>
      <c r="BG119" s="503">
        <f>IF($BE119="","",INDEX(安値!$E119:$CZ119,1,$BE119+1))</f>
        <v>2785.5</v>
      </c>
      <c r="BH119" s="503">
        <f>IF($BF119="","",INDEX(安値!$E119:$CZ119,1,$BF119+1))</f>
        <v>2854</v>
      </c>
      <c r="BI119" s="503">
        <f>IF($BF119="","",MAX(INDEX(高値!$E119:$CZ119,1,$BE119+1):INDEX(高値!$E119:$CZ119,1,$BF119+1)))</f>
        <v>2967</v>
      </c>
      <c r="BJ119" s="503">
        <f>IF($BF119="","",AVERAGE(INDEX(終値!$E119:$CZ119,1,$BF119+1):INDEX(終値!$E119:$CZ119,1,$BF119+20))-2*STDEVP(INDEX(終値!$E119:$CZ119,1,$BF119+1):INDEX(終値!$E119:$CZ119,1,$BF119+20)))</f>
        <v>2681.742025123162</v>
      </c>
      <c r="BK119" s="503">
        <f>IF($BE119="","",AVERAGE(INDEX(終値!$E119:$CZ119,1,$BE119+1):INDEX(終値!$E119:$CZ119,1,$BE119+20))-2*STDEVP(INDEX(終値!$E119:$CZ119,1,$BE119+1):INDEX(終値!$E119:$CZ119,1,$BE119+20)))</f>
        <v>2720.1936295264013</v>
      </c>
      <c r="BL119" s="503">
        <f t="shared" si="9"/>
        <v>3</v>
      </c>
      <c r="BM119" s="503">
        <f t="shared" si="10"/>
        <v>5</v>
      </c>
      <c r="BN119" s="503">
        <f t="shared" si="11"/>
        <v>13</v>
      </c>
      <c r="BO119" s="503">
        <f>IF($BM119="","",INDEX(高値!$E119:$CZ119,1,$BM119+1))</f>
        <v>3105</v>
      </c>
      <c r="BP119" s="503">
        <f>IF($BN119="","",INDEX(高値!$E119:$CZ119,1,$BN119+1))</f>
        <v>2967</v>
      </c>
      <c r="BQ119" s="503">
        <f>IF($BN119="","",MIN(INDEX(安値!$E119:$CZ119,1,$BM119+1):INDEX(安値!$E119:$CZ119,1,$BN119+1)))</f>
        <v>2785.5</v>
      </c>
      <c r="BR119" s="503">
        <f>IF($BN119="","",AVERAGE(INDEX(終値!$E119:$CZ119,1,$BN119+1):INDEX(終値!$E119:$CZ119,1,$BN119+20))+2*STDEVP(INDEX(終値!$E119:$CZ119,1,$BN119+1):INDEX(終値!$E119:$CZ119,1,$BN119+20)))</f>
        <v>2984.6182552469204</v>
      </c>
      <c r="BS119" s="503">
        <f>IF($BM119="","",AVERAGE(INDEX(終値!$E119:$CZ119,1,$BM119+1):INDEX(終値!$E119:$CZ119,1,$BM119+20))+2*STDEVP(INDEX(終値!$E119:$CZ119,1,$BM119+1):INDEX(終値!$E119:$CZ119,1,$BM119+20)))</f>
        <v>3015.1571849424158</v>
      </c>
      <c r="BT119" s="500"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二番底W形成</v>
      </c>
    </row>
    <row r="120" spans="2:72">
      <c r="B120" s="503" t="str">
        <f>IF(終値!A120="","",IF(AND(安値!G120&lt;安値!F120,安値!G120&lt;安値!E120,安値!G120&lt;安値!H120,安値!G120&lt;安値!I120),2,""))</f>
        <v/>
      </c>
      <c r="C120" s="503" t="str">
        <f>IF(終値!A120="","",IF(AND(安値!H120&lt;安値!G120,安値!H120&lt;安値!F120,安値!H120&lt;安値!I120,安値!H120&lt;安値!J120),3,""))</f>
        <v/>
      </c>
      <c r="D120" s="503" t="str">
        <f>IF(終値!A120="","",IF(AND(安値!I120&lt;安値!H120,安値!I120&lt;安値!G120,安値!I120&lt;安値!J120,安値!I120&lt;安値!K120),4,""))</f>
        <v/>
      </c>
      <c r="E120" s="503">
        <f>IF(終値!A120="","",IF(AND(安値!J120&lt;安値!I120,安値!J120&lt;安値!H120,安値!J120&lt;安値!K120,安値!J120&lt;安値!L120),5,""))</f>
        <v>5</v>
      </c>
      <c r="F120" s="503" t="str">
        <f>IF(終値!A120="","",IF(AND(安値!K120&lt;安値!J120,安値!K120&lt;安値!I120,安値!K120&lt;安値!L120,安値!K120&lt;安値!M120),6,""))</f>
        <v/>
      </c>
      <c r="G120" s="503" t="str">
        <f>IF(終値!A120="","",IF(AND(安値!L120&lt;安値!K120,安値!L120&lt;安値!J120,安値!L120&lt;安値!M120,安値!L120&lt;安値!N120),7,""))</f>
        <v/>
      </c>
      <c r="H120" s="503" t="str">
        <f>IF(終値!A120="","",IF(AND(安値!M120&lt;安値!L120,安値!M120&lt;安値!K120,安値!M120&lt;安値!N120,安値!M120&lt;安値!O120),8,""))</f>
        <v/>
      </c>
      <c r="I120" s="503">
        <f>IF(終値!A120="","",IF(AND(安値!N120&lt;安値!M120,安値!N120&lt;安値!L120,安値!N120&lt;安値!O120,安値!N120&lt;安値!P120),9,""))</f>
        <v>9</v>
      </c>
      <c r="J120" s="503" t="str">
        <f>IF(終値!A120="","",IF(AND(安値!O120&lt;安値!N120,安値!O120&lt;安値!M120,安値!O120&lt;安値!P120,安値!O120&lt;安値!Q120),10,""))</f>
        <v/>
      </c>
      <c r="K120" s="503" t="str">
        <f>IF(終値!A120="","",IF(AND(安値!P120&lt;安値!O120,安値!P120&lt;安値!N120,安値!P120&lt;安値!Q120,安値!P120&lt;安値!R120),11,""))</f>
        <v/>
      </c>
      <c r="L120" s="503" t="str">
        <f>IF(終値!A120="","",IF(AND(安値!Q120&lt;安値!P120,安値!Q120&lt;安値!O120,安値!Q120&lt;安値!R120,安値!Q120&lt;安値!S120),12,""))</f>
        <v/>
      </c>
      <c r="M120" s="503">
        <f>IF(終値!A120="","",IF(AND(安値!R120&lt;安値!Q120,安値!R120&lt;安値!P120,安値!R120&lt;安値!S120,安値!R120&lt;安値!T120),13,""))</f>
        <v>13</v>
      </c>
      <c r="N120" s="503" t="str">
        <f>IF(終値!A120="","",IF(AND(安値!S120&lt;安値!R120,安値!S120&lt;安値!Q120,安値!S120&lt;安値!T120,安値!S120&lt;安値!U120),14,""))</f>
        <v/>
      </c>
      <c r="O120" s="503" t="str">
        <f>IF(終値!A120="","",IF(AND(安値!T120&lt;安値!S120,安値!T120&lt;安値!R120,安値!T120&lt;安値!U120,安値!T120&lt;安値!V120),15,""))</f>
        <v/>
      </c>
      <c r="P120" s="503">
        <f>IF(終値!A120="","",IF(AND(安値!U120&lt;安値!T120,安値!U120&lt;安値!S120,安値!U120&lt;安値!V120,安値!U120&lt;安値!W120),16,""))</f>
        <v>16</v>
      </c>
      <c r="Q120" s="503" t="str">
        <f>IF(終値!A120="","",IF(AND(安値!V120&lt;安値!U120,安値!V120&lt;安値!T120,安値!V120&lt;安値!W120,安値!V120&lt;安値!X120),17,""))</f>
        <v/>
      </c>
      <c r="R120" s="503" t="str">
        <f>IF(終値!A120="","",IF(AND(安値!W120&lt;安値!V120,安値!W120&lt;安値!U120,安値!W120&lt;安値!X120,安値!W120&lt;安値!Y120),18,""))</f>
        <v/>
      </c>
      <c r="S120" s="503" t="str">
        <f>IF(終値!A120="","",IF(AND(安値!X120&lt;安値!W120,安値!X120&lt;安値!V120,安値!X120&lt;安値!Y120,安値!X120&lt;安値!Z120),19,""))</f>
        <v/>
      </c>
      <c r="T120" s="503" t="str">
        <f>IF(終値!A120="","",IF(AND(安値!Y120&lt;安値!X120,安値!Y120&lt;安値!W120,安値!Y120&lt;安値!Z120,安値!Y120&lt;安値!AA120),20,""))</f>
        <v/>
      </c>
      <c r="U120" s="503" t="str">
        <f>IF(終値!A120="","",IF(AND(安値!Z120&lt;安値!Y120,安値!Z120&lt;安値!X120,安値!Z120&lt;安値!AA120,安値!Z120&lt;安値!AB120),21,""))</f>
        <v/>
      </c>
      <c r="V120" s="503" t="str">
        <f>IF(終値!A120="","",IF(AND(安値!AA120&lt;安値!Z120,安値!AA120&lt;安値!Y120,安値!AA120&lt;安値!AB120,安値!AA120&lt;安値!AC120),22,""))</f>
        <v/>
      </c>
      <c r="W120" s="503" t="str">
        <f>IF(終値!A120="","",IF(AND(安値!AB120&lt;安値!AA120,安値!AB120&lt;安値!Z120,安値!AB120&lt;安値!AC120,安値!AB120&lt;安値!AD120),23,""))</f>
        <v/>
      </c>
      <c r="X120" s="503">
        <f>IF(終値!A120="","",IF(AND(安値!AC120&lt;安値!AB120,安値!AC120&lt;安値!AA120,安値!AC120&lt;安値!AD120,安値!AC120&lt;安値!AE120),24,""))</f>
        <v>24</v>
      </c>
      <c r="Y120" s="503" t="str">
        <f>IF(終値!A120="","",IF(AND(安値!AD120&lt;安値!AC120,安値!AD120&lt;安値!AB120,安値!AD120&lt;安値!AE120,安値!AD120&lt;安値!AF120),25,""))</f>
        <v/>
      </c>
      <c r="Z120" s="503" t="str">
        <f>IF(終値!A120="","",IF(AND(安値!AE120&lt;安値!AD120,安値!AE120&lt;安値!AC120,安値!AE120&lt;安値!AF120,安値!AE120&lt;安値!AG120),26,""))</f>
        <v/>
      </c>
      <c r="AA120" s="503">
        <f>IF(終値!A120="","",IF(AND(安値!AF120&lt;安値!AE120,安値!AF120&lt;安値!AD120,安値!AF120&lt;安値!AG120,安値!AF120&lt;安値!AH120),27,""))</f>
        <v>27</v>
      </c>
      <c r="AB120" s="503" t="str">
        <f>IF(終値!A120="","",IF(AND(安値!AG120&lt;安値!AF120,安値!AG120&lt;安値!AE120,安値!AG120&lt;安値!AH120,安値!AG120&lt;安値!AI120),28,""))</f>
        <v/>
      </c>
      <c r="AC120" s="503" t="str">
        <f>IF(終値!A120="","",IF(AND(高値!G120&gt;高値!F120,高値!G120&gt;高値!E120,高値!G120&gt;高値!H120,高値!G120&gt;高値!I120),2,""))</f>
        <v/>
      </c>
      <c r="AD120" s="503" t="str">
        <f>IF(終値!A120="","",IF(AND(高値!H120&gt;高値!G120,高値!H120&gt;高値!F120,高値!H120&gt;高値!I120,高値!H120&gt;高値!J120),3,""))</f>
        <v/>
      </c>
      <c r="AE120" s="503" t="str">
        <f>IF(終値!A120="","",IF(AND(高値!I120&gt;高値!H120,高値!I120&gt;高値!G120,高値!I120&gt;高値!J120,高値!I120&gt;高値!K120),4,""))</f>
        <v/>
      </c>
      <c r="AF120" s="503" t="str">
        <f>IF(終値!A120="","",IF(AND(高値!J120&gt;高値!I120,高値!J120&gt;高値!H120,高値!J120&gt;高値!K120,高値!J120&gt;高値!L120),5,""))</f>
        <v/>
      </c>
      <c r="AG120" s="503" t="str">
        <f>IF(終値!A120="","",IF(AND(高値!K120&gt;高値!J120,高値!K120&gt;高値!I120,高値!K120&gt;高値!L120,高値!K120&gt;高値!M120),6,""))</f>
        <v/>
      </c>
      <c r="AH120" s="503" t="str">
        <f>IF(終値!A120="","",IF(AND(高値!L120&gt;高値!K120,高値!L120&gt;高値!J120,高値!L120&gt;高値!M120,高値!L120&gt;高値!N120),7,""))</f>
        <v/>
      </c>
      <c r="AI120" s="503" t="str">
        <f>IF(終値!A120="","",IF(AND(高値!M120&gt;高値!L120,高値!M120&gt;高値!K120,高値!M120&gt;高値!N120,高値!M120&gt;高値!O120),8,""))</f>
        <v/>
      </c>
      <c r="AJ120" s="503" t="str">
        <f>IF(終値!A120="","",IF(AND(高値!N120&gt;高値!M120,高値!N120&gt;高値!L120,高値!N120&gt;高値!O120,高値!N120&gt;高値!P120),9,""))</f>
        <v/>
      </c>
      <c r="AK120" s="503" t="str">
        <f>IF(終値!A120="","",IF(AND(高値!O120&gt;高値!N120,高値!O120&gt;高値!M120,高値!O120&gt;高値!P120,高値!O120&gt;高値!Q120),10,""))</f>
        <v/>
      </c>
      <c r="AL120" s="503">
        <f>IF(終値!A120="","",IF(AND(高値!P120&gt;高値!O120,高値!P120&gt;高値!N120,高値!P120&gt;高値!Q120,高値!P120&gt;高値!R120),11,""))</f>
        <v>11</v>
      </c>
      <c r="AM120" s="503" t="str">
        <f>IF(終値!A120="","",IF(AND(高値!Q120&gt;高値!P120,高値!Q120&gt;高値!O120,高値!Q120&gt;高値!R120,高値!Q120&gt;高値!S120),12,""))</f>
        <v/>
      </c>
      <c r="AN120" s="503" t="str">
        <f>IF(終値!A120="","",IF(AND(高値!R120&gt;高値!Q120,高値!R120&gt;高値!P120,高値!R120&gt;高値!S120,高値!R120&gt;高値!T120),13,""))</f>
        <v/>
      </c>
      <c r="AO120" s="503" t="str">
        <f>IF(終値!A120="","",IF(AND(高値!S120&gt;高値!R120,高値!S120&gt;高値!Q120,高値!S120&gt;高値!T120,高値!S120&gt;高値!U120),14,""))</f>
        <v/>
      </c>
      <c r="AP120" s="503" t="str">
        <f>IF(終値!A120="","",IF(AND(高値!T120&gt;高値!S120,高値!T120&gt;高値!R120,高値!T120&gt;高値!U120,高値!T120&gt;高値!V120),15,""))</f>
        <v/>
      </c>
      <c r="AQ120" s="503" t="str">
        <f>IF(終値!A120="","",IF(AND(高値!U120&gt;高値!T120,高値!U120&gt;高値!S120,高値!U120&gt;高値!V120,高値!U120&gt;高値!W120),16,""))</f>
        <v/>
      </c>
      <c r="AR120" s="503" t="str">
        <f>IF(終値!A120="","",IF(AND(高値!V120&gt;高値!U120,高値!V120&gt;高値!T120,高値!V120&gt;高値!W120,高値!V120&gt;高値!X120),17,""))</f>
        <v/>
      </c>
      <c r="AS120" s="503" t="str">
        <f>IF(終値!A120="","",IF(AND(高値!W120&gt;高値!V120,高値!W120&gt;高値!U120,高値!W120&gt;高値!X120,高値!W120&gt;高値!Y120),18,""))</f>
        <v/>
      </c>
      <c r="AT120" s="503" t="str">
        <f>IF(終値!A120="","",IF(AND(高値!X120&gt;高値!W120,高値!X120&gt;高値!V120,高値!X120&gt;高値!Y120,高値!X120&gt;高値!Z120),19,""))</f>
        <v/>
      </c>
      <c r="AU120" s="503">
        <f>IF(終値!A120="","",IF(AND(高値!Y120&gt;高値!X120,高値!Y120&gt;高値!W120,高値!Y120&gt;高値!Z120,高値!Y120&gt;高値!AA120),20,""))</f>
        <v>20</v>
      </c>
      <c r="AV120" s="503" t="str">
        <f>IF(終値!A120="","",IF(AND(高値!Z120&gt;高値!Y120,高値!Z120&gt;高値!X120,高値!Z120&gt;高値!AA120,高値!Z120&gt;高値!AB120),21,""))</f>
        <v/>
      </c>
      <c r="AW120" s="503" t="str">
        <f>IF(終値!A120="","",IF(AND(高値!AA120&gt;高値!Z120,高値!AA120&gt;高値!Y120,高値!AA120&gt;高値!AB120,高値!AA120&gt;高値!AC120),22,""))</f>
        <v/>
      </c>
      <c r="AX120" s="503" t="str">
        <f>IF(終値!A120="","",IF(AND(高値!AB120&gt;高値!AA120,高値!AB120&gt;高値!Z120,高値!AB120&gt;高値!AC120,高値!AB120&gt;高値!AD120),23,""))</f>
        <v/>
      </c>
      <c r="AY120" s="503" t="str">
        <f>IF(終値!A120="","",IF(AND(高値!AC120&gt;高値!AB120,高値!AC120&gt;高値!AA120,高値!AC120&gt;高値!AD120,高値!AC120&gt;高値!AE120),24,""))</f>
        <v/>
      </c>
      <c r="AZ120" s="503">
        <f>IF(終値!A120="","",IF(AND(高値!AD120&gt;高値!AC120,高値!AD120&gt;高値!AB120,高値!AD120&gt;高値!AE120,高値!AD120&gt;高値!AF120),25,""))</f>
        <v>25</v>
      </c>
      <c r="BA120" s="503" t="str">
        <f>IF(終値!A120="","",IF(AND(高値!AE120&gt;高値!AD120,高値!AE120&gt;高値!AC120,高値!AE120&gt;高値!AF120,高値!AE120&gt;高値!AG120),26,""))</f>
        <v/>
      </c>
      <c r="BB120" s="503" t="str">
        <f>IF(終値!A120="","",IF(AND(高値!AF120&gt;高値!AE120,高値!AF120&gt;高値!AD120,高値!AF120&gt;高値!AG120,高値!AF120&gt;高値!AH120),27,""))</f>
        <v/>
      </c>
      <c r="BC120" s="503" t="str">
        <f>IF(終値!A120="","",IF(AND(高値!AG120&gt;高値!AF120,高値!AG120&gt;高値!AE120,高値!AG120&gt;高値!AH120,高値!AG120&gt;高値!AI120),28,""))</f>
        <v/>
      </c>
      <c r="BD120" s="503">
        <f t="shared" si="6"/>
        <v>6</v>
      </c>
      <c r="BE120" s="503">
        <f t="shared" si="7"/>
        <v>5</v>
      </c>
      <c r="BF120" s="503">
        <f t="shared" si="8"/>
        <v>9</v>
      </c>
      <c r="BG120" s="503">
        <f>IF($BE120="","",INDEX(安値!$E120:$CZ120,1,$BE120+1))</f>
        <v>4310</v>
      </c>
      <c r="BH120" s="503">
        <f>IF($BF120="","",INDEX(安値!$E120:$CZ120,1,$BF120+1))</f>
        <v>0</v>
      </c>
      <c r="BI120" s="503">
        <f>IF($BF120="","",MAX(INDEX(高値!$E120:$CZ120,1,$BE120+1):INDEX(高値!$E120:$CZ120,1,$BF120+1)))</f>
        <v>4470</v>
      </c>
      <c r="BJ120" s="503">
        <f>IF($BF120="","",AVERAGE(INDEX(終値!$E120:$CZ120,1,$BF120+1):INDEX(終値!$E120:$CZ120,1,$BF120+20))-2*STDEVP(INDEX(終値!$E120:$CZ120,1,$BF120+1):INDEX(終値!$E120:$CZ120,1,$BF120+20)))</f>
        <v>4056.6599911880421</v>
      </c>
      <c r="BK120" s="503">
        <f>IF($BE120="","",AVERAGE(INDEX(終値!$E120:$CZ120,1,$BE120+1):INDEX(終値!$E120:$CZ120,1,$BE120+20))-2*STDEVP(INDEX(終値!$E120:$CZ120,1,$BE120+1):INDEX(終値!$E120:$CZ120,1,$BE120+20)))</f>
        <v>4134.5476005156361</v>
      </c>
      <c r="BL120" s="503">
        <f t="shared" si="9"/>
        <v>3</v>
      </c>
      <c r="BM120" s="503">
        <f t="shared" si="10"/>
        <v>11</v>
      </c>
      <c r="BN120" s="503">
        <f t="shared" si="11"/>
        <v>20</v>
      </c>
      <c r="BO120" s="503">
        <f>IF($BM120="","",INDEX(高値!$E120:$CZ120,1,$BM120+1))</f>
        <v>4345</v>
      </c>
      <c r="BP120" s="503">
        <f>IF($BN120="","",INDEX(高値!$E120:$CZ120,1,$BN120+1))</f>
        <v>4525</v>
      </c>
      <c r="BQ120" s="503">
        <f>IF($BN120="","",MIN(INDEX(安値!$E120:$CZ120,1,$BM120+1):INDEX(安値!$E120:$CZ120,1,$BN120+1)))</f>
        <v>4050</v>
      </c>
      <c r="BR120" s="503">
        <f>IF($BN120="","",AVERAGE(INDEX(終値!$E120:$CZ120,1,$BN120+1):INDEX(終値!$E120:$CZ120,1,$BN120+20))+2*STDEVP(INDEX(終値!$E120:$CZ120,1,$BN120+1):INDEX(終値!$E120:$CZ120,1,$BN120+20)))</f>
        <v>4393.8442489305562</v>
      </c>
      <c r="BS120" s="503">
        <f>IF($BM120="","",AVERAGE(INDEX(終値!$E120:$CZ120,1,$BM120+1):INDEX(終値!$E120:$CZ120,1,$BM120+20))+2*STDEVP(INDEX(終値!$E120:$CZ120,1,$BM120+1):INDEX(終値!$E120:$CZ120,1,$BM120+20)))</f>
        <v>4434.9484467584107</v>
      </c>
      <c r="BT120" s="500"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v>
      </c>
    </row>
    <row r="121" spans="2:72">
      <c r="B121" s="503" t="str">
        <f>IF(終値!A121="","",IF(AND(安値!G121&lt;安値!F121,安値!G121&lt;安値!E121,安値!G121&lt;安値!H121,安値!G121&lt;安値!I121),2,""))</f>
        <v/>
      </c>
      <c r="C121" s="503" t="str">
        <f>IF(終値!A121="","",IF(AND(安値!H121&lt;安値!G121,安値!H121&lt;安値!F121,安値!H121&lt;安値!I121,安値!H121&lt;安値!J121),3,""))</f>
        <v/>
      </c>
      <c r="D121" s="503" t="str">
        <f>IF(終値!A121="","",IF(AND(安値!I121&lt;安値!H121,安値!I121&lt;安値!G121,安値!I121&lt;安値!J121,安値!I121&lt;安値!K121),4,""))</f>
        <v/>
      </c>
      <c r="E121" s="503" t="str">
        <f>IF(終値!A121="","",IF(AND(安値!J121&lt;安値!I121,安値!J121&lt;安値!H121,安値!J121&lt;安値!K121,安値!J121&lt;安値!L121),5,""))</f>
        <v/>
      </c>
      <c r="F121" s="503" t="str">
        <f>IF(終値!A121="","",IF(AND(安値!K121&lt;安値!J121,安値!K121&lt;安値!I121,安値!K121&lt;安値!L121,安値!K121&lt;安値!M121),6,""))</f>
        <v/>
      </c>
      <c r="G121" s="503" t="str">
        <f>IF(終値!A121="","",IF(AND(安値!L121&lt;安値!K121,安値!L121&lt;安値!J121,安値!L121&lt;安値!M121,安値!L121&lt;安値!N121),7,""))</f>
        <v/>
      </c>
      <c r="H121" s="503" t="str">
        <f>IF(終値!A121="","",IF(AND(安値!M121&lt;安値!L121,安値!M121&lt;安値!K121,安値!M121&lt;安値!N121,安値!M121&lt;安値!O121),8,""))</f>
        <v/>
      </c>
      <c r="I121" s="503">
        <f>IF(終値!A121="","",IF(AND(安値!N121&lt;安値!M121,安値!N121&lt;安値!L121,安値!N121&lt;安値!O121,安値!N121&lt;安値!P121),9,""))</f>
        <v>9</v>
      </c>
      <c r="J121" s="503" t="str">
        <f>IF(終値!A121="","",IF(AND(安値!O121&lt;安値!N121,安値!O121&lt;安値!M121,安値!O121&lt;安値!P121,安値!O121&lt;安値!Q121),10,""))</f>
        <v/>
      </c>
      <c r="K121" s="503" t="str">
        <f>IF(終値!A121="","",IF(AND(安値!P121&lt;安値!O121,安値!P121&lt;安値!N121,安値!P121&lt;安値!Q121,安値!P121&lt;安値!R121),11,""))</f>
        <v/>
      </c>
      <c r="L121" s="503">
        <f>IF(終値!A121="","",IF(AND(安値!Q121&lt;安値!P121,安値!Q121&lt;安値!O121,安値!Q121&lt;安値!R121,安値!Q121&lt;安値!S121),12,""))</f>
        <v>12</v>
      </c>
      <c r="M121" s="503" t="str">
        <f>IF(終値!A121="","",IF(AND(安値!R121&lt;安値!Q121,安値!R121&lt;安値!P121,安値!R121&lt;安値!S121,安値!R121&lt;安値!T121),13,""))</f>
        <v/>
      </c>
      <c r="N121" s="503" t="str">
        <f>IF(終値!A121="","",IF(AND(安値!S121&lt;安値!R121,安値!S121&lt;安値!Q121,安値!S121&lt;安値!T121,安値!S121&lt;安値!U121),14,""))</f>
        <v/>
      </c>
      <c r="O121" s="503" t="str">
        <f>IF(終値!A121="","",IF(AND(安値!T121&lt;安値!S121,安値!T121&lt;安値!R121,安値!T121&lt;安値!U121,安値!T121&lt;安値!V121),15,""))</f>
        <v/>
      </c>
      <c r="P121" s="503" t="str">
        <f>IF(終値!A121="","",IF(AND(安値!U121&lt;安値!T121,安値!U121&lt;安値!S121,安値!U121&lt;安値!V121,安値!U121&lt;安値!W121),16,""))</f>
        <v/>
      </c>
      <c r="Q121" s="503">
        <f>IF(終値!A121="","",IF(AND(安値!V121&lt;安値!U121,安値!V121&lt;安値!T121,安値!V121&lt;安値!W121,安値!V121&lt;安値!X121),17,""))</f>
        <v>17</v>
      </c>
      <c r="R121" s="503" t="str">
        <f>IF(終値!A121="","",IF(AND(安値!W121&lt;安値!V121,安値!W121&lt;安値!U121,安値!W121&lt;安値!X121,安値!W121&lt;安値!Y121),18,""))</f>
        <v/>
      </c>
      <c r="S121" s="503" t="str">
        <f>IF(終値!A121="","",IF(AND(安値!X121&lt;安値!W121,安値!X121&lt;安値!V121,安値!X121&lt;安値!Y121,安値!X121&lt;安値!Z121),19,""))</f>
        <v/>
      </c>
      <c r="T121" s="503" t="str">
        <f>IF(終値!A121="","",IF(AND(安値!Y121&lt;安値!X121,安値!Y121&lt;安値!W121,安値!Y121&lt;安値!Z121,安値!Y121&lt;安値!AA121),20,""))</f>
        <v/>
      </c>
      <c r="U121" s="503" t="str">
        <f>IF(終値!A121="","",IF(AND(安値!Z121&lt;安値!Y121,安値!Z121&lt;安値!X121,安値!Z121&lt;安値!AA121,安値!Z121&lt;安値!AB121),21,""))</f>
        <v/>
      </c>
      <c r="V121" s="503" t="str">
        <f>IF(終値!A121="","",IF(AND(安値!AA121&lt;安値!Z121,安値!AA121&lt;安値!Y121,安値!AA121&lt;安値!AB121,安値!AA121&lt;安値!AC121),22,""))</f>
        <v/>
      </c>
      <c r="W121" s="503" t="str">
        <f>IF(終値!A121="","",IF(AND(安値!AB121&lt;安値!AA121,安値!AB121&lt;安値!Z121,安値!AB121&lt;安値!AC121,安値!AB121&lt;安値!AD121),23,""))</f>
        <v/>
      </c>
      <c r="X121" s="503" t="str">
        <f>IF(終値!A121="","",IF(AND(安値!AC121&lt;安値!AB121,安値!AC121&lt;安値!AA121,安値!AC121&lt;安値!AD121,安値!AC121&lt;安値!AE121),24,""))</f>
        <v/>
      </c>
      <c r="Y121" s="503">
        <f>IF(終値!A121="","",IF(AND(安値!AD121&lt;安値!AC121,安値!AD121&lt;安値!AB121,安値!AD121&lt;安値!AE121,安値!AD121&lt;安値!AF121),25,""))</f>
        <v>25</v>
      </c>
      <c r="Z121" s="503" t="str">
        <f>IF(終値!A121="","",IF(AND(安値!AE121&lt;安値!AD121,安値!AE121&lt;安値!AC121,安値!AE121&lt;安値!AF121,安値!AE121&lt;安値!AG121),26,""))</f>
        <v/>
      </c>
      <c r="AA121" s="503" t="str">
        <f>IF(終値!A121="","",IF(AND(安値!AF121&lt;安値!AE121,安値!AF121&lt;安値!AD121,安値!AF121&lt;安値!AG121,安値!AF121&lt;安値!AH121),27,""))</f>
        <v/>
      </c>
      <c r="AB121" s="503" t="str">
        <f>IF(終値!A121="","",IF(AND(安値!AG121&lt;安値!AF121,安値!AG121&lt;安値!AE121,安値!AG121&lt;安値!AH121,安値!AG121&lt;安値!AI121),28,""))</f>
        <v/>
      </c>
      <c r="AC121" s="503" t="str">
        <f>IF(終値!A121="","",IF(AND(高値!G121&gt;高値!F121,高値!G121&gt;高値!E121,高値!G121&gt;高値!H121,高値!G121&gt;高値!I121),2,""))</f>
        <v/>
      </c>
      <c r="AD121" s="503" t="str">
        <f>IF(終値!A121="","",IF(AND(高値!H121&gt;高値!G121,高値!H121&gt;高値!F121,高値!H121&gt;高値!I121,高値!H121&gt;高値!J121),3,""))</f>
        <v/>
      </c>
      <c r="AE121" s="503" t="str">
        <f>IF(終値!A121="","",IF(AND(高値!I121&gt;高値!H121,高値!I121&gt;高値!G121,高値!I121&gt;高値!J121,高値!I121&gt;高値!K121),4,""))</f>
        <v/>
      </c>
      <c r="AF121" s="503" t="str">
        <f>IF(終値!A121="","",IF(AND(高値!J121&gt;高値!I121,高値!J121&gt;高値!H121,高値!J121&gt;高値!K121,高値!J121&gt;高値!L121),5,""))</f>
        <v/>
      </c>
      <c r="AG121" s="503" t="str">
        <f>IF(終値!A121="","",IF(AND(高値!K121&gt;高値!J121,高値!K121&gt;高値!I121,高値!K121&gt;高値!L121,高値!K121&gt;高値!M121),6,""))</f>
        <v/>
      </c>
      <c r="AH121" s="503">
        <f>IF(終値!A121="","",IF(AND(高値!L121&gt;高値!K121,高値!L121&gt;高値!J121,高値!L121&gt;高値!M121,高値!L121&gt;高値!N121),7,""))</f>
        <v>7</v>
      </c>
      <c r="AI121" s="503" t="str">
        <f>IF(終値!A121="","",IF(AND(高値!M121&gt;高値!L121,高値!M121&gt;高値!K121,高値!M121&gt;高値!N121,高値!M121&gt;高値!O121),8,""))</f>
        <v/>
      </c>
      <c r="AJ121" s="503" t="str">
        <f>IF(終値!A121="","",IF(AND(高値!N121&gt;高値!M121,高値!N121&gt;高値!L121,高値!N121&gt;高値!O121,高値!N121&gt;高値!P121),9,""))</f>
        <v/>
      </c>
      <c r="AK121" s="503" t="str">
        <f>IF(終値!A121="","",IF(AND(高値!O121&gt;高値!N121,高値!O121&gt;高値!M121,高値!O121&gt;高値!P121,高値!O121&gt;高値!Q121),10,""))</f>
        <v/>
      </c>
      <c r="AL121" s="503" t="str">
        <f>IF(終値!A121="","",IF(AND(高値!P121&gt;高値!O121,高値!P121&gt;高値!N121,高値!P121&gt;高値!Q121,高値!P121&gt;高値!R121),11,""))</f>
        <v/>
      </c>
      <c r="AM121" s="503" t="str">
        <f>IF(終値!A121="","",IF(AND(高値!Q121&gt;高値!P121,高値!Q121&gt;高値!O121,高値!Q121&gt;高値!R121,高値!Q121&gt;高値!S121),12,""))</f>
        <v/>
      </c>
      <c r="AN121" s="503" t="str">
        <f>IF(終値!A121="","",IF(AND(高値!R121&gt;高値!Q121,高値!R121&gt;高値!P121,高値!R121&gt;高値!S121,高値!R121&gt;高値!T121),13,""))</f>
        <v/>
      </c>
      <c r="AO121" s="503" t="str">
        <f>IF(終値!A121="","",IF(AND(高値!S121&gt;高値!R121,高値!S121&gt;高値!Q121,高値!S121&gt;高値!T121,高値!S121&gt;高値!U121),14,""))</f>
        <v/>
      </c>
      <c r="AP121" s="503" t="str">
        <f>IF(終値!A121="","",IF(AND(高値!T121&gt;高値!S121,高値!T121&gt;高値!R121,高値!T121&gt;高値!U121,高値!T121&gt;高値!V121),15,""))</f>
        <v/>
      </c>
      <c r="AQ121" s="503" t="str">
        <f>IF(終値!A121="","",IF(AND(高値!U121&gt;高値!T121,高値!U121&gt;高値!S121,高値!U121&gt;高値!V121,高値!U121&gt;高値!W121),16,""))</f>
        <v/>
      </c>
      <c r="AR121" s="503" t="str">
        <f>IF(終値!A121="","",IF(AND(高値!V121&gt;高値!U121,高値!V121&gt;高値!T121,高値!V121&gt;高値!W121,高値!V121&gt;高値!X121),17,""))</f>
        <v/>
      </c>
      <c r="AS121" s="503">
        <f>IF(終値!A121="","",IF(AND(高値!W121&gt;高値!V121,高値!W121&gt;高値!U121,高値!W121&gt;高値!X121,高値!W121&gt;高値!Y121),18,""))</f>
        <v>18</v>
      </c>
      <c r="AT121" s="503" t="str">
        <f>IF(終値!A121="","",IF(AND(高値!X121&gt;高値!W121,高値!X121&gt;高値!V121,高値!X121&gt;高値!Y121,高値!X121&gt;高値!Z121),19,""))</f>
        <v/>
      </c>
      <c r="AU121" s="503" t="str">
        <f>IF(終値!A121="","",IF(AND(高値!Y121&gt;高値!X121,高値!Y121&gt;高値!W121,高値!Y121&gt;高値!Z121,高値!Y121&gt;高値!AA121),20,""))</f>
        <v/>
      </c>
      <c r="AV121" s="503" t="str">
        <f>IF(終値!A121="","",IF(AND(高値!Z121&gt;高値!Y121,高値!Z121&gt;高値!X121,高値!Z121&gt;高値!AA121,高値!Z121&gt;高値!AB121),21,""))</f>
        <v/>
      </c>
      <c r="AW121" s="503">
        <f>IF(終値!A121="","",IF(AND(高値!AA121&gt;高値!Z121,高値!AA121&gt;高値!Y121,高値!AA121&gt;高値!AB121,高値!AA121&gt;高値!AC121),22,""))</f>
        <v>22</v>
      </c>
      <c r="AX121" s="503" t="str">
        <f>IF(終値!A121="","",IF(AND(高値!AB121&gt;高値!AA121,高値!AB121&gt;高値!Z121,高値!AB121&gt;高値!AC121,高値!AB121&gt;高値!AD121),23,""))</f>
        <v/>
      </c>
      <c r="AY121" s="503" t="str">
        <f>IF(終値!A121="","",IF(AND(高値!AC121&gt;高値!AB121,高値!AC121&gt;高値!AA121,高値!AC121&gt;高値!AD121,高値!AC121&gt;高値!AE121),24,""))</f>
        <v/>
      </c>
      <c r="AZ121" s="503" t="str">
        <f>IF(終値!A121="","",IF(AND(高値!AD121&gt;高値!AC121,高値!AD121&gt;高値!AB121,高値!AD121&gt;高値!AE121,高値!AD121&gt;高値!AF121),25,""))</f>
        <v/>
      </c>
      <c r="BA121" s="503" t="str">
        <f>IF(終値!A121="","",IF(AND(高値!AE121&gt;高値!AD121,高値!AE121&gt;高値!AC121,高値!AE121&gt;高値!AF121,高値!AE121&gt;高値!AG121),26,""))</f>
        <v/>
      </c>
      <c r="BB121" s="503" t="str">
        <f>IF(終値!A121="","",IF(AND(高値!AF121&gt;高値!AE121,高値!AF121&gt;高値!AD121,高値!AF121&gt;高値!AG121,高値!AF121&gt;高値!AH121),27,""))</f>
        <v/>
      </c>
      <c r="BC121" s="503" t="str">
        <f>IF(終値!A121="","",IF(AND(高値!AG121&gt;高値!AF121,高値!AG121&gt;高値!AE121,高値!AG121&gt;高値!AH121,高値!AG121&gt;高値!AI121),28,""))</f>
        <v/>
      </c>
      <c r="BD121" s="503">
        <f t="shared" si="6"/>
        <v>4</v>
      </c>
      <c r="BE121" s="503">
        <f t="shared" si="7"/>
        <v>9</v>
      </c>
      <c r="BF121" s="503">
        <f t="shared" si="8"/>
        <v>12</v>
      </c>
      <c r="BG121" s="503">
        <f>IF($BE121="","",INDEX(安値!$E121:$CZ121,1,$BE121+1))</f>
        <v>0</v>
      </c>
      <c r="BH121" s="503">
        <f>IF($BF121="","",INDEX(安値!$E121:$CZ121,1,$BF121+1))</f>
        <v>2980</v>
      </c>
      <c r="BI121" s="503">
        <f>IF($BF121="","",MAX(INDEX(高値!$E121:$CZ121,1,$BE121+1):INDEX(高値!$E121:$CZ121,1,$BF121+1)))</f>
        <v>3365</v>
      </c>
      <c r="BJ121" s="503">
        <f>IF($BF121="","",AVERAGE(INDEX(終値!$E121:$CZ121,1,$BF121+1):INDEX(終値!$E121:$CZ121,1,$BF121+20))-2*STDEVP(INDEX(終値!$E121:$CZ121,1,$BF121+1):INDEX(終値!$E121:$CZ121,1,$BF121+20)))</f>
        <v>3261.8874570310286</v>
      </c>
      <c r="BK121" s="503">
        <f>IF($BE121="","",AVERAGE(INDEX(終値!$E121:$CZ121,1,$BE121+1):INDEX(終値!$E121:$CZ121,1,$BE121+20))-2*STDEVP(INDEX(終値!$E121:$CZ121,1,$BE121+1):INDEX(終値!$E121:$CZ121,1,$BE121+20)))</f>
        <v>3159.1170984497653</v>
      </c>
      <c r="BL121" s="503">
        <f t="shared" si="9"/>
        <v>3</v>
      </c>
      <c r="BM121" s="503">
        <f t="shared" si="10"/>
        <v>7</v>
      </c>
      <c r="BN121" s="503">
        <f t="shared" si="11"/>
        <v>18</v>
      </c>
      <c r="BO121" s="503">
        <f>IF($BM121="","",INDEX(高値!$E121:$CZ121,1,$BM121+1))</f>
        <v>3155</v>
      </c>
      <c r="BP121" s="503">
        <f>IF($BN121="","",INDEX(高値!$E121:$CZ121,1,$BN121+1))</f>
        <v>3705</v>
      </c>
      <c r="BQ121" s="503">
        <f>IF($BN121="","",MIN(INDEX(安値!$E121:$CZ121,1,$BM121+1):INDEX(安値!$E121:$CZ121,1,$BN121+1)))</f>
        <v>2980</v>
      </c>
      <c r="BR121" s="503">
        <f>IF($BN121="","",AVERAGE(INDEX(終値!$E121:$CZ121,1,$BN121+1):INDEX(終値!$E121:$CZ121,1,$BN121+20))+2*STDEVP(INDEX(終値!$E121:$CZ121,1,$BN121+1):INDEX(終値!$E121:$CZ121,1,$BN121+20)))</f>
        <v>3754.054625416712</v>
      </c>
      <c r="BS121" s="503">
        <f>IF($BM121="","",AVERAGE(INDEX(終値!$E121:$CZ121,1,$BM121+1):INDEX(終値!$E121:$CZ121,1,$BM121+20))+2*STDEVP(INDEX(終値!$E121:$CZ121,1,$BM121+1):INDEX(終値!$E121:$CZ121,1,$BM121+20)))</f>
        <v>3745.6285298392731</v>
      </c>
      <c r="BT121" s="500"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3" t="str">
        <f>IF(終値!A122="","",IF(AND(安値!G122&lt;安値!F122,安値!G122&lt;安値!E122,安値!G122&lt;安値!H122,安値!G122&lt;安値!I122),2,""))</f>
        <v/>
      </c>
      <c r="C122" s="503">
        <f>IF(終値!A122="","",IF(AND(安値!H122&lt;安値!G122,安値!H122&lt;安値!F122,安値!H122&lt;安値!I122,安値!H122&lt;安値!J122),3,""))</f>
        <v>3</v>
      </c>
      <c r="D122" s="503" t="str">
        <f>IF(終値!A122="","",IF(AND(安値!I122&lt;安値!H122,安値!I122&lt;安値!G122,安値!I122&lt;安値!J122,安値!I122&lt;安値!K122),4,""))</f>
        <v/>
      </c>
      <c r="E122" s="503" t="str">
        <f>IF(終値!A122="","",IF(AND(安値!J122&lt;安値!I122,安値!J122&lt;安値!H122,安値!J122&lt;安値!K122,安値!J122&lt;安値!L122),5,""))</f>
        <v/>
      </c>
      <c r="F122" s="503" t="str">
        <f>IF(終値!A122="","",IF(AND(安値!K122&lt;安値!J122,安値!K122&lt;安値!I122,安値!K122&lt;安値!L122,安値!K122&lt;安値!M122),6,""))</f>
        <v/>
      </c>
      <c r="G122" s="503" t="str">
        <f>IF(終値!A122="","",IF(AND(安値!L122&lt;安値!K122,安値!L122&lt;安値!J122,安値!L122&lt;安値!M122,安値!L122&lt;安値!N122),7,""))</f>
        <v/>
      </c>
      <c r="H122" s="503" t="str">
        <f>IF(終値!A122="","",IF(AND(安値!M122&lt;安値!L122,安値!M122&lt;安値!K122,安値!M122&lt;安値!N122,安値!M122&lt;安値!O122),8,""))</f>
        <v/>
      </c>
      <c r="I122" s="503" t="str">
        <f>IF(終値!A122="","",IF(AND(安値!N122&lt;安値!M122,安値!N122&lt;安値!L122,安値!N122&lt;安値!O122,安値!N122&lt;安値!P122),9,""))</f>
        <v/>
      </c>
      <c r="J122" s="503" t="str">
        <f>IF(終値!A122="","",IF(AND(安値!O122&lt;安値!N122,安値!O122&lt;安値!M122,安値!O122&lt;安値!P122,安値!O122&lt;安値!Q122),10,""))</f>
        <v/>
      </c>
      <c r="K122" s="503" t="str">
        <f>IF(終値!A122="","",IF(AND(安値!P122&lt;安値!O122,安値!P122&lt;安値!N122,安値!P122&lt;安値!Q122,安値!P122&lt;安値!R122),11,""))</f>
        <v/>
      </c>
      <c r="L122" s="503" t="str">
        <f>IF(終値!A122="","",IF(AND(安値!Q122&lt;安値!P122,安値!Q122&lt;安値!O122,安値!Q122&lt;安値!R122,安値!Q122&lt;安値!S122),12,""))</f>
        <v/>
      </c>
      <c r="M122" s="503">
        <f>IF(終値!A122="","",IF(AND(安値!R122&lt;安値!Q122,安値!R122&lt;安値!P122,安値!R122&lt;安値!S122,安値!R122&lt;安値!T122),13,""))</f>
        <v>13</v>
      </c>
      <c r="N122" s="503" t="str">
        <f>IF(終値!A122="","",IF(AND(安値!S122&lt;安値!R122,安値!S122&lt;安値!Q122,安値!S122&lt;安値!T122,安値!S122&lt;安値!U122),14,""))</f>
        <v/>
      </c>
      <c r="O122" s="503" t="str">
        <f>IF(終値!A122="","",IF(AND(安値!T122&lt;安値!S122,安値!T122&lt;安値!R122,安値!T122&lt;安値!U122,安値!T122&lt;安値!V122),15,""))</f>
        <v/>
      </c>
      <c r="P122" s="503" t="str">
        <f>IF(終値!A122="","",IF(AND(安値!U122&lt;安値!T122,安値!U122&lt;安値!S122,安値!U122&lt;安値!V122,安値!U122&lt;安値!W122),16,""))</f>
        <v/>
      </c>
      <c r="Q122" s="503" t="str">
        <f>IF(終値!A122="","",IF(AND(安値!V122&lt;安値!U122,安値!V122&lt;安値!T122,安値!V122&lt;安値!W122,安値!V122&lt;安値!X122),17,""))</f>
        <v/>
      </c>
      <c r="R122" s="503" t="str">
        <f>IF(終値!A122="","",IF(AND(安値!W122&lt;安値!V122,安値!W122&lt;安値!U122,安値!W122&lt;安値!X122,安値!W122&lt;安値!Y122),18,""))</f>
        <v/>
      </c>
      <c r="S122" s="503" t="str">
        <f>IF(終値!A122="","",IF(AND(安値!X122&lt;安値!W122,安値!X122&lt;安値!V122,安値!X122&lt;安値!Y122,安値!X122&lt;安値!Z122),19,""))</f>
        <v/>
      </c>
      <c r="T122" s="503" t="str">
        <f>IF(終値!A122="","",IF(AND(安値!Y122&lt;安値!X122,安値!Y122&lt;安値!W122,安値!Y122&lt;安値!Z122,安値!Y122&lt;安値!AA122),20,""))</f>
        <v/>
      </c>
      <c r="U122" s="503" t="str">
        <f>IF(終値!A122="","",IF(AND(安値!Z122&lt;安値!Y122,安値!Z122&lt;安値!X122,安値!Z122&lt;安値!AA122,安値!Z122&lt;安値!AB122),21,""))</f>
        <v/>
      </c>
      <c r="V122" s="503" t="str">
        <f>IF(終値!A122="","",IF(AND(安値!AA122&lt;安値!Z122,安値!AA122&lt;安値!Y122,安値!AA122&lt;安値!AB122,安値!AA122&lt;安値!AC122),22,""))</f>
        <v/>
      </c>
      <c r="W122" s="503" t="str">
        <f>IF(終値!A122="","",IF(AND(安値!AB122&lt;安値!AA122,安値!AB122&lt;安値!Z122,安値!AB122&lt;安値!AC122,安値!AB122&lt;安値!AD122),23,""))</f>
        <v/>
      </c>
      <c r="X122" s="503" t="str">
        <f>IF(終値!A122="","",IF(AND(安値!AC122&lt;安値!AB122,安値!AC122&lt;安値!AA122,安値!AC122&lt;安値!AD122,安値!AC122&lt;安値!AE122),24,""))</f>
        <v/>
      </c>
      <c r="Y122" s="503" t="str">
        <f>IF(終値!A122="","",IF(AND(安値!AD122&lt;安値!AC122,安値!AD122&lt;安値!AB122,安値!AD122&lt;安値!AE122,安値!AD122&lt;安値!AF122),25,""))</f>
        <v/>
      </c>
      <c r="Z122" s="503" t="str">
        <f>IF(終値!A122="","",IF(AND(安値!AE122&lt;安値!AD122,安値!AE122&lt;安値!AC122,安値!AE122&lt;安値!AF122,安値!AE122&lt;安値!AG122),26,""))</f>
        <v/>
      </c>
      <c r="AA122" s="503" t="str">
        <f>IF(終値!A122="","",IF(AND(安値!AF122&lt;安値!AE122,安値!AF122&lt;安値!AD122,安値!AF122&lt;安値!AG122,安値!AF122&lt;安値!AH122),27,""))</f>
        <v/>
      </c>
      <c r="AB122" s="503" t="str">
        <f>IF(終値!A122="","",IF(AND(安値!AG122&lt;安値!AF122,安値!AG122&lt;安値!AE122,安値!AG122&lt;安値!AH122,安値!AG122&lt;安値!AI122),28,""))</f>
        <v/>
      </c>
      <c r="AC122" s="503" t="str">
        <f>IF(終値!A122="","",IF(AND(高値!G122&gt;高値!F122,高値!G122&gt;高値!E122,高値!G122&gt;高値!H122,高値!G122&gt;高値!I122),2,""))</f>
        <v/>
      </c>
      <c r="AD122" s="503" t="str">
        <f>IF(終値!A122="","",IF(AND(高値!H122&gt;高値!G122,高値!H122&gt;高値!F122,高値!H122&gt;高値!I122,高値!H122&gt;高値!J122),3,""))</f>
        <v/>
      </c>
      <c r="AE122" s="503" t="str">
        <f>IF(終値!A122="","",IF(AND(高値!I122&gt;高値!H122,高値!I122&gt;高値!G122,高値!I122&gt;高値!J122,高値!I122&gt;高値!K122),4,""))</f>
        <v/>
      </c>
      <c r="AF122" s="503" t="str">
        <f>IF(終値!A122="","",IF(AND(高値!J122&gt;高値!I122,高値!J122&gt;高値!H122,高値!J122&gt;高値!K122,高値!J122&gt;高値!L122),5,""))</f>
        <v/>
      </c>
      <c r="AG122" s="503" t="str">
        <f>IF(終値!A122="","",IF(AND(高値!K122&gt;高値!J122,高値!K122&gt;高値!I122,高値!K122&gt;高値!L122,高値!K122&gt;高値!M122),6,""))</f>
        <v/>
      </c>
      <c r="AH122" s="503" t="str">
        <f>IF(終値!A122="","",IF(AND(高値!L122&gt;高値!K122,高値!L122&gt;高値!J122,高値!L122&gt;高値!M122,高値!L122&gt;高値!N122),7,""))</f>
        <v/>
      </c>
      <c r="AI122" s="503">
        <f>IF(終値!A122="","",IF(AND(高値!M122&gt;高値!L122,高値!M122&gt;高値!K122,高値!M122&gt;高値!N122,高値!M122&gt;高値!O122),8,""))</f>
        <v>8</v>
      </c>
      <c r="AJ122" s="503" t="str">
        <f>IF(終値!A122="","",IF(AND(高値!N122&gt;高値!M122,高値!N122&gt;高値!L122,高値!N122&gt;高値!O122,高値!N122&gt;高値!P122),9,""))</f>
        <v/>
      </c>
      <c r="AK122" s="503" t="str">
        <f>IF(終値!A122="","",IF(AND(高値!O122&gt;高値!N122,高値!O122&gt;高値!M122,高値!O122&gt;高値!P122,高値!O122&gt;高値!Q122),10,""))</f>
        <v/>
      </c>
      <c r="AL122" s="503" t="str">
        <f>IF(終値!A122="","",IF(AND(高値!P122&gt;高値!O122,高値!P122&gt;高値!N122,高値!P122&gt;高値!Q122,高値!P122&gt;高値!R122),11,""))</f>
        <v/>
      </c>
      <c r="AM122" s="503" t="str">
        <f>IF(終値!A122="","",IF(AND(高値!Q122&gt;高値!P122,高値!Q122&gt;高値!O122,高値!Q122&gt;高値!R122,高値!Q122&gt;高値!S122),12,""))</f>
        <v/>
      </c>
      <c r="AN122" s="503">
        <f>IF(終値!A122="","",IF(AND(高値!R122&gt;高値!Q122,高値!R122&gt;高値!P122,高値!R122&gt;高値!S122,高値!R122&gt;高値!T122),13,""))</f>
        <v>13</v>
      </c>
      <c r="AO122" s="503" t="str">
        <f>IF(終値!A122="","",IF(AND(高値!S122&gt;高値!R122,高値!S122&gt;高値!Q122,高値!S122&gt;高値!T122,高値!S122&gt;高値!U122),14,""))</f>
        <v/>
      </c>
      <c r="AP122" s="503" t="str">
        <f>IF(終値!A122="","",IF(AND(高値!T122&gt;高値!S122,高値!T122&gt;高値!R122,高値!T122&gt;高値!U122,高値!T122&gt;高値!V122),15,""))</f>
        <v/>
      </c>
      <c r="AQ122" s="503" t="str">
        <f>IF(終値!A122="","",IF(AND(高値!U122&gt;高値!T122,高値!U122&gt;高値!S122,高値!U122&gt;高値!V122,高値!U122&gt;高値!W122),16,""))</f>
        <v/>
      </c>
      <c r="AR122" s="503" t="str">
        <f>IF(終値!A122="","",IF(AND(高値!V122&gt;高値!U122,高値!V122&gt;高値!T122,高値!V122&gt;高値!W122,高値!V122&gt;高値!X122),17,""))</f>
        <v/>
      </c>
      <c r="AS122" s="503" t="str">
        <f>IF(終値!A122="","",IF(AND(高値!W122&gt;高値!V122,高値!W122&gt;高値!U122,高値!W122&gt;高値!X122,高値!W122&gt;高値!Y122),18,""))</f>
        <v/>
      </c>
      <c r="AT122" s="503" t="str">
        <f>IF(終値!A122="","",IF(AND(高値!X122&gt;高値!W122,高値!X122&gt;高値!V122,高値!X122&gt;高値!Y122,高値!X122&gt;高値!Z122),19,""))</f>
        <v/>
      </c>
      <c r="AU122" s="503" t="str">
        <f>IF(終値!A122="","",IF(AND(高値!Y122&gt;高値!X122,高値!Y122&gt;高値!W122,高値!Y122&gt;高値!Z122,高値!Y122&gt;高値!AA122),20,""))</f>
        <v/>
      </c>
      <c r="AV122" s="503" t="str">
        <f>IF(終値!A122="","",IF(AND(高値!Z122&gt;高値!Y122,高値!Z122&gt;高値!X122,高値!Z122&gt;高値!AA122,高値!Z122&gt;高値!AB122),21,""))</f>
        <v/>
      </c>
      <c r="AW122" s="503" t="str">
        <f>IF(終値!A122="","",IF(AND(高値!AA122&gt;高値!Z122,高値!AA122&gt;高値!Y122,高値!AA122&gt;高値!AB122,高値!AA122&gt;高値!AC122),22,""))</f>
        <v/>
      </c>
      <c r="AX122" s="503" t="str">
        <f>IF(終値!A122="","",IF(AND(高値!AB122&gt;高値!AA122,高値!AB122&gt;高値!Z122,高値!AB122&gt;高値!AC122,高値!AB122&gt;高値!AD122),23,""))</f>
        <v/>
      </c>
      <c r="AY122" s="503" t="str">
        <f>IF(終値!A122="","",IF(AND(高値!AC122&gt;高値!AB122,高値!AC122&gt;高値!AA122,高値!AC122&gt;高値!AD122,高値!AC122&gt;高値!AE122),24,""))</f>
        <v/>
      </c>
      <c r="AZ122" s="503" t="str">
        <f>IF(終値!A122="","",IF(AND(高値!AD122&gt;高値!AC122,高値!AD122&gt;高値!AB122,高値!AD122&gt;高値!AE122,高値!AD122&gt;高値!AF122),25,""))</f>
        <v/>
      </c>
      <c r="BA122" s="503" t="str">
        <f>IF(終値!A122="","",IF(AND(高値!AE122&gt;高値!AD122,高値!AE122&gt;高値!AC122,高値!AE122&gt;高値!AF122,高値!AE122&gt;高値!AG122),26,""))</f>
        <v/>
      </c>
      <c r="BB122" s="503" t="str">
        <f>IF(終値!A122="","",IF(AND(高値!AF122&gt;高値!AE122,高値!AF122&gt;高値!AD122,高値!AF122&gt;高値!AG122,高値!AF122&gt;高値!AH122),27,""))</f>
        <v/>
      </c>
      <c r="BC122" s="503" t="str">
        <f>IF(終値!A122="","",IF(AND(高値!AG122&gt;高値!AF122,高値!AG122&gt;高値!AE122,高値!AG122&gt;高値!AH122,高値!AG122&gt;高値!AI122),28,""))</f>
        <v/>
      </c>
      <c r="BD122" s="503">
        <f t="shared" si="6"/>
        <v>2</v>
      </c>
      <c r="BE122" s="503">
        <f t="shared" si="7"/>
        <v>3</v>
      </c>
      <c r="BF122" s="503">
        <f t="shared" si="8"/>
        <v>13</v>
      </c>
      <c r="BG122" s="503">
        <f>IF($BE122="","",INDEX(安値!$E122:$CZ122,1,$BE122+1))</f>
        <v>2440</v>
      </c>
      <c r="BH122" s="503">
        <f>IF($BF122="","",INDEX(安値!$E122:$CZ122,1,$BF122+1))</f>
        <v>2407</v>
      </c>
      <c r="BI122" s="503">
        <f>IF($BF122="","",MAX(INDEX(高値!$E122:$CZ122,1,$BE122+1):INDEX(高値!$E122:$CZ122,1,$BF122+1)))</f>
        <v>2661</v>
      </c>
      <c r="BJ122" s="503">
        <f>IF($BF122="","",AVERAGE(INDEX(終値!$E122:$CZ122,1,$BF122+1):INDEX(終値!$E122:$CZ122,1,$BF122+20))-2*STDEVP(INDEX(終値!$E122:$CZ122,1,$BF122+1):INDEX(終値!$E122:$CZ122,1,$BF122+20)))</f>
        <v>2229.6826599319938</v>
      </c>
      <c r="BK122" s="503">
        <f>IF($BE122="","",AVERAGE(INDEX(終値!$E122:$CZ122,1,$BE122+1):INDEX(終値!$E122:$CZ122,1,$BE122+20))-2*STDEVP(INDEX(終値!$E122:$CZ122,1,$BE122+1):INDEX(終値!$E122:$CZ122,1,$BE122+20)))</f>
        <v>2402.3174427777799</v>
      </c>
      <c r="BL122" s="503">
        <f t="shared" si="9"/>
        <v>2</v>
      </c>
      <c r="BM122" s="503">
        <f t="shared" si="10"/>
        <v>8</v>
      </c>
      <c r="BN122" s="503">
        <f t="shared" si="11"/>
        <v>13</v>
      </c>
      <c r="BO122" s="503">
        <f>IF($BM122="","",INDEX(高値!$E122:$CZ122,1,$BM122+1))</f>
        <v>2661</v>
      </c>
      <c r="BP122" s="503">
        <f>IF($BN122="","",INDEX(高値!$E122:$CZ122,1,$BN122+1))</f>
        <v>2629.5</v>
      </c>
      <c r="BQ122" s="503">
        <f>IF($BN122="","",MIN(INDEX(安値!$E122:$CZ122,1,$BM122+1):INDEX(安値!$E122:$CZ122,1,$BN122+1)))</f>
        <v>2407</v>
      </c>
      <c r="BR122" s="503">
        <f>IF($BN122="","",AVERAGE(INDEX(終値!$E122:$CZ122,1,$BN122+1):INDEX(終値!$E122:$CZ122,1,$BN122+20))+2*STDEVP(INDEX(終値!$E122:$CZ122,1,$BN122+1):INDEX(終値!$E122:$CZ122,1,$BN122+20)))</f>
        <v>2602.0673400680062</v>
      </c>
      <c r="BS122" s="503">
        <f>IF($BM122="","",AVERAGE(INDEX(終値!$E122:$CZ122,1,$BM122+1):INDEX(終値!$E122:$CZ122,1,$BM122+20))+2*STDEVP(INDEX(終値!$E122:$CZ122,1,$BM122+1):INDEX(終値!$E122:$CZ122,1,$BM122+20)))</f>
        <v>2681.827963367175</v>
      </c>
      <c r="BT122" s="500"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二番底W形成</v>
      </c>
    </row>
    <row r="123" spans="2:72">
      <c r="B123" s="503" t="str">
        <f>IF(終値!A123="","",IF(AND(安値!G123&lt;安値!F123,安値!G123&lt;安値!E123,安値!G123&lt;安値!H123,安値!G123&lt;安値!I123),2,""))</f>
        <v/>
      </c>
      <c r="C123" s="503">
        <f>IF(終値!A123="","",IF(AND(安値!H123&lt;安値!G123,安値!H123&lt;安値!F123,安値!H123&lt;安値!I123,安値!H123&lt;安値!J123),3,""))</f>
        <v>3</v>
      </c>
      <c r="D123" s="503" t="str">
        <f>IF(終値!A123="","",IF(AND(安値!I123&lt;安値!H123,安値!I123&lt;安値!G123,安値!I123&lt;安値!J123,安値!I123&lt;安値!K123),4,""))</f>
        <v/>
      </c>
      <c r="E123" s="503" t="str">
        <f>IF(終値!A123="","",IF(AND(安値!J123&lt;安値!I123,安値!J123&lt;安値!H123,安値!J123&lt;安値!K123,安値!J123&lt;安値!L123),5,""))</f>
        <v/>
      </c>
      <c r="F123" s="503" t="str">
        <f>IF(終値!A123="","",IF(AND(安値!K123&lt;安値!J123,安値!K123&lt;安値!I123,安値!K123&lt;安値!L123,安値!K123&lt;安値!M123),6,""))</f>
        <v/>
      </c>
      <c r="G123" s="503" t="str">
        <f>IF(終値!A123="","",IF(AND(安値!L123&lt;安値!K123,安値!L123&lt;安値!J123,安値!L123&lt;安値!M123,安値!L123&lt;安値!N123),7,""))</f>
        <v/>
      </c>
      <c r="H123" s="503" t="str">
        <f>IF(終値!A123="","",IF(AND(安値!M123&lt;安値!L123,安値!M123&lt;安値!K123,安値!M123&lt;安値!N123,安値!M123&lt;安値!O123),8,""))</f>
        <v/>
      </c>
      <c r="I123" s="503" t="str">
        <f>IF(終値!A123="","",IF(AND(安値!N123&lt;安値!M123,安値!N123&lt;安値!L123,安値!N123&lt;安値!O123,安値!N123&lt;安値!P123),9,""))</f>
        <v/>
      </c>
      <c r="J123" s="503" t="str">
        <f>IF(終値!A123="","",IF(AND(安値!O123&lt;安値!N123,安値!O123&lt;安値!M123,安値!O123&lt;安値!P123,安値!O123&lt;安値!Q123),10,""))</f>
        <v/>
      </c>
      <c r="K123" s="503" t="str">
        <f>IF(終値!A123="","",IF(AND(安値!P123&lt;安値!O123,安値!P123&lt;安値!N123,安値!P123&lt;安値!Q123,安値!P123&lt;安値!R123),11,""))</f>
        <v/>
      </c>
      <c r="L123" s="503" t="str">
        <f>IF(終値!A123="","",IF(AND(安値!Q123&lt;安値!P123,安値!Q123&lt;安値!O123,安値!Q123&lt;安値!R123,安値!Q123&lt;安値!S123),12,""))</f>
        <v/>
      </c>
      <c r="M123" s="503">
        <f>IF(終値!A123="","",IF(AND(安値!R123&lt;安値!Q123,安値!R123&lt;安値!P123,安値!R123&lt;安値!S123,安値!R123&lt;安値!T123),13,""))</f>
        <v>13</v>
      </c>
      <c r="N123" s="503" t="str">
        <f>IF(終値!A123="","",IF(AND(安値!S123&lt;安値!R123,安値!S123&lt;安値!Q123,安値!S123&lt;安値!T123,安値!S123&lt;安値!U123),14,""))</f>
        <v/>
      </c>
      <c r="O123" s="503" t="str">
        <f>IF(終値!A123="","",IF(AND(安値!T123&lt;安値!S123,安値!T123&lt;安値!R123,安値!T123&lt;安値!U123,安値!T123&lt;安値!V123),15,""))</f>
        <v/>
      </c>
      <c r="P123" s="503" t="str">
        <f>IF(終値!A123="","",IF(AND(安値!U123&lt;安値!T123,安値!U123&lt;安値!S123,安値!U123&lt;安値!V123,安値!U123&lt;安値!W123),16,""))</f>
        <v/>
      </c>
      <c r="Q123" s="503" t="str">
        <f>IF(終値!A123="","",IF(AND(安値!V123&lt;安値!U123,安値!V123&lt;安値!T123,安値!V123&lt;安値!W123,安値!V123&lt;安値!X123),17,""))</f>
        <v/>
      </c>
      <c r="R123" s="503">
        <f>IF(終値!A123="","",IF(AND(安値!W123&lt;安値!V123,安値!W123&lt;安値!U123,安値!W123&lt;安値!X123,安値!W123&lt;安値!Y123),18,""))</f>
        <v>18</v>
      </c>
      <c r="S123" s="503" t="str">
        <f>IF(終値!A123="","",IF(AND(安値!X123&lt;安値!W123,安値!X123&lt;安値!V123,安値!X123&lt;安値!Y123,安値!X123&lt;安値!Z123),19,""))</f>
        <v/>
      </c>
      <c r="T123" s="503" t="str">
        <f>IF(終値!A123="","",IF(AND(安値!Y123&lt;安値!X123,安値!Y123&lt;安値!W123,安値!Y123&lt;安値!Z123,安値!Y123&lt;安値!AA123),20,""))</f>
        <v/>
      </c>
      <c r="U123" s="503" t="str">
        <f>IF(終値!A123="","",IF(AND(安値!Z123&lt;安値!Y123,安値!Z123&lt;安値!X123,安値!Z123&lt;安値!AA123,安値!Z123&lt;安値!AB123),21,""))</f>
        <v/>
      </c>
      <c r="V123" s="503" t="str">
        <f>IF(終値!A123="","",IF(AND(安値!AA123&lt;安値!Z123,安値!AA123&lt;安値!Y123,安値!AA123&lt;安値!AB123,安値!AA123&lt;安値!AC123),22,""))</f>
        <v/>
      </c>
      <c r="W123" s="503" t="str">
        <f>IF(終値!A123="","",IF(AND(安値!AB123&lt;安値!AA123,安値!AB123&lt;安値!Z123,安値!AB123&lt;安値!AC123,安値!AB123&lt;安値!AD123),23,""))</f>
        <v/>
      </c>
      <c r="X123" s="503" t="str">
        <f>IF(終値!A123="","",IF(AND(安値!AC123&lt;安値!AB123,安値!AC123&lt;安値!AA123,安値!AC123&lt;安値!AD123,安値!AC123&lt;安値!AE123),24,""))</f>
        <v/>
      </c>
      <c r="Y123" s="503" t="str">
        <f>IF(終値!A123="","",IF(AND(安値!AD123&lt;安値!AC123,安値!AD123&lt;安値!AB123,安値!AD123&lt;安値!AE123,安値!AD123&lt;安値!AF123),25,""))</f>
        <v/>
      </c>
      <c r="Z123" s="503" t="str">
        <f>IF(終値!A123="","",IF(AND(安値!AE123&lt;安値!AD123,安値!AE123&lt;安値!AC123,安値!AE123&lt;安値!AF123,安値!AE123&lt;安値!AG123),26,""))</f>
        <v/>
      </c>
      <c r="AA123" s="503" t="str">
        <f>IF(終値!A123="","",IF(AND(安値!AF123&lt;安値!AE123,安値!AF123&lt;安値!AD123,安値!AF123&lt;安値!AG123,安値!AF123&lt;安値!AH123),27,""))</f>
        <v/>
      </c>
      <c r="AB123" s="503">
        <f>IF(終値!A123="","",IF(AND(安値!AG123&lt;安値!AF123,安値!AG123&lt;安値!AE123,安値!AG123&lt;安値!AH123,安値!AG123&lt;安値!AI123),28,""))</f>
        <v>28</v>
      </c>
      <c r="AC123" s="503" t="str">
        <f>IF(終値!A123="","",IF(AND(高値!G123&gt;高値!F123,高値!G123&gt;高値!E123,高値!G123&gt;高値!H123,高値!G123&gt;高値!I123),2,""))</f>
        <v/>
      </c>
      <c r="AD123" s="503" t="str">
        <f>IF(終値!A123="","",IF(AND(高値!H123&gt;高値!G123,高値!H123&gt;高値!F123,高値!H123&gt;高値!I123,高値!H123&gt;高値!J123),3,""))</f>
        <v/>
      </c>
      <c r="AE123" s="503" t="str">
        <f>IF(終値!A123="","",IF(AND(高値!I123&gt;高値!H123,高値!I123&gt;高値!G123,高値!I123&gt;高値!J123,高値!I123&gt;高値!K123),4,""))</f>
        <v/>
      </c>
      <c r="AF123" s="503" t="str">
        <f>IF(終値!A123="","",IF(AND(高値!J123&gt;高値!I123,高値!J123&gt;高値!H123,高値!J123&gt;高値!K123,高値!J123&gt;高値!L123),5,""))</f>
        <v/>
      </c>
      <c r="AG123" s="503" t="str">
        <f>IF(終値!A123="","",IF(AND(高値!K123&gt;高値!J123,高値!K123&gt;高値!I123,高値!K123&gt;高値!L123,高値!K123&gt;高値!M123),6,""))</f>
        <v/>
      </c>
      <c r="AH123" s="503" t="str">
        <f>IF(終値!A123="","",IF(AND(高値!L123&gt;高値!K123,高値!L123&gt;高値!J123,高値!L123&gt;高値!M123,高値!L123&gt;高値!N123),7,""))</f>
        <v/>
      </c>
      <c r="AI123" s="503">
        <f>IF(終値!A123="","",IF(AND(高値!M123&gt;高値!L123,高値!M123&gt;高値!K123,高値!M123&gt;高値!N123,高値!M123&gt;高値!O123),8,""))</f>
        <v>8</v>
      </c>
      <c r="AJ123" s="503" t="str">
        <f>IF(終値!A123="","",IF(AND(高値!N123&gt;高値!M123,高値!N123&gt;高値!L123,高値!N123&gt;高値!O123,高値!N123&gt;高値!P123),9,""))</f>
        <v/>
      </c>
      <c r="AK123" s="503" t="str">
        <f>IF(終値!A123="","",IF(AND(高値!O123&gt;高値!N123,高値!O123&gt;高値!M123,高値!O123&gt;高値!P123,高値!O123&gt;高値!Q123),10,""))</f>
        <v/>
      </c>
      <c r="AL123" s="503" t="str">
        <f>IF(終値!A123="","",IF(AND(高値!P123&gt;高値!O123,高値!P123&gt;高値!N123,高値!P123&gt;高値!Q123,高値!P123&gt;高値!R123),11,""))</f>
        <v/>
      </c>
      <c r="AM123" s="503" t="str">
        <f>IF(終値!A123="","",IF(AND(高値!Q123&gt;高値!P123,高値!Q123&gt;高値!O123,高値!Q123&gt;高値!R123,高値!Q123&gt;高値!S123),12,""))</f>
        <v/>
      </c>
      <c r="AN123" s="503" t="str">
        <f>IF(終値!A123="","",IF(AND(高値!R123&gt;高値!Q123,高値!R123&gt;高値!P123,高値!R123&gt;高値!S123,高値!R123&gt;高値!T123),13,""))</f>
        <v/>
      </c>
      <c r="AO123" s="503">
        <f>IF(終値!A123="","",IF(AND(高値!S123&gt;高値!R123,高値!S123&gt;高値!Q123,高値!S123&gt;高値!T123,高値!S123&gt;高値!U123),14,""))</f>
        <v>14</v>
      </c>
      <c r="AP123" s="503" t="str">
        <f>IF(終値!A123="","",IF(AND(高値!T123&gt;高値!S123,高値!T123&gt;高値!R123,高値!T123&gt;高値!U123,高値!T123&gt;高値!V123),15,""))</f>
        <v/>
      </c>
      <c r="AQ123" s="503" t="str">
        <f>IF(終値!A123="","",IF(AND(高値!U123&gt;高値!T123,高値!U123&gt;高値!S123,高値!U123&gt;高値!V123,高値!U123&gt;高値!W123),16,""))</f>
        <v/>
      </c>
      <c r="AR123" s="503">
        <f>IF(終値!A123="","",IF(AND(高値!V123&gt;高値!U123,高値!V123&gt;高値!T123,高値!V123&gt;高値!W123,高値!V123&gt;高値!X123),17,""))</f>
        <v>17</v>
      </c>
      <c r="AS123" s="503" t="str">
        <f>IF(終値!A123="","",IF(AND(高値!W123&gt;高値!V123,高値!W123&gt;高値!U123,高値!W123&gt;高値!X123,高値!W123&gt;高値!Y123),18,""))</f>
        <v/>
      </c>
      <c r="AT123" s="503" t="str">
        <f>IF(終値!A123="","",IF(AND(高値!X123&gt;高値!W123,高値!X123&gt;高値!V123,高値!X123&gt;高値!Y123,高値!X123&gt;高値!Z123),19,""))</f>
        <v/>
      </c>
      <c r="AU123" s="503">
        <f>IF(終値!A123="","",IF(AND(高値!Y123&gt;高値!X123,高値!Y123&gt;高値!W123,高値!Y123&gt;高値!Z123,高値!Y123&gt;高値!AA123),20,""))</f>
        <v>20</v>
      </c>
      <c r="AV123" s="503" t="str">
        <f>IF(終値!A123="","",IF(AND(高値!Z123&gt;高値!Y123,高値!Z123&gt;高値!X123,高値!Z123&gt;高値!AA123,高値!Z123&gt;高値!AB123),21,""))</f>
        <v/>
      </c>
      <c r="AW123" s="503" t="str">
        <f>IF(終値!A123="","",IF(AND(高値!AA123&gt;高値!Z123,高値!AA123&gt;高値!Y123,高値!AA123&gt;高値!AB123,高値!AA123&gt;高値!AC123),22,""))</f>
        <v/>
      </c>
      <c r="AX123" s="503" t="str">
        <f>IF(終値!A123="","",IF(AND(高値!AB123&gt;高値!AA123,高値!AB123&gt;高値!Z123,高値!AB123&gt;高値!AC123,高値!AB123&gt;高値!AD123),23,""))</f>
        <v/>
      </c>
      <c r="AY123" s="503" t="str">
        <f>IF(終値!A123="","",IF(AND(高値!AC123&gt;高値!AB123,高値!AC123&gt;高値!AA123,高値!AC123&gt;高値!AD123,高値!AC123&gt;高値!AE123),24,""))</f>
        <v/>
      </c>
      <c r="AZ123" s="503" t="str">
        <f>IF(終値!A123="","",IF(AND(高値!AD123&gt;高値!AC123,高値!AD123&gt;高値!AB123,高値!AD123&gt;高値!AE123,高値!AD123&gt;高値!AF123),25,""))</f>
        <v/>
      </c>
      <c r="BA123" s="503" t="str">
        <f>IF(終値!A123="","",IF(AND(高値!AE123&gt;高値!AD123,高値!AE123&gt;高値!AC123,高値!AE123&gt;高値!AF123,高値!AE123&gt;高値!AG123),26,""))</f>
        <v/>
      </c>
      <c r="BB123" s="503" t="str">
        <f>IF(終値!A123="","",IF(AND(高値!AF123&gt;高値!AE123,高値!AF123&gt;高値!AD123,高値!AF123&gt;高値!AG123,高値!AF123&gt;高値!AH123),27,""))</f>
        <v/>
      </c>
      <c r="BC123" s="503" t="str">
        <f>IF(終値!A123="","",IF(AND(高値!AG123&gt;高値!AF123,高値!AG123&gt;高値!AE123,高値!AG123&gt;高値!AH123,高値!AG123&gt;高値!AI123),28,""))</f>
        <v/>
      </c>
      <c r="BD123" s="503">
        <f t="shared" si="6"/>
        <v>4</v>
      </c>
      <c r="BE123" s="503">
        <f t="shared" si="7"/>
        <v>3</v>
      </c>
      <c r="BF123" s="503">
        <f t="shared" si="8"/>
        <v>13</v>
      </c>
      <c r="BG123" s="503">
        <f>IF($BE123="","",INDEX(安値!$E123:$CZ123,1,$BE123+1))</f>
        <v>2397.5</v>
      </c>
      <c r="BH123" s="503">
        <f>IF($BF123="","",INDEX(安値!$E123:$CZ123,1,$BF123+1))</f>
        <v>2412.5</v>
      </c>
      <c r="BI123" s="503">
        <f>IF($BF123="","",MAX(INDEX(高値!$E123:$CZ123,1,$BE123+1):INDEX(高値!$E123:$CZ123,1,$BF123+1)))</f>
        <v>2699.5</v>
      </c>
      <c r="BJ123" s="503">
        <f>IF($BF123="","",AVERAGE(INDEX(終値!$E123:$CZ123,1,$BF123+1):INDEX(終値!$E123:$CZ123,1,$BF123+20))-2*STDEVP(INDEX(終値!$E123:$CZ123,1,$BF123+1):INDEX(終値!$E123:$CZ123,1,$BF123+20)))</f>
        <v>2287.9504883602849</v>
      </c>
      <c r="BK123" s="503">
        <f>IF($BE123="","",AVERAGE(INDEX(終値!$E123:$CZ123,1,$BE123+1):INDEX(終値!$E123:$CZ123,1,$BE123+20))-2*STDEVP(INDEX(終値!$E123:$CZ123,1,$BE123+1):INDEX(終値!$E123:$CZ123,1,$BE123+20)))</f>
        <v>2449.3130726701547</v>
      </c>
      <c r="BL123" s="503">
        <f t="shared" si="9"/>
        <v>4</v>
      </c>
      <c r="BM123" s="503">
        <f t="shared" si="10"/>
        <v>8</v>
      </c>
      <c r="BN123" s="503">
        <f t="shared" si="11"/>
        <v>14</v>
      </c>
      <c r="BO123" s="503">
        <f>IF($BM123="","",INDEX(高値!$E123:$CZ123,1,$BM123+1))</f>
        <v>2699.5</v>
      </c>
      <c r="BP123" s="503">
        <f>IF($BN123="","",INDEX(高値!$E123:$CZ123,1,$BN123+1))</f>
        <v>2638.5</v>
      </c>
      <c r="BQ123" s="503">
        <f>IF($BN123="","",MIN(INDEX(安値!$E123:$CZ123,1,$BM123+1):INDEX(安値!$E123:$CZ123,1,$BN123+1)))</f>
        <v>2412.5</v>
      </c>
      <c r="BR123" s="503">
        <f>IF($BN123="","",AVERAGE(INDEX(終値!$E123:$CZ123,1,$BN123+1):INDEX(終値!$E123:$CZ123,1,$BN123+20))+2*STDEVP(INDEX(終値!$E123:$CZ123,1,$BN123+1):INDEX(終値!$E123:$CZ123,1,$BN123+20)))</f>
        <v>2663.7348554570217</v>
      </c>
      <c r="BS123" s="503">
        <f>IF($BM123="","",AVERAGE(INDEX(終値!$E123:$CZ123,1,$BM123+1):INDEX(終値!$E123:$CZ123,1,$BM123+20))+2*STDEVP(INDEX(終値!$E123:$CZ123,1,$BM123+1):INDEX(終値!$E123:$CZ123,1,$BM123+20)))</f>
        <v>2731.8566722912283</v>
      </c>
      <c r="BT123" s="500"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二番底W形成</v>
      </c>
    </row>
    <row r="124" spans="2:72">
      <c r="B124" s="503">
        <f>IF(終値!A124="","",IF(AND(安値!G124&lt;安値!F124,安値!G124&lt;安値!E124,安値!G124&lt;安値!H124,安値!G124&lt;安値!I124),2,""))</f>
        <v>2</v>
      </c>
      <c r="C124" s="503" t="str">
        <f>IF(終値!A124="","",IF(AND(安値!H124&lt;安値!G124,安値!H124&lt;安値!F124,安値!H124&lt;安値!I124,安値!H124&lt;安値!J124),3,""))</f>
        <v/>
      </c>
      <c r="D124" s="503" t="str">
        <f>IF(終値!A124="","",IF(AND(安値!I124&lt;安値!H124,安値!I124&lt;安値!G124,安値!I124&lt;安値!J124,安値!I124&lt;安値!K124),4,""))</f>
        <v/>
      </c>
      <c r="E124" s="503" t="str">
        <f>IF(終値!A124="","",IF(AND(安値!J124&lt;安値!I124,安値!J124&lt;安値!H124,安値!J124&lt;安値!K124,安値!J124&lt;安値!L124),5,""))</f>
        <v/>
      </c>
      <c r="F124" s="503" t="str">
        <f>IF(終値!A124="","",IF(AND(安値!K124&lt;安値!J124,安値!K124&lt;安値!I124,安値!K124&lt;安値!L124,安値!K124&lt;安値!M124),6,""))</f>
        <v/>
      </c>
      <c r="G124" s="503" t="str">
        <f>IF(終値!A124="","",IF(AND(安値!L124&lt;安値!K124,安値!L124&lt;安値!J124,安値!L124&lt;安値!M124,安値!L124&lt;安値!N124),7,""))</f>
        <v/>
      </c>
      <c r="H124" s="503" t="str">
        <f>IF(終値!A124="","",IF(AND(安値!M124&lt;安値!L124,安値!M124&lt;安値!K124,安値!M124&lt;安値!N124,安値!M124&lt;安値!O124),8,""))</f>
        <v/>
      </c>
      <c r="I124" s="503">
        <f>IF(終値!A124="","",IF(AND(安値!N124&lt;安値!M124,安値!N124&lt;安値!L124,安値!N124&lt;安値!O124,安値!N124&lt;安値!P124),9,""))</f>
        <v>9</v>
      </c>
      <c r="J124" s="503" t="str">
        <f>IF(終値!A124="","",IF(AND(安値!O124&lt;安値!N124,安値!O124&lt;安値!M124,安値!O124&lt;安値!P124,安値!O124&lt;安値!Q124),10,""))</f>
        <v/>
      </c>
      <c r="K124" s="503" t="str">
        <f>IF(終値!A124="","",IF(AND(安値!P124&lt;安値!O124,安値!P124&lt;安値!N124,安値!P124&lt;安値!Q124,安値!P124&lt;安値!R124),11,""))</f>
        <v/>
      </c>
      <c r="L124" s="503" t="str">
        <f>IF(終値!A124="","",IF(AND(安値!Q124&lt;安値!P124,安値!Q124&lt;安値!O124,安値!Q124&lt;安値!R124,安値!Q124&lt;安値!S124),12,""))</f>
        <v/>
      </c>
      <c r="M124" s="503" t="str">
        <f>IF(終値!A124="","",IF(AND(安値!R124&lt;安値!Q124,安値!R124&lt;安値!P124,安値!R124&lt;安値!S124,安値!R124&lt;安値!T124),13,""))</f>
        <v/>
      </c>
      <c r="N124" s="503" t="str">
        <f>IF(終値!A124="","",IF(AND(安値!S124&lt;安値!R124,安値!S124&lt;安値!Q124,安値!S124&lt;安値!T124,安値!S124&lt;安値!U124),14,""))</f>
        <v/>
      </c>
      <c r="O124" s="503" t="str">
        <f>IF(終値!A124="","",IF(AND(安値!T124&lt;安値!S124,安値!T124&lt;安値!R124,安値!T124&lt;安値!U124,安値!T124&lt;安値!V124),15,""))</f>
        <v/>
      </c>
      <c r="P124" s="503" t="str">
        <f>IF(終値!A124="","",IF(AND(安値!U124&lt;安値!T124,安値!U124&lt;安値!S124,安値!U124&lt;安値!V124,安値!U124&lt;安値!W124),16,""))</f>
        <v/>
      </c>
      <c r="Q124" s="503" t="str">
        <f>IF(終値!A124="","",IF(AND(安値!V124&lt;安値!U124,安値!V124&lt;安値!T124,安値!V124&lt;安値!W124,安値!V124&lt;安値!X124),17,""))</f>
        <v/>
      </c>
      <c r="R124" s="503" t="str">
        <f>IF(終値!A124="","",IF(AND(安値!W124&lt;安値!V124,安値!W124&lt;安値!U124,安値!W124&lt;安値!X124,安値!W124&lt;安値!Y124),18,""))</f>
        <v/>
      </c>
      <c r="S124" s="503" t="str">
        <f>IF(終値!A124="","",IF(AND(安値!X124&lt;安値!W124,安値!X124&lt;安値!V124,安値!X124&lt;安値!Y124,安値!X124&lt;安値!Z124),19,""))</f>
        <v/>
      </c>
      <c r="T124" s="503" t="str">
        <f>IF(終値!A124="","",IF(AND(安値!Y124&lt;安値!X124,安値!Y124&lt;安値!W124,安値!Y124&lt;安値!Z124,安値!Y124&lt;安値!AA124),20,""))</f>
        <v/>
      </c>
      <c r="U124" s="503" t="str">
        <f>IF(終値!A124="","",IF(AND(安値!Z124&lt;安値!Y124,安値!Z124&lt;安値!X124,安値!Z124&lt;安値!AA124,安値!Z124&lt;安値!AB124),21,""))</f>
        <v/>
      </c>
      <c r="V124" s="503" t="str">
        <f>IF(終値!A124="","",IF(AND(安値!AA124&lt;安値!Z124,安値!AA124&lt;安値!Y124,安値!AA124&lt;安値!AB124,安値!AA124&lt;安値!AC124),22,""))</f>
        <v/>
      </c>
      <c r="W124" s="503" t="str">
        <f>IF(終値!A124="","",IF(AND(安値!AB124&lt;安値!AA124,安値!AB124&lt;安値!Z124,安値!AB124&lt;安値!AC124,安値!AB124&lt;安値!AD124),23,""))</f>
        <v/>
      </c>
      <c r="X124" s="503">
        <f>IF(終値!A124="","",IF(AND(安値!AC124&lt;安値!AB124,安値!AC124&lt;安値!AA124,安値!AC124&lt;安値!AD124,安値!AC124&lt;安値!AE124),24,""))</f>
        <v>24</v>
      </c>
      <c r="Y124" s="503" t="str">
        <f>IF(終値!A124="","",IF(AND(安値!AD124&lt;安値!AC124,安値!AD124&lt;安値!AB124,安値!AD124&lt;安値!AE124,安値!AD124&lt;安値!AF124),25,""))</f>
        <v/>
      </c>
      <c r="Z124" s="503" t="str">
        <f>IF(終値!A124="","",IF(AND(安値!AE124&lt;安値!AD124,安値!AE124&lt;安値!AC124,安値!AE124&lt;安値!AF124,安値!AE124&lt;安値!AG124),26,""))</f>
        <v/>
      </c>
      <c r="AA124" s="503">
        <f>IF(終値!A124="","",IF(AND(安値!AF124&lt;安値!AE124,安値!AF124&lt;安値!AD124,安値!AF124&lt;安値!AG124,安値!AF124&lt;安値!AH124),27,""))</f>
        <v>27</v>
      </c>
      <c r="AB124" s="503" t="str">
        <f>IF(終値!A124="","",IF(AND(安値!AG124&lt;安値!AF124,安値!AG124&lt;安値!AE124,安値!AG124&lt;安値!AH124,安値!AG124&lt;安値!AI124),28,""))</f>
        <v/>
      </c>
      <c r="AC124" s="503" t="str">
        <f>IF(終値!A124="","",IF(AND(高値!G124&gt;高値!F124,高値!G124&gt;高値!E124,高値!G124&gt;高値!H124,高値!G124&gt;高値!I124),2,""))</f>
        <v/>
      </c>
      <c r="AD124" s="503" t="str">
        <f>IF(終値!A124="","",IF(AND(高値!H124&gt;高値!G124,高値!H124&gt;高値!F124,高値!H124&gt;高値!I124,高値!H124&gt;高値!J124),3,""))</f>
        <v/>
      </c>
      <c r="AE124" s="503" t="str">
        <f>IF(終値!A124="","",IF(AND(高値!I124&gt;高値!H124,高値!I124&gt;高値!G124,高値!I124&gt;高値!J124,高値!I124&gt;高値!K124),4,""))</f>
        <v/>
      </c>
      <c r="AF124" s="503" t="str">
        <f>IF(終値!A124="","",IF(AND(高値!J124&gt;高値!I124,高値!J124&gt;高値!H124,高値!J124&gt;高値!K124,高値!J124&gt;高値!L124),5,""))</f>
        <v/>
      </c>
      <c r="AG124" s="503">
        <f>IF(終値!A124="","",IF(AND(高値!K124&gt;高値!J124,高値!K124&gt;高値!I124,高値!K124&gt;高値!L124,高値!K124&gt;高値!M124),6,""))</f>
        <v>6</v>
      </c>
      <c r="AH124" s="503" t="str">
        <f>IF(終値!A124="","",IF(AND(高値!L124&gt;高値!K124,高値!L124&gt;高値!J124,高値!L124&gt;高値!M124,高値!L124&gt;高値!N124),7,""))</f>
        <v/>
      </c>
      <c r="AI124" s="503" t="str">
        <f>IF(終値!A124="","",IF(AND(高値!M124&gt;高値!L124,高値!M124&gt;高値!K124,高値!M124&gt;高値!N124,高値!M124&gt;高値!O124),8,""))</f>
        <v/>
      </c>
      <c r="AJ124" s="503" t="str">
        <f>IF(終値!A124="","",IF(AND(高値!N124&gt;高値!M124,高値!N124&gt;高値!L124,高値!N124&gt;高値!O124,高値!N124&gt;高値!P124),9,""))</f>
        <v/>
      </c>
      <c r="AK124" s="503" t="str">
        <f>IF(終値!A124="","",IF(AND(高値!O124&gt;高値!N124,高値!O124&gt;高値!M124,高値!O124&gt;高値!P124,高値!O124&gt;高値!Q124),10,""))</f>
        <v/>
      </c>
      <c r="AL124" s="503" t="str">
        <f>IF(終値!A124="","",IF(AND(高値!P124&gt;高値!O124,高値!P124&gt;高値!N124,高値!P124&gt;高値!Q124,高値!P124&gt;高値!R124),11,""))</f>
        <v/>
      </c>
      <c r="AM124" s="503">
        <f>IF(終値!A124="","",IF(AND(高値!Q124&gt;高値!P124,高値!Q124&gt;高値!O124,高値!Q124&gt;高値!R124,高値!Q124&gt;高値!S124),12,""))</f>
        <v>12</v>
      </c>
      <c r="AN124" s="503" t="str">
        <f>IF(終値!A124="","",IF(AND(高値!R124&gt;高値!Q124,高値!R124&gt;高値!P124,高値!R124&gt;高値!S124,高値!R124&gt;高値!T124),13,""))</f>
        <v/>
      </c>
      <c r="AO124" s="503" t="str">
        <f>IF(終値!A124="","",IF(AND(高値!S124&gt;高値!R124,高値!S124&gt;高値!Q124,高値!S124&gt;高値!T124,高値!S124&gt;高値!U124),14,""))</f>
        <v/>
      </c>
      <c r="AP124" s="503" t="str">
        <f>IF(終値!A124="","",IF(AND(高値!T124&gt;高値!S124,高値!T124&gt;高値!R124,高値!T124&gt;高値!U124,高値!T124&gt;高値!V124),15,""))</f>
        <v/>
      </c>
      <c r="AQ124" s="503" t="str">
        <f>IF(終値!A124="","",IF(AND(高値!U124&gt;高値!T124,高値!U124&gt;高値!S124,高値!U124&gt;高値!V124,高値!U124&gt;高値!W124),16,""))</f>
        <v/>
      </c>
      <c r="AR124" s="503" t="str">
        <f>IF(終値!A124="","",IF(AND(高値!V124&gt;高値!U124,高値!V124&gt;高値!T124,高値!V124&gt;高値!W124,高値!V124&gt;高値!X124),17,""))</f>
        <v/>
      </c>
      <c r="AS124" s="503" t="str">
        <f>IF(終値!A124="","",IF(AND(高値!W124&gt;高値!V124,高値!W124&gt;高値!U124,高値!W124&gt;高値!X124,高値!W124&gt;高値!Y124),18,""))</f>
        <v/>
      </c>
      <c r="AT124" s="503" t="str">
        <f>IF(終値!A124="","",IF(AND(高値!X124&gt;高値!W124,高値!X124&gt;高値!V124,高値!X124&gt;高値!Y124,高値!X124&gt;高値!Z124),19,""))</f>
        <v/>
      </c>
      <c r="AU124" s="503">
        <f>IF(終値!A124="","",IF(AND(高値!Y124&gt;高値!X124,高値!Y124&gt;高値!W124,高値!Y124&gt;高値!Z124,高値!Y124&gt;高値!AA124),20,""))</f>
        <v>20</v>
      </c>
      <c r="AV124" s="503" t="str">
        <f>IF(終値!A124="","",IF(AND(高値!Z124&gt;高値!Y124,高値!Z124&gt;高値!X124,高値!Z124&gt;高値!AA124,高値!Z124&gt;高値!AB124),21,""))</f>
        <v/>
      </c>
      <c r="AW124" s="503" t="str">
        <f>IF(終値!A124="","",IF(AND(高値!AA124&gt;高値!Z124,高値!AA124&gt;高値!Y124,高値!AA124&gt;高値!AB124,高値!AA124&gt;高値!AC124),22,""))</f>
        <v/>
      </c>
      <c r="AX124" s="503" t="str">
        <f>IF(終値!A124="","",IF(AND(高値!AB124&gt;高値!AA124,高値!AB124&gt;高値!Z124,高値!AB124&gt;高値!AC124,高値!AB124&gt;高値!AD124),23,""))</f>
        <v/>
      </c>
      <c r="AY124" s="503" t="str">
        <f>IF(終値!A124="","",IF(AND(高値!AC124&gt;高値!AB124,高値!AC124&gt;高値!AA124,高値!AC124&gt;高値!AD124,高値!AC124&gt;高値!AE124),24,""))</f>
        <v/>
      </c>
      <c r="AZ124" s="503">
        <f>IF(終値!A124="","",IF(AND(高値!AD124&gt;高値!AC124,高値!AD124&gt;高値!AB124,高値!AD124&gt;高値!AE124,高値!AD124&gt;高値!AF124),25,""))</f>
        <v>25</v>
      </c>
      <c r="BA124" s="503" t="str">
        <f>IF(終値!A124="","",IF(AND(高値!AE124&gt;高値!AD124,高値!AE124&gt;高値!AC124,高値!AE124&gt;高値!AF124,高値!AE124&gt;高値!AG124),26,""))</f>
        <v/>
      </c>
      <c r="BB124" s="503" t="str">
        <f>IF(終値!A124="","",IF(AND(高値!AF124&gt;高値!AE124,高値!AF124&gt;高値!AD124,高値!AF124&gt;高値!AG124,高値!AF124&gt;高値!AH124),27,""))</f>
        <v/>
      </c>
      <c r="BC124" s="503" t="str">
        <f>IF(終値!A124="","",IF(AND(高値!AG124&gt;高値!AF124,高値!AG124&gt;高値!AE124,高値!AG124&gt;高値!AH124,高値!AG124&gt;高値!AI124),28,""))</f>
        <v/>
      </c>
      <c r="BD124" s="503">
        <f t="shared" si="6"/>
        <v>4</v>
      </c>
      <c r="BE124" s="503">
        <f t="shared" si="7"/>
        <v>2</v>
      </c>
      <c r="BF124" s="503">
        <f t="shared" si="8"/>
        <v>9</v>
      </c>
      <c r="BG124" s="503">
        <f>IF($BE124="","",INDEX(安値!$E124:$CZ124,1,$BE124+1))</f>
        <v>1473</v>
      </c>
      <c r="BH124" s="503">
        <f>IF($BF124="","",INDEX(安値!$E124:$CZ124,1,$BF124+1))</f>
        <v>1526</v>
      </c>
      <c r="BI124" s="503">
        <f>IF($BF124="","",MAX(INDEX(高値!$E124:$CZ124,1,$BE124+1):INDEX(高値!$E124:$CZ124,1,$BF124+1)))</f>
        <v>1633</v>
      </c>
      <c r="BJ124" s="503">
        <f>IF($BF124="","",AVERAGE(INDEX(終値!$E124:$CZ124,1,$BF124+1):INDEX(終値!$E124:$CZ124,1,$BF124+20))-2*STDEVP(INDEX(終値!$E124:$CZ124,1,$BF124+1):INDEX(終値!$E124:$CZ124,1,$BF124+20)))</f>
        <v>1471.1811166587981</v>
      </c>
      <c r="BK124" s="503">
        <f>IF($BE124="","",AVERAGE(INDEX(終値!$E124:$CZ124,1,$BE124+1):INDEX(終値!$E124:$CZ124,1,$BE124+20))-2*STDEVP(INDEX(終値!$E124:$CZ124,1,$BE124+1):INDEX(終値!$E124:$CZ124,1,$BE124+20)))</f>
        <v>1477.2876946223726</v>
      </c>
      <c r="BL124" s="503">
        <f t="shared" si="9"/>
        <v>4</v>
      </c>
      <c r="BM124" s="503">
        <f t="shared" si="10"/>
        <v>6</v>
      </c>
      <c r="BN124" s="503">
        <f t="shared" si="11"/>
        <v>12</v>
      </c>
      <c r="BO124" s="503">
        <f>IF($BM124="","",INDEX(高値!$E124:$CZ124,1,$BM124+1))</f>
        <v>1633</v>
      </c>
      <c r="BP124" s="503">
        <f>IF($BN124="","",INDEX(高値!$E124:$CZ124,1,$BN124+1))</f>
        <v>1592.5</v>
      </c>
      <c r="BQ124" s="503">
        <f>IF($BN124="","",MIN(INDEX(安値!$E124:$CZ124,1,$BM124+1):INDEX(安値!$E124:$CZ124,1,$BN124+1)))</f>
        <v>1526</v>
      </c>
      <c r="BR124" s="503">
        <f>IF($BN124="","",AVERAGE(INDEX(終値!$E124:$CZ124,1,$BN124+1):INDEX(終値!$E124:$CZ124,1,$BN124+20))+2*STDEVP(INDEX(終値!$E124:$CZ124,1,$BN124+1):INDEX(終値!$E124:$CZ124,1,$BN124+20)))</f>
        <v>1587.7572599530656</v>
      </c>
      <c r="BS124" s="503">
        <f>IF($BM124="","",AVERAGE(INDEX(終値!$E124:$CZ124,1,$BM124+1):INDEX(終値!$E124:$CZ124,1,$BM124+20))+2*STDEVP(INDEX(終値!$E124:$CZ124,1,$BM124+1):INDEX(終値!$E124:$CZ124,1,$BM124+20)))</f>
        <v>1614.4432561845094</v>
      </c>
      <c r="BT124" s="500"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二番底W形成</v>
      </c>
    </row>
    <row r="125" spans="2:72">
      <c r="B125" s="503">
        <f>IF(終値!A125="","",IF(AND(安値!G125&lt;安値!F125,安値!G125&lt;安値!E125,安値!G125&lt;安値!H125,安値!G125&lt;安値!I125),2,""))</f>
        <v>2</v>
      </c>
      <c r="C125" s="503" t="str">
        <f>IF(終値!A125="","",IF(AND(安値!H125&lt;安値!G125,安値!H125&lt;安値!F125,安値!H125&lt;安値!I125,安値!H125&lt;安値!J125),3,""))</f>
        <v/>
      </c>
      <c r="D125" s="503" t="str">
        <f>IF(終値!A125="","",IF(AND(安値!I125&lt;安値!H125,安値!I125&lt;安値!G125,安値!I125&lt;安値!J125,安値!I125&lt;安値!K125),4,""))</f>
        <v/>
      </c>
      <c r="E125" s="503" t="str">
        <f>IF(終値!A125="","",IF(AND(安値!J125&lt;安値!I125,安値!J125&lt;安値!H125,安値!J125&lt;安値!K125,安値!J125&lt;安値!L125),5,""))</f>
        <v/>
      </c>
      <c r="F125" s="503" t="str">
        <f>IF(終値!A125="","",IF(AND(安値!K125&lt;安値!J125,安値!K125&lt;安値!I125,安値!K125&lt;安値!L125,安値!K125&lt;安値!M125),6,""))</f>
        <v/>
      </c>
      <c r="G125" s="503" t="str">
        <f>IF(終値!A125="","",IF(AND(安値!L125&lt;安値!K125,安値!L125&lt;安値!J125,安値!L125&lt;安値!M125,安値!L125&lt;安値!N125),7,""))</f>
        <v/>
      </c>
      <c r="H125" s="503" t="str">
        <f>IF(終値!A125="","",IF(AND(安値!M125&lt;安値!L125,安値!M125&lt;安値!K125,安値!M125&lt;安値!N125,安値!M125&lt;安値!O125),8,""))</f>
        <v/>
      </c>
      <c r="I125" s="503">
        <f>IF(終値!A125="","",IF(AND(安値!N125&lt;安値!M125,安値!N125&lt;安値!L125,安値!N125&lt;安値!O125,安値!N125&lt;安値!P125),9,""))</f>
        <v>9</v>
      </c>
      <c r="J125" s="503" t="str">
        <f>IF(終値!A125="","",IF(AND(安値!O125&lt;安値!N125,安値!O125&lt;安値!M125,安値!O125&lt;安値!P125,安値!O125&lt;安値!Q125),10,""))</f>
        <v/>
      </c>
      <c r="K125" s="503" t="str">
        <f>IF(終値!A125="","",IF(AND(安値!P125&lt;安値!O125,安値!P125&lt;安値!N125,安値!P125&lt;安値!Q125,安値!P125&lt;安値!R125),11,""))</f>
        <v/>
      </c>
      <c r="L125" s="503" t="str">
        <f>IF(終値!A125="","",IF(AND(安値!Q125&lt;安値!P125,安値!Q125&lt;安値!O125,安値!Q125&lt;安値!R125,安値!Q125&lt;安値!S125),12,""))</f>
        <v/>
      </c>
      <c r="M125" s="503" t="str">
        <f>IF(終値!A125="","",IF(AND(安値!R125&lt;安値!Q125,安値!R125&lt;安値!P125,安値!R125&lt;安値!S125,安値!R125&lt;安値!T125),13,""))</f>
        <v/>
      </c>
      <c r="N125" s="503" t="str">
        <f>IF(終値!A125="","",IF(AND(安値!S125&lt;安値!R125,安値!S125&lt;安値!Q125,安値!S125&lt;安値!T125,安値!S125&lt;安値!U125),14,""))</f>
        <v/>
      </c>
      <c r="O125" s="503" t="str">
        <f>IF(終値!A125="","",IF(AND(安値!T125&lt;安値!S125,安値!T125&lt;安値!R125,安値!T125&lt;安値!U125,安値!T125&lt;安値!V125),15,""))</f>
        <v/>
      </c>
      <c r="P125" s="503">
        <f>IF(終値!A125="","",IF(AND(安値!U125&lt;安値!T125,安値!U125&lt;安値!S125,安値!U125&lt;安値!V125,安値!U125&lt;安値!W125),16,""))</f>
        <v>16</v>
      </c>
      <c r="Q125" s="503" t="str">
        <f>IF(終値!A125="","",IF(AND(安値!V125&lt;安値!U125,安値!V125&lt;安値!T125,安値!V125&lt;安値!W125,安値!V125&lt;安値!X125),17,""))</f>
        <v/>
      </c>
      <c r="R125" s="503" t="str">
        <f>IF(終値!A125="","",IF(AND(安値!W125&lt;安値!V125,安値!W125&lt;安値!U125,安値!W125&lt;安値!X125,安値!W125&lt;安値!Y125),18,""))</f>
        <v/>
      </c>
      <c r="S125" s="503" t="str">
        <f>IF(終値!A125="","",IF(AND(安値!X125&lt;安値!W125,安値!X125&lt;安値!V125,安値!X125&lt;安値!Y125,安値!X125&lt;安値!Z125),19,""))</f>
        <v/>
      </c>
      <c r="T125" s="503" t="str">
        <f>IF(終値!A125="","",IF(AND(安値!Y125&lt;安値!X125,安値!Y125&lt;安値!W125,安値!Y125&lt;安値!Z125,安値!Y125&lt;安値!AA125),20,""))</f>
        <v/>
      </c>
      <c r="U125" s="503" t="str">
        <f>IF(終値!A125="","",IF(AND(安値!Z125&lt;安値!Y125,安値!Z125&lt;安値!X125,安値!Z125&lt;安値!AA125,安値!Z125&lt;安値!AB125),21,""))</f>
        <v/>
      </c>
      <c r="V125" s="503" t="str">
        <f>IF(終値!A125="","",IF(AND(安値!AA125&lt;安値!Z125,安値!AA125&lt;安値!Y125,安値!AA125&lt;安値!AB125,安値!AA125&lt;安値!AC125),22,""))</f>
        <v/>
      </c>
      <c r="W125" s="503" t="str">
        <f>IF(終値!A125="","",IF(AND(安値!AB125&lt;安値!AA125,安値!AB125&lt;安値!Z125,安値!AB125&lt;安値!AC125,安値!AB125&lt;安値!AD125),23,""))</f>
        <v/>
      </c>
      <c r="X125" s="503">
        <f>IF(終値!A125="","",IF(AND(安値!AC125&lt;安値!AB125,安値!AC125&lt;安値!AA125,安値!AC125&lt;安値!AD125,安値!AC125&lt;安値!AE125),24,""))</f>
        <v>24</v>
      </c>
      <c r="Y125" s="503" t="str">
        <f>IF(終値!A125="","",IF(AND(安値!AD125&lt;安値!AC125,安値!AD125&lt;安値!AB125,安値!AD125&lt;安値!AE125,安値!AD125&lt;安値!AF125),25,""))</f>
        <v/>
      </c>
      <c r="Z125" s="503" t="str">
        <f>IF(終値!A125="","",IF(AND(安値!AE125&lt;安値!AD125,安値!AE125&lt;安値!AC125,安値!AE125&lt;安値!AF125,安値!AE125&lt;安値!AG125),26,""))</f>
        <v/>
      </c>
      <c r="AA125" s="503" t="str">
        <f>IF(終値!A125="","",IF(AND(安値!AF125&lt;安値!AE125,安値!AF125&lt;安値!AD125,安値!AF125&lt;安値!AG125,安値!AF125&lt;安値!AH125),27,""))</f>
        <v/>
      </c>
      <c r="AB125" s="503" t="str">
        <f>IF(終値!A125="","",IF(AND(安値!AG125&lt;安値!AF125,安値!AG125&lt;安値!AE125,安値!AG125&lt;安値!AH125,安値!AG125&lt;安値!AI125),28,""))</f>
        <v/>
      </c>
      <c r="AC125" s="503" t="str">
        <f>IF(終値!A125="","",IF(AND(高値!G125&gt;高値!F125,高値!G125&gt;高値!E125,高値!G125&gt;高値!H125,高値!G125&gt;高値!I125),2,""))</f>
        <v/>
      </c>
      <c r="AD125" s="503" t="str">
        <f>IF(終値!A125="","",IF(AND(高値!H125&gt;高値!G125,高値!H125&gt;高値!F125,高値!H125&gt;高値!I125,高値!H125&gt;高値!J125),3,""))</f>
        <v/>
      </c>
      <c r="AE125" s="503" t="str">
        <f>IF(終値!A125="","",IF(AND(高値!I125&gt;高値!H125,高値!I125&gt;高値!G125,高値!I125&gt;高値!J125,高値!I125&gt;高値!K125),4,""))</f>
        <v/>
      </c>
      <c r="AF125" s="503" t="str">
        <f>IF(終値!A125="","",IF(AND(高値!J125&gt;高値!I125,高値!J125&gt;高値!H125,高値!J125&gt;高値!K125,高値!J125&gt;高値!L125),5,""))</f>
        <v/>
      </c>
      <c r="AG125" s="503">
        <f>IF(終値!A125="","",IF(AND(高値!K125&gt;高値!J125,高値!K125&gt;高値!I125,高値!K125&gt;高値!L125,高値!K125&gt;高値!M125),6,""))</f>
        <v>6</v>
      </c>
      <c r="AH125" s="503" t="str">
        <f>IF(終値!A125="","",IF(AND(高値!L125&gt;高値!K125,高値!L125&gt;高値!J125,高値!L125&gt;高値!M125,高値!L125&gt;高値!N125),7,""))</f>
        <v/>
      </c>
      <c r="AI125" s="503" t="str">
        <f>IF(終値!A125="","",IF(AND(高値!M125&gt;高値!L125,高値!M125&gt;高値!K125,高値!M125&gt;高値!N125,高値!M125&gt;高値!O125),8,""))</f>
        <v/>
      </c>
      <c r="AJ125" s="503" t="str">
        <f>IF(終値!A125="","",IF(AND(高値!N125&gt;高値!M125,高値!N125&gt;高値!L125,高値!N125&gt;高値!O125,高値!N125&gt;高値!P125),9,""))</f>
        <v/>
      </c>
      <c r="AK125" s="503" t="str">
        <f>IF(終値!A125="","",IF(AND(高値!O125&gt;高値!N125,高値!O125&gt;高値!M125,高値!O125&gt;高値!P125,高値!O125&gt;高値!Q125),10,""))</f>
        <v/>
      </c>
      <c r="AL125" s="503" t="str">
        <f>IF(終値!A125="","",IF(AND(高値!P125&gt;高値!O125,高値!P125&gt;高値!N125,高値!P125&gt;高値!Q125,高値!P125&gt;高値!R125),11,""))</f>
        <v/>
      </c>
      <c r="AM125" s="503" t="str">
        <f>IF(終値!A125="","",IF(AND(高値!Q125&gt;高値!P125,高値!Q125&gt;高値!O125,高値!Q125&gt;高値!R125,高値!Q125&gt;高値!S125),12,""))</f>
        <v/>
      </c>
      <c r="AN125" s="503">
        <f>IF(終値!A125="","",IF(AND(高値!R125&gt;高値!Q125,高値!R125&gt;高値!P125,高値!R125&gt;高値!S125,高値!R125&gt;高値!T125),13,""))</f>
        <v>13</v>
      </c>
      <c r="AO125" s="503" t="str">
        <f>IF(終値!A125="","",IF(AND(高値!S125&gt;高値!R125,高値!S125&gt;高値!Q125,高値!S125&gt;高値!T125,高値!S125&gt;高値!U125),14,""))</f>
        <v/>
      </c>
      <c r="AP125" s="503" t="str">
        <f>IF(終値!A125="","",IF(AND(高値!T125&gt;高値!S125,高値!T125&gt;高値!R125,高値!T125&gt;高値!U125,高値!T125&gt;高値!V125),15,""))</f>
        <v/>
      </c>
      <c r="AQ125" s="503" t="str">
        <f>IF(終値!A125="","",IF(AND(高値!U125&gt;高値!T125,高値!U125&gt;高値!S125,高値!U125&gt;高値!V125,高値!U125&gt;高値!W125),16,""))</f>
        <v/>
      </c>
      <c r="AR125" s="503" t="str">
        <f>IF(終値!A125="","",IF(AND(高値!V125&gt;高値!U125,高値!V125&gt;高値!T125,高値!V125&gt;高値!W125,高値!V125&gt;高値!X125),17,""))</f>
        <v/>
      </c>
      <c r="AS125" s="503" t="str">
        <f>IF(終値!A125="","",IF(AND(高値!W125&gt;高値!V125,高値!W125&gt;高値!U125,高値!W125&gt;高値!X125,高値!W125&gt;高値!Y125),18,""))</f>
        <v/>
      </c>
      <c r="AT125" s="503">
        <f>IF(終値!A125="","",IF(AND(高値!X125&gt;高値!W125,高値!X125&gt;高値!V125,高値!X125&gt;高値!Y125,高値!X125&gt;高値!Z125),19,""))</f>
        <v>19</v>
      </c>
      <c r="AU125" s="503" t="str">
        <f>IF(終値!A125="","",IF(AND(高値!Y125&gt;高値!X125,高値!Y125&gt;高値!W125,高値!Y125&gt;高値!Z125,高値!Y125&gt;高値!AA125),20,""))</f>
        <v/>
      </c>
      <c r="AV125" s="503" t="str">
        <f>IF(終値!A125="","",IF(AND(高値!Z125&gt;高値!Y125,高値!Z125&gt;高値!X125,高値!Z125&gt;高値!AA125,高値!Z125&gt;高値!AB125),21,""))</f>
        <v/>
      </c>
      <c r="AW125" s="503" t="str">
        <f>IF(終値!A125="","",IF(AND(高値!AA125&gt;高値!Z125,高値!AA125&gt;高値!Y125,高値!AA125&gt;高値!AB125,高値!AA125&gt;高値!AC125),22,""))</f>
        <v/>
      </c>
      <c r="AX125" s="503" t="str">
        <f>IF(終値!A125="","",IF(AND(高値!AB125&gt;高値!AA125,高値!AB125&gt;高値!Z125,高値!AB125&gt;高値!AC125,高値!AB125&gt;高値!AD125),23,""))</f>
        <v/>
      </c>
      <c r="AY125" s="503" t="str">
        <f>IF(終値!A125="","",IF(AND(高値!AC125&gt;高値!AB125,高値!AC125&gt;高値!AA125,高値!AC125&gt;高値!AD125,高値!AC125&gt;高値!AE125),24,""))</f>
        <v/>
      </c>
      <c r="AZ125" s="503">
        <f>IF(終値!A125="","",IF(AND(高値!AD125&gt;高値!AC125,高値!AD125&gt;高値!AB125,高値!AD125&gt;高値!AE125,高値!AD125&gt;高値!AF125),25,""))</f>
        <v>25</v>
      </c>
      <c r="BA125" s="503" t="str">
        <f>IF(終値!A125="","",IF(AND(高値!AE125&gt;高値!AD125,高値!AE125&gt;高値!AC125,高値!AE125&gt;高値!AF125,高値!AE125&gt;高値!AG125),26,""))</f>
        <v/>
      </c>
      <c r="BB125" s="503" t="str">
        <f>IF(終値!A125="","",IF(AND(高値!AF125&gt;高値!AE125,高値!AF125&gt;高値!AD125,高値!AF125&gt;高値!AG125,高値!AF125&gt;高値!AH125),27,""))</f>
        <v/>
      </c>
      <c r="BC125" s="503" t="str">
        <f>IF(終値!A125="","",IF(AND(高値!AG125&gt;高値!AF125,高値!AG125&gt;高値!AE125,高値!AG125&gt;高値!AH125,高値!AG125&gt;高値!AI125),28,""))</f>
        <v/>
      </c>
      <c r="BD125" s="503">
        <f t="shared" si="6"/>
        <v>4</v>
      </c>
      <c r="BE125" s="503">
        <f t="shared" si="7"/>
        <v>2</v>
      </c>
      <c r="BF125" s="503">
        <f t="shared" si="8"/>
        <v>9</v>
      </c>
      <c r="BG125" s="503">
        <f>IF($BE125="","",INDEX(安値!$E125:$CZ125,1,$BE125+1))</f>
        <v>2406</v>
      </c>
      <c r="BH125" s="503">
        <f>IF($BF125="","",INDEX(安値!$E125:$CZ125,1,$BF125+1))</f>
        <v>2471</v>
      </c>
      <c r="BI125" s="503">
        <f>IF($BF125="","",MAX(INDEX(高値!$E125:$CZ125,1,$BE125+1):INDEX(高値!$E125:$CZ125,1,$BF125+1)))</f>
        <v>2589</v>
      </c>
      <c r="BJ125" s="503">
        <f>IF($BF125="","",AVERAGE(INDEX(終値!$E125:$CZ125,1,$BF125+1):INDEX(終値!$E125:$CZ125,1,$BF125+20))-2*STDEVP(INDEX(終値!$E125:$CZ125,1,$BF125+1):INDEX(終値!$E125:$CZ125,1,$BF125+20)))</f>
        <v>2371.6890319102517</v>
      </c>
      <c r="BK125" s="503">
        <f>IF($BE125="","",AVERAGE(INDEX(終値!$E125:$CZ125,1,$BE125+1):INDEX(終値!$E125:$CZ125,1,$BE125+20))-2*STDEVP(INDEX(終値!$E125:$CZ125,1,$BE125+1):INDEX(終値!$E125:$CZ125,1,$BE125+20)))</f>
        <v>2431.7998122655522</v>
      </c>
      <c r="BL125" s="503">
        <f t="shared" si="9"/>
        <v>4</v>
      </c>
      <c r="BM125" s="503">
        <f t="shared" si="10"/>
        <v>6</v>
      </c>
      <c r="BN125" s="503">
        <f t="shared" si="11"/>
        <v>13</v>
      </c>
      <c r="BO125" s="503">
        <f>IF($BM125="","",INDEX(高値!$E125:$CZ125,1,$BM125+1))</f>
        <v>2589</v>
      </c>
      <c r="BP125" s="503">
        <f>IF($BN125="","",INDEX(高値!$E125:$CZ125,1,$BN125+1))</f>
        <v>2577</v>
      </c>
      <c r="BQ125" s="503">
        <f>IF($BN125="","",MIN(INDEX(安値!$E125:$CZ125,1,$BM125+1):INDEX(安値!$E125:$CZ125,1,$BN125+1)))</f>
        <v>2471</v>
      </c>
      <c r="BR125" s="503">
        <f>IF($BN125="","",AVERAGE(INDEX(終値!$E125:$CZ125,1,$BN125+1):INDEX(終値!$E125:$CZ125,1,$BN125+20))+2*STDEVP(INDEX(終値!$E125:$CZ125,1,$BN125+1):INDEX(終値!$E125:$CZ125,1,$BN125+20)))</f>
        <v>2577.542373295511</v>
      </c>
      <c r="BS125" s="503">
        <f>IF($BM125="","",AVERAGE(INDEX(終値!$E125:$CZ125,1,$BM125+1):INDEX(終値!$E125:$CZ125,1,$BM125+20))+2*STDEVP(INDEX(終値!$E125:$CZ125,1,$BM125+1):INDEX(終値!$E125:$CZ125,1,$BM125+20)))</f>
        <v>2596.9979079268996</v>
      </c>
      <c r="BT125" s="500"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3">
        <f>IF(終値!A126="","",IF(AND(安値!G126&lt;安値!F126,安値!G126&lt;安値!E126,安値!G126&lt;安値!H126,安値!G126&lt;安値!I126),2,""))</f>
        <v>2</v>
      </c>
      <c r="C126" s="503" t="str">
        <f>IF(終値!A126="","",IF(AND(安値!H126&lt;安値!G126,安値!H126&lt;安値!F126,安値!H126&lt;安値!I126,安値!H126&lt;安値!J126),3,""))</f>
        <v/>
      </c>
      <c r="D126" s="503" t="str">
        <f>IF(終値!A126="","",IF(AND(安値!I126&lt;安値!H126,安値!I126&lt;安値!G126,安値!I126&lt;安値!J126,安値!I126&lt;安値!K126),4,""))</f>
        <v/>
      </c>
      <c r="E126" s="503" t="str">
        <f>IF(終値!A126="","",IF(AND(安値!J126&lt;安値!I126,安値!J126&lt;安値!H126,安値!J126&lt;安値!K126,安値!J126&lt;安値!L126),5,""))</f>
        <v/>
      </c>
      <c r="F126" s="503" t="str">
        <f>IF(終値!A126="","",IF(AND(安値!K126&lt;安値!J126,安値!K126&lt;安値!I126,安値!K126&lt;安値!L126,安値!K126&lt;安値!M126),6,""))</f>
        <v/>
      </c>
      <c r="G126" s="503" t="str">
        <f>IF(終値!A126="","",IF(AND(安値!L126&lt;安値!K126,安値!L126&lt;安値!J126,安値!L126&lt;安値!M126,安値!L126&lt;安値!N126),7,""))</f>
        <v/>
      </c>
      <c r="H126" s="503" t="str">
        <f>IF(終値!A126="","",IF(AND(安値!M126&lt;安値!L126,安値!M126&lt;安値!K126,安値!M126&lt;安値!N126,安値!M126&lt;安値!O126),8,""))</f>
        <v/>
      </c>
      <c r="I126" s="503">
        <f>IF(終値!A126="","",IF(AND(安値!N126&lt;安値!M126,安値!N126&lt;安値!L126,安値!N126&lt;安値!O126,安値!N126&lt;安値!P126),9,""))</f>
        <v>9</v>
      </c>
      <c r="J126" s="503" t="str">
        <f>IF(終値!A126="","",IF(AND(安値!O126&lt;安値!N126,安値!O126&lt;安値!M126,安値!O126&lt;安値!P126,安値!O126&lt;安値!Q126),10,""))</f>
        <v/>
      </c>
      <c r="K126" s="503" t="str">
        <f>IF(終値!A126="","",IF(AND(安値!P126&lt;安値!O126,安値!P126&lt;安値!N126,安値!P126&lt;安値!Q126,安値!P126&lt;安値!R126),11,""))</f>
        <v/>
      </c>
      <c r="L126" s="503" t="str">
        <f>IF(終値!A126="","",IF(AND(安値!Q126&lt;安値!P126,安値!Q126&lt;安値!O126,安値!Q126&lt;安値!R126,安値!Q126&lt;安値!S126),12,""))</f>
        <v/>
      </c>
      <c r="M126" s="503">
        <f>IF(終値!A126="","",IF(AND(安値!R126&lt;安値!Q126,安値!R126&lt;安値!P126,安値!R126&lt;安値!S126,安値!R126&lt;安値!T126),13,""))</f>
        <v>13</v>
      </c>
      <c r="N126" s="503" t="str">
        <f>IF(終値!A126="","",IF(AND(安値!S126&lt;安値!R126,安値!S126&lt;安値!Q126,安値!S126&lt;安値!T126,安値!S126&lt;安値!U126),14,""))</f>
        <v/>
      </c>
      <c r="O126" s="503" t="str">
        <f>IF(終値!A126="","",IF(AND(安値!T126&lt;安値!S126,安値!T126&lt;安値!R126,安値!T126&lt;安値!U126,安値!T126&lt;安値!V126),15,""))</f>
        <v/>
      </c>
      <c r="P126" s="503" t="str">
        <f>IF(終値!A126="","",IF(AND(安値!U126&lt;安値!T126,安値!U126&lt;安値!S126,安値!U126&lt;安値!V126,安値!U126&lt;安値!W126),16,""))</f>
        <v/>
      </c>
      <c r="Q126" s="503" t="str">
        <f>IF(終値!A126="","",IF(AND(安値!V126&lt;安値!U126,安値!V126&lt;安値!T126,安値!V126&lt;安値!W126,安値!V126&lt;安値!X126),17,""))</f>
        <v/>
      </c>
      <c r="R126" s="503">
        <f>IF(終値!A126="","",IF(AND(安値!W126&lt;安値!V126,安値!W126&lt;安値!U126,安値!W126&lt;安値!X126,安値!W126&lt;安値!Y126),18,""))</f>
        <v>18</v>
      </c>
      <c r="S126" s="503" t="str">
        <f>IF(終値!A126="","",IF(AND(安値!X126&lt;安値!W126,安値!X126&lt;安値!V126,安値!X126&lt;安値!Y126,安値!X126&lt;安値!Z126),19,""))</f>
        <v/>
      </c>
      <c r="T126" s="503" t="str">
        <f>IF(終値!A126="","",IF(AND(安値!Y126&lt;安値!X126,安値!Y126&lt;安値!W126,安値!Y126&lt;安値!Z126,安値!Y126&lt;安値!AA126),20,""))</f>
        <v/>
      </c>
      <c r="U126" s="503" t="str">
        <f>IF(終値!A126="","",IF(AND(安値!Z126&lt;安値!Y126,安値!Z126&lt;安値!X126,安値!Z126&lt;安値!AA126,安値!Z126&lt;安値!AB126),21,""))</f>
        <v/>
      </c>
      <c r="V126" s="503" t="str">
        <f>IF(終値!A126="","",IF(AND(安値!AA126&lt;安値!Z126,安値!AA126&lt;安値!Y126,安値!AA126&lt;安値!AB126,安値!AA126&lt;安値!AC126),22,""))</f>
        <v/>
      </c>
      <c r="W126" s="503" t="str">
        <f>IF(終値!A126="","",IF(AND(安値!AB126&lt;安値!AA126,安値!AB126&lt;安値!Z126,安値!AB126&lt;安値!AC126,安値!AB126&lt;安値!AD126),23,""))</f>
        <v/>
      </c>
      <c r="X126" s="503">
        <f>IF(終値!A126="","",IF(AND(安値!AC126&lt;安値!AB126,安値!AC126&lt;安値!AA126,安値!AC126&lt;安値!AD126,安値!AC126&lt;安値!AE126),24,""))</f>
        <v>24</v>
      </c>
      <c r="Y126" s="503" t="str">
        <f>IF(終値!A126="","",IF(AND(安値!AD126&lt;安値!AC126,安値!AD126&lt;安値!AB126,安値!AD126&lt;安値!AE126,安値!AD126&lt;安値!AF126),25,""))</f>
        <v/>
      </c>
      <c r="Z126" s="503" t="str">
        <f>IF(終値!A126="","",IF(AND(安値!AE126&lt;安値!AD126,安値!AE126&lt;安値!AC126,安値!AE126&lt;安値!AF126,安値!AE126&lt;安値!AG126),26,""))</f>
        <v/>
      </c>
      <c r="AA126" s="503">
        <f>IF(終値!A126="","",IF(AND(安値!AF126&lt;安値!AE126,安値!AF126&lt;安値!AD126,安値!AF126&lt;安値!AG126,安値!AF126&lt;安値!AH126),27,""))</f>
        <v>27</v>
      </c>
      <c r="AB126" s="503" t="str">
        <f>IF(終値!A126="","",IF(AND(安値!AG126&lt;安値!AF126,安値!AG126&lt;安値!AE126,安値!AG126&lt;安値!AH126,安値!AG126&lt;安値!AI126),28,""))</f>
        <v/>
      </c>
      <c r="AC126" s="503" t="str">
        <f>IF(終値!A126="","",IF(AND(高値!G126&gt;高値!F126,高値!G126&gt;高値!E126,高値!G126&gt;高値!H126,高値!G126&gt;高値!I126),2,""))</f>
        <v/>
      </c>
      <c r="AD126" s="503" t="str">
        <f>IF(終値!A126="","",IF(AND(高値!H126&gt;高値!G126,高値!H126&gt;高値!F126,高値!H126&gt;高値!I126,高値!H126&gt;高値!J126),3,""))</f>
        <v/>
      </c>
      <c r="AE126" s="503" t="str">
        <f>IF(終値!A126="","",IF(AND(高値!I126&gt;高値!H126,高値!I126&gt;高値!G126,高値!I126&gt;高値!J126,高値!I126&gt;高値!K126),4,""))</f>
        <v/>
      </c>
      <c r="AF126" s="503" t="str">
        <f>IF(終値!A126="","",IF(AND(高値!J126&gt;高値!I126,高値!J126&gt;高値!H126,高値!J126&gt;高値!K126,高値!J126&gt;高値!L126),5,""))</f>
        <v/>
      </c>
      <c r="AG126" s="503">
        <f>IF(終値!A126="","",IF(AND(高値!K126&gt;高値!J126,高値!K126&gt;高値!I126,高値!K126&gt;高値!L126,高値!K126&gt;高値!M126),6,""))</f>
        <v>6</v>
      </c>
      <c r="AH126" s="503" t="str">
        <f>IF(終値!A126="","",IF(AND(高値!L126&gt;高値!K126,高値!L126&gt;高値!J126,高値!L126&gt;高値!M126,高値!L126&gt;高値!N126),7,""))</f>
        <v/>
      </c>
      <c r="AI126" s="503" t="str">
        <f>IF(終値!A126="","",IF(AND(高値!M126&gt;高値!L126,高値!M126&gt;高値!K126,高値!M126&gt;高値!N126,高値!M126&gt;高値!O126),8,""))</f>
        <v/>
      </c>
      <c r="AJ126" s="503" t="str">
        <f>IF(終値!A126="","",IF(AND(高値!N126&gt;高値!M126,高値!N126&gt;高値!L126,高値!N126&gt;高値!O126,高値!N126&gt;高値!P126),9,""))</f>
        <v/>
      </c>
      <c r="AK126" s="503" t="str">
        <f>IF(終値!A126="","",IF(AND(高値!O126&gt;高値!N126,高値!O126&gt;高値!M126,高値!O126&gt;高値!P126,高値!O126&gt;高値!Q126),10,""))</f>
        <v/>
      </c>
      <c r="AL126" s="503" t="str">
        <f>IF(終値!A126="","",IF(AND(高値!P126&gt;高値!O126,高値!P126&gt;高値!N126,高値!P126&gt;高値!Q126,高値!P126&gt;高値!R126),11,""))</f>
        <v/>
      </c>
      <c r="AM126" s="503" t="str">
        <f>IF(終値!A126="","",IF(AND(高値!Q126&gt;高値!P126,高値!Q126&gt;高値!O126,高値!Q126&gt;高値!R126,高値!Q126&gt;高値!S126),12,""))</f>
        <v/>
      </c>
      <c r="AN126" s="503" t="str">
        <f>IF(終値!A126="","",IF(AND(高値!R126&gt;高値!Q126,高値!R126&gt;高値!P126,高値!R126&gt;高値!S126,高値!R126&gt;高値!T126),13,""))</f>
        <v/>
      </c>
      <c r="AO126" s="503" t="str">
        <f>IF(終値!A126="","",IF(AND(高値!S126&gt;高値!R126,高値!S126&gt;高値!Q126,高値!S126&gt;高値!T126,高値!S126&gt;高値!U126),14,""))</f>
        <v/>
      </c>
      <c r="AP126" s="503">
        <f>IF(終値!A126="","",IF(AND(高値!T126&gt;高値!S126,高値!T126&gt;高値!R126,高値!T126&gt;高値!U126,高値!T126&gt;高値!V126),15,""))</f>
        <v>15</v>
      </c>
      <c r="AQ126" s="503" t="str">
        <f>IF(終値!A126="","",IF(AND(高値!U126&gt;高値!T126,高値!U126&gt;高値!S126,高値!U126&gt;高値!V126,高値!U126&gt;高値!W126),16,""))</f>
        <v/>
      </c>
      <c r="AR126" s="503" t="str">
        <f>IF(終値!A126="","",IF(AND(高値!V126&gt;高値!U126,高値!V126&gt;高値!T126,高値!V126&gt;高値!W126,高値!V126&gt;高値!X126),17,""))</f>
        <v/>
      </c>
      <c r="AS126" s="503" t="str">
        <f>IF(終値!A126="","",IF(AND(高値!W126&gt;高値!V126,高値!W126&gt;高値!U126,高値!W126&gt;高値!X126,高値!W126&gt;高値!Y126),18,""))</f>
        <v/>
      </c>
      <c r="AT126" s="503" t="str">
        <f>IF(終値!A126="","",IF(AND(高値!X126&gt;高値!W126,高値!X126&gt;高値!V126,高値!X126&gt;高値!Y126,高値!X126&gt;高値!Z126),19,""))</f>
        <v/>
      </c>
      <c r="AU126" s="503">
        <f>IF(終値!A126="","",IF(AND(高値!Y126&gt;高値!X126,高値!Y126&gt;高値!W126,高値!Y126&gt;高値!Z126,高値!Y126&gt;高値!AA126),20,""))</f>
        <v>20</v>
      </c>
      <c r="AV126" s="503" t="str">
        <f>IF(終値!A126="","",IF(AND(高値!Z126&gt;高値!Y126,高値!Z126&gt;高値!X126,高値!Z126&gt;高値!AA126,高値!Z126&gt;高値!AB126),21,""))</f>
        <v/>
      </c>
      <c r="AW126" s="503" t="str">
        <f>IF(終値!A126="","",IF(AND(高値!AA126&gt;高値!Z126,高値!AA126&gt;高値!Y126,高値!AA126&gt;高値!AB126,高値!AA126&gt;高値!AC126),22,""))</f>
        <v/>
      </c>
      <c r="AX126" s="503" t="str">
        <f>IF(終値!A126="","",IF(AND(高値!AB126&gt;高値!AA126,高値!AB126&gt;高値!Z126,高値!AB126&gt;高値!AC126,高値!AB126&gt;高値!AD126),23,""))</f>
        <v/>
      </c>
      <c r="AY126" s="503" t="str">
        <f>IF(終値!A126="","",IF(AND(高値!AC126&gt;高値!AB126,高値!AC126&gt;高値!AA126,高値!AC126&gt;高値!AD126,高値!AC126&gt;高値!AE126),24,""))</f>
        <v/>
      </c>
      <c r="AZ126" s="503" t="str">
        <f>IF(終値!A126="","",IF(AND(高値!AD126&gt;高値!AC126,高値!AD126&gt;高値!AB126,高値!AD126&gt;高値!AE126,高値!AD126&gt;高値!AF126),25,""))</f>
        <v/>
      </c>
      <c r="BA126" s="503" t="str">
        <f>IF(終値!A126="","",IF(AND(高値!AE126&gt;高値!AD126,高値!AE126&gt;高値!AC126,高値!AE126&gt;高値!AF126,高値!AE126&gt;高値!AG126),26,""))</f>
        <v/>
      </c>
      <c r="BB126" s="503" t="str">
        <f>IF(終値!A126="","",IF(AND(高値!AF126&gt;高値!AE126,高値!AF126&gt;高値!AD126,高値!AF126&gt;高値!AG126,高値!AF126&gt;高値!AH126),27,""))</f>
        <v/>
      </c>
      <c r="BC126" s="503" t="str">
        <f>IF(終値!A126="","",IF(AND(高値!AG126&gt;高値!AF126,高値!AG126&gt;高値!AE126,高値!AG126&gt;高値!AH126,高値!AG126&gt;高値!AI126),28,""))</f>
        <v/>
      </c>
      <c r="BD126" s="503">
        <f t="shared" si="6"/>
        <v>6</v>
      </c>
      <c r="BE126" s="503">
        <f t="shared" si="7"/>
        <v>2</v>
      </c>
      <c r="BF126" s="503">
        <f t="shared" si="8"/>
        <v>9</v>
      </c>
      <c r="BG126" s="503">
        <f>IF($BE126="","",INDEX(安値!$E126:$CZ126,1,$BE126+1))</f>
        <v>1008</v>
      </c>
      <c r="BH126" s="503">
        <f>IF($BF126="","",INDEX(安値!$E126:$CZ126,1,$BF126+1))</f>
        <v>979</v>
      </c>
      <c r="BI126" s="503">
        <f>IF($BF126="","",MAX(INDEX(高値!$E126:$CZ126,1,$BE126+1):INDEX(高値!$E126:$CZ126,1,$BF126+1)))</f>
        <v>1051</v>
      </c>
      <c r="BJ126" s="503">
        <f>IF($BF126="","",AVERAGE(INDEX(終値!$E126:$CZ126,1,$BF126+1):INDEX(終値!$E126:$CZ126,1,$BF126+20))-2*STDEVP(INDEX(終値!$E126:$CZ126,1,$BF126+1):INDEX(終値!$E126:$CZ126,1,$BF126+20)))</f>
        <v>963.86070511620051</v>
      </c>
      <c r="BK126" s="503">
        <f>IF($BE126="","",AVERAGE(INDEX(終値!$E126:$CZ126,1,$BE126+1):INDEX(終値!$E126:$CZ126,1,$BE126+20))-2*STDEVP(INDEX(終値!$E126:$CZ126,1,$BE126+1):INDEX(終値!$E126:$CZ126,1,$BE126+20)))</f>
        <v>983.99353158331246</v>
      </c>
      <c r="BL126" s="503">
        <f t="shared" si="9"/>
        <v>3</v>
      </c>
      <c r="BM126" s="503">
        <f t="shared" si="10"/>
        <v>6</v>
      </c>
      <c r="BN126" s="503">
        <f t="shared" si="11"/>
        <v>15</v>
      </c>
      <c r="BO126" s="503">
        <f>IF($BM126="","",INDEX(高値!$E126:$CZ126,1,$BM126+1))</f>
        <v>1051</v>
      </c>
      <c r="BP126" s="503">
        <f>IF($BN126="","",INDEX(高値!$E126:$CZ126,1,$BN126+1))</f>
        <v>1034</v>
      </c>
      <c r="BQ126" s="503">
        <f>IF($BN126="","",MIN(INDEX(安値!$E126:$CZ126,1,$BM126+1):INDEX(安値!$E126:$CZ126,1,$BN126+1)))</f>
        <v>979</v>
      </c>
      <c r="BR126" s="503">
        <f>IF($BN126="","",AVERAGE(INDEX(終値!$E126:$CZ126,1,$BN126+1):INDEX(終値!$E126:$CZ126,1,$BN126+20))+2*STDEVP(INDEX(終値!$E126:$CZ126,1,$BN126+1):INDEX(終値!$E126:$CZ126,1,$BN126+20)))</f>
        <v>1038.6853901971313</v>
      </c>
      <c r="BS126" s="503">
        <f>IF($BM126="","",AVERAGE(INDEX(終値!$E126:$CZ126,1,$BM126+1):INDEX(終値!$E126:$CZ126,1,$BM126+20))+2*STDEVP(INDEX(終値!$E126:$CZ126,1,$BM126+1):INDEX(終値!$E126:$CZ126,1,$BM126+20)))</f>
        <v>1042.1327444005865</v>
      </c>
      <c r="BT126" s="500"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二番底W形成</v>
      </c>
    </row>
    <row r="127" spans="2:72">
      <c r="B127" s="503" t="str">
        <f>IF(終値!A127="","",IF(AND(安値!G127&lt;安値!F127,安値!G127&lt;安値!E127,安値!G127&lt;安値!H127,安値!G127&lt;安値!I127),2,""))</f>
        <v/>
      </c>
      <c r="C127" s="503" t="str">
        <f>IF(終値!A127="","",IF(AND(安値!H127&lt;安値!G127,安値!H127&lt;安値!F127,安値!H127&lt;安値!I127,安値!H127&lt;安値!J127),3,""))</f>
        <v/>
      </c>
      <c r="D127" s="503" t="str">
        <f>IF(終値!A127="","",IF(AND(安値!I127&lt;安値!H127,安値!I127&lt;安値!G127,安値!I127&lt;安値!J127,安値!I127&lt;安値!K127),4,""))</f>
        <v/>
      </c>
      <c r="E127" s="503" t="str">
        <f>IF(終値!A127="","",IF(AND(安値!J127&lt;安値!I127,安値!J127&lt;安値!H127,安値!J127&lt;安値!K127,安値!J127&lt;安値!L127),5,""))</f>
        <v/>
      </c>
      <c r="F127" s="503" t="str">
        <f>IF(終値!A127="","",IF(AND(安値!K127&lt;安値!J127,安値!K127&lt;安値!I127,安値!K127&lt;安値!L127,安値!K127&lt;安値!M127),6,""))</f>
        <v/>
      </c>
      <c r="G127" s="503" t="str">
        <f>IF(終値!A127="","",IF(AND(安値!L127&lt;安値!K127,安値!L127&lt;安値!J127,安値!L127&lt;安値!M127,安値!L127&lt;安値!N127),7,""))</f>
        <v/>
      </c>
      <c r="H127" s="503" t="str">
        <f>IF(終値!A127="","",IF(AND(安値!M127&lt;安値!L127,安値!M127&lt;安値!K127,安値!M127&lt;安値!N127,安値!M127&lt;安値!O127),8,""))</f>
        <v/>
      </c>
      <c r="I127" s="503" t="str">
        <f>IF(終値!A127="","",IF(AND(安値!N127&lt;安値!M127,安値!N127&lt;安値!L127,安値!N127&lt;安値!O127,安値!N127&lt;安値!P127),9,""))</f>
        <v/>
      </c>
      <c r="J127" s="503" t="str">
        <f>IF(終値!A127="","",IF(AND(安値!O127&lt;安値!N127,安値!O127&lt;安値!M127,安値!O127&lt;安値!P127,安値!O127&lt;安値!Q127),10,""))</f>
        <v/>
      </c>
      <c r="K127" s="503" t="str">
        <f>IF(終値!A127="","",IF(AND(安値!P127&lt;安値!O127,安値!P127&lt;安値!N127,安値!P127&lt;安値!Q127,安値!P127&lt;安値!R127),11,""))</f>
        <v/>
      </c>
      <c r="L127" s="503" t="str">
        <f>IF(終値!A127="","",IF(AND(安値!Q127&lt;安値!P127,安値!Q127&lt;安値!O127,安値!Q127&lt;安値!R127,安値!Q127&lt;安値!S127),12,""))</f>
        <v/>
      </c>
      <c r="M127" s="503" t="str">
        <f>IF(終値!A127="","",IF(AND(安値!R127&lt;安値!Q127,安値!R127&lt;安値!P127,安値!R127&lt;安値!S127,安値!R127&lt;安値!T127),13,""))</f>
        <v/>
      </c>
      <c r="N127" s="503" t="str">
        <f>IF(終値!A127="","",IF(AND(安値!S127&lt;安値!R127,安値!S127&lt;安値!Q127,安値!S127&lt;安値!T127,安値!S127&lt;安値!U127),14,""))</f>
        <v/>
      </c>
      <c r="O127" s="503" t="str">
        <f>IF(終値!A127="","",IF(AND(安値!T127&lt;安値!S127,安値!T127&lt;安値!R127,安値!T127&lt;安値!U127,安値!T127&lt;安値!V127),15,""))</f>
        <v/>
      </c>
      <c r="P127" s="503">
        <f>IF(終値!A127="","",IF(AND(安値!U127&lt;安値!T127,安値!U127&lt;安値!S127,安値!U127&lt;安値!V127,安値!U127&lt;安値!W127),16,""))</f>
        <v>16</v>
      </c>
      <c r="Q127" s="503" t="str">
        <f>IF(終値!A127="","",IF(AND(安値!V127&lt;安値!U127,安値!V127&lt;安値!T127,安値!V127&lt;安値!W127,安値!V127&lt;安値!X127),17,""))</f>
        <v/>
      </c>
      <c r="R127" s="503" t="str">
        <f>IF(終値!A127="","",IF(AND(安値!W127&lt;安値!V127,安値!W127&lt;安値!U127,安値!W127&lt;安値!X127,安値!W127&lt;安値!Y127),18,""))</f>
        <v/>
      </c>
      <c r="S127" s="503" t="str">
        <f>IF(終値!A127="","",IF(AND(安値!X127&lt;安値!W127,安値!X127&lt;安値!V127,安値!X127&lt;安値!Y127,安値!X127&lt;安値!Z127),19,""))</f>
        <v/>
      </c>
      <c r="T127" s="503" t="str">
        <f>IF(終値!A127="","",IF(AND(安値!Y127&lt;安値!X127,安値!Y127&lt;安値!W127,安値!Y127&lt;安値!Z127,安値!Y127&lt;安値!AA127),20,""))</f>
        <v/>
      </c>
      <c r="U127" s="503" t="str">
        <f>IF(終値!A127="","",IF(AND(安値!Z127&lt;安値!Y127,安値!Z127&lt;安値!X127,安値!Z127&lt;安値!AA127,安値!Z127&lt;安値!AB127),21,""))</f>
        <v/>
      </c>
      <c r="V127" s="503" t="str">
        <f>IF(終値!A127="","",IF(AND(安値!AA127&lt;安値!Z127,安値!AA127&lt;安値!Y127,安値!AA127&lt;安値!AB127,安値!AA127&lt;安値!AC127),22,""))</f>
        <v/>
      </c>
      <c r="W127" s="503">
        <f>IF(終値!A127="","",IF(AND(安値!AB127&lt;安値!AA127,安値!AB127&lt;安値!Z127,安値!AB127&lt;安値!AC127,安値!AB127&lt;安値!AD127),23,""))</f>
        <v>23</v>
      </c>
      <c r="X127" s="503" t="str">
        <f>IF(終値!A127="","",IF(AND(安値!AC127&lt;安値!AB127,安値!AC127&lt;安値!AA127,安値!AC127&lt;安値!AD127,安値!AC127&lt;安値!AE127),24,""))</f>
        <v/>
      </c>
      <c r="Y127" s="503" t="str">
        <f>IF(終値!A127="","",IF(AND(安値!AD127&lt;安値!AC127,安値!AD127&lt;安値!AB127,安値!AD127&lt;安値!AE127,安値!AD127&lt;安値!AF127),25,""))</f>
        <v/>
      </c>
      <c r="Z127" s="503" t="str">
        <f>IF(終値!A127="","",IF(AND(安値!AE127&lt;安値!AD127,安値!AE127&lt;安値!AC127,安値!AE127&lt;安値!AF127,安値!AE127&lt;安値!AG127),26,""))</f>
        <v/>
      </c>
      <c r="AA127" s="503" t="str">
        <f>IF(終値!A127="","",IF(AND(安値!AF127&lt;安値!AE127,安値!AF127&lt;安値!AD127,安値!AF127&lt;安値!AG127,安値!AF127&lt;安値!AH127),27,""))</f>
        <v/>
      </c>
      <c r="AB127" s="503">
        <f>IF(終値!A127="","",IF(AND(安値!AG127&lt;安値!AF127,安値!AG127&lt;安値!AE127,安値!AG127&lt;安値!AH127,安値!AG127&lt;安値!AI127),28,""))</f>
        <v>28</v>
      </c>
      <c r="AC127" s="503" t="str">
        <f>IF(終値!A127="","",IF(AND(高値!G127&gt;高値!F127,高値!G127&gt;高値!E127,高値!G127&gt;高値!H127,高値!G127&gt;高値!I127),2,""))</f>
        <v/>
      </c>
      <c r="AD127" s="503" t="str">
        <f>IF(終値!A127="","",IF(AND(高値!H127&gt;高値!G127,高値!H127&gt;高値!F127,高値!H127&gt;高値!I127,高値!H127&gt;高値!J127),3,""))</f>
        <v/>
      </c>
      <c r="AE127" s="503" t="str">
        <f>IF(終値!A127="","",IF(AND(高値!I127&gt;高値!H127,高値!I127&gt;高値!G127,高値!I127&gt;高値!J127,高値!I127&gt;高値!K127),4,""))</f>
        <v/>
      </c>
      <c r="AF127" s="503" t="str">
        <f>IF(終値!A127="","",IF(AND(高値!J127&gt;高値!I127,高値!J127&gt;高値!H127,高値!J127&gt;高値!K127,高値!J127&gt;高値!L127),5,""))</f>
        <v/>
      </c>
      <c r="AG127" s="503">
        <f>IF(終値!A127="","",IF(AND(高値!K127&gt;高値!J127,高値!K127&gt;高値!I127,高値!K127&gt;高値!L127,高値!K127&gt;高値!M127),6,""))</f>
        <v>6</v>
      </c>
      <c r="AH127" s="503" t="str">
        <f>IF(終値!A127="","",IF(AND(高値!L127&gt;高値!K127,高値!L127&gt;高値!J127,高値!L127&gt;高値!M127,高値!L127&gt;高値!N127),7,""))</f>
        <v/>
      </c>
      <c r="AI127" s="503" t="str">
        <f>IF(終値!A127="","",IF(AND(高値!M127&gt;高値!L127,高値!M127&gt;高値!K127,高値!M127&gt;高値!N127,高値!M127&gt;高値!O127),8,""))</f>
        <v/>
      </c>
      <c r="AJ127" s="503" t="str">
        <f>IF(終値!A127="","",IF(AND(高値!N127&gt;高値!M127,高値!N127&gt;高値!L127,高値!N127&gt;高値!O127,高値!N127&gt;高値!P127),9,""))</f>
        <v/>
      </c>
      <c r="AK127" s="503" t="str">
        <f>IF(終値!A127="","",IF(AND(高値!O127&gt;高値!N127,高値!O127&gt;高値!M127,高値!O127&gt;高値!P127,高値!O127&gt;高値!Q127),10,""))</f>
        <v/>
      </c>
      <c r="AL127" s="503" t="str">
        <f>IF(終値!A127="","",IF(AND(高値!P127&gt;高値!O127,高値!P127&gt;高値!N127,高値!P127&gt;高値!Q127,高値!P127&gt;高値!R127),11,""))</f>
        <v/>
      </c>
      <c r="AM127" s="503" t="str">
        <f>IF(終値!A127="","",IF(AND(高値!Q127&gt;高値!P127,高値!Q127&gt;高値!O127,高値!Q127&gt;高値!R127,高値!Q127&gt;高値!S127),12,""))</f>
        <v/>
      </c>
      <c r="AN127" s="503" t="str">
        <f>IF(終値!A127="","",IF(AND(高値!R127&gt;高値!Q127,高値!R127&gt;高値!P127,高値!R127&gt;高値!S127,高値!R127&gt;高値!T127),13,""))</f>
        <v/>
      </c>
      <c r="AO127" s="503" t="str">
        <f>IF(終値!A127="","",IF(AND(高値!S127&gt;高値!R127,高値!S127&gt;高値!Q127,高値!S127&gt;高値!T127,高値!S127&gt;高値!U127),14,""))</f>
        <v/>
      </c>
      <c r="AP127" s="503" t="str">
        <f>IF(終値!A127="","",IF(AND(高値!T127&gt;高値!S127,高値!T127&gt;高値!R127,高値!T127&gt;高値!U127,高値!T127&gt;高値!V127),15,""))</f>
        <v/>
      </c>
      <c r="AQ127" s="503" t="str">
        <f>IF(終値!A127="","",IF(AND(高値!U127&gt;高値!T127,高値!U127&gt;高値!S127,高値!U127&gt;高値!V127,高値!U127&gt;高値!W127),16,""))</f>
        <v/>
      </c>
      <c r="AR127" s="503" t="str">
        <f>IF(終値!A127="","",IF(AND(高値!V127&gt;高値!U127,高値!V127&gt;高値!T127,高値!V127&gt;高値!W127,高値!V127&gt;高値!X127),17,""))</f>
        <v/>
      </c>
      <c r="AS127" s="503" t="str">
        <f>IF(終値!A127="","",IF(AND(高値!W127&gt;高値!V127,高値!W127&gt;高値!U127,高値!W127&gt;高値!X127,高値!W127&gt;高値!Y127),18,""))</f>
        <v/>
      </c>
      <c r="AT127" s="503">
        <f>IF(終値!A127="","",IF(AND(高値!X127&gt;高値!W127,高値!X127&gt;高値!V127,高値!X127&gt;高値!Y127,高値!X127&gt;高値!Z127),19,""))</f>
        <v>19</v>
      </c>
      <c r="AU127" s="503" t="str">
        <f>IF(終値!A127="","",IF(AND(高値!Y127&gt;高値!X127,高値!Y127&gt;高値!W127,高値!Y127&gt;高値!Z127,高値!Y127&gt;高値!AA127),20,""))</f>
        <v/>
      </c>
      <c r="AV127" s="503" t="str">
        <f>IF(終値!A127="","",IF(AND(高値!Z127&gt;高値!Y127,高値!Z127&gt;高値!X127,高値!Z127&gt;高値!AA127,高値!Z127&gt;高値!AB127),21,""))</f>
        <v/>
      </c>
      <c r="AW127" s="503" t="str">
        <f>IF(終値!A127="","",IF(AND(高値!AA127&gt;高値!Z127,高値!AA127&gt;高値!Y127,高値!AA127&gt;高値!AB127,高値!AA127&gt;高値!AC127),22,""))</f>
        <v/>
      </c>
      <c r="AX127" s="503" t="str">
        <f>IF(終値!A127="","",IF(AND(高値!AB127&gt;高値!AA127,高値!AB127&gt;高値!Z127,高値!AB127&gt;高値!AC127,高値!AB127&gt;高値!AD127),23,""))</f>
        <v/>
      </c>
      <c r="AY127" s="503" t="str">
        <f>IF(終値!A127="","",IF(AND(高値!AC127&gt;高値!AB127,高値!AC127&gt;高値!AA127,高値!AC127&gt;高値!AD127,高値!AC127&gt;高値!AE127),24,""))</f>
        <v/>
      </c>
      <c r="AZ127" s="503">
        <f>IF(終値!A127="","",IF(AND(高値!AD127&gt;高値!AC127,高値!AD127&gt;高値!AB127,高値!AD127&gt;高値!AE127,高値!AD127&gt;高値!AF127),25,""))</f>
        <v>25</v>
      </c>
      <c r="BA127" s="503" t="str">
        <f>IF(終値!A127="","",IF(AND(高値!AE127&gt;高値!AD127,高値!AE127&gt;高値!AC127,高値!AE127&gt;高値!AF127,高値!AE127&gt;高値!AG127),26,""))</f>
        <v/>
      </c>
      <c r="BB127" s="503" t="str">
        <f>IF(終値!A127="","",IF(AND(高値!AF127&gt;高値!AE127,高値!AF127&gt;高値!AD127,高値!AF127&gt;高値!AG127,高値!AF127&gt;高値!AH127),27,""))</f>
        <v/>
      </c>
      <c r="BC127" s="503" t="str">
        <f>IF(終値!A127="","",IF(AND(高値!AG127&gt;高値!AF127,高値!AG127&gt;高値!AE127,高値!AG127&gt;高値!AH127,高値!AG127&gt;高値!AI127),28,""))</f>
        <v/>
      </c>
      <c r="BD127" s="503">
        <f t="shared" si="6"/>
        <v>3</v>
      </c>
      <c r="BE127" s="503">
        <f t="shared" si="7"/>
        <v>16</v>
      </c>
      <c r="BF127" s="503">
        <f t="shared" si="8"/>
        <v>23</v>
      </c>
      <c r="BG127" s="503">
        <f>IF($BE127="","",INDEX(安値!$E127:$CZ127,1,$BE127+1))</f>
        <v>5264</v>
      </c>
      <c r="BH127" s="503">
        <f>IF($BF127="","",INDEX(安値!$E127:$CZ127,1,$BF127+1))</f>
        <v>5277</v>
      </c>
      <c r="BI127" s="503">
        <f>IF($BF127="","",MAX(INDEX(高値!$E127:$CZ127,1,$BE127+1):INDEX(高値!$E127:$CZ127,1,$BF127+1)))</f>
        <v>5564</v>
      </c>
      <c r="BJ127" s="503">
        <f>IF($BF127="","",AVERAGE(INDEX(終値!$E127:$CZ127,1,$BF127+1):INDEX(終値!$E127:$CZ127,1,$BF127+20))-2*STDEVP(INDEX(終値!$E127:$CZ127,1,$BF127+1):INDEX(終値!$E127:$CZ127,1,$BF127+20)))</f>
        <v>5284.9676120405775</v>
      </c>
      <c r="BK127" s="503">
        <f>IF($BE127="","",AVERAGE(INDEX(終値!$E127:$CZ127,1,$BE127+1):INDEX(終値!$E127:$CZ127,1,$BE127+20))-2*STDEVP(INDEX(終値!$E127:$CZ127,1,$BE127+1):INDEX(終値!$E127:$CZ127,1,$BE127+20)))</f>
        <v>5286.9537978910867</v>
      </c>
      <c r="BL127" s="503">
        <f t="shared" si="9"/>
        <v>3</v>
      </c>
      <c r="BM127" s="503">
        <f t="shared" si="10"/>
        <v>6</v>
      </c>
      <c r="BN127" s="503">
        <f t="shared" si="11"/>
        <v>19</v>
      </c>
      <c r="BO127" s="503">
        <f>IF($BM127="","",INDEX(高値!$E127:$CZ127,1,$BM127+1))</f>
        <v>5655</v>
      </c>
      <c r="BP127" s="503">
        <f>IF($BN127="","",INDEX(高値!$E127:$CZ127,1,$BN127+1))</f>
        <v>5564</v>
      </c>
      <c r="BQ127" s="503">
        <f>IF($BN127="","",MIN(INDEX(安値!$E127:$CZ127,1,$BM127+1):INDEX(安値!$E127:$CZ127,1,$BN127+1)))</f>
        <v>5264</v>
      </c>
      <c r="BR127" s="503">
        <f>IF($BN127="","",AVERAGE(INDEX(終値!$E127:$CZ127,1,$BN127+1):INDEX(終値!$E127:$CZ127,1,$BN127+20))+2*STDEVP(INDEX(終値!$E127:$CZ127,1,$BN127+1):INDEX(終値!$E127:$CZ127,1,$BN127+20)))</f>
        <v>5627.118471091273</v>
      </c>
      <c r="BS127" s="503">
        <f>IF($BM127="","",AVERAGE(INDEX(終値!$E127:$CZ127,1,$BM127+1):INDEX(終値!$E127:$CZ127,1,$BM127+20))+2*STDEVP(INDEX(終値!$E127:$CZ127,1,$BM127+1):INDEX(終値!$E127:$CZ127,1,$BM127+20)))</f>
        <v>5613.7271810637649</v>
      </c>
      <c r="BT127" s="500"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二番底W形成</v>
      </c>
    </row>
    <row r="128" spans="2:72">
      <c r="B128" s="503" t="str">
        <f>IF(終値!A128="","",IF(AND(安値!G128&lt;安値!F128,安値!G128&lt;安値!E128,安値!G128&lt;安値!H128,安値!G128&lt;安値!I128),2,""))</f>
        <v/>
      </c>
      <c r="C128" s="503" t="str">
        <f>IF(終値!A128="","",IF(AND(安値!H128&lt;安値!G128,安値!H128&lt;安値!F128,安値!H128&lt;安値!I128,安値!H128&lt;安値!J128),3,""))</f>
        <v/>
      </c>
      <c r="D128" s="503" t="str">
        <f>IF(終値!A128="","",IF(AND(安値!I128&lt;安値!H128,安値!I128&lt;安値!G128,安値!I128&lt;安値!J128,安値!I128&lt;安値!K128),4,""))</f>
        <v/>
      </c>
      <c r="E128" s="503">
        <f>IF(終値!A128="","",IF(AND(安値!J128&lt;安値!I128,安値!J128&lt;安値!H128,安値!J128&lt;安値!K128,安値!J128&lt;安値!L128),5,""))</f>
        <v>5</v>
      </c>
      <c r="F128" s="503" t="str">
        <f>IF(終値!A128="","",IF(AND(安値!K128&lt;安値!J128,安値!K128&lt;安値!I128,安値!K128&lt;安値!L128,安値!K128&lt;安値!M128),6,""))</f>
        <v/>
      </c>
      <c r="G128" s="503" t="str">
        <f>IF(終値!A128="","",IF(AND(安値!L128&lt;安値!K128,安値!L128&lt;安値!J128,安値!L128&lt;安値!M128,安値!L128&lt;安値!N128),7,""))</f>
        <v/>
      </c>
      <c r="H128" s="503" t="str">
        <f>IF(終値!A128="","",IF(AND(安値!M128&lt;安値!L128,安値!M128&lt;安値!K128,安値!M128&lt;安値!N128,安値!M128&lt;安値!O128),8,""))</f>
        <v/>
      </c>
      <c r="I128" s="503">
        <f>IF(終値!A128="","",IF(AND(安値!N128&lt;安値!M128,安値!N128&lt;安値!L128,安値!N128&lt;安値!O128,安値!N128&lt;安値!P128),9,""))</f>
        <v>9</v>
      </c>
      <c r="J128" s="503" t="str">
        <f>IF(終値!A128="","",IF(AND(安値!O128&lt;安値!N128,安値!O128&lt;安値!M128,安値!O128&lt;安値!P128,安値!O128&lt;安値!Q128),10,""))</f>
        <v/>
      </c>
      <c r="K128" s="503" t="str">
        <f>IF(終値!A128="","",IF(AND(安値!P128&lt;安値!O128,安値!P128&lt;安値!N128,安値!P128&lt;安値!Q128,安値!P128&lt;安値!R128),11,""))</f>
        <v/>
      </c>
      <c r="L128" s="503" t="str">
        <f>IF(終値!A128="","",IF(AND(安値!Q128&lt;安値!P128,安値!Q128&lt;安値!O128,安値!Q128&lt;安値!R128,安値!Q128&lt;安値!S128),12,""))</f>
        <v/>
      </c>
      <c r="M128" s="503">
        <f>IF(終値!A128="","",IF(AND(安値!R128&lt;安値!Q128,安値!R128&lt;安値!P128,安値!R128&lt;安値!S128,安値!R128&lt;安値!T128),13,""))</f>
        <v>13</v>
      </c>
      <c r="N128" s="503" t="str">
        <f>IF(終値!A128="","",IF(AND(安値!S128&lt;安値!R128,安値!S128&lt;安値!Q128,安値!S128&lt;安値!T128,安値!S128&lt;安値!U128),14,""))</f>
        <v/>
      </c>
      <c r="O128" s="503" t="str">
        <f>IF(終値!A128="","",IF(AND(安値!T128&lt;安値!S128,安値!T128&lt;安値!R128,安値!T128&lt;安値!U128,安値!T128&lt;安値!V128),15,""))</f>
        <v/>
      </c>
      <c r="P128" s="503" t="str">
        <f>IF(終値!A128="","",IF(AND(安値!U128&lt;安値!T128,安値!U128&lt;安値!S128,安値!U128&lt;安値!V128,安値!U128&lt;安値!W128),16,""))</f>
        <v/>
      </c>
      <c r="Q128" s="503" t="str">
        <f>IF(終値!A128="","",IF(AND(安値!V128&lt;安値!U128,安値!V128&lt;安値!T128,安値!V128&lt;安値!W128,安値!V128&lt;安値!X128),17,""))</f>
        <v/>
      </c>
      <c r="R128" s="503" t="str">
        <f>IF(終値!A128="","",IF(AND(安値!W128&lt;安値!V128,安値!W128&lt;安値!U128,安値!W128&lt;安値!X128,安値!W128&lt;安値!Y128),18,""))</f>
        <v/>
      </c>
      <c r="S128" s="503" t="str">
        <f>IF(終値!A128="","",IF(AND(安値!X128&lt;安値!W128,安値!X128&lt;安値!V128,安値!X128&lt;安値!Y128,安値!X128&lt;安値!Z128),19,""))</f>
        <v/>
      </c>
      <c r="T128" s="503" t="str">
        <f>IF(終値!A128="","",IF(AND(安値!Y128&lt;安値!X128,安値!Y128&lt;安値!W128,安値!Y128&lt;安値!Z128,安値!Y128&lt;安値!AA128),20,""))</f>
        <v/>
      </c>
      <c r="U128" s="503" t="str">
        <f>IF(終値!A128="","",IF(AND(安値!Z128&lt;安値!Y128,安値!Z128&lt;安値!X128,安値!Z128&lt;安値!AA128,安値!Z128&lt;安値!AB128),21,""))</f>
        <v/>
      </c>
      <c r="V128" s="503" t="str">
        <f>IF(終値!A128="","",IF(AND(安値!AA128&lt;安値!Z128,安値!AA128&lt;安値!Y128,安値!AA128&lt;安値!AB128,安値!AA128&lt;安値!AC128),22,""))</f>
        <v/>
      </c>
      <c r="W128" s="503" t="str">
        <f>IF(終値!A128="","",IF(AND(安値!AB128&lt;安値!AA128,安値!AB128&lt;安値!Z128,安値!AB128&lt;安値!AC128,安値!AB128&lt;安値!AD128),23,""))</f>
        <v/>
      </c>
      <c r="X128" s="503">
        <f>IF(終値!A128="","",IF(AND(安値!AC128&lt;安値!AB128,安値!AC128&lt;安値!AA128,安値!AC128&lt;安値!AD128,安値!AC128&lt;安値!AE128),24,""))</f>
        <v>24</v>
      </c>
      <c r="Y128" s="503" t="str">
        <f>IF(終値!A128="","",IF(AND(安値!AD128&lt;安値!AC128,安値!AD128&lt;安値!AB128,安値!AD128&lt;安値!AE128,安値!AD128&lt;安値!AF128),25,""))</f>
        <v/>
      </c>
      <c r="Z128" s="503" t="str">
        <f>IF(終値!A128="","",IF(AND(安値!AE128&lt;安値!AD128,安値!AE128&lt;安値!AC128,安値!AE128&lt;安値!AF128,安値!AE128&lt;安値!AG128),26,""))</f>
        <v/>
      </c>
      <c r="AA128" s="503" t="str">
        <f>IF(終値!A128="","",IF(AND(安値!AF128&lt;安値!AE128,安値!AF128&lt;安値!AD128,安値!AF128&lt;安値!AG128,安値!AF128&lt;安値!AH128),27,""))</f>
        <v/>
      </c>
      <c r="AB128" s="503" t="str">
        <f>IF(終値!A128="","",IF(AND(安値!AG128&lt;安値!AF128,安値!AG128&lt;安値!AE128,安値!AG128&lt;安値!AH128,安値!AG128&lt;安値!AI128),28,""))</f>
        <v/>
      </c>
      <c r="AC128" s="503" t="str">
        <f>IF(終値!A128="","",IF(AND(高値!G128&gt;高値!F128,高値!G128&gt;高値!E128,高値!G128&gt;高値!H128,高値!G128&gt;高値!I128),2,""))</f>
        <v/>
      </c>
      <c r="AD128" s="503" t="str">
        <f>IF(終値!A128="","",IF(AND(高値!H128&gt;高値!G128,高値!H128&gt;高値!F128,高値!H128&gt;高値!I128,高値!H128&gt;高値!J128),3,""))</f>
        <v/>
      </c>
      <c r="AE128" s="503" t="str">
        <f>IF(終値!A128="","",IF(AND(高値!I128&gt;高値!H128,高値!I128&gt;高値!G128,高値!I128&gt;高値!J128,高値!I128&gt;高値!K128),4,""))</f>
        <v/>
      </c>
      <c r="AF128" s="503" t="str">
        <f>IF(終値!A128="","",IF(AND(高値!J128&gt;高値!I128,高値!J128&gt;高値!H128,高値!J128&gt;高値!K128,高値!J128&gt;高値!L128),5,""))</f>
        <v/>
      </c>
      <c r="AG128" s="503" t="str">
        <f>IF(終値!A128="","",IF(AND(高値!K128&gt;高値!J128,高値!K128&gt;高値!I128,高値!K128&gt;高値!L128,高値!K128&gt;高値!M128),6,""))</f>
        <v/>
      </c>
      <c r="AH128" s="503" t="str">
        <f>IF(終値!A128="","",IF(AND(高値!L128&gt;高値!K128,高値!L128&gt;高値!J128,高値!L128&gt;高値!M128,高値!L128&gt;高値!N128),7,""))</f>
        <v/>
      </c>
      <c r="AI128" s="503">
        <f>IF(終値!A128="","",IF(AND(高値!M128&gt;高値!L128,高値!M128&gt;高値!K128,高値!M128&gt;高値!N128,高値!M128&gt;高値!O128),8,""))</f>
        <v>8</v>
      </c>
      <c r="AJ128" s="503" t="str">
        <f>IF(終値!A128="","",IF(AND(高値!N128&gt;高値!M128,高値!N128&gt;高値!L128,高値!N128&gt;高値!O128,高値!N128&gt;高値!P128),9,""))</f>
        <v/>
      </c>
      <c r="AK128" s="503" t="str">
        <f>IF(終値!A128="","",IF(AND(高値!O128&gt;高値!N128,高値!O128&gt;高値!M128,高値!O128&gt;高値!P128,高値!O128&gt;高値!Q128),10,""))</f>
        <v/>
      </c>
      <c r="AL128" s="503">
        <f>IF(終値!A128="","",IF(AND(高値!P128&gt;高値!O128,高値!P128&gt;高値!N128,高値!P128&gt;高値!Q128,高値!P128&gt;高値!R128),11,""))</f>
        <v>11</v>
      </c>
      <c r="AM128" s="503" t="str">
        <f>IF(終値!A128="","",IF(AND(高値!Q128&gt;高値!P128,高値!Q128&gt;高値!O128,高値!Q128&gt;高値!R128,高値!Q128&gt;高値!S128),12,""))</f>
        <v/>
      </c>
      <c r="AN128" s="503" t="str">
        <f>IF(終値!A128="","",IF(AND(高値!R128&gt;高値!Q128,高値!R128&gt;高値!P128,高値!R128&gt;高値!S128,高値!R128&gt;高値!T128),13,""))</f>
        <v/>
      </c>
      <c r="AO128" s="503" t="str">
        <f>IF(終値!A128="","",IF(AND(高値!S128&gt;高値!R128,高値!S128&gt;高値!Q128,高値!S128&gt;高値!T128,高値!S128&gt;高値!U128),14,""))</f>
        <v/>
      </c>
      <c r="AP128" s="503" t="str">
        <f>IF(終値!A128="","",IF(AND(高値!T128&gt;高値!S128,高値!T128&gt;高値!R128,高値!T128&gt;高値!U128,高値!T128&gt;高値!V128),15,""))</f>
        <v/>
      </c>
      <c r="AQ128" s="503" t="str">
        <f>IF(終値!A128="","",IF(AND(高値!U128&gt;高値!T128,高値!U128&gt;高値!S128,高値!U128&gt;高値!V128,高値!U128&gt;高値!W128),16,""))</f>
        <v/>
      </c>
      <c r="AR128" s="503" t="str">
        <f>IF(終値!A128="","",IF(AND(高値!V128&gt;高値!U128,高値!V128&gt;高値!T128,高値!V128&gt;高値!W128,高値!V128&gt;高値!X128),17,""))</f>
        <v/>
      </c>
      <c r="AS128" s="503" t="str">
        <f>IF(終値!A128="","",IF(AND(高値!W128&gt;高値!V128,高値!W128&gt;高値!U128,高値!W128&gt;高値!X128,高値!W128&gt;高値!Y128),18,""))</f>
        <v/>
      </c>
      <c r="AT128" s="503" t="str">
        <f>IF(終値!A128="","",IF(AND(高値!X128&gt;高値!W128,高値!X128&gt;高値!V128,高値!X128&gt;高値!Y128,高値!X128&gt;高値!Z128),19,""))</f>
        <v/>
      </c>
      <c r="AU128" s="503" t="str">
        <f>IF(終値!A128="","",IF(AND(高値!Y128&gt;高値!X128,高値!Y128&gt;高値!W128,高値!Y128&gt;高値!Z128,高値!Y128&gt;高値!AA128),20,""))</f>
        <v/>
      </c>
      <c r="AV128" s="503">
        <f>IF(終値!A128="","",IF(AND(高値!Z128&gt;高値!Y128,高値!Z128&gt;高値!X128,高値!Z128&gt;高値!AA128,高値!Z128&gt;高値!AB128),21,""))</f>
        <v>21</v>
      </c>
      <c r="AW128" s="503" t="str">
        <f>IF(終値!A128="","",IF(AND(高値!AA128&gt;高値!Z128,高値!AA128&gt;高値!Y128,高値!AA128&gt;高値!AB128,高値!AA128&gt;高値!AC128),22,""))</f>
        <v/>
      </c>
      <c r="AX128" s="503" t="str">
        <f>IF(終値!A128="","",IF(AND(高値!AB128&gt;高値!AA128,高値!AB128&gt;高値!Z128,高値!AB128&gt;高値!AC128,高値!AB128&gt;高値!AD128),23,""))</f>
        <v/>
      </c>
      <c r="AY128" s="503" t="str">
        <f>IF(終値!A128="","",IF(AND(高値!AC128&gt;高値!AB128,高値!AC128&gt;高値!AA128,高値!AC128&gt;高値!AD128,高値!AC128&gt;高値!AE128),24,""))</f>
        <v/>
      </c>
      <c r="AZ128" s="503">
        <f>IF(終値!A128="","",IF(AND(高値!AD128&gt;高値!AC128,高値!AD128&gt;高値!AB128,高値!AD128&gt;高値!AE128,高値!AD128&gt;高値!AF128),25,""))</f>
        <v>25</v>
      </c>
      <c r="BA128" s="503" t="str">
        <f>IF(終値!A128="","",IF(AND(高値!AE128&gt;高値!AD128,高値!AE128&gt;高値!AC128,高値!AE128&gt;高値!AF128,高値!AE128&gt;高値!AG128),26,""))</f>
        <v/>
      </c>
      <c r="BB128" s="503" t="str">
        <f>IF(終値!A128="","",IF(AND(高値!AF128&gt;高値!AE128,高値!AF128&gt;高値!AD128,高値!AF128&gt;高値!AG128,高値!AF128&gt;高値!AH128),27,""))</f>
        <v/>
      </c>
      <c r="BC128" s="503" t="str">
        <f>IF(終値!A128="","",IF(AND(高値!AG128&gt;高値!AF128,高値!AG128&gt;高値!AE128,高値!AG128&gt;高値!AH128,高値!AG128&gt;高値!AI128),28,""))</f>
        <v/>
      </c>
      <c r="BD128" s="503">
        <f t="shared" si="6"/>
        <v>4</v>
      </c>
      <c r="BE128" s="503">
        <f t="shared" si="7"/>
        <v>5</v>
      </c>
      <c r="BF128" s="503">
        <f t="shared" si="8"/>
        <v>9</v>
      </c>
      <c r="BG128" s="503">
        <f>IF($BE128="","",INDEX(安値!$E128:$CZ128,1,$BE128+1))</f>
        <v>1851</v>
      </c>
      <c r="BH128" s="503">
        <f>IF($BF128="","",INDEX(安値!$E128:$CZ128,1,$BF128+1))</f>
        <v>0</v>
      </c>
      <c r="BI128" s="503">
        <f>IF($BF128="","",MAX(INDEX(高値!$E128:$CZ128,1,$BE128+1):INDEX(高値!$E128:$CZ128,1,$BF128+1)))</f>
        <v>2138</v>
      </c>
      <c r="BJ128" s="503">
        <f>IF($BF128="","",AVERAGE(INDEX(終値!$E128:$CZ128,1,$BF128+1):INDEX(終値!$E128:$CZ128,1,$BF128+20))-2*STDEVP(INDEX(終値!$E128:$CZ128,1,$BF128+1):INDEX(終値!$E128:$CZ128,1,$BF128+20)))</f>
        <v>1787.0878190073854</v>
      </c>
      <c r="BK128" s="503">
        <f>IF($BE128="","",AVERAGE(INDEX(終値!$E128:$CZ128,1,$BE128+1):INDEX(終値!$E128:$CZ128,1,$BE128+20))-2*STDEVP(INDEX(終値!$E128:$CZ128,1,$BE128+1):INDEX(終値!$E128:$CZ128,1,$BE128+20)))</f>
        <v>1782.4441509733451</v>
      </c>
      <c r="BL128" s="503">
        <f t="shared" si="9"/>
        <v>4</v>
      </c>
      <c r="BM128" s="503">
        <f t="shared" si="10"/>
        <v>8</v>
      </c>
      <c r="BN128" s="503">
        <f t="shared" si="11"/>
        <v>11</v>
      </c>
      <c r="BO128" s="503">
        <f>IF($BM128="","",INDEX(高値!$E128:$CZ128,1,$BM128+1))</f>
        <v>2138</v>
      </c>
      <c r="BP128" s="503">
        <f>IF($BN128="","",INDEX(高値!$E128:$CZ128,1,$BN128+1))</f>
        <v>1955</v>
      </c>
      <c r="BQ128" s="503">
        <f>IF($BN128="","",MIN(INDEX(安値!$E128:$CZ128,1,$BM128+1):INDEX(安値!$E128:$CZ128,1,$BN128+1)))</f>
        <v>1850</v>
      </c>
      <c r="BR128" s="503">
        <f>IF($BN128="","",AVERAGE(INDEX(終値!$E128:$CZ128,1,$BN128+1):INDEX(終値!$E128:$CZ128,1,$BN128+20))+2*STDEVP(INDEX(終値!$E128:$CZ128,1,$BN128+1):INDEX(終値!$E128:$CZ128,1,$BN128+20)))</f>
        <v>2155.4713841513521</v>
      </c>
      <c r="BS128" s="503">
        <f>IF($BM128="","",AVERAGE(INDEX(終値!$E128:$CZ128,1,$BM128+1):INDEX(終値!$E128:$CZ128,1,$BM128+20))+2*STDEVP(INDEX(終値!$E128:$CZ128,1,$BM128+1):INDEX(終値!$E128:$CZ128,1,$BM128+20)))</f>
        <v>2175.2618952463545</v>
      </c>
      <c r="BT128" s="500"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v>
      </c>
    </row>
    <row r="129" spans="2:72">
      <c r="B129" s="503" t="str">
        <f>IF(終値!A129="","",IF(AND(安値!G129&lt;安値!F129,安値!G129&lt;安値!E129,安値!G129&lt;安値!H129,安値!G129&lt;安値!I129),2,""))</f>
        <v/>
      </c>
      <c r="C129" s="503" t="str">
        <f>IF(終値!A129="","",IF(AND(安値!H129&lt;安値!G129,安値!H129&lt;安値!F129,安値!H129&lt;安値!I129,安値!H129&lt;安値!J129),3,""))</f>
        <v/>
      </c>
      <c r="D129" s="503" t="str">
        <f>IF(終値!A129="","",IF(AND(安値!I129&lt;安値!H129,安値!I129&lt;安値!G129,安値!I129&lt;安値!J129,安値!I129&lt;安値!K129),4,""))</f>
        <v/>
      </c>
      <c r="E129" s="503" t="str">
        <f>IF(終値!A129="","",IF(AND(安値!J129&lt;安値!I129,安値!J129&lt;安値!H129,安値!J129&lt;安値!K129,安値!J129&lt;安値!L129),5,""))</f>
        <v/>
      </c>
      <c r="F129" s="503">
        <f>IF(終値!A129="","",IF(AND(安値!K129&lt;安値!J129,安値!K129&lt;安値!I129,安値!K129&lt;安値!L129,安値!K129&lt;安値!M129),6,""))</f>
        <v>6</v>
      </c>
      <c r="G129" s="503" t="str">
        <f>IF(終値!A129="","",IF(AND(安値!L129&lt;安値!K129,安値!L129&lt;安値!J129,安値!L129&lt;安値!M129,安値!L129&lt;安値!N129),7,""))</f>
        <v/>
      </c>
      <c r="H129" s="503" t="str">
        <f>IF(終値!A129="","",IF(AND(安値!M129&lt;安値!L129,安値!M129&lt;安値!K129,安値!M129&lt;安値!N129,安値!M129&lt;安値!O129),8,""))</f>
        <v/>
      </c>
      <c r="I129" s="503" t="str">
        <f>IF(終値!A129="","",IF(AND(安値!N129&lt;安値!M129,安値!N129&lt;安値!L129,安値!N129&lt;安値!O129,安値!N129&lt;安値!P129),9,""))</f>
        <v/>
      </c>
      <c r="J129" s="503" t="str">
        <f>IF(終値!A129="","",IF(AND(安値!O129&lt;安値!N129,安値!O129&lt;安値!M129,安値!O129&lt;安値!P129,安値!O129&lt;安値!Q129),10,""))</f>
        <v/>
      </c>
      <c r="K129" s="503" t="str">
        <f>IF(終値!A129="","",IF(AND(安値!P129&lt;安値!O129,安値!P129&lt;安値!N129,安値!P129&lt;安値!Q129,安値!P129&lt;安値!R129),11,""))</f>
        <v/>
      </c>
      <c r="L129" s="503" t="str">
        <f>IF(終値!A129="","",IF(AND(安値!Q129&lt;安値!P129,安値!Q129&lt;安値!O129,安値!Q129&lt;安値!R129,安値!Q129&lt;安値!S129),12,""))</f>
        <v/>
      </c>
      <c r="M129" s="503">
        <f>IF(終値!A129="","",IF(AND(安値!R129&lt;安値!Q129,安値!R129&lt;安値!P129,安値!R129&lt;安値!S129,安値!R129&lt;安値!T129),13,""))</f>
        <v>13</v>
      </c>
      <c r="N129" s="503" t="str">
        <f>IF(終値!A129="","",IF(AND(安値!S129&lt;安値!R129,安値!S129&lt;安値!Q129,安値!S129&lt;安値!T129,安値!S129&lt;安値!U129),14,""))</f>
        <v/>
      </c>
      <c r="O129" s="503" t="str">
        <f>IF(終値!A129="","",IF(AND(安値!T129&lt;安値!S129,安値!T129&lt;安値!R129,安値!T129&lt;安値!U129,安値!T129&lt;安値!V129),15,""))</f>
        <v/>
      </c>
      <c r="P129" s="503">
        <f>IF(終値!A129="","",IF(AND(安値!U129&lt;安値!T129,安値!U129&lt;安値!S129,安値!U129&lt;安値!V129,安値!U129&lt;安値!W129),16,""))</f>
        <v>16</v>
      </c>
      <c r="Q129" s="503" t="str">
        <f>IF(終値!A129="","",IF(AND(安値!V129&lt;安値!U129,安値!V129&lt;安値!T129,安値!V129&lt;安値!W129,安値!V129&lt;安値!X129),17,""))</f>
        <v/>
      </c>
      <c r="R129" s="503" t="str">
        <f>IF(終値!A129="","",IF(AND(安値!W129&lt;安値!V129,安値!W129&lt;安値!U129,安値!W129&lt;安値!X129,安値!W129&lt;安値!Y129),18,""))</f>
        <v/>
      </c>
      <c r="S129" s="503" t="str">
        <f>IF(終値!A129="","",IF(AND(安値!X129&lt;安値!W129,安値!X129&lt;安値!V129,安値!X129&lt;安値!Y129,安値!X129&lt;安値!Z129),19,""))</f>
        <v/>
      </c>
      <c r="T129" s="503" t="str">
        <f>IF(終値!A129="","",IF(AND(安値!Y129&lt;安値!X129,安値!Y129&lt;安値!W129,安値!Y129&lt;安値!Z129,安値!Y129&lt;安値!AA129),20,""))</f>
        <v/>
      </c>
      <c r="U129" s="503" t="str">
        <f>IF(終値!A129="","",IF(AND(安値!Z129&lt;安値!Y129,安値!Z129&lt;安値!X129,安値!Z129&lt;安値!AA129,安値!Z129&lt;安値!AB129),21,""))</f>
        <v/>
      </c>
      <c r="V129" s="503">
        <f>IF(終値!A129="","",IF(AND(安値!AA129&lt;安値!Z129,安値!AA129&lt;安値!Y129,安値!AA129&lt;安値!AB129,安値!AA129&lt;安値!AC129),22,""))</f>
        <v>22</v>
      </c>
      <c r="W129" s="503" t="str">
        <f>IF(終値!A129="","",IF(AND(安値!AB129&lt;安値!AA129,安値!AB129&lt;安値!Z129,安値!AB129&lt;安値!AC129,安値!AB129&lt;安値!AD129),23,""))</f>
        <v/>
      </c>
      <c r="X129" s="503" t="str">
        <f>IF(終値!A129="","",IF(AND(安値!AC129&lt;安値!AB129,安値!AC129&lt;安値!AA129,安値!AC129&lt;安値!AD129,安値!AC129&lt;安値!AE129),24,""))</f>
        <v/>
      </c>
      <c r="Y129" s="503" t="str">
        <f>IF(終値!A129="","",IF(AND(安値!AD129&lt;安値!AC129,安値!AD129&lt;安値!AB129,安値!AD129&lt;安値!AE129,安値!AD129&lt;安値!AF129),25,""))</f>
        <v/>
      </c>
      <c r="Z129" s="503" t="str">
        <f>IF(終値!A129="","",IF(AND(安値!AE129&lt;安値!AD129,安値!AE129&lt;安値!AC129,安値!AE129&lt;安値!AF129,安値!AE129&lt;安値!AG129),26,""))</f>
        <v/>
      </c>
      <c r="AA129" s="503" t="str">
        <f>IF(終値!A129="","",IF(AND(安値!AF129&lt;安値!AE129,安値!AF129&lt;安値!AD129,安値!AF129&lt;安値!AG129,安値!AF129&lt;安値!AH129),27,""))</f>
        <v/>
      </c>
      <c r="AB129" s="503" t="str">
        <f>IF(終値!A129="","",IF(AND(安値!AG129&lt;安値!AF129,安値!AG129&lt;安値!AE129,安値!AG129&lt;安値!AH129,安値!AG129&lt;安値!AI129),28,""))</f>
        <v/>
      </c>
      <c r="AC129" s="503" t="str">
        <f>IF(終値!A129="","",IF(AND(高値!G129&gt;高値!F129,高値!G129&gt;高値!E129,高値!G129&gt;高値!H129,高値!G129&gt;高値!I129),2,""))</f>
        <v/>
      </c>
      <c r="AD129" s="503" t="str">
        <f>IF(終値!A129="","",IF(AND(高値!H129&gt;高値!G129,高値!H129&gt;高値!F129,高値!H129&gt;高値!I129,高値!H129&gt;高値!J129),3,""))</f>
        <v/>
      </c>
      <c r="AE129" s="503" t="str">
        <f>IF(終値!A129="","",IF(AND(高値!I129&gt;高値!H129,高値!I129&gt;高値!G129,高値!I129&gt;高値!J129,高値!I129&gt;高値!K129),4,""))</f>
        <v/>
      </c>
      <c r="AF129" s="503" t="str">
        <f>IF(終値!A129="","",IF(AND(高値!J129&gt;高値!I129,高値!J129&gt;高値!H129,高値!J129&gt;高値!K129,高値!J129&gt;高値!L129),5,""))</f>
        <v/>
      </c>
      <c r="AG129" s="503" t="str">
        <f>IF(終値!A129="","",IF(AND(高値!K129&gt;高値!J129,高値!K129&gt;高値!I129,高値!K129&gt;高値!L129,高値!K129&gt;高値!M129),6,""))</f>
        <v/>
      </c>
      <c r="AH129" s="503" t="str">
        <f>IF(終値!A129="","",IF(AND(高値!L129&gt;高値!K129,高値!L129&gt;高値!J129,高値!L129&gt;高値!M129,高値!L129&gt;高値!N129),7,""))</f>
        <v/>
      </c>
      <c r="AI129" s="503">
        <f>IF(終値!A129="","",IF(AND(高値!M129&gt;高値!L129,高値!M129&gt;高値!K129,高値!M129&gt;高値!N129,高値!M129&gt;高値!O129),8,""))</f>
        <v>8</v>
      </c>
      <c r="AJ129" s="503" t="str">
        <f>IF(終値!A129="","",IF(AND(高値!N129&gt;高値!M129,高値!N129&gt;高値!L129,高値!N129&gt;高値!O129,高値!N129&gt;高値!P129),9,""))</f>
        <v/>
      </c>
      <c r="AK129" s="503" t="str">
        <f>IF(終値!A129="","",IF(AND(高値!O129&gt;高値!N129,高値!O129&gt;高値!M129,高値!O129&gt;高値!P129,高値!O129&gt;高値!Q129),10,""))</f>
        <v/>
      </c>
      <c r="AL129" s="503">
        <f>IF(終値!A129="","",IF(AND(高値!P129&gt;高値!O129,高値!P129&gt;高値!N129,高値!P129&gt;高値!Q129,高値!P129&gt;高値!R129),11,""))</f>
        <v>11</v>
      </c>
      <c r="AM129" s="503" t="str">
        <f>IF(終値!A129="","",IF(AND(高値!Q129&gt;高値!P129,高値!Q129&gt;高値!O129,高値!Q129&gt;高値!R129,高値!Q129&gt;高値!S129),12,""))</f>
        <v/>
      </c>
      <c r="AN129" s="503" t="str">
        <f>IF(終値!A129="","",IF(AND(高値!R129&gt;高値!Q129,高値!R129&gt;高値!P129,高値!R129&gt;高値!S129,高値!R129&gt;高値!T129),13,""))</f>
        <v/>
      </c>
      <c r="AO129" s="503" t="str">
        <f>IF(終値!A129="","",IF(AND(高値!S129&gt;高値!R129,高値!S129&gt;高値!Q129,高値!S129&gt;高値!T129,高値!S129&gt;高値!U129),14,""))</f>
        <v/>
      </c>
      <c r="AP129" s="503" t="str">
        <f>IF(終値!A129="","",IF(AND(高値!T129&gt;高値!S129,高値!T129&gt;高値!R129,高値!T129&gt;高値!U129,高値!T129&gt;高値!V129),15,""))</f>
        <v/>
      </c>
      <c r="AQ129" s="503" t="str">
        <f>IF(終値!A129="","",IF(AND(高値!U129&gt;高値!T129,高値!U129&gt;高値!S129,高値!U129&gt;高値!V129,高値!U129&gt;高値!W129),16,""))</f>
        <v/>
      </c>
      <c r="AR129" s="503" t="str">
        <f>IF(終値!A129="","",IF(AND(高値!V129&gt;高値!U129,高値!V129&gt;高値!T129,高値!V129&gt;高値!W129,高値!V129&gt;高値!X129),17,""))</f>
        <v/>
      </c>
      <c r="AS129" s="503" t="str">
        <f>IF(終値!A129="","",IF(AND(高値!W129&gt;高値!V129,高値!W129&gt;高値!U129,高値!W129&gt;高値!X129,高値!W129&gt;高値!Y129),18,""))</f>
        <v/>
      </c>
      <c r="AT129" s="503" t="str">
        <f>IF(終値!A129="","",IF(AND(高値!X129&gt;高値!W129,高値!X129&gt;高値!V129,高値!X129&gt;高値!Y129,高値!X129&gt;高値!Z129),19,""))</f>
        <v/>
      </c>
      <c r="AU129" s="503" t="str">
        <f>IF(終値!A129="","",IF(AND(高値!Y129&gt;高値!X129,高値!Y129&gt;高値!W129,高値!Y129&gt;高値!Z129,高値!Y129&gt;高値!AA129),20,""))</f>
        <v/>
      </c>
      <c r="AV129" s="503">
        <f>IF(終値!A129="","",IF(AND(高値!Z129&gt;高値!Y129,高値!Z129&gt;高値!X129,高値!Z129&gt;高値!AA129,高値!Z129&gt;高値!AB129),21,""))</f>
        <v>21</v>
      </c>
      <c r="AW129" s="503" t="str">
        <f>IF(終値!A129="","",IF(AND(高値!AA129&gt;高値!Z129,高値!AA129&gt;高値!Y129,高値!AA129&gt;高値!AB129,高値!AA129&gt;高値!AC129),22,""))</f>
        <v/>
      </c>
      <c r="AX129" s="503" t="str">
        <f>IF(終値!A129="","",IF(AND(高値!AB129&gt;高値!AA129,高値!AB129&gt;高値!Z129,高値!AB129&gt;高値!AC129,高値!AB129&gt;高値!AD129),23,""))</f>
        <v/>
      </c>
      <c r="AY129" s="503" t="str">
        <f>IF(終値!A129="","",IF(AND(高値!AC129&gt;高値!AB129,高値!AC129&gt;高値!AA129,高値!AC129&gt;高値!AD129,高値!AC129&gt;高値!AE129),24,""))</f>
        <v/>
      </c>
      <c r="AZ129" s="503" t="str">
        <f>IF(終値!A129="","",IF(AND(高値!AD129&gt;高値!AC129,高値!AD129&gt;高値!AB129,高値!AD129&gt;高値!AE129,高値!AD129&gt;高値!AF129),25,""))</f>
        <v/>
      </c>
      <c r="BA129" s="503" t="str">
        <f>IF(終値!A129="","",IF(AND(高値!AE129&gt;高値!AD129,高値!AE129&gt;高値!AC129,高値!AE129&gt;高値!AF129,高値!AE129&gt;高値!AG129),26,""))</f>
        <v/>
      </c>
      <c r="BB129" s="503" t="str">
        <f>IF(終値!A129="","",IF(AND(高値!AF129&gt;高値!AE129,高値!AF129&gt;高値!AD129,高値!AF129&gt;高値!AG129,高値!AF129&gt;高値!AH129),27,""))</f>
        <v/>
      </c>
      <c r="BC129" s="503">
        <f>IF(終値!A129="","",IF(AND(高値!AG129&gt;高値!AF129,高値!AG129&gt;高値!AE129,高値!AG129&gt;高値!AH129,高値!AG129&gt;高値!AI129),28,""))</f>
        <v>28</v>
      </c>
      <c r="BD129" s="503">
        <f t="shared" si="6"/>
        <v>4</v>
      </c>
      <c r="BE129" s="503">
        <f t="shared" si="7"/>
        <v>6</v>
      </c>
      <c r="BF129" s="503">
        <f t="shared" si="8"/>
        <v>13</v>
      </c>
      <c r="BG129" s="503">
        <f>IF($BE129="","",INDEX(安値!$E129:$CZ129,1,$BE129+1))</f>
        <v>1648</v>
      </c>
      <c r="BH129" s="503">
        <f>IF($BF129="","",INDEX(安値!$E129:$CZ129,1,$BF129+1))</f>
        <v>1702</v>
      </c>
      <c r="BI129" s="503">
        <f>IF($BF129="","",MAX(INDEX(高値!$E129:$CZ129,1,$BE129+1):INDEX(高値!$E129:$CZ129,1,$BF129+1)))</f>
        <v>1892</v>
      </c>
      <c r="BJ129" s="503">
        <f>IF($BF129="","",AVERAGE(INDEX(終値!$E129:$CZ129,1,$BF129+1):INDEX(終値!$E129:$CZ129,1,$BF129+20))-2*STDEVP(INDEX(終値!$E129:$CZ129,1,$BF129+1):INDEX(終値!$E129:$CZ129,1,$BF129+20)))</f>
        <v>1831.4454398669152</v>
      </c>
      <c r="BK129" s="503">
        <f>IF($BE129="","",AVERAGE(INDEX(終値!$E129:$CZ129,1,$BE129+1):INDEX(終値!$E129:$CZ129,1,$BE129+20))-2*STDEVP(INDEX(終値!$E129:$CZ129,1,$BE129+1):INDEX(終値!$E129:$CZ129,1,$BE129+20)))</f>
        <v>1684.4427519172705</v>
      </c>
      <c r="BL129" s="503">
        <f t="shared" si="9"/>
        <v>4</v>
      </c>
      <c r="BM129" s="503">
        <f t="shared" si="10"/>
        <v>8</v>
      </c>
      <c r="BN129" s="503">
        <f t="shared" si="11"/>
        <v>11</v>
      </c>
      <c r="BO129" s="503">
        <f>IF($BM129="","",INDEX(高値!$E129:$CZ129,1,$BM129+1))</f>
        <v>1880</v>
      </c>
      <c r="BP129" s="503">
        <f>IF($BN129="","",INDEX(高値!$E129:$CZ129,1,$BN129+1))</f>
        <v>1892</v>
      </c>
      <c r="BQ129" s="503">
        <f>IF($BN129="","",MIN(INDEX(安値!$E129:$CZ129,1,$BM129+1):INDEX(安値!$E129:$CZ129,1,$BN129+1)))</f>
        <v>1787</v>
      </c>
      <c r="BR129" s="503">
        <f>IF($BN129="","",AVERAGE(INDEX(終値!$E129:$CZ129,1,$BN129+1):INDEX(終値!$E129:$CZ129,1,$BN129+20))+2*STDEVP(INDEX(終値!$E129:$CZ129,1,$BN129+1):INDEX(終値!$E129:$CZ129,1,$BN129+20)))</f>
        <v>2177.8926776609314</v>
      </c>
      <c r="BS129" s="503">
        <f>IF($BM129="","",AVERAGE(INDEX(終値!$E129:$CZ129,1,$BM129+1):INDEX(終値!$E129:$CZ129,1,$BM129+20))+2*STDEVP(INDEX(終値!$E129:$CZ129,1,$BM129+1):INDEX(終値!$E129:$CZ129,1,$BM129+20)))</f>
        <v>2149.6635903962947</v>
      </c>
      <c r="BT129" s="500"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二番底W▲</v>
      </c>
    </row>
    <row r="130" spans="2:72">
      <c r="B130" s="503">
        <f>IF(終値!A130="","",IF(AND(安値!G130&lt;安値!F130,安値!G130&lt;安値!E130,安値!G130&lt;安値!H130,安値!G130&lt;安値!I130),2,""))</f>
        <v>2</v>
      </c>
      <c r="C130" s="503" t="str">
        <f>IF(終値!A130="","",IF(AND(安値!H130&lt;安値!G130,安値!H130&lt;安値!F130,安値!H130&lt;安値!I130,安値!H130&lt;安値!J130),3,""))</f>
        <v/>
      </c>
      <c r="D130" s="503" t="str">
        <f>IF(終値!A130="","",IF(AND(安値!I130&lt;安値!H130,安値!I130&lt;安値!G130,安値!I130&lt;安値!J130,安値!I130&lt;安値!K130),4,""))</f>
        <v/>
      </c>
      <c r="E130" s="503" t="str">
        <f>IF(終値!A130="","",IF(AND(安値!J130&lt;安値!I130,安値!J130&lt;安値!H130,安値!J130&lt;安値!K130,安値!J130&lt;安値!L130),5,""))</f>
        <v/>
      </c>
      <c r="F130" s="503" t="str">
        <f>IF(終値!A130="","",IF(AND(安値!K130&lt;安値!J130,安値!K130&lt;安値!I130,安値!K130&lt;安値!L130,安値!K130&lt;安値!M130),6,""))</f>
        <v/>
      </c>
      <c r="G130" s="503" t="str">
        <f>IF(終値!A130="","",IF(AND(安値!L130&lt;安値!K130,安値!L130&lt;安値!J130,安値!L130&lt;安値!M130,安値!L130&lt;安値!N130),7,""))</f>
        <v/>
      </c>
      <c r="H130" s="503" t="str">
        <f>IF(終値!A130="","",IF(AND(安値!M130&lt;安値!L130,安値!M130&lt;安値!K130,安値!M130&lt;安値!N130,安値!M130&lt;安値!O130),8,""))</f>
        <v/>
      </c>
      <c r="I130" s="503">
        <f>IF(終値!A130="","",IF(AND(安値!N130&lt;安値!M130,安値!N130&lt;安値!L130,安値!N130&lt;安値!O130,安値!N130&lt;安値!P130),9,""))</f>
        <v>9</v>
      </c>
      <c r="J130" s="503" t="str">
        <f>IF(終値!A130="","",IF(AND(安値!O130&lt;安値!N130,安値!O130&lt;安値!M130,安値!O130&lt;安値!P130,安値!O130&lt;安値!Q130),10,""))</f>
        <v/>
      </c>
      <c r="K130" s="503" t="str">
        <f>IF(終値!A130="","",IF(AND(安値!P130&lt;安値!O130,安値!P130&lt;安値!N130,安値!P130&lt;安値!Q130,安値!P130&lt;安値!R130),11,""))</f>
        <v/>
      </c>
      <c r="L130" s="503" t="str">
        <f>IF(終値!A130="","",IF(AND(安値!Q130&lt;安値!P130,安値!Q130&lt;安値!O130,安値!Q130&lt;安値!R130,安値!Q130&lt;安値!S130),12,""))</f>
        <v/>
      </c>
      <c r="M130" s="503" t="str">
        <f>IF(終値!A130="","",IF(AND(安値!R130&lt;安値!Q130,安値!R130&lt;安値!P130,安値!R130&lt;安値!S130,安値!R130&lt;安値!T130),13,""))</f>
        <v/>
      </c>
      <c r="N130" s="503">
        <f>IF(終値!A130="","",IF(AND(安値!S130&lt;安値!R130,安値!S130&lt;安値!Q130,安値!S130&lt;安値!T130,安値!S130&lt;安値!U130),14,""))</f>
        <v>14</v>
      </c>
      <c r="O130" s="503" t="str">
        <f>IF(終値!A130="","",IF(AND(安値!T130&lt;安値!S130,安値!T130&lt;安値!R130,安値!T130&lt;安値!U130,安値!T130&lt;安値!V130),15,""))</f>
        <v/>
      </c>
      <c r="P130" s="503" t="str">
        <f>IF(終値!A130="","",IF(AND(安値!U130&lt;安値!T130,安値!U130&lt;安値!S130,安値!U130&lt;安値!V130,安値!U130&lt;安値!W130),16,""))</f>
        <v/>
      </c>
      <c r="Q130" s="503" t="str">
        <f>IF(終値!A130="","",IF(AND(安値!V130&lt;安値!U130,安値!V130&lt;安値!T130,安値!V130&lt;安値!W130,安値!V130&lt;安値!X130),17,""))</f>
        <v/>
      </c>
      <c r="R130" s="503" t="str">
        <f>IF(終値!A130="","",IF(AND(安値!W130&lt;安値!V130,安値!W130&lt;安値!U130,安値!W130&lt;安値!X130,安値!W130&lt;安値!Y130),18,""))</f>
        <v/>
      </c>
      <c r="S130" s="503" t="str">
        <f>IF(終値!A130="","",IF(AND(安値!X130&lt;安値!W130,安値!X130&lt;安値!V130,安値!X130&lt;安値!Y130,安値!X130&lt;安値!Z130),19,""))</f>
        <v/>
      </c>
      <c r="T130" s="503" t="str">
        <f>IF(終値!A130="","",IF(AND(安値!Y130&lt;安値!X130,安値!Y130&lt;安値!W130,安値!Y130&lt;安値!Z130,安値!Y130&lt;安値!AA130),20,""))</f>
        <v/>
      </c>
      <c r="U130" s="503" t="str">
        <f>IF(終値!A130="","",IF(AND(安値!Z130&lt;安値!Y130,安値!Z130&lt;安値!X130,安値!Z130&lt;安値!AA130,安値!Z130&lt;安値!AB130),21,""))</f>
        <v/>
      </c>
      <c r="V130" s="503" t="str">
        <f>IF(終値!A130="","",IF(AND(安値!AA130&lt;安値!Z130,安値!AA130&lt;安値!Y130,安値!AA130&lt;安値!AB130,安値!AA130&lt;安値!AC130),22,""))</f>
        <v/>
      </c>
      <c r="W130" s="503" t="str">
        <f>IF(終値!A130="","",IF(AND(安値!AB130&lt;安値!AA130,安値!AB130&lt;安値!Z130,安値!AB130&lt;安値!AC130,安値!AB130&lt;安値!AD130),23,""))</f>
        <v/>
      </c>
      <c r="X130" s="503">
        <f>IF(終値!A130="","",IF(AND(安値!AC130&lt;安値!AB130,安値!AC130&lt;安値!AA130,安値!AC130&lt;安値!AD130,安値!AC130&lt;安値!AE130),24,""))</f>
        <v>24</v>
      </c>
      <c r="Y130" s="503" t="str">
        <f>IF(終値!A130="","",IF(AND(安値!AD130&lt;安値!AC130,安値!AD130&lt;安値!AB130,安値!AD130&lt;安値!AE130,安値!AD130&lt;安値!AF130),25,""))</f>
        <v/>
      </c>
      <c r="Z130" s="503" t="str">
        <f>IF(終値!A130="","",IF(AND(安値!AE130&lt;安値!AD130,安値!AE130&lt;安値!AC130,安値!AE130&lt;安値!AF130,安値!AE130&lt;安値!AG130),26,""))</f>
        <v/>
      </c>
      <c r="AA130" s="503">
        <f>IF(終値!A130="","",IF(AND(安値!AF130&lt;安値!AE130,安値!AF130&lt;安値!AD130,安値!AF130&lt;安値!AG130,安値!AF130&lt;安値!AH130),27,""))</f>
        <v>27</v>
      </c>
      <c r="AB130" s="503" t="str">
        <f>IF(終値!A130="","",IF(AND(安値!AG130&lt;安値!AF130,安値!AG130&lt;安値!AE130,安値!AG130&lt;安値!AH130,安値!AG130&lt;安値!AI130),28,""))</f>
        <v/>
      </c>
      <c r="AC130" s="503" t="str">
        <f>IF(終値!A130="","",IF(AND(高値!G130&gt;高値!F130,高値!G130&gt;高値!E130,高値!G130&gt;高値!H130,高値!G130&gt;高値!I130),2,""))</f>
        <v/>
      </c>
      <c r="AD130" s="503" t="str">
        <f>IF(終値!A130="","",IF(AND(高値!H130&gt;高値!G130,高値!H130&gt;高値!F130,高値!H130&gt;高値!I130,高値!H130&gt;高値!J130),3,""))</f>
        <v/>
      </c>
      <c r="AE130" s="503" t="str">
        <f>IF(終値!A130="","",IF(AND(高値!I130&gt;高値!H130,高値!I130&gt;高値!G130,高値!I130&gt;高値!J130,高値!I130&gt;高値!K130),4,""))</f>
        <v/>
      </c>
      <c r="AF130" s="503" t="str">
        <f>IF(終値!A130="","",IF(AND(高値!J130&gt;高値!I130,高値!J130&gt;高値!H130,高値!J130&gt;高値!K130,高値!J130&gt;高値!L130),5,""))</f>
        <v/>
      </c>
      <c r="AG130" s="503" t="str">
        <f>IF(終値!A130="","",IF(AND(高値!K130&gt;高値!J130,高値!K130&gt;高値!I130,高値!K130&gt;高値!L130,高値!K130&gt;高値!M130),6,""))</f>
        <v/>
      </c>
      <c r="AH130" s="503">
        <f>IF(終値!A130="","",IF(AND(高値!L130&gt;高値!K130,高値!L130&gt;高値!J130,高値!L130&gt;高値!M130,高値!L130&gt;高値!N130),7,""))</f>
        <v>7</v>
      </c>
      <c r="AI130" s="503" t="str">
        <f>IF(終値!A130="","",IF(AND(高値!M130&gt;高値!L130,高値!M130&gt;高値!K130,高値!M130&gt;高値!N130,高値!M130&gt;高値!O130),8,""))</f>
        <v/>
      </c>
      <c r="AJ130" s="503" t="str">
        <f>IF(終値!A130="","",IF(AND(高値!N130&gt;高値!M130,高値!N130&gt;高値!L130,高値!N130&gt;高値!O130,高値!N130&gt;高値!P130),9,""))</f>
        <v/>
      </c>
      <c r="AK130" s="503" t="str">
        <f>IF(終値!A130="","",IF(AND(高値!O130&gt;高値!N130,高値!O130&gt;高値!M130,高値!O130&gt;高値!P130,高値!O130&gt;高値!Q130),10,""))</f>
        <v/>
      </c>
      <c r="AL130" s="503" t="str">
        <f>IF(終値!A130="","",IF(AND(高値!P130&gt;高値!O130,高値!P130&gt;高値!N130,高値!P130&gt;高値!Q130,高値!P130&gt;高値!R130),11,""))</f>
        <v/>
      </c>
      <c r="AM130" s="503">
        <f>IF(終値!A130="","",IF(AND(高値!Q130&gt;高値!P130,高値!Q130&gt;高値!O130,高値!Q130&gt;高値!R130,高値!Q130&gt;高値!S130),12,""))</f>
        <v>12</v>
      </c>
      <c r="AN130" s="503" t="str">
        <f>IF(終値!A130="","",IF(AND(高値!R130&gt;高値!Q130,高値!R130&gt;高値!P130,高値!R130&gt;高値!S130,高値!R130&gt;高値!T130),13,""))</f>
        <v/>
      </c>
      <c r="AO130" s="503" t="str">
        <f>IF(終値!A130="","",IF(AND(高値!S130&gt;高値!R130,高値!S130&gt;高値!Q130,高値!S130&gt;高値!T130,高値!S130&gt;高値!U130),14,""))</f>
        <v/>
      </c>
      <c r="AP130" s="503" t="str">
        <f>IF(終値!A130="","",IF(AND(高値!T130&gt;高値!S130,高値!T130&gt;高値!R130,高値!T130&gt;高値!U130,高値!T130&gt;高値!V130),15,""))</f>
        <v/>
      </c>
      <c r="AQ130" s="503" t="str">
        <f>IF(終値!A130="","",IF(AND(高値!U130&gt;高値!T130,高値!U130&gt;高値!S130,高値!U130&gt;高値!V130,高値!U130&gt;高値!W130),16,""))</f>
        <v/>
      </c>
      <c r="AR130" s="503" t="str">
        <f>IF(終値!A130="","",IF(AND(高値!V130&gt;高値!U130,高値!V130&gt;高値!T130,高値!V130&gt;高値!W130,高値!V130&gt;高値!X130),17,""))</f>
        <v/>
      </c>
      <c r="AS130" s="503" t="str">
        <f>IF(終値!A130="","",IF(AND(高値!W130&gt;高値!V130,高値!W130&gt;高値!U130,高値!W130&gt;高値!X130,高値!W130&gt;高値!Y130),18,""))</f>
        <v/>
      </c>
      <c r="AT130" s="503">
        <f>IF(終値!A130="","",IF(AND(高値!X130&gt;高値!W130,高値!X130&gt;高値!V130,高値!X130&gt;高値!Y130,高値!X130&gt;高値!Z130),19,""))</f>
        <v>19</v>
      </c>
      <c r="AU130" s="503" t="str">
        <f>IF(終値!A130="","",IF(AND(高値!Y130&gt;高値!X130,高値!Y130&gt;高値!W130,高値!Y130&gt;高値!Z130,高値!Y130&gt;高値!AA130),20,""))</f>
        <v/>
      </c>
      <c r="AV130" s="503" t="str">
        <f>IF(終値!A130="","",IF(AND(高値!Z130&gt;高値!Y130,高値!Z130&gt;高値!X130,高値!Z130&gt;高値!AA130,高値!Z130&gt;高値!AB130),21,""))</f>
        <v/>
      </c>
      <c r="AW130" s="503">
        <f>IF(終値!A130="","",IF(AND(高値!AA130&gt;高値!Z130,高値!AA130&gt;高値!Y130,高値!AA130&gt;高値!AB130,高値!AA130&gt;高値!AC130),22,""))</f>
        <v>22</v>
      </c>
      <c r="AX130" s="503" t="str">
        <f>IF(終値!A130="","",IF(AND(高値!AB130&gt;高値!AA130,高値!AB130&gt;高値!Z130,高値!AB130&gt;高値!AC130,高値!AB130&gt;高値!AD130),23,""))</f>
        <v/>
      </c>
      <c r="AY130" s="503" t="str">
        <f>IF(終値!A130="","",IF(AND(高値!AC130&gt;高値!AB130,高値!AC130&gt;高値!AA130,高値!AC130&gt;高値!AD130,高値!AC130&gt;高値!AE130),24,""))</f>
        <v/>
      </c>
      <c r="AZ130" s="503" t="str">
        <f>IF(終値!A130="","",IF(AND(高値!AD130&gt;高値!AC130,高値!AD130&gt;高値!AB130,高値!AD130&gt;高値!AE130,高値!AD130&gt;高値!AF130),25,""))</f>
        <v/>
      </c>
      <c r="BA130" s="503">
        <f>IF(終値!A130="","",IF(AND(高値!AE130&gt;高値!AD130,高値!AE130&gt;高値!AC130,高値!AE130&gt;高値!AF130,高値!AE130&gt;高値!AG130),26,""))</f>
        <v>26</v>
      </c>
      <c r="BB130" s="503" t="str">
        <f>IF(終値!A130="","",IF(AND(高値!AF130&gt;高値!AE130,高値!AF130&gt;高値!AD130,高値!AF130&gt;高値!AG130,高値!AF130&gt;高値!AH130),27,""))</f>
        <v/>
      </c>
      <c r="BC130" s="503" t="str">
        <f>IF(終値!A130="","",IF(AND(高値!AG130&gt;高値!AF130,高値!AG130&gt;高値!AE130,高値!AG130&gt;高値!AH130,高値!AG130&gt;高値!AI130),28,""))</f>
        <v/>
      </c>
      <c r="BD130" s="503">
        <f t="shared" si="6"/>
        <v>5</v>
      </c>
      <c r="BE130" s="503">
        <f t="shared" si="7"/>
        <v>2</v>
      </c>
      <c r="BF130" s="503">
        <f t="shared" si="8"/>
        <v>9</v>
      </c>
      <c r="BG130" s="503">
        <f>IF($BE130="","",INDEX(安値!$E130:$CZ130,1,$BE130+1))</f>
        <v>6575</v>
      </c>
      <c r="BH130" s="503">
        <f>IF($BF130="","",INDEX(安値!$E130:$CZ130,1,$BF130+1))</f>
        <v>0</v>
      </c>
      <c r="BI130" s="503">
        <f>IF($BF130="","",MAX(INDEX(高値!$E130:$CZ130,1,$BE130+1):INDEX(高値!$E130:$CZ130,1,$BF130+1)))</f>
        <v>7149</v>
      </c>
      <c r="BJ130" s="503">
        <f>IF($BF130="","",AVERAGE(INDEX(終値!$E130:$CZ130,1,$BF130+1):INDEX(終値!$E130:$CZ130,1,$BF130+20))-2*STDEVP(INDEX(終値!$E130:$CZ130,1,$BF130+1):INDEX(終値!$E130:$CZ130,1,$BF130+20)))</f>
        <v>7108.4066883928908</v>
      </c>
      <c r="BK130" s="503">
        <f>IF($BE130="","",AVERAGE(INDEX(終値!$E130:$CZ130,1,$BE130+1):INDEX(終値!$E130:$CZ130,1,$BE130+20))-2*STDEVP(INDEX(終値!$E130:$CZ130,1,$BE130+1):INDEX(終値!$E130:$CZ130,1,$BE130+20)))</f>
        <v>6666.4027480892282</v>
      </c>
      <c r="BL130" s="503">
        <f t="shared" si="9"/>
        <v>5</v>
      </c>
      <c r="BM130" s="503">
        <f t="shared" si="10"/>
        <v>7</v>
      </c>
      <c r="BN130" s="503">
        <f t="shared" si="11"/>
        <v>12</v>
      </c>
      <c r="BO130" s="503">
        <f>IF($BM130="","",INDEX(高値!$E130:$CZ130,1,$BM130+1))</f>
        <v>7149</v>
      </c>
      <c r="BP130" s="503">
        <f>IF($BN130="","",INDEX(高値!$E130:$CZ130,1,$BN130+1))</f>
        <v>7444</v>
      </c>
      <c r="BQ130" s="503">
        <f>IF($BN130="","",MIN(INDEX(安値!$E130:$CZ130,1,$BM130+1):INDEX(安値!$E130:$CZ130,1,$BN130+1)))</f>
        <v>6795</v>
      </c>
      <c r="BR130" s="503">
        <f>IF($BN130="","",AVERAGE(INDEX(終値!$E130:$CZ130,1,$BN130+1):INDEX(終値!$E130:$CZ130,1,$BN130+20))+2*STDEVP(INDEX(終値!$E130:$CZ130,1,$BN130+1):INDEX(終値!$E130:$CZ130,1,$BN130+20)))</f>
        <v>7692.0518502997147</v>
      </c>
      <c r="BS130" s="503">
        <f>IF($BM130="","",AVERAGE(INDEX(終値!$E130:$CZ130,1,$BM130+1):INDEX(終値!$E130:$CZ130,1,$BM130+20))+2*STDEVP(INDEX(終値!$E130:$CZ130,1,$BM130+1):INDEX(終値!$E130:$CZ130,1,$BM130+20)))</f>
        <v>7736.6363368691918</v>
      </c>
      <c r="BT130" s="500"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v>
      </c>
    </row>
    <row r="131" spans="2:72">
      <c r="B131" s="503" t="str">
        <f>IF(終値!A131="","",IF(AND(安値!G131&lt;安値!F131,安値!G131&lt;安値!E131,安値!G131&lt;安値!H131,安値!G131&lt;安値!I131),2,""))</f>
        <v/>
      </c>
      <c r="C131" s="503" t="str">
        <f>IF(終値!A131="","",IF(AND(安値!H131&lt;安値!G131,安値!H131&lt;安値!F131,安値!H131&lt;安値!I131,安値!H131&lt;安値!J131),3,""))</f>
        <v/>
      </c>
      <c r="D131" s="503" t="str">
        <f>IF(終値!A131="","",IF(AND(安値!I131&lt;安値!H131,安値!I131&lt;安値!G131,安値!I131&lt;安値!J131,安値!I131&lt;安値!K131),4,""))</f>
        <v/>
      </c>
      <c r="E131" s="503">
        <f>IF(終値!A131="","",IF(AND(安値!J131&lt;安値!I131,安値!J131&lt;安値!H131,安値!J131&lt;安値!K131,安値!J131&lt;安値!L131),5,""))</f>
        <v>5</v>
      </c>
      <c r="F131" s="503" t="str">
        <f>IF(終値!A131="","",IF(AND(安値!K131&lt;安値!J131,安値!K131&lt;安値!I131,安値!K131&lt;安値!L131,安値!K131&lt;安値!M131),6,""))</f>
        <v/>
      </c>
      <c r="G131" s="503" t="str">
        <f>IF(終値!A131="","",IF(AND(安値!L131&lt;安値!K131,安値!L131&lt;安値!J131,安値!L131&lt;安値!M131,安値!L131&lt;安値!N131),7,""))</f>
        <v/>
      </c>
      <c r="H131" s="503" t="str">
        <f>IF(終値!A131="","",IF(AND(安値!M131&lt;安値!L131,安値!M131&lt;安値!K131,安値!M131&lt;安値!N131,安値!M131&lt;安値!O131),8,""))</f>
        <v/>
      </c>
      <c r="I131" s="503" t="str">
        <f>IF(終値!A131="","",IF(AND(安値!N131&lt;安値!M131,安値!N131&lt;安値!L131,安値!N131&lt;安値!O131,安値!N131&lt;安値!P131),9,""))</f>
        <v/>
      </c>
      <c r="J131" s="503" t="str">
        <f>IF(終値!A131="","",IF(AND(安値!O131&lt;安値!N131,安値!O131&lt;安値!M131,安値!O131&lt;安値!P131,安値!O131&lt;安値!Q131),10,""))</f>
        <v/>
      </c>
      <c r="K131" s="503" t="str">
        <f>IF(終値!A131="","",IF(AND(安値!P131&lt;安値!O131,安値!P131&lt;安値!N131,安値!P131&lt;安値!Q131,安値!P131&lt;安値!R131),11,""))</f>
        <v/>
      </c>
      <c r="L131" s="503" t="str">
        <f>IF(終値!A131="","",IF(AND(安値!Q131&lt;安値!P131,安値!Q131&lt;安値!O131,安値!Q131&lt;安値!R131,安値!Q131&lt;安値!S131),12,""))</f>
        <v/>
      </c>
      <c r="M131" s="503">
        <f>IF(終値!A131="","",IF(AND(安値!R131&lt;安値!Q131,安値!R131&lt;安値!P131,安値!R131&lt;安値!S131,安値!R131&lt;安値!T131),13,""))</f>
        <v>13</v>
      </c>
      <c r="N131" s="503" t="str">
        <f>IF(終値!A131="","",IF(AND(安値!S131&lt;安値!R131,安値!S131&lt;安値!Q131,安値!S131&lt;安値!T131,安値!S131&lt;安値!U131),14,""))</f>
        <v/>
      </c>
      <c r="O131" s="503" t="str">
        <f>IF(終値!A131="","",IF(AND(安値!T131&lt;安値!S131,安値!T131&lt;安値!R131,安値!T131&lt;安値!U131,安値!T131&lt;安値!V131),15,""))</f>
        <v/>
      </c>
      <c r="P131" s="503" t="str">
        <f>IF(終値!A131="","",IF(AND(安値!U131&lt;安値!T131,安値!U131&lt;安値!S131,安値!U131&lt;安値!V131,安値!U131&lt;安値!W131),16,""))</f>
        <v/>
      </c>
      <c r="Q131" s="503" t="str">
        <f>IF(終値!A131="","",IF(AND(安値!V131&lt;安値!U131,安値!V131&lt;安値!T131,安値!V131&lt;安値!W131,安値!V131&lt;安値!X131),17,""))</f>
        <v/>
      </c>
      <c r="R131" s="503" t="str">
        <f>IF(終値!A131="","",IF(AND(安値!W131&lt;安値!V131,安値!W131&lt;安値!U131,安値!W131&lt;安値!X131,安値!W131&lt;安値!Y131),18,""))</f>
        <v/>
      </c>
      <c r="S131" s="503" t="str">
        <f>IF(終値!A131="","",IF(AND(安値!X131&lt;安値!W131,安値!X131&lt;安値!V131,安値!X131&lt;安値!Y131,安値!X131&lt;安値!Z131),19,""))</f>
        <v/>
      </c>
      <c r="T131" s="503" t="str">
        <f>IF(終値!A131="","",IF(AND(安値!Y131&lt;安値!X131,安値!Y131&lt;安値!W131,安値!Y131&lt;安値!Z131,安値!Y131&lt;安値!AA131),20,""))</f>
        <v/>
      </c>
      <c r="U131" s="503" t="str">
        <f>IF(終値!A131="","",IF(AND(安値!Z131&lt;安値!Y131,安値!Z131&lt;安値!X131,安値!Z131&lt;安値!AA131,安値!Z131&lt;安値!AB131),21,""))</f>
        <v/>
      </c>
      <c r="V131" s="503" t="str">
        <f>IF(終値!A131="","",IF(AND(安値!AA131&lt;安値!Z131,安値!AA131&lt;安値!Y131,安値!AA131&lt;安値!AB131,安値!AA131&lt;安値!AC131),22,""))</f>
        <v/>
      </c>
      <c r="W131" s="503" t="str">
        <f>IF(終値!A131="","",IF(AND(安値!AB131&lt;安値!AA131,安値!AB131&lt;安値!Z131,安値!AB131&lt;安値!AC131,安値!AB131&lt;安値!AD131),23,""))</f>
        <v/>
      </c>
      <c r="X131" s="503" t="str">
        <f>IF(終値!A131="","",IF(AND(安値!AC131&lt;安値!AB131,安値!AC131&lt;安値!AA131,安値!AC131&lt;安値!AD131,安値!AC131&lt;安値!AE131),24,""))</f>
        <v/>
      </c>
      <c r="Y131" s="503" t="str">
        <f>IF(終値!A131="","",IF(AND(安値!AD131&lt;安値!AC131,安値!AD131&lt;安値!AB131,安値!AD131&lt;安値!AE131,安値!AD131&lt;安値!AF131),25,""))</f>
        <v/>
      </c>
      <c r="Z131" s="503" t="str">
        <f>IF(終値!A131="","",IF(AND(安値!AE131&lt;安値!AD131,安値!AE131&lt;安値!AC131,安値!AE131&lt;安値!AF131,安値!AE131&lt;安値!AG131),26,""))</f>
        <v/>
      </c>
      <c r="AA131" s="503">
        <f>IF(終値!A131="","",IF(AND(安値!AF131&lt;安値!AE131,安値!AF131&lt;安値!AD131,安値!AF131&lt;安値!AG131,安値!AF131&lt;安値!AH131),27,""))</f>
        <v>27</v>
      </c>
      <c r="AB131" s="503" t="str">
        <f>IF(終値!A131="","",IF(AND(安値!AG131&lt;安値!AF131,安値!AG131&lt;安値!AE131,安値!AG131&lt;安値!AH131,安値!AG131&lt;安値!AI131),28,""))</f>
        <v/>
      </c>
      <c r="AC131" s="503" t="str">
        <f>IF(終値!A131="","",IF(AND(高値!G131&gt;高値!F131,高値!G131&gt;高値!E131,高値!G131&gt;高値!H131,高値!G131&gt;高値!I131),2,""))</f>
        <v/>
      </c>
      <c r="AD131" s="503" t="str">
        <f>IF(終値!A131="","",IF(AND(高値!H131&gt;高値!G131,高値!H131&gt;高値!F131,高値!H131&gt;高値!I131,高値!H131&gt;高値!J131),3,""))</f>
        <v/>
      </c>
      <c r="AE131" s="503" t="str">
        <f>IF(終値!A131="","",IF(AND(高値!I131&gt;高値!H131,高値!I131&gt;高値!G131,高値!I131&gt;高値!J131,高値!I131&gt;高値!K131),4,""))</f>
        <v/>
      </c>
      <c r="AF131" s="503" t="str">
        <f>IF(終値!A131="","",IF(AND(高値!J131&gt;高値!I131,高値!J131&gt;高値!H131,高値!J131&gt;高値!K131,高値!J131&gt;高値!L131),5,""))</f>
        <v/>
      </c>
      <c r="AG131" s="503" t="str">
        <f>IF(終値!A131="","",IF(AND(高値!K131&gt;高値!J131,高値!K131&gt;高値!I131,高値!K131&gt;高値!L131,高値!K131&gt;高値!M131),6,""))</f>
        <v/>
      </c>
      <c r="AH131" s="503" t="str">
        <f>IF(終値!A131="","",IF(AND(高値!L131&gt;高値!K131,高値!L131&gt;高値!J131,高値!L131&gt;高値!M131,高値!L131&gt;高値!N131),7,""))</f>
        <v/>
      </c>
      <c r="AI131" s="503" t="str">
        <f>IF(終値!A131="","",IF(AND(高値!M131&gt;高値!L131,高値!M131&gt;高値!K131,高値!M131&gt;高値!N131,高値!M131&gt;高値!O131),8,""))</f>
        <v/>
      </c>
      <c r="AJ131" s="503" t="str">
        <f>IF(終値!A131="","",IF(AND(高値!N131&gt;高値!M131,高値!N131&gt;高値!L131,高値!N131&gt;高値!O131,高値!N131&gt;高値!P131),9,""))</f>
        <v/>
      </c>
      <c r="AK131" s="503">
        <f>IF(終値!A131="","",IF(AND(高値!O131&gt;高値!N131,高値!O131&gt;高値!M131,高値!O131&gt;高値!P131,高値!O131&gt;高値!Q131),10,""))</f>
        <v>10</v>
      </c>
      <c r="AL131" s="503" t="str">
        <f>IF(終値!A131="","",IF(AND(高値!P131&gt;高値!O131,高値!P131&gt;高値!N131,高値!P131&gt;高値!Q131,高値!P131&gt;高値!R131),11,""))</f>
        <v/>
      </c>
      <c r="AM131" s="503" t="str">
        <f>IF(終値!A131="","",IF(AND(高値!Q131&gt;高値!P131,高値!Q131&gt;高値!O131,高値!Q131&gt;高値!R131,高値!Q131&gt;高値!S131),12,""))</f>
        <v/>
      </c>
      <c r="AN131" s="503" t="str">
        <f>IF(終値!A131="","",IF(AND(高値!R131&gt;高値!Q131,高値!R131&gt;高値!P131,高値!R131&gt;高値!S131,高値!R131&gt;高値!T131),13,""))</f>
        <v/>
      </c>
      <c r="AO131" s="503" t="str">
        <f>IF(終値!A131="","",IF(AND(高値!S131&gt;高値!R131,高値!S131&gt;高値!Q131,高値!S131&gt;高値!T131,高値!S131&gt;高値!U131),14,""))</f>
        <v/>
      </c>
      <c r="AP131" s="503" t="str">
        <f>IF(終値!A131="","",IF(AND(高値!T131&gt;高値!S131,高値!T131&gt;高値!R131,高値!T131&gt;高値!U131,高値!T131&gt;高値!V131),15,""))</f>
        <v/>
      </c>
      <c r="AQ131" s="503" t="str">
        <f>IF(終値!A131="","",IF(AND(高値!U131&gt;高値!T131,高値!U131&gt;高値!S131,高値!U131&gt;高値!V131,高値!U131&gt;高値!W131),16,""))</f>
        <v/>
      </c>
      <c r="AR131" s="503" t="str">
        <f>IF(終値!A131="","",IF(AND(高値!V131&gt;高値!U131,高値!V131&gt;高値!T131,高値!V131&gt;高値!W131,高値!V131&gt;高値!X131),17,""))</f>
        <v/>
      </c>
      <c r="AS131" s="503" t="str">
        <f>IF(終値!A131="","",IF(AND(高値!W131&gt;高値!V131,高値!W131&gt;高値!U131,高値!W131&gt;高値!X131,高値!W131&gt;高値!Y131),18,""))</f>
        <v/>
      </c>
      <c r="AT131" s="503" t="str">
        <f>IF(終値!A131="","",IF(AND(高値!X131&gt;高値!W131,高値!X131&gt;高値!V131,高値!X131&gt;高値!Y131,高値!X131&gt;高値!Z131),19,""))</f>
        <v/>
      </c>
      <c r="AU131" s="503" t="str">
        <f>IF(終値!A131="","",IF(AND(高値!Y131&gt;高値!X131,高値!Y131&gt;高値!W131,高値!Y131&gt;高値!Z131,高値!Y131&gt;高値!AA131),20,""))</f>
        <v/>
      </c>
      <c r="AV131" s="503" t="str">
        <f>IF(終値!A131="","",IF(AND(高値!Z131&gt;高値!Y131,高値!Z131&gt;高値!X131,高値!Z131&gt;高値!AA131,高値!Z131&gt;高値!AB131),21,""))</f>
        <v/>
      </c>
      <c r="AW131" s="503">
        <f>IF(終値!A131="","",IF(AND(高値!AA131&gt;高値!Z131,高値!AA131&gt;高値!Y131,高値!AA131&gt;高値!AB131,高値!AA131&gt;高値!AC131),22,""))</f>
        <v>22</v>
      </c>
      <c r="AX131" s="503" t="str">
        <f>IF(終値!A131="","",IF(AND(高値!AB131&gt;高値!AA131,高値!AB131&gt;高値!Z131,高値!AB131&gt;高値!AC131,高値!AB131&gt;高値!AD131),23,""))</f>
        <v/>
      </c>
      <c r="AY131" s="503" t="str">
        <f>IF(終値!A131="","",IF(AND(高値!AC131&gt;高値!AB131,高値!AC131&gt;高値!AA131,高値!AC131&gt;高値!AD131,高値!AC131&gt;高値!AE131),24,""))</f>
        <v/>
      </c>
      <c r="AZ131" s="503" t="str">
        <f>IF(終値!A131="","",IF(AND(高値!AD131&gt;高値!AC131,高値!AD131&gt;高値!AB131,高値!AD131&gt;高値!AE131,高値!AD131&gt;高値!AF131),25,""))</f>
        <v/>
      </c>
      <c r="BA131" s="503" t="str">
        <f>IF(終値!A131="","",IF(AND(高値!AE131&gt;高値!AD131,高値!AE131&gt;高値!AC131,高値!AE131&gt;高値!AF131,高値!AE131&gt;高値!AG131),26,""))</f>
        <v/>
      </c>
      <c r="BB131" s="503" t="str">
        <f>IF(終値!A131="","",IF(AND(高値!AF131&gt;高値!AE131,高値!AF131&gt;高値!AD131,高値!AF131&gt;高値!AG131,高値!AF131&gt;高値!AH131),27,""))</f>
        <v/>
      </c>
      <c r="BC131" s="503" t="str">
        <f>IF(終値!A131="","",IF(AND(高値!AG131&gt;高値!AF131,高値!AG131&gt;高値!AE131,高値!AG131&gt;高値!AH131,高値!AG131&gt;高値!AI131),28,""))</f>
        <v/>
      </c>
      <c r="BD131" s="503">
        <f t="shared" si="6"/>
        <v>3</v>
      </c>
      <c r="BE131" s="503">
        <f t="shared" si="7"/>
        <v>5</v>
      </c>
      <c r="BF131" s="503">
        <f t="shared" si="8"/>
        <v>13</v>
      </c>
      <c r="BG131" s="503">
        <f>IF($BE131="","",INDEX(安値!$E131:$CZ131,1,$BE131+1))</f>
        <v>2250</v>
      </c>
      <c r="BH131" s="503">
        <f>IF($BF131="","",INDEX(安値!$E131:$CZ131,1,$BF131+1))</f>
        <v>2396</v>
      </c>
      <c r="BI131" s="503">
        <f>IF($BF131="","",MAX(INDEX(高値!$E131:$CZ131,1,$BE131+1):INDEX(高値!$E131:$CZ131,1,$BF131+1)))</f>
        <v>2643</v>
      </c>
      <c r="BJ131" s="503">
        <f>IF($BF131="","",AVERAGE(INDEX(終値!$E131:$CZ131,1,$BF131+1):INDEX(終値!$E131:$CZ131,1,$BF131+20))-2*STDEVP(INDEX(終値!$E131:$CZ131,1,$BF131+1):INDEX(終値!$E131:$CZ131,1,$BF131+20)))</f>
        <v>2358.5292879287017</v>
      </c>
      <c r="BK131" s="503">
        <f>IF($BE131="","",AVERAGE(INDEX(終値!$E131:$CZ131,1,$BE131+1):INDEX(終値!$E131:$CZ131,1,$BE131+20))-2*STDEVP(INDEX(終値!$E131:$CZ131,1,$BE131+1):INDEX(終値!$E131:$CZ131,1,$BE131+20)))</f>
        <v>2278.851306890695</v>
      </c>
      <c r="BL131" s="503">
        <f t="shared" si="9"/>
        <v>2</v>
      </c>
      <c r="BM131" s="503">
        <f t="shared" si="10"/>
        <v>10</v>
      </c>
      <c r="BN131" s="503">
        <f t="shared" si="11"/>
        <v>22</v>
      </c>
      <c r="BO131" s="503">
        <f>IF($BM131="","",INDEX(高値!$E131:$CZ131,1,$BM131+1))</f>
        <v>2643</v>
      </c>
      <c r="BP131" s="503">
        <f>IF($BN131="","",INDEX(高値!$E131:$CZ131,1,$BN131+1))</f>
        <v>2955</v>
      </c>
      <c r="BQ131" s="503">
        <f>IF($BN131="","",MIN(INDEX(安値!$E131:$CZ131,1,$BM131+1):INDEX(安値!$E131:$CZ131,1,$BN131+1)))</f>
        <v>2396</v>
      </c>
      <c r="BR131" s="503">
        <f>IF($BN131="","",AVERAGE(INDEX(終値!$E131:$CZ131,1,$BN131+1):INDEX(終値!$E131:$CZ131,1,$BN131+20))+2*STDEVP(INDEX(終値!$E131:$CZ131,1,$BN131+1):INDEX(終値!$E131:$CZ131,1,$BN131+20)))</f>
        <v>2938.5482232786158</v>
      </c>
      <c r="BS131" s="503">
        <f>IF($BM131="","",AVERAGE(INDEX(終値!$E131:$CZ131,1,$BM131+1):INDEX(終値!$E131:$CZ131,1,$BM131+20))+2*STDEVP(INDEX(終値!$E131:$CZ131,1,$BM131+1):INDEX(終値!$E131:$CZ131,1,$BM131+20)))</f>
        <v>2937.8894294520128</v>
      </c>
      <c r="BT131" s="500"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3" t="str">
        <f>IF(終値!A132="","",IF(AND(安値!G132&lt;安値!F132,安値!G132&lt;安値!E132,安値!G132&lt;安値!H132,安値!G132&lt;安値!I132),2,""))</f>
        <v/>
      </c>
      <c r="C132" s="503" t="str">
        <f>IF(終値!A132="","",IF(AND(安値!H132&lt;安値!G132,安値!H132&lt;安値!F132,安値!H132&lt;安値!I132,安値!H132&lt;安値!J132),3,""))</f>
        <v/>
      </c>
      <c r="D132" s="503" t="str">
        <f>IF(終値!A132="","",IF(AND(安値!I132&lt;安値!H132,安値!I132&lt;安値!G132,安値!I132&lt;安値!J132,安値!I132&lt;安値!K132),4,""))</f>
        <v/>
      </c>
      <c r="E132" s="503" t="str">
        <f>IF(終値!A132="","",IF(AND(安値!J132&lt;安値!I132,安値!J132&lt;安値!H132,安値!J132&lt;安値!K132,安値!J132&lt;安値!L132),5,""))</f>
        <v/>
      </c>
      <c r="F132" s="503">
        <f>IF(終値!A132="","",IF(AND(安値!K132&lt;安値!J132,安値!K132&lt;安値!I132,安値!K132&lt;安値!L132,安値!K132&lt;安値!M132),6,""))</f>
        <v>6</v>
      </c>
      <c r="G132" s="503" t="str">
        <f>IF(終値!A132="","",IF(AND(安値!L132&lt;安値!K132,安値!L132&lt;安値!J132,安値!L132&lt;安値!M132,安値!L132&lt;安値!N132),7,""))</f>
        <v/>
      </c>
      <c r="H132" s="503" t="str">
        <f>IF(終値!A132="","",IF(AND(安値!M132&lt;安値!L132,安値!M132&lt;安値!K132,安値!M132&lt;安値!N132,安値!M132&lt;安値!O132),8,""))</f>
        <v/>
      </c>
      <c r="I132" s="503">
        <f>IF(終値!A132="","",IF(AND(安値!N132&lt;安値!M132,安値!N132&lt;安値!L132,安値!N132&lt;安値!O132,安値!N132&lt;安値!P132),9,""))</f>
        <v>9</v>
      </c>
      <c r="J132" s="503" t="str">
        <f>IF(終値!A132="","",IF(AND(安値!O132&lt;安値!N132,安値!O132&lt;安値!M132,安値!O132&lt;安値!P132,安値!O132&lt;安値!Q132),10,""))</f>
        <v/>
      </c>
      <c r="K132" s="503" t="str">
        <f>IF(終値!A132="","",IF(AND(安値!P132&lt;安値!O132,安値!P132&lt;安値!N132,安値!P132&lt;安値!Q132,安値!P132&lt;安値!R132),11,""))</f>
        <v/>
      </c>
      <c r="L132" s="503" t="str">
        <f>IF(終値!A132="","",IF(AND(安値!Q132&lt;安値!P132,安値!Q132&lt;安値!O132,安値!Q132&lt;安値!R132,安値!Q132&lt;安値!S132),12,""))</f>
        <v/>
      </c>
      <c r="M132" s="503" t="str">
        <f>IF(終値!A132="","",IF(AND(安値!R132&lt;安値!Q132,安値!R132&lt;安値!P132,安値!R132&lt;安値!S132,安値!R132&lt;安値!T132),13,""))</f>
        <v/>
      </c>
      <c r="N132" s="503" t="str">
        <f>IF(終値!A132="","",IF(AND(安値!S132&lt;安値!R132,安値!S132&lt;安値!Q132,安値!S132&lt;安値!T132,安値!S132&lt;安値!U132),14,""))</f>
        <v/>
      </c>
      <c r="O132" s="503" t="str">
        <f>IF(終値!A132="","",IF(AND(安値!T132&lt;安値!S132,安値!T132&lt;安値!R132,安値!T132&lt;安値!U132,安値!T132&lt;安値!V132),15,""))</f>
        <v/>
      </c>
      <c r="P132" s="503" t="str">
        <f>IF(終値!A132="","",IF(AND(安値!U132&lt;安値!T132,安値!U132&lt;安値!S132,安値!U132&lt;安値!V132,安値!U132&lt;安値!W132),16,""))</f>
        <v/>
      </c>
      <c r="Q132" s="503" t="str">
        <f>IF(終値!A132="","",IF(AND(安値!V132&lt;安値!U132,安値!V132&lt;安値!T132,安値!V132&lt;安値!W132,安値!V132&lt;安値!X132),17,""))</f>
        <v/>
      </c>
      <c r="R132" s="503" t="str">
        <f>IF(終値!A132="","",IF(AND(安値!W132&lt;安値!V132,安値!W132&lt;安値!U132,安値!W132&lt;安値!X132,安値!W132&lt;安値!Y132),18,""))</f>
        <v/>
      </c>
      <c r="S132" s="503">
        <f>IF(終値!A132="","",IF(AND(安値!X132&lt;安値!W132,安値!X132&lt;安値!V132,安値!X132&lt;安値!Y132,安値!X132&lt;安値!Z132),19,""))</f>
        <v>19</v>
      </c>
      <c r="T132" s="503" t="str">
        <f>IF(終値!A132="","",IF(AND(安値!Y132&lt;安値!X132,安値!Y132&lt;安値!W132,安値!Y132&lt;安値!Z132,安値!Y132&lt;安値!AA132),20,""))</f>
        <v/>
      </c>
      <c r="U132" s="503" t="str">
        <f>IF(終値!A132="","",IF(AND(安値!Z132&lt;安値!Y132,安値!Z132&lt;安値!X132,安値!Z132&lt;安値!AA132,安値!Z132&lt;安値!AB132),21,""))</f>
        <v/>
      </c>
      <c r="V132" s="503" t="str">
        <f>IF(終値!A132="","",IF(AND(安値!AA132&lt;安値!Z132,安値!AA132&lt;安値!Y132,安値!AA132&lt;安値!AB132,安値!AA132&lt;安値!AC132),22,""))</f>
        <v/>
      </c>
      <c r="W132" s="503" t="str">
        <f>IF(終値!A132="","",IF(AND(安値!AB132&lt;安値!AA132,安値!AB132&lt;安値!Z132,安値!AB132&lt;安値!AC132,安値!AB132&lt;安値!AD132),23,""))</f>
        <v/>
      </c>
      <c r="X132" s="503" t="str">
        <f>IF(終値!A132="","",IF(AND(安値!AC132&lt;安値!AB132,安値!AC132&lt;安値!AA132,安値!AC132&lt;安値!AD132,安値!AC132&lt;安値!AE132),24,""))</f>
        <v/>
      </c>
      <c r="Y132" s="503" t="str">
        <f>IF(終値!A132="","",IF(AND(安値!AD132&lt;安値!AC132,安値!AD132&lt;安値!AB132,安値!AD132&lt;安値!AE132,安値!AD132&lt;安値!AF132),25,""))</f>
        <v/>
      </c>
      <c r="Z132" s="503">
        <f>IF(終値!A132="","",IF(AND(安値!AE132&lt;安値!AD132,安値!AE132&lt;安値!AC132,安値!AE132&lt;安値!AF132,安値!AE132&lt;安値!AG132),26,""))</f>
        <v>26</v>
      </c>
      <c r="AA132" s="503" t="str">
        <f>IF(終値!A132="","",IF(AND(安値!AF132&lt;安値!AE132,安値!AF132&lt;安値!AD132,安値!AF132&lt;安値!AG132,安値!AF132&lt;安値!AH132),27,""))</f>
        <v/>
      </c>
      <c r="AB132" s="503" t="str">
        <f>IF(終値!A132="","",IF(AND(安値!AG132&lt;安値!AF132,安値!AG132&lt;安値!AE132,安値!AG132&lt;安値!AH132,安値!AG132&lt;安値!AI132),28,""))</f>
        <v/>
      </c>
      <c r="AC132" s="503" t="str">
        <f>IF(終値!A132="","",IF(AND(高値!G132&gt;高値!F132,高値!G132&gt;高値!E132,高値!G132&gt;高値!H132,高値!G132&gt;高値!I132),2,""))</f>
        <v/>
      </c>
      <c r="AD132" s="503" t="str">
        <f>IF(終値!A132="","",IF(AND(高値!H132&gt;高値!G132,高値!H132&gt;高値!F132,高値!H132&gt;高値!I132,高値!H132&gt;高値!J132),3,""))</f>
        <v/>
      </c>
      <c r="AE132" s="503" t="str">
        <f>IF(終値!A132="","",IF(AND(高値!I132&gt;高値!H132,高値!I132&gt;高値!G132,高値!I132&gt;高値!J132,高値!I132&gt;高値!K132),4,""))</f>
        <v/>
      </c>
      <c r="AF132" s="503" t="str">
        <f>IF(終値!A132="","",IF(AND(高値!J132&gt;高値!I132,高値!J132&gt;高値!H132,高値!J132&gt;高値!K132,高値!J132&gt;高値!L132),5,""))</f>
        <v/>
      </c>
      <c r="AG132" s="503" t="str">
        <f>IF(終値!A132="","",IF(AND(高値!K132&gt;高値!J132,高値!K132&gt;高値!I132,高値!K132&gt;高値!L132,高値!K132&gt;高値!M132),6,""))</f>
        <v/>
      </c>
      <c r="AH132" s="503" t="str">
        <f>IF(終値!A132="","",IF(AND(高値!L132&gt;高値!K132,高値!L132&gt;高値!J132,高値!L132&gt;高値!M132,高値!L132&gt;高値!N132),7,""))</f>
        <v/>
      </c>
      <c r="AI132" s="503" t="str">
        <f>IF(終値!A132="","",IF(AND(高値!M132&gt;高値!L132,高値!M132&gt;高値!K132,高値!M132&gt;高値!N132,高値!M132&gt;高値!O132),8,""))</f>
        <v/>
      </c>
      <c r="AJ132" s="503" t="str">
        <f>IF(終値!A132="","",IF(AND(高値!N132&gt;高値!M132,高値!N132&gt;高値!L132,高値!N132&gt;高値!O132,高値!N132&gt;高値!P132),9,""))</f>
        <v/>
      </c>
      <c r="AK132" s="503">
        <f>IF(終値!A132="","",IF(AND(高値!O132&gt;高値!N132,高値!O132&gt;高値!M132,高値!O132&gt;高値!P132,高値!O132&gt;高値!Q132),10,""))</f>
        <v>10</v>
      </c>
      <c r="AL132" s="503" t="str">
        <f>IF(終値!A132="","",IF(AND(高値!P132&gt;高値!O132,高値!P132&gt;高値!N132,高値!P132&gt;高値!Q132,高値!P132&gt;高値!R132),11,""))</f>
        <v/>
      </c>
      <c r="AM132" s="503" t="str">
        <f>IF(終値!A132="","",IF(AND(高値!Q132&gt;高値!P132,高値!Q132&gt;高値!O132,高値!Q132&gt;高値!R132,高値!Q132&gt;高値!S132),12,""))</f>
        <v/>
      </c>
      <c r="AN132" s="503" t="str">
        <f>IF(終値!A132="","",IF(AND(高値!R132&gt;高値!Q132,高値!R132&gt;高値!P132,高値!R132&gt;高値!S132,高値!R132&gt;高値!T132),13,""))</f>
        <v/>
      </c>
      <c r="AO132" s="503" t="str">
        <f>IF(終値!A132="","",IF(AND(高値!S132&gt;高値!R132,高値!S132&gt;高値!Q132,高値!S132&gt;高値!T132,高値!S132&gt;高値!U132),14,""))</f>
        <v/>
      </c>
      <c r="AP132" s="503">
        <f>IF(終値!A132="","",IF(AND(高値!T132&gt;高値!S132,高値!T132&gt;高値!R132,高値!T132&gt;高値!U132,高値!T132&gt;高値!V132),15,""))</f>
        <v>15</v>
      </c>
      <c r="AQ132" s="503" t="str">
        <f>IF(終値!A132="","",IF(AND(高値!U132&gt;高値!T132,高値!U132&gt;高値!S132,高値!U132&gt;高値!V132,高値!U132&gt;高値!W132),16,""))</f>
        <v/>
      </c>
      <c r="AR132" s="503" t="str">
        <f>IF(終値!A132="","",IF(AND(高値!V132&gt;高値!U132,高値!V132&gt;高値!T132,高値!V132&gt;高値!W132,高値!V132&gt;高値!X132),17,""))</f>
        <v/>
      </c>
      <c r="AS132" s="503" t="str">
        <f>IF(終値!A132="","",IF(AND(高値!W132&gt;高値!V132,高値!W132&gt;高値!U132,高値!W132&gt;高値!X132,高値!W132&gt;高値!Y132),18,""))</f>
        <v/>
      </c>
      <c r="AT132" s="503" t="str">
        <f>IF(終値!A132="","",IF(AND(高値!X132&gt;高値!W132,高値!X132&gt;高値!V132,高値!X132&gt;高値!Y132,高値!X132&gt;高値!Z132),19,""))</f>
        <v/>
      </c>
      <c r="AU132" s="503" t="str">
        <f>IF(終値!A132="","",IF(AND(高値!Y132&gt;高値!X132,高値!Y132&gt;高値!W132,高値!Y132&gt;高値!Z132,高値!Y132&gt;高値!AA132),20,""))</f>
        <v/>
      </c>
      <c r="AV132" s="503" t="str">
        <f>IF(終値!A132="","",IF(AND(高値!Z132&gt;高値!Y132,高値!Z132&gt;高値!X132,高値!Z132&gt;高値!AA132,高値!Z132&gt;高値!AB132),21,""))</f>
        <v/>
      </c>
      <c r="AW132" s="503" t="str">
        <f>IF(終値!A132="","",IF(AND(高値!AA132&gt;高値!Z132,高値!AA132&gt;高値!Y132,高値!AA132&gt;高値!AB132,高値!AA132&gt;高値!AC132),22,""))</f>
        <v/>
      </c>
      <c r="AX132" s="503" t="str">
        <f>IF(終値!A132="","",IF(AND(高値!AB132&gt;高値!AA132,高値!AB132&gt;高値!Z132,高値!AB132&gt;高値!AC132,高値!AB132&gt;高値!AD132),23,""))</f>
        <v/>
      </c>
      <c r="AY132" s="503">
        <f>IF(終値!A132="","",IF(AND(高値!AC132&gt;高値!AB132,高値!AC132&gt;高値!AA132,高値!AC132&gt;高値!AD132,高値!AC132&gt;高値!AE132),24,""))</f>
        <v>24</v>
      </c>
      <c r="AZ132" s="503" t="str">
        <f>IF(終値!A132="","",IF(AND(高値!AD132&gt;高値!AC132,高値!AD132&gt;高値!AB132,高値!AD132&gt;高値!AE132,高値!AD132&gt;高値!AF132),25,""))</f>
        <v/>
      </c>
      <c r="BA132" s="503" t="str">
        <f>IF(終値!A132="","",IF(AND(高値!AE132&gt;高値!AD132,高値!AE132&gt;高値!AC132,高値!AE132&gt;高値!AF132,高値!AE132&gt;高値!AG132),26,""))</f>
        <v/>
      </c>
      <c r="BB132" s="503" t="str">
        <f>IF(終値!A132="","",IF(AND(高値!AF132&gt;高値!AE132,高値!AF132&gt;高値!AD132,高値!AF132&gt;高値!AG132,高値!AF132&gt;高値!AH132),27,""))</f>
        <v/>
      </c>
      <c r="BC132" s="503" t="str">
        <f>IF(終値!A132="","",IF(AND(高値!AG132&gt;高値!AF132,高値!AG132&gt;高値!AE132,高値!AG132&gt;高値!AH132,高値!AG132&gt;高値!AI132),28,""))</f>
        <v/>
      </c>
      <c r="BD132" s="503">
        <f t="shared" si="6"/>
        <v>4</v>
      </c>
      <c r="BE132" s="503">
        <f t="shared" si="7"/>
        <v>6</v>
      </c>
      <c r="BF132" s="503">
        <f t="shared" si="8"/>
        <v>9</v>
      </c>
      <c r="BG132" s="503">
        <f>IF($BE132="","",INDEX(安値!$E132:$CZ132,1,$BE132+1))</f>
        <v>5440</v>
      </c>
      <c r="BH132" s="503">
        <f>IF($BF132="","",INDEX(安値!$E132:$CZ132,1,$BF132+1))</f>
        <v>0</v>
      </c>
      <c r="BI132" s="503">
        <f>IF($BF132="","",MAX(INDEX(高値!$E132:$CZ132,1,$BE132+1):INDEX(高値!$E132:$CZ132,1,$BF132+1)))</f>
        <v>7110</v>
      </c>
      <c r="BJ132" s="503">
        <f>IF($BF132="","",AVERAGE(INDEX(終値!$E132:$CZ132,1,$BF132+1):INDEX(終値!$E132:$CZ132,1,$BF132+20))-2*STDEVP(INDEX(終値!$E132:$CZ132,1,$BF132+1):INDEX(終値!$E132:$CZ132,1,$BF132+20)))</f>
        <v>5648.1538871204502</v>
      </c>
      <c r="BK132" s="503">
        <f>IF($BE132="","",AVERAGE(INDEX(終値!$E132:$CZ132,1,$BE132+1):INDEX(終値!$E132:$CZ132,1,$BE132+20))-2*STDEVP(INDEX(終値!$E132:$CZ132,1,$BE132+1):INDEX(終値!$E132:$CZ132,1,$BE132+20)))</f>
        <v>5342.1626859482458</v>
      </c>
      <c r="BL132" s="503">
        <f t="shared" si="9"/>
        <v>3</v>
      </c>
      <c r="BM132" s="503">
        <f t="shared" si="10"/>
        <v>10</v>
      </c>
      <c r="BN132" s="503">
        <f t="shared" si="11"/>
        <v>15</v>
      </c>
      <c r="BO132" s="503">
        <f>IF($BM132="","",INDEX(高値!$E132:$CZ132,1,$BM132+1))</f>
        <v>7630</v>
      </c>
      <c r="BP132" s="503">
        <f>IF($BN132="","",INDEX(高値!$E132:$CZ132,1,$BN132+1))</f>
        <v>8200</v>
      </c>
      <c r="BQ132" s="503">
        <f>IF($BN132="","",MIN(INDEX(安値!$E132:$CZ132,1,$BM132+1):INDEX(安値!$E132:$CZ132,1,$BN132+1)))</f>
        <v>6470</v>
      </c>
      <c r="BR132" s="503">
        <f>IF($BN132="","",AVERAGE(INDEX(終値!$E132:$CZ132,1,$BN132+1):INDEX(終値!$E132:$CZ132,1,$BN132+20))+2*STDEVP(INDEX(終値!$E132:$CZ132,1,$BN132+1):INDEX(終値!$E132:$CZ132,1,$BN132+20)))</f>
        <v>8397.8516592950473</v>
      </c>
      <c r="BS132" s="503">
        <f>IF($BM132="","",AVERAGE(INDEX(終値!$E132:$CZ132,1,$BM132+1):INDEX(終値!$E132:$CZ132,1,$BM132+20))+2*STDEVP(INDEX(終値!$E132:$CZ132,1,$BM132+1):INDEX(終値!$E132:$CZ132,1,$BM132+20)))</f>
        <v>8102.4317033673715</v>
      </c>
      <c r="BT132" s="500"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3" t="str">
        <f>IF(終値!A133="","",IF(AND(安値!G133&lt;安値!F133,安値!G133&lt;安値!E133,安値!G133&lt;安値!H133,安値!G133&lt;安値!I133),2,""))</f>
        <v/>
      </c>
      <c r="C133" s="503" t="str">
        <f>IF(終値!A133="","",IF(AND(安値!H133&lt;安値!G133,安値!H133&lt;安値!F133,安値!H133&lt;安値!I133,安値!H133&lt;安値!J133),3,""))</f>
        <v/>
      </c>
      <c r="D133" s="503" t="str">
        <f>IF(終値!A133="","",IF(AND(安値!I133&lt;安値!H133,安値!I133&lt;安値!G133,安値!I133&lt;安値!J133,安値!I133&lt;安値!K133),4,""))</f>
        <v/>
      </c>
      <c r="E133" s="503" t="str">
        <f>IF(終値!A133="","",IF(AND(安値!J133&lt;安値!I133,安値!J133&lt;安値!H133,安値!J133&lt;安値!K133,安値!J133&lt;安値!L133),5,""))</f>
        <v/>
      </c>
      <c r="F133" s="503" t="str">
        <f>IF(終値!A133="","",IF(AND(安値!K133&lt;安値!J133,安値!K133&lt;安値!I133,安値!K133&lt;安値!L133,安値!K133&lt;安値!M133),6,""))</f>
        <v/>
      </c>
      <c r="G133" s="503" t="str">
        <f>IF(終値!A133="","",IF(AND(安値!L133&lt;安値!K133,安値!L133&lt;安値!J133,安値!L133&lt;安値!M133,安値!L133&lt;安値!N133),7,""))</f>
        <v/>
      </c>
      <c r="H133" s="503" t="str">
        <f>IF(終値!A133="","",IF(AND(安値!M133&lt;安値!L133,安値!M133&lt;安値!K133,安値!M133&lt;安値!N133,安値!M133&lt;安値!O133),8,""))</f>
        <v/>
      </c>
      <c r="I133" s="503">
        <f>IF(終値!A133="","",IF(AND(安値!N133&lt;安値!M133,安値!N133&lt;安値!L133,安値!N133&lt;安値!O133,安値!N133&lt;安値!P133),9,""))</f>
        <v>9</v>
      </c>
      <c r="J133" s="503" t="str">
        <f>IF(終値!A133="","",IF(AND(安値!O133&lt;安値!N133,安値!O133&lt;安値!M133,安値!O133&lt;安値!P133,安値!O133&lt;安値!Q133),10,""))</f>
        <v/>
      </c>
      <c r="K133" s="503" t="str">
        <f>IF(終値!A133="","",IF(AND(安値!P133&lt;安値!O133,安値!P133&lt;安値!N133,安値!P133&lt;安値!Q133,安値!P133&lt;安値!R133),11,""))</f>
        <v/>
      </c>
      <c r="L133" s="503">
        <f>IF(終値!A133="","",IF(AND(安値!Q133&lt;安値!P133,安値!Q133&lt;安値!O133,安値!Q133&lt;安値!R133,安値!Q133&lt;安値!S133),12,""))</f>
        <v>12</v>
      </c>
      <c r="M133" s="503" t="str">
        <f>IF(終値!A133="","",IF(AND(安値!R133&lt;安値!Q133,安値!R133&lt;安値!P133,安値!R133&lt;安値!S133,安値!R133&lt;安値!T133),13,""))</f>
        <v/>
      </c>
      <c r="N133" s="503" t="str">
        <f>IF(終値!A133="","",IF(AND(安値!S133&lt;安値!R133,安値!S133&lt;安値!Q133,安値!S133&lt;安値!T133,安値!S133&lt;安値!U133),14,""))</f>
        <v/>
      </c>
      <c r="O133" s="503" t="str">
        <f>IF(終値!A133="","",IF(AND(安値!T133&lt;安値!S133,安値!T133&lt;安値!R133,安値!T133&lt;安値!U133,安値!T133&lt;安値!V133),15,""))</f>
        <v/>
      </c>
      <c r="P133" s="503" t="str">
        <f>IF(終値!A133="","",IF(AND(安値!U133&lt;安値!T133,安値!U133&lt;安値!S133,安値!U133&lt;安値!V133,安値!U133&lt;安値!W133),16,""))</f>
        <v/>
      </c>
      <c r="Q133" s="503" t="str">
        <f>IF(終値!A133="","",IF(AND(安値!V133&lt;安値!U133,安値!V133&lt;安値!T133,安値!V133&lt;安値!W133,安値!V133&lt;安値!X133),17,""))</f>
        <v/>
      </c>
      <c r="R133" s="503">
        <f>IF(終値!A133="","",IF(AND(安値!W133&lt;安値!V133,安値!W133&lt;安値!U133,安値!W133&lt;安値!X133,安値!W133&lt;安値!Y133),18,""))</f>
        <v>18</v>
      </c>
      <c r="S133" s="503" t="str">
        <f>IF(終値!A133="","",IF(AND(安値!X133&lt;安値!W133,安値!X133&lt;安値!V133,安値!X133&lt;安値!Y133,安値!X133&lt;安値!Z133),19,""))</f>
        <v/>
      </c>
      <c r="T133" s="503" t="str">
        <f>IF(終値!A133="","",IF(AND(安値!Y133&lt;安値!X133,安値!Y133&lt;安値!W133,安値!Y133&lt;安値!Z133,安値!Y133&lt;安値!AA133),20,""))</f>
        <v/>
      </c>
      <c r="U133" s="503" t="str">
        <f>IF(終値!A133="","",IF(AND(安値!Z133&lt;安値!Y133,安値!Z133&lt;安値!X133,安値!Z133&lt;安値!AA133,安値!Z133&lt;安値!AB133),21,""))</f>
        <v/>
      </c>
      <c r="V133" s="503" t="str">
        <f>IF(終値!A133="","",IF(AND(安値!AA133&lt;安値!Z133,安値!AA133&lt;安値!Y133,安値!AA133&lt;安値!AB133,安値!AA133&lt;安値!AC133),22,""))</f>
        <v/>
      </c>
      <c r="W133" s="503" t="str">
        <f>IF(終値!A133="","",IF(AND(安値!AB133&lt;安値!AA133,安値!AB133&lt;安値!Z133,安値!AB133&lt;安値!AC133,安値!AB133&lt;安値!AD133),23,""))</f>
        <v/>
      </c>
      <c r="X133" s="503" t="str">
        <f>IF(終値!A133="","",IF(AND(安値!AC133&lt;安値!AB133,安値!AC133&lt;安値!AA133,安値!AC133&lt;安値!AD133,安値!AC133&lt;安値!AE133),24,""))</f>
        <v/>
      </c>
      <c r="Y133" s="503" t="str">
        <f>IF(終値!A133="","",IF(AND(安値!AD133&lt;安値!AC133,安値!AD133&lt;安値!AB133,安値!AD133&lt;安値!AE133,安値!AD133&lt;安値!AF133),25,""))</f>
        <v/>
      </c>
      <c r="Z133" s="503" t="str">
        <f>IF(終値!A133="","",IF(AND(安値!AE133&lt;安値!AD133,安値!AE133&lt;安値!AC133,安値!AE133&lt;安値!AF133,安値!AE133&lt;安値!AG133),26,""))</f>
        <v/>
      </c>
      <c r="AA133" s="503" t="str">
        <f>IF(終値!A133="","",IF(AND(安値!AF133&lt;安値!AE133,安値!AF133&lt;安値!AD133,安値!AF133&lt;安値!AG133,安値!AF133&lt;安値!AH133),27,""))</f>
        <v/>
      </c>
      <c r="AB133" s="503" t="str">
        <f>IF(終値!A133="","",IF(AND(安値!AG133&lt;安値!AF133,安値!AG133&lt;安値!AE133,安値!AG133&lt;安値!AH133,安値!AG133&lt;安値!AI133),28,""))</f>
        <v/>
      </c>
      <c r="AC133" s="503" t="str">
        <f>IF(終値!A133="","",IF(AND(高値!G133&gt;高値!F133,高値!G133&gt;高値!E133,高値!G133&gt;高値!H133,高値!G133&gt;高値!I133),2,""))</f>
        <v/>
      </c>
      <c r="AD133" s="503" t="str">
        <f>IF(終値!A133="","",IF(AND(高値!H133&gt;高値!G133,高値!H133&gt;高値!F133,高値!H133&gt;高値!I133,高値!H133&gt;高値!J133),3,""))</f>
        <v/>
      </c>
      <c r="AE133" s="503">
        <f>IF(終値!A133="","",IF(AND(高値!I133&gt;高値!H133,高値!I133&gt;高値!G133,高値!I133&gt;高値!J133,高値!I133&gt;高値!K133),4,""))</f>
        <v>4</v>
      </c>
      <c r="AF133" s="503" t="str">
        <f>IF(終値!A133="","",IF(AND(高値!J133&gt;高値!I133,高値!J133&gt;高値!H133,高値!J133&gt;高値!K133,高値!J133&gt;高値!L133),5,""))</f>
        <v/>
      </c>
      <c r="AG133" s="503" t="str">
        <f>IF(終値!A133="","",IF(AND(高値!K133&gt;高値!J133,高値!K133&gt;高値!I133,高値!K133&gt;高値!L133,高値!K133&gt;高値!M133),6,""))</f>
        <v/>
      </c>
      <c r="AH133" s="503" t="str">
        <f>IF(終値!A133="","",IF(AND(高値!L133&gt;高値!K133,高値!L133&gt;高値!J133,高値!L133&gt;高値!M133,高値!L133&gt;高値!N133),7,""))</f>
        <v/>
      </c>
      <c r="AI133" s="503" t="str">
        <f>IF(終値!A133="","",IF(AND(高値!M133&gt;高値!L133,高値!M133&gt;高値!K133,高値!M133&gt;高値!N133,高値!M133&gt;高値!O133),8,""))</f>
        <v/>
      </c>
      <c r="AJ133" s="503" t="str">
        <f>IF(終値!A133="","",IF(AND(高値!N133&gt;高値!M133,高値!N133&gt;高値!L133,高値!N133&gt;高値!O133,高値!N133&gt;高値!P133),9,""))</f>
        <v/>
      </c>
      <c r="AK133" s="503" t="str">
        <f>IF(終値!A133="","",IF(AND(高値!O133&gt;高値!N133,高値!O133&gt;高値!M133,高値!O133&gt;高値!P133,高値!O133&gt;高値!Q133),10,""))</f>
        <v/>
      </c>
      <c r="AL133" s="503">
        <f>IF(終値!A133="","",IF(AND(高値!P133&gt;高値!O133,高値!P133&gt;高値!N133,高値!P133&gt;高値!Q133,高値!P133&gt;高値!R133),11,""))</f>
        <v>11</v>
      </c>
      <c r="AM133" s="503" t="str">
        <f>IF(終値!A133="","",IF(AND(高値!Q133&gt;高値!P133,高値!Q133&gt;高値!O133,高値!Q133&gt;高値!R133,高値!Q133&gt;高値!S133),12,""))</f>
        <v/>
      </c>
      <c r="AN133" s="503" t="str">
        <f>IF(終値!A133="","",IF(AND(高値!R133&gt;高値!Q133,高値!R133&gt;高値!P133,高値!R133&gt;高値!S133,高値!R133&gt;高値!T133),13,""))</f>
        <v/>
      </c>
      <c r="AO133" s="503" t="str">
        <f>IF(終値!A133="","",IF(AND(高値!S133&gt;高値!R133,高値!S133&gt;高値!Q133,高値!S133&gt;高値!T133,高値!S133&gt;高値!U133),14,""))</f>
        <v/>
      </c>
      <c r="AP133" s="503" t="str">
        <f>IF(終値!A133="","",IF(AND(高値!T133&gt;高値!S133,高値!T133&gt;高値!R133,高値!T133&gt;高値!U133,高値!T133&gt;高値!V133),15,""))</f>
        <v/>
      </c>
      <c r="AQ133" s="503">
        <f>IF(終値!A133="","",IF(AND(高値!U133&gt;高値!T133,高値!U133&gt;高値!S133,高値!U133&gt;高値!V133,高値!U133&gt;高値!W133),16,""))</f>
        <v>16</v>
      </c>
      <c r="AR133" s="503" t="str">
        <f>IF(終値!A133="","",IF(AND(高値!V133&gt;高値!U133,高値!V133&gt;高値!T133,高値!V133&gt;高値!W133,高値!V133&gt;高値!X133),17,""))</f>
        <v/>
      </c>
      <c r="AS133" s="503" t="str">
        <f>IF(終値!A133="","",IF(AND(高値!W133&gt;高値!V133,高値!W133&gt;高値!U133,高値!W133&gt;高値!X133,高値!W133&gt;高値!Y133),18,""))</f>
        <v/>
      </c>
      <c r="AT133" s="503" t="str">
        <f>IF(終値!A133="","",IF(AND(高値!X133&gt;高値!W133,高値!X133&gt;高値!V133,高値!X133&gt;高値!Y133,高値!X133&gt;高値!Z133),19,""))</f>
        <v/>
      </c>
      <c r="AU133" s="503" t="str">
        <f>IF(終値!A133="","",IF(AND(高値!Y133&gt;高値!X133,高値!Y133&gt;高値!W133,高値!Y133&gt;高値!Z133,高値!Y133&gt;高値!AA133),20,""))</f>
        <v/>
      </c>
      <c r="AV133" s="503" t="str">
        <f>IF(終値!A133="","",IF(AND(高値!Z133&gt;高値!Y133,高値!Z133&gt;高値!X133,高値!Z133&gt;高値!AA133,高値!Z133&gt;高値!AB133),21,""))</f>
        <v/>
      </c>
      <c r="AW133" s="503" t="str">
        <f>IF(終値!A133="","",IF(AND(高値!AA133&gt;高値!Z133,高値!AA133&gt;高値!Y133,高値!AA133&gt;高値!AB133,高値!AA133&gt;高値!AC133),22,""))</f>
        <v/>
      </c>
      <c r="AX133" s="503">
        <f>IF(終値!A133="","",IF(AND(高値!AB133&gt;高値!AA133,高値!AB133&gt;高値!Z133,高値!AB133&gt;高値!AC133,高値!AB133&gt;高値!AD133),23,""))</f>
        <v>23</v>
      </c>
      <c r="AY133" s="503" t="str">
        <f>IF(終値!A133="","",IF(AND(高値!AC133&gt;高値!AB133,高値!AC133&gt;高値!AA133,高値!AC133&gt;高値!AD133,高値!AC133&gt;高値!AE133),24,""))</f>
        <v/>
      </c>
      <c r="AZ133" s="503" t="str">
        <f>IF(終値!A133="","",IF(AND(高値!AD133&gt;高値!AC133,高値!AD133&gt;高値!AB133,高値!AD133&gt;高値!AE133,高値!AD133&gt;高値!AF133),25,""))</f>
        <v/>
      </c>
      <c r="BA133" s="503" t="str">
        <f>IF(終値!A133="","",IF(AND(高値!AE133&gt;高値!AD133,高値!AE133&gt;高値!AC133,高値!AE133&gt;高値!AF133,高値!AE133&gt;高値!AG133),26,""))</f>
        <v/>
      </c>
      <c r="BB133" s="503" t="str">
        <f>IF(終値!A133="","",IF(AND(高値!AF133&gt;高値!AE133,高値!AF133&gt;高値!AD133,高値!AF133&gt;高値!AG133,高値!AF133&gt;高値!AH133),27,""))</f>
        <v/>
      </c>
      <c r="BC133" s="503" t="str">
        <f>IF(終値!A133="","",IF(AND(高値!AG133&gt;高値!AF133,高値!AG133&gt;高値!AE133,高値!AG133&gt;高値!AH133,高値!AG133&gt;高値!AI133),28,""))</f>
        <v/>
      </c>
      <c r="BD133" s="503">
        <f t="shared" si="6"/>
        <v>3</v>
      </c>
      <c r="BE133" s="503">
        <f t="shared" si="7"/>
        <v>9</v>
      </c>
      <c r="BF133" s="503">
        <f t="shared" si="8"/>
        <v>12</v>
      </c>
      <c r="BG133" s="503">
        <f>IF($BE133="","",INDEX(安値!$E133:$CZ133,1,$BE133+1))</f>
        <v>0</v>
      </c>
      <c r="BH133" s="503">
        <f>IF($BF133="","",INDEX(安値!$E133:$CZ133,1,$BF133+1))</f>
        <v>3650</v>
      </c>
      <c r="BI133" s="503">
        <f>IF($BF133="","",MAX(INDEX(高値!$E133:$CZ133,1,$BE133+1):INDEX(高値!$E133:$CZ133,1,$BF133+1)))</f>
        <v>4670</v>
      </c>
      <c r="BJ133" s="503">
        <f>IF($BF133="","",AVERAGE(INDEX(終値!$E133:$CZ133,1,$BF133+1):INDEX(終値!$E133:$CZ133,1,$BF133+20))-2*STDEVP(INDEX(終値!$E133:$CZ133,1,$BF133+1):INDEX(終値!$E133:$CZ133,1,$BF133+20)))</f>
        <v>3654.1139260499376</v>
      </c>
      <c r="BK133" s="503">
        <f>IF($BE133="","",AVERAGE(INDEX(終値!$E133:$CZ133,1,$BE133+1):INDEX(終値!$E133:$CZ133,1,$BE133+20))-2*STDEVP(INDEX(終値!$E133:$CZ133,1,$BE133+1):INDEX(終値!$E133:$CZ133,1,$BE133+20)))</f>
        <v>3103.3724913775413</v>
      </c>
      <c r="BL133" s="503">
        <f t="shared" si="9"/>
        <v>4</v>
      </c>
      <c r="BM133" s="503">
        <f t="shared" si="10"/>
        <v>4</v>
      </c>
      <c r="BN133" s="503">
        <f t="shared" si="11"/>
        <v>11</v>
      </c>
      <c r="BO133" s="503">
        <f>IF($BM133="","",INDEX(高値!$E133:$CZ133,1,$BM133+1))</f>
        <v>3295</v>
      </c>
      <c r="BP133" s="503">
        <f>IF($BN133="","",INDEX(高値!$E133:$CZ133,1,$BN133+1))</f>
        <v>4670</v>
      </c>
      <c r="BQ133" s="503">
        <f>IF($BN133="","",MIN(INDEX(安値!$E133:$CZ133,1,$BM133+1):INDEX(安値!$E133:$CZ133,1,$BN133+1)))</f>
        <v>2615</v>
      </c>
      <c r="BR133" s="503">
        <f>IF($BN133="","",AVERAGE(INDEX(終値!$E133:$CZ133,1,$BN133+1):INDEX(終値!$E133:$CZ133,1,$BN133+20))+2*STDEVP(INDEX(終値!$E133:$CZ133,1,$BN133+1):INDEX(終値!$E133:$CZ133,1,$BN133+20)))</f>
        <v>8615.3480092549598</v>
      </c>
      <c r="BS133" s="503">
        <f>IF($BM133="","",AVERAGE(INDEX(終値!$E133:$CZ133,1,$BM133+1):INDEX(終値!$E133:$CZ133,1,$BM133+20))+2*STDEVP(INDEX(終値!$E133:$CZ133,1,$BM133+1):INDEX(終値!$E133:$CZ133,1,$BM133+20)))</f>
        <v>7972.3881871272188</v>
      </c>
      <c r="BT133" s="500"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3" t="str">
        <f>IF(終値!A134="","",IF(AND(安値!G134&lt;安値!F134,安値!G134&lt;安値!E134,安値!G134&lt;安値!H134,安値!G134&lt;安値!I134),2,""))</f>
        <v/>
      </c>
      <c r="C134" s="503" t="str">
        <f>IF(終値!A134="","",IF(AND(安値!H134&lt;安値!G134,安値!H134&lt;安値!F134,安値!H134&lt;安値!I134,安値!H134&lt;安値!J134),3,""))</f>
        <v/>
      </c>
      <c r="D134" s="503" t="str">
        <f>IF(終値!A134="","",IF(AND(安値!I134&lt;安値!H134,安値!I134&lt;安値!G134,安値!I134&lt;安値!J134,安値!I134&lt;安値!K134),4,""))</f>
        <v/>
      </c>
      <c r="E134" s="503" t="str">
        <f>IF(終値!A134="","",IF(AND(安値!J134&lt;安値!I134,安値!J134&lt;安値!H134,安値!J134&lt;安値!K134,安値!J134&lt;安値!L134),5,""))</f>
        <v/>
      </c>
      <c r="F134" s="503" t="str">
        <f>IF(終値!A134="","",IF(AND(安値!K134&lt;安値!J134,安値!K134&lt;安値!I134,安値!K134&lt;安値!L134,安値!K134&lt;安値!M134),6,""))</f>
        <v/>
      </c>
      <c r="G134" s="503" t="str">
        <f>IF(終値!A134="","",IF(AND(安値!L134&lt;安値!K134,安値!L134&lt;安値!J134,安値!L134&lt;安値!M134,安値!L134&lt;安値!N134),7,""))</f>
        <v/>
      </c>
      <c r="H134" s="503" t="str">
        <f>IF(終値!A134="","",IF(AND(安値!M134&lt;安値!L134,安値!M134&lt;安値!K134,安値!M134&lt;安値!N134,安値!M134&lt;安値!O134),8,""))</f>
        <v/>
      </c>
      <c r="I134" s="503" t="str">
        <f>IF(終値!A134="","",IF(AND(安値!N134&lt;安値!M134,安値!N134&lt;安値!L134,安値!N134&lt;安値!O134,安値!N134&lt;安値!P134),9,""))</f>
        <v/>
      </c>
      <c r="J134" s="503" t="str">
        <f>IF(終値!A134="","",IF(AND(安値!O134&lt;安値!N134,安値!O134&lt;安値!M134,安値!O134&lt;安値!P134,安値!O134&lt;安値!Q134),10,""))</f>
        <v/>
      </c>
      <c r="K134" s="503" t="str">
        <f>IF(終値!A134="","",IF(AND(安値!P134&lt;安値!O134,安値!P134&lt;安値!N134,安値!P134&lt;安値!Q134,安値!P134&lt;安値!R134),11,""))</f>
        <v/>
      </c>
      <c r="L134" s="503" t="str">
        <f>IF(終値!A134="","",IF(AND(安値!Q134&lt;安値!P134,安値!Q134&lt;安値!O134,安値!Q134&lt;安値!R134,安値!Q134&lt;安値!S134),12,""))</f>
        <v/>
      </c>
      <c r="M134" s="503" t="str">
        <f>IF(終値!A134="","",IF(AND(安値!R134&lt;安値!Q134,安値!R134&lt;安値!P134,安値!R134&lt;安値!S134,安値!R134&lt;安値!T134),13,""))</f>
        <v/>
      </c>
      <c r="N134" s="503" t="str">
        <f>IF(終値!A134="","",IF(AND(安値!S134&lt;安値!R134,安値!S134&lt;安値!Q134,安値!S134&lt;安値!T134,安値!S134&lt;安値!U134),14,""))</f>
        <v/>
      </c>
      <c r="O134" s="503" t="str">
        <f>IF(終値!A134="","",IF(AND(安値!T134&lt;安値!S134,安値!T134&lt;安値!R134,安値!T134&lt;安値!U134,安値!T134&lt;安値!V134),15,""))</f>
        <v/>
      </c>
      <c r="P134" s="503" t="str">
        <f>IF(終値!A134="","",IF(AND(安値!U134&lt;安値!T134,安値!U134&lt;安値!S134,安値!U134&lt;安値!V134,安値!U134&lt;安値!W134),16,""))</f>
        <v/>
      </c>
      <c r="Q134" s="503" t="str">
        <f>IF(終値!A134="","",IF(AND(安値!V134&lt;安値!U134,安値!V134&lt;安値!T134,安値!V134&lt;安値!W134,安値!V134&lt;安値!X134),17,""))</f>
        <v/>
      </c>
      <c r="R134" s="503" t="str">
        <f>IF(終値!A134="","",IF(AND(安値!W134&lt;安値!V134,安値!W134&lt;安値!U134,安値!W134&lt;安値!X134,安値!W134&lt;安値!Y134),18,""))</f>
        <v/>
      </c>
      <c r="S134" s="503" t="str">
        <f>IF(終値!A134="","",IF(AND(安値!X134&lt;安値!W134,安値!X134&lt;安値!V134,安値!X134&lt;安値!Y134,安値!X134&lt;安値!Z134),19,""))</f>
        <v/>
      </c>
      <c r="T134" s="503" t="str">
        <f>IF(終値!A134="","",IF(AND(安値!Y134&lt;安値!X134,安値!Y134&lt;安値!W134,安値!Y134&lt;安値!Z134,安値!Y134&lt;安値!AA134),20,""))</f>
        <v/>
      </c>
      <c r="U134" s="503" t="str">
        <f>IF(終値!A134="","",IF(AND(安値!Z134&lt;安値!Y134,安値!Z134&lt;安値!X134,安値!Z134&lt;安値!AA134,安値!Z134&lt;安値!AB134),21,""))</f>
        <v/>
      </c>
      <c r="V134" s="503" t="str">
        <f>IF(終値!A134="","",IF(AND(安値!AA134&lt;安値!Z134,安値!AA134&lt;安値!Y134,安値!AA134&lt;安値!AB134,安値!AA134&lt;安値!AC134),22,""))</f>
        <v/>
      </c>
      <c r="W134" s="503" t="str">
        <f>IF(終値!A134="","",IF(AND(安値!AB134&lt;安値!AA134,安値!AB134&lt;安値!Z134,安値!AB134&lt;安値!AC134,安値!AB134&lt;安値!AD134),23,""))</f>
        <v/>
      </c>
      <c r="X134" s="503" t="str">
        <f>IF(終値!A134="","",IF(AND(安値!AC134&lt;安値!AB134,安値!AC134&lt;安値!AA134,安値!AC134&lt;安値!AD134,安値!AC134&lt;安値!AE134),24,""))</f>
        <v/>
      </c>
      <c r="Y134" s="503" t="str">
        <f>IF(終値!A134="","",IF(AND(安値!AD134&lt;安値!AC134,安値!AD134&lt;安値!AB134,安値!AD134&lt;安値!AE134,安値!AD134&lt;安値!AF134),25,""))</f>
        <v/>
      </c>
      <c r="Z134" s="503" t="str">
        <f>IF(終値!A134="","",IF(AND(安値!AE134&lt;安値!AD134,安値!AE134&lt;安値!AC134,安値!AE134&lt;安値!AF134,安値!AE134&lt;安値!AG134),26,""))</f>
        <v/>
      </c>
      <c r="AA134" s="503" t="str">
        <f>IF(終値!A134="","",IF(AND(安値!AF134&lt;安値!AE134,安値!AF134&lt;安値!AD134,安値!AF134&lt;安値!AG134,安値!AF134&lt;安値!AH134),27,""))</f>
        <v/>
      </c>
      <c r="AB134" s="503" t="str">
        <f>IF(終値!A134="","",IF(AND(安値!AG134&lt;安値!AF134,安値!AG134&lt;安値!AE134,安値!AG134&lt;安値!AH134,安値!AG134&lt;安値!AI134),28,""))</f>
        <v/>
      </c>
      <c r="AC134" s="503" t="str">
        <f>IF(終値!A134="","",IF(AND(高値!G134&gt;高値!F134,高値!G134&gt;高値!E134,高値!G134&gt;高値!H134,高値!G134&gt;高値!I134),2,""))</f>
        <v/>
      </c>
      <c r="AD134" s="503" t="str">
        <f>IF(終値!A134="","",IF(AND(高値!H134&gt;高値!G134,高値!H134&gt;高値!F134,高値!H134&gt;高値!I134,高値!H134&gt;高値!J134),3,""))</f>
        <v/>
      </c>
      <c r="AE134" s="503" t="str">
        <f>IF(終値!A134="","",IF(AND(高値!I134&gt;高値!H134,高値!I134&gt;高値!G134,高値!I134&gt;高値!J134,高値!I134&gt;高値!K134),4,""))</f>
        <v/>
      </c>
      <c r="AF134" s="503" t="str">
        <f>IF(終値!A134="","",IF(AND(高値!J134&gt;高値!I134,高値!J134&gt;高値!H134,高値!J134&gt;高値!K134,高値!J134&gt;高値!L134),5,""))</f>
        <v/>
      </c>
      <c r="AG134" s="503" t="str">
        <f>IF(終値!A134="","",IF(AND(高値!K134&gt;高値!J134,高値!K134&gt;高値!I134,高値!K134&gt;高値!L134,高値!K134&gt;高値!M134),6,""))</f>
        <v/>
      </c>
      <c r="AH134" s="503" t="str">
        <f>IF(終値!A134="","",IF(AND(高値!L134&gt;高値!K134,高値!L134&gt;高値!J134,高値!L134&gt;高値!M134,高値!L134&gt;高値!N134),7,""))</f>
        <v/>
      </c>
      <c r="AI134" s="503" t="str">
        <f>IF(終値!A134="","",IF(AND(高値!M134&gt;高値!L134,高値!M134&gt;高値!K134,高値!M134&gt;高値!N134,高値!M134&gt;高値!O134),8,""))</f>
        <v/>
      </c>
      <c r="AJ134" s="503" t="str">
        <f>IF(終値!A134="","",IF(AND(高値!N134&gt;高値!M134,高値!N134&gt;高値!L134,高値!N134&gt;高値!O134,高値!N134&gt;高値!P134),9,""))</f>
        <v/>
      </c>
      <c r="AK134" s="503" t="str">
        <f>IF(終値!A134="","",IF(AND(高値!O134&gt;高値!N134,高値!O134&gt;高値!M134,高値!O134&gt;高値!P134,高値!O134&gt;高値!Q134),10,""))</f>
        <v/>
      </c>
      <c r="AL134" s="503" t="str">
        <f>IF(終値!A134="","",IF(AND(高値!P134&gt;高値!O134,高値!P134&gt;高値!N134,高値!P134&gt;高値!Q134,高値!P134&gt;高値!R134),11,""))</f>
        <v/>
      </c>
      <c r="AM134" s="503" t="str">
        <f>IF(終値!A134="","",IF(AND(高値!Q134&gt;高値!P134,高値!Q134&gt;高値!O134,高値!Q134&gt;高値!R134,高値!Q134&gt;高値!S134),12,""))</f>
        <v/>
      </c>
      <c r="AN134" s="503" t="str">
        <f>IF(終値!A134="","",IF(AND(高値!R134&gt;高値!Q134,高値!R134&gt;高値!P134,高値!R134&gt;高値!S134,高値!R134&gt;高値!T134),13,""))</f>
        <v/>
      </c>
      <c r="AO134" s="503" t="str">
        <f>IF(終値!A134="","",IF(AND(高値!S134&gt;高値!R134,高値!S134&gt;高値!Q134,高値!S134&gt;高値!T134,高値!S134&gt;高値!U134),14,""))</f>
        <v/>
      </c>
      <c r="AP134" s="503" t="str">
        <f>IF(終値!A134="","",IF(AND(高値!T134&gt;高値!S134,高値!T134&gt;高値!R134,高値!T134&gt;高値!U134,高値!T134&gt;高値!V134),15,""))</f>
        <v/>
      </c>
      <c r="AQ134" s="503" t="str">
        <f>IF(終値!A134="","",IF(AND(高値!U134&gt;高値!T134,高値!U134&gt;高値!S134,高値!U134&gt;高値!V134,高値!U134&gt;高値!W134),16,""))</f>
        <v/>
      </c>
      <c r="AR134" s="503" t="str">
        <f>IF(終値!A134="","",IF(AND(高値!V134&gt;高値!U134,高値!V134&gt;高値!T134,高値!V134&gt;高値!W134,高値!V134&gt;高値!X134),17,""))</f>
        <v/>
      </c>
      <c r="AS134" s="503" t="str">
        <f>IF(終値!A134="","",IF(AND(高値!W134&gt;高値!V134,高値!W134&gt;高値!U134,高値!W134&gt;高値!X134,高値!W134&gt;高値!Y134),18,""))</f>
        <v/>
      </c>
      <c r="AT134" s="503" t="str">
        <f>IF(終値!A134="","",IF(AND(高値!X134&gt;高値!W134,高値!X134&gt;高値!V134,高値!X134&gt;高値!Y134,高値!X134&gt;高値!Z134),19,""))</f>
        <v/>
      </c>
      <c r="AU134" s="503" t="str">
        <f>IF(終値!A134="","",IF(AND(高値!Y134&gt;高値!X134,高値!Y134&gt;高値!W134,高値!Y134&gt;高値!Z134,高値!Y134&gt;高値!AA134),20,""))</f>
        <v/>
      </c>
      <c r="AV134" s="503" t="str">
        <f>IF(終値!A134="","",IF(AND(高値!Z134&gt;高値!Y134,高値!Z134&gt;高値!X134,高値!Z134&gt;高値!AA134,高値!Z134&gt;高値!AB134),21,""))</f>
        <v/>
      </c>
      <c r="AW134" s="503" t="str">
        <f>IF(終値!A134="","",IF(AND(高値!AA134&gt;高値!Z134,高値!AA134&gt;高値!Y134,高値!AA134&gt;高値!AB134,高値!AA134&gt;高値!AC134),22,""))</f>
        <v/>
      </c>
      <c r="AX134" s="503" t="str">
        <f>IF(終値!A134="","",IF(AND(高値!AB134&gt;高値!AA134,高値!AB134&gt;高値!Z134,高値!AB134&gt;高値!AC134,高値!AB134&gt;高値!AD134),23,""))</f>
        <v/>
      </c>
      <c r="AY134" s="503" t="str">
        <f>IF(終値!A134="","",IF(AND(高値!AC134&gt;高値!AB134,高値!AC134&gt;高値!AA134,高値!AC134&gt;高値!AD134,高値!AC134&gt;高値!AE134),24,""))</f>
        <v/>
      </c>
      <c r="AZ134" s="503" t="str">
        <f>IF(終値!A134="","",IF(AND(高値!AD134&gt;高値!AC134,高値!AD134&gt;高値!AB134,高値!AD134&gt;高値!AE134,高値!AD134&gt;高値!AF134),25,""))</f>
        <v/>
      </c>
      <c r="BA134" s="503" t="str">
        <f>IF(終値!A134="","",IF(AND(高値!AE134&gt;高値!AD134,高値!AE134&gt;高値!AC134,高値!AE134&gt;高値!AF134,高値!AE134&gt;高値!AG134),26,""))</f>
        <v/>
      </c>
      <c r="BB134" s="503" t="str">
        <f>IF(終値!A134="","",IF(AND(高値!AF134&gt;高値!AE134,高値!AF134&gt;高値!AD134,高値!AF134&gt;高値!AG134,高値!AF134&gt;高値!AH134),27,""))</f>
        <v/>
      </c>
      <c r="BC134" s="503" t="str">
        <f>IF(終値!A134="","",IF(AND(高値!AG134&gt;高値!AF134,高値!AG134&gt;高値!AE134,高値!AG134&gt;高値!AH134,高値!AG134&gt;高値!AI134),28,""))</f>
        <v/>
      </c>
      <c r="BD134" s="503">
        <f t="shared" ref="BD134:BD197" si="12">COUNT($B134:$AB134)</f>
        <v>0</v>
      </c>
      <c r="BE134" s="503" t="str">
        <f t="shared" ref="BE134:BE197" si="13">IF($BD134&gt;=2,MIN($B134:$AB134),"")</f>
        <v/>
      </c>
      <c r="BF134" s="503" t="str">
        <f t="shared" ref="BF134:BF197" si="14">IF($BD134&gt;=2,SMALL($B134:$AB134,2),"")</f>
        <v/>
      </c>
      <c r="BG134" s="503" t="str">
        <f>IF($BE134="","",INDEX(安値!$E134:$CZ134,1,$BE134+1))</f>
        <v/>
      </c>
      <c r="BH134" s="503" t="str">
        <f>IF($BF134="","",INDEX(安値!$E134:$CZ134,1,$BF134+1))</f>
        <v/>
      </c>
      <c r="BI134" s="503" t="str">
        <f>IF($BF134="","",MAX(INDEX(高値!$E134:$CZ134,1,$BE134+1):INDEX(高値!$E134:$CZ134,1,$BF134+1)))</f>
        <v/>
      </c>
      <c r="BJ134" s="503" t="str">
        <f>IF($BF134="","",AVERAGE(INDEX(終値!$E134:$CZ134,1,$BF134+1):INDEX(終値!$E134:$CZ134,1,$BF134+20))-2*STDEVP(INDEX(終値!$E134:$CZ134,1,$BF134+1):INDEX(終値!$E134:$CZ134,1,$BF134+20)))</f>
        <v/>
      </c>
      <c r="BK134" s="503" t="str">
        <f>IF($BE134="","",AVERAGE(INDEX(終値!$E134:$CZ134,1,$BE134+1):INDEX(終値!$E134:$CZ134,1,$BE134+20))-2*STDEVP(INDEX(終値!$E134:$CZ134,1,$BE134+1):INDEX(終値!$E134:$CZ134,1,$BE134+20)))</f>
        <v/>
      </c>
      <c r="BL134" s="503">
        <f t="shared" ref="BL134:BL197" si="15">COUNT($AC134:$BC134)</f>
        <v>0</v>
      </c>
      <c r="BM134" s="503" t="str">
        <f t="shared" ref="BM134:BM197" si="16">IF($BL134&gt;=2,MIN($AC134:$BC134),"")</f>
        <v/>
      </c>
      <c r="BN134" s="503" t="str">
        <f t="shared" ref="BN134:BN197" si="17">IF($BL134&gt;=2,SMALL($AC134:$BC134,2),"")</f>
        <v/>
      </c>
      <c r="BO134" s="503" t="str">
        <f>IF($BM134="","",INDEX(高値!$E134:$CZ134,1,$BM134+1))</f>
        <v/>
      </c>
      <c r="BP134" s="503" t="str">
        <f>IF($BN134="","",INDEX(高値!$E134:$CZ134,1,$BN134+1))</f>
        <v/>
      </c>
      <c r="BQ134" s="503" t="str">
        <f>IF($BN134="","",MIN(INDEX(安値!$E134:$CZ134,1,$BM134+1):INDEX(安値!$E134:$CZ134,1,$BN134+1)))</f>
        <v/>
      </c>
      <c r="BR134" s="503" t="str">
        <f>IF($BN134="","",AVERAGE(INDEX(終値!$E134:$CZ134,1,$BN134+1):INDEX(終値!$E134:$CZ134,1,$BN134+20))+2*STDEVP(INDEX(終値!$E134:$CZ134,1,$BN134+1):INDEX(終値!$E134:$CZ134,1,$BN134+20)))</f>
        <v/>
      </c>
      <c r="BS134" s="503" t="str">
        <f>IF($BM134="","",AVERAGE(INDEX(終値!$E134:$CZ134,1,$BM134+1):INDEX(終値!$E134:$CZ134,1,$BM134+20))+2*STDEVP(INDEX(終値!$E134:$CZ134,1,$BM134+1):INDEX(終値!$E134:$CZ134,1,$BM134+20)))</f>
        <v/>
      </c>
      <c r="BT134" s="500"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3" t="str">
        <f>IF(終値!A135="","",IF(AND(安値!G135&lt;安値!F135,安値!G135&lt;安値!E135,安値!G135&lt;安値!H135,安値!G135&lt;安値!I135),2,""))</f>
        <v/>
      </c>
      <c r="C135" s="503" t="str">
        <f>IF(終値!A135="","",IF(AND(安値!H135&lt;安値!G135,安値!H135&lt;安値!F135,安値!H135&lt;安値!I135,安値!H135&lt;安値!J135),3,""))</f>
        <v/>
      </c>
      <c r="D135" s="503" t="str">
        <f>IF(終値!A135="","",IF(AND(安値!I135&lt;安値!H135,安値!I135&lt;安値!G135,安値!I135&lt;安値!J135,安値!I135&lt;安値!K135),4,""))</f>
        <v/>
      </c>
      <c r="E135" s="503" t="str">
        <f>IF(終値!A135="","",IF(AND(安値!J135&lt;安値!I135,安値!J135&lt;安値!H135,安値!J135&lt;安値!K135,安値!J135&lt;安値!L135),5,""))</f>
        <v/>
      </c>
      <c r="F135" s="503" t="str">
        <f>IF(終値!A135="","",IF(AND(安値!K135&lt;安値!J135,安値!K135&lt;安値!I135,安値!K135&lt;安値!L135,安値!K135&lt;安値!M135),6,""))</f>
        <v/>
      </c>
      <c r="G135" s="503" t="str">
        <f>IF(終値!A135="","",IF(AND(安値!L135&lt;安値!K135,安値!L135&lt;安値!J135,安値!L135&lt;安値!M135,安値!L135&lt;安値!N135),7,""))</f>
        <v/>
      </c>
      <c r="H135" s="503" t="str">
        <f>IF(終値!A135="","",IF(AND(安値!M135&lt;安値!L135,安値!M135&lt;安値!K135,安値!M135&lt;安値!N135,安値!M135&lt;安値!O135),8,""))</f>
        <v/>
      </c>
      <c r="I135" s="503">
        <f>IF(終値!A135="","",IF(AND(安値!N135&lt;安値!M135,安値!N135&lt;安値!L135,安値!N135&lt;安値!O135,安値!N135&lt;安値!P135),9,""))</f>
        <v>9</v>
      </c>
      <c r="J135" s="503" t="str">
        <f>IF(終値!A135="","",IF(AND(安値!O135&lt;安値!N135,安値!O135&lt;安値!M135,安値!O135&lt;安値!P135,安値!O135&lt;安値!Q135),10,""))</f>
        <v/>
      </c>
      <c r="K135" s="503" t="str">
        <f>IF(終値!A135="","",IF(AND(安値!P135&lt;安値!O135,安値!P135&lt;安値!N135,安値!P135&lt;安値!Q135,安値!P135&lt;安値!R135),11,""))</f>
        <v/>
      </c>
      <c r="L135" s="503">
        <f>IF(終値!A135="","",IF(AND(安値!Q135&lt;安値!P135,安値!Q135&lt;安値!O135,安値!Q135&lt;安値!R135,安値!Q135&lt;安値!S135),12,""))</f>
        <v>12</v>
      </c>
      <c r="M135" s="503" t="str">
        <f>IF(終値!A135="","",IF(AND(安値!R135&lt;安値!Q135,安値!R135&lt;安値!P135,安値!R135&lt;安値!S135,安値!R135&lt;安値!T135),13,""))</f>
        <v/>
      </c>
      <c r="N135" s="503" t="str">
        <f>IF(終値!A135="","",IF(AND(安値!S135&lt;安値!R135,安値!S135&lt;安値!Q135,安値!S135&lt;安値!T135,安値!S135&lt;安値!U135),14,""))</f>
        <v/>
      </c>
      <c r="O135" s="503" t="str">
        <f>IF(終値!A135="","",IF(AND(安値!T135&lt;安値!S135,安値!T135&lt;安値!R135,安値!T135&lt;安値!U135,安値!T135&lt;安値!V135),15,""))</f>
        <v/>
      </c>
      <c r="P135" s="503" t="str">
        <f>IF(終値!A135="","",IF(AND(安値!U135&lt;安値!T135,安値!U135&lt;安値!S135,安値!U135&lt;安値!V135,安値!U135&lt;安値!W135),16,""))</f>
        <v/>
      </c>
      <c r="Q135" s="503" t="str">
        <f>IF(終値!A135="","",IF(AND(安値!V135&lt;安値!U135,安値!V135&lt;安値!T135,安値!V135&lt;安値!W135,安値!V135&lt;安値!X135),17,""))</f>
        <v/>
      </c>
      <c r="R135" s="503">
        <f>IF(終値!A135="","",IF(AND(安値!W135&lt;安値!V135,安値!W135&lt;安値!U135,安値!W135&lt;安値!X135,安値!W135&lt;安値!Y135),18,""))</f>
        <v>18</v>
      </c>
      <c r="S135" s="503" t="str">
        <f>IF(終値!A135="","",IF(AND(安値!X135&lt;安値!W135,安値!X135&lt;安値!V135,安値!X135&lt;安値!Y135,安値!X135&lt;安値!Z135),19,""))</f>
        <v/>
      </c>
      <c r="T135" s="503" t="str">
        <f>IF(終値!A135="","",IF(AND(安値!Y135&lt;安値!X135,安値!Y135&lt;安値!W135,安値!Y135&lt;安値!Z135,安値!Y135&lt;安値!AA135),20,""))</f>
        <v/>
      </c>
      <c r="U135" s="503" t="str">
        <f>IF(終値!A135="","",IF(AND(安値!Z135&lt;安値!Y135,安値!Z135&lt;安値!X135,安値!Z135&lt;安値!AA135,安値!Z135&lt;安値!AB135),21,""))</f>
        <v/>
      </c>
      <c r="V135" s="503" t="str">
        <f>IF(終値!A135="","",IF(AND(安値!AA135&lt;安値!Z135,安値!AA135&lt;安値!Y135,安値!AA135&lt;安値!AB135,安値!AA135&lt;安値!AC135),22,""))</f>
        <v/>
      </c>
      <c r="W135" s="503" t="str">
        <f>IF(終値!A135="","",IF(AND(安値!AB135&lt;安値!AA135,安値!AB135&lt;安値!Z135,安値!AB135&lt;安値!AC135,安値!AB135&lt;安値!AD135),23,""))</f>
        <v/>
      </c>
      <c r="X135" s="503" t="str">
        <f>IF(終値!A135="","",IF(AND(安値!AC135&lt;安値!AB135,安値!AC135&lt;安値!AA135,安値!AC135&lt;安値!AD135,安値!AC135&lt;安値!AE135),24,""))</f>
        <v/>
      </c>
      <c r="Y135" s="503" t="str">
        <f>IF(終値!A135="","",IF(AND(安値!AD135&lt;安値!AC135,安値!AD135&lt;安値!AB135,安値!AD135&lt;安値!AE135,安値!AD135&lt;安値!AF135),25,""))</f>
        <v/>
      </c>
      <c r="Z135" s="503" t="str">
        <f>IF(終値!A135="","",IF(AND(安値!AE135&lt;安値!AD135,安値!AE135&lt;安値!AC135,安値!AE135&lt;安値!AF135,安値!AE135&lt;安値!AG135),26,""))</f>
        <v/>
      </c>
      <c r="AA135" s="503" t="str">
        <f>IF(終値!A135="","",IF(AND(安値!AF135&lt;安値!AE135,安値!AF135&lt;安値!AD135,安値!AF135&lt;安値!AG135,安値!AF135&lt;安値!AH135),27,""))</f>
        <v/>
      </c>
      <c r="AB135" s="503" t="str">
        <f>IF(終値!A135="","",IF(AND(安値!AG135&lt;安値!AF135,安値!AG135&lt;安値!AE135,安値!AG135&lt;安値!AH135,安値!AG135&lt;安値!AI135),28,""))</f>
        <v/>
      </c>
      <c r="AC135" s="503" t="str">
        <f>IF(終値!A135="","",IF(AND(高値!G135&gt;高値!F135,高値!G135&gt;高値!E135,高値!G135&gt;高値!H135,高値!G135&gt;高値!I135),2,""))</f>
        <v/>
      </c>
      <c r="AD135" s="503" t="str">
        <f>IF(終値!A135="","",IF(AND(高値!H135&gt;高値!G135,高値!H135&gt;高値!F135,高値!H135&gt;高値!I135,高値!H135&gt;高値!J135),3,""))</f>
        <v/>
      </c>
      <c r="AE135" s="503">
        <f>IF(終値!A135="","",IF(AND(高値!I135&gt;高値!H135,高値!I135&gt;高値!G135,高値!I135&gt;高値!J135,高値!I135&gt;高値!K135),4,""))</f>
        <v>4</v>
      </c>
      <c r="AF135" s="503" t="str">
        <f>IF(終値!A135="","",IF(AND(高値!J135&gt;高値!I135,高値!J135&gt;高値!H135,高値!J135&gt;高値!K135,高値!J135&gt;高値!L135),5,""))</f>
        <v/>
      </c>
      <c r="AG135" s="503" t="str">
        <f>IF(終値!A135="","",IF(AND(高値!K135&gt;高値!J135,高値!K135&gt;高値!I135,高値!K135&gt;高値!L135,高値!K135&gt;高値!M135),6,""))</f>
        <v/>
      </c>
      <c r="AH135" s="503" t="str">
        <f>IF(終値!A135="","",IF(AND(高値!L135&gt;高値!K135,高値!L135&gt;高値!J135,高値!L135&gt;高値!M135,高値!L135&gt;高値!N135),7,""))</f>
        <v/>
      </c>
      <c r="AI135" s="503" t="str">
        <f>IF(終値!A135="","",IF(AND(高値!M135&gt;高値!L135,高値!M135&gt;高値!K135,高値!M135&gt;高値!N135,高値!M135&gt;高値!O135),8,""))</f>
        <v/>
      </c>
      <c r="AJ135" s="503" t="str">
        <f>IF(終値!A135="","",IF(AND(高値!N135&gt;高値!M135,高値!N135&gt;高値!L135,高値!N135&gt;高値!O135,高値!N135&gt;高値!P135),9,""))</f>
        <v/>
      </c>
      <c r="AK135" s="503" t="str">
        <f>IF(終値!A135="","",IF(AND(高値!O135&gt;高値!N135,高値!O135&gt;高値!M135,高値!O135&gt;高値!P135,高値!O135&gt;高値!Q135),10,""))</f>
        <v/>
      </c>
      <c r="AL135" s="503">
        <f>IF(終値!A135="","",IF(AND(高値!P135&gt;高値!O135,高値!P135&gt;高値!N135,高値!P135&gt;高値!Q135,高値!P135&gt;高値!R135),11,""))</f>
        <v>11</v>
      </c>
      <c r="AM135" s="503" t="str">
        <f>IF(終値!A135="","",IF(AND(高値!Q135&gt;高値!P135,高値!Q135&gt;高値!O135,高値!Q135&gt;高値!R135,高値!Q135&gt;高値!S135),12,""))</f>
        <v/>
      </c>
      <c r="AN135" s="503" t="str">
        <f>IF(終値!A135="","",IF(AND(高値!R135&gt;高値!Q135,高値!R135&gt;高値!P135,高値!R135&gt;高値!S135,高値!R135&gt;高値!T135),13,""))</f>
        <v/>
      </c>
      <c r="AO135" s="503" t="str">
        <f>IF(終値!A135="","",IF(AND(高値!S135&gt;高値!R135,高値!S135&gt;高値!Q135,高値!S135&gt;高値!T135,高値!S135&gt;高値!U135),14,""))</f>
        <v/>
      </c>
      <c r="AP135" s="503" t="str">
        <f>IF(終値!A135="","",IF(AND(高値!T135&gt;高値!S135,高値!T135&gt;高値!R135,高値!T135&gt;高値!U135,高値!T135&gt;高値!V135),15,""))</f>
        <v/>
      </c>
      <c r="AQ135" s="503">
        <f>IF(終値!A135="","",IF(AND(高値!U135&gt;高値!T135,高値!U135&gt;高値!S135,高値!U135&gt;高値!V135,高値!U135&gt;高値!W135),16,""))</f>
        <v>16</v>
      </c>
      <c r="AR135" s="503" t="str">
        <f>IF(終値!A135="","",IF(AND(高値!V135&gt;高値!U135,高値!V135&gt;高値!T135,高値!V135&gt;高値!W135,高値!V135&gt;高値!X135),17,""))</f>
        <v/>
      </c>
      <c r="AS135" s="503" t="str">
        <f>IF(終値!A135="","",IF(AND(高値!W135&gt;高値!V135,高値!W135&gt;高値!U135,高値!W135&gt;高値!X135,高値!W135&gt;高値!Y135),18,""))</f>
        <v/>
      </c>
      <c r="AT135" s="503" t="str">
        <f>IF(終値!A135="","",IF(AND(高値!X135&gt;高値!W135,高値!X135&gt;高値!V135,高値!X135&gt;高値!Y135,高値!X135&gt;高値!Z135),19,""))</f>
        <v/>
      </c>
      <c r="AU135" s="503" t="str">
        <f>IF(終値!A135="","",IF(AND(高値!Y135&gt;高値!X135,高値!Y135&gt;高値!W135,高値!Y135&gt;高値!Z135,高値!Y135&gt;高値!AA135),20,""))</f>
        <v/>
      </c>
      <c r="AV135" s="503" t="str">
        <f>IF(終値!A135="","",IF(AND(高値!Z135&gt;高値!Y135,高値!Z135&gt;高値!X135,高値!Z135&gt;高値!AA135,高値!Z135&gt;高値!AB135),21,""))</f>
        <v/>
      </c>
      <c r="AW135" s="503" t="str">
        <f>IF(終値!A135="","",IF(AND(高値!AA135&gt;高値!Z135,高値!AA135&gt;高値!Y135,高値!AA135&gt;高値!AB135,高値!AA135&gt;高値!AC135),22,""))</f>
        <v/>
      </c>
      <c r="AX135" s="503">
        <f>IF(終値!A135="","",IF(AND(高値!AB135&gt;高値!AA135,高値!AB135&gt;高値!Z135,高値!AB135&gt;高値!AC135,高値!AB135&gt;高値!AD135),23,""))</f>
        <v>23</v>
      </c>
      <c r="AY135" s="503" t="str">
        <f>IF(終値!A135="","",IF(AND(高値!AC135&gt;高値!AB135,高値!AC135&gt;高値!AA135,高値!AC135&gt;高値!AD135,高値!AC135&gt;高値!AE135),24,""))</f>
        <v/>
      </c>
      <c r="AZ135" s="503" t="str">
        <f>IF(終値!A135="","",IF(AND(高値!AD135&gt;高値!AC135,高値!AD135&gt;高値!AB135,高値!AD135&gt;高値!AE135,高値!AD135&gt;高値!AF135),25,""))</f>
        <v/>
      </c>
      <c r="BA135" s="503" t="str">
        <f>IF(終値!A135="","",IF(AND(高値!AE135&gt;高値!AD135,高値!AE135&gt;高値!AC135,高値!AE135&gt;高値!AF135,高値!AE135&gt;高値!AG135),26,""))</f>
        <v/>
      </c>
      <c r="BB135" s="503" t="str">
        <f>IF(終値!A135="","",IF(AND(高値!AF135&gt;高値!AE135,高値!AF135&gt;高値!AD135,高値!AF135&gt;高値!AG135,高値!AF135&gt;高値!AH135),27,""))</f>
        <v/>
      </c>
      <c r="BC135" s="503" t="str">
        <f>IF(終値!A135="","",IF(AND(高値!AG135&gt;高値!AF135,高値!AG135&gt;高値!AE135,高値!AG135&gt;高値!AH135,高値!AG135&gt;高値!AI135),28,""))</f>
        <v/>
      </c>
      <c r="BD135" s="503">
        <f t="shared" si="12"/>
        <v>3</v>
      </c>
      <c r="BE135" s="503">
        <f t="shared" si="13"/>
        <v>9</v>
      </c>
      <c r="BF135" s="503">
        <f t="shared" si="14"/>
        <v>12</v>
      </c>
      <c r="BG135" s="503">
        <f>IF($BE135="","",INDEX(安値!$E135:$CZ135,1,$BE135+1))</f>
        <v>1734</v>
      </c>
      <c r="BH135" s="503">
        <f>IF($BF135="","",INDEX(安値!$E135:$CZ135,1,$BF135+1))</f>
        <v>3650</v>
      </c>
      <c r="BI135" s="503">
        <f>IF($BF135="","",MAX(INDEX(高値!$E135:$CZ135,1,$BE135+1):INDEX(高値!$E135:$CZ135,1,$BF135+1)))</f>
        <v>4670</v>
      </c>
      <c r="BJ135" s="503">
        <f>IF($BF135="","",AVERAGE(INDEX(終値!$E135:$CZ135,1,$BF135+1):INDEX(終値!$E135:$CZ135,1,$BF135+20))-2*STDEVP(INDEX(終値!$E135:$CZ135,1,$BF135+1):INDEX(終値!$E135:$CZ135,1,$BF135+20)))</f>
        <v>3654.1139260499376</v>
      </c>
      <c r="BK135" s="503">
        <f>IF($BE135="","",AVERAGE(INDEX(終値!$E135:$CZ135,1,$BE135+1):INDEX(終値!$E135:$CZ135,1,$BE135+20))-2*STDEVP(INDEX(終値!$E135:$CZ135,1,$BE135+1):INDEX(終値!$E135:$CZ135,1,$BE135+20)))</f>
        <v>2417.7576315000438</v>
      </c>
      <c r="BL135" s="503">
        <f t="shared" si="15"/>
        <v>4</v>
      </c>
      <c r="BM135" s="503">
        <f t="shared" si="16"/>
        <v>4</v>
      </c>
      <c r="BN135" s="503">
        <f t="shared" si="17"/>
        <v>11</v>
      </c>
      <c r="BO135" s="503">
        <f>IF($BM135="","",INDEX(高値!$E135:$CZ135,1,$BM135+1))</f>
        <v>3295</v>
      </c>
      <c r="BP135" s="503">
        <f>IF($BN135="","",INDEX(高値!$E135:$CZ135,1,$BN135+1))</f>
        <v>4670</v>
      </c>
      <c r="BQ135" s="503">
        <f>IF($BN135="","",MIN(INDEX(安値!$E135:$CZ135,1,$BM135+1):INDEX(安値!$E135:$CZ135,1,$BN135+1)))</f>
        <v>1734</v>
      </c>
      <c r="BR135" s="503">
        <f>IF($BN135="","",AVERAGE(INDEX(終値!$E135:$CZ135,1,$BN135+1):INDEX(終値!$E135:$CZ135,1,$BN135+20))+2*STDEVP(INDEX(終値!$E135:$CZ135,1,$BN135+1):INDEX(終値!$E135:$CZ135,1,$BN135+20)))</f>
        <v>8615.3480092549598</v>
      </c>
      <c r="BS135" s="503">
        <f>IF($BM135="","",AVERAGE(INDEX(終値!$E135:$CZ135,1,$BM135+1):INDEX(終値!$E135:$CZ135,1,$BM135+20))+2*STDEVP(INDEX(終値!$E135:$CZ135,1,$BM135+1):INDEX(終値!$E135:$CZ135,1,$BM135+20)))</f>
        <v>8017.2527632842466</v>
      </c>
      <c r="BT135" s="500"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v>
      </c>
    </row>
    <row r="136" spans="2:72">
      <c r="B136" s="503" t="str">
        <f>IF(終値!A136="","",IF(AND(安値!G136&lt;安値!F136,安値!G136&lt;安値!E136,安値!G136&lt;安値!H136,安値!G136&lt;安値!I136),2,""))</f>
        <v/>
      </c>
      <c r="C136" s="503" t="str">
        <f>IF(終値!A136="","",IF(AND(安値!H136&lt;安値!G136,安値!H136&lt;安値!F136,安値!H136&lt;安値!I136,安値!H136&lt;安値!J136),3,""))</f>
        <v/>
      </c>
      <c r="D136" s="503" t="str">
        <f>IF(終値!A136="","",IF(AND(安値!I136&lt;安値!H136,安値!I136&lt;安値!G136,安値!I136&lt;安値!J136,安値!I136&lt;安値!K136),4,""))</f>
        <v/>
      </c>
      <c r="E136" s="503">
        <f>IF(終値!A136="","",IF(AND(安値!J136&lt;安値!I136,安値!J136&lt;安値!H136,安値!J136&lt;安値!K136,安値!J136&lt;安値!L136),5,""))</f>
        <v>5</v>
      </c>
      <c r="F136" s="503" t="str">
        <f>IF(終値!A136="","",IF(AND(安値!K136&lt;安値!J136,安値!K136&lt;安値!I136,安値!K136&lt;安値!L136,安値!K136&lt;安値!M136),6,""))</f>
        <v/>
      </c>
      <c r="G136" s="503" t="str">
        <f>IF(終値!A136="","",IF(AND(安値!L136&lt;安値!K136,安値!L136&lt;安値!J136,安値!L136&lt;安値!M136,安値!L136&lt;安値!N136),7,""))</f>
        <v/>
      </c>
      <c r="H136" s="503" t="str">
        <f>IF(終値!A136="","",IF(AND(安値!M136&lt;安値!L136,安値!M136&lt;安値!K136,安値!M136&lt;安値!N136,安値!M136&lt;安値!O136),8,""))</f>
        <v/>
      </c>
      <c r="I136" s="503">
        <f>IF(終値!A136="","",IF(AND(安値!N136&lt;安値!M136,安値!N136&lt;安値!L136,安値!N136&lt;安値!O136,安値!N136&lt;安値!P136),9,""))</f>
        <v>9</v>
      </c>
      <c r="J136" s="503" t="str">
        <f>IF(終値!A136="","",IF(AND(安値!O136&lt;安値!N136,安値!O136&lt;安値!M136,安値!O136&lt;安値!P136,安値!O136&lt;安値!Q136),10,""))</f>
        <v/>
      </c>
      <c r="K136" s="503" t="str">
        <f>IF(終値!A136="","",IF(AND(安値!P136&lt;安値!O136,安値!P136&lt;安値!N136,安値!P136&lt;安値!Q136,安値!P136&lt;安値!R136),11,""))</f>
        <v/>
      </c>
      <c r="L136" s="503" t="str">
        <f>IF(終値!A136="","",IF(AND(安値!Q136&lt;安値!P136,安値!Q136&lt;安値!O136,安値!Q136&lt;安値!R136,安値!Q136&lt;安値!S136),12,""))</f>
        <v/>
      </c>
      <c r="M136" s="503">
        <f>IF(終値!A136="","",IF(AND(安値!R136&lt;安値!Q136,安値!R136&lt;安値!P136,安値!R136&lt;安値!S136,安値!R136&lt;安値!T136),13,""))</f>
        <v>13</v>
      </c>
      <c r="N136" s="503" t="str">
        <f>IF(終値!A136="","",IF(AND(安値!S136&lt;安値!R136,安値!S136&lt;安値!Q136,安値!S136&lt;安値!T136,安値!S136&lt;安値!U136),14,""))</f>
        <v/>
      </c>
      <c r="O136" s="503" t="str">
        <f>IF(終値!A136="","",IF(AND(安値!T136&lt;安値!S136,安値!T136&lt;安値!R136,安値!T136&lt;安値!U136,安値!T136&lt;安値!V136),15,""))</f>
        <v/>
      </c>
      <c r="P136" s="503" t="str">
        <f>IF(終値!A136="","",IF(AND(安値!U136&lt;安値!T136,安値!U136&lt;安値!S136,安値!U136&lt;安値!V136,安値!U136&lt;安値!W136),16,""))</f>
        <v/>
      </c>
      <c r="Q136" s="503" t="str">
        <f>IF(終値!A136="","",IF(AND(安値!V136&lt;安値!U136,安値!V136&lt;安値!T136,安値!V136&lt;安値!W136,安値!V136&lt;安値!X136),17,""))</f>
        <v/>
      </c>
      <c r="R136" s="503" t="str">
        <f>IF(終値!A136="","",IF(AND(安値!W136&lt;安値!V136,安値!W136&lt;安値!U136,安値!W136&lt;安値!X136,安値!W136&lt;安値!Y136),18,""))</f>
        <v/>
      </c>
      <c r="S136" s="503" t="str">
        <f>IF(終値!A136="","",IF(AND(安値!X136&lt;安値!W136,安値!X136&lt;安値!V136,安値!X136&lt;安値!Y136,安値!X136&lt;安値!Z136),19,""))</f>
        <v/>
      </c>
      <c r="T136" s="503" t="str">
        <f>IF(終値!A136="","",IF(AND(安値!Y136&lt;安値!X136,安値!Y136&lt;安値!W136,安値!Y136&lt;安値!Z136,安値!Y136&lt;安値!AA136),20,""))</f>
        <v/>
      </c>
      <c r="U136" s="503" t="str">
        <f>IF(終値!A136="","",IF(AND(安値!Z136&lt;安値!Y136,安値!Z136&lt;安値!X136,安値!Z136&lt;安値!AA136,安値!Z136&lt;安値!AB136),21,""))</f>
        <v/>
      </c>
      <c r="V136" s="503" t="str">
        <f>IF(終値!A136="","",IF(AND(安値!AA136&lt;安値!Z136,安値!AA136&lt;安値!Y136,安値!AA136&lt;安値!AB136,安値!AA136&lt;安値!AC136),22,""))</f>
        <v/>
      </c>
      <c r="W136" s="503" t="str">
        <f>IF(終値!A136="","",IF(AND(安値!AB136&lt;安値!AA136,安値!AB136&lt;安値!Z136,安値!AB136&lt;安値!AC136,安値!AB136&lt;安値!AD136),23,""))</f>
        <v/>
      </c>
      <c r="X136" s="503" t="str">
        <f>IF(終値!A136="","",IF(AND(安値!AC136&lt;安値!AB136,安値!AC136&lt;安値!AA136,安値!AC136&lt;安値!AD136,安値!AC136&lt;安値!AE136),24,""))</f>
        <v/>
      </c>
      <c r="Y136" s="503" t="str">
        <f>IF(終値!A136="","",IF(AND(安値!AD136&lt;安値!AC136,安値!AD136&lt;安値!AB136,安値!AD136&lt;安値!AE136,安値!AD136&lt;安値!AF136),25,""))</f>
        <v/>
      </c>
      <c r="Z136" s="503" t="str">
        <f>IF(終値!A136="","",IF(AND(安値!AE136&lt;安値!AD136,安値!AE136&lt;安値!AC136,安値!AE136&lt;安値!AF136,安値!AE136&lt;安値!AG136),26,""))</f>
        <v/>
      </c>
      <c r="AA136" s="503">
        <f>IF(終値!A136="","",IF(AND(安値!AF136&lt;安値!AE136,安値!AF136&lt;安値!AD136,安値!AF136&lt;安値!AG136,安値!AF136&lt;安値!AH136),27,""))</f>
        <v>27</v>
      </c>
      <c r="AB136" s="503" t="str">
        <f>IF(終値!A136="","",IF(AND(安値!AG136&lt;安値!AF136,安値!AG136&lt;安値!AE136,安値!AG136&lt;安値!AH136,安値!AG136&lt;安値!AI136),28,""))</f>
        <v/>
      </c>
      <c r="AC136" s="503" t="str">
        <f>IF(終値!A136="","",IF(AND(高値!G136&gt;高値!F136,高値!G136&gt;高値!E136,高値!G136&gt;高値!H136,高値!G136&gt;高値!I136),2,""))</f>
        <v/>
      </c>
      <c r="AD136" s="503" t="str">
        <f>IF(終値!A136="","",IF(AND(高値!H136&gt;高値!G136,高値!H136&gt;高値!F136,高値!H136&gt;高値!I136,高値!H136&gt;高値!J136),3,""))</f>
        <v/>
      </c>
      <c r="AE136" s="503" t="str">
        <f>IF(終値!A136="","",IF(AND(高値!I136&gt;高値!H136,高値!I136&gt;高値!G136,高値!I136&gt;高値!J136,高値!I136&gt;高値!K136),4,""))</f>
        <v/>
      </c>
      <c r="AF136" s="503" t="str">
        <f>IF(終値!A136="","",IF(AND(高値!J136&gt;高値!I136,高値!J136&gt;高値!H136,高値!J136&gt;高値!K136,高値!J136&gt;高値!L136),5,""))</f>
        <v/>
      </c>
      <c r="AG136" s="503" t="str">
        <f>IF(終値!A136="","",IF(AND(高値!K136&gt;高値!J136,高値!K136&gt;高値!I136,高値!K136&gt;高値!L136,高値!K136&gt;高値!M136),6,""))</f>
        <v/>
      </c>
      <c r="AH136" s="503" t="str">
        <f>IF(終値!A136="","",IF(AND(高値!L136&gt;高値!K136,高値!L136&gt;高値!J136,高値!L136&gt;高値!M136,高値!L136&gt;高値!N136),7,""))</f>
        <v/>
      </c>
      <c r="AI136" s="503" t="str">
        <f>IF(終値!A136="","",IF(AND(高値!M136&gt;高値!L136,高値!M136&gt;高値!K136,高値!M136&gt;高値!N136,高値!M136&gt;高値!O136),8,""))</f>
        <v/>
      </c>
      <c r="AJ136" s="503" t="str">
        <f>IF(終値!A136="","",IF(AND(高値!N136&gt;高値!M136,高値!N136&gt;高値!L136,高値!N136&gt;高値!O136,高値!N136&gt;高値!P136),9,""))</f>
        <v/>
      </c>
      <c r="AK136" s="503">
        <f>IF(終値!A136="","",IF(AND(高値!O136&gt;高値!N136,高値!O136&gt;高値!M136,高値!O136&gt;高値!P136,高値!O136&gt;高値!Q136),10,""))</f>
        <v>10</v>
      </c>
      <c r="AL136" s="503" t="str">
        <f>IF(終値!A136="","",IF(AND(高値!P136&gt;高値!O136,高値!P136&gt;高値!N136,高値!P136&gt;高値!Q136,高値!P136&gt;高値!R136),11,""))</f>
        <v/>
      </c>
      <c r="AM136" s="503" t="str">
        <f>IF(終値!A136="","",IF(AND(高値!Q136&gt;高値!P136,高値!Q136&gt;高値!O136,高値!Q136&gt;高値!R136,高値!Q136&gt;高値!S136),12,""))</f>
        <v/>
      </c>
      <c r="AN136" s="503" t="str">
        <f>IF(終値!A136="","",IF(AND(高値!R136&gt;高値!Q136,高値!R136&gt;高値!P136,高値!R136&gt;高値!S136,高値!R136&gt;高値!T136),13,""))</f>
        <v/>
      </c>
      <c r="AO136" s="503" t="str">
        <f>IF(終値!A136="","",IF(AND(高値!S136&gt;高値!R136,高値!S136&gt;高値!Q136,高値!S136&gt;高値!T136,高値!S136&gt;高値!U136),14,""))</f>
        <v/>
      </c>
      <c r="AP136" s="503" t="str">
        <f>IF(終値!A136="","",IF(AND(高値!T136&gt;高値!S136,高値!T136&gt;高値!R136,高値!T136&gt;高値!U136,高値!T136&gt;高値!V136),15,""))</f>
        <v/>
      </c>
      <c r="AQ136" s="503" t="str">
        <f>IF(終値!A136="","",IF(AND(高値!U136&gt;高値!T136,高値!U136&gt;高値!S136,高値!U136&gt;高値!V136,高値!U136&gt;高値!W136),16,""))</f>
        <v/>
      </c>
      <c r="AR136" s="503" t="str">
        <f>IF(終値!A136="","",IF(AND(高値!V136&gt;高値!U136,高値!V136&gt;高値!T136,高値!V136&gt;高値!W136,高値!V136&gt;高値!X136),17,""))</f>
        <v/>
      </c>
      <c r="AS136" s="503" t="str">
        <f>IF(終値!A136="","",IF(AND(高値!W136&gt;高値!V136,高値!W136&gt;高値!U136,高値!W136&gt;高値!X136,高値!W136&gt;高値!Y136),18,""))</f>
        <v/>
      </c>
      <c r="AT136" s="503" t="str">
        <f>IF(終値!A136="","",IF(AND(高値!X136&gt;高値!W136,高値!X136&gt;高値!V136,高値!X136&gt;高値!Y136,高値!X136&gt;高値!Z136),19,""))</f>
        <v/>
      </c>
      <c r="AU136" s="503" t="str">
        <f>IF(終値!A136="","",IF(AND(高値!Y136&gt;高値!X136,高値!Y136&gt;高値!W136,高値!Y136&gt;高値!Z136,高値!Y136&gt;高値!AA136),20,""))</f>
        <v/>
      </c>
      <c r="AV136" s="503">
        <f>IF(終値!A136="","",IF(AND(高値!Z136&gt;高値!Y136,高値!Z136&gt;高値!X136,高値!Z136&gt;高値!AA136,高値!Z136&gt;高値!AB136),21,""))</f>
        <v>21</v>
      </c>
      <c r="AW136" s="503" t="str">
        <f>IF(終値!A136="","",IF(AND(高値!AA136&gt;高値!Z136,高値!AA136&gt;高値!Y136,高値!AA136&gt;高値!AB136,高値!AA136&gt;高値!AC136),22,""))</f>
        <v/>
      </c>
      <c r="AX136" s="503" t="str">
        <f>IF(終値!A136="","",IF(AND(高値!AB136&gt;高値!AA136,高値!AB136&gt;高値!Z136,高値!AB136&gt;高値!AC136,高値!AB136&gt;高値!AD136),23,""))</f>
        <v/>
      </c>
      <c r="AY136" s="503" t="str">
        <f>IF(終値!A136="","",IF(AND(高値!AC136&gt;高値!AB136,高値!AC136&gt;高値!AA136,高値!AC136&gt;高値!AD136,高値!AC136&gt;高値!AE136),24,""))</f>
        <v/>
      </c>
      <c r="AZ136" s="503">
        <f>IF(終値!A136="","",IF(AND(高値!AD136&gt;高値!AC136,高値!AD136&gt;高値!AB136,高値!AD136&gt;高値!AE136,高値!AD136&gt;高値!AF136),25,""))</f>
        <v>25</v>
      </c>
      <c r="BA136" s="503" t="str">
        <f>IF(終値!A136="","",IF(AND(高値!AE136&gt;高値!AD136,高値!AE136&gt;高値!AC136,高値!AE136&gt;高値!AF136,高値!AE136&gt;高値!AG136),26,""))</f>
        <v/>
      </c>
      <c r="BB136" s="503" t="str">
        <f>IF(終値!A136="","",IF(AND(高値!AF136&gt;高値!AE136,高値!AF136&gt;高値!AD136,高値!AF136&gt;高値!AG136,高値!AF136&gt;高値!AH136),27,""))</f>
        <v/>
      </c>
      <c r="BC136" s="503" t="str">
        <f>IF(終値!A136="","",IF(AND(高値!AG136&gt;高値!AF136,高値!AG136&gt;高値!AE136,高値!AG136&gt;高値!AH136,高値!AG136&gt;高値!AI136),28,""))</f>
        <v/>
      </c>
      <c r="BD136" s="503">
        <f t="shared" si="12"/>
        <v>4</v>
      </c>
      <c r="BE136" s="503">
        <f t="shared" si="13"/>
        <v>5</v>
      </c>
      <c r="BF136" s="503">
        <f t="shared" si="14"/>
        <v>9</v>
      </c>
      <c r="BG136" s="503">
        <f>IF($BE136="","",INDEX(安値!$E136:$CZ136,1,$BE136+1))</f>
        <v>812</v>
      </c>
      <c r="BH136" s="503">
        <f>IF($BF136="","",INDEX(安値!$E136:$CZ136,1,$BF136+1))</f>
        <v>0</v>
      </c>
      <c r="BI136" s="503">
        <f>IF($BF136="","",MAX(INDEX(高値!$E136:$CZ136,1,$BE136+1):INDEX(高値!$E136:$CZ136,1,$BF136+1)))</f>
        <v>943</v>
      </c>
      <c r="BJ136" s="503">
        <f>IF($BF136="","",AVERAGE(INDEX(終値!$E136:$CZ136,1,$BF136+1):INDEX(終値!$E136:$CZ136,1,$BF136+20))-2*STDEVP(INDEX(終値!$E136:$CZ136,1,$BF136+1):INDEX(終値!$E136:$CZ136,1,$BF136+20)))</f>
        <v>871.86384495837126</v>
      </c>
      <c r="BK136" s="503">
        <f>IF($BE136="","",AVERAGE(INDEX(終値!$E136:$CZ136,1,$BE136+1):INDEX(終値!$E136:$CZ136,1,$BE136+20))-2*STDEVP(INDEX(終値!$E136:$CZ136,1,$BE136+1):INDEX(終値!$E136:$CZ136,1,$BE136+20)))</f>
        <v>777.83100485049158</v>
      </c>
      <c r="BL136" s="503">
        <f t="shared" si="15"/>
        <v>3</v>
      </c>
      <c r="BM136" s="503">
        <f t="shared" si="16"/>
        <v>10</v>
      </c>
      <c r="BN136" s="503">
        <f t="shared" si="17"/>
        <v>21</v>
      </c>
      <c r="BO136" s="503">
        <f>IF($BM136="","",INDEX(高値!$E136:$CZ136,1,$BM136+1))</f>
        <v>969</v>
      </c>
      <c r="BP136" s="503">
        <f>IF($BN136="","",INDEX(高値!$E136:$CZ136,1,$BN136+1))</f>
        <v>1251</v>
      </c>
      <c r="BQ136" s="503">
        <f>IF($BN136="","",MIN(INDEX(安値!$E136:$CZ136,1,$BM136+1):INDEX(安値!$E136:$CZ136,1,$BN136+1)))</f>
        <v>884</v>
      </c>
      <c r="BR136" s="503">
        <f>IF($BN136="","",AVERAGE(INDEX(終値!$E136:$CZ136,1,$BN136+1):INDEX(終値!$E136:$CZ136,1,$BN136+20))+2*STDEVP(INDEX(終値!$E136:$CZ136,1,$BN136+1):INDEX(終値!$E136:$CZ136,1,$BN136+20)))</f>
        <v>1254.5136979161609</v>
      </c>
      <c r="BS136" s="503">
        <f>IF($BM136="","",AVERAGE(INDEX(終値!$E136:$CZ136,1,$BM136+1):INDEX(終値!$E136:$CZ136,1,$BM136+20))+2*STDEVP(INDEX(終値!$E136:$CZ136,1,$BM136+1):INDEX(終値!$E136:$CZ136,1,$BM136+20)))</f>
        <v>1276.0154839167039</v>
      </c>
      <c r="BT136" s="500"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3" t="str">
        <f>IF(終値!A137="","",IF(AND(安値!G137&lt;安値!F137,安値!G137&lt;安値!E137,安値!G137&lt;安値!H137,安値!G137&lt;安値!I137),2,""))</f>
        <v/>
      </c>
      <c r="C137" s="503">
        <f>IF(終値!A137="","",IF(AND(安値!H137&lt;安値!G137,安値!H137&lt;安値!F137,安値!H137&lt;安値!I137,安値!H137&lt;安値!J137),3,""))</f>
        <v>3</v>
      </c>
      <c r="D137" s="503" t="str">
        <f>IF(終値!A137="","",IF(AND(安値!I137&lt;安値!H137,安値!I137&lt;安値!G137,安値!I137&lt;安値!J137,安値!I137&lt;安値!K137),4,""))</f>
        <v/>
      </c>
      <c r="E137" s="503" t="str">
        <f>IF(終値!A137="","",IF(AND(安値!J137&lt;安値!I137,安値!J137&lt;安値!H137,安値!J137&lt;安値!K137,安値!J137&lt;安値!L137),5,""))</f>
        <v/>
      </c>
      <c r="F137" s="503" t="str">
        <f>IF(終値!A137="","",IF(AND(安値!K137&lt;安値!J137,安値!K137&lt;安値!I137,安値!K137&lt;安値!L137,安値!K137&lt;安値!M137),6,""))</f>
        <v/>
      </c>
      <c r="G137" s="503" t="str">
        <f>IF(終値!A137="","",IF(AND(安値!L137&lt;安値!K137,安値!L137&lt;安値!J137,安値!L137&lt;安値!M137,安値!L137&lt;安値!N137),7,""))</f>
        <v/>
      </c>
      <c r="H137" s="503" t="str">
        <f>IF(終値!A137="","",IF(AND(安値!M137&lt;安値!L137,安値!M137&lt;安値!K137,安値!M137&lt;安値!N137,安値!M137&lt;安値!O137),8,""))</f>
        <v/>
      </c>
      <c r="I137" s="503">
        <f>IF(終値!A137="","",IF(AND(安値!N137&lt;安値!M137,安値!N137&lt;安値!L137,安値!N137&lt;安値!O137,安値!N137&lt;安値!P137),9,""))</f>
        <v>9</v>
      </c>
      <c r="J137" s="503" t="str">
        <f>IF(終値!A137="","",IF(AND(安値!O137&lt;安値!N137,安値!O137&lt;安値!M137,安値!O137&lt;安値!P137,安値!O137&lt;安値!Q137),10,""))</f>
        <v/>
      </c>
      <c r="K137" s="503" t="str">
        <f>IF(終値!A137="","",IF(AND(安値!P137&lt;安値!O137,安値!P137&lt;安値!N137,安値!P137&lt;安値!Q137,安値!P137&lt;安値!R137),11,""))</f>
        <v/>
      </c>
      <c r="L137" s="503" t="str">
        <f>IF(終値!A137="","",IF(AND(安値!Q137&lt;安値!P137,安値!Q137&lt;安値!O137,安値!Q137&lt;安値!R137,安値!Q137&lt;安値!S137),12,""))</f>
        <v/>
      </c>
      <c r="M137" s="503" t="str">
        <f>IF(終値!A137="","",IF(AND(安値!R137&lt;安値!Q137,安値!R137&lt;安値!P137,安値!R137&lt;安値!S137,安値!R137&lt;安値!T137),13,""))</f>
        <v/>
      </c>
      <c r="N137" s="503" t="str">
        <f>IF(終値!A137="","",IF(AND(安値!S137&lt;安値!R137,安値!S137&lt;安値!Q137,安値!S137&lt;安値!T137,安値!S137&lt;安値!U137),14,""))</f>
        <v/>
      </c>
      <c r="O137" s="503" t="str">
        <f>IF(終値!A137="","",IF(AND(安値!T137&lt;安値!S137,安値!T137&lt;安値!R137,安値!T137&lt;安値!U137,安値!T137&lt;安値!V137),15,""))</f>
        <v/>
      </c>
      <c r="P137" s="503" t="str">
        <f>IF(終値!A137="","",IF(AND(安値!U137&lt;安値!T137,安値!U137&lt;安値!S137,安値!U137&lt;安値!V137,安値!U137&lt;安値!W137),16,""))</f>
        <v/>
      </c>
      <c r="Q137" s="503" t="str">
        <f>IF(終値!A137="","",IF(AND(安値!V137&lt;安値!U137,安値!V137&lt;安値!T137,安値!V137&lt;安値!W137,安値!V137&lt;安値!X137),17,""))</f>
        <v/>
      </c>
      <c r="R137" s="503" t="str">
        <f>IF(終値!A137="","",IF(AND(安値!W137&lt;安値!V137,安値!W137&lt;安値!U137,安値!W137&lt;安値!X137,安値!W137&lt;安値!Y137),18,""))</f>
        <v/>
      </c>
      <c r="S137" s="503" t="str">
        <f>IF(終値!A137="","",IF(AND(安値!X137&lt;安値!W137,安値!X137&lt;安値!V137,安値!X137&lt;安値!Y137,安値!X137&lt;安値!Z137),19,""))</f>
        <v/>
      </c>
      <c r="T137" s="503" t="str">
        <f>IF(終値!A137="","",IF(AND(安値!Y137&lt;安値!X137,安値!Y137&lt;安値!W137,安値!Y137&lt;安値!Z137,安値!Y137&lt;安値!AA137),20,""))</f>
        <v/>
      </c>
      <c r="U137" s="503" t="str">
        <f>IF(終値!A137="","",IF(AND(安値!Z137&lt;安値!Y137,安値!Z137&lt;安値!X137,安値!Z137&lt;安値!AA137,安値!Z137&lt;安値!AB137),21,""))</f>
        <v/>
      </c>
      <c r="V137" s="503">
        <f>IF(終値!A137="","",IF(AND(安値!AA137&lt;安値!Z137,安値!AA137&lt;安値!Y137,安値!AA137&lt;安値!AB137,安値!AA137&lt;安値!AC137),22,""))</f>
        <v>22</v>
      </c>
      <c r="W137" s="503" t="str">
        <f>IF(終値!A137="","",IF(AND(安値!AB137&lt;安値!AA137,安値!AB137&lt;安値!Z137,安値!AB137&lt;安値!AC137,安値!AB137&lt;安値!AD137),23,""))</f>
        <v/>
      </c>
      <c r="X137" s="503" t="str">
        <f>IF(終値!A137="","",IF(AND(安値!AC137&lt;安値!AB137,安値!AC137&lt;安値!AA137,安値!AC137&lt;安値!AD137,安値!AC137&lt;安値!AE137),24,""))</f>
        <v/>
      </c>
      <c r="Y137" s="503" t="str">
        <f>IF(終値!A137="","",IF(AND(安値!AD137&lt;安値!AC137,安値!AD137&lt;安値!AB137,安値!AD137&lt;安値!AE137,安値!AD137&lt;安値!AF137),25,""))</f>
        <v/>
      </c>
      <c r="Z137" s="503" t="str">
        <f>IF(終値!A137="","",IF(AND(安値!AE137&lt;安値!AD137,安値!AE137&lt;安値!AC137,安値!AE137&lt;安値!AF137,安値!AE137&lt;安値!AG137),26,""))</f>
        <v/>
      </c>
      <c r="AA137" s="503" t="str">
        <f>IF(終値!A137="","",IF(AND(安値!AF137&lt;安値!AE137,安値!AF137&lt;安値!AD137,安値!AF137&lt;安値!AG137,安値!AF137&lt;安値!AH137),27,""))</f>
        <v/>
      </c>
      <c r="AB137" s="503" t="str">
        <f>IF(終値!A137="","",IF(AND(安値!AG137&lt;安値!AF137,安値!AG137&lt;安値!AE137,安値!AG137&lt;安値!AH137,安値!AG137&lt;安値!AI137),28,""))</f>
        <v/>
      </c>
      <c r="AC137" s="503" t="str">
        <f>IF(終値!A137="","",IF(AND(高値!G137&gt;高値!F137,高値!G137&gt;高値!E137,高値!G137&gt;高値!H137,高値!G137&gt;高値!I137),2,""))</f>
        <v/>
      </c>
      <c r="AD137" s="503" t="str">
        <f>IF(終値!A137="","",IF(AND(高値!H137&gt;高値!G137,高値!H137&gt;高値!F137,高値!H137&gt;高値!I137,高値!H137&gt;高値!J137),3,""))</f>
        <v/>
      </c>
      <c r="AE137" s="503">
        <f>IF(終値!A137="","",IF(AND(高値!I137&gt;高値!H137,高値!I137&gt;高値!G137,高値!I137&gt;高値!J137,高値!I137&gt;高値!K137),4,""))</f>
        <v>4</v>
      </c>
      <c r="AF137" s="503" t="str">
        <f>IF(終値!A137="","",IF(AND(高値!J137&gt;高値!I137,高値!J137&gt;高値!H137,高値!J137&gt;高値!K137,高値!J137&gt;高値!L137),5,""))</f>
        <v/>
      </c>
      <c r="AG137" s="503" t="str">
        <f>IF(終値!A137="","",IF(AND(高値!K137&gt;高値!J137,高値!K137&gt;高値!I137,高値!K137&gt;高値!L137,高値!K137&gt;高値!M137),6,""))</f>
        <v/>
      </c>
      <c r="AH137" s="503" t="str">
        <f>IF(終値!A137="","",IF(AND(高値!L137&gt;高値!K137,高値!L137&gt;高値!J137,高値!L137&gt;高値!M137,高値!L137&gt;高値!N137),7,""))</f>
        <v/>
      </c>
      <c r="AI137" s="503" t="str">
        <f>IF(終値!A137="","",IF(AND(高値!M137&gt;高値!L137,高値!M137&gt;高値!K137,高値!M137&gt;高値!N137,高値!M137&gt;高値!O137),8,""))</f>
        <v/>
      </c>
      <c r="AJ137" s="503" t="str">
        <f>IF(終値!A137="","",IF(AND(高値!N137&gt;高値!M137,高値!N137&gt;高値!L137,高値!N137&gt;高値!O137,高値!N137&gt;高値!P137),9,""))</f>
        <v/>
      </c>
      <c r="AK137" s="503" t="str">
        <f>IF(終値!A137="","",IF(AND(高値!O137&gt;高値!N137,高値!O137&gt;高値!M137,高値!O137&gt;高値!P137,高値!O137&gt;高値!Q137),10,""))</f>
        <v/>
      </c>
      <c r="AL137" s="503" t="str">
        <f>IF(終値!A137="","",IF(AND(高値!P137&gt;高値!O137,高値!P137&gt;高値!N137,高値!P137&gt;高値!Q137,高値!P137&gt;高値!R137),11,""))</f>
        <v/>
      </c>
      <c r="AM137" s="503" t="str">
        <f>IF(終値!A137="","",IF(AND(高値!Q137&gt;高値!P137,高値!Q137&gt;高値!O137,高値!Q137&gt;高値!R137,高値!Q137&gt;高値!S137),12,""))</f>
        <v/>
      </c>
      <c r="AN137" s="503" t="str">
        <f>IF(終値!A137="","",IF(AND(高値!R137&gt;高値!Q137,高値!R137&gt;高値!P137,高値!R137&gt;高値!S137,高値!R137&gt;高値!T137),13,""))</f>
        <v/>
      </c>
      <c r="AO137" s="503" t="str">
        <f>IF(終値!A137="","",IF(AND(高値!S137&gt;高値!R137,高値!S137&gt;高値!Q137,高値!S137&gt;高値!T137,高値!S137&gt;高値!U137),14,""))</f>
        <v/>
      </c>
      <c r="AP137" s="503" t="str">
        <f>IF(終値!A137="","",IF(AND(高値!T137&gt;高値!S137,高値!T137&gt;高値!R137,高値!T137&gt;高値!U137,高値!T137&gt;高値!V137),15,""))</f>
        <v/>
      </c>
      <c r="AQ137" s="503" t="str">
        <f>IF(終値!A137="","",IF(AND(高値!U137&gt;高値!T137,高値!U137&gt;高値!S137,高値!U137&gt;高値!V137,高値!U137&gt;高値!W137),16,""))</f>
        <v/>
      </c>
      <c r="AR137" s="503" t="str">
        <f>IF(終値!A137="","",IF(AND(高値!V137&gt;高値!U137,高値!V137&gt;高値!T137,高値!V137&gt;高値!W137,高値!V137&gt;高値!X137),17,""))</f>
        <v/>
      </c>
      <c r="AS137" s="503" t="str">
        <f>IF(終値!A137="","",IF(AND(高値!W137&gt;高値!V137,高値!W137&gt;高値!U137,高値!W137&gt;高値!X137,高値!W137&gt;高値!Y137),18,""))</f>
        <v/>
      </c>
      <c r="AT137" s="503" t="str">
        <f>IF(終値!A137="","",IF(AND(高値!X137&gt;高値!W137,高値!X137&gt;高値!V137,高値!X137&gt;高値!Y137,高値!X137&gt;高値!Z137),19,""))</f>
        <v/>
      </c>
      <c r="AU137" s="503">
        <f>IF(終値!A137="","",IF(AND(高値!Y137&gt;高値!X137,高値!Y137&gt;高値!W137,高値!Y137&gt;高値!Z137,高値!Y137&gt;高値!AA137),20,""))</f>
        <v>20</v>
      </c>
      <c r="AV137" s="503" t="str">
        <f>IF(終値!A137="","",IF(AND(高値!Z137&gt;高値!Y137,高値!Z137&gt;高値!X137,高値!Z137&gt;高値!AA137,高値!Z137&gt;高値!AB137),21,""))</f>
        <v/>
      </c>
      <c r="AW137" s="503" t="str">
        <f>IF(終値!A137="","",IF(AND(高値!AA137&gt;高値!Z137,高値!AA137&gt;高値!Y137,高値!AA137&gt;高値!AB137,高値!AA137&gt;高値!AC137),22,""))</f>
        <v/>
      </c>
      <c r="AX137" s="503" t="str">
        <f>IF(終値!A137="","",IF(AND(高値!AB137&gt;高値!AA137,高値!AB137&gt;高値!Z137,高値!AB137&gt;高値!AC137,高値!AB137&gt;高値!AD137),23,""))</f>
        <v/>
      </c>
      <c r="AY137" s="503" t="str">
        <f>IF(終値!A137="","",IF(AND(高値!AC137&gt;高値!AB137,高値!AC137&gt;高値!AA137,高値!AC137&gt;高値!AD137,高値!AC137&gt;高値!AE137),24,""))</f>
        <v/>
      </c>
      <c r="AZ137" s="503" t="str">
        <f>IF(終値!A137="","",IF(AND(高値!AD137&gt;高値!AC137,高値!AD137&gt;高値!AB137,高値!AD137&gt;高値!AE137,高値!AD137&gt;高値!AF137),25,""))</f>
        <v/>
      </c>
      <c r="BA137" s="503">
        <f>IF(終値!A137="","",IF(AND(高値!AE137&gt;高値!AD137,高値!AE137&gt;高値!AC137,高値!AE137&gt;高値!AF137,高値!AE137&gt;高値!AG137),26,""))</f>
        <v>26</v>
      </c>
      <c r="BB137" s="503" t="str">
        <f>IF(終値!A137="","",IF(AND(高値!AF137&gt;高値!AE137,高値!AF137&gt;高値!AD137,高値!AF137&gt;高値!AG137,高値!AF137&gt;高値!AH137),27,""))</f>
        <v/>
      </c>
      <c r="BC137" s="503" t="str">
        <f>IF(終値!A137="","",IF(AND(高値!AG137&gt;高値!AF137,高値!AG137&gt;高値!AE137,高値!AG137&gt;高値!AH137,高値!AG137&gt;高値!AI137),28,""))</f>
        <v/>
      </c>
      <c r="BD137" s="503">
        <f t="shared" si="12"/>
        <v>3</v>
      </c>
      <c r="BE137" s="503">
        <f t="shared" si="13"/>
        <v>3</v>
      </c>
      <c r="BF137" s="503">
        <f t="shared" si="14"/>
        <v>9</v>
      </c>
      <c r="BG137" s="503">
        <f>IF($BE137="","",INDEX(安値!$E137:$CZ137,1,$BE137+1))</f>
        <v>68</v>
      </c>
      <c r="BH137" s="503">
        <f>IF($BF137="","",INDEX(安値!$E137:$CZ137,1,$BF137+1))</f>
        <v>0</v>
      </c>
      <c r="BI137" s="503">
        <f>IF($BF137="","",MAX(INDEX(高値!$E137:$CZ137,1,$BE137+1):INDEX(高値!$E137:$CZ137,1,$BF137+1)))</f>
        <v>123</v>
      </c>
      <c r="BJ137" s="503">
        <f>IF($BF137="","",AVERAGE(INDEX(終値!$E137:$CZ137,1,$BF137+1):INDEX(終値!$E137:$CZ137,1,$BF137+20))-2*STDEVP(INDEX(終値!$E137:$CZ137,1,$BF137+1):INDEX(終値!$E137:$CZ137,1,$BF137+20)))</f>
        <v>120.69927065165939</v>
      </c>
      <c r="BK137" s="503">
        <f>IF($BE137="","",AVERAGE(INDEX(終値!$E137:$CZ137,1,$BE137+1):INDEX(終値!$E137:$CZ137,1,$BE137+20))-2*STDEVP(INDEX(終値!$E137:$CZ137,1,$BE137+1):INDEX(終値!$E137:$CZ137,1,$BE137+20)))</f>
        <v>40.990340433901636</v>
      </c>
      <c r="BL137" s="503">
        <f t="shared" si="15"/>
        <v>3</v>
      </c>
      <c r="BM137" s="503">
        <f t="shared" si="16"/>
        <v>4</v>
      </c>
      <c r="BN137" s="503">
        <f t="shared" si="17"/>
        <v>20</v>
      </c>
      <c r="BO137" s="503">
        <f>IF($BM137="","",INDEX(高値!$E137:$CZ137,1,$BM137+1))</f>
        <v>100</v>
      </c>
      <c r="BP137" s="503">
        <f>IF($BN137="","",INDEX(高値!$E137:$CZ137,1,$BN137+1))</f>
        <v>277</v>
      </c>
      <c r="BQ137" s="503">
        <f>IF($BN137="","",MIN(INDEX(安値!$E137:$CZ137,1,$BM137+1):INDEX(安値!$E137:$CZ137,1,$BN137+1)))</f>
        <v>84</v>
      </c>
      <c r="BR137" s="503">
        <f>IF($BN137="","",AVERAGE(INDEX(終値!$E137:$CZ137,1,$BN137+1):INDEX(終値!$E137:$CZ137,1,$BN137+20))+2*STDEVP(INDEX(終値!$E137:$CZ137,1,$BN137+1):INDEX(終値!$E137:$CZ137,1,$BN137+20)))</f>
        <v>403.15713361404909</v>
      </c>
      <c r="BS137" s="503">
        <f>IF($BM137="","",AVERAGE(INDEX(終値!$E137:$CZ137,1,$BM137+1):INDEX(終値!$E137:$CZ137,1,$BM137+20))+2*STDEVP(INDEX(終値!$E137:$CZ137,1,$BM137+1):INDEX(終値!$E137:$CZ137,1,$BM137+20)))</f>
        <v>293.08156500419079</v>
      </c>
      <c r="BT137" s="500"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3" t="str">
        <f>IF(終値!A138="","",IF(AND(安値!G138&lt;安値!F138,安値!G138&lt;安値!E138,安値!G138&lt;安値!H138,安値!G138&lt;安値!I138),2,""))</f>
        <v/>
      </c>
      <c r="C138" s="503" t="str">
        <f>IF(終値!A138="","",IF(AND(安値!H138&lt;安値!G138,安値!H138&lt;安値!F138,安値!H138&lt;安値!I138,安値!H138&lt;安値!J138),3,""))</f>
        <v/>
      </c>
      <c r="D138" s="503" t="str">
        <f>IF(終値!A138="","",IF(AND(安値!I138&lt;安値!H138,安値!I138&lt;安値!G138,安値!I138&lt;安値!J138,安値!I138&lt;安値!K138),4,""))</f>
        <v/>
      </c>
      <c r="E138" s="503">
        <f>IF(終値!A138="","",IF(AND(安値!J138&lt;安値!I138,安値!J138&lt;安値!H138,安値!J138&lt;安値!K138,安値!J138&lt;安値!L138),5,""))</f>
        <v>5</v>
      </c>
      <c r="F138" s="503" t="str">
        <f>IF(終値!A138="","",IF(AND(安値!K138&lt;安値!J138,安値!K138&lt;安値!I138,安値!K138&lt;安値!L138,安値!K138&lt;安値!M138),6,""))</f>
        <v/>
      </c>
      <c r="G138" s="503" t="str">
        <f>IF(終値!A138="","",IF(AND(安値!L138&lt;安値!K138,安値!L138&lt;安値!J138,安値!L138&lt;安値!M138,安値!L138&lt;安値!N138),7,""))</f>
        <v/>
      </c>
      <c r="H138" s="503" t="str">
        <f>IF(終値!A138="","",IF(AND(安値!M138&lt;安値!L138,安値!M138&lt;安値!K138,安値!M138&lt;安値!N138,安値!M138&lt;安値!O138),8,""))</f>
        <v/>
      </c>
      <c r="I138" s="503" t="str">
        <f>IF(終値!A138="","",IF(AND(安値!N138&lt;安値!M138,安値!N138&lt;安値!L138,安値!N138&lt;安値!O138,安値!N138&lt;安値!P138),9,""))</f>
        <v/>
      </c>
      <c r="J138" s="503" t="str">
        <f>IF(終値!A138="","",IF(AND(安値!O138&lt;安値!N138,安値!O138&lt;安値!M138,安値!O138&lt;安値!P138,安値!O138&lt;安値!Q138),10,""))</f>
        <v/>
      </c>
      <c r="K138" s="503" t="str">
        <f>IF(終値!A138="","",IF(AND(安値!P138&lt;安値!O138,安値!P138&lt;安値!N138,安値!P138&lt;安値!Q138,安値!P138&lt;安値!R138),11,""))</f>
        <v/>
      </c>
      <c r="L138" s="503">
        <f>IF(終値!A138="","",IF(AND(安値!Q138&lt;安値!P138,安値!Q138&lt;安値!O138,安値!Q138&lt;安値!R138,安値!Q138&lt;安値!S138),12,""))</f>
        <v>12</v>
      </c>
      <c r="M138" s="503" t="str">
        <f>IF(終値!A138="","",IF(AND(安値!R138&lt;安値!Q138,安値!R138&lt;安値!P138,安値!R138&lt;安値!S138,安値!R138&lt;安値!T138),13,""))</f>
        <v/>
      </c>
      <c r="N138" s="503" t="str">
        <f>IF(終値!A138="","",IF(AND(安値!S138&lt;安値!R138,安値!S138&lt;安値!Q138,安値!S138&lt;安値!T138,安値!S138&lt;安値!U138),14,""))</f>
        <v/>
      </c>
      <c r="O138" s="503" t="str">
        <f>IF(終値!A138="","",IF(AND(安値!T138&lt;安値!S138,安値!T138&lt;安値!R138,安値!T138&lt;安値!U138,安値!T138&lt;安値!V138),15,""))</f>
        <v/>
      </c>
      <c r="P138" s="503" t="str">
        <f>IF(終値!A138="","",IF(AND(安値!U138&lt;安値!T138,安値!U138&lt;安値!S138,安値!U138&lt;安値!V138,安値!U138&lt;安値!W138),16,""))</f>
        <v/>
      </c>
      <c r="Q138" s="503" t="str">
        <f>IF(終値!A138="","",IF(AND(安値!V138&lt;安値!U138,安値!V138&lt;安値!T138,安値!V138&lt;安値!W138,安値!V138&lt;安値!X138),17,""))</f>
        <v/>
      </c>
      <c r="R138" s="503" t="str">
        <f>IF(終値!A138="","",IF(AND(安値!W138&lt;安値!V138,安値!W138&lt;安値!U138,安値!W138&lt;安値!X138,安値!W138&lt;安値!Y138),18,""))</f>
        <v/>
      </c>
      <c r="S138" s="503" t="str">
        <f>IF(終値!A138="","",IF(AND(安値!X138&lt;安値!W138,安値!X138&lt;安値!V138,安値!X138&lt;安値!Y138,安値!X138&lt;安値!Z138),19,""))</f>
        <v/>
      </c>
      <c r="T138" s="503" t="str">
        <f>IF(終値!A138="","",IF(AND(安値!Y138&lt;安値!X138,安値!Y138&lt;安値!W138,安値!Y138&lt;安値!Z138,安値!Y138&lt;安値!AA138),20,""))</f>
        <v/>
      </c>
      <c r="U138" s="503" t="str">
        <f>IF(終値!A138="","",IF(AND(安値!Z138&lt;安値!Y138,安値!Z138&lt;安値!X138,安値!Z138&lt;安値!AA138,安値!Z138&lt;安値!AB138),21,""))</f>
        <v/>
      </c>
      <c r="V138" s="503">
        <f>IF(終値!A138="","",IF(AND(安値!AA138&lt;安値!Z138,安値!AA138&lt;安値!Y138,安値!AA138&lt;安値!AB138,安値!AA138&lt;安値!AC138),22,""))</f>
        <v>22</v>
      </c>
      <c r="W138" s="503" t="str">
        <f>IF(終値!A138="","",IF(AND(安値!AB138&lt;安値!AA138,安値!AB138&lt;安値!Z138,安値!AB138&lt;安値!AC138,安値!AB138&lt;安値!AD138),23,""))</f>
        <v/>
      </c>
      <c r="X138" s="503" t="str">
        <f>IF(終値!A138="","",IF(AND(安値!AC138&lt;安値!AB138,安値!AC138&lt;安値!AA138,安値!AC138&lt;安値!AD138,安値!AC138&lt;安値!AE138),24,""))</f>
        <v/>
      </c>
      <c r="Y138" s="503" t="str">
        <f>IF(終値!A138="","",IF(AND(安値!AD138&lt;安値!AC138,安値!AD138&lt;安値!AB138,安値!AD138&lt;安値!AE138,安値!AD138&lt;安値!AF138),25,""))</f>
        <v/>
      </c>
      <c r="Z138" s="503" t="str">
        <f>IF(終値!A138="","",IF(AND(安値!AE138&lt;安値!AD138,安値!AE138&lt;安値!AC138,安値!AE138&lt;安値!AF138,安値!AE138&lt;安値!AG138),26,""))</f>
        <v/>
      </c>
      <c r="AA138" s="503" t="str">
        <f>IF(終値!A138="","",IF(AND(安値!AF138&lt;安値!AE138,安値!AF138&lt;安値!AD138,安値!AF138&lt;安値!AG138,安値!AF138&lt;安値!AH138),27,""))</f>
        <v/>
      </c>
      <c r="AB138" s="503" t="str">
        <f>IF(終値!A138="","",IF(AND(安値!AG138&lt;安値!AF138,安値!AG138&lt;安値!AE138,安値!AG138&lt;安値!AH138,安値!AG138&lt;安値!AI138),28,""))</f>
        <v/>
      </c>
      <c r="AC138" s="503" t="str">
        <f>IF(終値!A138="","",IF(AND(高値!G138&gt;高値!F138,高値!G138&gt;高値!E138,高値!G138&gt;高値!H138,高値!G138&gt;高値!I138),2,""))</f>
        <v/>
      </c>
      <c r="AD138" s="503" t="str">
        <f>IF(終値!A138="","",IF(AND(高値!H138&gt;高値!G138,高値!H138&gt;高値!F138,高値!H138&gt;高値!I138,高値!H138&gt;高値!J138),3,""))</f>
        <v/>
      </c>
      <c r="AE138" s="503" t="str">
        <f>IF(終値!A138="","",IF(AND(高値!I138&gt;高値!H138,高値!I138&gt;高値!G138,高値!I138&gt;高値!J138,高値!I138&gt;高値!K138),4,""))</f>
        <v/>
      </c>
      <c r="AF138" s="503" t="str">
        <f>IF(終値!A138="","",IF(AND(高値!J138&gt;高値!I138,高値!J138&gt;高値!H138,高値!J138&gt;高値!K138,高値!J138&gt;高値!L138),5,""))</f>
        <v/>
      </c>
      <c r="AG138" s="503" t="str">
        <f>IF(終値!A138="","",IF(AND(高値!K138&gt;高値!J138,高値!K138&gt;高値!I138,高値!K138&gt;高値!L138,高値!K138&gt;高値!M138),6,""))</f>
        <v/>
      </c>
      <c r="AH138" s="503" t="str">
        <f>IF(終値!A138="","",IF(AND(高値!L138&gt;高値!K138,高値!L138&gt;高値!J138,高値!L138&gt;高値!M138,高値!L138&gt;高値!N138),7,""))</f>
        <v/>
      </c>
      <c r="AI138" s="503" t="str">
        <f>IF(終値!A138="","",IF(AND(高値!M138&gt;高値!L138,高値!M138&gt;高値!K138,高値!M138&gt;高値!N138,高値!M138&gt;高値!O138),8,""))</f>
        <v/>
      </c>
      <c r="AJ138" s="503" t="str">
        <f>IF(終値!A138="","",IF(AND(高値!N138&gt;高値!M138,高値!N138&gt;高値!L138,高値!N138&gt;高値!O138,高値!N138&gt;高値!P138),9,""))</f>
        <v/>
      </c>
      <c r="AK138" s="503" t="str">
        <f>IF(終値!A138="","",IF(AND(高値!O138&gt;高値!N138,高値!O138&gt;高値!M138,高値!O138&gt;高値!P138,高値!O138&gt;高値!Q138),10,""))</f>
        <v/>
      </c>
      <c r="AL138" s="503" t="str">
        <f>IF(終値!A138="","",IF(AND(高値!P138&gt;高値!O138,高値!P138&gt;高値!N138,高値!P138&gt;高値!Q138,高値!P138&gt;高値!R138),11,""))</f>
        <v/>
      </c>
      <c r="AM138" s="503" t="str">
        <f>IF(終値!A138="","",IF(AND(高値!Q138&gt;高値!P138,高値!Q138&gt;高値!O138,高値!Q138&gt;高値!R138,高値!Q138&gt;高値!S138),12,""))</f>
        <v/>
      </c>
      <c r="AN138" s="503" t="str">
        <f>IF(終値!A138="","",IF(AND(高値!R138&gt;高値!Q138,高値!R138&gt;高値!P138,高値!R138&gt;高値!S138,高値!R138&gt;高値!T138),13,""))</f>
        <v/>
      </c>
      <c r="AO138" s="503">
        <f>IF(終値!A138="","",IF(AND(高値!S138&gt;高値!R138,高値!S138&gt;高値!Q138,高値!S138&gt;高値!T138,高値!S138&gt;高値!U138),14,""))</f>
        <v>14</v>
      </c>
      <c r="AP138" s="503" t="str">
        <f>IF(終値!A138="","",IF(AND(高値!T138&gt;高値!S138,高値!T138&gt;高値!R138,高値!T138&gt;高値!U138,高値!T138&gt;高値!V138),15,""))</f>
        <v/>
      </c>
      <c r="AQ138" s="503" t="str">
        <f>IF(終値!A138="","",IF(AND(高値!U138&gt;高値!T138,高値!U138&gt;高値!S138,高値!U138&gt;高値!V138,高値!U138&gt;高値!W138),16,""))</f>
        <v/>
      </c>
      <c r="AR138" s="503" t="str">
        <f>IF(終値!A138="","",IF(AND(高値!V138&gt;高値!U138,高値!V138&gt;高値!T138,高値!V138&gt;高値!W138,高値!V138&gt;高値!X138),17,""))</f>
        <v/>
      </c>
      <c r="AS138" s="503" t="str">
        <f>IF(終値!A138="","",IF(AND(高値!W138&gt;高値!V138,高値!W138&gt;高値!U138,高値!W138&gt;高値!X138,高値!W138&gt;高値!Y138),18,""))</f>
        <v/>
      </c>
      <c r="AT138" s="503" t="str">
        <f>IF(終値!A138="","",IF(AND(高値!X138&gt;高値!W138,高値!X138&gt;高値!V138,高値!X138&gt;高値!Y138,高値!X138&gt;高値!Z138),19,""))</f>
        <v/>
      </c>
      <c r="AU138" s="503">
        <f>IF(終値!A138="","",IF(AND(高値!Y138&gt;高値!X138,高値!Y138&gt;高値!W138,高値!Y138&gt;高値!Z138,高値!Y138&gt;高値!AA138),20,""))</f>
        <v>20</v>
      </c>
      <c r="AV138" s="503" t="str">
        <f>IF(終値!A138="","",IF(AND(高値!Z138&gt;高値!Y138,高値!Z138&gt;高値!X138,高値!Z138&gt;高値!AA138,高値!Z138&gt;高値!AB138),21,""))</f>
        <v/>
      </c>
      <c r="AW138" s="503" t="str">
        <f>IF(終値!A138="","",IF(AND(高値!AA138&gt;高値!Z138,高値!AA138&gt;高値!Y138,高値!AA138&gt;高値!AB138,高値!AA138&gt;高値!AC138),22,""))</f>
        <v/>
      </c>
      <c r="AX138" s="503" t="str">
        <f>IF(終値!A138="","",IF(AND(高値!AB138&gt;高値!AA138,高値!AB138&gt;高値!Z138,高値!AB138&gt;高値!AC138,高値!AB138&gt;高値!AD138),23,""))</f>
        <v/>
      </c>
      <c r="AY138" s="503" t="str">
        <f>IF(終値!A138="","",IF(AND(高値!AC138&gt;高値!AB138,高値!AC138&gt;高値!AA138,高値!AC138&gt;高値!AD138,高値!AC138&gt;高値!AE138),24,""))</f>
        <v/>
      </c>
      <c r="AZ138" s="503" t="str">
        <f>IF(終値!A138="","",IF(AND(高値!AD138&gt;高値!AC138,高値!AD138&gt;高値!AB138,高値!AD138&gt;高値!AE138,高値!AD138&gt;高値!AF138),25,""))</f>
        <v/>
      </c>
      <c r="BA138" s="503" t="str">
        <f>IF(終値!A138="","",IF(AND(高値!AE138&gt;高値!AD138,高値!AE138&gt;高値!AC138,高値!AE138&gt;高値!AF138,高値!AE138&gt;高値!AG138),26,""))</f>
        <v/>
      </c>
      <c r="BB138" s="503" t="str">
        <f>IF(終値!A138="","",IF(AND(高値!AF138&gt;高値!AE138,高値!AF138&gt;高値!AD138,高値!AF138&gt;高値!AG138,高値!AF138&gt;高値!AH138),27,""))</f>
        <v/>
      </c>
      <c r="BC138" s="503" t="str">
        <f>IF(終値!A138="","",IF(AND(高値!AG138&gt;高値!AF138,高値!AG138&gt;高値!AE138,高値!AG138&gt;高値!AH138,高値!AG138&gt;高値!AI138),28,""))</f>
        <v/>
      </c>
      <c r="BD138" s="503">
        <f t="shared" si="12"/>
        <v>3</v>
      </c>
      <c r="BE138" s="503">
        <f t="shared" si="13"/>
        <v>5</v>
      </c>
      <c r="BF138" s="503">
        <f t="shared" si="14"/>
        <v>12</v>
      </c>
      <c r="BG138" s="503">
        <f>IF($BE138="","",INDEX(安値!$E138:$CZ138,1,$BE138+1))</f>
        <v>741</v>
      </c>
      <c r="BH138" s="503">
        <f>IF($BF138="","",INDEX(安値!$E138:$CZ138,1,$BF138+1))</f>
        <v>832</v>
      </c>
      <c r="BI138" s="503">
        <f>IF($BF138="","",MAX(INDEX(高値!$E138:$CZ138,1,$BE138+1):INDEX(高値!$E138:$CZ138,1,$BF138+1)))</f>
        <v>935</v>
      </c>
      <c r="BJ138" s="503">
        <f>IF($BF138="","",AVERAGE(INDEX(終値!$E138:$CZ138,1,$BF138+1):INDEX(終値!$E138:$CZ138,1,$BF138+20))-2*STDEVP(INDEX(終値!$E138:$CZ138,1,$BF138+1):INDEX(終値!$E138:$CZ138,1,$BF138+20)))</f>
        <v>824.07194922373469</v>
      </c>
      <c r="BK138" s="503">
        <f>IF($BE138="","",AVERAGE(INDEX(終値!$E138:$CZ138,1,$BE138+1):INDEX(終値!$E138:$CZ138,1,$BE138+20))-2*STDEVP(INDEX(終値!$E138:$CZ138,1,$BE138+1):INDEX(終値!$E138:$CZ138,1,$BE138+20)))</f>
        <v>758.5712257170029</v>
      </c>
      <c r="BL138" s="503">
        <f t="shared" si="15"/>
        <v>2</v>
      </c>
      <c r="BM138" s="503">
        <f t="shared" si="16"/>
        <v>14</v>
      </c>
      <c r="BN138" s="503">
        <f t="shared" si="17"/>
        <v>20</v>
      </c>
      <c r="BO138" s="503">
        <f>IF($BM138="","",INDEX(高値!$E138:$CZ138,1,$BM138+1))</f>
        <v>982</v>
      </c>
      <c r="BP138" s="503">
        <f>IF($BN138="","",INDEX(高値!$E138:$CZ138,1,$BN138+1))</f>
        <v>1067</v>
      </c>
      <c r="BQ138" s="503">
        <f>IF($BN138="","",MIN(INDEX(安値!$E138:$CZ138,1,$BM138+1):INDEX(安値!$E138:$CZ138,1,$BN138+1)))</f>
        <v>853</v>
      </c>
      <c r="BR138" s="503">
        <f>IF($BN138="","",AVERAGE(INDEX(終値!$E138:$CZ138,1,$BN138+1):INDEX(終値!$E138:$CZ138,1,$BN138+20))+2*STDEVP(INDEX(終値!$E138:$CZ138,1,$BN138+1):INDEX(終値!$E138:$CZ138,1,$BN138+20)))</f>
        <v>1247.7988387053269</v>
      </c>
      <c r="BS138" s="503">
        <f>IF($BM138="","",AVERAGE(INDEX(終値!$E138:$CZ138,1,$BM138+1):INDEX(終値!$E138:$CZ138,1,$BM138+20))+2*STDEVP(INDEX(終値!$E138:$CZ138,1,$BM138+1):INDEX(終値!$E138:$CZ138,1,$BM138+20)))</f>
        <v>1187.8065433957045</v>
      </c>
      <c r="BT138" s="500"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3" t="str">
        <f>IF(終値!A139="","",IF(AND(安値!G139&lt;安値!F139,安値!G139&lt;安値!E139,安値!G139&lt;安値!H139,安値!G139&lt;安値!I139),2,""))</f>
        <v/>
      </c>
      <c r="C139" s="503" t="str">
        <f>IF(終値!A139="","",IF(AND(安値!H139&lt;安値!G139,安値!H139&lt;安値!F139,安値!H139&lt;安値!I139,安値!H139&lt;安値!J139),3,""))</f>
        <v/>
      </c>
      <c r="D139" s="503" t="str">
        <f>IF(終値!A139="","",IF(AND(安値!I139&lt;安値!H139,安値!I139&lt;安値!G139,安値!I139&lt;安値!J139,安値!I139&lt;安値!K139),4,""))</f>
        <v/>
      </c>
      <c r="E139" s="503">
        <f>IF(終値!A139="","",IF(AND(安値!J139&lt;安値!I139,安値!J139&lt;安値!H139,安値!J139&lt;安値!K139,安値!J139&lt;安値!L139),5,""))</f>
        <v>5</v>
      </c>
      <c r="F139" s="503" t="str">
        <f>IF(終値!A139="","",IF(AND(安値!K139&lt;安値!J139,安値!K139&lt;安値!I139,安値!K139&lt;安値!L139,安値!K139&lt;安値!M139),6,""))</f>
        <v/>
      </c>
      <c r="G139" s="503" t="str">
        <f>IF(終値!A139="","",IF(AND(安値!L139&lt;安値!K139,安値!L139&lt;安値!J139,安値!L139&lt;安値!M139,安値!L139&lt;安値!N139),7,""))</f>
        <v/>
      </c>
      <c r="H139" s="503" t="str">
        <f>IF(終値!A139="","",IF(AND(安値!M139&lt;安値!L139,安値!M139&lt;安値!K139,安値!M139&lt;安値!N139,安値!M139&lt;安値!O139),8,""))</f>
        <v/>
      </c>
      <c r="I139" s="503" t="str">
        <f>IF(終値!A139="","",IF(AND(安値!N139&lt;安値!M139,安値!N139&lt;安値!L139,安値!N139&lt;安値!O139,安値!N139&lt;安値!P139),9,""))</f>
        <v/>
      </c>
      <c r="J139" s="503" t="str">
        <f>IF(終値!A139="","",IF(AND(安値!O139&lt;安値!N139,安値!O139&lt;安値!M139,安値!O139&lt;安値!P139,安値!O139&lt;安値!Q139),10,""))</f>
        <v/>
      </c>
      <c r="K139" s="503" t="str">
        <f>IF(終値!A139="","",IF(AND(安値!P139&lt;安値!O139,安値!P139&lt;安値!N139,安値!P139&lt;安値!Q139,安値!P139&lt;安値!R139),11,""))</f>
        <v/>
      </c>
      <c r="L139" s="503" t="str">
        <f>IF(終値!A139="","",IF(AND(安値!Q139&lt;安値!P139,安値!Q139&lt;安値!O139,安値!Q139&lt;安値!R139,安値!Q139&lt;安値!S139),12,""))</f>
        <v/>
      </c>
      <c r="M139" s="503">
        <f>IF(終値!A139="","",IF(AND(安値!R139&lt;安値!Q139,安値!R139&lt;安値!P139,安値!R139&lt;安値!S139,安値!R139&lt;安値!T139),13,""))</f>
        <v>13</v>
      </c>
      <c r="N139" s="503" t="str">
        <f>IF(終値!A139="","",IF(AND(安値!S139&lt;安値!R139,安値!S139&lt;安値!Q139,安値!S139&lt;安値!T139,安値!S139&lt;安値!U139),14,""))</f>
        <v/>
      </c>
      <c r="O139" s="503" t="str">
        <f>IF(終値!A139="","",IF(AND(安値!T139&lt;安値!S139,安値!T139&lt;安値!R139,安値!T139&lt;安値!U139,安値!T139&lt;安値!V139),15,""))</f>
        <v/>
      </c>
      <c r="P139" s="503" t="str">
        <f>IF(終値!A139="","",IF(AND(安値!U139&lt;安値!T139,安値!U139&lt;安値!S139,安値!U139&lt;安値!V139,安値!U139&lt;安値!W139),16,""))</f>
        <v/>
      </c>
      <c r="Q139" s="503" t="str">
        <f>IF(終値!A139="","",IF(AND(安値!V139&lt;安値!U139,安値!V139&lt;安値!T139,安値!V139&lt;安値!W139,安値!V139&lt;安値!X139),17,""))</f>
        <v/>
      </c>
      <c r="R139" s="503" t="str">
        <f>IF(終値!A139="","",IF(AND(安値!W139&lt;安値!V139,安値!W139&lt;安値!U139,安値!W139&lt;安値!X139,安値!W139&lt;安値!Y139),18,""))</f>
        <v/>
      </c>
      <c r="S139" s="503">
        <f>IF(終値!A139="","",IF(AND(安値!X139&lt;安値!W139,安値!X139&lt;安値!V139,安値!X139&lt;安値!Y139,安値!X139&lt;安値!Z139),19,""))</f>
        <v>19</v>
      </c>
      <c r="T139" s="503" t="str">
        <f>IF(終値!A139="","",IF(AND(安値!Y139&lt;安値!X139,安値!Y139&lt;安値!W139,安値!Y139&lt;安値!Z139,安値!Y139&lt;安値!AA139),20,""))</f>
        <v/>
      </c>
      <c r="U139" s="503" t="str">
        <f>IF(終値!A139="","",IF(AND(安値!Z139&lt;安値!Y139,安値!Z139&lt;安値!X139,安値!Z139&lt;安値!AA139,安値!Z139&lt;安値!AB139),21,""))</f>
        <v/>
      </c>
      <c r="V139" s="503" t="str">
        <f>IF(終値!A139="","",IF(AND(安値!AA139&lt;安値!Z139,安値!AA139&lt;安値!Y139,安値!AA139&lt;安値!AB139,安値!AA139&lt;安値!AC139),22,""))</f>
        <v/>
      </c>
      <c r="W139" s="503" t="str">
        <f>IF(終値!A139="","",IF(AND(安値!AB139&lt;安値!AA139,安値!AB139&lt;安値!Z139,安値!AB139&lt;安値!AC139,安値!AB139&lt;安値!AD139),23,""))</f>
        <v/>
      </c>
      <c r="X139" s="503">
        <f>IF(終値!A139="","",IF(AND(安値!AC139&lt;安値!AB139,安値!AC139&lt;安値!AA139,安値!AC139&lt;安値!AD139,安値!AC139&lt;安値!AE139),24,""))</f>
        <v>24</v>
      </c>
      <c r="Y139" s="503" t="str">
        <f>IF(終値!A139="","",IF(AND(安値!AD139&lt;安値!AC139,安値!AD139&lt;安値!AB139,安値!AD139&lt;安値!AE139,安値!AD139&lt;安値!AF139),25,""))</f>
        <v/>
      </c>
      <c r="Z139" s="503" t="str">
        <f>IF(終値!A139="","",IF(AND(安値!AE139&lt;安値!AD139,安値!AE139&lt;安値!AC139,安値!AE139&lt;安値!AF139,安値!AE139&lt;安値!AG139),26,""))</f>
        <v/>
      </c>
      <c r="AA139" s="503" t="str">
        <f>IF(終値!A139="","",IF(AND(安値!AF139&lt;安値!AE139,安値!AF139&lt;安値!AD139,安値!AF139&lt;安値!AG139,安値!AF139&lt;安値!AH139),27,""))</f>
        <v/>
      </c>
      <c r="AB139" s="503">
        <f>IF(終値!A139="","",IF(AND(安値!AG139&lt;安値!AF139,安値!AG139&lt;安値!AE139,安値!AG139&lt;安値!AH139,安値!AG139&lt;安値!AI139),28,""))</f>
        <v>28</v>
      </c>
      <c r="AC139" s="503" t="str">
        <f>IF(終値!A139="","",IF(AND(高値!G139&gt;高値!F139,高値!G139&gt;高値!E139,高値!G139&gt;高値!H139,高値!G139&gt;高値!I139),2,""))</f>
        <v/>
      </c>
      <c r="AD139" s="503" t="str">
        <f>IF(終値!A139="","",IF(AND(高値!H139&gt;高値!G139,高値!H139&gt;高値!F139,高値!H139&gt;高値!I139,高値!H139&gt;高値!J139),3,""))</f>
        <v/>
      </c>
      <c r="AE139" s="503" t="str">
        <f>IF(終値!A139="","",IF(AND(高値!I139&gt;高値!H139,高値!I139&gt;高値!G139,高値!I139&gt;高値!J139,高値!I139&gt;高値!K139),4,""))</f>
        <v/>
      </c>
      <c r="AF139" s="503" t="str">
        <f>IF(終値!A139="","",IF(AND(高値!J139&gt;高値!I139,高値!J139&gt;高値!H139,高値!J139&gt;高値!K139,高値!J139&gt;高値!L139),5,""))</f>
        <v/>
      </c>
      <c r="AG139" s="503" t="str">
        <f>IF(終値!A139="","",IF(AND(高値!K139&gt;高値!J139,高値!K139&gt;高値!I139,高値!K139&gt;高値!L139,高値!K139&gt;高値!M139),6,""))</f>
        <v/>
      </c>
      <c r="AH139" s="503" t="str">
        <f>IF(終値!A139="","",IF(AND(高値!L139&gt;高値!K139,高値!L139&gt;高値!J139,高値!L139&gt;高値!M139,高値!L139&gt;高値!N139),7,""))</f>
        <v/>
      </c>
      <c r="AI139" s="503" t="str">
        <f>IF(終値!A139="","",IF(AND(高値!M139&gt;高値!L139,高値!M139&gt;高値!K139,高値!M139&gt;高値!N139,高値!M139&gt;高値!O139),8,""))</f>
        <v/>
      </c>
      <c r="AJ139" s="503" t="str">
        <f>IF(終値!A139="","",IF(AND(高値!N139&gt;高値!M139,高値!N139&gt;高値!L139,高値!N139&gt;高値!O139,高値!N139&gt;高値!P139),9,""))</f>
        <v/>
      </c>
      <c r="AK139" s="503" t="str">
        <f>IF(終値!A139="","",IF(AND(高値!O139&gt;高値!N139,高値!O139&gt;高値!M139,高値!O139&gt;高値!P139,高値!O139&gt;高値!Q139),10,""))</f>
        <v/>
      </c>
      <c r="AL139" s="503" t="str">
        <f>IF(終値!A139="","",IF(AND(高値!P139&gt;高値!O139,高値!P139&gt;高値!N139,高値!P139&gt;高値!Q139,高値!P139&gt;高値!R139),11,""))</f>
        <v/>
      </c>
      <c r="AM139" s="503" t="str">
        <f>IF(終値!A139="","",IF(AND(高値!Q139&gt;高値!P139,高値!Q139&gt;高値!O139,高値!Q139&gt;高値!R139,高値!Q139&gt;高値!S139),12,""))</f>
        <v/>
      </c>
      <c r="AN139" s="503" t="str">
        <f>IF(終値!A139="","",IF(AND(高値!R139&gt;高値!Q139,高値!R139&gt;高値!P139,高値!R139&gt;高値!S139,高値!R139&gt;高値!T139),13,""))</f>
        <v/>
      </c>
      <c r="AO139" s="503" t="str">
        <f>IF(終値!A139="","",IF(AND(高値!S139&gt;高値!R139,高値!S139&gt;高値!Q139,高値!S139&gt;高値!T139,高値!S139&gt;高値!U139),14,""))</f>
        <v/>
      </c>
      <c r="AP139" s="503" t="str">
        <f>IF(終値!A139="","",IF(AND(高値!T139&gt;高値!S139,高値!T139&gt;高値!R139,高値!T139&gt;高値!U139,高値!T139&gt;高値!V139),15,""))</f>
        <v/>
      </c>
      <c r="AQ139" s="503" t="str">
        <f>IF(終値!A139="","",IF(AND(高値!U139&gt;高値!T139,高値!U139&gt;高値!S139,高値!U139&gt;高値!V139,高値!U139&gt;高値!W139),16,""))</f>
        <v/>
      </c>
      <c r="AR139" s="503" t="str">
        <f>IF(終値!A139="","",IF(AND(高値!V139&gt;高値!U139,高値!V139&gt;高値!T139,高値!V139&gt;高値!W139,高値!V139&gt;高値!X139),17,""))</f>
        <v/>
      </c>
      <c r="AS139" s="503" t="str">
        <f>IF(終値!A139="","",IF(AND(高値!W139&gt;高値!V139,高値!W139&gt;高値!U139,高値!W139&gt;高値!X139,高値!W139&gt;高値!Y139),18,""))</f>
        <v/>
      </c>
      <c r="AT139" s="503" t="str">
        <f>IF(終値!A139="","",IF(AND(高値!X139&gt;高値!W139,高値!X139&gt;高値!V139,高値!X139&gt;高値!Y139,高値!X139&gt;高値!Z139),19,""))</f>
        <v/>
      </c>
      <c r="AU139" s="503">
        <f>IF(終値!A139="","",IF(AND(高値!Y139&gt;高値!X139,高値!Y139&gt;高値!W139,高値!Y139&gt;高値!Z139,高値!Y139&gt;高値!AA139),20,""))</f>
        <v>20</v>
      </c>
      <c r="AV139" s="503" t="str">
        <f>IF(終値!A139="","",IF(AND(高値!Z139&gt;高値!Y139,高値!Z139&gt;高値!X139,高値!Z139&gt;高値!AA139,高値!Z139&gt;高値!AB139),21,""))</f>
        <v/>
      </c>
      <c r="AW139" s="503" t="str">
        <f>IF(終値!A139="","",IF(AND(高値!AA139&gt;高値!Z139,高値!AA139&gt;高値!Y139,高値!AA139&gt;高値!AB139,高値!AA139&gt;高値!AC139),22,""))</f>
        <v/>
      </c>
      <c r="AX139" s="503" t="str">
        <f>IF(終値!A139="","",IF(AND(高値!AB139&gt;高値!AA139,高値!AB139&gt;高値!Z139,高値!AB139&gt;高値!AC139,高値!AB139&gt;高値!AD139),23,""))</f>
        <v/>
      </c>
      <c r="AY139" s="503" t="str">
        <f>IF(終値!A139="","",IF(AND(高値!AC139&gt;高値!AB139,高値!AC139&gt;高値!AA139,高値!AC139&gt;高値!AD139,高値!AC139&gt;高値!AE139),24,""))</f>
        <v/>
      </c>
      <c r="AZ139" s="503" t="str">
        <f>IF(終値!A139="","",IF(AND(高値!AD139&gt;高値!AC139,高値!AD139&gt;高値!AB139,高値!AD139&gt;高値!AE139,高値!AD139&gt;高値!AF139),25,""))</f>
        <v/>
      </c>
      <c r="BA139" s="503">
        <f>IF(終値!A139="","",IF(AND(高値!AE139&gt;高値!AD139,高値!AE139&gt;高値!AC139,高値!AE139&gt;高値!AF139,高値!AE139&gt;高値!AG139),26,""))</f>
        <v>26</v>
      </c>
      <c r="BB139" s="503" t="str">
        <f>IF(終値!A139="","",IF(AND(高値!AF139&gt;高値!AE139,高値!AF139&gt;高値!AD139,高値!AF139&gt;高値!AG139,高値!AF139&gt;高値!AH139),27,""))</f>
        <v/>
      </c>
      <c r="BC139" s="503" t="str">
        <f>IF(終値!A139="","",IF(AND(高値!AG139&gt;高値!AF139,高値!AG139&gt;高値!AE139,高値!AG139&gt;高値!AH139,高値!AG139&gt;高値!AI139),28,""))</f>
        <v/>
      </c>
      <c r="BD139" s="503">
        <f t="shared" si="12"/>
        <v>5</v>
      </c>
      <c r="BE139" s="503">
        <f t="shared" si="13"/>
        <v>5</v>
      </c>
      <c r="BF139" s="503">
        <f t="shared" si="14"/>
        <v>13</v>
      </c>
      <c r="BG139" s="503">
        <f>IF($BE139="","",INDEX(安値!$E139:$CZ139,1,$BE139+1))</f>
        <v>468</v>
      </c>
      <c r="BH139" s="503">
        <f>IF($BF139="","",INDEX(安値!$E139:$CZ139,1,$BF139+1))</f>
        <v>504</v>
      </c>
      <c r="BI139" s="503">
        <f>IF($BF139="","",MAX(INDEX(高値!$E139:$CZ139,1,$BE139+1):INDEX(高値!$E139:$CZ139,1,$BF139+1)))</f>
        <v>554</v>
      </c>
      <c r="BJ139" s="503">
        <f>IF($BF139="","",AVERAGE(INDEX(終値!$E139:$CZ139,1,$BF139+1):INDEX(終値!$E139:$CZ139,1,$BF139+20))-2*STDEVP(INDEX(終値!$E139:$CZ139,1,$BF139+1):INDEX(終値!$E139:$CZ139,1,$BF139+20)))</f>
        <v>527.19961637016843</v>
      </c>
      <c r="BK139" s="503">
        <f>IF($BE139="","",AVERAGE(INDEX(終値!$E139:$CZ139,1,$BE139+1):INDEX(終値!$E139:$CZ139,1,$BE139+20))-2*STDEVP(INDEX(終値!$E139:$CZ139,1,$BE139+1):INDEX(終値!$E139:$CZ139,1,$BE139+20)))</f>
        <v>488.25934241352934</v>
      </c>
      <c r="BL139" s="503">
        <f t="shared" si="15"/>
        <v>2</v>
      </c>
      <c r="BM139" s="503">
        <f t="shared" si="16"/>
        <v>20</v>
      </c>
      <c r="BN139" s="503">
        <f t="shared" si="17"/>
        <v>26</v>
      </c>
      <c r="BO139" s="503">
        <f>IF($BM139="","",INDEX(高値!$E139:$CZ139,1,$BM139+1))</f>
        <v>615</v>
      </c>
      <c r="BP139" s="503">
        <f>IF($BN139="","",INDEX(高値!$E139:$CZ139,1,$BN139+1))</f>
        <v>593</v>
      </c>
      <c r="BQ139" s="503">
        <f>IF($BN139="","",MIN(INDEX(安値!$E139:$CZ139,1,$BM139+1):INDEX(安値!$E139:$CZ139,1,$BN139+1)))</f>
        <v>550</v>
      </c>
      <c r="BR139" s="503">
        <f>IF($BN139="","",AVERAGE(INDEX(終値!$E139:$CZ139,1,$BN139+1):INDEX(終値!$E139:$CZ139,1,$BN139+20))+2*STDEVP(INDEX(終値!$E139:$CZ139,1,$BN139+1):INDEX(終値!$E139:$CZ139,1,$BN139+20)))</f>
        <v>831.56906916605408</v>
      </c>
      <c r="BS139" s="503">
        <f>IF($BM139="","",AVERAGE(INDEX(終値!$E139:$CZ139,1,$BM139+1):INDEX(終値!$E139:$CZ139,1,$BM139+20))+2*STDEVP(INDEX(終値!$E139:$CZ139,1,$BM139+1):INDEX(終値!$E139:$CZ139,1,$BM139+20)))</f>
        <v>724.97259663999932</v>
      </c>
      <c r="BT139" s="500"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二番天井M形成</v>
      </c>
    </row>
    <row r="140" spans="2:72">
      <c r="B140" s="503">
        <f>IF(終値!A140="","",IF(AND(安値!G140&lt;安値!F140,安値!G140&lt;安値!E140,安値!G140&lt;安値!H140,安値!G140&lt;安値!I140),2,""))</f>
        <v>2</v>
      </c>
      <c r="C140" s="503" t="str">
        <f>IF(終値!A140="","",IF(AND(安値!H140&lt;安値!G140,安値!H140&lt;安値!F140,安値!H140&lt;安値!I140,安値!H140&lt;安値!J140),3,""))</f>
        <v/>
      </c>
      <c r="D140" s="503" t="str">
        <f>IF(終値!A140="","",IF(AND(安値!I140&lt;安値!H140,安値!I140&lt;安値!G140,安値!I140&lt;安値!J140,安値!I140&lt;安値!K140),4,""))</f>
        <v/>
      </c>
      <c r="E140" s="503">
        <f>IF(終値!A140="","",IF(AND(安値!J140&lt;安値!I140,安値!J140&lt;安値!H140,安値!J140&lt;安値!K140,安値!J140&lt;安値!L140),5,""))</f>
        <v>5</v>
      </c>
      <c r="F140" s="503" t="str">
        <f>IF(終値!A140="","",IF(AND(安値!K140&lt;安値!J140,安値!K140&lt;安値!I140,安値!K140&lt;安値!L140,安値!K140&lt;安値!M140),6,""))</f>
        <v/>
      </c>
      <c r="G140" s="503" t="str">
        <f>IF(終値!A140="","",IF(AND(安値!L140&lt;安値!K140,安値!L140&lt;安値!J140,安値!L140&lt;安値!M140,安値!L140&lt;安値!N140),7,""))</f>
        <v/>
      </c>
      <c r="H140" s="503" t="str">
        <f>IF(終値!A140="","",IF(AND(安値!M140&lt;安値!L140,安値!M140&lt;安値!K140,安値!M140&lt;安値!N140,安値!M140&lt;安値!O140),8,""))</f>
        <v/>
      </c>
      <c r="I140" s="503">
        <f>IF(終値!A140="","",IF(AND(安値!N140&lt;安値!M140,安値!N140&lt;安値!L140,安値!N140&lt;安値!O140,安値!N140&lt;安値!P140),9,""))</f>
        <v>9</v>
      </c>
      <c r="J140" s="503" t="str">
        <f>IF(終値!A140="","",IF(AND(安値!O140&lt;安値!N140,安値!O140&lt;安値!M140,安値!O140&lt;安値!P140,安値!O140&lt;安値!Q140),10,""))</f>
        <v/>
      </c>
      <c r="K140" s="503" t="str">
        <f>IF(終値!A140="","",IF(AND(安値!P140&lt;安値!O140,安値!P140&lt;安値!N140,安値!P140&lt;安値!Q140,安値!P140&lt;安値!R140),11,""))</f>
        <v/>
      </c>
      <c r="L140" s="503" t="str">
        <f>IF(終値!A140="","",IF(AND(安値!Q140&lt;安値!P140,安値!Q140&lt;安値!O140,安値!Q140&lt;安値!R140,安値!Q140&lt;安値!S140),12,""))</f>
        <v/>
      </c>
      <c r="M140" s="503">
        <f>IF(終値!A140="","",IF(AND(安値!R140&lt;安値!Q140,安値!R140&lt;安値!P140,安値!R140&lt;安値!S140,安値!R140&lt;安値!T140),13,""))</f>
        <v>13</v>
      </c>
      <c r="N140" s="503" t="str">
        <f>IF(終値!A140="","",IF(AND(安値!S140&lt;安値!R140,安値!S140&lt;安値!Q140,安値!S140&lt;安値!T140,安値!S140&lt;安値!U140),14,""))</f>
        <v/>
      </c>
      <c r="O140" s="503" t="str">
        <f>IF(終値!A140="","",IF(AND(安値!T140&lt;安値!S140,安値!T140&lt;安値!R140,安値!T140&lt;安値!U140,安値!T140&lt;安値!V140),15,""))</f>
        <v/>
      </c>
      <c r="P140" s="503" t="str">
        <f>IF(終値!A140="","",IF(AND(安値!U140&lt;安値!T140,安値!U140&lt;安値!S140,安値!U140&lt;安値!V140,安値!U140&lt;安値!W140),16,""))</f>
        <v/>
      </c>
      <c r="Q140" s="503" t="str">
        <f>IF(終値!A140="","",IF(AND(安値!V140&lt;安値!U140,安値!V140&lt;安値!T140,安値!V140&lt;安値!W140,安値!V140&lt;安値!X140),17,""))</f>
        <v/>
      </c>
      <c r="R140" s="503" t="str">
        <f>IF(終値!A140="","",IF(AND(安値!W140&lt;安値!V140,安値!W140&lt;安値!U140,安値!W140&lt;安値!X140,安値!W140&lt;安値!Y140),18,""))</f>
        <v/>
      </c>
      <c r="S140" s="503" t="str">
        <f>IF(終値!A140="","",IF(AND(安値!X140&lt;安値!W140,安値!X140&lt;安値!V140,安値!X140&lt;安値!Y140,安値!X140&lt;安値!Z140),19,""))</f>
        <v/>
      </c>
      <c r="T140" s="503" t="str">
        <f>IF(終値!A140="","",IF(AND(安値!Y140&lt;安値!X140,安値!Y140&lt;安値!W140,安値!Y140&lt;安値!Z140,安値!Y140&lt;安値!AA140),20,""))</f>
        <v/>
      </c>
      <c r="U140" s="503" t="str">
        <f>IF(終値!A140="","",IF(AND(安値!Z140&lt;安値!Y140,安値!Z140&lt;安値!X140,安値!Z140&lt;安値!AA140,安値!Z140&lt;安値!AB140),21,""))</f>
        <v/>
      </c>
      <c r="V140" s="503" t="str">
        <f>IF(終値!A140="","",IF(AND(安値!AA140&lt;安値!Z140,安値!AA140&lt;安値!Y140,安値!AA140&lt;安値!AB140,安値!AA140&lt;安値!AC140),22,""))</f>
        <v/>
      </c>
      <c r="W140" s="503" t="str">
        <f>IF(終値!A140="","",IF(AND(安値!AB140&lt;安値!AA140,安値!AB140&lt;安値!Z140,安値!AB140&lt;安値!AC140,安値!AB140&lt;安値!AD140),23,""))</f>
        <v/>
      </c>
      <c r="X140" s="503" t="str">
        <f>IF(終値!A140="","",IF(AND(安値!AC140&lt;安値!AB140,安値!AC140&lt;安値!AA140,安値!AC140&lt;安値!AD140,安値!AC140&lt;安値!AE140),24,""))</f>
        <v/>
      </c>
      <c r="Y140" s="503" t="str">
        <f>IF(終値!A140="","",IF(AND(安値!AD140&lt;安値!AC140,安値!AD140&lt;安値!AB140,安値!AD140&lt;安値!AE140,安値!AD140&lt;安値!AF140),25,""))</f>
        <v/>
      </c>
      <c r="Z140" s="503" t="str">
        <f>IF(終値!A140="","",IF(AND(安値!AE140&lt;安値!AD140,安値!AE140&lt;安値!AC140,安値!AE140&lt;安値!AF140,安値!AE140&lt;安値!AG140),26,""))</f>
        <v/>
      </c>
      <c r="AA140" s="503" t="str">
        <f>IF(終値!A140="","",IF(AND(安値!AF140&lt;安値!AE140,安値!AF140&lt;安値!AD140,安値!AF140&lt;安値!AG140,安値!AF140&lt;安値!AH140),27,""))</f>
        <v/>
      </c>
      <c r="AB140" s="503" t="str">
        <f>IF(終値!A140="","",IF(AND(安値!AG140&lt;安値!AF140,安値!AG140&lt;安値!AE140,安値!AG140&lt;安値!AH140,安値!AG140&lt;安値!AI140),28,""))</f>
        <v/>
      </c>
      <c r="AC140" s="503" t="str">
        <f>IF(終値!A140="","",IF(AND(高値!G140&gt;高値!F140,高値!G140&gt;高値!E140,高値!G140&gt;高値!H140,高値!G140&gt;高値!I140),2,""))</f>
        <v/>
      </c>
      <c r="AD140" s="503" t="str">
        <f>IF(終値!A140="","",IF(AND(高値!H140&gt;高値!G140,高値!H140&gt;高値!F140,高値!H140&gt;高値!I140,高値!H140&gt;高値!J140),3,""))</f>
        <v/>
      </c>
      <c r="AE140" s="503" t="str">
        <f>IF(終値!A140="","",IF(AND(高値!I140&gt;高値!H140,高値!I140&gt;高値!G140,高値!I140&gt;高値!J140,高値!I140&gt;高値!K140),4,""))</f>
        <v/>
      </c>
      <c r="AF140" s="503" t="str">
        <f>IF(終値!A140="","",IF(AND(高値!J140&gt;高値!I140,高値!J140&gt;高値!H140,高値!J140&gt;高値!K140,高値!J140&gt;高値!L140),5,""))</f>
        <v/>
      </c>
      <c r="AG140" s="503" t="str">
        <f>IF(終値!A140="","",IF(AND(高値!K140&gt;高値!J140,高値!K140&gt;高値!I140,高値!K140&gt;高値!L140,高値!K140&gt;高値!M140),6,""))</f>
        <v/>
      </c>
      <c r="AH140" s="503" t="str">
        <f>IF(終値!A140="","",IF(AND(高値!L140&gt;高値!K140,高値!L140&gt;高値!J140,高値!L140&gt;高値!M140,高値!L140&gt;高値!N140),7,""))</f>
        <v/>
      </c>
      <c r="AI140" s="503">
        <f>IF(終値!A140="","",IF(AND(高値!M140&gt;高値!L140,高値!M140&gt;高値!K140,高値!M140&gt;高値!N140,高値!M140&gt;高値!O140),8,""))</f>
        <v>8</v>
      </c>
      <c r="AJ140" s="503" t="str">
        <f>IF(終値!A140="","",IF(AND(高値!N140&gt;高値!M140,高値!N140&gt;高値!L140,高値!N140&gt;高値!O140,高値!N140&gt;高値!P140),9,""))</f>
        <v/>
      </c>
      <c r="AK140" s="503" t="str">
        <f>IF(終値!A140="","",IF(AND(高値!O140&gt;高値!N140,高値!O140&gt;高値!M140,高値!O140&gt;高値!P140,高値!O140&gt;高値!Q140),10,""))</f>
        <v/>
      </c>
      <c r="AL140" s="503">
        <f>IF(終値!A140="","",IF(AND(高値!P140&gt;高値!O140,高値!P140&gt;高値!N140,高値!P140&gt;高値!Q140,高値!P140&gt;高値!R140),11,""))</f>
        <v>11</v>
      </c>
      <c r="AM140" s="503" t="str">
        <f>IF(終値!A140="","",IF(AND(高値!Q140&gt;高値!P140,高値!Q140&gt;高値!O140,高値!Q140&gt;高値!R140,高値!Q140&gt;高値!S140),12,""))</f>
        <v/>
      </c>
      <c r="AN140" s="503" t="str">
        <f>IF(終値!A140="","",IF(AND(高値!R140&gt;高値!Q140,高値!R140&gt;高値!P140,高値!R140&gt;高値!S140,高値!R140&gt;高値!T140),13,""))</f>
        <v/>
      </c>
      <c r="AO140" s="503" t="str">
        <f>IF(終値!A140="","",IF(AND(高値!S140&gt;高値!R140,高値!S140&gt;高値!Q140,高値!S140&gt;高値!T140,高値!S140&gt;高値!U140),14,""))</f>
        <v/>
      </c>
      <c r="AP140" s="503" t="str">
        <f>IF(終値!A140="","",IF(AND(高値!T140&gt;高値!S140,高値!T140&gt;高値!R140,高値!T140&gt;高値!U140,高値!T140&gt;高値!V140),15,""))</f>
        <v/>
      </c>
      <c r="AQ140" s="503" t="str">
        <f>IF(終値!A140="","",IF(AND(高値!U140&gt;高値!T140,高値!U140&gt;高値!S140,高値!U140&gt;高値!V140,高値!U140&gt;高値!W140),16,""))</f>
        <v/>
      </c>
      <c r="AR140" s="503">
        <f>IF(終値!A140="","",IF(AND(高値!V140&gt;高値!U140,高値!V140&gt;高値!T140,高値!V140&gt;高値!W140,高値!V140&gt;高値!X140),17,""))</f>
        <v>17</v>
      </c>
      <c r="AS140" s="503" t="str">
        <f>IF(終値!A140="","",IF(AND(高値!W140&gt;高値!V140,高値!W140&gt;高値!U140,高値!W140&gt;高値!X140,高値!W140&gt;高値!Y140),18,""))</f>
        <v/>
      </c>
      <c r="AT140" s="503" t="str">
        <f>IF(終値!A140="","",IF(AND(高値!X140&gt;高値!W140,高値!X140&gt;高値!V140,高値!X140&gt;高値!Y140,高値!X140&gt;高値!Z140),19,""))</f>
        <v/>
      </c>
      <c r="AU140" s="503" t="str">
        <f>IF(終値!A140="","",IF(AND(高値!Y140&gt;高値!X140,高値!Y140&gt;高値!W140,高値!Y140&gt;高値!Z140,高値!Y140&gt;高値!AA140),20,""))</f>
        <v/>
      </c>
      <c r="AV140" s="503">
        <f>IF(終値!A140="","",IF(AND(高値!Z140&gt;高値!Y140,高値!Z140&gt;高値!X140,高値!Z140&gt;高値!AA140,高値!Z140&gt;高値!AB140),21,""))</f>
        <v>21</v>
      </c>
      <c r="AW140" s="503" t="str">
        <f>IF(終値!A140="","",IF(AND(高値!AA140&gt;高値!Z140,高値!AA140&gt;高値!Y140,高値!AA140&gt;高値!AB140,高値!AA140&gt;高値!AC140),22,""))</f>
        <v/>
      </c>
      <c r="AX140" s="503" t="str">
        <f>IF(終値!A140="","",IF(AND(高値!AB140&gt;高値!AA140,高値!AB140&gt;高値!Z140,高値!AB140&gt;高値!AC140,高値!AB140&gt;高値!AD140),23,""))</f>
        <v/>
      </c>
      <c r="AY140" s="503" t="str">
        <f>IF(終値!A140="","",IF(AND(高値!AC140&gt;高値!AB140,高値!AC140&gt;高値!AA140,高値!AC140&gt;高値!AD140,高値!AC140&gt;高値!AE140),24,""))</f>
        <v/>
      </c>
      <c r="AZ140" s="503" t="str">
        <f>IF(終値!A140="","",IF(AND(高値!AD140&gt;高値!AC140,高値!AD140&gt;高値!AB140,高値!AD140&gt;高値!AE140,高値!AD140&gt;高値!AF140),25,""))</f>
        <v/>
      </c>
      <c r="BA140" s="503" t="str">
        <f>IF(終値!A140="","",IF(AND(高値!AE140&gt;高値!AD140,高値!AE140&gt;高値!AC140,高値!AE140&gt;高値!AF140,高値!AE140&gt;高値!AG140),26,""))</f>
        <v/>
      </c>
      <c r="BB140" s="503" t="str">
        <f>IF(終値!A140="","",IF(AND(高値!AF140&gt;高値!AE140,高値!AF140&gt;高値!AD140,高値!AF140&gt;高値!AG140,高値!AF140&gt;高値!AH140),27,""))</f>
        <v/>
      </c>
      <c r="BC140" s="503">
        <f>IF(終値!A140="","",IF(AND(高値!AG140&gt;高値!AF140,高値!AG140&gt;高値!AE140,高値!AG140&gt;高値!AH140,高値!AG140&gt;高値!AI140),28,""))</f>
        <v>28</v>
      </c>
      <c r="BD140" s="503">
        <f t="shared" si="12"/>
        <v>4</v>
      </c>
      <c r="BE140" s="503">
        <f t="shared" si="13"/>
        <v>2</v>
      </c>
      <c r="BF140" s="503">
        <f t="shared" si="14"/>
        <v>5</v>
      </c>
      <c r="BG140" s="503">
        <f>IF($BE140="","",INDEX(安値!$E140:$CZ140,1,$BE140+1))</f>
        <v>45</v>
      </c>
      <c r="BH140" s="503">
        <f>IF($BF140="","",INDEX(安値!$E140:$CZ140,1,$BF140+1))</f>
        <v>43</v>
      </c>
      <c r="BI140" s="503">
        <f>IF($BF140="","",MAX(INDEX(高値!$E140:$CZ140,1,$BE140+1):INDEX(高値!$E140:$CZ140,1,$BF140+1)))</f>
        <v>48</v>
      </c>
      <c r="BJ140" s="503">
        <f>IF($BF140="","",AVERAGE(INDEX(終値!$E140:$CZ140,1,$BF140+1):INDEX(終値!$E140:$CZ140,1,$BF140+20))-2*STDEVP(INDEX(終値!$E140:$CZ140,1,$BF140+1):INDEX(終値!$E140:$CZ140,1,$BF140+20)))</f>
        <v>43.70747354304045</v>
      </c>
      <c r="BK140" s="503">
        <f>IF($BE140="","",AVERAGE(INDEX(終値!$E140:$CZ140,1,$BE140+1):INDEX(終値!$E140:$CZ140,1,$BE140+20))-2*STDEVP(INDEX(終値!$E140:$CZ140,1,$BE140+1):INDEX(終値!$E140:$CZ140,1,$BE140+20)))</f>
        <v>43.08837007069517</v>
      </c>
      <c r="BL140" s="503">
        <f t="shared" si="15"/>
        <v>5</v>
      </c>
      <c r="BM140" s="503">
        <f t="shared" si="16"/>
        <v>8</v>
      </c>
      <c r="BN140" s="503">
        <f t="shared" si="17"/>
        <v>11</v>
      </c>
      <c r="BO140" s="503">
        <f>IF($BM140="","",INDEX(高値!$E140:$CZ140,1,$BM140+1))</f>
        <v>49</v>
      </c>
      <c r="BP140" s="503">
        <f>IF($BN140="","",INDEX(高値!$E140:$CZ140,1,$BN140+1))</f>
        <v>50</v>
      </c>
      <c r="BQ140" s="503">
        <f>IF($BN140="","",MIN(INDEX(安値!$E140:$CZ140,1,$BM140+1):INDEX(安値!$E140:$CZ140,1,$BN140+1)))</f>
        <v>46</v>
      </c>
      <c r="BR140" s="503">
        <f>IF($BN140="","",AVERAGE(INDEX(終値!$E140:$CZ140,1,$BN140+1):INDEX(終値!$E140:$CZ140,1,$BN140+20))+2*STDEVP(INDEX(終値!$E140:$CZ140,1,$BN140+1):INDEX(終値!$E140:$CZ140,1,$BN140+20)))</f>
        <v>60.814985963805547</v>
      </c>
      <c r="BS140" s="503">
        <f>IF($BM140="","",AVERAGE(INDEX(終値!$E140:$CZ140,1,$BM140+1):INDEX(終値!$E140:$CZ140,1,$BM140+20))+2*STDEVP(INDEX(終値!$E140:$CZ140,1,$BM140+1):INDEX(終値!$E140:$CZ140,1,$BM140+20)))</f>
        <v>59.800592612039779</v>
      </c>
      <c r="BT140" s="500"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二番底W▲</v>
      </c>
    </row>
    <row r="141" spans="2:72">
      <c r="B141" s="503" t="str">
        <f>IF(終値!A141="","",IF(AND(安値!G141&lt;安値!F141,安値!G141&lt;安値!E141,安値!G141&lt;安値!H141,安値!G141&lt;安値!I141),2,""))</f>
        <v/>
      </c>
      <c r="C141" s="503" t="str">
        <f>IF(終値!A141="","",IF(AND(安値!H141&lt;安値!G141,安値!H141&lt;安値!F141,安値!H141&lt;安値!I141,安値!H141&lt;安値!J141),3,""))</f>
        <v/>
      </c>
      <c r="D141" s="503" t="str">
        <f>IF(終値!A141="","",IF(AND(安値!I141&lt;安値!H141,安値!I141&lt;安値!G141,安値!I141&lt;安値!J141,安値!I141&lt;安値!K141),4,""))</f>
        <v/>
      </c>
      <c r="E141" s="503" t="str">
        <f>IF(終値!A141="","",IF(AND(安値!J141&lt;安値!I141,安値!J141&lt;安値!H141,安値!J141&lt;安値!K141,安値!J141&lt;安値!L141),5,""))</f>
        <v/>
      </c>
      <c r="F141" s="503">
        <f>IF(終値!A141="","",IF(AND(安値!K141&lt;安値!J141,安値!K141&lt;安値!I141,安値!K141&lt;安値!L141,安値!K141&lt;安値!M141),6,""))</f>
        <v>6</v>
      </c>
      <c r="G141" s="503" t="str">
        <f>IF(終値!A141="","",IF(AND(安値!L141&lt;安値!K141,安値!L141&lt;安値!J141,安値!L141&lt;安値!M141,安値!L141&lt;安値!N141),7,""))</f>
        <v/>
      </c>
      <c r="H141" s="503" t="str">
        <f>IF(終値!A141="","",IF(AND(安値!M141&lt;安値!L141,安値!M141&lt;安値!K141,安値!M141&lt;安値!N141,安値!M141&lt;安値!O141),8,""))</f>
        <v/>
      </c>
      <c r="I141" s="503" t="str">
        <f>IF(終値!A141="","",IF(AND(安値!N141&lt;安値!M141,安値!N141&lt;安値!L141,安値!N141&lt;安値!O141,安値!N141&lt;安値!P141),9,""))</f>
        <v/>
      </c>
      <c r="J141" s="503" t="str">
        <f>IF(終値!A141="","",IF(AND(安値!O141&lt;安値!N141,安値!O141&lt;安値!M141,安値!O141&lt;安値!P141,安値!O141&lt;安値!Q141),10,""))</f>
        <v/>
      </c>
      <c r="K141" s="503" t="str">
        <f>IF(終値!A141="","",IF(AND(安値!P141&lt;安値!O141,安値!P141&lt;安値!N141,安値!P141&lt;安値!Q141,安値!P141&lt;安値!R141),11,""))</f>
        <v/>
      </c>
      <c r="L141" s="503" t="str">
        <f>IF(終値!A141="","",IF(AND(安値!Q141&lt;安値!P141,安値!Q141&lt;安値!O141,安値!Q141&lt;安値!R141,安値!Q141&lt;安値!S141),12,""))</f>
        <v/>
      </c>
      <c r="M141" s="503">
        <f>IF(終値!A141="","",IF(AND(安値!R141&lt;安値!Q141,安値!R141&lt;安値!P141,安値!R141&lt;安値!S141,安値!R141&lt;安値!T141),13,""))</f>
        <v>13</v>
      </c>
      <c r="N141" s="503" t="str">
        <f>IF(終値!A141="","",IF(AND(安値!S141&lt;安値!R141,安値!S141&lt;安値!Q141,安値!S141&lt;安値!T141,安値!S141&lt;安値!U141),14,""))</f>
        <v/>
      </c>
      <c r="O141" s="503" t="str">
        <f>IF(終値!A141="","",IF(AND(安値!T141&lt;安値!S141,安値!T141&lt;安値!R141,安値!T141&lt;安値!U141,安値!T141&lt;安値!V141),15,""))</f>
        <v/>
      </c>
      <c r="P141" s="503">
        <f>IF(終値!A141="","",IF(AND(安値!U141&lt;安値!T141,安値!U141&lt;安値!S141,安値!U141&lt;安値!V141,安値!U141&lt;安値!W141),16,""))</f>
        <v>16</v>
      </c>
      <c r="Q141" s="503" t="str">
        <f>IF(終値!A141="","",IF(AND(安値!V141&lt;安値!U141,安値!V141&lt;安値!T141,安値!V141&lt;安値!W141,安値!V141&lt;安値!X141),17,""))</f>
        <v/>
      </c>
      <c r="R141" s="503" t="str">
        <f>IF(終値!A141="","",IF(AND(安値!W141&lt;安値!V141,安値!W141&lt;安値!U141,安値!W141&lt;安値!X141,安値!W141&lt;安値!Y141),18,""))</f>
        <v/>
      </c>
      <c r="S141" s="503">
        <f>IF(終値!A141="","",IF(AND(安値!X141&lt;安値!W141,安値!X141&lt;安値!V141,安値!X141&lt;安値!Y141,安値!X141&lt;安値!Z141),19,""))</f>
        <v>19</v>
      </c>
      <c r="T141" s="503" t="str">
        <f>IF(終値!A141="","",IF(AND(安値!Y141&lt;安値!X141,安値!Y141&lt;安値!W141,安値!Y141&lt;安値!Z141,安値!Y141&lt;安値!AA141),20,""))</f>
        <v/>
      </c>
      <c r="U141" s="503" t="str">
        <f>IF(終値!A141="","",IF(AND(安値!Z141&lt;安値!Y141,安値!Z141&lt;安値!X141,安値!Z141&lt;安値!AA141,安値!Z141&lt;安値!AB141),21,""))</f>
        <v/>
      </c>
      <c r="V141" s="503">
        <f>IF(終値!A141="","",IF(AND(安値!AA141&lt;安値!Z141,安値!AA141&lt;安値!Y141,安値!AA141&lt;安値!AB141,安値!AA141&lt;安値!AC141),22,""))</f>
        <v>22</v>
      </c>
      <c r="W141" s="503" t="str">
        <f>IF(終値!A141="","",IF(AND(安値!AB141&lt;安値!AA141,安値!AB141&lt;安値!Z141,安値!AB141&lt;安値!AC141,安値!AB141&lt;安値!AD141),23,""))</f>
        <v/>
      </c>
      <c r="X141" s="503" t="str">
        <f>IF(終値!A141="","",IF(AND(安値!AC141&lt;安値!AB141,安値!AC141&lt;安値!AA141,安値!AC141&lt;安値!AD141,安値!AC141&lt;安値!AE141),24,""))</f>
        <v/>
      </c>
      <c r="Y141" s="503" t="str">
        <f>IF(終値!A141="","",IF(AND(安値!AD141&lt;安値!AC141,安値!AD141&lt;安値!AB141,安値!AD141&lt;安値!AE141,安値!AD141&lt;安値!AF141),25,""))</f>
        <v/>
      </c>
      <c r="Z141" s="503">
        <f>IF(終値!A141="","",IF(AND(安値!AE141&lt;安値!AD141,安値!AE141&lt;安値!AC141,安値!AE141&lt;安値!AF141,安値!AE141&lt;安値!AG141),26,""))</f>
        <v>26</v>
      </c>
      <c r="AA141" s="503" t="str">
        <f>IF(終値!A141="","",IF(AND(安値!AF141&lt;安値!AE141,安値!AF141&lt;安値!AD141,安値!AF141&lt;安値!AG141,安値!AF141&lt;安値!AH141),27,""))</f>
        <v/>
      </c>
      <c r="AB141" s="503" t="str">
        <f>IF(終値!A141="","",IF(AND(安値!AG141&lt;安値!AF141,安値!AG141&lt;安値!AE141,安値!AG141&lt;安値!AH141,安値!AG141&lt;安値!AI141),28,""))</f>
        <v/>
      </c>
      <c r="AC141" s="503" t="str">
        <f>IF(終値!A141="","",IF(AND(高値!G141&gt;高値!F141,高値!G141&gt;高値!E141,高値!G141&gt;高値!H141,高値!G141&gt;高値!I141),2,""))</f>
        <v/>
      </c>
      <c r="AD141" s="503" t="str">
        <f>IF(終値!A141="","",IF(AND(高値!H141&gt;高値!G141,高値!H141&gt;高値!F141,高値!H141&gt;高値!I141,高値!H141&gt;高値!J141),3,""))</f>
        <v/>
      </c>
      <c r="AE141" s="503" t="str">
        <f>IF(終値!A141="","",IF(AND(高値!I141&gt;高値!H141,高値!I141&gt;高値!G141,高値!I141&gt;高値!J141,高値!I141&gt;高値!K141),4,""))</f>
        <v/>
      </c>
      <c r="AF141" s="503" t="str">
        <f>IF(終値!A141="","",IF(AND(高値!J141&gt;高値!I141,高値!J141&gt;高値!H141,高値!J141&gt;高値!K141,高値!J141&gt;高値!L141),5,""))</f>
        <v/>
      </c>
      <c r="AG141" s="503" t="str">
        <f>IF(終値!A141="","",IF(AND(高値!K141&gt;高値!J141,高値!K141&gt;高値!I141,高値!K141&gt;高値!L141,高値!K141&gt;高値!M141),6,""))</f>
        <v/>
      </c>
      <c r="AH141" s="503" t="str">
        <f>IF(終値!A141="","",IF(AND(高値!L141&gt;高値!K141,高値!L141&gt;高値!J141,高値!L141&gt;高値!M141,高値!L141&gt;高値!N141),7,""))</f>
        <v/>
      </c>
      <c r="AI141" s="503" t="str">
        <f>IF(終値!A141="","",IF(AND(高値!M141&gt;高値!L141,高値!M141&gt;高値!K141,高値!M141&gt;高値!N141,高値!M141&gt;高値!O141),8,""))</f>
        <v/>
      </c>
      <c r="AJ141" s="503" t="str">
        <f>IF(終値!A141="","",IF(AND(高値!N141&gt;高値!M141,高値!N141&gt;高値!L141,高値!N141&gt;高値!O141,高値!N141&gt;高値!P141),9,""))</f>
        <v/>
      </c>
      <c r="AK141" s="503">
        <f>IF(終値!A141="","",IF(AND(高値!O141&gt;高値!N141,高値!O141&gt;高値!M141,高値!O141&gt;高値!P141,高値!O141&gt;高値!Q141),10,""))</f>
        <v>10</v>
      </c>
      <c r="AL141" s="503" t="str">
        <f>IF(終値!A141="","",IF(AND(高値!P141&gt;高値!O141,高値!P141&gt;高値!N141,高値!P141&gt;高値!Q141,高値!P141&gt;高値!R141),11,""))</f>
        <v/>
      </c>
      <c r="AM141" s="503" t="str">
        <f>IF(終値!A141="","",IF(AND(高値!Q141&gt;高値!P141,高値!Q141&gt;高値!O141,高値!Q141&gt;高値!R141,高値!Q141&gt;高値!S141),12,""))</f>
        <v/>
      </c>
      <c r="AN141" s="503" t="str">
        <f>IF(終値!A141="","",IF(AND(高値!R141&gt;高値!Q141,高値!R141&gt;高値!P141,高値!R141&gt;高値!S141,高値!R141&gt;高値!T141),13,""))</f>
        <v/>
      </c>
      <c r="AO141" s="503" t="str">
        <f>IF(終値!A141="","",IF(AND(高値!S141&gt;高値!R141,高値!S141&gt;高値!Q141,高値!S141&gt;高値!T141,高値!S141&gt;高値!U141),14,""))</f>
        <v/>
      </c>
      <c r="AP141" s="503" t="str">
        <f>IF(終値!A141="","",IF(AND(高値!T141&gt;高値!S141,高値!T141&gt;高値!R141,高値!T141&gt;高値!U141,高値!T141&gt;高値!V141),15,""))</f>
        <v/>
      </c>
      <c r="AQ141" s="503">
        <f>IF(終値!A141="","",IF(AND(高値!U141&gt;高値!T141,高値!U141&gt;高値!S141,高値!U141&gt;高値!V141,高値!U141&gt;高値!W141),16,""))</f>
        <v>16</v>
      </c>
      <c r="AR141" s="503" t="str">
        <f>IF(終値!A141="","",IF(AND(高値!V141&gt;高値!U141,高値!V141&gt;高値!T141,高値!V141&gt;高値!W141,高値!V141&gt;高値!X141),17,""))</f>
        <v/>
      </c>
      <c r="AS141" s="503" t="str">
        <f>IF(終値!A141="","",IF(AND(高値!W141&gt;高値!V141,高値!W141&gt;高値!U141,高値!W141&gt;高値!X141,高値!W141&gt;高値!Y141),18,""))</f>
        <v/>
      </c>
      <c r="AT141" s="503" t="str">
        <f>IF(終値!A141="","",IF(AND(高値!X141&gt;高値!W141,高値!X141&gt;高値!V141,高値!X141&gt;高値!Y141,高値!X141&gt;高値!Z141),19,""))</f>
        <v/>
      </c>
      <c r="AU141" s="503" t="str">
        <f>IF(終値!A141="","",IF(AND(高値!Y141&gt;高値!X141,高値!Y141&gt;高値!W141,高値!Y141&gt;高値!Z141,高値!Y141&gt;高値!AA141),20,""))</f>
        <v/>
      </c>
      <c r="AV141" s="503">
        <f>IF(終値!A141="","",IF(AND(高値!Z141&gt;高値!Y141,高値!Z141&gt;高値!X141,高値!Z141&gt;高値!AA141,高値!Z141&gt;高値!AB141),21,""))</f>
        <v>21</v>
      </c>
      <c r="AW141" s="503" t="str">
        <f>IF(終値!A141="","",IF(AND(高値!AA141&gt;高値!Z141,高値!AA141&gt;高値!Y141,高値!AA141&gt;高値!AB141,高値!AA141&gt;高値!AC141),22,""))</f>
        <v/>
      </c>
      <c r="AX141" s="503" t="str">
        <f>IF(終値!A141="","",IF(AND(高値!AB141&gt;高値!AA141,高値!AB141&gt;高値!Z141,高値!AB141&gt;高値!AC141,高値!AB141&gt;高値!AD141),23,""))</f>
        <v/>
      </c>
      <c r="AY141" s="503">
        <f>IF(終値!A141="","",IF(AND(高値!AC141&gt;高値!AB141,高値!AC141&gt;高値!AA141,高値!AC141&gt;高値!AD141,高値!AC141&gt;高値!AE141),24,""))</f>
        <v>24</v>
      </c>
      <c r="AZ141" s="503" t="str">
        <f>IF(終値!A141="","",IF(AND(高値!AD141&gt;高値!AC141,高値!AD141&gt;高値!AB141,高値!AD141&gt;高値!AE141,高値!AD141&gt;高値!AF141),25,""))</f>
        <v/>
      </c>
      <c r="BA141" s="503" t="str">
        <f>IF(終値!A141="","",IF(AND(高値!AE141&gt;高値!AD141,高値!AE141&gt;高値!AC141,高値!AE141&gt;高値!AF141,高値!AE141&gt;高値!AG141),26,""))</f>
        <v/>
      </c>
      <c r="BB141" s="503" t="str">
        <f>IF(終値!A141="","",IF(AND(高値!AF141&gt;高値!AE141,高値!AF141&gt;高値!AD141,高値!AF141&gt;高値!AG141,高値!AF141&gt;高値!AH141),27,""))</f>
        <v/>
      </c>
      <c r="BC141" s="503" t="str">
        <f>IF(終値!A141="","",IF(AND(高値!AG141&gt;高値!AF141,高値!AG141&gt;高値!AE141,高値!AG141&gt;高値!AH141,高値!AG141&gt;高値!AI141),28,""))</f>
        <v/>
      </c>
      <c r="BD141" s="503">
        <f t="shared" si="12"/>
        <v>6</v>
      </c>
      <c r="BE141" s="503">
        <f t="shared" si="13"/>
        <v>6</v>
      </c>
      <c r="BF141" s="503">
        <f t="shared" si="14"/>
        <v>13</v>
      </c>
      <c r="BG141" s="503">
        <f>IF($BE141="","",INDEX(安値!$E141:$CZ141,1,$BE141+1))</f>
        <v>1208</v>
      </c>
      <c r="BH141" s="503">
        <f>IF($BF141="","",INDEX(安値!$E141:$CZ141,1,$BF141+1))</f>
        <v>1600</v>
      </c>
      <c r="BI141" s="503">
        <f>IF($BF141="","",MAX(INDEX(高値!$E141:$CZ141,1,$BE141+1):INDEX(高値!$E141:$CZ141,1,$BF141+1)))</f>
        <v>1845</v>
      </c>
      <c r="BJ141" s="503">
        <f>IF($BF141="","",AVERAGE(INDEX(終値!$E141:$CZ141,1,$BF141+1):INDEX(終値!$E141:$CZ141,1,$BF141+20))-2*STDEVP(INDEX(終値!$E141:$CZ141,1,$BF141+1):INDEX(終値!$E141:$CZ141,1,$BF141+20)))</f>
        <v>2074.5560410221133</v>
      </c>
      <c r="BK141" s="503">
        <f>IF($BE141="","",AVERAGE(INDEX(終値!$E141:$CZ141,1,$BE141+1):INDEX(終値!$E141:$CZ141,1,$BE141+20))-2*STDEVP(INDEX(終値!$E141:$CZ141,1,$BE141+1):INDEX(終値!$E141:$CZ141,1,$BE141+20)))</f>
        <v>1162.5503034365549</v>
      </c>
      <c r="BL141" s="503">
        <f t="shared" si="15"/>
        <v>4</v>
      </c>
      <c r="BM141" s="503">
        <f t="shared" si="16"/>
        <v>10</v>
      </c>
      <c r="BN141" s="503">
        <f t="shared" si="17"/>
        <v>16</v>
      </c>
      <c r="BO141" s="503">
        <f>IF($BM141="","",INDEX(高値!$E141:$CZ141,1,$BM141+1))</f>
        <v>1845</v>
      </c>
      <c r="BP141" s="503">
        <f>IF($BN141="","",INDEX(高値!$E141:$CZ141,1,$BN141+1))</f>
        <v>2700</v>
      </c>
      <c r="BQ141" s="503">
        <f>IF($BN141="","",MIN(INDEX(安値!$E141:$CZ141,1,$BM141+1):INDEX(安値!$E141:$CZ141,1,$BN141+1)))</f>
        <v>1600</v>
      </c>
      <c r="BR141" s="503">
        <f>IF($BN141="","",AVERAGE(INDEX(終値!$E141:$CZ141,1,$BN141+1):INDEX(終値!$E141:$CZ141,1,$BN141+20))+2*STDEVP(INDEX(終値!$E141:$CZ141,1,$BN141+1):INDEX(終値!$E141:$CZ141,1,$BN141+20)))</f>
        <v>3088.4871043312514</v>
      </c>
      <c r="BS141" s="503">
        <f>IF($BM141="","",AVERAGE(INDEX(終値!$E141:$CZ141,1,$BM141+1):INDEX(終値!$E141:$CZ141,1,$BM141+20))+2*STDEVP(INDEX(終値!$E141:$CZ141,1,$BM141+1):INDEX(終値!$E141:$CZ141,1,$BM141+20)))</f>
        <v>3322.1025383302094</v>
      </c>
      <c r="BT141" s="500"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3">
        <f>IF(終値!A142="","",IF(AND(安値!G142&lt;安値!F142,安値!G142&lt;安値!E142,安値!G142&lt;安値!H142,安値!G142&lt;安値!I142),2,""))</f>
        <v>2</v>
      </c>
      <c r="C142" s="503" t="str">
        <f>IF(終値!A142="","",IF(AND(安値!H142&lt;安値!G142,安値!H142&lt;安値!F142,安値!H142&lt;安値!I142,安値!H142&lt;安値!J142),3,""))</f>
        <v/>
      </c>
      <c r="D142" s="503" t="str">
        <f>IF(終値!A142="","",IF(AND(安値!I142&lt;安値!H142,安値!I142&lt;安値!G142,安値!I142&lt;安値!J142,安値!I142&lt;安値!K142),4,""))</f>
        <v/>
      </c>
      <c r="E142" s="503" t="str">
        <f>IF(終値!A142="","",IF(AND(安値!J142&lt;安値!I142,安値!J142&lt;安値!H142,安値!J142&lt;安値!K142,安値!J142&lt;安値!L142),5,""))</f>
        <v/>
      </c>
      <c r="F142" s="503" t="str">
        <f>IF(終値!A142="","",IF(AND(安値!K142&lt;安値!J142,安値!K142&lt;安値!I142,安値!K142&lt;安値!L142,安値!K142&lt;安値!M142),6,""))</f>
        <v/>
      </c>
      <c r="G142" s="503" t="str">
        <f>IF(終値!A142="","",IF(AND(安値!L142&lt;安値!K142,安値!L142&lt;安値!J142,安値!L142&lt;安値!M142,安値!L142&lt;安値!N142),7,""))</f>
        <v/>
      </c>
      <c r="H142" s="503" t="str">
        <f>IF(終値!A142="","",IF(AND(安値!M142&lt;安値!L142,安値!M142&lt;安値!K142,安値!M142&lt;安値!N142,安値!M142&lt;安値!O142),8,""))</f>
        <v/>
      </c>
      <c r="I142" s="503">
        <f>IF(終値!A142="","",IF(AND(安値!N142&lt;安値!M142,安値!N142&lt;安値!L142,安値!N142&lt;安値!O142,安値!N142&lt;安値!P142),9,""))</f>
        <v>9</v>
      </c>
      <c r="J142" s="503" t="str">
        <f>IF(終値!A142="","",IF(AND(安値!O142&lt;安値!N142,安値!O142&lt;安値!M142,安値!O142&lt;安値!P142,安値!O142&lt;安値!Q142),10,""))</f>
        <v/>
      </c>
      <c r="K142" s="503" t="str">
        <f>IF(終値!A142="","",IF(AND(安値!P142&lt;安値!O142,安値!P142&lt;安値!N142,安値!P142&lt;安値!Q142,安値!P142&lt;安値!R142),11,""))</f>
        <v/>
      </c>
      <c r="L142" s="503" t="str">
        <f>IF(終値!A142="","",IF(AND(安値!Q142&lt;安値!P142,安値!Q142&lt;安値!O142,安値!Q142&lt;安値!R142,安値!Q142&lt;安値!S142),12,""))</f>
        <v/>
      </c>
      <c r="M142" s="503" t="str">
        <f>IF(終値!A142="","",IF(AND(安値!R142&lt;安値!Q142,安値!R142&lt;安値!P142,安値!R142&lt;安値!S142,安値!R142&lt;安値!T142),13,""))</f>
        <v/>
      </c>
      <c r="N142" s="503">
        <f>IF(終値!A142="","",IF(AND(安値!S142&lt;安値!R142,安値!S142&lt;安値!Q142,安値!S142&lt;安値!T142,安値!S142&lt;安値!U142),14,""))</f>
        <v>14</v>
      </c>
      <c r="O142" s="503" t="str">
        <f>IF(終値!A142="","",IF(AND(安値!T142&lt;安値!S142,安値!T142&lt;安値!R142,安値!T142&lt;安値!U142,安値!T142&lt;安値!V142),15,""))</f>
        <v/>
      </c>
      <c r="P142" s="503" t="str">
        <f>IF(終値!A142="","",IF(AND(安値!U142&lt;安値!T142,安値!U142&lt;安値!S142,安値!U142&lt;安値!V142,安値!U142&lt;安値!W142),16,""))</f>
        <v/>
      </c>
      <c r="Q142" s="503" t="str">
        <f>IF(終値!A142="","",IF(AND(安値!V142&lt;安値!U142,安値!V142&lt;安値!T142,安値!V142&lt;安値!W142,安値!V142&lt;安値!X142),17,""))</f>
        <v/>
      </c>
      <c r="R142" s="503" t="str">
        <f>IF(終値!A142="","",IF(AND(安値!W142&lt;安値!V142,安値!W142&lt;安値!U142,安値!W142&lt;安値!X142,安値!W142&lt;安値!Y142),18,""))</f>
        <v/>
      </c>
      <c r="S142" s="503" t="str">
        <f>IF(終値!A142="","",IF(AND(安値!X142&lt;安値!W142,安値!X142&lt;安値!V142,安値!X142&lt;安値!Y142,安値!X142&lt;安値!Z142),19,""))</f>
        <v/>
      </c>
      <c r="T142" s="503" t="str">
        <f>IF(終値!A142="","",IF(AND(安値!Y142&lt;安値!X142,安値!Y142&lt;安値!W142,安値!Y142&lt;安値!Z142,安値!Y142&lt;安値!AA142),20,""))</f>
        <v/>
      </c>
      <c r="U142" s="503" t="str">
        <f>IF(終値!A142="","",IF(AND(安値!Z142&lt;安値!Y142,安値!Z142&lt;安値!X142,安値!Z142&lt;安値!AA142,安値!Z142&lt;安値!AB142),21,""))</f>
        <v/>
      </c>
      <c r="V142" s="503" t="str">
        <f>IF(終値!A142="","",IF(AND(安値!AA142&lt;安値!Z142,安値!AA142&lt;安値!Y142,安値!AA142&lt;安値!AB142,安値!AA142&lt;安値!AC142),22,""))</f>
        <v/>
      </c>
      <c r="W142" s="503" t="str">
        <f>IF(終値!A142="","",IF(AND(安値!AB142&lt;安値!AA142,安値!AB142&lt;安値!Z142,安値!AB142&lt;安値!AC142,安値!AB142&lt;安値!AD142),23,""))</f>
        <v/>
      </c>
      <c r="X142" s="503" t="str">
        <f>IF(終値!A142="","",IF(AND(安値!AC142&lt;安値!AB142,安値!AC142&lt;安値!AA142,安値!AC142&lt;安値!AD142,安値!AC142&lt;安値!AE142),24,""))</f>
        <v/>
      </c>
      <c r="Y142" s="503" t="str">
        <f>IF(終値!A142="","",IF(AND(安値!AD142&lt;安値!AC142,安値!AD142&lt;安値!AB142,安値!AD142&lt;安値!AE142,安値!AD142&lt;安値!AF142),25,""))</f>
        <v/>
      </c>
      <c r="Z142" s="503" t="str">
        <f>IF(終値!A142="","",IF(AND(安値!AE142&lt;安値!AD142,安値!AE142&lt;安値!AC142,安値!AE142&lt;安値!AF142,安値!AE142&lt;安値!AG142),26,""))</f>
        <v/>
      </c>
      <c r="AA142" s="503" t="str">
        <f>IF(終値!A142="","",IF(AND(安値!AF142&lt;安値!AE142,安値!AF142&lt;安値!AD142,安値!AF142&lt;安値!AG142,安値!AF142&lt;安値!AH142),27,""))</f>
        <v/>
      </c>
      <c r="AB142" s="503" t="str">
        <f>IF(終値!A142="","",IF(AND(安値!AG142&lt;安値!AF142,安値!AG142&lt;安値!AE142,安値!AG142&lt;安値!AH142,安値!AG142&lt;安値!AI142),28,""))</f>
        <v/>
      </c>
      <c r="AC142" s="503" t="str">
        <f>IF(終値!A142="","",IF(AND(高値!G142&gt;高値!F142,高値!G142&gt;高値!E142,高値!G142&gt;高値!H142,高値!G142&gt;高値!I142),2,""))</f>
        <v/>
      </c>
      <c r="AD142" s="503" t="str">
        <f>IF(終値!A142="","",IF(AND(高値!H142&gt;高値!G142,高値!H142&gt;高値!F142,高値!H142&gt;高値!I142,高値!H142&gt;高値!J142),3,""))</f>
        <v/>
      </c>
      <c r="AE142" s="503" t="str">
        <f>IF(終値!A142="","",IF(AND(高値!I142&gt;高値!H142,高値!I142&gt;高値!G142,高値!I142&gt;高値!J142,高値!I142&gt;高値!K142),4,""))</f>
        <v/>
      </c>
      <c r="AF142" s="503" t="str">
        <f>IF(終値!A142="","",IF(AND(高値!J142&gt;高値!I142,高値!J142&gt;高値!H142,高値!J142&gt;高値!K142,高値!J142&gt;高値!L142),5,""))</f>
        <v/>
      </c>
      <c r="AG142" s="503" t="str">
        <f>IF(終値!A142="","",IF(AND(高値!K142&gt;高値!J142,高値!K142&gt;高値!I142,高値!K142&gt;高値!L142,高値!K142&gt;高値!M142),6,""))</f>
        <v/>
      </c>
      <c r="AH142" s="503">
        <f>IF(終値!A142="","",IF(AND(高値!L142&gt;高値!K142,高値!L142&gt;高値!J142,高値!L142&gt;高値!M142,高値!L142&gt;高値!N142),7,""))</f>
        <v>7</v>
      </c>
      <c r="AI142" s="503" t="str">
        <f>IF(終値!A142="","",IF(AND(高値!M142&gt;高値!L142,高値!M142&gt;高値!K142,高値!M142&gt;高値!N142,高値!M142&gt;高値!O142),8,""))</f>
        <v/>
      </c>
      <c r="AJ142" s="503" t="str">
        <f>IF(終値!A142="","",IF(AND(高値!N142&gt;高値!M142,高値!N142&gt;高値!L142,高値!N142&gt;高値!O142,高値!N142&gt;高値!P142),9,""))</f>
        <v/>
      </c>
      <c r="AK142" s="503" t="str">
        <f>IF(終値!A142="","",IF(AND(高値!O142&gt;高値!N142,高値!O142&gt;高値!M142,高値!O142&gt;高値!P142,高値!O142&gt;高値!Q142),10,""))</f>
        <v/>
      </c>
      <c r="AL142" s="503" t="str">
        <f>IF(終値!A142="","",IF(AND(高値!P142&gt;高値!O142,高値!P142&gt;高値!N142,高値!P142&gt;高値!Q142,高値!P142&gt;高値!R142),11,""))</f>
        <v/>
      </c>
      <c r="AM142" s="503">
        <f>IF(終値!A142="","",IF(AND(高値!Q142&gt;高値!P142,高値!Q142&gt;高値!O142,高値!Q142&gt;高値!R142,高値!Q142&gt;高値!S142),12,""))</f>
        <v>12</v>
      </c>
      <c r="AN142" s="503" t="str">
        <f>IF(終値!A142="","",IF(AND(高値!R142&gt;高値!Q142,高値!R142&gt;高値!P142,高値!R142&gt;高値!S142,高値!R142&gt;高値!T142),13,""))</f>
        <v/>
      </c>
      <c r="AO142" s="503" t="str">
        <f>IF(終値!A142="","",IF(AND(高値!S142&gt;高値!R142,高値!S142&gt;高値!Q142,高値!S142&gt;高値!T142,高値!S142&gt;高値!U142),14,""))</f>
        <v/>
      </c>
      <c r="AP142" s="503" t="str">
        <f>IF(終値!A142="","",IF(AND(高値!T142&gt;高値!S142,高値!T142&gt;高値!R142,高値!T142&gt;高値!U142,高値!T142&gt;高値!V142),15,""))</f>
        <v/>
      </c>
      <c r="AQ142" s="503" t="str">
        <f>IF(終値!A142="","",IF(AND(高値!U142&gt;高値!T142,高値!U142&gt;高値!S142,高値!U142&gt;高値!V142,高値!U142&gt;高値!W142),16,""))</f>
        <v/>
      </c>
      <c r="AR142" s="503" t="str">
        <f>IF(終値!A142="","",IF(AND(高値!V142&gt;高値!U142,高値!V142&gt;高値!T142,高値!V142&gt;高値!W142,高値!V142&gt;高値!X142),17,""))</f>
        <v/>
      </c>
      <c r="AS142" s="503" t="str">
        <f>IF(終値!A142="","",IF(AND(高値!W142&gt;高値!V142,高値!W142&gt;高値!U142,高値!W142&gt;高値!X142,高値!W142&gt;高値!Y142),18,""))</f>
        <v/>
      </c>
      <c r="AT142" s="503">
        <f>IF(終値!A142="","",IF(AND(高値!X142&gt;高値!W142,高値!X142&gt;高値!V142,高値!X142&gt;高値!Y142,高値!X142&gt;高値!Z142),19,""))</f>
        <v>19</v>
      </c>
      <c r="AU142" s="503" t="str">
        <f>IF(終値!A142="","",IF(AND(高値!Y142&gt;高値!X142,高値!Y142&gt;高値!W142,高値!Y142&gt;高値!Z142,高値!Y142&gt;高値!AA142),20,""))</f>
        <v/>
      </c>
      <c r="AV142" s="503" t="str">
        <f>IF(終値!A142="","",IF(AND(高値!Z142&gt;高値!Y142,高値!Z142&gt;高値!X142,高値!Z142&gt;高値!AA142,高値!Z142&gt;高値!AB142),21,""))</f>
        <v/>
      </c>
      <c r="AW142" s="503" t="str">
        <f>IF(終値!A142="","",IF(AND(高値!AA142&gt;高値!Z142,高値!AA142&gt;高値!Y142,高値!AA142&gt;高値!AB142,高値!AA142&gt;高値!AC142),22,""))</f>
        <v/>
      </c>
      <c r="AX142" s="503" t="str">
        <f>IF(終値!A142="","",IF(AND(高値!AB142&gt;高値!AA142,高値!AB142&gt;高値!Z142,高値!AB142&gt;高値!AC142,高値!AB142&gt;高値!AD142),23,""))</f>
        <v/>
      </c>
      <c r="AY142" s="503" t="str">
        <f>IF(終値!A142="","",IF(AND(高値!AC142&gt;高値!AB142,高値!AC142&gt;高値!AA142,高値!AC142&gt;高値!AD142,高値!AC142&gt;高値!AE142),24,""))</f>
        <v/>
      </c>
      <c r="AZ142" s="503" t="str">
        <f>IF(終値!A142="","",IF(AND(高値!AD142&gt;高値!AC142,高値!AD142&gt;高値!AB142,高値!AD142&gt;高値!AE142,高値!AD142&gt;高値!AF142),25,""))</f>
        <v/>
      </c>
      <c r="BA142" s="503">
        <f>IF(終値!A142="","",IF(AND(高値!AE142&gt;高値!AD142,高値!AE142&gt;高値!AC142,高値!AE142&gt;高値!AF142,高値!AE142&gt;高値!AG142),26,""))</f>
        <v>26</v>
      </c>
      <c r="BB142" s="503" t="str">
        <f>IF(終値!A142="","",IF(AND(高値!AF142&gt;高値!AE142,高値!AF142&gt;高値!AD142,高値!AF142&gt;高値!AG142,高値!AF142&gt;高値!AH142),27,""))</f>
        <v/>
      </c>
      <c r="BC142" s="503" t="str">
        <f>IF(終値!A142="","",IF(AND(高値!AG142&gt;高値!AF142,高値!AG142&gt;高値!AE142,高値!AG142&gt;高値!AH142,高値!AG142&gt;高値!AI142),28,""))</f>
        <v/>
      </c>
      <c r="BD142" s="503">
        <f t="shared" si="12"/>
        <v>3</v>
      </c>
      <c r="BE142" s="503">
        <f t="shared" si="13"/>
        <v>2</v>
      </c>
      <c r="BF142" s="503">
        <f t="shared" si="14"/>
        <v>9</v>
      </c>
      <c r="BG142" s="503">
        <f>IF($BE142="","",INDEX(安値!$E142:$CZ142,1,$BE142+1))</f>
        <v>2500</v>
      </c>
      <c r="BH142" s="503">
        <f>IF($BF142="","",INDEX(安値!$E142:$CZ142,1,$BF142+1))</f>
        <v>2725.5</v>
      </c>
      <c r="BI142" s="503">
        <f>IF($BF142="","",MAX(INDEX(高値!$E142:$CZ142,1,$BE142+1):INDEX(高値!$E142:$CZ142,1,$BF142+1)))</f>
        <v>2912.5</v>
      </c>
      <c r="BJ142" s="503">
        <f>IF($BF142="","",AVERAGE(INDEX(終値!$E142:$CZ142,1,$BF142+1):INDEX(終値!$E142:$CZ142,1,$BF142+20))-2*STDEVP(INDEX(終値!$E142:$CZ142,1,$BF142+1):INDEX(終値!$E142:$CZ142,1,$BF142+20)))</f>
        <v>2532.8662777021609</v>
      </c>
      <c r="BK142" s="503">
        <f>IF($BE142="","",AVERAGE(INDEX(終値!$E142:$CZ142,1,$BE142+1):INDEX(終値!$E142:$CZ142,1,$BE142+20))-2*STDEVP(INDEX(終値!$E142:$CZ142,1,$BE142+1):INDEX(終値!$E142:$CZ142,1,$BE142+20)))</f>
        <v>2531.3090105566221</v>
      </c>
      <c r="BL142" s="503">
        <f t="shared" si="15"/>
        <v>4</v>
      </c>
      <c r="BM142" s="503">
        <f t="shared" si="16"/>
        <v>7</v>
      </c>
      <c r="BN142" s="503">
        <f t="shared" si="17"/>
        <v>12</v>
      </c>
      <c r="BO142" s="503">
        <f>IF($BM142="","",INDEX(高値!$E142:$CZ142,1,$BM142+1))</f>
        <v>2912.5</v>
      </c>
      <c r="BP142" s="503">
        <f>IF($BN142="","",INDEX(高値!$E142:$CZ142,1,$BN142+1))</f>
        <v>2874</v>
      </c>
      <c r="BQ142" s="503">
        <f>IF($BN142="","",MIN(INDEX(安値!$E142:$CZ142,1,$BM142+1):INDEX(安値!$E142:$CZ142,1,$BN142+1)))</f>
        <v>2725.5</v>
      </c>
      <c r="BR142" s="503">
        <f>IF($BN142="","",AVERAGE(INDEX(終値!$E142:$CZ142,1,$BN142+1):INDEX(終値!$E142:$CZ142,1,$BN142+20))+2*STDEVP(INDEX(終値!$E142:$CZ142,1,$BN142+1):INDEX(終値!$E142:$CZ142,1,$BN142+20)))</f>
        <v>2832.1357106995106</v>
      </c>
      <c r="BS142" s="503">
        <f>IF($BM142="","",AVERAGE(INDEX(終値!$E142:$CZ142,1,$BM142+1):INDEX(終値!$E142:$CZ142,1,$BM142+20))+2*STDEVP(INDEX(終値!$E142:$CZ142,1,$BM142+1):INDEX(終値!$E142:$CZ142,1,$BM142+20)))</f>
        <v>2878.6858965990905</v>
      </c>
      <c r="BT142" s="500"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二番天井M▼</v>
      </c>
    </row>
    <row r="143" spans="2:72">
      <c r="B143" s="503" t="str">
        <f>IF(終値!A143="","",IF(AND(安値!G143&lt;安値!F143,安値!G143&lt;安値!E143,安値!G143&lt;安値!H143,安値!G143&lt;安値!I143),2,""))</f>
        <v/>
      </c>
      <c r="C143" s="503">
        <f>IF(終値!A143="","",IF(AND(安値!H143&lt;安値!G143,安値!H143&lt;安値!F143,安値!H143&lt;安値!I143,安値!H143&lt;安値!J143),3,""))</f>
        <v>3</v>
      </c>
      <c r="D143" s="503" t="str">
        <f>IF(終値!A143="","",IF(AND(安値!I143&lt;安値!H143,安値!I143&lt;安値!G143,安値!I143&lt;安値!J143,安値!I143&lt;安値!K143),4,""))</f>
        <v/>
      </c>
      <c r="E143" s="503" t="str">
        <f>IF(終値!A143="","",IF(AND(安値!J143&lt;安値!I143,安値!J143&lt;安値!H143,安値!J143&lt;安値!K143,安値!J143&lt;安値!L143),5,""))</f>
        <v/>
      </c>
      <c r="F143" s="503" t="str">
        <f>IF(終値!A143="","",IF(AND(安値!K143&lt;安値!J143,安値!K143&lt;安値!I143,安値!K143&lt;安値!L143,安値!K143&lt;安値!M143),6,""))</f>
        <v/>
      </c>
      <c r="G143" s="503">
        <f>IF(終値!A143="","",IF(AND(安値!L143&lt;安値!K143,安値!L143&lt;安値!J143,安値!L143&lt;安値!M143,安値!L143&lt;安値!N143),7,""))</f>
        <v>7</v>
      </c>
      <c r="H143" s="503" t="str">
        <f>IF(終値!A143="","",IF(AND(安値!M143&lt;安値!L143,安値!M143&lt;安値!K143,安値!M143&lt;安値!N143,安値!M143&lt;安値!O143),8,""))</f>
        <v/>
      </c>
      <c r="I143" s="503" t="str">
        <f>IF(終値!A143="","",IF(AND(安値!N143&lt;安値!M143,安値!N143&lt;安値!L143,安値!N143&lt;安値!O143,安値!N143&lt;安値!P143),9,""))</f>
        <v/>
      </c>
      <c r="J143" s="503" t="str">
        <f>IF(終値!A143="","",IF(AND(安値!O143&lt;安値!N143,安値!O143&lt;安値!M143,安値!O143&lt;安値!P143,安値!O143&lt;安値!Q143),10,""))</f>
        <v/>
      </c>
      <c r="K143" s="503" t="str">
        <f>IF(終値!A143="","",IF(AND(安値!P143&lt;安値!O143,安値!P143&lt;安値!N143,安値!P143&lt;安値!Q143,安値!P143&lt;安値!R143),11,""))</f>
        <v/>
      </c>
      <c r="L143" s="503">
        <f>IF(終値!A143="","",IF(AND(安値!Q143&lt;安値!P143,安値!Q143&lt;安値!O143,安値!Q143&lt;安値!R143,安値!Q143&lt;安値!S143),12,""))</f>
        <v>12</v>
      </c>
      <c r="M143" s="503" t="str">
        <f>IF(終値!A143="","",IF(AND(安値!R143&lt;安値!Q143,安値!R143&lt;安値!P143,安値!R143&lt;安値!S143,安値!R143&lt;安値!T143),13,""))</f>
        <v/>
      </c>
      <c r="N143" s="503" t="str">
        <f>IF(終値!A143="","",IF(AND(安値!S143&lt;安値!R143,安値!S143&lt;安値!Q143,安値!S143&lt;安値!T143,安値!S143&lt;安値!U143),14,""))</f>
        <v/>
      </c>
      <c r="O143" s="503" t="str">
        <f>IF(終値!A143="","",IF(AND(安値!T143&lt;安値!S143,安値!T143&lt;安値!R143,安値!T143&lt;安値!U143,安値!T143&lt;安値!V143),15,""))</f>
        <v/>
      </c>
      <c r="P143" s="503" t="str">
        <f>IF(終値!A143="","",IF(AND(安値!U143&lt;安値!T143,安値!U143&lt;安値!S143,安値!U143&lt;安値!V143,安値!U143&lt;安値!W143),16,""))</f>
        <v/>
      </c>
      <c r="Q143" s="503" t="str">
        <f>IF(終値!A143="","",IF(AND(安値!V143&lt;安値!U143,安値!V143&lt;安値!T143,安値!V143&lt;安値!W143,安値!V143&lt;安値!X143),17,""))</f>
        <v/>
      </c>
      <c r="R143" s="503" t="str">
        <f>IF(終値!A143="","",IF(AND(安値!W143&lt;安値!V143,安値!W143&lt;安値!U143,安値!W143&lt;安値!X143,安値!W143&lt;安値!Y143),18,""))</f>
        <v/>
      </c>
      <c r="S143" s="503" t="str">
        <f>IF(終値!A143="","",IF(AND(安値!X143&lt;安値!W143,安値!X143&lt;安値!V143,安値!X143&lt;安値!Y143,安値!X143&lt;安値!Z143),19,""))</f>
        <v/>
      </c>
      <c r="T143" s="503" t="str">
        <f>IF(終値!A143="","",IF(AND(安値!Y143&lt;安値!X143,安値!Y143&lt;安値!W143,安値!Y143&lt;安値!Z143,安値!Y143&lt;安値!AA143),20,""))</f>
        <v/>
      </c>
      <c r="U143" s="503" t="str">
        <f>IF(終値!A143="","",IF(AND(安値!Z143&lt;安値!Y143,安値!Z143&lt;安値!X143,安値!Z143&lt;安値!AA143,安値!Z143&lt;安値!AB143),21,""))</f>
        <v/>
      </c>
      <c r="V143" s="503" t="str">
        <f>IF(終値!A143="","",IF(AND(安値!AA143&lt;安値!Z143,安値!AA143&lt;安値!Y143,安値!AA143&lt;安値!AB143,安値!AA143&lt;安値!AC143),22,""))</f>
        <v/>
      </c>
      <c r="W143" s="503" t="str">
        <f>IF(終値!A143="","",IF(AND(安値!AB143&lt;安値!AA143,安値!AB143&lt;安値!Z143,安値!AB143&lt;安値!AC143,安値!AB143&lt;安値!AD143),23,""))</f>
        <v/>
      </c>
      <c r="X143" s="503" t="str">
        <f>IF(終値!A143="","",IF(AND(安値!AC143&lt;安値!AB143,安値!AC143&lt;安値!AA143,安値!AC143&lt;安値!AD143,安値!AC143&lt;安値!AE143),24,""))</f>
        <v/>
      </c>
      <c r="Y143" s="503" t="str">
        <f>IF(終値!A143="","",IF(AND(安値!AD143&lt;安値!AC143,安値!AD143&lt;安値!AB143,安値!AD143&lt;安値!AE143,安値!AD143&lt;安値!AF143),25,""))</f>
        <v/>
      </c>
      <c r="Z143" s="503" t="str">
        <f>IF(終値!A143="","",IF(AND(安値!AE143&lt;安値!AD143,安値!AE143&lt;安値!AC143,安値!AE143&lt;安値!AF143,安値!AE143&lt;安値!AG143),26,""))</f>
        <v/>
      </c>
      <c r="AA143" s="503">
        <f>IF(終値!A143="","",IF(AND(安値!AF143&lt;安値!AE143,安値!AF143&lt;安値!AD143,安値!AF143&lt;安値!AG143,安値!AF143&lt;安値!AH143),27,""))</f>
        <v>27</v>
      </c>
      <c r="AB143" s="503" t="str">
        <f>IF(終値!A143="","",IF(AND(安値!AG143&lt;安値!AF143,安値!AG143&lt;安値!AE143,安値!AG143&lt;安値!AH143,安値!AG143&lt;安値!AI143),28,""))</f>
        <v/>
      </c>
      <c r="AC143" s="503">
        <f>IF(終値!A143="","",IF(AND(高値!G143&gt;高値!F143,高値!G143&gt;高値!E143,高値!G143&gt;高値!H143,高値!G143&gt;高値!I143),2,""))</f>
        <v>2</v>
      </c>
      <c r="AD143" s="503" t="str">
        <f>IF(終値!A143="","",IF(AND(高値!H143&gt;高値!G143,高値!H143&gt;高値!F143,高値!H143&gt;高値!I143,高値!H143&gt;高値!J143),3,""))</f>
        <v/>
      </c>
      <c r="AE143" s="503" t="str">
        <f>IF(終値!A143="","",IF(AND(高値!I143&gt;高値!H143,高値!I143&gt;高値!G143,高値!I143&gt;高値!J143,高値!I143&gt;高値!K143),4,""))</f>
        <v/>
      </c>
      <c r="AF143" s="503" t="str">
        <f>IF(終値!A143="","",IF(AND(高値!J143&gt;高値!I143,高値!J143&gt;高値!H143,高値!J143&gt;高値!K143,高値!J143&gt;高値!L143),5,""))</f>
        <v/>
      </c>
      <c r="AG143" s="503" t="str">
        <f>IF(終値!A143="","",IF(AND(高値!K143&gt;高値!J143,高値!K143&gt;高値!I143,高値!K143&gt;高値!L143,高値!K143&gt;高値!M143),6,""))</f>
        <v/>
      </c>
      <c r="AH143" s="503" t="str">
        <f>IF(終値!A143="","",IF(AND(高値!L143&gt;高値!K143,高値!L143&gt;高値!J143,高値!L143&gt;高値!M143,高値!L143&gt;高値!N143),7,""))</f>
        <v/>
      </c>
      <c r="AI143" s="503" t="str">
        <f>IF(終値!A143="","",IF(AND(高値!M143&gt;高値!L143,高値!M143&gt;高値!K143,高値!M143&gt;高値!N143,高値!M143&gt;高値!O143),8,""))</f>
        <v/>
      </c>
      <c r="AJ143" s="503">
        <f>IF(終値!A143="","",IF(AND(高値!N143&gt;高値!M143,高値!N143&gt;高値!L143,高値!N143&gt;高値!O143,高値!N143&gt;高値!P143),9,""))</f>
        <v>9</v>
      </c>
      <c r="AK143" s="503" t="str">
        <f>IF(終値!A143="","",IF(AND(高値!O143&gt;高値!N143,高値!O143&gt;高値!M143,高値!O143&gt;高値!P143,高値!O143&gt;高値!Q143),10,""))</f>
        <v/>
      </c>
      <c r="AL143" s="503" t="str">
        <f>IF(終値!A143="","",IF(AND(高値!P143&gt;高値!O143,高値!P143&gt;高値!N143,高値!P143&gt;高値!Q143,高値!P143&gt;高値!R143),11,""))</f>
        <v/>
      </c>
      <c r="AM143" s="503" t="str">
        <f>IF(終値!A143="","",IF(AND(高値!Q143&gt;高値!P143,高値!Q143&gt;高値!O143,高値!Q143&gt;高値!R143,高値!Q143&gt;高値!S143),12,""))</f>
        <v/>
      </c>
      <c r="AN143" s="503" t="str">
        <f>IF(終値!A143="","",IF(AND(高値!R143&gt;高値!Q143,高値!R143&gt;高値!P143,高値!R143&gt;高値!S143,高値!R143&gt;高値!T143),13,""))</f>
        <v/>
      </c>
      <c r="AO143" s="503" t="str">
        <f>IF(終値!A143="","",IF(AND(高値!S143&gt;高値!R143,高値!S143&gt;高値!Q143,高値!S143&gt;高値!T143,高値!S143&gt;高値!U143),14,""))</f>
        <v/>
      </c>
      <c r="AP143" s="503" t="str">
        <f>IF(終値!A143="","",IF(AND(高値!T143&gt;高値!S143,高値!T143&gt;高値!R143,高値!T143&gt;高値!U143,高値!T143&gt;高値!V143),15,""))</f>
        <v/>
      </c>
      <c r="AQ143" s="503">
        <f>IF(終値!A143="","",IF(AND(高値!U143&gt;高値!T143,高値!U143&gt;高値!S143,高値!U143&gt;高値!V143,高値!U143&gt;高値!W143),16,""))</f>
        <v>16</v>
      </c>
      <c r="AR143" s="503" t="str">
        <f>IF(終値!A143="","",IF(AND(高値!V143&gt;高値!U143,高値!V143&gt;高値!T143,高値!V143&gt;高値!W143,高値!V143&gt;高値!X143),17,""))</f>
        <v/>
      </c>
      <c r="AS143" s="503" t="str">
        <f>IF(終値!A143="","",IF(AND(高値!W143&gt;高値!V143,高値!W143&gt;高値!U143,高値!W143&gt;高値!X143,高値!W143&gt;高値!Y143),18,""))</f>
        <v/>
      </c>
      <c r="AT143" s="503">
        <f>IF(終値!A143="","",IF(AND(高値!X143&gt;高値!W143,高値!X143&gt;高値!V143,高値!X143&gt;高値!Y143,高値!X143&gt;高値!Z143),19,""))</f>
        <v>19</v>
      </c>
      <c r="AU143" s="503" t="str">
        <f>IF(終値!A143="","",IF(AND(高値!Y143&gt;高値!X143,高値!Y143&gt;高値!W143,高値!Y143&gt;高値!Z143,高値!Y143&gt;高値!AA143),20,""))</f>
        <v/>
      </c>
      <c r="AV143" s="503" t="str">
        <f>IF(終値!A143="","",IF(AND(高値!Z143&gt;高値!Y143,高値!Z143&gt;高値!X143,高値!Z143&gt;高値!AA143,高値!Z143&gt;高値!AB143),21,""))</f>
        <v/>
      </c>
      <c r="AW143" s="503">
        <f>IF(終値!A143="","",IF(AND(高値!AA143&gt;高値!Z143,高値!AA143&gt;高値!Y143,高値!AA143&gt;高値!AB143,高値!AA143&gt;高値!AC143),22,""))</f>
        <v>22</v>
      </c>
      <c r="AX143" s="503" t="str">
        <f>IF(終値!A143="","",IF(AND(高値!AB143&gt;高値!AA143,高値!AB143&gt;高値!Z143,高値!AB143&gt;高値!AC143,高値!AB143&gt;高値!AD143),23,""))</f>
        <v/>
      </c>
      <c r="AY143" s="503" t="str">
        <f>IF(終値!A143="","",IF(AND(高値!AC143&gt;高値!AB143,高値!AC143&gt;高値!AA143,高値!AC143&gt;高値!AD143,高値!AC143&gt;高値!AE143),24,""))</f>
        <v/>
      </c>
      <c r="AZ143" s="503" t="str">
        <f>IF(終値!A143="","",IF(AND(高値!AD143&gt;高値!AC143,高値!AD143&gt;高値!AB143,高値!AD143&gt;高値!AE143,高値!AD143&gt;高値!AF143),25,""))</f>
        <v/>
      </c>
      <c r="BA143" s="503" t="str">
        <f>IF(終値!A143="","",IF(AND(高値!AE143&gt;高値!AD143,高値!AE143&gt;高値!AC143,高値!AE143&gt;高値!AF143,高値!AE143&gt;高値!AG143),26,""))</f>
        <v/>
      </c>
      <c r="BB143" s="503" t="str">
        <f>IF(終値!A143="","",IF(AND(高値!AF143&gt;高値!AE143,高値!AF143&gt;高値!AD143,高値!AF143&gt;高値!AG143,高値!AF143&gt;高値!AH143),27,""))</f>
        <v/>
      </c>
      <c r="BC143" s="503" t="str">
        <f>IF(終値!A143="","",IF(AND(高値!AG143&gt;高値!AF143,高値!AG143&gt;高値!AE143,高値!AG143&gt;高値!AH143,高値!AG143&gt;高値!AI143),28,""))</f>
        <v/>
      </c>
      <c r="BD143" s="503">
        <f t="shared" si="12"/>
        <v>4</v>
      </c>
      <c r="BE143" s="503">
        <f t="shared" si="13"/>
        <v>3</v>
      </c>
      <c r="BF143" s="503">
        <f t="shared" si="14"/>
        <v>7</v>
      </c>
      <c r="BG143" s="503">
        <f>IF($BE143="","",INDEX(安値!$E143:$CZ143,1,$BE143+1))</f>
        <v>1454</v>
      </c>
      <c r="BH143" s="503">
        <f>IF($BF143="","",INDEX(安値!$E143:$CZ143,1,$BF143+1))</f>
        <v>1422</v>
      </c>
      <c r="BI143" s="503">
        <f>IF($BF143="","",MAX(INDEX(高値!$E143:$CZ143,1,$BE143+1):INDEX(高値!$E143:$CZ143,1,$BF143+1)))</f>
        <v>1667</v>
      </c>
      <c r="BJ143" s="503">
        <f>IF($BF143="","",AVERAGE(INDEX(終値!$E143:$CZ143,1,$BF143+1):INDEX(終値!$E143:$CZ143,1,$BF143+20))-2*STDEVP(INDEX(終値!$E143:$CZ143,1,$BF143+1):INDEX(終値!$E143:$CZ143,1,$BF143+20)))</f>
        <v>1061.5621508010204</v>
      </c>
      <c r="BK143" s="503">
        <f>IF($BE143="","",AVERAGE(INDEX(終値!$E143:$CZ143,1,$BE143+1):INDEX(終値!$E143:$CZ143,1,$BE143+20))-2*STDEVP(INDEX(終値!$E143:$CZ143,1,$BE143+1):INDEX(終値!$E143:$CZ143,1,$BE143+20)))</f>
        <v>1176.8122021372994</v>
      </c>
      <c r="BL143" s="503">
        <f t="shared" si="15"/>
        <v>5</v>
      </c>
      <c r="BM143" s="503">
        <f t="shared" si="16"/>
        <v>2</v>
      </c>
      <c r="BN143" s="503">
        <f t="shared" si="17"/>
        <v>9</v>
      </c>
      <c r="BO143" s="503">
        <f>IF($BM143="","",INDEX(高値!$E143:$CZ143,1,$BM143+1))</f>
        <v>1793</v>
      </c>
      <c r="BP143" s="503">
        <f>IF($BN143="","",INDEX(高値!$E143:$CZ143,1,$BN143+1))</f>
        <v>1874</v>
      </c>
      <c r="BQ143" s="503">
        <f>IF($BN143="","",MIN(INDEX(安値!$E143:$CZ143,1,$BM143+1):INDEX(安値!$E143:$CZ143,1,$BN143+1)))</f>
        <v>1422</v>
      </c>
      <c r="BR143" s="503">
        <f>IF($BN143="","",AVERAGE(INDEX(終値!$E143:$CZ143,1,$BN143+1):INDEX(終値!$E143:$CZ143,1,$BN143+20))+2*STDEVP(INDEX(終値!$E143:$CZ143,1,$BN143+1):INDEX(終値!$E143:$CZ143,1,$BN143+20)))</f>
        <v>2421.9618390902669</v>
      </c>
      <c r="BS143" s="503">
        <f>IF($BM143="","",AVERAGE(INDEX(終値!$E143:$CZ143,1,$BM143+1):INDEX(終値!$E143:$CZ143,1,$BM143+20))+2*STDEVP(INDEX(終値!$E143:$CZ143,1,$BM143+1):INDEX(終値!$E143:$CZ143,1,$BM143+20)))</f>
        <v>2258.8146752215998</v>
      </c>
      <c r="BT143" s="500"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二番底W形成</v>
      </c>
    </row>
    <row r="144" spans="2:72">
      <c r="B144" s="503" t="str">
        <f>IF(終値!A144="","",IF(AND(安値!G144&lt;安値!F144,安値!G144&lt;安値!E144,安値!G144&lt;安値!H144,安値!G144&lt;安値!I144),2,""))</f>
        <v/>
      </c>
      <c r="C144" s="503" t="str">
        <f>IF(終値!A144="","",IF(AND(安値!H144&lt;安値!G144,安値!H144&lt;安値!F144,安値!H144&lt;安値!I144,安値!H144&lt;安値!J144),3,""))</f>
        <v/>
      </c>
      <c r="D144" s="503" t="str">
        <f>IF(終値!A144="","",IF(AND(安値!I144&lt;安値!H144,安値!I144&lt;安値!G144,安値!I144&lt;安値!J144,安値!I144&lt;安値!K144),4,""))</f>
        <v/>
      </c>
      <c r="E144" s="503" t="str">
        <f>IF(終値!A144="","",IF(AND(安値!J144&lt;安値!I144,安値!J144&lt;安値!H144,安値!J144&lt;安値!K144,安値!J144&lt;安値!L144),5,""))</f>
        <v/>
      </c>
      <c r="F144" s="503">
        <f>IF(終値!A144="","",IF(AND(安値!K144&lt;安値!J144,安値!K144&lt;安値!I144,安値!K144&lt;安値!L144,安値!K144&lt;安値!M144),6,""))</f>
        <v>6</v>
      </c>
      <c r="G144" s="503" t="str">
        <f>IF(終値!A144="","",IF(AND(安値!L144&lt;安値!K144,安値!L144&lt;安値!J144,安値!L144&lt;安値!M144,安値!L144&lt;安値!N144),7,""))</f>
        <v/>
      </c>
      <c r="H144" s="503" t="str">
        <f>IF(終値!A144="","",IF(AND(安値!M144&lt;安値!L144,安値!M144&lt;安値!K144,安値!M144&lt;安値!N144,安値!M144&lt;安値!O144),8,""))</f>
        <v/>
      </c>
      <c r="I144" s="503">
        <f>IF(終値!A144="","",IF(AND(安値!N144&lt;安値!M144,安値!N144&lt;安値!L144,安値!N144&lt;安値!O144,安値!N144&lt;安値!P144),9,""))</f>
        <v>9</v>
      </c>
      <c r="J144" s="503" t="str">
        <f>IF(終値!A144="","",IF(AND(安値!O144&lt;安値!N144,安値!O144&lt;安値!M144,安値!O144&lt;安値!P144,安値!O144&lt;安値!Q144),10,""))</f>
        <v/>
      </c>
      <c r="K144" s="503" t="str">
        <f>IF(終値!A144="","",IF(AND(安値!P144&lt;安値!O144,安値!P144&lt;安値!N144,安値!P144&lt;安値!Q144,安値!P144&lt;安値!R144),11,""))</f>
        <v/>
      </c>
      <c r="L144" s="503" t="str">
        <f>IF(終値!A144="","",IF(AND(安値!Q144&lt;安値!P144,安値!Q144&lt;安値!O144,安値!Q144&lt;安値!R144,安値!Q144&lt;安値!S144),12,""))</f>
        <v/>
      </c>
      <c r="M144" s="503" t="str">
        <f>IF(終値!A144="","",IF(AND(安値!R144&lt;安値!Q144,安値!R144&lt;安値!P144,安値!R144&lt;安値!S144,安値!R144&lt;安値!T144),13,""))</f>
        <v/>
      </c>
      <c r="N144" s="503" t="str">
        <f>IF(終値!A144="","",IF(AND(安値!S144&lt;安値!R144,安値!S144&lt;安値!Q144,安値!S144&lt;安値!T144,安値!S144&lt;安値!U144),14,""))</f>
        <v/>
      </c>
      <c r="O144" s="503" t="str">
        <f>IF(終値!A144="","",IF(AND(安値!T144&lt;安値!S144,安値!T144&lt;安値!R144,安値!T144&lt;安値!U144,安値!T144&lt;安値!V144),15,""))</f>
        <v/>
      </c>
      <c r="P144" s="503" t="str">
        <f>IF(終値!A144="","",IF(AND(安値!U144&lt;安値!T144,安値!U144&lt;安値!S144,安値!U144&lt;安値!V144,安値!U144&lt;安値!W144),16,""))</f>
        <v/>
      </c>
      <c r="Q144" s="503" t="str">
        <f>IF(終値!A144="","",IF(AND(安値!V144&lt;安値!U144,安値!V144&lt;安値!T144,安値!V144&lt;安値!W144,安値!V144&lt;安値!X144),17,""))</f>
        <v/>
      </c>
      <c r="R144" s="503" t="str">
        <f>IF(終値!A144="","",IF(AND(安値!W144&lt;安値!V144,安値!W144&lt;安値!U144,安値!W144&lt;安値!X144,安値!W144&lt;安値!Y144),18,""))</f>
        <v/>
      </c>
      <c r="S144" s="503">
        <f>IF(終値!A144="","",IF(AND(安値!X144&lt;安値!W144,安値!X144&lt;安値!V144,安値!X144&lt;安値!Y144,安値!X144&lt;安値!Z144),19,""))</f>
        <v>19</v>
      </c>
      <c r="T144" s="503" t="str">
        <f>IF(終値!A144="","",IF(AND(安値!Y144&lt;安値!X144,安値!Y144&lt;安値!W144,安値!Y144&lt;安値!Z144,安値!Y144&lt;安値!AA144),20,""))</f>
        <v/>
      </c>
      <c r="U144" s="503" t="str">
        <f>IF(終値!A144="","",IF(AND(安値!Z144&lt;安値!Y144,安値!Z144&lt;安値!X144,安値!Z144&lt;安値!AA144,安値!Z144&lt;安値!AB144),21,""))</f>
        <v/>
      </c>
      <c r="V144" s="503" t="str">
        <f>IF(終値!A144="","",IF(AND(安値!AA144&lt;安値!Z144,安値!AA144&lt;安値!Y144,安値!AA144&lt;安値!AB144,安値!AA144&lt;安値!AC144),22,""))</f>
        <v/>
      </c>
      <c r="W144" s="503" t="str">
        <f>IF(終値!A144="","",IF(AND(安値!AB144&lt;安値!AA144,安値!AB144&lt;安値!Z144,安値!AB144&lt;安値!AC144,安値!AB144&lt;安値!AD144),23,""))</f>
        <v/>
      </c>
      <c r="X144" s="503" t="str">
        <f>IF(終値!A144="","",IF(AND(安値!AC144&lt;安値!AB144,安値!AC144&lt;安値!AA144,安値!AC144&lt;安値!AD144,安値!AC144&lt;安値!AE144),24,""))</f>
        <v/>
      </c>
      <c r="Y144" s="503" t="str">
        <f>IF(終値!A144="","",IF(AND(安値!AD144&lt;安値!AC144,安値!AD144&lt;安値!AB144,安値!AD144&lt;安値!AE144,安値!AD144&lt;安値!AF144),25,""))</f>
        <v/>
      </c>
      <c r="Z144" s="503">
        <f>IF(終値!A144="","",IF(AND(安値!AE144&lt;安値!AD144,安値!AE144&lt;安値!AC144,安値!AE144&lt;安値!AF144,安値!AE144&lt;安値!AG144),26,""))</f>
        <v>26</v>
      </c>
      <c r="AA144" s="503" t="str">
        <f>IF(終値!A144="","",IF(AND(安値!AF144&lt;安値!AE144,安値!AF144&lt;安値!AD144,安値!AF144&lt;安値!AG144,安値!AF144&lt;安値!AH144),27,""))</f>
        <v/>
      </c>
      <c r="AB144" s="503" t="str">
        <f>IF(終値!A144="","",IF(AND(安値!AG144&lt;安値!AF144,安値!AG144&lt;安値!AE144,安値!AG144&lt;安値!AH144,安値!AG144&lt;安値!AI144),28,""))</f>
        <v/>
      </c>
      <c r="AC144" s="503" t="str">
        <f>IF(終値!A144="","",IF(AND(高値!G144&gt;高値!F144,高値!G144&gt;高値!E144,高値!G144&gt;高値!H144,高値!G144&gt;高値!I144),2,""))</f>
        <v/>
      </c>
      <c r="AD144" s="503" t="str">
        <f>IF(終値!A144="","",IF(AND(高値!H144&gt;高値!G144,高値!H144&gt;高値!F144,高値!H144&gt;高値!I144,高値!H144&gt;高値!J144),3,""))</f>
        <v/>
      </c>
      <c r="AE144" s="503" t="str">
        <f>IF(終値!A144="","",IF(AND(高値!I144&gt;高値!H144,高値!I144&gt;高値!G144,高値!I144&gt;高値!J144,高値!I144&gt;高値!K144),4,""))</f>
        <v/>
      </c>
      <c r="AF144" s="503" t="str">
        <f>IF(終値!A144="","",IF(AND(高値!J144&gt;高値!I144,高値!J144&gt;高値!H144,高値!J144&gt;高値!K144,高値!J144&gt;高値!L144),5,""))</f>
        <v/>
      </c>
      <c r="AG144" s="503" t="str">
        <f>IF(終値!A144="","",IF(AND(高値!K144&gt;高値!J144,高値!K144&gt;高値!I144,高値!K144&gt;高値!L144,高値!K144&gt;高値!M144),6,""))</f>
        <v/>
      </c>
      <c r="AH144" s="503" t="str">
        <f>IF(終値!A144="","",IF(AND(高値!L144&gt;高値!K144,高値!L144&gt;高値!J144,高値!L144&gt;高値!M144,高値!L144&gt;高値!N144),7,""))</f>
        <v/>
      </c>
      <c r="AI144" s="503" t="str">
        <f>IF(終値!A144="","",IF(AND(高値!M144&gt;高値!L144,高値!M144&gt;高値!K144,高値!M144&gt;高値!N144,高値!M144&gt;高値!O144),8,""))</f>
        <v/>
      </c>
      <c r="AJ144" s="503" t="str">
        <f>IF(終値!A144="","",IF(AND(高値!N144&gt;高値!M144,高値!N144&gt;高値!L144,高値!N144&gt;高値!O144,高値!N144&gt;高値!P144),9,""))</f>
        <v/>
      </c>
      <c r="AK144" s="503" t="str">
        <f>IF(終値!A144="","",IF(AND(高値!O144&gt;高値!N144,高値!O144&gt;高値!M144,高値!O144&gt;高値!P144,高値!O144&gt;高値!Q144),10,""))</f>
        <v/>
      </c>
      <c r="AL144" s="503">
        <f>IF(終値!A144="","",IF(AND(高値!P144&gt;高値!O144,高値!P144&gt;高値!N144,高値!P144&gt;高値!Q144,高値!P144&gt;高値!R144),11,""))</f>
        <v>11</v>
      </c>
      <c r="AM144" s="503" t="str">
        <f>IF(終値!A144="","",IF(AND(高値!Q144&gt;高値!P144,高値!Q144&gt;高値!O144,高値!Q144&gt;高値!R144,高値!Q144&gt;高値!S144),12,""))</f>
        <v/>
      </c>
      <c r="AN144" s="503" t="str">
        <f>IF(終値!A144="","",IF(AND(高値!R144&gt;高値!Q144,高値!R144&gt;高値!P144,高値!R144&gt;高値!S144,高値!R144&gt;高値!T144),13,""))</f>
        <v/>
      </c>
      <c r="AO144" s="503">
        <f>IF(終値!A144="","",IF(AND(高値!S144&gt;高値!R144,高値!S144&gt;高値!Q144,高値!S144&gt;高値!T144,高値!S144&gt;高値!U144),14,""))</f>
        <v>14</v>
      </c>
      <c r="AP144" s="503" t="str">
        <f>IF(終値!A144="","",IF(AND(高値!T144&gt;高値!S144,高値!T144&gt;高値!R144,高値!T144&gt;高値!U144,高値!T144&gt;高値!V144),15,""))</f>
        <v/>
      </c>
      <c r="AQ144" s="503" t="str">
        <f>IF(終値!A144="","",IF(AND(高値!U144&gt;高値!T144,高値!U144&gt;高値!S144,高値!U144&gt;高値!V144,高値!U144&gt;高値!W144),16,""))</f>
        <v/>
      </c>
      <c r="AR144" s="503">
        <f>IF(終値!A144="","",IF(AND(高値!V144&gt;高値!U144,高値!V144&gt;高値!T144,高値!V144&gt;高値!W144,高値!V144&gt;高値!X144),17,""))</f>
        <v>17</v>
      </c>
      <c r="AS144" s="503" t="str">
        <f>IF(終値!A144="","",IF(AND(高値!W144&gt;高値!V144,高値!W144&gt;高値!U144,高値!W144&gt;高値!X144,高値!W144&gt;高値!Y144),18,""))</f>
        <v/>
      </c>
      <c r="AT144" s="503" t="str">
        <f>IF(終値!A144="","",IF(AND(高値!X144&gt;高値!W144,高値!X144&gt;高値!V144,高値!X144&gt;高値!Y144,高値!X144&gt;高値!Z144),19,""))</f>
        <v/>
      </c>
      <c r="AU144" s="503" t="str">
        <f>IF(終値!A144="","",IF(AND(高値!Y144&gt;高値!X144,高値!Y144&gt;高値!W144,高値!Y144&gt;高値!Z144,高値!Y144&gt;高値!AA144),20,""))</f>
        <v/>
      </c>
      <c r="AV144" s="503" t="str">
        <f>IF(終値!A144="","",IF(AND(高値!Z144&gt;高値!Y144,高値!Z144&gt;高値!X144,高値!Z144&gt;高値!AA144,高値!Z144&gt;高値!AB144),21,""))</f>
        <v/>
      </c>
      <c r="AW144" s="503" t="str">
        <f>IF(終値!A144="","",IF(AND(高値!AA144&gt;高値!Z144,高値!AA144&gt;高値!Y144,高値!AA144&gt;高値!AB144,高値!AA144&gt;高値!AC144),22,""))</f>
        <v/>
      </c>
      <c r="AX144" s="503" t="str">
        <f>IF(終値!A144="","",IF(AND(高値!AB144&gt;高値!AA144,高値!AB144&gt;高値!Z144,高値!AB144&gt;高値!AC144,高値!AB144&gt;高値!AD144),23,""))</f>
        <v/>
      </c>
      <c r="AY144" s="503">
        <f>IF(終値!A144="","",IF(AND(高値!AC144&gt;高値!AB144,高値!AC144&gt;高値!AA144,高値!AC144&gt;高値!AD144,高値!AC144&gt;高値!AE144),24,""))</f>
        <v>24</v>
      </c>
      <c r="AZ144" s="503" t="str">
        <f>IF(終値!A144="","",IF(AND(高値!AD144&gt;高値!AC144,高値!AD144&gt;高値!AB144,高値!AD144&gt;高値!AE144,高値!AD144&gt;高値!AF144),25,""))</f>
        <v/>
      </c>
      <c r="BA144" s="503" t="str">
        <f>IF(終値!A144="","",IF(AND(高値!AE144&gt;高値!AD144,高値!AE144&gt;高値!AC144,高値!AE144&gt;高値!AF144,高値!AE144&gt;高値!AG144),26,""))</f>
        <v/>
      </c>
      <c r="BB144" s="503" t="str">
        <f>IF(終値!A144="","",IF(AND(高値!AF144&gt;高値!AE144,高値!AF144&gt;高値!AD144,高値!AF144&gt;高値!AG144,高値!AF144&gt;高値!AH144),27,""))</f>
        <v/>
      </c>
      <c r="BC144" s="503" t="str">
        <f>IF(終値!A144="","",IF(AND(高値!AG144&gt;高値!AF144,高値!AG144&gt;高値!AE144,高値!AG144&gt;高値!AH144,高値!AG144&gt;高値!AI144),28,""))</f>
        <v/>
      </c>
      <c r="BD144" s="503">
        <f t="shared" si="12"/>
        <v>4</v>
      </c>
      <c r="BE144" s="503">
        <f t="shared" si="13"/>
        <v>6</v>
      </c>
      <c r="BF144" s="503">
        <f t="shared" si="14"/>
        <v>9</v>
      </c>
      <c r="BG144" s="503">
        <f>IF($BE144="","",INDEX(安値!$E144:$CZ144,1,$BE144+1))</f>
        <v>14830</v>
      </c>
      <c r="BH144" s="503">
        <f>IF($BF144="","",INDEX(安値!$E144:$CZ144,1,$BF144+1))</f>
        <v>0</v>
      </c>
      <c r="BI144" s="503">
        <f>IF($BF144="","",MAX(INDEX(高値!$E144:$CZ144,1,$BE144+1):INDEX(高値!$E144:$CZ144,1,$BF144+1)))</f>
        <v>19000</v>
      </c>
      <c r="BJ144" s="503">
        <f>IF($BF144="","",AVERAGE(INDEX(終値!$E144:$CZ144,1,$BF144+1):INDEX(終値!$E144:$CZ144,1,$BF144+20))-2*STDEVP(INDEX(終値!$E144:$CZ144,1,$BF144+1):INDEX(終値!$E144:$CZ144,1,$BF144+20)))</f>
        <v>16378.31237963845</v>
      </c>
      <c r="BK144" s="503">
        <f>IF($BE144="","",AVERAGE(INDEX(終値!$E144:$CZ144,1,$BE144+1):INDEX(終値!$E144:$CZ144,1,$BE144+20))-2*STDEVP(INDEX(終値!$E144:$CZ144,1,$BE144+1):INDEX(終値!$E144:$CZ144,1,$BE144+20)))</f>
        <v>15159.787787842288</v>
      </c>
      <c r="BL144" s="503">
        <f t="shared" si="15"/>
        <v>4</v>
      </c>
      <c r="BM144" s="503">
        <f t="shared" si="16"/>
        <v>11</v>
      </c>
      <c r="BN144" s="503">
        <f t="shared" si="17"/>
        <v>14</v>
      </c>
      <c r="BO144" s="503">
        <f>IF($BM144="","",INDEX(高値!$E144:$CZ144,1,$BM144+1))</f>
        <v>20420</v>
      </c>
      <c r="BP144" s="503">
        <f>IF($BN144="","",INDEX(高値!$E144:$CZ144,1,$BN144+1))</f>
        <v>22210</v>
      </c>
      <c r="BQ144" s="503">
        <f>IF($BN144="","",MIN(INDEX(安値!$E144:$CZ144,1,$BM144+1):INDEX(安値!$E144:$CZ144,1,$BN144+1)))</f>
        <v>17680</v>
      </c>
      <c r="BR144" s="503">
        <f>IF($BN144="","",AVERAGE(INDEX(終値!$E144:$CZ144,1,$BN144+1):INDEX(終値!$E144:$CZ144,1,$BN144+20))+2*STDEVP(INDEX(終値!$E144:$CZ144,1,$BN144+1):INDEX(終値!$E144:$CZ144,1,$BN144+20)))</f>
        <v>30927.340146388287</v>
      </c>
      <c r="BS144" s="503">
        <f>IF($BM144="","",AVERAGE(INDEX(終値!$E144:$CZ144,1,$BM144+1):INDEX(終値!$E144:$CZ144,1,$BM144+20))+2*STDEVP(INDEX(終値!$E144:$CZ144,1,$BM144+1):INDEX(終値!$E144:$CZ144,1,$BM144+20)))</f>
        <v>29495.664771039432</v>
      </c>
      <c r="BT144" s="500"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3" t="str">
        <f>IF(終値!A145="","",IF(AND(安値!G145&lt;安値!F145,安値!G145&lt;安値!E145,安値!G145&lt;安値!H145,安値!G145&lt;安値!I145),2,""))</f>
        <v/>
      </c>
      <c r="C145" s="503" t="str">
        <f>IF(終値!A145="","",IF(AND(安値!H145&lt;安値!G145,安値!H145&lt;安値!F145,安値!H145&lt;安値!I145,安値!H145&lt;安値!J145),3,""))</f>
        <v/>
      </c>
      <c r="D145" s="503" t="str">
        <f>IF(終値!A145="","",IF(AND(安値!I145&lt;安値!H145,安値!I145&lt;安値!G145,安値!I145&lt;安値!J145,安値!I145&lt;安値!K145),4,""))</f>
        <v/>
      </c>
      <c r="E145" s="503" t="str">
        <f>IF(終値!A145="","",IF(AND(安値!J145&lt;安値!I145,安値!J145&lt;安値!H145,安値!J145&lt;安値!K145,安値!J145&lt;安値!L145),5,""))</f>
        <v/>
      </c>
      <c r="F145" s="503">
        <f>IF(終値!A145="","",IF(AND(安値!K145&lt;安値!J145,安値!K145&lt;安値!I145,安値!K145&lt;安値!L145,安値!K145&lt;安値!M145),6,""))</f>
        <v>6</v>
      </c>
      <c r="G145" s="503" t="str">
        <f>IF(終値!A145="","",IF(AND(安値!L145&lt;安値!K145,安値!L145&lt;安値!J145,安値!L145&lt;安値!M145,安値!L145&lt;安値!N145),7,""))</f>
        <v/>
      </c>
      <c r="H145" s="503" t="str">
        <f>IF(終値!A145="","",IF(AND(安値!M145&lt;安値!L145,安値!M145&lt;安値!K145,安値!M145&lt;安値!N145,安値!M145&lt;安値!O145),8,""))</f>
        <v/>
      </c>
      <c r="I145" s="503" t="str">
        <f>IF(終値!A145="","",IF(AND(安値!N145&lt;安値!M145,安値!N145&lt;安値!L145,安値!N145&lt;安値!O145,安値!N145&lt;安値!P145),9,""))</f>
        <v/>
      </c>
      <c r="J145" s="503" t="str">
        <f>IF(終値!A145="","",IF(AND(安値!O145&lt;安値!N145,安値!O145&lt;安値!M145,安値!O145&lt;安値!P145,安値!O145&lt;安値!Q145),10,""))</f>
        <v/>
      </c>
      <c r="K145" s="503" t="str">
        <f>IF(終値!A145="","",IF(AND(安値!P145&lt;安値!O145,安値!P145&lt;安値!N145,安値!P145&lt;安値!Q145,安値!P145&lt;安値!R145),11,""))</f>
        <v/>
      </c>
      <c r="L145" s="503" t="str">
        <f>IF(終値!A145="","",IF(AND(安値!Q145&lt;安値!P145,安値!Q145&lt;安値!O145,安値!Q145&lt;安値!R145,安値!Q145&lt;安値!S145),12,""))</f>
        <v/>
      </c>
      <c r="M145" s="503">
        <f>IF(終値!A145="","",IF(AND(安値!R145&lt;安値!Q145,安値!R145&lt;安値!P145,安値!R145&lt;安値!S145,安値!R145&lt;安値!T145),13,""))</f>
        <v>13</v>
      </c>
      <c r="N145" s="503" t="str">
        <f>IF(終値!A145="","",IF(AND(安値!S145&lt;安値!R145,安値!S145&lt;安値!Q145,安値!S145&lt;安値!T145,安値!S145&lt;安値!U145),14,""))</f>
        <v/>
      </c>
      <c r="O145" s="503" t="str">
        <f>IF(終値!A145="","",IF(AND(安値!T145&lt;安値!S145,安値!T145&lt;安値!R145,安値!T145&lt;安値!U145,安値!T145&lt;安値!V145),15,""))</f>
        <v/>
      </c>
      <c r="P145" s="503" t="str">
        <f>IF(終値!A145="","",IF(AND(安値!U145&lt;安値!T145,安値!U145&lt;安値!S145,安値!U145&lt;安値!V145,安値!U145&lt;安値!W145),16,""))</f>
        <v/>
      </c>
      <c r="Q145" s="503" t="str">
        <f>IF(終値!A145="","",IF(AND(安値!V145&lt;安値!U145,安値!V145&lt;安値!T145,安値!V145&lt;安値!W145,安値!V145&lt;安値!X145),17,""))</f>
        <v/>
      </c>
      <c r="R145" s="503" t="str">
        <f>IF(終値!A145="","",IF(AND(安値!W145&lt;安値!V145,安値!W145&lt;安値!U145,安値!W145&lt;安値!X145,安値!W145&lt;安値!Y145),18,""))</f>
        <v/>
      </c>
      <c r="S145" s="503">
        <f>IF(終値!A145="","",IF(AND(安値!X145&lt;安値!W145,安値!X145&lt;安値!V145,安値!X145&lt;安値!Y145,安値!X145&lt;安値!Z145),19,""))</f>
        <v>19</v>
      </c>
      <c r="T145" s="503" t="str">
        <f>IF(終値!A145="","",IF(AND(安値!Y145&lt;安値!X145,安値!Y145&lt;安値!W145,安値!Y145&lt;安値!Z145,安値!Y145&lt;安値!AA145),20,""))</f>
        <v/>
      </c>
      <c r="U145" s="503" t="str">
        <f>IF(終値!A145="","",IF(AND(安値!Z145&lt;安値!Y145,安値!Z145&lt;安値!X145,安値!Z145&lt;安値!AA145,安値!Z145&lt;安値!AB145),21,""))</f>
        <v/>
      </c>
      <c r="V145" s="503" t="str">
        <f>IF(終値!A145="","",IF(AND(安値!AA145&lt;安値!Z145,安値!AA145&lt;安値!Y145,安値!AA145&lt;安値!AB145,安値!AA145&lt;安値!AC145),22,""))</f>
        <v/>
      </c>
      <c r="W145" s="503" t="str">
        <f>IF(終値!A145="","",IF(AND(安値!AB145&lt;安値!AA145,安値!AB145&lt;安値!Z145,安値!AB145&lt;安値!AC145,安値!AB145&lt;安値!AD145),23,""))</f>
        <v/>
      </c>
      <c r="X145" s="503" t="str">
        <f>IF(終値!A145="","",IF(AND(安値!AC145&lt;安値!AB145,安値!AC145&lt;安値!AA145,安値!AC145&lt;安値!AD145,安値!AC145&lt;安値!AE145),24,""))</f>
        <v/>
      </c>
      <c r="Y145" s="503" t="str">
        <f>IF(終値!A145="","",IF(AND(安値!AD145&lt;安値!AC145,安値!AD145&lt;安値!AB145,安値!AD145&lt;安値!AE145,安値!AD145&lt;安値!AF145),25,""))</f>
        <v/>
      </c>
      <c r="Z145" s="503" t="str">
        <f>IF(終値!A145="","",IF(AND(安値!AE145&lt;安値!AD145,安値!AE145&lt;安値!AC145,安値!AE145&lt;安値!AF145,安値!AE145&lt;安値!AG145),26,""))</f>
        <v/>
      </c>
      <c r="AA145" s="503">
        <f>IF(終値!A145="","",IF(AND(安値!AF145&lt;安値!AE145,安値!AF145&lt;安値!AD145,安値!AF145&lt;安値!AG145,安値!AF145&lt;安値!AH145),27,""))</f>
        <v>27</v>
      </c>
      <c r="AB145" s="503" t="str">
        <f>IF(終値!A145="","",IF(AND(安値!AG145&lt;安値!AF145,安値!AG145&lt;安値!AE145,安値!AG145&lt;安値!AH145,安値!AG145&lt;安値!AI145),28,""))</f>
        <v/>
      </c>
      <c r="AC145" s="503" t="str">
        <f>IF(終値!A145="","",IF(AND(高値!G145&gt;高値!F145,高値!G145&gt;高値!E145,高値!G145&gt;高値!H145,高値!G145&gt;高値!I145),2,""))</f>
        <v/>
      </c>
      <c r="AD145" s="503" t="str">
        <f>IF(終値!A145="","",IF(AND(高値!H145&gt;高値!G145,高値!H145&gt;高値!F145,高値!H145&gt;高値!I145,高値!H145&gt;高値!J145),3,""))</f>
        <v/>
      </c>
      <c r="AE145" s="503" t="str">
        <f>IF(終値!A145="","",IF(AND(高値!I145&gt;高値!H145,高値!I145&gt;高値!G145,高値!I145&gt;高値!J145,高値!I145&gt;高値!K145),4,""))</f>
        <v/>
      </c>
      <c r="AF145" s="503" t="str">
        <f>IF(終値!A145="","",IF(AND(高値!J145&gt;高値!I145,高値!J145&gt;高値!H145,高値!J145&gt;高値!K145,高値!J145&gt;高値!L145),5,""))</f>
        <v/>
      </c>
      <c r="AG145" s="503" t="str">
        <f>IF(終値!A145="","",IF(AND(高値!K145&gt;高値!J145,高値!K145&gt;高値!I145,高値!K145&gt;高値!L145,高値!K145&gt;高値!M145),6,""))</f>
        <v/>
      </c>
      <c r="AH145" s="503" t="str">
        <f>IF(終値!A145="","",IF(AND(高値!L145&gt;高値!K145,高値!L145&gt;高値!J145,高値!L145&gt;高値!M145,高値!L145&gt;高値!N145),7,""))</f>
        <v/>
      </c>
      <c r="AI145" s="503" t="str">
        <f>IF(終値!A145="","",IF(AND(高値!M145&gt;高値!L145,高値!M145&gt;高値!K145,高値!M145&gt;高値!N145,高値!M145&gt;高値!O145),8,""))</f>
        <v/>
      </c>
      <c r="AJ145" s="503" t="str">
        <f>IF(終値!A145="","",IF(AND(高値!N145&gt;高値!M145,高値!N145&gt;高値!L145,高値!N145&gt;高値!O145,高値!N145&gt;高値!P145),9,""))</f>
        <v/>
      </c>
      <c r="AK145" s="503" t="str">
        <f>IF(終値!A145="","",IF(AND(高値!O145&gt;高値!N145,高値!O145&gt;高値!M145,高値!O145&gt;高値!P145,高値!O145&gt;高値!Q145),10,""))</f>
        <v/>
      </c>
      <c r="AL145" s="503">
        <f>IF(終値!A145="","",IF(AND(高値!P145&gt;高値!O145,高値!P145&gt;高値!N145,高値!P145&gt;高値!Q145,高値!P145&gt;高値!R145),11,""))</f>
        <v>11</v>
      </c>
      <c r="AM145" s="503" t="str">
        <f>IF(終値!A145="","",IF(AND(高値!Q145&gt;高値!P145,高値!Q145&gt;高値!O145,高値!Q145&gt;高値!R145,高値!Q145&gt;高値!S145),12,""))</f>
        <v/>
      </c>
      <c r="AN145" s="503" t="str">
        <f>IF(終値!A145="","",IF(AND(高値!R145&gt;高値!Q145,高値!R145&gt;高値!P145,高値!R145&gt;高値!S145,高値!R145&gt;高値!T145),13,""))</f>
        <v/>
      </c>
      <c r="AO145" s="503" t="str">
        <f>IF(終値!A145="","",IF(AND(高値!S145&gt;高値!R145,高値!S145&gt;高値!Q145,高値!S145&gt;高値!T145,高値!S145&gt;高値!U145),14,""))</f>
        <v/>
      </c>
      <c r="AP145" s="503" t="str">
        <f>IF(終値!A145="","",IF(AND(高値!T145&gt;高値!S145,高値!T145&gt;高値!R145,高値!T145&gt;高値!U145,高値!T145&gt;高値!V145),15,""))</f>
        <v/>
      </c>
      <c r="AQ145" s="503">
        <f>IF(終値!A145="","",IF(AND(高値!U145&gt;高値!T145,高値!U145&gt;高値!S145,高値!U145&gt;高値!V145,高値!U145&gt;高値!W145),16,""))</f>
        <v>16</v>
      </c>
      <c r="AR145" s="503" t="str">
        <f>IF(終値!A145="","",IF(AND(高値!V145&gt;高値!U145,高値!V145&gt;高値!T145,高値!V145&gt;高値!W145,高値!V145&gt;高値!X145),17,""))</f>
        <v/>
      </c>
      <c r="AS145" s="503" t="str">
        <f>IF(終値!A145="","",IF(AND(高値!W145&gt;高値!V145,高値!W145&gt;高値!U145,高値!W145&gt;高値!X145,高値!W145&gt;高値!Y145),18,""))</f>
        <v/>
      </c>
      <c r="AT145" s="503" t="str">
        <f>IF(終値!A145="","",IF(AND(高値!X145&gt;高値!W145,高値!X145&gt;高値!V145,高値!X145&gt;高値!Y145,高値!X145&gt;高値!Z145),19,""))</f>
        <v/>
      </c>
      <c r="AU145" s="503" t="str">
        <f>IF(終値!A145="","",IF(AND(高値!Y145&gt;高値!X145,高値!Y145&gt;高値!W145,高値!Y145&gt;高値!Z145,高値!Y145&gt;高値!AA145),20,""))</f>
        <v/>
      </c>
      <c r="AV145" s="503" t="str">
        <f>IF(終値!A145="","",IF(AND(高値!Z145&gt;高値!Y145,高値!Z145&gt;高値!X145,高値!Z145&gt;高値!AA145,高値!Z145&gt;高値!AB145),21,""))</f>
        <v/>
      </c>
      <c r="AW145" s="503" t="str">
        <f>IF(終値!A145="","",IF(AND(高値!AA145&gt;高値!Z145,高値!AA145&gt;高値!Y145,高値!AA145&gt;高値!AB145,高値!AA145&gt;高値!AC145),22,""))</f>
        <v/>
      </c>
      <c r="AX145" s="503" t="str">
        <f>IF(終値!A145="","",IF(AND(高値!AB145&gt;高値!AA145,高値!AB145&gt;高値!Z145,高値!AB145&gt;高値!AC145,高値!AB145&gt;高値!AD145),23,""))</f>
        <v/>
      </c>
      <c r="AY145" s="503" t="str">
        <f>IF(終値!A145="","",IF(AND(高値!AC145&gt;高値!AB145,高値!AC145&gt;高値!AA145,高値!AC145&gt;高値!AD145,高値!AC145&gt;高値!AE145),24,""))</f>
        <v/>
      </c>
      <c r="AZ145" s="503">
        <f>IF(終値!A145="","",IF(AND(高値!AD145&gt;高値!AC145,高値!AD145&gt;高値!AB145,高値!AD145&gt;高値!AE145,高値!AD145&gt;高値!AF145),25,""))</f>
        <v>25</v>
      </c>
      <c r="BA145" s="503" t="str">
        <f>IF(終値!A145="","",IF(AND(高値!AE145&gt;高値!AD145,高値!AE145&gt;高値!AC145,高値!AE145&gt;高値!AF145,高値!AE145&gt;高値!AG145),26,""))</f>
        <v/>
      </c>
      <c r="BB145" s="503" t="str">
        <f>IF(終値!A145="","",IF(AND(高値!AF145&gt;高値!AE145,高値!AF145&gt;高値!AD145,高値!AF145&gt;高値!AG145,高値!AF145&gt;高値!AH145),27,""))</f>
        <v/>
      </c>
      <c r="BC145" s="503" t="str">
        <f>IF(終値!A145="","",IF(AND(高値!AG145&gt;高値!AF145,高値!AG145&gt;高値!AE145,高値!AG145&gt;高値!AH145,高値!AG145&gt;高値!AI145),28,""))</f>
        <v/>
      </c>
      <c r="BD145" s="503">
        <f t="shared" si="12"/>
        <v>4</v>
      </c>
      <c r="BE145" s="503">
        <f t="shared" si="13"/>
        <v>6</v>
      </c>
      <c r="BF145" s="503">
        <f t="shared" si="14"/>
        <v>13</v>
      </c>
      <c r="BG145" s="503">
        <f>IF($BE145="","",INDEX(安値!$E145:$CZ145,1,$BE145+1))</f>
        <v>17830</v>
      </c>
      <c r="BH145" s="503">
        <f>IF($BF145="","",INDEX(安値!$E145:$CZ145,1,$BF145+1))</f>
        <v>21810</v>
      </c>
      <c r="BI145" s="503">
        <f>IF($BF145="","",MAX(INDEX(高値!$E145:$CZ145,1,$BE145+1):INDEX(高値!$E145:$CZ145,1,$BF145+1)))</f>
        <v>25170</v>
      </c>
      <c r="BJ145" s="503">
        <f>IF($BF145="","",AVERAGE(INDEX(終値!$E145:$CZ145,1,$BF145+1):INDEX(終値!$E145:$CZ145,1,$BF145+20))-2*STDEVP(INDEX(終値!$E145:$CZ145,1,$BF145+1):INDEX(終値!$E145:$CZ145,1,$BF145+20)))</f>
        <v>21201.525829395712</v>
      </c>
      <c r="BK145" s="503">
        <f>IF($BE145="","",AVERAGE(INDEX(終値!$E145:$CZ145,1,$BE145+1):INDEX(終値!$E145:$CZ145,1,$BE145+20))-2*STDEVP(INDEX(終値!$E145:$CZ145,1,$BE145+1):INDEX(終値!$E145:$CZ145,1,$BE145+20)))</f>
        <v>19443.913360748898</v>
      </c>
      <c r="BL145" s="503">
        <f t="shared" si="15"/>
        <v>3</v>
      </c>
      <c r="BM145" s="503">
        <f t="shared" si="16"/>
        <v>11</v>
      </c>
      <c r="BN145" s="503">
        <f t="shared" si="17"/>
        <v>16</v>
      </c>
      <c r="BO145" s="503">
        <f>IF($BM145="","",INDEX(高値!$E145:$CZ145,1,$BM145+1))</f>
        <v>25170</v>
      </c>
      <c r="BP145" s="503">
        <f>IF($BN145="","",INDEX(高値!$E145:$CZ145,1,$BN145+1))</f>
        <v>27600</v>
      </c>
      <c r="BQ145" s="503">
        <f>IF($BN145="","",MIN(INDEX(安値!$E145:$CZ145,1,$BM145+1):INDEX(安値!$E145:$CZ145,1,$BN145+1)))</f>
        <v>21810</v>
      </c>
      <c r="BR145" s="503">
        <f>IF($BN145="","",AVERAGE(INDEX(終値!$E145:$CZ145,1,$BN145+1):INDEX(終値!$E145:$CZ145,1,$BN145+20))+2*STDEVP(INDEX(終値!$E145:$CZ145,1,$BN145+1):INDEX(終値!$E145:$CZ145,1,$BN145+20)))</f>
        <v>39090.771621406719</v>
      </c>
      <c r="BS145" s="503">
        <f>IF($BM145="","",AVERAGE(INDEX(終値!$E145:$CZ145,1,$BM145+1):INDEX(終値!$E145:$CZ145,1,$BM145+20))+2*STDEVP(INDEX(終値!$E145:$CZ145,1,$BM145+1):INDEX(終値!$E145:$CZ145,1,$BM145+20)))</f>
        <v>33928.914808048445</v>
      </c>
      <c r="BT145" s="500"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3" t="str">
        <f>IF(終値!A146="","",IF(AND(安値!G146&lt;安値!F146,安値!G146&lt;安値!E146,安値!G146&lt;安値!H146,安値!G146&lt;安値!I146),2,""))</f>
        <v/>
      </c>
      <c r="C146" s="503" t="str">
        <f>IF(終値!A146="","",IF(AND(安値!H146&lt;安値!G146,安値!H146&lt;安値!F146,安値!H146&lt;安値!I146,安値!H146&lt;安値!J146),3,""))</f>
        <v/>
      </c>
      <c r="D146" s="503" t="str">
        <f>IF(終値!A146="","",IF(AND(安値!I146&lt;安値!H146,安値!I146&lt;安値!G146,安値!I146&lt;安値!J146,安値!I146&lt;安値!K146),4,""))</f>
        <v/>
      </c>
      <c r="E146" s="503">
        <f>IF(終値!A146="","",IF(AND(安値!J146&lt;安値!I146,安値!J146&lt;安値!H146,安値!J146&lt;安値!K146,安値!J146&lt;安値!L146),5,""))</f>
        <v>5</v>
      </c>
      <c r="F146" s="503" t="str">
        <f>IF(終値!A146="","",IF(AND(安値!K146&lt;安値!J146,安値!K146&lt;安値!I146,安値!K146&lt;安値!L146,安値!K146&lt;安値!M146),6,""))</f>
        <v/>
      </c>
      <c r="G146" s="503" t="str">
        <f>IF(終値!A146="","",IF(AND(安値!L146&lt;安値!K146,安値!L146&lt;安値!J146,安値!L146&lt;安値!M146,安値!L146&lt;安値!N146),7,""))</f>
        <v/>
      </c>
      <c r="H146" s="503" t="str">
        <f>IF(終値!A146="","",IF(AND(安値!M146&lt;安値!L146,安値!M146&lt;安値!K146,安値!M146&lt;安値!N146,安値!M146&lt;安値!O146),8,""))</f>
        <v/>
      </c>
      <c r="I146" s="503">
        <f>IF(終値!A146="","",IF(AND(安値!N146&lt;安値!M146,安値!N146&lt;安値!L146,安値!N146&lt;安値!O146,安値!N146&lt;安値!P146),9,""))</f>
        <v>9</v>
      </c>
      <c r="J146" s="503" t="str">
        <f>IF(終値!A146="","",IF(AND(安値!O146&lt;安値!N146,安値!O146&lt;安値!M146,安値!O146&lt;安値!P146,安値!O146&lt;安値!Q146),10,""))</f>
        <v/>
      </c>
      <c r="K146" s="503" t="str">
        <f>IF(終値!A146="","",IF(AND(安値!P146&lt;安値!O146,安値!P146&lt;安値!N146,安値!P146&lt;安値!Q146,安値!P146&lt;安値!R146),11,""))</f>
        <v/>
      </c>
      <c r="L146" s="503" t="str">
        <f>IF(終値!A146="","",IF(AND(安値!Q146&lt;安値!P146,安値!Q146&lt;安値!O146,安値!Q146&lt;安値!R146,安値!Q146&lt;安値!S146),12,""))</f>
        <v/>
      </c>
      <c r="M146" s="503">
        <f>IF(終値!A146="","",IF(AND(安値!R146&lt;安値!Q146,安値!R146&lt;安値!P146,安値!R146&lt;安値!S146,安値!R146&lt;安値!T146),13,""))</f>
        <v>13</v>
      </c>
      <c r="N146" s="503" t="str">
        <f>IF(終値!A146="","",IF(AND(安値!S146&lt;安値!R146,安値!S146&lt;安値!Q146,安値!S146&lt;安値!T146,安値!S146&lt;安値!U146),14,""))</f>
        <v/>
      </c>
      <c r="O146" s="503" t="str">
        <f>IF(終値!A146="","",IF(AND(安値!T146&lt;安値!S146,安値!T146&lt;安値!R146,安値!T146&lt;安値!U146,安値!T146&lt;安値!V146),15,""))</f>
        <v/>
      </c>
      <c r="P146" s="503" t="str">
        <f>IF(終値!A146="","",IF(AND(安値!U146&lt;安値!T146,安値!U146&lt;安値!S146,安値!U146&lt;安値!V146,安値!U146&lt;安値!W146),16,""))</f>
        <v/>
      </c>
      <c r="Q146" s="503" t="str">
        <f>IF(終値!A146="","",IF(AND(安値!V146&lt;安値!U146,安値!V146&lt;安値!T146,安値!V146&lt;安値!W146,安値!V146&lt;安値!X146),17,""))</f>
        <v/>
      </c>
      <c r="R146" s="503" t="str">
        <f>IF(終値!A146="","",IF(AND(安値!W146&lt;安値!V146,安値!W146&lt;安値!U146,安値!W146&lt;安値!X146,安値!W146&lt;安値!Y146),18,""))</f>
        <v/>
      </c>
      <c r="S146" s="503">
        <f>IF(終値!A146="","",IF(AND(安値!X146&lt;安値!W146,安値!X146&lt;安値!V146,安値!X146&lt;安値!Y146,安値!X146&lt;安値!Z146),19,""))</f>
        <v>19</v>
      </c>
      <c r="T146" s="503" t="str">
        <f>IF(終値!A146="","",IF(AND(安値!Y146&lt;安値!X146,安値!Y146&lt;安値!W146,安値!Y146&lt;安値!Z146,安値!Y146&lt;安値!AA146),20,""))</f>
        <v/>
      </c>
      <c r="U146" s="503" t="str">
        <f>IF(終値!A146="","",IF(AND(安値!Z146&lt;安値!Y146,安値!Z146&lt;安値!X146,安値!Z146&lt;安値!AA146,安値!Z146&lt;安値!AB146),21,""))</f>
        <v/>
      </c>
      <c r="V146" s="503" t="str">
        <f>IF(終値!A146="","",IF(AND(安値!AA146&lt;安値!Z146,安値!AA146&lt;安値!Y146,安値!AA146&lt;安値!AB146,安値!AA146&lt;安値!AC146),22,""))</f>
        <v/>
      </c>
      <c r="W146" s="503" t="str">
        <f>IF(終値!A146="","",IF(AND(安値!AB146&lt;安値!AA146,安値!AB146&lt;安値!Z146,安値!AB146&lt;安値!AC146,安値!AB146&lt;安値!AD146),23,""))</f>
        <v/>
      </c>
      <c r="X146" s="503">
        <f>IF(終値!A146="","",IF(AND(安値!AC146&lt;安値!AB146,安値!AC146&lt;安値!AA146,安値!AC146&lt;安値!AD146,安値!AC146&lt;安値!AE146),24,""))</f>
        <v>24</v>
      </c>
      <c r="Y146" s="503" t="str">
        <f>IF(終値!A146="","",IF(AND(安値!AD146&lt;安値!AC146,安値!AD146&lt;安値!AB146,安値!AD146&lt;安値!AE146,安値!AD146&lt;安値!AF146),25,""))</f>
        <v/>
      </c>
      <c r="Z146" s="503" t="str">
        <f>IF(終値!A146="","",IF(AND(安値!AE146&lt;安値!AD146,安値!AE146&lt;安値!AC146,安値!AE146&lt;安値!AF146,安値!AE146&lt;安値!AG146),26,""))</f>
        <v/>
      </c>
      <c r="AA146" s="503">
        <f>IF(終値!A146="","",IF(AND(安値!AF146&lt;安値!AE146,安値!AF146&lt;安値!AD146,安値!AF146&lt;安値!AG146,安値!AF146&lt;安値!AH146),27,""))</f>
        <v>27</v>
      </c>
      <c r="AB146" s="503" t="str">
        <f>IF(終値!A146="","",IF(AND(安値!AG146&lt;安値!AF146,安値!AG146&lt;安値!AE146,安値!AG146&lt;安値!AH146,安値!AG146&lt;安値!AI146),28,""))</f>
        <v/>
      </c>
      <c r="AC146" s="503" t="str">
        <f>IF(終値!A146="","",IF(AND(高値!G146&gt;高値!F146,高値!G146&gt;高値!E146,高値!G146&gt;高値!H146,高値!G146&gt;高値!I146),2,""))</f>
        <v/>
      </c>
      <c r="AD146" s="503" t="str">
        <f>IF(終値!A146="","",IF(AND(高値!H146&gt;高値!G146,高値!H146&gt;高値!F146,高値!H146&gt;高値!I146,高値!H146&gt;高値!J146),3,""))</f>
        <v/>
      </c>
      <c r="AE146" s="503" t="str">
        <f>IF(終値!A146="","",IF(AND(高値!I146&gt;高値!H146,高値!I146&gt;高値!G146,高値!I146&gt;高値!J146,高値!I146&gt;高値!K146),4,""))</f>
        <v/>
      </c>
      <c r="AF146" s="503" t="str">
        <f>IF(終値!A146="","",IF(AND(高値!J146&gt;高値!I146,高値!J146&gt;高値!H146,高値!J146&gt;高値!K146,高値!J146&gt;高値!L146),5,""))</f>
        <v/>
      </c>
      <c r="AG146" s="503" t="str">
        <f>IF(終値!A146="","",IF(AND(高値!K146&gt;高値!J146,高値!K146&gt;高値!I146,高値!K146&gt;高値!L146,高値!K146&gt;高値!M146),6,""))</f>
        <v/>
      </c>
      <c r="AH146" s="503">
        <f>IF(終値!A146="","",IF(AND(高値!L146&gt;高値!K146,高値!L146&gt;高値!J146,高値!L146&gt;高値!M146,高値!L146&gt;高値!N146),7,""))</f>
        <v>7</v>
      </c>
      <c r="AI146" s="503" t="str">
        <f>IF(終値!A146="","",IF(AND(高値!M146&gt;高値!L146,高値!M146&gt;高値!K146,高値!M146&gt;高値!N146,高値!M146&gt;高値!O146),8,""))</f>
        <v/>
      </c>
      <c r="AJ146" s="503" t="str">
        <f>IF(終値!A146="","",IF(AND(高値!N146&gt;高値!M146,高値!N146&gt;高値!L146,高値!N146&gt;高値!O146,高値!N146&gt;高値!P146),9,""))</f>
        <v/>
      </c>
      <c r="AK146" s="503" t="str">
        <f>IF(終値!A146="","",IF(AND(高値!O146&gt;高値!N146,高値!O146&gt;高値!M146,高値!O146&gt;高値!P146,高値!O146&gt;高値!Q146),10,""))</f>
        <v/>
      </c>
      <c r="AL146" s="503">
        <f>IF(終値!A146="","",IF(AND(高値!P146&gt;高値!O146,高値!P146&gt;高値!N146,高値!P146&gt;高値!Q146,高値!P146&gt;高値!R146),11,""))</f>
        <v>11</v>
      </c>
      <c r="AM146" s="503" t="str">
        <f>IF(終値!A146="","",IF(AND(高値!Q146&gt;高値!P146,高値!Q146&gt;高値!O146,高値!Q146&gt;高値!R146,高値!Q146&gt;高値!S146),12,""))</f>
        <v/>
      </c>
      <c r="AN146" s="503" t="str">
        <f>IF(終値!A146="","",IF(AND(高値!R146&gt;高値!Q146,高値!R146&gt;高値!P146,高値!R146&gt;高値!S146,高値!R146&gt;高値!T146),13,""))</f>
        <v/>
      </c>
      <c r="AO146" s="503">
        <f>IF(終値!A146="","",IF(AND(高値!S146&gt;高値!R146,高値!S146&gt;高値!Q146,高値!S146&gt;高値!T146,高値!S146&gt;高値!U146),14,""))</f>
        <v>14</v>
      </c>
      <c r="AP146" s="503" t="str">
        <f>IF(終値!A146="","",IF(AND(高値!T146&gt;高値!S146,高値!T146&gt;高値!R146,高値!T146&gt;高値!U146,高値!T146&gt;高値!V146),15,""))</f>
        <v/>
      </c>
      <c r="AQ146" s="503" t="str">
        <f>IF(終値!A146="","",IF(AND(高値!U146&gt;高値!T146,高値!U146&gt;高値!S146,高値!U146&gt;高値!V146,高値!U146&gt;高値!W146),16,""))</f>
        <v/>
      </c>
      <c r="AR146" s="503" t="str">
        <f>IF(終値!A146="","",IF(AND(高値!V146&gt;高値!U146,高値!V146&gt;高値!T146,高値!V146&gt;高値!W146,高値!V146&gt;高値!X146),17,""))</f>
        <v/>
      </c>
      <c r="AS146" s="503" t="str">
        <f>IF(終値!A146="","",IF(AND(高値!W146&gt;高値!V146,高値!W146&gt;高値!U146,高値!W146&gt;高値!X146,高値!W146&gt;高値!Y146),18,""))</f>
        <v/>
      </c>
      <c r="AT146" s="503" t="str">
        <f>IF(終値!A146="","",IF(AND(高値!X146&gt;高値!W146,高値!X146&gt;高値!V146,高値!X146&gt;高値!Y146,高値!X146&gt;高値!Z146),19,""))</f>
        <v/>
      </c>
      <c r="AU146" s="503" t="str">
        <f>IF(終値!A146="","",IF(AND(高値!Y146&gt;高値!X146,高値!Y146&gt;高値!W146,高値!Y146&gt;高値!Z146,高値!Y146&gt;高値!AA146),20,""))</f>
        <v/>
      </c>
      <c r="AV146" s="503">
        <f>IF(終値!A146="","",IF(AND(高値!Z146&gt;高値!Y146,高値!Z146&gt;高値!X146,高値!Z146&gt;高値!AA146,高値!Z146&gt;高値!AB146),21,""))</f>
        <v>21</v>
      </c>
      <c r="AW146" s="503" t="str">
        <f>IF(終値!A146="","",IF(AND(高値!AA146&gt;高値!Z146,高値!AA146&gt;高値!Y146,高値!AA146&gt;高値!AB146,高値!AA146&gt;高値!AC146),22,""))</f>
        <v/>
      </c>
      <c r="AX146" s="503" t="str">
        <f>IF(終値!A146="","",IF(AND(高値!AB146&gt;高値!AA146,高値!AB146&gt;高値!Z146,高値!AB146&gt;高値!AC146,高値!AB146&gt;高値!AD146),23,""))</f>
        <v/>
      </c>
      <c r="AY146" s="503" t="str">
        <f>IF(終値!A146="","",IF(AND(高値!AC146&gt;高値!AB146,高値!AC146&gt;高値!AA146,高値!AC146&gt;高値!AD146,高値!AC146&gt;高値!AE146),24,""))</f>
        <v/>
      </c>
      <c r="AZ146" s="503">
        <f>IF(終値!A146="","",IF(AND(高値!AD146&gt;高値!AC146,高値!AD146&gt;高値!AB146,高値!AD146&gt;高値!AE146,高値!AD146&gt;高値!AF146),25,""))</f>
        <v>25</v>
      </c>
      <c r="BA146" s="503" t="str">
        <f>IF(終値!A146="","",IF(AND(高値!AE146&gt;高値!AD146,高値!AE146&gt;高値!AC146,高値!AE146&gt;高値!AF146,高値!AE146&gt;高値!AG146),26,""))</f>
        <v/>
      </c>
      <c r="BB146" s="503" t="str">
        <f>IF(終値!A146="","",IF(AND(高値!AF146&gt;高値!AE146,高値!AF146&gt;高値!AD146,高値!AF146&gt;高値!AG146,高値!AF146&gt;高値!AH146),27,""))</f>
        <v/>
      </c>
      <c r="BC146" s="503" t="str">
        <f>IF(終値!A146="","",IF(AND(高値!AG146&gt;高値!AF146,高値!AG146&gt;高値!AE146,高値!AG146&gt;高値!AH146,高値!AG146&gt;高値!AI146),28,""))</f>
        <v/>
      </c>
      <c r="BD146" s="503">
        <f t="shared" si="12"/>
        <v>6</v>
      </c>
      <c r="BE146" s="503">
        <f t="shared" si="13"/>
        <v>5</v>
      </c>
      <c r="BF146" s="503">
        <f t="shared" si="14"/>
        <v>9</v>
      </c>
      <c r="BG146" s="503">
        <f>IF($BE146="","",INDEX(安値!$E146:$CZ146,1,$BE146+1))</f>
        <v>294</v>
      </c>
      <c r="BH146" s="503">
        <f>IF($BF146="","",INDEX(安値!$E146:$CZ146,1,$BF146+1))</f>
        <v>300</v>
      </c>
      <c r="BI146" s="503">
        <f>IF($BF146="","",MAX(INDEX(高値!$E146:$CZ146,1,$BE146+1):INDEX(高値!$E146:$CZ146,1,$BF146+1)))</f>
        <v>331</v>
      </c>
      <c r="BJ146" s="503">
        <f>IF($BF146="","",AVERAGE(INDEX(終値!$E146:$CZ146,1,$BF146+1):INDEX(終値!$E146:$CZ146,1,$BF146+20))-2*STDEVP(INDEX(終値!$E146:$CZ146,1,$BF146+1):INDEX(終値!$E146:$CZ146,1,$BF146+20)))</f>
        <v>292.15324961697638</v>
      </c>
      <c r="BK146" s="503">
        <f>IF($BE146="","",AVERAGE(INDEX(終値!$E146:$CZ146,1,$BE146+1):INDEX(終値!$E146:$CZ146,1,$BE146+20))-2*STDEVP(INDEX(終値!$E146:$CZ146,1,$BE146+1):INDEX(終値!$E146:$CZ146,1,$BE146+20)))</f>
        <v>290.18911480504789</v>
      </c>
      <c r="BL146" s="503">
        <f t="shared" si="15"/>
        <v>5</v>
      </c>
      <c r="BM146" s="503">
        <f t="shared" si="16"/>
        <v>7</v>
      </c>
      <c r="BN146" s="503">
        <f t="shared" si="17"/>
        <v>11</v>
      </c>
      <c r="BO146" s="503">
        <f>IF($BM146="","",INDEX(高値!$E146:$CZ146,1,$BM146+1))</f>
        <v>331</v>
      </c>
      <c r="BP146" s="503">
        <f>IF($BN146="","",INDEX(高値!$E146:$CZ146,1,$BN146+1))</f>
        <v>315</v>
      </c>
      <c r="BQ146" s="503">
        <f>IF($BN146="","",MIN(INDEX(安値!$E146:$CZ146,1,$BM146+1):INDEX(安値!$E146:$CZ146,1,$BN146+1)))</f>
        <v>300</v>
      </c>
      <c r="BR146" s="503">
        <f>IF($BN146="","",AVERAGE(INDEX(終値!$E146:$CZ146,1,$BN146+1):INDEX(終値!$E146:$CZ146,1,$BN146+20))+2*STDEVP(INDEX(終値!$E146:$CZ146,1,$BN146+1):INDEX(終値!$E146:$CZ146,1,$BN146+20)))</f>
        <v>331.24310898986823</v>
      </c>
      <c r="BS146" s="503">
        <f>IF($BM146="","",AVERAGE(INDEX(終値!$E146:$CZ146,1,$BM146+1):INDEX(終値!$E146:$CZ146,1,$BM146+20))+2*STDEVP(INDEX(終値!$E146:$CZ146,1,$BM146+1):INDEX(終値!$E146:$CZ146,1,$BM146+20)))</f>
        <v>330.74033084019595</v>
      </c>
      <c r="BT146" s="500"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二番底W形成</v>
      </c>
    </row>
    <row r="147" spans="2:72">
      <c r="B147" s="503" t="str">
        <f>IF(終値!A147="","",IF(AND(安値!G147&lt;安値!F147,安値!G147&lt;安値!E147,安値!G147&lt;安値!H147,安値!G147&lt;安値!I147),2,""))</f>
        <v/>
      </c>
      <c r="C147" s="503" t="str">
        <f>IF(終値!A147="","",IF(AND(安値!H147&lt;安値!G147,安値!H147&lt;安値!F147,安値!H147&lt;安値!I147,安値!H147&lt;安値!J147),3,""))</f>
        <v/>
      </c>
      <c r="D147" s="503" t="str">
        <f>IF(終値!A147="","",IF(AND(安値!I147&lt;安値!H147,安値!I147&lt;安値!G147,安値!I147&lt;安値!J147,安値!I147&lt;安値!K147),4,""))</f>
        <v/>
      </c>
      <c r="E147" s="503">
        <f>IF(終値!A147="","",IF(AND(安値!J147&lt;安値!I147,安値!J147&lt;安値!H147,安値!J147&lt;安値!K147,安値!J147&lt;安値!L147),5,""))</f>
        <v>5</v>
      </c>
      <c r="F147" s="503" t="str">
        <f>IF(終値!A147="","",IF(AND(安値!K147&lt;安値!J147,安値!K147&lt;安値!I147,安値!K147&lt;安値!L147,安値!K147&lt;安値!M147),6,""))</f>
        <v/>
      </c>
      <c r="G147" s="503" t="str">
        <f>IF(終値!A147="","",IF(AND(安値!L147&lt;安値!K147,安値!L147&lt;安値!J147,安値!L147&lt;安値!M147,安値!L147&lt;安値!N147),7,""))</f>
        <v/>
      </c>
      <c r="H147" s="503" t="str">
        <f>IF(終値!A147="","",IF(AND(安値!M147&lt;安値!L147,安値!M147&lt;安値!K147,安値!M147&lt;安値!N147,安値!M147&lt;安値!O147),8,""))</f>
        <v/>
      </c>
      <c r="I147" s="503">
        <f>IF(終値!A147="","",IF(AND(安値!N147&lt;安値!M147,安値!N147&lt;安値!L147,安値!N147&lt;安値!O147,安値!N147&lt;安値!P147),9,""))</f>
        <v>9</v>
      </c>
      <c r="J147" s="503" t="str">
        <f>IF(終値!A147="","",IF(AND(安値!O147&lt;安値!N147,安値!O147&lt;安値!M147,安値!O147&lt;安値!P147,安値!O147&lt;安値!Q147),10,""))</f>
        <v/>
      </c>
      <c r="K147" s="503" t="str">
        <f>IF(終値!A147="","",IF(AND(安値!P147&lt;安値!O147,安値!P147&lt;安値!N147,安値!P147&lt;安値!Q147,安値!P147&lt;安値!R147),11,""))</f>
        <v/>
      </c>
      <c r="L147" s="503" t="str">
        <f>IF(終値!A147="","",IF(AND(安値!Q147&lt;安値!P147,安値!Q147&lt;安値!O147,安値!Q147&lt;安値!R147,安値!Q147&lt;安値!S147),12,""))</f>
        <v/>
      </c>
      <c r="M147" s="503">
        <f>IF(終値!A147="","",IF(AND(安値!R147&lt;安値!Q147,安値!R147&lt;安値!P147,安値!R147&lt;安値!S147,安値!R147&lt;安値!T147),13,""))</f>
        <v>13</v>
      </c>
      <c r="N147" s="503" t="str">
        <f>IF(終値!A147="","",IF(AND(安値!S147&lt;安値!R147,安値!S147&lt;安値!Q147,安値!S147&lt;安値!T147,安値!S147&lt;安値!U147),14,""))</f>
        <v/>
      </c>
      <c r="O147" s="503" t="str">
        <f>IF(終値!A147="","",IF(AND(安値!T147&lt;安値!S147,安値!T147&lt;安値!R147,安値!T147&lt;安値!U147,安値!T147&lt;安値!V147),15,""))</f>
        <v/>
      </c>
      <c r="P147" s="503" t="str">
        <f>IF(終値!A147="","",IF(AND(安値!U147&lt;安値!T147,安値!U147&lt;安値!S147,安値!U147&lt;安値!V147,安値!U147&lt;安値!W147),16,""))</f>
        <v/>
      </c>
      <c r="Q147" s="503" t="str">
        <f>IF(終値!A147="","",IF(AND(安値!V147&lt;安値!U147,安値!V147&lt;安値!T147,安値!V147&lt;安値!W147,安値!V147&lt;安値!X147),17,""))</f>
        <v/>
      </c>
      <c r="R147" s="503" t="str">
        <f>IF(終値!A147="","",IF(AND(安値!W147&lt;安値!V147,安値!W147&lt;安値!U147,安値!W147&lt;安値!X147,安値!W147&lt;安値!Y147),18,""))</f>
        <v/>
      </c>
      <c r="S147" s="503">
        <f>IF(終値!A147="","",IF(AND(安値!X147&lt;安値!W147,安値!X147&lt;安値!V147,安値!X147&lt;安値!Y147,安値!X147&lt;安値!Z147),19,""))</f>
        <v>19</v>
      </c>
      <c r="T147" s="503" t="str">
        <f>IF(終値!A147="","",IF(AND(安値!Y147&lt;安値!X147,安値!Y147&lt;安値!W147,安値!Y147&lt;安値!Z147,安値!Y147&lt;安値!AA147),20,""))</f>
        <v/>
      </c>
      <c r="U147" s="503" t="str">
        <f>IF(終値!A147="","",IF(AND(安値!Z147&lt;安値!Y147,安値!Z147&lt;安値!X147,安値!Z147&lt;安値!AA147,安値!Z147&lt;安値!AB147),21,""))</f>
        <v/>
      </c>
      <c r="V147" s="503" t="str">
        <f>IF(終値!A147="","",IF(AND(安値!AA147&lt;安値!Z147,安値!AA147&lt;安値!Y147,安値!AA147&lt;安値!AB147,安値!AA147&lt;安値!AC147),22,""))</f>
        <v/>
      </c>
      <c r="W147" s="503" t="str">
        <f>IF(終値!A147="","",IF(AND(安値!AB147&lt;安値!AA147,安値!AB147&lt;安値!Z147,安値!AB147&lt;安値!AC147,安値!AB147&lt;安値!AD147),23,""))</f>
        <v/>
      </c>
      <c r="X147" s="503" t="str">
        <f>IF(終値!A147="","",IF(AND(安値!AC147&lt;安値!AB147,安値!AC147&lt;安値!AA147,安値!AC147&lt;安値!AD147,安値!AC147&lt;安値!AE147),24,""))</f>
        <v/>
      </c>
      <c r="Y147" s="503" t="str">
        <f>IF(終値!A147="","",IF(AND(安値!AD147&lt;安値!AC147,安値!AD147&lt;安値!AB147,安値!AD147&lt;安値!AE147,安値!AD147&lt;安値!AF147),25,""))</f>
        <v/>
      </c>
      <c r="Z147" s="503">
        <f>IF(終値!A147="","",IF(AND(安値!AE147&lt;安値!AD147,安値!AE147&lt;安値!AC147,安値!AE147&lt;安値!AF147,安値!AE147&lt;安値!AG147),26,""))</f>
        <v>26</v>
      </c>
      <c r="AA147" s="503" t="str">
        <f>IF(終値!A147="","",IF(AND(安値!AF147&lt;安値!AE147,安値!AF147&lt;安値!AD147,安値!AF147&lt;安値!AG147,安値!AF147&lt;安値!AH147),27,""))</f>
        <v/>
      </c>
      <c r="AB147" s="503" t="str">
        <f>IF(終値!A147="","",IF(AND(安値!AG147&lt;安値!AF147,安値!AG147&lt;安値!AE147,安値!AG147&lt;安値!AH147,安値!AG147&lt;安値!AI147),28,""))</f>
        <v/>
      </c>
      <c r="AC147" s="503" t="str">
        <f>IF(終値!A147="","",IF(AND(高値!G147&gt;高値!F147,高値!G147&gt;高値!E147,高値!G147&gt;高値!H147,高値!G147&gt;高値!I147),2,""))</f>
        <v/>
      </c>
      <c r="AD147" s="503" t="str">
        <f>IF(終値!A147="","",IF(AND(高値!H147&gt;高値!G147,高値!H147&gt;高値!F147,高値!H147&gt;高値!I147,高値!H147&gt;高値!J147),3,""))</f>
        <v/>
      </c>
      <c r="AE147" s="503" t="str">
        <f>IF(終値!A147="","",IF(AND(高値!I147&gt;高値!H147,高値!I147&gt;高値!G147,高値!I147&gt;高値!J147,高値!I147&gt;高値!K147),4,""))</f>
        <v/>
      </c>
      <c r="AF147" s="503" t="str">
        <f>IF(終値!A147="","",IF(AND(高値!J147&gt;高値!I147,高値!J147&gt;高値!H147,高値!J147&gt;高値!K147,高値!J147&gt;高値!L147),5,""))</f>
        <v/>
      </c>
      <c r="AG147" s="503" t="str">
        <f>IF(終値!A147="","",IF(AND(高値!K147&gt;高値!J147,高値!K147&gt;高値!I147,高値!K147&gt;高値!L147,高値!K147&gt;高値!M147),6,""))</f>
        <v/>
      </c>
      <c r="AH147" s="503" t="str">
        <f>IF(終値!A147="","",IF(AND(高値!L147&gt;高値!K147,高値!L147&gt;高値!J147,高値!L147&gt;高値!M147,高値!L147&gt;高値!N147),7,""))</f>
        <v/>
      </c>
      <c r="AI147" s="503" t="str">
        <f>IF(終値!A147="","",IF(AND(高値!M147&gt;高値!L147,高値!M147&gt;高値!K147,高値!M147&gt;高値!N147,高値!M147&gt;高値!O147),8,""))</f>
        <v/>
      </c>
      <c r="AJ147" s="503" t="str">
        <f>IF(終値!A147="","",IF(AND(高値!N147&gt;高値!M147,高値!N147&gt;高値!L147,高値!N147&gt;高値!O147,高値!N147&gt;高値!P147),9,""))</f>
        <v/>
      </c>
      <c r="AK147" s="503" t="str">
        <f>IF(終値!A147="","",IF(AND(高値!O147&gt;高値!N147,高値!O147&gt;高値!M147,高値!O147&gt;高値!P147,高値!O147&gt;高値!Q147),10,""))</f>
        <v/>
      </c>
      <c r="AL147" s="503">
        <f>IF(終値!A147="","",IF(AND(高値!P147&gt;高値!O147,高値!P147&gt;高値!N147,高値!P147&gt;高値!Q147,高値!P147&gt;高値!R147),11,""))</f>
        <v>11</v>
      </c>
      <c r="AM147" s="503" t="str">
        <f>IF(終値!A147="","",IF(AND(高値!Q147&gt;高値!P147,高値!Q147&gt;高値!O147,高値!Q147&gt;高値!R147,高値!Q147&gt;高値!S147),12,""))</f>
        <v/>
      </c>
      <c r="AN147" s="503" t="str">
        <f>IF(終値!A147="","",IF(AND(高値!R147&gt;高値!Q147,高値!R147&gt;高値!P147,高値!R147&gt;高値!S147,高値!R147&gt;高値!T147),13,""))</f>
        <v/>
      </c>
      <c r="AO147" s="503" t="str">
        <f>IF(終値!A147="","",IF(AND(高値!S147&gt;高値!R147,高値!S147&gt;高値!Q147,高値!S147&gt;高値!T147,高値!S147&gt;高値!U147),14,""))</f>
        <v/>
      </c>
      <c r="AP147" s="503" t="str">
        <f>IF(終値!A147="","",IF(AND(高値!T147&gt;高値!S147,高値!T147&gt;高値!R147,高値!T147&gt;高値!U147,高値!T147&gt;高値!V147),15,""))</f>
        <v/>
      </c>
      <c r="AQ147" s="503" t="str">
        <f>IF(終値!A147="","",IF(AND(高値!U147&gt;高値!T147,高値!U147&gt;高値!S147,高値!U147&gt;高値!V147,高値!U147&gt;高値!W147),16,""))</f>
        <v/>
      </c>
      <c r="AR147" s="503">
        <f>IF(終値!A147="","",IF(AND(高値!V147&gt;高値!U147,高値!V147&gt;高値!T147,高値!V147&gt;高値!W147,高値!V147&gt;高値!X147),17,""))</f>
        <v>17</v>
      </c>
      <c r="AS147" s="503" t="str">
        <f>IF(終値!A147="","",IF(AND(高値!W147&gt;高値!V147,高値!W147&gt;高値!U147,高値!W147&gt;高値!X147,高値!W147&gt;高値!Y147),18,""))</f>
        <v/>
      </c>
      <c r="AT147" s="503" t="str">
        <f>IF(終値!A147="","",IF(AND(高値!X147&gt;高値!W147,高値!X147&gt;高値!V147,高値!X147&gt;高値!Y147,高値!X147&gt;高値!Z147),19,""))</f>
        <v/>
      </c>
      <c r="AU147" s="503" t="str">
        <f>IF(終値!A147="","",IF(AND(高値!Y147&gt;高値!X147,高値!Y147&gt;高値!W147,高値!Y147&gt;高値!Z147,高値!Y147&gt;高値!AA147),20,""))</f>
        <v/>
      </c>
      <c r="AV147" s="503" t="str">
        <f>IF(終値!A147="","",IF(AND(高値!Z147&gt;高値!Y147,高値!Z147&gt;高値!X147,高値!Z147&gt;高値!AA147,高値!Z147&gt;高値!AB147),21,""))</f>
        <v/>
      </c>
      <c r="AW147" s="503" t="str">
        <f>IF(終値!A147="","",IF(AND(高値!AA147&gt;高値!Z147,高値!AA147&gt;高値!Y147,高値!AA147&gt;高値!AB147,高値!AA147&gt;高値!AC147),22,""))</f>
        <v/>
      </c>
      <c r="AX147" s="503" t="str">
        <f>IF(終値!A147="","",IF(AND(高値!AB147&gt;高値!AA147,高値!AB147&gt;高値!Z147,高値!AB147&gt;高値!AC147,高値!AB147&gt;高値!AD147),23,""))</f>
        <v/>
      </c>
      <c r="AY147" s="503">
        <f>IF(終値!A147="","",IF(AND(高値!AC147&gt;高値!AB147,高値!AC147&gt;高値!AA147,高値!AC147&gt;高値!AD147,高値!AC147&gt;高値!AE147),24,""))</f>
        <v>24</v>
      </c>
      <c r="AZ147" s="503" t="str">
        <f>IF(終値!A147="","",IF(AND(高値!AD147&gt;高値!AC147,高値!AD147&gt;高値!AB147,高値!AD147&gt;高値!AE147,高値!AD147&gt;高値!AF147),25,""))</f>
        <v/>
      </c>
      <c r="BA147" s="503" t="str">
        <f>IF(終値!A147="","",IF(AND(高値!AE147&gt;高値!AD147,高値!AE147&gt;高値!AC147,高値!AE147&gt;高値!AF147,高値!AE147&gt;高値!AG147),26,""))</f>
        <v/>
      </c>
      <c r="BB147" s="503" t="str">
        <f>IF(終値!A147="","",IF(AND(高値!AF147&gt;高値!AE147,高値!AF147&gt;高値!AD147,高値!AF147&gt;高値!AG147,高値!AF147&gt;高値!AH147),27,""))</f>
        <v/>
      </c>
      <c r="BC147" s="503" t="str">
        <f>IF(終値!A147="","",IF(AND(高値!AG147&gt;高値!AF147,高値!AG147&gt;高値!AE147,高値!AG147&gt;高値!AH147,高値!AG147&gt;高値!AI147),28,""))</f>
        <v/>
      </c>
      <c r="BD147" s="503">
        <f t="shared" si="12"/>
        <v>5</v>
      </c>
      <c r="BE147" s="503">
        <f t="shared" si="13"/>
        <v>5</v>
      </c>
      <c r="BF147" s="503">
        <f t="shared" si="14"/>
        <v>9</v>
      </c>
      <c r="BG147" s="503">
        <f>IF($BE147="","",INDEX(安値!$E147:$CZ147,1,$BE147+1))</f>
        <v>7130</v>
      </c>
      <c r="BH147" s="503">
        <f>IF($BF147="","",INDEX(安値!$E147:$CZ147,1,$BF147+1))</f>
        <v>0</v>
      </c>
      <c r="BI147" s="503">
        <f>IF($BF147="","",MAX(INDEX(高値!$E147:$CZ147,1,$BE147+1):INDEX(高値!$E147:$CZ147,1,$BF147+1)))</f>
        <v>9960</v>
      </c>
      <c r="BJ147" s="503">
        <f>IF($BF147="","",AVERAGE(INDEX(終値!$E147:$CZ147,1,$BF147+1):INDEX(終値!$E147:$CZ147,1,$BF147+20))-2*STDEVP(INDEX(終値!$E147:$CZ147,1,$BF147+1):INDEX(終値!$E147:$CZ147,1,$BF147+20)))</f>
        <v>9542.0010543628196</v>
      </c>
      <c r="BK147" s="503">
        <f>IF($BE147="","",AVERAGE(INDEX(終値!$E147:$CZ147,1,$BE147+1):INDEX(終値!$E147:$CZ147,1,$BE147+20))-2*STDEVP(INDEX(終値!$E147:$CZ147,1,$BE147+1):INDEX(終値!$E147:$CZ147,1,$BE147+20)))</f>
        <v>7283.6392216044205</v>
      </c>
      <c r="BL147" s="503">
        <f t="shared" si="15"/>
        <v>3</v>
      </c>
      <c r="BM147" s="503">
        <f t="shared" si="16"/>
        <v>11</v>
      </c>
      <c r="BN147" s="503">
        <f t="shared" si="17"/>
        <v>17</v>
      </c>
      <c r="BO147" s="503">
        <f>IF($BM147="","",INDEX(高値!$E147:$CZ147,1,$BM147+1))</f>
        <v>10960</v>
      </c>
      <c r="BP147" s="503">
        <f>IF($BN147="","",INDEX(高値!$E147:$CZ147,1,$BN147+1))</f>
        <v>13950</v>
      </c>
      <c r="BQ147" s="503">
        <f>IF($BN147="","",MIN(INDEX(安値!$E147:$CZ147,1,$BM147+1):INDEX(安値!$E147:$CZ147,1,$BN147+1)))</f>
        <v>9430</v>
      </c>
      <c r="BR147" s="503">
        <f>IF($BN147="","",AVERAGE(INDEX(終値!$E147:$CZ147,1,$BN147+1):INDEX(終値!$E147:$CZ147,1,$BN147+20))+2*STDEVP(INDEX(終値!$E147:$CZ147,1,$BN147+1):INDEX(終値!$E147:$CZ147,1,$BN147+20)))</f>
        <v>16726.097060283915</v>
      </c>
      <c r="BS147" s="503">
        <f>IF($BM147="","",AVERAGE(INDEX(終値!$E147:$CZ147,1,$BM147+1):INDEX(終値!$E147:$CZ147,1,$BM147+20))+2*STDEVP(INDEX(終値!$E147:$CZ147,1,$BM147+1):INDEX(終値!$E147:$CZ147,1,$BM147+20)))</f>
        <v>15469.456779327738</v>
      </c>
      <c r="BT147" s="500"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3" t="str">
        <f>IF(終値!A148="","",IF(AND(安値!G148&lt;安値!F148,安値!G148&lt;安値!E148,安値!G148&lt;安値!H148,安値!G148&lt;安値!I148),2,""))</f>
        <v/>
      </c>
      <c r="C148" s="503" t="str">
        <f>IF(終値!A148="","",IF(AND(安値!H148&lt;安値!G148,安値!H148&lt;安値!F148,安値!H148&lt;安値!I148,安値!H148&lt;安値!J148),3,""))</f>
        <v/>
      </c>
      <c r="D148" s="503" t="str">
        <f>IF(終値!A148="","",IF(AND(安値!I148&lt;安値!H148,安値!I148&lt;安値!G148,安値!I148&lt;安値!J148,安値!I148&lt;安値!K148),4,""))</f>
        <v/>
      </c>
      <c r="E148" s="503" t="str">
        <f>IF(終値!A148="","",IF(AND(安値!J148&lt;安値!I148,安値!J148&lt;安値!H148,安値!J148&lt;安値!K148,安値!J148&lt;安値!L148),5,""))</f>
        <v/>
      </c>
      <c r="F148" s="503">
        <f>IF(終値!A148="","",IF(AND(安値!K148&lt;安値!J148,安値!K148&lt;安値!I148,安値!K148&lt;安値!L148,安値!K148&lt;安値!M148),6,""))</f>
        <v>6</v>
      </c>
      <c r="G148" s="503" t="str">
        <f>IF(終値!A148="","",IF(AND(安値!L148&lt;安値!K148,安値!L148&lt;安値!J148,安値!L148&lt;安値!M148,安値!L148&lt;安値!N148),7,""))</f>
        <v/>
      </c>
      <c r="H148" s="503" t="str">
        <f>IF(終値!A148="","",IF(AND(安値!M148&lt;安値!L148,安値!M148&lt;安値!K148,安値!M148&lt;安値!N148,安値!M148&lt;安値!O148),8,""))</f>
        <v/>
      </c>
      <c r="I148" s="503" t="str">
        <f>IF(終値!A148="","",IF(AND(安値!N148&lt;安値!M148,安値!N148&lt;安値!L148,安値!N148&lt;安値!O148,安値!N148&lt;安値!P148),9,""))</f>
        <v/>
      </c>
      <c r="J148" s="503" t="str">
        <f>IF(終値!A148="","",IF(AND(安値!O148&lt;安値!N148,安値!O148&lt;安値!M148,安値!O148&lt;安値!P148,安値!O148&lt;安値!Q148),10,""))</f>
        <v/>
      </c>
      <c r="K148" s="503" t="str">
        <f>IF(終値!A148="","",IF(AND(安値!P148&lt;安値!O148,安値!P148&lt;安値!N148,安値!P148&lt;安値!Q148,安値!P148&lt;安値!R148),11,""))</f>
        <v/>
      </c>
      <c r="L148" s="503" t="str">
        <f>IF(終値!A148="","",IF(AND(安値!Q148&lt;安値!P148,安値!Q148&lt;安値!O148,安値!Q148&lt;安値!R148,安値!Q148&lt;安値!S148),12,""))</f>
        <v/>
      </c>
      <c r="M148" s="503">
        <f>IF(終値!A148="","",IF(AND(安値!R148&lt;安値!Q148,安値!R148&lt;安値!P148,安値!R148&lt;安値!S148,安値!R148&lt;安値!T148),13,""))</f>
        <v>13</v>
      </c>
      <c r="N148" s="503" t="str">
        <f>IF(終値!A148="","",IF(AND(安値!S148&lt;安値!R148,安値!S148&lt;安値!Q148,安値!S148&lt;安値!T148,安値!S148&lt;安値!U148),14,""))</f>
        <v/>
      </c>
      <c r="O148" s="503" t="str">
        <f>IF(終値!A148="","",IF(AND(安値!T148&lt;安値!S148,安値!T148&lt;安値!R148,安値!T148&lt;安値!U148,安値!T148&lt;安値!V148),15,""))</f>
        <v/>
      </c>
      <c r="P148" s="503" t="str">
        <f>IF(終値!A148="","",IF(AND(安値!U148&lt;安値!T148,安値!U148&lt;安値!S148,安値!U148&lt;安値!V148,安値!U148&lt;安値!W148),16,""))</f>
        <v/>
      </c>
      <c r="Q148" s="503" t="str">
        <f>IF(終値!A148="","",IF(AND(安値!V148&lt;安値!U148,安値!V148&lt;安値!T148,安値!V148&lt;安値!W148,安値!V148&lt;安値!X148),17,""))</f>
        <v/>
      </c>
      <c r="R148" s="503" t="str">
        <f>IF(終値!A148="","",IF(AND(安値!W148&lt;安値!V148,安値!W148&lt;安値!U148,安値!W148&lt;安値!X148,安値!W148&lt;安値!Y148),18,""))</f>
        <v/>
      </c>
      <c r="S148" s="503" t="str">
        <f>IF(終値!A148="","",IF(AND(安値!X148&lt;安値!W148,安値!X148&lt;安値!V148,安値!X148&lt;安値!Y148,安値!X148&lt;安値!Z148),19,""))</f>
        <v/>
      </c>
      <c r="T148" s="503" t="str">
        <f>IF(終値!A148="","",IF(AND(安値!Y148&lt;安値!X148,安値!Y148&lt;安値!W148,安値!Y148&lt;安値!Z148,安値!Y148&lt;安値!AA148),20,""))</f>
        <v/>
      </c>
      <c r="U148" s="503" t="str">
        <f>IF(終値!A148="","",IF(AND(安値!Z148&lt;安値!Y148,安値!Z148&lt;安値!X148,安値!Z148&lt;安値!AA148,安値!Z148&lt;安値!AB148),21,""))</f>
        <v/>
      </c>
      <c r="V148" s="503" t="str">
        <f>IF(終値!A148="","",IF(AND(安値!AA148&lt;安値!Z148,安値!AA148&lt;安値!Y148,安値!AA148&lt;安値!AB148,安値!AA148&lt;安値!AC148),22,""))</f>
        <v/>
      </c>
      <c r="W148" s="503" t="str">
        <f>IF(終値!A148="","",IF(AND(安値!AB148&lt;安値!AA148,安値!AB148&lt;安値!Z148,安値!AB148&lt;安値!AC148,安値!AB148&lt;安値!AD148),23,""))</f>
        <v/>
      </c>
      <c r="X148" s="503" t="str">
        <f>IF(終値!A148="","",IF(AND(安値!AC148&lt;安値!AB148,安値!AC148&lt;安値!AA148,安値!AC148&lt;安値!AD148,安値!AC148&lt;安値!AE148),24,""))</f>
        <v/>
      </c>
      <c r="Y148" s="503" t="str">
        <f>IF(終値!A148="","",IF(AND(安値!AD148&lt;安値!AC148,安値!AD148&lt;安値!AB148,安値!AD148&lt;安値!AE148,安値!AD148&lt;安値!AF148),25,""))</f>
        <v/>
      </c>
      <c r="Z148" s="503" t="str">
        <f>IF(終値!A148="","",IF(AND(安値!AE148&lt;安値!AD148,安値!AE148&lt;安値!AC148,安値!AE148&lt;安値!AF148,安値!AE148&lt;安値!AG148),26,""))</f>
        <v/>
      </c>
      <c r="AA148" s="503" t="str">
        <f>IF(終値!A148="","",IF(AND(安値!AF148&lt;安値!AE148,安値!AF148&lt;安値!AD148,安値!AF148&lt;安値!AG148,安値!AF148&lt;安値!AH148),27,""))</f>
        <v/>
      </c>
      <c r="AB148" s="503" t="str">
        <f>IF(終値!A148="","",IF(AND(安値!AG148&lt;安値!AF148,安値!AG148&lt;安値!AE148,安値!AG148&lt;安値!AH148,安値!AG148&lt;安値!AI148),28,""))</f>
        <v/>
      </c>
      <c r="AC148" s="503" t="str">
        <f>IF(終値!A148="","",IF(AND(高値!G148&gt;高値!F148,高値!G148&gt;高値!E148,高値!G148&gt;高値!H148,高値!G148&gt;高値!I148),2,""))</f>
        <v/>
      </c>
      <c r="AD148" s="503" t="str">
        <f>IF(終値!A148="","",IF(AND(高値!H148&gt;高値!G148,高値!H148&gt;高値!F148,高値!H148&gt;高値!I148,高値!H148&gt;高値!J148),3,""))</f>
        <v/>
      </c>
      <c r="AE148" s="503" t="str">
        <f>IF(終値!A148="","",IF(AND(高値!I148&gt;高値!H148,高値!I148&gt;高値!G148,高値!I148&gt;高値!J148,高値!I148&gt;高値!K148),4,""))</f>
        <v/>
      </c>
      <c r="AF148" s="503" t="str">
        <f>IF(終値!A148="","",IF(AND(高値!J148&gt;高値!I148,高値!J148&gt;高値!H148,高値!J148&gt;高値!K148,高値!J148&gt;高値!L148),5,""))</f>
        <v/>
      </c>
      <c r="AG148" s="503" t="str">
        <f>IF(終値!A148="","",IF(AND(高値!K148&gt;高値!J148,高値!K148&gt;高値!I148,高値!K148&gt;高値!L148,高値!K148&gt;高値!M148),6,""))</f>
        <v/>
      </c>
      <c r="AH148" s="503" t="str">
        <f>IF(終値!A148="","",IF(AND(高値!L148&gt;高値!K148,高値!L148&gt;高値!J148,高値!L148&gt;高値!M148,高値!L148&gt;高値!N148),7,""))</f>
        <v/>
      </c>
      <c r="AI148" s="503" t="str">
        <f>IF(終値!A148="","",IF(AND(高値!M148&gt;高値!L148,高値!M148&gt;高値!K148,高値!M148&gt;高値!N148,高値!M148&gt;高値!O148),8,""))</f>
        <v/>
      </c>
      <c r="AJ148" s="503" t="str">
        <f>IF(終値!A148="","",IF(AND(高値!N148&gt;高値!M148,高値!N148&gt;高値!L148,高値!N148&gt;高値!O148,高値!N148&gt;高値!P148),9,""))</f>
        <v/>
      </c>
      <c r="AK148" s="503" t="str">
        <f>IF(終値!A148="","",IF(AND(高値!O148&gt;高値!N148,高値!O148&gt;高値!M148,高値!O148&gt;高値!P148,高値!O148&gt;高値!Q148),10,""))</f>
        <v/>
      </c>
      <c r="AL148" s="503">
        <f>IF(終値!A148="","",IF(AND(高値!P148&gt;高値!O148,高値!P148&gt;高値!N148,高値!P148&gt;高値!Q148,高値!P148&gt;高値!R148),11,""))</f>
        <v>11</v>
      </c>
      <c r="AM148" s="503" t="str">
        <f>IF(終値!A148="","",IF(AND(高値!Q148&gt;高値!P148,高値!Q148&gt;高値!O148,高値!Q148&gt;高値!R148,高値!Q148&gt;高値!S148),12,""))</f>
        <v/>
      </c>
      <c r="AN148" s="503" t="str">
        <f>IF(終値!A148="","",IF(AND(高値!R148&gt;高値!Q148,高値!R148&gt;高値!P148,高値!R148&gt;高値!S148,高値!R148&gt;高値!T148),13,""))</f>
        <v/>
      </c>
      <c r="AO148" s="503" t="str">
        <f>IF(終値!A148="","",IF(AND(高値!S148&gt;高値!R148,高値!S148&gt;高値!Q148,高値!S148&gt;高値!T148,高値!S148&gt;高値!U148),14,""))</f>
        <v/>
      </c>
      <c r="AP148" s="503" t="str">
        <f>IF(終値!A148="","",IF(AND(高値!T148&gt;高値!S148,高値!T148&gt;高値!R148,高値!T148&gt;高値!U148,高値!T148&gt;高値!V148),15,""))</f>
        <v/>
      </c>
      <c r="AQ148" s="503" t="str">
        <f>IF(終値!A148="","",IF(AND(高値!U148&gt;高値!T148,高値!U148&gt;高値!S148,高値!U148&gt;高値!V148,高値!U148&gt;高値!W148),16,""))</f>
        <v/>
      </c>
      <c r="AR148" s="503" t="str">
        <f>IF(終値!A148="","",IF(AND(高値!V148&gt;高値!U148,高値!V148&gt;高値!T148,高値!V148&gt;高値!W148,高値!V148&gt;高値!X148),17,""))</f>
        <v/>
      </c>
      <c r="AS148" s="503" t="str">
        <f>IF(終値!A148="","",IF(AND(高値!W148&gt;高値!V148,高値!W148&gt;高値!U148,高値!W148&gt;高値!X148,高値!W148&gt;高値!Y148),18,""))</f>
        <v/>
      </c>
      <c r="AT148" s="503" t="str">
        <f>IF(終値!A148="","",IF(AND(高値!X148&gt;高値!W148,高値!X148&gt;高値!V148,高値!X148&gt;高値!Y148,高値!X148&gt;高値!Z148),19,""))</f>
        <v/>
      </c>
      <c r="AU148" s="503" t="str">
        <f>IF(終値!A148="","",IF(AND(高値!Y148&gt;高値!X148,高値!Y148&gt;高値!W148,高値!Y148&gt;高値!Z148,高値!Y148&gt;高値!AA148),20,""))</f>
        <v/>
      </c>
      <c r="AV148" s="503">
        <f>IF(終値!A148="","",IF(AND(高値!Z148&gt;高値!Y148,高値!Z148&gt;高値!X148,高値!Z148&gt;高値!AA148,高値!Z148&gt;高値!AB148),21,""))</f>
        <v>21</v>
      </c>
      <c r="AW148" s="503" t="str">
        <f>IF(終値!A148="","",IF(AND(高値!AA148&gt;高値!Z148,高値!AA148&gt;高値!Y148,高値!AA148&gt;高値!AB148,高値!AA148&gt;高値!AC148),22,""))</f>
        <v/>
      </c>
      <c r="AX148" s="503" t="str">
        <f>IF(終値!A148="","",IF(AND(高値!AB148&gt;高値!AA148,高値!AB148&gt;高値!Z148,高値!AB148&gt;高値!AC148,高値!AB148&gt;高値!AD148),23,""))</f>
        <v/>
      </c>
      <c r="AY148" s="503" t="str">
        <f>IF(終値!A148="","",IF(AND(高値!AC148&gt;高値!AB148,高値!AC148&gt;高値!AA148,高値!AC148&gt;高値!AD148,高値!AC148&gt;高値!AE148),24,""))</f>
        <v/>
      </c>
      <c r="AZ148" s="503" t="str">
        <f>IF(終値!A148="","",IF(AND(高値!AD148&gt;高値!AC148,高値!AD148&gt;高値!AB148,高値!AD148&gt;高値!AE148,高値!AD148&gt;高値!AF148),25,""))</f>
        <v/>
      </c>
      <c r="BA148" s="503" t="str">
        <f>IF(終値!A148="","",IF(AND(高値!AE148&gt;高値!AD148,高値!AE148&gt;高値!AC148,高値!AE148&gt;高値!AF148,高値!AE148&gt;高値!AG148),26,""))</f>
        <v/>
      </c>
      <c r="BB148" s="503" t="str">
        <f>IF(終値!A148="","",IF(AND(高値!AF148&gt;高値!AE148,高値!AF148&gt;高値!AD148,高値!AF148&gt;高値!AG148,高値!AF148&gt;高値!AH148),27,""))</f>
        <v/>
      </c>
      <c r="BC148" s="503">
        <f>IF(終値!A148="","",IF(AND(高値!AG148&gt;高値!AF148,高値!AG148&gt;高値!AE148,高値!AG148&gt;高値!AH148,高値!AG148&gt;高値!AI148),28,""))</f>
        <v>28</v>
      </c>
      <c r="BD148" s="503">
        <f t="shared" si="12"/>
        <v>2</v>
      </c>
      <c r="BE148" s="503">
        <f t="shared" si="13"/>
        <v>6</v>
      </c>
      <c r="BF148" s="503">
        <f t="shared" si="14"/>
        <v>13</v>
      </c>
      <c r="BG148" s="503">
        <f>IF($BE148="","",INDEX(安値!$E148:$CZ148,1,$BE148+1))</f>
        <v>1161</v>
      </c>
      <c r="BH148" s="503">
        <f>IF($BF148="","",INDEX(安値!$E148:$CZ148,1,$BF148+1))</f>
        <v>1300</v>
      </c>
      <c r="BI148" s="503">
        <f>IF($BF148="","",MAX(INDEX(高値!$E148:$CZ148,1,$BE148+1):INDEX(高値!$E148:$CZ148,1,$BF148+1)))</f>
        <v>1442</v>
      </c>
      <c r="BJ148" s="503">
        <f>IF($BF148="","",AVERAGE(INDEX(終値!$E148:$CZ148,1,$BF148+1):INDEX(終値!$E148:$CZ148,1,$BF148+20))-2*STDEVP(INDEX(終値!$E148:$CZ148,1,$BF148+1):INDEX(終値!$E148:$CZ148,1,$BF148+20)))</f>
        <v>1284.0733492197555</v>
      </c>
      <c r="BK148" s="503">
        <f>IF($BE148="","",AVERAGE(INDEX(終値!$E148:$CZ148,1,$BE148+1):INDEX(終値!$E148:$CZ148,1,$BE148+20))-2*STDEVP(INDEX(終値!$E148:$CZ148,1,$BE148+1):INDEX(終値!$E148:$CZ148,1,$BE148+20)))</f>
        <v>1160.970083644499</v>
      </c>
      <c r="BL148" s="503">
        <f t="shared" si="15"/>
        <v>3</v>
      </c>
      <c r="BM148" s="503">
        <f t="shared" si="16"/>
        <v>11</v>
      </c>
      <c r="BN148" s="503">
        <f t="shared" si="17"/>
        <v>21</v>
      </c>
      <c r="BO148" s="503">
        <f>IF($BM148="","",INDEX(高値!$E148:$CZ148,1,$BM148+1))</f>
        <v>1442</v>
      </c>
      <c r="BP148" s="503">
        <f>IF($BN148="","",INDEX(高値!$E148:$CZ148,1,$BN148+1))</f>
        <v>1865</v>
      </c>
      <c r="BQ148" s="503">
        <f>IF($BN148="","",MIN(INDEX(安値!$E148:$CZ148,1,$BM148+1):INDEX(安値!$E148:$CZ148,1,$BN148+1)))</f>
        <v>1300</v>
      </c>
      <c r="BR148" s="503">
        <f>IF($BN148="","",AVERAGE(INDEX(終値!$E148:$CZ148,1,$BN148+1):INDEX(終値!$E148:$CZ148,1,$BN148+20))+2*STDEVP(INDEX(終値!$E148:$CZ148,1,$BN148+1):INDEX(終値!$E148:$CZ148,1,$BN148+20)))</f>
        <v>2269.7041520215798</v>
      </c>
      <c r="BS148" s="503">
        <f>IF($BM148="","",AVERAGE(INDEX(終値!$E148:$CZ148,1,$BM148+1):INDEX(終値!$E148:$CZ148,1,$BM148+20))+2*STDEVP(INDEX(終値!$E148:$CZ148,1,$BM148+1):INDEX(終値!$E148:$CZ148,1,$BM148+20)))</f>
        <v>2093.9128167770059</v>
      </c>
      <c r="BT148" s="500"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3" t="str">
        <f>IF(終値!A149="","",IF(AND(安値!G149&lt;安値!F149,安値!G149&lt;安値!E149,安値!G149&lt;安値!H149,安値!G149&lt;安値!I149),2,""))</f>
        <v/>
      </c>
      <c r="C149" s="503" t="str">
        <f>IF(終値!A149="","",IF(AND(安値!H149&lt;安値!G149,安値!H149&lt;安値!F149,安値!H149&lt;安値!I149,安値!H149&lt;安値!J149),3,""))</f>
        <v/>
      </c>
      <c r="D149" s="503" t="str">
        <f>IF(終値!A149="","",IF(AND(安値!I149&lt;安値!H149,安値!I149&lt;安値!G149,安値!I149&lt;安値!J149,安値!I149&lt;安値!K149),4,""))</f>
        <v/>
      </c>
      <c r="E149" s="503" t="str">
        <f>IF(終値!A149="","",IF(AND(安値!J149&lt;安値!I149,安値!J149&lt;安値!H149,安値!J149&lt;安値!K149,安値!J149&lt;安値!L149),5,""))</f>
        <v/>
      </c>
      <c r="F149" s="503" t="str">
        <f>IF(終値!A149="","",IF(AND(安値!K149&lt;安値!J149,安値!K149&lt;安値!I149,安値!K149&lt;安値!L149,安値!K149&lt;安値!M149),6,""))</f>
        <v/>
      </c>
      <c r="G149" s="503" t="str">
        <f>IF(終値!A149="","",IF(AND(安値!L149&lt;安値!K149,安値!L149&lt;安値!J149,安値!L149&lt;安値!M149,安値!L149&lt;安値!N149),7,""))</f>
        <v/>
      </c>
      <c r="H149" s="503" t="str">
        <f>IF(終値!A149="","",IF(AND(安値!M149&lt;安値!L149,安値!M149&lt;安値!K149,安値!M149&lt;安値!N149,安値!M149&lt;安値!O149),8,""))</f>
        <v/>
      </c>
      <c r="I149" s="503" t="str">
        <f>IF(終値!A149="","",IF(AND(安値!N149&lt;安値!M149,安値!N149&lt;安値!L149,安値!N149&lt;安値!O149,安値!N149&lt;安値!P149),9,""))</f>
        <v/>
      </c>
      <c r="J149" s="503" t="str">
        <f>IF(終値!A149="","",IF(AND(安値!O149&lt;安値!N149,安値!O149&lt;安値!M149,安値!O149&lt;安値!P149,安値!O149&lt;安値!Q149),10,""))</f>
        <v/>
      </c>
      <c r="K149" s="503" t="str">
        <f>IF(終値!A149="","",IF(AND(安値!P149&lt;安値!O149,安値!P149&lt;安値!N149,安値!P149&lt;安値!Q149,安値!P149&lt;安値!R149),11,""))</f>
        <v/>
      </c>
      <c r="L149" s="503" t="str">
        <f>IF(終値!A149="","",IF(AND(安値!Q149&lt;安値!P149,安値!Q149&lt;安値!O149,安値!Q149&lt;安値!R149,安値!Q149&lt;安値!S149),12,""))</f>
        <v/>
      </c>
      <c r="M149" s="503" t="str">
        <f>IF(終値!A149="","",IF(AND(安値!R149&lt;安値!Q149,安値!R149&lt;安値!P149,安値!R149&lt;安値!S149,安値!R149&lt;安値!T149),13,""))</f>
        <v/>
      </c>
      <c r="N149" s="503" t="str">
        <f>IF(終値!A149="","",IF(AND(安値!S149&lt;安値!R149,安値!S149&lt;安値!Q149,安値!S149&lt;安値!T149,安値!S149&lt;安値!U149),14,""))</f>
        <v/>
      </c>
      <c r="O149" s="503" t="str">
        <f>IF(終値!A149="","",IF(AND(安値!T149&lt;安値!S149,安値!T149&lt;安値!R149,安値!T149&lt;安値!U149,安値!T149&lt;安値!V149),15,""))</f>
        <v/>
      </c>
      <c r="P149" s="503" t="str">
        <f>IF(終値!A149="","",IF(AND(安値!U149&lt;安値!T149,安値!U149&lt;安値!S149,安値!U149&lt;安値!V149,安値!U149&lt;安値!W149),16,""))</f>
        <v/>
      </c>
      <c r="Q149" s="503" t="str">
        <f>IF(終値!A149="","",IF(AND(安値!V149&lt;安値!U149,安値!V149&lt;安値!T149,安値!V149&lt;安値!W149,安値!V149&lt;安値!X149),17,""))</f>
        <v/>
      </c>
      <c r="R149" s="503" t="str">
        <f>IF(終値!A149="","",IF(AND(安値!W149&lt;安値!V149,安値!W149&lt;安値!U149,安値!W149&lt;安値!X149,安値!W149&lt;安値!Y149),18,""))</f>
        <v/>
      </c>
      <c r="S149" s="503" t="str">
        <f>IF(終値!A149="","",IF(AND(安値!X149&lt;安値!W149,安値!X149&lt;安値!V149,安値!X149&lt;安値!Y149,安値!X149&lt;安値!Z149),19,""))</f>
        <v/>
      </c>
      <c r="T149" s="503" t="str">
        <f>IF(終値!A149="","",IF(AND(安値!Y149&lt;安値!X149,安値!Y149&lt;安値!W149,安値!Y149&lt;安値!Z149,安値!Y149&lt;安値!AA149),20,""))</f>
        <v/>
      </c>
      <c r="U149" s="503" t="str">
        <f>IF(終値!A149="","",IF(AND(安値!Z149&lt;安値!Y149,安値!Z149&lt;安値!X149,安値!Z149&lt;安値!AA149,安値!Z149&lt;安値!AB149),21,""))</f>
        <v/>
      </c>
      <c r="V149" s="503" t="str">
        <f>IF(終値!A149="","",IF(AND(安値!AA149&lt;安値!Z149,安値!AA149&lt;安値!Y149,安値!AA149&lt;安値!AB149,安値!AA149&lt;安値!AC149),22,""))</f>
        <v/>
      </c>
      <c r="W149" s="503" t="str">
        <f>IF(終値!A149="","",IF(AND(安値!AB149&lt;安値!AA149,安値!AB149&lt;安値!Z149,安値!AB149&lt;安値!AC149,安値!AB149&lt;安値!AD149),23,""))</f>
        <v/>
      </c>
      <c r="X149" s="503" t="str">
        <f>IF(終値!A149="","",IF(AND(安値!AC149&lt;安値!AB149,安値!AC149&lt;安値!AA149,安値!AC149&lt;安値!AD149,安値!AC149&lt;安値!AE149),24,""))</f>
        <v/>
      </c>
      <c r="Y149" s="503" t="str">
        <f>IF(終値!A149="","",IF(AND(安値!AD149&lt;安値!AC149,安値!AD149&lt;安値!AB149,安値!AD149&lt;安値!AE149,安値!AD149&lt;安値!AF149),25,""))</f>
        <v/>
      </c>
      <c r="Z149" s="503" t="str">
        <f>IF(終値!A149="","",IF(AND(安値!AE149&lt;安値!AD149,安値!AE149&lt;安値!AC149,安値!AE149&lt;安値!AF149,安値!AE149&lt;安値!AG149),26,""))</f>
        <v/>
      </c>
      <c r="AA149" s="503" t="str">
        <f>IF(終値!A149="","",IF(AND(安値!AF149&lt;安値!AE149,安値!AF149&lt;安値!AD149,安値!AF149&lt;安値!AG149,安値!AF149&lt;安値!AH149),27,""))</f>
        <v/>
      </c>
      <c r="AB149" s="503" t="str">
        <f>IF(終値!A149="","",IF(AND(安値!AG149&lt;安値!AF149,安値!AG149&lt;安値!AE149,安値!AG149&lt;安値!AH149,安値!AG149&lt;安値!AI149),28,""))</f>
        <v/>
      </c>
      <c r="AC149" s="503" t="str">
        <f>IF(終値!A149="","",IF(AND(高値!G149&gt;高値!F149,高値!G149&gt;高値!E149,高値!G149&gt;高値!H149,高値!G149&gt;高値!I149),2,""))</f>
        <v/>
      </c>
      <c r="AD149" s="503" t="str">
        <f>IF(終値!A149="","",IF(AND(高値!H149&gt;高値!G149,高値!H149&gt;高値!F149,高値!H149&gt;高値!I149,高値!H149&gt;高値!J149),3,""))</f>
        <v/>
      </c>
      <c r="AE149" s="503" t="str">
        <f>IF(終値!A149="","",IF(AND(高値!I149&gt;高値!H149,高値!I149&gt;高値!G149,高値!I149&gt;高値!J149,高値!I149&gt;高値!K149),4,""))</f>
        <v/>
      </c>
      <c r="AF149" s="503" t="str">
        <f>IF(終値!A149="","",IF(AND(高値!J149&gt;高値!I149,高値!J149&gt;高値!H149,高値!J149&gt;高値!K149,高値!J149&gt;高値!L149),5,""))</f>
        <v/>
      </c>
      <c r="AG149" s="503" t="str">
        <f>IF(終値!A149="","",IF(AND(高値!K149&gt;高値!J149,高値!K149&gt;高値!I149,高値!K149&gt;高値!L149,高値!K149&gt;高値!M149),6,""))</f>
        <v/>
      </c>
      <c r="AH149" s="503" t="str">
        <f>IF(終値!A149="","",IF(AND(高値!L149&gt;高値!K149,高値!L149&gt;高値!J149,高値!L149&gt;高値!M149,高値!L149&gt;高値!N149),7,""))</f>
        <v/>
      </c>
      <c r="AI149" s="503" t="str">
        <f>IF(終値!A149="","",IF(AND(高値!M149&gt;高値!L149,高値!M149&gt;高値!K149,高値!M149&gt;高値!N149,高値!M149&gt;高値!O149),8,""))</f>
        <v/>
      </c>
      <c r="AJ149" s="503" t="str">
        <f>IF(終値!A149="","",IF(AND(高値!N149&gt;高値!M149,高値!N149&gt;高値!L149,高値!N149&gt;高値!O149,高値!N149&gt;高値!P149),9,""))</f>
        <v/>
      </c>
      <c r="AK149" s="503" t="str">
        <f>IF(終値!A149="","",IF(AND(高値!O149&gt;高値!N149,高値!O149&gt;高値!M149,高値!O149&gt;高値!P149,高値!O149&gt;高値!Q149),10,""))</f>
        <v/>
      </c>
      <c r="AL149" s="503" t="str">
        <f>IF(終値!A149="","",IF(AND(高値!P149&gt;高値!O149,高値!P149&gt;高値!N149,高値!P149&gt;高値!Q149,高値!P149&gt;高値!R149),11,""))</f>
        <v/>
      </c>
      <c r="AM149" s="503" t="str">
        <f>IF(終値!A149="","",IF(AND(高値!Q149&gt;高値!P149,高値!Q149&gt;高値!O149,高値!Q149&gt;高値!R149,高値!Q149&gt;高値!S149),12,""))</f>
        <v/>
      </c>
      <c r="AN149" s="503" t="str">
        <f>IF(終値!A149="","",IF(AND(高値!R149&gt;高値!Q149,高値!R149&gt;高値!P149,高値!R149&gt;高値!S149,高値!R149&gt;高値!T149),13,""))</f>
        <v/>
      </c>
      <c r="AO149" s="503" t="str">
        <f>IF(終値!A149="","",IF(AND(高値!S149&gt;高値!R149,高値!S149&gt;高値!Q149,高値!S149&gt;高値!T149,高値!S149&gt;高値!U149),14,""))</f>
        <v/>
      </c>
      <c r="AP149" s="503" t="str">
        <f>IF(終値!A149="","",IF(AND(高値!T149&gt;高値!S149,高値!T149&gt;高値!R149,高値!T149&gt;高値!U149,高値!T149&gt;高値!V149),15,""))</f>
        <v/>
      </c>
      <c r="AQ149" s="503" t="str">
        <f>IF(終値!A149="","",IF(AND(高値!U149&gt;高値!T149,高値!U149&gt;高値!S149,高値!U149&gt;高値!V149,高値!U149&gt;高値!W149),16,""))</f>
        <v/>
      </c>
      <c r="AR149" s="503" t="str">
        <f>IF(終値!A149="","",IF(AND(高値!V149&gt;高値!U149,高値!V149&gt;高値!T149,高値!V149&gt;高値!W149,高値!V149&gt;高値!X149),17,""))</f>
        <v/>
      </c>
      <c r="AS149" s="503" t="str">
        <f>IF(終値!A149="","",IF(AND(高値!W149&gt;高値!V149,高値!W149&gt;高値!U149,高値!W149&gt;高値!X149,高値!W149&gt;高値!Y149),18,""))</f>
        <v/>
      </c>
      <c r="AT149" s="503" t="str">
        <f>IF(終値!A149="","",IF(AND(高値!X149&gt;高値!W149,高値!X149&gt;高値!V149,高値!X149&gt;高値!Y149,高値!X149&gt;高値!Z149),19,""))</f>
        <v/>
      </c>
      <c r="AU149" s="503" t="str">
        <f>IF(終値!A149="","",IF(AND(高値!Y149&gt;高値!X149,高値!Y149&gt;高値!W149,高値!Y149&gt;高値!Z149,高値!Y149&gt;高値!AA149),20,""))</f>
        <v/>
      </c>
      <c r="AV149" s="503" t="str">
        <f>IF(終値!A149="","",IF(AND(高値!Z149&gt;高値!Y149,高値!Z149&gt;高値!X149,高値!Z149&gt;高値!AA149,高値!Z149&gt;高値!AB149),21,""))</f>
        <v/>
      </c>
      <c r="AW149" s="503" t="str">
        <f>IF(終値!A149="","",IF(AND(高値!AA149&gt;高値!Z149,高値!AA149&gt;高値!Y149,高値!AA149&gt;高値!AB149,高値!AA149&gt;高値!AC149),22,""))</f>
        <v/>
      </c>
      <c r="AX149" s="503" t="str">
        <f>IF(終値!A149="","",IF(AND(高値!AB149&gt;高値!AA149,高値!AB149&gt;高値!Z149,高値!AB149&gt;高値!AC149,高値!AB149&gt;高値!AD149),23,""))</f>
        <v/>
      </c>
      <c r="AY149" s="503" t="str">
        <f>IF(終値!A149="","",IF(AND(高値!AC149&gt;高値!AB149,高値!AC149&gt;高値!AA149,高値!AC149&gt;高値!AD149,高値!AC149&gt;高値!AE149),24,""))</f>
        <v/>
      </c>
      <c r="AZ149" s="503" t="str">
        <f>IF(終値!A149="","",IF(AND(高値!AD149&gt;高値!AC149,高値!AD149&gt;高値!AB149,高値!AD149&gt;高値!AE149,高値!AD149&gt;高値!AF149),25,""))</f>
        <v/>
      </c>
      <c r="BA149" s="503" t="str">
        <f>IF(終値!A149="","",IF(AND(高値!AE149&gt;高値!AD149,高値!AE149&gt;高値!AC149,高値!AE149&gt;高値!AF149,高値!AE149&gt;高値!AG149),26,""))</f>
        <v/>
      </c>
      <c r="BB149" s="503" t="str">
        <f>IF(終値!A149="","",IF(AND(高値!AF149&gt;高値!AE149,高値!AF149&gt;高値!AD149,高値!AF149&gt;高値!AG149,高値!AF149&gt;高値!AH149),27,""))</f>
        <v/>
      </c>
      <c r="BC149" s="503" t="str">
        <f>IF(終値!A149="","",IF(AND(高値!AG149&gt;高値!AF149,高値!AG149&gt;高値!AE149,高値!AG149&gt;高値!AH149,高値!AG149&gt;高値!AI149),28,""))</f>
        <v/>
      </c>
      <c r="BD149" s="503">
        <f t="shared" si="12"/>
        <v>0</v>
      </c>
      <c r="BE149" s="503" t="str">
        <f t="shared" si="13"/>
        <v/>
      </c>
      <c r="BF149" s="503" t="str">
        <f t="shared" si="14"/>
        <v/>
      </c>
      <c r="BG149" s="503" t="str">
        <f>IF($BE149="","",INDEX(安値!$E149:$CZ149,1,$BE149+1))</f>
        <v/>
      </c>
      <c r="BH149" s="503" t="str">
        <f>IF($BF149="","",INDEX(安値!$E149:$CZ149,1,$BF149+1))</f>
        <v/>
      </c>
      <c r="BI149" s="503" t="str">
        <f>IF($BF149="","",MAX(INDEX(高値!$E149:$CZ149,1,$BE149+1):INDEX(高値!$E149:$CZ149,1,$BF149+1)))</f>
        <v/>
      </c>
      <c r="BJ149" s="503" t="str">
        <f>IF($BF149="","",AVERAGE(INDEX(終値!$E149:$CZ149,1,$BF149+1):INDEX(終値!$E149:$CZ149,1,$BF149+20))-2*STDEVP(INDEX(終値!$E149:$CZ149,1,$BF149+1):INDEX(終値!$E149:$CZ149,1,$BF149+20)))</f>
        <v/>
      </c>
      <c r="BK149" s="503" t="str">
        <f>IF($BE149="","",AVERAGE(INDEX(終値!$E149:$CZ149,1,$BE149+1):INDEX(終値!$E149:$CZ149,1,$BE149+20))-2*STDEVP(INDEX(終値!$E149:$CZ149,1,$BE149+1):INDEX(終値!$E149:$CZ149,1,$BE149+20)))</f>
        <v/>
      </c>
      <c r="BL149" s="503">
        <f t="shared" si="15"/>
        <v>0</v>
      </c>
      <c r="BM149" s="503" t="str">
        <f t="shared" si="16"/>
        <v/>
      </c>
      <c r="BN149" s="503" t="str">
        <f t="shared" si="17"/>
        <v/>
      </c>
      <c r="BO149" s="503" t="str">
        <f>IF($BM149="","",INDEX(高値!$E149:$CZ149,1,$BM149+1))</f>
        <v/>
      </c>
      <c r="BP149" s="503" t="str">
        <f>IF($BN149="","",INDEX(高値!$E149:$CZ149,1,$BN149+1))</f>
        <v/>
      </c>
      <c r="BQ149" s="503" t="str">
        <f>IF($BN149="","",MIN(INDEX(安値!$E149:$CZ149,1,$BM149+1):INDEX(安値!$E149:$CZ149,1,$BN149+1)))</f>
        <v/>
      </c>
      <c r="BR149" s="503" t="str">
        <f>IF($BN149="","",AVERAGE(INDEX(終値!$E149:$CZ149,1,$BN149+1):INDEX(終値!$E149:$CZ149,1,$BN149+20))+2*STDEVP(INDEX(終値!$E149:$CZ149,1,$BN149+1):INDEX(終値!$E149:$CZ149,1,$BN149+20)))</f>
        <v/>
      </c>
      <c r="BS149" s="503" t="str">
        <f>IF($BM149="","",AVERAGE(INDEX(終値!$E149:$CZ149,1,$BM149+1):INDEX(終値!$E149:$CZ149,1,$BM149+20))+2*STDEVP(INDEX(終値!$E149:$CZ149,1,$BM149+1):INDEX(終値!$E149:$CZ149,1,$BM149+20)))</f>
        <v/>
      </c>
      <c r="BT149" s="500"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3" t="str">
        <f>IF(終値!A150="","",IF(AND(安値!G150&lt;安値!F150,安値!G150&lt;安値!E150,安値!G150&lt;安値!H150,安値!G150&lt;安値!I150),2,""))</f>
        <v/>
      </c>
      <c r="C150" s="503" t="str">
        <f>IF(終値!A150="","",IF(AND(安値!H150&lt;安値!G150,安値!H150&lt;安値!F150,安値!H150&lt;安値!I150,安値!H150&lt;安値!J150),3,""))</f>
        <v/>
      </c>
      <c r="D150" s="503" t="str">
        <f>IF(終値!A150="","",IF(AND(安値!I150&lt;安値!H150,安値!I150&lt;安値!G150,安値!I150&lt;安値!J150,安値!I150&lt;安値!K150),4,""))</f>
        <v/>
      </c>
      <c r="E150" s="503" t="str">
        <f>IF(終値!A150="","",IF(AND(安値!J150&lt;安値!I150,安値!J150&lt;安値!H150,安値!J150&lt;安値!K150,安値!J150&lt;安値!L150),5,""))</f>
        <v/>
      </c>
      <c r="F150" s="503" t="str">
        <f>IF(終値!A150="","",IF(AND(安値!K150&lt;安値!J150,安値!K150&lt;安値!I150,安値!K150&lt;安値!L150,安値!K150&lt;安値!M150),6,""))</f>
        <v/>
      </c>
      <c r="G150" s="503" t="str">
        <f>IF(終値!A150="","",IF(AND(安値!L150&lt;安値!K150,安値!L150&lt;安値!J150,安値!L150&lt;安値!M150,安値!L150&lt;安値!N150),7,""))</f>
        <v/>
      </c>
      <c r="H150" s="503" t="str">
        <f>IF(終値!A150="","",IF(AND(安値!M150&lt;安値!L150,安値!M150&lt;安値!K150,安値!M150&lt;安値!N150,安値!M150&lt;安値!O150),8,""))</f>
        <v/>
      </c>
      <c r="I150" s="503" t="str">
        <f>IF(終値!A150="","",IF(AND(安値!N150&lt;安値!M150,安値!N150&lt;安値!L150,安値!N150&lt;安値!O150,安値!N150&lt;安値!P150),9,""))</f>
        <v/>
      </c>
      <c r="J150" s="503">
        <f>IF(終値!A150="","",IF(AND(安値!O150&lt;安値!N150,安値!O150&lt;安値!M150,安値!O150&lt;安値!P150,安値!O150&lt;安値!Q150),10,""))</f>
        <v>10</v>
      </c>
      <c r="K150" s="503" t="str">
        <f>IF(終値!A150="","",IF(AND(安値!P150&lt;安値!O150,安値!P150&lt;安値!N150,安値!P150&lt;安値!Q150,安値!P150&lt;安値!R150),11,""))</f>
        <v/>
      </c>
      <c r="L150" s="503" t="str">
        <f>IF(終値!A150="","",IF(AND(安値!Q150&lt;安値!P150,安値!Q150&lt;安値!O150,安値!Q150&lt;安値!R150,安値!Q150&lt;安値!S150),12,""))</f>
        <v/>
      </c>
      <c r="M150" s="503" t="str">
        <f>IF(終値!A150="","",IF(AND(安値!R150&lt;安値!Q150,安値!R150&lt;安値!P150,安値!R150&lt;安値!S150,安値!R150&lt;安値!T150),13,""))</f>
        <v/>
      </c>
      <c r="N150" s="503">
        <f>IF(終値!A150="","",IF(AND(安値!S150&lt;安値!R150,安値!S150&lt;安値!Q150,安値!S150&lt;安値!T150,安値!S150&lt;安値!U150),14,""))</f>
        <v>14</v>
      </c>
      <c r="O150" s="503" t="str">
        <f>IF(終値!A150="","",IF(AND(安値!T150&lt;安値!S150,安値!T150&lt;安値!R150,安値!T150&lt;安値!U150,安値!T150&lt;安値!V150),15,""))</f>
        <v/>
      </c>
      <c r="P150" s="503" t="str">
        <f>IF(終値!A150="","",IF(AND(安値!U150&lt;安値!T150,安値!U150&lt;安値!S150,安値!U150&lt;安値!V150,安値!U150&lt;安値!W150),16,""))</f>
        <v/>
      </c>
      <c r="Q150" s="503" t="str">
        <f>IF(終値!A150="","",IF(AND(安値!V150&lt;安値!U150,安値!V150&lt;安値!T150,安値!V150&lt;安値!W150,安値!V150&lt;安値!X150),17,""))</f>
        <v/>
      </c>
      <c r="R150" s="503">
        <f>IF(終値!A150="","",IF(AND(安値!W150&lt;安値!V150,安値!W150&lt;安値!U150,安値!W150&lt;安値!X150,安値!W150&lt;安値!Y150),18,""))</f>
        <v>18</v>
      </c>
      <c r="S150" s="503" t="str">
        <f>IF(終値!A150="","",IF(AND(安値!X150&lt;安値!W150,安値!X150&lt;安値!V150,安値!X150&lt;安値!Y150,安値!X150&lt;安値!Z150),19,""))</f>
        <v/>
      </c>
      <c r="T150" s="503" t="str">
        <f>IF(終値!A150="","",IF(AND(安値!Y150&lt;安値!X150,安値!Y150&lt;安値!W150,安値!Y150&lt;安値!Z150,安値!Y150&lt;安値!AA150),20,""))</f>
        <v/>
      </c>
      <c r="U150" s="503" t="str">
        <f>IF(終値!A150="","",IF(AND(安値!Z150&lt;安値!Y150,安値!Z150&lt;安値!X150,安値!Z150&lt;安値!AA150,安値!Z150&lt;安値!AB150),21,""))</f>
        <v/>
      </c>
      <c r="V150" s="503" t="str">
        <f>IF(終値!A150="","",IF(AND(安値!AA150&lt;安値!Z150,安値!AA150&lt;安値!Y150,安値!AA150&lt;安値!AB150,安値!AA150&lt;安値!AC150),22,""))</f>
        <v/>
      </c>
      <c r="W150" s="503" t="str">
        <f>IF(終値!A150="","",IF(AND(安値!AB150&lt;安値!AA150,安値!AB150&lt;安値!Z150,安値!AB150&lt;安値!AC150,安値!AB150&lt;安値!AD150),23,""))</f>
        <v/>
      </c>
      <c r="X150" s="503" t="str">
        <f>IF(終値!A150="","",IF(AND(安値!AC150&lt;安値!AB150,安値!AC150&lt;安値!AA150,安値!AC150&lt;安値!AD150,安値!AC150&lt;安値!AE150),24,""))</f>
        <v/>
      </c>
      <c r="Y150" s="503" t="str">
        <f>IF(終値!A150="","",IF(AND(安値!AD150&lt;安値!AC150,安値!AD150&lt;安値!AB150,安値!AD150&lt;安値!AE150,安値!AD150&lt;安値!AF150),25,""))</f>
        <v/>
      </c>
      <c r="Z150" s="503" t="str">
        <f>IF(終値!A150="","",IF(AND(安値!AE150&lt;安値!AD150,安値!AE150&lt;安値!AC150,安値!AE150&lt;安値!AF150,安値!AE150&lt;安値!AG150),26,""))</f>
        <v/>
      </c>
      <c r="AA150" s="503">
        <f>IF(終値!A150="","",IF(AND(安値!AF150&lt;安値!AE150,安値!AF150&lt;安値!AD150,安値!AF150&lt;安値!AG150,安値!AF150&lt;安値!AH150),27,""))</f>
        <v>27</v>
      </c>
      <c r="AB150" s="503" t="str">
        <f>IF(終値!A150="","",IF(AND(安値!AG150&lt;安値!AF150,安値!AG150&lt;安値!AE150,安値!AG150&lt;安値!AH150,安値!AG150&lt;安値!AI150),28,""))</f>
        <v/>
      </c>
      <c r="AC150" s="503" t="str">
        <f>IF(終値!A150="","",IF(AND(高値!G150&gt;高値!F150,高値!G150&gt;高値!E150,高値!G150&gt;高値!H150,高値!G150&gt;高値!I150),2,""))</f>
        <v/>
      </c>
      <c r="AD150" s="503" t="str">
        <f>IF(終値!A150="","",IF(AND(高値!H150&gt;高値!G150,高値!H150&gt;高値!F150,高値!H150&gt;高値!I150,高値!H150&gt;高値!J150),3,""))</f>
        <v/>
      </c>
      <c r="AE150" s="503" t="str">
        <f>IF(終値!A150="","",IF(AND(高値!I150&gt;高値!H150,高値!I150&gt;高値!G150,高値!I150&gt;高値!J150,高値!I150&gt;高値!K150),4,""))</f>
        <v/>
      </c>
      <c r="AF150" s="503">
        <f>IF(終値!A150="","",IF(AND(高値!J150&gt;高値!I150,高値!J150&gt;高値!H150,高値!J150&gt;高値!K150,高値!J150&gt;高値!L150),5,""))</f>
        <v>5</v>
      </c>
      <c r="AG150" s="503" t="str">
        <f>IF(終値!A150="","",IF(AND(高値!K150&gt;高値!J150,高値!K150&gt;高値!I150,高値!K150&gt;高値!L150,高値!K150&gt;高値!M150),6,""))</f>
        <v/>
      </c>
      <c r="AH150" s="503" t="str">
        <f>IF(終値!A150="","",IF(AND(高値!L150&gt;高値!K150,高値!L150&gt;高値!J150,高値!L150&gt;高値!M150,高値!L150&gt;高値!N150),7,""))</f>
        <v/>
      </c>
      <c r="AI150" s="503" t="str">
        <f>IF(終値!A150="","",IF(AND(高値!M150&gt;高値!L150,高値!M150&gt;高値!K150,高値!M150&gt;高値!N150,高値!M150&gt;高値!O150),8,""))</f>
        <v/>
      </c>
      <c r="AJ150" s="503" t="str">
        <f>IF(終値!A150="","",IF(AND(高値!N150&gt;高値!M150,高値!N150&gt;高値!L150,高値!N150&gt;高値!O150,高値!N150&gt;高値!P150),9,""))</f>
        <v/>
      </c>
      <c r="AK150" s="503" t="str">
        <f>IF(終値!A150="","",IF(AND(高値!O150&gt;高値!N150,高値!O150&gt;高値!M150,高値!O150&gt;高値!P150,高値!O150&gt;高値!Q150),10,""))</f>
        <v/>
      </c>
      <c r="AL150" s="503" t="str">
        <f>IF(終値!A150="","",IF(AND(高値!P150&gt;高値!O150,高値!P150&gt;高値!N150,高値!P150&gt;高値!Q150,高値!P150&gt;高値!R150),11,""))</f>
        <v/>
      </c>
      <c r="AM150" s="503" t="str">
        <f>IF(終値!A150="","",IF(AND(高値!Q150&gt;高値!P150,高値!Q150&gt;高値!O150,高値!Q150&gt;高値!R150,高値!Q150&gt;高値!S150),12,""))</f>
        <v/>
      </c>
      <c r="AN150" s="503" t="str">
        <f>IF(終値!A150="","",IF(AND(高値!R150&gt;高値!Q150,高値!R150&gt;高値!P150,高値!R150&gt;高値!S150,高値!R150&gt;高値!T150),13,""))</f>
        <v/>
      </c>
      <c r="AO150" s="503" t="str">
        <f>IF(終値!A150="","",IF(AND(高値!S150&gt;高値!R150,高値!S150&gt;高値!Q150,高値!S150&gt;高値!T150,高値!S150&gt;高値!U150),14,""))</f>
        <v/>
      </c>
      <c r="AP150" s="503">
        <f>IF(終値!A150="","",IF(AND(高値!T150&gt;高値!S150,高値!T150&gt;高値!R150,高値!T150&gt;高値!U150,高値!T150&gt;高値!V150),15,""))</f>
        <v>15</v>
      </c>
      <c r="AQ150" s="503" t="str">
        <f>IF(終値!A150="","",IF(AND(高値!U150&gt;高値!T150,高値!U150&gt;高値!S150,高値!U150&gt;高値!V150,高値!U150&gt;高値!W150),16,""))</f>
        <v/>
      </c>
      <c r="AR150" s="503" t="str">
        <f>IF(終値!A150="","",IF(AND(高値!V150&gt;高値!U150,高値!V150&gt;高値!T150,高値!V150&gt;高値!W150,高値!V150&gt;高値!X150),17,""))</f>
        <v/>
      </c>
      <c r="AS150" s="503" t="str">
        <f>IF(終値!A150="","",IF(AND(高値!W150&gt;高値!V150,高値!W150&gt;高値!U150,高値!W150&gt;高値!X150,高値!W150&gt;高値!Y150),18,""))</f>
        <v/>
      </c>
      <c r="AT150" s="503">
        <f>IF(終値!A150="","",IF(AND(高値!X150&gt;高値!W150,高値!X150&gt;高値!V150,高値!X150&gt;高値!Y150,高値!X150&gt;高値!Z150),19,""))</f>
        <v>19</v>
      </c>
      <c r="AU150" s="503" t="str">
        <f>IF(終値!A150="","",IF(AND(高値!Y150&gt;高値!X150,高値!Y150&gt;高値!W150,高値!Y150&gt;高値!Z150,高値!Y150&gt;高値!AA150),20,""))</f>
        <v/>
      </c>
      <c r="AV150" s="503" t="str">
        <f>IF(終値!A150="","",IF(AND(高値!Z150&gt;高値!Y150,高値!Z150&gt;高値!X150,高値!Z150&gt;高値!AA150,高値!Z150&gt;高値!AB150),21,""))</f>
        <v/>
      </c>
      <c r="AW150" s="503" t="str">
        <f>IF(終値!A150="","",IF(AND(高値!AA150&gt;高値!Z150,高値!AA150&gt;高値!Y150,高値!AA150&gt;高値!AB150,高値!AA150&gt;高値!AC150),22,""))</f>
        <v/>
      </c>
      <c r="AX150" s="503" t="str">
        <f>IF(終値!A150="","",IF(AND(高値!AB150&gt;高値!AA150,高値!AB150&gt;高値!Z150,高値!AB150&gt;高値!AC150,高値!AB150&gt;高値!AD150),23,""))</f>
        <v/>
      </c>
      <c r="AY150" s="503" t="str">
        <f>IF(終値!A150="","",IF(AND(高値!AC150&gt;高値!AB150,高値!AC150&gt;高値!AA150,高値!AC150&gt;高値!AD150,高値!AC150&gt;高値!AE150),24,""))</f>
        <v/>
      </c>
      <c r="AZ150" s="503" t="str">
        <f>IF(終値!A150="","",IF(AND(高値!AD150&gt;高値!AC150,高値!AD150&gt;高値!AB150,高値!AD150&gt;高値!AE150,高値!AD150&gt;高値!AF150),25,""))</f>
        <v/>
      </c>
      <c r="BA150" s="503">
        <f>IF(終値!A150="","",IF(AND(高値!AE150&gt;高値!AD150,高値!AE150&gt;高値!AC150,高値!AE150&gt;高値!AF150,高値!AE150&gt;高値!AG150),26,""))</f>
        <v>26</v>
      </c>
      <c r="BB150" s="503" t="str">
        <f>IF(終値!A150="","",IF(AND(高値!AF150&gt;高値!AE150,高値!AF150&gt;高値!AD150,高値!AF150&gt;高値!AG150,高値!AF150&gt;高値!AH150),27,""))</f>
        <v/>
      </c>
      <c r="BC150" s="503" t="str">
        <f>IF(終値!A150="","",IF(AND(高値!AG150&gt;高値!AF150,高値!AG150&gt;高値!AE150,高値!AG150&gt;高値!AH150,高値!AG150&gt;高値!AI150),28,""))</f>
        <v/>
      </c>
      <c r="BD150" s="503">
        <f t="shared" si="12"/>
        <v>4</v>
      </c>
      <c r="BE150" s="503">
        <f t="shared" si="13"/>
        <v>10</v>
      </c>
      <c r="BF150" s="503">
        <f t="shared" si="14"/>
        <v>14</v>
      </c>
      <c r="BG150" s="503">
        <f>IF($BE150="","",INDEX(安値!$E150:$CZ150,1,$BE150+1))</f>
        <v>4868</v>
      </c>
      <c r="BH150" s="503">
        <f>IF($BF150="","",INDEX(安値!$E150:$CZ150,1,$BF150+1))</f>
        <v>4787</v>
      </c>
      <c r="BI150" s="503">
        <f>IF($BF150="","",MAX(INDEX(高値!$E150:$CZ150,1,$BE150+1):INDEX(高値!$E150:$CZ150,1,$BF150+1)))</f>
        <v>5180</v>
      </c>
      <c r="BJ150" s="503">
        <f>IF($BF150="","",AVERAGE(INDEX(終値!$E150:$CZ150,1,$BF150+1):INDEX(終値!$E150:$CZ150,1,$BF150+20))-2*STDEVP(INDEX(終値!$E150:$CZ150,1,$BF150+1):INDEX(終値!$E150:$CZ150,1,$BF150+20)))</f>
        <v>4093.1918669403749</v>
      </c>
      <c r="BK150" s="503">
        <f>IF($BE150="","",AVERAGE(INDEX(終値!$E150:$CZ150,1,$BE150+1):INDEX(終値!$E150:$CZ150,1,$BE150+20))-2*STDEVP(INDEX(終値!$E150:$CZ150,1,$BE150+1):INDEX(終値!$E150:$CZ150,1,$BE150+20)))</f>
        <v>4290.4884123063975</v>
      </c>
      <c r="BL150" s="503">
        <f t="shared" si="15"/>
        <v>4</v>
      </c>
      <c r="BM150" s="503">
        <f t="shared" si="16"/>
        <v>5</v>
      </c>
      <c r="BN150" s="503">
        <f t="shared" si="17"/>
        <v>15</v>
      </c>
      <c r="BO150" s="503">
        <f>IF($BM150="","",INDEX(高値!$E150:$CZ150,1,$BM150+1))</f>
        <v>5620</v>
      </c>
      <c r="BP150" s="503">
        <f>IF($BN150="","",INDEX(高値!$E150:$CZ150,1,$BN150+1))</f>
        <v>5199</v>
      </c>
      <c r="BQ150" s="503">
        <f>IF($BN150="","",MIN(INDEX(安値!$E150:$CZ150,1,$BM150+1):INDEX(安値!$E150:$CZ150,1,$BN150+1)))</f>
        <v>4787</v>
      </c>
      <c r="BR150" s="503">
        <f>IF($BN150="","",AVERAGE(INDEX(終値!$E150:$CZ150,1,$BN150+1):INDEX(終値!$E150:$CZ150,1,$BN150+20))+2*STDEVP(INDEX(終値!$E150:$CZ150,1,$BN150+1):INDEX(終値!$E150:$CZ150,1,$BN150+20)))</f>
        <v>5309.7664246252298</v>
      </c>
      <c r="BS150" s="503">
        <f>IF($BM150="","",AVERAGE(INDEX(終値!$E150:$CZ150,1,$BM150+1):INDEX(終値!$E150:$CZ150,1,$BM150+20))+2*STDEVP(INDEX(終値!$E150:$CZ150,1,$BM150+1):INDEX(終値!$E150:$CZ150,1,$BM150+20)))</f>
        <v>5503.0096694139202</v>
      </c>
      <c r="BT150" s="500"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v>
      </c>
    </row>
    <row r="151" spans="2:72">
      <c r="B151" s="503" t="str">
        <f>IF(終値!A151="","",IF(AND(安値!G151&lt;安値!F151,安値!G151&lt;安値!E151,安値!G151&lt;安値!H151,安値!G151&lt;安値!I151),2,""))</f>
        <v/>
      </c>
      <c r="C151" s="503" t="str">
        <f>IF(終値!A151="","",IF(AND(安値!H151&lt;安値!G151,安値!H151&lt;安値!F151,安値!H151&lt;安値!I151,安値!H151&lt;安値!J151),3,""))</f>
        <v/>
      </c>
      <c r="D151" s="503" t="str">
        <f>IF(終値!A151="","",IF(AND(安値!I151&lt;安値!H151,安値!I151&lt;安値!G151,安値!I151&lt;安値!J151,安値!I151&lt;安値!K151),4,""))</f>
        <v/>
      </c>
      <c r="E151" s="503">
        <f>IF(終値!A151="","",IF(AND(安値!J151&lt;安値!I151,安値!J151&lt;安値!H151,安値!J151&lt;安値!K151,安値!J151&lt;安値!L151),5,""))</f>
        <v>5</v>
      </c>
      <c r="F151" s="503" t="str">
        <f>IF(終値!A151="","",IF(AND(安値!K151&lt;安値!J151,安値!K151&lt;安値!I151,安値!K151&lt;安値!L151,安値!K151&lt;安値!M151),6,""))</f>
        <v/>
      </c>
      <c r="G151" s="503" t="str">
        <f>IF(終値!A151="","",IF(AND(安値!L151&lt;安値!K151,安値!L151&lt;安値!J151,安値!L151&lt;安値!M151,安値!L151&lt;安値!N151),7,""))</f>
        <v/>
      </c>
      <c r="H151" s="503" t="str">
        <f>IF(終値!A151="","",IF(AND(安値!M151&lt;安値!L151,安値!M151&lt;安値!K151,安値!M151&lt;安値!N151,安値!M151&lt;安値!O151),8,""))</f>
        <v/>
      </c>
      <c r="I151" s="503">
        <f>IF(終値!A151="","",IF(AND(安値!N151&lt;安値!M151,安値!N151&lt;安値!L151,安値!N151&lt;安値!O151,安値!N151&lt;安値!P151),9,""))</f>
        <v>9</v>
      </c>
      <c r="J151" s="503" t="str">
        <f>IF(終値!A151="","",IF(AND(安値!O151&lt;安値!N151,安値!O151&lt;安値!M151,安値!O151&lt;安値!P151,安値!O151&lt;安値!Q151),10,""))</f>
        <v/>
      </c>
      <c r="K151" s="503" t="str">
        <f>IF(終値!A151="","",IF(AND(安値!P151&lt;安値!O151,安値!P151&lt;安値!N151,安値!P151&lt;安値!Q151,安値!P151&lt;安値!R151),11,""))</f>
        <v/>
      </c>
      <c r="L151" s="503" t="str">
        <f>IF(終値!A151="","",IF(AND(安値!Q151&lt;安値!P151,安値!Q151&lt;安値!O151,安値!Q151&lt;安値!R151,安値!Q151&lt;安値!S151),12,""))</f>
        <v/>
      </c>
      <c r="M151" s="503">
        <f>IF(終値!A151="","",IF(AND(安値!R151&lt;安値!Q151,安値!R151&lt;安値!P151,安値!R151&lt;安値!S151,安値!R151&lt;安値!T151),13,""))</f>
        <v>13</v>
      </c>
      <c r="N151" s="503" t="str">
        <f>IF(終値!A151="","",IF(AND(安値!S151&lt;安値!R151,安値!S151&lt;安値!Q151,安値!S151&lt;安値!T151,安値!S151&lt;安値!U151),14,""))</f>
        <v/>
      </c>
      <c r="O151" s="503" t="str">
        <f>IF(終値!A151="","",IF(AND(安値!T151&lt;安値!S151,安値!T151&lt;安値!R151,安値!T151&lt;安値!U151,安値!T151&lt;安値!V151),15,""))</f>
        <v/>
      </c>
      <c r="P151" s="503" t="str">
        <f>IF(終値!A151="","",IF(AND(安値!U151&lt;安値!T151,安値!U151&lt;安値!S151,安値!U151&lt;安値!V151,安値!U151&lt;安値!W151),16,""))</f>
        <v/>
      </c>
      <c r="Q151" s="503" t="str">
        <f>IF(終値!A151="","",IF(AND(安値!V151&lt;安値!U151,安値!V151&lt;安値!T151,安値!V151&lt;安値!W151,安値!V151&lt;安値!X151),17,""))</f>
        <v/>
      </c>
      <c r="R151" s="503">
        <f>IF(終値!A151="","",IF(AND(安値!W151&lt;安値!V151,安値!W151&lt;安値!U151,安値!W151&lt;安値!X151,安値!W151&lt;安値!Y151),18,""))</f>
        <v>18</v>
      </c>
      <c r="S151" s="503" t="str">
        <f>IF(終値!A151="","",IF(AND(安値!X151&lt;安値!W151,安値!X151&lt;安値!V151,安値!X151&lt;安値!Y151,安値!X151&lt;安値!Z151),19,""))</f>
        <v/>
      </c>
      <c r="T151" s="503" t="str">
        <f>IF(終値!A151="","",IF(AND(安値!Y151&lt;安値!X151,安値!Y151&lt;安値!W151,安値!Y151&lt;安値!Z151,安値!Y151&lt;安値!AA151),20,""))</f>
        <v/>
      </c>
      <c r="U151" s="503" t="str">
        <f>IF(終値!A151="","",IF(AND(安値!Z151&lt;安値!Y151,安値!Z151&lt;安値!X151,安値!Z151&lt;安値!AA151,安値!Z151&lt;安値!AB151),21,""))</f>
        <v/>
      </c>
      <c r="V151" s="503" t="str">
        <f>IF(終値!A151="","",IF(AND(安値!AA151&lt;安値!Z151,安値!AA151&lt;安値!Y151,安値!AA151&lt;安値!AB151,安値!AA151&lt;安値!AC151),22,""))</f>
        <v/>
      </c>
      <c r="W151" s="503" t="str">
        <f>IF(終値!A151="","",IF(AND(安値!AB151&lt;安値!AA151,安値!AB151&lt;安値!Z151,安値!AB151&lt;安値!AC151,安値!AB151&lt;安値!AD151),23,""))</f>
        <v/>
      </c>
      <c r="X151" s="503" t="str">
        <f>IF(終値!A151="","",IF(AND(安値!AC151&lt;安値!AB151,安値!AC151&lt;安値!AA151,安値!AC151&lt;安値!AD151,安値!AC151&lt;安値!AE151),24,""))</f>
        <v/>
      </c>
      <c r="Y151" s="503" t="str">
        <f>IF(終値!A151="","",IF(AND(安値!AD151&lt;安値!AC151,安値!AD151&lt;安値!AB151,安値!AD151&lt;安値!AE151,安値!AD151&lt;安値!AF151),25,""))</f>
        <v/>
      </c>
      <c r="Z151" s="503" t="str">
        <f>IF(終値!A151="","",IF(AND(安値!AE151&lt;安値!AD151,安値!AE151&lt;安値!AC151,安値!AE151&lt;安値!AF151,安値!AE151&lt;安値!AG151),26,""))</f>
        <v/>
      </c>
      <c r="AA151" s="503" t="str">
        <f>IF(終値!A151="","",IF(AND(安値!AF151&lt;安値!AE151,安値!AF151&lt;安値!AD151,安値!AF151&lt;安値!AG151,安値!AF151&lt;安値!AH151),27,""))</f>
        <v/>
      </c>
      <c r="AB151" s="503" t="str">
        <f>IF(終値!A151="","",IF(AND(安値!AG151&lt;安値!AF151,安値!AG151&lt;安値!AE151,安値!AG151&lt;安値!AH151,安値!AG151&lt;安値!AI151),28,""))</f>
        <v/>
      </c>
      <c r="AC151" s="503" t="str">
        <f>IF(終値!A151="","",IF(AND(高値!G151&gt;高値!F151,高値!G151&gt;高値!E151,高値!G151&gt;高値!H151,高値!G151&gt;高値!I151),2,""))</f>
        <v/>
      </c>
      <c r="AD151" s="503" t="str">
        <f>IF(終値!A151="","",IF(AND(高値!H151&gt;高値!G151,高値!H151&gt;高値!F151,高値!H151&gt;高値!I151,高値!H151&gt;高値!J151),3,""))</f>
        <v/>
      </c>
      <c r="AE151" s="503" t="str">
        <f>IF(終値!A151="","",IF(AND(高値!I151&gt;高値!H151,高値!I151&gt;高値!G151,高値!I151&gt;高値!J151,高値!I151&gt;高値!K151),4,""))</f>
        <v/>
      </c>
      <c r="AF151" s="503">
        <f>IF(終値!A151="","",IF(AND(高値!J151&gt;高値!I151,高値!J151&gt;高値!H151,高値!J151&gt;高値!K151,高値!J151&gt;高値!L151),5,""))</f>
        <v>5</v>
      </c>
      <c r="AG151" s="503" t="str">
        <f>IF(終値!A151="","",IF(AND(高値!K151&gt;高値!J151,高値!K151&gt;高値!I151,高値!K151&gt;高値!L151,高値!K151&gt;高値!M151),6,""))</f>
        <v/>
      </c>
      <c r="AH151" s="503" t="str">
        <f>IF(終値!A151="","",IF(AND(高値!L151&gt;高値!K151,高値!L151&gt;高値!J151,高値!L151&gt;高値!M151,高値!L151&gt;高値!N151),7,""))</f>
        <v/>
      </c>
      <c r="AI151" s="503" t="str">
        <f>IF(終値!A151="","",IF(AND(高値!M151&gt;高値!L151,高値!M151&gt;高値!K151,高値!M151&gt;高値!N151,高値!M151&gt;高値!O151),8,""))</f>
        <v/>
      </c>
      <c r="AJ151" s="503" t="str">
        <f>IF(終値!A151="","",IF(AND(高値!N151&gt;高値!M151,高値!N151&gt;高値!L151,高値!N151&gt;高値!O151,高値!N151&gt;高値!P151),9,""))</f>
        <v/>
      </c>
      <c r="AK151" s="503" t="str">
        <f>IF(終値!A151="","",IF(AND(高値!O151&gt;高値!N151,高値!O151&gt;高値!M151,高値!O151&gt;高値!P151,高値!O151&gt;高値!Q151),10,""))</f>
        <v/>
      </c>
      <c r="AL151" s="503">
        <f>IF(終値!A151="","",IF(AND(高値!P151&gt;高値!O151,高値!P151&gt;高値!N151,高値!P151&gt;高値!Q151,高値!P151&gt;高値!R151),11,""))</f>
        <v>11</v>
      </c>
      <c r="AM151" s="503" t="str">
        <f>IF(終値!A151="","",IF(AND(高値!Q151&gt;高値!P151,高値!Q151&gt;高値!O151,高値!Q151&gt;高値!R151,高値!Q151&gt;高値!S151),12,""))</f>
        <v/>
      </c>
      <c r="AN151" s="503" t="str">
        <f>IF(終値!A151="","",IF(AND(高値!R151&gt;高値!Q151,高値!R151&gt;高値!P151,高値!R151&gt;高値!S151,高値!R151&gt;高値!T151),13,""))</f>
        <v/>
      </c>
      <c r="AO151" s="503" t="str">
        <f>IF(終値!A151="","",IF(AND(高値!S151&gt;高値!R151,高値!S151&gt;高値!Q151,高値!S151&gt;高値!T151,高値!S151&gt;高値!U151),14,""))</f>
        <v/>
      </c>
      <c r="AP151" s="503" t="str">
        <f>IF(終値!A151="","",IF(AND(高値!T151&gt;高値!S151,高値!T151&gt;高値!R151,高値!T151&gt;高値!U151,高値!T151&gt;高値!V151),15,""))</f>
        <v/>
      </c>
      <c r="AQ151" s="503" t="str">
        <f>IF(終値!A151="","",IF(AND(高値!U151&gt;高値!T151,高値!U151&gt;高値!S151,高値!U151&gt;高値!V151,高値!U151&gt;高値!W151),16,""))</f>
        <v/>
      </c>
      <c r="AR151" s="503">
        <f>IF(終値!A151="","",IF(AND(高値!V151&gt;高値!U151,高値!V151&gt;高値!T151,高値!V151&gt;高値!W151,高値!V151&gt;高値!X151),17,""))</f>
        <v>17</v>
      </c>
      <c r="AS151" s="503" t="str">
        <f>IF(終値!A151="","",IF(AND(高値!W151&gt;高値!V151,高値!W151&gt;高値!U151,高値!W151&gt;高値!X151,高値!W151&gt;高値!Y151),18,""))</f>
        <v/>
      </c>
      <c r="AT151" s="503" t="str">
        <f>IF(終値!A151="","",IF(AND(高値!X151&gt;高値!W151,高値!X151&gt;高値!V151,高値!X151&gt;高値!Y151,高値!X151&gt;高値!Z151),19,""))</f>
        <v/>
      </c>
      <c r="AU151" s="503" t="str">
        <f>IF(終値!A151="","",IF(AND(高値!Y151&gt;高値!X151,高値!Y151&gt;高値!W151,高値!Y151&gt;高値!Z151,高値!Y151&gt;高値!AA151),20,""))</f>
        <v/>
      </c>
      <c r="AV151" s="503" t="str">
        <f>IF(終値!A151="","",IF(AND(高値!Z151&gt;高値!Y151,高値!Z151&gt;高値!X151,高値!Z151&gt;高値!AA151,高値!Z151&gt;高値!AB151),21,""))</f>
        <v/>
      </c>
      <c r="AW151" s="503" t="str">
        <f>IF(終値!A151="","",IF(AND(高値!AA151&gt;高値!Z151,高値!AA151&gt;高値!Y151,高値!AA151&gt;高値!AB151,高値!AA151&gt;高値!AC151),22,""))</f>
        <v/>
      </c>
      <c r="AX151" s="503" t="str">
        <f>IF(終値!A151="","",IF(AND(高値!AB151&gt;高値!AA151,高値!AB151&gt;高値!Z151,高値!AB151&gt;高値!AC151,高値!AB151&gt;高値!AD151),23,""))</f>
        <v/>
      </c>
      <c r="AY151" s="503" t="str">
        <f>IF(終値!A151="","",IF(AND(高値!AC151&gt;高値!AB151,高値!AC151&gt;高値!AA151,高値!AC151&gt;高値!AD151,高値!AC151&gt;高値!AE151),24,""))</f>
        <v/>
      </c>
      <c r="AZ151" s="503" t="str">
        <f>IF(終値!A151="","",IF(AND(高値!AD151&gt;高値!AC151,高値!AD151&gt;高値!AB151,高値!AD151&gt;高値!AE151,高値!AD151&gt;高値!AF151),25,""))</f>
        <v/>
      </c>
      <c r="BA151" s="503" t="str">
        <f>IF(終値!A151="","",IF(AND(高値!AE151&gt;高値!AD151,高値!AE151&gt;高値!AC151,高値!AE151&gt;高値!AF151,高値!AE151&gt;高値!AG151),26,""))</f>
        <v/>
      </c>
      <c r="BB151" s="503" t="str">
        <f>IF(終値!A151="","",IF(AND(高値!AF151&gt;高値!AE151,高値!AF151&gt;高値!AD151,高値!AF151&gt;高値!AG151,高値!AF151&gt;高値!AH151),27,""))</f>
        <v/>
      </c>
      <c r="BC151" s="503" t="str">
        <f>IF(終値!A151="","",IF(AND(高値!AG151&gt;高値!AF151,高値!AG151&gt;高値!AE151,高値!AG151&gt;高値!AH151,高値!AG151&gt;高値!AI151),28,""))</f>
        <v/>
      </c>
      <c r="BD151" s="503">
        <f t="shared" si="12"/>
        <v>4</v>
      </c>
      <c r="BE151" s="503">
        <f t="shared" si="13"/>
        <v>5</v>
      </c>
      <c r="BF151" s="503">
        <f t="shared" si="14"/>
        <v>9</v>
      </c>
      <c r="BG151" s="503">
        <f>IF($BE151="","",INDEX(安値!$E151:$CZ151,1,$BE151+1))</f>
        <v>5000</v>
      </c>
      <c r="BH151" s="503">
        <f>IF($BF151="","",INDEX(安値!$E151:$CZ151,1,$BF151+1))</f>
        <v>0</v>
      </c>
      <c r="BI151" s="503">
        <f>IF($BF151="","",MAX(INDEX(高値!$E151:$CZ151,1,$BE151+1):INDEX(高値!$E151:$CZ151,1,$BF151+1)))</f>
        <v>5870</v>
      </c>
      <c r="BJ151" s="503">
        <f>IF($BF151="","",AVERAGE(INDEX(終値!$E151:$CZ151,1,$BF151+1):INDEX(終値!$E151:$CZ151,1,$BF151+20))-2*STDEVP(INDEX(終値!$E151:$CZ151,1,$BF151+1):INDEX(終値!$E151:$CZ151,1,$BF151+20)))</f>
        <v>5302.2402903204666</v>
      </c>
      <c r="BK151" s="503">
        <f>IF($BE151="","",AVERAGE(INDEX(終値!$E151:$CZ151,1,$BE151+1):INDEX(終値!$E151:$CZ151,1,$BE151+20))-2*STDEVP(INDEX(終値!$E151:$CZ151,1,$BE151+1):INDEX(終値!$E151:$CZ151,1,$BE151+20)))</f>
        <v>5078.3681505975974</v>
      </c>
      <c r="BL151" s="503">
        <f t="shared" si="15"/>
        <v>3</v>
      </c>
      <c r="BM151" s="503">
        <f t="shared" si="16"/>
        <v>5</v>
      </c>
      <c r="BN151" s="503">
        <f t="shared" si="17"/>
        <v>11</v>
      </c>
      <c r="BO151" s="503">
        <f>IF($BM151="","",INDEX(高値!$E151:$CZ151,1,$BM151+1))</f>
        <v>5870</v>
      </c>
      <c r="BP151" s="503">
        <f>IF($BN151="","",INDEX(高値!$E151:$CZ151,1,$BN151+1))</f>
        <v>5940</v>
      </c>
      <c r="BQ151" s="503">
        <f>IF($BN151="","",MIN(INDEX(安値!$E151:$CZ151,1,$BM151+1):INDEX(安値!$E151:$CZ151,1,$BN151+1)))</f>
        <v>5000</v>
      </c>
      <c r="BR151" s="503">
        <f>IF($BN151="","",AVERAGE(INDEX(終値!$E151:$CZ151,1,$BN151+1):INDEX(終値!$E151:$CZ151,1,$BN151+20))+2*STDEVP(INDEX(終値!$E151:$CZ151,1,$BN151+1):INDEX(終値!$E151:$CZ151,1,$BN151+20)))</f>
        <v>7277.2525133589634</v>
      </c>
      <c r="BS151" s="503">
        <f>IF($BM151="","",AVERAGE(INDEX(終値!$E151:$CZ151,1,$BM151+1):INDEX(終値!$E151:$CZ151,1,$BM151+20))+2*STDEVP(INDEX(終値!$E151:$CZ151,1,$BM151+1):INDEX(終値!$E151:$CZ151,1,$BM151+20)))</f>
        <v>6706.8950072971393</v>
      </c>
      <c r="BT151" s="500"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v>
      </c>
    </row>
    <row r="152" spans="2:72">
      <c r="B152" s="503" t="str">
        <f>IF(終値!A152="","",IF(AND(安値!G152&lt;安値!F152,安値!G152&lt;安値!E152,安値!G152&lt;安値!H152,安値!G152&lt;安値!I152),2,""))</f>
        <v/>
      </c>
      <c r="C152" s="503" t="str">
        <f>IF(終値!A152="","",IF(AND(安値!H152&lt;安値!G152,安値!H152&lt;安値!F152,安値!H152&lt;安値!I152,安値!H152&lt;安値!J152),3,""))</f>
        <v/>
      </c>
      <c r="D152" s="503" t="str">
        <f>IF(終値!A152="","",IF(AND(安値!I152&lt;安値!H152,安値!I152&lt;安値!G152,安値!I152&lt;安値!J152,安値!I152&lt;安値!K152),4,""))</f>
        <v/>
      </c>
      <c r="E152" s="503">
        <f>IF(終値!A152="","",IF(AND(安値!J152&lt;安値!I152,安値!J152&lt;安値!H152,安値!J152&lt;安値!K152,安値!J152&lt;安値!L152),5,""))</f>
        <v>5</v>
      </c>
      <c r="F152" s="503" t="str">
        <f>IF(終値!A152="","",IF(AND(安値!K152&lt;安値!J152,安値!K152&lt;安値!I152,安値!K152&lt;安値!L152,安値!K152&lt;安値!M152),6,""))</f>
        <v/>
      </c>
      <c r="G152" s="503" t="str">
        <f>IF(終値!A152="","",IF(AND(安値!L152&lt;安値!K152,安値!L152&lt;安値!J152,安値!L152&lt;安値!M152,安値!L152&lt;安値!N152),7,""))</f>
        <v/>
      </c>
      <c r="H152" s="503" t="str">
        <f>IF(終値!A152="","",IF(AND(安値!M152&lt;安値!L152,安値!M152&lt;安値!K152,安値!M152&lt;安値!N152,安値!M152&lt;安値!O152),8,""))</f>
        <v/>
      </c>
      <c r="I152" s="503">
        <f>IF(終値!A152="","",IF(AND(安値!N152&lt;安値!M152,安値!N152&lt;安値!L152,安値!N152&lt;安値!O152,安値!N152&lt;安値!P152),9,""))</f>
        <v>9</v>
      </c>
      <c r="J152" s="503" t="str">
        <f>IF(終値!A152="","",IF(AND(安値!O152&lt;安値!N152,安値!O152&lt;安値!M152,安値!O152&lt;安値!P152,安値!O152&lt;安値!Q152),10,""))</f>
        <v/>
      </c>
      <c r="K152" s="503" t="str">
        <f>IF(終値!A152="","",IF(AND(安値!P152&lt;安値!O152,安値!P152&lt;安値!N152,安値!P152&lt;安値!Q152,安値!P152&lt;安値!R152),11,""))</f>
        <v/>
      </c>
      <c r="L152" s="503" t="str">
        <f>IF(終値!A152="","",IF(AND(安値!Q152&lt;安値!P152,安値!Q152&lt;安値!O152,安値!Q152&lt;安値!R152,安値!Q152&lt;安値!S152),12,""))</f>
        <v/>
      </c>
      <c r="M152" s="503" t="str">
        <f>IF(終値!A152="","",IF(AND(安値!R152&lt;安値!Q152,安値!R152&lt;安値!P152,安値!R152&lt;安値!S152,安値!R152&lt;安値!T152),13,""))</f>
        <v/>
      </c>
      <c r="N152" s="503" t="str">
        <f>IF(終値!A152="","",IF(AND(安値!S152&lt;安値!R152,安値!S152&lt;安値!Q152,安値!S152&lt;安値!T152,安値!S152&lt;安値!U152),14,""))</f>
        <v/>
      </c>
      <c r="O152" s="503" t="str">
        <f>IF(終値!A152="","",IF(AND(安値!T152&lt;安値!S152,安値!T152&lt;安値!R152,安値!T152&lt;安値!U152,安値!T152&lt;安値!V152),15,""))</f>
        <v/>
      </c>
      <c r="P152" s="503" t="str">
        <f>IF(終値!A152="","",IF(AND(安値!U152&lt;安値!T152,安値!U152&lt;安値!S152,安値!U152&lt;安値!V152,安値!U152&lt;安値!W152),16,""))</f>
        <v/>
      </c>
      <c r="Q152" s="503">
        <f>IF(終値!A152="","",IF(AND(安値!V152&lt;安値!U152,安値!V152&lt;安値!T152,安値!V152&lt;安値!W152,安値!V152&lt;安値!X152),17,""))</f>
        <v>17</v>
      </c>
      <c r="R152" s="503" t="str">
        <f>IF(終値!A152="","",IF(AND(安値!W152&lt;安値!V152,安値!W152&lt;安値!U152,安値!W152&lt;安値!X152,安値!W152&lt;安値!Y152),18,""))</f>
        <v/>
      </c>
      <c r="S152" s="503" t="str">
        <f>IF(終値!A152="","",IF(AND(安値!X152&lt;安値!W152,安値!X152&lt;安値!V152,安値!X152&lt;安値!Y152,安値!X152&lt;安値!Z152),19,""))</f>
        <v/>
      </c>
      <c r="T152" s="503" t="str">
        <f>IF(終値!A152="","",IF(AND(安値!Y152&lt;安値!X152,安値!Y152&lt;安値!W152,安値!Y152&lt;安値!Z152,安値!Y152&lt;安値!AA152),20,""))</f>
        <v/>
      </c>
      <c r="U152" s="503" t="str">
        <f>IF(終値!A152="","",IF(AND(安値!Z152&lt;安値!Y152,安値!Z152&lt;安値!X152,安値!Z152&lt;安値!AA152,安値!Z152&lt;安値!AB152),21,""))</f>
        <v/>
      </c>
      <c r="V152" s="503">
        <f>IF(終値!A152="","",IF(AND(安値!AA152&lt;安値!Z152,安値!AA152&lt;安値!Y152,安値!AA152&lt;安値!AB152,安値!AA152&lt;安値!AC152),22,""))</f>
        <v>22</v>
      </c>
      <c r="W152" s="503" t="str">
        <f>IF(終値!A152="","",IF(AND(安値!AB152&lt;安値!AA152,安値!AB152&lt;安値!Z152,安値!AB152&lt;安値!AC152,安値!AB152&lt;安値!AD152),23,""))</f>
        <v/>
      </c>
      <c r="X152" s="503" t="str">
        <f>IF(終値!A152="","",IF(AND(安値!AC152&lt;安値!AB152,安値!AC152&lt;安値!AA152,安値!AC152&lt;安値!AD152,安値!AC152&lt;安値!AE152),24,""))</f>
        <v/>
      </c>
      <c r="Y152" s="503" t="str">
        <f>IF(終値!A152="","",IF(AND(安値!AD152&lt;安値!AC152,安値!AD152&lt;安値!AB152,安値!AD152&lt;安値!AE152,安値!AD152&lt;安値!AF152),25,""))</f>
        <v/>
      </c>
      <c r="Z152" s="503" t="str">
        <f>IF(終値!A152="","",IF(AND(安値!AE152&lt;安値!AD152,安値!AE152&lt;安値!AC152,安値!AE152&lt;安値!AF152,安値!AE152&lt;安値!AG152),26,""))</f>
        <v/>
      </c>
      <c r="AA152" s="503" t="str">
        <f>IF(終値!A152="","",IF(AND(安値!AF152&lt;安値!AE152,安値!AF152&lt;安値!AD152,安値!AF152&lt;安値!AG152,安値!AF152&lt;安値!AH152),27,""))</f>
        <v/>
      </c>
      <c r="AB152" s="503" t="str">
        <f>IF(終値!A152="","",IF(AND(安値!AG152&lt;安値!AF152,安値!AG152&lt;安値!AE152,安値!AG152&lt;安値!AH152,安値!AG152&lt;安値!AI152),28,""))</f>
        <v/>
      </c>
      <c r="AC152" s="503" t="str">
        <f>IF(終値!A152="","",IF(AND(高値!G152&gt;高値!F152,高値!G152&gt;高値!E152,高値!G152&gt;高値!H152,高値!G152&gt;高値!I152),2,""))</f>
        <v/>
      </c>
      <c r="AD152" s="503" t="str">
        <f>IF(終値!A152="","",IF(AND(高値!H152&gt;高値!G152,高値!H152&gt;高値!F152,高値!H152&gt;高値!I152,高値!H152&gt;高値!J152),3,""))</f>
        <v/>
      </c>
      <c r="AE152" s="503" t="str">
        <f>IF(終値!A152="","",IF(AND(高値!I152&gt;高値!H152,高値!I152&gt;高値!G152,高値!I152&gt;高値!J152,高値!I152&gt;高値!K152),4,""))</f>
        <v/>
      </c>
      <c r="AF152" s="503" t="str">
        <f>IF(終値!A152="","",IF(AND(高値!J152&gt;高値!I152,高値!J152&gt;高値!H152,高値!J152&gt;高値!K152,高値!J152&gt;高値!L152),5,""))</f>
        <v/>
      </c>
      <c r="AG152" s="503" t="str">
        <f>IF(終値!A152="","",IF(AND(高値!K152&gt;高値!J152,高値!K152&gt;高値!I152,高値!K152&gt;高値!L152,高値!K152&gt;高値!M152),6,""))</f>
        <v/>
      </c>
      <c r="AH152" s="503" t="str">
        <f>IF(終値!A152="","",IF(AND(高値!L152&gt;高値!K152,高値!L152&gt;高値!J152,高値!L152&gt;高値!M152,高値!L152&gt;高値!N152),7,""))</f>
        <v/>
      </c>
      <c r="AI152" s="503">
        <f>IF(終値!A152="","",IF(AND(高値!M152&gt;高値!L152,高値!M152&gt;高値!K152,高値!M152&gt;高値!N152,高値!M152&gt;高値!O152),8,""))</f>
        <v>8</v>
      </c>
      <c r="AJ152" s="503" t="str">
        <f>IF(終値!A152="","",IF(AND(高値!N152&gt;高値!M152,高値!N152&gt;高値!L152,高値!N152&gt;高値!O152,高値!N152&gt;高値!P152),9,""))</f>
        <v/>
      </c>
      <c r="AK152" s="503" t="str">
        <f>IF(終値!A152="","",IF(AND(高値!O152&gt;高値!N152,高値!O152&gt;高値!M152,高値!O152&gt;高値!P152,高値!O152&gt;高値!Q152),10,""))</f>
        <v/>
      </c>
      <c r="AL152" s="503">
        <f>IF(終値!A152="","",IF(AND(高値!P152&gt;高値!O152,高値!P152&gt;高値!N152,高値!P152&gt;高値!Q152,高値!P152&gt;高値!R152),11,""))</f>
        <v>11</v>
      </c>
      <c r="AM152" s="503" t="str">
        <f>IF(終値!A152="","",IF(AND(高値!Q152&gt;高値!P152,高値!Q152&gt;高値!O152,高値!Q152&gt;高値!R152,高値!Q152&gt;高値!S152),12,""))</f>
        <v/>
      </c>
      <c r="AN152" s="503" t="str">
        <f>IF(終値!A152="","",IF(AND(高値!R152&gt;高値!Q152,高値!R152&gt;高値!P152,高値!R152&gt;高値!S152,高値!R152&gt;高値!T152),13,""))</f>
        <v/>
      </c>
      <c r="AO152" s="503" t="str">
        <f>IF(終値!A152="","",IF(AND(高値!S152&gt;高値!R152,高値!S152&gt;高値!Q152,高値!S152&gt;高値!T152,高値!S152&gt;高値!U152),14,""))</f>
        <v/>
      </c>
      <c r="AP152" s="503" t="str">
        <f>IF(終値!A152="","",IF(AND(高値!T152&gt;高値!S152,高値!T152&gt;高値!R152,高値!T152&gt;高値!U152,高値!T152&gt;高値!V152),15,""))</f>
        <v/>
      </c>
      <c r="AQ152" s="503" t="str">
        <f>IF(終値!A152="","",IF(AND(高値!U152&gt;高値!T152,高値!U152&gt;高値!S152,高値!U152&gt;高値!V152,高値!U152&gt;高値!W152),16,""))</f>
        <v/>
      </c>
      <c r="AR152" s="503" t="str">
        <f>IF(終値!A152="","",IF(AND(高値!V152&gt;高値!U152,高値!V152&gt;高値!T152,高値!V152&gt;高値!W152,高値!V152&gt;高値!X152),17,""))</f>
        <v/>
      </c>
      <c r="AS152" s="503" t="str">
        <f>IF(終値!A152="","",IF(AND(高値!W152&gt;高値!V152,高値!W152&gt;高値!U152,高値!W152&gt;高値!X152,高値!W152&gt;高値!Y152),18,""))</f>
        <v/>
      </c>
      <c r="AT152" s="503">
        <f>IF(終値!A152="","",IF(AND(高値!X152&gt;高値!W152,高値!X152&gt;高値!V152,高値!X152&gt;高値!Y152,高値!X152&gt;高値!Z152),19,""))</f>
        <v>19</v>
      </c>
      <c r="AU152" s="503" t="str">
        <f>IF(終値!A152="","",IF(AND(高値!Y152&gt;高値!X152,高値!Y152&gt;高値!W152,高値!Y152&gt;高値!Z152,高値!Y152&gt;高値!AA152),20,""))</f>
        <v/>
      </c>
      <c r="AV152" s="503" t="str">
        <f>IF(終値!A152="","",IF(AND(高値!Z152&gt;高値!Y152,高値!Z152&gt;高値!X152,高値!Z152&gt;高値!AA152,高値!Z152&gt;高値!AB152),21,""))</f>
        <v/>
      </c>
      <c r="AW152" s="503" t="str">
        <f>IF(終値!A152="","",IF(AND(高値!AA152&gt;高値!Z152,高値!AA152&gt;高値!Y152,高値!AA152&gt;高値!AB152,高値!AA152&gt;高値!AC152),22,""))</f>
        <v/>
      </c>
      <c r="AX152" s="503" t="str">
        <f>IF(終値!A152="","",IF(AND(高値!AB152&gt;高値!AA152,高値!AB152&gt;高値!Z152,高値!AB152&gt;高値!AC152,高値!AB152&gt;高値!AD152),23,""))</f>
        <v/>
      </c>
      <c r="AY152" s="503" t="str">
        <f>IF(終値!A152="","",IF(AND(高値!AC152&gt;高値!AB152,高値!AC152&gt;高値!AA152,高値!AC152&gt;高値!AD152,高値!AC152&gt;高値!AE152),24,""))</f>
        <v/>
      </c>
      <c r="AZ152" s="503" t="str">
        <f>IF(終値!A152="","",IF(AND(高値!AD152&gt;高値!AC152,高値!AD152&gt;高値!AB152,高値!AD152&gt;高値!AE152,高値!AD152&gt;高値!AF152),25,""))</f>
        <v/>
      </c>
      <c r="BA152" s="503" t="str">
        <f>IF(終値!A152="","",IF(AND(高値!AE152&gt;高値!AD152,高値!AE152&gt;高値!AC152,高値!AE152&gt;高値!AF152,高値!AE152&gt;高値!AG152),26,""))</f>
        <v/>
      </c>
      <c r="BB152" s="503" t="str">
        <f>IF(終値!A152="","",IF(AND(高値!AF152&gt;高値!AE152,高値!AF152&gt;高値!AD152,高値!AF152&gt;高値!AG152,高値!AF152&gt;高値!AH152),27,""))</f>
        <v/>
      </c>
      <c r="BC152" s="503" t="str">
        <f>IF(終値!A152="","",IF(AND(高値!AG152&gt;高値!AF152,高値!AG152&gt;高値!AE152,高値!AG152&gt;高値!AH152,高値!AG152&gt;高値!AI152),28,""))</f>
        <v/>
      </c>
      <c r="BD152" s="503">
        <f t="shared" si="12"/>
        <v>4</v>
      </c>
      <c r="BE152" s="503">
        <f t="shared" si="13"/>
        <v>5</v>
      </c>
      <c r="BF152" s="503">
        <f t="shared" si="14"/>
        <v>9</v>
      </c>
      <c r="BG152" s="503">
        <f>IF($BE152="","",INDEX(安値!$E152:$CZ152,1,$BE152+1))</f>
        <v>1040</v>
      </c>
      <c r="BH152" s="503">
        <f>IF($BF152="","",INDEX(安値!$E152:$CZ152,1,$BF152+1))</f>
        <v>1136</v>
      </c>
      <c r="BI152" s="503">
        <f>IF($BF152="","",MAX(INDEX(高値!$E152:$CZ152,1,$BE152+1):INDEX(高値!$E152:$CZ152,1,$BF152+1)))</f>
        <v>1189</v>
      </c>
      <c r="BJ152" s="503">
        <f>IF($BF152="","",AVERAGE(INDEX(終値!$E152:$CZ152,1,$BF152+1):INDEX(終値!$E152:$CZ152,1,$BF152+20))-2*STDEVP(INDEX(終値!$E152:$CZ152,1,$BF152+1):INDEX(終値!$E152:$CZ152,1,$BF152+20)))</f>
        <v>950.60763485565326</v>
      </c>
      <c r="BK152" s="503">
        <f>IF($BE152="","",AVERAGE(INDEX(終値!$E152:$CZ152,1,$BE152+1):INDEX(終値!$E152:$CZ152,1,$BE152+20))-2*STDEVP(INDEX(終値!$E152:$CZ152,1,$BE152+1):INDEX(終値!$E152:$CZ152,1,$BE152+20)))</f>
        <v>986.54528403388042</v>
      </c>
      <c r="BL152" s="503">
        <f t="shared" si="15"/>
        <v>3</v>
      </c>
      <c r="BM152" s="503">
        <f t="shared" si="16"/>
        <v>8</v>
      </c>
      <c r="BN152" s="503">
        <f t="shared" si="17"/>
        <v>11</v>
      </c>
      <c r="BO152" s="503">
        <f>IF($BM152="","",INDEX(高値!$E152:$CZ152,1,$BM152+1))</f>
        <v>1189</v>
      </c>
      <c r="BP152" s="503">
        <f>IF($BN152="","",INDEX(高値!$E152:$CZ152,1,$BN152+1))</f>
        <v>1182</v>
      </c>
      <c r="BQ152" s="503">
        <f>IF($BN152="","",MIN(INDEX(安値!$E152:$CZ152,1,$BM152+1):INDEX(安値!$E152:$CZ152,1,$BN152+1)))</f>
        <v>1136</v>
      </c>
      <c r="BR152" s="503">
        <f>IF($BN152="","",AVERAGE(INDEX(終値!$E152:$CZ152,1,$BN152+1):INDEX(終値!$E152:$CZ152,1,$BN152+20))+2*STDEVP(INDEX(終値!$E152:$CZ152,1,$BN152+1):INDEX(終値!$E152:$CZ152,1,$BN152+20)))</f>
        <v>1151.3766664605746</v>
      </c>
      <c r="BS152" s="503">
        <f>IF($BM152="","",AVERAGE(INDEX(終値!$E152:$CZ152,1,$BM152+1):INDEX(終値!$E152:$CZ152,1,$BM152+20))+2*STDEVP(INDEX(終値!$E152:$CZ152,1,$BM152+1):INDEX(終値!$E152:$CZ152,1,$BM152+20)))</f>
        <v>1191.9952759137282</v>
      </c>
      <c r="BT152" s="500"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v>
      </c>
    </row>
    <row r="153" spans="2:72">
      <c r="B153" s="503">
        <f>IF(終値!A153="","",IF(AND(安値!G153&lt;安値!F153,安値!G153&lt;安値!E153,安値!G153&lt;安値!H153,安値!G153&lt;安値!I153),2,""))</f>
        <v>2</v>
      </c>
      <c r="C153" s="503" t="str">
        <f>IF(終値!A153="","",IF(AND(安値!H153&lt;安値!G153,安値!H153&lt;安値!F153,安値!H153&lt;安値!I153,安値!H153&lt;安値!J153),3,""))</f>
        <v/>
      </c>
      <c r="D153" s="503" t="str">
        <f>IF(終値!A153="","",IF(AND(安値!I153&lt;安値!H153,安値!I153&lt;安値!G153,安値!I153&lt;安値!J153,安値!I153&lt;安値!K153),4,""))</f>
        <v/>
      </c>
      <c r="E153" s="503" t="str">
        <f>IF(終値!A153="","",IF(AND(安値!J153&lt;安値!I153,安値!J153&lt;安値!H153,安値!J153&lt;安値!K153,安値!J153&lt;安値!L153),5,""))</f>
        <v/>
      </c>
      <c r="F153" s="503" t="str">
        <f>IF(終値!A153="","",IF(AND(安値!K153&lt;安値!J153,安値!K153&lt;安値!I153,安値!K153&lt;安値!L153,安値!K153&lt;安値!M153),6,""))</f>
        <v/>
      </c>
      <c r="G153" s="503" t="str">
        <f>IF(終値!A153="","",IF(AND(安値!L153&lt;安値!K153,安値!L153&lt;安値!J153,安値!L153&lt;安値!M153,安値!L153&lt;安値!N153),7,""))</f>
        <v/>
      </c>
      <c r="H153" s="503" t="str">
        <f>IF(終値!A153="","",IF(AND(安値!M153&lt;安値!L153,安値!M153&lt;安値!K153,安値!M153&lt;安値!N153,安値!M153&lt;安値!O153),8,""))</f>
        <v/>
      </c>
      <c r="I153" s="503" t="str">
        <f>IF(終値!A153="","",IF(AND(安値!N153&lt;安値!M153,安値!N153&lt;安値!L153,安値!N153&lt;安値!O153,安値!N153&lt;安値!P153),9,""))</f>
        <v/>
      </c>
      <c r="J153" s="503">
        <f>IF(終値!A153="","",IF(AND(安値!O153&lt;安値!N153,安値!O153&lt;安値!M153,安値!O153&lt;安値!P153,安値!O153&lt;安値!Q153),10,""))</f>
        <v>10</v>
      </c>
      <c r="K153" s="503" t="str">
        <f>IF(終値!A153="","",IF(AND(安値!P153&lt;安値!O153,安値!P153&lt;安値!N153,安値!P153&lt;安値!Q153,安値!P153&lt;安値!R153),11,""))</f>
        <v/>
      </c>
      <c r="L153" s="503" t="str">
        <f>IF(終値!A153="","",IF(AND(安値!Q153&lt;安値!P153,安値!Q153&lt;安値!O153,安値!Q153&lt;安値!R153,安値!Q153&lt;安値!S153),12,""))</f>
        <v/>
      </c>
      <c r="M153" s="503" t="str">
        <f>IF(終値!A153="","",IF(AND(安値!R153&lt;安値!Q153,安値!R153&lt;安値!P153,安値!R153&lt;安値!S153,安値!R153&lt;安値!T153),13,""))</f>
        <v/>
      </c>
      <c r="N153" s="503" t="str">
        <f>IF(終値!A153="","",IF(AND(安値!S153&lt;安値!R153,安値!S153&lt;安値!Q153,安値!S153&lt;安値!T153,安値!S153&lt;安値!U153),14,""))</f>
        <v/>
      </c>
      <c r="O153" s="503" t="str">
        <f>IF(終値!A153="","",IF(AND(安値!T153&lt;安値!S153,安値!T153&lt;安値!R153,安値!T153&lt;安値!U153,安値!T153&lt;安値!V153),15,""))</f>
        <v/>
      </c>
      <c r="P153" s="503">
        <f>IF(終値!A153="","",IF(AND(安値!U153&lt;安値!T153,安値!U153&lt;安値!S153,安値!U153&lt;安値!V153,安値!U153&lt;安値!W153),16,""))</f>
        <v>16</v>
      </c>
      <c r="Q153" s="503" t="str">
        <f>IF(終値!A153="","",IF(AND(安値!V153&lt;安値!U153,安値!V153&lt;安値!T153,安値!V153&lt;安値!W153,安値!V153&lt;安値!X153),17,""))</f>
        <v/>
      </c>
      <c r="R153" s="503" t="str">
        <f>IF(終値!A153="","",IF(AND(安値!W153&lt;安値!V153,安値!W153&lt;安値!U153,安値!W153&lt;安値!X153,安値!W153&lt;安値!Y153),18,""))</f>
        <v/>
      </c>
      <c r="S153" s="503">
        <f>IF(終値!A153="","",IF(AND(安値!X153&lt;安値!W153,安値!X153&lt;安値!V153,安値!X153&lt;安値!Y153,安値!X153&lt;安値!Z153),19,""))</f>
        <v>19</v>
      </c>
      <c r="T153" s="503" t="str">
        <f>IF(終値!A153="","",IF(AND(安値!Y153&lt;安値!X153,安値!Y153&lt;安値!W153,安値!Y153&lt;安値!Z153,安値!Y153&lt;安値!AA153),20,""))</f>
        <v/>
      </c>
      <c r="U153" s="503" t="str">
        <f>IF(終値!A153="","",IF(AND(安値!Z153&lt;安値!Y153,安値!Z153&lt;安値!X153,安値!Z153&lt;安値!AA153,安値!Z153&lt;安値!AB153),21,""))</f>
        <v/>
      </c>
      <c r="V153" s="503" t="str">
        <f>IF(終値!A153="","",IF(AND(安値!AA153&lt;安値!Z153,安値!AA153&lt;安値!Y153,安値!AA153&lt;安値!AB153,安値!AA153&lt;安値!AC153),22,""))</f>
        <v/>
      </c>
      <c r="W153" s="503" t="str">
        <f>IF(終値!A153="","",IF(AND(安値!AB153&lt;安値!AA153,安値!AB153&lt;安値!Z153,安値!AB153&lt;安値!AC153,安値!AB153&lt;安値!AD153),23,""))</f>
        <v/>
      </c>
      <c r="X153" s="503" t="str">
        <f>IF(終値!A153="","",IF(AND(安値!AC153&lt;安値!AB153,安値!AC153&lt;安値!AA153,安値!AC153&lt;安値!AD153,安値!AC153&lt;安値!AE153),24,""))</f>
        <v/>
      </c>
      <c r="Y153" s="503" t="str">
        <f>IF(終値!A153="","",IF(AND(安値!AD153&lt;安値!AC153,安値!AD153&lt;安値!AB153,安値!AD153&lt;安値!AE153,安値!AD153&lt;安値!AF153),25,""))</f>
        <v/>
      </c>
      <c r="Z153" s="503" t="str">
        <f>IF(終値!A153="","",IF(AND(安値!AE153&lt;安値!AD153,安値!AE153&lt;安値!AC153,安値!AE153&lt;安値!AF153,安値!AE153&lt;安値!AG153),26,""))</f>
        <v/>
      </c>
      <c r="AA153" s="503" t="str">
        <f>IF(終値!A153="","",IF(AND(安値!AF153&lt;安値!AE153,安値!AF153&lt;安値!AD153,安値!AF153&lt;安値!AG153,安値!AF153&lt;安値!AH153),27,""))</f>
        <v/>
      </c>
      <c r="AB153" s="503" t="str">
        <f>IF(終値!A153="","",IF(AND(安値!AG153&lt;安値!AF153,安値!AG153&lt;安値!AE153,安値!AG153&lt;安値!AH153,安値!AG153&lt;安値!AI153),28,""))</f>
        <v/>
      </c>
      <c r="AC153" s="503" t="str">
        <f>IF(終値!A153="","",IF(AND(高値!G153&gt;高値!F153,高値!G153&gt;高値!E153,高値!G153&gt;高値!H153,高値!G153&gt;高値!I153),2,""))</f>
        <v/>
      </c>
      <c r="AD153" s="503" t="str">
        <f>IF(終値!A153="","",IF(AND(高値!H153&gt;高値!G153,高値!H153&gt;高値!F153,高値!H153&gt;高値!I153,高値!H153&gt;高値!J153),3,""))</f>
        <v/>
      </c>
      <c r="AE153" s="503">
        <f>IF(終値!A153="","",IF(AND(高値!I153&gt;高値!H153,高値!I153&gt;高値!G153,高値!I153&gt;高値!J153,高値!I153&gt;高値!K153),4,""))</f>
        <v>4</v>
      </c>
      <c r="AF153" s="503" t="str">
        <f>IF(終値!A153="","",IF(AND(高値!J153&gt;高値!I153,高値!J153&gt;高値!H153,高値!J153&gt;高値!K153,高値!J153&gt;高値!L153),5,""))</f>
        <v/>
      </c>
      <c r="AG153" s="503" t="str">
        <f>IF(終値!A153="","",IF(AND(高値!K153&gt;高値!J153,高値!K153&gt;高値!I153,高値!K153&gt;高値!L153,高値!K153&gt;高値!M153),6,""))</f>
        <v/>
      </c>
      <c r="AH153" s="503" t="str">
        <f>IF(終値!A153="","",IF(AND(高値!L153&gt;高値!K153,高値!L153&gt;高値!J153,高値!L153&gt;高値!M153,高値!L153&gt;高値!N153),7,""))</f>
        <v/>
      </c>
      <c r="AI153" s="503" t="str">
        <f>IF(終値!A153="","",IF(AND(高値!M153&gt;高値!L153,高値!M153&gt;高値!K153,高値!M153&gt;高値!N153,高値!M153&gt;高値!O153),8,""))</f>
        <v/>
      </c>
      <c r="AJ153" s="503" t="str">
        <f>IF(終値!A153="","",IF(AND(高値!N153&gt;高値!M153,高値!N153&gt;高値!L153,高値!N153&gt;高値!O153,高値!N153&gt;高値!P153),9,""))</f>
        <v/>
      </c>
      <c r="AK153" s="503" t="str">
        <f>IF(終値!A153="","",IF(AND(高値!O153&gt;高値!N153,高値!O153&gt;高値!M153,高値!O153&gt;高値!P153,高値!O153&gt;高値!Q153),10,""))</f>
        <v/>
      </c>
      <c r="AL153" s="503" t="str">
        <f>IF(終値!A153="","",IF(AND(高値!P153&gt;高値!O153,高値!P153&gt;高値!N153,高値!P153&gt;高値!Q153,高値!P153&gt;高値!R153),11,""))</f>
        <v/>
      </c>
      <c r="AM153" s="503" t="str">
        <f>IF(終値!A153="","",IF(AND(高値!Q153&gt;高値!P153,高値!Q153&gt;高値!O153,高値!Q153&gt;高値!R153,高値!Q153&gt;高値!S153),12,""))</f>
        <v/>
      </c>
      <c r="AN153" s="503">
        <f>IF(終値!A153="","",IF(AND(高値!R153&gt;高値!Q153,高値!R153&gt;高値!P153,高値!R153&gt;高値!S153,高値!R153&gt;高値!T153),13,""))</f>
        <v>13</v>
      </c>
      <c r="AO153" s="503" t="str">
        <f>IF(終値!A153="","",IF(AND(高値!S153&gt;高値!R153,高値!S153&gt;高値!Q153,高値!S153&gt;高値!T153,高値!S153&gt;高値!U153),14,""))</f>
        <v/>
      </c>
      <c r="AP153" s="503" t="str">
        <f>IF(終値!A153="","",IF(AND(高値!T153&gt;高値!S153,高値!T153&gt;高値!R153,高値!T153&gt;高値!U153,高値!T153&gt;高値!V153),15,""))</f>
        <v/>
      </c>
      <c r="AQ153" s="503" t="str">
        <f>IF(終値!A153="","",IF(AND(高値!U153&gt;高値!T153,高値!U153&gt;高値!S153,高値!U153&gt;高値!V153,高値!U153&gt;高値!W153),16,""))</f>
        <v/>
      </c>
      <c r="AR153" s="503" t="str">
        <f>IF(終値!A153="","",IF(AND(高値!V153&gt;高値!U153,高値!V153&gt;高値!T153,高値!V153&gt;高値!W153,高値!V153&gt;高値!X153),17,""))</f>
        <v/>
      </c>
      <c r="AS153" s="503" t="str">
        <f>IF(終値!A153="","",IF(AND(高値!W153&gt;高値!V153,高値!W153&gt;高値!U153,高値!W153&gt;高値!X153,高値!W153&gt;高値!Y153),18,""))</f>
        <v/>
      </c>
      <c r="AT153" s="503" t="str">
        <f>IF(終値!A153="","",IF(AND(高値!X153&gt;高値!W153,高値!X153&gt;高値!V153,高値!X153&gt;高値!Y153,高値!X153&gt;高値!Z153),19,""))</f>
        <v/>
      </c>
      <c r="AU153" s="503" t="str">
        <f>IF(終値!A153="","",IF(AND(高値!Y153&gt;高値!X153,高値!Y153&gt;高値!W153,高値!Y153&gt;高値!Z153,高値!Y153&gt;高値!AA153),20,""))</f>
        <v/>
      </c>
      <c r="AV153" s="503" t="str">
        <f>IF(終値!A153="","",IF(AND(高値!Z153&gt;高値!Y153,高値!Z153&gt;高値!X153,高値!Z153&gt;高値!AA153,高値!Z153&gt;高値!AB153),21,""))</f>
        <v/>
      </c>
      <c r="AW153" s="503">
        <f>IF(終値!A153="","",IF(AND(高値!AA153&gt;高値!Z153,高値!AA153&gt;高値!Y153,高値!AA153&gt;高値!AB153,高値!AA153&gt;高値!AC153),22,""))</f>
        <v>22</v>
      </c>
      <c r="AX153" s="503" t="str">
        <f>IF(終値!A153="","",IF(AND(高値!AB153&gt;高値!AA153,高値!AB153&gt;高値!Z153,高値!AB153&gt;高値!AC153,高値!AB153&gt;高値!AD153),23,""))</f>
        <v/>
      </c>
      <c r="AY153" s="503" t="str">
        <f>IF(終値!A153="","",IF(AND(高値!AC153&gt;高値!AB153,高値!AC153&gt;高値!AA153,高値!AC153&gt;高値!AD153,高値!AC153&gt;高値!AE153),24,""))</f>
        <v/>
      </c>
      <c r="AZ153" s="503" t="str">
        <f>IF(終値!A153="","",IF(AND(高値!AD153&gt;高値!AC153,高値!AD153&gt;高値!AB153,高値!AD153&gt;高値!AE153,高値!AD153&gt;高値!AF153),25,""))</f>
        <v/>
      </c>
      <c r="BA153" s="503" t="str">
        <f>IF(終値!A153="","",IF(AND(高値!AE153&gt;高値!AD153,高値!AE153&gt;高値!AC153,高値!AE153&gt;高値!AF153,高値!AE153&gt;高値!AG153),26,""))</f>
        <v/>
      </c>
      <c r="BB153" s="503" t="str">
        <f>IF(終値!A153="","",IF(AND(高値!AF153&gt;高値!AE153,高値!AF153&gt;高値!AD153,高値!AF153&gt;高値!AG153,高値!AF153&gt;高値!AH153),27,""))</f>
        <v/>
      </c>
      <c r="BC153" s="503" t="str">
        <f>IF(終値!A153="","",IF(AND(高値!AG153&gt;高値!AF153,高値!AG153&gt;高値!AE153,高値!AG153&gt;高値!AH153,高値!AG153&gt;高値!AI153),28,""))</f>
        <v/>
      </c>
      <c r="BD153" s="503">
        <f t="shared" si="12"/>
        <v>4</v>
      </c>
      <c r="BE153" s="503">
        <f t="shared" si="13"/>
        <v>2</v>
      </c>
      <c r="BF153" s="503">
        <f t="shared" si="14"/>
        <v>10</v>
      </c>
      <c r="BG153" s="503">
        <f>IF($BE153="","",INDEX(安値!$E153:$CZ153,1,$BE153+1))</f>
        <v>4030</v>
      </c>
      <c r="BH153" s="503">
        <f>IF($BF153="","",INDEX(安値!$E153:$CZ153,1,$BF153+1))</f>
        <v>4075</v>
      </c>
      <c r="BI153" s="503">
        <f>IF($BF153="","",MAX(INDEX(高値!$E153:$CZ153,1,$BE153+1):INDEX(高値!$E153:$CZ153,1,$BF153+1)))</f>
        <v>4700</v>
      </c>
      <c r="BJ153" s="503">
        <f>IF($BF153="","",AVERAGE(INDEX(終値!$E153:$CZ153,1,$BF153+1):INDEX(終値!$E153:$CZ153,1,$BF153+20))-2*STDEVP(INDEX(終値!$E153:$CZ153,1,$BF153+1):INDEX(終値!$E153:$CZ153,1,$BF153+20)))</f>
        <v>3265.894413390582</v>
      </c>
      <c r="BK153" s="503">
        <f>IF($BE153="","",AVERAGE(INDEX(終値!$E153:$CZ153,1,$BE153+1):INDEX(終値!$E153:$CZ153,1,$BE153+20))-2*STDEVP(INDEX(終値!$E153:$CZ153,1,$BE153+1):INDEX(終値!$E153:$CZ153,1,$BE153+20)))</f>
        <v>3852.0440099087041</v>
      </c>
      <c r="BL153" s="503">
        <f t="shared" si="15"/>
        <v>3</v>
      </c>
      <c r="BM153" s="503">
        <f t="shared" si="16"/>
        <v>4</v>
      </c>
      <c r="BN153" s="503">
        <f t="shared" si="17"/>
        <v>13</v>
      </c>
      <c r="BO153" s="503">
        <f>IF($BM153="","",INDEX(高値!$E153:$CZ153,1,$BM153+1))</f>
        <v>4700</v>
      </c>
      <c r="BP153" s="503">
        <f>IF($BN153="","",INDEX(高値!$E153:$CZ153,1,$BN153+1))</f>
        <v>4500</v>
      </c>
      <c r="BQ153" s="503">
        <f>IF($BN153="","",MIN(INDEX(安値!$E153:$CZ153,1,$BM153+1):INDEX(安値!$E153:$CZ153,1,$BN153+1)))</f>
        <v>4075</v>
      </c>
      <c r="BR153" s="503">
        <f>IF($BN153="","",AVERAGE(INDEX(終値!$E153:$CZ153,1,$BN153+1):INDEX(終値!$E153:$CZ153,1,$BN153+20))+2*STDEVP(INDEX(終値!$E153:$CZ153,1,$BN153+1):INDEX(終値!$E153:$CZ153,1,$BN153+20)))</f>
        <v>4632.1159426731883</v>
      </c>
      <c r="BS153" s="503">
        <f>IF($BM153="","",AVERAGE(INDEX(終値!$E153:$CZ153,1,$BM153+1):INDEX(終値!$E153:$CZ153,1,$BM153+20))+2*STDEVP(INDEX(終値!$E153:$CZ153,1,$BM153+1):INDEX(終値!$E153:$CZ153,1,$BM153+20)))</f>
        <v>4656.1812252523214</v>
      </c>
      <c r="BT153" s="500"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二番底W形成</v>
      </c>
    </row>
    <row r="154" spans="2:72">
      <c r="B154" s="503">
        <f>IF(終値!A154="","",IF(AND(安値!G154&lt;安値!F154,安値!G154&lt;安値!E154,安値!G154&lt;安値!H154,安値!G154&lt;安値!I154),2,""))</f>
        <v>2</v>
      </c>
      <c r="C154" s="503" t="str">
        <f>IF(終値!A154="","",IF(AND(安値!H154&lt;安値!G154,安値!H154&lt;安値!F154,安値!H154&lt;安値!I154,安値!H154&lt;安値!J154),3,""))</f>
        <v/>
      </c>
      <c r="D154" s="503" t="str">
        <f>IF(終値!A154="","",IF(AND(安値!I154&lt;安値!H154,安値!I154&lt;安値!G154,安値!I154&lt;安値!J154,安値!I154&lt;安値!K154),4,""))</f>
        <v/>
      </c>
      <c r="E154" s="503" t="str">
        <f>IF(終値!A154="","",IF(AND(安値!J154&lt;安値!I154,安値!J154&lt;安値!H154,安値!J154&lt;安値!K154,安値!J154&lt;安値!L154),5,""))</f>
        <v/>
      </c>
      <c r="F154" s="503">
        <f>IF(終値!A154="","",IF(AND(安値!K154&lt;安値!J154,安値!K154&lt;安値!I154,安値!K154&lt;安値!L154,安値!K154&lt;安値!M154),6,""))</f>
        <v>6</v>
      </c>
      <c r="G154" s="503" t="str">
        <f>IF(終値!A154="","",IF(AND(安値!L154&lt;安値!K154,安値!L154&lt;安値!J154,安値!L154&lt;安値!M154,安値!L154&lt;安値!N154),7,""))</f>
        <v/>
      </c>
      <c r="H154" s="503" t="str">
        <f>IF(終値!A154="","",IF(AND(安値!M154&lt;安値!L154,安値!M154&lt;安値!K154,安値!M154&lt;安値!N154,安値!M154&lt;安値!O154),8,""))</f>
        <v/>
      </c>
      <c r="I154" s="503" t="str">
        <f>IF(終値!A154="","",IF(AND(安値!N154&lt;安値!M154,安値!N154&lt;安値!L154,安値!N154&lt;安値!O154,安値!N154&lt;安値!P154),9,""))</f>
        <v/>
      </c>
      <c r="J154" s="503" t="str">
        <f>IF(終値!A154="","",IF(AND(安値!O154&lt;安値!N154,安値!O154&lt;安値!M154,安値!O154&lt;安値!P154,安値!O154&lt;安値!Q154),10,""))</f>
        <v/>
      </c>
      <c r="K154" s="503" t="str">
        <f>IF(終値!A154="","",IF(AND(安値!P154&lt;安値!O154,安値!P154&lt;安値!N154,安値!P154&lt;安値!Q154,安値!P154&lt;安値!R154),11,""))</f>
        <v/>
      </c>
      <c r="L154" s="503" t="str">
        <f>IF(終値!A154="","",IF(AND(安値!Q154&lt;安値!P154,安値!Q154&lt;安値!O154,安値!Q154&lt;安値!R154,安値!Q154&lt;安値!S154),12,""))</f>
        <v/>
      </c>
      <c r="M154" s="503">
        <f>IF(終値!A154="","",IF(AND(安値!R154&lt;安値!Q154,安値!R154&lt;安値!P154,安値!R154&lt;安値!S154,安値!R154&lt;安値!T154),13,""))</f>
        <v>13</v>
      </c>
      <c r="N154" s="503" t="str">
        <f>IF(終値!A154="","",IF(AND(安値!S154&lt;安値!R154,安値!S154&lt;安値!Q154,安値!S154&lt;安値!T154,安値!S154&lt;安値!U154),14,""))</f>
        <v/>
      </c>
      <c r="O154" s="503" t="str">
        <f>IF(終値!A154="","",IF(AND(安値!T154&lt;安値!S154,安値!T154&lt;安値!R154,安値!T154&lt;安値!U154,安値!T154&lt;安値!V154),15,""))</f>
        <v/>
      </c>
      <c r="P154" s="503" t="str">
        <f>IF(終値!A154="","",IF(AND(安値!U154&lt;安値!T154,安値!U154&lt;安値!S154,安値!U154&lt;安値!V154,安値!U154&lt;安値!W154),16,""))</f>
        <v/>
      </c>
      <c r="Q154" s="503" t="str">
        <f>IF(終値!A154="","",IF(AND(安値!V154&lt;安値!U154,安値!V154&lt;安値!T154,安値!V154&lt;安値!W154,安値!V154&lt;安値!X154),17,""))</f>
        <v/>
      </c>
      <c r="R154" s="503" t="str">
        <f>IF(終値!A154="","",IF(AND(安値!W154&lt;安値!V154,安値!W154&lt;安値!U154,安値!W154&lt;安値!X154,安値!W154&lt;安値!Y154),18,""))</f>
        <v/>
      </c>
      <c r="S154" s="503">
        <f>IF(終値!A154="","",IF(AND(安値!X154&lt;安値!W154,安値!X154&lt;安値!V154,安値!X154&lt;安値!Y154,安値!X154&lt;安値!Z154),19,""))</f>
        <v>19</v>
      </c>
      <c r="T154" s="503" t="str">
        <f>IF(終値!A154="","",IF(AND(安値!Y154&lt;安値!X154,安値!Y154&lt;安値!W154,安値!Y154&lt;安値!Z154,安値!Y154&lt;安値!AA154),20,""))</f>
        <v/>
      </c>
      <c r="U154" s="503" t="str">
        <f>IF(終値!A154="","",IF(AND(安値!Z154&lt;安値!Y154,安値!Z154&lt;安値!X154,安値!Z154&lt;安値!AA154,安値!Z154&lt;安値!AB154),21,""))</f>
        <v/>
      </c>
      <c r="V154" s="503" t="str">
        <f>IF(終値!A154="","",IF(AND(安値!AA154&lt;安値!Z154,安値!AA154&lt;安値!Y154,安値!AA154&lt;安値!AB154,安値!AA154&lt;安値!AC154),22,""))</f>
        <v/>
      </c>
      <c r="W154" s="503" t="str">
        <f>IF(終値!A154="","",IF(AND(安値!AB154&lt;安値!AA154,安値!AB154&lt;安値!Z154,安値!AB154&lt;安値!AC154,安値!AB154&lt;安値!AD154),23,""))</f>
        <v/>
      </c>
      <c r="X154" s="503" t="str">
        <f>IF(終値!A154="","",IF(AND(安値!AC154&lt;安値!AB154,安値!AC154&lt;安値!AA154,安値!AC154&lt;安値!AD154,安値!AC154&lt;安値!AE154),24,""))</f>
        <v/>
      </c>
      <c r="Y154" s="503" t="str">
        <f>IF(終値!A154="","",IF(AND(安値!AD154&lt;安値!AC154,安値!AD154&lt;安値!AB154,安値!AD154&lt;安値!AE154,安値!AD154&lt;安値!AF154),25,""))</f>
        <v/>
      </c>
      <c r="Z154" s="503">
        <f>IF(終値!A154="","",IF(AND(安値!AE154&lt;安値!AD154,安値!AE154&lt;安値!AC154,安値!AE154&lt;安値!AF154,安値!AE154&lt;安値!AG154),26,""))</f>
        <v>26</v>
      </c>
      <c r="AA154" s="503" t="str">
        <f>IF(終値!A154="","",IF(AND(安値!AF154&lt;安値!AE154,安値!AF154&lt;安値!AD154,安値!AF154&lt;安値!AG154,安値!AF154&lt;安値!AH154),27,""))</f>
        <v/>
      </c>
      <c r="AB154" s="503" t="str">
        <f>IF(終値!A154="","",IF(AND(安値!AG154&lt;安値!AF154,安値!AG154&lt;安値!AE154,安値!AG154&lt;安値!AH154,安値!AG154&lt;安値!AI154),28,""))</f>
        <v/>
      </c>
      <c r="AC154" s="503" t="str">
        <f>IF(終値!A154="","",IF(AND(高値!G154&gt;高値!F154,高値!G154&gt;高値!E154,高値!G154&gt;高値!H154,高値!G154&gt;高値!I154),2,""))</f>
        <v/>
      </c>
      <c r="AD154" s="503" t="str">
        <f>IF(終値!A154="","",IF(AND(高値!H154&gt;高値!G154,高値!H154&gt;高値!F154,高値!H154&gt;高値!I154,高値!H154&gt;高値!J154),3,""))</f>
        <v/>
      </c>
      <c r="AE154" s="503" t="str">
        <f>IF(終値!A154="","",IF(AND(高値!I154&gt;高値!H154,高値!I154&gt;高値!G154,高値!I154&gt;高値!J154,高値!I154&gt;高値!K154),4,""))</f>
        <v/>
      </c>
      <c r="AF154" s="503" t="str">
        <f>IF(終値!A154="","",IF(AND(高値!J154&gt;高値!I154,高値!J154&gt;高値!H154,高値!J154&gt;高値!K154,高値!J154&gt;高値!L154),5,""))</f>
        <v/>
      </c>
      <c r="AG154" s="503" t="str">
        <f>IF(終値!A154="","",IF(AND(高値!K154&gt;高値!J154,高値!K154&gt;高値!I154,高値!K154&gt;高値!L154,高値!K154&gt;高値!M154),6,""))</f>
        <v/>
      </c>
      <c r="AH154" s="503" t="str">
        <f>IF(終値!A154="","",IF(AND(高値!L154&gt;高値!K154,高値!L154&gt;高値!J154,高値!L154&gt;高値!M154,高値!L154&gt;高値!N154),7,""))</f>
        <v/>
      </c>
      <c r="AI154" s="503" t="str">
        <f>IF(終値!A154="","",IF(AND(高値!M154&gt;高値!L154,高値!M154&gt;高値!K154,高値!M154&gt;高値!N154,高値!M154&gt;高値!O154),8,""))</f>
        <v/>
      </c>
      <c r="AJ154" s="503" t="str">
        <f>IF(終値!A154="","",IF(AND(高値!N154&gt;高値!M154,高値!N154&gt;高値!L154,高値!N154&gt;高値!O154,高値!N154&gt;高値!P154),9,""))</f>
        <v/>
      </c>
      <c r="AK154" s="503">
        <f>IF(終値!A154="","",IF(AND(高値!O154&gt;高値!N154,高値!O154&gt;高値!M154,高値!O154&gt;高値!P154,高値!O154&gt;高値!Q154),10,""))</f>
        <v>10</v>
      </c>
      <c r="AL154" s="503" t="str">
        <f>IF(終値!A154="","",IF(AND(高値!P154&gt;高値!O154,高値!P154&gt;高値!N154,高値!P154&gt;高値!Q154,高値!P154&gt;高値!R154),11,""))</f>
        <v/>
      </c>
      <c r="AM154" s="503" t="str">
        <f>IF(終値!A154="","",IF(AND(高値!Q154&gt;高値!P154,高値!Q154&gt;高値!O154,高値!Q154&gt;高値!R154,高値!Q154&gt;高値!S154),12,""))</f>
        <v/>
      </c>
      <c r="AN154" s="503" t="str">
        <f>IF(終値!A154="","",IF(AND(高値!R154&gt;高値!Q154,高値!R154&gt;高値!P154,高値!R154&gt;高値!S154,高値!R154&gt;高値!T154),13,""))</f>
        <v/>
      </c>
      <c r="AO154" s="503" t="str">
        <f>IF(終値!A154="","",IF(AND(高値!S154&gt;高値!R154,高値!S154&gt;高値!Q154,高値!S154&gt;高値!T154,高値!S154&gt;高値!U154),14,""))</f>
        <v/>
      </c>
      <c r="AP154" s="503" t="str">
        <f>IF(終値!A154="","",IF(AND(高値!T154&gt;高値!S154,高値!T154&gt;高値!R154,高値!T154&gt;高値!U154,高値!T154&gt;高値!V154),15,""))</f>
        <v/>
      </c>
      <c r="AQ154" s="503" t="str">
        <f>IF(終値!A154="","",IF(AND(高値!U154&gt;高値!T154,高値!U154&gt;高値!S154,高値!U154&gt;高値!V154,高値!U154&gt;高値!W154),16,""))</f>
        <v/>
      </c>
      <c r="AR154" s="503">
        <f>IF(終値!A154="","",IF(AND(高値!V154&gt;高値!U154,高値!V154&gt;高値!T154,高値!V154&gt;高値!W154,高値!V154&gt;高値!X154),17,""))</f>
        <v>17</v>
      </c>
      <c r="AS154" s="503" t="str">
        <f>IF(終値!A154="","",IF(AND(高値!W154&gt;高値!V154,高値!W154&gt;高値!U154,高値!W154&gt;高値!X154,高値!W154&gt;高値!Y154),18,""))</f>
        <v/>
      </c>
      <c r="AT154" s="503" t="str">
        <f>IF(終値!A154="","",IF(AND(高値!X154&gt;高値!W154,高値!X154&gt;高値!V154,高値!X154&gt;高値!Y154,高値!X154&gt;高値!Z154),19,""))</f>
        <v/>
      </c>
      <c r="AU154" s="503" t="str">
        <f>IF(終値!A154="","",IF(AND(高値!Y154&gt;高値!X154,高値!Y154&gt;高値!W154,高値!Y154&gt;高値!Z154,高値!Y154&gt;高値!AA154),20,""))</f>
        <v/>
      </c>
      <c r="AV154" s="503" t="str">
        <f>IF(終値!A154="","",IF(AND(高値!Z154&gt;高値!Y154,高値!Z154&gt;高値!X154,高値!Z154&gt;高値!AA154,高値!Z154&gt;高値!AB154),21,""))</f>
        <v/>
      </c>
      <c r="AW154" s="503" t="str">
        <f>IF(終値!A154="","",IF(AND(高値!AA154&gt;高値!Z154,高値!AA154&gt;高値!Y154,高値!AA154&gt;高値!AB154,高値!AA154&gt;高値!AC154),22,""))</f>
        <v/>
      </c>
      <c r="AX154" s="503" t="str">
        <f>IF(終値!A154="","",IF(AND(高値!AB154&gt;高値!AA154,高値!AB154&gt;高値!Z154,高値!AB154&gt;高値!AC154,高値!AB154&gt;高値!AD154),23,""))</f>
        <v/>
      </c>
      <c r="AY154" s="503">
        <f>IF(終値!A154="","",IF(AND(高値!AC154&gt;高値!AB154,高値!AC154&gt;高値!AA154,高値!AC154&gt;高値!AD154,高値!AC154&gt;高値!AE154),24,""))</f>
        <v>24</v>
      </c>
      <c r="AZ154" s="503" t="str">
        <f>IF(終値!A154="","",IF(AND(高値!AD154&gt;高値!AC154,高値!AD154&gt;高値!AB154,高値!AD154&gt;高値!AE154,高値!AD154&gt;高値!AF154),25,""))</f>
        <v/>
      </c>
      <c r="BA154" s="503" t="str">
        <f>IF(終値!A154="","",IF(AND(高値!AE154&gt;高値!AD154,高値!AE154&gt;高値!AC154,高値!AE154&gt;高値!AF154,高値!AE154&gt;高値!AG154),26,""))</f>
        <v/>
      </c>
      <c r="BB154" s="503" t="str">
        <f>IF(終値!A154="","",IF(AND(高値!AF154&gt;高値!AE154,高値!AF154&gt;高値!AD154,高値!AF154&gt;高値!AG154,高値!AF154&gt;高値!AH154),27,""))</f>
        <v/>
      </c>
      <c r="BC154" s="503" t="str">
        <f>IF(終値!A154="","",IF(AND(高値!AG154&gt;高値!AF154,高値!AG154&gt;高値!AE154,高値!AG154&gt;高値!AH154,高値!AG154&gt;高値!AI154),28,""))</f>
        <v/>
      </c>
      <c r="BD154" s="503">
        <f t="shared" si="12"/>
        <v>5</v>
      </c>
      <c r="BE154" s="503">
        <f t="shared" si="13"/>
        <v>2</v>
      </c>
      <c r="BF154" s="503">
        <f t="shared" si="14"/>
        <v>6</v>
      </c>
      <c r="BG154" s="503">
        <f>IF($BE154="","",INDEX(安値!$E154:$CZ154,1,$BE154+1))</f>
        <v>6770</v>
      </c>
      <c r="BH154" s="503">
        <f>IF($BF154="","",INDEX(安値!$E154:$CZ154,1,$BF154+1))</f>
        <v>5861</v>
      </c>
      <c r="BI154" s="503">
        <f>IF($BF154="","",MAX(INDEX(高値!$E154:$CZ154,1,$BE154+1):INDEX(高値!$E154:$CZ154,1,$BF154+1)))</f>
        <v>7567</v>
      </c>
      <c r="BJ154" s="503">
        <f>IF($BF154="","",AVERAGE(INDEX(終値!$E154:$CZ154,1,$BF154+1):INDEX(終値!$E154:$CZ154,1,$BF154+20))-2*STDEVP(INDEX(終値!$E154:$CZ154,1,$BF154+1):INDEX(終値!$E154:$CZ154,1,$BF154+20)))</f>
        <v>6298.9574316786548</v>
      </c>
      <c r="BK154" s="503">
        <f>IF($BE154="","",AVERAGE(INDEX(終値!$E154:$CZ154,1,$BE154+1):INDEX(終値!$E154:$CZ154,1,$BE154+20))-2*STDEVP(INDEX(終値!$E154:$CZ154,1,$BE154+1):INDEX(終値!$E154:$CZ154,1,$BE154+20)))</f>
        <v>6081.2761785843632</v>
      </c>
      <c r="BL154" s="503">
        <f t="shared" si="15"/>
        <v>3</v>
      </c>
      <c r="BM154" s="503">
        <f t="shared" si="16"/>
        <v>10</v>
      </c>
      <c r="BN154" s="503">
        <f t="shared" si="17"/>
        <v>17</v>
      </c>
      <c r="BO154" s="503">
        <f>IF($BM154="","",INDEX(高値!$E154:$CZ154,1,$BM154+1))</f>
        <v>8817</v>
      </c>
      <c r="BP154" s="503">
        <f>IF($BN154="","",INDEX(高値!$E154:$CZ154,1,$BN154+1))</f>
        <v>10085</v>
      </c>
      <c r="BQ154" s="503">
        <f>IF($BN154="","",MIN(INDEX(安値!$E154:$CZ154,1,$BM154+1):INDEX(安値!$E154:$CZ154,1,$BN154+1)))</f>
        <v>7270</v>
      </c>
      <c r="BR154" s="503">
        <f>IF($BN154="","",AVERAGE(INDEX(終値!$E154:$CZ154,1,$BN154+1):INDEX(終値!$E154:$CZ154,1,$BN154+20))+2*STDEVP(INDEX(終値!$E154:$CZ154,1,$BN154+1):INDEX(終値!$E154:$CZ154,1,$BN154+20)))</f>
        <v>12564.913402820875</v>
      </c>
      <c r="BS154" s="503">
        <f>IF($BM154="","",AVERAGE(INDEX(終値!$E154:$CZ154,1,$BM154+1):INDEX(終値!$E154:$CZ154,1,$BM154+20))+2*STDEVP(INDEX(終値!$E154:$CZ154,1,$BM154+1):INDEX(終値!$E154:$CZ154,1,$BM154+20)))</f>
        <v>12372.176563727491</v>
      </c>
      <c r="BT154" s="500"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3" t="str">
        <f>IF(終値!A155="","",IF(AND(安値!G155&lt;安値!F155,安値!G155&lt;安値!E155,安値!G155&lt;安値!H155,安値!G155&lt;安値!I155),2,""))</f>
        <v/>
      </c>
      <c r="C155" s="503" t="str">
        <f>IF(終値!A155="","",IF(AND(安値!H155&lt;安値!G155,安値!H155&lt;安値!F155,安値!H155&lt;安値!I155,安値!H155&lt;安値!J155),3,""))</f>
        <v/>
      </c>
      <c r="D155" s="503" t="str">
        <f>IF(終値!A155="","",IF(AND(安値!I155&lt;安値!H155,安値!I155&lt;安値!G155,安値!I155&lt;安値!J155,安値!I155&lt;安値!K155),4,""))</f>
        <v/>
      </c>
      <c r="E155" s="503" t="str">
        <f>IF(終値!A155="","",IF(AND(安値!J155&lt;安値!I155,安値!J155&lt;安値!H155,安値!J155&lt;安値!K155,安値!J155&lt;安値!L155),5,""))</f>
        <v/>
      </c>
      <c r="F155" s="503">
        <f>IF(終値!A155="","",IF(AND(安値!K155&lt;安値!J155,安値!K155&lt;安値!I155,安値!K155&lt;安値!L155,安値!K155&lt;安値!M155),6,""))</f>
        <v>6</v>
      </c>
      <c r="G155" s="503" t="str">
        <f>IF(終値!A155="","",IF(AND(安値!L155&lt;安値!K155,安値!L155&lt;安値!J155,安値!L155&lt;安値!M155,安値!L155&lt;安値!N155),7,""))</f>
        <v/>
      </c>
      <c r="H155" s="503" t="str">
        <f>IF(終値!A155="","",IF(AND(安値!M155&lt;安値!L155,安値!M155&lt;安値!K155,安値!M155&lt;安値!N155,安値!M155&lt;安値!O155),8,""))</f>
        <v/>
      </c>
      <c r="I155" s="503">
        <f>IF(終値!A155="","",IF(AND(安値!N155&lt;安値!M155,安値!N155&lt;安値!L155,安値!N155&lt;安値!O155,安値!N155&lt;安値!P155),9,""))</f>
        <v>9</v>
      </c>
      <c r="J155" s="503" t="str">
        <f>IF(終値!A155="","",IF(AND(安値!O155&lt;安値!N155,安値!O155&lt;安値!M155,安値!O155&lt;安値!P155,安値!O155&lt;安値!Q155),10,""))</f>
        <v/>
      </c>
      <c r="K155" s="503" t="str">
        <f>IF(終値!A155="","",IF(AND(安値!P155&lt;安値!O155,安値!P155&lt;安値!N155,安値!P155&lt;安値!Q155,安値!P155&lt;安値!R155),11,""))</f>
        <v/>
      </c>
      <c r="L155" s="503" t="str">
        <f>IF(終値!A155="","",IF(AND(安値!Q155&lt;安値!P155,安値!Q155&lt;安値!O155,安値!Q155&lt;安値!R155,安値!Q155&lt;安値!S155),12,""))</f>
        <v/>
      </c>
      <c r="M155" s="503">
        <f>IF(終値!A155="","",IF(AND(安値!R155&lt;安値!Q155,安値!R155&lt;安値!P155,安値!R155&lt;安値!S155,安値!R155&lt;安値!T155),13,""))</f>
        <v>13</v>
      </c>
      <c r="N155" s="503" t="str">
        <f>IF(終値!A155="","",IF(AND(安値!S155&lt;安値!R155,安値!S155&lt;安値!Q155,安値!S155&lt;安値!T155,安値!S155&lt;安値!U155),14,""))</f>
        <v/>
      </c>
      <c r="O155" s="503" t="str">
        <f>IF(終値!A155="","",IF(AND(安値!T155&lt;安値!S155,安値!T155&lt;安値!R155,安値!T155&lt;安値!U155,安値!T155&lt;安値!V155),15,""))</f>
        <v/>
      </c>
      <c r="P155" s="503" t="str">
        <f>IF(終値!A155="","",IF(AND(安値!U155&lt;安値!T155,安値!U155&lt;安値!S155,安値!U155&lt;安値!V155,安値!U155&lt;安値!W155),16,""))</f>
        <v/>
      </c>
      <c r="Q155" s="503" t="str">
        <f>IF(終値!A155="","",IF(AND(安値!V155&lt;安値!U155,安値!V155&lt;安値!T155,安値!V155&lt;安値!W155,安値!V155&lt;安値!X155),17,""))</f>
        <v/>
      </c>
      <c r="R155" s="503" t="str">
        <f>IF(終値!A155="","",IF(AND(安値!W155&lt;安値!V155,安値!W155&lt;安値!U155,安値!W155&lt;安値!X155,安値!W155&lt;安値!Y155),18,""))</f>
        <v/>
      </c>
      <c r="S155" s="503">
        <f>IF(終値!A155="","",IF(AND(安値!X155&lt;安値!W155,安値!X155&lt;安値!V155,安値!X155&lt;安値!Y155,安値!X155&lt;安値!Z155),19,""))</f>
        <v>19</v>
      </c>
      <c r="T155" s="503" t="str">
        <f>IF(終値!A155="","",IF(AND(安値!Y155&lt;安値!X155,安値!Y155&lt;安値!W155,安値!Y155&lt;安値!Z155,安値!Y155&lt;安値!AA155),20,""))</f>
        <v/>
      </c>
      <c r="U155" s="503" t="str">
        <f>IF(終値!A155="","",IF(AND(安値!Z155&lt;安値!Y155,安値!Z155&lt;安値!X155,安値!Z155&lt;安値!AA155,安値!Z155&lt;安値!AB155),21,""))</f>
        <v/>
      </c>
      <c r="V155" s="503" t="str">
        <f>IF(終値!A155="","",IF(AND(安値!AA155&lt;安値!Z155,安値!AA155&lt;安値!Y155,安値!AA155&lt;安値!AB155,安値!AA155&lt;安値!AC155),22,""))</f>
        <v/>
      </c>
      <c r="W155" s="503" t="str">
        <f>IF(終値!A155="","",IF(AND(安値!AB155&lt;安値!AA155,安値!AB155&lt;安値!Z155,安値!AB155&lt;安値!AC155,安値!AB155&lt;安値!AD155),23,""))</f>
        <v/>
      </c>
      <c r="X155" s="503" t="str">
        <f>IF(終値!A155="","",IF(AND(安値!AC155&lt;安値!AB155,安値!AC155&lt;安値!AA155,安値!AC155&lt;安値!AD155,安値!AC155&lt;安値!AE155),24,""))</f>
        <v/>
      </c>
      <c r="Y155" s="503" t="str">
        <f>IF(終値!A155="","",IF(AND(安値!AD155&lt;安値!AC155,安値!AD155&lt;安値!AB155,安値!AD155&lt;安値!AE155,安値!AD155&lt;安値!AF155),25,""))</f>
        <v/>
      </c>
      <c r="Z155" s="503">
        <f>IF(終値!A155="","",IF(AND(安値!AE155&lt;安値!AD155,安値!AE155&lt;安値!AC155,安値!AE155&lt;安値!AF155,安値!AE155&lt;安値!AG155),26,""))</f>
        <v>26</v>
      </c>
      <c r="AA155" s="503" t="str">
        <f>IF(終値!A155="","",IF(AND(安値!AF155&lt;安値!AE155,安値!AF155&lt;安値!AD155,安値!AF155&lt;安値!AG155,安値!AF155&lt;安値!AH155),27,""))</f>
        <v/>
      </c>
      <c r="AB155" s="503" t="str">
        <f>IF(終値!A155="","",IF(AND(安値!AG155&lt;安値!AF155,安値!AG155&lt;安値!AE155,安値!AG155&lt;安値!AH155,安値!AG155&lt;安値!AI155),28,""))</f>
        <v/>
      </c>
      <c r="AC155" s="503" t="str">
        <f>IF(終値!A155="","",IF(AND(高値!G155&gt;高値!F155,高値!G155&gt;高値!E155,高値!G155&gt;高値!H155,高値!G155&gt;高値!I155),2,""))</f>
        <v/>
      </c>
      <c r="AD155" s="503" t="str">
        <f>IF(終値!A155="","",IF(AND(高値!H155&gt;高値!G155,高値!H155&gt;高値!F155,高値!H155&gt;高値!I155,高値!H155&gt;高値!J155),3,""))</f>
        <v/>
      </c>
      <c r="AE155" s="503">
        <f>IF(終値!A155="","",IF(AND(高値!I155&gt;高値!H155,高値!I155&gt;高値!G155,高値!I155&gt;高値!J155,高値!I155&gt;高値!K155),4,""))</f>
        <v>4</v>
      </c>
      <c r="AF155" s="503" t="str">
        <f>IF(終値!A155="","",IF(AND(高値!J155&gt;高値!I155,高値!J155&gt;高値!H155,高値!J155&gt;高値!K155,高値!J155&gt;高値!L155),5,""))</f>
        <v/>
      </c>
      <c r="AG155" s="503" t="str">
        <f>IF(終値!A155="","",IF(AND(高値!K155&gt;高値!J155,高値!K155&gt;高値!I155,高値!K155&gt;高値!L155,高値!K155&gt;高値!M155),6,""))</f>
        <v/>
      </c>
      <c r="AH155" s="503" t="str">
        <f>IF(終値!A155="","",IF(AND(高値!L155&gt;高値!K155,高値!L155&gt;高値!J155,高値!L155&gt;高値!M155,高値!L155&gt;高値!N155),7,""))</f>
        <v/>
      </c>
      <c r="AI155" s="503" t="str">
        <f>IF(終値!A155="","",IF(AND(高値!M155&gt;高値!L155,高値!M155&gt;高値!K155,高値!M155&gt;高値!N155,高値!M155&gt;高値!O155),8,""))</f>
        <v/>
      </c>
      <c r="AJ155" s="503" t="str">
        <f>IF(終値!A155="","",IF(AND(高値!N155&gt;高値!M155,高値!N155&gt;高値!L155,高値!N155&gt;高値!O155,高値!N155&gt;高値!P155),9,""))</f>
        <v/>
      </c>
      <c r="AK155" s="503" t="str">
        <f>IF(終値!A155="","",IF(AND(高値!O155&gt;高値!N155,高値!O155&gt;高値!M155,高値!O155&gt;高値!P155,高値!O155&gt;高値!Q155),10,""))</f>
        <v/>
      </c>
      <c r="AL155" s="503">
        <f>IF(終値!A155="","",IF(AND(高値!P155&gt;高値!O155,高値!P155&gt;高値!N155,高値!P155&gt;高値!Q155,高値!P155&gt;高値!R155),11,""))</f>
        <v>11</v>
      </c>
      <c r="AM155" s="503" t="str">
        <f>IF(終値!A155="","",IF(AND(高値!Q155&gt;高値!P155,高値!Q155&gt;高値!O155,高値!Q155&gt;高値!R155,高値!Q155&gt;高値!S155),12,""))</f>
        <v/>
      </c>
      <c r="AN155" s="503" t="str">
        <f>IF(終値!A155="","",IF(AND(高値!R155&gt;高値!Q155,高値!R155&gt;高値!P155,高値!R155&gt;高値!S155,高値!R155&gt;高値!T155),13,""))</f>
        <v/>
      </c>
      <c r="AO155" s="503" t="str">
        <f>IF(終値!A155="","",IF(AND(高値!S155&gt;高値!R155,高値!S155&gt;高値!Q155,高値!S155&gt;高値!T155,高値!S155&gt;高値!U155),14,""))</f>
        <v/>
      </c>
      <c r="AP155" s="503" t="str">
        <f>IF(終値!A155="","",IF(AND(高値!T155&gt;高値!S155,高値!T155&gt;高値!R155,高値!T155&gt;高値!U155,高値!T155&gt;高値!V155),15,""))</f>
        <v/>
      </c>
      <c r="AQ155" s="503" t="str">
        <f>IF(終値!A155="","",IF(AND(高値!U155&gt;高値!T155,高値!U155&gt;高値!S155,高値!U155&gt;高値!V155,高値!U155&gt;高値!W155),16,""))</f>
        <v/>
      </c>
      <c r="AR155" s="503">
        <f>IF(終値!A155="","",IF(AND(高値!V155&gt;高値!U155,高値!V155&gt;高値!T155,高値!V155&gt;高値!W155,高値!V155&gt;高値!X155),17,""))</f>
        <v>17</v>
      </c>
      <c r="AS155" s="503" t="str">
        <f>IF(終値!A155="","",IF(AND(高値!W155&gt;高値!V155,高値!W155&gt;高値!U155,高値!W155&gt;高値!X155,高値!W155&gt;高値!Y155),18,""))</f>
        <v/>
      </c>
      <c r="AT155" s="503" t="str">
        <f>IF(終値!A155="","",IF(AND(高値!X155&gt;高値!W155,高値!X155&gt;高値!V155,高値!X155&gt;高値!Y155,高値!X155&gt;高値!Z155),19,""))</f>
        <v/>
      </c>
      <c r="AU155" s="503" t="str">
        <f>IF(終値!A155="","",IF(AND(高値!Y155&gt;高値!X155,高値!Y155&gt;高値!W155,高値!Y155&gt;高値!Z155,高値!Y155&gt;高値!AA155),20,""))</f>
        <v/>
      </c>
      <c r="AV155" s="503" t="str">
        <f>IF(終値!A155="","",IF(AND(高値!Z155&gt;高値!Y155,高値!Z155&gt;高値!X155,高値!Z155&gt;高値!AA155,高値!Z155&gt;高値!AB155),21,""))</f>
        <v/>
      </c>
      <c r="AW155" s="503" t="str">
        <f>IF(終値!A155="","",IF(AND(高値!AA155&gt;高値!Z155,高値!AA155&gt;高値!Y155,高値!AA155&gt;高値!AB155,高値!AA155&gt;高値!AC155),22,""))</f>
        <v/>
      </c>
      <c r="AX155" s="503" t="str">
        <f>IF(終値!A155="","",IF(AND(高値!AB155&gt;高値!AA155,高値!AB155&gt;高値!Z155,高値!AB155&gt;高値!AC155,高値!AB155&gt;高値!AD155),23,""))</f>
        <v/>
      </c>
      <c r="AY155" s="503">
        <f>IF(終値!A155="","",IF(AND(高値!AC155&gt;高値!AB155,高値!AC155&gt;高値!AA155,高値!AC155&gt;高値!AD155,高値!AC155&gt;高値!AE155),24,""))</f>
        <v>24</v>
      </c>
      <c r="AZ155" s="503" t="str">
        <f>IF(終値!A155="","",IF(AND(高値!AD155&gt;高値!AC155,高値!AD155&gt;高値!AB155,高値!AD155&gt;高値!AE155,高値!AD155&gt;高値!AF155),25,""))</f>
        <v/>
      </c>
      <c r="BA155" s="503" t="str">
        <f>IF(終値!A155="","",IF(AND(高値!AE155&gt;高値!AD155,高値!AE155&gt;高値!AC155,高値!AE155&gt;高値!AF155,高値!AE155&gt;高値!AG155),26,""))</f>
        <v/>
      </c>
      <c r="BB155" s="503" t="str">
        <f>IF(終値!A155="","",IF(AND(高値!AF155&gt;高値!AE155,高値!AF155&gt;高値!AD155,高値!AF155&gt;高値!AG155,高値!AF155&gt;高値!AH155),27,""))</f>
        <v/>
      </c>
      <c r="BC155" s="503" t="str">
        <f>IF(終値!A155="","",IF(AND(高値!AG155&gt;高値!AF155,高値!AG155&gt;高値!AE155,高値!AG155&gt;高値!AH155,高値!AG155&gt;高値!AI155),28,""))</f>
        <v/>
      </c>
      <c r="BD155" s="503">
        <f t="shared" si="12"/>
        <v>5</v>
      </c>
      <c r="BE155" s="503">
        <f t="shared" si="13"/>
        <v>6</v>
      </c>
      <c r="BF155" s="503">
        <f t="shared" si="14"/>
        <v>9</v>
      </c>
      <c r="BG155" s="503">
        <f>IF($BE155="","",INDEX(安値!$E155:$CZ155,1,$BE155+1))</f>
        <v>3344</v>
      </c>
      <c r="BH155" s="503">
        <f>IF($BF155="","",INDEX(安値!$E155:$CZ155,1,$BF155+1))</f>
        <v>0</v>
      </c>
      <c r="BI155" s="503">
        <f>IF($BF155="","",MAX(INDEX(高値!$E155:$CZ155,1,$BE155+1):INDEX(高値!$E155:$CZ155,1,$BF155+1)))</f>
        <v>3926</v>
      </c>
      <c r="BJ155" s="503">
        <f>IF($BF155="","",AVERAGE(INDEX(終値!$E155:$CZ155,1,$BF155+1):INDEX(終値!$E155:$CZ155,1,$BF155+20))-2*STDEVP(INDEX(終値!$E155:$CZ155,1,$BF155+1):INDEX(終値!$E155:$CZ155,1,$BF155+20)))</f>
        <v>3666.0651234687302</v>
      </c>
      <c r="BK155" s="503">
        <f>IF($BE155="","",AVERAGE(INDEX(終値!$E155:$CZ155,1,$BE155+1):INDEX(終値!$E155:$CZ155,1,$BE155+20))-2*STDEVP(INDEX(終値!$E155:$CZ155,1,$BE155+1):INDEX(終値!$E155:$CZ155,1,$BE155+20)))</f>
        <v>3462.9172006125427</v>
      </c>
      <c r="BL155" s="503">
        <f t="shared" si="15"/>
        <v>4</v>
      </c>
      <c r="BM155" s="503">
        <f t="shared" si="16"/>
        <v>4</v>
      </c>
      <c r="BN155" s="503">
        <f t="shared" si="17"/>
        <v>11</v>
      </c>
      <c r="BO155" s="503">
        <f>IF($BM155="","",INDEX(高値!$E155:$CZ155,1,$BM155+1))</f>
        <v>3701</v>
      </c>
      <c r="BP155" s="503">
        <f>IF($BN155="","",INDEX(高値!$E155:$CZ155,1,$BN155+1))</f>
        <v>4093</v>
      </c>
      <c r="BQ155" s="503">
        <f>IF($BN155="","",MIN(INDEX(安値!$E155:$CZ155,1,$BM155+1):INDEX(安値!$E155:$CZ155,1,$BN155+1)))</f>
        <v>3344</v>
      </c>
      <c r="BR155" s="503">
        <f>IF($BN155="","",AVERAGE(INDEX(終値!$E155:$CZ155,1,$BN155+1):INDEX(終値!$E155:$CZ155,1,$BN155+20))+2*STDEVP(INDEX(終値!$E155:$CZ155,1,$BN155+1):INDEX(終値!$E155:$CZ155,1,$BN155+20)))</f>
        <v>4748.5158018960656</v>
      </c>
      <c r="BS155" s="503">
        <f>IF($BM155="","",AVERAGE(INDEX(終値!$E155:$CZ155,1,$BM155+1):INDEX(終値!$E155:$CZ155,1,$BM155+20))+2*STDEVP(INDEX(終値!$E155:$CZ155,1,$BM155+1):INDEX(終値!$E155:$CZ155,1,$BM155+20)))</f>
        <v>4528.9708830814598</v>
      </c>
      <c r="BT155" s="500"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3" t="str">
        <f>IF(終値!A156="","",IF(AND(安値!G156&lt;安値!F156,安値!G156&lt;安値!E156,安値!G156&lt;安値!H156,安値!G156&lt;安値!I156),2,""))</f>
        <v/>
      </c>
      <c r="C156" s="503">
        <f>IF(終値!A156="","",IF(AND(安値!H156&lt;安値!G156,安値!H156&lt;安値!F156,安値!H156&lt;安値!I156,安値!H156&lt;安値!J156),3,""))</f>
        <v>3</v>
      </c>
      <c r="D156" s="503" t="str">
        <f>IF(終値!A156="","",IF(AND(安値!I156&lt;安値!H156,安値!I156&lt;安値!G156,安値!I156&lt;安値!J156,安値!I156&lt;安値!K156),4,""))</f>
        <v/>
      </c>
      <c r="E156" s="503" t="str">
        <f>IF(終値!A156="","",IF(AND(安値!J156&lt;安値!I156,安値!J156&lt;安値!H156,安値!J156&lt;安値!K156,安値!J156&lt;安値!L156),5,""))</f>
        <v/>
      </c>
      <c r="F156" s="503" t="str">
        <f>IF(終値!A156="","",IF(AND(安値!K156&lt;安値!J156,安値!K156&lt;安値!I156,安値!K156&lt;安値!L156,安値!K156&lt;安値!M156),6,""))</f>
        <v/>
      </c>
      <c r="G156" s="503" t="str">
        <f>IF(終値!A156="","",IF(AND(安値!L156&lt;安値!K156,安値!L156&lt;安値!J156,安値!L156&lt;安値!M156,安値!L156&lt;安値!N156),7,""))</f>
        <v/>
      </c>
      <c r="H156" s="503" t="str">
        <f>IF(終値!A156="","",IF(AND(安値!M156&lt;安値!L156,安値!M156&lt;安値!K156,安値!M156&lt;安値!N156,安値!M156&lt;安値!O156),8,""))</f>
        <v/>
      </c>
      <c r="I156" s="503" t="str">
        <f>IF(終値!A156="","",IF(AND(安値!N156&lt;安値!M156,安値!N156&lt;安値!L156,安値!N156&lt;安値!O156,安値!N156&lt;安値!P156),9,""))</f>
        <v/>
      </c>
      <c r="J156" s="503" t="str">
        <f>IF(終値!A156="","",IF(AND(安値!O156&lt;安値!N156,安値!O156&lt;安値!M156,安値!O156&lt;安値!P156,安値!O156&lt;安値!Q156),10,""))</f>
        <v/>
      </c>
      <c r="K156" s="503" t="str">
        <f>IF(終値!A156="","",IF(AND(安値!P156&lt;安値!O156,安値!P156&lt;安値!N156,安値!P156&lt;安値!Q156,安値!P156&lt;安値!R156),11,""))</f>
        <v/>
      </c>
      <c r="L156" s="503">
        <f>IF(終値!A156="","",IF(AND(安値!Q156&lt;安値!P156,安値!Q156&lt;安値!O156,安値!Q156&lt;安値!R156,安値!Q156&lt;安値!S156),12,""))</f>
        <v>12</v>
      </c>
      <c r="M156" s="503" t="str">
        <f>IF(終値!A156="","",IF(AND(安値!R156&lt;安値!Q156,安値!R156&lt;安値!P156,安値!R156&lt;安値!S156,安値!R156&lt;安値!T156),13,""))</f>
        <v/>
      </c>
      <c r="N156" s="503" t="str">
        <f>IF(終値!A156="","",IF(AND(安値!S156&lt;安値!R156,安値!S156&lt;安値!Q156,安値!S156&lt;安値!T156,安値!S156&lt;安値!U156),14,""))</f>
        <v/>
      </c>
      <c r="O156" s="503" t="str">
        <f>IF(終値!A156="","",IF(AND(安値!T156&lt;安値!S156,安値!T156&lt;安値!R156,安値!T156&lt;安値!U156,安値!T156&lt;安値!V156),15,""))</f>
        <v/>
      </c>
      <c r="P156" s="503">
        <f>IF(終値!A156="","",IF(AND(安値!U156&lt;安値!T156,安値!U156&lt;安値!S156,安値!U156&lt;安値!V156,安値!U156&lt;安値!W156),16,""))</f>
        <v>16</v>
      </c>
      <c r="Q156" s="503" t="str">
        <f>IF(終値!A156="","",IF(AND(安値!V156&lt;安値!U156,安値!V156&lt;安値!T156,安値!V156&lt;安値!W156,安値!V156&lt;安値!X156),17,""))</f>
        <v/>
      </c>
      <c r="R156" s="503" t="str">
        <f>IF(終値!A156="","",IF(AND(安値!W156&lt;安値!V156,安値!W156&lt;安値!U156,安値!W156&lt;安値!X156,安値!W156&lt;安値!Y156),18,""))</f>
        <v/>
      </c>
      <c r="S156" s="503" t="str">
        <f>IF(終値!A156="","",IF(AND(安値!X156&lt;安値!W156,安値!X156&lt;安値!V156,安値!X156&lt;安値!Y156,安値!X156&lt;安値!Z156),19,""))</f>
        <v/>
      </c>
      <c r="T156" s="503" t="str">
        <f>IF(終値!A156="","",IF(AND(安値!Y156&lt;安値!X156,安値!Y156&lt;安値!W156,安値!Y156&lt;安値!Z156,安値!Y156&lt;安値!AA156),20,""))</f>
        <v/>
      </c>
      <c r="U156" s="503" t="str">
        <f>IF(終値!A156="","",IF(AND(安値!Z156&lt;安値!Y156,安値!Z156&lt;安値!X156,安値!Z156&lt;安値!AA156,安値!Z156&lt;安値!AB156),21,""))</f>
        <v/>
      </c>
      <c r="V156" s="503">
        <f>IF(終値!A156="","",IF(AND(安値!AA156&lt;安値!Z156,安値!AA156&lt;安値!Y156,安値!AA156&lt;安値!AB156,安値!AA156&lt;安値!AC156),22,""))</f>
        <v>22</v>
      </c>
      <c r="W156" s="503" t="str">
        <f>IF(終値!A156="","",IF(AND(安値!AB156&lt;安値!AA156,安値!AB156&lt;安値!Z156,安値!AB156&lt;安値!AC156,安値!AB156&lt;安値!AD156),23,""))</f>
        <v/>
      </c>
      <c r="X156" s="503" t="str">
        <f>IF(終値!A156="","",IF(AND(安値!AC156&lt;安値!AB156,安値!AC156&lt;安値!AA156,安値!AC156&lt;安値!AD156,安値!AC156&lt;安値!AE156),24,""))</f>
        <v/>
      </c>
      <c r="Y156" s="503" t="str">
        <f>IF(終値!A156="","",IF(AND(安値!AD156&lt;安値!AC156,安値!AD156&lt;安値!AB156,安値!AD156&lt;安値!AE156,安値!AD156&lt;安値!AF156),25,""))</f>
        <v/>
      </c>
      <c r="Z156" s="503">
        <f>IF(終値!A156="","",IF(AND(安値!AE156&lt;安値!AD156,安値!AE156&lt;安値!AC156,安値!AE156&lt;安値!AF156,安値!AE156&lt;安値!AG156),26,""))</f>
        <v>26</v>
      </c>
      <c r="AA156" s="503" t="str">
        <f>IF(終値!A156="","",IF(AND(安値!AF156&lt;安値!AE156,安値!AF156&lt;安値!AD156,安値!AF156&lt;安値!AG156,安値!AF156&lt;安値!AH156),27,""))</f>
        <v/>
      </c>
      <c r="AB156" s="503" t="str">
        <f>IF(終値!A156="","",IF(AND(安値!AG156&lt;安値!AF156,安値!AG156&lt;安値!AE156,安値!AG156&lt;安値!AH156,安値!AG156&lt;安値!AI156),28,""))</f>
        <v/>
      </c>
      <c r="AC156" s="503" t="str">
        <f>IF(終値!A156="","",IF(AND(高値!G156&gt;高値!F156,高値!G156&gt;高値!E156,高値!G156&gt;高値!H156,高値!G156&gt;高値!I156),2,""))</f>
        <v/>
      </c>
      <c r="AD156" s="503" t="str">
        <f>IF(終値!A156="","",IF(AND(高値!H156&gt;高値!G156,高値!H156&gt;高値!F156,高値!H156&gt;高値!I156,高値!H156&gt;高値!J156),3,""))</f>
        <v/>
      </c>
      <c r="AE156" s="503" t="str">
        <f>IF(終値!A156="","",IF(AND(高値!I156&gt;高値!H156,高値!I156&gt;高値!G156,高値!I156&gt;高値!J156,高値!I156&gt;高値!K156),4,""))</f>
        <v/>
      </c>
      <c r="AF156" s="503" t="str">
        <f>IF(終値!A156="","",IF(AND(高値!J156&gt;高値!I156,高値!J156&gt;高値!H156,高値!J156&gt;高値!K156,高値!J156&gt;高値!L156),5,""))</f>
        <v/>
      </c>
      <c r="AG156" s="503" t="str">
        <f>IF(終値!A156="","",IF(AND(高値!K156&gt;高値!J156,高値!K156&gt;高値!I156,高値!K156&gt;高値!L156,高値!K156&gt;高値!M156),6,""))</f>
        <v/>
      </c>
      <c r="AH156" s="503">
        <f>IF(終値!A156="","",IF(AND(高値!L156&gt;高値!K156,高値!L156&gt;高値!J156,高値!L156&gt;高値!M156,高値!L156&gt;高値!N156),7,""))</f>
        <v>7</v>
      </c>
      <c r="AI156" s="503" t="str">
        <f>IF(終値!A156="","",IF(AND(高値!M156&gt;高値!L156,高値!M156&gt;高値!K156,高値!M156&gt;高値!N156,高値!M156&gt;高値!O156),8,""))</f>
        <v/>
      </c>
      <c r="AJ156" s="503" t="str">
        <f>IF(終値!A156="","",IF(AND(高値!N156&gt;高値!M156,高値!N156&gt;高値!L156,高値!N156&gt;高値!O156,高値!N156&gt;高値!P156),9,""))</f>
        <v/>
      </c>
      <c r="AK156" s="503" t="str">
        <f>IF(終値!A156="","",IF(AND(高値!O156&gt;高値!N156,高値!O156&gt;高値!M156,高値!O156&gt;高値!P156,高値!O156&gt;高値!Q156),10,""))</f>
        <v/>
      </c>
      <c r="AL156" s="503" t="str">
        <f>IF(終値!A156="","",IF(AND(高値!P156&gt;高値!O156,高値!P156&gt;高値!N156,高値!P156&gt;高値!Q156,高値!P156&gt;高値!R156),11,""))</f>
        <v/>
      </c>
      <c r="AM156" s="503" t="str">
        <f>IF(終値!A156="","",IF(AND(高値!Q156&gt;高値!P156,高値!Q156&gt;高値!O156,高値!Q156&gt;高値!R156,高値!Q156&gt;高値!S156),12,""))</f>
        <v/>
      </c>
      <c r="AN156" s="503" t="str">
        <f>IF(終値!A156="","",IF(AND(高値!R156&gt;高値!Q156,高値!R156&gt;高値!P156,高値!R156&gt;高値!S156,高値!R156&gt;高値!T156),13,""))</f>
        <v/>
      </c>
      <c r="AO156" s="503" t="str">
        <f>IF(終値!A156="","",IF(AND(高値!S156&gt;高値!R156,高値!S156&gt;高値!Q156,高値!S156&gt;高値!T156,高値!S156&gt;高値!U156),14,""))</f>
        <v/>
      </c>
      <c r="AP156" s="503" t="str">
        <f>IF(終値!A156="","",IF(AND(高値!T156&gt;高値!S156,高値!T156&gt;高値!R156,高値!T156&gt;高値!U156,高値!T156&gt;高値!V156),15,""))</f>
        <v/>
      </c>
      <c r="AQ156" s="503" t="str">
        <f>IF(終値!A156="","",IF(AND(高値!U156&gt;高値!T156,高値!U156&gt;高値!S156,高値!U156&gt;高値!V156,高値!U156&gt;高値!W156),16,""))</f>
        <v/>
      </c>
      <c r="AR156" s="503" t="str">
        <f>IF(終値!A156="","",IF(AND(高値!V156&gt;高値!U156,高値!V156&gt;高値!T156,高値!V156&gt;高値!W156,高値!V156&gt;高値!X156),17,""))</f>
        <v/>
      </c>
      <c r="AS156" s="503" t="str">
        <f>IF(終値!A156="","",IF(AND(高値!W156&gt;高値!V156,高値!W156&gt;高値!U156,高値!W156&gt;高値!X156,高値!W156&gt;高値!Y156),18,""))</f>
        <v/>
      </c>
      <c r="AT156" s="503" t="str">
        <f>IF(終値!A156="","",IF(AND(高値!X156&gt;高値!W156,高値!X156&gt;高値!V156,高値!X156&gt;高値!Y156,高値!X156&gt;高値!Z156),19,""))</f>
        <v/>
      </c>
      <c r="AU156" s="503" t="str">
        <f>IF(終値!A156="","",IF(AND(高値!Y156&gt;高値!X156,高値!Y156&gt;高値!W156,高値!Y156&gt;高値!Z156,高値!Y156&gt;高値!AA156),20,""))</f>
        <v/>
      </c>
      <c r="AV156" s="503" t="str">
        <f>IF(終値!A156="","",IF(AND(高値!Z156&gt;高値!Y156,高値!Z156&gt;高値!X156,高値!Z156&gt;高値!AA156,高値!Z156&gt;高値!AB156),21,""))</f>
        <v/>
      </c>
      <c r="AW156" s="503">
        <f>IF(終値!A156="","",IF(AND(高値!AA156&gt;高値!Z156,高値!AA156&gt;高値!Y156,高値!AA156&gt;高値!AB156,高値!AA156&gt;高値!AC156),22,""))</f>
        <v>22</v>
      </c>
      <c r="AX156" s="503" t="str">
        <f>IF(終値!A156="","",IF(AND(高値!AB156&gt;高値!AA156,高値!AB156&gt;高値!Z156,高値!AB156&gt;高値!AC156,高値!AB156&gt;高値!AD156),23,""))</f>
        <v/>
      </c>
      <c r="AY156" s="503" t="str">
        <f>IF(終値!A156="","",IF(AND(高値!AC156&gt;高値!AB156,高値!AC156&gt;高値!AA156,高値!AC156&gt;高値!AD156,高値!AC156&gt;高値!AE156),24,""))</f>
        <v/>
      </c>
      <c r="AZ156" s="503">
        <f>IF(終値!A156="","",IF(AND(高値!AD156&gt;高値!AC156,高値!AD156&gt;高値!AB156,高値!AD156&gt;高値!AE156,高値!AD156&gt;高値!AF156),25,""))</f>
        <v>25</v>
      </c>
      <c r="BA156" s="503" t="str">
        <f>IF(終値!A156="","",IF(AND(高値!AE156&gt;高値!AD156,高値!AE156&gt;高値!AC156,高値!AE156&gt;高値!AF156,高値!AE156&gt;高値!AG156),26,""))</f>
        <v/>
      </c>
      <c r="BB156" s="503" t="str">
        <f>IF(終値!A156="","",IF(AND(高値!AF156&gt;高値!AE156,高値!AF156&gt;高値!AD156,高値!AF156&gt;高値!AG156,高値!AF156&gt;高値!AH156),27,""))</f>
        <v/>
      </c>
      <c r="BC156" s="503">
        <f>IF(終値!A156="","",IF(AND(高値!AG156&gt;高値!AF156,高値!AG156&gt;高値!AE156,高値!AG156&gt;高値!AH156,高値!AG156&gt;高値!AI156),28,""))</f>
        <v>28</v>
      </c>
      <c r="BD156" s="503">
        <f t="shared" si="12"/>
        <v>5</v>
      </c>
      <c r="BE156" s="503">
        <f t="shared" si="13"/>
        <v>3</v>
      </c>
      <c r="BF156" s="503">
        <f t="shared" si="14"/>
        <v>12</v>
      </c>
      <c r="BG156" s="503">
        <f>IF($BE156="","",INDEX(安値!$E156:$CZ156,1,$BE156+1))</f>
        <v>2493</v>
      </c>
      <c r="BH156" s="503">
        <f>IF($BF156="","",INDEX(安値!$E156:$CZ156,1,$BF156+1))</f>
        <v>2480</v>
      </c>
      <c r="BI156" s="503">
        <f>IF($BF156="","",MAX(INDEX(高値!$E156:$CZ156,1,$BE156+1):INDEX(高値!$E156:$CZ156,1,$BF156+1)))</f>
        <v>2697</v>
      </c>
      <c r="BJ156" s="503">
        <f>IF($BF156="","",AVERAGE(INDEX(終値!$E156:$CZ156,1,$BF156+1):INDEX(終値!$E156:$CZ156,1,$BF156+20))-2*STDEVP(INDEX(終値!$E156:$CZ156,1,$BF156+1):INDEX(終値!$E156:$CZ156,1,$BF156+20)))</f>
        <v>2456.1918031483719</v>
      </c>
      <c r="BK156" s="503">
        <f>IF($BE156="","",AVERAGE(INDEX(終値!$E156:$CZ156,1,$BE156+1):INDEX(終値!$E156:$CZ156,1,$BE156+20))-2*STDEVP(INDEX(終値!$E156:$CZ156,1,$BE156+1):INDEX(終値!$E156:$CZ156,1,$BE156+20)))</f>
        <v>2451.3057311705134</v>
      </c>
      <c r="BL156" s="503">
        <f t="shared" si="15"/>
        <v>4</v>
      </c>
      <c r="BM156" s="503">
        <f t="shared" si="16"/>
        <v>7</v>
      </c>
      <c r="BN156" s="503">
        <f t="shared" si="17"/>
        <v>22</v>
      </c>
      <c r="BO156" s="503">
        <f>IF($BM156="","",INDEX(高値!$E156:$CZ156,1,$BM156+1))</f>
        <v>2697</v>
      </c>
      <c r="BP156" s="503">
        <f>IF($BN156="","",INDEX(高値!$E156:$CZ156,1,$BN156+1))</f>
        <v>2851</v>
      </c>
      <c r="BQ156" s="503">
        <f>IF($BN156="","",MIN(INDEX(安値!$E156:$CZ156,1,$BM156+1):INDEX(安値!$E156:$CZ156,1,$BN156+1)))</f>
        <v>2480</v>
      </c>
      <c r="BR156" s="503">
        <f>IF($BN156="","",AVERAGE(INDEX(終値!$E156:$CZ156,1,$BN156+1):INDEX(終値!$E156:$CZ156,1,$BN156+20))+2*STDEVP(INDEX(終値!$E156:$CZ156,1,$BN156+1):INDEX(終値!$E156:$CZ156,1,$BN156+20)))</f>
        <v>2898.554728775659</v>
      </c>
      <c r="BS156" s="503">
        <f>IF($BM156="","",AVERAGE(INDEX(終値!$E156:$CZ156,1,$BM156+1):INDEX(終値!$E156:$CZ156,1,$BM156+20))+2*STDEVP(INDEX(終値!$E156:$CZ156,1,$BM156+1):INDEX(終値!$E156:$CZ156,1,$BM156+20)))</f>
        <v>2829.56536471969</v>
      </c>
      <c r="BT156" s="500"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3" t="str">
        <f>IF(終値!A157="","",IF(AND(安値!G157&lt;安値!F157,安値!G157&lt;安値!E157,安値!G157&lt;安値!H157,安値!G157&lt;安値!I157),2,""))</f>
        <v/>
      </c>
      <c r="C157" s="503">
        <f>IF(終値!A157="","",IF(AND(安値!H157&lt;安値!G157,安値!H157&lt;安値!F157,安値!H157&lt;安値!I157,安値!H157&lt;安値!J157),3,""))</f>
        <v>3</v>
      </c>
      <c r="D157" s="503" t="str">
        <f>IF(終値!A157="","",IF(AND(安値!I157&lt;安値!H157,安値!I157&lt;安値!G157,安値!I157&lt;安値!J157,安値!I157&lt;安値!K157),4,""))</f>
        <v/>
      </c>
      <c r="E157" s="503" t="str">
        <f>IF(終値!A157="","",IF(AND(安値!J157&lt;安値!I157,安値!J157&lt;安値!H157,安値!J157&lt;安値!K157,安値!J157&lt;安値!L157),5,""))</f>
        <v/>
      </c>
      <c r="F157" s="503">
        <f>IF(終値!A157="","",IF(AND(安値!K157&lt;安値!J157,安値!K157&lt;安値!I157,安値!K157&lt;安値!L157,安値!K157&lt;安値!M157),6,""))</f>
        <v>6</v>
      </c>
      <c r="G157" s="503" t="str">
        <f>IF(終値!A157="","",IF(AND(安値!L157&lt;安値!K157,安値!L157&lt;安値!J157,安値!L157&lt;安値!M157,安値!L157&lt;安値!N157),7,""))</f>
        <v/>
      </c>
      <c r="H157" s="503" t="str">
        <f>IF(終値!A157="","",IF(AND(安値!M157&lt;安値!L157,安値!M157&lt;安値!K157,安値!M157&lt;安値!N157,安値!M157&lt;安値!O157),8,""))</f>
        <v/>
      </c>
      <c r="I157" s="503">
        <f>IF(終値!A157="","",IF(AND(安値!N157&lt;安値!M157,安値!N157&lt;安値!L157,安値!N157&lt;安値!O157,安値!N157&lt;安値!P157),9,""))</f>
        <v>9</v>
      </c>
      <c r="J157" s="503" t="str">
        <f>IF(終値!A157="","",IF(AND(安値!O157&lt;安値!N157,安値!O157&lt;安値!M157,安値!O157&lt;安値!P157,安値!O157&lt;安値!Q157),10,""))</f>
        <v/>
      </c>
      <c r="K157" s="503" t="str">
        <f>IF(終値!A157="","",IF(AND(安値!P157&lt;安値!O157,安値!P157&lt;安値!N157,安値!P157&lt;安値!Q157,安値!P157&lt;安値!R157),11,""))</f>
        <v/>
      </c>
      <c r="L157" s="503" t="str">
        <f>IF(終値!A157="","",IF(AND(安値!Q157&lt;安値!P157,安値!Q157&lt;安値!O157,安値!Q157&lt;安値!R157,安値!Q157&lt;安値!S157),12,""))</f>
        <v/>
      </c>
      <c r="M157" s="503">
        <f>IF(終値!A157="","",IF(AND(安値!R157&lt;安値!Q157,安値!R157&lt;安値!P157,安値!R157&lt;安値!S157,安値!R157&lt;安値!T157),13,""))</f>
        <v>13</v>
      </c>
      <c r="N157" s="503" t="str">
        <f>IF(終値!A157="","",IF(AND(安値!S157&lt;安値!R157,安値!S157&lt;安値!Q157,安値!S157&lt;安値!T157,安値!S157&lt;安値!U157),14,""))</f>
        <v/>
      </c>
      <c r="O157" s="503" t="str">
        <f>IF(終値!A157="","",IF(AND(安値!T157&lt;安値!S157,安値!T157&lt;安値!R157,安値!T157&lt;安値!U157,安値!T157&lt;安値!V157),15,""))</f>
        <v/>
      </c>
      <c r="P157" s="503" t="str">
        <f>IF(終値!A157="","",IF(AND(安値!U157&lt;安値!T157,安値!U157&lt;安値!S157,安値!U157&lt;安値!V157,安値!U157&lt;安値!W157),16,""))</f>
        <v/>
      </c>
      <c r="Q157" s="503" t="str">
        <f>IF(終値!A157="","",IF(AND(安値!V157&lt;安値!U157,安値!V157&lt;安値!T157,安値!V157&lt;安値!W157,安値!V157&lt;安値!X157),17,""))</f>
        <v/>
      </c>
      <c r="R157" s="503" t="str">
        <f>IF(終値!A157="","",IF(AND(安値!W157&lt;安値!V157,安値!W157&lt;安値!U157,安値!W157&lt;安値!X157,安値!W157&lt;安値!Y157),18,""))</f>
        <v/>
      </c>
      <c r="S157" s="503" t="str">
        <f>IF(終値!A157="","",IF(AND(安値!X157&lt;安値!W157,安値!X157&lt;安値!V157,安値!X157&lt;安値!Y157,安値!X157&lt;安値!Z157),19,""))</f>
        <v/>
      </c>
      <c r="T157" s="503" t="str">
        <f>IF(終値!A157="","",IF(AND(安値!Y157&lt;安値!X157,安値!Y157&lt;安値!W157,安値!Y157&lt;安値!Z157,安値!Y157&lt;安値!AA157),20,""))</f>
        <v/>
      </c>
      <c r="U157" s="503" t="str">
        <f>IF(終値!A157="","",IF(AND(安値!Z157&lt;安値!Y157,安値!Z157&lt;安値!X157,安値!Z157&lt;安値!AA157,安値!Z157&lt;安値!AB157),21,""))</f>
        <v/>
      </c>
      <c r="V157" s="503" t="str">
        <f>IF(終値!A157="","",IF(AND(安値!AA157&lt;安値!Z157,安値!AA157&lt;安値!Y157,安値!AA157&lt;安値!AB157,安値!AA157&lt;安値!AC157),22,""))</f>
        <v/>
      </c>
      <c r="W157" s="503" t="str">
        <f>IF(終値!A157="","",IF(AND(安値!AB157&lt;安値!AA157,安値!AB157&lt;安値!Z157,安値!AB157&lt;安値!AC157,安値!AB157&lt;安値!AD157),23,""))</f>
        <v/>
      </c>
      <c r="X157" s="503" t="str">
        <f>IF(終値!A157="","",IF(AND(安値!AC157&lt;安値!AB157,安値!AC157&lt;安値!AA157,安値!AC157&lt;安値!AD157,安値!AC157&lt;安値!AE157),24,""))</f>
        <v/>
      </c>
      <c r="Y157" s="503" t="str">
        <f>IF(終値!A157="","",IF(AND(安値!AD157&lt;安値!AC157,安値!AD157&lt;安値!AB157,安値!AD157&lt;安値!AE157,安値!AD157&lt;安値!AF157),25,""))</f>
        <v/>
      </c>
      <c r="Z157" s="503" t="str">
        <f>IF(終値!A157="","",IF(AND(安値!AE157&lt;安値!AD157,安値!AE157&lt;安値!AC157,安値!AE157&lt;安値!AF157,安値!AE157&lt;安値!AG157),26,""))</f>
        <v/>
      </c>
      <c r="AA157" s="503" t="str">
        <f>IF(終値!A157="","",IF(AND(安値!AF157&lt;安値!AE157,安値!AF157&lt;安値!AD157,安値!AF157&lt;安値!AG157,安値!AF157&lt;安値!AH157),27,""))</f>
        <v/>
      </c>
      <c r="AB157" s="503" t="str">
        <f>IF(終値!A157="","",IF(AND(安値!AG157&lt;安値!AF157,安値!AG157&lt;安値!AE157,安値!AG157&lt;安値!AH157,安値!AG157&lt;安値!AI157),28,""))</f>
        <v/>
      </c>
      <c r="AC157" s="503" t="str">
        <f>IF(終値!A157="","",IF(AND(高値!G157&gt;高値!F157,高値!G157&gt;高値!E157,高値!G157&gt;高値!H157,高値!G157&gt;高値!I157),2,""))</f>
        <v/>
      </c>
      <c r="AD157" s="503" t="str">
        <f>IF(終値!A157="","",IF(AND(高値!H157&gt;高値!G157,高値!H157&gt;高値!F157,高値!H157&gt;高値!I157,高値!H157&gt;高値!J157),3,""))</f>
        <v/>
      </c>
      <c r="AE157" s="503" t="str">
        <f>IF(終値!A157="","",IF(AND(高値!I157&gt;高値!H157,高値!I157&gt;高値!G157,高値!I157&gt;高値!J157,高値!I157&gt;高値!K157),4,""))</f>
        <v/>
      </c>
      <c r="AF157" s="503" t="str">
        <f>IF(終値!A157="","",IF(AND(高値!J157&gt;高値!I157,高値!J157&gt;高値!H157,高値!J157&gt;高値!K157,高値!J157&gt;高値!L157),5,""))</f>
        <v/>
      </c>
      <c r="AG157" s="503" t="str">
        <f>IF(終値!A157="","",IF(AND(高値!K157&gt;高値!J157,高値!K157&gt;高値!I157,高値!K157&gt;高値!L157,高値!K157&gt;高値!M157),6,""))</f>
        <v/>
      </c>
      <c r="AH157" s="503" t="str">
        <f>IF(終値!A157="","",IF(AND(高値!L157&gt;高値!K157,高値!L157&gt;高値!J157,高値!L157&gt;高値!M157,高値!L157&gt;高値!N157),7,""))</f>
        <v/>
      </c>
      <c r="AI157" s="503">
        <f>IF(終値!A157="","",IF(AND(高値!M157&gt;高値!L157,高値!M157&gt;高値!K157,高値!M157&gt;高値!N157,高値!M157&gt;高値!O157),8,""))</f>
        <v>8</v>
      </c>
      <c r="AJ157" s="503" t="str">
        <f>IF(終値!A157="","",IF(AND(高値!N157&gt;高値!M157,高値!N157&gt;高値!L157,高値!N157&gt;高値!O157,高値!N157&gt;高値!P157),9,""))</f>
        <v/>
      </c>
      <c r="AK157" s="503" t="str">
        <f>IF(終値!A157="","",IF(AND(高値!O157&gt;高値!N157,高値!O157&gt;高値!M157,高値!O157&gt;高値!P157,高値!O157&gt;高値!Q157),10,""))</f>
        <v/>
      </c>
      <c r="AL157" s="503" t="str">
        <f>IF(終値!A157="","",IF(AND(高値!P157&gt;高値!O157,高値!P157&gt;高値!N157,高値!P157&gt;高値!Q157,高値!P157&gt;高値!R157),11,""))</f>
        <v/>
      </c>
      <c r="AM157" s="503" t="str">
        <f>IF(終値!A157="","",IF(AND(高値!Q157&gt;高値!P157,高値!Q157&gt;高値!O157,高値!Q157&gt;高値!R157,高値!Q157&gt;高値!S157),12,""))</f>
        <v/>
      </c>
      <c r="AN157" s="503">
        <f>IF(終値!A157="","",IF(AND(高値!R157&gt;高値!Q157,高値!R157&gt;高値!P157,高値!R157&gt;高値!S157,高値!R157&gt;高値!T157),13,""))</f>
        <v>13</v>
      </c>
      <c r="AO157" s="503" t="str">
        <f>IF(終値!A157="","",IF(AND(高値!S157&gt;高値!R157,高値!S157&gt;高値!Q157,高値!S157&gt;高値!T157,高値!S157&gt;高値!U157),14,""))</f>
        <v/>
      </c>
      <c r="AP157" s="503" t="str">
        <f>IF(終値!A157="","",IF(AND(高値!T157&gt;高値!S157,高値!T157&gt;高値!R157,高値!T157&gt;高値!U157,高値!T157&gt;高値!V157),15,""))</f>
        <v/>
      </c>
      <c r="AQ157" s="503" t="str">
        <f>IF(終値!A157="","",IF(AND(高値!U157&gt;高値!T157,高値!U157&gt;高値!S157,高値!U157&gt;高値!V157,高値!U157&gt;高値!W157),16,""))</f>
        <v/>
      </c>
      <c r="AR157" s="503" t="str">
        <f>IF(終値!A157="","",IF(AND(高値!V157&gt;高値!U157,高値!V157&gt;高値!T157,高値!V157&gt;高値!W157,高値!V157&gt;高値!X157),17,""))</f>
        <v/>
      </c>
      <c r="AS157" s="503" t="str">
        <f>IF(終値!A157="","",IF(AND(高値!W157&gt;高値!V157,高値!W157&gt;高値!U157,高値!W157&gt;高値!X157,高値!W157&gt;高値!Y157),18,""))</f>
        <v/>
      </c>
      <c r="AT157" s="503" t="str">
        <f>IF(終値!A157="","",IF(AND(高値!X157&gt;高値!W157,高値!X157&gt;高値!V157,高値!X157&gt;高値!Y157,高値!X157&gt;高値!Z157),19,""))</f>
        <v/>
      </c>
      <c r="AU157" s="503" t="str">
        <f>IF(終値!A157="","",IF(AND(高値!Y157&gt;高値!X157,高値!Y157&gt;高値!W157,高値!Y157&gt;高値!Z157,高値!Y157&gt;高値!AA157),20,""))</f>
        <v/>
      </c>
      <c r="AV157" s="503">
        <f>IF(終値!A157="","",IF(AND(高値!Z157&gt;高値!Y157,高値!Z157&gt;高値!X157,高値!Z157&gt;高値!AA157,高値!Z157&gt;高値!AB157),21,""))</f>
        <v>21</v>
      </c>
      <c r="AW157" s="503" t="str">
        <f>IF(終値!A157="","",IF(AND(高値!AA157&gt;高値!Z157,高値!AA157&gt;高値!Y157,高値!AA157&gt;高値!AB157,高値!AA157&gt;高値!AC157),22,""))</f>
        <v/>
      </c>
      <c r="AX157" s="503" t="str">
        <f>IF(終値!A157="","",IF(AND(高値!AB157&gt;高値!AA157,高値!AB157&gt;高値!Z157,高値!AB157&gt;高値!AC157,高値!AB157&gt;高値!AD157),23,""))</f>
        <v/>
      </c>
      <c r="AY157" s="503" t="str">
        <f>IF(終値!A157="","",IF(AND(高値!AC157&gt;高値!AB157,高値!AC157&gt;高値!AA157,高値!AC157&gt;高値!AD157,高値!AC157&gt;高値!AE157),24,""))</f>
        <v/>
      </c>
      <c r="AZ157" s="503" t="str">
        <f>IF(終値!A157="","",IF(AND(高値!AD157&gt;高値!AC157,高値!AD157&gt;高値!AB157,高値!AD157&gt;高値!AE157,高値!AD157&gt;高値!AF157),25,""))</f>
        <v/>
      </c>
      <c r="BA157" s="503" t="str">
        <f>IF(終値!A157="","",IF(AND(高値!AE157&gt;高値!AD157,高値!AE157&gt;高値!AC157,高値!AE157&gt;高値!AF157,高値!AE157&gt;高値!AG157),26,""))</f>
        <v/>
      </c>
      <c r="BB157" s="503" t="str">
        <f>IF(終値!A157="","",IF(AND(高値!AF157&gt;高値!AE157,高値!AF157&gt;高値!AD157,高値!AF157&gt;高値!AG157,高値!AF157&gt;高値!AH157),27,""))</f>
        <v/>
      </c>
      <c r="BC157" s="503" t="str">
        <f>IF(終値!A157="","",IF(AND(高値!AG157&gt;高値!AF157,高値!AG157&gt;高値!AE157,高値!AG157&gt;高値!AH157,高値!AG157&gt;高値!AI157),28,""))</f>
        <v/>
      </c>
      <c r="BD157" s="503">
        <f t="shared" si="12"/>
        <v>4</v>
      </c>
      <c r="BE157" s="503">
        <f t="shared" si="13"/>
        <v>3</v>
      </c>
      <c r="BF157" s="503">
        <f t="shared" si="14"/>
        <v>6</v>
      </c>
      <c r="BG157" s="503">
        <f>IF($BE157="","",INDEX(安値!$E157:$CZ157,1,$BE157+1))</f>
        <v>5521</v>
      </c>
      <c r="BH157" s="503">
        <f>IF($BF157="","",INDEX(安値!$E157:$CZ157,1,$BF157+1))</f>
        <v>5616</v>
      </c>
      <c r="BI157" s="503">
        <f>IF($BF157="","",MAX(INDEX(高値!$E157:$CZ157,1,$BE157+1):INDEX(高値!$E157:$CZ157,1,$BF157+1)))</f>
        <v>6052</v>
      </c>
      <c r="BJ157" s="503">
        <f>IF($BF157="","",AVERAGE(INDEX(終値!$E157:$CZ157,1,$BF157+1):INDEX(終値!$E157:$CZ157,1,$BF157+20))-2*STDEVP(INDEX(終値!$E157:$CZ157,1,$BF157+1):INDEX(終値!$E157:$CZ157,1,$BF157+20)))</f>
        <v>5791.9636853325128</v>
      </c>
      <c r="BK157" s="503">
        <f>IF($BE157="","",AVERAGE(INDEX(終値!$E157:$CZ157,1,$BE157+1):INDEX(終値!$E157:$CZ157,1,$BE157+20))-2*STDEVP(INDEX(終値!$E157:$CZ157,1,$BE157+1):INDEX(終値!$E157:$CZ157,1,$BE157+20)))</f>
        <v>5673.9071518808387</v>
      </c>
      <c r="BL157" s="503">
        <f t="shared" si="15"/>
        <v>3</v>
      </c>
      <c r="BM157" s="503">
        <f t="shared" si="16"/>
        <v>8</v>
      </c>
      <c r="BN157" s="503">
        <f t="shared" si="17"/>
        <v>13</v>
      </c>
      <c r="BO157" s="503">
        <f>IF($BM157="","",INDEX(高値!$E157:$CZ157,1,$BM157+1))</f>
        <v>6120</v>
      </c>
      <c r="BP157" s="503">
        <f>IF($BN157="","",INDEX(高値!$E157:$CZ157,1,$BN157+1))</f>
        <v>6227</v>
      </c>
      <c r="BQ157" s="503">
        <f>IF($BN157="","",MIN(INDEX(安値!$E157:$CZ157,1,$BM157+1):INDEX(安値!$E157:$CZ157,1,$BN157+1)))</f>
        <v>5772</v>
      </c>
      <c r="BR157" s="503">
        <f>IF($BN157="","",AVERAGE(INDEX(終値!$E157:$CZ157,1,$BN157+1):INDEX(終値!$E157:$CZ157,1,$BN157+20))+2*STDEVP(INDEX(終値!$E157:$CZ157,1,$BN157+1):INDEX(終値!$E157:$CZ157,1,$BN157+20)))</f>
        <v>6473.5530704300345</v>
      </c>
      <c r="BS157" s="503">
        <f>IF($BM157="","",AVERAGE(INDEX(終値!$E157:$CZ157,1,$BM157+1):INDEX(終値!$E157:$CZ157,1,$BM157+20))+2*STDEVP(INDEX(終値!$E157:$CZ157,1,$BM157+1):INDEX(終値!$E157:$CZ157,1,$BM157+20)))</f>
        <v>6314.7591814932766</v>
      </c>
      <c r="BT157" s="500"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3">
        <f>IF(終値!A158="","",IF(AND(安値!G158&lt;安値!F158,安値!G158&lt;安値!E158,安値!G158&lt;安値!H158,安値!G158&lt;安値!I158),2,""))</f>
        <v>2</v>
      </c>
      <c r="C158" s="503" t="str">
        <f>IF(終値!A158="","",IF(AND(安値!H158&lt;安値!G158,安値!H158&lt;安値!F158,安値!H158&lt;安値!I158,安値!H158&lt;安値!J158),3,""))</f>
        <v/>
      </c>
      <c r="D158" s="503" t="str">
        <f>IF(終値!A158="","",IF(AND(安値!I158&lt;安値!H158,安値!I158&lt;安値!G158,安値!I158&lt;安値!J158,安値!I158&lt;安値!K158),4,""))</f>
        <v/>
      </c>
      <c r="E158" s="503" t="str">
        <f>IF(終値!A158="","",IF(AND(安値!J158&lt;安値!I158,安値!J158&lt;安値!H158,安値!J158&lt;安値!K158,安値!J158&lt;安値!L158),5,""))</f>
        <v/>
      </c>
      <c r="F158" s="503">
        <f>IF(終値!A158="","",IF(AND(安値!K158&lt;安値!J158,安値!K158&lt;安値!I158,安値!K158&lt;安値!L158,安値!K158&lt;安値!M158),6,""))</f>
        <v>6</v>
      </c>
      <c r="G158" s="503" t="str">
        <f>IF(終値!A158="","",IF(AND(安値!L158&lt;安値!K158,安値!L158&lt;安値!J158,安値!L158&lt;安値!M158,安値!L158&lt;安値!N158),7,""))</f>
        <v/>
      </c>
      <c r="H158" s="503" t="str">
        <f>IF(終値!A158="","",IF(AND(安値!M158&lt;安値!L158,安値!M158&lt;安値!K158,安値!M158&lt;安値!N158,安値!M158&lt;安値!O158),8,""))</f>
        <v/>
      </c>
      <c r="I158" s="503" t="str">
        <f>IF(終値!A158="","",IF(AND(安値!N158&lt;安値!M158,安値!N158&lt;安値!L158,安値!N158&lt;安値!O158,安値!N158&lt;安値!P158),9,""))</f>
        <v/>
      </c>
      <c r="J158" s="503" t="str">
        <f>IF(終値!A158="","",IF(AND(安値!O158&lt;安値!N158,安値!O158&lt;安値!M158,安値!O158&lt;安値!P158,安値!O158&lt;安値!Q158),10,""))</f>
        <v/>
      </c>
      <c r="K158" s="503" t="str">
        <f>IF(終値!A158="","",IF(AND(安値!P158&lt;安値!O158,安値!P158&lt;安値!N158,安値!P158&lt;安値!Q158,安値!P158&lt;安値!R158),11,""))</f>
        <v/>
      </c>
      <c r="L158" s="503" t="str">
        <f>IF(終値!A158="","",IF(AND(安値!Q158&lt;安値!P158,安値!Q158&lt;安値!O158,安値!Q158&lt;安値!R158,安値!Q158&lt;安値!S158),12,""))</f>
        <v/>
      </c>
      <c r="M158" s="503">
        <f>IF(終値!A158="","",IF(AND(安値!R158&lt;安値!Q158,安値!R158&lt;安値!P158,安値!R158&lt;安値!S158,安値!R158&lt;安値!T158),13,""))</f>
        <v>13</v>
      </c>
      <c r="N158" s="503" t="str">
        <f>IF(終値!A158="","",IF(AND(安値!S158&lt;安値!R158,安値!S158&lt;安値!Q158,安値!S158&lt;安値!T158,安値!S158&lt;安値!U158),14,""))</f>
        <v/>
      </c>
      <c r="O158" s="503" t="str">
        <f>IF(終値!A158="","",IF(AND(安値!T158&lt;安値!S158,安値!T158&lt;安値!R158,安値!T158&lt;安値!U158,安値!T158&lt;安値!V158),15,""))</f>
        <v/>
      </c>
      <c r="P158" s="503" t="str">
        <f>IF(終値!A158="","",IF(AND(安値!U158&lt;安値!T158,安値!U158&lt;安値!S158,安値!U158&lt;安値!V158,安値!U158&lt;安値!W158),16,""))</f>
        <v/>
      </c>
      <c r="Q158" s="503" t="str">
        <f>IF(終値!A158="","",IF(AND(安値!V158&lt;安値!U158,安値!V158&lt;安値!T158,安値!V158&lt;安値!W158,安値!V158&lt;安値!X158),17,""))</f>
        <v/>
      </c>
      <c r="R158" s="503" t="str">
        <f>IF(終値!A158="","",IF(AND(安値!W158&lt;安値!V158,安値!W158&lt;安値!U158,安値!W158&lt;安値!X158,安値!W158&lt;安値!Y158),18,""))</f>
        <v/>
      </c>
      <c r="S158" s="503">
        <f>IF(終値!A158="","",IF(AND(安値!X158&lt;安値!W158,安値!X158&lt;安値!V158,安値!X158&lt;安値!Y158,安値!X158&lt;安値!Z158),19,""))</f>
        <v>19</v>
      </c>
      <c r="T158" s="503" t="str">
        <f>IF(終値!A158="","",IF(AND(安値!Y158&lt;安値!X158,安値!Y158&lt;安値!W158,安値!Y158&lt;安値!Z158,安値!Y158&lt;安値!AA158),20,""))</f>
        <v/>
      </c>
      <c r="U158" s="503" t="str">
        <f>IF(終値!A158="","",IF(AND(安値!Z158&lt;安値!Y158,安値!Z158&lt;安値!X158,安値!Z158&lt;安値!AA158,安値!Z158&lt;安値!AB158),21,""))</f>
        <v/>
      </c>
      <c r="V158" s="503">
        <f>IF(終値!A158="","",IF(AND(安値!AA158&lt;安値!Z158,安値!AA158&lt;安値!Y158,安値!AA158&lt;安値!AB158,安値!AA158&lt;安値!AC158),22,""))</f>
        <v>22</v>
      </c>
      <c r="W158" s="503" t="str">
        <f>IF(終値!A158="","",IF(AND(安値!AB158&lt;安値!AA158,安値!AB158&lt;安値!Z158,安値!AB158&lt;安値!AC158,安値!AB158&lt;安値!AD158),23,""))</f>
        <v/>
      </c>
      <c r="X158" s="503" t="str">
        <f>IF(終値!A158="","",IF(AND(安値!AC158&lt;安値!AB158,安値!AC158&lt;安値!AA158,安値!AC158&lt;安値!AD158,安値!AC158&lt;安値!AE158),24,""))</f>
        <v/>
      </c>
      <c r="Y158" s="503" t="str">
        <f>IF(終値!A158="","",IF(AND(安値!AD158&lt;安値!AC158,安値!AD158&lt;安値!AB158,安値!AD158&lt;安値!AE158,安値!AD158&lt;安値!AF158),25,""))</f>
        <v/>
      </c>
      <c r="Z158" s="503">
        <f>IF(終値!A158="","",IF(AND(安値!AE158&lt;安値!AD158,安値!AE158&lt;安値!AC158,安値!AE158&lt;安値!AF158,安値!AE158&lt;安値!AG158),26,""))</f>
        <v>26</v>
      </c>
      <c r="AA158" s="503" t="str">
        <f>IF(終値!A158="","",IF(AND(安値!AF158&lt;安値!AE158,安値!AF158&lt;安値!AD158,安値!AF158&lt;安値!AG158,安値!AF158&lt;安値!AH158),27,""))</f>
        <v/>
      </c>
      <c r="AB158" s="503" t="str">
        <f>IF(終値!A158="","",IF(AND(安値!AG158&lt;安値!AF158,安値!AG158&lt;安値!AE158,安値!AG158&lt;安値!AH158,安値!AG158&lt;安値!AI158),28,""))</f>
        <v/>
      </c>
      <c r="AC158" s="503" t="str">
        <f>IF(終値!A158="","",IF(AND(高値!G158&gt;高値!F158,高値!G158&gt;高値!E158,高値!G158&gt;高値!H158,高値!G158&gt;高値!I158),2,""))</f>
        <v/>
      </c>
      <c r="AD158" s="503" t="str">
        <f>IF(終値!A158="","",IF(AND(高値!H158&gt;高値!G158,高値!H158&gt;高値!F158,高値!H158&gt;高値!I158,高値!H158&gt;高値!J158),3,""))</f>
        <v/>
      </c>
      <c r="AE158" s="503">
        <f>IF(終値!A158="","",IF(AND(高値!I158&gt;高値!H158,高値!I158&gt;高値!G158,高値!I158&gt;高値!J158,高値!I158&gt;高値!K158),4,""))</f>
        <v>4</v>
      </c>
      <c r="AF158" s="503" t="str">
        <f>IF(終値!A158="","",IF(AND(高値!J158&gt;高値!I158,高値!J158&gt;高値!H158,高値!J158&gt;高値!K158,高値!J158&gt;高値!L158),5,""))</f>
        <v/>
      </c>
      <c r="AG158" s="503" t="str">
        <f>IF(終値!A158="","",IF(AND(高値!K158&gt;高値!J158,高値!K158&gt;高値!I158,高値!K158&gt;高値!L158,高値!K158&gt;高値!M158),6,""))</f>
        <v/>
      </c>
      <c r="AH158" s="503" t="str">
        <f>IF(終値!A158="","",IF(AND(高値!L158&gt;高値!K158,高値!L158&gt;高値!J158,高値!L158&gt;高値!M158,高値!L158&gt;高値!N158),7,""))</f>
        <v/>
      </c>
      <c r="AI158" s="503" t="str">
        <f>IF(終値!A158="","",IF(AND(高値!M158&gt;高値!L158,高値!M158&gt;高値!K158,高値!M158&gt;高値!N158,高値!M158&gt;高値!O158),8,""))</f>
        <v/>
      </c>
      <c r="AJ158" s="503" t="str">
        <f>IF(終値!A158="","",IF(AND(高値!N158&gt;高値!M158,高値!N158&gt;高値!L158,高値!N158&gt;高値!O158,高値!N158&gt;高値!P158),9,""))</f>
        <v/>
      </c>
      <c r="AK158" s="503" t="str">
        <f>IF(終値!A158="","",IF(AND(高値!O158&gt;高値!N158,高値!O158&gt;高値!M158,高値!O158&gt;高値!P158,高値!O158&gt;高値!Q158),10,""))</f>
        <v/>
      </c>
      <c r="AL158" s="503">
        <f>IF(終値!A158="","",IF(AND(高値!P158&gt;高値!O158,高値!P158&gt;高値!N158,高値!P158&gt;高値!Q158,高値!P158&gt;高値!R158),11,""))</f>
        <v>11</v>
      </c>
      <c r="AM158" s="503" t="str">
        <f>IF(終値!A158="","",IF(AND(高値!Q158&gt;高値!P158,高値!Q158&gt;高値!O158,高値!Q158&gt;高値!R158,高値!Q158&gt;高値!S158),12,""))</f>
        <v/>
      </c>
      <c r="AN158" s="503" t="str">
        <f>IF(終値!A158="","",IF(AND(高値!R158&gt;高値!Q158,高値!R158&gt;高値!P158,高値!R158&gt;高値!S158,高値!R158&gt;高値!T158),13,""))</f>
        <v/>
      </c>
      <c r="AO158" s="503">
        <f>IF(終値!A158="","",IF(AND(高値!S158&gt;高値!R158,高値!S158&gt;高値!Q158,高値!S158&gt;高値!T158,高値!S158&gt;高値!U158),14,""))</f>
        <v>14</v>
      </c>
      <c r="AP158" s="503" t="str">
        <f>IF(終値!A158="","",IF(AND(高値!T158&gt;高値!S158,高値!T158&gt;高値!R158,高値!T158&gt;高値!U158,高値!T158&gt;高値!V158),15,""))</f>
        <v/>
      </c>
      <c r="AQ158" s="503" t="str">
        <f>IF(終値!A158="","",IF(AND(高値!U158&gt;高値!T158,高値!U158&gt;高値!S158,高値!U158&gt;高値!V158,高値!U158&gt;高値!W158),16,""))</f>
        <v/>
      </c>
      <c r="AR158" s="503">
        <f>IF(終値!A158="","",IF(AND(高値!V158&gt;高値!U158,高値!V158&gt;高値!T158,高値!V158&gt;高値!W158,高値!V158&gt;高値!X158),17,""))</f>
        <v>17</v>
      </c>
      <c r="AS158" s="503" t="str">
        <f>IF(終値!A158="","",IF(AND(高値!W158&gt;高値!V158,高値!W158&gt;高値!U158,高値!W158&gt;高値!X158,高値!W158&gt;高値!Y158),18,""))</f>
        <v/>
      </c>
      <c r="AT158" s="503" t="str">
        <f>IF(終値!A158="","",IF(AND(高値!X158&gt;高値!W158,高値!X158&gt;高値!V158,高値!X158&gt;高値!Y158,高値!X158&gt;高値!Z158),19,""))</f>
        <v/>
      </c>
      <c r="AU158" s="503" t="str">
        <f>IF(終値!A158="","",IF(AND(高値!Y158&gt;高値!X158,高値!Y158&gt;高値!W158,高値!Y158&gt;高値!Z158,高値!Y158&gt;高値!AA158),20,""))</f>
        <v/>
      </c>
      <c r="AV158" s="503" t="str">
        <f>IF(終値!A158="","",IF(AND(高値!Z158&gt;高値!Y158,高値!Z158&gt;高値!X158,高値!Z158&gt;高値!AA158,高値!Z158&gt;高値!AB158),21,""))</f>
        <v/>
      </c>
      <c r="AW158" s="503" t="str">
        <f>IF(終値!A158="","",IF(AND(高値!AA158&gt;高値!Z158,高値!AA158&gt;高値!Y158,高値!AA158&gt;高値!AB158,高値!AA158&gt;高値!AC158),22,""))</f>
        <v/>
      </c>
      <c r="AX158" s="503" t="str">
        <f>IF(終値!A158="","",IF(AND(高値!AB158&gt;高値!AA158,高値!AB158&gt;高値!Z158,高値!AB158&gt;高値!AC158,高値!AB158&gt;高値!AD158),23,""))</f>
        <v/>
      </c>
      <c r="AY158" s="503">
        <f>IF(終値!A158="","",IF(AND(高値!AC158&gt;高値!AB158,高値!AC158&gt;高値!AA158,高値!AC158&gt;高値!AD158,高値!AC158&gt;高値!AE158),24,""))</f>
        <v>24</v>
      </c>
      <c r="AZ158" s="503" t="str">
        <f>IF(終値!A158="","",IF(AND(高値!AD158&gt;高値!AC158,高値!AD158&gt;高値!AB158,高値!AD158&gt;高値!AE158,高値!AD158&gt;高値!AF158),25,""))</f>
        <v/>
      </c>
      <c r="BA158" s="503" t="str">
        <f>IF(終値!A158="","",IF(AND(高値!AE158&gt;高値!AD158,高値!AE158&gt;高値!AC158,高値!AE158&gt;高値!AF158,高値!AE158&gt;高値!AG158),26,""))</f>
        <v/>
      </c>
      <c r="BB158" s="503" t="str">
        <f>IF(終値!A158="","",IF(AND(高値!AF158&gt;高値!AE158,高値!AF158&gt;高値!AD158,高値!AF158&gt;高値!AG158,高値!AF158&gt;高値!AH158),27,""))</f>
        <v/>
      </c>
      <c r="BC158" s="503">
        <f>IF(終値!A158="","",IF(AND(高値!AG158&gt;高値!AF158,高値!AG158&gt;高値!AE158,高値!AG158&gt;高値!AH158,高値!AG158&gt;高値!AI158),28,""))</f>
        <v>28</v>
      </c>
      <c r="BD158" s="503">
        <f t="shared" si="12"/>
        <v>6</v>
      </c>
      <c r="BE158" s="503">
        <f t="shared" si="13"/>
        <v>2</v>
      </c>
      <c r="BF158" s="503">
        <f t="shared" si="14"/>
        <v>6</v>
      </c>
      <c r="BG158" s="503">
        <f>IF($BE158="","",INDEX(安値!$E158:$CZ158,1,$BE158+1))</f>
        <v>30080</v>
      </c>
      <c r="BH158" s="503">
        <f>IF($BF158="","",INDEX(安値!$E158:$CZ158,1,$BF158+1))</f>
        <v>24135</v>
      </c>
      <c r="BI158" s="503">
        <f>IF($BF158="","",MAX(INDEX(高値!$E158:$CZ158,1,$BE158+1):INDEX(高値!$E158:$CZ158,1,$BF158+1)))</f>
        <v>32940</v>
      </c>
      <c r="BJ158" s="503">
        <f>IF($BF158="","",AVERAGE(INDEX(終値!$E158:$CZ158,1,$BF158+1):INDEX(終値!$E158:$CZ158,1,$BF158+20))-2*STDEVP(INDEX(終値!$E158:$CZ158,1,$BF158+1):INDEX(終値!$E158:$CZ158,1,$BF158+20)))</f>
        <v>25604.829021845417</v>
      </c>
      <c r="BK158" s="503">
        <f>IF($BE158="","",AVERAGE(INDEX(終値!$E158:$CZ158,1,$BE158+1):INDEX(終値!$E158:$CZ158,1,$BE158+20))-2*STDEVP(INDEX(終値!$E158:$CZ158,1,$BE158+1):INDEX(終値!$E158:$CZ158,1,$BE158+20)))</f>
        <v>25543.526675825698</v>
      </c>
      <c r="BL158" s="503">
        <f t="shared" si="15"/>
        <v>6</v>
      </c>
      <c r="BM158" s="503">
        <f t="shared" si="16"/>
        <v>4</v>
      </c>
      <c r="BN158" s="503">
        <f t="shared" si="17"/>
        <v>11</v>
      </c>
      <c r="BO158" s="503">
        <f>IF($BM158="","",INDEX(高値!$E158:$CZ158,1,$BM158+1))</f>
        <v>32940</v>
      </c>
      <c r="BP158" s="503">
        <f>IF($BN158="","",INDEX(高値!$E158:$CZ158,1,$BN158+1))</f>
        <v>31580</v>
      </c>
      <c r="BQ158" s="503">
        <f>IF($BN158="","",MIN(INDEX(安値!$E158:$CZ158,1,$BM158+1):INDEX(安値!$E158:$CZ158,1,$BN158+1)))</f>
        <v>24135</v>
      </c>
      <c r="BR158" s="503">
        <f>IF($BN158="","",AVERAGE(INDEX(終値!$E158:$CZ158,1,$BN158+1):INDEX(終値!$E158:$CZ158,1,$BN158+20))+2*STDEVP(INDEX(終値!$E158:$CZ158,1,$BN158+1):INDEX(終値!$E158:$CZ158,1,$BN158+20)))</f>
        <v>34239.191416890382</v>
      </c>
      <c r="BS158" s="503">
        <f>IF($BM158="","",AVERAGE(INDEX(終値!$E158:$CZ158,1,$BM158+1):INDEX(終値!$E158:$CZ158,1,$BM158+20))+2*STDEVP(INDEX(終値!$E158:$CZ158,1,$BM158+1):INDEX(終値!$E158:$CZ158,1,$BM158+20)))</f>
        <v>32333.959686447877</v>
      </c>
      <c r="BT158" s="500"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3" t="str">
        <f>IF(終値!A159="","",IF(AND(安値!G159&lt;安値!F159,安値!G159&lt;安値!E159,安値!G159&lt;安値!H159,安値!G159&lt;安値!I159),2,""))</f>
        <v/>
      </c>
      <c r="C159" s="503" t="str">
        <f>IF(終値!A159="","",IF(AND(安値!H159&lt;安値!G159,安値!H159&lt;安値!F159,安値!H159&lt;安値!I159,安値!H159&lt;安値!J159),3,""))</f>
        <v/>
      </c>
      <c r="D159" s="503" t="str">
        <f>IF(終値!A159="","",IF(AND(安値!I159&lt;安値!H159,安値!I159&lt;安値!G159,安値!I159&lt;安値!J159,安値!I159&lt;安値!K159),4,""))</f>
        <v/>
      </c>
      <c r="E159" s="503" t="str">
        <f>IF(終値!A159="","",IF(AND(安値!J159&lt;安値!I159,安値!J159&lt;安値!H159,安値!J159&lt;安値!K159,安値!J159&lt;安値!L159),5,""))</f>
        <v/>
      </c>
      <c r="F159" s="503">
        <f>IF(終値!A159="","",IF(AND(安値!K159&lt;安値!J159,安値!K159&lt;安値!I159,安値!K159&lt;安値!L159,安値!K159&lt;安値!M159),6,""))</f>
        <v>6</v>
      </c>
      <c r="G159" s="503" t="str">
        <f>IF(終値!A159="","",IF(AND(安値!L159&lt;安値!K159,安値!L159&lt;安値!J159,安値!L159&lt;安値!M159,安値!L159&lt;安値!N159),7,""))</f>
        <v/>
      </c>
      <c r="H159" s="503" t="str">
        <f>IF(終値!A159="","",IF(AND(安値!M159&lt;安値!L159,安値!M159&lt;安値!K159,安値!M159&lt;安値!N159,安値!M159&lt;安値!O159),8,""))</f>
        <v/>
      </c>
      <c r="I159" s="503" t="str">
        <f>IF(終値!A159="","",IF(AND(安値!N159&lt;安値!M159,安値!N159&lt;安値!L159,安値!N159&lt;安値!O159,安値!N159&lt;安値!P159),9,""))</f>
        <v/>
      </c>
      <c r="J159" s="503" t="str">
        <f>IF(終値!A159="","",IF(AND(安値!O159&lt;安値!N159,安値!O159&lt;安値!M159,安値!O159&lt;安値!P159,安値!O159&lt;安値!Q159),10,""))</f>
        <v/>
      </c>
      <c r="K159" s="503" t="str">
        <f>IF(終値!A159="","",IF(AND(安値!P159&lt;安値!O159,安値!P159&lt;安値!N159,安値!P159&lt;安値!Q159,安値!P159&lt;安値!R159),11,""))</f>
        <v/>
      </c>
      <c r="L159" s="503" t="str">
        <f>IF(終値!A159="","",IF(AND(安値!Q159&lt;安値!P159,安値!Q159&lt;安値!O159,安値!Q159&lt;安値!R159,安値!Q159&lt;安値!S159),12,""))</f>
        <v/>
      </c>
      <c r="M159" s="503">
        <f>IF(終値!A159="","",IF(AND(安値!R159&lt;安値!Q159,安値!R159&lt;安値!P159,安値!R159&lt;安値!S159,安値!R159&lt;安値!T159),13,""))</f>
        <v>13</v>
      </c>
      <c r="N159" s="503" t="str">
        <f>IF(終値!A159="","",IF(AND(安値!S159&lt;安値!R159,安値!S159&lt;安値!Q159,安値!S159&lt;安値!T159,安値!S159&lt;安値!U159),14,""))</f>
        <v/>
      </c>
      <c r="O159" s="503" t="str">
        <f>IF(終値!A159="","",IF(AND(安値!T159&lt;安値!S159,安値!T159&lt;安値!R159,安値!T159&lt;安値!U159,安値!T159&lt;安値!V159),15,""))</f>
        <v/>
      </c>
      <c r="P159" s="503" t="str">
        <f>IF(終値!A159="","",IF(AND(安値!U159&lt;安値!T159,安値!U159&lt;安値!S159,安値!U159&lt;安値!V159,安値!U159&lt;安値!W159),16,""))</f>
        <v/>
      </c>
      <c r="Q159" s="503" t="str">
        <f>IF(終値!A159="","",IF(AND(安値!V159&lt;安値!U159,安値!V159&lt;安値!T159,安値!V159&lt;安値!W159,安値!V159&lt;安値!X159),17,""))</f>
        <v/>
      </c>
      <c r="R159" s="503" t="str">
        <f>IF(終値!A159="","",IF(AND(安値!W159&lt;安値!V159,安値!W159&lt;安値!U159,安値!W159&lt;安値!X159,安値!W159&lt;安値!Y159),18,""))</f>
        <v/>
      </c>
      <c r="S159" s="503" t="str">
        <f>IF(終値!A159="","",IF(AND(安値!X159&lt;安値!W159,安値!X159&lt;安値!V159,安値!X159&lt;安値!Y159,安値!X159&lt;安値!Z159),19,""))</f>
        <v/>
      </c>
      <c r="T159" s="503" t="str">
        <f>IF(終値!A159="","",IF(AND(安値!Y159&lt;安値!X159,安値!Y159&lt;安値!W159,安値!Y159&lt;安値!Z159,安値!Y159&lt;安値!AA159),20,""))</f>
        <v/>
      </c>
      <c r="U159" s="503" t="str">
        <f>IF(終値!A159="","",IF(AND(安値!Z159&lt;安値!Y159,安値!Z159&lt;安値!X159,安値!Z159&lt;安値!AA159,安値!Z159&lt;安値!AB159),21,""))</f>
        <v/>
      </c>
      <c r="V159" s="503" t="str">
        <f>IF(終値!A159="","",IF(AND(安値!AA159&lt;安値!Z159,安値!AA159&lt;安値!Y159,安値!AA159&lt;安値!AB159,安値!AA159&lt;安値!AC159),22,""))</f>
        <v/>
      </c>
      <c r="W159" s="503" t="str">
        <f>IF(終値!A159="","",IF(AND(安値!AB159&lt;安値!AA159,安値!AB159&lt;安値!Z159,安値!AB159&lt;安値!AC159,安値!AB159&lt;安値!AD159),23,""))</f>
        <v/>
      </c>
      <c r="X159" s="503" t="str">
        <f>IF(終値!A159="","",IF(AND(安値!AC159&lt;安値!AB159,安値!AC159&lt;安値!AA159,安値!AC159&lt;安値!AD159,安値!AC159&lt;安値!AE159),24,""))</f>
        <v/>
      </c>
      <c r="Y159" s="503" t="str">
        <f>IF(終値!A159="","",IF(AND(安値!AD159&lt;安値!AC159,安値!AD159&lt;安値!AB159,安値!AD159&lt;安値!AE159,安値!AD159&lt;安値!AF159),25,""))</f>
        <v/>
      </c>
      <c r="Z159" s="503">
        <f>IF(終値!A159="","",IF(AND(安値!AE159&lt;安値!AD159,安値!AE159&lt;安値!AC159,安値!AE159&lt;安値!AF159,安値!AE159&lt;安値!AG159),26,""))</f>
        <v>26</v>
      </c>
      <c r="AA159" s="503" t="str">
        <f>IF(終値!A159="","",IF(AND(安値!AF159&lt;安値!AE159,安値!AF159&lt;安値!AD159,安値!AF159&lt;安値!AG159,安値!AF159&lt;安値!AH159),27,""))</f>
        <v/>
      </c>
      <c r="AB159" s="503" t="str">
        <f>IF(終値!A159="","",IF(AND(安値!AG159&lt;安値!AF159,安値!AG159&lt;安値!AE159,安値!AG159&lt;安値!AH159,安値!AG159&lt;安値!AI159),28,""))</f>
        <v/>
      </c>
      <c r="AC159" s="503" t="str">
        <f>IF(終値!A159="","",IF(AND(高値!G159&gt;高値!F159,高値!G159&gt;高値!E159,高値!G159&gt;高値!H159,高値!G159&gt;高値!I159),2,""))</f>
        <v/>
      </c>
      <c r="AD159" s="503" t="str">
        <f>IF(終値!A159="","",IF(AND(高値!H159&gt;高値!G159,高値!H159&gt;高値!F159,高値!H159&gt;高値!I159,高値!H159&gt;高値!J159),3,""))</f>
        <v/>
      </c>
      <c r="AE159" s="503" t="str">
        <f>IF(終値!A159="","",IF(AND(高値!I159&gt;高値!H159,高値!I159&gt;高値!G159,高値!I159&gt;高値!J159,高値!I159&gt;高値!K159),4,""))</f>
        <v/>
      </c>
      <c r="AF159" s="503" t="str">
        <f>IF(終値!A159="","",IF(AND(高値!J159&gt;高値!I159,高値!J159&gt;高値!H159,高値!J159&gt;高値!K159,高値!J159&gt;高値!L159),5,""))</f>
        <v/>
      </c>
      <c r="AG159" s="503" t="str">
        <f>IF(終値!A159="","",IF(AND(高値!K159&gt;高値!J159,高値!K159&gt;高値!I159,高値!K159&gt;高値!L159,高値!K159&gt;高値!M159),6,""))</f>
        <v/>
      </c>
      <c r="AH159" s="503" t="str">
        <f>IF(終値!A159="","",IF(AND(高値!L159&gt;高値!K159,高値!L159&gt;高値!J159,高値!L159&gt;高値!M159,高値!L159&gt;高値!N159),7,""))</f>
        <v/>
      </c>
      <c r="AI159" s="503" t="str">
        <f>IF(終値!A159="","",IF(AND(高値!M159&gt;高値!L159,高値!M159&gt;高値!K159,高値!M159&gt;高値!N159,高値!M159&gt;高値!O159),8,""))</f>
        <v/>
      </c>
      <c r="AJ159" s="503" t="str">
        <f>IF(終値!A159="","",IF(AND(高値!N159&gt;高値!M159,高値!N159&gt;高値!L159,高値!N159&gt;高値!O159,高値!N159&gt;高値!P159),9,""))</f>
        <v/>
      </c>
      <c r="AK159" s="503" t="str">
        <f>IF(終値!A159="","",IF(AND(高値!O159&gt;高値!N159,高値!O159&gt;高値!M159,高値!O159&gt;高値!P159,高値!O159&gt;高値!Q159),10,""))</f>
        <v/>
      </c>
      <c r="AL159" s="503">
        <f>IF(終値!A159="","",IF(AND(高値!P159&gt;高値!O159,高値!P159&gt;高値!N159,高値!P159&gt;高値!Q159,高値!P159&gt;高値!R159),11,""))</f>
        <v>11</v>
      </c>
      <c r="AM159" s="503" t="str">
        <f>IF(終値!A159="","",IF(AND(高値!Q159&gt;高値!P159,高値!Q159&gt;高値!O159,高値!Q159&gt;高値!R159,高値!Q159&gt;高値!S159),12,""))</f>
        <v/>
      </c>
      <c r="AN159" s="503" t="str">
        <f>IF(終値!A159="","",IF(AND(高値!R159&gt;高値!Q159,高値!R159&gt;高値!P159,高値!R159&gt;高値!S159,高値!R159&gt;高値!T159),13,""))</f>
        <v/>
      </c>
      <c r="AO159" s="503" t="str">
        <f>IF(終値!A159="","",IF(AND(高値!S159&gt;高値!R159,高値!S159&gt;高値!Q159,高値!S159&gt;高値!T159,高値!S159&gt;高値!U159),14,""))</f>
        <v/>
      </c>
      <c r="AP159" s="503" t="str">
        <f>IF(終値!A159="","",IF(AND(高値!T159&gt;高値!S159,高値!T159&gt;高値!R159,高値!T159&gt;高値!U159,高値!T159&gt;高値!V159),15,""))</f>
        <v/>
      </c>
      <c r="AQ159" s="503" t="str">
        <f>IF(終値!A159="","",IF(AND(高値!U159&gt;高値!T159,高値!U159&gt;高値!S159,高値!U159&gt;高値!V159,高値!U159&gt;高値!W159),16,""))</f>
        <v/>
      </c>
      <c r="AR159" s="503" t="str">
        <f>IF(終値!A159="","",IF(AND(高値!V159&gt;高値!U159,高値!V159&gt;高値!T159,高値!V159&gt;高値!W159,高値!V159&gt;高値!X159),17,""))</f>
        <v/>
      </c>
      <c r="AS159" s="503" t="str">
        <f>IF(終値!A159="","",IF(AND(高値!W159&gt;高値!V159,高値!W159&gt;高値!U159,高値!W159&gt;高値!X159,高値!W159&gt;高値!Y159),18,""))</f>
        <v/>
      </c>
      <c r="AT159" s="503" t="str">
        <f>IF(終値!A159="","",IF(AND(高値!X159&gt;高値!W159,高値!X159&gt;高値!V159,高値!X159&gt;高値!Y159,高値!X159&gt;高値!Z159),19,""))</f>
        <v/>
      </c>
      <c r="AU159" s="503" t="str">
        <f>IF(終値!A159="","",IF(AND(高値!Y159&gt;高値!X159,高値!Y159&gt;高値!W159,高値!Y159&gt;高値!Z159,高値!Y159&gt;高値!AA159),20,""))</f>
        <v/>
      </c>
      <c r="AV159" s="503" t="str">
        <f>IF(終値!A159="","",IF(AND(高値!Z159&gt;高値!Y159,高値!Z159&gt;高値!X159,高値!Z159&gt;高値!AA159,高値!Z159&gt;高値!AB159),21,""))</f>
        <v/>
      </c>
      <c r="AW159" s="503" t="str">
        <f>IF(終値!A159="","",IF(AND(高値!AA159&gt;高値!Z159,高値!AA159&gt;高値!Y159,高値!AA159&gt;高値!AB159,高値!AA159&gt;高値!AC159),22,""))</f>
        <v/>
      </c>
      <c r="AX159" s="503" t="str">
        <f>IF(終値!A159="","",IF(AND(高値!AB159&gt;高値!AA159,高値!AB159&gt;高値!Z159,高値!AB159&gt;高値!AC159,高値!AB159&gt;高値!AD159),23,""))</f>
        <v/>
      </c>
      <c r="AY159" s="503">
        <f>IF(終値!A159="","",IF(AND(高値!AC159&gt;高値!AB159,高値!AC159&gt;高値!AA159,高値!AC159&gt;高値!AD159,高値!AC159&gt;高値!AE159),24,""))</f>
        <v>24</v>
      </c>
      <c r="AZ159" s="503" t="str">
        <f>IF(終値!A159="","",IF(AND(高値!AD159&gt;高値!AC159,高値!AD159&gt;高値!AB159,高値!AD159&gt;高値!AE159,高値!AD159&gt;高値!AF159),25,""))</f>
        <v/>
      </c>
      <c r="BA159" s="503" t="str">
        <f>IF(終値!A159="","",IF(AND(高値!AE159&gt;高値!AD159,高値!AE159&gt;高値!AC159,高値!AE159&gt;高値!AF159,高値!AE159&gt;高値!AG159),26,""))</f>
        <v/>
      </c>
      <c r="BB159" s="503" t="str">
        <f>IF(終値!A159="","",IF(AND(高値!AF159&gt;高値!AE159,高値!AF159&gt;高値!AD159,高値!AF159&gt;高値!AG159,高値!AF159&gt;高値!AH159),27,""))</f>
        <v/>
      </c>
      <c r="BC159" s="503" t="str">
        <f>IF(終値!A159="","",IF(AND(高値!AG159&gt;高値!AF159,高値!AG159&gt;高値!AE159,高値!AG159&gt;高値!AH159,高値!AG159&gt;高値!AI159),28,""))</f>
        <v/>
      </c>
      <c r="BD159" s="503">
        <f t="shared" si="12"/>
        <v>3</v>
      </c>
      <c r="BE159" s="503">
        <f t="shared" si="13"/>
        <v>6</v>
      </c>
      <c r="BF159" s="503">
        <f t="shared" si="14"/>
        <v>13</v>
      </c>
      <c r="BG159" s="503">
        <f>IF($BE159="","",INDEX(安値!$E159:$CZ159,1,$BE159+1))</f>
        <v>5310</v>
      </c>
      <c r="BH159" s="503">
        <f>IF($BF159="","",INDEX(安値!$E159:$CZ159,1,$BF159+1))</f>
        <v>6600</v>
      </c>
      <c r="BI159" s="503">
        <f>IF($BF159="","",MAX(INDEX(高値!$E159:$CZ159,1,$BE159+1):INDEX(高値!$E159:$CZ159,1,$BF159+1)))</f>
        <v>7780</v>
      </c>
      <c r="BJ159" s="503">
        <f>IF($BF159="","",AVERAGE(INDEX(終値!$E159:$CZ159,1,$BF159+1):INDEX(終値!$E159:$CZ159,1,$BF159+20))-2*STDEVP(INDEX(終値!$E159:$CZ159,1,$BF159+1):INDEX(終値!$E159:$CZ159,1,$BF159+20)))</f>
        <v>6707.5627062282747</v>
      </c>
      <c r="BK159" s="503">
        <f>IF($BE159="","",AVERAGE(INDEX(終値!$E159:$CZ159,1,$BE159+1):INDEX(終値!$E159:$CZ159,1,$BE159+20))-2*STDEVP(INDEX(終値!$E159:$CZ159,1,$BE159+1):INDEX(終値!$E159:$CZ159,1,$BE159+20)))</f>
        <v>5501.5612121449585</v>
      </c>
      <c r="BL159" s="503">
        <f t="shared" si="15"/>
        <v>2</v>
      </c>
      <c r="BM159" s="503">
        <f t="shared" si="16"/>
        <v>11</v>
      </c>
      <c r="BN159" s="503">
        <f t="shared" si="17"/>
        <v>24</v>
      </c>
      <c r="BO159" s="503">
        <f>IF($BM159="","",INDEX(高値!$E159:$CZ159,1,$BM159+1))</f>
        <v>7780</v>
      </c>
      <c r="BP159" s="503">
        <f>IF($BN159="","",INDEX(高値!$E159:$CZ159,1,$BN159+1))</f>
        <v>10510</v>
      </c>
      <c r="BQ159" s="503">
        <f>IF($BN159="","",MIN(INDEX(安値!$E159:$CZ159,1,$BM159+1):INDEX(安値!$E159:$CZ159,1,$BN159+1)))</f>
        <v>6600</v>
      </c>
      <c r="BR159" s="503">
        <f>IF($BN159="","",AVERAGE(INDEX(終値!$E159:$CZ159,1,$BN159+1):INDEX(終値!$E159:$CZ159,1,$BN159+20))+2*STDEVP(INDEX(終値!$E159:$CZ159,1,$BN159+1):INDEX(終値!$E159:$CZ159,1,$BN159+20)))</f>
        <v>11003.031249668295</v>
      </c>
      <c r="BS159" s="503">
        <f>IF($BM159="","",AVERAGE(INDEX(終値!$E159:$CZ159,1,$BM159+1):INDEX(終値!$E159:$CZ159,1,$BM159+20))+2*STDEVP(INDEX(終値!$E159:$CZ159,1,$BM159+1):INDEX(終値!$E159:$CZ159,1,$BM159+20)))</f>
        <v>10917.362715783704</v>
      </c>
      <c r="BT159" s="500"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3" t="str">
        <f>IF(終値!A160="","",IF(AND(安値!G160&lt;安値!F160,安値!G160&lt;安値!E160,安値!G160&lt;安値!H160,安値!G160&lt;安値!I160),2,""))</f>
        <v/>
      </c>
      <c r="C160" s="503" t="str">
        <f>IF(終値!A160="","",IF(AND(安値!H160&lt;安値!G160,安値!H160&lt;安値!F160,安値!H160&lt;安値!I160,安値!H160&lt;安値!J160),3,""))</f>
        <v/>
      </c>
      <c r="D160" s="503" t="str">
        <f>IF(終値!A160="","",IF(AND(安値!I160&lt;安値!H160,安値!I160&lt;安値!G160,安値!I160&lt;安値!J160,安値!I160&lt;安値!K160),4,""))</f>
        <v/>
      </c>
      <c r="E160" s="503" t="str">
        <f>IF(終値!A160="","",IF(AND(安値!J160&lt;安値!I160,安値!J160&lt;安値!H160,安値!J160&lt;安値!K160,安値!J160&lt;安値!L160),5,""))</f>
        <v/>
      </c>
      <c r="F160" s="503" t="str">
        <f>IF(終値!A160="","",IF(AND(安値!K160&lt;安値!J160,安値!K160&lt;安値!I160,安値!K160&lt;安値!L160,安値!K160&lt;安値!M160),6,""))</f>
        <v/>
      </c>
      <c r="G160" s="503" t="str">
        <f>IF(終値!A160="","",IF(AND(安値!L160&lt;安値!K160,安値!L160&lt;安値!J160,安値!L160&lt;安値!M160,安値!L160&lt;安値!N160),7,""))</f>
        <v/>
      </c>
      <c r="H160" s="503" t="str">
        <f>IF(終値!A160="","",IF(AND(安値!M160&lt;安値!L160,安値!M160&lt;安値!K160,安値!M160&lt;安値!N160,安値!M160&lt;安値!O160),8,""))</f>
        <v/>
      </c>
      <c r="I160" s="503" t="str">
        <f>IF(終値!A160="","",IF(AND(安値!N160&lt;安値!M160,安値!N160&lt;安値!L160,安値!N160&lt;安値!O160,安値!N160&lt;安値!P160),9,""))</f>
        <v/>
      </c>
      <c r="J160" s="503">
        <f>IF(終値!A160="","",IF(AND(安値!O160&lt;安値!N160,安値!O160&lt;安値!M160,安値!O160&lt;安値!P160,安値!O160&lt;安値!Q160),10,""))</f>
        <v>10</v>
      </c>
      <c r="K160" s="503" t="str">
        <f>IF(終値!A160="","",IF(AND(安値!P160&lt;安値!O160,安値!P160&lt;安値!N160,安値!P160&lt;安値!Q160,安値!P160&lt;安値!R160),11,""))</f>
        <v/>
      </c>
      <c r="L160" s="503" t="str">
        <f>IF(終値!A160="","",IF(AND(安値!Q160&lt;安値!P160,安値!Q160&lt;安値!O160,安値!Q160&lt;安値!R160,安値!Q160&lt;安値!S160),12,""))</f>
        <v/>
      </c>
      <c r="M160" s="503" t="str">
        <f>IF(終値!A160="","",IF(AND(安値!R160&lt;安値!Q160,安値!R160&lt;安値!P160,安値!R160&lt;安値!S160,安値!R160&lt;安値!T160),13,""))</f>
        <v/>
      </c>
      <c r="N160" s="503">
        <f>IF(終値!A160="","",IF(AND(安値!S160&lt;安値!R160,安値!S160&lt;安値!Q160,安値!S160&lt;安値!T160,安値!S160&lt;安値!U160),14,""))</f>
        <v>14</v>
      </c>
      <c r="O160" s="503" t="str">
        <f>IF(終値!A160="","",IF(AND(安値!T160&lt;安値!S160,安値!T160&lt;安値!R160,安値!T160&lt;安値!U160,安値!T160&lt;安値!V160),15,""))</f>
        <v/>
      </c>
      <c r="P160" s="503" t="str">
        <f>IF(終値!A160="","",IF(AND(安値!U160&lt;安値!T160,安値!U160&lt;安値!S160,安値!U160&lt;安値!V160,安値!U160&lt;安値!W160),16,""))</f>
        <v/>
      </c>
      <c r="Q160" s="503" t="str">
        <f>IF(終値!A160="","",IF(AND(安値!V160&lt;安値!U160,安値!V160&lt;安値!T160,安値!V160&lt;安値!W160,安値!V160&lt;安値!X160),17,""))</f>
        <v/>
      </c>
      <c r="R160" s="503" t="str">
        <f>IF(終値!A160="","",IF(AND(安値!W160&lt;安値!V160,安値!W160&lt;安値!U160,安値!W160&lt;安値!X160,安値!W160&lt;安値!Y160),18,""))</f>
        <v/>
      </c>
      <c r="S160" s="503" t="str">
        <f>IF(終値!A160="","",IF(AND(安値!X160&lt;安値!W160,安値!X160&lt;安値!V160,安値!X160&lt;安値!Y160,安値!X160&lt;安値!Z160),19,""))</f>
        <v/>
      </c>
      <c r="T160" s="503" t="str">
        <f>IF(終値!A160="","",IF(AND(安値!Y160&lt;安値!X160,安値!Y160&lt;安値!W160,安値!Y160&lt;安値!Z160,安値!Y160&lt;安値!AA160),20,""))</f>
        <v/>
      </c>
      <c r="U160" s="503" t="str">
        <f>IF(終値!A160="","",IF(AND(安値!Z160&lt;安値!Y160,安値!Z160&lt;安値!X160,安値!Z160&lt;安値!AA160,安値!Z160&lt;安値!AB160),21,""))</f>
        <v/>
      </c>
      <c r="V160" s="503" t="str">
        <f>IF(終値!A160="","",IF(AND(安値!AA160&lt;安値!Z160,安値!AA160&lt;安値!Y160,安値!AA160&lt;安値!AB160,安値!AA160&lt;安値!AC160),22,""))</f>
        <v/>
      </c>
      <c r="W160" s="503" t="str">
        <f>IF(終値!A160="","",IF(AND(安値!AB160&lt;安値!AA160,安値!AB160&lt;安値!Z160,安値!AB160&lt;安値!AC160,安値!AB160&lt;安値!AD160),23,""))</f>
        <v/>
      </c>
      <c r="X160" s="503" t="str">
        <f>IF(終値!A160="","",IF(AND(安値!AC160&lt;安値!AB160,安値!AC160&lt;安値!AA160,安値!AC160&lt;安値!AD160,安値!AC160&lt;安値!AE160),24,""))</f>
        <v/>
      </c>
      <c r="Y160" s="503" t="str">
        <f>IF(終値!A160="","",IF(AND(安値!AD160&lt;安値!AC160,安値!AD160&lt;安値!AB160,安値!AD160&lt;安値!AE160,安値!AD160&lt;安値!AF160),25,""))</f>
        <v/>
      </c>
      <c r="Z160" s="503" t="str">
        <f>IF(終値!A160="","",IF(AND(安値!AE160&lt;安値!AD160,安値!AE160&lt;安値!AC160,安値!AE160&lt;安値!AF160,安値!AE160&lt;安値!AG160),26,""))</f>
        <v/>
      </c>
      <c r="AA160" s="503" t="str">
        <f>IF(終値!A160="","",IF(AND(安値!AF160&lt;安値!AE160,安値!AF160&lt;安値!AD160,安値!AF160&lt;安値!AG160,安値!AF160&lt;安値!AH160),27,""))</f>
        <v/>
      </c>
      <c r="AB160" s="503" t="str">
        <f>IF(終値!A160="","",IF(AND(安値!AG160&lt;安値!AF160,安値!AG160&lt;安値!AE160,安値!AG160&lt;安値!AH160,安値!AG160&lt;安値!AI160),28,""))</f>
        <v/>
      </c>
      <c r="AC160" s="503" t="str">
        <f>IF(終値!A160="","",IF(AND(高値!G160&gt;高値!F160,高値!G160&gt;高値!E160,高値!G160&gt;高値!H160,高値!G160&gt;高値!I160),2,""))</f>
        <v/>
      </c>
      <c r="AD160" s="503" t="str">
        <f>IF(終値!A160="","",IF(AND(高値!H160&gt;高値!G160,高値!H160&gt;高値!F160,高値!H160&gt;高値!I160,高値!H160&gt;高値!J160),3,""))</f>
        <v/>
      </c>
      <c r="AE160" s="503" t="str">
        <f>IF(終値!A160="","",IF(AND(高値!I160&gt;高値!H160,高値!I160&gt;高値!G160,高値!I160&gt;高値!J160,高値!I160&gt;高値!K160),4,""))</f>
        <v/>
      </c>
      <c r="AF160" s="503">
        <f>IF(終値!A160="","",IF(AND(高値!J160&gt;高値!I160,高値!J160&gt;高値!H160,高値!J160&gt;高値!K160,高値!J160&gt;高値!L160),5,""))</f>
        <v>5</v>
      </c>
      <c r="AG160" s="503" t="str">
        <f>IF(終値!A160="","",IF(AND(高値!K160&gt;高値!J160,高値!K160&gt;高値!I160,高値!K160&gt;高値!L160,高値!K160&gt;高値!M160),6,""))</f>
        <v/>
      </c>
      <c r="AH160" s="503" t="str">
        <f>IF(終値!A160="","",IF(AND(高値!L160&gt;高値!K160,高値!L160&gt;高値!J160,高値!L160&gt;高値!M160,高値!L160&gt;高値!N160),7,""))</f>
        <v/>
      </c>
      <c r="AI160" s="503" t="str">
        <f>IF(終値!A160="","",IF(AND(高値!M160&gt;高値!L160,高値!M160&gt;高値!K160,高値!M160&gt;高値!N160,高値!M160&gt;高値!O160),8,""))</f>
        <v/>
      </c>
      <c r="AJ160" s="503" t="str">
        <f>IF(終値!A160="","",IF(AND(高値!N160&gt;高値!M160,高値!N160&gt;高値!L160,高値!N160&gt;高値!O160,高値!N160&gt;高値!P160),9,""))</f>
        <v/>
      </c>
      <c r="AK160" s="503" t="str">
        <f>IF(終値!A160="","",IF(AND(高値!O160&gt;高値!N160,高値!O160&gt;高値!M160,高値!O160&gt;高値!P160,高値!O160&gt;高値!Q160),10,""))</f>
        <v/>
      </c>
      <c r="AL160" s="503" t="str">
        <f>IF(終値!A160="","",IF(AND(高値!P160&gt;高値!O160,高値!P160&gt;高値!N160,高値!P160&gt;高値!Q160,高値!P160&gt;高値!R160),11,""))</f>
        <v/>
      </c>
      <c r="AM160" s="503">
        <f>IF(終値!A160="","",IF(AND(高値!Q160&gt;高値!P160,高値!Q160&gt;高値!O160,高値!Q160&gt;高値!R160,高値!Q160&gt;高値!S160),12,""))</f>
        <v>12</v>
      </c>
      <c r="AN160" s="503" t="str">
        <f>IF(終値!A160="","",IF(AND(高値!R160&gt;高値!Q160,高値!R160&gt;高値!P160,高値!R160&gt;高値!S160,高値!R160&gt;高値!T160),13,""))</f>
        <v/>
      </c>
      <c r="AO160" s="503" t="str">
        <f>IF(終値!A160="","",IF(AND(高値!S160&gt;高値!R160,高値!S160&gt;高値!Q160,高値!S160&gt;高値!T160,高値!S160&gt;高値!U160),14,""))</f>
        <v/>
      </c>
      <c r="AP160" s="503" t="str">
        <f>IF(終値!A160="","",IF(AND(高値!T160&gt;高値!S160,高値!T160&gt;高値!R160,高値!T160&gt;高値!U160,高値!T160&gt;高値!V160),15,""))</f>
        <v/>
      </c>
      <c r="AQ160" s="503" t="str">
        <f>IF(終値!A160="","",IF(AND(高値!U160&gt;高値!T160,高値!U160&gt;高値!S160,高値!U160&gt;高値!V160,高値!U160&gt;高値!W160),16,""))</f>
        <v/>
      </c>
      <c r="AR160" s="503" t="str">
        <f>IF(終値!A160="","",IF(AND(高値!V160&gt;高値!U160,高値!V160&gt;高値!T160,高値!V160&gt;高値!W160,高値!V160&gt;高値!X160),17,""))</f>
        <v/>
      </c>
      <c r="AS160" s="503" t="str">
        <f>IF(終値!A160="","",IF(AND(高値!W160&gt;高値!V160,高値!W160&gt;高値!U160,高値!W160&gt;高値!X160,高値!W160&gt;高値!Y160),18,""))</f>
        <v/>
      </c>
      <c r="AT160" s="503">
        <f>IF(終値!A160="","",IF(AND(高値!X160&gt;高値!W160,高値!X160&gt;高値!V160,高値!X160&gt;高値!Y160,高値!X160&gt;高値!Z160),19,""))</f>
        <v>19</v>
      </c>
      <c r="AU160" s="503" t="str">
        <f>IF(終値!A160="","",IF(AND(高値!Y160&gt;高値!X160,高値!Y160&gt;高値!W160,高値!Y160&gt;高値!Z160,高値!Y160&gt;高値!AA160),20,""))</f>
        <v/>
      </c>
      <c r="AV160" s="503" t="str">
        <f>IF(終値!A160="","",IF(AND(高値!Z160&gt;高値!Y160,高値!Z160&gt;高値!X160,高値!Z160&gt;高値!AA160,高値!Z160&gt;高値!AB160),21,""))</f>
        <v/>
      </c>
      <c r="AW160" s="503" t="str">
        <f>IF(終値!A160="","",IF(AND(高値!AA160&gt;高値!Z160,高値!AA160&gt;高値!Y160,高値!AA160&gt;高値!AB160,高値!AA160&gt;高値!AC160),22,""))</f>
        <v/>
      </c>
      <c r="AX160" s="503" t="str">
        <f>IF(終値!A160="","",IF(AND(高値!AB160&gt;高値!AA160,高値!AB160&gt;高値!Z160,高値!AB160&gt;高値!AC160,高値!AB160&gt;高値!AD160),23,""))</f>
        <v/>
      </c>
      <c r="AY160" s="503" t="str">
        <f>IF(終値!A160="","",IF(AND(高値!AC160&gt;高値!AB160,高値!AC160&gt;高値!AA160,高値!AC160&gt;高値!AD160,高値!AC160&gt;高値!AE160),24,""))</f>
        <v/>
      </c>
      <c r="AZ160" s="503" t="str">
        <f>IF(終値!A160="","",IF(AND(高値!AD160&gt;高値!AC160,高値!AD160&gt;高値!AB160,高値!AD160&gt;高値!AE160,高値!AD160&gt;高値!AF160),25,""))</f>
        <v/>
      </c>
      <c r="BA160" s="503">
        <f>IF(終値!A160="","",IF(AND(高値!AE160&gt;高値!AD160,高値!AE160&gt;高値!AC160,高値!AE160&gt;高値!AF160,高値!AE160&gt;高値!AG160),26,""))</f>
        <v>26</v>
      </c>
      <c r="BB160" s="503" t="str">
        <f>IF(終値!A160="","",IF(AND(高値!AF160&gt;高値!AE160,高値!AF160&gt;高値!AD160,高値!AF160&gt;高値!AG160,高値!AF160&gt;高値!AH160),27,""))</f>
        <v/>
      </c>
      <c r="BC160" s="503" t="str">
        <f>IF(終値!A160="","",IF(AND(高値!AG160&gt;高値!AF160,高値!AG160&gt;高値!AE160,高値!AG160&gt;高値!AH160,高値!AG160&gt;高値!AI160),28,""))</f>
        <v/>
      </c>
      <c r="BD160" s="503">
        <f t="shared" si="12"/>
        <v>2</v>
      </c>
      <c r="BE160" s="503">
        <f t="shared" si="13"/>
        <v>10</v>
      </c>
      <c r="BF160" s="503">
        <f t="shared" si="14"/>
        <v>14</v>
      </c>
      <c r="BG160" s="503">
        <f>IF($BE160="","",INDEX(安値!$E160:$CZ160,1,$BE160+1))</f>
        <v>1002</v>
      </c>
      <c r="BH160" s="503">
        <f>IF($BF160="","",INDEX(安値!$E160:$CZ160,1,$BF160+1))</f>
        <v>1005</v>
      </c>
      <c r="BI160" s="503">
        <f>IF($BF160="","",MAX(INDEX(高値!$E160:$CZ160,1,$BE160+1):INDEX(高値!$E160:$CZ160,1,$BF160+1)))</f>
        <v>1102</v>
      </c>
      <c r="BJ160" s="503">
        <f>IF($BF160="","",AVERAGE(INDEX(終値!$E160:$CZ160,1,$BF160+1):INDEX(終値!$E160:$CZ160,1,$BF160+20))-2*STDEVP(INDEX(終値!$E160:$CZ160,1,$BF160+1):INDEX(終値!$E160:$CZ160,1,$BF160+20)))</f>
        <v>874.94344524835742</v>
      </c>
      <c r="BK160" s="503">
        <f>IF($BE160="","",AVERAGE(INDEX(終値!$E160:$CZ160,1,$BE160+1):INDEX(終値!$E160:$CZ160,1,$BE160+20))-2*STDEVP(INDEX(終値!$E160:$CZ160,1,$BE160+1):INDEX(終値!$E160:$CZ160,1,$BE160+20)))</f>
        <v>899.56886890634155</v>
      </c>
      <c r="BL160" s="503">
        <f t="shared" si="15"/>
        <v>4</v>
      </c>
      <c r="BM160" s="503">
        <f t="shared" si="16"/>
        <v>5</v>
      </c>
      <c r="BN160" s="503">
        <f t="shared" si="17"/>
        <v>12</v>
      </c>
      <c r="BO160" s="503">
        <f>IF($BM160="","",INDEX(高値!$E160:$CZ160,1,$BM160+1))</f>
        <v>1212</v>
      </c>
      <c r="BP160" s="503">
        <f>IF($BN160="","",INDEX(高値!$E160:$CZ160,1,$BN160+1))</f>
        <v>1102</v>
      </c>
      <c r="BQ160" s="503">
        <f>IF($BN160="","",MIN(INDEX(安値!$E160:$CZ160,1,$BM160+1):INDEX(安値!$E160:$CZ160,1,$BN160+1)))</f>
        <v>1002</v>
      </c>
      <c r="BR160" s="503">
        <f>IF($BN160="","",AVERAGE(INDEX(終値!$E160:$CZ160,1,$BN160+1):INDEX(終値!$E160:$CZ160,1,$BN160+20))+2*STDEVP(INDEX(終値!$E160:$CZ160,1,$BN160+1):INDEX(終値!$E160:$CZ160,1,$BN160+20)))</f>
        <v>1114.6190658834489</v>
      </c>
      <c r="BS160" s="503">
        <f>IF($BM160="","",AVERAGE(INDEX(終値!$E160:$CZ160,1,$BM160+1):INDEX(終値!$E160:$CZ160,1,$BM160+20))+2*STDEVP(INDEX(終値!$E160:$CZ160,1,$BM160+1):INDEX(終値!$E160:$CZ160,1,$BM160+20)))</f>
        <v>1174.5094377125968</v>
      </c>
      <c r="BT160" s="500"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二番底W形成</v>
      </c>
    </row>
    <row r="161" spans="2:72">
      <c r="B161" s="503" t="str">
        <f>IF(終値!A161="","",IF(AND(安値!G161&lt;安値!F161,安値!G161&lt;安値!E161,安値!G161&lt;安値!H161,安値!G161&lt;安値!I161),2,""))</f>
        <v/>
      </c>
      <c r="C161" s="503">
        <f>IF(終値!A161="","",IF(AND(安値!H161&lt;安値!G161,安値!H161&lt;安値!F161,安値!H161&lt;安値!I161,安値!H161&lt;安値!J161),3,""))</f>
        <v>3</v>
      </c>
      <c r="D161" s="503" t="str">
        <f>IF(終値!A161="","",IF(AND(安値!I161&lt;安値!H161,安値!I161&lt;安値!G161,安値!I161&lt;安値!J161,安値!I161&lt;安値!K161),4,""))</f>
        <v/>
      </c>
      <c r="E161" s="503" t="str">
        <f>IF(終値!A161="","",IF(AND(安値!J161&lt;安値!I161,安値!J161&lt;安値!H161,安値!J161&lt;安値!K161,安値!J161&lt;安値!L161),5,""))</f>
        <v/>
      </c>
      <c r="F161" s="503">
        <f>IF(終値!A161="","",IF(AND(安値!K161&lt;安値!J161,安値!K161&lt;安値!I161,安値!K161&lt;安値!L161,安値!K161&lt;安値!M161),6,""))</f>
        <v>6</v>
      </c>
      <c r="G161" s="503" t="str">
        <f>IF(終値!A161="","",IF(AND(安値!L161&lt;安値!K161,安値!L161&lt;安値!J161,安値!L161&lt;安値!M161,安値!L161&lt;安値!N161),7,""))</f>
        <v/>
      </c>
      <c r="H161" s="503" t="str">
        <f>IF(終値!A161="","",IF(AND(安値!M161&lt;安値!L161,安値!M161&lt;安値!K161,安値!M161&lt;安値!N161,安値!M161&lt;安値!O161),8,""))</f>
        <v/>
      </c>
      <c r="I161" s="503">
        <f>IF(終値!A161="","",IF(AND(安値!N161&lt;安値!M161,安値!N161&lt;安値!L161,安値!N161&lt;安値!O161,安値!N161&lt;安値!P161),9,""))</f>
        <v>9</v>
      </c>
      <c r="J161" s="503" t="str">
        <f>IF(終値!A161="","",IF(AND(安値!O161&lt;安値!N161,安値!O161&lt;安値!M161,安値!O161&lt;安値!P161,安値!O161&lt;安値!Q161),10,""))</f>
        <v/>
      </c>
      <c r="K161" s="503" t="str">
        <f>IF(終値!A161="","",IF(AND(安値!P161&lt;安値!O161,安値!P161&lt;安値!N161,安値!P161&lt;安値!Q161,安値!P161&lt;安値!R161),11,""))</f>
        <v/>
      </c>
      <c r="L161" s="503" t="str">
        <f>IF(終値!A161="","",IF(AND(安値!Q161&lt;安値!P161,安値!Q161&lt;安値!O161,安値!Q161&lt;安値!R161,安値!Q161&lt;安値!S161),12,""))</f>
        <v/>
      </c>
      <c r="M161" s="503">
        <f>IF(終値!A161="","",IF(AND(安値!R161&lt;安値!Q161,安値!R161&lt;安値!P161,安値!R161&lt;安値!S161,安値!R161&lt;安値!T161),13,""))</f>
        <v>13</v>
      </c>
      <c r="N161" s="503" t="str">
        <f>IF(終値!A161="","",IF(AND(安値!S161&lt;安値!R161,安値!S161&lt;安値!Q161,安値!S161&lt;安値!T161,安値!S161&lt;安値!U161),14,""))</f>
        <v/>
      </c>
      <c r="O161" s="503" t="str">
        <f>IF(終値!A161="","",IF(AND(安値!T161&lt;安値!S161,安値!T161&lt;安値!R161,安値!T161&lt;安値!U161,安値!T161&lt;安値!V161),15,""))</f>
        <v/>
      </c>
      <c r="P161" s="503" t="str">
        <f>IF(終値!A161="","",IF(AND(安値!U161&lt;安値!T161,安値!U161&lt;安値!S161,安値!U161&lt;安値!V161,安値!U161&lt;安値!W161),16,""))</f>
        <v/>
      </c>
      <c r="Q161" s="503" t="str">
        <f>IF(終値!A161="","",IF(AND(安値!V161&lt;安値!U161,安値!V161&lt;安値!T161,安値!V161&lt;安値!W161,安値!V161&lt;安値!X161),17,""))</f>
        <v/>
      </c>
      <c r="R161" s="503" t="str">
        <f>IF(終値!A161="","",IF(AND(安値!W161&lt;安値!V161,安値!W161&lt;安値!U161,安値!W161&lt;安値!X161,安値!W161&lt;安値!Y161),18,""))</f>
        <v/>
      </c>
      <c r="S161" s="503" t="str">
        <f>IF(終値!A161="","",IF(AND(安値!X161&lt;安値!W161,安値!X161&lt;安値!V161,安値!X161&lt;安値!Y161,安値!X161&lt;安値!Z161),19,""))</f>
        <v/>
      </c>
      <c r="T161" s="503" t="str">
        <f>IF(終値!A161="","",IF(AND(安値!Y161&lt;安値!X161,安値!Y161&lt;安値!W161,安値!Y161&lt;安値!Z161,安値!Y161&lt;安値!AA161),20,""))</f>
        <v/>
      </c>
      <c r="U161" s="503" t="str">
        <f>IF(終値!A161="","",IF(AND(安値!Z161&lt;安値!Y161,安値!Z161&lt;安値!X161,安値!Z161&lt;安値!AA161,安値!Z161&lt;安値!AB161),21,""))</f>
        <v/>
      </c>
      <c r="V161" s="503" t="str">
        <f>IF(終値!A161="","",IF(AND(安値!AA161&lt;安値!Z161,安値!AA161&lt;安値!Y161,安値!AA161&lt;安値!AB161,安値!AA161&lt;安値!AC161),22,""))</f>
        <v/>
      </c>
      <c r="W161" s="503" t="str">
        <f>IF(終値!A161="","",IF(AND(安値!AB161&lt;安値!AA161,安値!AB161&lt;安値!Z161,安値!AB161&lt;安値!AC161,安値!AB161&lt;安値!AD161),23,""))</f>
        <v/>
      </c>
      <c r="X161" s="503" t="str">
        <f>IF(終値!A161="","",IF(AND(安値!AC161&lt;安値!AB161,安値!AC161&lt;安値!AA161,安値!AC161&lt;安値!AD161,安値!AC161&lt;安値!AE161),24,""))</f>
        <v/>
      </c>
      <c r="Y161" s="503" t="str">
        <f>IF(終値!A161="","",IF(AND(安値!AD161&lt;安値!AC161,安値!AD161&lt;安値!AB161,安値!AD161&lt;安値!AE161,安値!AD161&lt;安値!AF161),25,""))</f>
        <v/>
      </c>
      <c r="Z161" s="503" t="str">
        <f>IF(終値!A161="","",IF(AND(安値!AE161&lt;安値!AD161,安値!AE161&lt;安値!AC161,安値!AE161&lt;安値!AF161,安値!AE161&lt;安値!AG161),26,""))</f>
        <v/>
      </c>
      <c r="AA161" s="503" t="str">
        <f>IF(終値!A161="","",IF(AND(安値!AF161&lt;安値!AE161,安値!AF161&lt;安値!AD161,安値!AF161&lt;安値!AG161,安値!AF161&lt;安値!AH161),27,""))</f>
        <v/>
      </c>
      <c r="AB161" s="503" t="str">
        <f>IF(終値!A161="","",IF(AND(安値!AG161&lt;安値!AF161,安値!AG161&lt;安値!AE161,安値!AG161&lt;安値!AH161,安値!AG161&lt;安値!AI161),28,""))</f>
        <v/>
      </c>
      <c r="AC161" s="503" t="str">
        <f>IF(終値!A161="","",IF(AND(高値!G161&gt;高値!F161,高値!G161&gt;高値!E161,高値!G161&gt;高値!H161,高値!G161&gt;高値!I161),2,""))</f>
        <v/>
      </c>
      <c r="AD161" s="503" t="str">
        <f>IF(終値!A161="","",IF(AND(高値!H161&gt;高値!G161,高値!H161&gt;高値!F161,高値!H161&gt;高値!I161,高値!H161&gt;高値!J161),3,""))</f>
        <v/>
      </c>
      <c r="AE161" s="503" t="str">
        <f>IF(終値!A161="","",IF(AND(高値!I161&gt;高値!H161,高値!I161&gt;高値!G161,高値!I161&gt;高値!J161,高値!I161&gt;高値!K161),4,""))</f>
        <v/>
      </c>
      <c r="AF161" s="503" t="str">
        <f>IF(終値!A161="","",IF(AND(高値!J161&gt;高値!I161,高値!J161&gt;高値!H161,高値!J161&gt;高値!K161,高値!J161&gt;高値!L161),5,""))</f>
        <v/>
      </c>
      <c r="AG161" s="503" t="str">
        <f>IF(終値!A161="","",IF(AND(高値!K161&gt;高値!J161,高値!K161&gt;高値!I161,高値!K161&gt;高値!L161,高値!K161&gt;高値!M161),6,""))</f>
        <v/>
      </c>
      <c r="AH161" s="503">
        <f>IF(終値!A161="","",IF(AND(高値!L161&gt;高値!K161,高値!L161&gt;高値!J161,高値!L161&gt;高値!M161,高値!L161&gt;高値!N161),7,""))</f>
        <v>7</v>
      </c>
      <c r="AI161" s="503" t="str">
        <f>IF(終値!A161="","",IF(AND(高値!M161&gt;高値!L161,高値!M161&gt;高値!K161,高値!M161&gt;高値!N161,高値!M161&gt;高値!O161),8,""))</f>
        <v/>
      </c>
      <c r="AJ161" s="503" t="str">
        <f>IF(終値!A161="","",IF(AND(高値!N161&gt;高値!M161,高値!N161&gt;高値!L161,高値!N161&gt;高値!O161,高値!N161&gt;高値!P161),9,""))</f>
        <v/>
      </c>
      <c r="AK161" s="503" t="str">
        <f>IF(終値!A161="","",IF(AND(高値!O161&gt;高値!N161,高値!O161&gt;高値!M161,高値!O161&gt;高値!P161,高値!O161&gt;高値!Q161),10,""))</f>
        <v/>
      </c>
      <c r="AL161" s="503" t="str">
        <f>IF(終値!A161="","",IF(AND(高値!P161&gt;高値!O161,高値!P161&gt;高値!N161,高値!P161&gt;高値!Q161,高値!P161&gt;高値!R161),11,""))</f>
        <v/>
      </c>
      <c r="AM161" s="503" t="str">
        <f>IF(終値!A161="","",IF(AND(高値!Q161&gt;高値!P161,高値!Q161&gt;高値!O161,高値!Q161&gt;高値!R161,高値!Q161&gt;高値!S161),12,""))</f>
        <v/>
      </c>
      <c r="AN161" s="503" t="str">
        <f>IF(終値!A161="","",IF(AND(高値!R161&gt;高値!Q161,高値!R161&gt;高値!P161,高値!R161&gt;高値!S161,高値!R161&gt;高値!T161),13,""))</f>
        <v/>
      </c>
      <c r="AO161" s="503" t="str">
        <f>IF(終値!A161="","",IF(AND(高値!S161&gt;高値!R161,高値!S161&gt;高値!Q161,高値!S161&gt;高値!T161,高値!S161&gt;高値!U161),14,""))</f>
        <v/>
      </c>
      <c r="AP161" s="503" t="str">
        <f>IF(終値!A161="","",IF(AND(高値!T161&gt;高値!S161,高値!T161&gt;高値!R161,高値!T161&gt;高値!U161,高値!T161&gt;高値!V161),15,""))</f>
        <v/>
      </c>
      <c r="AQ161" s="503">
        <f>IF(終値!A161="","",IF(AND(高値!U161&gt;高値!T161,高値!U161&gt;高値!S161,高値!U161&gt;高値!V161,高値!U161&gt;高値!W161),16,""))</f>
        <v>16</v>
      </c>
      <c r="AR161" s="503" t="str">
        <f>IF(終値!A161="","",IF(AND(高値!V161&gt;高値!U161,高値!V161&gt;高値!T161,高値!V161&gt;高値!W161,高値!V161&gt;高値!X161),17,""))</f>
        <v/>
      </c>
      <c r="AS161" s="503" t="str">
        <f>IF(終値!A161="","",IF(AND(高値!W161&gt;高値!V161,高値!W161&gt;高値!U161,高値!W161&gt;高値!X161,高値!W161&gt;高値!Y161),18,""))</f>
        <v/>
      </c>
      <c r="AT161" s="503" t="str">
        <f>IF(終値!A161="","",IF(AND(高値!X161&gt;高値!W161,高値!X161&gt;高値!V161,高値!X161&gt;高値!Y161,高値!X161&gt;高値!Z161),19,""))</f>
        <v/>
      </c>
      <c r="AU161" s="503" t="str">
        <f>IF(終値!A161="","",IF(AND(高値!Y161&gt;高値!X161,高値!Y161&gt;高値!W161,高値!Y161&gt;高値!Z161,高値!Y161&gt;高値!AA161),20,""))</f>
        <v/>
      </c>
      <c r="AV161" s="503" t="str">
        <f>IF(終値!A161="","",IF(AND(高値!Z161&gt;高値!Y161,高値!Z161&gt;高値!X161,高値!Z161&gt;高値!AA161,高値!Z161&gt;高値!AB161),21,""))</f>
        <v/>
      </c>
      <c r="AW161" s="503" t="str">
        <f>IF(終値!A161="","",IF(AND(高値!AA161&gt;高値!Z161,高値!AA161&gt;高値!Y161,高値!AA161&gt;高値!AB161,高値!AA161&gt;高値!AC161),22,""))</f>
        <v/>
      </c>
      <c r="AX161" s="503" t="str">
        <f>IF(終値!A161="","",IF(AND(高値!AB161&gt;高値!AA161,高値!AB161&gt;高値!Z161,高値!AB161&gt;高値!AC161,高値!AB161&gt;高値!AD161),23,""))</f>
        <v/>
      </c>
      <c r="AY161" s="503" t="str">
        <f>IF(終値!A161="","",IF(AND(高値!AC161&gt;高値!AB161,高値!AC161&gt;高値!AA161,高値!AC161&gt;高値!AD161,高値!AC161&gt;高値!AE161),24,""))</f>
        <v/>
      </c>
      <c r="AZ161" s="503" t="str">
        <f>IF(終値!A161="","",IF(AND(高値!AD161&gt;高値!AC161,高値!AD161&gt;高値!AB161,高値!AD161&gt;高値!AE161,高値!AD161&gt;高値!AF161),25,""))</f>
        <v/>
      </c>
      <c r="BA161" s="503" t="str">
        <f>IF(終値!A161="","",IF(AND(高値!AE161&gt;高値!AD161,高値!AE161&gt;高値!AC161,高値!AE161&gt;高値!AF161,高値!AE161&gt;高値!AG161),26,""))</f>
        <v/>
      </c>
      <c r="BB161" s="503" t="str">
        <f>IF(終値!A161="","",IF(AND(高値!AF161&gt;高値!AE161,高値!AF161&gt;高値!AD161,高値!AF161&gt;高値!AG161,高値!AF161&gt;高値!AH161),27,""))</f>
        <v/>
      </c>
      <c r="BC161" s="503" t="str">
        <f>IF(終値!A161="","",IF(AND(高値!AG161&gt;高値!AF161,高値!AG161&gt;高値!AE161,高値!AG161&gt;高値!AH161,高値!AG161&gt;高値!AI161),28,""))</f>
        <v/>
      </c>
      <c r="BD161" s="503">
        <f t="shared" si="12"/>
        <v>4</v>
      </c>
      <c r="BE161" s="503">
        <f t="shared" si="13"/>
        <v>3</v>
      </c>
      <c r="BF161" s="503">
        <f t="shared" si="14"/>
        <v>6</v>
      </c>
      <c r="BG161" s="503">
        <f>IF($BE161="","",INDEX(安値!$E161:$CZ161,1,$BE161+1))</f>
        <v>1047</v>
      </c>
      <c r="BH161" s="503">
        <f>IF($BF161="","",INDEX(安値!$E161:$CZ161,1,$BF161+1))</f>
        <v>1060</v>
      </c>
      <c r="BI161" s="503">
        <f>IF($BF161="","",MAX(INDEX(高値!$E161:$CZ161,1,$BE161+1):INDEX(高値!$E161:$CZ161,1,$BF161+1)))</f>
        <v>1116</v>
      </c>
      <c r="BJ161" s="503">
        <f>IF($BF161="","",AVERAGE(INDEX(終値!$E161:$CZ161,1,$BF161+1):INDEX(終値!$E161:$CZ161,1,$BF161+20))-2*STDEVP(INDEX(終値!$E161:$CZ161,1,$BF161+1):INDEX(終値!$E161:$CZ161,1,$BF161+20)))</f>
        <v>1077.9249127104511</v>
      </c>
      <c r="BK161" s="503">
        <f>IF($BE161="","",AVERAGE(INDEX(終値!$E161:$CZ161,1,$BE161+1):INDEX(終値!$E161:$CZ161,1,$BE161+20))-2*STDEVP(INDEX(終値!$E161:$CZ161,1,$BE161+1):INDEX(終値!$E161:$CZ161,1,$BE161+20)))</f>
        <v>1074.7697657900521</v>
      </c>
      <c r="BL161" s="503">
        <f t="shared" si="15"/>
        <v>2</v>
      </c>
      <c r="BM161" s="503">
        <f t="shared" si="16"/>
        <v>7</v>
      </c>
      <c r="BN161" s="503">
        <f t="shared" si="17"/>
        <v>16</v>
      </c>
      <c r="BO161" s="503">
        <f>IF($BM161="","",INDEX(高値!$E161:$CZ161,1,$BM161+1))</f>
        <v>1129</v>
      </c>
      <c r="BP161" s="503">
        <f>IF($BN161="","",INDEX(高値!$E161:$CZ161,1,$BN161+1))</f>
        <v>1139</v>
      </c>
      <c r="BQ161" s="503">
        <f>IF($BN161="","",MIN(INDEX(安値!$E161:$CZ161,1,$BM161+1):INDEX(安値!$E161:$CZ161,1,$BN161+1)))</f>
        <v>1096</v>
      </c>
      <c r="BR161" s="503">
        <f>IF($BN161="","",AVERAGE(INDEX(終値!$E161:$CZ161,1,$BN161+1):INDEX(終値!$E161:$CZ161,1,$BN161+20))+2*STDEVP(INDEX(終値!$E161:$CZ161,1,$BN161+1):INDEX(終値!$E161:$CZ161,1,$BN161+20)))</f>
        <v>1127.2839728783817</v>
      </c>
      <c r="BS161" s="503">
        <f>IF($BM161="","",AVERAGE(INDEX(終値!$E161:$CZ161,1,$BM161+1):INDEX(終値!$E161:$CZ161,1,$BM161+20))+2*STDEVP(INDEX(終値!$E161:$CZ161,1,$BM161+1):INDEX(終値!$E161:$CZ161,1,$BM161+20)))</f>
        <v>1133.933927528117</v>
      </c>
      <c r="BT161" s="500"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二番底W形成</v>
      </c>
    </row>
    <row r="162" spans="2:72">
      <c r="B162" s="503" t="str">
        <f>IF(終値!A162="","",IF(AND(安値!G162&lt;安値!F162,安値!G162&lt;安値!E162,安値!G162&lt;安値!H162,安値!G162&lt;安値!I162),2,""))</f>
        <v/>
      </c>
      <c r="C162" s="503" t="str">
        <f>IF(終値!A162="","",IF(AND(安値!H162&lt;安値!G162,安値!H162&lt;安値!F162,安値!H162&lt;安値!I162,安値!H162&lt;安値!J162),3,""))</f>
        <v/>
      </c>
      <c r="D162" s="503" t="str">
        <f>IF(終値!A162="","",IF(AND(安値!I162&lt;安値!H162,安値!I162&lt;安値!G162,安値!I162&lt;安値!J162,安値!I162&lt;安値!K162),4,""))</f>
        <v/>
      </c>
      <c r="E162" s="503" t="str">
        <f>IF(終値!A162="","",IF(AND(安値!J162&lt;安値!I162,安値!J162&lt;安値!H162,安値!J162&lt;安値!K162,安値!J162&lt;安値!L162),5,""))</f>
        <v/>
      </c>
      <c r="F162" s="503" t="str">
        <f>IF(終値!A162="","",IF(AND(安値!K162&lt;安値!J162,安値!K162&lt;安値!I162,安値!K162&lt;安値!L162,安値!K162&lt;安値!M162),6,""))</f>
        <v/>
      </c>
      <c r="G162" s="503" t="str">
        <f>IF(終値!A162="","",IF(AND(安値!L162&lt;安値!K162,安値!L162&lt;安値!J162,安値!L162&lt;安値!M162,安値!L162&lt;安値!N162),7,""))</f>
        <v/>
      </c>
      <c r="H162" s="503" t="str">
        <f>IF(終値!A162="","",IF(AND(安値!M162&lt;安値!L162,安値!M162&lt;安値!K162,安値!M162&lt;安値!N162,安値!M162&lt;安値!O162),8,""))</f>
        <v/>
      </c>
      <c r="I162" s="503">
        <f>IF(終値!A162="","",IF(AND(安値!N162&lt;安値!M162,安値!N162&lt;安値!L162,安値!N162&lt;安値!O162,安値!N162&lt;安値!P162),9,""))</f>
        <v>9</v>
      </c>
      <c r="J162" s="503" t="str">
        <f>IF(終値!A162="","",IF(AND(安値!O162&lt;安値!N162,安値!O162&lt;安値!M162,安値!O162&lt;安値!P162,安値!O162&lt;安値!Q162),10,""))</f>
        <v/>
      </c>
      <c r="K162" s="503" t="str">
        <f>IF(終値!A162="","",IF(AND(安値!P162&lt;安値!O162,安値!P162&lt;安値!N162,安値!P162&lt;安値!Q162,安値!P162&lt;安値!R162),11,""))</f>
        <v/>
      </c>
      <c r="L162" s="503" t="str">
        <f>IF(終値!A162="","",IF(AND(安値!Q162&lt;安値!P162,安値!Q162&lt;安値!O162,安値!Q162&lt;安値!R162,安値!Q162&lt;安値!S162),12,""))</f>
        <v/>
      </c>
      <c r="M162" s="503">
        <f>IF(終値!A162="","",IF(AND(安値!R162&lt;安値!Q162,安値!R162&lt;安値!P162,安値!R162&lt;安値!S162,安値!R162&lt;安値!T162),13,""))</f>
        <v>13</v>
      </c>
      <c r="N162" s="503" t="str">
        <f>IF(終値!A162="","",IF(AND(安値!S162&lt;安値!R162,安値!S162&lt;安値!Q162,安値!S162&lt;安値!T162,安値!S162&lt;安値!U162),14,""))</f>
        <v/>
      </c>
      <c r="O162" s="503" t="str">
        <f>IF(終値!A162="","",IF(AND(安値!T162&lt;安値!S162,安値!T162&lt;安値!R162,安値!T162&lt;安値!U162,安値!T162&lt;安値!V162),15,""))</f>
        <v/>
      </c>
      <c r="P162" s="503" t="str">
        <f>IF(終値!A162="","",IF(AND(安値!U162&lt;安値!T162,安値!U162&lt;安値!S162,安値!U162&lt;安値!V162,安値!U162&lt;安値!W162),16,""))</f>
        <v/>
      </c>
      <c r="Q162" s="503" t="str">
        <f>IF(終値!A162="","",IF(AND(安値!V162&lt;安値!U162,安値!V162&lt;安値!T162,安値!V162&lt;安値!W162,安値!V162&lt;安値!X162),17,""))</f>
        <v/>
      </c>
      <c r="R162" s="503" t="str">
        <f>IF(終値!A162="","",IF(AND(安値!W162&lt;安値!V162,安値!W162&lt;安値!U162,安値!W162&lt;安値!X162,安値!W162&lt;安値!Y162),18,""))</f>
        <v/>
      </c>
      <c r="S162" s="503" t="str">
        <f>IF(終値!A162="","",IF(AND(安値!X162&lt;安値!W162,安値!X162&lt;安値!V162,安値!X162&lt;安値!Y162,安値!X162&lt;安値!Z162),19,""))</f>
        <v/>
      </c>
      <c r="T162" s="503">
        <f>IF(終値!A162="","",IF(AND(安値!Y162&lt;安値!X162,安値!Y162&lt;安値!W162,安値!Y162&lt;安値!Z162,安値!Y162&lt;安値!AA162),20,""))</f>
        <v>20</v>
      </c>
      <c r="U162" s="503" t="str">
        <f>IF(終値!A162="","",IF(AND(安値!Z162&lt;安値!Y162,安値!Z162&lt;安値!X162,安値!Z162&lt;安値!AA162,安値!Z162&lt;安値!AB162),21,""))</f>
        <v/>
      </c>
      <c r="V162" s="503" t="str">
        <f>IF(終値!A162="","",IF(AND(安値!AA162&lt;安値!Z162,安値!AA162&lt;安値!Y162,安値!AA162&lt;安値!AB162,安値!AA162&lt;安値!AC162),22,""))</f>
        <v/>
      </c>
      <c r="W162" s="503" t="str">
        <f>IF(終値!A162="","",IF(AND(安値!AB162&lt;安値!AA162,安値!AB162&lt;安値!Z162,安値!AB162&lt;安値!AC162,安値!AB162&lt;安値!AD162),23,""))</f>
        <v/>
      </c>
      <c r="X162" s="503" t="str">
        <f>IF(終値!A162="","",IF(AND(安値!AC162&lt;安値!AB162,安値!AC162&lt;安値!AA162,安値!AC162&lt;安値!AD162,安値!AC162&lt;安値!AE162),24,""))</f>
        <v/>
      </c>
      <c r="Y162" s="503">
        <f>IF(終値!A162="","",IF(AND(安値!AD162&lt;安値!AC162,安値!AD162&lt;安値!AB162,安値!AD162&lt;安値!AE162,安値!AD162&lt;安値!AF162),25,""))</f>
        <v>25</v>
      </c>
      <c r="Z162" s="503" t="str">
        <f>IF(終値!A162="","",IF(AND(安値!AE162&lt;安値!AD162,安値!AE162&lt;安値!AC162,安値!AE162&lt;安値!AF162,安値!AE162&lt;安値!AG162),26,""))</f>
        <v/>
      </c>
      <c r="AA162" s="503" t="str">
        <f>IF(終値!A162="","",IF(AND(安値!AF162&lt;安値!AE162,安値!AF162&lt;安値!AD162,安値!AF162&lt;安値!AG162,安値!AF162&lt;安値!AH162),27,""))</f>
        <v/>
      </c>
      <c r="AB162" s="503" t="str">
        <f>IF(終値!A162="","",IF(AND(安値!AG162&lt;安値!AF162,安値!AG162&lt;安値!AE162,安値!AG162&lt;安値!AH162,安値!AG162&lt;安値!AI162),28,""))</f>
        <v/>
      </c>
      <c r="AC162" s="503" t="str">
        <f>IF(終値!A162="","",IF(AND(高値!G162&gt;高値!F162,高値!G162&gt;高値!E162,高値!G162&gt;高値!H162,高値!G162&gt;高値!I162),2,""))</f>
        <v/>
      </c>
      <c r="AD162" s="503" t="str">
        <f>IF(終値!A162="","",IF(AND(高値!H162&gt;高値!G162,高値!H162&gt;高値!F162,高値!H162&gt;高値!I162,高値!H162&gt;高値!J162),3,""))</f>
        <v/>
      </c>
      <c r="AE162" s="503" t="str">
        <f>IF(終値!A162="","",IF(AND(高値!I162&gt;高値!H162,高値!I162&gt;高値!G162,高値!I162&gt;高値!J162,高値!I162&gt;高値!K162),4,""))</f>
        <v/>
      </c>
      <c r="AF162" s="503" t="str">
        <f>IF(終値!A162="","",IF(AND(高値!J162&gt;高値!I162,高値!J162&gt;高値!H162,高値!J162&gt;高値!K162,高値!J162&gt;高値!L162),5,""))</f>
        <v/>
      </c>
      <c r="AG162" s="503" t="str">
        <f>IF(終値!A162="","",IF(AND(高値!K162&gt;高値!J162,高値!K162&gt;高値!I162,高値!K162&gt;高値!L162,高値!K162&gt;高値!M162),6,""))</f>
        <v/>
      </c>
      <c r="AH162" s="503" t="str">
        <f>IF(終値!A162="","",IF(AND(高値!L162&gt;高値!K162,高値!L162&gt;高値!J162,高値!L162&gt;高値!M162,高値!L162&gt;高値!N162),7,""))</f>
        <v/>
      </c>
      <c r="AI162" s="503">
        <f>IF(終値!A162="","",IF(AND(高値!M162&gt;高値!L162,高値!M162&gt;高値!K162,高値!M162&gt;高値!N162,高値!M162&gt;高値!O162),8,""))</f>
        <v>8</v>
      </c>
      <c r="AJ162" s="503" t="str">
        <f>IF(終値!A162="","",IF(AND(高値!N162&gt;高値!M162,高値!N162&gt;高値!L162,高値!N162&gt;高値!O162,高値!N162&gt;高値!P162),9,""))</f>
        <v/>
      </c>
      <c r="AK162" s="503" t="str">
        <f>IF(終値!A162="","",IF(AND(高値!O162&gt;高値!N162,高値!O162&gt;高値!M162,高値!O162&gt;高値!P162,高値!O162&gt;高値!Q162),10,""))</f>
        <v/>
      </c>
      <c r="AL162" s="503" t="str">
        <f>IF(終値!A162="","",IF(AND(高値!P162&gt;高値!O162,高値!P162&gt;高値!N162,高値!P162&gt;高値!Q162,高値!P162&gt;高値!R162),11,""))</f>
        <v/>
      </c>
      <c r="AM162" s="503" t="str">
        <f>IF(終値!A162="","",IF(AND(高値!Q162&gt;高値!P162,高値!Q162&gt;高値!O162,高値!Q162&gt;高値!R162,高値!Q162&gt;高値!S162),12,""))</f>
        <v/>
      </c>
      <c r="AN162" s="503" t="str">
        <f>IF(終値!A162="","",IF(AND(高値!R162&gt;高値!Q162,高値!R162&gt;高値!P162,高値!R162&gt;高値!S162,高値!R162&gt;高値!T162),13,""))</f>
        <v/>
      </c>
      <c r="AO162" s="503" t="str">
        <f>IF(終値!A162="","",IF(AND(高値!S162&gt;高値!R162,高値!S162&gt;高値!Q162,高値!S162&gt;高値!T162,高値!S162&gt;高値!U162),14,""))</f>
        <v/>
      </c>
      <c r="AP162" s="503">
        <f>IF(終値!A162="","",IF(AND(高値!T162&gt;高値!S162,高値!T162&gt;高値!R162,高値!T162&gt;高値!U162,高値!T162&gt;高値!V162),15,""))</f>
        <v>15</v>
      </c>
      <c r="AQ162" s="503" t="str">
        <f>IF(終値!A162="","",IF(AND(高値!U162&gt;高値!T162,高値!U162&gt;高値!S162,高値!U162&gt;高値!V162,高値!U162&gt;高値!W162),16,""))</f>
        <v/>
      </c>
      <c r="AR162" s="503" t="str">
        <f>IF(終値!A162="","",IF(AND(高値!V162&gt;高値!U162,高値!V162&gt;高値!T162,高値!V162&gt;高値!W162,高値!V162&gt;高値!X162),17,""))</f>
        <v/>
      </c>
      <c r="AS162" s="503" t="str">
        <f>IF(終値!A162="","",IF(AND(高値!W162&gt;高値!V162,高値!W162&gt;高値!U162,高値!W162&gt;高値!X162,高値!W162&gt;高値!Y162),18,""))</f>
        <v/>
      </c>
      <c r="AT162" s="503" t="str">
        <f>IF(終値!A162="","",IF(AND(高値!X162&gt;高値!W162,高値!X162&gt;高値!V162,高値!X162&gt;高値!Y162,高値!X162&gt;高値!Z162),19,""))</f>
        <v/>
      </c>
      <c r="AU162" s="503" t="str">
        <f>IF(終値!A162="","",IF(AND(高値!Y162&gt;高値!X162,高値!Y162&gt;高値!W162,高値!Y162&gt;高値!Z162,高値!Y162&gt;高値!AA162),20,""))</f>
        <v/>
      </c>
      <c r="AV162" s="503" t="str">
        <f>IF(終値!A162="","",IF(AND(高値!Z162&gt;高値!Y162,高値!Z162&gt;高値!X162,高値!Z162&gt;高値!AA162,高値!Z162&gt;高値!AB162),21,""))</f>
        <v/>
      </c>
      <c r="AW162" s="503" t="str">
        <f>IF(終値!A162="","",IF(AND(高値!AA162&gt;高値!Z162,高値!AA162&gt;高値!Y162,高値!AA162&gt;高値!AB162,高値!AA162&gt;高値!AC162),22,""))</f>
        <v/>
      </c>
      <c r="AX162" s="503" t="str">
        <f>IF(終値!A162="","",IF(AND(高値!AB162&gt;高値!AA162,高値!AB162&gt;高値!Z162,高値!AB162&gt;高値!AC162,高値!AB162&gt;高値!AD162),23,""))</f>
        <v/>
      </c>
      <c r="AY162" s="503" t="str">
        <f>IF(終値!A162="","",IF(AND(高値!AC162&gt;高値!AB162,高値!AC162&gt;高値!AA162,高値!AC162&gt;高値!AD162,高値!AC162&gt;高値!AE162),24,""))</f>
        <v/>
      </c>
      <c r="AZ162" s="503" t="str">
        <f>IF(終値!A162="","",IF(AND(高値!AD162&gt;高値!AC162,高値!AD162&gt;高値!AB162,高値!AD162&gt;高値!AE162,高値!AD162&gt;高値!AF162),25,""))</f>
        <v/>
      </c>
      <c r="BA162" s="503" t="str">
        <f>IF(終値!A162="","",IF(AND(高値!AE162&gt;高値!AD162,高値!AE162&gt;高値!AC162,高値!AE162&gt;高値!AF162,高値!AE162&gt;高値!AG162),26,""))</f>
        <v/>
      </c>
      <c r="BB162" s="503" t="str">
        <f>IF(終値!A162="","",IF(AND(高値!AF162&gt;高値!AE162,高値!AF162&gt;高値!AD162,高値!AF162&gt;高値!AG162,高値!AF162&gt;高値!AH162),27,""))</f>
        <v/>
      </c>
      <c r="BC162" s="503">
        <f>IF(終値!A162="","",IF(AND(高値!AG162&gt;高値!AF162,高値!AG162&gt;高値!AE162,高値!AG162&gt;高値!AH162,高値!AG162&gt;高値!AI162),28,""))</f>
        <v>28</v>
      </c>
      <c r="BD162" s="503">
        <f t="shared" si="12"/>
        <v>4</v>
      </c>
      <c r="BE162" s="503">
        <f t="shared" si="13"/>
        <v>9</v>
      </c>
      <c r="BF162" s="503">
        <f t="shared" si="14"/>
        <v>13</v>
      </c>
      <c r="BG162" s="503">
        <f>IF($BE162="","",INDEX(安値!$E162:$CZ162,1,$BE162+1))</f>
        <v>0</v>
      </c>
      <c r="BH162" s="503">
        <f>IF($BF162="","",INDEX(安値!$E162:$CZ162,1,$BF162+1))</f>
        <v>4355</v>
      </c>
      <c r="BI162" s="503">
        <f>IF($BF162="","",MAX(INDEX(高値!$E162:$CZ162,1,$BE162+1):INDEX(高値!$E162:$CZ162,1,$BF162+1)))</f>
        <v>4480</v>
      </c>
      <c r="BJ162" s="503">
        <f>IF($BF162="","",AVERAGE(INDEX(終値!$E162:$CZ162,1,$BF162+1):INDEX(終値!$E162:$CZ162,1,$BF162+20))-2*STDEVP(INDEX(終値!$E162:$CZ162,1,$BF162+1):INDEX(終値!$E162:$CZ162,1,$BF162+20)))</f>
        <v>4298.5573696447354</v>
      </c>
      <c r="BK162" s="503">
        <f>IF($BE162="","",AVERAGE(INDEX(終値!$E162:$CZ162,1,$BE162+1):INDEX(終値!$E162:$CZ162,1,$BE162+20))-2*STDEVP(INDEX(終値!$E162:$CZ162,1,$BE162+1):INDEX(終値!$E162:$CZ162,1,$BE162+20)))</f>
        <v>4289.5523279686859</v>
      </c>
      <c r="BL162" s="503">
        <f t="shared" si="15"/>
        <v>3</v>
      </c>
      <c r="BM162" s="503">
        <f t="shared" si="16"/>
        <v>8</v>
      </c>
      <c r="BN162" s="503">
        <f t="shared" si="17"/>
        <v>15</v>
      </c>
      <c r="BO162" s="503">
        <f>IF($BM162="","",INDEX(高値!$E162:$CZ162,1,$BM162+1))</f>
        <v>4680</v>
      </c>
      <c r="BP162" s="503">
        <f>IF($BN162="","",INDEX(高値!$E162:$CZ162,1,$BN162+1))</f>
        <v>4415</v>
      </c>
      <c r="BQ162" s="503">
        <f>IF($BN162="","",MIN(INDEX(安値!$E162:$CZ162,1,$BM162+1):INDEX(安値!$E162:$CZ162,1,$BN162+1)))</f>
        <v>4355</v>
      </c>
      <c r="BR162" s="503">
        <f>IF($BN162="","",AVERAGE(INDEX(終値!$E162:$CZ162,1,$BN162+1):INDEX(終値!$E162:$CZ162,1,$BN162+20))+2*STDEVP(INDEX(終値!$E162:$CZ162,1,$BN162+1):INDEX(終値!$E162:$CZ162,1,$BN162+20)))</f>
        <v>4401.7071423776924</v>
      </c>
      <c r="BS162" s="503">
        <f>IF($BM162="","",AVERAGE(INDEX(終値!$E162:$CZ162,1,$BM162+1):INDEX(終値!$E162:$CZ162,1,$BM162+20))+2*STDEVP(INDEX(終値!$E162:$CZ162,1,$BM162+1):INDEX(終値!$E162:$CZ162,1,$BM162+20)))</f>
        <v>4523.479630201482</v>
      </c>
      <c r="BT162" s="500"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3" t="str">
        <f>IF(終値!A163="","",IF(AND(安値!G163&lt;安値!F163,安値!G163&lt;安値!E163,安値!G163&lt;安値!H163,安値!G163&lt;安値!I163),2,""))</f>
        <v/>
      </c>
      <c r="C163" s="503" t="str">
        <f>IF(終値!A163="","",IF(AND(安値!H163&lt;安値!G163,安値!H163&lt;安値!F163,安値!H163&lt;安値!I163,安値!H163&lt;安値!J163),3,""))</f>
        <v/>
      </c>
      <c r="D163" s="503" t="str">
        <f>IF(終値!A163="","",IF(AND(安値!I163&lt;安値!H163,安値!I163&lt;安値!G163,安値!I163&lt;安値!J163,安値!I163&lt;安値!K163),4,""))</f>
        <v/>
      </c>
      <c r="E163" s="503">
        <f>IF(終値!A163="","",IF(AND(安値!J163&lt;安値!I163,安値!J163&lt;安値!H163,安値!J163&lt;安値!K163,安値!J163&lt;安値!L163),5,""))</f>
        <v>5</v>
      </c>
      <c r="F163" s="503" t="str">
        <f>IF(終値!A163="","",IF(AND(安値!K163&lt;安値!J163,安値!K163&lt;安値!I163,安値!K163&lt;安値!L163,安値!K163&lt;安値!M163),6,""))</f>
        <v/>
      </c>
      <c r="G163" s="503" t="str">
        <f>IF(終値!A163="","",IF(AND(安値!L163&lt;安値!K163,安値!L163&lt;安値!J163,安値!L163&lt;安値!M163,安値!L163&lt;安値!N163),7,""))</f>
        <v/>
      </c>
      <c r="H163" s="503" t="str">
        <f>IF(終値!A163="","",IF(AND(安値!M163&lt;安値!L163,安値!M163&lt;安値!K163,安値!M163&lt;安値!N163,安値!M163&lt;安値!O163),8,""))</f>
        <v/>
      </c>
      <c r="I163" s="503" t="str">
        <f>IF(終値!A163="","",IF(AND(安値!N163&lt;安値!M163,安値!N163&lt;安値!L163,安値!N163&lt;安値!O163,安値!N163&lt;安値!P163),9,""))</f>
        <v/>
      </c>
      <c r="J163" s="503" t="str">
        <f>IF(終値!A163="","",IF(AND(安値!O163&lt;安値!N163,安値!O163&lt;安値!M163,安値!O163&lt;安値!P163,安値!O163&lt;安値!Q163),10,""))</f>
        <v/>
      </c>
      <c r="K163" s="503" t="str">
        <f>IF(終値!A163="","",IF(AND(安値!P163&lt;安値!O163,安値!P163&lt;安値!N163,安値!P163&lt;安値!Q163,安値!P163&lt;安値!R163),11,""))</f>
        <v/>
      </c>
      <c r="L163" s="503" t="str">
        <f>IF(終値!A163="","",IF(AND(安値!Q163&lt;安値!P163,安値!Q163&lt;安値!O163,安値!Q163&lt;安値!R163,安値!Q163&lt;安値!S163),12,""))</f>
        <v/>
      </c>
      <c r="M163" s="503">
        <f>IF(終値!A163="","",IF(AND(安値!R163&lt;安値!Q163,安値!R163&lt;安値!P163,安値!R163&lt;安値!S163,安値!R163&lt;安値!T163),13,""))</f>
        <v>13</v>
      </c>
      <c r="N163" s="503" t="str">
        <f>IF(終値!A163="","",IF(AND(安値!S163&lt;安値!R163,安値!S163&lt;安値!Q163,安値!S163&lt;安値!T163,安値!S163&lt;安値!U163),14,""))</f>
        <v/>
      </c>
      <c r="O163" s="503" t="str">
        <f>IF(終値!A163="","",IF(AND(安値!T163&lt;安値!S163,安値!T163&lt;安値!R163,安値!T163&lt;安値!U163,安値!T163&lt;安値!V163),15,""))</f>
        <v/>
      </c>
      <c r="P163" s="503" t="str">
        <f>IF(終値!A163="","",IF(AND(安値!U163&lt;安値!T163,安値!U163&lt;安値!S163,安値!U163&lt;安値!V163,安値!U163&lt;安値!W163),16,""))</f>
        <v/>
      </c>
      <c r="Q163" s="503" t="str">
        <f>IF(終値!A163="","",IF(AND(安値!V163&lt;安値!U163,安値!V163&lt;安値!T163,安値!V163&lt;安値!W163,安値!V163&lt;安値!X163),17,""))</f>
        <v/>
      </c>
      <c r="R163" s="503" t="str">
        <f>IF(終値!A163="","",IF(AND(安値!W163&lt;安値!V163,安値!W163&lt;安値!U163,安値!W163&lt;安値!X163,安値!W163&lt;安値!Y163),18,""))</f>
        <v/>
      </c>
      <c r="S163" s="503" t="str">
        <f>IF(終値!A163="","",IF(AND(安値!X163&lt;安値!W163,安値!X163&lt;安値!V163,安値!X163&lt;安値!Y163,安値!X163&lt;安値!Z163),19,""))</f>
        <v/>
      </c>
      <c r="T163" s="503" t="str">
        <f>IF(終値!A163="","",IF(AND(安値!Y163&lt;安値!X163,安値!Y163&lt;安値!W163,安値!Y163&lt;安値!Z163,安値!Y163&lt;安値!AA163),20,""))</f>
        <v/>
      </c>
      <c r="U163" s="503" t="str">
        <f>IF(終値!A163="","",IF(AND(安値!Z163&lt;安値!Y163,安値!Z163&lt;安値!X163,安値!Z163&lt;安値!AA163,安値!Z163&lt;安値!AB163),21,""))</f>
        <v/>
      </c>
      <c r="V163" s="503" t="str">
        <f>IF(終値!A163="","",IF(AND(安値!AA163&lt;安値!Z163,安値!AA163&lt;安値!Y163,安値!AA163&lt;安値!AB163,安値!AA163&lt;安値!AC163),22,""))</f>
        <v/>
      </c>
      <c r="W163" s="503" t="str">
        <f>IF(終値!A163="","",IF(AND(安値!AB163&lt;安値!AA163,安値!AB163&lt;安値!Z163,安値!AB163&lt;安値!AC163,安値!AB163&lt;安値!AD163),23,""))</f>
        <v/>
      </c>
      <c r="X163" s="503" t="str">
        <f>IF(終値!A163="","",IF(AND(安値!AC163&lt;安値!AB163,安値!AC163&lt;安値!AA163,安値!AC163&lt;安値!AD163,安値!AC163&lt;安値!AE163),24,""))</f>
        <v/>
      </c>
      <c r="Y163" s="503">
        <f>IF(終値!A163="","",IF(AND(安値!AD163&lt;安値!AC163,安値!AD163&lt;安値!AB163,安値!AD163&lt;安値!AE163,安値!AD163&lt;安値!AF163),25,""))</f>
        <v>25</v>
      </c>
      <c r="Z163" s="503" t="str">
        <f>IF(終値!A163="","",IF(AND(安値!AE163&lt;安値!AD163,安値!AE163&lt;安値!AC163,安値!AE163&lt;安値!AF163,安値!AE163&lt;安値!AG163),26,""))</f>
        <v/>
      </c>
      <c r="AA163" s="503" t="str">
        <f>IF(終値!A163="","",IF(AND(安値!AF163&lt;安値!AE163,安値!AF163&lt;安値!AD163,安値!AF163&lt;安値!AG163,安値!AF163&lt;安値!AH163),27,""))</f>
        <v/>
      </c>
      <c r="AB163" s="503" t="str">
        <f>IF(終値!A163="","",IF(AND(安値!AG163&lt;安値!AF163,安値!AG163&lt;安値!AE163,安値!AG163&lt;安値!AH163,安値!AG163&lt;安値!AI163),28,""))</f>
        <v/>
      </c>
      <c r="AC163" s="503" t="str">
        <f>IF(終値!A163="","",IF(AND(高値!G163&gt;高値!F163,高値!G163&gt;高値!E163,高値!G163&gt;高値!H163,高値!G163&gt;高値!I163),2,""))</f>
        <v/>
      </c>
      <c r="AD163" s="503" t="str">
        <f>IF(終値!A163="","",IF(AND(高値!H163&gt;高値!G163,高値!H163&gt;高値!F163,高値!H163&gt;高値!I163,高値!H163&gt;高値!J163),3,""))</f>
        <v/>
      </c>
      <c r="AE163" s="503" t="str">
        <f>IF(終値!A163="","",IF(AND(高値!I163&gt;高値!H163,高値!I163&gt;高値!G163,高値!I163&gt;高値!J163,高値!I163&gt;高値!K163),4,""))</f>
        <v/>
      </c>
      <c r="AF163" s="503" t="str">
        <f>IF(終値!A163="","",IF(AND(高値!J163&gt;高値!I163,高値!J163&gt;高値!H163,高値!J163&gt;高値!K163,高値!J163&gt;高値!L163),5,""))</f>
        <v/>
      </c>
      <c r="AG163" s="503" t="str">
        <f>IF(終値!A163="","",IF(AND(高値!K163&gt;高値!J163,高値!K163&gt;高値!I163,高値!K163&gt;高値!L163,高値!K163&gt;高値!M163),6,""))</f>
        <v/>
      </c>
      <c r="AH163" s="503">
        <f>IF(終値!A163="","",IF(AND(高値!L163&gt;高値!K163,高値!L163&gt;高値!J163,高値!L163&gt;高値!M163,高値!L163&gt;高値!N163),7,""))</f>
        <v>7</v>
      </c>
      <c r="AI163" s="503" t="str">
        <f>IF(終値!A163="","",IF(AND(高値!M163&gt;高値!L163,高値!M163&gt;高値!K163,高値!M163&gt;高値!N163,高値!M163&gt;高値!O163),8,""))</f>
        <v/>
      </c>
      <c r="AJ163" s="503" t="str">
        <f>IF(終値!A163="","",IF(AND(高値!N163&gt;高値!M163,高値!N163&gt;高値!L163,高値!N163&gt;高値!O163,高値!N163&gt;高値!P163),9,""))</f>
        <v/>
      </c>
      <c r="AK163" s="503" t="str">
        <f>IF(終値!A163="","",IF(AND(高値!O163&gt;高値!N163,高値!O163&gt;高値!M163,高値!O163&gt;高値!P163,高値!O163&gt;高値!Q163),10,""))</f>
        <v/>
      </c>
      <c r="AL163" s="503" t="str">
        <f>IF(終値!A163="","",IF(AND(高値!P163&gt;高値!O163,高値!P163&gt;高値!N163,高値!P163&gt;高値!Q163,高値!P163&gt;高値!R163),11,""))</f>
        <v/>
      </c>
      <c r="AM163" s="503" t="str">
        <f>IF(終値!A163="","",IF(AND(高値!Q163&gt;高値!P163,高値!Q163&gt;高値!O163,高値!Q163&gt;高値!R163,高値!Q163&gt;高値!S163),12,""))</f>
        <v/>
      </c>
      <c r="AN163" s="503" t="str">
        <f>IF(終値!A163="","",IF(AND(高値!R163&gt;高値!Q163,高値!R163&gt;高値!P163,高値!R163&gt;高値!S163,高値!R163&gt;高値!T163),13,""))</f>
        <v/>
      </c>
      <c r="AO163" s="503" t="str">
        <f>IF(終値!A163="","",IF(AND(高値!S163&gt;高値!R163,高値!S163&gt;高値!Q163,高値!S163&gt;高値!T163,高値!S163&gt;高値!U163),14,""))</f>
        <v/>
      </c>
      <c r="AP163" s="503" t="str">
        <f>IF(終値!A163="","",IF(AND(高値!T163&gt;高値!S163,高値!T163&gt;高値!R163,高値!T163&gt;高値!U163,高値!T163&gt;高値!V163),15,""))</f>
        <v/>
      </c>
      <c r="AQ163" s="503" t="str">
        <f>IF(終値!A163="","",IF(AND(高値!U163&gt;高値!T163,高値!U163&gt;高値!S163,高値!U163&gt;高値!V163,高値!U163&gt;高値!W163),16,""))</f>
        <v/>
      </c>
      <c r="AR163" s="503">
        <f>IF(終値!A163="","",IF(AND(高値!V163&gt;高値!U163,高値!V163&gt;高値!T163,高値!V163&gt;高値!W163,高値!V163&gt;高値!X163),17,""))</f>
        <v>17</v>
      </c>
      <c r="AS163" s="503" t="str">
        <f>IF(終値!A163="","",IF(AND(高値!W163&gt;高値!V163,高値!W163&gt;高値!U163,高値!W163&gt;高値!X163,高値!W163&gt;高値!Y163),18,""))</f>
        <v/>
      </c>
      <c r="AT163" s="503" t="str">
        <f>IF(終値!A163="","",IF(AND(高値!X163&gt;高値!W163,高値!X163&gt;高値!V163,高値!X163&gt;高値!Y163,高値!X163&gt;高値!Z163),19,""))</f>
        <v/>
      </c>
      <c r="AU163" s="503">
        <f>IF(終値!A163="","",IF(AND(高値!Y163&gt;高値!X163,高値!Y163&gt;高値!W163,高値!Y163&gt;高値!Z163,高値!Y163&gt;高値!AA163),20,""))</f>
        <v>20</v>
      </c>
      <c r="AV163" s="503" t="str">
        <f>IF(終値!A163="","",IF(AND(高値!Z163&gt;高値!Y163,高値!Z163&gt;高値!X163,高値!Z163&gt;高値!AA163,高値!Z163&gt;高値!AB163),21,""))</f>
        <v/>
      </c>
      <c r="AW163" s="503" t="str">
        <f>IF(終値!A163="","",IF(AND(高値!AA163&gt;高値!Z163,高値!AA163&gt;高値!Y163,高値!AA163&gt;高値!AB163,高値!AA163&gt;高値!AC163),22,""))</f>
        <v/>
      </c>
      <c r="AX163" s="503" t="str">
        <f>IF(終値!A163="","",IF(AND(高値!AB163&gt;高値!AA163,高値!AB163&gt;高値!Z163,高値!AB163&gt;高値!AC163,高値!AB163&gt;高値!AD163),23,""))</f>
        <v/>
      </c>
      <c r="AY163" s="503" t="str">
        <f>IF(終値!A163="","",IF(AND(高値!AC163&gt;高値!AB163,高値!AC163&gt;高値!AA163,高値!AC163&gt;高値!AD163,高値!AC163&gt;高値!AE163),24,""))</f>
        <v/>
      </c>
      <c r="AZ163" s="503" t="str">
        <f>IF(終値!A163="","",IF(AND(高値!AD163&gt;高値!AC163,高値!AD163&gt;高値!AB163,高値!AD163&gt;高値!AE163,高値!AD163&gt;高値!AF163),25,""))</f>
        <v/>
      </c>
      <c r="BA163" s="503">
        <f>IF(終値!A163="","",IF(AND(高値!AE163&gt;高値!AD163,高値!AE163&gt;高値!AC163,高値!AE163&gt;高値!AF163,高値!AE163&gt;高値!AG163),26,""))</f>
        <v>26</v>
      </c>
      <c r="BB163" s="503" t="str">
        <f>IF(終値!A163="","",IF(AND(高値!AF163&gt;高値!AE163,高値!AF163&gt;高値!AD163,高値!AF163&gt;高値!AG163,高値!AF163&gt;高値!AH163),27,""))</f>
        <v/>
      </c>
      <c r="BC163" s="503" t="str">
        <f>IF(終値!A163="","",IF(AND(高値!AG163&gt;高値!AF163,高値!AG163&gt;高値!AE163,高値!AG163&gt;高値!AH163,高値!AG163&gt;高値!AI163),28,""))</f>
        <v/>
      </c>
      <c r="BD163" s="503">
        <f t="shared" si="12"/>
        <v>3</v>
      </c>
      <c r="BE163" s="503">
        <f t="shared" si="13"/>
        <v>5</v>
      </c>
      <c r="BF163" s="503">
        <f t="shared" si="14"/>
        <v>13</v>
      </c>
      <c r="BG163" s="503">
        <f>IF($BE163="","",INDEX(安値!$E163:$CZ163,1,$BE163+1))</f>
        <v>1431</v>
      </c>
      <c r="BH163" s="503">
        <f>IF($BF163="","",INDEX(安値!$E163:$CZ163,1,$BF163+1))</f>
        <v>1529</v>
      </c>
      <c r="BI163" s="503">
        <f>IF($BF163="","",MAX(INDEX(高値!$E163:$CZ163,1,$BE163+1):INDEX(高値!$E163:$CZ163,1,$BF163+1)))</f>
        <v>1733</v>
      </c>
      <c r="BJ163" s="503">
        <f>IF($BF163="","",AVERAGE(INDEX(終値!$E163:$CZ163,1,$BF163+1):INDEX(終値!$E163:$CZ163,1,$BF163+20))-2*STDEVP(INDEX(終値!$E163:$CZ163,1,$BF163+1):INDEX(終値!$E163:$CZ163,1,$BF163+20)))</f>
        <v>1565.9607071175251</v>
      </c>
      <c r="BK163" s="503">
        <f>IF($BE163="","",AVERAGE(INDEX(終値!$E163:$CZ163,1,$BE163+1):INDEX(終値!$E163:$CZ163,1,$BE163+20))-2*STDEVP(INDEX(終値!$E163:$CZ163,1,$BE163+1):INDEX(終値!$E163:$CZ163,1,$BE163+20)))</f>
        <v>1474.9951943468</v>
      </c>
      <c r="BL163" s="503">
        <f t="shared" si="15"/>
        <v>4</v>
      </c>
      <c r="BM163" s="503">
        <f t="shared" si="16"/>
        <v>7</v>
      </c>
      <c r="BN163" s="503">
        <f t="shared" si="17"/>
        <v>17</v>
      </c>
      <c r="BO163" s="503">
        <f>IF($BM163="","",INDEX(高値!$E163:$CZ163,1,$BM163+1))</f>
        <v>1733</v>
      </c>
      <c r="BP163" s="503">
        <f>IF($BN163="","",INDEX(高値!$E163:$CZ163,1,$BN163+1))</f>
        <v>1670</v>
      </c>
      <c r="BQ163" s="503">
        <f>IF($BN163="","",MIN(INDEX(安値!$E163:$CZ163,1,$BM163+1):INDEX(安値!$E163:$CZ163,1,$BN163+1)))</f>
        <v>1467</v>
      </c>
      <c r="BR163" s="503">
        <f>IF($BN163="","",AVERAGE(INDEX(終値!$E163:$CZ163,1,$BN163+1):INDEX(終値!$E163:$CZ163,1,$BN163+20))+2*STDEVP(INDEX(終値!$E163:$CZ163,1,$BN163+1):INDEX(終値!$E163:$CZ163,1,$BN163+20)))</f>
        <v>1749.8777347386781</v>
      </c>
      <c r="BS163" s="503">
        <f>IF($BM163="","",AVERAGE(INDEX(終値!$E163:$CZ163,1,$BM163+1):INDEX(終値!$E163:$CZ163,1,$BM163+20))+2*STDEVP(INDEX(終値!$E163:$CZ163,1,$BM163+1):INDEX(終値!$E163:$CZ163,1,$BM163+20)))</f>
        <v>1715.3199429139872</v>
      </c>
      <c r="BT163" s="500"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二番天井M形成</v>
      </c>
    </row>
    <row r="164" spans="2:72">
      <c r="B164" s="503" t="str">
        <f>IF(終値!A164="","",IF(AND(安値!G164&lt;安値!F164,安値!G164&lt;安値!E164,安値!G164&lt;安値!H164,安値!G164&lt;安値!I164),2,""))</f>
        <v/>
      </c>
      <c r="C164" s="503" t="str">
        <f>IF(終値!A164="","",IF(AND(安値!H164&lt;安値!G164,安値!H164&lt;安値!F164,安値!H164&lt;安値!I164,安値!H164&lt;安値!J164),3,""))</f>
        <v/>
      </c>
      <c r="D164" s="503" t="str">
        <f>IF(終値!A164="","",IF(AND(安値!I164&lt;安値!H164,安値!I164&lt;安値!G164,安値!I164&lt;安値!J164,安値!I164&lt;安値!K164),4,""))</f>
        <v/>
      </c>
      <c r="E164" s="503">
        <f>IF(終値!A164="","",IF(AND(安値!J164&lt;安値!I164,安値!J164&lt;安値!H164,安値!J164&lt;安値!K164,安値!J164&lt;安値!L164),5,""))</f>
        <v>5</v>
      </c>
      <c r="F164" s="503" t="str">
        <f>IF(終値!A164="","",IF(AND(安値!K164&lt;安値!J164,安値!K164&lt;安値!I164,安値!K164&lt;安値!L164,安値!K164&lt;安値!M164),6,""))</f>
        <v/>
      </c>
      <c r="G164" s="503" t="str">
        <f>IF(終値!A164="","",IF(AND(安値!L164&lt;安値!K164,安値!L164&lt;安値!J164,安値!L164&lt;安値!M164,安値!L164&lt;安値!N164),7,""))</f>
        <v/>
      </c>
      <c r="H164" s="503" t="str">
        <f>IF(終値!A164="","",IF(AND(安値!M164&lt;安値!L164,安値!M164&lt;安値!K164,安値!M164&lt;安値!N164,安値!M164&lt;安値!O164),8,""))</f>
        <v/>
      </c>
      <c r="I164" s="503" t="str">
        <f>IF(終値!A164="","",IF(AND(安値!N164&lt;安値!M164,安値!N164&lt;安値!L164,安値!N164&lt;安値!O164,安値!N164&lt;安値!P164),9,""))</f>
        <v/>
      </c>
      <c r="J164" s="503" t="str">
        <f>IF(終値!A164="","",IF(AND(安値!O164&lt;安値!N164,安値!O164&lt;安値!M164,安値!O164&lt;安値!P164,安値!O164&lt;安値!Q164),10,""))</f>
        <v/>
      </c>
      <c r="K164" s="503" t="str">
        <f>IF(終値!A164="","",IF(AND(安値!P164&lt;安値!O164,安値!P164&lt;安値!N164,安値!P164&lt;安値!Q164,安値!P164&lt;安値!R164),11,""))</f>
        <v/>
      </c>
      <c r="L164" s="503" t="str">
        <f>IF(終値!A164="","",IF(AND(安値!Q164&lt;安値!P164,安値!Q164&lt;安値!O164,安値!Q164&lt;安値!R164,安値!Q164&lt;安値!S164),12,""))</f>
        <v/>
      </c>
      <c r="M164" s="503">
        <f>IF(終値!A164="","",IF(AND(安値!R164&lt;安値!Q164,安値!R164&lt;安値!P164,安値!R164&lt;安値!S164,安値!R164&lt;安値!T164),13,""))</f>
        <v>13</v>
      </c>
      <c r="N164" s="503" t="str">
        <f>IF(終値!A164="","",IF(AND(安値!S164&lt;安値!R164,安値!S164&lt;安値!Q164,安値!S164&lt;安値!T164,安値!S164&lt;安値!U164),14,""))</f>
        <v/>
      </c>
      <c r="O164" s="503" t="str">
        <f>IF(終値!A164="","",IF(AND(安値!T164&lt;安値!S164,安値!T164&lt;安値!R164,安値!T164&lt;安値!U164,安値!T164&lt;安値!V164),15,""))</f>
        <v/>
      </c>
      <c r="P164" s="503" t="str">
        <f>IF(終値!A164="","",IF(AND(安値!U164&lt;安値!T164,安値!U164&lt;安値!S164,安値!U164&lt;安値!V164,安値!U164&lt;安値!W164),16,""))</f>
        <v/>
      </c>
      <c r="Q164" s="503" t="str">
        <f>IF(終値!A164="","",IF(AND(安値!V164&lt;安値!U164,安値!V164&lt;安値!T164,安値!V164&lt;安値!W164,安値!V164&lt;安値!X164),17,""))</f>
        <v/>
      </c>
      <c r="R164" s="503">
        <f>IF(終値!A164="","",IF(AND(安値!W164&lt;安値!V164,安値!W164&lt;安値!U164,安値!W164&lt;安値!X164,安値!W164&lt;安値!Y164),18,""))</f>
        <v>18</v>
      </c>
      <c r="S164" s="503" t="str">
        <f>IF(終値!A164="","",IF(AND(安値!X164&lt;安値!W164,安値!X164&lt;安値!V164,安値!X164&lt;安値!Y164,安値!X164&lt;安値!Z164),19,""))</f>
        <v/>
      </c>
      <c r="T164" s="503" t="str">
        <f>IF(終値!A164="","",IF(AND(安値!Y164&lt;安値!X164,安値!Y164&lt;安値!W164,安値!Y164&lt;安値!Z164,安値!Y164&lt;安値!AA164),20,""))</f>
        <v/>
      </c>
      <c r="U164" s="503" t="str">
        <f>IF(終値!A164="","",IF(AND(安値!Z164&lt;安値!Y164,安値!Z164&lt;安値!X164,安値!Z164&lt;安値!AA164,安値!Z164&lt;安値!AB164),21,""))</f>
        <v/>
      </c>
      <c r="V164" s="503" t="str">
        <f>IF(終値!A164="","",IF(AND(安値!AA164&lt;安値!Z164,安値!AA164&lt;安値!Y164,安値!AA164&lt;安値!AB164,安値!AA164&lt;安値!AC164),22,""))</f>
        <v/>
      </c>
      <c r="W164" s="503" t="str">
        <f>IF(終値!A164="","",IF(AND(安値!AB164&lt;安値!AA164,安値!AB164&lt;安値!Z164,安値!AB164&lt;安値!AC164,安値!AB164&lt;安値!AD164),23,""))</f>
        <v/>
      </c>
      <c r="X164" s="503" t="str">
        <f>IF(終値!A164="","",IF(AND(安値!AC164&lt;安値!AB164,安値!AC164&lt;安値!AA164,安値!AC164&lt;安値!AD164,安値!AC164&lt;安値!AE164),24,""))</f>
        <v/>
      </c>
      <c r="Y164" s="503" t="str">
        <f>IF(終値!A164="","",IF(AND(安値!AD164&lt;安値!AC164,安値!AD164&lt;安値!AB164,安値!AD164&lt;安値!AE164,安値!AD164&lt;安値!AF164),25,""))</f>
        <v/>
      </c>
      <c r="Z164" s="503">
        <f>IF(終値!A164="","",IF(AND(安値!AE164&lt;安値!AD164,安値!AE164&lt;安値!AC164,安値!AE164&lt;安値!AF164,安値!AE164&lt;安値!AG164),26,""))</f>
        <v>26</v>
      </c>
      <c r="AA164" s="503" t="str">
        <f>IF(終値!A164="","",IF(AND(安値!AF164&lt;安値!AE164,安値!AF164&lt;安値!AD164,安値!AF164&lt;安値!AG164,安値!AF164&lt;安値!AH164),27,""))</f>
        <v/>
      </c>
      <c r="AB164" s="503" t="str">
        <f>IF(終値!A164="","",IF(AND(安値!AG164&lt;安値!AF164,安値!AG164&lt;安値!AE164,安値!AG164&lt;安値!AH164,安値!AG164&lt;安値!AI164),28,""))</f>
        <v/>
      </c>
      <c r="AC164" s="503" t="str">
        <f>IF(終値!A164="","",IF(AND(高値!G164&gt;高値!F164,高値!G164&gt;高値!E164,高値!G164&gt;高値!H164,高値!G164&gt;高値!I164),2,""))</f>
        <v/>
      </c>
      <c r="AD164" s="503" t="str">
        <f>IF(終値!A164="","",IF(AND(高値!H164&gt;高値!G164,高値!H164&gt;高値!F164,高値!H164&gt;高値!I164,高値!H164&gt;高値!J164),3,""))</f>
        <v/>
      </c>
      <c r="AE164" s="503" t="str">
        <f>IF(終値!A164="","",IF(AND(高値!I164&gt;高値!H164,高値!I164&gt;高値!G164,高値!I164&gt;高値!J164,高値!I164&gt;高値!K164),4,""))</f>
        <v/>
      </c>
      <c r="AF164" s="503" t="str">
        <f>IF(終値!A164="","",IF(AND(高値!J164&gt;高値!I164,高値!J164&gt;高値!H164,高値!J164&gt;高値!K164,高値!J164&gt;高値!L164),5,""))</f>
        <v/>
      </c>
      <c r="AG164" s="503" t="str">
        <f>IF(終値!A164="","",IF(AND(高値!K164&gt;高値!J164,高値!K164&gt;高値!I164,高値!K164&gt;高値!L164,高値!K164&gt;高値!M164),6,""))</f>
        <v/>
      </c>
      <c r="AH164" s="503" t="str">
        <f>IF(終値!A164="","",IF(AND(高値!L164&gt;高値!K164,高値!L164&gt;高値!J164,高値!L164&gt;高値!M164,高値!L164&gt;高値!N164),7,""))</f>
        <v/>
      </c>
      <c r="AI164" s="503" t="str">
        <f>IF(終値!A164="","",IF(AND(高値!M164&gt;高値!L164,高値!M164&gt;高値!K164,高値!M164&gt;高値!N164,高値!M164&gt;高値!O164),8,""))</f>
        <v/>
      </c>
      <c r="AJ164" s="503" t="str">
        <f>IF(終値!A164="","",IF(AND(高値!N164&gt;高値!M164,高値!N164&gt;高値!L164,高値!N164&gt;高値!O164,高値!N164&gt;高値!P164),9,""))</f>
        <v/>
      </c>
      <c r="AK164" s="503">
        <f>IF(終値!A164="","",IF(AND(高値!O164&gt;高値!N164,高値!O164&gt;高値!M164,高値!O164&gt;高値!P164,高値!O164&gt;高値!Q164),10,""))</f>
        <v>10</v>
      </c>
      <c r="AL164" s="503" t="str">
        <f>IF(終値!A164="","",IF(AND(高値!P164&gt;高値!O164,高値!P164&gt;高値!N164,高値!P164&gt;高値!Q164,高値!P164&gt;高値!R164),11,""))</f>
        <v/>
      </c>
      <c r="AM164" s="503" t="str">
        <f>IF(終値!A164="","",IF(AND(高値!Q164&gt;高値!P164,高値!Q164&gt;高値!O164,高値!Q164&gt;高値!R164,高値!Q164&gt;高値!S164),12,""))</f>
        <v/>
      </c>
      <c r="AN164" s="503" t="str">
        <f>IF(終値!A164="","",IF(AND(高値!R164&gt;高値!Q164,高値!R164&gt;高値!P164,高値!R164&gt;高値!S164,高値!R164&gt;高値!T164),13,""))</f>
        <v/>
      </c>
      <c r="AO164" s="503">
        <f>IF(終値!A164="","",IF(AND(高値!S164&gt;高値!R164,高値!S164&gt;高値!Q164,高値!S164&gt;高値!T164,高値!S164&gt;高値!U164),14,""))</f>
        <v>14</v>
      </c>
      <c r="AP164" s="503" t="str">
        <f>IF(終値!A164="","",IF(AND(高値!T164&gt;高値!S164,高値!T164&gt;高値!R164,高値!T164&gt;高値!U164,高値!T164&gt;高値!V164),15,""))</f>
        <v/>
      </c>
      <c r="AQ164" s="503" t="str">
        <f>IF(終値!A164="","",IF(AND(高値!U164&gt;高値!T164,高値!U164&gt;高値!S164,高値!U164&gt;高値!V164,高値!U164&gt;高値!W164),16,""))</f>
        <v/>
      </c>
      <c r="AR164" s="503" t="str">
        <f>IF(終値!A164="","",IF(AND(高値!V164&gt;高値!U164,高値!V164&gt;高値!T164,高値!V164&gt;高値!W164,高値!V164&gt;高値!X164),17,""))</f>
        <v/>
      </c>
      <c r="AS164" s="503" t="str">
        <f>IF(終値!A164="","",IF(AND(高値!W164&gt;高値!V164,高値!W164&gt;高値!U164,高値!W164&gt;高値!X164,高値!W164&gt;高値!Y164),18,""))</f>
        <v/>
      </c>
      <c r="AT164" s="503" t="str">
        <f>IF(終値!A164="","",IF(AND(高値!X164&gt;高値!W164,高値!X164&gt;高値!V164,高値!X164&gt;高値!Y164,高値!X164&gt;高値!Z164),19,""))</f>
        <v/>
      </c>
      <c r="AU164" s="503">
        <f>IF(終値!A164="","",IF(AND(高値!Y164&gt;高値!X164,高値!Y164&gt;高値!W164,高値!Y164&gt;高値!Z164,高値!Y164&gt;高値!AA164),20,""))</f>
        <v>20</v>
      </c>
      <c r="AV164" s="503" t="str">
        <f>IF(終値!A164="","",IF(AND(高値!Z164&gt;高値!Y164,高値!Z164&gt;高値!X164,高値!Z164&gt;高値!AA164,高値!Z164&gt;高値!AB164),21,""))</f>
        <v/>
      </c>
      <c r="AW164" s="503" t="str">
        <f>IF(終値!A164="","",IF(AND(高値!AA164&gt;高値!Z164,高値!AA164&gt;高値!Y164,高値!AA164&gt;高値!AB164,高値!AA164&gt;高値!AC164),22,""))</f>
        <v/>
      </c>
      <c r="AX164" s="503" t="str">
        <f>IF(終値!A164="","",IF(AND(高値!AB164&gt;高値!AA164,高値!AB164&gt;高値!Z164,高値!AB164&gt;高値!AC164,高値!AB164&gt;高値!AD164),23,""))</f>
        <v/>
      </c>
      <c r="AY164" s="503" t="str">
        <f>IF(終値!A164="","",IF(AND(高値!AC164&gt;高値!AB164,高値!AC164&gt;高値!AA164,高値!AC164&gt;高値!AD164,高値!AC164&gt;高値!AE164),24,""))</f>
        <v/>
      </c>
      <c r="AZ164" s="503" t="str">
        <f>IF(終値!A164="","",IF(AND(高値!AD164&gt;高値!AC164,高値!AD164&gt;高値!AB164,高値!AD164&gt;高値!AE164,高値!AD164&gt;高値!AF164),25,""))</f>
        <v/>
      </c>
      <c r="BA164" s="503" t="str">
        <f>IF(終値!A164="","",IF(AND(高値!AE164&gt;高値!AD164,高値!AE164&gt;高値!AC164,高値!AE164&gt;高値!AF164,高値!AE164&gt;高値!AG164),26,""))</f>
        <v/>
      </c>
      <c r="BB164" s="503" t="str">
        <f>IF(終値!A164="","",IF(AND(高値!AF164&gt;高値!AE164,高値!AF164&gt;高値!AD164,高値!AF164&gt;高値!AG164,高値!AF164&gt;高値!AH164),27,""))</f>
        <v/>
      </c>
      <c r="BC164" s="503" t="str">
        <f>IF(終値!A164="","",IF(AND(高値!AG164&gt;高値!AF164,高値!AG164&gt;高値!AE164,高値!AG164&gt;高値!AH164,高値!AG164&gt;高値!AI164),28,""))</f>
        <v/>
      </c>
      <c r="BD164" s="503">
        <f t="shared" si="12"/>
        <v>4</v>
      </c>
      <c r="BE164" s="503">
        <f t="shared" si="13"/>
        <v>5</v>
      </c>
      <c r="BF164" s="503">
        <f t="shared" si="14"/>
        <v>13</v>
      </c>
      <c r="BG164" s="503">
        <f>IF($BE164="","",INDEX(安値!$E164:$CZ164,1,$BE164+1))</f>
        <v>1172</v>
      </c>
      <c r="BH164" s="503">
        <f>IF($BF164="","",INDEX(安値!$E164:$CZ164,1,$BF164+1))</f>
        <v>1225</v>
      </c>
      <c r="BI164" s="503">
        <f>IF($BF164="","",MAX(INDEX(高値!$E164:$CZ164,1,$BE164+1):INDEX(高値!$E164:$CZ164,1,$BF164+1)))</f>
        <v>1302</v>
      </c>
      <c r="BJ164" s="503">
        <f>IF($BF164="","",AVERAGE(INDEX(終値!$E164:$CZ164,1,$BF164+1):INDEX(終値!$E164:$CZ164,1,$BF164+20))-2*STDEVP(INDEX(終値!$E164:$CZ164,1,$BF164+1):INDEX(終値!$E164:$CZ164,1,$BF164+20)))</f>
        <v>1130.4900686641965</v>
      </c>
      <c r="BK164" s="503">
        <f>IF($BE164="","",AVERAGE(INDEX(終値!$E164:$CZ164,1,$BE164+1):INDEX(終値!$E164:$CZ164,1,$BE164+20))-2*STDEVP(INDEX(終値!$E164:$CZ164,1,$BE164+1):INDEX(終値!$E164:$CZ164,1,$BE164+20)))</f>
        <v>1190.3500210970501</v>
      </c>
      <c r="BL164" s="503">
        <f t="shared" si="15"/>
        <v>3</v>
      </c>
      <c r="BM164" s="503">
        <f t="shared" si="16"/>
        <v>10</v>
      </c>
      <c r="BN164" s="503">
        <f t="shared" si="17"/>
        <v>14</v>
      </c>
      <c r="BO164" s="503">
        <f>IF($BM164="","",INDEX(高値!$E164:$CZ164,1,$BM164+1))</f>
        <v>1302</v>
      </c>
      <c r="BP164" s="503">
        <f>IF($BN164="","",INDEX(高値!$E164:$CZ164,1,$BN164+1))</f>
        <v>1314</v>
      </c>
      <c r="BQ164" s="503">
        <f>IF($BN164="","",MIN(INDEX(安値!$E164:$CZ164,1,$BM164+1):INDEX(安値!$E164:$CZ164,1,$BN164+1)))</f>
        <v>1225</v>
      </c>
      <c r="BR164" s="503">
        <f>IF($BN164="","",AVERAGE(INDEX(終値!$E164:$CZ164,1,$BN164+1):INDEX(終値!$E164:$CZ164,1,$BN164+20))+2*STDEVP(INDEX(終値!$E164:$CZ164,1,$BN164+1):INDEX(終値!$E164:$CZ164,1,$BN164+20)))</f>
        <v>1304.9088239140553</v>
      </c>
      <c r="BS164" s="503">
        <f>IF($BM164="","",AVERAGE(INDEX(終値!$E164:$CZ164,1,$BM164+1):INDEX(終値!$E164:$CZ164,1,$BM164+20))+2*STDEVP(INDEX(終値!$E164:$CZ164,1,$BM164+1):INDEX(終値!$E164:$CZ164,1,$BM164+20)))</f>
        <v>1322.5662804722772</v>
      </c>
      <c r="BT164" s="500"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二番底W▲</v>
      </c>
    </row>
    <row r="165" spans="2:72">
      <c r="B165" s="503">
        <f>IF(終値!A165="","",IF(AND(安値!G165&lt;安値!F165,安値!G165&lt;安値!E165,安値!G165&lt;安値!H165,安値!G165&lt;安値!I165),2,""))</f>
        <v>2</v>
      </c>
      <c r="C165" s="503" t="str">
        <f>IF(終値!A165="","",IF(AND(安値!H165&lt;安値!G165,安値!H165&lt;安値!F165,安値!H165&lt;安値!I165,安値!H165&lt;安値!J165),3,""))</f>
        <v/>
      </c>
      <c r="D165" s="503" t="str">
        <f>IF(終値!A165="","",IF(AND(安値!I165&lt;安値!H165,安値!I165&lt;安値!G165,安値!I165&lt;安値!J165,安値!I165&lt;安値!K165),4,""))</f>
        <v/>
      </c>
      <c r="E165" s="503" t="str">
        <f>IF(終値!A165="","",IF(AND(安値!J165&lt;安値!I165,安値!J165&lt;安値!H165,安値!J165&lt;安値!K165,安値!J165&lt;安値!L165),5,""))</f>
        <v/>
      </c>
      <c r="F165" s="503" t="str">
        <f>IF(終値!A165="","",IF(AND(安値!K165&lt;安値!J165,安値!K165&lt;安値!I165,安値!K165&lt;安値!L165,安値!K165&lt;安値!M165),6,""))</f>
        <v/>
      </c>
      <c r="G165" s="503" t="str">
        <f>IF(終値!A165="","",IF(AND(安値!L165&lt;安値!K165,安値!L165&lt;安値!J165,安値!L165&lt;安値!M165,安値!L165&lt;安値!N165),7,""))</f>
        <v/>
      </c>
      <c r="H165" s="503" t="str">
        <f>IF(終値!A165="","",IF(AND(安値!M165&lt;安値!L165,安値!M165&lt;安値!K165,安値!M165&lt;安値!N165,安値!M165&lt;安値!O165),8,""))</f>
        <v/>
      </c>
      <c r="I165" s="503" t="str">
        <f>IF(終値!A165="","",IF(AND(安値!N165&lt;安値!M165,安値!N165&lt;安値!L165,安値!N165&lt;安値!O165,安値!N165&lt;安値!P165),9,""))</f>
        <v/>
      </c>
      <c r="J165" s="503" t="str">
        <f>IF(終値!A165="","",IF(AND(安値!O165&lt;安値!N165,安値!O165&lt;安値!M165,安値!O165&lt;安値!P165,安値!O165&lt;安値!Q165),10,""))</f>
        <v/>
      </c>
      <c r="K165" s="503">
        <f>IF(終値!A165="","",IF(AND(安値!P165&lt;安値!O165,安値!P165&lt;安値!N165,安値!P165&lt;安値!Q165,安値!P165&lt;安値!R165),11,""))</f>
        <v>11</v>
      </c>
      <c r="L165" s="503" t="str">
        <f>IF(終値!A165="","",IF(AND(安値!Q165&lt;安値!P165,安値!Q165&lt;安値!O165,安値!Q165&lt;安値!R165,安値!Q165&lt;安値!S165),12,""))</f>
        <v/>
      </c>
      <c r="M165" s="503" t="str">
        <f>IF(終値!A165="","",IF(AND(安値!R165&lt;安値!Q165,安値!R165&lt;安値!P165,安値!R165&lt;安値!S165,安値!R165&lt;安値!T165),13,""))</f>
        <v/>
      </c>
      <c r="N165" s="503">
        <f>IF(終値!A165="","",IF(AND(安値!S165&lt;安値!R165,安値!S165&lt;安値!Q165,安値!S165&lt;安値!T165,安値!S165&lt;安値!U165),14,""))</f>
        <v>14</v>
      </c>
      <c r="O165" s="503" t="str">
        <f>IF(終値!A165="","",IF(AND(安値!T165&lt;安値!S165,安値!T165&lt;安値!R165,安値!T165&lt;安値!U165,安値!T165&lt;安値!V165),15,""))</f>
        <v/>
      </c>
      <c r="P165" s="503" t="str">
        <f>IF(終値!A165="","",IF(AND(安値!U165&lt;安値!T165,安値!U165&lt;安値!S165,安値!U165&lt;安値!V165,安値!U165&lt;安値!W165),16,""))</f>
        <v/>
      </c>
      <c r="Q165" s="503" t="str">
        <f>IF(終値!A165="","",IF(AND(安値!V165&lt;安値!U165,安値!V165&lt;安値!T165,安値!V165&lt;安値!W165,安値!V165&lt;安値!X165),17,""))</f>
        <v/>
      </c>
      <c r="R165" s="503">
        <f>IF(終値!A165="","",IF(AND(安値!W165&lt;安値!V165,安値!W165&lt;安値!U165,安値!W165&lt;安値!X165,安値!W165&lt;安値!Y165),18,""))</f>
        <v>18</v>
      </c>
      <c r="S165" s="503" t="str">
        <f>IF(終値!A165="","",IF(AND(安値!X165&lt;安値!W165,安値!X165&lt;安値!V165,安値!X165&lt;安値!Y165,安値!X165&lt;安値!Z165),19,""))</f>
        <v/>
      </c>
      <c r="T165" s="503" t="str">
        <f>IF(終値!A165="","",IF(AND(安値!Y165&lt;安値!X165,安値!Y165&lt;安値!W165,安値!Y165&lt;安値!Z165,安値!Y165&lt;安値!AA165),20,""))</f>
        <v/>
      </c>
      <c r="U165" s="503" t="str">
        <f>IF(終値!A165="","",IF(AND(安値!Z165&lt;安値!Y165,安値!Z165&lt;安値!X165,安値!Z165&lt;安値!AA165,安値!Z165&lt;安値!AB165),21,""))</f>
        <v/>
      </c>
      <c r="V165" s="503" t="str">
        <f>IF(終値!A165="","",IF(AND(安値!AA165&lt;安値!Z165,安値!AA165&lt;安値!Y165,安値!AA165&lt;安値!AB165,安値!AA165&lt;安値!AC165),22,""))</f>
        <v/>
      </c>
      <c r="W165" s="503" t="str">
        <f>IF(終値!A165="","",IF(AND(安値!AB165&lt;安値!AA165,安値!AB165&lt;安値!Z165,安値!AB165&lt;安値!AC165,安値!AB165&lt;安値!AD165),23,""))</f>
        <v/>
      </c>
      <c r="X165" s="503">
        <f>IF(終値!A165="","",IF(AND(安値!AC165&lt;安値!AB165,安値!AC165&lt;安値!AA165,安値!AC165&lt;安値!AD165,安値!AC165&lt;安値!AE165),24,""))</f>
        <v>24</v>
      </c>
      <c r="Y165" s="503" t="str">
        <f>IF(終値!A165="","",IF(AND(安値!AD165&lt;安値!AC165,安値!AD165&lt;安値!AB165,安値!AD165&lt;安値!AE165,安値!AD165&lt;安値!AF165),25,""))</f>
        <v/>
      </c>
      <c r="Z165" s="503" t="str">
        <f>IF(終値!A165="","",IF(AND(安値!AE165&lt;安値!AD165,安値!AE165&lt;安値!AC165,安値!AE165&lt;安値!AF165,安値!AE165&lt;安値!AG165),26,""))</f>
        <v/>
      </c>
      <c r="AA165" s="503" t="str">
        <f>IF(終値!A165="","",IF(AND(安値!AF165&lt;安値!AE165,安値!AF165&lt;安値!AD165,安値!AF165&lt;安値!AG165,安値!AF165&lt;安値!AH165),27,""))</f>
        <v/>
      </c>
      <c r="AB165" s="503" t="str">
        <f>IF(終値!A165="","",IF(AND(安値!AG165&lt;安値!AF165,安値!AG165&lt;安値!AE165,安値!AG165&lt;安値!AH165,安値!AG165&lt;安値!AI165),28,""))</f>
        <v/>
      </c>
      <c r="AC165" s="503" t="str">
        <f>IF(終値!A165="","",IF(AND(高値!G165&gt;高値!F165,高値!G165&gt;高値!E165,高値!G165&gt;高値!H165,高値!G165&gt;高値!I165),2,""))</f>
        <v/>
      </c>
      <c r="AD165" s="503" t="str">
        <f>IF(終値!A165="","",IF(AND(高値!H165&gt;高値!G165,高値!H165&gt;高値!F165,高値!H165&gt;高値!I165,高値!H165&gt;高値!J165),3,""))</f>
        <v/>
      </c>
      <c r="AE165" s="503" t="str">
        <f>IF(終値!A165="","",IF(AND(高値!I165&gt;高値!H165,高値!I165&gt;高値!G165,高値!I165&gt;高値!J165,高値!I165&gt;高値!K165),4,""))</f>
        <v/>
      </c>
      <c r="AF165" s="503">
        <f>IF(終値!A165="","",IF(AND(高値!J165&gt;高値!I165,高値!J165&gt;高値!H165,高値!J165&gt;高値!K165,高値!J165&gt;高値!L165),5,""))</f>
        <v>5</v>
      </c>
      <c r="AG165" s="503" t="str">
        <f>IF(終値!A165="","",IF(AND(高値!K165&gt;高値!J165,高値!K165&gt;高値!I165,高値!K165&gt;高値!L165,高値!K165&gt;高値!M165),6,""))</f>
        <v/>
      </c>
      <c r="AH165" s="503" t="str">
        <f>IF(終値!A165="","",IF(AND(高値!L165&gt;高値!K165,高値!L165&gt;高値!J165,高値!L165&gt;高値!M165,高値!L165&gt;高値!N165),7,""))</f>
        <v/>
      </c>
      <c r="AI165" s="503" t="str">
        <f>IF(終値!A165="","",IF(AND(高値!M165&gt;高値!L165,高値!M165&gt;高値!K165,高値!M165&gt;高値!N165,高値!M165&gt;高値!O165),8,""))</f>
        <v/>
      </c>
      <c r="AJ165" s="503" t="str">
        <f>IF(終値!A165="","",IF(AND(高値!N165&gt;高値!M165,高値!N165&gt;高値!L165,高値!N165&gt;高値!O165,高値!N165&gt;高値!P165),9,""))</f>
        <v/>
      </c>
      <c r="AK165" s="503" t="str">
        <f>IF(終値!A165="","",IF(AND(高値!O165&gt;高値!N165,高値!O165&gt;高値!M165,高値!O165&gt;高値!P165,高値!O165&gt;高値!Q165),10,""))</f>
        <v/>
      </c>
      <c r="AL165" s="503" t="str">
        <f>IF(終値!A165="","",IF(AND(高値!P165&gt;高値!O165,高値!P165&gt;高値!N165,高値!P165&gt;高値!Q165,高値!P165&gt;高値!R165),11,""))</f>
        <v/>
      </c>
      <c r="AM165" s="503" t="str">
        <f>IF(終値!A165="","",IF(AND(高値!Q165&gt;高値!P165,高値!Q165&gt;高値!O165,高値!Q165&gt;高値!R165,高値!Q165&gt;高値!S165),12,""))</f>
        <v/>
      </c>
      <c r="AN165" s="503" t="str">
        <f>IF(終値!A165="","",IF(AND(高値!R165&gt;高値!Q165,高値!R165&gt;高値!P165,高値!R165&gt;高値!S165,高値!R165&gt;高値!T165),13,""))</f>
        <v/>
      </c>
      <c r="AO165" s="503" t="str">
        <f>IF(終値!A165="","",IF(AND(高値!S165&gt;高値!R165,高値!S165&gt;高値!Q165,高値!S165&gt;高値!T165,高値!S165&gt;高値!U165),14,""))</f>
        <v/>
      </c>
      <c r="AP165" s="503">
        <f>IF(終値!A165="","",IF(AND(高値!T165&gt;高値!S165,高値!T165&gt;高値!R165,高値!T165&gt;高値!U165,高値!T165&gt;高値!V165),15,""))</f>
        <v>15</v>
      </c>
      <c r="AQ165" s="503" t="str">
        <f>IF(終値!A165="","",IF(AND(高値!U165&gt;高値!T165,高値!U165&gt;高値!S165,高値!U165&gt;高値!V165,高値!U165&gt;高値!W165),16,""))</f>
        <v/>
      </c>
      <c r="AR165" s="503" t="str">
        <f>IF(終値!A165="","",IF(AND(高値!V165&gt;高値!U165,高値!V165&gt;高値!T165,高値!V165&gt;高値!W165,高値!V165&gt;高値!X165),17,""))</f>
        <v/>
      </c>
      <c r="AS165" s="503" t="str">
        <f>IF(終値!A165="","",IF(AND(高値!W165&gt;高値!V165,高値!W165&gt;高値!U165,高値!W165&gt;高値!X165,高値!W165&gt;高値!Y165),18,""))</f>
        <v/>
      </c>
      <c r="AT165" s="503" t="str">
        <f>IF(終値!A165="","",IF(AND(高値!X165&gt;高値!W165,高値!X165&gt;高値!V165,高値!X165&gt;高値!Y165,高値!X165&gt;高値!Z165),19,""))</f>
        <v/>
      </c>
      <c r="AU165" s="503">
        <f>IF(終値!A165="","",IF(AND(高値!Y165&gt;高値!X165,高値!Y165&gt;高値!W165,高値!Y165&gt;高値!Z165,高値!Y165&gt;高値!AA165),20,""))</f>
        <v>20</v>
      </c>
      <c r="AV165" s="503" t="str">
        <f>IF(終値!A165="","",IF(AND(高値!Z165&gt;高値!Y165,高値!Z165&gt;高値!X165,高値!Z165&gt;高値!AA165,高値!Z165&gt;高値!AB165),21,""))</f>
        <v/>
      </c>
      <c r="AW165" s="503" t="str">
        <f>IF(終値!A165="","",IF(AND(高値!AA165&gt;高値!Z165,高値!AA165&gt;高値!Y165,高値!AA165&gt;高値!AB165,高値!AA165&gt;高値!AC165),22,""))</f>
        <v/>
      </c>
      <c r="AX165" s="503" t="str">
        <f>IF(終値!A165="","",IF(AND(高値!AB165&gt;高値!AA165,高値!AB165&gt;高値!Z165,高値!AB165&gt;高値!AC165,高値!AB165&gt;高値!AD165),23,""))</f>
        <v/>
      </c>
      <c r="AY165" s="503" t="str">
        <f>IF(終値!A165="","",IF(AND(高値!AC165&gt;高値!AB165,高値!AC165&gt;高値!AA165,高値!AC165&gt;高値!AD165,高値!AC165&gt;高値!AE165),24,""))</f>
        <v/>
      </c>
      <c r="AZ165" s="503" t="str">
        <f>IF(終値!A165="","",IF(AND(高値!AD165&gt;高値!AC165,高値!AD165&gt;高値!AB165,高値!AD165&gt;高値!AE165,高値!AD165&gt;高値!AF165),25,""))</f>
        <v/>
      </c>
      <c r="BA165" s="503" t="str">
        <f>IF(終値!A165="","",IF(AND(高値!AE165&gt;高値!AD165,高値!AE165&gt;高値!AC165,高値!AE165&gt;高値!AF165,高値!AE165&gt;高値!AG165),26,""))</f>
        <v/>
      </c>
      <c r="BB165" s="503" t="str">
        <f>IF(終値!A165="","",IF(AND(高値!AF165&gt;高値!AE165,高値!AF165&gt;高値!AD165,高値!AF165&gt;高値!AG165,高値!AF165&gt;高値!AH165),27,""))</f>
        <v/>
      </c>
      <c r="BC165" s="503" t="str">
        <f>IF(終値!A165="","",IF(AND(高値!AG165&gt;高値!AF165,高値!AG165&gt;高値!AE165,高値!AG165&gt;高値!AH165,高値!AG165&gt;高値!AI165),28,""))</f>
        <v/>
      </c>
      <c r="BD165" s="503">
        <f t="shared" si="12"/>
        <v>5</v>
      </c>
      <c r="BE165" s="503">
        <f t="shared" si="13"/>
        <v>2</v>
      </c>
      <c r="BF165" s="503">
        <f t="shared" si="14"/>
        <v>11</v>
      </c>
      <c r="BG165" s="503">
        <f>IF($BE165="","",INDEX(安値!$E165:$CZ165,1,$BE165+1))</f>
        <v>7618</v>
      </c>
      <c r="BH165" s="503">
        <f>IF($BF165="","",INDEX(安値!$E165:$CZ165,1,$BF165+1))</f>
        <v>6455</v>
      </c>
      <c r="BI165" s="503">
        <f>IF($BF165="","",MAX(INDEX(高値!$E165:$CZ165,1,$BE165+1):INDEX(高値!$E165:$CZ165,1,$BF165+1)))</f>
        <v>8611</v>
      </c>
      <c r="BJ165" s="503">
        <f>IF($BF165="","",AVERAGE(INDEX(終値!$E165:$CZ165,1,$BF165+1):INDEX(終値!$E165:$CZ165,1,$BF165+20))-2*STDEVP(INDEX(終値!$E165:$CZ165,1,$BF165+1):INDEX(終値!$E165:$CZ165,1,$BF165+20)))</f>
        <v>5632.606396556379</v>
      </c>
      <c r="BK165" s="503">
        <f>IF($BE165="","",AVERAGE(INDEX(終値!$E165:$CZ165,1,$BE165+1):INDEX(終値!$E165:$CZ165,1,$BE165+20))-2*STDEVP(INDEX(終値!$E165:$CZ165,1,$BE165+1):INDEX(終値!$E165:$CZ165,1,$BE165+20)))</f>
        <v>5762.7745668680172</v>
      </c>
      <c r="BL165" s="503">
        <f t="shared" si="15"/>
        <v>3</v>
      </c>
      <c r="BM165" s="503">
        <f t="shared" si="16"/>
        <v>5</v>
      </c>
      <c r="BN165" s="503">
        <f t="shared" si="17"/>
        <v>15</v>
      </c>
      <c r="BO165" s="503">
        <f>IF($BM165="","",INDEX(高値!$E165:$CZ165,1,$BM165+1))</f>
        <v>8611</v>
      </c>
      <c r="BP165" s="503">
        <f>IF($BN165="","",INDEX(高値!$E165:$CZ165,1,$BN165+1))</f>
        <v>6756</v>
      </c>
      <c r="BQ165" s="503">
        <f>IF($BN165="","",MIN(INDEX(安値!$E165:$CZ165,1,$BM165+1):INDEX(安値!$E165:$CZ165,1,$BN165+1)))</f>
        <v>6411</v>
      </c>
      <c r="BR165" s="503">
        <f>IF($BN165="","",AVERAGE(INDEX(終値!$E165:$CZ165,1,$BN165+1):INDEX(終値!$E165:$CZ165,1,$BN165+20))+2*STDEVP(INDEX(終値!$E165:$CZ165,1,$BN165+1):INDEX(終値!$E165:$CZ165,1,$BN165+20)))</f>
        <v>6870.9368460328478</v>
      </c>
      <c r="BS165" s="503">
        <f>IF($BM165="","",AVERAGE(INDEX(終値!$E165:$CZ165,1,$BM165+1):INDEX(終値!$E165:$CZ165,1,$BM165+20))+2*STDEVP(INDEX(終値!$E165:$CZ165,1,$BM165+1):INDEX(終値!$E165:$CZ165,1,$BM165+20)))</f>
        <v>8328.5099597662775</v>
      </c>
      <c r="BT165" s="500"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v>
      </c>
    </row>
    <row r="166" spans="2:72">
      <c r="B166" s="503" t="str">
        <f>IF(終値!A166="","",IF(AND(安値!G166&lt;安値!F166,安値!G166&lt;安値!E166,安値!G166&lt;安値!H166,安値!G166&lt;安値!I166),2,""))</f>
        <v/>
      </c>
      <c r="C166" s="503" t="str">
        <f>IF(終値!A166="","",IF(AND(安値!H166&lt;安値!G166,安値!H166&lt;安値!F166,安値!H166&lt;安値!I166,安値!H166&lt;安値!J166),3,""))</f>
        <v/>
      </c>
      <c r="D166" s="503" t="str">
        <f>IF(終値!A166="","",IF(AND(安値!I166&lt;安値!H166,安値!I166&lt;安値!G166,安値!I166&lt;安値!J166,安値!I166&lt;安値!K166),4,""))</f>
        <v/>
      </c>
      <c r="E166" s="503" t="str">
        <f>IF(終値!A166="","",IF(AND(安値!J166&lt;安値!I166,安値!J166&lt;安値!H166,安値!J166&lt;安値!K166,安値!J166&lt;安値!L166),5,""))</f>
        <v/>
      </c>
      <c r="F166" s="503" t="str">
        <f>IF(終値!A166="","",IF(AND(安値!K166&lt;安値!J166,安値!K166&lt;安値!I166,安値!K166&lt;安値!L166,安値!K166&lt;安値!M166),6,""))</f>
        <v/>
      </c>
      <c r="G166" s="503" t="str">
        <f>IF(終値!A166="","",IF(AND(安値!L166&lt;安値!K166,安値!L166&lt;安値!J166,安値!L166&lt;安値!M166,安値!L166&lt;安値!N166),7,""))</f>
        <v/>
      </c>
      <c r="H166" s="503" t="str">
        <f>IF(終値!A166="","",IF(AND(安値!M166&lt;安値!L166,安値!M166&lt;安値!K166,安値!M166&lt;安値!N166,安値!M166&lt;安値!O166),8,""))</f>
        <v/>
      </c>
      <c r="I166" s="503">
        <f>IF(終値!A166="","",IF(AND(安値!N166&lt;安値!M166,安値!N166&lt;安値!L166,安値!N166&lt;安値!O166,安値!N166&lt;安値!P166),9,""))</f>
        <v>9</v>
      </c>
      <c r="J166" s="503" t="str">
        <f>IF(終値!A166="","",IF(AND(安値!O166&lt;安値!N166,安値!O166&lt;安値!M166,安値!O166&lt;安値!P166,安値!O166&lt;安値!Q166),10,""))</f>
        <v/>
      </c>
      <c r="K166" s="503" t="str">
        <f>IF(終値!A166="","",IF(AND(安値!P166&lt;安値!O166,安値!P166&lt;安値!N166,安値!P166&lt;安値!Q166,安値!P166&lt;安値!R166),11,""))</f>
        <v/>
      </c>
      <c r="L166" s="503" t="str">
        <f>IF(終値!A166="","",IF(AND(安値!Q166&lt;安値!P166,安値!Q166&lt;安値!O166,安値!Q166&lt;安値!R166,安値!Q166&lt;安値!S166),12,""))</f>
        <v/>
      </c>
      <c r="M166" s="503">
        <f>IF(終値!A166="","",IF(AND(安値!R166&lt;安値!Q166,安値!R166&lt;安値!P166,安値!R166&lt;安値!S166,安値!R166&lt;安値!T166),13,""))</f>
        <v>13</v>
      </c>
      <c r="N166" s="503" t="str">
        <f>IF(終値!A166="","",IF(AND(安値!S166&lt;安値!R166,安値!S166&lt;安値!Q166,安値!S166&lt;安値!T166,安値!S166&lt;安値!U166),14,""))</f>
        <v/>
      </c>
      <c r="O166" s="503" t="str">
        <f>IF(終値!A166="","",IF(AND(安値!T166&lt;安値!S166,安値!T166&lt;安値!R166,安値!T166&lt;安値!U166,安値!T166&lt;安値!V166),15,""))</f>
        <v/>
      </c>
      <c r="P166" s="503" t="str">
        <f>IF(終値!A166="","",IF(AND(安値!U166&lt;安値!T166,安値!U166&lt;安値!S166,安値!U166&lt;安値!V166,安値!U166&lt;安値!W166),16,""))</f>
        <v/>
      </c>
      <c r="Q166" s="503" t="str">
        <f>IF(終値!A166="","",IF(AND(安値!V166&lt;安値!U166,安値!V166&lt;安値!T166,安値!V166&lt;安値!W166,安値!V166&lt;安値!X166),17,""))</f>
        <v/>
      </c>
      <c r="R166" s="503" t="str">
        <f>IF(終値!A166="","",IF(AND(安値!W166&lt;安値!V166,安値!W166&lt;安値!U166,安値!W166&lt;安値!X166,安値!W166&lt;安値!Y166),18,""))</f>
        <v/>
      </c>
      <c r="S166" s="503" t="str">
        <f>IF(終値!A166="","",IF(AND(安値!X166&lt;安値!W166,安値!X166&lt;安値!V166,安値!X166&lt;安値!Y166,安値!X166&lt;安値!Z166),19,""))</f>
        <v/>
      </c>
      <c r="T166" s="503" t="str">
        <f>IF(終値!A166="","",IF(AND(安値!Y166&lt;安値!X166,安値!Y166&lt;安値!W166,安値!Y166&lt;安値!Z166,安値!Y166&lt;安値!AA166),20,""))</f>
        <v/>
      </c>
      <c r="U166" s="503" t="str">
        <f>IF(終値!A166="","",IF(AND(安値!Z166&lt;安値!Y166,安値!Z166&lt;安値!X166,安値!Z166&lt;安値!AA166,安値!Z166&lt;安値!AB166),21,""))</f>
        <v/>
      </c>
      <c r="V166" s="503" t="str">
        <f>IF(終値!A166="","",IF(AND(安値!AA166&lt;安値!Z166,安値!AA166&lt;安値!Y166,安値!AA166&lt;安値!AB166,安値!AA166&lt;安値!AC166),22,""))</f>
        <v/>
      </c>
      <c r="W166" s="503" t="str">
        <f>IF(終値!A166="","",IF(AND(安値!AB166&lt;安値!AA166,安値!AB166&lt;安値!Z166,安値!AB166&lt;安値!AC166,安値!AB166&lt;安値!AD166),23,""))</f>
        <v/>
      </c>
      <c r="X166" s="503" t="str">
        <f>IF(終値!A166="","",IF(AND(安値!AC166&lt;安値!AB166,安値!AC166&lt;安値!AA166,安値!AC166&lt;安値!AD166,安値!AC166&lt;安値!AE166),24,""))</f>
        <v/>
      </c>
      <c r="Y166" s="503" t="str">
        <f>IF(終値!A166="","",IF(AND(安値!AD166&lt;安値!AC166,安値!AD166&lt;安値!AB166,安値!AD166&lt;安値!AE166,安値!AD166&lt;安値!AF166),25,""))</f>
        <v/>
      </c>
      <c r="Z166" s="503" t="str">
        <f>IF(終値!A166="","",IF(AND(安値!AE166&lt;安値!AD166,安値!AE166&lt;安値!AC166,安値!AE166&lt;安値!AF166,安値!AE166&lt;安値!AG166),26,""))</f>
        <v/>
      </c>
      <c r="AA166" s="503" t="str">
        <f>IF(終値!A166="","",IF(AND(安値!AF166&lt;安値!AE166,安値!AF166&lt;安値!AD166,安値!AF166&lt;安値!AG166,安値!AF166&lt;安値!AH166),27,""))</f>
        <v/>
      </c>
      <c r="AB166" s="503" t="str">
        <f>IF(終値!A166="","",IF(AND(安値!AG166&lt;安値!AF166,安値!AG166&lt;安値!AE166,安値!AG166&lt;安値!AH166,安値!AG166&lt;安値!AI166),28,""))</f>
        <v/>
      </c>
      <c r="AC166" s="503" t="str">
        <f>IF(終値!A166="","",IF(AND(高値!G166&gt;高値!F166,高値!G166&gt;高値!E166,高値!G166&gt;高値!H166,高値!G166&gt;高値!I166),2,""))</f>
        <v/>
      </c>
      <c r="AD166" s="503" t="str">
        <f>IF(終値!A166="","",IF(AND(高値!H166&gt;高値!G166,高値!H166&gt;高値!F166,高値!H166&gt;高値!I166,高値!H166&gt;高値!J166),3,""))</f>
        <v/>
      </c>
      <c r="AE166" s="503">
        <f>IF(終値!A166="","",IF(AND(高値!I166&gt;高値!H166,高値!I166&gt;高値!G166,高値!I166&gt;高値!J166,高値!I166&gt;高値!K166),4,""))</f>
        <v>4</v>
      </c>
      <c r="AF166" s="503" t="str">
        <f>IF(終値!A166="","",IF(AND(高値!J166&gt;高値!I166,高値!J166&gt;高値!H166,高値!J166&gt;高値!K166,高値!J166&gt;高値!L166),5,""))</f>
        <v/>
      </c>
      <c r="AG166" s="503" t="str">
        <f>IF(終値!A166="","",IF(AND(高値!K166&gt;高値!J166,高値!K166&gt;高値!I166,高値!K166&gt;高値!L166,高値!K166&gt;高値!M166),6,""))</f>
        <v/>
      </c>
      <c r="AH166" s="503" t="str">
        <f>IF(終値!A166="","",IF(AND(高値!L166&gt;高値!K166,高値!L166&gt;高値!J166,高値!L166&gt;高値!M166,高値!L166&gt;高値!N166),7,""))</f>
        <v/>
      </c>
      <c r="AI166" s="503" t="str">
        <f>IF(終値!A166="","",IF(AND(高値!M166&gt;高値!L166,高値!M166&gt;高値!K166,高値!M166&gt;高値!N166,高値!M166&gt;高値!O166),8,""))</f>
        <v/>
      </c>
      <c r="AJ166" s="503" t="str">
        <f>IF(終値!A166="","",IF(AND(高値!N166&gt;高値!M166,高値!N166&gt;高値!L166,高値!N166&gt;高値!O166,高値!N166&gt;高値!P166),9,""))</f>
        <v/>
      </c>
      <c r="AK166" s="503" t="str">
        <f>IF(終値!A166="","",IF(AND(高値!O166&gt;高値!N166,高値!O166&gt;高値!M166,高値!O166&gt;高値!P166,高値!O166&gt;高値!Q166),10,""))</f>
        <v/>
      </c>
      <c r="AL166" s="503">
        <f>IF(終値!A166="","",IF(AND(高値!P166&gt;高値!O166,高値!P166&gt;高値!N166,高値!P166&gt;高値!Q166,高値!P166&gt;高値!R166),11,""))</f>
        <v>11</v>
      </c>
      <c r="AM166" s="503" t="str">
        <f>IF(終値!A166="","",IF(AND(高値!Q166&gt;高値!P166,高値!Q166&gt;高値!O166,高値!Q166&gt;高値!R166,高値!Q166&gt;高値!S166),12,""))</f>
        <v/>
      </c>
      <c r="AN166" s="503" t="str">
        <f>IF(終値!A166="","",IF(AND(高値!R166&gt;高値!Q166,高値!R166&gt;高値!P166,高値!R166&gt;高値!S166,高値!R166&gt;高値!T166),13,""))</f>
        <v/>
      </c>
      <c r="AO166" s="503" t="str">
        <f>IF(終値!A166="","",IF(AND(高値!S166&gt;高値!R166,高値!S166&gt;高値!Q166,高値!S166&gt;高値!T166,高値!S166&gt;高値!U166),14,""))</f>
        <v/>
      </c>
      <c r="AP166" s="503" t="str">
        <f>IF(終値!A166="","",IF(AND(高値!T166&gt;高値!S166,高値!T166&gt;高値!R166,高値!T166&gt;高値!U166,高値!T166&gt;高値!V166),15,""))</f>
        <v/>
      </c>
      <c r="AQ166" s="503">
        <f>IF(終値!A166="","",IF(AND(高値!U166&gt;高値!T166,高値!U166&gt;高値!S166,高値!U166&gt;高値!V166,高値!U166&gt;高値!W166),16,""))</f>
        <v>16</v>
      </c>
      <c r="AR166" s="503" t="str">
        <f>IF(終値!A166="","",IF(AND(高値!V166&gt;高値!U166,高値!V166&gt;高値!T166,高値!V166&gt;高値!W166,高値!V166&gt;高値!X166),17,""))</f>
        <v/>
      </c>
      <c r="AS166" s="503" t="str">
        <f>IF(終値!A166="","",IF(AND(高値!W166&gt;高値!V166,高値!W166&gt;高値!U166,高値!W166&gt;高値!X166,高値!W166&gt;高値!Y166),18,""))</f>
        <v/>
      </c>
      <c r="AT166" s="503" t="str">
        <f>IF(終値!A166="","",IF(AND(高値!X166&gt;高値!W166,高値!X166&gt;高値!V166,高値!X166&gt;高値!Y166,高値!X166&gt;高値!Z166),19,""))</f>
        <v/>
      </c>
      <c r="AU166" s="503">
        <f>IF(終値!A166="","",IF(AND(高値!Y166&gt;高値!X166,高値!Y166&gt;高値!W166,高値!Y166&gt;高値!Z166,高値!Y166&gt;高値!AA166),20,""))</f>
        <v>20</v>
      </c>
      <c r="AV166" s="503" t="str">
        <f>IF(終値!A166="","",IF(AND(高値!Z166&gt;高値!Y166,高値!Z166&gt;高値!X166,高値!Z166&gt;高値!AA166,高値!Z166&gt;高値!AB166),21,""))</f>
        <v/>
      </c>
      <c r="AW166" s="503" t="str">
        <f>IF(終値!A166="","",IF(AND(高値!AA166&gt;高値!Z166,高値!AA166&gt;高値!Y166,高値!AA166&gt;高値!AB166,高値!AA166&gt;高値!AC166),22,""))</f>
        <v/>
      </c>
      <c r="AX166" s="503" t="str">
        <f>IF(終値!A166="","",IF(AND(高値!AB166&gt;高値!AA166,高値!AB166&gt;高値!Z166,高値!AB166&gt;高値!AC166,高値!AB166&gt;高値!AD166),23,""))</f>
        <v/>
      </c>
      <c r="AY166" s="503" t="str">
        <f>IF(終値!A166="","",IF(AND(高値!AC166&gt;高値!AB166,高値!AC166&gt;高値!AA166,高値!AC166&gt;高値!AD166,高値!AC166&gt;高値!AE166),24,""))</f>
        <v/>
      </c>
      <c r="AZ166" s="503" t="str">
        <f>IF(終値!A166="","",IF(AND(高値!AD166&gt;高値!AC166,高値!AD166&gt;高値!AB166,高値!AD166&gt;高値!AE166,高値!AD166&gt;高値!AF166),25,""))</f>
        <v/>
      </c>
      <c r="BA166" s="503" t="str">
        <f>IF(終値!A166="","",IF(AND(高値!AE166&gt;高値!AD166,高値!AE166&gt;高値!AC166,高値!AE166&gt;高値!AF166,高値!AE166&gt;高値!AG166),26,""))</f>
        <v/>
      </c>
      <c r="BB166" s="503" t="str">
        <f>IF(終値!A166="","",IF(AND(高値!AF166&gt;高値!AE166,高値!AF166&gt;高値!AD166,高値!AF166&gt;高値!AG166,高値!AF166&gt;高値!AH166),27,""))</f>
        <v/>
      </c>
      <c r="BC166" s="503" t="str">
        <f>IF(終値!A166="","",IF(AND(高値!AG166&gt;高値!AF166,高値!AG166&gt;高値!AE166,高値!AG166&gt;高値!AH166,高値!AG166&gt;高値!AI166),28,""))</f>
        <v/>
      </c>
      <c r="BD166" s="503">
        <f t="shared" si="12"/>
        <v>2</v>
      </c>
      <c r="BE166" s="503">
        <f t="shared" si="13"/>
        <v>9</v>
      </c>
      <c r="BF166" s="503">
        <f t="shared" si="14"/>
        <v>13</v>
      </c>
      <c r="BG166" s="503">
        <f>IF($BE166="","",INDEX(安値!$E166:$CZ166,1,$BE166+1))</f>
        <v>2201</v>
      </c>
      <c r="BH166" s="503">
        <f>IF($BF166="","",INDEX(安値!$E166:$CZ166,1,$BF166+1))</f>
        <v>2326</v>
      </c>
      <c r="BI166" s="503">
        <f>IF($BF166="","",MAX(INDEX(高値!$E166:$CZ166,1,$BE166+1):INDEX(高値!$E166:$CZ166,1,$BF166+1)))</f>
        <v>2400</v>
      </c>
      <c r="BJ166" s="503">
        <f>IF($BF166="","",AVERAGE(INDEX(終値!$E166:$CZ166,1,$BF166+1):INDEX(終値!$E166:$CZ166,1,$BF166+20))-2*STDEVP(INDEX(終値!$E166:$CZ166,1,$BF166+1):INDEX(終値!$E166:$CZ166,1,$BF166+20)))</f>
        <v>2189.5549412722203</v>
      </c>
      <c r="BK166" s="503">
        <f>IF($BE166="","",AVERAGE(INDEX(終値!$E166:$CZ166,1,$BE166+1):INDEX(終値!$E166:$CZ166,1,$BE166+20))-2*STDEVP(INDEX(終値!$E166:$CZ166,1,$BE166+1):INDEX(終値!$E166:$CZ166,1,$BE166+20)))</f>
        <v>2251.2899414810008</v>
      </c>
      <c r="BL166" s="503">
        <f t="shared" si="15"/>
        <v>4</v>
      </c>
      <c r="BM166" s="503">
        <f t="shared" si="16"/>
        <v>4</v>
      </c>
      <c r="BN166" s="503">
        <f t="shared" si="17"/>
        <v>11</v>
      </c>
      <c r="BO166" s="503">
        <f>IF($BM166="","",INDEX(高値!$E166:$CZ166,1,$BM166+1))</f>
        <v>2372</v>
      </c>
      <c r="BP166" s="503">
        <f>IF($BN166="","",INDEX(高値!$E166:$CZ166,1,$BN166+1))</f>
        <v>2400</v>
      </c>
      <c r="BQ166" s="503">
        <f>IF($BN166="","",MIN(INDEX(安値!$E166:$CZ166,1,$BM166+1):INDEX(安値!$E166:$CZ166,1,$BN166+1)))</f>
        <v>2201</v>
      </c>
      <c r="BR166" s="503">
        <f>IF($BN166="","",AVERAGE(INDEX(終値!$E166:$CZ166,1,$BN166+1):INDEX(終値!$E166:$CZ166,1,$BN166+20))+2*STDEVP(INDEX(終値!$E166:$CZ166,1,$BN166+1):INDEX(終値!$E166:$CZ166,1,$BN166+20)))</f>
        <v>2441.4417724195769</v>
      </c>
      <c r="BS166" s="503">
        <f>IF($BM166="","",AVERAGE(INDEX(終値!$E166:$CZ166,1,$BM166+1):INDEX(終値!$E166:$CZ166,1,$BM166+20))+2*STDEVP(INDEX(終値!$E166:$CZ166,1,$BM166+1):INDEX(終値!$E166:$CZ166,1,$BM166+20)))</f>
        <v>2410.120909614579</v>
      </c>
      <c r="BT166" s="500"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二番天井M形成</v>
      </c>
    </row>
    <row r="167" spans="2:72">
      <c r="B167" s="503" t="str">
        <f>IF(終値!A167="","",IF(AND(安値!G167&lt;安値!F167,安値!G167&lt;安値!E167,安値!G167&lt;安値!H167,安値!G167&lt;安値!I167),2,""))</f>
        <v/>
      </c>
      <c r="C167" s="503" t="str">
        <f>IF(終値!A167="","",IF(AND(安値!H167&lt;安値!G167,安値!H167&lt;安値!F167,安値!H167&lt;安値!I167,安値!H167&lt;安値!J167),3,""))</f>
        <v/>
      </c>
      <c r="D167" s="503" t="str">
        <f>IF(終値!A167="","",IF(AND(安値!I167&lt;安値!H167,安値!I167&lt;安値!G167,安値!I167&lt;安値!J167,安値!I167&lt;安値!K167),4,""))</f>
        <v/>
      </c>
      <c r="E167" s="503">
        <f>IF(終値!A167="","",IF(AND(安値!J167&lt;安値!I167,安値!J167&lt;安値!H167,安値!J167&lt;安値!K167,安値!J167&lt;安値!L167),5,""))</f>
        <v>5</v>
      </c>
      <c r="F167" s="503" t="str">
        <f>IF(終値!A167="","",IF(AND(安値!K167&lt;安値!J167,安値!K167&lt;安値!I167,安値!K167&lt;安値!L167,安値!K167&lt;安値!M167),6,""))</f>
        <v/>
      </c>
      <c r="G167" s="503" t="str">
        <f>IF(終値!A167="","",IF(AND(安値!L167&lt;安値!K167,安値!L167&lt;安値!J167,安値!L167&lt;安値!M167,安値!L167&lt;安値!N167),7,""))</f>
        <v/>
      </c>
      <c r="H167" s="503" t="str">
        <f>IF(終値!A167="","",IF(AND(安値!M167&lt;安値!L167,安値!M167&lt;安値!K167,安値!M167&lt;安値!N167,安値!M167&lt;安値!O167),8,""))</f>
        <v/>
      </c>
      <c r="I167" s="503">
        <f>IF(終値!A167="","",IF(AND(安値!N167&lt;安値!M167,安値!N167&lt;安値!L167,安値!N167&lt;安値!O167,安値!N167&lt;安値!P167),9,""))</f>
        <v>9</v>
      </c>
      <c r="J167" s="503" t="str">
        <f>IF(終値!A167="","",IF(AND(安値!O167&lt;安値!N167,安値!O167&lt;安値!M167,安値!O167&lt;安値!P167,安値!O167&lt;安値!Q167),10,""))</f>
        <v/>
      </c>
      <c r="K167" s="503" t="str">
        <f>IF(終値!A167="","",IF(AND(安値!P167&lt;安値!O167,安値!P167&lt;安値!N167,安値!P167&lt;安値!Q167,安値!P167&lt;安値!R167),11,""))</f>
        <v/>
      </c>
      <c r="L167" s="503" t="str">
        <f>IF(終値!A167="","",IF(AND(安値!Q167&lt;安値!P167,安値!Q167&lt;安値!O167,安値!Q167&lt;安値!R167,安値!Q167&lt;安値!S167),12,""))</f>
        <v/>
      </c>
      <c r="M167" s="503">
        <f>IF(終値!A167="","",IF(AND(安値!R167&lt;安値!Q167,安値!R167&lt;安値!P167,安値!R167&lt;安値!S167,安値!R167&lt;安値!T167),13,""))</f>
        <v>13</v>
      </c>
      <c r="N167" s="503" t="str">
        <f>IF(終値!A167="","",IF(AND(安値!S167&lt;安値!R167,安値!S167&lt;安値!Q167,安値!S167&lt;安値!T167,安値!S167&lt;安値!U167),14,""))</f>
        <v/>
      </c>
      <c r="O167" s="503" t="str">
        <f>IF(終値!A167="","",IF(AND(安値!T167&lt;安値!S167,安値!T167&lt;安値!R167,安値!T167&lt;安値!U167,安値!T167&lt;安値!V167),15,""))</f>
        <v/>
      </c>
      <c r="P167" s="503" t="str">
        <f>IF(終値!A167="","",IF(AND(安値!U167&lt;安値!T167,安値!U167&lt;安値!S167,安値!U167&lt;安値!V167,安値!U167&lt;安値!W167),16,""))</f>
        <v/>
      </c>
      <c r="Q167" s="503" t="str">
        <f>IF(終値!A167="","",IF(AND(安値!V167&lt;安値!U167,安値!V167&lt;安値!T167,安値!V167&lt;安値!W167,安値!V167&lt;安値!X167),17,""))</f>
        <v/>
      </c>
      <c r="R167" s="503" t="str">
        <f>IF(終値!A167="","",IF(AND(安値!W167&lt;安値!V167,安値!W167&lt;安値!U167,安値!W167&lt;安値!X167,安値!W167&lt;安値!Y167),18,""))</f>
        <v/>
      </c>
      <c r="S167" s="503">
        <f>IF(終値!A167="","",IF(AND(安値!X167&lt;安値!W167,安値!X167&lt;安値!V167,安値!X167&lt;安値!Y167,安値!X167&lt;安値!Z167),19,""))</f>
        <v>19</v>
      </c>
      <c r="T167" s="503" t="str">
        <f>IF(終値!A167="","",IF(AND(安値!Y167&lt;安値!X167,安値!Y167&lt;安値!W167,安値!Y167&lt;安値!Z167,安値!Y167&lt;安値!AA167),20,""))</f>
        <v/>
      </c>
      <c r="U167" s="503" t="str">
        <f>IF(終値!A167="","",IF(AND(安値!Z167&lt;安値!Y167,安値!Z167&lt;安値!X167,安値!Z167&lt;安値!AA167,安値!Z167&lt;安値!AB167),21,""))</f>
        <v/>
      </c>
      <c r="V167" s="503">
        <f>IF(終値!A167="","",IF(AND(安値!AA167&lt;安値!Z167,安値!AA167&lt;安値!Y167,安値!AA167&lt;安値!AB167,安値!AA167&lt;安値!AC167),22,""))</f>
        <v>22</v>
      </c>
      <c r="W167" s="503" t="str">
        <f>IF(終値!A167="","",IF(AND(安値!AB167&lt;安値!AA167,安値!AB167&lt;安値!Z167,安値!AB167&lt;安値!AC167,安値!AB167&lt;安値!AD167),23,""))</f>
        <v/>
      </c>
      <c r="X167" s="503" t="str">
        <f>IF(終値!A167="","",IF(AND(安値!AC167&lt;安値!AB167,安値!AC167&lt;安値!AA167,安値!AC167&lt;安値!AD167,安値!AC167&lt;安値!AE167),24,""))</f>
        <v/>
      </c>
      <c r="Y167" s="503" t="str">
        <f>IF(終値!A167="","",IF(AND(安値!AD167&lt;安値!AC167,安値!AD167&lt;安値!AB167,安値!AD167&lt;安値!AE167,安値!AD167&lt;安値!AF167),25,""))</f>
        <v/>
      </c>
      <c r="Z167" s="503" t="str">
        <f>IF(終値!A167="","",IF(AND(安値!AE167&lt;安値!AD167,安値!AE167&lt;安値!AC167,安値!AE167&lt;安値!AF167,安値!AE167&lt;安値!AG167),26,""))</f>
        <v/>
      </c>
      <c r="AA167" s="503" t="str">
        <f>IF(終値!A167="","",IF(AND(安値!AF167&lt;安値!AE167,安値!AF167&lt;安値!AD167,安値!AF167&lt;安値!AG167,安値!AF167&lt;安値!AH167),27,""))</f>
        <v/>
      </c>
      <c r="AB167" s="503" t="str">
        <f>IF(終値!A167="","",IF(AND(安値!AG167&lt;安値!AF167,安値!AG167&lt;安値!AE167,安値!AG167&lt;安値!AH167,安値!AG167&lt;安値!AI167),28,""))</f>
        <v/>
      </c>
      <c r="AC167" s="503" t="str">
        <f>IF(終値!A167="","",IF(AND(高値!G167&gt;高値!F167,高値!G167&gt;高値!E167,高値!G167&gt;高値!H167,高値!G167&gt;高値!I167),2,""))</f>
        <v/>
      </c>
      <c r="AD167" s="503" t="str">
        <f>IF(終値!A167="","",IF(AND(高値!H167&gt;高値!G167,高値!H167&gt;高値!F167,高値!H167&gt;高値!I167,高値!H167&gt;高値!J167),3,""))</f>
        <v/>
      </c>
      <c r="AE167" s="503" t="str">
        <f>IF(終値!A167="","",IF(AND(高値!I167&gt;高値!H167,高値!I167&gt;高値!G167,高値!I167&gt;高値!J167,高値!I167&gt;高値!K167),4,""))</f>
        <v/>
      </c>
      <c r="AF167" s="503" t="str">
        <f>IF(終値!A167="","",IF(AND(高値!J167&gt;高値!I167,高値!J167&gt;高値!H167,高値!J167&gt;高値!K167,高値!J167&gt;高値!L167),5,""))</f>
        <v/>
      </c>
      <c r="AG167" s="503" t="str">
        <f>IF(終値!A167="","",IF(AND(高値!K167&gt;高値!J167,高値!K167&gt;高値!I167,高値!K167&gt;高値!L167,高値!K167&gt;高値!M167),6,""))</f>
        <v/>
      </c>
      <c r="AH167" s="503" t="str">
        <f>IF(終値!A167="","",IF(AND(高値!L167&gt;高値!K167,高値!L167&gt;高値!J167,高値!L167&gt;高値!M167,高値!L167&gt;高値!N167),7,""))</f>
        <v/>
      </c>
      <c r="AI167" s="503" t="str">
        <f>IF(終値!A167="","",IF(AND(高値!M167&gt;高値!L167,高値!M167&gt;高値!K167,高値!M167&gt;高値!N167,高値!M167&gt;高値!O167),8,""))</f>
        <v/>
      </c>
      <c r="AJ167" s="503" t="str">
        <f>IF(終値!A167="","",IF(AND(高値!N167&gt;高値!M167,高値!N167&gt;高値!L167,高値!N167&gt;高値!O167,高値!N167&gt;高値!P167),9,""))</f>
        <v/>
      </c>
      <c r="AK167" s="503" t="str">
        <f>IF(終値!A167="","",IF(AND(高値!O167&gt;高値!N167,高値!O167&gt;高値!M167,高値!O167&gt;高値!P167,高値!O167&gt;高値!Q167),10,""))</f>
        <v/>
      </c>
      <c r="AL167" s="503">
        <f>IF(終値!A167="","",IF(AND(高値!P167&gt;高値!O167,高値!P167&gt;高値!N167,高値!P167&gt;高値!Q167,高値!P167&gt;高値!R167),11,""))</f>
        <v>11</v>
      </c>
      <c r="AM167" s="503" t="str">
        <f>IF(終値!A167="","",IF(AND(高値!Q167&gt;高値!P167,高値!Q167&gt;高値!O167,高値!Q167&gt;高値!R167,高値!Q167&gt;高値!S167),12,""))</f>
        <v/>
      </c>
      <c r="AN167" s="503" t="str">
        <f>IF(終値!A167="","",IF(AND(高値!R167&gt;高値!Q167,高値!R167&gt;高値!P167,高値!R167&gt;高値!S167,高値!R167&gt;高値!T167),13,""))</f>
        <v/>
      </c>
      <c r="AO167" s="503" t="str">
        <f>IF(終値!A167="","",IF(AND(高値!S167&gt;高値!R167,高値!S167&gt;高値!Q167,高値!S167&gt;高値!T167,高値!S167&gt;高値!U167),14,""))</f>
        <v/>
      </c>
      <c r="AP167" s="503" t="str">
        <f>IF(終値!A167="","",IF(AND(高値!T167&gt;高値!S167,高値!T167&gt;高値!R167,高値!T167&gt;高値!U167,高値!T167&gt;高値!V167),15,""))</f>
        <v/>
      </c>
      <c r="AQ167" s="503" t="str">
        <f>IF(終値!A167="","",IF(AND(高値!U167&gt;高値!T167,高値!U167&gt;高値!S167,高値!U167&gt;高値!V167,高値!U167&gt;高値!W167),16,""))</f>
        <v/>
      </c>
      <c r="AR167" s="503">
        <f>IF(終値!A167="","",IF(AND(高値!V167&gt;高値!U167,高値!V167&gt;高値!T167,高値!V167&gt;高値!W167,高値!V167&gt;高値!X167),17,""))</f>
        <v>17</v>
      </c>
      <c r="AS167" s="503" t="str">
        <f>IF(終値!A167="","",IF(AND(高値!W167&gt;高値!V167,高値!W167&gt;高値!U167,高値!W167&gt;高値!X167,高値!W167&gt;高値!Y167),18,""))</f>
        <v/>
      </c>
      <c r="AT167" s="503" t="str">
        <f>IF(終値!A167="","",IF(AND(高値!X167&gt;高値!W167,高値!X167&gt;高値!V167,高値!X167&gt;高値!Y167,高値!X167&gt;高値!Z167),19,""))</f>
        <v/>
      </c>
      <c r="AU167" s="503" t="str">
        <f>IF(終値!A167="","",IF(AND(高値!Y167&gt;高値!X167,高値!Y167&gt;高値!W167,高値!Y167&gt;高値!Z167,高値!Y167&gt;高値!AA167),20,""))</f>
        <v/>
      </c>
      <c r="AV167" s="503" t="str">
        <f>IF(終値!A167="","",IF(AND(高値!Z167&gt;高値!Y167,高値!Z167&gt;高値!X167,高値!Z167&gt;高値!AA167,高値!Z167&gt;高値!AB167),21,""))</f>
        <v/>
      </c>
      <c r="AW167" s="503" t="str">
        <f>IF(終値!A167="","",IF(AND(高値!AA167&gt;高値!Z167,高値!AA167&gt;高値!Y167,高値!AA167&gt;高値!AB167,高値!AA167&gt;高値!AC167),22,""))</f>
        <v/>
      </c>
      <c r="AX167" s="503" t="str">
        <f>IF(終値!A167="","",IF(AND(高値!AB167&gt;高値!AA167,高値!AB167&gt;高値!Z167,高値!AB167&gt;高値!AC167,高値!AB167&gt;高値!AD167),23,""))</f>
        <v/>
      </c>
      <c r="AY167" s="503" t="str">
        <f>IF(終値!A167="","",IF(AND(高値!AC167&gt;高値!AB167,高値!AC167&gt;高値!AA167,高値!AC167&gt;高値!AD167,高値!AC167&gt;高値!AE167),24,""))</f>
        <v/>
      </c>
      <c r="AZ167" s="503" t="str">
        <f>IF(終値!A167="","",IF(AND(高値!AD167&gt;高値!AC167,高値!AD167&gt;高値!AB167,高値!AD167&gt;高値!AE167,高値!AD167&gt;高値!AF167),25,""))</f>
        <v/>
      </c>
      <c r="BA167" s="503" t="str">
        <f>IF(終値!A167="","",IF(AND(高値!AE167&gt;高値!AD167,高値!AE167&gt;高値!AC167,高値!AE167&gt;高値!AF167,高値!AE167&gt;高値!AG167),26,""))</f>
        <v/>
      </c>
      <c r="BB167" s="503" t="str">
        <f>IF(終値!A167="","",IF(AND(高値!AF167&gt;高値!AE167,高値!AF167&gt;高値!AD167,高値!AF167&gt;高値!AG167,高値!AF167&gt;高値!AH167),27,""))</f>
        <v/>
      </c>
      <c r="BC167" s="503">
        <f>IF(終値!A167="","",IF(AND(高値!AG167&gt;高値!AF167,高値!AG167&gt;高値!AE167,高値!AG167&gt;高値!AH167,高値!AG167&gt;高値!AI167),28,""))</f>
        <v>28</v>
      </c>
      <c r="BD167" s="503">
        <f t="shared" si="12"/>
        <v>5</v>
      </c>
      <c r="BE167" s="503">
        <f t="shared" si="13"/>
        <v>5</v>
      </c>
      <c r="BF167" s="503">
        <f t="shared" si="14"/>
        <v>9</v>
      </c>
      <c r="BG167" s="503">
        <f>IF($BE167="","",INDEX(安値!$E167:$CZ167,1,$BE167+1))</f>
        <v>2838</v>
      </c>
      <c r="BH167" s="503">
        <f>IF($BF167="","",INDEX(安値!$E167:$CZ167,1,$BF167+1))</f>
        <v>0</v>
      </c>
      <c r="BI167" s="503">
        <f>IF($BF167="","",MAX(INDEX(高値!$E167:$CZ167,1,$BE167+1):INDEX(高値!$E167:$CZ167,1,$BF167+1)))</f>
        <v>3225</v>
      </c>
      <c r="BJ167" s="503">
        <f>IF($BF167="","",AVERAGE(INDEX(終値!$E167:$CZ167,1,$BF167+1):INDEX(終値!$E167:$CZ167,1,$BF167+20))-2*STDEVP(INDEX(終値!$E167:$CZ167,1,$BF167+1):INDEX(終値!$E167:$CZ167,1,$BF167+20)))</f>
        <v>3049.6279540812038</v>
      </c>
      <c r="BK167" s="503">
        <f>IF($BE167="","",AVERAGE(INDEX(終値!$E167:$CZ167,1,$BE167+1):INDEX(終値!$E167:$CZ167,1,$BE167+20))-2*STDEVP(INDEX(終値!$E167:$CZ167,1,$BE167+1):INDEX(終値!$E167:$CZ167,1,$BE167+20)))</f>
        <v>3039.5277523895215</v>
      </c>
      <c r="BL167" s="503">
        <f t="shared" si="15"/>
        <v>3</v>
      </c>
      <c r="BM167" s="503">
        <f t="shared" si="16"/>
        <v>11</v>
      </c>
      <c r="BN167" s="503">
        <f t="shared" si="17"/>
        <v>17</v>
      </c>
      <c r="BO167" s="503">
        <f>IF($BM167="","",INDEX(高値!$E167:$CZ167,1,$BM167+1))</f>
        <v>3250</v>
      </c>
      <c r="BP167" s="503">
        <f>IF($BN167="","",INDEX(高値!$E167:$CZ167,1,$BN167+1))</f>
        <v>3315</v>
      </c>
      <c r="BQ167" s="503">
        <f>IF($BN167="","",MIN(INDEX(安値!$E167:$CZ167,1,$BM167+1):INDEX(安値!$E167:$CZ167,1,$BN167+1)))</f>
        <v>3040</v>
      </c>
      <c r="BR167" s="503">
        <f>IF($BN167="","",AVERAGE(INDEX(終値!$E167:$CZ167,1,$BN167+1):INDEX(終値!$E167:$CZ167,1,$BN167+20))+2*STDEVP(INDEX(終値!$E167:$CZ167,1,$BN167+1):INDEX(終値!$E167:$CZ167,1,$BN167+20)))</f>
        <v>3604.8213573366047</v>
      </c>
      <c r="BS167" s="503">
        <f>IF($BM167="","",AVERAGE(INDEX(終値!$E167:$CZ167,1,$BM167+1):INDEX(終値!$E167:$CZ167,1,$BM167+20))+2*STDEVP(INDEX(終値!$E167:$CZ167,1,$BM167+1):INDEX(終値!$E167:$CZ167,1,$BM167+20)))</f>
        <v>3574.3233799533759</v>
      </c>
      <c r="BT167" s="500"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v>
      </c>
    </row>
    <row r="168" spans="2:72">
      <c r="B168" s="503" t="str">
        <f>IF(終値!A168="","",IF(AND(安値!G168&lt;安値!F168,安値!G168&lt;安値!E168,安値!G168&lt;安値!H168,安値!G168&lt;安値!I168),2,""))</f>
        <v/>
      </c>
      <c r="C168" s="503">
        <f>IF(終値!A168="","",IF(AND(安値!H168&lt;安値!G168,安値!H168&lt;安値!F168,安値!H168&lt;安値!I168,安値!H168&lt;安値!J168),3,""))</f>
        <v>3</v>
      </c>
      <c r="D168" s="503" t="str">
        <f>IF(終値!A168="","",IF(AND(安値!I168&lt;安値!H168,安値!I168&lt;安値!G168,安値!I168&lt;安値!J168,安値!I168&lt;安値!K168),4,""))</f>
        <v/>
      </c>
      <c r="E168" s="503" t="str">
        <f>IF(終値!A168="","",IF(AND(安値!J168&lt;安値!I168,安値!J168&lt;安値!H168,安値!J168&lt;安値!K168,安値!J168&lt;安値!L168),5,""))</f>
        <v/>
      </c>
      <c r="F168" s="503" t="str">
        <f>IF(終値!A168="","",IF(AND(安値!K168&lt;安値!J168,安値!K168&lt;安値!I168,安値!K168&lt;安値!L168,安値!K168&lt;安値!M168),6,""))</f>
        <v/>
      </c>
      <c r="G168" s="503" t="str">
        <f>IF(終値!A168="","",IF(AND(安値!L168&lt;安値!K168,安値!L168&lt;安値!J168,安値!L168&lt;安値!M168,安値!L168&lt;安値!N168),7,""))</f>
        <v/>
      </c>
      <c r="H168" s="503" t="str">
        <f>IF(終値!A168="","",IF(AND(安値!M168&lt;安値!L168,安値!M168&lt;安値!K168,安値!M168&lt;安値!N168,安値!M168&lt;安値!O168),8,""))</f>
        <v/>
      </c>
      <c r="I168" s="503">
        <f>IF(終値!A168="","",IF(AND(安値!N168&lt;安値!M168,安値!N168&lt;安値!L168,安値!N168&lt;安値!O168,安値!N168&lt;安値!P168),9,""))</f>
        <v>9</v>
      </c>
      <c r="J168" s="503" t="str">
        <f>IF(終値!A168="","",IF(AND(安値!O168&lt;安値!N168,安値!O168&lt;安値!M168,安値!O168&lt;安値!P168,安値!O168&lt;安値!Q168),10,""))</f>
        <v/>
      </c>
      <c r="K168" s="503" t="str">
        <f>IF(終値!A168="","",IF(AND(安値!P168&lt;安値!O168,安値!P168&lt;安値!N168,安値!P168&lt;安値!Q168,安値!P168&lt;安値!R168),11,""))</f>
        <v/>
      </c>
      <c r="L168" s="503" t="str">
        <f>IF(終値!A168="","",IF(AND(安値!Q168&lt;安値!P168,安値!Q168&lt;安値!O168,安値!Q168&lt;安値!R168,安値!Q168&lt;安値!S168),12,""))</f>
        <v/>
      </c>
      <c r="M168" s="503">
        <f>IF(終値!A168="","",IF(AND(安値!R168&lt;安値!Q168,安値!R168&lt;安値!P168,安値!R168&lt;安値!S168,安値!R168&lt;安値!T168),13,""))</f>
        <v>13</v>
      </c>
      <c r="N168" s="503" t="str">
        <f>IF(終値!A168="","",IF(AND(安値!S168&lt;安値!R168,安値!S168&lt;安値!Q168,安値!S168&lt;安値!T168,安値!S168&lt;安値!U168),14,""))</f>
        <v/>
      </c>
      <c r="O168" s="503" t="str">
        <f>IF(終値!A168="","",IF(AND(安値!T168&lt;安値!S168,安値!T168&lt;安値!R168,安値!T168&lt;安値!U168,安値!T168&lt;安値!V168),15,""))</f>
        <v/>
      </c>
      <c r="P168" s="503" t="str">
        <f>IF(終値!A168="","",IF(AND(安値!U168&lt;安値!T168,安値!U168&lt;安値!S168,安値!U168&lt;安値!V168,安値!U168&lt;安値!W168),16,""))</f>
        <v/>
      </c>
      <c r="Q168" s="503" t="str">
        <f>IF(終値!A168="","",IF(AND(安値!V168&lt;安値!U168,安値!V168&lt;安値!T168,安値!V168&lt;安値!W168,安値!V168&lt;安値!X168),17,""))</f>
        <v/>
      </c>
      <c r="R168" s="503">
        <f>IF(終値!A168="","",IF(AND(安値!W168&lt;安値!V168,安値!W168&lt;安値!U168,安値!W168&lt;安値!X168,安値!W168&lt;安値!Y168),18,""))</f>
        <v>18</v>
      </c>
      <c r="S168" s="503" t="str">
        <f>IF(終値!A168="","",IF(AND(安値!X168&lt;安値!W168,安値!X168&lt;安値!V168,安値!X168&lt;安値!Y168,安値!X168&lt;安値!Z168),19,""))</f>
        <v/>
      </c>
      <c r="T168" s="503" t="str">
        <f>IF(終値!A168="","",IF(AND(安値!Y168&lt;安値!X168,安値!Y168&lt;安値!W168,安値!Y168&lt;安値!Z168,安値!Y168&lt;安値!AA168),20,""))</f>
        <v/>
      </c>
      <c r="U168" s="503" t="str">
        <f>IF(終値!A168="","",IF(AND(安値!Z168&lt;安値!Y168,安値!Z168&lt;安値!X168,安値!Z168&lt;安値!AA168,安値!Z168&lt;安値!AB168),21,""))</f>
        <v/>
      </c>
      <c r="V168" s="503" t="str">
        <f>IF(終値!A168="","",IF(AND(安値!AA168&lt;安値!Z168,安値!AA168&lt;安値!Y168,安値!AA168&lt;安値!AB168,安値!AA168&lt;安値!AC168),22,""))</f>
        <v/>
      </c>
      <c r="W168" s="503" t="str">
        <f>IF(終値!A168="","",IF(AND(安値!AB168&lt;安値!AA168,安値!AB168&lt;安値!Z168,安値!AB168&lt;安値!AC168,安値!AB168&lt;安値!AD168),23,""))</f>
        <v/>
      </c>
      <c r="X168" s="503">
        <f>IF(終値!A168="","",IF(AND(安値!AC168&lt;安値!AB168,安値!AC168&lt;安値!AA168,安値!AC168&lt;安値!AD168,安値!AC168&lt;安値!AE168),24,""))</f>
        <v>24</v>
      </c>
      <c r="Y168" s="503" t="str">
        <f>IF(終値!A168="","",IF(AND(安値!AD168&lt;安値!AC168,安値!AD168&lt;安値!AB168,安値!AD168&lt;安値!AE168,安値!AD168&lt;安値!AF168),25,""))</f>
        <v/>
      </c>
      <c r="Z168" s="503" t="str">
        <f>IF(終値!A168="","",IF(AND(安値!AE168&lt;安値!AD168,安値!AE168&lt;安値!AC168,安値!AE168&lt;安値!AF168,安値!AE168&lt;安値!AG168),26,""))</f>
        <v/>
      </c>
      <c r="AA168" s="503" t="str">
        <f>IF(終値!A168="","",IF(AND(安値!AF168&lt;安値!AE168,安値!AF168&lt;安値!AD168,安値!AF168&lt;安値!AG168,安値!AF168&lt;安値!AH168),27,""))</f>
        <v/>
      </c>
      <c r="AB168" s="503" t="str">
        <f>IF(終値!A168="","",IF(AND(安値!AG168&lt;安値!AF168,安値!AG168&lt;安値!AE168,安値!AG168&lt;安値!AH168,安値!AG168&lt;安値!AI168),28,""))</f>
        <v/>
      </c>
      <c r="AC168" s="503" t="str">
        <f>IF(終値!A168="","",IF(AND(高値!G168&gt;高値!F168,高値!G168&gt;高値!E168,高値!G168&gt;高値!H168,高値!G168&gt;高値!I168),2,""))</f>
        <v/>
      </c>
      <c r="AD168" s="503" t="str">
        <f>IF(終値!A168="","",IF(AND(高値!H168&gt;高値!G168,高値!H168&gt;高値!F168,高値!H168&gt;高値!I168,高値!H168&gt;高値!J168),3,""))</f>
        <v/>
      </c>
      <c r="AE168" s="503" t="str">
        <f>IF(終値!A168="","",IF(AND(高値!I168&gt;高値!H168,高値!I168&gt;高値!G168,高値!I168&gt;高値!J168,高値!I168&gt;高値!K168),4,""))</f>
        <v/>
      </c>
      <c r="AF168" s="503" t="str">
        <f>IF(終値!A168="","",IF(AND(高値!J168&gt;高値!I168,高値!J168&gt;高値!H168,高値!J168&gt;高値!K168,高値!J168&gt;高値!L168),5,""))</f>
        <v/>
      </c>
      <c r="AG168" s="503" t="str">
        <f>IF(終値!A168="","",IF(AND(高値!K168&gt;高値!J168,高値!K168&gt;高値!I168,高値!K168&gt;高値!L168,高値!K168&gt;高値!M168),6,""))</f>
        <v/>
      </c>
      <c r="AH168" s="503" t="str">
        <f>IF(終値!A168="","",IF(AND(高値!L168&gt;高値!K168,高値!L168&gt;高値!J168,高値!L168&gt;高値!M168,高値!L168&gt;高値!N168),7,""))</f>
        <v/>
      </c>
      <c r="AI168" s="503" t="str">
        <f>IF(終値!A168="","",IF(AND(高値!M168&gt;高値!L168,高値!M168&gt;高値!K168,高値!M168&gt;高値!N168,高値!M168&gt;高値!O168),8,""))</f>
        <v/>
      </c>
      <c r="AJ168" s="503" t="str">
        <f>IF(終値!A168="","",IF(AND(高値!N168&gt;高値!M168,高値!N168&gt;高値!L168,高値!N168&gt;高値!O168,高値!N168&gt;高値!P168),9,""))</f>
        <v/>
      </c>
      <c r="AK168" s="503" t="str">
        <f>IF(終値!A168="","",IF(AND(高値!O168&gt;高値!N168,高値!O168&gt;高値!M168,高値!O168&gt;高値!P168,高値!O168&gt;高値!Q168),10,""))</f>
        <v/>
      </c>
      <c r="AL168" s="503" t="str">
        <f>IF(終値!A168="","",IF(AND(高値!P168&gt;高値!O168,高値!P168&gt;高値!N168,高値!P168&gt;高値!Q168,高値!P168&gt;高値!R168),11,""))</f>
        <v/>
      </c>
      <c r="AM168" s="503" t="str">
        <f>IF(終値!A168="","",IF(AND(高値!Q168&gt;高値!P168,高値!Q168&gt;高値!O168,高値!Q168&gt;高値!R168,高値!Q168&gt;高値!S168),12,""))</f>
        <v/>
      </c>
      <c r="AN168" s="503" t="str">
        <f>IF(終値!A168="","",IF(AND(高値!R168&gt;高値!Q168,高値!R168&gt;高値!P168,高値!R168&gt;高値!S168,高値!R168&gt;高値!T168),13,""))</f>
        <v/>
      </c>
      <c r="AO168" s="503" t="str">
        <f>IF(終値!A168="","",IF(AND(高値!S168&gt;高値!R168,高値!S168&gt;高値!Q168,高値!S168&gt;高値!T168,高値!S168&gt;高値!U168),14,""))</f>
        <v/>
      </c>
      <c r="AP168" s="503" t="str">
        <f>IF(終値!A168="","",IF(AND(高値!T168&gt;高値!S168,高値!T168&gt;高値!R168,高値!T168&gt;高値!U168,高値!T168&gt;高値!V168),15,""))</f>
        <v/>
      </c>
      <c r="AQ168" s="503" t="str">
        <f>IF(終値!A168="","",IF(AND(高値!U168&gt;高値!T168,高値!U168&gt;高値!S168,高値!U168&gt;高値!V168,高値!U168&gt;高値!W168),16,""))</f>
        <v/>
      </c>
      <c r="AR168" s="503" t="str">
        <f>IF(終値!A168="","",IF(AND(高値!V168&gt;高値!U168,高値!V168&gt;高値!T168,高値!V168&gt;高値!W168,高値!V168&gt;高値!X168),17,""))</f>
        <v/>
      </c>
      <c r="AS168" s="503" t="str">
        <f>IF(終値!A168="","",IF(AND(高値!W168&gt;高値!V168,高値!W168&gt;高値!U168,高値!W168&gt;高値!X168,高値!W168&gt;高値!Y168),18,""))</f>
        <v/>
      </c>
      <c r="AT168" s="503" t="str">
        <f>IF(終値!A168="","",IF(AND(高値!X168&gt;高値!W168,高値!X168&gt;高値!V168,高値!X168&gt;高値!Y168,高値!X168&gt;高値!Z168),19,""))</f>
        <v/>
      </c>
      <c r="AU168" s="503">
        <f>IF(終値!A168="","",IF(AND(高値!Y168&gt;高値!X168,高値!Y168&gt;高値!W168,高値!Y168&gt;高値!Z168,高値!Y168&gt;高値!AA168),20,""))</f>
        <v>20</v>
      </c>
      <c r="AV168" s="503" t="str">
        <f>IF(終値!A168="","",IF(AND(高値!Z168&gt;高値!Y168,高値!Z168&gt;高値!X168,高値!Z168&gt;高値!AA168,高値!Z168&gt;高値!AB168),21,""))</f>
        <v/>
      </c>
      <c r="AW168" s="503" t="str">
        <f>IF(終値!A168="","",IF(AND(高値!AA168&gt;高値!Z168,高値!AA168&gt;高値!Y168,高値!AA168&gt;高値!AB168,高値!AA168&gt;高値!AC168),22,""))</f>
        <v/>
      </c>
      <c r="AX168" s="503" t="str">
        <f>IF(終値!A168="","",IF(AND(高値!AB168&gt;高値!AA168,高値!AB168&gt;高値!Z168,高値!AB168&gt;高値!AC168,高値!AB168&gt;高値!AD168),23,""))</f>
        <v/>
      </c>
      <c r="AY168" s="503" t="str">
        <f>IF(終値!A168="","",IF(AND(高値!AC168&gt;高値!AB168,高値!AC168&gt;高値!AA168,高値!AC168&gt;高値!AD168,高値!AC168&gt;高値!AE168),24,""))</f>
        <v/>
      </c>
      <c r="AZ168" s="503" t="str">
        <f>IF(終値!A168="","",IF(AND(高値!AD168&gt;高値!AC168,高値!AD168&gt;高値!AB168,高値!AD168&gt;高値!AE168,高値!AD168&gt;高値!AF168),25,""))</f>
        <v/>
      </c>
      <c r="BA168" s="503">
        <f>IF(終値!A168="","",IF(AND(高値!AE168&gt;高値!AD168,高値!AE168&gt;高値!AC168,高値!AE168&gt;高値!AF168,高値!AE168&gt;高値!AG168),26,""))</f>
        <v>26</v>
      </c>
      <c r="BB168" s="503" t="str">
        <f>IF(終値!A168="","",IF(AND(高値!AF168&gt;高値!AE168,高値!AF168&gt;高値!AD168,高値!AF168&gt;高値!AG168,高値!AF168&gt;高値!AH168),27,""))</f>
        <v/>
      </c>
      <c r="BC168" s="503" t="str">
        <f>IF(終値!A168="","",IF(AND(高値!AG168&gt;高値!AF168,高値!AG168&gt;高値!AE168,高値!AG168&gt;高値!AH168,高値!AG168&gt;高値!AI168),28,""))</f>
        <v/>
      </c>
      <c r="BD168" s="503">
        <f t="shared" si="12"/>
        <v>5</v>
      </c>
      <c r="BE168" s="503">
        <f t="shared" si="13"/>
        <v>3</v>
      </c>
      <c r="BF168" s="503">
        <f t="shared" si="14"/>
        <v>9</v>
      </c>
      <c r="BG168" s="503">
        <f>IF($BE168="","",INDEX(安値!$E168:$CZ168,1,$BE168+1))</f>
        <v>1999</v>
      </c>
      <c r="BH168" s="503">
        <f>IF($BF168="","",INDEX(安値!$E168:$CZ168,1,$BF168+1))</f>
        <v>0</v>
      </c>
      <c r="BI168" s="503">
        <f>IF($BF168="","",MAX(INDEX(高値!$E168:$CZ168,1,$BE168+1):INDEX(高値!$E168:$CZ168,1,$BF168+1)))</f>
        <v>2085</v>
      </c>
      <c r="BJ168" s="503">
        <f>IF($BF168="","",AVERAGE(INDEX(終値!$E168:$CZ168,1,$BF168+1):INDEX(終値!$E168:$CZ168,1,$BF168+20))-2*STDEVP(INDEX(終値!$E168:$CZ168,1,$BF168+1):INDEX(終値!$E168:$CZ168,1,$BF168+20)))</f>
        <v>1922.3023224583285</v>
      </c>
      <c r="BK168" s="503">
        <f>IF($BE168="","",AVERAGE(INDEX(終値!$E168:$CZ168,1,$BE168+1):INDEX(終値!$E168:$CZ168,1,$BE168+20))-2*STDEVP(INDEX(終値!$E168:$CZ168,1,$BE168+1):INDEX(終値!$E168:$CZ168,1,$BE168+20)))</f>
        <v>1927.0543451868639</v>
      </c>
      <c r="BL168" s="503">
        <f t="shared" si="15"/>
        <v>2</v>
      </c>
      <c r="BM168" s="503">
        <f t="shared" si="16"/>
        <v>20</v>
      </c>
      <c r="BN168" s="503">
        <f t="shared" si="17"/>
        <v>26</v>
      </c>
      <c r="BO168" s="503">
        <f>IF($BM168="","",INDEX(高値!$E168:$CZ168,1,$BM168+1))</f>
        <v>1974</v>
      </c>
      <c r="BP168" s="503">
        <f>IF($BN168="","",INDEX(高値!$E168:$CZ168,1,$BN168+1))</f>
        <v>2040</v>
      </c>
      <c r="BQ168" s="503">
        <f>IF($BN168="","",MIN(INDEX(安値!$E168:$CZ168,1,$BM168+1):INDEX(安値!$E168:$CZ168,1,$BN168+1)))</f>
        <v>1924</v>
      </c>
      <c r="BR168" s="503">
        <f>IF($BN168="","",AVERAGE(INDEX(終値!$E168:$CZ168,1,$BN168+1):INDEX(終値!$E168:$CZ168,1,$BN168+20))+2*STDEVP(INDEX(終値!$E168:$CZ168,1,$BN168+1):INDEX(終値!$E168:$CZ168,1,$BN168+20)))</f>
        <v>2064.7590134466082</v>
      </c>
      <c r="BS168" s="503">
        <f>IF($BM168="","",AVERAGE(INDEX(終値!$E168:$CZ168,1,$BM168+1):INDEX(終値!$E168:$CZ168,1,$BM168+20))+2*STDEVP(INDEX(終値!$E168:$CZ168,1,$BM168+1):INDEX(終値!$E168:$CZ168,1,$BM168+20)))</f>
        <v>2061.9673196181548</v>
      </c>
      <c r="BT168" s="500"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3" t="str">
        <f>IF(終値!A169="","",IF(AND(安値!G169&lt;安値!F169,安値!G169&lt;安値!E169,安値!G169&lt;安値!H169,安値!G169&lt;安値!I169),2,""))</f>
        <v/>
      </c>
      <c r="C169" s="503">
        <f>IF(終値!A169="","",IF(AND(安値!H169&lt;安値!G169,安値!H169&lt;安値!F169,安値!H169&lt;安値!I169,安値!H169&lt;安値!J169),3,""))</f>
        <v>3</v>
      </c>
      <c r="D169" s="503" t="str">
        <f>IF(終値!A169="","",IF(AND(安値!I169&lt;安値!H169,安値!I169&lt;安値!G169,安値!I169&lt;安値!J169,安値!I169&lt;安値!K169),4,""))</f>
        <v/>
      </c>
      <c r="E169" s="503" t="str">
        <f>IF(終値!A169="","",IF(AND(安値!J169&lt;安値!I169,安値!J169&lt;安値!H169,安値!J169&lt;安値!K169,安値!J169&lt;安値!L169),5,""))</f>
        <v/>
      </c>
      <c r="F169" s="503" t="str">
        <f>IF(終値!A169="","",IF(AND(安値!K169&lt;安値!J169,安値!K169&lt;安値!I169,安値!K169&lt;安値!L169,安値!K169&lt;安値!M169),6,""))</f>
        <v/>
      </c>
      <c r="G169" s="503" t="str">
        <f>IF(終値!A169="","",IF(AND(安値!L169&lt;安値!K169,安値!L169&lt;安値!J169,安値!L169&lt;安値!M169,安値!L169&lt;安値!N169),7,""))</f>
        <v/>
      </c>
      <c r="H169" s="503" t="str">
        <f>IF(終値!A169="","",IF(AND(安値!M169&lt;安値!L169,安値!M169&lt;安値!K169,安値!M169&lt;安値!N169,安値!M169&lt;安値!O169),8,""))</f>
        <v/>
      </c>
      <c r="I169" s="503">
        <f>IF(終値!A169="","",IF(AND(安値!N169&lt;安値!M169,安値!N169&lt;安値!L169,安値!N169&lt;安値!O169,安値!N169&lt;安値!P169),9,""))</f>
        <v>9</v>
      </c>
      <c r="J169" s="503" t="str">
        <f>IF(終値!A169="","",IF(AND(安値!O169&lt;安値!N169,安値!O169&lt;安値!M169,安値!O169&lt;安値!P169,安値!O169&lt;安値!Q169),10,""))</f>
        <v/>
      </c>
      <c r="K169" s="503" t="str">
        <f>IF(終値!A169="","",IF(AND(安値!P169&lt;安値!O169,安値!P169&lt;安値!N169,安値!P169&lt;安値!Q169,安値!P169&lt;安値!R169),11,""))</f>
        <v/>
      </c>
      <c r="L169" s="503" t="str">
        <f>IF(終値!A169="","",IF(AND(安値!Q169&lt;安値!P169,安値!Q169&lt;安値!O169,安値!Q169&lt;安値!R169,安値!Q169&lt;安値!S169),12,""))</f>
        <v/>
      </c>
      <c r="M169" s="503">
        <f>IF(終値!A169="","",IF(AND(安値!R169&lt;安値!Q169,安値!R169&lt;安値!P169,安値!R169&lt;安値!S169,安値!R169&lt;安値!T169),13,""))</f>
        <v>13</v>
      </c>
      <c r="N169" s="503" t="str">
        <f>IF(終値!A169="","",IF(AND(安値!S169&lt;安値!R169,安値!S169&lt;安値!Q169,安値!S169&lt;安値!T169,安値!S169&lt;安値!U169),14,""))</f>
        <v/>
      </c>
      <c r="O169" s="503" t="str">
        <f>IF(終値!A169="","",IF(AND(安値!T169&lt;安値!S169,安値!T169&lt;安値!R169,安値!T169&lt;安値!U169,安値!T169&lt;安値!V169),15,""))</f>
        <v/>
      </c>
      <c r="P169" s="503" t="str">
        <f>IF(終値!A169="","",IF(AND(安値!U169&lt;安値!T169,安値!U169&lt;安値!S169,安値!U169&lt;安値!V169,安値!U169&lt;安値!W169),16,""))</f>
        <v/>
      </c>
      <c r="Q169" s="503" t="str">
        <f>IF(終値!A169="","",IF(AND(安値!V169&lt;安値!U169,安値!V169&lt;安値!T169,安値!V169&lt;安値!W169,安値!V169&lt;安値!X169),17,""))</f>
        <v/>
      </c>
      <c r="R169" s="503" t="str">
        <f>IF(終値!A169="","",IF(AND(安値!W169&lt;安値!V169,安値!W169&lt;安値!U169,安値!W169&lt;安値!X169,安値!W169&lt;安値!Y169),18,""))</f>
        <v/>
      </c>
      <c r="S169" s="503" t="str">
        <f>IF(終値!A169="","",IF(AND(安値!X169&lt;安値!W169,安値!X169&lt;安値!V169,安値!X169&lt;安値!Y169,安値!X169&lt;安値!Z169),19,""))</f>
        <v/>
      </c>
      <c r="T169" s="503" t="str">
        <f>IF(終値!A169="","",IF(AND(安値!Y169&lt;安値!X169,安値!Y169&lt;安値!W169,安値!Y169&lt;安値!Z169,安値!Y169&lt;安値!AA169),20,""))</f>
        <v/>
      </c>
      <c r="U169" s="503" t="str">
        <f>IF(終値!A169="","",IF(AND(安値!Z169&lt;安値!Y169,安値!Z169&lt;安値!X169,安値!Z169&lt;安値!AA169,安値!Z169&lt;安値!AB169),21,""))</f>
        <v/>
      </c>
      <c r="V169" s="503" t="str">
        <f>IF(終値!A169="","",IF(AND(安値!AA169&lt;安値!Z169,安値!AA169&lt;安値!Y169,安値!AA169&lt;安値!AB169,安値!AA169&lt;安値!AC169),22,""))</f>
        <v/>
      </c>
      <c r="W169" s="503" t="str">
        <f>IF(終値!A169="","",IF(AND(安値!AB169&lt;安値!AA169,安値!AB169&lt;安値!Z169,安値!AB169&lt;安値!AC169,安値!AB169&lt;安値!AD169),23,""))</f>
        <v/>
      </c>
      <c r="X169" s="503" t="str">
        <f>IF(終値!A169="","",IF(AND(安値!AC169&lt;安値!AB169,安値!AC169&lt;安値!AA169,安値!AC169&lt;安値!AD169,安値!AC169&lt;安値!AE169),24,""))</f>
        <v/>
      </c>
      <c r="Y169" s="503" t="str">
        <f>IF(終値!A169="","",IF(AND(安値!AD169&lt;安値!AC169,安値!AD169&lt;安値!AB169,安値!AD169&lt;安値!AE169,安値!AD169&lt;安値!AF169),25,""))</f>
        <v/>
      </c>
      <c r="Z169" s="503" t="str">
        <f>IF(終値!A169="","",IF(AND(安値!AE169&lt;安値!AD169,安値!AE169&lt;安値!AC169,安値!AE169&lt;安値!AF169,安値!AE169&lt;安値!AG169),26,""))</f>
        <v/>
      </c>
      <c r="AA169" s="503" t="str">
        <f>IF(終値!A169="","",IF(AND(安値!AF169&lt;安値!AE169,安値!AF169&lt;安値!AD169,安値!AF169&lt;安値!AG169,安値!AF169&lt;安値!AH169),27,""))</f>
        <v/>
      </c>
      <c r="AB169" s="503" t="str">
        <f>IF(終値!A169="","",IF(AND(安値!AG169&lt;安値!AF169,安値!AG169&lt;安値!AE169,安値!AG169&lt;安値!AH169,安値!AG169&lt;安値!AI169),28,""))</f>
        <v/>
      </c>
      <c r="AC169" s="503" t="str">
        <f>IF(終値!A169="","",IF(AND(高値!G169&gt;高値!F169,高値!G169&gt;高値!E169,高値!G169&gt;高値!H169,高値!G169&gt;高値!I169),2,""))</f>
        <v/>
      </c>
      <c r="AD169" s="503" t="str">
        <f>IF(終値!A169="","",IF(AND(高値!H169&gt;高値!G169,高値!H169&gt;高値!F169,高値!H169&gt;高値!I169,高値!H169&gt;高値!J169),3,""))</f>
        <v/>
      </c>
      <c r="AE169" s="503">
        <f>IF(終値!A169="","",IF(AND(高値!I169&gt;高値!H169,高値!I169&gt;高値!G169,高値!I169&gt;高値!J169,高値!I169&gt;高値!K169),4,""))</f>
        <v>4</v>
      </c>
      <c r="AF169" s="503" t="str">
        <f>IF(終値!A169="","",IF(AND(高値!J169&gt;高値!I169,高値!J169&gt;高値!H169,高値!J169&gt;高値!K169,高値!J169&gt;高値!L169),5,""))</f>
        <v/>
      </c>
      <c r="AG169" s="503" t="str">
        <f>IF(終値!A169="","",IF(AND(高値!K169&gt;高値!J169,高値!K169&gt;高値!I169,高値!K169&gt;高値!L169,高値!K169&gt;高値!M169),6,""))</f>
        <v/>
      </c>
      <c r="AH169" s="503" t="str">
        <f>IF(終値!A169="","",IF(AND(高値!L169&gt;高値!K169,高値!L169&gt;高値!J169,高値!L169&gt;高値!M169,高値!L169&gt;高値!N169),7,""))</f>
        <v/>
      </c>
      <c r="AI169" s="503" t="str">
        <f>IF(終値!A169="","",IF(AND(高値!M169&gt;高値!L169,高値!M169&gt;高値!K169,高値!M169&gt;高値!N169,高値!M169&gt;高値!O169),8,""))</f>
        <v/>
      </c>
      <c r="AJ169" s="503" t="str">
        <f>IF(終値!A169="","",IF(AND(高値!N169&gt;高値!M169,高値!N169&gt;高値!L169,高値!N169&gt;高値!O169,高値!N169&gt;高値!P169),9,""))</f>
        <v/>
      </c>
      <c r="AK169" s="503" t="str">
        <f>IF(終値!A169="","",IF(AND(高値!O169&gt;高値!N169,高値!O169&gt;高値!M169,高値!O169&gt;高値!P169,高値!O169&gt;高値!Q169),10,""))</f>
        <v/>
      </c>
      <c r="AL169" s="503" t="str">
        <f>IF(終値!A169="","",IF(AND(高値!P169&gt;高値!O169,高値!P169&gt;高値!N169,高値!P169&gt;高値!Q169,高値!P169&gt;高値!R169),11,""))</f>
        <v/>
      </c>
      <c r="AM169" s="503" t="str">
        <f>IF(終値!A169="","",IF(AND(高値!Q169&gt;高値!P169,高値!Q169&gt;高値!O169,高値!Q169&gt;高値!R169,高値!Q169&gt;高値!S169),12,""))</f>
        <v/>
      </c>
      <c r="AN169" s="503" t="str">
        <f>IF(終値!A169="","",IF(AND(高値!R169&gt;高値!Q169,高値!R169&gt;高値!P169,高値!R169&gt;高値!S169,高値!R169&gt;高値!T169),13,""))</f>
        <v/>
      </c>
      <c r="AO169" s="503" t="str">
        <f>IF(終値!A169="","",IF(AND(高値!S169&gt;高値!R169,高値!S169&gt;高値!Q169,高値!S169&gt;高値!T169,高値!S169&gt;高値!U169),14,""))</f>
        <v/>
      </c>
      <c r="AP169" s="503" t="str">
        <f>IF(終値!A169="","",IF(AND(高値!T169&gt;高値!S169,高値!T169&gt;高値!R169,高値!T169&gt;高値!U169,高値!T169&gt;高値!V169),15,""))</f>
        <v/>
      </c>
      <c r="AQ169" s="503">
        <f>IF(終値!A169="","",IF(AND(高値!U169&gt;高値!T169,高値!U169&gt;高値!S169,高値!U169&gt;高値!V169,高値!U169&gt;高値!W169),16,""))</f>
        <v>16</v>
      </c>
      <c r="AR169" s="503" t="str">
        <f>IF(終値!A169="","",IF(AND(高値!V169&gt;高値!U169,高値!V169&gt;高値!T169,高値!V169&gt;高値!W169,高値!V169&gt;高値!X169),17,""))</f>
        <v/>
      </c>
      <c r="AS169" s="503" t="str">
        <f>IF(終値!A169="","",IF(AND(高値!W169&gt;高値!V169,高値!W169&gt;高値!U169,高値!W169&gt;高値!X169,高値!W169&gt;高値!Y169),18,""))</f>
        <v/>
      </c>
      <c r="AT169" s="503" t="str">
        <f>IF(終値!A169="","",IF(AND(高値!X169&gt;高値!W169,高値!X169&gt;高値!V169,高値!X169&gt;高値!Y169,高値!X169&gt;高値!Z169),19,""))</f>
        <v/>
      </c>
      <c r="AU169" s="503" t="str">
        <f>IF(終値!A169="","",IF(AND(高値!Y169&gt;高値!X169,高値!Y169&gt;高値!W169,高値!Y169&gt;高値!Z169,高値!Y169&gt;高値!AA169),20,""))</f>
        <v/>
      </c>
      <c r="AV169" s="503" t="str">
        <f>IF(終値!A169="","",IF(AND(高値!Z169&gt;高値!Y169,高値!Z169&gt;高値!X169,高値!Z169&gt;高値!AA169,高値!Z169&gt;高値!AB169),21,""))</f>
        <v/>
      </c>
      <c r="AW169" s="503" t="str">
        <f>IF(終値!A169="","",IF(AND(高値!AA169&gt;高値!Z169,高値!AA169&gt;高値!Y169,高値!AA169&gt;高値!AB169,高値!AA169&gt;高値!AC169),22,""))</f>
        <v/>
      </c>
      <c r="AX169" s="503" t="str">
        <f>IF(終値!A169="","",IF(AND(高値!AB169&gt;高値!AA169,高値!AB169&gt;高値!Z169,高値!AB169&gt;高値!AC169,高値!AB169&gt;高値!AD169),23,""))</f>
        <v/>
      </c>
      <c r="AY169" s="503" t="str">
        <f>IF(終値!A169="","",IF(AND(高値!AC169&gt;高値!AB169,高値!AC169&gt;高値!AA169,高値!AC169&gt;高値!AD169,高値!AC169&gt;高値!AE169),24,""))</f>
        <v/>
      </c>
      <c r="AZ169" s="503" t="str">
        <f>IF(終値!A169="","",IF(AND(高値!AD169&gt;高値!AC169,高値!AD169&gt;高値!AB169,高値!AD169&gt;高値!AE169,高値!AD169&gt;高値!AF169),25,""))</f>
        <v/>
      </c>
      <c r="BA169" s="503" t="str">
        <f>IF(終値!A169="","",IF(AND(高値!AE169&gt;高値!AD169,高値!AE169&gt;高値!AC169,高値!AE169&gt;高値!AF169,高値!AE169&gt;高値!AG169),26,""))</f>
        <v/>
      </c>
      <c r="BB169" s="503" t="str">
        <f>IF(終値!A169="","",IF(AND(高値!AF169&gt;高値!AE169,高値!AF169&gt;高値!AD169,高値!AF169&gt;高値!AG169,高値!AF169&gt;高値!AH169),27,""))</f>
        <v/>
      </c>
      <c r="BC169" s="503" t="str">
        <f>IF(終値!A169="","",IF(AND(高値!AG169&gt;高値!AF169,高値!AG169&gt;高値!AE169,高値!AG169&gt;高値!AH169,高値!AG169&gt;高値!AI169),28,""))</f>
        <v/>
      </c>
      <c r="BD169" s="503">
        <f t="shared" si="12"/>
        <v>3</v>
      </c>
      <c r="BE169" s="503">
        <f t="shared" si="13"/>
        <v>3</v>
      </c>
      <c r="BF169" s="503">
        <f t="shared" si="14"/>
        <v>9</v>
      </c>
      <c r="BG169" s="503">
        <f>IF($BE169="","",INDEX(安値!$E169:$CZ169,1,$BE169+1))</f>
        <v>877</v>
      </c>
      <c r="BH169" s="503">
        <f>IF($BF169="","",INDEX(安値!$E169:$CZ169,1,$BF169+1))</f>
        <v>900</v>
      </c>
      <c r="BI169" s="503">
        <f>IF($BF169="","",MAX(INDEX(高値!$E169:$CZ169,1,$BE169+1):INDEX(高値!$E169:$CZ169,1,$BF169+1)))</f>
        <v>932</v>
      </c>
      <c r="BJ169" s="503">
        <f>IF($BF169="","",AVERAGE(INDEX(終値!$E169:$CZ169,1,$BF169+1):INDEX(終値!$E169:$CZ169,1,$BF169+20))-2*STDEVP(INDEX(終値!$E169:$CZ169,1,$BF169+1):INDEX(終値!$E169:$CZ169,1,$BF169+20)))</f>
        <v>866.18774886328299</v>
      </c>
      <c r="BK169" s="503">
        <f>IF($BE169="","",AVERAGE(INDEX(終値!$E169:$CZ169,1,$BE169+1):INDEX(終値!$E169:$CZ169,1,$BE169+20))-2*STDEVP(INDEX(終値!$E169:$CZ169,1,$BE169+1):INDEX(終値!$E169:$CZ169,1,$BE169+20)))</f>
        <v>894.17424420375892</v>
      </c>
      <c r="BL169" s="503">
        <f t="shared" si="15"/>
        <v>2</v>
      </c>
      <c r="BM169" s="503">
        <f t="shared" si="16"/>
        <v>4</v>
      </c>
      <c r="BN169" s="503">
        <f t="shared" si="17"/>
        <v>16</v>
      </c>
      <c r="BO169" s="503">
        <f>IF($BM169="","",INDEX(高値!$E169:$CZ169,1,$BM169+1))</f>
        <v>932</v>
      </c>
      <c r="BP169" s="503">
        <f>IF($BN169="","",INDEX(高値!$E169:$CZ169,1,$BN169+1))</f>
        <v>925</v>
      </c>
      <c r="BQ169" s="503">
        <f>IF($BN169="","",MIN(INDEX(安値!$E169:$CZ169,1,$BM169+1):INDEX(安値!$E169:$CZ169,1,$BN169+1)))</f>
        <v>887</v>
      </c>
      <c r="BR169" s="503">
        <f>IF($BN169="","",AVERAGE(INDEX(終値!$E169:$CZ169,1,$BN169+1):INDEX(終値!$E169:$CZ169,1,$BN169+20))+2*STDEVP(INDEX(終値!$E169:$CZ169,1,$BN169+1):INDEX(終値!$E169:$CZ169,1,$BN169+20)))</f>
        <v>924.79239335223247</v>
      </c>
      <c r="BS169" s="503">
        <f>IF($BM169="","",AVERAGE(INDEX(終値!$E169:$CZ169,1,$BM169+1):INDEX(終値!$E169:$CZ169,1,$BM169+20))+2*STDEVP(INDEX(終値!$E169:$CZ169,1,$BM169+1):INDEX(終値!$E169:$CZ169,1,$BM169+20)))</f>
        <v>926.91546906868791</v>
      </c>
      <c r="BT169" s="500"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二番底W形成</v>
      </c>
    </row>
    <row r="170" spans="2:72">
      <c r="B170" s="503" t="str">
        <f>IF(終値!A170="","",IF(AND(安値!G170&lt;安値!F170,安値!G170&lt;安値!E170,安値!G170&lt;安値!H170,安値!G170&lt;安値!I170),2,""))</f>
        <v/>
      </c>
      <c r="C170" s="503" t="str">
        <f>IF(終値!A170="","",IF(AND(安値!H170&lt;安値!G170,安値!H170&lt;安値!F170,安値!H170&lt;安値!I170,安値!H170&lt;安値!J170),3,""))</f>
        <v/>
      </c>
      <c r="D170" s="503">
        <f>IF(終値!A170="","",IF(AND(安値!I170&lt;安値!H170,安値!I170&lt;安値!G170,安値!I170&lt;安値!J170,安値!I170&lt;安値!K170),4,""))</f>
        <v>4</v>
      </c>
      <c r="E170" s="503" t="str">
        <f>IF(終値!A170="","",IF(AND(安値!J170&lt;安値!I170,安値!J170&lt;安値!H170,安値!J170&lt;安値!K170,安値!J170&lt;安値!L170),5,""))</f>
        <v/>
      </c>
      <c r="F170" s="503" t="str">
        <f>IF(終値!A170="","",IF(AND(安値!K170&lt;安値!J170,安値!K170&lt;安値!I170,安値!K170&lt;安値!L170,安値!K170&lt;安値!M170),6,""))</f>
        <v/>
      </c>
      <c r="G170" s="503" t="str">
        <f>IF(終値!A170="","",IF(AND(安値!L170&lt;安値!K170,安値!L170&lt;安値!J170,安値!L170&lt;安値!M170,安値!L170&lt;安値!N170),7,""))</f>
        <v/>
      </c>
      <c r="H170" s="503" t="str">
        <f>IF(終値!A170="","",IF(AND(安値!M170&lt;安値!L170,安値!M170&lt;安値!K170,安値!M170&lt;安値!N170,安値!M170&lt;安値!O170),8,""))</f>
        <v/>
      </c>
      <c r="I170" s="503">
        <f>IF(終値!A170="","",IF(AND(安値!N170&lt;安値!M170,安値!N170&lt;安値!L170,安値!N170&lt;安値!O170,安値!N170&lt;安値!P170),9,""))</f>
        <v>9</v>
      </c>
      <c r="J170" s="503" t="str">
        <f>IF(終値!A170="","",IF(AND(安値!O170&lt;安値!N170,安値!O170&lt;安値!M170,安値!O170&lt;安値!P170,安値!O170&lt;安値!Q170),10,""))</f>
        <v/>
      </c>
      <c r="K170" s="503" t="str">
        <f>IF(終値!A170="","",IF(AND(安値!P170&lt;安値!O170,安値!P170&lt;安値!N170,安値!P170&lt;安値!Q170,安値!P170&lt;安値!R170),11,""))</f>
        <v/>
      </c>
      <c r="L170" s="503" t="str">
        <f>IF(終値!A170="","",IF(AND(安値!Q170&lt;安値!P170,安値!Q170&lt;安値!O170,安値!Q170&lt;安値!R170,安値!Q170&lt;安値!S170),12,""))</f>
        <v/>
      </c>
      <c r="M170" s="503" t="str">
        <f>IF(終値!A170="","",IF(AND(安値!R170&lt;安値!Q170,安値!R170&lt;安値!P170,安値!R170&lt;安値!S170,安値!R170&lt;安値!T170),13,""))</f>
        <v/>
      </c>
      <c r="N170" s="503" t="str">
        <f>IF(終値!A170="","",IF(AND(安値!S170&lt;安値!R170,安値!S170&lt;安値!Q170,安値!S170&lt;安値!T170,安値!S170&lt;安値!U170),14,""))</f>
        <v/>
      </c>
      <c r="O170" s="503" t="str">
        <f>IF(終値!A170="","",IF(AND(安値!T170&lt;安値!S170,安値!T170&lt;安値!R170,安値!T170&lt;安値!U170,安値!T170&lt;安値!V170),15,""))</f>
        <v/>
      </c>
      <c r="P170" s="503" t="str">
        <f>IF(終値!A170="","",IF(AND(安値!U170&lt;安値!T170,安値!U170&lt;安値!S170,安値!U170&lt;安値!V170,安値!U170&lt;安値!W170),16,""))</f>
        <v/>
      </c>
      <c r="Q170" s="503" t="str">
        <f>IF(終値!A170="","",IF(AND(安値!V170&lt;安値!U170,安値!V170&lt;安値!T170,安値!V170&lt;安値!W170,安値!V170&lt;安値!X170),17,""))</f>
        <v/>
      </c>
      <c r="R170" s="503" t="str">
        <f>IF(終値!A170="","",IF(AND(安値!W170&lt;安値!V170,安値!W170&lt;安値!U170,安値!W170&lt;安値!X170,安値!W170&lt;安値!Y170),18,""))</f>
        <v/>
      </c>
      <c r="S170" s="503" t="str">
        <f>IF(終値!A170="","",IF(AND(安値!X170&lt;安値!W170,安値!X170&lt;安値!V170,安値!X170&lt;安値!Y170,安値!X170&lt;安値!Z170),19,""))</f>
        <v/>
      </c>
      <c r="T170" s="503" t="str">
        <f>IF(終値!A170="","",IF(AND(安値!Y170&lt;安値!X170,安値!Y170&lt;安値!W170,安値!Y170&lt;安値!Z170,安値!Y170&lt;安値!AA170),20,""))</f>
        <v/>
      </c>
      <c r="U170" s="503" t="str">
        <f>IF(終値!A170="","",IF(AND(安値!Z170&lt;安値!Y170,安値!Z170&lt;安値!X170,安値!Z170&lt;安値!AA170,安値!Z170&lt;安値!AB170),21,""))</f>
        <v/>
      </c>
      <c r="V170" s="503" t="str">
        <f>IF(終値!A170="","",IF(AND(安値!AA170&lt;安値!Z170,安値!AA170&lt;安値!Y170,安値!AA170&lt;安値!AB170,安値!AA170&lt;安値!AC170),22,""))</f>
        <v/>
      </c>
      <c r="W170" s="503" t="str">
        <f>IF(終値!A170="","",IF(AND(安値!AB170&lt;安値!AA170,安値!AB170&lt;安値!Z170,安値!AB170&lt;安値!AC170,安値!AB170&lt;安値!AD170),23,""))</f>
        <v/>
      </c>
      <c r="X170" s="503">
        <f>IF(終値!A170="","",IF(AND(安値!AC170&lt;安値!AB170,安値!AC170&lt;安値!AA170,安値!AC170&lt;安値!AD170,安値!AC170&lt;安値!AE170),24,""))</f>
        <v>24</v>
      </c>
      <c r="Y170" s="503" t="str">
        <f>IF(終値!A170="","",IF(AND(安値!AD170&lt;安値!AC170,安値!AD170&lt;安値!AB170,安値!AD170&lt;安値!AE170,安値!AD170&lt;安値!AF170),25,""))</f>
        <v/>
      </c>
      <c r="Z170" s="503" t="str">
        <f>IF(終値!A170="","",IF(AND(安値!AE170&lt;安値!AD170,安値!AE170&lt;安値!AC170,安値!AE170&lt;安値!AF170,安値!AE170&lt;安値!AG170),26,""))</f>
        <v/>
      </c>
      <c r="AA170" s="503" t="str">
        <f>IF(終値!A170="","",IF(AND(安値!AF170&lt;安値!AE170,安値!AF170&lt;安値!AD170,安値!AF170&lt;安値!AG170,安値!AF170&lt;安値!AH170),27,""))</f>
        <v/>
      </c>
      <c r="AB170" s="503">
        <f>IF(終値!A170="","",IF(AND(安値!AG170&lt;安値!AF170,安値!AG170&lt;安値!AE170,安値!AG170&lt;安値!AH170,安値!AG170&lt;安値!AI170),28,""))</f>
        <v>28</v>
      </c>
      <c r="AC170" s="503" t="str">
        <f>IF(終値!A170="","",IF(AND(高値!G170&gt;高値!F170,高値!G170&gt;高値!E170,高値!G170&gt;高値!H170,高値!G170&gt;高値!I170),2,""))</f>
        <v/>
      </c>
      <c r="AD170" s="503" t="str">
        <f>IF(終値!A170="","",IF(AND(高値!H170&gt;高値!G170,高値!H170&gt;高値!F170,高値!H170&gt;高値!I170,高値!H170&gt;高値!J170),3,""))</f>
        <v/>
      </c>
      <c r="AE170" s="503" t="str">
        <f>IF(終値!A170="","",IF(AND(高値!I170&gt;高値!H170,高値!I170&gt;高値!G170,高値!I170&gt;高値!J170,高値!I170&gt;高値!K170),4,""))</f>
        <v/>
      </c>
      <c r="AF170" s="503">
        <f>IF(終値!A170="","",IF(AND(高値!J170&gt;高値!I170,高値!J170&gt;高値!H170,高値!J170&gt;高値!K170,高値!J170&gt;高値!L170),5,""))</f>
        <v>5</v>
      </c>
      <c r="AG170" s="503" t="str">
        <f>IF(終値!A170="","",IF(AND(高値!K170&gt;高値!J170,高値!K170&gt;高値!I170,高値!K170&gt;高値!L170,高値!K170&gt;高値!M170),6,""))</f>
        <v/>
      </c>
      <c r="AH170" s="503" t="str">
        <f>IF(終値!A170="","",IF(AND(高値!L170&gt;高値!K170,高値!L170&gt;高値!J170,高値!L170&gt;高値!M170,高値!L170&gt;高値!N170),7,""))</f>
        <v/>
      </c>
      <c r="AI170" s="503" t="str">
        <f>IF(終値!A170="","",IF(AND(高値!M170&gt;高値!L170,高値!M170&gt;高値!K170,高値!M170&gt;高値!N170,高値!M170&gt;高値!O170),8,""))</f>
        <v/>
      </c>
      <c r="AJ170" s="503" t="str">
        <f>IF(終値!A170="","",IF(AND(高値!N170&gt;高値!M170,高値!N170&gt;高値!L170,高値!N170&gt;高値!O170,高値!N170&gt;高値!P170),9,""))</f>
        <v/>
      </c>
      <c r="AK170" s="503" t="str">
        <f>IF(終値!A170="","",IF(AND(高値!O170&gt;高値!N170,高値!O170&gt;高値!M170,高値!O170&gt;高値!P170,高値!O170&gt;高値!Q170),10,""))</f>
        <v/>
      </c>
      <c r="AL170" s="503" t="str">
        <f>IF(終値!A170="","",IF(AND(高値!P170&gt;高値!O170,高値!P170&gt;高値!N170,高値!P170&gt;高値!Q170,高値!P170&gt;高値!R170),11,""))</f>
        <v/>
      </c>
      <c r="AM170" s="503">
        <f>IF(終値!A170="","",IF(AND(高値!Q170&gt;高値!P170,高値!Q170&gt;高値!O170,高値!Q170&gt;高値!R170,高値!Q170&gt;高値!S170),12,""))</f>
        <v>12</v>
      </c>
      <c r="AN170" s="503" t="str">
        <f>IF(終値!A170="","",IF(AND(高値!R170&gt;高値!Q170,高値!R170&gt;高値!P170,高値!R170&gt;高値!S170,高値!R170&gt;高値!T170),13,""))</f>
        <v/>
      </c>
      <c r="AO170" s="503" t="str">
        <f>IF(終値!A170="","",IF(AND(高値!S170&gt;高値!R170,高値!S170&gt;高値!Q170,高値!S170&gt;高値!T170,高値!S170&gt;高値!U170),14,""))</f>
        <v/>
      </c>
      <c r="AP170" s="503" t="str">
        <f>IF(終値!A170="","",IF(AND(高値!T170&gt;高値!S170,高値!T170&gt;高値!R170,高値!T170&gt;高値!U170,高値!T170&gt;高値!V170),15,""))</f>
        <v/>
      </c>
      <c r="AQ170" s="503" t="str">
        <f>IF(終値!A170="","",IF(AND(高値!U170&gt;高値!T170,高値!U170&gt;高値!S170,高値!U170&gt;高値!V170,高値!U170&gt;高値!W170),16,""))</f>
        <v/>
      </c>
      <c r="AR170" s="503" t="str">
        <f>IF(終値!A170="","",IF(AND(高値!V170&gt;高値!U170,高値!V170&gt;高値!T170,高値!V170&gt;高値!W170,高値!V170&gt;高値!X170),17,""))</f>
        <v/>
      </c>
      <c r="AS170" s="503" t="str">
        <f>IF(終値!A170="","",IF(AND(高値!W170&gt;高値!V170,高値!W170&gt;高値!U170,高値!W170&gt;高値!X170,高値!W170&gt;高値!Y170),18,""))</f>
        <v/>
      </c>
      <c r="AT170" s="503" t="str">
        <f>IF(終値!A170="","",IF(AND(高値!X170&gt;高値!W170,高値!X170&gt;高値!V170,高値!X170&gt;高値!Y170,高値!X170&gt;高値!Z170),19,""))</f>
        <v/>
      </c>
      <c r="AU170" s="503" t="str">
        <f>IF(終値!A170="","",IF(AND(高値!Y170&gt;高値!X170,高値!Y170&gt;高値!W170,高値!Y170&gt;高値!Z170,高値!Y170&gt;高値!AA170),20,""))</f>
        <v/>
      </c>
      <c r="AV170" s="503" t="str">
        <f>IF(終値!A170="","",IF(AND(高値!Z170&gt;高値!Y170,高値!Z170&gt;高値!X170,高値!Z170&gt;高値!AA170,高値!Z170&gt;高値!AB170),21,""))</f>
        <v/>
      </c>
      <c r="AW170" s="503" t="str">
        <f>IF(終値!A170="","",IF(AND(高値!AA170&gt;高値!Z170,高値!AA170&gt;高値!Y170,高値!AA170&gt;高値!AB170,高値!AA170&gt;高値!AC170),22,""))</f>
        <v/>
      </c>
      <c r="AX170" s="503">
        <f>IF(終値!A170="","",IF(AND(高値!AB170&gt;高値!AA170,高値!AB170&gt;高値!Z170,高値!AB170&gt;高値!AC170,高値!AB170&gt;高値!AD170),23,""))</f>
        <v>23</v>
      </c>
      <c r="AY170" s="503" t="str">
        <f>IF(終値!A170="","",IF(AND(高値!AC170&gt;高値!AB170,高値!AC170&gt;高値!AA170,高値!AC170&gt;高値!AD170,高値!AC170&gt;高値!AE170),24,""))</f>
        <v/>
      </c>
      <c r="AZ170" s="503" t="str">
        <f>IF(終値!A170="","",IF(AND(高値!AD170&gt;高値!AC170,高値!AD170&gt;高値!AB170,高値!AD170&gt;高値!AE170,高値!AD170&gt;高値!AF170),25,""))</f>
        <v/>
      </c>
      <c r="BA170" s="503">
        <f>IF(終値!A170="","",IF(AND(高値!AE170&gt;高値!AD170,高値!AE170&gt;高値!AC170,高値!AE170&gt;高値!AF170,高値!AE170&gt;高値!AG170),26,""))</f>
        <v>26</v>
      </c>
      <c r="BB170" s="503" t="str">
        <f>IF(終値!A170="","",IF(AND(高値!AF170&gt;高値!AE170,高値!AF170&gt;高値!AD170,高値!AF170&gt;高値!AG170,高値!AF170&gt;高値!AH170),27,""))</f>
        <v/>
      </c>
      <c r="BC170" s="503" t="str">
        <f>IF(終値!A170="","",IF(AND(高値!AG170&gt;高値!AF170,高値!AG170&gt;高値!AE170,高値!AG170&gt;高値!AH170,高値!AG170&gt;高値!AI170),28,""))</f>
        <v/>
      </c>
      <c r="BD170" s="503">
        <f t="shared" si="12"/>
        <v>4</v>
      </c>
      <c r="BE170" s="503">
        <f t="shared" si="13"/>
        <v>4</v>
      </c>
      <c r="BF170" s="503">
        <f t="shared" si="14"/>
        <v>9</v>
      </c>
      <c r="BG170" s="503">
        <f>IF($BE170="","",INDEX(安値!$E170:$CZ170,1,$BE170+1))</f>
        <v>999</v>
      </c>
      <c r="BH170" s="503">
        <f>IF($BF170="","",INDEX(安値!$E170:$CZ170,1,$BF170+1))</f>
        <v>1087</v>
      </c>
      <c r="BI170" s="503">
        <f>IF($BF170="","",MAX(INDEX(高値!$E170:$CZ170,1,$BE170+1):INDEX(高値!$E170:$CZ170,1,$BF170+1)))</f>
        <v>1161</v>
      </c>
      <c r="BJ170" s="503">
        <f>IF($BF170="","",AVERAGE(INDEX(終値!$E170:$CZ170,1,$BF170+1):INDEX(終値!$E170:$CZ170,1,$BF170+20))-2*STDEVP(INDEX(終値!$E170:$CZ170,1,$BF170+1):INDEX(終値!$E170:$CZ170,1,$BF170+20)))</f>
        <v>1044.0265564739636</v>
      </c>
      <c r="BK170" s="503">
        <f>IF($BE170="","",AVERAGE(INDEX(終値!$E170:$CZ170,1,$BE170+1):INDEX(終値!$E170:$CZ170,1,$BE170+20))-2*STDEVP(INDEX(終値!$E170:$CZ170,1,$BE170+1):INDEX(終値!$E170:$CZ170,1,$BE170+20)))</f>
        <v>1043.7808111802256</v>
      </c>
      <c r="BL170" s="503">
        <f t="shared" si="15"/>
        <v>4</v>
      </c>
      <c r="BM170" s="503">
        <f t="shared" si="16"/>
        <v>5</v>
      </c>
      <c r="BN170" s="503">
        <f t="shared" si="17"/>
        <v>12</v>
      </c>
      <c r="BO170" s="503">
        <f>IF($BM170="","",INDEX(高値!$E170:$CZ170,1,$BM170+1))</f>
        <v>1161</v>
      </c>
      <c r="BP170" s="503">
        <f>IF($BN170="","",INDEX(高値!$E170:$CZ170,1,$BN170+1))</f>
        <v>1143</v>
      </c>
      <c r="BQ170" s="503">
        <f>IF($BN170="","",MIN(INDEX(安値!$E170:$CZ170,1,$BM170+1):INDEX(安値!$E170:$CZ170,1,$BN170+1)))</f>
        <v>1087</v>
      </c>
      <c r="BR170" s="503">
        <f>IF($BN170="","",AVERAGE(INDEX(終値!$E170:$CZ170,1,$BN170+1):INDEX(終値!$E170:$CZ170,1,$BN170+20))+2*STDEVP(INDEX(終値!$E170:$CZ170,1,$BN170+1):INDEX(終値!$E170:$CZ170,1,$BN170+20)))</f>
        <v>1132.0663750660619</v>
      </c>
      <c r="BS170" s="503">
        <f>IF($BM170="","",AVERAGE(INDEX(終値!$E170:$CZ170,1,$BM170+1):INDEX(終値!$E170:$CZ170,1,$BM170+20))+2*STDEVP(INDEX(終値!$E170:$CZ170,1,$BM170+1):INDEX(終値!$E170:$CZ170,1,$BM170+20)))</f>
        <v>1156.4805142333485</v>
      </c>
      <c r="BT170" s="500"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二番天井M▼</v>
      </c>
    </row>
    <row r="171" spans="2:72">
      <c r="B171" s="503" t="str">
        <f>IF(終値!A171="","",IF(AND(安値!G171&lt;安値!F171,安値!G171&lt;安値!E171,安値!G171&lt;安値!H171,安値!G171&lt;安値!I171),2,""))</f>
        <v/>
      </c>
      <c r="C171" s="503">
        <f>IF(終値!A171="","",IF(AND(安値!H171&lt;安値!G171,安値!H171&lt;安値!F171,安値!H171&lt;安値!I171,安値!H171&lt;安値!J171),3,""))</f>
        <v>3</v>
      </c>
      <c r="D171" s="503" t="str">
        <f>IF(終値!A171="","",IF(AND(安値!I171&lt;安値!H171,安値!I171&lt;安値!G171,安値!I171&lt;安値!J171,安値!I171&lt;安値!K171),4,""))</f>
        <v/>
      </c>
      <c r="E171" s="503" t="str">
        <f>IF(終値!A171="","",IF(AND(安値!J171&lt;安値!I171,安値!J171&lt;安値!H171,安値!J171&lt;安値!K171,安値!J171&lt;安値!L171),5,""))</f>
        <v/>
      </c>
      <c r="F171" s="503" t="str">
        <f>IF(終値!A171="","",IF(AND(安値!K171&lt;安値!J171,安値!K171&lt;安値!I171,安値!K171&lt;安値!L171,安値!K171&lt;安値!M171),6,""))</f>
        <v/>
      </c>
      <c r="G171" s="503" t="str">
        <f>IF(終値!A171="","",IF(AND(安値!L171&lt;安値!K171,安値!L171&lt;安値!J171,安値!L171&lt;安値!M171,安値!L171&lt;安値!N171),7,""))</f>
        <v/>
      </c>
      <c r="H171" s="503" t="str">
        <f>IF(終値!A171="","",IF(AND(安値!M171&lt;安値!L171,安値!M171&lt;安値!K171,安値!M171&lt;安値!N171,安値!M171&lt;安値!O171),8,""))</f>
        <v/>
      </c>
      <c r="I171" s="503" t="str">
        <f>IF(終値!A171="","",IF(AND(安値!N171&lt;安値!M171,安値!N171&lt;安値!L171,安値!N171&lt;安値!O171,安値!N171&lt;安値!P171),9,""))</f>
        <v/>
      </c>
      <c r="J171" s="503" t="str">
        <f>IF(終値!A171="","",IF(AND(安値!O171&lt;安値!N171,安値!O171&lt;安値!M171,安値!O171&lt;安値!P171,安値!O171&lt;安値!Q171),10,""))</f>
        <v/>
      </c>
      <c r="K171" s="503" t="str">
        <f>IF(終値!A171="","",IF(AND(安値!P171&lt;安値!O171,安値!P171&lt;安値!N171,安値!P171&lt;安値!Q171,安値!P171&lt;安値!R171),11,""))</f>
        <v/>
      </c>
      <c r="L171" s="503" t="str">
        <f>IF(終値!A171="","",IF(AND(安値!Q171&lt;安値!P171,安値!Q171&lt;安値!O171,安値!Q171&lt;安値!R171,安値!Q171&lt;安値!S171),12,""))</f>
        <v/>
      </c>
      <c r="M171" s="503">
        <f>IF(終値!A171="","",IF(AND(安値!R171&lt;安値!Q171,安値!R171&lt;安値!P171,安値!R171&lt;安値!S171,安値!R171&lt;安値!T171),13,""))</f>
        <v>13</v>
      </c>
      <c r="N171" s="503" t="str">
        <f>IF(終値!A171="","",IF(AND(安値!S171&lt;安値!R171,安値!S171&lt;安値!Q171,安値!S171&lt;安値!T171,安値!S171&lt;安値!U171),14,""))</f>
        <v/>
      </c>
      <c r="O171" s="503" t="str">
        <f>IF(終値!A171="","",IF(AND(安値!T171&lt;安値!S171,安値!T171&lt;安値!R171,安値!T171&lt;安値!U171,安値!T171&lt;安値!V171),15,""))</f>
        <v/>
      </c>
      <c r="P171" s="503" t="str">
        <f>IF(終値!A171="","",IF(AND(安値!U171&lt;安値!T171,安値!U171&lt;安値!S171,安値!U171&lt;安値!V171,安値!U171&lt;安値!W171),16,""))</f>
        <v/>
      </c>
      <c r="Q171" s="503">
        <f>IF(終値!A171="","",IF(AND(安値!V171&lt;安値!U171,安値!V171&lt;安値!T171,安値!V171&lt;安値!W171,安値!V171&lt;安値!X171),17,""))</f>
        <v>17</v>
      </c>
      <c r="R171" s="503" t="str">
        <f>IF(終値!A171="","",IF(AND(安値!W171&lt;安値!V171,安値!W171&lt;安値!U171,安値!W171&lt;安値!X171,安値!W171&lt;安値!Y171),18,""))</f>
        <v/>
      </c>
      <c r="S171" s="503" t="str">
        <f>IF(終値!A171="","",IF(AND(安値!X171&lt;安値!W171,安値!X171&lt;安値!V171,安値!X171&lt;安値!Y171,安値!X171&lt;安値!Z171),19,""))</f>
        <v/>
      </c>
      <c r="T171" s="503" t="str">
        <f>IF(終値!A171="","",IF(AND(安値!Y171&lt;安値!X171,安値!Y171&lt;安値!W171,安値!Y171&lt;安値!Z171,安値!Y171&lt;安値!AA171),20,""))</f>
        <v/>
      </c>
      <c r="U171" s="503" t="str">
        <f>IF(終値!A171="","",IF(AND(安値!Z171&lt;安値!Y171,安値!Z171&lt;安値!X171,安値!Z171&lt;安値!AA171,安値!Z171&lt;安値!AB171),21,""))</f>
        <v/>
      </c>
      <c r="V171" s="503" t="str">
        <f>IF(終値!A171="","",IF(AND(安値!AA171&lt;安値!Z171,安値!AA171&lt;安値!Y171,安値!AA171&lt;安値!AB171,安値!AA171&lt;安値!AC171),22,""))</f>
        <v/>
      </c>
      <c r="W171" s="503" t="str">
        <f>IF(終値!A171="","",IF(AND(安値!AB171&lt;安値!AA171,安値!AB171&lt;安値!Z171,安値!AB171&lt;安値!AC171,安値!AB171&lt;安値!AD171),23,""))</f>
        <v/>
      </c>
      <c r="X171" s="503" t="str">
        <f>IF(終値!A171="","",IF(AND(安値!AC171&lt;安値!AB171,安値!AC171&lt;安値!AA171,安値!AC171&lt;安値!AD171,安値!AC171&lt;安値!AE171),24,""))</f>
        <v/>
      </c>
      <c r="Y171" s="503" t="str">
        <f>IF(終値!A171="","",IF(AND(安値!AD171&lt;安値!AC171,安値!AD171&lt;安値!AB171,安値!AD171&lt;安値!AE171,安値!AD171&lt;安値!AF171),25,""))</f>
        <v/>
      </c>
      <c r="Z171" s="503" t="str">
        <f>IF(終値!A171="","",IF(AND(安値!AE171&lt;安値!AD171,安値!AE171&lt;安値!AC171,安値!AE171&lt;安値!AF171,安値!AE171&lt;安値!AG171),26,""))</f>
        <v/>
      </c>
      <c r="AA171" s="503" t="str">
        <f>IF(終値!A171="","",IF(AND(安値!AF171&lt;安値!AE171,安値!AF171&lt;安値!AD171,安値!AF171&lt;安値!AG171,安値!AF171&lt;安値!AH171),27,""))</f>
        <v/>
      </c>
      <c r="AB171" s="503" t="str">
        <f>IF(終値!A171="","",IF(AND(安値!AG171&lt;安値!AF171,安値!AG171&lt;安値!AE171,安値!AG171&lt;安値!AH171,安値!AG171&lt;安値!AI171),28,""))</f>
        <v/>
      </c>
      <c r="AC171" s="503" t="str">
        <f>IF(終値!A171="","",IF(AND(高値!G171&gt;高値!F171,高値!G171&gt;高値!E171,高値!G171&gt;高値!H171,高値!G171&gt;高値!I171),2,""))</f>
        <v/>
      </c>
      <c r="AD171" s="503" t="str">
        <f>IF(終値!A171="","",IF(AND(高値!H171&gt;高値!G171,高値!H171&gt;高値!F171,高値!H171&gt;高値!I171,高値!H171&gt;高値!J171),3,""))</f>
        <v/>
      </c>
      <c r="AE171" s="503" t="str">
        <f>IF(終値!A171="","",IF(AND(高値!I171&gt;高値!H171,高値!I171&gt;高値!G171,高値!I171&gt;高値!J171,高値!I171&gt;高値!K171),4,""))</f>
        <v/>
      </c>
      <c r="AF171" s="503">
        <f>IF(終値!A171="","",IF(AND(高値!J171&gt;高値!I171,高値!J171&gt;高値!H171,高値!J171&gt;高値!K171,高値!J171&gt;高値!L171),5,""))</f>
        <v>5</v>
      </c>
      <c r="AG171" s="503" t="str">
        <f>IF(終値!A171="","",IF(AND(高値!K171&gt;高値!J171,高値!K171&gt;高値!I171,高値!K171&gt;高値!L171,高値!K171&gt;高値!M171),6,""))</f>
        <v/>
      </c>
      <c r="AH171" s="503" t="str">
        <f>IF(終値!A171="","",IF(AND(高値!L171&gt;高値!K171,高値!L171&gt;高値!J171,高値!L171&gt;高値!M171,高値!L171&gt;高値!N171),7,""))</f>
        <v/>
      </c>
      <c r="AI171" s="503" t="str">
        <f>IF(終値!A171="","",IF(AND(高値!M171&gt;高値!L171,高値!M171&gt;高値!K171,高値!M171&gt;高値!N171,高値!M171&gt;高値!O171),8,""))</f>
        <v/>
      </c>
      <c r="AJ171" s="503" t="str">
        <f>IF(終値!A171="","",IF(AND(高値!N171&gt;高値!M171,高値!N171&gt;高値!L171,高値!N171&gt;高値!O171,高値!N171&gt;高値!P171),9,""))</f>
        <v/>
      </c>
      <c r="AK171" s="503" t="str">
        <f>IF(終値!A171="","",IF(AND(高値!O171&gt;高値!N171,高値!O171&gt;高値!M171,高値!O171&gt;高値!P171,高値!O171&gt;高値!Q171),10,""))</f>
        <v/>
      </c>
      <c r="AL171" s="503" t="str">
        <f>IF(終値!A171="","",IF(AND(高値!P171&gt;高値!O171,高値!P171&gt;高値!N171,高値!P171&gt;高値!Q171,高値!P171&gt;高値!R171),11,""))</f>
        <v/>
      </c>
      <c r="AM171" s="503" t="str">
        <f>IF(終値!A171="","",IF(AND(高値!Q171&gt;高値!P171,高値!Q171&gt;高値!O171,高値!Q171&gt;高値!R171,高値!Q171&gt;高値!S171),12,""))</f>
        <v/>
      </c>
      <c r="AN171" s="503" t="str">
        <f>IF(終値!A171="","",IF(AND(高値!R171&gt;高値!Q171,高値!R171&gt;高値!P171,高値!R171&gt;高値!S171,高値!R171&gt;高値!T171),13,""))</f>
        <v/>
      </c>
      <c r="AO171" s="503">
        <f>IF(終値!A171="","",IF(AND(高値!S171&gt;高値!R171,高値!S171&gt;高値!Q171,高値!S171&gt;高値!T171,高値!S171&gt;高値!U171),14,""))</f>
        <v>14</v>
      </c>
      <c r="AP171" s="503" t="str">
        <f>IF(終値!A171="","",IF(AND(高値!T171&gt;高値!S171,高値!T171&gt;高値!R171,高値!T171&gt;高値!U171,高値!T171&gt;高値!V171),15,""))</f>
        <v/>
      </c>
      <c r="AQ171" s="503" t="str">
        <f>IF(終値!A171="","",IF(AND(高値!U171&gt;高値!T171,高値!U171&gt;高値!S171,高値!U171&gt;高値!V171,高値!U171&gt;高値!W171),16,""))</f>
        <v/>
      </c>
      <c r="AR171" s="503" t="str">
        <f>IF(終値!A171="","",IF(AND(高値!V171&gt;高値!U171,高値!V171&gt;高値!T171,高値!V171&gt;高値!W171,高値!V171&gt;高値!X171),17,""))</f>
        <v/>
      </c>
      <c r="AS171" s="503" t="str">
        <f>IF(終値!A171="","",IF(AND(高値!W171&gt;高値!V171,高値!W171&gt;高値!U171,高値!W171&gt;高値!X171,高値!W171&gt;高値!Y171),18,""))</f>
        <v/>
      </c>
      <c r="AT171" s="503" t="str">
        <f>IF(終値!A171="","",IF(AND(高値!X171&gt;高値!W171,高値!X171&gt;高値!V171,高値!X171&gt;高値!Y171,高値!X171&gt;高値!Z171),19,""))</f>
        <v/>
      </c>
      <c r="AU171" s="503">
        <f>IF(終値!A171="","",IF(AND(高値!Y171&gt;高値!X171,高値!Y171&gt;高値!W171,高値!Y171&gt;高値!Z171,高値!Y171&gt;高値!AA171),20,""))</f>
        <v>20</v>
      </c>
      <c r="AV171" s="503" t="str">
        <f>IF(終値!A171="","",IF(AND(高値!Z171&gt;高値!Y171,高値!Z171&gt;高値!X171,高値!Z171&gt;高値!AA171,高値!Z171&gt;高値!AB171),21,""))</f>
        <v/>
      </c>
      <c r="AW171" s="503" t="str">
        <f>IF(終値!A171="","",IF(AND(高値!AA171&gt;高値!Z171,高値!AA171&gt;高値!Y171,高値!AA171&gt;高値!AB171,高値!AA171&gt;高値!AC171),22,""))</f>
        <v/>
      </c>
      <c r="AX171" s="503" t="str">
        <f>IF(終値!A171="","",IF(AND(高値!AB171&gt;高値!AA171,高値!AB171&gt;高値!Z171,高値!AB171&gt;高値!AC171,高値!AB171&gt;高値!AD171),23,""))</f>
        <v/>
      </c>
      <c r="AY171" s="503" t="str">
        <f>IF(終値!A171="","",IF(AND(高値!AC171&gt;高値!AB171,高値!AC171&gt;高値!AA171,高値!AC171&gt;高値!AD171,高値!AC171&gt;高値!AE171),24,""))</f>
        <v/>
      </c>
      <c r="AZ171" s="503" t="str">
        <f>IF(終値!A171="","",IF(AND(高値!AD171&gt;高値!AC171,高値!AD171&gt;高値!AB171,高値!AD171&gt;高値!AE171,高値!AD171&gt;高値!AF171),25,""))</f>
        <v/>
      </c>
      <c r="BA171" s="503" t="str">
        <f>IF(終値!A171="","",IF(AND(高値!AE171&gt;高値!AD171,高値!AE171&gt;高値!AC171,高値!AE171&gt;高値!AF171,高値!AE171&gt;高値!AG171),26,""))</f>
        <v/>
      </c>
      <c r="BB171" s="503" t="str">
        <f>IF(終値!A171="","",IF(AND(高値!AF171&gt;高値!AE171,高値!AF171&gt;高値!AD171,高値!AF171&gt;高値!AG171,高値!AF171&gt;高値!AH171),27,""))</f>
        <v/>
      </c>
      <c r="BC171" s="503">
        <f>IF(終値!A171="","",IF(AND(高値!AG171&gt;高値!AF171,高値!AG171&gt;高値!AE171,高値!AG171&gt;高値!AH171,高値!AG171&gt;高値!AI171),28,""))</f>
        <v>28</v>
      </c>
      <c r="BD171" s="503">
        <f t="shared" si="12"/>
        <v>3</v>
      </c>
      <c r="BE171" s="503">
        <f t="shared" si="13"/>
        <v>3</v>
      </c>
      <c r="BF171" s="503">
        <f t="shared" si="14"/>
        <v>13</v>
      </c>
      <c r="BG171" s="503">
        <f>IF($BE171="","",INDEX(安値!$E171:$CZ171,1,$BE171+1))</f>
        <v>2960</v>
      </c>
      <c r="BH171" s="503">
        <f>IF($BF171="","",INDEX(安値!$E171:$CZ171,1,$BF171+1))</f>
        <v>3020</v>
      </c>
      <c r="BI171" s="503">
        <f>IF($BF171="","",MAX(INDEX(高値!$E171:$CZ171,1,$BE171+1):INDEX(高値!$E171:$CZ171,1,$BF171+1)))</f>
        <v>3330</v>
      </c>
      <c r="BJ171" s="503">
        <f>IF($BF171="","",AVERAGE(INDEX(終値!$E171:$CZ171,1,$BF171+1):INDEX(終値!$E171:$CZ171,1,$BF171+20))-2*STDEVP(INDEX(終値!$E171:$CZ171,1,$BF171+1):INDEX(終値!$E171:$CZ171,1,$BF171+20)))</f>
        <v>3022.4161863612644</v>
      </c>
      <c r="BK171" s="503">
        <f>IF($BE171="","",AVERAGE(INDEX(終値!$E171:$CZ171,1,$BE171+1):INDEX(終値!$E171:$CZ171,1,$BE171+20))-2*STDEVP(INDEX(終値!$E171:$CZ171,1,$BE171+1):INDEX(終値!$E171:$CZ171,1,$BE171+20)))</f>
        <v>2953.2419423633901</v>
      </c>
      <c r="BL171" s="503">
        <f t="shared" si="15"/>
        <v>4</v>
      </c>
      <c r="BM171" s="503">
        <f t="shared" si="16"/>
        <v>5</v>
      </c>
      <c r="BN171" s="503">
        <f t="shared" si="17"/>
        <v>14</v>
      </c>
      <c r="BO171" s="503">
        <f>IF($BM171="","",INDEX(高値!$E171:$CZ171,1,$BM171+1))</f>
        <v>3330</v>
      </c>
      <c r="BP171" s="503">
        <f>IF($BN171="","",INDEX(高値!$E171:$CZ171,1,$BN171+1))</f>
        <v>3130</v>
      </c>
      <c r="BQ171" s="503">
        <f>IF($BN171="","",MIN(INDEX(安値!$E171:$CZ171,1,$BM171+1):INDEX(安値!$E171:$CZ171,1,$BN171+1)))</f>
        <v>3020</v>
      </c>
      <c r="BR171" s="503">
        <f>IF($BN171="","",AVERAGE(INDEX(終値!$E171:$CZ171,1,$BN171+1):INDEX(終値!$E171:$CZ171,1,$BN171+20))+2*STDEVP(INDEX(終値!$E171:$CZ171,1,$BN171+1):INDEX(終値!$E171:$CZ171,1,$BN171+20)))</f>
        <v>3141.9112126808782</v>
      </c>
      <c r="BS171" s="503">
        <f>IF($BM171="","",AVERAGE(INDEX(終値!$E171:$CZ171,1,$BM171+1):INDEX(終値!$E171:$CZ171,1,$BM171+20))+2*STDEVP(INDEX(終値!$E171:$CZ171,1,$BM171+1):INDEX(終値!$E171:$CZ171,1,$BM171+20)))</f>
        <v>3250.3566884761822</v>
      </c>
      <c r="BT171" s="500"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v>
      </c>
    </row>
    <row r="172" spans="2:72">
      <c r="B172" s="503" t="str">
        <f>IF(終値!A172="","",IF(AND(安値!G172&lt;安値!F172,安値!G172&lt;安値!E172,安値!G172&lt;安値!H172,安値!G172&lt;安値!I172),2,""))</f>
        <v/>
      </c>
      <c r="C172" s="503" t="str">
        <f>IF(終値!A172="","",IF(AND(安値!H172&lt;安値!G172,安値!H172&lt;安値!F172,安値!H172&lt;安値!I172,安値!H172&lt;安値!J172),3,""))</f>
        <v/>
      </c>
      <c r="D172" s="503">
        <f>IF(終値!A172="","",IF(AND(安値!I172&lt;安値!H172,安値!I172&lt;安値!G172,安値!I172&lt;安値!J172,安値!I172&lt;安値!K172),4,""))</f>
        <v>4</v>
      </c>
      <c r="E172" s="503" t="str">
        <f>IF(終値!A172="","",IF(AND(安値!J172&lt;安値!I172,安値!J172&lt;安値!H172,安値!J172&lt;安値!K172,安値!J172&lt;安値!L172),5,""))</f>
        <v/>
      </c>
      <c r="F172" s="503" t="str">
        <f>IF(終値!A172="","",IF(AND(安値!K172&lt;安値!J172,安値!K172&lt;安値!I172,安値!K172&lt;安値!L172,安値!K172&lt;安値!M172),6,""))</f>
        <v/>
      </c>
      <c r="G172" s="503" t="str">
        <f>IF(終値!A172="","",IF(AND(安値!L172&lt;安値!K172,安値!L172&lt;安値!J172,安値!L172&lt;安値!M172,安値!L172&lt;安値!N172),7,""))</f>
        <v/>
      </c>
      <c r="H172" s="503" t="str">
        <f>IF(終値!A172="","",IF(AND(安値!M172&lt;安値!L172,安値!M172&lt;安値!K172,安値!M172&lt;安値!N172,安値!M172&lt;安値!O172),8,""))</f>
        <v/>
      </c>
      <c r="I172" s="503">
        <f>IF(終値!A172="","",IF(AND(安値!N172&lt;安値!M172,安値!N172&lt;安値!L172,安値!N172&lt;安値!O172,安値!N172&lt;安値!P172),9,""))</f>
        <v>9</v>
      </c>
      <c r="J172" s="503" t="str">
        <f>IF(終値!A172="","",IF(AND(安値!O172&lt;安値!N172,安値!O172&lt;安値!M172,安値!O172&lt;安値!P172,安値!O172&lt;安値!Q172),10,""))</f>
        <v/>
      </c>
      <c r="K172" s="503" t="str">
        <f>IF(終値!A172="","",IF(AND(安値!P172&lt;安値!O172,安値!P172&lt;安値!N172,安値!P172&lt;安値!Q172,安値!P172&lt;安値!R172),11,""))</f>
        <v/>
      </c>
      <c r="L172" s="503" t="str">
        <f>IF(終値!A172="","",IF(AND(安値!Q172&lt;安値!P172,安値!Q172&lt;安値!O172,安値!Q172&lt;安値!R172,安値!Q172&lt;安値!S172),12,""))</f>
        <v/>
      </c>
      <c r="M172" s="503">
        <f>IF(終値!A172="","",IF(AND(安値!R172&lt;安値!Q172,安値!R172&lt;安値!P172,安値!R172&lt;安値!S172,安値!R172&lt;安値!T172),13,""))</f>
        <v>13</v>
      </c>
      <c r="N172" s="503" t="str">
        <f>IF(終値!A172="","",IF(AND(安値!S172&lt;安値!R172,安値!S172&lt;安値!Q172,安値!S172&lt;安値!T172,安値!S172&lt;安値!U172),14,""))</f>
        <v/>
      </c>
      <c r="O172" s="503" t="str">
        <f>IF(終値!A172="","",IF(AND(安値!T172&lt;安値!S172,安値!T172&lt;安値!R172,安値!T172&lt;安値!U172,安値!T172&lt;安値!V172),15,""))</f>
        <v/>
      </c>
      <c r="P172" s="503" t="str">
        <f>IF(終値!A172="","",IF(AND(安値!U172&lt;安値!T172,安値!U172&lt;安値!S172,安値!U172&lt;安値!V172,安値!U172&lt;安値!W172),16,""))</f>
        <v/>
      </c>
      <c r="Q172" s="503" t="str">
        <f>IF(終値!A172="","",IF(AND(安値!V172&lt;安値!U172,安値!V172&lt;安値!T172,安値!V172&lt;安値!W172,安値!V172&lt;安値!X172),17,""))</f>
        <v/>
      </c>
      <c r="R172" s="503">
        <f>IF(終値!A172="","",IF(AND(安値!W172&lt;安値!V172,安値!W172&lt;安値!U172,安値!W172&lt;安値!X172,安値!W172&lt;安値!Y172),18,""))</f>
        <v>18</v>
      </c>
      <c r="S172" s="503" t="str">
        <f>IF(終値!A172="","",IF(AND(安値!X172&lt;安値!W172,安値!X172&lt;安値!V172,安値!X172&lt;安値!Y172,安値!X172&lt;安値!Z172),19,""))</f>
        <v/>
      </c>
      <c r="T172" s="503" t="str">
        <f>IF(終値!A172="","",IF(AND(安値!Y172&lt;安値!X172,安値!Y172&lt;安値!W172,安値!Y172&lt;安値!Z172,安値!Y172&lt;安値!AA172),20,""))</f>
        <v/>
      </c>
      <c r="U172" s="503" t="str">
        <f>IF(終値!A172="","",IF(AND(安値!Z172&lt;安値!Y172,安値!Z172&lt;安値!X172,安値!Z172&lt;安値!AA172,安値!Z172&lt;安値!AB172),21,""))</f>
        <v/>
      </c>
      <c r="V172" s="503" t="str">
        <f>IF(終値!A172="","",IF(AND(安値!AA172&lt;安値!Z172,安値!AA172&lt;安値!Y172,安値!AA172&lt;安値!AB172,安値!AA172&lt;安値!AC172),22,""))</f>
        <v/>
      </c>
      <c r="W172" s="503" t="str">
        <f>IF(終値!A172="","",IF(AND(安値!AB172&lt;安値!AA172,安値!AB172&lt;安値!Z172,安値!AB172&lt;安値!AC172,安値!AB172&lt;安値!AD172),23,""))</f>
        <v/>
      </c>
      <c r="X172" s="503">
        <f>IF(終値!A172="","",IF(AND(安値!AC172&lt;安値!AB172,安値!AC172&lt;安値!AA172,安値!AC172&lt;安値!AD172,安値!AC172&lt;安値!AE172),24,""))</f>
        <v>24</v>
      </c>
      <c r="Y172" s="503" t="str">
        <f>IF(終値!A172="","",IF(AND(安値!AD172&lt;安値!AC172,安値!AD172&lt;安値!AB172,安値!AD172&lt;安値!AE172,安値!AD172&lt;安値!AF172),25,""))</f>
        <v/>
      </c>
      <c r="Z172" s="503" t="str">
        <f>IF(終値!A172="","",IF(AND(安値!AE172&lt;安値!AD172,安値!AE172&lt;安値!AC172,安値!AE172&lt;安値!AF172,安値!AE172&lt;安値!AG172),26,""))</f>
        <v/>
      </c>
      <c r="AA172" s="503" t="str">
        <f>IF(終値!A172="","",IF(AND(安値!AF172&lt;安値!AE172,安値!AF172&lt;安値!AD172,安値!AF172&lt;安値!AG172,安値!AF172&lt;安値!AH172),27,""))</f>
        <v/>
      </c>
      <c r="AB172" s="503" t="str">
        <f>IF(終値!A172="","",IF(AND(安値!AG172&lt;安値!AF172,安値!AG172&lt;安値!AE172,安値!AG172&lt;安値!AH172,安値!AG172&lt;安値!AI172),28,""))</f>
        <v/>
      </c>
      <c r="AC172" s="503" t="str">
        <f>IF(終値!A172="","",IF(AND(高値!G172&gt;高値!F172,高値!G172&gt;高値!E172,高値!G172&gt;高値!H172,高値!G172&gt;高値!I172),2,""))</f>
        <v/>
      </c>
      <c r="AD172" s="503" t="str">
        <f>IF(終値!A172="","",IF(AND(高値!H172&gt;高値!G172,高値!H172&gt;高値!F172,高値!H172&gt;高値!I172,高値!H172&gt;高値!J172),3,""))</f>
        <v/>
      </c>
      <c r="AE172" s="503">
        <f>IF(終値!A172="","",IF(AND(高値!I172&gt;高値!H172,高値!I172&gt;高値!G172,高値!I172&gt;高値!J172,高値!I172&gt;高値!K172),4,""))</f>
        <v>4</v>
      </c>
      <c r="AF172" s="503" t="str">
        <f>IF(終値!A172="","",IF(AND(高値!J172&gt;高値!I172,高値!J172&gt;高値!H172,高値!J172&gt;高値!K172,高値!J172&gt;高値!L172),5,""))</f>
        <v/>
      </c>
      <c r="AG172" s="503" t="str">
        <f>IF(終値!A172="","",IF(AND(高値!K172&gt;高値!J172,高値!K172&gt;高値!I172,高値!K172&gt;高値!L172,高値!K172&gt;高値!M172),6,""))</f>
        <v/>
      </c>
      <c r="AH172" s="503">
        <f>IF(終値!A172="","",IF(AND(高値!L172&gt;高値!K172,高値!L172&gt;高値!J172,高値!L172&gt;高値!M172,高値!L172&gt;高値!N172),7,""))</f>
        <v>7</v>
      </c>
      <c r="AI172" s="503" t="str">
        <f>IF(終値!A172="","",IF(AND(高値!M172&gt;高値!L172,高値!M172&gt;高値!K172,高値!M172&gt;高値!N172,高値!M172&gt;高値!O172),8,""))</f>
        <v/>
      </c>
      <c r="AJ172" s="503" t="str">
        <f>IF(終値!A172="","",IF(AND(高値!N172&gt;高値!M172,高値!N172&gt;高値!L172,高値!N172&gt;高値!O172,高値!N172&gt;高値!P172),9,""))</f>
        <v/>
      </c>
      <c r="AK172" s="503" t="str">
        <f>IF(終値!A172="","",IF(AND(高値!O172&gt;高値!N172,高値!O172&gt;高値!M172,高値!O172&gt;高値!P172,高値!O172&gt;高値!Q172),10,""))</f>
        <v/>
      </c>
      <c r="AL172" s="503" t="str">
        <f>IF(終値!A172="","",IF(AND(高値!P172&gt;高値!O172,高値!P172&gt;高値!N172,高値!P172&gt;高値!Q172,高値!P172&gt;高値!R172),11,""))</f>
        <v/>
      </c>
      <c r="AM172" s="503" t="str">
        <f>IF(終値!A172="","",IF(AND(高値!Q172&gt;高値!P172,高値!Q172&gt;高値!O172,高値!Q172&gt;高値!R172,高値!Q172&gt;高値!S172),12,""))</f>
        <v/>
      </c>
      <c r="AN172" s="503" t="str">
        <f>IF(終値!A172="","",IF(AND(高値!R172&gt;高値!Q172,高値!R172&gt;高値!P172,高値!R172&gt;高値!S172,高値!R172&gt;高値!T172),13,""))</f>
        <v/>
      </c>
      <c r="AO172" s="503">
        <f>IF(終値!A172="","",IF(AND(高値!S172&gt;高値!R172,高値!S172&gt;高値!Q172,高値!S172&gt;高値!T172,高値!S172&gt;高値!U172),14,""))</f>
        <v>14</v>
      </c>
      <c r="AP172" s="503" t="str">
        <f>IF(終値!A172="","",IF(AND(高値!T172&gt;高値!S172,高値!T172&gt;高値!R172,高値!T172&gt;高値!U172,高値!T172&gt;高値!V172),15,""))</f>
        <v/>
      </c>
      <c r="AQ172" s="503" t="str">
        <f>IF(終値!A172="","",IF(AND(高値!U172&gt;高値!T172,高値!U172&gt;高値!S172,高値!U172&gt;高値!V172,高値!U172&gt;高値!W172),16,""))</f>
        <v/>
      </c>
      <c r="AR172" s="503" t="str">
        <f>IF(終値!A172="","",IF(AND(高値!V172&gt;高値!U172,高値!V172&gt;高値!T172,高値!V172&gt;高値!W172,高値!V172&gt;高値!X172),17,""))</f>
        <v/>
      </c>
      <c r="AS172" s="503" t="str">
        <f>IF(終値!A172="","",IF(AND(高値!W172&gt;高値!V172,高値!W172&gt;高値!U172,高値!W172&gt;高値!X172,高値!W172&gt;高値!Y172),18,""))</f>
        <v/>
      </c>
      <c r="AT172" s="503" t="str">
        <f>IF(終値!A172="","",IF(AND(高値!X172&gt;高値!W172,高値!X172&gt;高値!V172,高値!X172&gt;高値!Y172,高値!X172&gt;高値!Z172),19,""))</f>
        <v/>
      </c>
      <c r="AU172" s="503">
        <f>IF(終値!A172="","",IF(AND(高値!Y172&gt;高値!X172,高値!Y172&gt;高値!W172,高値!Y172&gt;高値!Z172,高値!Y172&gt;高値!AA172),20,""))</f>
        <v>20</v>
      </c>
      <c r="AV172" s="503" t="str">
        <f>IF(終値!A172="","",IF(AND(高値!Z172&gt;高値!Y172,高値!Z172&gt;高値!X172,高値!Z172&gt;高値!AA172,高値!Z172&gt;高値!AB172),21,""))</f>
        <v/>
      </c>
      <c r="AW172" s="503" t="str">
        <f>IF(終値!A172="","",IF(AND(高値!AA172&gt;高値!Z172,高値!AA172&gt;高値!Y172,高値!AA172&gt;高値!AB172,高値!AA172&gt;高値!AC172),22,""))</f>
        <v/>
      </c>
      <c r="AX172" s="503" t="str">
        <f>IF(終値!A172="","",IF(AND(高値!AB172&gt;高値!AA172,高値!AB172&gt;高値!Z172,高値!AB172&gt;高値!AC172,高値!AB172&gt;高値!AD172),23,""))</f>
        <v/>
      </c>
      <c r="AY172" s="503" t="str">
        <f>IF(終値!A172="","",IF(AND(高値!AC172&gt;高値!AB172,高値!AC172&gt;高値!AA172,高値!AC172&gt;高値!AD172,高値!AC172&gt;高値!AE172),24,""))</f>
        <v/>
      </c>
      <c r="AZ172" s="503" t="str">
        <f>IF(終値!A172="","",IF(AND(高値!AD172&gt;高値!AC172,高値!AD172&gt;高値!AB172,高値!AD172&gt;高値!AE172,高値!AD172&gt;高値!AF172),25,""))</f>
        <v/>
      </c>
      <c r="BA172" s="503" t="str">
        <f>IF(終値!A172="","",IF(AND(高値!AE172&gt;高値!AD172,高値!AE172&gt;高値!AC172,高値!AE172&gt;高値!AF172,高値!AE172&gt;高値!AG172),26,""))</f>
        <v/>
      </c>
      <c r="BB172" s="503" t="str">
        <f>IF(終値!A172="","",IF(AND(高値!AF172&gt;高値!AE172,高値!AF172&gt;高値!AD172,高値!AF172&gt;高値!AG172,高値!AF172&gt;高値!AH172),27,""))</f>
        <v/>
      </c>
      <c r="BC172" s="503">
        <f>IF(終値!A172="","",IF(AND(高値!AG172&gt;高値!AF172,高値!AG172&gt;高値!AE172,高値!AG172&gt;高値!AH172,高値!AG172&gt;高値!AI172),28,""))</f>
        <v>28</v>
      </c>
      <c r="BD172" s="503">
        <f t="shared" si="12"/>
        <v>5</v>
      </c>
      <c r="BE172" s="503">
        <f t="shared" si="13"/>
        <v>4</v>
      </c>
      <c r="BF172" s="503">
        <f t="shared" si="14"/>
        <v>9</v>
      </c>
      <c r="BG172" s="503">
        <f>IF($BE172="","",INDEX(安値!$E172:$CZ172,1,$BE172+1))</f>
        <v>1405.5</v>
      </c>
      <c r="BH172" s="503">
        <f>IF($BF172="","",INDEX(安値!$E172:$CZ172,1,$BF172+1))</f>
        <v>1411</v>
      </c>
      <c r="BI172" s="503">
        <f>IF($BF172="","",MAX(INDEX(高値!$E172:$CZ172,1,$BE172+1):INDEX(高値!$E172:$CZ172,1,$BF172+1)))</f>
        <v>1527.5</v>
      </c>
      <c r="BJ172" s="503">
        <f>IF($BF172="","",AVERAGE(INDEX(終値!$E172:$CZ172,1,$BF172+1):INDEX(終値!$E172:$CZ172,1,$BF172+20))-2*STDEVP(INDEX(終値!$E172:$CZ172,1,$BF172+1):INDEX(終値!$E172:$CZ172,1,$BF172+20)))</f>
        <v>1368.4813369811814</v>
      </c>
      <c r="BK172" s="503">
        <f>IF($BE172="","",AVERAGE(INDEX(終値!$E172:$CZ172,1,$BE172+1):INDEX(終値!$E172:$CZ172,1,$BE172+20))-2*STDEVP(INDEX(終値!$E172:$CZ172,1,$BE172+1):INDEX(終値!$E172:$CZ172,1,$BE172+20)))</f>
        <v>1400.8278547356208</v>
      </c>
      <c r="BL172" s="503">
        <f t="shared" si="15"/>
        <v>5</v>
      </c>
      <c r="BM172" s="503">
        <f t="shared" si="16"/>
        <v>4</v>
      </c>
      <c r="BN172" s="503">
        <f t="shared" si="17"/>
        <v>7</v>
      </c>
      <c r="BO172" s="503">
        <f>IF($BM172="","",INDEX(高値!$E172:$CZ172,1,$BM172+1))</f>
        <v>1527.5</v>
      </c>
      <c r="BP172" s="503">
        <f>IF($BN172="","",INDEX(高値!$E172:$CZ172,1,$BN172+1))</f>
        <v>1465</v>
      </c>
      <c r="BQ172" s="503">
        <f>IF($BN172="","",MIN(INDEX(安値!$E172:$CZ172,1,$BM172+1):INDEX(安値!$E172:$CZ172,1,$BN172+1)))</f>
        <v>1405.5</v>
      </c>
      <c r="BR172" s="503">
        <f>IF($BN172="","",AVERAGE(INDEX(終値!$E172:$CZ172,1,$BN172+1):INDEX(終値!$E172:$CZ172,1,$BN172+20))+2*STDEVP(INDEX(終値!$E172:$CZ172,1,$BN172+1):INDEX(終値!$E172:$CZ172,1,$BN172+20)))</f>
        <v>1498.8047574684556</v>
      </c>
      <c r="BS172" s="503">
        <f>IF($BM172="","",AVERAGE(INDEX(終値!$E172:$CZ172,1,$BM172+1):INDEX(終値!$E172:$CZ172,1,$BM172+20))+2*STDEVP(INDEX(終値!$E172:$CZ172,1,$BM172+1):INDEX(終値!$E172:$CZ172,1,$BM172+20)))</f>
        <v>1493.872145264379</v>
      </c>
      <c r="BT172" s="500"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v>
      </c>
    </row>
    <row r="173" spans="2:72">
      <c r="B173" s="503" t="str">
        <f>IF(終値!A173="","",IF(AND(安値!G173&lt;安値!F173,安値!G173&lt;安値!E173,安値!G173&lt;安値!H173,安値!G173&lt;安値!I173),2,""))</f>
        <v/>
      </c>
      <c r="C173" s="503">
        <f>IF(終値!A173="","",IF(AND(安値!H173&lt;安値!G173,安値!H173&lt;安値!F173,安値!H173&lt;安値!I173,安値!H173&lt;安値!J173),3,""))</f>
        <v>3</v>
      </c>
      <c r="D173" s="503" t="str">
        <f>IF(終値!A173="","",IF(AND(安値!I173&lt;安値!H173,安値!I173&lt;安値!G173,安値!I173&lt;安値!J173,安値!I173&lt;安値!K173),4,""))</f>
        <v/>
      </c>
      <c r="E173" s="503" t="str">
        <f>IF(終値!A173="","",IF(AND(安値!J173&lt;安値!I173,安値!J173&lt;安値!H173,安値!J173&lt;安値!K173,安値!J173&lt;安値!L173),5,""))</f>
        <v/>
      </c>
      <c r="F173" s="503" t="str">
        <f>IF(終値!A173="","",IF(AND(安値!K173&lt;安値!J173,安値!K173&lt;安値!I173,安値!K173&lt;安値!L173,安値!K173&lt;安値!M173),6,""))</f>
        <v/>
      </c>
      <c r="G173" s="503" t="str">
        <f>IF(終値!A173="","",IF(AND(安値!L173&lt;安値!K173,安値!L173&lt;安値!J173,安値!L173&lt;安値!M173,安値!L173&lt;安値!N173),7,""))</f>
        <v/>
      </c>
      <c r="H173" s="503" t="str">
        <f>IF(終値!A173="","",IF(AND(安値!M173&lt;安値!L173,安値!M173&lt;安値!K173,安値!M173&lt;安値!N173,安値!M173&lt;安値!O173),8,""))</f>
        <v/>
      </c>
      <c r="I173" s="503">
        <f>IF(終値!A173="","",IF(AND(安値!N173&lt;安値!M173,安値!N173&lt;安値!L173,安値!N173&lt;安値!O173,安値!N173&lt;安値!P173),9,""))</f>
        <v>9</v>
      </c>
      <c r="J173" s="503" t="str">
        <f>IF(終値!A173="","",IF(AND(安値!O173&lt;安値!N173,安値!O173&lt;安値!M173,安値!O173&lt;安値!P173,安値!O173&lt;安値!Q173),10,""))</f>
        <v/>
      </c>
      <c r="K173" s="503" t="str">
        <f>IF(終値!A173="","",IF(AND(安値!P173&lt;安値!O173,安値!P173&lt;安値!N173,安値!P173&lt;安値!Q173,安値!P173&lt;安値!R173),11,""))</f>
        <v/>
      </c>
      <c r="L173" s="503" t="str">
        <f>IF(終値!A173="","",IF(AND(安値!Q173&lt;安値!P173,安値!Q173&lt;安値!O173,安値!Q173&lt;安値!R173,安値!Q173&lt;安値!S173),12,""))</f>
        <v/>
      </c>
      <c r="M173" s="503" t="str">
        <f>IF(終値!A173="","",IF(AND(安値!R173&lt;安値!Q173,安値!R173&lt;安値!P173,安値!R173&lt;安値!S173,安値!R173&lt;安値!T173),13,""))</f>
        <v/>
      </c>
      <c r="N173" s="503" t="str">
        <f>IF(終値!A173="","",IF(AND(安値!S173&lt;安値!R173,安値!S173&lt;安値!Q173,安値!S173&lt;安値!T173,安値!S173&lt;安値!U173),14,""))</f>
        <v/>
      </c>
      <c r="O173" s="503" t="str">
        <f>IF(終値!A173="","",IF(AND(安値!T173&lt;安値!S173,安値!T173&lt;安値!R173,安値!T173&lt;安値!U173,安値!T173&lt;安値!V173),15,""))</f>
        <v/>
      </c>
      <c r="P173" s="503">
        <f>IF(終値!A173="","",IF(AND(安値!U173&lt;安値!T173,安値!U173&lt;安値!S173,安値!U173&lt;安値!V173,安値!U173&lt;安値!W173),16,""))</f>
        <v>16</v>
      </c>
      <c r="Q173" s="503" t="str">
        <f>IF(終値!A173="","",IF(AND(安値!V173&lt;安値!U173,安値!V173&lt;安値!T173,安値!V173&lt;安値!W173,安値!V173&lt;安値!X173),17,""))</f>
        <v/>
      </c>
      <c r="R173" s="503" t="str">
        <f>IF(終値!A173="","",IF(AND(安値!W173&lt;安値!V173,安値!W173&lt;安値!U173,安値!W173&lt;安値!X173,安値!W173&lt;安値!Y173),18,""))</f>
        <v/>
      </c>
      <c r="S173" s="503" t="str">
        <f>IF(終値!A173="","",IF(AND(安値!X173&lt;安値!W173,安値!X173&lt;安値!V173,安値!X173&lt;安値!Y173,安値!X173&lt;安値!Z173),19,""))</f>
        <v/>
      </c>
      <c r="T173" s="503" t="str">
        <f>IF(終値!A173="","",IF(AND(安値!Y173&lt;安値!X173,安値!Y173&lt;安値!W173,安値!Y173&lt;安値!Z173,安値!Y173&lt;安値!AA173),20,""))</f>
        <v/>
      </c>
      <c r="U173" s="503" t="str">
        <f>IF(終値!A173="","",IF(AND(安値!Z173&lt;安値!Y173,安値!Z173&lt;安値!X173,安値!Z173&lt;安値!AA173,安値!Z173&lt;安値!AB173),21,""))</f>
        <v/>
      </c>
      <c r="V173" s="503" t="str">
        <f>IF(終値!A173="","",IF(AND(安値!AA173&lt;安値!Z173,安値!AA173&lt;安値!Y173,安値!AA173&lt;安値!AB173,安値!AA173&lt;安値!AC173),22,""))</f>
        <v/>
      </c>
      <c r="W173" s="503">
        <f>IF(終値!A173="","",IF(AND(安値!AB173&lt;安値!AA173,安値!AB173&lt;安値!Z173,安値!AB173&lt;安値!AC173,安値!AB173&lt;安値!AD173),23,""))</f>
        <v>23</v>
      </c>
      <c r="X173" s="503" t="str">
        <f>IF(終値!A173="","",IF(AND(安値!AC173&lt;安値!AB173,安値!AC173&lt;安値!AA173,安値!AC173&lt;安値!AD173,安値!AC173&lt;安値!AE173),24,""))</f>
        <v/>
      </c>
      <c r="Y173" s="503" t="str">
        <f>IF(終値!A173="","",IF(AND(安値!AD173&lt;安値!AC173,安値!AD173&lt;安値!AB173,安値!AD173&lt;安値!AE173,安値!AD173&lt;安値!AF173),25,""))</f>
        <v/>
      </c>
      <c r="Z173" s="503" t="str">
        <f>IF(終値!A173="","",IF(AND(安値!AE173&lt;安値!AD173,安値!AE173&lt;安値!AC173,安値!AE173&lt;安値!AF173,安値!AE173&lt;安値!AG173),26,""))</f>
        <v/>
      </c>
      <c r="AA173" s="503" t="str">
        <f>IF(終値!A173="","",IF(AND(安値!AF173&lt;安値!AE173,安値!AF173&lt;安値!AD173,安値!AF173&lt;安値!AG173,安値!AF173&lt;安値!AH173),27,""))</f>
        <v/>
      </c>
      <c r="AB173" s="503" t="str">
        <f>IF(終値!A173="","",IF(AND(安値!AG173&lt;安値!AF173,安値!AG173&lt;安値!AE173,安値!AG173&lt;安値!AH173,安値!AG173&lt;安値!AI173),28,""))</f>
        <v/>
      </c>
      <c r="AC173" s="503" t="str">
        <f>IF(終値!A173="","",IF(AND(高値!G173&gt;高値!F173,高値!G173&gt;高値!E173,高値!G173&gt;高値!H173,高値!G173&gt;高値!I173),2,""))</f>
        <v/>
      </c>
      <c r="AD173" s="503" t="str">
        <f>IF(終値!A173="","",IF(AND(高値!H173&gt;高値!G173,高値!H173&gt;高値!F173,高値!H173&gt;高値!I173,高値!H173&gt;高値!J173),3,""))</f>
        <v/>
      </c>
      <c r="AE173" s="503" t="str">
        <f>IF(終値!A173="","",IF(AND(高値!I173&gt;高値!H173,高値!I173&gt;高値!G173,高値!I173&gt;高値!J173,高値!I173&gt;高値!K173),4,""))</f>
        <v/>
      </c>
      <c r="AF173" s="503" t="str">
        <f>IF(終値!A173="","",IF(AND(高値!J173&gt;高値!I173,高値!J173&gt;高値!H173,高値!J173&gt;高値!K173,高値!J173&gt;高値!L173),5,""))</f>
        <v/>
      </c>
      <c r="AG173" s="503" t="str">
        <f>IF(終値!A173="","",IF(AND(高値!K173&gt;高値!J173,高値!K173&gt;高値!I173,高値!K173&gt;高値!L173,高値!K173&gt;高値!M173),6,""))</f>
        <v/>
      </c>
      <c r="AH173" s="503" t="str">
        <f>IF(終値!A173="","",IF(AND(高値!L173&gt;高値!K173,高値!L173&gt;高値!J173,高値!L173&gt;高値!M173,高値!L173&gt;高値!N173),7,""))</f>
        <v/>
      </c>
      <c r="AI173" s="503">
        <f>IF(終値!A173="","",IF(AND(高値!M173&gt;高値!L173,高値!M173&gt;高値!K173,高値!M173&gt;高値!N173,高値!M173&gt;高値!O173),8,""))</f>
        <v>8</v>
      </c>
      <c r="AJ173" s="503" t="str">
        <f>IF(終値!A173="","",IF(AND(高値!N173&gt;高値!M173,高値!N173&gt;高値!L173,高値!N173&gt;高値!O173,高値!N173&gt;高値!P173),9,""))</f>
        <v/>
      </c>
      <c r="AK173" s="503" t="str">
        <f>IF(終値!A173="","",IF(AND(高値!O173&gt;高値!N173,高値!O173&gt;高値!M173,高値!O173&gt;高値!P173,高値!O173&gt;高値!Q173),10,""))</f>
        <v/>
      </c>
      <c r="AL173" s="503" t="str">
        <f>IF(終値!A173="","",IF(AND(高値!P173&gt;高値!O173,高値!P173&gt;高値!N173,高値!P173&gt;高値!Q173,高値!P173&gt;高値!R173),11,""))</f>
        <v/>
      </c>
      <c r="AM173" s="503" t="str">
        <f>IF(終値!A173="","",IF(AND(高値!Q173&gt;高値!P173,高値!Q173&gt;高値!O173,高値!Q173&gt;高値!R173,高値!Q173&gt;高値!S173),12,""))</f>
        <v/>
      </c>
      <c r="AN173" s="503" t="str">
        <f>IF(終値!A173="","",IF(AND(高値!R173&gt;高値!Q173,高値!R173&gt;高値!P173,高値!R173&gt;高値!S173,高値!R173&gt;高値!T173),13,""))</f>
        <v/>
      </c>
      <c r="AO173" s="503">
        <f>IF(終値!A173="","",IF(AND(高値!S173&gt;高値!R173,高値!S173&gt;高値!Q173,高値!S173&gt;高値!T173,高値!S173&gt;高値!U173),14,""))</f>
        <v>14</v>
      </c>
      <c r="AP173" s="503" t="str">
        <f>IF(終値!A173="","",IF(AND(高値!T173&gt;高値!S173,高値!T173&gt;高値!R173,高値!T173&gt;高値!U173,高値!T173&gt;高値!V173),15,""))</f>
        <v/>
      </c>
      <c r="AQ173" s="503" t="str">
        <f>IF(終値!A173="","",IF(AND(高値!U173&gt;高値!T173,高値!U173&gt;高値!S173,高値!U173&gt;高値!V173,高値!U173&gt;高値!W173),16,""))</f>
        <v/>
      </c>
      <c r="AR173" s="503" t="str">
        <f>IF(終値!A173="","",IF(AND(高値!V173&gt;高値!U173,高値!V173&gt;高値!T173,高値!V173&gt;高値!W173,高値!V173&gt;高値!X173),17,""))</f>
        <v/>
      </c>
      <c r="AS173" s="503" t="str">
        <f>IF(終値!A173="","",IF(AND(高値!W173&gt;高値!V173,高値!W173&gt;高値!U173,高値!W173&gt;高値!X173,高値!W173&gt;高値!Y173),18,""))</f>
        <v/>
      </c>
      <c r="AT173" s="503" t="str">
        <f>IF(終値!A173="","",IF(AND(高値!X173&gt;高値!W173,高値!X173&gt;高値!V173,高値!X173&gt;高値!Y173,高値!X173&gt;高値!Z173),19,""))</f>
        <v/>
      </c>
      <c r="AU173" s="503">
        <f>IF(終値!A173="","",IF(AND(高値!Y173&gt;高値!X173,高値!Y173&gt;高値!W173,高値!Y173&gt;高値!Z173,高値!Y173&gt;高値!AA173),20,""))</f>
        <v>20</v>
      </c>
      <c r="AV173" s="503" t="str">
        <f>IF(終値!A173="","",IF(AND(高値!Z173&gt;高値!Y173,高値!Z173&gt;高値!X173,高値!Z173&gt;高値!AA173,高値!Z173&gt;高値!AB173),21,""))</f>
        <v/>
      </c>
      <c r="AW173" s="503" t="str">
        <f>IF(終値!A173="","",IF(AND(高値!AA173&gt;高値!Z173,高値!AA173&gt;高値!Y173,高値!AA173&gt;高値!AB173,高値!AA173&gt;高値!AC173),22,""))</f>
        <v/>
      </c>
      <c r="AX173" s="503" t="str">
        <f>IF(終値!A173="","",IF(AND(高値!AB173&gt;高値!AA173,高値!AB173&gt;高値!Z173,高値!AB173&gt;高値!AC173,高値!AB173&gt;高値!AD173),23,""))</f>
        <v/>
      </c>
      <c r="AY173" s="503" t="str">
        <f>IF(終値!A173="","",IF(AND(高値!AC173&gt;高値!AB173,高値!AC173&gt;高値!AA173,高値!AC173&gt;高値!AD173,高値!AC173&gt;高値!AE173),24,""))</f>
        <v/>
      </c>
      <c r="AZ173" s="503" t="str">
        <f>IF(終値!A173="","",IF(AND(高値!AD173&gt;高値!AC173,高値!AD173&gt;高値!AB173,高値!AD173&gt;高値!AE173,高値!AD173&gt;高値!AF173),25,""))</f>
        <v/>
      </c>
      <c r="BA173" s="503">
        <f>IF(終値!A173="","",IF(AND(高値!AE173&gt;高値!AD173,高値!AE173&gt;高値!AC173,高値!AE173&gt;高値!AF173,高値!AE173&gt;高値!AG173),26,""))</f>
        <v>26</v>
      </c>
      <c r="BB173" s="503" t="str">
        <f>IF(終値!A173="","",IF(AND(高値!AF173&gt;高値!AE173,高値!AF173&gt;高値!AD173,高値!AF173&gt;高値!AG173,高値!AF173&gt;高値!AH173),27,""))</f>
        <v/>
      </c>
      <c r="BC173" s="503" t="str">
        <f>IF(終値!A173="","",IF(AND(高値!AG173&gt;高値!AF173,高値!AG173&gt;高値!AE173,高値!AG173&gt;高値!AH173,高値!AG173&gt;高値!AI173),28,""))</f>
        <v/>
      </c>
      <c r="BD173" s="503">
        <f t="shared" si="12"/>
        <v>4</v>
      </c>
      <c r="BE173" s="503">
        <f t="shared" si="13"/>
        <v>3</v>
      </c>
      <c r="BF173" s="503">
        <f t="shared" si="14"/>
        <v>9</v>
      </c>
      <c r="BG173" s="503">
        <f>IF($BE173="","",INDEX(安値!$E173:$CZ173,1,$BE173+1))</f>
        <v>691</v>
      </c>
      <c r="BH173" s="503">
        <f>IF($BF173="","",INDEX(安値!$E173:$CZ173,1,$BF173+1))</f>
        <v>0</v>
      </c>
      <c r="BI173" s="503">
        <f>IF($BF173="","",MAX(INDEX(高値!$E173:$CZ173,1,$BE173+1):INDEX(高値!$E173:$CZ173,1,$BF173+1)))</f>
        <v>711</v>
      </c>
      <c r="BJ173" s="503">
        <f>IF($BF173="","",AVERAGE(INDEX(終値!$E173:$CZ173,1,$BF173+1):INDEX(終値!$E173:$CZ173,1,$BF173+20))-2*STDEVP(INDEX(終値!$E173:$CZ173,1,$BF173+1):INDEX(終値!$E173:$CZ173,1,$BF173+20)))</f>
        <v>684.2233626027197</v>
      </c>
      <c r="BK173" s="503">
        <f>IF($BE173="","",AVERAGE(INDEX(終値!$E173:$CZ173,1,$BE173+1):INDEX(終値!$E173:$CZ173,1,$BE173+20))-2*STDEVP(INDEX(終値!$E173:$CZ173,1,$BE173+1):INDEX(終値!$E173:$CZ173,1,$BE173+20)))</f>
        <v>685.96121247587018</v>
      </c>
      <c r="BL173" s="503">
        <f t="shared" si="15"/>
        <v>4</v>
      </c>
      <c r="BM173" s="503">
        <f t="shared" si="16"/>
        <v>8</v>
      </c>
      <c r="BN173" s="503">
        <f t="shared" si="17"/>
        <v>14</v>
      </c>
      <c r="BO173" s="503">
        <f>IF($BM173="","",INDEX(高値!$E173:$CZ173,1,$BM173+1))</f>
        <v>711</v>
      </c>
      <c r="BP173" s="503">
        <f>IF($BN173="","",INDEX(高値!$E173:$CZ173,1,$BN173+1))</f>
        <v>731</v>
      </c>
      <c r="BQ173" s="503">
        <f>IF($BN173="","",MIN(INDEX(安値!$E173:$CZ173,1,$BM173+1):INDEX(安値!$E173:$CZ173,1,$BN173+1)))</f>
        <v>698</v>
      </c>
      <c r="BR173" s="503">
        <f>IF($BN173="","",AVERAGE(INDEX(終値!$E173:$CZ173,1,$BN173+1):INDEX(終値!$E173:$CZ173,1,$BN173+20))+2*STDEVP(INDEX(終値!$E173:$CZ173,1,$BN173+1):INDEX(終値!$E173:$CZ173,1,$BN173+20)))</f>
        <v>754.81355912534411</v>
      </c>
      <c r="BS173" s="503">
        <f>IF($BM173="","",AVERAGE(INDEX(終値!$E173:$CZ173,1,$BM173+1):INDEX(終値!$E173:$CZ173,1,$BM173+20))+2*STDEVP(INDEX(終値!$E173:$CZ173,1,$BM173+1):INDEX(終値!$E173:$CZ173,1,$BM173+20)))</f>
        <v>739.14368256369335</v>
      </c>
      <c r="BT173" s="500"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v>
      </c>
    </row>
    <row r="174" spans="2:72">
      <c r="B174" s="503" t="str">
        <f>IF(終値!A174="","",IF(AND(安値!G174&lt;安値!F174,安値!G174&lt;安値!E174,安値!G174&lt;安値!H174,安値!G174&lt;安値!I174),2,""))</f>
        <v/>
      </c>
      <c r="C174" s="503" t="str">
        <f>IF(終値!A174="","",IF(AND(安値!H174&lt;安値!G174,安値!H174&lt;安値!F174,安値!H174&lt;安値!I174,安値!H174&lt;安値!J174),3,""))</f>
        <v/>
      </c>
      <c r="D174" s="503" t="str">
        <f>IF(終値!A174="","",IF(AND(安値!I174&lt;安値!H174,安値!I174&lt;安値!G174,安値!I174&lt;安値!J174,安値!I174&lt;安値!K174),4,""))</f>
        <v/>
      </c>
      <c r="E174" s="503" t="str">
        <f>IF(終値!A174="","",IF(AND(安値!J174&lt;安値!I174,安値!J174&lt;安値!H174,安値!J174&lt;安値!K174,安値!J174&lt;安値!L174),5,""))</f>
        <v/>
      </c>
      <c r="F174" s="503" t="str">
        <f>IF(終値!A174="","",IF(AND(安値!K174&lt;安値!J174,安値!K174&lt;安値!I174,安値!K174&lt;安値!L174,安値!K174&lt;安値!M174),6,""))</f>
        <v/>
      </c>
      <c r="G174" s="503" t="str">
        <f>IF(終値!A174="","",IF(AND(安値!L174&lt;安値!K174,安値!L174&lt;安値!J174,安値!L174&lt;安値!M174,安値!L174&lt;安値!N174),7,""))</f>
        <v/>
      </c>
      <c r="H174" s="503" t="str">
        <f>IF(終値!A174="","",IF(AND(安値!M174&lt;安値!L174,安値!M174&lt;安値!K174,安値!M174&lt;安値!N174,安値!M174&lt;安値!O174),8,""))</f>
        <v/>
      </c>
      <c r="I174" s="503" t="str">
        <f>IF(終値!A174="","",IF(AND(安値!N174&lt;安値!M174,安値!N174&lt;安値!L174,安値!N174&lt;安値!O174,安値!N174&lt;安値!P174),9,""))</f>
        <v/>
      </c>
      <c r="J174" s="503">
        <f>IF(終値!A174="","",IF(AND(安値!O174&lt;安値!N174,安値!O174&lt;安値!M174,安値!O174&lt;安値!P174,安値!O174&lt;安値!Q174),10,""))</f>
        <v>10</v>
      </c>
      <c r="K174" s="503" t="str">
        <f>IF(終値!A174="","",IF(AND(安値!P174&lt;安値!O174,安値!P174&lt;安値!N174,安値!P174&lt;安値!Q174,安値!P174&lt;安値!R174),11,""))</f>
        <v/>
      </c>
      <c r="L174" s="503" t="str">
        <f>IF(終値!A174="","",IF(AND(安値!Q174&lt;安値!P174,安値!Q174&lt;安値!O174,安値!Q174&lt;安値!R174,安値!Q174&lt;安値!S174),12,""))</f>
        <v/>
      </c>
      <c r="M174" s="503" t="str">
        <f>IF(終値!A174="","",IF(AND(安値!R174&lt;安値!Q174,安値!R174&lt;安値!P174,安値!R174&lt;安値!S174,安値!R174&lt;安値!T174),13,""))</f>
        <v/>
      </c>
      <c r="N174" s="503" t="str">
        <f>IF(終値!A174="","",IF(AND(安値!S174&lt;安値!R174,安値!S174&lt;安値!Q174,安値!S174&lt;安値!T174,安値!S174&lt;安値!U174),14,""))</f>
        <v/>
      </c>
      <c r="O174" s="503" t="str">
        <f>IF(終値!A174="","",IF(AND(安値!T174&lt;安値!S174,安値!T174&lt;安値!R174,安値!T174&lt;安値!U174,安値!T174&lt;安値!V174),15,""))</f>
        <v/>
      </c>
      <c r="P174" s="503" t="str">
        <f>IF(終値!A174="","",IF(AND(安値!U174&lt;安値!T174,安値!U174&lt;安値!S174,安値!U174&lt;安値!V174,安値!U174&lt;安値!W174),16,""))</f>
        <v/>
      </c>
      <c r="Q174" s="503" t="str">
        <f>IF(終値!A174="","",IF(AND(安値!V174&lt;安値!U174,安値!V174&lt;安値!T174,安値!V174&lt;安値!W174,安値!V174&lt;安値!X174),17,""))</f>
        <v/>
      </c>
      <c r="R174" s="503">
        <f>IF(終値!A174="","",IF(AND(安値!W174&lt;安値!V174,安値!W174&lt;安値!U174,安値!W174&lt;安値!X174,安値!W174&lt;安値!Y174),18,""))</f>
        <v>18</v>
      </c>
      <c r="S174" s="503" t="str">
        <f>IF(終値!A174="","",IF(AND(安値!X174&lt;安値!W174,安値!X174&lt;安値!V174,安値!X174&lt;安値!Y174,安値!X174&lt;安値!Z174),19,""))</f>
        <v/>
      </c>
      <c r="T174" s="503" t="str">
        <f>IF(終値!A174="","",IF(AND(安値!Y174&lt;安値!X174,安値!Y174&lt;安値!W174,安値!Y174&lt;安値!Z174,安値!Y174&lt;安値!AA174),20,""))</f>
        <v/>
      </c>
      <c r="U174" s="503" t="str">
        <f>IF(終値!A174="","",IF(AND(安値!Z174&lt;安値!Y174,安値!Z174&lt;安値!X174,安値!Z174&lt;安値!AA174,安値!Z174&lt;安値!AB174),21,""))</f>
        <v/>
      </c>
      <c r="V174" s="503" t="str">
        <f>IF(終値!A174="","",IF(AND(安値!AA174&lt;安値!Z174,安値!AA174&lt;安値!Y174,安値!AA174&lt;安値!AB174,安値!AA174&lt;安値!AC174),22,""))</f>
        <v/>
      </c>
      <c r="W174" s="503" t="str">
        <f>IF(終値!A174="","",IF(AND(安値!AB174&lt;安値!AA174,安値!AB174&lt;安値!Z174,安値!AB174&lt;安値!AC174,安値!AB174&lt;安値!AD174),23,""))</f>
        <v/>
      </c>
      <c r="X174" s="503" t="str">
        <f>IF(終値!A174="","",IF(AND(安値!AC174&lt;安値!AB174,安値!AC174&lt;安値!AA174,安値!AC174&lt;安値!AD174,安値!AC174&lt;安値!AE174),24,""))</f>
        <v/>
      </c>
      <c r="Y174" s="503" t="str">
        <f>IF(終値!A174="","",IF(AND(安値!AD174&lt;安値!AC174,安値!AD174&lt;安値!AB174,安値!AD174&lt;安値!AE174,安値!AD174&lt;安値!AF174),25,""))</f>
        <v/>
      </c>
      <c r="Z174" s="503" t="str">
        <f>IF(終値!A174="","",IF(AND(安値!AE174&lt;安値!AD174,安値!AE174&lt;安値!AC174,安値!AE174&lt;安値!AF174,安値!AE174&lt;安値!AG174),26,""))</f>
        <v/>
      </c>
      <c r="AA174" s="503" t="str">
        <f>IF(終値!A174="","",IF(AND(安値!AF174&lt;安値!AE174,安値!AF174&lt;安値!AD174,安値!AF174&lt;安値!AG174,安値!AF174&lt;安値!AH174),27,""))</f>
        <v/>
      </c>
      <c r="AB174" s="503" t="str">
        <f>IF(終値!A174="","",IF(AND(安値!AG174&lt;安値!AF174,安値!AG174&lt;安値!AE174,安値!AG174&lt;安値!AH174,安値!AG174&lt;安値!AI174),28,""))</f>
        <v/>
      </c>
      <c r="AC174" s="503" t="str">
        <f>IF(終値!A174="","",IF(AND(高値!G174&gt;高値!F174,高値!G174&gt;高値!E174,高値!G174&gt;高値!H174,高値!G174&gt;高値!I174),2,""))</f>
        <v/>
      </c>
      <c r="AD174" s="503" t="str">
        <f>IF(終値!A174="","",IF(AND(高値!H174&gt;高値!G174,高値!H174&gt;高値!F174,高値!H174&gt;高値!I174,高値!H174&gt;高値!J174),3,""))</f>
        <v/>
      </c>
      <c r="AE174" s="503" t="str">
        <f>IF(終値!A174="","",IF(AND(高値!I174&gt;高値!H174,高値!I174&gt;高値!G174,高値!I174&gt;高値!J174,高値!I174&gt;高値!K174),4,""))</f>
        <v/>
      </c>
      <c r="AF174" s="503" t="str">
        <f>IF(終値!A174="","",IF(AND(高値!J174&gt;高値!I174,高値!J174&gt;高値!H174,高値!J174&gt;高値!K174,高値!J174&gt;高値!L174),5,""))</f>
        <v/>
      </c>
      <c r="AG174" s="503">
        <f>IF(終値!A174="","",IF(AND(高値!K174&gt;高値!J174,高値!K174&gt;高値!I174,高値!K174&gt;高値!L174,高値!K174&gt;高値!M174),6,""))</f>
        <v>6</v>
      </c>
      <c r="AH174" s="503" t="str">
        <f>IF(終値!A174="","",IF(AND(高値!L174&gt;高値!K174,高値!L174&gt;高値!J174,高値!L174&gt;高値!M174,高値!L174&gt;高値!N174),7,""))</f>
        <v/>
      </c>
      <c r="AI174" s="503" t="str">
        <f>IF(終値!A174="","",IF(AND(高値!M174&gt;高値!L174,高値!M174&gt;高値!K174,高値!M174&gt;高値!N174,高値!M174&gt;高値!O174),8,""))</f>
        <v/>
      </c>
      <c r="AJ174" s="503" t="str">
        <f>IF(終値!A174="","",IF(AND(高値!N174&gt;高値!M174,高値!N174&gt;高値!L174,高値!N174&gt;高値!O174,高値!N174&gt;高値!P174),9,""))</f>
        <v/>
      </c>
      <c r="AK174" s="503" t="str">
        <f>IF(終値!A174="","",IF(AND(高値!O174&gt;高値!N174,高値!O174&gt;高値!M174,高値!O174&gt;高値!P174,高値!O174&gt;高値!Q174),10,""))</f>
        <v/>
      </c>
      <c r="AL174" s="503" t="str">
        <f>IF(終値!A174="","",IF(AND(高値!P174&gt;高値!O174,高値!P174&gt;高値!N174,高値!P174&gt;高値!Q174,高値!P174&gt;高値!R174),11,""))</f>
        <v/>
      </c>
      <c r="AM174" s="503">
        <f>IF(終値!A174="","",IF(AND(高値!Q174&gt;高値!P174,高値!Q174&gt;高値!O174,高値!Q174&gt;高値!R174,高値!Q174&gt;高値!S174),12,""))</f>
        <v>12</v>
      </c>
      <c r="AN174" s="503" t="str">
        <f>IF(終値!A174="","",IF(AND(高値!R174&gt;高値!Q174,高値!R174&gt;高値!P174,高値!R174&gt;高値!S174,高値!R174&gt;高値!T174),13,""))</f>
        <v/>
      </c>
      <c r="AO174" s="503" t="str">
        <f>IF(終値!A174="","",IF(AND(高値!S174&gt;高値!R174,高値!S174&gt;高値!Q174,高値!S174&gt;高値!T174,高値!S174&gt;高値!U174),14,""))</f>
        <v/>
      </c>
      <c r="AP174" s="503">
        <f>IF(終値!A174="","",IF(AND(高値!T174&gt;高値!S174,高値!T174&gt;高値!R174,高値!T174&gt;高値!U174,高値!T174&gt;高値!V174),15,""))</f>
        <v>15</v>
      </c>
      <c r="AQ174" s="503" t="str">
        <f>IF(終値!A174="","",IF(AND(高値!U174&gt;高値!T174,高値!U174&gt;高値!S174,高値!U174&gt;高値!V174,高値!U174&gt;高値!W174),16,""))</f>
        <v/>
      </c>
      <c r="AR174" s="503" t="str">
        <f>IF(終値!A174="","",IF(AND(高値!V174&gt;高値!U174,高値!V174&gt;高値!T174,高値!V174&gt;高値!W174,高値!V174&gt;高値!X174),17,""))</f>
        <v/>
      </c>
      <c r="AS174" s="503" t="str">
        <f>IF(終値!A174="","",IF(AND(高値!W174&gt;高値!V174,高値!W174&gt;高値!U174,高値!W174&gt;高値!X174,高値!W174&gt;高値!Y174),18,""))</f>
        <v/>
      </c>
      <c r="AT174" s="503">
        <f>IF(終値!A174="","",IF(AND(高値!X174&gt;高値!W174,高値!X174&gt;高値!V174,高値!X174&gt;高値!Y174,高値!X174&gt;高値!Z174),19,""))</f>
        <v>19</v>
      </c>
      <c r="AU174" s="503" t="str">
        <f>IF(終値!A174="","",IF(AND(高値!Y174&gt;高値!X174,高値!Y174&gt;高値!W174,高値!Y174&gt;高値!Z174,高値!Y174&gt;高値!AA174),20,""))</f>
        <v/>
      </c>
      <c r="AV174" s="503" t="str">
        <f>IF(終値!A174="","",IF(AND(高値!Z174&gt;高値!Y174,高値!Z174&gt;高値!X174,高値!Z174&gt;高値!AA174,高値!Z174&gt;高値!AB174),21,""))</f>
        <v/>
      </c>
      <c r="AW174" s="503" t="str">
        <f>IF(終値!A174="","",IF(AND(高値!AA174&gt;高値!Z174,高値!AA174&gt;高値!Y174,高値!AA174&gt;高値!AB174,高値!AA174&gt;高値!AC174),22,""))</f>
        <v/>
      </c>
      <c r="AX174" s="503" t="str">
        <f>IF(終値!A174="","",IF(AND(高値!AB174&gt;高値!AA174,高値!AB174&gt;高値!Z174,高値!AB174&gt;高値!AC174,高値!AB174&gt;高値!AD174),23,""))</f>
        <v/>
      </c>
      <c r="AY174" s="503" t="str">
        <f>IF(終値!A174="","",IF(AND(高値!AC174&gt;高値!AB174,高値!AC174&gt;高値!AA174,高値!AC174&gt;高値!AD174,高値!AC174&gt;高値!AE174),24,""))</f>
        <v/>
      </c>
      <c r="AZ174" s="503" t="str">
        <f>IF(終値!A174="","",IF(AND(高値!AD174&gt;高値!AC174,高値!AD174&gt;高値!AB174,高値!AD174&gt;高値!AE174,高値!AD174&gt;高値!AF174),25,""))</f>
        <v/>
      </c>
      <c r="BA174" s="503" t="str">
        <f>IF(終値!A174="","",IF(AND(高値!AE174&gt;高値!AD174,高値!AE174&gt;高値!AC174,高値!AE174&gt;高値!AF174,高値!AE174&gt;高値!AG174),26,""))</f>
        <v/>
      </c>
      <c r="BB174" s="503" t="str">
        <f>IF(終値!A174="","",IF(AND(高値!AF174&gt;高値!AE174,高値!AF174&gt;高値!AD174,高値!AF174&gt;高値!AG174,高値!AF174&gt;高値!AH174),27,""))</f>
        <v/>
      </c>
      <c r="BC174" s="503" t="str">
        <f>IF(終値!A174="","",IF(AND(高値!AG174&gt;高値!AF174,高値!AG174&gt;高値!AE174,高値!AG174&gt;高値!AH174,高値!AG174&gt;高値!AI174),28,""))</f>
        <v/>
      </c>
      <c r="BD174" s="503">
        <f t="shared" si="12"/>
        <v>2</v>
      </c>
      <c r="BE174" s="503">
        <f t="shared" si="13"/>
        <v>10</v>
      </c>
      <c r="BF174" s="503">
        <f t="shared" si="14"/>
        <v>18</v>
      </c>
      <c r="BG174" s="503">
        <f>IF($BE174="","",INDEX(安値!$E174:$CZ174,1,$BE174+1))</f>
        <v>3676</v>
      </c>
      <c r="BH174" s="503">
        <f>IF($BF174="","",INDEX(安値!$E174:$CZ174,1,$BF174+1))</f>
        <v>3605</v>
      </c>
      <c r="BI174" s="503">
        <f>IF($BF174="","",MAX(INDEX(高値!$E174:$CZ174,1,$BE174+1):INDEX(高値!$E174:$CZ174,1,$BF174+1)))</f>
        <v>3913</v>
      </c>
      <c r="BJ174" s="503">
        <f>IF($BF174="","",AVERAGE(INDEX(終値!$E174:$CZ174,1,$BF174+1):INDEX(終値!$E174:$CZ174,1,$BF174+20))-2*STDEVP(INDEX(終値!$E174:$CZ174,1,$BF174+1):INDEX(終値!$E174:$CZ174,1,$BF174+20)))</f>
        <v>2927.2606599267156</v>
      </c>
      <c r="BK174" s="503">
        <f>IF($BE174="","",AVERAGE(INDEX(終値!$E174:$CZ174,1,$BE174+1):INDEX(終値!$E174:$CZ174,1,$BE174+20))-2*STDEVP(INDEX(終値!$E174:$CZ174,1,$BE174+1):INDEX(終値!$E174:$CZ174,1,$BE174+20)))</f>
        <v>3163.625996281663</v>
      </c>
      <c r="BL174" s="503">
        <f t="shared" si="15"/>
        <v>4</v>
      </c>
      <c r="BM174" s="503">
        <f t="shared" si="16"/>
        <v>6</v>
      </c>
      <c r="BN174" s="503">
        <f t="shared" si="17"/>
        <v>12</v>
      </c>
      <c r="BO174" s="503">
        <f>IF($BM174="","",INDEX(高値!$E174:$CZ174,1,$BM174+1))</f>
        <v>4056</v>
      </c>
      <c r="BP174" s="503">
        <f>IF($BN174="","",INDEX(高値!$E174:$CZ174,1,$BN174+1))</f>
        <v>3913</v>
      </c>
      <c r="BQ174" s="503">
        <f>IF($BN174="","",MIN(INDEX(安値!$E174:$CZ174,1,$BM174+1):INDEX(安値!$E174:$CZ174,1,$BN174+1)))</f>
        <v>3676</v>
      </c>
      <c r="BR174" s="503">
        <f>IF($BN174="","",AVERAGE(INDEX(終値!$E174:$CZ174,1,$BN174+1):INDEX(終値!$E174:$CZ174,1,$BN174+20))+2*STDEVP(INDEX(終値!$E174:$CZ174,1,$BN174+1):INDEX(終値!$E174:$CZ174,1,$BN174+20)))</f>
        <v>4052.2890609619367</v>
      </c>
      <c r="BS174" s="503">
        <f>IF($BM174="","",AVERAGE(INDEX(終値!$E174:$CZ174,1,$BM174+1):INDEX(終値!$E174:$CZ174,1,$BM174+20))+2*STDEVP(INDEX(終値!$E174:$CZ174,1,$BM174+1):INDEX(終値!$E174:$CZ174,1,$BM174+20)))</f>
        <v>4070.9830316665302</v>
      </c>
      <c r="BT174" s="500"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二番底W形成</v>
      </c>
    </row>
    <row r="175" spans="2:72">
      <c r="B175" s="503" t="str">
        <f>IF(終値!A175="","",IF(AND(安値!G175&lt;安値!F175,安値!G175&lt;安値!E175,安値!G175&lt;安値!H175,安値!G175&lt;安値!I175),2,""))</f>
        <v/>
      </c>
      <c r="C175" s="503" t="str">
        <f>IF(終値!A175="","",IF(AND(安値!H175&lt;安値!G175,安値!H175&lt;安値!F175,安値!H175&lt;安値!I175,安値!H175&lt;安値!J175),3,""))</f>
        <v/>
      </c>
      <c r="D175" s="503">
        <f>IF(終値!A175="","",IF(AND(安値!I175&lt;安値!H175,安値!I175&lt;安値!G175,安値!I175&lt;安値!J175,安値!I175&lt;安値!K175),4,""))</f>
        <v>4</v>
      </c>
      <c r="E175" s="503" t="str">
        <f>IF(終値!A175="","",IF(AND(安値!J175&lt;安値!I175,安値!J175&lt;安値!H175,安値!J175&lt;安値!K175,安値!J175&lt;安値!L175),5,""))</f>
        <v/>
      </c>
      <c r="F175" s="503" t="str">
        <f>IF(終値!A175="","",IF(AND(安値!K175&lt;安値!J175,安値!K175&lt;安値!I175,安値!K175&lt;安値!L175,安値!K175&lt;安値!M175),6,""))</f>
        <v/>
      </c>
      <c r="G175" s="503" t="str">
        <f>IF(終値!A175="","",IF(AND(安値!L175&lt;安値!K175,安値!L175&lt;安値!J175,安値!L175&lt;安値!M175,安値!L175&lt;安値!N175),7,""))</f>
        <v/>
      </c>
      <c r="H175" s="503" t="str">
        <f>IF(終値!A175="","",IF(AND(安値!M175&lt;安値!L175,安値!M175&lt;安値!K175,安値!M175&lt;安値!N175,安値!M175&lt;安値!O175),8,""))</f>
        <v/>
      </c>
      <c r="I175" s="503" t="str">
        <f>IF(終値!A175="","",IF(AND(安値!N175&lt;安値!M175,安値!N175&lt;安値!L175,安値!N175&lt;安値!O175,安値!N175&lt;安値!P175),9,""))</f>
        <v/>
      </c>
      <c r="J175" s="503" t="str">
        <f>IF(終値!A175="","",IF(AND(安値!O175&lt;安値!N175,安値!O175&lt;安値!M175,安値!O175&lt;安値!P175,安値!O175&lt;安値!Q175),10,""))</f>
        <v/>
      </c>
      <c r="K175" s="503" t="str">
        <f>IF(終値!A175="","",IF(AND(安値!P175&lt;安値!O175,安値!P175&lt;安値!N175,安値!P175&lt;安値!Q175,安値!P175&lt;安値!R175),11,""))</f>
        <v/>
      </c>
      <c r="L175" s="503" t="str">
        <f>IF(終値!A175="","",IF(AND(安値!Q175&lt;安値!P175,安値!Q175&lt;安値!O175,安値!Q175&lt;安値!R175,安値!Q175&lt;安値!S175),12,""))</f>
        <v/>
      </c>
      <c r="M175" s="503">
        <f>IF(終値!A175="","",IF(AND(安値!R175&lt;安値!Q175,安値!R175&lt;安値!P175,安値!R175&lt;安値!S175,安値!R175&lt;安値!T175),13,""))</f>
        <v>13</v>
      </c>
      <c r="N175" s="503" t="str">
        <f>IF(終値!A175="","",IF(AND(安値!S175&lt;安値!R175,安値!S175&lt;安値!Q175,安値!S175&lt;安値!T175,安値!S175&lt;安値!U175),14,""))</f>
        <v/>
      </c>
      <c r="O175" s="503" t="str">
        <f>IF(終値!A175="","",IF(AND(安値!T175&lt;安値!S175,安値!T175&lt;安値!R175,安値!T175&lt;安値!U175,安値!T175&lt;安値!V175),15,""))</f>
        <v/>
      </c>
      <c r="P175" s="503" t="str">
        <f>IF(終値!A175="","",IF(AND(安値!U175&lt;安値!T175,安値!U175&lt;安値!S175,安値!U175&lt;安値!V175,安値!U175&lt;安値!W175),16,""))</f>
        <v/>
      </c>
      <c r="Q175" s="503" t="str">
        <f>IF(終値!A175="","",IF(AND(安値!V175&lt;安値!U175,安値!V175&lt;安値!T175,安値!V175&lt;安値!W175,安値!V175&lt;安値!X175),17,""))</f>
        <v/>
      </c>
      <c r="R175" s="503" t="str">
        <f>IF(終値!A175="","",IF(AND(安値!W175&lt;安値!V175,安値!W175&lt;安値!U175,安値!W175&lt;安値!X175,安値!W175&lt;安値!Y175),18,""))</f>
        <v/>
      </c>
      <c r="S175" s="503" t="str">
        <f>IF(終値!A175="","",IF(AND(安値!X175&lt;安値!W175,安値!X175&lt;安値!V175,安値!X175&lt;安値!Y175,安値!X175&lt;安値!Z175),19,""))</f>
        <v/>
      </c>
      <c r="T175" s="503" t="str">
        <f>IF(終値!A175="","",IF(AND(安値!Y175&lt;安値!X175,安値!Y175&lt;安値!W175,安値!Y175&lt;安値!Z175,安値!Y175&lt;安値!AA175),20,""))</f>
        <v/>
      </c>
      <c r="U175" s="503" t="str">
        <f>IF(終値!A175="","",IF(AND(安値!Z175&lt;安値!Y175,安値!Z175&lt;安値!X175,安値!Z175&lt;安値!AA175,安値!Z175&lt;安値!AB175),21,""))</f>
        <v/>
      </c>
      <c r="V175" s="503" t="str">
        <f>IF(終値!A175="","",IF(AND(安値!AA175&lt;安値!Z175,安値!AA175&lt;安値!Y175,安値!AA175&lt;安値!AB175,安値!AA175&lt;安値!AC175),22,""))</f>
        <v/>
      </c>
      <c r="W175" s="503">
        <f>IF(終値!A175="","",IF(AND(安値!AB175&lt;安値!AA175,安値!AB175&lt;安値!Z175,安値!AB175&lt;安値!AC175,安値!AB175&lt;安値!AD175),23,""))</f>
        <v>23</v>
      </c>
      <c r="X175" s="503" t="str">
        <f>IF(終値!A175="","",IF(AND(安値!AC175&lt;安値!AB175,安値!AC175&lt;安値!AA175,安値!AC175&lt;安値!AD175,安値!AC175&lt;安値!AE175),24,""))</f>
        <v/>
      </c>
      <c r="Y175" s="503" t="str">
        <f>IF(終値!A175="","",IF(AND(安値!AD175&lt;安値!AC175,安値!AD175&lt;安値!AB175,安値!AD175&lt;安値!AE175,安値!AD175&lt;安値!AF175),25,""))</f>
        <v/>
      </c>
      <c r="Z175" s="503" t="str">
        <f>IF(終値!A175="","",IF(AND(安値!AE175&lt;安値!AD175,安値!AE175&lt;安値!AC175,安値!AE175&lt;安値!AF175,安値!AE175&lt;安値!AG175),26,""))</f>
        <v/>
      </c>
      <c r="AA175" s="503">
        <f>IF(終値!A175="","",IF(AND(安値!AF175&lt;安値!AE175,安値!AF175&lt;安値!AD175,安値!AF175&lt;安値!AG175,安値!AF175&lt;安値!AH175),27,""))</f>
        <v>27</v>
      </c>
      <c r="AB175" s="503" t="str">
        <f>IF(終値!A175="","",IF(AND(安値!AG175&lt;安値!AF175,安値!AG175&lt;安値!AE175,安値!AG175&lt;安値!AH175,安値!AG175&lt;安値!AI175),28,""))</f>
        <v/>
      </c>
      <c r="AC175" s="503" t="str">
        <f>IF(終値!A175="","",IF(AND(高値!G175&gt;高値!F175,高値!G175&gt;高値!E175,高値!G175&gt;高値!H175,高値!G175&gt;高値!I175),2,""))</f>
        <v/>
      </c>
      <c r="AD175" s="503" t="str">
        <f>IF(終値!A175="","",IF(AND(高値!H175&gt;高値!G175,高値!H175&gt;高値!F175,高値!H175&gt;高値!I175,高値!H175&gt;高値!J175),3,""))</f>
        <v/>
      </c>
      <c r="AE175" s="503" t="str">
        <f>IF(終値!A175="","",IF(AND(高値!I175&gt;高値!H175,高値!I175&gt;高値!G175,高値!I175&gt;高値!J175,高値!I175&gt;高値!K175),4,""))</f>
        <v/>
      </c>
      <c r="AF175" s="503" t="str">
        <f>IF(終値!A175="","",IF(AND(高値!J175&gt;高値!I175,高値!J175&gt;高値!H175,高値!J175&gt;高値!K175,高値!J175&gt;高値!L175),5,""))</f>
        <v/>
      </c>
      <c r="AG175" s="503" t="str">
        <f>IF(終値!A175="","",IF(AND(高値!K175&gt;高値!J175,高値!K175&gt;高値!I175,高値!K175&gt;高値!L175,高値!K175&gt;高値!M175),6,""))</f>
        <v/>
      </c>
      <c r="AH175" s="503" t="str">
        <f>IF(終値!A175="","",IF(AND(高値!L175&gt;高値!K175,高値!L175&gt;高値!J175,高値!L175&gt;高値!M175,高値!L175&gt;高値!N175),7,""))</f>
        <v/>
      </c>
      <c r="AI175" s="503">
        <f>IF(終値!A175="","",IF(AND(高値!M175&gt;高値!L175,高値!M175&gt;高値!K175,高値!M175&gt;高値!N175,高値!M175&gt;高値!O175),8,""))</f>
        <v>8</v>
      </c>
      <c r="AJ175" s="503" t="str">
        <f>IF(終値!A175="","",IF(AND(高値!N175&gt;高値!M175,高値!N175&gt;高値!L175,高値!N175&gt;高値!O175,高値!N175&gt;高値!P175),9,""))</f>
        <v/>
      </c>
      <c r="AK175" s="503" t="str">
        <f>IF(終値!A175="","",IF(AND(高値!O175&gt;高値!N175,高値!O175&gt;高値!M175,高値!O175&gt;高値!P175,高値!O175&gt;高値!Q175),10,""))</f>
        <v/>
      </c>
      <c r="AL175" s="503">
        <f>IF(終値!A175="","",IF(AND(高値!P175&gt;高値!O175,高値!P175&gt;高値!N175,高値!P175&gt;高値!Q175,高値!P175&gt;高値!R175),11,""))</f>
        <v>11</v>
      </c>
      <c r="AM175" s="503" t="str">
        <f>IF(終値!A175="","",IF(AND(高値!Q175&gt;高値!P175,高値!Q175&gt;高値!O175,高値!Q175&gt;高値!R175,高値!Q175&gt;高値!S175),12,""))</f>
        <v/>
      </c>
      <c r="AN175" s="503" t="str">
        <f>IF(終値!A175="","",IF(AND(高値!R175&gt;高値!Q175,高値!R175&gt;高値!P175,高値!R175&gt;高値!S175,高値!R175&gt;高値!T175),13,""))</f>
        <v/>
      </c>
      <c r="AO175" s="503" t="str">
        <f>IF(終値!A175="","",IF(AND(高値!S175&gt;高値!R175,高値!S175&gt;高値!Q175,高値!S175&gt;高値!T175,高値!S175&gt;高値!U175),14,""))</f>
        <v/>
      </c>
      <c r="AP175" s="503" t="str">
        <f>IF(終値!A175="","",IF(AND(高値!T175&gt;高値!S175,高値!T175&gt;高値!R175,高値!T175&gt;高値!U175,高値!T175&gt;高値!V175),15,""))</f>
        <v/>
      </c>
      <c r="AQ175" s="503" t="str">
        <f>IF(終値!A175="","",IF(AND(高値!U175&gt;高値!T175,高値!U175&gt;高値!S175,高値!U175&gt;高値!V175,高値!U175&gt;高値!W175),16,""))</f>
        <v/>
      </c>
      <c r="AR175" s="503" t="str">
        <f>IF(終値!A175="","",IF(AND(高値!V175&gt;高値!U175,高値!V175&gt;高値!T175,高値!V175&gt;高値!W175,高値!V175&gt;高値!X175),17,""))</f>
        <v/>
      </c>
      <c r="AS175" s="503" t="str">
        <f>IF(終値!A175="","",IF(AND(高値!W175&gt;高値!V175,高値!W175&gt;高値!U175,高値!W175&gt;高値!X175,高値!W175&gt;高値!Y175),18,""))</f>
        <v/>
      </c>
      <c r="AT175" s="503" t="str">
        <f>IF(終値!A175="","",IF(AND(高値!X175&gt;高値!W175,高値!X175&gt;高値!V175,高値!X175&gt;高値!Y175,高値!X175&gt;高値!Z175),19,""))</f>
        <v/>
      </c>
      <c r="AU175" s="503">
        <f>IF(終値!A175="","",IF(AND(高値!Y175&gt;高値!X175,高値!Y175&gt;高値!W175,高値!Y175&gt;高値!Z175,高値!Y175&gt;高値!AA175),20,""))</f>
        <v>20</v>
      </c>
      <c r="AV175" s="503" t="str">
        <f>IF(終値!A175="","",IF(AND(高値!Z175&gt;高値!Y175,高値!Z175&gt;高値!X175,高値!Z175&gt;高値!AA175,高値!Z175&gt;高値!AB175),21,""))</f>
        <v/>
      </c>
      <c r="AW175" s="503" t="str">
        <f>IF(終値!A175="","",IF(AND(高値!AA175&gt;高値!Z175,高値!AA175&gt;高値!Y175,高値!AA175&gt;高値!AB175,高値!AA175&gt;高値!AC175),22,""))</f>
        <v/>
      </c>
      <c r="AX175" s="503" t="str">
        <f>IF(終値!A175="","",IF(AND(高値!AB175&gt;高値!AA175,高値!AB175&gt;高値!Z175,高値!AB175&gt;高値!AC175,高値!AB175&gt;高値!AD175),23,""))</f>
        <v/>
      </c>
      <c r="AY175" s="503" t="str">
        <f>IF(終値!A175="","",IF(AND(高値!AC175&gt;高値!AB175,高値!AC175&gt;高値!AA175,高値!AC175&gt;高値!AD175,高値!AC175&gt;高値!AE175),24,""))</f>
        <v/>
      </c>
      <c r="AZ175" s="503">
        <f>IF(終値!A175="","",IF(AND(高値!AD175&gt;高値!AC175,高値!AD175&gt;高値!AB175,高値!AD175&gt;高値!AE175,高値!AD175&gt;高値!AF175),25,""))</f>
        <v>25</v>
      </c>
      <c r="BA175" s="503" t="str">
        <f>IF(終値!A175="","",IF(AND(高値!AE175&gt;高値!AD175,高値!AE175&gt;高値!AC175,高値!AE175&gt;高値!AF175,高値!AE175&gt;高値!AG175),26,""))</f>
        <v/>
      </c>
      <c r="BB175" s="503" t="str">
        <f>IF(終値!A175="","",IF(AND(高値!AF175&gt;高値!AE175,高値!AF175&gt;高値!AD175,高値!AF175&gt;高値!AG175,高値!AF175&gt;高値!AH175),27,""))</f>
        <v/>
      </c>
      <c r="BC175" s="503" t="str">
        <f>IF(終値!A175="","",IF(AND(高値!AG175&gt;高値!AF175,高値!AG175&gt;高値!AE175,高値!AG175&gt;高値!AH175,高値!AG175&gt;高値!AI175),28,""))</f>
        <v/>
      </c>
      <c r="BD175" s="503">
        <f t="shared" si="12"/>
        <v>4</v>
      </c>
      <c r="BE175" s="503">
        <f t="shared" si="13"/>
        <v>4</v>
      </c>
      <c r="BF175" s="503">
        <f t="shared" si="14"/>
        <v>13</v>
      </c>
      <c r="BG175" s="503">
        <f>IF($BE175="","",INDEX(安値!$E175:$CZ175,1,$BE175+1))</f>
        <v>5033</v>
      </c>
      <c r="BH175" s="503">
        <f>IF($BF175="","",INDEX(安値!$E175:$CZ175,1,$BF175+1))</f>
        <v>5712</v>
      </c>
      <c r="BI175" s="503">
        <f>IF($BF175="","",MAX(INDEX(高値!$E175:$CZ175,1,$BE175+1):INDEX(高値!$E175:$CZ175,1,$BF175+1)))</f>
        <v>6100</v>
      </c>
      <c r="BJ175" s="503">
        <f>IF($BF175="","",AVERAGE(INDEX(終値!$E175:$CZ175,1,$BF175+1):INDEX(終値!$E175:$CZ175,1,$BF175+20))-2*STDEVP(INDEX(終値!$E175:$CZ175,1,$BF175+1):INDEX(終値!$E175:$CZ175,1,$BF175+20)))</f>
        <v>6019.2169966015426</v>
      </c>
      <c r="BK175" s="503">
        <f>IF($BE175="","",AVERAGE(INDEX(終値!$E175:$CZ175,1,$BE175+1):INDEX(終値!$E175:$CZ175,1,$BE175+20))-2*STDEVP(INDEX(終値!$E175:$CZ175,1,$BE175+1):INDEX(終値!$E175:$CZ175,1,$BE175+20)))</f>
        <v>5321.9789108488512</v>
      </c>
      <c r="BL175" s="503">
        <f t="shared" si="15"/>
        <v>4</v>
      </c>
      <c r="BM175" s="503">
        <f t="shared" si="16"/>
        <v>8</v>
      </c>
      <c r="BN175" s="503">
        <f t="shared" si="17"/>
        <v>11</v>
      </c>
      <c r="BO175" s="503">
        <f>IF($BM175="","",INDEX(高値!$E175:$CZ175,1,$BM175+1))</f>
        <v>6100</v>
      </c>
      <c r="BP175" s="503">
        <f>IF($BN175="","",INDEX(高値!$E175:$CZ175,1,$BN175+1))</f>
        <v>6093</v>
      </c>
      <c r="BQ175" s="503">
        <f>IF($BN175="","",MIN(INDEX(安値!$E175:$CZ175,1,$BM175+1):INDEX(安値!$E175:$CZ175,1,$BN175+1)))</f>
        <v>5830</v>
      </c>
      <c r="BR175" s="503">
        <f>IF($BN175="","",AVERAGE(INDEX(終値!$E175:$CZ175,1,$BN175+1):INDEX(終値!$E175:$CZ175,1,$BN175+20))+2*STDEVP(INDEX(終値!$E175:$CZ175,1,$BN175+1):INDEX(終値!$E175:$CZ175,1,$BN175+20)))</f>
        <v>7116.2606792922079</v>
      </c>
      <c r="BS175" s="503">
        <f>IF($BM175="","",AVERAGE(INDEX(終値!$E175:$CZ175,1,$BM175+1):INDEX(終値!$E175:$CZ175,1,$BM175+20))+2*STDEVP(INDEX(終値!$E175:$CZ175,1,$BM175+1):INDEX(終値!$E175:$CZ175,1,$BM175+20)))</f>
        <v>7067.8388553750437</v>
      </c>
      <c r="BT175" s="500"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3" t="str">
        <f>IF(終値!A176="","",IF(AND(安値!G176&lt;安値!F176,安値!G176&lt;安値!E176,安値!G176&lt;安値!H176,安値!G176&lt;安値!I176),2,""))</f>
        <v/>
      </c>
      <c r="C176" s="503">
        <f>IF(終値!A176="","",IF(AND(安値!H176&lt;安値!G176,安値!H176&lt;安値!F176,安値!H176&lt;安値!I176,安値!H176&lt;安値!J176),3,""))</f>
        <v>3</v>
      </c>
      <c r="D176" s="503" t="str">
        <f>IF(終値!A176="","",IF(AND(安値!I176&lt;安値!H176,安値!I176&lt;安値!G176,安値!I176&lt;安値!J176,安値!I176&lt;安値!K176),4,""))</f>
        <v/>
      </c>
      <c r="E176" s="503" t="str">
        <f>IF(終値!A176="","",IF(AND(安値!J176&lt;安値!I176,安値!J176&lt;安値!H176,安値!J176&lt;安値!K176,安値!J176&lt;安値!L176),5,""))</f>
        <v/>
      </c>
      <c r="F176" s="503" t="str">
        <f>IF(終値!A176="","",IF(AND(安値!K176&lt;安値!J176,安値!K176&lt;安値!I176,安値!K176&lt;安値!L176,安値!K176&lt;安値!M176),6,""))</f>
        <v/>
      </c>
      <c r="G176" s="503" t="str">
        <f>IF(終値!A176="","",IF(AND(安値!L176&lt;安値!K176,安値!L176&lt;安値!J176,安値!L176&lt;安値!M176,安値!L176&lt;安値!N176),7,""))</f>
        <v/>
      </c>
      <c r="H176" s="503" t="str">
        <f>IF(終値!A176="","",IF(AND(安値!M176&lt;安値!L176,安値!M176&lt;安値!K176,安値!M176&lt;安値!N176,安値!M176&lt;安値!O176),8,""))</f>
        <v/>
      </c>
      <c r="I176" s="503" t="str">
        <f>IF(終値!A176="","",IF(AND(安値!N176&lt;安値!M176,安値!N176&lt;安値!L176,安値!N176&lt;安値!O176,安値!N176&lt;安値!P176),9,""))</f>
        <v/>
      </c>
      <c r="J176" s="503" t="str">
        <f>IF(終値!A176="","",IF(AND(安値!O176&lt;安値!N176,安値!O176&lt;安値!M176,安値!O176&lt;安値!P176,安値!O176&lt;安値!Q176),10,""))</f>
        <v/>
      </c>
      <c r="K176" s="503" t="str">
        <f>IF(終値!A176="","",IF(AND(安値!P176&lt;安値!O176,安値!P176&lt;安値!N176,安値!P176&lt;安値!Q176,安値!P176&lt;安値!R176),11,""))</f>
        <v/>
      </c>
      <c r="L176" s="503" t="str">
        <f>IF(終値!A176="","",IF(AND(安値!Q176&lt;安値!P176,安値!Q176&lt;安値!O176,安値!Q176&lt;安値!R176,安値!Q176&lt;安値!S176),12,""))</f>
        <v/>
      </c>
      <c r="M176" s="503">
        <f>IF(終値!A176="","",IF(AND(安値!R176&lt;安値!Q176,安値!R176&lt;安値!P176,安値!R176&lt;安値!S176,安値!R176&lt;安値!T176),13,""))</f>
        <v>13</v>
      </c>
      <c r="N176" s="503" t="str">
        <f>IF(終値!A176="","",IF(AND(安値!S176&lt;安値!R176,安値!S176&lt;安値!Q176,安値!S176&lt;安値!T176,安値!S176&lt;安値!U176),14,""))</f>
        <v/>
      </c>
      <c r="O176" s="503" t="str">
        <f>IF(終値!A176="","",IF(AND(安値!T176&lt;安値!S176,安値!T176&lt;安値!R176,安値!T176&lt;安値!U176,安値!T176&lt;安値!V176),15,""))</f>
        <v/>
      </c>
      <c r="P176" s="503" t="str">
        <f>IF(終値!A176="","",IF(AND(安値!U176&lt;安値!T176,安値!U176&lt;安値!S176,安値!U176&lt;安値!V176,安値!U176&lt;安値!W176),16,""))</f>
        <v/>
      </c>
      <c r="Q176" s="503" t="str">
        <f>IF(終値!A176="","",IF(AND(安値!V176&lt;安値!U176,安値!V176&lt;安値!T176,安値!V176&lt;安値!W176,安値!V176&lt;安値!X176),17,""))</f>
        <v/>
      </c>
      <c r="R176" s="503" t="str">
        <f>IF(終値!A176="","",IF(AND(安値!W176&lt;安値!V176,安値!W176&lt;安値!U176,安値!W176&lt;安値!X176,安値!W176&lt;安値!Y176),18,""))</f>
        <v/>
      </c>
      <c r="S176" s="503" t="str">
        <f>IF(終値!A176="","",IF(AND(安値!X176&lt;安値!W176,安値!X176&lt;安値!V176,安値!X176&lt;安値!Y176,安値!X176&lt;安値!Z176),19,""))</f>
        <v/>
      </c>
      <c r="T176" s="503" t="str">
        <f>IF(終値!A176="","",IF(AND(安値!Y176&lt;安値!X176,安値!Y176&lt;安値!W176,安値!Y176&lt;安値!Z176,安値!Y176&lt;安値!AA176),20,""))</f>
        <v/>
      </c>
      <c r="U176" s="503" t="str">
        <f>IF(終値!A176="","",IF(AND(安値!Z176&lt;安値!Y176,安値!Z176&lt;安値!X176,安値!Z176&lt;安値!AA176,安値!Z176&lt;安値!AB176),21,""))</f>
        <v/>
      </c>
      <c r="V176" s="503" t="str">
        <f>IF(終値!A176="","",IF(AND(安値!AA176&lt;安値!Z176,安値!AA176&lt;安値!Y176,安値!AA176&lt;安値!AB176,安値!AA176&lt;安値!AC176),22,""))</f>
        <v/>
      </c>
      <c r="W176" s="503">
        <f>IF(終値!A176="","",IF(AND(安値!AB176&lt;安値!AA176,安値!AB176&lt;安値!Z176,安値!AB176&lt;安値!AC176,安値!AB176&lt;安値!AD176),23,""))</f>
        <v>23</v>
      </c>
      <c r="X176" s="503" t="str">
        <f>IF(終値!A176="","",IF(AND(安値!AC176&lt;安値!AB176,安値!AC176&lt;安値!AA176,安値!AC176&lt;安値!AD176,安値!AC176&lt;安値!AE176),24,""))</f>
        <v/>
      </c>
      <c r="Y176" s="503" t="str">
        <f>IF(終値!A176="","",IF(AND(安値!AD176&lt;安値!AC176,安値!AD176&lt;安値!AB176,安値!AD176&lt;安値!AE176,安値!AD176&lt;安値!AF176),25,""))</f>
        <v/>
      </c>
      <c r="Z176" s="503" t="str">
        <f>IF(終値!A176="","",IF(AND(安値!AE176&lt;安値!AD176,安値!AE176&lt;安値!AC176,安値!AE176&lt;安値!AF176,安値!AE176&lt;安値!AG176),26,""))</f>
        <v/>
      </c>
      <c r="AA176" s="503" t="str">
        <f>IF(終値!A176="","",IF(AND(安値!AF176&lt;安値!AE176,安値!AF176&lt;安値!AD176,安値!AF176&lt;安値!AG176,安値!AF176&lt;安値!AH176),27,""))</f>
        <v/>
      </c>
      <c r="AB176" s="503">
        <f>IF(終値!A176="","",IF(AND(安値!AG176&lt;安値!AF176,安値!AG176&lt;安値!AE176,安値!AG176&lt;安値!AH176,安値!AG176&lt;安値!AI176),28,""))</f>
        <v>28</v>
      </c>
      <c r="AC176" s="503" t="str">
        <f>IF(終値!A176="","",IF(AND(高値!G176&gt;高値!F176,高値!G176&gt;高値!E176,高値!G176&gt;高値!H176,高値!G176&gt;高値!I176),2,""))</f>
        <v/>
      </c>
      <c r="AD176" s="503" t="str">
        <f>IF(終値!A176="","",IF(AND(高値!H176&gt;高値!G176,高値!H176&gt;高値!F176,高値!H176&gt;高値!I176,高値!H176&gt;高値!J176),3,""))</f>
        <v/>
      </c>
      <c r="AE176" s="503" t="str">
        <f>IF(終値!A176="","",IF(AND(高値!I176&gt;高値!H176,高値!I176&gt;高値!G176,高値!I176&gt;高値!J176,高値!I176&gt;高値!K176),4,""))</f>
        <v/>
      </c>
      <c r="AF176" s="503" t="str">
        <f>IF(終値!A176="","",IF(AND(高値!J176&gt;高値!I176,高値!J176&gt;高値!H176,高値!J176&gt;高値!K176,高値!J176&gt;高値!L176),5,""))</f>
        <v/>
      </c>
      <c r="AG176" s="503" t="str">
        <f>IF(終値!A176="","",IF(AND(高値!K176&gt;高値!J176,高値!K176&gt;高値!I176,高値!K176&gt;高値!L176,高値!K176&gt;高値!M176),6,""))</f>
        <v/>
      </c>
      <c r="AH176" s="503" t="str">
        <f>IF(終値!A176="","",IF(AND(高値!L176&gt;高値!K176,高値!L176&gt;高値!J176,高値!L176&gt;高値!M176,高値!L176&gt;高値!N176),7,""))</f>
        <v/>
      </c>
      <c r="AI176" s="503" t="str">
        <f>IF(終値!A176="","",IF(AND(高値!M176&gt;高値!L176,高値!M176&gt;高値!K176,高値!M176&gt;高値!N176,高値!M176&gt;高値!O176),8,""))</f>
        <v/>
      </c>
      <c r="AJ176" s="503" t="str">
        <f>IF(終値!A176="","",IF(AND(高値!N176&gt;高値!M176,高値!N176&gt;高値!L176,高値!N176&gt;高値!O176,高値!N176&gt;高値!P176),9,""))</f>
        <v/>
      </c>
      <c r="AK176" s="503" t="str">
        <f>IF(終値!A176="","",IF(AND(高値!O176&gt;高値!N176,高値!O176&gt;高値!M176,高値!O176&gt;高値!P176,高値!O176&gt;高値!Q176),10,""))</f>
        <v/>
      </c>
      <c r="AL176" s="503">
        <f>IF(終値!A176="","",IF(AND(高値!P176&gt;高値!O176,高値!P176&gt;高値!N176,高値!P176&gt;高値!Q176,高値!P176&gt;高値!R176),11,""))</f>
        <v>11</v>
      </c>
      <c r="AM176" s="503" t="str">
        <f>IF(終値!A176="","",IF(AND(高値!Q176&gt;高値!P176,高値!Q176&gt;高値!O176,高値!Q176&gt;高値!R176,高値!Q176&gt;高値!S176),12,""))</f>
        <v/>
      </c>
      <c r="AN176" s="503" t="str">
        <f>IF(終値!A176="","",IF(AND(高値!R176&gt;高値!Q176,高値!R176&gt;高値!P176,高値!R176&gt;高値!S176,高値!R176&gt;高値!T176),13,""))</f>
        <v/>
      </c>
      <c r="AO176" s="503" t="str">
        <f>IF(終値!A176="","",IF(AND(高値!S176&gt;高値!R176,高値!S176&gt;高値!Q176,高値!S176&gt;高値!T176,高値!S176&gt;高値!U176),14,""))</f>
        <v/>
      </c>
      <c r="AP176" s="503" t="str">
        <f>IF(終値!A176="","",IF(AND(高値!T176&gt;高値!S176,高値!T176&gt;高値!R176,高値!T176&gt;高値!U176,高値!T176&gt;高値!V176),15,""))</f>
        <v/>
      </c>
      <c r="AQ176" s="503">
        <f>IF(終値!A176="","",IF(AND(高値!U176&gt;高値!T176,高値!U176&gt;高値!S176,高値!U176&gt;高値!V176,高値!U176&gt;高値!W176),16,""))</f>
        <v>16</v>
      </c>
      <c r="AR176" s="503" t="str">
        <f>IF(終値!A176="","",IF(AND(高値!V176&gt;高値!U176,高値!V176&gt;高値!T176,高値!V176&gt;高値!W176,高値!V176&gt;高値!X176),17,""))</f>
        <v/>
      </c>
      <c r="AS176" s="503" t="str">
        <f>IF(終値!A176="","",IF(AND(高値!W176&gt;高値!V176,高値!W176&gt;高値!U176,高値!W176&gt;高値!X176,高値!W176&gt;高値!Y176),18,""))</f>
        <v/>
      </c>
      <c r="AT176" s="503" t="str">
        <f>IF(終値!A176="","",IF(AND(高値!X176&gt;高値!W176,高値!X176&gt;高値!V176,高値!X176&gt;高値!Y176,高値!X176&gt;高値!Z176),19,""))</f>
        <v/>
      </c>
      <c r="AU176" s="503">
        <f>IF(終値!A176="","",IF(AND(高値!Y176&gt;高値!X176,高値!Y176&gt;高値!W176,高値!Y176&gt;高値!Z176,高値!Y176&gt;高値!AA176),20,""))</f>
        <v>20</v>
      </c>
      <c r="AV176" s="503" t="str">
        <f>IF(終値!A176="","",IF(AND(高値!Z176&gt;高値!Y176,高値!Z176&gt;高値!X176,高値!Z176&gt;高値!AA176,高値!Z176&gt;高値!AB176),21,""))</f>
        <v/>
      </c>
      <c r="AW176" s="503" t="str">
        <f>IF(終値!A176="","",IF(AND(高値!AA176&gt;高値!Z176,高値!AA176&gt;高値!Y176,高値!AA176&gt;高値!AB176,高値!AA176&gt;高値!AC176),22,""))</f>
        <v/>
      </c>
      <c r="AX176" s="503" t="str">
        <f>IF(終値!A176="","",IF(AND(高値!AB176&gt;高値!AA176,高値!AB176&gt;高値!Z176,高値!AB176&gt;高値!AC176,高値!AB176&gt;高値!AD176),23,""))</f>
        <v/>
      </c>
      <c r="AY176" s="503" t="str">
        <f>IF(終値!A176="","",IF(AND(高値!AC176&gt;高値!AB176,高値!AC176&gt;高値!AA176,高値!AC176&gt;高値!AD176,高値!AC176&gt;高値!AE176),24,""))</f>
        <v/>
      </c>
      <c r="AZ176" s="503" t="str">
        <f>IF(終値!A176="","",IF(AND(高値!AD176&gt;高値!AC176,高値!AD176&gt;高値!AB176,高値!AD176&gt;高値!AE176,高値!AD176&gt;高値!AF176),25,""))</f>
        <v/>
      </c>
      <c r="BA176" s="503">
        <f>IF(終値!A176="","",IF(AND(高値!AE176&gt;高値!AD176,高値!AE176&gt;高値!AC176,高値!AE176&gt;高値!AF176,高値!AE176&gt;高値!AG176),26,""))</f>
        <v>26</v>
      </c>
      <c r="BB176" s="503" t="str">
        <f>IF(終値!A176="","",IF(AND(高値!AF176&gt;高値!AE176,高値!AF176&gt;高値!AD176,高値!AF176&gt;高値!AG176,高値!AF176&gt;高値!AH176),27,""))</f>
        <v/>
      </c>
      <c r="BC176" s="503" t="str">
        <f>IF(終値!A176="","",IF(AND(高値!AG176&gt;高値!AF176,高値!AG176&gt;高値!AE176,高値!AG176&gt;高値!AH176,高値!AG176&gt;高値!AI176),28,""))</f>
        <v/>
      </c>
      <c r="BD176" s="503">
        <f t="shared" si="12"/>
        <v>4</v>
      </c>
      <c r="BE176" s="503">
        <f t="shared" si="13"/>
        <v>3</v>
      </c>
      <c r="BF176" s="503">
        <f t="shared" si="14"/>
        <v>13</v>
      </c>
      <c r="BG176" s="503">
        <f>IF($BE176="","",INDEX(安値!$E176:$CZ176,1,$BE176+1))</f>
        <v>2330</v>
      </c>
      <c r="BH176" s="503">
        <f>IF($BF176="","",INDEX(安値!$E176:$CZ176,1,$BF176+1))</f>
        <v>2422</v>
      </c>
      <c r="BI176" s="503">
        <f>IF($BF176="","",MAX(INDEX(高値!$E176:$CZ176,1,$BE176+1):INDEX(高値!$E176:$CZ176,1,$BF176+1)))</f>
        <v>2558</v>
      </c>
      <c r="BJ176" s="503">
        <f>IF($BF176="","",AVERAGE(INDEX(終値!$E176:$CZ176,1,$BF176+1):INDEX(終値!$E176:$CZ176,1,$BF176+20))-2*STDEVP(INDEX(終値!$E176:$CZ176,1,$BF176+1):INDEX(終値!$E176:$CZ176,1,$BF176+20)))</f>
        <v>2490.8612331066197</v>
      </c>
      <c r="BK176" s="503">
        <f>IF($BE176="","",AVERAGE(INDEX(終値!$E176:$CZ176,1,$BE176+1):INDEX(終値!$E176:$CZ176,1,$BE176+20))-2*STDEVP(INDEX(終値!$E176:$CZ176,1,$BE176+1):INDEX(終値!$E176:$CZ176,1,$BE176+20)))</f>
        <v>2342.630764131628</v>
      </c>
      <c r="BL176" s="503">
        <f t="shared" si="15"/>
        <v>4</v>
      </c>
      <c r="BM176" s="503">
        <f t="shared" si="16"/>
        <v>11</v>
      </c>
      <c r="BN176" s="503">
        <f t="shared" si="17"/>
        <v>16</v>
      </c>
      <c r="BO176" s="503">
        <f>IF($BM176="","",INDEX(高値!$E176:$CZ176,1,$BM176+1))</f>
        <v>2558</v>
      </c>
      <c r="BP176" s="503">
        <f>IF($BN176="","",INDEX(高値!$E176:$CZ176,1,$BN176+1))</f>
        <v>2607</v>
      </c>
      <c r="BQ176" s="503">
        <f>IF($BN176="","",MIN(INDEX(安値!$E176:$CZ176,1,$BM176+1):INDEX(安値!$E176:$CZ176,1,$BN176+1)))</f>
        <v>2422</v>
      </c>
      <c r="BR176" s="503">
        <f>IF($BN176="","",AVERAGE(INDEX(終値!$E176:$CZ176,1,$BN176+1):INDEX(終値!$E176:$CZ176,1,$BN176+20))+2*STDEVP(INDEX(終値!$E176:$CZ176,1,$BN176+1):INDEX(終値!$E176:$CZ176,1,$BN176+20)))</f>
        <v>2851.1672392948271</v>
      </c>
      <c r="BS176" s="503">
        <f>IF($BM176="","",AVERAGE(INDEX(終値!$E176:$CZ176,1,$BM176+1):INDEX(終値!$E176:$CZ176,1,$BM176+20))+2*STDEVP(INDEX(終値!$E176:$CZ176,1,$BM176+1):INDEX(終値!$E176:$CZ176,1,$BM176+20)))</f>
        <v>2801.529723889686</v>
      </c>
      <c r="BT176" s="500"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二番底W形成</v>
      </c>
    </row>
    <row r="177" spans="2:72">
      <c r="B177" s="503" t="str">
        <f>IF(終値!A177="","",IF(AND(安値!G177&lt;安値!F177,安値!G177&lt;安値!E177,安値!G177&lt;安値!H177,安値!G177&lt;安値!I177),2,""))</f>
        <v/>
      </c>
      <c r="C177" s="503" t="str">
        <f>IF(終値!A177="","",IF(AND(安値!H177&lt;安値!G177,安値!H177&lt;安値!F177,安値!H177&lt;安値!I177,安値!H177&lt;安値!J177),3,""))</f>
        <v/>
      </c>
      <c r="D177" s="503" t="str">
        <f>IF(終値!A177="","",IF(AND(安値!I177&lt;安値!H177,安値!I177&lt;安値!G177,安値!I177&lt;安値!J177,安値!I177&lt;安値!K177),4,""))</f>
        <v/>
      </c>
      <c r="E177" s="503" t="str">
        <f>IF(終値!A177="","",IF(AND(安値!J177&lt;安値!I177,安値!J177&lt;安値!H177,安値!J177&lt;安値!K177,安値!J177&lt;安値!L177),5,""))</f>
        <v/>
      </c>
      <c r="F177" s="503" t="str">
        <f>IF(終値!A177="","",IF(AND(安値!K177&lt;安値!J177,安値!K177&lt;安値!I177,安値!K177&lt;安値!L177,安値!K177&lt;安値!M177),6,""))</f>
        <v/>
      </c>
      <c r="G177" s="503" t="str">
        <f>IF(終値!A177="","",IF(AND(安値!L177&lt;安値!K177,安値!L177&lt;安値!J177,安値!L177&lt;安値!M177,安値!L177&lt;安値!N177),7,""))</f>
        <v/>
      </c>
      <c r="H177" s="503" t="str">
        <f>IF(終値!A177="","",IF(AND(安値!M177&lt;安値!L177,安値!M177&lt;安値!K177,安値!M177&lt;安値!N177,安値!M177&lt;安値!O177),8,""))</f>
        <v/>
      </c>
      <c r="I177" s="503" t="str">
        <f>IF(終値!A177="","",IF(AND(安値!N177&lt;安値!M177,安値!N177&lt;安値!L177,安値!N177&lt;安値!O177,安値!N177&lt;安値!P177),9,""))</f>
        <v/>
      </c>
      <c r="J177" s="503" t="str">
        <f>IF(終値!A177="","",IF(AND(安値!O177&lt;安値!N177,安値!O177&lt;安値!M177,安値!O177&lt;安値!P177,安値!O177&lt;安値!Q177),10,""))</f>
        <v/>
      </c>
      <c r="K177" s="503" t="str">
        <f>IF(終値!A177="","",IF(AND(安値!P177&lt;安値!O177,安値!P177&lt;安値!N177,安値!P177&lt;安値!Q177,安値!P177&lt;安値!R177),11,""))</f>
        <v/>
      </c>
      <c r="L177" s="503" t="str">
        <f>IF(終値!A177="","",IF(AND(安値!Q177&lt;安値!P177,安値!Q177&lt;安値!O177,安値!Q177&lt;安値!R177,安値!Q177&lt;安値!S177),12,""))</f>
        <v/>
      </c>
      <c r="M177" s="503" t="str">
        <f>IF(終値!A177="","",IF(AND(安値!R177&lt;安値!Q177,安値!R177&lt;安値!P177,安値!R177&lt;安値!S177,安値!R177&lt;安値!T177),13,""))</f>
        <v/>
      </c>
      <c r="N177" s="503" t="str">
        <f>IF(終値!A177="","",IF(AND(安値!S177&lt;安値!R177,安値!S177&lt;安値!Q177,安値!S177&lt;安値!T177,安値!S177&lt;安値!U177),14,""))</f>
        <v/>
      </c>
      <c r="O177" s="503" t="str">
        <f>IF(終値!A177="","",IF(AND(安値!T177&lt;安値!S177,安値!T177&lt;安値!R177,安値!T177&lt;安値!U177,安値!T177&lt;安値!V177),15,""))</f>
        <v/>
      </c>
      <c r="P177" s="503" t="str">
        <f>IF(終値!A177="","",IF(AND(安値!U177&lt;安値!T177,安値!U177&lt;安値!S177,安値!U177&lt;安値!V177,安値!U177&lt;安値!W177),16,""))</f>
        <v/>
      </c>
      <c r="Q177" s="503" t="str">
        <f>IF(終値!A177="","",IF(AND(安値!V177&lt;安値!U177,安値!V177&lt;安値!T177,安値!V177&lt;安値!W177,安値!V177&lt;安値!X177),17,""))</f>
        <v/>
      </c>
      <c r="R177" s="503" t="str">
        <f>IF(終値!A177="","",IF(AND(安値!W177&lt;安値!V177,安値!W177&lt;安値!U177,安値!W177&lt;安値!X177,安値!W177&lt;安値!Y177),18,""))</f>
        <v/>
      </c>
      <c r="S177" s="503" t="str">
        <f>IF(終値!A177="","",IF(AND(安値!X177&lt;安値!W177,安値!X177&lt;安値!V177,安値!X177&lt;安値!Y177,安値!X177&lt;安値!Z177),19,""))</f>
        <v/>
      </c>
      <c r="T177" s="503" t="str">
        <f>IF(終値!A177="","",IF(AND(安値!Y177&lt;安値!X177,安値!Y177&lt;安値!W177,安値!Y177&lt;安値!Z177,安値!Y177&lt;安値!AA177),20,""))</f>
        <v/>
      </c>
      <c r="U177" s="503" t="str">
        <f>IF(終値!A177="","",IF(AND(安値!Z177&lt;安値!Y177,安値!Z177&lt;安値!X177,安値!Z177&lt;安値!AA177,安値!Z177&lt;安値!AB177),21,""))</f>
        <v/>
      </c>
      <c r="V177" s="503" t="str">
        <f>IF(終値!A177="","",IF(AND(安値!AA177&lt;安値!Z177,安値!AA177&lt;安値!Y177,安値!AA177&lt;安値!AB177,安値!AA177&lt;安値!AC177),22,""))</f>
        <v/>
      </c>
      <c r="W177" s="503" t="str">
        <f>IF(終値!A177="","",IF(AND(安値!AB177&lt;安値!AA177,安値!AB177&lt;安値!Z177,安値!AB177&lt;安値!AC177,安値!AB177&lt;安値!AD177),23,""))</f>
        <v/>
      </c>
      <c r="X177" s="503" t="str">
        <f>IF(終値!A177="","",IF(AND(安値!AC177&lt;安値!AB177,安値!AC177&lt;安値!AA177,安値!AC177&lt;安値!AD177,安値!AC177&lt;安値!AE177),24,""))</f>
        <v/>
      </c>
      <c r="Y177" s="503" t="str">
        <f>IF(終値!A177="","",IF(AND(安値!AD177&lt;安値!AC177,安値!AD177&lt;安値!AB177,安値!AD177&lt;安値!AE177,安値!AD177&lt;安値!AF177),25,""))</f>
        <v/>
      </c>
      <c r="Z177" s="503" t="str">
        <f>IF(終値!A177="","",IF(AND(安値!AE177&lt;安値!AD177,安値!AE177&lt;安値!AC177,安値!AE177&lt;安値!AF177,安値!AE177&lt;安値!AG177),26,""))</f>
        <v/>
      </c>
      <c r="AA177" s="503" t="str">
        <f>IF(終値!A177="","",IF(AND(安値!AF177&lt;安値!AE177,安値!AF177&lt;安値!AD177,安値!AF177&lt;安値!AG177,安値!AF177&lt;安値!AH177),27,""))</f>
        <v/>
      </c>
      <c r="AB177" s="503" t="str">
        <f>IF(終値!A177="","",IF(AND(安値!AG177&lt;安値!AF177,安値!AG177&lt;安値!AE177,安値!AG177&lt;安値!AH177,安値!AG177&lt;安値!AI177),28,""))</f>
        <v/>
      </c>
      <c r="AC177" s="503" t="str">
        <f>IF(終値!A177="","",IF(AND(高値!G177&gt;高値!F177,高値!G177&gt;高値!E177,高値!G177&gt;高値!H177,高値!G177&gt;高値!I177),2,""))</f>
        <v/>
      </c>
      <c r="AD177" s="503" t="str">
        <f>IF(終値!A177="","",IF(AND(高値!H177&gt;高値!G177,高値!H177&gt;高値!F177,高値!H177&gt;高値!I177,高値!H177&gt;高値!J177),3,""))</f>
        <v/>
      </c>
      <c r="AE177" s="503" t="str">
        <f>IF(終値!A177="","",IF(AND(高値!I177&gt;高値!H177,高値!I177&gt;高値!G177,高値!I177&gt;高値!J177,高値!I177&gt;高値!K177),4,""))</f>
        <v/>
      </c>
      <c r="AF177" s="503" t="str">
        <f>IF(終値!A177="","",IF(AND(高値!J177&gt;高値!I177,高値!J177&gt;高値!H177,高値!J177&gt;高値!K177,高値!J177&gt;高値!L177),5,""))</f>
        <v/>
      </c>
      <c r="AG177" s="503" t="str">
        <f>IF(終値!A177="","",IF(AND(高値!K177&gt;高値!J177,高値!K177&gt;高値!I177,高値!K177&gt;高値!L177,高値!K177&gt;高値!M177),6,""))</f>
        <v/>
      </c>
      <c r="AH177" s="503" t="str">
        <f>IF(終値!A177="","",IF(AND(高値!L177&gt;高値!K177,高値!L177&gt;高値!J177,高値!L177&gt;高値!M177,高値!L177&gt;高値!N177),7,""))</f>
        <v/>
      </c>
      <c r="AI177" s="503" t="str">
        <f>IF(終値!A177="","",IF(AND(高値!M177&gt;高値!L177,高値!M177&gt;高値!K177,高値!M177&gt;高値!N177,高値!M177&gt;高値!O177),8,""))</f>
        <v/>
      </c>
      <c r="AJ177" s="503" t="str">
        <f>IF(終値!A177="","",IF(AND(高値!N177&gt;高値!M177,高値!N177&gt;高値!L177,高値!N177&gt;高値!O177,高値!N177&gt;高値!P177),9,""))</f>
        <v/>
      </c>
      <c r="AK177" s="503" t="str">
        <f>IF(終値!A177="","",IF(AND(高値!O177&gt;高値!N177,高値!O177&gt;高値!M177,高値!O177&gt;高値!P177,高値!O177&gt;高値!Q177),10,""))</f>
        <v/>
      </c>
      <c r="AL177" s="503" t="str">
        <f>IF(終値!A177="","",IF(AND(高値!P177&gt;高値!O177,高値!P177&gt;高値!N177,高値!P177&gt;高値!Q177,高値!P177&gt;高値!R177),11,""))</f>
        <v/>
      </c>
      <c r="AM177" s="503" t="str">
        <f>IF(終値!A177="","",IF(AND(高値!Q177&gt;高値!P177,高値!Q177&gt;高値!O177,高値!Q177&gt;高値!R177,高値!Q177&gt;高値!S177),12,""))</f>
        <v/>
      </c>
      <c r="AN177" s="503" t="str">
        <f>IF(終値!A177="","",IF(AND(高値!R177&gt;高値!Q177,高値!R177&gt;高値!P177,高値!R177&gt;高値!S177,高値!R177&gt;高値!T177),13,""))</f>
        <v/>
      </c>
      <c r="AO177" s="503" t="str">
        <f>IF(終値!A177="","",IF(AND(高値!S177&gt;高値!R177,高値!S177&gt;高値!Q177,高値!S177&gt;高値!T177,高値!S177&gt;高値!U177),14,""))</f>
        <v/>
      </c>
      <c r="AP177" s="503" t="str">
        <f>IF(終値!A177="","",IF(AND(高値!T177&gt;高値!S177,高値!T177&gt;高値!R177,高値!T177&gt;高値!U177,高値!T177&gt;高値!V177),15,""))</f>
        <v/>
      </c>
      <c r="AQ177" s="503" t="str">
        <f>IF(終値!A177="","",IF(AND(高値!U177&gt;高値!T177,高値!U177&gt;高値!S177,高値!U177&gt;高値!V177,高値!U177&gt;高値!W177),16,""))</f>
        <v/>
      </c>
      <c r="AR177" s="503" t="str">
        <f>IF(終値!A177="","",IF(AND(高値!V177&gt;高値!U177,高値!V177&gt;高値!T177,高値!V177&gt;高値!W177,高値!V177&gt;高値!X177),17,""))</f>
        <v/>
      </c>
      <c r="AS177" s="503" t="str">
        <f>IF(終値!A177="","",IF(AND(高値!W177&gt;高値!V177,高値!W177&gt;高値!U177,高値!W177&gt;高値!X177,高値!W177&gt;高値!Y177),18,""))</f>
        <v/>
      </c>
      <c r="AT177" s="503" t="str">
        <f>IF(終値!A177="","",IF(AND(高値!X177&gt;高値!W177,高値!X177&gt;高値!V177,高値!X177&gt;高値!Y177,高値!X177&gt;高値!Z177),19,""))</f>
        <v/>
      </c>
      <c r="AU177" s="503" t="str">
        <f>IF(終値!A177="","",IF(AND(高値!Y177&gt;高値!X177,高値!Y177&gt;高値!W177,高値!Y177&gt;高値!Z177,高値!Y177&gt;高値!AA177),20,""))</f>
        <v/>
      </c>
      <c r="AV177" s="503" t="str">
        <f>IF(終値!A177="","",IF(AND(高値!Z177&gt;高値!Y177,高値!Z177&gt;高値!X177,高値!Z177&gt;高値!AA177,高値!Z177&gt;高値!AB177),21,""))</f>
        <v/>
      </c>
      <c r="AW177" s="503" t="str">
        <f>IF(終値!A177="","",IF(AND(高値!AA177&gt;高値!Z177,高値!AA177&gt;高値!Y177,高値!AA177&gt;高値!AB177,高値!AA177&gt;高値!AC177),22,""))</f>
        <v/>
      </c>
      <c r="AX177" s="503" t="str">
        <f>IF(終値!A177="","",IF(AND(高値!AB177&gt;高値!AA177,高値!AB177&gt;高値!Z177,高値!AB177&gt;高値!AC177,高値!AB177&gt;高値!AD177),23,""))</f>
        <v/>
      </c>
      <c r="AY177" s="503" t="str">
        <f>IF(終値!A177="","",IF(AND(高値!AC177&gt;高値!AB177,高値!AC177&gt;高値!AA177,高値!AC177&gt;高値!AD177,高値!AC177&gt;高値!AE177),24,""))</f>
        <v/>
      </c>
      <c r="AZ177" s="503" t="str">
        <f>IF(終値!A177="","",IF(AND(高値!AD177&gt;高値!AC177,高値!AD177&gt;高値!AB177,高値!AD177&gt;高値!AE177,高値!AD177&gt;高値!AF177),25,""))</f>
        <v/>
      </c>
      <c r="BA177" s="503" t="str">
        <f>IF(終値!A177="","",IF(AND(高値!AE177&gt;高値!AD177,高値!AE177&gt;高値!AC177,高値!AE177&gt;高値!AF177,高値!AE177&gt;高値!AG177),26,""))</f>
        <v/>
      </c>
      <c r="BB177" s="503" t="str">
        <f>IF(終値!A177="","",IF(AND(高値!AF177&gt;高値!AE177,高値!AF177&gt;高値!AD177,高値!AF177&gt;高値!AG177,高値!AF177&gt;高値!AH177),27,""))</f>
        <v/>
      </c>
      <c r="BC177" s="503" t="str">
        <f>IF(終値!A177="","",IF(AND(高値!AG177&gt;高値!AF177,高値!AG177&gt;高値!AE177,高値!AG177&gt;高値!AH177,高値!AG177&gt;高値!AI177),28,""))</f>
        <v/>
      </c>
      <c r="BD177" s="503">
        <f t="shared" si="12"/>
        <v>0</v>
      </c>
      <c r="BE177" s="503" t="str">
        <f t="shared" si="13"/>
        <v/>
      </c>
      <c r="BF177" s="503" t="str">
        <f t="shared" si="14"/>
        <v/>
      </c>
      <c r="BG177" s="503" t="str">
        <f>IF($BE177="","",INDEX(安値!$E177:$CZ177,1,$BE177+1))</f>
        <v/>
      </c>
      <c r="BH177" s="503" t="str">
        <f>IF($BF177="","",INDEX(安値!$E177:$CZ177,1,$BF177+1))</f>
        <v/>
      </c>
      <c r="BI177" s="503" t="str">
        <f>IF($BF177="","",MAX(INDEX(高値!$E177:$CZ177,1,$BE177+1):INDEX(高値!$E177:$CZ177,1,$BF177+1)))</f>
        <v/>
      </c>
      <c r="BJ177" s="503" t="str">
        <f>IF($BF177="","",AVERAGE(INDEX(終値!$E177:$CZ177,1,$BF177+1):INDEX(終値!$E177:$CZ177,1,$BF177+20))-2*STDEVP(INDEX(終値!$E177:$CZ177,1,$BF177+1):INDEX(終値!$E177:$CZ177,1,$BF177+20)))</f>
        <v/>
      </c>
      <c r="BK177" s="503" t="str">
        <f>IF($BE177="","",AVERAGE(INDEX(終値!$E177:$CZ177,1,$BE177+1):INDEX(終値!$E177:$CZ177,1,$BE177+20))-2*STDEVP(INDEX(終値!$E177:$CZ177,1,$BE177+1):INDEX(終値!$E177:$CZ177,1,$BE177+20)))</f>
        <v/>
      </c>
      <c r="BL177" s="503">
        <f t="shared" si="15"/>
        <v>0</v>
      </c>
      <c r="BM177" s="503" t="str">
        <f t="shared" si="16"/>
        <v/>
      </c>
      <c r="BN177" s="503" t="str">
        <f t="shared" si="17"/>
        <v/>
      </c>
      <c r="BO177" s="503" t="str">
        <f>IF($BM177="","",INDEX(高値!$E177:$CZ177,1,$BM177+1))</f>
        <v/>
      </c>
      <c r="BP177" s="503" t="str">
        <f>IF($BN177="","",INDEX(高値!$E177:$CZ177,1,$BN177+1))</f>
        <v/>
      </c>
      <c r="BQ177" s="503" t="str">
        <f>IF($BN177="","",MIN(INDEX(安値!$E177:$CZ177,1,$BM177+1):INDEX(安値!$E177:$CZ177,1,$BN177+1)))</f>
        <v/>
      </c>
      <c r="BR177" s="503" t="str">
        <f>IF($BN177="","",AVERAGE(INDEX(終値!$E177:$CZ177,1,$BN177+1):INDEX(終値!$E177:$CZ177,1,$BN177+20))+2*STDEVP(INDEX(終値!$E177:$CZ177,1,$BN177+1):INDEX(終値!$E177:$CZ177,1,$BN177+20)))</f>
        <v/>
      </c>
      <c r="BS177" s="503" t="str">
        <f>IF($BM177="","",AVERAGE(INDEX(終値!$E177:$CZ177,1,$BM177+1):INDEX(終値!$E177:$CZ177,1,$BM177+20))+2*STDEVP(INDEX(終値!$E177:$CZ177,1,$BM177+1):INDEX(終値!$E177:$CZ177,1,$BM177+20)))</f>
        <v/>
      </c>
      <c r="BT177" s="500"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v>
      </c>
    </row>
    <row r="178" spans="2:72">
      <c r="B178" s="503" t="str">
        <f>IF(終値!A178="","",IF(AND(安値!G178&lt;安値!F178,安値!G178&lt;安値!E178,安値!G178&lt;安値!H178,安値!G178&lt;安値!I178),2,""))</f>
        <v/>
      </c>
      <c r="C178" s="503" t="str">
        <f>IF(終値!A178="","",IF(AND(安値!H178&lt;安値!G178,安値!H178&lt;安値!F178,安値!H178&lt;安値!I178,安値!H178&lt;安値!J178),3,""))</f>
        <v/>
      </c>
      <c r="D178" s="503" t="str">
        <f>IF(終値!A178="","",IF(AND(安値!I178&lt;安値!H178,安値!I178&lt;安値!G178,安値!I178&lt;安値!J178,安値!I178&lt;安値!K178),4,""))</f>
        <v/>
      </c>
      <c r="E178" s="503" t="str">
        <f>IF(終値!A178="","",IF(AND(安値!J178&lt;安値!I178,安値!J178&lt;安値!H178,安値!J178&lt;安値!K178,安値!J178&lt;安値!L178),5,""))</f>
        <v/>
      </c>
      <c r="F178" s="503" t="str">
        <f>IF(終値!A178="","",IF(AND(安値!K178&lt;安値!J178,安値!K178&lt;安値!I178,安値!K178&lt;安値!L178,安値!K178&lt;安値!M178),6,""))</f>
        <v/>
      </c>
      <c r="G178" s="503" t="str">
        <f>IF(終値!A178="","",IF(AND(安値!L178&lt;安値!K178,安値!L178&lt;安値!J178,安値!L178&lt;安値!M178,安値!L178&lt;安値!N178),7,""))</f>
        <v/>
      </c>
      <c r="H178" s="503" t="str">
        <f>IF(終値!A178="","",IF(AND(安値!M178&lt;安値!L178,安値!M178&lt;安値!K178,安値!M178&lt;安値!N178,安値!M178&lt;安値!O178),8,""))</f>
        <v/>
      </c>
      <c r="I178" s="503">
        <f>IF(終値!A178="","",IF(AND(安値!N178&lt;安値!M178,安値!N178&lt;安値!L178,安値!N178&lt;安値!O178,安値!N178&lt;安値!P178),9,""))</f>
        <v>9</v>
      </c>
      <c r="J178" s="503" t="str">
        <f>IF(終値!A178="","",IF(AND(安値!O178&lt;安値!N178,安値!O178&lt;安値!M178,安値!O178&lt;安値!P178,安値!O178&lt;安値!Q178),10,""))</f>
        <v/>
      </c>
      <c r="K178" s="503" t="str">
        <f>IF(終値!A178="","",IF(AND(安値!P178&lt;安値!O178,安値!P178&lt;安値!N178,安値!P178&lt;安値!Q178,安値!P178&lt;安値!R178),11,""))</f>
        <v/>
      </c>
      <c r="L178" s="503" t="str">
        <f>IF(終値!A178="","",IF(AND(安値!Q178&lt;安値!P178,安値!Q178&lt;安値!O178,安値!Q178&lt;安値!R178,安値!Q178&lt;安値!S178),12,""))</f>
        <v/>
      </c>
      <c r="M178" s="503" t="str">
        <f>IF(終値!A178="","",IF(AND(安値!R178&lt;安値!Q178,安値!R178&lt;安値!P178,安値!R178&lt;安値!S178,安値!R178&lt;安値!T178),13,""))</f>
        <v/>
      </c>
      <c r="N178" s="503" t="str">
        <f>IF(終値!A178="","",IF(AND(安値!S178&lt;安値!R178,安値!S178&lt;安値!Q178,安値!S178&lt;安値!T178,安値!S178&lt;安値!U178),14,""))</f>
        <v/>
      </c>
      <c r="O178" s="503" t="str">
        <f>IF(終値!A178="","",IF(AND(安値!T178&lt;安値!S178,安値!T178&lt;安値!R178,安値!T178&lt;安値!U178,安値!T178&lt;安値!V178),15,""))</f>
        <v/>
      </c>
      <c r="P178" s="503">
        <f>IF(終値!A178="","",IF(AND(安値!U178&lt;安値!T178,安値!U178&lt;安値!S178,安値!U178&lt;安値!V178,安値!U178&lt;安値!W178),16,""))</f>
        <v>16</v>
      </c>
      <c r="Q178" s="503" t="str">
        <f>IF(終値!A178="","",IF(AND(安値!V178&lt;安値!U178,安値!V178&lt;安値!T178,安値!V178&lt;安値!W178,安値!V178&lt;安値!X178),17,""))</f>
        <v/>
      </c>
      <c r="R178" s="503" t="str">
        <f>IF(終値!A178="","",IF(AND(安値!W178&lt;安値!V178,安値!W178&lt;安値!U178,安値!W178&lt;安値!X178,安値!W178&lt;安値!Y178),18,""))</f>
        <v/>
      </c>
      <c r="S178" s="503" t="str">
        <f>IF(終値!A178="","",IF(AND(安値!X178&lt;安値!W178,安値!X178&lt;安値!V178,安値!X178&lt;安値!Y178,安値!X178&lt;安値!Z178),19,""))</f>
        <v/>
      </c>
      <c r="T178" s="503" t="str">
        <f>IF(終値!A178="","",IF(AND(安値!Y178&lt;安値!X178,安値!Y178&lt;安値!W178,安値!Y178&lt;安値!Z178,安値!Y178&lt;安値!AA178),20,""))</f>
        <v/>
      </c>
      <c r="U178" s="503" t="str">
        <f>IF(終値!A178="","",IF(AND(安値!Z178&lt;安値!Y178,安値!Z178&lt;安値!X178,安値!Z178&lt;安値!AA178,安値!Z178&lt;安値!AB178),21,""))</f>
        <v/>
      </c>
      <c r="V178" s="503" t="str">
        <f>IF(終値!A178="","",IF(AND(安値!AA178&lt;安値!Z178,安値!AA178&lt;安値!Y178,安値!AA178&lt;安値!AB178,安値!AA178&lt;安値!AC178),22,""))</f>
        <v/>
      </c>
      <c r="W178" s="503" t="str">
        <f>IF(終値!A178="","",IF(AND(安値!AB178&lt;安値!AA178,安値!AB178&lt;安値!Z178,安値!AB178&lt;安値!AC178,安値!AB178&lt;安値!AD178),23,""))</f>
        <v/>
      </c>
      <c r="X178" s="503" t="str">
        <f>IF(終値!A178="","",IF(AND(安値!AC178&lt;安値!AB178,安値!AC178&lt;安値!AA178,安値!AC178&lt;安値!AD178,安値!AC178&lt;安値!AE178),24,""))</f>
        <v/>
      </c>
      <c r="Y178" s="503" t="str">
        <f>IF(終値!A178="","",IF(AND(安値!AD178&lt;安値!AC178,安値!AD178&lt;安値!AB178,安値!AD178&lt;安値!AE178,安値!AD178&lt;安値!AF178),25,""))</f>
        <v/>
      </c>
      <c r="Z178" s="503" t="str">
        <f>IF(終値!A178="","",IF(AND(安値!AE178&lt;安値!AD178,安値!AE178&lt;安値!AC178,安値!AE178&lt;安値!AF178,安値!AE178&lt;安値!AG178),26,""))</f>
        <v/>
      </c>
      <c r="AA178" s="503" t="str">
        <f>IF(終値!A178="","",IF(AND(安値!AF178&lt;安値!AE178,安値!AF178&lt;安値!AD178,安値!AF178&lt;安値!AG178,安値!AF178&lt;安値!AH178),27,""))</f>
        <v/>
      </c>
      <c r="AB178" s="503" t="str">
        <f>IF(終値!A178="","",IF(AND(安値!AG178&lt;安値!AF178,安値!AG178&lt;安値!AE178,安値!AG178&lt;安値!AH178,安値!AG178&lt;安値!AI178),28,""))</f>
        <v/>
      </c>
      <c r="AC178" s="503" t="str">
        <f>IF(終値!A178="","",IF(AND(高値!G178&gt;高値!F178,高値!G178&gt;高値!E178,高値!G178&gt;高値!H178,高値!G178&gt;高値!I178),2,""))</f>
        <v/>
      </c>
      <c r="AD178" s="503">
        <f>IF(終値!A178="","",IF(AND(高値!H178&gt;高値!G178,高値!H178&gt;高値!F178,高値!H178&gt;高値!I178,高値!H178&gt;高値!J178),3,""))</f>
        <v>3</v>
      </c>
      <c r="AE178" s="503" t="str">
        <f>IF(終値!A178="","",IF(AND(高値!I178&gt;高値!H178,高値!I178&gt;高値!G178,高値!I178&gt;高値!J178,高値!I178&gt;高値!K178),4,""))</f>
        <v/>
      </c>
      <c r="AF178" s="503" t="str">
        <f>IF(終値!A178="","",IF(AND(高値!J178&gt;高値!I178,高値!J178&gt;高値!H178,高値!J178&gt;高値!K178,高値!J178&gt;高値!L178),5,""))</f>
        <v/>
      </c>
      <c r="AG178" s="503" t="str">
        <f>IF(終値!A178="","",IF(AND(高値!K178&gt;高値!J178,高値!K178&gt;高値!I178,高値!K178&gt;高値!L178,高値!K178&gt;高値!M178),6,""))</f>
        <v/>
      </c>
      <c r="AH178" s="503">
        <f>IF(終値!A178="","",IF(AND(高値!L178&gt;高値!K178,高値!L178&gt;高値!J178,高値!L178&gt;高値!M178,高値!L178&gt;高値!N178),7,""))</f>
        <v>7</v>
      </c>
      <c r="AI178" s="503" t="str">
        <f>IF(終値!A178="","",IF(AND(高値!M178&gt;高値!L178,高値!M178&gt;高値!K178,高値!M178&gt;高値!N178,高値!M178&gt;高値!O178),8,""))</f>
        <v/>
      </c>
      <c r="AJ178" s="503" t="str">
        <f>IF(終値!A178="","",IF(AND(高値!N178&gt;高値!M178,高値!N178&gt;高値!L178,高値!N178&gt;高値!O178,高値!N178&gt;高値!P178),9,""))</f>
        <v/>
      </c>
      <c r="AK178" s="503" t="str">
        <f>IF(終値!A178="","",IF(AND(高値!O178&gt;高値!N178,高値!O178&gt;高値!M178,高値!O178&gt;高値!P178,高値!O178&gt;高値!Q178),10,""))</f>
        <v/>
      </c>
      <c r="AL178" s="503" t="str">
        <f>IF(終値!A178="","",IF(AND(高値!P178&gt;高値!O178,高値!P178&gt;高値!N178,高値!P178&gt;高値!Q178,高値!P178&gt;高値!R178),11,""))</f>
        <v/>
      </c>
      <c r="AM178" s="503">
        <f>IF(終値!A178="","",IF(AND(高値!Q178&gt;高値!P178,高値!Q178&gt;高値!O178,高値!Q178&gt;高値!R178,高値!Q178&gt;高値!S178),12,""))</f>
        <v>12</v>
      </c>
      <c r="AN178" s="503" t="str">
        <f>IF(終値!A178="","",IF(AND(高値!R178&gt;高値!Q178,高値!R178&gt;高値!P178,高値!R178&gt;高値!S178,高値!R178&gt;高値!T178),13,""))</f>
        <v/>
      </c>
      <c r="AO178" s="503" t="str">
        <f>IF(終値!A178="","",IF(AND(高値!S178&gt;高値!R178,高値!S178&gt;高値!Q178,高値!S178&gt;高値!T178,高値!S178&gt;高値!U178),14,""))</f>
        <v/>
      </c>
      <c r="AP178" s="503" t="str">
        <f>IF(終値!A178="","",IF(AND(高値!T178&gt;高値!S178,高値!T178&gt;高値!R178,高値!T178&gt;高値!U178,高値!T178&gt;高値!V178),15,""))</f>
        <v/>
      </c>
      <c r="AQ178" s="503" t="str">
        <f>IF(終値!A178="","",IF(AND(高値!U178&gt;高値!T178,高値!U178&gt;高値!S178,高値!U178&gt;高値!V178,高値!U178&gt;高値!W178),16,""))</f>
        <v/>
      </c>
      <c r="AR178" s="503" t="str">
        <f>IF(終値!A178="","",IF(AND(高値!V178&gt;高値!U178,高値!V178&gt;高値!T178,高値!V178&gt;高値!W178,高値!V178&gt;高値!X178),17,""))</f>
        <v/>
      </c>
      <c r="AS178" s="503" t="str">
        <f>IF(終値!A178="","",IF(AND(高値!W178&gt;高値!V178,高値!W178&gt;高値!U178,高値!W178&gt;高値!X178,高値!W178&gt;高値!Y178),18,""))</f>
        <v/>
      </c>
      <c r="AT178" s="503" t="str">
        <f>IF(終値!A178="","",IF(AND(高値!X178&gt;高値!W178,高値!X178&gt;高値!V178,高値!X178&gt;高値!Y178,高値!X178&gt;高値!Z178),19,""))</f>
        <v/>
      </c>
      <c r="AU178" s="503" t="str">
        <f>IF(終値!A178="","",IF(AND(高値!Y178&gt;高値!X178,高値!Y178&gt;高値!W178,高値!Y178&gt;高値!Z178,高値!Y178&gt;高値!AA178),20,""))</f>
        <v/>
      </c>
      <c r="AV178" s="503" t="str">
        <f>IF(終値!A178="","",IF(AND(高値!Z178&gt;高値!Y178,高値!Z178&gt;高値!X178,高値!Z178&gt;高値!AA178,高値!Z178&gt;高値!AB178),21,""))</f>
        <v/>
      </c>
      <c r="AW178" s="503" t="str">
        <f>IF(終値!A178="","",IF(AND(高値!AA178&gt;高値!Z178,高値!AA178&gt;高値!Y178,高値!AA178&gt;高値!AB178,高値!AA178&gt;高値!AC178),22,""))</f>
        <v/>
      </c>
      <c r="AX178" s="503" t="str">
        <f>IF(終値!A178="","",IF(AND(高値!AB178&gt;高値!AA178,高値!AB178&gt;高値!Z178,高値!AB178&gt;高値!AC178,高値!AB178&gt;高値!AD178),23,""))</f>
        <v/>
      </c>
      <c r="AY178" s="503" t="str">
        <f>IF(終値!A178="","",IF(AND(高値!AC178&gt;高値!AB178,高値!AC178&gt;高値!AA178,高値!AC178&gt;高値!AD178,高値!AC178&gt;高値!AE178),24,""))</f>
        <v/>
      </c>
      <c r="AZ178" s="503" t="str">
        <f>IF(終値!A178="","",IF(AND(高値!AD178&gt;高値!AC178,高値!AD178&gt;高値!AB178,高値!AD178&gt;高値!AE178,高値!AD178&gt;高値!AF178),25,""))</f>
        <v/>
      </c>
      <c r="BA178" s="503">
        <f>IF(終値!A178="","",IF(AND(高値!AE178&gt;高値!AD178,高値!AE178&gt;高値!AC178,高値!AE178&gt;高値!AF178,高値!AE178&gt;高値!AG178),26,""))</f>
        <v>26</v>
      </c>
      <c r="BB178" s="503" t="str">
        <f>IF(終値!A178="","",IF(AND(高値!AF178&gt;高値!AE178,高値!AF178&gt;高値!AD178,高値!AF178&gt;高値!AG178,高値!AF178&gt;高値!AH178),27,""))</f>
        <v/>
      </c>
      <c r="BC178" s="503" t="str">
        <f>IF(終値!A178="","",IF(AND(高値!AG178&gt;高値!AF178,高値!AG178&gt;高値!AE178,高値!AG178&gt;高値!AH178,高値!AG178&gt;高値!AI178),28,""))</f>
        <v/>
      </c>
      <c r="BD178" s="503">
        <f t="shared" si="12"/>
        <v>2</v>
      </c>
      <c r="BE178" s="503">
        <f t="shared" si="13"/>
        <v>9</v>
      </c>
      <c r="BF178" s="503">
        <f t="shared" si="14"/>
        <v>16</v>
      </c>
      <c r="BG178" s="503">
        <f>IF($BE178="","",INDEX(安値!$E178:$CZ178,1,$BE178+1))</f>
        <v>0</v>
      </c>
      <c r="BH178" s="503">
        <f>IF($BF178="","",INDEX(安値!$E178:$CZ178,1,$BF178+1))</f>
        <v>3721</v>
      </c>
      <c r="BI178" s="503">
        <f>IF($BF178="","",MAX(INDEX(高値!$E178:$CZ178,1,$BE178+1):INDEX(高値!$E178:$CZ178,1,$BF178+1)))</f>
        <v>3880</v>
      </c>
      <c r="BJ178" s="503">
        <f>IF($BF178="","",AVERAGE(INDEX(終値!$E178:$CZ178,1,$BF178+1):INDEX(終値!$E178:$CZ178,1,$BF178+20))-2*STDEVP(INDEX(終値!$E178:$CZ178,1,$BF178+1):INDEX(終値!$E178:$CZ178,1,$BF178+20)))</f>
        <v>3518.9331974694737</v>
      </c>
      <c r="BK178" s="503">
        <f>IF($BE178="","",AVERAGE(INDEX(終値!$E178:$CZ178,1,$BE178+1):INDEX(終値!$E178:$CZ178,1,$BE178+20))-2*STDEVP(INDEX(終値!$E178:$CZ178,1,$BE178+1):INDEX(終値!$E178:$CZ178,1,$BE178+20)))</f>
        <v>3589.0492068282697</v>
      </c>
      <c r="BL178" s="503">
        <f t="shared" si="15"/>
        <v>4</v>
      </c>
      <c r="BM178" s="503">
        <f t="shared" si="16"/>
        <v>3</v>
      </c>
      <c r="BN178" s="503">
        <f t="shared" si="17"/>
        <v>7</v>
      </c>
      <c r="BO178" s="503">
        <f>IF($BM178="","",INDEX(高値!$E178:$CZ178,1,$BM178+1))</f>
        <v>3960</v>
      </c>
      <c r="BP178" s="503">
        <f>IF($BN178="","",INDEX(高値!$E178:$CZ178,1,$BN178+1))</f>
        <v>4077</v>
      </c>
      <c r="BQ178" s="503">
        <f>IF($BN178="","",MIN(INDEX(安値!$E178:$CZ178,1,$BM178+1):INDEX(安値!$E178:$CZ178,1,$BN178+1)))</f>
        <v>3672</v>
      </c>
      <c r="BR178" s="503">
        <f>IF($BN178="","",AVERAGE(INDEX(終値!$E178:$CZ178,1,$BN178+1):INDEX(終値!$E178:$CZ178,1,$BN178+20))+2*STDEVP(INDEX(終値!$E178:$CZ178,1,$BN178+1):INDEX(終値!$E178:$CZ178,1,$BN178+20)))</f>
        <v>3937.8646071013409</v>
      </c>
      <c r="BS178" s="503">
        <f>IF($BM178="","",AVERAGE(INDEX(終値!$E178:$CZ178,1,$BM178+1):INDEX(終値!$E178:$CZ178,1,$BM178+20))+2*STDEVP(INDEX(終値!$E178:$CZ178,1,$BM178+1):INDEX(終値!$E178:$CZ178,1,$BM178+20)))</f>
        <v>3987.2078152546405</v>
      </c>
      <c r="BT178" s="500"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二番天井M▼</v>
      </c>
    </row>
    <row r="179" spans="2:72">
      <c r="B179" s="503" t="str">
        <f>IF(終値!A179="","",IF(AND(安値!G179&lt;安値!F179,安値!G179&lt;安値!E179,安値!G179&lt;安値!H179,安値!G179&lt;安値!I179),2,""))</f>
        <v/>
      </c>
      <c r="C179" s="503" t="str">
        <f>IF(終値!A179="","",IF(AND(安値!H179&lt;安値!G179,安値!H179&lt;安値!F179,安値!H179&lt;安値!I179,安値!H179&lt;安値!J179),3,""))</f>
        <v/>
      </c>
      <c r="D179" s="503">
        <f>IF(終値!A179="","",IF(AND(安値!I179&lt;安値!H179,安値!I179&lt;安値!G179,安値!I179&lt;安値!J179,安値!I179&lt;安値!K179),4,""))</f>
        <v>4</v>
      </c>
      <c r="E179" s="503" t="str">
        <f>IF(終値!A179="","",IF(AND(安値!J179&lt;安値!I179,安値!J179&lt;安値!H179,安値!J179&lt;安値!K179,安値!J179&lt;安値!L179),5,""))</f>
        <v/>
      </c>
      <c r="F179" s="503" t="str">
        <f>IF(終値!A179="","",IF(AND(安値!K179&lt;安値!J179,安値!K179&lt;安値!I179,安値!K179&lt;安値!L179,安値!K179&lt;安値!M179),6,""))</f>
        <v/>
      </c>
      <c r="G179" s="503" t="str">
        <f>IF(終値!A179="","",IF(AND(安値!L179&lt;安値!K179,安値!L179&lt;安値!J179,安値!L179&lt;安値!M179,安値!L179&lt;安値!N179),7,""))</f>
        <v/>
      </c>
      <c r="H179" s="503" t="str">
        <f>IF(終値!A179="","",IF(AND(安値!M179&lt;安値!L179,安値!M179&lt;安値!K179,安値!M179&lt;安値!N179,安値!M179&lt;安値!O179),8,""))</f>
        <v/>
      </c>
      <c r="I179" s="503" t="str">
        <f>IF(終値!A179="","",IF(AND(安値!N179&lt;安値!M179,安値!N179&lt;安値!L179,安値!N179&lt;安値!O179,安値!N179&lt;安値!P179),9,""))</f>
        <v/>
      </c>
      <c r="J179" s="503" t="str">
        <f>IF(終値!A179="","",IF(AND(安値!O179&lt;安値!N179,安値!O179&lt;安値!M179,安値!O179&lt;安値!P179,安値!O179&lt;安値!Q179),10,""))</f>
        <v/>
      </c>
      <c r="K179" s="503" t="str">
        <f>IF(終値!A179="","",IF(AND(安値!P179&lt;安値!O179,安値!P179&lt;安値!N179,安値!P179&lt;安値!Q179,安値!P179&lt;安値!R179),11,""))</f>
        <v/>
      </c>
      <c r="L179" s="503" t="str">
        <f>IF(終値!A179="","",IF(AND(安値!Q179&lt;安値!P179,安値!Q179&lt;安値!O179,安値!Q179&lt;安値!R179,安値!Q179&lt;安値!S179),12,""))</f>
        <v/>
      </c>
      <c r="M179" s="503">
        <f>IF(終値!A179="","",IF(AND(安値!R179&lt;安値!Q179,安値!R179&lt;安値!P179,安値!R179&lt;安値!S179,安値!R179&lt;安値!T179),13,""))</f>
        <v>13</v>
      </c>
      <c r="N179" s="503" t="str">
        <f>IF(終値!A179="","",IF(AND(安値!S179&lt;安値!R179,安値!S179&lt;安値!Q179,安値!S179&lt;安値!T179,安値!S179&lt;安値!U179),14,""))</f>
        <v/>
      </c>
      <c r="O179" s="503" t="str">
        <f>IF(終値!A179="","",IF(AND(安値!T179&lt;安値!S179,安値!T179&lt;安値!R179,安値!T179&lt;安値!U179,安値!T179&lt;安値!V179),15,""))</f>
        <v/>
      </c>
      <c r="P179" s="503" t="str">
        <f>IF(終値!A179="","",IF(AND(安値!U179&lt;安値!T179,安値!U179&lt;安値!S179,安値!U179&lt;安値!V179,安値!U179&lt;安値!W179),16,""))</f>
        <v/>
      </c>
      <c r="Q179" s="503" t="str">
        <f>IF(終値!A179="","",IF(AND(安値!V179&lt;安値!U179,安値!V179&lt;安値!T179,安値!V179&lt;安値!W179,安値!V179&lt;安値!X179),17,""))</f>
        <v/>
      </c>
      <c r="R179" s="503">
        <f>IF(終値!A179="","",IF(AND(安値!W179&lt;安値!V179,安値!W179&lt;安値!U179,安値!W179&lt;安値!X179,安値!W179&lt;安値!Y179),18,""))</f>
        <v>18</v>
      </c>
      <c r="S179" s="503" t="str">
        <f>IF(終値!A179="","",IF(AND(安値!X179&lt;安値!W179,安値!X179&lt;安値!V179,安値!X179&lt;安値!Y179,安値!X179&lt;安値!Z179),19,""))</f>
        <v/>
      </c>
      <c r="T179" s="503" t="str">
        <f>IF(終値!A179="","",IF(AND(安値!Y179&lt;安値!X179,安値!Y179&lt;安値!W179,安値!Y179&lt;安値!Z179,安値!Y179&lt;安値!AA179),20,""))</f>
        <v/>
      </c>
      <c r="U179" s="503" t="str">
        <f>IF(終値!A179="","",IF(AND(安値!Z179&lt;安値!Y179,安値!Z179&lt;安値!X179,安値!Z179&lt;安値!AA179,安値!Z179&lt;安値!AB179),21,""))</f>
        <v/>
      </c>
      <c r="V179" s="503" t="str">
        <f>IF(終値!A179="","",IF(AND(安値!AA179&lt;安値!Z179,安値!AA179&lt;安値!Y179,安値!AA179&lt;安値!AB179,安値!AA179&lt;安値!AC179),22,""))</f>
        <v/>
      </c>
      <c r="W179" s="503" t="str">
        <f>IF(終値!A179="","",IF(AND(安値!AB179&lt;安値!AA179,安値!AB179&lt;安値!Z179,安値!AB179&lt;安値!AC179,安値!AB179&lt;安値!AD179),23,""))</f>
        <v/>
      </c>
      <c r="X179" s="503">
        <f>IF(終値!A179="","",IF(AND(安値!AC179&lt;安値!AB179,安値!AC179&lt;安値!AA179,安値!AC179&lt;安値!AD179,安値!AC179&lt;安値!AE179),24,""))</f>
        <v>24</v>
      </c>
      <c r="Y179" s="503" t="str">
        <f>IF(終値!A179="","",IF(AND(安値!AD179&lt;安値!AC179,安値!AD179&lt;安値!AB179,安値!AD179&lt;安値!AE179,安値!AD179&lt;安値!AF179),25,""))</f>
        <v/>
      </c>
      <c r="Z179" s="503" t="str">
        <f>IF(終値!A179="","",IF(AND(安値!AE179&lt;安値!AD179,安値!AE179&lt;安値!AC179,安値!AE179&lt;安値!AF179,安値!AE179&lt;安値!AG179),26,""))</f>
        <v/>
      </c>
      <c r="AA179" s="503">
        <f>IF(終値!A179="","",IF(AND(安値!AF179&lt;安値!AE179,安値!AF179&lt;安値!AD179,安値!AF179&lt;安値!AG179,安値!AF179&lt;安値!AH179),27,""))</f>
        <v>27</v>
      </c>
      <c r="AB179" s="503" t="str">
        <f>IF(終値!A179="","",IF(AND(安値!AG179&lt;安値!AF179,安値!AG179&lt;安値!AE179,安値!AG179&lt;安値!AH179,安値!AG179&lt;安値!AI179),28,""))</f>
        <v/>
      </c>
      <c r="AC179" s="503" t="str">
        <f>IF(終値!A179="","",IF(AND(高値!G179&gt;高値!F179,高値!G179&gt;高値!E179,高値!G179&gt;高値!H179,高値!G179&gt;高値!I179),2,""))</f>
        <v/>
      </c>
      <c r="AD179" s="503" t="str">
        <f>IF(終値!A179="","",IF(AND(高値!H179&gt;高値!G179,高値!H179&gt;高値!F179,高値!H179&gt;高値!I179,高値!H179&gt;高値!J179),3,""))</f>
        <v/>
      </c>
      <c r="AE179" s="503" t="str">
        <f>IF(終値!A179="","",IF(AND(高値!I179&gt;高値!H179,高値!I179&gt;高値!G179,高値!I179&gt;高値!J179,高値!I179&gt;高値!K179),4,""))</f>
        <v/>
      </c>
      <c r="AF179" s="503" t="str">
        <f>IF(終値!A179="","",IF(AND(高値!J179&gt;高値!I179,高値!J179&gt;高値!H179,高値!J179&gt;高値!K179,高値!J179&gt;高値!L179),5,""))</f>
        <v/>
      </c>
      <c r="AG179" s="503">
        <f>IF(終値!A179="","",IF(AND(高値!K179&gt;高値!J179,高値!K179&gt;高値!I179,高値!K179&gt;高値!L179,高値!K179&gt;高値!M179),6,""))</f>
        <v>6</v>
      </c>
      <c r="AH179" s="503" t="str">
        <f>IF(終値!A179="","",IF(AND(高値!L179&gt;高値!K179,高値!L179&gt;高値!J179,高値!L179&gt;高値!M179,高値!L179&gt;高値!N179),7,""))</f>
        <v/>
      </c>
      <c r="AI179" s="503" t="str">
        <f>IF(終値!A179="","",IF(AND(高値!M179&gt;高値!L179,高値!M179&gt;高値!K179,高値!M179&gt;高値!N179,高値!M179&gt;高値!O179),8,""))</f>
        <v/>
      </c>
      <c r="AJ179" s="503" t="str">
        <f>IF(終値!A179="","",IF(AND(高値!N179&gt;高値!M179,高値!N179&gt;高値!L179,高値!N179&gt;高値!O179,高値!N179&gt;高値!P179),9,""))</f>
        <v/>
      </c>
      <c r="AK179" s="503" t="str">
        <f>IF(終値!A179="","",IF(AND(高値!O179&gt;高値!N179,高値!O179&gt;高値!M179,高値!O179&gt;高値!P179,高値!O179&gt;高値!Q179),10,""))</f>
        <v/>
      </c>
      <c r="AL179" s="503" t="str">
        <f>IF(終値!A179="","",IF(AND(高値!P179&gt;高値!O179,高値!P179&gt;高値!N179,高値!P179&gt;高値!Q179,高値!P179&gt;高値!R179),11,""))</f>
        <v/>
      </c>
      <c r="AM179" s="503" t="str">
        <f>IF(終値!A179="","",IF(AND(高値!Q179&gt;高値!P179,高値!Q179&gt;高値!O179,高値!Q179&gt;高値!R179,高値!Q179&gt;高値!S179),12,""))</f>
        <v/>
      </c>
      <c r="AN179" s="503" t="str">
        <f>IF(終値!A179="","",IF(AND(高値!R179&gt;高値!Q179,高値!R179&gt;高値!P179,高値!R179&gt;高値!S179,高値!R179&gt;高値!T179),13,""))</f>
        <v/>
      </c>
      <c r="AO179" s="503" t="str">
        <f>IF(終値!A179="","",IF(AND(高値!S179&gt;高値!R179,高値!S179&gt;高値!Q179,高値!S179&gt;高値!T179,高値!S179&gt;高値!U179),14,""))</f>
        <v/>
      </c>
      <c r="AP179" s="503" t="str">
        <f>IF(終値!A179="","",IF(AND(高値!T179&gt;高値!S179,高値!T179&gt;高値!R179,高値!T179&gt;高値!U179,高値!T179&gt;高値!V179),15,""))</f>
        <v/>
      </c>
      <c r="AQ179" s="503">
        <f>IF(終値!A179="","",IF(AND(高値!U179&gt;高値!T179,高値!U179&gt;高値!S179,高値!U179&gt;高値!V179,高値!U179&gt;高値!W179),16,""))</f>
        <v>16</v>
      </c>
      <c r="AR179" s="503" t="str">
        <f>IF(終値!A179="","",IF(AND(高値!V179&gt;高値!U179,高値!V179&gt;高値!T179,高値!V179&gt;高値!W179,高値!V179&gt;高値!X179),17,""))</f>
        <v/>
      </c>
      <c r="AS179" s="503" t="str">
        <f>IF(終値!A179="","",IF(AND(高値!W179&gt;高値!V179,高値!W179&gt;高値!U179,高値!W179&gt;高値!X179,高値!W179&gt;高値!Y179),18,""))</f>
        <v/>
      </c>
      <c r="AT179" s="503" t="str">
        <f>IF(終値!A179="","",IF(AND(高値!X179&gt;高値!W179,高値!X179&gt;高値!V179,高値!X179&gt;高値!Y179,高値!X179&gt;高値!Z179),19,""))</f>
        <v/>
      </c>
      <c r="AU179" s="503">
        <f>IF(終値!A179="","",IF(AND(高値!Y179&gt;高値!X179,高値!Y179&gt;高値!W179,高値!Y179&gt;高値!Z179,高値!Y179&gt;高値!AA179),20,""))</f>
        <v>20</v>
      </c>
      <c r="AV179" s="503" t="str">
        <f>IF(終値!A179="","",IF(AND(高値!Z179&gt;高値!Y179,高値!Z179&gt;高値!X179,高値!Z179&gt;高値!AA179,高値!Z179&gt;高値!AB179),21,""))</f>
        <v/>
      </c>
      <c r="AW179" s="503" t="str">
        <f>IF(終値!A179="","",IF(AND(高値!AA179&gt;高値!Z179,高値!AA179&gt;高値!Y179,高値!AA179&gt;高値!AB179,高値!AA179&gt;高値!AC179),22,""))</f>
        <v/>
      </c>
      <c r="AX179" s="503" t="str">
        <f>IF(終値!A179="","",IF(AND(高値!AB179&gt;高値!AA179,高値!AB179&gt;高値!Z179,高値!AB179&gt;高値!AC179,高値!AB179&gt;高値!AD179),23,""))</f>
        <v/>
      </c>
      <c r="AY179" s="503" t="str">
        <f>IF(終値!A179="","",IF(AND(高値!AC179&gt;高値!AB179,高値!AC179&gt;高値!AA179,高値!AC179&gt;高値!AD179,高値!AC179&gt;高値!AE179),24,""))</f>
        <v/>
      </c>
      <c r="AZ179" s="503">
        <f>IF(終値!A179="","",IF(AND(高値!AD179&gt;高値!AC179,高値!AD179&gt;高値!AB179,高値!AD179&gt;高値!AE179,高値!AD179&gt;高値!AF179),25,""))</f>
        <v>25</v>
      </c>
      <c r="BA179" s="503" t="str">
        <f>IF(終値!A179="","",IF(AND(高値!AE179&gt;高値!AD179,高値!AE179&gt;高値!AC179,高値!AE179&gt;高値!AF179,高値!AE179&gt;高値!AG179),26,""))</f>
        <v/>
      </c>
      <c r="BB179" s="503" t="str">
        <f>IF(終値!A179="","",IF(AND(高値!AF179&gt;高値!AE179,高値!AF179&gt;高値!AD179,高値!AF179&gt;高値!AG179,高値!AF179&gt;高値!AH179),27,""))</f>
        <v/>
      </c>
      <c r="BC179" s="503" t="str">
        <f>IF(終値!A179="","",IF(AND(高値!AG179&gt;高値!AF179,高値!AG179&gt;高値!AE179,高値!AG179&gt;高値!AH179,高値!AG179&gt;高値!AI179),28,""))</f>
        <v/>
      </c>
      <c r="BD179" s="503">
        <f t="shared" si="12"/>
        <v>5</v>
      </c>
      <c r="BE179" s="503">
        <f t="shared" si="13"/>
        <v>4</v>
      </c>
      <c r="BF179" s="503">
        <f t="shared" si="14"/>
        <v>13</v>
      </c>
      <c r="BG179" s="503">
        <f>IF($BE179="","",INDEX(安値!$E179:$CZ179,1,$BE179+1))</f>
        <v>2749</v>
      </c>
      <c r="BH179" s="503">
        <f>IF($BF179="","",INDEX(安値!$E179:$CZ179,1,$BF179+1))</f>
        <v>2660</v>
      </c>
      <c r="BI179" s="503">
        <f>IF($BF179="","",MAX(INDEX(高値!$E179:$CZ179,1,$BE179+1):INDEX(高値!$E179:$CZ179,1,$BF179+1)))</f>
        <v>2949</v>
      </c>
      <c r="BJ179" s="503">
        <f>IF($BF179="","",AVERAGE(INDEX(終値!$E179:$CZ179,1,$BF179+1):INDEX(終値!$E179:$CZ179,1,$BF179+20))-2*STDEVP(INDEX(終値!$E179:$CZ179,1,$BF179+1):INDEX(終値!$E179:$CZ179,1,$BF179+20)))</f>
        <v>2534.6950202965077</v>
      </c>
      <c r="BK179" s="503">
        <f>IF($BE179="","",AVERAGE(INDEX(終値!$E179:$CZ179,1,$BE179+1):INDEX(終値!$E179:$CZ179,1,$BE179+20))-2*STDEVP(INDEX(終値!$E179:$CZ179,1,$BE179+1):INDEX(終値!$E179:$CZ179,1,$BE179+20)))</f>
        <v>2563.1251164874939</v>
      </c>
      <c r="BL179" s="503">
        <f t="shared" si="15"/>
        <v>4</v>
      </c>
      <c r="BM179" s="503">
        <f t="shared" si="16"/>
        <v>6</v>
      </c>
      <c r="BN179" s="503">
        <f t="shared" si="17"/>
        <v>16</v>
      </c>
      <c r="BO179" s="503">
        <f>IF($BM179="","",INDEX(高値!$E179:$CZ179,1,$BM179+1))</f>
        <v>2949</v>
      </c>
      <c r="BP179" s="503">
        <f>IF($BN179="","",INDEX(高値!$E179:$CZ179,1,$BN179+1))</f>
        <v>2731</v>
      </c>
      <c r="BQ179" s="503">
        <f>IF($BN179="","",MIN(INDEX(安値!$E179:$CZ179,1,$BM179+1):INDEX(安値!$E179:$CZ179,1,$BN179+1)))</f>
        <v>2660</v>
      </c>
      <c r="BR179" s="503">
        <f>IF($BN179="","",AVERAGE(INDEX(終値!$E179:$CZ179,1,$BN179+1):INDEX(終値!$E179:$CZ179,1,$BN179+20))+2*STDEVP(INDEX(終値!$E179:$CZ179,1,$BN179+1):INDEX(終値!$E179:$CZ179,1,$BN179+20)))</f>
        <v>2713.8862435085098</v>
      </c>
      <c r="BS179" s="503">
        <f>IF($BM179="","",AVERAGE(INDEX(終値!$E179:$CZ179,1,$BM179+1):INDEX(終値!$E179:$CZ179,1,$BM179+20))+2*STDEVP(INDEX(終値!$E179:$CZ179,1,$BM179+1):INDEX(終値!$E179:$CZ179,1,$BM179+20)))</f>
        <v>2886.9266517223059</v>
      </c>
      <c r="BT179" s="500"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二番底W形成</v>
      </c>
    </row>
    <row r="180" spans="2:72">
      <c r="B180" s="503" t="str">
        <f>IF(終値!A180="","",IF(AND(安値!G180&lt;安値!F180,安値!G180&lt;安値!E180,安値!G180&lt;安値!H180,安値!G180&lt;安値!I180),2,""))</f>
        <v/>
      </c>
      <c r="C180" s="503">
        <f>IF(終値!A180="","",IF(AND(安値!H180&lt;安値!G180,安値!H180&lt;安値!F180,安値!H180&lt;安値!I180,安値!H180&lt;安値!J180),3,""))</f>
        <v>3</v>
      </c>
      <c r="D180" s="503" t="str">
        <f>IF(終値!A180="","",IF(AND(安値!I180&lt;安値!H180,安値!I180&lt;安値!G180,安値!I180&lt;安値!J180,安値!I180&lt;安値!K180),4,""))</f>
        <v/>
      </c>
      <c r="E180" s="503" t="str">
        <f>IF(終値!A180="","",IF(AND(安値!J180&lt;安値!I180,安値!J180&lt;安値!H180,安値!J180&lt;安値!K180,安値!J180&lt;安値!L180),5,""))</f>
        <v/>
      </c>
      <c r="F180" s="503" t="str">
        <f>IF(終値!A180="","",IF(AND(安値!K180&lt;安値!J180,安値!K180&lt;安値!I180,安値!K180&lt;安値!L180,安値!K180&lt;安値!M180),6,""))</f>
        <v/>
      </c>
      <c r="G180" s="503" t="str">
        <f>IF(終値!A180="","",IF(AND(安値!L180&lt;安値!K180,安値!L180&lt;安値!J180,安値!L180&lt;安値!M180,安値!L180&lt;安値!N180),7,""))</f>
        <v/>
      </c>
      <c r="H180" s="503" t="str">
        <f>IF(終値!A180="","",IF(AND(安値!M180&lt;安値!L180,安値!M180&lt;安値!K180,安値!M180&lt;安値!N180,安値!M180&lt;安値!O180),8,""))</f>
        <v/>
      </c>
      <c r="I180" s="503">
        <f>IF(終値!A180="","",IF(AND(安値!N180&lt;安値!M180,安値!N180&lt;安値!L180,安値!N180&lt;安値!O180,安値!N180&lt;安値!P180),9,""))</f>
        <v>9</v>
      </c>
      <c r="J180" s="503" t="str">
        <f>IF(終値!A180="","",IF(AND(安値!O180&lt;安値!N180,安値!O180&lt;安値!M180,安値!O180&lt;安値!P180,安値!O180&lt;安値!Q180),10,""))</f>
        <v/>
      </c>
      <c r="K180" s="503" t="str">
        <f>IF(終値!A180="","",IF(AND(安値!P180&lt;安値!O180,安値!P180&lt;安値!N180,安値!P180&lt;安値!Q180,安値!P180&lt;安値!R180),11,""))</f>
        <v/>
      </c>
      <c r="L180" s="503" t="str">
        <f>IF(終値!A180="","",IF(AND(安値!Q180&lt;安値!P180,安値!Q180&lt;安値!O180,安値!Q180&lt;安値!R180,安値!Q180&lt;安値!S180),12,""))</f>
        <v/>
      </c>
      <c r="M180" s="503" t="str">
        <f>IF(終値!A180="","",IF(AND(安値!R180&lt;安値!Q180,安値!R180&lt;安値!P180,安値!R180&lt;安値!S180,安値!R180&lt;安値!T180),13,""))</f>
        <v/>
      </c>
      <c r="N180" s="503" t="str">
        <f>IF(終値!A180="","",IF(AND(安値!S180&lt;安値!R180,安値!S180&lt;安値!Q180,安値!S180&lt;安値!T180,安値!S180&lt;安値!U180),14,""))</f>
        <v/>
      </c>
      <c r="O180" s="503" t="str">
        <f>IF(終値!A180="","",IF(AND(安値!T180&lt;安値!S180,安値!T180&lt;安値!R180,安値!T180&lt;安値!U180,安値!T180&lt;安値!V180),15,""))</f>
        <v/>
      </c>
      <c r="P180" s="503" t="str">
        <f>IF(終値!A180="","",IF(AND(安値!U180&lt;安値!T180,安値!U180&lt;安値!S180,安値!U180&lt;安値!V180,安値!U180&lt;安値!W180),16,""))</f>
        <v/>
      </c>
      <c r="Q180" s="503" t="str">
        <f>IF(終値!A180="","",IF(AND(安値!V180&lt;安値!U180,安値!V180&lt;安値!T180,安値!V180&lt;安値!W180,安値!V180&lt;安値!X180),17,""))</f>
        <v/>
      </c>
      <c r="R180" s="503">
        <f>IF(終値!A180="","",IF(AND(安値!W180&lt;安値!V180,安値!W180&lt;安値!U180,安値!W180&lt;安値!X180,安値!W180&lt;安値!Y180),18,""))</f>
        <v>18</v>
      </c>
      <c r="S180" s="503" t="str">
        <f>IF(終値!A180="","",IF(AND(安値!X180&lt;安値!W180,安値!X180&lt;安値!V180,安値!X180&lt;安値!Y180,安値!X180&lt;安値!Z180),19,""))</f>
        <v/>
      </c>
      <c r="T180" s="503" t="str">
        <f>IF(終値!A180="","",IF(AND(安値!Y180&lt;安値!X180,安値!Y180&lt;安値!W180,安値!Y180&lt;安値!Z180,安値!Y180&lt;安値!AA180),20,""))</f>
        <v/>
      </c>
      <c r="U180" s="503" t="str">
        <f>IF(終値!A180="","",IF(AND(安値!Z180&lt;安値!Y180,安値!Z180&lt;安値!X180,安値!Z180&lt;安値!AA180,安値!Z180&lt;安値!AB180),21,""))</f>
        <v/>
      </c>
      <c r="V180" s="503" t="str">
        <f>IF(終値!A180="","",IF(AND(安値!AA180&lt;安値!Z180,安値!AA180&lt;安値!Y180,安値!AA180&lt;安値!AB180,安値!AA180&lt;安値!AC180),22,""))</f>
        <v/>
      </c>
      <c r="W180" s="503" t="str">
        <f>IF(終値!A180="","",IF(AND(安値!AB180&lt;安値!AA180,安値!AB180&lt;安値!Z180,安値!AB180&lt;安値!AC180,安値!AB180&lt;安値!AD180),23,""))</f>
        <v/>
      </c>
      <c r="X180" s="503">
        <f>IF(終値!A180="","",IF(AND(安値!AC180&lt;安値!AB180,安値!AC180&lt;安値!AA180,安値!AC180&lt;安値!AD180,安値!AC180&lt;安値!AE180),24,""))</f>
        <v>24</v>
      </c>
      <c r="Y180" s="503" t="str">
        <f>IF(終値!A180="","",IF(AND(安値!AD180&lt;安値!AC180,安値!AD180&lt;安値!AB180,安値!AD180&lt;安値!AE180,安値!AD180&lt;安値!AF180),25,""))</f>
        <v/>
      </c>
      <c r="Z180" s="503" t="str">
        <f>IF(終値!A180="","",IF(AND(安値!AE180&lt;安値!AD180,安値!AE180&lt;安値!AC180,安値!AE180&lt;安値!AF180,安値!AE180&lt;安値!AG180),26,""))</f>
        <v/>
      </c>
      <c r="AA180" s="503">
        <f>IF(終値!A180="","",IF(AND(安値!AF180&lt;安値!AE180,安値!AF180&lt;安値!AD180,安値!AF180&lt;安値!AG180,安値!AF180&lt;安値!AH180),27,""))</f>
        <v>27</v>
      </c>
      <c r="AB180" s="503" t="str">
        <f>IF(終値!A180="","",IF(AND(安値!AG180&lt;安値!AF180,安値!AG180&lt;安値!AE180,安値!AG180&lt;安値!AH180,安値!AG180&lt;安値!AI180),28,""))</f>
        <v/>
      </c>
      <c r="AC180" s="503" t="str">
        <f>IF(終値!A180="","",IF(AND(高値!G180&gt;高値!F180,高値!G180&gt;高値!E180,高値!G180&gt;高値!H180,高値!G180&gt;高値!I180),2,""))</f>
        <v/>
      </c>
      <c r="AD180" s="503" t="str">
        <f>IF(終値!A180="","",IF(AND(高値!H180&gt;高値!G180,高値!H180&gt;高値!F180,高値!H180&gt;高値!I180,高値!H180&gt;高値!J180),3,""))</f>
        <v/>
      </c>
      <c r="AE180" s="503">
        <f>IF(終値!A180="","",IF(AND(高値!I180&gt;高値!H180,高値!I180&gt;高値!G180,高値!I180&gt;高値!J180,高値!I180&gt;高値!K180),4,""))</f>
        <v>4</v>
      </c>
      <c r="AF180" s="503" t="str">
        <f>IF(終値!A180="","",IF(AND(高値!J180&gt;高値!I180,高値!J180&gt;高値!H180,高値!J180&gt;高値!K180,高値!J180&gt;高値!L180),5,""))</f>
        <v/>
      </c>
      <c r="AG180" s="503" t="str">
        <f>IF(終値!A180="","",IF(AND(高値!K180&gt;高値!J180,高値!K180&gt;高値!I180,高値!K180&gt;高値!L180,高値!K180&gt;高値!M180),6,""))</f>
        <v/>
      </c>
      <c r="AH180" s="503" t="str">
        <f>IF(終値!A180="","",IF(AND(高値!L180&gt;高値!K180,高値!L180&gt;高値!J180,高値!L180&gt;高値!M180,高値!L180&gt;高値!N180),7,""))</f>
        <v/>
      </c>
      <c r="AI180" s="503" t="str">
        <f>IF(終値!A180="","",IF(AND(高値!M180&gt;高値!L180,高値!M180&gt;高値!K180,高値!M180&gt;高値!N180,高値!M180&gt;高値!O180),8,""))</f>
        <v/>
      </c>
      <c r="AJ180" s="503" t="str">
        <f>IF(終値!A180="","",IF(AND(高値!N180&gt;高値!M180,高値!N180&gt;高値!L180,高値!N180&gt;高値!O180,高値!N180&gt;高値!P180),9,""))</f>
        <v/>
      </c>
      <c r="AK180" s="503" t="str">
        <f>IF(終値!A180="","",IF(AND(高値!O180&gt;高値!N180,高値!O180&gt;高値!M180,高値!O180&gt;高値!P180,高値!O180&gt;高値!Q180),10,""))</f>
        <v/>
      </c>
      <c r="AL180" s="503" t="str">
        <f>IF(終値!A180="","",IF(AND(高値!P180&gt;高値!O180,高値!P180&gt;高値!N180,高値!P180&gt;高値!Q180,高値!P180&gt;高値!R180),11,""))</f>
        <v/>
      </c>
      <c r="AM180" s="503" t="str">
        <f>IF(終値!A180="","",IF(AND(高値!Q180&gt;高値!P180,高値!Q180&gt;高値!O180,高値!Q180&gt;高値!R180,高値!Q180&gt;高値!S180),12,""))</f>
        <v/>
      </c>
      <c r="AN180" s="503" t="str">
        <f>IF(終値!A180="","",IF(AND(高値!R180&gt;高値!Q180,高値!R180&gt;高値!P180,高値!R180&gt;高値!S180,高値!R180&gt;高値!T180),13,""))</f>
        <v/>
      </c>
      <c r="AO180" s="503" t="str">
        <f>IF(終値!A180="","",IF(AND(高値!S180&gt;高値!R180,高値!S180&gt;高値!Q180,高値!S180&gt;高値!T180,高値!S180&gt;高値!U180),14,""))</f>
        <v/>
      </c>
      <c r="AP180" s="503" t="str">
        <f>IF(終値!A180="","",IF(AND(高値!T180&gt;高値!S180,高値!T180&gt;高値!R180,高値!T180&gt;高値!U180,高値!T180&gt;高値!V180),15,""))</f>
        <v/>
      </c>
      <c r="AQ180" s="503" t="str">
        <f>IF(終値!A180="","",IF(AND(高値!U180&gt;高値!T180,高値!U180&gt;高値!S180,高値!U180&gt;高値!V180,高値!U180&gt;高値!W180),16,""))</f>
        <v/>
      </c>
      <c r="AR180" s="503" t="str">
        <f>IF(終値!A180="","",IF(AND(高値!V180&gt;高値!U180,高値!V180&gt;高値!T180,高値!V180&gt;高値!W180,高値!V180&gt;高値!X180),17,""))</f>
        <v/>
      </c>
      <c r="AS180" s="503" t="str">
        <f>IF(終値!A180="","",IF(AND(高値!W180&gt;高値!V180,高値!W180&gt;高値!U180,高値!W180&gt;高値!X180,高値!W180&gt;高値!Y180),18,""))</f>
        <v/>
      </c>
      <c r="AT180" s="503" t="str">
        <f>IF(終値!A180="","",IF(AND(高値!X180&gt;高値!W180,高値!X180&gt;高値!V180,高値!X180&gt;高値!Y180,高値!X180&gt;高値!Z180),19,""))</f>
        <v/>
      </c>
      <c r="AU180" s="503">
        <f>IF(終値!A180="","",IF(AND(高値!Y180&gt;高値!X180,高値!Y180&gt;高値!W180,高値!Y180&gt;高値!Z180,高値!Y180&gt;高値!AA180),20,""))</f>
        <v>20</v>
      </c>
      <c r="AV180" s="503" t="str">
        <f>IF(終値!A180="","",IF(AND(高値!Z180&gt;高値!Y180,高値!Z180&gt;高値!X180,高値!Z180&gt;高値!AA180,高値!Z180&gt;高値!AB180),21,""))</f>
        <v/>
      </c>
      <c r="AW180" s="503" t="str">
        <f>IF(終値!A180="","",IF(AND(高値!AA180&gt;高値!Z180,高値!AA180&gt;高値!Y180,高値!AA180&gt;高値!AB180,高値!AA180&gt;高値!AC180),22,""))</f>
        <v/>
      </c>
      <c r="AX180" s="503" t="str">
        <f>IF(終値!A180="","",IF(AND(高値!AB180&gt;高値!AA180,高値!AB180&gt;高値!Z180,高値!AB180&gt;高値!AC180,高値!AB180&gt;高値!AD180),23,""))</f>
        <v/>
      </c>
      <c r="AY180" s="503" t="str">
        <f>IF(終値!A180="","",IF(AND(高値!AC180&gt;高値!AB180,高値!AC180&gt;高値!AA180,高値!AC180&gt;高値!AD180,高値!AC180&gt;高値!AE180),24,""))</f>
        <v/>
      </c>
      <c r="AZ180" s="503" t="str">
        <f>IF(終値!A180="","",IF(AND(高値!AD180&gt;高値!AC180,高値!AD180&gt;高値!AB180,高値!AD180&gt;高値!AE180,高値!AD180&gt;高値!AF180),25,""))</f>
        <v/>
      </c>
      <c r="BA180" s="503">
        <f>IF(終値!A180="","",IF(AND(高値!AE180&gt;高値!AD180,高値!AE180&gt;高値!AC180,高値!AE180&gt;高値!AF180,高値!AE180&gt;高値!AG180),26,""))</f>
        <v>26</v>
      </c>
      <c r="BB180" s="503" t="str">
        <f>IF(終値!A180="","",IF(AND(高値!AF180&gt;高値!AE180,高値!AF180&gt;高値!AD180,高値!AF180&gt;高値!AG180,高値!AF180&gt;高値!AH180),27,""))</f>
        <v/>
      </c>
      <c r="BC180" s="503" t="str">
        <f>IF(終値!A180="","",IF(AND(高値!AG180&gt;高値!AF180,高値!AG180&gt;高値!AE180,高値!AG180&gt;高値!AH180,高値!AG180&gt;高値!AI180),28,""))</f>
        <v/>
      </c>
      <c r="BD180" s="503">
        <f t="shared" si="12"/>
        <v>5</v>
      </c>
      <c r="BE180" s="503">
        <f t="shared" si="13"/>
        <v>3</v>
      </c>
      <c r="BF180" s="503">
        <f t="shared" si="14"/>
        <v>9</v>
      </c>
      <c r="BG180" s="503">
        <f>IF($BE180="","",INDEX(安値!$E180:$CZ180,1,$BE180+1))</f>
        <v>1826</v>
      </c>
      <c r="BH180" s="503">
        <f>IF($BF180="","",INDEX(安値!$E180:$CZ180,1,$BF180+1))</f>
        <v>0</v>
      </c>
      <c r="BI180" s="503">
        <f>IF($BF180="","",MAX(INDEX(高値!$E180:$CZ180,1,$BE180+1):INDEX(高値!$E180:$CZ180,1,$BF180+1)))</f>
        <v>2027</v>
      </c>
      <c r="BJ180" s="503">
        <f>IF($BF180="","",AVERAGE(INDEX(終値!$E180:$CZ180,1,$BF180+1):INDEX(終値!$E180:$CZ180,1,$BF180+20))-2*STDEVP(INDEX(終値!$E180:$CZ180,1,$BF180+1):INDEX(終値!$E180:$CZ180,1,$BF180+20)))</f>
        <v>1691.6574836545738</v>
      </c>
      <c r="BK180" s="503">
        <f>IF($BE180="","",AVERAGE(INDEX(終値!$E180:$CZ180,1,$BE180+1):INDEX(終値!$E180:$CZ180,1,$BE180+20))-2*STDEVP(INDEX(終値!$E180:$CZ180,1,$BE180+1):INDEX(終値!$E180:$CZ180,1,$BE180+20)))</f>
        <v>1728.5829859396131</v>
      </c>
      <c r="BL180" s="503">
        <f t="shared" si="15"/>
        <v>3</v>
      </c>
      <c r="BM180" s="503">
        <f t="shared" si="16"/>
        <v>4</v>
      </c>
      <c r="BN180" s="503">
        <f t="shared" si="17"/>
        <v>20</v>
      </c>
      <c r="BO180" s="503">
        <f>IF($BM180="","",INDEX(高値!$E180:$CZ180,1,$BM180+1))</f>
        <v>2027</v>
      </c>
      <c r="BP180" s="503">
        <f>IF($BN180="","",INDEX(高値!$E180:$CZ180,1,$BN180+1))</f>
        <v>1831</v>
      </c>
      <c r="BQ180" s="503">
        <f>IF($BN180="","",MIN(INDEX(安値!$E180:$CZ180,1,$BM180+1):INDEX(安値!$E180:$CZ180,1,$BN180+1)))</f>
        <v>1781</v>
      </c>
      <c r="BR180" s="503">
        <f>IF($BN180="","",AVERAGE(INDEX(終値!$E180:$CZ180,1,$BN180+1):INDEX(終値!$E180:$CZ180,1,$BN180+20))+2*STDEVP(INDEX(終値!$E180:$CZ180,1,$BN180+1):INDEX(終値!$E180:$CZ180,1,$BN180+20)))</f>
        <v>1805.9436896085499</v>
      </c>
      <c r="BS180" s="503">
        <f>IF($BM180="","",AVERAGE(INDEX(終値!$E180:$CZ180,1,$BM180+1):INDEX(終値!$E180:$CZ180,1,$BM180+20))+2*STDEVP(INDEX(終値!$E180:$CZ180,1,$BM180+1):INDEX(終値!$E180:$CZ180,1,$BM180+20)))</f>
        <v>2005.4895527371516</v>
      </c>
      <c r="BT180" s="500"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3" t="str">
        <f>IF(終値!A181="","",IF(AND(安値!G181&lt;安値!F181,安値!G181&lt;安値!E181,安値!G181&lt;安値!H181,安値!G181&lt;安値!I181),2,""))</f>
        <v/>
      </c>
      <c r="C181" s="503" t="str">
        <f>IF(終値!A181="","",IF(AND(安値!H181&lt;安値!G181,安値!H181&lt;安値!F181,安値!H181&lt;安値!I181,安値!H181&lt;安値!J181),3,""))</f>
        <v/>
      </c>
      <c r="D181" s="503" t="str">
        <f>IF(終値!A181="","",IF(AND(安値!I181&lt;安値!H181,安値!I181&lt;安値!G181,安値!I181&lt;安値!J181,安値!I181&lt;安値!K181),4,""))</f>
        <v/>
      </c>
      <c r="E181" s="503" t="str">
        <f>IF(終値!A181="","",IF(AND(安値!J181&lt;安値!I181,安値!J181&lt;安値!H181,安値!J181&lt;安値!K181,安値!J181&lt;安値!L181),5,""))</f>
        <v/>
      </c>
      <c r="F181" s="503" t="str">
        <f>IF(終値!A181="","",IF(AND(安値!K181&lt;安値!J181,安値!K181&lt;安値!I181,安値!K181&lt;安値!L181,安値!K181&lt;安値!M181),6,""))</f>
        <v/>
      </c>
      <c r="G181" s="503" t="str">
        <f>IF(終値!A181="","",IF(AND(安値!L181&lt;安値!K181,安値!L181&lt;安値!J181,安値!L181&lt;安値!M181,安値!L181&lt;安値!N181),7,""))</f>
        <v/>
      </c>
      <c r="H181" s="503" t="str">
        <f>IF(終値!A181="","",IF(AND(安値!M181&lt;安値!L181,安値!M181&lt;安値!K181,安値!M181&lt;安値!N181,安値!M181&lt;安値!O181),8,""))</f>
        <v/>
      </c>
      <c r="I181" s="503" t="str">
        <f>IF(終値!A181="","",IF(AND(安値!N181&lt;安値!M181,安値!N181&lt;安値!L181,安値!N181&lt;安値!O181,安値!N181&lt;安値!P181),9,""))</f>
        <v/>
      </c>
      <c r="J181" s="503" t="str">
        <f>IF(終値!A181="","",IF(AND(安値!O181&lt;安値!N181,安値!O181&lt;安値!M181,安値!O181&lt;安値!P181,安値!O181&lt;安値!Q181),10,""))</f>
        <v/>
      </c>
      <c r="K181" s="503" t="str">
        <f>IF(終値!A181="","",IF(AND(安値!P181&lt;安値!O181,安値!P181&lt;安値!N181,安値!P181&lt;安値!Q181,安値!P181&lt;安値!R181),11,""))</f>
        <v/>
      </c>
      <c r="L181" s="503" t="str">
        <f>IF(終値!A181="","",IF(AND(安値!Q181&lt;安値!P181,安値!Q181&lt;安値!O181,安値!Q181&lt;安値!R181,安値!Q181&lt;安値!S181),12,""))</f>
        <v/>
      </c>
      <c r="M181" s="503" t="str">
        <f>IF(終値!A181="","",IF(AND(安値!R181&lt;安値!Q181,安値!R181&lt;安値!P181,安値!R181&lt;安値!S181,安値!R181&lt;安値!T181),13,""))</f>
        <v/>
      </c>
      <c r="N181" s="503" t="str">
        <f>IF(終値!A181="","",IF(AND(安値!S181&lt;安値!R181,安値!S181&lt;安値!Q181,安値!S181&lt;安値!T181,安値!S181&lt;安値!U181),14,""))</f>
        <v/>
      </c>
      <c r="O181" s="503" t="str">
        <f>IF(終値!A181="","",IF(AND(安値!T181&lt;安値!S181,安値!T181&lt;安値!R181,安値!T181&lt;安値!U181,安値!T181&lt;安値!V181),15,""))</f>
        <v/>
      </c>
      <c r="P181" s="503">
        <f>IF(終値!A181="","",IF(AND(安値!U181&lt;安値!T181,安値!U181&lt;安値!S181,安値!U181&lt;安値!V181,安値!U181&lt;安値!W181),16,""))</f>
        <v>16</v>
      </c>
      <c r="Q181" s="503" t="str">
        <f>IF(終値!A181="","",IF(AND(安値!V181&lt;安値!U181,安値!V181&lt;安値!T181,安値!V181&lt;安値!W181,安値!V181&lt;安値!X181),17,""))</f>
        <v/>
      </c>
      <c r="R181" s="503" t="str">
        <f>IF(終値!A181="","",IF(AND(安値!W181&lt;安値!V181,安値!W181&lt;安値!U181,安値!W181&lt;安値!X181,安値!W181&lt;安値!Y181),18,""))</f>
        <v/>
      </c>
      <c r="S181" s="503" t="str">
        <f>IF(終値!A181="","",IF(AND(安値!X181&lt;安値!W181,安値!X181&lt;安値!V181,安値!X181&lt;安値!Y181,安値!X181&lt;安値!Z181),19,""))</f>
        <v/>
      </c>
      <c r="T181" s="503" t="str">
        <f>IF(終値!A181="","",IF(AND(安値!Y181&lt;安値!X181,安値!Y181&lt;安値!W181,安値!Y181&lt;安値!Z181,安値!Y181&lt;安値!AA181),20,""))</f>
        <v/>
      </c>
      <c r="U181" s="503" t="str">
        <f>IF(終値!A181="","",IF(AND(安値!Z181&lt;安値!Y181,安値!Z181&lt;安値!X181,安値!Z181&lt;安値!AA181,安値!Z181&lt;安値!AB181),21,""))</f>
        <v/>
      </c>
      <c r="V181" s="503" t="str">
        <f>IF(終値!A181="","",IF(AND(安値!AA181&lt;安値!Z181,安値!AA181&lt;安値!Y181,安値!AA181&lt;安値!AB181,安値!AA181&lt;安値!AC181),22,""))</f>
        <v/>
      </c>
      <c r="W181" s="503" t="str">
        <f>IF(終値!A181="","",IF(AND(安値!AB181&lt;安値!AA181,安値!AB181&lt;安値!Z181,安値!AB181&lt;安値!AC181,安値!AB181&lt;安値!AD181),23,""))</f>
        <v/>
      </c>
      <c r="X181" s="503">
        <f>IF(終値!A181="","",IF(AND(安値!AC181&lt;安値!AB181,安値!AC181&lt;安値!AA181,安値!AC181&lt;安値!AD181,安値!AC181&lt;安値!AE181),24,""))</f>
        <v>24</v>
      </c>
      <c r="Y181" s="503" t="str">
        <f>IF(終値!A181="","",IF(AND(安値!AD181&lt;安値!AC181,安値!AD181&lt;安値!AB181,安値!AD181&lt;安値!AE181,安値!AD181&lt;安値!AF181),25,""))</f>
        <v/>
      </c>
      <c r="Z181" s="503" t="str">
        <f>IF(終値!A181="","",IF(AND(安値!AE181&lt;安値!AD181,安値!AE181&lt;安値!AC181,安値!AE181&lt;安値!AF181,安値!AE181&lt;安値!AG181),26,""))</f>
        <v/>
      </c>
      <c r="AA181" s="503" t="str">
        <f>IF(終値!A181="","",IF(AND(安値!AF181&lt;安値!AE181,安値!AF181&lt;安値!AD181,安値!AF181&lt;安値!AG181,安値!AF181&lt;安値!AH181),27,""))</f>
        <v/>
      </c>
      <c r="AB181" s="503" t="str">
        <f>IF(終値!A181="","",IF(AND(安値!AG181&lt;安値!AF181,安値!AG181&lt;安値!AE181,安値!AG181&lt;安値!AH181,安値!AG181&lt;安値!AI181),28,""))</f>
        <v/>
      </c>
      <c r="AC181" s="503" t="str">
        <f>IF(終値!A181="","",IF(AND(高値!G181&gt;高値!F181,高値!G181&gt;高値!E181,高値!G181&gt;高値!H181,高値!G181&gt;高値!I181),2,""))</f>
        <v/>
      </c>
      <c r="AD181" s="503" t="str">
        <f>IF(終値!A181="","",IF(AND(高値!H181&gt;高値!G181,高値!H181&gt;高値!F181,高値!H181&gt;高値!I181,高値!H181&gt;高値!J181),3,""))</f>
        <v/>
      </c>
      <c r="AE181" s="503" t="str">
        <f>IF(終値!A181="","",IF(AND(高値!I181&gt;高値!H181,高値!I181&gt;高値!G181,高値!I181&gt;高値!J181,高値!I181&gt;高値!K181),4,""))</f>
        <v/>
      </c>
      <c r="AF181" s="503">
        <f>IF(終値!A181="","",IF(AND(高値!J181&gt;高値!I181,高値!J181&gt;高値!H181,高値!J181&gt;高値!K181,高値!J181&gt;高値!L181),5,""))</f>
        <v>5</v>
      </c>
      <c r="AG181" s="503" t="str">
        <f>IF(終値!A181="","",IF(AND(高値!K181&gt;高値!J181,高値!K181&gt;高値!I181,高値!K181&gt;高値!L181,高値!K181&gt;高値!M181),6,""))</f>
        <v/>
      </c>
      <c r="AH181" s="503" t="str">
        <f>IF(終値!A181="","",IF(AND(高値!L181&gt;高値!K181,高値!L181&gt;高値!J181,高値!L181&gt;高値!M181,高値!L181&gt;高値!N181),7,""))</f>
        <v/>
      </c>
      <c r="AI181" s="503" t="str">
        <f>IF(終値!A181="","",IF(AND(高値!M181&gt;高値!L181,高値!M181&gt;高値!K181,高値!M181&gt;高値!N181,高値!M181&gt;高値!O181),8,""))</f>
        <v/>
      </c>
      <c r="AJ181" s="503" t="str">
        <f>IF(終値!A181="","",IF(AND(高値!N181&gt;高値!M181,高値!N181&gt;高値!L181,高値!N181&gt;高値!O181,高値!N181&gt;高値!P181),9,""))</f>
        <v/>
      </c>
      <c r="AK181" s="503" t="str">
        <f>IF(終値!A181="","",IF(AND(高値!O181&gt;高値!N181,高値!O181&gt;高値!M181,高値!O181&gt;高値!P181,高値!O181&gt;高値!Q181),10,""))</f>
        <v/>
      </c>
      <c r="AL181" s="503" t="str">
        <f>IF(終値!A181="","",IF(AND(高値!P181&gt;高値!O181,高値!P181&gt;高値!N181,高値!P181&gt;高値!Q181,高値!P181&gt;高値!R181),11,""))</f>
        <v/>
      </c>
      <c r="AM181" s="503" t="str">
        <f>IF(終値!A181="","",IF(AND(高値!Q181&gt;高値!P181,高値!Q181&gt;高値!O181,高値!Q181&gt;高値!R181,高値!Q181&gt;高値!S181),12,""))</f>
        <v/>
      </c>
      <c r="AN181" s="503" t="str">
        <f>IF(終値!A181="","",IF(AND(高値!R181&gt;高値!Q181,高値!R181&gt;高値!P181,高値!R181&gt;高値!S181,高値!R181&gt;高値!T181),13,""))</f>
        <v/>
      </c>
      <c r="AO181" s="503" t="str">
        <f>IF(終値!A181="","",IF(AND(高値!S181&gt;高値!R181,高値!S181&gt;高値!Q181,高値!S181&gt;高値!T181,高値!S181&gt;高値!U181),14,""))</f>
        <v/>
      </c>
      <c r="AP181" s="503" t="str">
        <f>IF(終値!A181="","",IF(AND(高値!T181&gt;高値!S181,高値!T181&gt;高値!R181,高値!T181&gt;高値!U181,高値!T181&gt;高値!V181),15,""))</f>
        <v/>
      </c>
      <c r="AQ181" s="503" t="str">
        <f>IF(終値!A181="","",IF(AND(高値!U181&gt;高値!T181,高値!U181&gt;高値!S181,高値!U181&gt;高値!V181,高値!U181&gt;高値!W181),16,""))</f>
        <v/>
      </c>
      <c r="AR181" s="503" t="str">
        <f>IF(終値!A181="","",IF(AND(高値!V181&gt;高値!U181,高値!V181&gt;高値!T181,高値!V181&gt;高値!W181,高値!V181&gt;高値!X181),17,""))</f>
        <v/>
      </c>
      <c r="AS181" s="503" t="str">
        <f>IF(終値!A181="","",IF(AND(高値!W181&gt;高値!V181,高値!W181&gt;高値!U181,高値!W181&gt;高値!X181,高値!W181&gt;高値!Y181),18,""))</f>
        <v/>
      </c>
      <c r="AT181" s="503" t="str">
        <f>IF(終値!A181="","",IF(AND(高値!X181&gt;高値!W181,高値!X181&gt;高値!V181,高値!X181&gt;高値!Y181,高値!X181&gt;高値!Z181),19,""))</f>
        <v/>
      </c>
      <c r="AU181" s="503" t="str">
        <f>IF(終値!A181="","",IF(AND(高値!Y181&gt;高値!X181,高値!Y181&gt;高値!W181,高値!Y181&gt;高値!Z181,高値!Y181&gt;高値!AA181),20,""))</f>
        <v/>
      </c>
      <c r="AV181" s="503">
        <f>IF(終値!A181="","",IF(AND(高値!Z181&gt;高値!Y181,高値!Z181&gt;高値!X181,高値!Z181&gt;高値!AA181,高値!Z181&gt;高値!AB181),21,""))</f>
        <v>21</v>
      </c>
      <c r="AW181" s="503" t="str">
        <f>IF(終値!A181="","",IF(AND(高値!AA181&gt;高値!Z181,高値!AA181&gt;高値!Y181,高値!AA181&gt;高値!AB181,高値!AA181&gt;高値!AC181),22,""))</f>
        <v/>
      </c>
      <c r="AX181" s="503" t="str">
        <f>IF(終値!A181="","",IF(AND(高値!AB181&gt;高値!AA181,高値!AB181&gt;高値!Z181,高値!AB181&gt;高値!AC181,高値!AB181&gt;高値!AD181),23,""))</f>
        <v/>
      </c>
      <c r="AY181" s="503" t="str">
        <f>IF(終値!A181="","",IF(AND(高値!AC181&gt;高値!AB181,高値!AC181&gt;高値!AA181,高値!AC181&gt;高値!AD181,高値!AC181&gt;高値!AE181),24,""))</f>
        <v/>
      </c>
      <c r="AZ181" s="503" t="str">
        <f>IF(終値!A181="","",IF(AND(高値!AD181&gt;高値!AC181,高値!AD181&gt;高値!AB181,高値!AD181&gt;高値!AE181,高値!AD181&gt;高値!AF181),25,""))</f>
        <v/>
      </c>
      <c r="BA181" s="503" t="str">
        <f>IF(終値!A181="","",IF(AND(高値!AE181&gt;高値!AD181,高値!AE181&gt;高値!AC181,高値!AE181&gt;高値!AF181,高値!AE181&gt;高値!AG181),26,""))</f>
        <v/>
      </c>
      <c r="BB181" s="503" t="str">
        <f>IF(終値!A181="","",IF(AND(高値!AF181&gt;高値!AE181,高値!AF181&gt;高値!AD181,高値!AF181&gt;高値!AG181,高値!AF181&gt;高値!AH181),27,""))</f>
        <v/>
      </c>
      <c r="BC181" s="503" t="str">
        <f>IF(終値!A181="","",IF(AND(高値!AG181&gt;高値!AF181,高値!AG181&gt;高値!AE181,高値!AG181&gt;高値!AH181,高値!AG181&gt;高値!AI181),28,""))</f>
        <v/>
      </c>
      <c r="BD181" s="503">
        <f t="shared" si="12"/>
        <v>2</v>
      </c>
      <c r="BE181" s="503">
        <f t="shared" si="13"/>
        <v>16</v>
      </c>
      <c r="BF181" s="503">
        <f t="shared" si="14"/>
        <v>24</v>
      </c>
      <c r="BG181" s="503">
        <f>IF($BE181="","",INDEX(安値!$E181:$CZ181,1,$BE181+1))</f>
        <v>881.1</v>
      </c>
      <c r="BH181" s="503">
        <f>IF($BF181="","",INDEX(安値!$E181:$CZ181,1,$BF181+1))</f>
        <v>860.9</v>
      </c>
      <c r="BI181" s="503">
        <f>IF($BF181="","",MAX(INDEX(高値!$E181:$CZ181,1,$BE181+1):INDEX(高値!$E181:$CZ181,1,$BF181+1)))</f>
        <v>922.7</v>
      </c>
      <c r="BJ181" s="503">
        <f>IF($BF181="","",AVERAGE(INDEX(終値!$E181:$CZ181,1,$BF181+1):INDEX(終値!$E181:$CZ181,1,$BF181+20))-2*STDEVP(INDEX(終値!$E181:$CZ181,1,$BF181+1):INDEX(終値!$E181:$CZ181,1,$BF181+20)))</f>
        <v>808.26030212202863</v>
      </c>
      <c r="BK181" s="503">
        <f>IF($BE181="","",AVERAGE(INDEX(終値!$E181:$CZ181,1,$BE181+1):INDEX(終値!$E181:$CZ181,1,$BE181+20))-2*STDEVP(INDEX(終値!$E181:$CZ181,1,$BE181+1):INDEX(終値!$E181:$CZ181,1,$BE181+20)))</f>
        <v>825.34883672676642</v>
      </c>
      <c r="BL181" s="503">
        <f t="shared" si="15"/>
        <v>2</v>
      </c>
      <c r="BM181" s="503">
        <f t="shared" si="16"/>
        <v>5</v>
      </c>
      <c r="BN181" s="503">
        <f t="shared" si="17"/>
        <v>21</v>
      </c>
      <c r="BO181" s="503">
        <f>IF($BM181="","",INDEX(高値!$E181:$CZ181,1,$BM181+1))</f>
        <v>1018.5</v>
      </c>
      <c r="BP181" s="503">
        <f>IF($BN181="","",INDEX(高値!$E181:$CZ181,1,$BN181+1))</f>
        <v>922.7</v>
      </c>
      <c r="BQ181" s="503">
        <f>IF($BN181="","",MIN(INDEX(安値!$E181:$CZ181,1,$BM181+1):INDEX(安値!$E181:$CZ181,1,$BN181+1)))</f>
        <v>881.1</v>
      </c>
      <c r="BR181" s="503">
        <f>IF($BN181="","",AVERAGE(INDEX(終値!$E181:$CZ181,1,$BN181+1):INDEX(終値!$E181:$CZ181,1,$BN181+20))+2*STDEVP(INDEX(終値!$E181:$CZ181,1,$BN181+1):INDEX(終値!$E181:$CZ181,1,$BN181+20)))</f>
        <v>903.18215880014736</v>
      </c>
      <c r="BS181" s="503">
        <f>IF($BM181="","",AVERAGE(INDEX(終値!$E181:$CZ181,1,$BM181+1):INDEX(終値!$E181:$CZ181,1,$BM181+20))+2*STDEVP(INDEX(終値!$E181:$CZ181,1,$BM181+1):INDEX(終値!$E181:$CZ181,1,$BM181+20)))</f>
        <v>988.22028595589825</v>
      </c>
      <c r="BT181" s="500"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二番底W形成</v>
      </c>
    </row>
    <row r="182" spans="2:72">
      <c r="B182" s="503" t="str">
        <f>IF(終値!A182="","",IF(AND(安値!G182&lt;安値!F182,安値!G182&lt;安値!E182,安値!G182&lt;安値!H182,安値!G182&lt;安値!I182),2,""))</f>
        <v/>
      </c>
      <c r="C182" s="503" t="str">
        <f>IF(終値!A182="","",IF(AND(安値!H182&lt;安値!G182,安値!H182&lt;安値!F182,安値!H182&lt;安値!I182,安値!H182&lt;安値!J182),3,""))</f>
        <v/>
      </c>
      <c r="D182" s="503" t="str">
        <f>IF(終値!A182="","",IF(AND(安値!I182&lt;安値!H182,安値!I182&lt;安値!G182,安値!I182&lt;安値!J182,安値!I182&lt;安値!K182),4,""))</f>
        <v/>
      </c>
      <c r="E182" s="503" t="str">
        <f>IF(終値!A182="","",IF(AND(安値!J182&lt;安値!I182,安値!J182&lt;安値!H182,安値!J182&lt;安値!K182,安値!J182&lt;安値!L182),5,""))</f>
        <v/>
      </c>
      <c r="F182" s="503" t="str">
        <f>IF(終値!A182="","",IF(AND(安値!K182&lt;安値!J182,安値!K182&lt;安値!I182,安値!K182&lt;安値!L182,安値!K182&lt;安値!M182),6,""))</f>
        <v/>
      </c>
      <c r="G182" s="503" t="str">
        <f>IF(終値!A182="","",IF(AND(安値!L182&lt;安値!K182,安値!L182&lt;安値!J182,安値!L182&lt;安値!M182,安値!L182&lt;安値!N182),7,""))</f>
        <v/>
      </c>
      <c r="H182" s="503" t="str">
        <f>IF(終値!A182="","",IF(AND(安値!M182&lt;安値!L182,安値!M182&lt;安値!K182,安値!M182&lt;安値!N182,安値!M182&lt;安値!O182),8,""))</f>
        <v/>
      </c>
      <c r="I182" s="503" t="str">
        <f>IF(終値!A182="","",IF(AND(安値!N182&lt;安値!M182,安値!N182&lt;安値!L182,安値!N182&lt;安値!O182,安値!N182&lt;安値!P182),9,""))</f>
        <v/>
      </c>
      <c r="J182" s="503" t="str">
        <f>IF(終値!A182="","",IF(AND(安値!O182&lt;安値!N182,安値!O182&lt;安値!M182,安値!O182&lt;安値!P182,安値!O182&lt;安値!Q182),10,""))</f>
        <v/>
      </c>
      <c r="K182" s="503" t="str">
        <f>IF(終値!A182="","",IF(AND(安値!P182&lt;安値!O182,安値!P182&lt;安値!N182,安値!P182&lt;安値!Q182,安値!P182&lt;安値!R182),11,""))</f>
        <v/>
      </c>
      <c r="L182" s="503" t="str">
        <f>IF(終値!A182="","",IF(AND(安値!Q182&lt;安値!P182,安値!Q182&lt;安値!O182,安値!Q182&lt;安値!R182,安値!Q182&lt;安値!S182),12,""))</f>
        <v/>
      </c>
      <c r="M182" s="503" t="str">
        <f>IF(終値!A182="","",IF(AND(安値!R182&lt;安値!Q182,安値!R182&lt;安値!P182,安値!R182&lt;安値!S182,安値!R182&lt;安値!T182),13,""))</f>
        <v/>
      </c>
      <c r="N182" s="503" t="str">
        <f>IF(終値!A182="","",IF(AND(安値!S182&lt;安値!R182,安値!S182&lt;安値!Q182,安値!S182&lt;安値!T182,安値!S182&lt;安値!U182),14,""))</f>
        <v/>
      </c>
      <c r="O182" s="503" t="str">
        <f>IF(終値!A182="","",IF(AND(安値!T182&lt;安値!S182,安値!T182&lt;安値!R182,安値!T182&lt;安値!U182,安値!T182&lt;安値!V182),15,""))</f>
        <v/>
      </c>
      <c r="P182" s="503" t="str">
        <f>IF(終値!A182="","",IF(AND(安値!U182&lt;安値!T182,安値!U182&lt;安値!S182,安値!U182&lt;安値!V182,安値!U182&lt;安値!W182),16,""))</f>
        <v/>
      </c>
      <c r="Q182" s="503" t="str">
        <f>IF(終値!A182="","",IF(AND(安値!V182&lt;安値!U182,安値!V182&lt;安値!T182,安値!V182&lt;安値!W182,安値!V182&lt;安値!X182),17,""))</f>
        <v/>
      </c>
      <c r="R182" s="503">
        <f>IF(終値!A182="","",IF(AND(安値!W182&lt;安値!V182,安値!W182&lt;安値!U182,安値!W182&lt;安値!X182,安値!W182&lt;安値!Y182),18,""))</f>
        <v>18</v>
      </c>
      <c r="S182" s="503" t="str">
        <f>IF(終値!A182="","",IF(AND(安値!X182&lt;安値!W182,安値!X182&lt;安値!V182,安値!X182&lt;安値!Y182,安値!X182&lt;安値!Z182),19,""))</f>
        <v/>
      </c>
      <c r="T182" s="503" t="str">
        <f>IF(終値!A182="","",IF(AND(安値!Y182&lt;安値!X182,安値!Y182&lt;安値!W182,安値!Y182&lt;安値!Z182,安値!Y182&lt;安値!AA182),20,""))</f>
        <v/>
      </c>
      <c r="U182" s="503" t="str">
        <f>IF(終値!A182="","",IF(AND(安値!Z182&lt;安値!Y182,安値!Z182&lt;安値!X182,安値!Z182&lt;安値!AA182,安値!Z182&lt;安値!AB182),21,""))</f>
        <v/>
      </c>
      <c r="V182" s="503" t="str">
        <f>IF(終値!A182="","",IF(AND(安値!AA182&lt;安値!Z182,安値!AA182&lt;安値!Y182,安値!AA182&lt;安値!AB182,安値!AA182&lt;安値!AC182),22,""))</f>
        <v/>
      </c>
      <c r="W182" s="503" t="str">
        <f>IF(終値!A182="","",IF(AND(安値!AB182&lt;安値!AA182,安値!AB182&lt;安値!Z182,安値!AB182&lt;安値!AC182,安値!AB182&lt;安値!AD182),23,""))</f>
        <v/>
      </c>
      <c r="X182" s="503">
        <f>IF(終値!A182="","",IF(AND(安値!AC182&lt;安値!AB182,安値!AC182&lt;安値!AA182,安値!AC182&lt;安値!AD182,安値!AC182&lt;安値!AE182),24,""))</f>
        <v>24</v>
      </c>
      <c r="Y182" s="503" t="str">
        <f>IF(終値!A182="","",IF(AND(安値!AD182&lt;安値!AC182,安値!AD182&lt;安値!AB182,安値!AD182&lt;安値!AE182,安値!AD182&lt;安値!AF182),25,""))</f>
        <v/>
      </c>
      <c r="Z182" s="503" t="str">
        <f>IF(終値!A182="","",IF(AND(安値!AE182&lt;安値!AD182,安値!AE182&lt;安値!AC182,安値!AE182&lt;安値!AF182,安値!AE182&lt;安値!AG182),26,""))</f>
        <v/>
      </c>
      <c r="AA182" s="503">
        <f>IF(終値!A182="","",IF(AND(安値!AF182&lt;安値!AE182,安値!AF182&lt;安値!AD182,安値!AF182&lt;安値!AG182,安値!AF182&lt;安値!AH182),27,""))</f>
        <v>27</v>
      </c>
      <c r="AB182" s="503" t="str">
        <f>IF(終値!A182="","",IF(AND(安値!AG182&lt;安値!AF182,安値!AG182&lt;安値!AE182,安値!AG182&lt;安値!AH182,安値!AG182&lt;安値!AI182),28,""))</f>
        <v/>
      </c>
      <c r="AC182" s="503" t="str">
        <f>IF(終値!A182="","",IF(AND(高値!G182&gt;高値!F182,高値!G182&gt;高値!E182,高値!G182&gt;高値!H182,高値!G182&gt;高値!I182),2,""))</f>
        <v/>
      </c>
      <c r="AD182" s="503" t="str">
        <f>IF(終値!A182="","",IF(AND(高値!H182&gt;高値!G182,高値!H182&gt;高値!F182,高値!H182&gt;高値!I182,高値!H182&gt;高値!J182),3,""))</f>
        <v/>
      </c>
      <c r="AE182" s="503">
        <f>IF(終値!A182="","",IF(AND(高値!I182&gt;高値!H182,高値!I182&gt;高値!G182,高値!I182&gt;高値!J182,高値!I182&gt;高値!K182),4,""))</f>
        <v>4</v>
      </c>
      <c r="AF182" s="503" t="str">
        <f>IF(終値!A182="","",IF(AND(高値!J182&gt;高値!I182,高値!J182&gt;高値!H182,高値!J182&gt;高値!K182,高値!J182&gt;高値!L182),5,""))</f>
        <v/>
      </c>
      <c r="AG182" s="503" t="str">
        <f>IF(終値!A182="","",IF(AND(高値!K182&gt;高値!J182,高値!K182&gt;高値!I182,高値!K182&gt;高値!L182,高値!K182&gt;高値!M182),6,""))</f>
        <v/>
      </c>
      <c r="AH182" s="503" t="str">
        <f>IF(終値!A182="","",IF(AND(高値!L182&gt;高値!K182,高値!L182&gt;高値!J182,高値!L182&gt;高値!M182,高値!L182&gt;高値!N182),7,""))</f>
        <v/>
      </c>
      <c r="AI182" s="503" t="str">
        <f>IF(終値!A182="","",IF(AND(高値!M182&gt;高値!L182,高値!M182&gt;高値!K182,高値!M182&gt;高値!N182,高値!M182&gt;高値!O182),8,""))</f>
        <v/>
      </c>
      <c r="AJ182" s="503" t="str">
        <f>IF(終値!A182="","",IF(AND(高値!N182&gt;高値!M182,高値!N182&gt;高値!L182,高値!N182&gt;高値!O182,高値!N182&gt;高値!P182),9,""))</f>
        <v/>
      </c>
      <c r="AK182" s="503" t="str">
        <f>IF(終値!A182="","",IF(AND(高値!O182&gt;高値!N182,高値!O182&gt;高値!M182,高値!O182&gt;高値!P182,高値!O182&gt;高値!Q182),10,""))</f>
        <v/>
      </c>
      <c r="AL182" s="503">
        <f>IF(終値!A182="","",IF(AND(高値!P182&gt;高値!O182,高値!P182&gt;高値!N182,高値!P182&gt;高値!Q182,高値!P182&gt;高値!R182),11,""))</f>
        <v>11</v>
      </c>
      <c r="AM182" s="503" t="str">
        <f>IF(終値!A182="","",IF(AND(高値!Q182&gt;高値!P182,高値!Q182&gt;高値!O182,高値!Q182&gt;高値!R182,高値!Q182&gt;高値!S182),12,""))</f>
        <v/>
      </c>
      <c r="AN182" s="503" t="str">
        <f>IF(終値!A182="","",IF(AND(高値!R182&gt;高値!Q182,高値!R182&gt;高値!P182,高値!R182&gt;高値!S182,高値!R182&gt;高値!T182),13,""))</f>
        <v/>
      </c>
      <c r="AO182" s="503" t="str">
        <f>IF(終値!A182="","",IF(AND(高値!S182&gt;高値!R182,高値!S182&gt;高値!Q182,高値!S182&gt;高値!T182,高値!S182&gt;高値!U182),14,""))</f>
        <v/>
      </c>
      <c r="AP182" s="503" t="str">
        <f>IF(終値!A182="","",IF(AND(高値!T182&gt;高値!S182,高値!T182&gt;高値!R182,高値!T182&gt;高値!U182,高値!T182&gt;高値!V182),15,""))</f>
        <v/>
      </c>
      <c r="AQ182" s="503" t="str">
        <f>IF(終値!A182="","",IF(AND(高値!U182&gt;高値!T182,高値!U182&gt;高値!S182,高値!U182&gt;高値!V182,高値!U182&gt;高値!W182),16,""))</f>
        <v/>
      </c>
      <c r="AR182" s="503" t="str">
        <f>IF(終値!A182="","",IF(AND(高値!V182&gt;高値!U182,高値!V182&gt;高値!T182,高値!V182&gt;高値!W182,高値!V182&gt;高値!X182),17,""))</f>
        <v/>
      </c>
      <c r="AS182" s="503" t="str">
        <f>IF(終値!A182="","",IF(AND(高値!W182&gt;高値!V182,高値!W182&gt;高値!U182,高値!W182&gt;高値!X182,高値!W182&gt;高値!Y182),18,""))</f>
        <v/>
      </c>
      <c r="AT182" s="503" t="str">
        <f>IF(終値!A182="","",IF(AND(高値!X182&gt;高値!W182,高値!X182&gt;高値!V182,高値!X182&gt;高値!Y182,高値!X182&gt;高値!Z182),19,""))</f>
        <v/>
      </c>
      <c r="AU182" s="503">
        <f>IF(終値!A182="","",IF(AND(高値!Y182&gt;高値!X182,高値!Y182&gt;高値!W182,高値!Y182&gt;高値!Z182,高値!Y182&gt;高値!AA182),20,""))</f>
        <v>20</v>
      </c>
      <c r="AV182" s="503" t="str">
        <f>IF(終値!A182="","",IF(AND(高値!Z182&gt;高値!Y182,高値!Z182&gt;高値!X182,高値!Z182&gt;高値!AA182,高値!Z182&gt;高値!AB182),21,""))</f>
        <v/>
      </c>
      <c r="AW182" s="503" t="str">
        <f>IF(終値!A182="","",IF(AND(高値!AA182&gt;高値!Z182,高値!AA182&gt;高値!Y182,高値!AA182&gt;高値!AB182,高値!AA182&gt;高値!AC182),22,""))</f>
        <v/>
      </c>
      <c r="AX182" s="503" t="str">
        <f>IF(終値!A182="","",IF(AND(高値!AB182&gt;高値!AA182,高値!AB182&gt;高値!Z182,高値!AB182&gt;高値!AC182,高値!AB182&gt;高値!AD182),23,""))</f>
        <v/>
      </c>
      <c r="AY182" s="503" t="str">
        <f>IF(終値!A182="","",IF(AND(高値!AC182&gt;高値!AB182,高値!AC182&gt;高値!AA182,高値!AC182&gt;高値!AD182,高値!AC182&gt;高値!AE182),24,""))</f>
        <v/>
      </c>
      <c r="AZ182" s="503" t="str">
        <f>IF(終値!A182="","",IF(AND(高値!AD182&gt;高値!AC182,高値!AD182&gt;高値!AB182,高値!AD182&gt;高値!AE182,高値!AD182&gt;高値!AF182),25,""))</f>
        <v/>
      </c>
      <c r="BA182" s="503" t="str">
        <f>IF(終値!A182="","",IF(AND(高値!AE182&gt;高値!AD182,高値!AE182&gt;高値!AC182,高値!AE182&gt;高値!AF182,高値!AE182&gt;高値!AG182),26,""))</f>
        <v/>
      </c>
      <c r="BB182" s="503" t="str">
        <f>IF(終値!A182="","",IF(AND(高値!AF182&gt;高値!AE182,高値!AF182&gt;高値!AD182,高値!AF182&gt;高値!AG182,高値!AF182&gt;高値!AH182),27,""))</f>
        <v/>
      </c>
      <c r="BC182" s="503">
        <f>IF(終値!A182="","",IF(AND(高値!AG182&gt;高値!AF182,高値!AG182&gt;高値!AE182,高値!AG182&gt;高値!AH182,高値!AG182&gt;高値!AI182),28,""))</f>
        <v>28</v>
      </c>
      <c r="BD182" s="503">
        <f t="shared" si="12"/>
        <v>3</v>
      </c>
      <c r="BE182" s="503">
        <f t="shared" si="13"/>
        <v>18</v>
      </c>
      <c r="BF182" s="503">
        <f t="shared" si="14"/>
        <v>24</v>
      </c>
      <c r="BG182" s="503">
        <f>IF($BE182="","",INDEX(安値!$E182:$CZ182,1,$BE182+1))</f>
        <v>2250</v>
      </c>
      <c r="BH182" s="503">
        <f>IF($BF182="","",INDEX(安値!$E182:$CZ182,1,$BF182+1))</f>
        <v>2264</v>
      </c>
      <c r="BI182" s="503">
        <f>IF($BF182="","",MAX(INDEX(高値!$E182:$CZ182,1,$BE182+1):INDEX(高値!$E182:$CZ182,1,$BF182+1)))</f>
        <v>2349</v>
      </c>
      <c r="BJ182" s="503">
        <f>IF($BF182="","",AVERAGE(INDEX(終値!$E182:$CZ182,1,$BF182+1):INDEX(終値!$E182:$CZ182,1,$BF182+20))-2*STDEVP(INDEX(終値!$E182:$CZ182,1,$BF182+1):INDEX(終値!$E182:$CZ182,1,$BF182+20)))</f>
        <v>2135.9389086357396</v>
      </c>
      <c r="BK182" s="503">
        <f>IF($BE182="","",AVERAGE(INDEX(終値!$E182:$CZ182,1,$BE182+1):INDEX(終値!$E182:$CZ182,1,$BE182+20))-2*STDEVP(INDEX(終値!$E182:$CZ182,1,$BE182+1):INDEX(終値!$E182:$CZ182,1,$BE182+20)))</f>
        <v>2192.3727863614713</v>
      </c>
      <c r="BL182" s="503">
        <f t="shared" si="15"/>
        <v>4</v>
      </c>
      <c r="BM182" s="503">
        <f t="shared" si="16"/>
        <v>4</v>
      </c>
      <c r="BN182" s="503">
        <f t="shared" si="17"/>
        <v>11</v>
      </c>
      <c r="BO182" s="503">
        <f>IF($BM182="","",INDEX(高値!$E182:$CZ182,1,$BM182+1))</f>
        <v>2406</v>
      </c>
      <c r="BP182" s="503">
        <f>IF($BN182="","",INDEX(高値!$E182:$CZ182,1,$BN182+1))</f>
        <v>2352</v>
      </c>
      <c r="BQ182" s="503">
        <f>IF($BN182="","",MIN(INDEX(安値!$E182:$CZ182,1,$BM182+1):INDEX(安値!$E182:$CZ182,1,$BN182+1)))</f>
        <v>2312</v>
      </c>
      <c r="BR182" s="503">
        <f>IF($BN182="","",AVERAGE(INDEX(終値!$E182:$CZ182,1,$BN182+1):INDEX(終値!$E182:$CZ182,1,$BN182+20))+2*STDEVP(INDEX(終値!$E182:$CZ182,1,$BN182+1):INDEX(終値!$E182:$CZ182,1,$BN182+20)))</f>
        <v>2343.4974011771947</v>
      </c>
      <c r="BS182" s="503">
        <f>IF($BM182="","",AVERAGE(INDEX(終値!$E182:$CZ182,1,$BM182+1):INDEX(終値!$E182:$CZ182,1,$BM182+20))+2*STDEVP(INDEX(終値!$E182:$CZ182,1,$BM182+1):INDEX(終値!$E182:$CZ182,1,$BM182+20)))</f>
        <v>2396.157927240326</v>
      </c>
      <c r="BT182" s="500"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二番底W▲</v>
      </c>
    </row>
    <row r="183" spans="2:72">
      <c r="B183" s="503" t="str">
        <f>IF(終値!A183="","",IF(AND(安値!G183&lt;安値!F183,安値!G183&lt;安値!E183,安値!G183&lt;安値!H183,安値!G183&lt;安値!I183),2,""))</f>
        <v/>
      </c>
      <c r="C183" s="503" t="str">
        <f>IF(終値!A183="","",IF(AND(安値!H183&lt;安値!G183,安値!H183&lt;安値!F183,安値!H183&lt;安値!I183,安値!H183&lt;安値!J183),3,""))</f>
        <v/>
      </c>
      <c r="D183" s="503" t="str">
        <f>IF(終値!A183="","",IF(AND(安値!I183&lt;安値!H183,安値!I183&lt;安値!G183,安値!I183&lt;安値!J183,安値!I183&lt;安値!K183),4,""))</f>
        <v/>
      </c>
      <c r="E183" s="503" t="str">
        <f>IF(終値!A183="","",IF(AND(安値!J183&lt;安値!I183,安値!J183&lt;安値!H183,安値!J183&lt;安値!K183,安値!J183&lt;安値!L183),5,""))</f>
        <v/>
      </c>
      <c r="F183" s="503">
        <f>IF(終値!A183="","",IF(AND(安値!K183&lt;安値!J183,安値!K183&lt;安値!I183,安値!K183&lt;安値!L183,安値!K183&lt;安値!M183),6,""))</f>
        <v>6</v>
      </c>
      <c r="G183" s="503" t="str">
        <f>IF(終値!A183="","",IF(AND(安値!L183&lt;安値!K183,安値!L183&lt;安値!J183,安値!L183&lt;安値!M183,安値!L183&lt;安値!N183),7,""))</f>
        <v/>
      </c>
      <c r="H183" s="503" t="str">
        <f>IF(終値!A183="","",IF(AND(安値!M183&lt;安値!L183,安値!M183&lt;安値!K183,安値!M183&lt;安値!N183,安値!M183&lt;安値!O183),8,""))</f>
        <v/>
      </c>
      <c r="I183" s="503" t="str">
        <f>IF(終値!A183="","",IF(AND(安値!N183&lt;安値!M183,安値!N183&lt;安値!L183,安値!N183&lt;安値!O183,安値!N183&lt;安値!P183),9,""))</f>
        <v/>
      </c>
      <c r="J183" s="503" t="str">
        <f>IF(終値!A183="","",IF(AND(安値!O183&lt;安値!N183,安値!O183&lt;安値!M183,安値!O183&lt;安値!P183,安値!O183&lt;安値!Q183),10,""))</f>
        <v/>
      </c>
      <c r="K183" s="503" t="str">
        <f>IF(終値!A183="","",IF(AND(安値!P183&lt;安値!O183,安値!P183&lt;安値!N183,安値!P183&lt;安値!Q183,安値!P183&lt;安値!R183),11,""))</f>
        <v/>
      </c>
      <c r="L183" s="503" t="str">
        <f>IF(終値!A183="","",IF(AND(安値!Q183&lt;安値!P183,安値!Q183&lt;安値!O183,安値!Q183&lt;安値!R183,安値!Q183&lt;安値!S183),12,""))</f>
        <v/>
      </c>
      <c r="M183" s="503">
        <f>IF(終値!A183="","",IF(AND(安値!R183&lt;安値!Q183,安値!R183&lt;安値!P183,安値!R183&lt;安値!S183,安値!R183&lt;安値!T183),13,""))</f>
        <v>13</v>
      </c>
      <c r="N183" s="503" t="str">
        <f>IF(終値!A183="","",IF(AND(安値!S183&lt;安値!R183,安値!S183&lt;安値!Q183,安値!S183&lt;安値!T183,安値!S183&lt;安値!U183),14,""))</f>
        <v/>
      </c>
      <c r="O183" s="503" t="str">
        <f>IF(終値!A183="","",IF(AND(安値!T183&lt;安値!S183,安値!T183&lt;安値!R183,安値!T183&lt;安値!U183,安値!T183&lt;安値!V183),15,""))</f>
        <v/>
      </c>
      <c r="P183" s="503" t="str">
        <f>IF(終値!A183="","",IF(AND(安値!U183&lt;安値!T183,安値!U183&lt;安値!S183,安値!U183&lt;安値!V183,安値!U183&lt;安値!W183),16,""))</f>
        <v/>
      </c>
      <c r="Q183" s="503" t="str">
        <f>IF(終値!A183="","",IF(AND(安値!V183&lt;安値!U183,安値!V183&lt;安値!T183,安値!V183&lt;安値!W183,安値!V183&lt;安値!X183),17,""))</f>
        <v/>
      </c>
      <c r="R183" s="503" t="str">
        <f>IF(終値!A183="","",IF(AND(安値!W183&lt;安値!V183,安値!W183&lt;安値!U183,安値!W183&lt;安値!X183,安値!W183&lt;安値!Y183),18,""))</f>
        <v/>
      </c>
      <c r="S183" s="503">
        <f>IF(終値!A183="","",IF(AND(安値!X183&lt;安値!W183,安値!X183&lt;安値!V183,安値!X183&lt;安値!Y183,安値!X183&lt;安値!Z183),19,""))</f>
        <v>19</v>
      </c>
      <c r="T183" s="503" t="str">
        <f>IF(終値!A183="","",IF(AND(安値!Y183&lt;安値!X183,安値!Y183&lt;安値!W183,安値!Y183&lt;安値!Z183,安値!Y183&lt;安値!AA183),20,""))</f>
        <v/>
      </c>
      <c r="U183" s="503" t="str">
        <f>IF(終値!A183="","",IF(AND(安値!Z183&lt;安値!Y183,安値!Z183&lt;安値!X183,安値!Z183&lt;安値!AA183,安値!Z183&lt;安値!AB183),21,""))</f>
        <v/>
      </c>
      <c r="V183" s="503">
        <f>IF(終値!A183="","",IF(AND(安値!AA183&lt;安値!Z183,安値!AA183&lt;安値!Y183,安値!AA183&lt;安値!AB183,安値!AA183&lt;安値!AC183),22,""))</f>
        <v>22</v>
      </c>
      <c r="W183" s="503" t="str">
        <f>IF(終値!A183="","",IF(AND(安値!AB183&lt;安値!AA183,安値!AB183&lt;安値!Z183,安値!AB183&lt;安値!AC183,安値!AB183&lt;安値!AD183),23,""))</f>
        <v/>
      </c>
      <c r="X183" s="503" t="str">
        <f>IF(終値!A183="","",IF(AND(安値!AC183&lt;安値!AB183,安値!AC183&lt;安値!AA183,安値!AC183&lt;安値!AD183,安値!AC183&lt;安値!AE183),24,""))</f>
        <v/>
      </c>
      <c r="Y183" s="503" t="str">
        <f>IF(終値!A183="","",IF(AND(安値!AD183&lt;安値!AC183,安値!AD183&lt;安値!AB183,安値!AD183&lt;安値!AE183,安値!AD183&lt;安値!AF183),25,""))</f>
        <v/>
      </c>
      <c r="Z183" s="503">
        <f>IF(終値!A183="","",IF(AND(安値!AE183&lt;安値!AD183,安値!AE183&lt;安値!AC183,安値!AE183&lt;安値!AF183,安値!AE183&lt;安値!AG183),26,""))</f>
        <v>26</v>
      </c>
      <c r="AA183" s="503" t="str">
        <f>IF(終値!A183="","",IF(AND(安値!AF183&lt;安値!AE183,安値!AF183&lt;安値!AD183,安値!AF183&lt;安値!AG183,安値!AF183&lt;安値!AH183),27,""))</f>
        <v/>
      </c>
      <c r="AB183" s="503" t="str">
        <f>IF(終値!A183="","",IF(AND(安値!AG183&lt;安値!AF183,安値!AG183&lt;安値!AE183,安値!AG183&lt;安値!AH183,安値!AG183&lt;安値!AI183),28,""))</f>
        <v/>
      </c>
      <c r="AC183" s="503" t="str">
        <f>IF(終値!A183="","",IF(AND(高値!G183&gt;高値!F183,高値!G183&gt;高値!E183,高値!G183&gt;高値!H183,高値!G183&gt;高値!I183),2,""))</f>
        <v/>
      </c>
      <c r="AD183" s="503" t="str">
        <f>IF(終値!A183="","",IF(AND(高値!H183&gt;高値!G183,高値!H183&gt;高値!F183,高値!H183&gt;高値!I183,高値!H183&gt;高値!J183),3,""))</f>
        <v/>
      </c>
      <c r="AE183" s="503" t="str">
        <f>IF(終値!A183="","",IF(AND(高値!I183&gt;高値!H183,高値!I183&gt;高値!G183,高値!I183&gt;高値!J183,高値!I183&gt;高値!K183),4,""))</f>
        <v/>
      </c>
      <c r="AF183" s="503" t="str">
        <f>IF(終値!A183="","",IF(AND(高値!J183&gt;高値!I183,高値!J183&gt;高値!H183,高値!J183&gt;高値!K183,高値!J183&gt;高値!L183),5,""))</f>
        <v/>
      </c>
      <c r="AG183" s="503" t="str">
        <f>IF(終値!A183="","",IF(AND(高値!K183&gt;高値!J183,高値!K183&gt;高値!I183,高値!K183&gt;高値!L183,高値!K183&gt;高値!M183),6,""))</f>
        <v/>
      </c>
      <c r="AH183" s="503" t="str">
        <f>IF(終値!A183="","",IF(AND(高値!L183&gt;高値!K183,高値!L183&gt;高値!J183,高値!L183&gt;高値!M183,高値!L183&gt;高値!N183),7,""))</f>
        <v/>
      </c>
      <c r="AI183" s="503" t="str">
        <f>IF(終値!A183="","",IF(AND(高値!M183&gt;高値!L183,高値!M183&gt;高値!K183,高値!M183&gt;高値!N183,高値!M183&gt;高値!O183),8,""))</f>
        <v/>
      </c>
      <c r="AJ183" s="503" t="str">
        <f>IF(終値!A183="","",IF(AND(高値!N183&gt;高値!M183,高値!N183&gt;高値!L183,高値!N183&gt;高値!O183,高値!N183&gt;高値!P183),9,""))</f>
        <v/>
      </c>
      <c r="AK183" s="503" t="str">
        <f>IF(終値!A183="","",IF(AND(高値!O183&gt;高値!N183,高値!O183&gt;高値!M183,高値!O183&gt;高値!P183,高値!O183&gt;高値!Q183),10,""))</f>
        <v/>
      </c>
      <c r="AL183" s="503">
        <f>IF(終値!A183="","",IF(AND(高値!P183&gt;高値!O183,高値!P183&gt;高値!N183,高値!P183&gt;高値!Q183,高値!P183&gt;高値!R183),11,""))</f>
        <v>11</v>
      </c>
      <c r="AM183" s="503" t="str">
        <f>IF(終値!A183="","",IF(AND(高値!Q183&gt;高値!P183,高値!Q183&gt;高値!O183,高値!Q183&gt;高値!R183,高値!Q183&gt;高値!S183),12,""))</f>
        <v/>
      </c>
      <c r="AN183" s="503" t="str">
        <f>IF(終値!A183="","",IF(AND(高値!R183&gt;高値!Q183,高値!R183&gt;高値!P183,高値!R183&gt;高値!S183,高値!R183&gt;高値!T183),13,""))</f>
        <v/>
      </c>
      <c r="AO183" s="503" t="str">
        <f>IF(終値!A183="","",IF(AND(高値!S183&gt;高値!R183,高値!S183&gt;高値!Q183,高値!S183&gt;高値!T183,高値!S183&gt;高値!U183),14,""))</f>
        <v/>
      </c>
      <c r="AP183" s="503" t="str">
        <f>IF(終値!A183="","",IF(AND(高値!T183&gt;高値!S183,高値!T183&gt;高値!R183,高値!T183&gt;高値!U183,高値!T183&gt;高値!V183),15,""))</f>
        <v/>
      </c>
      <c r="AQ183" s="503" t="str">
        <f>IF(終値!A183="","",IF(AND(高値!U183&gt;高値!T183,高値!U183&gt;高値!S183,高値!U183&gt;高値!V183,高値!U183&gt;高値!W183),16,""))</f>
        <v/>
      </c>
      <c r="AR183" s="503">
        <f>IF(終値!A183="","",IF(AND(高値!V183&gt;高値!U183,高値!V183&gt;高値!T183,高値!V183&gt;高値!W183,高値!V183&gt;高値!X183),17,""))</f>
        <v>17</v>
      </c>
      <c r="AS183" s="503" t="str">
        <f>IF(終値!A183="","",IF(AND(高値!W183&gt;高値!V183,高値!W183&gt;高値!U183,高値!W183&gt;高値!X183,高値!W183&gt;高値!Y183),18,""))</f>
        <v/>
      </c>
      <c r="AT183" s="503" t="str">
        <f>IF(終値!A183="","",IF(AND(高値!X183&gt;高値!W183,高値!X183&gt;高値!V183,高値!X183&gt;高値!Y183,高値!X183&gt;高値!Z183),19,""))</f>
        <v/>
      </c>
      <c r="AU183" s="503">
        <f>IF(終値!A183="","",IF(AND(高値!Y183&gt;高値!X183,高値!Y183&gt;高値!W183,高値!Y183&gt;高値!Z183,高値!Y183&gt;高値!AA183),20,""))</f>
        <v>20</v>
      </c>
      <c r="AV183" s="503" t="str">
        <f>IF(終値!A183="","",IF(AND(高値!Z183&gt;高値!Y183,高値!Z183&gt;高値!X183,高値!Z183&gt;高値!AA183,高値!Z183&gt;高値!AB183),21,""))</f>
        <v/>
      </c>
      <c r="AW183" s="503" t="str">
        <f>IF(終値!A183="","",IF(AND(高値!AA183&gt;高値!Z183,高値!AA183&gt;高値!Y183,高値!AA183&gt;高値!AB183,高値!AA183&gt;高値!AC183),22,""))</f>
        <v/>
      </c>
      <c r="AX183" s="503" t="str">
        <f>IF(終値!A183="","",IF(AND(高値!AB183&gt;高値!AA183,高値!AB183&gt;高値!Z183,高値!AB183&gt;高値!AC183,高値!AB183&gt;高値!AD183),23,""))</f>
        <v/>
      </c>
      <c r="AY183" s="503">
        <f>IF(終値!A183="","",IF(AND(高値!AC183&gt;高値!AB183,高値!AC183&gt;高値!AA183,高値!AC183&gt;高値!AD183,高値!AC183&gt;高値!AE183),24,""))</f>
        <v>24</v>
      </c>
      <c r="AZ183" s="503" t="str">
        <f>IF(終値!A183="","",IF(AND(高値!AD183&gt;高値!AC183,高値!AD183&gt;高値!AB183,高値!AD183&gt;高値!AE183,高値!AD183&gt;高値!AF183),25,""))</f>
        <v/>
      </c>
      <c r="BA183" s="503" t="str">
        <f>IF(終値!A183="","",IF(AND(高値!AE183&gt;高値!AD183,高値!AE183&gt;高値!AC183,高値!AE183&gt;高値!AF183,高値!AE183&gt;高値!AG183),26,""))</f>
        <v/>
      </c>
      <c r="BB183" s="503" t="str">
        <f>IF(終値!A183="","",IF(AND(高値!AF183&gt;高値!AE183,高値!AF183&gt;高値!AD183,高値!AF183&gt;高値!AG183,高値!AF183&gt;高値!AH183),27,""))</f>
        <v/>
      </c>
      <c r="BC183" s="503" t="str">
        <f>IF(終値!A183="","",IF(AND(高値!AG183&gt;高値!AF183,高値!AG183&gt;高値!AE183,高値!AG183&gt;高値!AH183,高値!AG183&gt;高値!AI183),28,""))</f>
        <v/>
      </c>
      <c r="BD183" s="503">
        <f t="shared" si="12"/>
        <v>5</v>
      </c>
      <c r="BE183" s="503">
        <f t="shared" si="13"/>
        <v>6</v>
      </c>
      <c r="BF183" s="503">
        <f t="shared" si="14"/>
        <v>13</v>
      </c>
      <c r="BG183" s="503">
        <f>IF($BE183="","",INDEX(安値!$E183:$CZ183,1,$BE183+1))</f>
        <v>11530</v>
      </c>
      <c r="BH183" s="503">
        <f>IF($BF183="","",INDEX(安値!$E183:$CZ183,1,$BF183+1))</f>
        <v>12960</v>
      </c>
      <c r="BI183" s="503">
        <f>IF($BF183="","",MAX(INDEX(高値!$E183:$CZ183,1,$BE183+1):INDEX(高値!$E183:$CZ183,1,$BF183+1)))</f>
        <v>14470</v>
      </c>
      <c r="BJ183" s="503">
        <f>IF($BF183="","",AVERAGE(INDEX(終値!$E183:$CZ183,1,$BF183+1):INDEX(終値!$E183:$CZ183,1,$BF183+20))-2*STDEVP(INDEX(終値!$E183:$CZ183,1,$BF183+1):INDEX(終値!$E183:$CZ183,1,$BF183+20)))</f>
        <v>13727.116955654143</v>
      </c>
      <c r="BK183" s="503">
        <f>IF($BE183="","",AVERAGE(INDEX(終値!$E183:$CZ183,1,$BE183+1):INDEX(終値!$E183:$CZ183,1,$BE183+20))-2*STDEVP(INDEX(終値!$E183:$CZ183,1,$BE183+1):INDEX(終値!$E183:$CZ183,1,$BE183+20)))</f>
        <v>12252.457829104322</v>
      </c>
      <c r="BL183" s="503">
        <f t="shared" si="15"/>
        <v>4</v>
      </c>
      <c r="BM183" s="503">
        <f t="shared" si="16"/>
        <v>11</v>
      </c>
      <c r="BN183" s="503">
        <f t="shared" si="17"/>
        <v>17</v>
      </c>
      <c r="BO183" s="503">
        <f>IF($BM183="","",INDEX(高値!$E183:$CZ183,1,$BM183+1))</f>
        <v>14470</v>
      </c>
      <c r="BP183" s="503">
        <f>IF($BN183="","",INDEX(高値!$E183:$CZ183,1,$BN183+1))</f>
        <v>15610</v>
      </c>
      <c r="BQ183" s="503">
        <f>IF($BN183="","",MIN(INDEX(安値!$E183:$CZ183,1,$BM183+1):INDEX(安値!$E183:$CZ183,1,$BN183+1)))</f>
        <v>12960</v>
      </c>
      <c r="BR183" s="503">
        <f>IF($BN183="","",AVERAGE(INDEX(終値!$E183:$CZ183,1,$BN183+1):INDEX(終値!$E183:$CZ183,1,$BN183+20))+2*STDEVP(INDEX(終値!$E183:$CZ183,1,$BN183+1):INDEX(終値!$E183:$CZ183,1,$BN183+20)))</f>
        <v>17015.887267194081</v>
      </c>
      <c r="BS183" s="503">
        <f>IF($BM183="","",AVERAGE(INDEX(終値!$E183:$CZ183,1,$BM183+1):INDEX(終値!$E183:$CZ183,1,$BM183+20))+2*STDEVP(INDEX(終値!$E183:$CZ183,1,$BM183+1):INDEX(終値!$E183:$CZ183,1,$BM183+20)))</f>
        <v>16789.990691067425</v>
      </c>
      <c r="BT183" s="500"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3" t="str">
        <f>IF(終値!A184="","",IF(AND(安値!G184&lt;安値!F184,安値!G184&lt;安値!E184,安値!G184&lt;安値!H184,安値!G184&lt;安値!I184),2,""))</f>
        <v/>
      </c>
      <c r="C184" s="503" t="str">
        <f>IF(終値!A184="","",IF(AND(安値!H184&lt;安値!G184,安値!H184&lt;安値!F184,安値!H184&lt;安値!I184,安値!H184&lt;安値!J184),3,""))</f>
        <v/>
      </c>
      <c r="D184" s="503" t="str">
        <f>IF(終値!A184="","",IF(AND(安値!I184&lt;安値!H184,安値!I184&lt;安値!G184,安値!I184&lt;安値!J184,安値!I184&lt;安値!K184),4,""))</f>
        <v/>
      </c>
      <c r="E184" s="503" t="str">
        <f>IF(終値!A184="","",IF(AND(安値!J184&lt;安値!I184,安値!J184&lt;安値!H184,安値!J184&lt;安値!K184,安値!J184&lt;安値!L184),5,""))</f>
        <v/>
      </c>
      <c r="F184" s="503" t="str">
        <f>IF(終値!A184="","",IF(AND(安値!K184&lt;安値!J184,安値!K184&lt;安値!I184,安値!K184&lt;安値!L184,安値!K184&lt;安値!M184),6,""))</f>
        <v/>
      </c>
      <c r="G184" s="503" t="str">
        <f>IF(終値!A184="","",IF(AND(安値!L184&lt;安値!K184,安値!L184&lt;安値!J184,安値!L184&lt;安値!M184,安値!L184&lt;安値!N184),7,""))</f>
        <v/>
      </c>
      <c r="H184" s="503" t="str">
        <f>IF(終値!A184="","",IF(AND(安値!M184&lt;安値!L184,安値!M184&lt;安値!K184,安値!M184&lt;安値!N184,安値!M184&lt;安値!O184),8,""))</f>
        <v/>
      </c>
      <c r="I184" s="503" t="str">
        <f>IF(終値!A184="","",IF(AND(安値!N184&lt;安値!M184,安値!N184&lt;安値!L184,安値!N184&lt;安値!O184,安値!N184&lt;安値!P184),9,""))</f>
        <v/>
      </c>
      <c r="J184" s="503" t="str">
        <f>IF(終値!A184="","",IF(AND(安値!O184&lt;安値!N184,安値!O184&lt;安値!M184,安値!O184&lt;安値!P184,安値!O184&lt;安値!Q184),10,""))</f>
        <v/>
      </c>
      <c r="K184" s="503" t="str">
        <f>IF(終値!A184="","",IF(AND(安値!P184&lt;安値!O184,安値!P184&lt;安値!N184,安値!P184&lt;安値!Q184,安値!P184&lt;安値!R184),11,""))</f>
        <v/>
      </c>
      <c r="L184" s="503" t="str">
        <f>IF(終値!A184="","",IF(AND(安値!Q184&lt;安値!P184,安値!Q184&lt;安値!O184,安値!Q184&lt;安値!R184,安値!Q184&lt;安値!S184),12,""))</f>
        <v/>
      </c>
      <c r="M184" s="503" t="str">
        <f>IF(終値!A184="","",IF(AND(安値!R184&lt;安値!Q184,安値!R184&lt;安値!P184,安値!R184&lt;安値!S184,安値!R184&lt;安値!T184),13,""))</f>
        <v/>
      </c>
      <c r="N184" s="503" t="str">
        <f>IF(終値!A184="","",IF(AND(安値!S184&lt;安値!R184,安値!S184&lt;安値!Q184,安値!S184&lt;安値!T184,安値!S184&lt;安値!U184),14,""))</f>
        <v/>
      </c>
      <c r="O184" s="503" t="str">
        <f>IF(終値!A184="","",IF(AND(安値!T184&lt;安値!S184,安値!T184&lt;安値!R184,安値!T184&lt;安値!U184,安値!T184&lt;安値!V184),15,""))</f>
        <v/>
      </c>
      <c r="P184" s="503" t="str">
        <f>IF(終値!A184="","",IF(AND(安値!U184&lt;安値!T184,安値!U184&lt;安値!S184,安値!U184&lt;安値!V184,安値!U184&lt;安値!W184),16,""))</f>
        <v/>
      </c>
      <c r="Q184" s="503" t="str">
        <f>IF(終値!A184="","",IF(AND(安値!V184&lt;安値!U184,安値!V184&lt;安値!T184,安値!V184&lt;安値!W184,安値!V184&lt;安値!X184),17,""))</f>
        <v/>
      </c>
      <c r="R184" s="503" t="str">
        <f>IF(終値!A184="","",IF(AND(安値!W184&lt;安値!V184,安値!W184&lt;安値!U184,安値!W184&lt;安値!X184,安値!W184&lt;安値!Y184),18,""))</f>
        <v/>
      </c>
      <c r="S184" s="503" t="str">
        <f>IF(終値!A184="","",IF(AND(安値!X184&lt;安値!W184,安値!X184&lt;安値!V184,安値!X184&lt;安値!Y184,安値!X184&lt;安値!Z184),19,""))</f>
        <v/>
      </c>
      <c r="T184" s="503" t="str">
        <f>IF(終値!A184="","",IF(AND(安値!Y184&lt;安値!X184,安値!Y184&lt;安値!W184,安値!Y184&lt;安値!Z184,安値!Y184&lt;安値!AA184),20,""))</f>
        <v/>
      </c>
      <c r="U184" s="503" t="str">
        <f>IF(終値!A184="","",IF(AND(安値!Z184&lt;安値!Y184,安値!Z184&lt;安値!X184,安値!Z184&lt;安値!AA184,安値!Z184&lt;安値!AB184),21,""))</f>
        <v/>
      </c>
      <c r="V184" s="503" t="str">
        <f>IF(終値!A184="","",IF(AND(安値!AA184&lt;安値!Z184,安値!AA184&lt;安値!Y184,安値!AA184&lt;安値!AB184,安値!AA184&lt;安値!AC184),22,""))</f>
        <v/>
      </c>
      <c r="W184" s="503" t="str">
        <f>IF(終値!A184="","",IF(AND(安値!AB184&lt;安値!AA184,安値!AB184&lt;安値!Z184,安値!AB184&lt;安値!AC184,安値!AB184&lt;安値!AD184),23,""))</f>
        <v/>
      </c>
      <c r="X184" s="503">
        <f>IF(終値!A184="","",IF(AND(安値!AC184&lt;安値!AB184,安値!AC184&lt;安値!AA184,安値!AC184&lt;安値!AD184,安値!AC184&lt;安値!AE184),24,""))</f>
        <v>24</v>
      </c>
      <c r="Y184" s="503" t="str">
        <f>IF(終値!A184="","",IF(AND(安値!AD184&lt;安値!AC184,安値!AD184&lt;安値!AB184,安値!AD184&lt;安値!AE184,安値!AD184&lt;安値!AF184),25,""))</f>
        <v/>
      </c>
      <c r="Z184" s="503" t="str">
        <f>IF(終値!A184="","",IF(AND(安値!AE184&lt;安値!AD184,安値!AE184&lt;安値!AC184,安値!AE184&lt;安値!AF184,安値!AE184&lt;安値!AG184),26,""))</f>
        <v/>
      </c>
      <c r="AA184" s="503" t="str">
        <f>IF(終値!A184="","",IF(AND(安値!AF184&lt;安値!AE184,安値!AF184&lt;安値!AD184,安値!AF184&lt;安値!AG184,安値!AF184&lt;安値!AH184),27,""))</f>
        <v/>
      </c>
      <c r="AB184" s="503" t="str">
        <f>IF(終値!A184="","",IF(AND(安値!AG184&lt;安値!AF184,安値!AG184&lt;安値!AE184,安値!AG184&lt;安値!AH184,安値!AG184&lt;安値!AI184),28,""))</f>
        <v/>
      </c>
      <c r="AC184" s="503" t="str">
        <f>IF(終値!A184="","",IF(AND(高値!G184&gt;高値!F184,高値!G184&gt;高値!E184,高値!G184&gt;高値!H184,高値!G184&gt;高値!I184),2,""))</f>
        <v/>
      </c>
      <c r="AD184" s="503" t="str">
        <f>IF(終値!A184="","",IF(AND(高値!H184&gt;高値!G184,高値!H184&gt;高値!F184,高値!H184&gt;高値!I184,高値!H184&gt;高値!J184),3,""))</f>
        <v/>
      </c>
      <c r="AE184" s="503" t="str">
        <f>IF(終値!A184="","",IF(AND(高値!I184&gt;高値!H184,高値!I184&gt;高値!G184,高値!I184&gt;高値!J184,高値!I184&gt;高値!K184),4,""))</f>
        <v/>
      </c>
      <c r="AF184" s="503" t="str">
        <f>IF(終値!A184="","",IF(AND(高値!J184&gt;高値!I184,高値!J184&gt;高値!H184,高値!J184&gt;高値!K184,高値!J184&gt;高値!L184),5,""))</f>
        <v/>
      </c>
      <c r="AG184" s="503">
        <f>IF(終値!A184="","",IF(AND(高値!K184&gt;高値!J184,高値!K184&gt;高値!I184,高値!K184&gt;高値!L184,高値!K184&gt;高値!M184),6,""))</f>
        <v>6</v>
      </c>
      <c r="AH184" s="503" t="str">
        <f>IF(終値!A184="","",IF(AND(高値!L184&gt;高値!K184,高値!L184&gt;高値!J184,高値!L184&gt;高値!M184,高値!L184&gt;高値!N184),7,""))</f>
        <v/>
      </c>
      <c r="AI184" s="503" t="str">
        <f>IF(終値!A184="","",IF(AND(高値!M184&gt;高値!L184,高値!M184&gt;高値!K184,高値!M184&gt;高値!N184,高値!M184&gt;高値!O184),8,""))</f>
        <v/>
      </c>
      <c r="AJ184" s="503" t="str">
        <f>IF(終値!A184="","",IF(AND(高値!N184&gt;高値!M184,高値!N184&gt;高値!L184,高値!N184&gt;高値!O184,高値!N184&gt;高値!P184),9,""))</f>
        <v/>
      </c>
      <c r="AK184" s="503" t="str">
        <f>IF(終値!A184="","",IF(AND(高値!O184&gt;高値!N184,高値!O184&gt;高値!M184,高値!O184&gt;高値!P184,高値!O184&gt;高値!Q184),10,""))</f>
        <v/>
      </c>
      <c r="AL184" s="503" t="str">
        <f>IF(終値!A184="","",IF(AND(高値!P184&gt;高値!O184,高値!P184&gt;高値!N184,高値!P184&gt;高値!Q184,高値!P184&gt;高値!R184),11,""))</f>
        <v/>
      </c>
      <c r="AM184" s="503">
        <f>IF(終値!A184="","",IF(AND(高値!Q184&gt;高値!P184,高値!Q184&gt;高値!O184,高値!Q184&gt;高値!R184,高値!Q184&gt;高値!S184),12,""))</f>
        <v>12</v>
      </c>
      <c r="AN184" s="503" t="str">
        <f>IF(終値!A184="","",IF(AND(高値!R184&gt;高値!Q184,高値!R184&gt;高値!P184,高値!R184&gt;高値!S184,高値!R184&gt;高値!T184),13,""))</f>
        <v/>
      </c>
      <c r="AO184" s="503" t="str">
        <f>IF(終値!A184="","",IF(AND(高値!S184&gt;高値!R184,高値!S184&gt;高値!Q184,高値!S184&gt;高値!T184,高値!S184&gt;高値!U184),14,""))</f>
        <v/>
      </c>
      <c r="AP184" s="503" t="str">
        <f>IF(終値!A184="","",IF(AND(高値!T184&gt;高値!S184,高値!T184&gt;高値!R184,高値!T184&gt;高値!U184,高値!T184&gt;高値!V184),15,""))</f>
        <v/>
      </c>
      <c r="AQ184" s="503" t="str">
        <f>IF(終値!A184="","",IF(AND(高値!U184&gt;高値!T184,高値!U184&gt;高値!S184,高値!U184&gt;高値!V184,高値!U184&gt;高値!W184),16,""))</f>
        <v/>
      </c>
      <c r="AR184" s="503" t="str">
        <f>IF(終値!A184="","",IF(AND(高値!V184&gt;高値!U184,高値!V184&gt;高値!T184,高値!V184&gt;高値!W184,高値!V184&gt;高値!X184),17,""))</f>
        <v/>
      </c>
      <c r="AS184" s="503" t="str">
        <f>IF(終値!A184="","",IF(AND(高値!W184&gt;高値!V184,高値!W184&gt;高値!U184,高値!W184&gt;高値!X184,高値!W184&gt;高値!Y184),18,""))</f>
        <v/>
      </c>
      <c r="AT184" s="503" t="str">
        <f>IF(終値!A184="","",IF(AND(高値!X184&gt;高値!W184,高値!X184&gt;高値!V184,高値!X184&gt;高値!Y184,高値!X184&gt;高値!Z184),19,""))</f>
        <v/>
      </c>
      <c r="AU184" s="503">
        <f>IF(終値!A184="","",IF(AND(高値!Y184&gt;高値!X184,高値!Y184&gt;高値!W184,高値!Y184&gt;高値!Z184,高値!Y184&gt;高値!AA184),20,""))</f>
        <v>20</v>
      </c>
      <c r="AV184" s="503" t="str">
        <f>IF(終値!A184="","",IF(AND(高値!Z184&gt;高値!Y184,高値!Z184&gt;高値!X184,高値!Z184&gt;高値!AA184,高値!Z184&gt;高値!AB184),21,""))</f>
        <v/>
      </c>
      <c r="AW184" s="503" t="str">
        <f>IF(終値!A184="","",IF(AND(高値!AA184&gt;高値!Z184,高値!AA184&gt;高値!Y184,高値!AA184&gt;高値!AB184,高値!AA184&gt;高値!AC184),22,""))</f>
        <v/>
      </c>
      <c r="AX184" s="503" t="str">
        <f>IF(終値!A184="","",IF(AND(高値!AB184&gt;高値!AA184,高値!AB184&gt;高値!Z184,高値!AB184&gt;高値!AC184,高値!AB184&gt;高値!AD184),23,""))</f>
        <v/>
      </c>
      <c r="AY184" s="503" t="str">
        <f>IF(終値!A184="","",IF(AND(高値!AC184&gt;高値!AB184,高値!AC184&gt;高値!AA184,高値!AC184&gt;高値!AD184,高値!AC184&gt;高値!AE184),24,""))</f>
        <v/>
      </c>
      <c r="AZ184" s="503" t="str">
        <f>IF(終値!A184="","",IF(AND(高値!AD184&gt;高値!AC184,高値!AD184&gt;高値!AB184,高値!AD184&gt;高値!AE184,高値!AD184&gt;高値!AF184),25,""))</f>
        <v/>
      </c>
      <c r="BA184" s="503" t="str">
        <f>IF(終値!A184="","",IF(AND(高値!AE184&gt;高値!AD184,高値!AE184&gt;高値!AC184,高値!AE184&gt;高値!AF184,高値!AE184&gt;高値!AG184),26,""))</f>
        <v/>
      </c>
      <c r="BB184" s="503" t="str">
        <f>IF(終値!A184="","",IF(AND(高値!AF184&gt;高値!AE184,高値!AF184&gt;高値!AD184,高値!AF184&gt;高値!AG184,高値!AF184&gt;高値!AH184),27,""))</f>
        <v/>
      </c>
      <c r="BC184" s="503" t="str">
        <f>IF(終値!A184="","",IF(AND(高値!AG184&gt;高値!AF184,高値!AG184&gt;高値!AE184,高値!AG184&gt;高値!AH184,高値!AG184&gt;高値!AI184),28,""))</f>
        <v/>
      </c>
      <c r="BD184" s="503">
        <f t="shared" si="12"/>
        <v>1</v>
      </c>
      <c r="BE184" s="503" t="str">
        <f t="shared" si="13"/>
        <v/>
      </c>
      <c r="BF184" s="503" t="str">
        <f t="shared" si="14"/>
        <v/>
      </c>
      <c r="BG184" s="503" t="str">
        <f>IF($BE184="","",INDEX(安値!$E184:$CZ184,1,$BE184+1))</f>
        <v/>
      </c>
      <c r="BH184" s="503" t="str">
        <f>IF($BF184="","",INDEX(安値!$E184:$CZ184,1,$BF184+1))</f>
        <v/>
      </c>
      <c r="BI184" s="503" t="str">
        <f>IF($BF184="","",MAX(INDEX(高値!$E184:$CZ184,1,$BE184+1):INDEX(高値!$E184:$CZ184,1,$BF184+1)))</f>
        <v/>
      </c>
      <c r="BJ184" s="503" t="str">
        <f>IF($BF184="","",AVERAGE(INDEX(終値!$E184:$CZ184,1,$BF184+1):INDEX(終値!$E184:$CZ184,1,$BF184+20))-2*STDEVP(INDEX(終値!$E184:$CZ184,1,$BF184+1):INDEX(終値!$E184:$CZ184,1,$BF184+20)))</f>
        <v/>
      </c>
      <c r="BK184" s="503" t="str">
        <f>IF($BE184="","",AVERAGE(INDEX(終値!$E184:$CZ184,1,$BE184+1):INDEX(終値!$E184:$CZ184,1,$BE184+20))-2*STDEVP(INDEX(終値!$E184:$CZ184,1,$BE184+1):INDEX(終値!$E184:$CZ184,1,$BE184+20)))</f>
        <v/>
      </c>
      <c r="BL184" s="503">
        <f t="shared" si="15"/>
        <v>3</v>
      </c>
      <c r="BM184" s="503">
        <f t="shared" si="16"/>
        <v>6</v>
      </c>
      <c r="BN184" s="503">
        <f t="shared" si="17"/>
        <v>12</v>
      </c>
      <c r="BO184" s="503">
        <f>IF($BM184="","",INDEX(高値!$E184:$CZ184,1,$BM184+1))</f>
        <v>4291</v>
      </c>
      <c r="BP184" s="503">
        <f>IF($BN184="","",INDEX(高値!$E184:$CZ184,1,$BN184+1))</f>
        <v>3880</v>
      </c>
      <c r="BQ184" s="503">
        <f>IF($BN184="","",MIN(INDEX(安値!$E184:$CZ184,1,$BM184+1):INDEX(安値!$E184:$CZ184,1,$BN184+1)))</f>
        <v>3735</v>
      </c>
      <c r="BR184" s="503">
        <f>IF($BN184="","",AVERAGE(INDEX(終値!$E184:$CZ184,1,$BN184+1):INDEX(終値!$E184:$CZ184,1,$BN184+20))+2*STDEVP(INDEX(終値!$E184:$CZ184,1,$BN184+1):INDEX(終値!$E184:$CZ184,1,$BN184+20)))</f>
        <v>3863.9203910884021</v>
      </c>
      <c r="BS184" s="503">
        <f>IF($BM184="","",AVERAGE(INDEX(終値!$E184:$CZ184,1,$BM184+1):INDEX(終値!$E184:$CZ184,1,$BM184+20))+2*STDEVP(INDEX(終値!$E184:$CZ184,1,$BM184+1):INDEX(終値!$E184:$CZ184,1,$BM184+20)))</f>
        <v>4152.7402282840994</v>
      </c>
      <c r="BT184" s="500"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3" t="str">
        <f>IF(終値!A185="","",IF(AND(安値!G185&lt;安値!F185,安値!G185&lt;安値!E185,安値!G185&lt;安値!H185,安値!G185&lt;安値!I185),2,""))</f>
        <v/>
      </c>
      <c r="C185" s="503" t="str">
        <f>IF(終値!A185="","",IF(AND(安値!H185&lt;安値!G185,安値!H185&lt;安値!F185,安値!H185&lt;安値!I185,安値!H185&lt;安値!J185),3,""))</f>
        <v/>
      </c>
      <c r="D185" s="503" t="str">
        <f>IF(終値!A185="","",IF(AND(安値!I185&lt;安値!H185,安値!I185&lt;安値!G185,安値!I185&lt;安値!J185,安値!I185&lt;安値!K185),4,""))</f>
        <v/>
      </c>
      <c r="E185" s="503" t="str">
        <f>IF(終値!A185="","",IF(AND(安値!J185&lt;安値!I185,安値!J185&lt;安値!H185,安値!J185&lt;安値!K185,安値!J185&lt;安値!L185),5,""))</f>
        <v/>
      </c>
      <c r="F185" s="503">
        <f>IF(終値!A185="","",IF(AND(安値!K185&lt;安値!J185,安値!K185&lt;安値!I185,安値!K185&lt;安値!L185,安値!K185&lt;安値!M185),6,""))</f>
        <v>6</v>
      </c>
      <c r="G185" s="503" t="str">
        <f>IF(終値!A185="","",IF(AND(安値!L185&lt;安値!K185,安値!L185&lt;安値!J185,安値!L185&lt;安値!M185,安値!L185&lt;安値!N185),7,""))</f>
        <v/>
      </c>
      <c r="H185" s="503" t="str">
        <f>IF(終値!A185="","",IF(AND(安値!M185&lt;安値!L185,安値!M185&lt;安値!K185,安値!M185&lt;安値!N185,安値!M185&lt;安値!O185),8,""))</f>
        <v/>
      </c>
      <c r="I185" s="503" t="str">
        <f>IF(終値!A185="","",IF(AND(安値!N185&lt;安値!M185,安値!N185&lt;安値!L185,安値!N185&lt;安値!O185,安値!N185&lt;安値!P185),9,""))</f>
        <v/>
      </c>
      <c r="J185" s="503" t="str">
        <f>IF(終値!A185="","",IF(AND(安値!O185&lt;安値!N185,安値!O185&lt;安値!M185,安値!O185&lt;安値!P185,安値!O185&lt;安値!Q185),10,""))</f>
        <v/>
      </c>
      <c r="K185" s="503" t="str">
        <f>IF(終値!A185="","",IF(AND(安値!P185&lt;安値!O185,安値!P185&lt;安値!N185,安値!P185&lt;安値!Q185,安値!P185&lt;安値!R185),11,""))</f>
        <v/>
      </c>
      <c r="L185" s="503" t="str">
        <f>IF(終値!A185="","",IF(AND(安値!Q185&lt;安値!P185,安値!Q185&lt;安値!O185,安値!Q185&lt;安値!R185,安値!Q185&lt;安値!S185),12,""))</f>
        <v/>
      </c>
      <c r="M185" s="503">
        <f>IF(終値!A185="","",IF(AND(安値!R185&lt;安値!Q185,安値!R185&lt;安値!P185,安値!R185&lt;安値!S185,安値!R185&lt;安値!T185),13,""))</f>
        <v>13</v>
      </c>
      <c r="N185" s="503" t="str">
        <f>IF(終値!A185="","",IF(AND(安値!S185&lt;安値!R185,安値!S185&lt;安値!Q185,安値!S185&lt;安値!T185,安値!S185&lt;安値!U185),14,""))</f>
        <v/>
      </c>
      <c r="O185" s="503" t="str">
        <f>IF(終値!A185="","",IF(AND(安値!T185&lt;安値!S185,安値!T185&lt;安値!R185,安値!T185&lt;安値!U185,安値!T185&lt;安値!V185),15,""))</f>
        <v/>
      </c>
      <c r="P185" s="503">
        <f>IF(終値!A185="","",IF(AND(安値!U185&lt;安値!T185,安値!U185&lt;安値!S185,安値!U185&lt;安値!V185,安値!U185&lt;安値!W185),16,""))</f>
        <v>16</v>
      </c>
      <c r="Q185" s="503" t="str">
        <f>IF(終値!A185="","",IF(AND(安値!V185&lt;安値!U185,安値!V185&lt;安値!T185,安値!V185&lt;安値!W185,安値!V185&lt;安値!X185),17,""))</f>
        <v/>
      </c>
      <c r="R185" s="503" t="str">
        <f>IF(終値!A185="","",IF(AND(安値!W185&lt;安値!V185,安値!W185&lt;安値!U185,安値!W185&lt;安値!X185,安値!W185&lt;安値!Y185),18,""))</f>
        <v/>
      </c>
      <c r="S185" s="503" t="str">
        <f>IF(終値!A185="","",IF(AND(安値!X185&lt;安値!W185,安値!X185&lt;安値!V185,安値!X185&lt;安値!Y185,安値!X185&lt;安値!Z185),19,""))</f>
        <v/>
      </c>
      <c r="T185" s="503" t="str">
        <f>IF(終値!A185="","",IF(AND(安値!Y185&lt;安値!X185,安値!Y185&lt;安値!W185,安値!Y185&lt;安値!Z185,安値!Y185&lt;安値!AA185),20,""))</f>
        <v/>
      </c>
      <c r="U185" s="503" t="str">
        <f>IF(終値!A185="","",IF(AND(安値!Z185&lt;安値!Y185,安値!Z185&lt;安値!X185,安値!Z185&lt;安値!AA185,安値!Z185&lt;安値!AB185),21,""))</f>
        <v/>
      </c>
      <c r="V185" s="503" t="str">
        <f>IF(終値!A185="","",IF(AND(安値!AA185&lt;安値!Z185,安値!AA185&lt;安値!Y185,安値!AA185&lt;安値!AB185,安値!AA185&lt;安値!AC185),22,""))</f>
        <v/>
      </c>
      <c r="W185" s="503" t="str">
        <f>IF(終値!A185="","",IF(AND(安値!AB185&lt;安値!AA185,安値!AB185&lt;安値!Z185,安値!AB185&lt;安値!AC185,安値!AB185&lt;安値!AD185),23,""))</f>
        <v/>
      </c>
      <c r="X185" s="503">
        <f>IF(終値!A185="","",IF(AND(安値!AC185&lt;安値!AB185,安値!AC185&lt;安値!AA185,安値!AC185&lt;安値!AD185,安値!AC185&lt;安値!AE185),24,""))</f>
        <v>24</v>
      </c>
      <c r="Y185" s="503" t="str">
        <f>IF(終値!A185="","",IF(AND(安値!AD185&lt;安値!AC185,安値!AD185&lt;安値!AB185,安値!AD185&lt;安値!AE185,安値!AD185&lt;安値!AF185),25,""))</f>
        <v/>
      </c>
      <c r="Z185" s="503" t="str">
        <f>IF(終値!A185="","",IF(AND(安値!AE185&lt;安値!AD185,安値!AE185&lt;安値!AC185,安値!AE185&lt;安値!AF185,安値!AE185&lt;安値!AG185),26,""))</f>
        <v/>
      </c>
      <c r="AA185" s="503" t="str">
        <f>IF(終値!A185="","",IF(AND(安値!AF185&lt;安値!AE185,安値!AF185&lt;安値!AD185,安値!AF185&lt;安値!AG185,安値!AF185&lt;安値!AH185),27,""))</f>
        <v/>
      </c>
      <c r="AB185" s="503" t="str">
        <f>IF(終値!A185="","",IF(AND(安値!AG185&lt;安値!AF185,安値!AG185&lt;安値!AE185,安値!AG185&lt;安値!AH185,安値!AG185&lt;安値!AI185),28,""))</f>
        <v/>
      </c>
      <c r="AC185" s="503" t="str">
        <f>IF(終値!A185="","",IF(AND(高値!G185&gt;高値!F185,高値!G185&gt;高値!E185,高値!G185&gt;高値!H185,高値!G185&gt;高値!I185),2,""))</f>
        <v/>
      </c>
      <c r="AD185" s="503">
        <f>IF(終値!A185="","",IF(AND(高値!H185&gt;高値!G185,高値!H185&gt;高値!F185,高値!H185&gt;高値!I185,高値!H185&gt;高値!J185),3,""))</f>
        <v>3</v>
      </c>
      <c r="AE185" s="503" t="str">
        <f>IF(終値!A185="","",IF(AND(高値!I185&gt;高値!H185,高値!I185&gt;高値!G185,高値!I185&gt;高値!J185,高値!I185&gt;高値!K185),4,""))</f>
        <v/>
      </c>
      <c r="AF185" s="503" t="str">
        <f>IF(終値!A185="","",IF(AND(高値!J185&gt;高値!I185,高値!J185&gt;高値!H185,高値!J185&gt;高値!K185,高値!J185&gt;高値!L185),5,""))</f>
        <v/>
      </c>
      <c r="AG185" s="503" t="str">
        <f>IF(終値!A185="","",IF(AND(高値!K185&gt;高値!J185,高値!K185&gt;高値!I185,高値!K185&gt;高値!L185,高値!K185&gt;高値!M185),6,""))</f>
        <v/>
      </c>
      <c r="AH185" s="503" t="str">
        <f>IF(終値!A185="","",IF(AND(高値!L185&gt;高値!K185,高値!L185&gt;高値!J185,高値!L185&gt;高値!M185,高値!L185&gt;高値!N185),7,""))</f>
        <v/>
      </c>
      <c r="AI185" s="503">
        <f>IF(終値!A185="","",IF(AND(高値!M185&gt;高値!L185,高値!M185&gt;高値!K185,高値!M185&gt;高値!N185,高値!M185&gt;高値!O185),8,""))</f>
        <v>8</v>
      </c>
      <c r="AJ185" s="503" t="str">
        <f>IF(終値!A185="","",IF(AND(高値!N185&gt;高値!M185,高値!N185&gt;高値!L185,高値!N185&gt;高値!O185,高値!N185&gt;高値!P185),9,""))</f>
        <v/>
      </c>
      <c r="AK185" s="503" t="str">
        <f>IF(終値!A185="","",IF(AND(高値!O185&gt;高値!N185,高値!O185&gt;高値!M185,高値!O185&gt;高値!P185,高値!O185&gt;高値!Q185),10,""))</f>
        <v/>
      </c>
      <c r="AL185" s="503">
        <f>IF(終値!A185="","",IF(AND(高値!P185&gt;高値!O185,高値!P185&gt;高値!N185,高値!P185&gt;高値!Q185,高値!P185&gt;高値!R185),11,""))</f>
        <v>11</v>
      </c>
      <c r="AM185" s="503" t="str">
        <f>IF(終値!A185="","",IF(AND(高値!Q185&gt;高値!P185,高値!Q185&gt;高値!O185,高値!Q185&gt;高値!R185,高値!Q185&gt;高値!S185),12,""))</f>
        <v/>
      </c>
      <c r="AN185" s="503" t="str">
        <f>IF(終値!A185="","",IF(AND(高値!R185&gt;高値!Q185,高値!R185&gt;高値!P185,高値!R185&gt;高値!S185,高値!R185&gt;高値!T185),13,""))</f>
        <v/>
      </c>
      <c r="AO185" s="503" t="str">
        <f>IF(終値!A185="","",IF(AND(高値!S185&gt;高値!R185,高値!S185&gt;高値!Q185,高値!S185&gt;高値!T185,高値!S185&gt;高値!U185),14,""))</f>
        <v/>
      </c>
      <c r="AP185" s="503" t="str">
        <f>IF(終値!A185="","",IF(AND(高値!T185&gt;高値!S185,高値!T185&gt;高値!R185,高値!T185&gt;高値!U185,高値!T185&gt;高値!V185),15,""))</f>
        <v/>
      </c>
      <c r="AQ185" s="503" t="str">
        <f>IF(終値!A185="","",IF(AND(高値!U185&gt;高値!T185,高値!U185&gt;高値!S185,高値!U185&gt;高値!V185,高値!U185&gt;高値!W185),16,""))</f>
        <v/>
      </c>
      <c r="AR185" s="503" t="str">
        <f>IF(終値!A185="","",IF(AND(高値!V185&gt;高値!U185,高値!V185&gt;高値!T185,高値!V185&gt;高値!W185,高値!V185&gt;高値!X185),17,""))</f>
        <v/>
      </c>
      <c r="AS185" s="503" t="str">
        <f>IF(終値!A185="","",IF(AND(高値!W185&gt;高値!V185,高値!W185&gt;高値!U185,高値!W185&gt;高値!X185,高値!W185&gt;高値!Y185),18,""))</f>
        <v/>
      </c>
      <c r="AT185" s="503">
        <f>IF(終値!A185="","",IF(AND(高値!X185&gt;高値!W185,高値!X185&gt;高値!V185,高値!X185&gt;高値!Y185,高値!X185&gt;高値!Z185),19,""))</f>
        <v>19</v>
      </c>
      <c r="AU185" s="503" t="str">
        <f>IF(終値!A185="","",IF(AND(高値!Y185&gt;高値!X185,高値!Y185&gt;高値!W185,高値!Y185&gt;高値!Z185,高値!Y185&gt;高値!AA185),20,""))</f>
        <v/>
      </c>
      <c r="AV185" s="503" t="str">
        <f>IF(終値!A185="","",IF(AND(高値!Z185&gt;高値!Y185,高値!Z185&gt;高値!X185,高値!Z185&gt;高値!AA185,高値!Z185&gt;高値!AB185),21,""))</f>
        <v/>
      </c>
      <c r="AW185" s="503" t="str">
        <f>IF(終値!A185="","",IF(AND(高値!AA185&gt;高値!Z185,高値!AA185&gt;高値!Y185,高値!AA185&gt;高値!AB185,高値!AA185&gt;高値!AC185),22,""))</f>
        <v/>
      </c>
      <c r="AX185" s="503" t="str">
        <f>IF(終値!A185="","",IF(AND(高値!AB185&gt;高値!AA185,高値!AB185&gt;高値!Z185,高値!AB185&gt;高値!AC185,高値!AB185&gt;高値!AD185),23,""))</f>
        <v/>
      </c>
      <c r="AY185" s="503" t="str">
        <f>IF(終値!A185="","",IF(AND(高値!AC185&gt;高値!AB185,高値!AC185&gt;高値!AA185,高値!AC185&gt;高値!AD185,高値!AC185&gt;高値!AE185),24,""))</f>
        <v/>
      </c>
      <c r="AZ185" s="503" t="str">
        <f>IF(終値!A185="","",IF(AND(高値!AD185&gt;高値!AC185,高値!AD185&gt;高値!AB185,高値!AD185&gt;高値!AE185,高値!AD185&gt;高値!AF185),25,""))</f>
        <v/>
      </c>
      <c r="BA185" s="503">
        <f>IF(終値!A185="","",IF(AND(高値!AE185&gt;高値!AD185,高値!AE185&gt;高値!AC185,高値!AE185&gt;高値!AF185,高値!AE185&gt;高値!AG185),26,""))</f>
        <v>26</v>
      </c>
      <c r="BB185" s="503" t="str">
        <f>IF(終値!A185="","",IF(AND(高値!AF185&gt;高値!AE185,高値!AF185&gt;高値!AD185,高値!AF185&gt;高値!AG185,高値!AF185&gt;高値!AH185),27,""))</f>
        <v/>
      </c>
      <c r="BC185" s="503" t="str">
        <f>IF(終値!A185="","",IF(AND(高値!AG185&gt;高値!AF185,高値!AG185&gt;高値!AE185,高値!AG185&gt;高値!AH185,高値!AG185&gt;高値!AI185),28,""))</f>
        <v/>
      </c>
      <c r="BD185" s="503">
        <f t="shared" si="12"/>
        <v>4</v>
      </c>
      <c r="BE185" s="503">
        <f t="shared" si="13"/>
        <v>6</v>
      </c>
      <c r="BF185" s="503">
        <f t="shared" si="14"/>
        <v>13</v>
      </c>
      <c r="BG185" s="503">
        <f>IF($BE185="","",INDEX(安値!$E185:$CZ185,1,$BE185+1))</f>
        <v>2316</v>
      </c>
      <c r="BH185" s="503">
        <f>IF($BF185="","",INDEX(安値!$E185:$CZ185,1,$BF185+1))</f>
        <v>2291</v>
      </c>
      <c r="BI185" s="503">
        <f>IF($BF185="","",MAX(INDEX(高値!$E185:$CZ185,1,$BE185+1):INDEX(高値!$E185:$CZ185,1,$BF185+1)))</f>
        <v>2393</v>
      </c>
      <c r="BJ185" s="503">
        <f>IF($BF185="","",AVERAGE(INDEX(終値!$E185:$CZ185,1,$BF185+1):INDEX(終値!$E185:$CZ185,1,$BF185+20))-2*STDEVP(INDEX(終値!$E185:$CZ185,1,$BF185+1):INDEX(終値!$E185:$CZ185,1,$BF185+20)))</f>
        <v>2176.5033471225706</v>
      </c>
      <c r="BK185" s="503">
        <f>IF($BE185="","",AVERAGE(INDEX(終値!$E185:$CZ185,1,$BE185+1):INDEX(終値!$E185:$CZ185,1,$BE185+20))-2*STDEVP(INDEX(終値!$E185:$CZ185,1,$BE185+1):INDEX(終値!$E185:$CZ185,1,$BE185+20)))</f>
        <v>2225.1177198422333</v>
      </c>
      <c r="BL185" s="503">
        <f t="shared" si="15"/>
        <v>5</v>
      </c>
      <c r="BM185" s="503">
        <f t="shared" si="16"/>
        <v>3</v>
      </c>
      <c r="BN185" s="503">
        <f t="shared" si="17"/>
        <v>8</v>
      </c>
      <c r="BO185" s="503">
        <f>IF($BM185="","",INDEX(高値!$E185:$CZ185,1,$BM185+1))</f>
        <v>2440</v>
      </c>
      <c r="BP185" s="503">
        <f>IF($BN185="","",INDEX(高値!$E185:$CZ185,1,$BN185+1))</f>
        <v>2393</v>
      </c>
      <c r="BQ185" s="503">
        <f>IF($BN185="","",MIN(INDEX(安値!$E185:$CZ185,1,$BM185+1):INDEX(安値!$E185:$CZ185,1,$BN185+1)))</f>
        <v>2316</v>
      </c>
      <c r="BR185" s="503">
        <f>IF($BN185="","",AVERAGE(INDEX(終値!$E185:$CZ185,1,$BN185+1):INDEX(終値!$E185:$CZ185,1,$BN185+20))+2*STDEVP(INDEX(終値!$E185:$CZ185,1,$BN185+1):INDEX(終値!$E185:$CZ185,1,$BN185+20)))</f>
        <v>2407.7936603262197</v>
      </c>
      <c r="BS185" s="503">
        <f>IF($BM185="","",AVERAGE(INDEX(終値!$E185:$CZ185,1,$BM185+1):INDEX(終値!$E185:$CZ185,1,$BM185+20))+2*STDEVP(INDEX(終値!$E185:$CZ185,1,$BM185+1):INDEX(終値!$E185:$CZ185,1,$BM185+20)))</f>
        <v>2415.9876022472158</v>
      </c>
      <c r="BT185" s="500"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二番底W形成</v>
      </c>
    </row>
    <row r="186" spans="2:72">
      <c r="B186" s="503" t="str">
        <f>IF(終値!A186="","",IF(AND(安値!G186&lt;安値!F186,安値!G186&lt;安値!E186,安値!G186&lt;安値!H186,安値!G186&lt;安値!I186),2,""))</f>
        <v/>
      </c>
      <c r="C186" s="503">
        <f>IF(終値!A186="","",IF(AND(安値!H186&lt;安値!G186,安値!H186&lt;安値!F186,安値!H186&lt;安値!I186,安値!H186&lt;安値!J186),3,""))</f>
        <v>3</v>
      </c>
      <c r="D186" s="503" t="str">
        <f>IF(終値!A186="","",IF(AND(安値!I186&lt;安値!H186,安値!I186&lt;安値!G186,安値!I186&lt;安値!J186,安値!I186&lt;安値!K186),4,""))</f>
        <v/>
      </c>
      <c r="E186" s="503" t="str">
        <f>IF(終値!A186="","",IF(AND(安値!J186&lt;安値!I186,安値!J186&lt;安値!H186,安値!J186&lt;安値!K186,安値!J186&lt;安値!L186),5,""))</f>
        <v/>
      </c>
      <c r="F186" s="503" t="str">
        <f>IF(終値!A186="","",IF(AND(安値!K186&lt;安値!J186,安値!K186&lt;安値!I186,安値!K186&lt;安値!L186,安値!K186&lt;安値!M186),6,""))</f>
        <v/>
      </c>
      <c r="G186" s="503" t="str">
        <f>IF(終値!A186="","",IF(AND(安値!L186&lt;安値!K186,安値!L186&lt;安値!J186,安値!L186&lt;安値!M186,安値!L186&lt;安値!N186),7,""))</f>
        <v/>
      </c>
      <c r="H186" s="503" t="str">
        <f>IF(終値!A186="","",IF(AND(安値!M186&lt;安値!L186,安値!M186&lt;安値!K186,安値!M186&lt;安値!N186,安値!M186&lt;安値!O186),8,""))</f>
        <v/>
      </c>
      <c r="I186" s="503" t="str">
        <f>IF(終値!A186="","",IF(AND(安値!N186&lt;安値!M186,安値!N186&lt;安値!L186,安値!N186&lt;安値!O186,安値!N186&lt;安値!P186),9,""))</f>
        <v/>
      </c>
      <c r="J186" s="503" t="str">
        <f>IF(終値!A186="","",IF(AND(安値!O186&lt;安値!N186,安値!O186&lt;安値!M186,安値!O186&lt;安値!P186,安値!O186&lt;安値!Q186),10,""))</f>
        <v/>
      </c>
      <c r="K186" s="503" t="str">
        <f>IF(終値!A186="","",IF(AND(安値!P186&lt;安値!O186,安値!P186&lt;安値!N186,安値!P186&lt;安値!Q186,安値!P186&lt;安値!R186),11,""))</f>
        <v/>
      </c>
      <c r="L186" s="503" t="str">
        <f>IF(終値!A186="","",IF(AND(安値!Q186&lt;安値!P186,安値!Q186&lt;安値!O186,安値!Q186&lt;安値!R186,安値!Q186&lt;安値!S186),12,""))</f>
        <v/>
      </c>
      <c r="M186" s="503" t="str">
        <f>IF(終値!A186="","",IF(AND(安値!R186&lt;安値!Q186,安値!R186&lt;安値!P186,安値!R186&lt;安値!S186,安値!R186&lt;安値!T186),13,""))</f>
        <v/>
      </c>
      <c r="N186" s="503" t="str">
        <f>IF(終値!A186="","",IF(AND(安値!S186&lt;安値!R186,安値!S186&lt;安値!Q186,安値!S186&lt;安値!T186,安値!S186&lt;安値!U186),14,""))</f>
        <v/>
      </c>
      <c r="O186" s="503" t="str">
        <f>IF(終値!A186="","",IF(AND(安値!T186&lt;安値!S186,安値!T186&lt;安値!R186,安値!T186&lt;安値!U186,安値!T186&lt;安値!V186),15,""))</f>
        <v/>
      </c>
      <c r="P186" s="503">
        <f>IF(終値!A186="","",IF(AND(安値!U186&lt;安値!T186,安値!U186&lt;安値!S186,安値!U186&lt;安値!V186,安値!U186&lt;安値!W186),16,""))</f>
        <v>16</v>
      </c>
      <c r="Q186" s="503" t="str">
        <f>IF(終値!A186="","",IF(AND(安値!V186&lt;安値!U186,安値!V186&lt;安値!T186,安値!V186&lt;安値!W186,安値!V186&lt;安値!X186),17,""))</f>
        <v/>
      </c>
      <c r="R186" s="503" t="str">
        <f>IF(終値!A186="","",IF(AND(安値!W186&lt;安値!V186,安値!W186&lt;安値!U186,安値!W186&lt;安値!X186,安値!W186&lt;安値!Y186),18,""))</f>
        <v/>
      </c>
      <c r="S186" s="503" t="str">
        <f>IF(終値!A186="","",IF(AND(安値!X186&lt;安値!W186,安値!X186&lt;安値!V186,安値!X186&lt;安値!Y186,安値!X186&lt;安値!Z186),19,""))</f>
        <v/>
      </c>
      <c r="T186" s="503" t="str">
        <f>IF(終値!A186="","",IF(AND(安値!Y186&lt;安値!X186,安値!Y186&lt;安値!W186,安値!Y186&lt;安値!Z186,安値!Y186&lt;安値!AA186),20,""))</f>
        <v/>
      </c>
      <c r="U186" s="503" t="str">
        <f>IF(終値!A186="","",IF(AND(安値!Z186&lt;安値!Y186,安値!Z186&lt;安値!X186,安値!Z186&lt;安値!AA186,安値!Z186&lt;安値!AB186),21,""))</f>
        <v/>
      </c>
      <c r="V186" s="503" t="str">
        <f>IF(終値!A186="","",IF(AND(安値!AA186&lt;安値!Z186,安値!AA186&lt;安値!Y186,安値!AA186&lt;安値!AB186,安値!AA186&lt;安値!AC186),22,""))</f>
        <v/>
      </c>
      <c r="W186" s="503" t="str">
        <f>IF(終値!A186="","",IF(AND(安値!AB186&lt;安値!AA186,安値!AB186&lt;安値!Z186,安値!AB186&lt;安値!AC186,安値!AB186&lt;安値!AD186),23,""))</f>
        <v/>
      </c>
      <c r="X186" s="503" t="str">
        <f>IF(終値!A186="","",IF(AND(安値!AC186&lt;安値!AB186,安値!AC186&lt;安値!AA186,安値!AC186&lt;安値!AD186,安値!AC186&lt;安値!AE186),24,""))</f>
        <v/>
      </c>
      <c r="Y186" s="503" t="str">
        <f>IF(終値!A186="","",IF(AND(安値!AD186&lt;安値!AC186,安値!AD186&lt;安値!AB186,安値!AD186&lt;安値!AE186,安値!AD186&lt;安値!AF186),25,""))</f>
        <v/>
      </c>
      <c r="Z186" s="503" t="str">
        <f>IF(終値!A186="","",IF(AND(安値!AE186&lt;安値!AD186,安値!AE186&lt;安値!AC186,安値!AE186&lt;安値!AF186,安値!AE186&lt;安値!AG186),26,""))</f>
        <v/>
      </c>
      <c r="AA186" s="503" t="str">
        <f>IF(終値!A186="","",IF(AND(安値!AF186&lt;安値!AE186,安値!AF186&lt;安値!AD186,安値!AF186&lt;安値!AG186,安値!AF186&lt;安値!AH186),27,""))</f>
        <v/>
      </c>
      <c r="AB186" s="503" t="str">
        <f>IF(終値!A186="","",IF(AND(安値!AG186&lt;安値!AF186,安値!AG186&lt;安値!AE186,安値!AG186&lt;安値!AH186,安値!AG186&lt;安値!AI186),28,""))</f>
        <v/>
      </c>
      <c r="AC186" s="503">
        <f>IF(終値!A186="","",IF(AND(高値!G186&gt;高値!F186,高値!G186&gt;高値!E186,高値!G186&gt;高値!H186,高値!G186&gt;高値!I186),2,""))</f>
        <v>2</v>
      </c>
      <c r="AD186" s="503" t="str">
        <f>IF(終値!A186="","",IF(AND(高値!H186&gt;高値!G186,高値!H186&gt;高値!F186,高値!H186&gt;高値!I186,高値!H186&gt;高値!J186),3,""))</f>
        <v/>
      </c>
      <c r="AE186" s="503" t="str">
        <f>IF(終値!A186="","",IF(AND(高値!I186&gt;高値!H186,高値!I186&gt;高値!G186,高値!I186&gt;高値!J186,高値!I186&gt;高値!K186),4,""))</f>
        <v/>
      </c>
      <c r="AF186" s="503" t="str">
        <f>IF(終値!A186="","",IF(AND(高値!J186&gt;高値!I186,高値!J186&gt;高値!H186,高値!J186&gt;高値!K186,高値!J186&gt;高値!L186),5,""))</f>
        <v/>
      </c>
      <c r="AG186" s="503">
        <f>IF(終値!A186="","",IF(AND(高値!K186&gt;高値!J186,高値!K186&gt;高値!I186,高値!K186&gt;高値!L186,高値!K186&gt;高値!M186),6,""))</f>
        <v>6</v>
      </c>
      <c r="AH186" s="503" t="str">
        <f>IF(終値!A186="","",IF(AND(高値!L186&gt;高値!K186,高値!L186&gt;高値!J186,高値!L186&gt;高値!M186,高値!L186&gt;高値!N186),7,""))</f>
        <v/>
      </c>
      <c r="AI186" s="503" t="str">
        <f>IF(終値!A186="","",IF(AND(高値!M186&gt;高値!L186,高値!M186&gt;高値!K186,高値!M186&gt;高値!N186,高値!M186&gt;高値!O186),8,""))</f>
        <v/>
      </c>
      <c r="AJ186" s="503" t="str">
        <f>IF(終値!A186="","",IF(AND(高値!N186&gt;高値!M186,高値!N186&gt;高値!L186,高値!N186&gt;高値!O186,高値!N186&gt;高値!P186),9,""))</f>
        <v/>
      </c>
      <c r="AK186" s="503" t="str">
        <f>IF(終値!A186="","",IF(AND(高値!O186&gt;高値!N186,高値!O186&gt;高値!M186,高値!O186&gt;高値!P186,高値!O186&gt;高値!Q186),10,""))</f>
        <v/>
      </c>
      <c r="AL186" s="503" t="str">
        <f>IF(終値!A186="","",IF(AND(高値!P186&gt;高値!O186,高値!P186&gt;高値!N186,高値!P186&gt;高値!Q186,高値!P186&gt;高値!R186),11,""))</f>
        <v/>
      </c>
      <c r="AM186" s="503">
        <f>IF(終値!A186="","",IF(AND(高値!Q186&gt;高値!P186,高値!Q186&gt;高値!O186,高値!Q186&gt;高値!R186,高値!Q186&gt;高値!S186),12,""))</f>
        <v>12</v>
      </c>
      <c r="AN186" s="503" t="str">
        <f>IF(終値!A186="","",IF(AND(高値!R186&gt;高値!Q186,高値!R186&gt;高値!P186,高値!R186&gt;高値!S186,高値!R186&gt;高値!T186),13,""))</f>
        <v/>
      </c>
      <c r="AO186" s="503" t="str">
        <f>IF(終値!A186="","",IF(AND(高値!S186&gt;高値!R186,高値!S186&gt;高値!Q186,高値!S186&gt;高値!T186,高値!S186&gt;高値!U186),14,""))</f>
        <v/>
      </c>
      <c r="AP186" s="503" t="str">
        <f>IF(終値!A186="","",IF(AND(高値!T186&gt;高値!S186,高値!T186&gt;高値!R186,高値!T186&gt;高値!U186,高値!T186&gt;高値!V186),15,""))</f>
        <v/>
      </c>
      <c r="AQ186" s="503" t="str">
        <f>IF(終値!A186="","",IF(AND(高値!U186&gt;高値!T186,高値!U186&gt;高値!S186,高値!U186&gt;高値!V186,高値!U186&gt;高値!W186),16,""))</f>
        <v/>
      </c>
      <c r="AR186" s="503" t="str">
        <f>IF(終値!A186="","",IF(AND(高値!V186&gt;高値!U186,高値!V186&gt;高値!T186,高値!V186&gt;高値!W186,高値!V186&gt;高値!X186),17,""))</f>
        <v/>
      </c>
      <c r="AS186" s="503">
        <f>IF(終値!A186="","",IF(AND(高値!W186&gt;高値!V186,高値!W186&gt;高値!U186,高値!W186&gt;高値!X186,高値!W186&gt;高値!Y186),18,""))</f>
        <v>18</v>
      </c>
      <c r="AT186" s="503" t="str">
        <f>IF(終値!A186="","",IF(AND(高値!X186&gt;高値!W186,高値!X186&gt;高値!V186,高値!X186&gt;高値!Y186,高値!X186&gt;高値!Z186),19,""))</f>
        <v/>
      </c>
      <c r="AU186" s="503" t="str">
        <f>IF(終値!A186="","",IF(AND(高値!Y186&gt;高値!X186,高値!Y186&gt;高値!W186,高値!Y186&gt;高値!Z186,高値!Y186&gt;高値!AA186),20,""))</f>
        <v/>
      </c>
      <c r="AV186" s="503" t="str">
        <f>IF(終値!A186="","",IF(AND(高値!Z186&gt;高値!Y186,高値!Z186&gt;高値!X186,高値!Z186&gt;高値!AA186,高値!Z186&gt;高値!AB186),21,""))</f>
        <v/>
      </c>
      <c r="AW186" s="503" t="str">
        <f>IF(終値!A186="","",IF(AND(高値!AA186&gt;高値!Z186,高値!AA186&gt;高値!Y186,高値!AA186&gt;高値!AB186,高値!AA186&gt;高値!AC186),22,""))</f>
        <v/>
      </c>
      <c r="AX186" s="503" t="str">
        <f>IF(終値!A186="","",IF(AND(高値!AB186&gt;高値!AA186,高値!AB186&gt;高値!Z186,高値!AB186&gt;高値!AC186,高値!AB186&gt;高値!AD186),23,""))</f>
        <v/>
      </c>
      <c r="AY186" s="503" t="str">
        <f>IF(終値!A186="","",IF(AND(高値!AC186&gt;高値!AB186,高値!AC186&gt;高値!AA186,高値!AC186&gt;高値!AD186,高値!AC186&gt;高値!AE186),24,""))</f>
        <v/>
      </c>
      <c r="AZ186" s="503" t="str">
        <f>IF(終値!A186="","",IF(AND(高値!AD186&gt;高値!AC186,高値!AD186&gt;高値!AB186,高値!AD186&gt;高値!AE186,高値!AD186&gt;高値!AF186),25,""))</f>
        <v/>
      </c>
      <c r="BA186" s="503" t="str">
        <f>IF(終値!A186="","",IF(AND(高値!AE186&gt;高値!AD186,高値!AE186&gt;高値!AC186,高値!AE186&gt;高値!AF186,高値!AE186&gt;高値!AG186),26,""))</f>
        <v/>
      </c>
      <c r="BB186" s="503" t="str">
        <f>IF(終値!A186="","",IF(AND(高値!AF186&gt;高値!AE186,高値!AF186&gt;高値!AD186,高値!AF186&gt;高値!AG186,高値!AF186&gt;高値!AH186),27,""))</f>
        <v/>
      </c>
      <c r="BC186" s="503" t="str">
        <f>IF(終値!A186="","",IF(AND(高値!AG186&gt;高値!AF186,高値!AG186&gt;高値!AE186,高値!AG186&gt;高値!AH186,高値!AG186&gt;高値!AI186),28,""))</f>
        <v/>
      </c>
      <c r="BD186" s="503">
        <f t="shared" si="12"/>
        <v>2</v>
      </c>
      <c r="BE186" s="503">
        <f t="shared" si="13"/>
        <v>3</v>
      </c>
      <c r="BF186" s="503">
        <f t="shared" si="14"/>
        <v>16</v>
      </c>
      <c r="BG186" s="503">
        <f>IF($BE186="","",INDEX(安値!$E186:$CZ186,1,$BE186+1))</f>
        <v>1139.5</v>
      </c>
      <c r="BH186" s="503">
        <f>IF($BF186="","",INDEX(安値!$E186:$CZ186,1,$BF186+1))</f>
        <v>1077</v>
      </c>
      <c r="BI186" s="503">
        <f>IF($BF186="","",MAX(INDEX(高値!$E186:$CZ186,1,$BE186+1):INDEX(高値!$E186:$CZ186,1,$BF186+1)))</f>
        <v>1210</v>
      </c>
      <c r="BJ186" s="503">
        <f>IF($BF186="","",AVERAGE(INDEX(終値!$E186:$CZ186,1,$BF186+1):INDEX(終値!$E186:$CZ186,1,$BF186+20))-2*STDEVP(INDEX(終値!$E186:$CZ186,1,$BF186+1):INDEX(終値!$E186:$CZ186,1,$BF186+20)))</f>
        <v>1017.6971962846202</v>
      </c>
      <c r="BK186" s="503">
        <f>IF($BE186="","",AVERAGE(INDEX(終値!$E186:$CZ186,1,$BE186+1):INDEX(終値!$E186:$CZ186,1,$BE186+20))-2*STDEVP(INDEX(終値!$E186:$CZ186,1,$BE186+1):INDEX(終値!$E186:$CZ186,1,$BE186+20)))</f>
        <v>1054.3080862839768</v>
      </c>
      <c r="BL186" s="503">
        <f t="shared" si="15"/>
        <v>4</v>
      </c>
      <c r="BM186" s="503">
        <f t="shared" si="16"/>
        <v>2</v>
      </c>
      <c r="BN186" s="503">
        <f t="shared" si="17"/>
        <v>6</v>
      </c>
      <c r="BO186" s="503">
        <f>IF($BM186="","",INDEX(高値!$E186:$CZ186,1,$BM186+1))</f>
        <v>1212.5</v>
      </c>
      <c r="BP186" s="503">
        <f>IF($BN186="","",INDEX(高値!$E186:$CZ186,1,$BN186+1))</f>
        <v>1210</v>
      </c>
      <c r="BQ186" s="503">
        <f>IF($BN186="","",MIN(INDEX(安値!$E186:$CZ186,1,$BM186+1):INDEX(安値!$E186:$CZ186,1,$BN186+1)))</f>
        <v>1139.5</v>
      </c>
      <c r="BR186" s="503">
        <f>IF($BN186="","",AVERAGE(INDEX(終値!$E186:$CZ186,1,$BN186+1):INDEX(終値!$E186:$CZ186,1,$BN186+20))+2*STDEVP(INDEX(終値!$E186:$CZ186,1,$BN186+1):INDEX(終値!$E186:$CZ186,1,$BN186+20)))</f>
        <v>1190.5500651041391</v>
      </c>
      <c r="BS186" s="503">
        <f>IF($BM186="","",AVERAGE(INDEX(終値!$E186:$CZ186,1,$BM186+1):INDEX(終値!$E186:$CZ186,1,$BM186+20))+2*STDEVP(INDEX(終値!$E186:$CZ186,1,$BM186+1):INDEX(終値!$E186:$CZ186,1,$BM186+20)))</f>
        <v>1212.9322871639922</v>
      </c>
      <c r="BT186" s="500"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二番天井M▼</v>
      </c>
    </row>
    <row r="187" spans="2:72">
      <c r="B187" s="503" t="str">
        <f>IF(終値!A187="","",IF(AND(安値!G187&lt;安値!F187,安値!G187&lt;安値!E187,安値!G187&lt;安値!H187,安値!G187&lt;安値!I187),2,""))</f>
        <v/>
      </c>
      <c r="C187" s="503" t="str">
        <f>IF(終値!A187="","",IF(AND(安値!H187&lt;安値!G187,安値!H187&lt;安値!F187,安値!H187&lt;安値!I187,安値!H187&lt;安値!J187),3,""))</f>
        <v/>
      </c>
      <c r="D187" s="503">
        <f>IF(終値!A187="","",IF(AND(安値!I187&lt;安値!H187,安値!I187&lt;安値!G187,安値!I187&lt;安値!J187,安値!I187&lt;安値!K187),4,""))</f>
        <v>4</v>
      </c>
      <c r="E187" s="503" t="str">
        <f>IF(終値!A187="","",IF(AND(安値!J187&lt;安値!I187,安値!J187&lt;安値!H187,安値!J187&lt;安値!K187,安値!J187&lt;安値!L187),5,""))</f>
        <v/>
      </c>
      <c r="F187" s="503" t="str">
        <f>IF(終値!A187="","",IF(AND(安値!K187&lt;安値!J187,安値!K187&lt;安値!I187,安値!K187&lt;安値!L187,安値!K187&lt;安値!M187),6,""))</f>
        <v/>
      </c>
      <c r="G187" s="503" t="str">
        <f>IF(終値!A187="","",IF(AND(安値!L187&lt;安値!K187,安値!L187&lt;安値!J187,安値!L187&lt;安値!M187,安値!L187&lt;安値!N187),7,""))</f>
        <v/>
      </c>
      <c r="H187" s="503" t="str">
        <f>IF(終値!A187="","",IF(AND(安値!M187&lt;安値!L187,安値!M187&lt;安値!K187,安値!M187&lt;安値!N187,安値!M187&lt;安値!O187),8,""))</f>
        <v/>
      </c>
      <c r="I187" s="503">
        <f>IF(終値!A187="","",IF(AND(安値!N187&lt;安値!M187,安値!N187&lt;安値!L187,安値!N187&lt;安値!O187,安値!N187&lt;安値!P187),9,""))</f>
        <v>9</v>
      </c>
      <c r="J187" s="503" t="str">
        <f>IF(終値!A187="","",IF(AND(安値!O187&lt;安値!N187,安値!O187&lt;安値!M187,安値!O187&lt;安値!P187,安値!O187&lt;安値!Q187),10,""))</f>
        <v/>
      </c>
      <c r="K187" s="503" t="str">
        <f>IF(終値!A187="","",IF(AND(安値!P187&lt;安値!O187,安値!P187&lt;安値!N187,安値!P187&lt;安値!Q187,安値!P187&lt;安値!R187),11,""))</f>
        <v/>
      </c>
      <c r="L187" s="503" t="str">
        <f>IF(終値!A187="","",IF(AND(安値!Q187&lt;安値!P187,安値!Q187&lt;安値!O187,安値!Q187&lt;安値!R187,安値!Q187&lt;安値!S187),12,""))</f>
        <v/>
      </c>
      <c r="M187" s="503" t="str">
        <f>IF(終値!A187="","",IF(AND(安値!R187&lt;安値!Q187,安値!R187&lt;安値!P187,安値!R187&lt;安値!S187,安値!R187&lt;安値!T187),13,""))</f>
        <v/>
      </c>
      <c r="N187" s="503" t="str">
        <f>IF(終値!A187="","",IF(AND(安値!S187&lt;安値!R187,安値!S187&lt;安値!Q187,安値!S187&lt;安値!T187,安値!S187&lt;安値!U187),14,""))</f>
        <v/>
      </c>
      <c r="O187" s="503" t="str">
        <f>IF(終値!A187="","",IF(AND(安値!T187&lt;安値!S187,安値!T187&lt;安値!R187,安値!T187&lt;安値!U187,安値!T187&lt;安値!V187),15,""))</f>
        <v/>
      </c>
      <c r="P187" s="503">
        <f>IF(終値!A187="","",IF(AND(安値!U187&lt;安値!T187,安値!U187&lt;安値!S187,安値!U187&lt;安値!V187,安値!U187&lt;安値!W187),16,""))</f>
        <v>16</v>
      </c>
      <c r="Q187" s="503" t="str">
        <f>IF(終値!A187="","",IF(AND(安値!V187&lt;安値!U187,安値!V187&lt;安値!T187,安値!V187&lt;安値!W187,安値!V187&lt;安値!X187),17,""))</f>
        <v/>
      </c>
      <c r="R187" s="503" t="str">
        <f>IF(終値!A187="","",IF(AND(安値!W187&lt;安値!V187,安値!W187&lt;安値!U187,安値!W187&lt;安値!X187,安値!W187&lt;安値!Y187),18,""))</f>
        <v/>
      </c>
      <c r="S187" s="503" t="str">
        <f>IF(終値!A187="","",IF(AND(安値!X187&lt;安値!W187,安値!X187&lt;安値!V187,安値!X187&lt;安値!Y187,安値!X187&lt;安値!Z187),19,""))</f>
        <v/>
      </c>
      <c r="T187" s="503" t="str">
        <f>IF(終値!A187="","",IF(AND(安値!Y187&lt;安値!X187,安値!Y187&lt;安値!W187,安値!Y187&lt;安値!Z187,安値!Y187&lt;安値!AA187),20,""))</f>
        <v/>
      </c>
      <c r="U187" s="503" t="str">
        <f>IF(終値!A187="","",IF(AND(安値!Z187&lt;安値!Y187,安値!Z187&lt;安値!X187,安値!Z187&lt;安値!AA187,安値!Z187&lt;安値!AB187),21,""))</f>
        <v/>
      </c>
      <c r="V187" s="503" t="str">
        <f>IF(終値!A187="","",IF(AND(安値!AA187&lt;安値!Z187,安値!AA187&lt;安値!Y187,安値!AA187&lt;安値!AB187,安値!AA187&lt;安値!AC187),22,""))</f>
        <v/>
      </c>
      <c r="W187" s="503" t="str">
        <f>IF(終値!A187="","",IF(AND(安値!AB187&lt;安値!AA187,安値!AB187&lt;安値!Z187,安値!AB187&lt;安値!AC187,安値!AB187&lt;安値!AD187),23,""))</f>
        <v/>
      </c>
      <c r="X187" s="503" t="str">
        <f>IF(終値!A187="","",IF(AND(安値!AC187&lt;安値!AB187,安値!AC187&lt;安値!AA187,安値!AC187&lt;安値!AD187,安値!AC187&lt;安値!AE187),24,""))</f>
        <v/>
      </c>
      <c r="Y187" s="503" t="str">
        <f>IF(終値!A187="","",IF(AND(安値!AD187&lt;安値!AC187,安値!AD187&lt;安値!AB187,安値!AD187&lt;安値!AE187,安値!AD187&lt;安値!AF187),25,""))</f>
        <v/>
      </c>
      <c r="Z187" s="503" t="str">
        <f>IF(終値!A187="","",IF(AND(安値!AE187&lt;安値!AD187,安値!AE187&lt;安値!AC187,安値!AE187&lt;安値!AF187,安値!AE187&lt;安値!AG187),26,""))</f>
        <v/>
      </c>
      <c r="AA187" s="503">
        <f>IF(終値!A187="","",IF(AND(安値!AF187&lt;安値!AE187,安値!AF187&lt;安値!AD187,安値!AF187&lt;安値!AG187,安値!AF187&lt;安値!AH187),27,""))</f>
        <v>27</v>
      </c>
      <c r="AB187" s="503" t="str">
        <f>IF(終値!A187="","",IF(AND(安値!AG187&lt;安値!AF187,安値!AG187&lt;安値!AE187,安値!AG187&lt;安値!AH187,安値!AG187&lt;安値!AI187),28,""))</f>
        <v/>
      </c>
      <c r="AC187" s="503">
        <f>IF(終値!A187="","",IF(AND(高値!G187&gt;高値!F187,高値!G187&gt;高値!E187,高値!G187&gt;高値!H187,高値!G187&gt;高値!I187),2,""))</f>
        <v>2</v>
      </c>
      <c r="AD187" s="503" t="str">
        <f>IF(終値!A187="","",IF(AND(高値!H187&gt;高値!G187,高値!H187&gt;高値!F187,高値!H187&gt;高値!I187,高値!H187&gt;高値!J187),3,""))</f>
        <v/>
      </c>
      <c r="AE187" s="503" t="str">
        <f>IF(終値!A187="","",IF(AND(高値!I187&gt;高値!H187,高値!I187&gt;高値!G187,高値!I187&gt;高値!J187,高値!I187&gt;高値!K187),4,""))</f>
        <v/>
      </c>
      <c r="AF187" s="503">
        <f>IF(終値!A187="","",IF(AND(高値!J187&gt;高値!I187,高値!J187&gt;高値!H187,高値!J187&gt;高値!K187,高値!J187&gt;高値!L187),5,""))</f>
        <v>5</v>
      </c>
      <c r="AG187" s="503" t="str">
        <f>IF(終値!A187="","",IF(AND(高値!K187&gt;高値!J187,高値!K187&gt;高値!I187,高値!K187&gt;高値!L187,高値!K187&gt;高値!M187),6,""))</f>
        <v/>
      </c>
      <c r="AH187" s="503" t="str">
        <f>IF(終値!A187="","",IF(AND(高値!L187&gt;高値!K187,高値!L187&gt;高値!J187,高値!L187&gt;高値!M187,高値!L187&gt;高値!N187),7,""))</f>
        <v/>
      </c>
      <c r="AI187" s="503" t="str">
        <f>IF(終値!A187="","",IF(AND(高値!M187&gt;高値!L187,高値!M187&gt;高値!K187,高値!M187&gt;高値!N187,高値!M187&gt;高値!O187),8,""))</f>
        <v/>
      </c>
      <c r="AJ187" s="503" t="str">
        <f>IF(終値!A187="","",IF(AND(高値!N187&gt;高値!M187,高値!N187&gt;高値!L187,高値!N187&gt;高値!O187,高値!N187&gt;高値!P187),9,""))</f>
        <v/>
      </c>
      <c r="AK187" s="503" t="str">
        <f>IF(終値!A187="","",IF(AND(高値!O187&gt;高値!N187,高値!O187&gt;高値!M187,高値!O187&gt;高値!P187,高値!O187&gt;高値!Q187),10,""))</f>
        <v/>
      </c>
      <c r="AL187" s="503" t="str">
        <f>IF(終値!A187="","",IF(AND(高値!P187&gt;高値!O187,高値!P187&gt;高値!N187,高値!P187&gt;高値!Q187,高値!P187&gt;高値!R187),11,""))</f>
        <v/>
      </c>
      <c r="AM187" s="503" t="str">
        <f>IF(終値!A187="","",IF(AND(高値!Q187&gt;高値!P187,高値!Q187&gt;高値!O187,高値!Q187&gt;高値!R187,高値!Q187&gt;高値!S187),12,""))</f>
        <v/>
      </c>
      <c r="AN187" s="503" t="str">
        <f>IF(終値!A187="","",IF(AND(高値!R187&gt;高値!Q187,高値!R187&gt;高値!P187,高値!R187&gt;高値!S187,高値!R187&gt;高値!T187),13,""))</f>
        <v/>
      </c>
      <c r="AO187" s="503" t="str">
        <f>IF(終値!A187="","",IF(AND(高値!S187&gt;高値!R187,高値!S187&gt;高値!Q187,高値!S187&gt;高値!T187,高値!S187&gt;高値!U187),14,""))</f>
        <v/>
      </c>
      <c r="AP187" s="503">
        <f>IF(終値!A187="","",IF(AND(高値!T187&gt;高値!S187,高値!T187&gt;高値!R187,高値!T187&gt;高値!U187,高値!T187&gt;高値!V187),15,""))</f>
        <v>15</v>
      </c>
      <c r="AQ187" s="503" t="str">
        <f>IF(終値!A187="","",IF(AND(高値!U187&gt;高値!T187,高値!U187&gt;高値!S187,高値!U187&gt;高値!V187,高値!U187&gt;高値!W187),16,""))</f>
        <v/>
      </c>
      <c r="AR187" s="503" t="str">
        <f>IF(終値!A187="","",IF(AND(高値!V187&gt;高値!U187,高値!V187&gt;高値!T187,高値!V187&gt;高値!W187,高値!V187&gt;高値!X187),17,""))</f>
        <v/>
      </c>
      <c r="AS187" s="503" t="str">
        <f>IF(終値!A187="","",IF(AND(高値!W187&gt;高値!V187,高値!W187&gt;高値!U187,高値!W187&gt;高値!X187,高値!W187&gt;高値!Y187),18,""))</f>
        <v/>
      </c>
      <c r="AT187" s="503">
        <f>IF(終値!A187="","",IF(AND(高値!X187&gt;高値!W187,高値!X187&gt;高値!V187,高値!X187&gt;高値!Y187,高値!X187&gt;高値!Z187),19,""))</f>
        <v>19</v>
      </c>
      <c r="AU187" s="503" t="str">
        <f>IF(終値!A187="","",IF(AND(高値!Y187&gt;高値!X187,高値!Y187&gt;高値!W187,高値!Y187&gt;高値!Z187,高値!Y187&gt;高値!AA187),20,""))</f>
        <v/>
      </c>
      <c r="AV187" s="503" t="str">
        <f>IF(終値!A187="","",IF(AND(高値!Z187&gt;高値!Y187,高値!Z187&gt;高値!X187,高値!Z187&gt;高値!AA187,高値!Z187&gt;高値!AB187),21,""))</f>
        <v/>
      </c>
      <c r="AW187" s="503" t="str">
        <f>IF(終値!A187="","",IF(AND(高値!AA187&gt;高値!Z187,高値!AA187&gt;高値!Y187,高値!AA187&gt;高値!AB187,高値!AA187&gt;高値!AC187),22,""))</f>
        <v/>
      </c>
      <c r="AX187" s="503" t="str">
        <f>IF(終値!A187="","",IF(AND(高値!AB187&gt;高値!AA187,高値!AB187&gt;高値!Z187,高値!AB187&gt;高値!AC187,高値!AB187&gt;高値!AD187),23,""))</f>
        <v/>
      </c>
      <c r="AY187" s="503" t="str">
        <f>IF(終値!A187="","",IF(AND(高値!AC187&gt;高値!AB187,高値!AC187&gt;高値!AA187,高値!AC187&gt;高値!AD187,高値!AC187&gt;高値!AE187),24,""))</f>
        <v/>
      </c>
      <c r="AZ187" s="503" t="str">
        <f>IF(終値!A187="","",IF(AND(高値!AD187&gt;高値!AC187,高値!AD187&gt;高値!AB187,高値!AD187&gt;高値!AE187,高値!AD187&gt;高値!AF187),25,""))</f>
        <v/>
      </c>
      <c r="BA187" s="503" t="str">
        <f>IF(終値!A187="","",IF(AND(高値!AE187&gt;高値!AD187,高値!AE187&gt;高値!AC187,高値!AE187&gt;高値!AF187,高値!AE187&gt;高値!AG187),26,""))</f>
        <v/>
      </c>
      <c r="BB187" s="503" t="str">
        <f>IF(終値!A187="","",IF(AND(高値!AF187&gt;高値!AE187,高値!AF187&gt;高値!AD187,高値!AF187&gt;高値!AG187,高値!AF187&gt;高値!AH187),27,""))</f>
        <v/>
      </c>
      <c r="BC187" s="503" t="str">
        <f>IF(終値!A187="","",IF(AND(高値!AG187&gt;高値!AF187,高値!AG187&gt;高値!AE187,高値!AG187&gt;高値!AH187,高値!AG187&gt;高値!AI187),28,""))</f>
        <v/>
      </c>
      <c r="BD187" s="503">
        <f t="shared" si="12"/>
        <v>4</v>
      </c>
      <c r="BE187" s="503">
        <f t="shared" si="13"/>
        <v>4</v>
      </c>
      <c r="BF187" s="503">
        <f t="shared" si="14"/>
        <v>9</v>
      </c>
      <c r="BG187" s="503">
        <f>IF($BE187="","",INDEX(安値!$E187:$CZ187,1,$BE187+1))</f>
        <v>612</v>
      </c>
      <c r="BH187" s="503">
        <f>IF($BF187="","",INDEX(安値!$E187:$CZ187,1,$BF187+1))</f>
        <v>653.9</v>
      </c>
      <c r="BI187" s="503">
        <f>IF($BF187="","",MAX(INDEX(高値!$E187:$CZ187,1,$BE187+1):INDEX(高値!$E187:$CZ187,1,$BF187+1)))</f>
        <v>714.9</v>
      </c>
      <c r="BJ187" s="503">
        <f>IF($BF187="","",AVERAGE(INDEX(終値!$E187:$CZ187,1,$BF187+1):INDEX(終値!$E187:$CZ187,1,$BF187+20))-2*STDEVP(INDEX(終値!$E187:$CZ187,1,$BF187+1):INDEX(終値!$E187:$CZ187,1,$BF187+20)))</f>
        <v>620.30852340411934</v>
      </c>
      <c r="BK187" s="503">
        <f>IF($BE187="","",AVERAGE(INDEX(終値!$E187:$CZ187,1,$BE187+1):INDEX(終値!$E187:$CZ187,1,$BE187+20))-2*STDEVP(INDEX(終値!$E187:$CZ187,1,$BE187+1):INDEX(終値!$E187:$CZ187,1,$BE187+20)))</f>
        <v>644.04060647519907</v>
      </c>
      <c r="BL187" s="503">
        <f t="shared" si="15"/>
        <v>4</v>
      </c>
      <c r="BM187" s="503">
        <f t="shared" si="16"/>
        <v>2</v>
      </c>
      <c r="BN187" s="503">
        <f t="shared" si="17"/>
        <v>5</v>
      </c>
      <c r="BO187" s="503">
        <f>IF($BM187="","",INDEX(高値!$E187:$CZ187,1,$BM187+1))</f>
        <v>647</v>
      </c>
      <c r="BP187" s="503">
        <f>IF($BN187="","",INDEX(高値!$E187:$CZ187,1,$BN187+1))</f>
        <v>714.9</v>
      </c>
      <c r="BQ187" s="503">
        <f>IF($BN187="","",MIN(INDEX(安値!$E187:$CZ187,1,$BM187+1):INDEX(安値!$E187:$CZ187,1,$BN187+1)))</f>
        <v>612</v>
      </c>
      <c r="BR187" s="503">
        <f>IF($BN187="","",AVERAGE(INDEX(終値!$E187:$CZ187,1,$BN187+1):INDEX(終値!$E187:$CZ187,1,$BN187+20))+2*STDEVP(INDEX(終値!$E187:$CZ187,1,$BN187+1):INDEX(終値!$E187:$CZ187,1,$BN187+20)))</f>
        <v>703.85565123265928</v>
      </c>
      <c r="BS187" s="503">
        <f>IF($BM187="","",AVERAGE(INDEX(終値!$E187:$CZ187,1,$BM187+1):INDEX(終値!$E187:$CZ187,1,$BM187+20))+2*STDEVP(INDEX(終値!$E187:$CZ187,1,$BM187+1):INDEX(終値!$E187:$CZ187,1,$BM187+20)))</f>
        <v>707.18018698208721</v>
      </c>
      <c r="BT187" s="500"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3" t="str">
        <f>IF(終値!A188="","",IF(AND(安値!G188&lt;安値!F188,安値!G188&lt;安値!E188,安値!G188&lt;安値!H188,安値!G188&lt;安値!I188),2,""))</f>
        <v/>
      </c>
      <c r="C188" s="503" t="str">
        <f>IF(終値!A188="","",IF(AND(安値!H188&lt;安値!G188,安値!H188&lt;安値!F188,安値!H188&lt;安値!I188,安値!H188&lt;安値!J188),3,""))</f>
        <v/>
      </c>
      <c r="D188" s="503">
        <f>IF(終値!A188="","",IF(AND(安値!I188&lt;安値!H188,安値!I188&lt;安値!G188,安値!I188&lt;安値!J188,安値!I188&lt;安値!K188),4,""))</f>
        <v>4</v>
      </c>
      <c r="E188" s="503" t="str">
        <f>IF(終値!A188="","",IF(AND(安値!J188&lt;安値!I188,安値!J188&lt;安値!H188,安値!J188&lt;安値!K188,安値!J188&lt;安値!L188),5,""))</f>
        <v/>
      </c>
      <c r="F188" s="503" t="str">
        <f>IF(終値!A188="","",IF(AND(安値!K188&lt;安値!J188,安値!K188&lt;安値!I188,安値!K188&lt;安値!L188,安値!K188&lt;安値!M188),6,""))</f>
        <v/>
      </c>
      <c r="G188" s="503" t="str">
        <f>IF(終値!A188="","",IF(AND(安値!L188&lt;安値!K188,安値!L188&lt;安値!J188,安値!L188&lt;安値!M188,安値!L188&lt;安値!N188),7,""))</f>
        <v/>
      </c>
      <c r="H188" s="503" t="str">
        <f>IF(終値!A188="","",IF(AND(安値!M188&lt;安値!L188,安値!M188&lt;安値!K188,安値!M188&lt;安値!N188,安値!M188&lt;安値!O188),8,""))</f>
        <v/>
      </c>
      <c r="I188" s="503">
        <f>IF(終値!A188="","",IF(AND(安値!N188&lt;安値!M188,安値!N188&lt;安値!L188,安値!N188&lt;安値!O188,安値!N188&lt;安値!P188),9,""))</f>
        <v>9</v>
      </c>
      <c r="J188" s="503" t="str">
        <f>IF(終値!A188="","",IF(AND(安値!O188&lt;安値!N188,安値!O188&lt;安値!M188,安値!O188&lt;安値!P188,安値!O188&lt;安値!Q188),10,""))</f>
        <v/>
      </c>
      <c r="K188" s="503" t="str">
        <f>IF(終値!A188="","",IF(AND(安値!P188&lt;安値!O188,安値!P188&lt;安値!N188,安値!P188&lt;安値!Q188,安値!P188&lt;安値!R188),11,""))</f>
        <v/>
      </c>
      <c r="L188" s="503" t="str">
        <f>IF(終値!A188="","",IF(AND(安値!Q188&lt;安値!P188,安値!Q188&lt;安値!O188,安値!Q188&lt;安値!R188,安値!Q188&lt;安値!S188),12,""))</f>
        <v/>
      </c>
      <c r="M188" s="503" t="str">
        <f>IF(終値!A188="","",IF(AND(安値!R188&lt;安値!Q188,安値!R188&lt;安値!P188,安値!R188&lt;安値!S188,安値!R188&lt;安値!T188),13,""))</f>
        <v/>
      </c>
      <c r="N188" s="503" t="str">
        <f>IF(終値!A188="","",IF(AND(安値!S188&lt;安値!R188,安値!S188&lt;安値!Q188,安値!S188&lt;安値!T188,安値!S188&lt;安値!U188),14,""))</f>
        <v/>
      </c>
      <c r="O188" s="503" t="str">
        <f>IF(終値!A188="","",IF(AND(安値!T188&lt;安値!S188,安値!T188&lt;安値!R188,安値!T188&lt;安値!U188,安値!T188&lt;安値!V188),15,""))</f>
        <v/>
      </c>
      <c r="P188" s="503" t="str">
        <f>IF(終値!A188="","",IF(AND(安値!U188&lt;安値!T188,安値!U188&lt;安値!S188,安値!U188&lt;安値!V188,安値!U188&lt;安値!W188),16,""))</f>
        <v/>
      </c>
      <c r="Q188" s="503" t="str">
        <f>IF(終値!A188="","",IF(AND(安値!V188&lt;安値!U188,安値!V188&lt;安値!T188,安値!V188&lt;安値!W188,安値!V188&lt;安値!X188),17,""))</f>
        <v/>
      </c>
      <c r="R188" s="503" t="str">
        <f>IF(終値!A188="","",IF(AND(安値!W188&lt;安値!V188,安値!W188&lt;安値!U188,安値!W188&lt;安値!X188,安値!W188&lt;安値!Y188),18,""))</f>
        <v/>
      </c>
      <c r="S188" s="503" t="str">
        <f>IF(終値!A188="","",IF(AND(安値!X188&lt;安値!W188,安値!X188&lt;安値!V188,安値!X188&lt;安値!Y188,安値!X188&lt;安値!Z188),19,""))</f>
        <v/>
      </c>
      <c r="T188" s="503" t="str">
        <f>IF(終値!A188="","",IF(AND(安値!Y188&lt;安値!X188,安値!Y188&lt;安値!W188,安値!Y188&lt;安値!Z188,安値!Y188&lt;安値!AA188),20,""))</f>
        <v/>
      </c>
      <c r="U188" s="503">
        <f>IF(終値!A188="","",IF(AND(安値!Z188&lt;安値!Y188,安値!Z188&lt;安値!X188,安値!Z188&lt;安値!AA188,安値!Z188&lt;安値!AB188),21,""))</f>
        <v>21</v>
      </c>
      <c r="V188" s="503" t="str">
        <f>IF(終値!A188="","",IF(AND(安値!AA188&lt;安値!Z188,安値!AA188&lt;安値!Y188,安値!AA188&lt;安値!AB188,安値!AA188&lt;安値!AC188),22,""))</f>
        <v/>
      </c>
      <c r="W188" s="503" t="str">
        <f>IF(終値!A188="","",IF(AND(安値!AB188&lt;安値!AA188,安値!AB188&lt;安値!Z188,安値!AB188&lt;安値!AC188,安値!AB188&lt;安値!AD188),23,""))</f>
        <v/>
      </c>
      <c r="X188" s="503" t="str">
        <f>IF(終値!A188="","",IF(AND(安値!AC188&lt;安値!AB188,安値!AC188&lt;安値!AA188,安値!AC188&lt;安値!AD188,安値!AC188&lt;安値!AE188),24,""))</f>
        <v/>
      </c>
      <c r="Y188" s="503" t="str">
        <f>IF(終値!A188="","",IF(AND(安値!AD188&lt;安値!AC188,安値!AD188&lt;安値!AB188,安値!AD188&lt;安値!AE188,安値!AD188&lt;安値!AF188),25,""))</f>
        <v/>
      </c>
      <c r="Z188" s="503" t="str">
        <f>IF(終値!A188="","",IF(AND(安値!AE188&lt;安値!AD188,安値!AE188&lt;安値!AC188,安値!AE188&lt;安値!AF188,安値!AE188&lt;安値!AG188),26,""))</f>
        <v/>
      </c>
      <c r="AA188" s="503" t="str">
        <f>IF(終値!A188="","",IF(AND(安値!AF188&lt;安値!AE188,安値!AF188&lt;安値!AD188,安値!AF188&lt;安値!AG188,安値!AF188&lt;安値!AH188),27,""))</f>
        <v/>
      </c>
      <c r="AB188" s="503" t="str">
        <f>IF(終値!A188="","",IF(AND(安値!AG188&lt;安値!AF188,安値!AG188&lt;安値!AE188,安値!AG188&lt;安値!AH188,安値!AG188&lt;安値!AI188),28,""))</f>
        <v/>
      </c>
      <c r="AC188" s="503" t="str">
        <f>IF(終値!A188="","",IF(AND(高値!G188&gt;高値!F188,高値!G188&gt;高値!E188,高値!G188&gt;高値!H188,高値!G188&gt;高値!I188),2,""))</f>
        <v/>
      </c>
      <c r="AD188" s="503" t="str">
        <f>IF(終値!A188="","",IF(AND(高値!H188&gt;高値!G188,高値!H188&gt;高値!F188,高値!H188&gt;高値!I188,高値!H188&gt;高値!J188),3,""))</f>
        <v/>
      </c>
      <c r="AE188" s="503" t="str">
        <f>IF(終値!A188="","",IF(AND(高値!I188&gt;高値!H188,高値!I188&gt;高値!G188,高値!I188&gt;高値!J188,高値!I188&gt;高値!K188),4,""))</f>
        <v/>
      </c>
      <c r="AF188" s="503">
        <f>IF(終値!A188="","",IF(AND(高値!J188&gt;高値!I188,高値!J188&gt;高値!H188,高値!J188&gt;高値!K188,高値!J188&gt;高値!L188),5,""))</f>
        <v>5</v>
      </c>
      <c r="AG188" s="503" t="str">
        <f>IF(終値!A188="","",IF(AND(高値!K188&gt;高値!J188,高値!K188&gt;高値!I188,高値!K188&gt;高値!L188,高値!K188&gt;高値!M188),6,""))</f>
        <v/>
      </c>
      <c r="AH188" s="503" t="str">
        <f>IF(終値!A188="","",IF(AND(高値!L188&gt;高値!K188,高値!L188&gt;高値!J188,高値!L188&gt;高値!M188,高値!L188&gt;高値!N188),7,""))</f>
        <v/>
      </c>
      <c r="AI188" s="503" t="str">
        <f>IF(終値!A188="","",IF(AND(高値!M188&gt;高値!L188,高値!M188&gt;高値!K188,高値!M188&gt;高値!N188,高値!M188&gt;高値!O188),8,""))</f>
        <v/>
      </c>
      <c r="AJ188" s="503" t="str">
        <f>IF(終値!A188="","",IF(AND(高値!N188&gt;高値!M188,高値!N188&gt;高値!L188,高値!N188&gt;高値!O188,高値!N188&gt;高値!P188),9,""))</f>
        <v/>
      </c>
      <c r="AK188" s="503" t="str">
        <f>IF(終値!A188="","",IF(AND(高値!O188&gt;高値!N188,高値!O188&gt;高値!M188,高値!O188&gt;高値!P188,高値!O188&gt;高値!Q188),10,""))</f>
        <v/>
      </c>
      <c r="AL188" s="503" t="str">
        <f>IF(終値!A188="","",IF(AND(高値!P188&gt;高値!O188,高値!P188&gt;高値!N188,高値!P188&gt;高値!Q188,高値!P188&gt;高値!R188),11,""))</f>
        <v/>
      </c>
      <c r="AM188" s="503" t="str">
        <f>IF(終値!A188="","",IF(AND(高値!Q188&gt;高値!P188,高値!Q188&gt;高値!O188,高値!Q188&gt;高値!R188,高値!Q188&gt;高値!S188),12,""))</f>
        <v/>
      </c>
      <c r="AN188" s="503" t="str">
        <f>IF(終値!A188="","",IF(AND(高値!R188&gt;高値!Q188,高値!R188&gt;高値!P188,高値!R188&gt;高値!S188,高値!R188&gt;高値!T188),13,""))</f>
        <v/>
      </c>
      <c r="AO188" s="503">
        <f>IF(終値!A188="","",IF(AND(高値!S188&gt;高値!R188,高値!S188&gt;高値!Q188,高値!S188&gt;高値!T188,高値!S188&gt;高値!U188),14,""))</f>
        <v>14</v>
      </c>
      <c r="AP188" s="503" t="str">
        <f>IF(終値!A188="","",IF(AND(高値!T188&gt;高値!S188,高値!T188&gt;高値!R188,高値!T188&gt;高値!U188,高値!T188&gt;高値!V188),15,""))</f>
        <v/>
      </c>
      <c r="AQ188" s="503" t="str">
        <f>IF(終値!A188="","",IF(AND(高値!U188&gt;高値!T188,高値!U188&gt;高値!S188,高値!U188&gt;高値!V188,高値!U188&gt;高値!W188),16,""))</f>
        <v/>
      </c>
      <c r="AR188" s="503" t="str">
        <f>IF(終値!A188="","",IF(AND(高値!V188&gt;高値!U188,高値!V188&gt;高値!T188,高値!V188&gt;高値!W188,高値!V188&gt;高値!X188),17,""))</f>
        <v/>
      </c>
      <c r="AS188" s="503" t="str">
        <f>IF(終値!A188="","",IF(AND(高値!W188&gt;高値!V188,高値!W188&gt;高値!U188,高値!W188&gt;高値!X188,高値!W188&gt;高値!Y188),18,""))</f>
        <v/>
      </c>
      <c r="AT188" s="503" t="str">
        <f>IF(終値!A188="","",IF(AND(高値!X188&gt;高値!W188,高値!X188&gt;高値!V188,高値!X188&gt;高値!Y188,高値!X188&gt;高値!Z188),19,""))</f>
        <v/>
      </c>
      <c r="AU188" s="503">
        <f>IF(終値!A188="","",IF(AND(高値!Y188&gt;高値!X188,高値!Y188&gt;高値!W188,高値!Y188&gt;高値!Z188,高値!Y188&gt;高値!AA188),20,""))</f>
        <v>20</v>
      </c>
      <c r="AV188" s="503" t="str">
        <f>IF(終値!A188="","",IF(AND(高値!Z188&gt;高値!Y188,高値!Z188&gt;高値!X188,高値!Z188&gt;高値!AA188,高値!Z188&gt;高値!AB188),21,""))</f>
        <v/>
      </c>
      <c r="AW188" s="503" t="str">
        <f>IF(終値!A188="","",IF(AND(高値!AA188&gt;高値!Z188,高値!AA188&gt;高値!Y188,高値!AA188&gt;高値!AB188,高値!AA188&gt;高値!AC188),22,""))</f>
        <v/>
      </c>
      <c r="AX188" s="503" t="str">
        <f>IF(終値!A188="","",IF(AND(高値!AB188&gt;高値!AA188,高値!AB188&gt;高値!Z188,高値!AB188&gt;高値!AC188,高値!AB188&gt;高値!AD188),23,""))</f>
        <v/>
      </c>
      <c r="AY188" s="503" t="str">
        <f>IF(終値!A188="","",IF(AND(高値!AC188&gt;高値!AB188,高値!AC188&gt;高値!AA188,高値!AC188&gt;高値!AD188,高値!AC188&gt;高値!AE188),24,""))</f>
        <v/>
      </c>
      <c r="AZ188" s="503">
        <f>IF(終値!A188="","",IF(AND(高値!AD188&gt;高値!AC188,高値!AD188&gt;高値!AB188,高値!AD188&gt;高値!AE188,高値!AD188&gt;高値!AF188),25,""))</f>
        <v>25</v>
      </c>
      <c r="BA188" s="503" t="str">
        <f>IF(終値!A188="","",IF(AND(高値!AE188&gt;高値!AD188,高値!AE188&gt;高値!AC188,高値!AE188&gt;高値!AF188,高値!AE188&gt;高値!AG188),26,""))</f>
        <v/>
      </c>
      <c r="BB188" s="503" t="str">
        <f>IF(終値!A188="","",IF(AND(高値!AF188&gt;高値!AE188,高値!AF188&gt;高値!AD188,高値!AF188&gt;高値!AG188,高値!AF188&gt;高値!AH188),27,""))</f>
        <v/>
      </c>
      <c r="BC188" s="503" t="str">
        <f>IF(終値!A188="","",IF(AND(高値!AG188&gt;高値!AF188,高値!AG188&gt;高値!AE188,高値!AG188&gt;高値!AH188,高値!AG188&gt;高値!AI188),28,""))</f>
        <v/>
      </c>
      <c r="BD188" s="503">
        <f t="shared" si="12"/>
        <v>3</v>
      </c>
      <c r="BE188" s="503">
        <f t="shared" si="13"/>
        <v>4</v>
      </c>
      <c r="BF188" s="503">
        <f t="shared" si="14"/>
        <v>9</v>
      </c>
      <c r="BG188" s="503">
        <f>IF($BE188="","",INDEX(安値!$E188:$CZ188,1,$BE188+1))</f>
        <v>607.70000000000005</v>
      </c>
      <c r="BH188" s="503">
        <f>IF($BF188="","",INDEX(安値!$E188:$CZ188,1,$BF188+1))</f>
        <v>586.5</v>
      </c>
      <c r="BI188" s="503">
        <f>IF($BF188="","",MAX(INDEX(高値!$E188:$CZ188,1,$BE188+1):INDEX(高値!$E188:$CZ188,1,$BF188+1)))</f>
        <v>646.29999999999995</v>
      </c>
      <c r="BJ188" s="503">
        <f>IF($BF188="","",AVERAGE(INDEX(終値!$E188:$CZ188,1,$BF188+1):INDEX(終値!$E188:$CZ188,1,$BF188+20))-2*STDEVP(INDEX(終値!$E188:$CZ188,1,$BF188+1):INDEX(終値!$E188:$CZ188,1,$BF188+20)))</f>
        <v>596.03580908989272</v>
      </c>
      <c r="BK188" s="503">
        <f>IF($BE188="","",AVERAGE(INDEX(終値!$E188:$CZ188,1,$BE188+1):INDEX(終値!$E188:$CZ188,1,$BE188+20))-2*STDEVP(INDEX(終値!$E188:$CZ188,1,$BE188+1):INDEX(終値!$E188:$CZ188,1,$BE188+20)))</f>
        <v>597.35216313491151</v>
      </c>
      <c r="BL188" s="503">
        <f t="shared" si="15"/>
        <v>4</v>
      </c>
      <c r="BM188" s="503">
        <f t="shared" si="16"/>
        <v>5</v>
      </c>
      <c r="BN188" s="503">
        <f t="shared" si="17"/>
        <v>14</v>
      </c>
      <c r="BO188" s="503">
        <f>IF($BM188="","",INDEX(高値!$E188:$CZ188,1,$BM188+1))</f>
        <v>646.29999999999995</v>
      </c>
      <c r="BP188" s="503">
        <f>IF($BN188="","",INDEX(高値!$E188:$CZ188,1,$BN188+1))</f>
        <v>656.5</v>
      </c>
      <c r="BQ188" s="503">
        <f>IF($BN188="","",MIN(INDEX(安値!$E188:$CZ188,1,$BM188+1):INDEX(安値!$E188:$CZ188,1,$BN188+1)))</f>
        <v>586.5</v>
      </c>
      <c r="BR188" s="503">
        <f>IF($BN188="","",AVERAGE(INDEX(終値!$E188:$CZ188,1,$BN188+1):INDEX(終値!$E188:$CZ188,1,$BN188+20))+2*STDEVP(INDEX(終値!$E188:$CZ188,1,$BN188+1):INDEX(終値!$E188:$CZ188,1,$BN188+20)))</f>
        <v>681.75811505733077</v>
      </c>
      <c r="BS188" s="503">
        <f>IF($BM188="","",AVERAGE(INDEX(終値!$E188:$CZ188,1,$BM188+1):INDEX(終値!$E188:$CZ188,1,$BM188+20))+2*STDEVP(INDEX(終値!$E188:$CZ188,1,$BM188+1):INDEX(終値!$E188:$CZ188,1,$BM188+20)))</f>
        <v>664.4581594227667</v>
      </c>
      <c r="BT188" s="500"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二番底W▲</v>
      </c>
    </row>
    <row r="189" spans="2:72">
      <c r="B189" s="503" t="str">
        <f>IF(終値!A189="","",IF(AND(安値!G189&lt;安値!F189,安値!G189&lt;安値!E189,安値!G189&lt;安値!H189,安値!G189&lt;安値!I189),2,""))</f>
        <v/>
      </c>
      <c r="C189" s="503" t="str">
        <f>IF(終値!A189="","",IF(AND(安値!H189&lt;安値!G189,安値!H189&lt;安値!F189,安値!H189&lt;安値!I189,安値!H189&lt;安値!J189),3,""))</f>
        <v/>
      </c>
      <c r="D189" s="503" t="str">
        <f>IF(終値!A189="","",IF(AND(安値!I189&lt;安値!H189,安値!I189&lt;安値!G189,安値!I189&lt;安値!J189,安値!I189&lt;安値!K189),4,""))</f>
        <v/>
      </c>
      <c r="E189" s="503" t="str">
        <f>IF(終値!A189="","",IF(AND(安値!J189&lt;安値!I189,安値!J189&lt;安値!H189,安値!J189&lt;安値!K189,安値!J189&lt;安値!L189),5,""))</f>
        <v/>
      </c>
      <c r="F189" s="503" t="str">
        <f>IF(終値!A189="","",IF(AND(安値!K189&lt;安値!J189,安値!K189&lt;安値!I189,安値!K189&lt;安値!L189,安値!K189&lt;安値!M189),6,""))</f>
        <v/>
      </c>
      <c r="G189" s="503" t="str">
        <f>IF(終値!A189="","",IF(AND(安値!L189&lt;安値!K189,安値!L189&lt;安値!J189,安値!L189&lt;安値!M189,安値!L189&lt;安値!N189),7,""))</f>
        <v/>
      </c>
      <c r="H189" s="503" t="str">
        <f>IF(終値!A189="","",IF(AND(安値!M189&lt;安値!L189,安値!M189&lt;安値!K189,安値!M189&lt;安値!N189,安値!M189&lt;安値!O189),8,""))</f>
        <v/>
      </c>
      <c r="I189" s="503" t="str">
        <f>IF(終値!A189="","",IF(AND(安値!N189&lt;安値!M189,安値!N189&lt;安値!L189,安値!N189&lt;安値!O189,安値!N189&lt;安値!P189),9,""))</f>
        <v/>
      </c>
      <c r="J189" s="503" t="str">
        <f>IF(終値!A189="","",IF(AND(安値!O189&lt;安値!N189,安値!O189&lt;安値!M189,安値!O189&lt;安値!P189,安値!O189&lt;安値!Q189),10,""))</f>
        <v/>
      </c>
      <c r="K189" s="503">
        <f>IF(終値!A189="","",IF(AND(安値!P189&lt;安値!O189,安値!P189&lt;安値!N189,安値!P189&lt;安値!Q189,安値!P189&lt;安値!R189),11,""))</f>
        <v>11</v>
      </c>
      <c r="L189" s="503" t="str">
        <f>IF(終値!A189="","",IF(AND(安値!Q189&lt;安値!P189,安値!Q189&lt;安値!O189,安値!Q189&lt;安値!R189,安値!Q189&lt;安値!S189),12,""))</f>
        <v/>
      </c>
      <c r="M189" s="503" t="str">
        <f>IF(終値!A189="","",IF(AND(安値!R189&lt;安値!Q189,安値!R189&lt;安値!P189,安値!R189&lt;安値!S189,安値!R189&lt;安値!T189),13,""))</f>
        <v/>
      </c>
      <c r="N189" s="503" t="str">
        <f>IF(終値!A189="","",IF(AND(安値!S189&lt;安値!R189,安値!S189&lt;安値!Q189,安値!S189&lt;安値!T189,安値!S189&lt;安値!U189),14,""))</f>
        <v/>
      </c>
      <c r="O189" s="503" t="str">
        <f>IF(終値!A189="","",IF(AND(安値!T189&lt;安値!S189,安値!T189&lt;安値!R189,安値!T189&lt;安値!U189,安値!T189&lt;安値!V189),15,""))</f>
        <v/>
      </c>
      <c r="P189" s="503" t="str">
        <f>IF(終値!A189="","",IF(AND(安値!U189&lt;安値!T189,安値!U189&lt;安値!S189,安値!U189&lt;安値!V189,安値!U189&lt;安値!W189),16,""))</f>
        <v/>
      </c>
      <c r="Q189" s="503">
        <f>IF(終値!A189="","",IF(AND(安値!V189&lt;安値!U189,安値!V189&lt;安値!T189,安値!V189&lt;安値!W189,安値!V189&lt;安値!X189),17,""))</f>
        <v>17</v>
      </c>
      <c r="R189" s="503" t="str">
        <f>IF(終値!A189="","",IF(AND(安値!W189&lt;安値!V189,安値!W189&lt;安値!U189,安値!W189&lt;安値!X189,安値!W189&lt;安値!Y189),18,""))</f>
        <v/>
      </c>
      <c r="S189" s="503" t="str">
        <f>IF(終値!A189="","",IF(AND(安値!X189&lt;安値!W189,安値!X189&lt;安値!V189,安値!X189&lt;安値!Y189,安値!X189&lt;安値!Z189),19,""))</f>
        <v/>
      </c>
      <c r="T189" s="503" t="str">
        <f>IF(終値!A189="","",IF(AND(安値!Y189&lt;安値!X189,安値!Y189&lt;安値!W189,安値!Y189&lt;安値!Z189,安値!Y189&lt;安値!AA189),20,""))</f>
        <v/>
      </c>
      <c r="U189" s="503" t="str">
        <f>IF(終値!A189="","",IF(AND(安値!Z189&lt;安値!Y189,安値!Z189&lt;安値!X189,安値!Z189&lt;安値!AA189,安値!Z189&lt;安値!AB189),21,""))</f>
        <v/>
      </c>
      <c r="V189" s="503" t="str">
        <f>IF(終値!A189="","",IF(AND(安値!AA189&lt;安値!Z189,安値!AA189&lt;安値!Y189,安値!AA189&lt;安値!AB189,安値!AA189&lt;安値!AC189),22,""))</f>
        <v/>
      </c>
      <c r="W189" s="503" t="str">
        <f>IF(終値!A189="","",IF(AND(安値!AB189&lt;安値!AA189,安値!AB189&lt;安値!Z189,安値!AB189&lt;安値!AC189,安値!AB189&lt;安値!AD189),23,""))</f>
        <v/>
      </c>
      <c r="X189" s="503" t="str">
        <f>IF(終値!A189="","",IF(AND(安値!AC189&lt;安値!AB189,安値!AC189&lt;安値!AA189,安値!AC189&lt;安値!AD189,安値!AC189&lt;安値!AE189),24,""))</f>
        <v/>
      </c>
      <c r="Y189" s="503" t="str">
        <f>IF(終値!A189="","",IF(AND(安値!AD189&lt;安値!AC189,安値!AD189&lt;安値!AB189,安値!AD189&lt;安値!AE189,安値!AD189&lt;安値!AF189),25,""))</f>
        <v/>
      </c>
      <c r="Z189" s="503" t="str">
        <f>IF(終値!A189="","",IF(AND(安値!AE189&lt;安値!AD189,安値!AE189&lt;安値!AC189,安値!AE189&lt;安値!AF189,安値!AE189&lt;安値!AG189),26,""))</f>
        <v/>
      </c>
      <c r="AA189" s="503" t="str">
        <f>IF(終値!A189="","",IF(AND(安値!AF189&lt;安値!AE189,安値!AF189&lt;安値!AD189,安値!AF189&lt;安値!AG189,安値!AF189&lt;安値!AH189),27,""))</f>
        <v/>
      </c>
      <c r="AB189" s="503" t="str">
        <f>IF(終値!A189="","",IF(AND(安値!AG189&lt;安値!AF189,安値!AG189&lt;安値!AE189,安値!AG189&lt;安値!AH189,安値!AG189&lt;安値!AI189),28,""))</f>
        <v/>
      </c>
      <c r="AC189" s="503" t="str">
        <f>IF(終値!A189="","",IF(AND(高値!G189&gt;高値!F189,高値!G189&gt;高値!E189,高値!G189&gt;高値!H189,高値!G189&gt;高値!I189),2,""))</f>
        <v/>
      </c>
      <c r="AD189" s="503" t="str">
        <f>IF(終値!A189="","",IF(AND(高値!H189&gt;高値!G189,高値!H189&gt;高値!F189,高値!H189&gt;高値!I189,高値!H189&gt;高値!J189),3,""))</f>
        <v/>
      </c>
      <c r="AE189" s="503" t="str">
        <f>IF(終値!A189="","",IF(AND(高値!I189&gt;高値!H189,高値!I189&gt;高値!G189,高値!I189&gt;高値!J189,高値!I189&gt;高値!K189),4,""))</f>
        <v/>
      </c>
      <c r="AF189" s="503">
        <f>IF(終値!A189="","",IF(AND(高値!J189&gt;高値!I189,高値!J189&gt;高値!H189,高値!J189&gt;高値!K189,高値!J189&gt;高値!L189),5,""))</f>
        <v>5</v>
      </c>
      <c r="AG189" s="503" t="str">
        <f>IF(終値!A189="","",IF(AND(高値!K189&gt;高値!J189,高値!K189&gt;高値!I189,高値!K189&gt;高値!L189,高値!K189&gt;高値!M189),6,""))</f>
        <v/>
      </c>
      <c r="AH189" s="503" t="str">
        <f>IF(終値!A189="","",IF(AND(高値!L189&gt;高値!K189,高値!L189&gt;高値!J189,高値!L189&gt;高値!M189,高値!L189&gt;高値!N189),7,""))</f>
        <v/>
      </c>
      <c r="AI189" s="503" t="str">
        <f>IF(終値!A189="","",IF(AND(高値!M189&gt;高値!L189,高値!M189&gt;高値!K189,高値!M189&gt;高値!N189,高値!M189&gt;高値!O189),8,""))</f>
        <v/>
      </c>
      <c r="AJ189" s="503" t="str">
        <f>IF(終値!A189="","",IF(AND(高値!N189&gt;高値!M189,高値!N189&gt;高値!L189,高値!N189&gt;高値!O189,高値!N189&gt;高値!P189),9,""))</f>
        <v/>
      </c>
      <c r="AK189" s="503" t="str">
        <f>IF(終値!A189="","",IF(AND(高値!O189&gt;高値!N189,高値!O189&gt;高値!M189,高値!O189&gt;高値!P189,高値!O189&gt;高値!Q189),10,""))</f>
        <v/>
      </c>
      <c r="AL189" s="503" t="str">
        <f>IF(終値!A189="","",IF(AND(高値!P189&gt;高値!O189,高値!P189&gt;高値!N189,高値!P189&gt;高値!Q189,高値!P189&gt;高値!R189),11,""))</f>
        <v/>
      </c>
      <c r="AM189" s="503">
        <f>IF(終値!A189="","",IF(AND(高値!Q189&gt;高値!P189,高値!Q189&gt;高値!O189,高値!Q189&gt;高値!R189,高値!Q189&gt;高値!S189),12,""))</f>
        <v>12</v>
      </c>
      <c r="AN189" s="503" t="str">
        <f>IF(終値!A189="","",IF(AND(高値!R189&gt;高値!Q189,高値!R189&gt;高値!P189,高値!R189&gt;高値!S189,高値!R189&gt;高値!T189),13,""))</f>
        <v/>
      </c>
      <c r="AO189" s="503" t="str">
        <f>IF(終値!A189="","",IF(AND(高値!S189&gt;高値!R189,高値!S189&gt;高値!Q189,高値!S189&gt;高値!T189,高値!S189&gt;高値!U189),14,""))</f>
        <v/>
      </c>
      <c r="AP189" s="503" t="str">
        <f>IF(終値!A189="","",IF(AND(高値!T189&gt;高値!S189,高値!T189&gt;高値!R189,高値!T189&gt;高値!U189,高値!T189&gt;高値!V189),15,""))</f>
        <v/>
      </c>
      <c r="AQ189" s="503" t="str">
        <f>IF(終値!A189="","",IF(AND(高値!U189&gt;高値!T189,高値!U189&gt;高値!S189,高値!U189&gt;高値!V189,高値!U189&gt;高値!W189),16,""))</f>
        <v/>
      </c>
      <c r="AR189" s="503" t="str">
        <f>IF(終値!A189="","",IF(AND(高値!V189&gt;高値!U189,高値!V189&gt;高値!T189,高値!V189&gt;高値!W189,高値!V189&gt;高値!X189),17,""))</f>
        <v/>
      </c>
      <c r="AS189" s="503" t="str">
        <f>IF(終値!A189="","",IF(AND(高値!W189&gt;高値!V189,高値!W189&gt;高値!U189,高値!W189&gt;高値!X189,高値!W189&gt;高値!Y189),18,""))</f>
        <v/>
      </c>
      <c r="AT189" s="503" t="str">
        <f>IF(終値!A189="","",IF(AND(高値!X189&gt;高値!W189,高値!X189&gt;高値!V189,高値!X189&gt;高値!Y189,高値!X189&gt;高値!Z189),19,""))</f>
        <v/>
      </c>
      <c r="AU189" s="503" t="str">
        <f>IF(終値!A189="","",IF(AND(高値!Y189&gt;高値!X189,高値!Y189&gt;高値!W189,高値!Y189&gt;高値!Z189,高値!Y189&gt;高値!AA189),20,""))</f>
        <v/>
      </c>
      <c r="AV189" s="503">
        <f>IF(終値!A189="","",IF(AND(高値!Z189&gt;高値!Y189,高値!Z189&gt;高値!X189,高値!Z189&gt;高値!AA189,高値!Z189&gt;高値!AB189),21,""))</f>
        <v>21</v>
      </c>
      <c r="AW189" s="503" t="str">
        <f>IF(終値!A189="","",IF(AND(高値!AA189&gt;高値!Z189,高値!AA189&gt;高値!Y189,高値!AA189&gt;高値!AB189,高値!AA189&gt;高値!AC189),22,""))</f>
        <v/>
      </c>
      <c r="AX189" s="503" t="str">
        <f>IF(終値!A189="","",IF(AND(高値!AB189&gt;高値!AA189,高値!AB189&gt;高値!Z189,高値!AB189&gt;高値!AC189,高値!AB189&gt;高値!AD189),23,""))</f>
        <v/>
      </c>
      <c r="AY189" s="503" t="str">
        <f>IF(終値!A189="","",IF(AND(高値!AC189&gt;高値!AB189,高値!AC189&gt;高値!AA189,高値!AC189&gt;高値!AD189,高値!AC189&gt;高値!AE189),24,""))</f>
        <v/>
      </c>
      <c r="AZ189" s="503" t="str">
        <f>IF(終値!A189="","",IF(AND(高値!AD189&gt;高値!AC189,高値!AD189&gt;高値!AB189,高値!AD189&gt;高値!AE189,高値!AD189&gt;高値!AF189),25,""))</f>
        <v/>
      </c>
      <c r="BA189" s="503">
        <f>IF(終値!A189="","",IF(AND(高値!AE189&gt;高値!AD189,高値!AE189&gt;高値!AC189,高値!AE189&gt;高値!AF189,高値!AE189&gt;高値!AG189),26,""))</f>
        <v>26</v>
      </c>
      <c r="BB189" s="503" t="str">
        <f>IF(終値!A189="","",IF(AND(高値!AF189&gt;高値!AE189,高値!AF189&gt;高値!AD189,高値!AF189&gt;高値!AG189,高値!AF189&gt;高値!AH189),27,""))</f>
        <v/>
      </c>
      <c r="BC189" s="503" t="str">
        <f>IF(終値!A189="","",IF(AND(高値!AG189&gt;高値!AF189,高値!AG189&gt;高値!AE189,高値!AG189&gt;高値!AH189,高値!AG189&gt;高値!AI189),28,""))</f>
        <v/>
      </c>
      <c r="BD189" s="503">
        <f t="shared" si="12"/>
        <v>2</v>
      </c>
      <c r="BE189" s="503">
        <f t="shared" si="13"/>
        <v>11</v>
      </c>
      <c r="BF189" s="503">
        <f t="shared" si="14"/>
        <v>17</v>
      </c>
      <c r="BG189" s="503">
        <f>IF($BE189="","",INDEX(安値!$E189:$CZ189,1,$BE189+1))</f>
        <v>1978.5</v>
      </c>
      <c r="BH189" s="503">
        <f>IF($BF189="","",INDEX(安値!$E189:$CZ189,1,$BF189+1))</f>
        <v>1930.5</v>
      </c>
      <c r="BI189" s="503">
        <f>IF($BF189="","",MAX(INDEX(高値!$E189:$CZ189,1,$BE189+1):INDEX(高値!$E189:$CZ189,1,$BF189+1)))</f>
        <v>2043.5</v>
      </c>
      <c r="BJ189" s="503">
        <f>IF($BF189="","",AVERAGE(INDEX(終値!$E189:$CZ189,1,$BF189+1):INDEX(終値!$E189:$CZ189,1,$BF189+20))-2*STDEVP(INDEX(終値!$E189:$CZ189,1,$BF189+1):INDEX(終値!$E189:$CZ189,1,$BF189+20)))</f>
        <v>1683.0579751003652</v>
      </c>
      <c r="BK189" s="503">
        <f>IF($BE189="","",AVERAGE(INDEX(終値!$E189:$CZ189,1,$BE189+1):INDEX(終値!$E189:$CZ189,1,$BE189+20))-2*STDEVP(INDEX(終値!$E189:$CZ189,1,$BE189+1):INDEX(終値!$E189:$CZ189,1,$BE189+20)))</f>
        <v>1752.0942041425033</v>
      </c>
      <c r="BL189" s="503">
        <f t="shared" si="15"/>
        <v>4</v>
      </c>
      <c r="BM189" s="503">
        <f t="shared" si="16"/>
        <v>5</v>
      </c>
      <c r="BN189" s="503">
        <f t="shared" si="17"/>
        <v>12</v>
      </c>
      <c r="BO189" s="503">
        <f>IF($BM189="","",INDEX(高値!$E189:$CZ189,1,$BM189+1))</f>
        <v>2194.5</v>
      </c>
      <c r="BP189" s="503">
        <f>IF($BN189="","",INDEX(高値!$E189:$CZ189,1,$BN189+1))</f>
        <v>2043.5</v>
      </c>
      <c r="BQ189" s="503">
        <f>IF($BN189="","",MIN(INDEX(安値!$E189:$CZ189,1,$BM189+1):INDEX(安値!$E189:$CZ189,1,$BN189+1)))</f>
        <v>1978.5</v>
      </c>
      <c r="BR189" s="503">
        <f>IF($BN189="","",AVERAGE(INDEX(終値!$E189:$CZ189,1,$BN189+1):INDEX(終値!$E189:$CZ189,1,$BN189+20))+2*STDEVP(INDEX(終値!$E189:$CZ189,1,$BN189+1):INDEX(終値!$E189:$CZ189,1,$BN189+20)))</f>
        <v>2071.3464946532308</v>
      </c>
      <c r="BS189" s="503">
        <f>IF($BM189="","",AVERAGE(INDEX(終値!$E189:$CZ189,1,$BM189+1):INDEX(終値!$E189:$CZ189,1,$BM189+20))+2*STDEVP(INDEX(終値!$E189:$CZ189,1,$BM189+1):INDEX(終値!$E189:$CZ189,1,$BM189+20)))</f>
        <v>2159.2307832986321</v>
      </c>
      <c r="BT189" s="500"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v>
      </c>
    </row>
    <row r="190" spans="2:72">
      <c r="B190" s="503">
        <f>IF(終値!A190="","",IF(AND(安値!G190&lt;安値!F190,安値!G190&lt;安値!E190,安値!G190&lt;安値!H190,安値!G190&lt;安値!I190),2,""))</f>
        <v>2</v>
      </c>
      <c r="C190" s="503" t="str">
        <f>IF(終値!A190="","",IF(AND(安値!H190&lt;安値!G190,安値!H190&lt;安値!F190,安値!H190&lt;安値!I190,安値!H190&lt;安値!J190),3,""))</f>
        <v/>
      </c>
      <c r="D190" s="503" t="str">
        <f>IF(終値!A190="","",IF(AND(安値!I190&lt;安値!H190,安値!I190&lt;安値!G190,安値!I190&lt;安値!J190,安値!I190&lt;安値!K190),4,""))</f>
        <v/>
      </c>
      <c r="E190" s="503" t="str">
        <f>IF(終値!A190="","",IF(AND(安値!J190&lt;安値!I190,安値!J190&lt;安値!H190,安値!J190&lt;安値!K190,安値!J190&lt;安値!L190),5,""))</f>
        <v/>
      </c>
      <c r="F190" s="503">
        <f>IF(終値!A190="","",IF(AND(安値!K190&lt;安値!J190,安値!K190&lt;安値!I190,安値!K190&lt;安値!L190,安値!K190&lt;安値!M190),6,""))</f>
        <v>6</v>
      </c>
      <c r="G190" s="503" t="str">
        <f>IF(終値!A190="","",IF(AND(安値!L190&lt;安値!K190,安値!L190&lt;安値!J190,安値!L190&lt;安値!M190,安値!L190&lt;安値!N190),7,""))</f>
        <v/>
      </c>
      <c r="H190" s="503" t="str">
        <f>IF(終値!A190="","",IF(AND(安値!M190&lt;安値!L190,安値!M190&lt;安値!K190,安値!M190&lt;安値!N190,安値!M190&lt;安値!O190),8,""))</f>
        <v/>
      </c>
      <c r="I190" s="503" t="str">
        <f>IF(終値!A190="","",IF(AND(安値!N190&lt;安値!M190,安値!N190&lt;安値!L190,安値!N190&lt;安値!O190,安値!N190&lt;安値!P190),9,""))</f>
        <v/>
      </c>
      <c r="J190" s="503" t="str">
        <f>IF(終値!A190="","",IF(AND(安値!O190&lt;安値!N190,安値!O190&lt;安値!M190,安値!O190&lt;安値!P190,安値!O190&lt;安値!Q190),10,""))</f>
        <v/>
      </c>
      <c r="K190" s="503" t="str">
        <f>IF(終値!A190="","",IF(AND(安値!P190&lt;安値!O190,安値!P190&lt;安値!N190,安値!P190&lt;安値!Q190,安値!P190&lt;安値!R190),11,""))</f>
        <v/>
      </c>
      <c r="L190" s="503" t="str">
        <f>IF(終値!A190="","",IF(AND(安値!Q190&lt;安値!P190,安値!Q190&lt;安値!O190,安値!Q190&lt;安値!R190,安値!Q190&lt;安値!S190),12,""))</f>
        <v/>
      </c>
      <c r="M190" s="503">
        <f>IF(終値!A190="","",IF(AND(安値!R190&lt;安値!Q190,安値!R190&lt;安値!P190,安値!R190&lt;安値!S190,安値!R190&lt;安値!T190),13,""))</f>
        <v>13</v>
      </c>
      <c r="N190" s="503" t="str">
        <f>IF(終値!A190="","",IF(AND(安値!S190&lt;安値!R190,安値!S190&lt;安値!Q190,安値!S190&lt;安値!T190,安値!S190&lt;安値!U190),14,""))</f>
        <v/>
      </c>
      <c r="O190" s="503" t="str">
        <f>IF(終値!A190="","",IF(AND(安値!T190&lt;安値!S190,安値!T190&lt;安値!R190,安値!T190&lt;安値!U190,安値!T190&lt;安値!V190),15,""))</f>
        <v/>
      </c>
      <c r="P190" s="503" t="str">
        <f>IF(終値!A190="","",IF(AND(安値!U190&lt;安値!T190,安値!U190&lt;安値!S190,安値!U190&lt;安値!V190,安値!U190&lt;安値!W190),16,""))</f>
        <v/>
      </c>
      <c r="Q190" s="503">
        <f>IF(終値!A190="","",IF(AND(安値!V190&lt;安値!U190,安値!V190&lt;安値!T190,安値!V190&lt;安値!W190,安値!V190&lt;安値!X190),17,""))</f>
        <v>17</v>
      </c>
      <c r="R190" s="503" t="str">
        <f>IF(終値!A190="","",IF(AND(安値!W190&lt;安値!V190,安値!W190&lt;安値!U190,安値!W190&lt;安値!X190,安値!W190&lt;安値!Y190),18,""))</f>
        <v/>
      </c>
      <c r="S190" s="503" t="str">
        <f>IF(終値!A190="","",IF(AND(安値!X190&lt;安値!W190,安値!X190&lt;安値!V190,安値!X190&lt;安値!Y190,安値!X190&lt;安値!Z190),19,""))</f>
        <v/>
      </c>
      <c r="T190" s="503" t="str">
        <f>IF(終値!A190="","",IF(AND(安値!Y190&lt;安値!X190,安値!Y190&lt;安値!W190,安値!Y190&lt;安値!Z190,安値!Y190&lt;安値!AA190),20,""))</f>
        <v/>
      </c>
      <c r="U190" s="503" t="str">
        <f>IF(終値!A190="","",IF(AND(安値!Z190&lt;安値!Y190,安値!Z190&lt;安値!X190,安値!Z190&lt;安値!AA190,安値!Z190&lt;安値!AB190),21,""))</f>
        <v/>
      </c>
      <c r="V190" s="503" t="str">
        <f>IF(終値!A190="","",IF(AND(安値!AA190&lt;安値!Z190,安値!AA190&lt;安値!Y190,安値!AA190&lt;安値!AB190,安値!AA190&lt;安値!AC190),22,""))</f>
        <v/>
      </c>
      <c r="W190" s="503" t="str">
        <f>IF(終値!A190="","",IF(AND(安値!AB190&lt;安値!AA190,安値!AB190&lt;安値!Z190,安値!AB190&lt;安値!AC190,安値!AB190&lt;安値!AD190),23,""))</f>
        <v/>
      </c>
      <c r="X190" s="503" t="str">
        <f>IF(終値!A190="","",IF(AND(安値!AC190&lt;安値!AB190,安値!AC190&lt;安値!AA190,安値!AC190&lt;安値!AD190,安値!AC190&lt;安値!AE190),24,""))</f>
        <v/>
      </c>
      <c r="Y190" s="503" t="str">
        <f>IF(終値!A190="","",IF(AND(安値!AD190&lt;安値!AC190,安値!AD190&lt;安値!AB190,安値!AD190&lt;安値!AE190,安値!AD190&lt;安値!AF190),25,""))</f>
        <v/>
      </c>
      <c r="Z190" s="503" t="str">
        <f>IF(終値!A190="","",IF(AND(安値!AE190&lt;安値!AD190,安値!AE190&lt;安値!AC190,安値!AE190&lt;安値!AF190,安値!AE190&lt;安値!AG190),26,""))</f>
        <v/>
      </c>
      <c r="AA190" s="503">
        <f>IF(終値!A190="","",IF(AND(安値!AF190&lt;安値!AE190,安値!AF190&lt;安値!AD190,安値!AF190&lt;安値!AG190,安値!AF190&lt;安値!AH190),27,""))</f>
        <v>27</v>
      </c>
      <c r="AB190" s="503" t="str">
        <f>IF(終値!A190="","",IF(AND(安値!AG190&lt;安値!AF190,安値!AG190&lt;安値!AE190,安値!AG190&lt;安値!AH190,安値!AG190&lt;安値!AI190),28,""))</f>
        <v/>
      </c>
      <c r="AC190" s="503" t="str">
        <f>IF(終値!A190="","",IF(AND(高値!G190&gt;高値!F190,高値!G190&gt;高値!E190,高値!G190&gt;高値!H190,高値!G190&gt;高値!I190),2,""))</f>
        <v/>
      </c>
      <c r="AD190" s="503" t="str">
        <f>IF(終値!A190="","",IF(AND(高値!H190&gt;高値!G190,高値!H190&gt;高値!F190,高値!H190&gt;高値!I190,高値!H190&gt;高値!J190),3,""))</f>
        <v/>
      </c>
      <c r="AE190" s="503" t="str">
        <f>IF(終値!A190="","",IF(AND(高値!I190&gt;高値!H190,高値!I190&gt;高値!G190,高値!I190&gt;高値!J190,高値!I190&gt;高値!K190),4,""))</f>
        <v/>
      </c>
      <c r="AF190" s="503" t="str">
        <f>IF(終値!A190="","",IF(AND(高値!J190&gt;高値!I190,高値!J190&gt;高値!H190,高値!J190&gt;高値!K190,高値!J190&gt;高値!L190),5,""))</f>
        <v/>
      </c>
      <c r="AG190" s="503" t="str">
        <f>IF(終値!A190="","",IF(AND(高値!K190&gt;高値!J190,高値!K190&gt;高値!I190,高値!K190&gt;高値!L190,高値!K190&gt;高値!M190),6,""))</f>
        <v/>
      </c>
      <c r="AH190" s="503" t="str">
        <f>IF(終値!A190="","",IF(AND(高値!L190&gt;高値!K190,高値!L190&gt;高値!J190,高値!L190&gt;高値!M190,高値!L190&gt;高値!N190),7,""))</f>
        <v/>
      </c>
      <c r="AI190" s="503">
        <f>IF(終値!A190="","",IF(AND(高値!M190&gt;高値!L190,高値!M190&gt;高値!K190,高値!M190&gt;高値!N190,高値!M190&gt;高値!O190),8,""))</f>
        <v>8</v>
      </c>
      <c r="AJ190" s="503" t="str">
        <f>IF(終値!A190="","",IF(AND(高値!N190&gt;高値!M190,高値!N190&gt;高値!L190,高値!N190&gt;高値!O190,高値!N190&gt;高値!P190),9,""))</f>
        <v/>
      </c>
      <c r="AK190" s="503" t="str">
        <f>IF(終値!A190="","",IF(AND(高値!O190&gt;高値!N190,高値!O190&gt;高値!M190,高値!O190&gt;高値!P190,高値!O190&gt;高値!Q190),10,""))</f>
        <v/>
      </c>
      <c r="AL190" s="503" t="str">
        <f>IF(終値!A190="","",IF(AND(高値!P190&gt;高値!O190,高値!P190&gt;高値!N190,高値!P190&gt;高値!Q190,高値!P190&gt;高値!R190),11,""))</f>
        <v/>
      </c>
      <c r="AM190" s="503" t="str">
        <f>IF(終値!A190="","",IF(AND(高値!Q190&gt;高値!P190,高値!Q190&gt;高値!O190,高値!Q190&gt;高値!R190,高値!Q190&gt;高値!S190),12,""))</f>
        <v/>
      </c>
      <c r="AN190" s="503" t="str">
        <f>IF(終値!A190="","",IF(AND(高値!R190&gt;高値!Q190,高値!R190&gt;高値!P190,高値!R190&gt;高値!S190,高値!R190&gt;高値!T190),13,""))</f>
        <v/>
      </c>
      <c r="AO190" s="503" t="str">
        <f>IF(終値!A190="","",IF(AND(高値!S190&gt;高値!R190,高値!S190&gt;高値!Q190,高値!S190&gt;高値!T190,高値!S190&gt;高値!U190),14,""))</f>
        <v/>
      </c>
      <c r="AP190" s="503" t="str">
        <f>IF(終値!A190="","",IF(AND(高値!T190&gt;高値!S190,高値!T190&gt;高値!R190,高値!T190&gt;高値!U190,高値!T190&gt;高値!V190),15,""))</f>
        <v/>
      </c>
      <c r="AQ190" s="503" t="str">
        <f>IF(終値!A190="","",IF(AND(高値!U190&gt;高値!T190,高値!U190&gt;高値!S190,高値!U190&gt;高値!V190,高値!U190&gt;高値!W190),16,""))</f>
        <v/>
      </c>
      <c r="AR190" s="503" t="str">
        <f>IF(終値!A190="","",IF(AND(高値!V190&gt;高値!U190,高値!V190&gt;高値!T190,高値!V190&gt;高値!W190,高値!V190&gt;高値!X190),17,""))</f>
        <v/>
      </c>
      <c r="AS190" s="503" t="str">
        <f>IF(終値!A190="","",IF(AND(高値!W190&gt;高値!V190,高値!W190&gt;高値!U190,高値!W190&gt;高値!X190,高値!W190&gt;高値!Y190),18,""))</f>
        <v/>
      </c>
      <c r="AT190" s="503" t="str">
        <f>IF(終値!A190="","",IF(AND(高値!X190&gt;高値!W190,高値!X190&gt;高値!V190,高値!X190&gt;高値!Y190,高値!X190&gt;高値!Z190),19,""))</f>
        <v/>
      </c>
      <c r="AU190" s="503">
        <f>IF(終値!A190="","",IF(AND(高値!Y190&gt;高値!X190,高値!Y190&gt;高値!W190,高値!Y190&gt;高値!Z190,高値!Y190&gt;高値!AA190),20,""))</f>
        <v>20</v>
      </c>
      <c r="AV190" s="503" t="str">
        <f>IF(終値!A190="","",IF(AND(高値!Z190&gt;高値!Y190,高値!Z190&gt;高値!X190,高値!Z190&gt;高値!AA190,高値!Z190&gt;高値!AB190),21,""))</f>
        <v/>
      </c>
      <c r="AW190" s="503" t="str">
        <f>IF(終値!A190="","",IF(AND(高値!AA190&gt;高値!Z190,高値!AA190&gt;高値!Y190,高値!AA190&gt;高値!AB190,高値!AA190&gt;高値!AC190),22,""))</f>
        <v/>
      </c>
      <c r="AX190" s="503" t="str">
        <f>IF(終値!A190="","",IF(AND(高値!AB190&gt;高値!AA190,高値!AB190&gt;高値!Z190,高値!AB190&gt;高値!AC190,高値!AB190&gt;高値!AD190),23,""))</f>
        <v/>
      </c>
      <c r="AY190" s="503" t="str">
        <f>IF(終値!A190="","",IF(AND(高値!AC190&gt;高値!AB190,高値!AC190&gt;高値!AA190,高値!AC190&gt;高値!AD190,高値!AC190&gt;高値!AE190),24,""))</f>
        <v/>
      </c>
      <c r="AZ190" s="503" t="str">
        <f>IF(終値!A190="","",IF(AND(高値!AD190&gt;高値!AC190,高値!AD190&gt;高値!AB190,高値!AD190&gt;高値!AE190,高値!AD190&gt;高値!AF190),25,""))</f>
        <v/>
      </c>
      <c r="BA190" s="503" t="str">
        <f>IF(終値!A190="","",IF(AND(高値!AE190&gt;高値!AD190,高値!AE190&gt;高値!AC190,高値!AE190&gt;高値!AF190,高値!AE190&gt;高値!AG190),26,""))</f>
        <v/>
      </c>
      <c r="BB190" s="503" t="str">
        <f>IF(終値!A190="","",IF(AND(高値!AF190&gt;高値!AE190,高値!AF190&gt;高値!AD190,高値!AF190&gt;高値!AG190,高値!AF190&gt;高値!AH190),27,""))</f>
        <v/>
      </c>
      <c r="BC190" s="503" t="str">
        <f>IF(終値!A190="","",IF(AND(高値!AG190&gt;高値!AF190,高値!AG190&gt;高値!AE190,高値!AG190&gt;高値!AH190,高値!AG190&gt;高値!AI190),28,""))</f>
        <v/>
      </c>
      <c r="BD190" s="503">
        <f t="shared" si="12"/>
        <v>5</v>
      </c>
      <c r="BE190" s="503">
        <f t="shared" si="13"/>
        <v>2</v>
      </c>
      <c r="BF190" s="503">
        <f t="shared" si="14"/>
        <v>6</v>
      </c>
      <c r="BG190" s="503">
        <f>IF($BE190="","",INDEX(安値!$E190:$CZ190,1,$BE190+1))</f>
        <v>1686</v>
      </c>
      <c r="BH190" s="503">
        <f>IF($BF190="","",INDEX(安値!$E190:$CZ190,1,$BF190+1))</f>
        <v>1732</v>
      </c>
      <c r="BI190" s="503">
        <f>IF($BF190="","",MAX(INDEX(高値!$E190:$CZ190,1,$BE190+1):INDEX(高値!$E190:$CZ190,1,$BF190+1)))</f>
        <v>1791.5</v>
      </c>
      <c r="BJ190" s="503">
        <f>IF($BF190="","",AVERAGE(INDEX(終値!$E190:$CZ190,1,$BF190+1):INDEX(終値!$E190:$CZ190,1,$BF190+20))-2*STDEVP(INDEX(終値!$E190:$CZ190,1,$BF190+1):INDEX(終値!$E190:$CZ190,1,$BF190+20)))</f>
        <v>1509.7204538781243</v>
      </c>
      <c r="BK190" s="503">
        <f>IF($BE190="","",AVERAGE(INDEX(終値!$E190:$CZ190,1,$BE190+1):INDEX(終値!$E190:$CZ190,1,$BE190+20))-2*STDEVP(INDEX(終値!$E190:$CZ190,1,$BE190+1):INDEX(終値!$E190:$CZ190,1,$BE190+20)))</f>
        <v>1581.0001180978961</v>
      </c>
      <c r="BL190" s="503">
        <f t="shared" si="15"/>
        <v>2</v>
      </c>
      <c r="BM190" s="503">
        <f t="shared" si="16"/>
        <v>8</v>
      </c>
      <c r="BN190" s="503">
        <f t="shared" si="17"/>
        <v>20</v>
      </c>
      <c r="BO190" s="503">
        <f>IF($BM190="","",INDEX(高値!$E190:$CZ190,1,$BM190+1))</f>
        <v>1797.5</v>
      </c>
      <c r="BP190" s="503">
        <f>IF($BN190="","",INDEX(高値!$E190:$CZ190,1,$BN190+1))</f>
        <v>1685</v>
      </c>
      <c r="BQ190" s="503">
        <f>IF($BN190="","",MIN(INDEX(安値!$E190:$CZ190,1,$BM190+1):INDEX(安値!$E190:$CZ190,1,$BN190+1)))</f>
        <v>1597</v>
      </c>
      <c r="BR190" s="503">
        <f>IF($BN190="","",AVERAGE(INDEX(終値!$E190:$CZ190,1,$BN190+1):INDEX(終値!$E190:$CZ190,1,$BN190+20))+2*STDEVP(INDEX(終値!$E190:$CZ190,1,$BN190+1):INDEX(終値!$E190:$CZ190,1,$BN190+20)))</f>
        <v>1646.6764583744025</v>
      </c>
      <c r="BS190" s="503">
        <f>IF($BM190="","",AVERAGE(INDEX(終値!$E190:$CZ190,1,$BM190+1):INDEX(終値!$E190:$CZ190,1,$BM190+20))+2*STDEVP(INDEX(終値!$E190:$CZ190,1,$BM190+1):INDEX(終値!$E190:$CZ190,1,$BM190+20)))</f>
        <v>1804.8120780487041</v>
      </c>
      <c r="BT190" s="500"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二番底W形成</v>
      </c>
    </row>
    <row r="191" spans="2:72">
      <c r="B191" s="503" t="str">
        <f>IF(終値!A191="","",IF(AND(安値!G191&lt;安値!F191,安値!G191&lt;安値!E191,安値!G191&lt;安値!H191,安値!G191&lt;安値!I191),2,""))</f>
        <v/>
      </c>
      <c r="C191" s="503">
        <f>IF(終値!A191="","",IF(AND(安値!H191&lt;安値!G191,安値!H191&lt;安値!F191,安値!H191&lt;安値!I191,安値!H191&lt;安値!J191),3,""))</f>
        <v>3</v>
      </c>
      <c r="D191" s="503" t="str">
        <f>IF(終値!A191="","",IF(AND(安値!I191&lt;安値!H191,安値!I191&lt;安値!G191,安値!I191&lt;安値!J191,安値!I191&lt;安値!K191),4,""))</f>
        <v/>
      </c>
      <c r="E191" s="503" t="str">
        <f>IF(終値!A191="","",IF(AND(安値!J191&lt;安値!I191,安値!J191&lt;安値!H191,安値!J191&lt;安値!K191,安値!J191&lt;安値!L191),5,""))</f>
        <v/>
      </c>
      <c r="F191" s="503" t="str">
        <f>IF(終値!A191="","",IF(AND(安値!K191&lt;安値!J191,安値!K191&lt;安値!I191,安値!K191&lt;安値!L191,安値!K191&lt;安値!M191),6,""))</f>
        <v/>
      </c>
      <c r="G191" s="503" t="str">
        <f>IF(終値!A191="","",IF(AND(安値!L191&lt;安値!K191,安値!L191&lt;安値!J191,安値!L191&lt;安値!M191,安値!L191&lt;安値!N191),7,""))</f>
        <v/>
      </c>
      <c r="H191" s="503" t="str">
        <f>IF(終値!A191="","",IF(AND(安値!M191&lt;安値!L191,安値!M191&lt;安値!K191,安値!M191&lt;安値!N191,安値!M191&lt;安値!O191),8,""))</f>
        <v/>
      </c>
      <c r="I191" s="503" t="str">
        <f>IF(終値!A191="","",IF(AND(安値!N191&lt;安値!M191,安値!N191&lt;安値!L191,安値!N191&lt;安値!O191,安値!N191&lt;安値!P191),9,""))</f>
        <v/>
      </c>
      <c r="J191" s="503" t="str">
        <f>IF(終値!A191="","",IF(AND(安値!O191&lt;安値!N191,安値!O191&lt;安値!M191,安値!O191&lt;安値!P191,安値!O191&lt;安値!Q191),10,""))</f>
        <v/>
      </c>
      <c r="K191" s="503" t="str">
        <f>IF(終値!A191="","",IF(AND(安値!P191&lt;安値!O191,安値!P191&lt;安値!N191,安値!P191&lt;安値!Q191,安値!P191&lt;安値!R191),11,""))</f>
        <v/>
      </c>
      <c r="L191" s="503" t="str">
        <f>IF(終値!A191="","",IF(AND(安値!Q191&lt;安値!P191,安値!Q191&lt;安値!O191,安値!Q191&lt;安値!R191,安値!Q191&lt;安値!S191),12,""))</f>
        <v/>
      </c>
      <c r="M191" s="503">
        <f>IF(終値!A191="","",IF(AND(安値!R191&lt;安値!Q191,安値!R191&lt;安値!P191,安値!R191&lt;安値!S191,安値!R191&lt;安値!T191),13,""))</f>
        <v>13</v>
      </c>
      <c r="N191" s="503" t="str">
        <f>IF(終値!A191="","",IF(AND(安値!S191&lt;安値!R191,安値!S191&lt;安値!Q191,安値!S191&lt;安値!T191,安値!S191&lt;安値!U191),14,""))</f>
        <v/>
      </c>
      <c r="O191" s="503" t="str">
        <f>IF(終値!A191="","",IF(AND(安値!T191&lt;安値!S191,安値!T191&lt;安値!R191,安値!T191&lt;安値!U191,安値!T191&lt;安値!V191),15,""))</f>
        <v/>
      </c>
      <c r="P191" s="503" t="str">
        <f>IF(終値!A191="","",IF(AND(安値!U191&lt;安値!T191,安値!U191&lt;安値!S191,安値!U191&lt;安値!V191,安値!U191&lt;安値!W191),16,""))</f>
        <v/>
      </c>
      <c r="Q191" s="503" t="str">
        <f>IF(終値!A191="","",IF(AND(安値!V191&lt;安値!U191,安値!V191&lt;安値!T191,安値!V191&lt;安値!W191,安値!V191&lt;安値!X191),17,""))</f>
        <v/>
      </c>
      <c r="R191" s="503" t="str">
        <f>IF(終値!A191="","",IF(AND(安値!W191&lt;安値!V191,安値!W191&lt;安値!U191,安値!W191&lt;安値!X191,安値!W191&lt;安値!Y191),18,""))</f>
        <v/>
      </c>
      <c r="S191" s="503">
        <f>IF(終値!A191="","",IF(AND(安値!X191&lt;安値!W191,安値!X191&lt;安値!V191,安値!X191&lt;安値!Y191,安値!X191&lt;安値!Z191),19,""))</f>
        <v>19</v>
      </c>
      <c r="T191" s="503" t="str">
        <f>IF(終値!A191="","",IF(AND(安値!Y191&lt;安値!X191,安値!Y191&lt;安値!W191,安値!Y191&lt;安値!Z191,安値!Y191&lt;安値!AA191),20,""))</f>
        <v/>
      </c>
      <c r="U191" s="503" t="str">
        <f>IF(終値!A191="","",IF(AND(安値!Z191&lt;安値!Y191,安値!Z191&lt;安値!X191,安値!Z191&lt;安値!AA191,安値!Z191&lt;安値!AB191),21,""))</f>
        <v/>
      </c>
      <c r="V191" s="503" t="str">
        <f>IF(終値!A191="","",IF(AND(安値!AA191&lt;安値!Z191,安値!AA191&lt;安値!Y191,安値!AA191&lt;安値!AB191,安値!AA191&lt;安値!AC191),22,""))</f>
        <v/>
      </c>
      <c r="W191" s="503" t="str">
        <f>IF(終値!A191="","",IF(AND(安値!AB191&lt;安値!AA191,安値!AB191&lt;安値!Z191,安値!AB191&lt;安値!AC191,安値!AB191&lt;安値!AD191),23,""))</f>
        <v/>
      </c>
      <c r="X191" s="503" t="str">
        <f>IF(終値!A191="","",IF(AND(安値!AC191&lt;安値!AB191,安値!AC191&lt;安値!AA191,安値!AC191&lt;安値!AD191,安値!AC191&lt;安値!AE191),24,""))</f>
        <v/>
      </c>
      <c r="Y191" s="503" t="str">
        <f>IF(終値!A191="","",IF(AND(安値!AD191&lt;安値!AC191,安値!AD191&lt;安値!AB191,安値!AD191&lt;安値!AE191,安値!AD191&lt;安値!AF191),25,""))</f>
        <v/>
      </c>
      <c r="Z191" s="503" t="str">
        <f>IF(終値!A191="","",IF(AND(安値!AE191&lt;安値!AD191,安値!AE191&lt;安値!AC191,安値!AE191&lt;安値!AF191,安値!AE191&lt;安値!AG191),26,""))</f>
        <v/>
      </c>
      <c r="AA191" s="503" t="str">
        <f>IF(終値!A191="","",IF(AND(安値!AF191&lt;安値!AE191,安値!AF191&lt;安値!AD191,安値!AF191&lt;安値!AG191,安値!AF191&lt;安値!AH191),27,""))</f>
        <v/>
      </c>
      <c r="AB191" s="503" t="str">
        <f>IF(終値!A191="","",IF(AND(安値!AG191&lt;安値!AF191,安値!AG191&lt;安値!AE191,安値!AG191&lt;安値!AH191,安値!AG191&lt;安値!AI191),28,""))</f>
        <v/>
      </c>
      <c r="AC191" s="503" t="str">
        <f>IF(終値!A191="","",IF(AND(高値!G191&gt;高値!F191,高値!G191&gt;高値!E191,高値!G191&gt;高値!H191,高値!G191&gt;高値!I191),2,""))</f>
        <v/>
      </c>
      <c r="AD191" s="503" t="str">
        <f>IF(終値!A191="","",IF(AND(高値!H191&gt;高値!G191,高値!H191&gt;高値!F191,高値!H191&gt;高値!I191,高値!H191&gt;高値!J191),3,""))</f>
        <v/>
      </c>
      <c r="AE191" s="503" t="str">
        <f>IF(終値!A191="","",IF(AND(高値!I191&gt;高値!H191,高値!I191&gt;高値!G191,高値!I191&gt;高値!J191,高値!I191&gt;高値!K191),4,""))</f>
        <v/>
      </c>
      <c r="AF191" s="503" t="str">
        <f>IF(終値!A191="","",IF(AND(高値!J191&gt;高値!I191,高値!J191&gt;高値!H191,高値!J191&gt;高値!K191,高値!J191&gt;高値!L191),5,""))</f>
        <v/>
      </c>
      <c r="AG191" s="503" t="str">
        <f>IF(終値!A191="","",IF(AND(高値!K191&gt;高値!J191,高値!K191&gt;高値!I191,高値!K191&gt;高値!L191,高値!K191&gt;高値!M191),6,""))</f>
        <v/>
      </c>
      <c r="AH191" s="503" t="str">
        <f>IF(終値!A191="","",IF(AND(高値!L191&gt;高値!K191,高値!L191&gt;高値!J191,高値!L191&gt;高値!M191,高値!L191&gt;高値!N191),7,""))</f>
        <v/>
      </c>
      <c r="AI191" s="503">
        <f>IF(終値!A191="","",IF(AND(高値!M191&gt;高値!L191,高値!M191&gt;高値!K191,高値!M191&gt;高値!N191,高値!M191&gt;高値!O191),8,""))</f>
        <v>8</v>
      </c>
      <c r="AJ191" s="503" t="str">
        <f>IF(終値!A191="","",IF(AND(高値!N191&gt;高値!M191,高値!N191&gt;高値!L191,高値!N191&gt;高値!O191,高値!N191&gt;高値!P191),9,""))</f>
        <v/>
      </c>
      <c r="AK191" s="503" t="str">
        <f>IF(終値!A191="","",IF(AND(高値!O191&gt;高値!N191,高値!O191&gt;高値!M191,高値!O191&gt;高値!P191,高値!O191&gt;高値!Q191),10,""))</f>
        <v/>
      </c>
      <c r="AL191" s="503" t="str">
        <f>IF(終値!A191="","",IF(AND(高値!P191&gt;高値!O191,高値!P191&gt;高値!N191,高値!P191&gt;高値!Q191,高値!P191&gt;高値!R191),11,""))</f>
        <v/>
      </c>
      <c r="AM191" s="503" t="str">
        <f>IF(終値!A191="","",IF(AND(高値!Q191&gt;高値!P191,高値!Q191&gt;高値!O191,高値!Q191&gt;高値!R191,高値!Q191&gt;高値!S191),12,""))</f>
        <v/>
      </c>
      <c r="AN191" s="503" t="str">
        <f>IF(終値!A191="","",IF(AND(高値!R191&gt;高値!Q191,高値!R191&gt;高値!P191,高値!R191&gt;高値!S191,高値!R191&gt;高値!T191),13,""))</f>
        <v/>
      </c>
      <c r="AO191" s="503" t="str">
        <f>IF(終値!A191="","",IF(AND(高値!S191&gt;高値!R191,高値!S191&gt;高値!Q191,高値!S191&gt;高値!T191,高値!S191&gt;高値!U191),14,""))</f>
        <v/>
      </c>
      <c r="AP191" s="503" t="str">
        <f>IF(終値!A191="","",IF(AND(高値!T191&gt;高値!S191,高値!T191&gt;高値!R191,高値!T191&gt;高値!U191,高値!T191&gt;高値!V191),15,""))</f>
        <v/>
      </c>
      <c r="AQ191" s="503">
        <f>IF(終値!A191="","",IF(AND(高値!U191&gt;高値!T191,高値!U191&gt;高値!S191,高値!U191&gt;高値!V191,高値!U191&gt;高値!W191),16,""))</f>
        <v>16</v>
      </c>
      <c r="AR191" s="503" t="str">
        <f>IF(終値!A191="","",IF(AND(高値!V191&gt;高値!U191,高値!V191&gt;高値!T191,高値!V191&gt;高値!W191,高値!V191&gt;高値!X191),17,""))</f>
        <v/>
      </c>
      <c r="AS191" s="503" t="str">
        <f>IF(終値!A191="","",IF(AND(高値!W191&gt;高値!V191,高値!W191&gt;高値!U191,高値!W191&gt;高値!X191,高値!W191&gt;高値!Y191),18,""))</f>
        <v/>
      </c>
      <c r="AT191" s="503" t="str">
        <f>IF(終値!A191="","",IF(AND(高値!X191&gt;高値!W191,高値!X191&gt;高値!V191,高値!X191&gt;高値!Y191,高値!X191&gt;高値!Z191),19,""))</f>
        <v/>
      </c>
      <c r="AU191" s="503" t="str">
        <f>IF(終値!A191="","",IF(AND(高値!Y191&gt;高値!X191,高値!Y191&gt;高値!W191,高値!Y191&gt;高値!Z191,高値!Y191&gt;高値!AA191),20,""))</f>
        <v/>
      </c>
      <c r="AV191" s="503" t="str">
        <f>IF(終値!A191="","",IF(AND(高値!Z191&gt;高値!Y191,高値!Z191&gt;高値!X191,高値!Z191&gt;高値!AA191,高値!Z191&gt;高値!AB191),21,""))</f>
        <v/>
      </c>
      <c r="AW191" s="503">
        <f>IF(終値!A191="","",IF(AND(高値!AA191&gt;高値!Z191,高値!AA191&gt;高値!Y191,高値!AA191&gt;高値!AB191,高値!AA191&gt;高値!AC191),22,""))</f>
        <v>22</v>
      </c>
      <c r="AX191" s="503" t="str">
        <f>IF(終値!A191="","",IF(AND(高値!AB191&gt;高値!AA191,高値!AB191&gt;高値!Z191,高値!AB191&gt;高値!AC191,高値!AB191&gt;高値!AD191),23,""))</f>
        <v/>
      </c>
      <c r="AY191" s="503" t="str">
        <f>IF(終値!A191="","",IF(AND(高値!AC191&gt;高値!AB191,高値!AC191&gt;高値!AA191,高値!AC191&gt;高値!AD191,高値!AC191&gt;高値!AE191),24,""))</f>
        <v/>
      </c>
      <c r="AZ191" s="503" t="str">
        <f>IF(終値!A191="","",IF(AND(高値!AD191&gt;高値!AC191,高値!AD191&gt;高値!AB191,高値!AD191&gt;高値!AE191,高値!AD191&gt;高値!AF191),25,""))</f>
        <v/>
      </c>
      <c r="BA191" s="503" t="str">
        <f>IF(終値!A191="","",IF(AND(高値!AE191&gt;高値!AD191,高値!AE191&gt;高値!AC191,高値!AE191&gt;高値!AF191,高値!AE191&gt;高値!AG191),26,""))</f>
        <v/>
      </c>
      <c r="BB191" s="503" t="str">
        <f>IF(終値!A191="","",IF(AND(高値!AF191&gt;高値!AE191,高値!AF191&gt;高値!AD191,高値!AF191&gt;高値!AG191,高値!AF191&gt;高値!AH191),27,""))</f>
        <v/>
      </c>
      <c r="BC191" s="503" t="str">
        <f>IF(終値!A191="","",IF(AND(高値!AG191&gt;高値!AF191,高値!AG191&gt;高値!AE191,高値!AG191&gt;高値!AH191,高値!AG191&gt;高値!AI191),28,""))</f>
        <v/>
      </c>
      <c r="BD191" s="503">
        <f t="shared" si="12"/>
        <v>3</v>
      </c>
      <c r="BE191" s="503">
        <f t="shared" si="13"/>
        <v>3</v>
      </c>
      <c r="BF191" s="503">
        <f t="shared" si="14"/>
        <v>13</v>
      </c>
      <c r="BG191" s="503">
        <f>IF($BE191="","",INDEX(安値!$E191:$CZ191,1,$BE191+1))</f>
        <v>1540</v>
      </c>
      <c r="BH191" s="503">
        <f>IF($BF191="","",INDEX(安値!$E191:$CZ191,1,$BF191+1))</f>
        <v>1519</v>
      </c>
      <c r="BI191" s="503">
        <f>IF($BF191="","",MAX(INDEX(高値!$E191:$CZ191,1,$BE191+1):INDEX(高値!$E191:$CZ191,1,$BF191+1)))</f>
        <v>1600</v>
      </c>
      <c r="BJ191" s="503">
        <f>IF($BF191="","",AVERAGE(INDEX(終値!$E191:$CZ191,1,$BF191+1):INDEX(終値!$E191:$CZ191,1,$BF191+20))-2*STDEVP(INDEX(終値!$E191:$CZ191,1,$BF191+1):INDEX(終値!$E191:$CZ191,1,$BF191+20)))</f>
        <v>1452.5626818686178</v>
      </c>
      <c r="BK191" s="503">
        <f>IF($BE191="","",AVERAGE(INDEX(終値!$E191:$CZ191,1,$BE191+1):INDEX(終値!$E191:$CZ191,1,$BE191+20))-2*STDEVP(INDEX(終値!$E191:$CZ191,1,$BE191+1):INDEX(終値!$E191:$CZ191,1,$BE191+20)))</f>
        <v>1508.4426136101824</v>
      </c>
      <c r="BL191" s="503">
        <f t="shared" si="15"/>
        <v>3</v>
      </c>
      <c r="BM191" s="503">
        <f t="shared" si="16"/>
        <v>8</v>
      </c>
      <c r="BN191" s="503">
        <f t="shared" si="17"/>
        <v>16</v>
      </c>
      <c r="BO191" s="503">
        <f>IF($BM191="","",INDEX(高値!$E191:$CZ191,1,$BM191+1))</f>
        <v>1600</v>
      </c>
      <c r="BP191" s="503">
        <f>IF($BN191="","",INDEX(高値!$E191:$CZ191,1,$BN191+1))</f>
        <v>1579</v>
      </c>
      <c r="BQ191" s="503">
        <f>IF($BN191="","",MIN(INDEX(安値!$E191:$CZ191,1,$BM191+1):INDEX(安値!$E191:$CZ191,1,$BN191+1)))</f>
        <v>1519</v>
      </c>
      <c r="BR191" s="503">
        <f>IF($BN191="","",AVERAGE(INDEX(終値!$E191:$CZ191,1,$BN191+1):INDEX(終値!$E191:$CZ191,1,$BN191+20))+2*STDEVP(INDEX(終値!$E191:$CZ191,1,$BN191+1):INDEX(終値!$E191:$CZ191,1,$BN191+20)))</f>
        <v>1572.4266483814793</v>
      </c>
      <c r="BS191" s="503">
        <f>IF($BM191="","",AVERAGE(INDEX(終値!$E191:$CZ191,1,$BM191+1):INDEX(終値!$E191:$CZ191,1,$BM191+20))+2*STDEVP(INDEX(終値!$E191:$CZ191,1,$BM191+1):INDEX(終値!$E191:$CZ191,1,$BM191+20)))</f>
        <v>1576.004696702315</v>
      </c>
      <c r="BT191" s="500"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3">
        <f>IF(終値!A192="","",IF(AND(安値!G192&lt;安値!F192,安値!G192&lt;安値!E192,安値!G192&lt;安値!H192,安値!G192&lt;安値!I192),2,""))</f>
        <v>2</v>
      </c>
      <c r="C192" s="503" t="str">
        <f>IF(終値!A192="","",IF(AND(安値!H192&lt;安値!G192,安値!H192&lt;安値!F192,安値!H192&lt;安値!I192,安値!H192&lt;安値!J192),3,""))</f>
        <v/>
      </c>
      <c r="D192" s="503" t="str">
        <f>IF(終値!A192="","",IF(AND(安値!I192&lt;安値!H192,安値!I192&lt;安値!G192,安値!I192&lt;安値!J192,安値!I192&lt;安値!K192),4,""))</f>
        <v/>
      </c>
      <c r="E192" s="503" t="str">
        <f>IF(終値!A192="","",IF(AND(安値!J192&lt;安値!I192,安値!J192&lt;安値!H192,安値!J192&lt;安値!K192,安値!J192&lt;安値!L192),5,""))</f>
        <v/>
      </c>
      <c r="F192" s="503" t="str">
        <f>IF(終値!A192="","",IF(AND(安値!K192&lt;安値!J192,安値!K192&lt;安値!I192,安値!K192&lt;安値!L192,安値!K192&lt;安値!M192),6,""))</f>
        <v/>
      </c>
      <c r="G192" s="503" t="str">
        <f>IF(終値!A192="","",IF(AND(安値!L192&lt;安値!K192,安値!L192&lt;安値!J192,安値!L192&lt;安値!M192,安値!L192&lt;安値!N192),7,""))</f>
        <v/>
      </c>
      <c r="H192" s="503" t="str">
        <f>IF(終値!A192="","",IF(AND(安値!M192&lt;安値!L192,安値!M192&lt;安値!K192,安値!M192&lt;安値!N192,安値!M192&lt;安値!O192),8,""))</f>
        <v/>
      </c>
      <c r="I192" s="503">
        <f>IF(終値!A192="","",IF(AND(安値!N192&lt;安値!M192,安値!N192&lt;安値!L192,安値!N192&lt;安値!O192,安値!N192&lt;安値!P192),9,""))</f>
        <v>9</v>
      </c>
      <c r="J192" s="503" t="str">
        <f>IF(終値!A192="","",IF(AND(安値!O192&lt;安値!N192,安値!O192&lt;安値!M192,安値!O192&lt;安値!P192,安値!O192&lt;安値!Q192),10,""))</f>
        <v/>
      </c>
      <c r="K192" s="503" t="str">
        <f>IF(終値!A192="","",IF(AND(安値!P192&lt;安値!O192,安値!P192&lt;安値!N192,安値!P192&lt;安値!Q192,安値!P192&lt;安値!R192),11,""))</f>
        <v/>
      </c>
      <c r="L192" s="503" t="str">
        <f>IF(終値!A192="","",IF(AND(安値!Q192&lt;安値!P192,安値!Q192&lt;安値!O192,安値!Q192&lt;安値!R192,安値!Q192&lt;安値!S192),12,""))</f>
        <v/>
      </c>
      <c r="M192" s="503" t="str">
        <f>IF(終値!A192="","",IF(AND(安値!R192&lt;安値!Q192,安値!R192&lt;安値!P192,安値!R192&lt;安値!S192,安値!R192&lt;安値!T192),13,""))</f>
        <v/>
      </c>
      <c r="N192" s="503" t="str">
        <f>IF(終値!A192="","",IF(AND(安値!S192&lt;安値!R192,安値!S192&lt;安値!Q192,安値!S192&lt;安値!T192,安値!S192&lt;安値!U192),14,""))</f>
        <v/>
      </c>
      <c r="O192" s="503" t="str">
        <f>IF(終値!A192="","",IF(AND(安値!T192&lt;安値!S192,安値!T192&lt;安値!R192,安値!T192&lt;安値!U192,安値!T192&lt;安値!V192),15,""))</f>
        <v/>
      </c>
      <c r="P192" s="503" t="str">
        <f>IF(終値!A192="","",IF(AND(安値!U192&lt;安値!T192,安値!U192&lt;安値!S192,安値!U192&lt;安値!V192,安値!U192&lt;安値!W192),16,""))</f>
        <v/>
      </c>
      <c r="Q192" s="503" t="str">
        <f>IF(終値!A192="","",IF(AND(安値!V192&lt;安値!U192,安値!V192&lt;安値!T192,安値!V192&lt;安値!W192,安値!V192&lt;安値!X192),17,""))</f>
        <v/>
      </c>
      <c r="R192" s="503" t="str">
        <f>IF(終値!A192="","",IF(AND(安値!W192&lt;安値!V192,安値!W192&lt;安値!U192,安値!W192&lt;安値!X192,安値!W192&lt;安値!Y192),18,""))</f>
        <v/>
      </c>
      <c r="S192" s="503" t="str">
        <f>IF(終値!A192="","",IF(AND(安値!X192&lt;安値!W192,安値!X192&lt;安値!V192,安値!X192&lt;安値!Y192,安値!X192&lt;安値!Z192),19,""))</f>
        <v/>
      </c>
      <c r="T192" s="503" t="str">
        <f>IF(終値!A192="","",IF(AND(安値!Y192&lt;安値!X192,安値!Y192&lt;安値!W192,安値!Y192&lt;安値!Z192,安値!Y192&lt;安値!AA192),20,""))</f>
        <v/>
      </c>
      <c r="U192" s="503" t="str">
        <f>IF(終値!A192="","",IF(AND(安値!Z192&lt;安値!Y192,安値!Z192&lt;安値!X192,安値!Z192&lt;安値!AA192,安値!Z192&lt;安値!AB192),21,""))</f>
        <v/>
      </c>
      <c r="V192" s="503" t="str">
        <f>IF(終値!A192="","",IF(AND(安値!AA192&lt;安値!Z192,安値!AA192&lt;安値!Y192,安値!AA192&lt;安値!AB192,安値!AA192&lt;安値!AC192),22,""))</f>
        <v/>
      </c>
      <c r="W192" s="503" t="str">
        <f>IF(終値!A192="","",IF(AND(安値!AB192&lt;安値!AA192,安値!AB192&lt;安値!Z192,安値!AB192&lt;安値!AC192,安値!AB192&lt;安値!AD192),23,""))</f>
        <v/>
      </c>
      <c r="X192" s="503" t="str">
        <f>IF(終値!A192="","",IF(AND(安値!AC192&lt;安値!AB192,安値!AC192&lt;安値!AA192,安値!AC192&lt;安値!AD192,安値!AC192&lt;安値!AE192),24,""))</f>
        <v/>
      </c>
      <c r="Y192" s="503" t="str">
        <f>IF(終値!A192="","",IF(AND(安値!AD192&lt;安値!AC192,安値!AD192&lt;安値!AB192,安値!AD192&lt;安値!AE192,安値!AD192&lt;安値!AF192),25,""))</f>
        <v/>
      </c>
      <c r="Z192" s="503" t="str">
        <f>IF(終値!A192="","",IF(AND(安値!AE192&lt;安値!AD192,安値!AE192&lt;安値!AC192,安値!AE192&lt;安値!AF192,安値!AE192&lt;安値!AG192),26,""))</f>
        <v/>
      </c>
      <c r="AA192" s="503">
        <f>IF(終値!A192="","",IF(AND(安値!AF192&lt;安値!AE192,安値!AF192&lt;安値!AD192,安値!AF192&lt;安値!AG192,安値!AF192&lt;安値!AH192),27,""))</f>
        <v>27</v>
      </c>
      <c r="AB192" s="503" t="str">
        <f>IF(終値!A192="","",IF(AND(安値!AG192&lt;安値!AF192,安値!AG192&lt;安値!AE192,安値!AG192&lt;安値!AH192,安値!AG192&lt;安値!AI192),28,""))</f>
        <v/>
      </c>
      <c r="AC192" s="503" t="str">
        <f>IF(終値!A192="","",IF(AND(高値!G192&gt;高値!F192,高値!G192&gt;高値!E192,高値!G192&gt;高値!H192,高値!G192&gt;高値!I192),2,""))</f>
        <v/>
      </c>
      <c r="AD192" s="503" t="str">
        <f>IF(終値!A192="","",IF(AND(高値!H192&gt;高値!G192,高値!H192&gt;高値!F192,高値!H192&gt;高値!I192,高値!H192&gt;高値!J192),3,""))</f>
        <v/>
      </c>
      <c r="AE192" s="503" t="str">
        <f>IF(終値!A192="","",IF(AND(高値!I192&gt;高値!H192,高値!I192&gt;高値!G192,高値!I192&gt;高値!J192,高値!I192&gt;高値!K192),4,""))</f>
        <v/>
      </c>
      <c r="AF192" s="503" t="str">
        <f>IF(終値!A192="","",IF(AND(高値!J192&gt;高値!I192,高値!J192&gt;高値!H192,高値!J192&gt;高値!K192,高値!J192&gt;高値!L192),5,""))</f>
        <v/>
      </c>
      <c r="AG192" s="503">
        <f>IF(終値!A192="","",IF(AND(高値!K192&gt;高値!J192,高値!K192&gt;高値!I192,高値!K192&gt;高値!L192,高値!K192&gt;高値!M192),6,""))</f>
        <v>6</v>
      </c>
      <c r="AH192" s="503" t="str">
        <f>IF(終値!A192="","",IF(AND(高値!L192&gt;高値!K192,高値!L192&gt;高値!J192,高値!L192&gt;高値!M192,高値!L192&gt;高値!N192),7,""))</f>
        <v/>
      </c>
      <c r="AI192" s="503" t="str">
        <f>IF(終値!A192="","",IF(AND(高値!M192&gt;高値!L192,高値!M192&gt;高値!K192,高値!M192&gt;高値!N192,高値!M192&gt;高値!O192),8,""))</f>
        <v/>
      </c>
      <c r="AJ192" s="503" t="str">
        <f>IF(終値!A192="","",IF(AND(高値!N192&gt;高値!M192,高値!N192&gt;高値!L192,高値!N192&gt;高値!O192,高値!N192&gt;高値!P192),9,""))</f>
        <v/>
      </c>
      <c r="AK192" s="503" t="str">
        <f>IF(終値!A192="","",IF(AND(高値!O192&gt;高値!N192,高値!O192&gt;高値!M192,高値!O192&gt;高値!P192,高値!O192&gt;高値!Q192),10,""))</f>
        <v/>
      </c>
      <c r="AL192" s="503" t="str">
        <f>IF(終値!A192="","",IF(AND(高値!P192&gt;高値!O192,高値!P192&gt;高値!N192,高値!P192&gt;高値!Q192,高値!P192&gt;高値!R192),11,""))</f>
        <v/>
      </c>
      <c r="AM192" s="503">
        <f>IF(終値!A192="","",IF(AND(高値!Q192&gt;高値!P192,高値!Q192&gt;高値!O192,高値!Q192&gt;高値!R192,高値!Q192&gt;高値!S192),12,""))</f>
        <v>12</v>
      </c>
      <c r="AN192" s="503" t="str">
        <f>IF(終値!A192="","",IF(AND(高値!R192&gt;高値!Q192,高値!R192&gt;高値!P192,高値!R192&gt;高値!S192,高値!R192&gt;高値!T192),13,""))</f>
        <v/>
      </c>
      <c r="AO192" s="503" t="str">
        <f>IF(終値!A192="","",IF(AND(高値!S192&gt;高値!R192,高値!S192&gt;高値!Q192,高値!S192&gt;高値!T192,高値!S192&gt;高値!U192),14,""))</f>
        <v/>
      </c>
      <c r="AP192" s="503" t="str">
        <f>IF(終値!A192="","",IF(AND(高値!T192&gt;高値!S192,高値!T192&gt;高値!R192,高値!T192&gt;高値!U192,高値!T192&gt;高値!V192),15,""))</f>
        <v/>
      </c>
      <c r="AQ192" s="503" t="str">
        <f>IF(終値!A192="","",IF(AND(高値!U192&gt;高値!T192,高値!U192&gt;高値!S192,高値!U192&gt;高値!V192,高値!U192&gt;高値!W192),16,""))</f>
        <v/>
      </c>
      <c r="AR192" s="503" t="str">
        <f>IF(終値!A192="","",IF(AND(高値!V192&gt;高値!U192,高値!V192&gt;高値!T192,高値!V192&gt;高値!W192,高値!V192&gt;高値!X192),17,""))</f>
        <v/>
      </c>
      <c r="AS192" s="503" t="str">
        <f>IF(終値!A192="","",IF(AND(高値!W192&gt;高値!V192,高値!W192&gt;高値!U192,高値!W192&gt;高値!X192,高値!W192&gt;高値!Y192),18,""))</f>
        <v/>
      </c>
      <c r="AT192" s="503" t="str">
        <f>IF(終値!A192="","",IF(AND(高値!X192&gt;高値!W192,高値!X192&gt;高値!V192,高値!X192&gt;高値!Y192,高値!X192&gt;高値!Z192),19,""))</f>
        <v/>
      </c>
      <c r="AU192" s="503" t="str">
        <f>IF(終値!A192="","",IF(AND(高値!Y192&gt;高値!X192,高値!Y192&gt;高値!W192,高値!Y192&gt;高値!Z192,高値!Y192&gt;高値!AA192),20,""))</f>
        <v/>
      </c>
      <c r="AV192" s="503">
        <f>IF(終値!A192="","",IF(AND(高値!Z192&gt;高値!Y192,高値!Z192&gt;高値!X192,高値!Z192&gt;高値!AA192,高値!Z192&gt;高値!AB192),21,""))</f>
        <v>21</v>
      </c>
      <c r="AW192" s="503" t="str">
        <f>IF(終値!A192="","",IF(AND(高値!AA192&gt;高値!Z192,高値!AA192&gt;高値!Y192,高値!AA192&gt;高値!AB192,高値!AA192&gt;高値!AC192),22,""))</f>
        <v/>
      </c>
      <c r="AX192" s="503" t="str">
        <f>IF(終値!A192="","",IF(AND(高値!AB192&gt;高値!AA192,高値!AB192&gt;高値!Z192,高値!AB192&gt;高値!AC192,高値!AB192&gt;高値!AD192),23,""))</f>
        <v/>
      </c>
      <c r="AY192" s="503" t="str">
        <f>IF(終値!A192="","",IF(AND(高値!AC192&gt;高値!AB192,高値!AC192&gt;高値!AA192,高値!AC192&gt;高値!AD192,高値!AC192&gt;高値!AE192),24,""))</f>
        <v/>
      </c>
      <c r="AZ192" s="503" t="str">
        <f>IF(終値!A192="","",IF(AND(高値!AD192&gt;高値!AC192,高値!AD192&gt;高値!AB192,高値!AD192&gt;高値!AE192,高値!AD192&gt;高値!AF192),25,""))</f>
        <v/>
      </c>
      <c r="BA192" s="503" t="str">
        <f>IF(終値!A192="","",IF(AND(高値!AE192&gt;高値!AD192,高値!AE192&gt;高値!AC192,高値!AE192&gt;高値!AF192,高値!AE192&gt;高値!AG192),26,""))</f>
        <v/>
      </c>
      <c r="BB192" s="503" t="str">
        <f>IF(終値!A192="","",IF(AND(高値!AF192&gt;高値!AE192,高値!AF192&gt;高値!AD192,高値!AF192&gt;高値!AG192,高値!AF192&gt;高値!AH192),27,""))</f>
        <v/>
      </c>
      <c r="BC192" s="503" t="str">
        <f>IF(終値!A192="","",IF(AND(高値!AG192&gt;高値!AF192,高値!AG192&gt;高値!AE192,高値!AG192&gt;高値!AH192,高値!AG192&gt;高値!AI192),28,""))</f>
        <v/>
      </c>
      <c r="BD192" s="503">
        <f t="shared" si="12"/>
        <v>3</v>
      </c>
      <c r="BE192" s="503">
        <f t="shared" si="13"/>
        <v>2</v>
      </c>
      <c r="BF192" s="503">
        <f t="shared" si="14"/>
        <v>9</v>
      </c>
      <c r="BG192" s="503">
        <f>IF($BE192="","",INDEX(安値!$E192:$CZ192,1,$BE192+1))</f>
        <v>1591.5</v>
      </c>
      <c r="BH192" s="503">
        <f>IF($BF192="","",INDEX(安値!$E192:$CZ192,1,$BF192+1))</f>
        <v>1645</v>
      </c>
      <c r="BI192" s="503">
        <f>IF($BF192="","",MAX(INDEX(高値!$E192:$CZ192,1,$BE192+1):INDEX(高値!$E192:$CZ192,1,$BF192+1)))</f>
        <v>1714</v>
      </c>
      <c r="BJ192" s="503">
        <f>IF($BF192="","",AVERAGE(INDEX(終値!$E192:$CZ192,1,$BF192+1):INDEX(終値!$E192:$CZ192,1,$BF192+20))-2*STDEVP(INDEX(終値!$E192:$CZ192,1,$BF192+1):INDEX(終値!$E192:$CZ192,1,$BF192+20)))</f>
        <v>1626.3144823353941</v>
      </c>
      <c r="BK192" s="503">
        <f>IF($BE192="","",AVERAGE(INDEX(終値!$E192:$CZ192,1,$BE192+1):INDEX(終値!$E192:$CZ192,1,$BE192+20))-2*STDEVP(INDEX(終値!$E192:$CZ192,1,$BE192+1):INDEX(終値!$E192:$CZ192,1,$BE192+20)))</f>
        <v>1611.336979073247</v>
      </c>
      <c r="BL192" s="503">
        <f t="shared" si="15"/>
        <v>3</v>
      </c>
      <c r="BM192" s="503">
        <f t="shared" si="16"/>
        <v>6</v>
      </c>
      <c r="BN192" s="503">
        <f t="shared" si="17"/>
        <v>12</v>
      </c>
      <c r="BO192" s="503">
        <f>IF($BM192="","",INDEX(高値!$E192:$CZ192,1,$BM192+1))</f>
        <v>1714</v>
      </c>
      <c r="BP192" s="503">
        <f>IF($BN192="","",INDEX(高値!$E192:$CZ192,1,$BN192+1))</f>
        <v>1700.5</v>
      </c>
      <c r="BQ192" s="503">
        <f>IF($BN192="","",MIN(INDEX(安値!$E192:$CZ192,1,$BM192+1):INDEX(安値!$E192:$CZ192,1,$BN192+1)))</f>
        <v>1645</v>
      </c>
      <c r="BR192" s="503">
        <f>IF($BN192="","",AVERAGE(INDEX(終値!$E192:$CZ192,1,$BN192+1):INDEX(終値!$E192:$CZ192,1,$BN192+20))+2*STDEVP(INDEX(終値!$E192:$CZ192,1,$BN192+1):INDEX(終値!$E192:$CZ192,1,$BN192+20)))</f>
        <v>1744.1071262285016</v>
      </c>
      <c r="BS192" s="503">
        <f>IF($BM192="","",AVERAGE(INDEX(終値!$E192:$CZ192,1,$BM192+1):INDEX(終値!$E192:$CZ192,1,$BM192+20))+2*STDEVP(INDEX(終値!$E192:$CZ192,1,$BM192+1):INDEX(終値!$E192:$CZ192,1,$BM192+20)))</f>
        <v>1738.8161938460521</v>
      </c>
      <c r="BT192" s="500"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二番底W形成</v>
      </c>
    </row>
    <row r="193" spans="2:72">
      <c r="B193" s="503" t="str">
        <f>IF(終値!A193="","",IF(AND(安値!G193&lt;安値!F193,安値!G193&lt;安値!E193,安値!G193&lt;安値!H193,安値!G193&lt;安値!I193),2,""))</f>
        <v/>
      </c>
      <c r="C193" s="503">
        <f>IF(終値!A193="","",IF(AND(安値!H193&lt;安値!G193,安値!H193&lt;安値!F193,安値!H193&lt;安値!I193,安値!H193&lt;安値!J193),3,""))</f>
        <v>3</v>
      </c>
      <c r="D193" s="503" t="str">
        <f>IF(終値!A193="","",IF(AND(安値!I193&lt;安値!H193,安値!I193&lt;安値!G193,安値!I193&lt;安値!J193,安値!I193&lt;安値!K193),4,""))</f>
        <v/>
      </c>
      <c r="E193" s="503" t="str">
        <f>IF(終値!A193="","",IF(AND(安値!J193&lt;安値!I193,安値!J193&lt;安値!H193,安値!J193&lt;安値!K193,安値!J193&lt;安値!L193),5,""))</f>
        <v/>
      </c>
      <c r="F193" s="503">
        <f>IF(終値!A193="","",IF(AND(安値!K193&lt;安値!J193,安値!K193&lt;安値!I193,安値!K193&lt;安値!L193,安値!K193&lt;安値!M193),6,""))</f>
        <v>6</v>
      </c>
      <c r="G193" s="503" t="str">
        <f>IF(終値!A193="","",IF(AND(安値!L193&lt;安値!K193,安値!L193&lt;安値!J193,安値!L193&lt;安値!M193,安値!L193&lt;安値!N193),7,""))</f>
        <v/>
      </c>
      <c r="H193" s="503" t="str">
        <f>IF(終値!A193="","",IF(AND(安値!M193&lt;安値!L193,安値!M193&lt;安値!K193,安値!M193&lt;安値!N193,安値!M193&lt;安値!O193),8,""))</f>
        <v/>
      </c>
      <c r="I193" s="503" t="str">
        <f>IF(終値!A193="","",IF(AND(安値!N193&lt;安値!M193,安値!N193&lt;安値!L193,安値!N193&lt;安値!O193,安値!N193&lt;安値!P193),9,""))</f>
        <v/>
      </c>
      <c r="J193" s="503">
        <f>IF(終値!A193="","",IF(AND(安値!O193&lt;安値!N193,安値!O193&lt;安値!M193,安値!O193&lt;安値!P193,安値!O193&lt;安値!Q193),10,""))</f>
        <v>10</v>
      </c>
      <c r="K193" s="503" t="str">
        <f>IF(終値!A193="","",IF(AND(安値!P193&lt;安値!O193,安値!P193&lt;安値!N193,安値!P193&lt;安値!Q193,安値!P193&lt;安値!R193),11,""))</f>
        <v/>
      </c>
      <c r="L193" s="503" t="str">
        <f>IF(終値!A193="","",IF(AND(安値!Q193&lt;安値!P193,安値!Q193&lt;安値!O193,安値!Q193&lt;安値!R193,安値!Q193&lt;安値!S193),12,""))</f>
        <v/>
      </c>
      <c r="M193" s="503" t="str">
        <f>IF(終値!A193="","",IF(AND(安値!R193&lt;安値!Q193,安値!R193&lt;安値!P193,安値!R193&lt;安値!S193,安値!R193&lt;安値!T193),13,""))</f>
        <v/>
      </c>
      <c r="N193" s="503" t="str">
        <f>IF(終値!A193="","",IF(AND(安値!S193&lt;安値!R193,安値!S193&lt;安値!Q193,安値!S193&lt;安値!T193,安値!S193&lt;安値!U193),14,""))</f>
        <v/>
      </c>
      <c r="O193" s="503" t="str">
        <f>IF(終値!A193="","",IF(AND(安値!T193&lt;安値!S193,安値!T193&lt;安値!R193,安値!T193&lt;安値!U193,安値!T193&lt;安値!V193),15,""))</f>
        <v/>
      </c>
      <c r="P193" s="503" t="str">
        <f>IF(終値!A193="","",IF(AND(安値!U193&lt;安値!T193,安値!U193&lt;安値!S193,安値!U193&lt;安値!V193,安値!U193&lt;安値!W193),16,""))</f>
        <v/>
      </c>
      <c r="Q193" s="503" t="str">
        <f>IF(終値!A193="","",IF(AND(安値!V193&lt;安値!U193,安値!V193&lt;安値!T193,安値!V193&lt;安値!W193,安値!V193&lt;安値!X193),17,""))</f>
        <v/>
      </c>
      <c r="R193" s="503">
        <f>IF(終値!A193="","",IF(AND(安値!W193&lt;安値!V193,安値!W193&lt;安値!U193,安値!W193&lt;安値!X193,安値!W193&lt;安値!Y193),18,""))</f>
        <v>18</v>
      </c>
      <c r="S193" s="503" t="str">
        <f>IF(終値!A193="","",IF(AND(安値!X193&lt;安値!W193,安値!X193&lt;安値!V193,安値!X193&lt;安値!Y193,安値!X193&lt;安値!Z193),19,""))</f>
        <v/>
      </c>
      <c r="T193" s="503" t="str">
        <f>IF(終値!A193="","",IF(AND(安値!Y193&lt;安値!X193,安値!Y193&lt;安値!W193,安値!Y193&lt;安値!Z193,安値!Y193&lt;安値!AA193),20,""))</f>
        <v/>
      </c>
      <c r="U193" s="503" t="str">
        <f>IF(終値!A193="","",IF(AND(安値!Z193&lt;安値!Y193,安値!Z193&lt;安値!X193,安値!Z193&lt;安値!AA193,安値!Z193&lt;安値!AB193),21,""))</f>
        <v/>
      </c>
      <c r="V193" s="503" t="str">
        <f>IF(終値!A193="","",IF(AND(安値!AA193&lt;安値!Z193,安値!AA193&lt;安値!Y193,安値!AA193&lt;安値!AB193,安値!AA193&lt;安値!AC193),22,""))</f>
        <v/>
      </c>
      <c r="W193" s="503" t="str">
        <f>IF(終値!A193="","",IF(AND(安値!AB193&lt;安値!AA193,安値!AB193&lt;安値!Z193,安値!AB193&lt;安値!AC193,安値!AB193&lt;安値!AD193),23,""))</f>
        <v/>
      </c>
      <c r="X193" s="503" t="str">
        <f>IF(終値!A193="","",IF(AND(安値!AC193&lt;安値!AB193,安値!AC193&lt;安値!AA193,安値!AC193&lt;安値!AD193,安値!AC193&lt;安値!AE193),24,""))</f>
        <v/>
      </c>
      <c r="Y193" s="503" t="str">
        <f>IF(終値!A193="","",IF(AND(安値!AD193&lt;安値!AC193,安値!AD193&lt;安値!AB193,安値!AD193&lt;安値!AE193,安値!AD193&lt;安値!AF193),25,""))</f>
        <v/>
      </c>
      <c r="Z193" s="503" t="str">
        <f>IF(終値!A193="","",IF(AND(安値!AE193&lt;安値!AD193,安値!AE193&lt;安値!AC193,安値!AE193&lt;安値!AF193,安値!AE193&lt;安値!AG193),26,""))</f>
        <v/>
      </c>
      <c r="AA193" s="503">
        <f>IF(終値!A193="","",IF(AND(安値!AF193&lt;安値!AE193,安値!AF193&lt;安値!AD193,安値!AF193&lt;安値!AG193,安値!AF193&lt;安値!AH193),27,""))</f>
        <v>27</v>
      </c>
      <c r="AB193" s="503" t="str">
        <f>IF(終値!A193="","",IF(AND(安値!AG193&lt;安値!AF193,安値!AG193&lt;安値!AE193,安値!AG193&lt;安値!AH193,安値!AG193&lt;安値!AI193),28,""))</f>
        <v/>
      </c>
      <c r="AC193" s="503" t="str">
        <f>IF(終値!A193="","",IF(AND(高値!G193&gt;高値!F193,高値!G193&gt;高値!E193,高値!G193&gt;高値!H193,高値!G193&gt;高値!I193),2,""))</f>
        <v/>
      </c>
      <c r="AD193" s="503" t="str">
        <f>IF(終値!A193="","",IF(AND(高値!H193&gt;高値!G193,高値!H193&gt;高値!F193,高値!H193&gt;高値!I193,高値!H193&gt;高値!J193),3,""))</f>
        <v/>
      </c>
      <c r="AE193" s="503">
        <f>IF(終値!A193="","",IF(AND(高値!I193&gt;高値!H193,高値!I193&gt;高値!G193,高値!I193&gt;高値!J193,高値!I193&gt;高値!K193),4,""))</f>
        <v>4</v>
      </c>
      <c r="AF193" s="503" t="str">
        <f>IF(終値!A193="","",IF(AND(高値!J193&gt;高値!I193,高値!J193&gt;高値!H193,高値!J193&gt;高値!K193,高値!J193&gt;高値!L193),5,""))</f>
        <v/>
      </c>
      <c r="AG193" s="503" t="str">
        <f>IF(終値!A193="","",IF(AND(高値!K193&gt;高値!J193,高値!K193&gt;高値!I193,高値!K193&gt;高値!L193,高値!K193&gt;高値!M193),6,""))</f>
        <v/>
      </c>
      <c r="AH193" s="503">
        <f>IF(終値!A193="","",IF(AND(高値!L193&gt;高値!K193,高値!L193&gt;高値!J193,高値!L193&gt;高値!M193,高値!L193&gt;高値!N193),7,""))</f>
        <v>7</v>
      </c>
      <c r="AI193" s="503" t="str">
        <f>IF(終値!A193="","",IF(AND(高値!M193&gt;高値!L193,高値!M193&gt;高値!K193,高値!M193&gt;高値!N193,高値!M193&gt;高値!O193),8,""))</f>
        <v/>
      </c>
      <c r="AJ193" s="503" t="str">
        <f>IF(終値!A193="","",IF(AND(高値!N193&gt;高値!M193,高値!N193&gt;高値!L193,高値!N193&gt;高値!O193,高値!N193&gt;高値!P193),9,""))</f>
        <v/>
      </c>
      <c r="AK193" s="503" t="str">
        <f>IF(終値!A193="","",IF(AND(高値!O193&gt;高値!N193,高値!O193&gt;高値!M193,高値!O193&gt;高値!P193,高値!O193&gt;高値!Q193),10,""))</f>
        <v/>
      </c>
      <c r="AL193" s="503" t="str">
        <f>IF(終値!A193="","",IF(AND(高値!P193&gt;高値!O193,高値!P193&gt;高値!N193,高値!P193&gt;高値!Q193,高値!P193&gt;高値!R193),11,""))</f>
        <v/>
      </c>
      <c r="AM193" s="503" t="str">
        <f>IF(終値!A193="","",IF(AND(高値!Q193&gt;高値!P193,高値!Q193&gt;高値!O193,高値!Q193&gt;高値!R193,高値!Q193&gt;高値!S193),12,""))</f>
        <v/>
      </c>
      <c r="AN193" s="503" t="str">
        <f>IF(終値!A193="","",IF(AND(高値!R193&gt;高値!Q193,高値!R193&gt;高値!P193,高値!R193&gt;高値!S193,高値!R193&gt;高値!T193),13,""))</f>
        <v/>
      </c>
      <c r="AO193" s="503" t="str">
        <f>IF(終値!A193="","",IF(AND(高値!S193&gt;高値!R193,高値!S193&gt;高値!Q193,高値!S193&gt;高値!T193,高値!S193&gt;高値!U193),14,""))</f>
        <v/>
      </c>
      <c r="AP193" s="503" t="str">
        <f>IF(終値!A193="","",IF(AND(高値!T193&gt;高値!S193,高値!T193&gt;高値!R193,高値!T193&gt;高値!U193,高値!T193&gt;高値!V193),15,""))</f>
        <v/>
      </c>
      <c r="AQ193" s="503" t="str">
        <f>IF(終値!A193="","",IF(AND(高値!U193&gt;高値!T193,高値!U193&gt;高値!S193,高値!U193&gt;高値!V193,高値!U193&gt;高値!W193),16,""))</f>
        <v/>
      </c>
      <c r="AR193" s="503" t="str">
        <f>IF(終値!A193="","",IF(AND(高値!V193&gt;高値!U193,高値!V193&gt;高値!T193,高値!V193&gt;高値!W193,高値!V193&gt;高値!X193),17,""))</f>
        <v/>
      </c>
      <c r="AS193" s="503" t="str">
        <f>IF(終値!A193="","",IF(AND(高値!W193&gt;高値!V193,高値!W193&gt;高値!U193,高値!W193&gt;高値!X193,高値!W193&gt;高値!Y193),18,""))</f>
        <v/>
      </c>
      <c r="AT193" s="503">
        <f>IF(終値!A193="","",IF(AND(高値!X193&gt;高値!W193,高値!X193&gt;高値!V193,高値!X193&gt;高値!Y193,高値!X193&gt;高値!Z193),19,""))</f>
        <v>19</v>
      </c>
      <c r="AU193" s="503" t="str">
        <f>IF(終値!A193="","",IF(AND(高値!Y193&gt;高値!X193,高値!Y193&gt;高値!W193,高値!Y193&gt;高値!Z193,高値!Y193&gt;高値!AA193),20,""))</f>
        <v/>
      </c>
      <c r="AV193" s="503" t="str">
        <f>IF(終値!A193="","",IF(AND(高値!Z193&gt;高値!Y193,高値!Z193&gt;高値!X193,高値!Z193&gt;高値!AA193,高値!Z193&gt;高値!AB193),21,""))</f>
        <v/>
      </c>
      <c r="AW193" s="503" t="str">
        <f>IF(終値!A193="","",IF(AND(高値!AA193&gt;高値!Z193,高値!AA193&gt;高値!Y193,高値!AA193&gt;高値!AB193,高値!AA193&gt;高値!AC193),22,""))</f>
        <v/>
      </c>
      <c r="AX193" s="503" t="str">
        <f>IF(終値!A193="","",IF(AND(高値!AB193&gt;高値!AA193,高値!AB193&gt;高値!Z193,高値!AB193&gt;高値!AC193,高値!AB193&gt;高値!AD193),23,""))</f>
        <v/>
      </c>
      <c r="AY193" s="503" t="str">
        <f>IF(終値!A193="","",IF(AND(高値!AC193&gt;高値!AB193,高値!AC193&gt;高値!AA193,高値!AC193&gt;高値!AD193,高値!AC193&gt;高値!AE193),24,""))</f>
        <v/>
      </c>
      <c r="AZ193" s="503" t="str">
        <f>IF(終値!A193="","",IF(AND(高値!AD193&gt;高値!AC193,高値!AD193&gt;高値!AB193,高値!AD193&gt;高値!AE193,高値!AD193&gt;高値!AF193),25,""))</f>
        <v/>
      </c>
      <c r="BA193" s="503" t="str">
        <f>IF(終値!A193="","",IF(AND(高値!AE193&gt;高値!AD193,高値!AE193&gt;高値!AC193,高値!AE193&gt;高値!AF193,高値!AE193&gt;高値!AG193),26,""))</f>
        <v/>
      </c>
      <c r="BB193" s="503" t="str">
        <f>IF(終値!A193="","",IF(AND(高値!AF193&gt;高値!AE193,高値!AF193&gt;高値!AD193,高値!AF193&gt;高値!AG193,高値!AF193&gt;高値!AH193),27,""))</f>
        <v/>
      </c>
      <c r="BC193" s="503" t="str">
        <f>IF(終値!A193="","",IF(AND(高値!AG193&gt;高値!AF193,高値!AG193&gt;高値!AE193,高値!AG193&gt;高値!AH193,高値!AG193&gt;高値!AI193),28,""))</f>
        <v/>
      </c>
      <c r="BD193" s="503">
        <f t="shared" si="12"/>
        <v>5</v>
      </c>
      <c r="BE193" s="503">
        <f t="shared" si="13"/>
        <v>3</v>
      </c>
      <c r="BF193" s="503">
        <f t="shared" si="14"/>
        <v>6</v>
      </c>
      <c r="BG193" s="503">
        <f>IF($BE193="","",INDEX(安値!$E193:$CZ193,1,$BE193+1))</f>
        <v>1982</v>
      </c>
      <c r="BH193" s="503">
        <f>IF($BF193="","",INDEX(安値!$E193:$CZ193,1,$BF193+1))</f>
        <v>1990</v>
      </c>
      <c r="BI193" s="503">
        <f>IF($BF193="","",MAX(INDEX(高値!$E193:$CZ193,1,$BE193+1):INDEX(高値!$E193:$CZ193,1,$BF193+1)))</f>
        <v>2213</v>
      </c>
      <c r="BJ193" s="503">
        <f>IF($BF193="","",AVERAGE(INDEX(終値!$E193:$CZ193,1,$BF193+1):INDEX(終値!$E193:$CZ193,1,$BF193+20))-2*STDEVP(INDEX(終値!$E193:$CZ193,1,$BF193+1):INDEX(終値!$E193:$CZ193,1,$BF193+20)))</f>
        <v>1866.8437041924597</v>
      </c>
      <c r="BK193" s="503">
        <f>IF($BE193="","",AVERAGE(INDEX(終値!$E193:$CZ193,1,$BE193+1):INDEX(終値!$E193:$CZ193,1,$BE193+20))-2*STDEVP(INDEX(終値!$E193:$CZ193,1,$BE193+1):INDEX(終値!$E193:$CZ193,1,$BE193+20)))</f>
        <v>1903.2242479851002</v>
      </c>
      <c r="BL193" s="503">
        <f t="shared" si="15"/>
        <v>3</v>
      </c>
      <c r="BM193" s="503">
        <f t="shared" si="16"/>
        <v>4</v>
      </c>
      <c r="BN193" s="503">
        <f t="shared" si="17"/>
        <v>7</v>
      </c>
      <c r="BO193" s="503">
        <f>IF($BM193="","",INDEX(高値!$E193:$CZ193,1,$BM193+1))</f>
        <v>2213</v>
      </c>
      <c r="BP193" s="503">
        <f>IF($BN193="","",INDEX(高値!$E193:$CZ193,1,$BN193+1))</f>
        <v>2199</v>
      </c>
      <c r="BQ193" s="503">
        <f>IF($BN193="","",MIN(INDEX(安値!$E193:$CZ193,1,$BM193+1):INDEX(安値!$E193:$CZ193,1,$BN193+1)))</f>
        <v>1990</v>
      </c>
      <c r="BR193" s="503">
        <f>IF($BN193="","",AVERAGE(INDEX(終値!$E193:$CZ193,1,$BN193+1):INDEX(終値!$E193:$CZ193,1,$BN193+20))+2*STDEVP(INDEX(終値!$E193:$CZ193,1,$BN193+1):INDEX(終値!$E193:$CZ193,1,$BN193+20)))</f>
        <v>2302.1483658686961</v>
      </c>
      <c r="BS193" s="503">
        <f>IF($BM193="","",AVERAGE(INDEX(終値!$E193:$CZ193,1,$BM193+1):INDEX(終値!$E193:$CZ193,1,$BM193+20))+2*STDEVP(INDEX(終値!$E193:$CZ193,1,$BM193+1):INDEX(終値!$E193:$CZ193,1,$BM193+20)))</f>
        <v>2279.5588459426435</v>
      </c>
      <c r="BT193" s="500"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二番底W▲</v>
      </c>
    </row>
    <row r="194" spans="2:72">
      <c r="B194" s="503" t="str">
        <f>IF(終値!A194="","",IF(AND(安値!G194&lt;安値!F194,安値!G194&lt;安値!E194,安値!G194&lt;安値!H194,安値!G194&lt;安値!I194),2,""))</f>
        <v/>
      </c>
      <c r="C194" s="503" t="str">
        <f>IF(終値!A194="","",IF(AND(安値!H194&lt;安値!G194,安値!H194&lt;安値!F194,安値!H194&lt;安値!I194,安値!H194&lt;安値!J194),3,""))</f>
        <v/>
      </c>
      <c r="D194" s="503" t="str">
        <f>IF(終値!A194="","",IF(AND(安値!I194&lt;安値!H194,安値!I194&lt;安値!G194,安値!I194&lt;安値!J194,安値!I194&lt;安値!K194),4,""))</f>
        <v/>
      </c>
      <c r="E194" s="503" t="str">
        <f>IF(終値!A194="","",IF(AND(安値!J194&lt;安値!I194,安値!J194&lt;安値!H194,安値!J194&lt;安値!K194,安値!J194&lt;安値!L194),5,""))</f>
        <v/>
      </c>
      <c r="F194" s="503" t="str">
        <f>IF(終値!A194="","",IF(AND(安値!K194&lt;安値!J194,安値!K194&lt;安値!I194,安値!K194&lt;安値!L194,安値!K194&lt;安値!M194),6,""))</f>
        <v/>
      </c>
      <c r="G194" s="503" t="str">
        <f>IF(終値!A194="","",IF(AND(安値!L194&lt;安値!K194,安値!L194&lt;安値!J194,安値!L194&lt;安値!M194,安値!L194&lt;安値!N194),7,""))</f>
        <v/>
      </c>
      <c r="H194" s="503" t="str">
        <f>IF(終値!A194="","",IF(AND(安値!M194&lt;安値!L194,安値!M194&lt;安値!K194,安値!M194&lt;安値!N194,安値!M194&lt;安値!O194),8,""))</f>
        <v/>
      </c>
      <c r="I194" s="503">
        <f>IF(終値!A194="","",IF(AND(安値!N194&lt;安値!M194,安値!N194&lt;安値!L194,安値!N194&lt;安値!O194,安値!N194&lt;安値!P194),9,""))</f>
        <v>9</v>
      </c>
      <c r="J194" s="503" t="str">
        <f>IF(終値!A194="","",IF(AND(安値!O194&lt;安値!N194,安値!O194&lt;安値!M194,安値!O194&lt;安値!P194,安値!O194&lt;安値!Q194),10,""))</f>
        <v/>
      </c>
      <c r="K194" s="503" t="str">
        <f>IF(終値!A194="","",IF(AND(安値!P194&lt;安値!O194,安値!P194&lt;安値!N194,安値!P194&lt;安値!Q194,安値!P194&lt;安値!R194),11,""))</f>
        <v/>
      </c>
      <c r="L194" s="503" t="str">
        <f>IF(終値!A194="","",IF(AND(安値!Q194&lt;安値!P194,安値!Q194&lt;安値!O194,安値!Q194&lt;安値!R194,安値!Q194&lt;安値!S194),12,""))</f>
        <v/>
      </c>
      <c r="M194" s="503" t="str">
        <f>IF(終値!A194="","",IF(AND(安値!R194&lt;安値!Q194,安値!R194&lt;安値!P194,安値!R194&lt;安値!S194,安値!R194&lt;安値!T194),13,""))</f>
        <v/>
      </c>
      <c r="N194" s="503" t="str">
        <f>IF(終値!A194="","",IF(AND(安値!S194&lt;安値!R194,安値!S194&lt;安値!Q194,安値!S194&lt;安値!T194,安値!S194&lt;安値!U194),14,""))</f>
        <v/>
      </c>
      <c r="O194" s="503" t="str">
        <f>IF(終値!A194="","",IF(AND(安値!T194&lt;安値!S194,安値!T194&lt;安値!R194,安値!T194&lt;安値!U194,安値!T194&lt;安値!V194),15,""))</f>
        <v/>
      </c>
      <c r="P194" s="503" t="str">
        <f>IF(終値!A194="","",IF(AND(安値!U194&lt;安値!T194,安値!U194&lt;安値!S194,安値!U194&lt;安値!V194,安値!U194&lt;安値!W194),16,""))</f>
        <v/>
      </c>
      <c r="Q194" s="503" t="str">
        <f>IF(終値!A194="","",IF(AND(安値!V194&lt;安値!U194,安値!V194&lt;安値!T194,安値!V194&lt;安値!W194,安値!V194&lt;安値!X194),17,""))</f>
        <v/>
      </c>
      <c r="R194" s="503" t="str">
        <f>IF(終値!A194="","",IF(AND(安値!W194&lt;安値!V194,安値!W194&lt;安値!U194,安値!W194&lt;安値!X194,安値!W194&lt;安値!Y194),18,""))</f>
        <v/>
      </c>
      <c r="S194" s="503" t="str">
        <f>IF(終値!A194="","",IF(AND(安値!X194&lt;安値!W194,安値!X194&lt;安値!V194,安値!X194&lt;安値!Y194,安値!X194&lt;安値!Z194),19,""))</f>
        <v/>
      </c>
      <c r="T194" s="503" t="str">
        <f>IF(終値!A194="","",IF(AND(安値!Y194&lt;安値!X194,安値!Y194&lt;安値!W194,安値!Y194&lt;安値!Z194,安値!Y194&lt;安値!AA194),20,""))</f>
        <v/>
      </c>
      <c r="U194" s="503" t="str">
        <f>IF(終値!A194="","",IF(AND(安値!Z194&lt;安値!Y194,安値!Z194&lt;安値!X194,安値!Z194&lt;安値!AA194,安値!Z194&lt;安値!AB194),21,""))</f>
        <v/>
      </c>
      <c r="V194" s="503" t="str">
        <f>IF(終値!A194="","",IF(AND(安値!AA194&lt;安値!Z194,安値!AA194&lt;安値!Y194,安値!AA194&lt;安値!AB194,安値!AA194&lt;安値!AC194),22,""))</f>
        <v/>
      </c>
      <c r="W194" s="503" t="str">
        <f>IF(終値!A194="","",IF(AND(安値!AB194&lt;安値!AA194,安値!AB194&lt;安値!Z194,安値!AB194&lt;安値!AC194,安値!AB194&lt;安値!AD194),23,""))</f>
        <v/>
      </c>
      <c r="X194" s="503">
        <f>IF(終値!A194="","",IF(AND(安値!AC194&lt;安値!AB194,安値!AC194&lt;安値!AA194,安値!AC194&lt;安値!AD194,安値!AC194&lt;安値!AE194),24,""))</f>
        <v>24</v>
      </c>
      <c r="Y194" s="503" t="str">
        <f>IF(終値!A194="","",IF(AND(安値!AD194&lt;安値!AC194,安値!AD194&lt;安値!AB194,安値!AD194&lt;安値!AE194,安値!AD194&lt;安値!AF194),25,""))</f>
        <v/>
      </c>
      <c r="Z194" s="503" t="str">
        <f>IF(終値!A194="","",IF(AND(安値!AE194&lt;安値!AD194,安値!AE194&lt;安値!AC194,安値!AE194&lt;安値!AF194,安値!AE194&lt;安値!AG194),26,""))</f>
        <v/>
      </c>
      <c r="AA194" s="503" t="str">
        <f>IF(終値!A194="","",IF(AND(安値!AF194&lt;安値!AE194,安値!AF194&lt;安値!AD194,安値!AF194&lt;安値!AG194,安値!AF194&lt;安値!AH194),27,""))</f>
        <v/>
      </c>
      <c r="AB194" s="503" t="str">
        <f>IF(終値!A194="","",IF(AND(安値!AG194&lt;安値!AF194,安値!AG194&lt;安値!AE194,安値!AG194&lt;安値!AH194,安値!AG194&lt;安値!AI194),28,""))</f>
        <v/>
      </c>
      <c r="AC194" s="503" t="str">
        <f>IF(終値!A194="","",IF(AND(高値!G194&gt;高値!F194,高値!G194&gt;高値!E194,高値!G194&gt;高値!H194,高値!G194&gt;高値!I194),2,""))</f>
        <v/>
      </c>
      <c r="AD194" s="503" t="str">
        <f>IF(終値!A194="","",IF(AND(高値!H194&gt;高値!G194,高値!H194&gt;高値!F194,高値!H194&gt;高値!I194,高値!H194&gt;高値!J194),3,""))</f>
        <v/>
      </c>
      <c r="AE194" s="503">
        <f>IF(終値!A194="","",IF(AND(高値!I194&gt;高値!H194,高値!I194&gt;高値!G194,高値!I194&gt;高値!J194,高値!I194&gt;高値!K194),4,""))</f>
        <v>4</v>
      </c>
      <c r="AF194" s="503" t="str">
        <f>IF(終値!A194="","",IF(AND(高値!J194&gt;高値!I194,高値!J194&gt;高値!H194,高値!J194&gt;高値!K194,高値!J194&gt;高値!L194),5,""))</f>
        <v/>
      </c>
      <c r="AG194" s="503" t="str">
        <f>IF(終値!A194="","",IF(AND(高値!K194&gt;高値!J194,高値!K194&gt;高値!I194,高値!K194&gt;高値!L194,高値!K194&gt;高値!M194),6,""))</f>
        <v/>
      </c>
      <c r="AH194" s="503" t="str">
        <f>IF(終値!A194="","",IF(AND(高値!L194&gt;高値!K194,高値!L194&gt;高値!J194,高値!L194&gt;高値!M194,高値!L194&gt;高値!N194),7,""))</f>
        <v/>
      </c>
      <c r="AI194" s="503" t="str">
        <f>IF(終値!A194="","",IF(AND(高値!M194&gt;高値!L194,高値!M194&gt;高値!K194,高値!M194&gt;高値!N194,高値!M194&gt;高値!O194),8,""))</f>
        <v/>
      </c>
      <c r="AJ194" s="503" t="str">
        <f>IF(終値!A194="","",IF(AND(高値!N194&gt;高値!M194,高値!N194&gt;高値!L194,高値!N194&gt;高値!O194,高値!N194&gt;高値!P194),9,""))</f>
        <v/>
      </c>
      <c r="AK194" s="503" t="str">
        <f>IF(終値!A194="","",IF(AND(高値!O194&gt;高値!N194,高値!O194&gt;高値!M194,高値!O194&gt;高値!P194,高値!O194&gt;高値!Q194),10,""))</f>
        <v/>
      </c>
      <c r="AL194" s="503" t="str">
        <f>IF(終値!A194="","",IF(AND(高値!P194&gt;高値!O194,高値!P194&gt;高値!N194,高値!P194&gt;高値!Q194,高値!P194&gt;高値!R194),11,""))</f>
        <v/>
      </c>
      <c r="AM194" s="503">
        <f>IF(終値!A194="","",IF(AND(高値!Q194&gt;高値!P194,高値!Q194&gt;高値!O194,高値!Q194&gt;高値!R194,高値!Q194&gt;高値!S194),12,""))</f>
        <v>12</v>
      </c>
      <c r="AN194" s="503" t="str">
        <f>IF(終値!A194="","",IF(AND(高値!R194&gt;高値!Q194,高値!R194&gt;高値!P194,高値!R194&gt;高値!S194,高値!R194&gt;高値!T194),13,""))</f>
        <v/>
      </c>
      <c r="AO194" s="503" t="str">
        <f>IF(終値!A194="","",IF(AND(高値!S194&gt;高値!R194,高値!S194&gt;高値!Q194,高値!S194&gt;高値!T194,高値!S194&gt;高値!U194),14,""))</f>
        <v/>
      </c>
      <c r="AP194" s="503" t="str">
        <f>IF(終値!A194="","",IF(AND(高値!T194&gt;高値!S194,高値!T194&gt;高値!R194,高値!T194&gt;高値!U194,高値!T194&gt;高値!V194),15,""))</f>
        <v/>
      </c>
      <c r="AQ194" s="503" t="str">
        <f>IF(終値!A194="","",IF(AND(高値!U194&gt;高値!T194,高値!U194&gt;高値!S194,高値!U194&gt;高値!V194,高値!U194&gt;高値!W194),16,""))</f>
        <v/>
      </c>
      <c r="AR194" s="503" t="str">
        <f>IF(終値!A194="","",IF(AND(高値!V194&gt;高値!U194,高値!V194&gt;高値!T194,高値!V194&gt;高値!W194,高値!V194&gt;高値!X194),17,""))</f>
        <v/>
      </c>
      <c r="AS194" s="503">
        <f>IF(終値!A194="","",IF(AND(高値!W194&gt;高値!V194,高値!W194&gt;高値!U194,高値!W194&gt;高値!X194,高値!W194&gt;高値!Y194),18,""))</f>
        <v>18</v>
      </c>
      <c r="AT194" s="503" t="str">
        <f>IF(終値!A194="","",IF(AND(高値!X194&gt;高値!W194,高値!X194&gt;高値!V194,高値!X194&gt;高値!Y194,高値!X194&gt;高値!Z194),19,""))</f>
        <v/>
      </c>
      <c r="AU194" s="503" t="str">
        <f>IF(終値!A194="","",IF(AND(高値!Y194&gt;高値!X194,高値!Y194&gt;高値!W194,高値!Y194&gt;高値!Z194,高値!Y194&gt;高値!AA194),20,""))</f>
        <v/>
      </c>
      <c r="AV194" s="503" t="str">
        <f>IF(終値!A194="","",IF(AND(高値!Z194&gt;高値!Y194,高値!Z194&gt;高値!X194,高値!Z194&gt;高値!AA194,高値!Z194&gt;高値!AB194),21,""))</f>
        <v/>
      </c>
      <c r="AW194" s="503">
        <f>IF(終値!A194="","",IF(AND(高値!AA194&gt;高値!Z194,高値!AA194&gt;高値!Y194,高値!AA194&gt;高値!AB194,高値!AA194&gt;高値!AC194),22,""))</f>
        <v>22</v>
      </c>
      <c r="AX194" s="503" t="str">
        <f>IF(終値!A194="","",IF(AND(高値!AB194&gt;高値!AA194,高値!AB194&gt;高値!Z194,高値!AB194&gt;高値!AC194,高値!AB194&gt;高値!AD194),23,""))</f>
        <v/>
      </c>
      <c r="AY194" s="503" t="str">
        <f>IF(終値!A194="","",IF(AND(高値!AC194&gt;高値!AB194,高値!AC194&gt;高値!AA194,高値!AC194&gt;高値!AD194,高値!AC194&gt;高値!AE194),24,""))</f>
        <v/>
      </c>
      <c r="AZ194" s="503">
        <f>IF(終値!A194="","",IF(AND(高値!AD194&gt;高値!AC194,高値!AD194&gt;高値!AB194,高値!AD194&gt;高値!AE194,高値!AD194&gt;高値!AF194),25,""))</f>
        <v>25</v>
      </c>
      <c r="BA194" s="503" t="str">
        <f>IF(終値!A194="","",IF(AND(高値!AE194&gt;高値!AD194,高値!AE194&gt;高値!AC194,高値!AE194&gt;高値!AF194,高値!AE194&gt;高値!AG194),26,""))</f>
        <v/>
      </c>
      <c r="BB194" s="503" t="str">
        <f>IF(終値!A194="","",IF(AND(高値!AF194&gt;高値!AE194,高値!AF194&gt;高値!AD194,高値!AF194&gt;高値!AG194,高値!AF194&gt;高値!AH194),27,""))</f>
        <v/>
      </c>
      <c r="BC194" s="503" t="str">
        <f>IF(終値!A194="","",IF(AND(高値!AG194&gt;高値!AF194,高値!AG194&gt;高値!AE194,高値!AG194&gt;高値!AH194,高値!AG194&gt;高値!AI194),28,""))</f>
        <v/>
      </c>
      <c r="BD194" s="503">
        <f t="shared" si="12"/>
        <v>2</v>
      </c>
      <c r="BE194" s="503">
        <f t="shared" si="13"/>
        <v>9</v>
      </c>
      <c r="BF194" s="503">
        <f t="shared" si="14"/>
        <v>24</v>
      </c>
      <c r="BG194" s="503">
        <f>IF($BE194="","",INDEX(安値!$E194:$CZ194,1,$BE194+1))</f>
        <v>0</v>
      </c>
      <c r="BH194" s="503">
        <f>IF($BF194="","",INDEX(安値!$E194:$CZ194,1,$BF194+1))</f>
        <v>7250</v>
      </c>
      <c r="BI194" s="503">
        <f>IF($BF194="","",MAX(INDEX(高値!$E194:$CZ194,1,$BE194+1):INDEX(高値!$E194:$CZ194,1,$BF194+1)))</f>
        <v>7920</v>
      </c>
      <c r="BJ194" s="503">
        <f>IF($BF194="","",AVERAGE(INDEX(終値!$E194:$CZ194,1,$BF194+1):INDEX(終値!$E194:$CZ194,1,$BF194+20))-2*STDEVP(INDEX(終値!$E194:$CZ194,1,$BF194+1):INDEX(終値!$E194:$CZ194,1,$BF194+20)))</f>
        <v>7131.7490760313704</v>
      </c>
      <c r="BK194" s="503">
        <f>IF($BE194="","",AVERAGE(INDEX(終値!$E194:$CZ194,1,$BE194+1):INDEX(終値!$E194:$CZ194,1,$BE194+20))-2*STDEVP(INDEX(終値!$E194:$CZ194,1,$BE194+1):INDEX(終値!$E194:$CZ194,1,$BE194+20)))</f>
        <v>7346.3718433558006</v>
      </c>
      <c r="BL194" s="503">
        <f t="shared" si="15"/>
        <v>5</v>
      </c>
      <c r="BM194" s="503">
        <f t="shared" si="16"/>
        <v>4</v>
      </c>
      <c r="BN194" s="503">
        <f t="shared" si="17"/>
        <v>12</v>
      </c>
      <c r="BO194" s="503">
        <f>IF($BM194="","",INDEX(高値!$E194:$CZ194,1,$BM194+1))</f>
        <v>8290</v>
      </c>
      <c r="BP194" s="503">
        <f>IF($BN194="","",INDEX(高値!$E194:$CZ194,1,$BN194+1))</f>
        <v>7780</v>
      </c>
      <c r="BQ194" s="503">
        <f>IF($BN194="","",MIN(INDEX(安値!$E194:$CZ194,1,$BM194+1):INDEX(安値!$E194:$CZ194,1,$BN194+1)))</f>
        <v>7440</v>
      </c>
      <c r="BR194" s="503">
        <f>IF($BN194="","",AVERAGE(INDEX(終値!$E194:$CZ194,1,$BN194+1):INDEX(終値!$E194:$CZ194,1,$BN194+20))+2*STDEVP(INDEX(終値!$E194:$CZ194,1,$BN194+1):INDEX(終値!$E194:$CZ194,1,$BN194+20)))</f>
        <v>7953.6469060351128</v>
      </c>
      <c r="BS194" s="503">
        <f>IF($BM194="","",AVERAGE(INDEX(終値!$E194:$CZ194,1,$BM194+1):INDEX(終値!$E194:$CZ194,1,$BM194+20))+2*STDEVP(INDEX(終値!$E194:$CZ194,1,$BM194+1):INDEX(終値!$E194:$CZ194,1,$BM194+20)))</f>
        <v>8121.9821887762173</v>
      </c>
      <c r="BT194" s="500"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v>
      </c>
    </row>
    <row r="195" spans="2:72">
      <c r="B195" s="503" t="str">
        <f>IF(終値!A195="","",IF(AND(安値!G195&lt;安値!F195,安値!G195&lt;安値!E195,安値!G195&lt;安値!H195,安値!G195&lt;安値!I195),2,""))</f>
        <v/>
      </c>
      <c r="C195" s="503" t="str">
        <f>IF(終値!A195="","",IF(AND(安値!H195&lt;安値!G195,安値!H195&lt;安値!F195,安値!H195&lt;安値!I195,安値!H195&lt;安値!J195),3,""))</f>
        <v/>
      </c>
      <c r="D195" s="503" t="str">
        <f>IF(終値!A195="","",IF(AND(安値!I195&lt;安値!H195,安値!I195&lt;安値!G195,安値!I195&lt;安値!J195,安値!I195&lt;安値!K195),4,""))</f>
        <v/>
      </c>
      <c r="E195" s="503" t="str">
        <f>IF(終値!A195="","",IF(AND(安値!J195&lt;安値!I195,安値!J195&lt;安値!H195,安値!J195&lt;安値!K195,安値!J195&lt;安値!L195),5,""))</f>
        <v/>
      </c>
      <c r="F195" s="503">
        <f>IF(終値!A195="","",IF(AND(安値!K195&lt;安値!J195,安値!K195&lt;安値!I195,安値!K195&lt;安値!L195,安値!K195&lt;安値!M195),6,""))</f>
        <v>6</v>
      </c>
      <c r="G195" s="503" t="str">
        <f>IF(終値!A195="","",IF(AND(安値!L195&lt;安値!K195,安値!L195&lt;安値!J195,安値!L195&lt;安値!M195,安値!L195&lt;安値!N195),7,""))</f>
        <v/>
      </c>
      <c r="H195" s="503" t="str">
        <f>IF(終値!A195="","",IF(AND(安値!M195&lt;安値!L195,安値!M195&lt;安値!K195,安値!M195&lt;安値!N195,安値!M195&lt;安値!O195),8,""))</f>
        <v/>
      </c>
      <c r="I195" s="503" t="str">
        <f>IF(終値!A195="","",IF(AND(安値!N195&lt;安値!M195,安値!N195&lt;安値!L195,安値!N195&lt;安値!O195,安値!N195&lt;安値!P195),9,""))</f>
        <v/>
      </c>
      <c r="J195" s="503" t="str">
        <f>IF(終値!A195="","",IF(AND(安値!O195&lt;安値!N195,安値!O195&lt;安値!M195,安値!O195&lt;安値!P195,安値!O195&lt;安値!Q195),10,""))</f>
        <v/>
      </c>
      <c r="K195" s="503" t="str">
        <f>IF(終値!A195="","",IF(AND(安値!P195&lt;安値!O195,安値!P195&lt;安値!N195,安値!P195&lt;安値!Q195,安値!P195&lt;安値!R195),11,""))</f>
        <v/>
      </c>
      <c r="L195" s="503" t="str">
        <f>IF(終値!A195="","",IF(AND(安値!Q195&lt;安値!P195,安値!Q195&lt;安値!O195,安値!Q195&lt;安値!R195,安値!Q195&lt;安値!S195),12,""))</f>
        <v/>
      </c>
      <c r="M195" s="503">
        <f>IF(終値!A195="","",IF(AND(安値!R195&lt;安値!Q195,安値!R195&lt;安値!P195,安値!R195&lt;安値!S195,安値!R195&lt;安値!T195),13,""))</f>
        <v>13</v>
      </c>
      <c r="N195" s="503" t="str">
        <f>IF(終値!A195="","",IF(AND(安値!S195&lt;安値!R195,安値!S195&lt;安値!Q195,安値!S195&lt;安値!T195,安値!S195&lt;安値!U195),14,""))</f>
        <v/>
      </c>
      <c r="O195" s="503" t="str">
        <f>IF(終値!A195="","",IF(AND(安値!T195&lt;安値!S195,安値!T195&lt;安値!R195,安値!T195&lt;安値!U195,安値!T195&lt;安値!V195),15,""))</f>
        <v/>
      </c>
      <c r="P195" s="503" t="str">
        <f>IF(終値!A195="","",IF(AND(安値!U195&lt;安値!T195,安値!U195&lt;安値!S195,安値!U195&lt;安値!V195,安値!U195&lt;安値!W195),16,""))</f>
        <v/>
      </c>
      <c r="Q195" s="503" t="str">
        <f>IF(終値!A195="","",IF(AND(安値!V195&lt;安値!U195,安値!V195&lt;安値!T195,安値!V195&lt;安値!W195,安値!V195&lt;安値!X195),17,""))</f>
        <v/>
      </c>
      <c r="R195" s="503" t="str">
        <f>IF(終値!A195="","",IF(AND(安値!W195&lt;安値!V195,安値!W195&lt;安値!U195,安値!W195&lt;安値!X195,安値!W195&lt;安値!Y195),18,""))</f>
        <v/>
      </c>
      <c r="S195" s="503">
        <f>IF(終値!A195="","",IF(AND(安値!X195&lt;安値!W195,安値!X195&lt;安値!V195,安値!X195&lt;安値!Y195,安値!X195&lt;安値!Z195),19,""))</f>
        <v>19</v>
      </c>
      <c r="T195" s="503" t="str">
        <f>IF(終値!A195="","",IF(AND(安値!Y195&lt;安値!X195,安値!Y195&lt;安値!W195,安値!Y195&lt;安値!Z195,安値!Y195&lt;安値!AA195),20,""))</f>
        <v/>
      </c>
      <c r="U195" s="503" t="str">
        <f>IF(終値!A195="","",IF(AND(安値!Z195&lt;安値!Y195,安値!Z195&lt;安値!X195,安値!Z195&lt;安値!AA195,安値!Z195&lt;安値!AB195),21,""))</f>
        <v/>
      </c>
      <c r="V195" s="503">
        <f>IF(終値!A195="","",IF(AND(安値!AA195&lt;安値!Z195,安値!AA195&lt;安値!Y195,安値!AA195&lt;安値!AB195,安値!AA195&lt;安値!AC195),22,""))</f>
        <v>22</v>
      </c>
      <c r="W195" s="503" t="str">
        <f>IF(終値!A195="","",IF(AND(安値!AB195&lt;安値!AA195,安値!AB195&lt;安値!Z195,安値!AB195&lt;安値!AC195,安値!AB195&lt;安値!AD195),23,""))</f>
        <v/>
      </c>
      <c r="X195" s="503" t="str">
        <f>IF(終値!A195="","",IF(AND(安値!AC195&lt;安値!AB195,安値!AC195&lt;安値!AA195,安値!AC195&lt;安値!AD195,安値!AC195&lt;安値!AE195),24,""))</f>
        <v/>
      </c>
      <c r="Y195" s="503" t="str">
        <f>IF(終値!A195="","",IF(AND(安値!AD195&lt;安値!AC195,安値!AD195&lt;安値!AB195,安値!AD195&lt;安値!AE195,安値!AD195&lt;安値!AF195),25,""))</f>
        <v/>
      </c>
      <c r="Z195" s="503">
        <f>IF(終値!A195="","",IF(AND(安値!AE195&lt;安値!AD195,安値!AE195&lt;安値!AC195,安値!AE195&lt;安値!AF195,安値!AE195&lt;安値!AG195),26,""))</f>
        <v>26</v>
      </c>
      <c r="AA195" s="503" t="str">
        <f>IF(終値!A195="","",IF(AND(安値!AF195&lt;安値!AE195,安値!AF195&lt;安値!AD195,安値!AF195&lt;安値!AG195,安値!AF195&lt;安値!AH195),27,""))</f>
        <v/>
      </c>
      <c r="AB195" s="503" t="str">
        <f>IF(終値!A195="","",IF(AND(安値!AG195&lt;安値!AF195,安値!AG195&lt;安値!AE195,安値!AG195&lt;安値!AH195,安値!AG195&lt;安値!AI195),28,""))</f>
        <v/>
      </c>
      <c r="AC195" s="503" t="str">
        <f>IF(終値!A195="","",IF(AND(高値!G195&gt;高値!F195,高値!G195&gt;高値!E195,高値!G195&gt;高値!H195,高値!G195&gt;高値!I195),2,""))</f>
        <v/>
      </c>
      <c r="AD195" s="503" t="str">
        <f>IF(終値!A195="","",IF(AND(高値!H195&gt;高値!G195,高値!H195&gt;高値!F195,高値!H195&gt;高値!I195,高値!H195&gt;高値!J195),3,""))</f>
        <v/>
      </c>
      <c r="AE195" s="503" t="str">
        <f>IF(終値!A195="","",IF(AND(高値!I195&gt;高値!H195,高値!I195&gt;高値!G195,高値!I195&gt;高値!J195,高値!I195&gt;高値!K195),4,""))</f>
        <v/>
      </c>
      <c r="AF195" s="503" t="str">
        <f>IF(終値!A195="","",IF(AND(高値!J195&gt;高値!I195,高値!J195&gt;高値!H195,高値!J195&gt;高値!K195,高値!J195&gt;高値!L195),5,""))</f>
        <v/>
      </c>
      <c r="AG195" s="503" t="str">
        <f>IF(終値!A195="","",IF(AND(高値!K195&gt;高値!J195,高値!K195&gt;高値!I195,高値!K195&gt;高値!L195,高値!K195&gt;高値!M195),6,""))</f>
        <v/>
      </c>
      <c r="AH195" s="503" t="str">
        <f>IF(終値!A195="","",IF(AND(高値!L195&gt;高値!K195,高値!L195&gt;高値!J195,高値!L195&gt;高値!M195,高値!L195&gt;高値!N195),7,""))</f>
        <v/>
      </c>
      <c r="AI195" s="503" t="str">
        <f>IF(終値!A195="","",IF(AND(高値!M195&gt;高値!L195,高値!M195&gt;高値!K195,高値!M195&gt;高値!N195,高値!M195&gt;高値!O195),8,""))</f>
        <v/>
      </c>
      <c r="AJ195" s="503">
        <f>IF(終値!A195="","",IF(AND(高値!N195&gt;高値!M195,高値!N195&gt;高値!L195,高値!N195&gt;高値!O195,高値!N195&gt;高値!P195),9,""))</f>
        <v>9</v>
      </c>
      <c r="AK195" s="503" t="str">
        <f>IF(終値!A195="","",IF(AND(高値!O195&gt;高値!N195,高値!O195&gt;高値!M195,高値!O195&gt;高値!P195,高値!O195&gt;高値!Q195),10,""))</f>
        <v/>
      </c>
      <c r="AL195" s="503" t="str">
        <f>IF(終値!A195="","",IF(AND(高値!P195&gt;高値!O195,高値!P195&gt;高値!N195,高値!P195&gt;高値!Q195,高値!P195&gt;高値!R195),11,""))</f>
        <v/>
      </c>
      <c r="AM195" s="503" t="str">
        <f>IF(終値!A195="","",IF(AND(高値!Q195&gt;高値!P195,高値!Q195&gt;高値!O195,高値!Q195&gt;高値!R195,高値!Q195&gt;高値!S195),12,""))</f>
        <v/>
      </c>
      <c r="AN195" s="503" t="str">
        <f>IF(終値!A195="","",IF(AND(高値!R195&gt;高値!Q195,高値!R195&gt;高値!P195,高値!R195&gt;高値!S195,高値!R195&gt;高値!T195),13,""))</f>
        <v/>
      </c>
      <c r="AO195" s="503" t="str">
        <f>IF(終値!A195="","",IF(AND(高値!S195&gt;高値!R195,高値!S195&gt;高値!Q195,高値!S195&gt;高値!T195,高値!S195&gt;高値!U195),14,""))</f>
        <v/>
      </c>
      <c r="AP195" s="503" t="str">
        <f>IF(終値!A195="","",IF(AND(高値!T195&gt;高値!S195,高値!T195&gt;高値!R195,高値!T195&gt;高値!U195,高値!T195&gt;高値!V195),15,""))</f>
        <v/>
      </c>
      <c r="AQ195" s="503">
        <f>IF(終値!A195="","",IF(AND(高値!U195&gt;高値!T195,高値!U195&gt;高値!S195,高値!U195&gt;高値!V195,高値!U195&gt;高値!W195),16,""))</f>
        <v>16</v>
      </c>
      <c r="AR195" s="503" t="str">
        <f>IF(終値!A195="","",IF(AND(高値!V195&gt;高値!U195,高値!V195&gt;高値!T195,高値!V195&gt;高値!W195,高値!V195&gt;高値!X195),17,""))</f>
        <v/>
      </c>
      <c r="AS195" s="503" t="str">
        <f>IF(終値!A195="","",IF(AND(高値!W195&gt;高値!V195,高値!W195&gt;高値!U195,高値!W195&gt;高値!X195,高値!W195&gt;高値!Y195),18,""))</f>
        <v/>
      </c>
      <c r="AT195" s="503" t="str">
        <f>IF(終値!A195="","",IF(AND(高値!X195&gt;高値!W195,高値!X195&gt;高値!V195,高値!X195&gt;高値!Y195,高値!X195&gt;高値!Z195),19,""))</f>
        <v/>
      </c>
      <c r="AU195" s="503" t="str">
        <f>IF(終値!A195="","",IF(AND(高値!Y195&gt;高値!X195,高値!Y195&gt;高値!W195,高値!Y195&gt;高値!Z195,高値!Y195&gt;高値!AA195),20,""))</f>
        <v/>
      </c>
      <c r="AV195" s="503" t="str">
        <f>IF(終値!A195="","",IF(AND(高値!Z195&gt;高値!Y195,高値!Z195&gt;高値!X195,高値!Z195&gt;高値!AA195,高値!Z195&gt;高値!AB195),21,""))</f>
        <v/>
      </c>
      <c r="AW195" s="503" t="str">
        <f>IF(終値!A195="","",IF(AND(高値!AA195&gt;高値!Z195,高値!AA195&gt;高値!Y195,高値!AA195&gt;高値!AB195,高値!AA195&gt;高値!AC195),22,""))</f>
        <v/>
      </c>
      <c r="AX195" s="503" t="str">
        <f>IF(終値!A195="","",IF(AND(高値!AB195&gt;高値!AA195,高値!AB195&gt;高値!Z195,高値!AB195&gt;高値!AC195,高値!AB195&gt;高値!AD195),23,""))</f>
        <v/>
      </c>
      <c r="AY195" s="503">
        <f>IF(終値!A195="","",IF(AND(高値!AC195&gt;高値!AB195,高値!AC195&gt;高値!AA195,高値!AC195&gt;高値!AD195,高値!AC195&gt;高値!AE195),24,""))</f>
        <v>24</v>
      </c>
      <c r="AZ195" s="503" t="str">
        <f>IF(終値!A195="","",IF(AND(高値!AD195&gt;高値!AC195,高値!AD195&gt;高値!AB195,高値!AD195&gt;高値!AE195,高値!AD195&gt;高値!AF195),25,""))</f>
        <v/>
      </c>
      <c r="BA195" s="503" t="str">
        <f>IF(終値!A195="","",IF(AND(高値!AE195&gt;高値!AD195,高値!AE195&gt;高値!AC195,高値!AE195&gt;高値!AF195,高値!AE195&gt;高値!AG195),26,""))</f>
        <v/>
      </c>
      <c r="BB195" s="503" t="str">
        <f>IF(終値!A195="","",IF(AND(高値!AF195&gt;高値!AE195,高値!AF195&gt;高値!AD195,高値!AF195&gt;高値!AG195,高値!AF195&gt;高値!AH195),27,""))</f>
        <v/>
      </c>
      <c r="BC195" s="503" t="str">
        <f>IF(終値!A195="","",IF(AND(高値!AG195&gt;高値!AF195,高値!AG195&gt;高値!AE195,高値!AG195&gt;高値!AH195,高値!AG195&gt;高値!AI195),28,""))</f>
        <v/>
      </c>
      <c r="BD195" s="503">
        <f t="shared" si="12"/>
        <v>5</v>
      </c>
      <c r="BE195" s="503">
        <f t="shared" si="13"/>
        <v>6</v>
      </c>
      <c r="BF195" s="503">
        <f t="shared" si="14"/>
        <v>13</v>
      </c>
      <c r="BG195" s="503">
        <f>IF($BE195="","",INDEX(安値!$E195:$CZ195,1,$BE195+1))</f>
        <v>6950</v>
      </c>
      <c r="BH195" s="503">
        <f>IF($BF195="","",INDEX(安値!$E195:$CZ195,1,$BF195+1))</f>
        <v>6750</v>
      </c>
      <c r="BI195" s="503">
        <f>IF($BF195="","",MAX(INDEX(高値!$E195:$CZ195,1,$BE195+1):INDEX(高値!$E195:$CZ195,1,$BF195+1)))</f>
        <v>9280</v>
      </c>
      <c r="BJ195" s="503">
        <f>IF($BF195="","",AVERAGE(INDEX(終値!$E195:$CZ195,1,$BF195+1):INDEX(終値!$E195:$CZ195,1,$BF195+20))-2*STDEVP(INDEX(終値!$E195:$CZ195,1,$BF195+1):INDEX(終値!$E195:$CZ195,1,$BF195+20)))</f>
        <v>7123.6010585610184</v>
      </c>
      <c r="BK195" s="503">
        <f>IF($BE195="","",AVERAGE(INDEX(終値!$E195:$CZ195,1,$BE195+1):INDEX(終値!$E195:$CZ195,1,$BE195+20))-2*STDEVP(INDEX(終値!$E195:$CZ195,1,$BE195+1):INDEX(終値!$E195:$CZ195,1,$BE195+20)))</f>
        <v>6855.7545137282532</v>
      </c>
      <c r="BL195" s="503">
        <f t="shared" si="15"/>
        <v>3</v>
      </c>
      <c r="BM195" s="503">
        <f t="shared" si="16"/>
        <v>9</v>
      </c>
      <c r="BN195" s="503">
        <f t="shared" si="17"/>
        <v>16</v>
      </c>
      <c r="BO195" s="503">
        <f>IF($BM195="","",INDEX(高値!$E195:$CZ195,1,$BM195+1))</f>
        <v>9280</v>
      </c>
      <c r="BP195" s="503">
        <f>IF($BN195="","",INDEX(高値!$E195:$CZ195,1,$BN195+1))</f>
        <v>9280</v>
      </c>
      <c r="BQ195" s="503">
        <f>IF($BN195="","",MIN(INDEX(安値!$E195:$CZ195,1,$BM195+1):INDEX(安値!$E195:$CZ195,1,$BN195+1)))</f>
        <v>6750</v>
      </c>
      <c r="BR195" s="503">
        <f>IF($BN195="","",AVERAGE(INDEX(終値!$E195:$CZ195,1,$BN195+1):INDEX(終値!$E195:$CZ195,1,$BN195+20))+2*STDEVP(INDEX(終値!$E195:$CZ195,1,$BN195+1):INDEX(終値!$E195:$CZ195,1,$BN195+20)))</f>
        <v>11147.516349504367</v>
      </c>
      <c r="BS195" s="503">
        <f>IF($BM195="","",AVERAGE(INDEX(終値!$E195:$CZ195,1,$BM195+1):INDEX(終値!$E195:$CZ195,1,$BM195+20))+2*STDEVP(INDEX(終値!$E195:$CZ195,1,$BM195+1):INDEX(終値!$E195:$CZ195,1,$BM195+20)))</f>
        <v>10331.324717277024</v>
      </c>
      <c r="BT195" s="500"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二番底W▲</v>
      </c>
    </row>
    <row r="196" spans="2:72">
      <c r="B196" s="503" t="str">
        <f>IF(終値!A196="","",IF(AND(安値!G196&lt;安値!F196,安値!G196&lt;安値!E196,安値!G196&lt;安値!H196,安値!G196&lt;安値!I196),2,""))</f>
        <v/>
      </c>
      <c r="C196" s="503" t="str">
        <f>IF(終値!A196="","",IF(AND(安値!H196&lt;安値!G196,安値!H196&lt;安値!F196,安値!H196&lt;安値!I196,安値!H196&lt;安値!J196),3,""))</f>
        <v/>
      </c>
      <c r="D196" s="503" t="str">
        <f>IF(終値!A196="","",IF(AND(安値!I196&lt;安値!H196,安値!I196&lt;安値!G196,安値!I196&lt;安値!J196,安値!I196&lt;安値!K196),4,""))</f>
        <v/>
      </c>
      <c r="E196" s="503" t="str">
        <f>IF(終値!A196="","",IF(AND(安値!J196&lt;安値!I196,安値!J196&lt;安値!H196,安値!J196&lt;安値!K196,安値!J196&lt;安値!L196),5,""))</f>
        <v/>
      </c>
      <c r="F196" s="503">
        <f>IF(終値!A196="","",IF(AND(安値!K196&lt;安値!J196,安値!K196&lt;安値!I196,安値!K196&lt;安値!L196,安値!K196&lt;安値!M196),6,""))</f>
        <v>6</v>
      </c>
      <c r="G196" s="503" t="str">
        <f>IF(終値!A196="","",IF(AND(安値!L196&lt;安値!K196,安値!L196&lt;安値!J196,安値!L196&lt;安値!M196,安値!L196&lt;安値!N196),7,""))</f>
        <v/>
      </c>
      <c r="H196" s="503" t="str">
        <f>IF(終値!A196="","",IF(AND(安値!M196&lt;安値!L196,安値!M196&lt;安値!K196,安値!M196&lt;安値!N196,安値!M196&lt;安値!O196),8,""))</f>
        <v/>
      </c>
      <c r="I196" s="503" t="str">
        <f>IF(終値!A196="","",IF(AND(安値!N196&lt;安値!M196,安値!N196&lt;安値!L196,安値!N196&lt;安値!O196,安値!N196&lt;安値!P196),9,""))</f>
        <v/>
      </c>
      <c r="J196" s="503" t="str">
        <f>IF(終値!A196="","",IF(AND(安値!O196&lt;安値!N196,安値!O196&lt;安値!M196,安値!O196&lt;安値!P196,安値!O196&lt;安値!Q196),10,""))</f>
        <v/>
      </c>
      <c r="K196" s="503" t="str">
        <f>IF(終値!A196="","",IF(AND(安値!P196&lt;安値!O196,安値!P196&lt;安値!N196,安値!P196&lt;安値!Q196,安値!P196&lt;安値!R196),11,""))</f>
        <v/>
      </c>
      <c r="L196" s="503" t="str">
        <f>IF(終値!A196="","",IF(AND(安値!Q196&lt;安値!P196,安値!Q196&lt;安値!O196,安値!Q196&lt;安値!R196,安値!Q196&lt;安値!S196),12,""))</f>
        <v/>
      </c>
      <c r="M196" s="503">
        <f>IF(終値!A196="","",IF(AND(安値!R196&lt;安値!Q196,安値!R196&lt;安値!P196,安値!R196&lt;安値!S196,安値!R196&lt;安値!T196),13,""))</f>
        <v>13</v>
      </c>
      <c r="N196" s="503" t="str">
        <f>IF(終値!A196="","",IF(AND(安値!S196&lt;安値!R196,安値!S196&lt;安値!Q196,安値!S196&lt;安値!T196,安値!S196&lt;安値!U196),14,""))</f>
        <v/>
      </c>
      <c r="O196" s="503" t="str">
        <f>IF(終値!A196="","",IF(AND(安値!T196&lt;安値!S196,安値!T196&lt;安値!R196,安値!T196&lt;安値!U196,安値!T196&lt;安値!V196),15,""))</f>
        <v/>
      </c>
      <c r="P196" s="503" t="str">
        <f>IF(終値!A196="","",IF(AND(安値!U196&lt;安値!T196,安値!U196&lt;安値!S196,安値!U196&lt;安値!V196,安値!U196&lt;安値!W196),16,""))</f>
        <v/>
      </c>
      <c r="Q196" s="503" t="str">
        <f>IF(終値!A196="","",IF(AND(安値!V196&lt;安値!U196,安値!V196&lt;安値!T196,安値!V196&lt;安値!W196,安値!V196&lt;安値!X196),17,""))</f>
        <v/>
      </c>
      <c r="R196" s="503" t="str">
        <f>IF(終値!A196="","",IF(AND(安値!W196&lt;安値!V196,安値!W196&lt;安値!U196,安値!W196&lt;安値!X196,安値!W196&lt;安値!Y196),18,""))</f>
        <v/>
      </c>
      <c r="S196" s="503">
        <f>IF(終値!A196="","",IF(AND(安値!X196&lt;安値!W196,安値!X196&lt;安値!V196,安値!X196&lt;安値!Y196,安値!X196&lt;安値!Z196),19,""))</f>
        <v>19</v>
      </c>
      <c r="T196" s="503" t="str">
        <f>IF(終値!A196="","",IF(AND(安値!Y196&lt;安値!X196,安値!Y196&lt;安値!W196,安値!Y196&lt;安値!Z196,安値!Y196&lt;安値!AA196),20,""))</f>
        <v/>
      </c>
      <c r="U196" s="503" t="str">
        <f>IF(終値!A196="","",IF(AND(安値!Z196&lt;安値!Y196,安値!Z196&lt;安値!X196,安値!Z196&lt;安値!AA196,安値!Z196&lt;安値!AB196),21,""))</f>
        <v/>
      </c>
      <c r="V196" s="503" t="str">
        <f>IF(終値!A196="","",IF(AND(安値!AA196&lt;安値!Z196,安値!AA196&lt;安値!Y196,安値!AA196&lt;安値!AB196,安値!AA196&lt;安値!AC196),22,""))</f>
        <v/>
      </c>
      <c r="W196" s="503" t="str">
        <f>IF(終値!A196="","",IF(AND(安値!AB196&lt;安値!AA196,安値!AB196&lt;安値!Z196,安値!AB196&lt;安値!AC196,安値!AB196&lt;安値!AD196),23,""))</f>
        <v/>
      </c>
      <c r="X196" s="503" t="str">
        <f>IF(終値!A196="","",IF(AND(安値!AC196&lt;安値!AB196,安値!AC196&lt;安値!AA196,安値!AC196&lt;安値!AD196,安値!AC196&lt;安値!AE196),24,""))</f>
        <v/>
      </c>
      <c r="Y196" s="503" t="str">
        <f>IF(終値!A196="","",IF(AND(安値!AD196&lt;安値!AC196,安値!AD196&lt;安値!AB196,安値!AD196&lt;安値!AE196,安値!AD196&lt;安値!AF196),25,""))</f>
        <v/>
      </c>
      <c r="Z196" s="503">
        <f>IF(終値!A196="","",IF(AND(安値!AE196&lt;安値!AD196,安値!AE196&lt;安値!AC196,安値!AE196&lt;安値!AF196,安値!AE196&lt;安値!AG196),26,""))</f>
        <v>26</v>
      </c>
      <c r="AA196" s="503" t="str">
        <f>IF(終値!A196="","",IF(AND(安値!AF196&lt;安値!AE196,安値!AF196&lt;安値!AD196,安値!AF196&lt;安値!AG196,安値!AF196&lt;安値!AH196),27,""))</f>
        <v/>
      </c>
      <c r="AB196" s="503" t="str">
        <f>IF(終値!A196="","",IF(AND(安値!AG196&lt;安値!AF196,安値!AG196&lt;安値!AE196,安値!AG196&lt;安値!AH196,安値!AG196&lt;安値!AI196),28,""))</f>
        <v/>
      </c>
      <c r="AC196" s="503" t="str">
        <f>IF(終値!A196="","",IF(AND(高値!G196&gt;高値!F196,高値!G196&gt;高値!E196,高値!G196&gt;高値!H196,高値!G196&gt;高値!I196),2,""))</f>
        <v/>
      </c>
      <c r="AD196" s="503" t="str">
        <f>IF(終値!A196="","",IF(AND(高値!H196&gt;高値!G196,高値!H196&gt;高値!F196,高値!H196&gt;高値!I196,高値!H196&gt;高値!J196),3,""))</f>
        <v/>
      </c>
      <c r="AE196" s="503" t="str">
        <f>IF(終値!A196="","",IF(AND(高値!I196&gt;高値!H196,高値!I196&gt;高値!G196,高値!I196&gt;高値!J196,高値!I196&gt;高値!K196),4,""))</f>
        <v/>
      </c>
      <c r="AF196" s="503" t="str">
        <f>IF(終値!A196="","",IF(AND(高値!J196&gt;高値!I196,高値!J196&gt;高値!H196,高値!J196&gt;高値!K196,高値!J196&gt;高値!L196),5,""))</f>
        <v/>
      </c>
      <c r="AG196" s="503" t="str">
        <f>IF(終値!A196="","",IF(AND(高値!K196&gt;高値!J196,高値!K196&gt;高値!I196,高値!K196&gt;高値!L196,高値!K196&gt;高値!M196),6,""))</f>
        <v/>
      </c>
      <c r="AH196" s="503" t="str">
        <f>IF(終値!A196="","",IF(AND(高値!L196&gt;高値!K196,高値!L196&gt;高値!J196,高値!L196&gt;高値!M196,高値!L196&gt;高値!N196),7,""))</f>
        <v/>
      </c>
      <c r="AI196" s="503" t="str">
        <f>IF(終値!A196="","",IF(AND(高値!M196&gt;高値!L196,高値!M196&gt;高値!K196,高値!M196&gt;高値!N196,高値!M196&gt;高値!O196),8,""))</f>
        <v/>
      </c>
      <c r="AJ196" s="503" t="str">
        <f>IF(終値!A196="","",IF(AND(高値!N196&gt;高値!M196,高値!N196&gt;高値!L196,高値!N196&gt;高値!O196,高値!N196&gt;高値!P196),9,""))</f>
        <v/>
      </c>
      <c r="AK196" s="503" t="str">
        <f>IF(終値!A196="","",IF(AND(高値!O196&gt;高値!N196,高値!O196&gt;高値!M196,高値!O196&gt;高値!P196,高値!O196&gt;高値!Q196),10,""))</f>
        <v/>
      </c>
      <c r="AL196" s="503">
        <f>IF(終値!A196="","",IF(AND(高値!P196&gt;高値!O196,高値!P196&gt;高値!N196,高値!P196&gt;高値!Q196,高値!P196&gt;高値!R196),11,""))</f>
        <v>11</v>
      </c>
      <c r="AM196" s="503" t="str">
        <f>IF(終値!A196="","",IF(AND(高値!Q196&gt;高値!P196,高値!Q196&gt;高値!O196,高値!Q196&gt;高値!R196,高値!Q196&gt;高値!S196),12,""))</f>
        <v/>
      </c>
      <c r="AN196" s="503" t="str">
        <f>IF(終値!A196="","",IF(AND(高値!R196&gt;高値!Q196,高値!R196&gt;高値!P196,高値!R196&gt;高値!S196,高値!R196&gt;高値!T196),13,""))</f>
        <v/>
      </c>
      <c r="AO196" s="503">
        <f>IF(終値!A196="","",IF(AND(高値!S196&gt;高値!R196,高値!S196&gt;高値!Q196,高値!S196&gt;高値!T196,高値!S196&gt;高値!U196),14,""))</f>
        <v>14</v>
      </c>
      <c r="AP196" s="503" t="str">
        <f>IF(終値!A196="","",IF(AND(高値!T196&gt;高値!S196,高値!T196&gt;高値!R196,高値!T196&gt;高値!U196,高値!T196&gt;高値!V196),15,""))</f>
        <v/>
      </c>
      <c r="AQ196" s="503" t="str">
        <f>IF(終値!A196="","",IF(AND(高値!U196&gt;高値!T196,高値!U196&gt;高値!S196,高値!U196&gt;高値!V196,高値!U196&gt;高値!W196),16,""))</f>
        <v/>
      </c>
      <c r="AR196" s="503">
        <f>IF(終値!A196="","",IF(AND(高値!V196&gt;高値!U196,高値!V196&gt;高値!T196,高値!V196&gt;高値!W196,高値!V196&gt;高値!X196),17,""))</f>
        <v>17</v>
      </c>
      <c r="AS196" s="503" t="str">
        <f>IF(終値!A196="","",IF(AND(高値!W196&gt;高値!V196,高値!W196&gt;高値!U196,高値!W196&gt;高値!X196,高値!W196&gt;高値!Y196),18,""))</f>
        <v/>
      </c>
      <c r="AT196" s="503" t="str">
        <f>IF(終値!A196="","",IF(AND(高値!X196&gt;高値!W196,高値!X196&gt;高値!V196,高値!X196&gt;高値!Y196,高値!X196&gt;高値!Z196),19,""))</f>
        <v/>
      </c>
      <c r="AU196" s="503" t="str">
        <f>IF(終値!A196="","",IF(AND(高値!Y196&gt;高値!X196,高値!Y196&gt;高値!W196,高値!Y196&gt;高値!Z196,高値!Y196&gt;高値!AA196),20,""))</f>
        <v/>
      </c>
      <c r="AV196" s="503" t="str">
        <f>IF(終値!A196="","",IF(AND(高値!Z196&gt;高値!Y196,高値!Z196&gt;高値!X196,高値!Z196&gt;高値!AA196,高値!Z196&gt;高値!AB196),21,""))</f>
        <v/>
      </c>
      <c r="AW196" s="503" t="str">
        <f>IF(終値!A196="","",IF(AND(高値!AA196&gt;高値!Z196,高値!AA196&gt;高値!Y196,高値!AA196&gt;高値!AB196,高値!AA196&gt;高値!AC196),22,""))</f>
        <v/>
      </c>
      <c r="AX196" s="503" t="str">
        <f>IF(終値!A196="","",IF(AND(高値!AB196&gt;高値!AA196,高値!AB196&gt;高値!Z196,高値!AB196&gt;高値!AC196,高値!AB196&gt;高値!AD196),23,""))</f>
        <v/>
      </c>
      <c r="AY196" s="503">
        <f>IF(終値!A196="","",IF(AND(高値!AC196&gt;高値!AB196,高値!AC196&gt;高値!AA196,高値!AC196&gt;高値!AD196,高値!AC196&gt;高値!AE196),24,""))</f>
        <v>24</v>
      </c>
      <c r="AZ196" s="503" t="str">
        <f>IF(終値!A196="","",IF(AND(高値!AD196&gt;高値!AC196,高値!AD196&gt;高値!AB196,高値!AD196&gt;高値!AE196,高値!AD196&gt;高値!AF196),25,""))</f>
        <v/>
      </c>
      <c r="BA196" s="503" t="str">
        <f>IF(終値!A196="","",IF(AND(高値!AE196&gt;高値!AD196,高値!AE196&gt;高値!AC196,高値!AE196&gt;高値!AF196,高値!AE196&gt;高値!AG196),26,""))</f>
        <v/>
      </c>
      <c r="BB196" s="503" t="str">
        <f>IF(終値!A196="","",IF(AND(高値!AF196&gt;高値!AE196,高値!AF196&gt;高値!AD196,高値!AF196&gt;高値!AG196,高値!AF196&gt;高値!AH196),27,""))</f>
        <v/>
      </c>
      <c r="BC196" s="503" t="str">
        <f>IF(終値!A196="","",IF(AND(高値!AG196&gt;高値!AF196,高値!AG196&gt;高値!AE196,高値!AG196&gt;高値!AH196,高値!AG196&gt;高値!AI196),28,""))</f>
        <v/>
      </c>
      <c r="BD196" s="503">
        <f t="shared" si="12"/>
        <v>4</v>
      </c>
      <c r="BE196" s="503">
        <f t="shared" si="13"/>
        <v>6</v>
      </c>
      <c r="BF196" s="503">
        <f t="shared" si="14"/>
        <v>13</v>
      </c>
      <c r="BG196" s="503">
        <f>IF($BE196="","",INDEX(安値!$E196:$CZ196,1,$BE196+1))</f>
        <v>19520</v>
      </c>
      <c r="BH196" s="503">
        <f>IF($BF196="","",INDEX(安値!$E196:$CZ196,1,$BF196+1))</f>
        <v>22000</v>
      </c>
      <c r="BI196" s="503">
        <f>IF($BF196="","",MAX(INDEX(高値!$E196:$CZ196,1,$BE196+1):INDEX(高値!$E196:$CZ196,1,$BF196+1)))</f>
        <v>24910</v>
      </c>
      <c r="BJ196" s="503">
        <f>IF($BF196="","",AVERAGE(INDEX(終値!$E196:$CZ196,1,$BF196+1):INDEX(終値!$E196:$CZ196,1,$BF196+20))-2*STDEVP(INDEX(終値!$E196:$CZ196,1,$BF196+1):INDEX(終値!$E196:$CZ196,1,$BF196+20)))</f>
        <v>22684.627613823199</v>
      </c>
      <c r="BK196" s="503">
        <f>IF($BE196="","",AVERAGE(INDEX(終値!$E196:$CZ196,1,$BE196+1):INDEX(終値!$E196:$CZ196,1,$BE196+20))-2*STDEVP(INDEX(終値!$E196:$CZ196,1,$BE196+1):INDEX(終値!$E196:$CZ196,1,$BE196+20)))</f>
        <v>20838.598015199623</v>
      </c>
      <c r="BL196" s="503">
        <f t="shared" si="15"/>
        <v>4</v>
      </c>
      <c r="BM196" s="503">
        <f t="shared" si="16"/>
        <v>11</v>
      </c>
      <c r="BN196" s="503">
        <f t="shared" si="17"/>
        <v>14</v>
      </c>
      <c r="BO196" s="503">
        <f>IF($BM196="","",INDEX(高値!$E196:$CZ196,1,$BM196+1))</f>
        <v>24910</v>
      </c>
      <c r="BP196" s="503">
        <f>IF($BN196="","",INDEX(高値!$E196:$CZ196,1,$BN196+1))</f>
        <v>25250</v>
      </c>
      <c r="BQ196" s="503">
        <f>IF($BN196="","",MIN(INDEX(安値!$E196:$CZ196,1,$BM196+1):INDEX(安値!$E196:$CZ196,1,$BN196+1)))</f>
        <v>22000</v>
      </c>
      <c r="BR196" s="503">
        <f>IF($BN196="","",AVERAGE(INDEX(終値!$E196:$CZ196,1,$BN196+1):INDEX(終値!$E196:$CZ196,1,$BN196+20))+2*STDEVP(INDEX(終値!$E196:$CZ196,1,$BN196+1):INDEX(終値!$E196:$CZ196,1,$BN196+20)))</f>
        <v>28919.519854904313</v>
      </c>
      <c r="BS196" s="503">
        <f>IF($BM196="","",AVERAGE(INDEX(終値!$E196:$CZ196,1,$BM196+1):INDEX(終値!$E196:$CZ196,1,$BM196+20))+2*STDEVP(INDEX(終値!$E196:$CZ196,1,$BM196+1):INDEX(終値!$E196:$CZ196,1,$BM196+20)))</f>
        <v>28525.663347459667</v>
      </c>
      <c r="BT196" s="500"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二番天井M形成</v>
      </c>
    </row>
    <row r="197" spans="2:72">
      <c r="B197" s="503" t="str">
        <f>IF(終値!A197="","",IF(AND(安値!G197&lt;安値!F197,安値!G197&lt;安値!E197,安値!G197&lt;安値!H197,安値!G197&lt;安値!I197),2,""))</f>
        <v/>
      </c>
      <c r="C197" s="503" t="str">
        <f>IF(終値!A197="","",IF(AND(安値!H197&lt;安値!G197,安値!H197&lt;安値!F197,安値!H197&lt;安値!I197,安値!H197&lt;安値!J197),3,""))</f>
        <v/>
      </c>
      <c r="D197" s="503" t="str">
        <f>IF(終値!A197="","",IF(AND(安値!I197&lt;安値!H197,安値!I197&lt;安値!G197,安値!I197&lt;安値!J197,安値!I197&lt;安値!K197),4,""))</f>
        <v/>
      </c>
      <c r="E197" s="503">
        <f>IF(終値!A197="","",IF(AND(安値!J197&lt;安値!I197,安値!J197&lt;安値!H197,安値!J197&lt;安値!K197,安値!J197&lt;安値!L197),5,""))</f>
        <v>5</v>
      </c>
      <c r="F197" s="503" t="str">
        <f>IF(終値!A197="","",IF(AND(安値!K197&lt;安値!J197,安値!K197&lt;安値!I197,安値!K197&lt;安値!L197,安値!K197&lt;安値!M197),6,""))</f>
        <v/>
      </c>
      <c r="G197" s="503" t="str">
        <f>IF(終値!A197="","",IF(AND(安値!L197&lt;安値!K197,安値!L197&lt;安値!J197,安値!L197&lt;安値!M197,安値!L197&lt;安値!N197),7,""))</f>
        <v/>
      </c>
      <c r="H197" s="503" t="str">
        <f>IF(終値!A197="","",IF(AND(安値!M197&lt;安値!L197,安値!M197&lt;安値!K197,安値!M197&lt;安値!N197,安値!M197&lt;安値!O197),8,""))</f>
        <v/>
      </c>
      <c r="I197" s="503" t="str">
        <f>IF(終値!A197="","",IF(AND(安値!N197&lt;安値!M197,安値!N197&lt;安値!L197,安値!N197&lt;安値!O197,安値!N197&lt;安値!P197),9,""))</f>
        <v/>
      </c>
      <c r="J197" s="503" t="str">
        <f>IF(終値!A197="","",IF(AND(安値!O197&lt;安値!N197,安値!O197&lt;安値!M197,安値!O197&lt;安値!P197,安値!O197&lt;安値!Q197),10,""))</f>
        <v/>
      </c>
      <c r="K197" s="503" t="str">
        <f>IF(終値!A197="","",IF(AND(安値!P197&lt;安値!O197,安値!P197&lt;安値!N197,安値!P197&lt;安値!Q197,安値!P197&lt;安値!R197),11,""))</f>
        <v/>
      </c>
      <c r="L197" s="503" t="str">
        <f>IF(終値!A197="","",IF(AND(安値!Q197&lt;安値!P197,安値!Q197&lt;安値!O197,安値!Q197&lt;安値!R197,安値!Q197&lt;安値!S197),12,""))</f>
        <v/>
      </c>
      <c r="M197" s="503">
        <f>IF(終値!A197="","",IF(AND(安値!R197&lt;安値!Q197,安値!R197&lt;安値!P197,安値!R197&lt;安値!S197,安値!R197&lt;安値!T197),13,""))</f>
        <v>13</v>
      </c>
      <c r="N197" s="503" t="str">
        <f>IF(終値!A197="","",IF(AND(安値!S197&lt;安値!R197,安値!S197&lt;安値!Q197,安値!S197&lt;安値!T197,安値!S197&lt;安値!U197),14,""))</f>
        <v/>
      </c>
      <c r="O197" s="503" t="str">
        <f>IF(終値!A197="","",IF(AND(安値!T197&lt;安値!S197,安値!T197&lt;安値!R197,安値!T197&lt;安値!U197,安値!T197&lt;安値!V197),15,""))</f>
        <v/>
      </c>
      <c r="P197" s="503" t="str">
        <f>IF(終値!A197="","",IF(AND(安値!U197&lt;安値!T197,安値!U197&lt;安値!S197,安値!U197&lt;安値!V197,安値!U197&lt;安値!W197),16,""))</f>
        <v/>
      </c>
      <c r="Q197" s="503" t="str">
        <f>IF(終値!A197="","",IF(AND(安値!V197&lt;安値!U197,安値!V197&lt;安値!T197,安値!V197&lt;安値!W197,安値!V197&lt;安値!X197),17,""))</f>
        <v/>
      </c>
      <c r="R197" s="503" t="str">
        <f>IF(終値!A197="","",IF(AND(安値!W197&lt;安値!V197,安値!W197&lt;安値!U197,安値!W197&lt;安値!X197,安値!W197&lt;安値!Y197),18,""))</f>
        <v/>
      </c>
      <c r="S197" s="503">
        <f>IF(終値!A197="","",IF(AND(安値!X197&lt;安値!W197,安値!X197&lt;安値!V197,安値!X197&lt;安値!Y197,安値!X197&lt;安値!Z197),19,""))</f>
        <v>19</v>
      </c>
      <c r="T197" s="503" t="str">
        <f>IF(終値!A197="","",IF(AND(安値!Y197&lt;安値!X197,安値!Y197&lt;安値!W197,安値!Y197&lt;安値!Z197,安値!Y197&lt;安値!AA197),20,""))</f>
        <v/>
      </c>
      <c r="U197" s="503" t="str">
        <f>IF(終値!A197="","",IF(AND(安値!Z197&lt;安値!Y197,安値!Z197&lt;安値!X197,安値!Z197&lt;安値!AA197,安値!Z197&lt;安値!AB197),21,""))</f>
        <v/>
      </c>
      <c r="V197" s="503" t="str">
        <f>IF(終値!A197="","",IF(AND(安値!AA197&lt;安値!Z197,安値!AA197&lt;安値!Y197,安値!AA197&lt;安値!AB197,安値!AA197&lt;安値!AC197),22,""))</f>
        <v/>
      </c>
      <c r="W197" s="503" t="str">
        <f>IF(終値!A197="","",IF(AND(安値!AB197&lt;安値!AA197,安値!AB197&lt;安値!Z197,安値!AB197&lt;安値!AC197,安値!AB197&lt;安値!AD197),23,""))</f>
        <v/>
      </c>
      <c r="X197" s="503" t="str">
        <f>IF(終値!A197="","",IF(AND(安値!AC197&lt;安値!AB197,安値!AC197&lt;安値!AA197,安値!AC197&lt;安値!AD197,安値!AC197&lt;安値!AE197),24,""))</f>
        <v/>
      </c>
      <c r="Y197" s="503" t="str">
        <f>IF(終値!A197="","",IF(AND(安値!AD197&lt;安値!AC197,安値!AD197&lt;安値!AB197,安値!AD197&lt;安値!AE197,安値!AD197&lt;安値!AF197),25,""))</f>
        <v/>
      </c>
      <c r="Z197" s="503">
        <f>IF(終値!A197="","",IF(AND(安値!AE197&lt;安値!AD197,安値!AE197&lt;安値!AC197,安値!AE197&lt;安値!AF197,安値!AE197&lt;安値!AG197),26,""))</f>
        <v>26</v>
      </c>
      <c r="AA197" s="503" t="str">
        <f>IF(終値!A197="","",IF(AND(安値!AF197&lt;安値!AE197,安値!AF197&lt;安値!AD197,安値!AF197&lt;安値!AG197,安値!AF197&lt;安値!AH197),27,""))</f>
        <v/>
      </c>
      <c r="AB197" s="503" t="str">
        <f>IF(終値!A197="","",IF(AND(安値!AG197&lt;安値!AF197,安値!AG197&lt;安値!AE197,安値!AG197&lt;安値!AH197,安値!AG197&lt;安値!AI197),28,""))</f>
        <v/>
      </c>
      <c r="AC197" s="503" t="str">
        <f>IF(終値!A197="","",IF(AND(高値!G197&gt;高値!F197,高値!G197&gt;高値!E197,高値!G197&gt;高値!H197,高値!G197&gt;高値!I197),2,""))</f>
        <v/>
      </c>
      <c r="AD197" s="503" t="str">
        <f>IF(終値!A197="","",IF(AND(高値!H197&gt;高値!G197,高値!H197&gt;高値!F197,高値!H197&gt;高値!I197,高値!H197&gt;高値!J197),3,""))</f>
        <v/>
      </c>
      <c r="AE197" s="503" t="str">
        <f>IF(終値!A197="","",IF(AND(高値!I197&gt;高値!H197,高値!I197&gt;高値!G197,高値!I197&gt;高値!J197,高値!I197&gt;高値!K197),4,""))</f>
        <v/>
      </c>
      <c r="AF197" s="503" t="str">
        <f>IF(終値!A197="","",IF(AND(高値!J197&gt;高値!I197,高値!J197&gt;高値!H197,高値!J197&gt;高値!K197,高値!J197&gt;高値!L197),5,""))</f>
        <v/>
      </c>
      <c r="AG197" s="503" t="str">
        <f>IF(終値!A197="","",IF(AND(高値!K197&gt;高値!J197,高値!K197&gt;高値!I197,高値!K197&gt;高値!L197,高値!K197&gt;高値!M197),6,""))</f>
        <v/>
      </c>
      <c r="AH197" s="503" t="str">
        <f>IF(終値!A197="","",IF(AND(高値!L197&gt;高値!K197,高値!L197&gt;高値!J197,高値!L197&gt;高値!M197,高値!L197&gt;高値!N197),7,""))</f>
        <v/>
      </c>
      <c r="AI197" s="503" t="str">
        <f>IF(終値!A197="","",IF(AND(高値!M197&gt;高値!L197,高値!M197&gt;高値!K197,高値!M197&gt;高値!N197,高値!M197&gt;高値!O197),8,""))</f>
        <v/>
      </c>
      <c r="AJ197" s="503" t="str">
        <f>IF(終値!A197="","",IF(AND(高値!N197&gt;高値!M197,高値!N197&gt;高値!L197,高値!N197&gt;高値!O197,高値!N197&gt;高値!P197),9,""))</f>
        <v/>
      </c>
      <c r="AK197" s="503">
        <f>IF(終値!A197="","",IF(AND(高値!O197&gt;高値!N197,高値!O197&gt;高値!M197,高値!O197&gt;高値!P197,高値!O197&gt;高値!Q197),10,""))</f>
        <v>10</v>
      </c>
      <c r="AL197" s="503" t="str">
        <f>IF(終値!A197="","",IF(AND(高値!P197&gt;高値!O197,高値!P197&gt;高値!N197,高値!P197&gt;高値!Q197,高値!P197&gt;高値!R197),11,""))</f>
        <v/>
      </c>
      <c r="AM197" s="503" t="str">
        <f>IF(終値!A197="","",IF(AND(高値!Q197&gt;高値!P197,高値!Q197&gt;高値!O197,高値!Q197&gt;高値!R197,高値!Q197&gt;高値!S197),12,""))</f>
        <v/>
      </c>
      <c r="AN197" s="503" t="str">
        <f>IF(終値!A197="","",IF(AND(高値!R197&gt;高値!Q197,高値!R197&gt;高値!P197,高値!R197&gt;高値!S197,高値!R197&gt;高値!T197),13,""))</f>
        <v/>
      </c>
      <c r="AO197" s="503" t="str">
        <f>IF(終値!A197="","",IF(AND(高値!S197&gt;高値!R197,高値!S197&gt;高値!Q197,高値!S197&gt;高値!T197,高値!S197&gt;高値!U197),14,""))</f>
        <v/>
      </c>
      <c r="AP197" s="503" t="str">
        <f>IF(終値!A197="","",IF(AND(高値!T197&gt;高値!S197,高値!T197&gt;高値!R197,高値!T197&gt;高値!U197,高値!T197&gt;高値!V197),15,""))</f>
        <v/>
      </c>
      <c r="AQ197" s="503">
        <f>IF(終値!A197="","",IF(AND(高値!U197&gt;高値!T197,高値!U197&gt;高値!S197,高値!U197&gt;高値!V197,高値!U197&gt;高値!W197),16,""))</f>
        <v>16</v>
      </c>
      <c r="AR197" s="503" t="str">
        <f>IF(終値!A197="","",IF(AND(高値!V197&gt;高値!U197,高値!V197&gt;高値!T197,高値!V197&gt;高値!W197,高値!V197&gt;高値!X197),17,""))</f>
        <v/>
      </c>
      <c r="AS197" s="503" t="str">
        <f>IF(終値!A197="","",IF(AND(高値!W197&gt;高値!V197,高値!W197&gt;高値!U197,高値!W197&gt;高値!X197,高値!W197&gt;高値!Y197),18,""))</f>
        <v/>
      </c>
      <c r="AT197" s="503" t="str">
        <f>IF(終値!A197="","",IF(AND(高値!X197&gt;高値!W197,高値!X197&gt;高値!V197,高値!X197&gt;高値!Y197,高値!X197&gt;高値!Z197),19,""))</f>
        <v/>
      </c>
      <c r="AU197" s="503" t="str">
        <f>IF(終値!A197="","",IF(AND(高値!Y197&gt;高値!X197,高値!Y197&gt;高値!W197,高値!Y197&gt;高値!Z197,高値!Y197&gt;高値!AA197),20,""))</f>
        <v/>
      </c>
      <c r="AV197" s="503" t="str">
        <f>IF(終値!A197="","",IF(AND(高値!Z197&gt;高値!Y197,高値!Z197&gt;高値!X197,高値!Z197&gt;高値!AA197,高値!Z197&gt;高値!AB197),21,""))</f>
        <v/>
      </c>
      <c r="AW197" s="503" t="str">
        <f>IF(終値!A197="","",IF(AND(高値!AA197&gt;高値!Z197,高値!AA197&gt;高値!Y197,高値!AA197&gt;高値!AB197,高値!AA197&gt;高値!AC197),22,""))</f>
        <v/>
      </c>
      <c r="AX197" s="503" t="str">
        <f>IF(終値!A197="","",IF(AND(高値!AB197&gt;高値!AA197,高値!AB197&gt;高値!Z197,高値!AB197&gt;高値!AC197,高値!AB197&gt;高値!AD197),23,""))</f>
        <v/>
      </c>
      <c r="AY197" s="503">
        <f>IF(終値!A197="","",IF(AND(高値!AC197&gt;高値!AB197,高値!AC197&gt;高値!AA197,高値!AC197&gt;高値!AD197,高値!AC197&gt;高値!AE197),24,""))</f>
        <v>24</v>
      </c>
      <c r="AZ197" s="503" t="str">
        <f>IF(終値!A197="","",IF(AND(高値!AD197&gt;高値!AC197,高値!AD197&gt;高値!AB197,高値!AD197&gt;高値!AE197,高値!AD197&gt;高値!AF197),25,""))</f>
        <v/>
      </c>
      <c r="BA197" s="503" t="str">
        <f>IF(終値!A197="","",IF(AND(高値!AE197&gt;高値!AD197,高値!AE197&gt;高値!AC197,高値!AE197&gt;高値!AF197,高値!AE197&gt;高値!AG197),26,""))</f>
        <v/>
      </c>
      <c r="BB197" s="503" t="str">
        <f>IF(終値!A197="","",IF(AND(高値!AF197&gt;高値!AE197,高値!AF197&gt;高値!AD197,高値!AF197&gt;高値!AG197,高値!AF197&gt;高値!AH197),27,""))</f>
        <v/>
      </c>
      <c r="BC197" s="503" t="str">
        <f>IF(終値!A197="","",IF(AND(高値!AG197&gt;高値!AF197,高値!AG197&gt;高値!AE197,高値!AG197&gt;高値!AH197,高値!AG197&gt;高値!AI197),28,""))</f>
        <v/>
      </c>
      <c r="BD197" s="503">
        <f t="shared" si="12"/>
        <v>4</v>
      </c>
      <c r="BE197" s="503">
        <f t="shared" si="13"/>
        <v>5</v>
      </c>
      <c r="BF197" s="503">
        <f t="shared" si="14"/>
        <v>13</v>
      </c>
      <c r="BG197" s="503">
        <f>IF($BE197="","",INDEX(安値!$E197:$CZ197,1,$BE197+1))</f>
        <v>49400</v>
      </c>
      <c r="BH197" s="503">
        <f>IF($BF197="","",INDEX(安値!$E197:$CZ197,1,$BF197+1))</f>
        <v>62260</v>
      </c>
      <c r="BI197" s="503">
        <f>IF($BF197="","",MAX(INDEX(高値!$E197:$CZ197,1,$BE197+1):INDEX(高値!$E197:$CZ197,1,$BF197+1)))</f>
        <v>72080</v>
      </c>
      <c r="BJ197" s="503">
        <f>IF($BF197="","",AVERAGE(INDEX(終値!$E197:$CZ197,1,$BF197+1):INDEX(終値!$E197:$CZ197,1,$BF197+20))-2*STDEVP(INDEX(終値!$E197:$CZ197,1,$BF197+1):INDEX(終値!$E197:$CZ197,1,$BF197+20)))</f>
        <v>64615.108000466564</v>
      </c>
      <c r="BK197" s="503">
        <f>IF($BE197="","",AVERAGE(INDEX(終値!$E197:$CZ197,1,$BE197+1):INDEX(終値!$E197:$CZ197,1,$BE197+20))-2*STDEVP(INDEX(終値!$E197:$CZ197,1,$BE197+1):INDEX(終値!$E197:$CZ197,1,$BE197+20)))</f>
        <v>51484.469242183128</v>
      </c>
      <c r="BL197" s="503">
        <f t="shared" si="15"/>
        <v>3</v>
      </c>
      <c r="BM197" s="503">
        <f t="shared" si="16"/>
        <v>10</v>
      </c>
      <c r="BN197" s="503">
        <f t="shared" si="17"/>
        <v>16</v>
      </c>
      <c r="BO197" s="503">
        <f>IF($BM197="","",INDEX(高値!$E197:$CZ197,1,$BM197+1))</f>
        <v>72080</v>
      </c>
      <c r="BP197" s="503">
        <f>IF($BN197="","",INDEX(高値!$E197:$CZ197,1,$BN197+1))</f>
        <v>74930</v>
      </c>
      <c r="BQ197" s="503">
        <f>IF($BN197="","",MIN(INDEX(安値!$E197:$CZ197,1,$BM197+1):INDEX(安値!$E197:$CZ197,1,$BN197+1)))</f>
        <v>62260</v>
      </c>
      <c r="BR197" s="503">
        <f>IF($BN197="","",AVERAGE(INDEX(終値!$E197:$CZ197,1,$BN197+1):INDEX(終値!$E197:$CZ197,1,$BN197+20))+2*STDEVP(INDEX(終値!$E197:$CZ197,1,$BN197+1):INDEX(終値!$E197:$CZ197,1,$BN197+20)))</f>
        <v>90357.537123140923</v>
      </c>
      <c r="BS197" s="503">
        <f>IF($BM197="","",AVERAGE(INDEX(終値!$E197:$CZ197,1,$BM197+1):INDEX(終値!$E197:$CZ197,1,$BM197+20))+2*STDEVP(INDEX(終値!$E197:$CZ197,1,$BM197+1):INDEX(終値!$E197:$CZ197,1,$BM197+20)))</f>
        <v>86066.790527494959</v>
      </c>
      <c r="BT197" s="500"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3" t="str">
        <f>IF(終値!A198="","",IF(AND(安値!G198&lt;安値!F198,安値!G198&lt;安値!E198,安値!G198&lt;安値!H198,安値!G198&lt;安値!I198),2,""))</f>
        <v/>
      </c>
      <c r="C198" s="503" t="str">
        <f>IF(終値!A198="","",IF(AND(安値!H198&lt;安値!G198,安値!H198&lt;安値!F198,安値!H198&lt;安値!I198,安値!H198&lt;安値!J198),3,""))</f>
        <v/>
      </c>
      <c r="D198" s="503" t="str">
        <f>IF(終値!A198="","",IF(AND(安値!I198&lt;安値!H198,安値!I198&lt;安値!G198,安値!I198&lt;安値!J198,安値!I198&lt;安値!K198),4,""))</f>
        <v/>
      </c>
      <c r="E198" s="503" t="str">
        <f>IF(終値!A198="","",IF(AND(安値!J198&lt;安値!I198,安値!J198&lt;安値!H198,安値!J198&lt;安値!K198,安値!J198&lt;安値!L198),5,""))</f>
        <v/>
      </c>
      <c r="F198" s="503">
        <f>IF(終値!A198="","",IF(AND(安値!K198&lt;安値!J198,安値!K198&lt;安値!I198,安値!K198&lt;安値!L198,安値!K198&lt;安値!M198),6,""))</f>
        <v>6</v>
      </c>
      <c r="G198" s="503" t="str">
        <f>IF(終値!A198="","",IF(AND(安値!L198&lt;安値!K198,安値!L198&lt;安値!J198,安値!L198&lt;安値!M198,安値!L198&lt;安値!N198),7,""))</f>
        <v/>
      </c>
      <c r="H198" s="503" t="str">
        <f>IF(終値!A198="","",IF(AND(安値!M198&lt;安値!L198,安値!M198&lt;安値!K198,安値!M198&lt;安値!N198,安値!M198&lt;安値!O198),8,""))</f>
        <v/>
      </c>
      <c r="I198" s="503" t="str">
        <f>IF(終値!A198="","",IF(AND(安値!N198&lt;安値!M198,安値!N198&lt;安値!L198,安値!N198&lt;安値!O198,安値!N198&lt;安値!P198),9,""))</f>
        <v/>
      </c>
      <c r="J198" s="503" t="str">
        <f>IF(終値!A198="","",IF(AND(安値!O198&lt;安値!N198,安値!O198&lt;安値!M198,安値!O198&lt;安値!P198,安値!O198&lt;安値!Q198),10,""))</f>
        <v/>
      </c>
      <c r="K198" s="503" t="str">
        <f>IF(終値!A198="","",IF(AND(安値!P198&lt;安値!O198,安値!P198&lt;安値!N198,安値!P198&lt;安値!Q198,安値!P198&lt;安値!R198),11,""))</f>
        <v/>
      </c>
      <c r="L198" s="503" t="str">
        <f>IF(終値!A198="","",IF(AND(安値!Q198&lt;安値!P198,安値!Q198&lt;安値!O198,安値!Q198&lt;安値!R198,安値!Q198&lt;安値!S198),12,""))</f>
        <v/>
      </c>
      <c r="M198" s="503">
        <f>IF(終値!A198="","",IF(AND(安値!R198&lt;安値!Q198,安値!R198&lt;安値!P198,安値!R198&lt;安値!S198,安値!R198&lt;安値!T198),13,""))</f>
        <v>13</v>
      </c>
      <c r="N198" s="503" t="str">
        <f>IF(終値!A198="","",IF(AND(安値!S198&lt;安値!R198,安値!S198&lt;安値!Q198,安値!S198&lt;安値!T198,安値!S198&lt;安値!U198),14,""))</f>
        <v/>
      </c>
      <c r="O198" s="503" t="str">
        <f>IF(終値!A198="","",IF(AND(安値!T198&lt;安値!S198,安値!T198&lt;安値!R198,安値!T198&lt;安値!U198,安値!T198&lt;安値!V198),15,""))</f>
        <v/>
      </c>
      <c r="P198" s="503" t="str">
        <f>IF(終値!A198="","",IF(AND(安値!U198&lt;安値!T198,安値!U198&lt;安値!S198,安値!U198&lt;安値!V198,安値!U198&lt;安値!W198),16,""))</f>
        <v/>
      </c>
      <c r="Q198" s="503" t="str">
        <f>IF(終値!A198="","",IF(AND(安値!V198&lt;安値!U198,安値!V198&lt;安値!T198,安値!V198&lt;安値!W198,安値!V198&lt;安値!X198),17,""))</f>
        <v/>
      </c>
      <c r="R198" s="503" t="str">
        <f>IF(終値!A198="","",IF(AND(安値!W198&lt;安値!V198,安値!W198&lt;安値!U198,安値!W198&lt;安値!X198,安値!W198&lt;安値!Y198),18,""))</f>
        <v/>
      </c>
      <c r="S198" s="503">
        <f>IF(終値!A198="","",IF(AND(安値!X198&lt;安値!W198,安値!X198&lt;安値!V198,安値!X198&lt;安値!Y198,安値!X198&lt;安値!Z198),19,""))</f>
        <v>19</v>
      </c>
      <c r="T198" s="503" t="str">
        <f>IF(終値!A198="","",IF(AND(安値!Y198&lt;安値!X198,安値!Y198&lt;安値!W198,安値!Y198&lt;安値!Z198,安値!Y198&lt;安値!AA198),20,""))</f>
        <v/>
      </c>
      <c r="U198" s="503" t="str">
        <f>IF(終値!A198="","",IF(AND(安値!Z198&lt;安値!Y198,安値!Z198&lt;安値!X198,安値!Z198&lt;安値!AA198,安値!Z198&lt;安値!AB198),21,""))</f>
        <v/>
      </c>
      <c r="V198" s="503">
        <f>IF(終値!A198="","",IF(AND(安値!AA198&lt;安値!Z198,安値!AA198&lt;安値!Y198,安値!AA198&lt;安値!AB198,安値!AA198&lt;安値!AC198),22,""))</f>
        <v>22</v>
      </c>
      <c r="W198" s="503" t="str">
        <f>IF(終値!A198="","",IF(AND(安値!AB198&lt;安値!AA198,安値!AB198&lt;安値!Z198,安値!AB198&lt;安値!AC198,安値!AB198&lt;安値!AD198),23,""))</f>
        <v/>
      </c>
      <c r="X198" s="503" t="str">
        <f>IF(終値!A198="","",IF(AND(安値!AC198&lt;安値!AB198,安値!AC198&lt;安値!AA198,安値!AC198&lt;安値!AD198,安値!AC198&lt;安値!AE198),24,""))</f>
        <v/>
      </c>
      <c r="Y198" s="503" t="str">
        <f>IF(終値!A198="","",IF(AND(安値!AD198&lt;安値!AC198,安値!AD198&lt;安値!AB198,安値!AD198&lt;安値!AE198,安値!AD198&lt;安値!AF198),25,""))</f>
        <v/>
      </c>
      <c r="Z198" s="503">
        <f>IF(終値!A198="","",IF(AND(安値!AE198&lt;安値!AD198,安値!AE198&lt;安値!AC198,安値!AE198&lt;安値!AF198,安値!AE198&lt;安値!AG198),26,""))</f>
        <v>26</v>
      </c>
      <c r="AA198" s="503" t="str">
        <f>IF(終値!A198="","",IF(AND(安値!AF198&lt;安値!AE198,安値!AF198&lt;安値!AD198,安値!AF198&lt;安値!AG198,安値!AF198&lt;安値!AH198),27,""))</f>
        <v/>
      </c>
      <c r="AB198" s="503" t="str">
        <f>IF(終値!A198="","",IF(AND(安値!AG198&lt;安値!AF198,安値!AG198&lt;安値!AE198,安値!AG198&lt;安値!AH198,安値!AG198&lt;安値!AI198),28,""))</f>
        <v/>
      </c>
      <c r="AC198" s="503" t="str">
        <f>IF(終値!A198="","",IF(AND(高値!G198&gt;高値!F198,高値!G198&gt;高値!E198,高値!G198&gt;高値!H198,高値!G198&gt;高値!I198),2,""))</f>
        <v/>
      </c>
      <c r="AD198" s="503" t="str">
        <f>IF(終値!A198="","",IF(AND(高値!H198&gt;高値!G198,高値!H198&gt;高値!F198,高値!H198&gt;高値!I198,高値!H198&gt;高値!J198),3,""))</f>
        <v/>
      </c>
      <c r="AE198" s="503">
        <f>IF(終値!A198="","",IF(AND(高値!I198&gt;高値!H198,高値!I198&gt;高値!G198,高値!I198&gt;高値!J198,高値!I198&gt;高値!K198),4,""))</f>
        <v>4</v>
      </c>
      <c r="AF198" s="503" t="str">
        <f>IF(終値!A198="","",IF(AND(高値!J198&gt;高値!I198,高値!J198&gt;高値!H198,高値!J198&gt;高値!K198,高値!J198&gt;高値!L198),5,""))</f>
        <v/>
      </c>
      <c r="AG198" s="503" t="str">
        <f>IF(終値!A198="","",IF(AND(高値!K198&gt;高値!J198,高値!K198&gt;高値!I198,高値!K198&gt;高値!L198,高値!K198&gt;高値!M198),6,""))</f>
        <v/>
      </c>
      <c r="AH198" s="503" t="str">
        <f>IF(終値!A198="","",IF(AND(高値!L198&gt;高値!K198,高値!L198&gt;高値!J198,高値!L198&gt;高値!M198,高値!L198&gt;高値!N198),7,""))</f>
        <v/>
      </c>
      <c r="AI198" s="503" t="str">
        <f>IF(終値!A198="","",IF(AND(高値!M198&gt;高値!L198,高値!M198&gt;高値!K198,高値!M198&gt;高値!N198,高値!M198&gt;高値!O198),8,""))</f>
        <v/>
      </c>
      <c r="AJ198" s="503" t="str">
        <f>IF(終値!A198="","",IF(AND(高値!N198&gt;高値!M198,高値!N198&gt;高値!L198,高値!N198&gt;高値!O198,高値!N198&gt;高値!P198),9,""))</f>
        <v/>
      </c>
      <c r="AK198" s="503" t="str">
        <f>IF(終値!A198="","",IF(AND(高値!O198&gt;高値!N198,高値!O198&gt;高値!M198,高値!O198&gt;高値!P198,高値!O198&gt;高値!Q198),10,""))</f>
        <v/>
      </c>
      <c r="AL198" s="503">
        <f>IF(終値!A198="","",IF(AND(高値!P198&gt;高値!O198,高値!P198&gt;高値!N198,高値!P198&gt;高値!Q198,高値!P198&gt;高値!R198),11,""))</f>
        <v>11</v>
      </c>
      <c r="AM198" s="503" t="str">
        <f>IF(終値!A198="","",IF(AND(高値!Q198&gt;高値!P198,高値!Q198&gt;高値!O198,高値!Q198&gt;高値!R198,高値!Q198&gt;高値!S198),12,""))</f>
        <v/>
      </c>
      <c r="AN198" s="503" t="str">
        <f>IF(終値!A198="","",IF(AND(高値!R198&gt;高値!Q198,高値!R198&gt;高値!P198,高値!R198&gt;高値!S198,高値!R198&gt;高値!T198),13,""))</f>
        <v/>
      </c>
      <c r="AO198" s="503">
        <f>IF(終値!A198="","",IF(AND(高値!S198&gt;高値!R198,高値!S198&gt;高値!Q198,高値!S198&gt;高値!T198,高値!S198&gt;高値!U198),14,""))</f>
        <v>14</v>
      </c>
      <c r="AP198" s="503" t="str">
        <f>IF(終値!A198="","",IF(AND(高値!T198&gt;高値!S198,高値!T198&gt;高値!R198,高値!T198&gt;高値!U198,高値!T198&gt;高値!V198),15,""))</f>
        <v/>
      </c>
      <c r="AQ198" s="503" t="str">
        <f>IF(終値!A198="","",IF(AND(高値!U198&gt;高値!T198,高値!U198&gt;高値!S198,高値!U198&gt;高値!V198,高値!U198&gt;高値!W198),16,""))</f>
        <v/>
      </c>
      <c r="AR198" s="503">
        <f>IF(終値!A198="","",IF(AND(高値!V198&gt;高値!U198,高値!V198&gt;高値!T198,高値!V198&gt;高値!W198,高値!V198&gt;高値!X198),17,""))</f>
        <v>17</v>
      </c>
      <c r="AS198" s="503" t="str">
        <f>IF(終値!A198="","",IF(AND(高値!W198&gt;高値!V198,高値!W198&gt;高値!U198,高値!W198&gt;高値!X198,高値!W198&gt;高値!Y198),18,""))</f>
        <v/>
      </c>
      <c r="AT198" s="503" t="str">
        <f>IF(終値!A198="","",IF(AND(高値!X198&gt;高値!W198,高値!X198&gt;高値!V198,高値!X198&gt;高値!Y198,高値!X198&gt;高値!Z198),19,""))</f>
        <v/>
      </c>
      <c r="AU198" s="503" t="str">
        <f>IF(終値!A198="","",IF(AND(高値!Y198&gt;高値!X198,高値!Y198&gt;高値!W198,高値!Y198&gt;高値!Z198,高値!Y198&gt;高値!AA198),20,""))</f>
        <v/>
      </c>
      <c r="AV198" s="503" t="str">
        <f>IF(終値!A198="","",IF(AND(高値!Z198&gt;高値!Y198,高値!Z198&gt;高値!X198,高値!Z198&gt;高値!AA198,高値!Z198&gt;高値!AB198),21,""))</f>
        <v/>
      </c>
      <c r="AW198" s="503" t="str">
        <f>IF(終値!A198="","",IF(AND(高値!AA198&gt;高値!Z198,高値!AA198&gt;高値!Y198,高値!AA198&gt;高値!AB198,高値!AA198&gt;高値!AC198),22,""))</f>
        <v/>
      </c>
      <c r="AX198" s="503" t="str">
        <f>IF(終値!A198="","",IF(AND(高値!AB198&gt;高値!AA198,高値!AB198&gt;高値!Z198,高値!AB198&gt;高値!AC198,高値!AB198&gt;高値!AD198),23,""))</f>
        <v/>
      </c>
      <c r="AY198" s="503">
        <f>IF(終値!A198="","",IF(AND(高値!AC198&gt;高値!AB198,高値!AC198&gt;高値!AA198,高値!AC198&gt;高値!AD198,高値!AC198&gt;高値!AE198),24,""))</f>
        <v>24</v>
      </c>
      <c r="AZ198" s="503" t="str">
        <f>IF(終値!A198="","",IF(AND(高値!AD198&gt;高値!AC198,高値!AD198&gt;高値!AB198,高値!AD198&gt;高値!AE198,高値!AD198&gt;高値!AF198),25,""))</f>
        <v/>
      </c>
      <c r="BA198" s="503" t="str">
        <f>IF(終値!A198="","",IF(AND(高値!AE198&gt;高値!AD198,高値!AE198&gt;高値!AC198,高値!AE198&gt;高値!AF198,高値!AE198&gt;高値!AG198),26,""))</f>
        <v/>
      </c>
      <c r="BB198" s="503" t="str">
        <f>IF(終値!A198="","",IF(AND(高値!AF198&gt;高値!AE198,高値!AF198&gt;高値!AD198,高値!AF198&gt;高値!AG198,高値!AF198&gt;高値!AH198),27,""))</f>
        <v/>
      </c>
      <c r="BC198" s="503" t="str">
        <f>IF(終値!A198="","",IF(AND(高値!AG198&gt;高値!AF198,高値!AG198&gt;高値!AE198,高値!AG198&gt;高値!AH198,高値!AG198&gt;高値!AI198),28,""))</f>
        <v/>
      </c>
      <c r="BD198" s="503">
        <f t="shared" ref="BD198:BD261" si="18">COUNT($B198:$AB198)</f>
        <v>5</v>
      </c>
      <c r="BE198" s="503">
        <f t="shared" ref="BE198:BE261" si="19">IF($BD198&gt;=2,MIN($B198:$AB198),"")</f>
        <v>6</v>
      </c>
      <c r="BF198" s="503">
        <f t="shared" ref="BF198:BF261" si="20">IF($BD198&gt;=2,SMALL($B198:$AB198,2),"")</f>
        <v>13</v>
      </c>
      <c r="BG198" s="503">
        <f>IF($BE198="","",INDEX(安値!$E198:$CZ198,1,$BE198+1))</f>
        <v>48580</v>
      </c>
      <c r="BH198" s="503">
        <f>IF($BF198="","",INDEX(安値!$E198:$CZ198,1,$BF198+1))</f>
        <v>63150</v>
      </c>
      <c r="BI198" s="503">
        <f>IF($BF198="","",MAX(INDEX(高値!$E198:$CZ198,1,$BE198+1):INDEX(高値!$E198:$CZ198,1,$BF198+1)))</f>
        <v>69780</v>
      </c>
      <c r="BJ198" s="503">
        <f>IF($BF198="","",AVERAGE(INDEX(終値!$E198:$CZ198,1,$BF198+1):INDEX(終値!$E198:$CZ198,1,$BF198+20))-2*STDEVP(INDEX(終値!$E198:$CZ198,1,$BF198+1):INDEX(終値!$E198:$CZ198,1,$BF198+20)))</f>
        <v>66231.827396816807</v>
      </c>
      <c r="BK198" s="503">
        <f>IF($BE198="","",AVERAGE(INDEX(終値!$E198:$CZ198,1,$BE198+1):INDEX(終値!$E198:$CZ198,1,$BE198+20))-2*STDEVP(INDEX(終値!$E198:$CZ198,1,$BE198+1):INDEX(終値!$E198:$CZ198,1,$BE198+20)))</f>
        <v>54864.189815120917</v>
      </c>
      <c r="BL198" s="503">
        <f t="shared" ref="BL198:BL261" si="21">COUNT($AC198:$BC198)</f>
        <v>5</v>
      </c>
      <c r="BM198" s="503">
        <f t="shared" ref="BM198:BM261" si="22">IF($BL198&gt;=2,MIN($AC198:$BC198),"")</f>
        <v>4</v>
      </c>
      <c r="BN198" s="503">
        <f t="shared" ref="BN198:BN261" si="23">IF($BL198&gt;=2,SMALL($AC198:$BC198,2),"")</f>
        <v>11</v>
      </c>
      <c r="BO198" s="503">
        <f>IF($BM198="","",INDEX(高値!$E198:$CZ198,1,$BM198+1))</f>
        <v>59250</v>
      </c>
      <c r="BP198" s="503">
        <f>IF($BN198="","",INDEX(高値!$E198:$CZ198,1,$BN198+1))</f>
        <v>69780</v>
      </c>
      <c r="BQ198" s="503">
        <f>IF($BN198="","",MIN(INDEX(安値!$E198:$CZ198,1,$BM198+1):INDEX(安値!$E198:$CZ198,1,$BN198+1)))</f>
        <v>48580</v>
      </c>
      <c r="BR198" s="503">
        <f>IF($BN198="","",AVERAGE(INDEX(終値!$E198:$CZ198,1,$BN198+1):INDEX(終値!$E198:$CZ198,1,$BN198+20))+2*STDEVP(INDEX(終値!$E198:$CZ198,1,$BN198+1):INDEX(終値!$E198:$CZ198,1,$BN198+20)))</f>
        <v>78815.373083420272</v>
      </c>
      <c r="BS198" s="503">
        <f>IF($BM198="","",AVERAGE(INDEX(終値!$E198:$CZ198,1,$BM198+1):INDEX(終値!$E198:$CZ198,1,$BM198+20))+2*STDEVP(INDEX(終値!$E198:$CZ198,1,$BM198+1):INDEX(終値!$E198:$CZ198,1,$BM198+20)))</f>
        <v>80281.845455455448</v>
      </c>
      <c r="BT198" s="500"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3" t="str">
        <f>IF(終値!A199="","",IF(AND(安値!G199&lt;安値!F199,安値!G199&lt;安値!E199,安値!G199&lt;安値!H199,安値!G199&lt;安値!I199),2,""))</f>
        <v/>
      </c>
      <c r="C199" s="503" t="str">
        <f>IF(終値!A199="","",IF(AND(安値!H199&lt;安値!G199,安値!H199&lt;安値!F199,安値!H199&lt;安値!I199,安値!H199&lt;安値!J199),3,""))</f>
        <v/>
      </c>
      <c r="D199" s="503" t="str">
        <f>IF(終値!A199="","",IF(AND(安値!I199&lt;安値!H199,安値!I199&lt;安値!G199,安値!I199&lt;安値!J199,安値!I199&lt;安値!K199),4,""))</f>
        <v/>
      </c>
      <c r="E199" s="503">
        <f>IF(終値!A199="","",IF(AND(安値!J199&lt;安値!I199,安値!J199&lt;安値!H199,安値!J199&lt;安値!K199,安値!J199&lt;安値!L199),5,""))</f>
        <v>5</v>
      </c>
      <c r="F199" s="503" t="str">
        <f>IF(終値!A199="","",IF(AND(安値!K199&lt;安値!J199,安値!K199&lt;安値!I199,安値!K199&lt;安値!L199,安値!K199&lt;安値!M199),6,""))</f>
        <v/>
      </c>
      <c r="G199" s="503" t="str">
        <f>IF(終値!A199="","",IF(AND(安値!L199&lt;安値!K199,安値!L199&lt;安値!J199,安値!L199&lt;安値!M199,安値!L199&lt;安値!N199),7,""))</f>
        <v/>
      </c>
      <c r="H199" s="503" t="str">
        <f>IF(終値!A199="","",IF(AND(安値!M199&lt;安値!L199,安値!M199&lt;安値!K199,安値!M199&lt;安値!N199,安値!M199&lt;安値!O199),8,""))</f>
        <v/>
      </c>
      <c r="I199" s="503" t="str">
        <f>IF(終値!A199="","",IF(AND(安値!N199&lt;安値!M199,安値!N199&lt;安値!L199,安値!N199&lt;安値!O199,安値!N199&lt;安値!P199),9,""))</f>
        <v/>
      </c>
      <c r="J199" s="503" t="str">
        <f>IF(終値!A199="","",IF(AND(安値!O199&lt;安値!N199,安値!O199&lt;安値!M199,安値!O199&lt;安値!P199,安値!O199&lt;安値!Q199),10,""))</f>
        <v/>
      </c>
      <c r="K199" s="503" t="str">
        <f>IF(終値!A199="","",IF(AND(安値!P199&lt;安値!O199,安値!P199&lt;安値!N199,安値!P199&lt;安値!Q199,安値!P199&lt;安値!R199),11,""))</f>
        <v/>
      </c>
      <c r="L199" s="503" t="str">
        <f>IF(終値!A199="","",IF(AND(安値!Q199&lt;安値!P199,安値!Q199&lt;安値!O199,安値!Q199&lt;安値!R199,安値!Q199&lt;安値!S199),12,""))</f>
        <v/>
      </c>
      <c r="M199" s="503">
        <f>IF(終値!A199="","",IF(AND(安値!R199&lt;安値!Q199,安値!R199&lt;安値!P199,安値!R199&lt;安値!S199,安値!R199&lt;安値!T199),13,""))</f>
        <v>13</v>
      </c>
      <c r="N199" s="503" t="str">
        <f>IF(終値!A199="","",IF(AND(安値!S199&lt;安値!R199,安値!S199&lt;安値!Q199,安値!S199&lt;安値!T199,安値!S199&lt;安値!U199),14,""))</f>
        <v/>
      </c>
      <c r="O199" s="503" t="str">
        <f>IF(終値!A199="","",IF(AND(安値!T199&lt;安値!S199,安値!T199&lt;安値!R199,安値!T199&lt;安値!U199,安値!T199&lt;安値!V199),15,""))</f>
        <v/>
      </c>
      <c r="P199" s="503" t="str">
        <f>IF(終値!A199="","",IF(AND(安値!U199&lt;安値!T199,安値!U199&lt;安値!S199,安値!U199&lt;安値!V199,安値!U199&lt;安値!W199),16,""))</f>
        <v/>
      </c>
      <c r="Q199" s="503" t="str">
        <f>IF(終値!A199="","",IF(AND(安値!V199&lt;安値!U199,安値!V199&lt;安値!T199,安値!V199&lt;安値!W199,安値!V199&lt;安値!X199),17,""))</f>
        <v/>
      </c>
      <c r="R199" s="503">
        <f>IF(終値!A199="","",IF(AND(安値!W199&lt;安値!V199,安値!W199&lt;安値!U199,安値!W199&lt;安値!X199,安値!W199&lt;安値!Y199),18,""))</f>
        <v>18</v>
      </c>
      <c r="S199" s="503" t="str">
        <f>IF(終値!A199="","",IF(AND(安値!X199&lt;安値!W199,安値!X199&lt;安値!V199,安値!X199&lt;安値!Y199,安値!X199&lt;安値!Z199),19,""))</f>
        <v/>
      </c>
      <c r="T199" s="503" t="str">
        <f>IF(終値!A199="","",IF(AND(安値!Y199&lt;安値!X199,安値!Y199&lt;安値!W199,安値!Y199&lt;安値!Z199,安値!Y199&lt;安値!AA199),20,""))</f>
        <v/>
      </c>
      <c r="U199" s="503" t="str">
        <f>IF(終値!A199="","",IF(AND(安値!Z199&lt;安値!Y199,安値!Z199&lt;安値!X199,安値!Z199&lt;安値!AA199,安値!Z199&lt;安値!AB199),21,""))</f>
        <v/>
      </c>
      <c r="V199" s="503" t="str">
        <f>IF(終値!A199="","",IF(AND(安値!AA199&lt;安値!Z199,安値!AA199&lt;安値!Y199,安値!AA199&lt;安値!AB199,安値!AA199&lt;安値!AC199),22,""))</f>
        <v/>
      </c>
      <c r="W199" s="503" t="str">
        <f>IF(終値!A199="","",IF(AND(安値!AB199&lt;安値!AA199,安値!AB199&lt;安値!Z199,安値!AB199&lt;安値!AC199,安値!AB199&lt;安値!AD199),23,""))</f>
        <v/>
      </c>
      <c r="X199" s="503" t="str">
        <f>IF(終値!A199="","",IF(AND(安値!AC199&lt;安値!AB199,安値!AC199&lt;安値!AA199,安値!AC199&lt;安値!AD199,安値!AC199&lt;安値!AE199),24,""))</f>
        <v/>
      </c>
      <c r="Y199" s="503" t="str">
        <f>IF(終値!A199="","",IF(AND(安値!AD199&lt;安値!AC199,安値!AD199&lt;安値!AB199,安値!AD199&lt;安値!AE199,安値!AD199&lt;安値!AF199),25,""))</f>
        <v/>
      </c>
      <c r="Z199" s="503">
        <f>IF(終値!A199="","",IF(AND(安値!AE199&lt;安値!AD199,安値!AE199&lt;安値!AC199,安値!AE199&lt;安値!AF199,安値!AE199&lt;安値!AG199),26,""))</f>
        <v>26</v>
      </c>
      <c r="AA199" s="503" t="str">
        <f>IF(終値!A199="","",IF(AND(安値!AF199&lt;安値!AE199,安値!AF199&lt;安値!AD199,安値!AF199&lt;安値!AG199,安値!AF199&lt;安値!AH199),27,""))</f>
        <v/>
      </c>
      <c r="AB199" s="503" t="str">
        <f>IF(終値!A199="","",IF(AND(安値!AG199&lt;安値!AF199,安値!AG199&lt;安値!AE199,安値!AG199&lt;安値!AH199,安値!AG199&lt;安値!AI199),28,""))</f>
        <v/>
      </c>
      <c r="AC199" s="503" t="str">
        <f>IF(終値!A199="","",IF(AND(高値!G199&gt;高値!F199,高値!G199&gt;高値!E199,高値!G199&gt;高値!H199,高値!G199&gt;高値!I199),2,""))</f>
        <v/>
      </c>
      <c r="AD199" s="503" t="str">
        <f>IF(終値!A199="","",IF(AND(高値!H199&gt;高値!G199,高値!H199&gt;高値!F199,高値!H199&gt;高値!I199,高値!H199&gt;高値!J199),3,""))</f>
        <v/>
      </c>
      <c r="AE199" s="503" t="str">
        <f>IF(終値!A199="","",IF(AND(高値!I199&gt;高値!H199,高値!I199&gt;高値!G199,高値!I199&gt;高値!J199,高値!I199&gt;高値!K199),4,""))</f>
        <v/>
      </c>
      <c r="AF199" s="503" t="str">
        <f>IF(終値!A199="","",IF(AND(高値!J199&gt;高値!I199,高値!J199&gt;高値!H199,高値!J199&gt;高値!K199,高値!J199&gt;高値!L199),5,""))</f>
        <v/>
      </c>
      <c r="AG199" s="503" t="str">
        <f>IF(終値!A199="","",IF(AND(高値!K199&gt;高値!J199,高値!K199&gt;高値!I199,高値!K199&gt;高値!L199,高値!K199&gt;高値!M199),6,""))</f>
        <v/>
      </c>
      <c r="AH199" s="503" t="str">
        <f>IF(終値!A199="","",IF(AND(高値!L199&gt;高値!K199,高値!L199&gt;高値!J199,高値!L199&gt;高値!M199,高値!L199&gt;高値!N199),7,""))</f>
        <v/>
      </c>
      <c r="AI199" s="503" t="str">
        <f>IF(終値!A199="","",IF(AND(高値!M199&gt;高値!L199,高値!M199&gt;高値!K199,高値!M199&gt;高値!N199,高値!M199&gt;高値!O199),8,""))</f>
        <v/>
      </c>
      <c r="AJ199" s="503" t="str">
        <f>IF(終値!A199="","",IF(AND(高値!N199&gt;高値!M199,高値!N199&gt;高値!L199,高値!N199&gt;高値!O199,高値!N199&gt;高値!P199),9,""))</f>
        <v/>
      </c>
      <c r="AK199" s="503">
        <f>IF(終値!A199="","",IF(AND(高値!O199&gt;高値!N199,高値!O199&gt;高値!M199,高値!O199&gt;高値!P199,高値!O199&gt;高値!Q199),10,""))</f>
        <v>10</v>
      </c>
      <c r="AL199" s="503" t="str">
        <f>IF(終値!A199="","",IF(AND(高値!P199&gt;高値!O199,高値!P199&gt;高値!N199,高値!P199&gt;高値!Q199,高値!P199&gt;高値!R199),11,""))</f>
        <v/>
      </c>
      <c r="AM199" s="503" t="str">
        <f>IF(終値!A199="","",IF(AND(高値!Q199&gt;高値!P199,高値!Q199&gt;高値!O199,高値!Q199&gt;高値!R199,高値!Q199&gt;高値!S199),12,""))</f>
        <v/>
      </c>
      <c r="AN199" s="503" t="str">
        <f>IF(終値!A199="","",IF(AND(高値!R199&gt;高値!Q199,高値!R199&gt;高値!P199,高値!R199&gt;高値!S199,高値!R199&gt;高値!T199),13,""))</f>
        <v/>
      </c>
      <c r="AO199" s="503">
        <f>IF(終値!A199="","",IF(AND(高値!S199&gt;高値!R199,高値!S199&gt;高値!Q199,高値!S199&gt;高値!T199,高値!S199&gt;高値!U199),14,""))</f>
        <v>14</v>
      </c>
      <c r="AP199" s="503" t="str">
        <f>IF(終値!A199="","",IF(AND(高値!T199&gt;高値!S199,高値!T199&gt;高値!R199,高値!T199&gt;高値!U199,高値!T199&gt;高値!V199),15,""))</f>
        <v/>
      </c>
      <c r="AQ199" s="503" t="str">
        <f>IF(終値!A199="","",IF(AND(高値!U199&gt;高値!T199,高値!U199&gt;高値!S199,高値!U199&gt;高値!V199,高値!U199&gt;高値!W199),16,""))</f>
        <v/>
      </c>
      <c r="AR199" s="503" t="str">
        <f>IF(終値!A199="","",IF(AND(高値!V199&gt;高値!U199,高値!V199&gt;高値!T199,高値!V199&gt;高値!W199,高値!V199&gt;高値!X199),17,""))</f>
        <v/>
      </c>
      <c r="AS199" s="503" t="str">
        <f>IF(終値!A199="","",IF(AND(高値!W199&gt;高値!V199,高値!W199&gt;高値!U199,高値!W199&gt;高値!X199,高値!W199&gt;高値!Y199),18,""))</f>
        <v/>
      </c>
      <c r="AT199" s="503" t="str">
        <f>IF(終値!A199="","",IF(AND(高値!X199&gt;高値!W199,高値!X199&gt;高値!V199,高値!X199&gt;高値!Y199,高値!X199&gt;高値!Z199),19,""))</f>
        <v/>
      </c>
      <c r="AU199" s="503" t="str">
        <f>IF(終値!A199="","",IF(AND(高値!Y199&gt;高値!X199,高値!Y199&gt;高値!W199,高値!Y199&gt;高値!Z199,高値!Y199&gt;高値!AA199),20,""))</f>
        <v/>
      </c>
      <c r="AV199" s="503" t="str">
        <f>IF(終値!A199="","",IF(AND(高値!Z199&gt;高値!Y199,高値!Z199&gt;高値!X199,高値!Z199&gt;高値!AA199,高値!Z199&gt;高値!AB199),21,""))</f>
        <v/>
      </c>
      <c r="AW199" s="503" t="str">
        <f>IF(終値!A199="","",IF(AND(高値!AA199&gt;高値!Z199,高値!AA199&gt;高値!Y199,高値!AA199&gt;高値!AB199,高値!AA199&gt;高値!AC199),22,""))</f>
        <v/>
      </c>
      <c r="AX199" s="503" t="str">
        <f>IF(終値!A199="","",IF(AND(高値!AB199&gt;高値!AA199,高値!AB199&gt;高値!Z199,高値!AB199&gt;高値!AC199,高値!AB199&gt;高値!AD199),23,""))</f>
        <v/>
      </c>
      <c r="AY199" s="503">
        <f>IF(終値!A199="","",IF(AND(高値!AC199&gt;高値!AB199,高値!AC199&gt;高値!AA199,高値!AC199&gt;高値!AD199,高値!AC199&gt;高値!AE199),24,""))</f>
        <v>24</v>
      </c>
      <c r="AZ199" s="503" t="str">
        <f>IF(終値!A199="","",IF(AND(高値!AD199&gt;高値!AC199,高値!AD199&gt;高値!AB199,高値!AD199&gt;高値!AE199,高値!AD199&gt;高値!AF199),25,""))</f>
        <v/>
      </c>
      <c r="BA199" s="503" t="str">
        <f>IF(終値!A199="","",IF(AND(高値!AE199&gt;高値!AD199,高値!AE199&gt;高値!AC199,高値!AE199&gt;高値!AF199,高値!AE199&gt;高値!AG199),26,""))</f>
        <v/>
      </c>
      <c r="BB199" s="503" t="str">
        <f>IF(終値!A199="","",IF(AND(高値!AF199&gt;高値!AE199,高値!AF199&gt;高値!AD199,高値!AF199&gt;高値!AG199,高値!AF199&gt;高値!AH199),27,""))</f>
        <v/>
      </c>
      <c r="BC199" s="503" t="str">
        <f>IF(終値!A199="","",IF(AND(高値!AG199&gt;高値!AF199,高値!AG199&gt;高値!AE199,高値!AG199&gt;高値!AH199,高値!AG199&gt;高値!AI199),28,""))</f>
        <v/>
      </c>
      <c r="BD199" s="503">
        <f t="shared" si="18"/>
        <v>4</v>
      </c>
      <c r="BE199" s="503">
        <f t="shared" si="19"/>
        <v>5</v>
      </c>
      <c r="BF199" s="503">
        <f t="shared" si="20"/>
        <v>13</v>
      </c>
      <c r="BG199" s="503">
        <f>IF($BE199="","",INDEX(安値!$E199:$CZ199,1,$BE199+1))</f>
        <v>33200</v>
      </c>
      <c r="BH199" s="503">
        <f>IF($BF199="","",INDEX(安値!$E199:$CZ199,1,$BF199+1))</f>
        <v>39850</v>
      </c>
      <c r="BI199" s="503">
        <f>IF($BF199="","",MAX(INDEX(高値!$E199:$CZ199,1,$BE199+1):INDEX(高値!$E199:$CZ199,1,$BF199+1)))</f>
        <v>46790</v>
      </c>
      <c r="BJ199" s="503">
        <f>IF($BF199="","",AVERAGE(INDEX(終値!$E199:$CZ199,1,$BF199+1):INDEX(終値!$E199:$CZ199,1,$BF199+20))-2*STDEVP(INDEX(終値!$E199:$CZ199,1,$BF199+1):INDEX(終値!$E199:$CZ199,1,$BF199+20)))</f>
        <v>39850.72687222941</v>
      </c>
      <c r="BK199" s="503">
        <f>IF($BE199="","",AVERAGE(INDEX(終値!$E199:$CZ199,1,$BE199+1):INDEX(終値!$E199:$CZ199,1,$BE199+20))-2*STDEVP(INDEX(終値!$E199:$CZ199,1,$BE199+1):INDEX(終値!$E199:$CZ199,1,$BE199+20)))</f>
        <v>34930.520299293123</v>
      </c>
      <c r="BL199" s="503">
        <f t="shared" si="21"/>
        <v>3</v>
      </c>
      <c r="BM199" s="503">
        <f t="shared" si="22"/>
        <v>10</v>
      </c>
      <c r="BN199" s="503">
        <f t="shared" si="23"/>
        <v>14</v>
      </c>
      <c r="BO199" s="503">
        <f>IF($BM199="","",INDEX(高値!$E199:$CZ199,1,$BM199+1))</f>
        <v>46790</v>
      </c>
      <c r="BP199" s="503">
        <f>IF($BN199="","",INDEX(高値!$E199:$CZ199,1,$BN199+1))</f>
        <v>50940</v>
      </c>
      <c r="BQ199" s="503">
        <f>IF($BN199="","",MIN(INDEX(安値!$E199:$CZ199,1,$BM199+1):INDEX(安値!$E199:$CZ199,1,$BN199+1)))</f>
        <v>39850</v>
      </c>
      <c r="BR199" s="503">
        <f>IF($BN199="","",AVERAGE(INDEX(終値!$E199:$CZ199,1,$BN199+1):INDEX(終値!$E199:$CZ199,1,$BN199+20))+2*STDEVP(INDEX(終値!$E199:$CZ199,1,$BN199+1):INDEX(終値!$E199:$CZ199,1,$BN199+20)))</f>
        <v>57600.663773506436</v>
      </c>
      <c r="BS199" s="503">
        <f>IF($BM199="","",AVERAGE(INDEX(終値!$E199:$CZ199,1,$BM199+1):INDEX(終値!$E199:$CZ199,1,$BM199+20))+2*STDEVP(INDEX(終値!$E199:$CZ199,1,$BM199+1):INDEX(終値!$E199:$CZ199,1,$BM199+20)))</f>
        <v>53225.699361241073</v>
      </c>
      <c r="BT199" s="500"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3" t="str">
        <f>IF(終値!A200="","",IF(AND(安値!G200&lt;安値!F200,安値!G200&lt;安値!E200,安値!G200&lt;安値!H200,安値!G200&lt;安値!I200),2,""))</f>
        <v/>
      </c>
      <c r="C200" s="503" t="str">
        <f>IF(終値!A200="","",IF(AND(安値!H200&lt;安値!G200,安値!H200&lt;安値!F200,安値!H200&lt;安値!I200,安値!H200&lt;安値!J200),3,""))</f>
        <v/>
      </c>
      <c r="D200" s="503" t="str">
        <f>IF(終値!A200="","",IF(AND(安値!I200&lt;安値!H200,安値!I200&lt;安値!G200,安値!I200&lt;安値!J200,安値!I200&lt;安値!K200),4,""))</f>
        <v/>
      </c>
      <c r="E200" s="503" t="str">
        <f>IF(終値!A200="","",IF(AND(安値!J200&lt;安値!I200,安値!J200&lt;安値!H200,安値!J200&lt;安値!K200,安値!J200&lt;安値!L200),5,""))</f>
        <v/>
      </c>
      <c r="F200" s="503">
        <f>IF(終値!A200="","",IF(AND(安値!K200&lt;安値!J200,安値!K200&lt;安値!I200,安値!K200&lt;安値!L200,安値!K200&lt;安値!M200),6,""))</f>
        <v>6</v>
      </c>
      <c r="G200" s="503" t="str">
        <f>IF(終値!A200="","",IF(AND(安値!L200&lt;安値!K200,安値!L200&lt;安値!J200,安値!L200&lt;安値!M200,安値!L200&lt;安値!N200),7,""))</f>
        <v/>
      </c>
      <c r="H200" s="503" t="str">
        <f>IF(終値!A200="","",IF(AND(安値!M200&lt;安値!L200,安値!M200&lt;安値!K200,安値!M200&lt;安値!N200,安値!M200&lt;安値!O200),8,""))</f>
        <v/>
      </c>
      <c r="I200" s="503" t="str">
        <f>IF(終値!A200="","",IF(AND(安値!N200&lt;安値!M200,安値!N200&lt;安値!L200,安値!N200&lt;安値!O200,安値!N200&lt;安値!P200),9,""))</f>
        <v/>
      </c>
      <c r="J200" s="503" t="str">
        <f>IF(終値!A200="","",IF(AND(安値!O200&lt;安値!N200,安値!O200&lt;安値!M200,安値!O200&lt;安値!P200,安値!O200&lt;安値!Q200),10,""))</f>
        <v/>
      </c>
      <c r="K200" s="503" t="str">
        <f>IF(終値!A200="","",IF(AND(安値!P200&lt;安値!O200,安値!P200&lt;安値!N200,安値!P200&lt;安値!Q200,安値!P200&lt;安値!R200),11,""))</f>
        <v/>
      </c>
      <c r="L200" s="503" t="str">
        <f>IF(終値!A200="","",IF(AND(安値!Q200&lt;安値!P200,安値!Q200&lt;安値!O200,安値!Q200&lt;安値!R200,安値!Q200&lt;安値!S200),12,""))</f>
        <v/>
      </c>
      <c r="M200" s="503">
        <f>IF(終値!A200="","",IF(AND(安値!R200&lt;安値!Q200,安値!R200&lt;安値!P200,安値!R200&lt;安値!S200,安値!R200&lt;安値!T200),13,""))</f>
        <v>13</v>
      </c>
      <c r="N200" s="503" t="str">
        <f>IF(終値!A200="","",IF(AND(安値!S200&lt;安値!R200,安値!S200&lt;安値!Q200,安値!S200&lt;安値!T200,安値!S200&lt;安値!U200),14,""))</f>
        <v/>
      </c>
      <c r="O200" s="503" t="str">
        <f>IF(終値!A200="","",IF(AND(安値!T200&lt;安値!S200,安値!T200&lt;安値!R200,安値!T200&lt;安値!U200,安値!T200&lt;安値!V200),15,""))</f>
        <v/>
      </c>
      <c r="P200" s="503" t="str">
        <f>IF(終値!A200="","",IF(AND(安値!U200&lt;安値!T200,安値!U200&lt;安値!S200,安値!U200&lt;安値!V200,安値!U200&lt;安値!W200),16,""))</f>
        <v/>
      </c>
      <c r="Q200" s="503" t="str">
        <f>IF(終値!A200="","",IF(AND(安値!V200&lt;安値!U200,安値!V200&lt;安値!T200,安値!V200&lt;安値!W200,安値!V200&lt;安値!X200),17,""))</f>
        <v/>
      </c>
      <c r="R200" s="503" t="str">
        <f>IF(終値!A200="","",IF(AND(安値!W200&lt;安値!V200,安値!W200&lt;安値!U200,安値!W200&lt;安値!X200,安値!W200&lt;安値!Y200),18,""))</f>
        <v/>
      </c>
      <c r="S200" s="503">
        <f>IF(終値!A200="","",IF(AND(安値!X200&lt;安値!W200,安値!X200&lt;安値!V200,安値!X200&lt;安値!Y200,安値!X200&lt;安値!Z200),19,""))</f>
        <v>19</v>
      </c>
      <c r="T200" s="503" t="str">
        <f>IF(終値!A200="","",IF(AND(安値!Y200&lt;安値!X200,安値!Y200&lt;安値!W200,安値!Y200&lt;安値!Z200,安値!Y200&lt;安値!AA200),20,""))</f>
        <v/>
      </c>
      <c r="U200" s="503" t="str">
        <f>IF(終値!A200="","",IF(AND(安値!Z200&lt;安値!Y200,安値!Z200&lt;安値!X200,安値!Z200&lt;安値!AA200,安値!Z200&lt;安値!AB200),21,""))</f>
        <v/>
      </c>
      <c r="V200" s="503" t="str">
        <f>IF(終値!A200="","",IF(AND(安値!AA200&lt;安値!Z200,安値!AA200&lt;安値!Y200,安値!AA200&lt;安値!AB200,安値!AA200&lt;安値!AC200),22,""))</f>
        <v/>
      </c>
      <c r="W200" s="503" t="str">
        <f>IF(終値!A200="","",IF(AND(安値!AB200&lt;安値!AA200,安値!AB200&lt;安値!Z200,安値!AB200&lt;安値!AC200,安値!AB200&lt;安値!AD200),23,""))</f>
        <v/>
      </c>
      <c r="X200" s="503" t="str">
        <f>IF(終値!A200="","",IF(AND(安値!AC200&lt;安値!AB200,安値!AC200&lt;安値!AA200,安値!AC200&lt;安値!AD200,安値!AC200&lt;安値!AE200),24,""))</f>
        <v/>
      </c>
      <c r="Y200" s="503" t="str">
        <f>IF(終値!A200="","",IF(AND(安値!AD200&lt;安値!AC200,安値!AD200&lt;安値!AB200,安値!AD200&lt;安値!AE200,安値!AD200&lt;安値!AF200),25,""))</f>
        <v/>
      </c>
      <c r="Z200" s="503" t="str">
        <f>IF(終値!A200="","",IF(AND(安値!AE200&lt;安値!AD200,安値!AE200&lt;安値!AC200,安値!AE200&lt;安値!AF200,安値!AE200&lt;安値!AG200),26,""))</f>
        <v/>
      </c>
      <c r="AA200" s="503" t="str">
        <f>IF(終値!A200="","",IF(AND(安値!AF200&lt;安値!AE200,安値!AF200&lt;安値!AD200,安値!AF200&lt;安値!AG200,安値!AF200&lt;安値!AH200),27,""))</f>
        <v/>
      </c>
      <c r="AB200" s="503" t="str">
        <f>IF(終値!A200="","",IF(AND(安値!AG200&lt;安値!AF200,安値!AG200&lt;安値!AE200,安値!AG200&lt;安値!AH200,安値!AG200&lt;安値!AI200),28,""))</f>
        <v/>
      </c>
      <c r="AC200" s="503" t="str">
        <f>IF(終値!A200="","",IF(AND(高値!G200&gt;高値!F200,高値!G200&gt;高値!E200,高値!G200&gt;高値!H200,高値!G200&gt;高値!I200),2,""))</f>
        <v/>
      </c>
      <c r="AD200" s="503" t="str">
        <f>IF(終値!A200="","",IF(AND(高値!H200&gt;高値!G200,高値!H200&gt;高値!F200,高値!H200&gt;高値!I200,高値!H200&gt;高値!J200),3,""))</f>
        <v/>
      </c>
      <c r="AE200" s="503" t="str">
        <f>IF(終値!A200="","",IF(AND(高値!I200&gt;高値!H200,高値!I200&gt;高値!G200,高値!I200&gt;高値!J200,高値!I200&gt;高値!K200),4,""))</f>
        <v/>
      </c>
      <c r="AF200" s="503" t="str">
        <f>IF(終値!A200="","",IF(AND(高値!J200&gt;高値!I200,高値!J200&gt;高値!H200,高値!J200&gt;高値!K200,高値!J200&gt;高値!L200),5,""))</f>
        <v/>
      </c>
      <c r="AG200" s="503" t="str">
        <f>IF(終値!A200="","",IF(AND(高値!K200&gt;高値!J200,高値!K200&gt;高値!I200,高値!K200&gt;高値!L200,高値!K200&gt;高値!M200),6,""))</f>
        <v/>
      </c>
      <c r="AH200" s="503" t="str">
        <f>IF(終値!A200="","",IF(AND(高値!L200&gt;高値!K200,高値!L200&gt;高値!J200,高値!L200&gt;高値!M200,高値!L200&gt;高値!N200),7,""))</f>
        <v/>
      </c>
      <c r="AI200" s="503" t="str">
        <f>IF(終値!A200="","",IF(AND(高値!M200&gt;高値!L200,高値!M200&gt;高値!K200,高値!M200&gt;高値!N200,高値!M200&gt;高値!O200),8,""))</f>
        <v/>
      </c>
      <c r="AJ200" s="503" t="str">
        <f>IF(終値!A200="","",IF(AND(高値!N200&gt;高値!M200,高値!N200&gt;高値!L200,高値!N200&gt;高値!O200,高値!N200&gt;高値!P200),9,""))</f>
        <v/>
      </c>
      <c r="AK200" s="503" t="str">
        <f>IF(終値!A200="","",IF(AND(高値!O200&gt;高値!N200,高値!O200&gt;高値!M200,高値!O200&gt;高値!P200,高値!O200&gt;高値!Q200),10,""))</f>
        <v/>
      </c>
      <c r="AL200" s="503">
        <f>IF(終値!A200="","",IF(AND(高値!P200&gt;高値!O200,高値!P200&gt;高値!N200,高値!P200&gt;高値!Q200,高値!P200&gt;高値!R200),11,""))</f>
        <v>11</v>
      </c>
      <c r="AM200" s="503" t="str">
        <f>IF(終値!A200="","",IF(AND(高値!Q200&gt;高値!P200,高値!Q200&gt;高値!O200,高値!Q200&gt;高値!R200,高値!Q200&gt;高値!S200),12,""))</f>
        <v/>
      </c>
      <c r="AN200" s="503" t="str">
        <f>IF(終値!A200="","",IF(AND(高値!R200&gt;高値!Q200,高値!R200&gt;高値!P200,高値!R200&gt;高値!S200,高値!R200&gt;高値!T200),13,""))</f>
        <v/>
      </c>
      <c r="AO200" s="503" t="str">
        <f>IF(終値!A200="","",IF(AND(高値!S200&gt;高値!R200,高値!S200&gt;高値!Q200,高値!S200&gt;高値!T200,高値!S200&gt;高値!U200),14,""))</f>
        <v/>
      </c>
      <c r="AP200" s="503" t="str">
        <f>IF(終値!A200="","",IF(AND(高値!T200&gt;高値!S200,高値!T200&gt;高値!R200,高値!T200&gt;高値!U200,高値!T200&gt;高値!V200),15,""))</f>
        <v/>
      </c>
      <c r="AQ200" s="503">
        <f>IF(終値!A200="","",IF(AND(高値!U200&gt;高値!T200,高値!U200&gt;高値!S200,高値!U200&gt;高値!V200,高値!U200&gt;高値!W200),16,""))</f>
        <v>16</v>
      </c>
      <c r="AR200" s="503" t="str">
        <f>IF(終値!A200="","",IF(AND(高値!V200&gt;高値!U200,高値!V200&gt;高値!T200,高値!V200&gt;高値!W200,高値!V200&gt;高値!X200),17,""))</f>
        <v/>
      </c>
      <c r="AS200" s="503" t="str">
        <f>IF(終値!A200="","",IF(AND(高値!W200&gt;高値!V200,高値!W200&gt;高値!U200,高値!W200&gt;高値!X200,高値!W200&gt;高値!Y200),18,""))</f>
        <v/>
      </c>
      <c r="AT200" s="503" t="str">
        <f>IF(終値!A200="","",IF(AND(高値!X200&gt;高値!W200,高値!X200&gt;高値!V200,高値!X200&gt;高値!Y200,高値!X200&gt;高値!Z200),19,""))</f>
        <v/>
      </c>
      <c r="AU200" s="503" t="str">
        <f>IF(終値!A200="","",IF(AND(高値!Y200&gt;高値!X200,高値!Y200&gt;高値!W200,高値!Y200&gt;高値!Z200,高値!Y200&gt;高値!AA200),20,""))</f>
        <v/>
      </c>
      <c r="AV200" s="503" t="str">
        <f>IF(終値!A200="","",IF(AND(高値!Z200&gt;高値!Y200,高値!Z200&gt;高値!X200,高値!Z200&gt;高値!AA200,高値!Z200&gt;高値!AB200),21,""))</f>
        <v/>
      </c>
      <c r="AW200" s="503" t="str">
        <f>IF(終値!A200="","",IF(AND(高値!AA200&gt;高値!Z200,高値!AA200&gt;高値!Y200,高値!AA200&gt;高値!AB200,高値!AA200&gt;高値!AC200),22,""))</f>
        <v/>
      </c>
      <c r="AX200" s="503" t="str">
        <f>IF(終値!A200="","",IF(AND(高値!AB200&gt;高値!AA200,高値!AB200&gt;高値!Z200,高値!AB200&gt;高値!AC200,高値!AB200&gt;高値!AD200),23,""))</f>
        <v/>
      </c>
      <c r="AY200" s="503">
        <f>IF(終値!A200="","",IF(AND(高値!AC200&gt;高値!AB200,高値!AC200&gt;高値!AA200,高値!AC200&gt;高値!AD200,高値!AC200&gt;高値!AE200),24,""))</f>
        <v>24</v>
      </c>
      <c r="AZ200" s="503" t="str">
        <f>IF(終値!A200="","",IF(AND(高値!AD200&gt;高値!AC200,高値!AD200&gt;高値!AB200,高値!AD200&gt;高値!AE200,高値!AD200&gt;高値!AF200),25,""))</f>
        <v/>
      </c>
      <c r="BA200" s="503" t="str">
        <f>IF(終値!A200="","",IF(AND(高値!AE200&gt;高値!AD200,高値!AE200&gt;高値!AC200,高値!AE200&gt;高値!AF200,高値!AE200&gt;高値!AG200),26,""))</f>
        <v/>
      </c>
      <c r="BB200" s="503" t="str">
        <f>IF(終値!A200="","",IF(AND(高値!AF200&gt;高値!AE200,高値!AF200&gt;高値!AD200,高値!AF200&gt;高値!AG200,高値!AF200&gt;高値!AH200),27,""))</f>
        <v/>
      </c>
      <c r="BC200" s="503" t="str">
        <f>IF(終値!A200="","",IF(AND(高値!AG200&gt;高値!AF200,高値!AG200&gt;高値!AE200,高値!AG200&gt;高値!AH200,高値!AG200&gt;高値!AI200),28,""))</f>
        <v/>
      </c>
      <c r="BD200" s="503">
        <f t="shared" si="18"/>
        <v>3</v>
      </c>
      <c r="BE200" s="503">
        <f t="shared" si="19"/>
        <v>6</v>
      </c>
      <c r="BF200" s="503">
        <f t="shared" si="20"/>
        <v>13</v>
      </c>
      <c r="BG200" s="503">
        <f>IF($BE200="","",INDEX(安値!$E200:$CZ200,1,$BE200+1))</f>
        <v>2646</v>
      </c>
      <c r="BH200" s="503">
        <f>IF($BF200="","",INDEX(安値!$E200:$CZ200,1,$BF200+1))</f>
        <v>3079</v>
      </c>
      <c r="BI200" s="503">
        <f>IF($BF200="","",MAX(INDEX(高値!$E200:$CZ200,1,$BE200+1):INDEX(高値!$E200:$CZ200,1,$BF200+1)))</f>
        <v>3725</v>
      </c>
      <c r="BJ200" s="503">
        <f>IF($BF200="","",AVERAGE(INDEX(終値!$E200:$CZ200,1,$BF200+1):INDEX(終値!$E200:$CZ200,1,$BF200+20))-2*STDEVP(INDEX(終値!$E200:$CZ200,1,$BF200+1):INDEX(終値!$E200:$CZ200,1,$BF200+20)))</f>
        <v>2857.4143970241857</v>
      </c>
      <c r="BK200" s="503">
        <f>IF($BE200="","",AVERAGE(INDEX(終値!$E200:$CZ200,1,$BE200+1):INDEX(終値!$E200:$CZ200,1,$BE200+20))-2*STDEVP(INDEX(終値!$E200:$CZ200,1,$BE200+1):INDEX(終値!$E200:$CZ200,1,$BE200+20)))</f>
        <v>2772.388109677946</v>
      </c>
      <c r="BL200" s="503">
        <f t="shared" si="21"/>
        <v>3</v>
      </c>
      <c r="BM200" s="503">
        <f t="shared" si="22"/>
        <v>11</v>
      </c>
      <c r="BN200" s="503">
        <f t="shared" si="23"/>
        <v>16</v>
      </c>
      <c r="BO200" s="503">
        <f>IF($BM200="","",INDEX(高値!$E200:$CZ200,1,$BM200+1))</f>
        <v>3725</v>
      </c>
      <c r="BP200" s="503">
        <f>IF($BN200="","",INDEX(高値!$E200:$CZ200,1,$BN200+1))</f>
        <v>3933</v>
      </c>
      <c r="BQ200" s="503">
        <f>IF($BN200="","",MIN(INDEX(安値!$E200:$CZ200,1,$BM200+1):INDEX(安値!$E200:$CZ200,1,$BN200+1)))</f>
        <v>3079</v>
      </c>
      <c r="BR200" s="503">
        <f>IF($BN200="","",AVERAGE(INDEX(終値!$E200:$CZ200,1,$BN200+1):INDEX(終値!$E200:$CZ200,1,$BN200+20))+2*STDEVP(INDEX(終値!$E200:$CZ200,1,$BN200+1):INDEX(終値!$E200:$CZ200,1,$BN200+20)))</f>
        <v>5627.0462176244064</v>
      </c>
      <c r="BS200" s="503">
        <f>IF($BM200="","",AVERAGE(INDEX(終値!$E200:$CZ200,1,$BM200+1):INDEX(終値!$E200:$CZ200,1,$BM200+20))+2*STDEVP(INDEX(終値!$E200:$CZ200,1,$BM200+1):INDEX(終値!$E200:$CZ200,1,$BM200+20)))</f>
        <v>5077.5627989888726</v>
      </c>
      <c r="BT200" s="500"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3" t="str">
        <f>IF(終値!A201="","",IF(AND(安値!G201&lt;安値!F201,安値!G201&lt;安値!E201,安値!G201&lt;安値!H201,安値!G201&lt;安値!I201),2,""))</f>
        <v/>
      </c>
      <c r="C201" s="503" t="str">
        <f>IF(終値!A201="","",IF(AND(安値!H201&lt;安値!G201,安値!H201&lt;安値!F201,安値!H201&lt;安値!I201,安値!H201&lt;安値!J201),3,""))</f>
        <v/>
      </c>
      <c r="D201" s="503" t="str">
        <f>IF(終値!A201="","",IF(AND(安値!I201&lt;安値!H201,安値!I201&lt;安値!G201,安値!I201&lt;安値!J201,安値!I201&lt;安値!K201),4,""))</f>
        <v/>
      </c>
      <c r="E201" s="503" t="str">
        <f>IF(終値!A201="","",IF(AND(安値!J201&lt;安値!I201,安値!J201&lt;安値!H201,安値!J201&lt;安値!K201,安値!J201&lt;安値!L201),5,""))</f>
        <v/>
      </c>
      <c r="F201" s="503">
        <f>IF(終値!A201="","",IF(AND(安値!K201&lt;安値!J201,安値!K201&lt;安値!I201,安値!K201&lt;安値!L201,安値!K201&lt;安値!M201),6,""))</f>
        <v>6</v>
      </c>
      <c r="G201" s="503" t="str">
        <f>IF(終値!A201="","",IF(AND(安値!L201&lt;安値!K201,安値!L201&lt;安値!J201,安値!L201&lt;安値!M201,安値!L201&lt;安値!N201),7,""))</f>
        <v/>
      </c>
      <c r="H201" s="503" t="str">
        <f>IF(終値!A201="","",IF(AND(安値!M201&lt;安値!L201,安値!M201&lt;安値!K201,安値!M201&lt;安値!N201,安値!M201&lt;安値!O201),8,""))</f>
        <v/>
      </c>
      <c r="I201" s="503" t="str">
        <f>IF(終値!A201="","",IF(AND(安値!N201&lt;安値!M201,安値!N201&lt;安値!L201,安値!N201&lt;安値!O201,安値!N201&lt;安値!P201),9,""))</f>
        <v/>
      </c>
      <c r="J201" s="503" t="str">
        <f>IF(終値!A201="","",IF(AND(安値!O201&lt;安値!N201,安値!O201&lt;安値!M201,安値!O201&lt;安値!P201,安値!O201&lt;安値!Q201),10,""))</f>
        <v/>
      </c>
      <c r="K201" s="503" t="str">
        <f>IF(終値!A201="","",IF(AND(安値!P201&lt;安値!O201,安値!P201&lt;安値!N201,安値!P201&lt;安値!Q201,安値!P201&lt;安値!R201),11,""))</f>
        <v/>
      </c>
      <c r="L201" s="503" t="str">
        <f>IF(終値!A201="","",IF(AND(安値!Q201&lt;安値!P201,安値!Q201&lt;安値!O201,安値!Q201&lt;安値!R201,安値!Q201&lt;安値!S201),12,""))</f>
        <v/>
      </c>
      <c r="M201" s="503">
        <f>IF(終値!A201="","",IF(AND(安値!R201&lt;安値!Q201,安値!R201&lt;安値!P201,安値!R201&lt;安値!S201,安値!R201&lt;安値!T201),13,""))</f>
        <v>13</v>
      </c>
      <c r="N201" s="503" t="str">
        <f>IF(終値!A201="","",IF(AND(安値!S201&lt;安値!R201,安値!S201&lt;安値!Q201,安値!S201&lt;安値!T201,安値!S201&lt;安値!U201),14,""))</f>
        <v/>
      </c>
      <c r="O201" s="503" t="str">
        <f>IF(終値!A201="","",IF(AND(安値!T201&lt;安値!S201,安値!T201&lt;安値!R201,安値!T201&lt;安値!U201,安値!T201&lt;安値!V201),15,""))</f>
        <v/>
      </c>
      <c r="P201" s="503" t="str">
        <f>IF(終値!A201="","",IF(AND(安値!U201&lt;安値!T201,安値!U201&lt;安値!S201,安値!U201&lt;安値!V201,安値!U201&lt;安値!W201),16,""))</f>
        <v/>
      </c>
      <c r="Q201" s="503" t="str">
        <f>IF(終値!A201="","",IF(AND(安値!V201&lt;安値!U201,安値!V201&lt;安値!T201,安値!V201&lt;安値!W201,安値!V201&lt;安値!X201),17,""))</f>
        <v/>
      </c>
      <c r="R201" s="503" t="str">
        <f>IF(終値!A201="","",IF(AND(安値!W201&lt;安値!V201,安値!W201&lt;安値!U201,安値!W201&lt;安値!X201,安値!W201&lt;安値!Y201),18,""))</f>
        <v/>
      </c>
      <c r="S201" s="503">
        <f>IF(終値!A201="","",IF(AND(安値!X201&lt;安値!W201,安値!X201&lt;安値!V201,安値!X201&lt;安値!Y201,安値!X201&lt;安値!Z201),19,""))</f>
        <v>19</v>
      </c>
      <c r="T201" s="503" t="str">
        <f>IF(終値!A201="","",IF(AND(安値!Y201&lt;安値!X201,安値!Y201&lt;安値!W201,安値!Y201&lt;安値!Z201,安値!Y201&lt;安値!AA201),20,""))</f>
        <v/>
      </c>
      <c r="U201" s="503" t="str">
        <f>IF(終値!A201="","",IF(AND(安値!Z201&lt;安値!Y201,安値!Z201&lt;安値!X201,安値!Z201&lt;安値!AA201,安値!Z201&lt;安値!AB201),21,""))</f>
        <v/>
      </c>
      <c r="V201" s="503">
        <f>IF(終値!A201="","",IF(AND(安値!AA201&lt;安値!Z201,安値!AA201&lt;安値!Y201,安値!AA201&lt;安値!AB201,安値!AA201&lt;安値!AC201),22,""))</f>
        <v>22</v>
      </c>
      <c r="W201" s="503" t="str">
        <f>IF(終値!A201="","",IF(AND(安値!AB201&lt;安値!AA201,安値!AB201&lt;安値!Z201,安値!AB201&lt;安値!AC201,安値!AB201&lt;安値!AD201),23,""))</f>
        <v/>
      </c>
      <c r="X201" s="503" t="str">
        <f>IF(終値!A201="","",IF(AND(安値!AC201&lt;安値!AB201,安値!AC201&lt;安値!AA201,安値!AC201&lt;安値!AD201,安値!AC201&lt;安値!AE201),24,""))</f>
        <v/>
      </c>
      <c r="Y201" s="503" t="str">
        <f>IF(終値!A201="","",IF(AND(安値!AD201&lt;安値!AC201,安値!AD201&lt;安値!AB201,安値!AD201&lt;安値!AE201,安値!AD201&lt;安値!AF201),25,""))</f>
        <v/>
      </c>
      <c r="Z201" s="503">
        <f>IF(終値!A201="","",IF(AND(安値!AE201&lt;安値!AD201,安値!AE201&lt;安値!AC201,安値!AE201&lt;安値!AF201,安値!AE201&lt;安値!AG201),26,""))</f>
        <v>26</v>
      </c>
      <c r="AA201" s="503" t="str">
        <f>IF(終値!A201="","",IF(AND(安値!AF201&lt;安値!AE201,安値!AF201&lt;安値!AD201,安値!AF201&lt;安値!AG201,安値!AF201&lt;安値!AH201),27,""))</f>
        <v/>
      </c>
      <c r="AB201" s="503" t="str">
        <f>IF(終値!A201="","",IF(AND(安値!AG201&lt;安値!AF201,安値!AG201&lt;安値!AE201,安値!AG201&lt;安値!AH201,安値!AG201&lt;安値!AI201),28,""))</f>
        <v/>
      </c>
      <c r="AC201" s="503" t="str">
        <f>IF(終値!A201="","",IF(AND(高値!G201&gt;高値!F201,高値!G201&gt;高値!E201,高値!G201&gt;高値!H201,高値!G201&gt;高値!I201),2,""))</f>
        <v/>
      </c>
      <c r="AD201" s="503" t="str">
        <f>IF(終値!A201="","",IF(AND(高値!H201&gt;高値!G201,高値!H201&gt;高値!F201,高値!H201&gt;高値!I201,高値!H201&gt;高値!J201),3,""))</f>
        <v/>
      </c>
      <c r="AE201" s="503" t="str">
        <f>IF(終値!A201="","",IF(AND(高値!I201&gt;高値!H201,高値!I201&gt;高値!G201,高値!I201&gt;高値!J201,高値!I201&gt;高値!K201),4,""))</f>
        <v/>
      </c>
      <c r="AF201" s="503" t="str">
        <f>IF(終値!A201="","",IF(AND(高値!J201&gt;高値!I201,高値!J201&gt;高値!H201,高値!J201&gt;高値!K201,高値!J201&gt;高値!L201),5,""))</f>
        <v/>
      </c>
      <c r="AG201" s="503" t="str">
        <f>IF(終値!A201="","",IF(AND(高値!K201&gt;高値!J201,高値!K201&gt;高値!I201,高値!K201&gt;高値!L201,高値!K201&gt;高値!M201),6,""))</f>
        <v/>
      </c>
      <c r="AH201" s="503" t="str">
        <f>IF(終値!A201="","",IF(AND(高値!L201&gt;高値!K201,高値!L201&gt;高値!J201,高値!L201&gt;高値!M201,高値!L201&gt;高値!N201),7,""))</f>
        <v/>
      </c>
      <c r="AI201" s="503" t="str">
        <f>IF(終値!A201="","",IF(AND(高値!M201&gt;高値!L201,高値!M201&gt;高値!K201,高値!M201&gt;高値!N201,高値!M201&gt;高値!O201),8,""))</f>
        <v/>
      </c>
      <c r="AJ201" s="503" t="str">
        <f>IF(終値!A201="","",IF(AND(高値!N201&gt;高値!M201,高値!N201&gt;高値!L201,高値!N201&gt;高値!O201,高値!N201&gt;高値!P201),9,""))</f>
        <v/>
      </c>
      <c r="AK201" s="503">
        <f>IF(終値!A201="","",IF(AND(高値!O201&gt;高値!N201,高値!O201&gt;高値!M201,高値!O201&gt;高値!P201,高値!O201&gt;高値!Q201),10,""))</f>
        <v>10</v>
      </c>
      <c r="AL201" s="503" t="str">
        <f>IF(終値!A201="","",IF(AND(高値!P201&gt;高値!O201,高値!P201&gt;高値!N201,高値!P201&gt;高値!Q201,高値!P201&gt;高値!R201),11,""))</f>
        <v/>
      </c>
      <c r="AM201" s="503" t="str">
        <f>IF(終値!A201="","",IF(AND(高値!Q201&gt;高値!P201,高値!Q201&gt;高値!O201,高値!Q201&gt;高値!R201,高値!Q201&gt;高値!S201),12,""))</f>
        <v/>
      </c>
      <c r="AN201" s="503" t="str">
        <f>IF(終値!A201="","",IF(AND(高値!R201&gt;高値!Q201,高値!R201&gt;高値!P201,高値!R201&gt;高値!S201,高値!R201&gt;高値!T201),13,""))</f>
        <v/>
      </c>
      <c r="AO201" s="503" t="str">
        <f>IF(終値!A201="","",IF(AND(高値!S201&gt;高値!R201,高値!S201&gt;高値!Q201,高値!S201&gt;高値!T201,高値!S201&gt;高値!U201),14,""))</f>
        <v/>
      </c>
      <c r="AP201" s="503" t="str">
        <f>IF(終値!A201="","",IF(AND(高値!T201&gt;高値!S201,高値!T201&gt;高値!R201,高値!T201&gt;高値!U201,高値!T201&gt;高値!V201),15,""))</f>
        <v/>
      </c>
      <c r="AQ201" s="503" t="str">
        <f>IF(終値!A201="","",IF(AND(高値!U201&gt;高値!T201,高値!U201&gt;高値!S201,高値!U201&gt;高値!V201,高値!U201&gt;高値!W201),16,""))</f>
        <v/>
      </c>
      <c r="AR201" s="503">
        <f>IF(終値!A201="","",IF(AND(高値!V201&gt;高値!U201,高値!V201&gt;高値!T201,高値!V201&gt;高値!W201,高値!V201&gt;高値!X201),17,""))</f>
        <v>17</v>
      </c>
      <c r="AS201" s="503" t="str">
        <f>IF(終値!A201="","",IF(AND(高値!W201&gt;高値!V201,高値!W201&gt;高値!U201,高値!W201&gt;高値!X201,高値!W201&gt;高値!Y201),18,""))</f>
        <v/>
      </c>
      <c r="AT201" s="503" t="str">
        <f>IF(終値!A201="","",IF(AND(高値!X201&gt;高値!W201,高値!X201&gt;高値!V201,高値!X201&gt;高値!Y201,高値!X201&gt;高値!Z201),19,""))</f>
        <v/>
      </c>
      <c r="AU201" s="503" t="str">
        <f>IF(終値!A201="","",IF(AND(高値!Y201&gt;高値!X201,高値!Y201&gt;高値!W201,高値!Y201&gt;高値!Z201,高値!Y201&gt;高値!AA201),20,""))</f>
        <v/>
      </c>
      <c r="AV201" s="503">
        <f>IF(終値!A201="","",IF(AND(高値!Z201&gt;高値!Y201,高値!Z201&gt;高値!X201,高値!Z201&gt;高値!AA201,高値!Z201&gt;高値!AB201),21,""))</f>
        <v>21</v>
      </c>
      <c r="AW201" s="503" t="str">
        <f>IF(終値!A201="","",IF(AND(高値!AA201&gt;高値!Z201,高値!AA201&gt;高値!Y201,高値!AA201&gt;高値!AB201,高値!AA201&gt;高値!AC201),22,""))</f>
        <v/>
      </c>
      <c r="AX201" s="503" t="str">
        <f>IF(終値!A201="","",IF(AND(高値!AB201&gt;高値!AA201,高値!AB201&gt;高値!Z201,高値!AB201&gt;高値!AC201,高値!AB201&gt;高値!AD201),23,""))</f>
        <v/>
      </c>
      <c r="AY201" s="503" t="str">
        <f>IF(終値!A201="","",IF(AND(高値!AC201&gt;高値!AB201,高値!AC201&gt;高値!AA201,高値!AC201&gt;高値!AD201,高値!AC201&gt;高値!AE201),24,""))</f>
        <v/>
      </c>
      <c r="AZ201" s="503" t="str">
        <f>IF(終値!A201="","",IF(AND(高値!AD201&gt;高値!AC201,高値!AD201&gt;高値!AB201,高値!AD201&gt;高値!AE201,高値!AD201&gt;高値!AF201),25,""))</f>
        <v/>
      </c>
      <c r="BA201" s="503" t="str">
        <f>IF(終値!A201="","",IF(AND(高値!AE201&gt;高値!AD201,高値!AE201&gt;高値!AC201,高値!AE201&gt;高値!AF201,高値!AE201&gt;高値!AG201),26,""))</f>
        <v/>
      </c>
      <c r="BB201" s="503">
        <f>IF(終値!A201="","",IF(AND(高値!AF201&gt;高値!AE201,高値!AF201&gt;高値!AD201,高値!AF201&gt;高値!AG201,高値!AF201&gt;高値!AH201),27,""))</f>
        <v>27</v>
      </c>
      <c r="BC201" s="503" t="str">
        <f>IF(終値!A201="","",IF(AND(高値!AG201&gt;高値!AF201,高値!AG201&gt;高値!AE201,高値!AG201&gt;高値!AH201,高値!AG201&gt;高値!AI201),28,""))</f>
        <v/>
      </c>
      <c r="BD201" s="503">
        <f t="shared" si="18"/>
        <v>5</v>
      </c>
      <c r="BE201" s="503">
        <f t="shared" si="19"/>
        <v>6</v>
      </c>
      <c r="BF201" s="503">
        <f t="shared" si="20"/>
        <v>13</v>
      </c>
      <c r="BG201" s="503">
        <f>IF($BE201="","",INDEX(安値!$E201:$CZ201,1,$BE201+1))</f>
        <v>4465</v>
      </c>
      <c r="BH201" s="503">
        <f>IF($BF201="","",INDEX(安値!$E201:$CZ201,1,$BF201+1))</f>
        <v>4900</v>
      </c>
      <c r="BI201" s="503">
        <f>IF($BF201="","",MAX(INDEX(高値!$E201:$CZ201,1,$BE201+1):INDEX(高値!$E201:$CZ201,1,$BF201+1)))</f>
        <v>5421</v>
      </c>
      <c r="BJ201" s="503">
        <f>IF($BF201="","",AVERAGE(INDEX(終値!$E201:$CZ201,1,$BF201+1):INDEX(終値!$E201:$CZ201,1,$BF201+20))-2*STDEVP(INDEX(終値!$E201:$CZ201,1,$BF201+1):INDEX(終値!$E201:$CZ201,1,$BF201+20)))</f>
        <v>5389.5052000675441</v>
      </c>
      <c r="BK201" s="503">
        <f>IF($BE201="","",AVERAGE(INDEX(終値!$E201:$CZ201,1,$BE201+1):INDEX(終値!$E201:$CZ201,1,$BE201+20))-2*STDEVP(INDEX(終値!$E201:$CZ201,1,$BE201+1):INDEX(終値!$E201:$CZ201,1,$BE201+20)))</f>
        <v>4116.3004949919105</v>
      </c>
      <c r="BL201" s="503">
        <f t="shared" si="21"/>
        <v>4</v>
      </c>
      <c r="BM201" s="503">
        <f t="shared" si="22"/>
        <v>10</v>
      </c>
      <c r="BN201" s="503">
        <f t="shared" si="23"/>
        <v>17</v>
      </c>
      <c r="BO201" s="503">
        <f>IF($BM201="","",INDEX(高値!$E201:$CZ201,1,$BM201+1))</f>
        <v>5421</v>
      </c>
      <c r="BP201" s="503">
        <f>IF($BN201="","",INDEX(高値!$E201:$CZ201,1,$BN201+1))</f>
        <v>7225</v>
      </c>
      <c r="BQ201" s="503">
        <f>IF($BN201="","",MIN(INDEX(安値!$E201:$CZ201,1,$BM201+1):INDEX(安値!$E201:$CZ201,1,$BN201+1)))</f>
        <v>4900</v>
      </c>
      <c r="BR201" s="503">
        <f>IF($BN201="","",AVERAGE(INDEX(終値!$E201:$CZ201,1,$BN201+1):INDEX(終値!$E201:$CZ201,1,$BN201+20))+2*STDEVP(INDEX(終値!$E201:$CZ201,1,$BN201+1):INDEX(終値!$E201:$CZ201,1,$BN201+20)))</f>
        <v>7592.9922471820018</v>
      </c>
      <c r="BS201" s="503">
        <f>IF($BM201="","",AVERAGE(INDEX(終値!$E201:$CZ201,1,$BM201+1):INDEX(終値!$E201:$CZ201,1,$BM201+20))+2*STDEVP(INDEX(終値!$E201:$CZ201,1,$BM201+1):INDEX(終値!$E201:$CZ201,1,$BM201+20)))</f>
        <v>8122.9641349514877</v>
      </c>
      <c r="BT201" s="500"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3" t="str">
        <f>IF(終値!A202="","",IF(AND(安値!G202&lt;安値!F202,安値!G202&lt;安値!E202,安値!G202&lt;安値!H202,安値!G202&lt;安値!I202),2,""))</f>
        <v/>
      </c>
      <c r="C202" s="503">
        <f>IF(終値!A202="","",IF(AND(安値!H202&lt;安値!G202,安値!H202&lt;安値!F202,安値!H202&lt;安値!I202,安値!H202&lt;安値!J202),3,""))</f>
        <v>3</v>
      </c>
      <c r="D202" s="503" t="str">
        <f>IF(終値!A202="","",IF(AND(安値!I202&lt;安値!H202,安値!I202&lt;安値!G202,安値!I202&lt;安値!J202,安値!I202&lt;安値!K202),4,""))</f>
        <v/>
      </c>
      <c r="E202" s="503" t="str">
        <f>IF(終値!A202="","",IF(AND(安値!J202&lt;安値!I202,安値!J202&lt;安値!H202,安値!J202&lt;安値!K202,安値!J202&lt;安値!L202),5,""))</f>
        <v/>
      </c>
      <c r="F202" s="503">
        <f>IF(終値!A202="","",IF(AND(安値!K202&lt;安値!J202,安値!K202&lt;安値!I202,安値!K202&lt;安値!L202,安値!K202&lt;安値!M202),6,""))</f>
        <v>6</v>
      </c>
      <c r="G202" s="503" t="str">
        <f>IF(終値!A202="","",IF(AND(安値!L202&lt;安値!K202,安値!L202&lt;安値!J202,安値!L202&lt;安値!M202,安値!L202&lt;安値!N202),7,""))</f>
        <v/>
      </c>
      <c r="H202" s="503" t="str">
        <f>IF(終値!A202="","",IF(AND(安値!M202&lt;安値!L202,安値!M202&lt;安値!K202,安値!M202&lt;安値!N202,安値!M202&lt;安値!O202),8,""))</f>
        <v/>
      </c>
      <c r="I202" s="503" t="str">
        <f>IF(終値!A202="","",IF(AND(安値!N202&lt;安値!M202,安値!N202&lt;安値!L202,安値!N202&lt;安値!O202,安値!N202&lt;安値!P202),9,""))</f>
        <v/>
      </c>
      <c r="J202" s="503" t="str">
        <f>IF(終値!A202="","",IF(AND(安値!O202&lt;安値!N202,安値!O202&lt;安値!M202,安値!O202&lt;安値!P202,安値!O202&lt;安値!Q202),10,""))</f>
        <v/>
      </c>
      <c r="K202" s="503" t="str">
        <f>IF(終値!A202="","",IF(AND(安値!P202&lt;安値!O202,安値!P202&lt;安値!N202,安値!P202&lt;安値!Q202,安値!P202&lt;安値!R202),11,""))</f>
        <v/>
      </c>
      <c r="L202" s="503" t="str">
        <f>IF(終値!A202="","",IF(AND(安値!Q202&lt;安値!P202,安値!Q202&lt;安値!O202,安値!Q202&lt;安値!R202,安値!Q202&lt;安値!S202),12,""))</f>
        <v/>
      </c>
      <c r="M202" s="503">
        <f>IF(終値!A202="","",IF(AND(安値!R202&lt;安値!Q202,安値!R202&lt;安値!P202,安値!R202&lt;安値!S202,安値!R202&lt;安値!T202),13,""))</f>
        <v>13</v>
      </c>
      <c r="N202" s="503" t="str">
        <f>IF(終値!A202="","",IF(AND(安値!S202&lt;安値!R202,安値!S202&lt;安値!Q202,安値!S202&lt;安値!T202,安値!S202&lt;安値!U202),14,""))</f>
        <v/>
      </c>
      <c r="O202" s="503" t="str">
        <f>IF(終値!A202="","",IF(AND(安値!T202&lt;安値!S202,安値!T202&lt;安値!R202,安値!T202&lt;安値!U202,安値!T202&lt;安値!V202),15,""))</f>
        <v/>
      </c>
      <c r="P202" s="503">
        <f>IF(終値!A202="","",IF(AND(安値!U202&lt;安値!T202,安値!U202&lt;安値!S202,安値!U202&lt;安値!V202,安値!U202&lt;安値!W202),16,""))</f>
        <v>16</v>
      </c>
      <c r="Q202" s="503" t="str">
        <f>IF(終値!A202="","",IF(AND(安値!V202&lt;安値!U202,安値!V202&lt;安値!T202,安値!V202&lt;安値!W202,安値!V202&lt;安値!X202),17,""))</f>
        <v/>
      </c>
      <c r="R202" s="503" t="str">
        <f>IF(終値!A202="","",IF(AND(安値!W202&lt;安値!V202,安値!W202&lt;安値!U202,安値!W202&lt;安値!X202,安値!W202&lt;安値!Y202),18,""))</f>
        <v/>
      </c>
      <c r="S202" s="503" t="str">
        <f>IF(終値!A202="","",IF(AND(安値!X202&lt;安値!W202,安値!X202&lt;安値!V202,安値!X202&lt;安値!Y202,安値!X202&lt;安値!Z202),19,""))</f>
        <v/>
      </c>
      <c r="T202" s="503" t="str">
        <f>IF(終値!A202="","",IF(AND(安値!Y202&lt;安値!X202,安値!Y202&lt;安値!W202,安値!Y202&lt;安値!Z202,安値!Y202&lt;安値!AA202),20,""))</f>
        <v/>
      </c>
      <c r="U202" s="503" t="str">
        <f>IF(終値!A202="","",IF(AND(安値!Z202&lt;安値!Y202,安値!Z202&lt;安値!X202,安値!Z202&lt;安値!AA202,安値!Z202&lt;安値!AB202),21,""))</f>
        <v/>
      </c>
      <c r="V202" s="503" t="str">
        <f>IF(終値!A202="","",IF(AND(安値!AA202&lt;安値!Z202,安値!AA202&lt;安値!Y202,安値!AA202&lt;安値!AB202,安値!AA202&lt;安値!AC202),22,""))</f>
        <v/>
      </c>
      <c r="W202" s="503" t="str">
        <f>IF(終値!A202="","",IF(AND(安値!AB202&lt;安値!AA202,安値!AB202&lt;安値!Z202,安値!AB202&lt;安値!AC202,安値!AB202&lt;安値!AD202),23,""))</f>
        <v/>
      </c>
      <c r="X202" s="503">
        <f>IF(終値!A202="","",IF(AND(安値!AC202&lt;安値!AB202,安値!AC202&lt;安値!AA202,安値!AC202&lt;安値!AD202,安値!AC202&lt;安値!AE202),24,""))</f>
        <v>24</v>
      </c>
      <c r="Y202" s="503" t="str">
        <f>IF(終値!A202="","",IF(AND(安値!AD202&lt;安値!AC202,安値!AD202&lt;安値!AB202,安値!AD202&lt;安値!AE202,安値!AD202&lt;安値!AF202),25,""))</f>
        <v/>
      </c>
      <c r="Z202" s="503" t="str">
        <f>IF(終値!A202="","",IF(AND(安値!AE202&lt;安値!AD202,安値!AE202&lt;安値!AC202,安値!AE202&lt;安値!AF202,安値!AE202&lt;安値!AG202),26,""))</f>
        <v/>
      </c>
      <c r="AA202" s="503" t="str">
        <f>IF(終値!A202="","",IF(AND(安値!AF202&lt;安値!AE202,安値!AF202&lt;安値!AD202,安値!AF202&lt;安値!AG202,安値!AF202&lt;安値!AH202),27,""))</f>
        <v/>
      </c>
      <c r="AB202" s="503" t="str">
        <f>IF(終値!A202="","",IF(AND(安値!AG202&lt;安値!AF202,安値!AG202&lt;安値!AE202,安値!AG202&lt;安値!AH202,安値!AG202&lt;安値!AI202),28,""))</f>
        <v/>
      </c>
      <c r="AC202" s="503" t="str">
        <f>IF(終値!A202="","",IF(AND(高値!G202&gt;高値!F202,高値!G202&gt;高値!E202,高値!G202&gt;高値!H202,高値!G202&gt;高値!I202),2,""))</f>
        <v/>
      </c>
      <c r="AD202" s="503" t="str">
        <f>IF(終値!A202="","",IF(AND(高値!H202&gt;高値!G202,高値!H202&gt;高値!F202,高値!H202&gt;高値!I202,高値!H202&gt;高値!J202),3,""))</f>
        <v/>
      </c>
      <c r="AE202" s="503">
        <f>IF(終値!A202="","",IF(AND(高値!I202&gt;高値!H202,高値!I202&gt;高値!G202,高値!I202&gt;高値!J202,高値!I202&gt;高値!K202),4,""))</f>
        <v>4</v>
      </c>
      <c r="AF202" s="503" t="str">
        <f>IF(終値!A202="","",IF(AND(高値!J202&gt;高値!I202,高値!J202&gt;高値!H202,高値!J202&gt;高値!K202,高値!J202&gt;高値!L202),5,""))</f>
        <v/>
      </c>
      <c r="AG202" s="503" t="str">
        <f>IF(終値!A202="","",IF(AND(高値!K202&gt;高値!J202,高値!K202&gt;高値!I202,高値!K202&gt;高値!L202,高値!K202&gt;高値!M202),6,""))</f>
        <v/>
      </c>
      <c r="AH202" s="503" t="str">
        <f>IF(終値!A202="","",IF(AND(高値!L202&gt;高値!K202,高値!L202&gt;高値!J202,高値!L202&gt;高値!M202,高値!L202&gt;高値!N202),7,""))</f>
        <v/>
      </c>
      <c r="AI202" s="503" t="str">
        <f>IF(終値!A202="","",IF(AND(高値!M202&gt;高値!L202,高値!M202&gt;高値!K202,高値!M202&gt;高値!N202,高値!M202&gt;高値!O202),8,""))</f>
        <v/>
      </c>
      <c r="AJ202" s="503" t="str">
        <f>IF(終値!A202="","",IF(AND(高値!N202&gt;高値!M202,高値!N202&gt;高値!L202,高値!N202&gt;高値!O202,高値!N202&gt;高値!P202),9,""))</f>
        <v/>
      </c>
      <c r="AK202" s="503">
        <f>IF(終値!A202="","",IF(AND(高値!O202&gt;高値!N202,高値!O202&gt;高値!M202,高値!O202&gt;高値!P202,高値!O202&gt;高値!Q202),10,""))</f>
        <v>10</v>
      </c>
      <c r="AL202" s="503" t="str">
        <f>IF(終値!A202="","",IF(AND(高値!P202&gt;高値!O202,高値!P202&gt;高値!N202,高値!P202&gt;高値!Q202,高値!P202&gt;高値!R202),11,""))</f>
        <v/>
      </c>
      <c r="AM202" s="503" t="str">
        <f>IF(終値!A202="","",IF(AND(高値!Q202&gt;高値!P202,高値!Q202&gt;高値!O202,高値!Q202&gt;高値!R202,高値!Q202&gt;高値!S202),12,""))</f>
        <v/>
      </c>
      <c r="AN202" s="503" t="str">
        <f>IF(終値!A202="","",IF(AND(高値!R202&gt;高値!Q202,高値!R202&gt;高値!P202,高値!R202&gt;高値!S202,高値!R202&gt;高値!T202),13,""))</f>
        <v/>
      </c>
      <c r="AO202" s="503" t="str">
        <f>IF(終値!A202="","",IF(AND(高値!S202&gt;高値!R202,高値!S202&gt;高値!Q202,高値!S202&gt;高値!T202,高値!S202&gt;高値!U202),14,""))</f>
        <v/>
      </c>
      <c r="AP202" s="503" t="str">
        <f>IF(終値!A202="","",IF(AND(高値!T202&gt;高値!S202,高値!T202&gt;高値!R202,高値!T202&gt;高値!U202,高値!T202&gt;高値!V202),15,""))</f>
        <v/>
      </c>
      <c r="AQ202" s="503" t="str">
        <f>IF(終値!A202="","",IF(AND(高値!U202&gt;高値!T202,高値!U202&gt;高値!S202,高値!U202&gt;高値!V202,高値!U202&gt;高値!W202),16,""))</f>
        <v/>
      </c>
      <c r="AR202" s="503" t="str">
        <f>IF(終値!A202="","",IF(AND(高値!V202&gt;高値!U202,高値!V202&gt;高値!T202,高値!V202&gt;高値!W202,高値!V202&gt;高値!X202),17,""))</f>
        <v/>
      </c>
      <c r="AS202" s="503" t="str">
        <f>IF(終値!A202="","",IF(AND(高値!W202&gt;高値!V202,高値!W202&gt;高値!U202,高値!W202&gt;高値!X202,高値!W202&gt;高値!Y202),18,""))</f>
        <v/>
      </c>
      <c r="AT202" s="503" t="str">
        <f>IF(終値!A202="","",IF(AND(高値!X202&gt;高値!W202,高値!X202&gt;高値!V202,高値!X202&gt;高値!Y202,高値!X202&gt;高値!Z202),19,""))</f>
        <v/>
      </c>
      <c r="AU202" s="503">
        <f>IF(終値!A202="","",IF(AND(高値!Y202&gt;高値!X202,高値!Y202&gt;高値!W202,高値!Y202&gt;高値!Z202,高値!Y202&gt;高値!AA202),20,""))</f>
        <v>20</v>
      </c>
      <c r="AV202" s="503" t="str">
        <f>IF(終値!A202="","",IF(AND(高値!Z202&gt;高値!Y202,高値!Z202&gt;高値!X202,高値!Z202&gt;高値!AA202,高値!Z202&gt;高値!AB202),21,""))</f>
        <v/>
      </c>
      <c r="AW202" s="503" t="str">
        <f>IF(終値!A202="","",IF(AND(高値!AA202&gt;高値!Z202,高値!AA202&gt;高値!Y202,高値!AA202&gt;高値!AB202,高値!AA202&gt;高値!AC202),22,""))</f>
        <v/>
      </c>
      <c r="AX202" s="503" t="str">
        <f>IF(終値!A202="","",IF(AND(高値!AB202&gt;高値!AA202,高値!AB202&gt;高値!Z202,高値!AB202&gt;高値!AC202,高値!AB202&gt;高値!AD202),23,""))</f>
        <v/>
      </c>
      <c r="AY202" s="503" t="str">
        <f>IF(終値!A202="","",IF(AND(高値!AC202&gt;高値!AB202,高値!AC202&gt;高値!AA202,高値!AC202&gt;高値!AD202,高値!AC202&gt;高値!AE202),24,""))</f>
        <v/>
      </c>
      <c r="AZ202" s="503" t="str">
        <f>IF(終値!A202="","",IF(AND(高値!AD202&gt;高値!AC202,高値!AD202&gt;高値!AB202,高値!AD202&gt;高値!AE202,高値!AD202&gt;高値!AF202),25,""))</f>
        <v/>
      </c>
      <c r="BA202" s="503" t="str">
        <f>IF(終値!A202="","",IF(AND(高値!AE202&gt;高値!AD202,高値!AE202&gt;高値!AC202,高値!AE202&gt;高値!AF202,高値!AE202&gt;高値!AG202),26,""))</f>
        <v/>
      </c>
      <c r="BB202" s="503" t="str">
        <f>IF(終値!A202="","",IF(AND(高値!AF202&gt;高値!AE202,高値!AF202&gt;高値!AD202,高値!AF202&gt;高値!AG202,高値!AF202&gt;高値!AH202),27,""))</f>
        <v/>
      </c>
      <c r="BC202" s="503" t="str">
        <f>IF(終値!A202="","",IF(AND(高値!AG202&gt;高値!AF202,高値!AG202&gt;高値!AE202,高値!AG202&gt;高値!AH202,高値!AG202&gt;高値!AI202),28,""))</f>
        <v/>
      </c>
      <c r="BD202" s="503">
        <f t="shared" si="18"/>
        <v>5</v>
      </c>
      <c r="BE202" s="503">
        <f t="shared" si="19"/>
        <v>3</v>
      </c>
      <c r="BF202" s="503">
        <f t="shared" si="20"/>
        <v>6</v>
      </c>
      <c r="BG202" s="503">
        <f>IF($BE202="","",INDEX(安値!$E202:$CZ202,1,$BE202+1))</f>
        <v>5087</v>
      </c>
      <c r="BH202" s="503">
        <f>IF($BF202="","",INDEX(安値!$E202:$CZ202,1,$BF202+1))</f>
        <v>5243</v>
      </c>
      <c r="BI202" s="503">
        <f>IF($BF202="","",MAX(INDEX(高値!$E202:$CZ202,1,$BE202+1):INDEX(高値!$E202:$CZ202,1,$BF202+1)))</f>
        <v>5457</v>
      </c>
      <c r="BJ202" s="503">
        <f>IF($BF202="","",AVERAGE(INDEX(終値!$E202:$CZ202,1,$BF202+1):INDEX(終値!$E202:$CZ202,1,$BF202+20))-2*STDEVP(INDEX(終値!$E202:$CZ202,1,$BF202+1):INDEX(終値!$E202:$CZ202,1,$BF202+20)))</f>
        <v>5003.7732948141638</v>
      </c>
      <c r="BK202" s="503">
        <f>IF($BE202="","",AVERAGE(INDEX(終値!$E202:$CZ202,1,$BE202+1):INDEX(終値!$E202:$CZ202,1,$BE202+20))-2*STDEVP(INDEX(終値!$E202:$CZ202,1,$BE202+1):INDEX(終値!$E202:$CZ202,1,$BE202+20)))</f>
        <v>5019.1918365586507</v>
      </c>
      <c r="BL202" s="503">
        <f t="shared" si="21"/>
        <v>3</v>
      </c>
      <c r="BM202" s="503">
        <f t="shared" si="22"/>
        <v>4</v>
      </c>
      <c r="BN202" s="503">
        <f t="shared" si="23"/>
        <v>10</v>
      </c>
      <c r="BO202" s="503">
        <f>IF($BM202="","",INDEX(高値!$E202:$CZ202,1,$BM202+1))</f>
        <v>5457</v>
      </c>
      <c r="BP202" s="503">
        <f>IF($BN202="","",INDEX(高値!$E202:$CZ202,1,$BN202+1))</f>
        <v>5507</v>
      </c>
      <c r="BQ202" s="503">
        <f>IF($BN202="","",MIN(INDEX(安値!$E202:$CZ202,1,$BM202+1):INDEX(安値!$E202:$CZ202,1,$BN202+1)))</f>
        <v>5243</v>
      </c>
      <c r="BR202" s="503">
        <f>IF($BN202="","",AVERAGE(INDEX(終値!$E202:$CZ202,1,$BN202+1):INDEX(終値!$E202:$CZ202,1,$BN202+20))+2*STDEVP(INDEX(終値!$E202:$CZ202,1,$BN202+1):INDEX(終値!$E202:$CZ202,1,$BN202+20)))</f>
        <v>5413.7528981643163</v>
      </c>
      <c r="BS202" s="503">
        <f>IF($BM202="","",AVERAGE(INDEX(終値!$E202:$CZ202,1,$BM202+1):INDEX(終値!$E202:$CZ202,1,$BM202+20))+2*STDEVP(INDEX(終値!$E202:$CZ202,1,$BM202+1):INDEX(終値!$E202:$CZ202,1,$BM202+20)))</f>
        <v>5510.0636410907473</v>
      </c>
      <c r="BT202" s="500"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3" t="str">
        <f>IF(終値!A203="","",IF(AND(安値!G203&lt;安値!F203,安値!G203&lt;安値!E203,安値!G203&lt;安値!H203,安値!G203&lt;安値!I203),2,""))</f>
        <v/>
      </c>
      <c r="C203" s="503">
        <f>IF(終値!A203="","",IF(AND(安値!H203&lt;安値!G203,安値!H203&lt;安値!F203,安値!H203&lt;安値!I203,安値!H203&lt;安値!J203),3,""))</f>
        <v>3</v>
      </c>
      <c r="D203" s="503" t="str">
        <f>IF(終値!A203="","",IF(AND(安値!I203&lt;安値!H203,安値!I203&lt;安値!G203,安値!I203&lt;安値!J203,安値!I203&lt;安値!K203),4,""))</f>
        <v/>
      </c>
      <c r="E203" s="503" t="str">
        <f>IF(終値!A203="","",IF(AND(安値!J203&lt;安値!I203,安値!J203&lt;安値!H203,安値!J203&lt;安値!K203,安値!J203&lt;安値!L203),5,""))</f>
        <v/>
      </c>
      <c r="F203" s="503" t="str">
        <f>IF(終値!A203="","",IF(AND(安値!K203&lt;安値!J203,安値!K203&lt;安値!I203,安値!K203&lt;安値!L203,安値!K203&lt;安値!M203),6,""))</f>
        <v/>
      </c>
      <c r="G203" s="503" t="str">
        <f>IF(終値!A203="","",IF(AND(安値!L203&lt;安値!K203,安値!L203&lt;安値!J203,安値!L203&lt;安値!M203,安値!L203&lt;安値!N203),7,""))</f>
        <v/>
      </c>
      <c r="H203" s="503" t="str">
        <f>IF(終値!A203="","",IF(AND(安値!M203&lt;安値!L203,安値!M203&lt;安値!K203,安値!M203&lt;安値!N203,安値!M203&lt;安値!O203),8,""))</f>
        <v/>
      </c>
      <c r="I203" s="503" t="str">
        <f>IF(終値!A203="","",IF(AND(安値!N203&lt;安値!M203,安値!N203&lt;安値!L203,安値!N203&lt;安値!O203,安値!N203&lt;安値!P203),9,""))</f>
        <v/>
      </c>
      <c r="J203" s="503" t="str">
        <f>IF(終値!A203="","",IF(AND(安値!O203&lt;安値!N203,安値!O203&lt;安値!M203,安値!O203&lt;安値!P203,安値!O203&lt;安値!Q203),10,""))</f>
        <v/>
      </c>
      <c r="K203" s="503" t="str">
        <f>IF(終値!A203="","",IF(AND(安値!P203&lt;安値!O203,安値!P203&lt;安値!N203,安値!P203&lt;安値!Q203,安値!P203&lt;安値!R203),11,""))</f>
        <v/>
      </c>
      <c r="L203" s="503" t="str">
        <f>IF(終値!A203="","",IF(AND(安値!Q203&lt;安値!P203,安値!Q203&lt;安値!O203,安値!Q203&lt;安値!R203,安値!Q203&lt;安値!S203),12,""))</f>
        <v/>
      </c>
      <c r="M203" s="503">
        <f>IF(終値!A203="","",IF(AND(安値!R203&lt;安値!Q203,安値!R203&lt;安値!P203,安値!R203&lt;安値!S203,安値!R203&lt;安値!T203),13,""))</f>
        <v>13</v>
      </c>
      <c r="N203" s="503" t="str">
        <f>IF(終値!A203="","",IF(AND(安値!S203&lt;安値!R203,安値!S203&lt;安値!Q203,安値!S203&lt;安値!T203,安値!S203&lt;安値!U203),14,""))</f>
        <v/>
      </c>
      <c r="O203" s="503" t="str">
        <f>IF(終値!A203="","",IF(AND(安値!T203&lt;安値!S203,安値!T203&lt;安値!R203,安値!T203&lt;安値!U203,安値!T203&lt;安値!V203),15,""))</f>
        <v/>
      </c>
      <c r="P203" s="503">
        <f>IF(終値!A203="","",IF(AND(安値!U203&lt;安値!T203,安値!U203&lt;安値!S203,安値!U203&lt;安値!V203,安値!U203&lt;安値!W203),16,""))</f>
        <v>16</v>
      </c>
      <c r="Q203" s="503" t="str">
        <f>IF(終値!A203="","",IF(AND(安値!V203&lt;安値!U203,安値!V203&lt;安値!T203,安値!V203&lt;安値!W203,安値!V203&lt;安値!X203),17,""))</f>
        <v/>
      </c>
      <c r="R203" s="503" t="str">
        <f>IF(終値!A203="","",IF(AND(安値!W203&lt;安値!V203,安値!W203&lt;安値!U203,安値!W203&lt;安値!X203,安値!W203&lt;安値!Y203),18,""))</f>
        <v/>
      </c>
      <c r="S203" s="503" t="str">
        <f>IF(終値!A203="","",IF(AND(安値!X203&lt;安値!W203,安値!X203&lt;安値!V203,安値!X203&lt;安値!Y203,安値!X203&lt;安値!Z203),19,""))</f>
        <v/>
      </c>
      <c r="T203" s="503" t="str">
        <f>IF(終値!A203="","",IF(AND(安値!Y203&lt;安値!X203,安値!Y203&lt;安値!W203,安値!Y203&lt;安値!Z203,安値!Y203&lt;安値!AA203),20,""))</f>
        <v/>
      </c>
      <c r="U203" s="503" t="str">
        <f>IF(終値!A203="","",IF(AND(安値!Z203&lt;安値!Y203,安値!Z203&lt;安値!X203,安値!Z203&lt;安値!AA203,安値!Z203&lt;安値!AB203),21,""))</f>
        <v/>
      </c>
      <c r="V203" s="503" t="str">
        <f>IF(終値!A203="","",IF(AND(安値!AA203&lt;安値!Z203,安値!AA203&lt;安値!Y203,安値!AA203&lt;安値!AB203,安値!AA203&lt;安値!AC203),22,""))</f>
        <v/>
      </c>
      <c r="W203" s="503">
        <f>IF(終値!A203="","",IF(AND(安値!AB203&lt;安値!AA203,安値!AB203&lt;安値!Z203,安値!AB203&lt;安値!AC203,安値!AB203&lt;安値!AD203),23,""))</f>
        <v>23</v>
      </c>
      <c r="X203" s="503" t="str">
        <f>IF(終値!A203="","",IF(AND(安値!AC203&lt;安値!AB203,安値!AC203&lt;安値!AA203,安値!AC203&lt;安値!AD203,安値!AC203&lt;安値!AE203),24,""))</f>
        <v/>
      </c>
      <c r="Y203" s="503" t="str">
        <f>IF(終値!A203="","",IF(AND(安値!AD203&lt;安値!AC203,安値!AD203&lt;安値!AB203,安値!AD203&lt;安値!AE203,安値!AD203&lt;安値!AF203),25,""))</f>
        <v/>
      </c>
      <c r="Z203" s="503" t="str">
        <f>IF(終値!A203="","",IF(AND(安値!AE203&lt;安値!AD203,安値!AE203&lt;安値!AC203,安値!AE203&lt;安値!AF203,安値!AE203&lt;安値!AG203),26,""))</f>
        <v/>
      </c>
      <c r="AA203" s="503" t="str">
        <f>IF(終値!A203="","",IF(AND(安値!AF203&lt;安値!AE203,安値!AF203&lt;安値!AD203,安値!AF203&lt;安値!AG203,安値!AF203&lt;安値!AH203),27,""))</f>
        <v/>
      </c>
      <c r="AB203" s="503" t="str">
        <f>IF(終値!A203="","",IF(AND(安値!AG203&lt;安値!AF203,安値!AG203&lt;安値!AE203,安値!AG203&lt;安値!AH203,安値!AG203&lt;安値!AI203),28,""))</f>
        <v/>
      </c>
      <c r="AC203" s="503" t="str">
        <f>IF(終値!A203="","",IF(AND(高値!G203&gt;高値!F203,高値!G203&gt;高値!E203,高値!G203&gt;高値!H203,高値!G203&gt;高値!I203),2,""))</f>
        <v/>
      </c>
      <c r="AD203" s="503" t="str">
        <f>IF(終値!A203="","",IF(AND(高値!H203&gt;高値!G203,高値!H203&gt;高値!F203,高値!H203&gt;高値!I203,高値!H203&gt;高値!J203),3,""))</f>
        <v/>
      </c>
      <c r="AE203" s="503" t="str">
        <f>IF(終値!A203="","",IF(AND(高値!I203&gt;高値!H203,高値!I203&gt;高値!G203,高値!I203&gt;高値!J203,高値!I203&gt;高値!K203),4,""))</f>
        <v/>
      </c>
      <c r="AF203" s="503" t="str">
        <f>IF(終値!A203="","",IF(AND(高値!J203&gt;高値!I203,高値!J203&gt;高値!H203,高値!J203&gt;高値!K203,高値!J203&gt;高値!L203),5,""))</f>
        <v/>
      </c>
      <c r="AG203" s="503">
        <f>IF(終値!A203="","",IF(AND(高値!K203&gt;高値!J203,高値!K203&gt;高値!I203,高値!K203&gt;高値!L203,高値!K203&gt;高値!M203),6,""))</f>
        <v>6</v>
      </c>
      <c r="AH203" s="503" t="str">
        <f>IF(終値!A203="","",IF(AND(高値!L203&gt;高値!K203,高値!L203&gt;高値!J203,高値!L203&gt;高値!M203,高値!L203&gt;高値!N203),7,""))</f>
        <v/>
      </c>
      <c r="AI203" s="503" t="str">
        <f>IF(終値!A203="","",IF(AND(高値!M203&gt;高値!L203,高値!M203&gt;高値!K203,高値!M203&gt;高値!N203,高値!M203&gt;高値!O203),8,""))</f>
        <v/>
      </c>
      <c r="AJ203" s="503" t="str">
        <f>IF(終値!A203="","",IF(AND(高値!N203&gt;高値!M203,高値!N203&gt;高値!L203,高値!N203&gt;高値!O203,高値!N203&gt;高値!P203),9,""))</f>
        <v/>
      </c>
      <c r="AK203" s="503" t="str">
        <f>IF(終値!A203="","",IF(AND(高値!O203&gt;高値!N203,高値!O203&gt;高値!M203,高値!O203&gt;高値!P203,高値!O203&gt;高値!Q203),10,""))</f>
        <v/>
      </c>
      <c r="AL203" s="503" t="str">
        <f>IF(終値!A203="","",IF(AND(高値!P203&gt;高値!O203,高値!P203&gt;高値!N203,高値!P203&gt;高値!Q203,高値!P203&gt;高値!R203),11,""))</f>
        <v/>
      </c>
      <c r="AM203" s="503" t="str">
        <f>IF(終値!A203="","",IF(AND(高値!Q203&gt;高値!P203,高値!Q203&gt;高値!O203,高値!Q203&gt;高値!R203,高値!Q203&gt;高値!S203),12,""))</f>
        <v/>
      </c>
      <c r="AN203" s="503" t="str">
        <f>IF(終値!A203="","",IF(AND(高値!R203&gt;高値!Q203,高値!R203&gt;高値!P203,高値!R203&gt;高値!S203,高値!R203&gt;高値!T203),13,""))</f>
        <v/>
      </c>
      <c r="AO203" s="503">
        <f>IF(終値!A203="","",IF(AND(高値!S203&gt;高値!R203,高値!S203&gt;高値!Q203,高値!S203&gt;高値!T203,高値!S203&gt;高値!U203),14,""))</f>
        <v>14</v>
      </c>
      <c r="AP203" s="503" t="str">
        <f>IF(終値!A203="","",IF(AND(高値!T203&gt;高値!S203,高値!T203&gt;高値!R203,高値!T203&gt;高値!U203,高値!T203&gt;高値!V203),15,""))</f>
        <v/>
      </c>
      <c r="AQ203" s="503" t="str">
        <f>IF(終値!A203="","",IF(AND(高値!U203&gt;高値!T203,高値!U203&gt;高値!S203,高値!U203&gt;高値!V203,高値!U203&gt;高値!W203),16,""))</f>
        <v/>
      </c>
      <c r="AR203" s="503" t="str">
        <f>IF(終値!A203="","",IF(AND(高値!V203&gt;高値!U203,高値!V203&gt;高値!T203,高値!V203&gt;高値!W203,高値!V203&gt;高値!X203),17,""))</f>
        <v/>
      </c>
      <c r="AS203" s="503" t="str">
        <f>IF(終値!A203="","",IF(AND(高値!W203&gt;高値!V203,高値!W203&gt;高値!U203,高値!W203&gt;高値!X203,高値!W203&gt;高値!Y203),18,""))</f>
        <v/>
      </c>
      <c r="AT203" s="503" t="str">
        <f>IF(終値!A203="","",IF(AND(高値!X203&gt;高値!W203,高値!X203&gt;高値!V203,高値!X203&gt;高値!Y203,高値!X203&gt;高値!Z203),19,""))</f>
        <v/>
      </c>
      <c r="AU203" s="503" t="str">
        <f>IF(終値!A203="","",IF(AND(高値!Y203&gt;高値!X203,高値!Y203&gt;高値!W203,高値!Y203&gt;高値!Z203,高値!Y203&gt;高値!AA203),20,""))</f>
        <v/>
      </c>
      <c r="AV203" s="503">
        <f>IF(終値!A203="","",IF(AND(高値!Z203&gt;高値!Y203,高値!Z203&gt;高値!X203,高値!Z203&gt;高値!AA203,高値!Z203&gt;高値!AB203),21,""))</f>
        <v>21</v>
      </c>
      <c r="AW203" s="503" t="str">
        <f>IF(終値!A203="","",IF(AND(高値!AA203&gt;高値!Z203,高値!AA203&gt;高値!Y203,高値!AA203&gt;高値!AB203,高値!AA203&gt;高値!AC203),22,""))</f>
        <v/>
      </c>
      <c r="AX203" s="503" t="str">
        <f>IF(終値!A203="","",IF(AND(高値!AB203&gt;高値!AA203,高値!AB203&gt;高値!Z203,高値!AB203&gt;高値!AC203,高値!AB203&gt;高値!AD203),23,""))</f>
        <v/>
      </c>
      <c r="AY203" s="503" t="str">
        <f>IF(終値!A203="","",IF(AND(高値!AC203&gt;高値!AB203,高値!AC203&gt;高値!AA203,高値!AC203&gt;高値!AD203,高値!AC203&gt;高値!AE203),24,""))</f>
        <v/>
      </c>
      <c r="AZ203" s="503" t="str">
        <f>IF(終値!A203="","",IF(AND(高値!AD203&gt;高値!AC203,高値!AD203&gt;高値!AB203,高値!AD203&gt;高値!AE203,高値!AD203&gt;高値!AF203),25,""))</f>
        <v/>
      </c>
      <c r="BA203" s="503" t="str">
        <f>IF(終値!A203="","",IF(AND(高値!AE203&gt;高値!AD203,高値!AE203&gt;高値!AC203,高値!AE203&gt;高値!AF203,高値!AE203&gt;高値!AG203),26,""))</f>
        <v/>
      </c>
      <c r="BB203" s="503" t="str">
        <f>IF(終値!A203="","",IF(AND(高値!AF203&gt;高値!AE203,高値!AF203&gt;高値!AD203,高値!AF203&gt;高値!AG203,高値!AF203&gt;高値!AH203),27,""))</f>
        <v/>
      </c>
      <c r="BC203" s="503" t="str">
        <f>IF(終値!A203="","",IF(AND(高値!AG203&gt;高値!AF203,高値!AG203&gt;高値!AE203,高値!AG203&gt;高値!AH203,高値!AG203&gt;高値!AI203),28,""))</f>
        <v/>
      </c>
      <c r="BD203" s="503">
        <f t="shared" si="18"/>
        <v>4</v>
      </c>
      <c r="BE203" s="503">
        <f t="shared" si="19"/>
        <v>3</v>
      </c>
      <c r="BF203" s="503">
        <f t="shared" si="20"/>
        <v>13</v>
      </c>
      <c r="BG203" s="503">
        <f>IF($BE203="","",INDEX(安値!$E203:$CZ203,1,$BE203+1))</f>
        <v>5209</v>
      </c>
      <c r="BH203" s="503">
        <f>IF($BF203="","",INDEX(安値!$E203:$CZ203,1,$BF203+1))</f>
        <v>5042</v>
      </c>
      <c r="BI203" s="503">
        <f>IF($BF203="","",MAX(INDEX(高値!$E203:$CZ203,1,$BE203+1):INDEX(高値!$E203:$CZ203,1,$BF203+1)))</f>
        <v>5768</v>
      </c>
      <c r="BJ203" s="503">
        <f>IF($BF203="","",AVERAGE(INDEX(終値!$E203:$CZ203,1,$BF203+1):INDEX(終値!$E203:$CZ203,1,$BF203+20))-2*STDEVP(INDEX(終値!$E203:$CZ203,1,$BF203+1):INDEX(終値!$E203:$CZ203,1,$BF203+20)))</f>
        <v>5115.991011880018</v>
      </c>
      <c r="BK203" s="503">
        <f>IF($BE203="","",AVERAGE(INDEX(終値!$E203:$CZ203,1,$BE203+1):INDEX(終値!$E203:$CZ203,1,$BE203+20))-2*STDEVP(INDEX(終値!$E203:$CZ203,1,$BE203+1):INDEX(終値!$E203:$CZ203,1,$BE203+20)))</f>
        <v>5052.7288618223283</v>
      </c>
      <c r="BL203" s="503">
        <f t="shared" si="21"/>
        <v>3</v>
      </c>
      <c r="BM203" s="503">
        <f t="shared" si="22"/>
        <v>6</v>
      </c>
      <c r="BN203" s="503">
        <f t="shared" si="23"/>
        <v>14</v>
      </c>
      <c r="BO203" s="503">
        <f>IF($BM203="","",INDEX(高値!$E203:$CZ203,1,$BM203+1))</f>
        <v>5768</v>
      </c>
      <c r="BP203" s="503">
        <f>IF($BN203="","",INDEX(高値!$E203:$CZ203,1,$BN203+1))</f>
        <v>5341</v>
      </c>
      <c r="BQ203" s="503">
        <f>IF($BN203="","",MIN(INDEX(安値!$E203:$CZ203,1,$BM203+1):INDEX(安値!$E203:$CZ203,1,$BN203+1)))</f>
        <v>5042</v>
      </c>
      <c r="BR203" s="503">
        <f>IF($BN203="","",AVERAGE(INDEX(終値!$E203:$CZ203,1,$BN203+1):INDEX(終値!$E203:$CZ203,1,$BN203+20))+2*STDEVP(INDEX(終値!$E203:$CZ203,1,$BN203+1):INDEX(終値!$E203:$CZ203,1,$BN203+20)))</f>
        <v>5468.2632034266953</v>
      </c>
      <c r="BS203" s="503">
        <f>IF($BM203="","",AVERAGE(INDEX(終値!$E203:$CZ203,1,$BM203+1):INDEX(終値!$E203:$CZ203,1,$BM203+20))+2*STDEVP(INDEX(終値!$E203:$CZ203,1,$BM203+1):INDEX(終値!$E203:$CZ203,1,$BM203+20)))</f>
        <v>5603.1973087690467</v>
      </c>
      <c r="BT203" s="500"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3" t="str">
        <f>IF(終値!A204="","",IF(AND(安値!G204&lt;安値!F204,安値!G204&lt;安値!E204,安値!G204&lt;安値!H204,安値!G204&lt;安値!I204),2,""))</f>
        <v/>
      </c>
      <c r="C204" s="503">
        <f>IF(終値!A204="","",IF(AND(安値!H204&lt;安値!G204,安値!H204&lt;安値!F204,安値!H204&lt;安値!I204,安値!H204&lt;安値!J204),3,""))</f>
        <v>3</v>
      </c>
      <c r="D204" s="503" t="str">
        <f>IF(終値!A204="","",IF(AND(安値!I204&lt;安値!H204,安値!I204&lt;安値!G204,安値!I204&lt;安値!J204,安値!I204&lt;安値!K204),4,""))</f>
        <v/>
      </c>
      <c r="E204" s="503" t="str">
        <f>IF(終値!A204="","",IF(AND(安値!J204&lt;安値!I204,安値!J204&lt;安値!H204,安値!J204&lt;安値!K204,安値!J204&lt;安値!L204),5,""))</f>
        <v/>
      </c>
      <c r="F204" s="503" t="str">
        <f>IF(終値!A204="","",IF(AND(安値!K204&lt;安値!J204,安値!K204&lt;安値!I204,安値!K204&lt;安値!L204,安値!K204&lt;安値!M204),6,""))</f>
        <v/>
      </c>
      <c r="G204" s="503">
        <f>IF(終値!A204="","",IF(AND(安値!L204&lt;安値!K204,安値!L204&lt;安値!J204,安値!L204&lt;安値!M204,安値!L204&lt;安値!N204),7,""))</f>
        <v>7</v>
      </c>
      <c r="H204" s="503" t="str">
        <f>IF(終値!A204="","",IF(AND(安値!M204&lt;安値!L204,安値!M204&lt;安値!K204,安値!M204&lt;安値!N204,安値!M204&lt;安値!O204),8,""))</f>
        <v/>
      </c>
      <c r="I204" s="503" t="str">
        <f>IF(終値!A204="","",IF(AND(安値!N204&lt;安値!M204,安値!N204&lt;安値!L204,安値!N204&lt;安値!O204,安値!N204&lt;安値!P204),9,""))</f>
        <v/>
      </c>
      <c r="J204" s="503" t="str">
        <f>IF(終値!A204="","",IF(AND(安値!O204&lt;安値!N204,安値!O204&lt;安値!M204,安値!O204&lt;安値!P204,安値!O204&lt;安値!Q204),10,""))</f>
        <v/>
      </c>
      <c r="K204" s="503" t="str">
        <f>IF(終値!A204="","",IF(AND(安値!P204&lt;安値!O204,安値!P204&lt;安値!N204,安値!P204&lt;安値!Q204,安値!P204&lt;安値!R204),11,""))</f>
        <v/>
      </c>
      <c r="L204" s="503" t="str">
        <f>IF(終値!A204="","",IF(AND(安値!Q204&lt;安値!P204,安値!Q204&lt;安値!O204,安値!Q204&lt;安値!R204,安値!Q204&lt;安値!S204),12,""))</f>
        <v/>
      </c>
      <c r="M204" s="503">
        <f>IF(終値!A204="","",IF(AND(安値!R204&lt;安値!Q204,安値!R204&lt;安値!P204,安値!R204&lt;安値!S204,安値!R204&lt;安値!T204),13,""))</f>
        <v>13</v>
      </c>
      <c r="N204" s="503" t="str">
        <f>IF(終値!A204="","",IF(AND(安値!S204&lt;安値!R204,安値!S204&lt;安値!Q204,安値!S204&lt;安値!T204,安値!S204&lt;安値!U204),14,""))</f>
        <v/>
      </c>
      <c r="O204" s="503" t="str">
        <f>IF(終値!A204="","",IF(AND(安値!T204&lt;安値!S204,安値!T204&lt;安値!R204,安値!T204&lt;安値!U204,安値!T204&lt;安値!V204),15,""))</f>
        <v/>
      </c>
      <c r="P204" s="503">
        <f>IF(終値!A204="","",IF(AND(安値!U204&lt;安値!T204,安値!U204&lt;安値!S204,安値!U204&lt;安値!V204,安値!U204&lt;安値!W204),16,""))</f>
        <v>16</v>
      </c>
      <c r="Q204" s="503" t="str">
        <f>IF(終値!A204="","",IF(AND(安値!V204&lt;安値!U204,安値!V204&lt;安値!T204,安値!V204&lt;安値!W204,安値!V204&lt;安値!X204),17,""))</f>
        <v/>
      </c>
      <c r="R204" s="503" t="str">
        <f>IF(終値!A204="","",IF(AND(安値!W204&lt;安値!V204,安値!W204&lt;安値!U204,安値!W204&lt;安値!X204,安値!W204&lt;安値!Y204),18,""))</f>
        <v/>
      </c>
      <c r="S204" s="503" t="str">
        <f>IF(終値!A204="","",IF(AND(安値!X204&lt;安値!W204,安値!X204&lt;安値!V204,安値!X204&lt;安値!Y204,安値!X204&lt;安値!Z204),19,""))</f>
        <v/>
      </c>
      <c r="T204" s="503" t="str">
        <f>IF(終値!A204="","",IF(AND(安値!Y204&lt;安値!X204,安値!Y204&lt;安値!W204,安値!Y204&lt;安値!Z204,安値!Y204&lt;安値!AA204),20,""))</f>
        <v/>
      </c>
      <c r="U204" s="503" t="str">
        <f>IF(終値!A204="","",IF(AND(安値!Z204&lt;安値!Y204,安値!Z204&lt;安値!X204,安値!Z204&lt;安値!AA204,安値!Z204&lt;安値!AB204),21,""))</f>
        <v/>
      </c>
      <c r="V204" s="503" t="str">
        <f>IF(終値!A204="","",IF(AND(安値!AA204&lt;安値!Z204,安値!AA204&lt;安値!Y204,安値!AA204&lt;安値!AB204,安値!AA204&lt;安値!AC204),22,""))</f>
        <v/>
      </c>
      <c r="W204" s="503" t="str">
        <f>IF(終値!A204="","",IF(AND(安値!AB204&lt;安値!AA204,安値!AB204&lt;安値!Z204,安値!AB204&lt;安値!AC204,安値!AB204&lt;安値!AD204),23,""))</f>
        <v/>
      </c>
      <c r="X204" s="503" t="str">
        <f>IF(終値!A204="","",IF(AND(安値!AC204&lt;安値!AB204,安値!AC204&lt;安値!AA204,安値!AC204&lt;安値!AD204,安値!AC204&lt;安値!AE204),24,""))</f>
        <v/>
      </c>
      <c r="Y204" s="503" t="str">
        <f>IF(終値!A204="","",IF(AND(安値!AD204&lt;安値!AC204,安値!AD204&lt;安値!AB204,安値!AD204&lt;安値!AE204,安値!AD204&lt;安値!AF204),25,""))</f>
        <v/>
      </c>
      <c r="Z204" s="503">
        <f>IF(終値!A204="","",IF(AND(安値!AE204&lt;安値!AD204,安値!AE204&lt;安値!AC204,安値!AE204&lt;安値!AF204,安値!AE204&lt;安値!AG204),26,""))</f>
        <v>26</v>
      </c>
      <c r="AA204" s="503" t="str">
        <f>IF(終値!A204="","",IF(AND(安値!AF204&lt;安値!AE204,安値!AF204&lt;安値!AD204,安値!AF204&lt;安値!AG204,安値!AF204&lt;安値!AH204),27,""))</f>
        <v/>
      </c>
      <c r="AB204" s="503" t="str">
        <f>IF(終値!A204="","",IF(AND(安値!AG204&lt;安値!AF204,安値!AG204&lt;安値!AE204,安値!AG204&lt;安値!AH204,安値!AG204&lt;安値!AI204),28,""))</f>
        <v/>
      </c>
      <c r="AC204" s="503" t="str">
        <f>IF(終値!A204="","",IF(AND(高値!G204&gt;高値!F204,高値!G204&gt;高値!E204,高値!G204&gt;高値!H204,高値!G204&gt;高値!I204),2,""))</f>
        <v/>
      </c>
      <c r="AD204" s="503" t="str">
        <f>IF(終値!A204="","",IF(AND(高値!H204&gt;高値!G204,高値!H204&gt;高値!F204,高値!H204&gt;高値!I204,高値!H204&gt;高値!J204),3,""))</f>
        <v/>
      </c>
      <c r="AE204" s="503">
        <f>IF(終値!A204="","",IF(AND(高値!I204&gt;高値!H204,高値!I204&gt;高値!G204,高値!I204&gt;高値!J204,高値!I204&gt;高値!K204),4,""))</f>
        <v>4</v>
      </c>
      <c r="AF204" s="503" t="str">
        <f>IF(終値!A204="","",IF(AND(高値!J204&gt;高値!I204,高値!J204&gt;高値!H204,高値!J204&gt;高値!K204,高値!J204&gt;高値!L204),5,""))</f>
        <v/>
      </c>
      <c r="AG204" s="503" t="str">
        <f>IF(終値!A204="","",IF(AND(高値!K204&gt;高値!J204,高値!K204&gt;高値!I204,高値!K204&gt;高値!L204,高値!K204&gt;高値!M204),6,""))</f>
        <v/>
      </c>
      <c r="AH204" s="503" t="str">
        <f>IF(終値!A204="","",IF(AND(高値!L204&gt;高値!K204,高値!L204&gt;高値!J204,高値!L204&gt;高値!M204,高値!L204&gt;高値!N204),7,""))</f>
        <v/>
      </c>
      <c r="AI204" s="503" t="str">
        <f>IF(終値!A204="","",IF(AND(高値!M204&gt;高値!L204,高値!M204&gt;高値!K204,高値!M204&gt;高値!N204,高値!M204&gt;高値!O204),8,""))</f>
        <v/>
      </c>
      <c r="AJ204" s="503" t="str">
        <f>IF(終値!A204="","",IF(AND(高値!N204&gt;高値!M204,高値!N204&gt;高値!L204,高値!N204&gt;高値!O204,高値!N204&gt;高値!P204),9,""))</f>
        <v/>
      </c>
      <c r="AK204" s="503">
        <f>IF(終値!A204="","",IF(AND(高値!O204&gt;高値!N204,高値!O204&gt;高値!M204,高値!O204&gt;高値!P204,高値!O204&gt;高値!Q204),10,""))</f>
        <v>10</v>
      </c>
      <c r="AL204" s="503" t="str">
        <f>IF(終値!A204="","",IF(AND(高値!P204&gt;高値!O204,高値!P204&gt;高値!N204,高値!P204&gt;高値!Q204,高値!P204&gt;高値!R204),11,""))</f>
        <v/>
      </c>
      <c r="AM204" s="503" t="str">
        <f>IF(終値!A204="","",IF(AND(高値!Q204&gt;高値!P204,高値!Q204&gt;高値!O204,高値!Q204&gt;高値!R204,高値!Q204&gt;高値!S204),12,""))</f>
        <v/>
      </c>
      <c r="AN204" s="503" t="str">
        <f>IF(終値!A204="","",IF(AND(高値!R204&gt;高値!Q204,高値!R204&gt;高値!P204,高値!R204&gt;高値!S204,高値!R204&gt;高値!T204),13,""))</f>
        <v/>
      </c>
      <c r="AO204" s="503" t="str">
        <f>IF(終値!A204="","",IF(AND(高値!S204&gt;高値!R204,高値!S204&gt;高値!Q204,高値!S204&gt;高値!T204,高値!S204&gt;高値!U204),14,""))</f>
        <v/>
      </c>
      <c r="AP204" s="503" t="str">
        <f>IF(終値!A204="","",IF(AND(高値!T204&gt;高値!S204,高値!T204&gt;高値!R204,高値!T204&gt;高値!U204,高値!T204&gt;高値!V204),15,""))</f>
        <v/>
      </c>
      <c r="AQ204" s="503" t="str">
        <f>IF(終値!A204="","",IF(AND(高値!U204&gt;高値!T204,高値!U204&gt;高値!S204,高値!U204&gt;高値!V204,高値!U204&gt;高値!W204),16,""))</f>
        <v/>
      </c>
      <c r="AR204" s="503" t="str">
        <f>IF(終値!A204="","",IF(AND(高値!V204&gt;高値!U204,高値!V204&gt;高値!T204,高値!V204&gt;高値!W204,高値!V204&gt;高値!X204),17,""))</f>
        <v/>
      </c>
      <c r="AS204" s="503" t="str">
        <f>IF(終値!A204="","",IF(AND(高値!W204&gt;高値!V204,高値!W204&gt;高値!U204,高値!W204&gt;高値!X204,高値!W204&gt;高値!Y204),18,""))</f>
        <v/>
      </c>
      <c r="AT204" s="503" t="str">
        <f>IF(終値!A204="","",IF(AND(高値!X204&gt;高値!W204,高値!X204&gt;高値!V204,高値!X204&gt;高値!Y204,高値!X204&gt;高値!Z204),19,""))</f>
        <v/>
      </c>
      <c r="AU204" s="503">
        <f>IF(終値!A204="","",IF(AND(高値!Y204&gt;高値!X204,高値!Y204&gt;高値!W204,高値!Y204&gt;高値!Z204,高値!Y204&gt;高値!AA204),20,""))</f>
        <v>20</v>
      </c>
      <c r="AV204" s="503" t="str">
        <f>IF(終値!A204="","",IF(AND(高値!Z204&gt;高値!Y204,高値!Z204&gt;高値!X204,高値!Z204&gt;高値!AA204,高値!Z204&gt;高値!AB204),21,""))</f>
        <v/>
      </c>
      <c r="AW204" s="503" t="str">
        <f>IF(終値!A204="","",IF(AND(高値!AA204&gt;高値!Z204,高値!AA204&gt;高値!Y204,高値!AA204&gt;高値!AB204,高値!AA204&gt;高値!AC204),22,""))</f>
        <v/>
      </c>
      <c r="AX204" s="503" t="str">
        <f>IF(終値!A204="","",IF(AND(高値!AB204&gt;高値!AA204,高値!AB204&gt;高値!Z204,高値!AB204&gt;高値!AC204,高値!AB204&gt;高値!AD204),23,""))</f>
        <v/>
      </c>
      <c r="AY204" s="503" t="str">
        <f>IF(終値!A204="","",IF(AND(高値!AC204&gt;高値!AB204,高値!AC204&gt;高値!AA204,高値!AC204&gt;高値!AD204,高値!AC204&gt;高値!AE204),24,""))</f>
        <v/>
      </c>
      <c r="AZ204" s="503" t="str">
        <f>IF(終値!A204="","",IF(AND(高値!AD204&gt;高値!AC204,高値!AD204&gt;高値!AB204,高値!AD204&gt;高値!AE204,高値!AD204&gt;高値!AF204),25,""))</f>
        <v/>
      </c>
      <c r="BA204" s="503" t="str">
        <f>IF(終値!A204="","",IF(AND(高値!AE204&gt;高値!AD204,高値!AE204&gt;高値!AC204,高値!AE204&gt;高値!AF204,高値!AE204&gt;高値!AG204),26,""))</f>
        <v/>
      </c>
      <c r="BB204" s="503" t="str">
        <f>IF(終値!A204="","",IF(AND(高値!AF204&gt;高値!AE204,高値!AF204&gt;高値!AD204,高値!AF204&gt;高値!AG204,高値!AF204&gt;高値!AH204),27,""))</f>
        <v/>
      </c>
      <c r="BC204" s="503" t="str">
        <f>IF(終値!A204="","",IF(AND(高値!AG204&gt;高値!AF204,高値!AG204&gt;高値!AE204,高値!AG204&gt;高値!AH204,高値!AG204&gt;高値!AI204),28,""))</f>
        <v/>
      </c>
      <c r="BD204" s="503">
        <f t="shared" si="18"/>
        <v>5</v>
      </c>
      <c r="BE204" s="503">
        <f t="shared" si="19"/>
        <v>3</v>
      </c>
      <c r="BF204" s="503">
        <f t="shared" si="20"/>
        <v>7</v>
      </c>
      <c r="BG204" s="503">
        <f>IF($BE204="","",INDEX(安値!$E204:$CZ204,1,$BE204+1))</f>
        <v>6476</v>
      </c>
      <c r="BH204" s="503">
        <f>IF($BF204="","",INDEX(安値!$E204:$CZ204,1,$BF204+1))</f>
        <v>6336</v>
      </c>
      <c r="BI204" s="503">
        <f>IF($BF204="","",MAX(INDEX(高値!$E204:$CZ204,1,$BE204+1):INDEX(高値!$E204:$CZ204,1,$BF204+1)))</f>
        <v>6871</v>
      </c>
      <c r="BJ204" s="503">
        <f>IF($BF204="","",AVERAGE(INDEX(終値!$E204:$CZ204,1,$BF204+1):INDEX(終値!$E204:$CZ204,1,$BF204+20))-2*STDEVP(INDEX(終値!$E204:$CZ204,1,$BF204+1):INDEX(終値!$E204:$CZ204,1,$BF204+20)))</f>
        <v>5826.7942697039152</v>
      </c>
      <c r="BK204" s="503">
        <f>IF($BE204="","",AVERAGE(INDEX(終値!$E204:$CZ204,1,$BE204+1):INDEX(終値!$E204:$CZ204,1,$BE204+20))-2*STDEVP(INDEX(終値!$E204:$CZ204,1,$BE204+1):INDEX(終値!$E204:$CZ204,1,$BE204+20)))</f>
        <v>5903.9736666964345</v>
      </c>
      <c r="BL204" s="503">
        <f t="shared" si="21"/>
        <v>3</v>
      </c>
      <c r="BM204" s="503">
        <f t="shared" si="22"/>
        <v>4</v>
      </c>
      <c r="BN204" s="503">
        <f t="shared" si="23"/>
        <v>10</v>
      </c>
      <c r="BO204" s="503">
        <f>IF($BM204="","",INDEX(高値!$E204:$CZ204,1,$BM204+1))</f>
        <v>6871</v>
      </c>
      <c r="BP204" s="503">
        <f>IF($BN204="","",INDEX(高値!$E204:$CZ204,1,$BN204+1))</f>
        <v>6613</v>
      </c>
      <c r="BQ204" s="503">
        <f>IF($BN204="","",MIN(INDEX(安値!$E204:$CZ204,1,$BM204+1):INDEX(安値!$E204:$CZ204,1,$BN204+1)))</f>
        <v>6336</v>
      </c>
      <c r="BR204" s="503">
        <f>IF($BN204="","",AVERAGE(INDEX(終値!$E204:$CZ204,1,$BN204+1):INDEX(終値!$E204:$CZ204,1,$BN204+20))+2*STDEVP(INDEX(終値!$E204:$CZ204,1,$BN204+1):INDEX(終値!$E204:$CZ204,1,$BN204+20)))</f>
        <v>6515.5706573365969</v>
      </c>
      <c r="BS204" s="503">
        <f>IF($BM204="","",AVERAGE(INDEX(終値!$E204:$CZ204,1,$BM204+1):INDEX(終値!$E204:$CZ204,1,$BM204+20))+2*STDEVP(INDEX(終値!$E204:$CZ204,1,$BM204+1):INDEX(終値!$E204:$CZ204,1,$BM204+20)))</f>
        <v>6763.1896096355158</v>
      </c>
      <c r="BT204" s="500"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二番底W▲</v>
      </c>
    </row>
    <row r="205" spans="2:72">
      <c r="B205" s="503" t="str">
        <f>IF(終値!A205="","",IF(AND(安値!G205&lt;安値!F205,安値!G205&lt;安値!E205,安値!G205&lt;安値!H205,安値!G205&lt;安値!I205),2,""))</f>
        <v/>
      </c>
      <c r="C205" s="503" t="str">
        <f>IF(終値!A205="","",IF(AND(安値!H205&lt;安値!G205,安値!H205&lt;安値!F205,安値!H205&lt;安値!I205,安値!H205&lt;安値!J205),3,""))</f>
        <v/>
      </c>
      <c r="D205" s="503" t="str">
        <f>IF(終値!A205="","",IF(AND(安値!I205&lt;安値!H205,安値!I205&lt;安値!G205,安値!I205&lt;安値!J205,安値!I205&lt;安値!K205),4,""))</f>
        <v/>
      </c>
      <c r="E205" s="503" t="str">
        <f>IF(終値!A205="","",IF(AND(安値!J205&lt;安値!I205,安値!J205&lt;安値!H205,安値!J205&lt;安値!K205,安値!J205&lt;安値!L205),5,""))</f>
        <v/>
      </c>
      <c r="F205" s="503" t="str">
        <f>IF(終値!A205="","",IF(AND(安値!K205&lt;安値!J205,安値!K205&lt;安値!I205,安値!K205&lt;安値!L205,安値!K205&lt;安値!M205),6,""))</f>
        <v/>
      </c>
      <c r="G205" s="503" t="str">
        <f>IF(終値!A205="","",IF(AND(安値!L205&lt;安値!K205,安値!L205&lt;安値!J205,安値!L205&lt;安値!M205,安値!L205&lt;安値!N205),7,""))</f>
        <v/>
      </c>
      <c r="H205" s="503" t="str">
        <f>IF(終値!A205="","",IF(AND(安値!M205&lt;安値!L205,安値!M205&lt;安値!K205,安値!M205&lt;安値!N205,安値!M205&lt;安値!O205),8,""))</f>
        <v/>
      </c>
      <c r="I205" s="503" t="str">
        <f>IF(終値!A205="","",IF(AND(安値!N205&lt;安値!M205,安値!N205&lt;安値!L205,安値!N205&lt;安値!O205,安値!N205&lt;安値!P205),9,""))</f>
        <v/>
      </c>
      <c r="J205" s="503" t="str">
        <f>IF(終値!A205="","",IF(AND(安値!O205&lt;安値!N205,安値!O205&lt;安値!M205,安値!O205&lt;安値!P205,安値!O205&lt;安値!Q205),10,""))</f>
        <v/>
      </c>
      <c r="K205" s="503" t="str">
        <f>IF(終値!A205="","",IF(AND(安値!P205&lt;安値!O205,安値!P205&lt;安値!N205,安値!P205&lt;安値!Q205,安値!P205&lt;安値!R205),11,""))</f>
        <v/>
      </c>
      <c r="L205" s="503" t="str">
        <f>IF(終値!A205="","",IF(AND(安値!Q205&lt;安値!P205,安値!Q205&lt;安値!O205,安値!Q205&lt;安値!R205,安値!Q205&lt;安値!S205),12,""))</f>
        <v/>
      </c>
      <c r="M205" s="503" t="str">
        <f>IF(終値!A205="","",IF(AND(安値!R205&lt;安値!Q205,安値!R205&lt;安値!P205,安値!R205&lt;安値!S205,安値!R205&lt;安値!T205),13,""))</f>
        <v/>
      </c>
      <c r="N205" s="503" t="str">
        <f>IF(終値!A205="","",IF(AND(安値!S205&lt;安値!R205,安値!S205&lt;安値!Q205,安値!S205&lt;安値!T205,安値!S205&lt;安値!U205),14,""))</f>
        <v/>
      </c>
      <c r="O205" s="503" t="str">
        <f>IF(終値!A205="","",IF(AND(安値!T205&lt;安値!S205,安値!T205&lt;安値!R205,安値!T205&lt;安値!U205,安値!T205&lt;安値!V205),15,""))</f>
        <v/>
      </c>
      <c r="P205" s="503" t="str">
        <f>IF(終値!A205="","",IF(AND(安値!U205&lt;安値!T205,安値!U205&lt;安値!S205,安値!U205&lt;安値!V205,安値!U205&lt;安値!W205),16,""))</f>
        <v/>
      </c>
      <c r="Q205" s="503" t="str">
        <f>IF(終値!A205="","",IF(AND(安値!V205&lt;安値!U205,安値!V205&lt;安値!T205,安値!V205&lt;安値!W205,安値!V205&lt;安値!X205),17,""))</f>
        <v/>
      </c>
      <c r="R205" s="503" t="str">
        <f>IF(終値!A205="","",IF(AND(安値!W205&lt;安値!V205,安値!W205&lt;安値!U205,安値!W205&lt;安値!X205,安値!W205&lt;安値!Y205),18,""))</f>
        <v/>
      </c>
      <c r="S205" s="503" t="str">
        <f>IF(終値!A205="","",IF(AND(安値!X205&lt;安値!W205,安値!X205&lt;安値!V205,安値!X205&lt;安値!Y205,安値!X205&lt;安値!Z205),19,""))</f>
        <v/>
      </c>
      <c r="T205" s="503" t="str">
        <f>IF(終値!A205="","",IF(AND(安値!Y205&lt;安値!X205,安値!Y205&lt;安値!W205,安値!Y205&lt;安値!Z205,安値!Y205&lt;安値!AA205),20,""))</f>
        <v/>
      </c>
      <c r="U205" s="503" t="str">
        <f>IF(終値!A205="","",IF(AND(安値!Z205&lt;安値!Y205,安値!Z205&lt;安値!X205,安値!Z205&lt;安値!AA205,安値!Z205&lt;安値!AB205),21,""))</f>
        <v/>
      </c>
      <c r="V205" s="503" t="str">
        <f>IF(終値!A205="","",IF(AND(安値!AA205&lt;安値!Z205,安値!AA205&lt;安値!Y205,安値!AA205&lt;安値!AB205,安値!AA205&lt;安値!AC205),22,""))</f>
        <v/>
      </c>
      <c r="W205" s="503" t="str">
        <f>IF(終値!A205="","",IF(AND(安値!AB205&lt;安値!AA205,安値!AB205&lt;安値!Z205,安値!AB205&lt;安値!AC205,安値!AB205&lt;安値!AD205),23,""))</f>
        <v/>
      </c>
      <c r="X205" s="503" t="str">
        <f>IF(終値!A205="","",IF(AND(安値!AC205&lt;安値!AB205,安値!AC205&lt;安値!AA205,安値!AC205&lt;安値!AD205,安値!AC205&lt;安値!AE205),24,""))</f>
        <v/>
      </c>
      <c r="Y205" s="503" t="str">
        <f>IF(終値!A205="","",IF(AND(安値!AD205&lt;安値!AC205,安値!AD205&lt;安値!AB205,安値!AD205&lt;安値!AE205,安値!AD205&lt;安値!AF205),25,""))</f>
        <v/>
      </c>
      <c r="Z205" s="503" t="str">
        <f>IF(終値!A205="","",IF(AND(安値!AE205&lt;安値!AD205,安値!AE205&lt;安値!AC205,安値!AE205&lt;安値!AF205,安値!AE205&lt;安値!AG205),26,""))</f>
        <v/>
      </c>
      <c r="AA205" s="503" t="str">
        <f>IF(終値!A205="","",IF(AND(安値!AF205&lt;安値!AE205,安値!AF205&lt;安値!AD205,安値!AF205&lt;安値!AG205,安値!AF205&lt;安値!AH205),27,""))</f>
        <v/>
      </c>
      <c r="AB205" s="503" t="str">
        <f>IF(終値!A205="","",IF(AND(安値!AG205&lt;安値!AF205,安値!AG205&lt;安値!AE205,安値!AG205&lt;安値!AH205,安値!AG205&lt;安値!AI205),28,""))</f>
        <v/>
      </c>
      <c r="AC205" s="503" t="str">
        <f>IF(終値!A205="","",IF(AND(高値!G205&gt;高値!F205,高値!G205&gt;高値!E205,高値!G205&gt;高値!H205,高値!G205&gt;高値!I205),2,""))</f>
        <v/>
      </c>
      <c r="AD205" s="503" t="str">
        <f>IF(終値!A205="","",IF(AND(高値!H205&gt;高値!G205,高値!H205&gt;高値!F205,高値!H205&gt;高値!I205,高値!H205&gt;高値!J205),3,""))</f>
        <v/>
      </c>
      <c r="AE205" s="503" t="str">
        <f>IF(終値!A205="","",IF(AND(高値!I205&gt;高値!H205,高値!I205&gt;高値!G205,高値!I205&gt;高値!J205,高値!I205&gt;高値!K205),4,""))</f>
        <v/>
      </c>
      <c r="AF205" s="503" t="str">
        <f>IF(終値!A205="","",IF(AND(高値!J205&gt;高値!I205,高値!J205&gt;高値!H205,高値!J205&gt;高値!K205,高値!J205&gt;高値!L205),5,""))</f>
        <v/>
      </c>
      <c r="AG205" s="503" t="str">
        <f>IF(終値!A205="","",IF(AND(高値!K205&gt;高値!J205,高値!K205&gt;高値!I205,高値!K205&gt;高値!L205,高値!K205&gt;高値!M205),6,""))</f>
        <v/>
      </c>
      <c r="AH205" s="503" t="str">
        <f>IF(終値!A205="","",IF(AND(高値!L205&gt;高値!K205,高値!L205&gt;高値!J205,高値!L205&gt;高値!M205,高値!L205&gt;高値!N205),7,""))</f>
        <v/>
      </c>
      <c r="AI205" s="503" t="str">
        <f>IF(終値!A205="","",IF(AND(高値!M205&gt;高値!L205,高値!M205&gt;高値!K205,高値!M205&gt;高値!N205,高値!M205&gt;高値!O205),8,""))</f>
        <v/>
      </c>
      <c r="AJ205" s="503" t="str">
        <f>IF(終値!A205="","",IF(AND(高値!N205&gt;高値!M205,高値!N205&gt;高値!L205,高値!N205&gt;高値!O205,高値!N205&gt;高値!P205),9,""))</f>
        <v/>
      </c>
      <c r="AK205" s="503" t="str">
        <f>IF(終値!A205="","",IF(AND(高値!O205&gt;高値!N205,高値!O205&gt;高値!M205,高値!O205&gt;高値!P205,高値!O205&gt;高値!Q205),10,""))</f>
        <v/>
      </c>
      <c r="AL205" s="503" t="str">
        <f>IF(終値!A205="","",IF(AND(高値!P205&gt;高値!O205,高値!P205&gt;高値!N205,高値!P205&gt;高値!Q205,高値!P205&gt;高値!R205),11,""))</f>
        <v/>
      </c>
      <c r="AM205" s="503" t="str">
        <f>IF(終値!A205="","",IF(AND(高値!Q205&gt;高値!P205,高値!Q205&gt;高値!O205,高値!Q205&gt;高値!R205,高値!Q205&gt;高値!S205),12,""))</f>
        <v/>
      </c>
      <c r="AN205" s="503" t="str">
        <f>IF(終値!A205="","",IF(AND(高値!R205&gt;高値!Q205,高値!R205&gt;高値!P205,高値!R205&gt;高値!S205,高値!R205&gt;高値!T205),13,""))</f>
        <v/>
      </c>
      <c r="AO205" s="503" t="str">
        <f>IF(終値!A205="","",IF(AND(高値!S205&gt;高値!R205,高値!S205&gt;高値!Q205,高値!S205&gt;高値!T205,高値!S205&gt;高値!U205),14,""))</f>
        <v/>
      </c>
      <c r="AP205" s="503" t="str">
        <f>IF(終値!A205="","",IF(AND(高値!T205&gt;高値!S205,高値!T205&gt;高値!R205,高値!T205&gt;高値!U205,高値!T205&gt;高値!V205),15,""))</f>
        <v/>
      </c>
      <c r="AQ205" s="503" t="str">
        <f>IF(終値!A205="","",IF(AND(高値!U205&gt;高値!T205,高値!U205&gt;高値!S205,高値!U205&gt;高値!V205,高値!U205&gt;高値!W205),16,""))</f>
        <v/>
      </c>
      <c r="AR205" s="503" t="str">
        <f>IF(終値!A205="","",IF(AND(高値!V205&gt;高値!U205,高値!V205&gt;高値!T205,高値!V205&gt;高値!W205,高値!V205&gt;高値!X205),17,""))</f>
        <v/>
      </c>
      <c r="AS205" s="503" t="str">
        <f>IF(終値!A205="","",IF(AND(高値!W205&gt;高値!V205,高値!W205&gt;高値!U205,高値!W205&gt;高値!X205,高値!W205&gt;高値!Y205),18,""))</f>
        <v/>
      </c>
      <c r="AT205" s="503" t="str">
        <f>IF(終値!A205="","",IF(AND(高値!X205&gt;高値!W205,高値!X205&gt;高値!V205,高値!X205&gt;高値!Y205,高値!X205&gt;高値!Z205),19,""))</f>
        <v/>
      </c>
      <c r="AU205" s="503" t="str">
        <f>IF(終値!A205="","",IF(AND(高値!Y205&gt;高値!X205,高値!Y205&gt;高値!W205,高値!Y205&gt;高値!Z205,高値!Y205&gt;高値!AA205),20,""))</f>
        <v/>
      </c>
      <c r="AV205" s="503" t="str">
        <f>IF(終値!A205="","",IF(AND(高値!Z205&gt;高値!Y205,高値!Z205&gt;高値!X205,高値!Z205&gt;高値!AA205,高値!Z205&gt;高値!AB205),21,""))</f>
        <v/>
      </c>
      <c r="AW205" s="503" t="str">
        <f>IF(終値!A205="","",IF(AND(高値!AA205&gt;高値!Z205,高値!AA205&gt;高値!Y205,高値!AA205&gt;高値!AB205,高値!AA205&gt;高値!AC205),22,""))</f>
        <v/>
      </c>
      <c r="AX205" s="503" t="str">
        <f>IF(終値!A205="","",IF(AND(高値!AB205&gt;高値!AA205,高値!AB205&gt;高値!Z205,高値!AB205&gt;高値!AC205,高値!AB205&gt;高値!AD205),23,""))</f>
        <v/>
      </c>
      <c r="AY205" s="503" t="str">
        <f>IF(終値!A205="","",IF(AND(高値!AC205&gt;高値!AB205,高値!AC205&gt;高値!AA205,高値!AC205&gt;高値!AD205,高値!AC205&gt;高値!AE205),24,""))</f>
        <v/>
      </c>
      <c r="AZ205" s="503" t="str">
        <f>IF(終値!A205="","",IF(AND(高値!AD205&gt;高値!AC205,高値!AD205&gt;高値!AB205,高値!AD205&gt;高値!AE205,高値!AD205&gt;高値!AF205),25,""))</f>
        <v/>
      </c>
      <c r="BA205" s="503" t="str">
        <f>IF(終値!A205="","",IF(AND(高値!AE205&gt;高値!AD205,高値!AE205&gt;高値!AC205,高値!AE205&gt;高値!AF205,高値!AE205&gt;高値!AG205),26,""))</f>
        <v/>
      </c>
      <c r="BB205" s="503" t="str">
        <f>IF(終値!A205="","",IF(AND(高値!AF205&gt;高値!AE205,高値!AF205&gt;高値!AD205,高値!AF205&gt;高値!AG205,高値!AF205&gt;高値!AH205),27,""))</f>
        <v/>
      </c>
      <c r="BC205" s="503" t="str">
        <f>IF(終値!A205="","",IF(AND(高値!AG205&gt;高値!AF205,高値!AG205&gt;高値!AE205,高値!AG205&gt;高値!AH205,高値!AG205&gt;高値!AI205),28,""))</f>
        <v/>
      </c>
      <c r="BD205" s="503">
        <f t="shared" si="18"/>
        <v>0</v>
      </c>
      <c r="BE205" s="503" t="str">
        <f t="shared" si="19"/>
        <v/>
      </c>
      <c r="BF205" s="503" t="str">
        <f t="shared" si="20"/>
        <v/>
      </c>
      <c r="BG205" s="503" t="str">
        <f>IF($BE205="","",INDEX(安値!$E205:$CZ205,1,$BE205+1))</f>
        <v/>
      </c>
      <c r="BH205" s="503" t="str">
        <f>IF($BF205="","",INDEX(安値!$E205:$CZ205,1,$BF205+1))</f>
        <v/>
      </c>
      <c r="BI205" s="503" t="str">
        <f>IF($BF205="","",MAX(INDEX(高値!$E205:$CZ205,1,$BE205+1):INDEX(高値!$E205:$CZ205,1,$BF205+1)))</f>
        <v/>
      </c>
      <c r="BJ205" s="503" t="str">
        <f>IF($BF205="","",AVERAGE(INDEX(終値!$E205:$CZ205,1,$BF205+1):INDEX(終値!$E205:$CZ205,1,$BF205+20))-2*STDEVP(INDEX(終値!$E205:$CZ205,1,$BF205+1):INDEX(終値!$E205:$CZ205,1,$BF205+20)))</f>
        <v/>
      </c>
      <c r="BK205" s="503" t="str">
        <f>IF($BE205="","",AVERAGE(INDEX(終値!$E205:$CZ205,1,$BE205+1):INDEX(終値!$E205:$CZ205,1,$BE205+20))-2*STDEVP(INDEX(終値!$E205:$CZ205,1,$BE205+1):INDEX(終値!$E205:$CZ205,1,$BE205+20)))</f>
        <v/>
      </c>
      <c r="BL205" s="503">
        <f t="shared" si="21"/>
        <v>0</v>
      </c>
      <c r="BM205" s="503" t="str">
        <f t="shared" si="22"/>
        <v/>
      </c>
      <c r="BN205" s="503" t="str">
        <f t="shared" si="23"/>
        <v/>
      </c>
      <c r="BO205" s="503" t="str">
        <f>IF($BM205="","",INDEX(高値!$E205:$CZ205,1,$BM205+1))</f>
        <v/>
      </c>
      <c r="BP205" s="503" t="str">
        <f>IF($BN205="","",INDEX(高値!$E205:$CZ205,1,$BN205+1))</f>
        <v/>
      </c>
      <c r="BQ205" s="503" t="str">
        <f>IF($BN205="","",MIN(INDEX(安値!$E205:$CZ205,1,$BM205+1):INDEX(安値!$E205:$CZ205,1,$BN205+1)))</f>
        <v/>
      </c>
      <c r="BR205" s="503" t="str">
        <f>IF($BN205="","",AVERAGE(INDEX(終値!$E205:$CZ205,1,$BN205+1):INDEX(終値!$E205:$CZ205,1,$BN205+20))+2*STDEVP(INDEX(終値!$E205:$CZ205,1,$BN205+1):INDEX(終値!$E205:$CZ205,1,$BN205+20)))</f>
        <v/>
      </c>
      <c r="BS205" s="503" t="str">
        <f>IF($BM205="","",AVERAGE(INDEX(終値!$E205:$CZ205,1,$BM205+1):INDEX(終値!$E205:$CZ205,1,$BM205+20))+2*STDEVP(INDEX(終値!$E205:$CZ205,1,$BM205+1):INDEX(終値!$E205:$CZ205,1,$BM205+20)))</f>
        <v/>
      </c>
      <c r="BT205" s="500"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v>
      </c>
    </row>
    <row r="206" spans="2:72">
      <c r="B206" s="503" t="str">
        <f>IF(終値!A206="","",IF(AND(安値!G206&lt;安値!F206,安値!G206&lt;安値!E206,安値!G206&lt;安値!H206,安値!G206&lt;安値!I206),2,""))</f>
        <v/>
      </c>
      <c r="C206" s="503" t="str">
        <f>IF(終値!A206="","",IF(AND(安値!H206&lt;安値!G206,安値!H206&lt;安値!F206,安値!H206&lt;安値!I206,安値!H206&lt;安値!J206),3,""))</f>
        <v/>
      </c>
      <c r="D206" s="503" t="str">
        <f>IF(終値!A206="","",IF(AND(安値!I206&lt;安値!H206,安値!I206&lt;安値!G206,安値!I206&lt;安値!J206,安値!I206&lt;安値!K206),4,""))</f>
        <v/>
      </c>
      <c r="E206" s="503" t="str">
        <f>IF(終値!A206="","",IF(AND(安値!J206&lt;安値!I206,安値!J206&lt;安値!H206,安値!J206&lt;安値!K206,安値!J206&lt;安値!L206),5,""))</f>
        <v/>
      </c>
      <c r="F206" s="503" t="str">
        <f>IF(終値!A206="","",IF(AND(安値!K206&lt;安値!J206,安値!K206&lt;安値!I206,安値!K206&lt;安値!L206,安値!K206&lt;安値!M206),6,""))</f>
        <v/>
      </c>
      <c r="G206" s="503" t="str">
        <f>IF(終値!A206="","",IF(AND(安値!L206&lt;安値!K206,安値!L206&lt;安値!J206,安値!L206&lt;安値!M206,安値!L206&lt;安値!N206),7,""))</f>
        <v/>
      </c>
      <c r="H206" s="503" t="str">
        <f>IF(終値!A206="","",IF(AND(安値!M206&lt;安値!L206,安値!M206&lt;安値!K206,安値!M206&lt;安値!N206,安値!M206&lt;安値!O206),8,""))</f>
        <v/>
      </c>
      <c r="I206" s="503" t="str">
        <f>IF(終値!A206="","",IF(AND(安値!N206&lt;安値!M206,安値!N206&lt;安値!L206,安値!N206&lt;安値!O206,安値!N206&lt;安値!P206),9,""))</f>
        <v/>
      </c>
      <c r="J206" s="503" t="str">
        <f>IF(終値!A206="","",IF(AND(安値!O206&lt;安値!N206,安値!O206&lt;安値!M206,安値!O206&lt;安値!P206,安値!O206&lt;安値!Q206),10,""))</f>
        <v/>
      </c>
      <c r="K206" s="503" t="str">
        <f>IF(終値!A206="","",IF(AND(安値!P206&lt;安値!O206,安値!P206&lt;安値!N206,安値!P206&lt;安値!Q206,安値!P206&lt;安値!R206),11,""))</f>
        <v/>
      </c>
      <c r="L206" s="503" t="str">
        <f>IF(終値!A206="","",IF(AND(安値!Q206&lt;安値!P206,安値!Q206&lt;安値!O206,安値!Q206&lt;安値!R206,安値!Q206&lt;安値!S206),12,""))</f>
        <v/>
      </c>
      <c r="M206" s="503" t="str">
        <f>IF(終値!A206="","",IF(AND(安値!R206&lt;安値!Q206,安値!R206&lt;安値!P206,安値!R206&lt;安値!S206,安値!R206&lt;安値!T206),13,""))</f>
        <v/>
      </c>
      <c r="N206" s="503" t="str">
        <f>IF(終値!A206="","",IF(AND(安値!S206&lt;安値!R206,安値!S206&lt;安値!Q206,安値!S206&lt;安値!T206,安値!S206&lt;安値!U206),14,""))</f>
        <v/>
      </c>
      <c r="O206" s="503" t="str">
        <f>IF(終値!A206="","",IF(AND(安値!T206&lt;安値!S206,安値!T206&lt;安値!R206,安値!T206&lt;安値!U206,安値!T206&lt;安値!V206),15,""))</f>
        <v/>
      </c>
      <c r="P206" s="503" t="str">
        <f>IF(終値!A206="","",IF(AND(安値!U206&lt;安値!T206,安値!U206&lt;安値!S206,安値!U206&lt;安値!V206,安値!U206&lt;安値!W206),16,""))</f>
        <v/>
      </c>
      <c r="Q206" s="503">
        <f>IF(終値!A206="","",IF(AND(安値!V206&lt;安値!U206,安値!V206&lt;安値!T206,安値!V206&lt;安値!W206,安値!V206&lt;安値!X206),17,""))</f>
        <v>17</v>
      </c>
      <c r="R206" s="503" t="str">
        <f>IF(終値!A206="","",IF(AND(安値!W206&lt;安値!V206,安値!W206&lt;安値!U206,安値!W206&lt;安値!X206,安値!W206&lt;安値!Y206),18,""))</f>
        <v/>
      </c>
      <c r="S206" s="503" t="str">
        <f>IF(終値!A206="","",IF(AND(安値!X206&lt;安値!W206,安値!X206&lt;安値!V206,安値!X206&lt;安値!Y206,安値!X206&lt;安値!Z206),19,""))</f>
        <v/>
      </c>
      <c r="T206" s="503">
        <f>IF(終値!A206="","",IF(AND(安値!Y206&lt;安値!X206,安値!Y206&lt;安値!W206,安値!Y206&lt;安値!Z206,安値!Y206&lt;安値!AA206),20,""))</f>
        <v>20</v>
      </c>
      <c r="U206" s="503" t="str">
        <f>IF(終値!A206="","",IF(AND(安値!Z206&lt;安値!Y206,安値!Z206&lt;安値!X206,安値!Z206&lt;安値!AA206,安値!Z206&lt;安値!AB206),21,""))</f>
        <v/>
      </c>
      <c r="V206" s="503" t="str">
        <f>IF(終値!A206="","",IF(AND(安値!AA206&lt;安値!Z206,安値!AA206&lt;安値!Y206,安値!AA206&lt;安値!AB206,安値!AA206&lt;安値!AC206),22,""))</f>
        <v/>
      </c>
      <c r="W206" s="503" t="str">
        <f>IF(終値!A206="","",IF(AND(安値!AB206&lt;安値!AA206,安値!AB206&lt;安値!Z206,安値!AB206&lt;安値!AC206,安値!AB206&lt;安値!AD206),23,""))</f>
        <v/>
      </c>
      <c r="X206" s="503">
        <f>IF(終値!A206="","",IF(AND(安値!AC206&lt;安値!AB206,安値!AC206&lt;安値!AA206,安値!AC206&lt;安値!AD206,安値!AC206&lt;安値!AE206),24,""))</f>
        <v>24</v>
      </c>
      <c r="Y206" s="503" t="str">
        <f>IF(終値!A206="","",IF(AND(安値!AD206&lt;安値!AC206,安値!AD206&lt;安値!AB206,安値!AD206&lt;安値!AE206,安値!AD206&lt;安値!AF206),25,""))</f>
        <v/>
      </c>
      <c r="Z206" s="503" t="str">
        <f>IF(終値!A206="","",IF(AND(安値!AE206&lt;安値!AD206,安値!AE206&lt;安値!AC206,安値!AE206&lt;安値!AF206,安値!AE206&lt;安値!AG206),26,""))</f>
        <v/>
      </c>
      <c r="AA206" s="503" t="str">
        <f>IF(終値!A206="","",IF(AND(安値!AF206&lt;安値!AE206,安値!AF206&lt;安値!AD206,安値!AF206&lt;安値!AG206,安値!AF206&lt;安値!AH206),27,""))</f>
        <v/>
      </c>
      <c r="AB206" s="503" t="str">
        <f>IF(終値!A206="","",IF(AND(安値!AG206&lt;安値!AF206,安値!AG206&lt;安値!AE206,安値!AG206&lt;安値!AH206,安値!AG206&lt;安値!AI206),28,""))</f>
        <v/>
      </c>
      <c r="AC206" s="503" t="str">
        <f>IF(終値!A206="","",IF(AND(高値!G206&gt;高値!F206,高値!G206&gt;高値!E206,高値!G206&gt;高値!H206,高値!G206&gt;高値!I206),2,""))</f>
        <v/>
      </c>
      <c r="AD206" s="503" t="str">
        <f>IF(終値!A206="","",IF(AND(高値!H206&gt;高値!G206,高値!H206&gt;高値!F206,高値!H206&gt;高値!I206,高値!H206&gt;高値!J206),3,""))</f>
        <v/>
      </c>
      <c r="AE206" s="503" t="str">
        <f>IF(終値!A206="","",IF(AND(高値!I206&gt;高値!H206,高値!I206&gt;高値!G206,高値!I206&gt;高値!J206,高値!I206&gt;高値!K206),4,""))</f>
        <v/>
      </c>
      <c r="AF206" s="503">
        <f>IF(終値!A206="","",IF(AND(高値!J206&gt;高値!I206,高値!J206&gt;高値!H206,高値!J206&gt;高値!K206,高値!J206&gt;高値!L206),5,""))</f>
        <v>5</v>
      </c>
      <c r="AG206" s="503" t="str">
        <f>IF(終値!A206="","",IF(AND(高値!K206&gt;高値!J206,高値!K206&gt;高値!I206,高値!K206&gt;高値!L206,高値!K206&gt;高値!M206),6,""))</f>
        <v/>
      </c>
      <c r="AH206" s="503" t="str">
        <f>IF(終値!A206="","",IF(AND(高値!L206&gt;高値!K206,高値!L206&gt;高値!J206,高値!L206&gt;高値!M206,高値!L206&gt;高値!N206),7,""))</f>
        <v/>
      </c>
      <c r="AI206" s="503" t="str">
        <f>IF(終値!A206="","",IF(AND(高値!M206&gt;高値!L206,高値!M206&gt;高値!K206,高値!M206&gt;高値!N206,高値!M206&gt;高値!O206),8,""))</f>
        <v/>
      </c>
      <c r="AJ206" s="503" t="str">
        <f>IF(終値!A206="","",IF(AND(高値!N206&gt;高値!M206,高値!N206&gt;高値!L206,高値!N206&gt;高値!O206,高値!N206&gt;高値!P206),9,""))</f>
        <v/>
      </c>
      <c r="AK206" s="503" t="str">
        <f>IF(終値!A206="","",IF(AND(高値!O206&gt;高値!N206,高値!O206&gt;高値!M206,高値!O206&gt;高値!P206,高値!O206&gt;高値!Q206),10,""))</f>
        <v/>
      </c>
      <c r="AL206" s="503" t="str">
        <f>IF(終値!A206="","",IF(AND(高値!P206&gt;高値!O206,高値!P206&gt;高値!N206,高値!P206&gt;高値!Q206,高値!P206&gt;高値!R206),11,""))</f>
        <v/>
      </c>
      <c r="AM206" s="503" t="str">
        <f>IF(終値!A206="","",IF(AND(高値!Q206&gt;高値!P206,高値!Q206&gt;高値!O206,高値!Q206&gt;高値!R206,高値!Q206&gt;高値!S206),12,""))</f>
        <v/>
      </c>
      <c r="AN206" s="503" t="str">
        <f>IF(終値!A206="","",IF(AND(高値!R206&gt;高値!Q206,高値!R206&gt;高値!P206,高値!R206&gt;高値!S206,高値!R206&gt;高値!T206),13,""))</f>
        <v/>
      </c>
      <c r="AO206" s="503" t="str">
        <f>IF(終値!A206="","",IF(AND(高値!S206&gt;高値!R206,高値!S206&gt;高値!Q206,高値!S206&gt;高値!T206,高値!S206&gt;高値!U206),14,""))</f>
        <v/>
      </c>
      <c r="AP206" s="503" t="str">
        <f>IF(終値!A206="","",IF(AND(高値!T206&gt;高値!S206,高値!T206&gt;高値!R206,高値!T206&gt;高値!U206,高値!T206&gt;高値!V206),15,""))</f>
        <v/>
      </c>
      <c r="AQ206" s="503" t="str">
        <f>IF(終値!A206="","",IF(AND(高値!U206&gt;高値!T206,高値!U206&gt;高値!S206,高値!U206&gt;高値!V206,高値!U206&gt;高値!W206),16,""))</f>
        <v/>
      </c>
      <c r="AR206" s="503" t="str">
        <f>IF(終値!A206="","",IF(AND(高値!V206&gt;高値!U206,高値!V206&gt;高値!T206,高値!V206&gt;高値!W206,高値!V206&gt;高値!X206),17,""))</f>
        <v/>
      </c>
      <c r="AS206" s="503">
        <f>IF(終値!A206="","",IF(AND(高値!W206&gt;高値!V206,高値!W206&gt;高値!U206,高値!W206&gt;高値!X206,高値!W206&gt;高値!Y206),18,""))</f>
        <v>18</v>
      </c>
      <c r="AT206" s="503" t="str">
        <f>IF(終値!A206="","",IF(AND(高値!X206&gt;高値!W206,高値!X206&gt;高値!V206,高値!X206&gt;高値!Y206,高値!X206&gt;高値!Z206),19,""))</f>
        <v/>
      </c>
      <c r="AU206" s="503" t="str">
        <f>IF(終値!A206="","",IF(AND(高値!Y206&gt;高値!X206,高値!Y206&gt;高値!W206,高値!Y206&gt;高値!Z206,高値!Y206&gt;高値!AA206),20,""))</f>
        <v/>
      </c>
      <c r="AV206" s="503" t="str">
        <f>IF(終値!A206="","",IF(AND(高値!Z206&gt;高値!Y206,高値!Z206&gt;高値!X206,高値!Z206&gt;高値!AA206,高値!Z206&gt;高値!AB206),21,""))</f>
        <v/>
      </c>
      <c r="AW206" s="503" t="str">
        <f>IF(終値!A206="","",IF(AND(高値!AA206&gt;高値!Z206,高値!AA206&gt;高値!Y206,高値!AA206&gt;高値!AB206,高値!AA206&gt;高値!AC206),22,""))</f>
        <v/>
      </c>
      <c r="AX206" s="503" t="str">
        <f>IF(終値!A206="","",IF(AND(高値!AB206&gt;高値!AA206,高値!AB206&gt;高値!Z206,高値!AB206&gt;高値!AC206,高値!AB206&gt;高値!AD206),23,""))</f>
        <v/>
      </c>
      <c r="AY206" s="503" t="str">
        <f>IF(終値!A206="","",IF(AND(高値!AC206&gt;高値!AB206,高値!AC206&gt;高値!AA206,高値!AC206&gt;高値!AD206,高値!AC206&gt;高値!AE206),24,""))</f>
        <v/>
      </c>
      <c r="AZ206" s="503" t="str">
        <f>IF(終値!A206="","",IF(AND(高値!AD206&gt;高値!AC206,高値!AD206&gt;高値!AB206,高値!AD206&gt;高値!AE206,高値!AD206&gt;高値!AF206),25,""))</f>
        <v/>
      </c>
      <c r="BA206" s="503" t="str">
        <f>IF(終値!A206="","",IF(AND(高値!AE206&gt;高値!AD206,高値!AE206&gt;高値!AC206,高値!AE206&gt;高値!AF206,高値!AE206&gt;高値!AG206),26,""))</f>
        <v/>
      </c>
      <c r="BB206" s="503" t="str">
        <f>IF(終値!A206="","",IF(AND(高値!AF206&gt;高値!AE206,高値!AF206&gt;高値!AD206,高値!AF206&gt;高値!AG206,高値!AF206&gt;高値!AH206),27,""))</f>
        <v/>
      </c>
      <c r="BC206" s="503">
        <f>IF(終値!A206="","",IF(AND(高値!AG206&gt;高値!AF206,高値!AG206&gt;高値!AE206,高値!AG206&gt;高値!AH206,高値!AG206&gt;高値!AI206),28,""))</f>
        <v>28</v>
      </c>
      <c r="BD206" s="503">
        <f t="shared" si="18"/>
        <v>3</v>
      </c>
      <c r="BE206" s="503">
        <f t="shared" si="19"/>
        <v>17</v>
      </c>
      <c r="BF206" s="503">
        <f t="shared" si="20"/>
        <v>20</v>
      </c>
      <c r="BG206" s="503">
        <f>IF($BE206="","",INDEX(安値!$E206:$CZ206,1,$BE206+1))</f>
        <v>5271</v>
      </c>
      <c r="BH206" s="503">
        <f>IF($BF206="","",INDEX(安値!$E206:$CZ206,1,$BF206+1))</f>
        <v>5070</v>
      </c>
      <c r="BI206" s="503">
        <f>IF($BF206="","",MAX(INDEX(高値!$E206:$CZ206,1,$BE206+1):INDEX(高値!$E206:$CZ206,1,$BF206+1)))</f>
        <v>5495</v>
      </c>
      <c r="BJ206" s="503">
        <f>IF($BF206="","",AVERAGE(INDEX(終値!$E206:$CZ206,1,$BF206+1):INDEX(終値!$E206:$CZ206,1,$BF206+20))-2*STDEVP(INDEX(終値!$E206:$CZ206,1,$BF206+1):INDEX(終値!$E206:$CZ206,1,$BF206+20)))</f>
        <v>5005.2405443843518</v>
      </c>
      <c r="BK206" s="503">
        <f>IF($BE206="","",AVERAGE(INDEX(終値!$E206:$CZ206,1,$BE206+1):INDEX(終値!$E206:$CZ206,1,$BE206+20))-2*STDEVP(INDEX(終値!$E206:$CZ206,1,$BE206+1):INDEX(終値!$E206:$CZ206,1,$BE206+20)))</f>
        <v>5072.357858968855</v>
      </c>
      <c r="BL206" s="503">
        <f t="shared" si="21"/>
        <v>3</v>
      </c>
      <c r="BM206" s="503">
        <f t="shared" si="22"/>
        <v>5</v>
      </c>
      <c r="BN206" s="503">
        <f t="shared" si="23"/>
        <v>18</v>
      </c>
      <c r="BO206" s="503">
        <f>IF($BM206="","",INDEX(高値!$E206:$CZ206,1,$BM206+1))</f>
        <v>6168</v>
      </c>
      <c r="BP206" s="503">
        <f>IF($BN206="","",INDEX(高値!$E206:$CZ206,1,$BN206+1))</f>
        <v>5495</v>
      </c>
      <c r="BQ206" s="503">
        <f>IF($BN206="","",MIN(INDEX(安値!$E206:$CZ206,1,$BM206+1):INDEX(安値!$E206:$CZ206,1,$BN206+1)))</f>
        <v>5271</v>
      </c>
      <c r="BR206" s="503">
        <f>IF($BN206="","",AVERAGE(INDEX(終値!$E206:$CZ206,1,$BN206+1):INDEX(終値!$E206:$CZ206,1,$BN206+20))+2*STDEVP(INDEX(終値!$E206:$CZ206,1,$BN206+1):INDEX(終値!$E206:$CZ206,1,$BN206+20)))</f>
        <v>5562.4247107535602</v>
      </c>
      <c r="BS206" s="503">
        <f>IF($BM206="","",AVERAGE(INDEX(終値!$E206:$CZ206,1,$BM206+1):INDEX(終値!$E206:$CZ206,1,$BM206+20))+2*STDEVP(INDEX(終値!$E206:$CZ206,1,$BM206+1):INDEX(終値!$E206:$CZ206,1,$BM206+20)))</f>
        <v>6267.9145203086055</v>
      </c>
      <c r="BT206" s="500"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3" t="str">
        <f>IF(終値!A207="","",IF(AND(安値!G207&lt;安値!F207,安値!G207&lt;安値!E207,安値!G207&lt;安値!H207,安値!G207&lt;安値!I207),2,""))</f>
        <v/>
      </c>
      <c r="C207" s="503">
        <f>IF(終値!A207="","",IF(AND(安値!H207&lt;安値!G207,安値!H207&lt;安値!F207,安値!H207&lt;安値!I207,安値!H207&lt;安値!J207),3,""))</f>
        <v>3</v>
      </c>
      <c r="D207" s="503" t="str">
        <f>IF(終値!A207="","",IF(AND(安値!I207&lt;安値!H207,安値!I207&lt;安値!G207,安値!I207&lt;安値!J207,安値!I207&lt;安値!K207),4,""))</f>
        <v/>
      </c>
      <c r="E207" s="503" t="str">
        <f>IF(終値!A207="","",IF(AND(安値!J207&lt;安値!I207,安値!J207&lt;安値!H207,安値!J207&lt;安値!K207,安値!J207&lt;安値!L207),5,""))</f>
        <v/>
      </c>
      <c r="F207" s="503">
        <f>IF(終値!A207="","",IF(AND(安値!K207&lt;安値!J207,安値!K207&lt;安値!I207,安値!K207&lt;安値!L207,安値!K207&lt;安値!M207),6,""))</f>
        <v>6</v>
      </c>
      <c r="G207" s="503" t="str">
        <f>IF(終値!A207="","",IF(AND(安値!L207&lt;安値!K207,安値!L207&lt;安値!J207,安値!L207&lt;安値!M207,安値!L207&lt;安値!N207),7,""))</f>
        <v/>
      </c>
      <c r="H207" s="503" t="str">
        <f>IF(終値!A207="","",IF(AND(安値!M207&lt;安値!L207,安値!M207&lt;安値!K207,安値!M207&lt;安値!N207,安値!M207&lt;安値!O207),8,""))</f>
        <v/>
      </c>
      <c r="I207" s="503" t="str">
        <f>IF(終値!A207="","",IF(AND(安値!N207&lt;安値!M207,安値!N207&lt;安値!L207,安値!N207&lt;安値!O207,安値!N207&lt;安値!P207),9,""))</f>
        <v/>
      </c>
      <c r="J207" s="503" t="str">
        <f>IF(終値!A207="","",IF(AND(安値!O207&lt;安値!N207,安値!O207&lt;安値!M207,安値!O207&lt;安値!P207,安値!O207&lt;安値!Q207),10,""))</f>
        <v/>
      </c>
      <c r="K207" s="503" t="str">
        <f>IF(終値!A207="","",IF(AND(安値!P207&lt;安値!O207,安値!P207&lt;安値!N207,安値!P207&lt;安値!Q207,安値!P207&lt;安値!R207),11,""))</f>
        <v/>
      </c>
      <c r="L207" s="503" t="str">
        <f>IF(終値!A207="","",IF(AND(安値!Q207&lt;安値!P207,安値!Q207&lt;安値!O207,安値!Q207&lt;安値!R207,安値!Q207&lt;安値!S207),12,""))</f>
        <v/>
      </c>
      <c r="M207" s="503">
        <f>IF(終値!A207="","",IF(AND(安値!R207&lt;安値!Q207,安値!R207&lt;安値!P207,安値!R207&lt;安値!S207,安値!R207&lt;安値!T207),13,""))</f>
        <v>13</v>
      </c>
      <c r="N207" s="503" t="str">
        <f>IF(終値!A207="","",IF(AND(安値!S207&lt;安値!R207,安値!S207&lt;安値!Q207,安値!S207&lt;安値!T207,安値!S207&lt;安値!U207),14,""))</f>
        <v/>
      </c>
      <c r="O207" s="503" t="str">
        <f>IF(終値!A207="","",IF(AND(安値!T207&lt;安値!S207,安値!T207&lt;安値!R207,安値!T207&lt;安値!U207,安値!T207&lt;安値!V207),15,""))</f>
        <v/>
      </c>
      <c r="P207" s="503">
        <f>IF(終値!A207="","",IF(AND(安値!U207&lt;安値!T207,安値!U207&lt;安値!S207,安値!U207&lt;安値!V207,安値!U207&lt;安値!W207),16,""))</f>
        <v>16</v>
      </c>
      <c r="Q207" s="503" t="str">
        <f>IF(終値!A207="","",IF(AND(安値!V207&lt;安値!U207,安値!V207&lt;安値!T207,安値!V207&lt;安値!W207,安値!V207&lt;安値!X207),17,""))</f>
        <v/>
      </c>
      <c r="R207" s="503" t="str">
        <f>IF(終値!A207="","",IF(AND(安値!W207&lt;安値!V207,安値!W207&lt;安値!U207,安値!W207&lt;安値!X207,安値!W207&lt;安値!Y207),18,""))</f>
        <v/>
      </c>
      <c r="S207" s="503" t="str">
        <f>IF(終値!A207="","",IF(AND(安値!X207&lt;安値!W207,安値!X207&lt;安値!V207,安値!X207&lt;安値!Y207,安値!X207&lt;安値!Z207),19,""))</f>
        <v/>
      </c>
      <c r="T207" s="503" t="str">
        <f>IF(終値!A207="","",IF(AND(安値!Y207&lt;安値!X207,安値!Y207&lt;安値!W207,安値!Y207&lt;安値!Z207,安値!Y207&lt;安値!AA207),20,""))</f>
        <v/>
      </c>
      <c r="U207" s="503" t="str">
        <f>IF(終値!A207="","",IF(AND(安値!Z207&lt;安値!Y207,安値!Z207&lt;安値!X207,安値!Z207&lt;安値!AA207,安値!Z207&lt;安値!AB207),21,""))</f>
        <v/>
      </c>
      <c r="V207" s="503" t="str">
        <f>IF(終値!A207="","",IF(AND(安値!AA207&lt;安値!Z207,安値!AA207&lt;安値!Y207,安値!AA207&lt;安値!AB207,安値!AA207&lt;安値!AC207),22,""))</f>
        <v/>
      </c>
      <c r="W207" s="503" t="str">
        <f>IF(終値!A207="","",IF(AND(安値!AB207&lt;安値!AA207,安値!AB207&lt;安値!Z207,安値!AB207&lt;安値!AC207,安値!AB207&lt;安値!AD207),23,""))</f>
        <v/>
      </c>
      <c r="X207" s="503" t="str">
        <f>IF(終値!A207="","",IF(AND(安値!AC207&lt;安値!AB207,安値!AC207&lt;安値!AA207,安値!AC207&lt;安値!AD207,安値!AC207&lt;安値!AE207),24,""))</f>
        <v/>
      </c>
      <c r="Y207" s="503" t="str">
        <f>IF(終値!A207="","",IF(AND(安値!AD207&lt;安値!AC207,安値!AD207&lt;安値!AB207,安値!AD207&lt;安値!AE207,安値!AD207&lt;安値!AF207),25,""))</f>
        <v/>
      </c>
      <c r="Z207" s="503" t="str">
        <f>IF(終値!A207="","",IF(AND(安値!AE207&lt;安値!AD207,安値!AE207&lt;安値!AC207,安値!AE207&lt;安値!AF207,安値!AE207&lt;安値!AG207),26,""))</f>
        <v/>
      </c>
      <c r="AA207" s="503">
        <f>IF(終値!A207="","",IF(AND(安値!AF207&lt;安値!AE207,安値!AF207&lt;安値!AD207,安値!AF207&lt;安値!AG207,安値!AF207&lt;安値!AH207),27,""))</f>
        <v>27</v>
      </c>
      <c r="AB207" s="503" t="str">
        <f>IF(終値!A207="","",IF(AND(安値!AG207&lt;安値!AF207,安値!AG207&lt;安値!AE207,安値!AG207&lt;安値!AH207,安値!AG207&lt;安値!AI207),28,""))</f>
        <v/>
      </c>
      <c r="AC207" s="503">
        <f>IF(終値!A207="","",IF(AND(高値!G207&gt;高値!F207,高値!G207&gt;高値!E207,高値!G207&gt;高値!H207,高値!G207&gt;高値!I207),2,""))</f>
        <v>2</v>
      </c>
      <c r="AD207" s="503" t="str">
        <f>IF(終値!A207="","",IF(AND(高値!H207&gt;高値!G207,高値!H207&gt;高値!F207,高値!H207&gt;高値!I207,高値!H207&gt;高値!J207),3,""))</f>
        <v/>
      </c>
      <c r="AE207" s="503" t="str">
        <f>IF(終値!A207="","",IF(AND(高値!I207&gt;高値!H207,高値!I207&gt;高値!G207,高値!I207&gt;高値!J207,高値!I207&gt;高値!K207),4,""))</f>
        <v/>
      </c>
      <c r="AF207" s="503" t="str">
        <f>IF(終値!A207="","",IF(AND(高値!J207&gt;高値!I207,高値!J207&gt;高値!H207,高値!J207&gt;高値!K207,高値!J207&gt;高値!L207),5,""))</f>
        <v/>
      </c>
      <c r="AG207" s="503" t="str">
        <f>IF(終値!A207="","",IF(AND(高値!K207&gt;高値!J207,高値!K207&gt;高値!I207,高値!K207&gt;高値!L207,高値!K207&gt;高値!M207),6,""))</f>
        <v/>
      </c>
      <c r="AH207" s="503" t="str">
        <f>IF(終値!A207="","",IF(AND(高値!L207&gt;高値!K207,高値!L207&gt;高値!J207,高値!L207&gt;高値!M207,高値!L207&gt;高値!N207),7,""))</f>
        <v/>
      </c>
      <c r="AI207" s="503" t="str">
        <f>IF(終値!A207="","",IF(AND(高値!M207&gt;高値!L207,高値!M207&gt;高値!K207,高値!M207&gt;高値!N207,高値!M207&gt;高値!O207),8,""))</f>
        <v/>
      </c>
      <c r="AJ207" s="503">
        <f>IF(終値!A207="","",IF(AND(高値!N207&gt;高値!M207,高値!N207&gt;高値!L207,高値!N207&gt;高値!O207,高値!N207&gt;高値!P207),9,""))</f>
        <v>9</v>
      </c>
      <c r="AK207" s="503" t="str">
        <f>IF(終値!A207="","",IF(AND(高値!O207&gt;高値!N207,高値!O207&gt;高値!M207,高値!O207&gt;高値!P207,高値!O207&gt;高値!Q207),10,""))</f>
        <v/>
      </c>
      <c r="AL207" s="503" t="str">
        <f>IF(終値!A207="","",IF(AND(高値!P207&gt;高値!O207,高値!P207&gt;高値!N207,高値!P207&gt;高値!Q207,高値!P207&gt;高値!R207),11,""))</f>
        <v/>
      </c>
      <c r="AM207" s="503" t="str">
        <f>IF(終値!A207="","",IF(AND(高値!Q207&gt;高値!P207,高値!Q207&gt;高値!O207,高値!Q207&gt;高値!R207,高値!Q207&gt;高値!S207),12,""))</f>
        <v/>
      </c>
      <c r="AN207" s="503" t="str">
        <f>IF(終値!A207="","",IF(AND(高値!R207&gt;高値!Q207,高値!R207&gt;高値!P207,高値!R207&gt;高値!S207,高値!R207&gt;高値!T207),13,""))</f>
        <v/>
      </c>
      <c r="AO207" s="503" t="str">
        <f>IF(終値!A207="","",IF(AND(高値!S207&gt;高値!R207,高値!S207&gt;高値!Q207,高値!S207&gt;高値!T207,高値!S207&gt;高値!U207),14,""))</f>
        <v/>
      </c>
      <c r="AP207" s="503" t="str">
        <f>IF(終値!A207="","",IF(AND(高値!T207&gt;高値!S207,高値!T207&gt;高値!R207,高値!T207&gt;高値!U207,高値!T207&gt;高値!V207),15,""))</f>
        <v/>
      </c>
      <c r="AQ207" s="503" t="str">
        <f>IF(終値!A207="","",IF(AND(高値!U207&gt;高値!T207,高値!U207&gt;高値!S207,高値!U207&gt;高値!V207,高値!U207&gt;高値!W207),16,""))</f>
        <v/>
      </c>
      <c r="AR207" s="503" t="str">
        <f>IF(終値!A207="","",IF(AND(高値!V207&gt;高値!U207,高値!V207&gt;高値!T207,高値!V207&gt;高値!W207,高値!V207&gt;高値!X207),17,""))</f>
        <v/>
      </c>
      <c r="AS207" s="503" t="str">
        <f>IF(終値!A207="","",IF(AND(高値!W207&gt;高値!V207,高値!W207&gt;高値!U207,高値!W207&gt;高値!X207,高値!W207&gt;高値!Y207),18,""))</f>
        <v/>
      </c>
      <c r="AT207" s="503" t="str">
        <f>IF(終値!A207="","",IF(AND(高値!X207&gt;高値!W207,高値!X207&gt;高値!V207,高値!X207&gt;高値!Y207,高値!X207&gt;高値!Z207),19,""))</f>
        <v/>
      </c>
      <c r="AU207" s="503">
        <f>IF(終値!A207="","",IF(AND(高値!Y207&gt;高値!X207,高値!Y207&gt;高値!W207,高値!Y207&gt;高値!Z207,高値!Y207&gt;高値!AA207),20,""))</f>
        <v>20</v>
      </c>
      <c r="AV207" s="503" t="str">
        <f>IF(終値!A207="","",IF(AND(高値!Z207&gt;高値!Y207,高値!Z207&gt;高値!X207,高値!Z207&gt;高値!AA207,高値!Z207&gt;高値!AB207),21,""))</f>
        <v/>
      </c>
      <c r="AW207" s="503" t="str">
        <f>IF(終値!A207="","",IF(AND(高値!AA207&gt;高値!Z207,高値!AA207&gt;高値!Y207,高値!AA207&gt;高値!AB207,高値!AA207&gt;高値!AC207),22,""))</f>
        <v/>
      </c>
      <c r="AX207" s="503" t="str">
        <f>IF(終値!A207="","",IF(AND(高値!AB207&gt;高値!AA207,高値!AB207&gt;高値!Z207,高値!AB207&gt;高値!AC207,高値!AB207&gt;高値!AD207),23,""))</f>
        <v/>
      </c>
      <c r="AY207" s="503" t="str">
        <f>IF(終値!A207="","",IF(AND(高値!AC207&gt;高値!AB207,高値!AC207&gt;高値!AA207,高値!AC207&gt;高値!AD207,高値!AC207&gt;高値!AE207),24,""))</f>
        <v/>
      </c>
      <c r="AZ207" s="503" t="str">
        <f>IF(終値!A207="","",IF(AND(高値!AD207&gt;高値!AC207,高値!AD207&gt;高値!AB207,高値!AD207&gt;高値!AE207,高値!AD207&gt;高値!AF207),25,""))</f>
        <v/>
      </c>
      <c r="BA207" s="503" t="str">
        <f>IF(終値!A207="","",IF(AND(高値!AE207&gt;高値!AD207,高値!AE207&gt;高値!AC207,高値!AE207&gt;高値!AF207,高値!AE207&gt;高値!AG207),26,""))</f>
        <v/>
      </c>
      <c r="BB207" s="503" t="str">
        <f>IF(終値!A207="","",IF(AND(高値!AF207&gt;高値!AE207,高値!AF207&gt;高値!AD207,高値!AF207&gt;高値!AG207,高値!AF207&gt;高値!AH207),27,""))</f>
        <v/>
      </c>
      <c r="BC207" s="503" t="str">
        <f>IF(終値!A207="","",IF(AND(高値!AG207&gt;高値!AF207,高値!AG207&gt;高値!AE207,高値!AG207&gt;高値!AH207,高値!AG207&gt;高値!AI207),28,""))</f>
        <v/>
      </c>
      <c r="BD207" s="503">
        <f t="shared" si="18"/>
        <v>5</v>
      </c>
      <c r="BE207" s="503">
        <f t="shared" si="19"/>
        <v>3</v>
      </c>
      <c r="BF207" s="503">
        <f t="shared" si="20"/>
        <v>6</v>
      </c>
      <c r="BG207" s="503">
        <f>IF($BE207="","",INDEX(安値!$E207:$CZ207,1,$BE207+1))</f>
        <v>3621</v>
      </c>
      <c r="BH207" s="503">
        <f>IF($BF207="","",INDEX(安値!$E207:$CZ207,1,$BF207+1))</f>
        <v>3701</v>
      </c>
      <c r="BI207" s="503">
        <f>IF($BF207="","",MAX(INDEX(高値!$E207:$CZ207,1,$BE207+1):INDEX(高値!$E207:$CZ207,1,$BF207+1)))</f>
        <v>3864</v>
      </c>
      <c r="BJ207" s="503">
        <f>IF($BF207="","",AVERAGE(INDEX(終値!$E207:$CZ207,1,$BF207+1):INDEX(終値!$E207:$CZ207,1,$BF207+20))-2*STDEVP(INDEX(終値!$E207:$CZ207,1,$BF207+1):INDEX(終値!$E207:$CZ207,1,$BF207+20)))</f>
        <v>3618.6752137635235</v>
      </c>
      <c r="BK207" s="503">
        <f>IF($BE207="","",AVERAGE(INDEX(終値!$E207:$CZ207,1,$BE207+1):INDEX(終値!$E207:$CZ207,1,$BE207+20))-2*STDEVP(INDEX(終値!$E207:$CZ207,1,$BE207+1):INDEX(終値!$E207:$CZ207,1,$BE207+20)))</f>
        <v>3635.8063156262783</v>
      </c>
      <c r="BL207" s="503">
        <f t="shared" si="21"/>
        <v>3</v>
      </c>
      <c r="BM207" s="503">
        <f t="shared" si="22"/>
        <v>2</v>
      </c>
      <c r="BN207" s="503">
        <f t="shared" si="23"/>
        <v>9</v>
      </c>
      <c r="BO207" s="503">
        <f>IF($BM207="","",INDEX(高値!$E207:$CZ207,1,$BM207+1))</f>
        <v>4155</v>
      </c>
      <c r="BP207" s="503">
        <f>IF($BN207="","",INDEX(高値!$E207:$CZ207,1,$BN207+1))</f>
        <v>4007</v>
      </c>
      <c r="BQ207" s="503">
        <f>IF($BN207="","",MIN(INDEX(安値!$E207:$CZ207,1,$BM207+1):INDEX(安値!$E207:$CZ207,1,$BN207+1)))</f>
        <v>3621</v>
      </c>
      <c r="BR207" s="503">
        <f>IF($BN207="","",AVERAGE(INDEX(終値!$E207:$CZ207,1,$BN207+1):INDEX(終値!$E207:$CZ207,1,$BN207+20))+2*STDEVP(INDEX(終値!$E207:$CZ207,1,$BN207+1):INDEX(終値!$E207:$CZ207,1,$BN207+20)))</f>
        <v>4061.8604706936535</v>
      </c>
      <c r="BS207" s="503">
        <f>IF($BM207="","",AVERAGE(INDEX(終値!$E207:$CZ207,1,$BM207+1):INDEX(終値!$E207:$CZ207,1,$BM207+20))+2*STDEVP(INDEX(終値!$E207:$CZ207,1,$BM207+1):INDEX(終値!$E207:$CZ207,1,$BM207+20)))</f>
        <v>4078.7106905023352</v>
      </c>
      <c r="BT207" s="500"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v>
      </c>
    </row>
    <row r="208" spans="2:72">
      <c r="B208" s="503" t="str">
        <f>IF(終値!A208="","",IF(AND(安値!G208&lt;安値!F208,安値!G208&lt;安値!E208,安値!G208&lt;安値!H208,安値!G208&lt;安値!I208),2,""))</f>
        <v/>
      </c>
      <c r="C208" s="503" t="str">
        <f>IF(終値!A208="","",IF(AND(安値!H208&lt;安値!G208,安値!H208&lt;安値!F208,安値!H208&lt;安値!I208,安値!H208&lt;安値!J208),3,""))</f>
        <v/>
      </c>
      <c r="D208" s="503" t="str">
        <f>IF(終値!A208="","",IF(AND(安値!I208&lt;安値!H208,安値!I208&lt;安値!G208,安値!I208&lt;安値!J208,安値!I208&lt;安値!K208),4,""))</f>
        <v/>
      </c>
      <c r="E208" s="503" t="str">
        <f>IF(終値!A208="","",IF(AND(安値!J208&lt;安値!I208,安値!J208&lt;安値!H208,安値!J208&lt;安値!K208,安値!J208&lt;安値!L208),5,""))</f>
        <v/>
      </c>
      <c r="F208" s="503" t="str">
        <f>IF(終値!A208="","",IF(AND(安値!K208&lt;安値!J208,安値!K208&lt;安値!I208,安値!K208&lt;安値!L208,安値!K208&lt;安値!M208),6,""))</f>
        <v/>
      </c>
      <c r="G208" s="503" t="str">
        <f>IF(終値!A208="","",IF(AND(安値!L208&lt;安値!K208,安値!L208&lt;安値!J208,安値!L208&lt;安値!M208,安値!L208&lt;安値!N208),7,""))</f>
        <v/>
      </c>
      <c r="H208" s="503" t="str">
        <f>IF(終値!A208="","",IF(AND(安値!M208&lt;安値!L208,安値!M208&lt;安値!K208,安値!M208&lt;安値!N208,安値!M208&lt;安値!O208),8,""))</f>
        <v/>
      </c>
      <c r="I208" s="503" t="str">
        <f>IF(終値!A208="","",IF(AND(安値!N208&lt;安値!M208,安値!N208&lt;安値!L208,安値!N208&lt;安値!O208,安値!N208&lt;安値!P208),9,""))</f>
        <v/>
      </c>
      <c r="J208" s="503" t="str">
        <f>IF(終値!A208="","",IF(AND(安値!O208&lt;安値!N208,安値!O208&lt;安値!M208,安値!O208&lt;安値!P208,安値!O208&lt;安値!Q208),10,""))</f>
        <v/>
      </c>
      <c r="K208" s="503" t="str">
        <f>IF(終値!A208="","",IF(AND(安値!P208&lt;安値!O208,安値!P208&lt;安値!N208,安値!P208&lt;安値!Q208,安値!P208&lt;安値!R208),11,""))</f>
        <v/>
      </c>
      <c r="L208" s="503" t="str">
        <f>IF(終値!A208="","",IF(AND(安値!Q208&lt;安値!P208,安値!Q208&lt;安値!O208,安値!Q208&lt;安値!R208,安値!Q208&lt;安値!S208),12,""))</f>
        <v/>
      </c>
      <c r="M208" s="503">
        <f>IF(終値!A208="","",IF(AND(安値!R208&lt;安値!Q208,安値!R208&lt;安値!P208,安値!R208&lt;安値!S208,安値!R208&lt;安値!T208),13,""))</f>
        <v>13</v>
      </c>
      <c r="N208" s="503" t="str">
        <f>IF(終値!A208="","",IF(AND(安値!S208&lt;安値!R208,安値!S208&lt;安値!Q208,安値!S208&lt;安値!T208,安値!S208&lt;安値!U208),14,""))</f>
        <v/>
      </c>
      <c r="O208" s="503" t="str">
        <f>IF(終値!A208="","",IF(AND(安値!T208&lt;安値!S208,安値!T208&lt;安値!R208,安値!T208&lt;安値!U208,安値!T208&lt;安値!V208),15,""))</f>
        <v/>
      </c>
      <c r="P208" s="503" t="str">
        <f>IF(終値!A208="","",IF(AND(安値!U208&lt;安値!T208,安値!U208&lt;安値!S208,安値!U208&lt;安値!V208,安値!U208&lt;安値!W208),16,""))</f>
        <v/>
      </c>
      <c r="Q208" s="503" t="str">
        <f>IF(終値!A208="","",IF(AND(安値!V208&lt;安値!U208,安値!V208&lt;安値!T208,安値!V208&lt;安値!W208,安値!V208&lt;安値!X208),17,""))</f>
        <v/>
      </c>
      <c r="R208" s="503" t="str">
        <f>IF(終値!A208="","",IF(AND(安値!W208&lt;安値!V208,安値!W208&lt;安値!U208,安値!W208&lt;安値!X208,安値!W208&lt;安値!Y208),18,""))</f>
        <v/>
      </c>
      <c r="S208" s="503" t="str">
        <f>IF(終値!A208="","",IF(AND(安値!X208&lt;安値!W208,安値!X208&lt;安値!V208,安値!X208&lt;安値!Y208,安値!X208&lt;安値!Z208),19,""))</f>
        <v/>
      </c>
      <c r="T208" s="503" t="str">
        <f>IF(終値!A208="","",IF(AND(安値!Y208&lt;安値!X208,安値!Y208&lt;安値!W208,安値!Y208&lt;安値!Z208,安値!Y208&lt;安値!AA208),20,""))</f>
        <v/>
      </c>
      <c r="U208" s="503" t="str">
        <f>IF(終値!A208="","",IF(AND(安値!Z208&lt;安値!Y208,安値!Z208&lt;安値!X208,安値!Z208&lt;安値!AA208,安値!Z208&lt;安値!AB208),21,""))</f>
        <v/>
      </c>
      <c r="V208" s="503" t="str">
        <f>IF(終値!A208="","",IF(AND(安値!AA208&lt;安値!Z208,安値!AA208&lt;安値!Y208,安値!AA208&lt;安値!AB208,安値!AA208&lt;安値!AC208),22,""))</f>
        <v/>
      </c>
      <c r="W208" s="503" t="str">
        <f>IF(終値!A208="","",IF(AND(安値!AB208&lt;安値!AA208,安値!AB208&lt;安値!Z208,安値!AB208&lt;安値!AC208,安値!AB208&lt;安値!AD208),23,""))</f>
        <v/>
      </c>
      <c r="X208" s="503" t="str">
        <f>IF(終値!A208="","",IF(AND(安値!AC208&lt;安値!AB208,安値!AC208&lt;安値!AA208,安値!AC208&lt;安値!AD208,安値!AC208&lt;安値!AE208),24,""))</f>
        <v/>
      </c>
      <c r="Y208" s="503" t="str">
        <f>IF(終値!A208="","",IF(AND(安値!AD208&lt;安値!AC208,安値!AD208&lt;安値!AB208,安値!AD208&lt;安値!AE208,安値!AD208&lt;安値!AF208),25,""))</f>
        <v/>
      </c>
      <c r="Z208" s="503" t="str">
        <f>IF(終値!A208="","",IF(AND(安値!AE208&lt;安値!AD208,安値!AE208&lt;安値!AC208,安値!AE208&lt;安値!AF208,安値!AE208&lt;安値!AG208),26,""))</f>
        <v/>
      </c>
      <c r="AA208" s="503" t="str">
        <f>IF(終値!A208="","",IF(AND(安値!AF208&lt;安値!AE208,安値!AF208&lt;安値!AD208,安値!AF208&lt;安値!AG208,安値!AF208&lt;安値!AH208),27,""))</f>
        <v/>
      </c>
      <c r="AB208" s="503">
        <f>IF(終値!A208="","",IF(AND(安値!AG208&lt;安値!AF208,安値!AG208&lt;安値!AE208,安値!AG208&lt;安値!AH208,安値!AG208&lt;安値!AI208),28,""))</f>
        <v>28</v>
      </c>
      <c r="AC208" s="503" t="str">
        <f>IF(終値!A208="","",IF(AND(高値!G208&gt;高値!F208,高値!G208&gt;高値!E208,高値!G208&gt;高値!H208,高値!G208&gt;高値!I208),2,""))</f>
        <v/>
      </c>
      <c r="AD208" s="503" t="str">
        <f>IF(終値!A208="","",IF(AND(高値!H208&gt;高値!G208,高値!H208&gt;高値!F208,高値!H208&gt;高値!I208,高値!H208&gt;高値!J208),3,""))</f>
        <v/>
      </c>
      <c r="AE208" s="503" t="str">
        <f>IF(終値!A208="","",IF(AND(高値!I208&gt;高値!H208,高値!I208&gt;高値!G208,高値!I208&gt;高値!J208,高値!I208&gt;高値!K208),4,""))</f>
        <v/>
      </c>
      <c r="AF208" s="503" t="str">
        <f>IF(終値!A208="","",IF(AND(高値!J208&gt;高値!I208,高値!J208&gt;高値!H208,高値!J208&gt;高値!K208,高値!J208&gt;高値!L208),5,""))</f>
        <v/>
      </c>
      <c r="AG208" s="503" t="str">
        <f>IF(終値!A208="","",IF(AND(高値!K208&gt;高値!J208,高値!K208&gt;高値!I208,高値!K208&gt;高値!L208,高値!K208&gt;高値!M208),6,""))</f>
        <v/>
      </c>
      <c r="AH208" s="503" t="str">
        <f>IF(終値!A208="","",IF(AND(高値!L208&gt;高値!K208,高値!L208&gt;高値!J208,高値!L208&gt;高値!M208,高値!L208&gt;高値!N208),7,""))</f>
        <v/>
      </c>
      <c r="AI208" s="503">
        <f>IF(終値!A208="","",IF(AND(高値!M208&gt;高値!L208,高値!M208&gt;高値!K208,高値!M208&gt;高値!N208,高値!M208&gt;高値!O208),8,""))</f>
        <v>8</v>
      </c>
      <c r="AJ208" s="503" t="str">
        <f>IF(終値!A208="","",IF(AND(高値!N208&gt;高値!M208,高値!N208&gt;高値!L208,高値!N208&gt;高値!O208,高値!N208&gt;高値!P208),9,""))</f>
        <v/>
      </c>
      <c r="AK208" s="503" t="str">
        <f>IF(終値!A208="","",IF(AND(高値!O208&gt;高値!N208,高値!O208&gt;高値!M208,高値!O208&gt;高値!P208,高値!O208&gt;高値!Q208),10,""))</f>
        <v/>
      </c>
      <c r="AL208" s="503">
        <f>IF(終値!A208="","",IF(AND(高値!P208&gt;高値!O208,高値!P208&gt;高値!N208,高値!P208&gt;高値!Q208,高値!P208&gt;高値!R208),11,""))</f>
        <v>11</v>
      </c>
      <c r="AM208" s="503" t="str">
        <f>IF(終値!A208="","",IF(AND(高値!Q208&gt;高値!P208,高値!Q208&gt;高値!O208,高値!Q208&gt;高値!R208,高値!Q208&gt;高値!S208),12,""))</f>
        <v/>
      </c>
      <c r="AN208" s="503" t="str">
        <f>IF(終値!A208="","",IF(AND(高値!R208&gt;高値!Q208,高値!R208&gt;高値!P208,高値!R208&gt;高値!S208,高値!R208&gt;高値!T208),13,""))</f>
        <v/>
      </c>
      <c r="AO208" s="503" t="str">
        <f>IF(終値!A208="","",IF(AND(高値!S208&gt;高値!R208,高値!S208&gt;高値!Q208,高値!S208&gt;高値!T208,高値!S208&gt;高値!U208),14,""))</f>
        <v/>
      </c>
      <c r="AP208" s="503" t="str">
        <f>IF(終値!A208="","",IF(AND(高値!T208&gt;高値!S208,高値!T208&gt;高値!R208,高値!T208&gt;高値!U208,高値!T208&gt;高値!V208),15,""))</f>
        <v/>
      </c>
      <c r="AQ208" s="503" t="str">
        <f>IF(終値!A208="","",IF(AND(高値!U208&gt;高値!T208,高値!U208&gt;高値!S208,高値!U208&gt;高値!V208,高値!U208&gt;高値!W208),16,""))</f>
        <v/>
      </c>
      <c r="AR208" s="503" t="str">
        <f>IF(終値!A208="","",IF(AND(高値!V208&gt;高値!U208,高値!V208&gt;高値!T208,高値!V208&gt;高値!W208,高値!V208&gt;高値!X208),17,""))</f>
        <v/>
      </c>
      <c r="AS208" s="503" t="str">
        <f>IF(終値!A208="","",IF(AND(高値!W208&gt;高値!V208,高値!W208&gt;高値!U208,高値!W208&gt;高値!X208,高値!W208&gt;高値!Y208),18,""))</f>
        <v/>
      </c>
      <c r="AT208" s="503" t="str">
        <f>IF(終値!A208="","",IF(AND(高値!X208&gt;高値!W208,高値!X208&gt;高値!V208,高値!X208&gt;高値!Y208,高値!X208&gt;高値!Z208),19,""))</f>
        <v/>
      </c>
      <c r="AU208" s="503" t="str">
        <f>IF(終値!A208="","",IF(AND(高値!Y208&gt;高値!X208,高値!Y208&gt;高値!W208,高値!Y208&gt;高値!Z208,高値!Y208&gt;高値!AA208),20,""))</f>
        <v/>
      </c>
      <c r="AV208" s="503">
        <f>IF(終値!A208="","",IF(AND(高値!Z208&gt;高値!Y208,高値!Z208&gt;高値!X208,高値!Z208&gt;高値!AA208,高値!Z208&gt;高値!AB208),21,""))</f>
        <v>21</v>
      </c>
      <c r="AW208" s="503" t="str">
        <f>IF(終値!A208="","",IF(AND(高値!AA208&gt;高値!Z208,高値!AA208&gt;高値!Y208,高値!AA208&gt;高値!AB208,高値!AA208&gt;高値!AC208),22,""))</f>
        <v/>
      </c>
      <c r="AX208" s="503" t="str">
        <f>IF(終値!A208="","",IF(AND(高値!AB208&gt;高値!AA208,高値!AB208&gt;高値!Z208,高値!AB208&gt;高値!AC208,高値!AB208&gt;高値!AD208),23,""))</f>
        <v/>
      </c>
      <c r="AY208" s="503" t="str">
        <f>IF(終値!A208="","",IF(AND(高値!AC208&gt;高値!AB208,高値!AC208&gt;高値!AA208,高値!AC208&gt;高値!AD208,高値!AC208&gt;高値!AE208),24,""))</f>
        <v/>
      </c>
      <c r="AZ208" s="503" t="str">
        <f>IF(終値!A208="","",IF(AND(高値!AD208&gt;高値!AC208,高値!AD208&gt;高値!AB208,高値!AD208&gt;高値!AE208,高値!AD208&gt;高値!AF208),25,""))</f>
        <v/>
      </c>
      <c r="BA208" s="503" t="str">
        <f>IF(終値!A208="","",IF(AND(高値!AE208&gt;高値!AD208,高値!AE208&gt;高値!AC208,高値!AE208&gt;高値!AF208,高値!AE208&gt;高値!AG208),26,""))</f>
        <v/>
      </c>
      <c r="BB208" s="503" t="str">
        <f>IF(終値!A208="","",IF(AND(高値!AF208&gt;高値!AE208,高値!AF208&gt;高値!AD208,高値!AF208&gt;高値!AG208,高値!AF208&gt;高値!AH208),27,""))</f>
        <v/>
      </c>
      <c r="BC208" s="503" t="str">
        <f>IF(終値!A208="","",IF(AND(高値!AG208&gt;高値!AF208,高値!AG208&gt;高値!AE208,高値!AG208&gt;高値!AH208,高値!AG208&gt;高値!AI208),28,""))</f>
        <v/>
      </c>
      <c r="BD208" s="503">
        <f t="shared" si="18"/>
        <v>2</v>
      </c>
      <c r="BE208" s="503">
        <f t="shared" si="19"/>
        <v>13</v>
      </c>
      <c r="BF208" s="503">
        <f t="shared" si="20"/>
        <v>28</v>
      </c>
      <c r="BG208" s="503">
        <f>IF($BE208="","",INDEX(安値!$E208:$CZ208,1,$BE208+1))</f>
        <v>5389</v>
      </c>
      <c r="BH208" s="503">
        <f>IF($BF208="","",INDEX(安値!$E208:$CZ208,1,$BF208+1))</f>
        <v>5617</v>
      </c>
      <c r="BI208" s="503">
        <f>IF($BF208="","",MAX(INDEX(高値!$E208:$CZ208,1,$BE208+1):INDEX(高値!$E208:$CZ208,1,$BF208+1)))</f>
        <v>6339</v>
      </c>
      <c r="BJ208" s="503">
        <f>IF($BF208="","",AVERAGE(INDEX(終値!$E208:$CZ208,1,$BF208+1):INDEX(終値!$E208:$CZ208,1,$BF208+20))-2*STDEVP(INDEX(終値!$E208:$CZ208,1,$BF208+1):INDEX(終値!$E208:$CZ208,1,$BF208+20)))</f>
        <v>5296.9040105403528</v>
      </c>
      <c r="BK208" s="503">
        <f>IF($BE208="","",AVERAGE(INDEX(終値!$E208:$CZ208,1,$BE208+1):INDEX(終値!$E208:$CZ208,1,$BE208+20))-2*STDEVP(INDEX(終値!$E208:$CZ208,1,$BE208+1):INDEX(終値!$E208:$CZ208,1,$BE208+20)))</f>
        <v>5470.126514460454</v>
      </c>
      <c r="BL208" s="503">
        <f t="shared" si="21"/>
        <v>3</v>
      </c>
      <c r="BM208" s="503">
        <f t="shared" si="22"/>
        <v>8</v>
      </c>
      <c r="BN208" s="503">
        <f t="shared" si="23"/>
        <v>11</v>
      </c>
      <c r="BO208" s="503">
        <f>IF($BM208="","",INDEX(高値!$E208:$CZ208,1,$BM208+1))</f>
        <v>5682</v>
      </c>
      <c r="BP208" s="503">
        <f>IF($BN208="","",INDEX(高値!$E208:$CZ208,1,$BN208+1))</f>
        <v>5696</v>
      </c>
      <c r="BQ208" s="503">
        <f>IF($BN208="","",MIN(INDEX(安値!$E208:$CZ208,1,$BM208+1):INDEX(安値!$E208:$CZ208,1,$BN208+1)))</f>
        <v>5542</v>
      </c>
      <c r="BR208" s="503">
        <f>IF($BN208="","",AVERAGE(INDEX(終値!$E208:$CZ208,1,$BN208+1):INDEX(終値!$E208:$CZ208,1,$BN208+20))+2*STDEVP(INDEX(終値!$E208:$CZ208,1,$BN208+1):INDEX(終値!$E208:$CZ208,1,$BN208+20)))</f>
        <v>6184.6742740242671</v>
      </c>
      <c r="BS208" s="503">
        <f>IF($BM208="","",AVERAGE(INDEX(終値!$E208:$CZ208,1,$BM208+1):INDEX(終値!$E208:$CZ208,1,$BM208+20))+2*STDEVP(INDEX(終値!$E208:$CZ208,1,$BM208+1):INDEX(終値!$E208:$CZ208,1,$BM208+20)))</f>
        <v>6188.9465733017714</v>
      </c>
      <c r="BT208" s="500"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3" t="str">
        <f>IF(終値!A209="","",IF(AND(安値!G209&lt;安値!F209,安値!G209&lt;安値!E209,安値!G209&lt;安値!H209,安値!G209&lt;安値!I209),2,""))</f>
        <v/>
      </c>
      <c r="C209" s="503" t="str">
        <f>IF(終値!A209="","",IF(AND(安値!H209&lt;安値!G209,安値!H209&lt;安値!F209,安値!H209&lt;安値!I209,安値!H209&lt;安値!J209),3,""))</f>
        <v/>
      </c>
      <c r="D209" s="503" t="str">
        <f>IF(終値!A209="","",IF(AND(安値!I209&lt;安値!H209,安値!I209&lt;安値!G209,安値!I209&lt;安値!J209,安値!I209&lt;安値!K209),4,""))</f>
        <v/>
      </c>
      <c r="E209" s="503" t="str">
        <f>IF(終値!A209="","",IF(AND(安値!J209&lt;安値!I209,安値!J209&lt;安値!H209,安値!J209&lt;安値!K209,安値!J209&lt;安値!L209),5,""))</f>
        <v/>
      </c>
      <c r="F209" s="503" t="str">
        <f>IF(終値!A209="","",IF(AND(安値!K209&lt;安値!J209,安値!K209&lt;安値!I209,安値!K209&lt;安値!L209,安値!K209&lt;安値!M209),6,""))</f>
        <v/>
      </c>
      <c r="G209" s="503">
        <f>IF(終値!A209="","",IF(AND(安値!L209&lt;安値!K209,安値!L209&lt;安値!J209,安値!L209&lt;安値!M209,安値!L209&lt;安値!N209),7,""))</f>
        <v>7</v>
      </c>
      <c r="H209" s="503" t="str">
        <f>IF(終値!A209="","",IF(AND(安値!M209&lt;安値!L209,安値!M209&lt;安値!K209,安値!M209&lt;安値!N209,安値!M209&lt;安値!O209),8,""))</f>
        <v/>
      </c>
      <c r="I209" s="503" t="str">
        <f>IF(終値!A209="","",IF(AND(安値!N209&lt;安値!M209,安値!N209&lt;安値!L209,安値!N209&lt;安値!O209,安値!N209&lt;安値!P209),9,""))</f>
        <v/>
      </c>
      <c r="J209" s="503" t="str">
        <f>IF(終値!A209="","",IF(AND(安値!O209&lt;安値!N209,安値!O209&lt;安値!M209,安値!O209&lt;安値!P209,安値!O209&lt;安値!Q209),10,""))</f>
        <v/>
      </c>
      <c r="K209" s="503" t="str">
        <f>IF(終値!A209="","",IF(AND(安値!P209&lt;安値!O209,安値!P209&lt;安値!N209,安値!P209&lt;安値!Q209,安値!P209&lt;安値!R209),11,""))</f>
        <v/>
      </c>
      <c r="L209" s="503" t="str">
        <f>IF(終値!A209="","",IF(AND(安値!Q209&lt;安値!P209,安値!Q209&lt;安値!O209,安値!Q209&lt;安値!R209,安値!Q209&lt;安値!S209),12,""))</f>
        <v/>
      </c>
      <c r="M209" s="503">
        <f>IF(終値!A209="","",IF(AND(安値!R209&lt;安値!Q209,安値!R209&lt;安値!P209,安値!R209&lt;安値!S209,安値!R209&lt;安値!T209),13,""))</f>
        <v>13</v>
      </c>
      <c r="N209" s="503" t="str">
        <f>IF(終値!A209="","",IF(AND(安値!S209&lt;安値!R209,安値!S209&lt;安値!Q209,安値!S209&lt;安値!T209,安値!S209&lt;安値!U209),14,""))</f>
        <v/>
      </c>
      <c r="O209" s="503" t="str">
        <f>IF(終値!A209="","",IF(AND(安値!T209&lt;安値!S209,安値!T209&lt;安値!R209,安値!T209&lt;安値!U209,安値!T209&lt;安値!V209),15,""))</f>
        <v/>
      </c>
      <c r="P209" s="503" t="str">
        <f>IF(終値!A209="","",IF(AND(安値!U209&lt;安値!T209,安値!U209&lt;安値!S209,安値!U209&lt;安値!V209,安値!U209&lt;安値!W209),16,""))</f>
        <v/>
      </c>
      <c r="Q209" s="503" t="str">
        <f>IF(終値!A209="","",IF(AND(安値!V209&lt;安値!U209,安値!V209&lt;安値!T209,安値!V209&lt;安値!W209,安値!V209&lt;安値!X209),17,""))</f>
        <v/>
      </c>
      <c r="R209" s="503" t="str">
        <f>IF(終値!A209="","",IF(AND(安値!W209&lt;安値!V209,安値!W209&lt;安値!U209,安値!W209&lt;安値!X209,安値!W209&lt;安値!Y209),18,""))</f>
        <v/>
      </c>
      <c r="S209" s="503">
        <f>IF(終値!A209="","",IF(AND(安値!X209&lt;安値!W209,安値!X209&lt;安値!V209,安値!X209&lt;安値!Y209,安値!X209&lt;安値!Z209),19,""))</f>
        <v>19</v>
      </c>
      <c r="T209" s="503" t="str">
        <f>IF(終値!A209="","",IF(AND(安値!Y209&lt;安値!X209,安値!Y209&lt;安値!W209,安値!Y209&lt;安値!Z209,安値!Y209&lt;安値!AA209),20,""))</f>
        <v/>
      </c>
      <c r="U209" s="503" t="str">
        <f>IF(終値!A209="","",IF(AND(安値!Z209&lt;安値!Y209,安値!Z209&lt;安値!X209,安値!Z209&lt;安値!AA209,安値!Z209&lt;安値!AB209),21,""))</f>
        <v/>
      </c>
      <c r="V209" s="503">
        <f>IF(終値!A209="","",IF(AND(安値!AA209&lt;安値!Z209,安値!AA209&lt;安値!Y209,安値!AA209&lt;安値!AB209,安値!AA209&lt;安値!AC209),22,""))</f>
        <v>22</v>
      </c>
      <c r="W209" s="503" t="str">
        <f>IF(終値!A209="","",IF(AND(安値!AB209&lt;安値!AA209,安値!AB209&lt;安値!Z209,安値!AB209&lt;安値!AC209,安値!AB209&lt;安値!AD209),23,""))</f>
        <v/>
      </c>
      <c r="X209" s="503" t="str">
        <f>IF(終値!A209="","",IF(AND(安値!AC209&lt;安値!AB209,安値!AC209&lt;安値!AA209,安値!AC209&lt;安値!AD209,安値!AC209&lt;安値!AE209),24,""))</f>
        <v/>
      </c>
      <c r="Y209" s="503" t="str">
        <f>IF(終値!A209="","",IF(AND(安値!AD209&lt;安値!AC209,安値!AD209&lt;安値!AB209,安値!AD209&lt;安値!AE209,安値!AD209&lt;安値!AF209),25,""))</f>
        <v/>
      </c>
      <c r="Z209" s="503" t="str">
        <f>IF(終値!A209="","",IF(AND(安値!AE209&lt;安値!AD209,安値!AE209&lt;安値!AC209,安値!AE209&lt;安値!AF209,安値!AE209&lt;安値!AG209),26,""))</f>
        <v/>
      </c>
      <c r="AA209" s="503" t="str">
        <f>IF(終値!A209="","",IF(AND(安値!AF209&lt;安値!AE209,安値!AF209&lt;安値!AD209,安値!AF209&lt;安値!AG209,安値!AF209&lt;安値!AH209),27,""))</f>
        <v/>
      </c>
      <c r="AB209" s="503" t="str">
        <f>IF(終値!A209="","",IF(AND(安値!AG209&lt;安値!AF209,安値!AG209&lt;安値!AE209,安値!AG209&lt;安値!AH209,安値!AG209&lt;安値!AI209),28,""))</f>
        <v/>
      </c>
      <c r="AC209" s="503" t="str">
        <f>IF(終値!A209="","",IF(AND(高値!G209&gt;高値!F209,高値!G209&gt;高値!E209,高値!G209&gt;高値!H209,高値!G209&gt;高値!I209),2,""))</f>
        <v/>
      </c>
      <c r="AD209" s="503" t="str">
        <f>IF(終値!A209="","",IF(AND(高値!H209&gt;高値!G209,高値!H209&gt;高値!F209,高値!H209&gt;高値!I209,高値!H209&gt;高値!J209),3,""))</f>
        <v/>
      </c>
      <c r="AE209" s="503">
        <f>IF(終値!A209="","",IF(AND(高値!I209&gt;高値!H209,高値!I209&gt;高値!G209,高値!I209&gt;高値!J209,高値!I209&gt;高値!K209),4,""))</f>
        <v>4</v>
      </c>
      <c r="AF209" s="503" t="str">
        <f>IF(終値!A209="","",IF(AND(高値!J209&gt;高値!I209,高値!J209&gt;高値!H209,高値!J209&gt;高値!K209,高値!J209&gt;高値!L209),5,""))</f>
        <v/>
      </c>
      <c r="AG209" s="503" t="str">
        <f>IF(終値!A209="","",IF(AND(高値!K209&gt;高値!J209,高値!K209&gt;高値!I209,高値!K209&gt;高値!L209,高値!K209&gt;高値!M209),6,""))</f>
        <v/>
      </c>
      <c r="AH209" s="503" t="str">
        <f>IF(終値!A209="","",IF(AND(高値!L209&gt;高値!K209,高値!L209&gt;高値!J209,高値!L209&gt;高値!M209,高値!L209&gt;高値!N209),7,""))</f>
        <v/>
      </c>
      <c r="AI209" s="503" t="str">
        <f>IF(終値!A209="","",IF(AND(高値!M209&gt;高値!L209,高値!M209&gt;高値!K209,高値!M209&gt;高値!N209,高値!M209&gt;高値!O209),8,""))</f>
        <v/>
      </c>
      <c r="AJ209" s="503" t="str">
        <f>IF(終値!A209="","",IF(AND(高値!N209&gt;高値!M209,高値!N209&gt;高値!L209,高値!N209&gt;高値!O209,高値!N209&gt;高値!P209),9,""))</f>
        <v/>
      </c>
      <c r="AK209" s="503" t="str">
        <f>IF(終値!A209="","",IF(AND(高値!O209&gt;高値!N209,高値!O209&gt;高値!M209,高値!O209&gt;高値!P209,高値!O209&gt;高値!Q209),10,""))</f>
        <v/>
      </c>
      <c r="AL209" s="503">
        <f>IF(終値!A209="","",IF(AND(高値!P209&gt;高値!O209,高値!P209&gt;高値!N209,高値!P209&gt;高値!Q209,高値!P209&gt;高値!R209),11,""))</f>
        <v>11</v>
      </c>
      <c r="AM209" s="503" t="str">
        <f>IF(終値!A209="","",IF(AND(高値!Q209&gt;高値!P209,高値!Q209&gt;高値!O209,高値!Q209&gt;高値!R209,高値!Q209&gt;高値!S209),12,""))</f>
        <v/>
      </c>
      <c r="AN209" s="503" t="str">
        <f>IF(終値!A209="","",IF(AND(高値!R209&gt;高値!Q209,高値!R209&gt;高値!P209,高値!R209&gt;高値!S209,高値!R209&gt;高値!T209),13,""))</f>
        <v/>
      </c>
      <c r="AO209" s="503" t="str">
        <f>IF(終値!A209="","",IF(AND(高値!S209&gt;高値!R209,高値!S209&gt;高値!Q209,高値!S209&gt;高値!T209,高値!S209&gt;高値!U209),14,""))</f>
        <v/>
      </c>
      <c r="AP209" s="503" t="str">
        <f>IF(終値!A209="","",IF(AND(高値!T209&gt;高値!S209,高値!T209&gt;高値!R209,高値!T209&gt;高値!U209,高値!T209&gt;高値!V209),15,""))</f>
        <v/>
      </c>
      <c r="AQ209" s="503" t="str">
        <f>IF(終値!A209="","",IF(AND(高値!U209&gt;高値!T209,高値!U209&gt;高値!S209,高値!U209&gt;高値!V209,高値!U209&gt;高値!W209),16,""))</f>
        <v/>
      </c>
      <c r="AR209" s="503">
        <f>IF(終値!A209="","",IF(AND(高値!V209&gt;高値!U209,高値!V209&gt;高値!T209,高値!V209&gt;高値!W209,高値!V209&gt;高値!X209),17,""))</f>
        <v>17</v>
      </c>
      <c r="AS209" s="503" t="str">
        <f>IF(終値!A209="","",IF(AND(高値!W209&gt;高値!V209,高値!W209&gt;高値!U209,高値!W209&gt;高値!X209,高値!W209&gt;高値!Y209),18,""))</f>
        <v/>
      </c>
      <c r="AT209" s="503" t="str">
        <f>IF(終値!A209="","",IF(AND(高値!X209&gt;高値!W209,高値!X209&gt;高値!V209,高値!X209&gt;高値!Y209,高値!X209&gt;高値!Z209),19,""))</f>
        <v/>
      </c>
      <c r="AU209" s="503" t="str">
        <f>IF(終値!A209="","",IF(AND(高値!Y209&gt;高値!X209,高値!Y209&gt;高値!W209,高値!Y209&gt;高値!Z209,高値!Y209&gt;高値!AA209),20,""))</f>
        <v/>
      </c>
      <c r="AV209" s="503" t="str">
        <f>IF(終値!A209="","",IF(AND(高値!Z209&gt;高値!Y209,高値!Z209&gt;高値!X209,高値!Z209&gt;高値!AA209,高値!Z209&gt;高値!AB209),21,""))</f>
        <v/>
      </c>
      <c r="AW209" s="503" t="str">
        <f>IF(終値!A209="","",IF(AND(高値!AA209&gt;高値!Z209,高値!AA209&gt;高値!Y209,高値!AA209&gt;高値!AB209,高値!AA209&gt;高値!AC209),22,""))</f>
        <v/>
      </c>
      <c r="AX209" s="503" t="str">
        <f>IF(終値!A209="","",IF(AND(高値!AB209&gt;高値!AA209,高値!AB209&gt;高値!Z209,高値!AB209&gt;高値!AC209,高値!AB209&gt;高値!AD209),23,""))</f>
        <v/>
      </c>
      <c r="AY209" s="503">
        <f>IF(終値!A209="","",IF(AND(高値!AC209&gt;高値!AB209,高値!AC209&gt;高値!AA209,高値!AC209&gt;高値!AD209,高値!AC209&gt;高値!AE209),24,""))</f>
        <v>24</v>
      </c>
      <c r="AZ209" s="503" t="str">
        <f>IF(終値!A209="","",IF(AND(高値!AD209&gt;高値!AC209,高値!AD209&gt;高値!AB209,高値!AD209&gt;高値!AE209,高値!AD209&gt;高値!AF209),25,""))</f>
        <v/>
      </c>
      <c r="BA209" s="503" t="str">
        <f>IF(終値!A209="","",IF(AND(高値!AE209&gt;高値!AD209,高値!AE209&gt;高値!AC209,高値!AE209&gt;高値!AF209,高値!AE209&gt;高値!AG209),26,""))</f>
        <v/>
      </c>
      <c r="BB209" s="503" t="str">
        <f>IF(終値!A209="","",IF(AND(高値!AF209&gt;高値!AE209,高値!AF209&gt;高値!AD209,高値!AF209&gt;高値!AG209,高値!AF209&gt;高値!AH209),27,""))</f>
        <v/>
      </c>
      <c r="BC209" s="503">
        <f>IF(終値!A209="","",IF(AND(高値!AG209&gt;高値!AF209,高値!AG209&gt;高値!AE209,高値!AG209&gt;高値!AH209,高値!AG209&gt;高値!AI209),28,""))</f>
        <v>28</v>
      </c>
      <c r="BD209" s="503">
        <f t="shared" si="18"/>
        <v>4</v>
      </c>
      <c r="BE209" s="503">
        <f t="shared" si="19"/>
        <v>7</v>
      </c>
      <c r="BF209" s="503">
        <f t="shared" si="20"/>
        <v>13</v>
      </c>
      <c r="BG209" s="503">
        <f>IF($BE209="","",INDEX(安値!$E209:$CZ209,1,$BE209+1))</f>
        <v>69950</v>
      </c>
      <c r="BH209" s="503">
        <f>IF($BF209="","",INDEX(安値!$E209:$CZ209,1,$BF209+1))</f>
        <v>68930</v>
      </c>
      <c r="BI209" s="503">
        <f>IF($BF209="","",MAX(INDEX(高値!$E209:$CZ209,1,$BE209+1):INDEX(高値!$E209:$CZ209,1,$BF209+1)))</f>
        <v>74170</v>
      </c>
      <c r="BJ209" s="503">
        <f>IF($BF209="","",AVERAGE(INDEX(終値!$E209:$CZ209,1,$BF209+1):INDEX(終値!$E209:$CZ209,1,$BF209+20))-2*STDEVP(INDEX(終値!$E209:$CZ209,1,$BF209+1):INDEX(終値!$E209:$CZ209,1,$BF209+20)))</f>
        <v>72520.241783661826</v>
      </c>
      <c r="BK209" s="503">
        <f>IF($BE209="","",AVERAGE(INDEX(終値!$E209:$CZ209,1,$BE209+1):INDEX(終値!$E209:$CZ209,1,$BE209+20))-2*STDEVP(INDEX(終値!$E209:$CZ209,1,$BE209+1):INDEX(終値!$E209:$CZ209,1,$BE209+20)))</f>
        <v>68957.632007442182</v>
      </c>
      <c r="BL209" s="503">
        <f t="shared" si="21"/>
        <v>5</v>
      </c>
      <c r="BM209" s="503">
        <f t="shared" si="22"/>
        <v>4</v>
      </c>
      <c r="BN209" s="503">
        <f t="shared" si="23"/>
        <v>11</v>
      </c>
      <c r="BO209" s="503">
        <f>IF($BM209="","",INDEX(高値!$E209:$CZ209,1,$BM209+1))</f>
        <v>83520</v>
      </c>
      <c r="BP209" s="503">
        <f>IF($BN209="","",INDEX(高値!$E209:$CZ209,1,$BN209+1))</f>
        <v>73830</v>
      </c>
      <c r="BQ209" s="503">
        <f>IF($BN209="","",MIN(INDEX(安値!$E209:$CZ209,1,$BM209+1):INDEX(安値!$E209:$CZ209,1,$BN209+1)))</f>
        <v>69950</v>
      </c>
      <c r="BR209" s="503">
        <f>IF($BN209="","",AVERAGE(INDEX(終値!$E209:$CZ209,1,$BN209+1):INDEX(終値!$E209:$CZ209,1,$BN209+20))+2*STDEVP(INDEX(終値!$E209:$CZ209,1,$BN209+1):INDEX(終値!$E209:$CZ209,1,$BN209+20)))</f>
        <v>82878.269019540399</v>
      </c>
      <c r="BS209" s="503">
        <f>IF($BM209="","",AVERAGE(INDEX(終値!$E209:$CZ209,1,$BM209+1):INDEX(終値!$E209:$CZ209,1,$BM209+20))+2*STDEVP(INDEX(終値!$E209:$CZ209,1,$BM209+1):INDEX(終値!$E209:$CZ209,1,$BM209+20)))</f>
        <v>82609.323645132201</v>
      </c>
      <c r="BT209" s="500"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3" t="str">
        <f>IF(終値!A210="","",IF(AND(安値!G210&lt;安値!F210,安値!G210&lt;安値!E210,安値!G210&lt;安値!H210,安値!G210&lt;安値!I210),2,""))</f>
        <v/>
      </c>
      <c r="C210" s="503" t="str">
        <f>IF(終値!A210="","",IF(AND(安値!H210&lt;安値!G210,安値!H210&lt;安値!F210,安値!H210&lt;安値!I210,安値!H210&lt;安値!J210),3,""))</f>
        <v/>
      </c>
      <c r="D210" s="503" t="str">
        <f>IF(終値!A210="","",IF(AND(安値!I210&lt;安値!H210,安値!I210&lt;安値!G210,安値!I210&lt;安値!J210,安値!I210&lt;安値!K210),4,""))</f>
        <v/>
      </c>
      <c r="E210" s="503" t="str">
        <f>IF(終値!A210="","",IF(AND(安値!J210&lt;安値!I210,安値!J210&lt;安値!H210,安値!J210&lt;安値!K210,安値!J210&lt;安値!L210),5,""))</f>
        <v/>
      </c>
      <c r="F210" s="503">
        <f>IF(終値!A210="","",IF(AND(安値!K210&lt;安値!J210,安値!K210&lt;安値!I210,安値!K210&lt;安値!L210,安値!K210&lt;安値!M210),6,""))</f>
        <v>6</v>
      </c>
      <c r="G210" s="503" t="str">
        <f>IF(終値!A210="","",IF(AND(安値!L210&lt;安値!K210,安値!L210&lt;安値!J210,安値!L210&lt;安値!M210,安値!L210&lt;安値!N210),7,""))</f>
        <v/>
      </c>
      <c r="H210" s="503" t="str">
        <f>IF(終値!A210="","",IF(AND(安値!M210&lt;安値!L210,安値!M210&lt;安値!K210,安値!M210&lt;安値!N210,安値!M210&lt;安値!O210),8,""))</f>
        <v/>
      </c>
      <c r="I210" s="503" t="str">
        <f>IF(終値!A210="","",IF(AND(安値!N210&lt;安値!M210,安値!N210&lt;安値!L210,安値!N210&lt;安値!O210,安値!N210&lt;安値!P210),9,""))</f>
        <v/>
      </c>
      <c r="J210" s="503" t="str">
        <f>IF(終値!A210="","",IF(AND(安値!O210&lt;安値!N210,安値!O210&lt;安値!M210,安値!O210&lt;安値!P210,安値!O210&lt;安値!Q210),10,""))</f>
        <v/>
      </c>
      <c r="K210" s="503" t="str">
        <f>IF(終値!A210="","",IF(AND(安値!P210&lt;安値!O210,安値!P210&lt;安値!N210,安値!P210&lt;安値!Q210,安値!P210&lt;安値!R210),11,""))</f>
        <v/>
      </c>
      <c r="L210" s="503">
        <f>IF(終値!A210="","",IF(AND(安値!Q210&lt;安値!P210,安値!Q210&lt;安値!O210,安値!Q210&lt;安値!R210,安値!Q210&lt;安値!S210),12,""))</f>
        <v>12</v>
      </c>
      <c r="M210" s="503" t="str">
        <f>IF(終値!A210="","",IF(AND(安値!R210&lt;安値!Q210,安値!R210&lt;安値!P210,安値!R210&lt;安値!S210,安値!R210&lt;安値!T210),13,""))</f>
        <v/>
      </c>
      <c r="N210" s="503" t="str">
        <f>IF(終値!A210="","",IF(AND(安値!S210&lt;安値!R210,安値!S210&lt;安値!Q210,安値!S210&lt;安値!T210,安値!S210&lt;安値!U210),14,""))</f>
        <v/>
      </c>
      <c r="O210" s="503" t="str">
        <f>IF(終値!A210="","",IF(AND(安値!T210&lt;安値!S210,安値!T210&lt;安値!R210,安値!T210&lt;安値!U210,安値!T210&lt;安値!V210),15,""))</f>
        <v/>
      </c>
      <c r="P210" s="503" t="str">
        <f>IF(終値!A210="","",IF(AND(安値!U210&lt;安値!T210,安値!U210&lt;安値!S210,安値!U210&lt;安値!V210,安値!U210&lt;安値!W210),16,""))</f>
        <v/>
      </c>
      <c r="Q210" s="503" t="str">
        <f>IF(終値!A210="","",IF(AND(安値!V210&lt;安値!U210,安値!V210&lt;安値!T210,安値!V210&lt;安値!W210,安値!V210&lt;安値!X210),17,""))</f>
        <v/>
      </c>
      <c r="R210" s="503" t="str">
        <f>IF(終値!A210="","",IF(AND(安値!W210&lt;安値!V210,安値!W210&lt;安値!U210,安値!W210&lt;安値!X210,安値!W210&lt;安値!Y210),18,""))</f>
        <v/>
      </c>
      <c r="S210" s="503" t="str">
        <f>IF(終値!A210="","",IF(AND(安値!X210&lt;安値!W210,安値!X210&lt;安値!V210,安値!X210&lt;安値!Y210,安値!X210&lt;安値!Z210),19,""))</f>
        <v/>
      </c>
      <c r="T210" s="503" t="str">
        <f>IF(終値!A210="","",IF(AND(安値!Y210&lt;安値!X210,安値!Y210&lt;安値!W210,安値!Y210&lt;安値!Z210,安値!Y210&lt;安値!AA210),20,""))</f>
        <v/>
      </c>
      <c r="U210" s="503" t="str">
        <f>IF(終値!A210="","",IF(AND(安値!Z210&lt;安値!Y210,安値!Z210&lt;安値!X210,安値!Z210&lt;安値!AA210,安値!Z210&lt;安値!AB210),21,""))</f>
        <v/>
      </c>
      <c r="V210" s="503">
        <f>IF(終値!A210="","",IF(AND(安値!AA210&lt;安値!Z210,安値!AA210&lt;安値!Y210,安値!AA210&lt;安値!AB210,安値!AA210&lt;安値!AC210),22,""))</f>
        <v>22</v>
      </c>
      <c r="W210" s="503" t="str">
        <f>IF(終値!A210="","",IF(AND(安値!AB210&lt;安値!AA210,安値!AB210&lt;安値!Z210,安値!AB210&lt;安値!AC210,安値!AB210&lt;安値!AD210),23,""))</f>
        <v/>
      </c>
      <c r="X210" s="503" t="str">
        <f>IF(終値!A210="","",IF(AND(安値!AC210&lt;安値!AB210,安値!AC210&lt;安値!AA210,安値!AC210&lt;安値!AD210,安値!AC210&lt;安値!AE210),24,""))</f>
        <v/>
      </c>
      <c r="Y210" s="503" t="str">
        <f>IF(終値!A210="","",IF(AND(安値!AD210&lt;安値!AC210,安値!AD210&lt;安値!AB210,安値!AD210&lt;安値!AE210,安値!AD210&lt;安値!AF210),25,""))</f>
        <v/>
      </c>
      <c r="Z210" s="503">
        <f>IF(終値!A210="","",IF(AND(安値!AE210&lt;安値!AD210,安値!AE210&lt;安値!AC210,安値!AE210&lt;安値!AF210,安値!AE210&lt;安値!AG210),26,""))</f>
        <v>26</v>
      </c>
      <c r="AA210" s="503" t="str">
        <f>IF(終値!A210="","",IF(AND(安値!AF210&lt;安値!AE210,安値!AF210&lt;安値!AD210,安値!AF210&lt;安値!AG210,安値!AF210&lt;安値!AH210),27,""))</f>
        <v/>
      </c>
      <c r="AB210" s="503" t="str">
        <f>IF(終値!A210="","",IF(AND(安値!AG210&lt;安値!AF210,安値!AG210&lt;安値!AE210,安値!AG210&lt;安値!AH210,安値!AG210&lt;安値!AI210),28,""))</f>
        <v/>
      </c>
      <c r="AC210" s="503" t="str">
        <f>IF(終値!A210="","",IF(AND(高値!G210&gt;高値!F210,高値!G210&gt;高値!E210,高値!G210&gt;高値!H210,高値!G210&gt;高値!I210),2,""))</f>
        <v/>
      </c>
      <c r="AD210" s="503" t="str">
        <f>IF(終値!A210="","",IF(AND(高値!H210&gt;高値!G210,高値!H210&gt;高値!F210,高値!H210&gt;高値!I210,高値!H210&gt;高値!J210),3,""))</f>
        <v/>
      </c>
      <c r="AE210" s="503" t="str">
        <f>IF(終値!A210="","",IF(AND(高値!I210&gt;高値!H210,高値!I210&gt;高値!G210,高値!I210&gt;高値!J210,高値!I210&gt;高値!K210),4,""))</f>
        <v/>
      </c>
      <c r="AF210" s="503" t="str">
        <f>IF(終値!A210="","",IF(AND(高値!J210&gt;高値!I210,高値!J210&gt;高値!H210,高値!J210&gt;高値!K210,高値!J210&gt;高値!L210),5,""))</f>
        <v/>
      </c>
      <c r="AG210" s="503" t="str">
        <f>IF(終値!A210="","",IF(AND(高値!K210&gt;高値!J210,高値!K210&gt;高値!I210,高値!K210&gt;高値!L210,高値!K210&gt;高値!M210),6,""))</f>
        <v/>
      </c>
      <c r="AH210" s="503" t="str">
        <f>IF(終値!A210="","",IF(AND(高値!L210&gt;高値!K210,高値!L210&gt;高値!J210,高値!L210&gt;高値!M210,高値!L210&gt;高値!N210),7,""))</f>
        <v/>
      </c>
      <c r="AI210" s="503" t="str">
        <f>IF(終値!A210="","",IF(AND(高値!M210&gt;高値!L210,高値!M210&gt;高値!K210,高値!M210&gt;高値!N210,高値!M210&gt;高値!O210),8,""))</f>
        <v/>
      </c>
      <c r="AJ210" s="503" t="str">
        <f>IF(終値!A210="","",IF(AND(高値!N210&gt;高値!M210,高値!N210&gt;高値!L210,高値!N210&gt;高値!O210,高値!N210&gt;高値!P210),9,""))</f>
        <v/>
      </c>
      <c r="AK210" s="503" t="str">
        <f>IF(終値!A210="","",IF(AND(高値!O210&gt;高値!N210,高値!O210&gt;高値!M210,高値!O210&gt;高値!P210,高値!O210&gt;高値!Q210),10,""))</f>
        <v/>
      </c>
      <c r="AL210" s="503">
        <f>IF(終値!A210="","",IF(AND(高値!P210&gt;高値!O210,高値!P210&gt;高値!N210,高値!P210&gt;高値!Q210,高値!P210&gt;高値!R210),11,""))</f>
        <v>11</v>
      </c>
      <c r="AM210" s="503" t="str">
        <f>IF(終値!A210="","",IF(AND(高値!Q210&gt;高値!P210,高値!Q210&gt;高値!O210,高値!Q210&gt;高値!R210,高値!Q210&gt;高値!S210),12,""))</f>
        <v/>
      </c>
      <c r="AN210" s="503" t="str">
        <f>IF(終値!A210="","",IF(AND(高値!R210&gt;高値!Q210,高値!R210&gt;高値!P210,高値!R210&gt;高値!S210,高値!R210&gt;高値!T210),13,""))</f>
        <v/>
      </c>
      <c r="AO210" s="503" t="str">
        <f>IF(終値!A210="","",IF(AND(高値!S210&gt;高値!R210,高値!S210&gt;高値!Q210,高値!S210&gt;高値!T210,高値!S210&gt;高値!U210),14,""))</f>
        <v/>
      </c>
      <c r="AP210" s="503" t="str">
        <f>IF(終値!A210="","",IF(AND(高値!T210&gt;高値!S210,高値!T210&gt;高値!R210,高値!T210&gt;高値!U210,高値!T210&gt;高値!V210),15,""))</f>
        <v/>
      </c>
      <c r="AQ210" s="503" t="str">
        <f>IF(終値!A210="","",IF(AND(高値!U210&gt;高値!T210,高値!U210&gt;高値!S210,高値!U210&gt;高値!V210,高値!U210&gt;高値!W210),16,""))</f>
        <v/>
      </c>
      <c r="AR210" s="503">
        <f>IF(終値!A210="","",IF(AND(高値!V210&gt;高値!U210,高値!V210&gt;高値!T210,高値!V210&gt;高値!W210,高値!V210&gt;高値!X210),17,""))</f>
        <v>17</v>
      </c>
      <c r="AS210" s="503" t="str">
        <f>IF(終値!A210="","",IF(AND(高値!W210&gt;高値!V210,高値!W210&gt;高値!U210,高値!W210&gt;高値!X210,高値!W210&gt;高値!Y210),18,""))</f>
        <v/>
      </c>
      <c r="AT210" s="503" t="str">
        <f>IF(終値!A210="","",IF(AND(高値!X210&gt;高値!W210,高値!X210&gt;高値!V210,高値!X210&gt;高値!Y210,高値!X210&gt;高値!Z210),19,""))</f>
        <v/>
      </c>
      <c r="AU210" s="503" t="str">
        <f>IF(終値!A210="","",IF(AND(高値!Y210&gt;高値!X210,高値!Y210&gt;高値!W210,高値!Y210&gt;高値!Z210,高値!Y210&gt;高値!AA210),20,""))</f>
        <v/>
      </c>
      <c r="AV210" s="503">
        <f>IF(終値!A210="","",IF(AND(高値!Z210&gt;高値!Y210,高値!Z210&gt;高値!X210,高値!Z210&gt;高値!AA210,高値!Z210&gt;高値!AB210),21,""))</f>
        <v>21</v>
      </c>
      <c r="AW210" s="503" t="str">
        <f>IF(終値!A210="","",IF(AND(高値!AA210&gt;高値!Z210,高値!AA210&gt;高値!Y210,高値!AA210&gt;高値!AB210,高値!AA210&gt;高値!AC210),22,""))</f>
        <v/>
      </c>
      <c r="AX210" s="503" t="str">
        <f>IF(終値!A210="","",IF(AND(高値!AB210&gt;高値!AA210,高値!AB210&gt;高値!Z210,高値!AB210&gt;高値!AC210,高値!AB210&gt;高値!AD210),23,""))</f>
        <v/>
      </c>
      <c r="AY210" s="503" t="str">
        <f>IF(終値!A210="","",IF(AND(高値!AC210&gt;高値!AB210,高値!AC210&gt;高値!AA210,高値!AC210&gt;高値!AD210,高値!AC210&gt;高値!AE210),24,""))</f>
        <v/>
      </c>
      <c r="AZ210" s="503" t="str">
        <f>IF(終値!A210="","",IF(AND(高値!AD210&gt;高値!AC210,高値!AD210&gt;高値!AB210,高値!AD210&gt;高値!AE210,高値!AD210&gt;高値!AF210),25,""))</f>
        <v/>
      </c>
      <c r="BA210" s="503" t="str">
        <f>IF(終値!A210="","",IF(AND(高値!AE210&gt;高値!AD210,高値!AE210&gt;高値!AC210,高値!AE210&gt;高値!AF210,高値!AE210&gt;高値!AG210),26,""))</f>
        <v/>
      </c>
      <c r="BB210" s="503" t="str">
        <f>IF(終値!A210="","",IF(AND(高値!AF210&gt;高値!AE210,高値!AF210&gt;高値!AD210,高値!AF210&gt;高値!AG210,高値!AF210&gt;高値!AH210),27,""))</f>
        <v/>
      </c>
      <c r="BC210" s="503" t="str">
        <f>IF(終値!A210="","",IF(AND(高値!AG210&gt;高値!AF210,高値!AG210&gt;高値!AE210,高値!AG210&gt;高値!AH210,高値!AG210&gt;高値!AI210),28,""))</f>
        <v/>
      </c>
      <c r="BD210" s="503">
        <f t="shared" si="18"/>
        <v>4</v>
      </c>
      <c r="BE210" s="503">
        <f t="shared" si="19"/>
        <v>6</v>
      </c>
      <c r="BF210" s="503">
        <f t="shared" si="20"/>
        <v>12</v>
      </c>
      <c r="BG210" s="503">
        <f>IF($BE210="","",INDEX(安値!$E210:$CZ210,1,$BE210+1))</f>
        <v>5260</v>
      </c>
      <c r="BH210" s="503">
        <f>IF($BF210="","",INDEX(安値!$E210:$CZ210,1,$BF210+1))</f>
        <v>6180</v>
      </c>
      <c r="BI210" s="503">
        <f>IF($BF210="","",MAX(INDEX(高値!$E210:$CZ210,1,$BE210+1):INDEX(高値!$E210:$CZ210,1,$BF210+1)))</f>
        <v>7180</v>
      </c>
      <c r="BJ210" s="503">
        <f>IF($BF210="","",AVERAGE(INDEX(終値!$E210:$CZ210,1,$BF210+1):INDEX(終値!$E210:$CZ210,1,$BF210+20))-2*STDEVP(INDEX(終値!$E210:$CZ210,1,$BF210+1):INDEX(終値!$E210:$CZ210,1,$BF210+20)))</f>
        <v>6443.4435241664769</v>
      </c>
      <c r="BK210" s="503">
        <f>IF($BE210="","",AVERAGE(INDEX(終値!$E210:$CZ210,1,$BE210+1):INDEX(終値!$E210:$CZ210,1,$BE210+20))-2*STDEVP(INDEX(終値!$E210:$CZ210,1,$BE210+1):INDEX(終値!$E210:$CZ210,1,$BE210+20)))</f>
        <v>5526.0726094473985</v>
      </c>
      <c r="BL210" s="503">
        <f t="shared" si="21"/>
        <v>3</v>
      </c>
      <c r="BM210" s="503">
        <f t="shared" si="22"/>
        <v>11</v>
      </c>
      <c r="BN210" s="503">
        <f t="shared" si="23"/>
        <v>17</v>
      </c>
      <c r="BO210" s="503">
        <f>IF($BM210="","",INDEX(高値!$E210:$CZ210,1,$BM210+1))</f>
        <v>7180</v>
      </c>
      <c r="BP210" s="503">
        <f>IF($BN210="","",INDEX(高値!$E210:$CZ210,1,$BN210+1))</f>
        <v>8200</v>
      </c>
      <c r="BQ210" s="503">
        <f>IF($BN210="","",MIN(INDEX(安値!$E210:$CZ210,1,$BM210+1):INDEX(安値!$E210:$CZ210,1,$BN210+1)))</f>
        <v>6180</v>
      </c>
      <c r="BR210" s="503">
        <f>IF($BN210="","",AVERAGE(INDEX(終値!$E210:$CZ210,1,$BN210+1):INDEX(終値!$E210:$CZ210,1,$BN210+20))+2*STDEVP(INDEX(終値!$E210:$CZ210,1,$BN210+1):INDEX(終値!$E210:$CZ210,1,$BN210+20)))</f>
        <v>8896.1917686262277</v>
      </c>
      <c r="BS210" s="503">
        <f>IF($BM210="","",AVERAGE(INDEX(終値!$E210:$CZ210,1,$BM210+1):INDEX(終値!$E210:$CZ210,1,$BM210+20))+2*STDEVP(INDEX(終値!$E210:$CZ210,1,$BM210+1):INDEX(終値!$E210:$CZ210,1,$BM210+20)))</f>
        <v>8845.527596431135</v>
      </c>
      <c r="BT210" s="500"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3" t="str">
        <f>IF(終値!A211="","",IF(AND(安値!G211&lt;安値!F211,安値!G211&lt;安値!E211,安値!G211&lt;安値!H211,安値!G211&lt;安値!I211),2,""))</f>
        <v/>
      </c>
      <c r="C211" s="503" t="str">
        <f>IF(終値!A211="","",IF(AND(安値!H211&lt;安値!G211,安値!H211&lt;安値!F211,安値!H211&lt;安値!I211,安値!H211&lt;安値!J211),3,""))</f>
        <v/>
      </c>
      <c r="D211" s="503" t="str">
        <f>IF(終値!A211="","",IF(AND(安値!I211&lt;安値!H211,安値!I211&lt;安値!G211,安値!I211&lt;安値!J211,安値!I211&lt;安値!K211),4,""))</f>
        <v/>
      </c>
      <c r="E211" s="503" t="str">
        <f>IF(終値!A211="","",IF(AND(安値!J211&lt;安値!I211,安値!J211&lt;安値!H211,安値!J211&lt;安値!K211,安値!J211&lt;安値!L211),5,""))</f>
        <v/>
      </c>
      <c r="F211" s="503">
        <f>IF(終値!A211="","",IF(AND(安値!K211&lt;安値!J211,安値!K211&lt;安値!I211,安値!K211&lt;安値!L211,安値!K211&lt;安値!M211),6,""))</f>
        <v>6</v>
      </c>
      <c r="G211" s="503" t="str">
        <f>IF(終値!A211="","",IF(AND(安値!L211&lt;安値!K211,安値!L211&lt;安値!J211,安値!L211&lt;安値!M211,安値!L211&lt;安値!N211),7,""))</f>
        <v/>
      </c>
      <c r="H211" s="503" t="str">
        <f>IF(終値!A211="","",IF(AND(安値!M211&lt;安値!L211,安値!M211&lt;安値!K211,安値!M211&lt;安値!N211,安値!M211&lt;安値!O211),8,""))</f>
        <v/>
      </c>
      <c r="I211" s="503" t="str">
        <f>IF(終値!A211="","",IF(AND(安値!N211&lt;安値!M211,安値!N211&lt;安値!L211,安値!N211&lt;安値!O211,安値!N211&lt;安値!P211),9,""))</f>
        <v/>
      </c>
      <c r="J211" s="503" t="str">
        <f>IF(終値!A211="","",IF(AND(安値!O211&lt;安値!N211,安値!O211&lt;安値!M211,安値!O211&lt;安値!P211,安値!O211&lt;安値!Q211),10,""))</f>
        <v/>
      </c>
      <c r="K211" s="503" t="str">
        <f>IF(終値!A211="","",IF(AND(安値!P211&lt;安値!O211,安値!P211&lt;安値!N211,安値!P211&lt;安値!Q211,安値!P211&lt;安値!R211),11,""))</f>
        <v/>
      </c>
      <c r="L211" s="503" t="str">
        <f>IF(終値!A211="","",IF(AND(安値!Q211&lt;安値!P211,安値!Q211&lt;安値!O211,安値!Q211&lt;安値!R211,安値!Q211&lt;安値!S211),12,""))</f>
        <v/>
      </c>
      <c r="M211" s="503">
        <f>IF(終値!A211="","",IF(AND(安値!R211&lt;安値!Q211,安値!R211&lt;安値!P211,安値!R211&lt;安値!S211,安値!R211&lt;安値!T211),13,""))</f>
        <v>13</v>
      </c>
      <c r="N211" s="503" t="str">
        <f>IF(終値!A211="","",IF(AND(安値!S211&lt;安値!R211,安値!S211&lt;安値!Q211,安値!S211&lt;安値!T211,安値!S211&lt;安値!U211),14,""))</f>
        <v/>
      </c>
      <c r="O211" s="503" t="str">
        <f>IF(終値!A211="","",IF(AND(安値!T211&lt;安値!S211,安値!T211&lt;安値!R211,安値!T211&lt;安値!U211,安値!T211&lt;安値!V211),15,""))</f>
        <v/>
      </c>
      <c r="P211" s="503" t="str">
        <f>IF(終値!A211="","",IF(AND(安値!U211&lt;安値!T211,安値!U211&lt;安値!S211,安値!U211&lt;安値!V211,安値!U211&lt;安値!W211),16,""))</f>
        <v/>
      </c>
      <c r="Q211" s="503" t="str">
        <f>IF(終値!A211="","",IF(AND(安値!V211&lt;安値!U211,安値!V211&lt;安値!T211,安値!V211&lt;安値!W211,安値!V211&lt;安値!X211),17,""))</f>
        <v/>
      </c>
      <c r="R211" s="503" t="str">
        <f>IF(終値!A211="","",IF(AND(安値!W211&lt;安値!V211,安値!W211&lt;安値!U211,安値!W211&lt;安値!X211,安値!W211&lt;安値!Y211),18,""))</f>
        <v/>
      </c>
      <c r="S211" s="503">
        <f>IF(終値!A211="","",IF(AND(安値!X211&lt;安値!W211,安値!X211&lt;安値!V211,安値!X211&lt;安値!Y211,安値!X211&lt;安値!Z211),19,""))</f>
        <v>19</v>
      </c>
      <c r="T211" s="503" t="str">
        <f>IF(終値!A211="","",IF(AND(安値!Y211&lt;安値!X211,安値!Y211&lt;安値!W211,安値!Y211&lt;安値!Z211,安値!Y211&lt;安値!AA211),20,""))</f>
        <v/>
      </c>
      <c r="U211" s="503" t="str">
        <f>IF(終値!A211="","",IF(AND(安値!Z211&lt;安値!Y211,安値!Z211&lt;安値!X211,安値!Z211&lt;安値!AA211,安値!Z211&lt;安値!AB211),21,""))</f>
        <v/>
      </c>
      <c r="V211" s="503">
        <f>IF(終値!A211="","",IF(AND(安値!AA211&lt;安値!Z211,安値!AA211&lt;安値!Y211,安値!AA211&lt;安値!AB211,安値!AA211&lt;安値!AC211),22,""))</f>
        <v>22</v>
      </c>
      <c r="W211" s="503" t="str">
        <f>IF(終値!A211="","",IF(AND(安値!AB211&lt;安値!AA211,安値!AB211&lt;安値!Z211,安値!AB211&lt;安値!AC211,安値!AB211&lt;安値!AD211),23,""))</f>
        <v/>
      </c>
      <c r="X211" s="503" t="str">
        <f>IF(終値!A211="","",IF(AND(安値!AC211&lt;安値!AB211,安値!AC211&lt;安値!AA211,安値!AC211&lt;安値!AD211,安値!AC211&lt;安値!AE211),24,""))</f>
        <v/>
      </c>
      <c r="Y211" s="503" t="str">
        <f>IF(終値!A211="","",IF(AND(安値!AD211&lt;安値!AC211,安値!AD211&lt;安値!AB211,安値!AD211&lt;安値!AE211,安値!AD211&lt;安値!AF211),25,""))</f>
        <v/>
      </c>
      <c r="Z211" s="503">
        <f>IF(終値!A211="","",IF(AND(安値!AE211&lt;安値!AD211,安値!AE211&lt;安値!AC211,安値!AE211&lt;安値!AF211,安値!AE211&lt;安値!AG211),26,""))</f>
        <v>26</v>
      </c>
      <c r="AA211" s="503" t="str">
        <f>IF(終値!A211="","",IF(AND(安値!AF211&lt;安値!AE211,安値!AF211&lt;安値!AD211,安値!AF211&lt;安値!AG211,安値!AF211&lt;安値!AH211),27,""))</f>
        <v/>
      </c>
      <c r="AB211" s="503" t="str">
        <f>IF(終値!A211="","",IF(AND(安値!AG211&lt;安値!AF211,安値!AG211&lt;安値!AE211,安値!AG211&lt;安値!AH211,安値!AG211&lt;安値!AI211),28,""))</f>
        <v/>
      </c>
      <c r="AC211" s="503" t="str">
        <f>IF(終値!A211="","",IF(AND(高値!G211&gt;高値!F211,高値!G211&gt;高値!E211,高値!G211&gt;高値!H211,高値!G211&gt;高値!I211),2,""))</f>
        <v/>
      </c>
      <c r="AD211" s="503" t="str">
        <f>IF(終値!A211="","",IF(AND(高値!H211&gt;高値!G211,高値!H211&gt;高値!F211,高値!H211&gt;高値!I211,高値!H211&gt;高値!J211),3,""))</f>
        <v/>
      </c>
      <c r="AE211" s="503" t="str">
        <f>IF(終値!A211="","",IF(AND(高値!I211&gt;高値!H211,高値!I211&gt;高値!G211,高値!I211&gt;高値!J211,高値!I211&gt;高値!K211),4,""))</f>
        <v/>
      </c>
      <c r="AF211" s="503" t="str">
        <f>IF(終値!A211="","",IF(AND(高値!J211&gt;高値!I211,高値!J211&gt;高値!H211,高値!J211&gt;高値!K211,高値!J211&gt;高値!L211),5,""))</f>
        <v/>
      </c>
      <c r="AG211" s="503" t="str">
        <f>IF(終値!A211="","",IF(AND(高値!K211&gt;高値!J211,高値!K211&gt;高値!I211,高値!K211&gt;高値!L211,高値!K211&gt;高値!M211),6,""))</f>
        <v/>
      </c>
      <c r="AH211" s="503" t="str">
        <f>IF(終値!A211="","",IF(AND(高値!L211&gt;高値!K211,高値!L211&gt;高値!J211,高値!L211&gt;高値!M211,高値!L211&gt;高値!N211),7,""))</f>
        <v/>
      </c>
      <c r="AI211" s="503" t="str">
        <f>IF(終値!A211="","",IF(AND(高値!M211&gt;高値!L211,高値!M211&gt;高値!K211,高値!M211&gt;高値!N211,高値!M211&gt;高値!O211),8,""))</f>
        <v/>
      </c>
      <c r="AJ211" s="503" t="str">
        <f>IF(終値!A211="","",IF(AND(高値!N211&gt;高値!M211,高値!N211&gt;高値!L211,高値!N211&gt;高値!O211,高値!N211&gt;高値!P211),9,""))</f>
        <v/>
      </c>
      <c r="AK211" s="503">
        <f>IF(終値!A211="","",IF(AND(高値!O211&gt;高値!N211,高値!O211&gt;高値!M211,高値!O211&gt;高値!P211,高値!O211&gt;高値!Q211),10,""))</f>
        <v>10</v>
      </c>
      <c r="AL211" s="503" t="str">
        <f>IF(終値!A211="","",IF(AND(高値!P211&gt;高値!O211,高値!P211&gt;高値!N211,高値!P211&gt;高値!Q211,高値!P211&gt;高値!R211),11,""))</f>
        <v/>
      </c>
      <c r="AM211" s="503" t="str">
        <f>IF(終値!A211="","",IF(AND(高値!Q211&gt;高値!P211,高値!Q211&gt;高値!O211,高値!Q211&gt;高値!R211,高値!Q211&gt;高値!S211),12,""))</f>
        <v/>
      </c>
      <c r="AN211" s="503" t="str">
        <f>IF(終値!A211="","",IF(AND(高値!R211&gt;高値!Q211,高値!R211&gt;高値!P211,高値!R211&gt;高値!S211,高値!R211&gt;高値!T211),13,""))</f>
        <v/>
      </c>
      <c r="AO211" s="503" t="str">
        <f>IF(終値!A211="","",IF(AND(高値!S211&gt;高値!R211,高値!S211&gt;高値!Q211,高値!S211&gt;高値!T211,高値!S211&gt;高値!U211),14,""))</f>
        <v/>
      </c>
      <c r="AP211" s="503" t="str">
        <f>IF(終値!A211="","",IF(AND(高値!T211&gt;高値!S211,高値!T211&gt;高値!R211,高値!T211&gt;高値!U211,高値!T211&gt;高値!V211),15,""))</f>
        <v/>
      </c>
      <c r="AQ211" s="503">
        <f>IF(終値!A211="","",IF(AND(高値!U211&gt;高値!T211,高値!U211&gt;高値!S211,高値!U211&gt;高値!V211,高値!U211&gt;高値!W211),16,""))</f>
        <v>16</v>
      </c>
      <c r="AR211" s="503" t="str">
        <f>IF(終値!A211="","",IF(AND(高値!V211&gt;高値!U211,高値!V211&gt;高値!T211,高値!V211&gt;高値!W211,高値!V211&gt;高値!X211),17,""))</f>
        <v/>
      </c>
      <c r="AS211" s="503" t="str">
        <f>IF(終値!A211="","",IF(AND(高値!W211&gt;高値!V211,高値!W211&gt;高値!U211,高値!W211&gt;高値!X211,高値!W211&gt;高値!Y211),18,""))</f>
        <v/>
      </c>
      <c r="AT211" s="503" t="str">
        <f>IF(終値!A211="","",IF(AND(高値!X211&gt;高値!W211,高値!X211&gt;高値!V211,高値!X211&gt;高値!Y211,高値!X211&gt;高値!Z211),19,""))</f>
        <v/>
      </c>
      <c r="AU211" s="503" t="str">
        <f>IF(終値!A211="","",IF(AND(高値!Y211&gt;高値!X211,高値!Y211&gt;高値!W211,高値!Y211&gt;高値!Z211,高値!Y211&gt;高値!AA211),20,""))</f>
        <v/>
      </c>
      <c r="AV211" s="503">
        <f>IF(終値!A211="","",IF(AND(高値!Z211&gt;高値!Y211,高値!Z211&gt;高値!X211,高値!Z211&gt;高値!AA211,高値!Z211&gt;高値!AB211),21,""))</f>
        <v>21</v>
      </c>
      <c r="AW211" s="503" t="str">
        <f>IF(終値!A211="","",IF(AND(高値!AA211&gt;高値!Z211,高値!AA211&gt;高値!Y211,高値!AA211&gt;高値!AB211,高値!AA211&gt;高値!AC211),22,""))</f>
        <v/>
      </c>
      <c r="AX211" s="503" t="str">
        <f>IF(終値!A211="","",IF(AND(高値!AB211&gt;高値!AA211,高値!AB211&gt;高値!Z211,高値!AB211&gt;高値!AC211,高値!AB211&gt;高値!AD211),23,""))</f>
        <v/>
      </c>
      <c r="AY211" s="503" t="str">
        <f>IF(終値!A211="","",IF(AND(高値!AC211&gt;高値!AB211,高値!AC211&gt;高値!AA211,高値!AC211&gt;高値!AD211,高値!AC211&gt;高値!AE211),24,""))</f>
        <v/>
      </c>
      <c r="AZ211" s="503" t="str">
        <f>IF(終値!A211="","",IF(AND(高値!AD211&gt;高値!AC211,高値!AD211&gt;高値!AB211,高値!AD211&gt;高値!AE211,高値!AD211&gt;高値!AF211),25,""))</f>
        <v/>
      </c>
      <c r="BA211" s="503" t="str">
        <f>IF(終値!A211="","",IF(AND(高値!AE211&gt;高値!AD211,高値!AE211&gt;高値!AC211,高値!AE211&gt;高値!AF211,高値!AE211&gt;高値!AG211),26,""))</f>
        <v/>
      </c>
      <c r="BB211" s="503" t="str">
        <f>IF(終値!A211="","",IF(AND(高値!AF211&gt;高値!AE211,高値!AF211&gt;高値!AD211,高値!AF211&gt;高値!AG211,高値!AF211&gt;高値!AH211),27,""))</f>
        <v/>
      </c>
      <c r="BC211" s="503" t="str">
        <f>IF(終値!A211="","",IF(AND(高値!AG211&gt;高値!AF211,高値!AG211&gt;高値!AE211,高値!AG211&gt;高値!AH211,高値!AG211&gt;高値!AI211),28,""))</f>
        <v/>
      </c>
      <c r="BD211" s="503">
        <f t="shared" si="18"/>
        <v>5</v>
      </c>
      <c r="BE211" s="503">
        <f t="shared" si="19"/>
        <v>6</v>
      </c>
      <c r="BF211" s="503">
        <f t="shared" si="20"/>
        <v>13</v>
      </c>
      <c r="BG211" s="503">
        <f>IF($BE211="","",INDEX(安値!$E211:$CZ211,1,$BE211+1))</f>
        <v>62840</v>
      </c>
      <c r="BH211" s="503">
        <f>IF($BF211="","",INDEX(安値!$E211:$CZ211,1,$BF211+1))</f>
        <v>67250</v>
      </c>
      <c r="BI211" s="503">
        <f>IF($BF211="","",MAX(INDEX(高値!$E211:$CZ211,1,$BE211+1):INDEX(高値!$E211:$CZ211,1,$BF211+1)))</f>
        <v>73400</v>
      </c>
      <c r="BJ211" s="503">
        <f>IF($BF211="","",AVERAGE(INDEX(終値!$E211:$CZ211,1,$BF211+1):INDEX(終値!$E211:$CZ211,1,$BF211+20))-2*STDEVP(INDEX(終値!$E211:$CZ211,1,$BF211+1):INDEX(終値!$E211:$CZ211,1,$BF211+20)))</f>
        <v>68662.587245958697</v>
      </c>
      <c r="BK211" s="503">
        <f>IF($BE211="","",AVERAGE(INDEX(終値!$E211:$CZ211,1,$BE211+1):INDEX(終値!$E211:$CZ211,1,$BE211+20))-2*STDEVP(INDEX(終値!$E211:$CZ211,1,$BE211+1):INDEX(終値!$E211:$CZ211,1,$BE211+20)))</f>
        <v>66071.570385906423</v>
      </c>
      <c r="BL211" s="503">
        <f t="shared" si="21"/>
        <v>3</v>
      </c>
      <c r="BM211" s="503">
        <f t="shared" si="22"/>
        <v>10</v>
      </c>
      <c r="BN211" s="503">
        <f t="shared" si="23"/>
        <v>16</v>
      </c>
      <c r="BO211" s="503">
        <f>IF($BM211="","",INDEX(高値!$E211:$CZ211,1,$BM211+1))</f>
        <v>73400</v>
      </c>
      <c r="BP211" s="503">
        <f>IF($BN211="","",INDEX(高値!$E211:$CZ211,1,$BN211+1))</f>
        <v>76500</v>
      </c>
      <c r="BQ211" s="503">
        <f>IF($BN211="","",MIN(INDEX(安値!$E211:$CZ211,1,$BM211+1):INDEX(安値!$E211:$CZ211,1,$BN211+1)))</f>
        <v>67250</v>
      </c>
      <c r="BR211" s="503">
        <f>IF($BN211="","",AVERAGE(INDEX(終値!$E211:$CZ211,1,$BN211+1):INDEX(終値!$E211:$CZ211,1,$BN211+20))+2*STDEVP(INDEX(終値!$E211:$CZ211,1,$BN211+1):INDEX(終値!$E211:$CZ211,1,$BN211+20)))</f>
        <v>76567.138431502681</v>
      </c>
      <c r="BS211" s="503">
        <f>IF($BM211="","",AVERAGE(INDEX(終値!$E211:$CZ211,1,$BM211+1):INDEX(終値!$E211:$CZ211,1,$BM211+20))+2*STDEVP(INDEX(終値!$E211:$CZ211,1,$BM211+1):INDEX(終値!$E211:$CZ211,1,$BM211+20)))</f>
        <v>76673.882758416192</v>
      </c>
      <c r="BT211" s="500"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v>
      </c>
    </row>
    <row r="212" spans="2:72">
      <c r="B212" s="503" t="str">
        <f>IF(終値!A212="","",IF(AND(安値!G212&lt;安値!F212,安値!G212&lt;安値!E212,安値!G212&lt;安値!H212,安値!G212&lt;安値!I212),2,""))</f>
        <v/>
      </c>
      <c r="C212" s="503" t="str">
        <f>IF(終値!A212="","",IF(AND(安値!H212&lt;安値!G212,安値!H212&lt;安値!F212,安値!H212&lt;安値!I212,安値!H212&lt;安値!J212),3,""))</f>
        <v/>
      </c>
      <c r="D212" s="503" t="str">
        <f>IF(終値!A212="","",IF(AND(安値!I212&lt;安値!H212,安値!I212&lt;安値!G212,安値!I212&lt;安値!J212,安値!I212&lt;安値!K212),4,""))</f>
        <v/>
      </c>
      <c r="E212" s="503" t="str">
        <f>IF(終値!A212="","",IF(AND(安値!J212&lt;安値!I212,安値!J212&lt;安値!H212,安値!J212&lt;安値!K212,安値!J212&lt;安値!L212),5,""))</f>
        <v/>
      </c>
      <c r="F212" s="503" t="str">
        <f>IF(終値!A212="","",IF(AND(安値!K212&lt;安値!J212,安値!K212&lt;安値!I212,安値!K212&lt;安値!L212,安値!K212&lt;安値!M212),6,""))</f>
        <v/>
      </c>
      <c r="G212" s="503" t="str">
        <f>IF(終値!A212="","",IF(AND(安値!L212&lt;安値!K212,安値!L212&lt;安値!J212,安値!L212&lt;安値!M212,安値!L212&lt;安値!N212),7,""))</f>
        <v/>
      </c>
      <c r="H212" s="503" t="str">
        <f>IF(終値!A212="","",IF(AND(安値!M212&lt;安値!L212,安値!M212&lt;安値!K212,安値!M212&lt;安値!N212,安値!M212&lt;安値!O212),8,""))</f>
        <v/>
      </c>
      <c r="I212" s="503" t="str">
        <f>IF(終値!A212="","",IF(AND(安値!N212&lt;安値!M212,安値!N212&lt;安値!L212,安値!N212&lt;安値!O212,安値!N212&lt;安値!P212),9,""))</f>
        <v/>
      </c>
      <c r="J212" s="503">
        <f>IF(終値!A212="","",IF(AND(安値!O212&lt;安値!N212,安値!O212&lt;安値!M212,安値!O212&lt;安値!P212,安値!O212&lt;安値!Q212),10,""))</f>
        <v>10</v>
      </c>
      <c r="K212" s="503" t="str">
        <f>IF(終値!A212="","",IF(AND(安値!P212&lt;安値!O212,安値!P212&lt;安値!N212,安値!P212&lt;安値!Q212,安値!P212&lt;安値!R212),11,""))</f>
        <v/>
      </c>
      <c r="L212" s="503" t="str">
        <f>IF(終値!A212="","",IF(AND(安値!Q212&lt;安値!P212,安値!Q212&lt;安値!O212,安値!Q212&lt;安値!R212,安値!Q212&lt;安値!S212),12,""))</f>
        <v/>
      </c>
      <c r="M212" s="503" t="str">
        <f>IF(終値!A212="","",IF(AND(安値!R212&lt;安値!Q212,安値!R212&lt;安値!P212,安値!R212&lt;安値!S212,安値!R212&lt;安値!T212),13,""))</f>
        <v/>
      </c>
      <c r="N212" s="503">
        <f>IF(終値!A212="","",IF(AND(安値!S212&lt;安値!R212,安値!S212&lt;安値!Q212,安値!S212&lt;安値!T212,安値!S212&lt;安値!U212),14,""))</f>
        <v>14</v>
      </c>
      <c r="O212" s="503" t="str">
        <f>IF(終値!A212="","",IF(AND(安値!T212&lt;安値!S212,安値!T212&lt;安値!R212,安値!T212&lt;安値!U212,安値!T212&lt;安値!V212),15,""))</f>
        <v/>
      </c>
      <c r="P212" s="503" t="str">
        <f>IF(終値!A212="","",IF(AND(安値!U212&lt;安値!T212,安値!U212&lt;安値!S212,安値!U212&lt;安値!V212,安値!U212&lt;安値!W212),16,""))</f>
        <v/>
      </c>
      <c r="Q212" s="503" t="str">
        <f>IF(終値!A212="","",IF(AND(安値!V212&lt;安値!U212,安値!V212&lt;安値!T212,安値!V212&lt;安値!W212,安値!V212&lt;安値!X212),17,""))</f>
        <v/>
      </c>
      <c r="R212" s="503" t="str">
        <f>IF(終値!A212="","",IF(AND(安値!W212&lt;安値!V212,安値!W212&lt;安値!U212,安値!W212&lt;安値!X212,安値!W212&lt;安値!Y212),18,""))</f>
        <v/>
      </c>
      <c r="S212" s="503" t="str">
        <f>IF(終値!A212="","",IF(AND(安値!X212&lt;安値!W212,安値!X212&lt;安値!V212,安値!X212&lt;安値!Y212,安値!X212&lt;安値!Z212),19,""))</f>
        <v/>
      </c>
      <c r="T212" s="503" t="str">
        <f>IF(終値!A212="","",IF(AND(安値!Y212&lt;安値!X212,安値!Y212&lt;安値!W212,安値!Y212&lt;安値!Z212,安値!Y212&lt;安値!AA212),20,""))</f>
        <v/>
      </c>
      <c r="U212" s="503" t="str">
        <f>IF(終値!A212="","",IF(AND(安値!Z212&lt;安値!Y212,安値!Z212&lt;安値!X212,安値!Z212&lt;安値!AA212,安値!Z212&lt;安値!AB212),21,""))</f>
        <v/>
      </c>
      <c r="V212" s="503" t="str">
        <f>IF(終値!A212="","",IF(AND(安値!AA212&lt;安値!Z212,安値!AA212&lt;安値!Y212,安値!AA212&lt;安値!AB212,安値!AA212&lt;安値!AC212),22,""))</f>
        <v/>
      </c>
      <c r="W212" s="503" t="str">
        <f>IF(終値!A212="","",IF(AND(安値!AB212&lt;安値!AA212,安値!AB212&lt;安値!Z212,安値!AB212&lt;安値!AC212,安値!AB212&lt;安値!AD212),23,""))</f>
        <v/>
      </c>
      <c r="X212" s="503" t="str">
        <f>IF(終値!A212="","",IF(AND(安値!AC212&lt;安値!AB212,安値!AC212&lt;安値!AA212,安値!AC212&lt;安値!AD212,安値!AC212&lt;安値!AE212),24,""))</f>
        <v/>
      </c>
      <c r="Y212" s="503" t="str">
        <f>IF(終値!A212="","",IF(AND(安値!AD212&lt;安値!AC212,安値!AD212&lt;安値!AB212,安値!AD212&lt;安値!AE212,安値!AD212&lt;安値!AF212),25,""))</f>
        <v/>
      </c>
      <c r="Z212" s="503" t="str">
        <f>IF(終値!A212="","",IF(AND(安値!AE212&lt;安値!AD212,安値!AE212&lt;安値!AC212,安値!AE212&lt;安値!AF212,安値!AE212&lt;安値!AG212),26,""))</f>
        <v/>
      </c>
      <c r="AA212" s="503" t="str">
        <f>IF(終値!A212="","",IF(AND(安値!AF212&lt;安値!AE212,安値!AF212&lt;安値!AD212,安値!AF212&lt;安値!AG212,安値!AF212&lt;安値!AH212),27,""))</f>
        <v/>
      </c>
      <c r="AB212" s="503" t="str">
        <f>IF(終値!A212="","",IF(AND(安値!AG212&lt;安値!AF212,安値!AG212&lt;安値!AE212,安値!AG212&lt;安値!AH212,安値!AG212&lt;安値!AI212),28,""))</f>
        <v/>
      </c>
      <c r="AC212" s="503" t="str">
        <f>IF(終値!A212="","",IF(AND(高値!G212&gt;高値!F212,高値!G212&gt;高値!E212,高値!G212&gt;高値!H212,高値!G212&gt;高値!I212),2,""))</f>
        <v/>
      </c>
      <c r="AD212" s="503" t="str">
        <f>IF(終値!A212="","",IF(AND(高値!H212&gt;高値!G212,高値!H212&gt;高値!F212,高値!H212&gt;高値!I212,高値!H212&gt;高値!J212),3,""))</f>
        <v/>
      </c>
      <c r="AE212" s="503" t="str">
        <f>IF(終値!A212="","",IF(AND(高値!I212&gt;高値!H212,高値!I212&gt;高値!G212,高値!I212&gt;高値!J212,高値!I212&gt;高値!K212),4,""))</f>
        <v/>
      </c>
      <c r="AF212" s="503" t="str">
        <f>IF(終値!A212="","",IF(AND(高値!J212&gt;高値!I212,高値!J212&gt;高値!H212,高値!J212&gt;高値!K212,高値!J212&gt;高値!L212),5,""))</f>
        <v/>
      </c>
      <c r="AG212" s="503">
        <f>IF(終値!A212="","",IF(AND(高値!K212&gt;高値!J212,高値!K212&gt;高値!I212,高値!K212&gt;高値!L212,高値!K212&gt;高値!M212),6,""))</f>
        <v>6</v>
      </c>
      <c r="AH212" s="503" t="str">
        <f>IF(終値!A212="","",IF(AND(高値!L212&gt;高値!K212,高値!L212&gt;高値!J212,高値!L212&gt;高値!M212,高値!L212&gt;高値!N212),7,""))</f>
        <v/>
      </c>
      <c r="AI212" s="503" t="str">
        <f>IF(終値!A212="","",IF(AND(高値!M212&gt;高値!L212,高値!M212&gt;高値!K212,高値!M212&gt;高値!N212,高値!M212&gt;高値!O212),8,""))</f>
        <v/>
      </c>
      <c r="AJ212" s="503" t="str">
        <f>IF(終値!A212="","",IF(AND(高値!N212&gt;高値!M212,高値!N212&gt;高値!L212,高値!N212&gt;高値!O212,高値!N212&gt;高値!P212),9,""))</f>
        <v/>
      </c>
      <c r="AK212" s="503" t="str">
        <f>IF(終値!A212="","",IF(AND(高値!O212&gt;高値!N212,高値!O212&gt;高値!M212,高値!O212&gt;高値!P212,高値!O212&gt;高値!Q212),10,""))</f>
        <v/>
      </c>
      <c r="AL212" s="503" t="str">
        <f>IF(終値!A212="","",IF(AND(高値!P212&gt;高値!O212,高値!P212&gt;高値!N212,高値!P212&gt;高値!Q212,高値!P212&gt;高値!R212),11,""))</f>
        <v/>
      </c>
      <c r="AM212" s="503">
        <f>IF(終値!A212="","",IF(AND(高値!Q212&gt;高値!P212,高値!Q212&gt;高値!O212,高値!Q212&gt;高値!R212,高値!Q212&gt;高値!S212),12,""))</f>
        <v>12</v>
      </c>
      <c r="AN212" s="503" t="str">
        <f>IF(終値!A212="","",IF(AND(高値!R212&gt;高値!Q212,高値!R212&gt;高値!P212,高値!R212&gt;高値!S212,高値!R212&gt;高値!T212),13,""))</f>
        <v/>
      </c>
      <c r="AO212" s="503" t="str">
        <f>IF(終値!A212="","",IF(AND(高値!S212&gt;高値!R212,高値!S212&gt;高値!Q212,高値!S212&gt;高値!T212,高値!S212&gt;高値!U212),14,""))</f>
        <v/>
      </c>
      <c r="AP212" s="503" t="str">
        <f>IF(終値!A212="","",IF(AND(高値!T212&gt;高値!S212,高値!T212&gt;高値!R212,高値!T212&gt;高値!U212,高値!T212&gt;高値!V212),15,""))</f>
        <v/>
      </c>
      <c r="AQ212" s="503" t="str">
        <f>IF(終値!A212="","",IF(AND(高値!U212&gt;高値!T212,高値!U212&gt;高値!S212,高値!U212&gt;高値!V212,高値!U212&gt;高値!W212),16,""))</f>
        <v/>
      </c>
      <c r="AR212" s="503" t="str">
        <f>IF(終値!A212="","",IF(AND(高値!V212&gt;高値!U212,高値!V212&gt;高値!T212,高値!V212&gt;高値!W212,高値!V212&gt;高値!X212),17,""))</f>
        <v/>
      </c>
      <c r="AS212" s="503" t="str">
        <f>IF(終値!A212="","",IF(AND(高値!W212&gt;高値!V212,高値!W212&gt;高値!U212,高値!W212&gt;高値!X212,高値!W212&gt;高値!Y212),18,""))</f>
        <v/>
      </c>
      <c r="AT212" s="503">
        <f>IF(終値!A212="","",IF(AND(高値!X212&gt;高値!W212,高値!X212&gt;高値!V212,高値!X212&gt;高値!Y212,高値!X212&gt;高値!Z212),19,""))</f>
        <v>19</v>
      </c>
      <c r="AU212" s="503" t="str">
        <f>IF(終値!A212="","",IF(AND(高値!Y212&gt;高値!X212,高値!Y212&gt;高値!W212,高値!Y212&gt;高値!Z212,高値!Y212&gt;高値!AA212),20,""))</f>
        <v/>
      </c>
      <c r="AV212" s="503" t="str">
        <f>IF(終値!A212="","",IF(AND(高値!Z212&gt;高値!Y212,高値!Z212&gt;高値!X212,高値!Z212&gt;高値!AA212,高値!Z212&gt;高値!AB212),21,""))</f>
        <v/>
      </c>
      <c r="AW212" s="503" t="str">
        <f>IF(終値!A212="","",IF(AND(高値!AA212&gt;高値!Z212,高値!AA212&gt;高値!Y212,高値!AA212&gt;高値!AB212,高値!AA212&gt;高値!AC212),22,""))</f>
        <v/>
      </c>
      <c r="AX212" s="503" t="str">
        <f>IF(終値!A212="","",IF(AND(高値!AB212&gt;高値!AA212,高値!AB212&gt;高値!Z212,高値!AB212&gt;高値!AC212,高値!AB212&gt;高値!AD212),23,""))</f>
        <v/>
      </c>
      <c r="AY212" s="503" t="str">
        <f>IF(終値!A212="","",IF(AND(高値!AC212&gt;高値!AB212,高値!AC212&gt;高値!AA212,高値!AC212&gt;高値!AD212,高値!AC212&gt;高値!AE212),24,""))</f>
        <v/>
      </c>
      <c r="AZ212" s="503" t="str">
        <f>IF(終値!A212="","",IF(AND(高値!AD212&gt;高値!AC212,高値!AD212&gt;高値!AB212,高値!AD212&gt;高値!AE212,高値!AD212&gt;高値!AF212),25,""))</f>
        <v/>
      </c>
      <c r="BA212" s="503" t="str">
        <f>IF(終値!A212="","",IF(AND(高値!AE212&gt;高値!AD212,高値!AE212&gt;高値!AC212,高値!AE212&gt;高値!AF212,高値!AE212&gt;高値!AG212),26,""))</f>
        <v/>
      </c>
      <c r="BB212" s="503" t="str">
        <f>IF(終値!A212="","",IF(AND(高値!AF212&gt;高値!AE212,高値!AF212&gt;高値!AD212,高値!AF212&gt;高値!AG212,高値!AF212&gt;高値!AH212),27,""))</f>
        <v/>
      </c>
      <c r="BC212" s="503" t="str">
        <f>IF(終値!A212="","",IF(AND(高値!AG212&gt;高値!AF212,高値!AG212&gt;高値!AE212,高値!AG212&gt;高値!AH212,高値!AG212&gt;高値!AI212),28,""))</f>
        <v/>
      </c>
      <c r="BD212" s="503">
        <f t="shared" si="18"/>
        <v>2</v>
      </c>
      <c r="BE212" s="503">
        <f t="shared" si="19"/>
        <v>10</v>
      </c>
      <c r="BF212" s="503">
        <f t="shared" si="20"/>
        <v>14</v>
      </c>
      <c r="BG212" s="503">
        <f>IF($BE212="","",INDEX(安値!$E212:$CZ212,1,$BE212+1))</f>
        <v>5467</v>
      </c>
      <c r="BH212" s="503">
        <f>IF($BF212="","",INDEX(安値!$E212:$CZ212,1,$BF212+1))</f>
        <v>5249</v>
      </c>
      <c r="BI212" s="503">
        <f>IF($BF212="","",MAX(INDEX(高値!$E212:$CZ212,1,$BE212+1):INDEX(高値!$E212:$CZ212,1,$BF212+1)))</f>
        <v>5621</v>
      </c>
      <c r="BJ212" s="503">
        <f>IF($BF212="","",AVERAGE(INDEX(終値!$E212:$CZ212,1,$BF212+1):INDEX(終値!$E212:$CZ212,1,$BF212+20))-2*STDEVP(INDEX(終値!$E212:$CZ212,1,$BF212+1):INDEX(終値!$E212:$CZ212,1,$BF212+20)))</f>
        <v>4880.1595946503267</v>
      </c>
      <c r="BK212" s="503">
        <f>IF($BE212="","",AVERAGE(INDEX(終値!$E212:$CZ212,1,$BE212+1):INDEX(終値!$E212:$CZ212,1,$BE212+20))-2*STDEVP(INDEX(終値!$E212:$CZ212,1,$BE212+1):INDEX(終値!$E212:$CZ212,1,$BE212+20)))</f>
        <v>5011.3451659136945</v>
      </c>
      <c r="BL212" s="503">
        <f t="shared" si="21"/>
        <v>3</v>
      </c>
      <c r="BM212" s="503">
        <f t="shared" si="22"/>
        <v>6</v>
      </c>
      <c r="BN212" s="503">
        <f t="shared" si="23"/>
        <v>12</v>
      </c>
      <c r="BO212" s="503">
        <f>IF($BM212="","",INDEX(高値!$E212:$CZ212,1,$BM212+1))</f>
        <v>5903</v>
      </c>
      <c r="BP212" s="503">
        <f>IF($BN212="","",INDEX(高値!$E212:$CZ212,1,$BN212+1))</f>
        <v>5621</v>
      </c>
      <c r="BQ212" s="503">
        <f>IF($BN212="","",MIN(INDEX(安値!$E212:$CZ212,1,$BM212+1):INDEX(安値!$E212:$CZ212,1,$BN212+1)))</f>
        <v>5467</v>
      </c>
      <c r="BR212" s="503">
        <f>IF($BN212="","",AVERAGE(INDEX(終値!$E212:$CZ212,1,$BN212+1):INDEX(終値!$E212:$CZ212,1,$BN212+20))+2*STDEVP(INDEX(終値!$E212:$CZ212,1,$BN212+1):INDEX(終値!$E212:$CZ212,1,$BN212+20)))</f>
        <v>5616.8773489301357</v>
      </c>
      <c r="BS212" s="503">
        <f>IF($BM212="","",AVERAGE(INDEX(終値!$E212:$CZ212,1,$BM212+1):INDEX(終値!$E212:$CZ212,1,$BM212+20))+2*STDEVP(INDEX(終値!$E212:$CZ212,1,$BM212+1):INDEX(終値!$E212:$CZ212,1,$BM212+20)))</f>
        <v>5831.3350558287739</v>
      </c>
      <c r="BT212" s="500"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3" t="str">
        <f>IF(終値!A213="","",IF(AND(安値!G213&lt;安値!F213,安値!G213&lt;安値!E213,安値!G213&lt;安値!H213,安値!G213&lt;安値!I213),2,""))</f>
        <v/>
      </c>
      <c r="C213" s="503" t="str">
        <f>IF(終値!A213="","",IF(AND(安値!H213&lt;安値!G213,安値!H213&lt;安値!F213,安値!H213&lt;安値!I213,安値!H213&lt;安値!J213),3,""))</f>
        <v/>
      </c>
      <c r="D213" s="503" t="str">
        <f>IF(終値!A213="","",IF(AND(安値!I213&lt;安値!H213,安値!I213&lt;安値!G213,安値!I213&lt;安値!J213,安値!I213&lt;安値!K213),4,""))</f>
        <v/>
      </c>
      <c r="E213" s="503">
        <f>IF(終値!A213="","",IF(AND(安値!J213&lt;安値!I213,安値!J213&lt;安値!H213,安値!J213&lt;安値!K213,安値!J213&lt;安値!L213),5,""))</f>
        <v>5</v>
      </c>
      <c r="F213" s="503" t="str">
        <f>IF(終値!A213="","",IF(AND(安値!K213&lt;安値!J213,安値!K213&lt;安値!I213,安値!K213&lt;安値!L213,安値!K213&lt;安値!M213),6,""))</f>
        <v/>
      </c>
      <c r="G213" s="503" t="str">
        <f>IF(終値!A213="","",IF(AND(安値!L213&lt;安値!K213,安値!L213&lt;安値!J213,安値!L213&lt;安値!M213,安値!L213&lt;安値!N213),7,""))</f>
        <v/>
      </c>
      <c r="H213" s="503" t="str">
        <f>IF(終値!A213="","",IF(AND(安値!M213&lt;安値!L213,安値!M213&lt;安値!K213,安値!M213&lt;安値!N213,安値!M213&lt;安値!O213),8,""))</f>
        <v/>
      </c>
      <c r="I213" s="503" t="str">
        <f>IF(終値!A213="","",IF(AND(安値!N213&lt;安値!M213,安値!N213&lt;安値!L213,安値!N213&lt;安値!O213,安値!N213&lt;安値!P213),9,""))</f>
        <v/>
      </c>
      <c r="J213" s="503" t="str">
        <f>IF(終値!A213="","",IF(AND(安値!O213&lt;安値!N213,安値!O213&lt;安値!M213,安値!O213&lt;安値!P213,安値!O213&lt;安値!Q213),10,""))</f>
        <v/>
      </c>
      <c r="K213" s="503" t="str">
        <f>IF(終値!A213="","",IF(AND(安値!P213&lt;安値!O213,安値!P213&lt;安値!N213,安値!P213&lt;安値!Q213,安値!P213&lt;安値!R213),11,""))</f>
        <v/>
      </c>
      <c r="L213" s="503" t="str">
        <f>IF(終値!A213="","",IF(AND(安値!Q213&lt;安値!P213,安値!Q213&lt;安値!O213,安値!Q213&lt;安値!R213,安値!Q213&lt;安値!S213),12,""))</f>
        <v/>
      </c>
      <c r="M213" s="503">
        <f>IF(終値!A213="","",IF(AND(安値!R213&lt;安値!Q213,安値!R213&lt;安値!P213,安値!R213&lt;安値!S213,安値!R213&lt;安値!T213),13,""))</f>
        <v>13</v>
      </c>
      <c r="N213" s="503" t="str">
        <f>IF(終値!A213="","",IF(AND(安値!S213&lt;安値!R213,安値!S213&lt;安値!Q213,安値!S213&lt;安値!T213,安値!S213&lt;安値!U213),14,""))</f>
        <v/>
      </c>
      <c r="O213" s="503" t="str">
        <f>IF(終値!A213="","",IF(AND(安値!T213&lt;安値!S213,安値!T213&lt;安値!R213,安値!T213&lt;安値!U213,安値!T213&lt;安値!V213),15,""))</f>
        <v/>
      </c>
      <c r="P213" s="503" t="str">
        <f>IF(終値!A213="","",IF(AND(安値!U213&lt;安値!T213,安値!U213&lt;安値!S213,安値!U213&lt;安値!V213,安値!U213&lt;安値!W213),16,""))</f>
        <v/>
      </c>
      <c r="Q213" s="503" t="str">
        <f>IF(終値!A213="","",IF(AND(安値!V213&lt;安値!U213,安値!V213&lt;安値!T213,安値!V213&lt;安値!W213,安値!V213&lt;安値!X213),17,""))</f>
        <v/>
      </c>
      <c r="R213" s="503" t="str">
        <f>IF(終値!A213="","",IF(AND(安値!W213&lt;安値!V213,安値!W213&lt;安値!U213,安値!W213&lt;安値!X213,安値!W213&lt;安値!Y213),18,""))</f>
        <v/>
      </c>
      <c r="S213" s="503">
        <f>IF(終値!A213="","",IF(AND(安値!X213&lt;安値!W213,安値!X213&lt;安値!V213,安値!X213&lt;安値!Y213,安値!X213&lt;安値!Z213),19,""))</f>
        <v>19</v>
      </c>
      <c r="T213" s="503" t="str">
        <f>IF(終値!A213="","",IF(AND(安値!Y213&lt;安値!X213,安値!Y213&lt;安値!W213,安値!Y213&lt;安値!Z213,安値!Y213&lt;安値!AA213),20,""))</f>
        <v/>
      </c>
      <c r="U213" s="503" t="str">
        <f>IF(終値!A213="","",IF(AND(安値!Z213&lt;安値!Y213,安値!Z213&lt;安値!X213,安値!Z213&lt;安値!AA213,安値!Z213&lt;安値!AB213),21,""))</f>
        <v/>
      </c>
      <c r="V213" s="503" t="str">
        <f>IF(終値!A213="","",IF(AND(安値!AA213&lt;安値!Z213,安値!AA213&lt;安値!Y213,安値!AA213&lt;安値!AB213,安値!AA213&lt;安値!AC213),22,""))</f>
        <v/>
      </c>
      <c r="W213" s="503" t="str">
        <f>IF(終値!A213="","",IF(AND(安値!AB213&lt;安値!AA213,安値!AB213&lt;安値!Z213,安値!AB213&lt;安値!AC213,安値!AB213&lt;安値!AD213),23,""))</f>
        <v/>
      </c>
      <c r="X213" s="503" t="str">
        <f>IF(終値!A213="","",IF(AND(安値!AC213&lt;安値!AB213,安値!AC213&lt;安値!AA213,安値!AC213&lt;安値!AD213,安値!AC213&lt;安値!AE213),24,""))</f>
        <v/>
      </c>
      <c r="Y213" s="503" t="str">
        <f>IF(終値!A213="","",IF(AND(安値!AD213&lt;安値!AC213,安値!AD213&lt;安値!AB213,安値!AD213&lt;安値!AE213,安値!AD213&lt;安値!AF213),25,""))</f>
        <v/>
      </c>
      <c r="Z213" s="503">
        <f>IF(終値!A213="","",IF(AND(安値!AE213&lt;安値!AD213,安値!AE213&lt;安値!AC213,安値!AE213&lt;安値!AF213,安値!AE213&lt;安値!AG213),26,""))</f>
        <v>26</v>
      </c>
      <c r="AA213" s="503" t="str">
        <f>IF(終値!A213="","",IF(AND(安値!AF213&lt;安値!AE213,安値!AF213&lt;安値!AD213,安値!AF213&lt;安値!AG213,安値!AF213&lt;安値!AH213),27,""))</f>
        <v/>
      </c>
      <c r="AB213" s="503" t="str">
        <f>IF(終値!A213="","",IF(AND(安値!AG213&lt;安値!AF213,安値!AG213&lt;安値!AE213,安値!AG213&lt;安値!AH213,安値!AG213&lt;安値!AI213),28,""))</f>
        <v/>
      </c>
      <c r="AC213" s="503" t="str">
        <f>IF(終値!A213="","",IF(AND(高値!G213&gt;高値!F213,高値!G213&gt;高値!E213,高値!G213&gt;高値!H213,高値!G213&gt;高値!I213),2,""))</f>
        <v/>
      </c>
      <c r="AD213" s="503" t="str">
        <f>IF(終値!A213="","",IF(AND(高値!H213&gt;高値!G213,高値!H213&gt;高値!F213,高値!H213&gt;高値!I213,高値!H213&gt;高値!J213),3,""))</f>
        <v/>
      </c>
      <c r="AE213" s="503" t="str">
        <f>IF(終値!A213="","",IF(AND(高値!I213&gt;高値!H213,高値!I213&gt;高値!G213,高値!I213&gt;高値!J213,高値!I213&gt;高値!K213),4,""))</f>
        <v/>
      </c>
      <c r="AF213" s="503" t="str">
        <f>IF(終値!A213="","",IF(AND(高値!J213&gt;高値!I213,高値!J213&gt;高値!H213,高値!J213&gt;高値!K213,高値!J213&gt;高値!L213),5,""))</f>
        <v/>
      </c>
      <c r="AG213" s="503" t="str">
        <f>IF(終値!A213="","",IF(AND(高値!K213&gt;高値!J213,高値!K213&gt;高値!I213,高値!K213&gt;高値!L213,高値!K213&gt;高値!M213),6,""))</f>
        <v/>
      </c>
      <c r="AH213" s="503" t="str">
        <f>IF(終値!A213="","",IF(AND(高値!L213&gt;高値!K213,高値!L213&gt;高値!J213,高値!L213&gt;高値!M213,高値!L213&gt;高値!N213),7,""))</f>
        <v/>
      </c>
      <c r="AI213" s="503" t="str">
        <f>IF(終値!A213="","",IF(AND(高値!M213&gt;高値!L213,高値!M213&gt;高値!K213,高値!M213&gt;高値!N213,高値!M213&gt;高値!O213),8,""))</f>
        <v/>
      </c>
      <c r="AJ213" s="503" t="str">
        <f>IF(終値!A213="","",IF(AND(高値!N213&gt;高値!M213,高値!N213&gt;高値!L213,高値!N213&gt;高値!O213,高値!N213&gt;高値!P213),9,""))</f>
        <v/>
      </c>
      <c r="AK213" s="503" t="str">
        <f>IF(終値!A213="","",IF(AND(高値!O213&gt;高値!N213,高値!O213&gt;高値!M213,高値!O213&gt;高値!P213,高値!O213&gt;高値!Q213),10,""))</f>
        <v/>
      </c>
      <c r="AL213" s="503">
        <f>IF(終値!A213="","",IF(AND(高値!P213&gt;高値!O213,高値!P213&gt;高値!N213,高値!P213&gt;高値!Q213,高値!P213&gt;高値!R213),11,""))</f>
        <v>11</v>
      </c>
      <c r="AM213" s="503" t="str">
        <f>IF(終値!A213="","",IF(AND(高値!Q213&gt;高値!P213,高値!Q213&gt;高値!O213,高値!Q213&gt;高値!R213,高値!Q213&gt;高値!S213),12,""))</f>
        <v/>
      </c>
      <c r="AN213" s="503" t="str">
        <f>IF(終値!A213="","",IF(AND(高値!R213&gt;高値!Q213,高値!R213&gt;高値!P213,高値!R213&gt;高値!S213,高値!R213&gt;高値!T213),13,""))</f>
        <v/>
      </c>
      <c r="AO213" s="503" t="str">
        <f>IF(終値!A213="","",IF(AND(高値!S213&gt;高値!R213,高値!S213&gt;高値!Q213,高値!S213&gt;高値!T213,高値!S213&gt;高値!U213),14,""))</f>
        <v/>
      </c>
      <c r="AP213" s="503" t="str">
        <f>IF(終値!A213="","",IF(AND(高値!T213&gt;高値!S213,高値!T213&gt;高値!R213,高値!T213&gt;高値!U213,高値!T213&gt;高値!V213),15,""))</f>
        <v/>
      </c>
      <c r="AQ213" s="503">
        <f>IF(終値!A213="","",IF(AND(高値!U213&gt;高値!T213,高値!U213&gt;高値!S213,高値!U213&gt;高値!V213,高値!U213&gt;高値!W213),16,""))</f>
        <v>16</v>
      </c>
      <c r="AR213" s="503" t="str">
        <f>IF(終値!A213="","",IF(AND(高値!V213&gt;高値!U213,高値!V213&gt;高値!T213,高値!V213&gt;高値!W213,高値!V213&gt;高値!X213),17,""))</f>
        <v/>
      </c>
      <c r="AS213" s="503" t="str">
        <f>IF(終値!A213="","",IF(AND(高値!W213&gt;高値!V213,高値!W213&gt;高値!U213,高値!W213&gt;高値!X213,高値!W213&gt;高値!Y213),18,""))</f>
        <v/>
      </c>
      <c r="AT213" s="503" t="str">
        <f>IF(終値!A213="","",IF(AND(高値!X213&gt;高値!W213,高値!X213&gt;高値!V213,高値!X213&gt;高値!Y213,高値!X213&gt;高値!Z213),19,""))</f>
        <v/>
      </c>
      <c r="AU213" s="503" t="str">
        <f>IF(終値!A213="","",IF(AND(高値!Y213&gt;高値!X213,高値!Y213&gt;高値!W213,高値!Y213&gt;高値!Z213,高値!Y213&gt;高値!AA213),20,""))</f>
        <v/>
      </c>
      <c r="AV213" s="503" t="str">
        <f>IF(終値!A213="","",IF(AND(高値!Z213&gt;高値!Y213,高値!Z213&gt;高値!X213,高値!Z213&gt;高値!AA213,高値!Z213&gt;高値!AB213),21,""))</f>
        <v/>
      </c>
      <c r="AW213" s="503" t="str">
        <f>IF(終値!A213="","",IF(AND(高値!AA213&gt;高値!Z213,高値!AA213&gt;高値!Y213,高値!AA213&gt;高値!AB213,高値!AA213&gt;高値!AC213),22,""))</f>
        <v/>
      </c>
      <c r="AX213" s="503" t="str">
        <f>IF(終値!A213="","",IF(AND(高値!AB213&gt;高値!AA213,高値!AB213&gt;高値!Z213,高値!AB213&gt;高値!AC213,高値!AB213&gt;高値!AD213),23,""))</f>
        <v/>
      </c>
      <c r="AY213" s="503">
        <f>IF(終値!A213="","",IF(AND(高値!AC213&gt;高値!AB213,高値!AC213&gt;高値!AA213,高値!AC213&gt;高値!AD213,高値!AC213&gt;高値!AE213),24,""))</f>
        <v>24</v>
      </c>
      <c r="AZ213" s="503" t="str">
        <f>IF(終値!A213="","",IF(AND(高値!AD213&gt;高値!AC213,高値!AD213&gt;高値!AB213,高値!AD213&gt;高値!AE213,高値!AD213&gt;高値!AF213),25,""))</f>
        <v/>
      </c>
      <c r="BA213" s="503" t="str">
        <f>IF(終値!A213="","",IF(AND(高値!AE213&gt;高値!AD213,高値!AE213&gt;高値!AC213,高値!AE213&gt;高値!AF213,高値!AE213&gt;高値!AG213),26,""))</f>
        <v/>
      </c>
      <c r="BB213" s="503" t="str">
        <f>IF(終値!A213="","",IF(AND(高値!AF213&gt;高値!AE213,高値!AF213&gt;高値!AD213,高値!AF213&gt;高値!AG213,高値!AF213&gt;高値!AH213),27,""))</f>
        <v/>
      </c>
      <c r="BC213" s="503" t="str">
        <f>IF(終値!A213="","",IF(AND(高値!AG213&gt;高値!AF213,高値!AG213&gt;高値!AE213,高値!AG213&gt;高値!AH213,高値!AG213&gt;高値!AI213),28,""))</f>
        <v/>
      </c>
      <c r="BD213" s="503">
        <f t="shared" si="18"/>
        <v>4</v>
      </c>
      <c r="BE213" s="503">
        <f t="shared" si="19"/>
        <v>5</v>
      </c>
      <c r="BF213" s="503">
        <f t="shared" si="20"/>
        <v>13</v>
      </c>
      <c r="BG213" s="503">
        <f>IF($BE213="","",INDEX(安値!$E213:$CZ213,1,$BE213+1))</f>
        <v>11810</v>
      </c>
      <c r="BH213" s="503">
        <f>IF($BF213="","",INDEX(安値!$E213:$CZ213,1,$BF213+1))</f>
        <v>13410</v>
      </c>
      <c r="BI213" s="503">
        <f>IF($BF213="","",MAX(INDEX(高値!$E213:$CZ213,1,$BE213+1):INDEX(高値!$E213:$CZ213,1,$BF213+1)))</f>
        <v>16100</v>
      </c>
      <c r="BJ213" s="503">
        <f>IF($BF213="","",AVERAGE(INDEX(終値!$E213:$CZ213,1,$BF213+1):INDEX(終値!$E213:$CZ213,1,$BF213+20))-2*STDEVP(INDEX(終値!$E213:$CZ213,1,$BF213+1):INDEX(終値!$E213:$CZ213,1,$BF213+20)))</f>
        <v>14172.63297231021</v>
      </c>
      <c r="BK213" s="503">
        <f>IF($BE213="","",AVERAGE(INDEX(終値!$E213:$CZ213,1,$BE213+1):INDEX(終値!$E213:$CZ213,1,$BE213+20))-2*STDEVP(INDEX(終値!$E213:$CZ213,1,$BE213+1):INDEX(終値!$E213:$CZ213,1,$BE213+20)))</f>
        <v>11790.682606517094</v>
      </c>
      <c r="BL213" s="503">
        <f t="shared" si="21"/>
        <v>3</v>
      </c>
      <c r="BM213" s="503">
        <f t="shared" si="22"/>
        <v>11</v>
      </c>
      <c r="BN213" s="503">
        <f t="shared" si="23"/>
        <v>16</v>
      </c>
      <c r="BO213" s="503">
        <f>IF($BM213="","",INDEX(高値!$E213:$CZ213,1,$BM213+1))</f>
        <v>16100</v>
      </c>
      <c r="BP213" s="503">
        <f>IF($BN213="","",INDEX(高値!$E213:$CZ213,1,$BN213+1))</f>
        <v>16620</v>
      </c>
      <c r="BQ213" s="503">
        <f>IF($BN213="","",MIN(INDEX(安値!$E213:$CZ213,1,$BM213+1):INDEX(安値!$E213:$CZ213,1,$BN213+1)))</f>
        <v>13410</v>
      </c>
      <c r="BR213" s="503">
        <f>IF($BN213="","",AVERAGE(INDEX(終値!$E213:$CZ213,1,$BN213+1):INDEX(終値!$E213:$CZ213,1,$BN213+20))+2*STDEVP(INDEX(終値!$E213:$CZ213,1,$BN213+1):INDEX(終値!$E213:$CZ213,1,$BN213+20)))</f>
        <v>19778.277462971957</v>
      </c>
      <c r="BS213" s="503">
        <f>IF($BM213="","",AVERAGE(INDEX(終値!$E213:$CZ213,1,$BM213+1):INDEX(終値!$E213:$CZ213,1,$BM213+20))+2*STDEVP(INDEX(終値!$E213:$CZ213,1,$BM213+1):INDEX(終値!$E213:$CZ213,1,$BM213+20)))</f>
        <v>19224.859921194424</v>
      </c>
      <c r="BT213" s="500"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二番天井M形成</v>
      </c>
    </row>
    <row r="214" spans="2:72">
      <c r="B214" s="503" t="str">
        <f>IF(終値!A214="","",IF(AND(安値!G214&lt;安値!F214,安値!G214&lt;安値!E214,安値!G214&lt;安値!H214,安値!G214&lt;安値!I214),2,""))</f>
        <v/>
      </c>
      <c r="C214" s="503">
        <f>IF(終値!A214="","",IF(AND(安値!H214&lt;安値!G214,安値!H214&lt;安値!F214,安値!H214&lt;安値!I214,安値!H214&lt;安値!J214),3,""))</f>
        <v>3</v>
      </c>
      <c r="D214" s="503" t="str">
        <f>IF(終値!A214="","",IF(AND(安値!I214&lt;安値!H214,安値!I214&lt;安値!G214,安値!I214&lt;安値!J214,安値!I214&lt;安値!K214),4,""))</f>
        <v/>
      </c>
      <c r="E214" s="503" t="str">
        <f>IF(終値!A214="","",IF(AND(安値!J214&lt;安値!I214,安値!J214&lt;安値!H214,安値!J214&lt;安値!K214,安値!J214&lt;安値!L214),5,""))</f>
        <v/>
      </c>
      <c r="F214" s="503" t="str">
        <f>IF(終値!A214="","",IF(AND(安値!K214&lt;安値!J214,安値!K214&lt;安値!I214,安値!K214&lt;安値!L214,安値!K214&lt;安値!M214),6,""))</f>
        <v/>
      </c>
      <c r="G214" s="503" t="str">
        <f>IF(終値!A214="","",IF(AND(安値!L214&lt;安値!K214,安値!L214&lt;安値!J214,安値!L214&lt;安値!M214,安値!L214&lt;安値!N214),7,""))</f>
        <v/>
      </c>
      <c r="H214" s="503" t="str">
        <f>IF(終値!A214="","",IF(AND(安値!M214&lt;安値!L214,安値!M214&lt;安値!K214,安値!M214&lt;安値!N214,安値!M214&lt;安値!O214),8,""))</f>
        <v/>
      </c>
      <c r="I214" s="503" t="str">
        <f>IF(終値!A214="","",IF(AND(安値!N214&lt;安値!M214,安値!N214&lt;安値!L214,安値!N214&lt;安値!O214,安値!N214&lt;安値!P214),9,""))</f>
        <v/>
      </c>
      <c r="J214" s="503">
        <f>IF(終値!A214="","",IF(AND(安値!O214&lt;安値!N214,安値!O214&lt;安値!M214,安値!O214&lt;安値!P214,安値!O214&lt;安値!Q214),10,""))</f>
        <v>10</v>
      </c>
      <c r="K214" s="503" t="str">
        <f>IF(終値!A214="","",IF(AND(安値!P214&lt;安値!O214,安値!P214&lt;安値!N214,安値!P214&lt;安値!Q214,安値!P214&lt;安値!R214),11,""))</f>
        <v/>
      </c>
      <c r="L214" s="503" t="str">
        <f>IF(終値!A214="","",IF(AND(安値!Q214&lt;安値!P214,安値!Q214&lt;安値!O214,安値!Q214&lt;安値!R214,安値!Q214&lt;安値!S214),12,""))</f>
        <v/>
      </c>
      <c r="M214" s="503" t="str">
        <f>IF(終値!A214="","",IF(AND(安値!R214&lt;安値!Q214,安値!R214&lt;安値!P214,安値!R214&lt;安値!S214,安値!R214&lt;安値!T214),13,""))</f>
        <v/>
      </c>
      <c r="N214" s="503" t="str">
        <f>IF(終値!A214="","",IF(AND(安値!S214&lt;安値!R214,安値!S214&lt;安値!Q214,安値!S214&lt;安値!T214,安値!S214&lt;安値!U214),14,""))</f>
        <v/>
      </c>
      <c r="O214" s="503" t="str">
        <f>IF(終値!A214="","",IF(AND(安値!T214&lt;安値!S214,安値!T214&lt;安値!R214,安値!T214&lt;安値!U214,安値!T214&lt;安値!V214),15,""))</f>
        <v/>
      </c>
      <c r="P214" s="503">
        <f>IF(終値!A214="","",IF(AND(安値!U214&lt;安値!T214,安値!U214&lt;安値!S214,安値!U214&lt;安値!V214,安値!U214&lt;安値!W214),16,""))</f>
        <v>16</v>
      </c>
      <c r="Q214" s="503" t="str">
        <f>IF(終値!A214="","",IF(AND(安値!V214&lt;安値!U214,安値!V214&lt;安値!T214,安値!V214&lt;安値!W214,安値!V214&lt;安値!X214),17,""))</f>
        <v/>
      </c>
      <c r="R214" s="503" t="str">
        <f>IF(終値!A214="","",IF(AND(安値!W214&lt;安値!V214,安値!W214&lt;安値!U214,安値!W214&lt;安値!X214,安値!W214&lt;安値!Y214),18,""))</f>
        <v/>
      </c>
      <c r="S214" s="503" t="str">
        <f>IF(終値!A214="","",IF(AND(安値!X214&lt;安値!W214,安値!X214&lt;安値!V214,安値!X214&lt;安値!Y214,安値!X214&lt;安値!Z214),19,""))</f>
        <v/>
      </c>
      <c r="T214" s="503" t="str">
        <f>IF(終値!A214="","",IF(AND(安値!Y214&lt;安値!X214,安値!Y214&lt;安値!W214,安値!Y214&lt;安値!Z214,安値!Y214&lt;安値!AA214),20,""))</f>
        <v/>
      </c>
      <c r="U214" s="503" t="str">
        <f>IF(終値!A214="","",IF(AND(安値!Z214&lt;安値!Y214,安値!Z214&lt;安値!X214,安値!Z214&lt;安値!AA214,安値!Z214&lt;安値!AB214),21,""))</f>
        <v/>
      </c>
      <c r="V214" s="503" t="str">
        <f>IF(終値!A214="","",IF(AND(安値!AA214&lt;安値!Z214,安値!AA214&lt;安値!Y214,安値!AA214&lt;安値!AB214,安値!AA214&lt;安値!AC214),22,""))</f>
        <v/>
      </c>
      <c r="W214" s="503" t="str">
        <f>IF(終値!A214="","",IF(AND(安値!AB214&lt;安値!AA214,安値!AB214&lt;安値!Z214,安値!AB214&lt;安値!AC214,安値!AB214&lt;安値!AD214),23,""))</f>
        <v/>
      </c>
      <c r="X214" s="503" t="str">
        <f>IF(終値!A214="","",IF(AND(安値!AC214&lt;安値!AB214,安値!AC214&lt;安値!AA214,安値!AC214&lt;安値!AD214,安値!AC214&lt;安値!AE214),24,""))</f>
        <v/>
      </c>
      <c r="Y214" s="503" t="str">
        <f>IF(終値!A214="","",IF(AND(安値!AD214&lt;安値!AC214,安値!AD214&lt;安値!AB214,安値!AD214&lt;安値!AE214,安値!AD214&lt;安値!AF214),25,""))</f>
        <v/>
      </c>
      <c r="Z214" s="503" t="str">
        <f>IF(終値!A214="","",IF(AND(安値!AE214&lt;安値!AD214,安値!AE214&lt;安値!AC214,安値!AE214&lt;安値!AF214,安値!AE214&lt;安値!AG214),26,""))</f>
        <v/>
      </c>
      <c r="AA214" s="503" t="str">
        <f>IF(終値!A214="","",IF(AND(安値!AF214&lt;安値!AE214,安値!AF214&lt;安値!AD214,安値!AF214&lt;安値!AG214,安値!AF214&lt;安値!AH214),27,""))</f>
        <v/>
      </c>
      <c r="AB214" s="503">
        <f>IF(終値!A214="","",IF(AND(安値!AG214&lt;安値!AF214,安値!AG214&lt;安値!AE214,安値!AG214&lt;安値!AH214,安値!AG214&lt;安値!AI214),28,""))</f>
        <v>28</v>
      </c>
      <c r="AC214" s="503" t="str">
        <f>IF(終値!A214="","",IF(AND(高値!G214&gt;高値!F214,高値!G214&gt;高値!E214,高値!G214&gt;高値!H214,高値!G214&gt;高値!I214),2,""))</f>
        <v/>
      </c>
      <c r="AD214" s="503" t="str">
        <f>IF(終値!A214="","",IF(AND(高値!H214&gt;高値!G214,高値!H214&gt;高値!F214,高値!H214&gt;高値!I214,高値!H214&gt;高値!J214),3,""))</f>
        <v/>
      </c>
      <c r="AE214" s="503" t="str">
        <f>IF(終値!A214="","",IF(AND(高値!I214&gt;高値!H214,高値!I214&gt;高値!G214,高値!I214&gt;高値!J214,高値!I214&gt;高値!K214),4,""))</f>
        <v/>
      </c>
      <c r="AF214" s="503" t="str">
        <f>IF(終値!A214="","",IF(AND(高値!J214&gt;高値!I214,高値!J214&gt;高値!H214,高値!J214&gt;高値!K214,高値!J214&gt;高値!L214),5,""))</f>
        <v/>
      </c>
      <c r="AG214" s="503" t="str">
        <f>IF(終値!A214="","",IF(AND(高値!K214&gt;高値!J214,高値!K214&gt;高値!I214,高値!K214&gt;高値!L214,高値!K214&gt;高値!M214),6,""))</f>
        <v/>
      </c>
      <c r="AH214" s="503" t="str">
        <f>IF(終値!A214="","",IF(AND(高値!L214&gt;高値!K214,高値!L214&gt;高値!J214,高値!L214&gt;高値!M214,高値!L214&gt;高値!N214),7,""))</f>
        <v/>
      </c>
      <c r="AI214" s="503">
        <f>IF(終値!A214="","",IF(AND(高値!M214&gt;高値!L214,高値!M214&gt;高値!K214,高値!M214&gt;高値!N214,高値!M214&gt;高値!O214),8,""))</f>
        <v>8</v>
      </c>
      <c r="AJ214" s="503" t="str">
        <f>IF(終値!A214="","",IF(AND(高値!N214&gt;高値!M214,高値!N214&gt;高値!L214,高値!N214&gt;高値!O214,高値!N214&gt;高値!P214),9,""))</f>
        <v/>
      </c>
      <c r="AK214" s="503" t="str">
        <f>IF(終値!A214="","",IF(AND(高値!O214&gt;高値!N214,高値!O214&gt;高値!M214,高値!O214&gt;高値!P214,高値!O214&gt;高値!Q214),10,""))</f>
        <v/>
      </c>
      <c r="AL214" s="503" t="str">
        <f>IF(終値!A214="","",IF(AND(高値!P214&gt;高値!O214,高値!P214&gt;高値!N214,高値!P214&gt;高値!Q214,高値!P214&gt;高値!R214),11,""))</f>
        <v/>
      </c>
      <c r="AM214" s="503" t="str">
        <f>IF(終値!A214="","",IF(AND(高値!Q214&gt;高値!P214,高値!Q214&gt;高値!O214,高値!Q214&gt;高値!R214,高値!Q214&gt;高値!S214),12,""))</f>
        <v/>
      </c>
      <c r="AN214" s="503" t="str">
        <f>IF(終値!A214="","",IF(AND(高値!R214&gt;高値!Q214,高値!R214&gt;高値!P214,高値!R214&gt;高値!S214,高値!R214&gt;高値!T214),13,""))</f>
        <v/>
      </c>
      <c r="AO214" s="503">
        <f>IF(終値!A214="","",IF(AND(高値!S214&gt;高値!R214,高値!S214&gt;高値!Q214,高値!S214&gt;高値!T214,高値!S214&gt;高値!U214),14,""))</f>
        <v>14</v>
      </c>
      <c r="AP214" s="503" t="str">
        <f>IF(終値!A214="","",IF(AND(高値!T214&gt;高値!S214,高値!T214&gt;高値!R214,高値!T214&gt;高値!U214,高値!T214&gt;高値!V214),15,""))</f>
        <v/>
      </c>
      <c r="AQ214" s="503" t="str">
        <f>IF(終値!A214="","",IF(AND(高値!U214&gt;高値!T214,高値!U214&gt;高値!S214,高値!U214&gt;高値!V214,高値!U214&gt;高値!W214),16,""))</f>
        <v/>
      </c>
      <c r="AR214" s="503" t="str">
        <f>IF(終値!A214="","",IF(AND(高値!V214&gt;高値!U214,高値!V214&gt;高値!T214,高値!V214&gt;高値!W214,高値!V214&gt;高値!X214),17,""))</f>
        <v/>
      </c>
      <c r="AS214" s="503" t="str">
        <f>IF(終値!A214="","",IF(AND(高値!W214&gt;高値!V214,高値!W214&gt;高値!U214,高値!W214&gt;高値!X214,高値!W214&gt;高値!Y214),18,""))</f>
        <v/>
      </c>
      <c r="AT214" s="503" t="str">
        <f>IF(終値!A214="","",IF(AND(高値!X214&gt;高値!W214,高値!X214&gt;高値!V214,高値!X214&gt;高値!Y214,高値!X214&gt;高値!Z214),19,""))</f>
        <v/>
      </c>
      <c r="AU214" s="503" t="str">
        <f>IF(終値!A214="","",IF(AND(高値!Y214&gt;高値!X214,高値!Y214&gt;高値!W214,高値!Y214&gt;高値!Z214,高値!Y214&gt;高値!AA214),20,""))</f>
        <v/>
      </c>
      <c r="AV214" s="503">
        <f>IF(終値!A214="","",IF(AND(高値!Z214&gt;高値!Y214,高値!Z214&gt;高値!X214,高値!Z214&gt;高値!AA214,高値!Z214&gt;高値!AB214),21,""))</f>
        <v>21</v>
      </c>
      <c r="AW214" s="503" t="str">
        <f>IF(終値!A214="","",IF(AND(高値!AA214&gt;高値!Z214,高値!AA214&gt;高値!Y214,高値!AA214&gt;高値!AB214,高値!AA214&gt;高値!AC214),22,""))</f>
        <v/>
      </c>
      <c r="AX214" s="503" t="str">
        <f>IF(終値!A214="","",IF(AND(高値!AB214&gt;高値!AA214,高値!AB214&gt;高値!Z214,高値!AB214&gt;高値!AC214,高値!AB214&gt;高値!AD214),23,""))</f>
        <v/>
      </c>
      <c r="AY214" s="503" t="str">
        <f>IF(終値!A214="","",IF(AND(高値!AC214&gt;高値!AB214,高値!AC214&gt;高値!AA214,高値!AC214&gt;高値!AD214,高値!AC214&gt;高値!AE214),24,""))</f>
        <v/>
      </c>
      <c r="AZ214" s="503">
        <f>IF(終値!A214="","",IF(AND(高値!AD214&gt;高値!AC214,高値!AD214&gt;高値!AB214,高値!AD214&gt;高値!AE214,高値!AD214&gt;高値!AF214),25,""))</f>
        <v>25</v>
      </c>
      <c r="BA214" s="503" t="str">
        <f>IF(終値!A214="","",IF(AND(高値!AE214&gt;高値!AD214,高値!AE214&gt;高値!AC214,高値!AE214&gt;高値!AF214,高値!AE214&gt;高値!AG214),26,""))</f>
        <v/>
      </c>
      <c r="BB214" s="503" t="str">
        <f>IF(終値!A214="","",IF(AND(高値!AF214&gt;高値!AE214,高値!AF214&gt;高値!AD214,高値!AF214&gt;高値!AG214,高値!AF214&gt;高値!AH214),27,""))</f>
        <v/>
      </c>
      <c r="BC214" s="503" t="str">
        <f>IF(終値!A214="","",IF(AND(高値!AG214&gt;高値!AF214,高値!AG214&gt;高値!AE214,高値!AG214&gt;高値!AH214,高値!AG214&gt;高値!AI214),28,""))</f>
        <v/>
      </c>
      <c r="BD214" s="503">
        <f t="shared" si="18"/>
        <v>4</v>
      </c>
      <c r="BE214" s="503">
        <f t="shared" si="19"/>
        <v>3</v>
      </c>
      <c r="BF214" s="503">
        <f t="shared" si="20"/>
        <v>10</v>
      </c>
      <c r="BG214" s="503">
        <f>IF($BE214="","",INDEX(安値!$E214:$CZ214,1,$BE214+1))</f>
        <v>884</v>
      </c>
      <c r="BH214" s="503">
        <f>IF($BF214="","",INDEX(安値!$E214:$CZ214,1,$BF214+1))</f>
        <v>965</v>
      </c>
      <c r="BI214" s="503">
        <f>IF($BF214="","",MAX(INDEX(高値!$E214:$CZ214,1,$BE214+1):INDEX(高値!$E214:$CZ214,1,$BF214+1)))</f>
        <v>1039</v>
      </c>
      <c r="BJ214" s="503">
        <f>IF($BF214="","",AVERAGE(INDEX(終値!$E214:$CZ214,1,$BF214+1):INDEX(終値!$E214:$CZ214,1,$BF214+20))-2*STDEVP(INDEX(終値!$E214:$CZ214,1,$BF214+1):INDEX(終値!$E214:$CZ214,1,$BF214+20)))</f>
        <v>891.32550035600673</v>
      </c>
      <c r="BK214" s="503">
        <f>IF($BE214="","",AVERAGE(INDEX(終値!$E214:$CZ214,1,$BE214+1):INDEX(終値!$E214:$CZ214,1,$BE214+20))-2*STDEVP(INDEX(終値!$E214:$CZ214,1,$BE214+1):INDEX(終値!$E214:$CZ214,1,$BE214+20)))</f>
        <v>895.83165968021956</v>
      </c>
      <c r="BL214" s="503">
        <f t="shared" si="21"/>
        <v>4</v>
      </c>
      <c r="BM214" s="503">
        <f t="shared" si="22"/>
        <v>8</v>
      </c>
      <c r="BN214" s="503">
        <f t="shared" si="23"/>
        <v>14</v>
      </c>
      <c r="BO214" s="503">
        <f>IF($BM214="","",INDEX(高値!$E214:$CZ214,1,$BM214+1))</f>
        <v>1039</v>
      </c>
      <c r="BP214" s="503">
        <f>IF($BN214="","",INDEX(高値!$E214:$CZ214,1,$BN214+1))</f>
        <v>1046</v>
      </c>
      <c r="BQ214" s="503">
        <f>IF($BN214="","",MIN(INDEX(安値!$E214:$CZ214,1,$BM214+1):INDEX(安値!$E214:$CZ214,1,$BN214+1)))</f>
        <v>965</v>
      </c>
      <c r="BR214" s="503">
        <f>IF($BN214="","",AVERAGE(INDEX(終値!$E214:$CZ214,1,$BN214+1):INDEX(終値!$E214:$CZ214,1,$BN214+20))+2*STDEVP(INDEX(終値!$E214:$CZ214,1,$BN214+1):INDEX(終値!$E214:$CZ214,1,$BN214+20)))</f>
        <v>1043.6160668329719</v>
      </c>
      <c r="BS214" s="503">
        <f>IF($BM214="","",AVERAGE(INDEX(終値!$E214:$CZ214,1,$BM214+1):INDEX(終値!$E214:$CZ214,1,$BM214+20))+2*STDEVP(INDEX(終値!$E214:$CZ214,1,$BM214+1):INDEX(終値!$E214:$CZ214,1,$BM214+20)))</f>
        <v>1038.1972307102387</v>
      </c>
      <c r="BT214" s="500"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3">
        <f>IF(終値!A215="","",IF(AND(安値!G215&lt;安値!F215,安値!G215&lt;安値!E215,安値!G215&lt;安値!H215,安値!G215&lt;安値!I215),2,""))</f>
        <v>2</v>
      </c>
      <c r="C215" s="503" t="str">
        <f>IF(終値!A215="","",IF(AND(安値!H215&lt;安値!G215,安値!H215&lt;安値!F215,安値!H215&lt;安値!I215,安値!H215&lt;安値!J215),3,""))</f>
        <v/>
      </c>
      <c r="D215" s="503" t="str">
        <f>IF(終値!A215="","",IF(AND(安値!I215&lt;安値!H215,安値!I215&lt;安値!G215,安値!I215&lt;安値!J215,安値!I215&lt;安値!K215),4,""))</f>
        <v/>
      </c>
      <c r="E215" s="503">
        <f>IF(終値!A215="","",IF(AND(安値!J215&lt;安値!I215,安値!J215&lt;安値!H215,安値!J215&lt;安値!K215,安値!J215&lt;安値!L215),5,""))</f>
        <v>5</v>
      </c>
      <c r="F215" s="503" t="str">
        <f>IF(終値!A215="","",IF(AND(安値!K215&lt;安値!J215,安値!K215&lt;安値!I215,安値!K215&lt;安値!L215,安値!K215&lt;安値!M215),6,""))</f>
        <v/>
      </c>
      <c r="G215" s="503" t="str">
        <f>IF(終値!A215="","",IF(AND(安値!L215&lt;安値!K215,安値!L215&lt;安値!J215,安値!L215&lt;安値!M215,安値!L215&lt;安値!N215),7,""))</f>
        <v/>
      </c>
      <c r="H215" s="503" t="str">
        <f>IF(終値!A215="","",IF(AND(安値!M215&lt;安値!L215,安値!M215&lt;安値!K215,安値!M215&lt;安値!N215,安値!M215&lt;安値!O215),8,""))</f>
        <v/>
      </c>
      <c r="I215" s="503" t="str">
        <f>IF(終値!A215="","",IF(AND(安値!N215&lt;安値!M215,安値!N215&lt;安値!L215,安値!N215&lt;安値!O215,安値!N215&lt;安値!P215),9,""))</f>
        <v/>
      </c>
      <c r="J215" s="503" t="str">
        <f>IF(終値!A215="","",IF(AND(安値!O215&lt;安値!N215,安値!O215&lt;安値!M215,安値!O215&lt;安値!P215,安値!O215&lt;安値!Q215),10,""))</f>
        <v/>
      </c>
      <c r="K215" s="503" t="str">
        <f>IF(終値!A215="","",IF(AND(安値!P215&lt;安値!O215,安値!P215&lt;安値!N215,安値!P215&lt;安値!Q215,安値!P215&lt;安値!R215),11,""))</f>
        <v/>
      </c>
      <c r="L215" s="503" t="str">
        <f>IF(終値!A215="","",IF(AND(安値!Q215&lt;安値!P215,安値!Q215&lt;安値!O215,安値!Q215&lt;安値!R215,安値!Q215&lt;安値!S215),12,""))</f>
        <v/>
      </c>
      <c r="M215" s="503">
        <f>IF(終値!A215="","",IF(AND(安値!R215&lt;安値!Q215,安値!R215&lt;安値!P215,安値!R215&lt;安値!S215,安値!R215&lt;安値!T215),13,""))</f>
        <v>13</v>
      </c>
      <c r="N215" s="503" t="str">
        <f>IF(終値!A215="","",IF(AND(安値!S215&lt;安値!R215,安値!S215&lt;安値!Q215,安値!S215&lt;安値!T215,安値!S215&lt;安値!U215),14,""))</f>
        <v/>
      </c>
      <c r="O215" s="503" t="str">
        <f>IF(終値!A215="","",IF(AND(安値!T215&lt;安値!S215,安値!T215&lt;安値!R215,安値!T215&lt;安値!U215,安値!T215&lt;安値!V215),15,""))</f>
        <v/>
      </c>
      <c r="P215" s="503" t="str">
        <f>IF(終値!A215="","",IF(AND(安値!U215&lt;安値!T215,安値!U215&lt;安値!S215,安値!U215&lt;安値!V215,安値!U215&lt;安値!W215),16,""))</f>
        <v/>
      </c>
      <c r="Q215" s="503" t="str">
        <f>IF(終値!A215="","",IF(AND(安値!V215&lt;安値!U215,安値!V215&lt;安値!T215,安値!V215&lt;安値!W215,安値!V215&lt;安値!X215),17,""))</f>
        <v/>
      </c>
      <c r="R215" s="503" t="str">
        <f>IF(終値!A215="","",IF(AND(安値!W215&lt;安値!V215,安値!W215&lt;安値!U215,安値!W215&lt;安値!X215,安値!W215&lt;安値!Y215),18,""))</f>
        <v/>
      </c>
      <c r="S215" s="503">
        <f>IF(終値!A215="","",IF(AND(安値!X215&lt;安値!W215,安値!X215&lt;安値!V215,安値!X215&lt;安値!Y215,安値!X215&lt;安値!Z215),19,""))</f>
        <v>19</v>
      </c>
      <c r="T215" s="503" t="str">
        <f>IF(終値!A215="","",IF(AND(安値!Y215&lt;安値!X215,安値!Y215&lt;安値!W215,安値!Y215&lt;安値!Z215,安値!Y215&lt;安値!AA215),20,""))</f>
        <v/>
      </c>
      <c r="U215" s="503" t="str">
        <f>IF(終値!A215="","",IF(AND(安値!Z215&lt;安値!Y215,安値!Z215&lt;安値!X215,安値!Z215&lt;安値!AA215,安値!Z215&lt;安値!AB215),21,""))</f>
        <v/>
      </c>
      <c r="V215" s="503" t="str">
        <f>IF(終値!A215="","",IF(AND(安値!AA215&lt;安値!Z215,安値!AA215&lt;安値!Y215,安値!AA215&lt;安値!AB215,安値!AA215&lt;安値!AC215),22,""))</f>
        <v/>
      </c>
      <c r="W215" s="503" t="str">
        <f>IF(終値!A215="","",IF(AND(安値!AB215&lt;安値!AA215,安値!AB215&lt;安値!Z215,安値!AB215&lt;安値!AC215,安値!AB215&lt;安値!AD215),23,""))</f>
        <v/>
      </c>
      <c r="X215" s="503" t="str">
        <f>IF(終値!A215="","",IF(AND(安値!AC215&lt;安値!AB215,安値!AC215&lt;安値!AA215,安値!AC215&lt;安値!AD215,安値!AC215&lt;安値!AE215),24,""))</f>
        <v/>
      </c>
      <c r="Y215" s="503" t="str">
        <f>IF(終値!A215="","",IF(AND(安値!AD215&lt;安値!AC215,安値!AD215&lt;安値!AB215,安値!AD215&lt;安値!AE215,安値!AD215&lt;安値!AF215),25,""))</f>
        <v/>
      </c>
      <c r="Z215" s="503">
        <f>IF(終値!A215="","",IF(AND(安値!AE215&lt;安値!AD215,安値!AE215&lt;安値!AC215,安値!AE215&lt;安値!AF215,安値!AE215&lt;安値!AG215),26,""))</f>
        <v>26</v>
      </c>
      <c r="AA215" s="503" t="str">
        <f>IF(終値!A215="","",IF(AND(安値!AF215&lt;安値!AE215,安値!AF215&lt;安値!AD215,安値!AF215&lt;安値!AG215,安値!AF215&lt;安値!AH215),27,""))</f>
        <v/>
      </c>
      <c r="AB215" s="503" t="str">
        <f>IF(終値!A215="","",IF(AND(安値!AG215&lt;安値!AF215,安値!AG215&lt;安値!AE215,安値!AG215&lt;安値!AH215,安値!AG215&lt;安値!AI215),28,""))</f>
        <v/>
      </c>
      <c r="AC215" s="503" t="str">
        <f>IF(終値!A215="","",IF(AND(高値!G215&gt;高値!F215,高値!G215&gt;高値!E215,高値!G215&gt;高値!H215,高値!G215&gt;高値!I215),2,""))</f>
        <v/>
      </c>
      <c r="AD215" s="503" t="str">
        <f>IF(終値!A215="","",IF(AND(高値!H215&gt;高値!G215,高値!H215&gt;高値!F215,高値!H215&gt;高値!I215,高値!H215&gt;高値!J215),3,""))</f>
        <v/>
      </c>
      <c r="AE215" s="503" t="str">
        <f>IF(終値!A215="","",IF(AND(高値!I215&gt;高値!H215,高値!I215&gt;高値!G215,高値!I215&gt;高値!J215,高値!I215&gt;高値!K215),4,""))</f>
        <v/>
      </c>
      <c r="AF215" s="503" t="str">
        <f>IF(終値!A215="","",IF(AND(高値!J215&gt;高値!I215,高値!J215&gt;高値!H215,高値!J215&gt;高値!K215,高値!J215&gt;高値!L215),5,""))</f>
        <v/>
      </c>
      <c r="AG215" s="503" t="str">
        <f>IF(終値!A215="","",IF(AND(高値!K215&gt;高値!J215,高値!K215&gt;高値!I215,高値!K215&gt;高値!L215,高値!K215&gt;高値!M215),6,""))</f>
        <v/>
      </c>
      <c r="AH215" s="503" t="str">
        <f>IF(終値!A215="","",IF(AND(高値!L215&gt;高値!K215,高値!L215&gt;高値!J215,高値!L215&gt;高値!M215,高値!L215&gt;高値!N215),7,""))</f>
        <v/>
      </c>
      <c r="AI215" s="503" t="str">
        <f>IF(終値!A215="","",IF(AND(高値!M215&gt;高値!L215,高値!M215&gt;高値!K215,高値!M215&gt;高値!N215,高値!M215&gt;高値!O215),8,""))</f>
        <v/>
      </c>
      <c r="AJ215" s="503" t="str">
        <f>IF(終値!A215="","",IF(AND(高値!N215&gt;高値!M215,高値!N215&gt;高値!L215,高値!N215&gt;高値!O215,高値!N215&gt;高値!P215),9,""))</f>
        <v/>
      </c>
      <c r="AK215" s="503" t="str">
        <f>IF(終値!A215="","",IF(AND(高値!O215&gt;高値!N215,高値!O215&gt;高値!M215,高値!O215&gt;高値!P215,高値!O215&gt;高値!Q215),10,""))</f>
        <v/>
      </c>
      <c r="AL215" s="503">
        <f>IF(終値!A215="","",IF(AND(高値!P215&gt;高値!O215,高値!P215&gt;高値!N215,高値!P215&gt;高値!Q215,高値!P215&gt;高値!R215),11,""))</f>
        <v>11</v>
      </c>
      <c r="AM215" s="503" t="str">
        <f>IF(終値!A215="","",IF(AND(高値!Q215&gt;高値!P215,高値!Q215&gt;高値!O215,高値!Q215&gt;高値!R215,高値!Q215&gt;高値!S215),12,""))</f>
        <v/>
      </c>
      <c r="AN215" s="503" t="str">
        <f>IF(終値!A215="","",IF(AND(高値!R215&gt;高値!Q215,高値!R215&gt;高値!P215,高値!R215&gt;高値!S215,高値!R215&gt;高値!T215),13,""))</f>
        <v/>
      </c>
      <c r="AO215" s="503" t="str">
        <f>IF(終値!A215="","",IF(AND(高値!S215&gt;高値!R215,高値!S215&gt;高値!Q215,高値!S215&gt;高値!T215,高値!S215&gt;高値!U215),14,""))</f>
        <v/>
      </c>
      <c r="AP215" s="503" t="str">
        <f>IF(終値!A215="","",IF(AND(高値!T215&gt;高値!S215,高値!T215&gt;高値!R215,高値!T215&gt;高値!U215,高値!T215&gt;高値!V215),15,""))</f>
        <v/>
      </c>
      <c r="AQ215" s="503">
        <f>IF(終値!A215="","",IF(AND(高値!U215&gt;高値!T215,高値!U215&gt;高値!S215,高値!U215&gt;高値!V215,高値!U215&gt;高値!W215),16,""))</f>
        <v>16</v>
      </c>
      <c r="AR215" s="503" t="str">
        <f>IF(終値!A215="","",IF(AND(高値!V215&gt;高値!U215,高値!V215&gt;高値!T215,高値!V215&gt;高値!W215,高値!V215&gt;高値!X215),17,""))</f>
        <v/>
      </c>
      <c r="AS215" s="503" t="str">
        <f>IF(終値!A215="","",IF(AND(高値!W215&gt;高値!V215,高値!W215&gt;高値!U215,高値!W215&gt;高値!X215,高値!W215&gt;高値!Y215),18,""))</f>
        <v/>
      </c>
      <c r="AT215" s="503" t="str">
        <f>IF(終値!A215="","",IF(AND(高値!X215&gt;高値!W215,高値!X215&gt;高値!V215,高値!X215&gt;高値!Y215,高値!X215&gt;高値!Z215),19,""))</f>
        <v/>
      </c>
      <c r="AU215" s="503" t="str">
        <f>IF(終値!A215="","",IF(AND(高値!Y215&gt;高値!X215,高値!Y215&gt;高値!W215,高値!Y215&gt;高値!Z215,高値!Y215&gt;高値!AA215),20,""))</f>
        <v/>
      </c>
      <c r="AV215" s="503" t="str">
        <f>IF(終値!A215="","",IF(AND(高値!Z215&gt;高値!Y215,高値!Z215&gt;高値!X215,高値!Z215&gt;高値!AA215,高値!Z215&gt;高値!AB215),21,""))</f>
        <v/>
      </c>
      <c r="AW215" s="503" t="str">
        <f>IF(終値!A215="","",IF(AND(高値!AA215&gt;高値!Z215,高値!AA215&gt;高値!Y215,高値!AA215&gt;高値!AB215,高値!AA215&gt;高値!AC215),22,""))</f>
        <v/>
      </c>
      <c r="AX215" s="503" t="str">
        <f>IF(終値!A215="","",IF(AND(高値!AB215&gt;高値!AA215,高値!AB215&gt;高値!Z215,高値!AB215&gt;高値!AC215,高値!AB215&gt;高値!AD215),23,""))</f>
        <v/>
      </c>
      <c r="AY215" s="503">
        <f>IF(終値!A215="","",IF(AND(高値!AC215&gt;高値!AB215,高値!AC215&gt;高値!AA215,高値!AC215&gt;高値!AD215,高値!AC215&gt;高値!AE215),24,""))</f>
        <v>24</v>
      </c>
      <c r="AZ215" s="503" t="str">
        <f>IF(終値!A215="","",IF(AND(高値!AD215&gt;高値!AC215,高値!AD215&gt;高値!AB215,高値!AD215&gt;高値!AE215,高値!AD215&gt;高値!AF215),25,""))</f>
        <v/>
      </c>
      <c r="BA215" s="503" t="str">
        <f>IF(終値!A215="","",IF(AND(高値!AE215&gt;高値!AD215,高値!AE215&gt;高値!AC215,高値!AE215&gt;高値!AF215,高値!AE215&gt;高値!AG215),26,""))</f>
        <v/>
      </c>
      <c r="BB215" s="503">
        <f>IF(終値!A215="","",IF(AND(高値!AF215&gt;高値!AE215,高値!AF215&gt;高値!AD215,高値!AF215&gt;高値!AG215,高値!AF215&gt;高値!AH215),27,""))</f>
        <v>27</v>
      </c>
      <c r="BC215" s="503" t="str">
        <f>IF(終値!A215="","",IF(AND(高値!AG215&gt;高値!AF215,高値!AG215&gt;高値!AE215,高値!AG215&gt;高値!AH215,高値!AG215&gt;高値!AI215),28,""))</f>
        <v/>
      </c>
      <c r="BD215" s="503">
        <f t="shared" si="18"/>
        <v>5</v>
      </c>
      <c r="BE215" s="503">
        <f t="shared" si="19"/>
        <v>2</v>
      </c>
      <c r="BF215" s="503">
        <f t="shared" si="20"/>
        <v>5</v>
      </c>
      <c r="BG215" s="503">
        <f>IF($BE215="","",INDEX(安値!$E215:$CZ215,1,$BE215+1))</f>
        <v>4130</v>
      </c>
      <c r="BH215" s="503">
        <f>IF($BF215="","",INDEX(安値!$E215:$CZ215,1,$BF215+1))</f>
        <v>3364</v>
      </c>
      <c r="BI215" s="503">
        <f>IF($BF215="","",MAX(INDEX(高値!$E215:$CZ215,1,$BE215+1):INDEX(高値!$E215:$CZ215,1,$BF215+1)))</f>
        <v>4422</v>
      </c>
      <c r="BJ215" s="503">
        <f>IF($BF215="","",AVERAGE(INDEX(終値!$E215:$CZ215,1,$BF215+1):INDEX(終値!$E215:$CZ215,1,$BF215+20))-2*STDEVP(INDEX(終値!$E215:$CZ215,1,$BF215+1):INDEX(終値!$E215:$CZ215,1,$BF215+20)))</f>
        <v>3480.660898527909</v>
      </c>
      <c r="BK215" s="503">
        <f>IF($BE215="","",AVERAGE(INDEX(終値!$E215:$CZ215,1,$BE215+1):INDEX(終値!$E215:$CZ215,1,$BE215+20))-2*STDEVP(INDEX(終値!$E215:$CZ215,1,$BE215+1):INDEX(終値!$E215:$CZ215,1,$BE215+20)))</f>
        <v>3525.0624411219724</v>
      </c>
      <c r="BL215" s="503">
        <f t="shared" si="21"/>
        <v>4</v>
      </c>
      <c r="BM215" s="503">
        <f t="shared" si="22"/>
        <v>11</v>
      </c>
      <c r="BN215" s="503">
        <f t="shared" si="23"/>
        <v>16</v>
      </c>
      <c r="BO215" s="503">
        <f>IF($BM215="","",INDEX(高値!$E215:$CZ215,1,$BM215+1))</f>
        <v>4257</v>
      </c>
      <c r="BP215" s="503">
        <f>IF($BN215="","",INDEX(高値!$E215:$CZ215,1,$BN215+1))</f>
        <v>4685</v>
      </c>
      <c r="BQ215" s="503">
        <f>IF($BN215="","",MIN(INDEX(安値!$E215:$CZ215,1,$BM215+1):INDEX(安値!$E215:$CZ215,1,$BN215+1)))</f>
        <v>3900</v>
      </c>
      <c r="BR215" s="503">
        <f>IF($BN215="","",AVERAGE(INDEX(終値!$E215:$CZ215,1,$BN215+1):INDEX(終値!$E215:$CZ215,1,$BN215+20))+2*STDEVP(INDEX(終値!$E215:$CZ215,1,$BN215+1):INDEX(終値!$E215:$CZ215,1,$BN215+20)))</f>
        <v>4731.1586407736277</v>
      </c>
      <c r="BS215" s="503">
        <f>IF($BM215="","",AVERAGE(INDEX(終値!$E215:$CZ215,1,$BM215+1):INDEX(終値!$E215:$CZ215,1,$BM215+20))+2*STDEVP(INDEX(終値!$E215:$CZ215,1,$BM215+1):INDEX(終値!$E215:$CZ215,1,$BM215+20)))</f>
        <v>4778.2239473071768</v>
      </c>
      <c r="BT215" s="500"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3" t="str">
        <f>IF(終値!A216="","",IF(AND(安値!G216&lt;安値!F216,安値!G216&lt;安値!E216,安値!G216&lt;安値!H216,安値!G216&lt;安値!I216),2,""))</f>
        <v/>
      </c>
      <c r="C216" s="503" t="str">
        <f>IF(終値!A216="","",IF(AND(安値!H216&lt;安値!G216,安値!H216&lt;安値!F216,安値!H216&lt;安値!I216,安値!H216&lt;安値!J216),3,""))</f>
        <v/>
      </c>
      <c r="D216" s="503" t="str">
        <f>IF(終値!A216="","",IF(AND(安値!I216&lt;安値!H216,安値!I216&lt;安値!G216,安値!I216&lt;安値!J216,安値!I216&lt;安値!K216),4,""))</f>
        <v/>
      </c>
      <c r="E216" s="503">
        <f>IF(終値!A216="","",IF(AND(安値!J216&lt;安値!I216,安値!J216&lt;安値!H216,安値!J216&lt;安値!K216,安値!J216&lt;安値!L216),5,""))</f>
        <v>5</v>
      </c>
      <c r="F216" s="503" t="str">
        <f>IF(終値!A216="","",IF(AND(安値!K216&lt;安値!J216,安値!K216&lt;安値!I216,安値!K216&lt;安値!L216,安値!K216&lt;安値!M216),6,""))</f>
        <v/>
      </c>
      <c r="G216" s="503" t="str">
        <f>IF(終値!A216="","",IF(AND(安値!L216&lt;安値!K216,安値!L216&lt;安値!J216,安値!L216&lt;安値!M216,安値!L216&lt;安値!N216),7,""))</f>
        <v/>
      </c>
      <c r="H216" s="503" t="str">
        <f>IF(終値!A216="","",IF(AND(安値!M216&lt;安値!L216,安値!M216&lt;安値!K216,安値!M216&lt;安値!N216,安値!M216&lt;安値!O216),8,""))</f>
        <v/>
      </c>
      <c r="I216" s="503" t="str">
        <f>IF(終値!A216="","",IF(AND(安値!N216&lt;安値!M216,安値!N216&lt;安値!L216,安値!N216&lt;安値!O216,安値!N216&lt;安値!P216),9,""))</f>
        <v/>
      </c>
      <c r="J216" s="503" t="str">
        <f>IF(終値!A216="","",IF(AND(安値!O216&lt;安値!N216,安値!O216&lt;安値!M216,安値!O216&lt;安値!P216,安値!O216&lt;安値!Q216),10,""))</f>
        <v/>
      </c>
      <c r="K216" s="503" t="str">
        <f>IF(終値!A216="","",IF(AND(安値!P216&lt;安値!O216,安値!P216&lt;安値!N216,安値!P216&lt;安値!Q216,安値!P216&lt;安値!R216),11,""))</f>
        <v/>
      </c>
      <c r="L216" s="503" t="str">
        <f>IF(終値!A216="","",IF(AND(安値!Q216&lt;安値!P216,安値!Q216&lt;安値!O216,安値!Q216&lt;安値!R216,安値!Q216&lt;安値!S216),12,""))</f>
        <v/>
      </c>
      <c r="M216" s="503">
        <f>IF(終値!A216="","",IF(AND(安値!R216&lt;安値!Q216,安値!R216&lt;安値!P216,安値!R216&lt;安値!S216,安値!R216&lt;安値!T216),13,""))</f>
        <v>13</v>
      </c>
      <c r="N216" s="503" t="str">
        <f>IF(終値!A216="","",IF(AND(安値!S216&lt;安値!R216,安値!S216&lt;安値!Q216,安値!S216&lt;安値!T216,安値!S216&lt;安値!U216),14,""))</f>
        <v/>
      </c>
      <c r="O216" s="503" t="str">
        <f>IF(終値!A216="","",IF(AND(安値!T216&lt;安値!S216,安値!T216&lt;安値!R216,安値!T216&lt;安値!U216,安値!T216&lt;安値!V216),15,""))</f>
        <v/>
      </c>
      <c r="P216" s="503" t="str">
        <f>IF(終値!A216="","",IF(AND(安値!U216&lt;安値!T216,安値!U216&lt;安値!S216,安値!U216&lt;安値!V216,安値!U216&lt;安値!W216),16,""))</f>
        <v/>
      </c>
      <c r="Q216" s="503" t="str">
        <f>IF(終値!A216="","",IF(AND(安値!V216&lt;安値!U216,安値!V216&lt;安値!T216,安値!V216&lt;安値!W216,安値!V216&lt;安値!X216),17,""))</f>
        <v/>
      </c>
      <c r="R216" s="503" t="str">
        <f>IF(終値!A216="","",IF(AND(安値!W216&lt;安値!V216,安値!W216&lt;安値!U216,安値!W216&lt;安値!X216,安値!W216&lt;安値!Y216),18,""))</f>
        <v/>
      </c>
      <c r="S216" s="503">
        <f>IF(終値!A216="","",IF(AND(安値!X216&lt;安値!W216,安値!X216&lt;安値!V216,安値!X216&lt;安値!Y216,安値!X216&lt;安値!Z216),19,""))</f>
        <v>19</v>
      </c>
      <c r="T216" s="503" t="str">
        <f>IF(終値!A216="","",IF(AND(安値!Y216&lt;安値!X216,安値!Y216&lt;安値!W216,安値!Y216&lt;安値!Z216,安値!Y216&lt;安値!AA216),20,""))</f>
        <v/>
      </c>
      <c r="U216" s="503" t="str">
        <f>IF(終値!A216="","",IF(AND(安値!Z216&lt;安値!Y216,安値!Z216&lt;安値!X216,安値!Z216&lt;安値!AA216,安値!Z216&lt;安値!AB216),21,""))</f>
        <v/>
      </c>
      <c r="V216" s="503">
        <f>IF(終値!A216="","",IF(AND(安値!AA216&lt;安値!Z216,安値!AA216&lt;安値!Y216,安値!AA216&lt;安値!AB216,安値!AA216&lt;安値!AC216),22,""))</f>
        <v>22</v>
      </c>
      <c r="W216" s="503" t="str">
        <f>IF(終値!A216="","",IF(AND(安値!AB216&lt;安値!AA216,安値!AB216&lt;安値!Z216,安値!AB216&lt;安値!AC216,安値!AB216&lt;安値!AD216),23,""))</f>
        <v/>
      </c>
      <c r="X216" s="503" t="str">
        <f>IF(終値!A216="","",IF(AND(安値!AC216&lt;安値!AB216,安値!AC216&lt;安値!AA216,安値!AC216&lt;安値!AD216,安値!AC216&lt;安値!AE216),24,""))</f>
        <v/>
      </c>
      <c r="Y216" s="503" t="str">
        <f>IF(終値!A216="","",IF(AND(安値!AD216&lt;安値!AC216,安値!AD216&lt;安値!AB216,安値!AD216&lt;安値!AE216,安値!AD216&lt;安値!AF216),25,""))</f>
        <v/>
      </c>
      <c r="Z216" s="503">
        <f>IF(終値!A216="","",IF(AND(安値!AE216&lt;安値!AD216,安値!AE216&lt;安値!AC216,安値!AE216&lt;安値!AF216,安値!AE216&lt;安値!AG216),26,""))</f>
        <v>26</v>
      </c>
      <c r="AA216" s="503" t="str">
        <f>IF(終値!A216="","",IF(AND(安値!AF216&lt;安値!AE216,安値!AF216&lt;安値!AD216,安値!AF216&lt;安値!AG216,安値!AF216&lt;安値!AH216),27,""))</f>
        <v/>
      </c>
      <c r="AB216" s="503" t="str">
        <f>IF(終値!A216="","",IF(AND(安値!AG216&lt;安値!AF216,安値!AG216&lt;安値!AE216,安値!AG216&lt;安値!AH216,安値!AG216&lt;安値!AI216),28,""))</f>
        <v/>
      </c>
      <c r="AC216" s="503" t="str">
        <f>IF(終値!A216="","",IF(AND(高値!G216&gt;高値!F216,高値!G216&gt;高値!E216,高値!G216&gt;高値!H216,高値!G216&gt;高値!I216),2,""))</f>
        <v/>
      </c>
      <c r="AD216" s="503" t="str">
        <f>IF(終値!A216="","",IF(AND(高値!H216&gt;高値!G216,高値!H216&gt;高値!F216,高値!H216&gt;高値!I216,高値!H216&gt;高値!J216),3,""))</f>
        <v/>
      </c>
      <c r="AE216" s="503" t="str">
        <f>IF(終値!A216="","",IF(AND(高値!I216&gt;高値!H216,高値!I216&gt;高値!G216,高値!I216&gt;高値!J216,高値!I216&gt;高値!K216),4,""))</f>
        <v/>
      </c>
      <c r="AF216" s="503" t="str">
        <f>IF(終値!A216="","",IF(AND(高値!J216&gt;高値!I216,高値!J216&gt;高値!H216,高値!J216&gt;高値!K216,高値!J216&gt;高値!L216),5,""))</f>
        <v/>
      </c>
      <c r="AG216" s="503" t="str">
        <f>IF(終値!A216="","",IF(AND(高値!K216&gt;高値!J216,高値!K216&gt;高値!I216,高値!K216&gt;高値!L216,高値!K216&gt;高値!M216),6,""))</f>
        <v/>
      </c>
      <c r="AH216" s="503" t="str">
        <f>IF(終値!A216="","",IF(AND(高値!L216&gt;高値!K216,高値!L216&gt;高値!J216,高値!L216&gt;高値!M216,高値!L216&gt;高値!N216),7,""))</f>
        <v/>
      </c>
      <c r="AI216" s="503" t="str">
        <f>IF(終値!A216="","",IF(AND(高値!M216&gt;高値!L216,高値!M216&gt;高値!K216,高値!M216&gt;高値!N216,高値!M216&gt;高値!O216),8,""))</f>
        <v/>
      </c>
      <c r="AJ216" s="503" t="str">
        <f>IF(終値!A216="","",IF(AND(高値!N216&gt;高値!M216,高値!N216&gt;高値!L216,高値!N216&gt;高値!O216,高値!N216&gt;高値!P216),9,""))</f>
        <v/>
      </c>
      <c r="AK216" s="503" t="str">
        <f>IF(終値!A216="","",IF(AND(高値!O216&gt;高値!N216,高値!O216&gt;高値!M216,高値!O216&gt;高値!P216,高値!O216&gt;高値!Q216),10,""))</f>
        <v/>
      </c>
      <c r="AL216" s="503">
        <f>IF(終値!A216="","",IF(AND(高値!P216&gt;高値!O216,高値!P216&gt;高値!N216,高値!P216&gt;高値!Q216,高値!P216&gt;高値!R216),11,""))</f>
        <v>11</v>
      </c>
      <c r="AM216" s="503" t="str">
        <f>IF(終値!A216="","",IF(AND(高値!Q216&gt;高値!P216,高値!Q216&gt;高値!O216,高値!Q216&gt;高値!R216,高値!Q216&gt;高値!S216),12,""))</f>
        <v/>
      </c>
      <c r="AN216" s="503" t="str">
        <f>IF(終値!A216="","",IF(AND(高値!R216&gt;高値!Q216,高値!R216&gt;高値!P216,高値!R216&gt;高値!S216,高値!R216&gt;高値!T216),13,""))</f>
        <v/>
      </c>
      <c r="AO216" s="503" t="str">
        <f>IF(終値!A216="","",IF(AND(高値!S216&gt;高値!R216,高値!S216&gt;高値!Q216,高値!S216&gt;高値!T216,高値!S216&gt;高値!U216),14,""))</f>
        <v/>
      </c>
      <c r="AP216" s="503" t="str">
        <f>IF(終値!A216="","",IF(AND(高値!T216&gt;高値!S216,高値!T216&gt;高値!R216,高値!T216&gt;高値!U216,高値!T216&gt;高値!V216),15,""))</f>
        <v/>
      </c>
      <c r="AQ216" s="503" t="str">
        <f>IF(終値!A216="","",IF(AND(高値!U216&gt;高値!T216,高値!U216&gt;高値!S216,高値!U216&gt;高値!V216,高値!U216&gt;高値!W216),16,""))</f>
        <v/>
      </c>
      <c r="AR216" s="503">
        <f>IF(終値!A216="","",IF(AND(高値!V216&gt;高値!U216,高値!V216&gt;高値!T216,高値!V216&gt;高値!W216,高値!V216&gt;高値!X216),17,""))</f>
        <v>17</v>
      </c>
      <c r="AS216" s="503" t="str">
        <f>IF(終値!A216="","",IF(AND(高値!W216&gt;高値!V216,高値!W216&gt;高値!U216,高値!W216&gt;高値!X216,高値!W216&gt;高値!Y216),18,""))</f>
        <v/>
      </c>
      <c r="AT216" s="503" t="str">
        <f>IF(終値!A216="","",IF(AND(高値!X216&gt;高値!W216,高値!X216&gt;高値!V216,高値!X216&gt;高値!Y216,高値!X216&gt;高値!Z216),19,""))</f>
        <v/>
      </c>
      <c r="AU216" s="503" t="str">
        <f>IF(終値!A216="","",IF(AND(高値!Y216&gt;高値!X216,高値!Y216&gt;高値!W216,高値!Y216&gt;高値!Z216,高値!Y216&gt;高値!AA216),20,""))</f>
        <v/>
      </c>
      <c r="AV216" s="503" t="str">
        <f>IF(終値!A216="","",IF(AND(高値!Z216&gt;高値!Y216,高値!Z216&gt;高値!X216,高値!Z216&gt;高値!AA216,高値!Z216&gt;高値!AB216),21,""))</f>
        <v/>
      </c>
      <c r="AW216" s="503" t="str">
        <f>IF(終値!A216="","",IF(AND(高値!AA216&gt;高値!Z216,高値!AA216&gt;高値!Y216,高値!AA216&gt;高値!AB216,高値!AA216&gt;高値!AC216),22,""))</f>
        <v/>
      </c>
      <c r="AX216" s="503" t="str">
        <f>IF(終値!A216="","",IF(AND(高値!AB216&gt;高値!AA216,高値!AB216&gt;高値!Z216,高値!AB216&gt;高値!AC216,高値!AB216&gt;高値!AD216),23,""))</f>
        <v/>
      </c>
      <c r="AY216" s="503">
        <f>IF(終値!A216="","",IF(AND(高値!AC216&gt;高値!AB216,高値!AC216&gt;高値!AA216,高値!AC216&gt;高値!AD216,高値!AC216&gt;高値!AE216),24,""))</f>
        <v>24</v>
      </c>
      <c r="AZ216" s="503" t="str">
        <f>IF(終値!A216="","",IF(AND(高値!AD216&gt;高値!AC216,高値!AD216&gt;高値!AB216,高値!AD216&gt;高値!AE216,高値!AD216&gt;高値!AF216),25,""))</f>
        <v/>
      </c>
      <c r="BA216" s="503" t="str">
        <f>IF(終値!A216="","",IF(AND(高値!AE216&gt;高値!AD216,高値!AE216&gt;高値!AC216,高値!AE216&gt;高値!AF216,高値!AE216&gt;高値!AG216),26,""))</f>
        <v/>
      </c>
      <c r="BB216" s="503" t="str">
        <f>IF(終値!A216="","",IF(AND(高値!AF216&gt;高値!AE216,高値!AF216&gt;高値!AD216,高値!AF216&gt;高値!AG216,高値!AF216&gt;高値!AH216),27,""))</f>
        <v/>
      </c>
      <c r="BC216" s="503" t="str">
        <f>IF(終値!A216="","",IF(AND(高値!AG216&gt;高値!AF216,高値!AG216&gt;高値!AE216,高値!AG216&gt;高値!AH216,高値!AG216&gt;高値!AI216),28,""))</f>
        <v/>
      </c>
      <c r="BD216" s="503">
        <f t="shared" si="18"/>
        <v>5</v>
      </c>
      <c r="BE216" s="503">
        <f t="shared" si="19"/>
        <v>5</v>
      </c>
      <c r="BF216" s="503">
        <f t="shared" si="20"/>
        <v>13</v>
      </c>
      <c r="BG216" s="503">
        <f>IF($BE216="","",INDEX(安値!$E216:$CZ216,1,$BE216+1))</f>
        <v>11460</v>
      </c>
      <c r="BH216" s="503">
        <f>IF($BF216="","",INDEX(安値!$E216:$CZ216,1,$BF216+1))</f>
        <v>13540</v>
      </c>
      <c r="BI216" s="503">
        <f>IF($BF216="","",MAX(INDEX(高値!$E216:$CZ216,1,$BE216+1):INDEX(高値!$E216:$CZ216,1,$BF216+1)))</f>
        <v>15420</v>
      </c>
      <c r="BJ216" s="503">
        <f>IF($BF216="","",AVERAGE(INDEX(終値!$E216:$CZ216,1,$BF216+1):INDEX(終値!$E216:$CZ216,1,$BF216+20))-2*STDEVP(INDEX(終値!$E216:$CZ216,1,$BF216+1):INDEX(終値!$E216:$CZ216,1,$BF216+20)))</f>
        <v>13798.651688604266</v>
      </c>
      <c r="BK216" s="503">
        <f>IF($BE216="","",AVERAGE(INDEX(終値!$E216:$CZ216,1,$BE216+1):INDEX(終値!$E216:$CZ216,1,$BE216+20))-2*STDEVP(INDEX(終値!$E216:$CZ216,1,$BE216+1):INDEX(終値!$E216:$CZ216,1,$BE216+20)))</f>
        <v>11969.565514640255</v>
      </c>
      <c r="BL216" s="503">
        <f t="shared" si="21"/>
        <v>3</v>
      </c>
      <c r="BM216" s="503">
        <f t="shared" si="22"/>
        <v>11</v>
      </c>
      <c r="BN216" s="503">
        <f t="shared" si="23"/>
        <v>17</v>
      </c>
      <c r="BO216" s="503">
        <f>IF($BM216="","",INDEX(高値!$E216:$CZ216,1,$BM216+1))</f>
        <v>15420</v>
      </c>
      <c r="BP216" s="503">
        <f>IF($BN216="","",INDEX(高値!$E216:$CZ216,1,$BN216+1))</f>
        <v>15890</v>
      </c>
      <c r="BQ216" s="503">
        <f>IF($BN216="","",MIN(INDEX(安値!$E216:$CZ216,1,$BM216+1):INDEX(安値!$E216:$CZ216,1,$BN216+1)))</f>
        <v>13540</v>
      </c>
      <c r="BR216" s="503">
        <f>IF($BN216="","",AVERAGE(INDEX(終値!$E216:$CZ216,1,$BN216+1):INDEX(終値!$E216:$CZ216,1,$BN216+20))+2*STDEVP(INDEX(終値!$E216:$CZ216,1,$BN216+1):INDEX(終値!$E216:$CZ216,1,$BN216+20)))</f>
        <v>19875.00293771864</v>
      </c>
      <c r="BS216" s="503">
        <f>IF($BM216="","",AVERAGE(INDEX(終値!$E216:$CZ216,1,$BM216+1):INDEX(終値!$E216:$CZ216,1,$BM216+20))+2*STDEVP(INDEX(終値!$E216:$CZ216,1,$BM216+1):INDEX(終値!$E216:$CZ216,1,$BM216+20)))</f>
        <v>19690.789636323374</v>
      </c>
      <c r="BT216" s="500"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二番天井M形成</v>
      </c>
    </row>
    <row r="217" spans="2:72">
      <c r="B217" s="503" t="str">
        <f>IF(終値!A217="","",IF(AND(安値!G217&lt;安値!F217,安値!G217&lt;安値!E217,安値!G217&lt;安値!H217,安値!G217&lt;安値!I217),2,""))</f>
        <v/>
      </c>
      <c r="C217" s="503">
        <f>IF(終値!A217="","",IF(AND(安値!H217&lt;安値!G217,安値!H217&lt;安値!F217,安値!H217&lt;安値!I217,安値!H217&lt;安値!J217),3,""))</f>
        <v>3</v>
      </c>
      <c r="D217" s="503" t="str">
        <f>IF(終値!A217="","",IF(AND(安値!I217&lt;安値!H217,安値!I217&lt;安値!G217,安値!I217&lt;安値!J217,安値!I217&lt;安値!K217),4,""))</f>
        <v/>
      </c>
      <c r="E217" s="503" t="str">
        <f>IF(終値!A217="","",IF(AND(安値!J217&lt;安値!I217,安値!J217&lt;安値!H217,安値!J217&lt;安値!K217,安値!J217&lt;安値!L217),5,""))</f>
        <v/>
      </c>
      <c r="F217" s="503" t="str">
        <f>IF(終値!A217="","",IF(AND(安値!K217&lt;安値!J217,安値!K217&lt;安値!I217,安値!K217&lt;安値!L217,安値!K217&lt;安値!M217),6,""))</f>
        <v/>
      </c>
      <c r="G217" s="503" t="str">
        <f>IF(終値!A217="","",IF(AND(安値!L217&lt;安値!K217,安値!L217&lt;安値!J217,安値!L217&lt;安値!M217,安値!L217&lt;安値!N217),7,""))</f>
        <v/>
      </c>
      <c r="H217" s="503" t="str">
        <f>IF(終値!A217="","",IF(AND(安値!M217&lt;安値!L217,安値!M217&lt;安値!K217,安値!M217&lt;安値!N217,安値!M217&lt;安値!O217),8,""))</f>
        <v/>
      </c>
      <c r="I217" s="503" t="str">
        <f>IF(終値!A217="","",IF(AND(安値!N217&lt;安値!M217,安値!N217&lt;安値!L217,安値!N217&lt;安値!O217,安値!N217&lt;安値!P217),9,""))</f>
        <v/>
      </c>
      <c r="J217" s="503">
        <f>IF(終値!A217="","",IF(AND(安値!O217&lt;安値!N217,安値!O217&lt;安値!M217,安値!O217&lt;安値!P217,安値!O217&lt;安値!Q217),10,""))</f>
        <v>10</v>
      </c>
      <c r="K217" s="503" t="str">
        <f>IF(終値!A217="","",IF(AND(安値!P217&lt;安値!O217,安値!P217&lt;安値!N217,安値!P217&lt;安値!Q217,安値!P217&lt;安値!R217),11,""))</f>
        <v/>
      </c>
      <c r="L217" s="503" t="str">
        <f>IF(終値!A217="","",IF(AND(安値!Q217&lt;安値!P217,安値!Q217&lt;安値!O217,安値!Q217&lt;安値!R217,安値!Q217&lt;安値!S217),12,""))</f>
        <v/>
      </c>
      <c r="M217" s="503" t="str">
        <f>IF(終値!A217="","",IF(AND(安値!R217&lt;安値!Q217,安値!R217&lt;安値!P217,安値!R217&lt;安値!S217,安値!R217&lt;安値!T217),13,""))</f>
        <v/>
      </c>
      <c r="N217" s="503" t="str">
        <f>IF(終値!A217="","",IF(AND(安値!S217&lt;安値!R217,安値!S217&lt;安値!Q217,安値!S217&lt;安値!T217,安値!S217&lt;安値!U217),14,""))</f>
        <v/>
      </c>
      <c r="O217" s="503" t="str">
        <f>IF(終値!A217="","",IF(AND(安値!T217&lt;安値!S217,安値!T217&lt;安値!R217,安値!T217&lt;安値!U217,安値!T217&lt;安値!V217),15,""))</f>
        <v/>
      </c>
      <c r="P217" s="503" t="str">
        <f>IF(終値!A217="","",IF(AND(安値!U217&lt;安値!T217,安値!U217&lt;安値!S217,安値!U217&lt;安値!V217,安値!U217&lt;安値!W217),16,""))</f>
        <v/>
      </c>
      <c r="Q217" s="503">
        <f>IF(終値!A217="","",IF(AND(安値!V217&lt;安値!U217,安値!V217&lt;安値!T217,安値!V217&lt;安値!W217,安値!V217&lt;安値!X217),17,""))</f>
        <v>17</v>
      </c>
      <c r="R217" s="503" t="str">
        <f>IF(終値!A217="","",IF(AND(安値!W217&lt;安値!V217,安値!W217&lt;安値!U217,安値!W217&lt;安値!X217,安値!W217&lt;安値!Y217),18,""))</f>
        <v/>
      </c>
      <c r="S217" s="503" t="str">
        <f>IF(終値!A217="","",IF(AND(安値!X217&lt;安値!W217,安値!X217&lt;安値!V217,安値!X217&lt;安値!Y217,安値!X217&lt;安値!Z217),19,""))</f>
        <v/>
      </c>
      <c r="T217" s="503" t="str">
        <f>IF(終値!A217="","",IF(AND(安値!Y217&lt;安値!X217,安値!Y217&lt;安値!W217,安値!Y217&lt;安値!Z217,安値!Y217&lt;安値!AA217),20,""))</f>
        <v/>
      </c>
      <c r="U217" s="503" t="str">
        <f>IF(終値!A217="","",IF(AND(安値!Z217&lt;安値!Y217,安値!Z217&lt;安値!X217,安値!Z217&lt;安値!AA217,安値!Z217&lt;安値!AB217),21,""))</f>
        <v/>
      </c>
      <c r="V217" s="503" t="str">
        <f>IF(終値!A217="","",IF(AND(安値!AA217&lt;安値!Z217,安値!AA217&lt;安値!Y217,安値!AA217&lt;安値!AB217,安値!AA217&lt;安値!AC217),22,""))</f>
        <v/>
      </c>
      <c r="W217" s="503" t="str">
        <f>IF(終値!A217="","",IF(AND(安値!AB217&lt;安値!AA217,安値!AB217&lt;安値!Z217,安値!AB217&lt;安値!AC217,安値!AB217&lt;安値!AD217),23,""))</f>
        <v/>
      </c>
      <c r="X217" s="503" t="str">
        <f>IF(終値!A217="","",IF(AND(安値!AC217&lt;安値!AB217,安値!AC217&lt;安値!AA217,安値!AC217&lt;安値!AD217,安値!AC217&lt;安値!AE217),24,""))</f>
        <v/>
      </c>
      <c r="Y217" s="503" t="str">
        <f>IF(終値!A217="","",IF(AND(安値!AD217&lt;安値!AC217,安値!AD217&lt;安値!AB217,安値!AD217&lt;安値!AE217,安値!AD217&lt;安値!AF217),25,""))</f>
        <v/>
      </c>
      <c r="Z217" s="503" t="str">
        <f>IF(終値!A217="","",IF(AND(安値!AE217&lt;安値!AD217,安値!AE217&lt;安値!AC217,安値!AE217&lt;安値!AF217,安値!AE217&lt;安値!AG217),26,""))</f>
        <v/>
      </c>
      <c r="AA217" s="503">
        <f>IF(終値!A217="","",IF(AND(安値!AF217&lt;安値!AE217,安値!AF217&lt;安値!AD217,安値!AF217&lt;安値!AG217,安値!AF217&lt;安値!AH217),27,""))</f>
        <v>27</v>
      </c>
      <c r="AB217" s="503" t="str">
        <f>IF(終値!A217="","",IF(AND(安値!AG217&lt;安値!AF217,安値!AG217&lt;安値!AE217,安値!AG217&lt;安値!AH217,安値!AG217&lt;安値!AI217),28,""))</f>
        <v/>
      </c>
      <c r="AC217" s="503">
        <f>IF(終値!A217="","",IF(AND(高値!G217&gt;高値!F217,高値!G217&gt;高値!E217,高値!G217&gt;高値!H217,高値!G217&gt;高値!I217),2,""))</f>
        <v>2</v>
      </c>
      <c r="AD217" s="503" t="str">
        <f>IF(終値!A217="","",IF(AND(高値!H217&gt;高値!G217,高値!H217&gt;高値!F217,高値!H217&gt;高値!I217,高値!H217&gt;高値!J217),3,""))</f>
        <v/>
      </c>
      <c r="AE217" s="503" t="str">
        <f>IF(終値!A217="","",IF(AND(高値!I217&gt;高値!H217,高値!I217&gt;高値!G217,高値!I217&gt;高値!J217,高値!I217&gt;高値!K217),4,""))</f>
        <v/>
      </c>
      <c r="AF217" s="503" t="str">
        <f>IF(終値!A217="","",IF(AND(高値!J217&gt;高値!I217,高値!J217&gt;高値!H217,高値!J217&gt;高値!K217,高値!J217&gt;高値!L217),5,""))</f>
        <v/>
      </c>
      <c r="AG217" s="503" t="str">
        <f>IF(終値!A217="","",IF(AND(高値!K217&gt;高値!J217,高値!K217&gt;高値!I217,高値!K217&gt;高値!L217,高値!K217&gt;高値!M217),6,""))</f>
        <v/>
      </c>
      <c r="AH217" s="503" t="str">
        <f>IF(終値!A217="","",IF(AND(高値!L217&gt;高値!K217,高値!L217&gt;高値!J217,高値!L217&gt;高値!M217,高値!L217&gt;高値!N217),7,""))</f>
        <v/>
      </c>
      <c r="AI217" s="503">
        <f>IF(終値!A217="","",IF(AND(高値!M217&gt;高値!L217,高値!M217&gt;高値!K217,高値!M217&gt;高値!N217,高値!M217&gt;高値!O217),8,""))</f>
        <v>8</v>
      </c>
      <c r="AJ217" s="503" t="str">
        <f>IF(終値!A217="","",IF(AND(高値!N217&gt;高値!M217,高値!N217&gt;高値!L217,高値!N217&gt;高値!O217,高値!N217&gt;高値!P217),9,""))</f>
        <v/>
      </c>
      <c r="AK217" s="503" t="str">
        <f>IF(終値!A217="","",IF(AND(高値!O217&gt;高値!N217,高値!O217&gt;高値!M217,高値!O217&gt;高値!P217,高値!O217&gt;高値!Q217),10,""))</f>
        <v/>
      </c>
      <c r="AL217" s="503" t="str">
        <f>IF(終値!A217="","",IF(AND(高値!P217&gt;高値!O217,高値!P217&gt;高値!N217,高値!P217&gt;高値!Q217,高値!P217&gt;高値!R217),11,""))</f>
        <v/>
      </c>
      <c r="AM217" s="503">
        <f>IF(終値!A217="","",IF(AND(高値!Q217&gt;高値!P217,高値!Q217&gt;高値!O217,高値!Q217&gt;高値!R217,高値!Q217&gt;高値!S217),12,""))</f>
        <v>12</v>
      </c>
      <c r="AN217" s="503" t="str">
        <f>IF(終値!A217="","",IF(AND(高値!R217&gt;高値!Q217,高値!R217&gt;高値!P217,高値!R217&gt;高値!S217,高値!R217&gt;高値!T217),13,""))</f>
        <v/>
      </c>
      <c r="AO217" s="503" t="str">
        <f>IF(終値!A217="","",IF(AND(高値!S217&gt;高値!R217,高値!S217&gt;高値!Q217,高値!S217&gt;高値!T217,高値!S217&gt;高値!U217),14,""))</f>
        <v/>
      </c>
      <c r="AP217" s="503" t="str">
        <f>IF(終値!A217="","",IF(AND(高値!T217&gt;高値!S217,高値!T217&gt;高値!R217,高値!T217&gt;高値!U217,高値!T217&gt;高値!V217),15,""))</f>
        <v/>
      </c>
      <c r="AQ217" s="503" t="str">
        <f>IF(終値!A217="","",IF(AND(高値!U217&gt;高値!T217,高値!U217&gt;高値!S217,高値!U217&gt;高値!V217,高値!U217&gt;高値!W217),16,""))</f>
        <v/>
      </c>
      <c r="AR217" s="503" t="str">
        <f>IF(終値!A217="","",IF(AND(高値!V217&gt;高値!U217,高値!V217&gt;高値!T217,高値!V217&gt;高値!W217,高値!V217&gt;高値!X217),17,""))</f>
        <v/>
      </c>
      <c r="AS217" s="503" t="str">
        <f>IF(終値!A217="","",IF(AND(高値!W217&gt;高値!V217,高値!W217&gt;高値!U217,高値!W217&gt;高値!X217,高値!W217&gt;高値!Y217),18,""))</f>
        <v/>
      </c>
      <c r="AT217" s="503" t="str">
        <f>IF(終値!A217="","",IF(AND(高値!X217&gt;高値!W217,高値!X217&gt;高値!V217,高値!X217&gt;高値!Y217,高値!X217&gt;高値!Z217),19,""))</f>
        <v/>
      </c>
      <c r="AU217" s="503" t="str">
        <f>IF(終値!A217="","",IF(AND(高値!Y217&gt;高値!X217,高値!Y217&gt;高値!W217,高値!Y217&gt;高値!Z217,高値!Y217&gt;高値!AA217),20,""))</f>
        <v/>
      </c>
      <c r="AV217" s="503">
        <f>IF(終値!A217="","",IF(AND(高値!Z217&gt;高値!Y217,高値!Z217&gt;高値!X217,高値!Z217&gt;高値!AA217,高値!Z217&gt;高値!AB217),21,""))</f>
        <v>21</v>
      </c>
      <c r="AW217" s="503" t="str">
        <f>IF(終値!A217="","",IF(AND(高値!AA217&gt;高値!Z217,高値!AA217&gt;高値!Y217,高値!AA217&gt;高値!AB217,高値!AA217&gt;高値!AC217),22,""))</f>
        <v/>
      </c>
      <c r="AX217" s="503" t="str">
        <f>IF(終値!A217="","",IF(AND(高値!AB217&gt;高値!AA217,高値!AB217&gt;高値!Z217,高値!AB217&gt;高値!AC217,高値!AB217&gt;高値!AD217),23,""))</f>
        <v/>
      </c>
      <c r="AY217" s="503" t="str">
        <f>IF(終値!A217="","",IF(AND(高値!AC217&gt;高値!AB217,高値!AC217&gt;高値!AA217,高値!AC217&gt;高値!AD217,高値!AC217&gt;高値!AE217),24,""))</f>
        <v/>
      </c>
      <c r="AZ217" s="503" t="str">
        <f>IF(終値!A217="","",IF(AND(高値!AD217&gt;高値!AC217,高値!AD217&gt;高値!AB217,高値!AD217&gt;高値!AE217,高値!AD217&gt;高値!AF217),25,""))</f>
        <v/>
      </c>
      <c r="BA217" s="503">
        <f>IF(終値!A217="","",IF(AND(高値!AE217&gt;高値!AD217,高値!AE217&gt;高値!AC217,高値!AE217&gt;高値!AF217,高値!AE217&gt;高値!AG217),26,""))</f>
        <v>26</v>
      </c>
      <c r="BB217" s="503" t="str">
        <f>IF(終値!A217="","",IF(AND(高値!AF217&gt;高値!AE217,高値!AF217&gt;高値!AD217,高値!AF217&gt;高値!AG217,高値!AF217&gt;高値!AH217),27,""))</f>
        <v/>
      </c>
      <c r="BC217" s="503" t="str">
        <f>IF(終値!A217="","",IF(AND(高値!AG217&gt;高値!AF217,高値!AG217&gt;高値!AE217,高値!AG217&gt;高値!AH217,高値!AG217&gt;高値!AI217),28,""))</f>
        <v/>
      </c>
      <c r="BD217" s="503">
        <f t="shared" si="18"/>
        <v>4</v>
      </c>
      <c r="BE217" s="503">
        <f t="shared" si="19"/>
        <v>3</v>
      </c>
      <c r="BF217" s="503">
        <f t="shared" si="20"/>
        <v>10</v>
      </c>
      <c r="BG217" s="503">
        <f>IF($BE217="","",INDEX(安値!$E217:$CZ217,1,$BE217+1))</f>
        <v>2434</v>
      </c>
      <c r="BH217" s="503">
        <f>IF($BF217="","",INDEX(安値!$E217:$CZ217,1,$BF217+1))</f>
        <v>2560</v>
      </c>
      <c r="BI217" s="503">
        <f>IF($BF217="","",MAX(INDEX(高値!$E217:$CZ217,1,$BE217+1):INDEX(高値!$E217:$CZ217,1,$BF217+1)))</f>
        <v>2894</v>
      </c>
      <c r="BJ217" s="503">
        <f>IF($BF217="","",AVERAGE(INDEX(終値!$E217:$CZ217,1,$BF217+1):INDEX(終値!$E217:$CZ217,1,$BF217+20))-2*STDEVP(INDEX(終値!$E217:$CZ217,1,$BF217+1):INDEX(終値!$E217:$CZ217,1,$BF217+20)))</f>
        <v>2017.1224993855431</v>
      </c>
      <c r="BK217" s="503">
        <f>IF($BE217="","",AVERAGE(INDEX(終値!$E217:$CZ217,1,$BE217+1):INDEX(終値!$E217:$CZ217,1,$BE217+20))-2*STDEVP(INDEX(終値!$E217:$CZ217,1,$BE217+1):INDEX(終値!$E217:$CZ217,1,$BE217+20)))</f>
        <v>2065.4443246447931</v>
      </c>
      <c r="BL217" s="503">
        <f t="shared" si="21"/>
        <v>5</v>
      </c>
      <c r="BM217" s="503">
        <f t="shared" si="22"/>
        <v>2</v>
      </c>
      <c r="BN217" s="503">
        <f t="shared" si="23"/>
        <v>8</v>
      </c>
      <c r="BO217" s="503">
        <f>IF($BM217="","",INDEX(高値!$E217:$CZ217,1,$BM217+1))</f>
        <v>2805</v>
      </c>
      <c r="BP217" s="503">
        <f>IF($BN217="","",INDEX(高値!$E217:$CZ217,1,$BN217+1))</f>
        <v>2894</v>
      </c>
      <c r="BQ217" s="503">
        <f>IF($BN217="","",MIN(INDEX(安値!$E217:$CZ217,1,$BM217+1):INDEX(安値!$E217:$CZ217,1,$BN217+1)))</f>
        <v>2434</v>
      </c>
      <c r="BR217" s="503">
        <f>IF($BN217="","",AVERAGE(INDEX(終値!$E217:$CZ217,1,$BN217+1):INDEX(終値!$E217:$CZ217,1,$BN217+20))+2*STDEVP(INDEX(終値!$E217:$CZ217,1,$BN217+1):INDEX(終値!$E217:$CZ217,1,$BN217+20)))</f>
        <v>2917.5307884233498</v>
      </c>
      <c r="BS217" s="503">
        <f>IF($BM217="","",AVERAGE(INDEX(終値!$E217:$CZ217,1,$BM217+1):INDEX(終値!$E217:$CZ217,1,$BM217+20))+2*STDEVP(INDEX(終値!$E217:$CZ217,1,$BM217+1):INDEX(終値!$E217:$CZ217,1,$BM217+20)))</f>
        <v>2989.4207291637995</v>
      </c>
      <c r="BT217" s="500"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二番底W形成</v>
      </c>
    </row>
    <row r="218" spans="2:72">
      <c r="B218" s="503" t="str">
        <f>IF(終値!A218="","",IF(AND(安値!G218&lt;安値!F218,安値!G218&lt;安値!E218,安値!G218&lt;安値!H218,安値!G218&lt;安値!I218),2,""))</f>
        <v/>
      </c>
      <c r="C218" s="503" t="str">
        <f>IF(終値!A218="","",IF(AND(安値!H218&lt;安値!G218,安値!H218&lt;安値!F218,安値!H218&lt;安値!I218,安値!H218&lt;安値!J218),3,""))</f>
        <v/>
      </c>
      <c r="D218" s="503" t="str">
        <f>IF(終値!A218="","",IF(AND(安値!I218&lt;安値!H218,安値!I218&lt;安値!G218,安値!I218&lt;安値!J218,安値!I218&lt;安値!K218),4,""))</f>
        <v/>
      </c>
      <c r="E218" s="503">
        <f>IF(終値!A218="","",IF(AND(安値!J218&lt;安値!I218,安値!J218&lt;安値!H218,安値!J218&lt;安値!K218,安値!J218&lt;安値!L218),5,""))</f>
        <v>5</v>
      </c>
      <c r="F218" s="503" t="str">
        <f>IF(終値!A218="","",IF(AND(安値!K218&lt;安値!J218,安値!K218&lt;安値!I218,安値!K218&lt;安値!L218,安値!K218&lt;安値!M218),6,""))</f>
        <v/>
      </c>
      <c r="G218" s="503" t="str">
        <f>IF(終値!A218="","",IF(AND(安値!L218&lt;安値!K218,安値!L218&lt;安値!J218,安値!L218&lt;安値!M218,安値!L218&lt;安値!N218),7,""))</f>
        <v/>
      </c>
      <c r="H218" s="503" t="str">
        <f>IF(終値!A218="","",IF(AND(安値!M218&lt;安値!L218,安値!M218&lt;安値!K218,安値!M218&lt;安値!N218,安値!M218&lt;安値!O218),8,""))</f>
        <v/>
      </c>
      <c r="I218" s="503" t="str">
        <f>IF(終値!A218="","",IF(AND(安値!N218&lt;安値!M218,安値!N218&lt;安値!L218,安値!N218&lt;安値!O218,安値!N218&lt;安値!P218),9,""))</f>
        <v/>
      </c>
      <c r="J218" s="503" t="str">
        <f>IF(終値!A218="","",IF(AND(安値!O218&lt;安値!N218,安値!O218&lt;安値!M218,安値!O218&lt;安値!P218,安値!O218&lt;安値!Q218),10,""))</f>
        <v/>
      </c>
      <c r="K218" s="503" t="str">
        <f>IF(終値!A218="","",IF(AND(安値!P218&lt;安値!O218,安値!P218&lt;安値!N218,安値!P218&lt;安値!Q218,安値!P218&lt;安値!R218),11,""))</f>
        <v/>
      </c>
      <c r="L218" s="503">
        <f>IF(終値!A218="","",IF(AND(安値!Q218&lt;安値!P218,安値!Q218&lt;安値!O218,安値!Q218&lt;安値!R218,安値!Q218&lt;安値!S218),12,""))</f>
        <v>12</v>
      </c>
      <c r="M218" s="503" t="str">
        <f>IF(終値!A218="","",IF(AND(安値!R218&lt;安値!Q218,安値!R218&lt;安値!P218,安値!R218&lt;安値!S218,安値!R218&lt;安値!T218),13,""))</f>
        <v/>
      </c>
      <c r="N218" s="503" t="str">
        <f>IF(終値!A218="","",IF(AND(安値!S218&lt;安値!R218,安値!S218&lt;安値!Q218,安値!S218&lt;安値!T218,安値!S218&lt;安値!U218),14,""))</f>
        <v/>
      </c>
      <c r="O218" s="503" t="str">
        <f>IF(終値!A218="","",IF(AND(安値!T218&lt;安値!S218,安値!T218&lt;安値!R218,安値!T218&lt;安値!U218,安値!T218&lt;安値!V218),15,""))</f>
        <v/>
      </c>
      <c r="P218" s="503" t="str">
        <f>IF(終値!A218="","",IF(AND(安値!U218&lt;安値!T218,安値!U218&lt;安値!S218,安値!U218&lt;安値!V218,安値!U218&lt;安値!W218),16,""))</f>
        <v/>
      </c>
      <c r="Q218" s="503" t="str">
        <f>IF(終値!A218="","",IF(AND(安値!V218&lt;安値!U218,安値!V218&lt;安値!T218,安値!V218&lt;安値!W218,安値!V218&lt;安値!X218),17,""))</f>
        <v/>
      </c>
      <c r="R218" s="503" t="str">
        <f>IF(終値!A218="","",IF(AND(安値!W218&lt;安値!V218,安値!W218&lt;安値!U218,安値!W218&lt;安値!X218,安値!W218&lt;安値!Y218),18,""))</f>
        <v/>
      </c>
      <c r="S218" s="503">
        <f>IF(終値!A218="","",IF(AND(安値!X218&lt;安値!W218,安値!X218&lt;安値!V218,安値!X218&lt;安値!Y218,安値!X218&lt;安値!Z218),19,""))</f>
        <v>19</v>
      </c>
      <c r="T218" s="503" t="str">
        <f>IF(終値!A218="","",IF(AND(安値!Y218&lt;安値!X218,安値!Y218&lt;安値!W218,安値!Y218&lt;安値!Z218,安値!Y218&lt;安値!AA218),20,""))</f>
        <v/>
      </c>
      <c r="U218" s="503" t="str">
        <f>IF(終値!A218="","",IF(AND(安値!Z218&lt;安値!Y218,安値!Z218&lt;安値!X218,安値!Z218&lt;安値!AA218,安値!Z218&lt;安値!AB218),21,""))</f>
        <v/>
      </c>
      <c r="V218" s="503">
        <f>IF(終値!A218="","",IF(AND(安値!AA218&lt;安値!Z218,安値!AA218&lt;安値!Y218,安値!AA218&lt;安値!AB218,安値!AA218&lt;安値!AC218),22,""))</f>
        <v>22</v>
      </c>
      <c r="W218" s="503" t="str">
        <f>IF(終値!A218="","",IF(AND(安値!AB218&lt;安値!AA218,安値!AB218&lt;安値!Z218,安値!AB218&lt;安値!AC218,安値!AB218&lt;安値!AD218),23,""))</f>
        <v/>
      </c>
      <c r="X218" s="503" t="str">
        <f>IF(終値!A218="","",IF(AND(安値!AC218&lt;安値!AB218,安値!AC218&lt;安値!AA218,安値!AC218&lt;安値!AD218,安値!AC218&lt;安値!AE218),24,""))</f>
        <v/>
      </c>
      <c r="Y218" s="503" t="str">
        <f>IF(終値!A218="","",IF(AND(安値!AD218&lt;安値!AC218,安値!AD218&lt;安値!AB218,安値!AD218&lt;安値!AE218,安値!AD218&lt;安値!AF218),25,""))</f>
        <v/>
      </c>
      <c r="Z218" s="503">
        <f>IF(終値!A218="","",IF(AND(安値!AE218&lt;安値!AD218,安値!AE218&lt;安値!AC218,安値!AE218&lt;安値!AF218,安値!AE218&lt;安値!AG218),26,""))</f>
        <v>26</v>
      </c>
      <c r="AA218" s="503" t="str">
        <f>IF(終値!A218="","",IF(AND(安値!AF218&lt;安値!AE218,安値!AF218&lt;安値!AD218,安値!AF218&lt;安値!AG218,安値!AF218&lt;安値!AH218),27,""))</f>
        <v/>
      </c>
      <c r="AB218" s="503" t="str">
        <f>IF(終値!A218="","",IF(AND(安値!AG218&lt;安値!AF218,安値!AG218&lt;安値!AE218,安値!AG218&lt;安値!AH218,安値!AG218&lt;安値!AI218),28,""))</f>
        <v/>
      </c>
      <c r="AC218" s="503" t="str">
        <f>IF(終値!A218="","",IF(AND(高値!G218&gt;高値!F218,高値!G218&gt;高値!E218,高値!G218&gt;高値!H218,高値!G218&gt;高値!I218),2,""))</f>
        <v/>
      </c>
      <c r="AD218" s="503" t="str">
        <f>IF(終値!A218="","",IF(AND(高値!H218&gt;高値!G218,高値!H218&gt;高値!F218,高値!H218&gt;高値!I218,高値!H218&gt;高値!J218),3,""))</f>
        <v/>
      </c>
      <c r="AE218" s="503" t="str">
        <f>IF(終値!A218="","",IF(AND(高値!I218&gt;高値!H218,高値!I218&gt;高値!G218,高値!I218&gt;高値!J218,高値!I218&gt;高値!K218),4,""))</f>
        <v/>
      </c>
      <c r="AF218" s="503" t="str">
        <f>IF(終値!A218="","",IF(AND(高値!J218&gt;高値!I218,高値!J218&gt;高値!H218,高値!J218&gt;高値!K218,高値!J218&gt;高値!L218),5,""))</f>
        <v/>
      </c>
      <c r="AG218" s="503" t="str">
        <f>IF(終値!A218="","",IF(AND(高値!K218&gt;高値!J218,高値!K218&gt;高値!I218,高値!K218&gt;高値!L218,高値!K218&gt;高値!M218),6,""))</f>
        <v/>
      </c>
      <c r="AH218" s="503" t="str">
        <f>IF(終値!A218="","",IF(AND(高値!L218&gt;高値!K218,高値!L218&gt;高値!J218,高値!L218&gt;高値!M218,高値!L218&gt;高値!N218),7,""))</f>
        <v/>
      </c>
      <c r="AI218" s="503" t="str">
        <f>IF(終値!A218="","",IF(AND(高値!M218&gt;高値!L218,高値!M218&gt;高値!K218,高値!M218&gt;高値!N218,高値!M218&gt;高値!O218),8,""))</f>
        <v/>
      </c>
      <c r="AJ218" s="503" t="str">
        <f>IF(終値!A218="","",IF(AND(高値!N218&gt;高値!M218,高値!N218&gt;高値!L218,高値!N218&gt;高値!O218,高値!N218&gt;高値!P218),9,""))</f>
        <v/>
      </c>
      <c r="AK218" s="503" t="str">
        <f>IF(終値!A218="","",IF(AND(高値!O218&gt;高値!N218,高値!O218&gt;高値!M218,高値!O218&gt;高値!P218,高値!O218&gt;高値!Q218),10,""))</f>
        <v/>
      </c>
      <c r="AL218" s="503">
        <f>IF(終値!A218="","",IF(AND(高値!P218&gt;高値!O218,高値!P218&gt;高値!N218,高値!P218&gt;高値!Q218,高値!P218&gt;高値!R218),11,""))</f>
        <v>11</v>
      </c>
      <c r="AM218" s="503" t="str">
        <f>IF(終値!A218="","",IF(AND(高値!Q218&gt;高値!P218,高値!Q218&gt;高値!O218,高値!Q218&gt;高値!R218,高値!Q218&gt;高値!S218),12,""))</f>
        <v/>
      </c>
      <c r="AN218" s="503" t="str">
        <f>IF(終値!A218="","",IF(AND(高値!R218&gt;高値!Q218,高値!R218&gt;高値!P218,高値!R218&gt;高値!S218,高値!R218&gt;高値!T218),13,""))</f>
        <v/>
      </c>
      <c r="AO218" s="503" t="str">
        <f>IF(終値!A218="","",IF(AND(高値!S218&gt;高値!R218,高値!S218&gt;高値!Q218,高値!S218&gt;高値!T218,高値!S218&gt;高値!U218),14,""))</f>
        <v/>
      </c>
      <c r="AP218" s="503" t="str">
        <f>IF(終値!A218="","",IF(AND(高値!T218&gt;高値!S218,高値!T218&gt;高値!R218,高値!T218&gt;高値!U218,高値!T218&gt;高値!V218),15,""))</f>
        <v/>
      </c>
      <c r="AQ218" s="503" t="str">
        <f>IF(終値!A218="","",IF(AND(高値!U218&gt;高値!T218,高値!U218&gt;高値!S218,高値!U218&gt;高値!V218,高値!U218&gt;高値!W218),16,""))</f>
        <v/>
      </c>
      <c r="AR218" s="503">
        <f>IF(終値!A218="","",IF(AND(高値!V218&gt;高値!U218,高値!V218&gt;高値!T218,高値!V218&gt;高値!W218,高値!V218&gt;高値!X218),17,""))</f>
        <v>17</v>
      </c>
      <c r="AS218" s="503" t="str">
        <f>IF(終値!A218="","",IF(AND(高値!W218&gt;高値!V218,高値!W218&gt;高値!U218,高値!W218&gt;高値!X218,高値!W218&gt;高値!Y218),18,""))</f>
        <v/>
      </c>
      <c r="AT218" s="503" t="str">
        <f>IF(終値!A218="","",IF(AND(高値!X218&gt;高値!W218,高値!X218&gt;高値!V218,高値!X218&gt;高値!Y218,高値!X218&gt;高値!Z218),19,""))</f>
        <v/>
      </c>
      <c r="AU218" s="503" t="str">
        <f>IF(終値!A218="","",IF(AND(高値!Y218&gt;高値!X218,高値!Y218&gt;高値!W218,高値!Y218&gt;高値!Z218,高値!Y218&gt;高値!AA218),20,""))</f>
        <v/>
      </c>
      <c r="AV218" s="503">
        <f>IF(終値!A218="","",IF(AND(高値!Z218&gt;高値!Y218,高値!Z218&gt;高値!X218,高値!Z218&gt;高値!AA218,高値!Z218&gt;高値!AB218),21,""))</f>
        <v>21</v>
      </c>
      <c r="AW218" s="503" t="str">
        <f>IF(終値!A218="","",IF(AND(高値!AA218&gt;高値!Z218,高値!AA218&gt;高値!Y218,高値!AA218&gt;高値!AB218,高値!AA218&gt;高値!AC218),22,""))</f>
        <v/>
      </c>
      <c r="AX218" s="503" t="str">
        <f>IF(終値!A218="","",IF(AND(高値!AB218&gt;高値!AA218,高値!AB218&gt;高値!Z218,高値!AB218&gt;高値!AC218,高値!AB218&gt;高値!AD218),23,""))</f>
        <v/>
      </c>
      <c r="AY218" s="503" t="str">
        <f>IF(終値!A218="","",IF(AND(高値!AC218&gt;高値!AB218,高値!AC218&gt;高値!AA218,高値!AC218&gt;高値!AD218,高値!AC218&gt;高値!AE218),24,""))</f>
        <v/>
      </c>
      <c r="AZ218" s="503" t="str">
        <f>IF(終値!A218="","",IF(AND(高値!AD218&gt;高値!AC218,高値!AD218&gt;高値!AB218,高値!AD218&gt;高値!AE218,高値!AD218&gt;高値!AF218),25,""))</f>
        <v/>
      </c>
      <c r="BA218" s="503" t="str">
        <f>IF(終値!A218="","",IF(AND(高値!AE218&gt;高値!AD218,高値!AE218&gt;高値!AC218,高値!AE218&gt;高値!AF218,高値!AE218&gt;高値!AG218),26,""))</f>
        <v/>
      </c>
      <c r="BB218" s="503" t="str">
        <f>IF(終値!A218="","",IF(AND(高値!AF218&gt;高値!AE218,高値!AF218&gt;高値!AD218,高値!AF218&gt;高値!AG218,高値!AF218&gt;高値!AH218),27,""))</f>
        <v/>
      </c>
      <c r="BC218" s="503" t="str">
        <f>IF(終値!A218="","",IF(AND(高値!AG218&gt;高値!AF218,高値!AG218&gt;高値!AE218,高値!AG218&gt;高値!AH218,高値!AG218&gt;高値!AI218),28,""))</f>
        <v/>
      </c>
      <c r="BD218" s="503">
        <f t="shared" si="18"/>
        <v>5</v>
      </c>
      <c r="BE218" s="503">
        <f t="shared" si="19"/>
        <v>5</v>
      </c>
      <c r="BF218" s="503">
        <f t="shared" si="20"/>
        <v>12</v>
      </c>
      <c r="BG218" s="503">
        <f>IF($BE218="","",INDEX(安値!$E218:$CZ218,1,$BE218+1))</f>
        <v>36020</v>
      </c>
      <c r="BH218" s="503">
        <f>IF($BF218="","",INDEX(安値!$E218:$CZ218,1,$BF218+1))</f>
        <v>51370</v>
      </c>
      <c r="BI218" s="503">
        <f>IF($BF218="","",MAX(INDEX(高値!$E218:$CZ218,1,$BE218+1):INDEX(高値!$E218:$CZ218,1,$BF218+1)))</f>
        <v>68700</v>
      </c>
      <c r="BJ218" s="503">
        <f>IF($BF218="","",AVERAGE(INDEX(終値!$E218:$CZ218,1,$BF218+1):INDEX(終値!$E218:$CZ218,1,$BF218+20))-2*STDEVP(INDEX(終値!$E218:$CZ218,1,$BF218+1):INDEX(終値!$E218:$CZ218,1,$BF218+20)))</f>
        <v>53736.646543241543</v>
      </c>
      <c r="BK218" s="503">
        <f>IF($BE218="","",AVERAGE(INDEX(終値!$E218:$CZ218,1,$BE218+1):INDEX(終値!$E218:$CZ218,1,$BE218+20))-2*STDEVP(INDEX(終値!$E218:$CZ218,1,$BE218+1):INDEX(終値!$E218:$CZ218,1,$BE218+20)))</f>
        <v>37486.391025395336</v>
      </c>
      <c r="BL218" s="503">
        <f t="shared" si="21"/>
        <v>3</v>
      </c>
      <c r="BM218" s="503">
        <f t="shared" si="22"/>
        <v>11</v>
      </c>
      <c r="BN218" s="503">
        <f t="shared" si="23"/>
        <v>17</v>
      </c>
      <c r="BO218" s="503">
        <f>IF($BM218="","",INDEX(高値!$E218:$CZ218,1,$BM218+1))</f>
        <v>68700</v>
      </c>
      <c r="BP218" s="503">
        <f>IF($BN218="","",INDEX(高値!$E218:$CZ218,1,$BN218+1))</f>
        <v>84050</v>
      </c>
      <c r="BQ218" s="503">
        <f>IF($BN218="","",MIN(INDEX(安値!$E218:$CZ218,1,$BM218+1):INDEX(安値!$E218:$CZ218,1,$BN218+1)))</f>
        <v>51370</v>
      </c>
      <c r="BR218" s="503">
        <f>IF($BN218="","",AVERAGE(INDEX(終値!$E218:$CZ218,1,$BN218+1):INDEX(終値!$E218:$CZ218,1,$BN218+20))+2*STDEVP(INDEX(終値!$E218:$CZ218,1,$BN218+1):INDEX(終値!$E218:$CZ218,1,$BN218+20)))</f>
        <v>110427.0842304668</v>
      </c>
      <c r="BS218" s="503">
        <f>IF($BM218="","",AVERAGE(INDEX(終値!$E218:$CZ218,1,$BM218+1):INDEX(終値!$E218:$CZ218,1,$BM218+20))+2*STDEVP(INDEX(終値!$E218:$CZ218,1,$BM218+1):INDEX(終値!$E218:$CZ218,1,$BM218+20)))</f>
        <v>103620.10024061713</v>
      </c>
      <c r="BT218" s="500"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3" t="str">
        <f>IF(終値!A219="","",IF(AND(安値!G219&lt;安値!F219,安値!G219&lt;安値!E219,安値!G219&lt;安値!H219,安値!G219&lt;安値!I219),2,""))</f>
        <v/>
      </c>
      <c r="C219" s="503" t="str">
        <f>IF(終値!A219="","",IF(AND(安値!H219&lt;安値!G219,安値!H219&lt;安値!F219,安値!H219&lt;安値!I219,安値!H219&lt;安値!J219),3,""))</f>
        <v/>
      </c>
      <c r="D219" s="503" t="str">
        <f>IF(終値!A219="","",IF(AND(安値!I219&lt;安値!H219,安値!I219&lt;安値!G219,安値!I219&lt;安値!J219,安値!I219&lt;安値!K219),4,""))</f>
        <v/>
      </c>
      <c r="E219" s="503" t="str">
        <f>IF(終値!A219="","",IF(AND(安値!J219&lt;安値!I219,安値!J219&lt;安値!H219,安値!J219&lt;安値!K219,安値!J219&lt;安値!L219),5,""))</f>
        <v/>
      </c>
      <c r="F219" s="503" t="str">
        <f>IF(終値!A219="","",IF(AND(安値!K219&lt;安値!J219,安値!K219&lt;安値!I219,安値!K219&lt;安値!L219,安値!K219&lt;安値!M219),6,""))</f>
        <v/>
      </c>
      <c r="G219" s="503" t="str">
        <f>IF(終値!A219="","",IF(AND(安値!L219&lt;安値!K219,安値!L219&lt;安値!J219,安値!L219&lt;安値!M219,安値!L219&lt;安値!N219),7,""))</f>
        <v/>
      </c>
      <c r="H219" s="503" t="str">
        <f>IF(終値!A219="","",IF(AND(安値!M219&lt;安値!L219,安値!M219&lt;安値!K219,安値!M219&lt;安値!N219,安値!M219&lt;安値!O219),8,""))</f>
        <v/>
      </c>
      <c r="I219" s="503">
        <f>IF(終値!A219="","",IF(AND(安値!N219&lt;安値!M219,安値!N219&lt;安値!L219,安値!N219&lt;安値!O219,安値!N219&lt;安値!P219),9,""))</f>
        <v>9</v>
      </c>
      <c r="J219" s="503" t="str">
        <f>IF(終値!A219="","",IF(AND(安値!O219&lt;安値!N219,安値!O219&lt;安値!M219,安値!O219&lt;安値!P219,安値!O219&lt;安値!Q219),10,""))</f>
        <v/>
      </c>
      <c r="K219" s="503" t="str">
        <f>IF(終値!A219="","",IF(AND(安値!P219&lt;安値!O219,安値!P219&lt;安値!N219,安値!P219&lt;安値!Q219,安値!P219&lt;安値!R219),11,""))</f>
        <v/>
      </c>
      <c r="L219" s="503" t="str">
        <f>IF(終値!A219="","",IF(AND(安値!Q219&lt;安値!P219,安値!Q219&lt;安値!O219,安値!Q219&lt;安値!R219,安値!Q219&lt;安値!S219),12,""))</f>
        <v/>
      </c>
      <c r="M219" s="503">
        <f>IF(終値!A219="","",IF(AND(安値!R219&lt;安値!Q219,安値!R219&lt;安値!P219,安値!R219&lt;安値!S219,安値!R219&lt;安値!T219),13,""))</f>
        <v>13</v>
      </c>
      <c r="N219" s="503" t="str">
        <f>IF(終値!A219="","",IF(AND(安値!S219&lt;安値!R219,安値!S219&lt;安値!Q219,安値!S219&lt;安値!T219,安値!S219&lt;安値!U219),14,""))</f>
        <v/>
      </c>
      <c r="O219" s="503" t="str">
        <f>IF(終値!A219="","",IF(AND(安値!T219&lt;安値!S219,安値!T219&lt;安値!R219,安値!T219&lt;安値!U219,安値!T219&lt;安値!V219),15,""))</f>
        <v/>
      </c>
      <c r="P219" s="503">
        <f>IF(終値!A219="","",IF(AND(安値!U219&lt;安値!T219,安値!U219&lt;安値!S219,安値!U219&lt;安値!V219,安値!U219&lt;安値!W219),16,""))</f>
        <v>16</v>
      </c>
      <c r="Q219" s="503" t="str">
        <f>IF(終値!A219="","",IF(AND(安値!V219&lt;安値!U219,安値!V219&lt;安値!T219,安値!V219&lt;安値!W219,安値!V219&lt;安値!X219),17,""))</f>
        <v/>
      </c>
      <c r="R219" s="503" t="str">
        <f>IF(終値!A219="","",IF(AND(安値!W219&lt;安値!V219,安値!W219&lt;安値!U219,安値!W219&lt;安値!X219,安値!W219&lt;安値!Y219),18,""))</f>
        <v/>
      </c>
      <c r="S219" s="503">
        <f>IF(終値!A219="","",IF(AND(安値!X219&lt;安値!W219,安値!X219&lt;安値!V219,安値!X219&lt;安値!Y219,安値!X219&lt;安値!Z219),19,""))</f>
        <v>19</v>
      </c>
      <c r="T219" s="503" t="str">
        <f>IF(終値!A219="","",IF(AND(安値!Y219&lt;安値!X219,安値!Y219&lt;安値!W219,安値!Y219&lt;安値!Z219,安値!Y219&lt;安値!AA219),20,""))</f>
        <v/>
      </c>
      <c r="U219" s="503" t="str">
        <f>IF(終値!A219="","",IF(AND(安値!Z219&lt;安値!Y219,安値!Z219&lt;安値!X219,安値!Z219&lt;安値!AA219,安値!Z219&lt;安値!AB219),21,""))</f>
        <v/>
      </c>
      <c r="V219" s="503" t="str">
        <f>IF(終値!A219="","",IF(AND(安値!AA219&lt;安値!Z219,安値!AA219&lt;安値!Y219,安値!AA219&lt;安値!AB219,安値!AA219&lt;安値!AC219),22,""))</f>
        <v/>
      </c>
      <c r="W219" s="503" t="str">
        <f>IF(終値!A219="","",IF(AND(安値!AB219&lt;安値!AA219,安値!AB219&lt;安値!Z219,安値!AB219&lt;安値!AC219,安値!AB219&lt;安値!AD219),23,""))</f>
        <v/>
      </c>
      <c r="X219" s="503">
        <f>IF(終値!A219="","",IF(AND(安値!AC219&lt;安値!AB219,安値!AC219&lt;安値!AA219,安値!AC219&lt;安値!AD219,安値!AC219&lt;安値!AE219),24,""))</f>
        <v>24</v>
      </c>
      <c r="Y219" s="503" t="str">
        <f>IF(終値!A219="","",IF(AND(安値!AD219&lt;安値!AC219,安値!AD219&lt;安値!AB219,安値!AD219&lt;安値!AE219,安値!AD219&lt;安値!AF219),25,""))</f>
        <v/>
      </c>
      <c r="Z219" s="503" t="str">
        <f>IF(終値!A219="","",IF(AND(安値!AE219&lt;安値!AD219,安値!AE219&lt;安値!AC219,安値!AE219&lt;安値!AF219,安値!AE219&lt;安値!AG219),26,""))</f>
        <v/>
      </c>
      <c r="AA219" s="503" t="str">
        <f>IF(終値!A219="","",IF(AND(安値!AF219&lt;安値!AE219,安値!AF219&lt;安値!AD219,安値!AF219&lt;安値!AG219,安値!AF219&lt;安値!AH219),27,""))</f>
        <v/>
      </c>
      <c r="AB219" s="503" t="str">
        <f>IF(終値!A219="","",IF(AND(安値!AG219&lt;安値!AF219,安値!AG219&lt;安値!AE219,安値!AG219&lt;安値!AH219,安値!AG219&lt;安値!AI219),28,""))</f>
        <v/>
      </c>
      <c r="AC219" s="503" t="str">
        <f>IF(終値!A219="","",IF(AND(高値!G219&gt;高値!F219,高値!G219&gt;高値!E219,高値!G219&gt;高値!H219,高値!G219&gt;高値!I219),2,""))</f>
        <v/>
      </c>
      <c r="AD219" s="503" t="str">
        <f>IF(終値!A219="","",IF(AND(高値!H219&gt;高値!G219,高値!H219&gt;高値!F219,高値!H219&gt;高値!I219,高値!H219&gt;高値!J219),3,""))</f>
        <v/>
      </c>
      <c r="AE219" s="503" t="str">
        <f>IF(終値!A219="","",IF(AND(高値!I219&gt;高値!H219,高値!I219&gt;高値!G219,高値!I219&gt;高値!J219,高値!I219&gt;高値!K219),4,""))</f>
        <v/>
      </c>
      <c r="AF219" s="503" t="str">
        <f>IF(終値!A219="","",IF(AND(高値!J219&gt;高値!I219,高値!J219&gt;高値!H219,高値!J219&gt;高値!K219,高値!J219&gt;高値!L219),5,""))</f>
        <v/>
      </c>
      <c r="AG219" s="503" t="str">
        <f>IF(終値!A219="","",IF(AND(高値!K219&gt;高値!J219,高値!K219&gt;高値!I219,高値!K219&gt;高値!L219,高値!K219&gt;高値!M219),6,""))</f>
        <v/>
      </c>
      <c r="AH219" s="503" t="str">
        <f>IF(終値!A219="","",IF(AND(高値!L219&gt;高値!K219,高値!L219&gt;高値!J219,高値!L219&gt;高値!M219,高値!L219&gt;高値!N219),7,""))</f>
        <v/>
      </c>
      <c r="AI219" s="503" t="str">
        <f>IF(終値!A219="","",IF(AND(高値!M219&gt;高値!L219,高値!M219&gt;高値!K219,高値!M219&gt;高値!N219,高値!M219&gt;高値!O219),8,""))</f>
        <v/>
      </c>
      <c r="AJ219" s="503" t="str">
        <f>IF(終値!A219="","",IF(AND(高値!N219&gt;高値!M219,高値!N219&gt;高値!L219,高値!N219&gt;高値!O219,高値!N219&gt;高値!P219),9,""))</f>
        <v/>
      </c>
      <c r="AK219" s="503" t="str">
        <f>IF(終値!A219="","",IF(AND(高値!O219&gt;高値!N219,高値!O219&gt;高値!M219,高値!O219&gt;高値!P219,高値!O219&gt;高値!Q219),10,""))</f>
        <v/>
      </c>
      <c r="AL219" s="503" t="str">
        <f>IF(終値!A219="","",IF(AND(高値!P219&gt;高値!O219,高値!P219&gt;高値!N219,高値!P219&gt;高値!Q219,高値!P219&gt;高値!R219),11,""))</f>
        <v/>
      </c>
      <c r="AM219" s="503" t="str">
        <f>IF(終値!A219="","",IF(AND(高値!Q219&gt;高値!P219,高値!Q219&gt;高値!O219,高値!Q219&gt;高値!R219,高値!Q219&gt;高値!S219),12,""))</f>
        <v/>
      </c>
      <c r="AN219" s="503" t="str">
        <f>IF(終値!A219="","",IF(AND(高値!R219&gt;高値!Q219,高値!R219&gt;高値!P219,高値!R219&gt;高値!S219,高値!R219&gt;高値!T219),13,""))</f>
        <v/>
      </c>
      <c r="AO219" s="503" t="str">
        <f>IF(終値!A219="","",IF(AND(高値!S219&gt;高値!R219,高値!S219&gt;高値!Q219,高値!S219&gt;高値!T219,高値!S219&gt;高値!U219),14,""))</f>
        <v/>
      </c>
      <c r="AP219" s="503">
        <f>IF(終値!A219="","",IF(AND(高値!T219&gt;高値!S219,高値!T219&gt;高値!R219,高値!T219&gt;高値!U219,高値!T219&gt;高値!V219),15,""))</f>
        <v>15</v>
      </c>
      <c r="AQ219" s="503" t="str">
        <f>IF(終値!A219="","",IF(AND(高値!U219&gt;高値!T219,高値!U219&gt;高値!S219,高値!U219&gt;高値!V219,高値!U219&gt;高値!W219),16,""))</f>
        <v/>
      </c>
      <c r="AR219" s="503" t="str">
        <f>IF(終値!A219="","",IF(AND(高値!V219&gt;高値!U219,高値!V219&gt;高値!T219,高値!V219&gt;高値!W219,高値!V219&gt;高値!X219),17,""))</f>
        <v/>
      </c>
      <c r="AS219" s="503" t="str">
        <f>IF(終値!A219="","",IF(AND(高値!W219&gt;高値!V219,高値!W219&gt;高値!U219,高値!W219&gt;高値!X219,高値!W219&gt;高値!Y219),18,""))</f>
        <v/>
      </c>
      <c r="AT219" s="503" t="str">
        <f>IF(終値!A219="","",IF(AND(高値!X219&gt;高値!W219,高値!X219&gt;高値!V219,高値!X219&gt;高値!Y219,高値!X219&gt;高値!Z219),19,""))</f>
        <v/>
      </c>
      <c r="AU219" s="503">
        <f>IF(終値!A219="","",IF(AND(高値!Y219&gt;高値!X219,高値!Y219&gt;高値!W219,高値!Y219&gt;高値!Z219,高値!Y219&gt;高値!AA219),20,""))</f>
        <v>20</v>
      </c>
      <c r="AV219" s="503" t="str">
        <f>IF(終値!A219="","",IF(AND(高値!Z219&gt;高値!Y219,高値!Z219&gt;高値!X219,高値!Z219&gt;高値!AA219,高値!Z219&gt;高値!AB219),21,""))</f>
        <v/>
      </c>
      <c r="AW219" s="503" t="str">
        <f>IF(終値!A219="","",IF(AND(高値!AA219&gt;高値!Z219,高値!AA219&gt;高値!Y219,高値!AA219&gt;高値!AB219,高値!AA219&gt;高値!AC219),22,""))</f>
        <v/>
      </c>
      <c r="AX219" s="503" t="str">
        <f>IF(終値!A219="","",IF(AND(高値!AB219&gt;高値!AA219,高値!AB219&gt;高値!Z219,高値!AB219&gt;高値!AC219,高値!AB219&gt;高値!AD219),23,""))</f>
        <v/>
      </c>
      <c r="AY219" s="503" t="str">
        <f>IF(終値!A219="","",IF(AND(高値!AC219&gt;高値!AB219,高値!AC219&gt;高値!AA219,高値!AC219&gt;高値!AD219,高値!AC219&gt;高値!AE219),24,""))</f>
        <v/>
      </c>
      <c r="AZ219" s="503">
        <f>IF(終値!A219="","",IF(AND(高値!AD219&gt;高値!AC219,高値!AD219&gt;高値!AB219,高値!AD219&gt;高値!AE219,高値!AD219&gt;高値!AF219),25,""))</f>
        <v>25</v>
      </c>
      <c r="BA219" s="503" t="str">
        <f>IF(終値!A219="","",IF(AND(高値!AE219&gt;高値!AD219,高値!AE219&gt;高値!AC219,高値!AE219&gt;高値!AF219,高値!AE219&gt;高値!AG219),26,""))</f>
        <v/>
      </c>
      <c r="BB219" s="503" t="str">
        <f>IF(終値!A219="","",IF(AND(高値!AF219&gt;高値!AE219,高値!AF219&gt;高値!AD219,高値!AF219&gt;高値!AG219,高値!AF219&gt;高値!AH219),27,""))</f>
        <v/>
      </c>
      <c r="BC219" s="503">
        <f>IF(終値!A219="","",IF(AND(高値!AG219&gt;高値!AF219,高値!AG219&gt;高値!AE219,高値!AG219&gt;高値!AH219,高値!AG219&gt;高値!AI219),28,""))</f>
        <v>28</v>
      </c>
      <c r="BD219" s="503">
        <f t="shared" si="18"/>
        <v>5</v>
      </c>
      <c r="BE219" s="503">
        <f t="shared" si="19"/>
        <v>9</v>
      </c>
      <c r="BF219" s="503">
        <f t="shared" si="20"/>
        <v>13</v>
      </c>
      <c r="BG219" s="503">
        <f>IF($BE219="","",INDEX(安値!$E219:$CZ219,1,$BE219+1))</f>
        <v>0</v>
      </c>
      <c r="BH219" s="503">
        <f>IF($BF219="","",INDEX(安値!$E219:$CZ219,1,$BF219+1))</f>
        <v>2973</v>
      </c>
      <c r="BI219" s="503">
        <f>IF($BF219="","",MAX(INDEX(高値!$E219:$CZ219,1,$BE219+1):INDEX(高値!$E219:$CZ219,1,$BF219+1)))</f>
        <v>3115</v>
      </c>
      <c r="BJ219" s="503">
        <f>IF($BF219="","",AVERAGE(INDEX(終値!$E219:$CZ219,1,$BF219+1):INDEX(終値!$E219:$CZ219,1,$BF219+20))-2*STDEVP(INDEX(終値!$E219:$CZ219,1,$BF219+1):INDEX(終値!$E219:$CZ219,1,$BF219+20)))</f>
        <v>2771.6791144229778</v>
      </c>
      <c r="BK219" s="503">
        <f>IF($BE219="","",AVERAGE(INDEX(終値!$E219:$CZ219,1,$BE219+1):INDEX(終値!$E219:$CZ219,1,$BE219+20))-2*STDEVP(INDEX(終値!$E219:$CZ219,1,$BE219+1):INDEX(終値!$E219:$CZ219,1,$BE219+20)))</f>
        <v>2915.2403085057922</v>
      </c>
      <c r="BL219" s="503">
        <f t="shared" si="21"/>
        <v>4</v>
      </c>
      <c r="BM219" s="503">
        <f t="shared" si="22"/>
        <v>15</v>
      </c>
      <c r="BN219" s="503">
        <f t="shared" si="23"/>
        <v>20</v>
      </c>
      <c r="BO219" s="503">
        <f>IF($BM219="","",INDEX(高値!$E219:$CZ219,1,$BM219+1))</f>
        <v>3165</v>
      </c>
      <c r="BP219" s="503">
        <f>IF($BN219="","",INDEX(高値!$E219:$CZ219,1,$BN219+1))</f>
        <v>3215</v>
      </c>
      <c r="BQ219" s="503">
        <f>IF($BN219="","",MIN(INDEX(安値!$E219:$CZ219,1,$BM219+1):INDEX(安値!$E219:$CZ219,1,$BN219+1)))</f>
        <v>2960</v>
      </c>
      <c r="BR219" s="503">
        <f>IF($BN219="","",AVERAGE(INDEX(終値!$E219:$CZ219,1,$BN219+1):INDEX(終値!$E219:$CZ219,1,$BN219+20))+2*STDEVP(INDEX(終値!$E219:$CZ219,1,$BN219+1):INDEX(終値!$E219:$CZ219,1,$BN219+20)))</f>
        <v>3163.4548047031294</v>
      </c>
      <c r="BS219" s="503">
        <f>IF($BM219="","",AVERAGE(INDEX(終値!$E219:$CZ219,1,$BM219+1):INDEX(終値!$E219:$CZ219,1,$BM219+20))+2*STDEVP(INDEX(終値!$E219:$CZ219,1,$BM219+1):INDEX(終値!$E219:$CZ219,1,$BM219+20)))</f>
        <v>3217.3637073940081</v>
      </c>
      <c r="BT219" s="500"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v>
      </c>
    </row>
    <row r="220" spans="2:72">
      <c r="B220" s="503" t="str">
        <f>IF(終値!A220="","",IF(AND(安値!G220&lt;安値!F220,安値!G220&lt;安値!E220,安値!G220&lt;安値!H220,安値!G220&lt;安値!I220),2,""))</f>
        <v/>
      </c>
      <c r="C220" s="503" t="str">
        <f>IF(終値!A220="","",IF(AND(安値!H220&lt;安値!G220,安値!H220&lt;安値!F220,安値!H220&lt;安値!I220,安値!H220&lt;安値!J220),3,""))</f>
        <v/>
      </c>
      <c r="D220" s="503" t="str">
        <f>IF(終値!A220="","",IF(AND(安値!I220&lt;安値!H220,安値!I220&lt;安値!G220,安値!I220&lt;安値!J220,安値!I220&lt;安値!K220),4,""))</f>
        <v/>
      </c>
      <c r="E220" s="503" t="str">
        <f>IF(終値!A220="","",IF(AND(安値!J220&lt;安値!I220,安値!J220&lt;安値!H220,安値!J220&lt;安値!K220,安値!J220&lt;安値!L220),5,""))</f>
        <v/>
      </c>
      <c r="F220" s="503">
        <f>IF(終値!A220="","",IF(AND(安値!K220&lt;安値!J220,安値!K220&lt;安値!I220,安値!K220&lt;安値!L220,安値!K220&lt;安値!M220),6,""))</f>
        <v>6</v>
      </c>
      <c r="G220" s="503" t="str">
        <f>IF(終値!A220="","",IF(AND(安値!L220&lt;安値!K220,安値!L220&lt;安値!J220,安値!L220&lt;安値!M220,安値!L220&lt;安値!N220),7,""))</f>
        <v/>
      </c>
      <c r="H220" s="503" t="str">
        <f>IF(終値!A220="","",IF(AND(安値!M220&lt;安値!L220,安値!M220&lt;安値!K220,安値!M220&lt;安値!N220,安値!M220&lt;安値!O220),8,""))</f>
        <v/>
      </c>
      <c r="I220" s="503" t="str">
        <f>IF(終値!A220="","",IF(AND(安値!N220&lt;安値!M220,安値!N220&lt;安値!L220,安値!N220&lt;安値!O220,安値!N220&lt;安値!P220),9,""))</f>
        <v/>
      </c>
      <c r="J220" s="503" t="str">
        <f>IF(終値!A220="","",IF(AND(安値!O220&lt;安値!N220,安値!O220&lt;安値!M220,安値!O220&lt;安値!P220,安値!O220&lt;安値!Q220),10,""))</f>
        <v/>
      </c>
      <c r="K220" s="503" t="str">
        <f>IF(終値!A220="","",IF(AND(安値!P220&lt;安値!O220,安値!P220&lt;安値!N220,安値!P220&lt;安値!Q220,安値!P220&lt;安値!R220),11,""))</f>
        <v/>
      </c>
      <c r="L220" s="503" t="str">
        <f>IF(終値!A220="","",IF(AND(安値!Q220&lt;安値!P220,安値!Q220&lt;安値!O220,安値!Q220&lt;安値!R220,安値!Q220&lt;安値!S220),12,""))</f>
        <v/>
      </c>
      <c r="M220" s="503">
        <f>IF(終値!A220="","",IF(AND(安値!R220&lt;安値!Q220,安値!R220&lt;安値!P220,安値!R220&lt;安値!S220,安値!R220&lt;安値!T220),13,""))</f>
        <v>13</v>
      </c>
      <c r="N220" s="503" t="str">
        <f>IF(終値!A220="","",IF(AND(安値!S220&lt;安値!R220,安値!S220&lt;安値!Q220,安値!S220&lt;安値!T220,安値!S220&lt;安値!U220),14,""))</f>
        <v/>
      </c>
      <c r="O220" s="503" t="str">
        <f>IF(終値!A220="","",IF(AND(安値!T220&lt;安値!S220,安値!T220&lt;安値!R220,安値!T220&lt;安値!U220,安値!T220&lt;安値!V220),15,""))</f>
        <v/>
      </c>
      <c r="P220" s="503" t="str">
        <f>IF(終値!A220="","",IF(AND(安値!U220&lt;安値!T220,安値!U220&lt;安値!S220,安値!U220&lt;安値!V220,安値!U220&lt;安値!W220),16,""))</f>
        <v/>
      </c>
      <c r="Q220" s="503" t="str">
        <f>IF(終値!A220="","",IF(AND(安値!V220&lt;安値!U220,安値!V220&lt;安値!T220,安値!V220&lt;安値!W220,安値!V220&lt;安値!X220),17,""))</f>
        <v/>
      </c>
      <c r="R220" s="503">
        <f>IF(終値!A220="","",IF(AND(安値!W220&lt;安値!V220,安値!W220&lt;安値!U220,安値!W220&lt;安値!X220,安値!W220&lt;安値!Y220),18,""))</f>
        <v>18</v>
      </c>
      <c r="S220" s="503" t="str">
        <f>IF(終値!A220="","",IF(AND(安値!X220&lt;安値!W220,安値!X220&lt;安値!V220,安値!X220&lt;安値!Y220,安値!X220&lt;安値!Z220),19,""))</f>
        <v/>
      </c>
      <c r="T220" s="503" t="str">
        <f>IF(終値!A220="","",IF(AND(安値!Y220&lt;安値!X220,安値!Y220&lt;安値!W220,安値!Y220&lt;安値!Z220,安値!Y220&lt;安値!AA220),20,""))</f>
        <v/>
      </c>
      <c r="U220" s="503" t="str">
        <f>IF(終値!A220="","",IF(AND(安値!Z220&lt;安値!Y220,安値!Z220&lt;安値!X220,安値!Z220&lt;安値!AA220,安値!Z220&lt;安値!AB220),21,""))</f>
        <v/>
      </c>
      <c r="V220" s="503" t="str">
        <f>IF(終値!A220="","",IF(AND(安値!AA220&lt;安値!Z220,安値!AA220&lt;安値!Y220,安値!AA220&lt;安値!AB220,安値!AA220&lt;安値!AC220),22,""))</f>
        <v/>
      </c>
      <c r="W220" s="503" t="str">
        <f>IF(終値!A220="","",IF(AND(安値!AB220&lt;安値!AA220,安値!AB220&lt;安値!Z220,安値!AB220&lt;安値!AC220,安値!AB220&lt;安値!AD220),23,""))</f>
        <v/>
      </c>
      <c r="X220" s="503" t="str">
        <f>IF(終値!A220="","",IF(AND(安値!AC220&lt;安値!AB220,安値!AC220&lt;安値!AA220,安値!AC220&lt;安値!AD220,安値!AC220&lt;安値!AE220),24,""))</f>
        <v/>
      </c>
      <c r="Y220" s="503" t="str">
        <f>IF(終値!A220="","",IF(AND(安値!AD220&lt;安値!AC220,安値!AD220&lt;安値!AB220,安値!AD220&lt;安値!AE220,安値!AD220&lt;安値!AF220),25,""))</f>
        <v/>
      </c>
      <c r="Z220" s="503">
        <f>IF(終値!A220="","",IF(AND(安値!AE220&lt;安値!AD220,安値!AE220&lt;安値!AC220,安値!AE220&lt;安値!AF220,安値!AE220&lt;安値!AG220),26,""))</f>
        <v>26</v>
      </c>
      <c r="AA220" s="503" t="str">
        <f>IF(終値!A220="","",IF(AND(安値!AF220&lt;安値!AE220,安値!AF220&lt;安値!AD220,安値!AF220&lt;安値!AG220,安値!AF220&lt;安値!AH220),27,""))</f>
        <v/>
      </c>
      <c r="AB220" s="503" t="str">
        <f>IF(終値!A220="","",IF(AND(安値!AG220&lt;安値!AF220,安値!AG220&lt;安値!AE220,安値!AG220&lt;安値!AH220,安値!AG220&lt;安値!AI220),28,""))</f>
        <v/>
      </c>
      <c r="AC220" s="503" t="str">
        <f>IF(終値!A220="","",IF(AND(高値!G220&gt;高値!F220,高値!G220&gt;高値!E220,高値!G220&gt;高値!H220,高値!G220&gt;高値!I220),2,""))</f>
        <v/>
      </c>
      <c r="AD220" s="503" t="str">
        <f>IF(終値!A220="","",IF(AND(高値!H220&gt;高値!G220,高値!H220&gt;高値!F220,高値!H220&gt;高値!I220,高値!H220&gt;高値!J220),3,""))</f>
        <v/>
      </c>
      <c r="AE220" s="503" t="str">
        <f>IF(終値!A220="","",IF(AND(高値!I220&gt;高値!H220,高値!I220&gt;高値!G220,高値!I220&gt;高値!J220,高値!I220&gt;高値!K220),4,""))</f>
        <v/>
      </c>
      <c r="AF220" s="503" t="str">
        <f>IF(終値!A220="","",IF(AND(高値!J220&gt;高値!I220,高値!J220&gt;高値!H220,高値!J220&gt;高値!K220,高値!J220&gt;高値!L220),5,""))</f>
        <v/>
      </c>
      <c r="AG220" s="503" t="str">
        <f>IF(終値!A220="","",IF(AND(高値!K220&gt;高値!J220,高値!K220&gt;高値!I220,高値!K220&gt;高値!L220,高値!K220&gt;高値!M220),6,""))</f>
        <v/>
      </c>
      <c r="AH220" s="503" t="str">
        <f>IF(終値!A220="","",IF(AND(高値!L220&gt;高値!K220,高値!L220&gt;高値!J220,高値!L220&gt;高値!M220,高値!L220&gt;高値!N220),7,""))</f>
        <v/>
      </c>
      <c r="AI220" s="503" t="str">
        <f>IF(終値!A220="","",IF(AND(高値!M220&gt;高値!L220,高値!M220&gt;高値!K220,高値!M220&gt;高値!N220,高値!M220&gt;高値!O220),8,""))</f>
        <v/>
      </c>
      <c r="AJ220" s="503" t="str">
        <f>IF(終値!A220="","",IF(AND(高値!N220&gt;高値!M220,高値!N220&gt;高値!L220,高値!N220&gt;高値!O220,高値!N220&gt;高値!P220),9,""))</f>
        <v/>
      </c>
      <c r="AK220" s="503" t="str">
        <f>IF(終値!A220="","",IF(AND(高値!O220&gt;高値!N220,高値!O220&gt;高値!M220,高値!O220&gt;高値!P220,高値!O220&gt;高値!Q220),10,""))</f>
        <v/>
      </c>
      <c r="AL220" s="503">
        <f>IF(終値!A220="","",IF(AND(高値!P220&gt;高値!O220,高値!P220&gt;高値!N220,高値!P220&gt;高値!Q220,高値!P220&gt;高値!R220),11,""))</f>
        <v>11</v>
      </c>
      <c r="AM220" s="503" t="str">
        <f>IF(終値!A220="","",IF(AND(高値!Q220&gt;高値!P220,高値!Q220&gt;高値!O220,高値!Q220&gt;高値!R220,高値!Q220&gt;高値!S220),12,""))</f>
        <v/>
      </c>
      <c r="AN220" s="503" t="str">
        <f>IF(終値!A220="","",IF(AND(高値!R220&gt;高値!Q220,高値!R220&gt;高値!P220,高値!R220&gt;高値!S220,高値!R220&gt;高値!T220),13,""))</f>
        <v/>
      </c>
      <c r="AO220" s="503" t="str">
        <f>IF(終値!A220="","",IF(AND(高値!S220&gt;高値!R220,高値!S220&gt;高値!Q220,高値!S220&gt;高値!T220,高値!S220&gt;高値!U220),14,""))</f>
        <v/>
      </c>
      <c r="AP220" s="503" t="str">
        <f>IF(終値!A220="","",IF(AND(高値!T220&gt;高値!S220,高値!T220&gt;高値!R220,高値!T220&gt;高値!U220,高値!T220&gt;高値!V220),15,""))</f>
        <v/>
      </c>
      <c r="AQ220" s="503">
        <f>IF(終値!A220="","",IF(AND(高値!U220&gt;高値!T220,高値!U220&gt;高値!S220,高値!U220&gt;高値!V220,高値!U220&gt;高値!W220),16,""))</f>
        <v>16</v>
      </c>
      <c r="AR220" s="503" t="str">
        <f>IF(終値!A220="","",IF(AND(高値!V220&gt;高値!U220,高値!V220&gt;高値!T220,高値!V220&gt;高値!W220,高値!V220&gt;高値!X220),17,""))</f>
        <v/>
      </c>
      <c r="AS220" s="503" t="str">
        <f>IF(終値!A220="","",IF(AND(高値!W220&gt;高値!V220,高値!W220&gt;高値!U220,高値!W220&gt;高値!X220,高値!W220&gt;高値!Y220),18,""))</f>
        <v/>
      </c>
      <c r="AT220" s="503" t="str">
        <f>IF(終値!A220="","",IF(AND(高値!X220&gt;高値!W220,高値!X220&gt;高値!V220,高値!X220&gt;高値!Y220,高値!X220&gt;高値!Z220),19,""))</f>
        <v/>
      </c>
      <c r="AU220" s="503" t="str">
        <f>IF(終値!A220="","",IF(AND(高値!Y220&gt;高値!X220,高値!Y220&gt;高値!W220,高値!Y220&gt;高値!Z220,高値!Y220&gt;高値!AA220),20,""))</f>
        <v/>
      </c>
      <c r="AV220" s="503">
        <f>IF(終値!A220="","",IF(AND(高値!Z220&gt;高値!Y220,高値!Z220&gt;高値!X220,高値!Z220&gt;高値!AA220,高値!Z220&gt;高値!AB220),21,""))</f>
        <v>21</v>
      </c>
      <c r="AW220" s="503" t="str">
        <f>IF(終値!A220="","",IF(AND(高値!AA220&gt;高値!Z220,高値!AA220&gt;高値!Y220,高値!AA220&gt;高値!AB220,高値!AA220&gt;高値!AC220),22,""))</f>
        <v/>
      </c>
      <c r="AX220" s="503" t="str">
        <f>IF(終値!A220="","",IF(AND(高値!AB220&gt;高値!AA220,高値!AB220&gt;高値!Z220,高値!AB220&gt;高値!AC220,高値!AB220&gt;高値!AD220),23,""))</f>
        <v/>
      </c>
      <c r="AY220" s="503" t="str">
        <f>IF(終値!A220="","",IF(AND(高値!AC220&gt;高値!AB220,高値!AC220&gt;高値!AA220,高値!AC220&gt;高値!AD220,高値!AC220&gt;高値!AE220),24,""))</f>
        <v/>
      </c>
      <c r="AZ220" s="503" t="str">
        <f>IF(終値!A220="","",IF(AND(高値!AD220&gt;高値!AC220,高値!AD220&gt;高値!AB220,高値!AD220&gt;高値!AE220,高値!AD220&gt;高値!AF220),25,""))</f>
        <v/>
      </c>
      <c r="BA220" s="503" t="str">
        <f>IF(終値!A220="","",IF(AND(高値!AE220&gt;高値!AD220,高値!AE220&gt;高値!AC220,高値!AE220&gt;高値!AF220,高値!AE220&gt;高値!AG220),26,""))</f>
        <v/>
      </c>
      <c r="BB220" s="503" t="str">
        <f>IF(終値!A220="","",IF(AND(高値!AF220&gt;高値!AE220,高値!AF220&gt;高値!AD220,高値!AF220&gt;高値!AG220,高値!AF220&gt;高値!AH220),27,""))</f>
        <v/>
      </c>
      <c r="BC220" s="503" t="str">
        <f>IF(終値!A220="","",IF(AND(高値!AG220&gt;高値!AF220,高値!AG220&gt;高値!AE220,高値!AG220&gt;高値!AH220,高値!AG220&gt;高値!AI220),28,""))</f>
        <v/>
      </c>
      <c r="BD220" s="503">
        <f t="shared" si="18"/>
        <v>4</v>
      </c>
      <c r="BE220" s="503">
        <f t="shared" si="19"/>
        <v>6</v>
      </c>
      <c r="BF220" s="503">
        <f t="shared" si="20"/>
        <v>13</v>
      </c>
      <c r="BG220" s="503">
        <f>IF($BE220="","",INDEX(安値!$E220:$CZ220,1,$BE220+1))</f>
        <v>1351</v>
      </c>
      <c r="BH220" s="503">
        <f>IF($BF220="","",INDEX(安値!$E220:$CZ220,1,$BF220+1))</f>
        <v>1577</v>
      </c>
      <c r="BI220" s="503">
        <f>IF($BF220="","",MAX(INDEX(高値!$E220:$CZ220,1,$BE220+1):INDEX(高値!$E220:$CZ220,1,$BF220+1)))</f>
        <v>1747</v>
      </c>
      <c r="BJ220" s="503">
        <f>IF($BF220="","",AVERAGE(INDEX(終値!$E220:$CZ220,1,$BF220+1):INDEX(終値!$E220:$CZ220,1,$BF220+20))-2*STDEVP(INDEX(終値!$E220:$CZ220,1,$BF220+1):INDEX(終値!$E220:$CZ220,1,$BF220+20)))</f>
        <v>1645.7734452025541</v>
      </c>
      <c r="BK220" s="503">
        <f>IF($BE220="","",AVERAGE(INDEX(終値!$E220:$CZ220,1,$BE220+1):INDEX(終値!$E220:$CZ220,1,$BE220+20))-2*STDEVP(INDEX(終値!$E220:$CZ220,1,$BE220+1):INDEX(終値!$E220:$CZ220,1,$BE220+20)))</f>
        <v>1355.2527716619898</v>
      </c>
      <c r="BL220" s="503">
        <f t="shared" si="21"/>
        <v>3</v>
      </c>
      <c r="BM220" s="503">
        <f t="shared" si="22"/>
        <v>11</v>
      </c>
      <c r="BN220" s="503">
        <f t="shared" si="23"/>
        <v>16</v>
      </c>
      <c r="BO220" s="503">
        <f>IF($BM220="","",INDEX(高値!$E220:$CZ220,1,$BM220+1))</f>
        <v>1747</v>
      </c>
      <c r="BP220" s="503">
        <f>IF($BN220="","",INDEX(高値!$E220:$CZ220,1,$BN220+1))</f>
        <v>1941</v>
      </c>
      <c r="BQ220" s="503">
        <f>IF($BN220="","",MIN(INDEX(安値!$E220:$CZ220,1,$BM220+1):INDEX(安値!$E220:$CZ220,1,$BN220+1)))</f>
        <v>1577</v>
      </c>
      <c r="BR220" s="503">
        <f>IF($BN220="","",AVERAGE(INDEX(終値!$E220:$CZ220,1,$BN220+1):INDEX(終値!$E220:$CZ220,1,$BN220+20))+2*STDEVP(INDEX(終値!$E220:$CZ220,1,$BN220+1):INDEX(終値!$E220:$CZ220,1,$BN220+20)))</f>
        <v>2316.639750112317</v>
      </c>
      <c r="BS220" s="503">
        <f>IF($BM220="","",AVERAGE(INDEX(終値!$E220:$CZ220,1,$BM220+1):INDEX(終値!$E220:$CZ220,1,$BM220+20))+2*STDEVP(INDEX(終値!$E220:$CZ220,1,$BM220+1):INDEX(終値!$E220:$CZ220,1,$BM220+20)))</f>
        <v>2141.1727690658067</v>
      </c>
      <c r="BT220" s="500"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3" t="str">
        <f>IF(終値!A221="","",IF(AND(安値!G221&lt;安値!F221,安値!G221&lt;安値!E221,安値!G221&lt;安値!H221,安値!G221&lt;安値!I221),2,""))</f>
        <v/>
      </c>
      <c r="C221" s="503" t="str">
        <f>IF(終値!A221="","",IF(AND(安値!H221&lt;安値!G221,安値!H221&lt;安値!F221,安値!H221&lt;安値!I221,安値!H221&lt;安値!J221),3,""))</f>
        <v/>
      </c>
      <c r="D221" s="503" t="str">
        <f>IF(終値!A221="","",IF(AND(安値!I221&lt;安値!H221,安値!I221&lt;安値!G221,安値!I221&lt;安値!J221,安値!I221&lt;安値!K221),4,""))</f>
        <v/>
      </c>
      <c r="E221" s="503" t="str">
        <f>IF(終値!A221="","",IF(AND(安値!J221&lt;安値!I221,安値!J221&lt;安値!H221,安値!J221&lt;安値!K221,安値!J221&lt;安値!L221),5,""))</f>
        <v/>
      </c>
      <c r="F221" s="503" t="str">
        <f>IF(終値!A221="","",IF(AND(安値!K221&lt;安値!J221,安値!K221&lt;安値!I221,安値!K221&lt;安値!L221,安値!K221&lt;安値!M221),6,""))</f>
        <v/>
      </c>
      <c r="G221" s="503" t="str">
        <f>IF(終値!A221="","",IF(AND(安値!L221&lt;安値!K221,安値!L221&lt;安値!J221,安値!L221&lt;安値!M221,安値!L221&lt;安値!N221),7,""))</f>
        <v/>
      </c>
      <c r="H221" s="503" t="str">
        <f>IF(終値!A221="","",IF(AND(安値!M221&lt;安値!L221,安値!M221&lt;安値!K221,安値!M221&lt;安値!N221,安値!M221&lt;安値!O221),8,""))</f>
        <v/>
      </c>
      <c r="I221" s="503" t="str">
        <f>IF(終値!A221="","",IF(AND(安値!N221&lt;安値!M221,安値!N221&lt;安値!L221,安値!N221&lt;安値!O221,安値!N221&lt;安値!P221),9,""))</f>
        <v/>
      </c>
      <c r="J221" s="503" t="str">
        <f>IF(終値!A221="","",IF(AND(安値!O221&lt;安値!N221,安値!O221&lt;安値!M221,安値!O221&lt;安値!P221,安値!O221&lt;安値!Q221),10,""))</f>
        <v/>
      </c>
      <c r="K221" s="503" t="str">
        <f>IF(終値!A221="","",IF(AND(安値!P221&lt;安値!O221,安値!P221&lt;安値!N221,安値!P221&lt;安値!Q221,安値!P221&lt;安値!R221),11,""))</f>
        <v/>
      </c>
      <c r="L221" s="503" t="str">
        <f>IF(終値!A221="","",IF(AND(安値!Q221&lt;安値!P221,安値!Q221&lt;安値!O221,安値!Q221&lt;安値!R221,安値!Q221&lt;安値!S221),12,""))</f>
        <v/>
      </c>
      <c r="M221" s="503" t="str">
        <f>IF(終値!A221="","",IF(AND(安値!R221&lt;安値!Q221,安値!R221&lt;安値!P221,安値!R221&lt;安値!S221,安値!R221&lt;安値!T221),13,""))</f>
        <v/>
      </c>
      <c r="N221" s="503" t="str">
        <f>IF(終値!A221="","",IF(AND(安値!S221&lt;安値!R221,安値!S221&lt;安値!Q221,安値!S221&lt;安値!T221,安値!S221&lt;安値!U221),14,""))</f>
        <v/>
      </c>
      <c r="O221" s="503" t="str">
        <f>IF(終値!A221="","",IF(AND(安値!T221&lt;安値!S221,安値!T221&lt;安値!R221,安値!T221&lt;安値!U221,安値!T221&lt;安値!V221),15,""))</f>
        <v/>
      </c>
      <c r="P221" s="503" t="str">
        <f>IF(終値!A221="","",IF(AND(安値!U221&lt;安値!T221,安値!U221&lt;安値!S221,安値!U221&lt;安値!V221,安値!U221&lt;安値!W221),16,""))</f>
        <v/>
      </c>
      <c r="Q221" s="503" t="str">
        <f>IF(終値!A221="","",IF(AND(安値!V221&lt;安値!U221,安値!V221&lt;安値!T221,安値!V221&lt;安値!W221,安値!V221&lt;安値!X221),17,""))</f>
        <v/>
      </c>
      <c r="R221" s="503" t="str">
        <f>IF(終値!A221="","",IF(AND(安値!W221&lt;安値!V221,安値!W221&lt;安値!U221,安値!W221&lt;安値!X221,安値!W221&lt;安値!Y221),18,""))</f>
        <v/>
      </c>
      <c r="S221" s="503" t="str">
        <f>IF(終値!A221="","",IF(AND(安値!X221&lt;安値!W221,安値!X221&lt;安値!V221,安値!X221&lt;安値!Y221,安値!X221&lt;安値!Z221),19,""))</f>
        <v/>
      </c>
      <c r="T221" s="503" t="str">
        <f>IF(終値!A221="","",IF(AND(安値!Y221&lt;安値!X221,安値!Y221&lt;安値!W221,安値!Y221&lt;安値!Z221,安値!Y221&lt;安値!AA221),20,""))</f>
        <v/>
      </c>
      <c r="U221" s="503" t="str">
        <f>IF(終値!A221="","",IF(AND(安値!Z221&lt;安値!Y221,安値!Z221&lt;安値!X221,安値!Z221&lt;安値!AA221,安値!Z221&lt;安値!AB221),21,""))</f>
        <v/>
      </c>
      <c r="V221" s="503" t="str">
        <f>IF(終値!A221="","",IF(AND(安値!AA221&lt;安値!Z221,安値!AA221&lt;安値!Y221,安値!AA221&lt;安値!AB221,安値!AA221&lt;安値!AC221),22,""))</f>
        <v/>
      </c>
      <c r="W221" s="503" t="str">
        <f>IF(終値!A221="","",IF(AND(安値!AB221&lt;安値!AA221,安値!AB221&lt;安値!Z221,安値!AB221&lt;安値!AC221,安値!AB221&lt;安値!AD221),23,""))</f>
        <v/>
      </c>
      <c r="X221" s="503" t="str">
        <f>IF(終値!A221="","",IF(AND(安値!AC221&lt;安値!AB221,安値!AC221&lt;安値!AA221,安値!AC221&lt;安値!AD221,安値!AC221&lt;安値!AE221),24,""))</f>
        <v/>
      </c>
      <c r="Y221" s="503" t="str">
        <f>IF(終値!A221="","",IF(AND(安値!AD221&lt;安値!AC221,安値!AD221&lt;安値!AB221,安値!AD221&lt;安値!AE221,安値!AD221&lt;安値!AF221),25,""))</f>
        <v/>
      </c>
      <c r="Z221" s="503" t="str">
        <f>IF(終値!A221="","",IF(AND(安値!AE221&lt;安値!AD221,安値!AE221&lt;安値!AC221,安値!AE221&lt;安値!AF221,安値!AE221&lt;安値!AG221),26,""))</f>
        <v/>
      </c>
      <c r="AA221" s="503" t="str">
        <f>IF(終値!A221="","",IF(AND(安値!AF221&lt;安値!AE221,安値!AF221&lt;安値!AD221,安値!AF221&lt;安値!AG221,安値!AF221&lt;安値!AH221),27,""))</f>
        <v/>
      </c>
      <c r="AB221" s="503" t="str">
        <f>IF(終値!A221="","",IF(AND(安値!AG221&lt;安値!AF221,安値!AG221&lt;安値!AE221,安値!AG221&lt;安値!AH221,安値!AG221&lt;安値!AI221),28,""))</f>
        <v/>
      </c>
      <c r="AC221" s="503" t="str">
        <f>IF(終値!A221="","",IF(AND(高値!G221&gt;高値!F221,高値!G221&gt;高値!E221,高値!G221&gt;高値!H221,高値!G221&gt;高値!I221),2,""))</f>
        <v/>
      </c>
      <c r="AD221" s="503" t="str">
        <f>IF(終値!A221="","",IF(AND(高値!H221&gt;高値!G221,高値!H221&gt;高値!F221,高値!H221&gt;高値!I221,高値!H221&gt;高値!J221),3,""))</f>
        <v/>
      </c>
      <c r="AE221" s="503" t="str">
        <f>IF(終値!A221="","",IF(AND(高値!I221&gt;高値!H221,高値!I221&gt;高値!G221,高値!I221&gt;高値!J221,高値!I221&gt;高値!K221),4,""))</f>
        <v/>
      </c>
      <c r="AF221" s="503" t="str">
        <f>IF(終値!A221="","",IF(AND(高値!J221&gt;高値!I221,高値!J221&gt;高値!H221,高値!J221&gt;高値!K221,高値!J221&gt;高値!L221),5,""))</f>
        <v/>
      </c>
      <c r="AG221" s="503" t="str">
        <f>IF(終値!A221="","",IF(AND(高値!K221&gt;高値!J221,高値!K221&gt;高値!I221,高値!K221&gt;高値!L221,高値!K221&gt;高値!M221),6,""))</f>
        <v/>
      </c>
      <c r="AH221" s="503" t="str">
        <f>IF(終値!A221="","",IF(AND(高値!L221&gt;高値!K221,高値!L221&gt;高値!J221,高値!L221&gt;高値!M221,高値!L221&gt;高値!N221),7,""))</f>
        <v/>
      </c>
      <c r="AI221" s="503" t="str">
        <f>IF(終値!A221="","",IF(AND(高値!M221&gt;高値!L221,高値!M221&gt;高値!K221,高値!M221&gt;高値!N221,高値!M221&gt;高値!O221),8,""))</f>
        <v/>
      </c>
      <c r="AJ221" s="503" t="str">
        <f>IF(終値!A221="","",IF(AND(高値!N221&gt;高値!M221,高値!N221&gt;高値!L221,高値!N221&gt;高値!O221,高値!N221&gt;高値!P221),9,""))</f>
        <v/>
      </c>
      <c r="AK221" s="503" t="str">
        <f>IF(終値!A221="","",IF(AND(高値!O221&gt;高値!N221,高値!O221&gt;高値!M221,高値!O221&gt;高値!P221,高値!O221&gt;高値!Q221),10,""))</f>
        <v/>
      </c>
      <c r="AL221" s="503" t="str">
        <f>IF(終値!A221="","",IF(AND(高値!P221&gt;高値!O221,高値!P221&gt;高値!N221,高値!P221&gt;高値!Q221,高値!P221&gt;高値!R221),11,""))</f>
        <v/>
      </c>
      <c r="AM221" s="503" t="str">
        <f>IF(終値!A221="","",IF(AND(高値!Q221&gt;高値!P221,高値!Q221&gt;高値!O221,高値!Q221&gt;高値!R221,高値!Q221&gt;高値!S221),12,""))</f>
        <v/>
      </c>
      <c r="AN221" s="503" t="str">
        <f>IF(終値!A221="","",IF(AND(高値!R221&gt;高値!Q221,高値!R221&gt;高値!P221,高値!R221&gt;高値!S221,高値!R221&gt;高値!T221),13,""))</f>
        <v/>
      </c>
      <c r="AO221" s="503" t="str">
        <f>IF(終値!A221="","",IF(AND(高値!S221&gt;高値!R221,高値!S221&gt;高値!Q221,高値!S221&gt;高値!T221,高値!S221&gt;高値!U221),14,""))</f>
        <v/>
      </c>
      <c r="AP221" s="503" t="str">
        <f>IF(終値!A221="","",IF(AND(高値!T221&gt;高値!S221,高値!T221&gt;高値!R221,高値!T221&gt;高値!U221,高値!T221&gt;高値!V221),15,""))</f>
        <v/>
      </c>
      <c r="AQ221" s="503" t="str">
        <f>IF(終値!A221="","",IF(AND(高値!U221&gt;高値!T221,高値!U221&gt;高値!S221,高値!U221&gt;高値!V221,高値!U221&gt;高値!W221),16,""))</f>
        <v/>
      </c>
      <c r="AR221" s="503" t="str">
        <f>IF(終値!A221="","",IF(AND(高値!V221&gt;高値!U221,高値!V221&gt;高値!T221,高値!V221&gt;高値!W221,高値!V221&gt;高値!X221),17,""))</f>
        <v/>
      </c>
      <c r="AS221" s="503" t="str">
        <f>IF(終値!A221="","",IF(AND(高値!W221&gt;高値!V221,高値!W221&gt;高値!U221,高値!W221&gt;高値!X221,高値!W221&gt;高値!Y221),18,""))</f>
        <v/>
      </c>
      <c r="AT221" s="503" t="str">
        <f>IF(終値!A221="","",IF(AND(高値!X221&gt;高値!W221,高値!X221&gt;高値!V221,高値!X221&gt;高値!Y221,高値!X221&gt;高値!Z221),19,""))</f>
        <v/>
      </c>
      <c r="AU221" s="503" t="str">
        <f>IF(終値!A221="","",IF(AND(高値!Y221&gt;高値!X221,高値!Y221&gt;高値!W221,高値!Y221&gt;高値!Z221,高値!Y221&gt;高値!AA221),20,""))</f>
        <v/>
      </c>
      <c r="AV221" s="503" t="str">
        <f>IF(終値!A221="","",IF(AND(高値!Z221&gt;高値!Y221,高値!Z221&gt;高値!X221,高値!Z221&gt;高値!AA221,高値!Z221&gt;高値!AB221),21,""))</f>
        <v/>
      </c>
      <c r="AW221" s="503" t="str">
        <f>IF(終値!A221="","",IF(AND(高値!AA221&gt;高値!Z221,高値!AA221&gt;高値!Y221,高値!AA221&gt;高値!AB221,高値!AA221&gt;高値!AC221),22,""))</f>
        <v/>
      </c>
      <c r="AX221" s="503" t="str">
        <f>IF(終値!A221="","",IF(AND(高値!AB221&gt;高値!AA221,高値!AB221&gt;高値!Z221,高値!AB221&gt;高値!AC221,高値!AB221&gt;高値!AD221),23,""))</f>
        <v/>
      </c>
      <c r="AY221" s="503" t="str">
        <f>IF(終値!A221="","",IF(AND(高値!AC221&gt;高値!AB221,高値!AC221&gt;高値!AA221,高値!AC221&gt;高値!AD221,高値!AC221&gt;高値!AE221),24,""))</f>
        <v/>
      </c>
      <c r="AZ221" s="503" t="str">
        <f>IF(終値!A221="","",IF(AND(高値!AD221&gt;高値!AC221,高値!AD221&gt;高値!AB221,高値!AD221&gt;高値!AE221,高値!AD221&gt;高値!AF221),25,""))</f>
        <v/>
      </c>
      <c r="BA221" s="503" t="str">
        <f>IF(終値!A221="","",IF(AND(高値!AE221&gt;高値!AD221,高値!AE221&gt;高値!AC221,高値!AE221&gt;高値!AF221,高値!AE221&gt;高値!AG221),26,""))</f>
        <v/>
      </c>
      <c r="BB221" s="503" t="str">
        <f>IF(終値!A221="","",IF(AND(高値!AF221&gt;高値!AE221,高値!AF221&gt;高値!AD221,高値!AF221&gt;高値!AG221,高値!AF221&gt;高値!AH221),27,""))</f>
        <v/>
      </c>
      <c r="BC221" s="503" t="str">
        <f>IF(終値!A221="","",IF(AND(高値!AG221&gt;高値!AF221,高値!AG221&gt;高値!AE221,高値!AG221&gt;高値!AH221,高値!AG221&gt;高値!AI221),28,""))</f>
        <v/>
      </c>
      <c r="BD221" s="503">
        <f t="shared" si="18"/>
        <v>0</v>
      </c>
      <c r="BE221" s="503" t="str">
        <f t="shared" si="19"/>
        <v/>
      </c>
      <c r="BF221" s="503" t="str">
        <f t="shared" si="20"/>
        <v/>
      </c>
      <c r="BG221" s="503" t="str">
        <f>IF($BE221="","",INDEX(安値!$E221:$CZ221,1,$BE221+1))</f>
        <v/>
      </c>
      <c r="BH221" s="503" t="str">
        <f>IF($BF221="","",INDEX(安値!$E221:$CZ221,1,$BF221+1))</f>
        <v/>
      </c>
      <c r="BI221" s="503" t="str">
        <f>IF($BF221="","",MAX(INDEX(高値!$E221:$CZ221,1,$BE221+1):INDEX(高値!$E221:$CZ221,1,$BF221+1)))</f>
        <v/>
      </c>
      <c r="BJ221" s="503" t="str">
        <f>IF($BF221="","",AVERAGE(INDEX(終値!$E221:$CZ221,1,$BF221+1):INDEX(終値!$E221:$CZ221,1,$BF221+20))-2*STDEVP(INDEX(終値!$E221:$CZ221,1,$BF221+1):INDEX(終値!$E221:$CZ221,1,$BF221+20)))</f>
        <v/>
      </c>
      <c r="BK221" s="503" t="str">
        <f>IF($BE221="","",AVERAGE(INDEX(終値!$E221:$CZ221,1,$BE221+1):INDEX(終値!$E221:$CZ221,1,$BE221+20))-2*STDEVP(INDEX(終値!$E221:$CZ221,1,$BE221+1):INDEX(終値!$E221:$CZ221,1,$BE221+20)))</f>
        <v/>
      </c>
      <c r="BL221" s="503">
        <f t="shared" si="21"/>
        <v>0</v>
      </c>
      <c r="BM221" s="503" t="str">
        <f t="shared" si="22"/>
        <v/>
      </c>
      <c r="BN221" s="503" t="str">
        <f t="shared" si="23"/>
        <v/>
      </c>
      <c r="BO221" s="503" t="str">
        <f>IF($BM221="","",INDEX(高値!$E221:$CZ221,1,$BM221+1))</f>
        <v/>
      </c>
      <c r="BP221" s="503" t="str">
        <f>IF($BN221="","",INDEX(高値!$E221:$CZ221,1,$BN221+1))</f>
        <v/>
      </c>
      <c r="BQ221" s="503" t="str">
        <f>IF($BN221="","",MIN(INDEX(安値!$E221:$CZ221,1,$BM221+1):INDEX(安値!$E221:$CZ221,1,$BN221+1)))</f>
        <v/>
      </c>
      <c r="BR221" s="503" t="str">
        <f>IF($BN221="","",AVERAGE(INDEX(終値!$E221:$CZ221,1,$BN221+1):INDEX(終値!$E221:$CZ221,1,$BN221+20))+2*STDEVP(INDEX(終値!$E221:$CZ221,1,$BN221+1):INDEX(終値!$E221:$CZ221,1,$BN221+20)))</f>
        <v/>
      </c>
      <c r="BS221" s="503" t="str">
        <f>IF($BM221="","",AVERAGE(INDEX(終値!$E221:$CZ221,1,$BM221+1):INDEX(終値!$E221:$CZ221,1,$BM221+20))+2*STDEVP(INDEX(終値!$E221:$CZ221,1,$BM221+1):INDEX(終値!$E221:$CZ221,1,$BM221+20)))</f>
        <v/>
      </c>
      <c r="BT221" s="500"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3" t="str">
        <f>IF(終値!A222="","",IF(AND(安値!G222&lt;安値!F222,安値!G222&lt;安値!E222,安値!G222&lt;安値!H222,安値!G222&lt;安値!I222),2,""))</f>
        <v/>
      </c>
      <c r="C222" s="503" t="str">
        <f>IF(終値!A222="","",IF(AND(安値!H222&lt;安値!G222,安値!H222&lt;安値!F222,安値!H222&lt;安値!I222,安値!H222&lt;安値!J222),3,""))</f>
        <v/>
      </c>
      <c r="D222" s="503" t="str">
        <f>IF(終値!A222="","",IF(AND(安値!I222&lt;安値!H222,安値!I222&lt;安値!G222,安値!I222&lt;安値!J222,安値!I222&lt;安値!K222),4,""))</f>
        <v/>
      </c>
      <c r="E222" s="503" t="str">
        <f>IF(終値!A222="","",IF(AND(安値!J222&lt;安値!I222,安値!J222&lt;安値!H222,安値!J222&lt;安値!K222,安値!J222&lt;安値!L222),5,""))</f>
        <v/>
      </c>
      <c r="F222" s="503">
        <f>IF(終値!A222="","",IF(AND(安値!K222&lt;安値!J222,安値!K222&lt;安値!I222,安値!K222&lt;安値!L222,安値!K222&lt;安値!M222),6,""))</f>
        <v>6</v>
      </c>
      <c r="G222" s="503" t="str">
        <f>IF(終値!A222="","",IF(AND(安値!L222&lt;安値!K222,安値!L222&lt;安値!J222,安値!L222&lt;安値!M222,安値!L222&lt;安値!N222),7,""))</f>
        <v/>
      </c>
      <c r="H222" s="503" t="str">
        <f>IF(終値!A222="","",IF(AND(安値!M222&lt;安値!L222,安値!M222&lt;安値!K222,安値!M222&lt;安値!N222,安値!M222&lt;安値!O222),8,""))</f>
        <v/>
      </c>
      <c r="I222" s="503" t="str">
        <f>IF(終値!A222="","",IF(AND(安値!N222&lt;安値!M222,安値!N222&lt;安値!L222,安値!N222&lt;安値!O222,安値!N222&lt;安値!P222),9,""))</f>
        <v/>
      </c>
      <c r="J222" s="503" t="str">
        <f>IF(終値!A222="","",IF(AND(安値!O222&lt;安値!N222,安値!O222&lt;安値!M222,安値!O222&lt;安値!P222,安値!O222&lt;安値!Q222),10,""))</f>
        <v/>
      </c>
      <c r="K222" s="503" t="str">
        <f>IF(終値!A222="","",IF(AND(安値!P222&lt;安値!O222,安値!P222&lt;安値!N222,安値!P222&lt;安値!Q222,安値!P222&lt;安値!R222),11,""))</f>
        <v/>
      </c>
      <c r="L222" s="503" t="str">
        <f>IF(終値!A222="","",IF(AND(安値!Q222&lt;安値!P222,安値!Q222&lt;安値!O222,安値!Q222&lt;安値!R222,安値!Q222&lt;安値!S222),12,""))</f>
        <v/>
      </c>
      <c r="M222" s="503">
        <f>IF(終値!A222="","",IF(AND(安値!R222&lt;安値!Q222,安値!R222&lt;安値!P222,安値!R222&lt;安値!S222,安値!R222&lt;安値!T222),13,""))</f>
        <v>13</v>
      </c>
      <c r="N222" s="503" t="str">
        <f>IF(終値!A222="","",IF(AND(安値!S222&lt;安値!R222,安値!S222&lt;安値!Q222,安値!S222&lt;安値!T222,安値!S222&lt;安値!U222),14,""))</f>
        <v/>
      </c>
      <c r="O222" s="503" t="str">
        <f>IF(終値!A222="","",IF(AND(安値!T222&lt;安値!S222,安値!T222&lt;安値!R222,安値!T222&lt;安値!U222,安値!T222&lt;安値!V222),15,""))</f>
        <v/>
      </c>
      <c r="P222" s="503" t="str">
        <f>IF(終値!A222="","",IF(AND(安値!U222&lt;安値!T222,安値!U222&lt;安値!S222,安値!U222&lt;安値!V222,安値!U222&lt;安値!W222),16,""))</f>
        <v/>
      </c>
      <c r="Q222" s="503" t="str">
        <f>IF(終値!A222="","",IF(AND(安値!V222&lt;安値!U222,安値!V222&lt;安値!T222,安値!V222&lt;安値!W222,安値!V222&lt;安値!X222),17,""))</f>
        <v/>
      </c>
      <c r="R222" s="503" t="str">
        <f>IF(終値!A222="","",IF(AND(安値!W222&lt;安値!V222,安値!W222&lt;安値!U222,安値!W222&lt;安値!X222,安値!W222&lt;安値!Y222),18,""))</f>
        <v/>
      </c>
      <c r="S222" s="503">
        <f>IF(終値!A222="","",IF(AND(安値!X222&lt;安値!W222,安値!X222&lt;安値!V222,安値!X222&lt;安値!Y222,安値!X222&lt;安値!Z222),19,""))</f>
        <v>19</v>
      </c>
      <c r="T222" s="503" t="str">
        <f>IF(終値!A222="","",IF(AND(安値!Y222&lt;安値!X222,安値!Y222&lt;安値!W222,安値!Y222&lt;安値!Z222,安値!Y222&lt;安値!AA222),20,""))</f>
        <v/>
      </c>
      <c r="U222" s="503" t="str">
        <f>IF(終値!A222="","",IF(AND(安値!Z222&lt;安値!Y222,安値!Z222&lt;安値!X222,安値!Z222&lt;安値!AA222,安値!Z222&lt;安値!AB222),21,""))</f>
        <v/>
      </c>
      <c r="V222" s="503">
        <f>IF(終値!A222="","",IF(AND(安値!AA222&lt;安値!Z222,安値!AA222&lt;安値!Y222,安値!AA222&lt;安値!AB222,安値!AA222&lt;安値!AC222),22,""))</f>
        <v>22</v>
      </c>
      <c r="W222" s="503" t="str">
        <f>IF(終値!A222="","",IF(AND(安値!AB222&lt;安値!AA222,安値!AB222&lt;安値!Z222,安値!AB222&lt;安値!AC222,安値!AB222&lt;安値!AD222),23,""))</f>
        <v/>
      </c>
      <c r="X222" s="503" t="str">
        <f>IF(終値!A222="","",IF(AND(安値!AC222&lt;安値!AB222,安値!AC222&lt;安値!AA222,安値!AC222&lt;安値!AD222,安値!AC222&lt;安値!AE222),24,""))</f>
        <v/>
      </c>
      <c r="Y222" s="503" t="str">
        <f>IF(終値!A222="","",IF(AND(安値!AD222&lt;安値!AC222,安値!AD222&lt;安値!AB222,安値!AD222&lt;安値!AE222,安値!AD222&lt;安値!AF222),25,""))</f>
        <v/>
      </c>
      <c r="Z222" s="503">
        <f>IF(終値!A222="","",IF(AND(安値!AE222&lt;安値!AD222,安値!AE222&lt;安値!AC222,安値!AE222&lt;安値!AF222,安値!AE222&lt;安値!AG222),26,""))</f>
        <v>26</v>
      </c>
      <c r="AA222" s="503" t="str">
        <f>IF(終値!A222="","",IF(AND(安値!AF222&lt;安値!AE222,安値!AF222&lt;安値!AD222,安値!AF222&lt;安値!AG222,安値!AF222&lt;安値!AH222),27,""))</f>
        <v/>
      </c>
      <c r="AB222" s="503" t="str">
        <f>IF(終値!A222="","",IF(AND(安値!AG222&lt;安値!AF222,安値!AG222&lt;安値!AE222,安値!AG222&lt;安値!AH222,安値!AG222&lt;安値!AI222),28,""))</f>
        <v/>
      </c>
      <c r="AC222" s="503" t="str">
        <f>IF(終値!A222="","",IF(AND(高値!G222&gt;高値!F222,高値!G222&gt;高値!E222,高値!G222&gt;高値!H222,高値!G222&gt;高値!I222),2,""))</f>
        <v/>
      </c>
      <c r="AD222" s="503" t="str">
        <f>IF(終値!A222="","",IF(AND(高値!H222&gt;高値!G222,高値!H222&gt;高値!F222,高値!H222&gt;高値!I222,高値!H222&gt;高値!J222),3,""))</f>
        <v/>
      </c>
      <c r="AE222" s="503">
        <f>IF(終値!A222="","",IF(AND(高値!I222&gt;高値!H222,高値!I222&gt;高値!G222,高値!I222&gt;高値!J222,高値!I222&gt;高値!K222),4,""))</f>
        <v>4</v>
      </c>
      <c r="AF222" s="503" t="str">
        <f>IF(終値!A222="","",IF(AND(高値!J222&gt;高値!I222,高値!J222&gt;高値!H222,高値!J222&gt;高値!K222,高値!J222&gt;高値!L222),5,""))</f>
        <v/>
      </c>
      <c r="AG222" s="503" t="str">
        <f>IF(終値!A222="","",IF(AND(高値!K222&gt;高値!J222,高値!K222&gt;高値!I222,高値!K222&gt;高値!L222,高値!K222&gt;高値!M222),6,""))</f>
        <v/>
      </c>
      <c r="AH222" s="503" t="str">
        <f>IF(終値!A222="","",IF(AND(高値!L222&gt;高値!K222,高値!L222&gt;高値!J222,高値!L222&gt;高値!M222,高値!L222&gt;高値!N222),7,""))</f>
        <v/>
      </c>
      <c r="AI222" s="503" t="str">
        <f>IF(終値!A222="","",IF(AND(高値!M222&gt;高値!L222,高値!M222&gt;高値!K222,高値!M222&gt;高値!N222,高値!M222&gt;高値!O222),8,""))</f>
        <v/>
      </c>
      <c r="AJ222" s="503" t="str">
        <f>IF(終値!A222="","",IF(AND(高値!N222&gt;高値!M222,高値!N222&gt;高値!L222,高値!N222&gt;高値!O222,高値!N222&gt;高値!P222),9,""))</f>
        <v/>
      </c>
      <c r="AK222" s="503" t="str">
        <f>IF(終値!A222="","",IF(AND(高値!O222&gt;高値!N222,高値!O222&gt;高値!M222,高値!O222&gt;高値!P222,高値!O222&gt;高値!Q222),10,""))</f>
        <v/>
      </c>
      <c r="AL222" s="503">
        <f>IF(終値!A222="","",IF(AND(高値!P222&gt;高値!O222,高値!P222&gt;高値!N222,高値!P222&gt;高値!Q222,高値!P222&gt;高値!R222),11,""))</f>
        <v>11</v>
      </c>
      <c r="AM222" s="503" t="str">
        <f>IF(終値!A222="","",IF(AND(高値!Q222&gt;高値!P222,高値!Q222&gt;高値!O222,高値!Q222&gt;高値!R222,高値!Q222&gt;高値!S222),12,""))</f>
        <v/>
      </c>
      <c r="AN222" s="503" t="str">
        <f>IF(終値!A222="","",IF(AND(高値!R222&gt;高値!Q222,高値!R222&gt;高値!P222,高値!R222&gt;高値!S222,高値!R222&gt;高値!T222),13,""))</f>
        <v/>
      </c>
      <c r="AO222" s="503" t="str">
        <f>IF(終値!A222="","",IF(AND(高値!S222&gt;高値!R222,高値!S222&gt;高値!Q222,高値!S222&gt;高値!T222,高値!S222&gt;高値!U222),14,""))</f>
        <v/>
      </c>
      <c r="AP222" s="503" t="str">
        <f>IF(終値!A222="","",IF(AND(高値!T222&gt;高値!S222,高値!T222&gt;高値!R222,高値!T222&gt;高値!U222,高値!T222&gt;高値!V222),15,""))</f>
        <v/>
      </c>
      <c r="AQ222" s="503" t="str">
        <f>IF(終値!A222="","",IF(AND(高値!U222&gt;高値!T222,高値!U222&gt;高値!S222,高値!U222&gt;高値!V222,高値!U222&gt;高値!W222),16,""))</f>
        <v/>
      </c>
      <c r="AR222" s="503">
        <f>IF(終値!A222="","",IF(AND(高値!V222&gt;高値!U222,高値!V222&gt;高値!T222,高値!V222&gt;高値!W222,高値!V222&gt;高値!X222),17,""))</f>
        <v>17</v>
      </c>
      <c r="AS222" s="503" t="str">
        <f>IF(終値!A222="","",IF(AND(高値!W222&gt;高値!V222,高値!W222&gt;高値!U222,高値!W222&gt;高値!X222,高値!W222&gt;高値!Y222),18,""))</f>
        <v/>
      </c>
      <c r="AT222" s="503" t="str">
        <f>IF(終値!A222="","",IF(AND(高値!X222&gt;高値!W222,高値!X222&gt;高値!V222,高値!X222&gt;高値!Y222,高値!X222&gt;高値!Z222),19,""))</f>
        <v/>
      </c>
      <c r="AU222" s="503" t="str">
        <f>IF(終値!A222="","",IF(AND(高値!Y222&gt;高値!X222,高値!Y222&gt;高値!W222,高値!Y222&gt;高値!Z222,高値!Y222&gt;高値!AA222),20,""))</f>
        <v/>
      </c>
      <c r="AV222" s="503">
        <f>IF(終値!A222="","",IF(AND(高値!Z222&gt;高値!Y222,高値!Z222&gt;高値!X222,高値!Z222&gt;高値!AA222,高値!Z222&gt;高値!AB222),21,""))</f>
        <v>21</v>
      </c>
      <c r="AW222" s="503" t="str">
        <f>IF(終値!A222="","",IF(AND(高値!AA222&gt;高値!Z222,高値!AA222&gt;高値!Y222,高値!AA222&gt;高値!AB222,高値!AA222&gt;高値!AC222),22,""))</f>
        <v/>
      </c>
      <c r="AX222" s="503" t="str">
        <f>IF(終値!A222="","",IF(AND(高値!AB222&gt;高値!AA222,高値!AB222&gt;高値!Z222,高値!AB222&gt;高値!AC222,高値!AB222&gt;高値!AD222),23,""))</f>
        <v/>
      </c>
      <c r="AY222" s="503">
        <f>IF(終値!A222="","",IF(AND(高値!AC222&gt;高値!AB222,高値!AC222&gt;高値!AA222,高値!AC222&gt;高値!AD222,高値!AC222&gt;高値!AE222),24,""))</f>
        <v>24</v>
      </c>
      <c r="AZ222" s="503" t="str">
        <f>IF(終値!A222="","",IF(AND(高値!AD222&gt;高値!AC222,高値!AD222&gt;高値!AB222,高値!AD222&gt;高値!AE222,高値!AD222&gt;高値!AF222),25,""))</f>
        <v/>
      </c>
      <c r="BA222" s="503" t="str">
        <f>IF(終値!A222="","",IF(AND(高値!AE222&gt;高値!AD222,高値!AE222&gt;高値!AC222,高値!AE222&gt;高値!AF222,高値!AE222&gt;高値!AG222),26,""))</f>
        <v/>
      </c>
      <c r="BB222" s="503" t="str">
        <f>IF(終値!A222="","",IF(AND(高値!AF222&gt;高値!AE222,高値!AF222&gt;高値!AD222,高値!AF222&gt;高値!AG222,高値!AF222&gt;高値!AH222),27,""))</f>
        <v/>
      </c>
      <c r="BC222" s="503" t="str">
        <f>IF(終値!A222="","",IF(AND(高値!AG222&gt;高値!AF222,高値!AG222&gt;高値!AE222,高値!AG222&gt;高値!AH222,高値!AG222&gt;高値!AI222),28,""))</f>
        <v/>
      </c>
      <c r="BD222" s="503">
        <f t="shared" si="18"/>
        <v>5</v>
      </c>
      <c r="BE222" s="503">
        <f t="shared" si="19"/>
        <v>6</v>
      </c>
      <c r="BF222" s="503">
        <f t="shared" si="20"/>
        <v>13</v>
      </c>
      <c r="BG222" s="503">
        <f>IF($BE222="","",INDEX(安値!$E222:$CZ222,1,$BE222+1))</f>
        <v>58280</v>
      </c>
      <c r="BH222" s="503">
        <f>IF($BF222="","",INDEX(安値!$E222:$CZ222,1,$BF222+1))</f>
        <v>62900</v>
      </c>
      <c r="BI222" s="503">
        <f>IF($BF222="","",MAX(INDEX(高値!$E222:$CZ222,1,$BE222+1):INDEX(高値!$E222:$CZ222,1,$BF222+1)))</f>
        <v>73090</v>
      </c>
      <c r="BJ222" s="503">
        <f>IF($BF222="","",AVERAGE(INDEX(終値!$E222:$CZ222,1,$BF222+1):INDEX(終値!$E222:$CZ222,1,$BF222+20))-2*STDEVP(INDEX(終値!$E222:$CZ222,1,$BF222+1):INDEX(終値!$E222:$CZ222,1,$BF222+20)))</f>
        <v>68648.968116380027</v>
      </c>
      <c r="BK222" s="503">
        <f>IF($BE222="","",AVERAGE(INDEX(終値!$E222:$CZ222,1,$BE222+1):INDEX(終値!$E222:$CZ222,1,$BE222+20))-2*STDEVP(INDEX(終値!$E222:$CZ222,1,$BE222+1):INDEX(終値!$E222:$CZ222,1,$BE222+20)))</f>
        <v>61384.018752010925</v>
      </c>
      <c r="BL222" s="503">
        <f t="shared" si="21"/>
        <v>5</v>
      </c>
      <c r="BM222" s="503">
        <f t="shared" si="22"/>
        <v>4</v>
      </c>
      <c r="BN222" s="503">
        <f t="shared" si="23"/>
        <v>11</v>
      </c>
      <c r="BO222" s="503">
        <f>IF($BM222="","",INDEX(高値!$E222:$CZ222,1,$BM222+1))</f>
        <v>68100</v>
      </c>
      <c r="BP222" s="503">
        <f>IF($BN222="","",INDEX(高値!$E222:$CZ222,1,$BN222+1))</f>
        <v>73090</v>
      </c>
      <c r="BQ222" s="503">
        <f>IF($BN222="","",MIN(INDEX(安値!$E222:$CZ222,1,$BM222+1):INDEX(安値!$E222:$CZ222,1,$BN222+1)))</f>
        <v>58280</v>
      </c>
      <c r="BR222" s="503">
        <f>IF($BN222="","",AVERAGE(INDEX(終値!$E222:$CZ222,1,$BN222+1):INDEX(終値!$E222:$CZ222,1,$BN222+20))+2*STDEVP(INDEX(終値!$E222:$CZ222,1,$BN222+1):INDEX(終値!$E222:$CZ222,1,$BN222+20)))</f>
        <v>84104.308636210582</v>
      </c>
      <c r="BS222" s="503">
        <f>IF($BM222="","",AVERAGE(INDEX(終値!$E222:$CZ222,1,$BM222+1):INDEX(終値!$E222:$CZ222,1,$BM222+20))+2*STDEVP(INDEX(終値!$E222:$CZ222,1,$BM222+1):INDEX(終値!$E222:$CZ222,1,$BM222+20)))</f>
        <v>81706.651661443815</v>
      </c>
      <c r="BT222" s="500"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3" t="str">
        <f>IF(終値!A223="","",IF(AND(安値!G223&lt;安値!F223,安値!G223&lt;安値!E223,安値!G223&lt;安値!H223,安値!G223&lt;安値!I223),2,""))</f>
        <v/>
      </c>
      <c r="C223" s="503" t="str">
        <f>IF(終値!A223="","",IF(AND(安値!H223&lt;安値!G223,安値!H223&lt;安値!F223,安値!H223&lt;安値!I223,安値!H223&lt;安値!J223),3,""))</f>
        <v/>
      </c>
      <c r="D223" s="503">
        <f>IF(終値!A223="","",IF(AND(安値!I223&lt;安値!H223,安値!I223&lt;安値!G223,安値!I223&lt;安値!J223,安値!I223&lt;安値!K223),4,""))</f>
        <v>4</v>
      </c>
      <c r="E223" s="503" t="str">
        <f>IF(終値!A223="","",IF(AND(安値!J223&lt;安値!I223,安値!J223&lt;安値!H223,安値!J223&lt;安値!K223,安値!J223&lt;安値!L223),5,""))</f>
        <v/>
      </c>
      <c r="F223" s="503" t="str">
        <f>IF(終値!A223="","",IF(AND(安値!K223&lt;安値!J223,安値!K223&lt;安値!I223,安値!K223&lt;安値!L223,安値!K223&lt;安値!M223),6,""))</f>
        <v/>
      </c>
      <c r="G223" s="503" t="str">
        <f>IF(終値!A223="","",IF(AND(安値!L223&lt;安値!K223,安値!L223&lt;安値!J223,安値!L223&lt;安値!M223,安値!L223&lt;安値!N223),7,""))</f>
        <v/>
      </c>
      <c r="H223" s="503" t="str">
        <f>IF(終値!A223="","",IF(AND(安値!M223&lt;安値!L223,安値!M223&lt;安値!K223,安値!M223&lt;安値!N223,安値!M223&lt;安値!O223),8,""))</f>
        <v/>
      </c>
      <c r="I223" s="503" t="str">
        <f>IF(終値!A223="","",IF(AND(安値!N223&lt;安値!M223,安値!N223&lt;安値!L223,安値!N223&lt;安値!O223,安値!N223&lt;安値!P223),9,""))</f>
        <v/>
      </c>
      <c r="J223" s="503" t="str">
        <f>IF(終値!A223="","",IF(AND(安値!O223&lt;安値!N223,安値!O223&lt;安値!M223,安値!O223&lt;安値!P223,安値!O223&lt;安値!Q223),10,""))</f>
        <v/>
      </c>
      <c r="K223" s="503" t="str">
        <f>IF(終値!A223="","",IF(AND(安値!P223&lt;安値!O223,安値!P223&lt;安値!N223,安値!P223&lt;安値!Q223,安値!P223&lt;安値!R223),11,""))</f>
        <v/>
      </c>
      <c r="L223" s="503" t="str">
        <f>IF(終値!A223="","",IF(AND(安値!Q223&lt;安値!P223,安値!Q223&lt;安値!O223,安値!Q223&lt;安値!R223,安値!Q223&lt;安値!S223),12,""))</f>
        <v/>
      </c>
      <c r="M223" s="503">
        <f>IF(終値!A223="","",IF(AND(安値!R223&lt;安値!Q223,安値!R223&lt;安値!P223,安値!R223&lt;安値!S223,安値!R223&lt;安値!T223),13,""))</f>
        <v>13</v>
      </c>
      <c r="N223" s="503" t="str">
        <f>IF(終値!A223="","",IF(AND(安値!S223&lt;安値!R223,安値!S223&lt;安値!Q223,安値!S223&lt;安値!T223,安値!S223&lt;安値!U223),14,""))</f>
        <v/>
      </c>
      <c r="O223" s="503" t="str">
        <f>IF(終値!A223="","",IF(AND(安値!T223&lt;安値!S223,安値!T223&lt;安値!R223,安値!T223&lt;安値!U223,安値!T223&lt;安値!V223),15,""))</f>
        <v/>
      </c>
      <c r="P223" s="503" t="str">
        <f>IF(終値!A223="","",IF(AND(安値!U223&lt;安値!T223,安値!U223&lt;安値!S223,安値!U223&lt;安値!V223,安値!U223&lt;安値!W223),16,""))</f>
        <v/>
      </c>
      <c r="Q223" s="503" t="str">
        <f>IF(終値!A223="","",IF(AND(安値!V223&lt;安値!U223,安値!V223&lt;安値!T223,安値!V223&lt;安値!W223,安値!V223&lt;安値!X223),17,""))</f>
        <v/>
      </c>
      <c r="R223" s="503">
        <f>IF(終値!A223="","",IF(AND(安値!W223&lt;安値!V223,安値!W223&lt;安値!U223,安値!W223&lt;安値!X223,安値!W223&lt;安値!Y223),18,""))</f>
        <v>18</v>
      </c>
      <c r="S223" s="503" t="str">
        <f>IF(終値!A223="","",IF(AND(安値!X223&lt;安値!W223,安値!X223&lt;安値!V223,安値!X223&lt;安値!Y223,安値!X223&lt;安値!Z223),19,""))</f>
        <v/>
      </c>
      <c r="T223" s="503" t="str">
        <f>IF(終値!A223="","",IF(AND(安値!Y223&lt;安値!X223,安値!Y223&lt;安値!W223,安値!Y223&lt;安値!Z223,安値!Y223&lt;安値!AA223),20,""))</f>
        <v/>
      </c>
      <c r="U223" s="503" t="str">
        <f>IF(終値!A223="","",IF(AND(安値!Z223&lt;安値!Y223,安値!Z223&lt;安値!X223,安値!Z223&lt;安値!AA223,安値!Z223&lt;安値!AB223),21,""))</f>
        <v/>
      </c>
      <c r="V223" s="503" t="str">
        <f>IF(終値!A223="","",IF(AND(安値!AA223&lt;安値!Z223,安値!AA223&lt;安値!Y223,安値!AA223&lt;安値!AB223,安値!AA223&lt;安値!AC223),22,""))</f>
        <v/>
      </c>
      <c r="W223" s="503" t="str">
        <f>IF(終値!A223="","",IF(AND(安値!AB223&lt;安値!AA223,安値!AB223&lt;安値!Z223,安値!AB223&lt;安値!AC223,安値!AB223&lt;安値!AD223),23,""))</f>
        <v/>
      </c>
      <c r="X223" s="503" t="str">
        <f>IF(終値!A223="","",IF(AND(安値!AC223&lt;安値!AB223,安値!AC223&lt;安値!AA223,安値!AC223&lt;安値!AD223,安値!AC223&lt;安値!AE223),24,""))</f>
        <v/>
      </c>
      <c r="Y223" s="503">
        <f>IF(終値!A223="","",IF(AND(安値!AD223&lt;安値!AC223,安値!AD223&lt;安値!AB223,安値!AD223&lt;安値!AE223,安値!AD223&lt;安値!AF223),25,""))</f>
        <v>25</v>
      </c>
      <c r="Z223" s="503" t="str">
        <f>IF(終値!A223="","",IF(AND(安値!AE223&lt;安値!AD223,安値!AE223&lt;安値!AC223,安値!AE223&lt;安値!AF223,安値!AE223&lt;安値!AG223),26,""))</f>
        <v/>
      </c>
      <c r="AA223" s="503" t="str">
        <f>IF(終値!A223="","",IF(AND(安値!AF223&lt;安値!AE223,安値!AF223&lt;安値!AD223,安値!AF223&lt;安値!AG223,安値!AF223&lt;安値!AH223),27,""))</f>
        <v/>
      </c>
      <c r="AB223" s="503" t="str">
        <f>IF(終値!A223="","",IF(AND(安値!AG223&lt;安値!AF223,安値!AG223&lt;安値!AE223,安値!AG223&lt;安値!AH223,安値!AG223&lt;安値!AI223),28,""))</f>
        <v/>
      </c>
      <c r="AC223" s="503" t="str">
        <f>IF(終値!A223="","",IF(AND(高値!G223&gt;高値!F223,高値!G223&gt;高値!E223,高値!G223&gt;高値!H223,高値!G223&gt;高値!I223),2,""))</f>
        <v/>
      </c>
      <c r="AD223" s="503" t="str">
        <f>IF(終値!A223="","",IF(AND(高値!H223&gt;高値!G223,高値!H223&gt;高値!F223,高値!H223&gt;高値!I223,高値!H223&gt;高値!J223),3,""))</f>
        <v/>
      </c>
      <c r="AE223" s="503" t="str">
        <f>IF(終値!A223="","",IF(AND(高値!I223&gt;高値!H223,高値!I223&gt;高値!G223,高値!I223&gt;高値!J223,高値!I223&gt;高値!K223),4,""))</f>
        <v/>
      </c>
      <c r="AF223" s="503" t="str">
        <f>IF(終値!A223="","",IF(AND(高値!J223&gt;高値!I223,高値!J223&gt;高値!H223,高値!J223&gt;高値!K223,高値!J223&gt;高値!L223),5,""))</f>
        <v/>
      </c>
      <c r="AG223" s="503" t="str">
        <f>IF(終値!A223="","",IF(AND(高値!K223&gt;高値!J223,高値!K223&gt;高値!I223,高値!K223&gt;高値!L223,高値!K223&gt;高値!M223),6,""))</f>
        <v/>
      </c>
      <c r="AH223" s="503" t="str">
        <f>IF(終値!A223="","",IF(AND(高値!L223&gt;高値!K223,高値!L223&gt;高値!J223,高値!L223&gt;高値!M223,高値!L223&gt;高値!N223),7,""))</f>
        <v/>
      </c>
      <c r="AI223" s="503" t="str">
        <f>IF(終値!A223="","",IF(AND(高値!M223&gt;高値!L223,高値!M223&gt;高値!K223,高値!M223&gt;高値!N223,高値!M223&gt;高値!O223),8,""))</f>
        <v/>
      </c>
      <c r="AJ223" s="503">
        <f>IF(終値!A223="","",IF(AND(高値!N223&gt;高値!M223,高値!N223&gt;高値!L223,高値!N223&gt;高値!O223,高値!N223&gt;高値!P223),9,""))</f>
        <v>9</v>
      </c>
      <c r="AK223" s="503" t="str">
        <f>IF(終値!A223="","",IF(AND(高値!O223&gt;高値!N223,高値!O223&gt;高値!M223,高値!O223&gt;高値!P223,高値!O223&gt;高値!Q223),10,""))</f>
        <v/>
      </c>
      <c r="AL223" s="503" t="str">
        <f>IF(終値!A223="","",IF(AND(高値!P223&gt;高値!O223,高値!P223&gt;高値!N223,高値!P223&gt;高値!Q223,高値!P223&gt;高値!R223),11,""))</f>
        <v/>
      </c>
      <c r="AM223" s="503" t="str">
        <f>IF(終値!A223="","",IF(AND(高値!Q223&gt;高値!P223,高値!Q223&gt;高値!O223,高値!Q223&gt;高値!R223,高値!Q223&gt;高値!S223),12,""))</f>
        <v/>
      </c>
      <c r="AN223" s="503" t="str">
        <f>IF(終値!A223="","",IF(AND(高値!R223&gt;高値!Q223,高値!R223&gt;高値!P223,高値!R223&gt;高値!S223,高値!R223&gt;高値!T223),13,""))</f>
        <v/>
      </c>
      <c r="AO223" s="503" t="str">
        <f>IF(終値!A223="","",IF(AND(高値!S223&gt;高値!R223,高値!S223&gt;高値!Q223,高値!S223&gt;高値!T223,高値!S223&gt;高値!U223),14,""))</f>
        <v/>
      </c>
      <c r="AP223" s="503" t="str">
        <f>IF(終値!A223="","",IF(AND(高値!T223&gt;高値!S223,高値!T223&gt;高値!R223,高値!T223&gt;高値!U223,高値!T223&gt;高値!V223),15,""))</f>
        <v/>
      </c>
      <c r="AQ223" s="503" t="str">
        <f>IF(終値!A223="","",IF(AND(高値!U223&gt;高値!T223,高値!U223&gt;高値!S223,高値!U223&gt;高値!V223,高値!U223&gt;高値!W223),16,""))</f>
        <v/>
      </c>
      <c r="AR223" s="503">
        <f>IF(終値!A223="","",IF(AND(高値!V223&gt;高値!U223,高値!V223&gt;高値!T223,高値!V223&gt;高値!W223,高値!V223&gt;高値!X223),17,""))</f>
        <v>17</v>
      </c>
      <c r="AS223" s="503" t="str">
        <f>IF(終値!A223="","",IF(AND(高値!W223&gt;高値!V223,高値!W223&gt;高値!U223,高値!W223&gt;高値!X223,高値!W223&gt;高値!Y223),18,""))</f>
        <v/>
      </c>
      <c r="AT223" s="503" t="str">
        <f>IF(終値!A223="","",IF(AND(高値!X223&gt;高値!W223,高値!X223&gt;高値!V223,高値!X223&gt;高値!Y223,高値!X223&gt;高値!Z223),19,""))</f>
        <v/>
      </c>
      <c r="AU223" s="503" t="str">
        <f>IF(終値!A223="","",IF(AND(高値!Y223&gt;高値!X223,高値!Y223&gt;高値!W223,高値!Y223&gt;高値!Z223,高値!Y223&gt;高値!AA223),20,""))</f>
        <v/>
      </c>
      <c r="AV223" s="503">
        <f>IF(終値!A223="","",IF(AND(高値!Z223&gt;高値!Y223,高値!Z223&gt;高値!X223,高値!Z223&gt;高値!AA223,高値!Z223&gt;高値!AB223),21,""))</f>
        <v>21</v>
      </c>
      <c r="AW223" s="503" t="str">
        <f>IF(終値!A223="","",IF(AND(高値!AA223&gt;高値!Z223,高値!AA223&gt;高値!Y223,高値!AA223&gt;高値!AB223,高値!AA223&gt;高値!AC223),22,""))</f>
        <v/>
      </c>
      <c r="AX223" s="503" t="str">
        <f>IF(終値!A223="","",IF(AND(高値!AB223&gt;高値!AA223,高値!AB223&gt;高値!Z223,高値!AB223&gt;高値!AC223,高値!AB223&gt;高値!AD223),23,""))</f>
        <v/>
      </c>
      <c r="AY223" s="503">
        <f>IF(終値!A223="","",IF(AND(高値!AC223&gt;高値!AB223,高値!AC223&gt;高値!AA223,高値!AC223&gt;高値!AD223,高値!AC223&gt;高値!AE223),24,""))</f>
        <v>24</v>
      </c>
      <c r="AZ223" s="503" t="str">
        <f>IF(終値!A223="","",IF(AND(高値!AD223&gt;高値!AC223,高値!AD223&gt;高値!AB223,高値!AD223&gt;高値!AE223,高値!AD223&gt;高値!AF223),25,""))</f>
        <v/>
      </c>
      <c r="BA223" s="503" t="str">
        <f>IF(終値!A223="","",IF(AND(高値!AE223&gt;高値!AD223,高値!AE223&gt;高値!AC223,高値!AE223&gt;高値!AF223,高値!AE223&gt;高値!AG223),26,""))</f>
        <v/>
      </c>
      <c r="BB223" s="503" t="str">
        <f>IF(終値!A223="","",IF(AND(高値!AF223&gt;高値!AE223,高値!AF223&gt;高値!AD223,高値!AF223&gt;高値!AG223,高値!AF223&gt;高値!AH223),27,""))</f>
        <v/>
      </c>
      <c r="BC223" s="503">
        <f>IF(終値!A223="","",IF(AND(高値!AG223&gt;高値!AF223,高値!AG223&gt;高値!AE223,高値!AG223&gt;高値!AH223,高値!AG223&gt;高値!AI223),28,""))</f>
        <v>28</v>
      </c>
      <c r="BD223" s="503">
        <f t="shared" si="18"/>
        <v>4</v>
      </c>
      <c r="BE223" s="503">
        <f t="shared" si="19"/>
        <v>4</v>
      </c>
      <c r="BF223" s="503">
        <f t="shared" si="20"/>
        <v>13</v>
      </c>
      <c r="BG223" s="503">
        <f>IF($BE223="","",INDEX(安値!$E223:$CZ223,1,$BE223+1))</f>
        <v>12620</v>
      </c>
      <c r="BH223" s="503">
        <f>IF($BF223="","",INDEX(安値!$E223:$CZ223,1,$BF223+1))</f>
        <v>14110</v>
      </c>
      <c r="BI223" s="503">
        <f>IF($BF223="","",MAX(INDEX(高値!$E223:$CZ223,1,$BE223+1):INDEX(高値!$E223:$CZ223,1,$BF223+1)))</f>
        <v>14980</v>
      </c>
      <c r="BJ223" s="503">
        <f>IF($BF223="","",AVERAGE(INDEX(終値!$E223:$CZ223,1,$BF223+1):INDEX(終値!$E223:$CZ223,1,$BF223+20))-2*STDEVP(INDEX(終値!$E223:$CZ223,1,$BF223+1):INDEX(終値!$E223:$CZ223,1,$BF223+20)))</f>
        <v>14105.268015026517</v>
      </c>
      <c r="BK223" s="503">
        <f>IF($BE223="","",AVERAGE(INDEX(終値!$E223:$CZ223,1,$BE223+1):INDEX(終値!$E223:$CZ223,1,$BE223+20))-2*STDEVP(INDEX(終値!$E223:$CZ223,1,$BE223+1):INDEX(終値!$E223:$CZ223,1,$BE223+20)))</f>
        <v>13890.550394332191</v>
      </c>
      <c r="BL223" s="503">
        <f t="shared" si="21"/>
        <v>5</v>
      </c>
      <c r="BM223" s="503">
        <f t="shared" si="22"/>
        <v>9</v>
      </c>
      <c r="BN223" s="503">
        <f t="shared" si="23"/>
        <v>17</v>
      </c>
      <c r="BO223" s="503">
        <f>IF($BM223="","",INDEX(高値!$E223:$CZ223,1,$BM223+1))</f>
        <v>14980</v>
      </c>
      <c r="BP223" s="503">
        <f>IF($BN223="","",INDEX(高値!$E223:$CZ223,1,$BN223+1))</f>
        <v>15070</v>
      </c>
      <c r="BQ223" s="503">
        <f>IF($BN223="","",MIN(INDEX(安値!$E223:$CZ223,1,$BM223+1):INDEX(安値!$E223:$CZ223,1,$BN223+1)))</f>
        <v>14110</v>
      </c>
      <c r="BR223" s="503">
        <f>IF($BN223="","",AVERAGE(INDEX(終値!$E223:$CZ223,1,$BN223+1):INDEX(終値!$E223:$CZ223,1,$BN223+20))+2*STDEVP(INDEX(終値!$E223:$CZ223,1,$BN223+1):INDEX(終値!$E223:$CZ223,1,$BN223+20)))</f>
        <v>15739.076036854887</v>
      </c>
      <c r="BS223" s="503">
        <f>IF($BM223="","",AVERAGE(INDEX(終値!$E223:$CZ223,1,$BM223+1):INDEX(終値!$E223:$CZ223,1,$BM223+20))+2*STDEVP(INDEX(終値!$E223:$CZ223,1,$BM223+1):INDEX(終値!$E223:$CZ223,1,$BM223+20)))</f>
        <v>15630.633368959709</v>
      </c>
      <c r="BT223" s="500"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v>
      </c>
    </row>
    <row r="224" spans="2:72">
      <c r="B224" s="503" t="str">
        <f>IF(終値!A224="","",IF(AND(安値!G224&lt;安値!F224,安値!G224&lt;安値!E224,安値!G224&lt;安値!H224,安値!G224&lt;安値!I224),2,""))</f>
        <v/>
      </c>
      <c r="C224" s="503" t="str">
        <f>IF(終値!A224="","",IF(AND(安値!H224&lt;安値!G224,安値!H224&lt;安値!F224,安値!H224&lt;安値!I224,安値!H224&lt;安値!J224),3,""))</f>
        <v/>
      </c>
      <c r="D224" s="503" t="str">
        <f>IF(終値!A224="","",IF(AND(安値!I224&lt;安値!H224,安値!I224&lt;安値!G224,安値!I224&lt;安値!J224,安値!I224&lt;安値!K224),4,""))</f>
        <v/>
      </c>
      <c r="E224" s="503" t="str">
        <f>IF(終値!A224="","",IF(AND(安値!J224&lt;安値!I224,安値!J224&lt;安値!H224,安値!J224&lt;安値!K224,安値!J224&lt;安値!L224),5,""))</f>
        <v/>
      </c>
      <c r="F224" s="503">
        <f>IF(終値!A224="","",IF(AND(安値!K224&lt;安値!J224,安値!K224&lt;安値!I224,安値!K224&lt;安値!L224,安値!K224&lt;安値!M224),6,""))</f>
        <v>6</v>
      </c>
      <c r="G224" s="503" t="str">
        <f>IF(終値!A224="","",IF(AND(安値!L224&lt;安値!K224,安値!L224&lt;安値!J224,安値!L224&lt;安値!M224,安値!L224&lt;安値!N224),7,""))</f>
        <v/>
      </c>
      <c r="H224" s="503" t="str">
        <f>IF(終値!A224="","",IF(AND(安値!M224&lt;安値!L224,安値!M224&lt;安値!K224,安値!M224&lt;安値!N224,安値!M224&lt;安値!O224),8,""))</f>
        <v/>
      </c>
      <c r="I224" s="503" t="str">
        <f>IF(終値!A224="","",IF(AND(安値!N224&lt;安値!M224,安値!N224&lt;安値!L224,安値!N224&lt;安値!O224,安値!N224&lt;安値!P224),9,""))</f>
        <v/>
      </c>
      <c r="J224" s="503" t="str">
        <f>IF(終値!A224="","",IF(AND(安値!O224&lt;安値!N224,安値!O224&lt;安値!M224,安値!O224&lt;安値!P224,安値!O224&lt;安値!Q224),10,""))</f>
        <v/>
      </c>
      <c r="K224" s="503" t="str">
        <f>IF(終値!A224="","",IF(AND(安値!P224&lt;安値!O224,安値!P224&lt;安値!N224,安値!P224&lt;安値!Q224,安値!P224&lt;安値!R224),11,""))</f>
        <v/>
      </c>
      <c r="L224" s="503" t="str">
        <f>IF(終値!A224="","",IF(AND(安値!Q224&lt;安値!P224,安値!Q224&lt;安値!O224,安値!Q224&lt;安値!R224,安値!Q224&lt;安値!S224),12,""))</f>
        <v/>
      </c>
      <c r="M224" s="503">
        <f>IF(終値!A224="","",IF(AND(安値!R224&lt;安値!Q224,安値!R224&lt;安値!P224,安値!R224&lt;安値!S224,安値!R224&lt;安値!T224),13,""))</f>
        <v>13</v>
      </c>
      <c r="N224" s="503" t="str">
        <f>IF(終値!A224="","",IF(AND(安値!S224&lt;安値!R224,安値!S224&lt;安値!Q224,安値!S224&lt;安値!T224,安値!S224&lt;安値!U224),14,""))</f>
        <v/>
      </c>
      <c r="O224" s="503" t="str">
        <f>IF(終値!A224="","",IF(AND(安値!T224&lt;安値!S224,安値!T224&lt;安値!R224,安値!T224&lt;安値!U224,安値!T224&lt;安値!V224),15,""))</f>
        <v/>
      </c>
      <c r="P224" s="503" t="str">
        <f>IF(終値!A224="","",IF(AND(安値!U224&lt;安値!T224,安値!U224&lt;安値!S224,安値!U224&lt;安値!V224,安値!U224&lt;安値!W224),16,""))</f>
        <v/>
      </c>
      <c r="Q224" s="503" t="str">
        <f>IF(終値!A224="","",IF(AND(安値!V224&lt;安値!U224,安値!V224&lt;安値!T224,安値!V224&lt;安値!W224,安値!V224&lt;安値!X224),17,""))</f>
        <v/>
      </c>
      <c r="R224" s="503" t="str">
        <f>IF(終値!A224="","",IF(AND(安値!W224&lt;安値!V224,安値!W224&lt;安値!U224,安値!W224&lt;安値!X224,安値!W224&lt;安値!Y224),18,""))</f>
        <v/>
      </c>
      <c r="S224" s="503" t="str">
        <f>IF(終値!A224="","",IF(AND(安値!X224&lt;安値!W224,安値!X224&lt;安値!V224,安値!X224&lt;安値!Y224,安値!X224&lt;安値!Z224),19,""))</f>
        <v/>
      </c>
      <c r="T224" s="503" t="str">
        <f>IF(終値!A224="","",IF(AND(安値!Y224&lt;安値!X224,安値!Y224&lt;安値!W224,安値!Y224&lt;安値!Z224,安値!Y224&lt;安値!AA224),20,""))</f>
        <v/>
      </c>
      <c r="U224" s="503" t="str">
        <f>IF(終値!A224="","",IF(AND(安値!Z224&lt;安値!Y224,安値!Z224&lt;安値!X224,安値!Z224&lt;安値!AA224,安値!Z224&lt;安値!AB224),21,""))</f>
        <v/>
      </c>
      <c r="V224" s="503">
        <f>IF(終値!A224="","",IF(AND(安値!AA224&lt;安値!Z224,安値!AA224&lt;安値!Y224,安値!AA224&lt;安値!AB224,安値!AA224&lt;安値!AC224),22,""))</f>
        <v>22</v>
      </c>
      <c r="W224" s="503" t="str">
        <f>IF(終値!A224="","",IF(AND(安値!AB224&lt;安値!AA224,安値!AB224&lt;安値!Z224,安値!AB224&lt;安値!AC224,安値!AB224&lt;安値!AD224),23,""))</f>
        <v/>
      </c>
      <c r="X224" s="503" t="str">
        <f>IF(終値!A224="","",IF(AND(安値!AC224&lt;安値!AB224,安値!AC224&lt;安値!AA224,安値!AC224&lt;安値!AD224,安値!AC224&lt;安値!AE224),24,""))</f>
        <v/>
      </c>
      <c r="Y224" s="503" t="str">
        <f>IF(終値!A224="","",IF(AND(安値!AD224&lt;安値!AC224,安値!AD224&lt;安値!AB224,安値!AD224&lt;安値!AE224,安値!AD224&lt;安値!AF224),25,""))</f>
        <v/>
      </c>
      <c r="Z224" s="503">
        <f>IF(終値!A224="","",IF(AND(安値!AE224&lt;安値!AD224,安値!AE224&lt;安値!AC224,安値!AE224&lt;安値!AF224,安値!AE224&lt;安値!AG224),26,""))</f>
        <v>26</v>
      </c>
      <c r="AA224" s="503" t="str">
        <f>IF(終値!A224="","",IF(AND(安値!AF224&lt;安値!AE224,安値!AF224&lt;安値!AD224,安値!AF224&lt;安値!AG224,安値!AF224&lt;安値!AH224),27,""))</f>
        <v/>
      </c>
      <c r="AB224" s="503" t="str">
        <f>IF(終値!A224="","",IF(AND(安値!AG224&lt;安値!AF224,安値!AG224&lt;安値!AE224,安値!AG224&lt;安値!AH224,安値!AG224&lt;安値!AI224),28,""))</f>
        <v/>
      </c>
      <c r="AC224" s="503" t="str">
        <f>IF(終値!A224="","",IF(AND(高値!G224&gt;高値!F224,高値!G224&gt;高値!E224,高値!G224&gt;高値!H224,高値!G224&gt;高値!I224),2,""))</f>
        <v/>
      </c>
      <c r="AD224" s="503" t="str">
        <f>IF(終値!A224="","",IF(AND(高値!H224&gt;高値!G224,高値!H224&gt;高値!F224,高値!H224&gt;高値!I224,高値!H224&gt;高値!J224),3,""))</f>
        <v/>
      </c>
      <c r="AE224" s="503" t="str">
        <f>IF(終値!A224="","",IF(AND(高値!I224&gt;高値!H224,高値!I224&gt;高値!G224,高値!I224&gt;高値!J224,高値!I224&gt;高値!K224),4,""))</f>
        <v/>
      </c>
      <c r="AF224" s="503" t="str">
        <f>IF(終値!A224="","",IF(AND(高値!J224&gt;高値!I224,高値!J224&gt;高値!H224,高値!J224&gt;高値!K224,高値!J224&gt;高値!L224),5,""))</f>
        <v/>
      </c>
      <c r="AG224" s="503" t="str">
        <f>IF(終値!A224="","",IF(AND(高値!K224&gt;高値!J224,高値!K224&gt;高値!I224,高値!K224&gt;高値!L224,高値!K224&gt;高値!M224),6,""))</f>
        <v/>
      </c>
      <c r="AH224" s="503" t="str">
        <f>IF(終値!A224="","",IF(AND(高値!L224&gt;高値!K224,高値!L224&gt;高値!J224,高値!L224&gt;高値!M224,高値!L224&gt;高値!N224),7,""))</f>
        <v/>
      </c>
      <c r="AI224" s="503" t="str">
        <f>IF(終値!A224="","",IF(AND(高値!M224&gt;高値!L224,高値!M224&gt;高値!K224,高値!M224&gt;高値!N224,高値!M224&gt;高値!O224),8,""))</f>
        <v/>
      </c>
      <c r="AJ224" s="503" t="str">
        <f>IF(終値!A224="","",IF(AND(高値!N224&gt;高値!M224,高値!N224&gt;高値!L224,高値!N224&gt;高値!O224,高値!N224&gt;高値!P224),9,""))</f>
        <v/>
      </c>
      <c r="AK224" s="503" t="str">
        <f>IF(終値!A224="","",IF(AND(高値!O224&gt;高値!N224,高値!O224&gt;高値!M224,高値!O224&gt;高値!P224,高値!O224&gt;高値!Q224),10,""))</f>
        <v/>
      </c>
      <c r="AL224" s="503">
        <f>IF(終値!A224="","",IF(AND(高値!P224&gt;高値!O224,高値!P224&gt;高値!N224,高値!P224&gt;高値!Q224,高値!P224&gt;高値!R224),11,""))</f>
        <v>11</v>
      </c>
      <c r="AM224" s="503" t="str">
        <f>IF(終値!A224="","",IF(AND(高値!Q224&gt;高値!P224,高値!Q224&gt;高値!O224,高値!Q224&gt;高値!R224,高値!Q224&gt;高値!S224),12,""))</f>
        <v/>
      </c>
      <c r="AN224" s="503" t="str">
        <f>IF(終値!A224="","",IF(AND(高値!R224&gt;高値!Q224,高値!R224&gt;高値!P224,高値!R224&gt;高値!S224,高値!R224&gt;高値!T224),13,""))</f>
        <v/>
      </c>
      <c r="AO224" s="503" t="str">
        <f>IF(終値!A224="","",IF(AND(高値!S224&gt;高値!R224,高値!S224&gt;高値!Q224,高値!S224&gt;高値!T224,高値!S224&gt;高値!U224),14,""))</f>
        <v/>
      </c>
      <c r="AP224" s="503" t="str">
        <f>IF(終値!A224="","",IF(AND(高値!T224&gt;高値!S224,高値!T224&gt;高値!R224,高値!T224&gt;高値!U224,高値!T224&gt;高値!V224),15,""))</f>
        <v/>
      </c>
      <c r="AQ224" s="503" t="str">
        <f>IF(終値!A224="","",IF(AND(高値!U224&gt;高値!T224,高値!U224&gt;高値!S224,高値!U224&gt;高値!V224,高値!U224&gt;高値!W224),16,""))</f>
        <v/>
      </c>
      <c r="AR224" s="503">
        <f>IF(終値!A224="","",IF(AND(高値!V224&gt;高値!U224,高値!V224&gt;高値!T224,高値!V224&gt;高値!W224,高値!V224&gt;高値!X224),17,""))</f>
        <v>17</v>
      </c>
      <c r="AS224" s="503" t="str">
        <f>IF(終値!A224="","",IF(AND(高値!W224&gt;高値!V224,高値!W224&gt;高値!U224,高値!W224&gt;高値!X224,高値!W224&gt;高値!Y224),18,""))</f>
        <v/>
      </c>
      <c r="AT224" s="503" t="str">
        <f>IF(終値!A224="","",IF(AND(高値!X224&gt;高値!W224,高値!X224&gt;高値!V224,高値!X224&gt;高値!Y224,高値!X224&gt;高値!Z224),19,""))</f>
        <v/>
      </c>
      <c r="AU224" s="503">
        <f>IF(終値!A224="","",IF(AND(高値!Y224&gt;高値!X224,高値!Y224&gt;高値!W224,高値!Y224&gt;高値!Z224,高値!Y224&gt;高値!AA224),20,""))</f>
        <v>20</v>
      </c>
      <c r="AV224" s="503" t="str">
        <f>IF(終値!A224="","",IF(AND(高値!Z224&gt;高値!Y224,高値!Z224&gt;高値!X224,高値!Z224&gt;高値!AA224,高値!Z224&gt;高値!AB224),21,""))</f>
        <v/>
      </c>
      <c r="AW224" s="503" t="str">
        <f>IF(終値!A224="","",IF(AND(高値!AA224&gt;高値!Z224,高値!AA224&gt;高値!Y224,高値!AA224&gt;高値!AB224,高値!AA224&gt;高値!AC224),22,""))</f>
        <v/>
      </c>
      <c r="AX224" s="503" t="str">
        <f>IF(終値!A224="","",IF(AND(高値!AB224&gt;高値!AA224,高値!AB224&gt;高値!Z224,高値!AB224&gt;高値!AC224,高値!AB224&gt;高値!AD224),23,""))</f>
        <v/>
      </c>
      <c r="AY224" s="503">
        <f>IF(終値!A224="","",IF(AND(高値!AC224&gt;高値!AB224,高値!AC224&gt;高値!AA224,高値!AC224&gt;高値!AD224,高値!AC224&gt;高値!AE224),24,""))</f>
        <v>24</v>
      </c>
      <c r="AZ224" s="503" t="str">
        <f>IF(終値!A224="","",IF(AND(高値!AD224&gt;高値!AC224,高値!AD224&gt;高値!AB224,高値!AD224&gt;高値!AE224,高値!AD224&gt;高値!AF224),25,""))</f>
        <v/>
      </c>
      <c r="BA224" s="503" t="str">
        <f>IF(終値!A224="","",IF(AND(高値!AE224&gt;高値!AD224,高値!AE224&gt;高値!AC224,高値!AE224&gt;高値!AF224,高値!AE224&gt;高値!AG224),26,""))</f>
        <v/>
      </c>
      <c r="BB224" s="503" t="str">
        <f>IF(終値!A224="","",IF(AND(高値!AF224&gt;高値!AE224,高値!AF224&gt;高値!AD224,高値!AF224&gt;高値!AG224,高値!AF224&gt;高値!AH224),27,""))</f>
        <v/>
      </c>
      <c r="BC224" s="503">
        <f>IF(終値!A224="","",IF(AND(高値!AG224&gt;高値!AF224,高値!AG224&gt;高値!AE224,高値!AG224&gt;高値!AH224,高値!AG224&gt;高値!AI224),28,""))</f>
        <v>28</v>
      </c>
      <c r="BD224" s="503">
        <f t="shared" si="18"/>
        <v>4</v>
      </c>
      <c r="BE224" s="503">
        <f t="shared" si="19"/>
        <v>6</v>
      </c>
      <c r="BF224" s="503">
        <f t="shared" si="20"/>
        <v>13</v>
      </c>
      <c r="BG224" s="503">
        <f>IF($BE224="","",INDEX(安値!$E224:$CZ224,1,$BE224+1))</f>
        <v>1939</v>
      </c>
      <c r="BH224" s="503">
        <f>IF($BF224="","",INDEX(安値!$E224:$CZ224,1,$BF224+1))</f>
        <v>2151</v>
      </c>
      <c r="BI224" s="503">
        <f>IF($BF224="","",MAX(INDEX(高値!$E224:$CZ224,1,$BE224+1):INDEX(高値!$E224:$CZ224,1,$BF224+1)))</f>
        <v>2431</v>
      </c>
      <c r="BJ224" s="503">
        <f>IF($BF224="","",AVERAGE(INDEX(終値!$E224:$CZ224,1,$BF224+1):INDEX(終値!$E224:$CZ224,1,$BF224+20))-2*STDEVP(INDEX(終値!$E224:$CZ224,1,$BF224+1):INDEX(終値!$E224:$CZ224,1,$BF224+20)))</f>
        <v>2354.6768929312589</v>
      </c>
      <c r="BK224" s="503">
        <f>IF($BE224="","",AVERAGE(INDEX(終値!$E224:$CZ224,1,$BE224+1):INDEX(終値!$E224:$CZ224,1,$BE224+20))-2*STDEVP(INDEX(終値!$E224:$CZ224,1,$BE224+1):INDEX(終値!$E224:$CZ224,1,$BE224+20)))</f>
        <v>2052.6797721589651</v>
      </c>
      <c r="BL224" s="503">
        <f t="shared" si="21"/>
        <v>5</v>
      </c>
      <c r="BM224" s="503">
        <f t="shared" si="22"/>
        <v>11</v>
      </c>
      <c r="BN224" s="503">
        <f t="shared" si="23"/>
        <v>17</v>
      </c>
      <c r="BO224" s="503">
        <f>IF($BM224="","",INDEX(高値!$E224:$CZ224,1,$BM224+1))</f>
        <v>2431</v>
      </c>
      <c r="BP224" s="503">
        <f>IF($BN224="","",INDEX(高値!$E224:$CZ224,1,$BN224+1))</f>
        <v>2710</v>
      </c>
      <c r="BQ224" s="503">
        <f>IF($BN224="","",MIN(INDEX(安値!$E224:$CZ224,1,$BM224+1):INDEX(安値!$E224:$CZ224,1,$BN224+1)))</f>
        <v>2151</v>
      </c>
      <c r="BR224" s="503">
        <f>IF($BN224="","",AVERAGE(INDEX(終値!$E224:$CZ224,1,$BN224+1):INDEX(終値!$E224:$CZ224,1,$BN224+20))+2*STDEVP(INDEX(終値!$E224:$CZ224,1,$BN224+1):INDEX(終値!$E224:$CZ224,1,$BN224+20)))</f>
        <v>2735.2862559258988</v>
      </c>
      <c r="BS224" s="503">
        <f>IF($BM224="","",AVERAGE(INDEX(終値!$E224:$CZ224,1,$BM224+1):INDEX(終値!$E224:$CZ224,1,$BM224+20))+2*STDEVP(INDEX(終値!$E224:$CZ224,1,$BM224+1):INDEX(終値!$E224:$CZ224,1,$BM224+20)))</f>
        <v>2782.4140729164014</v>
      </c>
      <c r="BT224" s="500"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3" t="str">
        <f>IF(終値!A225="","",IF(AND(安値!G225&lt;安値!F225,安値!G225&lt;安値!E225,安値!G225&lt;安値!H225,安値!G225&lt;安値!I225),2,""))</f>
        <v/>
      </c>
      <c r="C225" s="503" t="str">
        <f>IF(終値!A225="","",IF(AND(安値!H225&lt;安値!G225,安値!H225&lt;安値!F225,安値!H225&lt;安値!I225,安値!H225&lt;安値!J225),3,""))</f>
        <v/>
      </c>
      <c r="D225" s="503" t="str">
        <f>IF(終値!A225="","",IF(AND(安値!I225&lt;安値!H225,安値!I225&lt;安値!G225,安値!I225&lt;安値!J225,安値!I225&lt;安値!K225),4,""))</f>
        <v/>
      </c>
      <c r="E225" s="503" t="str">
        <f>IF(終値!A225="","",IF(AND(安値!J225&lt;安値!I225,安値!J225&lt;安値!H225,安値!J225&lt;安値!K225,安値!J225&lt;安値!L225),5,""))</f>
        <v/>
      </c>
      <c r="F225" s="503">
        <f>IF(終値!A225="","",IF(AND(安値!K225&lt;安値!J225,安値!K225&lt;安値!I225,安値!K225&lt;安値!L225,安値!K225&lt;安値!M225),6,""))</f>
        <v>6</v>
      </c>
      <c r="G225" s="503" t="str">
        <f>IF(終値!A225="","",IF(AND(安値!L225&lt;安値!K225,安値!L225&lt;安値!J225,安値!L225&lt;安値!M225,安値!L225&lt;安値!N225),7,""))</f>
        <v/>
      </c>
      <c r="H225" s="503" t="str">
        <f>IF(終値!A225="","",IF(AND(安値!M225&lt;安値!L225,安値!M225&lt;安値!K225,安値!M225&lt;安値!N225,安値!M225&lt;安値!O225),8,""))</f>
        <v/>
      </c>
      <c r="I225" s="503" t="str">
        <f>IF(終値!A225="","",IF(AND(安値!N225&lt;安値!M225,安値!N225&lt;安値!L225,安値!N225&lt;安値!O225,安値!N225&lt;安値!P225),9,""))</f>
        <v/>
      </c>
      <c r="J225" s="503" t="str">
        <f>IF(終値!A225="","",IF(AND(安値!O225&lt;安値!N225,安値!O225&lt;安値!M225,安値!O225&lt;安値!P225,安値!O225&lt;安値!Q225),10,""))</f>
        <v/>
      </c>
      <c r="K225" s="503" t="str">
        <f>IF(終値!A225="","",IF(AND(安値!P225&lt;安値!O225,安値!P225&lt;安値!N225,安値!P225&lt;安値!Q225,安値!P225&lt;安値!R225),11,""))</f>
        <v/>
      </c>
      <c r="L225" s="503" t="str">
        <f>IF(終値!A225="","",IF(AND(安値!Q225&lt;安値!P225,安値!Q225&lt;安値!O225,安値!Q225&lt;安値!R225,安値!Q225&lt;安値!S225),12,""))</f>
        <v/>
      </c>
      <c r="M225" s="503">
        <f>IF(終値!A225="","",IF(AND(安値!R225&lt;安値!Q225,安値!R225&lt;安値!P225,安値!R225&lt;安値!S225,安値!R225&lt;安値!T225),13,""))</f>
        <v>13</v>
      </c>
      <c r="N225" s="503" t="str">
        <f>IF(終値!A225="","",IF(AND(安値!S225&lt;安値!R225,安値!S225&lt;安値!Q225,安値!S225&lt;安値!T225,安値!S225&lt;安値!U225),14,""))</f>
        <v/>
      </c>
      <c r="O225" s="503" t="str">
        <f>IF(終値!A225="","",IF(AND(安値!T225&lt;安値!S225,安値!T225&lt;安値!R225,安値!T225&lt;安値!U225,安値!T225&lt;安値!V225),15,""))</f>
        <v/>
      </c>
      <c r="P225" s="503" t="str">
        <f>IF(終値!A225="","",IF(AND(安値!U225&lt;安値!T225,安値!U225&lt;安値!S225,安値!U225&lt;安値!V225,安値!U225&lt;安値!W225),16,""))</f>
        <v/>
      </c>
      <c r="Q225" s="503" t="str">
        <f>IF(終値!A225="","",IF(AND(安値!V225&lt;安値!U225,安値!V225&lt;安値!T225,安値!V225&lt;安値!W225,安値!V225&lt;安値!X225),17,""))</f>
        <v/>
      </c>
      <c r="R225" s="503" t="str">
        <f>IF(終値!A225="","",IF(AND(安値!W225&lt;安値!V225,安値!W225&lt;安値!U225,安値!W225&lt;安値!X225,安値!W225&lt;安値!Y225),18,""))</f>
        <v/>
      </c>
      <c r="S225" s="503">
        <f>IF(終値!A225="","",IF(AND(安値!X225&lt;安値!W225,安値!X225&lt;安値!V225,安値!X225&lt;安値!Y225,安値!X225&lt;安値!Z225),19,""))</f>
        <v>19</v>
      </c>
      <c r="T225" s="503" t="str">
        <f>IF(終値!A225="","",IF(AND(安値!Y225&lt;安値!X225,安値!Y225&lt;安値!W225,安値!Y225&lt;安値!Z225,安値!Y225&lt;安値!AA225),20,""))</f>
        <v/>
      </c>
      <c r="U225" s="503" t="str">
        <f>IF(終値!A225="","",IF(AND(安値!Z225&lt;安値!Y225,安値!Z225&lt;安値!X225,安値!Z225&lt;安値!AA225,安値!Z225&lt;安値!AB225),21,""))</f>
        <v/>
      </c>
      <c r="V225" s="503" t="str">
        <f>IF(終値!A225="","",IF(AND(安値!AA225&lt;安値!Z225,安値!AA225&lt;安値!Y225,安値!AA225&lt;安値!AB225,安値!AA225&lt;安値!AC225),22,""))</f>
        <v/>
      </c>
      <c r="W225" s="503" t="str">
        <f>IF(終値!A225="","",IF(AND(安値!AB225&lt;安値!AA225,安値!AB225&lt;安値!Z225,安値!AB225&lt;安値!AC225,安値!AB225&lt;安値!AD225),23,""))</f>
        <v/>
      </c>
      <c r="X225" s="503" t="str">
        <f>IF(終値!A225="","",IF(AND(安値!AC225&lt;安値!AB225,安値!AC225&lt;安値!AA225,安値!AC225&lt;安値!AD225,安値!AC225&lt;安値!AE225),24,""))</f>
        <v/>
      </c>
      <c r="Y225" s="503" t="str">
        <f>IF(終値!A225="","",IF(AND(安値!AD225&lt;安値!AC225,安値!AD225&lt;安値!AB225,安値!AD225&lt;安値!AE225,安値!AD225&lt;安値!AF225),25,""))</f>
        <v/>
      </c>
      <c r="Z225" s="503">
        <f>IF(終値!A225="","",IF(AND(安値!AE225&lt;安値!AD225,安値!AE225&lt;安値!AC225,安値!AE225&lt;安値!AF225,安値!AE225&lt;安値!AG225),26,""))</f>
        <v>26</v>
      </c>
      <c r="AA225" s="503" t="str">
        <f>IF(終値!A225="","",IF(AND(安値!AF225&lt;安値!AE225,安値!AF225&lt;安値!AD225,安値!AF225&lt;安値!AG225,安値!AF225&lt;安値!AH225),27,""))</f>
        <v/>
      </c>
      <c r="AB225" s="503" t="str">
        <f>IF(終値!A225="","",IF(AND(安値!AG225&lt;安値!AF225,安値!AG225&lt;安値!AE225,安値!AG225&lt;安値!AH225,安値!AG225&lt;安値!AI225),28,""))</f>
        <v/>
      </c>
      <c r="AC225" s="503" t="str">
        <f>IF(終値!A225="","",IF(AND(高値!G225&gt;高値!F225,高値!G225&gt;高値!E225,高値!G225&gt;高値!H225,高値!G225&gt;高値!I225),2,""))</f>
        <v/>
      </c>
      <c r="AD225" s="503" t="str">
        <f>IF(終値!A225="","",IF(AND(高値!H225&gt;高値!G225,高値!H225&gt;高値!F225,高値!H225&gt;高値!I225,高値!H225&gt;高値!J225),3,""))</f>
        <v/>
      </c>
      <c r="AE225" s="503" t="str">
        <f>IF(終値!A225="","",IF(AND(高値!I225&gt;高値!H225,高値!I225&gt;高値!G225,高値!I225&gt;高値!J225,高値!I225&gt;高値!K225),4,""))</f>
        <v/>
      </c>
      <c r="AF225" s="503" t="str">
        <f>IF(終値!A225="","",IF(AND(高値!J225&gt;高値!I225,高値!J225&gt;高値!H225,高値!J225&gt;高値!K225,高値!J225&gt;高値!L225),5,""))</f>
        <v/>
      </c>
      <c r="AG225" s="503" t="str">
        <f>IF(終値!A225="","",IF(AND(高値!K225&gt;高値!J225,高値!K225&gt;高値!I225,高値!K225&gt;高値!L225,高値!K225&gt;高値!M225),6,""))</f>
        <v/>
      </c>
      <c r="AH225" s="503" t="str">
        <f>IF(終値!A225="","",IF(AND(高値!L225&gt;高値!K225,高値!L225&gt;高値!J225,高値!L225&gt;高値!M225,高値!L225&gt;高値!N225),7,""))</f>
        <v/>
      </c>
      <c r="AI225" s="503" t="str">
        <f>IF(終値!A225="","",IF(AND(高値!M225&gt;高値!L225,高値!M225&gt;高値!K225,高値!M225&gt;高値!N225,高値!M225&gt;高値!O225),8,""))</f>
        <v/>
      </c>
      <c r="AJ225" s="503" t="str">
        <f>IF(終値!A225="","",IF(AND(高値!N225&gt;高値!M225,高値!N225&gt;高値!L225,高値!N225&gt;高値!O225,高値!N225&gt;高値!P225),9,""))</f>
        <v/>
      </c>
      <c r="AK225" s="503">
        <f>IF(終値!A225="","",IF(AND(高値!O225&gt;高値!N225,高値!O225&gt;高値!M225,高値!O225&gt;高値!P225,高値!O225&gt;高値!Q225),10,""))</f>
        <v>10</v>
      </c>
      <c r="AL225" s="503" t="str">
        <f>IF(終値!A225="","",IF(AND(高値!P225&gt;高値!O225,高値!P225&gt;高値!N225,高値!P225&gt;高値!Q225,高値!P225&gt;高値!R225),11,""))</f>
        <v/>
      </c>
      <c r="AM225" s="503" t="str">
        <f>IF(終値!A225="","",IF(AND(高値!Q225&gt;高値!P225,高値!Q225&gt;高値!O225,高値!Q225&gt;高値!R225,高値!Q225&gt;高値!S225),12,""))</f>
        <v/>
      </c>
      <c r="AN225" s="503" t="str">
        <f>IF(終値!A225="","",IF(AND(高値!R225&gt;高値!Q225,高値!R225&gt;高値!P225,高値!R225&gt;高値!S225,高値!R225&gt;高値!T225),13,""))</f>
        <v/>
      </c>
      <c r="AO225" s="503">
        <f>IF(終値!A225="","",IF(AND(高値!S225&gt;高値!R225,高値!S225&gt;高値!Q225,高値!S225&gt;高値!T225,高値!S225&gt;高値!U225),14,""))</f>
        <v>14</v>
      </c>
      <c r="AP225" s="503" t="str">
        <f>IF(終値!A225="","",IF(AND(高値!T225&gt;高値!S225,高値!T225&gt;高値!R225,高値!T225&gt;高値!U225,高値!T225&gt;高値!V225),15,""))</f>
        <v/>
      </c>
      <c r="AQ225" s="503" t="str">
        <f>IF(終値!A225="","",IF(AND(高値!U225&gt;高値!T225,高値!U225&gt;高値!S225,高値!U225&gt;高値!V225,高値!U225&gt;高値!W225),16,""))</f>
        <v/>
      </c>
      <c r="AR225" s="503" t="str">
        <f>IF(終値!A225="","",IF(AND(高値!V225&gt;高値!U225,高値!V225&gt;高値!T225,高値!V225&gt;高値!W225,高値!V225&gt;高値!X225),17,""))</f>
        <v/>
      </c>
      <c r="AS225" s="503" t="str">
        <f>IF(終値!A225="","",IF(AND(高値!W225&gt;高値!V225,高値!W225&gt;高値!U225,高値!W225&gt;高値!X225,高値!W225&gt;高値!Y225),18,""))</f>
        <v/>
      </c>
      <c r="AT225" s="503" t="str">
        <f>IF(終値!A225="","",IF(AND(高値!X225&gt;高値!W225,高値!X225&gt;高値!V225,高値!X225&gt;高値!Y225,高値!X225&gt;高値!Z225),19,""))</f>
        <v/>
      </c>
      <c r="AU225" s="503" t="str">
        <f>IF(終値!A225="","",IF(AND(高値!Y225&gt;高値!X225,高値!Y225&gt;高値!W225,高値!Y225&gt;高値!Z225,高値!Y225&gt;高値!AA225),20,""))</f>
        <v/>
      </c>
      <c r="AV225" s="503">
        <f>IF(終値!A225="","",IF(AND(高値!Z225&gt;高値!Y225,高値!Z225&gt;高値!X225,高値!Z225&gt;高値!AA225,高値!Z225&gt;高値!AB225),21,""))</f>
        <v>21</v>
      </c>
      <c r="AW225" s="503" t="str">
        <f>IF(終値!A225="","",IF(AND(高値!AA225&gt;高値!Z225,高値!AA225&gt;高値!Y225,高値!AA225&gt;高値!AB225,高値!AA225&gt;高値!AC225),22,""))</f>
        <v/>
      </c>
      <c r="AX225" s="503" t="str">
        <f>IF(終値!A225="","",IF(AND(高値!AB225&gt;高値!AA225,高値!AB225&gt;高値!Z225,高値!AB225&gt;高値!AC225,高値!AB225&gt;高値!AD225),23,""))</f>
        <v/>
      </c>
      <c r="AY225" s="503" t="str">
        <f>IF(終値!A225="","",IF(AND(高値!AC225&gt;高値!AB225,高値!AC225&gt;高値!AA225,高値!AC225&gt;高値!AD225,高値!AC225&gt;高値!AE225),24,""))</f>
        <v/>
      </c>
      <c r="AZ225" s="503" t="str">
        <f>IF(終値!A225="","",IF(AND(高値!AD225&gt;高値!AC225,高値!AD225&gt;高値!AB225,高値!AD225&gt;高値!AE225,高値!AD225&gt;高値!AF225),25,""))</f>
        <v/>
      </c>
      <c r="BA225" s="503" t="str">
        <f>IF(終値!A225="","",IF(AND(高値!AE225&gt;高値!AD225,高値!AE225&gt;高値!AC225,高値!AE225&gt;高値!AF225,高値!AE225&gt;高値!AG225),26,""))</f>
        <v/>
      </c>
      <c r="BB225" s="503" t="str">
        <f>IF(終値!A225="","",IF(AND(高値!AF225&gt;高値!AE225,高値!AF225&gt;高値!AD225,高値!AF225&gt;高値!AG225,高値!AF225&gt;高値!AH225),27,""))</f>
        <v/>
      </c>
      <c r="BC225" s="503">
        <f>IF(終値!A225="","",IF(AND(高値!AG225&gt;高値!AF225,高値!AG225&gt;高値!AE225,高値!AG225&gt;高値!AH225,高値!AG225&gt;高値!AI225),28,""))</f>
        <v>28</v>
      </c>
      <c r="BD225" s="503">
        <f t="shared" si="18"/>
        <v>4</v>
      </c>
      <c r="BE225" s="503">
        <f t="shared" si="19"/>
        <v>6</v>
      </c>
      <c r="BF225" s="503">
        <f t="shared" si="20"/>
        <v>13</v>
      </c>
      <c r="BG225" s="503">
        <f>IF($BE225="","",INDEX(安値!$E225:$CZ225,1,$BE225+1))</f>
        <v>1521</v>
      </c>
      <c r="BH225" s="503">
        <f>IF($BF225="","",INDEX(安値!$E225:$CZ225,1,$BF225+1))</f>
        <v>1710</v>
      </c>
      <c r="BI225" s="503">
        <f>IF($BF225="","",MAX(INDEX(高値!$E225:$CZ225,1,$BE225+1):INDEX(高値!$E225:$CZ225,1,$BF225+1)))</f>
        <v>1943</v>
      </c>
      <c r="BJ225" s="503">
        <f>IF($BF225="","",AVERAGE(INDEX(終値!$E225:$CZ225,1,$BF225+1):INDEX(終値!$E225:$CZ225,1,$BF225+20))-2*STDEVP(INDEX(終値!$E225:$CZ225,1,$BF225+1):INDEX(終値!$E225:$CZ225,1,$BF225+20)))</f>
        <v>1788.2492352410293</v>
      </c>
      <c r="BK225" s="503">
        <f>IF($BE225="","",AVERAGE(INDEX(終値!$E225:$CZ225,1,$BE225+1):INDEX(終値!$E225:$CZ225,1,$BE225+20))-2*STDEVP(INDEX(終値!$E225:$CZ225,1,$BE225+1):INDEX(終値!$E225:$CZ225,1,$BE225+20)))</f>
        <v>1642.7793021316725</v>
      </c>
      <c r="BL225" s="503">
        <f t="shared" si="21"/>
        <v>4</v>
      </c>
      <c r="BM225" s="503">
        <f t="shared" si="22"/>
        <v>10</v>
      </c>
      <c r="BN225" s="503">
        <f t="shared" si="23"/>
        <v>14</v>
      </c>
      <c r="BO225" s="503">
        <f>IF($BM225="","",INDEX(高値!$E225:$CZ225,1,$BM225+1))</f>
        <v>1943</v>
      </c>
      <c r="BP225" s="503">
        <f>IF($BN225="","",INDEX(高値!$E225:$CZ225,1,$BN225+1))</f>
        <v>2081</v>
      </c>
      <c r="BQ225" s="503">
        <f>IF($BN225="","",MIN(INDEX(安値!$E225:$CZ225,1,$BM225+1):INDEX(安値!$E225:$CZ225,1,$BN225+1)))</f>
        <v>1710</v>
      </c>
      <c r="BR225" s="503">
        <f>IF($BN225="","",AVERAGE(INDEX(終値!$E225:$CZ225,1,$BN225+1):INDEX(終値!$E225:$CZ225,1,$BN225+20))+2*STDEVP(INDEX(終値!$E225:$CZ225,1,$BN225+1):INDEX(終値!$E225:$CZ225,1,$BN225+20)))</f>
        <v>2424.5508713824343</v>
      </c>
      <c r="BS225" s="503">
        <f>IF($BM225="","",AVERAGE(INDEX(終値!$E225:$CZ225,1,$BM225+1):INDEX(終値!$E225:$CZ225,1,$BM225+20))+2*STDEVP(INDEX(終値!$E225:$CZ225,1,$BM225+1):INDEX(終値!$E225:$CZ225,1,$BM225+20)))</f>
        <v>2308.9678014360347</v>
      </c>
      <c r="BT225" s="500"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3" t="str">
        <f>IF(終値!A226="","",IF(AND(安値!G226&lt;安値!F226,安値!G226&lt;安値!E226,安値!G226&lt;安値!H226,安値!G226&lt;安値!I226),2,""))</f>
        <v/>
      </c>
      <c r="C226" s="503" t="str">
        <f>IF(終値!A226="","",IF(AND(安値!H226&lt;安値!G226,安値!H226&lt;安値!F226,安値!H226&lt;安値!I226,安値!H226&lt;安値!J226),3,""))</f>
        <v/>
      </c>
      <c r="D226" s="503">
        <f>IF(終値!A226="","",IF(AND(安値!I226&lt;安値!H226,安値!I226&lt;安値!G226,安値!I226&lt;安値!J226,安値!I226&lt;安値!K226),4,""))</f>
        <v>4</v>
      </c>
      <c r="E226" s="503" t="str">
        <f>IF(終値!A226="","",IF(AND(安値!J226&lt;安値!I226,安値!J226&lt;安値!H226,安値!J226&lt;安値!K226,安値!J226&lt;安値!L226),5,""))</f>
        <v/>
      </c>
      <c r="F226" s="503" t="str">
        <f>IF(終値!A226="","",IF(AND(安値!K226&lt;安値!J226,安値!K226&lt;安値!I226,安値!K226&lt;安値!L226,安値!K226&lt;安値!M226),6,""))</f>
        <v/>
      </c>
      <c r="G226" s="503" t="str">
        <f>IF(終値!A226="","",IF(AND(安値!L226&lt;安値!K226,安値!L226&lt;安値!J226,安値!L226&lt;安値!M226,安値!L226&lt;安値!N226),7,""))</f>
        <v/>
      </c>
      <c r="H226" s="503" t="str">
        <f>IF(終値!A226="","",IF(AND(安値!M226&lt;安値!L226,安値!M226&lt;安値!K226,安値!M226&lt;安値!N226,安値!M226&lt;安値!O226),8,""))</f>
        <v/>
      </c>
      <c r="I226" s="503">
        <f>IF(終値!A226="","",IF(AND(安値!N226&lt;安値!M226,安値!N226&lt;安値!L226,安値!N226&lt;安値!O226,安値!N226&lt;安値!P226),9,""))</f>
        <v>9</v>
      </c>
      <c r="J226" s="503" t="str">
        <f>IF(終値!A226="","",IF(AND(安値!O226&lt;安値!N226,安値!O226&lt;安値!M226,安値!O226&lt;安値!P226,安値!O226&lt;安値!Q226),10,""))</f>
        <v/>
      </c>
      <c r="K226" s="503" t="str">
        <f>IF(終値!A226="","",IF(AND(安値!P226&lt;安値!O226,安値!P226&lt;安値!N226,安値!P226&lt;安値!Q226,安値!P226&lt;安値!R226),11,""))</f>
        <v/>
      </c>
      <c r="L226" s="503" t="str">
        <f>IF(終値!A226="","",IF(AND(安値!Q226&lt;安値!P226,安値!Q226&lt;安値!O226,安値!Q226&lt;安値!R226,安値!Q226&lt;安値!S226),12,""))</f>
        <v/>
      </c>
      <c r="M226" s="503" t="str">
        <f>IF(終値!A226="","",IF(AND(安値!R226&lt;安値!Q226,安値!R226&lt;安値!P226,安値!R226&lt;安値!S226,安値!R226&lt;安値!T226),13,""))</f>
        <v/>
      </c>
      <c r="N226" s="503" t="str">
        <f>IF(終値!A226="","",IF(AND(安値!S226&lt;安値!R226,安値!S226&lt;安値!Q226,安値!S226&lt;安値!T226,安値!S226&lt;安値!U226),14,""))</f>
        <v/>
      </c>
      <c r="O226" s="503" t="str">
        <f>IF(終値!A226="","",IF(AND(安値!T226&lt;安値!S226,安値!T226&lt;安値!R226,安値!T226&lt;安値!U226,安値!T226&lt;安値!V226),15,""))</f>
        <v/>
      </c>
      <c r="P226" s="503" t="str">
        <f>IF(終値!A226="","",IF(AND(安値!U226&lt;安値!T226,安値!U226&lt;安値!S226,安値!U226&lt;安値!V226,安値!U226&lt;安値!W226),16,""))</f>
        <v/>
      </c>
      <c r="Q226" s="503">
        <f>IF(終値!A226="","",IF(AND(安値!V226&lt;安値!U226,安値!V226&lt;安値!T226,安値!V226&lt;安値!W226,安値!V226&lt;安値!X226),17,""))</f>
        <v>17</v>
      </c>
      <c r="R226" s="503" t="str">
        <f>IF(終値!A226="","",IF(AND(安値!W226&lt;安値!V226,安値!W226&lt;安値!U226,安値!W226&lt;安値!X226,安値!W226&lt;安値!Y226),18,""))</f>
        <v/>
      </c>
      <c r="S226" s="503" t="str">
        <f>IF(終値!A226="","",IF(AND(安値!X226&lt;安値!W226,安値!X226&lt;安値!V226,安値!X226&lt;安値!Y226,安値!X226&lt;安値!Z226),19,""))</f>
        <v/>
      </c>
      <c r="T226" s="503" t="str">
        <f>IF(終値!A226="","",IF(AND(安値!Y226&lt;安値!X226,安値!Y226&lt;安値!W226,安値!Y226&lt;安値!Z226,安値!Y226&lt;安値!AA226),20,""))</f>
        <v/>
      </c>
      <c r="U226" s="503" t="str">
        <f>IF(終値!A226="","",IF(AND(安値!Z226&lt;安値!Y226,安値!Z226&lt;安値!X226,安値!Z226&lt;安値!AA226,安値!Z226&lt;安値!AB226),21,""))</f>
        <v/>
      </c>
      <c r="V226" s="503" t="str">
        <f>IF(終値!A226="","",IF(AND(安値!AA226&lt;安値!Z226,安値!AA226&lt;安値!Y226,安値!AA226&lt;安値!AB226,安値!AA226&lt;安値!AC226),22,""))</f>
        <v/>
      </c>
      <c r="W226" s="503" t="str">
        <f>IF(終値!A226="","",IF(AND(安値!AB226&lt;安値!AA226,安値!AB226&lt;安値!Z226,安値!AB226&lt;安値!AC226,安値!AB226&lt;安値!AD226),23,""))</f>
        <v/>
      </c>
      <c r="X226" s="503">
        <f>IF(終値!A226="","",IF(AND(安値!AC226&lt;安値!AB226,安値!AC226&lt;安値!AA226,安値!AC226&lt;安値!AD226,安値!AC226&lt;安値!AE226),24,""))</f>
        <v>24</v>
      </c>
      <c r="Y226" s="503" t="str">
        <f>IF(終値!A226="","",IF(AND(安値!AD226&lt;安値!AC226,安値!AD226&lt;安値!AB226,安値!AD226&lt;安値!AE226,安値!AD226&lt;安値!AF226),25,""))</f>
        <v/>
      </c>
      <c r="Z226" s="503" t="str">
        <f>IF(終値!A226="","",IF(AND(安値!AE226&lt;安値!AD226,安値!AE226&lt;安値!AC226,安値!AE226&lt;安値!AF226,安値!AE226&lt;安値!AG226),26,""))</f>
        <v/>
      </c>
      <c r="AA226" s="503" t="str">
        <f>IF(終値!A226="","",IF(AND(安値!AF226&lt;安値!AE226,安値!AF226&lt;安値!AD226,安値!AF226&lt;安値!AG226,安値!AF226&lt;安値!AH226),27,""))</f>
        <v/>
      </c>
      <c r="AB226" s="503" t="str">
        <f>IF(終値!A226="","",IF(AND(安値!AG226&lt;安値!AF226,安値!AG226&lt;安値!AE226,安値!AG226&lt;安値!AH226,安値!AG226&lt;安値!AI226),28,""))</f>
        <v/>
      </c>
      <c r="AC226" s="503" t="str">
        <f>IF(終値!A226="","",IF(AND(高値!G226&gt;高値!F226,高値!G226&gt;高値!E226,高値!G226&gt;高値!H226,高値!G226&gt;高値!I226),2,""))</f>
        <v/>
      </c>
      <c r="AD226" s="503" t="str">
        <f>IF(終値!A226="","",IF(AND(高値!H226&gt;高値!G226,高値!H226&gt;高値!F226,高値!H226&gt;高値!I226,高値!H226&gt;高値!J226),3,""))</f>
        <v/>
      </c>
      <c r="AE226" s="503" t="str">
        <f>IF(終値!A226="","",IF(AND(高値!I226&gt;高値!H226,高値!I226&gt;高値!G226,高値!I226&gt;高値!J226,高値!I226&gt;高値!K226),4,""))</f>
        <v/>
      </c>
      <c r="AF226" s="503" t="str">
        <f>IF(終値!A226="","",IF(AND(高値!J226&gt;高値!I226,高値!J226&gt;高値!H226,高値!J226&gt;高値!K226,高値!J226&gt;高値!L226),5,""))</f>
        <v/>
      </c>
      <c r="AG226" s="503">
        <f>IF(終値!A226="","",IF(AND(高値!K226&gt;高値!J226,高値!K226&gt;高値!I226,高値!K226&gt;高値!L226,高値!K226&gt;高値!M226),6,""))</f>
        <v>6</v>
      </c>
      <c r="AH226" s="503" t="str">
        <f>IF(終値!A226="","",IF(AND(高値!L226&gt;高値!K226,高値!L226&gt;高値!J226,高値!L226&gt;高値!M226,高値!L226&gt;高値!N226),7,""))</f>
        <v/>
      </c>
      <c r="AI226" s="503" t="str">
        <f>IF(終値!A226="","",IF(AND(高値!M226&gt;高値!L226,高値!M226&gt;高値!K226,高値!M226&gt;高値!N226,高値!M226&gt;高値!O226),8,""))</f>
        <v/>
      </c>
      <c r="AJ226" s="503" t="str">
        <f>IF(終値!A226="","",IF(AND(高値!N226&gt;高値!M226,高値!N226&gt;高値!L226,高値!N226&gt;高値!O226,高値!N226&gt;高値!P226),9,""))</f>
        <v/>
      </c>
      <c r="AK226" s="503" t="str">
        <f>IF(終値!A226="","",IF(AND(高値!O226&gt;高値!N226,高値!O226&gt;高値!M226,高値!O226&gt;高値!P226,高値!O226&gt;高値!Q226),10,""))</f>
        <v/>
      </c>
      <c r="AL226" s="503" t="str">
        <f>IF(終値!A226="","",IF(AND(高値!P226&gt;高値!O226,高値!P226&gt;高値!N226,高値!P226&gt;高値!Q226,高値!P226&gt;高値!R226),11,""))</f>
        <v/>
      </c>
      <c r="AM226" s="503">
        <f>IF(終値!A226="","",IF(AND(高値!Q226&gt;高値!P226,高値!Q226&gt;高値!O226,高値!Q226&gt;高値!R226,高値!Q226&gt;高値!S226),12,""))</f>
        <v>12</v>
      </c>
      <c r="AN226" s="503" t="str">
        <f>IF(終値!A226="","",IF(AND(高値!R226&gt;高値!Q226,高値!R226&gt;高値!P226,高値!R226&gt;高値!S226,高値!R226&gt;高値!T226),13,""))</f>
        <v/>
      </c>
      <c r="AO226" s="503" t="str">
        <f>IF(終値!A226="","",IF(AND(高値!S226&gt;高値!R226,高値!S226&gt;高値!Q226,高値!S226&gt;高値!T226,高値!S226&gt;高値!U226),14,""))</f>
        <v/>
      </c>
      <c r="AP226" s="503" t="str">
        <f>IF(終値!A226="","",IF(AND(高値!T226&gt;高値!S226,高値!T226&gt;高値!R226,高値!T226&gt;高値!U226,高値!T226&gt;高値!V226),15,""))</f>
        <v/>
      </c>
      <c r="AQ226" s="503" t="str">
        <f>IF(終値!A226="","",IF(AND(高値!U226&gt;高値!T226,高値!U226&gt;高値!S226,高値!U226&gt;高値!V226,高値!U226&gt;高値!W226),16,""))</f>
        <v/>
      </c>
      <c r="AR226" s="503" t="str">
        <f>IF(終値!A226="","",IF(AND(高値!V226&gt;高値!U226,高値!V226&gt;高値!T226,高値!V226&gt;高値!W226,高値!V226&gt;高値!X226),17,""))</f>
        <v/>
      </c>
      <c r="AS226" s="503" t="str">
        <f>IF(終値!A226="","",IF(AND(高値!W226&gt;高値!V226,高値!W226&gt;高値!U226,高値!W226&gt;高値!X226,高値!W226&gt;高値!Y226),18,""))</f>
        <v/>
      </c>
      <c r="AT226" s="503">
        <f>IF(終値!A226="","",IF(AND(高値!X226&gt;高値!W226,高値!X226&gt;高値!V226,高値!X226&gt;高値!Y226,高値!X226&gt;高値!Z226),19,""))</f>
        <v>19</v>
      </c>
      <c r="AU226" s="503" t="str">
        <f>IF(終値!A226="","",IF(AND(高値!Y226&gt;高値!X226,高値!Y226&gt;高値!W226,高値!Y226&gt;高値!Z226,高値!Y226&gt;高値!AA226),20,""))</f>
        <v/>
      </c>
      <c r="AV226" s="503" t="str">
        <f>IF(終値!A226="","",IF(AND(高値!Z226&gt;高値!Y226,高値!Z226&gt;高値!X226,高値!Z226&gt;高値!AA226,高値!Z226&gt;高値!AB226),21,""))</f>
        <v/>
      </c>
      <c r="AW226" s="503" t="str">
        <f>IF(終値!A226="","",IF(AND(高値!AA226&gt;高値!Z226,高値!AA226&gt;高値!Y226,高値!AA226&gt;高値!AB226,高値!AA226&gt;高値!AC226),22,""))</f>
        <v/>
      </c>
      <c r="AX226" s="503" t="str">
        <f>IF(終値!A226="","",IF(AND(高値!AB226&gt;高値!AA226,高値!AB226&gt;高値!Z226,高値!AB226&gt;高値!AC226,高値!AB226&gt;高値!AD226),23,""))</f>
        <v/>
      </c>
      <c r="AY226" s="503" t="str">
        <f>IF(終値!A226="","",IF(AND(高値!AC226&gt;高値!AB226,高値!AC226&gt;高値!AA226,高値!AC226&gt;高値!AD226,高値!AC226&gt;高値!AE226),24,""))</f>
        <v/>
      </c>
      <c r="AZ226" s="503" t="str">
        <f>IF(終値!A226="","",IF(AND(高値!AD226&gt;高値!AC226,高値!AD226&gt;高値!AB226,高値!AD226&gt;高値!AE226,高値!AD226&gt;高値!AF226),25,""))</f>
        <v/>
      </c>
      <c r="BA226" s="503">
        <f>IF(終値!A226="","",IF(AND(高値!AE226&gt;高値!AD226,高値!AE226&gt;高値!AC226,高値!AE226&gt;高値!AF226,高値!AE226&gt;高値!AG226),26,""))</f>
        <v>26</v>
      </c>
      <c r="BB226" s="503" t="str">
        <f>IF(終値!A226="","",IF(AND(高値!AF226&gt;高値!AE226,高値!AF226&gt;高値!AD226,高値!AF226&gt;高値!AG226,高値!AF226&gt;高値!AH226),27,""))</f>
        <v/>
      </c>
      <c r="BC226" s="503" t="str">
        <f>IF(終値!A226="","",IF(AND(高値!AG226&gt;高値!AF226,高値!AG226&gt;高値!AE226,高値!AG226&gt;高値!AH226,高値!AG226&gt;高値!AI226),28,""))</f>
        <v/>
      </c>
      <c r="BD226" s="503">
        <f t="shared" si="18"/>
        <v>4</v>
      </c>
      <c r="BE226" s="503">
        <f t="shared" si="19"/>
        <v>4</v>
      </c>
      <c r="BF226" s="503">
        <f t="shared" si="20"/>
        <v>9</v>
      </c>
      <c r="BG226" s="503">
        <f>IF($BE226="","",INDEX(安値!$E226:$CZ226,1,$BE226+1))</f>
        <v>2679</v>
      </c>
      <c r="BH226" s="503">
        <f>IF($BF226="","",INDEX(安値!$E226:$CZ226,1,$BF226+1))</f>
        <v>2675</v>
      </c>
      <c r="BI226" s="503">
        <f>IF($BF226="","",MAX(INDEX(高値!$E226:$CZ226,1,$BE226+1):INDEX(高値!$E226:$CZ226,1,$BF226+1)))</f>
        <v>2930.5</v>
      </c>
      <c r="BJ226" s="503">
        <f>IF($BF226="","",AVERAGE(INDEX(終値!$E226:$CZ226,1,$BF226+1):INDEX(終値!$E226:$CZ226,1,$BF226+20))-2*STDEVP(INDEX(終値!$E226:$CZ226,1,$BF226+1):INDEX(終値!$E226:$CZ226,1,$BF226+20)))</f>
        <v>2687.1466749361998</v>
      </c>
      <c r="BK226" s="503">
        <f>IF($BE226="","",AVERAGE(INDEX(終値!$E226:$CZ226,1,$BE226+1):INDEX(終値!$E226:$CZ226,1,$BE226+20))-2*STDEVP(INDEX(終値!$E226:$CZ226,1,$BE226+1):INDEX(終値!$E226:$CZ226,1,$BE226+20)))</f>
        <v>2737.7735442903459</v>
      </c>
      <c r="BL226" s="503">
        <f t="shared" si="21"/>
        <v>4</v>
      </c>
      <c r="BM226" s="503">
        <f t="shared" si="22"/>
        <v>6</v>
      </c>
      <c r="BN226" s="503">
        <f t="shared" si="23"/>
        <v>12</v>
      </c>
      <c r="BO226" s="503">
        <f>IF($BM226="","",INDEX(高値!$E226:$CZ226,1,$BM226+1))</f>
        <v>2930.5</v>
      </c>
      <c r="BP226" s="503">
        <f>IF($BN226="","",INDEX(高値!$E226:$CZ226,1,$BN226+1))</f>
        <v>2885</v>
      </c>
      <c r="BQ226" s="503">
        <f>IF($BN226="","",MIN(INDEX(安値!$E226:$CZ226,1,$BM226+1):INDEX(安値!$E226:$CZ226,1,$BN226+1)))</f>
        <v>2675</v>
      </c>
      <c r="BR226" s="503">
        <f>IF($BN226="","",AVERAGE(INDEX(終値!$E226:$CZ226,1,$BN226+1):INDEX(終値!$E226:$CZ226,1,$BN226+20))+2*STDEVP(INDEX(終値!$E226:$CZ226,1,$BN226+1):INDEX(終値!$E226:$CZ226,1,$BN226+20)))</f>
        <v>2933.8633297557394</v>
      </c>
      <c r="BS226" s="503">
        <f>IF($BM226="","",AVERAGE(INDEX(終値!$E226:$CZ226,1,$BM226+1):INDEX(終値!$E226:$CZ226,1,$BM226+20))+2*STDEVP(INDEX(終値!$E226:$CZ226,1,$BM226+1):INDEX(終値!$E226:$CZ226,1,$BM226+20)))</f>
        <v>2935.5433074954303</v>
      </c>
      <c r="BT226" s="500"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二番底W形成</v>
      </c>
    </row>
    <row r="227" spans="2:72">
      <c r="B227" s="503" t="str">
        <f>IF(終値!A227="","",IF(AND(安値!G227&lt;安値!F227,安値!G227&lt;安値!E227,安値!G227&lt;安値!H227,安値!G227&lt;安値!I227),2,""))</f>
        <v/>
      </c>
      <c r="C227" s="503">
        <f>IF(終値!A227="","",IF(AND(安値!H227&lt;安値!G227,安値!H227&lt;安値!F227,安値!H227&lt;安値!I227,安値!H227&lt;安値!J227),3,""))</f>
        <v>3</v>
      </c>
      <c r="D227" s="503" t="str">
        <f>IF(終値!A227="","",IF(AND(安値!I227&lt;安値!H227,安値!I227&lt;安値!G227,安値!I227&lt;安値!J227,安値!I227&lt;安値!K227),4,""))</f>
        <v/>
      </c>
      <c r="E227" s="503" t="str">
        <f>IF(終値!A227="","",IF(AND(安値!J227&lt;安値!I227,安値!J227&lt;安値!H227,安値!J227&lt;安値!K227,安値!J227&lt;安値!L227),5,""))</f>
        <v/>
      </c>
      <c r="F227" s="503">
        <f>IF(終値!A227="","",IF(AND(安値!K227&lt;安値!J227,安値!K227&lt;安値!I227,安値!K227&lt;安値!L227,安値!K227&lt;安値!M227),6,""))</f>
        <v>6</v>
      </c>
      <c r="G227" s="503" t="str">
        <f>IF(終値!A227="","",IF(AND(安値!L227&lt;安値!K227,安値!L227&lt;安値!J227,安値!L227&lt;安値!M227,安値!L227&lt;安値!N227),7,""))</f>
        <v/>
      </c>
      <c r="H227" s="503" t="str">
        <f>IF(終値!A227="","",IF(AND(安値!M227&lt;安値!L227,安値!M227&lt;安値!K227,安値!M227&lt;安値!N227,安値!M227&lt;安値!O227),8,""))</f>
        <v/>
      </c>
      <c r="I227" s="503" t="str">
        <f>IF(終値!A227="","",IF(AND(安値!N227&lt;安値!M227,安値!N227&lt;安値!L227,安値!N227&lt;安値!O227,安値!N227&lt;安値!P227),9,""))</f>
        <v/>
      </c>
      <c r="J227" s="503" t="str">
        <f>IF(終値!A227="","",IF(AND(安値!O227&lt;安値!N227,安値!O227&lt;安値!M227,安値!O227&lt;安値!P227,安値!O227&lt;安値!Q227),10,""))</f>
        <v/>
      </c>
      <c r="K227" s="503" t="str">
        <f>IF(終値!A227="","",IF(AND(安値!P227&lt;安値!O227,安値!P227&lt;安値!N227,安値!P227&lt;安値!Q227,安値!P227&lt;安値!R227),11,""))</f>
        <v/>
      </c>
      <c r="L227" s="503" t="str">
        <f>IF(終値!A227="","",IF(AND(安値!Q227&lt;安値!P227,安値!Q227&lt;安値!O227,安値!Q227&lt;安値!R227,安値!Q227&lt;安値!S227),12,""))</f>
        <v/>
      </c>
      <c r="M227" s="503">
        <f>IF(終値!A227="","",IF(AND(安値!R227&lt;安値!Q227,安値!R227&lt;安値!P227,安値!R227&lt;安値!S227,安値!R227&lt;安値!T227),13,""))</f>
        <v>13</v>
      </c>
      <c r="N227" s="503" t="str">
        <f>IF(終値!A227="","",IF(AND(安値!S227&lt;安値!R227,安値!S227&lt;安値!Q227,安値!S227&lt;安値!T227,安値!S227&lt;安値!U227),14,""))</f>
        <v/>
      </c>
      <c r="O227" s="503" t="str">
        <f>IF(終値!A227="","",IF(AND(安値!T227&lt;安値!S227,安値!T227&lt;安値!R227,安値!T227&lt;安値!U227,安値!T227&lt;安値!V227),15,""))</f>
        <v/>
      </c>
      <c r="P227" s="503" t="str">
        <f>IF(終値!A227="","",IF(AND(安値!U227&lt;安値!T227,安値!U227&lt;安値!S227,安値!U227&lt;安値!V227,安値!U227&lt;安値!W227),16,""))</f>
        <v/>
      </c>
      <c r="Q227" s="503" t="str">
        <f>IF(終値!A227="","",IF(AND(安値!V227&lt;安値!U227,安値!V227&lt;安値!T227,安値!V227&lt;安値!W227,安値!V227&lt;安値!X227),17,""))</f>
        <v/>
      </c>
      <c r="R227" s="503" t="str">
        <f>IF(終値!A227="","",IF(AND(安値!W227&lt;安値!V227,安値!W227&lt;安値!U227,安値!W227&lt;安値!X227,安値!W227&lt;安値!Y227),18,""))</f>
        <v/>
      </c>
      <c r="S227" s="503" t="str">
        <f>IF(終値!A227="","",IF(AND(安値!X227&lt;安値!W227,安値!X227&lt;安値!V227,安値!X227&lt;安値!Y227,安値!X227&lt;安値!Z227),19,""))</f>
        <v/>
      </c>
      <c r="T227" s="503" t="str">
        <f>IF(終値!A227="","",IF(AND(安値!Y227&lt;安値!X227,安値!Y227&lt;安値!W227,安値!Y227&lt;安値!Z227,安値!Y227&lt;安値!AA227),20,""))</f>
        <v/>
      </c>
      <c r="U227" s="503" t="str">
        <f>IF(終値!A227="","",IF(AND(安値!Z227&lt;安値!Y227,安値!Z227&lt;安値!X227,安値!Z227&lt;安値!AA227,安値!Z227&lt;安値!AB227),21,""))</f>
        <v/>
      </c>
      <c r="V227" s="503" t="str">
        <f>IF(終値!A227="","",IF(AND(安値!AA227&lt;安値!Z227,安値!AA227&lt;安値!Y227,安値!AA227&lt;安値!AB227,安値!AA227&lt;安値!AC227),22,""))</f>
        <v/>
      </c>
      <c r="W227" s="503">
        <f>IF(終値!A227="","",IF(AND(安値!AB227&lt;安値!AA227,安値!AB227&lt;安値!Z227,安値!AB227&lt;安値!AC227,安値!AB227&lt;安値!AD227),23,""))</f>
        <v>23</v>
      </c>
      <c r="X227" s="503" t="str">
        <f>IF(終値!A227="","",IF(AND(安値!AC227&lt;安値!AB227,安値!AC227&lt;安値!AA227,安値!AC227&lt;安値!AD227,安値!AC227&lt;安値!AE227),24,""))</f>
        <v/>
      </c>
      <c r="Y227" s="503" t="str">
        <f>IF(終値!A227="","",IF(AND(安値!AD227&lt;安値!AC227,安値!AD227&lt;安値!AB227,安値!AD227&lt;安値!AE227,安値!AD227&lt;安値!AF227),25,""))</f>
        <v/>
      </c>
      <c r="Z227" s="503">
        <f>IF(終値!A227="","",IF(AND(安値!AE227&lt;安値!AD227,安値!AE227&lt;安値!AC227,安値!AE227&lt;安値!AF227,安値!AE227&lt;安値!AG227),26,""))</f>
        <v>26</v>
      </c>
      <c r="AA227" s="503" t="str">
        <f>IF(終値!A227="","",IF(AND(安値!AF227&lt;安値!AE227,安値!AF227&lt;安値!AD227,安値!AF227&lt;安値!AG227,安値!AF227&lt;安値!AH227),27,""))</f>
        <v/>
      </c>
      <c r="AB227" s="503" t="str">
        <f>IF(終値!A227="","",IF(AND(安値!AG227&lt;安値!AF227,安値!AG227&lt;安値!AE227,安値!AG227&lt;安値!AH227,安値!AG227&lt;安値!AI227),28,""))</f>
        <v/>
      </c>
      <c r="AC227" s="503" t="str">
        <f>IF(終値!A227="","",IF(AND(高値!G227&gt;高値!F227,高値!G227&gt;高値!E227,高値!G227&gt;高値!H227,高値!G227&gt;高値!I227),2,""))</f>
        <v/>
      </c>
      <c r="AD227" s="503" t="str">
        <f>IF(終値!A227="","",IF(AND(高値!H227&gt;高値!G227,高値!H227&gt;高値!F227,高値!H227&gt;高値!I227,高値!H227&gt;高値!J227),3,""))</f>
        <v/>
      </c>
      <c r="AE227" s="503" t="str">
        <f>IF(終値!A227="","",IF(AND(高値!I227&gt;高値!H227,高値!I227&gt;高値!G227,高値!I227&gt;高値!J227,高値!I227&gt;高値!K227),4,""))</f>
        <v/>
      </c>
      <c r="AF227" s="503">
        <f>IF(終値!A227="","",IF(AND(高値!J227&gt;高値!I227,高値!J227&gt;高値!H227,高値!J227&gt;高値!K227,高値!J227&gt;高値!L227),5,""))</f>
        <v>5</v>
      </c>
      <c r="AG227" s="503" t="str">
        <f>IF(終値!A227="","",IF(AND(高値!K227&gt;高値!J227,高値!K227&gt;高値!I227,高値!K227&gt;高値!L227,高値!K227&gt;高値!M227),6,""))</f>
        <v/>
      </c>
      <c r="AH227" s="503" t="str">
        <f>IF(終値!A227="","",IF(AND(高値!L227&gt;高値!K227,高値!L227&gt;高値!J227,高値!L227&gt;高値!M227,高値!L227&gt;高値!N227),7,""))</f>
        <v/>
      </c>
      <c r="AI227" s="503" t="str">
        <f>IF(終値!A227="","",IF(AND(高値!M227&gt;高値!L227,高値!M227&gt;高値!K227,高値!M227&gt;高値!N227,高値!M227&gt;高値!O227),8,""))</f>
        <v/>
      </c>
      <c r="AJ227" s="503">
        <f>IF(終値!A227="","",IF(AND(高値!N227&gt;高値!M227,高値!N227&gt;高値!L227,高値!N227&gt;高値!O227,高値!N227&gt;高値!P227),9,""))</f>
        <v>9</v>
      </c>
      <c r="AK227" s="503" t="str">
        <f>IF(終値!A227="","",IF(AND(高値!O227&gt;高値!N227,高値!O227&gt;高値!M227,高値!O227&gt;高値!P227,高値!O227&gt;高値!Q227),10,""))</f>
        <v/>
      </c>
      <c r="AL227" s="503" t="str">
        <f>IF(終値!A227="","",IF(AND(高値!P227&gt;高値!O227,高値!P227&gt;高値!N227,高値!P227&gt;高値!Q227,高値!P227&gt;高値!R227),11,""))</f>
        <v/>
      </c>
      <c r="AM227" s="503" t="str">
        <f>IF(終値!A227="","",IF(AND(高値!Q227&gt;高値!P227,高値!Q227&gt;高値!O227,高値!Q227&gt;高値!R227,高値!Q227&gt;高値!S227),12,""))</f>
        <v/>
      </c>
      <c r="AN227" s="503" t="str">
        <f>IF(終値!A227="","",IF(AND(高値!R227&gt;高値!Q227,高値!R227&gt;高値!P227,高値!R227&gt;高値!S227,高値!R227&gt;高値!T227),13,""))</f>
        <v/>
      </c>
      <c r="AO227" s="503" t="str">
        <f>IF(終値!A227="","",IF(AND(高値!S227&gt;高値!R227,高値!S227&gt;高値!Q227,高値!S227&gt;高値!T227,高値!S227&gt;高値!U227),14,""))</f>
        <v/>
      </c>
      <c r="AP227" s="503" t="str">
        <f>IF(終値!A227="","",IF(AND(高値!T227&gt;高値!S227,高値!T227&gt;高値!R227,高値!T227&gt;高値!U227,高値!T227&gt;高値!V227),15,""))</f>
        <v/>
      </c>
      <c r="AQ227" s="503">
        <f>IF(終値!A227="","",IF(AND(高値!U227&gt;高値!T227,高値!U227&gt;高値!S227,高値!U227&gt;高値!V227,高値!U227&gt;高値!W227),16,""))</f>
        <v>16</v>
      </c>
      <c r="AR227" s="503" t="str">
        <f>IF(終値!A227="","",IF(AND(高値!V227&gt;高値!U227,高値!V227&gt;高値!T227,高値!V227&gt;高値!W227,高値!V227&gt;高値!X227),17,""))</f>
        <v/>
      </c>
      <c r="AS227" s="503" t="str">
        <f>IF(終値!A227="","",IF(AND(高値!W227&gt;高値!V227,高値!W227&gt;高値!U227,高値!W227&gt;高値!X227,高値!W227&gt;高値!Y227),18,""))</f>
        <v/>
      </c>
      <c r="AT227" s="503" t="str">
        <f>IF(終値!A227="","",IF(AND(高値!X227&gt;高値!W227,高値!X227&gt;高値!V227,高値!X227&gt;高値!Y227,高値!X227&gt;高値!Z227),19,""))</f>
        <v/>
      </c>
      <c r="AU227" s="503" t="str">
        <f>IF(終値!A227="","",IF(AND(高値!Y227&gt;高値!X227,高値!Y227&gt;高値!W227,高値!Y227&gt;高値!Z227,高値!Y227&gt;高値!AA227),20,""))</f>
        <v/>
      </c>
      <c r="AV227" s="503" t="str">
        <f>IF(終値!A227="","",IF(AND(高値!Z227&gt;高値!Y227,高値!Z227&gt;高値!X227,高値!Z227&gt;高値!AA227,高値!Z227&gt;高値!AB227),21,""))</f>
        <v/>
      </c>
      <c r="AW227" s="503" t="str">
        <f>IF(終値!A227="","",IF(AND(高値!AA227&gt;高値!Z227,高値!AA227&gt;高値!Y227,高値!AA227&gt;高値!AB227,高値!AA227&gt;高値!AC227),22,""))</f>
        <v/>
      </c>
      <c r="AX227" s="503" t="str">
        <f>IF(終値!A227="","",IF(AND(高値!AB227&gt;高値!AA227,高値!AB227&gt;高値!Z227,高値!AB227&gt;高値!AC227,高値!AB227&gt;高値!AD227),23,""))</f>
        <v/>
      </c>
      <c r="AY227" s="503" t="str">
        <f>IF(終値!A227="","",IF(AND(高値!AC227&gt;高値!AB227,高値!AC227&gt;高値!AA227,高値!AC227&gt;高値!AD227,高値!AC227&gt;高値!AE227),24,""))</f>
        <v/>
      </c>
      <c r="AZ227" s="503" t="str">
        <f>IF(終値!A227="","",IF(AND(高値!AD227&gt;高値!AC227,高値!AD227&gt;高値!AB227,高値!AD227&gt;高値!AE227,高値!AD227&gt;高値!AF227),25,""))</f>
        <v/>
      </c>
      <c r="BA227" s="503" t="str">
        <f>IF(終値!A227="","",IF(AND(高値!AE227&gt;高値!AD227,高値!AE227&gt;高値!AC227,高値!AE227&gt;高値!AF227,高値!AE227&gt;高値!AG227),26,""))</f>
        <v/>
      </c>
      <c r="BB227" s="503" t="str">
        <f>IF(終値!A227="","",IF(AND(高値!AF227&gt;高値!AE227,高値!AF227&gt;高値!AD227,高値!AF227&gt;高値!AG227,高値!AF227&gt;高値!AH227),27,""))</f>
        <v/>
      </c>
      <c r="BC227" s="503" t="str">
        <f>IF(終値!A227="","",IF(AND(高値!AG227&gt;高値!AF227,高値!AG227&gt;高値!AE227,高値!AG227&gt;高値!AH227,高値!AG227&gt;高値!AI227),28,""))</f>
        <v/>
      </c>
      <c r="BD227" s="503">
        <f t="shared" si="18"/>
        <v>5</v>
      </c>
      <c r="BE227" s="503">
        <f t="shared" si="19"/>
        <v>3</v>
      </c>
      <c r="BF227" s="503">
        <f t="shared" si="20"/>
        <v>6</v>
      </c>
      <c r="BG227" s="503">
        <f>IF($BE227="","",INDEX(安値!$E227:$CZ227,1,$BE227+1))</f>
        <v>32130</v>
      </c>
      <c r="BH227" s="503">
        <f>IF($BF227="","",INDEX(安値!$E227:$CZ227,1,$BF227+1))</f>
        <v>32870</v>
      </c>
      <c r="BI227" s="503">
        <f>IF($BF227="","",MAX(INDEX(高値!$E227:$CZ227,1,$BE227+1):INDEX(高値!$E227:$CZ227,1,$BF227+1)))</f>
        <v>34040</v>
      </c>
      <c r="BJ227" s="503">
        <f>IF($BF227="","",AVERAGE(INDEX(終値!$E227:$CZ227,1,$BF227+1):INDEX(終値!$E227:$CZ227,1,$BF227+20))-2*STDEVP(INDEX(終値!$E227:$CZ227,1,$BF227+1):INDEX(終値!$E227:$CZ227,1,$BF227+20)))</f>
        <v>30759.350086061968</v>
      </c>
      <c r="BK227" s="503">
        <f>IF($BE227="","",AVERAGE(INDEX(終値!$E227:$CZ227,1,$BE227+1):INDEX(終値!$E227:$CZ227,1,$BE227+20))-2*STDEVP(INDEX(終値!$E227:$CZ227,1,$BE227+1):INDEX(終値!$E227:$CZ227,1,$BE227+20)))</f>
        <v>31480.21234278152</v>
      </c>
      <c r="BL227" s="503">
        <f t="shared" si="21"/>
        <v>3</v>
      </c>
      <c r="BM227" s="503">
        <f t="shared" si="22"/>
        <v>5</v>
      </c>
      <c r="BN227" s="503">
        <f t="shared" si="23"/>
        <v>9</v>
      </c>
      <c r="BO227" s="503">
        <f>IF($BM227="","",INDEX(高値!$E227:$CZ227,1,$BM227+1))</f>
        <v>34040</v>
      </c>
      <c r="BP227" s="503">
        <f>IF($BN227="","",INDEX(高値!$E227:$CZ227,1,$BN227+1))</f>
        <v>34680</v>
      </c>
      <c r="BQ227" s="503">
        <f>IF($BN227="","",MIN(INDEX(安値!$E227:$CZ227,1,$BM227+1):INDEX(安値!$E227:$CZ227,1,$BN227+1)))</f>
        <v>32870</v>
      </c>
      <c r="BR227" s="503">
        <f>IF($BN227="","",AVERAGE(INDEX(終値!$E227:$CZ227,1,$BN227+1):INDEX(終値!$E227:$CZ227,1,$BN227+20))+2*STDEVP(INDEX(終値!$E227:$CZ227,1,$BN227+1):INDEX(終値!$E227:$CZ227,1,$BN227+20)))</f>
        <v>34106.692487116292</v>
      </c>
      <c r="BS227" s="503">
        <f>IF($BM227="","",AVERAGE(INDEX(終値!$E227:$CZ227,1,$BM227+1):INDEX(終値!$E227:$CZ227,1,$BM227+20))+2*STDEVP(INDEX(終値!$E227:$CZ227,1,$BM227+1):INDEX(終値!$E227:$CZ227,1,$BM227+20)))</f>
        <v>34532.908864306257</v>
      </c>
      <c r="BT227" s="500"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3" t="str">
        <f>IF(終値!A228="","",IF(AND(安値!G228&lt;安値!F228,安値!G228&lt;安値!E228,安値!G228&lt;安値!H228,安値!G228&lt;安値!I228),2,""))</f>
        <v/>
      </c>
      <c r="C228" s="503" t="str">
        <f>IF(終値!A228="","",IF(AND(安値!H228&lt;安値!G228,安値!H228&lt;安値!F228,安値!H228&lt;安値!I228,安値!H228&lt;安値!J228),3,""))</f>
        <v/>
      </c>
      <c r="D228" s="503" t="str">
        <f>IF(終値!A228="","",IF(AND(安値!I228&lt;安値!H228,安値!I228&lt;安値!G228,安値!I228&lt;安値!J228,安値!I228&lt;安値!K228),4,""))</f>
        <v/>
      </c>
      <c r="E228" s="503" t="str">
        <f>IF(終値!A228="","",IF(AND(安値!J228&lt;安値!I228,安値!J228&lt;安値!H228,安値!J228&lt;安値!K228,安値!J228&lt;安値!L228),5,""))</f>
        <v/>
      </c>
      <c r="F228" s="503" t="str">
        <f>IF(終値!A228="","",IF(AND(安値!K228&lt;安値!J228,安値!K228&lt;安値!I228,安値!K228&lt;安値!L228,安値!K228&lt;安値!M228),6,""))</f>
        <v/>
      </c>
      <c r="G228" s="503" t="str">
        <f>IF(終値!A228="","",IF(AND(安値!L228&lt;安値!K228,安値!L228&lt;安値!J228,安値!L228&lt;安値!M228,安値!L228&lt;安値!N228),7,""))</f>
        <v/>
      </c>
      <c r="H228" s="503" t="str">
        <f>IF(終値!A228="","",IF(AND(安値!M228&lt;安値!L228,安値!M228&lt;安値!K228,安値!M228&lt;安値!N228,安値!M228&lt;安値!O228),8,""))</f>
        <v/>
      </c>
      <c r="I228" s="503" t="str">
        <f>IF(終値!A228="","",IF(AND(安値!N228&lt;安値!M228,安値!N228&lt;安値!L228,安値!N228&lt;安値!O228,安値!N228&lt;安値!P228),9,""))</f>
        <v/>
      </c>
      <c r="J228" s="503" t="str">
        <f>IF(終値!A228="","",IF(AND(安値!O228&lt;安値!N228,安値!O228&lt;安値!M228,安値!O228&lt;安値!P228,安値!O228&lt;安値!Q228),10,""))</f>
        <v/>
      </c>
      <c r="K228" s="503" t="str">
        <f>IF(終値!A228="","",IF(AND(安値!P228&lt;安値!O228,安値!P228&lt;安値!N228,安値!P228&lt;安値!Q228,安値!P228&lt;安値!R228),11,""))</f>
        <v/>
      </c>
      <c r="L228" s="503" t="str">
        <f>IF(終値!A228="","",IF(AND(安値!Q228&lt;安値!P228,安値!Q228&lt;安値!O228,安値!Q228&lt;安値!R228,安値!Q228&lt;安値!S228),12,""))</f>
        <v/>
      </c>
      <c r="M228" s="503" t="str">
        <f>IF(終値!A228="","",IF(AND(安値!R228&lt;安値!Q228,安値!R228&lt;安値!P228,安値!R228&lt;安値!S228,安値!R228&lt;安値!T228),13,""))</f>
        <v/>
      </c>
      <c r="N228" s="503" t="str">
        <f>IF(終値!A228="","",IF(AND(安値!S228&lt;安値!R228,安値!S228&lt;安値!Q228,安値!S228&lt;安値!T228,安値!S228&lt;安値!U228),14,""))</f>
        <v/>
      </c>
      <c r="O228" s="503" t="str">
        <f>IF(終値!A228="","",IF(AND(安値!T228&lt;安値!S228,安値!T228&lt;安値!R228,安値!T228&lt;安値!U228,安値!T228&lt;安値!V228),15,""))</f>
        <v/>
      </c>
      <c r="P228" s="503" t="str">
        <f>IF(終値!A228="","",IF(AND(安値!U228&lt;安値!T228,安値!U228&lt;安値!S228,安値!U228&lt;安値!V228,安値!U228&lt;安値!W228),16,""))</f>
        <v/>
      </c>
      <c r="Q228" s="503" t="str">
        <f>IF(終値!A228="","",IF(AND(安値!V228&lt;安値!U228,安値!V228&lt;安値!T228,安値!V228&lt;安値!W228,安値!V228&lt;安値!X228),17,""))</f>
        <v/>
      </c>
      <c r="R228" s="503" t="str">
        <f>IF(終値!A228="","",IF(AND(安値!W228&lt;安値!V228,安値!W228&lt;安値!U228,安値!W228&lt;安値!X228,安値!W228&lt;安値!Y228),18,""))</f>
        <v/>
      </c>
      <c r="S228" s="503" t="str">
        <f>IF(終値!A228="","",IF(AND(安値!X228&lt;安値!W228,安値!X228&lt;安値!V228,安値!X228&lt;安値!Y228,安値!X228&lt;安値!Z228),19,""))</f>
        <v/>
      </c>
      <c r="T228" s="503" t="str">
        <f>IF(終値!A228="","",IF(AND(安値!Y228&lt;安値!X228,安値!Y228&lt;安値!W228,安値!Y228&lt;安値!Z228,安値!Y228&lt;安値!AA228),20,""))</f>
        <v/>
      </c>
      <c r="U228" s="503" t="str">
        <f>IF(終値!A228="","",IF(AND(安値!Z228&lt;安値!Y228,安値!Z228&lt;安値!X228,安値!Z228&lt;安値!AA228,安値!Z228&lt;安値!AB228),21,""))</f>
        <v/>
      </c>
      <c r="V228" s="503" t="str">
        <f>IF(終値!A228="","",IF(AND(安値!AA228&lt;安値!Z228,安値!AA228&lt;安値!Y228,安値!AA228&lt;安値!AB228,安値!AA228&lt;安値!AC228),22,""))</f>
        <v/>
      </c>
      <c r="W228" s="503" t="str">
        <f>IF(終値!A228="","",IF(AND(安値!AB228&lt;安値!AA228,安値!AB228&lt;安値!Z228,安値!AB228&lt;安値!AC228,安値!AB228&lt;安値!AD228),23,""))</f>
        <v/>
      </c>
      <c r="X228" s="503" t="str">
        <f>IF(終値!A228="","",IF(AND(安値!AC228&lt;安値!AB228,安値!AC228&lt;安値!AA228,安値!AC228&lt;安値!AD228,安値!AC228&lt;安値!AE228),24,""))</f>
        <v/>
      </c>
      <c r="Y228" s="503" t="str">
        <f>IF(終値!A228="","",IF(AND(安値!AD228&lt;安値!AC228,安値!AD228&lt;安値!AB228,安値!AD228&lt;安値!AE228,安値!AD228&lt;安値!AF228),25,""))</f>
        <v/>
      </c>
      <c r="Z228" s="503" t="str">
        <f>IF(終値!A228="","",IF(AND(安値!AE228&lt;安値!AD228,安値!AE228&lt;安値!AC228,安値!AE228&lt;安値!AF228,安値!AE228&lt;安値!AG228),26,""))</f>
        <v/>
      </c>
      <c r="AA228" s="503" t="str">
        <f>IF(終値!A228="","",IF(AND(安値!AF228&lt;安値!AE228,安値!AF228&lt;安値!AD228,安値!AF228&lt;安値!AG228,安値!AF228&lt;安値!AH228),27,""))</f>
        <v/>
      </c>
      <c r="AB228" s="503" t="str">
        <f>IF(終値!A228="","",IF(AND(安値!AG228&lt;安値!AF228,安値!AG228&lt;安値!AE228,安値!AG228&lt;安値!AH228,安値!AG228&lt;安値!AI228),28,""))</f>
        <v/>
      </c>
      <c r="AC228" s="503" t="str">
        <f>IF(終値!A228="","",IF(AND(高値!G228&gt;高値!F228,高値!G228&gt;高値!E228,高値!G228&gt;高値!H228,高値!G228&gt;高値!I228),2,""))</f>
        <v/>
      </c>
      <c r="AD228" s="503" t="str">
        <f>IF(終値!A228="","",IF(AND(高値!H228&gt;高値!G228,高値!H228&gt;高値!F228,高値!H228&gt;高値!I228,高値!H228&gt;高値!J228),3,""))</f>
        <v/>
      </c>
      <c r="AE228" s="503" t="str">
        <f>IF(終値!A228="","",IF(AND(高値!I228&gt;高値!H228,高値!I228&gt;高値!G228,高値!I228&gt;高値!J228,高値!I228&gt;高値!K228),4,""))</f>
        <v/>
      </c>
      <c r="AF228" s="503" t="str">
        <f>IF(終値!A228="","",IF(AND(高値!J228&gt;高値!I228,高値!J228&gt;高値!H228,高値!J228&gt;高値!K228,高値!J228&gt;高値!L228),5,""))</f>
        <v/>
      </c>
      <c r="AG228" s="503" t="str">
        <f>IF(終値!A228="","",IF(AND(高値!K228&gt;高値!J228,高値!K228&gt;高値!I228,高値!K228&gt;高値!L228,高値!K228&gt;高値!M228),6,""))</f>
        <v/>
      </c>
      <c r="AH228" s="503" t="str">
        <f>IF(終値!A228="","",IF(AND(高値!L228&gt;高値!K228,高値!L228&gt;高値!J228,高値!L228&gt;高値!M228,高値!L228&gt;高値!N228),7,""))</f>
        <v/>
      </c>
      <c r="AI228" s="503" t="str">
        <f>IF(終値!A228="","",IF(AND(高値!M228&gt;高値!L228,高値!M228&gt;高値!K228,高値!M228&gt;高値!N228,高値!M228&gt;高値!O228),8,""))</f>
        <v/>
      </c>
      <c r="AJ228" s="503" t="str">
        <f>IF(終値!A228="","",IF(AND(高値!N228&gt;高値!M228,高値!N228&gt;高値!L228,高値!N228&gt;高値!O228,高値!N228&gt;高値!P228),9,""))</f>
        <v/>
      </c>
      <c r="AK228" s="503" t="str">
        <f>IF(終値!A228="","",IF(AND(高値!O228&gt;高値!N228,高値!O228&gt;高値!M228,高値!O228&gt;高値!P228,高値!O228&gt;高値!Q228),10,""))</f>
        <v/>
      </c>
      <c r="AL228" s="503" t="str">
        <f>IF(終値!A228="","",IF(AND(高値!P228&gt;高値!O228,高値!P228&gt;高値!N228,高値!P228&gt;高値!Q228,高値!P228&gt;高値!R228),11,""))</f>
        <v/>
      </c>
      <c r="AM228" s="503" t="str">
        <f>IF(終値!A228="","",IF(AND(高値!Q228&gt;高値!P228,高値!Q228&gt;高値!O228,高値!Q228&gt;高値!R228,高値!Q228&gt;高値!S228),12,""))</f>
        <v/>
      </c>
      <c r="AN228" s="503" t="str">
        <f>IF(終値!A228="","",IF(AND(高値!R228&gt;高値!Q228,高値!R228&gt;高値!P228,高値!R228&gt;高値!S228,高値!R228&gt;高値!T228),13,""))</f>
        <v/>
      </c>
      <c r="AO228" s="503" t="str">
        <f>IF(終値!A228="","",IF(AND(高値!S228&gt;高値!R228,高値!S228&gt;高値!Q228,高値!S228&gt;高値!T228,高値!S228&gt;高値!U228),14,""))</f>
        <v/>
      </c>
      <c r="AP228" s="503" t="str">
        <f>IF(終値!A228="","",IF(AND(高値!T228&gt;高値!S228,高値!T228&gt;高値!R228,高値!T228&gt;高値!U228,高値!T228&gt;高値!V228),15,""))</f>
        <v/>
      </c>
      <c r="AQ228" s="503" t="str">
        <f>IF(終値!A228="","",IF(AND(高値!U228&gt;高値!T228,高値!U228&gt;高値!S228,高値!U228&gt;高値!V228,高値!U228&gt;高値!W228),16,""))</f>
        <v/>
      </c>
      <c r="AR228" s="503" t="str">
        <f>IF(終値!A228="","",IF(AND(高値!V228&gt;高値!U228,高値!V228&gt;高値!T228,高値!V228&gt;高値!W228,高値!V228&gt;高値!X228),17,""))</f>
        <v/>
      </c>
      <c r="AS228" s="503" t="str">
        <f>IF(終値!A228="","",IF(AND(高値!W228&gt;高値!V228,高値!W228&gt;高値!U228,高値!W228&gt;高値!X228,高値!W228&gt;高値!Y228),18,""))</f>
        <v/>
      </c>
      <c r="AT228" s="503" t="str">
        <f>IF(終値!A228="","",IF(AND(高値!X228&gt;高値!W228,高値!X228&gt;高値!V228,高値!X228&gt;高値!Y228,高値!X228&gt;高値!Z228),19,""))</f>
        <v/>
      </c>
      <c r="AU228" s="503" t="str">
        <f>IF(終値!A228="","",IF(AND(高値!Y228&gt;高値!X228,高値!Y228&gt;高値!W228,高値!Y228&gt;高値!Z228,高値!Y228&gt;高値!AA228),20,""))</f>
        <v/>
      </c>
      <c r="AV228" s="503" t="str">
        <f>IF(終値!A228="","",IF(AND(高値!Z228&gt;高値!Y228,高値!Z228&gt;高値!X228,高値!Z228&gt;高値!AA228,高値!Z228&gt;高値!AB228),21,""))</f>
        <v/>
      </c>
      <c r="AW228" s="503" t="str">
        <f>IF(終値!A228="","",IF(AND(高値!AA228&gt;高値!Z228,高値!AA228&gt;高値!Y228,高値!AA228&gt;高値!AB228,高値!AA228&gt;高値!AC228),22,""))</f>
        <v/>
      </c>
      <c r="AX228" s="503" t="str">
        <f>IF(終値!A228="","",IF(AND(高値!AB228&gt;高値!AA228,高値!AB228&gt;高値!Z228,高値!AB228&gt;高値!AC228,高値!AB228&gt;高値!AD228),23,""))</f>
        <v/>
      </c>
      <c r="AY228" s="503" t="str">
        <f>IF(終値!A228="","",IF(AND(高値!AC228&gt;高値!AB228,高値!AC228&gt;高値!AA228,高値!AC228&gt;高値!AD228,高値!AC228&gt;高値!AE228),24,""))</f>
        <v/>
      </c>
      <c r="AZ228" s="503" t="str">
        <f>IF(終値!A228="","",IF(AND(高値!AD228&gt;高値!AC228,高値!AD228&gt;高値!AB228,高値!AD228&gt;高値!AE228,高値!AD228&gt;高値!AF228),25,""))</f>
        <v/>
      </c>
      <c r="BA228" s="503" t="str">
        <f>IF(終値!A228="","",IF(AND(高値!AE228&gt;高値!AD228,高値!AE228&gt;高値!AC228,高値!AE228&gt;高値!AF228,高値!AE228&gt;高値!AG228),26,""))</f>
        <v/>
      </c>
      <c r="BB228" s="503" t="str">
        <f>IF(終値!A228="","",IF(AND(高値!AF228&gt;高値!AE228,高値!AF228&gt;高値!AD228,高値!AF228&gt;高値!AG228,高値!AF228&gt;高値!AH228),27,""))</f>
        <v/>
      </c>
      <c r="BC228" s="503" t="str">
        <f>IF(終値!A228="","",IF(AND(高値!AG228&gt;高値!AF228,高値!AG228&gt;高値!AE228,高値!AG228&gt;高値!AH228,高値!AG228&gt;高値!AI228),28,""))</f>
        <v/>
      </c>
      <c r="BD228" s="503">
        <f t="shared" si="18"/>
        <v>0</v>
      </c>
      <c r="BE228" s="503" t="str">
        <f t="shared" si="19"/>
        <v/>
      </c>
      <c r="BF228" s="503" t="str">
        <f t="shared" si="20"/>
        <v/>
      </c>
      <c r="BG228" s="503" t="str">
        <f>IF($BE228="","",INDEX(安値!$E228:$CZ228,1,$BE228+1))</f>
        <v/>
      </c>
      <c r="BH228" s="503" t="str">
        <f>IF($BF228="","",INDEX(安値!$E228:$CZ228,1,$BF228+1))</f>
        <v/>
      </c>
      <c r="BI228" s="503" t="str">
        <f>IF($BF228="","",MAX(INDEX(高値!$E228:$CZ228,1,$BE228+1):INDEX(高値!$E228:$CZ228,1,$BF228+1)))</f>
        <v/>
      </c>
      <c r="BJ228" s="503" t="str">
        <f>IF($BF228="","",AVERAGE(INDEX(終値!$E228:$CZ228,1,$BF228+1):INDEX(終値!$E228:$CZ228,1,$BF228+20))-2*STDEVP(INDEX(終値!$E228:$CZ228,1,$BF228+1):INDEX(終値!$E228:$CZ228,1,$BF228+20)))</f>
        <v/>
      </c>
      <c r="BK228" s="503" t="str">
        <f>IF($BE228="","",AVERAGE(INDEX(終値!$E228:$CZ228,1,$BE228+1):INDEX(終値!$E228:$CZ228,1,$BE228+20))-2*STDEVP(INDEX(終値!$E228:$CZ228,1,$BE228+1):INDEX(終値!$E228:$CZ228,1,$BE228+20)))</f>
        <v/>
      </c>
      <c r="BL228" s="503">
        <f t="shared" si="21"/>
        <v>0</v>
      </c>
      <c r="BM228" s="503" t="str">
        <f t="shared" si="22"/>
        <v/>
      </c>
      <c r="BN228" s="503" t="str">
        <f t="shared" si="23"/>
        <v/>
      </c>
      <c r="BO228" s="503" t="str">
        <f>IF($BM228="","",INDEX(高値!$E228:$CZ228,1,$BM228+1))</f>
        <v/>
      </c>
      <c r="BP228" s="503" t="str">
        <f>IF($BN228="","",INDEX(高値!$E228:$CZ228,1,$BN228+1))</f>
        <v/>
      </c>
      <c r="BQ228" s="503" t="str">
        <f>IF($BN228="","",MIN(INDEX(安値!$E228:$CZ228,1,$BM228+1):INDEX(安値!$E228:$CZ228,1,$BN228+1)))</f>
        <v/>
      </c>
      <c r="BR228" s="503" t="str">
        <f>IF($BN228="","",AVERAGE(INDEX(終値!$E228:$CZ228,1,$BN228+1):INDEX(終値!$E228:$CZ228,1,$BN228+20))+2*STDEVP(INDEX(終値!$E228:$CZ228,1,$BN228+1):INDEX(終値!$E228:$CZ228,1,$BN228+20)))</f>
        <v/>
      </c>
      <c r="BS228" s="503" t="str">
        <f>IF($BM228="","",AVERAGE(INDEX(終値!$E228:$CZ228,1,$BM228+1):INDEX(終値!$E228:$CZ228,1,$BM228+20))+2*STDEVP(INDEX(終値!$E228:$CZ228,1,$BM228+1):INDEX(終値!$E228:$CZ228,1,$BM228+20)))</f>
        <v/>
      </c>
      <c r="BT228" s="500"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v>
      </c>
    </row>
    <row r="229" spans="2:72">
      <c r="B229" s="503" t="str">
        <f>IF(終値!A229="","",IF(AND(安値!G229&lt;安値!F229,安値!G229&lt;安値!E229,安値!G229&lt;安値!H229,安値!G229&lt;安値!I229),2,""))</f>
        <v/>
      </c>
      <c r="C229" s="503" t="str">
        <f>IF(終値!A229="","",IF(AND(安値!H229&lt;安値!G229,安値!H229&lt;安値!F229,安値!H229&lt;安値!I229,安値!H229&lt;安値!J229),3,""))</f>
        <v/>
      </c>
      <c r="D229" s="503" t="str">
        <f>IF(終値!A229="","",IF(AND(安値!I229&lt;安値!H229,安値!I229&lt;安値!G229,安値!I229&lt;安値!J229,安値!I229&lt;安値!K229),4,""))</f>
        <v/>
      </c>
      <c r="E229" s="503">
        <f>IF(終値!A229="","",IF(AND(安値!J229&lt;安値!I229,安値!J229&lt;安値!H229,安値!J229&lt;安値!K229,安値!J229&lt;安値!L229),5,""))</f>
        <v>5</v>
      </c>
      <c r="F229" s="503" t="str">
        <f>IF(終値!A229="","",IF(AND(安値!K229&lt;安値!J229,安値!K229&lt;安値!I229,安値!K229&lt;安値!L229,安値!K229&lt;安値!M229),6,""))</f>
        <v/>
      </c>
      <c r="G229" s="503" t="str">
        <f>IF(終値!A229="","",IF(AND(安値!L229&lt;安値!K229,安値!L229&lt;安値!J229,安値!L229&lt;安値!M229,安値!L229&lt;安値!N229),7,""))</f>
        <v/>
      </c>
      <c r="H229" s="503" t="str">
        <f>IF(終値!A229="","",IF(AND(安値!M229&lt;安値!L229,安値!M229&lt;安値!K229,安値!M229&lt;安値!N229,安値!M229&lt;安値!O229),8,""))</f>
        <v/>
      </c>
      <c r="I229" s="503">
        <f>IF(終値!A229="","",IF(AND(安値!N229&lt;安値!M229,安値!N229&lt;安値!L229,安値!N229&lt;安値!O229,安値!N229&lt;安値!P229),9,""))</f>
        <v>9</v>
      </c>
      <c r="J229" s="503" t="str">
        <f>IF(終値!A229="","",IF(AND(安値!O229&lt;安値!N229,安値!O229&lt;安値!M229,安値!O229&lt;安値!P229,安値!O229&lt;安値!Q229),10,""))</f>
        <v/>
      </c>
      <c r="K229" s="503" t="str">
        <f>IF(終値!A229="","",IF(AND(安値!P229&lt;安値!O229,安値!P229&lt;安値!N229,安値!P229&lt;安値!Q229,安値!P229&lt;安値!R229),11,""))</f>
        <v/>
      </c>
      <c r="L229" s="503" t="str">
        <f>IF(終値!A229="","",IF(AND(安値!Q229&lt;安値!P229,安値!Q229&lt;安値!O229,安値!Q229&lt;安値!R229,安値!Q229&lt;安値!S229),12,""))</f>
        <v/>
      </c>
      <c r="M229" s="503">
        <f>IF(終値!A229="","",IF(AND(安値!R229&lt;安値!Q229,安値!R229&lt;安値!P229,安値!R229&lt;安値!S229,安値!R229&lt;安値!T229),13,""))</f>
        <v>13</v>
      </c>
      <c r="N229" s="503" t="str">
        <f>IF(終値!A229="","",IF(AND(安値!S229&lt;安値!R229,安値!S229&lt;安値!Q229,安値!S229&lt;安値!T229,安値!S229&lt;安値!U229),14,""))</f>
        <v/>
      </c>
      <c r="O229" s="503" t="str">
        <f>IF(終値!A229="","",IF(AND(安値!T229&lt;安値!S229,安値!T229&lt;安値!R229,安値!T229&lt;安値!U229,安値!T229&lt;安値!V229),15,""))</f>
        <v/>
      </c>
      <c r="P229" s="503" t="str">
        <f>IF(終値!A229="","",IF(AND(安値!U229&lt;安値!T229,安値!U229&lt;安値!S229,安値!U229&lt;安値!V229,安値!U229&lt;安値!W229),16,""))</f>
        <v/>
      </c>
      <c r="Q229" s="503" t="str">
        <f>IF(終値!A229="","",IF(AND(安値!V229&lt;安値!U229,安値!V229&lt;安値!T229,安値!V229&lt;安値!W229,安値!V229&lt;安値!X229),17,""))</f>
        <v/>
      </c>
      <c r="R229" s="503">
        <f>IF(終値!A229="","",IF(AND(安値!W229&lt;安値!V229,安値!W229&lt;安値!U229,安値!W229&lt;安値!X229,安値!W229&lt;安値!Y229),18,""))</f>
        <v>18</v>
      </c>
      <c r="S229" s="503" t="str">
        <f>IF(終値!A229="","",IF(AND(安値!X229&lt;安値!W229,安値!X229&lt;安値!V229,安値!X229&lt;安値!Y229,安値!X229&lt;安値!Z229),19,""))</f>
        <v/>
      </c>
      <c r="T229" s="503" t="str">
        <f>IF(終値!A229="","",IF(AND(安値!Y229&lt;安値!X229,安値!Y229&lt;安値!W229,安値!Y229&lt;安値!Z229,安値!Y229&lt;安値!AA229),20,""))</f>
        <v/>
      </c>
      <c r="U229" s="503" t="str">
        <f>IF(終値!A229="","",IF(AND(安値!Z229&lt;安値!Y229,安値!Z229&lt;安値!X229,安値!Z229&lt;安値!AA229,安値!Z229&lt;安値!AB229),21,""))</f>
        <v/>
      </c>
      <c r="V229" s="503" t="str">
        <f>IF(終値!A229="","",IF(AND(安値!AA229&lt;安値!Z229,安値!AA229&lt;安値!Y229,安値!AA229&lt;安値!AB229,安値!AA229&lt;安値!AC229),22,""))</f>
        <v/>
      </c>
      <c r="W229" s="503" t="str">
        <f>IF(終値!A229="","",IF(AND(安値!AB229&lt;安値!AA229,安値!AB229&lt;安値!Z229,安値!AB229&lt;安値!AC229,安値!AB229&lt;安値!AD229),23,""))</f>
        <v/>
      </c>
      <c r="X229" s="503" t="str">
        <f>IF(終値!A229="","",IF(AND(安値!AC229&lt;安値!AB229,安値!AC229&lt;安値!AA229,安値!AC229&lt;安値!AD229,安値!AC229&lt;安値!AE229),24,""))</f>
        <v/>
      </c>
      <c r="Y229" s="503">
        <f>IF(終値!A229="","",IF(AND(安値!AD229&lt;安値!AC229,安値!AD229&lt;安値!AB229,安値!AD229&lt;安値!AE229,安値!AD229&lt;安値!AF229),25,""))</f>
        <v>25</v>
      </c>
      <c r="Z229" s="503" t="str">
        <f>IF(終値!A229="","",IF(AND(安値!AE229&lt;安値!AD229,安値!AE229&lt;安値!AC229,安値!AE229&lt;安値!AF229,安値!AE229&lt;安値!AG229),26,""))</f>
        <v/>
      </c>
      <c r="AA229" s="503" t="str">
        <f>IF(終値!A229="","",IF(AND(安値!AF229&lt;安値!AE229,安値!AF229&lt;安値!AD229,安値!AF229&lt;安値!AG229,安値!AF229&lt;安値!AH229),27,""))</f>
        <v/>
      </c>
      <c r="AB229" s="503" t="str">
        <f>IF(終値!A229="","",IF(AND(安値!AG229&lt;安値!AF229,安値!AG229&lt;安値!AE229,安値!AG229&lt;安値!AH229,安値!AG229&lt;安値!AI229),28,""))</f>
        <v/>
      </c>
      <c r="AC229" s="503" t="str">
        <f>IF(終値!A229="","",IF(AND(高値!G229&gt;高値!F229,高値!G229&gt;高値!E229,高値!G229&gt;高値!H229,高値!G229&gt;高値!I229),2,""))</f>
        <v/>
      </c>
      <c r="AD229" s="503" t="str">
        <f>IF(終値!A229="","",IF(AND(高値!H229&gt;高値!G229,高値!H229&gt;高値!F229,高値!H229&gt;高値!I229,高値!H229&gt;高値!J229),3,""))</f>
        <v/>
      </c>
      <c r="AE229" s="503" t="str">
        <f>IF(終値!A229="","",IF(AND(高値!I229&gt;高値!H229,高値!I229&gt;高値!G229,高値!I229&gt;高値!J229,高値!I229&gt;高値!K229),4,""))</f>
        <v/>
      </c>
      <c r="AF229" s="503" t="str">
        <f>IF(終値!A229="","",IF(AND(高値!J229&gt;高値!I229,高値!J229&gt;高値!H229,高値!J229&gt;高値!K229,高値!J229&gt;高値!L229),5,""))</f>
        <v/>
      </c>
      <c r="AG229" s="503" t="str">
        <f>IF(終値!A229="","",IF(AND(高値!K229&gt;高値!J229,高値!K229&gt;高値!I229,高値!K229&gt;高値!L229,高値!K229&gt;高値!M229),6,""))</f>
        <v/>
      </c>
      <c r="AH229" s="503" t="str">
        <f>IF(終値!A229="","",IF(AND(高値!L229&gt;高値!K229,高値!L229&gt;高値!J229,高値!L229&gt;高値!M229,高値!L229&gt;高値!N229),7,""))</f>
        <v/>
      </c>
      <c r="AI229" s="503" t="str">
        <f>IF(終値!A229="","",IF(AND(高値!M229&gt;高値!L229,高値!M229&gt;高値!K229,高値!M229&gt;高値!N229,高値!M229&gt;高値!O229),8,""))</f>
        <v/>
      </c>
      <c r="AJ229" s="503" t="str">
        <f>IF(終値!A229="","",IF(AND(高値!N229&gt;高値!M229,高値!N229&gt;高値!L229,高値!N229&gt;高値!O229,高値!N229&gt;高値!P229),9,""))</f>
        <v/>
      </c>
      <c r="AK229" s="503" t="str">
        <f>IF(終値!A229="","",IF(AND(高値!O229&gt;高値!N229,高値!O229&gt;高値!M229,高値!O229&gt;高値!P229,高値!O229&gt;高値!Q229),10,""))</f>
        <v/>
      </c>
      <c r="AL229" s="503">
        <f>IF(終値!A229="","",IF(AND(高値!P229&gt;高値!O229,高値!P229&gt;高値!N229,高値!P229&gt;高値!Q229,高値!P229&gt;高値!R229),11,""))</f>
        <v>11</v>
      </c>
      <c r="AM229" s="503" t="str">
        <f>IF(終値!A229="","",IF(AND(高値!Q229&gt;高値!P229,高値!Q229&gt;高値!O229,高値!Q229&gt;高値!R229,高値!Q229&gt;高値!S229),12,""))</f>
        <v/>
      </c>
      <c r="AN229" s="503" t="str">
        <f>IF(終値!A229="","",IF(AND(高値!R229&gt;高値!Q229,高値!R229&gt;高値!P229,高値!R229&gt;高値!S229,高値!R229&gt;高値!T229),13,""))</f>
        <v/>
      </c>
      <c r="AO229" s="503" t="str">
        <f>IF(終値!A229="","",IF(AND(高値!S229&gt;高値!R229,高値!S229&gt;高値!Q229,高値!S229&gt;高値!T229,高値!S229&gt;高値!U229),14,""))</f>
        <v/>
      </c>
      <c r="AP229" s="503" t="str">
        <f>IF(終値!A229="","",IF(AND(高値!T229&gt;高値!S229,高値!T229&gt;高値!R229,高値!T229&gt;高値!U229,高値!T229&gt;高値!V229),15,""))</f>
        <v/>
      </c>
      <c r="AQ229" s="503">
        <f>IF(終値!A229="","",IF(AND(高値!U229&gt;高値!T229,高値!U229&gt;高値!S229,高値!U229&gt;高値!V229,高値!U229&gt;高値!W229),16,""))</f>
        <v>16</v>
      </c>
      <c r="AR229" s="503" t="str">
        <f>IF(終値!A229="","",IF(AND(高値!V229&gt;高値!U229,高値!V229&gt;高値!T229,高値!V229&gt;高値!W229,高値!V229&gt;高値!X229),17,""))</f>
        <v/>
      </c>
      <c r="AS229" s="503" t="str">
        <f>IF(終値!A229="","",IF(AND(高値!W229&gt;高値!V229,高値!W229&gt;高値!U229,高値!W229&gt;高値!X229,高値!W229&gt;高値!Y229),18,""))</f>
        <v/>
      </c>
      <c r="AT229" s="503" t="str">
        <f>IF(終値!A229="","",IF(AND(高値!X229&gt;高値!W229,高値!X229&gt;高値!V229,高値!X229&gt;高値!Y229,高値!X229&gt;高値!Z229),19,""))</f>
        <v/>
      </c>
      <c r="AU229" s="503" t="str">
        <f>IF(終値!A229="","",IF(AND(高値!Y229&gt;高値!X229,高値!Y229&gt;高値!W229,高値!Y229&gt;高値!Z229,高値!Y229&gt;高値!AA229),20,""))</f>
        <v/>
      </c>
      <c r="AV229" s="503">
        <f>IF(終値!A229="","",IF(AND(高値!Z229&gt;高値!Y229,高値!Z229&gt;高値!X229,高値!Z229&gt;高値!AA229,高値!Z229&gt;高値!AB229),21,""))</f>
        <v>21</v>
      </c>
      <c r="AW229" s="503" t="str">
        <f>IF(終値!A229="","",IF(AND(高値!AA229&gt;高値!Z229,高値!AA229&gt;高値!Y229,高値!AA229&gt;高値!AB229,高値!AA229&gt;高値!AC229),22,""))</f>
        <v/>
      </c>
      <c r="AX229" s="503" t="str">
        <f>IF(終値!A229="","",IF(AND(高値!AB229&gt;高値!AA229,高値!AB229&gt;高値!Z229,高値!AB229&gt;高値!AC229,高値!AB229&gt;高値!AD229),23,""))</f>
        <v/>
      </c>
      <c r="AY229" s="503" t="str">
        <f>IF(終値!A229="","",IF(AND(高値!AC229&gt;高値!AB229,高値!AC229&gt;高値!AA229,高値!AC229&gt;高値!AD229,高値!AC229&gt;高値!AE229),24,""))</f>
        <v/>
      </c>
      <c r="AZ229" s="503" t="str">
        <f>IF(終値!A229="","",IF(AND(高値!AD229&gt;高値!AC229,高値!AD229&gt;高値!AB229,高値!AD229&gt;高値!AE229,高値!AD229&gt;高値!AF229),25,""))</f>
        <v/>
      </c>
      <c r="BA229" s="503" t="str">
        <f>IF(終値!A229="","",IF(AND(高値!AE229&gt;高値!AD229,高値!AE229&gt;高値!AC229,高値!AE229&gt;高値!AF229,高値!AE229&gt;高値!AG229),26,""))</f>
        <v/>
      </c>
      <c r="BB229" s="503" t="str">
        <f>IF(終値!A229="","",IF(AND(高値!AF229&gt;高値!AE229,高値!AF229&gt;高値!AD229,高値!AF229&gt;高値!AG229,高値!AF229&gt;高値!AH229),27,""))</f>
        <v/>
      </c>
      <c r="BC229" s="503" t="str">
        <f>IF(終値!A229="","",IF(AND(高値!AG229&gt;高値!AF229,高値!AG229&gt;高値!AE229,高値!AG229&gt;高値!AH229,高値!AG229&gt;高値!AI229),28,""))</f>
        <v/>
      </c>
      <c r="BD229" s="503">
        <f t="shared" si="18"/>
        <v>5</v>
      </c>
      <c r="BE229" s="503">
        <f t="shared" si="19"/>
        <v>5</v>
      </c>
      <c r="BF229" s="503">
        <f t="shared" si="20"/>
        <v>9</v>
      </c>
      <c r="BG229" s="503">
        <f>IF($BE229="","",INDEX(安値!$E229:$CZ229,1,$BE229+1))</f>
        <v>538</v>
      </c>
      <c r="BH229" s="503">
        <f>IF($BF229="","",INDEX(安値!$E229:$CZ229,1,$BF229+1))</f>
        <v>0</v>
      </c>
      <c r="BI229" s="503">
        <f>IF($BF229="","",MAX(INDEX(高値!$E229:$CZ229,1,$BE229+1):INDEX(高値!$E229:$CZ229,1,$BF229+1)))</f>
        <v>598</v>
      </c>
      <c r="BJ229" s="503">
        <f>IF($BF229="","",AVERAGE(INDEX(終値!$E229:$CZ229,1,$BF229+1):INDEX(終値!$E229:$CZ229,1,$BF229+20))-2*STDEVP(INDEX(終値!$E229:$CZ229,1,$BF229+1):INDEX(終値!$E229:$CZ229,1,$BF229+20)))</f>
        <v>602.68829583966726</v>
      </c>
      <c r="BK229" s="503">
        <f>IF($BE229="","",AVERAGE(INDEX(終値!$E229:$CZ229,1,$BE229+1):INDEX(終値!$E229:$CZ229,1,$BE229+20))-2*STDEVP(INDEX(終値!$E229:$CZ229,1,$BE229+1):INDEX(終値!$E229:$CZ229,1,$BE229+20)))</f>
        <v>550.71992154302779</v>
      </c>
      <c r="BL229" s="503">
        <f t="shared" si="21"/>
        <v>3</v>
      </c>
      <c r="BM229" s="503">
        <f t="shared" si="22"/>
        <v>11</v>
      </c>
      <c r="BN229" s="503">
        <f t="shared" si="23"/>
        <v>16</v>
      </c>
      <c r="BO229" s="503">
        <f>IF($BM229="","",INDEX(高値!$E229:$CZ229,1,$BM229+1))</f>
        <v>626</v>
      </c>
      <c r="BP229" s="503">
        <f>IF($BN229="","",INDEX(高値!$E229:$CZ229,1,$BN229+1))</f>
        <v>674</v>
      </c>
      <c r="BQ229" s="503">
        <f>IF($BN229="","",MIN(INDEX(安値!$E229:$CZ229,1,$BM229+1):INDEX(安値!$E229:$CZ229,1,$BN229+1)))</f>
        <v>585</v>
      </c>
      <c r="BR229" s="503">
        <f>IF($BN229="","",AVERAGE(INDEX(終値!$E229:$CZ229,1,$BN229+1):INDEX(終値!$E229:$CZ229,1,$BN229+20))+2*STDEVP(INDEX(終値!$E229:$CZ229,1,$BN229+1):INDEX(終値!$E229:$CZ229,1,$BN229+20)))</f>
        <v>723.01792508656638</v>
      </c>
      <c r="BS229" s="503">
        <f>IF($BM229="","",AVERAGE(INDEX(終値!$E229:$CZ229,1,$BM229+1):INDEX(終値!$E229:$CZ229,1,$BM229+20))+2*STDEVP(INDEX(終値!$E229:$CZ229,1,$BM229+1):INDEX(終値!$E229:$CZ229,1,$BM229+20)))</f>
        <v>698.27315237234734</v>
      </c>
      <c r="BT229" s="500"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3" t="str">
        <f>IF(終値!A230="","",IF(AND(安値!G230&lt;安値!F230,安値!G230&lt;安値!E230,安値!G230&lt;安値!H230,安値!G230&lt;安値!I230),2,""))</f>
        <v/>
      </c>
      <c r="C230" s="503" t="str">
        <f>IF(終値!A230="","",IF(AND(安値!H230&lt;安値!G230,安値!H230&lt;安値!F230,安値!H230&lt;安値!I230,安値!H230&lt;安値!J230),3,""))</f>
        <v/>
      </c>
      <c r="D230" s="503" t="str">
        <f>IF(終値!A230="","",IF(AND(安値!I230&lt;安値!H230,安値!I230&lt;安値!G230,安値!I230&lt;安値!J230,安値!I230&lt;安値!K230),4,""))</f>
        <v/>
      </c>
      <c r="E230" s="503" t="str">
        <f>IF(終値!A230="","",IF(AND(安値!J230&lt;安値!I230,安値!J230&lt;安値!H230,安値!J230&lt;安値!K230,安値!J230&lt;安値!L230),5,""))</f>
        <v/>
      </c>
      <c r="F230" s="503" t="str">
        <f>IF(終値!A230="","",IF(AND(安値!K230&lt;安値!J230,安値!K230&lt;安値!I230,安値!K230&lt;安値!L230,安値!K230&lt;安値!M230),6,""))</f>
        <v/>
      </c>
      <c r="G230" s="503" t="str">
        <f>IF(終値!A230="","",IF(AND(安値!L230&lt;安値!K230,安値!L230&lt;安値!J230,安値!L230&lt;安値!M230,安値!L230&lt;安値!N230),7,""))</f>
        <v/>
      </c>
      <c r="H230" s="503" t="str">
        <f>IF(終値!A230="","",IF(AND(安値!M230&lt;安値!L230,安値!M230&lt;安値!K230,安値!M230&lt;安値!N230,安値!M230&lt;安値!O230),8,""))</f>
        <v/>
      </c>
      <c r="I230" s="503" t="str">
        <f>IF(終値!A230="","",IF(AND(安値!N230&lt;安値!M230,安値!N230&lt;安値!L230,安値!N230&lt;安値!O230,安値!N230&lt;安値!P230),9,""))</f>
        <v/>
      </c>
      <c r="J230" s="503" t="str">
        <f>IF(終値!A230="","",IF(AND(安値!O230&lt;安値!N230,安値!O230&lt;安値!M230,安値!O230&lt;安値!P230,安値!O230&lt;安値!Q230),10,""))</f>
        <v/>
      </c>
      <c r="K230" s="503" t="str">
        <f>IF(終値!A230="","",IF(AND(安値!P230&lt;安値!O230,安値!P230&lt;安値!N230,安値!P230&lt;安値!Q230,安値!P230&lt;安値!R230),11,""))</f>
        <v/>
      </c>
      <c r="L230" s="503" t="str">
        <f>IF(終値!A230="","",IF(AND(安値!Q230&lt;安値!P230,安値!Q230&lt;安値!O230,安値!Q230&lt;安値!R230,安値!Q230&lt;安値!S230),12,""))</f>
        <v/>
      </c>
      <c r="M230" s="503" t="str">
        <f>IF(終値!A230="","",IF(AND(安値!R230&lt;安値!Q230,安値!R230&lt;安値!P230,安値!R230&lt;安値!S230,安値!R230&lt;安値!T230),13,""))</f>
        <v/>
      </c>
      <c r="N230" s="503" t="str">
        <f>IF(終値!A230="","",IF(AND(安値!S230&lt;安値!R230,安値!S230&lt;安値!Q230,安値!S230&lt;安値!T230,安値!S230&lt;安値!U230),14,""))</f>
        <v/>
      </c>
      <c r="O230" s="503" t="str">
        <f>IF(終値!A230="","",IF(AND(安値!T230&lt;安値!S230,安値!T230&lt;安値!R230,安値!T230&lt;安値!U230,安値!T230&lt;安値!V230),15,""))</f>
        <v/>
      </c>
      <c r="P230" s="503" t="str">
        <f>IF(終値!A230="","",IF(AND(安値!U230&lt;安値!T230,安値!U230&lt;安値!S230,安値!U230&lt;安値!V230,安値!U230&lt;安値!W230),16,""))</f>
        <v/>
      </c>
      <c r="Q230" s="503" t="str">
        <f>IF(終値!A230="","",IF(AND(安値!V230&lt;安値!U230,安値!V230&lt;安値!T230,安値!V230&lt;安値!W230,安値!V230&lt;安値!X230),17,""))</f>
        <v/>
      </c>
      <c r="R230" s="503" t="str">
        <f>IF(終値!A230="","",IF(AND(安値!W230&lt;安値!V230,安値!W230&lt;安値!U230,安値!W230&lt;安値!X230,安値!W230&lt;安値!Y230),18,""))</f>
        <v/>
      </c>
      <c r="S230" s="503" t="str">
        <f>IF(終値!A230="","",IF(AND(安値!X230&lt;安値!W230,安値!X230&lt;安値!V230,安値!X230&lt;安値!Y230,安値!X230&lt;安値!Z230),19,""))</f>
        <v/>
      </c>
      <c r="T230" s="503" t="str">
        <f>IF(終値!A230="","",IF(AND(安値!Y230&lt;安値!X230,安値!Y230&lt;安値!W230,安値!Y230&lt;安値!Z230,安値!Y230&lt;安値!AA230),20,""))</f>
        <v/>
      </c>
      <c r="U230" s="503" t="str">
        <f>IF(終値!A230="","",IF(AND(安値!Z230&lt;安値!Y230,安値!Z230&lt;安値!X230,安値!Z230&lt;安値!AA230,安値!Z230&lt;安値!AB230),21,""))</f>
        <v/>
      </c>
      <c r="V230" s="503" t="str">
        <f>IF(終値!A230="","",IF(AND(安値!AA230&lt;安値!Z230,安値!AA230&lt;安値!Y230,安値!AA230&lt;安値!AB230,安値!AA230&lt;安値!AC230),22,""))</f>
        <v/>
      </c>
      <c r="W230" s="503" t="str">
        <f>IF(終値!A230="","",IF(AND(安値!AB230&lt;安値!AA230,安値!AB230&lt;安値!Z230,安値!AB230&lt;安値!AC230,安値!AB230&lt;安値!AD230),23,""))</f>
        <v/>
      </c>
      <c r="X230" s="503" t="str">
        <f>IF(終値!A230="","",IF(AND(安値!AC230&lt;安値!AB230,安値!AC230&lt;安値!AA230,安値!AC230&lt;安値!AD230,安値!AC230&lt;安値!AE230),24,""))</f>
        <v/>
      </c>
      <c r="Y230" s="503" t="str">
        <f>IF(終値!A230="","",IF(AND(安値!AD230&lt;安値!AC230,安値!AD230&lt;安値!AB230,安値!AD230&lt;安値!AE230,安値!AD230&lt;安値!AF230),25,""))</f>
        <v/>
      </c>
      <c r="Z230" s="503" t="str">
        <f>IF(終値!A230="","",IF(AND(安値!AE230&lt;安値!AD230,安値!AE230&lt;安値!AC230,安値!AE230&lt;安値!AF230,安値!AE230&lt;安値!AG230),26,""))</f>
        <v/>
      </c>
      <c r="AA230" s="503" t="str">
        <f>IF(終値!A230="","",IF(AND(安値!AF230&lt;安値!AE230,安値!AF230&lt;安値!AD230,安値!AF230&lt;安値!AG230,安値!AF230&lt;安値!AH230),27,""))</f>
        <v/>
      </c>
      <c r="AB230" s="503" t="str">
        <f>IF(終値!A230="","",IF(AND(安値!AG230&lt;安値!AF230,安値!AG230&lt;安値!AE230,安値!AG230&lt;安値!AH230,安値!AG230&lt;安値!AI230),28,""))</f>
        <v/>
      </c>
      <c r="AC230" s="503" t="str">
        <f>IF(終値!A230="","",IF(AND(高値!G230&gt;高値!F230,高値!G230&gt;高値!E230,高値!G230&gt;高値!H230,高値!G230&gt;高値!I230),2,""))</f>
        <v/>
      </c>
      <c r="AD230" s="503" t="str">
        <f>IF(終値!A230="","",IF(AND(高値!H230&gt;高値!G230,高値!H230&gt;高値!F230,高値!H230&gt;高値!I230,高値!H230&gt;高値!J230),3,""))</f>
        <v/>
      </c>
      <c r="AE230" s="503" t="str">
        <f>IF(終値!A230="","",IF(AND(高値!I230&gt;高値!H230,高値!I230&gt;高値!G230,高値!I230&gt;高値!J230,高値!I230&gt;高値!K230),4,""))</f>
        <v/>
      </c>
      <c r="AF230" s="503" t="str">
        <f>IF(終値!A230="","",IF(AND(高値!J230&gt;高値!I230,高値!J230&gt;高値!H230,高値!J230&gt;高値!K230,高値!J230&gt;高値!L230),5,""))</f>
        <v/>
      </c>
      <c r="AG230" s="503" t="str">
        <f>IF(終値!A230="","",IF(AND(高値!K230&gt;高値!J230,高値!K230&gt;高値!I230,高値!K230&gt;高値!L230,高値!K230&gt;高値!M230),6,""))</f>
        <v/>
      </c>
      <c r="AH230" s="503" t="str">
        <f>IF(終値!A230="","",IF(AND(高値!L230&gt;高値!K230,高値!L230&gt;高値!J230,高値!L230&gt;高値!M230,高値!L230&gt;高値!N230),7,""))</f>
        <v/>
      </c>
      <c r="AI230" s="503" t="str">
        <f>IF(終値!A230="","",IF(AND(高値!M230&gt;高値!L230,高値!M230&gt;高値!K230,高値!M230&gt;高値!N230,高値!M230&gt;高値!O230),8,""))</f>
        <v/>
      </c>
      <c r="AJ230" s="503" t="str">
        <f>IF(終値!A230="","",IF(AND(高値!N230&gt;高値!M230,高値!N230&gt;高値!L230,高値!N230&gt;高値!O230,高値!N230&gt;高値!P230),9,""))</f>
        <v/>
      </c>
      <c r="AK230" s="503" t="str">
        <f>IF(終値!A230="","",IF(AND(高値!O230&gt;高値!N230,高値!O230&gt;高値!M230,高値!O230&gt;高値!P230,高値!O230&gt;高値!Q230),10,""))</f>
        <v/>
      </c>
      <c r="AL230" s="503" t="str">
        <f>IF(終値!A230="","",IF(AND(高値!P230&gt;高値!O230,高値!P230&gt;高値!N230,高値!P230&gt;高値!Q230,高値!P230&gt;高値!R230),11,""))</f>
        <v/>
      </c>
      <c r="AM230" s="503" t="str">
        <f>IF(終値!A230="","",IF(AND(高値!Q230&gt;高値!P230,高値!Q230&gt;高値!O230,高値!Q230&gt;高値!R230,高値!Q230&gt;高値!S230),12,""))</f>
        <v/>
      </c>
      <c r="AN230" s="503" t="str">
        <f>IF(終値!A230="","",IF(AND(高値!R230&gt;高値!Q230,高値!R230&gt;高値!P230,高値!R230&gt;高値!S230,高値!R230&gt;高値!T230),13,""))</f>
        <v/>
      </c>
      <c r="AO230" s="503" t="str">
        <f>IF(終値!A230="","",IF(AND(高値!S230&gt;高値!R230,高値!S230&gt;高値!Q230,高値!S230&gt;高値!T230,高値!S230&gt;高値!U230),14,""))</f>
        <v/>
      </c>
      <c r="AP230" s="503" t="str">
        <f>IF(終値!A230="","",IF(AND(高値!T230&gt;高値!S230,高値!T230&gt;高値!R230,高値!T230&gt;高値!U230,高値!T230&gt;高値!V230),15,""))</f>
        <v/>
      </c>
      <c r="AQ230" s="503" t="str">
        <f>IF(終値!A230="","",IF(AND(高値!U230&gt;高値!T230,高値!U230&gt;高値!S230,高値!U230&gt;高値!V230,高値!U230&gt;高値!W230),16,""))</f>
        <v/>
      </c>
      <c r="AR230" s="503" t="str">
        <f>IF(終値!A230="","",IF(AND(高値!V230&gt;高値!U230,高値!V230&gt;高値!T230,高値!V230&gt;高値!W230,高値!V230&gt;高値!X230),17,""))</f>
        <v/>
      </c>
      <c r="AS230" s="503" t="str">
        <f>IF(終値!A230="","",IF(AND(高値!W230&gt;高値!V230,高値!W230&gt;高値!U230,高値!W230&gt;高値!X230,高値!W230&gt;高値!Y230),18,""))</f>
        <v/>
      </c>
      <c r="AT230" s="503" t="str">
        <f>IF(終値!A230="","",IF(AND(高値!X230&gt;高値!W230,高値!X230&gt;高値!V230,高値!X230&gt;高値!Y230,高値!X230&gt;高値!Z230),19,""))</f>
        <v/>
      </c>
      <c r="AU230" s="503" t="str">
        <f>IF(終値!A230="","",IF(AND(高値!Y230&gt;高値!X230,高値!Y230&gt;高値!W230,高値!Y230&gt;高値!Z230,高値!Y230&gt;高値!AA230),20,""))</f>
        <v/>
      </c>
      <c r="AV230" s="503" t="str">
        <f>IF(終値!A230="","",IF(AND(高値!Z230&gt;高値!Y230,高値!Z230&gt;高値!X230,高値!Z230&gt;高値!AA230,高値!Z230&gt;高値!AB230),21,""))</f>
        <v/>
      </c>
      <c r="AW230" s="503" t="str">
        <f>IF(終値!A230="","",IF(AND(高値!AA230&gt;高値!Z230,高値!AA230&gt;高値!Y230,高値!AA230&gt;高値!AB230,高値!AA230&gt;高値!AC230),22,""))</f>
        <v/>
      </c>
      <c r="AX230" s="503" t="str">
        <f>IF(終値!A230="","",IF(AND(高値!AB230&gt;高値!AA230,高値!AB230&gt;高値!Z230,高値!AB230&gt;高値!AC230,高値!AB230&gt;高値!AD230),23,""))</f>
        <v/>
      </c>
      <c r="AY230" s="503" t="str">
        <f>IF(終値!A230="","",IF(AND(高値!AC230&gt;高値!AB230,高値!AC230&gt;高値!AA230,高値!AC230&gt;高値!AD230,高値!AC230&gt;高値!AE230),24,""))</f>
        <v/>
      </c>
      <c r="AZ230" s="503" t="str">
        <f>IF(終値!A230="","",IF(AND(高値!AD230&gt;高値!AC230,高値!AD230&gt;高値!AB230,高値!AD230&gt;高値!AE230,高値!AD230&gt;高値!AF230),25,""))</f>
        <v/>
      </c>
      <c r="BA230" s="503" t="str">
        <f>IF(終値!A230="","",IF(AND(高値!AE230&gt;高値!AD230,高値!AE230&gt;高値!AC230,高値!AE230&gt;高値!AF230,高値!AE230&gt;高値!AG230),26,""))</f>
        <v/>
      </c>
      <c r="BB230" s="503" t="str">
        <f>IF(終値!A230="","",IF(AND(高値!AF230&gt;高値!AE230,高値!AF230&gt;高値!AD230,高値!AF230&gt;高値!AG230,高値!AF230&gt;高値!AH230),27,""))</f>
        <v/>
      </c>
      <c r="BC230" s="503" t="str">
        <f>IF(終値!A230="","",IF(AND(高値!AG230&gt;高値!AF230,高値!AG230&gt;高値!AE230,高値!AG230&gt;高値!AH230,高値!AG230&gt;高値!AI230),28,""))</f>
        <v/>
      </c>
      <c r="BD230" s="503">
        <f t="shared" si="18"/>
        <v>0</v>
      </c>
      <c r="BE230" s="503" t="str">
        <f t="shared" si="19"/>
        <v/>
      </c>
      <c r="BF230" s="503" t="str">
        <f t="shared" si="20"/>
        <v/>
      </c>
      <c r="BG230" s="503" t="str">
        <f>IF($BE230="","",INDEX(安値!$E230:$CZ230,1,$BE230+1))</f>
        <v/>
      </c>
      <c r="BH230" s="503" t="str">
        <f>IF($BF230="","",INDEX(安値!$E230:$CZ230,1,$BF230+1))</f>
        <v/>
      </c>
      <c r="BI230" s="503" t="str">
        <f>IF($BF230="","",MAX(INDEX(高値!$E230:$CZ230,1,$BE230+1):INDEX(高値!$E230:$CZ230,1,$BF230+1)))</f>
        <v/>
      </c>
      <c r="BJ230" s="503" t="str">
        <f>IF($BF230="","",AVERAGE(INDEX(終値!$E230:$CZ230,1,$BF230+1):INDEX(終値!$E230:$CZ230,1,$BF230+20))-2*STDEVP(INDEX(終値!$E230:$CZ230,1,$BF230+1):INDEX(終値!$E230:$CZ230,1,$BF230+20)))</f>
        <v/>
      </c>
      <c r="BK230" s="503" t="str">
        <f>IF($BE230="","",AVERAGE(INDEX(終値!$E230:$CZ230,1,$BE230+1):INDEX(終値!$E230:$CZ230,1,$BE230+20))-2*STDEVP(INDEX(終値!$E230:$CZ230,1,$BE230+1):INDEX(終値!$E230:$CZ230,1,$BE230+20)))</f>
        <v/>
      </c>
      <c r="BL230" s="503">
        <f t="shared" si="21"/>
        <v>0</v>
      </c>
      <c r="BM230" s="503" t="str">
        <f t="shared" si="22"/>
        <v/>
      </c>
      <c r="BN230" s="503" t="str">
        <f t="shared" si="23"/>
        <v/>
      </c>
      <c r="BO230" s="503" t="str">
        <f>IF($BM230="","",INDEX(高値!$E230:$CZ230,1,$BM230+1))</f>
        <v/>
      </c>
      <c r="BP230" s="503" t="str">
        <f>IF($BN230="","",INDEX(高値!$E230:$CZ230,1,$BN230+1))</f>
        <v/>
      </c>
      <c r="BQ230" s="503" t="str">
        <f>IF($BN230="","",MIN(INDEX(安値!$E230:$CZ230,1,$BM230+1):INDEX(安値!$E230:$CZ230,1,$BN230+1)))</f>
        <v/>
      </c>
      <c r="BR230" s="503" t="str">
        <f>IF($BN230="","",AVERAGE(INDEX(終値!$E230:$CZ230,1,$BN230+1):INDEX(終値!$E230:$CZ230,1,$BN230+20))+2*STDEVP(INDEX(終値!$E230:$CZ230,1,$BN230+1):INDEX(終値!$E230:$CZ230,1,$BN230+20)))</f>
        <v/>
      </c>
      <c r="BS230" s="503" t="str">
        <f>IF($BM230="","",AVERAGE(INDEX(終値!$E230:$CZ230,1,$BM230+1):INDEX(終値!$E230:$CZ230,1,$BM230+20))+2*STDEVP(INDEX(終値!$E230:$CZ230,1,$BM230+1):INDEX(終値!$E230:$CZ230,1,$BM230+20)))</f>
        <v/>
      </c>
      <c r="BT230" s="500"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3" t="str">
        <f>IF(終値!A231="","",IF(AND(安値!G231&lt;安値!F231,安値!G231&lt;安値!E231,安値!G231&lt;安値!H231,安値!G231&lt;安値!I231),2,""))</f>
        <v/>
      </c>
      <c r="C231" s="503" t="str">
        <f>IF(終値!A231="","",IF(AND(安値!H231&lt;安値!G231,安値!H231&lt;安値!F231,安値!H231&lt;安値!I231,安値!H231&lt;安値!J231),3,""))</f>
        <v/>
      </c>
      <c r="D231" s="503" t="str">
        <f>IF(終値!A231="","",IF(AND(安値!I231&lt;安値!H231,安値!I231&lt;安値!G231,安値!I231&lt;安値!J231,安値!I231&lt;安値!K231),4,""))</f>
        <v/>
      </c>
      <c r="E231" s="503" t="str">
        <f>IF(終値!A231="","",IF(AND(安値!J231&lt;安値!I231,安値!J231&lt;安値!H231,安値!J231&lt;安値!K231,安値!J231&lt;安値!L231),5,""))</f>
        <v/>
      </c>
      <c r="F231" s="503" t="str">
        <f>IF(終値!A231="","",IF(AND(安値!K231&lt;安値!J231,安値!K231&lt;安値!I231,安値!K231&lt;安値!L231,安値!K231&lt;安値!M231),6,""))</f>
        <v/>
      </c>
      <c r="G231" s="503" t="str">
        <f>IF(終値!A231="","",IF(AND(安値!L231&lt;安値!K231,安値!L231&lt;安値!J231,安値!L231&lt;安値!M231,安値!L231&lt;安値!N231),7,""))</f>
        <v/>
      </c>
      <c r="H231" s="503" t="str">
        <f>IF(終値!A231="","",IF(AND(安値!M231&lt;安値!L231,安値!M231&lt;安値!K231,安値!M231&lt;安値!N231,安値!M231&lt;安値!O231),8,""))</f>
        <v/>
      </c>
      <c r="I231" s="503">
        <f>IF(終値!A231="","",IF(AND(安値!N231&lt;安値!M231,安値!N231&lt;安値!L231,安値!N231&lt;安値!O231,安値!N231&lt;安値!P231),9,""))</f>
        <v>9</v>
      </c>
      <c r="J231" s="503" t="str">
        <f>IF(終値!A231="","",IF(AND(安値!O231&lt;安値!N231,安値!O231&lt;安値!M231,安値!O231&lt;安値!P231,安値!O231&lt;安値!Q231),10,""))</f>
        <v/>
      </c>
      <c r="K231" s="503" t="str">
        <f>IF(終値!A231="","",IF(AND(安値!P231&lt;安値!O231,安値!P231&lt;安値!N231,安値!P231&lt;安値!Q231,安値!P231&lt;安値!R231),11,""))</f>
        <v/>
      </c>
      <c r="L231" s="503" t="str">
        <f>IF(終値!A231="","",IF(AND(安値!Q231&lt;安値!P231,安値!Q231&lt;安値!O231,安値!Q231&lt;安値!R231,安値!Q231&lt;安値!S231),12,""))</f>
        <v/>
      </c>
      <c r="M231" s="503">
        <f>IF(終値!A231="","",IF(AND(安値!R231&lt;安値!Q231,安値!R231&lt;安値!P231,安値!R231&lt;安値!S231,安値!R231&lt;安値!T231),13,""))</f>
        <v>13</v>
      </c>
      <c r="N231" s="503" t="str">
        <f>IF(終値!A231="","",IF(AND(安値!S231&lt;安値!R231,安値!S231&lt;安値!Q231,安値!S231&lt;安値!T231,安値!S231&lt;安値!U231),14,""))</f>
        <v/>
      </c>
      <c r="O231" s="503" t="str">
        <f>IF(終値!A231="","",IF(AND(安値!T231&lt;安値!S231,安値!T231&lt;安値!R231,安値!T231&lt;安値!U231,安値!T231&lt;安値!V231),15,""))</f>
        <v/>
      </c>
      <c r="P231" s="503">
        <f>IF(終値!A231="","",IF(AND(安値!U231&lt;安値!T231,安値!U231&lt;安値!S231,安値!U231&lt;安値!V231,安値!U231&lt;安値!W231),16,""))</f>
        <v>16</v>
      </c>
      <c r="Q231" s="503" t="str">
        <f>IF(終値!A231="","",IF(AND(安値!V231&lt;安値!U231,安値!V231&lt;安値!T231,安値!V231&lt;安値!W231,安値!V231&lt;安値!X231),17,""))</f>
        <v/>
      </c>
      <c r="R231" s="503" t="str">
        <f>IF(終値!A231="","",IF(AND(安値!W231&lt;安値!V231,安値!W231&lt;安値!U231,安値!W231&lt;安値!X231,安値!W231&lt;安値!Y231),18,""))</f>
        <v/>
      </c>
      <c r="S231" s="503" t="str">
        <f>IF(終値!A231="","",IF(AND(安値!X231&lt;安値!W231,安値!X231&lt;安値!V231,安値!X231&lt;安値!Y231,安値!X231&lt;安値!Z231),19,""))</f>
        <v/>
      </c>
      <c r="T231" s="503" t="str">
        <f>IF(終値!A231="","",IF(AND(安値!Y231&lt;安値!X231,安値!Y231&lt;安値!W231,安値!Y231&lt;安値!Z231,安値!Y231&lt;安値!AA231),20,""))</f>
        <v/>
      </c>
      <c r="U231" s="503" t="str">
        <f>IF(終値!A231="","",IF(AND(安値!Z231&lt;安値!Y231,安値!Z231&lt;安値!X231,安値!Z231&lt;安値!AA231,安値!Z231&lt;安値!AB231),21,""))</f>
        <v/>
      </c>
      <c r="V231" s="503" t="str">
        <f>IF(終値!A231="","",IF(AND(安値!AA231&lt;安値!Z231,安値!AA231&lt;安値!Y231,安値!AA231&lt;安値!AB231,安値!AA231&lt;安値!AC231),22,""))</f>
        <v/>
      </c>
      <c r="W231" s="503" t="str">
        <f>IF(終値!A231="","",IF(AND(安値!AB231&lt;安値!AA231,安値!AB231&lt;安値!Z231,安値!AB231&lt;安値!AC231,安値!AB231&lt;安値!AD231),23,""))</f>
        <v/>
      </c>
      <c r="X231" s="503">
        <f>IF(終値!A231="","",IF(AND(安値!AC231&lt;安値!AB231,安値!AC231&lt;安値!AA231,安値!AC231&lt;安値!AD231,安値!AC231&lt;安値!AE231),24,""))</f>
        <v>24</v>
      </c>
      <c r="Y231" s="503" t="str">
        <f>IF(終値!A231="","",IF(AND(安値!AD231&lt;安値!AC231,安値!AD231&lt;安値!AB231,安値!AD231&lt;安値!AE231,安値!AD231&lt;安値!AF231),25,""))</f>
        <v/>
      </c>
      <c r="Z231" s="503" t="str">
        <f>IF(終値!A231="","",IF(AND(安値!AE231&lt;安値!AD231,安値!AE231&lt;安値!AC231,安値!AE231&lt;安値!AF231,安値!AE231&lt;安値!AG231),26,""))</f>
        <v/>
      </c>
      <c r="AA231" s="503">
        <f>IF(終値!A231="","",IF(AND(安値!AF231&lt;安値!AE231,安値!AF231&lt;安値!AD231,安値!AF231&lt;安値!AG231,安値!AF231&lt;安値!AH231),27,""))</f>
        <v>27</v>
      </c>
      <c r="AB231" s="503" t="str">
        <f>IF(終値!A231="","",IF(AND(安値!AG231&lt;安値!AF231,安値!AG231&lt;安値!AE231,安値!AG231&lt;安値!AH231,安値!AG231&lt;安値!AI231),28,""))</f>
        <v/>
      </c>
      <c r="AC231" s="503" t="str">
        <f>IF(終値!A231="","",IF(AND(高値!G231&gt;高値!F231,高値!G231&gt;高値!E231,高値!G231&gt;高値!H231,高値!G231&gt;高値!I231),2,""))</f>
        <v/>
      </c>
      <c r="AD231" s="503" t="str">
        <f>IF(終値!A231="","",IF(AND(高値!H231&gt;高値!G231,高値!H231&gt;高値!F231,高値!H231&gt;高値!I231,高値!H231&gt;高値!J231),3,""))</f>
        <v/>
      </c>
      <c r="AE231" s="503" t="str">
        <f>IF(終値!A231="","",IF(AND(高値!I231&gt;高値!H231,高値!I231&gt;高値!G231,高値!I231&gt;高値!J231,高値!I231&gt;高値!K231),4,""))</f>
        <v/>
      </c>
      <c r="AF231" s="503" t="str">
        <f>IF(終値!A231="","",IF(AND(高値!J231&gt;高値!I231,高値!J231&gt;高値!H231,高値!J231&gt;高値!K231,高値!J231&gt;高値!L231),5,""))</f>
        <v/>
      </c>
      <c r="AG231" s="503" t="str">
        <f>IF(終値!A231="","",IF(AND(高値!K231&gt;高値!J231,高値!K231&gt;高値!I231,高値!K231&gt;高値!L231,高値!K231&gt;高値!M231),6,""))</f>
        <v/>
      </c>
      <c r="AH231" s="503" t="str">
        <f>IF(終値!A231="","",IF(AND(高値!L231&gt;高値!K231,高値!L231&gt;高値!J231,高値!L231&gt;高値!M231,高値!L231&gt;高値!N231),7,""))</f>
        <v/>
      </c>
      <c r="AI231" s="503" t="str">
        <f>IF(終値!A231="","",IF(AND(高値!M231&gt;高値!L231,高値!M231&gt;高値!K231,高値!M231&gt;高値!N231,高値!M231&gt;高値!O231),8,""))</f>
        <v/>
      </c>
      <c r="AJ231" s="503" t="str">
        <f>IF(終値!A231="","",IF(AND(高値!N231&gt;高値!M231,高値!N231&gt;高値!L231,高値!N231&gt;高値!O231,高値!N231&gt;高値!P231),9,""))</f>
        <v/>
      </c>
      <c r="AK231" s="503">
        <f>IF(終値!A231="","",IF(AND(高値!O231&gt;高値!N231,高値!O231&gt;高値!M231,高値!O231&gt;高値!P231,高値!O231&gt;高値!Q231),10,""))</f>
        <v>10</v>
      </c>
      <c r="AL231" s="503" t="str">
        <f>IF(終値!A231="","",IF(AND(高値!P231&gt;高値!O231,高値!P231&gt;高値!N231,高値!P231&gt;高値!Q231,高値!P231&gt;高値!R231),11,""))</f>
        <v/>
      </c>
      <c r="AM231" s="503" t="str">
        <f>IF(終値!A231="","",IF(AND(高値!Q231&gt;高値!P231,高値!Q231&gt;高値!O231,高値!Q231&gt;高値!R231,高値!Q231&gt;高値!S231),12,""))</f>
        <v/>
      </c>
      <c r="AN231" s="503">
        <f>IF(終値!A231="","",IF(AND(高値!R231&gt;高値!Q231,高値!R231&gt;高値!P231,高値!R231&gt;高値!S231,高値!R231&gt;高値!T231),13,""))</f>
        <v>13</v>
      </c>
      <c r="AO231" s="503" t="str">
        <f>IF(終値!A231="","",IF(AND(高値!S231&gt;高値!R231,高値!S231&gt;高値!Q231,高値!S231&gt;高値!T231,高値!S231&gt;高値!U231),14,""))</f>
        <v/>
      </c>
      <c r="AP231" s="503" t="str">
        <f>IF(終値!A231="","",IF(AND(高値!T231&gt;高値!S231,高値!T231&gt;高値!R231,高値!T231&gt;高値!U231,高値!T231&gt;高値!V231),15,""))</f>
        <v/>
      </c>
      <c r="AQ231" s="503" t="str">
        <f>IF(終値!A231="","",IF(AND(高値!U231&gt;高値!T231,高値!U231&gt;高値!S231,高値!U231&gt;高値!V231,高値!U231&gt;高値!W231),16,""))</f>
        <v/>
      </c>
      <c r="AR231" s="503" t="str">
        <f>IF(終値!A231="","",IF(AND(高値!V231&gt;高値!U231,高値!V231&gt;高値!T231,高値!V231&gt;高値!W231,高値!V231&gt;高値!X231),17,""))</f>
        <v/>
      </c>
      <c r="AS231" s="503" t="str">
        <f>IF(終値!A231="","",IF(AND(高値!W231&gt;高値!V231,高値!W231&gt;高値!U231,高値!W231&gt;高値!X231,高値!W231&gt;高値!Y231),18,""))</f>
        <v/>
      </c>
      <c r="AT231" s="503" t="str">
        <f>IF(終値!A231="","",IF(AND(高値!X231&gt;高値!W231,高値!X231&gt;高値!V231,高値!X231&gt;高値!Y231,高値!X231&gt;高値!Z231),19,""))</f>
        <v/>
      </c>
      <c r="AU231" s="503">
        <f>IF(終値!A231="","",IF(AND(高値!Y231&gt;高値!X231,高値!Y231&gt;高値!W231,高値!Y231&gt;高値!Z231,高値!Y231&gt;高値!AA231),20,""))</f>
        <v>20</v>
      </c>
      <c r="AV231" s="503" t="str">
        <f>IF(終値!A231="","",IF(AND(高値!Z231&gt;高値!Y231,高値!Z231&gt;高値!X231,高値!Z231&gt;高値!AA231,高値!Z231&gt;高値!AB231),21,""))</f>
        <v/>
      </c>
      <c r="AW231" s="503" t="str">
        <f>IF(終値!A231="","",IF(AND(高値!AA231&gt;高値!Z231,高値!AA231&gt;高値!Y231,高値!AA231&gt;高値!AB231,高値!AA231&gt;高値!AC231),22,""))</f>
        <v/>
      </c>
      <c r="AX231" s="503" t="str">
        <f>IF(終値!A231="","",IF(AND(高値!AB231&gt;高値!AA231,高値!AB231&gt;高値!Z231,高値!AB231&gt;高値!AC231,高値!AB231&gt;高値!AD231),23,""))</f>
        <v/>
      </c>
      <c r="AY231" s="503" t="str">
        <f>IF(終値!A231="","",IF(AND(高値!AC231&gt;高値!AB231,高値!AC231&gt;高値!AA231,高値!AC231&gt;高値!AD231,高値!AC231&gt;高値!AE231),24,""))</f>
        <v/>
      </c>
      <c r="AZ231" s="503" t="str">
        <f>IF(終値!A231="","",IF(AND(高値!AD231&gt;高値!AC231,高値!AD231&gt;高値!AB231,高値!AD231&gt;高値!AE231,高値!AD231&gt;高値!AF231),25,""))</f>
        <v/>
      </c>
      <c r="BA231" s="503" t="str">
        <f>IF(終値!A231="","",IF(AND(高値!AE231&gt;高値!AD231,高値!AE231&gt;高値!AC231,高値!AE231&gt;高値!AF231,高値!AE231&gt;高値!AG231),26,""))</f>
        <v/>
      </c>
      <c r="BB231" s="503" t="str">
        <f>IF(終値!A231="","",IF(AND(高値!AF231&gt;高値!AE231,高値!AF231&gt;高値!AD231,高値!AF231&gt;高値!AG231,高値!AF231&gt;高値!AH231),27,""))</f>
        <v/>
      </c>
      <c r="BC231" s="503" t="str">
        <f>IF(終値!A231="","",IF(AND(高値!AG231&gt;高値!AF231,高値!AG231&gt;高値!AE231,高値!AG231&gt;高値!AH231,高値!AG231&gt;高値!AI231),28,""))</f>
        <v/>
      </c>
      <c r="BD231" s="503">
        <f t="shared" si="18"/>
        <v>5</v>
      </c>
      <c r="BE231" s="503">
        <f t="shared" si="19"/>
        <v>9</v>
      </c>
      <c r="BF231" s="503">
        <f t="shared" si="20"/>
        <v>13</v>
      </c>
      <c r="BG231" s="503">
        <f>IF($BE231="","",INDEX(安値!$E231:$CZ231,1,$BE231+1))</f>
        <v>0</v>
      </c>
      <c r="BH231" s="503">
        <f>IF($BF231="","",INDEX(安値!$E231:$CZ231,1,$BF231+1))</f>
        <v>2626</v>
      </c>
      <c r="BI231" s="503">
        <f>IF($BF231="","",MAX(INDEX(高値!$E231:$CZ231,1,$BE231+1):INDEX(高値!$E231:$CZ231,1,$BF231+1)))</f>
        <v>2927</v>
      </c>
      <c r="BJ231" s="503">
        <f>IF($BF231="","",AVERAGE(INDEX(終値!$E231:$CZ231,1,$BF231+1):INDEX(終値!$E231:$CZ231,1,$BF231+20))-2*STDEVP(INDEX(終値!$E231:$CZ231,1,$BF231+1):INDEX(終値!$E231:$CZ231,1,$BF231+20)))</f>
        <v>2592.4500061259496</v>
      </c>
      <c r="BK231" s="503">
        <f>IF($BE231="","",AVERAGE(INDEX(終値!$E231:$CZ231,1,$BE231+1):INDEX(終値!$E231:$CZ231,1,$BE231+20))-2*STDEVP(INDEX(終値!$E231:$CZ231,1,$BE231+1):INDEX(終値!$E231:$CZ231,1,$BE231+20)))</f>
        <v>2592.3741747214781</v>
      </c>
      <c r="BL231" s="503">
        <f t="shared" si="21"/>
        <v>3</v>
      </c>
      <c r="BM231" s="503">
        <f t="shared" si="22"/>
        <v>10</v>
      </c>
      <c r="BN231" s="503">
        <f t="shared" si="23"/>
        <v>13</v>
      </c>
      <c r="BO231" s="503">
        <f>IF($BM231="","",INDEX(高値!$E231:$CZ231,1,$BM231+1))</f>
        <v>2927</v>
      </c>
      <c r="BP231" s="503">
        <f>IF($BN231="","",INDEX(高値!$E231:$CZ231,1,$BN231+1))</f>
        <v>2860</v>
      </c>
      <c r="BQ231" s="503">
        <f>IF($BN231="","",MIN(INDEX(安値!$E231:$CZ231,1,$BM231+1):INDEX(安値!$E231:$CZ231,1,$BN231+1)))</f>
        <v>2626</v>
      </c>
      <c r="BR231" s="503">
        <f>IF($BN231="","",AVERAGE(INDEX(終値!$E231:$CZ231,1,$BN231+1):INDEX(終値!$E231:$CZ231,1,$BN231+20))+2*STDEVP(INDEX(終値!$E231:$CZ231,1,$BN231+1):INDEX(終値!$E231:$CZ231,1,$BN231+20)))</f>
        <v>3000.5499938740504</v>
      </c>
      <c r="BS231" s="503">
        <f>IF($BM231="","",AVERAGE(INDEX(終値!$E231:$CZ231,1,$BM231+1):INDEX(終値!$E231:$CZ231,1,$BM231+20))+2*STDEVP(INDEX(終値!$E231:$CZ231,1,$BM231+1):INDEX(終値!$E231:$CZ231,1,$BM231+20)))</f>
        <v>3006.1841036058204</v>
      </c>
      <c r="BT231" s="500"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二番天井M形成</v>
      </c>
    </row>
    <row r="232" spans="2:72">
      <c r="B232" s="503" t="str">
        <f>IF(終値!A232="","",IF(AND(安値!G232&lt;安値!F232,安値!G232&lt;安値!E232,安値!G232&lt;安値!H232,安値!G232&lt;安値!I232),2,""))</f>
        <v/>
      </c>
      <c r="C232" s="503">
        <f>IF(終値!A232="","",IF(AND(安値!H232&lt;安値!G232,安値!H232&lt;安値!F232,安値!H232&lt;安値!I232,安値!H232&lt;安値!J232),3,""))</f>
        <v>3</v>
      </c>
      <c r="D232" s="503" t="str">
        <f>IF(終値!A232="","",IF(AND(安値!I232&lt;安値!H232,安値!I232&lt;安値!G232,安値!I232&lt;安値!J232,安値!I232&lt;安値!K232),4,""))</f>
        <v/>
      </c>
      <c r="E232" s="503" t="str">
        <f>IF(終値!A232="","",IF(AND(安値!J232&lt;安値!I232,安値!J232&lt;安値!H232,安値!J232&lt;安値!K232,安値!J232&lt;安値!L232),5,""))</f>
        <v/>
      </c>
      <c r="F232" s="503" t="str">
        <f>IF(終値!A232="","",IF(AND(安値!K232&lt;安値!J232,安値!K232&lt;安値!I232,安値!K232&lt;安値!L232,安値!K232&lt;安値!M232),6,""))</f>
        <v/>
      </c>
      <c r="G232" s="503" t="str">
        <f>IF(終値!A232="","",IF(AND(安値!L232&lt;安値!K232,安値!L232&lt;安値!J232,安値!L232&lt;安値!M232,安値!L232&lt;安値!N232),7,""))</f>
        <v/>
      </c>
      <c r="H232" s="503" t="str">
        <f>IF(終値!A232="","",IF(AND(安値!M232&lt;安値!L232,安値!M232&lt;安値!K232,安値!M232&lt;安値!N232,安値!M232&lt;安値!O232),8,""))</f>
        <v/>
      </c>
      <c r="I232" s="503">
        <f>IF(終値!A232="","",IF(AND(安値!N232&lt;安値!M232,安値!N232&lt;安値!L232,安値!N232&lt;安値!O232,安値!N232&lt;安値!P232),9,""))</f>
        <v>9</v>
      </c>
      <c r="J232" s="503" t="str">
        <f>IF(終値!A232="","",IF(AND(安値!O232&lt;安値!N232,安値!O232&lt;安値!M232,安値!O232&lt;安値!P232,安値!O232&lt;安値!Q232),10,""))</f>
        <v/>
      </c>
      <c r="K232" s="503" t="str">
        <f>IF(終値!A232="","",IF(AND(安値!P232&lt;安値!O232,安値!P232&lt;安値!N232,安値!P232&lt;安値!Q232,安値!P232&lt;安値!R232),11,""))</f>
        <v/>
      </c>
      <c r="L232" s="503" t="str">
        <f>IF(終値!A232="","",IF(AND(安値!Q232&lt;安値!P232,安値!Q232&lt;安値!O232,安値!Q232&lt;安値!R232,安値!Q232&lt;安値!S232),12,""))</f>
        <v/>
      </c>
      <c r="M232" s="503">
        <f>IF(終値!A232="","",IF(AND(安値!R232&lt;安値!Q232,安値!R232&lt;安値!P232,安値!R232&lt;安値!S232,安値!R232&lt;安値!T232),13,""))</f>
        <v>13</v>
      </c>
      <c r="N232" s="503" t="str">
        <f>IF(終値!A232="","",IF(AND(安値!S232&lt;安値!R232,安値!S232&lt;安値!Q232,安値!S232&lt;安値!T232,安値!S232&lt;安値!U232),14,""))</f>
        <v/>
      </c>
      <c r="O232" s="503" t="str">
        <f>IF(終値!A232="","",IF(AND(安値!T232&lt;安値!S232,安値!T232&lt;安値!R232,安値!T232&lt;安値!U232,安値!T232&lt;安値!V232),15,""))</f>
        <v/>
      </c>
      <c r="P232" s="503" t="str">
        <f>IF(終値!A232="","",IF(AND(安値!U232&lt;安値!T232,安値!U232&lt;安値!S232,安値!U232&lt;安値!V232,安値!U232&lt;安値!W232),16,""))</f>
        <v/>
      </c>
      <c r="Q232" s="503" t="str">
        <f>IF(終値!A232="","",IF(AND(安値!V232&lt;安値!U232,安値!V232&lt;安値!T232,安値!V232&lt;安値!W232,安値!V232&lt;安値!X232),17,""))</f>
        <v/>
      </c>
      <c r="R232" s="503">
        <f>IF(終値!A232="","",IF(AND(安値!W232&lt;安値!V232,安値!W232&lt;安値!U232,安値!W232&lt;安値!X232,安値!W232&lt;安値!Y232),18,""))</f>
        <v>18</v>
      </c>
      <c r="S232" s="503" t="str">
        <f>IF(終値!A232="","",IF(AND(安値!X232&lt;安値!W232,安値!X232&lt;安値!V232,安値!X232&lt;安値!Y232,安値!X232&lt;安値!Z232),19,""))</f>
        <v/>
      </c>
      <c r="T232" s="503" t="str">
        <f>IF(終値!A232="","",IF(AND(安値!Y232&lt;安値!X232,安値!Y232&lt;安値!W232,安値!Y232&lt;安値!Z232,安値!Y232&lt;安値!AA232),20,""))</f>
        <v/>
      </c>
      <c r="U232" s="503" t="str">
        <f>IF(終値!A232="","",IF(AND(安値!Z232&lt;安値!Y232,安値!Z232&lt;安値!X232,安値!Z232&lt;安値!AA232,安値!Z232&lt;安値!AB232),21,""))</f>
        <v/>
      </c>
      <c r="V232" s="503" t="str">
        <f>IF(終値!A232="","",IF(AND(安値!AA232&lt;安値!Z232,安値!AA232&lt;安値!Y232,安値!AA232&lt;安値!AB232,安値!AA232&lt;安値!AC232),22,""))</f>
        <v/>
      </c>
      <c r="W232" s="503" t="str">
        <f>IF(終値!A232="","",IF(AND(安値!AB232&lt;安値!AA232,安値!AB232&lt;安値!Z232,安値!AB232&lt;安値!AC232,安値!AB232&lt;安値!AD232),23,""))</f>
        <v/>
      </c>
      <c r="X232" s="503" t="str">
        <f>IF(終値!A232="","",IF(AND(安値!AC232&lt;安値!AB232,安値!AC232&lt;安値!AA232,安値!AC232&lt;安値!AD232,安値!AC232&lt;安値!AE232),24,""))</f>
        <v/>
      </c>
      <c r="Y232" s="503" t="str">
        <f>IF(終値!A232="","",IF(AND(安値!AD232&lt;安値!AC232,安値!AD232&lt;安値!AB232,安値!AD232&lt;安値!AE232,安値!AD232&lt;安値!AF232),25,""))</f>
        <v/>
      </c>
      <c r="Z232" s="503">
        <f>IF(終値!A232="","",IF(AND(安値!AE232&lt;安値!AD232,安値!AE232&lt;安値!AC232,安値!AE232&lt;安値!AF232,安値!AE232&lt;安値!AG232),26,""))</f>
        <v>26</v>
      </c>
      <c r="AA232" s="503" t="str">
        <f>IF(終値!A232="","",IF(AND(安値!AF232&lt;安値!AE232,安値!AF232&lt;安値!AD232,安値!AF232&lt;安値!AG232,安値!AF232&lt;安値!AH232),27,""))</f>
        <v/>
      </c>
      <c r="AB232" s="503" t="str">
        <f>IF(終値!A232="","",IF(AND(安値!AG232&lt;安値!AF232,安値!AG232&lt;安値!AE232,安値!AG232&lt;安値!AH232,安値!AG232&lt;安値!AI232),28,""))</f>
        <v/>
      </c>
      <c r="AC232" s="503" t="str">
        <f>IF(終値!A232="","",IF(AND(高値!G232&gt;高値!F232,高値!G232&gt;高値!E232,高値!G232&gt;高値!H232,高値!G232&gt;高値!I232),2,""))</f>
        <v/>
      </c>
      <c r="AD232" s="503" t="str">
        <f>IF(終値!A232="","",IF(AND(高値!H232&gt;高値!G232,高値!H232&gt;高値!F232,高値!H232&gt;高値!I232,高値!H232&gt;高値!J232),3,""))</f>
        <v/>
      </c>
      <c r="AE232" s="503" t="str">
        <f>IF(終値!A232="","",IF(AND(高値!I232&gt;高値!H232,高値!I232&gt;高値!G232,高値!I232&gt;高値!J232,高値!I232&gt;高値!K232),4,""))</f>
        <v/>
      </c>
      <c r="AF232" s="503" t="str">
        <f>IF(終値!A232="","",IF(AND(高値!J232&gt;高値!I232,高値!J232&gt;高値!H232,高値!J232&gt;高値!K232,高値!J232&gt;高値!L232),5,""))</f>
        <v/>
      </c>
      <c r="AG232" s="503" t="str">
        <f>IF(終値!A232="","",IF(AND(高値!K232&gt;高値!J232,高値!K232&gt;高値!I232,高値!K232&gt;高値!L232,高値!K232&gt;高値!M232),6,""))</f>
        <v/>
      </c>
      <c r="AH232" s="503" t="str">
        <f>IF(終値!A232="","",IF(AND(高値!L232&gt;高値!K232,高値!L232&gt;高値!J232,高値!L232&gt;高値!M232,高値!L232&gt;高値!N232),7,""))</f>
        <v/>
      </c>
      <c r="AI232" s="503" t="str">
        <f>IF(終値!A232="","",IF(AND(高値!M232&gt;高値!L232,高値!M232&gt;高値!K232,高値!M232&gt;高値!N232,高値!M232&gt;高値!O232),8,""))</f>
        <v/>
      </c>
      <c r="AJ232" s="503" t="str">
        <f>IF(終値!A232="","",IF(AND(高値!N232&gt;高値!M232,高値!N232&gt;高値!L232,高値!N232&gt;高値!O232,高値!N232&gt;高値!P232),9,""))</f>
        <v/>
      </c>
      <c r="AK232" s="503" t="str">
        <f>IF(終値!A232="","",IF(AND(高値!O232&gt;高値!N232,高値!O232&gt;高値!M232,高値!O232&gt;高値!P232,高値!O232&gt;高値!Q232),10,""))</f>
        <v/>
      </c>
      <c r="AL232" s="503">
        <f>IF(終値!A232="","",IF(AND(高値!P232&gt;高値!O232,高値!P232&gt;高値!N232,高値!P232&gt;高値!Q232,高値!P232&gt;高値!R232),11,""))</f>
        <v>11</v>
      </c>
      <c r="AM232" s="503" t="str">
        <f>IF(終値!A232="","",IF(AND(高値!Q232&gt;高値!P232,高値!Q232&gt;高値!O232,高値!Q232&gt;高値!R232,高値!Q232&gt;高値!S232),12,""))</f>
        <v/>
      </c>
      <c r="AN232" s="503" t="str">
        <f>IF(終値!A232="","",IF(AND(高値!R232&gt;高値!Q232,高値!R232&gt;高値!P232,高値!R232&gt;高値!S232,高値!R232&gt;高値!T232),13,""))</f>
        <v/>
      </c>
      <c r="AO232" s="503" t="str">
        <f>IF(終値!A232="","",IF(AND(高値!S232&gt;高値!R232,高値!S232&gt;高値!Q232,高値!S232&gt;高値!T232,高値!S232&gt;高値!U232),14,""))</f>
        <v/>
      </c>
      <c r="AP232" s="503" t="str">
        <f>IF(終値!A232="","",IF(AND(高値!T232&gt;高値!S232,高値!T232&gt;高値!R232,高値!T232&gt;高値!U232,高値!T232&gt;高値!V232),15,""))</f>
        <v/>
      </c>
      <c r="AQ232" s="503">
        <f>IF(終値!A232="","",IF(AND(高値!U232&gt;高値!T232,高値!U232&gt;高値!S232,高値!U232&gt;高値!V232,高値!U232&gt;高値!W232),16,""))</f>
        <v>16</v>
      </c>
      <c r="AR232" s="503" t="str">
        <f>IF(終値!A232="","",IF(AND(高値!V232&gt;高値!U232,高値!V232&gt;高値!T232,高値!V232&gt;高値!W232,高値!V232&gt;高値!X232),17,""))</f>
        <v/>
      </c>
      <c r="AS232" s="503" t="str">
        <f>IF(終値!A232="","",IF(AND(高値!W232&gt;高値!V232,高値!W232&gt;高値!U232,高値!W232&gt;高値!X232,高値!W232&gt;高値!Y232),18,""))</f>
        <v/>
      </c>
      <c r="AT232" s="503" t="str">
        <f>IF(終値!A232="","",IF(AND(高値!X232&gt;高値!W232,高値!X232&gt;高値!V232,高値!X232&gt;高値!Y232,高値!X232&gt;高値!Z232),19,""))</f>
        <v/>
      </c>
      <c r="AU232" s="503" t="str">
        <f>IF(終値!A232="","",IF(AND(高値!Y232&gt;高値!X232,高値!Y232&gt;高値!W232,高値!Y232&gt;高値!Z232,高値!Y232&gt;高値!AA232),20,""))</f>
        <v/>
      </c>
      <c r="AV232" s="503" t="str">
        <f>IF(終値!A232="","",IF(AND(高値!Z232&gt;高値!Y232,高値!Z232&gt;高値!X232,高値!Z232&gt;高値!AA232,高値!Z232&gt;高値!AB232),21,""))</f>
        <v/>
      </c>
      <c r="AW232" s="503" t="str">
        <f>IF(終値!A232="","",IF(AND(高値!AA232&gt;高値!Z232,高値!AA232&gt;高値!Y232,高値!AA232&gt;高値!AB232,高値!AA232&gt;高値!AC232),22,""))</f>
        <v/>
      </c>
      <c r="AX232" s="503" t="str">
        <f>IF(終値!A232="","",IF(AND(高値!AB232&gt;高値!AA232,高値!AB232&gt;高値!Z232,高値!AB232&gt;高値!AC232,高値!AB232&gt;高値!AD232),23,""))</f>
        <v/>
      </c>
      <c r="AY232" s="503" t="str">
        <f>IF(終値!A232="","",IF(AND(高値!AC232&gt;高値!AB232,高値!AC232&gt;高値!AA232,高値!AC232&gt;高値!AD232,高値!AC232&gt;高値!AE232),24,""))</f>
        <v/>
      </c>
      <c r="AZ232" s="503" t="str">
        <f>IF(終値!A232="","",IF(AND(高値!AD232&gt;高値!AC232,高値!AD232&gt;高値!AB232,高値!AD232&gt;高値!AE232,高値!AD232&gt;高値!AF232),25,""))</f>
        <v/>
      </c>
      <c r="BA232" s="503" t="str">
        <f>IF(終値!A232="","",IF(AND(高値!AE232&gt;高値!AD232,高値!AE232&gt;高値!AC232,高値!AE232&gt;高値!AF232,高値!AE232&gt;高値!AG232),26,""))</f>
        <v/>
      </c>
      <c r="BB232" s="503" t="str">
        <f>IF(終値!A232="","",IF(AND(高値!AF232&gt;高値!AE232,高値!AF232&gt;高値!AD232,高値!AF232&gt;高値!AG232,高値!AF232&gt;高値!AH232),27,""))</f>
        <v/>
      </c>
      <c r="BC232" s="503" t="str">
        <f>IF(終値!A232="","",IF(AND(高値!AG232&gt;高値!AF232,高値!AG232&gt;高値!AE232,高値!AG232&gt;高値!AH232,高値!AG232&gt;高値!AI232),28,""))</f>
        <v/>
      </c>
      <c r="BD232" s="503">
        <f t="shared" si="18"/>
        <v>5</v>
      </c>
      <c r="BE232" s="503">
        <f t="shared" si="19"/>
        <v>3</v>
      </c>
      <c r="BF232" s="503">
        <f t="shared" si="20"/>
        <v>9</v>
      </c>
      <c r="BG232" s="503">
        <f>IF($BE232="","",INDEX(安値!$E232:$CZ232,1,$BE232+1))</f>
        <v>3980</v>
      </c>
      <c r="BH232" s="503">
        <f>IF($BF232="","",INDEX(安値!$E232:$CZ232,1,$BF232+1))</f>
        <v>4050</v>
      </c>
      <c r="BI232" s="503">
        <f>IF($BF232="","",MAX(INDEX(高値!$E232:$CZ232,1,$BE232+1):INDEX(高値!$E232:$CZ232,1,$BF232+1)))</f>
        <v>4210</v>
      </c>
      <c r="BJ232" s="503">
        <f>IF($BF232="","",AVERAGE(INDEX(終値!$E232:$CZ232,1,$BF232+1):INDEX(終値!$E232:$CZ232,1,$BF232+20))-2*STDEVP(INDEX(終値!$E232:$CZ232,1,$BF232+1):INDEX(終値!$E232:$CZ232,1,$BF232+20)))</f>
        <v>3935.5282290196674</v>
      </c>
      <c r="BK232" s="503">
        <f>IF($BE232="","",AVERAGE(INDEX(終値!$E232:$CZ232,1,$BE232+1):INDEX(終値!$E232:$CZ232,1,$BE232+20))-2*STDEVP(INDEX(終値!$E232:$CZ232,1,$BE232+1):INDEX(終値!$E232:$CZ232,1,$BE232+20)))</f>
        <v>4008.2776420305622</v>
      </c>
      <c r="BL232" s="503">
        <f t="shared" si="21"/>
        <v>2</v>
      </c>
      <c r="BM232" s="503">
        <f t="shared" si="22"/>
        <v>11</v>
      </c>
      <c r="BN232" s="503">
        <f t="shared" si="23"/>
        <v>16</v>
      </c>
      <c r="BO232" s="503">
        <f>IF($BM232="","",INDEX(高値!$E232:$CZ232,1,$BM232+1))</f>
        <v>4125</v>
      </c>
      <c r="BP232" s="503">
        <f>IF($BN232="","",INDEX(高値!$E232:$CZ232,1,$BN232+1))</f>
        <v>4180</v>
      </c>
      <c r="BQ232" s="503">
        <f>IF($BN232="","",MIN(INDEX(安値!$E232:$CZ232,1,$BM232+1):INDEX(安値!$E232:$CZ232,1,$BN232+1)))</f>
        <v>3990</v>
      </c>
      <c r="BR232" s="503">
        <f>IF($BN232="","",AVERAGE(INDEX(終値!$E232:$CZ232,1,$BN232+1):INDEX(終値!$E232:$CZ232,1,$BN232+20))+2*STDEVP(INDEX(終値!$E232:$CZ232,1,$BN232+1):INDEX(終値!$E232:$CZ232,1,$BN232+20)))</f>
        <v>4177.2030522281912</v>
      </c>
      <c r="BS232" s="503">
        <f>IF($BM232="","",AVERAGE(INDEX(終値!$E232:$CZ232,1,$BM232+1):INDEX(終値!$E232:$CZ232,1,$BM232+20))+2*STDEVP(INDEX(終値!$E232:$CZ232,1,$BM232+1):INDEX(終値!$E232:$CZ232,1,$BM232+20)))</f>
        <v>4176.5362850137008</v>
      </c>
      <c r="BT232" s="500"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二番底W形成</v>
      </c>
    </row>
    <row r="233" spans="2:72">
      <c r="B233" s="503" t="str">
        <f>IF(終値!A233="","",IF(AND(安値!G233&lt;安値!F233,安値!G233&lt;安値!E233,安値!G233&lt;安値!H233,安値!G233&lt;安値!I233),2,""))</f>
        <v/>
      </c>
      <c r="C233" s="503" t="str">
        <f>IF(終値!A233="","",IF(AND(安値!H233&lt;安値!G233,安値!H233&lt;安値!F233,安値!H233&lt;安値!I233,安値!H233&lt;安値!J233),3,""))</f>
        <v/>
      </c>
      <c r="D233" s="503" t="str">
        <f>IF(終値!A233="","",IF(AND(安値!I233&lt;安値!H233,安値!I233&lt;安値!G233,安値!I233&lt;安値!J233,安値!I233&lt;安値!K233),4,""))</f>
        <v/>
      </c>
      <c r="E233" s="503" t="str">
        <f>IF(終値!A233="","",IF(AND(安値!J233&lt;安値!I233,安値!J233&lt;安値!H233,安値!J233&lt;安値!K233,安値!J233&lt;安値!L233),5,""))</f>
        <v/>
      </c>
      <c r="F233" s="503">
        <f>IF(終値!A233="","",IF(AND(安値!K233&lt;安値!J233,安値!K233&lt;安値!I233,安値!K233&lt;安値!L233,安値!K233&lt;安値!M233),6,""))</f>
        <v>6</v>
      </c>
      <c r="G233" s="503" t="str">
        <f>IF(終値!A233="","",IF(AND(安値!L233&lt;安値!K233,安値!L233&lt;安値!J233,安値!L233&lt;安値!M233,安値!L233&lt;安値!N233),7,""))</f>
        <v/>
      </c>
      <c r="H233" s="503" t="str">
        <f>IF(終値!A233="","",IF(AND(安値!M233&lt;安値!L233,安値!M233&lt;安値!K233,安値!M233&lt;安値!N233,安値!M233&lt;安値!O233),8,""))</f>
        <v/>
      </c>
      <c r="I233" s="503" t="str">
        <f>IF(終値!A233="","",IF(AND(安値!N233&lt;安値!M233,安値!N233&lt;安値!L233,安値!N233&lt;安値!O233,安値!N233&lt;安値!P233),9,""))</f>
        <v/>
      </c>
      <c r="J233" s="503" t="str">
        <f>IF(終値!A233="","",IF(AND(安値!O233&lt;安値!N233,安値!O233&lt;安値!M233,安値!O233&lt;安値!P233,安値!O233&lt;安値!Q233),10,""))</f>
        <v/>
      </c>
      <c r="K233" s="503" t="str">
        <f>IF(終値!A233="","",IF(AND(安値!P233&lt;安値!O233,安値!P233&lt;安値!N233,安値!P233&lt;安値!Q233,安値!P233&lt;安値!R233),11,""))</f>
        <v/>
      </c>
      <c r="L233" s="503" t="str">
        <f>IF(終値!A233="","",IF(AND(安値!Q233&lt;安値!P233,安値!Q233&lt;安値!O233,安値!Q233&lt;安値!R233,安値!Q233&lt;安値!S233),12,""))</f>
        <v/>
      </c>
      <c r="M233" s="503">
        <f>IF(終値!A233="","",IF(AND(安値!R233&lt;安値!Q233,安値!R233&lt;安値!P233,安値!R233&lt;安値!S233,安値!R233&lt;安値!T233),13,""))</f>
        <v>13</v>
      </c>
      <c r="N233" s="503" t="str">
        <f>IF(終値!A233="","",IF(AND(安値!S233&lt;安値!R233,安値!S233&lt;安値!Q233,安値!S233&lt;安値!T233,安値!S233&lt;安値!U233),14,""))</f>
        <v/>
      </c>
      <c r="O233" s="503" t="str">
        <f>IF(終値!A233="","",IF(AND(安値!T233&lt;安値!S233,安値!T233&lt;安値!R233,安値!T233&lt;安値!U233,安値!T233&lt;安値!V233),15,""))</f>
        <v/>
      </c>
      <c r="P233" s="503" t="str">
        <f>IF(終値!A233="","",IF(AND(安値!U233&lt;安値!T233,安値!U233&lt;安値!S233,安値!U233&lt;安値!V233,安値!U233&lt;安値!W233),16,""))</f>
        <v/>
      </c>
      <c r="Q233" s="503" t="str">
        <f>IF(終値!A233="","",IF(AND(安値!V233&lt;安値!U233,安値!V233&lt;安値!T233,安値!V233&lt;安値!W233,安値!V233&lt;安値!X233),17,""))</f>
        <v/>
      </c>
      <c r="R233" s="503" t="str">
        <f>IF(終値!A233="","",IF(AND(安値!W233&lt;安値!V233,安値!W233&lt;安値!U233,安値!W233&lt;安値!X233,安値!W233&lt;安値!Y233),18,""))</f>
        <v/>
      </c>
      <c r="S233" s="503">
        <f>IF(終値!A233="","",IF(AND(安値!X233&lt;安値!W233,安値!X233&lt;安値!V233,安値!X233&lt;安値!Y233,安値!X233&lt;安値!Z233),19,""))</f>
        <v>19</v>
      </c>
      <c r="T233" s="503" t="str">
        <f>IF(終値!A233="","",IF(AND(安値!Y233&lt;安値!X233,安値!Y233&lt;安値!W233,安値!Y233&lt;安値!Z233,安値!Y233&lt;安値!AA233),20,""))</f>
        <v/>
      </c>
      <c r="U233" s="503" t="str">
        <f>IF(終値!A233="","",IF(AND(安値!Z233&lt;安値!Y233,安値!Z233&lt;安値!X233,安値!Z233&lt;安値!AA233,安値!Z233&lt;安値!AB233),21,""))</f>
        <v/>
      </c>
      <c r="V233" s="503" t="str">
        <f>IF(終値!A233="","",IF(AND(安値!AA233&lt;安値!Z233,安値!AA233&lt;安値!Y233,安値!AA233&lt;安値!AB233,安値!AA233&lt;安値!AC233),22,""))</f>
        <v/>
      </c>
      <c r="W233" s="503" t="str">
        <f>IF(終値!A233="","",IF(AND(安値!AB233&lt;安値!AA233,安値!AB233&lt;安値!Z233,安値!AB233&lt;安値!AC233,安値!AB233&lt;安値!AD233),23,""))</f>
        <v/>
      </c>
      <c r="X233" s="503" t="str">
        <f>IF(終値!A233="","",IF(AND(安値!AC233&lt;安値!AB233,安値!AC233&lt;安値!AA233,安値!AC233&lt;安値!AD233,安値!AC233&lt;安値!AE233),24,""))</f>
        <v/>
      </c>
      <c r="Y233" s="503" t="str">
        <f>IF(終値!A233="","",IF(AND(安値!AD233&lt;安値!AC233,安値!AD233&lt;安値!AB233,安値!AD233&lt;安値!AE233,安値!AD233&lt;安値!AF233),25,""))</f>
        <v/>
      </c>
      <c r="Z233" s="503" t="str">
        <f>IF(終値!A233="","",IF(AND(安値!AE233&lt;安値!AD233,安値!AE233&lt;安値!AC233,安値!AE233&lt;安値!AF233,安値!AE233&lt;安値!AG233),26,""))</f>
        <v/>
      </c>
      <c r="AA233" s="503" t="str">
        <f>IF(終値!A233="","",IF(AND(安値!AF233&lt;安値!AE233,安値!AF233&lt;安値!AD233,安値!AF233&lt;安値!AG233,安値!AF233&lt;安値!AH233),27,""))</f>
        <v/>
      </c>
      <c r="AB233" s="503" t="str">
        <f>IF(終値!A233="","",IF(AND(安値!AG233&lt;安値!AF233,安値!AG233&lt;安値!AE233,安値!AG233&lt;安値!AH233,安値!AG233&lt;安値!AI233),28,""))</f>
        <v/>
      </c>
      <c r="AC233" s="503">
        <f>IF(終値!A233="","",IF(AND(高値!G233&gt;高値!F233,高値!G233&gt;高値!E233,高値!G233&gt;高値!H233,高値!G233&gt;高値!I233),2,""))</f>
        <v>2</v>
      </c>
      <c r="AD233" s="503" t="str">
        <f>IF(終値!A233="","",IF(AND(高値!H233&gt;高値!G233,高値!H233&gt;高値!F233,高値!H233&gt;高値!I233,高値!H233&gt;高値!J233),3,""))</f>
        <v/>
      </c>
      <c r="AE233" s="503" t="str">
        <f>IF(終値!A233="","",IF(AND(高値!I233&gt;高値!H233,高値!I233&gt;高値!G233,高値!I233&gt;高値!J233,高値!I233&gt;高値!K233),4,""))</f>
        <v/>
      </c>
      <c r="AF233" s="503" t="str">
        <f>IF(終値!A233="","",IF(AND(高値!J233&gt;高値!I233,高値!J233&gt;高値!H233,高値!J233&gt;高値!K233,高値!J233&gt;高値!L233),5,""))</f>
        <v/>
      </c>
      <c r="AG233" s="503" t="str">
        <f>IF(終値!A233="","",IF(AND(高値!K233&gt;高値!J233,高値!K233&gt;高値!I233,高値!K233&gt;高値!L233,高値!K233&gt;高値!M233),6,""))</f>
        <v/>
      </c>
      <c r="AH233" s="503" t="str">
        <f>IF(終値!A233="","",IF(AND(高値!L233&gt;高値!K233,高値!L233&gt;高値!J233,高値!L233&gt;高値!M233,高値!L233&gt;高値!N233),7,""))</f>
        <v/>
      </c>
      <c r="AI233" s="503" t="str">
        <f>IF(終値!A233="","",IF(AND(高値!M233&gt;高値!L233,高値!M233&gt;高値!K233,高値!M233&gt;高値!N233,高値!M233&gt;高値!O233),8,""))</f>
        <v/>
      </c>
      <c r="AJ233" s="503" t="str">
        <f>IF(終値!A233="","",IF(AND(高値!N233&gt;高値!M233,高値!N233&gt;高値!L233,高値!N233&gt;高値!O233,高値!N233&gt;高値!P233),9,""))</f>
        <v/>
      </c>
      <c r="AK233" s="503" t="str">
        <f>IF(終値!A233="","",IF(AND(高値!O233&gt;高値!N233,高値!O233&gt;高値!M233,高値!O233&gt;高値!P233,高値!O233&gt;高値!Q233),10,""))</f>
        <v/>
      </c>
      <c r="AL233" s="503">
        <f>IF(終値!A233="","",IF(AND(高値!P233&gt;高値!O233,高値!P233&gt;高値!N233,高値!P233&gt;高値!Q233,高値!P233&gt;高値!R233),11,""))</f>
        <v>11</v>
      </c>
      <c r="AM233" s="503" t="str">
        <f>IF(終値!A233="","",IF(AND(高値!Q233&gt;高値!P233,高値!Q233&gt;高値!O233,高値!Q233&gt;高値!R233,高値!Q233&gt;高値!S233),12,""))</f>
        <v/>
      </c>
      <c r="AN233" s="503" t="str">
        <f>IF(終値!A233="","",IF(AND(高値!R233&gt;高値!Q233,高値!R233&gt;高値!P233,高値!R233&gt;高値!S233,高値!R233&gt;高値!T233),13,""))</f>
        <v/>
      </c>
      <c r="AO233" s="503" t="str">
        <f>IF(終値!A233="","",IF(AND(高値!S233&gt;高値!R233,高値!S233&gt;高値!Q233,高値!S233&gt;高値!T233,高値!S233&gt;高値!U233),14,""))</f>
        <v/>
      </c>
      <c r="AP233" s="503" t="str">
        <f>IF(終値!A233="","",IF(AND(高値!T233&gt;高値!S233,高値!T233&gt;高値!R233,高値!T233&gt;高値!U233,高値!T233&gt;高値!V233),15,""))</f>
        <v/>
      </c>
      <c r="AQ233" s="503" t="str">
        <f>IF(終値!A233="","",IF(AND(高値!U233&gt;高値!T233,高値!U233&gt;高値!S233,高値!U233&gt;高値!V233,高値!U233&gt;高値!W233),16,""))</f>
        <v/>
      </c>
      <c r="AR233" s="503">
        <f>IF(終値!A233="","",IF(AND(高値!V233&gt;高値!U233,高値!V233&gt;高値!T233,高値!V233&gt;高値!W233,高値!V233&gt;高値!X233),17,""))</f>
        <v>17</v>
      </c>
      <c r="AS233" s="503" t="str">
        <f>IF(終値!A233="","",IF(AND(高値!W233&gt;高値!V233,高値!W233&gt;高値!U233,高値!W233&gt;高値!X233,高値!W233&gt;高値!Y233),18,""))</f>
        <v/>
      </c>
      <c r="AT233" s="503" t="str">
        <f>IF(終値!A233="","",IF(AND(高値!X233&gt;高値!W233,高値!X233&gt;高値!V233,高値!X233&gt;高値!Y233,高値!X233&gt;高値!Z233),19,""))</f>
        <v/>
      </c>
      <c r="AU233" s="503" t="str">
        <f>IF(終値!A233="","",IF(AND(高値!Y233&gt;高値!X233,高値!Y233&gt;高値!W233,高値!Y233&gt;高値!Z233,高値!Y233&gt;高値!AA233),20,""))</f>
        <v/>
      </c>
      <c r="AV233" s="503">
        <f>IF(終値!A233="","",IF(AND(高値!Z233&gt;高値!Y233,高値!Z233&gt;高値!X233,高値!Z233&gt;高値!AA233,高値!Z233&gt;高値!AB233),21,""))</f>
        <v>21</v>
      </c>
      <c r="AW233" s="503" t="str">
        <f>IF(終値!A233="","",IF(AND(高値!AA233&gt;高値!Z233,高値!AA233&gt;高値!Y233,高値!AA233&gt;高値!AB233,高値!AA233&gt;高値!AC233),22,""))</f>
        <v/>
      </c>
      <c r="AX233" s="503" t="str">
        <f>IF(終値!A233="","",IF(AND(高値!AB233&gt;高値!AA233,高値!AB233&gt;高値!Z233,高値!AB233&gt;高値!AC233,高値!AB233&gt;高値!AD233),23,""))</f>
        <v/>
      </c>
      <c r="AY233" s="503" t="str">
        <f>IF(終値!A233="","",IF(AND(高値!AC233&gt;高値!AB233,高値!AC233&gt;高値!AA233,高値!AC233&gt;高値!AD233,高値!AC233&gt;高値!AE233),24,""))</f>
        <v/>
      </c>
      <c r="AZ233" s="503" t="str">
        <f>IF(終値!A233="","",IF(AND(高値!AD233&gt;高値!AC233,高値!AD233&gt;高値!AB233,高値!AD233&gt;高値!AE233,高値!AD233&gt;高値!AF233),25,""))</f>
        <v/>
      </c>
      <c r="BA233" s="503" t="str">
        <f>IF(終値!A233="","",IF(AND(高値!AE233&gt;高値!AD233,高値!AE233&gt;高値!AC233,高値!AE233&gt;高値!AF233,高値!AE233&gt;高値!AG233),26,""))</f>
        <v/>
      </c>
      <c r="BB233" s="503" t="str">
        <f>IF(終値!A233="","",IF(AND(高値!AF233&gt;高値!AE233,高値!AF233&gt;高値!AD233,高値!AF233&gt;高値!AG233,高値!AF233&gt;高値!AH233),27,""))</f>
        <v/>
      </c>
      <c r="BC233" s="503" t="str">
        <f>IF(終値!A233="","",IF(AND(高値!AG233&gt;高値!AF233,高値!AG233&gt;高値!AE233,高値!AG233&gt;高値!AH233,高値!AG233&gt;高値!AI233),28,""))</f>
        <v/>
      </c>
      <c r="BD233" s="503">
        <f t="shared" si="18"/>
        <v>3</v>
      </c>
      <c r="BE233" s="503">
        <f t="shared" si="19"/>
        <v>6</v>
      </c>
      <c r="BF233" s="503">
        <f t="shared" si="20"/>
        <v>13</v>
      </c>
      <c r="BG233" s="503">
        <f>IF($BE233="","",INDEX(安値!$E233:$CZ233,1,$BE233+1))</f>
        <v>3395</v>
      </c>
      <c r="BH233" s="503">
        <f>IF($BF233="","",INDEX(安値!$E233:$CZ233,1,$BF233+1))</f>
        <v>3515</v>
      </c>
      <c r="BI233" s="503">
        <f>IF($BF233="","",MAX(INDEX(高値!$E233:$CZ233,1,$BE233+1):INDEX(高値!$E233:$CZ233,1,$BF233+1)))</f>
        <v>3801</v>
      </c>
      <c r="BJ233" s="503">
        <f>IF($BF233="","",AVERAGE(INDEX(終値!$E233:$CZ233,1,$BF233+1):INDEX(終値!$E233:$CZ233,1,$BF233+20))-2*STDEVP(INDEX(終値!$E233:$CZ233,1,$BF233+1):INDEX(終値!$E233:$CZ233,1,$BF233+20)))</f>
        <v>3622.7462406268046</v>
      </c>
      <c r="BK233" s="503">
        <f>IF($BE233="","",AVERAGE(INDEX(終値!$E233:$CZ233,1,$BE233+1):INDEX(終値!$E233:$CZ233,1,$BE233+20))-2*STDEVP(INDEX(終値!$E233:$CZ233,1,$BE233+1):INDEX(終値!$E233:$CZ233,1,$BE233+20)))</f>
        <v>3437.2483802674105</v>
      </c>
      <c r="BL233" s="503">
        <f t="shared" si="21"/>
        <v>4</v>
      </c>
      <c r="BM233" s="503">
        <f t="shared" si="22"/>
        <v>2</v>
      </c>
      <c r="BN233" s="503">
        <f t="shared" si="23"/>
        <v>11</v>
      </c>
      <c r="BO233" s="503">
        <f>IF($BM233="","",INDEX(高値!$E233:$CZ233,1,$BM233+1))</f>
        <v>4178</v>
      </c>
      <c r="BP233" s="503">
        <f>IF($BN233="","",INDEX(高値!$E233:$CZ233,1,$BN233+1))</f>
        <v>3801</v>
      </c>
      <c r="BQ233" s="503">
        <f>IF($BN233="","",MIN(INDEX(安値!$E233:$CZ233,1,$BM233+1):INDEX(安値!$E233:$CZ233,1,$BN233+1)))</f>
        <v>3395</v>
      </c>
      <c r="BR233" s="503">
        <f>IF($BN233="","",AVERAGE(INDEX(終値!$E233:$CZ233,1,$BN233+1):INDEX(終値!$E233:$CZ233,1,$BN233+20))+2*STDEVP(INDEX(終値!$E233:$CZ233,1,$BN233+1):INDEX(終値!$E233:$CZ233,1,$BN233+20)))</f>
        <v>4188.3585636898752</v>
      </c>
      <c r="BS233" s="503">
        <f>IF($BM233="","",AVERAGE(INDEX(終値!$E233:$CZ233,1,$BM233+1):INDEX(終値!$E233:$CZ233,1,$BM233+20))+2*STDEVP(INDEX(終値!$E233:$CZ233,1,$BM233+1):INDEX(終値!$E233:$CZ233,1,$BM233+20)))</f>
        <v>4178.2183498284276</v>
      </c>
      <c r="BT233" s="500"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二番底W▲</v>
      </c>
    </row>
    <row r="234" spans="2:72">
      <c r="B234" s="503" t="str">
        <f>IF(終値!A234="","",IF(AND(安値!G234&lt;安値!F234,安値!G234&lt;安値!E234,安値!G234&lt;安値!H234,安値!G234&lt;安値!I234),2,""))</f>
        <v/>
      </c>
      <c r="C234" s="503" t="str">
        <f>IF(終値!A234="","",IF(AND(安値!H234&lt;安値!G234,安値!H234&lt;安値!F234,安値!H234&lt;安値!I234,安値!H234&lt;安値!J234),3,""))</f>
        <v/>
      </c>
      <c r="D234" s="503" t="str">
        <f>IF(終値!A234="","",IF(AND(安値!I234&lt;安値!H234,安値!I234&lt;安値!G234,安値!I234&lt;安値!J234,安値!I234&lt;安値!K234),4,""))</f>
        <v/>
      </c>
      <c r="E234" s="503" t="str">
        <f>IF(終値!A234="","",IF(AND(安値!J234&lt;安値!I234,安値!J234&lt;安値!H234,安値!J234&lt;安値!K234,安値!J234&lt;安値!L234),5,""))</f>
        <v/>
      </c>
      <c r="F234" s="503">
        <f>IF(終値!A234="","",IF(AND(安値!K234&lt;安値!J234,安値!K234&lt;安値!I234,安値!K234&lt;安値!L234,安値!K234&lt;安値!M234),6,""))</f>
        <v>6</v>
      </c>
      <c r="G234" s="503" t="str">
        <f>IF(終値!A234="","",IF(AND(安値!L234&lt;安値!K234,安値!L234&lt;安値!J234,安値!L234&lt;安値!M234,安値!L234&lt;安値!N234),7,""))</f>
        <v/>
      </c>
      <c r="H234" s="503" t="str">
        <f>IF(終値!A234="","",IF(AND(安値!M234&lt;安値!L234,安値!M234&lt;安値!K234,安値!M234&lt;安値!N234,安値!M234&lt;安値!O234),8,""))</f>
        <v/>
      </c>
      <c r="I234" s="503" t="str">
        <f>IF(終値!A234="","",IF(AND(安値!N234&lt;安値!M234,安値!N234&lt;安値!L234,安値!N234&lt;安値!O234,安値!N234&lt;安値!P234),9,""))</f>
        <v/>
      </c>
      <c r="J234" s="503" t="str">
        <f>IF(終値!A234="","",IF(AND(安値!O234&lt;安値!N234,安値!O234&lt;安値!M234,安値!O234&lt;安値!P234,安値!O234&lt;安値!Q234),10,""))</f>
        <v/>
      </c>
      <c r="K234" s="503" t="str">
        <f>IF(終値!A234="","",IF(AND(安値!P234&lt;安値!O234,安値!P234&lt;安値!N234,安値!P234&lt;安値!Q234,安値!P234&lt;安値!R234),11,""))</f>
        <v/>
      </c>
      <c r="L234" s="503" t="str">
        <f>IF(終値!A234="","",IF(AND(安値!Q234&lt;安値!P234,安値!Q234&lt;安値!O234,安値!Q234&lt;安値!R234,安値!Q234&lt;安値!S234),12,""))</f>
        <v/>
      </c>
      <c r="M234" s="503">
        <f>IF(終値!A234="","",IF(AND(安値!R234&lt;安値!Q234,安値!R234&lt;安値!P234,安値!R234&lt;安値!S234,安値!R234&lt;安値!T234),13,""))</f>
        <v>13</v>
      </c>
      <c r="N234" s="503" t="str">
        <f>IF(終値!A234="","",IF(AND(安値!S234&lt;安値!R234,安値!S234&lt;安値!Q234,安値!S234&lt;安値!T234,安値!S234&lt;安値!U234),14,""))</f>
        <v/>
      </c>
      <c r="O234" s="503" t="str">
        <f>IF(終値!A234="","",IF(AND(安値!T234&lt;安値!S234,安値!T234&lt;安値!R234,安値!T234&lt;安値!U234,安値!T234&lt;安値!V234),15,""))</f>
        <v/>
      </c>
      <c r="P234" s="503" t="str">
        <f>IF(終値!A234="","",IF(AND(安値!U234&lt;安値!T234,安値!U234&lt;安値!S234,安値!U234&lt;安値!V234,安値!U234&lt;安値!W234),16,""))</f>
        <v/>
      </c>
      <c r="Q234" s="503" t="str">
        <f>IF(終値!A234="","",IF(AND(安値!V234&lt;安値!U234,安値!V234&lt;安値!T234,安値!V234&lt;安値!W234,安値!V234&lt;安値!X234),17,""))</f>
        <v/>
      </c>
      <c r="R234" s="503" t="str">
        <f>IF(終値!A234="","",IF(AND(安値!W234&lt;安値!V234,安値!W234&lt;安値!U234,安値!W234&lt;安値!X234,安値!W234&lt;安値!Y234),18,""))</f>
        <v/>
      </c>
      <c r="S234" s="503">
        <f>IF(終値!A234="","",IF(AND(安値!X234&lt;安値!W234,安値!X234&lt;安値!V234,安値!X234&lt;安値!Y234,安値!X234&lt;安値!Z234),19,""))</f>
        <v>19</v>
      </c>
      <c r="T234" s="503" t="str">
        <f>IF(終値!A234="","",IF(AND(安値!Y234&lt;安値!X234,安値!Y234&lt;安値!W234,安値!Y234&lt;安値!Z234,安値!Y234&lt;安値!AA234),20,""))</f>
        <v/>
      </c>
      <c r="U234" s="503" t="str">
        <f>IF(終値!A234="","",IF(AND(安値!Z234&lt;安値!Y234,安値!Z234&lt;安値!X234,安値!Z234&lt;安値!AA234,安値!Z234&lt;安値!AB234),21,""))</f>
        <v/>
      </c>
      <c r="V234" s="503" t="str">
        <f>IF(終値!A234="","",IF(AND(安値!AA234&lt;安値!Z234,安値!AA234&lt;安値!Y234,安値!AA234&lt;安値!AB234,安値!AA234&lt;安値!AC234),22,""))</f>
        <v/>
      </c>
      <c r="W234" s="503" t="str">
        <f>IF(終値!A234="","",IF(AND(安値!AB234&lt;安値!AA234,安値!AB234&lt;安値!Z234,安値!AB234&lt;安値!AC234,安値!AB234&lt;安値!AD234),23,""))</f>
        <v/>
      </c>
      <c r="X234" s="503" t="str">
        <f>IF(終値!A234="","",IF(AND(安値!AC234&lt;安値!AB234,安値!AC234&lt;安値!AA234,安値!AC234&lt;安値!AD234,安値!AC234&lt;安値!AE234),24,""))</f>
        <v/>
      </c>
      <c r="Y234" s="503" t="str">
        <f>IF(終値!A234="","",IF(AND(安値!AD234&lt;安値!AC234,安値!AD234&lt;安値!AB234,安値!AD234&lt;安値!AE234,安値!AD234&lt;安値!AF234),25,""))</f>
        <v/>
      </c>
      <c r="Z234" s="503">
        <f>IF(終値!A234="","",IF(AND(安値!AE234&lt;安値!AD234,安値!AE234&lt;安値!AC234,安値!AE234&lt;安値!AF234,安値!AE234&lt;安値!AG234),26,""))</f>
        <v>26</v>
      </c>
      <c r="AA234" s="503" t="str">
        <f>IF(終値!A234="","",IF(AND(安値!AF234&lt;安値!AE234,安値!AF234&lt;安値!AD234,安値!AF234&lt;安値!AG234,安値!AF234&lt;安値!AH234),27,""))</f>
        <v/>
      </c>
      <c r="AB234" s="503" t="str">
        <f>IF(終値!A234="","",IF(AND(安値!AG234&lt;安値!AF234,安値!AG234&lt;安値!AE234,安値!AG234&lt;安値!AH234,安値!AG234&lt;安値!AI234),28,""))</f>
        <v/>
      </c>
      <c r="AC234" s="503" t="str">
        <f>IF(終値!A234="","",IF(AND(高値!G234&gt;高値!F234,高値!G234&gt;高値!E234,高値!G234&gt;高値!H234,高値!G234&gt;高値!I234),2,""))</f>
        <v/>
      </c>
      <c r="AD234" s="503">
        <f>IF(終値!A234="","",IF(AND(高値!H234&gt;高値!G234,高値!H234&gt;高値!F234,高値!H234&gt;高値!I234,高値!H234&gt;高値!J234),3,""))</f>
        <v>3</v>
      </c>
      <c r="AE234" s="503" t="str">
        <f>IF(終値!A234="","",IF(AND(高値!I234&gt;高値!H234,高値!I234&gt;高値!G234,高値!I234&gt;高値!J234,高値!I234&gt;高値!K234),4,""))</f>
        <v/>
      </c>
      <c r="AF234" s="503" t="str">
        <f>IF(終値!A234="","",IF(AND(高値!J234&gt;高値!I234,高値!J234&gt;高値!H234,高値!J234&gt;高値!K234,高値!J234&gt;高値!L234),5,""))</f>
        <v/>
      </c>
      <c r="AG234" s="503" t="str">
        <f>IF(終値!A234="","",IF(AND(高値!K234&gt;高値!J234,高値!K234&gt;高値!I234,高値!K234&gt;高値!L234,高値!K234&gt;高値!M234),6,""))</f>
        <v/>
      </c>
      <c r="AH234" s="503" t="str">
        <f>IF(終値!A234="","",IF(AND(高値!L234&gt;高値!K234,高値!L234&gt;高値!J234,高値!L234&gt;高値!M234,高値!L234&gt;高値!N234),7,""))</f>
        <v/>
      </c>
      <c r="AI234" s="503" t="str">
        <f>IF(終値!A234="","",IF(AND(高値!M234&gt;高値!L234,高値!M234&gt;高値!K234,高値!M234&gt;高値!N234,高値!M234&gt;高値!O234),8,""))</f>
        <v/>
      </c>
      <c r="AJ234" s="503" t="str">
        <f>IF(終値!A234="","",IF(AND(高値!N234&gt;高値!M234,高値!N234&gt;高値!L234,高値!N234&gt;高値!O234,高値!N234&gt;高値!P234),9,""))</f>
        <v/>
      </c>
      <c r="AK234" s="503">
        <f>IF(終値!A234="","",IF(AND(高値!O234&gt;高値!N234,高値!O234&gt;高値!M234,高値!O234&gt;高値!P234,高値!O234&gt;高値!Q234),10,""))</f>
        <v>10</v>
      </c>
      <c r="AL234" s="503" t="str">
        <f>IF(終値!A234="","",IF(AND(高値!P234&gt;高値!O234,高値!P234&gt;高値!N234,高値!P234&gt;高値!Q234,高値!P234&gt;高値!R234),11,""))</f>
        <v/>
      </c>
      <c r="AM234" s="503" t="str">
        <f>IF(終値!A234="","",IF(AND(高値!Q234&gt;高値!P234,高値!Q234&gt;高値!O234,高値!Q234&gt;高値!R234,高値!Q234&gt;高値!S234),12,""))</f>
        <v/>
      </c>
      <c r="AN234" s="503" t="str">
        <f>IF(終値!A234="","",IF(AND(高値!R234&gt;高値!Q234,高値!R234&gt;高値!P234,高値!R234&gt;高値!S234,高値!R234&gt;高値!T234),13,""))</f>
        <v/>
      </c>
      <c r="AO234" s="503" t="str">
        <f>IF(終値!A234="","",IF(AND(高値!S234&gt;高値!R234,高値!S234&gt;高値!Q234,高値!S234&gt;高値!T234,高値!S234&gt;高値!U234),14,""))</f>
        <v/>
      </c>
      <c r="AP234" s="503" t="str">
        <f>IF(終値!A234="","",IF(AND(高値!T234&gt;高値!S234,高値!T234&gt;高値!R234,高値!T234&gt;高値!U234,高値!T234&gt;高値!V234),15,""))</f>
        <v/>
      </c>
      <c r="AQ234" s="503" t="str">
        <f>IF(終値!A234="","",IF(AND(高値!U234&gt;高値!T234,高値!U234&gt;高値!S234,高値!U234&gt;高値!V234,高値!U234&gt;高値!W234),16,""))</f>
        <v/>
      </c>
      <c r="AR234" s="503">
        <f>IF(終値!A234="","",IF(AND(高値!V234&gt;高値!U234,高値!V234&gt;高値!T234,高値!V234&gt;高値!W234,高値!V234&gt;高値!X234),17,""))</f>
        <v>17</v>
      </c>
      <c r="AS234" s="503" t="str">
        <f>IF(終値!A234="","",IF(AND(高値!W234&gt;高値!V234,高値!W234&gt;高値!U234,高値!W234&gt;高値!X234,高値!W234&gt;高値!Y234),18,""))</f>
        <v/>
      </c>
      <c r="AT234" s="503" t="str">
        <f>IF(終値!A234="","",IF(AND(高値!X234&gt;高値!W234,高値!X234&gt;高値!V234,高値!X234&gt;高値!Y234,高値!X234&gt;高値!Z234),19,""))</f>
        <v/>
      </c>
      <c r="AU234" s="503" t="str">
        <f>IF(終値!A234="","",IF(AND(高値!Y234&gt;高値!X234,高値!Y234&gt;高値!W234,高値!Y234&gt;高値!Z234,高値!Y234&gt;高値!AA234),20,""))</f>
        <v/>
      </c>
      <c r="AV234" s="503" t="str">
        <f>IF(終値!A234="","",IF(AND(高値!Z234&gt;高値!Y234,高値!Z234&gt;高値!X234,高値!Z234&gt;高値!AA234,高値!Z234&gt;高値!AB234),21,""))</f>
        <v/>
      </c>
      <c r="AW234" s="503" t="str">
        <f>IF(終値!A234="","",IF(AND(高値!AA234&gt;高値!Z234,高値!AA234&gt;高値!Y234,高値!AA234&gt;高値!AB234,高値!AA234&gt;高値!AC234),22,""))</f>
        <v/>
      </c>
      <c r="AX234" s="503">
        <f>IF(終値!A234="","",IF(AND(高値!AB234&gt;高値!AA234,高値!AB234&gt;高値!Z234,高値!AB234&gt;高値!AC234,高値!AB234&gt;高値!AD234),23,""))</f>
        <v>23</v>
      </c>
      <c r="AY234" s="503" t="str">
        <f>IF(終値!A234="","",IF(AND(高値!AC234&gt;高値!AB234,高値!AC234&gt;高値!AA234,高値!AC234&gt;高値!AD234,高値!AC234&gt;高値!AE234),24,""))</f>
        <v/>
      </c>
      <c r="AZ234" s="503" t="str">
        <f>IF(終値!A234="","",IF(AND(高値!AD234&gt;高値!AC234,高値!AD234&gt;高値!AB234,高値!AD234&gt;高値!AE234,高値!AD234&gt;高値!AF234),25,""))</f>
        <v/>
      </c>
      <c r="BA234" s="503" t="str">
        <f>IF(終値!A234="","",IF(AND(高値!AE234&gt;高値!AD234,高値!AE234&gt;高値!AC234,高値!AE234&gt;高値!AF234,高値!AE234&gt;高値!AG234),26,""))</f>
        <v/>
      </c>
      <c r="BB234" s="503" t="str">
        <f>IF(終値!A234="","",IF(AND(高値!AF234&gt;高値!AE234,高値!AF234&gt;高値!AD234,高値!AF234&gt;高値!AG234,高値!AF234&gt;高値!AH234),27,""))</f>
        <v/>
      </c>
      <c r="BC234" s="503" t="str">
        <f>IF(終値!A234="","",IF(AND(高値!AG234&gt;高値!AF234,高値!AG234&gt;高値!AE234,高値!AG234&gt;高値!AH234,高値!AG234&gt;高値!AI234),28,""))</f>
        <v/>
      </c>
      <c r="BD234" s="503">
        <f t="shared" si="18"/>
        <v>4</v>
      </c>
      <c r="BE234" s="503">
        <f t="shared" si="19"/>
        <v>6</v>
      </c>
      <c r="BF234" s="503">
        <f t="shared" si="20"/>
        <v>13</v>
      </c>
      <c r="BG234" s="503">
        <f>IF($BE234="","",INDEX(安値!$E234:$CZ234,1,$BE234+1))</f>
        <v>2651</v>
      </c>
      <c r="BH234" s="503">
        <f>IF($BF234="","",INDEX(安値!$E234:$CZ234,1,$BF234+1))</f>
        <v>2847</v>
      </c>
      <c r="BI234" s="503">
        <f>IF($BF234="","",MAX(INDEX(高値!$E234:$CZ234,1,$BE234+1):INDEX(高値!$E234:$CZ234,1,$BF234+1)))</f>
        <v>3196</v>
      </c>
      <c r="BJ234" s="503">
        <f>IF($BF234="","",AVERAGE(INDEX(終値!$E234:$CZ234,1,$BF234+1):INDEX(終値!$E234:$CZ234,1,$BF234+20))-2*STDEVP(INDEX(終値!$E234:$CZ234,1,$BF234+1):INDEX(終値!$E234:$CZ234,1,$BF234+20)))</f>
        <v>2982.5823713349496</v>
      </c>
      <c r="BK234" s="503">
        <f>IF($BE234="","",AVERAGE(INDEX(終値!$E234:$CZ234,1,$BE234+1):INDEX(終値!$E234:$CZ234,1,$BE234+20))-2*STDEVP(INDEX(終値!$E234:$CZ234,1,$BE234+1):INDEX(終値!$E234:$CZ234,1,$BE234+20)))</f>
        <v>2730.4275044866263</v>
      </c>
      <c r="BL234" s="503">
        <f t="shared" si="21"/>
        <v>4</v>
      </c>
      <c r="BM234" s="503">
        <f t="shared" si="22"/>
        <v>3</v>
      </c>
      <c r="BN234" s="503">
        <f t="shared" si="23"/>
        <v>10</v>
      </c>
      <c r="BO234" s="503">
        <f>IF($BM234="","",INDEX(高値!$E234:$CZ234,1,$BM234+1))</f>
        <v>3282</v>
      </c>
      <c r="BP234" s="503">
        <f>IF($BN234="","",INDEX(高値!$E234:$CZ234,1,$BN234+1))</f>
        <v>3196</v>
      </c>
      <c r="BQ234" s="503">
        <f>IF($BN234="","",MIN(INDEX(安値!$E234:$CZ234,1,$BM234+1):INDEX(安値!$E234:$CZ234,1,$BN234+1)))</f>
        <v>2651</v>
      </c>
      <c r="BR234" s="503">
        <f>IF($BN234="","",AVERAGE(INDEX(終値!$E234:$CZ234,1,$BN234+1):INDEX(終値!$E234:$CZ234,1,$BN234+20))+2*STDEVP(INDEX(終値!$E234:$CZ234,1,$BN234+1):INDEX(終値!$E234:$CZ234,1,$BN234+20)))</f>
        <v>3937.4626133290553</v>
      </c>
      <c r="BS234" s="503">
        <f>IF($BM234="","",AVERAGE(INDEX(終値!$E234:$CZ234,1,$BM234+1):INDEX(終値!$E234:$CZ234,1,$BM234+20))+2*STDEVP(INDEX(終値!$E234:$CZ234,1,$BM234+1):INDEX(終値!$E234:$CZ234,1,$BM234+20)))</f>
        <v>3616.9628222951342</v>
      </c>
      <c r="BT234" s="500"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二番天井M形成</v>
      </c>
    </row>
    <row r="235" spans="2:72">
      <c r="B235" s="503" t="str">
        <f>IF(終値!A235="","",IF(AND(安値!G235&lt;安値!F235,安値!G235&lt;安値!E235,安値!G235&lt;安値!H235,安値!G235&lt;安値!I235),2,""))</f>
        <v/>
      </c>
      <c r="C235" s="503" t="str">
        <f>IF(終値!A235="","",IF(AND(安値!H235&lt;安値!G235,安値!H235&lt;安値!F235,安値!H235&lt;安値!I235,安値!H235&lt;安値!J235),3,""))</f>
        <v/>
      </c>
      <c r="D235" s="503" t="str">
        <f>IF(終値!A235="","",IF(AND(安値!I235&lt;安値!H235,安値!I235&lt;安値!G235,安値!I235&lt;安値!J235,安値!I235&lt;安値!K235),4,""))</f>
        <v/>
      </c>
      <c r="E235" s="503">
        <f>IF(終値!A235="","",IF(AND(安値!J235&lt;安値!I235,安値!J235&lt;安値!H235,安値!J235&lt;安値!K235,安値!J235&lt;安値!L235),5,""))</f>
        <v>5</v>
      </c>
      <c r="F235" s="503" t="str">
        <f>IF(終値!A235="","",IF(AND(安値!K235&lt;安値!J235,安値!K235&lt;安値!I235,安値!K235&lt;安値!L235,安値!K235&lt;安値!M235),6,""))</f>
        <v/>
      </c>
      <c r="G235" s="503" t="str">
        <f>IF(終値!A235="","",IF(AND(安値!L235&lt;安値!K235,安値!L235&lt;安値!J235,安値!L235&lt;安値!M235,安値!L235&lt;安値!N235),7,""))</f>
        <v/>
      </c>
      <c r="H235" s="503" t="str">
        <f>IF(終値!A235="","",IF(AND(安値!M235&lt;安値!L235,安値!M235&lt;安値!K235,安値!M235&lt;安値!N235,安値!M235&lt;安値!O235),8,""))</f>
        <v/>
      </c>
      <c r="I235" s="503" t="str">
        <f>IF(終値!A235="","",IF(AND(安値!N235&lt;安値!M235,安値!N235&lt;安値!L235,安値!N235&lt;安値!O235,安値!N235&lt;安値!P235),9,""))</f>
        <v/>
      </c>
      <c r="J235" s="503" t="str">
        <f>IF(終値!A235="","",IF(AND(安値!O235&lt;安値!N235,安値!O235&lt;安値!M235,安値!O235&lt;安値!P235,安値!O235&lt;安値!Q235),10,""))</f>
        <v/>
      </c>
      <c r="K235" s="503" t="str">
        <f>IF(終値!A235="","",IF(AND(安値!P235&lt;安値!O235,安値!P235&lt;安値!N235,安値!P235&lt;安値!Q235,安値!P235&lt;安値!R235),11,""))</f>
        <v/>
      </c>
      <c r="L235" s="503" t="str">
        <f>IF(終値!A235="","",IF(AND(安値!Q235&lt;安値!P235,安値!Q235&lt;安値!O235,安値!Q235&lt;安値!R235,安値!Q235&lt;安値!S235),12,""))</f>
        <v/>
      </c>
      <c r="M235" s="503" t="str">
        <f>IF(終値!A235="","",IF(AND(安値!R235&lt;安値!Q235,安値!R235&lt;安値!P235,安値!R235&lt;安値!S235,安値!R235&lt;安値!T235),13,""))</f>
        <v/>
      </c>
      <c r="N235" s="503" t="str">
        <f>IF(終値!A235="","",IF(AND(安値!S235&lt;安値!R235,安値!S235&lt;安値!Q235,安値!S235&lt;安値!T235,安値!S235&lt;安値!U235),14,""))</f>
        <v/>
      </c>
      <c r="O235" s="503">
        <f>IF(終値!A235="","",IF(AND(安値!T235&lt;安値!S235,安値!T235&lt;安値!R235,安値!T235&lt;安値!U235,安値!T235&lt;安値!V235),15,""))</f>
        <v>15</v>
      </c>
      <c r="P235" s="503" t="str">
        <f>IF(終値!A235="","",IF(AND(安値!U235&lt;安値!T235,安値!U235&lt;安値!S235,安値!U235&lt;安値!V235,安値!U235&lt;安値!W235),16,""))</f>
        <v/>
      </c>
      <c r="Q235" s="503" t="str">
        <f>IF(終値!A235="","",IF(AND(安値!V235&lt;安値!U235,安値!V235&lt;安値!T235,安値!V235&lt;安値!W235,安値!V235&lt;安値!X235),17,""))</f>
        <v/>
      </c>
      <c r="R235" s="503" t="str">
        <f>IF(終値!A235="","",IF(AND(安値!W235&lt;安値!V235,安値!W235&lt;安値!U235,安値!W235&lt;安値!X235,安値!W235&lt;安値!Y235),18,""))</f>
        <v/>
      </c>
      <c r="S235" s="503">
        <f>IF(終値!A235="","",IF(AND(安値!X235&lt;安値!W235,安値!X235&lt;安値!V235,安値!X235&lt;安値!Y235,安値!X235&lt;安値!Z235),19,""))</f>
        <v>19</v>
      </c>
      <c r="T235" s="503" t="str">
        <f>IF(終値!A235="","",IF(AND(安値!Y235&lt;安値!X235,安値!Y235&lt;安値!W235,安値!Y235&lt;安値!Z235,安値!Y235&lt;安値!AA235),20,""))</f>
        <v/>
      </c>
      <c r="U235" s="503" t="str">
        <f>IF(終値!A235="","",IF(AND(安値!Z235&lt;安値!Y235,安値!Z235&lt;安値!X235,安値!Z235&lt;安値!AA235,安値!Z235&lt;安値!AB235),21,""))</f>
        <v/>
      </c>
      <c r="V235" s="503" t="str">
        <f>IF(終値!A235="","",IF(AND(安値!AA235&lt;安値!Z235,安値!AA235&lt;安値!Y235,安値!AA235&lt;安値!AB235,安値!AA235&lt;安値!AC235),22,""))</f>
        <v/>
      </c>
      <c r="W235" s="503" t="str">
        <f>IF(終値!A235="","",IF(AND(安値!AB235&lt;安値!AA235,安値!AB235&lt;安値!Z235,安値!AB235&lt;安値!AC235,安値!AB235&lt;安値!AD235),23,""))</f>
        <v/>
      </c>
      <c r="X235" s="503" t="str">
        <f>IF(終値!A235="","",IF(AND(安値!AC235&lt;安値!AB235,安値!AC235&lt;安値!AA235,安値!AC235&lt;安値!AD235,安値!AC235&lt;安値!AE235),24,""))</f>
        <v/>
      </c>
      <c r="Y235" s="503">
        <f>IF(終値!A235="","",IF(AND(安値!AD235&lt;安値!AC235,安値!AD235&lt;安値!AB235,安値!AD235&lt;安値!AE235,安値!AD235&lt;安値!AF235),25,""))</f>
        <v>25</v>
      </c>
      <c r="Z235" s="503" t="str">
        <f>IF(終値!A235="","",IF(AND(安値!AE235&lt;安値!AD235,安値!AE235&lt;安値!AC235,安値!AE235&lt;安値!AF235,安値!AE235&lt;安値!AG235),26,""))</f>
        <v/>
      </c>
      <c r="AA235" s="503" t="str">
        <f>IF(終値!A235="","",IF(AND(安値!AF235&lt;安値!AE235,安値!AF235&lt;安値!AD235,安値!AF235&lt;安値!AG235,安値!AF235&lt;安値!AH235),27,""))</f>
        <v/>
      </c>
      <c r="AB235" s="503" t="str">
        <f>IF(終値!A235="","",IF(AND(安値!AG235&lt;安値!AF235,安値!AG235&lt;安値!AE235,安値!AG235&lt;安値!AH235,安値!AG235&lt;安値!AI235),28,""))</f>
        <v/>
      </c>
      <c r="AC235" s="503" t="str">
        <f>IF(終値!A235="","",IF(AND(高値!G235&gt;高値!F235,高値!G235&gt;高値!E235,高値!G235&gt;高値!H235,高値!G235&gt;高値!I235),2,""))</f>
        <v/>
      </c>
      <c r="AD235" s="503" t="str">
        <f>IF(終値!A235="","",IF(AND(高値!H235&gt;高値!G235,高値!H235&gt;高値!F235,高値!H235&gt;高値!I235,高値!H235&gt;高値!J235),3,""))</f>
        <v/>
      </c>
      <c r="AE235" s="503" t="str">
        <f>IF(終値!A235="","",IF(AND(高値!I235&gt;高値!H235,高値!I235&gt;高値!G235,高値!I235&gt;高値!J235,高値!I235&gt;高値!K235),4,""))</f>
        <v/>
      </c>
      <c r="AF235" s="503" t="str">
        <f>IF(終値!A235="","",IF(AND(高値!J235&gt;高値!I235,高値!J235&gt;高値!H235,高値!J235&gt;高値!K235,高値!J235&gt;高値!L235),5,""))</f>
        <v/>
      </c>
      <c r="AG235" s="503" t="str">
        <f>IF(終値!A235="","",IF(AND(高値!K235&gt;高値!J235,高値!K235&gt;高値!I235,高値!K235&gt;高値!L235,高値!K235&gt;高値!M235),6,""))</f>
        <v/>
      </c>
      <c r="AH235" s="503" t="str">
        <f>IF(終値!A235="","",IF(AND(高値!L235&gt;高値!K235,高値!L235&gt;高値!J235,高値!L235&gt;高値!M235,高値!L235&gt;高値!N235),7,""))</f>
        <v/>
      </c>
      <c r="AI235" s="503" t="str">
        <f>IF(終値!A235="","",IF(AND(高値!M235&gt;高値!L235,高値!M235&gt;高値!K235,高値!M235&gt;高値!N235,高値!M235&gt;高値!O235),8,""))</f>
        <v/>
      </c>
      <c r="AJ235" s="503" t="str">
        <f>IF(終値!A235="","",IF(AND(高値!N235&gt;高値!M235,高値!N235&gt;高値!L235,高値!N235&gt;高値!O235,高値!N235&gt;高値!P235),9,""))</f>
        <v/>
      </c>
      <c r="AK235" s="503" t="str">
        <f>IF(終値!A235="","",IF(AND(高値!O235&gt;高値!N235,高値!O235&gt;高値!M235,高値!O235&gt;高値!P235,高値!O235&gt;高値!Q235),10,""))</f>
        <v/>
      </c>
      <c r="AL235" s="503">
        <f>IF(終値!A235="","",IF(AND(高値!P235&gt;高値!O235,高値!P235&gt;高値!N235,高値!P235&gt;高値!Q235,高値!P235&gt;高値!R235),11,""))</f>
        <v>11</v>
      </c>
      <c r="AM235" s="503" t="str">
        <f>IF(終値!A235="","",IF(AND(高値!Q235&gt;高値!P235,高値!Q235&gt;高値!O235,高値!Q235&gt;高値!R235,高値!Q235&gt;高値!S235),12,""))</f>
        <v/>
      </c>
      <c r="AN235" s="503" t="str">
        <f>IF(終値!A235="","",IF(AND(高値!R235&gt;高値!Q235,高値!R235&gt;高値!P235,高値!R235&gt;高値!S235,高値!R235&gt;高値!T235),13,""))</f>
        <v/>
      </c>
      <c r="AO235" s="503">
        <f>IF(終値!A235="","",IF(AND(高値!S235&gt;高値!R235,高値!S235&gt;高値!Q235,高値!S235&gt;高値!T235,高値!S235&gt;高値!U235),14,""))</f>
        <v>14</v>
      </c>
      <c r="AP235" s="503" t="str">
        <f>IF(終値!A235="","",IF(AND(高値!T235&gt;高値!S235,高値!T235&gt;高値!R235,高値!T235&gt;高値!U235,高値!T235&gt;高値!V235),15,""))</f>
        <v/>
      </c>
      <c r="AQ235" s="503" t="str">
        <f>IF(終値!A235="","",IF(AND(高値!U235&gt;高値!T235,高値!U235&gt;高値!S235,高値!U235&gt;高値!V235,高値!U235&gt;高値!W235),16,""))</f>
        <v/>
      </c>
      <c r="AR235" s="503">
        <f>IF(終値!A235="","",IF(AND(高値!V235&gt;高値!U235,高値!V235&gt;高値!T235,高値!V235&gt;高値!W235,高値!V235&gt;高値!X235),17,""))</f>
        <v>17</v>
      </c>
      <c r="AS235" s="503" t="str">
        <f>IF(終値!A235="","",IF(AND(高値!W235&gt;高値!V235,高値!W235&gt;高値!U235,高値!W235&gt;高値!X235,高値!W235&gt;高値!Y235),18,""))</f>
        <v/>
      </c>
      <c r="AT235" s="503" t="str">
        <f>IF(終値!A235="","",IF(AND(高値!X235&gt;高値!W235,高値!X235&gt;高値!V235,高値!X235&gt;高値!Y235,高値!X235&gt;高値!Z235),19,""))</f>
        <v/>
      </c>
      <c r="AU235" s="503" t="str">
        <f>IF(終値!A235="","",IF(AND(高値!Y235&gt;高値!X235,高値!Y235&gt;高値!W235,高値!Y235&gt;高値!Z235,高値!Y235&gt;高値!AA235),20,""))</f>
        <v/>
      </c>
      <c r="AV235" s="503">
        <f>IF(終値!A235="","",IF(AND(高値!Z235&gt;高値!Y235,高値!Z235&gt;高値!X235,高値!Z235&gt;高値!AA235,高値!Z235&gt;高値!AB235),21,""))</f>
        <v>21</v>
      </c>
      <c r="AW235" s="503" t="str">
        <f>IF(終値!A235="","",IF(AND(高値!AA235&gt;高値!Z235,高値!AA235&gt;高値!Y235,高値!AA235&gt;高値!AB235,高値!AA235&gt;高値!AC235),22,""))</f>
        <v/>
      </c>
      <c r="AX235" s="503" t="str">
        <f>IF(終値!A235="","",IF(AND(高値!AB235&gt;高値!AA235,高値!AB235&gt;高値!Z235,高値!AB235&gt;高値!AC235,高値!AB235&gt;高値!AD235),23,""))</f>
        <v/>
      </c>
      <c r="AY235" s="503" t="str">
        <f>IF(終値!A235="","",IF(AND(高値!AC235&gt;高値!AB235,高値!AC235&gt;高値!AA235,高値!AC235&gt;高値!AD235,高値!AC235&gt;高値!AE235),24,""))</f>
        <v/>
      </c>
      <c r="AZ235" s="503" t="str">
        <f>IF(終値!A235="","",IF(AND(高値!AD235&gt;高値!AC235,高値!AD235&gt;高値!AB235,高値!AD235&gt;高値!AE235,高値!AD235&gt;高値!AF235),25,""))</f>
        <v/>
      </c>
      <c r="BA235" s="503" t="str">
        <f>IF(終値!A235="","",IF(AND(高値!AE235&gt;高値!AD235,高値!AE235&gt;高値!AC235,高値!AE235&gt;高値!AF235,高値!AE235&gt;高値!AG235),26,""))</f>
        <v/>
      </c>
      <c r="BB235" s="503" t="str">
        <f>IF(終値!A235="","",IF(AND(高値!AF235&gt;高値!AE235,高値!AF235&gt;高値!AD235,高値!AF235&gt;高値!AG235,高値!AF235&gt;高値!AH235),27,""))</f>
        <v/>
      </c>
      <c r="BC235" s="503">
        <f>IF(終値!A235="","",IF(AND(高値!AG235&gt;高値!AF235,高値!AG235&gt;高値!AE235,高値!AG235&gt;高値!AH235,高値!AG235&gt;高値!AI235),28,""))</f>
        <v>28</v>
      </c>
      <c r="BD235" s="503">
        <f t="shared" si="18"/>
        <v>4</v>
      </c>
      <c r="BE235" s="503">
        <f t="shared" si="19"/>
        <v>5</v>
      </c>
      <c r="BF235" s="503">
        <f t="shared" si="20"/>
        <v>15</v>
      </c>
      <c r="BG235" s="503">
        <f>IF($BE235="","",INDEX(安値!$E235:$CZ235,1,$BE235+1))</f>
        <v>812</v>
      </c>
      <c r="BH235" s="503">
        <f>IF($BF235="","",INDEX(安値!$E235:$CZ235,1,$BF235+1))</f>
        <v>1002</v>
      </c>
      <c r="BI235" s="503">
        <f>IF($BF235="","",MAX(INDEX(高値!$E235:$CZ235,1,$BE235+1):INDEX(高値!$E235:$CZ235,1,$BF235+1)))</f>
        <v>1150</v>
      </c>
      <c r="BJ235" s="503">
        <f>IF($BF235="","",AVERAGE(INDEX(終値!$E235:$CZ235,1,$BF235+1):INDEX(終値!$E235:$CZ235,1,$BF235+20))-2*STDEVP(INDEX(終値!$E235:$CZ235,1,$BF235+1):INDEX(終値!$E235:$CZ235,1,$BF235+20)))</f>
        <v>1006.906813002033</v>
      </c>
      <c r="BK235" s="503">
        <f>IF($BE235="","",AVERAGE(INDEX(終値!$E235:$CZ235,1,$BE235+1):INDEX(終値!$E235:$CZ235,1,$BE235+20))-2*STDEVP(INDEX(終値!$E235:$CZ235,1,$BE235+1):INDEX(終値!$E235:$CZ235,1,$BE235+20)))</f>
        <v>857.30893601255025</v>
      </c>
      <c r="BL235" s="503">
        <f t="shared" si="21"/>
        <v>5</v>
      </c>
      <c r="BM235" s="503">
        <f t="shared" si="22"/>
        <v>11</v>
      </c>
      <c r="BN235" s="503">
        <f t="shared" si="23"/>
        <v>14</v>
      </c>
      <c r="BO235" s="503">
        <f>IF($BM235="","",INDEX(高値!$E235:$CZ235,1,$BM235+1))</f>
        <v>1150</v>
      </c>
      <c r="BP235" s="503">
        <f>IF($BN235="","",INDEX(高値!$E235:$CZ235,1,$BN235+1))</f>
        <v>1138</v>
      </c>
      <c r="BQ235" s="503">
        <f>IF($BN235="","",MIN(INDEX(安値!$E235:$CZ235,1,$BM235+1):INDEX(安値!$E235:$CZ235,1,$BN235+1)))</f>
        <v>1014</v>
      </c>
      <c r="BR235" s="503">
        <f>IF($BN235="","",AVERAGE(INDEX(終値!$E235:$CZ235,1,$BN235+1):INDEX(終値!$E235:$CZ235,1,$BN235+20))+2*STDEVP(INDEX(終値!$E235:$CZ235,1,$BN235+1):INDEX(終値!$E235:$CZ235,1,$BN235+20)))</f>
        <v>1237.0454094461154</v>
      </c>
      <c r="BS235" s="503">
        <f>IF($BM235="","",AVERAGE(INDEX(終値!$E235:$CZ235,1,$BM235+1):INDEX(終値!$E235:$CZ235,1,$BM235+20))+2*STDEVP(INDEX(終値!$E235:$CZ235,1,$BM235+1):INDEX(終値!$E235:$CZ235,1,$BM235+20)))</f>
        <v>1187.9202384964053</v>
      </c>
      <c r="BT235" s="500"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3" t="str">
        <f>IF(終値!A236="","",IF(AND(安値!G236&lt;安値!F236,安値!G236&lt;安値!E236,安値!G236&lt;安値!H236,安値!G236&lt;安値!I236),2,""))</f>
        <v/>
      </c>
      <c r="C236" s="503" t="str">
        <f>IF(終値!A236="","",IF(AND(安値!H236&lt;安値!G236,安値!H236&lt;安値!F236,安値!H236&lt;安値!I236,安値!H236&lt;安値!J236),3,""))</f>
        <v/>
      </c>
      <c r="D236" s="503">
        <f>IF(終値!A236="","",IF(AND(安値!I236&lt;安値!H236,安値!I236&lt;安値!G236,安値!I236&lt;安値!J236,安値!I236&lt;安値!K236),4,""))</f>
        <v>4</v>
      </c>
      <c r="E236" s="503" t="str">
        <f>IF(終値!A236="","",IF(AND(安値!J236&lt;安値!I236,安値!J236&lt;安値!H236,安値!J236&lt;安値!K236,安値!J236&lt;安値!L236),5,""))</f>
        <v/>
      </c>
      <c r="F236" s="503" t="str">
        <f>IF(終値!A236="","",IF(AND(安値!K236&lt;安値!J236,安値!K236&lt;安値!I236,安値!K236&lt;安値!L236,安値!K236&lt;安値!M236),6,""))</f>
        <v/>
      </c>
      <c r="G236" s="503" t="str">
        <f>IF(終値!A236="","",IF(AND(安値!L236&lt;安値!K236,安値!L236&lt;安値!J236,安値!L236&lt;安値!M236,安値!L236&lt;安値!N236),7,""))</f>
        <v/>
      </c>
      <c r="H236" s="503">
        <f>IF(終値!A236="","",IF(AND(安値!M236&lt;安値!L236,安値!M236&lt;安値!K236,安値!M236&lt;安値!N236,安値!M236&lt;安値!O236),8,""))</f>
        <v>8</v>
      </c>
      <c r="I236" s="503" t="str">
        <f>IF(終値!A236="","",IF(AND(安値!N236&lt;安値!M236,安値!N236&lt;安値!L236,安値!N236&lt;安値!O236,安値!N236&lt;安値!P236),9,""))</f>
        <v/>
      </c>
      <c r="J236" s="503" t="str">
        <f>IF(終値!A236="","",IF(AND(安値!O236&lt;安値!N236,安値!O236&lt;安値!M236,安値!O236&lt;安値!P236,安値!O236&lt;安値!Q236),10,""))</f>
        <v/>
      </c>
      <c r="K236" s="503" t="str">
        <f>IF(終値!A236="","",IF(AND(安値!P236&lt;安値!O236,安値!P236&lt;安値!N236,安値!P236&lt;安値!Q236,安値!P236&lt;安値!R236),11,""))</f>
        <v/>
      </c>
      <c r="L236" s="503" t="str">
        <f>IF(終値!A236="","",IF(AND(安値!Q236&lt;安値!P236,安値!Q236&lt;安値!O236,安値!Q236&lt;安値!R236,安値!Q236&lt;安値!S236),12,""))</f>
        <v/>
      </c>
      <c r="M236" s="503">
        <f>IF(終値!A236="","",IF(AND(安値!R236&lt;安値!Q236,安値!R236&lt;安値!P236,安値!R236&lt;安値!S236,安値!R236&lt;安値!T236),13,""))</f>
        <v>13</v>
      </c>
      <c r="N236" s="503" t="str">
        <f>IF(終値!A236="","",IF(AND(安値!S236&lt;安値!R236,安値!S236&lt;安値!Q236,安値!S236&lt;安値!T236,安値!S236&lt;安値!U236),14,""))</f>
        <v/>
      </c>
      <c r="O236" s="503" t="str">
        <f>IF(終値!A236="","",IF(AND(安値!T236&lt;安値!S236,安値!T236&lt;安値!R236,安値!T236&lt;安値!U236,安値!T236&lt;安値!V236),15,""))</f>
        <v/>
      </c>
      <c r="P236" s="503" t="str">
        <f>IF(終値!A236="","",IF(AND(安値!U236&lt;安値!T236,安値!U236&lt;安値!S236,安値!U236&lt;安値!V236,安値!U236&lt;安値!W236),16,""))</f>
        <v/>
      </c>
      <c r="Q236" s="503" t="str">
        <f>IF(終値!A236="","",IF(AND(安値!V236&lt;安値!U236,安値!V236&lt;安値!T236,安値!V236&lt;安値!W236,安値!V236&lt;安値!X236),17,""))</f>
        <v/>
      </c>
      <c r="R236" s="503" t="str">
        <f>IF(終値!A236="","",IF(AND(安値!W236&lt;安値!V236,安値!W236&lt;安値!U236,安値!W236&lt;安値!X236,安値!W236&lt;安値!Y236),18,""))</f>
        <v/>
      </c>
      <c r="S236" s="503" t="str">
        <f>IF(終値!A236="","",IF(AND(安値!X236&lt;安値!W236,安値!X236&lt;安値!V236,安値!X236&lt;安値!Y236,安値!X236&lt;安値!Z236),19,""))</f>
        <v/>
      </c>
      <c r="T236" s="503" t="str">
        <f>IF(終値!A236="","",IF(AND(安値!Y236&lt;安値!X236,安値!Y236&lt;安値!W236,安値!Y236&lt;安値!Z236,安値!Y236&lt;安値!AA236),20,""))</f>
        <v/>
      </c>
      <c r="U236" s="503" t="str">
        <f>IF(終値!A236="","",IF(AND(安値!Z236&lt;安値!Y236,安値!Z236&lt;安値!X236,安値!Z236&lt;安値!AA236,安値!Z236&lt;安値!AB236),21,""))</f>
        <v/>
      </c>
      <c r="V236" s="503" t="str">
        <f>IF(終値!A236="","",IF(AND(安値!AA236&lt;安値!Z236,安値!AA236&lt;安値!Y236,安値!AA236&lt;安値!AB236,安値!AA236&lt;安値!AC236),22,""))</f>
        <v/>
      </c>
      <c r="W236" s="503" t="str">
        <f>IF(終値!A236="","",IF(AND(安値!AB236&lt;安値!AA236,安値!AB236&lt;安値!Z236,安値!AB236&lt;安値!AC236,安値!AB236&lt;安値!AD236),23,""))</f>
        <v/>
      </c>
      <c r="X236" s="503">
        <f>IF(終値!A236="","",IF(AND(安値!AC236&lt;安値!AB236,安値!AC236&lt;安値!AA236,安値!AC236&lt;安値!AD236,安値!AC236&lt;安値!AE236),24,""))</f>
        <v>24</v>
      </c>
      <c r="Y236" s="503" t="str">
        <f>IF(終値!A236="","",IF(AND(安値!AD236&lt;安値!AC236,安値!AD236&lt;安値!AB236,安値!AD236&lt;安値!AE236,安値!AD236&lt;安値!AF236),25,""))</f>
        <v/>
      </c>
      <c r="Z236" s="503" t="str">
        <f>IF(終値!A236="","",IF(AND(安値!AE236&lt;安値!AD236,安値!AE236&lt;安値!AC236,安値!AE236&lt;安値!AF236,安値!AE236&lt;安値!AG236),26,""))</f>
        <v/>
      </c>
      <c r="AA236" s="503" t="str">
        <f>IF(終値!A236="","",IF(AND(安値!AF236&lt;安値!AE236,安値!AF236&lt;安値!AD236,安値!AF236&lt;安値!AG236,安値!AF236&lt;安値!AH236),27,""))</f>
        <v/>
      </c>
      <c r="AB236" s="503" t="str">
        <f>IF(終値!A236="","",IF(AND(安値!AG236&lt;安値!AF236,安値!AG236&lt;安値!AE236,安値!AG236&lt;安値!AH236,安値!AG236&lt;安値!AI236),28,""))</f>
        <v/>
      </c>
      <c r="AC236" s="503">
        <f>IF(終値!A236="","",IF(AND(高値!G236&gt;高値!F236,高値!G236&gt;高値!E236,高値!G236&gt;高値!H236,高値!G236&gt;高値!I236),2,""))</f>
        <v>2</v>
      </c>
      <c r="AD236" s="503" t="str">
        <f>IF(終値!A236="","",IF(AND(高値!H236&gt;高値!G236,高値!H236&gt;高値!F236,高値!H236&gt;高値!I236,高値!H236&gt;高値!J236),3,""))</f>
        <v/>
      </c>
      <c r="AE236" s="503" t="str">
        <f>IF(終値!A236="","",IF(AND(高値!I236&gt;高値!H236,高値!I236&gt;高値!G236,高値!I236&gt;高値!J236,高値!I236&gt;高値!K236),4,""))</f>
        <v/>
      </c>
      <c r="AF236" s="503" t="str">
        <f>IF(終値!A236="","",IF(AND(高値!J236&gt;高値!I236,高値!J236&gt;高値!H236,高値!J236&gt;高値!K236,高値!J236&gt;高値!L236),5,""))</f>
        <v/>
      </c>
      <c r="AG236" s="503">
        <f>IF(終値!A236="","",IF(AND(高値!K236&gt;高値!J236,高値!K236&gt;高値!I236,高値!K236&gt;高値!L236,高値!K236&gt;高値!M236),6,""))</f>
        <v>6</v>
      </c>
      <c r="AH236" s="503" t="str">
        <f>IF(終値!A236="","",IF(AND(高値!L236&gt;高値!K236,高値!L236&gt;高値!J236,高値!L236&gt;高値!M236,高値!L236&gt;高値!N236),7,""))</f>
        <v/>
      </c>
      <c r="AI236" s="503" t="str">
        <f>IF(終値!A236="","",IF(AND(高値!M236&gt;高値!L236,高値!M236&gt;高値!K236,高値!M236&gt;高値!N236,高値!M236&gt;高値!O236),8,""))</f>
        <v/>
      </c>
      <c r="AJ236" s="503" t="str">
        <f>IF(終値!A236="","",IF(AND(高値!N236&gt;高値!M236,高値!N236&gt;高値!L236,高値!N236&gt;高値!O236,高値!N236&gt;高値!P236),9,""))</f>
        <v/>
      </c>
      <c r="AK236" s="503" t="str">
        <f>IF(終値!A236="","",IF(AND(高値!O236&gt;高値!N236,高値!O236&gt;高値!M236,高値!O236&gt;高値!P236,高値!O236&gt;高値!Q236),10,""))</f>
        <v/>
      </c>
      <c r="AL236" s="503">
        <f>IF(終値!A236="","",IF(AND(高値!P236&gt;高値!O236,高値!P236&gt;高値!N236,高値!P236&gt;高値!Q236,高値!P236&gt;高値!R236),11,""))</f>
        <v>11</v>
      </c>
      <c r="AM236" s="503" t="str">
        <f>IF(終値!A236="","",IF(AND(高値!Q236&gt;高値!P236,高値!Q236&gt;高値!O236,高値!Q236&gt;高値!R236,高値!Q236&gt;高値!S236),12,""))</f>
        <v/>
      </c>
      <c r="AN236" s="503" t="str">
        <f>IF(終値!A236="","",IF(AND(高値!R236&gt;高値!Q236,高値!R236&gt;高値!P236,高値!R236&gt;高値!S236,高値!R236&gt;高値!T236),13,""))</f>
        <v/>
      </c>
      <c r="AO236" s="503">
        <f>IF(終値!A236="","",IF(AND(高値!S236&gt;高値!R236,高値!S236&gt;高値!Q236,高値!S236&gt;高値!T236,高値!S236&gt;高値!U236),14,""))</f>
        <v>14</v>
      </c>
      <c r="AP236" s="503" t="str">
        <f>IF(終値!A236="","",IF(AND(高値!T236&gt;高値!S236,高値!T236&gt;高値!R236,高値!T236&gt;高値!U236,高値!T236&gt;高値!V236),15,""))</f>
        <v/>
      </c>
      <c r="AQ236" s="503" t="str">
        <f>IF(終値!A236="","",IF(AND(高値!U236&gt;高値!T236,高値!U236&gt;高値!S236,高値!U236&gt;高値!V236,高値!U236&gt;高値!W236),16,""))</f>
        <v/>
      </c>
      <c r="AR236" s="503" t="str">
        <f>IF(終値!A236="","",IF(AND(高値!V236&gt;高値!U236,高値!V236&gt;高値!T236,高値!V236&gt;高値!W236,高値!V236&gt;高値!X236),17,""))</f>
        <v/>
      </c>
      <c r="AS236" s="503" t="str">
        <f>IF(終値!A236="","",IF(AND(高値!W236&gt;高値!V236,高値!W236&gt;高値!U236,高値!W236&gt;高値!X236,高値!W236&gt;高値!Y236),18,""))</f>
        <v/>
      </c>
      <c r="AT236" s="503">
        <f>IF(終値!A236="","",IF(AND(高値!X236&gt;高値!W236,高値!X236&gt;高値!V236,高値!X236&gt;高値!Y236,高値!X236&gt;高値!Z236),19,""))</f>
        <v>19</v>
      </c>
      <c r="AU236" s="503" t="str">
        <f>IF(終値!A236="","",IF(AND(高値!Y236&gt;高値!X236,高値!Y236&gt;高値!W236,高値!Y236&gt;高値!Z236,高値!Y236&gt;高値!AA236),20,""))</f>
        <v/>
      </c>
      <c r="AV236" s="503" t="str">
        <f>IF(終値!A236="","",IF(AND(高値!Z236&gt;高値!Y236,高値!Z236&gt;高値!X236,高値!Z236&gt;高値!AA236,高値!Z236&gt;高値!AB236),21,""))</f>
        <v/>
      </c>
      <c r="AW236" s="503" t="str">
        <f>IF(終値!A236="","",IF(AND(高値!AA236&gt;高値!Z236,高値!AA236&gt;高値!Y236,高値!AA236&gt;高値!AB236,高値!AA236&gt;高値!AC236),22,""))</f>
        <v/>
      </c>
      <c r="AX236" s="503" t="str">
        <f>IF(終値!A236="","",IF(AND(高値!AB236&gt;高値!AA236,高値!AB236&gt;高値!Z236,高値!AB236&gt;高値!AC236,高値!AB236&gt;高値!AD236),23,""))</f>
        <v/>
      </c>
      <c r="AY236" s="503" t="str">
        <f>IF(終値!A236="","",IF(AND(高値!AC236&gt;高値!AB236,高値!AC236&gt;高値!AA236,高値!AC236&gt;高値!AD236,高値!AC236&gt;高値!AE236),24,""))</f>
        <v/>
      </c>
      <c r="AZ236" s="503" t="str">
        <f>IF(終値!A236="","",IF(AND(高値!AD236&gt;高値!AC236,高値!AD236&gt;高値!AB236,高値!AD236&gt;高値!AE236,高値!AD236&gt;高値!AF236),25,""))</f>
        <v/>
      </c>
      <c r="BA236" s="503">
        <f>IF(終値!A236="","",IF(AND(高値!AE236&gt;高値!AD236,高値!AE236&gt;高値!AC236,高値!AE236&gt;高値!AF236,高値!AE236&gt;高値!AG236),26,""))</f>
        <v>26</v>
      </c>
      <c r="BB236" s="503" t="str">
        <f>IF(終値!A236="","",IF(AND(高値!AF236&gt;高値!AE236,高値!AF236&gt;高値!AD236,高値!AF236&gt;高値!AG236,高値!AF236&gt;高値!AH236),27,""))</f>
        <v/>
      </c>
      <c r="BC236" s="503" t="str">
        <f>IF(終値!A236="","",IF(AND(高値!AG236&gt;高値!AF236,高値!AG236&gt;高値!AE236,高値!AG236&gt;高値!AH236,高値!AG236&gt;高値!AI236),28,""))</f>
        <v/>
      </c>
      <c r="BD236" s="503">
        <f t="shared" si="18"/>
        <v>4</v>
      </c>
      <c r="BE236" s="503">
        <f t="shared" si="19"/>
        <v>4</v>
      </c>
      <c r="BF236" s="503">
        <f t="shared" si="20"/>
        <v>8</v>
      </c>
      <c r="BG236" s="503">
        <f>IF($BE236="","",INDEX(安値!$E236:$CZ236,1,$BE236+1))</f>
        <v>1693</v>
      </c>
      <c r="BH236" s="503">
        <f>IF($BF236="","",INDEX(安値!$E236:$CZ236,1,$BF236+1))</f>
        <v>1688</v>
      </c>
      <c r="BI236" s="503">
        <f>IF($BF236="","",MAX(INDEX(高値!$E236:$CZ236,1,$BE236+1):INDEX(高値!$E236:$CZ236,1,$BF236+1)))</f>
        <v>1744</v>
      </c>
      <c r="BJ236" s="503">
        <f>IF($BF236="","",AVERAGE(INDEX(終値!$E236:$CZ236,1,$BF236+1):INDEX(終値!$E236:$CZ236,1,$BF236+20))-2*STDEVP(INDEX(終値!$E236:$CZ236,1,$BF236+1):INDEX(終値!$E236:$CZ236,1,$BF236+20)))</f>
        <v>1615.9147213030985</v>
      </c>
      <c r="BK236" s="503">
        <f>IF($BE236="","",AVERAGE(INDEX(終値!$E236:$CZ236,1,$BE236+1):INDEX(終値!$E236:$CZ236,1,$BE236+20))-2*STDEVP(INDEX(終値!$E236:$CZ236,1,$BE236+1):INDEX(終値!$E236:$CZ236,1,$BE236+20)))</f>
        <v>1667.9110492264851</v>
      </c>
      <c r="BL236" s="503">
        <f t="shared" si="21"/>
        <v>6</v>
      </c>
      <c r="BM236" s="503">
        <f t="shared" si="22"/>
        <v>2</v>
      </c>
      <c r="BN236" s="503">
        <f t="shared" si="23"/>
        <v>6</v>
      </c>
      <c r="BO236" s="503">
        <f>IF($BM236="","",INDEX(高値!$E236:$CZ236,1,$BM236+1))</f>
        <v>1864</v>
      </c>
      <c r="BP236" s="503">
        <f>IF($BN236="","",INDEX(高値!$E236:$CZ236,1,$BN236+1))</f>
        <v>1744</v>
      </c>
      <c r="BQ236" s="503">
        <f>IF($BN236="","",MIN(INDEX(安値!$E236:$CZ236,1,$BM236+1):INDEX(安値!$E236:$CZ236,1,$BN236+1)))</f>
        <v>1693</v>
      </c>
      <c r="BR236" s="503">
        <f>IF($BN236="","",AVERAGE(INDEX(終値!$E236:$CZ236,1,$BN236+1):INDEX(終値!$E236:$CZ236,1,$BN236+20))+2*STDEVP(INDEX(終値!$E236:$CZ236,1,$BN236+1):INDEX(終値!$E236:$CZ236,1,$BN236+20)))</f>
        <v>1771.6397992432333</v>
      </c>
      <c r="BS236" s="503">
        <f>IF($BM236="","",AVERAGE(INDEX(終値!$E236:$CZ236,1,$BM236+1):INDEX(終値!$E236:$CZ236,1,$BM236+20))+2*STDEVP(INDEX(終値!$E236:$CZ236,1,$BM236+1):INDEX(終値!$E236:$CZ236,1,$BM236+20)))</f>
        <v>1788.1445649750658</v>
      </c>
      <c r="BT236" s="500"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二番底W▲</v>
      </c>
    </row>
    <row r="237" spans="2:72">
      <c r="B237" s="503" t="str">
        <f>IF(終値!A237="","",IF(AND(安値!G237&lt;安値!F237,安値!G237&lt;安値!E237,安値!G237&lt;安値!H237,安値!G237&lt;安値!I237),2,""))</f>
        <v/>
      </c>
      <c r="C237" s="503" t="str">
        <f>IF(終値!A237="","",IF(AND(安値!H237&lt;安値!G237,安値!H237&lt;安値!F237,安値!H237&lt;安値!I237,安値!H237&lt;安値!J237),3,""))</f>
        <v/>
      </c>
      <c r="D237" s="503">
        <f>IF(終値!A237="","",IF(AND(安値!I237&lt;安値!H237,安値!I237&lt;安値!G237,安値!I237&lt;安値!J237,安値!I237&lt;安値!K237),4,""))</f>
        <v>4</v>
      </c>
      <c r="E237" s="503" t="str">
        <f>IF(終値!A237="","",IF(AND(安値!J237&lt;安値!I237,安値!J237&lt;安値!H237,安値!J237&lt;安値!K237,安値!J237&lt;安値!L237),5,""))</f>
        <v/>
      </c>
      <c r="F237" s="503" t="str">
        <f>IF(終値!A237="","",IF(AND(安値!K237&lt;安値!J237,安値!K237&lt;安値!I237,安値!K237&lt;安値!L237,安値!K237&lt;安値!M237),6,""))</f>
        <v/>
      </c>
      <c r="G237" s="503" t="str">
        <f>IF(終値!A237="","",IF(AND(安値!L237&lt;安値!K237,安値!L237&lt;安値!J237,安値!L237&lt;安値!M237,安値!L237&lt;安値!N237),7,""))</f>
        <v/>
      </c>
      <c r="H237" s="503" t="str">
        <f>IF(終値!A237="","",IF(AND(安値!M237&lt;安値!L237,安値!M237&lt;安値!K237,安値!M237&lt;安値!N237,安値!M237&lt;安値!O237),8,""))</f>
        <v/>
      </c>
      <c r="I237" s="503">
        <f>IF(終値!A237="","",IF(AND(安値!N237&lt;安値!M237,安値!N237&lt;安値!L237,安値!N237&lt;安値!O237,安値!N237&lt;安値!P237),9,""))</f>
        <v>9</v>
      </c>
      <c r="J237" s="503" t="str">
        <f>IF(終値!A237="","",IF(AND(安値!O237&lt;安値!N237,安値!O237&lt;安値!M237,安値!O237&lt;安値!P237,安値!O237&lt;安値!Q237),10,""))</f>
        <v/>
      </c>
      <c r="K237" s="503" t="str">
        <f>IF(終値!A237="","",IF(AND(安値!P237&lt;安値!O237,安値!P237&lt;安値!N237,安値!P237&lt;安値!Q237,安値!P237&lt;安値!R237),11,""))</f>
        <v/>
      </c>
      <c r="L237" s="503" t="str">
        <f>IF(終値!A237="","",IF(AND(安値!Q237&lt;安値!P237,安値!Q237&lt;安値!O237,安値!Q237&lt;安値!R237,安値!Q237&lt;安値!S237),12,""))</f>
        <v/>
      </c>
      <c r="M237" s="503" t="str">
        <f>IF(終値!A237="","",IF(AND(安値!R237&lt;安値!Q237,安値!R237&lt;安値!P237,安値!R237&lt;安値!S237,安値!R237&lt;安値!T237),13,""))</f>
        <v/>
      </c>
      <c r="N237" s="503" t="str">
        <f>IF(終値!A237="","",IF(AND(安値!S237&lt;安値!R237,安値!S237&lt;安値!Q237,安値!S237&lt;安値!T237,安値!S237&lt;安値!U237),14,""))</f>
        <v/>
      </c>
      <c r="O237" s="503" t="str">
        <f>IF(終値!A237="","",IF(AND(安値!T237&lt;安値!S237,安値!T237&lt;安値!R237,安値!T237&lt;安値!U237,安値!T237&lt;安値!V237),15,""))</f>
        <v/>
      </c>
      <c r="P237" s="503" t="str">
        <f>IF(終値!A237="","",IF(AND(安値!U237&lt;安値!T237,安値!U237&lt;安値!S237,安値!U237&lt;安値!V237,安値!U237&lt;安値!W237),16,""))</f>
        <v/>
      </c>
      <c r="Q237" s="503" t="str">
        <f>IF(終値!A237="","",IF(AND(安値!V237&lt;安値!U237,安値!V237&lt;安値!T237,安値!V237&lt;安値!W237,安値!V237&lt;安値!X237),17,""))</f>
        <v/>
      </c>
      <c r="R237" s="503" t="str">
        <f>IF(終値!A237="","",IF(AND(安値!W237&lt;安値!V237,安値!W237&lt;安値!U237,安値!W237&lt;安値!X237,安値!W237&lt;安値!Y237),18,""))</f>
        <v/>
      </c>
      <c r="S237" s="503">
        <f>IF(終値!A237="","",IF(AND(安値!X237&lt;安値!W237,安値!X237&lt;安値!V237,安値!X237&lt;安値!Y237,安値!X237&lt;安値!Z237),19,""))</f>
        <v>19</v>
      </c>
      <c r="T237" s="503" t="str">
        <f>IF(終値!A237="","",IF(AND(安値!Y237&lt;安値!X237,安値!Y237&lt;安値!W237,安値!Y237&lt;安値!Z237,安値!Y237&lt;安値!AA237),20,""))</f>
        <v/>
      </c>
      <c r="U237" s="503" t="str">
        <f>IF(終値!A237="","",IF(AND(安値!Z237&lt;安値!Y237,安値!Z237&lt;安値!X237,安値!Z237&lt;安値!AA237,安値!Z237&lt;安値!AB237),21,""))</f>
        <v/>
      </c>
      <c r="V237" s="503" t="str">
        <f>IF(終値!A237="","",IF(AND(安値!AA237&lt;安値!Z237,安値!AA237&lt;安値!Y237,安値!AA237&lt;安値!AB237,安値!AA237&lt;安値!AC237),22,""))</f>
        <v/>
      </c>
      <c r="W237" s="503" t="str">
        <f>IF(終値!A237="","",IF(AND(安値!AB237&lt;安値!AA237,安値!AB237&lt;安値!Z237,安値!AB237&lt;安値!AC237,安値!AB237&lt;安値!AD237),23,""))</f>
        <v/>
      </c>
      <c r="X237" s="503">
        <f>IF(終値!A237="","",IF(AND(安値!AC237&lt;安値!AB237,安値!AC237&lt;安値!AA237,安値!AC237&lt;安値!AD237,安値!AC237&lt;安値!AE237),24,""))</f>
        <v>24</v>
      </c>
      <c r="Y237" s="503" t="str">
        <f>IF(終値!A237="","",IF(AND(安値!AD237&lt;安値!AC237,安値!AD237&lt;安値!AB237,安値!AD237&lt;安値!AE237,安値!AD237&lt;安値!AF237),25,""))</f>
        <v/>
      </c>
      <c r="Z237" s="503" t="str">
        <f>IF(終値!A237="","",IF(AND(安値!AE237&lt;安値!AD237,安値!AE237&lt;安値!AC237,安値!AE237&lt;安値!AF237,安値!AE237&lt;安値!AG237),26,""))</f>
        <v/>
      </c>
      <c r="AA237" s="503" t="str">
        <f>IF(終値!A237="","",IF(AND(安値!AF237&lt;安値!AE237,安値!AF237&lt;安値!AD237,安値!AF237&lt;安値!AG237,安値!AF237&lt;安値!AH237),27,""))</f>
        <v/>
      </c>
      <c r="AB237" s="503" t="str">
        <f>IF(終値!A237="","",IF(AND(安値!AG237&lt;安値!AF237,安値!AG237&lt;安値!AE237,安値!AG237&lt;安値!AH237,安値!AG237&lt;安値!AI237),28,""))</f>
        <v/>
      </c>
      <c r="AC237" s="503" t="str">
        <f>IF(終値!A237="","",IF(AND(高値!G237&gt;高値!F237,高値!G237&gt;高値!E237,高値!G237&gt;高値!H237,高値!G237&gt;高値!I237),2,""))</f>
        <v/>
      </c>
      <c r="AD237" s="503" t="str">
        <f>IF(終値!A237="","",IF(AND(高値!H237&gt;高値!G237,高値!H237&gt;高値!F237,高値!H237&gt;高値!I237,高値!H237&gt;高値!J237),3,""))</f>
        <v/>
      </c>
      <c r="AE237" s="503" t="str">
        <f>IF(終値!A237="","",IF(AND(高値!I237&gt;高値!H237,高値!I237&gt;高値!G237,高値!I237&gt;高値!J237,高値!I237&gt;高値!K237),4,""))</f>
        <v/>
      </c>
      <c r="AF237" s="503" t="str">
        <f>IF(終値!A237="","",IF(AND(高値!J237&gt;高値!I237,高値!J237&gt;高値!H237,高値!J237&gt;高値!K237,高値!J237&gt;高値!L237),5,""))</f>
        <v/>
      </c>
      <c r="AG237" s="503" t="str">
        <f>IF(終値!A237="","",IF(AND(高値!K237&gt;高値!J237,高値!K237&gt;高値!I237,高値!K237&gt;高値!L237,高値!K237&gt;高値!M237),6,""))</f>
        <v/>
      </c>
      <c r="AH237" s="503" t="str">
        <f>IF(終値!A237="","",IF(AND(高値!L237&gt;高値!K237,高値!L237&gt;高値!J237,高値!L237&gt;高値!M237,高値!L237&gt;高値!N237),7,""))</f>
        <v/>
      </c>
      <c r="AI237" s="503" t="str">
        <f>IF(終値!A237="","",IF(AND(高値!M237&gt;高値!L237,高値!M237&gt;高値!K237,高値!M237&gt;高値!N237,高値!M237&gt;高値!O237),8,""))</f>
        <v/>
      </c>
      <c r="AJ237" s="503" t="str">
        <f>IF(終値!A237="","",IF(AND(高値!N237&gt;高値!M237,高値!N237&gt;高値!L237,高値!N237&gt;高値!O237,高値!N237&gt;高値!P237),9,""))</f>
        <v/>
      </c>
      <c r="AK237" s="503" t="str">
        <f>IF(終値!A237="","",IF(AND(高値!O237&gt;高値!N237,高値!O237&gt;高値!M237,高値!O237&gt;高値!P237,高値!O237&gt;高値!Q237),10,""))</f>
        <v/>
      </c>
      <c r="AL237" s="503" t="str">
        <f>IF(終値!A237="","",IF(AND(高値!P237&gt;高値!O237,高値!P237&gt;高値!N237,高値!P237&gt;高値!Q237,高値!P237&gt;高値!R237),11,""))</f>
        <v/>
      </c>
      <c r="AM237" s="503">
        <f>IF(終値!A237="","",IF(AND(高値!Q237&gt;高値!P237,高値!Q237&gt;高値!O237,高値!Q237&gt;高値!R237,高値!Q237&gt;高値!S237),12,""))</f>
        <v>12</v>
      </c>
      <c r="AN237" s="503" t="str">
        <f>IF(終値!A237="","",IF(AND(高値!R237&gt;高値!Q237,高値!R237&gt;高値!P237,高値!R237&gt;高値!S237,高値!R237&gt;高値!T237),13,""))</f>
        <v/>
      </c>
      <c r="AO237" s="503" t="str">
        <f>IF(終値!A237="","",IF(AND(高値!S237&gt;高値!R237,高値!S237&gt;高値!Q237,高値!S237&gt;高値!T237,高値!S237&gt;高値!U237),14,""))</f>
        <v/>
      </c>
      <c r="AP237" s="503">
        <f>IF(終値!A237="","",IF(AND(高値!T237&gt;高値!S237,高値!T237&gt;高値!R237,高値!T237&gt;高値!U237,高値!T237&gt;高値!V237),15,""))</f>
        <v>15</v>
      </c>
      <c r="AQ237" s="503" t="str">
        <f>IF(終値!A237="","",IF(AND(高値!U237&gt;高値!T237,高値!U237&gt;高値!S237,高値!U237&gt;高値!V237,高値!U237&gt;高値!W237),16,""))</f>
        <v/>
      </c>
      <c r="AR237" s="503" t="str">
        <f>IF(終値!A237="","",IF(AND(高値!V237&gt;高値!U237,高値!V237&gt;高値!T237,高値!V237&gt;高値!W237,高値!V237&gt;高値!X237),17,""))</f>
        <v/>
      </c>
      <c r="AS237" s="503" t="str">
        <f>IF(終値!A237="","",IF(AND(高値!W237&gt;高値!V237,高値!W237&gt;高値!U237,高値!W237&gt;高値!X237,高値!W237&gt;高値!Y237),18,""))</f>
        <v/>
      </c>
      <c r="AT237" s="503" t="str">
        <f>IF(終値!A237="","",IF(AND(高値!X237&gt;高値!W237,高値!X237&gt;高値!V237,高値!X237&gt;高値!Y237,高値!X237&gt;高値!Z237),19,""))</f>
        <v/>
      </c>
      <c r="AU237" s="503" t="str">
        <f>IF(終値!A237="","",IF(AND(高値!Y237&gt;高値!X237,高値!Y237&gt;高値!W237,高値!Y237&gt;高値!Z237,高値!Y237&gt;高値!AA237),20,""))</f>
        <v/>
      </c>
      <c r="AV237" s="503" t="str">
        <f>IF(終値!A237="","",IF(AND(高値!Z237&gt;高値!Y237,高値!Z237&gt;高値!X237,高値!Z237&gt;高値!AA237,高値!Z237&gt;高値!AB237),21,""))</f>
        <v/>
      </c>
      <c r="AW237" s="503" t="str">
        <f>IF(終値!A237="","",IF(AND(高値!AA237&gt;高値!Z237,高値!AA237&gt;高値!Y237,高値!AA237&gt;高値!AB237,高値!AA237&gt;高値!AC237),22,""))</f>
        <v/>
      </c>
      <c r="AX237" s="503" t="str">
        <f>IF(終値!A237="","",IF(AND(高値!AB237&gt;高値!AA237,高値!AB237&gt;高値!Z237,高値!AB237&gt;高値!AC237,高値!AB237&gt;高値!AD237),23,""))</f>
        <v/>
      </c>
      <c r="AY237" s="503" t="str">
        <f>IF(終値!A237="","",IF(AND(高値!AC237&gt;高値!AB237,高値!AC237&gt;高値!AA237,高値!AC237&gt;高値!AD237,高値!AC237&gt;高値!AE237),24,""))</f>
        <v/>
      </c>
      <c r="AZ237" s="503" t="str">
        <f>IF(終値!A237="","",IF(AND(高値!AD237&gt;高値!AC237,高値!AD237&gt;高値!AB237,高値!AD237&gt;高値!AE237,高値!AD237&gt;高値!AF237),25,""))</f>
        <v/>
      </c>
      <c r="BA237" s="503" t="str">
        <f>IF(終値!A237="","",IF(AND(高値!AE237&gt;高値!AD237,高値!AE237&gt;高値!AC237,高値!AE237&gt;高値!AF237,高値!AE237&gt;高値!AG237),26,""))</f>
        <v/>
      </c>
      <c r="BB237" s="503" t="str">
        <f>IF(終値!A237="","",IF(AND(高値!AF237&gt;高値!AE237,高値!AF237&gt;高値!AD237,高値!AF237&gt;高値!AG237,高値!AF237&gt;高値!AH237),27,""))</f>
        <v/>
      </c>
      <c r="BC237" s="503" t="str">
        <f>IF(終値!A237="","",IF(AND(高値!AG237&gt;高値!AF237,高値!AG237&gt;高値!AE237,高値!AG237&gt;高値!AH237,高値!AG237&gt;高値!AI237),28,""))</f>
        <v/>
      </c>
      <c r="BD237" s="503">
        <f t="shared" si="18"/>
        <v>4</v>
      </c>
      <c r="BE237" s="503">
        <f t="shared" si="19"/>
        <v>4</v>
      </c>
      <c r="BF237" s="503">
        <f t="shared" si="20"/>
        <v>9</v>
      </c>
      <c r="BG237" s="503">
        <f>IF($BE237="","",INDEX(安値!$E237:$CZ237,1,$BE237+1))</f>
        <v>3980</v>
      </c>
      <c r="BH237" s="503">
        <f>IF($BF237="","",INDEX(安値!$E237:$CZ237,1,$BF237+1))</f>
        <v>3900</v>
      </c>
      <c r="BI237" s="503">
        <f>IF($BF237="","",MAX(INDEX(高値!$E237:$CZ237,1,$BE237+1):INDEX(高値!$E237:$CZ237,1,$BF237+1)))</f>
        <v>4220</v>
      </c>
      <c r="BJ237" s="503">
        <f>IF($BF237="","",AVERAGE(INDEX(終値!$E237:$CZ237,1,$BF237+1):INDEX(終値!$E237:$CZ237,1,$BF237+20))-2*STDEVP(INDEX(終値!$E237:$CZ237,1,$BF237+1):INDEX(終値!$E237:$CZ237,1,$BF237+20)))</f>
        <v>3574.4980290520907</v>
      </c>
      <c r="BK237" s="503">
        <f>IF($BE237="","",AVERAGE(INDEX(終値!$E237:$CZ237,1,$BE237+1):INDEX(終値!$E237:$CZ237,1,$BE237+20))-2*STDEVP(INDEX(終値!$E237:$CZ237,1,$BE237+1):INDEX(終値!$E237:$CZ237,1,$BE237+20)))</f>
        <v>3792.6795698598321</v>
      </c>
      <c r="BL237" s="503">
        <f t="shared" si="21"/>
        <v>2</v>
      </c>
      <c r="BM237" s="503">
        <f t="shared" si="22"/>
        <v>12</v>
      </c>
      <c r="BN237" s="503">
        <f t="shared" si="23"/>
        <v>15</v>
      </c>
      <c r="BO237" s="503">
        <f>IF($BM237="","",INDEX(高値!$E237:$CZ237,1,$BM237+1))</f>
        <v>4175</v>
      </c>
      <c r="BP237" s="503">
        <f>IF($BN237="","",INDEX(高値!$E237:$CZ237,1,$BN237+1))</f>
        <v>4065</v>
      </c>
      <c r="BQ237" s="503">
        <f>IF($BN237="","",MIN(INDEX(安値!$E237:$CZ237,1,$BM237+1):INDEX(安値!$E237:$CZ237,1,$BN237+1)))</f>
        <v>3965</v>
      </c>
      <c r="BR237" s="503">
        <f>IF($BN237="","",AVERAGE(INDEX(終値!$E237:$CZ237,1,$BN237+1):INDEX(終値!$E237:$CZ237,1,$BN237+20))+2*STDEVP(INDEX(終値!$E237:$CZ237,1,$BN237+1):INDEX(終値!$E237:$CZ237,1,$BN237+20)))</f>
        <v>4065.837420383697</v>
      </c>
      <c r="BS237" s="503">
        <f>IF($BM237="","",AVERAGE(INDEX(終値!$E237:$CZ237,1,$BM237+1):INDEX(終値!$E237:$CZ237,1,$BM237+20))+2*STDEVP(INDEX(終値!$E237:$CZ237,1,$BM237+1):INDEX(終値!$E237:$CZ237,1,$BM237+20)))</f>
        <v>4160.698515131061</v>
      </c>
      <c r="BT237" s="500"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v>
      </c>
    </row>
    <row r="238" spans="2:72">
      <c r="B238" s="503" t="str">
        <f>IF(終値!A238="","",IF(AND(安値!G238&lt;安値!F238,安値!G238&lt;安値!E238,安値!G238&lt;安値!H238,安値!G238&lt;安値!I238),2,""))</f>
        <v/>
      </c>
      <c r="C238" s="503">
        <f>IF(終値!A238="","",IF(AND(安値!H238&lt;安値!G238,安値!H238&lt;安値!F238,安値!H238&lt;安値!I238,安値!H238&lt;安値!J238),3,""))</f>
        <v>3</v>
      </c>
      <c r="D238" s="503" t="str">
        <f>IF(終値!A238="","",IF(AND(安値!I238&lt;安値!H238,安値!I238&lt;安値!G238,安値!I238&lt;安値!J238,安値!I238&lt;安値!K238),4,""))</f>
        <v/>
      </c>
      <c r="E238" s="503" t="str">
        <f>IF(終値!A238="","",IF(AND(安値!J238&lt;安値!I238,安値!J238&lt;安値!H238,安値!J238&lt;安値!K238,安値!J238&lt;安値!L238),5,""))</f>
        <v/>
      </c>
      <c r="F238" s="503" t="str">
        <f>IF(終値!A238="","",IF(AND(安値!K238&lt;安値!J238,安値!K238&lt;安値!I238,安値!K238&lt;安値!L238,安値!K238&lt;安値!M238),6,""))</f>
        <v/>
      </c>
      <c r="G238" s="503" t="str">
        <f>IF(終値!A238="","",IF(AND(安値!L238&lt;安値!K238,安値!L238&lt;安値!J238,安値!L238&lt;安値!M238,安値!L238&lt;安値!N238),7,""))</f>
        <v/>
      </c>
      <c r="H238" s="503" t="str">
        <f>IF(終値!A238="","",IF(AND(安値!M238&lt;安値!L238,安値!M238&lt;安値!K238,安値!M238&lt;安値!N238,安値!M238&lt;安値!O238),8,""))</f>
        <v/>
      </c>
      <c r="I238" s="503">
        <f>IF(終値!A238="","",IF(AND(安値!N238&lt;安値!M238,安値!N238&lt;安値!L238,安値!N238&lt;安値!O238,安値!N238&lt;安値!P238),9,""))</f>
        <v>9</v>
      </c>
      <c r="J238" s="503" t="str">
        <f>IF(終値!A238="","",IF(AND(安値!O238&lt;安値!N238,安値!O238&lt;安値!M238,安値!O238&lt;安値!P238,安値!O238&lt;安値!Q238),10,""))</f>
        <v/>
      </c>
      <c r="K238" s="503" t="str">
        <f>IF(終値!A238="","",IF(AND(安値!P238&lt;安値!O238,安値!P238&lt;安値!N238,安値!P238&lt;安値!Q238,安値!P238&lt;安値!R238),11,""))</f>
        <v/>
      </c>
      <c r="L238" s="503" t="str">
        <f>IF(終値!A238="","",IF(AND(安値!Q238&lt;安値!P238,安値!Q238&lt;安値!O238,安値!Q238&lt;安値!R238,安値!Q238&lt;安値!S238),12,""))</f>
        <v/>
      </c>
      <c r="M238" s="503">
        <f>IF(終値!A238="","",IF(AND(安値!R238&lt;安値!Q238,安値!R238&lt;安値!P238,安値!R238&lt;安値!S238,安値!R238&lt;安値!T238),13,""))</f>
        <v>13</v>
      </c>
      <c r="N238" s="503" t="str">
        <f>IF(終値!A238="","",IF(AND(安値!S238&lt;安値!R238,安値!S238&lt;安値!Q238,安値!S238&lt;安値!T238,安値!S238&lt;安値!U238),14,""))</f>
        <v/>
      </c>
      <c r="O238" s="503" t="str">
        <f>IF(終値!A238="","",IF(AND(安値!T238&lt;安値!S238,安値!T238&lt;安値!R238,安値!T238&lt;安値!U238,安値!T238&lt;安値!V238),15,""))</f>
        <v/>
      </c>
      <c r="P238" s="503">
        <f>IF(終値!A238="","",IF(AND(安値!U238&lt;安値!T238,安値!U238&lt;安値!S238,安値!U238&lt;安値!V238,安値!U238&lt;安値!W238),16,""))</f>
        <v>16</v>
      </c>
      <c r="Q238" s="503" t="str">
        <f>IF(終値!A238="","",IF(AND(安値!V238&lt;安値!U238,安値!V238&lt;安値!T238,安値!V238&lt;安値!W238,安値!V238&lt;安値!X238),17,""))</f>
        <v/>
      </c>
      <c r="R238" s="503" t="str">
        <f>IF(終値!A238="","",IF(AND(安値!W238&lt;安値!V238,安値!W238&lt;安値!U238,安値!W238&lt;安値!X238,安値!W238&lt;安値!Y238),18,""))</f>
        <v/>
      </c>
      <c r="S238" s="503" t="str">
        <f>IF(終値!A238="","",IF(AND(安値!X238&lt;安値!W238,安値!X238&lt;安値!V238,安値!X238&lt;安値!Y238,安値!X238&lt;安値!Z238),19,""))</f>
        <v/>
      </c>
      <c r="T238" s="503" t="str">
        <f>IF(終値!A238="","",IF(AND(安値!Y238&lt;安値!X238,安値!Y238&lt;安値!W238,安値!Y238&lt;安値!Z238,安値!Y238&lt;安値!AA238),20,""))</f>
        <v/>
      </c>
      <c r="U238" s="503" t="str">
        <f>IF(終値!A238="","",IF(AND(安値!Z238&lt;安値!Y238,安値!Z238&lt;安値!X238,安値!Z238&lt;安値!AA238,安値!Z238&lt;安値!AB238),21,""))</f>
        <v/>
      </c>
      <c r="V238" s="503" t="str">
        <f>IF(終値!A238="","",IF(AND(安値!AA238&lt;安値!Z238,安値!AA238&lt;安値!Y238,安値!AA238&lt;安値!AB238,安値!AA238&lt;安値!AC238),22,""))</f>
        <v/>
      </c>
      <c r="W238" s="503" t="str">
        <f>IF(終値!A238="","",IF(AND(安値!AB238&lt;安値!AA238,安値!AB238&lt;安値!Z238,安値!AB238&lt;安値!AC238,安値!AB238&lt;安値!AD238),23,""))</f>
        <v/>
      </c>
      <c r="X238" s="503">
        <f>IF(終値!A238="","",IF(AND(安値!AC238&lt;安値!AB238,安値!AC238&lt;安値!AA238,安値!AC238&lt;安値!AD238,安値!AC238&lt;安値!AE238),24,""))</f>
        <v>24</v>
      </c>
      <c r="Y238" s="503" t="str">
        <f>IF(終値!A238="","",IF(AND(安値!AD238&lt;安値!AC238,安値!AD238&lt;安値!AB238,安値!AD238&lt;安値!AE238,安値!AD238&lt;安値!AF238),25,""))</f>
        <v/>
      </c>
      <c r="Z238" s="503" t="str">
        <f>IF(終値!A238="","",IF(AND(安値!AE238&lt;安値!AD238,安値!AE238&lt;安値!AC238,安値!AE238&lt;安値!AF238,安値!AE238&lt;安値!AG238),26,""))</f>
        <v/>
      </c>
      <c r="AA238" s="503" t="str">
        <f>IF(終値!A238="","",IF(AND(安値!AF238&lt;安値!AE238,安値!AF238&lt;安値!AD238,安値!AF238&lt;安値!AG238,安値!AF238&lt;安値!AH238),27,""))</f>
        <v/>
      </c>
      <c r="AB238" s="503" t="str">
        <f>IF(終値!A238="","",IF(AND(安値!AG238&lt;安値!AF238,安値!AG238&lt;安値!AE238,安値!AG238&lt;安値!AH238,安値!AG238&lt;安値!AI238),28,""))</f>
        <v/>
      </c>
      <c r="AC238" s="503" t="str">
        <f>IF(終値!A238="","",IF(AND(高値!G238&gt;高値!F238,高値!G238&gt;高値!E238,高値!G238&gt;高値!H238,高値!G238&gt;高値!I238),2,""))</f>
        <v/>
      </c>
      <c r="AD238" s="503" t="str">
        <f>IF(終値!A238="","",IF(AND(高値!H238&gt;高値!G238,高値!H238&gt;高値!F238,高値!H238&gt;高値!I238,高値!H238&gt;高値!J238),3,""))</f>
        <v/>
      </c>
      <c r="AE238" s="503" t="str">
        <f>IF(終値!A238="","",IF(AND(高値!I238&gt;高値!H238,高値!I238&gt;高値!G238,高値!I238&gt;高値!J238,高値!I238&gt;高値!K238),4,""))</f>
        <v/>
      </c>
      <c r="AF238" s="503" t="str">
        <f>IF(終値!A238="","",IF(AND(高値!J238&gt;高値!I238,高値!J238&gt;高値!H238,高値!J238&gt;高値!K238,高値!J238&gt;高値!L238),5,""))</f>
        <v/>
      </c>
      <c r="AG238" s="503" t="str">
        <f>IF(終値!A238="","",IF(AND(高値!K238&gt;高値!J238,高値!K238&gt;高値!I238,高値!K238&gt;高値!L238,高値!K238&gt;高値!M238),6,""))</f>
        <v/>
      </c>
      <c r="AH238" s="503" t="str">
        <f>IF(終値!A238="","",IF(AND(高値!L238&gt;高値!K238,高値!L238&gt;高値!J238,高値!L238&gt;高値!M238,高値!L238&gt;高値!N238),7,""))</f>
        <v/>
      </c>
      <c r="AI238" s="503" t="str">
        <f>IF(終値!A238="","",IF(AND(高値!M238&gt;高値!L238,高値!M238&gt;高値!K238,高値!M238&gt;高値!N238,高値!M238&gt;高値!O238),8,""))</f>
        <v/>
      </c>
      <c r="AJ238" s="503" t="str">
        <f>IF(終値!A238="","",IF(AND(高値!N238&gt;高値!M238,高値!N238&gt;高値!L238,高値!N238&gt;高値!O238,高値!N238&gt;高値!P238),9,""))</f>
        <v/>
      </c>
      <c r="AK238" s="503" t="str">
        <f>IF(終値!A238="","",IF(AND(高値!O238&gt;高値!N238,高値!O238&gt;高値!M238,高値!O238&gt;高値!P238,高値!O238&gt;高値!Q238),10,""))</f>
        <v/>
      </c>
      <c r="AL238" s="503">
        <f>IF(終値!A238="","",IF(AND(高値!P238&gt;高値!O238,高値!P238&gt;高値!N238,高値!P238&gt;高値!Q238,高値!P238&gt;高値!R238),11,""))</f>
        <v>11</v>
      </c>
      <c r="AM238" s="503" t="str">
        <f>IF(終値!A238="","",IF(AND(高値!Q238&gt;高値!P238,高値!Q238&gt;高値!O238,高値!Q238&gt;高値!R238,高値!Q238&gt;高値!S238),12,""))</f>
        <v/>
      </c>
      <c r="AN238" s="503" t="str">
        <f>IF(終値!A238="","",IF(AND(高値!R238&gt;高値!Q238,高値!R238&gt;高値!P238,高値!R238&gt;高値!S238,高値!R238&gt;高値!T238),13,""))</f>
        <v/>
      </c>
      <c r="AO238" s="503" t="str">
        <f>IF(終値!A238="","",IF(AND(高値!S238&gt;高値!R238,高値!S238&gt;高値!Q238,高値!S238&gt;高値!T238,高値!S238&gt;高値!U238),14,""))</f>
        <v/>
      </c>
      <c r="AP238" s="503" t="str">
        <f>IF(終値!A238="","",IF(AND(高値!T238&gt;高値!S238,高値!T238&gt;高値!R238,高値!T238&gt;高値!U238,高値!T238&gt;高値!V238),15,""))</f>
        <v/>
      </c>
      <c r="AQ238" s="503" t="str">
        <f>IF(終値!A238="","",IF(AND(高値!U238&gt;高値!T238,高値!U238&gt;高値!S238,高値!U238&gt;高値!V238,高値!U238&gt;高値!W238),16,""))</f>
        <v/>
      </c>
      <c r="AR238" s="503" t="str">
        <f>IF(終値!A238="","",IF(AND(高値!V238&gt;高値!U238,高値!V238&gt;高値!T238,高値!V238&gt;高値!W238,高値!V238&gt;高値!X238),17,""))</f>
        <v/>
      </c>
      <c r="AS238" s="503" t="str">
        <f>IF(終値!A238="","",IF(AND(高値!W238&gt;高値!V238,高値!W238&gt;高値!U238,高値!W238&gt;高値!X238,高値!W238&gt;高値!Y238),18,""))</f>
        <v/>
      </c>
      <c r="AT238" s="503" t="str">
        <f>IF(終値!A238="","",IF(AND(高値!X238&gt;高値!W238,高値!X238&gt;高値!V238,高値!X238&gt;高値!Y238,高値!X238&gt;高値!Z238),19,""))</f>
        <v/>
      </c>
      <c r="AU238" s="503">
        <f>IF(終値!A238="","",IF(AND(高値!Y238&gt;高値!X238,高値!Y238&gt;高値!W238,高値!Y238&gt;高値!Z238,高値!Y238&gt;高値!AA238),20,""))</f>
        <v>20</v>
      </c>
      <c r="AV238" s="503" t="str">
        <f>IF(終値!A238="","",IF(AND(高値!Z238&gt;高値!Y238,高値!Z238&gt;高値!X238,高値!Z238&gt;高値!AA238,高値!Z238&gt;高値!AB238),21,""))</f>
        <v/>
      </c>
      <c r="AW238" s="503" t="str">
        <f>IF(終値!A238="","",IF(AND(高値!AA238&gt;高値!Z238,高値!AA238&gt;高値!Y238,高値!AA238&gt;高値!AB238,高値!AA238&gt;高値!AC238),22,""))</f>
        <v/>
      </c>
      <c r="AX238" s="503" t="str">
        <f>IF(終値!A238="","",IF(AND(高値!AB238&gt;高値!AA238,高値!AB238&gt;高値!Z238,高値!AB238&gt;高値!AC238,高値!AB238&gt;高値!AD238),23,""))</f>
        <v/>
      </c>
      <c r="AY238" s="503" t="str">
        <f>IF(終値!A238="","",IF(AND(高値!AC238&gt;高値!AB238,高値!AC238&gt;高値!AA238,高値!AC238&gt;高値!AD238,高値!AC238&gt;高値!AE238),24,""))</f>
        <v/>
      </c>
      <c r="AZ238" s="503" t="str">
        <f>IF(終値!A238="","",IF(AND(高値!AD238&gt;高値!AC238,高値!AD238&gt;高値!AB238,高値!AD238&gt;高値!AE238,高値!AD238&gt;高値!AF238),25,""))</f>
        <v/>
      </c>
      <c r="BA238" s="503">
        <f>IF(終値!A238="","",IF(AND(高値!AE238&gt;高値!AD238,高値!AE238&gt;高値!AC238,高値!AE238&gt;高値!AF238,高値!AE238&gt;高値!AG238),26,""))</f>
        <v>26</v>
      </c>
      <c r="BB238" s="503" t="str">
        <f>IF(終値!A238="","",IF(AND(高値!AF238&gt;高値!AE238,高値!AF238&gt;高値!AD238,高値!AF238&gt;高値!AG238,高値!AF238&gt;高値!AH238),27,""))</f>
        <v/>
      </c>
      <c r="BC238" s="503" t="str">
        <f>IF(終値!A238="","",IF(AND(高値!AG238&gt;高値!AF238,高値!AG238&gt;高値!AE238,高値!AG238&gt;高値!AH238,高値!AG238&gt;高値!AI238),28,""))</f>
        <v/>
      </c>
      <c r="BD238" s="503">
        <f t="shared" si="18"/>
        <v>5</v>
      </c>
      <c r="BE238" s="503">
        <f t="shared" si="19"/>
        <v>3</v>
      </c>
      <c r="BF238" s="503">
        <f t="shared" si="20"/>
        <v>9</v>
      </c>
      <c r="BG238" s="503">
        <f>IF($BE238="","",INDEX(安値!$E238:$CZ238,1,$BE238+1))</f>
        <v>1582</v>
      </c>
      <c r="BH238" s="503">
        <f>IF($BF238="","",INDEX(安値!$E238:$CZ238,1,$BF238+1))</f>
        <v>0</v>
      </c>
      <c r="BI238" s="503">
        <f>IF($BF238="","",MAX(INDEX(高値!$E238:$CZ238,1,$BE238+1):INDEX(高値!$E238:$CZ238,1,$BF238+1)))</f>
        <v>1645</v>
      </c>
      <c r="BJ238" s="503">
        <f>IF($BF238="","",AVERAGE(INDEX(終値!$E238:$CZ238,1,$BF238+1):INDEX(終値!$E238:$CZ238,1,$BF238+20))-2*STDEVP(INDEX(終値!$E238:$CZ238,1,$BF238+1):INDEX(終値!$E238:$CZ238,1,$BF238+20)))</f>
        <v>1548.4288949657391</v>
      </c>
      <c r="BK238" s="503">
        <f>IF($BE238="","",AVERAGE(INDEX(終値!$E238:$CZ238,1,$BE238+1):INDEX(終値!$E238:$CZ238,1,$BE238+20))-2*STDEVP(INDEX(終値!$E238:$CZ238,1,$BE238+1):INDEX(終値!$E238:$CZ238,1,$BE238+20)))</f>
        <v>1579.1471340778724</v>
      </c>
      <c r="BL238" s="503">
        <f t="shared" si="21"/>
        <v>3</v>
      </c>
      <c r="BM238" s="503">
        <f t="shared" si="22"/>
        <v>11</v>
      </c>
      <c r="BN238" s="503">
        <f t="shared" si="23"/>
        <v>20</v>
      </c>
      <c r="BO238" s="503">
        <f>IF($BM238="","",INDEX(高値!$E238:$CZ238,1,$BM238+1))</f>
        <v>1634</v>
      </c>
      <c r="BP238" s="503">
        <f>IF($BN238="","",INDEX(高値!$E238:$CZ238,1,$BN238+1))</f>
        <v>1654</v>
      </c>
      <c r="BQ238" s="503">
        <f>IF($BN238="","",MIN(INDEX(安値!$E238:$CZ238,1,$BM238+1):INDEX(安値!$E238:$CZ238,1,$BN238+1)))</f>
        <v>1561</v>
      </c>
      <c r="BR238" s="503">
        <f>IF($BN238="","",AVERAGE(INDEX(終値!$E238:$CZ238,1,$BN238+1):INDEX(終値!$E238:$CZ238,1,$BN238+20))+2*STDEVP(INDEX(終値!$E238:$CZ238,1,$BN238+1):INDEX(終値!$E238:$CZ238,1,$BN238+20)))</f>
        <v>1619.2482507743832</v>
      </c>
      <c r="BS238" s="503">
        <f>IF($BM238="","",AVERAGE(INDEX(終値!$E238:$CZ238,1,$BM238+1):INDEX(終値!$E238:$CZ238,1,$BM238+20))+2*STDEVP(INDEX(終値!$E238:$CZ238,1,$BM238+1):INDEX(終値!$E238:$CZ238,1,$BM238+20)))</f>
        <v>1646.187639018784</v>
      </c>
      <c r="BT238" s="500"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v>
      </c>
    </row>
    <row r="239" spans="2:72">
      <c r="B239" s="503" t="str">
        <f>IF(終値!A239="","",IF(AND(安値!G239&lt;安値!F239,安値!G239&lt;安値!E239,安値!G239&lt;安値!H239,安値!G239&lt;安値!I239),2,""))</f>
        <v/>
      </c>
      <c r="C239" s="503">
        <f>IF(終値!A239="","",IF(AND(安値!H239&lt;安値!G239,安値!H239&lt;安値!F239,安値!H239&lt;安値!I239,安値!H239&lt;安値!J239),3,""))</f>
        <v>3</v>
      </c>
      <c r="D239" s="503" t="str">
        <f>IF(終値!A239="","",IF(AND(安値!I239&lt;安値!H239,安値!I239&lt;安値!G239,安値!I239&lt;安値!J239,安値!I239&lt;安値!K239),4,""))</f>
        <v/>
      </c>
      <c r="E239" s="503" t="str">
        <f>IF(終値!A239="","",IF(AND(安値!J239&lt;安値!I239,安値!J239&lt;安値!H239,安値!J239&lt;安値!K239,安値!J239&lt;安値!L239),5,""))</f>
        <v/>
      </c>
      <c r="F239" s="503" t="str">
        <f>IF(終値!A239="","",IF(AND(安値!K239&lt;安値!J239,安値!K239&lt;安値!I239,安値!K239&lt;安値!L239,安値!K239&lt;安値!M239),6,""))</f>
        <v/>
      </c>
      <c r="G239" s="503" t="str">
        <f>IF(終値!A239="","",IF(AND(安値!L239&lt;安値!K239,安値!L239&lt;安値!J239,安値!L239&lt;安値!M239,安値!L239&lt;安値!N239),7,""))</f>
        <v/>
      </c>
      <c r="H239" s="503" t="str">
        <f>IF(終値!A239="","",IF(AND(安値!M239&lt;安値!L239,安値!M239&lt;安値!K239,安値!M239&lt;安値!N239,安値!M239&lt;安値!O239),8,""))</f>
        <v/>
      </c>
      <c r="I239" s="503">
        <f>IF(終値!A239="","",IF(AND(安値!N239&lt;安値!M239,安値!N239&lt;安値!L239,安値!N239&lt;安値!O239,安値!N239&lt;安値!P239),9,""))</f>
        <v>9</v>
      </c>
      <c r="J239" s="503" t="str">
        <f>IF(終値!A239="","",IF(AND(安値!O239&lt;安値!N239,安値!O239&lt;安値!M239,安値!O239&lt;安値!P239,安値!O239&lt;安値!Q239),10,""))</f>
        <v/>
      </c>
      <c r="K239" s="503" t="str">
        <f>IF(終値!A239="","",IF(AND(安値!P239&lt;安値!O239,安値!P239&lt;安値!N239,安値!P239&lt;安値!Q239,安値!P239&lt;安値!R239),11,""))</f>
        <v/>
      </c>
      <c r="L239" s="503" t="str">
        <f>IF(終値!A239="","",IF(AND(安値!Q239&lt;安値!P239,安値!Q239&lt;安値!O239,安値!Q239&lt;安値!R239,安値!Q239&lt;安値!S239),12,""))</f>
        <v/>
      </c>
      <c r="M239" s="503">
        <f>IF(終値!A239="","",IF(AND(安値!R239&lt;安値!Q239,安値!R239&lt;安値!P239,安値!R239&lt;安値!S239,安値!R239&lt;安値!T239),13,""))</f>
        <v>13</v>
      </c>
      <c r="N239" s="503" t="str">
        <f>IF(終値!A239="","",IF(AND(安値!S239&lt;安値!R239,安値!S239&lt;安値!Q239,安値!S239&lt;安値!T239,安値!S239&lt;安値!U239),14,""))</f>
        <v/>
      </c>
      <c r="O239" s="503" t="str">
        <f>IF(終値!A239="","",IF(AND(安値!T239&lt;安値!S239,安値!T239&lt;安値!R239,安値!T239&lt;安値!U239,安値!T239&lt;安値!V239),15,""))</f>
        <v/>
      </c>
      <c r="P239" s="503" t="str">
        <f>IF(終値!A239="","",IF(AND(安値!U239&lt;安値!T239,安値!U239&lt;安値!S239,安値!U239&lt;安値!V239,安値!U239&lt;安値!W239),16,""))</f>
        <v/>
      </c>
      <c r="Q239" s="503" t="str">
        <f>IF(終値!A239="","",IF(AND(安値!V239&lt;安値!U239,安値!V239&lt;安値!T239,安値!V239&lt;安値!W239,安値!V239&lt;安値!X239),17,""))</f>
        <v/>
      </c>
      <c r="R239" s="503">
        <f>IF(終値!A239="","",IF(AND(安値!W239&lt;安値!V239,安値!W239&lt;安値!U239,安値!W239&lt;安値!X239,安値!W239&lt;安値!Y239),18,""))</f>
        <v>18</v>
      </c>
      <c r="S239" s="503" t="str">
        <f>IF(終値!A239="","",IF(AND(安値!X239&lt;安値!W239,安値!X239&lt;安値!V239,安値!X239&lt;安値!Y239,安値!X239&lt;安値!Z239),19,""))</f>
        <v/>
      </c>
      <c r="T239" s="503" t="str">
        <f>IF(終値!A239="","",IF(AND(安値!Y239&lt;安値!X239,安値!Y239&lt;安値!W239,安値!Y239&lt;安値!Z239,安値!Y239&lt;安値!AA239),20,""))</f>
        <v/>
      </c>
      <c r="U239" s="503" t="str">
        <f>IF(終値!A239="","",IF(AND(安値!Z239&lt;安値!Y239,安値!Z239&lt;安値!X239,安値!Z239&lt;安値!AA239,安値!Z239&lt;安値!AB239),21,""))</f>
        <v/>
      </c>
      <c r="V239" s="503" t="str">
        <f>IF(終値!A239="","",IF(AND(安値!AA239&lt;安値!Z239,安値!AA239&lt;安値!Y239,安値!AA239&lt;安値!AB239,安値!AA239&lt;安値!AC239),22,""))</f>
        <v/>
      </c>
      <c r="W239" s="503" t="str">
        <f>IF(終値!A239="","",IF(AND(安値!AB239&lt;安値!AA239,安値!AB239&lt;安値!Z239,安値!AB239&lt;安値!AC239,安値!AB239&lt;安値!AD239),23,""))</f>
        <v/>
      </c>
      <c r="X239" s="503" t="str">
        <f>IF(終値!A239="","",IF(AND(安値!AC239&lt;安値!AB239,安値!AC239&lt;安値!AA239,安値!AC239&lt;安値!AD239,安値!AC239&lt;安値!AE239),24,""))</f>
        <v/>
      </c>
      <c r="Y239" s="503" t="str">
        <f>IF(終値!A239="","",IF(AND(安値!AD239&lt;安値!AC239,安値!AD239&lt;安値!AB239,安値!AD239&lt;安値!AE239,安値!AD239&lt;安値!AF239),25,""))</f>
        <v/>
      </c>
      <c r="Z239" s="503">
        <f>IF(終値!A239="","",IF(AND(安値!AE239&lt;安値!AD239,安値!AE239&lt;安値!AC239,安値!AE239&lt;安値!AF239,安値!AE239&lt;安値!AG239),26,""))</f>
        <v>26</v>
      </c>
      <c r="AA239" s="503" t="str">
        <f>IF(終値!A239="","",IF(AND(安値!AF239&lt;安値!AE239,安値!AF239&lt;安値!AD239,安値!AF239&lt;安値!AG239,安値!AF239&lt;安値!AH239),27,""))</f>
        <v/>
      </c>
      <c r="AB239" s="503" t="str">
        <f>IF(終値!A239="","",IF(AND(安値!AG239&lt;安値!AF239,安値!AG239&lt;安値!AE239,安値!AG239&lt;安値!AH239,安値!AG239&lt;安値!AI239),28,""))</f>
        <v/>
      </c>
      <c r="AC239" s="503" t="str">
        <f>IF(終値!A239="","",IF(AND(高値!G239&gt;高値!F239,高値!G239&gt;高値!E239,高値!G239&gt;高値!H239,高値!G239&gt;高値!I239),2,""))</f>
        <v/>
      </c>
      <c r="AD239" s="503" t="str">
        <f>IF(終値!A239="","",IF(AND(高値!H239&gt;高値!G239,高値!H239&gt;高値!F239,高値!H239&gt;高値!I239,高値!H239&gt;高値!J239),3,""))</f>
        <v/>
      </c>
      <c r="AE239" s="503">
        <f>IF(終値!A239="","",IF(AND(高値!I239&gt;高値!H239,高値!I239&gt;高値!G239,高値!I239&gt;高値!J239,高値!I239&gt;高値!K239),4,""))</f>
        <v>4</v>
      </c>
      <c r="AF239" s="503" t="str">
        <f>IF(終値!A239="","",IF(AND(高値!J239&gt;高値!I239,高値!J239&gt;高値!H239,高値!J239&gt;高値!K239,高値!J239&gt;高値!L239),5,""))</f>
        <v/>
      </c>
      <c r="AG239" s="503" t="str">
        <f>IF(終値!A239="","",IF(AND(高値!K239&gt;高値!J239,高値!K239&gt;高値!I239,高値!K239&gt;高値!L239,高値!K239&gt;高値!M239),6,""))</f>
        <v/>
      </c>
      <c r="AH239" s="503">
        <f>IF(終値!A239="","",IF(AND(高値!L239&gt;高値!K239,高値!L239&gt;高値!J239,高値!L239&gt;高値!M239,高値!L239&gt;高値!N239),7,""))</f>
        <v>7</v>
      </c>
      <c r="AI239" s="503" t="str">
        <f>IF(終値!A239="","",IF(AND(高値!M239&gt;高値!L239,高値!M239&gt;高値!K239,高値!M239&gt;高値!N239,高値!M239&gt;高値!O239),8,""))</f>
        <v/>
      </c>
      <c r="AJ239" s="503" t="str">
        <f>IF(終値!A239="","",IF(AND(高値!N239&gt;高値!M239,高値!N239&gt;高値!L239,高値!N239&gt;高値!O239,高値!N239&gt;高値!P239),9,""))</f>
        <v/>
      </c>
      <c r="AK239" s="503" t="str">
        <f>IF(終値!A239="","",IF(AND(高値!O239&gt;高値!N239,高値!O239&gt;高値!M239,高値!O239&gt;高値!P239,高値!O239&gt;高値!Q239),10,""))</f>
        <v/>
      </c>
      <c r="AL239" s="503" t="str">
        <f>IF(終値!A239="","",IF(AND(高値!P239&gt;高値!O239,高値!P239&gt;高値!N239,高値!P239&gt;高値!Q239,高値!P239&gt;高値!R239),11,""))</f>
        <v/>
      </c>
      <c r="AM239" s="503" t="str">
        <f>IF(終値!A239="","",IF(AND(高値!Q239&gt;高値!P239,高値!Q239&gt;高値!O239,高値!Q239&gt;高値!R239,高値!Q239&gt;高値!S239),12,""))</f>
        <v/>
      </c>
      <c r="AN239" s="503" t="str">
        <f>IF(終値!A239="","",IF(AND(高値!R239&gt;高値!Q239,高値!R239&gt;高値!P239,高値!R239&gt;高値!S239,高値!R239&gt;高値!T239),13,""))</f>
        <v/>
      </c>
      <c r="AO239" s="503">
        <f>IF(終値!A239="","",IF(AND(高値!S239&gt;高値!R239,高値!S239&gt;高値!Q239,高値!S239&gt;高値!T239,高値!S239&gt;高値!U239),14,""))</f>
        <v>14</v>
      </c>
      <c r="AP239" s="503" t="str">
        <f>IF(終値!A239="","",IF(AND(高値!T239&gt;高値!S239,高値!T239&gt;高値!R239,高値!T239&gt;高値!U239,高値!T239&gt;高値!V239),15,""))</f>
        <v/>
      </c>
      <c r="AQ239" s="503" t="str">
        <f>IF(終値!A239="","",IF(AND(高値!U239&gt;高値!T239,高値!U239&gt;高値!S239,高値!U239&gt;高値!V239,高値!U239&gt;高値!W239),16,""))</f>
        <v/>
      </c>
      <c r="AR239" s="503" t="str">
        <f>IF(終値!A239="","",IF(AND(高値!V239&gt;高値!U239,高値!V239&gt;高値!T239,高値!V239&gt;高値!W239,高値!V239&gt;高値!X239),17,""))</f>
        <v/>
      </c>
      <c r="AS239" s="503" t="str">
        <f>IF(終値!A239="","",IF(AND(高値!W239&gt;高値!V239,高値!W239&gt;高値!U239,高値!W239&gt;高値!X239,高値!W239&gt;高値!Y239),18,""))</f>
        <v/>
      </c>
      <c r="AT239" s="503" t="str">
        <f>IF(終値!A239="","",IF(AND(高値!X239&gt;高値!W239,高値!X239&gt;高値!V239,高値!X239&gt;高値!Y239,高値!X239&gt;高値!Z239),19,""))</f>
        <v/>
      </c>
      <c r="AU239" s="503" t="str">
        <f>IF(終値!A239="","",IF(AND(高値!Y239&gt;高値!X239,高値!Y239&gt;高値!W239,高値!Y239&gt;高値!Z239,高値!Y239&gt;高値!AA239),20,""))</f>
        <v/>
      </c>
      <c r="AV239" s="503">
        <f>IF(終値!A239="","",IF(AND(高値!Z239&gt;高値!Y239,高値!Z239&gt;高値!X239,高値!Z239&gt;高値!AA239,高値!Z239&gt;高値!AB239),21,""))</f>
        <v>21</v>
      </c>
      <c r="AW239" s="503" t="str">
        <f>IF(終値!A239="","",IF(AND(高値!AA239&gt;高値!Z239,高値!AA239&gt;高値!Y239,高値!AA239&gt;高値!AB239,高値!AA239&gt;高値!AC239),22,""))</f>
        <v/>
      </c>
      <c r="AX239" s="503" t="str">
        <f>IF(終値!A239="","",IF(AND(高値!AB239&gt;高値!AA239,高値!AB239&gt;高値!Z239,高値!AB239&gt;高値!AC239,高値!AB239&gt;高値!AD239),23,""))</f>
        <v/>
      </c>
      <c r="AY239" s="503" t="str">
        <f>IF(終値!A239="","",IF(AND(高値!AC239&gt;高値!AB239,高値!AC239&gt;高値!AA239,高値!AC239&gt;高値!AD239,高値!AC239&gt;高値!AE239),24,""))</f>
        <v/>
      </c>
      <c r="AZ239" s="503" t="str">
        <f>IF(終値!A239="","",IF(AND(高値!AD239&gt;高値!AC239,高値!AD239&gt;高値!AB239,高値!AD239&gt;高値!AE239,高値!AD239&gt;高値!AF239),25,""))</f>
        <v/>
      </c>
      <c r="BA239" s="503" t="str">
        <f>IF(終値!A239="","",IF(AND(高値!AE239&gt;高値!AD239,高値!AE239&gt;高値!AC239,高値!AE239&gt;高値!AF239,高値!AE239&gt;高値!AG239),26,""))</f>
        <v/>
      </c>
      <c r="BB239" s="503" t="str">
        <f>IF(終値!A239="","",IF(AND(高値!AF239&gt;高値!AE239,高値!AF239&gt;高値!AD239,高値!AF239&gt;高値!AG239,高値!AF239&gt;高値!AH239),27,""))</f>
        <v/>
      </c>
      <c r="BC239" s="503" t="str">
        <f>IF(終値!A239="","",IF(AND(高値!AG239&gt;高値!AF239,高値!AG239&gt;高値!AE239,高値!AG239&gt;高値!AH239,高値!AG239&gt;高値!AI239),28,""))</f>
        <v/>
      </c>
      <c r="BD239" s="503">
        <f t="shared" si="18"/>
        <v>5</v>
      </c>
      <c r="BE239" s="503">
        <f t="shared" si="19"/>
        <v>3</v>
      </c>
      <c r="BF239" s="503">
        <f t="shared" si="20"/>
        <v>9</v>
      </c>
      <c r="BG239" s="503">
        <f>IF($BE239="","",INDEX(安値!$E239:$CZ239,1,$BE239+1))</f>
        <v>1762</v>
      </c>
      <c r="BH239" s="503">
        <f>IF($BF239="","",INDEX(安値!$E239:$CZ239,1,$BF239+1))</f>
        <v>0</v>
      </c>
      <c r="BI239" s="503">
        <f>IF($BF239="","",MAX(INDEX(高値!$E239:$CZ239,1,$BE239+1):INDEX(高値!$E239:$CZ239,1,$BF239+1)))</f>
        <v>1831</v>
      </c>
      <c r="BJ239" s="503">
        <f>IF($BF239="","",AVERAGE(INDEX(終値!$E239:$CZ239,1,$BF239+1):INDEX(終値!$E239:$CZ239,1,$BF239+20))-2*STDEVP(INDEX(終値!$E239:$CZ239,1,$BF239+1):INDEX(終値!$E239:$CZ239,1,$BF239+20)))</f>
        <v>1603.5997939150511</v>
      </c>
      <c r="BK239" s="503">
        <f>IF($BE239="","",AVERAGE(INDEX(終値!$E239:$CZ239,1,$BE239+1):INDEX(終値!$E239:$CZ239,1,$BE239+20))-2*STDEVP(INDEX(終値!$E239:$CZ239,1,$BE239+1):INDEX(終値!$E239:$CZ239,1,$BE239+20)))</f>
        <v>1743.711952355136</v>
      </c>
      <c r="BL239" s="503">
        <f t="shared" si="21"/>
        <v>4</v>
      </c>
      <c r="BM239" s="503">
        <f t="shared" si="22"/>
        <v>4</v>
      </c>
      <c r="BN239" s="503">
        <f t="shared" si="23"/>
        <v>7</v>
      </c>
      <c r="BO239" s="503">
        <f>IF($BM239="","",INDEX(高値!$E239:$CZ239,1,$BM239+1))</f>
        <v>1831</v>
      </c>
      <c r="BP239" s="503">
        <f>IF($BN239="","",INDEX(高値!$E239:$CZ239,1,$BN239+1))</f>
        <v>1814</v>
      </c>
      <c r="BQ239" s="503">
        <f>IF($BN239="","",MIN(INDEX(安値!$E239:$CZ239,1,$BM239+1):INDEX(安値!$E239:$CZ239,1,$BN239+1)))</f>
        <v>1759</v>
      </c>
      <c r="BR239" s="503">
        <f>IF($BN239="","",AVERAGE(INDEX(終値!$E239:$CZ239,1,$BN239+1):INDEX(終値!$E239:$CZ239,1,$BN239+20))+2*STDEVP(INDEX(終値!$E239:$CZ239,1,$BN239+1):INDEX(終値!$E239:$CZ239,1,$BN239+20)))</f>
        <v>1873.0072644051081</v>
      </c>
      <c r="BS239" s="503">
        <f>IF($BM239="","",AVERAGE(INDEX(終値!$E239:$CZ239,1,$BM239+1):INDEX(終値!$E239:$CZ239,1,$BM239+20))+2*STDEVP(INDEX(終値!$E239:$CZ239,1,$BM239+1):INDEX(終値!$E239:$CZ239,1,$BM239+20)))</f>
        <v>1837.9318693691623</v>
      </c>
      <c r="BT239" s="500"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v>
      </c>
    </row>
    <row r="240" spans="2:72">
      <c r="B240" s="503" t="str">
        <f>IF(終値!A240="","",IF(AND(安値!G240&lt;安値!F240,安値!G240&lt;安値!E240,安値!G240&lt;安値!H240,安値!G240&lt;安値!I240),2,""))</f>
        <v/>
      </c>
      <c r="C240" s="503" t="str">
        <f>IF(終値!A240="","",IF(AND(安値!H240&lt;安値!G240,安値!H240&lt;安値!F240,安値!H240&lt;安値!I240,安値!H240&lt;安値!J240),3,""))</f>
        <v/>
      </c>
      <c r="D240" s="503" t="str">
        <f>IF(終値!A240="","",IF(AND(安値!I240&lt;安値!H240,安値!I240&lt;安値!G240,安値!I240&lt;安値!J240,安値!I240&lt;安値!K240),4,""))</f>
        <v/>
      </c>
      <c r="E240" s="503" t="str">
        <f>IF(終値!A240="","",IF(AND(安値!J240&lt;安値!I240,安値!J240&lt;安値!H240,安値!J240&lt;安値!K240,安値!J240&lt;安値!L240),5,""))</f>
        <v/>
      </c>
      <c r="F240" s="503" t="str">
        <f>IF(終値!A240="","",IF(AND(安値!K240&lt;安値!J240,安値!K240&lt;安値!I240,安値!K240&lt;安値!L240,安値!K240&lt;安値!M240),6,""))</f>
        <v/>
      </c>
      <c r="G240" s="503" t="str">
        <f>IF(終値!A240="","",IF(AND(安値!L240&lt;安値!K240,安値!L240&lt;安値!J240,安値!L240&lt;安値!M240,安値!L240&lt;安値!N240),7,""))</f>
        <v/>
      </c>
      <c r="H240" s="503" t="str">
        <f>IF(終値!A240="","",IF(AND(安値!M240&lt;安値!L240,安値!M240&lt;安値!K240,安値!M240&lt;安値!N240,安値!M240&lt;安値!O240),8,""))</f>
        <v/>
      </c>
      <c r="I240" s="503">
        <f>IF(終値!A240="","",IF(AND(安値!N240&lt;安値!M240,安値!N240&lt;安値!L240,安値!N240&lt;安値!O240,安値!N240&lt;安値!P240),9,""))</f>
        <v>9</v>
      </c>
      <c r="J240" s="503" t="str">
        <f>IF(終値!A240="","",IF(AND(安値!O240&lt;安値!N240,安値!O240&lt;安値!M240,安値!O240&lt;安値!P240,安値!O240&lt;安値!Q240),10,""))</f>
        <v/>
      </c>
      <c r="K240" s="503" t="str">
        <f>IF(終値!A240="","",IF(AND(安値!P240&lt;安値!O240,安値!P240&lt;安値!N240,安値!P240&lt;安値!Q240,安値!P240&lt;安値!R240),11,""))</f>
        <v/>
      </c>
      <c r="L240" s="503" t="str">
        <f>IF(終値!A240="","",IF(AND(安値!Q240&lt;安値!P240,安値!Q240&lt;安値!O240,安値!Q240&lt;安値!R240,安値!Q240&lt;安値!S240),12,""))</f>
        <v/>
      </c>
      <c r="M240" s="503">
        <f>IF(終値!A240="","",IF(AND(安値!R240&lt;安値!Q240,安値!R240&lt;安値!P240,安値!R240&lt;安値!S240,安値!R240&lt;安値!T240),13,""))</f>
        <v>13</v>
      </c>
      <c r="N240" s="503" t="str">
        <f>IF(終値!A240="","",IF(AND(安値!S240&lt;安値!R240,安値!S240&lt;安値!Q240,安値!S240&lt;安値!T240,安値!S240&lt;安値!U240),14,""))</f>
        <v/>
      </c>
      <c r="O240" s="503" t="str">
        <f>IF(終値!A240="","",IF(AND(安値!T240&lt;安値!S240,安値!T240&lt;安値!R240,安値!T240&lt;安値!U240,安値!T240&lt;安値!V240),15,""))</f>
        <v/>
      </c>
      <c r="P240" s="503" t="str">
        <f>IF(終値!A240="","",IF(AND(安値!U240&lt;安値!T240,安値!U240&lt;安値!S240,安値!U240&lt;安値!V240,安値!U240&lt;安値!W240),16,""))</f>
        <v/>
      </c>
      <c r="Q240" s="503" t="str">
        <f>IF(終値!A240="","",IF(AND(安値!V240&lt;安値!U240,安値!V240&lt;安値!T240,安値!V240&lt;安値!W240,安値!V240&lt;安値!X240),17,""))</f>
        <v/>
      </c>
      <c r="R240" s="503" t="str">
        <f>IF(終値!A240="","",IF(AND(安値!W240&lt;安値!V240,安値!W240&lt;安値!U240,安値!W240&lt;安値!X240,安値!W240&lt;安値!Y240),18,""))</f>
        <v/>
      </c>
      <c r="S240" s="503">
        <f>IF(終値!A240="","",IF(AND(安値!X240&lt;安値!W240,安値!X240&lt;安値!V240,安値!X240&lt;安値!Y240,安値!X240&lt;安値!Z240),19,""))</f>
        <v>19</v>
      </c>
      <c r="T240" s="503" t="str">
        <f>IF(終値!A240="","",IF(AND(安値!Y240&lt;安値!X240,安値!Y240&lt;安値!W240,安値!Y240&lt;安値!Z240,安値!Y240&lt;安値!AA240),20,""))</f>
        <v/>
      </c>
      <c r="U240" s="503" t="str">
        <f>IF(終値!A240="","",IF(AND(安値!Z240&lt;安値!Y240,安値!Z240&lt;安値!X240,安値!Z240&lt;安値!AA240,安値!Z240&lt;安値!AB240),21,""))</f>
        <v/>
      </c>
      <c r="V240" s="503" t="str">
        <f>IF(終値!A240="","",IF(AND(安値!AA240&lt;安値!Z240,安値!AA240&lt;安値!Y240,安値!AA240&lt;安値!AB240,安値!AA240&lt;安値!AC240),22,""))</f>
        <v/>
      </c>
      <c r="W240" s="503" t="str">
        <f>IF(終値!A240="","",IF(AND(安値!AB240&lt;安値!AA240,安値!AB240&lt;安値!Z240,安値!AB240&lt;安値!AC240,安値!AB240&lt;安値!AD240),23,""))</f>
        <v/>
      </c>
      <c r="X240" s="503" t="str">
        <f>IF(終値!A240="","",IF(AND(安値!AC240&lt;安値!AB240,安値!AC240&lt;安値!AA240,安値!AC240&lt;安値!AD240,安値!AC240&lt;安値!AE240),24,""))</f>
        <v/>
      </c>
      <c r="Y240" s="503" t="str">
        <f>IF(終値!A240="","",IF(AND(安値!AD240&lt;安値!AC240,安値!AD240&lt;安値!AB240,安値!AD240&lt;安値!AE240,安値!AD240&lt;安値!AF240),25,""))</f>
        <v/>
      </c>
      <c r="Z240" s="503">
        <f>IF(終値!A240="","",IF(AND(安値!AE240&lt;安値!AD240,安値!AE240&lt;安値!AC240,安値!AE240&lt;安値!AF240,安値!AE240&lt;安値!AG240),26,""))</f>
        <v>26</v>
      </c>
      <c r="AA240" s="503" t="str">
        <f>IF(終値!A240="","",IF(AND(安値!AF240&lt;安値!AE240,安値!AF240&lt;安値!AD240,安値!AF240&lt;安値!AG240,安値!AF240&lt;安値!AH240),27,""))</f>
        <v/>
      </c>
      <c r="AB240" s="503" t="str">
        <f>IF(終値!A240="","",IF(AND(安値!AG240&lt;安値!AF240,安値!AG240&lt;安値!AE240,安値!AG240&lt;安値!AH240,安値!AG240&lt;安値!AI240),28,""))</f>
        <v/>
      </c>
      <c r="AC240" s="503" t="str">
        <f>IF(終値!A240="","",IF(AND(高値!G240&gt;高値!F240,高値!G240&gt;高値!E240,高値!G240&gt;高値!H240,高値!G240&gt;高値!I240),2,""))</f>
        <v/>
      </c>
      <c r="AD240" s="503" t="str">
        <f>IF(終値!A240="","",IF(AND(高値!H240&gt;高値!G240,高値!H240&gt;高値!F240,高値!H240&gt;高値!I240,高値!H240&gt;高値!J240),3,""))</f>
        <v/>
      </c>
      <c r="AE240" s="503" t="str">
        <f>IF(終値!A240="","",IF(AND(高値!I240&gt;高値!H240,高値!I240&gt;高値!G240,高値!I240&gt;高値!J240,高値!I240&gt;高値!K240),4,""))</f>
        <v/>
      </c>
      <c r="AF240" s="503" t="str">
        <f>IF(終値!A240="","",IF(AND(高値!J240&gt;高値!I240,高値!J240&gt;高値!H240,高値!J240&gt;高値!K240,高値!J240&gt;高値!L240),5,""))</f>
        <v/>
      </c>
      <c r="AG240" s="503" t="str">
        <f>IF(終値!A240="","",IF(AND(高値!K240&gt;高値!J240,高値!K240&gt;高値!I240,高値!K240&gt;高値!L240,高値!K240&gt;高値!M240),6,""))</f>
        <v/>
      </c>
      <c r="AH240" s="503" t="str">
        <f>IF(終値!A240="","",IF(AND(高値!L240&gt;高値!K240,高値!L240&gt;高値!J240,高値!L240&gt;高値!M240,高値!L240&gt;高値!N240),7,""))</f>
        <v/>
      </c>
      <c r="AI240" s="503" t="str">
        <f>IF(終値!A240="","",IF(AND(高値!M240&gt;高値!L240,高値!M240&gt;高値!K240,高値!M240&gt;高値!N240,高値!M240&gt;高値!O240),8,""))</f>
        <v/>
      </c>
      <c r="AJ240" s="503" t="str">
        <f>IF(終値!A240="","",IF(AND(高値!N240&gt;高値!M240,高値!N240&gt;高値!L240,高値!N240&gt;高値!O240,高値!N240&gt;高値!P240),9,""))</f>
        <v/>
      </c>
      <c r="AK240" s="503" t="str">
        <f>IF(終値!A240="","",IF(AND(高値!O240&gt;高値!N240,高値!O240&gt;高値!M240,高値!O240&gt;高値!P240,高値!O240&gt;高値!Q240),10,""))</f>
        <v/>
      </c>
      <c r="AL240" s="503">
        <f>IF(終値!A240="","",IF(AND(高値!P240&gt;高値!O240,高値!P240&gt;高値!N240,高値!P240&gt;高値!Q240,高値!P240&gt;高値!R240),11,""))</f>
        <v>11</v>
      </c>
      <c r="AM240" s="503" t="str">
        <f>IF(終値!A240="","",IF(AND(高値!Q240&gt;高値!P240,高値!Q240&gt;高値!O240,高値!Q240&gt;高値!R240,高値!Q240&gt;高値!S240),12,""))</f>
        <v/>
      </c>
      <c r="AN240" s="503" t="str">
        <f>IF(終値!A240="","",IF(AND(高値!R240&gt;高値!Q240,高値!R240&gt;高値!P240,高値!R240&gt;高値!S240,高値!R240&gt;高値!T240),13,""))</f>
        <v/>
      </c>
      <c r="AO240" s="503" t="str">
        <f>IF(終値!A240="","",IF(AND(高値!S240&gt;高値!R240,高値!S240&gt;高値!Q240,高値!S240&gt;高値!T240,高値!S240&gt;高値!U240),14,""))</f>
        <v/>
      </c>
      <c r="AP240" s="503" t="str">
        <f>IF(終値!A240="","",IF(AND(高値!T240&gt;高値!S240,高値!T240&gt;高値!R240,高値!T240&gt;高値!U240,高値!T240&gt;高値!V240),15,""))</f>
        <v/>
      </c>
      <c r="AQ240" s="503">
        <f>IF(終値!A240="","",IF(AND(高値!U240&gt;高値!T240,高値!U240&gt;高値!S240,高値!U240&gt;高値!V240,高値!U240&gt;高値!W240),16,""))</f>
        <v>16</v>
      </c>
      <c r="AR240" s="503" t="str">
        <f>IF(終値!A240="","",IF(AND(高値!V240&gt;高値!U240,高値!V240&gt;高値!T240,高値!V240&gt;高値!W240,高値!V240&gt;高値!X240),17,""))</f>
        <v/>
      </c>
      <c r="AS240" s="503" t="str">
        <f>IF(終値!A240="","",IF(AND(高値!W240&gt;高値!V240,高値!W240&gt;高値!U240,高値!W240&gt;高値!X240,高値!W240&gt;高値!Y240),18,""))</f>
        <v/>
      </c>
      <c r="AT240" s="503" t="str">
        <f>IF(終値!A240="","",IF(AND(高値!X240&gt;高値!W240,高値!X240&gt;高値!V240,高値!X240&gt;高値!Y240,高値!X240&gt;高値!Z240),19,""))</f>
        <v/>
      </c>
      <c r="AU240" s="503" t="str">
        <f>IF(終値!A240="","",IF(AND(高値!Y240&gt;高値!X240,高値!Y240&gt;高値!W240,高値!Y240&gt;高値!Z240,高値!Y240&gt;高値!AA240),20,""))</f>
        <v/>
      </c>
      <c r="AV240" s="503" t="str">
        <f>IF(終値!A240="","",IF(AND(高値!Z240&gt;高値!Y240,高値!Z240&gt;高値!X240,高値!Z240&gt;高値!AA240,高値!Z240&gt;高値!AB240),21,""))</f>
        <v/>
      </c>
      <c r="AW240" s="503" t="str">
        <f>IF(終値!A240="","",IF(AND(高値!AA240&gt;高値!Z240,高値!AA240&gt;高値!Y240,高値!AA240&gt;高値!AB240,高値!AA240&gt;高値!AC240),22,""))</f>
        <v/>
      </c>
      <c r="AX240" s="503" t="str">
        <f>IF(終値!A240="","",IF(AND(高値!AB240&gt;高値!AA240,高値!AB240&gt;高値!Z240,高値!AB240&gt;高値!AC240,高値!AB240&gt;高値!AD240),23,""))</f>
        <v/>
      </c>
      <c r="AY240" s="503">
        <f>IF(終値!A240="","",IF(AND(高値!AC240&gt;高値!AB240,高値!AC240&gt;高値!AA240,高値!AC240&gt;高値!AD240,高値!AC240&gt;高値!AE240),24,""))</f>
        <v>24</v>
      </c>
      <c r="AZ240" s="503" t="str">
        <f>IF(終値!A240="","",IF(AND(高値!AD240&gt;高値!AC240,高値!AD240&gt;高値!AB240,高値!AD240&gt;高値!AE240,高値!AD240&gt;高値!AF240),25,""))</f>
        <v/>
      </c>
      <c r="BA240" s="503" t="str">
        <f>IF(終値!A240="","",IF(AND(高値!AE240&gt;高値!AD240,高値!AE240&gt;高値!AC240,高値!AE240&gt;高値!AF240,高値!AE240&gt;高値!AG240),26,""))</f>
        <v/>
      </c>
      <c r="BB240" s="503" t="str">
        <f>IF(終値!A240="","",IF(AND(高値!AF240&gt;高値!AE240,高値!AF240&gt;高値!AD240,高値!AF240&gt;高値!AG240,高値!AF240&gt;高値!AH240),27,""))</f>
        <v/>
      </c>
      <c r="BC240" s="503" t="str">
        <f>IF(終値!A240="","",IF(AND(高値!AG240&gt;高値!AF240,高値!AG240&gt;高値!AE240,高値!AG240&gt;高値!AH240,高値!AG240&gt;高値!AI240),28,""))</f>
        <v/>
      </c>
      <c r="BD240" s="503">
        <f t="shared" si="18"/>
        <v>4</v>
      </c>
      <c r="BE240" s="503">
        <f t="shared" si="19"/>
        <v>9</v>
      </c>
      <c r="BF240" s="503">
        <f t="shared" si="20"/>
        <v>13</v>
      </c>
      <c r="BG240" s="503">
        <f>IF($BE240="","",INDEX(安値!$E240:$CZ240,1,$BE240+1))</f>
        <v>0</v>
      </c>
      <c r="BH240" s="503">
        <f>IF($BF240="","",INDEX(安値!$E240:$CZ240,1,$BF240+1))</f>
        <v>3205</v>
      </c>
      <c r="BI240" s="503">
        <f>IF($BF240="","",MAX(INDEX(高値!$E240:$CZ240,1,$BE240+1):INDEX(高値!$E240:$CZ240,1,$BF240+1)))</f>
        <v>3610</v>
      </c>
      <c r="BJ240" s="503">
        <f>IF($BF240="","",AVERAGE(INDEX(終値!$E240:$CZ240,1,$BF240+1):INDEX(終値!$E240:$CZ240,1,$BF240+20))-2*STDEVP(INDEX(終値!$E240:$CZ240,1,$BF240+1):INDEX(終値!$E240:$CZ240,1,$BF240+20)))</f>
        <v>3266.5719287668048</v>
      </c>
      <c r="BK240" s="503">
        <f>IF($BE240="","",AVERAGE(INDEX(終値!$E240:$CZ240,1,$BE240+1):INDEX(終値!$E240:$CZ240,1,$BE240+20))-2*STDEVP(INDEX(終値!$E240:$CZ240,1,$BE240+1):INDEX(終値!$E240:$CZ240,1,$BE240+20)))</f>
        <v>3261.4348837395487</v>
      </c>
      <c r="BL240" s="503">
        <f t="shared" si="21"/>
        <v>3</v>
      </c>
      <c r="BM240" s="503">
        <f t="shared" si="22"/>
        <v>11</v>
      </c>
      <c r="BN240" s="503">
        <f t="shared" si="23"/>
        <v>16</v>
      </c>
      <c r="BO240" s="503">
        <f>IF($BM240="","",INDEX(高値!$E240:$CZ240,1,$BM240+1))</f>
        <v>3610</v>
      </c>
      <c r="BP240" s="503">
        <f>IF($BN240="","",INDEX(高値!$E240:$CZ240,1,$BN240+1))</f>
        <v>3590</v>
      </c>
      <c r="BQ240" s="503">
        <f>IF($BN240="","",MIN(INDEX(安値!$E240:$CZ240,1,$BM240+1):INDEX(安値!$E240:$CZ240,1,$BN240+1)))</f>
        <v>3205</v>
      </c>
      <c r="BR240" s="503">
        <f>IF($BN240="","",AVERAGE(INDEX(終値!$E240:$CZ240,1,$BN240+1):INDEX(終値!$E240:$CZ240,1,$BN240+20))+2*STDEVP(INDEX(終値!$E240:$CZ240,1,$BN240+1):INDEX(終値!$E240:$CZ240,1,$BN240+20)))</f>
        <v>3958.5947719460055</v>
      </c>
      <c r="BS240" s="503">
        <f>IF($BM240="","",AVERAGE(INDEX(終値!$E240:$CZ240,1,$BM240+1):INDEX(終値!$E240:$CZ240,1,$BM240+20))+2*STDEVP(INDEX(終値!$E240:$CZ240,1,$BM240+1):INDEX(終値!$E240:$CZ240,1,$BM240+20)))</f>
        <v>3879.0485447970609</v>
      </c>
      <c r="BT240" s="500"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v>
      </c>
    </row>
    <row r="241" spans="2:72">
      <c r="B241" s="503" t="str">
        <f>IF(終値!A241="","",IF(AND(安値!G241&lt;安値!F241,安値!G241&lt;安値!E241,安値!G241&lt;安値!H241,安値!G241&lt;安値!I241),2,""))</f>
        <v/>
      </c>
      <c r="C241" s="503" t="str">
        <f>IF(終値!A241="","",IF(AND(安値!H241&lt;安値!G241,安値!H241&lt;安値!F241,安値!H241&lt;安値!I241,安値!H241&lt;安値!J241),3,""))</f>
        <v/>
      </c>
      <c r="D241" s="503" t="str">
        <f>IF(終値!A241="","",IF(AND(安値!I241&lt;安値!H241,安値!I241&lt;安値!G241,安値!I241&lt;安値!J241,安値!I241&lt;安値!K241),4,""))</f>
        <v/>
      </c>
      <c r="E241" s="503">
        <f>IF(終値!A241="","",IF(AND(安値!J241&lt;安値!I241,安値!J241&lt;安値!H241,安値!J241&lt;安値!K241,安値!J241&lt;安値!L241),5,""))</f>
        <v>5</v>
      </c>
      <c r="F241" s="503" t="str">
        <f>IF(終値!A241="","",IF(AND(安値!K241&lt;安値!J241,安値!K241&lt;安値!I241,安値!K241&lt;安値!L241,安値!K241&lt;安値!M241),6,""))</f>
        <v/>
      </c>
      <c r="G241" s="503" t="str">
        <f>IF(終値!A241="","",IF(AND(安値!L241&lt;安値!K241,安値!L241&lt;安値!J241,安値!L241&lt;安値!M241,安値!L241&lt;安値!N241),7,""))</f>
        <v/>
      </c>
      <c r="H241" s="503" t="str">
        <f>IF(終値!A241="","",IF(AND(安値!M241&lt;安値!L241,安値!M241&lt;安値!K241,安値!M241&lt;安値!N241,安値!M241&lt;安値!O241),8,""))</f>
        <v/>
      </c>
      <c r="I241" s="503" t="str">
        <f>IF(終値!A241="","",IF(AND(安値!N241&lt;安値!M241,安値!N241&lt;安値!L241,安値!N241&lt;安値!O241,安値!N241&lt;安値!P241),9,""))</f>
        <v/>
      </c>
      <c r="J241" s="503" t="str">
        <f>IF(終値!A241="","",IF(AND(安値!O241&lt;安値!N241,安値!O241&lt;安値!M241,安値!O241&lt;安値!P241,安値!O241&lt;安値!Q241),10,""))</f>
        <v/>
      </c>
      <c r="K241" s="503" t="str">
        <f>IF(終値!A241="","",IF(AND(安値!P241&lt;安値!O241,安値!P241&lt;安値!N241,安値!P241&lt;安値!Q241,安値!P241&lt;安値!R241),11,""))</f>
        <v/>
      </c>
      <c r="L241" s="503">
        <f>IF(終値!A241="","",IF(AND(安値!Q241&lt;安値!P241,安値!Q241&lt;安値!O241,安値!Q241&lt;安値!R241,安値!Q241&lt;安値!S241),12,""))</f>
        <v>12</v>
      </c>
      <c r="M241" s="503" t="str">
        <f>IF(終値!A241="","",IF(AND(安値!R241&lt;安値!Q241,安値!R241&lt;安値!P241,安値!R241&lt;安値!S241,安値!R241&lt;安値!T241),13,""))</f>
        <v/>
      </c>
      <c r="N241" s="503" t="str">
        <f>IF(終値!A241="","",IF(AND(安値!S241&lt;安値!R241,安値!S241&lt;安値!Q241,安値!S241&lt;安値!T241,安値!S241&lt;安値!U241),14,""))</f>
        <v/>
      </c>
      <c r="O241" s="503" t="str">
        <f>IF(終値!A241="","",IF(AND(安値!T241&lt;安値!S241,安値!T241&lt;安値!R241,安値!T241&lt;安値!U241,安値!T241&lt;安値!V241),15,""))</f>
        <v/>
      </c>
      <c r="P241" s="503">
        <f>IF(終値!A241="","",IF(AND(安値!U241&lt;安値!T241,安値!U241&lt;安値!S241,安値!U241&lt;安値!V241,安値!U241&lt;安値!W241),16,""))</f>
        <v>16</v>
      </c>
      <c r="Q241" s="503" t="str">
        <f>IF(終値!A241="","",IF(AND(安値!V241&lt;安値!U241,安値!V241&lt;安値!T241,安値!V241&lt;安値!W241,安値!V241&lt;安値!X241),17,""))</f>
        <v/>
      </c>
      <c r="R241" s="503" t="str">
        <f>IF(終値!A241="","",IF(AND(安値!W241&lt;安値!V241,安値!W241&lt;安値!U241,安値!W241&lt;安値!X241,安値!W241&lt;安値!Y241),18,""))</f>
        <v/>
      </c>
      <c r="S241" s="503" t="str">
        <f>IF(終値!A241="","",IF(AND(安値!X241&lt;安値!W241,安値!X241&lt;安値!V241,安値!X241&lt;安値!Y241,安値!X241&lt;安値!Z241),19,""))</f>
        <v/>
      </c>
      <c r="T241" s="503" t="str">
        <f>IF(終値!A241="","",IF(AND(安値!Y241&lt;安値!X241,安値!Y241&lt;安値!W241,安値!Y241&lt;安値!Z241,安値!Y241&lt;安値!AA241),20,""))</f>
        <v/>
      </c>
      <c r="U241" s="503" t="str">
        <f>IF(終値!A241="","",IF(AND(安値!Z241&lt;安値!Y241,安値!Z241&lt;安値!X241,安値!Z241&lt;安値!AA241,安値!Z241&lt;安値!AB241),21,""))</f>
        <v/>
      </c>
      <c r="V241" s="503" t="str">
        <f>IF(終値!A241="","",IF(AND(安値!AA241&lt;安値!Z241,安値!AA241&lt;安値!Y241,安値!AA241&lt;安値!AB241,安値!AA241&lt;安値!AC241),22,""))</f>
        <v/>
      </c>
      <c r="W241" s="503" t="str">
        <f>IF(終値!A241="","",IF(AND(安値!AB241&lt;安値!AA241,安値!AB241&lt;安値!Z241,安値!AB241&lt;安値!AC241,安値!AB241&lt;安値!AD241),23,""))</f>
        <v/>
      </c>
      <c r="X241" s="503">
        <f>IF(終値!A241="","",IF(AND(安値!AC241&lt;安値!AB241,安値!AC241&lt;安値!AA241,安値!AC241&lt;安値!AD241,安値!AC241&lt;安値!AE241),24,""))</f>
        <v>24</v>
      </c>
      <c r="Y241" s="503" t="str">
        <f>IF(終値!A241="","",IF(AND(安値!AD241&lt;安値!AC241,安値!AD241&lt;安値!AB241,安値!AD241&lt;安値!AE241,安値!AD241&lt;安値!AF241),25,""))</f>
        <v/>
      </c>
      <c r="Z241" s="503" t="str">
        <f>IF(終値!A241="","",IF(AND(安値!AE241&lt;安値!AD241,安値!AE241&lt;安値!AC241,安値!AE241&lt;安値!AF241,安値!AE241&lt;安値!AG241),26,""))</f>
        <v/>
      </c>
      <c r="AA241" s="503" t="str">
        <f>IF(終値!A241="","",IF(AND(安値!AF241&lt;安値!AE241,安値!AF241&lt;安値!AD241,安値!AF241&lt;安値!AG241,安値!AF241&lt;安値!AH241),27,""))</f>
        <v/>
      </c>
      <c r="AB241" s="503" t="str">
        <f>IF(終値!A241="","",IF(AND(安値!AG241&lt;安値!AF241,安値!AG241&lt;安値!AE241,安値!AG241&lt;安値!AH241,安値!AG241&lt;安値!AI241),28,""))</f>
        <v/>
      </c>
      <c r="AC241" s="503" t="str">
        <f>IF(終値!A241="","",IF(AND(高値!G241&gt;高値!F241,高値!G241&gt;高値!E241,高値!G241&gt;高値!H241,高値!G241&gt;高値!I241),2,""))</f>
        <v/>
      </c>
      <c r="AD241" s="503" t="str">
        <f>IF(終値!A241="","",IF(AND(高値!H241&gt;高値!G241,高値!H241&gt;高値!F241,高値!H241&gt;高値!I241,高値!H241&gt;高値!J241),3,""))</f>
        <v/>
      </c>
      <c r="AE241" s="503">
        <f>IF(終値!A241="","",IF(AND(高値!I241&gt;高値!H241,高値!I241&gt;高値!G241,高値!I241&gt;高値!J241,高値!I241&gt;高値!K241),4,""))</f>
        <v>4</v>
      </c>
      <c r="AF241" s="503" t="str">
        <f>IF(終値!A241="","",IF(AND(高値!J241&gt;高値!I241,高値!J241&gt;高値!H241,高値!J241&gt;高値!K241,高値!J241&gt;高値!L241),5,""))</f>
        <v/>
      </c>
      <c r="AG241" s="503" t="str">
        <f>IF(終値!A241="","",IF(AND(高値!K241&gt;高値!J241,高値!K241&gt;高値!I241,高値!K241&gt;高値!L241,高値!K241&gt;高値!M241),6,""))</f>
        <v/>
      </c>
      <c r="AH241" s="503">
        <f>IF(終値!A241="","",IF(AND(高値!L241&gt;高値!K241,高値!L241&gt;高値!J241,高値!L241&gt;高値!M241,高値!L241&gt;高値!N241),7,""))</f>
        <v>7</v>
      </c>
      <c r="AI241" s="503" t="str">
        <f>IF(終値!A241="","",IF(AND(高値!M241&gt;高値!L241,高値!M241&gt;高値!K241,高値!M241&gt;高値!N241,高値!M241&gt;高値!O241),8,""))</f>
        <v/>
      </c>
      <c r="AJ241" s="503" t="str">
        <f>IF(終値!A241="","",IF(AND(高値!N241&gt;高値!M241,高値!N241&gt;高値!L241,高値!N241&gt;高値!O241,高値!N241&gt;高値!P241),9,""))</f>
        <v/>
      </c>
      <c r="AK241" s="503" t="str">
        <f>IF(終値!A241="","",IF(AND(高値!O241&gt;高値!N241,高値!O241&gt;高値!M241,高値!O241&gt;高値!P241,高値!O241&gt;高値!Q241),10,""))</f>
        <v/>
      </c>
      <c r="AL241" s="503">
        <f>IF(終値!A241="","",IF(AND(高値!P241&gt;高値!O241,高値!P241&gt;高値!N241,高値!P241&gt;高値!Q241,高値!P241&gt;高値!R241),11,""))</f>
        <v>11</v>
      </c>
      <c r="AM241" s="503" t="str">
        <f>IF(終値!A241="","",IF(AND(高値!Q241&gt;高値!P241,高値!Q241&gt;高値!O241,高値!Q241&gt;高値!R241,高値!Q241&gt;高値!S241),12,""))</f>
        <v/>
      </c>
      <c r="AN241" s="503" t="str">
        <f>IF(終値!A241="","",IF(AND(高値!R241&gt;高値!Q241,高値!R241&gt;高値!P241,高値!R241&gt;高値!S241,高値!R241&gt;高値!T241),13,""))</f>
        <v/>
      </c>
      <c r="AO241" s="503" t="str">
        <f>IF(終値!A241="","",IF(AND(高値!S241&gt;高値!R241,高値!S241&gt;高値!Q241,高値!S241&gt;高値!T241,高値!S241&gt;高値!U241),14,""))</f>
        <v/>
      </c>
      <c r="AP241" s="503" t="str">
        <f>IF(終値!A241="","",IF(AND(高値!T241&gt;高値!S241,高値!T241&gt;高値!R241,高値!T241&gt;高値!U241,高値!T241&gt;高値!V241),15,""))</f>
        <v/>
      </c>
      <c r="AQ241" s="503" t="str">
        <f>IF(終値!A241="","",IF(AND(高値!U241&gt;高値!T241,高値!U241&gt;高値!S241,高値!U241&gt;高値!V241,高値!U241&gt;高値!W241),16,""))</f>
        <v/>
      </c>
      <c r="AR241" s="503" t="str">
        <f>IF(終値!A241="","",IF(AND(高値!V241&gt;高値!U241,高値!V241&gt;高値!T241,高値!V241&gt;高値!W241,高値!V241&gt;高値!X241),17,""))</f>
        <v/>
      </c>
      <c r="AS241" s="503" t="str">
        <f>IF(終値!A241="","",IF(AND(高値!W241&gt;高値!V241,高値!W241&gt;高値!U241,高値!W241&gt;高値!X241,高値!W241&gt;高値!Y241),18,""))</f>
        <v/>
      </c>
      <c r="AT241" s="503">
        <f>IF(終値!A241="","",IF(AND(高値!X241&gt;高値!W241,高値!X241&gt;高値!V241,高値!X241&gt;高値!Y241,高値!X241&gt;高値!Z241),19,""))</f>
        <v>19</v>
      </c>
      <c r="AU241" s="503" t="str">
        <f>IF(終値!A241="","",IF(AND(高値!Y241&gt;高値!X241,高値!Y241&gt;高値!W241,高値!Y241&gt;高値!Z241,高値!Y241&gt;高値!AA241),20,""))</f>
        <v/>
      </c>
      <c r="AV241" s="503" t="str">
        <f>IF(終値!A241="","",IF(AND(高値!Z241&gt;高値!Y241,高値!Z241&gt;高値!X241,高値!Z241&gt;高値!AA241,高値!Z241&gt;高値!AB241),21,""))</f>
        <v/>
      </c>
      <c r="AW241" s="503" t="str">
        <f>IF(終値!A241="","",IF(AND(高値!AA241&gt;高値!Z241,高値!AA241&gt;高値!Y241,高値!AA241&gt;高値!AB241,高値!AA241&gt;高値!AC241),22,""))</f>
        <v/>
      </c>
      <c r="AX241" s="503" t="str">
        <f>IF(終値!A241="","",IF(AND(高値!AB241&gt;高値!AA241,高値!AB241&gt;高値!Z241,高値!AB241&gt;高値!AC241,高値!AB241&gt;高値!AD241),23,""))</f>
        <v/>
      </c>
      <c r="AY241" s="503" t="str">
        <f>IF(終値!A241="","",IF(AND(高値!AC241&gt;高値!AB241,高値!AC241&gt;高値!AA241,高値!AC241&gt;高値!AD241,高値!AC241&gt;高値!AE241),24,""))</f>
        <v/>
      </c>
      <c r="AZ241" s="503">
        <f>IF(終値!A241="","",IF(AND(高値!AD241&gt;高値!AC241,高値!AD241&gt;高値!AB241,高値!AD241&gt;高値!AE241,高値!AD241&gt;高値!AF241),25,""))</f>
        <v>25</v>
      </c>
      <c r="BA241" s="503" t="str">
        <f>IF(終値!A241="","",IF(AND(高値!AE241&gt;高値!AD241,高値!AE241&gt;高値!AC241,高値!AE241&gt;高値!AF241,高値!AE241&gt;高値!AG241),26,""))</f>
        <v/>
      </c>
      <c r="BB241" s="503" t="str">
        <f>IF(終値!A241="","",IF(AND(高値!AF241&gt;高値!AE241,高値!AF241&gt;高値!AD241,高値!AF241&gt;高値!AG241,高値!AF241&gt;高値!AH241),27,""))</f>
        <v/>
      </c>
      <c r="BC241" s="503" t="str">
        <f>IF(終値!A241="","",IF(AND(高値!AG241&gt;高値!AF241,高値!AG241&gt;高値!AE241,高値!AG241&gt;高値!AH241,高値!AG241&gt;高値!AI241),28,""))</f>
        <v/>
      </c>
      <c r="BD241" s="503">
        <f t="shared" si="18"/>
        <v>4</v>
      </c>
      <c r="BE241" s="503">
        <f t="shared" si="19"/>
        <v>5</v>
      </c>
      <c r="BF241" s="503">
        <f t="shared" si="20"/>
        <v>12</v>
      </c>
      <c r="BG241" s="503">
        <f>IF($BE241="","",INDEX(安値!$E241:$CZ241,1,$BE241+1))</f>
        <v>2822</v>
      </c>
      <c r="BH241" s="503">
        <f>IF($BF241="","",INDEX(安値!$E241:$CZ241,1,$BF241+1))</f>
        <v>2663</v>
      </c>
      <c r="BI241" s="503">
        <f>IF($BF241="","",MAX(INDEX(高値!$E241:$CZ241,1,$BE241+1):INDEX(高値!$E241:$CZ241,1,$BF241+1)))</f>
        <v>2954</v>
      </c>
      <c r="BJ241" s="503">
        <f>IF($BF241="","",AVERAGE(INDEX(終値!$E241:$CZ241,1,$BF241+1):INDEX(終値!$E241:$CZ241,1,$BF241+20))-2*STDEVP(INDEX(終値!$E241:$CZ241,1,$BF241+1):INDEX(終値!$E241:$CZ241,1,$BF241+20)))</f>
        <v>2492.0902180768248</v>
      </c>
      <c r="BK241" s="503">
        <f>IF($BE241="","",AVERAGE(INDEX(終値!$E241:$CZ241,1,$BE241+1):INDEX(終値!$E241:$CZ241,1,$BE241+20))-2*STDEVP(INDEX(終値!$E241:$CZ241,1,$BE241+1):INDEX(終値!$E241:$CZ241,1,$BE241+20)))</f>
        <v>2660.1100173546556</v>
      </c>
      <c r="BL241" s="503">
        <f t="shared" si="21"/>
        <v>5</v>
      </c>
      <c r="BM241" s="503">
        <f t="shared" si="22"/>
        <v>4</v>
      </c>
      <c r="BN241" s="503">
        <f t="shared" si="23"/>
        <v>7</v>
      </c>
      <c r="BO241" s="503">
        <f>IF($BM241="","",INDEX(高値!$E241:$CZ241,1,$BM241+1))</f>
        <v>2971</v>
      </c>
      <c r="BP241" s="503">
        <f>IF($BN241="","",INDEX(高値!$E241:$CZ241,1,$BN241+1))</f>
        <v>2954</v>
      </c>
      <c r="BQ241" s="503">
        <f>IF($BN241="","",MIN(INDEX(安値!$E241:$CZ241,1,$BM241+1):INDEX(安値!$E241:$CZ241,1,$BN241+1)))</f>
        <v>2822</v>
      </c>
      <c r="BR241" s="503">
        <f>IF($BN241="","",AVERAGE(INDEX(終値!$E241:$CZ241,1,$BN241+1):INDEX(終値!$E241:$CZ241,1,$BN241+20))+2*STDEVP(INDEX(終値!$E241:$CZ241,1,$BN241+1):INDEX(終値!$E241:$CZ241,1,$BN241+20)))</f>
        <v>2978.6435894532292</v>
      </c>
      <c r="BS241" s="503">
        <f>IF($BM241="","",AVERAGE(INDEX(終値!$E241:$CZ241,1,$BM241+1):INDEX(終値!$E241:$CZ241,1,$BM241+20))+2*STDEVP(INDEX(終値!$E241:$CZ241,1,$BM241+1):INDEX(終値!$E241:$CZ241,1,$BM241+20)))</f>
        <v>2978.5800056625144</v>
      </c>
      <c r="BT241" s="500"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二番天井M形成</v>
      </c>
    </row>
    <row r="242" spans="2:72">
      <c r="B242" s="503" t="str">
        <f>IF(終値!A242="","",IF(AND(安値!G242&lt;安値!F242,安値!G242&lt;安値!E242,安値!G242&lt;安値!H242,安値!G242&lt;安値!I242),2,""))</f>
        <v/>
      </c>
      <c r="C242" s="503" t="str">
        <f>IF(終値!A242="","",IF(AND(安値!H242&lt;安値!G242,安値!H242&lt;安値!F242,安値!H242&lt;安値!I242,安値!H242&lt;安値!J242),3,""))</f>
        <v/>
      </c>
      <c r="D242" s="503" t="str">
        <f>IF(終値!A242="","",IF(AND(安値!I242&lt;安値!H242,安値!I242&lt;安値!G242,安値!I242&lt;安値!J242,安値!I242&lt;安値!K242),4,""))</f>
        <v/>
      </c>
      <c r="E242" s="503">
        <f>IF(終値!A242="","",IF(AND(安値!J242&lt;安値!I242,安値!J242&lt;安値!H242,安値!J242&lt;安値!K242,安値!J242&lt;安値!L242),5,""))</f>
        <v>5</v>
      </c>
      <c r="F242" s="503" t="str">
        <f>IF(終値!A242="","",IF(AND(安値!K242&lt;安値!J242,安値!K242&lt;安値!I242,安値!K242&lt;安値!L242,安値!K242&lt;安値!M242),6,""))</f>
        <v/>
      </c>
      <c r="G242" s="503" t="str">
        <f>IF(終値!A242="","",IF(AND(安値!L242&lt;安値!K242,安値!L242&lt;安値!J242,安値!L242&lt;安値!M242,安値!L242&lt;安値!N242),7,""))</f>
        <v/>
      </c>
      <c r="H242" s="503" t="str">
        <f>IF(終値!A242="","",IF(AND(安値!M242&lt;安値!L242,安値!M242&lt;安値!K242,安値!M242&lt;安値!N242,安値!M242&lt;安値!O242),8,""))</f>
        <v/>
      </c>
      <c r="I242" s="503" t="str">
        <f>IF(終値!A242="","",IF(AND(安値!N242&lt;安値!M242,安値!N242&lt;安値!L242,安値!N242&lt;安値!O242,安値!N242&lt;安値!P242),9,""))</f>
        <v/>
      </c>
      <c r="J242" s="503" t="str">
        <f>IF(終値!A242="","",IF(AND(安値!O242&lt;安値!N242,安値!O242&lt;安値!M242,安値!O242&lt;安値!P242,安値!O242&lt;安値!Q242),10,""))</f>
        <v/>
      </c>
      <c r="K242" s="503" t="str">
        <f>IF(終値!A242="","",IF(AND(安値!P242&lt;安値!O242,安値!P242&lt;安値!N242,安値!P242&lt;安値!Q242,安値!P242&lt;安値!R242),11,""))</f>
        <v/>
      </c>
      <c r="L242" s="503" t="str">
        <f>IF(終値!A242="","",IF(AND(安値!Q242&lt;安値!P242,安値!Q242&lt;安値!O242,安値!Q242&lt;安値!R242,安値!Q242&lt;安値!S242),12,""))</f>
        <v/>
      </c>
      <c r="M242" s="503">
        <f>IF(終値!A242="","",IF(AND(安値!R242&lt;安値!Q242,安値!R242&lt;安値!P242,安値!R242&lt;安値!S242,安値!R242&lt;安値!T242),13,""))</f>
        <v>13</v>
      </c>
      <c r="N242" s="503" t="str">
        <f>IF(終値!A242="","",IF(AND(安値!S242&lt;安値!R242,安値!S242&lt;安値!Q242,安値!S242&lt;安値!T242,安値!S242&lt;安値!U242),14,""))</f>
        <v/>
      </c>
      <c r="O242" s="503" t="str">
        <f>IF(終値!A242="","",IF(AND(安値!T242&lt;安値!S242,安値!T242&lt;安値!R242,安値!T242&lt;安値!U242,安値!T242&lt;安値!V242),15,""))</f>
        <v/>
      </c>
      <c r="P242" s="503" t="str">
        <f>IF(終値!A242="","",IF(AND(安値!U242&lt;安値!T242,安値!U242&lt;安値!S242,安値!U242&lt;安値!V242,安値!U242&lt;安値!W242),16,""))</f>
        <v/>
      </c>
      <c r="Q242" s="503" t="str">
        <f>IF(終値!A242="","",IF(AND(安値!V242&lt;安値!U242,安値!V242&lt;安値!T242,安値!V242&lt;安値!W242,安値!V242&lt;安値!X242),17,""))</f>
        <v/>
      </c>
      <c r="R242" s="503" t="str">
        <f>IF(終値!A242="","",IF(AND(安値!W242&lt;安値!V242,安値!W242&lt;安値!U242,安値!W242&lt;安値!X242,安値!W242&lt;安値!Y242),18,""))</f>
        <v/>
      </c>
      <c r="S242" s="503">
        <f>IF(終値!A242="","",IF(AND(安値!X242&lt;安値!W242,安値!X242&lt;安値!V242,安値!X242&lt;安値!Y242,安値!X242&lt;安値!Z242),19,""))</f>
        <v>19</v>
      </c>
      <c r="T242" s="503" t="str">
        <f>IF(終値!A242="","",IF(AND(安値!Y242&lt;安値!X242,安値!Y242&lt;安値!W242,安値!Y242&lt;安値!Z242,安値!Y242&lt;安値!AA242),20,""))</f>
        <v/>
      </c>
      <c r="U242" s="503" t="str">
        <f>IF(終値!A242="","",IF(AND(安値!Z242&lt;安値!Y242,安値!Z242&lt;安値!X242,安値!Z242&lt;安値!AA242,安値!Z242&lt;安値!AB242),21,""))</f>
        <v/>
      </c>
      <c r="V242" s="503" t="str">
        <f>IF(終値!A242="","",IF(AND(安値!AA242&lt;安値!Z242,安値!AA242&lt;安値!Y242,安値!AA242&lt;安値!AB242,安値!AA242&lt;安値!AC242),22,""))</f>
        <v/>
      </c>
      <c r="W242" s="503" t="str">
        <f>IF(終値!A242="","",IF(AND(安値!AB242&lt;安値!AA242,安値!AB242&lt;安値!Z242,安値!AB242&lt;安値!AC242,安値!AB242&lt;安値!AD242),23,""))</f>
        <v/>
      </c>
      <c r="X242" s="503" t="str">
        <f>IF(終値!A242="","",IF(AND(安値!AC242&lt;安値!AB242,安値!AC242&lt;安値!AA242,安値!AC242&lt;安値!AD242,安値!AC242&lt;安値!AE242),24,""))</f>
        <v/>
      </c>
      <c r="Y242" s="503" t="str">
        <f>IF(終値!A242="","",IF(AND(安値!AD242&lt;安値!AC242,安値!AD242&lt;安値!AB242,安値!AD242&lt;安値!AE242,安値!AD242&lt;安値!AF242),25,""))</f>
        <v/>
      </c>
      <c r="Z242" s="503" t="str">
        <f>IF(終値!A242="","",IF(AND(安値!AE242&lt;安値!AD242,安値!AE242&lt;安値!AC242,安値!AE242&lt;安値!AF242,安値!AE242&lt;安値!AG242),26,""))</f>
        <v/>
      </c>
      <c r="AA242" s="503" t="str">
        <f>IF(終値!A242="","",IF(AND(安値!AF242&lt;安値!AE242,安値!AF242&lt;安値!AD242,安値!AF242&lt;安値!AG242,安値!AF242&lt;安値!AH242),27,""))</f>
        <v/>
      </c>
      <c r="AB242" s="503" t="str">
        <f>IF(終値!A242="","",IF(AND(安値!AG242&lt;安値!AF242,安値!AG242&lt;安値!AE242,安値!AG242&lt;安値!AH242,安値!AG242&lt;安値!AI242),28,""))</f>
        <v/>
      </c>
      <c r="AC242" s="503" t="str">
        <f>IF(終値!A242="","",IF(AND(高値!G242&gt;高値!F242,高値!G242&gt;高値!E242,高値!G242&gt;高値!H242,高値!G242&gt;高値!I242),2,""))</f>
        <v/>
      </c>
      <c r="AD242" s="503" t="str">
        <f>IF(終値!A242="","",IF(AND(高値!H242&gt;高値!G242,高値!H242&gt;高値!F242,高値!H242&gt;高値!I242,高値!H242&gt;高値!J242),3,""))</f>
        <v/>
      </c>
      <c r="AE242" s="503" t="str">
        <f>IF(終値!A242="","",IF(AND(高値!I242&gt;高値!H242,高値!I242&gt;高値!G242,高値!I242&gt;高値!J242,高値!I242&gt;高値!K242),4,""))</f>
        <v/>
      </c>
      <c r="AF242" s="503" t="str">
        <f>IF(終値!A242="","",IF(AND(高値!J242&gt;高値!I242,高値!J242&gt;高値!H242,高値!J242&gt;高値!K242,高値!J242&gt;高値!L242),5,""))</f>
        <v/>
      </c>
      <c r="AG242" s="503" t="str">
        <f>IF(終値!A242="","",IF(AND(高値!K242&gt;高値!J242,高値!K242&gt;高値!I242,高値!K242&gt;高値!L242,高値!K242&gt;高値!M242),6,""))</f>
        <v/>
      </c>
      <c r="AH242" s="503" t="str">
        <f>IF(終値!A242="","",IF(AND(高値!L242&gt;高値!K242,高値!L242&gt;高値!J242,高値!L242&gt;高値!M242,高値!L242&gt;高値!N242),7,""))</f>
        <v/>
      </c>
      <c r="AI242" s="503" t="str">
        <f>IF(終値!A242="","",IF(AND(高値!M242&gt;高値!L242,高値!M242&gt;高値!K242,高値!M242&gt;高値!N242,高値!M242&gt;高値!O242),8,""))</f>
        <v/>
      </c>
      <c r="AJ242" s="503" t="str">
        <f>IF(終値!A242="","",IF(AND(高値!N242&gt;高値!M242,高値!N242&gt;高値!L242,高値!N242&gt;高値!O242,高値!N242&gt;高値!P242),9,""))</f>
        <v/>
      </c>
      <c r="AK242" s="503" t="str">
        <f>IF(終値!A242="","",IF(AND(高値!O242&gt;高値!N242,高値!O242&gt;高値!M242,高値!O242&gt;高値!P242,高値!O242&gt;高値!Q242),10,""))</f>
        <v/>
      </c>
      <c r="AL242" s="503" t="str">
        <f>IF(終値!A242="","",IF(AND(高値!P242&gt;高値!O242,高値!P242&gt;高値!N242,高値!P242&gt;高値!Q242,高値!P242&gt;高値!R242),11,""))</f>
        <v/>
      </c>
      <c r="AM242" s="503" t="str">
        <f>IF(終値!A242="","",IF(AND(高値!Q242&gt;高値!P242,高値!Q242&gt;高値!O242,高値!Q242&gt;高値!R242,高値!Q242&gt;高値!S242),12,""))</f>
        <v/>
      </c>
      <c r="AN242" s="503" t="str">
        <f>IF(終値!A242="","",IF(AND(高値!R242&gt;高値!Q242,高値!R242&gt;高値!P242,高値!R242&gt;高値!S242,高値!R242&gt;高値!T242),13,""))</f>
        <v/>
      </c>
      <c r="AO242" s="503" t="str">
        <f>IF(終値!A242="","",IF(AND(高値!S242&gt;高値!R242,高値!S242&gt;高値!Q242,高値!S242&gt;高値!T242,高値!S242&gt;高値!U242),14,""))</f>
        <v/>
      </c>
      <c r="AP242" s="503" t="str">
        <f>IF(終値!A242="","",IF(AND(高値!T242&gt;高値!S242,高値!T242&gt;高値!R242,高値!T242&gt;高値!U242,高値!T242&gt;高値!V242),15,""))</f>
        <v/>
      </c>
      <c r="AQ242" s="503">
        <f>IF(終値!A242="","",IF(AND(高値!U242&gt;高値!T242,高値!U242&gt;高値!S242,高値!U242&gt;高値!V242,高値!U242&gt;高値!W242),16,""))</f>
        <v>16</v>
      </c>
      <c r="AR242" s="503" t="str">
        <f>IF(終値!A242="","",IF(AND(高値!V242&gt;高値!U242,高値!V242&gt;高値!T242,高値!V242&gt;高値!W242,高値!V242&gt;高値!X242),17,""))</f>
        <v/>
      </c>
      <c r="AS242" s="503" t="str">
        <f>IF(終値!A242="","",IF(AND(高値!W242&gt;高値!V242,高値!W242&gt;高値!U242,高値!W242&gt;高値!X242,高値!W242&gt;高値!Y242),18,""))</f>
        <v/>
      </c>
      <c r="AT242" s="503" t="str">
        <f>IF(終値!A242="","",IF(AND(高値!X242&gt;高値!W242,高値!X242&gt;高値!V242,高値!X242&gt;高値!Y242,高値!X242&gt;高値!Z242),19,""))</f>
        <v/>
      </c>
      <c r="AU242" s="503" t="str">
        <f>IF(終値!A242="","",IF(AND(高値!Y242&gt;高値!X242,高値!Y242&gt;高値!W242,高値!Y242&gt;高値!Z242,高値!Y242&gt;高値!AA242),20,""))</f>
        <v/>
      </c>
      <c r="AV242" s="503" t="str">
        <f>IF(終値!A242="","",IF(AND(高値!Z242&gt;高値!Y242,高値!Z242&gt;高値!X242,高値!Z242&gt;高値!AA242,高値!Z242&gt;高値!AB242),21,""))</f>
        <v/>
      </c>
      <c r="AW242" s="503" t="str">
        <f>IF(終値!A242="","",IF(AND(高値!AA242&gt;高値!Z242,高値!AA242&gt;高値!Y242,高値!AA242&gt;高値!AB242,高値!AA242&gt;高値!AC242),22,""))</f>
        <v/>
      </c>
      <c r="AX242" s="503" t="str">
        <f>IF(終値!A242="","",IF(AND(高値!AB242&gt;高値!AA242,高値!AB242&gt;高値!Z242,高値!AB242&gt;高値!AC242,高値!AB242&gt;高値!AD242),23,""))</f>
        <v/>
      </c>
      <c r="AY242" s="503">
        <f>IF(終値!A242="","",IF(AND(高値!AC242&gt;高値!AB242,高値!AC242&gt;高値!AA242,高値!AC242&gt;高値!AD242,高値!AC242&gt;高値!AE242),24,""))</f>
        <v>24</v>
      </c>
      <c r="AZ242" s="503" t="str">
        <f>IF(終値!A242="","",IF(AND(高値!AD242&gt;高値!AC242,高値!AD242&gt;高値!AB242,高値!AD242&gt;高値!AE242,高値!AD242&gt;高値!AF242),25,""))</f>
        <v/>
      </c>
      <c r="BA242" s="503" t="str">
        <f>IF(終値!A242="","",IF(AND(高値!AE242&gt;高値!AD242,高値!AE242&gt;高値!AC242,高値!AE242&gt;高値!AF242,高値!AE242&gt;高値!AG242),26,""))</f>
        <v/>
      </c>
      <c r="BB242" s="503" t="str">
        <f>IF(終値!A242="","",IF(AND(高値!AF242&gt;高値!AE242,高値!AF242&gt;高値!AD242,高値!AF242&gt;高値!AG242,高値!AF242&gt;高値!AH242),27,""))</f>
        <v/>
      </c>
      <c r="BC242" s="503" t="str">
        <f>IF(終値!A242="","",IF(AND(高値!AG242&gt;高値!AF242,高値!AG242&gt;高値!AE242,高値!AG242&gt;高値!AH242,高値!AG242&gt;高値!AI242),28,""))</f>
        <v/>
      </c>
      <c r="BD242" s="503">
        <f t="shared" si="18"/>
        <v>3</v>
      </c>
      <c r="BE242" s="503">
        <f t="shared" si="19"/>
        <v>5</v>
      </c>
      <c r="BF242" s="503">
        <f t="shared" si="20"/>
        <v>13</v>
      </c>
      <c r="BG242" s="503">
        <f>IF($BE242="","",INDEX(安値!$E242:$CZ242,1,$BE242+1))</f>
        <v>2625</v>
      </c>
      <c r="BH242" s="503">
        <f>IF($BF242="","",INDEX(安値!$E242:$CZ242,1,$BF242+1))</f>
        <v>3265</v>
      </c>
      <c r="BI242" s="503">
        <f>IF($BF242="","",MAX(INDEX(高値!$E242:$CZ242,1,$BE242+1):INDEX(高値!$E242:$CZ242,1,$BF242+1)))</f>
        <v>3580</v>
      </c>
      <c r="BJ242" s="503">
        <f>IF($BF242="","",AVERAGE(INDEX(終値!$E242:$CZ242,1,$BF242+1):INDEX(終値!$E242:$CZ242,1,$BF242+20))-2*STDEVP(INDEX(終値!$E242:$CZ242,1,$BF242+1):INDEX(終値!$E242:$CZ242,1,$BF242+20)))</f>
        <v>3557.6067217996424</v>
      </c>
      <c r="BK242" s="503">
        <f>IF($BE242="","",AVERAGE(INDEX(終値!$E242:$CZ242,1,$BE242+1):INDEX(終値!$E242:$CZ242,1,$BE242+20))-2*STDEVP(INDEX(終値!$E242:$CZ242,1,$BE242+1):INDEX(終値!$E242:$CZ242,1,$BE242+20)))</f>
        <v>2565.3581299390135</v>
      </c>
      <c r="BL242" s="503">
        <f t="shared" si="21"/>
        <v>2</v>
      </c>
      <c r="BM242" s="503">
        <f t="shared" si="22"/>
        <v>16</v>
      </c>
      <c r="BN242" s="503">
        <f t="shared" si="23"/>
        <v>24</v>
      </c>
      <c r="BO242" s="503">
        <f>IF($BM242="","",INDEX(高値!$E242:$CZ242,1,$BM242+1))</f>
        <v>4475</v>
      </c>
      <c r="BP242" s="503">
        <f>IF($BN242="","",INDEX(高値!$E242:$CZ242,1,$BN242+1))</f>
        <v>4885</v>
      </c>
      <c r="BQ242" s="503">
        <f>IF($BN242="","",MIN(INDEX(安値!$E242:$CZ242,1,$BM242+1):INDEX(安値!$E242:$CZ242,1,$BN242+1)))</f>
        <v>4000</v>
      </c>
      <c r="BR242" s="503">
        <f>IF($BN242="","",AVERAGE(INDEX(終値!$E242:$CZ242,1,$BN242+1):INDEX(終値!$E242:$CZ242,1,$BN242+20))+2*STDEVP(INDEX(終値!$E242:$CZ242,1,$BN242+1):INDEX(終値!$E242:$CZ242,1,$BN242+20)))</f>
        <v>5306.7534017698445</v>
      </c>
      <c r="BS242" s="503">
        <f>IF($BM242="","",AVERAGE(INDEX(終値!$E242:$CZ242,1,$BM242+1):INDEX(終値!$E242:$CZ242,1,$BM242+20))+2*STDEVP(INDEX(終値!$E242:$CZ242,1,$BM242+1):INDEX(終値!$E242:$CZ242,1,$BM242+20)))</f>
        <v>5272.819569891496</v>
      </c>
      <c r="BT242" s="500"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3" t="str">
        <f>IF(終値!A243="","",IF(AND(安値!G243&lt;安値!F243,安値!G243&lt;安値!E243,安値!G243&lt;安値!H243,安値!G243&lt;安値!I243),2,""))</f>
        <v/>
      </c>
      <c r="C243" s="503">
        <f>IF(終値!A243="","",IF(AND(安値!H243&lt;安値!G243,安値!H243&lt;安値!F243,安値!H243&lt;安値!I243,安値!H243&lt;安値!J243),3,""))</f>
        <v>3</v>
      </c>
      <c r="D243" s="503" t="str">
        <f>IF(終値!A243="","",IF(AND(安値!I243&lt;安値!H243,安値!I243&lt;安値!G243,安値!I243&lt;安値!J243,安値!I243&lt;安値!K243),4,""))</f>
        <v/>
      </c>
      <c r="E243" s="503" t="str">
        <f>IF(終値!A243="","",IF(AND(安値!J243&lt;安値!I243,安値!J243&lt;安値!H243,安値!J243&lt;安値!K243,安値!J243&lt;安値!L243),5,""))</f>
        <v/>
      </c>
      <c r="F243" s="503">
        <f>IF(終値!A243="","",IF(AND(安値!K243&lt;安値!J243,安値!K243&lt;安値!I243,安値!K243&lt;安値!L243,安値!K243&lt;安値!M243),6,""))</f>
        <v>6</v>
      </c>
      <c r="G243" s="503" t="str">
        <f>IF(終値!A243="","",IF(AND(安値!L243&lt;安値!K243,安値!L243&lt;安値!J243,安値!L243&lt;安値!M243,安値!L243&lt;安値!N243),7,""))</f>
        <v/>
      </c>
      <c r="H243" s="503" t="str">
        <f>IF(終値!A243="","",IF(AND(安値!M243&lt;安値!L243,安値!M243&lt;安値!K243,安値!M243&lt;安値!N243,安値!M243&lt;安値!O243),8,""))</f>
        <v/>
      </c>
      <c r="I243" s="503">
        <f>IF(終値!A243="","",IF(AND(安値!N243&lt;安値!M243,安値!N243&lt;安値!L243,安値!N243&lt;安値!O243,安値!N243&lt;安値!P243),9,""))</f>
        <v>9</v>
      </c>
      <c r="J243" s="503" t="str">
        <f>IF(終値!A243="","",IF(AND(安値!O243&lt;安値!N243,安値!O243&lt;安値!M243,安値!O243&lt;安値!P243,安値!O243&lt;安値!Q243),10,""))</f>
        <v/>
      </c>
      <c r="K243" s="503" t="str">
        <f>IF(終値!A243="","",IF(AND(安値!P243&lt;安値!O243,安値!P243&lt;安値!N243,安値!P243&lt;安値!Q243,安値!P243&lt;安値!R243),11,""))</f>
        <v/>
      </c>
      <c r="L243" s="503" t="str">
        <f>IF(終値!A243="","",IF(AND(安値!Q243&lt;安値!P243,安値!Q243&lt;安値!O243,安値!Q243&lt;安値!R243,安値!Q243&lt;安値!S243),12,""))</f>
        <v/>
      </c>
      <c r="M243" s="503">
        <f>IF(終値!A243="","",IF(AND(安値!R243&lt;安値!Q243,安値!R243&lt;安値!P243,安値!R243&lt;安値!S243,安値!R243&lt;安値!T243),13,""))</f>
        <v>13</v>
      </c>
      <c r="N243" s="503" t="str">
        <f>IF(終値!A243="","",IF(AND(安値!S243&lt;安値!R243,安値!S243&lt;安値!Q243,安値!S243&lt;安値!T243,安値!S243&lt;安値!U243),14,""))</f>
        <v/>
      </c>
      <c r="O243" s="503" t="str">
        <f>IF(終値!A243="","",IF(AND(安値!T243&lt;安値!S243,安値!T243&lt;安値!R243,安値!T243&lt;安値!U243,安値!T243&lt;安値!V243),15,""))</f>
        <v/>
      </c>
      <c r="P243" s="503" t="str">
        <f>IF(終値!A243="","",IF(AND(安値!U243&lt;安値!T243,安値!U243&lt;安値!S243,安値!U243&lt;安値!V243,安値!U243&lt;安値!W243),16,""))</f>
        <v/>
      </c>
      <c r="Q243" s="503" t="str">
        <f>IF(終値!A243="","",IF(AND(安値!V243&lt;安値!U243,安値!V243&lt;安値!T243,安値!V243&lt;安値!W243,安値!V243&lt;安値!X243),17,""))</f>
        <v/>
      </c>
      <c r="R243" s="503" t="str">
        <f>IF(終値!A243="","",IF(AND(安値!W243&lt;安値!V243,安値!W243&lt;安値!U243,安値!W243&lt;安値!X243,安値!W243&lt;安値!Y243),18,""))</f>
        <v/>
      </c>
      <c r="S243" s="503">
        <f>IF(終値!A243="","",IF(AND(安値!X243&lt;安値!W243,安値!X243&lt;安値!V243,安値!X243&lt;安値!Y243,安値!X243&lt;安値!Z243),19,""))</f>
        <v>19</v>
      </c>
      <c r="T243" s="503" t="str">
        <f>IF(終値!A243="","",IF(AND(安値!Y243&lt;安値!X243,安値!Y243&lt;安値!W243,安値!Y243&lt;安値!Z243,安値!Y243&lt;安値!AA243),20,""))</f>
        <v/>
      </c>
      <c r="U243" s="503" t="str">
        <f>IF(終値!A243="","",IF(AND(安値!Z243&lt;安値!Y243,安値!Z243&lt;安値!X243,安値!Z243&lt;安値!AA243,安値!Z243&lt;安値!AB243),21,""))</f>
        <v/>
      </c>
      <c r="V243" s="503">
        <f>IF(終値!A243="","",IF(AND(安値!AA243&lt;安値!Z243,安値!AA243&lt;安値!Y243,安値!AA243&lt;安値!AB243,安値!AA243&lt;安値!AC243),22,""))</f>
        <v>22</v>
      </c>
      <c r="W243" s="503" t="str">
        <f>IF(終値!A243="","",IF(AND(安値!AB243&lt;安値!AA243,安値!AB243&lt;安値!Z243,安値!AB243&lt;安値!AC243,安値!AB243&lt;安値!AD243),23,""))</f>
        <v/>
      </c>
      <c r="X243" s="503" t="str">
        <f>IF(終値!A243="","",IF(AND(安値!AC243&lt;安値!AB243,安値!AC243&lt;安値!AA243,安値!AC243&lt;安値!AD243,安値!AC243&lt;安値!AE243),24,""))</f>
        <v/>
      </c>
      <c r="Y243" s="503">
        <f>IF(終値!A243="","",IF(AND(安値!AD243&lt;安値!AC243,安値!AD243&lt;安値!AB243,安値!AD243&lt;安値!AE243,安値!AD243&lt;安値!AF243),25,""))</f>
        <v>25</v>
      </c>
      <c r="Z243" s="503" t="str">
        <f>IF(終値!A243="","",IF(AND(安値!AE243&lt;安値!AD243,安値!AE243&lt;安値!AC243,安値!AE243&lt;安値!AF243,安値!AE243&lt;安値!AG243),26,""))</f>
        <v/>
      </c>
      <c r="AA243" s="503" t="str">
        <f>IF(終値!A243="","",IF(AND(安値!AF243&lt;安値!AE243,安値!AF243&lt;安値!AD243,安値!AF243&lt;安値!AG243,安値!AF243&lt;安値!AH243),27,""))</f>
        <v/>
      </c>
      <c r="AB243" s="503" t="str">
        <f>IF(終値!A243="","",IF(AND(安値!AG243&lt;安値!AF243,安値!AG243&lt;安値!AE243,安値!AG243&lt;安値!AH243,安値!AG243&lt;安値!AI243),28,""))</f>
        <v/>
      </c>
      <c r="AC243" s="503" t="str">
        <f>IF(終値!A243="","",IF(AND(高値!G243&gt;高値!F243,高値!G243&gt;高値!E243,高値!G243&gt;高値!H243,高値!G243&gt;高値!I243),2,""))</f>
        <v/>
      </c>
      <c r="AD243" s="503" t="str">
        <f>IF(終値!A243="","",IF(AND(高値!H243&gt;高値!G243,高値!H243&gt;高値!F243,高値!H243&gt;高値!I243,高値!H243&gt;高値!J243),3,""))</f>
        <v/>
      </c>
      <c r="AE243" s="503" t="str">
        <f>IF(終値!A243="","",IF(AND(高値!I243&gt;高値!H243,高値!I243&gt;高値!G243,高値!I243&gt;高値!J243,高値!I243&gt;高値!K243),4,""))</f>
        <v/>
      </c>
      <c r="AF243" s="503" t="str">
        <f>IF(終値!A243="","",IF(AND(高値!J243&gt;高値!I243,高値!J243&gt;高値!H243,高値!J243&gt;高値!K243,高値!J243&gt;高値!L243),5,""))</f>
        <v/>
      </c>
      <c r="AG243" s="503" t="str">
        <f>IF(終値!A243="","",IF(AND(高値!K243&gt;高値!J243,高値!K243&gt;高値!I243,高値!K243&gt;高値!L243,高値!K243&gt;高値!M243),6,""))</f>
        <v/>
      </c>
      <c r="AH243" s="503" t="str">
        <f>IF(終値!A243="","",IF(AND(高値!L243&gt;高値!K243,高値!L243&gt;高値!J243,高値!L243&gt;高値!M243,高値!L243&gt;高値!N243),7,""))</f>
        <v/>
      </c>
      <c r="AI243" s="503" t="str">
        <f>IF(終値!A243="","",IF(AND(高値!M243&gt;高値!L243,高値!M243&gt;高値!K243,高値!M243&gt;高値!N243,高値!M243&gt;高値!O243),8,""))</f>
        <v/>
      </c>
      <c r="AJ243" s="503" t="str">
        <f>IF(終値!A243="","",IF(AND(高値!N243&gt;高値!M243,高値!N243&gt;高値!L243,高値!N243&gt;高値!O243,高値!N243&gt;高値!P243),9,""))</f>
        <v/>
      </c>
      <c r="AK243" s="503" t="str">
        <f>IF(終値!A243="","",IF(AND(高値!O243&gt;高値!N243,高値!O243&gt;高値!M243,高値!O243&gt;高値!P243,高値!O243&gt;高値!Q243),10,""))</f>
        <v/>
      </c>
      <c r="AL243" s="503">
        <f>IF(終値!A243="","",IF(AND(高値!P243&gt;高値!O243,高値!P243&gt;高値!N243,高値!P243&gt;高値!Q243,高値!P243&gt;高値!R243),11,""))</f>
        <v>11</v>
      </c>
      <c r="AM243" s="503" t="str">
        <f>IF(終値!A243="","",IF(AND(高値!Q243&gt;高値!P243,高値!Q243&gt;高値!O243,高値!Q243&gt;高値!R243,高値!Q243&gt;高値!S243),12,""))</f>
        <v/>
      </c>
      <c r="AN243" s="503" t="str">
        <f>IF(終値!A243="","",IF(AND(高値!R243&gt;高値!Q243,高値!R243&gt;高値!P243,高値!R243&gt;高値!S243,高値!R243&gt;高値!T243),13,""))</f>
        <v/>
      </c>
      <c r="AO243" s="503" t="str">
        <f>IF(終値!A243="","",IF(AND(高値!S243&gt;高値!R243,高値!S243&gt;高値!Q243,高値!S243&gt;高値!T243,高値!S243&gt;高値!U243),14,""))</f>
        <v/>
      </c>
      <c r="AP243" s="503" t="str">
        <f>IF(終値!A243="","",IF(AND(高値!T243&gt;高値!S243,高値!T243&gt;高値!R243,高値!T243&gt;高値!U243,高値!T243&gt;高値!V243),15,""))</f>
        <v/>
      </c>
      <c r="AQ243" s="503" t="str">
        <f>IF(終値!A243="","",IF(AND(高値!U243&gt;高値!T243,高値!U243&gt;高値!S243,高値!U243&gt;高値!V243,高値!U243&gt;高値!W243),16,""))</f>
        <v/>
      </c>
      <c r="AR243" s="503">
        <f>IF(終値!A243="","",IF(AND(高値!V243&gt;高値!U243,高値!V243&gt;高値!T243,高値!V243&gt;高値!W243,高値!V243&gt;高値!X243),17,""))</f>
        <v>17</v>
      </c>
      <c r="AS243" s="503" t="str">
        <f>IF(終値!A243="","",IF(AND(高値!W243&gt;高値!V243,高値!W243&gt;高値!U243,高値!W243&gt;高値!X243,高値!W243&gt;高値!Y243),18,""))</f>
        <v/>
      </c>
      <c r="AT243" s="503" t="str">
        <f>IF(終値!A243="","",IF(AND(高値!X243&gt;高値!W243,高値!X243&gt;高値!V243,高値!X243&gt;高値!Y243,高値!X243&gt;高値!Z243),19,""))</f>
        <v/>
      </c>
      <c r="AU243" s="503" t="str">
        <f>IF(終値!A243="","",IF(AND(高値!Y243&gt;高値!X243,高値!Y243&gt;高値!W243,高値!Y243&gt;高値!Z243,高値!Y243&gt;高値!AA243),20,""))</f>
        <v/>
      </c>
      <c r="AV243" s="503">
        <f>IF(終値!A243="","",IF(AND(高値!Z243&gt;高値!Y243,高値!Z243&gt;高値!X243,高値!Z243&gt;高値!AA243,高値!Z243&gt;高値!AB243),21,""))</f>
        <v>21</v>
      </c>
      <c r="AW243" s="503" t="str">
        <f>IF(終値!A243="","",IF(AND(高値!AA243&gt;高値!Z243,高値!AA243&gt;高値!Y243,高値!AA243&gt;高値!AB243,高値!AA243&gt;高値!AC243),22,""))</f>
        <v/>
      </c>
      <c r="AX243" s="503" t="str">
        <f>IF(終値!A243="","",IF(AND(高値!AB243&gt;高値!AA243,高値!AB243&gt;高値!Z243,高値!AB243&gt;高値!AC243,高値!AB243&gt;高値!AD243),23,""))</f>
        <v/>
      </c>
      <c r="AY243" s="503">
        <f>IF(終値!A243="","",IF(AND(高値!AC243&gt;高値!AB243,高値!AC243&gt;高値!AA243,高値!AC243&gt;高値!AD243,高値!AC243&gt;高値!AE243),24,""))</f>
        <v>24</v>
      </c>
      <c r="AZ243" s="503" t="str">
        <f>IF(終値!A243="","",IF(AND(高値!AD243&gt;高値!AC243,高値!AD243&gt;高値!AB243,高値!AD243&gt;高値!AE243,高値!AD243&gt;高値!AF243),25,""))</f>
        <v/>
      </c>
      <c r="BA243" s="503" t="str">
        <f>IF(終値!A243="","",IF(AND(高値!AE243&gt;高値!AD243,高値!AE243&gt;高値!AC243,高値!AE243&gt;高値!AF243,高値!AE243&gt;高値!AG243),26,""))</f>
        <v/>
      </c>
      <c r="BB243" s="503" t="str">
        <f>IF(終値!A243="","",IF(AND(高値!AF243&gt;高値!AE243,高値!AF243&gt;高値!AD243,高値!AF243&gt;高値!AG243,高値!AF243&gt;高値!AH243),27,""))</f>
        <v/>
      </c>
      <c r="BC243" s="503" t="str">
        <f>IF(終値!A243="","",IF(AND(高値!AG243&gt;高値!AF243,高値!AG243&gt;高値!AE243,高値!AG243&gt;高値!AH243,高値!AG243&gt;高値!AI243),28,""))</f>
        <v/>
      </c>
      <c r="BD243" s="503">
        <f t="shared" si="18"/>
        <v>7</v>
      </c>
      <c r="BE243" s="503">
        <f t="shared" si="19"/>
        <v>3</v>
      </c>
      <c r="BF243" s="503">
        <f t="shared" si="20"/>
        <v>6</v>
      </c>
      <c r="BG243" s="503">
        <f>IF($BE243="","",INDEX(安値!$E243:$CZ243,1,$BE243+1))</f>
        <v>1683</v>
      </c>
      <c r="BH243" s="503">
        <f>IF($BF243="","",INDEX(安値!$E243:$CZ243,1,$BF243+1))</f>
        <v>1670</v>
      </c>
      <c r="BI243" s="503">
        <f>IF($BF243="","",MAX(INDEX(高値!$E243:$CZ243,1,$BE243+1):INDEX(高値!$E243:$CZ243,1,$BF243+1)))</f>
        <v>1750</v>
      </c>
      <c r="BJ243" s="503">
        <f>IF($BF243="","",AVERAGE(INDEX(終値!$E243:$CZ243,1,$BF243+1):INDEX(終値!$E243:$CZ243,1,$BF243+20))-2*STDEVP(INDEX(終値!$E243:$CZ243,1,$BF243+1):INDEX(終値!$E243:$CZ243,1,$BF243+20)))</f>
        <v>1680.7045663052588</v>
      </c>
      <c r="BK243" s="503">
        <f>IF($BE243="","",AVERAGE(INDEX(終値!$E243:$CZ243,1,$BE243+1):INDEX(終値!$E243:$CZ243,1,$BE243+20))-2*STDEVP(INDEX(終値!$E243:$CZ243,1,$BE243+1):INDEX(終値!$E243:$CZ243,1,$BE243+20)))</f>
        <v>1682.2027416668484</v>
      </c>
      <c r="BL243" s="503">
        <f t="shared" si="21"/>
        <v>4</v>
      </c>
      <c r="BM243" s="503">
        <f t="shared" si="22"/>
        <v>11</v>
      </c>
      <c r="BN243" s="503">
        <f t="shared" si="23"/>
        <v>17</v>
      </c>
      <c r="BO243" s="503">
        <f>IF($BM243="","",INDEX(高値!$E243:$CZ243,1,$BM243+1))</f>
        <v>1756</v>
      </c>
      <c r="BP243" s="503">
        <f>IF($BN243="","",INDEX(高値!$E243:$CZ243,1,$BN243+1))</f>
        <v>1808</v>
      </c>
      <c r="BQ243" s="503">
        <f>IF($BN243="","",MIN(INDEX(安値!$E243:$CZ243,1,$BM243+1):INDEX(安値!$E243:$CZ243,1,$BN243+1)))</f>
        <v>1676</v>
      </c>
      <c r="BR243" s="503">
        <f>IF($BN243="","",AVERAGE(INDEX(終値!$E243:$CZ243,1,$BN243+1):INDEX(終値!$E243:$CZ243,1,$BN243+20))+2*STDEVP(INDEX(終値!$E243:$CZ243,1,$BN243+1):INDEX(終値!$E243:$CZ243,1,$BN243+20)))</f>
        <v>1794.8966337329084</v>
      </c>
      <c r="BS243" s="503">
        <f>IF($BM243="","",AVERAGE(INDEX(終値!$E243:$CZ243,1,$BM243+1):INDEX(終値!$E243:$CZ243,1,$BM243+20))+2*STDEVP(INDEX(終値!$E243:$CZ243,1,$BM243+1):INDEX(終値!$E243:$CZ243,1,$BM243+20)))</f>
        <v>1784.814786532781</v>
      </c>
      <c r="BT243" s="500"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v>
      </c>
    </row>
    <row r="244" spans="2:72">
      <c r="B244" s="503">
        <f>IF(終値!A244="","",IF(AND(安値!G244&lt;安値!F244,安値!G244&lt;安値!E244,安値!G244&lt;安値!H244,安値!G244&lt;安値!I244),2,""))</f>
        <v>2</v>
      </c>
      <c r="C244" s="503" t="str">
        <f>IF(終値!A244="","",IF(AND(安値!H244&lt;安値!G244,安値!H244&lt;安値!F244,安値!H244&lt;安値!I244,安値!H244&lt;安値!J244),3,""))</f>
        <v/>
      </c>
      <c r="D244" s="503" t="str">
        <f>IF(終値!A244="","",IF(AND(安値!I244&lt;安値!H244,安値!I244&lt;安値!G244,安値!I244&lt;安値!J244,安値!I244&lt;安値!K244),4,""))</f>
        <v/>
      </c>
      <c r="E244" s="503" t="str">
        <f>IF(終値!A244="","",IF(AND(安値!J244&lt;安値!I244,安値!J244&lt;安値!H244,安値!J244&lt;安値!K244,安値!J244&lt;安値!L244),5,""))</f>
        <v/>
      </c>
      <c r="F244" s="503" t="str">
        <f>IF(終値!A244="","",IF(AND(安値!K244&lt;安値!J244,安値!K244&lt;安値!I244,安値!K244&lt;安値!L244,安値!K244&lt;安値!M244),6,""))</f>
        <v/>
      </c>
      <c r="G244" s="503" t="str">
        <f>IF(終値!A244="","",IF(AND(安値!L244&lt;安値!K244,安値!L244&lt;安値!J244,安値!L244&lt;安値!M244,安値!L244&lt;安値!N244),7,""))</f>
        <v/>
      </c>
      <c r="H244" s="503" t="str">
        <f>IF(終値!A244="","",IF(AND(安値!M244&lt;安値!L244,安値!M244&lt;安値!K244,安値!M244&lt;安値!N244,安値!M244&lt;安値!O244),8,""))</f>
        <v/>
      </c>
      <c r="I244" s="503">
        <f>IF(終値!A244="","",IF(AND(安値!N244&lt;安値!M244,安値!N244&lt;安値!L244,安値!N244&lt;安値!O244,安値!N244&lt;安値!P244),9,""))</f>
        <v>9</v>
      </c>
      <c r="J244" s="503" t="str">
        <f>IF(終値!A244="","",IF(AND(安値!O244&lt;安値!N244,安値!O244&lt;安値!M244,安値!O244&lt;安値!P244,安値!O244&lt;安値!Q244),10,""))</f>
        <v/>
      </c>
      <c r="K244" s="503" t="str">
        <f>IF(終値!A244="","",IF(AND(安値!P244&lt;安値!O244,安値!P244&lt;安値!N244,安値!P244&lt;安値!Q244,安値!P244&lt;安値!R244),11,""))</f>
        <v/>
      </c>
      <c r="L244" s="503" t="str">
        <f>IF(終値!A244="","",IF(AND(安値!Q244&lt;安値!P244,安値!Q244&lt;安値!O244,安値!Q244&lt;安値!R244,安値!Q244&lt;安値!S244),12,""))</f>
        <v/>
      </c>
      <c r="M244" s="503" t="str">
        <f>IF(終値!A244="","",IF(AND(安値!R244&lt;安値!Q244,安値!R244&lt;安値!P244,安値!R244&lt;安値!S244,安値!R244&lt;安値!T244),13,""))</f>
        <v/>
      </c>
      <c r="N244" s="503" t="str">
        <f>IF(終値!A244="","",IF(AND(安値!S244&lt;安値!R244,安値!S244&lt;安値!Q244,安値!S244&lt;安値!T244,安値!S244&lt;安値!U244),14,""))</f>
        <v/>
      </c>
      <c r="O244" s="503" t="str">
        <f>IF(終値!A244="","",IF(AND(安値!T244&lt;安値!S244,安値!T244&lt;安値!R244,安値!T244&lt;安値!U244,安値!T244&lt;安値!V244),15,""))</f>
        <v/>
      </c>
      <c r="P244" s="503" t="str">
        <f>IF(終値!A244="","",IF(AND(安値!U244&lt;安値!T244,安値!U244&lt;安値!S244,安値!U244&lt;安値!V244,安値!U244&lt;安値!W244),16,""))</f>
        <v/>
      </c>
      <c r="Q244" s="503" t="str">
        <f>IF(終値!A244="","",IF(AND(安値!V244&lt;安値!U244,安値!V244&lt;安値!T244,安値!V244&lt;安値!W244,安値!V244&lt;安値!X244),17,""))</f>
        <v/>
      </c>
      <c r="R244" s="503" t="str">
        <f>IF(終値!A244="","",IF(AND(安値!W244&lt;安値!V244,安値!W244&lt;安値!U244,安値!W244&lt;安値!X244,安値!W244&lt;安値!Y244),18,""))</f>
        <v/>
      </c>
      <c r="S244" s="503" t="str">
        <f>IF(終値!A244="","",IF(AND(安値!X244&lt;安値!W244,安値!X244&lt;安値!V244,安値!X244&lt;安値!Y244,安値!X244&lt;安値!Z244),19,""))</f>
        <v/>
      </c>
      <c r="T244" s="503" t="str">
        <f>IF(終値!A244="","",IF(AND(安値!Y244&lt;安値!X244,安値!Y244&lt;安値!W244,安値!Y244&lt;安値!Z244,安値!Y244&lt;安値!AA244),20,""))</f>
        <v/>
      </c>
      <c r="U244" s="503" t="str">
        <f>IF(終値!A244="","",IF(AND(安値!Z244&lt;安値!Y244,安値!Z244&lt;安値!X244,安値!Z244&lt;安値!AA244,安値!Z244&lt;安値!AB244),21,""))</f>
        <v/>
      </c>
      <c r="V244" s="503" t="str">
        <f>IF(終値!A244="","",IF(AND(安値!AA244&lt;安値!Z244,安値!AA244&lt;安値!Y244,安値!AA244&lt;安値!AB244,安値!AA244&lt;安値!AC244),22,""))</f>
        <v/>
      </c>
      <c r="W244" s="503" t="str">
        <f>IF(終値!A244="","",IF(AND(安値!AB244&lt;安値!AA244,安値!AB244&lt;安値!Z244,安値!AB244&lt;安値!AC244,安値!AB244&lt;安値!AD244),23,""))</f>
        <v/>
      </c>
      <c r="X244" s="503">
        <f>IF(終値!A244="","",IF(AND(安値!AC244&lt;安値!AB244,安値!AC244&lt;安値!AA244,安値!AC244&lt;安値!AD244,安値!AC244&lt;安値!AE244),24,""))</f>
        <v>24</v>
      </c>
      <c r="Y244" s="503" t="str">
        <f>IF(終値!A244="","",IF(AND(安値!AD244&lt;安値!AC244,安値!AD244&lt;安値!AB244,安値!AD244&lt;安値!AE244,安値!AD244&lt;安値!AF244),25,""))</f>
        <v/>
      </c>
      <c r="Z244" s="503" t="str">
        <f>IF(終値!A244="","",IF(AND(安値!AE244&lt;安値!AD244,安値!AE244&lt;安値!AC244,安値!AE244&lt;安値!AF244,安値!AE244&lt;安値!AG244),26,""))</f>
        <v/>
      </c>
      <c r="AA244" s="503" t="str">
        <f>IF(終値!A244="","",IF(AND(安値!AF244&lt;安値!AE244,安値!AF244&lt;安値!AD244,安値!AF244&lt;安値!AG244,安値!AF244&lt;安値!AH244),27,""))</f>
        <v/>
      </c>
      <c r="AB244" s="503">
        <f>IF(終値!A244="","",IF(AND(安値!AG244&lt;安値!AF244,安値!AG244&lt;安値!AE244,安値!AG244&lt;安値!AH244,安値!AG244&lt;安値!AI244),28,""))</f>
        <v>28</v>
      </c>
      <c r="AC244" s="503" t="str">
        <f>IF(終値!A244="","",IF(AND(高値!G244&gt;高値!F244,高値!G244&gt;高値!E244,高値!G244&gt;高値!H244,高値!G244&gt;高値!I244),2,""))</f>
        <v/>
      </c>
      <c r="AD244" s="503" t="str">
        <f>IF(終値!A244="","",IF(AND(高値!H244&gt;高値!G244,高値!H244&gt;高値!F244,高値!H244&gt;高値!I244,高値!H244&gt;高値!J244),3,""))</f>
        <v/>
      </c>
      <c r="AE244" s="503" t="str">
        <f>IF(終値!A244="","",IF(AND(高値!I244&gt;高値!H244,高値!I244&gt;高値!G244,高値!I244&gt;高値!J244,高値!I244&gt;高値!K244),4,""))</f>
        <v/>
      </c>
      <c r="AF244" s="503">
        <f>IF(終値!A244="","",IF(AND(高値!J244&gt;高値!I244,高値!J244&gt;高値!H244,高値!J244&gt;高値!K244,高値!J244&gt;高値!L244),5,""))</f>
        <v>5</v>
      </c>
      <c r="AG244" s="503" t="str">
        <f>IF(終値!A244="","",IF(AND(高値!K244&gt;高値!J244,高値!K244&gt;高値!I244,高値!K244&gt;高値!L244,高値!K244&gt;高値!M244),6,""))</f>
        <v/>
      </c>
      <c r="AH244" s="503" t="str">
        <f>IF(終値!A244="","",IF(AND(高値!L244&gt;高値!K244,高値!L244&gt;高値!J244,高値!L244&gt;高値!M244,高値!L244&gt;高値!N244),7,""))</f>
        <v/>
      </c>
      <c r="AI244" s="503" t="str">
        <f>IF(終値!A244="","",IF(AND(高値!M244&gt;高値!L244,高値!M244&gt;高値!K244,高値!M244&gt;高値!N244,高値!M244&gt;高値!O244),8,""))</f>
        <v/>
      </c>
      <c r="AJ244" s="503" t="str">
        <f>IF(終値!A244="","",IF(AND(高値!N244&gt;高値!M244,高値!N244&gt;高値!L244,高値!N244&gt;高値!O244,高値!N244&gt;高値!P244),9,""))</f>
        <v/>
      </c>
      <c r="AK244" s="503" t="str">
        <f>IF(終値!A244="","",IF(AND(高値!O244&gt;高値!N244,高値!O244&gt;高値!M244,高値!O244&gt;高値!P244,高値!O244&gt;高値!Q244),10,""))</f>
        <v/>
      </c>
      <c r="AL244" s="503" t="str">
        <f>IF(終値!A244="","",IF(AND(高値!P244&gt;高値!O244,高値!P244&gt;高値!N244,高値!P244&gt;高値!Q244,高値!P244&gt;高値!R244),11,""))</f>
        <v/>
      </c>
      <c r="AM244" s="503">
        <f>IF(終値!A244="","",IF(AND(高値!Q244&gt;高値!P244,高値!Q244&gt;高値!O244,高値!Q244&gt;高値!R244,高値!Q244&gt;高値!S244),12,""))</f>
        <v>12</v>
      </c>
      <c r="AN244" s="503" t="str">
        <f>IF(終値!A244="","",IF(AND(高値!R244&gt;高値!Q244,高値!R244&gt;高値!P244,高値!R244&gt;高値!S244,高値!R244&gt;高値!T244),13,""))</f>
        <v/>
      </c>
      <c r="AO244" s="503" t="str">
        <f>IF(終値!A244="","",IF(AND(高値!S244&gt;高値!R244,高値!S244&gt;高値!Q244,高値!S244&gt;高値!T244,高値!S244&gt;高値!U244),14,""))</f>
        <v/>
      </c>
      <c r="AP244" s="503" t="str">
        <f>IF(終値!A244="","",IF(AND(高値!T244&gt;高値!S244,高値!T244&gt;高値!R244,高値!T244&gt;高値!U244,高値!T244&gt;高値!V244),15,""))</f>
        <v/>
      </c>
      <c r="AQ244" s="503" t="str">
        <f>IF(終値!A244="","",IF(AND(高値!U244&gt;高値!T244,高値!U244&gt;高値!S244,高値!U244&gt;高値!V244,高値!U244&gt;高値!W244),16,""))</f>
        <v/>
      </c>
      <c r="AR244" s="503" t="str">
        <f>IF(終値!A244="","",IF(AND(高値!V244&gt;高値!U244,高値!V244&gt;高値!T244,高値!V244&gt;高値!W244,高値!V244&gt;高値!X244),17,""))</f>
        <v/>
      </c>
      <c r="AS244" s="503" t="str">
        <f>IF(終値!A244="","",IF(AND(高値!W244&gt;高値!V244,高値!W244&gt;高値!U244,高値!W244&gt;高値!X244,高値!W244&gt;高値!Y244),18,""))</f>
        <v/>
      </c>
      <c r="AT244" s="503" t="str">
        <f>IF(終値!A244="","",IF(AND(高値!X244&gt;高値!W244,高値!X244&gt;高値!V244,高値!X244&gt;高値!Y244,高値!X244&gt;高値!Z244),19,""))</f>
        <v/>
      </c>
      <c r="AU244" s="503">
        <f>IF(終値!A244="","",IF(AND(高値!Y244&gt;高値!X244,高値!Y244&gt;高値!W244,高値!Y244&gt;高値!Z244,高値!Y244&gt;高値!AA244),20,""))</f>
        <v>20</v>
      </c>
      <c r="AV244" s="503" t="str">
        <f>IF(終値!A244="","",IF(AND(高値!Z244&gt;高値!Y244,高値!Z244&gt;高値!X244,高値!Z244&gt;高値!AA244,高値!Z244&gt;高値!AB244),21,""))</f>
        <v/>
      </c>
      <c r="AW244" s="503" t="str">
        <f>IF(終値!A244="","",IF(AND(高値!AA244&gt;高値!Z244,高値!AA244&gt;高値!Y244,高値!AA244&gt;高値!AB244,高値!AA244&gt;高値!AC244),22,""))</f>
        <v/>
      </c>
      <c r="AX244" s="503" t="str">
        <f>IF(終値!A244="","",IF(AND(高値!AB244&gt;高値!AA244,高値!AB244&gt;高値!Z244,高値!AB244&gt;高値!AC244,高値!AB244&gt;高値!AD244),23,""))</f>
        <v/>
      </c>
      <c r="AY244" s="503" t="str">
        <f>IF(終値!A244="","",IF(AND(高値!AC244&gt;高値!AB244,高値!AC244&gt;高値!AA244,高値!AC244&gt;高値!AD244,高値!AC244&gt;高値!AE244),24,""))</f>
        <v/>
      </c>
      <c r="AZ244" s="503" t="str">
        <f>IF(終値!A244="","",IF(AND(高値!AD244&gt;高値!AC244,高値!AD244&gt;高値!AB244,高値!AD244&gt;高値!AE244,高値!AD244&gt;高値!AF244),25,""))</f>
        <v/>
      </c>
      <c r="BA244" s="503" t="str">
        <f>IF(終値!A244="","",IF(AND(高値!AE244&gt;高値!AD244,高値!AE244&gt;高値!AC244,高値!AE244&gt;高値!AF244,高値!AE244&gt;高値!AG244),26,""))</f>
        <v/>
      </c>
      <c r="BB244" s="503" t="str">
        <f>IF(終値!A244="","",IF(AND(高値!AF244&gt;高値!AE244,高値!AF244&gt;高値!AD244,高値!AF244&gt;高値!AG244,高値!AF244&gt;高値!AH244),27,""))</f>
        <v/>
      </c>
      <c r="BC244" s="503" t="str">
        <f>IF(終値!A244="","",IF(AND(高値!AG244&gt;高値!AF244,高値!AG244&gt;高値!AE244,高値!AG244&gt;高値!AH244,高値!AG244&gt;高値!AI244),28,""))</f>
        <v/>
      </c>
      <c r="BD244" s="503">
        <f t="shared" si="18"/>
        <v>4</v>
      </c>
      <c r="BE244" s="503">
        <f t="shared" si="19"/>
        <v>2</v>
      </c>
      <c r="BF244" s="503">
        <f t="shared" si="20"/>
        <v>9</v>
      </c>
      <c r="BG244" s="503">
        <f>IF($BE244="","",INDEX(安値!$E244:$CZ244,1,$BE244+1))</f>
        <v>1884</v>
      </c>
      <c r="BH244" s="503">
        <f>IF($BF244="","",INDEX(安値!$E244:$CZ244,1,$BF244+1))</f>
        <v>1963.5</v>
      </c>
      <c r="BI244" s="503">
        <f>IF($BF244="","",MAX(INDEX(高値!$E244:$CZ244,1,$BE244+1):INDEX(高値!$E244:$CZ244,1,$BF244+1)))</f>
        <v>2218</v>
      </c>
      <c r="BJ244" s="503">
        <f>IF($BF244="","",AVERAGE(INDEX(終値!$E244:$CZ244,1,$BF244+1):INDEX(終値!$E244:$CZ244,1,$BF244+20))-2*STDEVP(INDEX(終値!$E244:$CZ244,1,$BF244+1):INDEX(終値!$E244:$CZ244,1,$BF244+20)))</f>
        <v>1852.0169751907774</v>
      </c>
      <c r="BK244" s="503">
        <f>IF($BE244="","",AVERAGE(INDEX(終値!$E244:$CZ244,1,$BE244+1):INDEX(終値!$E244:$CZ244,1,$BE244+20))-2*STDEVP(INDEX(終値!$E244:$CZ244,1,$BE244+1):INDEX(終値!$E244:$CZ244,1,$BE244+20)))</f>
        <v>1828.1050305184356</v>
      </c>
      <c r="BL244" s="503">
        <f t="shared" si="21"/>
        <v>3</v>
      </c>
      <c r="BM244" s="503">
        <f t="shared" si="22"/>
        <v>5</v>
      </c>
      <c r="BN244" s="503">
        <f t="shared" si="23"/>
        <v>12</v>
      </c>
      <c r="BO244" s="503">
        <f>IF($BM244="","",INDEX(高値!$E244:$CZ244,1,$BM244+1))</f>
        <v>2218</v>
      </c>
      <c r="BP244" s="503">
        <f>IF($BN244="","",INDEX(高値!$E244:$CZ244,1,$BN244+1))</f>
        <v>2006.5</v>
      </c>
      <c r="BQ244" s="503">
        <f>IF($BN244="","",MIN(INDEX(安値!$E244:$CZ244,1,$BM244+1):INDEX(安値!$E244:$CZ244,1,$BN244+1)))</f>
        <v>1963.5</v>
      </c>
      <c r="BR244" s="503">
        <f>IF($BN244="","",AVERAGE(INDEX(終値!$E244:$CZ244,1,$BN244+1):INDEX(終値!$E244:$CZ244,1,$BN244+20))+2*STDEVP(INDEX(終値!$E244:$CZ244,1,$BN244+1):INDEX(終値!$E244:$CZ244,1,$BN244+20)))</f>
        <v>2007.8790631411991</v>
      </c>
      <c r="BS244" s="503">
        <f>IF($BM244="","",AVERAGE(INDEX(終値!$E244:$CZ244,1,$BM244+1):INDEX(終値!$E244:$CZ244,1,$BM244+20))+2*STDEVP(INDEX(終値!$E244:$CZ244,1,$BM244+1):INDEX(終値!$E244:$CZ244,1,$BM244+20)))</f>
        <v>2158.0077737301872</v>
      </c>
      <c r="BT244" s="500"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二番底W形成</v>
      </c>
    </row>
    <row r="245" spans="2:72">
      <c r="B245" s="503" t="str">
        <f>IF(終値!A245="","",IF(AND(安値!G245&lt;安値!F245,安値!G245&lt;安値!E245,安値!G245&lt;安値!H245,安値!G245&lt;安値!I245),2,""))</f>
        <v/>
      </c>
      <c r="C245" s="503" t="str">
        <f>IF(終値!A245="","",IF(AND(安値!H245&lt;安値!G245,安値!H245&lt;安値!F245,安値!H245&lt;安値!I245,安値!H245&lt;安値!J245),3,""))</f>
        <v/>
      </c>
      <c r="D245" s="503" t="str">
        <f>IF(終値!A245="","",IF(AND(安値!I245&lt;安値!H245,安値!I245&lt;安値!G245,安値!I245&lt;安値!J245,安値!I245&lt;安値!K245),4,""))</f>
        <v/>
      </c>
      <c r="E245" s="503" t="str">
        <f>IF(終値!A245="","",IF(AND(安値!J245&lt;安値!I245,安値!J245&lt;安値!H245,安値!J245&lt;安値!K245,安値!J245&lt;安値!L245),5,""))</f>
        <v/>
      </c>
      <c r="F245" s="503" t="str">
        <f>IF(終値!A245="","",IF(AND(安値!K245&lt;安値!J245,安値!K245&lt;安値!I245,安値!K245&lt;安値!L245,安値!K245&lt;安値!M245),6,""))</f>
        <v/>
      </c>
      <c r="G245" s="503" t="str">
        <f>IF(終値!A245="","",IF(AND(安値!L245&lt;安値!K245,安値!L245&lt;安値!J245,安値!L245&lt;安値!M245,安値!L245&lt;安値!N245),7,""))</f>
        <v/>
      </c>
      <c r="H245" s="503" t="str">
        <f>IF(終値!A245="","",IF(AND(安値!M245&lt;安値!L245,安値!M245&lt;安値!K245,安値!M245&lt;安値!N245,安値!M245&lt;安値!O245),8,""))</f>
        <v/>
      </c>
      <c r="I245" s="503" t="str">
        <f>IF(終値!A245="","",IF(AND(安値!N245&lt;安値!M245,安値!N245&lt;安値!L245,安値!N245&lt;安値!O245,安値!N245&lt;安値!P245),9,""))</f>
        <v/>
      </c>
      <c r="J245" s="503" t="str">
        <f>IF(終値!A245="","",IF(AND(安値!O245&lt;安値!N245,安値!O245&lt;安値!M245,安値!O245&lt;安値!P245,安値!O245&lt;安値!Q245),10,""))</f>
        <v/>
      </c>
      <c r="K245" s="503" t="str">
        <f>IF(終値!A245="","",IF(AND(安値!P245&lt;安値!O245,安値!P245&lt;安値!N245,安値!P245&lt;安値!Q245,安値!P245&lt;安値!R245),11,""))</f>
        <v/>
      </c>
      <c r="L245" s="503" t="str">
        <f>IF(終値!A245="","",IF(AND(安値!Q245&lt;安値!P245,安値!Q245&lt;安値!O245,安値!Q245&lt;安値!R245,安値!Q245&lt;安値!S245),12,""))</f>
        <v/>
      </c>
      <c r="M245" s="503" t="str">
        <f>IF(終値!A245="","",IF(AND(安値!R245&lt;安値!Q245,安値!R245&lt;安値!P245,安値!R245&lt;安値!S245,安値!R245&lt;安値!T245),13,""))</f>
        <v/>
      </c>
      <c r="N245" s="503" t="str">
        <f>IF(終値!A245="","",IF(AND(安値!S245&lt;安値!R245,安値!S245&lt;安値!Q245,安値!S245&lt;安値!T245,安値!S245&lt;安値!U245),14,""))</f>
        <v/>
      </c>
      <c r="O245" s="503" t="str">
        <f>IF(終値!A245="","",IF(AND(安値!T245&lt;安値!S245,安値!T245&lt;安値!R245,安値!T245&lt;安値!U245,安値!T245&lt;安値!V245),15,""))</f>
        <v/>
      </c>
      <c r="P245" s="503" t="str">
        <f>IF(終値!A245="","",IF(AND(安値!U245&lt;安値!T245,安値!U245&lt;安値!S245,安値!U245&lt;安値!V245,安値!U245&lt;安値!W245),16,""))</f>
        <v/>
      </c>
      <c r="Q245" s="503" t="str">
        <f>IF(終値!A245="","",IF(AND(安値!V245&lt;安値!U245,安値!V245&lt;安値!T245,安値!V245&lt;安値!W245,安値!V245&lt;安値!X245),17,""))</f>
        <v/>
      </c>
      <c r="R245" s="503" t="str">
        <f>IF(終値!A245="","",IF(AND(安値!W245&lt;安値!V245,安値!W245&lt;安値!U245,安値!W245&lt;安値!X245,安値!W245&lt;安値!Y245),18,""))</f>
        <v/>
      </c>
      <c r="S245" s="503" t="str">
        <f>IF(終値!A245="","",IF(AND(安値!X245&lt;安値!W245,安値!X245&lt;安値!V245,安値!X245&lt;安値!Y245,安値!X245&lt;安値!Z245),19,""))</f>
        <v/>
      </c>
      <c r="T245" s="503" t="str">
        <f>IF(終値!A245="","",IF(AND(安値!Y245&lt;安値!X245,安値!Y245&lt;安値!W245,安値!Y245&lt;安値!Z245,安値!Y245&lt;安値!AA245),20,""))</f>
        <v/>
      </c>
      <c r="U245" s="503" t="str">
        <f>IF(終値!A245="","",IF(AND(安値!Z245&lt;安値!Y245,安値!Z245&lt;安値!X245,安値!Z245&lt;安値!AA245,安値!Z245&lt;安値!AB245),21,""))</f>
        <v/>
      </c>
      <c r="V245" s="503" t="str">
        <f>IF(終値!A245="","",IF(AND(安値!AA245&lt;安値!Z245,安値!AA245&lt;安値!Y245,安値!AA245&lt;安値!AB245,安値!AA245&lt;安値!AC245),22,""))</f>
        <v/>
      </c>
      <c r="W245" s="503" t="str">
        <f>IF(終値!A245="","",IF(AND(安値!AB245&lt;安値!AA245,安値!AB245&lt;安値!Z245,安値!AB245&lt;安値!AC245,安値!AB245&lt;安値!AD245),23,""))</f>
        <v/>
      </c>
      <c r="X245" s="503" t="str">
        <f>IF(終値!A245="","",IF(AND(安値!AC245&lt;安値!AB245,安値!AC245&lt;安値!AA245,安値!AC245&lt;安値!AD245,安値!AC245&lt;安値!AE245),24,""))</f>
        <v/>
      </c>
      <c r="Y245" s="503" t="str">
        <f>IF(終値!A245="","",IF(AND(安値!AD245&lt;安値!AC245,安値!AD245&lt;安値!AB245,安値!AD245&lt;安値!AE245,安値!AD245&lt;安値!AF245),25,""))</f>
        <v/>
      </c>
      <c r="Z245" s="503" t="str">
        <f>IF(終値!A245="","",IF(AND(安値!AE245&lt;安値!AD245,安値!AE245&lt;安値!AC245,安値!AE245&lt;安値!AF245,安値!AE245&lt;安値!AG245),26,""))</f>
        <v/>
      </c>
      <c r="AA245" s="503" t="str">
        <f>IF(終値!A245="","",IF(AND(安値!AF245&lt;安値!AE245,安値!AF245&lt;安値!AD245,安値!AF245&lt;安値!AG245,安値!AF245&lt;安値!AH245),27,""))</f>
        <v/>
      </c>
      <c r="AB245" s="503" t="str">
        <f>IF(終値!A245="","",IF(AND(安値!AG245&lt;安値!AF245,安値!AG245&lt;安値!AE245,安値!AG245&lt;安値!AH245,安値!AG245&lt;安値!AI245),28,""))</f>
        <v/>
      </c>
      <c r="AC245" s="503" t="str">
        <f>IF(終値!A245="","",IF(AND(高値!G245&gt;高値!F245,高値!G245&gt;高値!E245,高値!G245&gt;高値!H245,高値!G245&gt;高値!I245),2,""))</f>
        <v/>
      </c>
      <c r="AD245" s="503" t="str">
        <f>IF(終値!A245="","",IF(AND(高値!H245&gt;高値!G245,高値!H245&gt;高値!F245,高値!H245&gt;高値!I245,高値!H245&gt;高値!J245),3,""))</f>
        <v/>
      </c>
      <c r="AE245" s="503" t="str">
        <f>IF(終値!A245="","",IF(AND(高値!I245&gt;高値!H245,高値!I245&gt;高値!G245,高値!I245&gt;高値!J245,高値!I245&gt;高値!K245),4,""))</f>
        <v/>
      </c>
      <c r="AF245" s="503" t="str">
        <f>IF(終値!A245="","",IF(AND(高値!J245&gt;高値!I245,高値!J245&gt;高値!H245,高値!J245&gt;高値!K245,高値!J245&gt;高値!L245),5,""))</f>
        <v/>
      </c>
      <c r="AG245" s="503" t="str">
        <f>IF(終値!A245="","",IF(AND(高値!K245&gt;高値!J245,高値!K245&gt;高値!I245,高値!K245&gt;高値!L245,高値!K245&gt;高値!M245),6,""))</f>
        <v/>
      </c>
      <c r="AH245" s="503" t="str">
        <f>IF(終値!A245="","",IF(AND(高値!L245&gt;高値!K245,高値!L245&gt;高値!J245,高値!L245&gt;高値!M245,高値!L245&gt;高値!N245),7,""))</f>
        <v/>
      </c>
      <c r="AI245" s="503" t="str">
        <f>IF(終値!A245="","",IF(AND(高値!M245&gt;高値!L245,高値!M245&gt;高値!K245,高値!M245&gt;高値!N245,高値!M245&gt;高値!O245),8,""))</f>
        <v/>
      </c>
      <c r="AJ245" s="503" t="str">
        <f>IF(終値!A245="","",IF(AND(高値!N245&gt;高値!M245,高値!N245&gt;高値!L245,高値!N245&gt;高値!O245,高値!N245&gt;高値!P245),9,""))</f>
        <v/>
      </c>
      <c r="AK245" s="503" t="str">
        <f>IF(終値!A245="","",IF(AND(高値!O245&gt;高値!N245,高値!O245&gt;高値!M245,高値!O245&gt;高値!P245,高値!O245&gt;高値!Q245),10,""))</f>
        <v/>
      </c>
      <c r="AL245" s="503" t="str">
        <f>IF(終値!A245="","",IF(AND(高値!P245&gt;高値!O245,高値!P245&gt;高値!N245,高値!P245&gt;高値!Q245,高値!P245&gt;高値!R245),11,""))</f>
        <v/>
      </c>
      <c r="AM245" s="503" t="str">
        <f>IF(終値!A245="","",IF(AND(高値!Q245&gt;高値!P245,高値!Q245&gt;高値!O245,高値!Q245&gt;高値!R245,高値!Q245&gt;高値!S245),12,""))</f>
        <v/>
      </c>
      <c r="AN245" s="503" t="str">
        <f>IF(終値!A245="","",IF(AND(高値!R245&gt;高値!Q245,高値!R245&gt;高値!P245,高値!R245&gt;高値!S245,高値!R245&gt;高値!T245),13,""))</f>
        <v/>
      </c>
      <c r="AO245" s="503" t="str">
        <f>IF(終値!A245="","",IF(AND(高値!S245&gt;高値!R245,高値!S245&gt;高値!Q245,高値!S245&gt;高値!T245,高値!S245&gt;高値!U245),14,""))</f>
        <v/>
      </c>
      <c r="AP245" s="503" t="str">
        <f>IF(終値!A245="","",IF(AND(高値!T245&gt;高値!S245,高値!T245&gt;高値!R245,高値!T245&gt;高値!U245,高値!T245&gt;高値!V245),15,""))</f>
        <v/>
      </c>
      <c r="AQ245" s="503" t="str">
        <f>IF(終値!A245="","",IF(AND(高値!U245&gt;高値!T245,高値!U245&gt;高値!S245,高値!U245&gt;高値!V245,高値!U245&gt;高値!W245),16,""))</f>
        <v/>
      </c>
      <c r="AR245" s="503" t="str">
        <f>IF(終値!A245="","",IF(AND(高値!V245&gt;高値!U245,高値!V245&gt;高値!T245,高値!V245&gt;高値!W245,高値!V245&gt;高値!X245),17,""))</f>
        <v/>
      </c>
      <c r="AS245" s="503" t="str">
        <f>IF(終値!A245="","",IF(AND(高値!W245&gt;高値!V245,高値!W245&gt;高値!U245,高値!W245&gt;高値!X245,高値!W245&gt;高値!Y245),18,""))</f>
        <v/>
      </c>
      <c r="AT245" s="503" t="str">
        <f>IF(終値!A245="","",IF(AND(高値!X245&gt;高値!W245,高値!X245&gt;高値!V245,高値!X245&gt;高値!Y245,高値!X245&gt;高値!Z245),19,""))</f>
        <v/>
      </c>
      <c r="AU245" s="503" t="str">
        <f>IF(終値!A245="","",IF(AND(高値!Y245&gt;高値!X245,高値!Y245&gt;高値!W245,高値!Y245&gt;高値!Z245,高値!Y245&gt;高値!AA245),20,""))</f>
        <v/>
      </c>
      <c r="AV245" s="503" t="str">
        <f>IF(終値!A245="","",IF(AND(高値!Z245&gt;高値!Y245,高値!Z245&gt;高値!X245,高値!Z245&gt;高値!AA245,高値!Z245&gt;高値!AB245),21,""))</f>
        <v/>
      </c>
      <c r="AW245" s="503" t="str">
        <f>IF(終値!A245="","",IF(AND(高値!AA245&gt;高値!Z245,高値!AA245&gt;高値!Y245,高値!AA245&gt;高値!AB245,高値!AA245&gt;高値!AC245),22,""))</f>
        <v/>
      </c>
      <c r="AX245" s="503" t="str">
        <f>IF(終値!A245="","",IF(AND(高値!AB245&gt;高値!AA245,高値!AB245&gt;高値!Z245,高値!AB245&gt;高値!AC245,高値!AB245&gt;高値!AD245),23,""))</f>
        <v/>
      </c>
      <c r="AY245" s="503" t="str">
        <f>IF(終値!A245="","",IF(AND(高値!AC245&gt;高値!AB245,高値!AC245&gt;高値!AA245,高値!AC245&gt;高値!AD245,高値!AC245&gt;高値!AE245),24,""))</f>
        <v/>
      </c>
      <c r="AZ245" s="503" t="str">
        <f>IF(終値!A245="","",IF(AND(高値!AD245&gt;高値!AC245,高値!AD245&gt;高値!AB245,高値!AD245&gt;高値!AE245,高値!AD245&gt;高値!AF245),25,""))</f>
        <v/>
      </c>
      <c r="BA245" s="503" t="str">
        <f>IF(終値!A245="","",IF(AND(高値!AE245&gt;高値!AD245,高値!AE245&gt;高値!AC245,高値!AE245&gt;高値!AF245,高値!AE245&gt;高値!AG245),26,""))</f>
        <v/>
      </c>
      <c r="BB245" s="503" t="str">
        <f>IF(終値!A245="","",IF(AND(高値!AF245&gt;高値!AE245,高値!AF245&gt;高値!AD245,高値!AF245&gt;高値!AG245,高値!AF245&gt;高値!AH245),27,""))</f>
        <v/>
      </c>
      <c r="BC245" s="503" t="str">
        <f>IF(終値!A245="","",IF(AND(高値!AG245&gt;高値!AF245,高値!AG245&gt;高値!AE245,高値!AG245&gt;高値!AH245,高値!AG245&gt;高値!AI245),28,""))</f>
        <v/>
      </c>
      <c r="BD245" s="503">
        <f t="shared" si="18"/>
        <v>0</v>
      </c>
      <c r="BE245" s="503" t="str">
        <f t="shared" si="19"/>
        <v/>
      </c>
      <c r="BF245" s="503" t="str">
        <f t="shared" si="20"/>
        <v/>
      </c>
      <c r="BG245" s="503" t="str">
        <f>IF($BE245="","",INDEX(安値!$E245:$CZ245,1,$BE245+1))</f>
        <v/>
      </c>
      <c r="BH245" s="503" t="str">
        <f>IF($BF245="","",INDEX(安値!$E245:$CZ245,1,$BF245+1))</f>
        <v/>
      </c>
      <c r="BI245" s="503" t="str">
        <f>IF($BF245="","",MAX(INDEX(高値!$E245:$CZ245,1,$BE245+1):INDEX(高値!$E245:$CZ245,1,$BF245+1)))</f>
        <v/>
      </c>
      <c r="BJ245" s="503" t="str">
        <f>IF($BF245="","",AVERAGE(INDEX(終値!$E245:$CZ245,1,$BF245+1):INDEX(終値!$E245:$CZ245,1,$BF245+20))-2*STDEVP(INDEX(終値!$E245:$CZ245,1,$BF245+1):INDEX(終値!$E245:$CZ245,1,$BF245+20)))</f>
        <v/>
      </c>
      <c r="BK245" s="503" t="str">
        <f>IF($BE245="","",AVERAGE(INDEX(終値!$E245:$CZ245,1,$BE245+1):INDEX(終値!$E245:$CZ245,1,$BE245+20))-2*STDEVP(INDEX(終値!$E245:$CZ245,1,$BE245+1):INDEX(終値!$E245:$CZ245,1,$BE245+20)))</f>
        <v/>
      </c>
      <c r="BL245" s="503">
        <f t="shared" si="21"/>
        <v>0</v>
      </c>
      <c r="BM245" s="503" t="str">
        <f t="shared" si="22"/>
        <v/>
      </c>
      <c r="BN245" s="503" t="str">
        <f t="shared" si="23"/>
        <v/>
      </c>
      <c r="BO245" s="503" t="str">
        <f>IF($BM245="","",INDEX(高値!$E245:$CZ245,1,$BM245+1))</f>
        <v/>
      </c>
      <c r="BP245" s="503" t="str">
        <f>IF($BN245="","",INDEX(高値!$E245:$CZ245,1,$BN245+1))</f>
        <v/>
      </c>
      <c r="BQ245" s="503" t="str">
        <f>IF($BN245="","",MIN(INDEX(安値!$E245:$CZ245,1,$BM245+1):INDEX(安値!$E245:$CZ245,1,$BN245+1)))</f>
        <v/>
      </c>
      <c r="BR245" s="503" t="str">
        <f>IF($BN245="","",AVERAGE(INDEX(終値!$E245:$CZ245,1,$BN245+1):INDEX(終値!$E245:$CZ245,1,$BN245+20))+2*STDEVP(INDEX(終値!$E245:$CZ245,1,$BN245+1):INDEX(終値!$E245:$CZ245,1,$BN245+20)))</f>
        <v/>
      </c>
      <c r="BS245" s="503" t="str">
        <f>IF($BM245="","",AVERAGE(INDEX(終値!$E245:$CZ245,1,$BM245+1):INDEX(終値!$E245:$CZ245,1,$BM245+20))+2*STDEVP(INDEX(終値!$E245:$CZ245,1,$BM245+1):INDEX(終値!$E245:$CZ245,1,$BM245+20)))</f>
        <v/>
      </c>
      <c r="BT245" s="500"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v>
      </c>
    </row>
    <row r="246" spans="2:72">
      <c r="B246" s="503" t="str">
        <f>IF(終値!A246="","",IF(AND(安値!G246&lt;安値!F246,安値!G246&lt;安値!E246,安値!G246&lt;安値!H246,安値!G246&lt;安値!I246),2,""))</f>
        <v/>
      </c>
      <c r="C246" s="503" t="str">
        <f>IF(終値!A246="","",IF(AND(安値!H246&lt;安値!G246,安値!H246&lt;安値!F246,安値!H246&lt;安値!I246,安値!H246&lt;安値!J246),3,""))</f>
        <v/>
      </c>
      <c r="D246" s="503" t="str">
        <f>IF(終値!A246="","",IF(AND(安値!I246&lt;安値!H246,安値!I246&lt;安値!G246,安値!I246&lt;安値!J246,安値!I246&lt;安値!K246),4,""))</f>
        <v/>
      </c>
      <c r="E246" s="503" t="str">
        <f>IF(終値!A246="","",IF(AND(安値!J246&lt;安値!I246,安値!J246&lt;安値!H246,安値!J246&lt;安値!K246,安値!J246&lt;安値!L246),5,""))</f>
        <v/>
      </c>
      <c r="F246" s="503">
        <f>IF(終値!A246="","",IF(AND(安値!K246&lt;安値!J246,安値!K246&lt;安値!I246,安値!K246&lt;安値!L246,安値!K246&lt;安値!M246),6,""))</f>
        <v>6</v>
      </c>
      <c r="G246" s="503" t="str">
        <f>IF(終値!A246="","",IF(AND(安値!L246&lt;安値!K246,安値!L246&lt;安値!J246,安値!L246&lt;安値!M246,安値!L246&lt;安値!N246),7,""))</f>
        <v/>
      </c>
      <c r="H246" s="503" t="str">
        <f>IF(終値!A246="","",IF(AND(安値!M246&lt;安値!L246,安値!M246&lt;安値!K246,安値!M246&lt;安値!N246,安値!M246&lt;安値!O246),8,""))</f>
        <v/>
      </c>
      <c r="I246" s="503" t="str">
        <f>IF(終値!A246="","",IF(AND(安値!N246&lt;安値!M246,安値!N246&lt;安値!L246,安値!N246&lt;安値!O246,安値!N246&lt;安値!P246),9,""))</f>
        <v/>
      </c>
      <c r="J246" s="503" t="str">
        <f>IF(終値!A246="","",IF(AND(安値!O246&lt;安値!N246,安値!O246&lt;安値!M246,安値!O246&lt;安値!P246,安値!O246&lt;安値!Q246),10,""))</f>
        <v/>
      </c>
      <c r="K246" s="503" t="str">
        <f>IF(終値!A246="","",IF(AND(安値!P246&lt;安値!O246,安値!P246&lt;安値!N246,安値!P246&lt;安値!Q246,安値!P246&lt;安値!R246),11,""))</f>
        <v/>
      </c>
      <c r="L246" s="503" t="str">
        <f>IF(終値!A246="","",IF(AND(安値!Q246&lt;安値!P246,安値!Q246&lt;安値!O246,安値!Q246&lt;安値!R246,安値!Q246&lt;安値!S246),12,""))</f>
        <v/>
      </c>
      <c r="M246" s="503" t="str">
        <f>IF(終値!A246="","",IF(AND(安値!R246&lt;安値!Q246,安値!R246&lt;安値!P246,安値!R246&lt;安値!S246,安値!R246&lt;安値!T246),13,""))</f>
        <v/>
      </c>
      <c r="N246" s="503" t="str">
        <f>IF(終値!A246="","",IF(AND(安値!S246&lt;安値!R246,安値!S246&lt;安値!Q246,安値!S246&lt;安値!T246,安値!S246&lt;安値!U246),14,""))</f>
        <v/>
      </c>
      <c r="O246" s="503" t="str">
        <f>IF(終値!A246="","",IF(AND(安値!T246&lt;安値!S246,安値!T246&lt;安値!R246,安値!T246&lt;安値!U246,安値!T246&lt;安値!V246),15,""))</f>
        <v/>
      </c>
      <c r="P246" s="503" t="str">
        <f>IF(終値!A246="","",IF(AND(安値!U246&lt;安値!T246,安値!U246&lt;安値!S246,安値!U246&lt;安値!V246,安値!U246&lt;安値!W246),16,""))</f>
        <v/>
      </c>
      <c r="Q246" s="503" t="str">
        <f>IF(終値!A246="","",IF(AND(安値!V246&lt;安値!U246,安値!V246&lt;安値!T246,安値!V246&lt;安値!W246,安値!V246&lt;安値!X246),17,""))</f>
        <v/>
      </c>
      <c r="R246" s="503" t="str">
        <f>IF(終値!A246="","",IF(AND(安値!W246&lt;安値!V246,安値!W246&lt;安値!U246,安値!W246&lt;安値!X246,安値!W246&lt;安値!Y246),18,""))</f>
        <v/>
      </c>
      <c r="S246" s="503">
        <f>IF(終値!A246="","",IF(AND(安値!X246&lt;安値!W246,安値!X246&lt;安値!V246,安値!X246&lt;安値!Y246,安値!X246&lt;安値!Z246),19,""))</f>
        <v>19</v>
      </c>
      <c r="T246" s="503" t="str">
        <f>IF(終値!A246="","",IF(AND(安値!Y246&lt;安値!X246,安値!Y246&lt;安値!W246,安値!Y246&lt;安値!Z246,安値!Y246&lt;安値!AA246),20,""))</f>
        <v/>
      </c>
      <c r="U246" s="503" t="str">
        <f>IF(終値!A246="","",IF(AND(安値!Z246&lt;安値!Y246,安値!Z246&lt;安値!X246,安値!Z246&lt;安値!AA246,安値!Z246&lt;安値!AB246),21,""))</f>
        <v/>
      </c>
      <c r="V246" s="503" t="str">
        <f>IF(終値!A246="","",IF(AND(安値!AA246&lt;安値!Z246,安値!AA246&lt;安値!Y246,安値!AA246&lt;安値!AB246,安値!AA246&lt;安値!AC246),22,""))</f>
        <v/>
      </c>
      <c r="W246" s="503" t="str">
        <f>IF(終値!A246="","",IF(AND(安値!AB246&lt;安値!AA246,安値!AB246&lt;安値!Z246,安値!AB246&lt;安値!AC246,安値!AB246&lt;安値!AD246),23,""))</f>
        <v/>
      </c>
      <c r="X246" s="503" t="str">
        <f>IF(終値!A246="","",IF(AND(安値!AC246&lt;安値!AB246,安値!AC246&lt;安値!AA246,安値!AC246&lt;安値!AD246,安値!AC246&lt;安値!AE246),24,""))</f>
        <v/>
      </c>
      <c r="Y246" s="503" t="str">
        <f>IF(終値!A246="","",IF(AND(安値!AD246&lt;安値!AC246,安値!AD246&lt;安値!AB246,安値!AD246&lt;安値!AE246,安値!AD246&lt;安値!AF246),25,""))</f>
        <v/>
      </c>
      <c r="Z246" s="503" t="str">
        <f>IF(終値!A246="","",IF(AND(安値!AE246&lt;安値!AD246,安値!AE246&lt;安値!AC246,安値!AE246&lt;安値!AF246,安値!AE246&lt;安値!AG246),26,""))</f>
        <v/>
      </c>
      <c r="AA246" s="503" t="str">
        <f>IF(終値!A246="","",IF(AND(安値!AF246&lt;安値!AE246,安値!AF246&lt;安値!AD246,安値!AF246&lt;安値!AG246,安値!AF246&lt;安値!AH246),27,""))</f>
        <v/>
      </c>
      <c r="AB246" s="503" t="str">
        <f>IF(終値!A246="","",IF(AND(安値!AG246&lt;安値!AF246,安値!AG246&lt;安値!AE246,安値!AG246&lt;安値!AH246,安値!AG246&lt;安値!AI246),28,""))</f>
        <v/>
      </c>
      <c r="AC246" s="503" t="str">
        <f>IF(終値!A246="","",IF(AND(高値!G246&gt;高値!F246,高値!G246&gt;高値!E246,高値!G246&gt;高値!H246,高値!G246&gt;高値!I246),2,""))</f>
        <v/>
      </c>
      <c r="AD246" s="503" t="str">
        <f>IF(終値!A246="","",IF(AND(高値!H246&gt;高値!G246,高値!H246&gt;高値!F246,高値!H246&gt;高値!I246,高値!H246&gt;高値!J246),3,""))</f>
        <v/>
      </c>
      <c r="AE246" s="503" t="str">
        <f>IF(終値!A246="","",IF(AND(高値!I246&gt;高値!H246,高値!I246&gt;高値!G246,高値!I246&gt;高値!J246,高値!I246&gt;高値!K246),4,""))</f>
        <v/>
      </c>
      <c r="AF246" s="503" t="str">
        <f>IF(終値!A246="","",IF(AND(高値!J246&gt;高値!I246,高値!J246&gt;高値!H246,高値!J246&gt;高値!K246,高値!J246&gt;高値!L246),5,""))</f>
        <v/>
      </c>
      <c r="AG246" s="503" t="str">
        <f>IF(終値!A246="","",IF(AND(高値!K246&gt;高値!J246,高値!K246&gt;高値!I246,高値!K246&gt;高値!L246,高値!K246&gt;高値!M246),6,""))</f>
        <v/>
      </c>
      <c r="AH246" s="503" t="str">
        <f>IF(終値!A246="","",IF(AND(高値!L246&gt;高値!K246,高値!L246&gt;高値!J246,高値!L246&gt;高値!M246,高値!L246&gt;高値!N246),7,""))</f>
        <v/>
      </c>
      <c r="AI246" s="503" t="str">
        <f>IF(終値!A246="","",IF(AND(高値!M246&gt;高値!L246,高値!M246&gt;高値!K246,高値!M246&gt;高値!N246,高値!M246&gt;高値!O246),8,""))</f>
        <v/>
      </c>
      <c r="AJ246" s="503" t="str">
        <f>IF(終値!A246="","",IF(AND(高値!N246&gt;高値!M246,高値!N246&gt;高値!L246,高値!N246&gt;高値!O246,高値!N246&gt;高値!P246),9,""))</f>
        <v/>
      </c>
      <c r="AK246" s="503" t="str">
        <f>IF(終値!A246="","",IF(AND(高値!O246&gt;高値!N246,高値!O246&gt;高値!M246,高値!O246&gt;高値!P246,高値!O246&gt;高値!Q246),10,""))</f>
        <v/>
      </c>
      <c r="AL246" s="503" t="str">
        <f>IF(終値!A246="","",IF(AND(高値!P246&gt;高値!O246,高値!P246&gt;高値!N246,高値!P246&gt;高値!Q246,高値!P246&gt;高値!R246),11,""))</f>
        <v/>
      </c>
      <c r="AM246" s="503" t="str">
        <f>IF(終値!A246="","",IF(AND(高値!Q246&gt;高値!P246,高値!Q246&gt;高値!O246,高値!Q246&gt;高値!R246,高値!Q246&gt;高値!S246),12,""))</f>
        <v/>
      </c>
      <c r="AN246" s="503" t="str">
        <f>IF(終値!A246="","",IF(AND(高値!R246&gt;高値!Q246,高値!R246&gt;高値!P246,高値!R246&gt;高値!S246,高値!R246&gt;高値!T246),13,""))</f>
        <v/>
      </c>
      <c r="AO246" s="503" t="str">
        <f>IF(終値!A246="","",IF(AND(高値!S246&gt;高値!R246,高値!S246&gt;高値!Q246,高値!S246&gt;高値!T246,高値!S246&gt;高値!U246),14,""))</f>
        <v/>
      </c>
      <c r="AP246" s="503" t="str">
        <f>IF(終値!A246="","",IF(AND(高値!T246&gt;高値!S246,高値!T246&gt;高値!R246,高値!T246&gt;高値!U246,高値!T246&gt;高値!V246),15,""))</f>
        <v/>
      </c>
      <c r="AQ246" s="503" t="str">
        <f>IF(終値!A246="","",IF(AND(高値!U246&gt;高値!T246,高値!U246&gt;高値!S246,高値!U246&gt;高値!V246,高値!U246&gt;高値!W246),16,""))</f>
        <v/>
      </c>
      <c r="AR246" s="503">
        <f>IF(終値!A246="","",IF(AND(高値!V246&gt;高値!U246,高値!V246&gt;高値!T246,高値!V246&gt;高値!W246,高値!V246&gt;高値!X246),17,""))</f>
        <v>17</v>
      </c>
      <c r="AS246" s="503" t="str">
        <f>IF(終値!A246="","",IF(AND(高値!W246&gt;高値!V246,高値!W246&gt;高値!U246,高値!W246&gt;高値!X246,高値!W246&gt;高値!Y246),18,""))</f>
        <v/>
      </c>
      <c r="AT246" s="503" t="str">
        <f>IF(終値!A246="","",IF(AND(高値!X246&gt;高値!W246,高値!X246&gt;高値!V246,高値!X246&gt;高値!Y246,高値!X246&gt;高値!Z246),19,""))</f>
        <v/>
      </c>
      <c r="AU246" s="503" t="str">
        <f>IF(終値!A246="","",IF(AND(高値!Y246&gt;高値!X246,高値!Y246&gt;高値!W246,高値!Y246&gt;高値!Z246,高値!Y246&gt;高値!AA246),20,""))</f>
        <v/>
      </c>
      <c r="AV246" s="503" t="str">
        <f>IF(終値!A246="","",IF(AND(高値!Z246&gt;高値!Y246,高値!Z246&gt;高値!X246,高値!Z246&gt;高値!AA246,高値!Z246&gt;高値!AB246),21,""))</f>
        <v/>
      </c>
      <c r="AW246" s="503" t="str">
        <f>IF(終値!A246="","",IF(AND(高値!AA246&gt;高値!Z246,高値!AA246&gt;高値!Y246,高値!AA246&gt;高値!AB246,高値!AA246&gt;高値!AC246),22,""))</f>
        <v/>
      </c>
      <c r="AX246" s="503" t="str">
        <f>IF(終値!A246="","",IF(AND(高値!AB246&gt;高値!AA246,高値!AB246&gt;高値!Z246,高値!AB246&gt;高値!AC246,高値!AB246&gt;高値!AD246),23,""))</f>
        <v/>
      </c>
      <c r="AY246" s="503" t="str">
        <f>IF(終値!A246="","",IF(AND(高値!AC246&gt;高値!AB246,高値!AC246&gt;高値!AA246,高値!AC246&gt;高値!AD246,高値!AC246&gt;高値!AE246),24,""))</f>
        <v/>
      </c>
      <c r="AZ246" s="503" t="str">
        <f>IF(終値!A246="","",IF(AND(高値!AD246&gt;高値!AC246,高値!AD246&gt;高値!AB246,高値!AD246&gt;高値!AE246,高値!AD246&gt;高値!AF246),25,""))</f>
        <v/>
      </c>
      <c r="BA246" s="503" t="str">
        <f>IF(終値!A246="","",IF(AND(高値!AE246&gt;高値!AD246,高値!AE246&gt;高値!AC246,高値!AE246&gt;高値!AF246,高値!AE246&gt;高値!AG246),26,""))</f>
        <v/>
      </c>
      <c r="BB246" s="503" t="str">
        <f>IF(終値!A246="","",IF(AND(高値!AF246&gt;高値!AE246,高値!AF246&gt;高値!AD246,高値!AF246&gt;高値!AG246,高値!AF246&gt;高値!AH246),27,""))</f>
        <v/>
      </c>
      <c r="BC246" s="503" t="str">
        <f>IF(終値!A246="","",IF(AND(高値!AG246&gt;高値!AF246,高値!AG246&gt;高値!AE246,高値!AG246&gt;高値!AH246,高値!AG246&gt;高値!AI246),28,""))</f>
        <v/>
      </c>
      <c r="BD246" s="503">
        <f t="shared" si="18"/>
        <v>2</v>
      </c>
      <c r="BE246" s="503">
        <f t="shared" si="19"/>
        <v>6</v>
      </c>
      <c r="BF246" s="503">
        <f t="shared" si="20"/>
        <v>19</v>
      </c>
      <c r="BG246" s="503">
        <f>IF($BE246="","",INDEX(安値!$E246:$CZ246,1,$BE246+1))</f>
        <v>2130</v>
      </c>
      <c r="BH246" s="503">
        <f>IF($BF246="","",INDEX(安値!$E246:$CZ246,1,$BF246+1))</f>
        <v>2725</v>
      </c>
      <c r="BI246" s="503">
        <f>IF($BF246="","",MAX(INDEX(高値!$E246:$CZ246,1,$BE246+1):INDEX(高値!$E246:$CZ246,1,$BF246+1)))</f>
        <v>2949</v>
      </c>
      <c r="BJ246" s="503">
        <f>IF($BF246="","",AVERAGE(INDEX(終値!$E246:$CZ246,1,$BF246+1):INDEX(終値!$E246:$CZ246,1,$BF246+20))-2*STDEVP(INDEX(終値!$E246:$CZ246,1,$BF246+1):INDEX(終値!$E246:$CZ246,1,$BF246+20)))</f>
        <v>2726.8604569272002</v>
      </c>
      <c r="BK246" s="503">
        <f>IF($BE246="","",AVERAGE(INDEX(終値!$E246:$CZ246,1,$BE246+1):INDEX(終値!$E246:$CZ246,1,$BE246+20))-2*STDEVP(INDEX(終値!$E246:$CZ246,1,$BE246+1):INDEX(終値!$E246:$CZ246,1,$BE246+20)))</f>
        <v>2270.6674515233794</v>
      </c>
      <c r="BL246" s="503">
        <f t="shared" si="21"/>
        <v>1</v>
      </c>
      <c r="BM246" s="503" t="str">
        <f t="shared" si="22"/>
        <v/>
      </c>
      <c r="BN246" s="503" t="str">
        <f t="shared" si="23"/>
        <v/>
      </c>
      <c r="BO246" s="503" t="str">
        <f>IF($BM246="","",INDEX(高値!$E246:$CZ246,1,$BM246+1))</f>
        <v/>
      </c>
      <c r="BP246" s="503" t="str">
        <f>IF($BN246="","",INDEX(高値!$E246:$CZ246,1,$BN246+1))</f>
        <v/>
      </c>
      <c r="BQ246" s="503" t="str">
        <f>IF($BN246="","",MIN(INDEX(安値!$E246:$CZ246,1,$BM246+1):INDEX(安値!$E246:$CZ246,1,$BN246+1)))</f>
        <v/>
      </c>
      <c r="BR246" s="503" t="str">
        <f>IF($BN246="","",AVERAGE(INDEX(終値!$E246:$CZ246,1,$BN246+1):INDEX(終値!$E246:$CZ246,1,$BN246+20))+2*STDEVP(INDEX(終値!$E246:$CZ246,1,$BN246+1):INDEX(終値!$E246:$CZ246,1,$BN246+20)))</f>
        <v/>
      </c>
      <c r="BS246" s="503" t="str">
        <f>IF($BM246="","",AVERAGE(INDEX(終値!$E246:$CZ246,1,$BM246+1):INDEX(終値!$E246:$CZ246,1,$BM246+20))+2*STDEVP(INDEX(終値!$E246:$CZ246,1,$BM246+1):INDEX(終値!$E246:$CZ246,1,$BM246+20)))</f>
        <v/>
      </c>
      <c r="BT246" s="500"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3" t="str">
        <f>IF(終値!A247="","",IF(AND(安値!G247&lt;安値!F247,安値!G247&lt;安値!E247,安値!G247&lt;安値!H247,安値!G247&lt;安値!I247),2,""))</f>
        <v/>
      </c>
      <c r="C247" s="503" t="str">
        <f>IF(終値!A247="","",IF(AND(安値!H247&lt;安値!G247,安値!H247&lt;安値!F247,安値!H247&lt;安値!I247,安値!H247&lt;安値!J247),3,""))</f>
        <v/>
      </c>
      <c r="D247" s="503" t="str">
        <f>IF(終値!A247="","",IF(AND(安値!I247&lt;安値!H247,安値!I247&lt;安値!G247,安値!I247&lt;安値!J247,安値!I247&lt;安値!K247),4,""))</f>
        <v/>
      </c>
      <c r="E247" s="503" t="str">
        <f>IF(終値!A247="","",IF(AND(安値!J247&lt;安値!I247,安値!J247&lt;安値!H247,安値!J247&lt;安値!K247,安値!J247&lt;安値!L247),5,""))</f>
        <v/>
      </c>
      <c r="F247" s="503">
        <f>IF(終値!A247="","",IF(AND(安値!K247&lt;安値!J247,安値!K247&lt;安値!I247,安値!K247&lt;安値!L247,安値!K247&lt;安値!M247),6,""))</f>
        <v>6</v>
      </c>
      <c r="G247" s="503" t="str">
        <f>IF(終値!A247="","",IF(AND(安値!L247&lt;安値!K247,安値!L247&lt;安値!J247,安値!L247&lt;安値!M247,安値!L247&lt;安値!N247),7,""))</f>
        <v/>
      </c>
      <c r="H247" s="503" t="str">
        <f>IF(終値!A247="","",IF(AND(安値!M247&lt;安値!L247,安値!M247&lt;安値!K247,安値!M247&lt;安値!N247,安値!M247&lt;安値!O247),8,""))</f>
        <v/>
      </c>
      <c r="I247" s="503">
        <f>IF(終値!A247="","",IF(AND(安値!N247&lt;安値!M247,安値!N247&lt;安値!L247,安値!N247&lt;安値!O247,安値!N247&lt;安値!P247),9,""))</f>
        <v>9</v>
      </c>
      <c r="J247" s="503" t="str">
        <f>IF(終値!A247="","",IF(AND(安値!O247&lt;安値!N247,安値!O247&lt;安値!M247,安値!O247&lt;安値!P247,安値!O247&lt;安値!Q247),10,""))</f>
        <v/>
      </c>
      <c r="K247" s="503" t="str">
        <f>IF(終値!A247="","",IF(AND(安値!P247&lt;安値!O247,安値!P247&lt;安値!N247,安値!P247&lt;安値!Q247,安値!P247&lt;安値!R247),11,""))</f>
        <v/>
      </c>
      <c r="L247" s="503" t="str">
        <f>IF(終値!A247="","",IF(AND(安値!Q247&lt;安値!P247,安値!Q247&lt;安値!O247,安値!Q247&lt;安値!R247,安値!Q247&lt;安値!S247),12,""))</f>
        <v/>
      </c>
      <c r="M247" s="503">
        <f>IF(終値!A247="","",IF(AND(安値!R247&lt;安値!Q247,安値!R247&lt;安値!P247,安値!R247&lt;安値!S247,安値!R247&lt;安値!T247),13,""))</f>
        <v>13</v>
      </c>
      <c r="N247" s="503" t="str">
        <f>IF(終値!A247="","",IF(AND(安値!S247&lt;安値!R247,安値!S247&lt;安値!Q247,安値!S247&lt;安値!T247,安値!S247&lt;安値!U247),14,""))</f>
        <v/>
      </c>
      <c r="O247" s="503" t="str">
        <f>IF(終値!A247="","",IF(AND(安値!T247&lt;安値!S247,安値!T247&lt;安値!R247,安値!T247&lt;安値!U247,安値!T247&lt;安値!V247),15,""))</f>
        <v/>
      </c>
      <c r="P247" s="503">
        <f>IF(終値!A247="","",IF(AND(安値!U247&lt;安値!T247,安値!U247&lt;安値!S247,安値!U247&lt;安値!V247,安値!U247&lt;安値!W247),16,""))</f>
        <v>16</v>
      </c>
      <c r="Q247" s="503" t="str">
        <f>IF(終値!A247="","",IF(AND(安値!V247&lt;安値!U247,安値!V247&lt;安値!T247,安値!V247&lt;安値!W247,安値!V247&lt;安値!X247),17,""))</f>
        <v/>
      </c>
      <c r="R247" s="503" t="str">
        <f>IF(終値!A247="","",IF(AND(安値!W247&lt;安値!V247,安値!W247&lt;安値!U247,安値!W247&lt;安値!X247,安値!W247&lt;安値!Y247),18,""))</f>
        <v/>
      </c>
      <c r="S247" s="503" t="str">
        <f>IF(終値!A247="","",IF(AND(安値!X247&lt;安値!W247,安値!X247&lt;安値!V247,安値!X247&lt;安値!Y247,安値!X247&lt;安値!Z247),19,""))</f>
        <v/>
      </c>
      <c r="T247" s="503" t="str">
        <f>IF(終値!A247="","",IF(AND(安値!Y247&lt;安値!X247,安値!Y247&lt;安値!W247,安値!Y247&lt;安値!Z247,安値!Y247&lt;安値!AA247),20,""))</f>
        <v/>
      </c>
      <c r="U247" s="503" t="str">
        <f>IF(終値!A247="","",IF(AND(安値!Z247&lt;安値!Y247,安値!Z247&lt;安値!X247,安値!Z247&lt;安値!AA247,安値!Z247&lt;安値!AB247),21,""))</f>
        <v/>
      </c>
      <c r="V247" s="503" t="str">
        <f>IF(終値!A247="","",IF(AND(安値!AA247&lt;安値!Z247,安値!AA247&lt;安値!Y247,安値!AA247&lt;安値!AB247,安値!AA247&lt;安値!AC247),22,""))</f>
        <v/>
      </c>
      <c r="W247" s="503">
        <f>IF(終値!A247="","",IF(AND(安値!AB247&lt;安値!AA247,安値!AB247&lt;安値!Z247,安値!AB247&lt;安値!AC247,安値!AB247&lt;安値!AD247),23,""))</f>
        <v>23</v>
      </c>
      <c r="X247" s="503" t="str">
        <f>IF(終値!A247="","",IF(AND(安値!AC247&lt;安値!AB247,安値!AC247&lt;安値!AA247,安値!AC247&lt;安値!AD247,安値!AC247&lt;安値!AE247),24,""))</f>
        <v/>
      </c>
      <c r="Y247" s="503" t="str">
        <f>IF(終値!A247="","",IF(AND(安値!AD247&lt;安値!AC247,安値!AD247&lt;安値!AB247,安値!AD247&lt;安値!AE247,安値!AD247&lt;安値!AF247),25,""))</f>
        <v/>
      </c>
      <c r="Z247" s="503" t="str">
        <f>IF(終値!A247="","",IF(AND(安値!AE247&lt;安値!AD247,安値!AE247&lt;安値!AC247,安値!AE247&lt;安値!AF247,安値!AE247&lt;安値!AG247),26,""))</f>
        <v/>
      </c>
      <c r="AA247" s="503" t="str">
        <f>IF(終値!A247="","",IF(AND(安値!AF247&lt;安値!AE247,安値!AF247&lt;安値!AD247,安値!AF247&lt;安値!AG247,安値!AF247&lt;安値!AH247),27,""))</f>
        <v/>
      </c>
      <c r="AB247" s="503" t="str">
        <f>IF(終値!A247="","",IF(AND(安値!AG247&lt;安値!AF247,安値!AG247&lt;安値!AE247,安値!AG247&lt;安値!AH247,安値!AG247&lt;安値!AI247),28,""))</f>
        <v/>
      </c>
      <c r="AC247" s="503" t="str">
        <f>IF(終値!A247="","",IF(AND(高値!G247&gt;高値!F247,高値!G247&gt;高値!E247,高値!G247&gt;高値!H247,高値!G247&gt;高値!I247),2,""))</f>
        <v/>
      </c>
      <c r="AD247" s="503" t="str">
        <f>IF(終値!A247="","",IF(AND(高値!H247&gt;高値!G247,高値!H247&gt;高値!F247,高値!H247&gt;高値!I247,高値!H247&gt;高値!J247),3,""))</f>
        <v/>
      </c>
      <c r="AE247" s="503" t="str">
        <f>IF(終値!A247="","",IF(AND(高値!I247&gt;高値!H247,高値!I247&gt;高値!G247,高値!I247&gt;高値!J247,高値!I247&gt;高値!K247),4,""))</f>
        <v/>
      </c>
      <c r="AF247" s="503" t="str">
        <f>IF(終値!A247="","",IF(AND(高値!J247&gt;高値!I247,高値!J247&gt;高値!H247,高値!J247&gt;高値!K247,高値!J247&gt;高値!L247),5,""))</f>
        <v/>
      </c>
      <c r="AG247" s="503" t="str">
        <f>IF(終値!A247="","",IF(AND(高値!K247&gt;高値!J247,高値!K247&gt;高値!I247,高値!K247&gt;高値!L247,高値!K247&gt;高値!M247),6,""))</f>
        <v/>
      </c>
      <c r="AH247" s="503" t="str">
        <f>IF(終値!A247="","",IF(AND(高値!L247&gt;高値!K247,高値!L247&gt;高値!J247,高値!L247&gt;高値!M247,高値!L247&gt;高値!N247),7,""))</f>
        <v/>
      </c>
      <c r="AI247" s="503">
        <f>IF(終値!A247="","",IF(AND(高値!M247&gt;高値!L247,高値!M247&gt;高値!K247,高値!M247&gt;高値!N247,高値!M247&gt;高値!O247),8,""))</f>
        <v>8</v>
      </c>
      <c r="AJ247" s="503" t="str">
        <f>IF(終値!A247="","",IF(AND(高値!N247&gt;高値!M247,高値!N247&gt;高値!L247,高値!N247&gt;高値!O247,高値!N247&gt;高値!P247),9,""))</f>
        <v/>
      </c>
      <c r="AK247" s="503" t="str">
        <f>IF(終値!A247="","",IF(AND(高値!O247&gt;高値!N247,高値!O247&gt;高値!M247,高値!O247&gt;高値!P247,高値!O247&gt;高値!Q247),10,""))</f>
        <v/>
      </c>
      <c r="AL247" s="503" t="str">
        <f>IF(終値!A247="","",IF(AND(高値!P247&gt;高値!O247,高値!P247&gt;高値!N247,高値!P247&gt;高値!Q247,高値!P247&gt;高値!R247),11,""))</f>
        <v/>
      </c>
      <c r="AM247" s="503" t="str">
        <f>IF(終値!A247="","",IF(AND(高値!Q247&gt;高値!P247,高値!Q247&gt;高値!O247,高値!Q247&gt;高値!R247,高値!Q247&gt;高値!S247),12,""))</f>
        <v/>
      </c>
      <c r="AN247" s="503" t="str">
        <f>IF(終値!A247="","",IF(AND(高値!R247&gt;高値!Q247,高値!R247&gt;高値!P247,高値!R247&gt;高値!S247,高値!R247&gt;高値!T247),13,""))</f>
        <v/>
      </c>
      <c r="AO247" s="503">
        <f>IF(終値!A247="","",IF(AND(高値!S247&gt;高値!R247,高値!S247&gt;高値!Q247,高値!S247&gt;高値!T247,高値!S247&gt;高値!U247),14,""))</f>
        <v>14</v>
      </c>
      <c r="AP247" s="503" t="str">
        <f>IF(終値!A247="","",IF(AND(高値!T247&gt;高値!S247,高値!T247&gt;高値!R247,高値!T247&gt;高値!U247,高値!T247&gt;高値!V247),15,""))</f>
        <v/>
      </c>
      <c r="AQ247" s="503" t="str">
        <f>IF(終値!A247="","",IF(AND(高値!U247&gt;高値!T247,高値!U247&gt;高値!S247,高値!U247&gt;高値!V247,高値!U247&gt;高値!W247),16,""))</f>
        <v/>
      </c>
      <c r="AR247" s="503" t="str">
        <f>IF(終値!A247="","",IF(AND(高値!V247&gt;高値!U247,高値!V247&gt;高値!T247,高値!V247&gt;高値!W247,高値!V247&gt;高値!X247),17,""))</f>
        <v/>
      </c>
      <c r="AS247" s="503" t="str">
        <f>IF(終値!A247="","",IF(AND(高値!W247&gt;高値!V247,高値!W247&gt;高値!U247,高値!W247&gt;高値!X247,高値!W247&gt;高値!Y247),18,""))</f>
        <v/>
      </c>
      <c r="AT247" s="503" t="str">
        <f>IF(終値!A247="","",IF(AND(高値!X247&gt;高値!W247,高値!X247&gt;高値!V247,高値!X247&gt;高値!Y247,高値!X247&gt;高値!Z247),19,""))</f>
        <v/>
      </c>
      <c r="AU247" s="503" t="str">
        <f>IF(終値!A247="","",IF(AND(高値!Y247&gt;高値!X247,高値!Y247&gt;高値!W247,高値!Y247&gt;高値!Z247,高値!Y247&gt;高値!AA247),20,""))</f>
        <v/>
      </c>
      <c r="AV247" s="503">
        <f>IF(終値!A247="","",IF(AND(高値!Z247&gt;高値!Y247,高値!Z247&gt;高値!X247,高値!Z247&gt;高値!AA247,高値!Z247&gt;高値!AB247),21,""))</f>
        <v>21</v>
      </c>
      <c r="AW247" s="503" t="str">
        <f>IF(終値!A247="","",IF(AND(高値!AA247&gt;高値!Z247,高値!AA247&gt;高値!Y247,高値!AA247&gt;高値!AB247,高値!AA247&gt;高値!AC247),22,""))</f>
        <v/>
      </c>
      <c r="AX247" s="503" t="str">
        <f>IF(終値!A247="","",IF(AND(高値!AB247&gt;高値!AA247,高値!AB247&gt;高値!Z247,高値!AB247&gt;高値!AC247,高値!AB247&gt;高値!AD247),23,""))</f>
        <v/>
      </c>
      <c r="AY247" s="503" t="str">
        <f>IF(終値!A247="","",IF(AND(高値!AC247&gt;高値!AB247,高値!AC247&gt;高値!AA247,高値!AC247&gt;高値!AD247,高値!AC247&gt;高値!AE247),24,""))</f>
        <v/>
      </c>
      <c r="AZ247" s="503" t="str">
        <f>IF(終値!A247="","",IF(AND(高値!AD247&gt;高値!AC247,高値!AD247&gt;高値!AB247,高値!AD247&gt;高値!AE247,高値!AD247&gt;高値!AF247),25,""))</f>
        <v/>
      </c>
      <c r="BA247" s="503" t="str">
        <f>IF(終値!A247="","",IF(AND(高値!AE247&gt;高値!AD247,高値!AE247&gt;高値!AC247,高値!AE247&gt;高値!AF247,高値!AE247&gt;高値!AG247),26,""))</f>
        <v/>
      </c>
      <c r="BB247" s="503" t="str">
        <f>IF(終値!A247="","",IF(AND(高値!AF247&gt;高値!AE247,高値!AF247&gt;高値!AD247,高値!AF247&gt;高値!AG247,高値!AF247&gt;高値!AH247),27,""))</f>
        <v/>
      </c>
      <c r="BC247" s="503" t="str">
        <f>IF(終値!A247="","",IF(AND(高値!AG247&gt;高値!AF247,高値!AG247&gt;高値!AE247,高値!AG247&gt;高値!AH247,高値!AG247&gt;高値!AI247),28,""))</f>
        <v/>
      </c>
      <c r="BD247" s="503">
        <f t="shared" si="18"/>
        <v>5</v>
      </c>
      <c r="BE247" s="503">
        <f t="shared" si="19"/>
        <v>6</v>
      </c>
      <c r="BF247" s="503">
        <f t="shared" si="20"/>
        <v>9</v>
      </c>
      <c r="BG247" s="503">
        <f>IF($BE247="","",INDEX(安値!$E247:$CZ247,1,$BE247+1))</f>
        <v>2078</v>
      </c>
      <c r="BH247" s="503">
        <f>IF($BF247="","",INDEX(安値!$E247:$CZ247,1,$BF247+1))</f>
        <v>0</v>
      </c>
      <c r="BI247" s="503">
        <f>IF($BF247="","",MAX(INDEX(高値!$E247:$CZ247,1,$BE247+1):INDEX(高値!$E247:$CZ247,1,$BF247+1)))</f>
        <v>2215</v>
      </c>
      <c r="BJ247" s="503">
        <f>IF($BF247="","",AVERAGE(INDEX(終値!$E247:$CZ247,1,$BF247+1):INDEX(終値!$E247:$CZ247,1,$BF247+20))-2*STDEVP(INDEX(終値!$E247:$CZ247,1,$BF247+1):INDEX(終値!$E247:$CZ247,1,$BF247+20)))</f>
        <v>2073.3925387918707</v>
      </c>
      <c r="BK247" s="503">
        <f>IF($BE247="","",AVERAGE(INDEX(終値!$E247:$CZ247,1,$BE247+1):INDEX(終値!$E247:$CZ247,1,$BE247+20))-2*STDEVP(INDEX(終値!$E247:$CZ247,1,$BE247+1):INDEX(終値!$E247:$CZ247,1,$BE247+20)))</f>
        <v>2073.1727173821123</v>
      </c>
      <c r="BL247" s="503">
        <f t="shared" si="21"/>
        <v>3</v>
      </c>
      <c r="BM247" s="503">
        <f t="shared" si="22"/>
        <v>8</v>
      </c>
      <c r="BN247" s="503">
        <f t="shared" si="23"/>
        <v>14</v>
      </c>
      <c r="BO247" s="503">
        <f>IF($BM247="","",INDEX(高値!$E247:$CZ247,1,$BM247+1))</f>
        <v>2215</v>
      </c>
      <c r="BP247" s="503">
        <f>IF($BN247="","",INDEX(高値!$E247:$CZ247,1,$BN247+1))</f>
        <v>2200</v>
      </c>
      <c r="BQ247" s="503">
        <f>IF($BN247="","",MIN(INDEX(安値!$E247:$CZ247,1,$BM247+1):INDEX(安値!$E247:$CZ247,1,$BN247+1)))</f>
        <v>2055</v>
      </c>
      <c r="BR247" s="503">
        <f>IF($BN247="","",AVERAGE(INDEX(終値!$E247:$CZ247,1,$BN247+1):INDEX(終値!$E247:$CZ247,1,$BN247+20))+2*STDEVP(INDEX(終値!$E247:$CZ247,1,$BN247+1):INDEX(終値!$E247:$CZ247,1,$BN247+20)))</f>
        <v>2355.9301928129403</v>
      </c>
      <c r="BS247" s="503">
        <f>IF($BM247="","",AVERAGE(INDEX(終値!$E247:$CZ247,1,$BM247+1):INDEX(終値!$E247:$CZ247,1,$BM247+20))+2*STDEVP(INDEX(終値!$E247:$CZ247,1,$BM247+1):INDEX(終値!$E247:$CZ247,1,$BM247+20)))</f>
        <v>2226.0354302278174</v>
      </c>
      <c r="BT247" s="500"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v>
      </c>
    </row>
    <row r="248" spans="2:72">
      <c r="B248" s="503" t="str">
        <f>IF(終値!A248="","",IF(AND(安値!G248&lt;安値!F248,安値!G248&lt;安値!E248,安値!G248&lt;安値!H248,安値!G248&lt;安値!I248),2,""))</f>
        <v/>
      </c>
      <c r="C248" s="503">
        <f>IF(終値!A248="","",IF(AND(安値!H248&lt;安値!G248,安値!H248&lt;安値!F248,安値!H248&lt;安値!I248,安値!H248&lt;安値!J248),3,""))</f>
        <v>3</v>
      </c>
      <c r="D248" s="503" t="str">
        <f>IF(終値!A248="","",IF(AND(安値!I248&lt;安値!H248,安値!I248&lt;安値!G248,安値!I248&lt;安値!J248,安値!I248&lt;安値!K248),4,""))</f>
        <v/>
      </c>
      <c r="E248" s="503" t="str">
        <f>IF(終値!A248="","",IF(AND(安値!J248&lt;安値!I248,安値!J248&lt;安値!H248,安値!J248&lt;安値!K248,安値!J248&lt;安値!L248),5,""))</f>
        <v/>
      </c>
      <c r="F248" s="503" t="str">
        <f>IF(終値!A248="","",IF(AND(安値!K248&lt;安値!J248,安値!K248&lt;安値!I248,安値!K248&lt;安値!L248,安値!K248&lt;安値!M248),6,""))</f>
        <v/>
      </c>
      <c r="G248" s="503" t="str">
        <f>IF(終値!A248="","",IF(AND(安値!L248&lt;安値!K248,安値!L248&lt;安値!J248,安値!L248&lt;安値!M248,安値!L248&lt;安値!N248),7,""))</f>
        <v/>
      </c>
      <c r="H248" s="503" t="str">
        <f>IF(終値!A248="","",IF(AND(安値!M248&lt;安値!L248,安値!M248&lt;安値!K248,安値!M248&lt;安値!N248,安値!M248&lt;安値!O248),8,""))</f>
        <v/>
      </c>
      <c r="I248" s="503">
        <f>IF(終値!A248="","",IF(AND(安値!N248&lt;安値!M248,安値!N248&lt;安値!L248,安値!N248&lt;安値!O248,安値!N248&lt;安値!P248),9,""))</f>
        <v>9</v>
      </c>
      <c r="J248" s="503" t="str">
        <f>IF(終値!A248="","",IF(AND(安値!O248&lt;安値!N248,安値!O248&lt;安値!M248,安値!O248&lt;安値!P248,安値!O248&lt;安値!Q248),10,""))</f>
        <v/>
      </c>
      <c r="K248" s="503" t="str">
        <f>IF(終値!A248="","",IF(AND(安値!P248&lt;安値!O248,安値!P248&lt;安値!N248,安値!P248&lt;安値!Q248,安値!P248&lt;安値!R248),11,""))</f>
        <v/>
      </c>
      <c r="L248" s="503" t="str">
        <f>IF(終値!A248="","",IF(AND(安値!Q248&lt;安値!P248,安値!Q248&lt;安値!O248,安値!Q248&lt;安値!R248,安値!Q248&lt;安値!S248),12,""))</f>
        <v/>
      </c>
      <c r="M248" s="503" t="str">
        <f>IF(終値!A248="","",IF(AND(安値!R248&lt;安値!Q248,安値!R248&lt;安値!P248,安値!R248&lt;安値!S248,安値!R248&lt;安値!T248),13,""))</f>
        <v/>
      </c>
      <c r="N248" s="503" t="str">
        <f>IF(終値!A248="","",IF(AND(安値!S248&lt;安値!R248,安値!S248&lt;安値!Q248,安値!S248&lt;安値!T248,安値!S248&lt;安値!U248),14,""))</f>
        <v/>
      </c>
      <c r="O248" s="503" t="str">
        <f>IF(終値!A248="","",IF(AND(安値!T248&lt;安値!S248,安値!T248&lt;安値!R248,安値!T248&lt;安値!U248,安値!T248&lt;安値!V248),15,""))</f>
        <v/>
      </c>
      <c r="P248" s="503">
        <f>IF(終値!A248="","",IF(AND(安値!U248&lt;安値!T248,安値!U248&lt;安値!S248,安値!U248&lt;安値!V248,安値!U248&lt;安値!W248),16,""))</f>
        <v>16</v>
      </c>
      <c r="Q248" s="503" t="str">
        <f>IF(終値!A248="","",IF(AND(安値!V248&lt;安値!U248,安値!V248&lt;安値!T248,安値!V248&lt;安値!W248,安値!V248&lt;安値!X248),17,""))</f>
        <v/>
      </c>
      <c r="R248" s="503" t="str">
        <f>IF(終値!A248="","",IF(AND(安値!W248&lt;安値!V248,安値!W248&lt;安値!U248,安値!W248&lt;安値!X248,安値!W248&lt;安値!Y248),18,""))</f>
        <v/>
      </c>
      <c r="S248" s="503" t="str">
        <f>IF(終値!A248="","",IF(AND(安値!X248&lt;安値!W248,安値!X248&lt;安値!V248,安値!X248&lt;安値!Y248,安値!X248&lt;安値!Z248),19,""))</f>
        <v/>
      </c>
      <c r="T248" s="503" t="str">
        <f>IF(終値!A248="","",IF(AND(安値!Y248&lt;安値!X248,安値!Y248&lt;安値!W248,安値!Y248&lt;安値!Z248,安値!Y248&lt;安値!AA248),20,""))</f>
        <v/>
      </c>
      <c r="U248" s="503" t="str">
        <f>IF(終値!A248="","",IF(AND(安値!Z248&lt;安値!Y248,安値!Z248&lt;安値!X248,安値!Z248&lt;安値!AA248,安値!Z248&lt;安値!AB248),21,""))</f>
        <v/>
      </c>
      <c r="V248" s="503" t="str">
        <f>IF(終値!A248="","",IF(AND(安値!AA248&lt;安値!Z248,安値!AA248&lt;安値!Y248,安値!AA248&lt;安値!AB248,安値!AA248&lt;安値!AC248),22,""))</f>
        <v/>
      </c>
      <c r="W248" s="503" t="str">
        <f>IF(終値!A248="","",IF(AND(安値!AB248&lt;安値!AA248,安値!AB248&lt;安値!Z248,安値!AB248&lt;安値!AC248,安値!AB248&lt;安値!AD248),23,""))</f>
        <v/>
      </c>
      <c r="X248" s="503" t="str">
        <f>IF(終値!A248="","",IF(AND(安値!AC248&lt;安値!AB248,安値!AC248&lt;安値!AA248,安値!AC248&lt;安値!AD248,安値!AC248&lt;安値!AE248),24,""))</f>
        <v/>
      </c>
      <c r="Y248" s="503" t="str">
        <f>IF(終値!A248="","",IF(AND(安値!AD248&lt;安値!AC248,安値!AD248&lt;安値!AB248,安値!AD248&lt;安値!AE248,安値!AD248&lt;安値!AF248),25,""))</f>
        <v/>
      </c>
      <c r="Z248" s="503" t="str">
        <f>IF(終値!A248="","",IF(AND(安値!AE248&lt;安値!AD248,安値!AE248&lt;安値!AC248,安値!AE248&lt;安値!AF248,安値!AE248&lt;安値!AG248),26,""))</f>
        <v/>
      </c>
      <c r="AA248" s="503" t="str">
        <f>IF(終値!A248="","",IF(AND(安値!AF248&lt;安値!AE248,安値!AF248&lt;安値!AD248,安値!AF248&lt;安値!AG248,安値!AF248&lt;安値!AH248),27,""))</f>
        <v/>
      </c>
      <c r="AB248" s="503" t="str">
        <f>IF(終値!A248="","",IF(AND(安値!AG248&lt;安値!AF248,安値!AG248&lt;安値!AE248,安値!AG248&lt;安値!AH248,安値!AG248&lt;安値!AI248),28,""))</f>
        <v/>
      </c>
      <c r="AC248" s="503" t="str">
        <f>IF(終値!A248="","",IF(AND(高値!G248&gt;高値!F248,高値!G248&gt;高値!E248,高値!G248&gt;高値!H248,高値!G248&gt;高値!I248),2,""))</f>
        <v/>
      </c>
      <c r="AD248" s="503" t="str">
        <f>IF(終値!A248="","",IF(AND(高値!H248&gt;高値!G248,高値!H248&gt;高値!F248,高値!H248&gt;高値!I248,高値!H248&gt;高値!J248),3,""))</f>
        <v/>
      </c>
      <c r="AE248" s="503" t="str">
        <f>IF(終値!A248="","",IF(AND(高値!I248&gt;高値!H248,高値!I248&gt;高値!G248,高値!I248&gt;高値!J248,高値!I248&gt;高値!K248),4,""))</f>
        <v/>
      </c>
      <c r="AF248" s="503">
        <f>IF(終値!A248="","",IF(AND(高値!J248&gt;高値!I248,高値!J248&gt;高値!H248,高値!J248&gt;高値!K248,高値!J248&gt;高値!L248),5,""))</f>
        <v>5</v>
      </c>
      <c r="AG248" s="503" t="str">
        <f>IF(終値!A248="","",IF(AND(高値!K248&gt;高値!J248,高値!K248&gt;高値!I248,高値!K248&gt;高値!L248,高値!K248&gt;高値!M248),6,""))</f>
        <v/>
      </c>
      <c r="AH248" s="503" t="str">
        <f>IF(終値!A248="","",IF(AND(高値!L248&gt;高値!K248,高値!L248&gt;高値!J248,高値!L248&gt;高値!M248,高値!L248&gt;高値!N248),7,""))</f>
        <v/>
      </c>
      <c r="AI248" s="503" t="str">
        <f>IF(終値!A248="","",IF(AND(高値!M248&gt;高値!L248,高値!M248&gt;高値!K248,高値!M248&gt;高値!N248,高値!M248&gt;高値!O248),8,""))</f>
        <v/>
      </c>
      <c r="AJ248" s="503" t="str">
        <f>IF(終値!A248="","",IF(AND(高値!N248&gt;高値!M248,高値!N248&gt;高値!L248,高値!N248&gt;高値!O248,高値!N248&gt;高値!P248),9,""))</f>
        <v/>
      </c>
      <c r="AK248" s="503" t="str">
        <f>IF(終値!A248="","",IF(AND(高値!O248&gt;高値!N248,高値!O248&gt;高値!M248,高値!O248&gt;高値!P248,高値!O248&gt;高値!Q248),10,""))</f>
        <v/>
      </c>
      <c r="AL248" s="503" t="str">
        <f>IF(終値!A248="","",IF(AND(高値!P248&gt;高値!O248,高値!P248&gt;高値!N248,高値!P248&gt;高値!Q248,高値!P248&gt;高値!R248),11,""))</f>
        <v/>
      </c>
      <c r="AM248" s="503">
        <f>IF(終値!A248="","",IF(AND(高値!Q248&gt;高値!P248,高値!Q248&gt;高値!O248,高値!Q248&gt;高値!R248,高値!Q248&gt;高値!S248),12,""))</f>
        <v>12</v>
      </c>
      <c r="AN248" s="503" t="str">
        <f>IF(終値!A248="","",IF(AND(高値!R248&gt;高値!Q248,高値!R248&gt;高値!P248,高値!R248&gt;高値!S248,高値!R248&gt;高値!T248),13,""))</f>
        <v/>
      </c>
      <c r="AO248" s="503" t="str">
        <f>IF(終値!A248="","",IF(AND(高値!S248&gt;高値!R248,高値!S248&gt;高値!Q248,高値!S248&gt;高値!T248,高値!S248&gt;高値!U248),14,""))</f>
        <v/>
      </c>
      <c r="AP248" s="503">
        <f>IF(終値!A248="","",IF(AND(高値!T248&gt;高値!S248,高値!T248&gt;高値!R248,高値!T248&gt;高値!U248,高値!T248&gt;高値!V248),15,""))</f>
        <v>15</v>
      </c>
      <c r="AQ248" s="503" t="str">
        <f>IF(終値!A248="","",IF(AND(高値!U248&gt;高値!T248,高値!U248&gt;高値!S248,高値!U248&gt;高値!V248,高値!U248&gt;高値!W248),16,""))</f>
        <v/>
      </c>
      <c r="AR248" s="503" t="str">
        <f>IF(終値!A248="","",IF(AND(高値!V248&gt;高値!U248,高値!V248&gt;高値!T248,高値!V248&gt;高値!W248,高値!V248&gt;高値!X248),17,""))</f>
        <v/>
      </c>
      <c r="AS248" s="503">
        <f>IF(終値!A248="","",IF(AND(高値!W248&gt;高値!V248,高値!W248&gt;高値!U248,高値!W248&gt;高値!X248,高値!W248&gt;高値!Y248),18,""))</f>
        <v>18</v>
      </c>
      <c r="AT248" s="503" t="str">
        <f>IF(終値!A248="","",IF(AND(高値!X248&gt;高値!W248,高値!X248&gt;高値!V248,高値!X248&gt;高値!Y248,高値!X248&gt;高値!Z248),19,""))</f>
        <v/>
      </c>
      <c r="AU248" s="503" t="str">
        <f>IF(終値!A248="","",IF(AND(高値!Y248&gt;高値!X248,高値!Y248&gt;高値!W248,高値!Y248&gt;高値!Z248,高値!Y248&gt;高値!AA248),20,""))</f>
        <v/>
      </c>
      <c r="AV248" s="503" t="str">
        <f>IF(終値!A248="","",IF(AND(高値!Z248&gt;高値!Y248,高値!Z248&gt;高値!X248,高値!Z248&gt;高値!AA248,高値!Z248&gt;高値!AB248),21,""))</f>
        <v/>
      </c>
      <c r="AW248" s="503" t="str">
        <f>IF(終値!A248="","",IF(AND(高値!AA248&gt;高値!Z248,高値!AA248&gt;高値!Y248,高値!AA248&gt;高値!AB248,高値!AA248&gt;高値!AC248),22,""))</f>
        <v/>
      </c>
      <c r="AX248" s="503" t="str">
        <f>IF(終値!A248="","",IF(AND(高値!AB248&gt;高値!AA248,高値!AB248&gt;高値!Z248,高値!AB248&gt;高値!AC248,高値!AB248&gt;高値!AD248),23,""))</f>
        <v/>
      </c>
      <c r="AY248" s="503" t="str">
        <f>IF(終値!A248="","",IF(AND(高値!AC248&gt;高値!AB248,高値!AC248&gt;高値!AA248,高値!AC248&gt;高値!AD248,高値!AC248&gt;高値!AE248),24,""))</f>
        <v/>
      </c>
      <c r="AZ248" s="503" t="str">
        <f>IF(終値!A248="","",IF(AND(高値!AD248&gt;高値!AC248,高値!AD248&gt;高値!AB248,高値!AD248&gt;高値!AE248,高値!AD248&gt;高値!AF248),25,""))</f>
        <v/>
      </c>
      <c r="BA248" s="503" t="str">
        <f>IF(終値!A248="","",IF(AND(高値!AE248&gt;高値!AD248,高値!AE248&gt;高値!AC248,高値!AE248&gt;高値!AF248,高値!AE248&gt;高値!AG248),26,""))</f>
        <v/>
      </c>
      <c r="BB248" s="503" t="str">
        <f>IF(終値!A248="","",IF(AND(高値!AF248&gt;高値!AE248,高値!AF248&gt;高値!AD248,高値!AF248&gt;高値!AG248,高値!AF248&gt;高値!AH248),27,""))</f>
        <v/>
      </c>
      <c r="BC248" s="503">
        <f>IF(終値!A248="","",IF(AND(高値!AG248&gt;高値!AF248,高値!AG248&gt;高値!AE248,高値!AG248&gt;高値!AH248,高値!AG248&gt;高値!AI248),28,""))</f>
        <v>28</v>
      </c>
      <c r="BD248" s="503">
        <f t="shared" si="18"/>
        <v>3</v>
      </c>
      <c r="BE248" s="503">
        <f t="shared" si="19"/>
        <v>3</v>
      </c>
      <c r="BF248" s="503">
        <f t="shared" si="20"/>
        <v>9</v>
      </c>
      <c r="BG248" s="503">
        <f>IF($BE248="","",INDEX(安値!$E248:$CZ248,1,$BE248+1))</f>
        <v>12085</v>
      </c>
      <c r="BH248" s="503">
        <f>IF($BF248="","",INDEX(安値!$E248:$CZ248,1,$BF248+1))</f>
        <v>11905</v>
      </c>
      <c r="BI248" s="503">
        <f>IF($BF248="","",MAX(INDEX(高値!$E248:$CZ248,1,$BE248+1):INDEX(高値!$E248:$CZ248,1,$BF248+1)))</f>
        <v>13320</v>
      </c>
      <c r="BJ248" s="503">
        <f>IF($BF248="","",AVERAGE(INDEX(終値!$E248:$CZ248,1,$BF248+1):INDEX(終値!$E248:$CZ248,1,$BF248+20))-2*STDEVP(INDEX(終値!$E248:$CZ248,1,$BF248+1):INDEX(終値!$E248:$CZ248,1,$BF248+20)))</f>
        <v>10978.183086392139</v>
      </c>
      <c r="BK248" s="503">
        <f>IF($BE248="","",AVERAGE(INDEX(終値!$E248:$CZ248,1,$BE248+1):INDEX(終値!$E248:$CZ248,1,$BE248+20))-2*STDEVP(INDEX(終値!$E248:$CZ248,1,$BE248+1):INDEX(終値!$E248:$CZ248,1,$BE248+20)))</f>
        <v>11820.930821372393</v>
      </c>
      <c r="BL248" s="503">
        <f t="shared" si="21"/>
        <v>5</v>
      </c>
      <c r="BM248" s="503">
        <f t="shared" si="22"/>
        <v>5</v>
      </c>
      <c r="BN248" s="503">
        <f t="shared" si="23"/>
        <v>12</v>
      </c>
      <c r="BO248" s="503">
        <f>IF($BM248="","",INDEX(高値!$E248:$CZ248,1,$BM248+1))</f>
        <v>13320</v>
      </c>
      <c r="BP248" s="503">
        <f>IF($BN248="","",INDEX(高値!$E248:$CZ248,1,$BN248+1))</f>
        <v>12920</v>
      </c>
      <c r="BQ248" s="503">
        <f>IF($BN248="","",MIN(INDEX(安値!$E248:$CZ248,1,$BM248+1):INDEX(安値!$E248:$CZ248,1,$BN248+1)))</f>
        <v>11905</v>
      </c>
      <c r="BR248" s="503">
        <f>IF($BN248="","",AVERAGE(INDEX(終値!$E248:$CZ248,1,$BN248+1):INDEX(終値!$E248:$CZ248,1,$BN248+20))+2*STDEVP(INDEX(終値!$E248:$CZ248,1,$BN248+1):INDEX(終値!$E248:$CZ248,1,$BN248+20)))</f>
        <v>13133.706739689556</v>
      </c>
      <c r="BS248" s="503">
        <f>IF($BM248="","",AVERAGE(INDEX(終値!$E248:$CZ248,1,$BM248+1):INDEX(終値!$E248:$CZ248,1,$BM248+20))+2*STDEVP(INDEX(終値!$E248:$CZ248,1,$BM248+1):INDEX(終値!$E248:$CZ248,1,$BM248+20)))</f>
        <v>13192.241959912231</v>
      </c>
      <c r="BT248" s="500"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3" t="str">
        <f>IF(終値!A249="","",IF(AND(安値!G249&lt;安値!F249,安値!G249&lt;安値!E249,安値!G249&lt;安値!H249,安値!G249&lt;安値!I249),2,""))</f>
        <v/>
      </c>
      <c r="C249" s="503" t="str">
        <f>IF(終値!A249="","",IF(AND(安値!H249&lt;安値!G249,安値!H249&lt;安値!F249,安値!H249&lt;安値!I249,安値!H249&lt;安値!J249),3,""))</f>
        <v/>
      </c>
      <c r="D249" s="503" t="str">
        <f>IF(終値!A249="","",IF(AND(安値!I249&lt;安値!H249,安値!I249&lt;安値!G249,安値!I249&lt;安値!J249,安値!I249&lt;安値!K249),4,""))</f>
        <v/>
      </c>
      <c r="E249" s="503" t="str">
        <f>IF(終値!A249="","",IF(AND(安値!J249&lt;安値!I249,安値!J249&lt;安値!H249,安値!J249&lt;安値!K249,安値!J249&lt;安値!L249),5,""))</f>
        <v/>
      </c>
      <c r="F249" s="503">
        <f>IF(終値!A249="","",IF(AND(安値!K249&lt;安値!J249,安値!K249&lt;安値!I249,安値!K249&lt;安値!L249,安値!K249&lt;安値!M249),6,""))</f>
        <v>6</v>
      </c>
      <c r="G249" s="503" t="str">
        <f>IF(終値!A249="","",IF(AND(安値!L249&lt;安値!K249,安値!L249&lt;安値!J249,安値!L249&lt;安値!M249,安値!L249&lt;安値!N249),7,""))</f>
        <v/>
      </c>
      <c r="H249" s="503" t="str">
        <f>IF(終値!A249="","",IF(AND(安値!M249&lt;安値!L249,安値!M249&lt;安値!K249,安値!M249&lt;安値!N249,安値!M249&lt;安値!O249),8,""))</f>
        <v/>
      </c>
      <c r="I249" s="503" t="str">
        <f>IF(終値!A249="","",IF(AND(安値!N249&lt;安値!M249,安値!N249&lt;安値!L249,安値!N249&lt;安値!O249,安値!N249&lt;安値!P249),9,""))</f>
        <v/>
      </c>
      <c r="J249" s="503" t="str">
        <f>IF(終値!A249="","",IF(AND(安値!O249&lt;安値!N249,安値!O249&lt;安値!M249,安値!O249&lt;安値!P249,安値!O249&lt;安値!Q249),10,""))</f>
        <v/>
      </c>
      <c r="K249" s="503" t="str">
        <f>IF(終値!A249="","",IF(AND(安値!P249&lt;安値!O249,安値!P249&lt;安値!N249,安値!P249&lt;安値!Q249,安値!P249&lt;安値!R249),11,""))</f>
        <v/>
      </c>
      <c r="L249" s="503" t="str">
        <f>IF(終値!A249="","",IF(AND(安値!Q249&lt;安値!P249,安値!Q249&lt;安値!O249,安値!Q249&lt;安値!R249,安値!Q249&lt;安値!S249),12,""))</f>
        <v/>
      </c>
      <c r="M249" s="503">
        <f>IF(終値!A249="","",IF(AND(安値!R249&lt;安値!Q249,安値!R249&lt;安値!P249,安値!R249&lt;安値!S249,安値!R249&lt;安値!T249),13,""))</f>
        <v>13</v>
      </c>
      <c r="N249" s="503" t="str">
        <f>IF(終値!A249="","",IF(AND(安値!S249&lt;安値!R249,安値!S249&lt;安値!Q249,安値!S249&lt;安値!T249,安値!S249&lt;安値!U249),14,""))</f>
        <v/>
      </c>
      <c r="O249" s="503" t="str">
        <f>IF(終値!A249="","",IF(AND(安値!T249&lt;安値!S249,安値!T249&lt;安値!R249,安値!T249&lt;安値!U249,安値!T249&lt;安値!V249),15,""))</f>
        <v/>
      </c>
      <c r="P249" s="503" t="str">
        <f>IF(終値!A249="","",IF(AND(安値!U249&lt;安値!T249,安値!U249&lt;安値!S249,安値!U249&lt;安値!V249,安値!U249&lt;安値!W249),16,""))</f>
        <v/>
      </c>
      <c r="Q249" s="503" t="str">
        <f>IF(終値!A249="","",IF(AND(安値!V249&lt;安値!U249,安値!V249&lt;安値!T249,安値!V249&lt;安値!W249,安値!V249&lt;安値!X249),17,""))</f>
        <v/>
      </c>
      <c r="R249" s="503" t="str">
        <f>IF(終値!A249="","",IF(AND(安値!W249&lt;安値!V249,安値!W249&lt;安値!U249,安値!W249&lt;安値!X249,安値!W249&lt;安値!Y249),18,""))</f>
        <v/>
      </c>
      <c r="S249" s="503">
        <f>IF(終値!A249="","",IF(AND(安値!X249&lt;安値!W249,安値!X249&lt;安値!V249,安値!X249&lt;安値!Y249,安値!X249&lt;安値!Z249),19,""))</f>
        <v>19</v>
      </c>
      <c r="T249" s="503" t="str">
        <f>IF(終値!A249="","",IF(AND(安値!Y249&lt;安値!X249,安値!Y249&lt;安値!W249,安値!Y249&lt;安値!Z249,安値!Y249&lt;安値!AA249),20,""))</f>
        <v/>
      </c>
      <c r="U249" s="503" t="str">
        <f>IF(終値!A249="","",IF(AND(安値!Z249&lt;安値!Y249,安値!Z249&lt;安値!X249,安値!Z249&lt;安値!AA249,安値!Z249&lt;安値!AB249),21,""))</f>
        <v/>
      </c>
      <c r="V249" s="503">
        <f>IF(終値!A249="","",IF(AND(安値!AA249&lt;安値!Z249,安値!AA249&lt;安値!Y249,安値!AA249&lt;安値!AB249,安値!AA249&lt;安値!AC249),22,""))</f>
        <v>22</v>
      </c>
      <c r="W249" s="503" t="str">
        <f>IF(終値!A249="","",IF(AND(安値!AB249&lt;安値!AA249,安値!AB249&lt;安値!Z249,安値!AB249&lt;安値!AC249,安値!AB249&lt;安値!AD249),23,""))</f>
        <v/>
      </c>
      <c r="X249" s="503" t="str">
        <f>IF(終値!A249="","",IF(AND(安値!AC249&lt;安値!AB249,安値!AC249&lt;安値!AA249,安値!AC249&lt;安値!AD249,安値!AC249&lt;安値!AE249),24,""))</f>
        <v/>
      </c>
      <c r="Y249" s="503" t="str">
        <f>IF(終値!A249="","",IF(AND(安値!AD249&lt;安値!AC249,安値!AD249&lt;安値!AB249,安値!AD249&lt;安値!AE249,安値!AD249&lt;安値!AF249),25,""))</f>
        <v/>
      </c>
      <c r="Z249" s="503">
        <f>IF(終値!A249="","",IF(AND(安値!AE249&lt;安値!AD249,安値!AE249&lt;安値!AC249,安値!AE249&lt;安値!AF249,安値!AE249&lt;安値!AG249),26,""))</f>
        <v>26</v>
      </c>
      <c r="AA249" s="503" t="str">
        <f>IF(終値!A249="","",IF(AND(安値!AF249&lt;安値!AE249,安値!AF249&lt;安値!AD249,安値!AF249&lt;安値!AG249,安値!AF249&lt;安値!AH249),27,""))</f>
        <v/>
      </c>
      <c r="AB249" s="503" t="str">
        <f>IF(終値!A249="","",IF(AND(安値!AG249&lt;安値!AF249,安値!AG249&lt;安値!AE249,安値!AG249&lt;安値!AH249,安値!AG249&lt;安値!AI249),28,""))</f>
        <v/>
      </c>
      <c r="AC249" s="503" t="str">
        <f>IF(終値!A249="","",IF(AND(高値!G249&gt;高値!F249,高値!G249&gt;高値!E249,高値!G249&gt;高値!H249,高値!G249&gt;高値!I249),2,""))</f>
        <v/>
      </c>
      <c r="AD249" s="503" t="str">
        <f>IF(終値!A249="","",IF(AND(高値!H249&gt;高値!G249,高値!H249&gt;高値!F249,高値!H249&gt;高値!I249,高値!H249&gt;高値!J249),3,""))</f>
        <v/>
      </c>
      <c r="AE249" s="503" t="str">
        <f>IF(終値!A249="","",IF(AND(高値!I249&gt;高値!H249,高値!I249&gt;高値!G249,高値!I249&gt;高値!J249,高値!I249&gt;高値!K249),4,""))</f>
        <v/>
      </c>
      <c r="AF249" s="503" t="str">
        <f>IF(終値!A249="","",IF(AND(高値!J249&gt;高値!I249,高値!J249&gt;高値!H249,高値!J249&gt;高値!K249,高値!J249&gt;高値!L249),5,""))</f>
        <v/>
      </c>
      <c r="AG249" s="503" t="str">
        <f>IF(終値!A249="","",IF(AND(高値!K249&gt;高値!J249,高値!K249&gt;高値!I249,高値!K249&gt;高値!L249,高値!K249&gt;高値!M249),6,""))</f>
        <v/>
      </c>
      <c r="AH249" s="503" t="str">
        <f>IF(終値!A249="","",IF(AND(高値!L249&gt;高値!K249,高値!L249&gt;高値!J249,高値!L249&gt;高値!M249,高値!L249&gt;高値!N249),7,""))</f>
        <v/>
      </c>
      <c r="AI249" s="503" t="str">
        <f>IF(終値!A249="","",IF(AND(高値!M249&gt;高値!L249,高値!M249&gt;高値!K249,高値!M249&gt;高値!N249,高値!M249&gt;高値!O249),8,""))</f>
        <v/>
      </c>
      <c r="AJ249" s="503" t="str">
        <f>IF(終値!A249="","",IF(AND(高値!N249&gt;高値!M249,高値!N249&gt;高値!L249,高値!N249&gt;高値!O249,高値!N249&gt;高値!P249),9,""))</f>
        <v/>
      </c>
      <c r="AK249" s="503" t="str">
        <f>IF(終値!A249="","",IF(AND(高値!O249&gt;高値!N249,高値!O249&gt;高値!M249,高値!O249&gt;高値!P249,高値!O249&gt;高値!Q249),10,""))</f>
        <v/>
      </c>
      <c r="AL249" s="503">
        <f>IF(終値!A249="","",IF(AND(高値!P249&gt;高値!O249,高値!P249&gt;高値!N249,高値!P249&gt;高値!Q249,高値!P249&gt;高値!R249),11,""))</f>
        <v>11</v>
      </c>
      <c r="AM249" s="503" t="str">
        <f>IF(終値!A249="","",IF(AND(高値!Q249&gt;高値!P249,高値!Q249&gt;高値!O249,高値!Q249&gt;高値!R249,高値!Q249&gt;高値!S249),12,""))</f>
        <v/>
      </c>
      <c r="AN249" s="503" t="str">
        <f>IF(終値!A249="","",IF(AND(高値!R249&gt;高値!Q249,高値!R249&gt;高値!P249,高値!R249&gt;高値!S249,高値!R249&gt;高値!T249),13,""))</f>
        <v/>
      </c>
      <c r="AO249" s="503">
        <f>IF(終値!A249="","",IF(AND(高値!S249&gt;高値!R249,高値!S249&gt;高値!Q249,高値!S249&gt;高値!T249,高値!S249&gt;高値!U249),14,""))</f>
        <v>14</v>
      </c>
      <c r="AP249" s="503" t="str">
        <f>IF(終値!A249="","",IF(AND(高値!T249&gt;高値!S249,高値!T249&gt;高値!R249,高値!T249&gt;高値!U249,高値!T249&gt;高値!V249),15,""))</f>
        <v/>
      </c>
      <c r="AQ249" s="503" t="str">
        <f>IF(終値!A249="","",IF(AND(高値!U249&gt;高値!T249,高値!U249&gt;高値!S249,高値!U249&gt;高値!V249,高値!U249&gt;高値!W249),16,""))</f>
        <v/>
      </c>
      <c r="AR249" s="503" t="str">
        <f>IF(終値!A249="","",IF(AND(高値!V249&gt;高値!U249,高値!V249&gt;高値!T249,高値!V249&gt;高値!W249,高値!V249&gt;高値!X249),17,""))</f>
        <v/>
      </c>
      <c r="AS249" s="503" t="str">
        <f>IF(終値!A249="","",IF(AND(高値!W249&gt;高値!V249,高値!W249&gt;高値!U249,高値!W249&gt;高値!X249,高値!W249&gt;高値!Y249),18,""))</f>
        <v/>
      </c>
      <c r="AT249" s="503" t="str">
        <f>IF(終値!A249="","",IF(AND(高値!X249&gt;高値!W249,高値!X249&gt;高値!V249,高値!X249&gt;高値!Y249,高値!X249&gt;高値!Z249),19,""))</f>
        <v/>
      </c>
      <c r="AU249" s="503">
        <f>IF(終値!A249="","",IF(AND(高値!Y249&gt;高値!X249,高値!Y249&gt;高値!W249,高値!Y249&gt;高値!Z249,高値!Y249&gt;高値!AA249),20,""))</f>
        <v>20</v>
      </c>
      <c r="AV249" s="503" t="str">
        <f>IF(終値!A249="","",IF(AND(高値!Z249&gt;高値!Y249,高値!Z249&gt;高値!X249,高値!Z249&gt;高値!AA249,高値!Z249&gt;高値!AB249),21,""))</f>
        <v/>
      </c>
      <c r="AW249" s="503" t="str">
        <f>IF(終値!A249="","",IF(AND(高値!AA249&gt;高値!Z249,高値!AA249&gt;高値!Y249,高値!AA249&gt;高値!AB249,高値!AA249&gt;高値!AC249),22,""))</f>
        <v/>
      </c>
      <c r="AX249" s="503" t="str">
        <f>IF(終値!A249="","",IF(AND(高値!AB249&gt;高値!AA249,高値!AB249&gt;高値!Z249,高値!AB249&gt;高値!AC249,高値!AB249&gt;高値!AD249),23,""))</f>
        <v/>
      </c>
      <c r="AY249" s="503">
        <f>IF(終値!A249="","",IF(AND(高値!AC249&gt;高値!AB249,高値!AC249&gt;高値!AA249,高値!AC249&gt;高値!AD249,高値!AC249&gt;高値!AE249),24,""))</f>
        <v>24</v>
      </c>
      <c r="AZ249" s="503" t="str">
        <f>IF(終値!A249="","",IF(AND(高値!AD249&gt;高値!AC249,高値!AD249&gt;高値!AB249,高値!AD249&gt;高値!AE249,高値!AD249&gt;高値!AF249),25,""))</f>
        <v/>
      </c>
      <c r="BA249" s="503" t="str">
        <f>IF(終値!A249="","",IF(AND(高値!AE249&gt;高値!AD249,高値!AE249&gt;高値!AC249,高値!AE249&gt;高値!AF249,高値!AE249&gt;高値!AG249),26,""))</f>
        <v/>
      </c>
      <c r="BB249" s="503">
        <f>IF(終値!A249="","",IF(AND(高値!AF249&gt;高値!AE249,高値!AF249&gt;高値!AD249,高値!AF249&gt;高値!AG249,高値!AF249&gt;高値!AH249),27,""))</f>
        <v>27</v>
      </c>
      <c r="BC249" s="503" t="str">
        <f>IF(終値!A249="","",IF(AND(高値!AG249&gt;高値!AF249,高値!AG249&gt;高値!AE249,高値!AG249&gt;高値!AH249,高値!AG249&gt;高値!AI249),28,""))</f>
        <v/>
      </c>
      <c r="BD249" s="503">
        <f t="shared" si="18"/>
        <v>5</v>
      </c>
      <c r="BE249" s="503">
        <f t="shared" si="19"/>
        <v>6</v>
      </c>
      <c r="BF249" s="503">
        <f t="shared" si="20"/>
        <v>13</v>
      </c>
      <c r="BG249" s="503">
        <f>IF($BE249="","",INDEX(安値!$E249:$CZ249,1,$BE249+1))</f>
        <v>4708</v>
      </c>
      <c r="BH249" s="503">
        <f>IF($BF249="","",INDEX(安値!$E249:$CZ249,1,$BF249+1))</f>
        <v>5210</v>
      </c>
      <c r="BI249" s="503">
        <f>IF($BF249="","",MAX(INDEX(高値!$E249:$CZ249,1,$BE249+1):INDEX(高値!$E249:$CZ249,1,$BF249+1)))</f>
        <v>5854</v>
      </c>
      <c r="BJ249" s="503">
        <f>IF($BF249="","",AVERAGE(INDEX(終値!$E249:$CZ249,1,$BF249+1):INDEX(終値!$E249:$CZ249,1,$BF249+20))-2*STDEVP(INDEX(終値!$E249:$CZ249,1,$BF249+1):INDEX(終値!$E249:$CZ249,1,$BF249+20)))</f>
        <v>5544.1190959837659</v>
      </c>
      <c r="BK249" s="503">
        <f>IF($BE249="","",AVERAGE(INDEX(終値!$E249:$CZ249,1,$BE249+1):INDEX(終値!$E249:$CZ249,1,$BE249+20))-2*STDEVP(INDEX(終値!$E249:$CZ249,1,$BE249+1):INDEX(終値!$E249:$CZ249,1,$BE249+20)))</f>
        <v>5082.6294019653351</v>
      </c>
      <c r="BL249" s="503">
        <f t="shared" si="21"/>
        <v>5</v>
      </c>
      <c r="BM249" s="503">
        <f t="shared" si="22"/>
        <v>11</v>
      </c>
      <c r="BN249" s="503">
        <f t="shared" si="23"/>
        <v>14</v>
      </c>
      <c r="BO249" s="503">
        <f>IF($BM249="","",INDEX(高値!$E249:$CZ249,1,$BM249+1))</f>
        <v>5854</v>
      </c>
      <c r="BP249" s="503">
        <f>IF($BN249="","",INDEX(高値!$E249:$CZ249,1,$BN249+1))</f>
        <v>6288</v>
      </c>
      <c r="BQ249" s="503">
        <f>IF($BN249="","",MIN(INDEX(安値!$E249:$CZ249,1,$BM249+1):INDEX(安値!$E249:$CZ249,1,$BN249+1)))</f>
        <v>5210</v>
      </c>
      <c r="BR249" s="503">
        <f>IF($BN249="","",AVERAGE(INDEX(終値!$E249:$CZ249,1,$BN249+1):INDEX(終値!$E249:$CZ249,1,$BN249+20))+2*STDEVP(INDEX(終値!$E249:$CZ249,1,$BN249+1):INDEX(終値!$E249:$CZ249,1,$BN249+20)))</f>
        <v>6739.0998571428381</v>
      </c>
      <c r="BS249" s="503">
        <f>IF($BM249="","",AVERAGE(INDEX(終値!$E249:$CZ249,1,$BM249+1):INDEX(終値!$E249:$CZ249,1,$BM249+20))+2*STDEVP(INDEX(終値!$E249:$CZ249,1,$BM249+1):INDEX(終値!$E249:$CZ249,1,$BM249+20)))</f>
        <v>6591.9252941766745</v>
      </c>
      <c r="BT249" s="500"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3" t="str">
        <f>IF(終値!A250="","",IF(AND(安値!G250&lt;安値!F250,安値!G250&lt;安値!E250,安値!G250&lt;安値!H250,安値!G250&lt;安値!I250),2,""))</f>
        <v/>
      </c>
      <c r="C250" s="503">
        <f>IF(終値!A250="","",IF(AND(安値!H250&lt;安値!G250,安値!H250&lt;安値!F250,安値!H250&lt;安値!I250,安値!H250&lt;安値!J250),3,""))</f>
        <v>3</v>
      </c>
      <c r="D250" s="503" t="str">
        <f>IF(終値!A250="","",IF(AND(安値!I250&lt;安値!H250,安値!I250&lt;安値!G250,安値!I250&lt;安値!J250,安値!I250&lt;安値!K250),4,""))</f>
        <v/>
      </c>
      <c r="E250" s="503" t="str">
        <f>IF(終値!A250="","",IF(AND(安値!J250&lt;安値!I250,安値!J250&lt;安値!H250,安値!J250&lt;安値!K250,安値!J250&lt;安値!L250),5,""))</f>
        <v/>
      </c>
      <c r="F250" s="503">
        <f>IF(終値!A250="","",IF(AND(安値!K250&lt;安値!J250,安値!K250&lt;安値!I250,安値!K250&lt;安値!L250,安値!K250&lt;安値!M250),6,""))</f>
        <v>6</v>
      </c>
      <c r="G250" s="503" t="str">
        <f>IF(終値!A250="","",IF(AND(安値!L250&lt;安値!K250,安値!L250&lt;安値!J250,安値!L250&lt;安値!M250,安値!L250&lt;安値!N250),7,""))</f>
        <v/>
      </c>
      <c r="H250" s="503" t="str">
        <f>IF(終値!A250="","",IF(AND(安値!M250&lt;安値!L250,安値!M250&lt;安値!K250,安値!M250&lt;安値!N250,安値!M250&lt;安値!O250),8,""))</f>
        <v/>
      </c>
      <c r="I250" s="503">
        <f>IF(終値!A250="","",IF(AND(安値!N250&lt;安値!M250,安値!N250&lt;安値!L250,安値!N250&lt;安値!O250,安値!N250&lt;安値!P250),9,""))</f>
        <v>9</v>
      </c>
      <c r="J250" s="503" t="str">
        <f>IF(終値!A250="","",IF(AND(安値!O250&lt;安値!N250,安値!O250&lt;安値!M250,安値!O250&lt;安値!P250,安値!O250&lt;安値!Q250),10,""))</f>
        <v/>
      </c>
      <c r="K250" s="503" t="str">
        <f>IF(終値!A250="","",IF(AND(安値!P250&lt;安値!O250,安値!P250&lt;安値!N250,安値!P250&lt;安値!Q250,安値!P250&lt;安値!R250),11,""))</f>
        <v/>
      </c>
      <c r="L250" s="503" t="str">
        <f>IF(終値!A250="","",IF(AND(安値!Q250&lt;安値!P250,安値!Q250&lt;安値!O250,安値!Q250&lt;安値!R250,安値!Q250&lt;安値!S250),12,""))</f>
        <v/>
      </c>
      <c r="M250" s="503">
        <f>IF(終値!A250="","",IF(AND(安値!R250&lt;安値!Q250,安値!R250&lt;安値!P250,安値!R250&lt;安値!S250,安値!R250&lt;安値!T250),13,""))</f>
        <v>13</v>
      </c>
      <c r="N250" s="503" t="str">
        <f>IF(終値!A250="","",IF(AND(安値!S250&lt;安値!R250,安値!S250&lt;安値!Q250,安値!S250&lt;安値!T250,安値!S250&lt;安値!U250),14,""))</f>
        <v/>
      </c>
      <c r="O250" s="503" t="str">
        <f>IF(終値!A250="","",IF(AND(安値!T250&lt;安値!S250,安値!T250&lt;安値!R250,安値!T250&lt;安値!U250,安値!T250&lt;安値!V250),15,""))</f>
        <v/>
      </c>
      <c r="P250" s="503" t="str">
        <f>IF(終値!A250="","",IF(AND(安値!U250&lt;安値!T250,安値!U250&lt;安値!S250,安値!U250&lt;安値!V250,安値!U250&lt;安値!W250),16,""))</f>
        <v/>
      </c>
      <c r="Q250" s="503" t="str">
        <f>IF(終値!A250="","",IF(AND(安値!V250&lt;安値!U250,安値!V250&lt;安値!T250,安値!V250&lt;安値!W250,安値!V250&lt;安値!X250),17,""))</f>
        <v/>
      </c>
      <c r="R250" s="503">
        <f>IF(終値!A250="","",IF(AND(安値!W250&lt;安値!V250,安値!W250&lt;安値!U250,安値!W250&lt;安値!X250,安値!W250&lt;安値!Y250),18,""))</f>
        <v>18</v>
      </c>
      <c r="S250" s="503" t="str">
        <f>IF(終値!A250="","",IF(AND(安値!X250&lt;安値!W250,安値!X250&lt;安値!V250,安値!X250&lt;安値!Y250,安値!X250&lt;安値!Z250),19,""))</f>
        <v/>
      </c>
      <c r="T250" s="503" t="str">
        <f>IF(終値!A250="","",IF(AND(安値!Y250&lt;安値!X250,安値!Y250&lt;安値!W250,安値!Y250&lt;安値!Z250,安値!Y250&lt;安値!AA250),20,""))</f>
        <v/>
      </c>
      <c r="U250" s="503" t="str">
        <f>IF(終値!A250="","",IF(AND(安値!Z250&lt;安値!Y250,安値!Z250&lt;安値!X250,安値!Z250&lt;安値!AA250,安値!Z250&lt;安値!AB250),21,""))</f>
        <v/>
      </c>
      <c r="V250" s="503" t="str">
        <f>IF(終値!A250="","",IF(AND(安値!AA250&lt;安値!Z250,安値!AA250&lt;安値!Y250,安値!AA250&lt;安値!AB250,安値!AA250&lt;安値!AC250),22,""))</f>
        <v/>
      </c>
      <c r="W250" s="503" t="str">
        <f>IF(終値!A250="","",IF(AND(安値!AB250&lt;安値!AA250,安値!AB250&lt;安値!Z250,安値!AB250&lt;安値!AC250,安値!AB250&lt;安値!AD250),23,""))</f>
        <v/>
      </c>
      <c r="X250" s="503" t="str">
        <f>IF(終値!A250="","",IF(AND(安値!AC250&lt;安値!AB250,安値!AC250&lt;安値!AA250,安値!AC250&lt;安値!AD250,安値!AC250&lt;安値!AE250),24,""))</f>
        <v/>
      </c>
      <c r="Y250" s="503" t="str">
        <f>IF(終値!A250="","",IF(AND(安値!AD250&lt;安値!AC250,安値!AD250&lt;安値!AB250,安値!AD250&lt;安値!AE250,安値!AD250&lt;安値!AF250),25,""))</f>
        <v/>
      </c>
      <c r="Z250" s="503" t="str">
        <f>IF(終値!A250="","",IF(AND(安値!AE250&lt;安値!AD250,安値!AE250&lt;安値!AC250,安値!AE250&lt;安値!AF250,安値!AE250&lt;安値!AG250),26,""))</f>
        <v/>
      </c>
      <c r="AA250" s="503" t="str">
        <f>IF(終値!A250="","",IF(AND(安値!AF250&lt;安値!AE250,安値!AF250&lt;安値!AD250,安値!AF250&lt;安値!AG250,安値!AF250&lt;安値!AH250),27,""))</f>
        <v/>
      </c>
      <c r="AB250" s="503" t="str">
        <f>IF(終値!A250="","",IF(AND(安値!AG250&lt;安値!AF250,安値!AG250&lt;安値!AE250,安値!AG250&lt;安値!AH250,安値!AG250&lt;安値!AI250),28,""))</f>
        <v/>
      </c>
      <c r="AC250" s="503" t="str">
        <f>IF(終値!A250="","",IF(AND(高値!G250&gt;高値!F250,高値!G250&gt;高値!E250,高値!G250&gt;高値!H250,高値!G250&gt;高値!I250),2,""))</f>
        <v/>
      </c>
      <c r="AD250" s="503" t="str">
        <f>IF(終値!A250="","",IF(AND(高値!H250&gt;高値!G250,高値!H250&gt;高値!F250,高値!H250&gt;高値!I250,高値!H250&gt;高値!J250),3,""))</f>
        <v/>
      </c>
      <c r="AE250" s="503">
        <f>IF(終値!A250="","",IF(AND(高値!I250&gt;高値!H250,高値!I250&gt;高値!G250,高値!I250&gt;高値!J250,高値!I250&gt;高値!K250),4,""))</f>
        <v>4</v>
      </c>
      <c r="AF250" s="503" t="str">
        <f>IF(終値!A250="","",IF(AND(高値!J250&gt;高値!I250,高値!J250&gt;高値!H250,高値!J250&gt;高値!K250,高値!J250&gt;高値!L250),5,""))</f>
        <v/>
      </c>
      <c r="AG250" s="503" t="str">
        <f>IF(終値!A250="","",IF(AND(高値!K250&gt;高値!J250,高値!K250&gt;高値!I250,高値!K250&gt;高値!L250,高値!K250&gt;高値!M250),6,""))</f>
        <v/>
      </c>
      <c r="AH250" s="503" t="str">
        <f>IF(終値!A250="","",IF(AND(高値!L250&gt;高値!K250,高値!L250&gt;高値!J250,高値!L250&gt;高値!M250,高値!L250&gt;高値!N250),7,""))</f>
        <v/>
      </c>
      <c r="AI250" s="503" t="str">
        <f>IF(終値!A250="","",IF(AND(高値!M250&gt;高値!L250,高値!M250&gt;高値!K250,高値!M250&gt;高値!N250,高値!M250&gt;高値!O250),8,""))</f>
        <v/>
      </c>
      <c r="AJ250" s="503" t="str">
        <f>IF(終値!A250="","",IF(AND(高値!N250&gt;高値!M250,高値!N250&gt;高値!L250,高値!N250&gt;高値!O250,高値!N250&gt;高値!P250),9,""))</f>
        <v/>
      </c>
      <c r="AK250" s="503" t="str">
        <f>IF(終値!A250="","",IF(AND(高値!O250&gt;高値!N250,高値!O250&gt;高値!M250,高値!O250&gt;高値!P250,高値!O250&gt;高値!Q250),10,""))</f>
        <v/>
      </c>
      <c r="AL250" s="503" t="str">
        <f>IF(終値!A250="","",IF(AND(高値!P250&gt;高値!O250,高値!P250&gt;高値!N250,高値!P250&gt;高値!Q250,高値!P250&gt;高値!R250),11,""))</f>
        <v/>
      </c>
      <c r="AM250" s="503" t="str">
        <f>IF(終値!A250="","",IF(AND(高値!Q250&gt;高値!P250,高値!Q250&gt;高値!O250,高値!Q250&gt;高値!R250,高値!Q250&gt;高値!S250),12,""))</f>
        <v/>
      </c>
      <c r="AN250" s="503" t="str">
        <f>IF(終値!A250="","",IF(AND(高値!R250&gt;高値!Q250,高値!R250&gt;高値!P250,高値!R250&gt;高値!S250,高値!R250&gt;高値!T250),13,""))</f>
        <v/>
      </c>
      <c r="AO250" s="503" t="str">
        <f>IF(終値!A250="","",IF(AND(高値!S250&gt;高値!R250,高値!S250&gt;高値!Q250,高値!S250&gt;高値!T250,高値!S250&gt;高値!U250),14,""))</f>
        <v/>
      </c>
      <c r="AP250" s="503">
        <f>IF(終値!A250="","",IF(AND(高値!T250&gt;高値!S250,高値!T250&gt;高値!R250,高値!T250&gt;高値!U250,高値!T250&gt;高値!V250),15,""))</f>
        <v>15</v>
      </c>
      <c r="AQ250" s="503" t="str">
        <f>IF(終値!A250="","",IF(AND(高値!U250&gt;高値!T250,高値!U250&gt;高値!S250,高値!U250&gt;高値!V250,高値!U250&gt;高値!W250),16,""))</f>
        <v/>
      </c>
      <c r="AR250" s="503" t="str">
        <f>IF(終値!A250="","",IF(AND(高値!V250&gt;高値!U250,高値!V250&gt;高値!T250,高値!V250&gt;高値!W250,高値!V250&gt;高値!X250),17,""))</f>
        <v/>
      </c>
      <c r="AS250" s="503" t="str">
        <f>IF(終値!A250="","",IF(AND(高値!W250&gt;高値!V250,高値!W250&gt;高値!U250,高値!W250&gt;高値!X250,高値!W250&gt;高値!Y250),18,""))</f>
        <v/>
      </c>
      <c r="AT250" s="503" t="str">
        <f>IF(終値!A250="","",IF(AND(高値!X250&gt;高値!W250,高値!X250&gt;高値!V250,高値!X250&gt;高値!Y250,高値!X250&gt;高値!Z250),19,""))</f>
        <v/>
      </c>
      <c r="AU250" s="503" t="str">
        <f>IF(終値!A250="","",IF(AND(高値!Y250&gt;高値!X250,高値!Y250&gt;高値!W250,高値!Y250&gt;高値!Z250,高値!Y250&gt;高値!AA250),20,""))</f>
        <v/>
      </c>
      <c r="AV250" s="503">
        <f>IF(終値!A250="","",IF(AND(高値!Z250&gt;高値!Y250,高値!Z250&gt;高値!X250,高値!Z250&gt;高値!AA250,高値!Z250&gt;高値!AB250),21,""))</f>
        <v>21</v>
      </c>
      <c r="AW250" s="503" t="str">
        <f>IF(終値!A250="","",IF(AND(高値!AA250&gt;高値!Z250,高値!AA250&gt;高値!Y250,高値!AA250&gt;高値!AB250,高値!AA250&gt;高値!AC250),22,""))</f>
        <v/>
      </c>
      <c r="AX250" s="503" t="str">
        <f>IF(終値!A250="","",IF(AND(高値!AB250&gt;高値!AA250,高値!AB250&gt;高値!Z250,高値!AB250&gt;高値!AC250,高値!AB250&gt;高値!AD250),23,""))</f>
        <v/>
      </c>
      <c r="AY250" s="503" t="str">
        <f>IF(終値!A250="","",IF(AND(高値!AC250&gt;高値!AB250,高値!AC250&gt;高値!AA250,高値!AC250&gt;高値!AD250,高値!AC250&gt;高値!AE250),24,""))</f>
        <v/>
      </c>
      <c r="AZ250" s="503" t="str">
        <f>IF(終値!A250="","",IF(AND(高値!AD250&gt;高値!AC250,高値!AD250&gt;高値!AB250,高値!AD250&gt;高値!AE250,高値!AD250&gt;高値!AF250),25,""))</f>
        <v/>
      </c>
      <c r="BA250" s="503" t="str">
        <f>IF(終値!A250="","",IF(AND(高値!AE250&gt;高値!AD250,高値!AE250&gt;高値!AC250,高値!AE250&gt;高値!AF250,高値!AE250&gt;高値!AG250),26,""))</f>
        <v/>
      </c>
      <c r="BB250" s="503" t="str">
        <f>IF(終値!A250="","",IF(AND(高値!AF250&gt;高値!AE250,高値!AF250&gt;高値!AD250,高値!AF250&gt;高値!AG250,高値!AF250&gt;高値!AH250),27,""))</f>
        <v/>
      </c>
      <c r="BC250" s="503" t="str">
        <f>IF(終値!A250="","",IF(AND(高値!AG250&gt;高値!AF250,高値!AG250&gt;高値!AE250,高値!AG250&gt;高値!AH250,高値!AG250&gt;高値!AI250),28,""))</f>
        <v/>
      </c>
      <c r="BD250" s="503">
        <f t="shared" si="18"/>
        <v>5</v>
      </c>
      <c r="BE250" s="503">
        <f t="shared" si="19"/>
        <v>3</v>
      </c>
      <c r="BF250" s="503">
        <f t="shared" si="20"/>
        <v>6</v>
      </c>
      <c r="BG250" s="503">
        <f>IF($BE250="","",INDEX(安値!$E250:$CZ250,1,$BE250+1))</f>
        <v>805</v>
      </c>
      <c r="BH250" s="503">
        <f>IF($BF250="","",INDEX(安値!$E250:$CZ250,1,$BF250+1))</f>
        <v>807</v>
      </c>
      <c r="BI250" s="503">
        <f>IF($BF250="","",MAX(INDEX(高値!$E250:$CZ250,1,$BE250+1):INDEX(高値!$E250:$CZ250,1,$BF250+1)))</f>
        <v>838</v>
      </c>
      <c r="BJ250" s="503">
        <f>IF($BF250="","",AVERAGE(INDEX(終値!$E250:$CZ250,1,$BF250+1):INDEX(終値!$E250:$CZ250,1,$BF250+20))-2*STDEVP(INDEX(終値!$E250:$CZ250,1,$BF250+1):INDEX(終値!$E250:$CZ250,1,$BF250+20)))</f>
        <v>821.81932006690408</v>
      </c>
      <c r="BK250" s="503">
        <f>IF($BE250="","",AVERAGE(INDEX(終値!$E250:$CZ250,1,$BE250+1):INDEX(終値!$E250:$CZ250,1,$BE250+20))-2*STDEVP(INDEX(終値!$E250:$CZ250,1,$BE250+1):INDEX(終値!$E250:$CZ250,1,$BE250+20)))</f>
        <v>805.51812530971824</v>
      </c>
      <c r="BL250" s="503">
        <f t="shared" si="21"/>
        <v>3</v>
      </c>
      <c r="BM250" s="503">
        <f t="shared" si="22"/>
        <v>4</v>
      </c>
      <c r="BN250" s="503">
        <f t="shared" si="23"/>
        <v>15</v>
      </c>
      <c r="BO250" s="503">
        <f>IF($BM250="","",INDEX(高値!$E250:$CZ250,1,$BM250+1))</f>
        <v>838</v>
      </c>
      <c r="BP250" s="503">
        <f>IF($BN250="","",INDEX(高値!$E250:$CZ250,1,$BN250+1))</f>
        <v>920</v>
      </c>
      <c r="BQ250" s="503">
        <f>IF($BN250="","",MIN(INDEX(安値!$E250:$CZ250,1,$BM250+1):INDEX(安値!$E250:$CZ250,1,$BN250+1)))</f>
        <v>807</v>
      </c>
      <c r="BR250" s="503">
        <f>IF($BN250="","",AVERAGE(INDEX(終値!$E250:$CZ250,1,$BN250+1):INDEX(終値!$E250:$CZ250,1,$BN250+20))+2*STDEVP(INDEX(終値!$E250:$CZ250,1,$BN250+1):INDEX(終値!$E250:$CZ250,1,$BN250+20)))</f>
        <v>926.58692513569827</v>
      </c>
      <c r="BS250" s="503">
        <f>IF($BM250="","",AVERAGE(INDEX(終値!$E250:$CZ250,1,$BM250+1):INDEX(終値!$E250:$CZ250,1,$BM250+20))+2*STDEVP(INDEX(終値!$E250:$CZ250,1,$BM250+1):INDEX(終値!$E250:$CZ250,1,$BM250+20)))</f>
        <v>932.3215768653622</v>
      </c>
      <c r="BT250" s="500"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二番底W▲</v>
      </c>
    </row>
    <row r="251" spans="2:72">
      <c r="B251" s="503" t="str">
        <f>IF(終値!A251="","",IF(AND(安値!G251&lt;安値!F251,安値!G251&lt;安値!E251,安値!G251&lt;安値!H251,安値!G251&lt;安値!I251),2,""))</f>
        <v/>
      </c>
      <c r="C251" s="503" t="str">
        <f>IF(終値!A251="","",IF(AND(安値!H251&lt;安値!G251,安値!H251&lt;安値!F251,安値!H251&lt;安値!I251,安値!H251&lt;安値!J251),3,""))</f>
        <v/>
      </c>
      <c r="D251" s="503" t="str">
        <f>IF(終値!A251="","",IF(AND(安値!I251&lt;安値!H251,安値!I251&lt;安値!G251,安値!I251&lt;安値!J251,安値!I251&lt;安値!K251),4,""))</f>
        <v/>
      </c>
      <c r="E251" s="503" t="str">
        <f>IF(終値!A251="","",IF(AND(安値!J251&lt;安値!I251,安値!J251&lt;安値!H251,安値!J251&lt;安値!K251,安値!J251&lt;安値!L251),5,""))</f>
        <v/>
      </c>
      <c r="F251" s="503">
        <f>IF(終値!A251="","",IF(AND(安値!K251&lt;安値!J251,安値!K251&lt;安値!I251,安値!K251&lt;安値!L251,安値!K251&lt;安値!M251),6,""))</f>
        <v>6</v>
      </c>
      <c r="G251" s="503" t="str">
        <f>IF(終値!A251="","",IF(AND(安値!L251&lt;安値!K251,安値!L251&lt;安値!J251,安値!L251&lt;安値!M251,安値!L251&lt;安値!N251),7,""))</f>
        <v/>
      </c>
      <c r="H251" s="503" t="str">
        <f>IF(終値!A251="","",IF(AND(安値!M251&lt;安値!L251,安値!M251&lt;安値!K251,安値!M251&lt;安値!N251,安値!M251&lt;安値!O251),8,""))</f>
        <v/>
      </c>
      <c r="I251" s="503" t="str">
        <f>IF(終値!A251="","",IF(AND(安値!N251&lt;安値!M251,安値!N251&lt;安値!L251,安値!N251&lt;安値!O251,安値!N251&lt;安値!P251),9,""))</f>
        <v/>
      </c>
      <c r="J251" s="503" t="str">
        <f>IF(終値!A251="","",IF(AND(安値!O251&lt;安値!N251,安値!O251&lt;安値!M251,安値!O251&lt;安値!P251,安値!O251&lt;安値!Q251),10,""))</f>
        <v/>
      </c>
      <c r="K251" s="503" t="str">
        <f>IF(終値!A251="","",IF(AND(安値!P251&lt;安値!O251,安値!P251&lt;安値!N251,安値!P251&lt;安値!Q251,安値!P251&lt;安値!R251),11,""))</f>
        <v/>
      </c>
      <c r="L251" s="503" t="str">
        <f>IF(終値!A251="","",IF(AND(安値!Q251&lt;安値!P251,安値!Q251&lt;安値!O251,安値!Q251&lt;安値!R251,安値!Q251&lt;安値!S251),12,""))</f>
        <v/>
      </c>
      <c r="M251" s="503" t="str">
        <f>IF(終値!A251="","",IF(AND(安値!R251&lt;安値!Q251,安値!R251&lt;安値!P251,安値!R251&lt;安値!S251,安値!R251&lt;安値!T251),13,""))</f>
        <v/>
      </c>
      <c r="N251" s="503" t="str">
        <f>IF(終値!A251="","",IF(AND(安値!S251&lt;安値!R251,安値!S251&lt;安値!Q251,安値!S251&lt;安値!T251,安値!S251&lt;安値!U251),14,""))</f>
        <v/>
      </c>
      <c r="O251" s="503" t="str">
        <f>IF(終値!A251="","",IF(AND(安値!T251&lt;安値!S251,安値!T251&lt;安値!R251,安値!T251&lt;安値!U251,安値!T251&lt;安値!V251),15,""))</f>
        <v/>
      </c>
      <c r="P251" s="503" t="str">
        <f>IF(終値!A251="","",IF(AND(安値!U251&lt;安値!T251,安値!U251&lt;安値!S251,安値!U251&lt;安値!V251,安値!U251&lt;安値!W251),16,""))</f>
        <v/>
      </c>
      <c r="Q251" s="503" t="str">
        <f>IF(終値!A251="","",IF(AND(安値!V251&lt;安値!U251,安値!V251&lt;安値!T251,安値!V251&lt;安値!W251,安値!V251&lt;安値!X251),17,""))</f>
        <v/>
      </c>
      <c r="R251" s="503">
        <f>IF(終値!A251="","",IF(AND(安値!W251&lt;安値!V251,安値!W251&lt;安値!U251,安値!W251&lt;安値!X251,安値!W251&lt;安値!Y251),18,""))</f>
        <v>18</v>
      </c>
      <c r="S251" s="503" t="str">
        <f>IF(終値!A251="","",IF(AND(安値!X251&lt;安値!W251,安値!X251&lt;安値!V251,安値!X251&lt;安値!Y251,安値!X251&lt;安値!Z251),19,""))</f>
        <v/>
      </c>
      <c r="T251" s="503" t="str">
        <f>IF(終値!A251="","",IF(AND(安値!Y251&lt;安値!X251,安値!Y251&lt;安値!W251,安値!Y251&lt;安値!Z251,安値!Y251&lt;安値!AA251),20,""))</f>
        <v/>
      </c>
      <c r="U251" s="503" t="str">
        <f>IF(終値!A251="","",IF(AND(安値!Z251&lt;安値!Y251,安値!Z251&lt;安値!X251,安値!Z251&lt;安値!AA251,安値!Z251&lt;安値!AB251),21,""))</f>
        <v/>
      </c>
      <c r="V251" s="503" t="str">
        <f>IF(終値!A251="","",IF(AND(安値!AA251&lt;安値!Z251,安値!AA251&lt;安値!Y251,安値!AA251&lt;安値!AB251,安値!AA251&lt;安値!AC251),22,""))</f>
        <v/>
      </c>
      <c r="W251" s="503" t="str">
        <f>IF(終値!A251="","",IF(AND(安値!AB251&lt;安値!AA251,安値!AB251&lt;安値!Z251,安値!AB251&lt;安値!AC251,安値!AB251&lt;安値!AD251),23,""))</f>
        <v/>
      </c>
      <c r="X251" s="503" t="str">
        <f>IF(終値!A251="","",IF(AND(安値!AC251&lt;安値!AB251,安値!AC251&lt;安値!AA251,安値!AC251&lt;安値!AD251,安値!AC251&lt;安値!AE251),24,""))</f>
        <v/>
      </c>
      <c r="Y251" s="503" t="str">
        <f>IF(終値!A251="","",IF(AND(安値!AD251&lt;安値!AC251,安値!AD251&lt;安値!AB251,安値!AD251&lt;安値!AE251,安値!AD251&lt;安値!AF251),25,""))</f>
        <v/>
      </c>
      <c r="Z251" s="503" t="str">
        <f>IF(終値!A251="","",IF(AND(安値!AE251&lt;安値!AD251,安値!AE251&lt;安値!AC251,安値!AE251&lt;安値!AF251,安値!AE251&lt;安値!AG251),26,""))</f>
        <v/>
      </c>
      <c r="AA251" s="503">
        <f>IF(終値!A251="","",IF(AND(安値!AF251&lt;安値!AE251,安値!AF251&lt;安値!AD251,安値!AF251&lt;安値!AG251,安値!AF251&lt;安値!AH251),27,""))</f>
        <v>27</v>
      </c>
      <c r="AB251" s="503" t="str">
        <f>IF(終値!A251="","",IF(AND(安値!AG251&lt;安値!AF251,安値!AG251&lt;安値!AE251,安値!AG251&lt;安値!AH251,安値!AG251&lt;安値!AI251),28,""))</f>
        <v/>
      </c>
      <c r="AC251" s="503">
        <f>IF(終値!A251="","",IF(AND(高値!G251&gt;高値!F251,高値!G251&gt;高値!E251,高値!G251&gt;高値!H251,高値!G251&gt;高値!I251),2,""))</f>
        <v>2</v>
      </c>
      <c r="AD251" s="503" t="str">
        <f>IF(終値!A251="","",IF(AND(高値!H251&gt;高値!G251,高値!H251&gt;高値!F251,高値!H251&gt;高値!I251,高値!H251&gt;高値!J251),3,""))</f>
        <v/>
      </c>
      <c r="AE251" s="503" t="str">
        <f>IF(終値!A251="","",IF(AND(高値!I251&gt;高値!H251,高値!I251&gt;高値!G251,高値!I251&gt;高値!J251,高値!I251&gt;高値!K251),4,""))</f>
        <v/>
      </c>
      <c r="AF251" s="503" t="str">
        <f>IF(終値!A251="","",IF(AND(高値!J251&gt;高値!I251,高値!J251&gt;高値!H251,高値!J251&gt;高値!K251,高値!J251&gt;高値!L251),5,""))</f>
        <v/>
      </c>
      <c r="AG251" s="503" t="str">
        <f>IF(終値!A251="","",IF(AND(高値!K251&gt;高値!J251,高値!K251&gt;高値!I251,高値!K251&gt;高値!L251,高値!K251&gt;高値!M251),6,""))</f>
        <v/>
      </c>
      <c r="AH251" s="503" t="str">
        <f>IF(終値!A251="","",IF(AND(高値!L251&gt;高値!K251,高値!L251&gt;高値!J251,高値!L251&gt;高値!M251,高値!L251&gt;高値!N251),7,""))</f>
        <v/>
      </c>
      <c r="AI251" s="503" t="str">
        <f>IF(終値!A251="","",IF(AND(高値!M251&gt;高値!L251,高値!M251&gt;高値!K251,高値!M251&gt;高値!N251,高値!M251&gt;高値!O251),8,""))</f>
        <v/>
      </c>
      <c r="AJ251" s="503" t="str">
        <f>IF(終値!A251="","",IF(AND(高値!N251&gt;高値!M251,高値!N251&gt;高値!L251,高値!N251&gt;高値!O251,高値!N251&gt;高値!P251),9,""))</f>
        <v/>
      </c>
      <c r="AK251" s="503" t="str">
        <f>IF(終値!A251="","",IF(AND(高値!O251&gt;高値!N251,高値!O251&gt;高値!M251,高値!O251&gt;高値!P251,高値!O251&gt;高値!Q251),10,""))</f>
        <v/>
      </c>
      <c r="AL251" s="503">
        <f>IF(終値!A251="","",IF(AND(高値!P251&gt;高値!O251,高値!P251&gt;高値!N251,高値!P251&gt;高値!Q251,高値!P251&gt;高値!R251),11,""))</f>
        <v>11</v>
      </c>
      <c r="AM251" s="503" t="str">
        <f>IF(終値!A251="","",IF(AND(高値!Q251&gt;高値!P251,高値!Q251&gt;高値!O251,高値!Q251&gt;高値!R251,高値!Q251&gt;高値!S251),12,""))</f>
        <v/>
      </c>
      <c r="AN251" s="503" t="str">
        <f>IF(終値!A251="","",IF(AND(高値!R251&gt;高値!Q251,高値!R251&gt;高値!P251,高値!R251&gt;高値!S251,高値!R251&gt;高値!T251),13,""))</f>
        <v/>
      </c>
      <c r="AO251" s="503" t="str">
        <f>IF(終値!A251="","",IF(AND(高値!S251&gt;高値!R251,高値!S251&gt;高値!Q251,高値!S251&gt;高値!T251,高値!S251&gt;高値!U251),14,""))</f>
        <v/>
      </c>
      <c r="AP251" s="503" t="str">
        <f>IF(終値!A251="","",IF(AND(高値!T251&gt;高値!S251,高値!T251&gt;高値!R251,高値!T251&gt;高値!U251,高値!T251&gt;高値!V251),15,""))</f>
        <v/>
      </c>
      <c r="AQ251" s="503" t="str">
        <f>IF(終値!A251="","",IF(AND(高値!U251&gt;高値!T251,高値!U251&gt;高値!S251,高値!U251&gt;高値!V251,高値!U251&gt;高値!W251),16,""))</f>
        <v/>
      </c>
      <c r="AR251" s="503" t="str">
        <f>IF(終値!A251="","",IF(AND(高値!V251&gt;高値!U251,高値!V251&gt;高値!T251,高値!V251&gt;高値!W251,高値!V251&gt;高値!X251),17,""))</f>
        <v/>
      </c>
      <c r="AS251" s="503" t="str">
        <f>IF(終値!A251="","",IF(AND(高値!W251&gt;高値!V251,高値!W251&gt;高値!U251,高値!W251&gt;高値!X251,高値!W251&gt;高値!Y251),18,""))</f>
        <v/>
      </c>
      <c r="AT251" s="503" t="str">
        <f>IF(終値!A251="","",IF(AND(高値!X251&gt;高値!W251,高値!X251&gt;高値!V251,高値!X251&gt;高値!Y251,高値!X251&gt;高値!Z251),19,""))</f>
        <v/>
      </c>
      <c r="AU251" s="503">
        <f>IF(終値!A251="","",IF(AND(高値!Y251&gt;高値!X251,高値!Y251&gt;高値!W251,高値!Y251&gt;高値!Z251,高値!Y251&gt;高値!AA251),20,""))</f>
        <v>20</v>
      </c>
      <c r="AV251" s="503" t="str">
        <f>IF(終値!A251="","",IF(AND(高値!Z251&gt;高値!Y251,高値!Z251&gt;高値!X251,高値!Z251&gt;高値!AA251,高値!Z251&gt;高値!AB251),21,""))</f>
        <v/>
      </c>
      <c r="AW251" s="503" t="str">
        <f>IF(終値!A251="","",IF(AND(高値!AA251&gt;高値!Z251,高値!AA251&gt;高値!Y251,高値!AA251&gt;高値!AB251,高値!AA251&gt;高値!AC251),22,""))</f>
        <v/>
      </c>
      <c r="AX251" s="503" t="str">
        <f>IF(終値!A251="","",IF(AND(高値!AB251&gt;高値!AA251,高値!AB251&gt;高値!Z251,高値!AB251&gt;高値!AC251,高値!AB251&gt;高値!AD251),23,""))</f>
        <v/>
      </c>
      <c r="AY251" s="503" t="str">
        <f>IF(終値!A251="","",IF(AND(高値!AC251&gt;高値!AB251,高値!AC251&gt;高値!AA251,高値!AC251&gt;高値!AD251,高値!AC251&gt;高値!AE251),24,""))</f>
        <v/>
      </c>
      <c r="AZ251" s="503" t="str">
        <f>IF(終値!A251="","",IF(AND(高値!AD251&gt;高値!AC251,高値!AD251&gt;高値!AB251,高値!AD251&gt;高値!AE251,高値!AD251&gt;高値!AF251),25,""))</f>
        <v/>
      </c>
      <c r="BA251" s="503" t="str">
        <f>IF(終値!A251="","",IF(AND(高値!AE251&gt;高値!AD251,高値!AE251&gt;高値!AC251,高値!AE251&gt;高値!AF251,高値!AE251&gt;高値!AG251),26,""))</f>
        <v/>
      </c>
      <c r="BB251" s="503" t="str">
        <f>IF(終値!A251="","",IF(AND(高値!AF251&gt;高値!AE251,高値!AF251&gt;高値!AD251,高値!AF251&gt;高値!AG251,高値!AF251&gt;高値!AH251),27,""))</f>
        <v/>
      </c>
      <c r="BC251" s="503" t="str">
        <f>IF(終値!A251="","",IF(AND(高値!AG251&gt;高値!AF251,高値!AG251&gt;高値!AE251,高値!AG251&gt;高値!AH251,高値!AG251&gt;高値!AI251),28,""))</f>
        <v/>
      </c>
      <c r="BD251" s="503">
        <f t="shared" si="18"/>
        <v>3</v>
      </c>
      <c r="BE251" s="503">
        <f t="shared" si="19"/>
        <v>6</v>
      </c>
      <c r="BF251" s="503">
        <f t="shared" si="20"/>
        <v>18</v>
      </c>
      <c r="BG251" s="503">
        <f>IF($BE251="","",INDEX(安値!$E251:$CZ251,1,$BE251+1))</f>
        <v>9610</v>
      </c>
      <c r="BH251" s="503">
        <f>IF($BF251="","",INDEX(安値!$E251:$CZ251,1,$BF251+1))</f>
        <v>8610</v>
      </c>
      <c r="BI251" s="503">
        <f>IF($BF251="","",MAX(INDEX(高値!$E251:$CZ251,1,$BE251+1):INDEX(高値!$E251:$CZ251,1,$BF251+1)))</f>
        <v>16560</v>
      </c>
      <c r="BJ251" s="503">
        <f>IF($BF251="","",AVERAGE(INDEX(終値!$E251:$CZ251,1,$BF251+1):INDEX(終値!$E251:$CZ251,1,$BF251+20))-2*STDEVP(INDEX(終値!$E251:$CZ251,1,$BF251+1):INDEX(終値!$E251:$CZ251,1,$BF251+20)))</f>
        <v>6998.5302263328176</v>
      </c>
      <c r="BK251" s="503">
        <f>IF($BE251="","",AVERAGE(INDEX(終値!$E251:$CZ251,1,$BE251+1):INDEX(終値!$E251:$CZ251,1,$BE251+20))-2*STDEVP(INDEX(終値!$E251:$CZ251,1,$BE251+1):INDEX(終値!$E251:$CZ251,1,$BE251+20)))</f>
        <v>6174.1176439157161</v>
      </c>
      <c r="BL251" s="503">
        <f t="shared" si="21"/>
        <v>3</v>
      </c>
      <c r="BM251" s="503">
        <f t="shared" si="22"/>
        <v>2</v>
      </c>
      <c r="BN251" s="503">
        <f t="shared" si="23"/>
        <v>11</v>
      </c>
      <c r="BO251" s="503">
        <f>IF($BM251="","",INDEX(高値!$E251:$CZ251,1,$BM251+1))</f>
        <v>14390</v>
      </c>
      <c r="BP251" s="503">
        <f>IF($BN251="","",INDEX(高値!$E251:$CZ251,1,$BN251+1))</f>
        <v>16560</v>
      </c>
      <c r="BQ251" s="503">
        <f>IF($BN251="","",MIN(INDEX(安値!$E251:$CZ251,1,$BM251+1):INDEX(安値!$E251:$CZ251,1,$BN251+1)))</f>
        <v>9610</v>
      </c>
      <c r="BR251" s="503">
        <f>IF($BN251="","",AVERAGE(INDEX(終値!$E251:$CZ251,1,$BN251+1):INDEX(終値!$E251:$CZ251,1,$BN251+20))+2*STDEVP(INDEX(終値!$E251:$CZ251,1,$BN251+1):INDEX(終値!$E251:$CZ251,1,$BN251+20)))</f>
        <v>15022.603289394487</v>
      </c>
      <c r="BS251" s="503">
        <f>IF($BM251="","",AVERAGE(INDEX(終値!$E251:$CZ251,1,$BM251+1):INDEX(終値!$E251:$CZ251,1,$BM251+20))+2*STDEVP(INDEX(終値!$E251:$CZ251,1,$BM251+1):INDEX(終値!$E251:$CZ251,1,$BM251+20)))</f>
        <v>15790.325126072114</v>
      </c>
      <c r="BT251" s="500"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3" t="str">
        <f>IF(終値!A252="","",IF(AND(安値!G252&lt;安値!F252,安値!G252&lt;安値!E252,安値!G252&lt;安値!H252,安値!G252&lt;安値!I252),2,""))</f>
        <v/>
      </c>
      <c r="C252" s="503" t="str">
        <f>IF(終値!A252="","",IF(AND(安値!H252&lt;安値!G252,安値!H252&lt;安値!F252,安値!H252&lt;安値!I252,安値!H252&lt;安値!J252),3,""))</f>
        <v/>
      </c>
      <c r="D252" s="503" t="str">
        <f>IF(終値!A252="","",IF(AND(安値!I252&lt;安値!H252,安値!I252&lt;安値!G252,安値!I252&lt;安値!J252,安値!I252&lt;安値!K252),4,""))</f>
        <v/>
      </c>
      <c r="E252" s="503" t="str">
        <f>IF(終値!A252="","",IF(AND(安値!J252&lt;安値!I252,安値!J252&lt;安値!H252,安値!J252&lt;安値!K252,安値!J252&lt;安値!L252),5,""))</f>
        <v/>
      </c>
      <c r="F252" s="503" t="str">
        <f>IF(終値!A252="","",IF(AND(安値!K252&lt;安値!J252,安値!K252&lt;安値!I252,安値!K252&lt;安値!L252,安値!K252&lt;安値!M252),6,""))</f>
        <v/>
      </c>
      <c r="G252" s="503" t="str">
        <f>IF(終値!A252="","",IF(AND(安値!L252&lt;安値!K252,安値!L252&lt;安値!J252,安値!L252&lt;安値!M252,安値!L252&lt;安値!N252),7,""))</f>
        <v/>
      </c>
      <c r="H252" s="503" t="str">
        <f>IF(終値!A252="","",IF(AND(安値!M252&lt;安値!L252,安値!M252&lt;安値!K252,安値!M252&lt;安値!N252,安値!M252&lt;安値!O252),8,""))</f>
        <v/>
      </c>
      <c r="I252" s="503">
        <f>IF(終値!A252="","",IF(AND(安値!N252&lt;安値!M252,安値!N252&lt;安値!L252,安値!N252&lt;安値!O252,安値!N252&lt;安値!P252),9,""))</f>
        <v>9</v>
      </c>
      <c r="J252" s="503" t="str">
        <f>IF(終値!A252="","",IF(AND(安値!O252&lt;安値!N252,安値!O252&lt;安値!M252,安値!O252&lt;安値!P252,安値!O252&lt;安値!Q252),10,""))</f>
        <v/>
      </c>
      <c r="K252" s="503" t="str">
        <f>IF(終値!A252="","",IF(AND(安値!P252&lt;安値!O252,安値!P252&lt;安値!N252,安値!P252&lt;安値!Q252,安値!P252&lt;安値!R252),11,""))</f>
        <v/>
      </c>
      <c r="L252" s="503" t="str">
        <f>IF(終値!A252="","",IF(AND(安値!Q252&lt;安値!P252,安値!Q252&lt;安値!O252,安値!Q252&lt;安値!R252,安値!Q252&lt;安値!S252),12,""))</f>
        <v/>
      </c>
      <c r="M252" s="503" t="str">
        <f>IF(終値!A252="","",IF(AND(安値!R252&lt;安値!Q252,安値!R252&lt;安値!P252,安値!R252&lt;安値!S252,安値!R252&lt;安値!T252),13,""))</f>
        <v/>
      </c>
      <c r="N252" s="503">
        <f>IF(終値!A252="","",IF(AND(安値!S252&lt;安値!R252,安値!S252&lt;安値!Q252,安値!S252&lt;安値!T252,安値!S252&lt;安値!U252),14,""))</f>
        <v>14</v>
      </c>
      <c r="O252" s="503" t="str">
        <f>IF(終値!A252="","",IF(AND(安値!T252&lt;安値!S252,安値!T252&lt;安値!R252,安値!T252&lt;安値!U252,安値!T252&lt;安値!V252),15,""))</f>
        <v/>
      </c>
      <c r="P252" s="503" t="str">
        <f>IF(終値!A252="","",IF(AND(安値!U252&lt;安値!T252,安値!U252&lt;安値!S252,安値!U252&lt;安値!V252,安値!U252&lt;安値!W252),16,""))</f>
        <v/>
      </c>
      <c r="Q252" s="503" t="str">
        <f>IF(終値!A252="","",IF(AND(安値!V252&lt;安値!U252,安値!V252&lt;安値!T252,安値!V252&lt;安値!W252,安値!V252&lt;安値!X252),17,""))</f>
        <v/>
      </c>
      <c r="R252" s="503" t="str">
        <f>IF(終値!A252="","",IF(AND(安値!W252&lt;安値!V252,安値!W252&lt;安値!U252,安値!W252&lt;安値!X252,安値!W252&lt;安値!Y252),18,""))</f>
        <v/>
      </c>
      <c r="S252" s="503" t="str">
        <f>IF(終値!A252="","",IF(AND(安値!X252&lt;安値!W252,安値!X252&lt;安値!V252,安値!X252&lt;安値!Y252,安値!X252&lt;安値!Z252),19,""))</f>
        <v/>
      </c>
      <c r="T252" s="503" t="str">
        <f>IF(終値!A252="","",IF(AND(安値!Y252&lt;安値!X252,安値!Y252&lt;安値!W252,安値!Y252&lt;安値!Z252,安値!Y252&lt;安値!AA252),20,""))</f>
        <v/>
      </c>
      <c r="U252" s="503" t="str">
        <f>IF(終値!A252="","",IF(AND(安値!Z252&lt;安値!Y252,安値!Z252&lt;安値!X252,安値!Z252&lt;安値!AA252,安値!Z252&lt;安値!AB252),21,""))</f>
        <v/>
      </c>
      <c r="V252" s="503" t="str">
        <f>IF(終値!A252="","",IF(AND(安値!AA252&lt;安値!Z252,安値!AA252&lt;安値!Y252,安値!AA252&lt;安値!AB252,安値!AA252&lt;安値!AC252),22,""))</f>
        <v/>
      </c>
      <c r="W252" s="503" t="str">
        <f>IF(終値!A252="","",IF(AND(安値!AB252&lt;安値!AA252,安値!AB252&lt;安値!Z252,安値!AB252&lt;安値!AC252,安値!AB252&lt;安値!AD252),23,""))</f>
        <v/>
      </c>
      <c r="X252" s="503" t="str">
        <f>IF(終値!A252="","",IF(AND(安値!AC252&lt;安値!AB252,安値!AC252&lt;安値!AA252,安値!AC252&lt;安値!AD252,安値!AC252&lt;安値!AE252),24,""))</f>
        <v/>
      </c>
      <c r="Y252" s="503" t="str">
        <f>IF(終値!A252="","",IF(AND(安値!AD252&lt;安値!AC252,安値!AD252&lt;安値!AB252,安値!AD252&lt;安値!AE252,安値!AD252&lt;安値!AF252),25,""))</f>
        <v/>
      </c>
      <c r="Z252" s="503" t="str">
        <f>IF(終値!A252="","",IF(AND(安値!AE252&lt;安値!AD252,安値!AE252&lt;安値!AC252,安値!AE252&lt;安値!AF252,安値!AE252&lt;安値!AG252),26,""))</f>
        <v/>
      </c>
      <c r="AA252" s="503" t="str">
        <f>IF(終値!A252="","",IF(AND(安値!AF252&lt;安値!AE252,安値!AF252&lt;安値!AD252,安値!AF252&lt;安値!AG252,安値!AF252&lt;安値!AH252),27,""))</f>
        <v/>
      </c>
      <c r="AB252" s="503" t="str">
        <f>IF(終値!A252="","",IF(AND(安値!AG252&lt;安値!AF252,安値!AG252&lt;安値!AE252,安値!AG252&lt;安値!AH252,安値!AG252&lt;安値!AI252),28,""))</f>
        <v/>
      </c>
      <c r="AC252" s="503" t="str">
        <f>IF(終値!A252="","",IF(AND(高値!G252&gt;高値!F252,高値!G252&gt;高値!E252,高値!G252&gt;高値!H252,高値!G252&gt;高値!I252),2,""))</f>
        <v/>
      </c>
      <c r="AD252" s="503" t="str">
        <f>IF(終値!A252="","",IF(AND(高値!H252&gt;高値!G252,高値!H252&gt;高値!F252,高値!H252&gt;高値!I252,高値!H252&gt;高値!J252),3,""))</f>
        <v/>
      </c>
      <c r="AE252" s="503">
        <f>IF(終値!A252="","",IF(AND(高値!I252&gt;高値!H252,高値!I252&gt;高値!G252,高値!I252&gt;高値!J252,高値!I252&gt;高値!K252),4,""))</f>
        <v>4</v>
      </c>
      <c r="AF252" s="503" t="str">
        <f>IF(終値!A252="","",IF(AND(高値!J252&gt;高値!I252,高値!J252&gt;高値!H252,高値!J252&gt;高値!K252,高値!J252&gt;高値!L252),5,""))</f>
        <v/>
      </c>
      <c r="AG252" s="503" t="str">
        <f>IF(終値!A252="","",IF(AND(高値!K252&gt;高値!J252,高値!K252&gt;高値!I252,高値!K252&gt;高値!L252,高値!K252&gt;高値!M252),6,""))</f>
        <v/>
      </c>
      <c r="AH252" s="503" t="str">
        <f>IF(終値!A252="","",IF(AND(高値!L252&gt;高値!K252,高値!L252&gt;高値!J252,高値!L252&gt;高値!M252,高値!L252&gt;高値!N252),7,""))</f>
        <v/>
      </c>
      <c r="AI252" s="503" t="str">
        <f>IF(終値!A252="","",IF(AND(高値!M252&gt;高値!L252,高値!M252&gt;高値!K252,高値!M252&gt;高値!N252,高値!M252&gt;高値!O252),8,""))</f>
        <v/>
      </c>
      <c r="AJ252" s="503" t="str">
        <f>IF(終値!A252="","",IF(AND(高値!N252&gt;高値!M252,高値!N252&gt;高値!L252,高値!N252&gt;高値!O252,高値!N252&gt;高値!P252),9,""))</f>
        <v/>
      </c>
      <c r="AK252" s="503">
        <f>IF(終値!A252="","",IF(AND(高値!O252&gt;高値!N252,高値!O252&gt;高値!M252,高値!O252&gt;高値!P252,高値!O252&gt;高値!Q252),10,""))</f>
        <v>10</v>
      </c>
      <c r="AL252" s="503" t="str">
        <f>IF(終値!A252="","",IF(AND(高値!P252&gt;高値!O252,高値!P252&gt;高値!N252,高値!P252&gt;高値!Q252,高値!P252&gt;高値!R252),11,""))</f>
        <v/>
      </c>
      <c r="AM252" s="503" t="str">
        <f>IF(終値!A252="","",IF(AND(高値!Q252&gt;高値!P252,高値!Q252&gt;高値!O252,高値!Q252&gt;高値!R252,高値!Q252&gt;高値!S252),12,""))</f>
        <v/>
      </c>
      <c r="AN252" s="503" t="str">
        <f>IF(終値!A252="","",IF(AND(高値!R252&gt;高値!Q252,高値!R252&gt;高値!P252,高値!R252&gt;高値!S252,高値!R252&gt;高値!T252),13,""))</f>
        <v/>
      </c>
      <c r="AO252" s="503" t="str">
        <f>IF(終値!A252="","",IF(AND(高値!S252&gt;高値!R252,高値!S252&gt;高値!Q252,高値!S252&gt;高値!T252,高値!S252&gt;高値!U252),14,""))</f>
        <v/>
      </c>
      <c r="AP252" s="503" t="str">
        <f>IF(終値!A252="","",IF(AND(高値!T252&gt;高値!S252,高値!T252&gt;高値!R252,高値!T252&gt;高値!U252,高値!T252&gt;高値!V252),15,""))</f>
        <v/>
      </c>
      <c r="AQ252" s="503" t="str">
        <f>IF(終値!A252="","",IF(AND(高値!U252&gt;高値!T252,高値!U252&gt;高値!S252,高値!U252&gt;高値!V252,高値!U252&gt;高値!W252),16,""))</f>
        <v/>
      </c>
      <c r="AR252" s="503">
        <f>IF(終値!A252="","",IF(AND(高値!V252&gt;高値!U252,高値!V252&gt;高値!T252,高値!V252&gt;高値!W252,高値!V252&gt;高値!X252),17,""))</f>
        <v>17</v>
      </c>
      <c r="AS252" s="503" t="str">
        <f>IF(終値!A252="","",IF(AND(高値!W252&gt;高値!V252,高値!W252&gt;高値!U252,高値!W252&gt;高値!X252,高値!W252&gt;高値!Y252),18,""))</f>
        <v/>
      </c>
      <c r="AT252" s="503" t="str">
        <f>IF(終値!A252="","",IF(AND(高値!X252&gt;高値!W252,高値!X252&gt;高値!V252,高値!X252&gt;高値!Y252,高値!X252&gt;高値!Z252),19,""))</f>
        <v/>
      </c>
      <c r="AU252" s="503" t="str">
        <f>IF(終値!A252="","",IF(AND(高値!Y252&gt;高値!X252,高値!Y252&gt;高値!W252,高値!Y252&gt;高値!Z252,高値!Y252&gt;高値!AA252),20,""))</f>
        <v/>
      </c>
      <c r="AV252" s="503" t="str">
        <f>IF(終値!A252="","",IF(AND(高値!Z252&gt;高値!Y252,高値!Z252&gt;高値!X252,高値!Z252&gt;高値!AA252,高値!Z252&gt;高値!AB252),21,""))</f>
        <v/>
      </c>
      <c r="AW252" s="503" t="str">
        <f>IF(終値!A252="","",IF(AND(高値!AA252&gt;高値!Z252,高値!AA252&gt;高値!Y252,高値!AA252&gt;高値!AB252,高値!AA252&gt;高値!AC252),22,""))</f>
        <v/>
      </c>
      <c r="AX252" s="503">
        <f>IF(終値!A252="","",IF(AND(高値!AB252&gt;高値!AA252,高値!AB252&gt;高値!Z252,高値!AB252&gt;高値!AC252,高値!AB252&gt;高値!AD252),23,""))</f>
        <v>23</v>
      </c>
      <c r="AY252" s="503" t="str">
        <f>IF(終値!A252="","",IF(AND(高値!AC252&gt;高値!AB252,高値!AC252&gt;高値!AA252,高値!AC252&gt;高値!AD252,高値!AC252&gt;高値!AE252),24,""))</f>
        <v/>
      </c>
      <c r="AZ252" s="503" t="str">
        <f>IF(終値!A252="","",IF(AND(高値!AD252&gt;高値!AC252,高値!AD252&gt;高値!AB252,高値!AD252&gt;高値!AE252,高値!AD252&gt;高値!AF252),25,""))</f>
        <v/>
      </c>
      <c r="BA252" s="503" t="str">
        <f>IF(終値!A252="","",IF(AND(高値!AE252&gt;高値!AD252,高値!AE252&gt;高値!AC252,高値!AE252&gt;高値!AF252,高値!AE252&gt;高値!AG252),26,""))</f>
        <v/>
      </c>
      <c r="BB252" s="503" t="str">
        <f>IF(終値!A252="","",IF(AND(高値!AF252&gt;高値!AE252,高値!AF252&gt;高値!AD252,高値!AF252&gt;高値!AG252,高値!AF252&gt;高値!AH252),27,""))</f>
        <v/>
      </c>
      <c r="BC252" s="503" t="str">
        <f>IF(終値!A252="","",IF(AND(高値!AG252&gt;高値!AF252,高値!AG252&gt;高値!AE252,高値!AG252&gt;高値!AH252,高値!AG252&gt;高値!AI252),28,""))</f>
        <v/>
      </c>
      <c r="BD252" s="503">
        <f t="shared" si="18"/>
        <v>2</v>
      </c>
      <c r="BE252" s="503">
        <f t="shared" si="19"/>
        <v>9</v>
      </c>
      <c r="BF252" s="503">
        <f t="shared" si="20"/>
        <v>14</v>
      </c>
      <c r="BG252" s="503">
        <f>IF($BE252="","",INDEX(安値!$E252:$CZ252,1,$BE252+1))</f>
        <v>0</v>
      </c>
      <c r="BH252" s="503">
        <f>IF($BF252="","",INDEX(安値!$E252:$CZ252,1,$BF252+1))</f>
        <v>2820</v>
      </c>
      <c r="BI252" s="503">
        <f>IF($BF252="","",MAX(INDEX(高値!$E252:$CZ252,1,$BE252+1):INDEX(高値!$E252:$CZ252,1,$BF252+1)))</f>
        <v>3005</v>
      </c>
      <c r="BJ252" s="503">
        <f>IF($BF252="","",AVERAGE(INDEX(終値!$E252:$CZ252,1,$BF252+1):INDEX(終値!$E252:$CZ252,1,$BF252+20))-2*STDEVP(INDEX(終値!$E252:$CZ252,1,$BF252+1):INDEX(終値!$E252:$CZ252,1,$BF252+20)))</f>
        <v>2753.6430695230943</v>
      </c>
      <c r="BK252" s="503">
        <f>IF($BE252="","",AVERAGE(INDEX(終値!$E252:$CZ252,1,$BE252+1):INDEX(終値!$E252:$CZ252,1,$BE252+20))-2*STDEVP(INDEX(終値!$E252:$CZ252,1,$BE252+1):INDEX(終値!$E252:$CZ252,1,$BE252+20)))</f>
        <v>2799.7538900435948</v>
      </c>
      <c r="BL252" s="503">
        <f t="shared" si="21"/>
        <v>4</v>
      </c>
      <c r="BM252" s="503">
        <f t="shared" si="22"/>
        <v>4</v>
      </c>
      <c r="BN252" s="503">
        <f t="shared" si="23"/>
        <v>10</v>
      </c>
      <c r="BO252" s="503">
        <f>IF($BM252="","",INDEX(高値!$E252:$CZ252,1,$BM252+1))</f>
        <v>3040</v>
      </c>
      <c r="BP252" s="503">
        <f>IF($BN252="","",INDEX(高値!$E252:$CZ252,1,$BN252+1))</f>
        <v>3005</v>
      </c>
      <c r="BQ252" s="503">
        <f>IF($BN252="","",MIN(INDEX(安値!$E252:$CZ252,1,$BM252+1):INDEX(安値!$E252:$CZ252,1,$BN252+1)))</f>
        <v>2860</v>
      </c>
      <c r="BR252" s="503">
        <f>IF($BN252="","",AVERAGE(INDEX(終値!$E252:$CZ252,1,$BN252+1):INDEX(終値!$E252:$CZ252,1,$BN252+20))+2*STDEVP(INDEX(終値!$E252:$CZ252,1,$BN252+1):INDEX(終値!$E252:$CZ252,1,$BN252+20)))</f>
        <v>2995.6594477340673</v>
      </c>
      <c r="BS252" s="503">
        <f>IF($BM252="","",AVERAGE(INDEX(終値!$E252:$CZ252,1,$BM252+1):INDEX(終値!$E252:$CZ252,1,$BM252+20))+2*STDEVP(INDEX(終値!$E252:$CZ252,1,$BM252+1):INDEX(終値!$E252:$CZ252,1,$BM252+20)))</f>
        <v>3020.4019683157867</v>
      </c>
      <c r="BT252" s="500"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v>
      </c>
    </row>
    <row r="253" spans="2:72">
      <c r="B253" s="503" t="str">
        <f>IF(終値!A253="","",IF(AND(安値!G253&lt;安値!F253,安値!G253&lt;安値!E253,安値!G253&lt;安値!H253,安値!G253&lt;安値!I253),2,""))</f>
        <v/>
      </c>
      <c r="C253" s="503">
        <f>IF(終値!A253="","",IF(AND(安値!H253&lt;安値!G253,安値!H253&lt;安値!F253,安値!H253&lt;安値!I253,安値!H253&lt;安値!J253),3,""))</f>
        <v>3</v>
      </c>
      <c r="D253" s="503" t="str">
        <f>IF(終値!A253="","",IF(AND(安値!I253&lt;安値!H253,安値!I253&lt;安値!G253,安値!I253&lt;安値!J253,安値!I253&lt;安値!K253),4,""))</f>
        <v/>
      </c>
      <c r="E253" s="503" t="str">
        <f>IF(終値!A253="","",IF(AND(安値!J253&lt;安値!I253,安値!J253&lt;安値!H253,安値!J253&lt;安値!K253,安値!J253&lt;安値!L253),5,""))</f>
        <v/>
      </c>
      <c r="F253" s="503" t="str">
        <f>IF(終値!A253="","",IF(AND(安値!K253&lt;安値!J253,安値!K253&lt;安値!I253,安値!K253&lt;安値!L253,安値!K253&lt;安値!M253),6,""))</f>
        <v/>
      </c>
      <c r="G253" s="503" t="str">
        <f>IF(終値!A253="","",IF(AND(安値!L253&lt;安値!K253,安値!L253&lt;安値!J253,安値!L253&lt;安値!M253,安値!L253&lt;安値!N253),7,""))</f>
        <v/>
      </c>
      <c r="H253" s="503" t="str">
        <f>IF(終値!A253="","",IF(AND(安値!M253&lt;安値!L253,安値!M253&lt;安値!K253,安値!M253&lt;安値!N253,安値!M253&lt;安値!O253),8,""))</f>
        <v/>
      </c>
      <c r="I253" s="503">
        <f>IF(終値!A253="","",IF(AND(安値!N253&lt;安値!M253,安値!N253&lt;安値!L253,安値!N253&lt;安値!O253,安値!N253&lt;安値!P253),9,""))</f>
        <v>9</v>
      </c>
      <c r="J253" s="503" t="str">
        <f>IF(終値!A253="","",IF(AND(安値!O253&lt;安値!N253,安値!O253&lt;安値!M253,安値!O253&lt;安値!P253,安値!O253&lt;安値!Q253),10,""))</f>
        <v/>
      </c>
      <c r="K253" s="503" t="str">
        <f>IF(終値!A253="","",IF(AND(安値!P253&lt;安値!O253,安値!P253&lt;安値!N253,安値!P253&lt;安値!Q253,安値!P253&lt;安値!R253),11,""))</f>
        <v/>
      </c>
      <c r="L253" s="503" t="str">
        <f>IF(終値!A253="","",IF(AND(安値!Q253&lt;安値!P253,安値!Q253&lt;安値!O253,安値!Q253&lt;安値!R253,安値!Q253&lt;安値!S253),12,""))</f>
        <v/>
      </c>
      <c r="M253" s="503" t="str">
        <f>IF(終値!A253="","",IF(AND(安値!R253&lt;安値!Q253,安値!R253&lt;安値!P253,安値!R253&lt;安値!S253,安値!R253&lt;安値!T253),13,""))</f>
        <v/>
      </c>
      <c r="N253" s="503">
        <f>IF(終値!A253="","",IF(AND(安値!S253&lt;安値!R253,安値!S253&lt;安値!Q253,安値!S253&lt;安値!T253,安値!S253&lt;安値!U253),14,""))</f>
        <v>14</v>
      </c>
      <c r="O253" s="503" t="str">
        <f>IF(終値!A253="","",IF(AND(安値!T253&lt;安値!S253,安値!T253&lt;安値!R253,安値!T253&lt;安値!U253,安値!T253&lt;安値!V253),15,""))</f>
        <v/>
      </c>
      <c r="P253" s="503" t="str">
        <f>IF(終値!A253="","",IF(AND(安値!U253&lt;安値!T253,安値!U253&lt;安値!S253,安値!U253&lt;安値!V253,安値!U253&lt;安値!W253),16,""))</f>
        <v/>
      </c>
      <c r="Q253" s="503" t="str">
        <f>IF(終値!A253="","",IF(AND(安値!V253&lt;安値!U253,安値!V253&lt;安値!T253,安値!V253&lt;安値!W253,安値!V253&lt;安値!X253),17,""))</f>
        <v/>
      </c>
      <c r="R253" s="503">
        <f>IF(終値!A253="","",IF(AND(安値!W253&lt;安値!V253,安値!W253&lt;安値!U253,安値!W253&lt;安値!X253,安値!W253&lt;安値!Y253),18,""))</f>
        <v>18</v>
      </c>
      <c r="S253" s="503" t="str">
        <f>IF(終値!A253="","",IF(AND(安値!X253&lt;安値!W253,安値!X253&lt;安値!V253,安値!X253&lt;安値!Y253,安値!X253&lt;安値!Z253),19,""))</f>
        <v/>
      </c>
      <c r="T253" s="503" t="str">
        <f>IF(終値!A253="","",IF(AND(安値!Y253&lt;安値!X253,安値!Y253&lt;安値!W253,安値!Y253&lt;安値!Z253,安値!Y253&lt;安値!AA253),20,""))</f>
        <v/>
      </c>
      <c r="U253" s="503" t="str">
        <f>IF(終値!A253="","",IF(AND(安値!Z253&lt;安値!Y253,安値!Z253&lt;安値!X253,安値!Z253&lt;安値!AA253,安値!Z253&lt;安値!AB253),21,""))</f>
        <v/>
      </c>
      <c r="V253" s="503" t="str">
        <f>IF(終値!A253="","",IF(AND(安値!AA253&lt;安値!Z253,安値!AA253&lt;安値!Y253,安値!AA253&lt;安値!AB253,安値!AA253&lt;安値!AC253),22,""))</f>
        <v/>
      </c>
      <c r="W253" s="503" t="str">
        <f>IF(終値!A253="","",IF(AND(安値!AB253&lt;安値!AA253,安値!AB253&lt;安値!Z253,安値!AB253&lt;安値!AC253,安値!AB253&lt;安値!AD253),23,""))</f>
        <v/>
      </c>
      <c r="X253" s="503">
        <f>IF(終値!A253="","",IF(AND(安値!AC253&lt;安値!AB253,安値!AC253&lt;安値!AA253,安値!AC253&lt;安値!AD253,安値!AC253&lt;安値!AE253),24,""))</f>
        <v>24</v>
      </c>
      <c r="Y253" s="503" t="str">
        <f>IF(終値!A253="","",IF(AND(安値!AD253&lt;安値!AC253,安値!AD253&lt;安値!AB253,安値!AD253&lt;安値!AE253,安値!AD253&lt;安値!AF253),25,""))</f>
        <v/>
      </c>
      <c r="Z253" s="503" t="str">
        <f>IF(終値!A253="","",IF(AND(安値!AE253&lt;安値!AD253,安値!AE253&lt;安値!AC253,安値!AE253&lt;安値!AF253,安値!AE253&lt;安値!AG253),26,""))</f>
        <v/>
      </c>
      <c r="AA253" s="503">
        <f>IF(終値!A253="","",IF(AND(安値!AF253&lt;安値!AE253,安値!AF253&lt;安値!AD253,安値!AF253&lt;安値!AG253,安値!AF253&lt;安値!AH253),27,""))</f>
        <v>27</v>
      </c>
      <c r="AB253" s="503" t="str">
        <f>IF(終値!A253="","",IF(AND(安値!AG253&lt;安値!AF253,安値!AG253&lt;安値!AE253,安値!AG253&lt;安値!AH253,安値!AG253&lt;安値!AI253),28,""))</f>
        <v/>
      </c>
      <c r="AC253" s="503" t="str">
        <f>IF(終値!A253="","",IF(AND(高値!G253&gt;高値!F253,高値!G253&gt;高値!E253,高値!G253&gt;高値!H253,高値!G253&gt;高値!I253),2,""))</f>
        <v/>
      </c>
      <c r="AD253" s="503" t="str">
        <f>IF(終値!A253="","",IF(AND(高値!H253&gt;高値!G253,高値!H253&gt;高値!F253,高値!H253&gt;高値!I253,高値!H253&gt;高値!J253),3,""))</f>
        <v/>
      </c>
      <c r="AE253" s="503" t="str">
        <f>IF(終値!A253="","",IF(AND(高値!I253&gt;高値!H253,高値!I253&gt;高値!G253,高値!I253&gt;高値!J253,高値!I253&gt;高値!K253),4,""))</f>
        <v/>
      </c>
      <c r="AF253" s="503">
        <f>IF(終値!A253="","",IF(AND(高値!J253&gt;高値!I253,高値!J253&gt;高値!H253,高値!J253&gt;高値!K253,高値!J253&gt;高値!L253),5,""))</f>
        <v>5</v>
      </c>
      <c r="AG253" s="503" t="str">
        <f>IF(終値!A253="","",IF(AND(高値!K253&gt;高値!J253,高値!K253&gt;高値!I253,高値!K253&gt;高値!L253,高値!K253&gt;高値!M253),6,""))</f>
        <v/>
      </c>
      <c r="AH253" s="503" t="str">
        <f>IF(終値!A253="","",IF(AND(高値!L253&gt;高値!K253,高値!L253&gt;高値!J253,高値!L253&gt;高値!M253,高値!L253&gt;高値!N253),7,""))</f>
        <v/>
      </c>
      <c r="AI253" s="503" t="str">
        <f>IF(終値!A253="","",IF(AND(高値!M253&gt;高値!L253,高値!M253&gt;高値!K253,高値!M253&gt;高値!N253,高値!M253&gt;高値!O253),8,""))</f>
        <v/>
      </c>
      <c r="AJ253" s="503" t="str">
        <f>IF(終値!A253="","",IF(AND(高値!N253&gt;高値!M253,高値!N253&gt;高値!L253,高値!N253&gt;高値!O253,高値!N253&gt;高値!P253),9,""))</f>
        <v/>
      </c>
      <c r="AK253" s="503" t="str">
        <f>IF(終値!A253="","",IF(AND(高値!O253&gt;高値!N253,高値!O253&gt;高値!M253,高値!O253&gt;高値!P253,高値!O253&gt;高値!Q253),10,""))</f>
        <v/>
      </c>
      <c r="AL253" s="503" t="str">
        <f>IF(終値!A253="","",IF(AND(高値!P253&gt;高値!O253,高値!P253&gt;高値!N253,高値!P253&gt;高値!Q253,高値!P253&gt;高値!R253),11,""))</f>
        <v/>
      </c>
      <c r="AM253" s="503" t="str">
        <f>IF(終値!A253="","",IF(AND(高値!Q253&gt;高値!P253,高値!Q253&gt;高値!O253,高値!Q253&gt;高値!R253,高値!Q253&gt;高値!S253),12,""))</f>
        <v/>
      </c>
      <c r="AN253" s="503" t="str">
        <f>IF(終値!A253="","",IF(AND(高値!R253&gt;高値!Q253,高値!R253&gt;高値!P253,高値!R253&gt;高値!S253,高値!R253&gt;高値!T253),13,""))</f>
        <v/>
      </c>
      <c r="AO253" s="503" t="str">
        <f>IF(終値!A253="","",IF(AND(高値!S253&gt;高値!R253,高値!S253&gt;高値!Q253,高値!S253&gt;高値!T253,高値!S253&gt;高値!U253),14,""))</f>
        <v/>
      </c>
      <c r="AP253" s="503" t="str">
        <f>IF(終値!A253="","",IF(AND(高値!T253&gt;高値!S253,高値!T253&gt;高値!R253,高値!T253&gt;高値!U253,高値!T253&gt;高値!V253),15,""))</f>
        <v/>
      </c>
      <c r="AQ253" s="503" t="str">
        <f>IF(終値!A253="","",IF(AND(高値!U253&gt;高値!T253,高値!U253&gt;高値!S253,高値!U253&gt;高値!V253,高値!U253&gt;高値!W253),16,""))</f>
        <v/>
      </c>
      <c r="AR253" s="503">
        <f>IF(終値!A253="","",IF(AND(高値!V253&gt;高値!U253,高値!V253&gt;高値!T253,高値!V253&gt;高値!W253,高値!V253&gt;高値!X253),17,""))</f>
        <v>17</v>
      </c>
      <c r="AS253" s="503" t="str">
        <f>IF(終値!A253="","",IF(AND(高値!W253&gt;高値!V253,高値!W253&gt;高値!U253,高値!W253&gt;高値!X253,高値!W253&gt;高値!Y253),18,""))</f>
        <v/>
      </c>
      <c r="AT253" s="503" t="str">
        <f>IF(終値!A253="","",IF(AND(高値!X253&gt;高値!W253,高値!X253&gt;高値!V253,高値!X253&gt;高値!Y253,高値!X253&gt;高値!Z253),19,""))</f>
        <v/>
      </c>
      <c r="AU253" s="503" t="str">
        <f>IF(終値!A253="","",IF(AND(高値!Y253&gt;高値!X253,高値!Y253&gt;高値!W253,高値!Y253&gt;高値!Z253,高値!Y253&gt;高値!AA253),20,""))</f>
        <v/>
      </c>
      <c r="AV253" s="503" t="str">
        <f>IF(終値!A253="","",IF(AND(高値!Z253&gt;高値!Y253,高値!Z253&gt;高値!X253,高値!Z253&gt;高値!AA253,高値!Z253&gt;高値!AB253),21,""))</f>
        <v/>
      </c>
      <c r="AW253" s="503" t="str">
        <f>IF(終値!A253="","",IF(AND(高値!AA253&gt;高値!Z253,高値!AA253&gt;高値!Y253,高値!AA253&gt;高値!AB253,高値!AA253&gt;高値!AC253),22,""))</f>
        <v/>
      </c>
      <c r="AX253" s="503" t="str">
        <f>IF(終値!A253="","",IF(AND(高値!AB253&gt;高値!AA253,高値!AB253&gt;高値!Z253,高値!AB253&gt;高値!AC253,高値!AB253&gt;高値!AD253),23,""))</f>
        <v/>
      </c>
      <c r="AY253" s="503" t="str">
        <f>IF(終値!A253="","",IF(AND(高値!AC253&gt;高値!AB253,高値!AC253&gt;高値!AA253,高値!AC253&gt;高値!AD253,高値!AC253&gt;高値!AE253),24,""))</f>
        <v/>
      </c>
      <c r="AZ253" s="503" t="str">
        <f>IF(終値!A253="","",IF(AND(高値!AD253&gt;高値!AC253,高値!AD253&gt;高値!AB253,高値!AD253&gt;高値!AE253,高値!AD253&gt;高値!AF253),25,""))</f>
        <v/>
      </c>
      <c r="BA253" s="503">
        <f>IF(終値!A253="","",IF(AND(高値!AE253&gt;高値!AD253,高値!AE253&gt;高値!AC253,高値!AE253&gt;高値!AF253,高値!AE253&gt;高値!AG253),26,""))</f>
        <v>26</v>
      </c>
      <c r="BB253" s="503" t="str">
        <f>IF(終値!A253="","",IF(AND(高値!AF253&gt;高値!AE253,高値!AF253&gt;高値!AD253,高値!AF253&gt;高値!AG253,高値!AF253&gt;高値!AH253),27,""))</f>
        <v/>
      </c>
      <c r="BC253" s="503" t="str">
        <f>IF(終値!A253="","",IF(AND(高値!AG253&gt;高値!AF253,高値!AG253&gt;高値!AE253,高値!AG253&gt;高値!AH253,高値!AG253&gt;高値!AI253),28,""))</f>
        <v/>
      </c>
      <c r="BD253" s="503">
        <f t="shared" si="18"/>
        <v>6</v>
      </c>
      <c r="BE253" s="503">
        <f t="shared" si="19"/>
        <v>3</v>
      </c>
      <c r="BF253" s="503">
        <f t="shared" si="20"/>
        <v>9</v>
      </c>
      <c r="BG253" s="503">
        <f>IF($BE253="","",INDEX(安値!$E253:$CZ253,1,$BE253+1))</f>
        <v>2613</v>
      </c>
      <c r="BH253" s="503">
        <f>IF($BF253="","",INDEX(安値!$E253:$CZ253,1,$BF253+1))</f>
        <v>2431</v>
      </c>
      <c r="BI253" s="503">
        <f>IF($BF253="","",MAX(INDEX(高値!$E253:$CZ253,1,$BE253+1):INDEX(高値!$E253:$CZ253,1,$BF253+1)))</f>
        <v>2922</v>
      </c>
      <c r="BJ253" s="503">
        <f>IF($BF253="","",AVERAGE(INDEX(終値!$E253:$CZ253,1,$BF253+1):INDEX(終値!$E253:$CZ253,1,$BF253+20))-2*STDEVP(INDEX(終値!$E253:$CZ253,1,$BF253+1):INDEX(終値!$E253:$CZ253,1,$BF253+20)))</f>
        <v>2174.425172547627</v>
      </c>
      <c r="BK253" s="503">
        <f>IF($BE253="","",AVERAGE(INDEX(終値!$E253:$CZ253,1,$BE253+1):INDEX(終値!$E253:$CZ253,1,$BE253+20))-2*STDEVP(INDEX(終値!$E253:$CZ253,1,$BE253+1):INDEX(終値!$E253:$CZ253,1,$BE253+20)))</f>
        <v>2445.3269441161633</v>
      </c>
      <c r="BL253" s="503">
        <f t="shared" si="21"/>
        <v>3</v>
      </c>
      <c r="BM253" s="503">
        <f t="shared" si="22"/>
        <v>5</v>
      </c>
      <c r="BN253" s="503">
        <f t="shared" si="23"/>
        <v>17</v>
      </c>
      <c r="BO253" s="503">
        <f>IF($BM253="","",INDEX(高値!$E253:$CZ253,1,$BM253+1))</f>
        <v>2922</v>
      </c>
      <c r="BP253" s="503">
        <f>IF($BN253="","",INDEX(高値!$E253:$CZ253,1,$BN253+1))</f>
        <v>2654</v>
      </c>
      <c r="BQ253" s="503">
        <f>IF($BN253="","",MIN(INDEX(安値!$E253:$CZ253,1,$BM253+1):INDEX(安値!$E253:$CZ253,1,$BN253+1)))</f>
        <v>2431</v>
      </c>
      <c r="BR253" s="503">
        <f>IF($BN253="","",AVERAGE(INDEX(終値!$E253:$CZ253,1,$BN253+1):INDEX(終値!$E253:$CZ253,1,$BN253+20))+2*STDEVP(INDEX(終値!$E253:$CZ253,1,$BN253+1):INDEX(終値!$E253:$CZ253,1,$BN253+20)))</f>
        <v>2696.3810045044756</v>
      </c>
      <c r="BS253" s="503">
        <f>IF($BM253="","",AVERAGE(INDEX(終値!$E253:$CZ253,1,$BM253+1):INDEX(終値!$E253:$CZ253,1,$BM253+20))+2*STDEVP(INDEX(終値!$E253:$CZ253,1,$BM253+1):INDEX(終値!$E253:$CZ253,1,$BM253+20)))</f>
        <v>2793.5573253475118</v>
      </c>
      <c r="BT253" s="500"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v>
      </c>
    </row>
    <row r="254" spans="2:72">
      <c r="B254" s="503" t="str">
        <f>IF(終値!A254="","",IF(AND(安値!G254&lt;安値!F254,安値!G254&lt;安値!E254,安値!G254&lt;安値!H254,安値!G254&lt;安値!I254),2,""))</f>
        <v/>
      </c>
      <c r="C254" s="503">
        <f>IF(終値!A254="","",IF(AND(安値!H254&lt;安値!G254,安値!H254&lt;安値!F254,安値!H254&lt;安値!I254,安値!H254&lt;安値!J254),3,""))</f>
        <v>3</v>
      </c>
      <c r="D254" s="503" t="str">
        <f>IF(終値!A254="","",IF(AND(安値!I254&lt;安値!H254,安値!I254&lt;安値!G254,安値!I254&lt;安値!J254,安値!I254&lt;安値!K254),4,""))</f>
        <v/>
      </c>
      <c r="E254" s="503" t="str">
        <f>IF(終値!A254="","",IF(AND(安値!J254&lt;安値!I254,安値!J254&lt;安値!H254,安値!J254&lt;安値!K254,安値!J254&lt;安値!L254),5,""))</f>
        <v/>
      </c>
      <c r="F254" s="503" t="str">
        <f>IF(終値!A254="","",IF(AND(安値!K254&lt;安値!J254,安値!K254&lt;安値!I254,安値!K254&lt;安値!L254,安値!K254&lt;安値!M254),6,""))</f>
        <v/>
      </c>
      <c r="G254" s="503" t="str">
        <f>IF(終値!A254="","",IF(AND(安値!L254&lt;安値!K254,安値!L254&lt;安値!J254,安値!L254&lt;安値!M254,安値!L254&lt;安値!N254),7,""))</f>
        <v/>
      </c>
      <c r="H254" s="503" t="str">
        <f>IF(終値!A254="","",IF(AND(安値!M254&lt;安値!L254,安値!M254&lt;安値!K254,安値!M254&lt;安値!N254,安値!M254&lt;安値!O254),8,""))</f>
        <v/>
      </c>
      <c r="I254" s="503">
        <f>IF(終値!A254="","",IF(AND(安値!N254&lt;安値!M254,安値!N254&lt;安値!L254,安値!N254&lt;安値!O254,安値!N254&lt;安値!P254),9,""))</f>
        <v>9</v>
      </c>
      <c r="J254" s="503" t="str">
        <f>IF(終値!A254="","",IF(AND(安値!O254&lt;安値!N254,安値!O254&lt;安値!M254,安値!O254&lt;安値!P254,安値!O254&lt;安値!Q254),10,""))</f>
        <v/>
      </c>
      <c r="K254" s="503" t="str">
        <f>IF(終値!A254="","",IF(AND(安値!P254&lt;安値!O254,安値!P254&lt;安値!N254,安値!P254&lt;安値!Q254,安値!P254&lt;安値!R254),11,""))</f>
        <v/>
      </c>
      <c r="L254" s="503" t="str">
        <f>IF(終値!A254="","",IF(AND(安値!Q254&lt;安値!P254,安値!Q254&lt;安値!O254,安値!Q254&lt;安値!R254,安値!Q254&lt;安値!S254),12,""))</f>
        <v/>
      </c>
      <c r="M254" s="503" t="str">
        <f>IF(終値!A254="","",IF(AND(安値!R254&lt;安値!Q254,安値!R254&lt;安値!P254,安値!R254&lt;安値!S254,安値!R254&lt;安値!T254),13,""))</f>
        <v/>
      </c>
      <c r="N254" s="503" t="str">
        <f>IF(終値!A254="","",IF(AND(安値!S254&lt;安値!R254,安値!S254&lt;安値!Q254,安値!S254&lt;安値!T254,安値!S254&lt;安値!U254),14,""))</f>
        <v/>
      </c>
      <c r="O254" s="503" t="str">
        <f>IF(終値!A254="","",IF(AND(安値!T254&lt;安値!S254,安値!T254&lt;安値!R254,安値!T254&lt;安値!U254,安値!T254&lt;安値!V254),15,""))</f>
        <v/>
      </c>
      <c r="P254" s="503">
        <f>IF(終値!A254="","",IF(AND(安値!U254&lt;安値!T254,安値!U254&lt;安値!S254,安値!U254&lt;安値!V254,安値!U254&lt;安値!W254),16,""))</f>
        <v>16</v>
      </c>
      <c r="Q254" s="503" t="str">
        <f>IF(終値!A254="","",IF(AND(安値!V254&lt;安値!U254,安値!V254&lt;安値!T254,安値!V254&lt;安値!W254,安値!V254&lt;安値!X254),17,""))</f>
        <v/>
      </c>
      <c r="R254" s="503" t="str">
        <f>IF(終値!A254="","",IF(AND(安値!W254&lt;安値!V254,安値!W254&lt;安値!U254,安値!W254&lt;安値!X254,安値!W254&lt;安値!Y254),18,""))</f>
        <v/>
      </c>
      <c r="S254" s="503" t="str">
        <f>IF(終値!A254="","",IF(AND(安値!X254&lt;安値!W254,安値!X254&lt;安値!V254,安値!X254&lt;安値!Y254,安値!X254&lt;安値!Z254),19,""))</f>
        <v/>
      </c>
      <c r="T254" s="503" t="str">
        <f>IF(終値!A254="","",IF(AND(安値!Y254&lt;安値!X254,安値!Y254&lt;安値!W254,安値!Y254&lt;安値!Z254,安値!Y254&lt;安値!AA254),20,""))</f>
        <v/>
      </c>
      <c r="U254" s="503" t="str">
        <f>IF(終値!A254="","",IF(AND(安値!Z254&lt;安値!Y254,安値!Z254&lt;安値!X254,安値!Z254&lt;安値!AA254,安値!Z254&lt;安値!AB254),21,""))</f>
        <v/>
      </c>
      <c r="V254" s="503" t="str">
        <f>IF(終値!A254="","",IF(AND(安値!AA254&lt;安値!Z254,安値!AA254&lt;安値!Y254,安値!AA254&lt;安値!AB254,安値!AA254&lt;安値!AC254),22,""))</f>
        <v/>
      </c>
      <c r="W254" s="503" t="str">
        <f>IF(終値!A254="","",IF(AND(安値!AB254&lt;安値!AA254,安値!AB254&lt;安値!Z254,安値!AB254&lt;安値!AC254,安値!AB254&lt;安値!AD254),23,""))</f>
        <v/>
      </c>
      <c r="X254" s="503" t="str">
        <f>IF(終値!A254="","",IF(AND(安値!AC254&lt;安値!AB254,安値!AC254&lt;安値!AA254,安値!AC254&lt;安値!AD254,安値!AC254&lt;安値!AE254),24,""))</f>
        <v/>
      </c>
      <c r="Y254" s="503" t="str">
        <f>IF(終値!A254="","",IF(AND(安値!AD254&lt;安値!AC254,安値!AD254&lt;安値!AB254,安値!AD254&lt;安値!AE254,安値!AD254&lt;安値!AF254),25,""))</f>
        <v/>
      </c>
      <c r="Z254" s="503" t="str">
        <f>IF(終値!A254="","",IF(AND(安値!AE254&lt;安値!AD254,安値!AE254&lt;安値!AC254,安値!AE254&lt;安値!AF254,安値!AE254&lt;安値!AG254),26,""))</f>
        <v/>
      </c>
      <c r="AA254" s="503">
        <f>IF(終値!A254="","",IF(AND(安値!AF254&lt;安値!AE254,安値!AF254&lt;安値!AD254,安値!AF254&lt;安値!AG254,安値!AF254&lt;安値!AH254),27,""))</f>
        <v>27</v>
      </c>
      <c r="AB254" s="503" t="str">
        <f>IF(終値!A254="","",IF(AND(安値!AG254&lt;安値!AF254,安値!AG254&lt;安値!AE254,安値!AG254&lt;安値!AH254,安値!AG254&lt;安値!AI254),28,""))</f>
        <v/>
      </c>
      <c r="AC254" s="503" t="str">
        <f>IF(終値!A254="","",IF(AND(高値!G254&gt;高値!F254,高値!G254&gt;高値!E254,高値!G254&gt;高値!H254,高値!G254&gt;高値!I254),2,""))</f>
        <v/>
      </c>
      <c r="AD254" s="503" t="str">
        <f>IF(終値!A254="","",IF(AND(高値!H254&gt;高値!G254,高値!H254&gt;高値!F254,高値!H254&gt;高値!I254,高値!H254&gt;高値!J254),3,""))</f>
        <v/>
      </c>
      <c r="AE254" s="503" t="str">
        <f>IF(終値!A254="","",IF(AND(高値!I254&gt;高値!H254,高値!I254&gt;高値!G254,高値!I254&gt;高値!J254,高値!I254&gt;高値!K254),4,""))</f>
        <v/>
      </c>
      <c r="AF254" s="503">
        <f>IF(終値!A254="","",IF(AND(高値!J254&gt;高値!I254,高値!J254&gt;高値!H254,高値!J254&gt;高値!K254,高値!J254&gt;高値!L254),5,""))</f>
        <v>5</v>
      </c>
      <c r="AG254" s="503" t="str">
        <f>IF(終値!A254="","",IF(AND(高値!K254&gt;高値!J254,高値!K254&gt;高値!I254,高値!K254&gt;高値!L254,高値!K254&gt;高値!M254),6,""))</f>
        <v/>
      </c>
      <c r="AH254" s="503" t="str">
        <f>IF(終値!A254="","",IF(AND(高値!L254&gt;高値!K254,高値!L254&gt;高値!J254,高値!L254&gt;高値!M254,高値!L254&gt;高値!N254),7,""))</f>
        <v/>
      </c>
      <c r="AI254" s="503" t="str">
        <f>IF(終値!A254="","",IF(AND(高値!M254&gt;高値!L254,高値!M254&gt;高値!K254,高値!M254&gt;高値!N254,高値!M254&gt;高値!O254),8,""))</f>
        <v/>
      </c>
      <c r="AJ254" s="503" t="str">
        <f>IF(終値!A254="","",IF(AND(高値!N254&gt;高値!M254,高値!N254&gt;高値!L254,高値!N254&gt;高値!O254,高値!N254&gt;高値!P254),9,""))</f>
        <v/>
      </c>
      <c r="AK254" s="503" t="str">
        <f>IF(終値!A254="","",IF(AND(高値!O254&gt;高値!N254,高値!O254&gt;高値!M254,高値!O254&gt;高値!P254,高値!O254&gt;高値!Q254),10,""))</f>
        <v/>
      </c>
      <c r="AL254" s="503" t="str">
        <f>IF(終値!A254="","",IF(AND(高値!P254&gt;高値!O254,高値!P254&gt;高値!N254,高値!P254&gt;高値!Q254,高値!P254&gt;高値!R254),11,""))</f>
        <v/>
      </c>
      <c r="AM254" s="503" t="str">
        <f>IF(終値!A254="","",IF(AND(高値!Q254&gt;高値!P254,高値!Q254&gt;高値!O254,高値!Q254&gt;高値!R254,高値!Q254&gt;高値!S254),12,""))</f>
        <v/>
      </c>
      <c r="AN254" s="503">
        <f>IF(終値!A254="","",IF(AND(高値!R254&gt;高値!Q254,高値!R254&gt;高値!P254,高値!R254&gt;高値!S254,高値!R254&gt;高値!T254),13,""))</f>
        <v>13</v>
      </c>
      <c r="AO254" s="503" t="str">
        <f>IF(終値!A254="","",IF(AND(高値!S254&gt;高値!R254,高値!S254&gt;高値!Q254,高値!S254&gt;高値!T254,高値!S254&gt;高値!U254),14,""))</f>
        <v/>
      </c>
      <c r="AP254" s="503" t="str">
        <f>IF(終値!A254="","",IF(AND(高値!T254&gt;高値!S254,高値!T254&gt;高値!R254,高値!T254&gt;高値!U254,高値!T254&gt;高値!V254),15,""))</f>
        <v/>
      </c>
      <c r="AQ254" s="503" t="str">
        <f>IF(終値!A254="","",IF(AND(高値!U254&gt;高値!T254,高値!U254&gt;高値!S254,高値!U254&gt;高値!V254,高値!U254&gt;高値!W254),16,""))</f>
        <v/>
      </c>
      <c r="AR254" s="503" t="str">
        <f>IF(終値!A254="","",IF(AND(高値!V254&gt;高値!U254,高値!V254&gt;高値!T254,高値!V254&gt;高値!W254,高値!V254&gt;高値!X254),17,""))</f>
        <v/>
      </c>
      <c r="AS254" s="503" t="str">
        <f>IF(終値!A254="","",IF(AND(高値!W254&gt;高値!V254,高値!W254&gt;高値!U254,高値!W254&gt;高値!X254,高値!W254&gt;高値!Y254),18,""))</f>
        <v/>
      </c>
      <c r="AT254" s="503" t="str">
        <f>IF(終値!A254="","",IF(AND(高値!X254&gt;高値!W254,高値!X254&gt;高値!V254,高値!X254&gt;高値!Y254,高値!X254&gt;高値!Z254),19,""))</f>
        <v/>
      </c>
      <c r="AU254" s="503" t="str">
        <f>IF(終値!A254="","",IF(AND(高値!Y254&gt;高値!X254,高値!Y254&gt;高値!W254,高値!Y254&gt;高値!Z254,高値!Y254&gt;高値!AA254),20,""))</f>
        <v/>
      </c>
      <c r="AV254" s="503" t="str">
        <f>IF(終値!A254="","",IF(AND(高値!Z254&gt;高値!Y254,高値!Z254&gt;高値!X254,高値!Z254&gt;高値!AA254,高値!Z254&gt;高値!AB254),21,""))</f>
        <v/>
      </c>
      <c r="AW254" s="503">
        <f>IF(終値!A254="","",IF(AND(高値!AA254&gt;高値!Z254,高値!AA254&gt;高値!Y254,高値!AA254&gt;高値!AB254,高値!AA254&gt;高値!AC254),22,""))</f>
        <v>22</v>
      </c>
      <c r="AX254" s="503" t="str">
        <f>IF(終値!A254="","",IF(AND(高値!AB254&gt;高値!AA254,高値!AB254&gt;高値!Z254,高値!AB254&gt;高値!AC254,高値!AB254&gt;高値!AD254),23,""))</f>
        <v/>
      </c>
      <c r="AY254" s="503" t="str">
        <f>IF(終値!A254="","",IF(AND(高値!AC254&gt;高値!AB254,高値!AC254&gt;高値!AA254,高値!AC254&gt;高値!AD254,高値!AC254&gt;高値!AE254),24,""))</f>
        <v/>
      </c>
      <c r="AZ254" s="503" t="str">
        <f>IF(終値!A254="","",IF(AND(高値!AD254&gt;高値!AC254,高値!AD254&gt;高値!AB254,高値!AD254&gt;高値!AE254,高値!AD254&gt;高値!AF254),25,""))</f>
        <v/>
      </c>
      <c r="BA254" s="503" t="str">
        <f>IF(終値!A254="","",IF(AND(高値!AE254&gt;高値!AD254,高値!AE254&gt;高値!AC254,高値!AE254&gt;高値!AF254,高値!AE254&gt;高値!AG254),26,""))</f>
        <v/>
      </c>
      <c r="BB254" s="503" t="str">
        <f>IF(終値!A254="","",IF(AND(高値!AF254&gt;高値!AE254,高値!AF254&gt;高値!AD254,高値!AF254&gt;高値!AG254,高値!AF254&gt;高値!AH254),27,""))</f>
        <v/>
      </c>
      <c r="BC254" s="503" t="str">
        <f>IF(終値!A254="","",IF(AND(高値!AG254&gt;高値!AF254,高値!AG254&gt;高値!AE254,高値!AG254&gt;高値!AH254,高値!AG254&gt;高値!AI254),28,""))</f>
        <v/>
      </c>
      <c r="BD254" s="503">
        <f t="shared" si="18"/>
        <v>4</v>
      </c>
      <c r="BE254" s="503">
        <f t="shared" si="19"/>
        <v>3</v>
      </c>
      <c r="BF254" s="503">
        <f t="shared" si="20"/>
        <v>9</v>
      </c>
      <c r="BG254" s="503">
        <f>IF($BE254="","",INDEX(安値!$E254:$CZ254,1,$BE254+1))</f>
        <v>6228</v>
      </c>
      <c r="BH254" s="503">
        <f>IF($BF254="","",INDEX(安値!$E254:$CZ254,1,$BF254+1))</f>
        <v>6121</v>
      </c>
      <c r="BI254" s="503">
        <f>IF($BF254="","",MAX(INDEX(高値!$E254:$CZ254,1,$BE254+1):INDEX(高値!$E254:$CZ254,1,$BF254+1)))</f>
        <v>6913</v>
      </c>
      <c r="BJ254" s="503">
        <f>IF($BF254="","",AVERAGE(INDEX(終値!$E254:$CZ254,1,$BF254+1):INDEX(終値!$E254:$CZ254,1,$BF254+20))-2*STDEVP(INDEX(終値!$E254:$CZ254,1,$BF254+1):INDEX(終値!$E254:$CZ254,1,$BF254+20)))</f>
        <v>5734.8707457347336</v>
      </c>
      <c r="BK254" s="503">
        <f>IF($BE254="","",AVERAGE(INDEX(終値!$E254:$CZ254,1,$BE254+1):INDEX(終値!$E254:$CZ254,1,$BE254+20))-2*STDEVP(INDEX(終値!$E254:$CZ254,1,$BE254+1):INDEX(終値!$E254:$CZ254,1,$BE254+20)))</f>
        <v>6059.5000194613112</v>
      </c>
      <c r="BL254" s="503">
        <f t="shared" si="21"/>
        <v>3</v>
      </c>
      <c r="BM254" s="503">
        <f t="shared" si="22"/>
        <v>5</v>
      </c>
      <c r="BN254" s="503">
        <f t="shared" si="23"/>
        <v>13</v>
      </c>
      <c r="BO254" s="503">
        <f>IF($BM254="","",INDEX(高値!$E254:$CZ254,1,$BM254+1))</f>
        <v>6913</v>
      </c>
      <c r="BP254" s="503">
        <f>IF($BN254="","",INDEX(高値!$E254:$CZ254,1,$BN254+1))</f>
        <v>6657</v>
      </c>
      <c r="BQ254" s="503">
        <f>IF($BN254="","",MIN(INDEX(安値!$E254:$CZ254,1,$BM254+1):INDEX(安値!$E254:$CZ254,1,$BN254+1)))</f>
        <v>6121</v>
      </c>
      <c r="BR254" s="503">
        <f>IF($BN254="","",AVERAGE(INDEX(終値!$E254:$CZ254,1,$BN254+1):INDEX(終値!$E254:$CZ254,1,$BN254+20))+2*STDEVP(INDEX(終値!$E254:$CZ254,1,$BN254+1):INDEX(終値!$E254:$CZ254,1,$BN254+20)))</f>
        <v>6694.951732013591</v>
      </c>
      <c r="BS254" s="503">
        <f>IF($BM254="","",AVERAGE(INDEX(終値!$E254:$CZ254,1,$BM254+1):INDEX(終値!$E254:$CZ254,1,$BM254+20))+2*STDEVP(INDEX(終値!$E254:$CZ254,1,$BM254+1):INDEX(終値!$E254:$CZ254,1,$BM254+20)))</f>
        <v>6730.7423894693966</v>
      </c>
      <c r="BT254" s="500"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二番底W形成</v>
      </c>
    </row>
    <row r="255" spans="2:72">
      <c r="B255" s="503" t="str">
        <f>IF(終値!A255="","",IF(AND(安値!G255&lt;安値!F255,安値!G255&lt;安値!E255,安値!G255&lt;安値!H255,安値!G255&lt;安値!I255),2,""))</f>
        <v/>
      </c>
      <c r="C255" s="503" t="str">
        <f>IF(終値!A255="","",IF(AND(安値!H255&lt;安値!G255,安値!H255&lt;安値!F255,安値!H255&lt;安値!I255,安値!H255&lt;安値!J255),3,""))</f>
        <v/>
      </c>
      <c r="D255" s="503" t="str">
        <f>IF(終値!A255="","",IF(AND(安値!I255&lt;安値!H255,安値!I255&lt;安値!G255,安値!I255&lt;安値!J255,安値!I255&lt;安値!K255),4,""))</f>
        <v/>
      </c>
      <c r="E255" s="503" t="str">
        <f>IF(終値!A255="","",IF(AND(安値!J255&lt;安値!I255,安値!J255&lt;安値!H255,安値!J255&lt;安値!K255,安値!J255&lt;安値!L255),5,""))</f>
        <v/>
      </c>
      <c r="F255" s="503">
        <f>IF(終値!A255="","",IF(AND(安値!K255&lt;安値!J255,安値!K255&lt;安値!I255,安値!K255&lt;安値!L255,安値!K255&lt;安値!M255),6,""))</f>
        <v>6</v>
      </c>
      <c r="G255" s="503" t="str">
        <f>IF(終値!A255="","",IF(AND(安値!L255&lt;安値!K255,安値!L255&lt;安値!J255,安値!L255&lt;安値!M255,安値!L255&lt;安値!N255),7,""))</f>
        <v/>
      </c>
      <c r="H255" s="503" t="str">
        <f>IF(終値!A255="","",IF(AND(安値!M255&lt;安値!L255,安値!M255&lt;安値!K255,安値!M255&lt;安値!N255,安値!M255&lt;安値!O255),8,""))</f>
        <v/>
      </c>
      <c r="I255" s="503" t="str">
        <f>IF(終値!A255="","",IF(AND(安値!N255&lt;安値!M255,安値!N255&lt;安値!L255,安値!N255&lt;安値!O255,安値!N255&lt;安値!P255),9,""))</f>
        <v/>
      </c>
      <c r="J255" s="503" t="str">
        <f>IF(終値!A255="","",IF(AND(安値!O255&lt;安値!N255,安値!O255&lt;安値!M255,安値!O255&lt;安値!P255,安値!O255&lt;安値!Q255),10,""))</f>
        <v/>
      </c>
      <c r="K255" s="503" t="str">
        <f>IF(終値!A255="","",IF(AND(安値!P255&lt;安値!O255,安値!P255&lt;安値!N255,安値!P255&lt;安値!Q255,安値!P255&lt;安値!R255),11,""))</f>
        <v/>
      </c>
      <c r="L255" s="503" t="str">
        <f>IF(終値!A255="","",IF(AND(安値!Q255&lt;安値!P255,安値!Q255&lt;安値!O255,安値!Q255&lt;安値!R255,安値!Q255&lt;安値!S255),12,""))</f>
        <v/>
      </c>
      <c r="M255" s="503">
        <f>IF(終値!A255="","",IF(AND(安値!R255&lt;安値!Q255,安値!R255&lt;安値!P255,安値!R255&lt;安値!S255,安値!R255&lt;安値!T255),13,""))</f>
        <v>13</v>
      </c>
      <c r="N255" s="503" t="str">
        <f>IF(終値!A255="","",IF(AND(安値!S255&lt;安値!R255,安値!S255&lt;安値!Q255,安値!S255&lt;安値!T255,安値!S255&lt;安値!U255),14,""))</f>
        <v/>
      </c>
      <c r="O255" s="503" t="str">
        <f>IF(終値!A255="","",IF(AND(安値!T255&lt;安値!S255,安値!T255&lt;安値!R255,安値!T255&lt;安値!U255,安値!T255&lt;安値!V255),15,""))</f>
        <v/>
      </c>
      <c r="P255" s="503" t="str">
        <f>IF(終値!A255="","",IF(AND(安値!U255&lt;安値!T255,安値!U255&lt;安値!S255,安値!U255&lt;安値!V255,安値!U255&lt;安値!W255),16,""))</f>
        <v/>
      </c>
      <c r="Q255" s="503" t="str">
        <f>IF(終値!A255="","",IF(AND(安値!V255&lt;安値!U255,安値!V255&lt;安値!T255,安値!V255&lt;安値!W255,安値!V255&lt;安値!X255),17,""))</f>
        <v/>
      </c>
      <c r="R255" s="503" t="str">
        <f>IF(終値!A255="","",IF(AND(安値!W255&lt;安値!V255,安値!W255&lt;安値!U255,安値!W255&lt;安値!X255,安値!W255&lt;安値!Y255),18,""))</f>
        <v/>
      </c>
      <c r="S255" s="503">
        <f>IF(終値!A255="","",IF(AND(安値!X255&lt;安値!W255,安値!X255&lt;安値!V255,安値!X255&lt;安値!Y255,安値!X255&lt;安値!Z255),19,""))</f>
        <v>19</v>
      </c>
      <c r="T255" s="503" t="str">
        <f>IF(終値!A255="","",IF(AND(安値!Y255&lt;安値!X255,安値!Y255&lt;安値!W255,安値!Y255&lt;安値!Z255,安値!Y255&lt;安値!AA255),20,""))</f>
        <v/>
      </c>
      <c r="U255" s="503" t="str">
        <f>IF(終値!A255="","",IF(AND(安値!Z255&lt;安値!Y255,安値!Z255&lt;安値!X255,安値!Z255&lt;安値!AA255,安値!Z255&lt;安値!AB255),21,""))</f>
        <v/>
      </c>
      <c r="V255" s="503">
        <f>IF(終値!A255="","",IF(AND(安値!AA255&lt;安値!Z255,安値!AA255&lt;安値!Y255,安値!AA255&lt;安値!AB255,安値!AA255&lt;安値!AC255),22,""))</f>
        <v>22</v>
      </c>
      <c r="W255" s="503" t="str">
        <f>IF(終値!A255="","",IF(AND(安値!AB255&lt;安値!AA255,安値!AB255&lt;安値!Z255,安値!AB255&lt;安値!AC255,安値!AB255&lt;安値!AD255),23,""))</f>
        <v/>
      </c>
      <c r="X255" s="503" t="str">
        <f>IF(終値!A255="","",IF(AND(安値!AC255&lt;安値!AB255,安値!AC255&lt;安値!AA255,安値!AC255&lt;安値!AD255,安値!AC255&lt;安値!AE255),24,""))</f>
        <v/>
      </c>
      <c r="Y255" s="503" t="str">
        <f>IF(終値!A255="","",IF(AND(安値!AD255&lt;安値!AC255,安値!AD255&lt;安値!AB255,安値!AD255&lt;安値!AE255,安値!AD255&lt;安値!AF255),25,""))</f>
        <v/>
      </c>
      <c r="Z255" s="503">
        <f>IF(終値!A255="","",IF(AND(安値!AE255&lt;安値!AD255,安値!AE255&lt;安値!AC255,安値!AE255&lt;安値!AF255,安値!AE255&lt;安値!AG255),26,""))</f>
        <v>26</v>
      </c>
      <c r="AA255" s="503" t="str">
        <f>IF(終値!A255="","",IF(AND(安値!AF255&lt;安値!AE255,安値!AF255&lt;安値!AD255,安値!AF255&lt;安値!AG255,安値!AF255&lt;安値!AH255),27,""))</f>
        <v/>
      </c>
      <c r="AB255" s="503" t="str">
        <f>IF(終値!A255="","",IF(AND(安値!AG255&lt;安値!AF255,安値!AG255&lt;安値!AE255,安値!AG255&lt;安値!AH255,安値!AG255&lt;安値!AI255),28,""))</f>
        <v/>
      </c>
      <c r="AC255" s="503" t="str">
        <f>IF(終値!A255="","",IF(AND(高値!G255&gt;高値!F255,高値!G255&gt;高値!E255,高値!G255&gt;高値!H255,高値!G255&gt;高値!I255),2,""))</f>
        <v/>
      </c>
      <c r="AD255" s="503" t="str">
        <f>IF(終値!A255="","",IF(AND(高値!H255&gt;高値!G255,高値!H255&gt;高値!F255,高値!H255&gt;高値!I255,高値!H255&gt;高値!J255),3,""))</f>
        <v/>
      </c>
      <c r="AE255" s="503" t="str">
        <f>IF(終値!A255="","",IF(AND(高値!I255&gt;高値!H255,高値!I255&gt;高値!G255,高値!I255&gt;高値!J255,高値!I255&gt;高値!K255),4,""))</f>
        <v/>
      </c>
      <c r="AF255" s="503" t="str">
        <f>IF(終値!A255="","",IF(AND(高値!J255&gt;高値!I255,高値!J255&gt;高値!H255,高値!J255&gt;高値!K255,高値!J255&gt;高値!L255),5,""))</f>
        <v/>
      </c>
      <c r="AG255" s="503" t="str">
        <f>IF(終値!A255="","",IF(AND(高値!K255&gt;高値!J255,高値!K255&gt;高値!I255,高値!K255&gt;高値!L255,高値!K255&gt;高値!M255),6,""))</f>
        <v/>
      </c>
      <c r="AH255" s="503" t="str">
        <f>IF(終値!A255="","",IF(AND(高値!L255&gt;高値!K255,高値!L255&gt;高値!J255,高値!L255&gt;高値!M255,高値!L255&gt;高値!N255),7,""))</f>
        <v/>
      </c>
      <c r="AI255" s="503" t="str">
        <f>IF(終値!A255="","",IF(AND(高値!M255&gt;高値!L255,高値!M255&gt;高値!K255,高値!M255&gt;高値!N255,高値!M255&gt;高値!O255),8,""))</f>
        <v/>
      </c>
      <c r="AJ255" s="503" t="str">
        <f>IF(終値!A255="","",IF(AND(高値!N255&gt;高値!M255,高値!N255&gt;高値!L255,高値!N255&gt;高値!O255,高値!N255&gt;高値!P255),9,""))</f>
        <v/>
      </c>
      <c r="AK255" s="503" t="str">
        <f>IF(終値!A255="","",IF(AND(高値!O255&gt;高値!N255,高値!O255&gt;高値!M255,高値!O255&gt;高値!P255,高値!O255&gt;高値!Q255),10,""))</f>
        <v/>
      </c>
      <c r="AL255" s="503">
        <f>IF(終値!A255="","",IF(AND(高値!P255&gt;高値!O255,高値!P255&gt;高値!N255,高値!P255&gt;高値!Q255,高値!P255&gt;高値!R255),11,""))</f>
        <v>11</v>
      </c>
      <c r="AM255" s="503" t="str">
        <f>IF(終値!A255="","",IF(AND(高値!Q255&gt;高値!P255,高値!Q255&gt;高値!O255,高値!Q255&gt;高値!R255,高値!Q255&gt;高値!S255),12,""))</f>
        <v/>
      </c>
      <c r="AN255" s="503" t="str">
        <f>IF(終値!A255="","",IF(AND(高値!R255&gt;高値!Q255,高値!R255&gt;高値!P255,高値!R255&gt;高値!S255,高値!R255&gt;高値!T255),13,""))</f>
        <v/>
      </c>
      <c r="AO255" s="503" t="str">
        <f>IF(終値!A255="","",IF(AND(高値!S255&gt;高値!R255,高値!S255&gt;高値!Q255,高値!S255&gt;高値!T255,高値!S255&gt;高値!U255),14,""))</f>
        <v/>
      </c>
      <c r="AP255" s="503" t="str">
        <f>IF(終値!A255="","",IF(AND(高値!T255&gt;高値!S255,高値!T255&gt;高値!R255,高値!T255&gt;高値!U255,高値!T255&gt;高値!V255),15,""))</f>
        <v/>
      </c>
      <c r="AQ255" s="503">
        <f>IF(終値!A255="","",IF(AND(高値!U255&gt;高値!T255,高値!U255&gt;高値!S255,高値!U255&gt;高値!V255,高値!U255&gt;高値!W255),16,""))</f>
        <v>16</v>
      </c>
      <c r="AR255" s="503" t="str">
        <f>IF(終値!A255="","",IF(AND(高値!V255&gt;高値!U255,高値!V255&gt;高値!T255,高値!V255&gt;高値!W255,高値!V255&gt;高値!X255),17,""))</f>
        <v/>
      </c>
      <c r="AS255" s="503" t="str">
        <f>IF(終値!A255="","",IF(AND(高値!W255&gt;高値!V255,高値!W255&gt;高値!U255,高値!W255&gt;高値!X255,高値!W255&gt;高値!Y255),18,""))</f>
        <v/>
      </c>
      <c r="AT255" s="503" t="str">
        <f>IF(終値!A255="","",IF(AND(高値!X255&gt;高値!W255,高値!X255&gt;高値!V255,高値!X255&gt;高値!Y255,高値!X255&gt;高値!Z255),19,""))</f>
        <v/>
      </c>
      <c r="AU255" s="503" t="str">
        <f>IF(終値!A255="","",IF(AND(高値!Y255&gt;高値!X255,高値!Y255&gt;高値!W255,高値!Y255&gt;高値!Z255,高値!Y255&gt;高値!AA255),20,""))</f>
        <v/>
      </c>
      <c r="AV255" s="503">
        <f>IF(終値!A255="","",IF(AND(高値!Z255&gt;高値!Y255,高値!Z255&gt;高値!X255,高値!Z255&gt;高値!AA255,高値!Z255&gt;高値!AB255),21,""))</f>
        <v>21</v>
      </c>
      <c r="AW255" s="503" t="str">
        <f>IF(終値!A255="","",IF(AND(高値!AA255&gt;高値!Z255,高値!AA255&gt;高値!Y255,高値!AA255&gt;高値!AB255,高値!AA255&gt;高値!AC255),22,""))</f>
        <v/>
      </c>
      <c r="AX255" s="503" t="str">
        <f>IF(終値!A255="","",IF(AND(高値!AB255&gt;高値!AA255,高値!AB255&gt;高値!Z255,高値!AB255&gt;高値!AC255,高値!AB255&gt;高値!AD255),23,""))</f>
        <v/>
      </c>
      <c r="AY255" s="503">
        <f>IF(終値!A255="","",IF(AND(高値!AC255&gt;高値!AB255,高値!AC255&gt;高値!AA255,高値!AC255&gt;高値!AD255,高値!AC255&gt;高値!AE255),24,""))</f>
        <v>24</v>
      </c>
      <c r="AZ255" s="503" t="str">
        <f>IF(終値!A255="","",IF(AND(高値!AD255&gt;高値!AC255,高値!AD255&gt;高値!AB255,高値!AD255&gt;高値!AE255,高値!AD255&gt;高値!AF255),25,""))</f>
        <v/>
      </c>
      <c r="BA255" s="503" t="str">
        <f>IF(終値!A255="","",IF(AND(高値!AE255&gt;高値!AD255,高値!AE255&gt;高値!AC255,高値!AE255&gt;高値!AF255,高値!AE255&gt;高値!AG255),26,""))</f>
        <v/>
      </c>
      <c r="BB255" s="503" t="str">
        <f>IF(終値!A255="","",IF(AND(高値!AF255&gt;高値!AE255,高値!AF255&gt;高値!AD255,高値!AF255&gt;高値!AG255,高値!AF255&gt;高値!AH255),27,""))</f>
        <v/>
      </c>
      <c r="BC255" s="503">
        <f>IF(終値!A255="","",IF(AND(高値!AG255&gt;高値!AF255,高値!AG255&gt;高値!AE255,高値!AG255&gt;高値!AH255,高値!AG255&gt;高値!AI255),28,""))</f>
        <v>28</v>
      </c>
      <c r="BD255" s="503">
        <f t="shared" si="18"/>
        <v>5</v>
      </c>
      <c r="BE255" s="503">
        <f t="shared" si="19"/>
        <v>6</v>
      </c>
      <c r="BF255" s="503">
        <f t="shared" si="20"/>
        <v>13</v>
      </c>
      <c r="BG255" s="503">
        <f>IF($BE255="","",INDEX(安値!$E255:$CZ255,1,$BE255+1))</f>
        <v>8015</v>
      </c>
      <c r="BH255" s="503">
        <f>IF($BF255="","",INDEX(安値!$E255:$CZ255,1,$BF255+1))</f>
        <v>8383</v>
      </c>
      <c r="BI255" s="503">
        <f>IF($BF255="","",MAX(INDEX(高値!$E255:$CZ255,1,$BE255+1):INDEX(高値!$E255:$CZ255,1,$BF255+1)))</f>
        <v>9232</v>
      </c>
      <c r="BJ255" s="503">
        <f>IF($BF255="","",AVERAGE(INDEX(終値!$E255:$CZ255,1,$BF255+1):INDEX(終値!$E255:$CZ255,1,$BF255+20))-2*STDEVP(INDEX(終値!$E255:$CZ255,1,$BF255+1):INDEX(終値!$E255:$CZ255,1,$BF255+20)))</f>
        <v>8652.2352341561855</v>
      </c>
      <c r="BK255" s="503">
        <f>IF($BE255="","",AVERAGE(INDEX(終値!$E255:$CZ255,1,$BE255+1):INDEX(終値!$E255:$CZ255,1,$BE255+20))-2*STDEVP(INDEX(終値!$E255:$CZ255,1,$BE255+1):INDEX(終値!$E255:$CZ255,1,$BE255+20)))</f>
        <v>8305.6302903430042</v>
      </c>
      <c r="BL255" s="503">
        <f t="shared" si="21"/>
        <v>5</v>
      </c>
      <c r="BM255" s="503">
        <f t="shared" si="22"/>
        <v>11</v>
      </c>
      <c r="BN255" s="503">
        <f t="shared" si="23"/>
        <v>16</v>
      </c>
      <c r="BO255" s="503">
        <f>IF($BM255="","",INDEX(高値!$E255:$CZ255,1,$BM255+1))</f>
        <v>9232</v>
      </c>
      <c r="BP255" s="503">
        <f>IF($BN255="","",INDEX(高値!$E255:$CZ255,1,$BN255+1))</f>
        <v>9321</v>
      </c>
      <c r="BQ255" s="503">
        <f>IF($BN255="","",MIN(INDEX(安値!$E255:$CZ255,1,$BM255+1):INDEX(安値!$E255:$CZ255,1,$BN255+1)))</f>
        <v>8383</v>
      </c>
      <c r="BR255" s="503">
        <f>IF($BN255="","",AVERAGE(INDEX(終値!$E255:$CZ255,1,$BN255+1):INDEX(終値!$E255:$CZ255,1,$BN255+20))+2*STDEVP(INDEX(終値!$E255:$CZ255,1,$BN255+1):INDEX(終値!$E255:$CZ255,1,$BN255+20)))</f>
        <v>9694.4259699369741</v>
      </c>
      <c r="BS255" s="503">
        <f>IF($BM255="","",AVERAGE(INDEX(終値!$E255:$CZ255,1,$BM255+1):INDEX(終値!$E255:$CZ255,1,$BM255+20))+2*STDEVP(INDEX(終値!$E255:$CZ255,1,$BM255+1):INDEX(終値!$E255:$CZ255,1,$BM255+20)))</f>
        <v>9579.8533610035556</v>
      </c>
      <c r="BT255" s="500"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二番底W形成</v>
      </c>
    </row>
    <row r="256" spans="2:72">
      <c r="B256" s="503" t="str">
        <f>IF(終値!A256="","",IF(AND(安値!G256&lt;安値!F256,安値!G256&lt;安値!E256,安値!G256&lt;安値!H256,安値!G256&lt;安値!I256),2,""))</f>
        <v/>
      </c>
      <c r="C256" s="503">
        <f>IF(終値!A256="","",IF(AND(安値!H256&lt;安値!G256,安値!H256&lt;安値!F256,安値!H256&lt;安値!I256,安値!H256&lt;安値!J256),3,""))</f>
        <v>3</v>
      </c>
      <c r="D256" s="503" t="str">
        <f>IF(終値!A256="","",IF(AND(安値!I256&lt;安値!H256,安値!I256&lt;安値!G256,安値!I256&lt;安値!J256,安値!I256&lt;安値!K256),4,""))</f>
        <v/>
      </c>
      <c r="E256" s="503" t="str">
        <f>IF(終値!A256="","",IF(AND(安値!J256&lt;安値!I256,安値!J256&lt;安値!H256,安値!J256&lt;安値!K256,安値!J256&lt;安値!L256),5,""))</f>
        <v/>
      </c>
      <c r="F256" s="503">
        <f>IF(終値!A256="","",IF(AND(安値!K256&lt;安値!J256,安値!K256&lt;安値!I256,安値!K256&lt;安値!L256,安値!K256&lt;安値!M256),6,""))</f>
        <v>6</v>
      </c>
      <c r="G256" s="503" t="str">
        <f>IF(終値!A256="","",IF(AND(安値!L256&lt;安値!K256,安値!L256&lt;安値!J256,安値!L256&lt;安値!M256,安値!L256&lt;安値!N256),7,""))</f>
        <v/>
      </c>
      <c r="H256" s="503" t="str">
        <f>IF(終値!A256="","",IF(AND(安値!M256&lt;安値!L256,安値!M256&lt;安値!K256,安値!M256&lt;安値!N256,安値!M256&lt;安値!O256),8,""))</f>
        <v/>
      </c>
      <c r="I256" s="503" t="str">
        <f>IF(終値!A256="","",IF(AND(安値!N256&lt;安値!M256,安値!N256&lt;安値!L256,安値!N256&lt;安値!O256,安値!N256&lt;安値!P256),9,""))</f>
        <v/>
      </c>
      <c r="J256" s="503" t="str">
        <f>IF(終値!A256="","",IF(AND(安値!O256&lt;安値!N256,安値!O256&lt;安値!M256,安値!O256&lt;安値!P256,安値!O256&lt;安値!Q256),10,""))</f>
        <v/>
      </c>
      <c r="K256" s="503" t="str">
        <f>IF(終値!A256="","",IF(AND(安値!P256&lt;安値!O256,安値!P256&lt;安値!N256,安値!P256&lt;安値!Q256,安値!P256&lt;安値!R256),11,""))</f>
        <v/>
      </c>
      <c r="L256" s="503" t="str">
        <f>IF(終値!A256="","",IF(AND(安値!Q256&lt;安値!P256,安値!Q256&lt;安値!O256,安値!Q256&lt;安値!R256,安値!Q256&lt;安値!S256),12,""))</f>
        <v/>
      </c>
      <c r="M256" s="503">
        <f>IF(終値!A256="","",IF(AND(安値!R256&lt;安値!Q256,安値!R256&lt;安値!P256,安値!R256&lt;安値!S256,安値!R256&lt;安値!T256),13,""))</f>
        <v>13</v>
      </c>
      <c r="N256" s="503" t="str">
        <f>IF(終値!A256="","",IF(AND(安値!S256&lt;安値!R256,安値!S256&lt;安値!Q256,安値!S256&lt;安値!T256,安値!S256&lt;安値!U256),14,""))</f>
        <v/>
      </c>
      <c r="O256" s="503" t="str">
        <f>IF(終値!A256="","",IF(AND(安値!T256&lt;安値!S256,安値!T256&lt;安値!R256,安値!T256&lt;安値!U256,安値!T256&lt;安値!V256),15,""))</f>
        <v/>
      </c>
      <c r="P256" s="503" t="str">
        <f>IF(終値!A256="","",IF(AND(安値!U256&lt;安値!T256,安値!U256&lt;安値!S256,安値!U256&lt;安値!V256,安値!U256&lt;安値!W256),16,""))</f>
        <v/>
      </c>
      <c r="Q256" s="503" t="str">
        <f>IF(終値!A256="","",IF(AND(安値!V256&lt;安値!U256,安値!V256&lt;安値!T256,安値!V256&lt;安値!W256,安値!V256&lt;安値!X256),17,""))</f>
        <v/>
      </c>
      <c r="R256" s="503">
        <f>IF(終値!A256="","",IF(AND(安値!W256&lt;安値!V256,安値!W256&lt;安値!U256,安値!W256&lt;安値!X256,安値!W256&lt;安値!Y256),18,""))</f>
        <v>18</v>
      </c>
      <c r="S256" s="503" t="str">
        <f>IF(終値!A256="","",IF(AND(安値!X256&lt;安値!W256,安値!X256&lt;安値!V256,安値!X256&lt;安値!Y256,安値!X256&lt;安値!Z256),19,""))</f>
        <v/>
      </c>
      <c r="T256" s="503" t="str">
        <f>IF(終値!A256="","",IF(AND(安値!Y256&lt;安値!X256,安値!Y256&lt;安値!W256,安値!Y256&lt;安値!Z256,安値!Y256&lt;安値!AA256),20,""))</f>
        <v/>
      </c>
      <c r="U256" s="503" t="str">
        <f>IF(終値!A256="","",IF(AND(安値!Z256&lt;安値!Y256,安値!Z256&lt;安値!X256,安値!Z256&lt;安値!AA256,安値!Z256&lt;安値!AB256),21,""))</f>
        <v/>
      </c>
      <c r="V256" s="503" t="str">
        <f>IF(終値!A256="","",IF(AND(安値!AA256&lt;安値!Z256,安値!AA256&lt;安値!Y256,安値!AA256&lt;安値!AB256,安値!AA256&lt;安値!AC256),22,""))</f>
        <v/>
      </c>
      <c r="W256" s="503" t="str">
        <f>IF(終値!A256="","",IF(AND(安値!AB256&lt;安値!AA256,安値!AB256&lt;安値!Z256,安値!AB256&lt;安値!AC256,安値!AB256&lt;安値!AD256),23,""))</f>
        <v/>
      </c>
      <c r="X256" s="503">
        <f>IF(終値!A256="","",IF(AND(安値!AC256&lt;安値!AB256,安値!AC256&lt;安値!AA256,安値!AC256&lt;安値!AD256,安値!AC256&lt;安値!AE256),24,""))</f>
        <v>24</v>
      </c>
      <c r="Y256" s="503" t="str">
        <f>IF(終値!A256="","",IF(AND(安値!AD256&lt;安値!AC256,安値!AD256&lt;安値!AB256,安値!AD256&lt;安値!AE256,安値!AD256&lt;安値!AF256),25,""))</f>
        <v/>
      </c>
      <c r="Z256" s="503" t="str">
        <f>IF(終値!A256="","",IF(AND(安値!AE256&lt;安値!AD256,安値!AE256&lt;安値!AC256,安値!AE256&lt;安値!AF256,安値!AE256&lt;安値!AG256),26,""))</f>
        <v/>
      </c>
      <c r="AA256" s="503" t="str">
        <f>IF(終値!A256="","",IF(AND(安値!AF256&lt;安値!AE256,安値!AF256&lt;安値!AD256,安値!AF256&lt;安値!AG256,安値!AF256&lt;安値!AH256),27,""))</f>
        <v/>
      </c>
      <c r="AB256" s="503" t="str">
        <f>IF(終値!A256="","",IF(AND(安値!AG256&lt;安値!AF256,安値!AG256&lt;安値!AE256,安値!AG256&lt;安値!AH256,安値!AG256&lt;安値!AI256),28,""))</f>
        <v/>
      </c>
      <c r="AC256" s="503" t="str">
        <f>IF(終値!A256="","",IF(AND(高値!G256&gt;高値!F256,高値!G256&gt;高値!E256,高値!G256&gt;高値!H256,高値!G256&gt;高値!I256),2,""))</f>
        <v/>
      </c>
      <c r="AD256" s="503" t="str">
        <f>IF(終値!A256="","",IF(AND(高値!H256&gt;高値!G256,高値!H256&gt;高値!F256,高値!H256&gt;高値!I256,高値!H256&gt;高値!J256),3,""))</f>
        <v/>
      </c>
      <c r="AE256" s="503">
        <f>IF(終値!A256="","",IF(AND(高値!I256&gt;高値!H256,高値!I256&gt;高値!G256,高値!I256&gt;高値!J256,高値!I256&gt;高値!K256),4,""))</f>
        <v>4</v>
      </c>
      <c r="AF256" s="503" t="str">
        <f>IF(終値!A256="","",IF(AND(高値!J256&gt;高値!I256,高値!J256&gt;高値!H256,高値!J256&gt;高値!K256,高値!J256&gt;高値!L256),5,""))</f>
        <v/>
      </c>
      <c r="AG256" s="503" t="str">
        <f>IF(終値!A256="","",IF(AND(高値!K256&gt;高値!J256,高値!K256&gt;高値!I256,高値!K256&gt;高値!L256,高値!K256&gt;高値!M256),6,""))</f>
        <v/>
      </c>
      <c r="AH256" s="503">
        <f>IF(終値!A256="","",IF(AND(高値!L256&gt;高値!K256,高値!L256&gt;高値!J256,高値!L256&gt;高値!M256,高値!L256&gt;高値!N256),7,""))</f>
        <v>7</v>
      </c>
      <c r="AI256" s="503" t="str">
        <f>IF(終値!A256="","",IF(AND(高値!M256&gt;高値!L256,高値!M256&gt;高値!K256,高値!M256&gt;高値!N256,高値!M256&gt;高値!O256),8,""))</f>
        <v/>
      </c>
      <c r="AJ256" s="503" t="str">
        <f>IF(終値!A256="","",IF(AND(高値!N256&gt;高値!M256,高値!N256&gt;高値!L256,高値!N256&gt;高値!O256,高値!N256&gt;高値!P256),9,""))</f>
        <v/>
      </c>
      <c r="AK256" s="503" t="str">
        <f>IF(終値!A256="","",IF(AND(高値!O256&gt;高値!N256,高値!O256&gt;高値!M256,高値!O256&gt;高値!P256,高値!O256&gt;高値!Q256),10,""))</f>
        <v/>
      </c>
      <c r="AL256" s="503" t="str">
        <f>IF(終値!A256="","",IF(AND(高値!P256&gt;高値!O256,高値!P256&gt;高値!N256,高値!P256&gt;高値!Q256,高値!P256&gt;高値!R256),11,""))</f>
        <v/>
      </c>
      <c r="AM256" s="503" t="str">
        <f>IF(終値!A256="","",IF(AND(高値!Q256&gt;高値!P256,高値!Q256&gt;高値!O256,高値!Q256&gt;高値!R256,高値!Q256&gt;高値!S256),12,""))</f>
        <v/>
      </c>
      <c r="AN256" s="503" t="str">
        <f>IF(終値!A256="","",IF(AND(高値!R256&gt;高値!Q256,高値!R256&gt;高値!P256,高値!R256&gt;高値!S256,高値!R256&gt;高値!T256),13,""))</f>
        <v/>
      </c>
      <c r="AO256" s="503">
        <f>IF(終値!A256="","",IF(AND(高値!S256&gt;高値!R256,高値!S256&gt;高値!Q256,高値!S256&gt;高値!T256,高値!S256&gt;高値!U256),14,""))</f>
        <v>14</v>
      </c>
      <c r="AP256" s="503" t="str">
        <f>IF(終値!A256="","",IF(AND(高値!T256&gt;高値!S256,高値!T256&gt;高値!R256,高値!T256&gt;高値!U256,高値!T256&gt;高値!V256),15,""))</f>
        <v/>
      </c>
      <c r="AQ256" s="503" t="str">
        <f>IF(終値!A256="","",IF(AND(高値!U256&gt;高値!T256,高値!U256&gt;高値!S256,高値!U256&gt;高値!V256,高値!U256&gt;高値!W256),16,""))</f>
        <v/>
      </c>
      <c r="AR256" s="503" t="str">
        <f>IF(終値!A256="","",IF(AND(高値!V256&gt;高値!U256,高値!V256&gt;高値!T256,高値!V256&gt;高値!W256,高値!V256&gt;高値!X256),17,""))</f>
        <v/>
      </c>
      <c r="AS256" s="503" t="str">
        <f>IF(終値!A256="","",IF(AND(高値!W256&gt;高値!V256,高値!W256&gt;高値!U256,高値!W256&gt;高値!X256,高値!W256&gt;高値!Y256),18,""))</f>
        <v/>
      </c>
      <c r="AT256" s="503" t="str">
        <f>IF(終値!A256="","",IF(AND(高値!X256&gt;高値!W256,高値!X256&gt;高値!V256,高値!X256&gt;高値!Y256,高値!X256&gt;高値!Z256),19,""))</f>
        <v/>
      </c>
      <c r="AU256" s="503">
        <f>IF(終値!A256="","",IF(AND(高値!Y256&gt;高値!X256,高値!Y256&gt;高値!W256,高値!Y256&gt;高値!Z256,高値!Y256&gt;高値!AA256),20,""))</f>
        <v>20</v>
      </c>
      <c r="AV256" s="503" t="str">
        <f>IF(終値!A256="","",IF(AND(高値!Z256&gt;高値!Y256,高値!Z256&gt;高値!X256,高値!Z256&gt;高値!AA256,高値!Z256&gt;高値!AB256),21,""))</f>
        <v/>
      </c>
      <c r="AW256" s="503" t="str">
        <f>IF(終値!A256="","",IF(AND(高値!AA256&gt;高値!Z256,高値!AA256&gt;高値!Y256,高値!AA256&gt;高値!AB256,高値!AA256&gt;高値!AC256),22,""))</f>
        <v/>
      </c>
      <c r="AX256" s="503" t="str">
        <f>IF(終値!A256="","",IF(AND(高値!AB256&gt;高値!AA256,高値!AB256&gt;高値!Z256,高値!AB256&gt;高値!AC256,高値!AB256&gt;高値!AD256),23,""))</f>
        <v/>
      </c>
      <c r="AY256" s="503" t="str">
        <f>IF(終値!A256="","",IF(AND(高値!AC256&gt;高値!AB256,高値!AC256&gt;高値!AA256,高値!AC256&gt;高値!AD256,高値!AC256&gt;高値!AE256),24,""))</f>
        <v/>
      </c>
      <c r="AZ256" s="503" t="str">
        <f>IF(終値!A256="","",IF(AND(高値!AD256&gt;高値!AC256,高値!AD256&gt;高値!AB256,高値!AD256&gt;高値!AE256,高値!AD256&gt;高値!AF256),25,""))</f>
        <v/>
      </c>
      <c r="BA256" s="503" t="str">
        <f>IF(終値!A256="","",IF(AND(高値!AE256&gt;高値!AD256,高値!AE256&gt;高値!AC256,高値!AE256&gt;高値!AF256,高値!AE256&gt;高値!AG256),26,""))</f>
        <v/>
      </c>
      <c r="BB256" s="503" t="str">
        <f>IF(終値!A256="","",IF(AND(高値!AF256&gt;高値!AE256,高値!AF256&gt;高値!AD256,高値!AF256&gt;高値!AG256,高値!AF256&gt;高値!AH256),27,""))</f>
        <v/>
      </c>
      <c r="BC256" s="503" t="str">
        <f>IF(終値!A256="","",IF(AND(高値!AG256&gt;高値!AF256,高値!AG256&gt;高値!AE256,高値!AG256&gt;高値!AH256,高値!AG256&gt;高値!AI256),28,""))</f>
        <v/>
      </c>
      <c r="BD256" s="503">
        <f t="shared" si="18"/>
        <v>5</v>
      </c>
      <c r="BE256" s="503">
        <f t="shared" si="19"/>
        <v>3</v>
      </c>
      <c r="BF256" s="503">
        <f t="shared" si="20"/>
        <v>6</v>
      </c>
      <c r="BG256" s="503">
        <f>IF($BE256="","",INDEX(安値!$E256:$CZ256,1,$BE256+1))</f>
        <v>4055</v>
      </c>
      <c r="BH256" s="503">
        <f>IF($BF256="","",INDEX(安値!$E256:$CZ256,1,$BF256+1))</f>
        <v>3995</v>
      </c>
      <c r="BI256" s="503">
        <f>IF($BF256="","",MAX(INDEX(高値!$E256:$CZ256,1,$BE256+1):INDEX(高値!$E256:$CZ256,1,$BF256+1)))</f>
        <v>4475</v>
      </c>
      <c r="BJ256" s="503">
        <f>IF($BF256="","",AVERAGE(INDEX(終値!$E256:$CZ256,1,$BF256+1):INDEX(終値!$E256:$CZ256,1,$BF256+20))-2*STDEVP(INDEX(終値!$E256:$CZ256,1,$BF256+1):INDEX(終値!$E256:$CZ256,1,$BF256+20)))</f>
        <v>3399.5914421748284</v>
      </c>
      <c r="BK256" s="503">
        <f>IF($BE256="","",AVERAGE(INDEX(終値!$E256:$CZ256,1,$BE256+1):INDEX(終値!$E256:$CZ256,1,$BE256+20))-2*STDEVP(INDEX(終値!$E256:$CZ256,1,$BE256+1):INDEX(終値!$E256:$CZ256,1,$BE256+20)))</f>
        <v>3595.5279578297204</v>
      </c>
      <c r="BL256" s="503">
        <f t="shared" si="21"/>
        <v>4</v>
      </c>
      <c r="BM256" s="503">
        <f t="shared" si="22"/>
        <v>4</v>
      </c>
      <c r="BN256" s="503">
        <f t="shared" si="23"/>
        <v>7</v>
      </c>
      <c r="BO256" s="503">
        <f>IF($BM256="","",INDEX(高値!$E256:$CZ256,1,$BM256+1))</f>
        <v>4475</v>
      </c>
      <c r="BP256" s="503">
        <f>IF($BN256="","",INDEX(高値!$E256:$CZ256,1,$BN256+1))</f>
        <v>4605</v>
      </c>
      <c r="BQ256" s="503">
        <f>IF($BN256="","",MIN(INDEX(安値!$E256:$CZ256,1,$BM256+1):INDEX(安値!$E256:$CZ256,1,$BN256+1)))</f>
        <v>3995</v>
      </c>
      <c r="BR256" s="503">
        <f>IF($BN256="","",AVERAGE(INDEX(終値!$E256:$CZ256,1,$BN256+1):INDEX(終値!$E256:$CZ256,1,$BN256+20))+2*STDEVP(INDEX(終値!$E256:$CZ256,1,$BN256+1):INDEX(終値!$E256:$CZ256,1,$BN256+20)))</f>
        <v>4501.1328517049169</v>
      </c>
      <c r="BS256" s="503">
        <f>IF($BM256="","",AVERAGE(INDEX(終値!$E256:$CZ256,1,$BM256+1):INDEX(終値!$E256:$CZ256,1,$BM256+20))+2*STDEVP(INDEX(終値!$E256:$CZ256,1,$BM256+1):INDEX(終値!$E256:$CZ256,1,$BM256+20)))</f>
        <v>4543.0486870451459</v>
      </c>
      <c r="BT256" s="500"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二番底W形成</v>
      </c>
    </row>
    <row r="257" spans="2:72">
      <c r="B257" s="503" t="str">
        <f>IF(終値!A257="","",IF(AND(安値!G257&lt;安値!F257,安値!G257&lt;安値!E257,安値!G257&lt;安値!H257,安値!G257&lt;安値!I257),2,""))</f>
        <v/>
      </c>
      <c r="C257" s="503" t="str">
        <f>IF(終値!A257="","",IF(AND(安値!H257&lt;安値!G257,安値!H257&lt;安値!F257,安値!H257&lt;安値!I257,安値!H257&lt;安値!J257),3,""))</f>
        <v/>
      </c>
      <c r="D257" s="503" t="str">
        <f>IF(終値!A257="","",IF(AND(安値!I257&lt;安値!H257,安値!I257&lt;安値!G257,安値!I257&lt;安値!J257,安値!I257&lt;安値!K257),4,""))</f>
        <v/>
      </c>
      <c r="E257" s="503" t="str">
        <f>IF(終値!A257="","",IF(AND(安値!J257&lt;安値!I257,安値!J257&lt;安値!H257,安値!J257&lt;安値!K257,安値!J257&lt;安値!L257),5,""))</f>
        <v/>
      </c>
      <c r="F257" s="503">
        <f>IF(終値!A257="","",IF(AND(安値!K257&lt;安値!J257,安値!K257&lt;安値!I257,安値!K257&lt;安値!L257,安値!K257&lt;安値!M257),6,""))</f>
        <v>6</v>
      </c>
      <c r="G257" s="503" t="str">
        <f>IF(終値!A257="","",IF(AND(安値!L257&lt;安値!K257,安値!L257&lt;安値!J257,安値!L257&lt;安値!M257,安値!L257&lt;安値!N257),7,""))</f>
        <v/>
      </c>
      <c r="H257" s="503" t="str">
        <f>IF(終値!A257="","",IF(AND(安値!M257&lt;安値!L257,安値!M257&lt;安値!K257,安値!M257&lt;安値!N257,安値!M257&lt;安値!O257),8,""))</f>
        <v/>
      </c>
      <c r="I257" s="503" t="str">
        <f>IF(終値!A257="","",IF(AND(安値!N257&lt;安値!M257,安値!N257&lt;安値!L257,安値!N257&lt;安値!O257,安値!N257&lt;安値!P257),9,""))</f>
        <v/>
      </c>
      <c r="J257" s="503" t="str">
        <f>IF(終値!A257="","",IF(AND(安値!O257&lt;安値!N257,安値!O257&lt;安値!M257,安値!O257&lt;安値!P257,安値!O257&lt;安値!Q257),10,""))</f>
        <v/>
      </c>
      <c r="K257" s="503" t="str">
        <f>IF(終値!A257="","",IF(AND(安値!P257&lt;安値!O257,安値!P257&lt;安値!N257,安値!P257&lt;安値!Q257,安値!P257&lt;安値!R257),11,""))</f>
        <v/>
      </c>
      <c r="L257" s="503" t="str">
        <f>IF(終値!A257="","",IF(AND(安値!Q257&lt;安値!P257,安値!Q257&lt;安値!O257,安値!Q257&lt;安値!R257,安値!Q257&lt;安値!S257),12,""))</f>
        <v/>
      </c>
      <c r="M257" s="503">
        <f>IF(終値!A257="","",IF(AND(安値!R257&lt;安値!Q257,安値!R257&lt;安値!P257,安値!R257&lt;安値!S257,安値!R257&lt;安値!T257),13,""))</f>
        <v>13</v>
      </c>
      <c r="N257" s="503" t="str">
        <f>IF(終値!A257="","",IF(AND(安値!S257&lt;安値!R257,安値!S257&lt;安値!Q257,安値!S257&lt;安値!T257,安値!S257&lt;安値!U257),14,""))</f>
        <v/>
      </c>
      <c r="O257" s="503" t="str">
        <f>IF(終値!A257="","",IF(AND(安値!T257&lt;安値!S257,安値!T257&lt;安値!R257,安値!T257&lt;安値!U257,安値!T257&lt;安値!V257),15,""))</f>
        <v/>
      </c>
      <c r="P257" s="503" t="str">
        <f>IF(終値!A257="","",IF(AND(安値!U257&lt;安値!T257,安値!U257&lt;安値!S257,安値!U257&lt;安値!V257,安値!U257&lt;安値!W257),16,""))</f>
        <v/>
      </c>
      <c r="Q257" s="503" t="str">
        <f>IF(終値!A257="","",IF(AND(安値!V257&lt;安値!U257,安値!V257&lt;安値!T257,安値!V257&lt;安値!W257,安値!V257&lt;安値!X257),17,""))</f>
        <v/>
      </c>
      <c r="R257" s="503" t="str">
        <f>IF(終値!A257="","",IF(AND(安値!W257&lt;安値!V257,安値!W257&lt;安値!U257,安値!W257&lt;安値!X257,安値!W257&lt;安値!Y257),18,""))</f>
        <v/>
      </c>
      <c r="S257" s="503">
        <f>IF(終値!A257="","",IF(AND(安値!X257&lt;安値!W257,安値!X257&lt;安値!V257,安値!X257&lt;安値!Y257,安値!X257&lt;安値!Z257),19,""))</f>
        <v>19</v>
      </c>
      <c r="T257" s="503" t="str">
        <f>IF(終値!A257="","",IF(AND(安値!Y257&lt;安値!X257,安値!Y257&lt;安値!W257,安値!Y257&lt;安値!Z257,安値!Y257&lt;安値!AA257),20,""))</f>
        <v/>
      </c>
      <c r="U257" s="503" t="str">
        <f>IF(終値!A257="","",IF(AND(安値!Z257&lt;安値!Y257,安値!Z257&lt;安値!X257,安値!Z257&lt;安値!AA257,安値!Z257&lt;安値!AB257),21,""))</f>
        <v/>
      </c>
      <c r="V257" s="503" t="str">
        <f>IF(終値!A257="","",IF(AND(安値!AA257&lt;安値!Z257,安値!AA257&lt;安値!Y257,安値!AA257&lt;安値!AB257,安値!AA257&lt;安値!AC257),22,""))</f>
        <v/>
      </c>
      <c r="W257" s="503" t="str">
        <f>IF(終値!A257="","",IF(AND(安値!AB257&lt;安値!AA257,安値!AB257&lt;安値!Z257,安値!AB257&lt;安値!AC257,安値!AB257&lt;安値!AD257),23,""))</f>
        <v/>
      </c>
      <c r="X257" s="503" t="str">
        <f>IF(終値!A257="","",IF(AND(安値!AC257&lt;安値!AB257,安値!AC257&lt;安値!AA257,安値!AC257&lt;安値!AD257,安値!AC257&lt;安値!AE257),24,""))</f>
        <v/>
      </c>
      <c r="Y257" s="503" t="str">
        <f>IF(終値!A257="","",IF(AND(安値!AD257&lt;安値!AC257,安値!AD257&lt;安値!AB257,安値!AD257&lt;安値!AE257,安値!AD257&lt;安値!AF257),25,""))</f>
        <v/>
      </c>
      <c r="Z257" s="503">
        <f>IF(終値!A257="","",IF(AND(安値!AE257&lt;安値!AD257,安値!AE257&lt;安値!AC257,安値!AE257&lt;安値!AF257,安値!AE257&lt;安値!AG257),26,""))</f>
        <v>26</v>
      </c>
      <c r="AA257" s="503" t="str">
        <f>IF(終値!A257="","",IF(AND(安値!AF257&lt;安値!AE257,安値!AF257&lt;安値!AD257,安値!AF257&lt;安値!AG257,安値!AF257&lt;安値!AH257),27,""))</f>
        <v/>
      </c>
      <c r="AB257" s="503" t="str">
        <f>IF(終値!A257="","",IF(AND(安値!AG257&lt;安値!AF257,安値!AG257&lt;安値!AE257,安値!AG257&lt;安値!AH257,安値!AG257&lt;安値!AI257),28,""))</f>
        <v/>
      </c>
      <c r="AC257" s="503" t="str">
        <f>IF(終値!A257="","",IF(AND(高値!G257&gt;高値!F257,高値!G257&gt;高値!E257,高値!G257&gt;高値!H257,高値!G257&gt;高値!I257),2,""))</f>
        <v/>
      </c>
      <c r="AD257" s="503" t="str">
        <f>IF(終値!A257="","",IF(AND(高値!H257&gt;高値!G257,高値!H257&gt;高値!F257,高値!H257&gt;高値!I257,高値!H257&gt;高値!J257),3,""))</f>
        <v/>
      </c>
      <c r="AE257" s="503" t="str">
        <f>IF(終値!A257="","",IF(AND(高値!I257&gt;高値!H257,高値!I257&gt;高値!G257,高値!I257&gt;高値!J257,高値!I257&gt;高値!K257),4,""))</f>
        <v/>
      </c>
      <c r="AF257" s="503" t="str">
        <f>IF(終値!A257="","",IF(AND(高値!J257&gt;高値!I257,高値!J257&gt;高値!H257,高値!J257&gt;高値!K257,高値!J257&gt;高値!L257),5,""))</f>
        <v/>
      </c>
      <c r="AG257" s="503" t="str">
        <f>IF(終値!A257="","",IF(AND(高値!K257&gt;高値!J257,高値!K257&gt;高値!I257,高値!K257&gt;高値!L257,高値!K257&gt;高値!M257),6,""))</f>
        <v/>
      </c>
      <c r="AH257" s="503" t="str">
        <f>IF(終値!A257="","",IF(AND(高値!L257&gt;高値!K257,高値!L257&gt;高値!J257,高値!L257&gt;高値!M257,高値!L257&gt;高値!N257),7,""))</f>
        <v/>
      </c>
      <c r="AI257" s="503" t="str">
        <f>IF(終値!A257="","",IF(AND(高値!M257&gt;高値!L257,高値!M257&gt;高値!K257,高値!M257&gt;高値!N257,高値!M257&gt;高値!O257),8,""))</f>
        <v/>
      </c>
      <c r="AJ257" s="503" t="str">
        <f>IF(終値!A257="","",IF(AND(高値!N257&gt;高値!M257,高値!N257&gt;高値!L257,高値!N257&gt;高値!O257,高値!N257&gt;高値!P257),9,""))</f>
        <v/>
      </c>
      <c r="AK257" s="503" t="str">
        <f>IF(終値!A257="","",IF(AND(高値!O257&gt;高値!N257,高値!O257&gt;高値!M257,高値!O257&gt;高値!P257,高値!O257&gt;高値!Q257),10,""))</f>
        <v/>
      </c>
      <c r="AL257" s="503">
        <f>IF(終値!A257="","",IF(AND(高値!P257&gt;高値!O257,高値!P257&gt;高値!N257,高値!P257&gt;高値!Q257,高値!P257&gt;高値!R257),11,""))</f>
        <v>11</v>
      </c>
      <c r="AM257" s="503" t="str">
        <f>IF(終値!A257="","",IF(AND(高値!Q257&gt;高値!P257,高値!Q257&gt;高値!O257,高値!Q257&gt;高値!R257,高値!Q257&gt;高値!S257),12,""))</f>
        <v/>
      </c>
      <c r="AN257" s="503" t="str">
        <f>IF(終値!A257="","",IF(AND(高値!R257&gt;高値!Q257,高値!R257&gt;高値!P257,高値!R257&gt;高値!S257,高値!R257&gt;高値!T257),13,""))</f>
        <v/>
      </c>
      <c r="AO257" s="503" t="str">
        <f>IF(終値!A257="","",IF(AND(高値!S257&gt;高値!R257,高値!S257&gt;高値!Q257,高値!S257&gt;高値!T257,高値!S257&gt;高値!U257),14,""))</f>
        <v/>
      </c>
      <c r="AP257" s="503" t="str">
        <f>IF(終値!A257="","",IF(AND(高値!T257&gt;高値!S257,高値!T257&gt;高値!R257,高値!T257&gt;高値!U257,高値!T257&gt;高値!V257),15,""))</f>
        <v/>
      </c>
      <c r="AQ257" s="503" t="str">
        <f>IF(終値!A257="","",IF(AND(高値!U257&gt;高値!T257,高値!U257&gt;高値!S257,高値!U257&gt;高値!V257,高値!U257&gt;高値!W257),16,""))</f>
        <v/>
      </c>
      <c r="AR257" s="503" t="str">
        <f>IF(終値!A257="","",IF(AND(高値!V257&gt;高値!U257,高値!V257&gt;高値!T257,高値!V257&gt;高値!W257,高値!V257&gt;高値!X257),17,""))</f>
        <v/>
      </c>
      <c r="AS257" s="503" t="str">
        <f>IF(終値!A257="","",IF(AND(高値!W257&gt;高値!V257,高値!W257&gt;高値!U257,高値!W257&gt;高値!X257,高値!W257&gt;高値!Y257),18,""))</f>
        <v/>
      </c>
      <c r="AT257" s="503" t="str">
        <f>IF(終値!A257="","",IF(AND(高値!X257&gt;高値!W257,高値!X257&gt;高値!V257,高値!X257&gt;高値!Y257,高値!X257&gt;高値!Z257),19,""))</f>
        <v/>
      </c>
      <c r="AU257" s="503" t="str">
        <f>IF(終値!A257="","",IF(AND(高値!Y257&gt;高値!X257,高値!Y257&gt;高値!W257,高値!Y257&gt;高値!Z257,高値!Y257&gt;高値!AA257),20,""))</f>
        <v/>
      </c>
      <c r="AV257" s="503" t="str">
        <f>IF(終値!A257="","",IF(AND(高値!Z257&gt;高値!Y257,高値!Z257&gt;高値!X257,高値!Z257&gt;高値!AA257,高値!Z257&gt;高値!AB257),21,""))</f>
        <v/>
      </c>
      <c r="AW257" s="503" t="str">
        <f>IF(終値!A257="","",IF(AND(高値!AA257&gt;高値!Z257,高値!AA257&gt;高値!Y257,高値!AA257&gt;高値!AB257,高値!AA257&gt;高値!AC257),22,""))</f>
        <v/>
      </c>
      <c r="AX257" s="503" t="str">
        <f>IF(終値!A257="","",IF(AND(高値!AB257&gt;高値!AA257,高値!AB257&gt;高値!Z257,高値!AB257&gt;高値!AC257,高値!AB257&gt;高値!AD257),23,""))</f>
        <v/>
      </c>
      <c r="AY257" s="503">
        <f>IF(終値!A257="","",IF(AND(高値!AC257&gt;高値!AB257,高値!AC257&gt;高値!AA257,高値!AC257&gt;高値!AD257,高値!AC257&gt;高値!AE257),24,""))</f>
        <v>24</v>
      </c>
      <c r="AZ257" s="503" t="str">
        <f>IF(終値!A257="","",IF(AND(高値!AD257&gt;高値!AC257,高値!AD257&gt;高値!AB257,高値!AD257&gt;高値!AE257,高値!AD257&gt;高値!AF257),25,""))</f>
        <v/>
      </c>
      <c r="BA257" s="503" t="str">
        <f>IF(終値!A257="","",IF(AND(高値!AE257&gt;高値!AD257,高値!AE257&gt;高値!AC257,高値!AE257&gt;高値!AF257,高値!AE257&gt;高値!AG257),26,""))</f>
        <v/>
      </c>
      <c r="BB257" s="503" t="str">
        <f>IF(終値!A257="","",IF(AND(高値!AF257&gt;高値!AE257,高値!AF257&gt;高値!AD257,高値!AF257&gt;高値!AG257,高値!AF257&gt;高値!AH257),27,""))</f>
        <v/>
      </c>
      <c r="BC257" s="503" t="str">
        <f>IF(終値!A257="","",IF(AND(高値!AG257&gt;高値!AF257,高値!AG257&gt;高値!AE257,高値!AG257&gt;高値!AH257,高値!AG257&gt;高値!AI257),28,""))</f>
        <v/>
      </c>
      <c r="BD257" s="503">
        <f t="shared" si="18"/>
        <v>4</v>
      </c>
      <c r="BE257" s="503">
        <f t="shared" si="19"/>
        <v>6</v>
      </c>
      <c r="BF257" s="503">
        <f t="shared" si="20"/>
        <v>13</v>
      </c>
      <c r="BG257" s="503">
        <f>IF($BE257="","",INDEX(安値!$E257:$CZ257,1,$BE257+1))</f>
        <v>2906</v>
      </c>
      <c r="BH257" s="503">
        <f>IF($BF257="","",INDEX(安値!$E257:$CZ257,1,$BF257+1))</f>
        <v>3115</v>
      </c>
      <c r="BI257" s="503">
        <f>IF($BF257="","",MAX(INDEX(高値!$E257:$CZ257,1,$BE257+1):INDEX(高値!$E257:$CZ257,1,$BF257+1)))</f>
        <v>3470</v>
      </c>
      <c r="BJ257" s="503">
        <f>IF($BF257="","",AVERAGE(INDEX(終値!$E257:$CZ257,1,$BF257+1):INDEX(終値!$E257:$CZ257,1,$BF257+20))-2*STDEVP(INDEX(終値!$E257:$CZ257,1,$BF257+1):INDEX(終値!$E257:$CZ257,1,$BF257+20)))</f>
        <v>3152.8474100533613</v>
      </c>
      <c r="BK257" s="503">
        <f>IF($BE257="","",AVERAGE(INDEX(終値!$E257:$CZ257,1,$BE257+1):INDEX(終値!$E257:$CZ257,1,$BE257+20))-2*STDEVP(INDEX(終値!$E257:$CZ257,1,$BE257+1):INDEX(終値!$E257:$CZ257,1,$BE257+20)))</f>
        <v>2998.7611608378616</v>
      </c>
      <c r="BL257" s="503">
        <f t="shared" si="21"/>
        <v>2</v>
      </c>
      <c r="BM257" s="503">
        <f t="shared" si="22"/>
        <v>11</v>
      </c>
      <c r="BN257" s="503">
        <f t="shared" si="23"/>
        <v>24</v>
      </c>
      <c r="BO257" s="503">
        <f>IF($BM257="","",INDEX(高値!$E257:$CZ257,1,$BM257+1))</f>
        <v>3470</v>
      </c>
      <c r="BP257" s="503">
        <f>IF($BN257="","",INDEX(高値!$E257:$CZ257,1,$BN257+1))</f>
        <v>4120</v>
      </c>
      <c r="BQ257" s="503">
        <f>IF($BN257="","",MIN(INDEX(安値!$E257:$CZ257,1,$BM257+1):INDEX(安値!$E257:$CZ257,1,$BN257+1)))</f>
        <v>3115</v>
      </c>
      <c r="BR257" s="503">
        <f>IF($BN257="","",AVERAGE(INDEX(終値!$E257:$CZ257,1,$BN257+1):INDEX(終値!$E257:$CZ257,1,$BN257+20))+2*STDEVP(INDEX(終値!$E257:$CZ257,1,$BN257+1):INDEX(終値!$E257:$CZ257,1,$BN257+20)))</f>
        <v>4560.547098526652</v>
      </c>
      <c r="BS257" s="503">
        <f>IF($BM257="","",AVERAGE(INDEX(終値!$E257:$CZ257,1,$BM257+1):INDEX(終値!$E257:$CZ257,1,$BM257+20))+2*STDEVP(INDEX(終値!$E257:$CZ257,1,$BM257+1):INDEX(終値!$E257:$CZ257,1,$BM257+20)))</f>
        <v>4364.0809123975878</v>
      </c>
      <c r="BT257" s="500"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3" t="str">
        <f>IF(終値!A258="","",IF(AND(安値!G258&lt;安値!F258,安値!G258&lt;安値!E258,安値!G258&lt;安値!H258,安値!G258&lt;安値!I258),2,""))</f>
        <v/>
      </c>
      <c r="C258" s="503">
        <f>IF(終値!A258="","",IF(AND(安値!H258&lt;安値!G258,安値!H258&lt;安値!F258,安値!H258&lt;安値!I258,安値!H258&lt;安値!J258),3,""))</f>
        <v>3</v>
      </c>
      <c r="D258" s="503" t="str">
        <f>IF(終値!A258="","",IF(AND(安値!I258&lt;安値!H258,安値!I258&lt;安値!G258,安値!I258&lt;安値!J258,安値!I258&lt;安値!K258),4,""))</f>
        <v/>
      </c>
      <c r="E258" s="503" t="str">
        <f>IF(終値!A258="","",IF(AND(安値!J258&lt;安値!I258,安値!J258&lt;安値!H258,安値!J258&lt;安値!K258,安値!J258&lt;安値!L258),5,""))</f>
        <v/>
      </c>
      <c r="F258" s="503">
        <f>IF(終値!A258="","",IF(AND(安値!K258&lt;安値!J258,安値!K258&lt;安値!I258,安値!K258&lt;安値!L258,安値!K258&lt;安値!M258),6,""))</f>
        <v>6</v>
      </c>
      <c r="G258" s="503" t="str">
        <f>IF(終値!A258="","",IF(AND(安値!L258&lt;安値!K258,安値!L258&lt;安値!J258,安値!L258&lt;安値!M258,安値!L258&lt;安値!N258),7,""))</f>
        <v/>
      </c>
      <c r="H258" s="503" t="str">
        <f>IF(終値!A258="","",IF(AND(安値!M258&lt;安値!L258,安値!M258&lt;安値!K258,安値!M258&lt;安値!N258,安値!M258&lt;安値!O258),8,""))</f>
        <v/>
      </c>
      <c r="I258" s="503">
        <f>IF(終値!A258="","",IF(AND(安値!N258&lt;安値!M258,安値!N258&lt;安値!L258,安値!N258&lt;安値!O258,安値!N258&lt;安値!P258),9,""))</f>
        <v>9</v>
      </c>
      <c r="J258" s="503" t="str">
        <f>IF(終値!A258="","",IF(AND(安値!O258&lt;安値!N258,安値!O258&lt;安値!M258,安値!O258&lt;安値!P258,安値!O258&lt;安値!Q258),10,""))</f>
        <v/>
      </c>
      <c r="K258" s="503" t="str">
        <f>IF(終値!A258="","",IF(AND(安値!P258&lt;安値!O258,安値!P258&lt;安値!N258,安値!P258&lt;安値!Q258,安値!P258&lt;安値!R258),11,""))</f>
        <v/>
      </c>
      <c r="L258" s="503" t="str">
        <f>IF(終値!A258="","",IF(AND(安値!Q258&lt;安値!P258,安値!Q258&lt;安値!O258,安値!Q258&lt;安値!R258,安値!Q258&lt;安値!S258),12,""))</f>
        <v/>
      </c>
      <c r="M258" s="503" t="str">
        <f>IF(終値!A258="","",IF(AND(安値!R258&lt;安値!Q258,安値!R258&lt;安値!P258,安値!R258&lt;安値!S258,安値!R258&lt;安値!T258),13,""))</f>
        <v/>
      </c>
      <c r="N258" s="503" t="str">
        <f>IF(終値!A258="","",IF(AND(安値!S258&lt;安値!R258,安値!S258&lt;安値!Q258,安値!S258&lt;安値!T258,安値!S258&lt;安値!U258),14,""))</f>
        <v/>
      </c>
      <c r="O258" s="503" t="str">
        <f>IF(終値!A258="","",IF(AND(安値!T258&lt;安値!S258,安値!T258&lt;安値!R258,安値!T258&lt;安値!U258,安値!T258&lt;安値!V258),15,""))</f>
        <v/>
      </c>
      <c r="P258" s="503" t="str">
        <f>IF(終値!A258="","",IF(AND(安値!U258&lt;安値!T258,安値!U258&lt;安値!S258,安値!U258&lt;安値!V258,安値!U258&lt;安値!W258),16,""))</f>
        <v/>
      </c>
      <c r="Q258" s="503" t="str">
        <f>IF(終値!A258="","",IF(AND(安値!V258&lt;安値!U258,安値!V258&lt;安値!T258,安値!V258&lt;安値!W258,安値!V258&lt;安値!X258),17,""))</f>
        <v/>
      </c>
      <c r="R258" s="503">
        <f>IF(終値!A258="","",IF(AND(安値!W258&lt;安値!V258,安値!W258&lt;安値!U258,安値!W258&lt;安値!X258,安値!W258&lt;安値!Y258),18,""))</f>
        <v>18</v>
      </c>
      <c r="S258" s="503" t="str">
        <f>IF(終値!A258="","",IF(AND(安値!X258&lt;安値!W258,安値!X258&lt;安値!V258,安値!X258&lt;安値!Y258,安値!X258&lt;安値!Z258),19,""))</f>
        <v/>
      </c>
      <c r="T258" s="503" t="str">
        <f>IF(終値!A258="","",IF(AND(安値!Y258&lt;安値!X258,安値!Y258&lt;安値!W258,安値!Y258&lt;安値!Z258,安値!Y258&lt;安値!AA258),20,""))</f>
        <v/>
      </c>
      <c r="U258" s="503" t="str">
        <f>IF(終値!A258="","",IF(AND(安値!Z258&lt;安値!Y258,安値!Z258&lt;安値!X258,安値!Z258&lt;安値!AA258,安値!Z258&lt;安値!AB258),21,""))</f>
        <v/>
      </c>
      <c r="V258" s="503" t="str">
        <f>IF(終値!A258="","",IF(AND(安値!AA258&lt;安値!Z258,安値!AA258&lt;安値!Y258,安値!AA258&lt;安値!AB258,安値!AA258&lt;安値!AC258),22,""))</f>
        <v/>
      </c>
      <c r="W258" s="503" t="str">
        <f>IF(終値!A258="","",IF(AND(安値!AB258&lt;安値!AA258,安値!AB258&lt;安値!Z258,安値!AB258&lt;安値!AC258,安値!AB258&lt;安値!AD258),23,""))</f>
        <v/>
      </c>
      <c r="X258" s="503" t="str">
        <f>IF(終値!A258="","",IF(AND(安値!AC258&lt;安値!AB258,安値!AC258&lt;安値!AA258,安値!AC258&lt;安値!AD258,安値!AC258&lt;安値!AE258),24,""))</f>
        <v/>
      </c>
      <c r="Y258" s="503" t="str">
        <f>IF(終値!A258="","",IF(AND(安値!AD258&lt;安値!AC258,安値!AD258&lt;安値!AB258,安値!AD258&lt;安値!AE258,安値!AD258&lt;安値!AF258),25,""))</f>
        <v/>
      </c>
      <c r="Z258" s="503" t="str">
        <f>IF(終値!A258="","",IF(AND(安値!AE258&lt;安値!AD258,安値!AE258&lt;安値!AC258,安値!AE258&lt;安値!AF258,安値!AE258&lt;安値!AG258),26,""))</f>
        <v/>
      </c>
      <c r="AA258" s="503">
        <f>IF(終値!A258="","",IF(AND(安値!AF258&lt;安値!AE258,安値!AF258&lt;安値!AD258,安値!AF258&lt;安値!AG258,安値!AF258&lt;安値!AH258),27,""))</f>
        <v>27</v>
      </c>
      <c r="AB258" s="503" t="str">
        <f>IF(終値!A258="","",IF(AND(安値!AG258&lt;安値!AF258,安値!AG258&lt;安値!AE258,安値!AG258&lt;安値!AH258,安値!AG258&lt;安値!AI258),28,""))</f>
        <v/>
      </c>
      <c r="AC258" s="503" t="str">
        <f>IF(終値!A258="","",IF(AND(高値!G258&gt;高値!F258,高値!G258&gt;高値!E258,高値!G258&gt;高値!H258,高値!G258&gt;高値!I258),2,""))</f>
        <v/>
      </c>
      <c r="AD258" s="503" t="str">
        <f>IF(終値!A258="","",IF(AND(高値!H258&gt;高値!G258,高値!H258&gt;高値!F258,高値!H258&gt;高値!I258,高値!H258&gt;高値!J258),3,""))</f>
        <v/>
      </c>
      <c r="AE258" s="503" t="str">
        <f>IF(終値!A258="","",IF(AND(高値!I258&gt;高値!H258,高値!I258&gt;高値!G258,高値!I258&gt;高値!J258,高値!I258&gt;高値!K258),4,""))</f>
        <v/>
      </c>
      <c r="AF258" s="503" t="str">
        <f>IF(終値!A258="","",IF(AND(高値!J258&gt;高値!I258,高値!J258&gt;高値!H258,高値!J258&gt;高値!K258,高値!J258&gt;高値!L258),5,""))</f>
        <v/>
      </c>
      <c r="AG258" s="503" t="str">
        <f>IF(終値!A258="","",IF(AND(高値!K258&gt;高値!J258,高値!K258&gt;高値!I258,高値!K258&gt;高値!L258,高値!K258&gt;高値!M258),6,""))</f>
        <v/>
      </c>
      <c r="AH258" s="503">
        <f>IF(終値!A258="","",IF(AND(高値!L258&gt;高値!K258,高値!L258&gt;高値!J258,高値!L258&gt;高値!M258,高値!L258&gt;高値!N258),7,""))</f>
        <v>7</v>
      </c>
      <c r="AI258" s="503" t="str">
        <f>IF(終値!A258="","",IF(AND(高値!M258&gt;高値!L258,高値!M258&gt;高値!K258,高値!M258&gt;高値!N258,高値!M258&gt;高値!O258),8,""))</f>
        <v/>
      </c>
      <c r="AJ258" s="503" t="str">
        <f>IF(終値!A258="","",IF(AND(高値!N258&gt;高値!M258,高値!N258&gt;高値!L258,高値!N258&gt;高値!O258,高値!N258&gt;高値!P258),9,""))</f>
        <v/>
      </c>
      <c r="AK258" s="503" t="str">
        <f>IF(終値!A258="","",IF(AND(高値!O258&gt;高値!N258,高値!O258&gt;高値!M258,高値!O258&gt;高値!P258,高値!O258&gt;高値!Q258),10,""))</f>
        <v/>
      </c>
      <c r="AL258" s="503" t="str">
        <f>IF(終値!A258="","",IF(AND(高値!P258&gt;高値!O258,高値!P258&gt;高値!N258,高値!P258&gt;高値!Q258,高値!P258&gt;高値!R258),11,""))</f>
        <v/>
      </c>
      <c r="AM258" s="503">
        <f>IF(終値!A258="","",IF(AND(高値!Q258&gt;高値!P258,高値!Q258&gt;高値!O258,高値!Q258&gt;高値!R258,高値!Q258&gt;高値!S258),12,""))</f>
        <v>12</v>
      </c>
      <c r="AN258" s="503" t="str">
        <f>IF(終値!A258="","",IF(AND(高値!R258&gt;高値!Q258,高値!R258&gt;高値!P258,高値!R258&gt;高値!S258,高値!R258&gt;高値!T258),13,""))</f>
        <v/>
      </c>
      <c r="AO258" s="503" t="str">
        <f>IF(終値!A258="","",IF(AND(高値!S258&gt;高値!R258,高値!S258&gt;高値!Q258,高値!S258&gt;高値!T258,高値!S258&gt;高値!U258),14,""))</f>
        <v/>
      </c>
      <c r="AP258" s="503" t="str">
        <f>IF(終値!A258="","",IF(AND(高値!T258&gt;高値!S258,高値!T258&gt;高値!R258,高値!T258&gt;高値!U258,高値!T258&gt;高値!V258),15,""))</f>
        <v/>
      </c>
      <c r="AQ258" s="503" t="str">
        <f>IF(終値!A258="","",IF(AND(高値!U258&gt;高値!T258,高値!U258&gt;高値!S258,高値!U258&gt;高値!V258,高値!U258&gt;高値!W258),16,""))</f>
        <v/>
      </c>
      <c r="AR258" s="503" t="str">
        <f>IF(終値!A258="","",IF(AND(高値!V258&gt;高値!U258,高値!V258&gt;高値!T258,高値!V258&gt;高値!W258,高値!V258&gt;高値!X258),17,""))</f>
        <v/>
      </c>
      <c r="AS258" s="503" t="str">
        <f>IF(終値!A258="","",IF(AND(高値!W258&gt;高値!V258,高値!W258&gt;高値!U258,高値!W258&gt;高値!X258,高値!W258&gt;高値!Y258),18,""))</f>
        <v/>
      </c>
      <c r="AT258" s="503">
        <f>IF(終値!A258="","",IF(AND(高値!X258&gt;高値!W258,高値!X258&gt;高値!V258,高値!X258&gt;高値!Y258,高値!X258&gt;高値!Z258),19,""))</f>
        <v>19</v>
      </c>
      <c r="AU258" s="503" t="str">
        <f>IF(終値!A258="","",IF(AND(高値!Y258&gt;高値!X258,高値!Y258&gt;高値!W258,高値!Y258&gt;高値!Z258,高値!Y258&gt;高値!AA258),20,""))</f>
        <v/>
      </c>
      <c r="AV258" s="503" t="str">
        <f>IF(終値!A258="","",IF(AND(高値!Z258&gt;高値!Y258,高値!Z258&gt;高値!X258,高値!Z258&gt;高値!AA258,高値!Z258&gt;高値!AB258),21,""))</f>
        <v/>
      </c>
      <c r="AW258" s="503" t="str">
        <f>IF(終値!A258="","",IF(AND(高値!AA258&gt;高値!Z258,高値!AA258&gt;高値!Y258,高値!AA258&gt;高値!AB258,高値!AA258&gt;高値!AC258),22,""))</f>
        <v/>
      </c>
      <c r="AX258" s="503" t="str">
        <f>IF(終値!A258="","",IF(AND(高値!AB258&gt;高値!AA258,高値!AB258&gt;高値!Z258,高値!AB258&gt;高値!AC258,高値!AB258&gt;高値!AD258),23,""))</f>
        <v/>
      </c>
      <c r="AY258" s="503" t="str">
        <f>IF(終値!A258="","",IF(AND(高値!AC258&gt;高値!AB258,高値!AC258&gt;高値!AA258,高値!AC258&gt;高値!AD258,高値!AC258&gt;高値!AE258),24,""))</f>
        <v/>
      </c>
      <c r="AZ258" s="503" t="str">
        <f>IF(終値!A258="","",IF(AND(高値!AD258&gt;高値!AC258,高値!AD258&gt;高値!AB258,高値!AD258&gt;高値!AE258,高値!AD258&gt;高値!AF258),25,""))</f>
        <v/>
      </c>
      <c r="BA258" s="503" t="str">
        <f>IF(終値!A258="","",IF(AND(高値!AE258&gt;高値!AD258,高値!AE258&gt;高値!AC258,高値!AE258&gt;高値!AF258,高値!AE258&gt;高値!AG258),26,""))</f>
        <v/>
      </c>
      <c r="BB258" s="503" t="str">
        <f>IF(終値!A258="","",IF(AND(高値!AF258&gt;高値!AE258,高値!AF258&gt;高値!AD258,高値!AF258&gt;高値!AG258,高値!AF258&gt;高値!AH258),27,""))</f>
        <v/>
      </c>
      <c r="BC258" s="503" t="str">
        <f>IF(終値!A258="","",IF(AND(高値!AG258&gt;高値!AF258,高値!AG258&gt;高値!AE258,高値!AG258&gt;高値!AH258,高値!AG258&gt;高値!AI258),28,""))</f>
        <v/>
      </c>
      <c r="BD258" s="503">
        <f t="shared" si="18"/>
        <v>5</v>
      </c>
      <c r="BE258" s="503">
        <f t="shared" si="19"/>
        <v>3</v>
      </c>
      <c r="BF258" s="503">
        <f t="shared" si="20"/>
        <v>6</v>
      </c>
      <c r="BG258" s="503">
        <f>IF($BE258="","",INDEX(安値!$E258:$CZ258,1,$BE258+1))</f>
        <v>1387</v>
      </c>
      <c r="BH258" s="503">
        <f>IF($BF258="","",INDEX(安値!$E258:$CZ258,1,$BF258+1))</f>
        <v>1452</v>
      </c>
      <c r="BI258" s="503">
        <f>IF($BF258="","",MAX(INDEX(高値!$E258:$CZ258,1,$BE258+1):INDEX(高値!$E258:$CZ258,1,$BF258+1)))</f>
        <v>1602</v>
      </c>
      <c r="BJ258" s="503">
        <f>IF($BF258="","",AVERAGE(INDEX(終値!$E258:$CZ258,1,$BF258+1):INDEX(終値!$E258:$CZ258,1,$BF258+20))-2*STDEVP(INDEX(終値!$E258:$CZ258,1,$BF258+1):INDEX(終値!$E258:$CZ258,1,$BF258+20)))</f>
        <v>1393.3168426774105</v>
      </c>
      <c r="BK258" s="503">
        <f>IF($BE258="","",AVERAGE(INDEX(終値!$E258:$CZ258,1,$BE258+1):INDEX(終値!$E258:$CZ258,1,$BE258+20))-2*STDEVP(INDEX(終値!$E258:$CZ258,1,$BE258+1):INDEX(終値!$E258:$CZ258,1,$BE258+20)))</f>
        <v>1467.6235700306015</v>
      </c>
      <c r="BL258" s="503">
        <f t="shared" si="21"/>
        <v>3</v>
      </c>
      <c r="BM258" s="503">
        <f t="shared" si="22"/>
        <v>7</v>
      </c>
      <c r="BN258" s="503">
        <f t="shared" si="23"/>
        <v>12</v>
      </c>
      <c r="BO258" s="503">
        <f>IF($BM258="","",INDEX(高値!$E258:$CZ258,1,$BM258+1))</f>
        <v>1700</v>
      </c>
      <c r="BP258" s="503">
        <f>IF($BN258="","",INDEX(高値!$E258:$CZ258,1,$BN258+1))</f>
        <v>1746</v>
      </c>
      <c r="BQ258" s="503">
        <f>IF($BN258="","",MIN(INDEX(安値!$E258:$CZ258,1,$BM258+1):INDEX(安値!$E258:$CZ258,1,$BN258+1)))</f>
        <v>1464</v>
      </c>
      <c r="BR258" s="503">
        <f>IF($BN258="","",AVERAGE(INDEX(終値!$E258:$CZ258,1,$BN258+1):INDEX(終値!$E258:$CZ258,1,$BN258+20))+2*STDEVP(INDEX(終値!$E258:$CZ258,1,$BN258+1):INDEX(終値!$E258:$CZ258,1,$BN258+20)))</f>
        <v>1849.2158069600912</v>
      </c>
      <c r="BS258" s="503">
        <f>IF($BM258="","",AVERAGE(INDEX(終値!$E258:$CZ258,1,$BM258+1):INDEX(終値!$E258:$CZ258,1,$BM258+20))+2*STDEVP(INDEX(終値!$E258:$CZ258,1,$BM258+1):INDEX(終値!$E258:$CZ258,1,$BM258+20)))</f>
        <v>1797.8492352274325</v>
      </c>
      <c r="BT258" s="500"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二番底W形成</v>
      </c>
    </row>
    <row r="259" spans="2:72">
      <c r="B259" s="503" t="str">
        <f>IF(終値!A259="","",IF(AND(安値!G259&lt;安値!F259,安値!G259&lt;安値!E259,安値!G259&lt;安値!H259,安値!G259&lt;安値!I259),2,""))</f>
        <v/>
      </c>
      <c r="C259" s="503">
        <f>IF(終値!A259="","",IF(AND(安値!H259&lt;安値!G259,安値!H259&lt;安値!F259,安値!H259&lt;安値!I259,安値!H259&lt;安値!J259),3,""))</f>
        <v>3</v>
      </c>
      <c r="D259" s="503" t="str">
        <f>IF(終値!A259="","",IF(AND(安値!I259&lt;安値!H259,安値!I259&lt;安値!G259,安値!I259&lt;安値!J259,安値!I259&lt;安値!K259),4,""))</f>
        <v/>
      </c>
      <c r="E259" s="503" t="str">
        <f>IF(終値!A259="","",IF(AND(安値!J259&lt;安値!I259,安値!J259&lt;安値!H259,安値!J259&lt;安値!K259,安値!J259&lt;安値!L259),5,""))</f>
        <v/>
      </c>
      <c r="F259" s="503" t="str">
        <f>IF(終値!A259="","",IF(AND(安値!K259&lt;安値!J259,安値!K259&lt;安値!I259,安値!K259&lt;安値!L259,安値!K259&lt;安値!M259),6,""))</f>
        <v/>
      </c>
      <c r="G259" s="503" t="str">
        <f>IF(終値!A259="","",IF(AND(安値!L259&lt;安値!K259,安値!L259&lt;安値!J259,安値!L259&lt;安値!M259,安値!L259&lt;安値!N259),7,""))</f>
        <v/>
      </c>
      <c r="H259" s="503" t="str">
        <f>IF(終値!A259="","",IF(AND(安値!M259&lt;安値!L259,安値!M259&lt;安値!K259,安値!M259&lt;安値!N259,安値!M259&lt;安値!O259),8,""))</f>
        <v/>
      </c>
      <c r="I259" s="503" t="str">
        <f>IF(終値!A259="","",IF(AND(安値!N259&lt;安値!M259,安値!N259&lt;安値!L259,安値!N259&lt;安値!O259,安値!N259&lt;安値!P259),9,""))</f>
        <v/>
      </c>
      <c r="J259" s="503" t="str">
        <f>IF(終値!A259="","",IF(AND(安値!O259&lt;安値!N259,安値!O259&lt;安値!M259,安値!O259&lt;安値!P259,安値!O259&lt;安値!Q259),10,""))</f>
        <v/>
      </c>
      <c r="K259" s="503" t="str">
        <f>IF(終値!A259="","",IF(AND(安値!P259&lt;安値!O259,安値!P259&lt;安値!N259,安値!P259&lt;安値!Q259,安値!P259&lt;安値!R259),11,""))</f>
        <v/>
      </c>
      <c r="L259" s="503" t="str">
        <f>IF(終値!A259="","",IF(AND(安値!Q259&lt;安値!P259,安値!Q259&lt;安値!O259,安値!Q259&lt;安値!R259,安値!Q259&lt;安値!S259),12,""))</f>
        <v/>
      </c>
      <c r="M259" s="503" t="str">
        <f>IF(終値!A259="","",IF(AND(安値!R259&lt;安値!Q259,安値!R259&lt;安値!P259,安値!R259&lt;安値!S259,安値!R259&lt;安値!T259),13,""))</f>
        <v/>
      </c>
      <c r="N259" s="503" t="str">
        <f>IF(終値!A259="","",IF(AND(安値!S259&lt;安値!R259,安値!S259&lt;安値!Q259,安値!S259&lt;安値!T259,安値!S259&lt;安値!U259),14,""))</f>
        <v/>
      </c>
      <c r="O259" s="503" t="str">
        <f>IF(終値!A259="","",IF(AND(安値!T259&lt;安値!S259,安値!T259&lt;安値!R259,安値!T259&lt;安値!U259,安値!T259&lt;安値!V259),15,""))</f>
        <v/>
      </c>
      <c r="P259" s="503" t="str">
        <f>IF(終値!A259="","",IF(AND(安値!U259&lt;安値!T259,安値!U259&lt;安値!S259,安値!U259&lt;安値!V259,安値!U259&lt;安値!W259),16,""))</f>
        <v/>
      </c>
      <c r="Q259" s="503">
        <f>IF(終値!A259="","",IF(AND(安値!V259&lt;安値!U259,安値!V259&lt;安値!T259,安値!V259&lt;安値!W259,安値!V259&lt;安値!X259),17,""))</f>
        <v>17</v>
      </c>
      <c r="R259" s="503" t="str">
        <f>IF(終値!A259="","",IF(AND(安値!W259&lt;安値!V259,安値!W259&lt;安値!U259,安値!W259&lt;安値!X259,安値!W259&lt;安値!Y259),18,""))</f>
        <v/>
      </c>
      <c r="S259" s="503" t="str">
        <f>IF(終値!A259="","",IF(AND(安値!X259&lt;安値!W259,安値!X259&lt;安値!V259,安値!X259&lt;安値!Y259,安値!X259&lt;安値!Z259),19,""))</f>
        <v/>
      </c>
      <c r="T259" s="503" t="str">
        <f>IF(終値!A259="","",IF(AND(安値!Y259&lt;安値!X259,安値!Y259&lt;安値!W259,安値!Y259&lt;安値!Z259,安値!Y259&lt;安値!AA259),20,""))</f>
        <v/>
      </c>
      <c r="U259" s="503" t="str">
        <f>IF(終値!A259="","",IF(AND(安値!Z259&lt;安値!Y259,安値!Z259&lt;安値!X259,安値!Z259&lt;安値!AA259,安値!Z259&lt;安値!AB259),21,""))</f>
        <v/>
      </c>
      <c r="V259" s="503" t="str">
        <f>IF(終値!A259="","",IF(AND(安値!AA259&lt;安値!Z259,安値!AA259&lt;安値!Y259,安値!AA259&lt;安値!AB259,安値!AA259&lt;安値!AC259),22,""))</f>
        <v/>
      </c>
      <c r="W259" s="503" t="str">
        <f>IF(終値!A259="","",IF(AND(安値!AB259&lt;安値!AA259,安値!AB259&lt;安値!Z259,安値!AB259&lt;安値!AC259,安値!AB259&lt;安値!AD259),23,""))</f>
        <v/>
      </c>
      <c r="X259" s="503">
        <f>IF(終値!A259="","",IF(AND(安値!AC259&lt;安値!AB259,安値!AC259&lt;安値!AA259,安値!AC259&lt;安値!AD259,安値!AC259&lt;安値!AE259),24,""))</f>
        <v>24</v>
      </c>
      <c r="Y259" s="503" t="str">
        <f>IF(終値!A259="","",IF(AND(安値!AD259&lt;安値!AC259,安値!AD259&lt;安値!AB259,安値!AD259&lt;安値!AE259,安値!AD259&lt;安値!AF259),25,""))</f>
        <v/>
      </c>
      <c r="Z259" s="503" t="str">
        <f>IF(終値!A259="","",IF(AND(安値!AE259&lt;安値!AD259,安値!AE259&lt;安値!AC259,安値!AE259&lt;安値!AF259,安値!AE259&lt;安値!AG259),26,""))</f>
        <v/>
      </c>
      <c r="AA259" s="503">
        <f>IF(終値!A259="","",IF(AND(安値!AF259&lt;安値!AE259,安値!AF259&lt;安値!AD259,安値!AF259&lt;安値!AG259,安値!AF259&lt;安値!AH259),27,""))</f>
        <v>27</v>
      </c>
      <c r="AB259" s="503" t="str">
        <f>IF(終値!A259="","",IF(AND(安値!AG259&lt;安値!AF259,安値!AG259&lt;安値!AE259,安値!AG259&lt;安値!AH259,安値!AG259&lt;安値!AI259),28,""))</f>
        <v/>
      </c>
      <c r="AC259" s="503" t="str">
        <f>IF(終値!A259="","",IF(AND(高値!G259&gt;高値!F259,高値!G259&gt;高値!E259,高値!G259&gt;高値!H259,高値!G259&gt;高値!I259),2,""))</f>
        <v/>
      </c>
      <c r="AD259" s="503" t="str">
        <f>IF(終値!A259="","",IF(AND(高値!H259&gt;高値!G259,高値!H259&gt;高値!F259,高値!H259&gt;高値!I259,高値!H259&gt;高値!J259),3,""))</f>
        <v/>
      </c>
      <c r="AE259" s="503" t="str">
        <f>IF(終値!A259="","",IF(AND(高値!I259&gt;高値!H259,高値!I259&gt;高値!G259,高値!I259&gt;高値!J259,高値!I259&gt;高値!K259),4,""))</f>
        <v/>
      </c>
      <c r="AF259" s="503" t="str">
        <f>IF(終値!A259="","",IF(AND(高値!J259&gt;高値!I259,高値!J259&gt;高値!H259,高値!J259&gt;高値!K259,高値!J259&gt;高値!L259),5,""))</f>
        <v/>
      </c>
      <c r="AG259" s="503" t="str">
        <f>IF(終値!A259="","",IF(AND(高値!K259&gt;高値!J259,高値!K259&gt;高値!I259,高値!K259&gt;高値!L259,高値!K259&gt;高値!M259),6,""))</f>
        <v/>
      </c>
      <c r="AH259" s="503" t="str">
        <f>IF(終値!A259="","",IF(AND(高値!L259&gt;高値!K259,高値!L259&gt;高値!J259,高値!L259&gt;高値!M259,高値!L259&gt;高値!N259),7,""))</f>
        <v/>
      </c>
      <c r="AI259" s="503">
        <f>IF(終値!A259="","",IF(AND(高値!M259&gt;高値!L259,高値!M259&gt;高値!K259,高値!M259&gt;高値!N259,高値!M259&gt;高値!O259),8,""))</f>
        <v>8</v>
      </c>
      <c r="AJ259" s="503" t="str">
        <f>IF(終値!A259="","",IF(AND(高値!N259&gt;高値!M259,高値!N259&gt;高値!L259,高値!N259&gt;高値!O259,高値!N259&gt;高値!P259),9,""))</f>
        <v/>
      </c>
      <c r="AK259" s="503" t="str">
        <f>IF(終値!A259="","",IF(AND(高値!O259&gt;高値!N259,高値!O259&gt;高値!M259,高値!O259&gt;高値!P259,高値!O259&gt;高値!Q259),10,""))</f>
        <v/>
      </c>
      <c r="AL259" s="503" t="str">
        <f>IF(終値!A259="","",IF(AND(高値!P259&gt;高値!O259,高値!P259&gt;高値!N259,高値!P259&gt;高値!Q259,高値!P259&gt;高値!R259),11,""))</f>
        <v/>
      </c>
      <c r="AM259" s="503" t="str">
        <f>IF(終値!A259="","",IF(AND(高値!Q259&gt;高値!P259,高値!Q259&gt;高値!O259,高値!Q259&gt;高値!R259,高値!Q259&gt;高値!S259),12,""))</f>
        <v/>
      </c>
      <c r="AN259" s="503" t="str">
        <f>IF(終値!A259="","",IF(AND(高値!R259&gt;高値!Q259,高値!R259&gt;高値!P259,高値!R259&gt;高値!S259,高値!R259&gt;高値!T259),13,""))</f>
        <v/>
      </c>
      <c r="AO259" s="503" t="str">
        <f>IF(終値!A259="","",IF(AND(高値!S259&gt;高値!R259,高値!S259&gt;高値!Q259,高値!S259&gt;高値!T259,高値!S259&gt;高値!U259),14,""))</f>
        <v/>
      </c>
      <c r="AP259" s="503" t="str">
        <f>IF(終値!A259="","",IF(AND(高値!T259&gt;高値!S259,高値!T259&gt;高値!R259,高値!T259&gt;高値!U259,高値!T259&gt;高値!V259),15,""))</f>
        <v/>
      </c>
      <c r="AQ259" s="503" t="str">
        <f>IF(終値!A259="","",IF(AND(高値!U259&gt;高値!T259,高値!U259&gt;高値!S259,高値!U259&gt;高値!V259,高値!U259&gt;高値!W259),16,""))</f>
        <v/>
      </c>
      <c r="AR259" s="503" t="str">
        <f>IF(終値!A259="","",IF(AND(高値!V259&gt;高値!U259,高値!V259&gt;高値!T259,高値!V259&gt;高値!W259,高値!V259&gt;高値!X259),17,""))</f>
        <v/>
      </c>
      <c r="AS259" s="503">
        <f>IF(終値!A259="","",IF(AND(高値!W259&gt;高値!V259,高値!W259&gt;高値!U259,高値!W259&gt;高値!X259,高値!W259&gt;高値!Y259),18,""))</f>
        <v>18</v>
      </c>
      <c r="AT259" s="503" t="str">
        <f>IF(終値!A259="","",IF(AND(高値!X259&gt;高値!W259,高値!X259&gt;高値!V259,高値!X259&gt;高値!Y259,高値!X259&gt;高値!Z259),19,""))</f>
        <v/>
      </c>
      <c r="AU259" s="503" t="str">
        <f>IF(終値!A259="","",IF(AND(高値!Y259&gt;高値!X259,高値!Y259&gt;高値!W259,高値!Y259&gt;高値!Z259,高値!Y259&gt;高値!AA259),20,""))</f>
        <v/>
      </c>
      <c r="AV259" s="503" t="str">
        <f>IF(終値!A259="","",IF(AND(高値!Z259&gt;高値!Y259,高値!Z259&gt;高値!X259,高値!Z259&gt;高値!AA259,高値!Z259&gt;高値!AB259),21,""))</f>
        <v/>
      </c>
      <c r="AW259" s="503" t="str">
        <f>IF(終値!A259="","",IF(AND(高値!AA259&gt;高値!Z259,高値!AA259&gt;高値!Y259,高値!AA259&gt;高値!AB259,高値!AA259&gt;高値!AC259),22,""))</f>
        <v/>
      </c>
      <c r="AX259" s="503" t="str">
        <f>IF(終値!A259="","",IF(AND(高値!AB259&gt;高値!AA259,高値!AB259&gt;高値!Z259,高値!AB259&gt;高値!AC259,高値!AB259&gt;高値!AD259),23,""))</f>
        <v/>
      </c>
      <c r="AY259" s="503" t="str">
        <f>IF(終値!A259="","",IF(AND(高値!AC259&gt;高値!AB259,高値!AC259&gt;高値!AA259,高値!AC259&gt;高値!AD259,高値!AC259&gt;高値!AE259),24,""))</f>
        <v/>
      </c>
      <c r="AZ259" s="503" t="str">
        <f>IF(終値!A259="","",IF(AND(高値!AD259&gt;高値!AC259,高値!AD259&gt;高値!AB259,高値!AD259&gt;高値!AE259,高値!AD259&gt;高値!AF259),25,""))</f>
        <v/>
      </c>
      <c r="BA259" s="503" t="str">
        <f>IF(終値!A259="","",IF(AND(高値!AE259&gt;高値!AD259,高値!AE259&gt;高値!AC259,高値!AE259&gt;高値!AF259,高値!AE259&gt;高値!AG259),26,""))</f>
        <v/>
      </c>
      <c r="BB259" s="503" t="str">
        <f>IF(終値!A259="","",IF(AND(高値!AF259&gt;高値!AE259,高値!AF259&gt;高値!AD259,高値!AF259&gt;高値!AG259,高値!AF259&gt;高値!AH259),27,""))</f>
        <v/>
      </c>
      <c r="BC259" s="503" t="str">
        <f>IF(終値!A259="","",IF(AND(高値!AG259&gt;高値!AF259,高値!AG259&gt;高値!AE259,高値!AG259&gt;高値!AH259,高値!AG259&gt;高値!AI259),28,""))</f>
        <v/>
      </c>
      <c r="BD259" s="503">
        <f t="shared" si="18"/>
        <v>4</v>
      </c>
      <c r="BE259" s="503">
        <f t="shared" si="19"/>
        <v>3</v>
      </c>
      <c r="BF259" s="503">
        <f t="shared" si="20"/>
        <v>17</v>
      </c>
      <c r="BG259" s="503">
        <f>IF($BE259="","",INDEX(安値!$E259:$CZ259,1,$BE259+1))</f>
        <v>5658</v>
      </c>
      <c r="BH259" s="503">
        <f>IF($BF259="","",INDEX(安値!$E259:$CZ259,1,$BF259+1))</f>
        <v>5318</v>
      </c>
      <c r="BI259" s="503">
        <f>IF($BF259="","",MAX(INDEX(高値!$E259:$CZ259,1,$BE259+1):INDEX(高値!$E259:$CZ259,1,$BF259+1)))</f>
        <v>6022</v>
      </c>
      <c r="BJ259" s="503">
        <f>IF($BF259="","",AVERAGE(INDEX(終値!$E259:$CZ259,1,$BF259+1):INDEX(終値!$E259:$CZ259,1,$BF259+20))-2*STDEVP(INDEX(終値!$E259:$CZ259,1,$BF259+1):INDEX(終値!$E259:$CZ259,1,$BF259+20)))</f>
        <v>5033.30350276832</v>
      </c>
      <c r="BK259" s="503">
        <f>IF($BE259="","",AVERAGE(INDEX(終値!$E259:$CZ259,1,$BE259+1):INDEX(終値!$E259:$CZ259,1,$BE259+20))-2*STDEVP(INDEX(終値!$E259:$CZ259,1,$BE259+1):INDEX(終値!$E259:$CZ259,1,$BE259+20)))</f>
        <v>5153.868386791818</v>
      </c>
      <c r="BL259" s="503">
        <f t="shared" si="21"/>
        <v>2</v>
      </c>
      <c r="BM259" s="503">
        <f t="shared" si="22"/>
        <v>8</v>
      </c>
      <c r="BN259" s="503">
        <f t="shared" si="23"/>
        <v>18</v>
      </c>
      <c r="BO259" s="503">
        <f>IF($BM259="","",INDEX(高値!$E259:$CZ259,1,$BM259+1))</f>
        <v>6022</v>
      </c>
      <c r="BP259" s="503">
        <f>IF($BN259="","",INDEX(高値!$E259:$CZ259,1,$BN259+1))</f>
        <v>5550</v>
      </c>
      <c r="BQ259" s="503">
        <f>IF($BN259="","",MIN(INDEX(安値!$E259:$CZ259,1,$BM259+1):INDEX(安値!$E259:$CZ259,1,$BN259+1)))</f>
        <v>5318</v>
      </c>
      <c r="BR259" s="503">
        <f>IF($BN259="","",AVERAGE(INDEX(終値!$E259:$CZ259,1,$BN259+1):INDEX(終値!$E259:$CZ259,1,$BN259+20))+2*STDEVP(INDEX(終値!$E259:$CZ259,1,$BN259+1):INDEX(終値!$E259:$CZ259,1,$BN259+20)))</f>
        <v>5695.345914540294</v>
      </c>
      <c r="BS259" s="503">
        <f>IF($BM259="","",AVERAGE(INDEX(終値!$E259:$CZ259,1,$BM259+1):INDEX(終値!$E259:$CZ259,1,$BM259+20))+2*STDEVP(INDEX(終値!$E259:$CZ259,1,$BM259+1):INDEX(終値!$E259:$CZ259,1,$BM259+20)))</f>
        <v>5950.6135327513621</v>
      </c>
      <c r="BT259" s="500"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3" t="str">
        <f>IF(終値!A260="","",IF(AND(安値!G260&lt;安値!F260,安値!G260&lt;安値!E260,安値!G260&lt;安値!H260,安値!G260&lt;安値!I260),2,""))</f>
        <v/>
      </c>
      <c r="C260" s="503" t="str">
        <f>IF(終値!A260="","",IF(AND(安値!H260&lt;安値!G260,安値!H260&lt;安値!F260,安値!H260&lt;安値!I260,安値!H260&lt;安値!J260),3,""))</f>
        <v/>
      </c>
      <c r="D260" s="503" t="str">
        <f>IF(終値!A260="","",IF(AND(安値!I260&lt;安値!H260,安値!I260&lt;安値!G260,安値!I260&lt;安値!J260,安値!I260&lt;安値!K260),4,""))</f>
        <v/>
      </c>
      <c r="E260" s="503">
        <f>IF(終値!A260="","",IF(AND(安値!J260&lt;安値!I260,安値!J260&lt;安値!H260,安値!J260&lt;安値!K260,安値!J260&lt;安値!L260),5,""))</f>
        <v>5</v>
      </c>
      <c r="F260" s="503" t="str">
        <f>IF(終値!A260="","",IF(AND(安値!K260&lt;安値!J260,安値!K260&lt;安値!I260,安値!K260&lt;安値!L260,安値!K260&lt;安値!M260),6,""))</f>
        <v/>
      </c>
      <c r="G260" s="503" t="str">
        <f>IF(終値!A260="","",IF(AND(安値!L260&lt;安値!K260,安値!L260&lt;安値!J260,安値!L260&lt;安値!M260,安値!L260&lt;安値!N260),7,""))</f>
        <v/>
      </c>
      <c r="H260" s="503" t="str">
        <f>IF(終値!A260="","",IF(AND(安値!M260&lt;安値!L260,安値!M260&lt;安値!K260,安値!M260&lt;安値!N260,安値!M260&lt;安値!O260),8,""))</f>
        <v/>
      </c>
      <c r="I260" s="503" t="str">
        <f>IF(終値!A260="","",IF(AND(安値!N260&lt;安値!M260,安値!N260&lt;安値!L260,安値!N260&lt;安値!O260,安値!N260&lt;安値!P260),9,""))</f>
        <v/>
      </c>
      <c r="J260" s="503" t="str">
        <f>IF(終値!A260="","",IF(AND(安値!O260&lt;安値!N260,安値!O260&lt;安値!M260,安値!O260&lt;安値!P260,安値!O260&lt;安値!Q260),10,""))</f>
        <v/>
      </c>
      <c r="K260" s="503" t="str">
        <f>IF(終値!A260="","",IF(AND(安値!P260&lt;安値!O260,安値!P260&lt;安値!N260,安値!P260&lt;安値!Q260,安値!P260&lt;安値!R260),11,""))</f>
        <v/>
      </c>
      <c r="L260" s="503" t="str">
        <f>IF(終値!A260="","",IF(AND(安値!Q260&lt;安値!P260,安値!Q260&lt;安値!O260,安値!Q260&lt;安値!R260,安値!Q260&lt;安値!S260),12,""))</f>
        <v/>
      </c>
      <c r="M260" s="503">
        <f>IF(終値!A260="","",IF(AND(安値!R260&lt;安値!Q260,安値!R260&lt;安値!P260,安値!R260&lt;安値!S260,安値!R260&lt;安値!T260),13,""))</f>
        <v>13</v>
      </c>
      <c r="N260" s="503" t="str">
        <f>IF(終値!A260="","",IF(AND(安値!S260&lt;安値!R260,安値!S260&lt;安値!Q260,安値!S260&lt;安値!T260,安値!S260&lt;安値!U260),14,""))</f>
        <v/>
      </c>
      <c r="O260" s="503" t="str">
        <f>IF(終値!A260="","",IF(AND(安値!T260&lt;安値!S260,安値!T260&lt;安値!R260,安値!T260&lt;安値!U260,安値!T260&lt;安値!V260),15,""))</f>
        <v/>
      </c>
      <c r="P260" s="503" t="str">
        <f>IF(終値!A260="","",IF(AND(安値!U260&lt;安値!T260,安値!U260&lt;安値!S260,安値!U260&lt;安値!V260,安値!U260&lt;安値!W260),16,""))</f>
        <v/>
      </c>
      <c r="Q260" s="503" t="str">
        <f>IF(終値!A260="","",IF(AND(安値!V260&lt;安値!U260,安値!V260&lt;安値!T260,安値!V260&lt;安値!W260,安値!V260&lt;安値!X260),17,""))</f>
        <v/>
      </c>
      <c r="R260" s="503" t="str">
        <f>IF(終値!A260="","",IF(AND(安値!W260&lt;安値!V260,安値!W260&lt;安値!U260,安値!W260&lt;安値!X260,安値!W260&lt;安値!Y260),18,""))</f>
        <v/>
      </c>
      <c r="S260" s="503" t="str">
        <f>IF(終値!A260="","",IF(AND(安値!X260&lt;安値!W260,安値!X260&lt;安値!V260,安値!X260&lt;安値!Y260,安値!X260&lt;安値!Z260),19,""))</f>
        <v/>
      </c>
      <c r="T260" s="503" t="str">
        <f>IF(終値!A260="","",IF(AND(安値!Y260&lt;安値!X260,安値!Y260&lt;安値!W260,安値!Y260&lt;安値!Z260,安値!Y260&lt;安値!AA260),20,""))</f>
        <v/>
      </c>
      <c r="U260" s="503" t="str">
        <f>IF(終値!A260="","",IF(AND(安値!Z260&lt;安値!Y260,安値!Z260&lt;安値!X260,安値!Z260&lt;安値!AA260,安値!Z260&lt;安値!AB260),21,""))</f>
        <v/>
      </c>
      <c r="V260" s="503" t="str">
        <f>IF(終値!A260="","",IF(AND(安値!AA260&lt;安値!Z260,安値!AA260&lt;安値!Y260,安値!AA260&lt;安値!AB260,安値!AA260&lt;安値!AC260),22,""))</f>
        <v/>
      </c>
      <c r="W260" s="503" t="str">
        <f>IF(終値!A260="","",IF(AND(安値!AB260&lt;安値!AA260,安値!AB260&lt;安値!Z260,安値!AB260&lt;安値!AC260,安値!AB260&lt;安値!AD260),23,""))</f>
        <v/>
      </c>
      <c r="X260" s="503">
        <f>IF(終値!A260="","",IF(AND(安値!AC260&lt;安値!AB260,安値!AC260&lt;安値!AA260,安値!AC260&lt;安値!AD260,安値!AC260&lt;安値!AE260),24,""))</f>
        <v>24</v>
      </c>
      <c r="Y260" s="503" t="str">
        <f>IF(終値!A260="","",IF(AND(安値!AD260&lt;安値!AC260,安値!AD260&lt;安値!AB260,安値!AD260&lt;安値!AE260,安値!AD260&lt;安値!AF260),25,""))</f>
        <v/>
      </c>
      <c r="Z260" s="503" t="str">
        <f>IF(終値!A260="","",IF(AND(安値!AE260&lt;安値!AD260,安値!AE260&lt;安値!AC260,安値!AE260&lt;安値!AF260,安値!AE260&lt;安値!AG260),26,""))</f>
        <v/>
      </c>
      <c r="AA260" s="503" t="str">
        <f>IF(終値!A260="","",IF(AND(安値!AF260&lt;安値!AE260,安値!AF260&lt;安値!AD260,安値!AF260&lt;安値!AG260,安値!AF260&lt;安値!AH260),27,""))</f>
        <v/>
      </c>
      <c r="AB260" s="503" t="str">
        <f>IF(終値!A260="","",IF(AND(安値!AG260&lt;安値!AF260,安値!AG260&lt;安値!AE260,安値!AG260&lt;安値!AH260,安値!AG260&lt;安値!AI260),28,""))</f>
        <v/>
      </c>
      <c r="AC260" s="503" t="str">
        <f>IF(終値!A260="","",IF(AND(高値!G260&gt;高値!F260,高値!G260&gt;高値!E260,高値!G260&gt;高値!H260,高値!G260&gt;高値!I260),2,""))</f>
        <v/>
      </c>
      <c r="AD260" s="503" t="str">
        <f>IF(終値!A260="","",IF(AND(高値!H260&gt;高値!G260,高値!H260&gt;高値!F260,高値!H260&gt;高値!I260,高値!H260&gt;高値!J260),3,""))</f>
        <v/>
      </c>
      <c r="AE260" s="503" t="str">
        <f>IF(終値!A260="","",IF(AND(高値!I260&gt;高値!H260,高値!I260&gt;高値!G260,高値!I260&gt;高値!J260,高値!I260&gt;高値!K260),4,""))</f>
        <v/>
      </c>
      <c r="AF260" s="503" t="str">
        <f>IF(終値!A260="","",IF(AND(高値!J260&gt;高値!I260,高値!J260&gt;高値!H260,高値!J260&gt;高値!K260,高値!J260&gt;高値!L260),5,""))</f>
        <v/>
      </c>
      <c r="AG260" s="503" t="str">
        <f>IF(終値!A260="","",IF(AND(高値!K260&gt;高値!J260,高値!K260&gt;高値!I260,高値!K260&gt;高値!L260,高値!K260&gt;高値!M260),6,""))</f>
        <v/>
      </c>
      <c r="AH260" s="503">
        <f>IF(終値!A260="","",IF(AND(高値!L260&gt;高値!K260,高値!L260&gt;高値!J260,高値!L260&gt;高値!M260,高値!L260&gt;高値!N260),7,""))</f>
        <v>7</v>
      </c>
      <c r="AI260" s="503" t="str">
        <f>IF(終値!A260="","",IF(AND(高値!M260&gt;高値!L260,高値!M260&gt;高値!K260,高値!M260&gt;高値!N260,高値!M260&gt;高値!O260),8,""))</f>
        <v/>
      </c>
      <c r="AJ260" s="503" t="str">
        <f>IF(終値!A260="","",IF(AND(高値!N260&gt;高値!M260,高値!N260&gt;高値!L260,高値!N260&gt;高値!O260,高値!N260&gt;高値!P260),9,""))</f>
        <v/>
      </c>
      <c r="AK260" s="503" t="str">
        <f>IF(終値!A260="","",IF(AND(高値!O260&gt;高値!N260,高値!O260&gt;高値!M260,高値!O260&gt;高値!P260,高値!O260&gt;高値!Q260),10,""))</f>
        <v/>
      </c>
      <c r="AL260" s="503">
        <f>IF(終値!A260="","",IF(AND(高値!P260&gt;高値!O260,高値!P260&gt;高値!N260,高値!P260&gt;高値!Q260,高値!P260&gt;高値!R260),11,""))</f>
        <v>11</v>
      </c>
      <c r="AM260" s="503" t="str">
        <f>IF(終値!A260="","",IF(AND(高値!Q260&gt;高値!P260,高値!Q260&gt;高値!O260,高値!Q260&gt;高値!R260,高値!Q260&gt;高値!S260),12,""))</f>
        <v/>
      </c>
      <c r="AN260" s="503" t="str">
        <f>IF(終値!A260="","",IF(AND(高値!R260&gt;高値!Q260,高値!R260&gt;高値!P260,高値!R260&gt;高値!S260,高値!R260&gt;高値!T260),13,""))</f>
        <v/>
      </c>
      <c r="AO260" s="503">
        <f>IF(終値!A260="","",IF(AND(高値!S260&gt;高値!R260,高値!S260&gt;高値!Q260,高値!S260&gt;高値!T260,高値!S260&gt;高値!U260),14,""))</f>
        <v>14</v>
      </c>
      <c r="AP260" s="503" t="str">
        <f>IF(終値!A260="","",IF(AND(高値!T260&gt;高値!S260,高値!T260&gt;高値!R260,高値!T260&gt;高値!U260,高値!T260&gt;高値!V260),15,""))</f>
        <v/>
      </c>
      <c r="AQ260" s="503" t="str">
        <f>IF(終値!A260="","",IF(AND(高値!U260&gt;高値!T260,高値!U260&gt;高値!S260,高値!U260&gt;高値!V260,高値!U260&gt;高値!W260),16,""))</f>
        <v/>
      </c>
      <c r="AR260" s="503" t="str">
        <f>IF(終値!A260="","",IF(AND(高値!V260&gt;高値!U260,高値!V260&gt;高値!T260,高値!V260&gt;高値!W260,高値!V260&gt;高値!X260),17,""))</f>
        <v/>
      </c>
      <c r="AS260" s="503" t="str">
        <f>IF(終値!A260="","",IF(AND(高値!W260&gt;高値!V260,高値!W260&gt;高値!U260,高値!W260&gt;高値!X260,高値!W260&gt;高値!Y260),18,""))</f>
        <v/>
      </c>
      <c r="AT260" s="503" t="str">
        <f>IF(終値!A260="","",IF(AND(高値!X260&gt;高値!W260,高値!X260&gt;高値!V260,高値!X260&gt;高値!Y260,高値!X260&gt;高値!Z260),19,""))</f>
        <v/>
      </c>
      <c r="AU260" s="503">
        <f>IF(終値!A260="","",IF(AND(高値!Y260&gt;高値!X260,高値!Y260&gt;高値!W260,高値!Y260&gt;高値!Z260,高値!Y260&gt;高値!AA260),20,""))</f>
        <v>20</v>
      </c>
      <c r="AV260" s="503" t="str">
        <f>IF(終値!A260="","",IF(AND(高値!Z260&gt;高値!Y260,高値!Z260&gt;高値!X260,高値!Z260&gt;高値!AA260,高値!Z260&gt;高値!AB260),21,""))</f>
        <v/>
      </c>
      <c r="AW260" s="503" t="str">
        <f>IF(終値!A260="","",IF(AND(高値!AA260&gt;高値!Z260,高値!AA260&gt;高値!Y260,高値!AA260&gt;高値!AB260,高値!AA260&gt;高値!AC260),22,""))</f>
        <v/>
      </c>
      <c r="AX260" s="503" t="str">
        <f>IF(終値!A260="","",IF(AND(高値!AB260&gt;高値!AA260,高値!AB260&gt;高値!Z260,高値!AB260&gt;高値!AC260,高値!AB260&gt;高値!AD260),23,""))</f>
        <v/>
      </c>
      <c r="AY260" s="503" t="str">
        <f>IF(終値!A260="","",IF(AND(高値!AC260&gt;高値!AB260,高値!AC260&gt;高値!AA260,高値!AC260&gt;高値!AD260,高値!AC260&gt;高値!AE260),24,""))</f>
        <v/>
      </c>
      <c r="AZ260" s="503" t="str">
        <f>IF(終値!A260="","",IF(AND(高値!AD260&gt;高値!AC260,高値!AD260&gt;高値!AB260,高値!AD260&gt;高値!AE260,高値!AD260&gt;高値!AF260),25,""))</f>
        <v/>
      </c>
      <c r="BA260" s="503" t="str">
        <f>IF(終値!A260="","",IF(AND(高値!AE260&gt;高値!AD260,高値!AE260&gt;高値!AC260,高値!AE260&gt;高値!AF260,高値!AE260&gt;高値!AG260),26,""))</f>
        <v/>
      </c>
      <c r="BB260" s="503" t="str">
        <f>IF(終値!A260="","",IF(AND(高値!AF260&gt;高値!AE260,高値!AF260&gt;高値!AD260,高値!AF260&gt;高値!AG260,高値!AF260&gt;高値!AH260),27,""))</f>
        <v/>
      </c>
      <c r="BC260" s="503" t="str">
        <f>IF(終値!A260="","",IF(AND(高値!AG260&gt;高値!AF260,高値!AG260&gt;高値!AE260,高値!AG260&gt;高値!AH260,高値!AG260&gt;高値!AI260),28,""))</f>
        <v/>
      </c>
      <c r="BD260" s="503">
        <f t="shared" si="18"/>
        <v>3</v>
      </c>
      <c r="BE260" s="503">
        <f t="shared" si="19"/>
        <v>5</v>
      </c>
      <c r="BF260" s="503">
        <f t="shared" si="20"/>
        <v>13</v>
      </c>
      <c r="BG260" s="503">
        <f>IF($BE260="","",INDEX(安値!$E260:$CZ260,1,$BE260+1))</f>
        <v>620</v>
      </c>
      <c r="BH260" s="503">
        <f>IF($BF260="","",INDEX(安値!$E260:$CZ260,1,$BF260+1))</f>
        <v>624</v>
      </c>
      <c r="BI260" s="503">
        <f>IF($BF260="","",MAX(INDEX(高値!$E260:$CZ260,1,$BE260+1):INDEX(高値!$E260:$CZ260,1,$BF260+1)))</f>
        <v>734</v>
      </c>
      <c r="BJ260" s="503">
        <f>IF($BF260="","",AVERAGE(INDEX(終値!$E260:$CZ260,1,$BF260+1):INDEX(終値!$E260:$CZ260,1,$BF260+20))-2*STDEVP(INDEX(終値!$E260:$CZ260,1,$BF260+1):INDEX(終値!$E260:$CZ260,1,$BF260+20)))</f>
        <v>632.05749646090055</v>
      </c>
      <c r="BK260" s="503">
        <f>IF($BE260="","",AVERAGE(INDEX(終値!$E260:$CZ260,1,$BE260+1):INDEX(終値!$E260:$CZ260,1,$BE260+20))-2*STDEVP(INDEX(終値!$E260:$CZ260,1,$BE260+1):INDEX(終値!$E260:$CZ260,1,$BE260+20)))</f>
        <v>623.31155006591382</v>
      </c>
      <c r="BL260" s="503">
        <f t="shared" si="21"/>
        <v>4</v>
      </c>
      <c r="BM260" s="503">
        <f t="shared" si="22"/>
        <v>7</v>
      </c>
      <c r="BN260" s="503">
        <f t="shared" si="23"/>
        <v>11</v>
      </c>
      <c r="BO260" s="503">
        <f>IF($BM260="","",INDEX(高値!$E260:$CZ260,1,$BM260+1))</f>
        <v>734</v>
      </c>
      <c r="BP260" s="503">
        <f>IF($BN260="","",INDEX(高値!$E260:$CZ260,1,$BN260+1))</f>
        <v>716</v>
      </c>
      <c r="BQ260" s="503">
        <f>IF($BN260="","",MIN(INDEX(安値!$E260:$CZ260,1,$BM260+1):INDEX(安値!$E260:$CZ260,1,$BN260+1)))</f>
        <v>685</v>
      </c>
      <c r="BR260" s="503">
        <f>IF($BN260="","",AVERAGE(INDEX(終値!$E260:$CZ260,1,$BN260+1):INDEX(終値!$E260:$CZ260,1,$BN260+20))+2*STDEVP(INDEX(終値!$E260:$CZ260,1,$BN260+1):INDEX(終値!$E260:$CZ260,1,$BN260+20)))</f>
        <v>741.98669033129954</v>
      </c>
      <c r="BS260" s="503">
        <f>IF($BM260="","",AVERAGE(INDEX(終値!$E260:$CZ260,1,$BM260+1):INDEX(終値!$E260:$CZ260,1,$BM260+20))+2*STDEVP(INDEX(終値!$E260:$CZ260,1,$BM260+1):INDEX(終値!$E260:$CZ260,1,$BM260+20)))</f>
        <v>744.43348887459899</v>
      </c>
      <c r="BT260" s="500"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3" t="str">
        <f>IF(終値!A261="","",IF(AND(安値!G261&lt;安値!F261,安値!G261&lt;安値!E261,安値!G261&lt;安値!H261,安値!G261&lt;安値!I261),2,""))</f>
        <v/>
      </c>
      <c r="C261" s="503" t="str">
        <f>IF(終値!A261="","",IF(AND(安値!H261&lt;安値!G261,安値!H261&lt;安値!F261,安値!H261&lt;安値!I261,安値!H261&lt;安値!J261),3,""))</f>
        <v/>
      </c>
      <c r="D261" s="503" t="str">
        <f>IF(終値!A261="","",IF(AND(安値!I261&lt;安値!H261,安値!I261&lt;安値!G261,安値!I261&lt;安値!J261,安値!I261&lt;安値!K261),4,""))</f>
        <v/>
      </c>
      <c r="E261" s="503" t="str">
        <f>IF(終値!A261="","",IF(AND(安値!J261&lt;安値!I261,安値!J261&lt;安値!H261,安値!J261&lt;安値!K261,安値!J261&lt;安値!L261),5,""))</f>
        <v/>
      </c>
      <c r="F261" s="503">
        <f>IF(終値!A261="","",IF(AND(安値!K261&lt;安値!J261,安値!K261&lt;安値!I261,安値!K261&lt;安値!L261,安値!K261&lt;安値!M261),6,""))</f>
        <v>6</v>
      </c>
      <c r="G261" s="503" t="str">
        <f>IF(終値!A261="","",IF(AND(安値!L261&lt;安値!K261,安値!L261&lt;安値!J261,安値!L261&lt;安値!M261,安値!L261&lt;安値!N261),7,""))</f>
        <v/>
      </c>
      <c r="H261" s="503" t="str">
        <f>IF(終値!A261="","",IF(AND(安値!M261&lt;安値!L261,安値!M261&lt;安値!K261,安値!M261&lt;安値!N261,安値!M261&lt;安値!O261),8,""))</f>
        <v/>
      </c>
      <c r="I261" s="503">
        <f>IF(終値!A261="","",IF(AND(安値!N261&lt;安値!M261,安値!N261&lt;安値!L261,安値!N261&lt;安値!O261,安値!N261&lt;安値!P261),9,""))</f>
        <v>9</v>
      </c>
      <c r="J261" s="503" t="str">
        <f>IF(終値!A261="","",IF(AND(安値!O261&lt;安値!N261,安値!O261&lt;安値!M261,安値!O261&lt;安値!P261,安値!O261&lt;安値!Q261),10,""))</f>
        <v/>
      </c>
      <c r="K261" s="503" t="str">
        <f>IF(終値!A261="","",IF(AND(安値!P261&lt;安値!O261,安値!P261&lt;安値!N261,安値!P261&lt;安値!Q261,安値!P261&lt;安値!R261),11,""))</f>
        <v/>
      </c>
      <c r="L261" s="503">
        <f>IF(終値!A261="","",IF(AND(安値!Q261&lt;安値!P261,安値!Q261&lt;安値!O261,安値!Q261&lt;安値!R261,安値!Q261&lt;安値!S261),12,""))</f>
        <v>12</v>
      </c>
      <c r="M261" s="503" t="str">
        <f>IF(終値!A261="","",IF(AND(安値!R261&lt;安値!Q261,安値!R261&lt;安値!P261,安値!R261&lt;安値!S261,安値!R261&lt;安値!T261),13,""))</f>
        <v/>
      </c>
      <c r="N261" s="503" t="str">
        <f>IF(終値!A261="","",IF(AND(安値!S261&lt;安値!R261,安値!S261&lt;安値!Q261,安値!S261&lt;安値!T261,安値!S261&lt;安値!U261),14,""))</f>
        <v/>
      </c>
      <c r="O261" s="503" t="str">
        <f>IF(終値!A261="","",IF(AND(安値!T261&lt;安値!S261,安値!T261&lt;安値!R261,安値!T261&lt;安値!U261,安値!T261&lt;安値!V261),15,""))</f>
        <v/>
      </c>
      <c r="P261" s="503" t="str">
        <f>IF(終値!A261="","",IF(AND(安値!U261&lt;安値!T261,安値!U261&lt;安値!S261,安値!U261&lt;安値!V261,安値!U261&lt;安値!W261),16,""))</f>
        <v/>
      </c>
      <c r="Q261" s="503" t="str">
        <f>IF(終値!A261="","",IF(AND(安値!V261&lt;安値!U261,安値!V261&lt;安値!T261,安値!V261&lt;安値!W261,安値!V261&lt;安値!X261),17,""))</f>
        <v/>
      </c>
      <c r="R261" s="503" t="str">
        <f>IF(終値!A261="","",IF(AND(安値!W261&lt;安値!V261,安値!W261&lt;安値!U261,安値!W261&lt;安値!X261,安値!W261&lt;安値!Y261),18,""))</f>
        <v/>
      </c>
      <c r="S261" s="503">
        <f>IF(終値!A261="","",IF(AND(安値!X261&lt;安値!W261,安値!X261&lt;安値!V261,安値!X261&lt;安値!Y261,安値!X261&lt;安値!Z261),19,""))</f>
        <v>19</v>
      </c>
      <c r="T261" s="503" t="str">
        <f>IF(終値!A261="","",IF(AND(安値!Y261&lt;安値!X261,安値!Y261&lt;安値!W261,安値!Y261&lt;安値!Z261,安値!Y261&lt;安値!AA261),20,""))</f>
        <v/>
      </c>
      <c r="U261" s="503" t="str">
        <f>IF(終値!A261="","",IF(AND(安値!Z261&lt;安値!Y261,安値!Z261&lt;安値!X261,安値!Z261&lt;安値!AA261,安値!Z261&lt;安値!AB261),21,""))</f>
        <v/>
      </c>
      <c r="V261" s="503">
        <f>IF(終値!A261="","",IF(AND(安値!AA261&lt;安値!Z261,安値!AA261&lt;安値!Y261,安値!AA261&lt;安値!AB261,安値!AA261&lt;安値!AC261),22,""))</f>
        <v>22</v>
      </c>
      <c r="W261" s="503" t="str">
        <f>IF(終値!A261="","",IF(AND(安値!AB261&lt;安値!AA261,安値!AB261&lt;安値!Z261,安値!AB261&lt;安値!AC261,安値!AB261&lt;安値!AD261),23,""))</f>
        <v/>
      </c>
      <c r="X261" s="503" t="str">
        <f>IF(終値!A261="","",IF(AND(安値!AC261&lt;安値!AB261,安値!AC261&lt;安値!AA261,安値!AC261&lt;安値!AD261,安値!AC261&lt;安値!AE261),24,""))</f>
        <v/>
      </c>
      <c r="Y261" s="503" t="str">
        <f>IF(終値!A261="","",IF(AND(安値!AD261&lt;安値!AC261,安値!AD261&lt;安値!AB261,安値!AD261&lt;安値!AE261,安値!AD261&lt;安値!AF261),25,""))</f>
        <v/>
      </c>
      <c r="Z261" s="503" t="str">
        <f>IF(終値!A261="","",IF(AND(安値!AE261&lt;安値!AD261,安値!AE261&lt;安値!AC261,安値!AE261&lt;安値!AF261,安値!AE261&lt;安値!AG261),26,""))</f>
        <v/>
      </c>
      <c r="AA261" s="503" t="str">
        <f>IF(終値!A261="","",IF(AND(安値!AF261&lt;安値!AE261,安値!AF261&lt;安値!AD261,安値!AF261&lt;安値!AG261,安値!AF261&lt;安値!AH261),27,""))</f>
        <v/>
      </c>
      <c r="AB261" s="503" t="str">
        <f>IF(終値!A261="","",IF(AND(安値!AG261&lt;安値!AF261,安値!AG261&lt;安値!AE261,安値!AG261&lt;安値!AH261,安値!AG261&lt;安値!AI261),28,""))</f>
        <v/>
      </c>
      <c r="AC261" s="503" t="str">
        <f>IF(終値!A261="","",IF(AND(高値!G261&gt;高値!F261,高値!G261&gt;高値!E261,高値!G261&gt;高値!H261,高値!G261&gt;高値!I261),2,""))</f>
        <v/>
      </c>
      <c r="AD261" s="503" t="str">
        <f>IF(終値!A261="","",IF(AND(高値!H261&gt;高値!G261,高値!H261&gt;高値!F261,高値!H261&gt;高値!I261,高値!H261&gt;高値!J261),3,""))</f>
        <v/>
      </c>
      <c r="AE261" s="503" t="str">
        <f>IF(終値!A261="","",IF(AND(高値!I261&gt;高値!H261,高値!I261&gt;高値!G261,高値!I261&gt;高値!J261,高値!I261&gt;高値!K261),4,""))</f>
        <v/>
      </c>
      <c r="AF261" s="503" t="str">
        <f>IF(終値!A261="","",IF(AND(高値!J261&gt;高値!I261,高値!J261&gt;高値!H261,高値!J261&gt;高値!K261,高値!J261&gt;高値!L261),5,""))</f>
        <v/>
      </c>
      <c r="AG261" s="503" t="str">
        <f>IF(終値!A261="","",IF(AND(高値!K261&gt;高値!J261,高値!K261&gt;高値!I261,高値!K261&gt;高値!L261,高値!K261&gt;高値!M261),6,""))</f>
        <v/>
      </c>
      <c r="AH261" s="503" t="str">
        <f>IF(終値!A261="","",IF(AND(高値!L261&gt;高値!K261,高値!L261&gt;高値!J261,高値!L261&gt;高値!M261,高値!L261&gt;高値!N261),7,""))</f>
        <v/>
      </c>
      <c r="AI261" s="503" t="str">
        <f>IF(終値!A261="","",IF(AND(高値!M261&gt;高値!L261,高値!M261&gt;高値!K261,高値!M261&gt;高値!N261,高値!M261&gt;高値!O261),8,""))</f>
        <v/>
      </c>
      <c r="AJ261" s="503" t="str">
        <f>IF(終値!A261="","",IF(AND(高値!N261&gt;高値!M261,高値!N261&gt;高値!L261,高値!N261&gt;高値!O261,高値!N261&gt;高値!P261),9,""))</f>
        <v/>
      </c>
      <c r="AK261" s="503" t="str">
        <f>IF(終値!A261="","",IF(AND(高値!O261&gt;高値!N261,高値!O261&gt;高値!M261,高値!O261&gt;高値!P261,高値!O261&gt;高値!Q261),10,""))</f>
        <v/>
      </c>
      <c r="AL261" s="503" t="str">
        <f>IF(終値!A261="","",IF(AND(高値!P261&gt;高値!O261,高値!P261&gt;高値!N261,高値!P261&gt;高値!Q261,高値!P261&gt;高値!R261),11,""))</f>
        <v/>
      </c>
      <c r="AM261" s="503" t="str">
        <f>IF(終値!A261="","",IF(AND(高値!Q261&gt;高値!P261,高値!Q261&gt;高値!O261,高値!Q261&gt;高値!R261,高値!Q261&gt;高値!S261),12,""))</f>
        <v/>
      </c>
      <c r="AN261" s="503" t="str">
        <f>IF(終値!A261="","",IF(AND(高値!R261&gt;高値!Q261,高値!R261&gt;高値!P261,高値!R261&gt;高値!S261,高値!R261&gt;高値!T261),13,""))</f>
        <v/>
      </c>
      <c r="AO261" s="503">
        <f>IF(終値!A261="","",IF(AND(高値!S261&gt;高値!R261,高値!S261&gt;高値!Q261,高値!S261&gt;高値!T261,高値!S261&gt;高値!U261),14,""))</f>
        <v>14</v>
      </c>
      <c r="AP261" s="503" t="str">
        <f>IF(終値!A261="","",IF(AND(高値!T261&gt;高値!S261,高値!T261&gt;高値!R261,高値!T261&gt;高値!U261,高値!T261&gt;高値!V261),15,""))</f>
        <v/>
      </c>
      <c r="AQ261" s="503" t="str">
        <f>IF(終値!A261="","",IF(AND(高値!U261&gt;高値!T261,高値!U261&gt;高値!S261,高値!U261&gt;高値!V261,高値!U261&gt;高値!W261),16,""))</f>
        <v/>
      </c>
      <c r="AR261" s="503">
        <f>IF(終値!A261="","",IF(AND(高値!V261&gt;高値!U261,高値!V261&gt;高値!T261,高値!V261&gt;高値!W261,高値!V261&gt;高値!X261),17,""))</f>
        <v>17</v>
      </c>
      <c r="AS261" s="503" t="str">
        <f>IF(終値!A261="","",IF(AND(高値!W261&gt;高値!V261,高値!W261&gt;高値!U261,高値!W261&gt;高値!X261,高値!W261&gt;高値!Y261),18,""))</f>
        <v/>
      </c>
      <c r="AT261" s="503" t="str">
        <f>IF(終値!A261="","",IF(AND(高値!X261&gt;高値!W261,高値!X261&gt;高値!V261,高値!X261&gt;高値!Y261,高値!X261&gt;高値!Z261),19,""))</f>
        <v/>
      </c>
      <c r="AU261" s="503" t="str">
        <f>IF(終値!A261="","",IF(AND(高値!Y261&gt;高値!X261,高値!Y261&gt;高値!W261,高値!Y261&gt;高値!Z261,高値!Y261&gt;高値!AA261),20,""))</f>
        <v/>
      </c>
      <c r="AV261" s="503">
        <f>IF(終値!A261="","",IF(AND(高値!Z261&gt;高値!Y261,高値!Z261&gt;高値!X261,高値!Z261&gt;高値!AA261,高値!Z261&gt;高値!AB261),21,""))</f>
        <v>21</v>
      </c>
      <c r="AW261" s="503" t="str">
        <f>IF(終値!A261="","",IF(AND(高値!AA261&gt;高値!Z261,高値!AA261&gt;高値!Y261,高値!AA261&gt;高値!AB261,高値!AA261&gt;高値!AC261),22,""))</f>
        <v/>
      </c>
      <c r="AX261" s="503" t="str">
        <f>IF(終値!A261="","",IF(AND(高値!AB261&gt;高値!AA261,高値!AB261&gt;高値!Z261,高値!AB261&gt;高値!AC261,高値!AB261&gt;高値!AD261),23,""))</f>
        <v/>
      </c>
      <c r="AY261" s="503" t="str">
        <f>IF(終値!A261="","",IF(AND(高値!AC261&gt;高値!AB261,高値!AC261&gt;高値!AA261,高値!AC261&gt;高値!AD261,高値!AC261&gt;高値!AE261),24,""))</f>
        <v/>
      </c>
      <c r="AZ261" s="503" t="str">
        <f>IF(終値!A261="","",IF(AND(高値!AD261&gt;高値!AC261,高値!AD261&gt;高値!AB261,高値!AD261&gt;高値!AE261,高値!AD261&gt;高値!AF261),25,""))</f>
        <v/>
      </c>
      <c r="BA261" s="503" t="str">
        <f>IF(終値!A261="","",IF(AND(高値!AE261&gt;高値!AD261,高値!AE261&gt;高値!AC261,高値!AE261&gt;高値!AF261,高値!AE261&gt;高値!AG261),26,""))</f>
        <v/>
      </c>
      <c r="BB261" s="503" t="str">
        <f>IF(終値!A261="","",IF(AND(高値!AF261&gt;高値!AE261,高値!AF261&gt;高値!AD261,高値!AF261&gt;高値!AG261,高値!AF261&gt;高値!AH261),27,""))</f>
        <v/>
      </c>
      <c r="BC261" s="503" t="str">
        <f>IF(終値!A261="","",IF(AND(高値!AG261&gt;高値!AF261,高値!AG261&gt;高値!AE261,高値!AG261&gt;高値!AH261,高値!AG261&gt;高値!AI261),28,""))</f>
        <v/>
      </c>
      <c r="BD261" s="503">
        <f t="shared" si="18"/>
        <v>5</v>
      </c>
      <c r="BE261" s="503">
        <f t="shared" si="19"/>
        <v>6</v>
      </c>
      <c r="BF261" s="503">
        <f t="shared" si="20"/>
        <v>9</v>
      </c>
      <c r="BG261" s="503">
        <f>IF($BE261="","",INDEX(安値!$E261:$CZ261,1,$BE261+1))</f>
        <v>1017</v>
      </c>
      <c r="BH261" s="503">
        <f>IF($BF261="","",INDEX(安値!$E261:$CZ261,1,$BF261+1))</f>
        <v>0</v>
      </c>
      <c r="BI261" s="503">
        <f>IF($BF261="","",MAX(INDEX(高値!$E261:$CZ261,1,$BE261+1):INDEX(高値!$E261:$CZ261,1,$BF261+1)))</f>
        <v>1146</v>
      </c>
      <c r="BJ261" s="503">
        <f>IF($BF261="","",AVERAGE(INDEX(終値!$E261:$CZ261,1,$BF261+1):INDEX(終値!$E261:$CZ261,1,$BF261+20))-2*STDEVP(INDEX(終値!$E261:$CZ261,1,$BF261+1):INDEX(終値!$E261:$CZ261,1,$BF261+20)))</f>
        <v>1124.9919775918315</v>
      </c>
      <c r="BK261" s="503">
        <f>IF($BE261="","",AVERAGE(INDEX(終値!$E261:$CZ261,1,$BE261+1):INDEX(終値!$E261:$CZ261,1,$BE261+20))-2*STDEVP(INDEX(終値!$E261:$CZ261,1,$BE261+1):INDEX(終値!$E261:$CZ261,1,$BE261+20)))</f>
        <v>1069.6574717934775</v>
      </c>
      <c r="BL261" s="503">
        <f t="shared" si="21"/>
        <v>3</v>
      </c>
      <c r="BM261" s="503">
        <f t="shared" si="22"/>
        <v>14</v>
      </c>
      <c r="BN261" s="503">
        <f t="shared" si="23"/>
        <v>17</v>
      </c>
      <c r="BO261" s="503">
        <f>IF($BM261="","",INDEX(高値!$E261:$CZ261,1,$BM261+1))</f>
        <v>1242</v>
      </c>
      <c r="BP261" s="503">
        <f>IF($BN261="","",INDEX(高値!$E261:$CZ261,1,$BN261+1))</f>
        <v>1203</v>
      </c>
      <c r="BQ261" s="503">
        <f>IF($BN261="","",MIN(INDEX(安値!$E261:$CZ261,1,$BM261+1):INDEX(安値!$E261:$CZ261,1,$BN261+1)))</f>
        <v>1132</v>
      </c>
      <c r="BR261" s="503">
        <f>IF($BN261="","",AVERAGE(INDEX(終値!$E261:$CZ261,1,$BN261+1):INDEX(終値!$E261:$CZ261,1,$BN261+20))+2*STDEVP(INDEX(終値!$E261:$CZ261,1,$BN261+1):INDEX(終値!$E261:$CZ261,1,$BN261+20)))</f>
        <v>1339.5186317435723</v>
      </c>
      <c r="BS261" s="503">
        <f>IF($BM261="","",AVERAGE(INDEX(終値!$E261:$CZ261,1,$BM261+1):INDEX(終値!$E261:$CZ261,1,$BM261+20))+2*STDEVP(INDEX(終値!$E261:$CZ261,1,$BM261+1):INDEX(終値!$E261:$CZ261,1,$BM261+20)))</f>
        <v>1312.6963718074617</v>
      </c>
      <c r="BT261" s="500"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v>
      </c>
    </row>
    <row r="262" spans="2:72">
      <c r="B262" s="503" t="str">
        <f>IF(終値!A262="","",IF(AND(安値!G262&lt;安値!F262,安値!G262&lt;安値!E262,安値!G262&lt;安値!H262,安値!G262&lt;安値!I262),2,""))</f>
        <v/>
      </c>
      <c r="C262" s="503" t="str">
        <f>IF(終値!A262="","",IF(AND(安値!H262&lt;安値!G262,安値!H262&lt;安値!F262,安値!H262&lt;安値!I262,安値!H262&lt;安値!J262),3,""))</f>
        <v/>
      </c>
      <c r="D262" s="503" t="str">
        <f>IF(終値!A262="","",IF(AND(安値!I262&lt;安値!H262,安値!I262&lt;安値!G262,安値!I262&lt;安値!J262,安値!I262&lt;安値!K262),4,""))</f>
        <v/>
      </c>
      <c r="E262" s="503">
        <f>IF(終値!A262="","",IF(AND(安値!J262&lt;安値!I262,安値!J262&lt;安値!H262,安値!J262&lt;安値!K262,安値!J262&lt;安値!L262),5,""))</f>
        <v>5</v>
      </c>
      <c r="F262" s="503" t="str">
        <f>IF(終値!A262="","",IF(AND(安値!K262&lt;安値!J262,安値!K262&lt;安値!I262,安値!K262&lt;安値!L262,安値!K262&lt;安値!M262),6,""))</f>
        <v/>
      </c>
      <c r="G262" s="503" t="str">
        <f>IF(終値!A262="","",IF(AND(安値!L262&lt;安値!K262,安値!L262&lt;安値!J262,安値!L262&lt;安値!M262,安値!L262&lt;安値!N262),7,""))</f>
        <v/>
      </c>
      <c r="H262" s="503" t="str">
        <f>IF(終値!A262="","",IF(AND(安値!M262&lt;安値!L262,安値!M262&lt;安値!K262,安値!M262&lt;安値!N262,安値!M262&lt;安値!O262),8,""))</f>
        <v/>
      </c>
      <c r="I262" s="503" t="str">
        <f>IF(終値!A262="","",IF(AND(安値!N262&lt;安値!M262,安値!N262&lt;安値!L262,安値!N262&lt;安値!O262,安値!N262&lt;安値!P262),9,""))</f>
        <v/>
      </c>
      <c r="J262" s="503" t="str">
        <f>IF(終値!A262="","",IF(AND(安値!O262&lt;安値!N262,安値!O262&lt;安値!M262,安値!O262&lt;安値!P262,安値!O262&lt;安値!Q262),10,""))</f>
        <v/>
      </c>
      <c r="K262" s="503" t="str">
        <f>IF(終値!A262="","",IF(AND(安値!P262&lt;安値!O262,安値!P262&lt;安値!N262,安値!P262&lt;安値!Q262,安値!P262&lt;安値!R262),11,""))</f>
        <v/>
      </c>
      <c r="L262" s="503" t="str">
        <f>IF(終値!A262="","",IF(AND(安値!Q262&lt;安値!P262,安値!Q262&lt;安値!O262,安値!Q262&lt;安値!R262,安値!Q262&lt;安値!S262),12,""))</f>
        <v/>
      </c>
      <c r="M262" s="503">
        <f>IF(終値!A262="","",IF(AND(安値!R262&lt;安値!Q262,安値!R262&lt;安値!P262,安値!R262&lt;安値!S262,安値!R262&lt;安値!T262),13,""))</f>
        <v>13</v>
      </c>
      <c r="N262" s="503" t="str">
        <f>IF(終値!A262="","",IF(AND(安値!S262&lt;安値!R262,安値!S262&lt;安値!Q262,安値!S262&lt;安値!T262,安値!S262&lt;安値!U262),14,""))</f>
        <v/>
      </c>
      <c r="O262" s="503" t="str">
        <f>IF(終値!A262="","",IF(AND(安値!T262&lt;安値!S262,安値!T262&lt;安値!R262,安値!T262&lt;安値!U262,安値!T262&lt;安値!V262),15,""))</f>
        <v/>
      </c>
      <c r="P262" s="503" t="str">
        <f>IF(終値!A262="","",IF(AND(安値!U262&lt;安値!T262,安値!U262&lt;安値!S262,安値!U262&lt;安値!V262,安値!U262&lt;安値!W262),16,""))</f>
        <v/>
      </c>
      <c r="Q262" s="503" t="str">
        <f>IF(終値!A262="","",IF(AND(安値!V262&lt;安値!U262,安値!V262&lt;安値!T262,安値!V262&lt;安値!W262,安値!V262&lt;安値!X262),17,""))</f>
        <v/>
      </c>
      <c r="R262" s="503" t="str">
        <f>IF(終値!A262="","",IF(AND(安値!W262&lt;安値!V262,安値!W262&lt;安値!U262,安値!W262&lt;安値!X262,安値!W262&lt;安値!Y262),18,""))</f>
        <v/>
      </c>
      <c r="S262" s="503">
        <f>IF(終値!A262="","",IF(AND(安値!X262&lt;安値!W262,安値!X262&lt;安値!V262,安値!X262&lt;安値!Y262,安値!X262&lt;安値!Z262),19,""))</f>
        <v>19</v>
      </c>
      <c r="T262" s="503" t="str">
        <f>IF(終値!A262="","",IF(AND(安値!Y262&lt;安値!X262,安値!Y262&lt;安値!W262,安値!Y262&lt;安値!Z262,安値!Y262&lt;安値!AA262),20,""))</f>
        <v/>
      </c>
      <c r="U262" s="503" t="str">
        <f>IF(終値!A262="","",IF(AND(安値!Z262&lt;安値!Y262,安値!Z262&lt;安値!X262,安値!Z262&lt;安値!AA262,安値!Z262&lt;安値!AB262),21,""))</f>
        <v/>
      </c>
      <c r="V262" s="503" t="str">
        <f>IF(終値!A262="","",IF(AND(安値!AA262&lt;安値!Z262,安値!AA262&lt;安値!Y262,安値!AA262&lt;安値!AB262,安値!AA262&lt;安値!AC262),22,""))</f>
        <v/>
      </c>
      <c r="W262" s="503" t="str">
        <f>IF(終値!A262="","",IF(AND(安値!AB262&lt;安値!AA262,安値!AB262&lt;安値!Z262,安値!AB262&lt;安値!AC262,安値!AB262&lt;安値!AD262),23,""))</f>
        <v/>
      </c>
      <c r="X262" s="503" t="str">
        <f>IF(終値!A262="","",IF(AND(安値!AC262&lt;安値!AB262,安値!AC262&lt;安値!AA262,安値!AC262&lt;安値!AD262,安値!AC262&lt;安値!AE262),24,""))</f>
        <v/>
      </c>
      <c r="Y262" s="503">
        <f>IF(終値!A262="","",IF(AND(安値!AD262&lt;安値!AC262,安値!AD262&lt;安値!AB262,安値!AD262&lt;安値!AE262,安値!AD262&lt;安値!AF262),25,""))</f>
        <v>25</v>
      </c>
      <c r="Z262" s="503" t="str">
        <f>IF(終値!A262="","",IF(AND(安値!AE262&lt;安値!AD262,安値!AE262&lt;安値!AC262,安値!AE262&lt;安値!AF262,安値!AE262&lt;安値!AG262),26,""))</f>
        <v/>
      </c>
      <c r="AA262" s="503" t="str">
        <f>IF(終値!A262="","",IF(AND(安値!AF262&lt;安値!AE262,安値!AF262&lt;安値!AD262,安値!AF262&lt;安値!AG262,安値!AF262&lt;安値!AH262),27,""))</f>
        <v/>
      </c>
      <c r="AB262" s="503" t="str">
        <f>IF(終値!A262="","",IF(AND(安値!AG262&lt;安値!AF262,安値!AG262&lt;安値!AE262,安値!AG262&lt;安値!AH262,安値!AG262&lt;安値!AI262),28,""))</f>
        <v/>
      </c>
      <c r="AC262" s="503" t="str">
        <f>IF(終値!A262="","",IF(AND(高値!G262&gt;高値!F262,高値!G262&gt;高値!E262,高値!G262&gt;高値!H262,高値!G262&gt;高値!I262),2,""))</f>
        <v/>
      </c>
      <c r="AD262" s="503">
        <f>IF(終値!A262="","",IF(AND(高値!H262&gt;高値!G262,高値!H262&gt;高値!F262,高値!H262&gt;高値!I262,高値!H262&gt;高値!J262),3,""))</f>
        <v>3</v>
      </c>
      <c r="AE262" s="503" t="str">
        <f>IF(終値!A262="","",IF(AND(高値!I262&gt;高値!H262,高値!I262&gt;高値!G262,高値!I262&gt;高値!J262,高値!I262&gt;高値!K262),4,""))</f>
        <v/>
      </c>
      <c r="AF262" s="503" t="str">
        <f>IF(終値!A262="","",IF(AND(高値!J262&gt;高値!I262,高値!J262&gt;高値!H262,高値!J262&gt;高値!K262,高値!J262&gt;高値!L262),5,""))</f>
        <v/>
      </c>
      <c r="AG262" s="503" t="str">
        <f>IF(終値!A262="","",IF(AND(高値!K262&gt;高値!J262,高値!K262&gt;高値!I262,高値!K262&gt;高値!L262,高値!K262&gt;高値!M262),6,""))</f>
        <v/>
      </c>
      <c r="AH262" s="503" t="str">
        <f>IF(終値!A262="","",IF(AND(高値!L262&gt;高値!K262,高値!L262&gt;高値!J262,高値!L262&gt;高値!M262,高値!L262&gt;高値!N262),7,""))</f>
        <v/>
      </c>
      <c r="AI262" s="503" t="str">
        <f>IF(終値!A262="","",IF(AND(高値!M262&gt;高値!L262,高値!M262&gt;高値!K262,高値!M262&gt;高値!N262,高値!M262&gt;高値!O262),8,""))</f>
        <v/>
      </c>
      <c r="AJ262" s="503" t="str">
        <f>IF(終値!A262="","",IF(AND(高値!N262&gt;高値!M262,高値!N262&gt;高値!L262,高値!N262&gt;高値!O262,高値!N262&gt;高値!P262),9,""))</f>
        <v/>
      </c>
      <c r="AK262" s="503" t="str">
        <f>IF(終値!A262="","",IF(AND(高値!O262&gt;高値!N262,高値!O262&gt;高値!M262,高値!O262&gt;高値!P262,高値!O262&gt;高値!Q262),10,""))</f>
        <v/>
      </c>
      <c r="AL262" s="503" t="str">
        <f>IF(終値!A262="","",IF(AND(高値!P262&gt;高値!O262,高値!P262&gt;高値!N262,高値!P262&gt;高値!Q262,高値!P262&gt;高値!R262),11,""))</f>
        <v/>
      </c>
      <c r="AM262" s="503" t="str">
        <f>IF(終値!A262="","",IF(AND(高値!Q262&gt;高値!P262,高値!Q262&gt;高値!O262,高値!Q262&gt;高値!R262,高値!Q262&gt;高値!S262),12,""))</f>
        <v/>
      </c>
      <c r="AN262" s="503" t="str">
        <f>IF(終値!A262="","",IF(AND(高値!R262&gt;高値!Q262,高値!R262&gt;高値!P262,高値!R262&gt;高値!S262,高値!R262&gt;高値!T262),13,""))</f>
        <v/>
      </c>
      <c r="AO262" s="503">
        <f>IF(終値!A262="","",IF(AND(高値!S262&gt;高値!R262,高値!S262&gt;高値!Q262,高値!S262&gt;高値!T262,高値!S262&gt;高値!U262),14,""))</f>
        <v>14</v>
      </c>
      <c r="AP262" s="503" t="str">
        <f>IF(終値!A262="","",IF(AND(高値!T262&gt;高値!S262,高値!T262&gt;高値!R262,高値!T262&gt;高値!U262,高値!T262&gt;高値!V262),15,""))</f>
        <v/>
      </c>
      <c r="AQ262" s="503" t="str">
        <f>IF(終値!A262="","",IF(AND(高値!U262&gt;高値!T262,高値!U262&gt;高値!S262,高値!U262&gt;高値!V262,高値!U262&gt;高値!W262),16,""))</f>
        <v/>
      </c>
      <c r="AR262" s="503" t="str">
        <f>IF(終値!A262="","",IF(AND(高値!V262&gt;高値!U262,高値!V262&gt;高値!T262,高値!V262&gt;高値!W262,高値!V262&gt;高値!X262),17,""))</f>
        <v/>
      </c>
      <c r="AS262" s="503" t="str">
        <f>IF(終値!A262="","",IF(AND(高値!W262&gt;高値!V262,高値!W262&gt;高値!U262,高値!W262&gt;高値!X262,高値!W262&gt;高値!Y262),18,""))</f>
        <v/>
      </c>
      <c r="AT262" s="503" t="str">
        <f>IF(終値!A262="","",IF(AND(高値!X262&gt;高値!W262,高値!X262&gt;高値!V262,高値!X262&gt;高値!Y262,高値!X262&gt;高値!Z262),19,""))</f>
        <v/>
      </c>
      <c r="AU262" s="503" t="str">
        <f>IF(終値!A262="","",IF(AND(高値!Y262&gt;高値!X262,高値!Y262&gt;高値!W262,高値!Y262&gt;高値!Z262,高値!Y262&gt;高値!AA262),20,""))</f>
        <v/>
      </c>
      <c r="AV262" s="503">
        <f>IF(終値!A262="","",IF(AND(高値!Z262&gt;高値!Y262,高値!Z262&gt;高値!X262,高値!Z262&gt;高値!AA262,高値!Z262&gt;高値!AB262),21,""))</f>
        <v>21</v>
      </c>
      <c r="AW262" s="503" t="str">
        <f>IF(終値!A262="","",IF(AND(高値!AA262&gt;高値!Z262,高値!AA262&gt;高値!Y262,高値!AA262&gt;高値!AB262,高値!AA262&gt;高値!AC262),22,""))</f>
        <v/>
      </c>
      <c r="AX262" s="503" t="str">
        <f>IF(終値!A262="","",IF(AND(高値!AB262&gt;高値!AA262,高値!AB262&gt;高値!Z262,高値!AB262&gt;高値!AC262,高値!AB262&gt;高値!AD262),23,""))</f>
        <v/>
      </c>
      <c r="AY262" s="503" t="str">
        <f>IF(終値!A262="","",IF(AND(高値!AC262&gt;高値!AB262,高値!AC262&gt;高値!AA262,高値!AC262&gt;高値!AD262,高値!AC262&gt;高値!AE262),24,""))</f>
        <v/>
      </c>
      <c r="AZ262" s="503" t="str">
        <f>IF(終値!A262="","",IF(AND(高値!AD262&gt;高値!AC262,高値!AD262&gt;高値!AB262,高値!AD262&gt;高値!AE262,高値!AD262&gt;高値!AF262),25,""))</f>
        <v/>
      </c>
      <c r="BA262" s="503">
        <f>IF(終値!A262="","",IF(AND(高値!AE262&gt;高値!AD262,高値!AE262&gt;高値!AC262,高値!AE262&gt;高値!AF262,高値!AE262&gt;高値!AG262),26,""))</f>
        <v>26</v>
      </c>
      <c r="BB262" s="503" t="str">
        <f>IF(終値!A262="","",IF(AND(高値!AF262&gt;高値!AE262,高値!AF262&gt;高値!AD262,高値!AF262&gt;高値!AG262,高値!AF262&gt;高値!AH262),27,""))</f>
        <v/>
      </c>
      <c r="BC262" s="503" t="str">
        <f>IF(終値!A262="","",IF(AND(高値!AG262&gt;高値!AF262,高値!AG262&gt;高値!AE262,高値!AG262&gt;高値!AH262,高値!AG262&gt;高値!AI262),28,""))</f>
        <v/>
      </c>
      <c r="BD262" s="503">
        <f t="shared" ref="BD262:BD325" si="24">COUNT($B262:$AB262)</f>
        <v>4</v>
      </c>
      <c r="BE262" s="503">
        <f t="shared" ref="BE262:BE325" si="25">IF($BD262&gt;=2,MIN($B262:$AB262),"")</f>
        <v>5</v>
      </c>
      <c r="BF262" s="503">
        <f t="shared" ref="BF262:BF325" si="26">IF($BD262&gt;=2,SMALL($B262:$AB262,2),"")</f>
        <v>13</v>
      </c>
      <c r="BG262" s="503">
        <f>IF($BE262="","",INDEX(安値!$E262:$CZ262,1,$BE262+1))</f>
        <v>557</v>
      </c>
      <c r="BH262" s="503">
        <f>IF($BF262="","",INDEX(安値!$E262:$CZ262,1,$BF262+1))</f>
        <v>551</v>
      </c>
      <c r="BI262" s="503">
        <f>IF($BF262="","",MAX(INDEX(高値!$E262:$CZ262,1,$BE262+1):INDEX(高値!$E262:$CZ262,1,$BF262+1)))</f>
        <v>607</v>
      </c>
      <c r="BJ262" s="503">
        <f>IF($BF262="","",AVERAGE(INDEX(終値!$E262:$CZ262,1,$BF262+1):INDEX(終値!$E262:$CZ262,1,$BF262+20))-2*STDEVP(INDEX(終値!$E262:$CZ262,1,$BF262+1):INDEX(終値!$E262:$CZ262,1,$BF262+20)))</f>
        <v>502.73148521565616</v>
      </c>
      <c r="BK262" s="503">
        <f>IF($BE262="","",AVERAGE(INDEX(終値!$E262:$CZ262,1,$BE262+1):INDEX(終値!$E262:$CZ262,1,$BE262+20))-2*STDEVP(INDEX(終値!$E262:$CZ262,1,$BE262+1):INDEX(終値!$E262:$CZ262,1,$BE262+20)))</f>
        <v>531.92870242589811</v>
      </c>
      <c r="BL262" s="503">
        <f t="shared" ref="BL262:BL325" si="27">COUNT($AC262:$BC262)</f>
        <v>4</v>
      </c>
      <c r="BM262" s="503">
        <f t="shared" ref="BM262:BM325" si="28">IF($BL262&gt;=2,MIN($AC262:$BC262),"")</f>
        <v>3</v>
      </c>
      <c r="BN262" s="503">
        <f t="shared" ref="BN262:BN325" si="29">IF($BL262&gt;=2,SMALL($AC262:$BC262,2),"")</f>
        <v>14</v>
      </c>
      <c r="BO262" s="503">
        <f>IF($BM262="","",INDEX(高値!$E262:$CZ262,1,$BM262+1))</f>
        <v>606</v>
      </c>
      <c r="BP262" s="503">
        <f>IF($BN262="","",INDEX(高値!$E262:$CZ262,1,$BN262+1))</f>
        <v>593</v>
      </c>
      <c r="BQ262" s="503">
        <f>IF($BN262="","",MIN(INDEX(安値!$E262:$CZ262,1,$BM262+1):INDEX(安値!$E262:$CZ262,1,$BN262+1)))</f>
        <v>551</v>
      </c>
      <c r="BR262" s="503">
        <f>IF($BN262="","",AVERAGE(INDEX(終値!$E262:$CZ262,1,$BN262+1):INDEX(終値!$E262:$CZ262,1,$BN262+20))+2*STDEVP(INDEX(終値!$E262:$CZ262,1,$BN262+1):INDEX(終値!$E262:$CZ262,1,$BN262+20)))</f>
        <v>593.37591960931138</v>
      </c>
      <c r="BS262" s="503">
        <f>IF($BM262="","",AVERAGE(INDEX(終値!$E262:$CZ262,1,$BM262+1):INDEX(終値!$E262:$CZ262,1,$BM262+20))+2*STDEVP(INDEX(終値!$E262:$CZ262,1,$BM262+1):INDEX(終値!$E262:$CZ262,1,$BM262+20)))</f>
        <v>607.26866317671818</v>
      </c>
      <c r="BT262" s="500"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3" t="str">
        <f>IF(終値!A263="","",IF(AND(安値!G263&lt;安値!F263,安値!G263&lt;安値!E263,安値!G263&lt;安値!H263,安値!G263&lt;安値!I263),2,""))</f>
        <v/>
      </c>
      <c r="C263" s="503" t="str">
        <f>IF(終値!A263="","",IF(AND(安値!H263&lt;安値!G263,安値!H263&lt;安値!F263,安値!H263&lt;安値!I263,安値!H263&lt;安値!J263),3,""))</f>
        <v/>
      </c>
      <c r="D263" s="503" t="str">
        <f>IF(終値!A263="","",IF(AND(安値!I263&lt;安値!H263,安値!I263&lt;安値!G263,安値!I263&lt;安値!J263,安値!I263&lt;安値!K263),4,""))</f>
        <v/>
      </c>
      <c r="E263" s="503" t="str">
        <f>IF(終値!A263="","",IF(AND(安値!J263&lt;安値!I263,安値!J263&lt;安値!H263,安値!J263&lt;安値!K263,安値!J263&lt;安値!L263),5,""))</f>
        <v/>
      </c>
      <c r="F263" s="503">
        <f>IF(終値!A263="","",IF(AND(安値!K263&lt;安値!J263,安値!K263&lt;安値!I263,安値!K263&lt;安値!L263,安値!K263&lt;安値!M263),6,""))</f>
        <v>6</v>
      </c>
      <c r="G263" s="503" t="str">
        <f>IF(終値!A263="","",IF(AND(安値!L263&lt;安値!K263,安値!L263&lt;安値!J263,安値!L263&lt;安値!M263,安値!L263&lt;安値!N263),7,""))</f>
        <v/>
      </c>
      <c r="H263" s="503" t="str">
        <f>IF(終値!A263="","",IF(AND(安値!M263&lt;安値!L263,安値!M263&lt;安値!K263,安値!M263&lt;安値!N263,安値!M263&lt;安値!O263),8,""))</f>
        <v/>
      </c>
      <c r="I263" s="503" t="str">
        <f>IF(終値!A263="","",IF(AND(安値!N263&lt;安値!M263,安値!N263&lt;安値!L263,安値!N263&lt;安値!O263,安値!N263&lt;安値!P263),9,""))</f>
        <v/>
      </c>
      <c r="J263" s="503" t="str">
        <f>IF(終値!A263="","",IF(AND(安値!O263&lt;安値!N263,安値!O263&lt;安値!M263,安値!O263&lt;安値!P263,安値!O263&lt;安値!Q263),10,""))</f>
        <v/>
      </c>
      <c r="K263" s="503" t="str">
        <f>IF(終値!A263="","",IF(AND(安値!P263&lt;安値!O263,安値!P263&lt;安値!N263,安値!P263&lt;安値!Q263,安値!P263&lt;安値!R263),11,""))</f>
        <v/>
      </c>
      <c r="L263" s="503" t="str">
        <f>IF(終値!A263="","",IF(AND(安値!Q263&lt;安値!P263,安値!Q263&lt;安値!O263,安値!Q263&lt;安値!R263,安値!Q263&lt;安値!S263),12,""))</f>
        <v/>
      </c>
      <c r="M263" s="503">
        <f>IF(終値!A263="","",IF(AND(安値!R263&lt;安値!Q263,安値!R263&lt;安値!P263,安値!R263&lt;安値!S263,安値!R263&lt;安値!T263),13,""))</f>
        <v>13</v>
      </c>
      <c r="N263" s="503" t="str">
        <f>IF(終値!A263="","",IF(AND(安値!S263&lt;安値!R263,安値!S263&lt;安値!Q263,安値!S263&lt;安値!T263,安値!S263&lt;安値!U263),14,""))</f>
        <v/>
      </c>
      <c r="O263" s="503" t="str">
        <f>IF(終値!A263="","",IF(AND(安値!T263&lt;安値!S263,安値!T263&lt;安値!R263,安値!T263&lt;安値!U263,安値!T263&lt;安値!V263),15,""))</f>
        <v/>
      </c>
      <c r="P263" s="503" t="str">
        <f>IF(終値!A263="","",IF(AND(安値!U263&lt;安値!T263,安値!U263&lt;安値!S263,安値!U263&lt;安値!V263,安値!U263&lt;安値!W263),16,""))</f>
        <v/>
      </c>
      <c r="Q263" s="503" t="str">
        <f>IF(終値!A263="","",IF(AND(安値!V263&lt;安値!U263,安値!V263&lt;安値!T263,安値!V263&lt;安値!W263,安値!V263&lt;安値!X263),17,""))</f>
        <v/>
      </c>
      <c r="R263" s="503" t="str">
        <f>IF(終値!A263="","",IF(AND(安値!W263&lt;安値!V263,安値!W263&lt;安値!U263,安値!W263&lt;安値!X263,安値!W263&lt;安値!Y263),18,""))</f>
        <v/>
      </c>
      <c r="S263" s="503" t="str">
        <f>IF(終値!A263="","",IF(AND(安値!X263&lt;安値!W263,安値!X263&lt;安値!V263,安値!X263&lt;安値!Y263,安値!X263&lt;安値!Z263),19,""))</f>
        <v/>
      </c>
      <c r="T263" s="503" t="str">
        <f>IF(終値!A263="","",IF(AND(安値!Y263&lt;安値!X263,安値!Y263&lt;安値!W263,安値!Y263&lt;安値!Z263,安値!Y263&lt;安値!AA263),20,""))</f>
        <v/>
      </c>
      <c r="U263" s="503" t="str">
        <f>IF(終値!A263="","",IF(AND(安値!Z263&lt;安値!Y263,安値!Z263&lt;安値!X263,安値!Z263&lt;安値!AA263,安値!Z263&lt;安値!AB263),21,""))</f>
        <v/>
      </c>
      <c r="V263" s="503" t="str">
        <f>IF(終値!A263="","",IF(AND(安値!AA263&lt;安値!Z263,安値!AA263&lt;安値!Y263,安値!AA263&lt;安値!AB263,安値!AA263&lt;安値!AC263),22,""))</f>
        <v/>
      </c>
      <c r="W263" s="503" t="str">
        <f>IF(終値!A263="","",IF(AND(安値!AB263&lt;安値!AA263,安値!AB263&lt;安値!Z263,安値!AB263&lt;安値!AC263,安値!AB263&lt;安値!AD263),23,""))</f>
        <v/>
      </c>
      <c r="X263" s="503" t="str">
        <f>IF(終値!A263="","",IF(AND(安値!AC263&lt;安値!AB263,安値!AC263&lt;安値!AA263,安値!AC263&lt;安値!AD263,安値!AC263&lt;安値!AE263),24,""))</f>
        <v/>
      </c>
      <c r="Y263" s="503">
        <f>IF(終値!A263="","",IF(AND(安値!AD263&lt;安値!AC263,安値!AD263&lt;安値!AB263,安値!AD263&lt;安値!AE263,安値!AD263&lt;安値!AF263),25,""))</f>
        <v>25</v>
      </c>
      <c r="Z263" s="503" t="str">
        <f>IF(終値!A263="","",IF(AND(安値!AE263&lt;安値!AD263,安値!AE263&lt;安値!AC263,安値!AE263&lt;安値!AF263,安値!AE263&lt;安値!AG263),26,""))</f>
        <v/>
      </c>
      <c r="AA263" s="503" t="str">
        <f>IF(終値!A263="","",IF(AND(安値!AF263&lt;安値!AE263,安値!AF263&lt;安値!AD263,安値!AF263&lt;安値!AG263,安値!AF263&lt;安値!AH263),27,""))</f>
        <v/>
      </c>
      <c r="AB263" s="503" t="str">
        <f>IF(終値!A263="","",IF(AND(安値!AG263&lt;安値!AF263,安値!AG263&lt;安値!AE263,安値!AG263&lt;安値!AH263,安値!AG263&lt;安値!AI263),28,""))</f>
        <v/>
      </c>
      <c r="AC263" s="503" t="str">
        <f>IF(終値!A263="","",IF(AND(高値!G263&gt;高値!F263,高値!G263&gt;高値!E263,高値!G263&gt;高値!H263,高値!G263&gt;高値!I263),2,""))</f>
        <v/>
      </c>
      <c r="AD263" s="503" t="str">
        <f>IF(終値!A263="","",IF(AND(高値!H263&gt;高値!G263,高値!H263&gt;高値!F263,高値!H263&gt;高値!I263,高値!H263&gt;高値!J263),3,""))</f>
        <v/>
      </c>
      <c r="AE263" s="503" t="str">
        <f>IF(終値!A263="","",IF(AND(高値!I263&gt;高値!H263,高値!I263&gt;高値!G263,高値!I263&gt;高値!J263,高値!I263&gt;高値!K263),4,""))</f>
        <v/>
      </c>
      <c r="AF263" s="503" t="str">
        <f>IF(終値!A263="","",IF(AND(高値!J263&gt;高値!I263,高値!J263&gt;高値!H263,高値!J263&gt;高値!K263,高値!J263&gt;高値!L263),5,""))</f>
        <v/>
      </c>
      <c r="AG263" s="503" t="str">
        <f>IF(終値!A263="","",IF(AND(高値!K263&gt;高値!J263,高値!K263&gt;高値!I263,高値!K263&gt;高値!L263,高値!K263&gt;高値!M263),6,""))</f>
        <v/>
      </c>
      <c r="AH263" s="503" t="str">
        <f>IF(終値!A263="","",IF(AND(高値!L263&gt;高値!K263,高値!L263&gt;高値!J263,高値!L263&gt;高値!M263,高値!L263&gt;高値!N263),7,""))</f>
        <v/>
      </c>
      <c r="AI263" s="503">
        <f>IF(終値!A263="","",IF(AND(高値!M263&gt;高値!L263,高値!M263&gt;高値!K263,高値!M263&gt;高値!N263,高値!M263&gt;高値!O263),8,""))</f>
        <v>8</v>
      </c>
      <c r="AJ263" s="503" t="str">
        <f>IF(終値!A263="","",IF(AND(高値!N263&gt;高値!M263,高値!N263&gt;高値!L263,高値!N263&gt;高値!O263,高値!N263&gt;高値!P263),9,""))</f>
        <v/>
      </c>
      <c r="AK263" s="503" t="str">
        <f>IF(終値!A263="","",IF(AND(高値!O263&gt;高値!N263,高値!O263&gt;高値!M263,高値!O263&gt;高値!P263,高値!O263&gt;高値!Q263),10,""))</f>
        <v/>
      </c>
      <c r="AL263" s="503" t="str">
        <f>IF(終値!A263="","",IF(AND(高値!P263&gt;高値!O263,高値!P263&gt;高値!N263,高値!P263&gt;高値!Q263,高値!P263&gt;高値!R263),11,""))</f>
        <v/>
      </c>
      <c r="AM263" s="503" t="str">
        <f>IF(終値!A263="","",IF(AND(高値!Q263&gt;高値!P263,高値!Q263&gt;高値!O263,高値!Q263&gt;高値!R263,高値!Q263&gt;高値!S263),12,""))</f>
        <v/>
      </c>
      <c r="AN263" s="503" t="str">
        <f>IF(終値!A263="","",IF(AND(高値!R263&gt;高値!Q263,高値!R263&gt;高値!P263,高値!R263&gt;高値!S263,高値!R263&gt;高値!T263),13,""))</f>
        <v/>
      </c>
      <c r="AO263" s="503" t="str">
        <f>IF(終値!A263="","",IF(AND(高値!S263&gt;高値!R263,高値!S263&gt;高値!Q263,高値!S263&gt;高値!T263,高値!S263&gt;高値!U263),14,""))</f>
        <v/>
      </c>
      <c r="AP263" s="503" t="str">
        <f>IF(終値!A263="","",IF(AND(高値!T263&gt;高値!S263,高値!T263&gt;高値!R263,高値!T263&gt;高値!U263,高値!T263&gt;高値!V263),15,""))</f>
        <v/>
      </c>
      <c r="AQ263" s="503" t="str">
        <f>IF(終値!A263="","",IF(AND(高値!U263&gt;高値!T263,高値!U263&gt;高値!S263,高値!U263&gt;高値!V263,高値!U263&gt;高値!W263),16,""))</f>
        <v/>
      </c>
      <c r="AR263" s="503" t="str">
        <f>IF(終値!A263="","",IF(AND(高値!V263&gt;高値!U263,高値!V263&gt;高値!T263,高値!V263&gt;高値!W263,高値!V263&gt;高値!X263),17,""))</f>
        <v/>
      </c>
      <c r="AS263" s="503" t="str">
        <f>IF(終値!A263="","",IF(AND(高値!W263&gt;高値!V263,高値!W263&gt;高値!U263,高値!W263&gt;高値!X263,高値!W263&gt;高値!Y263),18,""))</f>
        <v/>
      </c>
      <c r="AT263" s="503" t="str">
        <f>IF(終値!A263="","",IF(AND(高値!X263&gt;高値!W263,高値!X263&gt;高値!V263,高値!X263&gt;高値!Y263,高値!X263&gt;高値!Z263),19,""))</f>
        <v/>
      </c>
      <c r="AU263" s="503">
        <f>IF(終値!A263="","",IF(AND(高値!Y263&gt;高値!X263,高値!Y263&gt;高値!W263,高値!Y263&gt;高値!Z263,高値!Y263&gt;高値!AA263),20,""))</f>
        <v>20</v>
      </c>
      <c r="AV263" s="503" t="str">
        <f>IF(終値!A263="","",IF(AND(高値!Z263&gt;高値!Y263,高値!Z263&gt;高値!X263,高値!Z263&gt;高値!AA263,高値!Z263&gt;高値!AB263),21,""))</f>
        <v/>
      </c>
      <c r="AW263" s="503" t="str">
        <f>IF(終値!A263="","",IF(AND(高値!AA263&gt;高値!Z263,高値!AA263&gt;高値!Y263,高値!AA263&gt;高値!AB263,高値!AA263&gt;高値!AC263),22,""))</f>
        <v/>
      </c>
      <c r="AX263" s="503" t="str">
        <f>IF(終値!A263="","",IF(AND(高値!AB263&gt;高値!AA263,高値!AB263&gt;高値!Z263,高値!AB263&gt;高値!AC263,高値!AB263&gt;高値!AD263),23,""))</f>
        <v/>
      </c>
      <c r="AY263" s="503" t="str">
        <f>IF(終値!A263="","",IF(AND(高値!AC263&gt;高値!AB263,高値!AC263&gt;高値!AA263,高値!AC263&gt;高値!AD263,高値!AC263&gt;高値!AE263),24,""))</f>
        <v/>
      </c>
      <c r="AZ263" s="503" t="str">
        <f>IF(終値!A263="","",IF(AND(高値!AD263&gt;高値!AC263,高値!AD263&gt;高値!AB263,高値!AD263&gt;高値!AE263,高値!AD263&gt;高値!AF263),25,""))</f>
        <v/>
      </c>
      <c r="BA263" s="503" t="str">
        <f>IF(終値!A263="","",IF(AND(高値!AE263&gt;高値!AD263,高値!AE263&gt;高値!AC263,高値!AE263&gt;高値!AF263,高値!AE263&gt;高値!AG263),26,""))</f>
        <v/>
      </c>
      <c r="BB263" s="503" t="str">
        <f>IF(終値!A263="","",IF(AND(高値!AF263&gt;高値!AE263,高値!AF263&gt;高値!AD263,高値!AF263&gt;高値!AG263,高値!AF263&gt;高値!AH263),27,""))</f>
        <v/>
      </c>
      <c r="BC263" s="503" t="str">
        <f>IF(終値!A263="","",IF(AND(高値!AG263&gt;高値!AF263,高値!AG263&gt;高値!AE263,高値!AG263&gt;高値!AH263,高値!AG263&gt;高値!AI263),28,""))</f>
        <v/>
      </c>
      <c r="BD263" s="503">
        <f t="shared" si="24"/>
        <v>3</v>
      </c>
      <c r="BE263" s="503">
        <f t="shared" si="25"/>
        <v>6</v>
      </c>
      <c r="BF263" s="503">
        <f t="shared" si="26"/>
        <v>13</v>
      </c>
      <c r="BG263" s="503">
        <f>IF($BE263="","",INDEX(安値!$E263:$CZ263,1,$BE263+1))</f>
        <v>6989</v>
      </c>
      <c r="BH263" s="503">
        <f>IF($BF263="","",INDEX(安値!$E263:$CZ263,1,$BF263+1))</f>
        <v>7182</v>
      </c>
      <c r="BI263" s="503">
        <f>IF($BF263="","",MAX(INDEX(高値!$E263:$CZ263,1,$BE263+1):INDEX(高値!$E263:$CZ263,1,$BF263+1)))</f>
        <v>7872</v>
      </c>
      <c r="BJ263" s="503">
        <f>IF($BF263="","",AVERAGE(INDEX(終値!$E263:$CZ263,1,$BF263+1):INDEX(終値!$E263:$CZ263,1,$BF263+20))-2*STDEVP(INDEX(終値!$E263:$CZ263,1,$BF263+1):INDEX(終値!$E263:$CZ263,1,$BF263+20)))</f>
        <v>7379.6388754184709</v>
      </c>
      <c r="BK263" s="503">
        <f>IF($BE263="","",AVERAGE(INDEX(終値!$E263:$CZ263,1,$BE263+1):INDEX(終値!$E263:$CZ263,1,$BE263+20))-2*STDEVP(INDEX(終値!$E263:$CZ263,1,$BE263+1):INDEX(終値!$E263:$CZ263,1,$BE263+20)))</f>
        <v>7156.5553162970937</v>
      </c>
      <c r="BL263" s="503">
        <f t="shared" si="27"/>
        <v>2</v>
      </c>
      <c r="BM263" s="503">
        <f t="shared" si="28"/>
        <v>8</v>
      </c>
      <c r="BN263" s="503">
        <f t="shared" si="29"/>
        <v>20</v>
      </c>
      <c r="BO263" s="503">
        <f>IF($BM263="","",INDEX(高値!$E263:$CZ263,1,$BM263+1))</f>
        <v>7872</v>
      </c>
      <c r="BP263" s="503">
        <f>IF($BN263="","",INDEX(高値!$E263:$CZ263,1,$BN263+1))</f>
        <v>8697</v>
      </c>
      <c r="BQ263" s="503">
        <f>IF($BN263="","",MIN(INDEX(安値!$E263:$CZ263,1,$BM263+1):INDEX(安値!$E263:$CZ263,1,$BN263+1)))</f>
        <v>7182</v>
      </c>
      <c r="BR263" s="503">
        <f>IF($BN263="","",AVERAGE(INDEX(終値!$E263:$CZ263,1,$BN263+1):INDEX(終値!$E263:$CZ263,1,$BN263+20))+2*STDEVP(INDEX(終値!$E263:$CZ263,1,$BN263+1):INDEX(終値!$E263:$CZ263,1,$BN263+20)))</f>
        <v>8567.1964489935744</v>
      </c>
      <c r="BS263" s="503">
        <f>IF($BM263="","",AVERAGE(INDEX(終値!$E263:$CZ263,1,$BM263+1):INDEX(終値!$E263:$CZ263,1,$BM263+20))+2*STDEVP(INDEX(終値!$E263:$CZ263,1,$BM263+1):INDEX(終値!$E263:$CZ263,1,$BM263+20)))</f>
        <v>8376.6156623226561</v>
      </c>
      <c r="BT263" s="500"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3" t="str">
        <f>IF(終値!A264="","",IF(AND(安値!G264&lt;安値!F264,安値!G264&lt;安値!E264,安値!G264&lt;安値!H264,安値!G264&lt;安値!I264),2,""))</f>
        <v/>
      </c>
      <c r="C264" s="503" t="str">
        <f>IF(終値!A264="","",IF(AND(安値!H264&lt;安値!G264,安値!H264&lt;安値!F264,安値!H264&lt;安値!I264,安値!H264&lt;安値!J264),3,""))</f>
        <v/>
      </c>
      <c r="D264" s="503" t="str">
        <f>IF(終値!A264="","",IF(AND(安値!I264&lt;安値!H264,安値!I264&lt;安値!G264,安値!I264&lt;安値!J264,安値!I264&lt;安値!K264),4,""))</f>
        <v/>
      </c>
      <c r="E264" s="503" t="str">
        <f>IF(終値!A264="","",IF(AND(安値!J264&lt;安値!I264,安値!J264&lt;安値!H264,安値!J264&lt;安値!K264,安値!J264&lt;安値!L264),5,""))</f>
        <v/>
      </c>
      <c r="F264" s="503">
        <f>IF(終値!A264="","",IF(AND(安値!K264&lt;安値!J264,安値!K264&lt;安値!I264,安値!K264&lt;安値!L264,安値!K264&lt;安値!M264),6,""))</f>
        <v>6</v>
      </c>
      <c r="G264" s="503" t="str">
        <f>IF(終値!A264="","",IF(AND(安値!L264&lt;安値!K264,安値!L264&lt;安値!J264,安値!L264&lt;安値!M264,安値!L264&lt;安値!N264),7,""))</f>
        <v/>
      </c>
      <c r="H264" s="503" t="str">
        <f>IF(終値!A264="","",IF(AND(安値!M264&lt;安値!L264,安値!M264&lt;安値!K264,安値!M264&lt;安値!N264,安値!M264&lt;安値!O264),8,""))</f>
        <v/>
      </c>
      <c r="I264" s="503" t="str">
        <f>IF(終値!A264="","",IF(AND(安値!N264&lt;安値!M264,安値!N264&lt;安値!L264,安値!N264&lt;安値!O264,安値!N264&lt;安値!P264),9,""))</f>
        <v/>
      </c>
      <c r="J264" s="503" t="str">
        <f>IF(終値!A264="","",IF(AND(安値!O264&lt;安値!N264,安値!O264&lt;安値!M264,安値!O264&lt;安値!P264,安値!O264&lt;安値!Q264),10,""))</f>
        <v/>
      </c>
      <c r="K264" s="503" t="str">
        <f>IF(終値!A264="","",IF(AND(安値!P264&lt;安値!O264,安値!P264&lt;安値!N264,安値!P264&lt;安値!Q264,安値!P264&lt;安値!R264),11,""))</f>
        <v/>
      </c>
      <c r="L264" s="503" t="str">
        <f>IF(終値!A264="","",IF(AND(安値!Q264&lt;安値!P264,安値!Q264&lt;安値!O264,安値!Q264&lt;安値!R264,安値!Q264&lt;安値!S264),12,""))</f>
        <v/>
      </c>
      <c r="M264" s="503">
        <f>IF(終値!A264="","",IF(AND(安値!R264&lt;安値!Q264,安値!R264&lt;安値!P264,安値!R264&lt;安値!S264,安値!R264&lt;安値!T264),13,""))</f>
        <v>13</v>
      </c>
      <c r="N264" s="503" t="str">
        <f>IF(終値!A264="","",IF(AND(安値!S264&lt;安値!R264,安値!S264&lt;安値!Q264,安値!S264&lt;安値!T264,安値!S264&lt;安値!U264),14,""))</f>
        <v/>
      </c>
      <c r="O264" s="503" t="str">
        <f>IF(終値!A264="","",IF(AND(安値!T264&lt;安値!S264,安値!T264&lt;安値!R264,安値!T264&lt;安値!U264,安値!T264&lt;安値!V264),15,""))</f>
        <v/>
      </c>
      <c r="P264" s="503" t="str">
        <f>IF(終値!A264="","",IF(AND(安値!U264&lt;安値!T264,安値!U264&lt;安値!S264,安値!U264&lt;安値!V264,安値!U264&lt;安値!W264),16,""))</f>
        <v/>
      </c>
      <c r="Q264" s="503" t="str">
        <f>IF(終値!A264="","",IF(AND(安値!V264&lt;安値!U264,安値!V264&lt;安値!T264,安値!V264&lt;安値!W264,安値!V264&lt;安値!X264),17,""))</f>
        <v/>
      </c>
      <c r="R264" s="503" t="str">
        <f>IF(終値!A264="","",IF(AND(安値!W264&lt;安値!V264,安値!W264&lt;安値!U264,安値!W264&lt;安値!X264,安値!W264&lt;安値!Y264),18,""))</f>
        <v/>
      </c>
      <c r="S264" s="503" t="str">
        <f>IF(終値!A264="","",IF(AND(安値!X264&lt;安値!W264,安値!X264&lt;安値!V264,安値!X264&lt;安値!Y264,安値!X264&lt;安値!Z264),19,""))</f>
        <v/>
      </c>
      <c r="T264" s="503" t="str">
        <f>IF(終値!A264="","",IF(AND(安値!Y264&lt;安値!X264,安値!Y264&lt;安値!W264,安値!Y264&lt;安値!Z264,安値!Y264&lt;安値!AA264),20,""))</f>
        <v/>
      </c>
      <c r="U264" s="503" t="str">
        <f>IF(終値!A264="","",IF(AND(安値!Z264&lt;安値!Y264,安値!Z264&lt;安値!X264,安値!Z264&lt;安値!AA264,安値!Z264&lt;安値!AB264),21,""))</f>
        <v/>
      </c>
      <c r="V264" s="503" t="str">
        <f>IF(終値!A264="","",IF(AND(安値!AA264&lt;安値!Z264,安値!AA264&lt;安値!Y264,安値!AA264&lt;安値!AB264,安値!AA264&lt;安値!AC264),22,""))</f>
        <v/>
      </c>
      <c r="W264" s="503" t="str">
        <f>IF(終値!A264="","",IF(AND(安値!AB264&lt;安値!AA264,安値!AB264&lt;安値!Z264,安値!AB264&lt;安値!AC264,安値!AB264&lt;安値!AD264),23,""))</f>
        <v/>
      </c>
      <c r="X264" s="503" t="str">
        <f>IF(終値!A264="","",IF(AND(安値!AC264&lt;安値!AB264,安値!AC264&lt;安値!AA264,安値!AC264&lt;安値!AD264,安値!AC264&lt;安値!AE264),24,""))</f>
        <v/>
      </c>
      <c r="Y264" s="503">
        <f>IF(終値!A264="","",IF(AND(安値!AD264&lt;安値!AC264,安値!AD264&lt;安値!AB264,安値!AD264&lt;安値!AE264,安値!AD264&lt;安値!AF264),25,""))</f>
        <v>25</v>
      </c>
      <c r="Z264" s="503" t="str">
        <f>IF(終値!A264="","",IF(AND(安値!AE264&lt;安値!AD264,安値!AE264&lt;安値!AC264,安値!AE264&lt;安値!AF264,安値!AE264&lt;安値!AG264),26,""))</f>
        <v/>
      </c>
      <c r="AA264" s="503" t="str">
        <f>IF(終値!A264="","",IF(AND(安値!AF264&lt;安値!AE264,安値!AF264&lt;安値!AD264,安値!AF264&lt;安値!AG264,安値!AF264&lt;安値!AH264),27,""))</f>
        <v/>
      </c>
      <c r="AB264" s="503" t="str">
        <f>IF(終値!A264="","",IF(AND(安値!AG264&lt;安値!AF264,安値!AG264&lt;安値!AE264,安値!AG264&lt;安値!AH264,安値!AG264&lt;安値!AI264),28,""))</f>
        <v/>
      </c>
      <c r="AC264" s="503" t="str">
        <f>IF(終値!A264="","",IF(AND(高値!G264&gt;高値!F264,高値!G264&gt;高値!E264,高値!G264&gt;高値!H264,高値!G264&gt;高値!I264),2,""))</f>
        <v/>
      </c>
      <c r="AD264" s="503" t="str">
        <f>IF(終値!A264="","",IF(AND(高値!H264&gt;高値!G264,高値!H264&gt;高値!F264,高値!H264&gt;高値!I264,高値!H264&gt;高値!J264),3,""))</f>
        <v/>
      </c>
      <c r="AE264" s="503" t="str">
        <f>IF(終値!A264="","",IF(AND(高値!I264&gt;高値!H264,高値!I264&gt;高値!G264,高値!I264&gt;高値!J264,高値!I264&gt;高値!K264),4,""))</f>
        <v/>
      </c>
      <c r="AF264" s="503" t="str">
        <f>IF(終値!A264="","",IF(AND(高値!J264&gt;高値!I264,高値!J264&gt;高値!H264,高値!J264&gt;高値!K264,高値!J264&gt;高値!L264),5,""))</f>
        <v/>
      </c>
      <c r="AG264" s="503" t="str">
        <f>IF(終値!A264="","",IF(AND(高値!K264&gt;高値!J264,高値!K264&gt;高値!I264,高値!K264&gt;高値!L264,高値!K264&gt;高値!M264),6,""))</f>
        <v/>
      </c>
      <c r="AH264" s="503" t="str">
        <f>IF(終値!A264="","",IF(AND(高値!L264&gt;高値!K264,高値!L264&gt;高値!J264,高値!L264&gt;高値!M264,高値!L264&gt;高値!N264),7,""))</f>
        <v/>
      </c>
      <c r="AI264" s="503" t="str">
        <f>IF(終値!A264="","",IF(AND(高値!M264&gt;高値!L264,高値!M264&gt;高値!K264,高値!M264&gt;高値!N264,高値!M264&gt;高値!O264),8,""))</f>
        <v/>
      </c>
      <c r="AJ264" s="503" t="str">
        <f>IF(終値!A264="","",IF(AND(高値!N264&gt;高値!M264,高値!N264&gt;高値!L264,高値!N264&gt;高値!O264,高値!N264&gt;高値!P264),9,""))</f>
        <v/>
      </c>
      <c r="AK264" s="503" t="str">
        <f>IF(終値!A264="","",IF(AND(高値!O264&gt;高値!N264,高値!O264&gt;高値!M264,高値!O264&gt;高値!P264,高値!O264&gt;高値!Q264),10,""))</f>
        <v/>
      </c>
      <c r="AL264" s="503">
        <f>IF(終値!A264="","",IF(AND(高値!P264&gt;高値!O264,高値!P264&gt;高値!N264,高値!P264&gt;高値!Q264,高値!P264&gt;高値!R264),11,""))</f>
        <v>11</v>
      </c>
      <c r="AM264" s="503" t="str">
        <f>IF(終値!A264="","",IF(AND(高値!Q264&gt;高値!P264,高値!Q264&gt;高値!O264,高値!Q264&gt;高値!R264,高値!Q264&gt;高値!S264),12,""))</f>
        <v/>
      </c>
      <c r="AN264" s="503" t="str">
        <f>IF(終値!A264="","",IF(AND(高値!R264&gt;高値!Q264,高値!R264&gt;高値!P264,高値!R264&gt;高値!S264,高値!R264&gt;高値!T264),13,""))</f>
        <v/>
      </c>
      <c r="AO264" s="503" t="str">
        <f>IF(終値!A264="","",IF(AND(高値!S264&gt;高値!R264,高値!S264&gt;高値!Q264,高値!S264&gt;高値!T264,高値!S264&gt;高値!U264),14,""))</f>
        <v/>
      </c>
      <c r="AP264" s="503" t="str">
        <f>IF(終値!A264="","",IF(AND(高値!T264&gt;高値!S264,高値!T264&gt;高値!R264,高値!T264&gt;高値!U264,高値!T264&gt;高値!V264),15,""))</f>
        <v/>
      </c>
      <c r="AQ264" s="503" t="str">
        <f>IF(終値!A264="","",IF(AND(高値!U264&gt;高値!T264,高値!U264&gt;高値!S264,高値!U264&gt;高値!V264,高値!U264&gt;高値!W264),16,""))</f>
        <v/>
      </c>
      <c r="AR264" s="503" t="str">
        <f>IF(終値!A264="","",IF(AND(高値!V264&gt;高値!U264,高値!V264&gt;高値!T264,高値!V264&gt;高値!W264,高値!V264&gt;高値!X264),17,""))</f>
        <v/>
      </c>
      <c r="AS264" s="503" t="str">
        <f>IF(終値!A264="","",IF(AND(高値!W264&gt;高値!V264,高値!W264&gt;高値!U264,高値!W264&gt;高値!X264,高値!W264&gt;高値!Y264),18,""))</f>
        <v/>
      </c>
      <c r="AT264" s="503" t="str">
        <f>IF(終値!A264="","",IF(AND(高値!X264&gt;高値!W264,高値!X264&gt;高値!V264,高値!X264&gt;高値!Y264,高値!X264&gt;高値!Z264),19,""))</f>
        <v/>
      </c>
      <c r="AU264" s="503" t="str">
        <f>IF(終値!A264="","",IF(AND(高値!Y264&gt;高値!X264,高値!Y264&gt;高値!W264,高値!Y264&gt;高値!Z264,高値!Y264&gt;高値!AA264),20,""))</f>
        <v/>
      </c>
      <c r="AV264" s="503">
        <f>IF(終値!A264="","",IF(AND(高値!Z264&gt;高値!Y264,高値!Z264&gt;高値!X264,高値!Z264&gt;高値!AA264,高値!Z264&gt;高値!AB264),21,""))</f>
        <v>21</v>
      </c>
      <c r="AW264" s="503" t="str">
        <f>IF(終値!A264="","",IF(AND(高値!AA264&gt;高値!Z264,高値!AA264&gt;高値!Y264,高値!AA264&gt;高値!AB264,高値!AA264&gt;高値!AC264),22,""))</f>
        <v/>
      </c>
      <c r="AX264" s="503" t="str">
        <f>IF(終値!A264="","",IF(AND(高値!AB264&gt;高値!AA264,高値!AB264&gt;高値!Z264,高値!AB264&gt;高値!AC264,高値!AB264&gt;高値!AD264),23,""))</f>
        <v/>
      </c>
      <c r="AY264" s="503" t="str">
        <f>IF(終値!A264="","",IF(AND(高値!AC264&gt;高値!AB264,高値!AC264&gt;高値!AA264,高値!AC264&gt;高値!AD264,高値!AC264&gt;高値!AE264),24,""))</f>
        <v/>
      </c>
      <c r="AZ264" s="503" t="str">
        <f>IF(終値!A264="","",IF(AND(高値!AD264&gt;高値!AC264,高値!AD264&gt;高値!AB264,高値!AD264&gt;高値!AE264,高値!AD264&gt;高値!AF264),25,""))</f>
        <v/>
      </c>
      <c r="BA264" s="503" t="str">
        <f>IF(終値!A264="","",IF(AND(高値!AE264&gt;高値!AD264,高値!AE264&gt;高値!AC264,高値!AE264&gt;高値!AF264,高値!AE264&gt;高値!AG264),26,""))</f>
        <v/>
      </c>
      <c r="BB264" s="503" t="str">
        <f>IF(終値!A264="","",IF(AND(高値!AF264&gt;高値!AE264,高値!AF264&gt;高値!AD264,高値!AF264&gt;高値!AG264,高値!AF264&gt;高値!AH264),27,""))</f>
        <v/>
      </c>
      <c r="BC264" s="503" t="str">
        <f>IF(終値!A264="","",IF(AND(高値!AG264&gt;高値!AF264,高値!AG264&gt;高値!AE264,高値!AG264&gt;高値!AH264,高値!AG264&gt;高値!AI264),28,""))</f>
        <v/>
      </c>
      <c r="BD264" s="503">
        <f t="shared" si="24"/>
        <v>3</v>
      </c>
      <c r="BE264" s="503">
        <f t="shared" si="25"/>
        <v>6</v>
      </c>
      <c r="BF264" s="503">
        <f t="shared" si="26"/>
        <v>13</v>
      </c>
      <c r="BG264" s="503">
        <f>IF($BE264="","",INDEX(安値!$E264:$CZ264,1,$BE264+1))</f>
        <v>5044</v>
      </c>
      <c r="BH264" s="503">
        <f>IF($BF264="","",INDEX(安値!$E264:$CZ264,1,$BF264+1))</f>
        <v>5388</v>
      </c>
      <c r="BI264" s="503">
        <f>IF($BF264="","",MAX(INDEX(高値!$E264:$CZ264,1,$BE264+1):INDEX(高値!$E264:$CZ264,1,$BF264+1)))</f>
        <v>6149</v>
      </c>
      <c r="BJ264" s="503">
        <f>IF($BF264="","",AVERAGE(INDEX(終値!$E264:$CZ264,1,$BF264+1):INDEX(終値!$E264:$CZ264,1,$BF264+20))-2*STDEVP(INDEX(終値!$E264:$CZ264,1,$BF264+1):INDEX(終値!$E264:$CZ264,1,$BF264+20)))</f>
        <v>5606.0973568318577</v>
      </c>
      <c r="BK264" s="503">
        <f>IF($BE264="","",AVERAGE(INDEX(終値!$E264:$CZ264,1,$BE264+1):INDEX(終値!$E264:$CZ264,1,$BE264+20))-2*STDEVP(INDEX(終値!$E264:$CZ264,1,$BE264+1):INDEX(終値!$E264:$CZ264,1,$BE264+20)))</f>
        <v>5251.3095926255355</v>
      </c>
      <c r="BL264" s="503">
        <f t="shared" si="27"/>
        <v>2</v>
      </c>
      <c r="BM264" s="503">
        <f t="shared" si="28"/>
        <v>11</v>
      </c>
      <c r="BN264" s="503">
        <f t="shared" si="29"/>
        <v>21</v>
      </c>
      <c r="BO264" s="503">
        <f>IF($BM264="","",INDEX(高値!$E264:$CZ264,1,$BM264+1))</f>
        <v>6149</v>
      </c>
      <c r="BP264" s="503">
        <f>IF($BN264="","",INDEX(高値!$E264:$CZ264,1,$BN264+1))</f>
        <v>6825</v>
      </c>
      <c r="BQ264" s="503">
        <f>IF($BN264="","",MIN(INDEX(安値!$E264:$CZ264,1,$BM264+1):INDEX(安値!$E264:$CZ264,1,$BN264+1)))</f>
        <v>5388</v>
      </c>
      <c r="BR264" s="503">
        <f>IF($BN264="","",AVERAGE(INDEX(終値!$E264:$CZ264,1,$BN264+1):INDEX(終値!$E264:$CZ264,1,$BN264+20))+2*STDEVP(INDEX(終値!$E264:$CZ264,1,$BN264+1):INDEX(終値!$E264:$CZ264,1,$BN264+20)))</f>
        <v>7364.9173600144641</v>
      </c>
      <c r="BS264" s="503">
        <f>IF($BM264="","",AVERAGE(INDEX(終値!$E264:$CZ264,1,$BM264+1):INDEX(終値!$E264:$CZ264,1,$BM264+20))+2*STDEVP(INDEX(終値!$E264:$CZ264,1,$BM264+1):INDEX(終値!$E264:$CZ264,1,$BM264+20)))</f>
        <v>7321.9835697051776</v>
      </c>
      <c r="BT264" s="500"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3" t="str">
        <f>IF(終値!A265="","",IF(AND(安値!G265&lt;安値!F265,安値!G265&lt;安値!E265,安値!G265&lt;安値!H265,安値!G265&lt;安値!I265),2,""))</f>
        <v/>
      </c>
      <c r="C265" s="503" t="str">
        <f>IF(終値!A265="","",IF(AND(安値!H265&lt;安値!G265,安値!H265&lt;安値!F265,安値!H265&lt;安値!I265,安値!H265&lt;安値!J265),3,""))</f>
        <v/>
      </c>
      <c r="D265" s="503" t="str">
        <f>IF(終値!A265="","",IF(AND(安値!I265&lt;安値!H265,安値!I265&lt;安値!G265,安値!I265&lt;安値!J265,安値!I265&lt;安値!K265),4,""))</f>
        <v/>
      </c>
      <c r="E265" s="503">
        <f>IF(終値!A265="","",IF(AND(安値!J265&lt;安値!I265,安値!J265&lt;安値!H265,安値!J265&lt;安値!K265,安値!J265&lt;安値!L265),5,""))</f>
        <v>5</v>
      </c>
      <c r="F265" s="503" t="str">
        <f>IF(終値!A265="","",IF(AND(安値!K265&lt;安値!J265,安値!K265&lt;安値!I265,安値!K265&lt;安値!L265,安値!K265&lt;安値!M265),6,""))</f>
        <v/>
      </c>
      <c r="G265" s="503" t="str">
        <f>IF(終値!A265="","",IF(AND(安値!L265&lt;安値!K265,安値!L265&lt;安値!J265,安値!L265&lt;安値!M265,安値!L265&lt;安値!N265),7,""))</f>
        <v/>
      </c>
      <c r="H265" s="503" t="str">
        <f>IF(終値!A265="","",IF(AND(安値!M265&lt;安値!L265,安値!M265&lt;安値!K265,安値!M265&lt;安値!N265,安値!M265&lt;安値!O265),8,""))</f>
        <v/>
      </c>
      <c r="I265" s="503">
        <f>IF(終値!A265="","",IF(AND(安値!N265&lt;安値!M265,安値!N265&lt;安値!L265,安値!N265&lt;安値!O265,安値!N265&lt;安値!P265),9,""))</f>
        <v>9</v>
      </c>
      <c r="J265" s="503" t="str">
        <f>IF(終値!A265="","",IF(AND(安値!O265&lt;安値!N265,安値!O265&lt;安値!M265,安値!O265&lt;安値!P265,安値!O265&lt;安値!Q265),10,""))</f>
        <v/>
      </c>
      <c r="K265" s="503" t="str">
        <f>IF(終値!A265="","",IF(AND(安値!P265&lt;安値!O265,安値!P265&lt;安値!N265,安値!P265&lt;安値!Q265,安値!P265&lt;安値!R265),11,""))</f>
        <v/>
      </c>
      <c r="L265" s="503" t="str">
        <f>IF(終値!A265="","",IF(AND(安値!Q265&lt;安値!P265,安値!Q265&lt;安値!O265,安値!Q265&lt;安値!R265,安値!Q265&lt;安値!S265),12,""))</f>
        <v/>
      </c>
      <c r="M265" s="503">
        <f>IF(終値!A265="","",IF(AND(安値!R265&lt;安値!Q265,安値!R265&lt;安値!P265,安値!R265&lt;安値!S265,安値!R265&lt;安値!T265),13,""))</f>
        <v>13</v>
      </c>
      <c r="N265" s="503" t="str">
        <f>IF(終値!A265="","",IF(AND(安値!S265&lt;安値!R265,安値!S265&lt;安値!Q265,安値!S265&lt;安値!T265,安値!S265&lt;安値!U265),14,""))</f>
        <v/>
      </c>
      <c r="O265" s="503" t="str">
        <f>IF(終値!A265="","",IF(AND(安値!T265&lt;安値!S265,安値!T265&lt;安値!R265,安値!T265&lt;安値!U265,安値!T265&lt;安値!V265),15,""))</f>
        <v/>
      </c>
      <c r="P265" s="503" t="str">
        <f>IF(終値!A265="","",IF(AND(安値!U265&lt;安値!T265,安値!U265&lt;安値!S265,安値!U265&lt;安値!V265,安値!U265&lt;安値!W265),16,""))</f>
        <v/>
      </c>
      <c r="Q265" s="503" t="str">
        <f>IF(終値!A265="","",IF(AND(安値!V265&lt;安値!U265,安値!V265&lt;安値!T265,安値!V265&lt;安値!W265,安値!V265&lt;安値!X265),17,""))</f>
        <v/>
      </c>
      <c r="R265" s="503">
        <f>IF(終値!A265="","",IF(AND(安値!W265&lt;安値!V265,安値!W265&lt;安値!U265,安値!W265&lt;安値!X265,安値!W265&lt;安値!Y265),18,""))</f>
        <v>18</v>
      </c>
      <c r="S265" s="503" t="str">
        <f>IF(終値!A265="","",IF(AND(安値!X265&lt;安値!W265,安値!X265&lt;安値!V265,安値!X265&lt;安値!Y265,安値!X265&lt;安値!Z265),19,""))</f>
        <v/>
      </c>
      <c r="T265" s="503" t="str">
        <f>IF(終値!A265="","",IF(AND(安値!Y265&lt;安値!X265,安値!Y265&lt;安値!W265,安値!Y265&lt;安値!Z265,安値!Y265&lt;安値!AA265),20,""))</f>
        <v/>
      </c>
      <c r="U265" s="503" t="str">
        <f>IF(終値!A265="","",IF(AND(安値!Z265&lt;安値!Y265,安値!Z265&lt;安値!X265,安値!Z265&lt;安値!AA265,安値!Z265&lt;安値!AB265),21,""))</f>
        <v/>
      </c>
      <c r="V265" s="503" t="str">
        <f>IF(終値!A265="","",IF(AND(安値!AA265&lt;安値!Z265,安値!AA265&lt;安値!Y265,安値!AA265&lt;安値!AB265,安値!AA265&lt;安値!AC265),22,""))</f>
        <v/>
      </c>
      <c r="W265" s="503" t="str">
        <f>IF(終値!A265="","",IF(AND(安値!AB265&lt;安値!AA265,安値!AB265&lt;安値!Z265,安値!AB265&lt;安値!AC265,安値!AB265&lt;安値!AD265),23,""))</f>
        <v/>
      </c>
      <c r="X265" s="503" t="str">
        <f>IF(終値!A265="","",IF(AND(安値!AC265&lt;安値!AB265,安値!AC265&lt;安値!AA265,安値!AC265&lt;安値!AD265,安値!AC265&lt;安値!AE265),24,""))</f>
        <v/>
      </c>
      <c r="Y265" s="503" t="str">
        <f>IF(終値!A265="","",IF(AND(安値!AD265&lt;安値!AC265,安値!AD265&lt;安値!AB265,安値!AD265&lt;安値!AE265,安値!AD265&lt;安値!AF265),25,""))</f>
        <v/>
      </c>
      <c r="Z265" s="503" t="str">
        <f>IF(終値!A265="","",IF(AND(安値!AE265&lt;安値!AD265,安値!AE265&lt;安値!AC265,安値!AE265&lt;安値!AF265,安値!AE265&lt;安値!AG265),26,""))</f>
        <v/>
      </c>
      <c r="AA265" s="503" t="str">
        <f>IF(終値!A265="","",IF(AND(安値!AF265&lt;安値!AE265,安値!AF265&lt;安値!AD265,安値!AF265&lt;安値!AG265,安値!AF265&lt;安値!AH265),27,""))</f>
        <v/>
      </c>
      <c r="AB265" s="503" t="str">
        <f>IF(終値!A265="","",IF(AND(安値!AG265&lt;安値!AF265,安値!AG265&lt;安値!AE265,安値!AG265&lt;安値!AH265,安値!AG265&lt;安値!AI265),28,""))</f>
        <v/>
      </c>
      <c r="AC265" s="503" t="str">
        <f>IF(終値!A265="","",IF(AND(高値!G265&gt;高値!F265,高値!G265&gt;高値!E265,高値!G265&gt;高値!H265,高値!G265&gt;高値!I265),2,""))</f>
        <v/>
      </c>
      <c r="AD265" s="503" t="str">
        <f>IF(終値!A265="","",IF(AND(高値!H265&gt;高値!G265,高値!H265&gt;高値!F265,高値!H265&gt;高値!I265,高値!H265&gt;高値!J265),3,""))</f>
        <v/>
      </c>
      <c r="AE265" s="503">
        <f>IF(終値!A265="","",IF(AND(高値!I265&gt;高値!H265,高値!I265&gt;高値!G265,高値!I265&gt;高値!J265,高値!I265&gt;高値!K265),4,""))</f>
        <v>4</v>
      </c>
      <c r="AF265" s="503" t="str">
        <f>IF(終値!A265="","",IF(AND(高値!J265&gt;高値!I265,高値!J265&gt;高値!H265,高値!J265&gt;高値!K265,高値!J265&gt;高値!L265),5,""))</f>
        <v/>
      </c>
      <c r="AG265" s="503" t="str">
        <f>IF(終値!A265="","",IF(AND(高値!K265&gt;高値!J265,高値!K265&gt;高値!I265,高値!K265&gt;高値!L265,高値!K265&gt;高値!M265),6,""))</f>
        <v/>
      </c>
      <c r="AH265" s="503" t="str">
        <f>IF(終値!A265="","",IF(AND(高値!L265&gt;高値!K265,高値!L265&gt;高値!J265,高値!L265&gt;高値!M265,高値!L265&gt;高値!N265),7,""))</f>
        <v/>
      </c>
      <c r="AI265" s="503" t="str">
        <f>IF(終値!A265="","",IF(AND(高値!M265&gt;高値!L265,高値!M265&gt;高値!K265,高値!M265&gt;高値!N265,高値!M265&gt;高値!O265),8,""))</f>
        <v/>
      </c>
      <c r="AJ265" s="503" t="str">
        <f>IF(終値!A265="","",IF(AND(高値!N265&gt;高値!M265,高値!N265&gt;高値!L265,高値!N265&gt;高値!O265,高値!N265&gt;高値!P265),9,""))</f>
        <v/>
      </c>
      <c r="AK265" s="503" t="str">
        <f>IF(終値!A265="","",IF(AND(高値!O265&gt;高値!N265,高値!O265&gt;高値!M265,高値!O265&gt;高値!P265,高値!O265&gt;高値!Q265),10,""))</f>
        <v/>
      </c>
      <c r="AL265" s="503">
        <f>IF(終値!A265="","",IF(AND(高値!P265&gt;高値!O265,高値!P265&gt;高値!N265,高値!P265&gt;高値!Q265,高値!P265&gt;高値!R265),11,""))</f>
        <v>11</v>
      </c>
      <c r="AM265" s="503" t="str">
        <f>IF(終値!A265="","",IF(AND(高値!Q265&gt;高値!P265,高値!Q265&gt;高値!O265,高値!Q265&gt;高値!R265,高値!Q265&gt;高値!S265),12,""))</f>
        <v/>
      </c>
      <c r="AN265" s="503" t="str">
        <f>IF(終値!A265="","",IF(AND(高値!R265&gt;高値!Q265,高値!R265&gt;高値!P265,高値!R265&gt;高値!S265,高値!R265&gt;高値!T265),13,""))</f>
        <v/>
      </c>
      <c r="AO265" s="503" t="str">
        <f>IF(終値!A265="","",IF(AND(高値!S265&gt;高値!R265,高値!S265&gt;高値!Q265,高値!S265&gt;高値!T265,高値!S265&gt;高値!U265),14,""))</f>
        <v/>
      </c>
      <c r="AP265" s="503" t="str">
        <f>IF(終値!A265="","",IF(AND(高値!T265&gt;高値!S265,高値!T265&gt;高値!R265,高値!T265&gt;高値!U265,高値!T265&gt;高値!V265),15,""))</f>
        <v/>
      </c>
      <c r="AQ265" s="503">
        <f>IF(終値!A265="","",IF(AND(高値!U265&gt;高値!T265,高値!U265&gt;高値!S265,高値!U265&gt;高値!V265,高値!U265&gt;高値!W265),16,""))</f>
        <v>16</v>
      </c>
      <c r="AR265" s="503" t="str">
        <f>IF(終値!A265="","",IF(AND(高値!V265&gt;高値!U265,高値!V265&gt;高値!T265,高値!V265&gt;高値!W265,高値!V265&gt;高値!X265),17,""))</f>
        <v/>
      </c>
      <c r="AS265" s="503" t="str">
        <f>IF(終値!A265="","",IF(AND(高値!W265&gt;高値!V265,高値!W265&gt;高値!U265,高値!W265&gt;高値!X265,高値!W265&gt;高値!Y265),18,""))</f>
        <v/>
      </c>
      <c r="AT265" s="503" t="str">
        <f>IF(終値!A265="","",IF(AND(高値!X265&gt;高値!W265,高値!X265&gt;高値!V265,高値!X265&gt;高値!Y265,高値!X265&gt;高値!Z265),19,""))</f>
        <v/>
      </c>
      <c r="AU265" s="503" t="str">
        <f>IF(終値!A265="","",IF(AND(高値!Y265&gt;高値!X265,高値!Y265&gt;高値!W265,高値!Y265&gt;高値!Z265,高値!Y265&gt;高値!AA265),20,""))</f>
        <v/>
      </c>
      <c r="AV265" s="503" t="str">
        <f>IF(終値!A265="","",IF(AND(高値!Z265&gt;高値!Y265,高値!Z265&gt;高値!X265,高値!Z265&gt;高値!AA265,高値!Z265&gt;高値!AB265),21,""))</f>
        <v/>
      </c>
      <c r="AW265" s="503" t="str">
        <f>IF(終値!A265="","",IF(AND(高値!AA265&gt;高値!Z265,高値!AA265&gt;高値!Y265,高値!AA265&gt;高値!AB265,高値!AA265&gt;高値!AC265),22,""))</f>
        <v/>
      </c>
      <c r="AX265" s="503" t="str">
        <f>IF(終値!A265="","",IF(AND(高値!AB265&gt;高値!AA265,高値!AB265&gt;高値!Z265,高値!AB265&gt;高値!AC265,高値!AB265&gt;高値!AD265),23,""))</f>
        <v/>
      </c>
      <c r="AY265" s="503" t="str">
        <f>IF(終値!A265="","",IF(AND(高値!AC265&gt;高値!AB265,高値!AC265&gt;高値!AA265,高値!AC265&gt;高値!AD265,高値!AC265&gt;高値!AE265),24,""))</f>
        <v/>
      </c>
      <c r="AZ265" s="503" t="str">
        <f>IF(終値!A265="","",IF(AND(高値!AD265&gt;高値!AC265,高値!AD265&gt;高値!AB265,高値!AD265&gt;高値!AE265,高値!AD265&gt;高値!AF265),25,""))</f>
        <v/>
      </c>
      <c r="BA265" s="503" t="str">
        <f>IF(終値!A265="","",IF(AND(高値!AE265&gt;高値!AD265,高値!AE265&gt;高値!AC265,高値!AE265&gt;高値!AF265,高値!AE265&gt;高値!AG265),26,""))</f>
        <v/>
      </c>
      <c r="BB265" s="503" t="str">
        <f>IF(終値!A265="","",IF(AND(高値!AF265&gt;高値!AE265,高値!AF265&gt;高値!AD265,高値!AF265&gt;高値!AG265,高値!AF265&gt;高値!AH265),27,""))</f>
        <v/>
      </c>
      <c r="BC265" s="503" t="str">
        <f>IF(終値!A265="","",IF(AND(高値!AG265&gt;高値!AF265,高値!AG265&gt;高値!AE265,高値!AG265&gt;高値!AH265,高値!AG265&gt;高値!AI265),28,""))</f>
        <v/>
      </c>
      <c r="BD265" s="503">
        <f t="shared" si="24"/>
        <v>4</v>
      </c>
      <c r="BE265" s="503">
        <f t="shared" si="25"/>
        <v>5</v>
      </c>
      <c r="BF265" s="503">
        <f t="shared" si="26"/>
        <v>9</v>
      </c>
      <c r="BG265" s="503">
        <f>IF($BE265="","",INDEX(安値!$E265:$CZ265,1,$BE265+1))</f>
        <v>375</v>
      </c>
      <c r="BH265" s="503">
        <f>IF($BF265="","",INDEX(安値!$E265:$CZ265,1,$BF265+1))</f>
        <v>0</v>
      </c>
      <c r="BI265" s="503">
        <f>IF($BF265="","",MAX(INDEX(高値!$E265:$CZ265,1,$BE265+1):INDEX(高値!$E265:$CZ265,1,$BF265+1)))</f>
        <v>410</v>
      </c>
      <c r="BJ265" s="503">
        <f>IF($BF265="","",AVERAGE(INDEX(終値!$E265:$CZ265,1,$BF265+1):INDEX(終値!$E265:$CZ265,1,$BF265+20))-2*STDEVP(INDEX(終値!$E265:$CZ265,1,$BF265+1):INDEX(終値!$E265:$CZ265,1,$BF265+20)))</f>
        <v>381.21383994690291</v>
      </c>
      <c r="BK265" s="503">
        <f>IF($BE265="","",AVERAGE(INDEX(終値!$E265:$CZ265,1,$BE265+1):INDEX(終値!$E265:$CZ265,1,$BE265+20))-2*STDEVP(INDEX(終値!$E265:$CZ265,1,$BE265+1):INDEX(終値!$E265:$CZ265,1,$BE265+20)))</f>
        <v>367.70636578944936</v>
      </c>
      <c r="BL265" s="503">
        <f t="shared" si="27"/>
        <v>3</v>
      </c>
      <c r="BM265" s="503">
        <f t="shared" si="28"/>
        <v>4</v>
      </c>
      <c r="BN265" s="503">
        <f t="shared" si="29"/>
        <v>11</v>
      </c>
      <c r="BO265" s="503">
        <f>IF($BM265="","",INDEX(高値!$E265:$CZ265,1,$BM265+1))</f>
        <v>399</v>
      </c>
      <c r="BP265" s="503">
        <f>IF($BN265="","",INDEX(高値!$E265:$CZ265,1,$BN265+1))</f>
        <v>425</v>
      </c>
      <c r="BQ265" s="503">
        <f>IF($BN265="","",MIN(INDEX(安値!$E265:$CZ265,1,$BM265+1):INDEX(安値!$E265:$CZ265,1,$BN265+1)))</f>
        <v>375</v>
      </c>
      <c r="BR265" s="503">
        <f>IF($BN265="","",AVERAGE(INDEX(終値!$E265:$CZ265,1,$BN265+1):INDEX(終値!$E265:$CZ265,1,$BN265+20))+2*STDEVP(INDEX(終値!$E265:$CZ265,1,$BN265+1):INDEX(終値!$E265:$CZ265,1,$BN265+20)))</f>
        <v>538.78455301091367</v>
      </c>
      <c r="BS265" s="503">
        <f>IF($BM265="","",AVERAGE(INDEX(終値!$E265:$CZ265,1,$BM265+1):INDEX(終値!$E265:$CZ265,1,$BM265+20))+2*STDEVP(INDEX(終値!$E265:$CZ265,1,$BM265+1):INDEX(終値!$E265:$CZ265,1,$BM265+20)))</f>
        <v>484.76226750422029</v>
      </c>
      <c r="BT265" s="500"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3" t="str">
        <f>IF(終値!A266="","",IF(AND(安値!G266&lt;安値!F266,安値!G266&lt;安値!E266,安値!G266&lt;安値!H266,安値!G266&lt;安値!I266),2,""))</f>
        <v/>
      </c>
      <c r="C266" s="503" t="str">
        <f>IF(終値!A266="","",IF(AND(安値!H266&lt;安値!G266,安値!H266&lt;安値!F266,安値!H266&lt;安値!I266,安値!H266&lt;安値!J266),3,""))</f>
        <v/>
      </c>
      <c r="D266" s="503" t="str">
        <f>IF(終値!A266="","",IF(AND(安値!I266&lt;安値!H266,安値!I266&lt;安値!G266,安値!I266&lt;安値!J266,安値!I266&lt;安値!K266),4,""))</f>
        <v/>
      </c>
      <c r="E266" s="503">
        <f>IF(終値!A266="","",IF(AND(安値!J266&lt;安値!I266,安値!J266&lt;安値!H266,安値!J266&lt;安値!K266,安値!J266&lt;安値!L266),5,""))</f>
        <v>5</v>
      </c>
      <c r="F266" s="503" t="str">
        <f>IF(終値!A266="","",IF(AND(安値!K266&lt;安値!J266,安値!K266&lt;安値!I266,安値!K266&lt;安値!L266,安値!K266&lt;安値!M266),6,""))</f>
        <v/>
      </c>
      <c r="G266" s="503" t="str">
        <f>IF(終値!A266="","",IF(AND(安値!L266&lt;安値!K266,安値!L266&lt;安値!J266,安値!L266&lt;安値!M266,安値!L266&lt;安値!N266),7,""))</f>
        <v/>
      </c>
      <c r="H266" s="503" t="str">
        <f>IF(終値!A266="","",IF(AND(安値!M266&lt;安値!L266,安値!M266&lt;安値!K266,安値!M266&lt;安値!N266,安値!M266&lt;安値!O266),8,""))</f>
        <v/>
      </c>
      <c r="I266" s="503" t="str">
        <f>IF(終値!A266="","",IF(AND(安値!N266&lt;安値!M266,安値!N266&lt;安値!L266,安値!N266&lt;安値!O266,安値!N266&lt;安値!P266),9,""))</f>
        <v/>
      </c>
      <c r="J266" s="503" t="str">
        <f>IF(終値!A266="","",IF(AND(安値!O266&lt;安値!N266,安値!O266&lt;安値!M266,安値!O266&lt;安値!P266,安値!O266&lt;安値!Q266),10,""))</f>
        <v/>
      </c>
      <c r="K266" s="503" t="str">
        <f>IF(終値!A266="","",IF(AND(安値!P266&lt;安値!O266,安値!P266&lt;安値!N266,安値!P266&lt;安値!Q266,安値!P266&lt;安値!R266),11,""))</f>
        <v/>
      </c>
      <c r="L266" s="503" t="str">
        <f>IF(終値!A266="","",IF(AND(安値!Q266&lt;安値!P266,安値!Q266&lt;安値!O266,安値!Q266&lt;安値!R266,安値!Q266&lt;安値!S266),12,""))</f>
        <v/>
      </c>
      <c r="M266" s="503">
        <f>IF(終値!A266="","",IF(AND(安値!R266&lt;安値!Q266,安値!R266&lt;安値!P266,安値!R266&lt;安値!S266,安値!R266&lt;安値!T266),13,""))</f>
        <v>13</v>
      </c>
      <c r="N266" s="503" t="str">
        <f>IF(終値!A266="","",IF(AND(安値!S266&lt;安値!R266,安値!S266&lt;安値!Q266,安値!S266&lt;安値!T266,安値!S266&lt;安値!U266),14,""))</f>
        <v/>
      </c>
      <c r="O266" s="503" t="str">
        <f>IF(終値!A266="","",IF(AND(安値!T266&lt;安値!S266,安値!T266&lt;安値!R266,安値!T266&lt;安値!U266,安値!T266&lt;安値!V266),15,""))</f>
        <v/>
      </c>
      <c r="P266" s="503" t="str">
        <f>IF(終値!A266="","",IF(AND(安値!U266&lt;安値!T266,安値!U266&lt;安値!S266,安値!U266&lt;安値!V266,安値!U266&lt;安値!W266),16,""))</f>
        <v/>
      </c>
      <c r="Q266" s="503" t="str">
        <f>IF(終値!A266="","",IF(AND(安値!V266&lt;安値!U266,安値!V266&lt;安値!T266,安値!V266&lt;安値!W266,安値!V266&lt;安値!X266),17,""))</f>
        <v/>
      </c>
      <c r="R266" s="503">
        <f>IF(終値!A266="","",IF(AND(安値!W266&lt;安値!V266,安値!W266&lt;安値!U266,安値!W266&lt;安値!X266,安値!W266&lt;安値!Y266),18,""))</f>
        <v>18</v>
      </c>
      <c r="S266" s="503" t="str">
        <f>IF(終値!A266="","",IF(AND(安値!X266&lt;安値!W266,安値!X266&lt;安値!V266,安値!X266&lt;安値!Y266,安値!X266&lt;安値!Z266),19,""))</f>
        <v/>
      </c>
      <c r="T266" s="503" t="str">
        <f>IF(終値!A266="","",IF(AND(安値!Y266&lt;安値!X266,安値!Y266&lt;安値!W266,安値!Y266&lt;安値!Z266,安値!Y266&lt;安値!AA266),20,""))</f>
        <v/>
      </c>
      <c r="U266" s="503" t="str">
        <f>IF(終値!A266="","",IF(AND(安値!Z266&lt;安値!Y266,安値!Z266&lt;安値!X266,安値!Z266&lt;安値!AA266,安値!Z266&lt;安値!AB266),21,""))</f>
        <v/>
      </c>
      <c r="V266" s="503">
        <f>IF(終値!A266="","",IF(AND(安値!AA266&lt;安値!Z266,安値!AA266&lt;安値!Y266,安値!AA266&lt;安値!AB266,安値!AA266&lt;安値!AC266),22,""))</f>
        <v>22</v>
      </c>
      <c r="W266" s="503" t="str">
        <f>IF(終値!A266="","",IF(AND(安値!AB266&lt;安値!AA266,安値!AB266&lt;安値!Z266,安値!AB266&lt;安値!AC266,安値!AB266&lt;安値!AD266),23,""))</f>
        <v/>
      </c>
      <c r="X266" s="503" t="str">
        <f>IF(終値!A266="","",IF(AND(安値!AC266&lt;安値!AB266,安値!AC266&lt;安値!AA266,安値!AC266&lt;安値!AD266,安値!AC266&lt;安値!AE266),24,""))</f>
        <v/>
      </c>
      <c r="Y266" s="503" t="str">
        <f>IF(終値!A266="","",IF(AND(安値!AD266&lt;安値!AC266,安値!AD266&lt;安値!AB266,安値!AD266&lt;安値!AE266,安値!AD266&lt;安値!AF266),25,""))</f>
        <v/>
      </c>
      <c r="Z266" s="503" t="str">
        <f>IF(終値!A266="","",IF(AND(安値!AE266&lt;安値!AD266,安値!AE266&lt;安値!AC266,安値!AE266&lt;安値!AF266,安値!AE266&lt;安値!AG266),26,""))</f>
        <v/>
      </c>
      <c r="AA266" s="503">
        <f>IF(終値!A266="","",IF(AND(安値!AF266&lt;安値!AE266,安値!AF266&lt;安値!AD266,安値!AF266&lt;安値!AG266,安値!AF266&lt;安値!AH266),27,""))</f>
        <v>27</v>
      </c>
      <c r="AB266" s="503" t="str">
        <f>IF(終値!A266="","",IF(AND(安値!AG266&lt;安値!AF266,安値!AG266&lt;安値!AE266,安値!AG266&lt;安値!AH266,安値!AG266&lt;安値!AI266),28,""))</f>
        <v/>
      </c>
      <c r="AC266" s="503">
        <f>IF(終値!A266="","",IF(AND(高値!G266&gt;高値!F266,高値!G266&gt;高値!E266,高値!G266&gt;高値!H266,高値!G266&gt;高値!I266),2,""))</f>
        <v>2</v>
      </c>
      <c r="AD266" s="503" t="str">
        <f>IF(終値!A266="","",IF(AND(高値!H266&gt;高値!G266,高値!H266&gt;高値!F266,高値!H266&gt;高値!I266,高値!H266&gt;高値!J266),3,""))</f>
        <v/>
      </c>
      <c r="AE266" s="503" t="str">
        <f>IF(終値!A266="","",IF(AND(高値!I266&gt;高値!H266,高値!I266&gt;高値!G266,高値!I266&gt;高値!J266,高値!I266&gt;高値!K266),4,""))</f>
        <v/>
      </c>
      <c r="AF266" s="503" t="str">
        <f>IF(終値!A266="","",IF(AND(高値!J266&gt;高値!I266,高値!J266&gt;高値!H266,高値!J266&gt;高値!K266,高値!J266&gt;高値!L266),5,""))</f>
        <v/>
      </c>
      <c r="AG266" s="503" t="str">
        <f>IF(終値!A266="","",IF(AND(高値!K266&gt;高値!J266,高値!K266&gt;高値!I266,高値!K266&gt;高値!L266,高値!K266&gt;高値!M266),6,""))</f>
        <v/>
      </c>
      <c r="AH266" s="503" t="str">
        <f>IF(終値!A266="","",IF(AND(高値!L266&gt;高値!K266,高値!L266&gt;高値!J266,高値!L266&gt;高値!M266,高値!L266&gt;高値!N266),7,""))</f>
        <v/>
      </c>
      <c r="AI266" s="503" t="str">
        <f>IF(終値!A266="","",IF(AND(高値!M266&gt;高値!L266,高値!M266&gt;高値!K266,高値!M266&gt;高値!N266,高値!M266&gt;高値!O266),8,""))</f>
        <v/>
      </c>
      <c r="AJ266" s="503">
        <f>IF(終値!A266="","",IF(AND(高値!N266&gt;高値!M266,高値!N266&gt;高値!L266,高値!N266&gt;高値!O266,高値!N266&gt;高値!P266),9,""))</f>
        <v>9</v>
      </c>
      <c r="AK266" s="503" t="str">
        <f>IF(終値!A266="","",IF(AND(高値!O266&gt;高値!N266,高値!O266&gt;高値!M266,高値!O266&gt;高値!P266,高値!O266&gt;高値!Q266),10,""))</f>
        <v/>
      </c>
      <c r="AL266" s="503" t="str">
        <f>IF(終値!A266="","",IF(AND(高値!P266&gt;高値!O266,高値!P266&gt;高値!N266,高値!P266&gt;高値!Q266,高値!P266&gt;高値!R266),11,""))</f>
        <v/>
      </c>
      <c r="AM266" s="503" t="str">
        <f>IF(終値!A266="","",IF(AND(高値!Q266&gt;高値!P266,高値!Q266&gt;高値!O266,高値!Q266&gt;高値!R266,高値!Q266&gt;高値!S266),12,""))</f>
        <v/>
      </c>
      <c r="AN266" s="503" t="str">
        <f>IF(終値!A266="","",IF(AND(高値!R266&gt;高値!Q266,高値!R266&gt;高値!P266,高値!R266&gt;高値!S266,高値!R266&gt;高値!T266),13,""))</f>
        <v/>
      </c>
      <c r="AO266" s="503" t="str">
        <f>IF(終値!A266="","",IF(AND(高値!S266&gt;高値!R266,高値!S266&gt;高値!Q266,高値!S266&gt;高値!T266,高値!S266&gt;高値!U266),14,""))</f>
        <v/>
      </c>
      <c r="AP266" s="503" t="str">
        <f>IF(終値!A266="","",IF(AND(高値!T266&gt;高値!S266,高値!T266&gt;高値!R266,高値!T266&gt;高値!U266,高値!T266&gt;高値!V266),15,""))</f>
        <v/>
      </c>
      <c r="AQ266" s="503">
        <f>IF(終値!A266="","",IF(AND(高値!U266&gt;高値!T266,高値!U266&gt;高値!S266,高値!U266&gt;高値!V266,高値!U266&gt;高値!W266),16,""))</f>
        <v>16</v>
      </c>
      <c r="AR266" s="503" t="str">
        <f>IF(終値!A266="","",IF(AND(高値!V266&gt;高値!U266,高値!V266&gt;高値!T266,高値!V266&gt;高値!W266,高値!V266&gt;高値!X266),17,""))</f>
        <v/>
      </c>
      <c r="AS266" s="503" t="str">
        <f>IF(終値!A266="","",IF(AND(高値!W266&gt;高値!V266,高値!W266&gt;高値!U266,高値!W266&gt;高値!X266,高値!W266&gt;高値!Y266),18,""))</f>
        <v/>
      </c>
      <c r="AT266" s="503" t="str">
        <f>IF(終値!A266="","",IF(AND(高値!X266&gt;高値!W266,高値!X266&gt;高値!V266,高値!X266&gt;高値!Y266,高値!X266&gt;高値!Z266),19,""))</f>
        <v/>
      </c>
      <c r="AU266" s="503" t="str">
        <f>IF(終値!A266="","",IF(AND(高値!Y266&gt;高値!X266,高値!Y266&gt;高値!W266,高値!Y266&gt;高値!Z266,高値!Y266&gt;高値!AA266),20,""))</f>
        <v/>
      </c>
      <c r="AV266" s="503" t="str">
        <f>IF(終値!A266="","",IF(AND(高値!Z266&gt;高値!Y266,高値!Z266&gt;高値!X266,高値!Z266&gt;高値!AA266,高値!Z266&gt;高値!AB266),21,""))</f>
        <v/>
      </c>
      <c r="AW266" s="503" t="str">
        <f>IF(終値!A266="","",IF(AND(高値!AA266&gt;高値!Z266,高値!AA266&gt;高値!Y266,高値!AA266&gt;高値!AB266,高値!AA266&gt;高値!AC266),22,""))</f>
        <v/>
      </c>
      <c r="AX266" s="503" t="str">
        <f>IF(終値!A266="","",IF(AND(高値!AB266&gt;高値!AA266,高値!AB266&gt;高値!Z266,高値!AB266&gt;高値!AC266,高値!AB266&gt;高値!AD266),23,""))</f>
        <v/>
      </c>
      <c r="AY266" s="503" t="str">
        <f>IF(終値!A266="","",IF(AND(高値!AC266&gt;高値!AB266,高値!AC266&gt;高値!AA266,高値!AC266&gt;高値!AD266,高値!AC266&gt;高値!AE266),24,""))</f>
        <v/>
      </c>
      <c r="AZ266" s="503" t="str">
        <f>IF(終値!A266="","",IF(AND(高値!AD266&gt;高値!AC266,高値!AD266&gt;高値!AB266,高値!AD266&gt;高値!AE266,高値!AD266&gt;高値!AF266),25,""))</f>
        <v/>
      </c>
      <c r="BA266" s="503" t="str">
        <f>IF(終値!A266="","",IF(AND(高値!AE266&gt;高値!AD266,高値!AE266&gt;高値!AC266,高値!AE266&gt;高値!AF266,高値!AE266&gt;高値!AG266),26,""))</f>
        <v/>
      </c>
      <c r="BB266" s="503" t="str">
        <f>IF(終値!A266="","",IF(AND(高値!AF266&gt;高値!AE266,高値!AF266&gt;高値!AD266,高値!AF266&gt;高値!AG266,高値!AF266&gt;高値!AH266),27,""))</f>
        <v/>
      </c>
      <c r="BC266" s="503">
        <f>IF(終値!A266="","",IF(AND(高値!AG266&gt;高値!AF266,高値!AG266&gt;高値!AE266,高値!AG266&gt;高値!AH266,高値!AG266&gt;高値!AI266),28,""))</f>
        <v>28</v>
      </c>
      <c r="BD266" s="503">
        <f t="shared" si="24"/>
        <v>5</v>
      </c>
      <c r="BE266" s="503">
        <f t="shared" si="25"/>
        <v>5</v>
      </c>
      <c r="BF266" s="503">
        <f t="shared" si="26"/>
        <v>13</v>
      </c>
      <c r="BG266" s="503">
        <f>IF($BE266="","",INDEX(安値!$E266:$CZ266,1,$BE266+1))</f>
        <v>406</v>
      </c>
      <c r="BH266" s="503">
        <f>IF($BF266="","",INDEX(安値!$E266:$CZ266,1,$BF266+1))</f>
        <v>443</v>
      </c>
      <c r="BI266" s="503">
        <f>IF($BF266="","",MAX(INDEX(高値!$E266:$CZ266,1,$BE266+1):INDEX(高値!$E266:$CZ266,1,$BF266+1)))</f>
        <v>529</v>
      </c>
      <c r="BJ266" s="503">
        <f>IF($BF266="","",AVERAGE(INDEX(終値!$E266:$CZ266,1,$BF266+1):INDEX(終値!$E266:$CZ266,1,$BF266+20))-2*STDEVP(INDEX(終値!$E266:$CZ266,1,$BF266+1):INDEX(終値!$E266:$CZ266,1,$BF266+20)))</f>
        <v>434.64326270819367</v>
      </c>
      <c r="BK266" s="503">
        <f>IF($BE266="","",AVERAGE(INDEX(終値!$E266:$CZ266,1,$BE266+1):INDEX(終値!$E266:$CZ266,1,$BE266+20))-2*STDEVP(INDEX(終値!$E266:$CZ266,1,$BE266+1):INDEX(終値!$E266:$CZ266,1,$BE266+20)))</f>
        <v>367.52628177984775</v>
      </c>
      <c r="BL266" s="503">
        <f t="shared" si="27"/>
        <v>4</v>
      </c>
      <c r="BM266" s="503">
        <f t="shared" si="28"/>
        <v>2</v>
      </c>
      <c r="BN266" s="503">
        <f t="shared" si="29"/>
        <v>9</v>
      </c>
      <c r="BO266" s="503">
        <f>IF($BM266="","",INDEX(高値!$E266:$CZ266,1,$BM266+1))</f>
        <v>477</v>
      </c>
      <c r="BP266" s="503">
        <f>IF($BN266="","",INDEX(高値!$E266:$CZ266,1,$BN266+1))</f>
        <v>529</v>
      </c>
      <c r="BQ266" s="503">
        <f>IF($BN266="","",MIN(INDEX(安値!$E266:$CZ266,1,$BM266+1):INDEX(安値!$E266:$CZ266,1,$BN266+1)))</f>
        <v>406</v>
      </c>
      <c r="BR266" s="503">
        <f>IF($BN266="","",AVERAGE(INDEX(終値!$E266:$CZ266,1,$BN266+1):INDEX(終値!$E266:$CZ266,1,$BN266+20))+2*STDEVP(INDEX(終値!$E266:$CZ266,1,$BN266+1):INDEX(終値!$E266:$CZ266,1,$BN266+20)))</f>
        <v>748.34299380246125</v>
      </c>
      <c r="BS266" s="503">
        <f>IF($BM266="","",AVERAGE(INDEX(終値!$E266:$CZ266,1,$BM266+1):INDEX(終値!$E266:$CZ266,1,$BM266+20))+2*STDEVP(INDEX(終値!$E266:$CZ266,1,$BM266+1):INDEX(終値!$E266:$CZ266,1,$BM266+20)))</f>
        <v>598.08017681714921</v>
      </c>
      <c r="BT266" s="500"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v>
      </c>
    </row>
    <row r="267" spans="2:72">
      <c r="B267" s="503" t="str">
        <f>IF(終値!A267="","",IF(AND(安値!G267&lt;安値!F267,安値!G267&lt;安値!E267,安値!G267&lt;安値!H267,安値!G267&lt;安値!I267),2,""))</f>
        <v/>
      </c>
      <c r="C267" s="503" t="str">
        <f>IF(終値!A267="","",IF(AND(安値!H267&lt;安値!G267,安値!H267&lt;安値!F267,安値!H267&lt;安値!I267,安値!H267&lt;安値!J267),3,""))</f>
        <v/>
      </c>
      <c r="D267" s="503" t="str">
        <f>IF(終値!A267="","",IF(AND(安値!I267&lt;安値!H267,安値!I267&lt;安値!G267,安値!I267&lt;安値!J267,安値!I267&lt;安値!K267),4,""))</f>
        <v/>
      </c>
      <c r="E267" s="503">
        <f>IF(終値!A267="","",IF(AND(安値!J267&lt;安値!I267,安値!J267&lt;安値!H267,安値!J267&lt;安値!K267,安値!J267&lt;安値!L267),5,""))</f>
        <v>5</v>
      </c>
      <c r="F267" s="503" t="str">
        <f>IF(終値!A267="","",IF(AND(安値!K267&lt;安値!J267,安値!K267&lt;安値!I267,安値!K267&lt;安値!L267,安値!K267&lt;安値!M267),6,""))</f>
        <v/>
      </c>
      <c r="G267" s="503" t="str">
        <f>IF(終値!A267="","",IF(AND(安値!L267&lt;安値!K267,安値!L267&lt;安値!J267,安値!L267&lt;安値!M267,安値!L267&lt;安値!N267),7,""))</f>
        <v/>
      </c>
      <c r="H267" s="503" t="str">
        <f>IF(終値!A267="","",IF(AND(安値!M267&lt;安値!L267,安値!M267&lt;安値!K267,安値!M267&lt;安値!N267,安値!M267&lt;安値!O267),8,""))</f>
        <v/>
      </c>
      <c r="I267" s="503" t="str">
        <f>IF(終値!A267="","",IF(AND(安値!N267&lt;安値!M267,安値!N267&lt;安値!L267,安値!N267&lt;安値!O267,安値!N267&lt;安値!P267),9,""))</f>
        <v/>
      </c>
      <c r="J267" s="503" t="str">
        <f>IF(終値!A267="","",IF(AND(安値!O267&lt;安値!N267,安値!O267&lt;安値!M267,安値!O267&lt;安値!P267,安値!O267&lt;安値!Q267),10,""))</f>
        <v/>
      </c>
      <c r="K267" s="503" t="str">
        <f>IF(終値!A267="","",IF(AND(安値!P267&lt;安値!O267,安値!P267&lt;安値!N267,安値!P267&lt;安値!Q267,安値!P267&lt;安値!R267),11,""))</f>
        <v/>
      </c>
      <c r="L267" s="503">
        <f>IF(終値!A267="","",IF(AND(安値!Q267&lt;安値!P267,安値!Q267&lt;安値!O267,安値!Q267&lt;安値!R267,安値!Q267&lt;安値!S267),12,""))</f>
        <v>12</v>
      </c>
      <c r="M267" s="503" t="str">
        <f>IF(終値!A267="","",IF(AND(安値!R267&lt;安値!Q267,安値!R267&lt;安値!P267,安値!R267&lt;安値!S267,安値!R267&lt;安値!T267),13,""))</f>
        <v/>
      </c>
      <c r="N267" s="503" t="str">
        <f>IF(終値!A267="","",IF(AND(安値!S267&lt;安値!R267,安値!S267&lt;安値!Q267,安値!S267&lt;安値!T267,安値!S267&lt;安値!U267),14,""))</f>
        <v/>
      </c>
      <c r="O267" s="503" t="str">
        <f>IF(終値!A267="","",IF(AND(安値!T267&lt;安値!S267,安値!T267&lt;安値!R267,安値!T267&lt;安値!U267,安値!T267&lt;安値!V267),15,""))</f>
        <v/>
      </c>
      <c r="P267" s="503" t="str">
        <f>IF(終値!A267="","",IF(AND(安値!U267&lt;安値!T267,安値!U267&lt;安値!S267,安値!U267&lt;安値!V267,安値!U267&lt;安値!W267),16,""))</f>
        <v/>
      </c>
      <c r="Q267" s="503" t="str">
        <f>IF(終値!A267="","",IF(AND(安値!V267&lt;安値!U267,安値!V267&lt;安値!T267,安値!V267&lt;安値!W267,安値!V267&lt;安値!X267),17,""))</f>
        <v/>
      </c>
      <c r="R267" s="503">
        <f>IF(終値!A267="","",IF(AND(安値!W267&lt;安値!V267,安値!W267&lt;安値!U267,安値!W267&lt;安値!X267,安値!W267&lt;安値!Y267),18,""))</f>
        <v>18</v>
      </c>
      <c r="S267" s="503" t="str">
        <f>IF(終値!A267="","",IF(AND(安値!X267&lt;安値!W267,安値!X267&lt;安値!V267,安値!X267&lt;安値!Y267,安値!X267&lt;安値!Z267),19,""))</f>
        <v/>
      </c>
      <c r="T267" s="503" t="str">
        <f>IF(終値!A267="","",IF(AND(安値!Y267&lt;安値!X267,安値!Y267&lt;安値!W267,安値!Y267&lt;安値!Z267,安値!Y267&lt;安値!AA267),20,""))</f>
        <v/>
      </c>
      <c r="U267" s="503" t="str">
        <f>IF(終値!A267="","",IF(AND(安値!Z267&lt;安値!Y267,安値!Z267&lt;安値!X267,安値!Z267&lt;安値!AA267,安値!Z267&lt;安値!AB267),21,""))</f>
        <v/>
      </c>
      <c r="V267" s="503" t="str">
        <f>IF(終値!A267="","",IF(AND(安値!AA267&lt;安値!Z267,安値!AA267&lt;安値!Y267,安値!AA267&lt;安値!AB267,安値!AA267&lt;安値!AC267),22,""))</f>
        <v/>
      </c>
      <c r="W267" s="503">
        <f>IF(終値!A267="","",IF(AND(安値!AB267&lt;安値!AA267,安値!AB267&lt;安値!Z267,安値!AB267&lt;安値!AC267,安値!AB267&lt;安値!AD267),23,""))</f>
        <v>23</v>
      </c>
      <c r="X267" s="503" t="str">
        <f>IF(終値!A267="","",IF(AND(安値!AC267&lt;安値!AB267,安値!AC267&lt;安値!AA267,安値!AC267&lt;安値!AD267,安値!AC267&lt;安値!AE267),24,""))</f>
        <v/>
      </c>
      <c r="Y267" s="503" t="str">
        <f>IF(終値!A267="","",IF(AND(安値!AD267&lt;安値!AC267,安値!AD267&lt;安値!AB267,安値!AD267&lt;安値!AE267,安値!AD267&lt;安値!AF267),25,""))</f>
        <v/>
      </c>
      <c r="Z267" s="503" t="str">
        <f>IF(終値!A267="","",IF(AND(安値!AE267&lt;安値!AD267,安値!AE267&lt;安値!AC267,安値!AE267&lt;安値!AF267,安値!AE267&lt;安値!AG267),26,""))</f>
        <v/>
      </c>
      <c r="AA267" s="503">
        <f>IF(終値!A267="","",IF(AND(安値!AF267&lt;安値!AE267,安値!AF267&lt;安値!AD267,安値!AF267&lt;安値!AG267,安値!AF267&lt;安値!AH267),27,""))</f>
        <v>27</v>
      </c>
      <c r="AB267" s="503" t="str">
        <f>IF(終値!A267="","",IF(AND(安値!AG267&lt;安値!AF267,安値!AG267&lt;安値!AE267,安値!AG267&lt;安値!AH267,安値!AG267&lt;安値!AI267),28,""))</f>
        <v/>
      </c>
      <c r="AC267" s="503" t="str">
        <f>IF(終値!A267="","",IF(AND(高値!G267&gt;高値!F267,高値!G267&gt;高値!E267,高値!G267&gt;高値!H267,高値!G267&gt;高値!I267),2,""))</f>
        <v/>
      </c>
      <c r="AD267" s="503" t="str">
        <f>IF(終値!A267="","",IF(AND(高値!H267&gt;高値!G267,高値!H267&gt;高値!F267,高値!H267&gt;高値!I267,高値!H267&gt;高値!J267),3,""))</f>
        <v/>
      </c>
      <c r="AE267" s="503">
        <f>IF(終値!A267="","",IF(AND(高値!I267&gt;高値!H267,高値!I267&gt;高値!G267,高値!I267&gt;高値!J267,高値!I267&gt;高値!K267),4,""))</f>
        <v>4</v>
      </c>
      <c r="AF267" s="503" t="str">
        <f>IF(終値!A267="","",IF(AND(高値!J267&gt;高値!I267,高値!J267&gt;高値!H267,高値!J267&gt;高値!K267,高値!J267&gt;高値!L267),5,""))</f>
        <v/>
      </c>
      <c r="AG267" s="503" t="str">
        <f>IF(終値!A267="","",IF(AND(高値!K267&gt;高値!J267,高値!K267&gt;高値!I267,高値!K267&gt;高値!L267,高値!K267&gt;高値!M267),6,""))</f>
        <v/>
      </c>
      <c r="AH267" s="503" t="str">
        <f>IF(終値!A267="","",IF(AND(高値!L267&gt;高値!K267,高値!L267&gt;高値!J267,高値!L267&gt;高値!M267,高値!L267&gt;高値!N267),7,""))</f>
        <v/>
      </c>
      <c r="AI267" s="503" t="str">
        <f>IF(終値!A267="","",IF(AND(高値!M267&gt;高値!L267,高値!M267&gt;高値!K267,高値!M267&gt;高値!N267,高値!M267&gt;高値!O267),8,""))</f>
        <v/>
      </c>
      <c r="AJ267" s="503" t="str">
        <f>IF(終値!A267="","",IF(AND(高値!N267&gt;高値!M267,高値!N267&gt;高値!L267,高値!N267&gt;高値!O267,高値!N267&gt;高値!P267),9,""))</f>
        <v/>
      </c>
      <c r="AK267" s="503" t="str">
        <f>IF(終値!A267="","",IF(AND(高値!O267&gt;高値!N267,高値!O267&gt;高値!M267,高値!O267&gt;高値!P267,高値!O267&gt;高値!Q267),10,""))</f>
        <v/>
      </c>
      <c r="AL267" s="503" t="str">
        <f>IF(終値!A267="","",IF(AND(高値!P267&gt;高値!O267,高値!P267&gt;高値!N267,高値!P267&gt;高値!Q267,高値!P267&gt;高値!R267),11,""))</f>
        <v/>
      </c>
      <c r="AM267" s="503" t="str">
        <f>IF(終値!A267="","",IF(AND(高値!Q267&gt;高値!P267,高値!Q267&gt;高値!O267,高値!Q267&gt;高値!R267,高値!Q267&gt;高値!S267),12,""))</f>
        <v/>
      </c>
      <c r="AN267" s="503" t="str">
        <f>IF(終値!A267="","",IF(AND(高値!R267&gt;高値!Q267,高値!R267&gt;高値!P267,高値!R267&gt;高値!S267,高値!R267&gt;高値!T267),13,""))</f>
        <v/>
      </c>
      <c r="AO267" s="503">
        <f>IF(終値!A267="","",IF(AND(高値!S267&gt;高値!R267,高値!S267&gt;高値!Q267,高値!S267&gt;高値!T267,高値!S267&gt;高値!U267),14,""))</f>
        <v>14</v>
      </c>
      <c r="AP267" s="503" t="str">
        <f>IF(終値!A267="","",IF(AND(高値!T267&gt;高値!S267,高値!T267&gt;高値!R267,高値!T267&gt;高値!U267,高値!T267&gt;高値!V267),15,""))</f>
        <v/>
      </c>
      <c r="AQ267" s="503" t="str">
        <f>IF(終値!A267="","",IF(AND(高値!U267&gt;高値!T267,高値!U267&gt;高値!S267,高値!U267&gt;高値!V267,高値!U267&gt;高値!W267),16,""))</f>
        <v/>
      </c>
      <c r="AR267" s="503" t="str">
        <f>IF(終値!A267="","",IF(AND(高値!V267&gt;高値!U267,高値!V267&gt;高値!T267,高値!V267&gt;高値!W267,高値!V267&gt;高値!X267),17,""))</f>
        <v/>
      </c>
      <c r="AS267" s="503" t="str">
        <f>IF(終値!A267="","",IF(AND(高値!W267&gt;高値!V267,高値!W267&gt;高値!U267,高値!W267&gt;高値!X267,高値!W267&gt;高値!Y267),18,""))</f>
        <v/>
      </c>
      <c r="AT267" s="503" t="str">
        <f>IF(終値!A267="","",IF(AND(高値!X267&gt;高値!W267,高値!X267&gt;高値!V267,高値!X267&gt;高値!Y267,高値!X267&gt;高値!Z267),19,""))</f>
        <v/>
      </c>
      <c r="AU267" s="503" t="str">
        <f>IF(終値!A267="","",IF(AND(高値!Y267&gt;高値!X267,高値!Y267&gt;高値!W267,高値!Y267&gt;高値!Z267,高値!Y267&gt;高値!AA267),20,""))</f>
        <v/>
      </c>
      <c r="AV267" s="503">
        <f>IF(終値!A267="","",IF(AND(高値!Z267&gt;高値!Y267,高値!Z267&gt;高値!X267,高値!Z267&gt;高値!AA267,高値!Z267&gt;高値!AB267),21,""))</f>
        <v>21</v>
      </c>
      <c r="AW267" s="503" t="str">
        <f>IF(終値!A267="","",IF(AND(高値!AA267&gt;高値!Z267,高値!AA267&gt;高値!Y267,高値!AA267&gt;高値!AB267,高値!AA267&gt;高値!AC267),22,""))</f>
        <v/>
      </c>
      <c r="AX267" s="503" t="str">
        <f>IF(終値!A267="","",IF(AND(高値!AB267&gt;高値!AA267,高値!AB267&gt;高値!Z267,高値!AB267&gt;高値!AC267,高値!AB267&gt;高値!AD267),23,""))</f>
        <v/>
      </c>
      <c r="AY267" s="503" t="str">
        <f>IF(終値!A267="","",IF(AND(高値!AC267&gt;高値!AB267,高値!AC267&gt;高値!AA267,高値!AC267&gt;高値!AD267,高値!AC267&gt;高値!AE267),24,""))</f>
        <v/>
      </c>
      <c r="AZ267" s="503" t="str">
        <f>IF(終値!A267="","",IF(AND(高値!AD267&gt;高値!AC267,高値!AD267&gt;高値!AB267,高値!AD267&gt;高値!AE267,高値!AD267&gt;高値!AF267),25,""))</f>
        <v/>
      </c>
      <c r="BA267" s="503">
        <f>IF(終値!A267="","",IF(AND(高値!AE267&gt;高値!AD267,高値!AE267&gt;高値!AC267,高値!AE267&gt;高値!AF267,高値!AE267&gt;高値!AG267),26,""))</f>
        <v>26</v>
      </c>
      <c r="BB267" s="503" t="str">
        <f>IF(終値!A267="","",IF(AND(高値!AF267&gt;高値!AE267,高値!AF267&gt;高値!AD267,高値!AF267&gt;高値!AG267,高値!AF267&gt;高値!AH267),27,""))</f>
        <v/>
      </c>
      <c r="BC267" s="503" t="str">
        <f>IF(終値!A267="","",IF(AND(高値!AG267&gt;高値!AF267,高値!AG267&gt;高値!AE267,高値!AG267&gt;高値!AH267,高値!AG267&gt;高値!AI267),28,""))</f>
        <v/>
      </c>
      <c r="BD267" s="503">
        <f t="shared" si="24"/>
        <v>5</v>
      </c>
      <c r="BE267" s="503">
        <f t="shared" si="25"/>
        <v>5</v>
      </c>
      <c r="BF267" s="503">
        <f t="shared" si="26"/>
        <v>12</v>
      </c>
      <c r="BG267" s="503">
        <f>IF($BE267="","",INDEX(安値!$E267:$CZ267,1,$BE267+1))</f>
        <v>1220</v>
      </c>
      <c r="BH267" s="503">
        <f>IF($BF267="","",INDEX(安値!$E267:$CZ267,1,$BF267+1))</f>
        <v>1328</v>
      </c>
      <c r="BI267" s="503">
        <f>IF($BF267="","",MAX(INDEX(高値!$E267:$CZ267,1,$BE267+1):INDEX(高値!$E267:$CZ267,1,$BF267+1)))</f>
        <v>1438</v>
      </c>
      <c r="BJ267" s="503">
        <f>IF($BF267="","",AVERAGE(INDEX(終値!$E267:$CZ267,1,$BF267+1):INDEX(終値!$E267:$CZ267,1,$BF267+20))-2*STDEVP(INDEX(終値!$E267:$CZ267,1,$BF267+1):INDEX(終値!$E267:$CZ267,1,$BF267+20)))</f>
        <v>1359.3720052566521</v>
      </c>
      <c r="BK267" s="503">
        <f>IF($BE267="","",AVERAGE(INDEX(終値!$E267:$CZ267,1,$BE267+1):INDEX(終値!$E267:$CZ267,1,$BE267+20))-2*STDEVP(INDEX(終値!$E267:$CZ267,1,$BE267+1):INDEX(終値!$E267:$CZ267,1,$BE267+20)))</f>
        <v>1213.5277570550184</v>
      </c>
      <c r="BL267" s="503">
        <f t="shared" si="27"/>
        <v>4</v>
      </c>
      <c r="BM267" s="503">
        <f t="shared" si="28"/>
        <v>4</v>
      </c>
      <c r="BN267" s="503">
        <f t="shared" si="29"/>
        <v>14</v>
      </c>
      <c r="BO267" s="503">
        <f>IF($BM267="","",INDEX(高値!$E267:$CZ267,1,$BM267+1))</f>
        <v>1396</v>
      </c>
      <c r="BP267" s="503">
        <f>IF($BN267="","",INDEX(高値!$E267:$CZ267,1,$BN267+1))</f>
        <v>1579</v>
      </c>
      <c r="BQ267" s="503">
        <f>IF($BN267="","",MIN(INDEX(安値!$E267:$CZ267,1,$BM267+1):INDEX(安値!$E267:$CZ267,1,$BN267+1)))</f>
        <v>1220</v>
      </c>
      <c r="BR267" s="503">
        <f>IF($BN267="","",AVERAGE(INDEX(終値!$E267:$CZ267,1,$BN267+1):INDEX(終値!$E267:$CZ267,1,$BN267+20))+2*STDEVP(INDEX(終値!$E267:$CZ267,1,$BN267+1):INDEX(終値!$E267:$CZ267,1,$BN267+20)))</f>
        <v>1667.9139410679113</v>
      </c>
      <c r="BS267" s="503">
        <f>IF($BM267="","",AVERAGE(INDEX(終値!$E267:$CZ267,1,$BM267+1):INDEX(終値!$E267:$CZ267,1,$BM267+20))+2*STDEVP(INDEX(終値!$E267:$CZ267,1,$BM267+1):INDEX(終値!$E267:$CZ267,1,$BM267+20)))</f>
        <v>1715.8952199870096</v>
      </c>
      <c r="BT267" s="500"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3" t="str">
        <f>IF(終値!A268="","",IF(AND(安値!G268&lt;安値!F268,安値!G268&lt;安値!E268,安値!G268&lt;安値!H268,安値!G268&lt;安値!I268),2,""))</f>
        <v/>
      </c>
      <c r="C268" s="503" t="str">
        <f>IF(終値!A268="","",IF(AND(安値!H268&lt;安値!G268,安値!H268&lt;安値!F268,安値!H268&lt;安値!I268,安値!H268&lt;安値!J268),3,""))</f>
        <v/>
      </c>
      <c r="D268" s="503" t="str">
        <f>IF(終値!A268="","",IF(AND(安値!I268&lt;安値!H268,安値!I268&lt;安値!G268,安値!I268&lt;安値!J268,安値!I268&lt;安値!K268),4,""))</f>
        <v/>
      </c>
      <c r="E268" s="503" t="str">
        <f>IF(終値!A268="","",IF(AND(安値!J268&lt;安値!I268,安値!J268&lt;安値!H268,安値!J268&lt;安値!K268,安値!J268&lt;安値!L268),5,""))</f>
        <v/>
      </c>
      <c r="F268" s="503" t="str">
        <f>IF(終値!A268="","",IF(AND(安値!K268&lt;安値!J268,安値!K268&lt;安値!I268,安値!K268&lt;安値!L268,安値!K268&lt;安値!M268),6,""))</f>
        <v/>
      </c>
      <c r="G268" s="503" t="str">
        <f>IF(終値!A268="","",IF(AND(安値!L268&lt;安値!K268,安値!L268&lt;安値!J268,安値!L268&lt;安値!M268,安値!L268&lt;安値!N268),7,""))</f>
        <v/>
      </c>
      <c r="H268" s="503" t="str">
        <f>IF(終値!A268="","",IF(AND(安値!M268&lt;安値!L268,安値!M268&lt;安値!K268,安値!M268&lt;安値!N268,安値!M268&lt;安値!O268),8,""))</f>
        <v/>
      </c>
      <c r="I268" s="503">
        <f>IF(終値!A268="","",IF(AND(安値!N268&lt;安値!M268,安値!N268&lt;安値!L268,安値!N268&lt;安値!O268,安値!N268&lt;安値!P268),9,""))</f>
        <v>9</v>
      </c>
      <c r="J268" s="503" t="str">
        <f>IF(終値!A268="","",IF(AND(安値!O268&lt;安値!N268,安値!O268&lt;安値!M268,安値!O268&lt;安値!P268,安値!O268&lt;安値!Q268),10,""))</f>
        <v/>
      </c>
      <c r="K268" s="503" t="str">
        <f>IF(終値!A268="","",IF(AND(安値!P268&lt;安値!O268,安値!P268&lt;安値!N268,安値!P268&lt;安値!Q268,安値!P268&lt;安値!R268),11,""))</f>
        <v/>
      </c>
      <c r="L268" s="503" t="str">
        <f>IF(終値!A268="","",IF(AND(安値!Q268&lt;安値!P268,安値!Q268&lt;安値!O268,安値!Q268&lt;安値!R268,安値!Q268&lt;安値!S268),12,""))</f>
        <v/>
      </c>
      <c r="M268" s="503">
        <f>IF(終値!A268="","",IF(AND(安値!R268&lt;安値!Q268,安値!R268&lt;安値!P268,安値!R268&lt;安値!S268,安値!R268&lt;安値!T268),13,""))</f>
        <v>13</v>
      </c>
      <c r="N268" s="503" t="str">
        <f>IF(終値!A268="","",IF(AND(安値!S268&lt;安値!R268,安値!S268&lt;安値!Q268,安値!S268&lt;安値!T268,安値!S268&lt;安値!U268),14,""))</f>
        <v/>
      </c>
      <c r="O268" s="503" t="str">
        <f>IF(終値!A268="","",IF(AND(安値!T268&lt;安値!S268,安値!T268&lt;安値!R268,安値!T268&lt;安値!U268,安値!T268&lt;安値!V268),15,""))</f>
        <v/>
      </c>
      <c r="P268" s="503" t="str">
        <f>IF(終値!A268="","",IF(AND(安値!U268&lt;安値!T268,安値!U268&lt;安値!S268,安値!U268&lt;安値!V268,安値!U268&lt;安値!W268),16,""))</f>
        <v/>
      </c>
      <c r="Q268" s="503" t="str">
        <f>IF(終値!A268="","",IF(AND(安値!V268&lt;安値!U268,安値!V268&lt;安値!T268,安値!V268&lt;安値!W268,安値!V268&lt;安値!X268),17,""))</f>
        <v/>
      </c>
      <c r="R268" s="503">
        <f>IF(終値!A268="","",IF(AND(安値!W268&lt;安値!V268,安値!W268&lt;安値!U268,安値!W268&lt;安値!X268,安値!W268&lt;安値!Y268),18,""))</f>
        <v>18</v>
      </c>
      <c r="S268" s="503" t="str">
        <f>IF(終値!A268="","",IF(AND(安値!X268&lt;安値!W268,安値!X268&lt;安値!V268,安値!X268&lt;安値!Y268,安値!X268&lt;安値!Z268),19,""))</f>
        <v/>
      </c>
      <c r="T268" s="503" t="str">
        <f>IF(終値!A268="","",IF(AND(安値!Y268&lt;安値!X268,安値!Y268&lt;安値!W268,安値!Y268&lt;安値!Z268,安値!Y268&lt;安値!AA268),20,""))</f>
        <v/>
      </c>
      <c r="U268" s="503" t="str">
        <f>IF(終値!A268="","",IF(AND(安値!Z268&lt;安値!Y268,安値!Z268&lt;安値!X268,安値!Z268&lt;安値!AA268,安値!Z268&lt;安値!AB268),21,""))</f>
        <v/>
      </c>
      <c r="V268" s="503" t="str">
        <f>IF(終値!A268="","",IF(AND(安値!AA268&lt;安値!Z268,安値!AA268&lt;安値!Y268,安値!AA268&lt;安値!AB268,安値!AA268&lt;安値!AC268),22,""))</f>
        <v/>
      </c>
      <c r="W268" s="503">
        <f>IF(終値!A268="","",IF(AND(安値!AB268&lt;安値!AA268,安値!AB268&lt;安値!Z268,安値!AB268&lt;安値!AC268,安値!AB268&lt;安値!AD268),23,""))</f>
        <v>23</v>
      </c>
      <c r="X268" s="503" t="str">
        <f>IF(終値!A268="","",IF(AND(安値!AC268&lt;安値!AB268,安値!AC268&lt;安値!AA268,安値!AC268&lt;安値!AD268,安値!AC268&lt;安値!AE268),24,""))</f>
        <v/>
      </c>
      <c r="Y268" s="503" t="str">
        <f>IF(終値!A268="","",IF(AND(安値!AD268&lt;安値!AC268,安値!AD268&lt;安値!AB268,安値!AD268&lt;安値!AE268,安値!AD268&lt;安値!AF268),25,""))</f>
        <v/>
      </c>
      <c r="Z268" s="503" t="str">
        <f>IF(終値!A268="","",IF(AND(安値!AE268&lt;安値!AD268,安値!AE268&lt;安値!AC268,安値!AE268&lt;安値!AF268,安値!AE268&lt;安値!AG268),26,""))</f>
        <v/>
      </c>
      <c r="AA268" s="503" t="str">
        <f>IF(終値!A268="","",IF(AND(安値!AF268&lt;安値!AE268,安値!AF268&lt;安値!AD268,安値!AF268&lt;安値!AG268,安値!AF268&lt;安値!AH268),27,""))</f>
        <v/>
      </c>
      <c r="AB268" s="503" t="str">
        <f>IF(終値!A268="","",IF(AND(安値!AG268&lt;安値!AF268,安値!AG268&lt;安値!AE268,安値!AG268&lt;安値!AH268,安値!AG268&lt;安値!AI268),28,""))</f>
        <v/>
      </c>
      <c r="AC268" s="503" t="str">
        <f>IF(終値!A268="","",IF(AND(高値!G268&gt;高値!F268,高値!G268&gt;高値!E268,高値!G268&gt;高値!H268,高値!G268&gt;高値!I268),2,""))</f>
        <v/>
      </c>
      <c r="AD268" s="503" t="str">
        <f>IF(終値!A268="","",IF(AND(高値!H268&gt;高値!G268,高値!H268&gt;高値!F268,高値!H268&gt;高値!I268,高値!H268&gt;高値!J268),3,""))</f>
        <v/>
      </c>
      <c r="AE268" s="503" t="str">
        <f>IF(終値!A268="","",IF(AND(高値!I268&gt;高値!H268,高値!I268&gt;高値!G268,高値!I268&gt;高値!J268,高値!I268&gt;高値!K268),4,""))</f>
        <v/>
      </c>
      <c r="AF268" s="503" t="str">
        <f>IF(終値!A268="","",IF(AND(高値!J268&gt;高値!I268,高値!J268&gt;高値!H268,高値!J268&gt;高値!K268,高値!J268&gt;高値!L268),5,""))</f>
        <v/>
      </c>
      <c r="AG268" s="503" t="str">
        <f>IF(終値!A268="","",IF(AND(高値!K268&gt;高値!J268,高値!K268&gt;高値!I268,高値!K268&gt;高値!L268,高値!K268&gt;高値!M268),6,""))</f>
        <v/>
      </c>
      <c r="AH268" s="503" t="str">
        <f>IF(終値!A268="","",IF(AND(高値!L268&gt;高値!K268,高値!L268&gt;高値!J268,高値!L268&gt;高値!M268,高値!L268&gt;高値!N268),7,""))</f>
        <v/>
      </c>
      <c r="AI268" s="503" t="str">
        <f>IF(終値!A268="","",IF(AND(高値!M268&gt;高値!L268,高値!M268&gt;高値!K268,高値!M268&gt;高値!N268,高値!M268&gt;高値!O268),8,""))</f>
        <v/>
      </c>
      <c r="AJ268" s="503" t="str">
        <f>IF(終値!A268="","",IF(AND(高値!N268&gt;高値!M268,高値!N268&gt;高値!L268,高値!N268&gt;高値!O268,高値!N268&gt;高値!P268),9,""))</f>
        <v/>
      </c>
      <c r="AK268" s="503">
        <f>IF(終値!A268="","",IF(AND(高値!O268&gt;高値!N268,高値!O268&gt;高値!M268,高値!O268&gt;高値!P268,高値!O268&gt;高値!Q268),10,""))</f>
        <v>10</v>
      </c>
      <c r="AL268" s="503" t="str">
        <f>IF(終値!A268="","",IF(AND(高値!P268&gt;高値!O268,高値!P268&gt;高値!N268,高値!P268&gt;高値!Q268,高値!P268&gt;高値!R268),11,""))</f>
        <v/>
      </c>
      <c r="AM268" s="503" t="str">
        <f>IF(終値!A268="","",IF(AND(高値!Q268&gt;高値!P268,高値!Q268&gt;高値!O268,高値!Q268&gt;高値!R268,高値!Q268&gt;高値!S268),12,""))</f>
        <v/>
      </c>
      <c r="AN268" s="503" t="str">
        <f>IF(終値!A268="","",IF(AND(高値!R268&gt;高値!Q268,高値!R268&gt;高値!P268,高値!R268&gt;高値!S268,高値!R268&gt;高値!T268),13,""))</f>
        <v/>
      </c>
      <c r="AO268" s="503">
        <f>IF(終値!A268="","",IF(AND(高値!S268&gt;高値!R268,高値!S268&gt;高値!Q268,高値!S268&gt;高値!T268,高値!S268&gt;高値!U268),14,""))</f>
        <v>14</v>
      </c>
      <c r="AP268" s="503" t="str">
        <f>IF(終値!A268="","",IF(AND(高値!T268&gt;高値!S268,高値!T268&gt;高値!R268,高値!T268&gt;高値!U268,高値!T268&gt;高値!V268),15,""))</f>
        <v/>
      </c>
      <c r="AQ268" s="503" t="str">
        <f>IF(終値!A268="","",IF(AND(高値!U268&gt;高値!T268,高値!U268&gt;高値!S268,高値!U268&gt;高値!V268,高値!U268&gt;高値!W268),16,""))</f>
        <v/>
      </c>
      <c r="AR268" s="503" t="str">
        <f>IF(終値!A268="","",IF(AND(高値!V268&gt;高値!U268,高値!V268&gt;高値!T268,高値!V268&gt;高値!W268,高値!V268&gt;高値!X268),17,""))</f>
        <v/>
      </c>
      <c r="AS268" s="503" t="str">
        <f>IF(終値!A268="","",IF(AND(高値!W268&gt;高値!V268,高値!W268&gt;高値!U268,高値!W268&gt;高値!X268,高値!W268&gt;高値!Y268),18,""))</f>
        <v/>
      </c>
      <c r="AT268" s="503" t="str">
        <f>IF(終値!A268="","",IF(AND(高値!X268&gt;高値!W268,高値!X268&gt;高値!V268,高値!X268&gt;高値!Y268,高値!X268&gt;高値!Z268),19,""))</f>
        <v/>
      </c>
      <c r="AU268" s="503">
        <f>IF(終値!A268="","",IF(AND(高値!Y268&gt;高値!X268,高値!Y268&gt;高値!W268,高値!Y268&gt;高値!Z268,高値!Y268&gt;高値!AA268),20,""))</f>
        <v>20</v>
      </c>
      <c r="AV268" s="503" t="str">
        <f>IF(終値!A268="","",IF(AND(高値!Z268&gt;高値!Y268,高値!Z268&gt;高値!X268,高値!Z268&gt;高値!AA268,高値!Z268&gt;高値!AB268),21,""))</f>
        <v/>
      </c>
      <c r="AW268" s="503" t="str">
        <f>IF(終値!A268="","",IF(AND(高値!AA268&gt;高値!Z268,高値!AA268&gt;高値!Y268,高値!AA268&gt;高値!AB268,高値!AA268&gt;高値!AC268),22,""))</f>
        <v/>
      </c>
      <c r="AX268" s="503" t="str">
        <f>IF(終値!A268="","",IF(AND(高値!AB268&gt;高値!AA268,高値!AB268&gt;高値!Z268,高値!AB268&gt;高値!AC268,高値!AB268&gt;高値!AD268),23,""))</f>
        <v/>
      </c>
      <c r="AY268" s="503" t="str">
        <f>IF(終値!A268="","",IF(AND(高値!AC268&gt;高値!AB268,高値!AC268&gt;高値!AA268,高値!AC268&gt;高値!AD268,高値!AC268&gt;高値!AE268),24,""))</f>
        <v/>
      </c>
      <c r="AZ268" s="503" t="str">
        <f>IF(終値!A268="","",IF(AND(高値!AD268&gt;高値!AC268,高値!AD268&gt;高値!AB268,高値!AD268&gt;高値!AE268,高値!AD268&gt;高値!AF268),25,""))</f>
        <v/>
      </c>
      <c r="BA268" s="503" t="str">
        <f>IF(終値!A268="","",IF(AND(高値!AE268&gt;高値!AD268,高値!AE268&gt;高値!AC268,高値!AE268&gt;高値!AF268,高値!AE268&gt;高値!AG268),26,""))</f>
        <v/>
      </c>
      <c r="BB268" s="503" t="str">
        <f>IF(終値!A268="","",IF(AND(高値!AF268&gt;高値!AE268,高値!AF268&gt;高値!AD268,高値!AF268&gt;高値!AG268,高値!AF268&gt;高値!AH268),27,""))</f>
        <v/>
      </c>
      <c r="BC268" s="503" t="str">
        <f>IF(終値!A268="","",IF(AND(高値!AG268&gt;高値!AF268,高値!AG268&gt;高値!AE268,高値!AG268&gt;高値!AH268,高値!AG268&gt;高値!AI268),28,""))</f>
        <v/>
      </c>
      <c r="BD268" s="503">
        <f t="shared" si="24"/>
        <v>4</v>
      </c>
      <c r="BE268" s="503">
        <f t="shared" si="25"/>
        <v>9</v>
      </c>
      <c r="BF268" s="503">
        <f t="shared" si="26"/>
        <v>13</v>
      </c>
      <c r="BG268" s="503">
        <f>IF($BE268="","",INDEX(安値!$E268:$CZ268,1,$BE268+1))</f>
        <v>0</v>
      </c>
      <c r="BH268" s="503">
        <f>IF($BF268="","",INDEX(安値!$E268:$CZ268,1,$BF268+1))</f>
        <v>4320</v>
      </c>
      <c r="BI268" s="503">
        <f>IF($BF268="","",MAX(INDEX(高値!$E268:$CZ268,1,$BE268+1):INDEX(高値!$E268:$CZ268,1,$BF268+1)))</f>
        <v>4865</v>
      </c>
      <c r="BJ268" s="503">
        <f>IF($BF268="","",AVERAGE(INDEX(終値!$E268:$CZ268,1,$BF268+1):INDEX(終値!$E268:$CZ268,1,$BF268+20))-2*STDEVP(INDEX(終値!$E268:$CZ268,1,$BF268+1):INDEX(終値!$E268:$CZ268,1,$BF268+20)))</f>
        <v>4478.2556759878398</v>
      </c>
      <c r="BK268" s="503">
        <f>IF($BE268="","",AVERAGE(INDEX(終値!$E268:$CZ268,1,$BE268+1):INDEX(終値!$E268:$CZ268,1,$BE268+20))-2*STDEVP(INDEX(終値!$E268:$CZ268,1,$BE268+1):INDEX(終値!$E268:$CZ268,1,$BE268+20)))</f>
        <v>4493.952348153497</v>
      </c>
      <c r="BL268" s="503">
        <f t="shared" si="27"/>
        <v>3</v>
      </c>
      <c r="BM268" s="503">
        <f t="shared" si="28"/>
        <v>10</v>
      </c>
      <c r="BN268" s="503">
        <f t="shared" si="29"/>
        <v>14</v>
      </c>
      <c r="BO268" s="503">
        <f>IF($BM268="","",INDEX(高値!$E268:$CZ268,1,$BM268+1))</f>
        <v>4830</v>
      </c>
      <c r="BP268" s="503">
        <f>IF($BN268="","",INDEX(高値!$E268:$CZ268,1,$BN268+1))</f>
        <v>5220</v>
      </c>
      <c r="BQ268" s="503">
        <f>IF($BN268="","",MIN(INDEX(安値!$E268:$CZ268,1,$BM268+1):INDEX(安値!$E268:$CZ268,1,$BN268+1)))</f>
        <v>4320</v>
      </c>
      <c r="BR268" s="503">
        <f>IF($BN268="","",AVERAGE(INDEX(終値!$E268:$CZ268,1,$BN268+1):INDEX(終値!$E268:$CZ268,1,$BN268+20))+2*STDEVP(INDEX(終値!$E268:$CZ268,1,$BN268+1):INDEX(終値!$E268:$CZ268,1,$BN268+20)))</f>
        <v>5487.1359361366067</v>
      </c>
      <c r="BS268" s="503">
        <f>IF($BM268="","",AVERAGE(INDEX(終値!$E268:$CZ268,1,$BM268+1):INDEX(終値!$E268:$CZ268,1,$BM268+20))+2*STDEVP(INDEX(終値!$E268:$CZ268,1,$BM268+1):INDEX(終値!$E268:$CZ268,1,$BM268+20)))</f>
        <v>5224.7812053068365</v>
      </c>
      <c r="BT268" s="500"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3" t="str">
        <f>IF(終値!A269="","",IF(AND(安値!G269&lt;安値!F269,安値!G269&lt;安値!E269,安値!G269&lt;安値!H269,安値!G269&lt;安値!I269),2,""))</f>
        <v/>
      </c>
      <c r="C269" s="503" t="str">
        <f>IF(終値!A269="","",IF(AND(安値!H269&lt;安値!G269,安値!H269&lt;安値!F269,安値!H269&lt;安値!I269,安値!H269&lt;安値!J269),3,""))</f>
        <v/>
      </c>
      <c r="D269" s="503" t="str">
        <f>IF(終値!A269="","",IF(AND(安値!I269&lt;安値!H269,安値!I269&lt;安値!G269,安値!I269&lt;安値!J269,安値!I269&lt;安値!K269),4,""))</f>
        <v/>
      </c>
      <c r="E269" s="503" t="str">
        <f>IF(終値!A269="","",IF(AND(安値!J269&lt;安値!I269,安値!J269&lt;安値!H269,安値!J269&lt;安値!K269,安値!J269&lt;安値!L269),5,""))</f>
        <v/>
      </c>
      <c r="F269" s="503">
        <f>IF(終値!A269="","",IF(AND(安値!K269&lt;安値!J269,安値!K269&lt;安値!I269,安値!K269&lt;安値!L269,安値!K269&lt;安値!M269),6,""))</f>
        <v>6</v>
      </c>
      <c r="G269" s="503" t="str">
        <f>IF(終値!A269="","",IF(AND(安値!L269&lt;安値!K269,安値!L269&lt;安値!J269,安値!L269&lt;安値!M269,安値!L269&lt;安値!N269),7,""))</f>
        <v/>
      </c>
      <c r="H269" s="503" t="str">
        <f>IF(終値!A269="","",IF(AND(安値!M269&lt;安値!L269,安値!M269&lt;安値!K269,安値!M269&lt;安値!N269,安値!M269&lt;安値!O269),8,""))</f>
        <v/>
      </c>
      <c r="I269" s="503" t="str">
        <f>IF(終値!A269="","",IF(AND(安値!N269&lt;安値!M269,安値!N269&lt;安値!L269,安値!N269&lt;安値!O269,安値!N269&lt;安値!P269),9,""))</f>
        <v/>
      </c>
      <c r="J269" s="503" t="str">
        <f>IF(終値!A269="","",IF(AND(安値!O269&lt;安値!N269,安値!O269&lt;安値!M269,安値!O269&lt;安値!P269,安値!O269&lt;安値!Q269),10,""))</f>
        <v/>
      </c>
      <c r="K269" s="503" t="str">
        <f>IF(終値!A269="","",IF(AND(安値!P269&lt;安値!O269,安値!P269&lt;安値!N269,安値!P269&lt;安値!Q269,安値!P269&lt;安値!R269),11,""))</f>
        <v/>
      </c>
      <c r="L269" s="503" t="str">
        <f>IF(終値!A269="","",IF(AND(安値!Q269&lt;安値!P269,安値!Q269&lt;安値!O269,安値!Q269&lt;安値!R269,安値!Q269&lt;安値!S269),12,""))</f>
        <v/>
      </c>
      <c r="M269" s="503" t="str">
        <f>IF(終値!A269="","",IF(AND(安値!R269&lt;安値!Q269,安値!R269&lt;安値!P269,安値!R269&lt;安値!S269,安値!R269&lt;安値!T269),13,""))</f>
        <v/>
      </c>
      <c r="N269" s="503" t="str">
        <f>IF(終値!A269="","",IF(AND(安値!S269&lt;安値!R269,安値!S269&lt;安値!Q269,安値!S269&lt;安値!T269,安値!S269&lt;安値!U269),14,""))</f>
        <v/>
      </c>
      <c r="O269" s="503">
        <f>IF(終値!A269="","",IF(AND(安値!T269&lt;安値!S269,安値!T269&lt;安値!R269,安値!T269&lt;安値!U269,安値!T269&lt;安値!V269),15,""))</f>
        <v>15</v>
      </c>
      <c r="P269" s="503" t="str">
        <f>IF(終値!A269="","",IF(AND(安値!U269&lt;安値!T269,安値!U269&lt;安値!S269,安値!U269&lt;安値!V269,安値!U269&lt;安値!W269),16,""))</f>
        <v/>
      </c>
      <c r="Q269" s="503" t="str">
        <f>IF(終値!A269="","",IF(AND(安値!V269&lt;安値!U269,安値!V269&lt;安値!T269,安値!V269&lt;安値!W269,安値!V269&lt;安値!X269),17,""))</f>
        <v/>
      </c>
      <c r="R269" s="503" t="str">
        <f>IF(終値!A269="","",IF(AND(安値!W269&lt;安値!V269,安値!W269&lt;安値!U269,安値!W269&lt;安値!X269,安値!W269&lt;安値!Y269),18,""))</f>
        <v/>
      </c>
      <c r="S269" s="503" t="str">
        <f>IF(終値!A269="","",IF(AND(安値!X269&lt;安値!W269,安値!X269&lt;安値!V269,安値!X269&lt;安値!Y269,安値!X269&lt;安値!Z269),19,""))</f>
        <v/>
      </c>
      <c r="T269" s="503" t="str">
        <f>IF(終値!A269="","",IF(AND(安値!Y269&lt;安値!X269,安値!Y269&lt;安値!W269,安値!Y269&lt;安値!Z269,安値!Y269&lt;安値!AA269),20,""))</f>
        <v/>
      </c>
      <c r="U269" s="503" t="str">
        <f>IF(終値!A269="","",IF(AND(安値!Z269&lt;安値!Y269,安値!Z269&lt;安値!X269,安値!Z269&lt;安値!AA269,安値!Z269&lt;安値!AB269),21,""))</f>
        <v/>
      </c>
      <c r="V269" s="503" t="str">
        <f>IF(終値!A269="","",IF(AND(安値!AA269&lt;安値!Z269,安値!AA269&lt;安値!Y269,安値!AA269&lt;安値!AB269,安値!AA269&lt;安値!AC269),22,""))</f>
        <v/>
      </c>
      <c r="W269" s="503" t="str">
        <f>IF(終値!A269="","",IF(AND(安値!AB269&lt;安値!AA269,安値!AB269&lt;安値!Z269,安値!AB269&lt;安値!AC269,安値!AB269&lt;安値!AD269),23,""))</f>
        <v/>
      </c>
      <c r="X269" s="503" t="str">
        <f>IF(終値!A269="","",IF(AND(安値!AC269&lt;安値!AB269,安値!AC269&lt;安値!AA269,安値!AC269&lt;安値!AD269,安値!AC269&lt;安値!AE269),24,""))</f>
        <v/>
      </c>
      <c r="Y269" s="503" t="str">
        <f>IF(終値!A269="","",IF(AND(安値!AD269&lt;安値!AC269,安値!AD269&lt;安値!AB269,安値!AD269&lt;安値!AE269,安値!AD269&lt;安値!AF269),25,""))</f>
        <v/>
      </c>
      <c r="Z269" s="503" t="str">
        <f>IF(終値!A269="","",IF(AND(安値!AE269&lt;安値!AD269,安値!AE269&lt;安値!AC269,安値!AE269&lt;安値!AF269,安値!AE269&lt;安値!AG269),26,""))</f>
        <v/>
      </c>
      <c r="AA269" s="503" t="str">
        <f>IF(終値!A269="","",IF(AND(安値!AF269&lt;安値!AE269,安値!AF269&lt;安値!AD269,安値!AF269&lt;安値!AG269,安値!AF269&lt;安値!AH269),27,""))</f>
        <v/>
      </c>
      <c r="AB269" s="503" t="str">
        <f>IF(終値!A269="","",IF(AND(安値!AG269&lt;安値!AF269,安値!AG269&lt;安値!AE269,安値!AG269&lt;安値!AH269,安値!AG269&lt;安値!AI269),28,""))</f>
        <v/>
      </c>
      <c r="AC269" s="503" t="str">
        <f>IF(終値!A269="","",IF(AND(高値!G269&gt;高値!F269,高値!G269&gt;高値!E269,高値!G269&gt;高値!H269,高値!G269&gt;高値!I269),2,""))</f>
        <v/>
      </c>
      <c r="AD269" s="503" t="str">
        <f>IF(終値!A269="","",IF(AND(高値!H269&gt;高値!G269,高値!H269&gt;高値!F269,高値!H269&gt;高値!I269,高値!H269&gt;高値!J269),3,""))</f>
        <v/>
      </c>
      <c r="AE269" s="503" t="str">
        <f>IF(終値!A269="","",IF(AND(高値!I269&gt;高値!H269,高値!I269&gt;高値!G269,高値!I269&gt;高値!J269,高値!I269&gt;高値!K269),4,""))</f>
        <v/>
      </c>
      <c r="AF269" s="503" t="str">
        <f>IF(終値!A269="","",IF(AND(高値!J269&gt;高値!I269,高値!J269&gt;高値!H269,高値!J269&gt;高値!K269,高値!J269&gt;高値!L269),5,""))</f>
        <v/>
      </c>
      <c r="AG269" s="503" t="str">
        <f>IF(終値!A269="","",IF(AND(高値!K269&gt;高値!J269,高値!K269&gt;高値!I269,高値!K269&gt;高値!L269,高値!K269&gt;高値!M269),6,""))</f>
        <v/>
      </c>
      <c r="AH269" s="503" t="str">
        <f>IF(終値!A269="","",IF(AND(高値!L269&gt;高値!K269,高値!L269&gt;高値!J269,高値!L269&gt;高値!M269,高値!L269&gt;高値!N269),7,""))</f>
        <v/>
      </c>
      <c r="AI269" s="503" t="str">
        <f>IF(終値!A269="","",IF(AND(高値!M269&gt;高値!L269,高値!M269&gt;高値!K269,高値!M269&gt;高値!N269,高値!M269&gt;高値!O269),8,""))</f>
        <v/>
      </c>
      <c r="AJ269" s="503" t="str">
        <f>IF(終値!A269="","",IF(AND(高値!N269&gt;高値!M269,高値!N269&gt;高値!L269,高値!N269&gt;高値!O269,高値!N269&gt;高値!P269),9,""))</f>
        <v/>
      </c>
      <c r="AK269" s="503" t="str">
        <f>IF(終値!A269="","",IF(AND(高値!O269&gt;高値!N269,高値!O269&gt;高値!M269,高値!O269&gt;高値!P269,高値!O269&gt;高値!Q269),10,""))</f>
        <v/>
      </c>
      <c r="AL269" s="503">
        <f>IF(終値!A269="","",IF(AND(高値!P269&gt;高値!O269,高値!P269&gt;高値!N269,高値!P269&gt;高値!Q269,高値!P269&gt;高値!R269),11,""))</f>
        <v>11</v>
      </c>
      <c r="AM269" s="503" t="str">
        <f>IF(終値!A269="","",IF(AND(高値!Q269&gt;高値!P269,高値!Q269&gt;高値!O269,高値!Q269&gt;高値!R269,高値!Q269&gt;高値!S269),12,""))</f>
        <v/>
      </c>
      <c r="AN269" s="503" t="str">
        <f>IF(終値!A269="","",IF(AND(高値!R269&gt;高値!Q269,高値!R269&gt;高値!P269,高値!R269&gt;高値!S269,高値!R269&gt;高値!T269),13,""))</f>
        <v/>
      </c>
      <c r="AO269" s="503" t="str">
        <f>IF(終値!A269="","",IF(AND(高値!S269&gt;高値!R269,高値!S269&gt;高値!Q269,高値!S269&gt;高値!T269,高値!S269&gt;高値!U269),14,""))</f>
        <v/>
      </c>
      <c r="AP269" s="503" t="str">
        <f>IF(終値!A269="","",IF(AND(高値!T269&gt;高値!S269,高値!T269&gt;高値!R269,高値!T269&gt;高値!U269,高値!T269&gt;高値!V269),15,""))</f>
        <v/>
      </c>
      <c r="AQ269" s="503" t="str">
        <f>IF(終値!A269="","",IF(AND(高値!U269&gt;高値!T269,高値!U269&gt;高値!S269,高値!U269&gt;高値!V269,高値!U269&gt;高値!W269),16,""))</f>
        <v/>
      </c>
      <c r="AR269" s="503" t="str">
        <f>IF(終値!A269="","",IF(AND(高値!V269&gt;高値!U269,高値!V269&gt;高値!T269,高値!V269&gt;高値!W269,高値!V269&gt;高値!X269),17,""))</f>
        <v/>
      </c>
      <c r="AS269" s="503" t="str">
        <f>IF(終値!A269="","",IF(AND(高値!W269&gt;高値!V269,高値!W269&gt;高値!U269,高値!W269&gt;高値!X269,高値!W269&gt;高値!Y269),18,""))</f>
        <v/>
      </c>
      <c r="AT269" s="503" t="str">
        <f>IF(終値!A269="","",IF(AND(高値!X269&gt;高値!W269,高値!X269&gt;高値!V269,高値!X269&gt;高値!Y269,高値!X269&gt;高値!Z269),19,""))</f>
        <v/>
      </c>
      <c r="AU269" s="503" t="str">
        <f>IF(終値!A269="","",IF(AND(高値!Y269&gt;高値!X269,高値!Y269&gt;高値!W269,高値!Y269&gt;高値!Z269,高値!Y269&gt;高値!AA269),20,""))</f>
        <v/>
      </c>
      <c r="AV269" s="503">
        <f>IF(終値!A269="","",IF(AND(高値!Z269&gt;高値!Y269,高値!Z269&gt;高値!X269,高値!Z269&gt;高値!AA269,高値!Z269&gt;高値!AB269),21,""))</f>
        <v>21</v>
      </c>
      <c r="AW269" s="503" t="str">
        <f>IF(終値!A269="","",IF(AND(高値!AA269&gt;高値!Z269,高値!AA269&gt;高値!Y269,高値!AA269&gt;高値!AB269,高値!AA269&gt;高値!AC269),22,""))</f>
        <v/>
      </c>
      <c r="AX269" s="503" t="str">
        <f>IF(終値!A269="","",IF(AND(高値!AB269&gt;高値!AA269,高値!AB269&gt;高値!Z269,高値!AB269&gt;高値!AC269,高値!AB269&gt;高値!AD269),23,""))</f>
        <v/>
      </c>
      <c r="AY269" s="503" t="str">
        <f>IF(終値!A269="","",IF(AND(高値!AC269&gt;高値!AB269,高値!AC269&gt;高値!AA269,高値!AC269&gt;高値!AD269,高値!AC269&gt;高値!AE269),24,""))</f>
        <v/>
      </c>
      <c r="AZ269" s="503" t="str">
        <f>IF(終値!A269="","",IF(AND(高値!AD269&gt;高値!AC269,高値!AD269&gt;高値!AB269,高値!AD269&gt;高値!AE269,高値!AD269&gt;高値!AF269),25,""))</f>
        <v/>
      </c>
      <c r="BA269" s="503" t="str">
        <f>IF(終値!A269="","",IF(AND(高値!AE269&gt;高値!AD269,高値!AE269&gt;高値!AC269,高値!AE269&gt;高値!AF269,高値!AE269&gt;高値!AG269),26,""))</f>
        <v/>
      </c>
      <c r="BB269" s="503">
        <f>IF(終値!A269="","",IF(AND(高値!AF269&gt;高値!AE269,高値!AF269&gt;高値!AD269,高値!AF269&gt;高値!AG269,高値!AF269&gt;高値!AH269),27,""))</f>
        <v>27</v>
      </c>
      <c r="BC269" s="503" t="str">
        <f>IF(終値!A269="","",IF(AND(高値!AG269&gt;高値!AF269,高値!AG269&gt;高値!AE269,高値!AG269&gt;高値!AH269,高値!AG269&gt;高値!AI269),28,""))</f>
        <v/>
      </c>
      <c r="BD269" s="503">
        <f t="shared" si="24"/>
        <v>2</v>
      </c>
      <c r="BE269" s="503">
        <f t="shared" si="25"/>
        <v>6</v>
      </c>
      <c r="BF269" s="503">
        <f t="shared" si="26"/>
        <v>15</v>
      </c>
      <c r="BG269" s="503">
        <f>IF($BE269="","",INDEX(安値!$E269:$CZ269,1,$BE269+1))</f>
        <v>3480</v>
      </c>
      <c r="BH269" s="503">
        <f>IF($BF269="","",INDEX(安値!$E269:$CZ269,1,$BF269+1))</f>
        <v>3575</v>
      </c>
      <c r="BI269" s="503">
        <f>IF($BF269="","",MAX(INDEX(高値!$E269:$CZ269,1,$BE269+1):INDEX(高値!$E269:$CZ269,1,$BF269+1)))</f>
        <v>4165</v>
      </c>
      <c r="BJ269" s="503">
        <f>IF($BF269="","",AVERAGE(INDEX(終値!$E269:$CZ269,1,$BF269+1):INDEX(終値!$E269:$CZ269,1,$BF269+20))-2*STDEVP(INDEX(終値!$E269:$CZ269,1,$BF269+1):INDEX(終値!$E269:$CZ269,1,$BF269+20)))</f>
        <v>3597.3967708794266</v>
      </c>
      <c r="BK269" s="503">
        <f>IF($BE269="","",AVERAGE(INDEX(終値!$E269:$CZ269,1,$BE269+1):INDEX(終値!$E269:$CZ269,1,$BE269+20))-2*STDEVP(INDEX(終値!$E269:$CZ269,1,$BE269+1):INDEX(終値!$E269:$CZ269,1,$BE269+20)))</f>
        <v>3553.2858411570919</v>
      </c>
      <c r="BL269" s="503">
        <f t="shared" si="27"/>
        <v>3</v>
      </c>
      <c r="BM269" s="503">
        <f t="shared" si="28"/>
        <v>11</v>
      </c>
      <c r="BN269" s="503">
        <f t="shared" si="29"/>
        <v>21</v>
      </c>
      <c r="BO269" s="503">
        <f>IF($BM269="","",INDEX(高値!$E269:$CZ269,1,$BM269+1))</f>
        <v>4165</v>
      </c>
      <c r="BP269" s="503">
        <f>IF($BN269="","",INDEX(高値!$E269:$CZ269,1,$BN269+1))</f>
        <v>4200</v>
      </c>
      <c r="BQ269" s="503">
        <f>IF($BN269="","",MIN(INDEX(安値!$E269:$CZ269,1,$BM269+1):INDEX(安値!$E269:$CZ269,1,$BN269+1)))</f>
        <v>3575</v>
      </c>
      <c r="BR269" s="503">
        <f>IF($BN269="","",AVERAGE(INDEX(終値!$E269:$CZ269,1,$BN269+1):INDEX(終値!$E269:$CZ269,1,$BN269+20))+2*STDEVP(INDEX(終値!$E269:$CZ269,1,$BN269+1):INDEX(終値!$E269:$CZ269,1,$BN269+20)))</f>
        <v>4371.1755662606538</v>
      </c>
      <c r="BS269" s="503">
        <f>IF($BM269="","",AVERAGE(INDEX(終値!$E269:$CZ269,1,$BM269+1):INDEX(終値!$E269:$CZ269,1,$BM269+20))+2*STDEVP(INDEX(終値!$E269:$CZ269,1,$BM269+1):INDEX(終値!$E269:$CZ269,1,$BM269+20)))</f>
        <v>4281.8662530694164</v>
      </c>
      <c r="BT269" s="500"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二番底W形成</v>
      </c>
    </row>
    <row r="270" spans="2:72">
      <c r="B270" s="503" t="str">
        <f>IF(終値!A270="","",IF(AND(安値!G270&lt;安値!F270,安値!G270&lt;安値!E270,安値!G270&lt;安値!H270,安値!G270&lt;安値!I270),2,""))</f>
        <v/>
      </c>
      <c r="C270" s="503" t="str">
        <f>IF(終値!A270="","",IF(AND(安値!H270&lt;安値!G270,安値!H270&lt;安値!F270,安値!H270&lt;安値!I270,安値!H270&lt;安値!J270),3,""))</f>
        <v/>
      </c>
      <c r="D270" s="503" t="str">
        <f>IF(終値!A270="","",IF(AND(安値!I270&lt;安値!H270,安値!I270&lt;安値!G270,安値!I270&lt;安値!J270,安値!I270&lt;安値!K270),4,""))</f>
        <v/>
      </c>
      <c r="E270" s="503">
        <f>IF(終値!A270="","",IF(AND(安値!J270&lt;安値!I270,安値!J270&lt;安値!H270,安値!J270&lt;安値!K270,安値!J270&lt;安値!L270),5,""))</f>
        <v>5</v>
      </c>
      <c r="F270" s="503" t="str">
        <f>IF(終値!A270="","",IF(AND(安値!K270&lt;安値!J270,安値!K270&lt;安値!I270,安値!K270&lt;安値!L270,安値!K270&lt;安値!M270),6,""))</f>
        <v/>
      </c>
      <c r="G270" s="503" t="str">
        <f>IF(終値!A270="","",IF(AND(安値!L270&lt;安値!K270,安値!L270&lt;安値!J270,安値!L270&lt;安値!M270,安値!L270&lt;安値!N270),7,""))</f>
        <v/>
      </c>
      <c r="H270" s="503" t="str">
        <f>IF(終値!A270="","",IF(AND(安値!M270&lt;安値!L270,安値!M270&lt;安値!K270,安値!M270&lt;安値!N270,安値!M270&lt;安値!O270),8,""))</f>
        <v/>
      </c>
      <c r="I270" s="503" t="str">
        <f>IF(終値!A270="","",IF(AND(安値!N270&lt;安値!M270,安値!N270&lt;安値!L270,安値!N270&lt;安値!O270,安値!N270&lt;安値!P270),9,""))</f>
        <v/>
      </c>
      <c r="J270" s="503" t="str">
        <f>IF(終値!A270="","",IF(AND(安値!O270&lt;安値!N270,安値!O270&lt;安値!M270,安値!O270&lt;安値!P270,安値!O270&lt;安値!Q270),10,""))</f>
        <v/>
      </c>
      <c r="K270" s="503" t="str">
        <f>IF(終値!A270="","",IF(AND(安値!P270&lt;安値!O270,安値!P270&lt;安値!N270,安値!P270&lt;安値!Q270,安値!P270&lt;安値!R270),11,""))</f>
        <v/>
      </c>
      <c r="L270" s="503" t="str">
        <f>IF(終値!A270="","",IF(AND(安値!Q270&lt;安値!P270,安値!Q270&lt;安値!O270,安値!Q270&lt;安値!R270,安値!Q270&lt;安値!S270),12,""))</f>
        <v/>
      </c>
      <c r="M270" s="503">
        <f>IF(終値!A270="","",IF(AND(安値!R270&lt;安値!Q270,安値!R270&lt;安値!P270,安値!R270&lt;安値!S270,安値!R270&lt;安値!T270),13,""))</f>
        <v>13</v>
      </c>
      <c r="N270" s="503" t="str">
        <f>IF(終値!A270="","",IF(AND(安値!S270&lt;安値!R270,安値!S270&lt;安値!Q270,安値!S270&lt;安値!T270,安値!S270&lt;安値!U270),14,""))</f>
        <v/>
      </c>
      <c r="O270" s="503" t="str">
        <f>IF(終値!A270="","",IF(AND(安値!T270&lt;安値!S270,安値!T270&lt;安値!R270,安値!T270&lt;安値!U270,安値!T270&lt;安値!V270),15,""))</f>
        <v/>
      </c>
      <c r="P270" s="503" t="str">
        <f>IF(終値!A270="","",IF(AND(安値!U270&lt;安値!T270,安値!U270&lt;安値!S270,安値!U270&lt;安値!V270,安値!U270&lt;安値!W270),16,""))</f>
        <v/>
      </c>
      <c r="Q270" s="503">
        <f>IF(終値!A270="","",IF(AND(安値!V270&lt;安値!U270,安値!V270&lt;安値!T270,安値!V270&lt;安値!W270,安値!V270&lt;安値!X270),17,""))</f>
        <v>17</v>
      </c>
      <c r="R270" s="503" t="str">
        <f>IF(終値!A270="","",IF(AND(安値!W270&lt;安値!V270,安値!W270&lt;安値!U270,安値!W270&lt;安値!X270,安値!W270&lt;安値!Y270),18,""))</f>
        <v/>
      </c>
      <c r="S270" s="503" t="str">
        <f>IF(終値!A270="","",IF(AND(安値!X270&lt;安値!W270,安値!X270&lt;安値!V270,安値!X270&lt;安値!Y270,安値!X270&lt;安値!Z270),19,""))</f>
        <v/>
      </c>
      <c r="T270" s="503" t="str">
        <f>IF(終値!A270="","",IF(AND(安値!Y270&lt;安値!X270,安値!Y270&lt;安値!W270,安値!Y270&lt;安値!Z270,安値!Y270&lt;安値!AA270),20,""))</f>
        <v/>
      </c>
      <c r="U270" s="503" t="str">
        <f>IF(終値!A270="","",IF(AND(安値!Z270&lt;安値!Y270,安値!Z270&lt;安値!X270,安値!Z270&lt;安値!AA270,安値!Z270&lt;安値!AB270),21,""))</f>
        <v/>
      </c>
      <c r="V270" s="503" t="str">
        <f>IF(終値!A270="","",IF(AND(安値!AA270&lt;安値!Z270,安値!AA270&lt;安値!Y270,安値!AA270&lt;安値!AB270,安値!AA270&lt;安値!AC270),22,""))</f>
        <v/>
      </c>
      <c r="W270" s="503" t="str">
        <f>IF(終値!A270="","",IF(AND(安値!AB270&lt;安値!AA270,安値!AB270&lt;安値!Z270,安値!AB270&lt;安値!AC270,安値!AB270&lt;安値!AD270),23,""))</f>
        <v/>
      </c>
      <c r="X270" s="503" t="str">
        <f>IF(終値!A270="","",IF(AND(安値!AC270&lt;安値!AB270,安値!AC270&lt;安値!AA270,安値!AC270&lt;安値!AD270,安値!AC270&lt;安値!AE270),24,""))</f>
        <v/>
      </c>
      <c r="Y270" s="503" t="str">
        <f>IF(終値!A270="","",IF(AND(安値!AD270&lt;安値!AC270,安値!AD270&lt;安値!AB270,安値!AD270&lt;安値!AE270,安値!AD270&lt;安値!AF270),25,""))</f>
        <v/>
      </c>
      <c r="Z270" s="503" t="str">
        <f>IF(終値!A270="","",IF(AND(安値!AE270&lt;安値!AD270,安値!AE270&lt;安値!AC270,安値!AE270&lt;安値!AF270,安値!AE270&lt;安値!AG270),26,""))</f>
        <v/>
      </c>
      <c r="AA270" s="503" t="str">
        <f>IF(終値!A270="","",IF(AND(安値!AF270&lt;安値!AE270,安値!AF270&lt;安値!AD270,安値!AF270&lt;安値!AG270,安値!AF270&lt;安値!AH270),27,""))</f>
        <v/>
      </c>
      <c r="AB270" s="503" t="str">
        <f>IF(終値!A270="","",IF(AND(安値!AG270&lt;安値!AF270,安値!AG270&lt;安値!AE270,安値!AG270&lt;安値!AH270,安値!AG270&lt;安値!AI270),28,""))</f>
        <v/>
      </c>
      <c r="AC270" s="503" t="str">
        <f>IF(終値!A270="","",IF(AND(高値!G270&gt;高値!F270,高値!G270&gt;高値!E270,高値!G270&gt;高値!H270,高値!G270&gt;高値!I270),2,""))</f>
        <v/>
      </c>
      <c r="AD270" s="503" t="str">
        <f>IF(終値!A270="","",IF(AND(高値!H270&gt;高値!G270,高値!H270&gt;高値!F270,高値!H270&gt;高値!I270,高値!H270&gt;高値!J270),3,""))</f>
        <v/>
      </c>
      <c r="AE270" s="503" t="str">
        <f>IF(終値!A270="","",IF(AND(高値!I270&gt;高値!H270,高値!I270&gt;高値!G270,高値!I270&gt;高値!J270,高値!I270&gt;高値!K270),4,""))</f>
        <v/>
      </c>
      <c r="AF270" s="503" t="str">
        <f>IF(終値!A270="","",IF(AND(高値!J270&gt;高値!I270,高値!J270&gt;高値!H270,高値!J270&gt;高値!K270,高値!J270&gt;高値!L270),5,""))</f>
        <v/>
      </c>
      <c r="AG270" s="503" t="str">
        <f>IF(終値!A270="","",IF(AND(高値!K270&gt;高値!J270,高値!K270&gt;高値!I270,高値!K270&gt;高値!L270,高値!K270&gt;高値!M270),6,""))</f>
        <v/>
      </c>
      <c r="AH270" s="503" t="str">
        <f>IF(終値!A270="","",IF(AND(高値!L270&gt;高値!K270,高値!L270&gt;高値!J270,高値!L270&gt;高値!M270,高値!L270&gt;高値!N270),7,""))</f>
        <v/>
      </c>
      <c r="AI270" s="503">
        <f>IF(終値!A270="","",IF(AND(高値!M270&gt;高値!L270,高値!M270&gt;高値!K270,高値!M270&gt;高値!N270,高値!M270&gt;高値!O270),8,""))</f>
        <v>8</v>
      </c>
      <c r="AJ270" s="503" t="str">
        <f>IF(終値!A270="","",IF(AND(高値!N270&gt;高値!M270,高値!N270&gt;高値!L270,高値!N270&gt;高値!O270,高値!N270&gt;高値!P270),9,""))</f>
        <v/>
      </c>
      <c r="AK270" s="503" t="str">
        <f>IF(終値!A270="","",IF(AND(高値!O270&gt;高値!N270,高値!O270&gt;高値!M270,高値!O270&gt;高値!P270,高値!O270&gt;高値!Q270),10,""))</f>
        <v/>
      </c>
      <c r="AL270" s="503" t="str">
        <f>IF(終値!A270="","",IF(AND(高値!P270&gt;高値!O270,高値!P270&gt;高値!N270,高値!P270&gt;高値!Q270,高値!P270&gt;高値!R270),11,""))</f>
        <v/>
      </c>
      <c r="AM270" s="503" t="str">
        <f>IF(終値!A270="","",IF(AND(高値!Q270&gt;高値!P270,高値!Q270&gt;高値!O270,高値!Q270&gt;高値!R270,高値!Q270&gt;高値!S270),12,""))</f>
        <v/>
      </c>
      <c r="AN270" s="503" t="str">
        <f>IF(終値!A270="","",IF(AND(高値!R270&gt;高値!Q270,高値!R270&gt;高値!P270,高値!R270&gt;高値!S270,高値!R270&gt;高値!T270),13,""))</f>
        <v/>
      </c>
      <c r="AO270" s="503">
        <f>IF(終値!A270="","",IF(AND(高値!S270&gt;高値!R270,高値!S270&gt;高値!Q270,高値!S270&gt;高値!T270,高値!S270&gt;高値!U270),14,""))</f>
        <v>14</v>
      </c>
      <c r="AP270" s="503" t="str">
        <f>IF(終値!A270="","",IF(AND(高値!T270&gt;高値!S270,高値!T270&gt;高値!R270,高値!T270&gt;高値!U270,高値!T270&gt;高値!V270),15,""))</f>
        <v/>
      </c>
      <c r="AQ270" s="503" t="str">
        <f>IF(終値!A270="","",IF(AND(高値!U270&gt;高値!T270,高値!U270&gt;高値!S270,高値!U270&gt;高値!V270,高値!U270&gt;高値!W270),16,""))</f>
        <v/>
      </c>
      <c r="AR270" s="503" t="str">
        <f>IF(終値!A270="","",IF(AND(高値!V270&gt;高値!U270,高値!V270&gt;高値!T270,高値!V270&gt;高値!W270,高値!V270&gt;高値!X270),17,""))</f>
        <v/>
      </c>
      <c r="AS270" s="503" t="str">
        <f>IF(終値!A270="","",IF(AND(高値!W270&gt;高値!V270,高値!W270&gt;高値!U270,高値!W270&gt;高値!X270,高値!W270&gt;高値!Y270),18,""))</f>
        <v/>
      </c>
      <c r="AT270" s="503" t="str">
        <f>IF(終値!A270="","",IF(AND(高値!X270&gt;高値!W270,高値!X270&gt;高値!V270,高値!X270&gt;高値!Y270,高値!X270&gt;高値!Z270),19,""))</f>
        <v/>
      </c>
      <c r="AU270" s="503" t="str">
        <f>IF(終値!A270="","",IF(AND(高値!Y270&gt;高値!X270,高値!Y270&gt;高値!W270,高値!Y270&gt;高値!Z270,高値!Y270&gt;高値!AA270),20,""))</f>
        <v/>
      </c>
      <c r="AV270" s="503">
        <f>IF(終値!A270="","",IF(AND(高値!Z270&gt;高値!Y270,高値!Z270&gt;高値!X270,高値!Z270&gt;高値!AA270,高値!Z270&gt;高値!AB270),21,""))</f>
        <v>21</v>
      </c>
      <c r="AW270" s="503" t="str">
        <f>IF(終値!A270="","",IF(AND(高値!AA270&gt;高値!Z270,高値!AA270&gt;高値!Y270,高値!AA270&gt;高値!AB270,高値!AA270&gt;高値!AC270),22,""))</f>
        <v/>
      </c>
      <c r="AX270" s="503" t="str">
        <f>IF(終値!A270="","",IF(AND(高値!AB270&gt;高値!AA270,高値!AB270&gt;高値!Z270,高値!AB270&gt;高値!AC270,高値!AB270&gt;高値!AD270),23,""))</f>
        <v/>
      </c>
      <c r="AY270" s="503" t="str">
        <f>IF(終値!A270="","",IF(AND(高値!AC270&gt;高値!AB270,高値!AC270&gt;高値!AA270,高値!AC270&gt;高値!AD270,高値!AC270&gt;高値!AE270),24,""))</f>
        <v/>
      </c>
      <c r="AZ270" s="503" t="str">
        <f>IF(終値!A270="","",IF(AND(高値!AD270&gt;高値!AC270,高値!AD270&gt;高値!AB270,高値!AD270&gt;高値!AE270,高値!AD270&gt;高値!AF270),25,""))</f>
        <v/>
      </c>
      <c r="BA270" s="503">
        <f>IF(終値!A270="","",IF(AND(高値!AE270&gt;高値!AD270,高値!AE270&gt;高値!AC270,高値!AE270&gt;高値!AF270,高値!AE270&gt;高値!AG270),26,""))</f>
        <v>26</v>
      </c>
      <c r="BB270" s="503" t="str">
        <f>IF(終値!A270="","",IF(AND(高値!AF270&gt;高値!AE270,高値!AF270&gt;高値!AD270,高値!AF270&gt;高値!AG270,高値!AF270&gt;高値!AH270),27,""))</f>
        <v/>
      </c>
      <c r="BC270" s="503" t="str">
        <f>IF(終値!A270="","",IF(AND(高値!AG270&gt;高値!AF270,高値!AG270&gt;高値!AE270,高値!AG270&gt;高値!AH270,高値!AG270&gt;高値!AI270),28,""))</f>
        <v/>
      </c>
      <c r="BD270" s="503">
        <f t="shared" si="24"/>
        <v>3</v>
      </c>
      <c r="BE270" s="503">
        <f t="shared" si="25"/>
        <v>5</v>
      </c>
      <c r="BF270" s="503">
        <f t="shared" si="26"/>
        <v>13</v>
      </c>
      <c r="BG270" s="503">
        <f>IF($BE270="","",INDEX(安値!$E270:$CZ270,1,$BE270+1))</f>
        <v>756</v>
      </c>
      <c r="BH270" s="503">
        <f>IF($BF270="","",INDEX(安値!$E270:$CZ270,1,$BF270+1))</f>
        <v>816</v>
      </c>
      <c r="BI270" s="503">
        <f>IF($BF270="","",MAX(INDEX(高値!$E270:$CZ270,1,$BE270+1):INDEX(高値!$E270:$CZ270,1,$BF270+1)))</f>
        <v>924</v>
      </c>
      <c r="BJ270" s="503">
        <f>IF($BF270="","",AVERAGE(INDEX(終値!$E270:$CZ270,1,$BF270+1):INDEX(終値!$E270:$CZ270,1,$BF270+20))-2*STDEVP(INDEX(終値!$E270:$CZ270,1,$BF270+1):INDEX(終値!$E270:$CZ270,1,$BF270+20)))</f>
        <v>765.56182154549106</v>
      </c>
      <c r="BK270" s="503">
        <f>IF($BE270="","",AVERAGE(INDEX(終値!$E270:$CZ270,1,$BE270+1):INDEX(終値!$E270:$CZ270,1,$BE270+20))-2*STDEVP(INDEX(終値!$E270:$CZ270,1,$BE270+1):INDEX(終値!$E270:$CZ270,1,$BE270+20)))</f>
        <v>779.19727641645625</v>
      </c>
      <c r="BL270" s="503">
        <f t="shared" si="27"/>
        <v>4</v>
      </c>
      <c r="BM270" s="503">
        <f t="shared" si="28"/>
        <v>8</v>
      </c>
      <c r="BN270" s="503">
        <f t="shared" si="29"/>
        <v>14</v>
      </c>
      <c r="BO270" s="503">
        <f>IF($BM270="","",INDEX(高値!$E270:$CZ270,1,$BM270+1))</f>
        <v>924</v>
      </c>
      <c r="BP270" s="503">
        <f>IF($BN270="","",INDEX(高値!$E270:$CZ270,1,$BN270+1))</f>
        <v>865</v>
      </c>
      <c r="BQ270" s="503">
        <f>IF($BN270="","",MIN(INDEX(安値!$E270:$CZ270,1,$BM270+1):INDEX(安値!$E270:$CZ270,1,$BN270+1)))</f>
        <v>816</v>
      </c>
      <c r="BR270" s="503">
        <f>IF($BN270="","",AVERAGE(INDEX(終値!$E270:$CZ270,1,$BN270+1):INDEX(終値!$E270:$CZ270,1,$BN270+20))+2*STDEVP(INDEX(終値!$E270:$CZ270,1,$BN270+1):INDEX(終値!$E270:$CZ270,1,$BN270+20)))</f>
        <v>861.00188818161905</v>
      </c>
      <c r="BS270" s="503">
        <f>IF($BM270="","",AVERAGE(INDEX(終値!$E270:$CZ270,1,$BM270+1):INDEX(終値!$E270:$CZ270,1,$BM270+20))+2*STDEVP(INDEX(終値!$E270:$CZ270,1,$BM270+1):INDEX(終値!$E270:$CZ270,1,$BM270+20)))</f>
        <v>889.10586049134281</v>
      </c>
      <c r="BT270" s="500"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3" t="str">
        <f>IF(終値!A271="","",IF(AND(安値!G271&lt;安値!F271,安値!G271&lt;安値!E271,安値!G271&lt;安値!H271,安値!G271&lt;安値!I271),2,""))</f>
        <v/>
      </c>
      <c r="C271" s="503" t="str">
        <f>IF(終値!A271="","",IF(AND(安値!H271&lt;安値!G271,安値!H271&lt;安値!F271,安値!H271&lt;安値!I271,安値!H271&lt;安値!J271),3,""))</f>
        <v/>
      </c>
      <c r="D271" s="503" t="str">
        <f>IF(終値!A271="","",IF(AND(安値!I271&lt;安値!H271,安値!I271&lt;安値!G271,安値!I271&lt;安値!J271,安値!I271&lt;安値!K271),4,""))</f>
        <v/>
      </c>
      <c r="E271" s="503">
        <f>IF(終値!A271="","",IF(AND(安値!J271&lt;安値!I271,安値!J271&lt;安値!H271,安値!J271&lt;安値!K271,安値!J271&lt;安値!L271),5,""))</f>
        <v>5</v>
      </c>
      <c r="F271" s="503" t="str">
        <f>IF(終値!A271="","",IF(AND(安値!K271&lt;安値!J271,安値!K271&lt;安値!I271,安値!K271&lt;安値!L271,安値!K271&lt;安値!M271),6,""))</f>
        <v/>
      </c>
      <c r="G271" s="503" t="str">
        <f>IF(終値!A271="","",IF(AND(安値!L271&lt;安値!K271,安値!L271&lt;安値!J271,安値!L271&lt;安値!M271,安値!L271&lt;安値!N271),7,""))</f>
        <v/>
      </c>
      <c r="H271" s="503" t="str">
        <f>IF(終値!A271="","",IF(AND(安値!M271&lt;安値!L271,安値!M271&lt;安値!K271,安値!M271&lt;安値!N271,安値!M271&lt;安値!O271),8,""))</f>
        <v/>
      </c>
      <c r="I271" s="503" t="str">
        <f>IF(終値!A271="","",IF(AND(安値!N271&lt;安値!M271,安値!N271&lt;安値!L271,安値!N271&lt;安値!O271,安値!N271&lt;安値!P271),9,""))</f>
        <v/>
      </c>
      <c r="J271" s="503" t="str">
        <f>IF(終値!A271="","",IF(AND(安値!O271&lt;安値!N271,安値!O271&lt;安値!M271,安値!O271&lt;安値!P271,安値!O271&lt;安値!Q271),10,""))</f>
        <v/>
      </c>
      <c r="K271" s="503" t="str">
        <f>IF(終値!A271="","",IF(AND(安値!P271&lt;安値!O271,安値!P271&lt;安値!N271,安値!P271&lt;安値!Q271,安値!P271&lt;安値!R271),11,""))</f>
        <v/>
      </c>
      <c r="L271" s="503" t="str">
        <f>IF(終値!A271="","",IF(AND(安値!Q271&lt;安値!P271,安値!Q271&lt;安値!O271,安値!Q271&lt;安値!R271,安値!Q271&lt;安値!S271),12,""))</f>
        <v/>
      </c>
      <c r="M271" s="503" t="str">
        <f>IF(終値!A271="","",IF(AND(安値!R271&lt;安値!Q271,安値!R271&lt;安値!P271,安値!R271&lt;安値!S271,安値!R271&lt;安値!T271),13,""))</f>
        <v/>
      </c>
      <c r="N271" s="503" t="str">
        <f>IF(終値!A271="","",IF(AND(安値!S271&lt;安値!R271,安値!S271&lt;安値!Q271,安値!S271&lt;安値!T271,安値!S271&lt;安値!U271),14,""))</f>
        <v/>
      </c>
      <c r="O271" s="503" t="str">
        <f>IF(終値!A271="","",IF(AND(安値!T271&lt;安値!S271,安値!T271&lt;安値!R271,安値!T271&lt;安値!U271,安値!T271&lt;安値!V271),15,""))</f>
        <v/>
      </c>
      <c r="P271" s="503" t="str">
        <f>IF(終値!A271="","",IF(AND(安値!U271&lt;安値!T271,安値!U271&lt;安値!S271,安値!U271&lt;安値!V271,安値!U271&lt;安値!W271),16,""))</f>
        <v/>
      </c>
      <c r="Q271" s="503" t="str">
        <f>IF(終値!A271="","",IF(AND(安値!V271&lt;安値!U271,安値!V271&lt;安値!T271,安値!V271&lt;安値!W271,安値!V271&lt;安値!X271),17,""))</f>
        <v/>
      </c>
      <c r="R271" s="503">
        <f>IF(終値!A271="","",IF(AND(安値!W271&lt;安値!V271,安値!W271&lt;安値!U271,安値!W271&lt;安値!X271,安値!W271&lt;安値!Y271),18,""))</f>
        <v>18</v>
      </c>
      <c r="S271" s="503" t="str">
        <f>IF(終値!A271="","",IF(AND(安値!X271&lt;安値!W271,安値!X271&lt;安値!V271,安値!X271&lt;安値!Y271,安値!X271&lt;安値!Z271),19,""))</f>
        <v/>
      </c>
      <c r="T271" s="503" t="str">
        <f>IF(終値!A271="","",IF(AND(安値!Y271&lt;安値!X271,安値!Y271&lt;安値!W271,安値!Y271&lt;安値!Z271,安値!Y271&lt;安値!AA271),20,""))</f>
        <v/>
      </c>
      <c r="U271" s="503" t="str">
        <f>IF(終値!A271="","",IF(AND(安値!Z271&lt;安値!Y271,安値!Z271&lt;安値!X271,安値!Z271&lt;安値!AA271,安値!Z271&lt;安値!AB271),21,""))</f>
        <v/>
      </c>
      <c r="V271" s="503" t="str">
        <f>IF(終値!A271="","",IF(AND(安値!AA271&lt;安値!Z271,安値!AA271&lt;安値!Y271,安値!AA271&lt;安値!AB271,安値!AA271&lt;安値!AC271),22,""))</f>
        <v/>
      </c>
      <c r="W271" s="503">
        <f>IF(終値!A271="","",IF(AND(安値!AB271&lt;安値!AA271,安値!AB271&lt;安値!Z271,安値!AB271&lt;安値!AC271,安値!AB271&lt;安値!AD271),23,""))</f>
        <v>23</v>
      </c>
      <c r="X271" s="503" t="str">
        <f>IF(終値!A271="","",IF(AND(安値!AC271&lt;安値!AB271,安値!AC271&lt;安値!AA271,安値!AC271&lt;安値!AD271,安値!AC271&lt;安値!AE271),24,""))</f>
        <v/>
      </c>
      <c r="Y271" s="503" t="str">
        <f>IF(終値!A271="","",IF(AND(安値!AD271&lt;安値!AC271,安値!AD271&lt;安値!AB271,安値!AD271&lt;安値!AE271,安値!AD271&lt;安値!AF271),25,""))</f>
        <v/>
      </c>
      <c r="Z271" s="503" t="str">
        <f>IF(終値!A271="","",IF(AND(安値!AE271&lt;安値!AD271,安値!AE271&lt;安値!AC271,安値!AE271&lt;安値!AF271,安値!AE271&lt;安値!AG271),26,""))</f>
        <v/>
      </c>
      <c r="AA271" s="503" t="str">
        <f>IF(終値!A271="","",IF(AND(安値!AF271&lt;安値!AE271,安値!AF271&lt;安値!AD271,安値!AF271&lt;安値!AG271,安値!AF271&lt;安値!AH271),27,""))</f>
        <v/>
      </c>
      <c r="AB271" s="503" t="str">
        <f>IF(終値!A271="","",IF(AND(安値!AG271&lt;安値!AF271,安値!AG271&lt;安値!AE271,安値!AG271&lt;安値!AH271,安値!AG271&lt;安値!AI271),28,""))</f>
        <v/>
      </c>
      <c r="AC271" s="503" t="str">
        <f>IF(終値!A271="","",IF(AND(高値!G271&gt;高値!F271,高値!G271&gt;高値!E271,高値!G271&gt;高値!H271,高値!G271&gt;高値!I271),2,""))</f>
        <v/>
      </c>
      <c r="AD271" s="503" t="str">
        <f>IF(終値!A271="","",IF(AND(高値!H271&gt;高値!G271,高値!H271&gt;高値!F271,高値!H271&gt;高値!I271,高値!H271&gt;高値!J271),3,""))</f>
        <v/>
      </c>
      <c r="AE271" s="503" t="str">
        <f>IF(終値!A271="","",IF(AND(高値!I271&gt;高値!H271,高値!I271&gt;高値!G271,高値!I271&gt;高値!J271,高値!I271&gt;高値!K271),4,""))</f>
        <v/>
      </c>
      <c r="AF271" s="503" t="str">
        <f>IF(終値!A271="","",IF(AND(高値!J271&gt;高値!I271,高値!J271&gt;高値!H271,高値!J271&gt;高値!K271,高値!J271&gt;高値!L271),5,""))</f>
        <v/>
      </c>
      <c r="AG271" s="503" t="str">
        <f>IF(終値!A271="","",IF(AND(高値!K271&gt;高値!J271,高値!K271&gt;高値!I271,高値!K271&gt;高値!L271,高値!K271&gt;高値!M271),6,""))</f>
        <v/>
      </c>
      <c r="AH271" s="503" t="str">
        <f>IF(終値!A271="","",IF(AND(高値!L271&gt;高値!K271,高値!L271&gt;高値!J271,高値!L271&gt;高値!M271,高値!L271&gt;高値!N271),7,""))</f>
        <v/>
      </c>
      <c r="AI271" s="503" t="str">
        <f>IF(終値!A271="","",IF(AND(高値!M271&gt;高値!L271,高値!M271&gt;高値!K271,高値!M271&gt;高値!N271,高値!M271&gt;高値!O271),8,""))</f>
        <v/>
      </c>
      <c r="AJ271" s="503" t="str">
        <f>IF(終値!A271="","",IF(AND(高値!N271&gt;高値!M271,高値!N271&gt;高値!L271,高値!N271&gt;高値!O271,高値!N271&gt;高値!P271),9,""))</f>
        <v/>
      </c>
      <c r="AK271" s="503" t="str">
        <f>IF(終値!A271="","",IF(AND(高値!O271&gt;高値!N271,高値!O271&gt;高値!M271,高値!O271&gt;高値!P271,高値!O271&gt;高値!Q271),10,""))</f>
        <v/>
      </c>
      <c r="AL271" s="503" t="str">
        <f>IF(終値!A271="","",IF(AND(高値!P271&gt;高値!O271,高値!P271&gt;高値!N271,高値!P271&gt;高値!Q271,高値!P271&gt;高値!R271),11,""))</f>
        <v/>
      </c>
      <c r="AM271" s="503">
        <f>IF(終値!A271="","",IF(AND(高値!Q271&gt;高値!P271,高値!Q271&gt;高値!O271,高値!Q271&gt;高値!R271,高値!Q271&gt;高値!S271),12,""))</f>
        <v>12</v>
      </c>
      <c r="AN271" s="503" t="str">
        <f>IF(終値!A271="","",IF(AND(高値!R271&gt;高値!Q271,高値!R271&gt;高値!P271,高値!R271&gt;高値!S271,高値!R271&gt;高値!T271),13,""))</f>
        <v/>
      </c>
      <c r="AO271" s="503" t="str">
        <f>IF(終値!A271="","",IF(AND(高値!S271&gt;高値!R271,高値!S271&gt;高値!Q271,高値!S271&gt;高値!T271,高値!S271&gt;高値!U271),14,""))</f>
        <v/>
      </c>
      <c r="AP271" s="503" t="str">
        <f>IF(終値!A271="","",IF(AND(高値!T271&gt;高値!S271,高値!T271&gt;高値!R271,高値!T271&gt;高値!U271,高値!T271&gt;高値!V271),15,""))</f>
        <v/>
      </c>
      <c r="AQ271" s="503" t="str">
        <f>IF(終値!A271="","",IF(AND(高値!U271&gt;高値!T271,高値!U271&gt;高値!S271,高値!U271&gt;高値!V271,高値!U271&gt;高値!W271),16,""))</f>
        <v/>
      </c>
      <c r="AR271" s="503" t="str">
        <f>IF(終値!A271="","",IF(AND(高値!V271&gt;高値!U271,高値!V271&gt;高値!T271,高値!V271&gt;高値!W271,高値!V271&gt;高値!X271),17,""))</f>
        <v/>
      </c>
      <c r="AS271" s="503" t="str">
        <f>IF(終値!A271="","",IF(AND(高値!W271&gt;高値!V271,高値!W271&gt;高値!U271,高値!W271&gt;高値!X271,高値!W271&gt;高値!Y271),18,""))</f>
        <v/>
      </c>
      <c r="AT271" s="503" t="str">
        <f>IF(終値!A271="","",IF(AND(高値!X271&gt;高値!W271,高値!X271&gt;高値!V271,高値!X271&gt;高値!Y271,高値!X271&gt;高値!Z271),19,""))</f>
        <v/>
      </c>
      <c r="AU271" s="503" t="str">
        <f>IF(終値!A271="","",IF(AND(高値!Y271&gt;高値!X271,高値!Y271&gt;高値!W271,高値!Y271&gt;高値!Z271,高値!Y271&gt;高値!AA271),20,""))</f>
        <v/>
      </c>
      <c r="AV271" s="503">
        <f>IF(終値!A271="","",IF(AND(高値!Z271&gt;高値!Y271,高値!Z271&gt;高値!X271,高値!Z271&gt;高値!AA271,高値!Z271&gt;高値!AB271),21,""))</f>
        <v>21</v>
      </c>
      <c r="AW271" s="503" t="str">
        <f>IF(終値!A271="","",IF(AND(高値!AA271&gt;高値!Z271,高値!AA271&gt;高値!Y271,高値!AA271&gt;高値!AB271,高値!AA271&gt;高値!AC271),22,""))</f>
        <v/>
      </c>
      <c r="AX271" s="503" t="str">
        <f>IF(終値!A271="","",IF(AND(高値!AB271&gt;高値!AA271,高値!AB271&gt;高値!Z271,高値!AB271&gt;高値!AC271,高値!AB271&gt;高値!AD271),23,""))</f>
        <v/>
      </c>
      <c r="AY271" s="503" t="str">
        <f>IF(終値!A271="","",IF(AND(高値!AC271&gt;高値!AB271,高値!AC271&gt;高値!AA271,高値!AC271&gt;高値!AD271,高値!AC271&gt;高値!AE271),24,""))</f>
        <v/>
      </c>
      <c r="AZ271" s="503" t="str">
        <f>IF(終値!A271="","",IF(AND(高値!AD271&gt;高値!AC271,高値!AD271&gt;高値!AB271,高値!AD271&gt;高値!AE271,高値!AD271&gt;高値!AF271),25,""))</f>
        <v/>
      </c>
      <c r="BA271" s="503" t="str">
        <f>IF(終値!A271="","",IF(AND(高値!AE271&gt;高値!AD271,高値!AE271&gt;高値!AC271,高値!AE271&gt;高値!AF271,高値!AE271&gt;高値!AG271),26,""))</f>
        <v/>
      </c>
      <c r="BB271" s="503">
        <f>IF(終値!A271="","",IF(AND(高値!AF271&gt;高値!AE271,高値!AF271&gt;高値!AD271,高値!AF271&gt;高値!AG271,高値!AF271&gt;高値!AH271),27,""))</f>
        <v>27</v>
      </c>
      <c r="BC271" s="503" t="str">
        <f>IF(終値!A271="","",IF(AND(高値!AG271&gt;高値!AF271,高値!AG271&gt;高値!AE271,高値!AG271&gt;高値!AH271,高値!AG271&gt;高値!AI271),28,""))</f>
        <v/>
      </c>
      <c r="BD271" s="503">
        <f t="shared" si="24"/>
        <v>3</v>
      </c>
      <c r="BE271" s="503">
        <f t="shared" si="25"/>
        <v>5</v>
      </c>
      <c r="BF271" s="503">
        <f t="shared" si="26"/>
        <v>18</v>
      </c>
      <c r="BG271" s="503">
        <f>IF($BE271="","",INDEX(安値!$E271:$CZ271,1,$BE271+1))</f>
        <v>1081</v>
      </c>
      <c r="BH271" s="503">
        <f>IF($BF271="","",INDEX(安値!$E271:$CZ271,1,$BF271+1))</f>
        <v>992</v>
      </c>
      <c r="BI271" s="503">
        <f>IF($BF271="","",MAX(INDEX(高値!$E271:$CZ271,1,$BE271+1):INDEX(高値!$E271:$CZ271,1,$BF271+1)))</f>
        <v>1226</v>
      </c>
      <c r="BJ271" s="503">
        <f>IF($BF271="","",AVERAGE(INDEX(終値!$E271:$CZ271,1,$BF271+1):INDEX(終値!$E271:$CZ271,1,$BF271+20))-2*STDEVP(INDEX(終値!$E271:$CZ271,1,$BF271+1):INDEX(終値!$E271:$CZ271,1,$BF271+20)))</f>
        <v>979.96298992908464</v>
      </c>
      <c r="BK271" s="503">
        <f>IF($BE271="","",AVERAGE(INDEX(終値!$E271:$CZ271,1,$BE271+1):INDEX(終値!$E271:$CZ271,1,$BE271+20))-2*STDEVP(INDEX(終値!$E271:$CZ271,1,$BE271+1):INDEX(終値!$E271:$CZ271,1,$BE271+20)))</f>
        <v>940.4329689485088</v>
      </c>
      <c r="BL271" s="503">
        <f t="shared" si="27"/>
        <v>3</v>
      </c>
      <c r="BM271" s="503">
        <f t="shared" si="28"/>
        <v>12</v>
      </c>
      <c r="BN271" s="503">
        <f t="shared" si="29"/>
        <v>21</v>
      </c>
      <c r="BO271" s="503">
        <f>IF($BM271="","",INDEX(高値!$E271:$CZ271,1,$BM271+1))</f>
        <v>1226</v>
      </c>
      <c r="BP271" s="503">
        <f>IF($BN271="","",INDEX(高値!$E271:$CZ271,1,$BN271+1))</f>
        <v>1027</v>
      </c>
      <c r="BQ271" s="503">
        <f>IF($BN271="","",MIN(INDEX(安値!$E271:$CZ271,1,$BM271+1):INDEX(安値!$E271:$CZ271,1,$BN271+1)))</f>
        <v>992</v>
      </c>
      <c r="BR271" s="503">
        <f>IF($BN271="","",AVERAGE(INDEX(終値!$E271:$CZ271,1,$BN271+1):INDEX(終値!$E271:$CZ271,1,$BN271+20))+2*STDEVP(INDEX(終値!$E271:$CZ271,1,$BN271+1):INDEX(終値!$E271:$CZ271,1,$BN271+20)))</f>
        <v>1089.6485904847998</v>
      </c>
      <c r="BS271" s="503">
        <f>IF($BM271="","",AVERAGE(INDEX(終値!$E271:$CZ271,1,$BM271+1):INDEX(終値!$E271:$CZ271,1,$BM271+20))+2*STDEVP(INDEX(終値!$E271:$CZ271,1,$BM271+1):INDEX(終値!$E271:$CZ271,1,$BM271+20)))</f>
        <v>1144.8721501417531</v>
      </c>
      <c r="BT271" s="500"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3" t="str">
        <f>IF(終値!A272="","",IF(AND(安値!G272&lt;安値!F272,安値!G272&lt;安値!E272,安値!G272&lt;安値!H272,安値!G272&lt;安値!I272),2,""))</f>
        <v/>
      </c>
      <c r="C272" s="503" t="str">
        <f>IF(終値!A272="","",IF(AND(安値!H272&lt;安値!G272,安値!H272&lt;安値!F272,安値!H272&lt;安値!I272,安値!H272&lt;安値!J272),3,""))</f>
        <v/>
      </c>
      <c r="D272" s="503" t="str">
        <f>IF(終値!A272="","",IF(AND(安値!I272&lt;安値!H272,安値!I272&lt;安値!G272,安値!I272&lt;安値!J272,安値!I272&lt;安値!K272),4,""))</f>
        <v/>
      </c>
      <c r="E272" s="503" t="str">
        <f>IF(終値!A272="","",IF(AND(安値!J272&lt;安値!I272,安値!J272&lt;安値!H272,安値!J272&lt;安値!K272,安値!J272&lt;安値!L272),5,""))</f>
        <v/>
      </c>
      <c r="F272" s="503">
        <f>IF(終値!A272="","",IF(AND(安値!K272&lt;安値!J272,安値!K272&lt;安値!I272,安値!K272&lt;安値!L272,安値!K272&lt;安値!M272),6,""))</f>
        <v>6</v>
      </c>
      <c r="G272" s="503" t="str">
        <f>IF(終値!A272="","",IF(AND(安値!L272&lt;安値!K272,安値!L272&lt;安値!J272,安値!L272&lt;安値!M272,安値!L272&lt;安値!N272),7,""))</f>
        <v/>
      </c>
      <c r="H272" s="503" t="str">
        <f>IF(終値!A272="","",IF(AND(安値!M272&lt;安値!L272,安値!M272&lt;安値!K272,安値!M272&lt;安値!N272,安値!M272&lt;安値!O272),8,""))</f>
        <v/>
      </c>
      <c r="I272" s="503" t="str">
        <f>IF(終値!A272="","",IF(AND(安値!N272&lt;安値!M272,安値!N272&lt;安値!L272,安値!N272&lt;安値!O272,安値!N272&lt;安値!P272),9,""))</f>
        <v/>
      </c>
      <c r="J272" s="503" t="str">
        <f>IF(終値!A272="","",IF(AND(安値!O272&lt;安値!N272,安値!O272&lt;安値!M272,安値!O272&lt;安値!P272,安値!O272&lt;安値!Q272),10,""))</f>
        <v/>
      </c>
      <c r="K272" s="503" t="str">
        <f>IF(終値!A272="","",IF(AND(安値!P272&lt;安値!O272,安値!P272&lt;安値!N272,安値!P272&lt;安値!Q272,安値!P272&lt;安値!R272),11,""))</f>
        <v/>
      </c>
      <c r="L272" s="503">
        <f>IF(終値!A272="","",IF(AND(安値!Q272&lt;安値!P272,安値!Q272&lt;安値!O272,安値!Q272&lt;安値!R272,安値!Q272&lt;安値!S272),12,""))</f>
        <v>12</v>
      </c>
      <c r="M272" s="503" t="str">
        <f>IF(終値!A272="","",IF(AND(安値!R272&lt;安値!Q272,安値!R272&lt;安値!P272,安値!R272&lt;安値!S272,安値!R272&lt;安値!T272),13,""))</f>
        <v/>
      </c>
      <c r="N272" s="503" t="str">
        <f>IF(終値!A272="","",IF(AND(安値!S272&lt;安値!R272,安値!S272&lt;安値!Q272,安値!S272&lt;安値!T272,安値!S272&lt;安値!U272),14,""))</f>
        <v/>
      </c>
      <c r="O272" s="503" t="str">
        <f>IF(終値!A272="","",IF(AND(安値!T272&lt;安値!S272,安値!T272&lt;安値!R272,安値!T272&lt;安値!U272,安値!T272&lt;安値!V272),15,""))</f>
        <v/>
      </c>
      <c r="P272" s="503" t="str">
        <f>IF(終値!A272="","",IF(AND(安値!U272&lt;安値!T272,安値!U272&lt;安値!S272,安値!U272&lt;安値!V272,安値!U272&lt;安値!W272),16,""))</f>
        <v/>
      </c>
      <c r="Q272" s="503" t="str">
        <f>IF(終値!A272="","",IF(AND(安値!V272&lt;安値!U272,安値!V272&lt;安値!T272,安値!V272&lt;安値!W272,安値!V272&lt;安値!X272),17,""))</f>
        <v/>
      </c>
      <c r="R272" s="503" t="str">
        <f>IF(終値!A272="","",IF(AND(安値!W272&lt;安値!V272,安値!W272&lt;安値!U272,安値!W272&lt;安値!X272,安値!W272&lt;安値!Y272),18,""))</f>
        <v/>
      </c>
      <c r="S272" s="503" t="str">
        <f>IF(終値!A272="","",IF(AND(安値!X272&lt;安値!W272,安値!X272&lt;安値!V272,安値!X272&lt;安値!Y272,安値!X272&lt;安値!Z272),19,""))</f>
        <v/>
      </c>
      <c r="T272" s="503" t="str">
        <f>IF(終値!A272="","",IF(AND(安値!Y272&lt;安値!X272,安値!Y272&lt;安値!W272,安値!Y272&lt;安値!Z272,安値!Y272&lt;安値!AA272),20,""))</f>
        <v/>
      </c>
      <c r="U272" s="503" t="str">
        <f>IF(終値!A272="","",IF(AND(安値!Z272&lt;安値!Y272,安値!Z272&lt;安値!X272,安値!Z272&lt;安値!AA272,安値!Z272&lt;安値!AB272),21,""))</f>
        <v/>
      </c>
      <c r="V272" s="503" t="str">
        <f>IF(終値!A272="","",IF(AND(安値!AA272&lt;安値!Z272,安値!AA272&lt;安値!Y272,安値!AA272&lt;安値!AB272,安値!AA272&lt;安値!AC272),22,""))</f>
        <v/>
      </c>
      <c r="W272" s="503" t="str">
        <f>IF(終値!A272="","",IF(AND(安値!AB272&lt;安値!AA272,安値!AB272&lt;安値!Z272,安値!AB272&lt;安値!AC272,安値!AB272&lt;安値!AD272),23,""))</f>
        <v/>
      </c>
      <c r="X272" s="503" t="str">
        <f>IF(終値!A272="","",IF(AND(安値!AC272&lt;安値!AB272,安値!AC272&lt;安値!AA272,安値!AC272&lt;安値!AD272,安値!AC272&lt;安値!AE272),24,""))</f>
        <v/>
      </c>
      <c r="Y272" s="503" t="str">
        <f>IF(終値!A272="","",IF(AND(安値!AD272&lt;安値!AC272,安値!AD272&lt;安値!AB272,安値!AD272&lt;安値!AE272,安値!AD272&lt;安値!AF272),25,""))</f>
        <v/>
      </c>
      <c r="Z272" s="503" t="str">
        <f>IF(終値!A272="","",IF(AND(安値!AE272&lt;安値!AD272,安値!AE272&lt;安値!AC272,安値!AE272&lt;安値!AF272,安値!AE272&lt;安値!AG272),26,""))</f>
        <v/>
      </c>
      <c r="AA272" s="503" t="str">
        <f>IF(終値!A272="","",IF(AND(安値!AF272&lt;安値!AE272,安値!AF272&lt;安値!AD272,安値!AF272&lt;安値!AG272,安値!AF272&lt;安値!AH272),27,""))</f>
        <v/>
      </c>
      <c r="AB272" s="503" t="str">
        <f>IF(終値!A272="","",IF(AND(安値!AG272&lt;安値!AF272,安値!AG272&lt;安値!AE272,安値!AG272&lt;安値!AH272,安値!AG272&lt;安値!AI272),28,""))</f>
        <v/>
      </c>
      <c r="AC272" s="503" t="str">
        <f>IF(終値!A272="","",IF(AND(高値!G272&gt;高値!F272,高値!G272&gt;高値!E272,高値!G272&gt;高値!H272,高値!G272&gt;高値!I272),2,""))</f>
        <v/>
      </c>
      <c r="AD272" s="503" t="str">
        <f>IF(終値!A272="","",IF(AND(高値!H272&gt;高値!G272,高値!H272&gt;高値!F272,高値!H272&gt;高値!I272,高値!H272&gt;高値!J272),3,""))</f>
        <v/>
      </c>
      <c r="AE272" s="503" t="str">
        <f>IF(終値!A272="","",IF(AND(高値!I272&gt;高値!H272,高値!I272&gt;高値!G272,高値!I272&gt;高値!J272,高値!I272&gt;高値!K272),4,""))</f>
        <v/>
      </c>
      <c r="AF272" s="503" t="str">
        <f>IF(終値!A272="","",IF(AND(高値!J272&gt;高値!I272,高値!J272&gt;高値!H272,高値!J272&gt;高値!K272,高値!J272&gt;高値!L272),5,""))</f>
        <v/>
      </c>
      <c r="AG272" s="503" t="str">
        <f>IF(終値!A272="","",IF(AND(高値!K272&gt;高値!J272,高値!K272&gt;高値!I272,高値!K272&gt;高値!L272,高値!K272&gt;高値!M272),6,""))</f>
        <v/>
      </c>
      <c r="AH272" s="503" t="str">
        <f>IF(終値!A272="","",IF(AND(高値!L272&gt;高値!K272,高値!L272&gt;高値!J272,高値!L272&gt;高値!M272,高値!L272&gt;高値!N272),7,""))</f>
        <v/>
      </c>
      <c r="AI272" s="503" t="str">
        <f>IF(終値!A272="","",IF(AND(高値!M272&gt;高値!L272,高値!M272&gt;高値!K272,高値!M272&gt;高値!N272,高値!M272&gt;高値!O272),8,""))</f>
        <v/>
      </c>
      <c r="AJ272" s="503" t="str">
        <f>IF(終値!A272="","",IF(AND(高値!N272&gt;高値!M272,高値!N272&gt;高値!L272,高値!N272&gt;高値!O272,高値!N272&gt;高値!P272),9,""))</f>
        <v/>
      </c>
      <c r="AK272" s="503" t="str">
        <f>IF(終値!A272="","",IF(AND(高値!O272&gt;高値!N272,高値!O272&gt;高値!M272,高値!O272&gt;高値!P272,高値!O272&gt;高値!Q272),10,""))</f>
        <v/>
      </c>
      <c r="AL272" s="503">
        <f>IF(終値!A272="","",IF(AND(高値!P272&gt;高値!O272,高値!P272&gt;高値!N272,高値!P272&gt;高値!Q272,高値!P272&gt;高値!R272),11,""))</f>
        <v>11</v>
      </c>
      <c r="AM272" s="503" t="str">
        <f>IF(終値!A272="","",IF(AND(高値!Q272&gt;高値!P272,高値!Q272&gt;高値!O272,高値!Q272&gt;高値!R272,高値!Q272&gt;高値!S272),12,""))</f>
        <v/>
      </c>
      <c r="AN272" s="503" t="str">
        <f>IF(終値!A272="","",IF(AND(高値!R272&gt;高値!Q272,高値!R272&gt;高値!P272,高値!R272&gt;高値!S272,高値!R272&gt;高値!T272),13,""))</f>
        <v/>
      </c>
      <c r="AO272" s="503" t="str">
        <f>IF(終値!A272="","",IF(AND(高値!S272&gt;高値!R272,高値!S272&gt;高値!Q272,高値!S272&gt;高値!T272,高値!S272&gt;高値!U272),14,""))</f>
        <v/>
      </c>
      <c r="AP272" s="503" t="str">
        <f>IF(終値!A272="","",IF(AND(高値!T272&gt;高値!S272,高値!T272&gt;高値!R272,高値!T272&gt;高値!U272,高値!T272&gt;高値!V272),15,""))</f>
        <v/>
      </c>
      <c r="AQ272" s="503" t="str">
        <f>IF(終値!A272="","",IF(AND(高値!U272&gt;高値!T272,高値!U272&gt;高値!S272,高値!U272&gt;高値!V272,高値!U272&gt;高値!W272),16,""))</f>
        <v/>
      </c>
      <c r="AR272" s="503" t="str">
        <f>IF(終値!A272="","",IF(AND(高値!V272&gt;高値!U272,高値!V272&gt;高値!T272,高値!V272&gt;高値!W272,高値!V272&gt;高値!X272),17,""))</f>
        <v/>
      </c>
      <c r="AS272" s="503" t="str">
        <f>IF(終値!A272="","",IF(AND(高値!W272&gt;高値!V272,高値!W272&gt;高値!U272,高値!W272&gt;高値!X272,高値!W272&gt;高値!Y272),18,""))</f>
        <v/>
      </c>
      <c r="AT272" s="503" t="str">
        <f>IF(終値!A272="","",IF(AND(高値!X272&gt;高値!W272,高値!X272&gt;高値!V272,高値!X272&gt;高値!Y272,高値!X272&gt;高値!Z272),19,""))</f>
        <v/>
      </c>
      <c r="AU272" s="503" t="str">
        <f>IF(終値!A272="","",IF(AND(高値!Y272&gt;高値!X272,高値!Y272&gt;高値!W272,高値!Y272&gt;高値!Z272,高値!Y272&gt;高値!AA272),20,""))</f>
        <v/>
      </c>
      <c r="AV272" s="503" t="str">
        <f>IF(終値!A272="","",IF(AND(高値!Z272&gt;高値!Y272,高値!Z272&gt;高値!X272,高値!Z272&gt;高値!AA272,高値!Z272&gt;高値!AB272),21,""))</f>
        <v/>
      </c>
      <c r="AW272" s="503" t="str">
        <f>IF(終値!A272="","",IF(AND(高値!AA272&gt;高値!Z272,高値!AA272&gt;高値!Y272,高値!AA272&gt;高値!AB272,高値!AA272&gt;高値!AC272),22,""))</f>
        <v/>
      </c>
      <c r="AX272" s="503" t="str">
        <f>IF(終値!A272="","",IF(AND(高値!AB272&gt;高値!AA272,高値!AB272&gt;高値!Z272,高値!AB272&gt;高値!AC272,高値!AB272&gt;高値!AD272),23,""))</f>
        <v/>
      </c>
      <c r="AY272" s="503">
        <f>IF(終値!A272="","",IF(AND(高値!AC272&gt;高値!AB272,高値!AC272&gt;高値!AA272,高値!AC272&gt;高値!AD272,高値!AC272&gt;高値!AE272),24,""))</f>
        <v>24</v>
      </c>
      <c r="AZ272" s="503" t="str">
        <f>IF(終値!A272="","",IF(AND(高値!AD272&gt;高値!AC272,高値!AD272&gt;高値!AB272,高値!AD272&gt;高値!AE272,高値!AD272&gt;高値!AF272),25,""))</f>
        <v/>
      </c>
      <c r="BA272" s="503" t="str">
        <f>IF(終値!A272="","",IF(AND(高値!AE272&gt;高値!AD272,高値!AE272&gt;高値!AC272,高値!AE272&gt;高値!AF272,高値!AE272&gt;高値!AG272),26,""))</f>
        <v/>
      </c>
      <c r="BB272" s="503" t="str">
        <f>IF(終値!A272="","",IF(AND(高値!AF272&gt;高値!AE272,高値!AF272&gt;高値!AD272,高値!AF272&gt;高値!AG272,高値!AF272&gt;高値!AH272),27,""))</f>
        <v/>
      </c>
      <c r="BC272" s="503">
        <f>IF(終値!A272="","",IF(AND(高値!AG272&gt;高値!AF272,高値!AG272&gt;高値!AE272,高値!AG272&gt;高値!AH272,高値!AG272&gt;高値!AI272),28,""))</f>
        <v>28</v>
      </c>
      <c r="BD272" s="503">
        <f t="shared" si="24"/>
        <v>2</v>
      </c>
      <c r="BE272" s="503">
        <f t="shared" si="25"/>
        <v>6</v>
      </c>
      <c r="BF272" s="503">
        <f t="shared" si="26"/>
        <v>12</v>
      </c>
      <c r="BG272" s="503">
        <f>IF($BE272="","",INDEX(安値!$E272:$CZ272,1,$BE272+1))</f>
        <v>2466</v>
      </c>
      <c r="BH272" s="503">
        <f>IF($BF272="","",INDEX(安値!$E272:$CZ272,1,$BF272+1))</f>
        <v>2990</v>
      </c>
      <c r="BI272" s="503">
        <f>IF($BF272="","",MAX(INDEX(高値!$E272:$CZ272,1,$BE272+1):INDEX(高値!$E272:$CZ272,1,$BF272+1)))</f>
        <v>3510</v>
      </c>
      <c r="BJ272" s="503">
        <f>IF($BF272="","",AVERAGE(INDEX(終値!$E272:$CZ272,1,$BF272+1):INDEX(終値!$E272:$CZ272,1,$BF272+20))-2*STDEVP(INDEX(終値!$E272:$CZ272,1,$BF272+1):INDEX(終値!$E272:$CZ272,1,$BF272+20)))</f>
        <v>2791.8569307056514</v>
      </c>
      <c r="BK272" s="503">
        <f>IF($BE272="","",AVERAGE(INDEX(終値!$E272:$CZ272,1,$BE272+1):INDEX(終値!$E272:$CZ272,1,$BE272+20))-2*STDEVP(INDEX(終値!$E272:$CZ272,1,$BE272+1):INDEX(終値!$E272:$CZ272,1,$BE272+20)))</f>
        <v>2062.1684129132718</v>
      </c>
      <c r="BL272" s="503">
        <f t="shared" si="27"/>
        <v>3</v>
      </c>
      <c r="BM272" s="503">
        <f t="shared" si="28"/>
        <v>11</v>
      </c>
      <c r="BN272" s="503">
        <f t="shared" si="29"/>
        <v>24</v>
      </c>
      <c r="BO272" s="503">
        <f>IF($BM272="","",INDEX(高値!$E272:$CZ272,1,$BM272+1))</f>
        <v>3510</v>
      </c>
      <c r="BP272" s="503">
        <f>IF($BN272="","",INDEX(高値!$E272:$CZ272,1,$BN272+1))</f>
        <v>5900</v>
      </c>
      <c r="BQ272" s="503">
        <f>IF($BN272="","",MIN(INDEX(安値!$E272:$CZ272,1,$BM272+1):INDEX(安値!$E272:$CZ272,1,$BN272+1)))</f>
        <v>2990</v>
      </c>
      <c r="BR272" s="503">
        <f>IF($BN272="","",AVERAGE(INDEX(終値!$E272:$CZ272,1,$BN272+1):INDEX(終値!$E272:$CZ272,1,$BN272+20))+2*STDEVP(INDEX(終値!$E272:$CZ272,1,$BN272+1):INDEX(終値!$E272:$CZ272,1,$BN272+20)))</f>
        <v>6261.3496372976442</v>
      </c>
      <c r="BS272" s="503">
        <f>IF($BM272="","",AVERAGE(INDEX(終値!$E272:$CZ272,1,$BM272+1):INDEX(終値!$E272:$CZ272,1,$BM272+20))+2*STDEVP(INDEX(終値!$E272:$CZ272,1,$BM272+1):INDEX(終値!$E272:$CZ272,1,$BM272+20)))</f>
        <v>6502.2428399659002</v>
      </c>
      <c r="BT272" s="500"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3" t="str">
        <f>IF(終値!A273="","",IF(AND(安値!G273&lt;安値!F273,安値!G273&lt;安値!E273,安値!G273&lt;安値!H273,安値!G273&lt;安値!I273),2,""))</f>
        <v/>
      </c>
      <c r="C273" s="503">
        <f>IF(終値!A273="","",IF(AND(安値!H273&lt;安値!G273,安値!H273&lt;安値!F273,安値!H273&lt;安値!I273,安値!H273&lt;安値!J273),3,""))</f>
        <v>3</v>
      </c>
      <c r="D273" s="503" t="str">
        <f>IF(終値!A273="","",IF(AND(安値!I273&lt;安値!H273,安値!I273&lt;安値!G273,安値!I273&lt;安値!J273,安値!I273&lt;安値!K273),4,""))</f>
        <v/>
      </c>
      <c r="E273" s="503" t="str">
        <f>IF(終値!A273="","",IF(AND(安値!J273&lt;安値!I273,安値!J273&lt;安値!H273,安値!J273&lt;安値!K273,安値!J273&lt;安値!L273),5,""))</f>
        <v/>
      </c>
      <c r="F273" s="503" t="str">
        <f>IF(終値!A273="","",IF(AND(安値!K273&lt;安値!J273,安値!K273&lt;安値!I273,安値!K273&lt;安値!L273,安値!K273&lt;安値!M273),6,""))</f>
        <v/>
      </c>
      <c r="G273" s="503" t="str">
        <f>IF(終値!A273="","",IF(AND(安値!L273&lt;安値!K273,安値!L273&lt;安値!J273,安値!L273&lt;安値!M273,安値!L273&lt;安値!N273),7,""))</f>
        <v/>
      </c>
      <c r="H273" s="503" t="str">
        <f>IF(終値!A273="","",IF(AND(安値!M273&lt;安値!L273,安値!M273&lt;安値!K273,安値!M273&lt;安値!N273,安値!M273&lt;安値!O273),8,""))</f>
        <v/>
      </c>
      <c r="I273" s="503">
        <f>IF(終値!A273="","",IF(AND(安値!N273&lt;安値!M273,安値!N273&lt;安値!L273,安値!N273&lt;安値!O273,安値!N273&lt;安値!P273),9,""))</f>
        <v>9</v>
      </c>
      <c r="J273" s="503" t="str">
        <f>IF(終値!A273="","",IF(AND(安値!O273&lt;安値!N273,安値!O273&lt;安値!M273,安値!O273&lt;安値!P273,安値!O273&lt;安値!Q273),10,""))</f>
        <v/>
      </c>
      <c r="K273" s="503" t="str">
        <f>IF(終値!A273="","",IF(AND(安値!P273&lt;安値!O273,安値!P273&lt;安値!N273,安値!P273&lt;安値!Q273,安値!P273&lt;安値!R273),11,""))</f>
        <v/>
      </c>
      <c r="L273" s="503" t="str">
        <f>IF(終値!A273="","",IF(AND(安値!Q273&lt;安値!P273,安値!Q273&lt;安値!O273,安値!Q273&lt;安値!R273,安値!Q273&lt;安値!S273),12,""))</f>
        <v/>
      </c>
      <c r="M273" s="503" t="str">
        <f>IF(終値!A273="","",IF(AND(安値!R273&lt;安値!Q273,安値!R273&lt;安値!P273,安値!R273&lt;安値!S273,安値!R273&lt;安値!T273),13,""))</f>
        <v/>
      </c>
      <c r="N273" s="503" t="str">
        <f>IF(終値!A273="","",IF(AND(安値!S273&lt;安値!R273,安値!S273&lt;安値!Q273,安値!S273&lt;安値!T273,安値!S273&lt;安値!U273),14,""))</f>
        <v/>
      </c>
      <c r="O273" s="503" t="str">
        <f>IF(終値!A273="","",IF(AND(安値!T273&lt;安値!S273,安値!T273&lt;安値!R273,安値!T273&lt;安値!U273,安値!T273&lt;安値!V273),15,""))</f>
        <v/>
      </c>
      <c r="P273" s="503" t="str">
        <f>IF(終値!A273="","",IF(AND(安値!U273&lt;安値!T273,安値!U273&lt;安値!S273,安値!U273&lt;安値!V273,安値!U273&lt;安値!W273),16,""))</f>
        <v/>
      </c>
      <c r="Q273" s="503" t="str">
        <f>IF(終値!A273="","",IF(AND(安値!V273&lt;安値!U273,安値!V273&lt;安値!T273,安値!V273&lt;安値!W273,安値!V273&lt;安値!X273),17,""))</f>
        <v/>
      </c>
      <c r="R273" s="503" t="str">
        <f>IF(終値!A273="","",IF(AND(安値!W273&lt;安値!V273,安値!W273&lt;安値!U273,安値!W273&lt;安値!X273,安値!W273&lt;安値!Y273),18,""))</f>
        <v/>
      </c>
      <c r="S273" s="503" t="str">
        <f>IF(終値!A273="","",IF(AND(安値!X273&lt;安値!W273,安値!X273&lt;安値!V273,安値!X273&lt;安値!Y273,安値!X273&lt;安値!Z273),19,""))</f>
        <v/>
      </c>
      <c r="T273" s="503" t="str">
        <f>IF(終値!A273="","",IF(AND(安値!Y273&lt;安値!X273,安値!Y273&lt;安値!W273,安値!Y273&lt;安値!Z273,安値!Y273&lt;安値!AA273),20,""))</f>
        <v/>
      </c>
      <c r="U273" s="503" t="str">
        <f>IF(終値!A273="","",IF(AND(安値!Z273&lt;安値!Y273,安値!Z273&lt;安値!X273,安値!Z273&lt;安値!AA273,安値!Z273&lt;安値!AB273),21,""))</f>
        <v/>
      </c>
      <c r="V273" s="503" t="str">
        <f>IF(終値!A273="","",IF(AND(安値!AA273&lt;安値!Z273,安値!AA273&lt;安値!Y273,安値!AA273&lt;安値!AB273,安値!AA273&lt;安値!AC273),22,""))</f>
        <v/>
      </c>
      <c r="W273" s="503" t="str">
        <f>IF(終値!A273="","",IF(AND(安値!AB273&lt;安値!AA273,安値!AB273&lt;安値!Z273,安値!AB273&lt;安値!AC273,安値!AB273&lt;安値!AD273),23,""))</f>
        <v/>
      </c>
      <c r="X273" s="503" t="str">
        <f>IF(終値!A273="","",IF(AND(安値!AC273&lt;安値!AB273,安値!AC273&lt;安値!AA273,安値!AC273&lt;安値!AD273,安値!AC273&lt;安値!AE273),24,""))</f>
        <v/>
      </c>
      <c r="Y273" s="503" t="str">
        <f>IF(終値!A273="","",IF(AND(安値!AD273&lt;安値!AC273,安値!AD273&lt;安値!AB273,安値!AD273&lt;安値!AE273,安値!AD273&lt;安値!AF273),25,""))</f>
        <v/>
      </c>
      <c r="Z273" s="503" t="str">
        <f>IF(終値!A273="","",IF(AND(安値!AE273&lt;安値!AD273,安値!AE273&lt;安値!AC273,安値!AE273&lt;安値!AF273,安値!AE273&lt;安値!AG273),26,""))</f>
        <v/>
      </c>
      <c r="AA273" s="503" t="str">
        <f>IF(終値!A273="","",IF(AND(安値!AF273&lt;安値!AE273,安値!AF273&lt;安値!AD273,安値!AF273&lt;安値!AG273,安値!AF273&lt;安値!AH273),27,""))</f>
        <v/>
      </c>
      <c r="AB273" s="503">
        <f>IF(終値!A273="","",IF(AND(安値!AG273&lt;安値!AF273,安値!AG273&lt;安値!AE273,安値!AG273&lt;安値!AH273,安値!AG273&lt;安値!AI273),28,""))</f>
        <v>28</v>
      </c>
      <c r="AC273" s="503" t="str">
        <f>IF(終値!A273="","",IF(AND(高値!G273&gt;高値!F273,高値!G273&gt;高値!E273,高値!G273&gt;高値!H273,高値!G273&gt;高値!I273),2,""))</f>
        <v/>
      </c>
      <c r="AD273" s="503" t="str">
        <f>IF(終値!A273="","",IF(AND(高値!H273&gt;高値!G273,高値!H273&gt;高値!F273,高値!H273&gt;高値!I273,高値!H273&gt;高値!J273),3,""))</f>
        <v/>
      </c>
      <c r="AE273" s="503" t="str">
        <f>IF(終値!A273="","",IF(AND(高値!I273&gt;高値!H273,高値!I273&gt;高値!G273,高値!I273&gt;高値!J273,高値!I273&gt;高値!K273),4,""))</f>
        <v/>
      </c>
      <c r="AF273" s="503" t="str">
        <f>IF(終値!A273="","",IF(AND(高値!J273&gt;高値!I273,高値!J273&gt;高値!H273,高値!J273&gt;高値!K273,高値!J273&gt;高値!L273),5,""))</f>
        <v/>
      </c>
      <c r="AG273" s="503">
        <f>IF(終値!A273="","",IF(AND(高値!K273&gt;高値!J273,高値!K273&gt;高値!I273,高値!K273&gt;高値!L273,高値!K273&gt;高値!M273),6,""))</f>
        <v>6</v>
      </c>
      <c r="AH273" s="503" t="str">
        <f>IF(終値!A273="","",IF(AND(高値!L273&gt;高値!K273,高値!L273&gt;高値!J273,高値!L273&gt;高値!M273,高値!L273&gt;高値!N273),7,""))</f>
        <v/>
      </c>
      <c r="AI273" s="503" t="str">
        <f>IF(終値!A273="","",IF(AND(高値!M273&gt;高値!L273,高値!M273&gt;高値!K273,高値!M273&gt;高値!N273,高値!M273&gt;高値!O273),8,""))</f>
        <v/>
      </c>
      <c r="AJ273" s="503" t="str">
        <f>IF(終値!A273="","",IF(AND(高値!N273&gt;高値!M273,高値!N273&gt;高値!L273,高値!N273&gt;高値!O273,高値!N273&gt;高値!P273),9,""))</f>
        <v/>
      </c>
      <c r="AK273" s="503" t="str">
        <f>IF(終値!A273="","",IF(AND(高値!O273&gt;高値!N273,高値!O273&gt;高値!M273,高値!O273&gt;高値!P273,高値!O273&gt;高値!Q273),10,""))</f>
        <v/>
      </c>
      <c r="AL273" s="503" t="str">
        <f>IF(終値!A273="","",IF(AND(高値!P273&gt;高値!O273,高値!P273&gt;高値!N273,高値!P273&gt;高値!Q273,高値!P273&gt;高値!R273),11,""))</f>
        <v/>
      </c>
      <c r="AM273" s="503" t="str">
        <f>IF(終値!A273="","",IF(AND(高値!Q273&gt;高値!P273,高値!Q273&gt;高値!O273,高値!Q273&gt;高値!R273,高値!Q273&gt;高値!S273),12,""))</f>
        <v/>
      </c>
      <c r="AN273" s="503">
        <f>IF(終値!A273="","",IF(AND(高値!R273&gt;高値!Q273,高値!R273&gt;高値!P273,高値!R273&gt;高値!S273,高値!R273&gt;高値!T273),13,""))</f>
        <v>13</v>
      </c>
      <c r="AO273" s="503" t="str">
        <f>IF(終値!A273="","",IF(AND(高値!S273&gt;高値!R273,高値!S273&gt;高値!Q273,高値!S273&gt;高値!T273,高値!S273&gt;高値!U273),14,""))</f>
        <v/>
      </c>
      <c r="AP273" s="503" t="str">
        <f>IF(終値!A273="","",IF(AND(高値!T273&gt;高値!S273,高値!T273&gt;高値!R273,高値!T273&gt;高値!U273,高値!T273&gt;高値!V273),15,""))</f>
        <v/>
      </c>
      <c r="AQ273" s="503" t="str">
        <f>IF(終値!A273="","",IF(AND(高値!U273&gt;高値!T273,高値!U273&gt;高値!S273,高値!U273&gt;高値!V273,高値!U273&gt;高値!W273),16,""))</f>
        <v/>
      </c>
      <c r="AR273" s="503" t="str">
        <f>IF(終値!A273="","",IF(AND(高値!V273&gt;高値!U273,高値!V273&gt;高値!T273,高値!V273&gt;高値!W273,高値!V273&gt;高値!X273),17,""))</f>
        <v/>
      </c>
      <c r="AS273" s="503" t="str">
        <f>IF(終値!A273="","",IF(AND(高値!W273&gt;高値!V273,高値!W273&gt;高値!U273,高値!W273&gt;高値!X273,高値!W273&gt;高値!Y273),18,""))</f>
        <v/>
      </c>
      <c r="AT273" s="503">
        <f>IF(終値!A273="","",IF(AND(高値!X273&gt;高値!W273,高値!X273&gt;高値!V273,高値!X273&gt;高値!Y273,高値!X273&gt;高値!Z273),19,""))</f>
        <v>19</v>
      </c>
      <c r="AU273" s="503" t="str">
        <f>IF(終値!A273="","",IF(AND(高値!Y273&gt;高値!X273,高値!Y273&gt;高値!W273,高値!Y273&gt;高値!Z273,高値!Y273&gt;高値!AA273),20,""))</f>
        <v/>
      </c>
      <c r="AV273" s="503" t="str">
        <f>IF(終値!A273="","",IF(AND(高値!Z273&gt;高値!Y273,高値!Z273&gt;高値!X273,高値!Z273&gt;高値!AA273,高値!Z273&gt;高値!AB273),21,""))</f>
        <v/>
      </c>
      <c r="AW273" s="503" t="str">
        <f>IF(終値!A273="","",IF(AND(高値!AA273&gt;高値!Z273,高値!AA273&gt;高値!Y273,高値!AA273&gt;高値!AB273,高値!AA273&gt;高値!AC273),22,""))</f>
        <v/>
      </c>
      <c r="AX273" s="503" t="str">
        <f>IF(終値!A273="","",IF(AND(高値!AB273&gt;高値!AA273,高値!AB273&gt;高値!Z273,高値!AB273&gt;高値!AC273,高値!AB273&gt;高値!AD273),23,""))</f>
        <v/>
      </c>
      <c r="AY273" s="503" t="str">
        <f>IF(終値!A273="","",IF(AND(高値!AC273&gt;高値!AB273,高値!AC273&gt;高値!AA273,高値!AC273&gt;高値!AD273,高値!AC273&gt;高値!AE273),24,""))</f>
        <v/>
      </c>
      <c r="AZ273" s="503" t="str">
        <f>IF(終値!A273="","",IF(AND(高値!AD273&gt;高値!AC273,高値!AD273&gt;高値!AB273,高値!AD273&gt;高値!AE273,高値!AD273&gt;高値!AF273),25,""))</f>
        <v/>
      </c>
      <c r="BA273" s="503">
        <f>IF(終値!A273="","",IF(AND(高値!AE273&gt;高値!AD273,高値!AE273&gt;高値!AC273,高値!AE273&gt;高値!AF273,高値!AE273&gt;高値!AG273),26,""))</f>
        <v>26</v>
      </c>
      <c r="BB273" s="503" t="str">
        <f>IF(終値!A273="","",IF(AND(高値!AF273&gt;高値!AE273,高値!AF273&gt;高値!AD273,高値!AF273&gt;高値!AG273,高値!AF273&gt;高値!AH273),27,""))</f>
        <v/>
      </c>
      <c r="BC273" s="503" t="str">
        <f>IF(終値!A273="","",IF(AND(高値!AG273&gt;高値!AF273,高値!AG273&gt;高値!AE273,高値!AG273&gt;高値!AH273,高値!AG273&gt;高値!AI273),28,""))</f>
        <v/>
      </c>
      <c r="BD273" s="503">
        <f t="shared" si="24"/>
        <v>3</v>
      </c>
      <c r="BE273" s="503">
        <f t="shared" si="25"/>
        <v>3</v>
      </c>
      <c r="BF273" s="503">
        <f t="shared" si="26"/>
        <v>9</v>
      </c>
      <c r="BG273" s="503">
        <f>IF($BE273="","",INDEX(安値!$E273:$CZ273,1,$BE273+1))</f>
        <v>3291</v>
      </c>
      <c r="BH273" s="503">
        <f>IF($BF273="","",INDEX(安値!$E273:$CZ273,1,$BF273+1))</f>
        <v>3273</v>
      </c>
      <c r="BI273" s="503">
        <f>IF($BF273="","",MAX(INDEX(高値!$E273:$CZ273,1,$BE273+1):INDEX(高値!$E273:$CZ273,1,$BF273+1)))</f>
        <v>3612</v>
      </c>
      <c r="BJ273" s="503">
        <f>IF($BF273="","",AVERAGE(INDEX(終値!$E273:$CZ273,1,$BF273+1):INDEX(終値!$E273:$CZ273,1,$BF273+20))-2*STDEVP(INDEX(終値!$E273:$CZ273,1,$BF273+1):INDEX(終値!$E273:$CZ273,1,$BF273+20)))</f>
        <v>3211.9814359935917</v>
      </c>
      <c r="BK273" s="503">
        <f>IF($BE273="","",AVERAGE(INDEX(終値!$E273:$CZ273,1,$BE273+1):INDEX(終値!$E273:$CZ273,1,$BE273+20))-2*STDEVP(INDEX(終値!$E273:$CZ273,1,$BE273+1):INDEX(終値!$E273:$CZ273,1,$BE273+20)))</f>
        <v>3272.2543918371298</v>
      </c>
      <c r="BL273" s="503">
        <f t="shared" si="27"/>
        <v>4</v>
      </c>
      <c r="BM273" s="503">
        <f t="shared" si="28"/>
        <v>6</v>
      </c>
      <c r="BN273" s="503">
        <f t="shared" si="29"/>
        <v>13</v>
      </c>
      <c r="BO273" s="503">
        <f>IF($BM273="","",INDEX(高値!$E273:$CZ273,1,$BM273+1))</f>
        <v>3612</v>
      </c>
      <c r="BP273" s="503">
        <f>IF($BN273="","",INDEX(高値!$E273:$CZ273,1,$BN273+1))</f>
        <v>3409</v>
      </c>
      <c r="BQ273" s="503">
        <f>IF($BN273="","",MIN(INDEX(安値!$E273:$CZ273,1,$BM273+1):INDEX(安値!$E273:$CZ273,1,$BN273+1)))</f>
        <v>3273</v>
      </c>
      <c r="BR273" s="503">
        <f>IF($BN273="","",AVERAGE(INDEX(終値!$E273:$CZ273,1,$BN273+1):INDEX(終値!$E273:$CZ273,1,$BN273+20))+2*STDEVP(INDEX(終値!$E273:$CZ273,1,$BN273+1):INDEX(終値!$E273:$CZ273,1,$BN273+20)))</f>
        <v>3522.6554636626597</v>
      </c>
      <c r="BS273" s="503">
        <f>IF($BM273="","",AVERAGE(INDEX(終値!$E273:$CZ273,1,$BM273+1):INDEX(終値!$E273:$CZ273,1,$BM273+20))+2*STDEVP(INDEX(終値!$E273:$CZ273,1,$BM273+1):INDEX(終値!$E273:$CZ273,1,$BM273+20)))</f>
        <v>3537.0293963988215</v>
      </c>
      <c r="BT273" s="500"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二番底W形成</v>
      </c>
    </row>
    <row r="274" spans="2:72">
      <c r="B274" s="503">
        <f>IF(終値!A274="","",IF(AND(安値!G274&lt;安値!F274,安値!G274&lt;安値!E274,安値!G274&lt;安値!H274,安値!G274&lt;安値!I274),2,""))</f>
        <v>2</v>
      </c>
      <c r="C274" s="503" t="str">
        <f>IF(終値!A274="","",IF(AND(安値!H274&lt;安値!G274,安値!H274&lt;安値!F274,安値!H274&lt;安値!I274,安値!H274&lt;安値!J274),3,""))</f>
        <v/>
      </c>
      <c r="D274" s="503" t="str">
        <f>IF(終値!A274="","",IF(AND(安値!I274&lt;安値!H274,安値!I274&lt;安値!G274,安値!I274&lt;安値!J274,安値!I274&lt;安値!K274),4,""))</f>
        <v/>
      </c>
      <c r="E274" s="503" t="str">
        <f>IF(終値!A274="","",IF(AND(安値!J274&lt;安値!I274,安値!J274&lt;安値!H274,安値!J274&lt;安値!K274,安値!J274&lt;安値!L274),5,""))</f>
        <v/>
      </c>
      <c r="F274" s="503" t="str">
        <f>IF(終値!A274="","",IF(AND(安値!K274&lt;安値!J274,安値!K274&lt;安値!I274,安値!K274&lt;安値!L274,安値!K274&lt;安値!M274),6,""))</f>
        <v/>
      </c>
      <c r="G274" s="503" t="str">
        <f>IF(終値!A274="","",IF(AND(安値!L274&lt;安値!K274,安値!L274&lt;安値!J274,安値!L274&lt;安値!M274,安値!L274&lt;安値!N274),7,""))</f>
        <v/>
      </c>
      <c r="H274" s="503" t="str">
        <f>IF(終値!A274="","",IF(AND(安値!M274&lt;安値!L274,安値!M274&lt;安値!K274,安値!M274&lt;安値!N274,安値!M274&lt;安値!O274),8,""))</f>
        <v/>
      </c>
      <c r="I274" s="503">
        <f>IF(終値!A274="","",IF(AND(安値!N274&lt;安値!M274,安値!N274&lt;安値!L274,安値!N274&lt;安値!O274,安値!N274&lt;安値!P274),9,""))</f>
        <v>9</v>
      </c>
      <c r="J274" s="503" t="str">
        <f>IF(終値!A274="","",IF(AND(安値!O274&lt;安値!N274,安値!O274&lt;安値!M274,安値!O274&lt;安値!P274,安値!O274&lt;安値!Q274),10,""))</f>
        <v/>
      </c>
      <c r="K274" s="503" t="str">
        <f>IF(終値!A274="","",IF(AND(安値!P274&lt;安値!O274,安値!P274&lt;安値!N274,安値!P274&lt;安値!Q274,安値!P274&lt;安値!R274),11,""))</f>
        <v/>
      </c>
      <c r="L274" s="503" t="str">
        <f>IF(終値!A274="","",IF(AND(安値!Q274&lt;安値!P274,安値!Q274&lt;安値!O274,安値!Q274&lt;安値!R274,安値!Q274&lt;安値!S274),12,""))</f>
        <v/>
      </c>
      <c r="M274" s="503">
        <f>IF(終値!A274="","",IF(AND(安値!R274&lt;安値!Q274,安値!R274&lt;安値!P274,安値!R274&lt;安値!S274,安値!R274&lt;安値!T274),13,""))</f>
        <v>13</v>
      </c>
      <c r="N274" s="503" t="str">
        <f>IF(終値!A274="","",IF(AND(安値!S274&lt;安値!R274,安値!S274&lt;安値!Q274,安値!S274&lt;安値!T274,安値!S274&lt;安値!U274),14,""))</f>
        <v/>
      </c>
      <c r="O274" s="503" t="str">
        <f>IF(終値!A274="","",IF(AND(安値!T274&lt;安値!S274,安値!T274&lt;安値!R274,安値!T274&lt;安値!U274,安値!T274&lt;安値!V274),15,""))</f>
        <v/>
      </c>
      <c r="P274" s="503">
        <f>IF(終値!A274="","",IF(AND(安値!U274&lt;安値!T274,安値!U274&lt;安値!S274,安値!U274&lt;安値!V274,安値!U274&lt;安値!W274),16,""))</f>
        <v>16</v>
      </c>
      <c r="Q274" s="503" t="str">
        <f>IF(終値!A274="","",IF(AND(安値!V274&lt;安値!U274,安値!V274&lt;安値!T274,安値!V274&lt;安値!W274,安値!V274&lt;安値!X274),17,""))</f>
        <v/>
      </c>
      <c r="R274" s="503" t="str">
        <f>IF(終値!A274="","",IF(AND(安値!W274&lt;安値!V274,安値!W274&lt;安値!U274,安値!W274&lt;安値!X274,安値!W274&lt;安値!Y274),18,""))</f>
        <v/>
      </c>
      <c r="S274" s="503" t="str">
        <f>IF(終値!A274="","",IF(AND(安値!X274&lt;安値!W274,安値!X274&lt;安値!V274,安値!X274&lt;安値!Y274,安値!X274&lt;安値!Z274),19,""))</f>
        <v/>
      </c>
      <c r="T274" s="503" t="str">
        <f>IF(終値!A274="","",IF(AND(安値!Y274&lt;安値!X274,安値!Y274&lt;安値!W274,安値!Y274&lt;安値!Z274,安値!Y274&lt;安値!AA274),20,""))</f>
        <v/>
      </c>
      <c r="U274" s="503" t="str">
        <f>IF(終値!A274="","",IF(AND(安値!Z274&lt;安値!Y274,安値!Z274&lt;安値!X274,安値!Z274&lt;安値!AA274,安値!Z274&lt;安値!AB274),21,""))</f>
        <v/>
      </c>
      <c r="V274" s="503" t="str">
        <f>IF(終値!A274="","",IF(AND(安値!AA274&lt;安値!Z274,安値!AA274&lt;安値!Y274,安値!AA274&lt;安値!AB274,安値!AA274&lt;安値!AC274),22,""))</f>
        <v/>
      </c>
      <c r="W274" s="503">
        <f>IF(終値!A274="","",IF(AND(安値!AB274&lt;安値!AA274,安値!AB274&lt;安値!Z274,安値!AB274&lt;安値!AC274,安値!AB274&lt;安値!AD274),23,""))</f>
        <v>23</v>
      </c>
      <c r="X274" s="503" t="str">
        <f>IF(終値!A274="","",IF(AND(安値!AC274&lt;安値!AB274,安値!AC274&lt;安値!AA274,安値!AC274&lt;安値!AD274,安値!AC274&lt;安値!AE274),24,""))</f>
        <v/>
      </c>
      <c r="Y274" s="503" t="str">
        <f>IF(終値!A274="","",IF(AND(安値!AD274&lt;安値!AC274,安値!AD274&lt;安値!AB274,安値!AD274&lt;安値!AE274,安値!AD274&lt;安値!AF274),25,""))</f>
        <v/>
      </c>
      <c r="Z274" s="503" t="str">
        <f>IF(終値!A274="","",IF(AND(安値!AE274&lt;安値!AD274,安値!AE274&lt;安値!AC274,安値!AE274&lt;安値!AF274,安値!AE274&lt;安値!AG274),26,""))</f>
        <v/>
      </c>
      <c r="AA274" s="503" t="str">
        <f>IF(終値!A274="","",IF(AND(安値!AF274&lt;安値!AE274,安値!AF274&lt;安値!AD274,安値!AF274&lt;安値!AG274,安値!AF274&lt;安値!AH274),27,""))</f>
        <v/>
      </c>
      <c r="AB274" s="503" t="str">
        <f>IF(終値!A274="","",IF(AND(安値!AG274&lt;安値!AF274,安値!AG274&lt;安値!AE274,安値!AG274&lt;安値!AH274,安値!AG274&lt;安値!AI274),28,""))</f>
        <v/>
      </c>
      <c r="AC274" s="503" t="str">
        <f>IF(終値!A274="","",IF(AND(高値!G274&gt;高値!F274,高値!G274&gt;高値!E274,高値!G274&gt;高値!H274,高値!G274&gt;高値!I274),2,""))</f>
        <v/>
      </c>
      <c r="AD274" s="503" t="str">
        <f>IF(終値!A274="","",IF(AND(高値!H274&gt;高値!G274,高値!H274&gt;高値!F274,高値!H274&gt;高値!I274,高値!H274&gt;高値!J274),3,""))</f>
        <v/>
      </c>
      <c r="AE274" s="503" t="str">
        <f>IF(終値!A274="","",IF(AND(高値!I274&gt;高値!H274,高値!I274&gt;高値!G274,高値!I274&gt;高値!J274,高値!I274&gt;高値!K274),4,""))</f>
        <v/>
      </c>
      <c r="AF274" s="503" t="str">
        <f>IF(終値!A274="","",IF(AND(高値!J274&gt;高値!I274,高値!J274&gt;高値!H274,高値!J274&gt;高値!K274,高値!J274&gt;高値!L274),5,""))</f>
        <v/>
      </c>
      <c r="AG274" s="503" t="str">
        <f>IF(終値!A274="","",IF(AND(高値!K274&gt;高値!J274,高値!K274&gt;高値!I274,高値!K274&gt;高値!L274,高値!K274&gt;高値!M274),6,""))</f>
        <v/>
      </c>
      <c r="AH274" s="503" t="str">
        <f>IF(終値!A274="","",IF(AND(高値!L274&gt;高値!K274,高値!L274&gt;高値!J274,高値!L274&gt;高値!M274,高値!L274&gt;高値!N274),7,""))</f>
        <v/>
      </c>
      <c r="AI274" s="503">
        <f>IF(終値!A274="","",IF(AND(高値!M274&gt;高値!L274,高値!M274&gt;高値!K274,高値!M274&gt;高値!N274,高値!M274&gt;高値!O274),8,""))</f>
        <v>8</v>
      </c>
      <c r="AJ274" s="503" t="str">
        <f>IF(終値!A274="","",IF(AND(高値!N274&gt;高値!M274,高値!N274&gt;高値!L274,高値!N274&gt;高値!O274,高値!N274&gt;高値!P274),9,""))</f>
        <v/>
      </c>
      <c r="AK274" s="503" t="str">
        <f>IF(終値!A274="","",IF(AND(高値!O274&gt;高値!N274,高値!O274&gt;高値!M274,高値!O274&gt;高値!P274,高値!O274&gt;高値!Q274),10,""))</f>
        <v/>
      </c>
      <c r="AL274" s="503">
        <f>IF(終値!A274="","",IF(AND(高値!P274&gt;高値!O274,高値!P274&gt;高値!N274,高値!P274&gt;高値!Q274,高値!P274&gt;高値!R274),11,""))</f>
        <v>11</v>
      </c>
      <c r="AM274" s="503" t="str">
        <f>IF(終値!A274="","",IF(AND(高値!Q274&gt;高値!P274,高値!Q274&gt;高値!O274,高値!Q274&gt;高値!R274,高値!Q274&gt;高値!S274),12,""))</f>
        <v/>
      </c>
      <c r="AN274" s="503" t="str">
        <f>IF(終値!A274="","",IF(AND(高値!R274&gt;高値!Q274,高値!R274&gt;高値!P274,高値!R274&gt;高値!S274,高値!R274&gt;高値!T274),13,""))</f>
        <v/>
      </c>
      <c r="AO274" s="503" t="str">
        <f>IF(終値!A274="","",IF(AND(高値!S274&gt;高値!R274,高値!S274&gt;高値!Q274,高値!S274&gt;高値!T274,高値!S274&gt;高値!U274),14,""))</f>
        <v/>
      </c>
      <c r="AP274" s="503">
        <f>IF(終値!A274="","",IF(AND(高値!T274&gt;高値!S274,高値!T274&gt;高値!R274,高値!T274&gt;高値!U274,高値!T274&gt;高値!V274),15,""))</f>
        <v>15</v>
      </c>
      <c r="AQ274" s="503" t="str">
        <f>IF(終値!A274="","",IF(AND(高値!U274&gt;高値!T274,高値!U274&gt;高値!S274,高値!U274&gt;高値!V274,高値!U274&gt;高値!W274),16,""))</f>
        <v/>
      </c>
      <c r="AR274" s="503" t="str">
        <f>IF(終値!A274="","",IF(AND(高値!V274&gt;高値!U274,高値!V274&gt;高値!T274,高値!V274&gt;高値!W274,高値!V274&gt;高値!X274),17,""))</f>
        <v/>
      </c>
      <c r="AS274" s="503" t="str">
        <f>IF(終値!A274="","",IF(AND(高値!W274&gt;高値!V274,高値!W274&gt;高値!U274,高値!W274&gt;高値!X274,高値!W274&gt;高値!Y274),18,""))</f>
        <v/>
      </c>
      <c r="AT274" s="503" t="str">
        <f>IF(終値!A274="","",IF(AND(高値!X274&gt;高値!W274,高値!X274&gt;高値!V274,高値!X274&gt;高値!Y274,高値!X274&gt;高値!Z274),19,""))</f>
        <v/>
      </c>
      <c r="AU274" s="503" t="str">
        <f>IF(終値!A274="","",IF(AND(高値!Y274&gt;高値!X274,高値!Y274&gt;高値!W274,高値!Y274&gt;高値!Z274,高値!Y274&gt;高値!AA274),20,""))</f>
        <v/>
      </c>
      <c r="AV274" s="503" t="str">
        <f>IF(終値!A274="","",IF(AND(高値!Z274&gt;高値!Y274,高値!Z274&gt;高値!X274,高値!Z274&gt;高値!AA274,高値!Z274&gt;高値!AB274),21,""))</f>
        <v/>
      </c>
      <c r="AW274" s="503" t="str">
        <f>IF(終値!A274="","",IF(AND(高値!AA274&gt;高値!Z274,高値!AA274&gt;高値!Y274,高値!AA274&gt;高値!AB274,高値!AA274&gt;高値!AC274),22,""))</f>
        <v/>
      </c>
      <c r="AX274" s="503" t="str">
        <f>IF(終値!A274="","",IF(AND(高値!AB274&gt;高値!AA274,高値!AB274&gt;高値!Z274,高値!AB274&gt;高値!AC274,高値!AB274&gt;高値!AD274),23,""))</f>
        <v/>
      </c>
      <c r="AY274" s="503" t="str">
        <f>IF(終値!A274="","",IF(AND(高値!AC274&gt;高値!AB274,高値!AC274&gt;高値!AA274,高値!AC274&gt;高値!AD274,高値!AC274&gt;高値!AE274),24,""))</f>
        <v/>
      </c>
      <c r="AZ274" s="503">
        <f>IF(終値!A274="","",IF(AND(高値!AD274&gt;高値!AC274,高値!AD274&gt;高値!AB274,高値!AD274&gt;高値!AE274,高値!AD274&gt;高値!AF274),25,""))</f>
        <v>25</v>
      </c>
      <c r="BA274" s="503" t="str">
        <f>IF(終値!A274="","",IF(AND(高値!AE274&gt;高値!AD274,高値!AE274&gt;高値!AC274,高値!AE274&gt;高値!AF274,高値!AE274&gt;高値!AG274),26,""))</f>
        <v/>
      </c>
      <c r="BB274" s="503" t="str">
        <f>IF(終値!A274="","",IF(AND(高値!AF274&gt;高値!AE274,高値!AF274&gt;高値!AD274,高値!AF274&gt;高値!AG274,高値!AF274&gt;高値!AH274),27,""))</f>
        <v/>
      </c>
      <c r="BC274" s="503" t="str">
        <f>IF(終値!A274="","",IF(AND(高値!AG274&gt;高値!AF274,高値!AG274&gt;高値!AE274,高値!AG274&gt;高値!AH274,高値!AG274&gt;高値!AI274),28,""))</f>
        <v/>
      </c>
      <c r="BD274" s="503">
        <f t="shared" si="24"/>
        <v>5</v>
      </c>
      <c r="BE274" s="503">
        <f t="shared" si="25"/>
        <v>2</v>
      </c>
      <c r="BF274" s="503">
        <f t="shared" si="26"/>
        <v>9</v>
      </c>
      <c r="BG274" s="503">
        <f>IF($BE274="","",INDEX(安値!$E274:$CZ274,1,$BE274+1))</f>
        <v>852</v>
      </c>
      <c r="BH274" s="503">
        <f>IF($BF274="","",INDEX(安値!$E274:$CZ274,1,$BF274+1))</f>
        <v>0</v>
      </c>
      <c r="BI274" s="503">
        <f>IF($BF274="","",MAX(INDEX(高値!$E274:$CZ274,1,$BE274+1):INDEX(高値!$E274:$CZ274,1,$BF274+1)))</f>
        <v>862</v>
      </c>
      <c r="BJ274" s="503">
        <f>IF($BF274="","",AVERAGE(INDEX(終値!$E274:$CZ274,1,$BF274+1):INDEX(終値!$E274:$CZ274,1,$BF274+20))-2*STDEVP(INDEX(終値!$E274:$CZ274,1,$BF274+1):INDEX(終値!$E274:$CZ274,1,$BF274+20)))</f>
        <v>845.32071722735827</v>
      </c>
      <c r="BK274" s="503">
        <f>IF($BE274="","",AVERAGE(INDEX(終値!$E274:$CZ274,1,$BE274+1):INDEX(終値!$E274:$CZ274,1,$BE274+20))-2*STDEVP(INDEX(終値!$E274:$CZ274,1,$BE274+1):INDEX(終値!$E274:$CZ274,1,$BE274+20)))</f>
        <v>847.46062965074952</v>
      </c>
      <c r="BL274" s="503">
        <f t="shared" si="27"/>
        <v>4</v>
      </c>
      <c r="BM274" s="503">
        <f t="shared" si="28"/>
        <v>8</v>
      </c>
      <c r="BN274" s="503">
        <f t="shared" si="29"/>
        <v>11</v>
      </c>
      <c r="BO274" s="503">
        <f>IF($BM274="","",INDEX(高値!$E274:$CZ274,1,$BM274+1))</f>
        <v>857</v>
      </c>
      <c r="BP274" s="503">
        <f>IF($BN274="","",INDEX(高値!$E274:$CZ274,1,$BN274+1))</f>
        <v>858</v>
      </c>
      <c r="BQ274" s="503">
        <f>IF($BN274="","",MIN(INDEX(安値!$E274:$CZ274,1,$BM274+1):INDEX(安値!$E274:$CZ274,1,$BN274+1)))</f>
        <v>850</v>
      </c>
      <c r="BR274" s="503">
        <f>IF($BN274="","",AVERAGE(INDEX(終値!$E274:$CZ274,1,$BN274+1):INDEX(終値!$E274:$CZ274,1,$BN274+20))+2*STDEVP(INDEX(終値!$E274:$CZ274,1,$BN274+1):INDEX(終値!$E274:$CZ274,1,$BN274+20)))</f>
        <v>868.80486620885006</v>
      </c>
      <c r="BS274" s="503">
        <f>IF($BM274="","",AVERAGE(INDEX(終値!$E274:$CZ274,1,$BM274+1):INDEX(終値!$E274:$CZ274,1,$BM274+20))+2*STDEVP(INDEX(終値!$E274:$CZ274,1,$BM274+1):INDEX(終値!$E274:$CZ274,1,$BM274+20)))</f>
        <v>868.3234424470038</v>
      </c>
      <c r="BT274" s="500"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3" t="str">
        <f>IF(終値!A275="","",IF(AND(安値!G275&lt;安値!F275,安値!G275&lt;安値!E275,安値!G275&lt;安値!H275,安値!G275&lt;安値!I275),2,""))</f>
        <v/>
      </c>
      <c r="C275" s="503" t="str">
        <f>IF(終値!A275="","",IF(AND(安値!H275&lt;安値!G275,安値!H275&lt;安値!F275,安値!H275&lt;安値!I275,安値!H275&lt;安値!J275),3,""))</f>
        <v/>
      </c>
      <c r="D275" s="503" t="str">
        <f>IF(終値!A275="","",IF(AND(安値!I275&lt;安値!H275,安値!I275&lt;安値!G275,安値!I275&lt;安値!J275,安値!I275&lt;安値!K275),4,""))</f>
        <v/>
      </c>
      <c r="E275" s="503" t="str">
        <f>IF(終値!A275="","",IF(AND(安値!J275&lt;安値!I275,安値!J275&lt;安値!H275,安値!J275&lt;安値!K275,安値!J275&lt;安値!L275),5,""))</f>
        <v/>
      </c>
      <c r="F275" s="503">
        <f>IF(終値!A275="","",IF(AND(安値!K275&lt;安値!J275,安値!K275&lt;安値!I275,安値!K275&lt;安値!L275,安値!K275&lt;安値!M275),6,""))</f>
        <v>6</v>
      </c>
      <c r="G275" s="503" t="str">
        <f>IF(終値!A275="","",IF(AND(安値!L275&lt;安値!K275,安値!L275&lt;安値!J275,安値!L275&lt;安値!M275,安値!L275&lt;安値!N275),7,""))</f>
        <v/>
      </c>
      <c r="H275" s="503" t="str">
        <f>IF(終値!A275="","",IF(AND(安値!M275&lt;安値!L275,安値!M275&lt;安値!K275,安値!M275&lt;安値!N275,安値!M275&lt;安値!O275),8,""))</f>
        <v/>
      </c>
      <c r="I275" s="503" t="str">
        <f>IF(終値!A275="","",IF(AND(安値!N275&lt;安値!M275,安値!N275&lt;安値!L275,安値!N275&lt;安値!O275,安値!N275&lt;安値!P275),9,""))</f>
        <v/>
      </c>
      <c r="J275" s="503" t="str">
        <f>IF(終値!A275="","",IF(AND(安値!O275&lt;安値!N275,安値!O275&lt;安値!M275,安値!O275&lt;安値!P275,安値!O275&lt;安値!Q275),10,""))</f>
        <v/>
      </c>
      <c r="K275" s="503" t="str">
        <f>IF(終値!A275="","",IF(AND(安値!P275&lt;安値!O275,安値!P275&lt;安値!N275,安値!P275&lt;安値!Q275,安値!P275&lt;安値!R275),11,""))</f>
        <v/>
      </c>
      <c r="L275" s="503" t="str">
        <f>IF(終値!A275="","",IF(AND(安値!Q275&lt;安値!P275,安値!Q275&lt;安値!O275,安値!Q275&lt;安値!R275,安値!Q275&lt;安値!S275),12,""))</f>
        <v/>
      </c>
      <c r="M275" s="503">
        <f>IF(終値!A275="","",IF(AND(安値!R275&lt;安値!Q275,安値!R275&lt;安値!P275,安値!R275&lt;安値!S275,安値!R275&lt;安値!T275),13,""))</f>
        <v>13</v>
      </c>
      <c r="N275" s="503" t="str">
        <f>IF(終値!A275="","",IF(AND(安値!S275&lt;安値!R275,安値!S275&lt;安値!Q275,安値!S275&lt;安値!T275,安値!S275&lt;安値!U275),14,""))</f>
        <v/>
      </c>
      <c r="O275" s="503" t="str">
        <f>IF(終値!A275="","",IF(AND(安値!T275&lt;安値!S275,安値!T275&lt;安値!R275,安値!T275&lt;安値!U275,安値!T275&lt;安値!V275),15,""))</f>
        <v/>
      </c>
      <c r="P275" s="503" t="str">
        <f>IF(終値!A275="","",IF(AND(安値!U275&lt;安値!T275,安値!U275&lt;安値!S275,安値!U275&lt;安値!V275,安値!U275&lt;安値!W275),16,""))</f>
        <v/>
      </c>
      <c r="Q275" s="503" t="str">
        <f>IF(終値!A275="","",IF(AND(安値!V275&lt;安値!U275,安値!V275&lt;安値!T275,安値!V275&lt;安値!W275,安値!V275&lt;安値!X275),17,""))</f>
        <v/>
      </c>
      <c r="R275" s="503">
        <f>IF(終値!A275="","",IF(AND(安値!W275&lt;安値!V275,安値!W275&lt;安値!U275,安値!W275&lt;安値!X275,安値!W275&lt;安値!Y275),18,""))</f>
        <v>18</v>
      </c>
      <c r="S275" s="503" t="str">
        <f>IF(終値!A275="","",IF(AND(安値!X275&lt;安値!W275,安値!X275&lt;安値!V275,安値!X275&lt;安値!Y275,安値!X275&lt;安値!Z275),19,""))</f>
        <v/>
      </c>
      <c r="T275" s="503" t="str">
        <f>IF(終値!A275="","",IF(AND(安値!Y275&lt;安値!X275,安値!Y275&lt;安値!W275,安値!Y275&lt;安値!Z275,安値!Y275&lt;安値!AA275),20,""))</f>
        <v/>
      </c>
      <c r="U275" s="503" t="str">
        <f>IF(終値!A275="","",IF(AND(安値!Z275&lt;安値!Y275,安値!Z275&lt;安値!X275,安値!Z275&lt;安値!AA275,安値!Z275&lt;安値!AB275),21,""))</f>
        <v/>
      </c>
      <c r="V275" s="503" t="str">
        <f>IF(終値!A275="","",IF(AND(安値!AA275&lt;安値!Z275,安値!AA275&lt;安値!Y275,安値!AA275&lt;安値!AB275,安値!AA275&lt;安値!AC275),22,""))</f>
        <v/>
      </c>
      <c r="W275" s="503" t="str">
        <f>IF(終値!A275="","",IF(AND(安値!AB275&lt;安値!AA275,安値!AB275&lt;安値!Z275,安値!AB275&lt;安値!AC275,安値!AB275&lt;安値!AD275),23,""))</f>
        <v/>
      </c>
      <c r="X275" s="503" t="str">
        <f>IF(終値!A275="","",IF(AND(安値!AC275&lt;安値!AB275,安値!AC275&lt;安値!AA275,安値!AC275&lt;安値!AD275,安値!AC275&lt;安値!AE275),24,""))</f>
        <v/>
      </c>
      <c r="Y275" s="503" t="str">
        <f>IF(終値!A275="","",IF(AND(安値!AD275&lt;安値!AC275,安値!AD275&lt;安値!AB275,安値!AD275&lt;安値!AE275,安値!AD275&lt;安値!AF275),25,""))</f>
        <v/>
      </c>
      <c r="Z275" s="503">
        <f>IF(終値!A275="","",IF(AND(安値!AE275&lt;安値!AD275,安値!AE275&lt;安値!AC275,安値!AE275&lt;安値!AF275,安値!AE275&lt;安値!AG275),26,""))</f>
        <v>26</v>
      </c>
      <c r="AA275" s="503" t="str">
        <f>IF(終値!A275="","",IF(AND(安値!AF275&lt;安値!AE275,安値!AF275&lt;安値!AD275,安値!AF275&lt;安値!AG275,安値!AF275&lt;安値!AH275),27,""))</f>
        <v/>
      </c>
      <c r="AB275" s="503" t="str">
        <f>IF(終値!A275="","",IF(AND(安値!AG275&lt;安値!AF275,安値!AG275&lt;安値!AE275,安値!AG275&lt;安値!AH275,安値!AG275&lt;安値!AI275),28,""))</f>
        <v/>
      </c>
      <c r="AC275" s="503" t="str">
        <f>IF(終値!A275="","",IF(AND(高値!G275&gt;高値!F275,高値!G275&gt;高値!E275,高値!G275&gt;高値!H275,高値!G275&gt;高値!I275),2,""))</f>
        <v/>
      </c>
      <c r="AD275" s="503" t="str">
        <f>IF(終値!A275="","",IF(AND(高値!H275&gt;高値!G275,高値!H275&gt;高値!F275,高値!H275&gt;高値!I275,高値!H275&gt;高値!J275),3,""))</f>
        <v/>
      </c>
      <c r="AE275" s="503" t="str">
        <f>IF(終値!A275="","",IF(AND(高値!I275&gt;高値!H275,高値!I275&gt;高値!G275,高値!I275&gt;高値!J275,高値!I275&gt;高値!K275),4,""))</f>
        <v/>
      </c>
      <c r="AF275" s="503" t="str">
        <f>IF(終値!A275="","",IF(AND(高値!J275&gt;高値!I275,高値!J275&gt;高値!H275,高値!J275&gt;高値!K275,高値!J275&gt;高値!L275),5,""))</f>
        <v/>
      </c>
      <c r="AG275" s="503" t="str">
        <f>IF(終値!A275="","",IF(AND(高値!K275&gt;高値!J275,高値!K275&gt;高値!I275,高値!K275&gt;高値!L275,高値!K275&gt;高値!M275),6,""))</f>
        <v/>
      </c>
      <c r="AH275" s="503" t="str">
        <f>IF(終値!A275="","",IF(AND(高値!L275&gt;高値!K275,高値!L275&gt;高値!J275,高値!L275&gt;高値!M275,高値!L275&gt;高値!N275),7,""))</f>
        <v/>
      </c>
      <c r="AI275" s="503" t="str">
        <f>IF(終値!A275="","",IF(AND(高値!M275&gt;高値!L275,高値!M275&gt;高値!K275,高値!M275&gt;高値!N275,高値!M275&gt;高値!O275),8,""))</f>
        <v/>
      </c>
      <c r="AJ275" s="503" t="str">
        <f>IF(終値!A275="","",IF(AND(高値!N275&gt;高値!M275,高値!N275&gt;高値!L275,高値!N275&gt;高値!O275,高値!N275&gt;高値!P275),9,""))</f>
        <v/>
      </c>
      <c r="AK275" s="503">
        <f>IF(終値!A275="","",IF(AND(高値!O275&gt;高値!N275,高値!O275&gt;高値!M275,高値!O275&gt;高値!P275,高値!O275&gt;高値!Q275),10,""))</f>
        <v>10</v>
      </c>
      <c r="AL275" s="503" t="str">
        <f>IF(終値!A275="","",IF(AND(高値!P275&gt;高値!O275,高値!P275&gt;高値!N275,高値!P275&gt;高値!Q275,高値!P275&gt;高値!R275),11,""))</f>
        <v/>
      </c>
      <c r="AM275" s="503" t="str">
        <f>IF(終値!A275="","",IF(AND(高値!Q275&gt;高値!P275,高値!Q275&gt;高値!O275,高値!Q275&gt;高値!R275,高値!Q275&gt;高値!S275),12,""))</f>
        <v/>
      </c>
      <c r="AN275" s="503" t="str">
        <f>IF(終値!A275="","",IF(AND(高値!R275&gt;高値!Q275,高値!R275&gt;高値!P275,高値!R275&gt;高値!S275,高値!R275&gt;高値!T275),13,""))</f>
        <v/>
      </c>
      <c r="AO275" s="503">
        <f>IF(終値!A275="","",IF(AND(高値!S275&gt;高値!R275,高値!S275&gt;高値!Q275,高値!S275&gt;高値!T275,高値!S275&gt;高値!U275),14,""))</f>
        <v>14</v>
      </c>
      <c r="AP275" s="503" t="str">
        <f>IF(終値!A275="","",IF(AND(高値!T275&gt;高値!S275,高値!T275&gt;高値!R275,高値!T275&gt;高値!U275,高値!T275&gt;高値!V275),15,""))</f>
        <v/>
      </c>
      <c r="AQ275" s="503" t="str">
        <f>IF(終値!A275="","",IF(AND(高値!U275&gt;高値!T275,高値!U275&gt;高値!S275,高値!U275&gt;高値!V275,高値!U275&gt;高値!W275),16,""))</f>
        <v/>
      </c>
      <c r="AR275" s="503" t="str">
        <f>IF(終値!A275="","",IF(AND(高値!V275&gt;高値!U275,高値!V275&gt;高値!T275,高値!V275&gt;高値!W275,高値!V275&gt;高値!X275),17,""))</f>
        <v/>
      </c>
      <c r="AS275" s="503" t="str">
        <f>IF(終値!A275="","",IF(AND(高値!W275&gt;高値!V275,高値!W275&gt;高値!U275,高値!W275&gt;高値!X275,高値!W275&gt;高値!Y275),18,""))</f>
        <v/>
      </c>
      <c r="AT275" s="503" t="str">
        <f>IF(終値!A275="","",IF(AND(高値!X275&gt;高値!W275,高値!X275&gt;高値!V275,高値!X275&gt;高値!Y275,高値!X275&gt;高値!Z275),19,""))</f>
        <v/>
      </c>
      <c r="AU275" s="503" t="str">
        <f>IF(終値!A275="","",IF(AND(高値!Y275&gt;高値!X275,高値!Y275&gt;高値!W275,高値!Y275&gt;高値!Z275,高値!Y275&gt;高値!AA275),20,""))</f>
        <v/>
      </c>
      <c r="AV275" s="503">
        <f>IF(終値!A275="","",IF(AND(高値!Z275&gt;高値!Y275,高値!Z275&gt;高値!X275,高値!Z275&gt;高値!AA275,高値!Z275&gt;高値!AB275),21,""))</f>
        <v>21</v>
      </c>
      <c r="AW275" s="503" t="str">
        <f>IF(終値!A275="","",IF(AND(高値!AA275&gt;高値!Z275,高値!AA275&gt;高値!Y275,高値!AA275&gt;高値!AB275,高値!AA275&gt;高値!AC275),22,""))</f>
        <v/>
      </c>
      <c r="AX275" s="503" t="str">
        <f>IF(終値!A275="","",IF(AND(高値!AB275&gt;高値!AA275,高値!AB275&gt;高値!Z275,高値!AB275&gt;高値!AC275,高値!AB275&gt;高値!AD275),23,""))</f>
        <v/>
      </c>
      <c r="AY275" s="503" t="str">
        <f>IF(終値!A275="","",IF(AND(高値!AC275&gt;高値!AB275,高値!AC275&gt;高値!AA275,高値!AC275&gt;高値!AD275,高値!AC275&gt;高値!AE275),24,""))</f>
        <v/>
      </c>
      <c r="AZ275" s="503" t="str">
        <f>IF(終値!A275="","",IF(AND(高値!AD275&gt;高値!AC275,高値!AD275&gt;高値!AB275,高値!AD275&gt;高値!AE275,高値!AD275&gt;高値!AF275),25,""))</f>
        <v/>
      </c>
      <c r="BA275" s="503" t="str">
        <f>IF(終値!A275="","",IF(AND(高値!AE275&gt;高値!AD275,高値!AE275&gt;高値!AC275,高値!AE275&gt;高値!AF275,高値!AE275&gt;高値!AG275),26,""))</f>
        <v/>
      </c>
      <c r="BB275" s="503" t="str">
        <f>IF(終値!A275="","",IF(AND(高値!AF275&gt;高値!AE275,高値!AF275&gt;高値!AD275,高値!AF275&gt;高値!AG275,高値!AF275&gt;高値!AH275),27,""))</f>
        <v/>
      </c>
      <c r="BC275" s="503" t="str">
        <f>IF(終値!A275="","",IF(AND(高値!AG275&gt;高値!AF275,高値!AG275&gt;高値!AE275,高値!AG275&gt;高値!AH275,高値!AG275&gt;高値!AI275),28,""))</f>
        <v/>
      </c>
      <c r="BD275" s="503">
        <f t="shared" si="24"/>
        <v>4</v>
      </c>
      <c r="BE275" s="503">
        <f t="shared" si="25"/>
        <v>6</v>
      </c>
      <c r="BF275" s="503">
        <f t="shared" si="26"/>
        <v>13</v>
      </c>
      <c r="BG275" s="503">
        <f>IF($BE275="","",INDEX(安値!$E275:$CZ275,1,$BE275+1))</f>
        <v>1421</v>
      </c>
      <c r="BH275" s="503">
        <f>IF($BF275="","",INDEX(安値!$E275:$CZ275,1,$BF275+1))</f>
        <v>1414</v>
      </c>
      <c r="BI275" s="503">
        <f>IF($BF275="","",MAX(INDEX(高値!$E275:$CZ275,1,$BE275+1):INDEX(高値!$E275:$CZ275,1,$BF275+1)))</f>
        <v>1517</v>
      </c>
      <c r="BJ275" s="503">
        <f>IF($BF275="","",AVERAGE(INDEX(終値!$E275:$CZ275,1,$BF275+1):INDEX(終値!$E275:$CZ275,1,$BF275+20))-2*STDEVP(INDEX(終値!$E275:$CZ275,1,$BF275+1):INDEX(終値!$E275:$CZ275,1,$BF275+20)))</f>
        <v>1397.2933474655072</v>
      </c>
      <c r="BK275" s="503">
        <f>IF($BE275="","",AVERAGE(INDEX(終値!$E275:$CZ275,1,$BE275+1):INDEX(終値!$E275:$CZ275,1,$BE275+20))-2*STDEVP(INDEX(終値!$E275:$CZ275,1,$BE275+1):INDEX(終値!$E275:$CZ275,1,$BE275+20)))</f>
        <v>1440.9319791881553</v>
      </c>
      <c r="BL275" s="503">
        <f t="shared" si="27"/>
        <v>3</v>
      </c>
      <c r="BM275" s="503">
        <f t="shared" si="28"/>
        <v>10</v>
      </c>
      <c r="BN275" s="503">
        <f t="shared" si="29"/>
        <v>14</v>
      </c>
      <c r="BO275" s="503">
        <f>IF($BM275="","",INDEX(高値!$E275:$CZ275,1,$BM275+1))</f>
        <v>1517</v>
      </c>
      <c r="BP275" s="503">
        <f>IF($BN275="","",INDEX(高値!$E275:$CZ275,1,$BN275+1))</f>
        <v>1526</v>
      </c>
      <c r="BQ275" s="503">
        <f>IF($BN275="","",MIN(INDEX(安値!$E275:$CZ275,1,$BM275+1):INDEX(安値!$E275:$CZ275,1,$BN275+1)))</f>
        <v>1414</v>
      </c>
      <c r="BR275" s="503">
        <f>IF($BN275="","",AVERAGE(INDEX(終値!$E275:$CZ275,1,$BN275+1):INDEX(終値!$E275:$CZ275,1,$BN275+20))+2*STDEVP(INDEX(終値!$E275:$CZ275,1,$BN275+1):INDEX(終値!$E275:$CZ275,1,$BN275+20)))</f>
        <v>1669.1136511783627</v>
      </c>
      <c r="BS275" s="503">
        <f>IF($BM275="","",AVERAGE(INDEX(終値!$E275:$CZ275,1,$BM275+1):INDEX(終値!$E275:$CZ275,1,$BM275+20))+2*STDEVP(INDEX(終値!$E275:$CZ275,1,$BM275+1):INDEX(終値!$E275:$CZ275,1,$BM275+20)))</f>
        <v>1555.5542873373549</v>
      </c>
      <c r="BT275" s="500"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v>
      </c>
    </row>
    <row r="276" spans="2:72">
      <c r="B276" s="503" t="str">
        <f>IF(終値!A276="","",IF(AND(安値!G276&lt;安値!F276,安値!G276&lt;安値!E276,安値!G276&lt;安値!H276,安値!G276&lt;安値!I276),2,""))</f>
        <v/>
      </c>
      <c r="C276" s="503" t="str">
        <f>IF(終値!A276="","",IF(AND(安値!H276&lt;安値!G276,安値!H276&lt;安値!F276,安値!H276&lt;安値!I276,安値!H276&lt;安値!J276),3,""))</f>
        <v/>
      </c>
      <c r="D276" s="503" t="str">
        <f>IF(終値!A276="","",IF(AND(安値!I276&lt;安値!H276,安値!I276&lt;安値!G276,安値!I276&lt;安値!J276,安値!I276&lt;安値!K276),4,""))</f>
        <v/>
      </c>
      <c r="E276" s="503" t="str">
        <f>IF(終値!A276="","",IF(AND(安値!J276&lt;安値!I276,安値!J276&lt;安値!H276,安値!J276&lt;安値!K276,安値!J276&lt;安値!L276),5,""))</f>
        <v/>
      </c>
      <c r="F276" s="503" t="str">
        <f>IF(終値!A276="","",IF(AND(安値!K276&lt;安値!J276,安値!K276&lt;安値!I276,安値!K276&lt;安値!L276,安値!K276&lt;安値!M276),6,""))</f>
        <v/>
      </c>
      <c r="G276" s="503">
        <f>IF(終値!A276="","",IF(AND(安値!L276&lt;安値!K276,安値!L276&lt;安値!J276,安値!L276&lt;安値!M276,安値!L276&lt;安値!N276),7,""))</f>
        <v>7</v>
      </c>
      <c r="H276" s="503" t="str">
        <f>IF(終値!A276="","",IF(AND(安値!M276&lt;安値!L276,安値!M276&lt;安値!K276,安値!M276&lt;安値!N276,安値!M276&lt;安値!O276),8,""))</f>
        <v/>
      </c>
      <c r="I276" s="503" t="str">
        <f>IF(終値!A276="","",IF(AND(安値!N276&lt;安値!M276,安値!N276&lt;安値!L276,安値!N276&lt;安値!O276,安値!N276&lt;安値!P276),9,""))</f>
        <v/>
      </c>
      <c r="J276" s="503" t="str">
        <f>IF(終値!A276="","",IF(AND(安値!O276&lt;安値!N276,安値!O276&lt;安値!M276,安値!O276&lt;安値!P276,安値!O276&lt;安値!Q276),10,""))</f>
        <v/>
      </c>
      <c r="K276" s="503" t="str">
        <f>IF(終値!A276="","",IF(AND(安値!P276&lt;安値!O276,安値!P276&lt;安値!N276,安値!P276&lt;安値!Q276,安値!P276&lt;安値!R276),11,""))</f>
        <v/>
      </c>
      <c r="L276" s="503" t="str">
        <f>IF(終値!A276="","",IF(AND(安値!Q276&lt;安値!P276,安値!Q276&lt;安値!O276,安値!Q276&lt;安値!R276,安値!Q276&lt;安値!S276),12,""))</f>
        <v/>
      </c>
      <c r="M276" s="503" t="str">
        <f>IF(終値!A276="","",IF(AND(安値!R276&lt;安値!Q276,安値!R276&lt;安値!P276,安値!R276&lt;安値!S276,安値!R276&lt;安値!T276),13,""))</f>
        <v/>
      </c>
      <c r="N276" s="503" t="str">
        <f>IF(終値!A276="","",IF(AND(安値!S276&lt;安値!R276,安値!S276&lt;安値!Q276,安値!S276&lt;安値!T276,安値!S276&lt;安値!U276),14,""))</f>
        <v/>
      </c>
      <c r="O276" s="503" t="str">
        <f>IF(終値!A276="","",IF(AND(安値!T276&lt;安値!S276,安値!T276&lt;安値!R276,安値!T276&lt;安値!U276,安値!T276&lt;安値!V276),15,""))</f>
        <v/>
      </c>
      <c r="P276" s="503">
        <f>IF(終値!A276="","",IF(AND(安値!U276&lt;安値!T276,安値!U276&lt;安値!S276,安値!U276&lt;安値!V276,安値!U276&lt;安値!W276),16,""))</f>
        <v>16</v>
      </c>
      <c r="Q276" s="503" t="str">
        <f>IF(終値!A276="","",IF(AND(安値!V276&lt;安値!U276,安値!V276&lt;安値!T276,安値!V276&lt;安値!W276,安値!V276&lt;安値!X276),17,""))</f>
        <v/>
      </c>
      <c r="R276" s="503" t="str">
        <f>IF(終値!A276="","",IF(AND(安値!W276&lt;安値!V276,安値!W276&lt;安値!U276,安値!W276&lt;安値!X276,安値!W276&lt;安値!Y276),18,""))</f>
        <v/>
      </c>
      <c r="S276" s="503" t="str">
        <f>IF(終値!A276="","",IF(AND(安値!X276&lt;安値!W276,安値!X276&lt;安値!V276,安値!X276&lt;安値!Y276,安値!X276&lt;安値!Z276),19,""))</f>
        <v/>
      </c>
      <c r="T276" s="503" t="str">
        <f>IF(終値!A276="","",IF(AND(安値!Y276&lt;安値!X276,安値!Y276&lt;安値!W276,安値!Y276&lt;安値!Z276,安値!Y276&lt;安値!AA276),20,""))</f>
        <v/>
      </c>
      <c r="U276" s="503" t="str">
        <f>IF(終値!A276="","",IF(AND(安値!Z276&lt;安値!Y276,安値!Z276&lt;安値!X276,安値!Z276&lt;安値!AA276,安値!Z276&lt;安値!AB276),21,""))</f>
        <v/>
      </c>
      <c r="V276" s="503" t="str">
        <f>IF(終値!A276="","",IF(AND(安値!AA276&lt;安値!Z276,安値!AA276&lt;安値!Y276,安値!AA276&lt;安値!AB276,安値!AA276&lt;安値!AC276),22,""))</f>
        <v/>
      </c>
      <c r="W276" s="503" t="str">
        <f>IF(終値!A276="","",IF(AND(安値!AB276&lt;安値!AA276,安値!AB276&lt;安値!Z276,安値!AB276&lt;安値!AC276,安値!AB276&lt;安値!AD276),23,""))</f>
        <v/>
      </c>
      <c r="X276" s="503" t="str">
        <f>IF(終値!A276="","",IF(AND(安値!AC276&lt;安値!AB276,安値!AC276&lt;安値!AA276,安値!AC276&lt;安値!AD276,安値!AC276&lt;安値!AE276),24,""))</f>
        <v/>
      </c>
      <c r="Y276" s="503">
        <f>IF(終値!A276="","",IF(AND(安値!AD276&lt;安値!AC276,安値!AD276&lt;安値!AB276,安値!AD276&lt;安値!AE276,安値!AD276&lt;安値!AF276),25,""))</f>
        <v>25</v>
      </c>
      <c r="Z276" s="503" t="str">
        <f>IF(終値!A276="","",IF(AND(安値!AE276&lt;安値!AD276,安値!AE276&lt;安値!AC276,安値!AE276&lt;安値!AF276,安値!AE276&lt;安値!AG276),26,""))</f>
        <v/>
      </c>
      <c r="AA276" s="503" t="str">
        <f>IF(終値!A276="","",IF(AND(安値!AF276&lt;安値!AE276,安値!AF276&lt;安値!AD276,安値!AF276&lt;安値!AG276,安値!AF276&lt;安値!AH276),27,""))</f>
        <v/>
      </c>
      <c r="AB276" s="503" t="str">
        <f>IF(終値!A276="","",IF(AND(安値!AG276&lt;安値!AF276,安値!AG276&lt;安値!AE276,安値!AG276&lt;安値!AH276,安値!AG276&lt;安値!AI276),28,""))</f>
        <v/>
      </c>
      <c r="AC276" s="503" t="str">
        <f>IF(終値!A276="","",IF(AND(高値!G276&gt;高値!F276,高値!G276&gt;高値!E276,高値!G276&gt;高値!H276,高値!G276&gt;高値!I276),2,""))</f>
        <v/>
      </c>
      <c r="AD276" s="503" t="str">
        <f>IF(終値!A276="","",IF(AND(高値!H276&gt;高値!G276,高値!H276&gt;高値!F276,高値!H276&gt;高値!I276,高値!H276&gt;高値!J276),3,""))</f>
        <v/>
      </c>
      <c r="AE276" s="503" t="str">
        <f>IF(終値!A276="","",IF(AND(高値!I276&gt;高値!H276,高値!I276&gt;高値!G276,高値!I276&gt;高値!J276,高値!I276&gt;高値!K276),4,""))</f>
        <v/>
      </c>
      <c r="AF276" s="503" t="str">
        <f>IF(終値!A276="","",IF(AND(高値!J276&gt;高値!I276,高値!J276&gt;高値!H276,高値!J276&gt;高値!K276,高値!J276&gt;高値!L276),5,""))</f>
        <v/>
      </c>
      <c r="AG276" s="503" t="str">
        <f>IF(終値!A276="","",IF(AND(高値!K276&gt;高値!J276,高値!K276&gt;高値!I276,高値!K276&gt;高値!L276,高値!K276&gt;高値!M276),6,""))</f>
        <v/>
      </c>
      <c r="AH276" s="503">
        <f>IF(終値!A276="","",IF(AND(高値!L276&gt;高値!K276,高値!L276&gt;高値!J276,高値!L276&gt;高値!M276,高値!L276&gt;高値!N276),7,""))</f>
        <v>7</v>
      </c>
      <c r="AI276" s="503" t="str">
        <f>IF(終値!A276="","",IF(AND(高値!M276&gt;高値!L276,高値!M276&gt;高値!K276,高値!M276&gt;高値!N276,高値!M276&gt;高値!O276),8,""))</f>
        <v/>
      </c>
      <c r="AJ276" s="503" t="str">
        <f>IF(終値!A276="","",IF(AND(高値!N276&gt;高値!M276,高値!N276&gt;高値!L276,高値!N276&gt;高値!O276,高値!N276&gt;高値!P276),9,""))</f>
        <v/>
      </c>
      <c r="AK276" s="503" t="str">
        <f>IF(終値!A276="","",IF(AND(高値!O276&gt;高値!N276,高値!O276&gt;高値!M276,高値!O276&gt;高値!P276,高値!O276&gt;高値!Q276),10,""))</f>
        <v/>
      </c>
      <c r="AL276" s="503" t="str">
        <f>IF(終値!A276="","",IF(AND(高値!P276&gt;高値!O276,高値!P276&gt;高値!N276,高値!P276&gt;高値!Q276,高値!P276&gt;高値!R276),11,""))</f>
        <v/>
      </c>
      <c r="AM276" s="503" t="str">
        <f>IF(終値!A276="","",IF(AND(高値!Q276&gt;高値!P276,高値!Q276&gt;高値!O276,高値!Q276&gt;高値!R276,高値!Q276&gt;高値!S276),12,""))</f>
        <v/>
      </c>
      <c r="AN276" s="503">
        <f>IF(終値!A276="","",IF(AND(高値!R276&gt;高値!Q276,高値!R276&gt;高値!P276,高値!R276&gt;高値!S276,高値!R276&gt;高値!T276),13,""))</f>
        <v>13</v>
      </c>
      <c r="AO276" s="503" t="str">
        <f>IF(終値!A276="","",IF(AND(高値!S276&gt;高値!R276,高値!S276&gt;高値!Q276,高値!S276&gt;高値!T276,高値!S276&gt;高値!U276),14,""))</f>
        <v/>
      </c>
      <c r="AP276" s="503" t="str">
        <f>IF(終値!A276="","",IF(AND(高値!T276&gt;高値!S276,高値!T276&gt;高値!R276,高値!T276&gt;高値!U276,高値!T276&gt;高値!V276),15,""))</f>
        <v/>
      </c>
      <c r="AQ276" s="503" t="str">
        <f>IF(終値!A276="","",IF(AND(高値!U276&gt;高値!T276,高値!U276&gt;高値!S276,高値!U276&gt;高値!V276,高値!U276&gt;高値!W276),16,""))</f>
        <v/>
      </c>
      <c r="AR276" s="503" t="str">
        <f>IF(終値!A276="","",IF(AND(高値!V276&gt;高値!U276,高値!V276&gt;高値!T276,高値!V276&gt;高値!W276,高値!V276&gt;高値!X276),17,""))</f>
        <v/>
      </c>
      <c r="AS276" s="503" t="str">
        <f>IF(終値!A276="","",IF(AND(高値!W276&gt;高値!V276,高値!W276&gt;高値!U276,高値!W276&gt;高値!X276,高値!W276&gt;高値!Y276),18,""))</f>
        <v/>
      </c>
      <c r="AT276" s="503" t="str">
        <f>IF(終値!A276="","",IF(AND(高値!X276&gt;高値!W276,高値!X276&gt;高値!V276,高値!X276&gt;高値!Y276,高値!X276&gt;高値!Z276),19,""))</f>
        <v/>
      </c>
      <c r="AU276" s="503" t="str">
        <f>IF(終値!A276="","",IF(AND(高値!Y276&gt;高値!X276,高値!Y276&gt;高値!W276,高値!Y276&gt;高値!Z276,高値!Y276&gt;高値!AA276),20,""))</f>
        <v/>
      </c>
      <c r="AV276" s="503">
        <f>IF(終値!A276="","",IF(AND(高値!Z276&gt;高値!Y276,高値!Z276&gt;高値!X276,高値!Z276&gt;高値!AA276,高値!Z276&gt;高値!AB276),21,""))</f>
        <v>21</v>
      </c>
      <c r="AW276" s="503" t="str">
        <f>IF(終値!A276="","",IF(AND(高値!AA276&gt;高値!Z276,高値!AA276&gt;高値!Y276,高値!AA276&gt;高値!AB276,高値!AA276&gt;高値!AC276),22,""))</f>
        <v/>
      </c>
      <c r="AX276" s="503" t="str">
        <f>IF(終値!A276="","",IF(AND(高値!AB276&gt;高値!AA276,高値!AB276&gt;高値!Z276,高値!AB276&gt;高値!AC276,高値!AB276&gt;高値!AD276),23,""))</f>
        <v/>
      </c>
      <c r="AY276" s="503" t="str">
        <f>IF(終値!A276="","",IF(AND(高値!AC276&gt;高値!AB276,高値!AC276&gt;高値!AA276,高値!AC276&gt;高値!AD276,高値!AC276&gt;高値!AE276),24,""))</f>
        <v/>
      </c>
      <c r="AZ276" s="503" t="str">
        <f>IF(終値!A276="","",IF(AND(高値!AD276&gt;高値!AC276,高値!AD276&gt;高値!AB276,高値!AD276&gt;高値!AE276,高値!AD276&gt;高値!AF276),25,""))</f>
        <v/>
      </c>
      <c r="BA276" s="503" t="str">
        <f>IF(終値!A276="","",IF(AND(高値!AE276&gt;高値!AD276,高値!AE276&gt;高値!AC276,高値!AE276&gt;高値!AF276,高値!AE276&gt;高値!AG276),26,""))</f>
        <v/>
      </c>
      <c r="BB276" s="503">
        <f>IF(終値!A276="","",IF(AND(高値!AF276&gt;高値!AE276,高値!AF276&gt;高値!AD276,高値!AF276&gt;高値!AG276,高値!AF276&gt;高値!AH276),27,""))</f>
        <v>27</v>
      </c>
      <c r="BC276" s="503" t="str">
        <f>IF(終値!A276="","",IF(AND(高値!AG276&gt;高値!AF276,高値!AG276&gt;高値!AE276,高値!AG276&gt;高値!AH276,高値!AG276&gt;高値!AI276),28,""))</f>
        <v/>
      </c>
      <c r="BD276" s="503">
        <f t="shared" si="24"/>
        <v>3</v>
      </c>
      <c r="BE276" s="503">
        <f t="shared" si="25"/>
        <v>7</v>
      </c>
      <c r="BF276" s="503">
        <f t="shared" si="26"/>
        <v>16</v>
      </c>
      <c r="BG276" s="503">
        <f>IF($BE276="","",INDEX(安値!$E276:$CZ276,1,$BE276+1))</f>
        <v>3200</v>
      </c>
      <c r="BH276" s="503">
        <f>IF($BF276="","",INDEX(安値!$E276:$CZ276,1,$BF276+1))</f>
        <v>3110</v>
      </c>
      <c r="BI276" s="503">
        <f>IF($BF276="","",MAX(INDEX(高値!$E276:$CZ276,1,$BE276+1):INDEX(高値!$E276:$CZ276,1,$BF276+1)))</f>
        <v>3465</v>
      </c>
      <c r="BJ276" s="503">
        <f>IF($BF276="","",AVERAGE(INDEX(終値!$E276:$CZ276,1,$BF276+1):INDEX(終値!$E276:$CZ276,1,$BF276+20))-2*STDEVP(INDEX(終値!$E276:$CZ276,1,$BF276+1):INDEX(終値!$E276:$CZ276,1,$BF276+20)))</f>
        <v>3151.8738496997457</v>
      </c>
      <c r="BK276" s="503">
        <f>IF($BE276="","",AVERAGE(INDEX(終値!$E276:$CZ276,1,$BE276+1):INDEX(終値!$E276:$CZ276,1,$BE276+20))-2*STDEVP(INDEX(終値!$E276:$CZ276,1,$BE276+1):INDEX(終値!$E276:$CZ276,1,$BE276+20)))</f>
        <v>3147.0414383836551</v>
      </c>
      <c r="BL276" s="503">
        <f t="shared" si="27"/>
        <v>4</v>
      </c>
      <c r="BM276" s="503">
        <f t="shared" si="28"/>
        <v>7</v>
      </c>
      <c r="BN276" s="503">
        <f t="shared" si="29"/>
        <v>13</v>
      </c>
      <c r="BO276" s="503">
        <f>IF($BM276="","",INDEX(高値!$E276:$CZ276,1,$BM276+1))</f>
        <v>3465</v>
      </c>
      <c r="BP276" s="503">
        <f>IF($BN276="","",INDEX(高値!$E276:$CZ276,1,$BN276+1))</f>
        <v>3320</v>
      </c>
      <c r="BQ276" s="503">
        <f>IF($BN276="","",MIN(INDEX(安値!$E276:$CZ276,1,$BM276+1):INDEX(安値!$E276:$CZ276,1,$BN276+1)))</f>
        <v>3150</v>
      </c>
      <c r="BR276" s="503">
        <f>IF($BN276="","",AVERAGE(INDEX(終値!$E276:$CZ276,1,$BN276+1):INDEX(終値!$E276:$CZ276,1,$BN276+20))+2*STDEVP(INDEX(終値!$E276:$CZ276,1,$BN276+1):INDEX(終値!$E276:$CZ276,1,$BN276+20)))</f>
        <v>3353.5308847396436</v>
      </c>
      <c r="BS276" s="503">
        <f>IF($BM276="","",AVERAGE(INDEX(終値!$E276:$CZ276,1,$BM276+1):INDEX(終値!$E276:$CZ276,1,$BM276+20))+2*STDEVP(INDEX(終値!$E276:$CZ276,1,$BM276+1):INDEX(終値!$E276:$CZ276,1,$BM276+20)))</f>
        <v>3321.9585616163449</v>
      </c>
      <c r="BT276" s="500"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v>
      </c>
    </row>
    <row r="277" spans="2:72">
      <c r="B277" s="503" t="str">
        <f>IF(終値!A277="","",IF(AND(安値!G277&lt;安値!F277,安値!G277&lt;安値!E277,安値!G277&lt;安値!H277,安値!G277&lt;安値!I277),2,""))</f>
        <v/>
      </c>
      <c r="C277" s="503">
        <f>IF(終値!A277="","",IF(AND(安値!H277&lt;安値!G277,安値!H277&lt;安値!F277,安値!H277&lt;安値!I277,安値!H277&lt;安値!J277),3,""))</f>
        <v>3</v>
      </c>
      <c r="D277" s="503" t="str">
        <f>IF(終値!A277="","",IF(AND(安値!I277&lt;安値!H277,安値!I277&lt;安値!G277,安値!I277&lt;安値!J277,安値!I277&lt;安値!K277),4,""))</f>
        <v/>
      </c>
      <c r="E277" s="503" t="str">
        <f>IF(終値!A277="","",IF(AND(安値!J277&lt;安値!I277,安値!J277&lt;安値!H277,安値!J277&lt;安値!K277,安値!J277&lt;安値!L277),5,""))</f>
        <v/>
      </c>
      <c r="F277" s="503" t="str">
        <f>IF(終値!A277="","",IF(AND(安値!K277&lt;安値!J277,安値!K277&lt;安値!I277,安値!K277&lt;安値!L277,安値!K277&lt;安値!M277),6,""))</f>
        <v/>
      </c>
      <c r="G277" s="503" t="str">
        <f>IF(終値!A277="","",IF(AND(安値!L277&lt;安値!K277,安値!L277&lt;安値!J277,安値!L277&lt;安値!M277,安値!L277&lt;安値!N277),7,""))</f>
        <v/>
      </c>
      <c r="H277" s="503" t="str">
        <f>IF(終値!A277="","",IF(AND(安値!M277&lt;安値!L277,安値!M277&lt;安値!K277,安値!M277&lt;安値!N277,安値!M277&lt;安値!O277),8,""))</f>
        <v/>
      </c>
      <c r="I277" s="503">
        <f>IF(終値!A277="","",IF(AND(安値!N277&lt;安値!M277,安値!N277&lt;安値!L277,安値!N277&lt;安値!O277,安値!N277&lt;安値!P277),9,""))</f>
        <v>9</v>
      </c>
      <c r="J277" s="503" t="str">
        <f>IF(終値!A277="","",IF(AND(安値!O277&lt;安値!N277,安値!O277&lt;安値!M277,安値!O277&lt;安値!P277,安値!O277&lt;安値!Q277),10,""))</f>
        <v/>
      </c>
      <c r="K277" s="503" t="str">
        <f>IF(終値!A277="","",IF(AND(安値!P277&lt;安値!O277,安値!P277&lt;安値!N277,安値!P277&lt;安値!Q277,安値!P277&lt;安値!R277),11,""))</f>
        <v/>
      </c>
      <c r="L277" s="503" t="str">
        <f>IF(終値!A277="","",IF(AND(安値!Q277&lt;安値!P277,安値!Q277&lt;安値!O277,安値!Q277&lt;安値!R277,安値!Q277&lt;安値!S277),12,""))</f>
        <v/>
      </c>
      <c r="M277" s="503">
        <f>IF(終値!A277="","",IF(AND(安値!R277&lt;安値!Q277,安値!R277&lt;安値!P277,安値!R277&lt;安値!S277,安値!R277&lt;安値!T277),13,""))</f>
        <v>13</v>
      </c>
      <c r="N277" s="503" t="str">
        <f>IF(終値!A277="","",IF(AND(安値!S277&lt;安値!R277,安値!S277&lt;安値!Q277,安値!S277&lt;安値!T277,安値!S277&lt;安値!U277),14,""))</f>
        <v/>
      </c>
      <c r="O277" s="503" t="str">
        <f>IF(終値!A277="","",IF(AND(安値!T277&lt;安値!S277,安値!T277&lt;安値!R277,安値!T277&lt;安値!U277,安値!T277&lt;安値!V277),15,""))</f>
        <v/>
      </c>
      <c r="P277" s="503">
        <f>IF(終値!A277="","",IF(AND(安値!U277&lt;安値!T277,安値!U277&lt;安値!S277,安値!U277&lt;安値!V277,安値!U277&lt;安値!W277),16,""))</f>
        <v>16</v>
      </c>
      <c r="Q277" s="503" t="str">
        <f>IF(終値!A277="","",IF(AND(安値!V277&lt;安値!U277,安値!V277&lt;安値!T277,安値!V277&lt;安値!W277,安値!V277&lt;安値!X277),17,""))</f>
        <v/>
      </c>
      <c r="R277" s="503" t="str">
        <f>IF(終値!A277="","",IF(AND(安値!W277&lt;安値!V277,安値!W277&lt;安値!U277,安値!W277&lt;安値!X277,安値!W277&lt;安値!Y277),18,""))</f>
        <v/>
      </c>
      <c r="S277" s="503" t="str">
        <f>IF(終値!A277="","",IF(AND(安値!X277&lt;安値!W277,安値!X277&lt;安値!V277,安値!X277&lt;安値!Y277,安値!X277&lt;安値!Z277),19,""))</f>
        <v/>
      </c>
      <c r="T277" s="503" t="str">
        <f>IF(終値!A277="","",IF(AND(安値!Y277&lt;安値!X277,安値!Y277&lt;安値!W277,安値!Y277&lt;安値!Z277,安値!Y277&lt;安値!AA277),20,""))</f>
        <v/>
      </c>
      <c r="U277" s="503" t="str">
        <f>IF(終値!A277="","",IF(AND(安値!Z277&lt;安値!Y277,安値!Z277&lt;安値!X277,安値!Z277&lt;安値!AA277,安値!Z277&lt;安値!AB277),21,""))</f>
        <v/>
      </c>
      <c r="V277" s="503" t="str">
        <f>IF(終値!A277="","",IF(AND(安値!AA277&lt;安値!Z277,安値!AA277&lt;安値!Y277,安値!AA277&lt;安値!AB277,安値!AA277&lt;安値!AC277),22,""))</f>
        <v/>
      </c>
      <c r="W277" s="503" t="str">
        <f>IF(終値!A277="","",IF(AND(安値!AB277&lt;安値!AA277,安値!AB277&lt;安値!Z277,安値!AB277&lt;安値!AC277,安値!AB277&lt;安値!AD277),23,""))</f>
        <v/>
      </c>
      <c r="X277" s="503" t="str">
        <f>IF(終値!A277="","",IF(AND(安値!AC277&lt;安値!AB277,安値!AC277&lt;安値!AA277,安値!AC277&lt;安値!AD277,安値!AC277&lt;安値!AE277),24,""))</f>
        <v/>
      </c>
      <c r="Y277" s="503" t="str">
        <f>IF(終値!A277="","",IF(AND(安値!AD277&lt;安値!AC277,安値!AD277&lt;安値!AB277,安値!AD277&lt;安値!AE277,安値!AD277&lt;安値!AF277),25,""))</f>
        <v/>
      </c>
      <c r="Z277" s="503" t="str">
        <f>IF(終値!A277="","",IF(AND(安値!AE277&lt;安値!AD277,安値!AE277&lt;安値!AC277,安値!AE277&lt;安値!AF277,安値!AE277&lt;安値!AG277),26,""))</f>
        <v/>
      </c>
      <c r="AA277" s="503" t="str">
        <f>IF(終値!A277="","",IF(AND(安値!AF277&lt;安値!AE277,安値!AF277&lt;安値!AD277,安値!AF277&lt;安値!AG277,安値!AF277&lt;安値!AH277),27,""))</f>
        <v/>
      </c>
      <c r="AB277" s="503" t="str">
        <f>IF(終値!A277="","",IF(AND(安値!AG277&lt;安値!AF277,安値!AG277&lt;安値!AE277,安値!AG277&lt;安値!AH277,安値!AG277&lt;安値!AI277),28,""))</f>
        <v/>
      </c>
      <c r="AC277" s="503" t="str">
        <f>IF(終値!A277="","",IF(AND(高値!G277&gt;高値!F277,高値!G277&gt;高値!E277,高値!G277&gt;高値!H277,高値!G277&gt;高値!I277),2,""))</f>
        <v/>
      </c>
      <c r="AD277" s="503" t="str">
        <f>IF(終値!A277="","",IF(AND(高値!H277&gt;高値!G277,高値!H277&gt;高値!F277,高値!H277&gt;高値!I277,高値!H277&gt;高値!J277),3,""))</f>
        <v/>
      </c>
      <c r="AE277" s="503">
        <f>IF(終値!A277="","",IF(AND(高値!I277&gt;高値!H277,高値!I277&gt;高値!G277,高値!I277&gt;高値!J277,高値!I277&gt;高値!K277),4,""))</f>
        <v>4</v>
      </c>
      <c r="AF277" s="503" t="str">
        <f>IF(終値!A277="","",IF(AND(高値!J277&gt;高値!I277,高値!J277&gt;高値!H277,高値!J277&gt;高値!K277,高値!J277&gt;高値!L277),5,""))</f>
        <v/>
      </c>
      <c r="AG277" s="503" t="str">
        <f>IF(終値!A277="","",IF(AND(高値!K277&gt;高値!J277,高値!K277&gt;高値!I277,高値!K277&gt;高値!L277,高値!K277&gt;高値!M277),6,""))</f>
        <v/>
      </c>
      <c r="AH277" s="503" t="str">
        <f>IF(終値!A277="","",IF(AND(高値!L277&gt;高値!K277,高値!L277&gt;高値!J277,高値!L277&gt;高値!M277,高値!L277&gt;高値!N277),7,""))</f>
        <v/>
      </c>
      <c r="AI277" s="503" t="str">
        <f>IF(終値!A277="","",IF(AND(高値!M277&gt;高値!L277,高値!M277&gt;高値!K277,高値!M277&gt;高値!N277,高値!M277&gt;高値!O277),8,""))</f>
        <v/>
      </c>
      <c r="AJ277" s="503" t="str">
        <f>IF(終値!A277="","",IF(AND(高値!N277&gt;高値!M277,高値!N277&gt;高値!L277,高値!N277&gt;高値!O277,高値!N277&gt;高値!P277),9,""))</f>
        <v/>
      </c>
      <c r="AK277" s="503" t="str">
        <f>IF(終値!A277="","",IF(AND(高値!O277&gt;高値!N277,高値!O277&gt;高値!M277,高値!O277&gt;高値!P277,高値!O277&gt;高値!Q277),10,""))</f>
        <v/>
      </c>
      <c r="AL277" s="503" t="str">
        <f>IF(終値!A277="","",IF(AND(高値!P277&gt;高値!O277,高値!P277&gt;高値!N277,高値!P277&gt;高値!Q277,高値!P277&gt;高値!R277),11,""))</f>
        <v/>
      </c>
      <c r="AM277" s="503" t="str">
        <f>IF(終値!A277="","",IF(AND(高値!Q277&gt;高値!P277,高値!Q277&gt;高値!O277,高値!Q277&gt;高値!R277,高値!Q277&gt;高値!S277),12,""))</f>
        <v/>
      </c>
      <c r="AN277" s="503" t="str">
        <f>IF(終値!A277="","",IF(AND(高値!R277&gt;高値!Q277,高値!R277&gt;高値!P277,高値!R277&gt;高値!S277,高値!R277&gt;高値!T277),13,""))</f>
        <v/>
      </c>
      <c r="AO277" s="503" t="str">
        <f>IF(終値!A277="","",IF(AND(高値!S277&gt;高値!R277,高値!S277&gt;高値!Q277,高値!S277&gt;高値!T277,高値!S277&gt;高値!U277),14,""))</f>
        <v/>
      </c>
      <c r="AP277" s="503" t="str">
        <f>IF(終値!A277="","",IF(AND(高値!T277&gt;高値!S277,高値!T277&gt;高値!R277,高値!T277&gt;高値!U277,高値!T277&gt;高値!V277),15,""))</f>
        <v/>
      </c>
      <c r="AQ277" s="503" t="str">
        <f>IF(終値!A277="","",IF(AND(高値!U277&gt;高値!T277,高値!U277&gt;高値!S277,高値!U277&gt;高値!V277,高値!U277&gt;高値!W277),16,""))</f>
        <v/>
      </c>
      <c r="AR277" s="503">
        <f>IF(終値!A277="","",IF(AND(高値!V277&gt;高値!U277,高値!V277&gt;高値!T277,高値!V277&gt;高値!W277,高値!V277&gt;高値!X277),17,""))</f>
        <v>17</v>
      </c>
      <c r="AS277" s="503" t="str">
        <f>IF(終値!A277="","",IF(AND(高値!W277&gt;高値!V277,高値!W277&gt;高値!U277,高値!W277&gt;高値!X277,高値!W277&gt;高値!Y277),18,""))</f>
        <v/>
      </c>
      <c r="AT277" s="503" t="str">
        <f>IF(終値!A277="","",IF(AND(高値!X277&gt;高値!W277,高値!X277&gt;高値!V277,高値!X277&gt;高値!Y277,高値!X277&gt;高値!Z277),19,""))</f>
        <v/>
      </c>
      <c r="AU277" s="503">
        <f>IF(終値!A277="","",IF(AND(高値!Y277&gt;高値!X277,高値!Y277&gt;高値!W277,高値!Y277&gt;高値!Z277,高値!Y277&gt;高値!AA277),20,""))</f>
        <v>20</v>
      </c>
      <c r="AV277" s="503" t="str">
        <f>IF(終値!A277="","",IF(AND(高値!Z277&gt;高値!Y277,高値!Z277&gt;高値!X277,高値!Z277&gt;高値!AA277,高値!Z277&gt;高値!AB277),21,""))</f>
        <v/>
      </c>
      <c r="AW277" s="503" t="str">
        <f>IF(終値!A277="","",IF(AND(高値!AA277&gt;高値!Z277,高値!AA277&gt;高値!Y277,高値!AA277&gt;高値!AB277,高値!AA277&gt;高値!AC277),22,""))</f>
        <v/>
      </c>
      <c r="AX277" s="503" t="str">
        <f>IF(終値!A277="","",IF(AND(高値!AB277&gt;高値!AA277,高値!AB277&gt;高値!Z277,高値!AB277&gt;高値!AC277,高値!AB277&gt;高値!AD277),23,""))</f>
        <v/>
      </c>
      <c r="AY277" s="503" t="str">
        <f>IF(終値!A277="","",IF(AND(高値!AC277&gt;高値!AB277,高値!AC277&gt;高値!AA277,高値!AC277&gt;高値!AD277,高値!AC277&gt;高値!AE277),24,""))</f>
        <v/>
      </c>
      <c r="AZ277" s="503" t="str">
        <f>IF(終値!A277="","",IF(AND(高値!AD277&gt;高値!AC277,高値!AD277&gt;高値!AB277,高値!AD277&gt;高値!AE277,高値!AD277&gt;高値!AF277),25,""))</f>
        <v/>
      </c>
      <c r="BA277" s="503" t="str">
        <f>IF(終値!A277="","",IF(AND(高値!AE277&gt;高値!AD277,高値!AE277&gt;高値!AC277,高値!AE277&gt;高値!AF277,高値!AE277&gt;高値!AG277),26,""))</f>
        <v/>
      </c>
      <c r="BB277" s="503" t="str">
        <f>IF(終値!A277="","",IF(AND(高値!AF277&gt;高値!AE277,高値!AF277&gt;高値!AD277,高値!AF277&gt;高値!AG277,高値!AF277&gt;高値!AH277),27,""))</f>
        <v/>
      </c>
      <c r="BC277" s="503">
        <f>IF(終値!A277="","",IF(AND(高値!AG277&gt;高値!AF277,高値!AG277&gt;高値!AE277,高値!AG277&gt;高値!AH277,高値!AG277&gt;高値!AI277),28,""))</f>
        <v>28</v>
      </c>
      <c r="BD277" s="503">
        <f t="shared" si="24"/>
        <v>4</v>
      </c>
      <c r="BE277" s="503">
        <f t="shared" si="25"/>
        <v>3</v>
      </c>
      <c r="BF277" s="503">
        <f t="shared" si="26"/>
        <v>9</v>
      </c>
      <c r="BG277" s="503">
        <f>IF($BE277="","",INDEX(安値!$E277:$CZ277,1,$BE277+1))</f>
        <v>3960</v>
      </c>
      <c r="BH277" s="503">
        <f>IF($BF277="","",INDEX(安値!$E277:$CZ277,1,$BF277+1))</f>
        <v>0</v>
      </c>
      <c r="BI277" s="503">
        <f>IF($BF277="","",MAX(INDEX(高値!$E277:$CZ277,1,$BE277+1):INDEX(高値!$E277:$CZ277,1,$BF277+1)))</f>
        <v>4090</v>
      </c>
      <c r="BJ277" s="503">
        <f>IF($BF277="","",AVERAGE(INDEX(終値!$E277:$CZ277,1,$BF277+1):INDEX(終値!$E277:$CZ277,1,$BF277+20))-2*STDEVP(INDEX(終値!$E277:$CZ277,1,$BF277+1):INDEX(終値!$E277:$CZ277,1,$BF277+20)))</f>
        <v>3827.2255276298365</v>
      </c>
      <c r="BK277" s="503">
        <f>IF($BE277="","",AVERAGE(INDEX(終値!$E277:$CZ277,1,$BE277+1):INDEX(終値!$E277:$CZ277,1,$BE277+20))-2*STDEVP(INDEX(終値!$E277:$CZ277,1,$BE277+1):INDEX(終値!$E277:$CZ277,1,$BE277+20)))</f>
        <v>3931.142757546646</v>
      </c>
      <c r="BL277" s="503">
        <f t="shared" si="27"/>
        <v>4</v>
      </c>
      <c r="BM277" s="503">
        <f t="shared" si="28"/>
        <v>4</v>
      </c>
      <c r="BN277" s="503">
        <f t="shared" si="29"/>
        <v>17</v>
      </c>
      <c r="BO277" s="503">
        <f>IF($BM277="","",INDEX(高値!$E277:$CZ277,1,$BM277+1))</f>
        <v>4090</v>
      </c>
      <c r="BP277" s="503">
        <f>IF($BN277="","",INDEX(高値!$E277:$CZ277,1,$BN277+1))</f>
        <v>4075</v>
      </c>
      <c r="BQ277" s="503">
        <f>IF($BN277="","",MIN(INDEX(安値!$E277:$CZ277,1,$BM277+1):INDEX(安値!$E277:$CZ277,1,$BN277+1)))</f>
        <v>3900</v>
      </c>
      <c r="BR277" s="503">
        <f>IF($BN277="","",AVERAGE(INDEX(終値!$E277:$CZ277,1,$BN277+1):INDEX(終値!$E277:$CZ277,1,$BN277+20))+2*STDEVP(INDEX(終値!$E277:$CZ277,1,$BN277+1):INDEX(終値!$E277:$CZ277,1,$BN277+20)))</f>
        <v>4068.5542367441963</v>
      </c>
      <c r="BS277" s="503">
        <f>IF($BM277="","",AVERAGE(INDEX(終値!$E277:$CZ277,1,$BM277+1):INDEX(終値!$E277:$CZ277,1,$BM277+20))+2*STDEVP(INDEX(終値!$E277:$CZ277,1,$BM277+1):INDEX(終値!$E277:$CZ277,1,$BM277+20)))</f>
        <v>4091.3729784132479</v>
      </c>
      <c r="BT277" s="500"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v>
      </c>
    </row>
    <row r="278" spans="2:72">
      <c r="B278" s="503">
        <f>IF(終値!A278="","",IF(AND(安値!G278&lt;安値!F278,安値!G278&lt;安値!E278,安値!G278&lt;安値!H278,安値!G278&lt;安値!I278),2,""))</f>
        <v>2</v>
      </c>
      <c r="C278" s="503" t="str">
        <f>IF(終値!A278="","",IF(AND(安値!H278&lt;安値!G278,安値!H278&lt;安値!F278,安値!H278&lt;安値!I278,安値!H278&lt;安値!J278),3,""))</f>
        <v/>
      </c>
      <c r="D278" s="503" t="str">
        <f>IF(終値!A278="","",IF(AND(安値!I278&lt;安値!H278,安値!I278&lt;安値!G278,安値!I278&lt;安値!J278,安値!I278&lt;安値!K278),4,""))</f>
        <v/>
      </c>
      <c r="E278" s="503" t="str">
        <f>IF(終値!A278="","",IF(AND(安値!J278&lt;安値!I278,安値!J278&lt;安値!H278,安値!J278&lt;安値!K278,安値!J278&lt;安値!L278),5,""))</f>
        <v/>
      </c>
      <c r="F278" s="503" t="str">
        <f>IF(終値!A278="","",IF(AND(安値!K278&lt;安値!J278,安値!K278&lt;安値!I278,安値!K278&lt;安値!L278,安値!K278&lt;安値!M278),6,""))</f>
        <v/>
      </c>
      <c r="G278" s="503" t="str">
        <f>IF(終値!A278="","",IF(AND(安値!L278&lt;安値!K278,安値!L278&lt;安値!J278,安値!L278&lt;安値!M278,安値!L278&lt;安値!N278),7,""))</f>
        <v/>
      </c>
      <c r="H278" s="503" t="str">
        <f>IF(終値!A278="","",IF(AND(安値!M278&lt;安値!L278,安値!M278&lt;安値!K278,安値!M278&lt;安値!N278,安値!M278&lt;安値!O278),8,""))</f>
        <v/>
      </c>
      <c r="I278" s="503">
        <f>IF(終値!A278="","",IF(AND(安値!N278&lt;安値!M278,安値!N278&lt;安値!L278,安値!N278&lt;安値!O278,安値!N278&lt;安値!P278),9,""))</f>
        <v>9</v>
      </c>
      <c r="J278" s="503" t="str">
        <f>IF(終値!A278="","",IF(AND(安値!O278&lt;安値!N278,安値!O278&lt;安値!M278,安値!O278&lt;安値!P278,安値!O278&lt;安値!Q278),10,""))</f>
        <v/>
      </c>
      <c r="K278" s="503" t="str">
        <f>IF(終値!A278="","",IF(AND(安値!P278&lt;安値!O278,安値!P278&lt;安値!N278,安値!P278&lt;安値!Q278,安値!P278&lt;安値!R278),11,""))</f>
        <v/>
      </c>
      <c r="L278" s="503" t="str">
        <f>IF(終値!A278="","",IF(AND(安値!Q278&lt;安値!P278,安値!Q278&lt;安値!O278,安値!Q278&lt;安値!R278,安値!Q278&lt;安値!S278),12,""))</f>
        <v/>
      </c>
      <c r="M278" s="503">
        <f>IF(終値!A278="","",IF(AND(安値!R278&lt;安値!Q278,安値!R278&lt;安値!P278,安値!R278&lt;安値!S278,安値!R278&lt;安値!T278),13,""))</f>
        <v>13</v>
      </c>
      <c r="N278" s="503" t="str">
        <f>IF(終値!A278="","",IF(AND(安値!S278&lt;安値!R278,安値!S278&lt;安値!Q278,安値!S278&lt;安値!T278,安値!S278&lt;安値!U278),14,""))</f>
        <v/>
      </c>
      <c r="O278" s="503" t="str">
        <f>IF(終値!A278="","",IF(AND(安値!T278&lt;安値!S278,安値!T278&lt;安値!R278,安値!T278&lt;安値!U278,安値!T278&lt;安値!V278),15,""))</f>
        <v/>
      </c>
      <c r="P278" s="503">
        <f>IF(終値!A278="","",IF(AND(安値!U278&lt;安値!T278,安値!U278&lt;安値!S278,安値!U278&lt;安値!V278,安値!U278&lt;安値!W278),16,""))</f>
        <v>16</v>
      </c>
      <c r="Q278" s="503" t="str">
        <f>IF(終値!A278="","",IF(AND(安値!V278&lt;安値!U278,安値!V278&lt;安値!T278,安値!V278&lt;安値!W278,安値!V278&lt;安値!X278),17,""))</f>
        <v/>
      </c>
      <c r="R278" s="503" t="str">
        <f>IF(終値!A278="","",IF(AND(安値!W278&lt;安値!V278,安値!W278&lt;安値!U278,安値!W278&lt;安値!X278,安値!W278&lt;安値!Y278),18,""))</f>
        <v/>
      </c>
      <c r="S278" s="503" t="str">
        <f>IF(終値!A278="","",IF(AND(安値!X278&lt;安値!W278,安値!X278&lt;安値!V278,安値!X278&lt;安値!Y278,安値!X278&lt;安値!Z278),19,""))</f>
        <v/>
      </c>
      <c r="T278" s="503" t="str">
        <f>IF(終値!A278="","",IF(AND(安値!Y278&lt;安値!X278,安値!Y278&lt;安値!W278,安値!Y278&lt;安値!Z278,安値!Y278&lt;安値!AA278),20,""))</f>
        <v/>
      </c>
      <c r="U278" s="503" t="str">
        <f>IF(終値!A278="","",IF(AND(安値!Z278&lt;安値!Y278,安値!Z278&lt;安値!X278,安値!Z278&lt;安値!AA278,安値!Z278&lt;安値!AB278),21,""))</f>
        <v/>
      </c>
      <c r="V278" s="503" t="str">
        <f>IF(終値!A278="","",IF(AND(安値!AA278&lt;安値!Z278,安値!AA278&lt;安値!Y278,安値!AA278&lt;安値!AB278,安値!AA278&lt;安値!AC278),22,""))</f>
        <v/>
      </c>
      <c r="W278" s="503" t="str">
        <f>IF(終値!A278="","",IF(AND(安値!AB278&lt;安値!AA278,安値!AB278&lt;安値!Z278,安値!AB278&lt;安値!AC278,安値!AB278&lt;安値!AD278),23,""))</f>
        <v/>
      </c>
      <c r="X278" s="503">
        <f>IF(終値!A278="","",IF(AND(安値!AC278&lt;安値!AB278,安値!AC278&lt;安値!AA278,安値!AC278&lt;安値!AD278,安値!AC278&lt;安値!AE278),24,""))</f>
        <v>24</v>
      </c>
      <c r="Y278" s="503" t="str">
        <f>IF(終値!A278="","",IF(AND(安値!AD278&lt;安値!AC278,安値!AD278&lt;安値!AB278,安値!AD278&lt;安値!AE278,安値!AD278&lt;安値!AF278),25,""))</f>
        <v/>
      </c>
      <c r="Z278" s="503" t="str">
        <f>IF(終値!A278="","",IF(AND(安値!AE278&lt;安値!AD278,安値!AE278&lt;安値!AC278,安値!AE278&lt;安値!AF278,安値!AE278&lt;安値!AG278),26,""))</f>
        <v/>
      </c>
      <c r="AA278" s="503" t="str">
        <f>IF(終値!A278="","",IF(AND(安値!AF278&lt;安値!AE278,安値!AF278&lt;安値!AD278,安値!AF278&lt;安値!AG278,安値!AF278&lt;安値!AH278),27,""))</f>
        <v/>
      </c>
      <c r="AB278" s="503" t="str">
        <f>IF(終値!A278="","",IF(AND(安値!AG278&lt;安値!AF278,安値!AG278&lt;安値!AE278,安値!AG278&lt;安値!AH278,安値!AG278&lt;安値!AI278),28,""))</f>
        <v/>
      </c>
      <c r="AC278" s="503" t="str">
        <f>IF(終値!A278="","",IF(AND(高値!G278&gt;高値!F278,高値!G278&gt;高値!E278,高値!G278&gt;高値!H278,高値!G278&gt;高値!I278),2,""))</f>
        <v/>
      </c>
      <c r="AD278" s="503" t="str">
        <f>IF(終値!A278="","",IF(AND(高値!H278&gt;高値!G278,高値!H278&gt;高値!F278,高値!H278&gt;高値!I278,高値!H278&gt;高値!J278),3,""))</f>
        <v/>
      </c>
      <c r="AE278" s="503" t="str">
        <f>IF(終値!A278="","",IF(AND(高値!I278&gt;高値!H278,高値!I278&gt;高値!G278,高値!I278&gt;高値!J278,高値!I278&gt;高値!K278),4,""))</f>
        <v/>
      </c>
      <c r="AF278" s="503" t="str">
        <f>IF(終値!A278="","",IF(AND(高値!J278&gt;高値!I278,高値!J278&gt;高値!H278,高値!J278&gt;高値!K278,高値!J278&gt;高値!L278),5,""))</f>
        <v/>
      </c>
      <c r="AG278" s="503">
        <f>IF(終値!A278="","",IF(AND(高値!K278&gt;高値!J278,高値!K278&gt;高値!I278,高値!K278&gt;高値!L278,高値!K278&gt;高値!M278),6,""))</f>
        <v>6</v>
      </c>
      <c r="AH278" s="503" t="str">
        <f>IF(終値!A278="","",IF(AND(高値!L278&gt;高値!K278,高値!L278&gt;高値!J278,高値!L278&gt;高値!M278,高値!L278&gt;高値!N278),7,""))</f>
        <v/>
      </c>
      <c r="AI278" s="503" t="str">
        <f>IF(終値!A278="","",IF(AND(高値!M278&gt;高値!L278,高値!M278&gt;高値!K278,高値!M278&gt;高値!N278,高値!M278&gt;高値!O278),8,""))</f>
        <v/>
      </c>
      <c r="AJ278" s="503" t="str">
        <f>IF(終値!A278="","",IF(AND(高値!N278&gt;高値!M278,高値!N278&gt;高値!L278,高値!N278&gt;高値!O278,高値!N278&gt;高値!P278),9,""))</f>
        <v/>
      </c>
      <c r="AK278" s="503" t="str">
        <f>IF(終値!A278="","",IF(AND(高値!O278&gt;高値!N278,高値!O278&gt;高値!M278,高値!O278&gt;高値!P278,高値!O278&gt;高値!Q278),10,""))</f>
        <v/>
      </c>
      <c r="AL278" s="503" t="str">
        <f>IF(終値!A278="","",IF(AND(高値!P278&gt;高値!O278,高値!P278&gt;高値!N278,高値!P278&gt;高値!Q278,高値!P278&gt;高値!R278),11,""))</f>
        <v/>
      </c>
      <c r="AM278" s="503" t="str">
        <f>IF(終値!A278="","",IF(AND(高値!Q278&gt;高値!P278,高値!Q278&gt;高値!O278,高値!Q278&gt;高値!R278,高値!Q278&gt;高値!S278),12,""))</f>
        <v/>
      </c>
      <c r="AN278" s="503" t="str">
        <f>IF(終値!A278="","",IF(AND(高値!R278&gt;高値!Q278,高値!R278&gt;高値!P278,高値!R278&gt;高値!S278,高値!R278&gt;高値!T278),13,""))</f>
        <v/>
      </c>
      <c r="AO278" s="503" t="str">
        <f>IF(終値!A278="","",IF(AND(高値!S278&gt;高値!R278,高値!S278&gt;高値!Q278,高値!S278&gt;高値!T278,高値!S278&gt;高値!U278),14,""))</f>
        <v/>
      </c>
      <c r="AP278" s="503" t="str">
        <f>IF(終値!A278="","",IF(AND(高値!T278&gt;高値!S278,高値!T278&gt;高値!R278,高値!T278&gt;高値!U278,高値!T278&gt;高値!V278),15,""))</f>
        <v/>
      </c>
      <c r="AQ278" s="503" t="str">
        <f>IF(終値!A278="","",IF(AND(高値!U278&gt;高値!T278,高値!U278&gt;高値!S278,高値!U278&gt;高値!V278,高値!U278&gt;高値!W278),16,""))</f>
        <v/>
      </c>
      <c r="AR278" s="503" t="str">
        <f>IF(終値!A278="","",IF(AND(高値!V278&gt;高値!U278,高値!V278&gt;高値!T278,高値!V278&gt;高値!W278,高値!V278&gt;高値!X278),17,""))</f>
        <v/>
      </c>
      <c r="AS278" s="503" t="str">
        <f>IF(終値!A278="","",IF(AND(高値!W278&gt;高値!V278,高値!W278&gt;高値!U278,高値!W278&gt;高値!X278,高値!W278&gt;高値!Y278),18,""))</f>
        <v/>
      </c>
      <c r="AT278" s="503">
        <f>IF(終値!A278="","",IF(AND(高値!X278&gt;高値!W278,高値!X278&gt;高値!V278,高値!X278&gt;高値!Y278,高値!X278&gt;高値!Z278),19,""))</f>
        <v>19</v>
      </c>
      <c r="AU278" s="503" t="str">
        <f>IF(終値!A278="","",IF(AND(高値!Y278&gt;高値!X278,高値!Y278&gt;高値!W278,高値!Y278&gt;高値!Z278,高値!Y278&gt;高値!AA278),20,""))</f>
        <v/>
      </c>
      <c r="AV278" s="503" t="str">
        <f>IF(終値!A278="","",IF(AND(高値!Z278&gt;高値!Y278,高値!Z278&gt;高値!X278,高値!Z278&gt;高値!AA278,高値!Z278&gt;高値!AB278),21,""))</f>
        <v/>
      </c>
      <c r="AW278" s="503" t="str">
        <f>IF(終値!A278="","",IF(AND(高値!AA278&gt;高値!Z278,高値!AA278&gt;高値!Y278,高値!AA278&gt;高値!AB278,高値!AA278&gt;高値!AC278),22,""))</f>
        <v/>
      </c>
      <c r="AX278" s="503" t="str">
        <f>IF(終値!A278="","",IF(AND(高値!AB278&gt;高値!AA278,高値!AB278&gt;高値!Z278,高値!AB278&gt;高値!AC278,高値!AB278&gt;高値!AD278),23,""))</f>
        <v/>
      </c>
      <c r="AY278" s="503" t="str">
        <f>IF(終値!A278="","",IF(AND(高値!AC278&gt;高値!AB278,高値!AC278&gt;高値!AA278,高値!AC278&gt;高値!AD278,高値!AC278&gt;高値!AE278),24,""))</f>
        <v/>
      </c>
      <c r="AZ278" s="503" t="str">
        <f>IF(終値!A278="","",IF(AND(高値!AD278&gt;高値!AC278,高値!AD278&gt;高値!AB278,高値!AD278&gt;高値!AE278,高値!AD278&gt;高値!AF278),25,""))</f>
        <v/>
      </c>
      <c r="BA278" s="503" t="str">
        <f>IF(終値!A278="","",IF(AND(高値!AE278&gt;高値!AD278,高値!AE278&gt;高値!AC278,高値!AE278&gt;高値!AF278,高値!AE278&gt;高値!AG278),26,""))</f>
        <v/>
      </c>
      <c r="BB278" s="503" t="str">
        <f>IF(終値!A278="","",IF(AND(高値!AF278&gt;高値!AE278,高値!AF278&gt;高値!AD278,高値!AF278&gt;高値!AG278,高値!AF278&gt;高値!AH278),27,""))</f>
        <v/>
      </c>
      <c r="BC278" s="503" t="str">
        <f>IF(終値!A278="","",IF(AND(高値!AG278&gt;高値!AF278,高値!AG278&gt;高値!AE278,高値!AG278&gt;高値!AH278,高値!AG278&gt;高値!AI278),28,""))</f>
        <v/>
      </c>
      <c r="BD278" s="503">
        <f t="shared" si="24"/>
        <v>5</v>
      </c>
      <c r="BE278" s="503">
        <f t="shared" si="25"/>
        <v>2</v>
      </c>
      <c r="BF278" s="503">
        <f t="shared" si="26"/>
        <v>9</v>
      </c>
      <c r="BG278" s="503">
        <f>IF($BE278="","",INDEX(安値!$E278:$CZ278,1,$BE278+1))</f>
        <v>3200</v>
      </c>
      <c r="BH278" s="503">
        <f>IF($BF278="","",INDEX(安値!$E278:$CZ278,1,$BF278+1))</f>
        <v>0</v>
      </c>
      <c r="BI278" s="503">
        <f>IF($BF278="","",MAX(INDEX(高値!$E278:$CZ278,1,$BE278+1):INDEX(高値!$E278:$CZ278,1,$BF278+1)))</f>
        <v>3420</v>
      </c>
      <c r="BJ278" s="503">
        <f>IF($BF278="","",AVERAGE(INDEX(終値!$E278:$CZ278,1,$BF278+1):INDEX(終値!$E278:$CZ278,1,$BF278+20))-2*STDEVP(INDEX(終値!$E278:$CZ278,1,$BF278+1):INDEX(終値!$E278:$CZ278,1,$BF278+20)))</f>
        <v>3223.7975114179517</v>
      </c>
      <c r="BK278" s="503">
        <f>IF($BE278="","",AVERAGE(INDEX(終値!$E278:$CZ278,1,$BE278+1):INDEX(終値!$E278:$CZ278,1,$BE278+20))-2*STDEVP(INDEX(終値!$E278:$CZ278,1,$BE278+1):INDEX(終値!$E278:$CZ278,1,$BE278+20)))</f>
        <v>3234.4902597643672</v>
      </c>
      <c r="BL278" s="503">
        <f t="shared" si="27"/>
        <v>2</v>
      </c>
      <c r="BM278" s="503">
        <f t="shared" si="28"/>
        <v>6</v>
      </c>
      <c r="BN278" s="503">
        <f t="shared" si="29"/>
        <v>19</v>
      </c>
      <c r="BO278" s="503">
        <f>IF($BM278="","",INDEX(高値!$E278:$CZ278,1,$BM278+1))</f>
        <v>3420</v>
      </c>
      <c r="BP278" s="503">
        <f>IF($BN278="","",INDEX(高値!$E278:$CZ278,1,$BN278+1))</f>
        <v>3450</v>
      </c>
      <c r="BQ278" s="503">
        <f>IF($BN278="","",MIN(INDEX(安値!$E278:$CZ278,1,$BM278+1):INDEX(安値!$E278:$CZ278,1,$BN278+1)))</f>
        <v>3300</v>
      </c>
      <c r="BR278" s="503">
        <f>IF($BN278="","",AVERAGE(INDEX(終値!$E278:$CZ278,1,$BN278+1):INDEX(終値!$E278:$CZ278,1,$BN278+20))+2*STDEVP(INDEX(終値!$E278:$CZ278,1,$BN278+1):INDEX(終値!$E278:$CZ278,1,$BN278+20)))</f>
        <v>3387.2883590523916</v>
      </c>
      <c r="BS278" s="503">
        <f>IF($BM278="","",AVERAGE(INDEX(終値!$E278:$CZ278,1,$BM278+1):INDEX(終値!$E278:$CZ278,1,$BM278+20))+2*STDEVP(INDEX(終値!$E278:$CZ278,1,$BM278+1):INDEX(終値!$E278:$CZ278,1,$BM278+20)))</f>
        <v>3426.4615144876907</v>
      </c>
      <c r="BT278" s="500"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v>
      </c>
    </row>
    <row r="279" spans="2:72">
      <c r="B279" s="503" t="str">
        <f>IF(終値!A279="","",IF(AND(安値!G279&lt;安値!F279,安値!G279&lt;安値!E279,安値!G279&lt;安値!H279,安値!G279&lt;安値!I279),2,""))</f>
        <v/>
      </c>
      <c r="C279" s="503" t="str">
        <f>IF(終値!A279="","",IF(AND(安値!H279&lt;安値!G279,安値!H279&lt;安値!F279,安値!H279&lt;安値!I279,安値!H279&lt;安値!J279),3,""))</f>
        <v/>
      </c>
      <c r="D279" s="503" t="str">
        <f>IF(終値!A279="","",IF(AND(安値!I279&lt;安値!H279,安値!I279&lt;安値!G279,安値!I279&lt;安値!J279,安値!I279&lt;安値!K279),4,""))</f>
        <v/>
      </c>
      <c r="E279" s="503" t="str">
        <f>IF(終値!A279="","",IF(AND(安値!J279&lt;安値!I279,安値!J279&lt;安値!H279,安値!J279&lt;安値!K279,安値!J279&lt;安値!L279),5,""))</f>
        <v/>
      </c>
      <c r="F279" s="503">
        <f>IF(終値!A279="","",IF(AND(安値!K279&lt;安値!J279,安値!K279&lt;安値!I279,安値!K279&lt;安値!L279,安値!K279&lt;安値!M279),6,""))</f>
        <v>6</v>
      </c>
      <c r="G279" s="503" t="str">
        <f>IF(終値!A279="","",IF(AND(安値!L279&lt;安値!K279,安値!L279&lt;安値!J279,安値!L279&lt;安値!M279,安値!L279&lt;安値!N279),7,""))</f>
        <v/>
      </c>
      <c r="H279" s="503" t="str">
        <f>IF(終値!A279="","",IF(AND(安値!M279&lt;安値!L279,安値!M279&lt;安値!K279,安値!M279&lt;安値!N279,安値!M279&lt;安値!O279),8,""))</f>
        <v/>
      </c>
      <c r="I279" s="503">
        <f>IF(終値!A279="","",IF(AND(安値!N279&lt;安値!M279,安値!N279&lt;安値!L279,安値!N279&lt;安値!O279,安値!N279&lt;安値!P279),9,""))</f>
        <v>9</v>
      </c>
      <c r="J279" s="503" t="str">
        <f>IF(終値!A279="","",IF(AND(安値!O279&lt;安値!N279,安値!O279&lt;安値!M279,安値!O279&lt;安値!P279,安値!O279&lt;安値!Q279),10,""))</f>
        <v/>
      </c>
      <c r="K279" s="503" t="str">
        <f>IF(終値!A279="","",IF(AND(安値!P279&lt;安値!O279,安値!P279&lt;安値!N279,安値!P279&lt;安値!Q279,安値!P279&lt;安値!R279),11,""))</f>
        <v/>
      </c>
      <c r="L279" s="503" t="str">
        <f>IF(終値!A279="","",IF(AND(安値!Q279&lt;安値!P279,安値!Q279&lt;安値!O279,安値!Q279&lt;安値!R279,安値!Q279&lt;安値!S279),12,""))</f>
        <v/>
      </c>
      <c r="M279" s="503">
        <f>IF(終値!A279="","",IF(AND(安値!R279&lt;安値!Q279,安値!R279&lt;安値!P279,安値!R279&lt;安値!S279,安値!R279&lt;安値!T279),13,""))</f>
        <v>13</v>
      </c>
      <c r="N279" s="503" t="str">
        <f>IF(終値!A279="","",IF(AND(安値!S279&lt;安値!R279,安値!S279&lt;安値!Q279,安値!S279&lt;安値!T279,安値!S279&lt;安値!U279),14,""))</f>
        <v/>
      </c>
      <c r="O279" s="503" t="str">
        <f>IF(終値!A279="","",IF(AND(安値!T279&lt;安値!S279,安値!T279&lt;安値!R279,安値!T279&lt;安値!U279,安値!T279&lt;安値!V279),15,""))</f>
        <v/>
      </c>
      <c r="P279" s="503" t="str">
        <f>IF(終値!A279="","",IF(AND(安値!U279&lt;安値!T279,安値!U279&lt;安値!S279,安値!U279&lt;安値!V279,安値!U279&lt;安値!W279),16,""))</f>
        <v/>
      </c>
      <c r="Q279" s="503" t="str">
        <f>IF(終値!A279="","",IF(AND(安値!V279&lt;安値!U279,安値!V279&lt;安値!T279,安値!V279&lt;安値!W279,安値!V279&lt;安値!X279),17,""))</f>
        <v/>
      </c>
      <c r="R279" s="503" t="str">
        <f>IF(終値!A279="","",IF(AND(安値!W279&lt;安値!V279,安値!W279&lt;安値!U279,安値!W279&lt;安値!X279,安値!W279&lt;安値!Y279),18,""))</f>
        <v/>
      </c>
      <c r="S279" s="503">
        <f>IF(終値!A279="","",IF(AND(安値!X279&lt;安値!W279,安値!X279&lt;安値!V279,安値!X279&lt;安値!Y279,安値!X279&lt;安値!Z279),19,""))</f>
        <v>19</v>
      </c>
      <c r="T279" s="503" t="str">
        <f>IF(終値!A279="","",IF(AND(安値!Y279&lt;安値!X279,安値!Y279&lt;安値!W279,安値!Y279&lt;安値!Z279,安値!Y279&lt;安値!AA279),20,""))</f>
        <v/>
      </c>
      <c r="U279" s="503" t="str">
        <f>IF(終値!A279="","",IF(AND(安値!Z279&lt;安値!Y279,安値!Z279&lt;安値!X279,安値!Z279&lt;安値!AA279,安値!Z279&lt;安値!AB279),21,""))</f>
        <v/>
      </c>
      <c r="V279" s="503" t="str">
        <f>IF(終値!A279="","",IF(AND(安値!AA279&lt;安値!Z279,安値!AA279&lt;安値!Y279,安値!AA279&lt;安値!AB279,安値!AA279&lt;安値!AC279),22,""))</f>
        <v/>
      </c>
      <c r="W279" s="503" t="str">
        <f>IF(終値!A279="","",IF(AND(安値!AB279&lt;安値!AA279,安値!AB279&lt;安値!Z279,安値!AB279&lt;安値!AC279,安値!AB279&lt;安値!AD279),23,""))</f>
        <v/>
      </c>
      <c r="X279" s="503" t="str">
        <f>IF(終値!A279="","",IF(AND(安値!AC279&lt;安値!AB279,安値!AC279&lt;安値!AA279,安値!AC279&lt;安値!AD279,安値!AC279&lt;安値!AE279),24,""))</f>
        <v/>
      </c>
      <c r="Y279" s="503" t="str">
        <f>IF(終値!A279="","",IF(AND(安値!AD279&lt;安値!AC279,安値!AD279&lt;安値!AB279,安値!AD279&lt;安値!AE279,安値!AD279&lt;安値!AF279),25,""))</f>
        <v/>
      </c>
      <c r="Z279" s="503">
        <f>IF(終値!A279="","",IF(AND(安値!AE279&lt;安値!AD279,安値!AE279&lt;安値!AC279,安値!AE279&lt;安値!AF279,安値!AE279&lt;安値!AG279),26,""))</f>
        <v>26</v>
      </c>
      <c r="AA279" s="503" t="str">
        <f>IF(終値!A279="","",IF(AND(安値!AF279&lt;安値!AE279,安値!AF279&lt;安値!AD279,安値!AF279&lt;安値!AG279,安値!AF279&lt;安値!AH279),27,""))</f>
        <v/>
      </c>
      <c r="AB279" s="503" t="str">
        <f>IF(終値!A279="","",IF(AND(安値!AG279&lt;安値!AF279,安値!AG279&lt;安値!AE279,安値!AG279&lt;安値!AH279,安値!AG279&lt;安値!AI279),28,""))</f>
        <v/>
      </c>
      <c r="AC279" s="503" t="str">
        <f>IF(終値!A279="","",IF(AND(高値!G279&gt;高値!F279,高値!G279&gt;高値!E279,高値!G279&gt;高値!H279,高値!G279&gt;高値!I279),2,""))</f>
        <v/>
      </c>
      <c r="AD279" s="503" t="str">
        <f>IF(終値!A279="","",IF(AND(高値!H279&gt;高値!G279,高値!H279&gt;高値!F279,高値!H279&gt;高値!I279,高値!H279&gt;高値!J279),3,""))</f>
        <v/>
      </c>
      <c r="AE279" s="503" t="str">
        <f>IF(終値!A279="","",IF(AND(高値!I279&gt;高値!H279,高値!I279&gt;高値!G279,高値!I279&gt;高値!J279,高値!I279&gt;高値!K279),4,""))</f>
        <v/>
      </c>
      <c r="AF279" s="503" t="str">
        <f>IF(終値!A279="","",IF(AND(高値!J279&gt;高値!I279,高値!J279&gt;高値!H279,高値!J279&gt;高値!K279,高値!J279&gt;高値!L279),5,""))</f>
        <v/>
      </c>
      <c r="AG279" s="503" t="str">
        <f>IF(終値!A279="","",IF(AND(高値!K279&gt;高値!J279,高値!K279&gt;高値!I279,高値!K279&gt;高値!L279,高値!K279&gt;高値!M279),6,""))</f>
        <v/>
      </c>
      <c r="AH279" s="503" t="str">
        <f>IF(終値!A279="","",IF(AND(高値!L279&gt;高値!K279,高値!L279&gt;高値!J279,高値!L279&gt;高値!M279,高値!L279&gt;高値!N279),7,""))</f>
        <v/>
      </c>
      <c r="AI279" s="503" t="str">
        <f>IF(終値!A279="","",IF(AND(高値!M279&gt;高値!L279,高値!M279&gt;高値!K279,高値!M279&gt;高値!N279,高値!M279&gt;高値!O279),8,""))</f>
        <v/>
      </c>
      <c r="AJ279" s="503" t="str">
        <f>IF(終値!A279="","",IF(AND(高値!N279&gt;高値!M279,高値!N279&gt;高値!L279,高値!N279&gt;高値!O279,高値!N279&gt;高値!P279),9,""))</f>
        <v/>
      </c>
      <c r="AK279" s="503">
        <f>IF(終値!A279="","",IF(AND(高値!O279&gt;高値!N279,高値!O279&gt;高値!M279,高値!O279&gt;高値!P279,高値!O279&gt;高値!Q279),10,""))</f>
        <v>10</v>
      </c>
      <c r="AL279" s="503" t="str">
        <f>IF(終値!A279="","",IF(AND(高値!P279&gt;高値!O279,高値!P279&gt;高値!N279,高値!P279&gt;高値!Q279,高値!P279&gt;高値!R279),11,""))</f>
        <v/>
      </c>
      <c r="AM279" s="503" t="str">
        <f>IF(終値!A279="","",IF(AND(高値!Q279&gt;高値!P279,高値!Q279&gt;高値!O279,高値!Q279&gt;高値!R279,高値!Q279&gt;高値!S279),12,""))</f>
        <v/>
      </c>
      <c r="AN279" s="503" t="str">
        <f>IF(終値!A279="","",IF(AND(高値!R279&gt;高値!Q279,高値!R279&gt;高値!P279,高値!R279&gt;高値!S279,高値!R279&gt;高値!T279),13,""))</f>
        <v/>
      </c>
      <c r="AO279" s="503" t="str">
        <f>IF(終値!A279="","",IF(AND(高値!S279&gt;高値!R279,高値!S279&gt;高値!Q279,高値!S279&gt;高値!T279,高値!S279&gt;高値!U279),14,""))</f>
        <v/>
      </c>
      <c r="AP279" s="503" t="str">
        <f>IF(終値!A279="","",IF(AND(高値!T279&gt;高値!S279,高値!T279&gt;高値!R279,高値!T279&gt;高値!U279,高値!T279&gt;高値!V279),15,""))</f>
        <v/>
      </c>
      <c r="AQ279" s="503" t="str">
        <f>IF(終値!A279="","",IF(AND(高値!U279&gt;高値!T279,高値!U279&gt;高値!S279,高値!U279&gt;高値!V279,高値!U279&gt;高値!W279),16,""))</f>
        <v/>
      </c>
      <c r="AR279" s="503">
        <f>IF(終値!A279="","",IF(AND(高値!V279&gt;高値!U279,高値!V279&gt;高値!T279,高値!V279&gt;高値!W279,高値!V279&gt;高値!X279),17,""))</f>
        <v>17</v>
      </c>
      <c r="AS279" s="503" t="str">
        <f>IF(終値!A279="","",IF(AND(高値!W279&gt;高値!V279,高値!W279&gt;高値!U279,高値!W279&gt;高値!X279,高値!W279&gt;高値!Y279),18,""))</f>
        <v/>
      </c>
      <c r="AT279" s="503" t="str">
        <f>IF(終値!A279="","",IF(AND(高値!X279&gt;高値!W279,高値!X279&gt;高値!V279,高値!X279&gt;高値!Y279,高値!X279&gt;高値!Z279),19,""))</f>
        <v/>
      </c>
      <c r="AU279" s="503" t="str">
        <f>IF(終値!A279="","",IF(AND(高値!Y279&gt;高値!X279,高値!Y279&gt;高値!W279,高値!Y279&gt;高値!Z279,高値!Y279&gt;高値!AA279),20,""))</f>
        <v/>
      </c>
      <c r="AV279" s="503">
        <f>IF(終値!A279="","",IF(AND(高値!Z279&gt;高値!Y279,高値!Z279&gt;高値!X279,高値!Z279&gt;高値!AA279,高値!Z279&gt;高値!AB279),21,""))</f>
        <v>21</v>
      </c>
      <c r="AW279" s="503" t="str">
        <f>IF(終値!A279="","",IF(AND(高値!AA279&gt;高値!Z279,高値!AA279&gt;高値!Y279,高値!AA279&gt;高値!AB279,高値!AA279&gt;高値!AC279),22,""))</f>
        <v/>
      </c>
      <c r="AX279" s="503" t="str">
        <f>IF(終値!A279="","",IF(AND(高値!AB279&gt;高値!AA279,高値!AB279&gt;高値!Z279,高値!AB279&gt;高値!AC279,高値!AB279&gt;高値!AD279),23,""))</f>
        <v/>
      </c>
      <c r="AY279" s="503">
        <f>IF(終値!A279="","",IF(AND(高値!AC279&gt;高値!AB279,高値!AC279&gt;高値!AA279,高値!AC279&gt;高値!AD279,高値!AC279&gt;高値!AE279),24,""))</f>
        <v>24</v>
      </c>
      <c r="AZ279" s="503" t="str">
        <f>IF(終値!A279="","",IF(AND(高値!AD279&gt;高値!AC279,高値!AD279&gt;高値!AB279,高値!AD279&gt;高値!AE279,高値!AD279&gt;高値!AF279),25,""))</f>
        <v/>
      </c>
      <c r="BA279" s="503" t="str">
        <f>IF(終値!A279="","",IF(AND(高値!AE279&gt;高値!AD279,高値!AE279&gt;高値!AC279,高値!AE279&gt;高値!AF279,高値!AE279&gt;高値!AG279),26,""))</f>
        <v/>
      </c>
      <c r="BB279" s="503" t="str">
        <f>IF(終値!A279="","",IF(AND(高値!AF279&gt;高値!AE279,高値!AF279&gt;高値!AD279,高値!AF279&gt;高値!AG279,高値!AF279&gt;高値!AH279),27,""))</f>
        <v/>
      </c>
      <c r="BC279" s="503" t="str">
        <f>IF(終値!A279="","",IF(AND(高値!AG279&gt;高値!AF279,高値!AG279&gt;高値!AE279,高値!AG279&gt;高値!AH279,高値!AG279&gt;高値!AI279),28,""))</f>
        <v/>
      </c>
      <c r="BD279" s="503">
        <f t="shared" si="24"/>
        <v>5</v>
      </c>
      <c r="BE279" s="503">
        <f t="shared" si="25"/>
        <v>6</v>
      </c>
      <c r="BF279" s="503">
        <f t="shared" si="26"/>
        <v>9</v>
      </c>
      <c r="BG279" s="503">
        <f>IF($BE279="","",INDEX(安値!$E279:$CZ279,1,$BE279+1))</f>
        <v>2815</v>
      </c>
      <c r="BH279" s="503">
        <f>IF($BF279="","",INDEX(安値!$E279:$CZ279,1,$BF279+1))</f>
        <v>0</v>
      </c>
      <c r="BI279" s="503">
        <f>IF($BF279="","",MAX(INDEX(高値!$E279:$CZ279,1,$BE279+1):INDEX(高値!$E279:$CZ279,1,$BF279+1)))</f>
        <v>3225</v>
      </c>
      <c r="BJ279" s="503">
        <f>IF($BF279="","",AVERAGE(INDEX(終値!$E279:$CZ279,1,$BF279+1):INDEX(終値!$E279:$CZ279,1,$BF279+20))-2*STDEVP(INDEX(終値!$E279:$CZ279,1,$BF279+1):INDEX(終値!$E279:$CZ279,1,$BF279+20)))</f>
        <v>3084.7203718131664</v>
      </c>
      <c r="BK279" s="503">
        <f>IF($BE279="","",AVERAGE(INDEX(終値!$E279:$CZ279,1,$BE279+1):INDEX(終値!$E279:$CZ279,1,$BE279+20))-2*STDEVP(INDEX(終値!$E279:$CZ279,1,$BE279+1):INDEX(終値!$E279:$CZ279,1,$BE279+20)))</f>
        <v>2990.4423252216911</v>
      </c>
      <c r="BL279" s="503">
        <f t="shared" si="27"/>
        <v>4</v>
      </c>
      <c r="BM279" s="503">
        <f t="shared" si="28"/>
        <v>10</v>
      </c>
      <c r="BN279" s="503">
        <f t="shared" si="29"/>
        <v>17</v>
      </c>
      <c r="BO279" s="503">
        <f>IF($BM279="","",INDEX(高値!$E279:$CZ279,1,$BM279+1))</f>
        <v>3360</v>
      </c>
      <c r="BP279" s="503">
        <f>IF($BN279="","",INDEX(高値!$E279:$CZ279,1,$BN279+1))</f>
        <v>3380</v>
      </c>
      <c r="BQ279" s="503">
        <f>IF($BN279="","",MIN(INDEX(安値!$E279:$CZ279,1,$BM279+1):INDEX(安値!$E279:$CZ279,1,$BN279+1)))</f>
        <v>2916</v>
      </c>
      <c r="BR279" s="503">
        <f>IF($BN279="","",AVERAGE(INDEX(終値!$E279:$CZ279,1,$BN279+1):INDEX(終値!$E279:$CZ279,1,$BN279+20))+2*STDEVP(INDEX(終値!$E279:$CZ279,1,$BN279+1):INDEX(終値!$E279:$CZ279,1,$BN279+20)))</f>
        <v>3510.0189884793599</v>
      </c>
      <c r="BS279" s="503">
        <f>IF($BM279="","",AVERAGE(INDEX(終値!$E279:$CZ279,1,$BM279+1):INDEX(終値!$E279:$CZ279,1,$BM279+20))+2*STDEVP(INDEX(終値!$E279:$CZ279,1,$BM279+1):INDEX(終値!$E279:$CZ279,1,$BM279+20)))</f>
        <v>3452.2990265093958</v>
      </c>
      <c r="BT279" s="500"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v>
      </c>
    </row>
    <row r="280" spans="2:72">
      <c r="B280" s="503" t="str">
        <f>IF(終値!A280="","",IF(AND(安値!G280&lt;安値!F280,安値!G280&lt;安値!E280,安値!G280&lt;安値!H280,安値!G280&lt;安値!I280),2,""))</f>
        <v/>
      </c>
      <c r="C280" s="503" t="str">
        <f>IF(終値!A280="","",IF(AND(安値!H280&lt;安値!G280,安値!H280&lt;安値!F280,安値!H280&lt;安値!I280,安値!H280&lt;安値!J280),3,""))</f>
        <v/>
      </c>
      <c r="D280" s="503">
        <f>IF(終値!A280="","",IF(AND(安値!I280&lt;安値!H280,安値!I280&lt;安値!G280,安値!I280&lt;安値!J280,安値!I280&lt;安値!K280),4,""))</f>
        <v>4</v>
      </c>
      <c r="E280" s="503" t="str">
        <f>IF(終値!A280="","",IF(AND(安値!J280&lt;安値!I280,安値!J280&lt;安値!H280,安値!J280&lt;安値!K280,安値!J280&lt;安値!L280),5,""))</f>
        <v/>
      </c>
      <c r="F280" s="503" t="str">
        <f>IF(終値!A280="","",IF(AND(安値!K280&lt;安値!J280,安値!K280&lt;安値!I280,安値!K280&lt;安値!L280,安値!K280&lt;安値!M280),6,""))</f>
        <v/>
      </c>
      <c r="G280" s="503" t="str">
        <f>IF(終値!A280="","",IF(AND(安値!L280&lt;安値!K280,安値!L280&lt;安値!J280,安値!L280&lt;安値!M280,安値!L280&lt;安値!N280),7,""))</f>
        <v/>
      </c>
      <c r="H280" s="503" t="str">
        <f>IF(終値!A280="","",IF(AND(安値!M280&lt;安値!L280,安値!M280&lt;安値!K280,安値!M280&lt;安値!N280,安値!M280&lt;安値!O280),8,""))</f>
        <v/>
      </c>
      <c r="I280" s="503" t="str">
        <f>IF(終値!A280="","",IF(AND(安値!N280&lt;安値!M280,安値!N280&lt;安値!L280,安値!N280&lt;安値!O280,安値!N280&lt;安値!P280),9,""))</f>
        <v/>
      </c>
      <c r="J280" s="503" t="str">
        <f>IF(終値!A280="","",IF(AND(安値!O280&lt;安値!N280,安値!O280&lt;安値!M280,安値!O280&lt;安値!P280,安値!O280&lt;安値!Q280),10,""))</f>
        <v/>
      </c>
      <c r="K280" s="503" t="str">
        <f>IF(終値!A280="","",IF(AND(安値!P280&lt;安値!O280,安値!P280&lt;安値!N280,安値!P280&lt;安値!Q280,安値!P280&lt;安値!R280),11,""))</f>
        <v/>
      </c>
      <c r="L280" s="503" t="str">
        <f>IF(終値!A280="","",IF(AND(安値!Q280&lt;安値!P280,安値!Q280&lt;安値!O280,安値!Q280&lt;安値!R280,安値!Q280&lt;安値!S280),12,""))</f>
        <v/>
      </c>
      <c r="M280" s="503">
        <f>IF(終値!A280="","",IF(AND(安値!R280&lt;安値!Q280,安値!R280&lt;安値!P280,安値!R280&lt;安値!S280,安値!R280&lt;安値!T280),13,""))</f>
        <v>13</v>
      </c>
      <c r="N280" s="503" t="str">
        <f>IF(終値!A280="","",IF(AND(安値!S280&lt;安値!R280,安値!S280&lt;安値!Q280,安値!S280&lt;安値!T280,安値!S280&lt;安値!U280),14,""))</f>
        <v/>
      </c>
      <c r="O280" s="503" t="str">
        <f>IF(終値!A280="","",IF(AND(安値!T280&lt;安値!S280,安値!T280&lt;安値!R280,安値!T280&lt;安値!U280,安値!T280&lt;安値!V280),15,""))</f>
        <v/>
      </c>
      <c r="P280" s="503" t="str">
        <f>IF(終値!A280="","",IF(AND(安値!U280&lt;安値!T280,安値!U280&lt;安値!S280,安値!U280&lt;安値!V280,安値!U280&lt;安値!W280),16,""))</f>
        <v/>
      </c>
      <c r="Q280" s="503" t="str">
        <f>IF(終値!A280="","",IF(AND(安値!V280&lt;安値!U280,安値!V280&lt;安値!T280,安値!V280&lt;安値!W280,安値!V280&lt;安値!X280),17,""))</f>
        <v/>
      </c>
      <c r="R280" s="503">
        <f>IF(終値!A280="","",IF(AND(安値!W280&lt;安値!V280,安値!W280&lt;安値!U280,安値!W280&lt;安値!X280,安値!W280&lt;安値!Y280),18,""))</f>
        <v>18</v>
      </c>
      <c r="S280" s="503" t="str">
        <f>IF(終値!A280="","",IF(AND(安値!X280&lt;安値!W280,安値!X280&lt;安値!V280,安値!X280&lt;安値!Y280,安値!X280&lt;安値!Z280),19,""))</f>
        <v/>
      </c>
      <c r="T280" s="503" t="str">
        <f>IF(終値!A280="","",IF(AND(安値!Y280&lt;安値!X280,安値!Y280&lt;安値!W280,安値!Y280&lt;安値!Z280,安値!Y280&lt;安値!AA280),20,""))</f>
        <v/>
      </c>
      <c r="U280" s="503" t="str">
        <f>IF(終値!A280="","",IF(AND(安値!Z280&lt;安値!Y280,安値!Z280&lt;安値!X280,安値!Z280&lt;安値!AA280,安値!Z280&lt;安値!AB280),21,""))</f>
        <v/>
      </c>
      <c r="V280" s="503" t="str">
        <f>IF(終値!A280="","",IF(AND(安値!AA280&lt;安値!Z280,安値!AA280&lt;安値!Y280,安値!AA280&lt;安値!AB280,安値!AA280&lt;安値!AC280),22,""))</f>
        <v/>
      </c>
      <c r="W280" s="503" t="str">
        <f>IF(終値!A280="","",IF(AND(安値!AB280&lt;安値!AA280,安値!AB280&lt;安値!Z280,安値!AB280&lt;安値!AC280,安値!AB280&lt;安値!AD280),23,""))</f>
        <v/>
      </c>
      <c r="X280" s="503" t="str">
        <f>IF(終値!A280="","",IF(AND(安値!AC280&lt;安値!AB280,安値!AC280&lt;安値!AA280,安値!AC280&lt;安値!AD280,安値!AC280&lt;安値!AE280),24,""))</f>
        <v/>
      </c>
      <c r="Y280" s="503" t="str">
        <f>IF(終値!A280="","",IF(AND(安値!AD280&lt;安値!AC280,安値!AD280&lt;安値!AB280,安値!AD280&lt;安値!AE280,安値!AD280&lt;安値!AF280),25,""))</f>
        <v/>
      </c>
      <c r="Z280" s="503" t="str">
        <f>IF(終値!A280="","",IF(AND(安値!AE280&lt;安値!AD280,安値!AE280&lt;安値!AC280,安値!AE280&lt;安値!AF280,安値!AE280&lt;安値!AG280),26,""))</f>
        <v/>
      </c>
      <c r="AA280" s="503" t="str">
        <f>IF(終値!A280="","",IF(AND(安値!AF280&lt;安値!AE280,安値!AF280&lt;安値!AD280,安値!AF280&lt;安値!AG280,安値!AF280&lt;安値!AH280),27,""))</f>
        <v/>
      </c>
      <c r="AB280" s="503" t="str">
        <f>IF(終値!A280="","",IF(AND(安値!AG280&lt;安値!AF280,安値!AG280&lt;安値!AE280,安値!AG280&lt;安値!AH280,安値!AG280&lt;安値!AI280),28,""))</f>
        <v/>
      </c>
      <c r="AC280" s="503" t="str">
        <f>IF(終値!A280="","",IF(AND(高値!G280&gt;高値!F280,高値!G280&gt;高値!E280,高値!G280&gt;高値!H280,高値!G280&gt;高値!I280),2,""))</f>
        <v/>
      </c>
      <c r="AD280" s="503" t="str">
        <f>IF(終値!A280="","",IF(AND(高値!H280&gt;高値!G280,高値!H280&gt;高値!F280,高値!H280&gt;高値!I280,高値!H280&gt;高値!J280),3,""))</f>
        <v/>
      </c>
      <c r="AE280" s="503">
        <f>IF(終値!A280="","",IF(AND(高値!I280&gt;高値!H280,高値!I280&gt;高値!G280,高値!I280&gt;高値!J280,高値!I280&gt;高値!K280),4,""))</f>
        <v>4</v>
      </c>
      <c r="AF280" s="503" t="str">
        <f>IF(終値!A280="","",IF(AND(高値!J280&gt;高値!I280,高値!J280&gt;高値!H280,高値!J280&gt;高値!K280,高値!J280&gt;高値!L280),5,""))</f>
        <v/>
      </c>
      <c r="AG280" s="503" t="str">
        <f>IF(終値!A280="","",IF(AND(高値!K280&gt;高値!J280,高値!K280&gt;高値!I280,高値!K280&gt;高値!L280,高値!K280&gt;高値!M280),6,""))</f>
        <v/>
      </c>
      <c r="AH280" s="503" t="str">
        <f>IF(終値!A280="","",IF(AND(高値!L280&gt;高値!K280,高値!L280&gt;高値!J280,高値!L280&gt;高値!M280,高値!L280&gt;高値!N280),7,""))</f>
        <v/>
      </c>
      <c r="AI280" s="503" t="str">
        <f>IF(終値!A280="","",IF(AND(高値!M280&gt;高値!L280,高値!M280&gt;高値!K280,高値!M280&gt;高値!N280,高値!M280&gt;高値!O280),8,""))</f>
        <v/>
      </c>
      <c r="AJ280" s="503" t="str">
        <f>IF(終値!A280="","",IF(AND(高値!N280&gt;高値!M280,高値!N280&gt;高値!L280,高値!N280&gt;高値!O280,高値!N280&gt;高値!P280),9,""))</f>
        <v/>
      </c>
      <c r="AK280" s="503" t="str">
        <f>IF(終値!A280="","",IF(AND(高値!O280&gt;高値!N280,高値!O280&gt;高値!M280,高値!O280&gt;高値!P280,高値!O280&gt;高値!Q280),10,""))</f>
        <v/>
      </c>
      <c r="AL280" s="503">
        <f>IF(終値!A280="","",IF(AND(高値!P280&gt;高値!O280,高値!P280&gt;高値!N280,高値!P280&gt;高値!Q280,高値!P280&gt;高値!R280),11,""))</f>
        <v>11</v>
      </c>
      <c r="AM280" s="503" t="str">
        <f>IF(終値!A280="","",IF(AND(高値!Q280&gt;高値!P280,高値!Q280&gt;高値!O280,高値!Q280&gt;高値!R280,高値!Q280&gt;高値!S280),12,""))</f>
        <v/>
      </c>
      <c r="AN280" s="503" t="str">
        <f>IF(終値!A280="","",IF(AND(高値!R280&gt;高値!Q280,高値!R280&gt;高値!P280,高値!R280&gt;高値!S280,高値!R280&gt;高値!T280),13,""))</f>
        <v/>
      </c>
      <c r="AO280" s="503" t="str">
        <f>IF(終値!A280="","",IF(AND(高値!S280&gt;高値!R280,高値!S280&gt;高値!Q280,高値!S280&gt;高値!T280,高値!S280&gt;高値!U280),14,""))</f>
        <v/>
      </c>
      <c r="AP280" s="503" t="str">
        <f>IF(終値!A280="","",IF(AND(高値!T280&gt;高値!S280,高値!T280&gt;高値!R280,高値!T280&gt;高値!U280,高値!T280&gt;高値!V280),15,""))</f>
        <v/>
      </c>
      <c r="AQ280" s="503" t="str">
        <f>IF(終値!A280="","",IF(AND(高値!U280&gt;高値!T280,高値!U280&gt;高値!S280,高値!U280&gt;高値!V280,高値!U280&gt;高値!W280),16,""))</f>
        <v/>
      </c>
      <c r="AR280" s="503" t="str">
        <f>IF(終値!A280="","",IF(AND(高値!V280&gt;高値!U280,高値!V280&gt;高値!T280,高値!V280&gt;高値!W280,高値!V280&gt;高値!X280),17,""))</f>
        <v/>
      </c>
      <c r="AS280" s="503" t="str">
        <f>IF(終値!A280="","",IF(AND(高値!W280&gt;高値!V280,高値!W280&gt;高値!U280,高値!W280&gt;高値!X280,高値!W280&gt;高値!Y280),18,""))</f>
        <v/>
      </c>
      <c r="AT280" s="503" t="str">
        <f>IF(終値!A280="","",IF(AND(高値!X280&gt;高値!W280,高値!X280&gt;高値!V280,高値!X280&gt;高値!Y280,高値!X280&gt;高値!Z280),19,""))</f>
        <v/>
      </c>
      <c r="AU280" s="503" t="str">
        <f>IF(終値!A280="","",IF(AND(高値!Y280&gt;高値!X280,高値!Y280&gt;高値!W280,高値!Y280&gt;高値!Z280,高値!Y280&gt;高値!AA280),20,""))</f>
        <v/>
      </c>
      <c r="AV280" s="503" t="str">
        <f>IF(終値!A280="","",IF(AND(高値!Z280&gt;高値!Y280,高値!Z280&gt;高値!X280,高値!Z280&gt;高値!AA280,高値!Z280&gt;高値!AB280),21,""))</f>
        <v/>
      </c>
      <c r="AW280" s="503">
        <f>IF(終値!A280="","",IF(AND(高値!AA280&gt;高値!Z280,高値!AA280&gt;高値!Y280,高値!AA280&gt;高値!AB280,高値!AA280&gt;高値!AC280),22,""))</f>
        <v>22</v>
      </c>
      <c r="AX280" s="503" t="str">
        <f>IF(終値!A280="","",IF(AND(高値!AB280&gt;高値!AA280,高値!AB280&gt;高値!Z280,高値!AB280&gt;高値!AC280,高値!AB280&gt;高値!AD280),23,""))</f>
        <v/>
      </c>
      <c r="AY280" s="503" t="str">
        <f>IF(終値!A280="","",IF(AND(高値!AC280&gt;高値!AB280,高値!AC280&gt;高値!AA280,高値!AC280&gt;高値!AD280,高値!AC280&gt;高値!AE280),24,""))</f>
        <v/>
      </c>
      <c r="AZ280" s="503" t="str">
        <f>IF(終値!A280="","",IF(AND(高値!AD280&gt;高値!AC280,高値!AD280&gt;高値!AB280,高値!AD280&gt;高値!AE280,高値!AD280&gt;高値!AF280),25,""))</f>
        <v/>
      </c>
      <c r="BA280" s="503" t="str">
        <f>IF(終値!A280="","",IF(AND(高値!AE280&gt;高値!AD280,高値!AE280&gt;高値!AC280,高値!AE280&gt;高値!AF280,高値!AE280&gt;高値!AG280),26,""))</f>
        <v/>
      </c>
      <c r="BB280" s="503" t="str">
        <f>IF(終値!A280="","",IF(AND(高値!AF280&gt;高値!AE280,高値!AF280&gt;高値!AD280,高値!AF280&gt;高値!AG280,高値!AF280&gt;高値!AH280),27,""))</f>
        <v/>
      </c>
      <c r="BC280" s="503" t="str">
        <f>IF(終値!A280="","",IF(AND(高値!AG280&gt;高値!AF280,高値!AG280&gt;高値!AE280,高値!AG280&gt;高値!AH280,高値!AG280&gt;高値!AI280),28,""))</f>
        <v/>
      </c>
      <c r="BD280" s="503">
        <f t="shared" si="24"/>
        <v>3</v>
      </c>
      <c r="BE280" s="503">
        <f t="shared" si="25"/>
        <v>4</v>
      </c>
      <c r="BF280" s="503">
        <f t="shared" si="26"/>
        <v>13</v>
      </c>
      <c r="BG280" s="503">
        <f>IF($BE280="","",INDEX(安値!$E280:$CZ280,1,$BE280+1))</f>
        <v>974</v>
      </c>
      <c r="BH280" s="503">
        <f>IF($BF280="","",INDEX(安値!$E280:$CZ280,1,$BF280+1))</f>
        <v>960</v>
      </c>
      <c r="BI280" s="503">
        <f>IF($BF280="","",MAX(INDEX(高値!$E280:$CZ280,1,$BE280+1):INDEX(高値!$E280:$CZ280,1,$BF280+1)))</f>
        <v>1000</v>
      </c>
      <c r="BJ280" s="503">
        <f>IF($BF280="","",AVERAGE(INDEX(終値!$E280:$CZ280,1,$BF280+1):INDEX(終値!$E280:$CZ280,1,$BF280+20))-2*STDEVP(INDEX(終値!$E280:$CZ280,1,$BF280+1):INDEX(終値!$E280:$CZ280,1,$BF280+20)))</f>
        <v>922.9340306910334</v>
      </c>
      <c r="BK280" s="503">
        <f>IF($BE280="","",AVERAGE(INDEX(終値!$E280:$CZ280,1,$BE280+1):INDEX(終値!$E280:$CZ280,1,$BE280+20))-2*STDEVP(INDEX(終値!$E280:$CZ280,1,$BE280+1):INDEX(終値!$E280:$CZ280,1,$BE280+20)))</f>
        <v>957.22272253046958</v>
      </c>
      <c r="BL280" s="503">
        <f t="shared" si="27"/>
        <v>3</v>
      </c>
      <c r="BM280" s="503">
        <f t="shared" si="28"/>
        <v>4</v>
      </c>
      <c r="BN280" s="503">
        <f t="shared" si="29"/>
        <v>11</v>
      </c>
      <c r="BO280" s="503">
        <f>IF($BM280="","",INDEX(高値!$E280:$CZ280,1,$BM280+1))</f>
        <v>1000</v>
      </c>
      <c r="BP280" s="503">
        <f>IF($BN280="","",INDEX(高値!$E280:$CZ280,1,$BN280+1))</f>
        <v>987</v>
      </c>
      <c r="BQ280" s="503">
        <f>IF($BN280="","",MIN(INDEX(安値!$E280:$CZ280,1,$BM280+1):INDEX(安値!$E280:$CZ280,1,$BN280+1)))</f>
        <v>974</v>
      </c>
      <c r="BR280" s="503">
        <f>IF($BN280="","",AVERAGE(INDEX(終値!$E280:$CZ280,1,$BN280+1):INDEX(終値!$E280:$CZ280,1,$BN280+20))+2*STDEVP(INDEX(終値!$E280:$CZ280,1,$BN280+1):INDEX(終値!$E280:$CZ280,1,$BN280+20)))</f>
        <v>992.53590884064613</v>
      </c>
      <c r="BS280" s="503">
        <f>IF($BM280="","",AVERAGE(INDEX(終値!$E280:$CZ280,1,$BM280+1):INDEX(終値!$E280:$CZ280,1,$BM280+20))+2*STDEVP(INDEX(終値!$E280:$CZ280,1,$BM280+1):INDEX(終値!$E280:$CZ280,1,$BM280+20)))</f>
        <v>992.07727746953037</v>
      </c>
      <c r="BT280" s="500"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3" t="str">
        <f>IF(終値!A281="","",IF(AND(安値!G281&lt;安値!F281,安値!G281&lt;安値!E281,安値!G281&lt;安値!H281,安値!G281&lt;安値!I281),2,""))</f>
        <v/>
      </c>
      <c r="C281" s="503" t="str">
        <f>IF(終値!A281="","",IF(AND(安値!H281&lt;安値!G281,安値!H281&lt;安値!F281,安値!H281&lt;安値!I281,安値!H281&lt;安値!J281),3,""))</f>
        <v/>
      </c>
      <c r="D281" s="503" t="str">
        <f>IF(終値!A281="","",IF(AND(安値!I281&lt;安値!H281,安値!I281&lt;安値!G281,安値!I281&lt;安値!J281,安値!I281&lt;安値!K281),4,""))</f>
        <v/>
      </c>
      <c r="E281" s="503" t="str">
        <f>IF(終値!A281="","",IF(AND(安値!J281&lt;安値!I281,安値!J281&lt;安値!H281,安値!J281&lt;安値!K281,安値!J281&lt;安値!L281),5,""))</f>
        <v/>
      </c>
      <c r="F281" s="503" t="str">
        <f>IF(終値!A281="","",IF(AND(安値!K281&lt;安値!J281,安値!K281&lt;安値!I281,安値!K281&lt;安値!L281,安値!K281&lt;安値!M281),6,""))</f>
        <v/>
      </c>
      <c r="G281" s="503" t="str">
        <f>IF(終値!A281="","",IF(AND(安値!L281&lt;安値!K281,安値!L281&lt;安値!J281,安値!L281&lt;安値!M281,安値!L281&lt;安値!N281),7,""))</f>
        <v/>
      </c>
      <c r="H281" s="503" t="str">
        <f>IF(終値!A281="","",IF(AND(安値!M281&lt;安値!L281,安値!M281&lt;安値!K281,安値!M281&lt;安値!N281,安値!M281&lt;安値!O281),8,""))</f>
        <v/>
      </c>
      <c r="I281" s="503" t="str">
        <f>IF(終値!A281="","",IF(AND(安値!N281&lt;安値!M281,安値!N281&lt;安値!L281,安値!N281&lt;安値!O281,安値!N281&lt;安値!P281),9,""))</f>
        <v/>
      </c>
      <c r="J281" s="503" t="str">
        <f>IF(終値!A281="","",IF(AND(安値!O281&lt;安値!N281,安値!O281&lt;安値!M281,安値!O281&lt;安値!P281,安値!O281&lt;安値!Q281),10,""))</f>
        <v/>
      </c>
      <c r="K281" s="503" t="str">
        <f>IF(終値!A281="","",IF(AND(安値!P281&lt;安値!O281,安値!P281&lt;安値!N281,安値!P281&lt;安値!Q281,安値!P281&lt;安値!R281),11,""))</f>
        <v/>
      </c>
      <c r="L281" s="503" t="str">
        <f>IF(終値!A281="","",IF(AND(安値!Q281&lt;安値!P281,安値!Q281&lt;安値!O281,安値!Q281&lt;安値!R281,安値!Q281&lt;安値!S281),12,""))</f>
        <v/>
      </c>
      <c r="M281" s="503">
        <f>IF(終値!A281="","",IF(AND(安値!R281&lt;安値!Q281,安値!R281&lt;安値!P281,安値!R281&lt;安値!S281,安値!R281&lt;安値!T281),13,""))</f>
        <v>13</v>
      </c>
      <c r="N281" s="503" t="str">
        <f>IF(終値!A281="","",IF(AND(安値!S281&lt;安値!R281,安値!S281&lt;安値!Q281,安値!S281&lt;安値!T281,安値!S281&lt;安値!U281),14,""))</f>
        <v/>
      </c>
      <c r="O281" s="503" t="str">
        <f>IF(終値!A281="","",IF(AND(安値!T281&lt;安値!S281,安値!T281&lt;安値!R281,安値!T281&lt;安値!U281,安値!T281&lt;安値!V281),15,""))</f>
        <v/>
      </c>
      <c r="P281" s="503" t="str">
        <f>IF(終値!A281="","",IF(AND(安値!U281&lt;安値!T281,安値!U281&lt;安値!S281,安値!U281&lt;安値!V281,安値!U281&lt;安値!W281),16,""))</f>
        <v/>
      </c>
      <c r="Q281" s="503" t="str">
        <f>IF(終値!A281="","",IF(AND(安値!V281&lt;安値!U281,安値!V281&lt;安値!T281,安値!V281&lt;安値!W281,安値!V281&lt;安値!X281),17,""))</f>
        <v/>
      </c>
      <c r="R281" s="503" t="str">
        <f>IF(終値!A281="","",IF(AND(安値!W281&lt;安値!V281,安値!W281&lt;安値!U281,安値!W281&lt;安値!X281,安値!W281&lt;安値!Y281),18,""))</f>
        <v/>
      </c>
      <c r="S281" s="503" t="str">
        <f>IF(終値!A281="","",IF(AND(安値!X281&lt;安値!W281,安値!X281&lt;安値!V281,安値!X281&lt;安値!Y281,安値!X281&lt;安値!Z281),19,""))</f>
        <v/>
      </c>
      <c r="T281" s="503" t="str">
        <f>IF(終値!A281="","",IF(AND(安値!Y281&lt;安値!X281,安値!Y281&lt;安値!W281,安値!Y281&lt;安値!Z281,安値!Y281&lt;安値!AA281),20,""))</f>
        <v/>
      </c>
      <c r="U281" s="503" t="str">
        <f>IF(終値!A281="","",IF(AND(安値!Z281&lt;安値!Y281,安値!Z281&lt;安値!X281,安値!Z281&lt;安値!AA281,安値!Z281&lt;安値!AB281),21,""))</f>
        <v/>
      </c>
      <c r="V281" s="503" t="str">
        <f>IF(終値!A281="","",IF(AND(安値!AA281&lt;安値!Z281,安値!AA281&lt;安値!Y281,安値!AA281&lt;安値!AB281,安値!AA281&lt;安値!AC281),22,""))</f>
        <v/>
      </c>
      <c r="W281" s="503" t="str">
        <f>IF(終値!A281="","",IF(AND(安値!AB281&lt;安値!AA281,安値!AB281&lt;安値!Z281,安値!AB281&lt;安値!AC281,安値!AB281&lt;安値!AD281),23,""))</f>
        <v/>
      </c>
      <c r="X281" s="503">
        <f>IF(終値!A281="","",IF(AND(安値!AC281&lt;安値!AB281,安値!AC281&lt;安値!AA281,安値!AC281&lt;安値!AD281,安値!AC281&lt;安値!AE281),24,""))</f>
        <v>24</v>
      </c>
      <c r="Y281" s="503" t="str">
        <f>IF(終値!A281="","",IF(AND(安値!AD281&lt;安値!AC281,安値!AD281&lt;安値!AB281,安値!AD281&lt;安値!AE281,安値!AD281&lt;安値!AF281),25,""))</f>
        <v/>
      </c>
      <c r="Z281" s="503" t="str">
        <f>IF(終値!A281="","",IF(AND(安値!AE281&lt;安値!AD281,安値!AE281&lt;安値!AC281,安値!AE281&lt;安値!AF281,安値!AE281&lt;安値!AG281),26,""))</f>
        <v/>
      </c>
      <c r="AA281" s="503" t="str">
        <f>IF(終値!A281="","",IF(AND(安値!AF281&lt;安値!AE281,安値!AF281&lt;安値!AD281,安値!AF281&lt;安値!AG281,安値!AF281&lt;安値!AH281),27,""))</f>
        <v/>
      </c>
      <c r="AB281" s="503" t="str">
        <f>IF(終値!A281="","",IF(AND(安値!AG281&lt;安値!AF281,安値!AG281&lt;安値!AE281,安値!AG281&lt;安値!AH281,安値!AG281&lt;安値!AI281),28,""))</f>
        <v/>
      </c>
      <c r="AC281" s="503" t="str">
        <f>IF(終値!A281="","",IF(AND(高値!G281&gt;高値!F281,高値!G281&gt;高値!E281,高値!G281&gt;高値!H281,高値!G281&gt;高値!I281),2,""))</f>
        <v/>
      </c>
      <c r="AD281" s="503" t="str">
        <f>IF(終値!A281="","",IF(AND(高値!H281&gt;高値!G281,高値!H281&gt;高値!F281,高値!H281&gt;高値!I281,高値!H281&gt;高値!J281),3,""))</f>
        <v/>
      </c>
      <c r="AE281" s="503">
        <f>IF(終値!A281="","",IF(AND(高値!I281&gt;高値!H281,高値!I281&gt;高値!G281,高値!I281&gt;高値!J281,高値!I281&gt;高値!K281),4,""))</f>
        <v>4</v>
      </c>
      <c r="AF281" s="503" t="str">
        <f>IF(終値!A281="","",IF(AND(高値!J281&gt;高値!I281,高値!J281&gt;高値!H281,高値!J281&gt;高値!K281,高値!J281&gt;高値!L281),5,""))</f>
        <v/>
      </c>
      <c r="AG281" s="503" t="str">
        <f>IF(終値!A281="","",IF(AND(高値!K281&gt;高値!J281,高値!K281&gt;高値!I281,高値!K281&gt;高値!L281,高値!K281&gt;高値!M281),6,""))</f>
        <v/>
      </c>
      <c r="AH281" s="503" t="str">
        <f>IF(終値!A281="","",IF(AND(高値!L281&gt;高値!K281,高値!L281&gt;高値!J281,高値!L281&gt;高値!M281,高値!L281&gt;高値!N281),7,""))</f>
        <v/>
      </c>
      <c r="AI281" s="503" t="str">
        <f>IF(終値!A281="","",IF(AND(高値!M281&gt;高値!L281,高値!M281&gt;高値!K281,高値!M281&gt;高値!N281,高値!M281&gt;高値!O281),8,""))</f>
        <v/>
      </c>
      <c r="AJ281" s="503" t="str">
        <f>IF(終値!A281="","",IF(AND(高値!N281&gt;高値!M281,高値!N281&gt;高値!L281,高値!N281&gt;高値!O281,高値!N281&gt;高値!P281),9,""))</f>
        <v/>
      </c>
      <c r="AK281" s="503" t="str">
        <f>IF(終値!A281="","",IF(AND(高値!O281&gt;高値!N281,高値!O281&gt;高値!M281,高値!O281&gt;高値!P281,高値!O281&gt;高値!Q281),10,""))</f>
        <v/>
      </c>
      <c r="AL281" s="503" t="str">
        <f>IF(終値!A281="","",IF(AND(高値!P281&gt;高値!O281,高値!P281&gt;高値!N281,高値!P281&gt;高値!Q281,高値!P281&gt;高値!R281),11,""))</f>
        <v/>
      </c>
      <c r="AM281" s="503" t="str">
        <f>IF(終値!A281="","",IF(AND(高値!Q281&gt;高値!P281,高値!Q281&gt;高値!O281,高値!Q281&gt;高値!R281,高値!Q281&gt;高値!S281),12,""))</f>
        <v/>
      </c>
      <c r="AN281" s="503" t="str">
        <f>IF(終値!A281="","",IF(AND(高値!R281&gt;高値!Q281,高値!R281&gt;高値!P281,高値!R281&gt;高値!S281,高値!R281&gt;高値!T281),13,""))</f>
        <v/>
      </c>
      <c r="AO281" s="503" t="str">
        <f>IF(終値!A281="","",IF(AND(高値!S281&gt;高値!R281,高値!S281&gt;高値!Q281,高値!S281&gt;高値!T281,高値!S281&gt;高値!U281),14,""))</f>
        <v/>
      </c>
      <c r="AP281" s="503" t="str">
        <f>IF(終値!A281="","",IF(AND(高値!T281&gt;高値!S281,高値!T281&gt;高値!R281,高値!T281&gt;高値!U281,高値!T281&gt;高値!V281),15,""))</f>
        <v/>
      </c>
      <c r="AQ281" s="503" t="str">
        <f>IF(終値!A281="","",IF(AND(高値!U281&gt;高値!T281,高値!U281&gt;高値!S281,高値!U281&gt;高値!V281,高値!U281&gt;高値!W281),16,""))</f>
        <v/>
      </c>
      <c r="AR281" s="503" t="str">
        <f>IF(終値!A281="","",IF(AND(高値!V281&gt;高値!U281,高値!V281&gt;高値!T281,高値!V281&gt;高値!W281,高値!V281&gt;高値!X281),17,""))</f>
        <v/>
      </c>
      <c r="AS281" s="503" t="str">
        <f>IF(終値!A281="","",IF(AND(高値!W281&gt;高値!V281,高値!W281&gt;高値!U281,高値!W281&gt;高値!X281,高値!W281&gt;高値!Y281),18,""))</f>
        <v/>
      </c>
      <c r="AT281" s="503" t="str">
        <f>IF(終値!A281="","",IF(AND(高値!X281&gt;高値!W281,高値!X281&gt;高値!V281,高値!X281&gt;高値!Y281,高値!X281&gt;高値!Z281),19,""))</f>
        <v/>
      </c>
      <c r="AU281" s="503">
        <f>IF(終値!A281="","",IF(AND(高値!Y281&gt;高値!X281,高値!Y281&gt;高値!W281,高値!Y281&gt;高値!Z281,高値!Y281&gt;高値!AA281),20,""))</f>
        <v>20</v>
      </c>
      <c r="AV281" s="503" t="str">
        <f>IF(終値!A281="","",IF(AND(高値!Z281&gt;高値!Y281,高値!Z281&gt;高値!X281,高値!Z281&gt;高値!AA281,高値!Z281&gt;高値!AB281),21,""))</f>
        <v/>
      </c>
      <c r="AW281" s="503" t="str">
        <f>IF(終値!A281="","",IF(AND(高値!AA281&gt;高値!Z281,高値!AA281&gt;高値!Y281,高値!AA281&gt;高値!AB281,高値!AA281&gt;高値!AC281),22,""))</f>
        <v/>
      </c>
      <c r="AX281" s="503" t="str">
        <f>IF(終値!A281="","",IF(AND(高値!AB281&gt;高値!AA281,高値!AB281&gt;高値!Z281,高値!AB281&gt;高値!AC281,高値!AB281&gt;高値!AD281),23,""))</f>
        <v/>
      </c>
      <c r="AY281" s="503" t="str">
        <f>IF(終値!A281="","",IF(AND(高値!AC281&gt;高値!AB281,高値!AC281&gt;高値!AA281,高値!AC281&gt;高値!AD281,高値!AC281&gt;高値!AE281),24,""))</f>
        <v/>
      </c>
      <c r="AZ281" s="503">
        <f>IF(終値!A281="","",IF(AND(高値!AD281&gt;高値!AC281,高値!AD281&gt;高値!AB281,高値!AD281&gt;高値!AE281,高値!AD281&gt;高値!AF281),25,""))</f>
        <v>25</v>
      </c>
      <c r="BA281" s="503" t="str">
        <f>IF(終値!A281="","",IF(AND(高値!AE281&gt;高値!AD281,高値!AE281&gt;高値!AC281,高値!AE281&gt;高値!AF281,高値!AE281&gt;高値!AG281),26,""))</f>
        <v/>
      </c>
      <c r="BB281" s="503" t="str">
        <f>IF(終値!A281="","",IF(AND(高値!AF281&gt;高値!AE281,高値!AF281&gt;高値!AD281,高値!AF281&gt;高値!AG281,高値!AF281&gt;高値!AH281),27,""))</f>
        <v/>
      </c>
      <c r="BC281" s="503" t="str">
        <f>IF(終値!A281="","",IF(AND(高値!AG281&gt;高値!AF281,高値!AG281&gt;高値!AE281,高値!AG281&gt;高値!AH281,高値!AG281&gt;高値!AI281),28,""))</f>
        <v/>
      </c>
      <c r="BD281" s="503">
        <f t="shared" si="24"/>
        <v>2</v>
      </c>
      <c r="BE281" s="503">
        <f t="shared" si="25"/>
        <v>13</v>
      </c>
      <c r="BF281" s="503">
        <f t="shared" si="26"/>
        <v>24</v>
      </c>
      <c r="BG281" s="503">
        <f>IF($BE281="","",INDEX(安値!$E281:$CZ281,1,$BE281+1))</f>
        <v>770</v>
      </c>
      <c r="BH281" s="503">
        <f>IF($BF281="","",INDEX(安値!$E281:$CZ281,1,$BF281+1))</f>
        <v>751</v>
      </c>
      <c r="BI281" s="503">
        <f>IF($BF281="","",MAX(INDEX(高値!$E281:$CZ281,1,$BE281+1):INDEX(高値!$E281:$CZ281,1,$BF281+1)))</f>
        <v>790</v>
      </c>
      <c r="BJ281" s="503">
        <f>IF($BF281="","",AVERAGE(INDEX(終値!$E281:$CZ281,1,$BF281+1):INDEX(終値!$E281:$CZ281,1,$BF281+20))-2*STDEVP(INDEX(終値!$E281:$CZ281,1,$BF281+1):INDEX(終値!$E281:$CZ281,1,$BF281+20)))</f>
        <v>726.05798321191753</v>
      </c>
      <c r="BK281" s="503">
        <f>IF($BE281="","",AVERAGE(INDEX(終値!$E281:$CZ281,1,$BE281+1):INDEX(終値!$E281:$CZ281,1,$BE281+20))-2*STDEVP(INDEX(終値!$E281:$CZ281,1,$BE281+1):INDEX(終値!$E281:$CZ281,1,$BE281+20)))</f>
        <v>732.73760762304209</v>
      </c>
      <c r="BL281" s="503">
        <f t="shared" si="27"/>
        <v>3</v>
      </c>
      <c r="BM281" s="503">
        <f t="shared" si="28"/>
        <v>4</v>
      </c>
      <c r="BN281" s="503">
        <f t="shared" si="29"/>
        <v>20</v>
      </c>
      <c r="BO281" s="503">
        <f>IF($BM281="","",INDEX(高値!$E281:$CZ281,1,$BM281+1))</f>
        <v>818</v>
      </c>
      <c r="BP281" s="503">
        <f>IF($BN281="","",INDEX(高値!$E281:$CZ281,1,$BN281+1))</f>
        <v>777</v>
      </c>
      <c r="BQ281" s="503">
        <f>IF($BN281="","",MIN(INDEX(安値!$E281:$CZ281,1,$BM281+1):INDEX(安値!$E281:$CZ281,1,$BN281+1)))</f>
        <v>769</v>
      </c>
      <c r="BR281" s="503">
        <f>IF($BN281="","",AVERAGE(INDEX(終値!$E281:$CZ281,1,$BN281+1):INDEX(終値!$E281:$CZ281,1,$BN281+20))+2*STDEVP(INDEX(終値!$E281:$CZ281,1,$BN281+1):INDEX(終値!$E281:$CZ281,1,$BN281+20)))</f>
        <v>772.31492363235066</v>
      </c>
      <c r="BS281" s="503">
        <f>IF($BM281="","",AVERAGE(INDEX(終値!$E281:$CZ281,1,$BM281+1):INDEX(終値!$E281:$CZ281,1,$BM281+20))+2*STDEVP(INDEX(終値!$E281:$CZ281,1,$BM281+1):INDEX(終値!$E281:$CZ281,1,$BM281+20)))</f>
        <v>819.78928400546818</v>
      </c>
      <c r="BT281" s="500"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3" t="str">
        <f>IF(終値!A282="","",IF(AND(安値!G282&lt;安値!F282,安値!G282&lt;安値!E282,安値!G282&lt;安値!H282,安値!G282&lt;安値!I282),2,""))</f>
        <v/>
      </c>
      <c r="C282" s="503">
        <f>IF(終値!A282="","",IF(AND(安値!H282&lt;安値!G282,安値!H282&lt;安値!F282,安値!H282&lt;安値!I282,安値!H282&lt;安値!J282),3,""))</f>
        <v>3</v>
      </c>
      <c r="D282" s="503" t="str">
        <f>IF(終値!A282="","",IF(AND(安値!I282&lt;安値!H282,安値!I282&lt;安値!G282,安値!I282&lt;安値!J282,安値!I282&lt;安値!K282),4,""))</f>
        <v/>
      </c>
      <c r="E282" s="503" t="str">
        <f>IF(終値!A282="","",IF(AND(安値!J282&lt;安値!I282,安値!J282&lt;安値!H282,安値!J282&lt;安値!K282,安値!J282&lt;安値!L282),5,""))</f>
        <v/>
      </c>
      <c r="F282" s="503" t="str">
        <f>IF(終値!A282="","",IF(AND(安値!K282&lt;安値!J282,安値!K282&lt;安値!I282,安値!K282&lt;安値!L282,安値!K282&lt;安値!M282),6,""))</f>
        <v/>
      </c>
      <c r="G282" s="503" t="str">
        <f>IF(終値!A282="","",IF(AND(安値!L282&lt;安値!K282,安値!L282&lt;安値!J282,安値!L282&lt;安値!M282,安値!L282&lt;安値!N282),7,""))</f>
        <v/>
      </c>
      <c r="H282" s="503" t="str">
        <f>IF(終値!A282="","",IF(AND(安値!M282&lt;安値!L282,安値!M282&lt;安値!K282,安値!M282&lt;安値!N282,安値!M282&lt;安値!O282),8,""))</f>
        <v/>
      </c>
      <c r="I282" s="503" t="str">
        <f>IF(終値!A282="","",IF(AND(安値!N282&lt;安値!M282,安値!N282&lt;安値!L282,安値!N282&lt;安値!O282,安値!N282&lt;安値!P282),9,""))</f>
        <v/>
      </c>
      <c r="J282" s="503" t="str">
        <f>IF(終値!A282="","",IF(AND(安値!O282&lt;安値!N282,安値!O282&lt;安値!M282,安値!O282&lt;安値!P282,安値!O282&lt;安値!Q282),10,""))</f>
        <v/>
      </c>
      <c r="K282" s="503" t="str">
        <f>IF(終値!A282="","",IF(AND(安値!P282&lt;安値!O282,安値!P282&lt;安値!N282,安値!P282&lt;安値!Q282,安値!P282&lt;安値!R282),11,""))</f>
        <v/>
      </c>
      <c r="L282" s="503" t="str">
        <f>IF(終値!A282="","",IF(AND(安値!Q282&lt;安値!P282,安値!Q282&lt;安値!O282,安値!Q282&lt;安値!R282,安値!Q282&lt;安値!S282),12,""))</f>
        <v/>
      </c>
      <c r="M282" s="503" t="str">
        <f>IF(終値!A282="","",IF(AND(安値!R282&lt;安値!Q282,安値!R282&lt;安値!P282,安値!R282&lt;安値!S282,安値!R282&lt;安値!T282),13,""))</f>
        <v/>
      </c>
      <c r="N282" s="503" t="str">
        <f>IF(終値!A282="","",IF(AND(安値!S282&lt;安値!R282,安値!S282&lt;安値!Q282,安値!S282&lt;安値!T282,安値!S282&lt;安値!U282),14,""))</f>
        <v/>
      </c>
      <c r="O282" s="503" t="str">
        <f>IF(終値!A282="","",IF(AND(安値!T282&lt;安値!S282,安値!T282&lt;安値!R282,安値!T282&lt;安値!U282,安値!T282&lt;安値!V282),15,""))</f>
        <v/>
      </c>
      <c r="P282" s="503">
        <f>IF(終値!A282="","",IF(AND(安値!U282&lt;安値!T282,安値!U282&lt;安値!S282,安値!U282&lt;安値!V282,安値!U282&lt;安値!W282),16,""))</f>
        <v>16</v>
      </c>
      <c r="Q282" s="503" t="str">
        <f>IF(終値!A282="","",IF(AND(安値!V282&lt;安値!U282,安値!V282&lt;安値!T282,安値!V282&lt;安値!W282,安値!V282&lt;安値!X282),17,""))</f>
        <v/>
      </c>
      <c r="R282" s="503" t="str">
        <f>IF(終値!A282="","",IF(AND(安値!W282&lt;安値!V282,安値!W282&lt;安値!U282,安値!W282&lt;安値!X282,安値!W282&lt;安値!Y282),18,""))</f>
        <v/>
      </c>
      <c r="S282" s="503" t="str">
        <f>IF(終値!A282="","",IF(AND(安値!X282&lt;安値!W282,安値!X282&lt;安値!V282,安値!X282&lt;安値!Y282,安値!X282&lt;安値!Z282),19,""))</f>
        <v/>
      </c>
      <c r="T282" s="503" t="str">
        <f>IF(終値!A282="","",IF(AND(安値!Y282&lt;安値!X282,安値!Y282&lt;安値!W282,安値!Y282&lt;安値!Z282,安値!Y282&lt;安値!AA282),20,""))</f>
        <v/>
      </c>
      <c r="U282" s="503" t="str">
        <f>IF(終値!A282="","",IF(AND(安値!Z282&lt;安値!Y282,安値!Z282&lt;安値!X282,安値!Z282&lt;安値!AA282,安値!Z282&lt;安値!AB282),21,""))</f>
        <v/>
      </c>
      <c r="V282" s="503" t="str">
        <f>IF(終値!A282="","",IF(AND(安値!AA282&lt;安値!Z282,安値!AA282&lt;安値!Y282,安値!AA282&lt;安値!AB282,安値!AA282&lt;安値!AC282),22,""))</f>
        <v/>
      </c>
      <c r="W282" s="503" t="str">
        <f>IF(終値!A282="","",IF(AND(安値!AB282&lt;安値!AA282,安値!AB282&lt;安値!Z282,安値!AB282&lt;安値!AC282,安値!AB282&lt;安値!AD282),23,""))</f>
        <v/>
      </c>
      <c r="X282" s="503" t="str">
        <f>IF(終値!A282="","",IF(AND(安値!AC282&lt;安値!AB282,安値!AC282&lt;安値!AA282,安値!AC282&lt;安値!AD282,安値!AC282&lt;安値!AE282),24,""))</f>
        <v/>
      </c>
      <c r="Y282" s="503" t="str">
        <f>IF(終値!A282="","",IF(AND(安値!AD282&lt;安値!AC282,安値!AD282&lt;安値!AB282,安値!AD282&lt;安値!AE282,安値!AD282&lt;安値!AF282),25,""))</f>
        <v/>
      </c>
      <c r="Z282" s="503" t="str">
        <f>IF(終値!A282="","",IF(AND(安値!AE282&lt;安値!AD282,安値!AE282&lt;安値!AC282,安値!AE282&lt;安値!AF282,安値!AE282&lt;安値!AG282),26,""))</f>
        <v/>
      </c>
      <c r="AA282" s="503" t="str">
        <f>IF(終値!A282="","",IF(AND(安値!AF282&lt;安値!AE282,安値!AF282&lt;安値!AD282,安値!AF282&lt;安値!AG282,安値!AF282&lt;安値!AH282),27,""))</f>
        <v/>
      </c>
      <c r="AB282" s="503" t="str">
        <f>IF(終値!A282="","",IF(AND(安値!AG282&lt;安値!AF282,安値!AG282&lt;安値!AE282,安値!AG282&lt;安値!AH282,安値!AG282&lt;安値!AI282),28,""))</f>
        <v/>
      </c>
      <c r="AC282" s="503" t="str">
        <f>IF(終値!A282="","",IF(AND(高値!G282&gt;高値!F282,高値!G282&gt;高値!E282,高値!G282&gt;高値!H282,高値!G282&gt;高値!I282),2,""))</f>
        <v/>
      </c>
      <c r="AD282" s="503" t="str">
        <f>IF(終値!A282="","",IF(AND(高値!H282&gt;高値!G282,高値!H282&gt;高値!F282,高値!H282&gt;高値!I282,高値!H282&gt;高値!J282),3,""))</f>
        <v/>
      </c>
      <c r="AE282" s="503" t="str">
        <f>IF(終値!A282="","",IF(AND(高値!I282&gt;高値!H282,高値!I282&gt;高値!G282,高値!I282&gt;高値!J282,高値!I282&gt;高値!K282),4,""))</f>
        <v/>
      </c>
      <c r="AF282" s="503" t="str">
        <f>IF(終値!A282="","",IF(AND(高値!J282&gt;高値!I282,高値!J282&gt;高値!H282,高値!J282&gt;高値!K282,高値!J282&gt;高値!L282),5,""))</f>
        <v/>
      </c>
      <c r="AG282" s="503">
        <f>IF(終値!A282="","",IF(AND(高値!K282&gt;高値!J282,高値!K282&gt;高値!I282,高値!K282&gt;高値!L282,高値!K282&gt;高値!M282),6,""))</f>
        <v>6</v>
      </c>
      <c r="AH282" s="503" t="str">
        <f>IF(終値!A282="","",IF(AND(高値!L282&gt;高値!K282,高値!L282&gt;高値!J282,高値!L282&gt;高値!M282,高値!L282&gt;高値!N282),7,""))</f>
        <v/>
      </c>
      <c r="AI282" s="503" t="str">
        <f>IF(終値!A282="","",IF(AND(高値!M282&gt;高値!L282,高値!M282&gt;高値!K282,高値!M282&gt;高値!N282,高値!M282&gt;高値!O282),8,""))</f>
        <v/>
      </c>
      <c r="AJ282" s="503" t="str">
        <f>IF(終値!A282="","",IF(AND(高値!N282&gt;高値!M282,高値!N282&gt;高値!L282,高値!N282&gt;高値!O282,高値!N282&gt;高値!P282),9,""))</f>
        <v/>
      </c>
      <c r="AK282" s="503" t="str">
        <f>IF(終値!A282="","",IF(AND(高値!O282&gt;高値!N282,高値!O282&gt;高値!M282,高値!O282&gt;高値!P282,高値!O282&gt;高値!Q282),10,""))</f>
        <v/>
      </c>
      <c r="AL282" s="503" t="str">
        <f>IF(終値!A282="","",IF(AND(高値!P282&gt;高値!O282,高値!P282&gt;高値!N282,高値!P282&gt;高値!Q282,高値!P282&gt;高値!R282),11,""))</f>
        <v/>
      </c>
      <c r="AM282" s="503">
        <f>IF(終値!A282="","",IF(AND(高値!Q282&gt;高値!P282,高値!Q282&gt;高値!O282,高値!Q282&gt;高値!R282,高値!Q282&gt;高値!S282),12,""))</f>
        <v>12</v>
      </c>
      <c r="AN282" s="503" t="str">
        <f>IF(終値!A282="","",IF(AND(高値!R282&gt;高値!Q282,高値!R282&gt;高値!P282,高値!R282&gt;高値!S282,高値!R282&gt;高値!T282),13,""))</f>
        <v/>
      </c>
      <c r="AO282" s="503" t="str">
        <f>IF(終値!A282="","",IF(AND(高値!S282&gt;高値!R282,高値!S282&gt;高値!Q282,高値!S282&gt;高値!T282,高値!S282&gt;高値!U282),14,""))</f>
        <v/>
      </c>
      <c r="AP282" s="503" t="str">
        <f>IF(終値!A282="","",IF(AND(高値!T282&gt;高値!S282,高値!T282&gt;高値!R282,高値!T282&gt;高値!U282,高値!T282&gt;高値!V282),15,""))</f>
        <v/>
      </c>
      <c r="AQ282" s="503" t="str">
        <f>IF(終値!A282="","",IF(AND(高値!U282&gt;高値!T282,高値!U282&gt;高値!S282,高値!U282&gt;高値!V282,高値!U282&gt;高値!W282),16,""))</f>
        <v/>
      </c>
      <c r="AR282" s="503" t="str">
        <f>IF(終値!A282="","",IF(AND(高値!V282&gt;高値!U282,高値!V282&gt;高値!T282,高値!V282&gt;高値!W282,高値!V282&gt;高値!X282),17,""))</f>
        <v/>
      </c>
      <c r="AS282" s="503" t="str">
        <f>IF(終値!A282="","",IF(AND(高値!W282&gt;高値!V282,高値!W282&gt;高値!U282,高値!W282&gt;高値!X282,高値!W282&gt;高値!Y282),18,""))</f>
        <v/>
      </c>
      <c r="AT282" s="503">
        <f>IF(終値!A282="","",IF(AND(高値!X282&gt;高値!W282,高値!X282&gt;高値!V282,高値!X282&gt;高値!Y282,高値!X282&gt;高値!Z282),19,""))</f>
        <v>19</v>
      </c>
      <c r="AU282" s="503" t="str">
        <f>IF(終値!A282="","",IF(AND(高値!Y282&gt;高値!X282,高値!Y282&gt;高値!W282,高値!Y282&gt;高値!Z282,高値!Y282&gt;高値!AA282),20,""))</f>
        <v/>
      </c>
      <c r="AV282" s="503" t="str">
        <f>IF(終値!A282="","",IF(AND(高値!Z282&gt;高値!Y282,高値!Z282&gt;高値!X282,高値!Z282&gt;高値!AA282,高値!Z282&gt;高値!AB282),21,""))</f>
        <v/>
      </c>
      <c r="AW282" s="503" t="str">
        <f>IF(終値!A282="","",IF(AND(高値!AA282&gt;高値!Z282,高値!AA282&gt;高値!Y282,高値!AA282&gt;高値!AB282,高値!AA282&gt;高値!AC282),22,""))</f>
        <v/>
      </c>
      <c r="AX282" s="503" t="str">
        <f>IF(終値!A282="","",IF(AND(高値!AB282&gt;高値!AA282,高値!AB282&gt;高値!Z282,高値!AB282&gt;高値!AC282,高値!AB282&gt;高値!AD282),23,""))</f>
        <v/>
      </c>
      <c r="AY282" s="503" t="str">
        <f>IF(終値!A282="","",IF(AND(高値!AC282&gt;高値!AB282,高値!AC282&gt;高値!AA282,高値!AC282&gt;高値!AD282,高値!AC282&gt;高値!AE282),24,""))</f>
        <v/>
      </c>
      <c r="AZ282" s="503" t="str">
        <f>IF(終値!A282="","",IF(AND(高値!AD282&gt;高値!AC282,高値!AD282&gt;高値!AB282,高値!AD282&gt;高値!AE282,高値!AD282&gt;高値!AF282),25,""))</f>
        <v/>
      </c>
      <c r="BA282" s="503" t="str">
        <f>IF(終値!A282="","",IF(AND(高値!AE282&gt;高値!AD282,高値!AE282&gt;高値!AC282,高値!AE282&gt;高値!AF282,高値!AE282&gt;高値!AG282),26,""))</f>
        <v/>
      </c>
      <c r="BB282" s="503" t="str">
        <f>IF(終値!A282="","",IF(AND(高値!AF282&gt;高値!AE282,高値!AF282&gt;高値!AD282,高値!AF282&gt;高値!AG282,高値!AF282&gt;高値!AH282),27,""))</f>
        <v/>
      </c>
      <c r="BC282" s="503" t="str">
        <f>IF(終値!A282="","",IF(AND(高値!AG282&gt;高値!AF282,高値!AG282&gt;高値!AE282,高値!AG282&gt;高値!AH282,高値!AG282&gt;高値!AI282),28,""))</f>
        <v/>
      </c>
      <c r="BD282" s="503">
        <f t="shared" si="24"/>
        <v>2</v>
      </c>
      <c r="BE282" s="503">
        <f t="shared" si="25"/>
        <v>3</v>
      </c>
      <c r="BF282" s="503">
        <f t="shared" si="26"/>
        <v>16</v>
      </c>
      <c r="BG282" s="503">
        <f>IF($BE282="","",INDEX(安値!$E282:$CZ282,1,$BE282+1))</f>
        <v>1911</v>
      </c>
      <c r="BH282" s="503">
        <f>IF($BF282="","",INDEX(安値!$E282:$CZ282,1,$BF282+1))</f>
        <v>1894</v>
      </c>
      <c r="BI282" s="503">
        <f>IF($BF282="","",MAX(INDEX(高値!$E282:$CZ282,1,$BE282+1):INDEX(高値!$E282:$CZ282,1,$BF282+1)))</f>
        <v>1980</v>
      </c>
      <c r="BJ282" s="503">
        <f>IF($BF282="","",AVERAGE(INDEX(終値!$E282:$CZ282,1,$BF282+1):INDEX(終値!$E282:$CZ282,1,$BF282+20))-2*STDEVP(INDEX(終値!$E282:$CZ282,1,$BF282+1):INDEX(終値!$E282:$CZ282,1,$BF282+20)))</f>
        <v>1813.6286668588077</v>
      </c>
      <c r="BK282" s="503">
        <f>IF($BE282="","",AVERAGE(INDEX(終値!$E282:$CZ282,1,$BE282+1):INDEX(終値!$E282:$CZ282,1,$BE282+20))-2*STDEVP(INDEX(終値!$E282:$CZ282,1,$BE282+1):INDEX(終値!$E282:$CZ282,1,$BE282+20)))</f>
        <v>1874.0582415973797</v>
      </c>
      <c r="BL282" s="503">
        <f t="shared" si="27"/>
        <v>3</v>
      </c>
      <c r="BM282" s="503">
        <f t="shared" si="28"/>
        <v>6</v>
      </c>
      <c r="BN282" s="503">
        <f t="shared" si="29"/>
        <v>12</v>
      </c>
      <c r="BO282" s="503">
        <f>IF($BM282="","",INDEX(高値!$E282:$CZ282,1,$BM282+1))</f>
        <v>1980</v>
      </c>
      <c r="BP282" s="503">
        <f>IF($BN282="","",INDEX(高値!$E282:$CZ282,1,$BN282+1))</f>
        <v>1950</v>
      </c>
      <c r="BQ282" s="503">
        <f>IF($BN282="","",MIN(INDEX(安値!$E282:$CZ282,1,$BM282+1):INDEX(安値!$E282:$CZ282,1,$BN282+1)))</f>
        <v>1897</v>
      </c>
      <c r="BR282" s="503">
        <f>IF($BN282="","",AVERAGE(INDEX(終値!$E282:$CZ282,1,$BN282+1):INDEX(終値!$E282:$CZ282,1,$BN282+20))+2*STDEVP(INDEX(終値!$E282:$CZ282,1,$BN282+1):INDEX(終値!$E282:$CZ282,1,$BN282+20)))</f>
        <v>1941.9006329077704</v>
      </c>
      <c r="BS282" s="503">
        <f>IF($BM282="","",AVERAGE(INDEX(終値!$E282:$CZ282,1,$BM282+1):INDEX(終値!$E282:$CZ282,1,$BM282+20))+2*STDEVP(INDEX(終値!$E282:$CZ282,1,$BM282+1):INDEX(終値!$E282:$CZ282,1,$BM282+20)))</f>
        <v>1954.8789555239828</v>
      </c>
      <c r="BT282" s="500"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二番底W形成</v>
      </c>
    </row>
    <row r="283" spans="2:72">
      <c r="B283" s="503" t="str">
        <f>IF(終値!A283="","",IF(AND(安値!G283&lt;安値!F283,安値!G283&lt;安値!E283,安値!G283&lt;安値!H283,安値!G283&lt;安値!I283),2,""))</f>
        <v/>
      </c>
      <c r="C283" s="503" t="str">
        <f>IF(終値!A283="","",IF(AND(安値!H283&lt;安値!G283,安値!H283&lt;安値!F283,安値!H283&lt;安値!I283,安値!H283&lt;安値!J283),3,""))</f>
        <v/>
      </c>
      <c r="D283" s="503" t="str">
        <f>IF(終値!A283="","",IF(AND(安値!I283&lt;安値!H283,安値!I283&lt;安値!G283,安値!I283&lt;安値!J283,安値!I283&lt;安値!K283),4,""))</f>
        <v/>
      </c>
      <c r="E283" s="503" t="str">
        <f>IF(終値!A283="","",IF(AND(安値!J283&lt;安値!I283,安値!J283&lt;安値!H283,安値!J283&lt;安値!K283,安値!J283&lt;安値!L283),5,""))</f>
        <v/>
      </c>
      <c r="F283" s="503">
        <f>IF(終値!A283="","",IF(AND(安値!K283&lt;安値!J283,安値!K283&lt;安値!I283,安値!K283&lt;安値!L283,安値!K283&lt;安値!M283),6,""))</f>
        <v>6</v>
      </c>
      <c r="G283" s="503" t="str">
        <f>IF(終値!A283="","",IF(AND(安値!L283&lt;安値!K283,安値!L283&lt;安値!J283,安値!L283&lt;安値!M283,安値!L283&lt;安値!N283),7,""))</f>
        <v/>
      </c>
      <c r="H283" s="503" t="str">
        <f>IF(終値!A283="","",IF(AND(安値!M283&lt;安値!L283,安値!M283&lt;安値!K283,安値!M283&lt;安値!N283,安値!M283&lt;安値!O283),8,""))</f>
        <v/>
      </c>
      <c r="I283" s="503" t="str">
        <f>IF(終値!A283="","",IF(AND(安値!N283&lt;安値!M283,安値!N283&lt;安値!L283,安値!N283&lt;安値!O283,安値!N283&lt;安値!P283),9,""))</f>
        <v/>
      </c>
      <c r="J283" s="503" t="str">
        <f>IF(終値!A283="","",IF(AND(安値!O283&lt;安値!N283,安値!O283&lt;安値!M283,安値!O283&lt;安値!P283,安値!O283&lt;安値!Q283),10,""))</f>
        <v/>
      </c>
      <c r="K283" s="503" t="str">
        <f>IF(終値!A283="","",IF(AND(安値!P283&lt;安値!O283,安値!P283&lt;安値!N283,安値!P283&lt;安値!Q283,安値!P283&lt;安値!R283),11,""))</f>
        <v/>
      </c>
      <c r="L283" s="503" t="str">
        <f>IF(終値!A283="","",IF(AND(安値!Q283&lt;安値!P283,安値!Q283&lt;安値!O283,安値!Q283&lt;安値!R283,安値!Q283&lt;安値!S283),12,""))</f>
        <v/>
      </c>
      <c r="M283" s="503">
        <f>IF(終値!A283="","",IF(AND(安値!R283&lt;安値!Q283,安値!R283&lt;安値!P283,安値!R283&lt;安値!S283,安値!R283&lt;安値!T283),13,""))</f>
        <v>13</v>
      </c>
      <c r="N283" s="503" t="str">
        <f>IF(終値!A283="","",IF(AND(安値!S283&lt;安値!R283,安値!S283&lt;安値!Q283,安値!S283&lt;安値!T283,安値!S283&lt;安値!U283),14,""))</f>
        <v/>
      </c>
      <c r="O283" s="503" t="str">
        <f>IF(終値!A283="","",IF(AND(安値!T283&lt;安値!S283,安値!T283&lt;安値!R283,安値!T283&lt;安値!U283,安値!T283&lt;安値!V283),15,""))</f>
        <v/>
      </c>
      <c r="P283" s="503" t="str">
        <f>IF(終値!A283="","",IF(AND(安値!U283&lt;安値!T283,安値!U283&lt;安値!S283,安値!U283&lt;安値!V283,安値!U283&lt;安値!W283),16,""))</f>
        <v/>
      </c>
      <c r="Q283" s="503" t="str">
        <f>IF(終値!A283="","",IF(AND(安値!V283&lt;安値!U283,安値!V283&lt;安値!T283,安値!V283&lt;安値!W283,安値!V283&lt;安値!X283),17,""))</f>
        <v/>
      </c>
      <c r="R283" s="503" t="str">
        <f>IF(終値!A283="","",IF(AND(安値!W283&lt;安値!V283,安値!W283&lt;安値!U283,安値!W283&lt;安値!X283,安値!W283&lt;安値!Y283),18,""))</f>
        <v/>
      </c>
      <c r="S283" s="503">
        <f>IF(終値!A283="","",IF(AND(安値!X283&lt;安値!W283,安値!X283&lt;安値!V283,安値!X283&lt;安値!Y283,安値!X283&lt;安値!Z283),19,""))</f>
        <v>19</v>
      </c>
      <c r="T283" s="503" t="str">
        <f>IF(終値!A283="","",IF(AND(安値!Y283&lt;安値!X283,安値!Y283&lt;安値!W283,安値!Y283&lt;安値!Z283,安値!Y283&lt;安値!AA283),20,""))</f>
        <v/>
      </c>
      <c r="U283" s="503" t="str">
        <f>IF(終値!A283="","",IF(AND(安値!Z283&lt;安値!Y283,安値!Z283&lt;安値!X283,安値!Z283&lt;安値!AA283,安値!Z283&lt;安値!AB283),21,""))</f>
        <v/>
      </c>
      <c r="V283" s="503" t="str">
        <f>IF(終値!A283="","",IF(AND(安値!AA283&lt;安値!Z283,安値!AA283&lt;安値!Y283,安値!AA283&lt;安値!AB283,安値!AA283&lt;安値!AC283),22,""))</f>
        <v/>
      </c>
      <c r="W283" s="503" t="str">
        <f>IF(終値!A283="","",IF(AND(安値!AB283&lt;安値!AA283,安値!AB283&lt;安値!Z283,安値!AB283&lt;安値!AC283,安値!AB283&lt;安値!AD283),23,""))</f>
        <v/>
      </c>
      <c r="X283" s="503" t="str">
        <f>IF(終値!A283="","",IF(AND(安値!AC283&lt;安値!AB283,安値!AC283&lt;安値!AA283,安値!AC283&lt;安値!AD283,安値!AC283&lt;安値!AE283),24,""))</f>
        <v/>
      </c>
      <c r="Y283" s="503" t="str">
        <f>IF(終値!A283="","",IF(AND(安値!AD283&lt;安値!AC283,安値!AD283&lt;安値!AB283,安値!AD283&lt;安値!AE283,安値!AD283&lt;安値!AF283),25,""))</f>
        <v/>
      </c>
      <c r="Z283" s="503">
        <f>IF(終値!A283="","",IF(AND(安値!AE283&lt;安値!AD283,安値!AE283&lt;安値!AC283,安値!AE283&lt;安値!AF283,安値!AE283&lt;安値!AG283),26,""))</f>
        <v>26</v>
      </c>
      <c r="AA283" s="503" t="str">
        <f>IF(終値!A283="","",IF(AND(安値!AF283&lt;安値!AE283,安値!AF283&lt;安値!AD283,安値!AF283&lt;安値!AG283,安値!AF283&lt;安値!AH283),27,""))</f>
        <v/>
      </c>
      <c r="AB283" s="503" t="str">
        <f>IF(終値!A283="","",IF(AND(安値!AG283&lt;安値!AF283,安値!AG283&lt;安値!AE283,安値!AG283&lt;安値!AH283,安値!AG283&lt;安値!AI283),28,""))</f>
        <v/>
      </c>
      <c r="AC283" s="503" t="str">
        <f>IF(終値!A283="","",IF(AND(高値!G283&gt;高値!F283,高値!G283&gt;高値!E283,高値!G283&gt;高値!H283,高値!G283&gt;高値!I283),2,""))</f>
        <v/>
      </c>
      <c r="AD283" s="503" t="str">
        <f>IF(終値!A283="","",IF(AND(高値!H283&gt;高値!G283,高値!H283&gt;高値!F283,高値!H283&gt;高値!I283,高値!H283&gt;高値!J283),3,""))</f>
        <v/>
      </c>
      <c r="AE283" s="503">
        <f>IF(終値!A283="","",IF(AND(高値!I283&gt;高値!H283,高値!I283&gt;高値!G283,高値!I283&gt;高値!J283,高値!I283&gt;高値!K283),4,""))</f>
        <v>4</v>
      </c>
      <c r="AF283" s="503" t="str">
        <f>IF(終値!A283="","",IF(AND(高値!J283&gt;高値!I283,高値!J283&gt;高値!H283,高値!J283&gt;高値!K283,高値!J283&gt;高値!L283),5,""))</f>
        <v/>
      </c>
      <c r="AG283" s="503" t="str">
        <f>IF(終値!A283="","",IF(AND(高値!K283&gt;高値!J283,高値!K283&gt;高値!I283,高値!K283&gt;高値!L283,高値!K283&gt;高値!M283),6,""))</f>
        <v/>
      </c>
      <c r="AH283" s="503" t="str">
        <f>IF(終値!A283="","",IF(AND(高値!L283&gt;高値!K283,高値!L283&gt;高値!J283,高値!L283&gt;高値!M283,高値!L283&gt;高値!N283),7,""))</f>
        <v/>
      </c>
      <c r="AI283" s="503" t="str">
        <f>IF(終値!A283="","",IF(AND(高値!M283&gt;高値!L283,高値!M283&gt;高値!K283,高値!M283&gt;高値!N283,高値!M283&gt;高値!O283),8,""))</f>
        <v/>
      </c>
      <c r="AJ283" s="503" t="str">
        <f>IF(終値!A283="","",IF(AND(高値!N283&gt;高値!M283,高値!N283&gt;高値!L283,高値!N283&gt;高値!O283,高値!N283&gt;高値!P283),9,""))</f>
        <v/>
      </c>
      <c r="AK283" s="503" t="str">
        <f>IF(終値!A283="","",IF(AND(高値!O283&gt;高値!N283,高値!O283&gt;高値!M283,高値!O283&gt;高値!P283,高値!O283&gt;高値!Q283),10,""))</f>
        <v/>
      </c>
      <c r="AL283" s="503">
        <f>IF(終値!A283="","",IF(AND(高値!P283&gt;高値!O283,高値!P283&gt;高値!N283,高値!P283&gt;高値!Q283,高値!P283&gt;高値!R283),11,""))</f>
        <v>11</v>
      </c>
      <c r="AM283" s="503" t="str">
        <f>IF(終値!A283="","",IF(AND(高値!Q283&gt;高値!P283,高値!Q283&gt;高値!O283,高値!Q283&gt;高値!R283,高値!Q283&gt;高値!S283),12,""))</f>
        <v/>
      </c>
      <c r="AN283" s="503" t="str">
        <f>IF(終値!A283="","",IF(AND(高値!R283&gt;高値!Q283,高値!R283&gt;高値!P283,高値!R283&gt;高値!S283,高値!R283&gt;高値!T283),13,""))</f>
        <v/>
      </c>
      <c r="AO283" s="503">
        <f>IF(終値!A283="","",IF(AND(高値!S283&gt;高値!R283,高値!S283&gt;高値!Q283,高値!S283&gt;高値!T283,高値!S283&gt;高値!U283),14,""))</f>
        <v>14</v>
      </c>
      <c r="AP283" s="503" t="str">
        <f>IF(終値!A283="","",IF(AND(高値!T283&gt;高値!S283,高値!T283&gt;高値!R283,高値!T283&gt;高値!U283,高値!T283&gt;高値!V283),15,""))</f>
        <v/>
      </c>
      <c r="AQ283" s="503" t="str">
        <f>IF(終値!A283="","",IF(AND(高値!U283&gt;高値!T283,高値!U283&gt;高値!S283,高値!U283&gt;高値!V283,高値!U283&gt;高値!W283),16,""))</f>
        <v/>
      </c>
      <c r="AR283" s="503" t="str">
        <f>IF(終値!A283="","",IF(AND(高値!V283&gt;高値!U283,高値!V283&gt;高値!T283,高値!V283&gt;高値!W283,高値!V283&gt;高値!X283),17,""))</f>
        <v/>
      </c>
      <c r="AS283" s="503" t="str">
        <f>IF(終値!A283="","",IF(AND(高値!W283&gt;高値!V283,高値!W283&gt;高値!U283,高値!W283&gt;高値!X283,高値!W283&gt;高値!Y283),18,""))</f>
        <v/>
      </c>
      <c r="AT283" s="503" t="str">
        <f>IF(終値!A283="","",IF(AND(高値!X283&gt;高値!W283,高値!X283&gt;高値!V283,高値!X283&gt;高値!Y283,高値!X283&gt;高値!Z283),19,""))</f>
        <v/>
      </c>
      <c r="AU283" s="503" t="str">
        <f>IF(終値!A283="","",IF(AND(高値!Y283&gt;高値!X283,高値!Y283&gt;高値!W283,高値!Y283&gt;高値!Z283,高値!Y283&gt;高値!AA283),20,""))</f>
        <v/>
      </c>
      <c r="AV283" s="503">
        <f>IF(終値!A283="","",IF(AND(高値!Z283&gt;高値!Y283,高値!Z283&gt;高値!X283,高値!Z283&gt;高値!AA283,高値!Z283&gt;高値!AB283),21,""))</f>
        <v>21</v>
      </c>
      <c r="AW283" s="503" t="str">
        <f>IF(終値!A283="","",IF(AND(高値!AA283&gt;高値!Z283,高値!AA283&gt;高値!Y283,高値!AA283&gt;高値!AB283,高値!AA283&gt;高値!AC283),22,""))</f>
        <v/>
      </c>
      <c r="AX283" s="503" t="str">
        <f>IF(終値!A283="","",IF(AND(高値!AB283&gt;高値!AA283,高値!AB283&gt;高値!Z283,高値!AB283&gt;高値!AC283,高値!AB283&gt;高値!AD283),23,""))</f>
        <v/>
      </c>
      <c r="AY283" s="503">
        <f>IF(終値!A283="","",IF(AND(高値!AC283&gt;高値!AB283,高値!AC283&gt;高値!AA283,高値!AC283&gt;高値!AD283,高値!AC283&gt;高値!AE283),24,""))</f>
        <v>24</v>
      </c>
      <c r="AZ283" s="503" t="str">
        <f>IF(終値!A283="","",IF(AND(高値!AD283&gt;高値!AC283,高値!AD283&gt;高値!AB283,高値!AD283&gt;高値!AE283,高値!AD283&gt;高値!AF283),25,""))</f>
        <v/>
      </c>
      <c r="BA283" s="503" t="str">
        <f>IF(終値!A283="","",IF(AND(高値!AE283&gt;高値!AD283,高値!AE283&gt;高値!AC283,高値!AE283&gt;高値!AF283,高値!AE283&gt;高値!AG283),26,""))</f>
        <v/>
      </c>
      <c r="BB283" s="503" t="str">
        <f>IF(終値!A283="","",IF(AND(高値!AF283&gt;高値!AE283,高値!AF283&gt;高値!AD283,高値!AF283&gt;高値!AG283,高値!AF283&gt;高値!AH283),27,""))</f>
        <v/>
      </c>
      <c r="BC283" s="503" t="str">
        <f>IF(終値!A283="","",IF(AND(高値!AG283&gt;高値!AF283,高値!AG283&gt;高値!AE283,高値!AG283&gt;高値!AH283,高値!AG283&gt;高値!AI283),28,""))</f>
        <v/>
      </c>
      <c r="BD283" s="503">
        <f t="shared" si="24"/>
        <v>4</v>
      </c>
      <c r="BE283" s="503">
        <f t="shared" si="25"/>
        <v>6</v>
      </c>
      <c r="BF283" s="503">
        <f t="shared" si="26"/>
        <v>13</v>
      </c>
      <c r="BG283" s="503">
        <f>IF($BE283="","",INDEX(安値!$E283:$CZ283,1,$BE283+1))</f>
        <v>11370</v>
      </c>
      <c r="BH283" s="503">
        <f>IF($BF283="","",INDEX(安値!$E283:$CZ283,1,$BF283+1))</f>
        <v>16030</v>
      </c>
      <c r="BI283" s="503">
        <f>IF($BF283="","",MAX(INDEX(高値!$E283:$CZ283,1,$BE283+1):INDEX(高値!$E283:$CZ283,1,$BF283+1)))</f>
        <v>17695</v>
      </c>
      <c r="BJ283" s="503">
        <f>IF($BF283="","",AVERAGE(INDEX(終値!$E283:$CZ283,1,$BF283+1):INDEX(終値!$E283:$CZ283,1,$BF283+20))-2*STDEVP(INDEX(終値!$E283:$CZ283,1,$BF283+1):INDEX(終値!$E283:$CZ283,1,$BF283+20)))</f>
        <v>15667.610913583409</v>
      </c>
      <c r="BK283" s="503">
        <f>IF($BE283="","",AVERAGE(INDEX(終値!$E283:$CZ283,1,$BE283+1):INDEX(終値!$E283:$CZ283,1,$BE283+20))-2*STDEVP(INDEX(終値!$E283:$CZ283,1,$BE283+1):INDEX(終値!$E283:$CZ283,1,$BE283+20)))</f>
        <v>13627.440656710869</v>
      </c>
      <c r="BL283" s="503">
        <f t="shared" si="27"/>
        <v>5</v>
      </c>
      <c r="BM283" s="503">
        <f t="shared" si="28"/>
        <v>4</v>
      </c>
      <c r="BN283" s="503">
        <f t="shared" si="29"/>
        <v>11</v>
      </c>
      <c r="BO283" s="503">
        <f>IF($BM283="","",INDEX(高値!$E283:$CZ283,1,$BM283+1))</f>
        <v>13800</v>
      </c>
      <c r="BP283" s="503">
        <f>IF($BN283="","",INDEX(高値!$E283:$CZ283,1,$BN283+1))</f>
        <v>17695</v>
      </c>
      <c r="BQ283" s="503">
        <f>IF($BN283="","",MIN(INDEX(安値!$E283:$CZ283,1,$BM283+1):INDEX(安値!$E283:$CZ283,1,$BN283+1)))</f>
        <v>11370</v>
      </c>
      <c r="BR283" s="503">
        <f>IF($BN283="","",AVERAGE(INDEX(終値!$E283:$CZ283,1,$BN283+1):INDEX(終値!$E283:$CZ283,1,$BN283+20))+2*STDEVP(INDEX(終値!$E283:$CZ283,1,$BN283+1):INDEX(終値!$E283:$CZ283,1,$BN283+20)))</f>
        <v>19378.162903030836</v>
      </c>
      <c r="BS283" s="503">
        <f>IF($BM283="","",AVERAGE(INDEX(終値!$E283:$CZ283,1,$BM283+1):INDEX(終値!$E283:$CZ283,1,$BM283+20))+2*STDEVP(INDEX(終値!$E283:$CZ283,1,$BM283+1):INDEX(終値!$E283:$CZ283,1,$BM283+20)))</f>
        <v>20664.251407143045</v>
      </c>
      <c r="BT283" s="500"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3" t="str">
        <f>IF(終値!A284="","",IF(AND(安値!G284&lt;安値!F284,安値!G284&lt;安値!E284,安値!G284&lt;安値!H284,安値!G284&lt;安値!I284),2,""))</f>
        <v/>
      </c>
      <c r="C284" s="503" t="str">
        <f>IF(終値!A284="","",IF(AND(安値!H284&lt;安値!G284,安値!H284&lt;安値!F284,安値!H284&lt;安値!I284,安値!H284&lt;安値!J284),3,""))</f>
        <v/>
      </c>
      <c r="D284" s="503" t="str">
        <f>IF(終値!A284="","",IF(AND(安値!I284&lt;安値!H284,安値!I284&lt;安値!G284,安値!I284&lt;安値!J284,安値!I284&lt;安値!K284),4,""))</f>
        <v/>
      </c>
      <c r="E284" s="503">
        <f>IF(終値!A284="","",IF(AND(安値!J284&lt;安値!I284,安値!J284&lt;安値!H284,安値!J284&lt;安値!K284,安値!J284&lt;安値!L284),5,""))</f>
        <v>5</v>
      </c>
      <c r="F284" s="503" t="str">
        <f>IF(終値!A284="","",IF(AND(安値!K284&lt;安値!J284,安値!K284&lt;安値!I284,安値!K284&lt;安値!L284,安値!K284&lt;安値!M284),6,""))</f>
        <v/>
      </c>
      <c r="G284" s="503" t="str">
        <f>IF(終値!A284="","",IF(AND(安値!L284&lt;安値!K284,安値!L284&lt;安値!J284,安値!L284&lt;安値!M284,安値!L284&lt;安値!N284),7,""))</f>
        <v/>
      </c>
      <c r="H284" s="503" t="str">
        <f>IF(終値!A284="","",IF(AND(安値!M284&lt;安値!L284,安値!M284&lt;安値!K284,安値!M284&lt;安値!N284,安値!M284&lt;安値!O284),8,""))</f>
        <v/>
      </c>
      <c r="I284" s="503" t="str">
        <f>IF(終値!A284="","",IF(AND(安値!N284&lt;安値!M284,安値!N284&lt;安値!L284,安値!N284&lt;安値!O284,安値!N284&lt;安値!P284),9,""))</f>
        <v/>
      </c>
      <c r="J284" s="503" t="str">
        <f>IF(終値!A284="","",IF(AND(安値!O284&lt;安値!N284,安値!O284&lt;安値!M284,安値!O284&lt;安値!P284,安値!O284&lt;安値!Q284),10,""))</f>
        <v/>
      </c>
      <c r="K284" s="503" t="str">
        <f>IF(終値!A284="","",IF(AND(安値!P284&lt;安値!O284,安値!P284&lt;安値!N284,安値!P284&lt;安値!Q284,安値!P284&lt;安値!R284),11,""))</f>
        <v/>
      </c>
      <c r="L284" s="503" t="str">
        <f>IF(終値!A284="","",IF(AND(安値!Q284&lt;安値!P284,安値!Q284&lt;安値!O284,安値!Q284&lt;安値!R284,安値!Q284&lt;安値!S284),12,""))</f>
        <v/>
      </c>
      <c r="M284" s="503" t="str">
        <f>IF(終値!A284="","",IF(AND(安値!R284&lt;安値!Q284,安値!R284&lt;安値!P284,安値!R284&lt;安値!S284,安値!R284&lt;安値!T284),13,""))</f>
        <v/>
      </c>
      <c r="N284" s="503" t="str">
        <f>IF(終値!A284="","",IF(AND(安値!S284&lt;安値!R284,安値!S284&lt;安値!Q284,安値!S284&lt;安値!T284,安値!S284&lt;安値!U284),14,""))</f>
        <v/>
      </c>
      <c r="O284" s="503" t="str">
        <f>IF(終値!A284="","",IF(AND(安値!T284&lt;安値!S284,安値!T284&lt;安値!R284,安値!T284&lt;安値!U284,安値!T284&lt;安値!V284),15,""))</f>
        <v/>
      </c>
      <c r="P284" s="503" t="str">
        <f>IF(終値!A284="","",IF(AND(安値!U284&lt;安値!T284,安値!U284&lt;安値!S284,安値!U284&lt;安値!V284,安値!U284&lt;安値!W284),16,""))</f>
        <v/>
      </c>
      <c r="Q284" s="503" t="str">
        <f>IF(終値!A284="","",IF(AND(安値!V284&lt;安値!U284,安値!V284&lt;安値!T284,安値!V284&lt;安値!W284,安値!V284&lt;安値!X284),17,""))</f>
        <v/>
      </c>
      <c r="R284" s="503" t="str">
        <f>IF(終値!A284="","",IF(AND(安値!W284&lt;安値!V284,安値!W284&lt;安値!U284,安値!W284&lt;安値!X284,安値!W284&lt;安値!Y284),18,""))</f>
        <v/>
      </c>
      <c r="S284" s="503">
        <f>IF(終値!A284="","",IF(AND(安値!X284&lt;安値!W284,安値!X284&lt;安値!V284,安値!X284&lt;安値!Y284,安値!X284&lt;安値!Z284),19,""))</f>
        <v>19</v>
      </c>
      <c r="T284" s="503" t="str">
        <f>IF(終値!A284="","",IF(AND(安値!Y284&lt;安値!X284,安値!Y284&lt;安値!W284,安値!Y284&lt;安値!Z284,安値!Y284&lt;安値!AA284),20,""))</f>
        <v/>
      </c>
      <c r="U284" s="503" t="str">
        <f>IF(終値!A284="","",IF(AND(安値!Z284&lt;安値!Y284,安値!Z284&lt;安値!X284,安値!Z284&lt;安値!AA284,安値!Z284&lt;安値!AB284),21,""))</f>
        <v/>
      </c>
      <c r="V284" s="503" t="str">
        <f>IF(終値!A284="","",IF(AND(安値!AA284&lt;安値!Z284,安値!AA284&lt;安値!Y284,安値!AA284&lt;安値!AB284,安値!AA284&lt;安値!AC284),22,""))</f>
        <v/>
      </c>
      <c r="W284" s="503" t="str">
        <f>IF(終値!A284="","",IF(AND(安値!AB284&lt;安値!AA284,安値!AB284&lt;安値!Z284,安値!AB284&lt;安値!AC284,安値!AB284&lt;安値!AD284),23,""))</f>
        <v/>
      </c>
      <c r="X284" s="503" t="str">
        <f>IF(終値!A284="","",IF(AND(安値!AC284&lt;安値!AB284,安値!AC284&lt;安値!AA284,安値!AC284&lt;安値!AD284,安値!AC284&lt;安値!AE284),24,""))</f>
        <v/>
      </c>
      <c r="Y284" s="503" t="str">
        <f>IF(終値!A284="","",IF(AND(安値!AD284&lt;安値!AC284,安値!AD284&lt;安値!AB284,安値!AD284&lt;安値!AE284,安値!AD284&lt;安値!AF284),25,""))</f>
        <v/>
      </c>
      <c r="Z284" s="503" t="str">
        <f>IF(終値!A284="","",IF(AND(安値!AE284&lt;安値!AD284,安値!AE284&lt;安値!AC284,安値!AE284&lt;安値!AF284,安値!AE284&lt;安値!AG284),26,""))</f>
        <v/>
      </c>
      <c r="AA284" s="503" t="str">
        <f>IF(終値!A284="","",IF(AND(安値!AF284&lt;安値!AE284,安値!AF284&lt;安値!AD284,安値!AF284&lt;安値!AG284,安値!AF284&lt;安値!AH284),27,""))</f>
        <v/>
      </c>
      <c r="AB284" s="503" t="str">
        <f>IF(終値!A284="","",IF(AND(安値!AG284&lt;安値!AF284,安値!AG284&lt;安値!AE284,安値!AG284&lt;安値!AH284,安値!AG284&lt;安値!AI284),28,""))</f>
        <v/>
      </c>
      <c r="AC284" s="503">
        <f>IF(終値!A284="","",IF(AND(高値!G284&gt;高値!F284,高値!G284&gt;高値!E284,高値!G284&gt;高値!H284,高値!G284&gt;高値!I284),2,""))</f>
        <v>2</v>
      </c>
      <c r="AD284" s="503" t="str">
        <f>IF(終値!A284="","",IF(AND(高値!H284&gt;高値!G284,高値!H284&gt;高値!F284,高値!H284&gt;高値!I284,高値!H284&gt;高値!J284),3,""))</f>
        <v/>
      </c>
      <c r="AE284" s="503" t="str">
        <f>IF(終値!A284="","",IF(AND(高値!I284&gt;高値!H284,高値!I284&gt;高値!G284,高値!I284&gt;高値!J284,高値!I284&gt;高値!K284),4,""))</f>
        <v/>
      </c>
      <c r="AF284" s="503" t="str">
        <f>IF(終値!A284="","",IF(AND(高値!J284&gt;高値!I284,高値!J284&gt;高値!H284,高値!J284&gt;高値!K284,高値!J284&gt;高値!L284),5,""))</f>
        <v/>
      </c>
      <c r="AG284" s="503" t="str">
        <f>IF(終値!A284="","",IF(AND(高値!K284&gt;高値!J284,高値!K284&gt;高値!I284,高値!K284&gt;高値!L284,高値!K284&gt;高値!M284),6,""))</f>
        <v/>
      </c>
      <c r="AH284" s="503" t="str">
        <f>IF(終値!A284="","",IF(AND(高値!L284&gt;高値!K284,高値!L284&gt;高値!J284,高値!L284&gt;高値!M284,高値!L284&gt;高値!N284),7,""))</f>
        <v/>
      </c>
      <c r="AI284" s="503" t="str">
        <f>IF(終値!A284="","",IF(AND(高値!M284&gt;高値!L284,高値!M284&gt;高値!K284,高値!M284&gt;高値!N284,高値!M284&gt;高値!O284),8,""))</f>
        <v/>
      </c>
      <c r="AJ284" s="503" t="str">
        <f>IF(終値!A284="","",IF(AND(高値!N284&gt;高値!M284,高値!N284&gt;高値!L284,高値!N284&gt;高値!O284,高値!N284&gt;高値!P284),9,""))</f>
        <v/>
      </c>
      <c r="AK284" s="503" t="str">
        <f>IF(終値!A284="","",IF(AND(高値!O284&gt;高値!N284,高値!O284&gt;高値!M284,高値!O284&gt;高値!P284,高値!O284&gt;高値!Q284),10,""))</f>
        <v/>
      </c>
      <c r="AL284" s="503" t="str">
        <f>IF(終値!A284="","",IF(AND(高値!P284&gt;高値!O284,高値!P284&gt;高値!N284,高値!P284&gt;高値!Q284,高値!P284&gt;高値!R284),11,""))</f>
        <v/>
      </c>
      <c r="AM284" s="503" t="str">
        <f>IF(終値!A284="","",IF(AND(高値!Q284&gt;高値!P284,高値!Q284&gt;高値!O284,高値!Q284&gt;高値!R284,高値!Q284&gt;高値!S284),12,""))</f>
        <v/>
      </c>
      <c r="AN284" s="503" t="str">
        <f>IF(終値!A284="","",IF(AND(高値!R284&gt;高値!Q284,高値!R284&gt;高値!P284,高値!R284&gt;高値!S284,高値!R284&gt;高値!T284),13,""))</f>
        <v/>
      </c>
      <c r="AO284" s="503" t="str">
        <f>IF(終値!A284="","",IF(AND(高値!S284&gt;高値!R284,高値!S284&gt;高値!Q284,高値!S284&gt;高値!T284,高値!S284&gt;高値!U284),14,""))</f>
        <v/>
      </c>
      <c r="AP284" s="503" t="str">
        <f>IF(終値!A284="","",IF(AND(高値!T284&gt;高値!S284,高値!T284&gt;高値!R284,高値!T284&gt;高値!U284,高値!T284&gt;高値!V284),15,""))</f>
        <v/>
      </c>
      <c r="AQ284" s="503">
        <f>IF(終値!A284="","",IF(AND(高値!U284&gt;高値!T284,高値!U284&gt;高値!S284,高値!U284&gt;高値!V284,高値!U284&gt;高値!W284),16,""))</f>
        <v>16</v>
      </c>
      <c r="AR284" s="503" t="str">
        <f>IF(終値!A284="","",IF(AND(高値!V284&gt;高値!U284,高値!V284&gt;高値!T284,高値!V284&gt;高値!W284,高値!V284&gt;高値!X284),17,""))</f>
        <v/>
      </c>
      <c r="AS284" s="503" t="str">
        <f>IF(終値!A284="","",IF(AND(高値!W284&gt;高値!V284,高値!W284&gt;高値!U284,高値!W284&gt;高値!X284,高値!W284&gt;高値!Y284),18,""))</f>
        <v/>
      </c>
      <c r="AT284" s="503" t="str">
        <f>IF(終値!A284="","",IF(AND(高値!X284&gt;高値!W284,高値!X284&gt;高値!V284,高値!X284&gt;高値!Y284,高値!X284&gt;高値!Z284),19,""))</f>
        <v/>
      </c>
      <c r="AU284" s="503" t="str">
        <f>IF(終値!A284="","",IF(AND(高値!Y284&gt;高値!X284,高値!Y284&gt;高値!W284,高値!Y284&gt;高値!Z284,高値!Y284&gt;高値!AA284),20,""))</f>
        <v/>
      </c>
      <c r="AV284" s="503" t="str">
        <f>IF(終値!A284="","",IF(AND(高値!Z284&gt;高値!Y284,高値!Z284&gt;高値!X284,高値!Z284&gt;高値!AA284,高値!Z284&gt;高値!AB284),21,""))</f>
        <v/>
      </c>
      <c r="AW284" s="503" t="str">
        <f>IF(終値!A284="","",IF(AND(高値!AA284&gt;高値!Z284,高値!AA284&gt;高値!Y284,高値!AA284&gt;高値!AB284,高値!AA284&gt;高値!AC284),22,""))</f>
        <v/>
      </c>
      <c r="AX284" s="503" t="str">
        <f>IF(終値!A284="","",IF(AND(高値!AB284&gt;高値!AA284,高値!AB284&gt;高値!Z284,高値!AB284&gt;高値!AC284,高値!AB284&gt;高値!AD284),23,""))</f>
        <v/>
      </c>
      <c r="AY284" s="503" t="str">
        <f>IF(終値!A284="","",IF(AND(高値!AC284&gt;高値!AB284,高値!AC284&gt;高値!AA284,高値!AC284&gt;高値!AD284,高値!AC284&gt;高値!AE284),24,""))</f>
        <v/>
      </c>
      <c r="AZ284" s="503" t="str">
        <f>IF(終値!A284="","",IF(AND(高値!AD284&gt;高値!AC284,高値!AD284&gt;高値!AB284,高値!AD284&gt;高値!AE284,高値!AD284&gt;高値!AF284),25,""))</f>
        <v/>
      </c>
      <c r="BA284" s="503" t="str">
        <f>IF(終値!A284="","",IF(AND(高値!AE284&gt;高値!AD284,高値!AE284&gt;高値!AC284,高値!AE284&gt;高値!AF284,高値!AE284&gt;高値!AG284),26,""))</f>
        <v/>
      </c>
      <c r="BB284" s="503" t="str">
        <f>IF(終値!A284="","",IF(AND(高値!AF284&gt;高値!AE284,高値!AF284&gt;高値!AD284,高値!AF284&gt;高値!AG284,高値!AF284&gt;高値!AH284),27,""))</f>
        <v/>
      </c>
      <c r="BC284" s="503" t="str">
        <f>IF(終値!A284="","",IF(AND(高値!AG284&gt;高値!AF284,高値!AG284&gt;高値!AE284,高値!AG284&gt;高値!AH284,高値!AG284&gt;高値!AI284),28,""))</f>
        <v/>
      </c>
      <c r="BD284" s="503">
        <f t="shared" si="24"/>
        <v>2</v>
      </c>
      <c r="BE284" s="503">
        <f t="shared" si="25"/>
        <v>5</v>
      </c>
      <c r="BF284" s="503">
        <f t="shared" si="26"/>
        <v>19</v>
      </c>
      <c r="BG284" s="503">
        <f>IF($BE284="","",INDEX(安値!$E284:$CZ284,1,$BE284+1))</f>
        <v>1860</v>
      </c>
      <c r="BH284" s="503">
        <f>IF($BF284="","",INDEX(安値!$E284:$CZ284,1,$BF284+1))</f>
        <v>2673</v>
      </c>
      <c r="BI284" s="503">
        <f>IF($BF284="","",MAX(INDEX(高値!$E284:$CZ284,1,$BE284+1):INDEX(高値!$E284:$CZ284,1,$BF284+1)))</f>
        <v>3090</v>
      </c>
      <c r="BJ284" s="503">
        <f>IF($BF284="","",AVERAGE(INDEX(終値!$E284:$CZ284,1,$BF284+1):INDEX(終値!$E284:$CZ284,1,$BF284+20))-2*STDEVP(INDEX(終値!$E284:$CZ284,1,$BF284+1):INDEX(終値!$E284:$CZ284,1,$BF284+20)))</f>
        <v>2419.458721730397</v>
      </c>
      <c r="BK284" s="503">
        <f>IF($BE284="","",AVERAGE(INDEX(終値!$E284:$CZ284,1,$BE284+1):INDEX(終値!$E284:$CZ284,1,$BE284+20))-2*STDEVP(INDEX(終値!$E284:$CZ284,1,$BE284+1):INDEX(終値!$E284:$CZ284,1,$BE284+20)))</f>
        <v>1844.4863387024391</v>
      </c>
      <c r="BL284" s="503">
        <f t="shared" si="27"/>
        <v>2</v>
      </c>
      <c r="BM284" s="503">
        <f t="shared" si="28"/>
        <v>2</v>
      </c>
      <c r="BN284" s="503">
        <f t="shared" si="29"/>
        <v>16</v>
      </c>
      <c r="BO284" s="503">
        <f>IF($BM284="","",INDEX(高値!$E284:$CZ284,1,$BM284+1))</f>
        <v>2407</v>
      </c>
      <c r="BP284" s="503">
        <f>IF($BN284="","",INDEX(高値!$E284:$CZ284,1,$BN284+1))</f>
        <v>3090</v>
      </c>
      <c r="BQ284" s="503">
        <f>IF($BN284="","",MIN(INDEX(安値!$E284:$CZ284,1,$BM284+1):INDEX(安値!$E284:$CZ284,1,$BN284+1)))</f>
        <v>1860</v>
      </c>
      <c r="BR284" s="503">
        <f>IF($BN284="","",AVERAGE(INDEX(終値!$E284:$CZ284,1,$BN284+1):INDEX(終値!$E284:$CZ284,1,$BN284+20))+2*STDEVP(INDEX(終値!$E284:$CZ284,1,$BN284+1):INDEX(終値!$E284:$CZ284,1,$BN284+20)))</f>
        <v>5751.5208577294243</v>
      </c>
      <c r="BS284" s="503">
        <f>IF($BM284="","",AVERAGE(INDEX(終値!$E284:$CZ284,1,$BM284+1):INDEX(終値!$E284:$CZ284,1,$BM284+20))+2*STDEVP(INDEX(終値!$E284:$CZ284,1,$BM284+1):INDEX(終値!$E284:$CZ284,1,$BM284+20)))</f>
        <v>3201.3264330432858</v>
      </c>
      <c r="BT284" s="500"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3" t="str">
        <f>IF(終値!A285="","",IF(AND(安値!G285&lt;安値!F285,安値!G285&lt;安値!E285,安値!G285&lt;安値!H285,安値!G285&lt;安値!I285),2,""))</f>
        <v/>
      </c>
      <c r="C285" s="503" t="str">
        <f>IF(終値!A285="","",IF(AND(安値!H285&lt;安値!G285,安値!H285&lt;安値!F285,安値!H285&lt;安値!I285,安値!H285&lt;安値!J285),3,""))</f>
        <v/>
      </c>
      <c r="D285" s="503" t="str">
        <f>IF(終値!A285="","",IF(AND(安値!I285&lt;安値!H285,安値!I285&lt;安値!G285,安値!I285&lt;安値!J285,安値!I285&lt;安値!K285),4,""))</f>
        <v/>
      </c>
      <c r="E285" s="503" t="str">
        <f>IF(終値!A285="","",IF(AND(安値!J285&lt;安値!I285,安値!J285&lt;安値!H285,安値!J285&lt;安値!K285,安値!J285&lt;安値!L285),5,""))</f>
        <v/>
      </c>
      <c r="F285" s="503" t="str">
        <f>IF(終値!A285="","",IF(AND(安値!K285&lt;安値!J285,安値!K285&lt;安値!I285,安値!K285&lt;安値!L285,安値!K285&lt;安値!M285),6,""))</f>
        <v/>
      </c>
      <c r="G285" s="503" t="str">
        <f>IF(終値!A285="","",IF(AND(安値!L285&lt;安値!K285,安値!L285&lt;安値!J285,安値!L285&lt;安値!M285,安値!L285&lt;安値!N285),7,""))</f>
        <v/>
      </c>
      <c r="H285" s="503" t="str">
        <f>IF(終値!A285="","",IF(AND(安値!M285&lt;安値!L285,安値!M285&lt;安値!K285,安値!M285&lt;安値!N285,安値!M285&lt;安値!O285),8,""))</f>
        <v/>
      </c>
      <c r="I285" s="503">
        <f>IF(終値!A285="","",IF(AND(安値!N285&lt;安値!M285,安値!N285&lt;安値!L285,安値!N285&lt;安値!O285,安値!N285&lt;安値!P285),9,""))</f>
        <v>9</v>
      </c>
      <c r="J285" s="503" t="str">
        <f>IF(終値!A285="","",IF(AND(安値!O285&lt;安値!N285,安値!O285&lt;安値!M285,安値!O285&lt;安値!P285,安値!O285&lt;安値!Q285),10,""))</f>
        <v/>
      </c>
      <c r="K285" s="503" t="str">
        <f>IF(終値!A285="","",IF(AND(安値!P285&lt;安値!O285,安値!P285&lt;安値!N285,安値!P285&lt;安値!Q285,安値!P285&lt;安値!R285),11,""))</f>
        <v/>
      </c>
      <c r="L285" s="503" t="str">
        <f>IF(終値!A285="","",IF(AND(安値!Q285&lt;安値!P285,安値!Q285&lt;安値!O285,安値!Q285&lt;安値!R285,安値!Q285&lt;安値!S285),12,""))</f>
        <v/>
      </c>
      <c r="M285" s="503" t="str">
        <f>IF(終値!A285="","",IF(AND(安値!R285&lt;安値!Q285,安値!R285&lt;安値!P285,安値!R285&lt;安値!S285,安値!R285&lt;安値!T285),13,""))</f>
        <v/>
      </c>
      <c r="N285" s="503" t="str">
        <f>IF(終値!A285="","",IF(AND(安値!S285&lt;安値!R285,安値!S285&lt;安値!Q285,安値!S285&lt;安値!T285,安値!S285&lt;安値!U285),14,""))</f>
        <v/>
      </c>
      <c r="O285" s="503" t="str">
        <f>IF(終値!A285="","",IF(AND(安値!T285&lt;安値!S285,安値!T285&lt;安値!R285,安値!T285&lt;安値!U285,安値!T285&lt;安値!V285),15,""))</f>
        <v/>
      </c>
      <c r="P285" s="503" t="str">
        <f>IF(終値!A285="","",IF(AND(安値!U285&lt;安値!T285,安値!U285&lt;安値!S285,安値!U285&lt;安値!V285,安値!U285&lt;安値!W285),16,""))</f>
        <v/>
      </c>
      <c r="Q285" s="503">
        <f>IF(終値!A285="","",IF(AND(安値!V285&lt;安値!U285,安値!V285&lt;安値!T285,安値!V285&lt;安値!W285,安値!V285&lt;安値!X285),17,""))</f>
        <v>17</v>
      </c>
      <c r="R285" s="503" t="str">
        <f>IF(終値!A285="","",IF(AND(安値!W285&lt;安値!V285,安値!W285&lt;安値!U285,安値!W285&lt;安値!X285,安値!W285&lt;安値!Y285),18,""))</f>
        <v/>
      </c>
      <c r="S285" s="503" t="str">
        <f>IF(終値!A285="","",IF(AND(安値!X285&lt;安値!W285,安値!X285&lt;安値!V285,安値!X285&lt;安値!Y285,安値!X285&lt;安値!Z285),19,""))</f>
        <v/>
      </c>
      <c r="T285" s="503" t="str">
        <f>IF(終値!A285="","",IF(AND(安値!Y285&lt;安値!X285,安値!Y285&lt;安値!W285,安値!Y285&lt;安値!Z285,安値!Y285&lt;安値!AA285),20,""))</f>
        <v/>
      </c>
      <c r="U285" s="503" t="str">
        <f>IF(終値!A285="","",IF(AND(安値!Z285&lt;安値!Y285,安値!Z285&lt;安値!X285,安値!Z285&lt;安値!AA285,安値!Z285&lt;安値!AB285),21,""))</f>
        <v/>
      </c>
      <c r="V285" s="503" t="str">
        <f>IF(終値!A285="","",IF(AND(安値!AA285&lt;安値!Z285,安値!AA285&lt;安値!Y285,安値!AA285&lt;安値!AB285,安値!AA285&lt;安値!AC285),22,""))</f>
        <v/>
      </c>
      <c r="W285" s="503" t="str">
        <f>IF(終値!A285="","",IF(AND(安値!AB285&lt;安値!AA285,安値!AB285&lt;安値!Z285,安値!AB285&lt;安値!AC285,安値!AB285&lt;安値!AD285),23,""))</f>
        <v/>
      </c>
      <c r="X285" s="503" t="str">
        <f>IF(終値!A285="","",IF(AND(安値!AC285&lt;安値!AB285,安値!AC285&lt;安値!AA285,安値!AC285&lt;安値!AD285,安値!AC285&lt;安値!AE285),24,""))</f>
        <v/>
      </c>
      <c r="Y285" s="503" t="str">
        <f>IF(終値!A285="","",IF(AND(安値!AD285&lt;安値!AC285,安値!AD285&lt;安値!AB285,安値!AD285&lt;安値!AE285,安値!AD285&lt;安値!AF285),25,""))</f>
        <v/>
      </c>
      <c r="Z285" s="503" t="str">
        <f>IF(終値!A285="","",IF(AND(安値!AE285&lt;安値!AD285,安値!AE285&lt;安値!AC285,安値!AE285&lt;安値!AF285,安値!AE285&lt;安値!AG285),26,""))</f>
        <v/>
      </c>
      <c r="AA285" s="503" t="str">
        <f>IF(終値!A285="","",IF(AND(安値!AF285&lt;安値!AE285,安値!AF285&lt;安値!AD285,安値!AF285&lt;安値!AG285,安値!AF285&lt;安値!AH285),27,""))</f>
        <v/>
      </c>
      <c r="AB285" s="503" t="str">
        <f>IF(終値!A285="","",IF(AND(安値!AG285&lt;安値!AF285,安値!AG285&lt;安値!AE285,安値!AG285&lt;安値!AH285,安値!AG285&lt;安値!AI285),28,""))</f>
        <v/>
      </c>
      <c r="AC285" s="503" t="str">
        <f>IF(終値!A285="","",IF(AND(高値!G285&gt;高値!F285,高値!G285&gt;高値!E285,高値!G285&gt;高値!H285,高値!G285&gt;高値!I285),2,""))</f>
        <v/>
      </c>
      <c r="AD285" s="503" t="str">
        <f>IF(終値!A285="","",IF(AND(高値!H285&gt;高値!G285,高値!H285&gt;高値!F285,高値!H285&gt;高値!I285,高値!H285&gt;高値!J285),3,""))</f>
        <v/>
      </c>
      <c r="AE285" s="503" t="str">
        <f>IF(終値!A285="","",IF(AND(高値!I285&gt;高値!H285,高値!I285&gt;高値!G285,高値!I285&gt;高値!J285,高値!I285&gt;高値!K285),4,""))</f>
        <v/>
      </c>
      <c r="AF285" s="503">
        <f>IF(終値!A285="","",IF(AND(高値!J285&gt;高値!I285,高値!J285&gt;高値!H285,高値!J285&gt;高値!K285,高値!J285&gt;高値!L285),5,""))</f>
        <v>5</v>
      </c>
      <c r="AG285" s="503" t="str">
        <f>IF(終値!A285="","",IF(AND(高値!K285&gt;高値!J285,高値!K285&gt;高値!I285,高値!K285&gt;高値!L285,高値!K285&gt;高値!M285),6,""))</f>
        <v/>
      </c>
      <c r="AH285" s="503" t="str">
        <f>IF(終値!A285="","",IF(AND(高値!L285&gt;高値!K285,高値!L285&gt;高値!J285,高値!L285&gt;高値!M285,高値!L285&gt;高値!N285),7,""))</f>
        <v/>
      </c>
      <c r="AI285" s="503" t="str">
        <f>IF(終値!A285="","",IF(AND(高値!M285&gt;高値!L285,高値!M285&gt;高値!K285,高値!M285&gt;高値!N285,高値!M285&gt;高値!O285),8,""))</f>
        <v/>
      </c>
      <c r="AJ285" s="503" t="str">
        <f>IF(終値!A285="","",IF(AND(高値!N285&gt;高値!M285,高値!N285&gt;高値!L285,高値!N285&gt;高値!O285,高値!N285&gt;高値!P285),9,""))</f>
        <v/>
      </c>
      <c r="AK285" s="503" t="str">
        <f>IF(終値!A285="","",IF(AND(高値!O285&gt;高値!N285,高値!O285&gt;高値!M285,高値!O285&gt;高値!P285,高値!O285&gt;高値!Q285),10,""))</f>
        <v/>
      </c>
      <c r="AL285" s="503" t="str">
        <f>IF(終値!A285="","",IF(AND(高値!P285&gt;高値!O285,高値!P285&gt;高値!N285,高値!P285&gt;高値!Q285,高値!P285&gt;高値!R285),11,""))</f>
        <v/>
      </c>
      <c r="AM285" s="503">
        <f>IF(終値!A285="","",IF(AND(高値!Q285&gt;高値!P285,高値!Q285&gt;高値!O285,高値!Q285&gt;高値!R285,高値!Q285&gt;高値!S285),12,""))</f>
        <v>12</v>
      </c>
      <c r="AN285" s="503" t="str">
        <f>IF(終値!A285="","",IF(AND(高値!R285&gt;高値!Q285,高値!R285&gt;高値!P285,高値!R285&gt;高値!S285,高値!R285&gt;高値!T285),13,""))</f>
        <v/>
      </c>
      <c r="AO285" s="503" t="str">
        <f>IF(終値!A285="","",IF(AND(高値!S285&gt;高値!R285,高値!S285&gt;高値!Q285,高値!S285&gt;高値!T285,高値!S285&gt;高値!U285),14,""))</f>
        <v/>
      </c>
      <c r="AP285" s="503" t="str">
        <f>IF(終値!A285="","",IF(AND(高値!T285&gt;高値!S285,高値!T285&gt;高値!R285,高値!T285&gt;高値!U285,高値!T285&gt;高値!V285),15,""))</f>
        <v/>
      </c>
      <c r="AQ285" s="503" t="str">
        <f>IF(終値!A285="","",IF(AND(高値!U285&gt;高値!T285,高値!U285&gt;高値!S285,高値!U285&gt;高値!V285,高値!U285&gt;高値!W285),16,""))</f>
        <v/>
      </c>
      <c r="AR285" s="503" t="str">
        <f>IF(終値!A285="","",IF(AND(高値!V285&gt;高値!U285,高値!V285&gt;高値!T285,高値!V285&gt;高値!W285,高値!V285&gt;高値!X285),17,""))</f>
        <v/>
      </c>
      <c r="AS285" s="503">
        <f>IF(終値!A285="","",IF(AND(高値!W285&gt;高値!V285,高値!W285&gt;高値!U285,高値!W285&gt;高値!X285,高値!W285&gt;高値!Y285),18,""))</f>
        <v>18</v>
      </c>
      <c r="AT285" s="503" t="str">
        <f>IF(終値!A285="","",IF(AND(高値!X285&gt;高値!W285,高値!X285&gt;高値!V285,高値!X285&gt;高値!Y285,高値!X285&gt;高値!Z285),19,""))</f>
        <v/>
      </c>
      <c r="AU285" s="503" t="str">
        <f>IF(終値!A285="","",IF(AND(高値!Y285&gt;高値!X285,高値!Y285&gt;高値!W285,高値!Y285&gt;高値!Z285,高値!Y285&gt;高値!AA285),20,""))</f>
        <v/>
      </c>
      <c r="AV285" s="503" t="str">
        <f>IF(終値!A285="","",IF(AND(高値!Z285&gt;高値!Y285,高値!Z285&gt;高値!X285,高値!Z285&gt;高値!AA285,高値!Z285&gt;高値!AB285),21,""))</f>
        <v/>
      </c>
      <c r="AW285" s="503" t="str">
        <f>IF(終値!A285="","",IF(AND(高値!AA285&gt;高値!Z285,高値!AA285&gt;高値!Y285,高値!AA285&gt;高値!AB285,高値!AA285&gt;高値!AC285),22,""))</f>
        <v/>
      </c>
      <c r="AX285" s="503" t="str">
        <f>IF(終値!A285="","",IF(AND(高値!AB285&gt;高値!AA285,高値!AB285&gt;高値!Z285,高値!AB285&gt;高値!AC285,高値!AB285&gt;高値!AD285),23,""))</f>
        <v/>
      </c>
      <c r="AY285" s="503" t="str">
        <f>IF(終値!A285="","",IF(AND(高値!AC285&gt;高値!AB285,高値!AC285&gt;高値!AA285,高値!AC285&gt;高値!AD285,高値!AC285&gt;高値!AE285),24,""))</f>
        <v/>
      </c>
      <c r="AZ285" s="503" t="str">
        <f>IF(終値!A285="","",IF(AND(高値!AD285&gt;高値!AC285,高値!AD285&gt;高値!AB285,高値!AD285&gt;高値!AE285,高値!AD285&gt;高値!AF285),25,""))</f>
        <v/>
      </c>
      <c r="BA285" s="503" t="str">
        <f>IF(終値!A285="","",IF(AND(高値!AE285&gt;高値!AD285,高値!AE285&gt;高値!AC285,高値!AE285&gt;高値!AF285,高値!AE285&gt;高値!AG285),26,""))</f>
        <v/>
      </c>
      <c r="BB285" s="503" t="str">
        <f>IF(終値!A285="","",IF(AND(高値!AF285&gt;高値!AE285,高値!AF285&gt;高値!AD285,高値!AF285&gt;高値!AG285,高値!AF285&gt;高値!AH285),27,""))</f>
        <v/>
      </c>
      <c r="BC285" s="503" t="str">
        <f>IF(終値!A285="","",IF(AND(高値!AG285&gt;高値!AF285,高値!AG285&gt;高値!AE285,高値!AG285&gt;高値!AH285,高値!AG285&gt;高値!AI285),28,""))</f>
        <v/>
      </c>
      <c r="BD285" s="503">
        <f t="shared" si="24"/>
        <v>2</v>
      </c>
      <c r="BE285" s="503">
        <f t="shared" si="25"/>
        <v>9</v>
      </c>
      <c r="BF285" s="503">
        <f t="shared" si="26"/>
        <v>17</v>
      </c>
      <c r="BG285" s="503">
        <f>IF($BE285="","",INDEX(安値!$E285:$CZ285,1,$BE285+1))</f>
        <v>4009</v>
      </c>
      <c r="BH285" s="503">
        <f>IF($BF285="","",INDEX(安値!$E285:$CZ285,1,$BF285+1))</f>
        <v>3961</v>
      </c>
      <c r="BI285" s="503">
        <f>IF($BF285="","",MAX(INDEX(高値!$E285:$CZ285,1,$BE285+1):INDEX(高値!$E285:$CZ285,1,$BF285+1)))</f>
        <v>4225</v>
      </c>
      <c r="BJ285" s="503">
        <f>IF($BF285="","",AVERAGE(INDEX(終値!$E285:$CZ285,1,$BF285+1):INDEX(終値!$E285:$CZ285,1,$BF285+20))-2*STDEVP(INDEX(終値!$E285:$CZ285,1,$BF285+1):INDEX(終値!$E285:$CZ285,1,$BF285+20)))</f>
        <v>3495.0061225127297</v>
      </c>
      <c r="BK285" s="503">
        <f>IF($BE285="","",AVERAGE(INDEX(終値!$E285:$CZ285,1,$BE285+1):INDEX(終値!$E285:$CZ285,1,$BE285+20))-2*STDEVP(INDEX(終値!$E285:$CZ285,1,$BE285+1):INDEX(終値!$E285:$CZ285,1,$BE285+20)))</f>
        <v>3717.4063426175048</v>
      </c>
      <c r="BL285" s="503">
        <f t="shared" si="27"/>
        <v>3</v>
      </c>
      <c r="BM285" s="503">
        <f t="shared" si="28"/>
        <v>5</v>
      </c>
      <c r="BN285" s="503">
        <f t="shared" si="29"/>
        <v>12</v>
      </c>
      <c r="BO285" s="503">
        <f>IF($BM285="","",INDEX(高値!$E285:$CZ285,1,$BM285+1))</f>
        <v>4660</v>
      </c>
      <c r="BP285" s="503">
        <f>IF($BN285="","",INDEX(高値!$E285:$CZ285,1,$BN285+1))</f>
        <v>4225</v>
      </c>
      <c r="BQ285" s="503">
        <f>IF($BN285="","",MIN(INDEX(安値!$E285:$CZ285,1,$BM285+1):INDEX(安値!$E285:$CZ285,1,$BN285+1)))</f>
        <v>4009</v>
      </c>
      <c r="BR285" s="503">
        <f>IF($BN285="","",AVERAGE(INDEX(終値!$E285:$CZ285,1,$BN285+1):INDEX(終値!$E285:$CZ285,1,$BN285+20))+2*STDEVP(INDEX(終値!$E285:$CZ285,1,$BN285+1):INDEX(終値!$E285:$CZ285,1,$BN285+20)))</f>
        <v>4238.954072842731</v>
      </c>
      <c r="BS285" s="503">
        <f>IF($BM285="","",AVERAGE(INDEX(終値!$E285:$CZ285,1,$BM285+1):INDEX(終値!$E285:$CZ285,1,$BM285+20))+2*STDEVP(INDEX(終値!$E285:$CZ285,1,$BM285+1):INDEX(終値!$E285:$CZ285,1,$BM285+20)))</f>
        <v>4473.6690108562816</v>
      </c>
      <c r="BT285" s="500"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二番底W形成</v>
      </c>
    </row>
    <row r="286" spans="2:72">
      <c r="B286" s="503" t="str">
        <f>IF(終値!A286="","",IF(AND(安値!G286&lt;安値!F286,安値!G286&lt;安値!E286,安値!G286&lt;安値!H286,安値!G286&lt;安値!I286),2,""))</f>
        <v/>
      </c>
      <c r="C286" s="503" t="str">
        <f>IF(終値!A286="","",IF(AND(安値!H286&lt;安値!G286,安値!H286&lt;安値!F286,安値!H286&lt;安値!I286,安値!H286&lt;安値!J286),3,""))</f>
        <v/>
      </c>
      <c r="D286" s="503" t="str">
        <f>IF(終値!A286="","",IF(AND(安値!I286&lt;安値!H286,安値!I286&lt;安値!G286,安値!I286&lt;安値!J286,安値!I286&lt;安値!K286),4,""))</f>
        <v/>
      </c>
      <c r="E286" s="503" t="str">
        <f>IF(終値!A286="","",IF(AND(安値!J286&lt;安値!I286,安値!J286&lt;安値!H286,安値!J286&lt;安値!K286,安値!J286&lt;安値!L286),5,""))</f>
        <v/>
      </c>
      <c r="F286" s="503" t="str">
        <f>IF(終値!A286="","",IF(AND(安値!K286&lt;安値!J286,安値!K286&lt;安値!I286,安値!K286&lt;安値!L286,安値!K286&lt;安値!M286),6,""))</f>
        <v/>
      </c>
      <c r="G286" s="503" t="str">
        <f>IF(終値!A286="","",IF(AND(安値!L286&lt;安値!K286,安値!L286&lt;安値!J286,安値!L286&lt;安値!M286,安値!L286&lt;安値!N286),7,""))</f>
        <v/>
      </c>
      <c r="H286" s="503" t="str">
        <f>IF(終値!A286="","",IF(AND(安値!M286&lt;安値!L286,安値!M286&lt;安値!K286,安値!M286&lt;安値!N286,安値!M286&lt;安値!O286),8,""))</f>
        <v/>
      </c>
      <c r="I286" s="503">
        <f>IF(終値!A286="","",IF(AND(安値!N286&lt;安値!M286,安値!N286&lt;安値!L286,安値!N286&lt;安値!O286,安値!N286&lt;安値!P286),9,""))</f>
        <v>9</v>
      </c>
      <c r="J286" s="503" t="str">
        <f>IF(終値!A286="","",IF(AND(安値!O286&lt;安値!N286,安値!O286&lt;安値!M286,安値!O286&lt;安値!P286,安値!O286&lt;安値!Q286),10,""))</f>
        <v/>
      </c>
      <c r="K286" s="503" t="str">
        <f>IF(終値!A286="","",IF(AND(安値!P286&lt;安値!O286,安値!P286&lt;安値!N286,安値!P286&lt;安値!Q286,安値!P286&lt;安値!R286),11,""))</f>
        <v/>
      </c>
      <c r="L286" s="503" t="str">
        <f>IF(終値!A286="","",IF(AND(安値!Q286&lt;安値!P286,安値!Q286&lt;安値!O286,安値!Q286&lt;安値!R286,安値!Q286&lt;安値!S286),12,""))</f>
        <v/>
      </c>
      <c r="M286" s="503" t="str">
        <f>IF(終値!A286="","",IF(AND(安値!R286&lt;安値!Q286,安値!R286&lt;安値!P286,安値!R286&lt;安値!S286,安値!R286&lt;安値!T286),13,""))</f>
        <v/>
      </c>
      <c r="N286" s="503" t="str">
        <f>IF(終値!A286="","",IF(AND(安値!S286&lt;安値!R286,安値!S286&lt;安値!Q286,安値!S286&lt;安値!T286,安値!S286&lt;安値!U286),14,""))</f>
        <v/>
      </c>
      <c r="O286" s="503">
        <f>IF(終値!A286="","",IF(AND(安値!T286&lt;安値!S286,安値!T286&lt;安値!R286,安値!T286&lt;安値!U286,安値!T286&lt;安値!V286),15,""))</f>
        <v>15</v>
      </c>
      <c r="P286" s="503" t="str">
        <f>IF(終値!A286="","",IF(AND(安値!U286&lt;安値!T286,安値!U286&lt;安値!S286,安値!U286&lt;安値!V286,安値!U286&lt;安値!W286),16,""))</f>
        <v/>
      </c>
      <c r="Q286" s="503" t="str">
        <f>IF(終値!A286="","",IF(AND(安値!V286&lt;安値!U286,安値!V286&lt;安値!T286,安値!V286&lt;安値!W286,安値!V286&lt;安値!X286),17,""))</f>
        <v/>
      </c>
      <c r="R286" s="503">
        <f>IF(終値!A286="","",IF(AND(安値!W286&lt;安値!V286,安値!W286&lt;安値!U286,安値!W286&lt;安値!X286,安値!W286&lt;安値!Y286),18,""))</f>
        <v>18</v>
      </c>
      <c r="S286" s="503" t="str">
        <f>IF(終値!A286="","",IF(AND(安値!X286&lt;安値!W286,安値!X286&lt;安値!V286,安値!X286&lt;安値!Y286,安値!X286&lt;安値!Z286),19,""))</f>
        <v/>
      </c>
      <c r="T286" s="503" t="str">
        <f>IF(終値!A286="","",IF(AND(安値!Y286&lt;安値!X286,安値!Y286&lt;安値!W286,安値!Y286&lt;安値!Z286,安値!Y286&lt;安値!AA286),20,""))</f>
        <v/>
      </c>
      <c r="U286" s="503" t="str">
        <f>IF(終値!A286="","",IF(AND(安値!Z286&lt;安値!Y286,安値!Z286&lt;安値!X286,安値!Z286&lt;安値!AA286,安値!Z286&lt;安値!AB286),21,""))</f>
        <v/>
      </c>
      <c r="V286" s="503" t="str">
        <f>IF(終値!A286="","",IF(AND(安値!AA286&lt;安値!Z286,安値!AA286&lt;安値!Y286,安値!AA286&lt;安値!AB286,安値!AA286&lt;安値!AC286),22,""))</f>
        <v/>
      </c>
      <c r="W286" s="503" t="str">
        <f>IF(終値!A286="","",IF(AND(安値!AB286&lt;安値!AA286,安値!AB286&lt;安値!Z286,安値!AB286&lt;安値!AC286,安値!AB286&lt;安値!AD286),23,""))</f>
        <v/>
      </c>
      <c r="X286" s="503" t="str">
        <f>IF(終値!A286="","",IF(AND(安値!AC286&lt;安値!AB286,安値!AC286&lt;安値!AA286,安値!AC286&lt;安値!AD286,安値!AC286&lt;安値!AE286),24,""))</f>
        <v/>
      </c>
      <c r="Y286" s="503">
        <f>IF(終値!A286="","",IF(AND(安値!AD286&lt;安値!AC286,安値!AD286&lt;安値!AB286,安値!AD286&lt;安値!AE286,安値!AD286&lt;安値!AF286),25,""))</f>
        <v>25</v>
      </c>
      <c r="Z286" s="503" t="str">
        <f>IF(終値!A286="","",IF(AND(安値!AE286&lt;安値!AD286,安値!AE286&lt;安値!AC286,安値!AE286&lt;安値!AF286,安値!AE286&lt;安値!AG286),26,""))</f>
        <v/>
      </c>
      <c r="AA286" s="503" t="str">
        <f>IF(終値!A286="","",IF(AND(安値!AF286&lt;安値!AE286,安値!AF286&lt;安値!AD286,安値!AF286&lt;安値!AG286,安値!AF286&lt;安値!AH286),27,""))</f>
        <v/>
      </c>
      <c r="AB286" s="503">
        <f>IF(終値!A286="","",IF(AND(安値!AG286&lt;安値!AF286,安値!AG286&lt;安値!AE286,安値!AG286&lt;安値!AH286,安値!AG286&lt;安値!AI286),28,""))</f>
        <v>28</v>
      </c>
      <c r="AC286" s="503" t="str">
        <f>IF(終値!A286="","",IF(AND(高値!G286&gt;高値!F286,高値!G286&gt;高値!E286,高値!G286&gt;高値!H286,高値!G286&gt;高値!I286),2,""))</f>
        <v/>
      </c>
      <c r="AD286" s="503" t="str">
        <f>IF(終値!A286="","",IF(AND(高値!H286&gt;高値!G286,高値!H286&gt;高値!F286,高値!H286&gt;高値!I286,高値!H286&gt;高値!J286),3,""))</f>
        <v/>
      </c>
      <c r="AE286" s="503" t="str">
        <f>IF(終値!A286="","",IF(AND(高値!I286&gt;高値!H286,高値!I286&gt;高値!G286,高値!I286&gt;高値!J286,高値!I286&gt;高値!K286),4,""))</f>
        <v/>
      </c>
      <c r="AF286" s="503">
        <f>IF(終値!A286="","",IF(AND(高値!J286&gt;高値!I286,高値!J286&gt;高値!H286,高値!J286&gt;高値!K286,高値!J286&gt;高値!L286),5,""))</f>
        <v>5</v>
      </c>
      <c r="AG286" s="503" t="str">
        <f>IF(終値!A286="","",IF(AND(高値!K286&gt;高値!J286,高値!K286&gt;高値!I286,高値!K286&gt;高値!L286,高値!K286&gt;高値!M286),6,""))</f>
        <v/>
      </c>
      <c r="AH286" s="503" t="str">
        <f>IF(終値!A286="","",IF(AND(高値!L286&gt;高値!K286,高値!L286&gt;高値!J286,高値!L286&gt;高値!M286,高値!L286&gt;高値!N286),7,""))</f>
        <v/>
      </c>
      <c r="AI286" s="503" t="str">
        <f>IF(終値!A286="","",IF(AND(高値!M286&gt;高値!L286,高値!M286&gt;高値!K286,高値!M286&gt;高値!N286,高値!M286&gt;高値!O286),8,""))</f>
        <v/>
      </c>
      <c r="AJ286" s="503" t="str">
        <f>IF(終値!A286="","",IF(AND(高値!N286&gt;高値!M286,高値!N286&gt;高値!L286,高値!N286&gt;高値!O286,高値!N286&gt;高値!P286),9,""))</f>
        <v/>
      </c>
      <c r="AK286" s="503" t="str">
        <f>IF(終値!A286="","",IF(AND(高値!O286&gt;高値!N286,高値!O286&gt;高値!M286,高値!O286&gt;高値!P286,高値!O286&gt;高値!Q286),10,""))</f>
        <v/>
      </c>
      <c r="AL286" s="503">
        <f>IF(終値!A286="","",IF(AND(高値!P286&gt;高値!O286,高値!P286&gt;高値!N286,高値!P286&gt;高値!Q286,高値!P286&gt;高値!R286),11,""))</f>
        <v>11</v>
      </c>
      <c r="AM286" s="503" t="str">
        <f>IF(終値!A286="","",IF(AND(高値!Q286&gt;高値!P286,高値!Q286&gt;高値!O286,高値!Q286&gt;高値!R286,高値!Q286&gt;高値!S286),12,""))</f>
        <v/>
      </c>
      <c r="AN286" s="503" t="str">
        <f>IF(終値!A286="","",IF(AND(高値!R286&gt;高値!Q286,高値!R286&gt;高値!P286,高値!R286&gt;高値!S286,高値!R286&gt;高値!T286),13,""))</f>
        <v/>
      </c>
      <c r="AO286" s="503" t="str">
        <f>IF(終値!A286="","",IF(AND(高値!S286&gt;高値!R286,高値!S286&gt;高値!Q286,高値!S286&gt;高値!T286,高値!S286&gt;高値!U286),14,""))</f>
        <v/>
      </c>
      <c r="AP286" s="503" t="str">
        <f>IF(終値!A286="","",IF(AND(高値!T286&gt;高値!S286,高値!T286&gt;高値!R286,高値!T286&gt;高値!U286,高値!T286&gt;高値!V286),15,""))</f>
        <v/>
      </c>
      <c r="AQ286" s="503">
        <f>IF(終値!A286="","",IF(AND(高値!U286&gt;高値!T286,高値!U286&gt;高値!S286,高値!U286&gt;高値!V286,高値!U286&gt;高値!W286),16,""))</f>
        <v>16</v>
      </c>
      <c r="AR286" s="503" t="str">
        <f>IF(終値!A286="","",IF(AND(高値!V286&gt;高値!U286,高値!V286&gt;高値!T286,高値!V286&gt;高値!W286,高値!V286&gt;高値!X286),17,""))</f>
        <v/>
      </c>
      <c r="AS286" s="503" t="str">
        <f>IF(終値!A286="","",IF(AND(高値!W286&gt;高値!V286,高値!W286&gt;高値!U286,高値!W286&gt;高値!X286,高値!W286&gt;高値!Y286),18,""))</f>
        <v/>
      </c>
      <c r="AT286" s="503" t="str">
        <f>IF(終値!A286="","",IF(AND(高値!X286&gt;高値!W286,高値!X286&gt;高値!V286,高値!X286&gt;高値!Y286,高値!X286&gt;高値!Z286),19,""))</f>
        <v/>
      </c>
      <c r="AU286" s="503" t="str">
        <f>IF(終値!A286="","",IF(AND(高値!Y286&gt;高値!X286,高値!Y286&gt;高値!W286,高値!Y286&gt;高値!Z286,高値!Y286&gt;高値!AA286),20,""))</f>
        <v/>
      </c>
      <c r="AV286" s="503">
        <f>IF(終値!A286="","",IF(AND(高値!Z286&gt;高値!Y286,高値!Z286&gt;高値!X286,高値!Z286&gt;高値!AA286,高値!Z286&gt;高値!AB286),21,""))</f>
        <v>21</v>
      </c>
      <c r="AW286" s="503" t="str">
        <f>IF(終値!A286="","",IF(AND(高値!AA286&gt;高値!Z286,高値!AA286&gt;高値!Y286,高値!AA286&gt;高値!AB286,高値!AA286&gt;高値!AC286),22,""))</f>
        <v/>
      </c>
      <c r="AX286" s="503" t="str">
        <f>IF(終値!A286="","",IF(AND(高値!AB286&gt;高値!AA286,高値!AB286&gt;高値!Z286,高値!AB286&gt;高値!AC286,高値!AB286&gt;高値!AD286),23,""))</f>
        <v/>
      </c>
      <c r="AY286" s="503" t="str">
        <f>IF(終値!A286="","",IF(AND(高値!AC286&gt;高値!AB286,高値!AC286&gt;高値!AA286,高値!AC286&gt;高値!AD286,高値!AC286&gt;高値!AE286),24,""))</f>
        <v/>
      </c>
      <c r="AZ286" s="503" t="str">
        <f>IF(終値!A286="","",IF(AND(高値!AD286&gt;高値!AC286,高値!AD286&gt;高値!AB286,高値!AD286&gt;高値!AE286,高値!AD286&gt;高値!AF286),25,""))</f>
        <v/>
      </c>
      <c r="BA286" s="503" t="str">
        <f>IF(終値!A286="","",IF(AND(高値!AE286&gt;高値!AD286,高値!AE286&gt;高値!AC286,高値!AE286&gt;高値!AF286,高値!AE286&gt;高値!AG286),26,""))</f>
        <v/>
      </c>
      <c r="BB286" s="503" t="str">
        <f>IF(終値!A286="","",IF(AND(高値!AF286&gt;高値!AE286,高値!AF286&gt;高値!AD286,高値!AF286&gt;高値!AG286,高値!AF286&gt;高値!AH286),27,""))</f>
        <v/>
      </c>
      <c r="BC286" s="503" t="str">
        <f>IF(終値!A286="","",IF(AND(高値!AG286&gt;高値!AF286,高値!AG286&gt;高値!AE286,高値!AG286&gt;高値!AH286,高値!AG286&gt;高値!AI286),28,""))</f>
        <v/>
      </c>
      <c r="BD286" s="503">
        <f t="shared" si="24"/>
        <v>5</v>
      </c>
      <c r="BE286" s="503">
        <f t="shared" si="25"/>
        <v>9</v>
      </c>
      <c r="BF286" s="503">
        <f t="shared" si="26"/>
        <v>15</v>
      </c>
      <c r="BG286" s="503">
        <f>IF($BE286="","",INDEX(安値!$E286:$CZ286,1,$BE286+1))</f>
        <v>2544.5</v>
      </c>
      <c r="BH286" s="503">
        <f>IF($BF286="","",INDEX(安値!$E286:$CZ286,1,$BF286+1))</f>
        <v>2470</v>
      </c>
      <c r="BI286" s="503">
        <f>IF($BF286="","",MAX(INDEX(高値!$E286:$CZ286,1,$BE286+1):INDEX(高値!$E286:$CZ286,1,$BF286+1)))</f>
        <v>2624</v>
      </c>
      <c r="BJ286" s="503">
        <f>IF($BF286="","",AVERAGE(INDEX(終値!$E286:$CZ286,1,$BF286+1):INDEX(終値!$E286:$CZ286,1,$BF286+20))-2*STDEVP(INDEX(終値!$E286:$CZ286,1,$BF286+1):INDEX(終値!$E286:$CZ286,1,$BF286+20)))</f>
        <v>2331.5100630715724</v>
      </c>
      <c r="BK286" s="503">
        <f>IF($BE286="","",AVERAGE(INDEX(終値!$E286:$CZ286,1,$BE286+1):INDEX(終値!$E286:$CZ286,1,$BE286+20))-2*STDEVP(INDEX(終値!$E286:$CZ286,1,$BE286+1):INDEX(終値!$E286:$CZ286,1,$BE286+20)))</f>
        <v>2361.5345723195892</v>
      </c>
      <c r="BL286" s="503">
        <f t="shared" si="27"/>
        <v>4</v>
      </c>
      <c r="BM286" s="503">
        <f t="shared" si="28"/>
        <v>5</v>
      </c>
      <c r="BN286" s="503">
        <f t="shared" si="29"/>
        <v>11</v>
      </c>
      <c r="BO286" s="503">
        <f>IF($BM286="","",INDEX(高値!$E286:$CZ286,1,$BM286+1))</f>
        <v>2881.5</v>
      </c>
      <c r="BP286" s="503">
        <f>IF($BN286="","",INDEX(高値!$E286:$CZ286,1,$BN286+1))</f>
        <v>2624</v>
      </c>
      <c r="BQ286" s="503">
        <f>IF($BN286="","",MIN(INDEX(安値!$E286:$CZ286,1,$BM286+1):INDEX(安値!$E286:$CZ286,1,$BN286+1)))</f>
        <v>2544.5</v>
      </c>
      <c r="BR286" s="503">
        <f>IF($BN286="","",AVERAGE(INDEX(終値!$E286:$CZ286,1,$BN286+1):INDEX(終値!$E286:$CZ286,1,$BN286+20))+2*STDEVP(INDEX(終値!$E286:$CZ286,1,$BN286+1):INDEX(終値!$E286:$CZ286,1,$BN286+20)))</f>
        <v>2623.8309785163074</v>
      </c>
      <c r="BS286" s="503">
        <f>IF($BM286="","",AVERAGE(INDEX(終値!$E286:$CZ286,1,$BM286+1):INDEX(終値!$E286:$CZ286,1,$BM286+20))+2*STDEVP(INDEX(終値!$E286:$CZ286,1,$BM286+1):INDEX(終値!$E286:$CZ286,1,$BM286+20)))</f>
        <v>2789.8335112050527</v>
      </c>
      <c r="BT286" s="500"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v>
      </c>
    </row>
    <row r="287" spans="2:72">
      <c r="B287" s="503" t="str">
        <f>IF(終値!A287="","",IF(AND(安値!G287&lt;安値!F287,安値!G287&lt;安値!E287,安値!G287&lt;安値!H287,安値!G287&lt;安値!I287),2,""))</f>
        <v/>
      </c>
      <c r="C287" s="503" t="str">
        <f>IF(終値!A287="","",IF(AND(安値!H287&lt;安値!G287,安値!H287&lt;安値!F287,安値!H287&lt;安値!I287,安値!H287&lt;安値!J287),3,""))</f>
        <v/>
      </c>
      <c r="D287" s="503" t="str">
        <f>IF(終値!A287="","",IF(AND(安値!I287&lt;安値!H287,安値!I287&lt;安値!G287,安値!I287&lt;安値!J287,安値!I287&lt;安値!K287),4,""))</f>
        <v/>
      </c>
      <c r="E287" s="503" t="str">
        <f>IF(終値!A287="","",IF(AND(安値!J287&lt;安値!I287,安値!J287&lt;安値!H287,安値!J287&lt;安値!K287,安値!J287&lt;安値!L287),5,""))</f>
        <v/>
      </c>
      <c r="F287" s="503">
        <f>IF(終値!A287="","",IF(AND(安値!K287&lt;安値!J287,安値!K287&lt;安値!I287,安値!K287&lt;安値!L287,安値!K287&lt;安値!M287),6,""))</f>
        <v>6</v>
      </c>
      <c r="G287" s="503" t="str">
        <f>IF(終値!A287="","",IF(AND(安値!L287&lt;安値!K287,安値!L287&lt;安値!J287,安値!L287&lt;安値!M287,安値!L287&lt;安値!N287),7,""))</f>
        <v/>
      </c>
      <c r="H287" s="503" t="str">
        <f>IF(終値!A287="","",IF(AND(安値!M287&lt;安値!L287,安値!M287&lt;安値!K287,安値!M287&lt;安値!N287,安値!M287&lt;安値!O287),8,""))</f>
        <v/>
      </c>
      <c r="I287" s="503" t="str">
        <f>IF(終値!A287="","",IF(AND(安値!N287&lt;安値!M287,安値!N287&lt;安値!L287,安値!N287&lt;安値!O287,安値!N287&lt;安値!P287),9,""))</f>
        <v/>
      </c>
      <c r="J287" s="503">
        <f>IF(終値!A287="","",IF(AND(安値!O287&lt;安値!N287,安値!O287&lt;安値!M287,安値!O287&lt;安値!P287,安値!O287&lt;安値!Q287),10,""))</f>
        <v>10</v>
      </c>
      <c r="K287" s="503" t="str">
        <f>IF(終値!A287="","",IF(AND(安値!P287&lt;安値!O287,安値!P287&lt;安値!N287,安値!P287&lt;安値!Q287,安値!P287&lt;安値!R287),11,""))</f>
        <v/>
      </c>
      <c r="L287" s="503" t="str">
        <f>IF(終値!A287="","",IF(AND(安値!Q287&lt;安値!P287,安値!Q287&lt;安値!O287,安値!Q287&lt;安値!R287,安値!Q287&lt;安値!S287),12,""))</f>
        <v/>
      </c>
      <c r="M287" s="503" t="str">
        <f>IF(終値!A287="","",IF(AND(安値!R287&lt;安値!Q287,安値!R287&lt;安値!P287,安値!R287&lt;安値!S287,安値!R287&lt;安値!T287),13,""))</f>
        <v/>
      </c>
      <c r="N287" s="503" t="str">
        <f>IF(終値!A287="","",IF(AND(安値!S287&lt;安値!R287,安値!S287&lt;安値!Q287,安値!S287&lt;安値!T287,安値!S287&lt;安値!U287),14,""))</f>
        <v/>
      </c>
      <c r="O287" s="503">
        <f>IF(終値!A287="","",IF(AND(安値!T287&lt;安値!S287,安値!T287&lt;安値!R287,安値!T287&lt;安値!U287,安値!T287&lt;安値!V287),15,""))</f>
        <v>15</v>
      </c>
      <c r="P287" s="503" t="str">
        <f>IF(終値!A287="","",IF(AND(安値!U287&lt;安値!T287,安値!U287&lt;安値!S287,安値!U287&lt;安値!V287,安値!U287&lt;安値!W287),16,""))</f>
        <v/>
      </c>
      <c r="Q287" s="503" t="str">
        <f>IF(終値!A287="","",IF(AND(安値!V287&lt;安値!U287,安値!V287&lt;安値!T287,安値!V287&lt;安値!W287,安値!V287&lt;安値!X287),17,""))</f>
        <v/>
      </c>
      <c r="R287" s="503" t="str">
        <f>IF(終値!A287="","",IF(AND(安値!W287&lt;安値!V287,安値!W287&lt;安値!U287,安値!W287&lt;安値!X287,安値!W287&lt;安値!Y287),18,""))</f>
        <v/>
      </c>
      <c r="S287" s="503" t="str">
        <f>IF(終値!A287="","",IF(AND(安値!X287&lt;安値!W287,安値!X287&lt;安値!V287,安値!X287&lt;安値!Y287,安値!X287&lt;安値!Z287),19,""))</f>
        <v/>
      </c>
      <c r="T287" s="503" t="str">
        <f>IF(終値!A287="","",IF(AND(安値!Y287&lt;安値!X287,安値!Y287&lt;安値!W287,安値!Y287&lt;安値!Z287,安値!Y287&lt;安値!AA287),20,""))</f>
        <v/>
      </c>
      <c r="U287" s="503" t="str">
        <f>IF(終値!A287="","",IF(AND(安値!Z287&lt;安値!Y287,安値!Z287&lt;安値!X287,安値!Z287&lt;安値!AA287,安値!Z287&lt;安値!AB287),21,""))</f>
        <v/>
      </c>
      <c r="V287" s="503" t="str">
        <f>IF(終値!A287="","",IF(AND(安値!AA287&lt;安値!Z287,安値!AA287&lt;安値!Y287,安値!AA287&lt;安値!AB287,安値!AA287&lt;安値!AC287),22,""))</f>
        <v/>
      </c>
      <c r="W287" s="503" t="str">
        <f>IF(終値!A287="","",IF(AND(安値!AB287&lt;安値!AA287,安値!AB287&lt;安値!Z287,安値!AB287&lt;安値!AC287,安値!AB287&lt;安値!AD287),23,""))</f>
        <v/>
      </c>
      <c r="X287" s="503" t="str">
        <f>IF(終値!A287="","",IF(AND(安値!AC287&lt;安値!AB287,安値!AC287&lt;安値!AA287,安値!AC287&lt;安値!AD287,安値!AC287&lt;安値!AE287),24,""))</f>
        <v/>
      </c>
      <c r="Y287" s="503">
        <f>IF(終値!A287="","",IF(AND(安値!AD287&lt;安値!AC287,安値!AD287&lt;安値!AB287,安値!AD287&lt;安値!AE287,安値!AD287&lt;安値!AF287),25,""))</f>
        <v>25</v>
      </c>
      <c r="Z287" s="503" t="str">
        <f>IF(終値!A287="","",IF(AND(安値!AE287&lt;安値!AD287,安値!AE287&lt;安値!AC287,安値!AE287&lt;安値!AF287,安値!AE287&lt;安値!AG287),26,""))</f>
        <v/>
      </c>
      <c r="AA287" s="503" t="str">
        <f>IF(終値!A287="","",IF(AND(安値!AF287&lt;安値!AE287,安値!AF287&lt;安値!AD287,安値!AF287&lt;安値!AG287,安値!AF287&lt;安値!AH287),27,""))</f>
        <v/>
      </c>
      <c r="AB287" s="503" t="str">
        <f>IF(終値!A287="","",IF(AND(安値!AG287&lt;安値!AF287,安値!AG287&lt;安値!AE287,安値!AG287&lt;安値!AH287,安値!AG287&lt;安値!AI287),28,""))</f>
        <v/>
      </c>
      <c r="AC287" s="503" t="str">
        <f>IF(終値!A287="","",IF(AND(高値!G287&gt;高値!F287,高値!G287&gt;高値!E287,高値!G287&gt;高値!H287,高値!G287&gt;高値!I287),2,""))</f>
        <v/>
      </c>
      <c r="AD287" s="503" t="str">
        <f>IF(終値!A287="","",IF(AND(高値!H287&gt;高値!G287,高値!H287&gt;高値!F287,高値!H287&gt;高値!I287,高値!H287&gt;高値!J287),3,""))</f>
        <v/>
      </c>
      <c r="AE287" s="503" t="str">
        <f>IF(終値!A287="","",IF(AND(高値!I287&gt;高値!H287,高値!I287&gt;高値!G287,高値!I287&gt;高値!J287,高値!I287&gt;高値!K287),4,""))</f>
        <v/>
      </c>
      <c r="AF287" s="503" t="str">
        <f>IF(終値!A287="","",IF(AND(高値!J287&gt;高値!I287,高値!J287&gt;高値!H287,高値!J287&gt;高値!K287,高値!J287&gt;高値!L287),5,""))</f>
        <v/>
      </c>
      <c r="AG287" s="503" t="str">
        <f>IF(終値!A287="","",IF(AND(高値!K287&gt;高値!J287,高値!K287&gt;高値!I287,高値!K287&gt;高値!L287,高値!K287&gt;高値!M287),6,""))</f>
        <v/>
      </c>
      <c r="AH287" s="503" t="str">
        <f>IF(終値!A287="","",IF(AND(高値!L287&gt;高値!K287,高値!L287&gt;高値!J287,高値!L287&gt;高値!M287,高値!L287&gt;高値!N287),7,""))</f>
        <v/>
      </c>
      <c r="AI287" s="503">
        <f>IF(終値!A287="","",IF(AND(高値!M287&gt;高値!L287,高値!M287&gt;高値!K287,高値!M287&gt;高値!N287,高値!M287&gt;高値!O287),8,""))</f>
        <v>8</v>
      </c>
      <c r="AJ287" s="503" t="str">
        <f>IF(終値!A287="","",IF(AND(高値!N287&gt;高値!M287,高値!N287&gt;高値!L287,高値!N287&gt;高値!O287,高値!N287&gt;高値!P287),9,""))</f>
        <v/>
      </c>
      <c r="AK287" s="503" t="str">
        <f>IF(終値!A287="","",IF(AND(高値!O287&gt;高値!N287,高値!O287&gt;高値!M287,高値!O287&gt;高値!P287,高値!O287&gt;高値!Q287),10,""))</f>
        <v/>
      </c>
      <c r="AL287" s="503" t="str">
        <f>IF(終値!A287="","",IF(AND(高値!P287&gt;高値!O287,高値!P287&gt;高値!N287,高値!P287&gt;高値!Q287,高値!P287&gt;高値!R287),11,""))</f>
        <v/>
      </c>
      <c r="AM287" s="503">
        <f>IF(終値!A287="","",IF(AND(高値!Q287&gt;高値!P287,高値!Q287&gt;高値!O287,高値!Q287&gt;高値!R287,高値!Q287&gt;高値!S287),12,""))</f>
        <v>12</v>
      </c>
      <c r="AN287" s="503" t="str">
        <f>IF(終値!A287="","",IF(AND(高値!R287&gt;高値!Q287,高値!R287&gt;高値!P287,高値!R287&gt;高値!S287,高値!R287&gt;高値!T287),13,""))</f>
        <v/>
      </c>
      <c r="AO287" s="503" t="str">
        <f>IF(終値!A287="","",IF(AND(高値!S287&gt;高値!R287,高値!S287&gt;高値!Q287,高値!S287&gt;高値!T287,高値!S287&gt;高値!U287),14,""))</f>
        <v/>
      </c>
      <c r="AP287" s="503" t="str">
        <f>IF(終値!A287="","",IF(AND(高値!T287&gt;高値!S287,高値!T287&gt;高値!R287,高値!T287&gt;高値!U287,高値!T287&gt;高値!V287),15,""))</f>
        <v/>
      </c>
      <c r="AQ287" s="503" t="str">
        <f>IF(終値!A287="","",IF(AND(高値!U287&gt;高値!T287,高値!U287&gt;高値!S287,高値!U287&gt;高値!V287,高値!U287&gt;高値!W287),16,""))</f>
        <v/>
      </c>
      <c r="AR287" s="503" t="str">
        <f>IF(終値!A287="","",IF(AND(高値!V287&gt;高値!U287,高値!V287&gt;高値!T287,高値!V287&gt;高値!W287,高値!V287&gt;高値!X287),17,""))</f>
        <v/>
      </c>
      <c r="AS287" s="503" t="str">
        <f>IF(終値!A287="","",IF(AND(高値!W287&gt;高値!V287,高値!W287&gt;高値!U287,高値!W287&gt;高値!X287,高値!W287&gt;高値!Y287),18,""))</f>
        <v/>
      </c>
      <c r="AT287" s="503" t="str">
        <f>IF(終値!A287="","",IF(AND(高値!X287&gt;高値!W287,高値!X287&gt;高値!V287,高値!X287&gt;高値!Y287,高値!X287&gt;高値!Z287),19,""))</f>
        <v/>
      </c>
      <c r="AU287" s="503">
        <f>IF(終値!A287="","",IF(AND(高値!Y287&gt;高値!X287,高値!Y287&gt;高値!W287,高値!Y287&gt;高値!Z287,高値!Y287&gt;高値!AA287),20,""))</f>
        <v>20</v>
      </c>
      <c r="AV287" s="503" t="str">
        <f>IF(終値!A287="","",IF(AND(高値!Z287&gt;高値!Y287,高値!Z287&gt;高値!X287,高値!Z287&gt;高値!AA287,高値!Z287&gt;高値!AB287),21,""))</f>
        <v/>
      </c>
      <c r="AW287" s="503" t="str">
        <f>IF(終値!A287="","",IF(AND(高値!AA287&gt;高値!Z287,高値!AA287&gt;高値!Y287,高値!AA287&gt;高値!AB287,高値!AA287&gt;高値!AC287),22,""))</f>
        <v/>
      </c>
      <c r="AX287" s="503" t="str">
        <f>IF(終値!A287="","",IF(AND(高値!AB287&gt;高値!AA287,高値!AB287&gt;高値!Z287,高値!AB287&gt;高値!AC287,高値!AB287&gt;高値!AD287),23,""))</f>
        <v/>
      </c>
      <c r="AY287" s="503" t="str">
        <f>IF(終値!A287="","",IF(AND(高値!AC287&gt;高値!AB287,高値!AC287&gt;高値!AA287,高値!AC287&gt;高値!AD287,高値!AC287&gt;高値!AE287),24,""))</f>
        <v/>
      </c>
      <c r="AZ287" s="503" t="str">
        <f>IF(終値!A287="","",IF(AND(高値!AD287&gt;高値!AC287,高値!AD287&gt;高値!AB287,高値!AD287&gt;高値!AE287,高値!AD287&gt;高値!AF287),25,""))</f>
        <v/>
      </c>
      <c r="BA287" s="503" t="str">
        <f>IF(終値!A287="","",IF(AND(高値!AE287&gt;高値!AD287,高値!AE287&gt;高値!AC287,高値!AE287&gt;高値!AF287,高値!AE287&gt;高値!AG287),26,""))</f>
        <v/>
      </c>
      <c r="BB287" s="503" t="str">
        <f>IF(終値!A287="","",IF(AND(高値!AF287&gt;高値!AE287,高値!AF287&gt;高値!AD287,高値!AF287&gt;高値!AG287,高値!AF287&gt;高値!AH287),27,""))</f>
        <v/>
      </c>
      <c r="BC287" s="503" t="str">
        <f>IF(終値!A287="","",IF(AND(高値!AG287&gt;高値!AF287,高値!AG287&gt;高値!AE287,高値!AG287&gt;高値!AH287,高値!AG287&gt;高値!AI287),28,""))</f>
        <v/>
      </c>
      <c r="BD287" s="503">
        <f t="shared" si="24"/>
        <v>4</v>
      </c>
      <c r="BE287" s="503">
        <f t="shared" si="25"/>
        <v>6</v>
      </c>
      <c r="BF287" s="503">
        <f t="shared" si="26"/>
        <v>10</v>
      </c>
      <c r="BG287" s="503">
        <f>IF($BE287="","",INDEX(安値!$E287:$CZ287,1,$BE287+1))</f>
        <v>8920</v>
      </c>
      <c r="BH287" s="503">
        <f>IF($BF287="","",INDEX(安値!$E287:$CZ287,1,$BF287+1))</f>
        <v>8800</v>
      </c>
      <c r="BI287" s="503">
        <f>IF($BF287="","",MAX(INDEX(高値!$E287:$CZ287,1,$BE287+1):INDEX(高値!$E287:$CZ287,1,$BF287+1)))</f>
        <v>10120</v>
      </c>
      <c r="BJ287" s="503">
        <f>IF($BF287="","",AVERAGE(INDEX(終値!$E287:$CZ287,1,$BF287+1):INDEX(終値!$E287:$CZ287,1,$BF287+20))-2*STDEVP(INDEX(終値!$E287:$CZ287,1,$BF287+1):INDEX(終値!$E287:$CZ287,1,$BF287+20)))</f>
        <v>7822.447369278636</v>
      </c>
      <c r="BK287" s="503">
        <f>IF($BE287="","",AVERAGE(INDEX(終値!$E287:$CZ287,1,$BE287+1):INDEX(終値!$E287:$CZ287,1,$BE287+20))-2*STDEVP(INDEX(終値!$E287:$CZ287,1,$BE287+1):INDEX(終値!$E287:$CZ287,1,$BE287+20)))</f>
        <v>8081.0138936318735</v>
      </c>
      <c r="BL287" s="503">
        <f t="shared" si="27"/>
        <v>3</v>
      </c>
      <c r="BM287" s="503">
        <f t="shared" si="28"/>
        <v>8</v>
      </c>
      <c r="BN287" s="503">
        <f t="shared" si="29"/>
        <v>12</v>
      </c>
      <c r="BO287" s="503">
        <f>IF($BM287="","",INDEX(高値!$E287:$CZ287,1,$BM287+1))</f>
        <v>10120</v>
      </c>
      <c r="BP287" s="503">
        <f>IF($BN287="","",INDEX(高値!$E287:$CZ287,1,$BN287+1))</f>
        <v>9460</v>
      </c>
      <c r="BQ287" s="503">
        <f>IF($BN287="","",MIN(INDEX(安値!$E287:$CZ287,1,$BM287+1):INDEX(安値!$E287:$CZ287,1,$BN287+1)))</f>
        <v>8800</v>
      </c>
      <c r="BR287" s="503">
        <f>IF($BN287="","",AVERAGE(INDEX(終値!$E287:$CZ287,1,$BN287+1):INDEX(終値!$E287:$CZ287,1,$BN287+20))+2*STDEVP(INDEX(終値!$E287:$CZ287,1,$BN287+1):INDEX(終値!$E287:$CZ287,1,$BN287+20)))</f>
        <v>11052.600384472235</v>
      </c>
      <c r="BS287" s="503">
        <f>IF($BM287="","",AVERAGE(INDEX(終値!$E287:$CZ287,1,$BM287+1):INDEX(終値!$E287:$CZ287,1,$BM287+20))+2*STDEVP(INDEX(終値!$E287:$CZ287,1,$BM287+1):INDEX(終値!$E287:$CZ287,1,$BM287+20)))</f>
        <v>11065.637059218319</v>
      </c>
      <c r="BT287" s="500"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v>
      </c>
    </row>
    <row r="288" spans="2:72">
      <c r="B288" s="503" t="str">
        <f>IF(終値!A288="","",IF(AND(安値!G288&lt;安値!F288,安値!G288&lt;安値!E288,安値!G288&lt;安値!H288,安値!G288&lt;安値!I288),2,""))</f>
        <v/>
      </c>
      <c r="C288" s="503" t="str">
        <f>IF(終値!A288="","",IF(AND(安値!H288&lt;安値!G288,安値!H288&lt;安値!F288,安値!H288&lt;安値!I288,安値!H288&lt;安値!J288),3,""))</f>
        <v/>
      </c>
      <c r="D288" s="503">
        <f>IF(終値!A288="","",IF(AND(安値!I288&lt;安値!H288,安値!I288&lt;安値!G288,安値!I288&lt;安値!J288,安値!I288&lt;安値!K288),4,""))</f>
        <v>4</v>
      </c>
      <c r="E288" s="503" t="str">
        <f>IF(終値!A288="","",IF(AND(安値!J288&lt;安値!I288,安値!J288&lt;安値!H288,安値!J288&lt;安値!K288,安値!J288&lt;安値!L288),5,""))</f>
        <v/>
      </c>
      <c r="F288" s="503" t="str">
        <f>IF(終値!A288="","",IF(AND(安値!K288&lt;安値!J288,安値!K288&lt;安値!I288,安値!K288&lt;安値!L288,安値!K288&lt;安値!M288),6,""))</f>
        <v/>
      </c>
      <c r="G288" s="503" t="str">
        <f>IF(終値!A288="","",IF(AND(安値!L288&lt;安値!K288,安値!L288&lt;安値!J288,安値!L288&lt;安値!M288,安値!L288&lt;安値!N288),7,""))</f>
        <v/>
      </c>
      <c r="H288" s="503" t="str">
        <f>IF(終値!A288="","",IF(AND(安値!M288&lt;安値!L288,安値!M288&lt;安値!K288,安値!M288&lt;安値!N288,安値!M288&lt;安値!O288),8,""))</f>
        <v/>
      </c>
      <c r="I288" s="503">
        <f>IF(終値!A288="","",IF(AND(安値!N288&lt;安値!M288,安値!N288&lt;安値!L288,安値!N288&lt;安値!O288,安値!N288&lt;安値!P288),9,""))</f>
        <v>9</v>
      </c>
      <c r="J288" s="503" t="str">
        <f>IF(終値!A288="","",IF(AND(安値!O288&lt;安値!N288,安値!O288&lt;安値!M288,安値!O288&lt;安値!P288,安値!O288&lt;安値!Q288),10,""))</f>
        <v/>
      </c>
      <c r="K288" s="503" t="str">
        <f>IF(終値!A288="","",IF(AND(安値!P288&lt;安値!O288,安値!P288&lt;安値!N288,安値!P288&lt;安値!Q288,安値!P288&lt;安値!R288),11,""))</f>
        <v/>
      </c>
      <c r="L288" s="503" t="str">
        <f>IF(終値!A288="","",IF(AND(安値!Q288&lt;安値!P288,安値!Q288&lt;安値!O288,安値!Q288&lt;安値!R288,安値!Q288&lt;安値!S288),12,""))</f>
        <v/>
      </c>
      <c r="M288" s="503" t="str">
        <f>IF(終値!A288="","",IF(AND(安値!R288&lt;安値!Q288,安値!R288&lt;安値!P288,安値!R288&lt;安値!S288,安値!R288&lt;安値!T288),13,""))</f>
        <v/>
      </c>
      <c r="N288" s="503" t="str">
        <f>IF(終値!A288="","",IF(AND(安値!S288&lt;安値!R288,安値!S288&lt;安値!Q288,安値!S288&lt;安値!T288,安値!S288&lt;安値!U288),14,""))</f>
        <v/>
      </c>
      <c r="O288" s="503" t="str">
        <f>IF(終値!A288="","",IF(AND(安値!T288&lt;安値!S288,安値!T288&lt;安値!R288,安値!T288&lt;安値!U288,安値!T288&lt;安値!V288),15,""))</f>
        <v/>
      </c>
      <c r="P288" s="503" t="str">
        <f>IF(終値!A288="","",IF(AND(安値!U288&lt;安値!T288,安値!U288&lt;安値!S288,安値!U288&lt;安値!V288,安値!U288&lt;安値!W288),16,""))</f>
        <v/>
      </c>
      <c r="Q288" s="503" t="str">
        <f>IF(終値!A288="","",IF(AND(安値!V288&lt;安値!U288,安値!V288&lt;安値!T288,安値!V288&lt;安値!W288,安値!V288&lt;安値!X288),17,""))</f>
        <v/>
      </c>
      <c r="R288" s="503" t="str">
        <f>IF(終値!A288="","",IF(AND(安値!W288&lt;安値!V288,安値!W288&lt;安値!U288,安値!W288&lt;安値!X288,安値!W288&lt;安値!Y288),18,""))</f>
        <v/>
      </c>
      <c r="S288" s="503" t="str">
        <f>IF(終値!A288="","",IF(AND(安値!X288&lt;安値!W288,安値!X288&lt;安値!V288,安値!X288&lt;安値!Y288,安値!X288&lt;安値!Z288),19,""))</f>
        <v/>
      </c>
      <c r="T288" s="503" t="str">
        <f>IF(終値!A288="","",IF(AND(安値!Y288&lt;安値!X288,安値!Y288&lt;安値!W288,安値!Y288&lt;安値!Z288,安値!Y288&lt;安値!AA288),20,""))</f>
        <v/>
      </c>
      <c r="U288" s="503" t="str">
        <f>IF(終値!A288="","",IF(AND(安値!Z288&lt;安値!Y288,安値!Z288&lt;安値!X288,安値!Z288&lt;安値!AA288,安値!Z288&lt;安値!AB288),21,""))</f>
        <v/>
      </c>
      <c r="V288" s="503" t="str">
        <f>IF(終値!A288="","",IF(AND(安値!AA288&lt;安値!Z288,安値!AA288&lt;安値!Y288,安値!AA288&lt;安値!AB288,安値!AA288&lt;安値!AC288),22,""))</f>
        <v/>
      </c>
      <c r="W288" s="503" t="str">
        <f>IF(終値!A288="","",IF(AND(安値!AB288&lt;安値!AA288,安値!AB288&lt;安値!Z288,安値!AB288&lt;安値!AC288,安値!AB288&lt;安値!AD288),23,""))</f>
        <v/>
      </c>
      <c r="X288" s="503" t="str">
        <f>IF(終値!A288="","",IF(AND(安値!AC288&lt;安値!AB288,安値!AC288&lt;安値!AA288,安値!AC288&lt;安値!AD288,安値!AC288&lt;安値!AE288),24,""))</f>
        <v/>
      </c>
      <c r="Y288" s="503" t="str">
        <f>IF(終値!A288="","",IF(AND(安値!AD288&lt;安値!AC288,安値!AD288&lt;安値!AB288,安値!AD288&lt;安値!AE288,安値!AD288&lt;安値!AF288),25,""))</f>
        <v/>
      </c>
      <c r="Z288" s="503" t="str">
        <f>IF(終値!A288="","",IF(AND(安値!AE288&lt;安値!AD288,安値!AE288&lt;安値!AC288,安値!AE288&lt;安値!AF288,安値!AE288&lt;安値!AG288),26,""))</f>
        <v/>
      </c>
      <c r="AA288" s="503" t="str">
        <f>IF(終値!A288="","",IF(AND(安値!AF288&lt;安値!AE288,安値!AF288&lt;安値!AD288,安値!AF288&lt;安値!AG288,安値!AF288&lt;安値!AH288),27,""))</f>
        <v/>
      </c>
      <c r="AB288" s="503">
        <f>IF(終値!A288="","",IF(AND(安値!AG288&lt;安値!AF288,安値!AG288&lt;安値!AE288,安値!AG288&lt;安値!AH288,安値!AG288&lt;安値!AI288),28,""))</f>
        <v>28</v>
      </c>
      <c r="AC288" s="503" t="str">
        <f>IF(終値!A288="","",IF(AND(高値!G288&gt;高値!F288,高値!G288&gt;高値!E288,高値!G288&gt;高値!H288,高値!G288&gt;高値!I288),2,""))</f>
        <v/>
      </c>
      <c r="AD288" s="503" t="str">
        <f>IF(終値!A288="","",IF(AND(高値!H288&gt;高値!G288,高値!H288&gt;高値!F288,高値!H288&gt;高値!I288,高値!H288&gt;高値!J288),3,""))</f>
        <v/>
      </c>
      <c r="AE288" s="503" t="str">
        <f>IF(終値!A288="","",IF(AND(高値!I288&gt;高値!H288,高値!I288&gt;高値!G288,高値!I288&gt;高値!J288,高値!I288&gt;高値!K288),4,""))</f>
        <v/>
      </c>
      <c r="AF288" s="503" t="str">
        <f>IF(終値!A288="","",IF(AND(高値!J288&gt;高値!I288,高値!J288&gt;高値!H288,高値!J288&gt;高値!K288,高値!J288&gt;高値!L288),5,""))</f>
        <v/>
      </c>
      <c r="AG288" s="503">
        <f>IF(終値!A288="","",IF(AND(高値!K288&gt;高値!J288,高値!K288&gt;高値!I288,高値!K288&gt;高値!L288,高値!K288&gt;高値!M288),6,""))</f>
        <v>6</v>
      </c>
      <c r="AH288" s="503" t="str">
        <f>IF(終値!A288="","",IF(AND(高値!L288&gt;高値!K288,高値!L288&gt;高値!J288,高値!L288&gt;高値!M288,高値!L288&gt;高値!N288),7,""))</f>
        <v/>
      </c>
      <c r="AI288" s="503" t="str">
        <f>IF(終値!A288="","",IF(AND(高値!M288&gt;高値!L288,高値!M288&gt;高値!K288,高値!M288&gt;高値!N288,高値!M288&gt;高値!O288),8,""))</f>
        <v/>
      </c>
      <c r="AJ288" s="503" t="str">
        <f>IF(終値!A288="","",IF(AND(高値!N288&gt;高値!M288,高値!N288&gt;高値!L288,高値!N288&gt;高値!O288,高値!N288&gt;高値!P288),9,""))</f>
        <v/>
      </c>
      <c r="AK288" s="503" t="str">
        <f>IF(終値!A288="","",IF(AND(高値!O288&gt;高値!N288,高値!O288&gt;高値!M288,高値!O288&gt;高値!P288,高値!O288&gt;高値!Q288),10,""))</f>
        <v/>
      </c>
      <c r="AL288" s="503" t="str">
        <f>IF(終値!A288="","",IF(AND(高値!P288&gt;高値!O288,高値!P288&gt;高値!N288,高値!P288&gt;高値!Q288,高値!P288&gt;高値!R288),11,""))</f>
        <v/>
      </c>
      <c r="AM288" s="503" t="str">
        <f>IF(終値!A288="","",IF(AND(高値!Q288&gt;高値!P288,高値!Q288&gt;高値!O288,高値!Q288&gt;高値!R288,高値!Q288&gt;高値!S288),12,""))</f>
        <v/>
      </c>
      <c r="AN288" s="503" t="str">
        <f>IF(終値!A288="","",IF(AND(高値!R288&gt;高値!Q288,高値!R288&gt;高値!P288,高値!R288&gt;高値!S288,高値!R288&gt;高値!T288),13,""))</f>
        <v/>
      </c>
      <c r="AO288" s="503" t="str">
        <f>IF(終値!A288="","",IF(AND(高値!S288&gt;高値!R288,高値!S288&gt;高値!Q288,高値!S288&gt;高値!T288,高値!S288&gt;高値!U288),14,""))</f>
        <v/>
      </c>
      <c r="AP288" s="503" t="str">
        <f>IF(終値!A288="","",IF(AND(高値!T288&gt;高値!S288,高値!T288&gt;高値!R288,高値!T288&gt;高値!U288,高値!T288&gt;高値!V288),15,""))</f>
        <v/>
      </c>
      <c r="AQ288" s="503" t="str">
        <f>IF(終値!A288="","",IF(AND(高値!U288&gt;高値!T288,高値!U288&gt;高値!S288,高値!U288&gt;高値!V288,高値!U288&gt;高値!W288),16,""))</f>
        <v/>
      </c>
      <c r="AR288" s="503" t="str">
        <f>IF(終値!A288="","",IF(AND(高値!V288&gt;高値!U288,高値!V288&gt;高値!T288,高値!V288&gt;高値!W288,高値!V288&gt;高値!X288),17,""))</f>
        <v/>
      </c>
      <c r="AS288" s="503" t="str">
        <f>IF(終値!A288="","",IF(AND(高値!W288&gt;高値!V288,高値!W288&gt;高値!U288,高値!W288&gt;高値!X288,高値!W288&gt;高値!Y288),18,""))</f>
        <v/>
      </c>
      <c r="AT288" s="503">
        <f>IF(終値!A288="","",IF(AND(高値!X288&gt;高値!W288,高値!X288&gt;高値!V288,高値!X288&gt;高値!Y288,高値!X288&gt;高値!Z288),19,""))</f>
        <v>19</v>
      </c>
      <c r="AU288" s="503" t="str">
        <f>IF(終値!A288="","",IF(AND(高値!Y288&gt;高値!X288,高値!Y288&gt;高値!W288,高値!Y288&gt;高値!Z288,高値!Y288&gt;高値!AA288),20,""))</f>
        <v/>
      </c>
      <c r="AV288" s="503" t="str">
        <f>IF(終値!A288="","",IF(AND(高値!Z288&gt;高値!Y288,高値!Z288&gt;高値!X288,高値!Z288&gt;高値!AA288,高値!Z288&gt;高値!AB288),21,""))</f>
        <v/>
      </c>
      <c r="AW288" s="503" t="str">
        <f>IF(終値!A288="","",IF(AND(高値!AA288&gt;高値!Z288,高値!AA288&gt;高値!Y288,高値!AA288&gt;高値!AB288,高値!AA288&gt;高値!AC288),22,""))</f>
        <v/>
      </c>
      <c r="AX288" s="503" t="str">
        <f>IF(終値!A288="","",IF(AND(高値!AB288&gt;高値!AA288,高値!AB288&gt;高値!Z288,高値!AB288&gt;高値!AC288,高値!AB288&gt;高値!AD288),23,""))</f>
        <v/>
      </c>
      <c r="AY288" s="503" t="str">
        <f>IF(終値!A288="","",IF(AND(高値!AC288&gt;高値!AB288,高値!AC288&gt;高値!AA288,高値!AC288&gt;高値!AD288,高値!AC288&gt;高値!AE288),24,""))</f>
        <v/>
      </c>
      <c r="AZ288" s="503" t="str">
        <f>IF(終値!A288="","",IF(AND(高値!AD288&gt;高値!AC288,高値!AD288&gt;高値!AB288,高値!AD288&gt;高値!AE288,高値!AD288&gt;高値!AF288),25,""))</f>
        <v/>
      </c>
      <c r="BA288" s="503">
        <f>IF(終値!A288="","",IF(AND(高値!AE288&gt;高値!AD288,高値!AE288&gt;高値!AC288,高値!AE288&gt;高値!AF288,高値!AE288&gt;高値!AG288),26,""))</f>
        <v>26</v>
      </c>
      <c r="BB288" s="503" t="str">
        <f>IF(終値!A288="","",IF(AND(高値!AF288&gt;高値!AE288,高値!AF288&gt;高値!AD288,高値!AF288&gt;高値!AG288,高値!AF288&gt;高値!AH288),27,""))</f>
        <v/>
      </c>
      <c r="BC288" s="503" t="str">
        <f>IF(終値!A288="","",IF(AND(高値!AG288&gt;高値!AF288,高値!AG288&gt;高値!AE288,高値!AG288&gt;高値!AH288,高値!AG288&gt;高値!AI288),28,""))</f>
        <v/>
      </c>
      <c r="BD288" s="503">
        <f t="shared" si="24"/>
        <v>3</v>
      </c>
      <c r="BE288" s="503">
        <f t="shared" si="25"/>
        <v>4</v>
      </c>
      <c r="BF288" s="503">
        <f t="shared" si="26"/>
        <v>9</v>
      </c>
      <c r="BG288" s="503">
        <f>IF($BE288="","",INDEX(安値!$E288:$CZ288,1,$BE288+1))</f>
        <v>1088</v>
      </c>
      <c r="BH288" s="503">
        <f>IF($BF288="","",INDEX(安値!$E288:$CZ288,1,$BF288+1))</f>
        <v>0</v>
      </c>
      <c r="BI288" s="503">
        <f>IF($BF288="","",MAX(INDEX(高値!$E288:$CZ288,1,$BE288+1):INDEX(高値!$E288:$CZ288,1,$BF288+1)))</f>
        <v>1119</v>
      </c>
      <c r="BJ288" s="503">
        <f>IF($BF288="","",AVERAGE(INDEX(終値!$E288:$CZ288,1,$BF288+1):INDEX(終値!$E288:$CZ288,1,$BF288+20))-2*STDEVP(INDEX(終値!$E288:$CZ288,1,$BF288+1):INDEX(終値!$E288:$CZ288,1,$BF288+20)))</f>
        <v>1051.8864320046271</v>
      </c>
      <c r="BK288" s="503">
        <f>IF($BE288="","",AVERAGE(INDEX(終値!$E288:$CZ288,1,$BE288+1):INDEX(終値!$E288:$CZ288,1,$BE288+20))-2*STDEVP(INDEX(終値!$E288:$CZ288,1,$BE288+1):INDEX(終値!$E288:$CZ288,1,$BE288+20)))</f>
        <v>1056.0221479261465</v>
      </c>
      <c r="BL288" s="503">
        <f t="shared" si="27"/>
        <v>3</v>
      </c>
      <c r="BM288" s="503">
        <f t="shared" si="28"/>
        <v>6</v>
      </c>
      <c r="BN288" s="503">
        <f t="shared" si="29"/>
        <v>19</v>
      </c>
      <c r="BO288" s="503">
        <f>IF($BM288="","",INDEX(高値!$E288:$CZ288,1,$BM288+1))</f>
        <v>1119</v>
      </c>
      <c r="BP288" s="503">
        <f>IF($BN288="","",INDEX(高値!$E288:$CZ288,1,$BN288+1))</f>
        <v>1085</v>
      </c>
      <c r="BQ288" s="503">
        <f>IF($BN288="","",MIN(INDEX(安値!$E288:$CZ288,1,$BM288+1):INDEX(安値!$E288:$CZ288,1,$BN288+1)))</f>
        <v>1072</v>
      </c>
      <c r="BR288" s="503">
        <f>IF($BN288="","",AVERAGE(INDEX(終値!$E288:$CZ288,1,$BN288+1):INDEX(終値!$E288:$CZ288,1,$BN288+20))+2*STDEVP(INDEX(終値!$E288:$CZ288,1,$BN288+1):INDEX(終値!$E288:$CZ288,1,$BN288+20)))</f>
        <v>1077.3911783071017</v>
      </c>
      <c r="BS288" s="503">
        <f>IF($BM288="","",AVERAGE(INDEX(終値!$E288:$CZ288,1,$BM288+1):INDEX(終値!$E288:$CZ288,1,$BM288+20))+2*STDEVP(INDEX(終値!$E288:$CZ288,1,$BM288+1):INDEX(終値!$E288:$CZ288,1,$BM288+20)))</f>
        <v>1106.169736811144</v>
      </c>
      <c r="BT288" s="500"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3" t="str">
        <f>IF(終値!A289="","",IF(AND(安値!G289&lt;安値!F289,安値!G289&lt;安値!E289,安値!G289&lt;安値!H289,安値!G289&lt;安値!I289),2,""))</f>
        <v/>
      </c>
      <c r="C289" s="503" t="str">
        <f>IF(終値!A289="","",IF(AND(安値!H289&lt;安値!G289,安値!H289&lt;安値!F289,安値!H289&lt;安値!I289,安値!H289&lt;安値!J289),3,""))</f>
        <v/>
      </c>
      <c r="D289" s="503" t="str">
        <f>IF(終値!A289="","",IF(AND(安値!I289&lt;安値!H289,安値!I289&lt;安値!G289,安値!I289&lt;安値!J289,安値!I289&lt;安値!K289),4,""))</f>
        <v/>
      </c>
      <c r="E289" s="503" t="str">
        <f>IF(終値!A289="","",IF(AND(安値!J289&lt;安値!I289,安値!J289&lt;安値!H289,安値!J289&lt;安値!K289,安値!J289&lt;安値!L289),5,""))</f>
        <v/>
      </c>
      <c r="F289" s="503">
        <f>IF(終値!A289="","",IF(AND(安値!K289&lt;安値!J289,安値!K289&lt;安値!I289,安値!K289&lt;安値!L289,安値!K289&lt;安値!M289),6,""))</f>
        <v>6</v>
      </c>
      <c r="G289" s="503" t="str">
        <f>IF(終値!A289="","",IF(AND(安値!L289&lt;安値!K289,安値!L289&lt;安値!J289,安値!L289&lt;安値!M289,安値!L289&lt;安値!N289),7,""))</f>
        <v/>
      </c>
      <c r="H289" s="503" t="str">
        <f>IF(終値!A289="","",IF(AND(安値!M289&lt;安値!L289,安値!M289&lt;安値!K289,安値!M289&lt;安値!N289,安値!M289&lt;安値!O289),8,""))</f>
        <v/>
      </c>
      <c r="I289" s="503" t="str">
        <f>IF(終値!A289="","",IF(AND(安値!N289&lt;安値!M289,安値!N289&lt;安値!L289,安値!N289&lt;安値!O289,安値!N289&lt;安値!P289),9,""))</f>
        <v/>
      </c>
      <c r="J289" s="503" t="str">
        <f>IF(終値!A289="","",IF(AND(安値!O289&lt;安値!N289,安値!O289&lt;安値!M289,安値!O289&lt;安値!P289,安値!O289&lt;安値!Q289),10,""))</f>
        <v/>
      </c>
      <c r="K289" s="503" t="str">
        <f>IF(終値!A289="","",IF(AND(安値!P289&lt;安値!O289,安値!P289&lt;安値!N289,安値!P289&lt;安値!Q289,安値!P289&lt;安値!R289),11,""))</f>
        <v/>
      </c>
      <c r="L289" s="503" t="str">
        <f>IF(終値!A289="","",IF(AND(安値!Q289&lt;安値!P289,安値!Q289&lt;安値!O289,安値!Q289&lt;安値!R289,安値!Q289&lt;安値!S289),12,""))</f>
        <v/>
      </c>
      <c r="M289" s="503">
        <f>IF(終値!A289="","",IF(AND(安値!R289&lt;安値!Q289,安値!R289&lt;安値!P289,安値!R289&lt;安値!S289,安値!R289&lt;安値!T289),13,""))</f>
        <v>13</v>
      </c>
      <c r="N289" s="503" t="str">
        <f>IF(終値!A289="","",IF(AND(安値!S289&lt;安値!R289,安値!S289&lt;安値!Q289,安値!S289&lt;安値!T289,安値!S289&lt;安値!U289),14,""))</f>
        <v/>
      </c>
      <c r="O289" s="503" t="str">
        <f>IF(終値!A289="","",IF(AND(安値!T289&lt;安値!S289,安値!T289&lt;安値!R289,安値!T289&lt;安値!U289,安値!T289&lt;安値!V289),15,""))</f>
        <v/>
      </c>
      <c r="P289" s="503" t="str">
        <f>IF(終値!A289="","",IF(AND(安値!U289&lt;安値!T289,安値!U289&lt;安値!S289,安値!U289&lt;安値!V289,安値!U289&lt;安値!W289),16,""))</f>
        <v/>
      </c>
      <c r="Q289" s="503" t="str">
        <f>IF(終値!A289="","",IF(AND(安値!V289&lt;安値!U289,安値!V289&lt;安値!T289,安値!V289&lt;安値!W289,安値!V289&lt;安値!X289),17,""))</f>
        <v/>
      </c>
      <c r="R289" s="503" t="str">
        <f>IF(終値!A289="","",IF(AND(安値!W289&lt;安値!V289,安値!W289&lt;安値!U289,安値!W289&lt;安値!X289,安値!W289&lt;安値!Y289),18,""))</f>
        <v/>
      </c>
      <c r="S289" s="503" t="str">
        <f>IF(終値!A289="","",IF(AND(安値!X289&lt;安値!W289,安値!X289&lt;安値!V289,安値!X289&lt;安値!Y289,安値!X289&lt;安値!Z289),19,""))</f>
        <v/>
      </c>
      <c r="T289" s="503" t="str">
        <f>IF(終値!A289="","",IF(AND(安値!Y289&lt;安値!X289,安値!Y289&lt;安値!W289,安値!Y289&lt;安値!Z289,安値!Y289&lt;安値!AA289),20,""))</f>
        <v/>
      </c>
      <c r="U289" s="503" t="str">
        <f>IF(終値!A289="","",IF(AND(安値!Z289&lt;安値!Y289,安値!Z289&lt;安値!X289,安値!Z289&lt;安値!AA289,安値!Z289&lt;安値!AB289),21,""))</f>
        <v/>
      </c>
      <c r="V289" s="503" t="str">
        <f>IF(終値!A289="","",IF(AND(安値!AA289&lt;安値!Z289,安値!AA289&lt;安値!Y289,安値!AA289&lt;安値!AB289,安値!AA289&lt;安値!AC289),22,""))</f>
        <v/>
      </c>
      <c r="W289" s="503" t="str">
        <f>IF(終値!A289="","",IF(AND(安値!AB289&lt;安値!AA289,安値!AB289&lt;安値!Z289,安値!AB289&lt;安値!AC289,安値!AB289&lt;安値!AD289),23,""))</f>
        <v/>
      </c>
      <c r="X289" s="503" t="str">
        <f>IF(終値!A289="","",IF(AND(安値!AC289&lt;安値!AB289,安値!AC289&lt;安値!AA289,安値!AC289&lt;安値!AD289,安値!AC289&lt;安値!AE289),24,""))</f>
        <v/>
      </c>
      <c r="Y289" s="503" t="str">
        <f>IF(終値!A289="","",IF(AND(安値!AD289&lt;安値!AC289,安値!AD289&lt;安値!AB289,安値!AD289&lt;安値!AE289,安値!AD289&lt;安値!AF289),25,""))</f>
        <v/>
      </c>
      <c r="Z289" s="503">
        <f>IF(終値!A289="","",IF(AND(安値!AE289&lt;安値!AD289,安値!AE289&lt;安値!AC289,安値!AE289&lt;安値!AF289,安値!AE289&lt;安値!AG289),26,""))</f>
        <v>26</v>
      </c>
      <c r="AA289" s="503" t="str">
        <f>IF(終値!A289="","",IF(AND(安値!AF289&lt;安値!AE289,安値!AF289&lt;安値!AD289,安値!AF289&lt;安値!AG289,安値!AF289&lt;安値!AH289),27,""))</f>
        <v/>
      </c>
      <c r="AB289" s="503" t="str">
        <f>IF(終値!A289="","",IF(AND(安値!AG289&lt;安値!AF289,安値!AG289&lt;安値!AE289,安値!AG289&lt;安値!AH289,安値!AG289&lt;安値!AI289),28,""))</f>
        <v/>
      </c>
      <c r="AC289" s="503" t="str">
        <f>IF(終値!A289="","",IF(AND(高値!G289&gt;高値!F289,高値!G289&gt;高値!E289,高値!G289&gt;高値!H289,高値!G289&gt;高値!I289),2,""))</f>
        <v/>
      </c>
      <c r="AD289" s="503" t="str">
        <f>IF(終値!A289="","",IF(AND(高値!H289&gt;高値!G289,高値!H289&gt;高値!F289,高値!H289&gt;高値!I289,高値!H289&gt;高値!J289),3,""))</f>
        <v/>
      </c>
      <c r="AE289" s="503" t="str">
        <f>IF(終値!A289="","",IF(AND(高値!I289&gt;高値!H289,高値!I289&gt;高値!G289,高値!I289&gt;高値!J289,高値!I289&gt;高値!K289),4,""))</f>
        <v/>
      </c>
      <c r="AF289" s="503" t="str">
        <f>IF(終値!A289="","",IF(AND(高値!J289&gt;高値!I289,高値!J289&gt;高値!H289,高値!J289&gt;高値!K289,高値!J289&gt;高値!L289),5,""))</f>
        <v/>
      </c>
      <c r="AG289" s="503" t="str">
        <f>IF(終値!A289="","",IF(AND(高値!K289&gt;高値!J289,高値!K289&gt;高値!I289,高値!K289&gt;高値!L289,高値!K289&gt;高値!M289),6,""))</f>
        <v/>
      </c>
      <c r="AH289" s="503" t="str">
        <f>IF(終値!A289="","",IF(AND(高値!L289&gt;高値!K289,高値!L289&gt;高値!J289,高値!L289&gt;高値!M289,高値!L289&gt;高値!N289),7,""))</f>
        <v/>
      </c>
      <c r="AI289" s="503" t="str">
        <f>IF(終値!A289="","",IF(AND(高値!M289&gt;高値!L289,高値!M289&gt;高値!K289,高値!M289&gt;高値!N289,高値!M289&gt;高値!O289),8,""))</f>
        <v/>
      </c>
      <c r="AJ289" s="503" t="str">
        <f>IF(終値!A289="","",IF(AND(高値!N289&gt;高値!M289,高値!N289&gt;高値!L289,高値!N289&gt;高値!O289,高値!N289&gt;高値!P289),9,""))</f>
        <v/>
      </c>
      <c r="AK289" s="503" t="str">
        <f>IF(終値!A289="","",IF(AND(高値!O289&gt;高値!N289,高値!O289&gt;高値!M289,高値!O289&gt;高値!P289,高値!O289&gt;高値!Q289),10,""))</f>
        <v/>
      </c>
      <c r="AL289" s="503">
        <f>IF(終値!A289="","",IF(AND(高値!P289&gt;高値!O289,高値!P289&gt;高値!N289,高値!P289&gt;高値!Q289,高値!P289&gt;高値!R289),11,""))</f>
        <v>11</v>
      </c>
      <c r="AM289" s="503" t="str">
        <f>IF(終値!A289="","",IF(AND(高値!Q289&gt;高値!P289,高値!Q289&gt;高値!O289,高値!Q289&gt;高値!R289,高値!Q289&gt;高値!S289),12,""))</f>
        <v/>
      </c>
      <c r="AN289" s="503" t="str">
        <f>IF(終値!A289="","",IF(AND(高値!R289&gt;高値!Q289,高値!R289&gt;高値!P289,高値!R289&gt;高値!S289,高値!R289&gt;高値!T289),13,""))</f>
        <v/>
      </c>
      <c r="AO289" s="503" t="str">
        <f>IF(終値!A289="","",IF(AND(高値!S289&gt;高値!R289,高値!S289&gt;高値!Q289,高値!S289&gt;高値!T289,高値!S289&gt;高値!U289),14,""))</f>
        <v/>
      </c>
      <c r="AP289" s="503" t="str">
        <f>IF(終値!A289="","",IF(AND(高値!T289&gt;高値!S289,高値!T289&gt;高値!R289,高値!T289&gt;高値!U289,高値!T289&gt;高値!V289),15,""))</f>
        <v/>
      </c>
      <c r="AQ289" s="503" t="str">
        <f>IF(終値!A289="","",IF(AND(高値!U289&gt;高値!T289,高値!U289&gt;高値!S289,高値!U289&gt;高値!V289,高値!U289&gt;高値!W289),16,""))</f>
        <v/>
      </c>
      <c r="AR289" s="503" t="str">
        <f>IF(終値!A289="","",IF(AND(高値!V289&gt;高値!U289,高値!V289&gt;高値!T289,高値!V289&gt;高値!W289,高値!V289&gt;高値!X289),17,""))</f>
        <v/>
      </c>
      <c r="AS289" s="503" t="str">
        <f>IF(終値!A289="","",IF(AND(高値!W289&gt;高値!V289,高値!W289&gt;高値!U289,高値!W289&gt;高値!X289,高値!W289&gt;高値!Y289),18,""))</f>
        <v/>
      </c>
      <c r="AT289" s="503" t="str">
        <f>IF(終値!A289="","",IF(AND(高値!X289&gt;高値!W289,高値!X289&gt;高値!V289,高値!X289&gt;高値!Y289,高値!X289&gt;高値!Z289),19,""))</f>
        <v/>
      </c>
      <c r="AU289" s="503" t="str">
        <f>IF(終値!A289="","",IF(AND(高値!Y289&gt;高値!X289,高値!Y289&gt;高値!W289,高値!Y289&gt;高値!Z289,高値!Y289&gt;高値!AA289),20,""))</f>
        <v/>
      </c>
      <c r="AV289" s="503">
        <f>IF(終値!A289="","",IF(AND(高値!Z289&gt;高値!Y289,高値!Z289&gt;高値!X289,高値!Z289&gt;高値!AA289,高値!Z289&gt;高値!AB289),21,""))</f>
        <v>21</v>
      </c>
      <c r="AW289" s="503" t="str">
        <f>IF(終値!A289="","",IF(AND(高値!AA289&gt;高値!Z289,高値!AA289&gt;高値!Y289,高値!AA289&gt;高値!AB289,高値!AA289&gt;高値!AC289),22,""))</f>
        <v/>
      </c>
      <c r="AX289" s="503" t="str">
        <f>IF(終値!A289="","",IF(AND(高値!AB289&gt;高値!AA289,高値!AB289&gt;高値!Z289,高値!AB289&gt;高値!AC289,高値!AB289&gt;高値!AD289),23,""))</f>
        <v/>
      </c>
      <c r="AY289" s="503" t="str">
        <f>IF(終値!A289="","",IF(AND(高値!AC289&gt;高値!AB289,高値!AC289&gt;高値!AA289,高値!AC289&gt;高値!AD289,高値!AC289&gt;高値!AE289),24,""))</f>
        <v/>
      </c>
      <c r="AZ289" s="503" t="str">
        <f>IF(終値!A289="","",IF(AND(高値!AD289&gt;高値!AC289,高値!AD289&gt;高値!AB289,高値!AD289&gt;高値!AE289,高値!AD289&gt;高値!AF289),25,""))</f>
        <v/>
      </c>
      <c r="BA289" s="503" t="str">
        <f>IF(終値!A289="","",IF(AND(高値!AE289&gt;高値!AD289,高値!AE289&gt;高値!AC289,高値!AE289&gt;高値!AF289,高値!AE289&gt;高値!AG289),26,""))</f>
        <v/>
      </c>
      <c r="BB289" s="503" t="str">
        <f>IF(終値!A289="","",IF(AND(高値!AF289&gt;高値!AE289,高値!AF289&gt;高値!AD289,高値!AF289&gt;高値!AG289,高値!AF289&gt;高値!AH289),27,""))</f>
        <v/>
      </c>
      <c r="BC289" s="503">
        <f>IF(終値!A289="","",IF(AND(高値!AG289&gt;高値!AF289,高値!AG289&gt;高値!AE289,高値!AG289&gt;高値!AH289,高値!AG289&gt;高値!AI289),28,""))</f>
        <v>28</v>
      </c>
      <c r="BD289" s="503">
        <f t="shared" si="24"/>
        <v>3</v>
      </c>
      <c r="BE289" s="503">
        <f t="shared" si="25"/>
        <v>6</v>
      </c>
      <c r="BF289" s="503">
        <f t="shared" si="26"/>
        <v>13</v>
      </c>
      <c r="BG289" s="503">
        <f>IF($BE289="","",INDEX(安値!$E289:$CZ289,1,$BE289+1))</f>
        <v>2369</v>
      </c>
      <c r="BH289" s="503">
        <f>IF($BF289="","",INDEX(安値!$E289:$CZ289,1,$BF289+1))</f>
        <v>2556</v>
      </c>
      <c r="BI289" s="503">
        <f>IF($BF289="","",MAX(INDEX(高値!$E289:$CZ289,1,$BE289+1):INDEX(高値!$E289:$CZ289,1,$BF289+1)))</f>
        <v>3060</v>
      </c>
      <c r="BJ289" s="503">
        <f>IF($BF289="","",AVERAGE(INDEX(終値!$E289:$CZ289,1,$BF289+1):INDEX(終値!$E289:$CZ289,1,$BF289+20))-2*STDEVP(INDEX(終値!$E289:$CZ289,1,$BF289+1):INDEX(終値!$E289:$CZ289,1,$BF289+20)))</f>
        <v>2650.8478337959123</v>
      </c>
      <c r="BK289" s="503">
        <f>IF($BE289="","",AVERAGE(INDEX(終値!$E289:$CZ289,1,$BE289+1):INDEX(終値!$E289:$CZ289,1,$BE289+20))-2*STDEVP(INDEX(終値!$E289:$CZ289,1,$BE289+1):INDEX(終値!$E289:$CZ289,1,$BE289+20)))</f>
        <v>2404.5791970761279</v>
      </c>
      <c r="BL289" s="503">
        <f t="shared" si="27"/>
        <v>3</v>
      </c>
      <c r="BM289" s="503">
        <f t="shared" si="28"/>
        <v>11</v>
      </c>
      <c r="BN289" s="503">
        <f t="shared" si="29"/>
        <v>21</v>
      </c>
      <c r="BO289" s="503">
        <f>IF($BM289="","",INDEX(高値!$E289:$CZ289,1,$BM289+1))</f>
        <v>3060</v>
      </c>
      <c r="BP289" s="503">
        <f>IF($BN289="","",INDEX(高値!$E289:$CZ289,1,$BN289+1))</f>
        <v>3610</v>
      </c>
      <c r="BQ289" s="503">
        <f>IF($BN289="","",MIN(INDEX(安値!$E289:$CZ289,1,$BM289+1):INDEX(安値!$E289:$CZ289,1,$BN289+1)))</f>
        <v>2556</v>
      </c>
      <c r="BR289" s="503">
        <f>IF($BN289="","",AVERAGE(INDEX(終値!$E289:$CZ289,1,$BN289+1):INDEX(終値!$E289:$CZ289,1,$BN289+20))+2*STDEVP(INDEX(終値!$E289:$CZ289,1,$BN289+1):INDEX(終値!$E289:$CZ289,1,$BN289+20)))</f>
        <v>4164.5973120807284</v>
      </c>
      <c r="BS289" s="503">
        <f>IF($BM289="","",AVERAGE(INDEX(終値!$E289:$CZ289,1,$BM289+1):INDEX(終値!$E289:$CZ289,1,$BM289+20))+2*STDEVP(INDEX(終値!$E289:$CZ289,1,$BM289+1):INDEX(終値!$E289:$CZ289,1,$BM289+20)))</f>
        <v>4036.3865034867449</v>
      </c>
      <c r="BT289" s="500"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3" t="str">
        <f>IF(終値!A290="","",IF(AND(安値!G290&lt;安値!F290,安値!G290&lt;安値!E290,安値!G290&lt;安値!H290,安値!G290&lt;安値!I290),2,""))</f>
        <v/>
      </c>
      <c r="C290" s="503">
        <f>IF(終値!A290="","",IF(AND(安値!H290&lt;安値!G290,安値!H290&lt;安値!F290,安値!H290&lt;安値!I290,安値!H290&lt;安値!J290),3,""))</f>
        <v>3</v>
      </c>
      <c r="D290" s="503" t="str">
        <f>IF(終値!A290="","",IF(AND(安値!I290&lt;安値!H290,安値!I290&lt;安値!G290,安値!I290&lt;安値!J290,安値!I290&lt;安値!K290),4,""))</f>
        <v/>
      </c>
      <c r="E290" s="503" t="str">
        <f>IF(終値!A290="","",IF(AND(安値!J290&lt;安値!I290,安値!J290&lt;安値!H290,安値!J290&lt;安値!K290,安値!J290&lt;安値!L290),5,""))</f>
        <v/>
      </c>
      <c r="F290" s="503">
        <f>IF(終値!A290="","",IF(AND(安値!K290&lt;安値!J290,安値!K290&lt;安値!I290,安値!K290&lt;安値!L290,安値!K290&lt;安値!M290),6,""))</f>
        <v>6</v>
      </c>
      <c r="G290" s="503" t="str">
        <f>IF(終値!A290="","",IF(AND(安値!L290&lt;安値!K290,安値!L290&lt;安値!J290,安値!L290&lt;安値!M290,安値!L290&lt;安値!N290),7,""))</f>
        <v/>
      </c>
      <c r="H290" s="503" t="str">
        <f>IF(終値!A290="","",IF(AND(安値!M290&lt;安値!L290,安値!M290&lt;安値!K290,安値!M290&lt;安値!N290,安値!M290&lt;安値!O290),8,""))</f>
        <v/>
      </c>
      <c r="I290" s="503" t="str">
        <f>IF(終値!A290="","",IF(AND(安値!N290&lt;安値!M290,安値!N290&lt;安値!L290,安値!N290&lt;安値!O290,安値!N290&lt;安値!P290),9,""))</f>
        <v/>
      </c>
      <c r="J290" s="503" t="str">
        <f>IF(終値!A290="","",IF(AND(安値!O290&lt;安値!N290,安値!O290&lt;安値!M290,安値!O290&lt;安値!P290,安値!O290&lt;安値!Q290),10,""))</f>
        <v/>
      </c>
      <c r="K290" s="503" t="str">
        <f>IF(終値!A290="","",IF(AND(安値!P290&lt;安値!O290,安値!P290&lt;安値!N290,安値!P290&lt;安値!Q290,安値!P290&lt;安値!R290),11,""))</f>
        <v/>
      </c>
      <c r="L290" s="503" t="str">
        <f>IF(終値!A290="","",IF(AND(安値!Q290&lt;安値!P290,安値!Q290&lt;安値!O290,安値!Q290&lt;安値!R290,安値!Q290&lt;安値!S290),12,""))</f>
        <v/>
      </c>
      <c r="M290" s="503">
        <f>IF(終値!A290="","",IF(AND(安値!R290&lt;安値!Q290,安値!R290&lt;安値!P290,安値!R290&lt;安値!S290,安値!R290&lt;安値!T290),13,""))</f>
        <v>13</v>
      </c>
      <c r="N290" s="503" t="str">
        <f>IF(終値!A290="","",IF(AND(安値!S290&lt;安値!R290,安値!S290&lt;安値!Q290,安値!S290&lt;安値!T290,安値!S290&lt;安値!U290),14,""))</f>
        <v/>
      </c>
      <c r="O290" s="503" t="str">
        <f>IF(終値!A290="","",IF(AND(安値!T290&lt;安値!S290,安値!T290&lt;安値!R290,安値!T290&lt;安値!U290,安値!T290&lt;安値!V290),15,""))</f>
        <v/>
      </c>
      <c r="P290" s="503" t="str">
        <f>IF(終値!A290="","",IF(AND(安値!U290&lt;安値!T290,安値!U290&lt;安値!S290,安値!U290&lt;安値!V290,安値!U290&lt;安値!W290),16,""))</f>
        <v/>
      </c>
      <c r="Q290" s="503" t="str">
        <f>IF(終値!A290="","",IF(AND(安値!V290&lt;安値!U290,安値!V290&lt;安値!T290,安値!V290&lt;安値!W290,安値!V290&lt;安値!X290),17,""))</f>
        <v/>
      </c>
      <c r="R290" s="503" t="str">
        <f>IF(終値!A290="","",IF(AND(安値!W290&lt;安値!V290,安値!W290&lt;安値!U290,安値!W290&lt;安値!X290,安値!W290&lt;安値!Y290),18,""))</f>
        <v/>
      </c>
      <c r="S290" s="503" t="str">
        <f>IF(終値!A290="","",IF(AND(安値!X290&lt;安値!W290,安値!X290&lt;安値!V290,安値!X290&lt;安値!Y290,安値!X290&lt;安値!Z290),19,""))</f>
        <v/>
      </c>
      <c r="T290" s="503" t="str">
        <f>IF(終値!A290="","",IF(AND(安値!Y290&lt;安値!X290,安値!Y290&lt;安値!W290,安値!Y290&lt;安値!Z290,安値!Y290&lt;安値!AA290),20,""))</f>
        <v/>
      </c>
      <c r="U290" s="503" t="str">
        <f>IF(終値!A290="","",IF(AND(安値!Z290&lt;安値!Y290,安値!Z290&lt;安値!X290,安値!Z290&lt;安値!AA290,安値!Z290&lt;安値!AB290),21,""))</f>
        <v/>
      </c>
      <c r="V290" s="503">
        <f>IF(終値!A290="","",IF(AND(安値!AA290&lt;安値!Z290,安値!AA290&lt;安値!Y290,安値!AA290&lt;安値!AB290,安値!AA290&lt;安値!AC290),22,""))</f>
        <v>22</v>
      </c>
      <c r="W290" s="503" t="str">
        <f>IF(終値!A290="","",IF(AND(安値!AB290&lt;安値!AA290,安値!AB290&lt;安値!Z290,安値!AB290&lt;安値!AC290,安値!AB290&lt;安値!AD290),23,""))</f>
        <v/>
      </c>
      <c r="X290" s="503" t="str">
        <f>IF(終値!A290="","",IF(AND(安値!AC290&lt;安値!AB290,安値!AC290&lt;安値!AA290,安値!AC290&lt;安値!AD290,安値!AC290&lt;安値!AE290),24,""))</f>
        <v/>
      </c>
      <c r="Y290" s="503">
        <f>IF(終値!A290="","",IF(AND(安値!AD290&lt;安値!AC290,安値!AD290&lt;安値!AB290,安値!AD290&lt;安値!AE290,安値!AD290&lt;安値!AF290),25,""))</f>
        <v>25</v>
      </c>
      <c r="Z290" s="503" t="str">
        <f>IF(終値!A290="","",IF(AND(安値!AE290&lt;安値!AD290,安値!AE290&lt;安値!AC290,安値!AE290&lt;安値!AF290,安値!AE290&lt;安値!AG290),26,""))</f>
        <v/>
      </c>
      <c r="AA290" s="503" t="str">
        <f>IF(終値!A290="","",IF(AND(安値!AF290&lt;安値!AE290,安値!AF290&lt;安値!AD290,安値!AF290&lt;安値!AG290,安値!AF290&lt;安値!AH290),27,""))</f>
        <v/>
      </c>
      <c r="AB290" s="503" t="str">
        <f>IF(終値!A290="","",IF(AND(安値!AG290&lt;安値!AF290,安値!AG290&lt;安値!AE290,安値!AG290&lt;安値!AH290,安値!AG290&lt;安値!AI290),28,""))</f>
        <v/>
      </c>
      <c r="AC290" s="503" t="str">
        <f>IF(終値!A290="","",IF(AND(高値!G290&gt;高値!F290,高値!G290&gt;高値!E290,高値!G290&gt;高値!H290,高値!G290&gt;高値!I290),2,""))</f>
        <v/>
      </c>
      <c r="AD290" s="503" t="str">
        <f>IF(終値!A290="","",IF(AND(高値!H290&gt;高値!G290,高値!H290&gt;高値!F290,高値!H290&gt;高値!I290,高値!H290&gt;高値!J290),3,""))</f>
        <v/>
      </c>
      <c r="AE290" s="503">
        <f>IF(終値!A290="","",IF(AND(高値!I290&gt;高値!H290,高値!I290&gt;高値!G290,高値!I290&gt;高値!J290,高値!I290&gt;高値!K290),4,""))</f>
        <v>4</v>
      </c>
      <c r="AF290" s="503" t="str">
        <f>IF(終値!A290="","",IF(AND(高値!J290&gt;高値!I290,高値!J290&gt;高値!H290,高値!J290&gt;高値!K290,高値!J290&gt;高値!L290),5,""))</f>
        <v/>
      </c>
      <c r="AG290" s="503" t="str">
        <f>IF(終値!A290="","",IF(AND(高値!K290&gt;高値!J290,高値!K290&gt;高値!I290,高値!K290&gt;高値!L290,高値!K290&gt;高値!M290),6,""))</f>
        <v/>
      </c>
      <c r="AH290" s="503" t="str">
        <f>IF(終値!A290="","",IF(AND(高値!L290&gt;高値!K290,高値!L290&gt;高値!J290,高値!L290&gt;高値!M290,高値!L290&gt;高値!N290),7,""))</f>
        <v/>
      </c>
      <c r="AI290" s="503">
        <f>IF(終値!A290="","",IF(AND(高値!M290&gt;高値!L290,高値!M290&gt;高値!K290,高値!M290&gt;高値!N290,高値!M290&gt;高値!O290),8,""))</f>
        <v>8</v>
      </c>
      <c r="AJ290" s="503" t="str">
        <f>IF(終値!A290="","",IF(AND(高値!N290&gt;高値!M290,高値!N290&gt;高値!L290,高値!N290&gt;高値!O290,高値!N290&gt;高値!P290),9,""))</f>
        <v/>
      </c>
      <c r="AK290" s="503" t="str">
        <f>IF(終値!A290="","",IF(AND(高値!O290&gt;高値!N290,高値!O290&gt;高値!M290,高値!O290&gt;高値!P290,高値!O290&gt;高値!Q290),10,""))</f>
        <v/>
      </c>
      <c r="AL290" s="503">
        <f>IF(終値!A290="","",IF(AND(高値!P290&gt;高値!O290,高値!P290&gt;高値!N290,高値!P290&gt;高値!Q290,高値!P290&gt;高値!R290),11,""))</f>
        <v>11</v>
      </c>
      <c r="AM290" s="503" t="str">
        <f>IF(終値!A290="","",IF(AND(高値!Q290&gt;高値!P290,高値!Q290&gt;高値!O290,高値!Q290&gt;高値!R290,高値!Q290&gt;高値!S290),12,""))</f>
        <v/>
      </c>
      <c r="AN290" s="503" t="str">
        <f>IF(終値!A290="","",IF(AND(高値!R290&gt;高値!Q290,高値!R290&gt;高値!P290,高値!R290&gt;高値!S290,高値!R290&gt;高値!T290),13,""))</f>
        <v/>
      </c>
      <c r="AO290" s="503" t="str">
        <f>IF(終値!A290="","",IF(AND(高値!S290&gt;高値!R290,高値!S290&gt;高値!Q290,高値!S290&gt;高値!T290,高値!S290&gt;高値!U290),14,""))</f>
        <v/>
      </c>
      <c r="AP290" s="503" t="str">
        <f>IF(終値!A290="","",IF(AND(高値!T290&gt;高値!S290,高値!T290&gt;高値!R290,高値!T290&gt;高値!U290,高値!T290&gt;高値!V290),15,""))</f>
        <v/>
      </c>
      <c r="AQ290" s="503" t="str">
        <f>IF(終値!A290="","",IF(AND(高値!U290&gt;高値!T290,高値!U290&gt;高値!S290,高値!U290&gt;高値!V290,高値!U290&gt;高値!W290),16,""))</f>
        <v/>
      </c>
      <c r="AR290" s="503" t="str">
        <f>IF(終値!A290="","",IF(AND(高値!V290&gt;高値!U290,高値!V290&gt;高値!T290,高値!V290&gt;高値!W290,高値!V290&gt;高値!X290),17,""))</f>
        <v/>
      </c>
      <c r="AS290" s="503" t="str">
        <f>IF(終値!A290="","",IF(AND(高値!W290&gt;高値!V290,高値!W290&gt;高値!U290,高値!W290&gt;高値!X290,高値!W290&gt;高値!Y290),18,""))</f>
        <v/>
      </c>
      <c r="AT290" s="503" t="str">
        <f>IF(終値!A290="","",IF(AND(高値!X290&gt;高値!W290,高値!X290&gt;高値!V290,高値!X290&gt;高値!Y290,高値!X290&gt;高値!Z290),19,""))</f>
        <v/>
      </c>
      <c r="AU290" s="503" t="str">
        <f>IF(終値!A290="","",IF(AND(高値!Y290&gt;高値!X290,高値!Y290&gt;高値!W290,高値!Y290&gt;高値!Z290,高値!Y290&gt;高値!AA290),20,""))</f>
        <v/>
      </c>
      <c r="AV290" s="503">
        <f>IF(終値!A290="","",IF(AND(高値!Z290&gt;高値!Y290,高値!Z290&gt;高値!X290,高値!Z290&gt;高値!AA290,高値!Z290&gt;高値!AB290),21,""))</f>
        <v>21</v>
      </c>
      <c r="AW290" s="503" t="str">
        <f>IF(終値!A290="","",IF(AND(高値!AA290&gt;高値!Z290,高値!AA290&gt;高値!Y290,高値!AA290&gt;高値!AB290,高値!AA290&gt;高値!AC290),22,""))</f>
        <v/>
      </c>
      <c r="AX290" s="503" t="str">
        <f>IF(終値!A290="","",IF(AND(高値!AB290&gt;高値!AA290,高値!AB290&gt;高値!Z290,高値!AB290&gt;高値!AC290,高値!AB290&gt;高値!AD290),23,""))</f>
        <v/>
      </c>
      <c r="AY290" s="503" t="str">
        <f>IF(終値!A290="","",IF(AND(高値!AC290&gt;高値!AB290,高値!AC290&gt;高値!AA290,高値!AC290&gt;高値!AD290,高値!AC290&gt;高値!AE290),24,""))</f>
        <v/>
      </c>
      <c r="AZ290" s="503" t="str">
        <f>IF(終値!A290="","",IF(AND(高値!AD290&gt;高値!AC290,高値!AD290&gt;高値!AB290,高値!AD290&gt;高値!AE290,高値!AD290&gt;高値!AF290),25,""))</f>
        <v/>
      </c>
      <c r="BA290" s="503" t="str">
        <f>IF(終値!A290="","",IF(AND(高値!AE290&gt;高値!AD290,高値!AE290&gt;高値!AC290,高値!AE290&gt;高値!AF290,高値!AE290&gt;高値!AG290),26,""))</f>
        <v/>
      </c>
      <c r="BB290" s="503" t="str">
        <f>IF(終値!A290="","",IF(AND(高値!AF290&gt;高値!AE290,高値!AF290&gt;高値!AD290,高値!AF290&gt;高値!AG290,高値!AF290&gt;高値!AH290),27,""))</f>
        <v/>
      </c>
      <c r="BC290" s="503" t="str">
        <f>IF(終値!A290="","",IF(AND(高値!AG290&gt;高値!AF290,高値!AG290&gt;高値!AE290,高値!AG290&gt;高値!AH290,高値!AG290&gt;高値!AI290),28,""))</f>
        <v/>
      </c>
      <c r="BD290" s="503">
        <f t="shared" si="24"/>
        <v>5</v>
      </c>
      <c r="BE290" s="503">
        <f t="shared" si="25"/>
        <v>3</v>
      </c>
      <c r="BF290" s="503">
        <f t="shared" si="26"/>
        <v>6</v>
      </c>
      <c r="BG290" s="503">
        <f>IF($BE290="","",INDEX(安値!$E290:$CZ290,1,$BE290+1))</f>
        <v>652</v>
      </c>
      <c r="BH290" s="503">
        <f>IF($BF290="","",INDEX(安値!$E290:$CZ290,1,$BF290+1))</f>
        <v>659</v>
      </c>
      <c r="BI290" s="503">
        <f>IF($BF290="","",MAX(INDEX(高値!$E290:$CZ290,1,$BE290+1):INDEX(高値!$E290:$CZ290,1,$BF290+1)))</f>
        <v>694</v>
      </c>
      <c r="BJ290" s="503">
        <f>IF($BF290="","",AVERAGE(INDEX(終値!$E290:$CZ290,1,$BF290+1):INDEX(終値!$E290:$CZ290,1,$BF290+20))-2*STDEVP(INDEX(終値!$E290:$CZ290,1,$BF290+1):INDEX(終値!$E290:$CZ290,1,$BF290+20)))</f>
        <v>661.11697071440062</v>
      </c>
      <c r="BK290" s="503">
        <f>IF($BE290="","",AVERAGE(INDEX(終値!$E290:$CZ290,1,$BE290+1):INDEX(終値!$E290:$CZ290,1,$BE290+20))-2*STDEVP(INDEX(終値!$E290:$CZ290,1,$BE290+1):INDEX(終値!$E290:$CZ290,1,$BE290+20)))</f>
        <v>656.72967273747508</v>
      </c>
      <c r="BL290" s="503">
        <f t="shared" si="27"/>
        <v>4</v>
      </c>
      <c r="BM290" s="503">
        <f t="shared" si="28"/>
        <v>4</v>
      </c>
      <c r="BN290" s="503">
        <f t="shared" si="29"/>
        <v>8</v>
      </c>
      <c r="BO290" s="503">
        <f>IF($BM290="","",INDEX(高値!$E290:$CZ290,1,$BM290+1))</f>
        <v>694</v>
      </c>
      <c r="BP290" s="503">
        <f>IF($BN290="","",INDEX(高値!$E290:$CZ290,1,$BN290+1))</f>
        <v>695</v>
      </c>
      <c r="BQ290" s="503">
        <f>IF($BN290="","",MIN(INDEX(安値!$E290:$CZ290,1,$BM290+1):INDEX(安値!$E290:$CZ290,1,$BN290+1)))</f>
        <v>659</v>
      </c>
      <c r="BR290" s="503">
        <f>IF($BN290="","",AVERAGE(INDEX(終値!$E290:$CZ290,1,$BN290+1):INDEX(終値!$E290:$CZ290,1,$BN290+20))+2*STDEVP(INDEX(終値!$E290:$CZ290,1,$BN290+1):INDEX(終値!$E290:$CZ290,1,$BN290+20)))</f>
        <v>709.79751642012866</v>
      </c>
      <c r="BS290" s="503">
        <f>IF($BM290="","",AVERAGE(INDEX(終値!$E290:$CZ290,1,$BM290+1):INDEX(終値!$E290:$CZ290,1,$BM290+20))+2*STDEVP(INDEX(終値!$E290:$CZ290,1,$BM290+1):INDEX(終値!$E290:$CZ290,1,$BM290+20)))</f>
        <v>703.69732126840165</v>
      </c>
      <c r="BT290" s="500"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3" t="str">
        <f>IF(終値!A291="","",IF(AND(安値!G291&lt;安値!F291,安値!G291&lt;安値!E291,安値!G291&lt;安値!H291,安値!G291&lt;安値!I291),2,""))</f>
        <v/>
      </c>
      <c r="C291" s="503" t="str">
        <f>IF(終値!A291="","",IF(AND(安値!H291&lt;安値!G291,安値!H291&lt;安値!F291,安値!H291&lt;安値!I291,安値!H291&lt;安値!J291),3,""))</f>
        <v/>
      </c>
      <c r="D291" s="503" t="str">
        <f>IF(終値!A291="","",IF(AND(安値!I291&lt;安値!H291,安値!I291&lt;安値!G291,安値!I291&lt;安値!J291,安値!I291&lt;安値!K291),4,""))</f>
        <v/>
      </c>
      <c r="E291" s="503" t="str">
        <f>IF(終値!A291="","",IF(AND(安値!J291&lt;安値!I291,安値!J291&lt;安値!H291,安値!J291&lt;安値!K291,安値!J291&lt;安値!L291),5,""))</f>
        <v/>
      </c>
      <c r="F291" s="503" t="str">
        <f>IF(終値!A291="","",IF(AND(安値!K291&lt;安値!J291,安値!K291&lt;安値!I291,安値!K291&lt;安値!L291,安値!K291&lt;安値!M291),6,""))</f>
        <v/>
      </c>
      <c r="G291" s="503" t="str">
        <f>IF(終値!A291="","",IF(AND(安値!L291&lt;安値!K291,安値!L291&lt;安値!J291,安値!L291&lt;安値!M291,安値!L291&lt;安値!N291),7,""))</f>
        <v/>
      </c>
      <c r="H291" s="503" t="str">
        <f>IF(終値!A291="","",IF(AND(安値!M291&lt;安値!L291,安値!M291&lt;安値!K291,安値!M291&lt;安値!N291,安値!M291&lt;安値!O291),8,""))</f>
        <v/>
      </c>
      <c r="I291" s="503">
        <f>IF(終値!A291="","",IF(AND(安値!N291&lt;安値!M291,安値!N291&lt;安値!L291,安値!N291&lt;安値!O291,安値!N291&lt;安値!P291),9,""))</f>
        <v>9</v>
      </c>
      <c r="J291" s="503" t="str">
        <f>IF(終値!A291="","",IF(AND(安値!O291&lt;安値!N291,安値!O291&lt;安値!M291,安値!O291&lt;安値!P291,安値!O291&lt;安値!Q291),10,""))</f>
        <v/>
      </c>
      <c r="K291" s="503" t="str">
        <f>IF(終値!A291="","",IF(AND(安値!P291&lt;安値!O291,安値!P291&lt;安値!N291,安値!P291&lt;安値!Q291,安値!P291&lt;安値!R291),11,""))</f>
        <v/>
      </c>
      <c r="L291" s="503" t="str">
        <f>IF(終値!A291="","",IF(AND(安値!Q291&lt;安値!P291,安値!Q291&lt;安値!O291,安値!Q291&lt;安値!R291,安値!Q291&lt;安値!S291),12,""))</f>
        <v/>
      </c>
      <c r="M291" s="503">
        <f>IF(終値!A291="","",IF(AND(安値!R291&lt;安値!Q291,安値!R291&lt;安値!P291,安値!R291&lt;安値!S291,安値!R291&lt;安値!T291),13,""))</f>
        <v>13</v>
      </c>
      <c r="N291" s="503" t="str">
        <f>IF(終値!A291="","",IF(AND(安値!S291&lt;安値!R291,安値!S291&lt;安値!Q291,安値!S291&lt;安値!T291,安値!S291&lt;安値!U291),14,""))</f>
        <v/>
      </c>
      <c r="O291" s="503" t="str">
        <f>IF(終値!A291="","",IF(AND(安値!T291&lt;安値!S291,安値!T291&lt;安値!R291,安値!T291&lt;安値!U291,安値!T291&lt;安値!V291),15,""))</f>
        <v/>
      </c>
      <c r="P291" s="503">
        <f>IF(終値!A291="","",IF(AND(安値!U291&lt;安値!T291,安値!U291&lt;安値!S291,安値!U291&lt;安値!V291,安値!U291&lt;安値!W291),16,""))</f>
        <v>16</v>
      </c>
      <c r="Q291" s="503" t="str">
        <f>IF(終値!A291="","",IF(AND(安値!V291&lt;安値!U291,安値!V291&lt;安値!T291,安値!V291&lt;安値!W291,安値!V291&lt;安値!X291),17,""))</f>
        <v/>
      </c>
      <c r="R291" s="503" t="str">
        <f>IF(終値!A291="","",IF(AND(安値!W291&lt;安値!V291,安値!W291&lt;安値!U291,安値!W291&lt;安値!X291,安値!W291&lt;安値!Y291),18,""))</f>
        <v/>
      </c>
      <c r="S291" s="503">
        <f>IF(終値!A291="","",IF(AND(安値!X291&lt;安値!W291,安値!X291&lt;安値!V291,安値!X291&lt;安値!Y291,安値!X291&lt;安値!Z291),19,""))</f>
        <v>19</v>
      </c>
      <c r="T291" s="503" t="str">
        <f>IF(終値!A291="","",IF(AND(安値!Y291&lt;安値!X291,安値!Y291&lt;安値!W291,安値!Y291&lt;安値!Z291,安値!Y291&lt;安値!AA291),20,""))</f>
        <v/>
      </c>
      <c r="U291" s="503" t="str">
        <f>IF(終値!A291="","",IF(AND(安値!Z291&lt;安値!Y291,安値!Z291&lt;安値!X291,安値!Z291&lt;安値!AA291,安値!Z291&lt;安値!AB291),21,""))</f>
        <v/>
      </c>
      <c r="V291" s="503" t="str">
        <f>IF(終値!A291="","",IF(AND(安値!AA291&lt;安値!Z291,安値!AA291&lt;安値!Y291,安値!AA291&lt;安値!AB291,安値!AA291&lt;安値!AC291),22,""))</f>
        <v/>
      </c>
      <c r="W291" s="503" t="str">
        <f>IF(終値!A291="","",IF(AND(安値!AB291&lt;安値!AA291,安値!AB291&lt;安値!Z291,安値!AB291&lt;安値!AC291,安値!AB291&lt;安値!AD291),23,""))</f>
        <v/>
      </c>
      <c r="X291" s="503" t="str">
        <f>IF(終値!A291="","",IF(AND(安値!AC291&lt;安値!AB291,安値!AC291&lt;安値!AA291,安値!AC291&lt;安値!AD291,安値!AC291&lt;安値!AE291),24,""))</f>
        <v/>
      </c>
      <c r="Y291" s="503">
        <f>IF(終値!A291="","",IF(AND(安値!AD291&lt;安値!AC291,安値!AD291&lt;安値!AB291,安値!AD291&lt;安値!AE291,安値!AD291&lt;安値!AF291),25,""))</f>
        <v>25</v>
      </c>
      <c r="Z291" s="503" t="str">
        <f>IF(終値!A291="","",IF(AND(安値!AE291&lt;安値!AD291,安値!AE291&lt;安値!AC291,安値!AE291&lt;安値!AF291,安値!AE291&lt;安値!AG291),26,""))</f>
        <v/>
      </c>
      <c r="AA291" s="503" t="str">
        <f>IF(終値!A291="","",IF(AND(安値!AF291&lt;安値!AE291,安値!AF291&lt;安値!AD291,安値!AF291&lt;安値!AG291,安値!AF291&lt;安値!AH291),27,""))</f>
        <v/>
      </c>
      <c r="AB291" s="503" t="str">
        <f>IF(終値!A291="","",IF(AND(安値!AG291&lt;安値!AF291,安値!AG291&lt;安値!AE291,安値!AG291&lt;安値!AH291,安値!AG291&lt;安値!AI291),28,""))</f>
        <v/>
      </c>
      <c r="AC291" s="503" t="str">
        <f>IF(終値!A291="","",IF(AND(高値!G291&gt;高値!F291,高値!G291&gt;高値!E291,高値!G291&gt;高値!H291,高値!G291&gt;高値!I291),2,""))</f>
        <v/>
      </c>
      <c r="AD291" s="503" t="str">
        <f>IF(終値!A291="","",IF(AND(高値!H291&gt;高値!G291,高値!H291&gt;高値!F291,高値!H291&gt;高値!I291,高値!H291&gt;高値!J291),3,""))</f>
        <v/>
      </c>
      <c r="AE291" s="503">
        <f>IF(終値!A291="","",IF(AND(高値!I291&gt;高値!H291,高値!I291&gt;高値!G291,高値!I291&gt;高値!J291,高値!I291&gt;高値!K291),4,""))</f>
        <v>4</v>
      </c>
      <c r="AF291" s="503" t="str">
        <f>IF(終値!A291="","",IF(AND(高値!J291&gt;高値!I291,高値!J291&gt;高値!H291,高値!J291&gt;高値!K291,高値!J291&gt;高値!L291),5,""))</f>
        <v/>
      </c>
      <c r="AG291" s="503" t="str">
        <f>IF(終値!A291="","",IF(AND(高値!K291&gt;高値!J291,高値!K291&gt;高値!I291,高値!K291&gt;高値!L291,高値!K291&gt;高値!M291),6,""))</f>
        <v/>
      </c>
      <c r="AH291" s="503" t="str">
        <f>IF(終値!A291="","",IF(AND(高値!L291&gt;高値!K291,高値!L291&gt;高値!J291,高値!L291&gt;高値!M291,高値!L291&gt;高値!N291),7,""))</f>
        <v/>
      </c>
      <c r="AI291" s="503">
        <f>IF(終値!A291="","",IF(AND(高値!M291&gt;高値!L291,高値!M291&gt;高値!K291,高値!M291&gt;高値!N291,高値!M291&gt;高値!O291),8,""))</f>
        <v>8</v>
      </c>
      <c r="AJ291" s="503" t="str">
        <f>IF(終値!A291="","",IF(AND(高値!N291&gt;高値!M291,高値!N291&gt;高値!L291,高値!N291&gt;高値!O291,高値!N291&gt;高値!P291),9,""))</f>
        <v/>
      </c>
      <c r="AK291" s="503" t="str">
        <f>IF(終値!A291="","",IF(AND(高値!O291&gt;高値!N291,高値!O291&gt;高値!M291,高値!O291&gt;高値!P291,高値!O291&gt;高値!Q291),10,""))</f>
        <v/>
      </c>
      <c r="AL291" s="503">
        <f>IF(終値!A291="","",IF(AND(高値!P291&gt;高値!O291,高値!P291&gt;高値!N291,高値!P291&gt;高値!Q291,高値!P291&gt;高値!R291),11,""))</f>
        <v>11</v>
      </c>
      <c r="AM291" s="503" t="str">
        <f>IF(終値!A291="","",IF(AND(高値!Q291&gt;高値!P291,高値!Q291&gt;高値!O291,高値!Q291&gt;高値!R291,高値!Q291&gt;高値!S291),12,""))</f>
        <v/>
      </c>
      <c r="AN291" s="503" t="str">
        <f>IF(終値!A291="","",IF(AND(高値!R291&gt;高値!Q291,高値!R291&gt;高値!P291,高値!R291&gt;高値!S291,高値!R291&gt;高値!T291),13,""))</f>
        <v/>
      </c>
      <c r="AO291" s="503" t="str">
        <f>IF(終値!A291="","",IF(AND(高値!S291&gt;高値!R291,高値!S291&gt;高値!Q291,高値!S291&gt;高値!T291,高値!S291&gt;高値!U291),14,""))</f>
        <v/>
      </c>
      <c r="AP291" s="503" t="str">
        <f>IF(終値!A291="","",IF(AND(高値!T291&gt;高値!S291,高値!T291&gt;高値!R291,高値!T291&gt;高値!U291,高値!T291&gt;高値!V291),15,""))</f>
        <v/>
      </c>
      <c r="AQ291" s="503" t="str">
        <f>IF(終値!A291="","",IF(AND(高値!U291&gt;高値!T291,高値!U291&gt;高値!S291,高値!U291&gt;高値!V291,高値!U291&gt;高値!W291),16,""))</f>
        <v/>
      </c>
      <c r="AR291" s="503">
        <f>IF(終値!A291="","",IF(AND(高値!V291&gt;高値!U291,高値!V291&gt;高値!T291,高値!V291&gt;高値!W291,高値!V291&gt;高値!X291),17,""))</f>
        <v>17</v>
      </c>
      <c r="AS291" s="503" t="str">
        <f>IF(終値!A291="","",IF(AND(高値!W291&gt;高値!V291,高値!W291&gt;高値!U291,高値!W291&gt;高値!X291,高値!W291&gt;高値!Y291),18,""))</f>
        <v/>
      </c>
      <c r="AT291" s="503" t="str">
        <f>IF(終値!A291="","",IF(AND(高値!X291&gt;高値!W291,高値!X291&gt;高値!V291,高値!X291&gt;高値!Y291,高値!X291&gt;高値!Z291),19,""))</f>
        <v/>
      </c>
      <c r="AU291" s="503" t="str">
        <f>IF(終値!A291="","",IF(AND(高値!Y291&gt;高値!X291,高値!Y291&gt;高値!W291,高値!Y291&gt;高値!Z291,高値!Y291&gt;高値!AA291),20,""))</f>
        <v/>
      </c>
      <c r="AV291" s="503" t="str">
        <f>IF(終値!A291="","",IF(AND(高値!Z291&gt;高値!Y291,高値!Z291&gt;高値!X291,高値!Z291&gt;高値!AA291,高値!Z291&gt;高値!AB291),21,""))</f>
        <v/>
      </c>
      <c r="AW291" s="503" t="str">
        <f>IF(終値!A291="","",IF(AND(高値!AA291&gt;高値!Z291,高値!AA291&gt;高値!Y291,高値!AA291&gt;高値!AB291,高値!AA291&gt;高値!AC291),22,""))</f>
        <v/>
      </c>
      <c r="AX291" s="503" t="str">
        <f>IF(終値!A291="","",IF(AND(高値!AB291&gt;高値!AA291,高値!AB291&gt;高値!Z291,高値!AB291&gt;高値!AC291,高値!AB291&gt;高値!AD291),23,""))</f>
        <v/>
      </c>
      <c r="AY291" s="503" t="str">
        <f>IF(終値!A291="","",IF(AND(高値!AC291&gt;高値!AB291,高値!AC291&gt;高値!AA291,高値!AC291&gt;高値!AD291,高値!AC291&gt;高値!AE291),24,""))</f>
        <v/>
      </c>
      <c r="AZ291" s="503">
        <f>IF(終値!A291="","",IF(AND(高値!AD291&gt;高値!AC291,高値!AD291&gt;高値!AB291,高値!AD291&gt;高値!AE291,高値!AD291&gt;高値!AF291),25,""))</f>
        <v>25</v>
      </c>
      <c r="BA291" s="503" t="str">
        <f>IF(終値!A291="","",IF(AND(高値!AE291&gt;高値!AD291,高値!AE291&gt;高値!AC291,高値!AE291&gt;高値!AF291,高値!AE291&gt;高値!AG291),26,""))</f>
        <v/>
      </c>
      <c r="BB291" s="503" t="str">
        <f>IF(終値!A291="","",IF(AND(高値!AF291&gt;高値!AE291,高値!AF291&gt;高値!AD291,高値!AF291&gt;高値!AG291,高値!AF291&gt;高値!AH291),27,""))</f>
        <v/>
      </c>
      <c r="BC291" s="503" t="str">
        <f>IF(終値!A291="","",IF(AND(高値!AG291&gt;高値!AF291,高値!AG291&gt;高値!AE291,高値!AG291&gt;高値!AH291,高値!AG291&gt;高値!AI291),28,""))</f>
        <v/>
      </c>
      <c r="BD291" s="503">
        <f t="shared" si="24"/>
        <v>5</v>
      </c>
      <c r="BE291" s="503">
        <f t="shared" si="25"/>
        <v>9</v>
      </c>
      <c r="BF291" s="503">
        <f t="shared" si="26"/>
        <v>13</v>
      </c>
      <c r="BG291" s="503">
        <f>IF($BE291="","",INDEX(安値!$E291:$CZ291,1,$BE291+1))</f>
        <v>0</v>
      </c>
      <c r="BH291" s="503">
        <f>IF($BF291="","",INDEX(安値!$E291:$CZ291,1,$BF291+1))</f>
        <v>2836</v>
      </c>
      <c r="BI291" s="503">
        <f>IF($BF291="","",MAX(INDEX(高値!$E291:$CZ291,1,$BE291+1):INDEX(高値!$E291:$CZ291,1,$BF291+1)))</f>
        <v>3055</v>
      </c>
      <c r="BJ291" s="503">
        <f>IF($BF291="","",AVERAGE(INDEX(終値!$E291:$CZ291,1,$BF291+1):INDEX(終値!$E291:$CZ291,1,$BF291+20))-2*STDEVP(INDEX(終値!$E291:$CZ291,1,$BF291+1):INDEX(終値!$E291:$CZ291,1,$BF291+20)))</f>
        <v>2902.7660353694246</v>
      </c>
      <c r="BK291" s="503">
        <f>IF($BE291="","",AVERAGE(INDEX(終値!$E291:$CZ291,1,$BE291+1):INDEX(終値!$E291:$CZ291,1,$BE291+20))-2*STDEVP(INDEX(終値!$E291:$CZ291,1,$BE291+1):INDEX(終値!$E291:$CZ291,1,$BE291+20)))</f>
        <v>2894.0744606145367</v>
      </c>
      <c r="BL291" s="503">
        <f t="shared" si="27"/>
        <v>5</v>
      </c>
      <c r="BM291" s="503">
        <f t="shared" si="28"/>
        <v>4</v>
      </c>
      <c r="BN291" s="503">
        <f t="shared" si="29"/>
        <v>8</v>
      </c>
      <c r="BO291" s="503">
        <f>IF($BM291="","",INDEX(高値!$E291:$CZ291,1,$BM291+1))</f>
        <v>3130</v>
      </c>
      <c r="BP291" s="503">
        <f>IF($BN291="","",INDEX(高値!$E291:$CZ291,1,$BN291+1))</f>
        <v>3045</v>
      </c>
      <c r="BQ291" s="503">
        <f>IF($BN291="","",MIN(INDEX(安値!$E291:$CZ291,1,$BM291+1):INDEX(安値!$E291:$CZ291,1,$BN291+1)))</f>
        <v>2903</v>
      </c>
      <c r="BR291" s="503">
        <f>IF($BN291="","",AVERAGE(INDEX(終値!$E291:$CZ291,1,$BN291+1):INDEX(終値!$E291:$CZ291,1,$BN291+20))+2*STDEVP(INDEX(終値!$E291:$CZ291,1,$BN291+1):INDEX(終値!$E291:$CZ291,1,$BN291+20)))</f>
        <v>3128.8754208752839</v>
      </c>
      <c r="BS291" s="503">
        <f>IF($BM291="","",AVERAGE(INDEX(終値!$E291:$CZ291,1,$BM291+1):INDEX(終値!$E291:$CZ291,1,$BM291+20))+2*STDEVP(INDEX(終値!$E291:$CZ291,1,$BM291+1):INDEX(終値!$E291:$CZ291,1,$BM291+20)))</f>
        <v>3105.6818856858727</v>
      </c>
      <c r="BT291" s="500"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v>
      </c>
    </row>
    <row r="292" spans="2:72">
      <c r="B292" s="503" t="str">
        <f>IF(終値!A292="","",IF(AND(安値!G292&lt;安値!F292,安値!G292&lt;安値!E292,安値!G292&lt;安値!H292,安値!G292&lt;安値!I292),2,""))</f>
        <v/>
      </c>
      <c r="C292" s="503" t="str">
        <f>IF(終値!A292="","",IF(AND(安値!H292&lt;安値!G292,安値!H292&lt;安値!F292,安値!H292&lt;安値!I292,安値!H292&lt;安値!J292),3,""))</f>
        <v/>
      </c>
      <c r="D292" s="503" t="str">
        <f>IF(終値!A292="","",IF(AND(安値!I292&lt;安値!H292,安値!I292&lt;安値!G292,安値!I292&lt;安値!J292,安値!I292&lt;安値!K292),4,""))</f>
        <v/>
      </c>
      <c r="E292" s="503">
        <f>IF(終値!A292="","",IF(AND(安値!J292&lt;安値!I292,安値!J292&lt;安値!H292,安値!J292&lt;安値!K292,安値!J292&lt;安値!L292),5,""))</f>
        <v>5</v>
      </c>
      <c r="F292" s="503" t="str">
        <f>IF(終値!A292="","",IF(AND(安値!K292&lt;安値!J292,安値!K292&lt;安値!I292,安値!K292&lt;安値!L292,安値!K292&lt;安値!M292),6,""))</f>
        <v/>
      </c>
      <c r="G292" s="503" t="str">
        <f>IF(終値!A292="","",IF(AND(安値!L292&lt;安値!K292,安値!L292&lt;安値!J292,安値!L292&lt;安値!M292,安値!L292&lt;安値!N292),7,""))</f>
        <v/>
      </c>
      <c r="H292" s="503" t="str">
        <f>IF(終値!A292="","",IF(AND(安値!M292&lt;安値!L292,安値!M292&lt;安値!K292,安値!M292&lt;安値!N292,安値!M292&lt;安値!O292),8,""))</f>
        <v/>
      </c>
      <c r="I292" s="503">
        <f>IF(終値!A292="","",IF(AND(安値!N292&lt;安値!M292,安値!N292&lt;安値!L292,安値!N292&lt;安値!O292,安値!N292&lt;安値!P292),9,""))</f>
        <v>9</v>
      </c>
      <c r="J292" s="503" t="str">
        <f>IF(終値!A292="","",IF(AND(安値!O292&lt;安値!N292,安値!O292&lt;安値!M292,安値!O292&lt;安値!P292,安値!O292&lt;安値!Q292),10,""))</f>
        <v/>
      </c>
      <c r="K292" s="503" t="str">
        <f>IF(終値!A292="","",IF(AND(安値!P292&lt;安値!O292,安値!P292&lt;安値!N292,安値!P292&lt;安値!Q292,安値!P292&lt;安値!R292),11,""))</f>
        <v/>
      </c>
      <c r="L292" s="503">
        <f>IF(終値!A292="","",IF(AND(安値!Q292&lt;安値!P292,安値!Q292&lt;安値!O292,安値!Q292&lt;安値!R292,安値!Q292&lt;安値!S292),12,""))</f>
        <v>12</v>
      </c>
      <c r="M292" s="503" t="str">
        <f>IF(終値!A292="","",IF(AND(安値!R292&lt;安値!Q292,安値!R292&lt;安値!P292,安値!R292&lt;安値!S292,安値!R292&lt;安値!T292),13,""))</f>
        <v/>
      </c>
      <c r="N292" s="503" t="str">
        <f>IF(終値!A292="","",IF(AND(安値!S292&lt;安値!R292,安値!S292&lt;安値!Q292,安値!S292&lt;安値!T292,安値!S292&lt;安値!U292),14,""))</f>
        <v/>
      </c>
      <c r="O292" s="503" t="str">
        <f>IF(終値!A292="","",IF(AND(安値!T292&lt;安値!S292,安値!T292&lt;安値!R292,安値!T292&lt;安値!U292,安値!T292&lt;安値!V292),15,""))</f>
        <v/>
      </c>
      <c r="P292" s="503">
        <f>IF(終値!A292="","",IF(AND(安値!U292&lt;安値!T292,安値!U292&lt;安値!S292,安値!U292&lt;安値!V292,安値!U292&lt;安値!W292),16,""))</f>
        <v>16</v>
      </c>
      <c r="Q292" s="503" t="str">
        <f>IF(終値!A292="","",IF(AND(安値!V292&lt;安値!U292,安値!V292&lt;安値!T292,安値!V292&lt;安値!W292,安値!V292&lt;安値!X292),17,""))</f>
        <v/>
      </c>
      <c r="R292" s="503" t="str">
        <f>IF(終値!A292="","",IF(AND(安値!W292&lt;安値!V292,安値!W292&lt;安値!U292,安値!W292&lt;安値!X292,安値!W292&lt;安値!Y292),18,""))</f>
        <v/>
      </c>
      <c r="S292" s="503" t="str">
        <f>IF(終値!A292="","",IF(AND(安値!X292&lt;安値!W292,安値!X292&lt;安値!V292,安値!X292&lt;安値!Y292,安値!X292&lt;安値!Z292),19,""))</f>
        <v/>
      </c>
      <c r="T292" s="503" t="str">
        <f>IF(終値!A292="","",IF(AND(安値!Y292&lt;安値!X292,安値!Y292&lt;安値!W292,安値!Y292&lt;安値!Z292,安値!Y292&lt;安値!AA292),20,""))</f>
        <v/>
      </c>
      <c r="U292" s="503" t="str">
        <f>IF(終値!A292="","",IF(AND(安値!Z292&lt;安値!Y292,安値!Z292&lt;安値!X292,安値!Z292&lt;安値!AA292,安値!Z292&lt;安値!AB292),21,""))</f>
        <v/>
      </c>
      <c r="V292" s="503" t="str">
        <f>IF(終値!A292="","",IF(AND(安値!AA292&lt;安値!Z292,安値!AA292&lt;安値!Y292,安値!AA292&lt;安値!AB292,安値!AA292&lt;安値!AC292),22,""))</f>
        <v/>
      </c>
      <c r="W292" s="503" t="str">
        <f>IF(終値!A292="","",IF(AND(安値!AB292&lt;安値!AA292,安値!AB292&lt;安値!Z292,安値!AB292&lt;安値!AC292,安値!AB292&lt;安値!AD292),23,""))</f>
        <v/>
      </c>
      <c r="X292" s="503" t="str">
        <f>IF(終値!A292="","",IF(AND(安値!AC292&lt;安値!AB292,安値!AC292&lt;安値!AA292,安値!AC292&lt;安値!AD292,安値!AC292&lt;安値!AE292),24,""))</f>
        <v/>
      </c>
      <c r="Y292" s="503" t="str">
        <f>IF(終値!A292="","",IF(AND(安値!AD292&lt;安値!AC292,安値!AD292&lt;安値!AB292,安値!AD292&lt;安値!AE292,安値!AD292&lt;安値!AF292),25,""))</f>
        <v/>
      </c>
      <c r="Z292" s="503" t="str">
        <f>IF(終値!A292="","",IF(AND(安値!AE292&lt;安値!AD292,安値!AE292&lt;安値!AC292,安値!AE292&lt;安値!AF292,安値!AE292&lt;安値!AG292),26,""))</f>
        <v/>
      </c>
      <c r="AA292" s="503">
        <f>IF(終値!A292="","",IF(AND(安値!AF292&lt;安値!AE292,安値!AF292&lt;安値!AD292,安値!AF292&lt;安値!AG292,安値!AF292&lt;安値!AH292),27,""))</f>
        <v>27</v>
      </c>
      <c r="AB292" s="503" t="str">
        <f>IF(終値!A292="","",IF(AND(安値!AG292&lt;安値!AF292,安値!AG292&lt;安値!AE292,安値!AG292&lt;安値!AH292,安値!AG292&lt;安値!AI292),28,""))</f>
        <v/>
      </c>
      <c r="AC292" s="503">
        <f>IF(終値!A292="","",IF(AND(高値!G292&gt;高値!F292,高値!G292&gt;高値!E292,高値!G292&gt;高値!H292,高値!G292&gt;高値!I292),2,""))</f>
        <v>2</v>
      </c>
      <c r="AD292" s="503" t="str">
        <f>IF(終値!A292="","",IF(AND(高値!H292&gt;高値!G292,高値!H292&gt;高値!F292,高値!H292&gt;高値!I292,高値!H292&gt;高値!J292),3,""))</f>
        <v/>
      </c>
      <c r="AE292" s="503" t="str">
        <f>IF(終値!A292="","",IF(AND(高値!I292&gt;高値!H292,高値!I292&gt;高値!G292,高値!I292&gt;高値!J292,高値!I292&gt;高値!K292),4,""))</f>
        <v/>
      </c>
      <c r="AF292" s="503" t="str">
        <f>IF(終値!A292="","",IF(AND(高値!J292&gt;高値!I292,高値!J292&gt;高値!H292,高値!J292&gt;高値!K292,高値!J292&gt;高値!L292),5,""))</f>
        <v/>
      </c>
      <c r="AG292" s="503" t="str">
        <f>IF(終値!A292="","",IF(AND(高値!K292&gt;高値!J292,高値!K292&gt;高値!I292,高値!K292&gt;高値!L292,高値!K292&gt;高値!M292),6,""))</f>
        <v/>
      </c>
      <c r="AH292" s="503" t="str">
        <f>IF(終値!A292="","",IF(AND(高値!L292&gt;高値!K292,高値!L292&gt;高値!J292,高値!L292&gt;高値!M292,高値!L292&gt;高値!N292),7,""))</f>
        <v/>
      </c>
      <c r="AI292" s="503" t="str">
        <f>IF(終値!A292="","",IF(AND(高値!M292&gt;高値!L292,高値!M292&gt;高値!K292,高値!M292&gt;高値!N292,高値!M292&gt;高値!O292),8,""))</f>
        <v/>
      </c>
      <c r="AJ292" s="503" t="str">
        <f>IF(終値!A292="","",IF(AND(高値!N292&gt;高値!M292,高値!N292&gt;高値!L292,高値!N292&gt;高値!O292,高値!N292&gt;高値!P292),9,""))</f>
        <v/>
      </c>
      <c r="AK292" s="503" t="str">
        <f>IF(終値!A292="","",IF(AND(高値!O292&gt;高値!N292,高値!O292&gt;高値!M292,高値!O292&gt;高値!P292,高値!O292&gt;高値!Q292),10,""))</f>
        <v/>
      </c>
      <c r="AL292" s="503" t="str">
        <f>IF(終値!A292="","",IF(AND(高値!P292&gt;高値!O292,高値!P292&gt;高値!N292,高値!P292&gt;高値!Q292,高値!P292&gt;高値!R292),11,""))</f>
        <v/>
      </c>
      <c r="AM292" s="503" t="str">
        <f>IF(終値!A292="","",IF(AND(高値!Q292&gt;高値!P292,高値!Q292&gt;高値!O292,高値!Q292&gt;高値!R292,高値!Q292&gt;高値!S292),12,""))</f>
        <v/>
      </c>
      <c r="AN292" s="503" t="str">
        <f>IF(終値!A292="","",IF(AND(高値!R292&gt;高値!Q292,高値!R292&gt;高値!P292,高値!R292&gt;高値!S292,高値!R292&gt;高値!T292),13,""))</f>
        <v/>
      </c>
      <c r="AO292" s="503">
        <f>IF(終値!A292="","",IF(AND(高値!S292&gt;高値!R292,高値!S292&gt;高値!Q292,高値!S292&gt;高値!T292,高値!S292&gt;高値!U292),14,""))</f>
        <v>14</v>
      </c>
      <c r="AP292" s="503" t="str">
        <f>IF(終値!A292="","",IF(AND(高値!T292&gt;高値!S292,高値!T292&gt;高値!R292,高値!T292&gt;高値!U292,高値!T292&gt;高値!V292),15,""))</f>
        <v/>
      </c>
      <c r="AQ292" s="503" t="str">
        <f>IF(終値!A292="","",IF(AND(高値!U292&gt;高値!T292,高値!U292&gt;高値!S292,高値!U292&gt;高値!V292,高値!U292&gt;高値!W292),16,""))</f>
        <v/>
      </c>
      <c r="AR292" s="503" t="str">
        <f>IF(終値!A292="","",IF(AND(高値!V292&gt;高値!U292,高値!V292&gt;高値!T292,高値!V292&gt;高値!W292,高値!V292&gt;高値!X292),17,""))</f>
        <v/>
      </c>
      <c r="AS292" s="503" t="str">
        <f>IF(終値!A292="","",IF(AND(高値!W292&gt;高値!V292,高値!W292&gt;高値!U292,高値!W292&gt;高値!X292,高値!W292&gt;高値!Y292),18,""))</f>
        <v/>
      </c>
      <c r="AT292" s="503" t="str">
        <f>IF(終値!A292="","",IF(AND(高値!X292&gt;高値!W292,高値!X292&gt;高値!V292,高値!X292&gt;高値!Y292,高値!X292&gt;高値!Z292),19,""))</f>
        <v/>
      </c>
      <c r="AU292" s="503" t="str">
        <f>IF(終値!A292="","",IF(AND(高値!Y292&gt;高値!X292,高値!Y292&gt;高値!W292,高値!Y292&gt;高値!Z292,高値!Y292&gt;高値!AA292),20,""))</f>
        <v/>
      </c>
      <c r="AV292" s="503">
        <f>IF(終値!A292="","",IF(AND(高値!Z292&gt;高値!Y292,高値!Z292&gt;高値!X292,高値!Z292&gt;高値!AA292,高値!Z292&gt;高値!AB292),21,""))</f>
        <v>21</v>
      </c>
      <c r="AW292" s="503" t="str">
        <f>IF(終値!A292="","",IF(AND(高値!AA292&gt;高値!Z292,高値!AA292&gt;高値!Y292,高値!AA292&gt;高値!AB292,高値!AA292&gt;高値!AC292),22,""))</f>
        <v/>
      </c>
      <c r="AX292" s="503" t="str">
        <f>IF(終値!A292="","",IF(AND(高値!AB292&gt;高値!AA292,高値!AB292&gt;高値!Z292,高値!AB292&gt;高値!AC292,高値!AB292&gt;高値!AD292),23,""))</f>
        <v/>
      </c>
      <c r="AY292" s="503" t="str">
        <f>IF(終値!A292="","",IF(AND(高値!AC292&gt;高値!AB292,高値!AC292&gt;高値!AA292,高値!AC292&gt;高値!AD292,高値!AC292&gt;高値!AE292),24,""))</f>
        <v/>
      </c>
      <c r="AZ292" s="503">
        <f>IF(終値!A292="","",IF(AND(高値!AD292&gt;高値!AC292,高値!AD292&gt;高値!AB292,高値!AD292&gt;高値!AE292,高値!AD292&gt;高値!AF292),25,""))</f>
        <v>25</v>
      </c>
      <c r="BA292" s="503" t="str">
        <f>IF(終値!A292="","",IF(AND(高値!AE292&gt;高値!AD292,高値!AE292&gt;高値!AC292,高値!AE292&gt;高値!AF292,高値!AE292&gt;高値!AG292),26,""))</f>
        <v/>
      </c>
      <c r="BB292" s="503" t="str">
        <f>IF(終値!A292="","",IF(AND(高値!AF292&gt;高値!AE292,高値!AF292&gt;高値!AD292,高値!AF292&gt;高値!AG292,高値!AF292&gt;高値!AH292),27,""))</f>
        <v/>
      </c>
      <c r="BC292" s="503" t="str">
        <f>IF(終値!A292="","",IF(AND(高値!AG292&gt;高値!AF292,高値!AG292&gt;高値!AE292,高値!AG292&gt;高値!AH292,高値!AG292&gt;高値!AI292),28,""))</f>
        <v/>
      </c>
      <c r="BD292" s="503">
        <f t="shared" si="24"/>
        <v>5</v>
      </c>
      <c r="BE292" s="503">
        <f t="shared" si="25"/>
        <v>5</v>
      </c>
      <c r="BF292" s="503">
        <f t="shared" si="26"/>
        <v>9</v>
      </c>
      <c r="BG292" s="503">
        <f>IF($BE292="","",INDEX(安値!$E292:$CZ292,1,$BE292+1))</f>
        <v>1526</v>
      </c>
      <c r="BH292" s="503">
        <f>IF($BF292="","",INDEX(安値!$E292:$CZ292,1,$BF292+1))</f>
        <v>0</v>
      </c>
      <c r="BI292" s="503">
        <f>IF($BF292="","",MAX(INDEX(高値!$E292:$CZ292,1,$BE292+1):INDEX(高値!$E292:$CZ292,1,$BF292+1)))</f>
        <v>1587</v>
      </c>
      <c r="BJ292" s="503">
        <f>IF($BF292="","",AVERAGE(INDEX(終値!$E292:$CZ292,1,$BF292+1):INDEX(終値!$E292:$CZ292,1,$BF292+20))-2*STDEVP(INDEX(終値!$E292:$CZ292,1,$BF292+1):INDEX(終値!$E292:$CZ292,1,$BF292+20)))</f>
        <v>1566.4424327848481</v>
      </c>
      <c r="BK292" s="503">
        <f>IF($BE292="","",AVERAGE(INDEX(終値!$E292:$CZ292,1,$BE292+1):INDEX(終値!$E292:$CZ292,1,$BE292+20))-2*STDEVP(INDEX(終値!$E292:$CZ292,1,$BE292+1):INDEX(終値!$E292:$CZ292,1,$BE292+20)))</f>
        <v>1563.402446316745</v>
      </c>
      <c r="BL292" s="503">
        <f t="shared" si="27"/>
        <v>4</v>
      </c>
      <c r="BM292" s="503">
        <f t="shared" si="28"/>
        <v>2</v>
      </c>
      <c r="BN292" s="503">
        <f t="shared" si="29"/>
        <v>14</v>
      </c>
      <c r="BO292" s="503">
        <f>IF($BM292="","",INDEX(高値!$E292:$CZ292,1,$BM292+1))</f>
        <v>1580</v>
      </c>
      <c r="BP292" s="503">
        <f>IF($BN292="","",INDEX(高値!$E292:$CZ292,1,$BN292+1))</f>
        <v>1625</v>
      </c>
      <c r="BQ292" s="503">
        <f>IF($BN292="","",MIN(INDEX(安値!$E292:$CZ292,1,$BM292+1):INDEX(安値!$E292:$CZ292,1,$BN292+1)))</f>
        <v>1526</v>
      </c>
      <c r="BR292" s="503">
        <f>IF($BN292="","",AVERAGE(INDEX(終値!$E292:$CZ292,1,$BN292+1):INDEX(終値!$E292:$CZ292,1,$BN292+20))+2*STDEVP(INDEX(終値!$E292:$CZ292,1,$BN292+1):INDEX(終値!$E292:$CZ292,1,$BN292+20)))</f>
        <v>1608.0140141029185</v>
      </c>
      <c r="BS292" s="503">
        <f>IF($BM292="","",AVERAGE(INDEX(終値!$E292:$CZ292,1,$BM292+1):INDEX(終値!$E292:$CZ292,1,$BM292+20))+2*STDEVP(INDEX(終値!$E292:$CZ292,1,$BM292+1):INDEX(終値!$E292:$CZ292,1,$BM292+20)))</f>
        <v>1612.5702064681682</v>
      </c>
      <c r="BT292" s="500"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3" t="str">
        <f>IF(終値!A293="","",IF(AND(安値!G293&lt;安値!F293,安値!G293&lt;安値!E293,安値!G293&lt;安値!H293,安値!G293&lt;安値!I293),2,""))</f>
        <v/>
      </c>
      <c r="C293" s="503">
        <f>IF(終値!A293="","",IF(AND(安値!H293&lt;安値!G293,安値!H293&lt;安値!F293,安値!H293&lt;安値!I293,安値!H293&lt;安値!J293),3,""))</f>
        <v>3</v>
      </c>
      <c r="D293" s="503" t="str">
        <f>IF(終値!A293="","",IF(AND(安値!I293&lt;安値!H293,安値!I293&lt;安値!G293,安値!I293&lt;安値!J293,安値!I293&lt;安値!K293),4,""))</f>
        <v/>
      </c>
      <c r="E293" s="503" t="str">
        <f>IF(終値!A293="","",IF(AND(安値!J293&lt;安値!I293,安値!J293&lt;安値!H293,安値!J293&lt;安値!K293,安値!J293&lt;安値!L293),5,""))</f>
        <v/>
      </c>
      <c r="F293" s="503" t="str">
        <f>IF(終値!A293="","",IF(AND(安値!K293&lt;安値!J293,安値!K293&lt;安値!I293,安値!K293&lt;安値!L293,安値!K293&lt;安値!M293),6,""))</f>
        <v/>
      </c>
      <c r="G293" s="503" t="str">
        <f>IF(終値!A293="","",IF(AND(安値!L293&lt;安値!K293,安値!L293&lt;安値!J293,安値!L293&lt;安値!M293,安値!L293&lt;安値!N293),7,""))</f>
        <v/>
      </c>
      <c r="H293" s="503" t="str">
        <f>IF(終値!A293="","",IF(AND(安値!M293&lt;安値!L293,安値!M293&lt;安値!K293,安値!M293&lt;安値!N293,安値!M293&lt;安値!O293),8,""))</f>
        <v/>
      </c>
      <c r="I293" s="503" t="str">
        <f>IF(終値!A293="","",IF(AND(安値!N293&lt;安値!M293,安値!N293&lt;安値!L293,安値!N293&lt;安値!O293,安値!N293&lt;安値!P293),9,""))</f>
        <v/>
      </c>
      <c r="J293" s="503" t="str">
        <f>IF(終値!A293="","",IF(AND(安値!O293&lt;安値!N293,安値!O293&lt;安値!M293,安値!O293&lt;安値!P293,安値!O293&lt;安値!Q293),10,""))</f>
        <v/>
      </c>
      <c r="K293" s="503" t="str">
        <f>IF(終値!A293="","",IF(AND(安値!P293&lt;安値!O293,安値!P293&lt;安値!N293,安値!P293&lt;安値!Q293,安値!P293&lt;安値!R293),11,""))</f>
        <v/>
      </c>
      <c r="L293" s="503" t="str">
        <f>IF(終値!A293="","",IF(AND(安値!Q293&lt;安値!P293,安値!Q293&lt;安値!O293,安値!Q293&lt;安値!R293,安値!Q293&lt;安値!S293),12,""))</f>
        <v/>
      </c>
      <c r="M293" s="503">
        <f>IF(終値!A293="","",IF(AND(安値!R293&lt;安値!Q293,安値!R293&lt;安値!P293,安値!R293&lt;安値!S293,安値!R293&lt;安値!T293),13,""))</f>
        <v>13</v>
      </c>
      <c r="N293" s="503" t="str">
        <f>IF(終値!A293="","",IF(AND(安値!S293&lt;安値!R293,安値!S293&lt;安値!Q293,安値!S293&lt;安値!T293,安値!S293&lt;安値!U293),14,""))</f>
        <v/>
      </c>
      <c r="O293" s="503" t="str">
        <f>IF(終値!A293="","",IF(AND(安値!T293&lt;安値!S293,安値!T293&lt;安値!R293,安値!T293&lt;安値!U293,安値!T293&lt;安値!V293),15,""))</f>
        <v/>
      </c>
      <c r="P293" s="503" t="str">
        <f>IF(終値!A293="","",IF(AND(安値!U293&lt;安値!T293,安値!U293&lt;安値!S293,安値!U293&lt;安値!V293,安値!U293&lt;安値!W293),16,""))</f>
        <v/>
      </c>
      <c r="Q293" s="503" t="str">
        <f>IF(終値!A293="","",IF(AND(安値!V293&lt;安値!U293,安値!V293&lt;安値!T293,安値!V293&lt;安値!W293,安値!V293&lt;安値!X293),17,""))</f>
        <v/>
      </c>
      <c r="R293" s="503" t="str">
        <f>IF(終値!A293="","",IF(AND(安値!W293&lt;安値!V293,安値!W293&lt;安値!U293,安値!W293&lt;安値!X293,安値!W293&lt;安値!Y293),18,""))</f>
        <v/>
      </c>
      <c r="S293" s="503" t="str">
        <f>IF(終値!A293="","",IF(AND(安値!X293&lt;安値!W293,安値!X293&lt;安値!V293,安値!X293&lt;安値!Y293,安値!X293&lt;安値!Z293),19,""))</f>
        <v/>
      </c>
      <c r="T293" s="503" t="str">
        <f>IF(終値!A293="","",IF(AND(安値!Y293&lt;安値!X293,安値!Y293&lt;安値!W293,安値!Y293&lt;安値!Z293,安値!Y293&lt;安値!AA293),20,""))</f>
        <v/>
      </c>
      <c r="U293" s="503" t="str">
        <f>IF(終値!A293="","",IF(AND(安値!Z293&lt;安値!Y293,安値!Z293&lt;安値!X293,安値!Z293&lt;安値!AA293,安値!Z293&lt;安値!AB293),21,""))</f>
        <v/>
      </c>
      <c r="V293" s="503" t="str">
        <f>IF(終値!A293="","",IF(AND(安値!AA293&lt;安値!Z293,安値!AA293&lt;安値!Y293,安値!AA293&lt;安値!AB293,安値!AA293&lt;安値!AC293),22,""))</f>
        <v/>
      </c>
      <c r="W293" s="503" t="str">
        <f>IF(終値!A293="","",IF(AND(安値!AB293&lt;安値!AA293,安値!AB293&lt;安値!Z293,安値!AB293&lt;安値!AC293,安値!AB293&lt;安値!AD293),23,""))</f>
        <v/>
      </c>
      <c r="X293" s="503" t="str">
        <f>IF(終値!A293="","",IF(AND(安値!AC293&lt;安値!AB293,安値!AC293&lt;安値!AA293,安値!AC293&lt;安値!AD293,安値!AC293&lt;安値!AE293),24,""))</f>
        <v/>
      </c>
      <c r="Y293" s="503" t="str">
        <f>IF(終値!A293="","",IF(AND(安値!AD293&lt;安値!AC293,安値!AD293&lt;安値!AB293,安値!AD293&lt;安値!AE293,安値!AD293&lt;安値!AF293),25,""))</f>
        <v/>
      </c>
      <c r="Z293" s="503" t="str">
        <f>IF(終値!A293="","",IF(AND(安値!AE293&lt;安値!AD293,安値!AE293&lt;安値!AC293,安値!AE293&lt;安値!AF293,安値!AE293&lt;安値!AG293),26,""))</f>
        <v/>
      </c>
      <c r="AA293" s="503" t="str">
        <f>IF(終値!A293="","",IF(AND(安値!AF293&lt;安値!AE293,安値!AF293&lt;安値!AD293,安値!AF293&lt;安値!AG293,安値!AF293&lt;安値!AH293),27,""))</f>
        <v/>
      </c>
      <c r="AB293" s="503" t="str">
        <f>IF(終値!A293="","",IF(AND(安値!AG293&lt;安値!AF293,安値!AG293&lt;安値!AE293,安値!AG293&lt;安値!AH293,安値!AG293&lt;安値!AI293),28,""))</f>
        <v/>
      </c>
      <c r="AC293" s="503" t="str">
        <f>IF(終値!A293="","",IF(AND(高値!G293&gt;高値!F293,高値!G293&gt;高値!E293,高値!G293&gt;高値!H293,高値!G293&gt;高値!I293),2,""))</f>
        <v/>
      </c>
      <c r="AD293" s="503" t="str">
        <f>IF(終値!A293="","",IF(AND(高値!H293&gt;高値!G293,高値!H293&gt;高値!F293,高値!H293&gt;高値!I293,高値!H293&gt;高値!J293),3,""))</f>
        <v/>
      </c>
      <c r="AE293" s="503" t="str">
        <f>IF(終値!A293="","",IF(AND(高値!I293&gt;高値!H293,高値!I293&gt;高値!G293,高値!I293&gt;高値!J293,高値!I293&gt;高値!K293),4,""))</f>
        <v/>
      </c>
      <c r="AF293" s="503" t="str">
        <f>IF(終値!A293="","",IF(AND(高値!J293&gt;高値!I293,高値!J293&gt;高値!H293,高値!J293&gt;高値!K293,高値!J293&gt;高値!L293),5,""))</f>
        <v/>
      </c>
      <c r="AG293" s="503" t="str">
        <f>IF(終値!A293="","",IF(AND(高値!K293&gt;高値!J293,高値!K293&gt;高値!I293,高値!K293&gt;高値!L293,高値!K293&gt;高値!M293),6,""))</f>
        <v/>
      </c>
      <c r="AH293" s="503" t="str">
        <f>IF(終値!A293="","",IF(AND(高値!L293&gt;高値!K293,高値!L293&gt;高値!J293,高値!L293&gt;高値!M293,高値!L293&gt;高値!N293),7,""))</f>
        <v/>
      </c>
      <c r="AI293" s="503">
        <f>IF(終値!A293="","",IF(AND(高値!M293&gt;高値!L293,高値!M293&gt;高値!K293,高値!M293&gt;高値!N293,高値!M293&gt;高値!O293),8,""))</f>
        <v>8</v>
      </c>
      <c r="AJ293" s="503" t="str">
        <f>IF(終値!A293="","",IF(AND(高値!N293&gt;高値!M293,高値!N293&gt;高値!L293,高値!N293&gt;高値!O293,高値!N293&gt;高値!P293),9,""))</f>
        <v/>
      </c>
      <c r="AK293" s="503" t="str">
        <f>IF(終値!A293="","",IF(AND(高値!O293&gt;高値!N293,高値!O293&gt;高値!M293,高値!O293&gt;高値!P293,高値!O293&gt;高値!Q293),10,""))</f>
        <v/>
      </c>
      <c r="AL293" s="503" t="str">
        <f>IF(終値!A293="","",IF(AND(高値!P293&gt;高値!O293,高値!P293&gt;高値!N293,高値!P293&gt;高値!Q293,高値!P293&gt;高値!R293),11,""))</f>
        <v/>
      </c>
      <c r="AM293" s="503" t="str">
        <f>IF(終値!A293="","",IF(AND(高値!Q293&gt;高値!P293,高値!Q293&gt;高値!O293,高値!Q293&gt;高値!R293,高値!Q293&gt;高値!S293),12,""))</f>
        <v/>
      </c>
      <c r="AN293" s="503" t="str">
        <f>IF(終値!A293="","",IF(AND(高値!R293&gt;高値!Q293,高値!R293&gt;高値!P293,高値!R293&gt;高値!S293,高値!R293&gt;高値!T293),13,""))</f>
        <v/>
      </c>
      <c r="AO293" s="503">
        <f>IF(終値!A293="","",IF(AND(高値!S293&gt;高値!R293,高値!S293&gt;高値!Q293,高値!S293&gt;高値!T293,高値!S293&gt;高値!U293),14,""))</f>
        <v>14</v>
      </c>
      <c r="AP293" s="503" t="str">
        <f>IF(終値!A293="","",IF(AND(高値!T293&gt;高値!S293,高値!T293&gt;高値!R293,高値!T293&gt;高値!U293,高値!T293&gt;高値!V293),15,""))</f>
        <v/>
      </c>
      <c r="AQ293" s="503" t="str">
        <f>IF(終値!A293="","",IF(AND(高値!U293&gt;高値!T293,高値!U293&gt;高値!S293,高値!U293&gt;高値!V293,高値!U293&gt;高値!W293),16,""))</f>
        <v/>
      </c>
      <c r="AR293" s="503" t="str">
        <f>IF(終値!A293="","",IF(AND(高値!V293&gt;高値!U293,高値!V293&gt;高値!T293,高値!V293&gt;高値!W293,高値!V293&gt;高値!X293),17,""))</f>
        <v/>
      </c>
      <c r="AS293" s="503" t="str">
        <f>IF(終値!A293="","",IF(AND(高値!W293&gt;高値!V293,高値!W293&gt;高値!U293,高値!W293&gt;高値!X293,高値!W293&gt;高値!Y293),18,""))</f>
        <v/>
      </c>
      <c r="AT293" s="503" t="str">
        <f>IF(終値!A293="","",IF(AND(高値!X293&gt;高値!W293,高値!X293&gt;高値!V293,高値!X293&gt;高値!Y293,高値!X293&gt;高値!Z293),19,""))</f>
        <v/>
      </c>
      <c r="AU293" s="503">
        <f>IF(終値!A293="","",IF(AND(高値!Y293&gt;高値!X293,高値!Y293&gt;高値!W293,高値!Y293&gt;高値!Z293,高値!Y293&gt;高値!AA293),20,""))</f>
        <v>20</v>
      </c>
      <c r="AV293" s="503" t="str">
        <f>IF(終値!A293="","",IF(AND(高値!Z293&gt;高値!Y293,高値!Z293&gt;高値!X293,高値!Z293&gt;高値!AA293,高値!Z293&gt;高値!AB293),21,""))</f>
        <v/>
      </c>
      <c r="AW293" s="503" t="str">
        <f>IF(終値!A293="","",IF(AND(高値!AA293&gt;高値!Z293,高値!AA293&gt;高値!Y293,高値!AA293&gt;高値!AB293,高値!AA293&gt;高値!AC293),22,""))</f>
        <v/>
      </c>
      <c r="AX293" s="503" t="str">
        <f>IF(終値!A293="","",IF(AND(高値!AB293&gt;高値!AA293,高値!AB293&gt;高値!Z293,高値!AB293&gt;高値!AC293,高値!AB293&gt;高値!AD293),23,""))</f>
        <v/>
      </c>
      <c r="AY293" s="503" t="str">
        <f>IF(終値!A293="","",IF(AND(高値!AC293&gt;高値!AB293,高値!AC293&gt;高値!AA293,高値!AC293&gt;高値!AD293,高値!AC293&gt;高値!AE293),24,""))</f>
        <v/>
      </c>
      <c r="AZ293" s="503" t="str">
        <f>IF(終値!A293="","",IF(AND(高値!AD293&gt;高値!AC293,高値!AD293&gt;高値!AB293,高値!AD293&gt;高値!AE293,高値!AD293&gt;高値!AF293),25,""))</f>
        <v/>
      </c>
      <c r="BA293" s="503" t="str">
        <f>IF(終値!A293="","",IF(AND(高値!AE293&gt;高値!AD293,高値!AE293&gt;高値!AC293,高値!AE293&gt;高値!AF293,高値!AE293&gt;高値!AG293),26,""))</f>
        <v/>
      </c>
      <c r="BB293" s="503" t="str">
        <f>IF(終値!A293="","",IF(AND(高値!AF293&gt;高値!AE293,高値!AF293&gt;高値!AD293,高値!AF293&gt;高値!AG293,高値!AF293&gt;高値!AH293),27,""))</f>
        <v/>
      </c>
      <c r="BC293" s="503" t="str">
        <f>IF(終値!A293="","",IF(AND(高値!AG293&gt;高値!AF293,高値!AG293&gt;高値!AE293,高値!AG293&gt;高値!AH293,高値!AG293&gt;高値!AI293),28,""))</f>
        <v/>
      </c>
      <c r="BD293" s="503">
        <f t="shared" si="24"/>
        <v>2</v>
      </c>
      <c r="BE293" s="503">
        <f t="shared" si="25"/>
        <v>3</v>
      </c>
      <c r="BF293" s="503">
        <f t="shared" si="26"/>
        <v>13</v>
      </c>
      <c r="BG293" s="503">
        <f>IF($BE293="","",INDEX(安値!$E293:$CZ293,1,$BE293+1))</f>
        <v>3600</v>
      </c>
      <c r="BH293" s="503">
        <f>IF($BF293="","",INDEX(安値!$E293:$CZ293,1,$BF293+1))</f>
        <v>3555</v>
      </c>
      <c r="BI293" s="503">
        <f>IF($BF293="","",MAX(INDEX(高値!$E293:$CZ293,1,$BE293+1):INDEX(高値!$E293:$CZ293,1,$BF293+1)))</f>
        <v>4220</v>
      </c>
      <c r="BJ293" s="503">
        <f>IF($BF293="","",AVERAGE(INDEX(終値!$E293:$CZ293,1,$BF293+1):INDEX(終値!$E293:$CZ293,1,$BF293+20))-2*STDEVP(INDEX(終値!$E293:$CZ293,1,$BF293+1):INDEX(終値!$E293:$CZ293,1,$BF293+20)))</f>
        <v>3146.3839703664339</v>
      </c>
      <c r="BK293" s="503">
        <f>IF($BE293="","",AVERAGE(INDEX(終値!$E293:$CZ293,1,$BE293+1):INDEX(終値!$E293:$CZ293,1,$BE293+20))-2*STDEVP(INDEX(終値!$E293:$CZ293,1,$BE293+1):INDEX(終値!$E293:$CZ293,1,$BE293+20)))</f>
        <v>3573.4415834003557</v>
      </c>
      <c r="BL293" s="503">
        <f t="shared" si="27"/>
        <v>3</v>
      </c>
      <c r="BM293" s="503">
        <f t="shared" si="28"/>
        <v>8</v>
      </c>
      <c r="BN293" s="503">
        <f t="shared" si="29"/>
        <v>14</v>
      </c>
      <c r="BO293" s="503">
        <f>IF($BM293="","",INDEX(高値!$E293:$CZ293,1,$BM293+1))</f>
        <v>4220</v>
      </c>
      <c r="BP293" s="503">
        <f>IF($BN293="","",INDEX(高値!$E293:$CZ293,1,$BN293+1))</f>
        <v>3930</v>
      </c>
      <c r="BQ293" s="503">
        <f>IF($BN293="","",MIN(INDEX(安値!$E293:$CZ293,1,$BM293+1):INDEX(安値!$E293:$CZ293,1,$BN293+1)))</f>
        <v>3555</v>
      </c>
      <c r="BR293" s="503">
        <f>IF($BN293="","",AVERAGE(INDEX(終値!$E293:$CZ293,1,$BN293+1):INDEX(終値!$E293:$CZ293,1,$BN293+20))+2*STDEVP(INDEX(終値!$E293:$CZ293,1,$BN293+1):INDEX(終値!$E293:$CZ293,1,$BN293+20)))</f>
        <v>4107.1705181920188</v>
      </c>
      <c r="BS293" s="503">
        <f>IF($BM293="","",AVERAGE(INDEX(終値!$E293:$CZ293,1,$BM293+1):INDEX(終値!$E293:$CZ293,1,$BM293+20))+2*STDEVP(INDEX(終値!$E293:$CZ293,1,$BM293+1):INDEX(終値!$E293:$CZ293,1,$BM293+20)))</f>
        <v>4187.1007988010006</v>
      </c>
      <c r="BT293" s="500"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二番底W▲</v>
      </c>
    </row>
    <row r="294" spans="2:72">
      <c r="B294" s="503" t="str">
        <f>IF(終値!A294="","",IF(AND(安値!G294&lt;安値!F294,安値!G294&lt;安値!E294,安値!G294&lt;安値!H294,安値!G294&lt;安値!I294),2,""))</f>
        <v/>
      </c>
      <c r="C294" s="503">
        <f>IF(終値!A294="","",IF(AND(安値!H294&lt;安値!G294,安値!H294&lt;安値!F294,安値!H294&lt;安値!I294,安値!H294&lt;安値!J294),3,""))</f>
        <v>3</v>
      </c>
      <c r="D294" s="503" t="str">
        <f>IF(終値!A294="","",IF(AND(安値!I294&lt;安値!H294,安値!I294&lt;安値!G294,安値!I294&lt;安値!J294,安値!I294&lt;安値!K294),4,""))</f>
        <v/>
      </c>
      <c r="E294" s="503" t="str">
        <f>IF(終値!A294="","",IF(AND(安値!J294&lt;安値!I294,安値!J294&lt;安値!H294,安値!J294&lt;安値!K294,安値!J294&lt;安値!L294),5,""))</f>
        <v/>
      </c>
      <c r="F294" s="503" t="str">
        <f>IF(終値!A294="","",IF(AND(安値!K294&lt;安値!J294,安値!K294&lt;安値!I294,安値!K294&lt;安値!L294,安値!K294&lt;安値!M294),6,""))</f>
        <v/>
      </c>
      <c r="G294" s="503" t="str">
        <f>IF(終値!A294="","",IF(AND(安値!L294&lt;安値!K294,安値!L294&lt;安値!J294,安値!L294&lt;安値!M294,安値!L294&lt;安値!N294),7,""))</f>
        <v/>
      </c>
      <c r="H294" s="503" t="str">
        <f>IF(終値!A294="","",IF(AND(安値!M294&lt;安値!L294,安値!M294&lt;安値!K294,安値!M294&lt;安値!N294,安値!M294&lt;安値!O294),8,""))</f>
        <v/>
      </c>
      <c r="I294" s="503">
        <f>IF(終値!A294="","",IF(AND(安値!N294&lt;安値!M294,安値!N294&lt;安値!L294,安値!N294&lt;安値!O294,安値!N294&lt;安値!P294),9,""))</f>
        <v>9</v>
      </c>
      <c r="J294" s="503" t="str">
        <f>IF(終値!A294="","",IF(AND(安値!O294&lt;安値!N294,安値!O294&lt;安値!M294,安値!O294&lt;安値!P294,安値!O294&lt;安値!Q294),10,""))</f>
        <v/>
      </c>
      <c r="K294" s="503" t="str">
        <f>IF(終値!A294="","",IF(AND(安値!P294&lt;安値!O294,安値!P294&lt;安値!N294,安値!P294&lt;安値!Q294,安値!P294&lt;安値!R294),11,""))</f>
        <v/>
      </c>
      <c r="L294" s="503" t="str">
        <f>IF(終値!A294="","",IF(AND(安値!Q294&lt;安値!P294,安値!Q294&lt;安値!O294,安値!Q294&lt;安値!R294,安値!Q294&lt;安値!S294),12,""))</f>
        <v/>
      </c>
      <c r="M294" s="503" t="str">
        <f>IF(終値!A294="","",IF(AND(安値!R294&lt;安値!Q294,安値!R294&lt;安値!P294,安値!R294&lt;安値!S294,安値!R294&lt;安値!T294),13,""))</f>
        <v/>
      </c>
      <c r="N294" s="503" t="str">
        <f>IF(終値!A294="","",IF(AND(安値!S294&lt;安値!R294,安値!S294&lt;安値!Q294,安値!S294&lt;安値!T294,安値!S294&lt;安値!U294),14,""))</f>
        <v/>
      </c>
      <c r="O294" s="503" t="str">
        <f>IF(終値!A294="","",IF(AND(安値!T294&lt;安値!S294,安値!T294&lt;安値!R294,安値!T294&lt;安値!U294,安値!T294&lt;安値!V294),15,""))</f>
        <v/>
      </c>
      <c r="P294" s="503" t="str">
        <f>IF(終値!A294="","",IF(AND(安値!U294&lt;安値!T294,安値!U294&lt;安値!S294,安値!U294&lt;安値!V294,安値!U294&lt;安値!W294),16,""))</f>
        <v/>
      </c>
      <c r="Q294" s="503" t="str">
        <f>IF(終値!A294="","",IF(AND(安値!V294&lt;安値!U294,安値!V294&lt;安値!T294,安値!V294&lt;安値!W294,安値!V294&lt;安値!X294),17,""))</f>
        <v/>
      </c>
      <c r="R294" s="503">
        <f>IF(終値!A294="","",IF(AND(安値!W294&lt;安値!V294,安値!W294&lt;安値!U294,安値!W294&lt;安値!X294,安値!W294&lt;安値!Y294),18,""))</f>
        <v>18</v>
      </c>
      <c r="S294" s="503" t="str">
        <f>IF(終値!A294="","",IF(AND(安値!X294&lt;安値!W294,安値!X294&lt;安値!V294,安値!X294&lt;安値!Y294,安値!X294&lt;安値!Z294),19,""))</f>
        <v/>
      </c>
      <c r="T294" s="503" t="str">
        <f>IF(終値!A294="","",IF(AND(安値!Y294&lt;安値!X294,安値!Y294&lt;安値!W294,安値!Y294&lt;安値!Z294,安値!Y294&lt;安値!AA294),20,""))</f>
        <v/>
      </c>
      <c r="U294" s="503" t="str">
        <f>IF(終値!A294="","",IF(AND(安値!Z294&lt;安値!Y294,安値!Z294&lt;安値!X294,安値!Z294&lt;安値!AA294,安値!Z294&lt;安値!AB294),21,""))</f>
        <v/>
      </c>
      <c r="V294" s="503" t="str">
        <f>IF(終値!A294="","",IF(AND(安値!AA294&lt;安値!Z294,安値!AA294&lt;安値!Y294,安値!AA294&lt;安値!AB294,安値!AA294&lt;安値!AC294),22,""))</f>
        <v/>
      </c>
      <c r="W294" s="503" t="str">
        <f>IF(終値!A294="","",IF(AND(安値!AB294&lt;安値!AA294,安値!AB294&lt;安値!Z294,安値!AB294&lt;安値!AC294,安値!AB294&lt;安値!AD294),23,""))</f>
        <v/>
      </c>
      <c r="X294" s="503">
        <f>IF(終値!A294="","",IF(AND(安値!AC294&lt;安値!AB294,安値!AC294&lt;安値!AA294,安値!AC294&lt;安値!AD294,安値!AC294&lt;安値!AE294),24,""))</f>
        <v>24</v>
      </c>
      <c r="Y294" s="503" t="str">
        <f>IF(終値!A294="","",IF(AND(安値!AD294&lt;安値!AC294,安値!AD294&lt;安値!AB294,安値!AD294&lt;安値!AE294,安値!AD294&lt;安値!AF294),25,""))</f>
        <v/>
      </c>
      <c r="Z294" s="503" t="str">
        <f>IF(終値!A294="","",IF(AND(安値!AE294&lt;安値!AD294,安値!AE294&lt;安値!AC294,安値!AE294&lt;安値!AF294,安値!AE294&lt;安値!AG294),26,""))</f>
        <v/>
      </c>
      <c r="AA294" s="503">
        <f>IF(終値!A294="","",IF(AND(安値!AF294&lt;安値!AE294,安値!AF294&lt;安値!AD294,安値!AF294&lt;安値!AG294,安値!AF294&lt;安値!AH294),27,""))</f>
        <v>27</v>
      </c>
      <c r="AB294" s="503" t="str">
        <f>IF(終値!A294="","",IF(AND(安値!AG294&lt;安値!AF294,安値!AG294&lt;安値!AE294,安値!AG294&lt;安値!AH294,安値!AG294&lt;安値!AI294),28,""))</f>
        <v/>
      </c>
      <c r="AC294" s="503" t="str">
        <f>IF(終値!A294="","",IF(AND(高値!G294&gt;高値!F294,高値!G294&gt;高値!E294,高値!G294&gt;高値!H294,高値!G294&gt;高値!I294),2,""))</f>
        <v/>
      </c>
      <c r="AD294" s="503" t="str">
        <f>IF(終値!A294="","",IF(AND(高値!H294&gt;高値!G294,高値!H294&gt;高値!F294,高値!H294&gt;高値!I294,高値!H294&gt;高値!J294),3,""))</f>
        <v/>
      </c>
      <c r="AE294" s="503" t="str">
        <f>IF(終値!A294="","",IF(AND(高値!I294&gt;高値!H294,高値!I294&gt;高値!G294,高値!I294&gt;高値!J294,高値!I294&gt;高値!K294),4,""))</f>
        <v/>
      </c>
      <c r="AF294" s="503" t="str">
        <f>IF(終値!A294="","",IF(AND(高値!J294&gt;高値!I294,高値!J294&gt;高値!H294,高値!J294&gt;高値!K294,高値!J294&gt;高値!L294),5,""))</f>
        <v/>
      </c>
      <c r="AG294" s="503" t="str">
        <f>IF(終値!A294="","",IF(AND(高値!K294&gt;高値!J294,高値!K294&gt;高値!I294,高値!K294&gt;高値!L294,高値!K294&gt;高値!M294),6,""))</f>
        <v/>
      </c>
      <c r="AH294" s="503" t="str">
        <f>IF(終値!A294="","",IF(AND(高値!L294&gt;高値!K294,高値!L294&gt;高値!J294,高値!L294&gt;高値!M294,高値!L294&gt;高値!N294),7,""))</f>
        <v/>
      </c>
      <c r="AI294" s="503" t="str">
        <f>IF(終値!A294="","",IF(AND(高値!M294&gt;高値!L294,高値!M294&gt;高値!K294,高値!M294&gt;高値!N294,高値!M294&gt;高値!O294),8,""))</f>
        <v/>
      </c>
      <c r="AJ294" s="503" t="str">
        <f>IF(終値!A294="","",IF(AND(高値!N294&gt;高値!M294,高値!N294&gt;高値!L294,高値!N294&gt;高値!O294,高値!N294&gt;高値!P294),9,""))</f>
        <v/>
      </c>
      <c r="AK294" s="503" t="str">
        <f>IF(終値!A294="","",IF(AND(高値!O294&gt;高値!N294,高値!O294&gt;高値!M294,高値!O294&gt;高値!P294,高値!O294&gt;高値!Q294),10,""))</f>
        <v/>
      </c>
      <c r="AL294" s="503" t="str">
        <f>IF(終値!A294="","",IF(AND(高値!P294&gt;高値!O294,高値!P294&gt;高値!N294,高値!P294&gt;高値!Q294,高値!P294&gt;高値!R294),11,""))</f>
        <v/>
      </c>
      <c r="AM294" s="503" t="str">
        <f>IF(終値!A294="","",IF(AND(高値!Q294&gt;高値!P294,高値!Q294&gt;高値!O294,高値!Q294&gt;高値!R294,高値!Q294&gt;高値!S294),12,""))</f>
        <v/>
      </c>
      <c r="AN294" s="503" t="str">
        <f>IF(終値!A294="","",IF(AND(高値!R294&gt;高値!Q294,高値!R294&gt;高値!P294,高値!R294&gt;高値!S294,高値!R294&gt;高値!T294),13,""))</f>
        <v/>
      </c>
      <c r="AO294" s="503">
        <f>IF(終値!A294="","",IF(AND(高値!S294&gt;高値!R294,高値!S294&gt;高値!Q294,高値!S294&gt;高値!T294,高値!S294&gt;高値!U294),14,""))</f>
        <v>14</v>
      </c>
      <c r="AP294" s="503" t="str">
        <f>IF(終値!A294="","",IF(AND(高値!T294&gt;高値!S294,高値!T294&gt;高値!R294,高値!T294&gt;高値!U294,高値!T294&gt;高値!V294),15,""))</f>
        <v/>
      </c>
      <c r="AQ294" s="503" t="str">
        <f>IF(終値!A294="","",IF(AND(高値!U294&gt;高値!T294,高値!U294&gt;高値!S294,高値!U294&gt;高値!V294,高値!U294&gt;高値!W294),16,""))</f>
        <v/>
      </c>
      <c r="AR294" s="503" t="str">
        <f>IF(終値!A294="","",IF(AND(高値!V294&gt;高値!U294,高値!V294&gt;高値!T294,高値!V294&gt;高値!W294,高値!V294&gt;高値!X294),17,""))</f>
        <v/>
      </c>
      <c r="AS294" s="503" t="str">
        <f>IF(終値!A294="","",IF(AND(高値!W294&gt;高値!V294,高値!W294&gt;高値!U294,高値!W294&gt;高値!X294,高値!W294&gt;高値!Y294),18,""))</f>
        <v/>
      </c>
      <c r="AT294" s="503" t="str">
        <f>IF(終値!A294="","",IF(AND(高値!X294&gt;高値!W294,高値!X294&gt;高値!V294,高値!X294&gt;高値!Y294,高値!X294&gt;高値!Z294),19,""))</f>
        <v/>
      </c>
      <c r="AU294" s="503" t="str">
        <f>IF(終値!A294="","",IF(AND(高値!Y294&gt;高値!X294,高値!Y294&gt;高値!W294,高値!Y294&gt;高値!Z294,高値!Y294&gt;高値!AA294),20,""))</f>
        <v/>
      </c>
      <c r="AV294" s="503" t="str">
        <f>IF(終値!A294="","",IF(AND(高値!Z294&gt;高値!Y294,高値!Z294&gt;高値!X294,高値!Z294&gt;高値!AA294,高値!Z294&gt;高値!AB294),21,""))</f>
        <v/>
      </c>
      <c r="AW294" s="503" t="str">
        <f>IF(終値!A294="","",IF(AND(高値!AA294&gt;高値!Z294,高値!AA294&gt;高値!Y294,高値!AA294&gt;高値!AB294,高値!AA294&gt;高値!AC294),22,""))</f>
        <v/>
      </c>
      <c r="AX294" s="503" t="str">
        <f>IF(終値!A294="","",IF(AND(高値!AB294&gt;高値!AA294,高値!AB294&gt;高値!Z294,高値!AB294&gt;高値!AC294,高値!AB294&gt;高値!AD294),23,""))</f>
        <v/>
      </c>
      <c r="AY294" s="503" t="str">
        <f>IF(終値!A294="","",IF(AND(高値!AC294&gt;高値!AB294,高値!AC294&gt;高値!AA294,高値!AC294&gt;高値!AD294,高値!AC294&gt;高値!AE294),24,""))</f>
        <v/>
      </c>
      <c r="AZ294" s="503" t="str">
        <f>IF(終値!A294="","",IF(AND(高値!AD294&gt;高値!AC294,高値!AD294&gt;高値!AB294,高値!AD294&gt;高値!AE294,高値!AD294&gt;高値!AF294),25,""))</f>
        <v/>
      </c>
      <c r="BA294" s="503">
        <f>IF(終値!A294="","",IF(AND(高値!AE294&gt;高値!AD294,高値!AE294&gt;高値!AC294,高値!AE294&gt;高値!AF294,高値!AE294&gt;高値!AG294),26,""))</f>
        <v>26</v>
      </c>
      <c r="BB294" s="503" t="str">
        <f>IF(終値!A294="","",IF(AND(高値!AF294&gt;高値!AE294,高値!AF294&gt;高値!AD294,高値!AF294&gt;高値!AG294,高値!AF294&gt;高値!AH294),27,""))</f>
        <v/>
      </c>
      <c r="BC294" s="503" t="str">
        <f>IF(終値!A294="","",IF(AND(高値!AG294&gt;高値!AF294,高値!AG294&gt;高値!AE294,高値!AG294&gt;高値!AH294,高値!AG294&gt;高値!AI294),28,""))</f>
        <v/>
      </c>
      <c r="BD294" s="503">
        <f t="shared" si="24"/>
        <v>5</v>
      </c>
      <c r="BE294" s="503">
        <f t="shared" si="25"/>
        <v>3</v>
      </c>
      <c r="BF294" s="503">
        <f t="shared" si="26"/>
        <v>9</v>
      </c>
      <c r="BG294" s="503">
        <f>IF($BE294="","",INDEX(安値!$E294:$CZ294,1,$BE294+1))</f>
        <v>1402</v>
      </c>
      <c r="BH294" s="503">
        <f>IF($BF294="","",INDEX(安値!$E294:$CZ294,1,$BF294+1))</f>
        <v>0</v>
      </c>
      <c r="BI294" s="503">
        <f>IF($BF294="","",MAX(INDEX(高値!$E294:$CZ294,1,$BE294+1):INDEX(高値!$E294:$CZ294,1,$BF294+1)))</f>
        <v>1468</v>
      </c>
      <c r="BJ294" s="503">
        <f>IF($BF294="","",AVERAGE(INDEX(終値!$E294:$CZ294,1,$BF294+1):INDEX(終値!$E294:$CZ294,1,$BF294+20))-2*STDEVP(INDEX(終値!$E294:$CZ294,1,$BF294+1):INDEX(終値!$E294:$CZ294,1,$BF294+20)))</f>
        <v>1301.5084092389279</v>
      </c>
      <c r="BK294" s="503">
        <f>IF($BE294="","",AVERAGE(INDEX(終値!$E294:$CZ294,1,$BE294+1):INDEX(終値!$E294:$CZ294,1,$BE294+20))-2*STDEVP(INDEX(終値!$E294:$CZ294,1,$BE294+1):INDEX(終値!$E294:$CZ294,1,$BE294+20)))</f>
        <v>1341.898924997545</v>
      </c>
      <c r="BL294" s="503">
        <f t="shared" si="27"/>
        <v>2</v>
      </c>
      <c r="BM294" s="503">
        <f t="shared" si="28"/>
        <v>14</v>
      </c>
      <c r="BN294" s="503">
        <f t="shared" si="29"/>
        <v>26</v>
      </c>
      <c r="BO294" s="503">
        <f>IF($BM294="","",INDEX(高値!$E294:$CZ294,1,$BM294+1))</f>
        <v>1430</v>
      </c>
      <c r="BP294" s="503">
        <f>IF($BN294="","",INDEX(高値!$E294:$CZ294,1,$BN294+1))</f>
        <v>1348</v>
      </c>
      <c r="BQ294" s="503">
        <f>IF($BN294="","",MIN(INDEX(安値!$E294:$CZ294,1,$BM294+1):INDEX(安値!$E294:$CZ294,1,$BN294+1)))</f>
        <v>1320</v>
      </c>
      <c r="BR294" s="503">
        <f>IF($BN294="","",AVERAGE(INDEX(終値!$E294:$CZ294,1,$BN294+1):INDEX(終値!$E294:$CZ294,1,$BN294+20))+2*STDEVP(INDEX(終値!$E294:$CZ294,1,$BN294+1):INDEX(終値!$E294:$CZ294,1,$BN294+20)))</f>
        <v>1344.12691101581</v>
      </c>
      <c r="BS294" s="503">
        <f>IF($BM294="","",AVERAGE(INDEX(終値!$E294:$CZ294,1,$BM294+1):INDEX(終値!$E294:$CZ294,1,$BM294+20))+2*STDEVP(INDEX(終値!$E294:$CZ294,1,$BM294+1):INDEX(終値!$E294:$CZ294,1,$BM294+20)))</f>
        <v>1407.7450174949038</v>
      </c>
      <c r="BT294" s="500"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3" t="str">
        <f>IF(終値!A295="","",IF(AND(安値!G295&lt;安値!F295,安値!G295&lt;安値!E295,安値!G295&lt;安値!H295,安値!G295&lt;安値!I295),2,""))</f>
        <v/>
      </c>
      <c r="C295" s="503" t="str">
        <f>IF(終値!A295="","",IF(AND(安値!H295&lt;安値!G295,安値!H295&lt;安値!F295,安値!H295&lt;安値!I295,安値!H295&lt;安値!J295),3,""))</f>
        <v/>
      </c>
      <c r="D295" s="503" t="str">
        <f>IF(終値!A295="","",IF(AND(安値!I295&lt;安値!H295,安値!I295&lt;安値!G295,安値!I295&lt;安値!J295,安値!I295&lt;安値!K295),4,""))</f>
        <v/>
      </c>
      <c r="E295" s="503" t="str">
        <f>IF(終値!A295="","",IF(AND(安値!J295&lt;安値!I295,安値!J295&lt;安値!H295,安値!J295&lt;安値!K295,安値!J295&lt;安値!L295),5,""))</f>
        <v/>
      </c>
      <c r="F295" s="503" t="str">
        <f>IF(終値!A295="","",IF(AND(安値!K295&lt;安値!J295,安値!K295&lt;安値!I295,安値!K295&lt;安値!L295,安値!K295&lt;安値!M295),6,""))</f>
        <v/>
      </c>
      <c r="G295" s="503" t="str">
        <f>IF(終値!A295="","",IF(AND(安値!L295&lt;安値!K295,安値!L295&lt;安値!J295,安値!L295&lt;安値!M295,安値!L295&lt;安値!N295),7,""))</f>
        <v/>
      </c>
      <c r="H295" s="503" t="str">
        <f>IF(終値!A295="","",IF(AND(安値!M295&lt;安値!L295,安値!M295&lt;安値!K295,安値!M295&lt;安値!N295,安値!M295&lt;安値!O295),8,""))</f>
        <v/>
      </c>
      <c r="I295" s="503">
        <f>IF(終値!A295="","",IF(AND(安値!N295&lt;安値!M295,安値!N295&lt;安値!L295,安値!N295&lt;安値!O295,安値!N295&lt;安値!P295),9,""))</f>
        <v>9</v>
      </c>
      <c r="J295" s="503" t="str">
        <f>IF(終値!A295="","",IF(AND(安値!O295&lt;安値!N295,安値!O295&lt;安値!M295,安値!O295&lt;安値!P295,安値!O295&lt;安値!Q295),10,""))</f>
        <v/>
      </c>
      <c r="K295" s="503" t="str">
        <f>IF(終値!A295="","",IF(AND(安値!P295&lt;安値!O295,安値!P295&lt;安値!N295,安値!P295&lt;安値!Q295,安値!P295&lt;安値!R295),11,""))</f>
        <v/>
      </c>
      <c r="L295" s="503" t="str">
        <f>IF(終値!A295="","",IF(AND(安値!Q295&lt;安値!P295,安値!Q295&lt;安値!O295,安値!Q295&lt;安値!R295,安値!Q295&lt;安値!S295),12,""))</f>
        <v/>
      </c>
      <c r="M295" s="503">
        <f>IF(終値!A295="","",IF(AND(安値!R295&lt;安値!Q295,安値!R295&lt;安値!P295,安値!R295&lt;安値!S295,安値!R295&lt;安値!T295),13,""))</f>
        <v>13</v>
      </c>
      <c r="N295" s="503" t="str">
        <f>IF(終値!A295="","",IF(AND(安値!S295&lt;安値!R295,安値!S295&lt;安値!Q295,安値!S295&lt;安値!T295,安値!S295&lt;安値!U295),14,""))</f>
        <v/>
      </c>
      <c r="O295" s="503" t="str">
        <f>IF(終値!A295="","",IF(AND(安値!T295&lt;安値!S295,安値!T295&lt;安値!R295,安値!T295&lt;安値!U295,安値!T295&lt;安値!V295),15,""))</f>
        <v/>
      </c>
      <c r="P295" s="503" t="str">
        <f>IF(終値!A295="","",IF(AND(安値!U295&lt;安値!T295,安値!U295&lt;安値!S295,安値!U295&lt;安値!V295,安値!U295&lt;安値!W295),16,""))</f>
        <v/>
      </c>
      <c r="Q295" s="503" t="str">
        <f>IF(終値!A295="","",IF(AND(安値!V295&lt;安値!U295,安値!V295&lt;安値!T295,安値!V295&lt;安値!W295,安値!V295&lt;安値!X295),17,""))</f>
        <v/>
      </c>
      <c r="R295" s="503" t="str">
        <f>IF(終値!A295="","",IF(AND(安値!W295&lt;安値!V295,安値!W295&lt;安値!U295,安値!W295&lt;安値!X295,安値!W295&lt;安値!Y295),18,""))</f>
        <v/>
      </c>
      <c r="S295" s="503">
        <f>IF(終値!A295="","",IF(AND(安値!X295&lt;安値!W295,安値!X295&lt;安値!V295,安値!X295&lt;安値!Y295,安値!X295&lt;安値!Z295),19,""))</f>
        <v>19</v>
      </c>
      <c r="T295" s="503" t="str">
        <f>IF(終値!A295="","",IF(AND(安値!Y295&lt;安値!X295,安値!Y295&lt;安値!W295,安値!Y295&lt;安値!Z295,安値!Y295&lt;安値!AA295),20,""))</f>
        <v/>
      </c>
      <c r="U295" s="503" t="str">
        <f>IF(終値!A295="","",IF(AND(安値!Z295&lt;安値!Y295,安値!Z295&lt;安値!X295,安値!Z295&lt;安値!AA295,安値!Z295&lt;安値!AB295),21,""))</f>
        <v/>
      </c>
      <c r="V295" s="503" t="str">
        <f>IF(終値!A295="","",IF(AND(安値!AA295&lt;安値!Z295,安値!AA295&lt;安値!Y295,安値!AA295&lt;安値!AB295,安値!AA295&lt;安値!AC295),22,""))</f>
        <v/>
      </c>
      <c r="W295" s="503" t="str">
        <f>IF(終値!A295="","",IF(AND(安値!AB295&lt;安値!AA295,安値!AB295&lt;安値!Z295,安値!AB295&lt;安値!AC295,安値!AB295&lt;安値!AD295),23,""))</f>
        <v/>
      </c>
      <c r="X295" s="503" t="str">
        <f>IF(終値!A295="","",IF(AND(安値!AC295&lt;安値!AB295,安値!AC295&lt;安値!AA295,安値!AC295&lt;安値!AD295,安値!AC295&lt;安値!AE295),24,""))</f>
        <v/>
      </c>
      <c r="Y295" s="503" t="str">
        <f>IF(終値!A295="","",IF(AND(安値!AD295&lt;安値!AC295,安値!AD295&lt;安値!AB295,安値!AD295&lt;安値!AE295,安値!AD295&lt;安値!AF295),25,""))</f>
        <v/>
      </c>
      <c r="Z295" s="503">
        <f>IF(終値!A295="","",IF(AND(安値!AE295&lt;安値!AD295,安値!AE295&lt;安値!AC295,安値!AE295&lt;安値!AF295,安値!AE295&lt;安値!AG295),26,""))</f>
        <v>26</v>
      </c>
      <c r="AA295" s="503" t="str">
        <f>IF(終値!A295="","",IF(AND(安値!AF295&lt;安値!AE295,安値!AF295&lt;安値!AD295,安値!AF295&lt;安値!AG295,安値!AF295&lt;安値!AH295),27,""))</f>
        <v/>
      </c>
      <c r="AB295" s="503" t="str">
        <f>IF(終値!A295="","",IF(AND(安値!AG295&lt;安値!AF295,安値!AG295&lt;安値!AE295,安値!AG295&lt;安値!AH295,安値!AG295&lt;安値!AI295),28,""))</f>
        <v/>
      </c>
      <c r="AC295" s="503" t="str">
        <f>IF(終値!A295="","",IF(AND(高値!G295&gt;高値!F295,高値!G295&gt;高値!E295,高値!G295&gt;高値!H295,高値!G295&gt;高値!I295),2,""))</f>
        <v/>
      </c>
      <c r="AD295" s="503" t="str">
        <f>IF(終値!A295="","",IF(AND(高値!H295&gt;高値!G295,高値!H295&gt;高値!F295,高値!H295&gt;高値!I295,高値!H295&gt;高値!J295),3,""))</f>
        <v/>
      </c>
      <c r="AE295" s="503" t="str">
        <f>IF(終値!A295="","",IF(AND(高値!I295&gt;高値!H295,高値!I295&gt;高値!G295,高値!I295&gt;高値!J295,高値!I295&gt;高値!K295),4,""))</f>
        <v/>
      </c>
      <c r="AF295" s="503" t="str">
        <f>IF(終値!A295="","",IF(AND(高値!J295&gt;高値!I295,高値!J295&gt;高値!H295,高値!J295&gt;高値!K295,高値!J295&gt;高値!L295),5,""))</f>
        <v/>
      </c>
      <c r="AG295" s="503" t="str">
        <f>IF(終値!A295="","",IF(AND(高値!K295&gt;高値!J295,高値!K295&gt;高値!I295,高値!K295&gt;高値!L295,高値!K295&gt;高値!M295),6,""))</f>
        <v/>
      </c>
      <c r="AH295" s="503" t="str">
        <f>IF(終値!A295="","",IF(AND(高値!L295&gt;高値!K295,高値!L295&gt;高値!J295,高値!L295&gt;高値!M295,高値!L295&gt;高値!N295),7,""))</f>
        <v/>
      </c>
      <c r="AI295" s="503" t="str">
        <f>IF(終値!A295="","",IF(AND(高値!M295&gt;高値!L295,高値!M295&gt;高値!K295,高値!M295&gt;高値!N295,高値!M295&gt;高値!O295),8,""))</f>
        <v/>
      </c>
      <c r="AJ295" s="503" t="str">
        <f>IF(終値!A295="","",IF(AND(高値!N295&gt;高値!M295,高値!N295&gt;高値!L295,高値!N295&gt;高値!O295,高値!N295&gt;高値!P295),9,""))</f>
        <v/>
      </c>
      <c r="AK295" s="503" t="str">
        <f>IF(終値!A295="","",IF(AND(高値!O295&gt;高値!N295,高値!O295&gt;高値!M295,高値!O295&gt;高値!P295,高値!O295&gt;高値!Q295),10,""))</f>
        <v/>
      </c>
      <c r="AL295" s="503">
        <f>IF(終値!A295="","",IF(AND(高値!P295&gt;高値!O295,高値!P295&gt;高値!N295,高値!P295&gt;高値!Q295,高値!P295&gt;高値!R295),11,""))</f>
        <v>11</v>
      </c>
      <c r="AM295" s="503" t="str">
        <f>IF(終値!A295="","",IF(AND(高値!Q295&gt;高値!P295,高値!Q295&gt;高値!O295,高値!Q295&gt;高値!R295,高値!Q295&gt;高値!S295),12,""))</f>
        <v/>
      </c>
      <c r="AN295" s="503" t="str">
        <f>IF(終値!A295="","",IF(AND(高値!R295&gt;高値!Q295,高値!R295&gt;高値!P295,高値!R295&gt;高値!S295,高値!R295&gt;高値!T295),13,""))</f>
        <v/>
      </c>
      <c r="AO295" s="503" t="str">
        <f>IF(終値!A295="","",IF(AND(高値!S295&gt;高値!R295,高値!S295&gt;高値!Q295,高値!S295&gt;高値!T295,高値!S295&gt;高値!U295),14,""))</f>
        <v/>
      </c>
      <c r="AP295" s="503" t="str">
        <f>IF(終値!A295="","",IF(AND(高値!T295&gt;高値!S295,高値!T295&gt;高値!R295,高値!T295&gt;高値!U295,高値!T295&gt;高値!V295),15,""))</f>
        <v/>
      </c>
      <c r="AQ295" s="503" t="str">
        <f>IF(終値!A295="","",IF(AND(高値!U295&gt;高値!T295,高値!U295&gt;高値!S295,高値!U295&gt;高値!V295,高値!U295&gt;高値!W295),16,""))</f>
        <v/>
      </c>
      <c r="AR295" s="503">
        <f>IF(終値!A295="","",IF(AND(高値!V295&gt;高値!U295,高値!V295&gt;高値!T295,高値!V295&gt;高値!W295,高値!V295&gt;高値!X295),17,""))</f>
        <v>17</v>
      </c>
      <c r="AS295" s="503" t="str">
        <f>IF(終値!A295="","",IF(AND(高値!W295&gt;高値!V295,高値!W295&gt;高値!U295,高値!W295&gt;高値!X295,高値!W295&gt;高値!Y295),18,""))</f>
        <v/>
      </c>
      <c r="AT295" s="503" t="str">
        <f>IF(終値!A295="","",IF(AND(高値!X295&gt;高値!W295,高値!X295&gt;高値!V295,高値!X295&gt;高値!Y295,高値!X295&gt;高値!Z295),19,""))</f>
        <v/>
      </c>
      <c r="AU295" s="503" t="str">
        <f>IF(終値!A295="","",IF(AND(高値!Y295&gt;高値!X295,高値!Y295&gt;高値!W295,高値!Y295&gt;高値!Z295,高値!Y295&gt;高値!AA295),20,""))</f>
        <v/>
      </c>
      <c r="AV295" s="503" t="str">
        <f>IF(終値!A295="","",IF(AND(高値!Z295&gt;高値!Y295,高値!Z295&gt;高値!X295,高値!Z295&gt;高値!AA295,高値!Z295&gt;高値!AB295),21,""))</f>
        <v/>
      </c>
      <c r="AW295" s="503" t="str">
        <f>IF(終値!A295="","",IF(AND(高値!AA295&gt;高値!Z295,高値!AA295&gt;高値!Y295,高値!AA295&gt;高値!AB295,高値!AA295&gt;高値!AC295),22,""))</f>
        <v/>
      </c>
      <c r="AX295" s="503" t="str">
        <f>IF(終値!A295="","",IF(AND(高値!AB295&gt;高値!AA295,高値!AB295&gt;高値!Z295,高値!AB295&gt;高値!AC295,高値!AB295&gt;高値!AD295),23,""))</f>
        <v/>
      </c>
      <c r="AY295" s="503">
        <f>IF(終値!A295="","",IF(AND(高値!AC295&gt;高値!AB295,高値!AC295&gt;高値!AA295,高値!AC295&gt;高値!AD295,高値!AC295&gt;高値!AE295),24,""))</f>
        <v>24</v>
      </c>
      <c r="AZ295" s="503" t="str">
        <f>IF(終値!A295="","",IF(AND(高値!AD295&gt;高値!AC295,高値!AD295&gt;高値!AB295,高値!AD295&gt;高値!AE295,高値!AD295&gt;高値!AF295),25,""))</f>
        <v/>
      </c>
      <c r="BA295" s="503" t="str">
        <f>IF(終値!A295="","",IF(AND(高値!AE295&gt;高値!AD295,高値!AE295&gt;高値!AC295,高値!AE295&gt;高値!AF295,高値!AE295&gt;高値!AG295),26,""))</f>
        <v/>
      </c>
      <c r="BB295" s="503" t="str">
        <f>IF(終値!A295="","",IF(AND(高値!AF295&gt;高値!AE295,高値!AF295&gt;高値!AD295,高値!AF295&gt;高値!AG295,高値!AF295&gt;高値!AH295),27,""))</f>
        <v/>
      </c>
      <c r="BC295" s="503" t="str">
        <f>IF(終値!A295="","",IF(AND(高値!AG295&gt;高値!AF295,高値!AG295&gt;高値!AE295,高値!AG295&gt;高値!AH295,高値!AG295&gt;高値!AI295),28,""))</f>
        <v/>
      </c>
      <c r="BD295" s="503">
        <f t="shared" si="24"/>
        <v>4</v>
      </c>
      <c r="BE295" s="503">
        <f t="shared" si="25"/>
        <v>9</v>
      </c>
      <c r="BF295" s="503">
        <f t="shared" si="26"/>
        <v>13</v>
      </c>
      <c r="BG295" s="503">
        <f>IF($BE295="","",INDEX(安値!$E295:$CZ295,1,$BE295+1))</f>
        <v>0</v>
      </c>
      <c r="BH295" s="503">
        <f>IF($BF295="","",INDEX(安値!$E295:$CZ295,1,$BF295+1))</f>
        <v>6080</v>
      </c>
      <c r="BI295" s="503">
        <f>IF($BF295="","",MAX(INDEX(高値!$E295:$CZ295,1,$BE295+1):INDEX(高値!$E295:$CZ295,1,$BF295+1)))</f>
        <v>6930</v>
      </c>
      <c r="BJ295" s="503">
        <f>IF($BF295="","",AVERAGE(INDEX(終値!$E295:$CZ295,1,$BF295+1):INDEX(終値!$E295:$CZ295,1,$BF295+20))-2*STDEVP(INDEX(終値!$E295:$CZ295,1,$BF295+1):INDEX(終値!$E295:$CZ295,1,$BF295+20)))</f>
        <v>6398.7755630817846</v>
      </c>
      <c r="BK295" s="503">
        <f>IF($BE295="","",AVERAGE(INDEX(終値!$E295:$CZ295,1,$BE295+1):INDEX(終値!$E295:$CZ295,1,$BE295+20))-2*STDEVP(INDEX(終値!$E295:$CZ295,1,$BE295+1):INDEX(終値!$E295:$CZ295,1,$BE295+20)))</f>
        <v>6225.2380955932822</v>
      </c>
      <c r="BL295" s="503">
        <f t="shared" si="27"/>
        <v>3</v>
      </c>
      <c r="BM295" s="503">
        <f t="shared" si="28"/>
        <v>11</v>
      </c>
      <c r="BN295" s="503">
        <f t="shared" si="29"/>
        <v>17</v>
      </c>
      <c r="BO295" s="503">
        <f>IF($BM295="","",INDEX(高値!$E295:$CZ295,1,$BM295+1))</f>
        <v>6930</v>
      </c>
      <c r="BP295" s="503">
        <f>IF($BN295="","",INDEX(高値!$E295:$CZ295,1,$BN295+1))</f>
        <v>7370</v>
      </c>
      <c r="BQ295" s="503">
        <f>IF($BN295="","",MIN(INDEX(安値!$E295:$CZ295,1,$BM295+1):INDEX(安値!$E295:$CZ295,1,$BN295+1)))</f>
        <v>6080</v>
      </c>
      <c r="BR295" s="503">
        <f>IF($BN295="","",AVERAGE(INDEX(終値!$E295:$CZ295,1,$BN295+1):INDEX(終値!$E295:$CZ295,1,$BN295+20))+2*STDEVP(INDEX(終値!$E295:$CZ295,1,$BN295+1):INDEX(終値!$E295:$CZ295,1,$BN295+20)))</f>
        <v>8154.7966078319787</v>
      </c>
      <c r="BS295" s="503">
        <f>IF($BM295="","",AVERAGE(INDEX(終値!$E295:$CZ295,1,$BM295+1):INDEX(終値!$E295:$CZ295,1,$BM295+20))+2*STDEVP(INDEX(終値!$E295:$CZ295,1,$BM295+1):INDEX(終値!$E295:$CZ295,1,$BM295+20)))</f>
        <v>8048.83597556719</v>
      </c>
      <c r="BT295" s="500"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3" t="str">
        <f>IF(終値!A296="","",IF(AND(安値!G296&lt;安値!F296,安値!G296&lt;安値!E296,安値!G296&lt;安値!H296,安値!G296&lt;安値!I296),2,""))</f>
        <v/>
      </c>
      <c r="C296" s="503" t="str">
        <f>IF(終値!A296="","",IF(AND(安値!H296&lt;安値!G296,安値!H296&lt;安値!F296,安値!H296&lt;安値!I296,安値!H296&lt;安値!J296),3,""))</f>
        <v/>
      </c>
      <c r="D296" s="503" t="str">
        <f>IF(終値!A296="","",IF(AND(安値!I296&lt;安値!H296,安値!I296&lt;安値!G296,安値!I296&lt;安値!J296,安値!I296&lt;安値!K296),4,""))</f>
        <v/>
      </c>
      <c r="E296" s="503" t="str">
        <f>IF(終値!A296="","",IF(AND(安値!J296&lt;安値!I296,安値!J296&lt;安値!H296,安値!J296&lt;安値!K296,安値!J296&lt;安値!L296),5,""))</f>
        <v/>
      </c>
      <c r="F296" s="503" t="str">
        <f>IF(終値!A296="","",IF(AND(安値!K296&lt;安値!J296,安値!K296&lt;安値!I296,安値!K296&lt;安値!L296,安値!K296&lt;安値!M296),6,""))</f>
        <v/>
      </c>
      <c r="G296" s="503" t="str">
        <f>IF(終値!A296="","",IF(AND(安値!L296&lt;安値!K296,安値!L296&lt;安値!J296,安値!L296&lt;安値!M296,安値!L296&lt;安値!N296),7,""))</f>
        <v/>
      </c>
      <c r="H296" s="503" t="str">
        <f>IF(終値!A296="","",IF(AND(安値!M296&lt;安値!L296,安値!M296&lt;安値!K296,安値!M296&lt;安値!N296,安値!M296&lt;安値!O296),8,""))</f>
        <v/>
      </c>
      <c r="I296" s="503">
        <f>IF(終値!A296="","",IF(AND(安値!N296&lt;安値!M296,安値!N296&lt;安値!L296,安値!N296&lt;安値!O296,安値!N296&lt;安値!P296),9,""))</f>
        <v>9</v>
      </c>
      <c r="J296" s="503" t="str">
        <f>IF(終値!A296="","",IF(AND(安値!O296&lt;安値!N296,安値!O296&lt;安値!M296,安値!O296&lt;安値!P296,安値!O296&lt;安値!Q296),10,""))</f>
        <v/>
      </c>
      <c r="K296" s="503" t="str">
        <f>IF(終値!A296="","",IF(AND(安値!P296&lt;安値!O296,安値!P296&lt;安値!N296,安値!P296&lt;安値!Q296,安値!P296&lt;安値!R296),11,""))</f>
        <v/>
      </c>
      <c r="L296" s="503" t="str">
        <f>IF(終値!A296="","",IF(AND(安値!Q296&lt;安値!P296,安値!Q296&lt;安値!O296,安値!Q296&lt;安値!R296,安値!Q296&lt;安値!S296),12,""))</f>
        <v/>
      </c>
      <c r="M296" s="503" t="str">
        <f>IF(終値!A296="","",IF(AND(安値!R296&lt;安値!Q296,安値!R296&lt;安値!P296,安値!R296&lt;安値!S296,安値!R296&lt;安値!T296),13,""))</f>
        <v/>
      </c>
      <c r="N296" s="503" t="str">
        <f>IF(終値!A296="","",IF(AND(安値!S296&lt;安値!R296,安値!S296&lt;安値!Q296,安値!S296&lt;安値!T296,安値!S296&lt;安値!U296),14,""))</f>
        <v/>
      </c>
      <c r="O296" s="503" t="str">
        <f>IF(終値!A296="","",IF(AND(安値!T296&lt;安値!S296,安値!T296&lt;安値!R296,安値!T296&lt;安値!U296,安値!T296&lt;安値!V296),15,""))</f>
        <v/>
      </c>
      <c r="P296" s="503" t="str">
        <f>IF(終値!A296="","",IF(AND(安値!U296&lt;安値!T296,安値!U296&lt;安値!S296,安値!U296&lt;安値!V296,安値!U296&lt;安値!W296),16,""))</f>
        <v/>
      </c>
      <c r="Q296" s="503" t="str">
        <f>IF(終値!A296="","",IF(AND(安値!V296&lt;安値!U296,安値!V296&lt;安値!T296,安値!V296&lt;安値!W296,安値!V296&lt;安値!X296),17,""))</f>
        <v/>
      </c>
      <c r="R296" s="503" t="str">
        <f>IF(終値!A296="","",IF(AND(安値!W296&lt;安値!V296,安値!W296&lt;安値!U296,安値!W296&lt;安値!X296,安値!W296&lt;安値!Y296),18,""))</f>
        <v/>
      </c>
      <c r="S296" s="503">
        <f>IF(終値!A296="","",IF(AND(安値!X296&lt;安値!W296,安値!X296&lt;安値!V296,安値!X296&lt;安値!Y296,安値!X296&lt;安値!Z296),19,""))</f>
        <v>19</v>
      </c>
      <c r="T296" s="503" t="str">
        <f>IF(終値!A296="","",IF(AND(安値!Y296&lt;安値!X296,安値!Y296&lt;安値!W296,安値!Y296&lt;安値!Z296,安値!Y296&lt;安値!AA296),20,""))</f>
        <v/>
      </c>
      <c r="U296" s="503" t="str">
        <f>IF(終値!A296="","",IF(AND(安値!Z296&lt;安値!Y296,安値!Z296&lt;安値!X296,安値!Z296&lt;安値!AA296,安値!Z296&lt;安値!AB296),21,""))</f>
        <v/>
      </c>
      <c r="V296" s="503" t="str">
        <f>IF(終値!A296="","",IF(AND(安値!AA296&lt;安値!Z296,安値!AA296&lt;安値!Y296,安値!AA296&lt;安値!AB296,安値!AA296&lt;安値!AC296),22,""))</f>
        <v/>
      </c>
      <c r="W296" s="503" t="str">
        <f>IF(終値!A296="","",IF(AND(安値!AB296&lt;安値!AA296,安値!AB296&lt;安値!Z296,安値!AB296&lt;安値!AC296,安値!AB296&lt;安値!AD296),23,""))</f>
        <v/>
      </c>
      <c r="X296" s="503" t="str">
        <f>IF(終値!A296="","",IF(AND(安値!AC296&lt;安値!AB296,安値!AC296&lt;安値!AA296,安値!AC296&lt;安値!AD296,安値!AC296&lt;安値!AE296),24,""))</f>
        <v/>
      </c>
      <c r="Y296" s="503" t="str">
        <f>IF(終値!A296="","",IF(AND(安値!AD296&lt;安値!AC296,安値!AD296&lt;安値!AB296,安値!AD296&lt;安値!AE296,安値!AD296&lt;安値!AF296),25,""))</f>
        <v/>
      </c>
      <c r="Z296" s="503" t="str">
        <f>IF(終値!A296="","",IF(AND(安値!AE296&lt;安値!AD296,安値!AE296&lt;安値!AC296,安値!AE296&lt;安値!AF296,安値!AE296&lt;安値!AG296),26,""))</f>
        <v/>
      </c>
      <c r="AA296" s="503" t="str">
        <f>IF(終値!A296="","",IF(AND(安値!AF296&lt;安値!AE296,安値!AF296&lt;安値!AD296,安値!AF296&lt;安値!AG296,安値!AF296&lt;安値!AH296),27,""))</f>
        <v/>
      </c>
      <c r="AB296" s="503">
        <f>IF(終値!A296="","",IF(AND(安値!AG296&lt;安値!AF296,安値!AG296&lt;安値!AE296,安値!AG296&lt;安値!AH296,安値!AG296&lt;安値!AI296),28,""))</f>
        <v>28</v>
      </c>
      <c r="AC296" s="503" t="str">
        <f>IF(終値!A296="","",IF(AND(高値!G296&gt;高値!F296,高値!G296&gt;高値!E296,高値!G296&gt;高値!H296,高値!G296&gt;高値!I296),2,""))</f>
        <v/>
      </c>
      <c r="AD296" s="503">
        <f>IF(終値!A296="","",IF(AND(高値!H296&gt;高値!G296,高値!H296&gt;高値!F296,高値!H296&gt;高値!I296,高値!H296&gt;高値!J296),3,""))</f>
        <v>3</v>
      </c>
      <c r="AE296" s="503" t="str">
        <f>IF(終値!A296="","",IF(AND(高値!I296&gt;高値!H296,高値!I296&gt;高値!G296,高値!I296&gt;高値!J296,高値!I296&gt;高値!K296),4,""))</f>
        <v/>
      </c>
      <c r="AF296" s="503" t="str">
        <f>IF(終値!A296="","",IF(AND(高値!J296&gt;高値!I296,高値!J296&gt;高値!H296,高値!J296&gt;高値!K296,高値!J296&gt;高値!L296),5,""))</f>
        <v/>
      </c>
      <c r="AG296" s="503" t="str">
        <f>IF(終値!A296="","",IF(AND(高値!K296&gt;高値!J296,高値!K296&gt;高値!I296,高値!K296&gt;高値!L296,高値!K296&gt;高値!M296),6,""))</f>
        <v/>
      </c>
      <c r="AH296" s="503">
        <f>IF(終値!A296="","",IF(AND(高値!L296&gt;高値!K296,高値!L296&gt;高値!J296,高値!L296&gt;高値!M296,高値!L296&gt;高値!N296),7,""))</f>
        <v>7</v>
      </c>
      <c r="AI296" s="503" t="str">
        <f>IF(終値!A296="","",IF(AND(高値!M296&gt;高値!L296,高値!M296&gt;高値!K296,高値!M296&gt;高値!N296,高値!M296&gt;高値!O296),8,""))</f>
        <v/>
      </c>
      <c r="AJ296" s="503" t="str">
        <f>IF(終値!A296="","",IF(AND(高値!N296&gt;高値!M296,高値!N296&gt;高値!L296,高値!N296&gt;高値!O296,高値!N296&gt;高値!P296),9,""))</f>
        <v/>
      </c>
      <c r="AK296" s="503" t="str">
        <f>IF(終値!A296="","",IF(AND(高値!O296&gt;高値!N296,高値!O296&gt;高値!M296,高値!O296&gt;高値!P296,高値!O296&gt;高値!Q296),10,""))</f>
        <v/>
      </c>
      <c r="AL296" s="503" t="str">
        <f>IF(終値!A296="","",IF(AND(高値!P296&gt;高値!O296,高値!P296&gt;高値!N296,高値!P296&gt;高値!Q296,高値!P296&gt;高値!R296),11,""))</f>
        <v/>
      </c>
      <c r="AM296" s="503" t="str">
        <f>IF(終値!A296="","",IF(AND(高値!Q296&gt;高値!P296,高値!Q296&gt;高値!O296,高値!Q296&gt;高値!R296,高値!Q296&gt;高値!S296),12,""))</f>
        <v/>
      </c>
      <c r="AN296" s="503" t="str">
        <f>IF(終値!A296="","",IF(AND(高値!R296&gt;高値!Q296,高値!R296&gt;高値!P296,高値!R296&gt;高値!S296,高値!R296&gt;高値!T296),13,""))</f>
        <v/>
      </c>
      <c r="AO296" s="503">
        <f>IF(終値!A296="","",IF(AND(高値!S296&gt;高値!R296,高値!S296&gt;高値!Q296,高値!S296&gt;高値!T296,高値!S296&gt;高値!U296),14,""))</f>
        <v>14</v>
      </c>
      <c r="AP296" s="503" t="str">
        <f>IF(終値!A296="","",IF(AND(高値!T296&gt;高値!S296,高値!T296&gt;高値!R296,高値!T296&gt;高値!U296,高値!T296&gt;高値!V296),15,""))</f>
        <v/>
      </c>
      <c r="AQ296" s="503" t="str">
        <f>IF(終値!A296="","",IF(AND(高値!U296&gt;高値!T296,高値!U296&gt;高値!S296,高値!U296&gt;高値!V296,高値!U296&gt;高値!W296),16,""))</f>
        <v/>
      </c>
      <c r="AR296" s="503" t="str">
        <f>IF(終値!A296="","",IF(AND(高値!V296&gt;高値!U296,高値!V296&gt;高値!T296,高値!V296&gt;高値!W296,高値!V296&gt;高値!X296),17,""))</f>
        <v/>
      </c>
      <c r="AS296" s="503" t="str">
        <f>IF(終値!A296="","",IF(AND(高値!W296&gt;高値!V296,高値!W296&gt;高値!U296,高値!W296&gt;高値!X296,高値!W296&gt;高値!Y296),18,""))</f>
        <v/>
      </c>
      <c r="AT296" s="503" t="str">
        <f>IF(終値!A296="","",IF(AND(高値!X296&gt;高値!W296,高値!X296&gt;高値!V296,高値!X296&gt;高値!Y296,高値!X296&gt;高値!Z296),19,""))</f>
        <v/>
      </c>
      <c r="AU296" s="503" t="str">
        <f>IF(終値!A296="","",IF(AND(高値!Y296&gt;高値!X296,高値!Y296&gt;高値!W296,高値!Y296&gt;高値!Z296,高値!Y296&gt;高値!AA296),20,""))</f>
        <v/>
      </c>
      <c r="AV296" s="503">
        <f>IF(終値!A296="","",IF(AND(高値!Z296&gt;高値!Y296,高値!Z296&gt;高値!X296,高値!Z296&gt;高値!AA296,高値!Z296&gt;高値!AB296),21,""))</f>
        <v>21</v>
      </c>
      <c r="AW296" s="503" t="str">
        <f>IF(終値!A296="","",IF(AND(高値!AA296&gt;高値!Z296,高値!AA296&gt;高値!Y296,高値!AA296&gt;高値!AB296,高値!AA296&gt;高値!AC296),22,""))</f>
        <v/>
      </c>
      <c r="AX296" s="503" t="str">
        <f>IF(終値!A296="","",IF(AND(高値!AB296&gt;高値!AA296,高値!AB296&gt;高値!Z296,高値!AB296&gt;高値!AC296,高値!AB296&gt;高値!AD296),23,""))</f>
        <v/>
      </c>
      <c r="AY296" s="503" t="str">
        <f>IF(終値!A296="","",IF(AND(高値!AC296&gt;高値!AB296,高値!AC296&gt;高値!AA296,高値!AC296&gt;高値!AD296,高値!AC296&gt;高値!AE296),24,""))</f>
        <v/>
      </c>
      <c r="AZ296" s="503" t="str">
        <f>IF(終値!A296="","",IF(AND(高値!AD296&gt;高値!AC296,高値!AD296&gt;高値!AB296,高値!AD296&gt;高値!AE296,高値!AD296&gt;高値!AF296),25,""))</f>
        <v/>
      </c>
      <c r="BA296" s="503" t="str">
        <f>IF(終値!A296="","",IF(AND(高値!AE296&gt;高値!AD296,高値!AE296&gt;高値!AC296,高値!AE296&gt;高値!AF296,高値!AE296&gt;高値!AG296),26,""))</f>
        <v/>
      </c>
      <c r="BB296" s="503" t="str">
        <f>IF(終値!A296="","",IF(AND(高値!AF296&gt;高値!AE296,高値!AF296&gt;高値!AD296,高値!AF296&gt;高値!AG296,高値!AF296&gt;高値!AH296),27,""))</f>
        <v/>
      </c>
      <c r="BC296" s="503" t="str">
        <f>IF(終値!A296="","",IF(AND(高値!AG296&gt;高値!AF296,高値!AG296&gt;高値!AE296,高値!AG296&gt;高値!AH296,高値!AG296&gt;高値!AI296),28,""))</f>
        <v/>
      </c>
      <c r="BD296" s="503">
        <f t="shared" si="24"/>
        <v>3</v>
      </c>
      <c r="BE296" s="503">
        <f t="shared" si="25"/>
        <v>9</v>
      </c>
      <c r="BF296" s="503">
        <f t="shared" si="26"/>
        <v>19</v>
      </c>
      <c r="BG296" s="503">
        <f>IF($BE296="","",INDEX(安値!$E296:$CZ296,1,$BE296+1))</f>
        <v>0</v>
      </c>
      <c r="BH296" s="503">
        <f>IF($BF296="","",INDEX(安値!$E296:$CZ296,1,$BF296+1))</f>
        <v>156</v>
      </c>
      <c r="BI296" s="503">
        <f>IF($BF296="","",MAX(INDEX(高値!$E296:$CZ296,1,$BE296+1):INDEX(高値!$E296:$CZ296,1,$BF296+1)))</f>
        <v>184</v>
      </c>
      <c r="BJ296" s="503">
        <f>IF($BF296="","",AVERAGE(INDEX(終値!$E296:$CZ296,1,$BF296+1):INDEX(終値!$E296:$CZ296,1,$BF296+20))-2*STDEVP(INDEX(終値!$E296:$CZ296,1,$BF296+1):INDEX(終値!$E296:$CZ296,1,$BF296+20)))</f>
        <v>115.11180218116155</v>
      </c>
      <c r="BK296" s="503">
        <f>IF($BE296="","",AVERAGE(INDEX(終値!$E296:$CZ296,1,$BE296+1):INDEX(終値!$E296:$CZ296,1,$BE296+20))-2*STDEVP(INDEX(終値!$E296:$CZ296,1,$BE296+1):INDEX(終値!$E296:$CZ296,1,$BE296+20)))</f>
        <v>153.4433991498648</v>
      </c>
      <c r="BL296" s="503">
        <f t="shared" si="27"/>
        <v>4</v>
      </c>
      <c r="BM296" s="503">
        <f t="shared" si="28"/>
        <v>3</v>
      </c>
      <c r="BN296" s="503">
        <f t="shared" si="29"/>
        <v>7</v>
      </c>
      <c r="BO296" s="503">
        <f>IF($BM296="","",INDEX(高値!$E296:$CZ296,1,$BM296+1))</f>
        <v>164</v>
      </c>
      <c r="BP296" s="503">
        <f>IF($BN296="","",INDEX(高値!$E296:$CZ296,1,$BN296+1))</f>
        <v>163</v>
      </c>
      <c r="BQ296" s="503">
        <f>IF($BN296="","",MIN(INDEX(安値!$E296:$CZ296,1,$BM296+1):INDEX(安値!$E296:$CZ296,1,$BN296+1)))</f>
        <v>154</v>
      </c>
      <c r="BR296" s="503">
        <f>IF($BN296="","",AVERAGE(INDEX(終値!$E296:$CZ296,1,$BN296+1):INDEX(終値!$E296:$CZ296,1,$BN296+20))+2*STDEVP(INDEX(終値!$E296:$CZ296,1,$BN296+1):INDEX(終値!$E296:$CZ296,1,$BN296+20)))</f>
        <v>181.67114019495</v>
      </c>
      <c r="BS296" s="503">
        <f>IF($BM296="","",AVERAGE(INDEX(終値!$E296:$CZ296,1,$BM296+1):INDEX(終値!$E296:$CZ296,1,$BM296+20))+2*STDEVP(INDEX(終値!$E296:$CZ296,1,$BM296+1):INDEX(終値!$E296:$CZ296,1,$BM296+20)))</f>
        <v>181.62077917465692</v>
      </c>
      <c r="BT296" s="500"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二番天井M形成</v>
      </c>
    </row>
    <row r="297" spans="2:72">
      <c r="B297" s="503" t="str">
        <f>IF(終値!A297="","",IF(AND(安値!G297&lt;安値!F297,安値!G297&lt;安値!E297,安値!G297&lt;安値!H297,安値!G297&lt;安値!I297),2,""))</f>
        <v/>
      </c>
      <c r="C297" s="503" t="str">
        <f>IF(終値!A297="","",IF(AND(安値!H297&lt;安値!G297,安値!H297&lt;安値!F297,安値!H297&lt;安値!I297,安値!H297&lt;安値!J297),3,""))</f>
        <v/>
      </c>
      <c r="D297" s="503" t="str">
        <f>IF(終値!A297="","",IF(AND(安値!I297&lt;安値!H297,安値!I297&lt;安値!G297,安値!I297&lt;安値!J297,安値!I297&lt;安値!K297),4,""))</f>
        <v/>
      </c>
      <c r="E297" s="503" t="str">
        <f>IF(終値!A297="","",IF(AND(安値!J297&lt;安値!I297,安値!J297&lt;安値!H297,安値!J297&lt;安値!K297,安値!J297&lt;安値!L297),5,""))</f>
        <v/>
      </c>
      <c r="F297" s="503" t="str">
        <f>IF(終値!A297="","",IF(AND(安値!K297&lt;安値!J297,安値!K297&lt;安値!I297,安値!K297&lt;安値!L297,安値!K297&lt;安値!M297),6,""))</f>
        <v/>
      </c>
      <c r="G297" s="503" t="str">
        <f>IF(終値!A297="","",IF(AND(安値!L297&lt;安値!K297,安値!L297&lt;安値!J297,安値!L297&lt;安値!M297,安値!L297&lt;安値!N297),7,""))</f>
        <v/>
      </c>
      <c r="H297" s="503" t="str">
        <f>IF(終値!A297="","",IF(AND(安値!M297&lt;安値!L297,安値!M297&lt;安値!K297,安値!M297&lt;安値!N297,安値!M297&lt;安値!O297),8,""))</f>
        <v/>
      </c>
      <c r="I297" s="503">
        <f>IF(終値!A297="","",IF(AND(安値!N297&lt;安値!M297,安値!N297&lt;安値!L297,安値!N297&lt;安値!O297,安値!N297&lt;安値!P297),9,""))</f>
        <v>9</v>
      </c>
      <c r="J297" s="503" t="str">
        <f>IF(終値!A297="","",IF(AND(安値!O297&lt;安値!N297,安値!O297&lt;安値!M297,安値!O297&lt;安値!P297,安値!O297&lt;安値!Q297),10,""))</f>
        <v/>
      </c>
      <c r="K297" s="503" t="str">
        <f>IF(終値!A297="","",IF(AND(安値!P297&lt;安値!O297,安値!P297&lt;安値!N297,安値!P297&lt;安値!Q297,安値!P297&lt;安値!R297),11,""))</f>
        <v/>
      </c>
      <c r="L297" s="503" t="str">
        <f>IF(終値!A297="","",IF(AND(安値!Q297&lt;安値!P297,安値!Q297&lt;安値!O297,安値!Q297&lt;安値!R297,安値!Q297&lt;安値!S297),12,""))</f>
        <v/>
      </c>
      <c r="M297" s="503" t="str">
        <f>IF(終値!A297="","",IF(AND(安値!R297&lt;安値!Q297,安値!R297&lt;安値!P297,安値!R297&lt;安値!S297,安値!R297&lt;安値!T297),13,""))</f>
        <v/>
      </c>
      <c r="N297" s="503" t="str">
        <f>IF(終値!A297="","",IF(AND(安値!S297&lt;安値!R297,安値!S297&lt;安値!Q297,安値!S297&lt;安値!T297,安値!S297&lt;安値!U297),14,""))</f>
        <v/>
      </c>
      <c r="O297" s="503" t="str">
        <f>IF(終値!A297="","",IF(AND(安値!T297&lt;安値!S297,安値!T297&lt;安値!R297,安値!T297&lt;安値!U297,安値!T297&lt;安値!V297),15,""))</f>
        <v/>
      </c>
      <c r="P297" s="503">
        <f>IF(終値!A297="","",IF(AND(安値!U297&lt;安値!T297,安値!U297&lt;安値!S297,安値!U297&lt;安値!V297,安値!U297&lt;安値!W297),16,""))</f>
        <v>16</v>
      </c>
      <c r="Q297" s="503" t="str">
        <f>IF(終値!A297="","",IF(AND(安値!V297&lt;安値!U297,安値!V297&lt;安値!T297,安値!V297&lt;安値!W297,安値!V297&lt;安値!X297),17,""))</f>
        <v/>
      </c>
      <c r="R297" s="503" t="str">
        <f>IF(終値!A297="","",IF(AND(安値!W297&lt;安値!V297,安値!W297&lt;安値!U297,安値!W297&lt;安値!X297,安値!W297&lt;安値!Y297),18,""))</f>
        <v/>
      </c>
      <c r="S297" s="503" t="str">
        <f>IF(終値!A297="","",IF(AND(安値!X297&lt;安値!W297,安値!X297&lt;安値!V297,安値!X297&lt;安値!Y297,安値!X297&lt;安値!Z297),19,""))</f>
        <v/>
      </c>
      <c r="T297" s="503" t="str">
        <f>IF(終値!A297="","",IF(AND(安値!Y297&lt;安値!X297,安値!Y297&lt;安値!W297,安値!Y297&lt;安値!Z297,安値!Y297&lt;安値!AA297),20,""))</f>
        <v/>
      </c>
      <c r="U297" s="503" t="str">
        <f>IF(終値!A297="","",IF(AND(安値!Z297&lt;安値!Y297,安値!Z297&lt;安値!X297,安値!Z297&lt;安値!AA297,安値!Z297&lt;安値!AB297),21,""))</f>
        <v/>
      </c>
      <c r="V297" s="503" t="str">
        <f>IF(終値!A297="","",IF(AND(安値!AA297&lt;安値!Z297,安値!AA297&lt;安値!Y297,安値!AA297&lt;安値!AB297,安値!AA297&lt;安値!AC297),22,""))</f>
        <v/>
      </c>
      <c r="W297" s="503" t="str">
        <f>IF(終値!A297="","",IF(AND(安値!AB297&lt;安値!AA297,安値!AB297&lt;安値!Z297,安値!AB297&lt;安値!AC297,安値!AB297&lt;安値!AD297),23,""))</f>
        <v/>
      </c>
      <c r="X297" s="503">
        <f>IF(終値!A297="","",IF(AND(安値!AC297&lt;安値!AB297,安値!AC297&lt;安値!AA297,安値!AC297&lt;安値!AD297,安値!AC297&lt;安値!AE297),24,""))</f>
        <v>24</v>
      </c>
      <c r="Y297" s="503" t="str">
        <f>IF(終値!A297="","",IF(AND(安値!AD297&lt;安値!AC297,安値!AD297&lt;安値!AB297,安値!AD297&lt;安値!AE297,安値!AD297&lt;安値!AF297),25,""))</f>
        <v/>
      </c>
      <c r="Z297" s="503" t="str">
        <f>IF(終値!A297="","",IF(AND(安値!AE297&lt;安値!AD297,安値!AE297&lt;安値!AC297,安値!AE297&lt;安値!AF297,安値!AE297&lt;安値!AG297),26,""))</f>
        <v/>
      </c>
      <c r="AA297" s="503" t="str">
        <f>IF(終値!A297="","",IF(AND(安値!AF297&lt;安値!AE297,安値!AF297&lt;安値!AD297,安値!AF297&lt;安値!AG297,安値!AF297&lt;安値!AH297),27,""))</f>
        <v/>
      </c>
      <c r="AB297" s="503" t="str">
        <f>IF(終値!A297="","",IF(AND(安値!AG297&lt;安値!AF297,安値!AG297&lt;安値!AE297,安値!AG297&lt;安値!AH297,安値!AG297&lt;安値!AI297),28,""))</f>
        <v/>
      </c>
      <c r="AC297" s="503" t="str">
        <f>IF(終値!A297="","",IF(AND(高値!G297&gt;高値!F297,高値!G297&gt;高値!E297,高値!G297&gt;高値!H297,高値!G297&gt;高値!I297),2,""))</f>
        <v/>
      </c>
      <c r="AD297" s="503" t="str">
        <f>IF(終値!A297="","",IF(AND(高値!H297&gt;高値!G297,高値!H297&gt;高値!F297,高値!H297&gt;高値!I297,高値!H297&gt;高値!J297),3,""))</f>
        <v/>
      </c>
      <c r="AE297" s="503" t="str">
        <f>IF(終値!A297="","",IF(AND(高値!I297&gt;高値!H297,高値!I297&gt;高値!G297,高値!I297&gt;高値!J297,高値!I297&gt;高値!K297),4,""))</f>
        <v/>
      </c>
      <c r="AF297" s="503" t="str">
        <f>IF(終値!A297="","",IF(AND(高値!J297&gt;高値!I297,高値!J297&gt;高値!H297,高値!J297&gt;高値!K297,高値!J297&gt;高値!L297),5,""))</f>
        <v/>
      </c>
      <c r="AG297" s="503">
        <f>IF(終値!A297="","",IF(AND(高値!K297&gt;高値!J297,高値!K297&gt;高値!I297,高値!K297&gt;高値!L297,高値!K297&gt;高値!M297),6,""))</f>
        <v>6</v>
      </c>
      <c r="AH297" s="503" t="str">
        <f>IF(終値!A297="","",IF(AND(高値!L297&gt;高値!K297,高値!L297&gt;高値!J297,高値!L297&gt;高値!M297,高値!L297&gt;高値!N297),7,""))</f>
        <v/>
      </c>
      <c r="AI297" s="503" t="str">
        <f>IF(終値!A297="","",IF(AND(高値!M297&gt;高値!L297,高値!M297&gt;高値!K297,高値!M297&gt;高値!N297,高値!M297&gt;高値!O297),8,""))</f>
        <v/>
      </c>
      <c r="AJ297" s="503" t="str">
        <f>IF(終値!A297="","",IF(AND(高値!N297&gt;高値!M297,高値!N297&gt;高値!L297,高値!N297&gt;高値!O297,高値!N297&gt;高値!P297),9,""))</f>
        <v/>
      </c>
      <c r="AK297" s="503" t="str">
        <f>IF(終値!A297="","",IF(AND(高値!O297&gt;高値!N297,高値!O297&gt;高値!M297,高値!O297&gt;高値!P297,高値!O297&gt;高値!Q297),10,""))</f>
        <v/>
      </c>
      <c r="AL297" s="503" t="str">
        <f>IF(終値!A297="","",IF(AND(高値!P297&gt;高値!O297,高値!P297&gt;高値!N297,高値!P297&gt;高値!Q297,高値!P297&gt;高値!R297),11,""))</f>
        <v/>
      </c>
      <c r="AM297" s="503" t="str">
        <f>IF(終値!A297="","",IF(AND(高値!Q297&gt;高値!P297,高値!Q297&gt;高値!O297,高値!Q297&gt;高値!R297,高値!Q297&gt;高値!S297),12,""))</f>
        <v/>
      </c>
      <c r="AN297" s="503">
        <f>IF(終値!A297="","",IF(AND(高値!R297&gt;高値!Q297,高値!R297&gt;高値!P297,高値!R297&gt;高値!S297,高値!R297&gt;高値!T297),13,""))</f>
        <v>13</v>
      </c>
      <c r="AO297" s="503" t="str">
        <f>IF(終値!A297="","",IF(AND(高値!S297&gt;高値!R297,高値!S297&gt;高値!Q297,高値!S297&gt;高値!T297,高値!S297&gt;高値!U297),14,""))</f>
        <v/>
      </c>
      <c r="AP297" s="503" t="str">
        <f>IF(終値!A297="","",IF(AND(高値!T297&gt;高値!S297,高値!T297&gt;高値!R297,高値!T297&gt;高値!U297,高値!T297&gt;高値!V297),15,""))</f>
        <v/>
      </c>
      <c r="AQ297" s="503" t="str">
        <f>IF(終値!A297="","",IF(AND(高値!U297&gt;高値!T297,高値!U297&gt;高値!S297,高値!U297&gt;高値!V297,高値!U297&gt;高値!W297),16,""))</f>
        <v/>
      </c>
      <c r="AR297" s="503" t="str">
        <f>IF(終値!A297="","",IF(AND(高値!V297&gt;高値!U297,高値!V297&gt;高値!T297,高値!V297&gt;高値!W297,高値!V297&gt;高値!X297),17,""))</f>
        <v/>
      </c>
      <c r="AS297" s="503" t="str">
        <f>IF(終値!A297="","",IF(AND(高値!W297&gt;高値!V297,高値!W297&gt;高値!U297,高値!W297&gt;高値!X297,高値!W297&gt;高値!Y297),18,""))</f>
        <v/>
      </c>
      <c r="AT297" s="503" t="str">
        <f>IF(終値!A297="","",IF(AND(高値!X297&gt;高値!W297,高値!X297&gt;高値!V297,高値!X297&gt;高値!Y297,高値!X297&gt;高値!Z297),19,""))</f>
        <v/>
      </c>
      <c r="AU297" s="503" t="str">
        <f>IF(終値!A297="","",IF(AND(高値!Y297&gt;高値!X297,高値!Y297&gt;高値!W297,高値!Y297&gt;高値!Z297,高値!Y297&gt;高値!AA297),20,""))</f>
        <v/>
      </c>
      <c r="AV297" s="503" t="str">
        <f>IF(終値!A297="","",IF(AND(高値!Z297&gt;高値!Y297,高値!Z297&gt;高値!X297,高値!Z297&gt;高値!AA297,高値!Z297&gt;高値!AB297),21,""))</f>
        <v/>
      </c>
      <c r="AW297" s="503" t="str">
        <f>IF(終値!A297="","",IF(AND(高値!AA297&gt;高値!Z297,高値!AA297&gt;高値!Y297,高値!AA297&gt;高値!AB297,高値!AA297&gt;高値!AC297),22,""))</f>
        <v/>
      </c>
      <c r="AX297" s="503" t="str">
        <f>IF(終値!A297="","",IF(AND(高値!AB297&gt;高値!AA297,高値!AB297&gt;高値!Z297,高値!AB297&gt;高値!AC297,高値!AB297&gt;高値!AD297),23,""))</f>
        <v/>
      </c>
      <c r="AY297" s="503" t="str">
        <f>IF(終値!A297="","",IF(AND(高値!AC297&gt;高値!AB297,高値!AC297&gt;高値!AA297,高値!AC297&gt;高値!AD297,高値!AC297&gt;高値!AE297),24,""))</f>
        <v/>
      </c>
      <c r="AZ297" s="503" t="str">
        <f>IF(終値!A297="","",IF(AND(高値!AD297&gt;高値!AC297,高値!AD297&gt;高値!AB297,高値!AD297&gt;高値!AE297,高値!AD297&gt;高値!AF297),25,""))</f>
        <v/>
      </c>
      <c r="BA297" s="503">
        <f>IF(終値!A297="","",IF(AND(高値!AE297&gt;高値!AD297,高値!AE297&gt;高値!AC297,高値!AE297&gt;高値!AF297,高値!AE297&gt;高値!AG297),26,""))</f>
        <v>26</v>
      </c>
      <c r="BB297" s="503" t="str">
        <f>IF(終値!A297="","",IF(AND(高値!AF297&gt;高値!AE297,高値!AF297&gt;高値!AD297,高値!AF297&gt;高値!AG297,高値!AF297&gt;高値!AH297),27,""))</f>
        <v/>
      </c>
      <c r="BC297" s="503" t="str">
        <f>IF(終値!A297="","",IF(AND(高値!AG297&gt;高値!AF297,高値!AG297&gt;高値!AE297,高値!AG297&gt;高値!AH297,高値!AG297&gt;高値!AI297),28,""))</f>
        <v/>
      </c>
      <c r="BD297" s="503">
        <f t="shared" si="24"/>
        <v>3</v>
      </c>
      <c r="BE297" s="503">
        <f t="shared" si="25"/>
        <v>9</v>
      </c>
      <c r="BF297" s="503">
        <f t="shared" si="26"/>
        <v>16</v>
      </c>
      <c r="BG297" s="503">
        <f>IF($BE297="","",INDEX(安値!$E297:$CZ297,1,$BE297+1))</f>
        <v>2736.5</v>
      </c>
      <c r="BH297" s="503">
        <f>IF($BF297="","",INDEX(安値!$E297:$CZ297,1,$BF297+1))</f>
        <v>2731</v>
      </c>
      <c r="BI297" s="503">
        <f>IF($BF297="","",MAX(INDEX(高値!$E297:$CZ297,1,$BE297+1):INDEX(高値!$E297:$CZ297,1,$BF297+1)))</f>
        <v>2858</v>
      </c>
      <c r="BJ297" s="503">
        <f>IF($BF297="","",AVERAGE(INDEX(終値!$E297:$CZ297,1,$BF297+1):INDEX(終値!$E297:$CZ297,1,$BF297+20))-2*STDEVP(INDEX(終値!$E297:$CZ297,1,$BF297+1):INDEX(終値!$E297:$CZ297,1,$BF297+20)))</f>
        <v>2655.0777492677862</v>
      </c>
      <c r="BK297" s="503">
        <f>IF($BE297="","",AVERAGE(INDEX(終値!$E297:$CZ297,1,$BE297+1):INDEX(終値!$E297:$CZ297,1,$BE297+20))-2*STDEVP(INDEX(終値!$E297:$CZ297,1,$BE297+1):INDEX(終値!$E297:$CZ297,1,$BE297+20)))</f>
        <v>2742.7718347587079</v>
      </c>
      <c r="BL297" s="503">
        <f t="shared" si="27"/>
        <v>3</v>
      </c>
      <c r="BM297" s="503">
        <f t="shared" si="28"/>
        <v>6</v>
      </c>
      <c r="BN297" s="503">
        <f t="shared" si="29"/>
        <v>13</v>
      </c>
      <c r="BO297" s="503">
        <f>IF($BM297="","",INDEX(高値!$E297:$CZ297,1,$BM297+1))</f>
        <v>2902.5</v>
      </c>
      <c r="BP297" s="503">
        <f>IF($BN297="","",INDEX(高値!$E297:$CZ297,1,$BN297+1))</f>
        <v>2858</v>
      </c>
      <c r="BQ297" s="503">
        <f>IF($BN297="","",MIN(INDEX(安値!$E297:$CZ297,1,$BM297+1):INDEX(安値!$E297:$CZ297,1,$BN297+1)))</f>
        <v>2736.5</v>
      </c>
      <c r="BR297" s="503">
        <f>IF($BN297="","",AVERAGE(INDEX(終値!$E297:$CZ297,1,$BN297+1):INDEX(終値!$E297:$CZ297,1,$BN297+20))+2*STDEVP(INDEX(終値!$E297:$CZ297,1,$BN297+1):INDEX(終値!$E297:$CZ297,1,$BN297+20)))</f>
        <v>2893.0081293452999</v>
      </c>
      <c r="BS297" s="503">
        <f>IF($BM297="","",AVERAGE(INDEX(終値!$E297:$CZ297,1,$BM297+1):INDEX(終値!$E297:$CZ297,1,$BM297+20))+2*STDEVP(INDEX(終値!$E297:$CZ297,1,$BM297+1):INDEX(終値!$E297:$CZ297,1,$BM297+20)))</f>
        <v>2892.4535229862158</v>
      </c>
      <c r="BT297" s="500"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二番天井M▼</v>
      </c>
    </row>
    <row r="298" spans="2:72">
      <c r="B298" s="503" t="str">
        <f>IF(終値!A298="","",IF(AND(安値!G298&lt;安値!F298,安値!G298&lt;安値!E298,安値!G298&lt;安値!H298,安値!G298&lt;安値!I298),2,""))</f>
        <v/>
      </c>
      <c r="C298" s="503">
        <f>IF(終値!A298="","",IF(AND(安値!H298&lt;安値!G298,安値!H298&lt;安値!F298,安値!H298&lt;安値!I298,安値!H298&lt;安値!J298),3,""))</f>
        <v>3</v>
      </c>
      <c r="D298" s="503" t="str">
        <f>IF(終値!A298="","",IF(AND(安値!I298&lt;安値!H298,安値!I298&lt;安値!G298,安値!I298&lt;安値!J298,安値!I298&lt;安値!K298),4,""))</f>
        <v/>
      </c>
      <c r="E298" s="503" t="str">
        <f>IF(終値!A298="","",IF(AND(安値!J298&lt;安値!I298,安値!J298&lt;安値!H298,安値!J298&lt;安値!K298,安値!J298&lt;安値!L298),5,""))</f>
        <v/>
      </c>
      <c r="F298" s="503" t="str">
        <f>IF(終値!A298="","",IF(AND(安値!K298&lt;安値!J298,安値!K298&lt;安値!I298,安値!K298&lt;安値!L298,安値!K298&lt;安値!M298),6,""))</f>
        <v/>
      </c>
      <c r="G298" s="503" t="str">
        <f>IF(終値!A298="","",IF(AND(安値!L298&lt;安値!K298,安値!L298&lt;安値!J298,安値!L298&lt;安値!M298,安値!L298&lt;安値!N298),7,""))</f>
        <v/>
      </c>
      <c r="H298" s="503" t="str">
        <f>IF(終値!A298="","",IF(AND(安値!M298&lt;安値!L298,安値!M298&lt;安値!K298,安値!M298&lt;安値!N298,安値!M298&lt;安値!O298),8,""))</f>
        <v/>
      </c>
      <c r="I298" s="503">
        <f>IF(終値!A298="","",IF(AND(安値!N298&lt;安値!M298,安値!N298&lt;安値!L298,安値!N298&lt;安値!O298,安値!N298&lt;安値!P298),9,""))</f>
        <v>9</v>
      </c>
      <c r="J298" s="503" t="str">
        <f>IF(終値!A298="","",IF(AND(安値!O298&lt;安値!N298,安値!O298&lt;安値!M298,安値!O298&lt;安値!P298,安値!O298&lt;安値!Q298),10,""))</f>
        <v/>
      </c>
      <c r="K298" s="503" t="str">
        <f>IF(終値!A298="","",IF(AND(安値!P298&lt;安値!O298,安値!P298&lt;安値!N298,安値!P298&lt;安値!Q298,安値!P298&lt;安値!R298),11,""))</f>
        <v/>
      </c>
      <c r="L298" s="503" t="str">
        <f>IF(終値!A298="","",IF(AND(安値!Q298&lt;安値!P298,安値!Q298&lt;安値!O298,安値!Q298&lt;安値!R298,安値!Q298&lt;安値!S298),12,""))</f>
        <v/>
      </c>
      <c r="M298" s="503" t="str">
        <f>IF(終値!A298="","",IF(AND(安値!R298&lt;安値!Q298,安値!R298&lt;安値!P298,安値!R298&lt;安値!S298,安値!R298&lt;安値!T298),13,""))</f>
        <v/>
      </c>
      <c r="N298" s="503" t="str">
        <f>IF(終値!A298="","",IF(AND(安値!S298&lt;安値!R298,安値!S298&lt;安値!Q298,安値!S298&lt;安値!T298,安値!S298&lt;安値!U298),14,""))</f>
        <v/>
      </c>
      <c r="O298" s="503" t="str">
        <f>IF(終値!A298="","",IF(AND(安値!T298&lt;安値!S298,安値!T298&lt;安値!R298,安値!T298&lt;安値!U298,安値!T298&lt;安値!V298),15,""))</f>
        <v/>
      </c>
      <c r="P298" s="503">
        <f>IF(終値!A298="","",IF(AND(安値!U298&lt;安値!T298,安値!U298&lt;安値!S298,安値!U298&lt;安値!V298,安値!U298&lt;安値!W298),16,""))</f>
        <v>16</v>
      </c>
      <c r="Q298" s="503" t="str">
        <f>IF(終値!A298="","",IF(AND(安値!V298&lt;安値!U298,安値!V298&lt;安値!T298,安値!V298&lt;安値!W298,安値!V298&lt;安値!X298),17,""))</f>
        <v/>
      </c>
      <c r="R298" s="503" t="str">
        <f>IF(終値!A298="","",IF(AND(安値!W298&lt;安値!V298,安値!W298&lt;安値!U298,安値!W298&lt;安値!X298,安値!W298&lt;安値!Y298),18,""))</f>
        <v/>
      </c>
      <c r="S298" s="503" t="str">
        <f>IF(終値!A298="","",IF(AND(安値!X298&lt;安値!W298,安値!X298&lt;安値!V298,安値!X298&lt;安値!Y298,安値!X298&lt;安値!Z298),19,""))</f>
        <v/>
      </c>
      <c r="T298" s="503" t="str">
        <f>IF(終値!A298="","",IF(AND(安値!Y298&lt;安値!X298,安値!Y298&lt;安値!W298,安値!Y298&lt;安値!Z298,安値!Y298&lt;安値!AA298),20,""))</f>
        <v/>
      </c>
      <c r="U298" s="503" t="str">
        <f>IF(終値!A298="","",IF(AND(安値!Z298&lt;安値!Y298,安値!Z298&lt;安値!X298,安値!Z298&lt;安値!AA298,安値!Z298&lt;安値!AB298),21,""))</f>
        <v/>
      </c>
      <c r="V298" s="503" t="str">
        <f>IF(終値!A298="","",IF(AND(安値!AA298&lt;安値!Z298,安値!AA298&lt;安値!Y298,安値!AA298&lt;安値!AB298,安値!AA298&lt;安値!AC298),22,""))</f>
        <v/>
      </c>
      <c r="W298" s="503" t="str">
        <f>IF(終値!A298="","",IF(AND(安値!AB298&lt;安値!AA298,安値!AB298&lt;安値!Z298,安値!AB298&lt;安値!AC298,安値!AB298&lt;安値!AD298),23,""))</f>
        <v/>
      </c>
      <c r="X298" s="503" t="str">
        <f>IF(終値!A298="","",IF(AND(安値!AC298&lt;安値!AB298,安値!AC298&lt;安値!AA298,安値!AC298&lt;安値!AD298,安値!AC298&lt;安値!AE298),24,""))</f>
        <v/>
      </c>
      <c r="Y298" s="503" t="str">
        <f>IF(終値!A298="","",IF(AND(安値!AD298&lt;安値!AC298,安値!AD298&lt;安値!AB298,安値!AD298&lt;安値!AE298,安値!AD298&lt;安値!AF298),25,""))</f>
        <v/>
      </c>
      <c r="Z298" s="503" t="str">
        <f>IF(終値!A298="","",IF(AND(安値!AE298&lt;安値!AD298,安値!AE298&lt;安値!AC298,安値!AE298&lt;安値!AF298,安値!AE298&lt;安値!AG298),26,""))</f>
        <v/>
      </c>
      <c r="AA298" s="503" t="str">
        <f>IF(終値!A298="","",IF(AND(安値!AF298&lt;安値!AE298,安値!AF298&lt;安値!AD298,安値!AF298&lt;安値!AG298,安値!AF298&lt;安値!AH298),27,""))</f>
        <v/>
      </c>
      <c r="AB298" s="503" t="str">
        <f>IF(終値!A298="","",IF(AND(安値!AG298&lt;安値!AF298,安値!AG298&lt;安値!AE298,安値!AG298&lt;安値!AH298,安値!AG298&lt;安値!AI298),28,""))</f>
        <v/>
      </c>
      <c r="AC298" s="503" t="str">
        <f>IF(終値!A298="","",IF(AND(高値!G298&gt;高値!F298,高値!G298&gt;高値!E298,高値!G298&gt;高値!H298,高値!G298&gt;高値!I298),2,""))</f>
        <v/>
      </c>
      <c r="AD298" s="503" t="str">
        <f>IF(終値!A298="","",IF(AND(高値!H298&gt;高値!G298,高値!H298&gt;高値!F298,高値!H298&gt;高値!I298,高値!H298&gt;高値!J298),3,""))</f>
        <v/>
      </c>
      <c r="AE298" s="503" t="str">
        <f>IF(終値!A298="","",IF(AND(高値!I298&gt;高値!H298,高値!I298&gt;高値!G298,高値!I298&gt;高値!J298,高値!I298&gt;高値!K298),4,""))</f>
        <v/>
      </c>
      <c r="AF298" s="503" t="str">
        <f>IF(終値!A298="","",IF(AND(高値!J298&gt;高値!I298,高値!J298&gt;高値!H298,高値!J298&gt;高値!K298,高値!J298&gt;高値!L298),5,""))</f>
        <v/>
      </c>
      <c r="AG298" s="503" t="str">
        <f>IF(終値!A298="","",IF(AND(高値!K298&gt;高値!J298,高値!K298&gt;高値!I298,高値!K298&gt;高値!L298,高値!K298&gt;高値!M298),6,""))</f>
        <v/>
      </c>
      <c r="AH298" s="503" t="str">
        <f>IF(終値!A298="","",IF(AND(高値!L298&gt;高値!K298,高値!L298&gt;高値!J298,高値!L298&gt;高値!M298,高値!L298&gt;高値!N298),7,""))</f>
        <v/>
      </c>
      <c r="AI298" s="503">
        <f>IF(終値!A298="","",IF(AND(高値!M298&gt;高値!L298,高値!M298&gt;高値!K298,高値!M298&gt;高値!N298,高値!M298&gt;高値!O298),8,""))</f>
        <v>8</v>
      </c>
      <c r="AJ298" s="503" t="str">
        <f>IF(終値!A298="","",IF(AND(高値!N298&gt;高値!M298,高値!N298&gt;高値!L298,高値!N298&gt;高値!O298,高値!N298&gt;高値!P298),9,""))</f>
        <v/>
      </c>
      <c r="AK298" s="503" t="str">
        <f>IF(終値!A298="","",IF(AND(高値!O298&gt;高値!N298,高値!O298&gt;高値!M298,高値!O298&gt;高値!P298,高値!O298&gt;高値!Q298),10,""))</f>
        <v/>
      </c>
      <c r="AL298" s="503">
        <f>IF(終値!A298="","",IF(AND(高値!P298&gt;高値!O298,高値!P298&gt;高値!N298,高値!P298&gt;高値!Q298,高値!P298&gt;高値!R298),11,""))</f>
        <v>11</v>
      </c>
      <c r="AM298" s="503" t="str">
        <f>IF(終値!A298="","",IF(AND(高値!Q298&gt;高値!P298,高値!Q298&gt;高値!O298,高値!Q298&gt;高値!R298,高値!Q298&gt;高値!S298),12,""))</f>
        <v/>
      </c>
      <c r="AN298" s="503" t="str">
        <f>IF(終値!A298="","",IF(AND(高値!R298&gt;高値!Q298,高値!R298&gt;高値!P298,高値!R298&gt;高値!S298,高値!R298&gt;高値!T298),13,""))</f>
        <v/>
      </c>
      <c r="AO298" s="503">
        <f>IF(終値!A298="","",IF(AND(高値!S298&gt;高値!R298,高値!S298&gt;高値!Q298,高値!S298&gt;高値!T298,高値!S298&gt;高値!U298),14,""))</f>
        <v>14</v>
      </c>
      <c r="AP298" s="503" t="str">
        <f>IF(終値!A298="","",IF(AND(高値!T298&gt;高値!S298,高値!T298&gt;高値!R298,高値!T298&gt;高値!U298,高値!T298&gt;高値!V298),15,""))</f>
        <v/>
      </c>
      <c r="AQ298" s="503" t="str">
        <f>IF(終値!A298="","",IF(AND(高値!U298&gt;高値!T298,高値!U298&gt;高値!S298,高値!U298&gt;高値!V298,高値!U298&gt;高値!W298),16,""))</f>
        <v/>
      </c>
      <c r="AR298" s="503" t="str">
        <f>IF(終値!A298="","",IF(AND(高値!V298&gt;高値!U298,高値!V298&gt;高値!T298,高値!V298&gt;高値!W298,高値!V298&gt;高値!X298),17,""))</f>
        <v/>
      </c>
      <c r="AS298" s="503" t="str">
        <f>IF(終値!A298="","",IF(AND(高値!W298&gt;高値!V298,高値!W298&gt;高値!U298,高値!W298&gt;高値!X298,高値!W298&gt;高値!Y298),18,""))</f>
        <v/>
      </c>
      <c r="AT298" s="503" t="str">
        <f>IF(終値!A298="","",IF(AND(高値!X298&gt;高値!W298,高値!X298&gt;高値!V298,高値!X298&gt;高値!Y298,高値!X298&gt;高値!Z298),19,""))</f>
        <v/>
      </c>
      <c r="AU298" s="503" t="str">
        <f>IF(終値!A298="","",IF(AND(高値!Y298&gt;高値!X298,高値!Y298&gt;高値!W298,高値!Y298&gt;高値!Z298,高値!Y298&gt;高値!AA298),20,""))</f>
        <v/>
      </c>
      <c r="AV298" s="503">
        <f>IF(終値!A298="","",IF(AND(高値!Z298&gt;高値!Y298,高値!Z298&gt;高値!X298,高値!Z298&gt;高値!AA298,高値!Z298&gt;高値!AB298),21,""))</f>
        <v>21</v>
      </c>
      <c r="AW298" s="503" t="str">
        <f>IF(終値!A298="","",IF(AND(高値!AA298&gt;高値!Z298,高値!AA298&gt;高値!Y298,高値!AA298&gt;高値!AB298,高値!AA298&gt;高値!AC298),22,""))</f>
        <v/>
      </c>
      <c r="AX298" s="503" t="str">
        <f>IF(終値!A298="","",IF(AND(高値!AB298&gt;高値!AA298,高値!AB298&gt;高値!Z298,高値!AB298&gt;高値!AC298,高値!AB298&gt;高値!AD298),23,""))</f>
        <v/>
      </c>
      <c r="AY298" s="503" t="str">
        <f>IF(終値!A298="","",IF(AND(高値!AC298&gt;高値!AB298,高値!AC298&gt;高値!AA298,高値!AC298&gt;高値!AD298,高値!AC298&gt;高値!AE298),24,""))</f>
        <v/>
      </c>
      <c r="AZ298" s="503" t="str">
        <f>IF(終値!A298="","",IF(AND(高値!AD298&gt;高値!AC298,高値!AD298&gt;高値!AB298,高値!AD298&gt;高値!AE298,高値!AD298&gt;高値!AF298),25,""))</f>
        <v/>
      </c>
      <c r="BA298" s="503" t="str">
        <f>IF(終値!A298="","",IF(AND(高値!AE298&gt;高値!AD298,高値!AE298&gt;高値!AC298,高値!AE298&gt;高値!AF298,高値!AE298&gt;高値!AG298),26,""))</f>
        <v/>
      </c>
      <c r="BB298" s="503" t="str">
        <f>IF(終値!A298="","",IF(AND(高値!AF298&gt;高値!AE298,高値!AF298&gt;高値!AD298,高値!AF298&gt;高値!AG298,高値!AF298&gt;高値!AH298),27,""))</f>
        <v/>
      </c>
      <c r="BC298" s="503" t="str">
        <f>IF(終値!A298="","",IF(AND(高値!AG298&gt;高値!AF298,高値!AG298&gt;高値!AE298,高値!AG298&gt;高値!AH298,高値!AG298&gt;高値!AI298),28,""))</f>
        <v/>
      </c>
      <c r="BD298" s="503">
        <f t="shared" si="24"/>
        <v>3</v>
      </c>
      <c r="BE298" s="503">
        <f t="shared" si="25"/>
        <v>3</v>
      </c>
      <c r="BF298" s="503">
        <f t="shared" si="26"/>
        <v>9</v>
      </c>
      <c r="BG298" s="503">
        <f>IF($BE298="","",INDEX(安値!$E298:$CZ298,1,$BE298+1))</f>
        <v>3089</v>
      </c>
      <c r="BH298" s="503">
        <f>IF($BF298="","",INDEX(安値!$E298:$CZ298,1,$BF298+1))</f>
        <v>0</v>
      </c>
      <c r="BI298" s="503">
        <f>IF($BF298="","",MAX(INDEX(高値!$E298:$CZ298,1,$BE298+1):INDEX(高値!$E298:$CZ298,1,$BF298+1)))</f>
        <v>3329</v>
      </c>
      <c r="BJ298" s="503">
        <f>IF($BF298="","",AVERAGE(INDEX(終値!$E298:$CZ298,1,$BF298+1):INDEX(終値!$E298:$CZ298,1,$BF298+20))-2*STDEVP(INDEX(終値!$E298:$CZ298,1,$BF298+1):INDEX(終値!$E298:$CZ298,1,$BF298+20)))</f>
        <v>3104.0319928516683</v>
      </c>
      <c r="BK298" s="503">
        <f>IF($BE298="","",AVERAGE(INDEX(終値!$E298:$CZ298,1,$BE298+1):INDEX(終値!$E298:$CZ298,1,$BE298+20))-2*STDEVP(INDEX(終値!$E298:$CZ298,1,$BE298+1):INDEX(終値!$E298:$CZ298,1,$BE298+20)))</f>
        <v>3102.6682342854756</v>
      </c>
      <c r="BL298" s="503">
        <f t="shared" si="27"/>
        <v>4</v>
      </c>
      <c r="BM298" s="503">
        <f t="shared" si="28"/>
        <v>8</v>
      </c>
      <c r="BN298" s="503">
        <f t="shared" si="29"/>
        <v>11</v>
      </c>
      <c r="BO298" s="503">
        <f>IF($BM298="","",INDEX(高値!$E298:$CZ298,1,$BM298+1))</f>
        <v>3329</v>
      </c>
      <c r="BP298" s="503">
        <f>IF($BN298="","",INDEX(高値!$E298:$CZ298,1,$BN298+1))</f>
        <v>3283</v>
      </c>
      <c r="BQ298" s="503">
        <f>IF($BN298="","",MIN(INDEX(安値!$E298:$CZ298,1,$BM298+1):INDEX(安値!$E298:$CZ298,1,$BN298+1)))</f>
        <v>3228</v>
      </c>
      <c r="BR298" s="503">
        <f>IF($BN298="","",AVERAGE(INDEX(終値!$E298:$CZ298,1,$BN298+1):INDEX(終値!$E298:$CZ298,1,$BN298+20))+2*STDEVP(INDEX(終値!$E298:$CZ298,1,$BN298+1):INDEX(終値!$E298:$CZ298,1,$BN298+20)))</f>
        <v>3282.8273313596096</v>
      </c>
      <c r="BS298" s="503">
        <f>IF($BM298="","",AVERAGE(INDEX(終値!$E298:$CZ298,1,$BM298+1):INDEX(終値!$E298:$CZ298,1,$BM298+20))+2*STDEVP(INDEX(終値!$E298:$CZ298,1,$BM298+1):INDEX(終値!$E298:$CZ298,1,$BM298+20)))</f>
        <v>3315.5254946023774</v>
      </c>
      <c r="BT298" s="500"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v>
      </c>
    </row>
    <row r="299" spans="2:72">
      <c r="B299" s="503" t="str">
        <f>IF(終値!A299="","",IF(AND(安値!G299&lt;安値!F299,安値!G299&lt;安値!E299,安値!G299&lt;安値!H299,安値!G299&lt;安値!I299),2,""))</f>
        <v/>
      </c>
      <c r="C299" s="503" t="str">
        <f>IF(終値!A299="","",IF(AND(安値!H299&lt;安値!G299,安値!H299&lt;安値!F299,安値!H299&lt;安値!I299,安値!H299&lt;安値!J299),3,""))</f>
        <v/>
      </c>
      <c r="D299" s="503" t="str">
        <f>IF(終値!A299="","",IF(AND(安値!I299&lt;安値!H299,安値!I299&lt;安値!G299,安値!I299&lt;安値!J299,安値!I299&lt;安値!K299),4,""))</f>
        <v/>
      </c>
      <c r="E299" s="503" t="str">
        <f>IF(終値!A299="","",IF(AND(安値!J299&lt;安値!I299,安値!J299&lt;安値!H299,安値!J299&lt;安値!K299,安値!J299&lt;安値!L299),5,""))</f>
        <v/>
      </c>
      <c r="F299" s="503">
        <f>IF(終値!A299="","",IF(AND(安値!K299&lt;安値!J299,安値!K299&lt;安値!I299,安値!K299&lt;安値!L299,安値!K299&lt;安値!M299),6,""))</f>
        <v>6</v>
      </c>
      <c r="G299" s="503" t="str">
        <f>IF(終値!A299="","",IF(AND(安値!L299&lt;安値!K299,安値!L299&lt;安値!J299,安値!L299&lt;安値!M299,安値!L299&lt;安値!N299),7,""))</f>
        <v/>
      </c>
      <c r="H299" s="503" t="str">
        <f>IF(終値!A299="","",IF(AND(安値!M299&lt;安値!L299,安値!M299&lt;安値!K299,安値!M299&lt;安値!N299,安値!M299&lt;安値!O299),8,""))</f>
        <v/>
      </c>
      <c r="I299" s="503" t="str">
        <f>IF(終値!A299="","",IF(AND(安値!N299&lt;安値!M299,安値!N299&lt;安値!L299,安値!N299&lt;安値!O299,安値!N299&lt;安値!P299),9,""))</f>
        <v/>
      </c>
      <c r="J299" s="503" t="str">
        <f>IF(終値!A299="","",IF(AND(安値!O299&lt;安値!N299,安値!O299&lt;安値!M299,安値!O299&lt;安値!P299,安値!O299&lt;安値!Q299),10,""))</f>
        <v/>
      </c>
      <c r="K299" s="503" t="str">
        <f>IF(終値!A299="","",IF(AND(安値!P299&lt;安値!O299,安値!P299&lt;安値!N299,安値!P299&lt;安値!Q299,安値!P299&lt;安値!R299),11,""))</f>
        <v/>
      </c>
      <c r="L299" s="503" t="str">
        <f>IF(終値!A299="","",IF(AND(安値!Q299&lt;安値!P299,安値!Q299&lt;安値!O299,安値!Q299&lt;安値!R299,安値!Q299&lt;安値!S299),12,""))</f>
        <v/>
      </c>
      <c r="M299" s="503">
        <f>IF(終値!A299="","",IF(AND(安値!R299&lt;安値!Q299,安値!R299&lt;安値!P299,安値!R299&lt;安値!S299,安値!R299&lt;安値!T299),13,""))</f>
        <v>13</v>
      </c>
      <c r="N299" s="503" t="str">
        <f>IF(終値!A299="","",IF(AND(安値!S299&lt;安値!R299,安値!S299&lt;安値!Q299,安値!S299&lt;安値!T299,安値!S299&lt;安値!U299),14,""))</f>
        <v/>
      </c>
      <c r="O299" s="503" t="str">
        <f>IF(終値!A299="","",IF(AND(安値!T299&lt;安値!S299,安値!T299&lt;安値!R299,安値!T299&lt;安値!U299,安値!T299&lt;安値!V299),15,""))</f>
        <v/>
      </c>
      <c r="P299" s="503" t="str">
        <f>IF(終値!A299="","",IF(AND(安値!U299&lt;安値!T299,安値!U299&lt;安値!S299,安値!U299&lt;安値!V299,安値!U299&lt;安値!W299),16,""))</f>
        <v/>
      </c>
      <c r="Q299" s="503" t="str">
        <f>IF(終値!A299="","",IF(AND(安値!V299&lt;安値!U299,安値!V299&lt;安値!T299,安値!V299&lt;安値!W299,安値!V299&lt;安値!X299),17,""))</f>
        <v/>
      </c>
      <c r="R299" s="503">
        <f>IF(終値!A299="","",IF(AND(安値!W299&lt;安値!V299,安値!W299&lt;安値!U299,安値!W299&lt;安値!X299,安値!W299&lt;安値!Y299),18,""))</f>
        <v>18</v>
      </c>
      <c r="S299" s="503" t="str">
        <f>IF(終値!A299="","",IF(AND(安値!X299&lt;安値!W299,安値!X299&lt;安値!V299,安値!X299&lt;安値!Y299,安値!X299&lt;安値!Z299),19,""))</f>
        <v/>
      </c>
      <c r="T299" s="503" t="str">
        <f>IF(終値!A299="","",IF(AND(安値!Y299&lt;安値!X299,安値!Y299&lt;安値!W299,安値!Y299&lt;安値!Z299,安値!Y299&lt;安値!AA299),20,""))</f>
        <v/>
      </c>
      <c r="U299" s="503" t="str">
        <f>IF(終値!A299="","",IF(AND(安値!Z299&lt;安値!Y299,安値!Z299&lt;安値!X299,安値!Z299&lt;安値!AA299,安値!Z299&lt;安値!AB299),21,""))</f>
        <v/>
      </c>
      <c r="V299" s="503" t="str">
        <f>IF(終値!A299="","",IF(AND(安値!AA299&lt;安値!Z299,安値!AA299&lt;安値!Y299,安値!AA299&lt;安値!AB299,安値!AA299&lt;安値!AC299),22,""))</f>
        <v/>
      </c>
      <c r="W299" s="503">
        <f>IF(終値!A299="","",IF(AND(安値!AB299&lt;安値!AA299,安値!AB299&lt;安値!Z299,安値!AB299&lt;安値!AC299,安値!AB299&lt;安値!AD299),23,""))</f>
        <v>23</v>
      </c>
      <c r="X299" s="503" t="str">
        <f>IF(終値!A299="","",IF(AND(安値!AC299&lt;安値!AB299,安値!AC299&lt;安値!AA299,安値!AC299&lt;安値!AD299,安値!AC299&lt;安値!AE299),24,""))</f>
        <v/>
      </c>
      <c r="Y299" s="503" t="str">
        <f>IF(終値!A299="","",IF(AND(安値!AD299&lt;安値!AC299,安値!AD299&lt;安値!AB299,安値!AD299&lt;安値!AE299,安値!AD299&lt;安値!AF299),25,""))</f>
        <v/>
      </c>
      <c r="Z299" s="503">
        <f>IF(終値!A299="","",IF(AND(安値!AE299&lt;安値!AD299,安値!AE299&lt;安値!AC299,安値!AE299&lt;安値!AF299,安値!AE299&lt;安値!AG299),26,""))</f>
        <v>26</v>
      </c>
      <c r="AA299" s="503" t="str">
        <f>IF(終値!A299="","",IF(AND(安値!AF299&lt;安値!AE299,安値!AF299&lt;安値!AD299,安値!AF299&lt;安値!AG299,安値!AF299&lt;安値!AH299),27,""))</f>
        <v/>
      </c>
      <c r="AB299" s="503" t="str">
        <f>IF(終値!A299="","",IF(AND(安値!AG299&lt;安値!AF299,安値!AG299&lt;安値!AE299,安値!AG299&lt;安値!AH299,安値!AG299&lt;安値!AI299),28,""))</f>
        <v/>
      </c>
      <c r="AC299" s="503" t="str">
        <f>IF(終値!A299="","",IF(AND(高値!G299&gt;高値!F299,高値!G299&gt;高値!E299,高値!G299&gt;高値!H299,高値!G299&gt;高値!I299),2,""))</f>
        <v/>
      </c>
      <c r="AD299" s="503" t="str">
        <f>IF(終値!A299="","",IF(AND(高値!H299&gt;高値!G299,高値!H299&gt;高値!F299,高値!H299&gt;高値!I299,高値!H299&gt;高値!J299),3,""))</f>
        <v/>
      </c>
      <c r="AE299" s="503" t="str">
        <f>IF(終値!A299="","",IF(AND(高値!I299&gt;高値!H299,高値!I299&gt;高値!G299,高値!I299&gt;高値!J299,高値!I299&gt;高値!K299),4,""))</f>
        <v/>
      </c>
      <c r="AF299" s="503" t="str">
        <f>IF(終値!A299="","",IF(AND(高値!J299&gt;高値!I299,高値!J299&gt;高値!H299,高値!J299&gt;高値!K299,高値!J299&gt;高値!L299),5,""))</f>
        <v/>
      </c>
      <c r="AG299" s="503" t="str">
        <f>IF(終値!A299="","",IF(AND(高値!K299&gt;高値!J299,高値!K299&gt;高値!I299,高値!K299&gt;高値!L299,高値!K299&gt;高値!M299),6,""))</f>
        <v/>
      </c>
      <c r="AH299" s="503" t="str">
        <f>IF(終値!A299="","",IF(AND(高値!L299&gt;高値!K299,高値!L299&gt;高値!J299,高値!L299&gt;高値!M299,高値!L299&gt;高値!N299),7,""))</f>
        <v/>
      </c>
      <c r="AI299" s="503" t="str">
        <f>IF(終値!A299="","",IF(AND(高値!M299&gt;高値!L299,高値!M299&gt;高値!K299,高値!M299&gt;高値!N299,高値!M299&gt;高値!O299),8,""))</f>
        <v/>
      </c>
      <c r="AJ299" s="503" t="str">
        <f>IF(終値!A299="","",IF(AND(高値!N299&gt;高値!M299,高値!N299&gt;高値!L299,高値!N299&gt;高値!O299,高値!N299&gt;高値!P299),9,""))</f>
        <v/>
      </c>
      <c r="AK299" s="503" t="str">
        <f>IF(終値!A299="","",IF(AND(高値!O299&gt;高値!N299,高値!O299&gt;高値!M299,高値!O299&gt;高値!P299,高値!O299&gt;高値!Q299),10,""))</f>
        <v/>
      </c>
      <c r="AL299" s="503" t="str">
        <f>IF(終値!A299="","",IF(AND(高値!P299&gt;高値!O299,高値!P299&gt;高値!N299,高値!P299&gt;高値!Q299,高値!P299&gt;高値!R299),11,""))</f>
        <v/>
      </c>
      <c r="AM299" s="503" t="str">
        <f>IF(終値!A299="","",IF(AND(高値!Q299&gt;高値!P299,高値!Q299&gt;高値!O299,高値!Q299&gt;高値!R299,高値!Q299&gt;高値!S299),12,""))</f>
        <v/>
      </c>
      <c r="AN299" s="503" t="str">
        <f>IF(終値!A299="","",IF(AND(高値!R299&gt;高値!Q299,高値!R299&gt;高値!P299,高値!R299&gt;高値!S299,高値!R299&gt;高値!T299),13,""))</f>
        <v/>
      </c>
      <c r="AO299" s="503" t="str">
        <f>IF(終値!A299="","",IF(AND(高値!S299&gt;高値!R299,高値!S299&gt;高値!Q299,高値!S299&gt;高値!T299,高値!S299&gt;高値!U299),14,""))</f>
        <v/>
      </c>
      <c r="AP299" s="503" t="str">
        <f>IF(終値!A299="","",IF(AND(高値!T299&gt;高値!S299,高値!T299&gt;高値!R299,高値!T299&gt;高値!U299,高値!T299&gt;高値!V299),15,""))</f>
        <v/>
      </c>
      <c r="AQ299" s="503">
        <f>IF(終値!A299="","",IF(AND(高値!U299&gt;高値!T299,高値!U299&gt;高値!S299,高値!U299&gt;高値!V299,高値!U299&gt;高値!W299),16,""))</f>
        <v>16</v>
      </c>
      <c r="AR299" s="503" t="str">
        <f>IF(終値!A299="","",IF(AND(高値!V299&gt;高値!U299,高値!V299&gt;高値!T299,高値!V299&gt;高値!W299,高値!V299&gt;高値!X299),17,""))</f>
        <v/>
      </c>
      <c r="AS299" s="503" t="str">
        <f>IF(終値!A299="","",IF(AND(高値!W299&gt;高値!V299,高値!W299&gt;高値!U299,高値!W299&gt;高値!X299,高値!W299&gt;高値!Y299),18,""))</f>
        <v/>
      </c>
      <c r="AT299" s="503" t="str">
        <f>IF(終値!A299="","",IF(AND(高値!X299&gt;高値!W299,高値!X299&gt;高値!V299,高値!X299&gt;高値!Y299,高値!X299&gt;高値!Z299),19,""))</f>
        <v/>
      </c>
      <c r="AU299" s="503" t="str">
        <f>IF(終値!A299="","",IF(AND(高値!Y299&gt;高値!X299,高値!Y299&gt;高値!W299,高値!Y299&gt;高値!Z299,高値!Y299&gt;高値!AA299),20,""))</f>
        <v/>
      </c>
      <c r="AV299" s="503">
        <f>IF(終値!A299="","",IF(AND(高値!Z299&gt;高値!Y299,高値!Z299&gt;高値!X299,高値!Z299&gt;高値!AA299,高値!Z299&gt;高値!AB299),21,""))</f>
        <v>21</v>
      </c>
      <c r="AW299" s="503" t="str">
        <f>IF(終値!A299="","",IF(AND(高値!AA299&gt;高値!Z299,高値!AA299&gt;高値!Y299,高値!AA299&gt;高値!AB299,高値!AA299&gt;高値!AC299),22,""))</f>
        <v/>
      </c>
      <c r="AX299" s="503" t="str">
        <f>IF(終値!A299="","",IF(AND(高値!AB299&gt;高値!AA299,高値!AB299&gt;高値!Z299,高値!AB299&gt;高値!AC299,高値!AB299&gt;高値!AD299),23,""))</f>
        <v/>
      </c>
      <c r="AY299" s="503" t="str">
        <f>IF(終値!A299="","",IF(AND(高値!AC299&gt;高値!AB299,高値!AC299&gt;高値!AA299,高値!AC299&gt;高値!AD299,高値!AC299&gt;高値!AE299),24,""))</f>
        <v/>
      </c>
      <c r="AZ299" s="503">
        <f>IF(終値!A299="","",IF(AND(高値!AD299&gt;高値!AC299,高値!AD299&gt;高値!AB299,高値!AD299&gt;高値!AE299,高値!AD299&gt;高値!AF299),25,""))</f>
        <v>25</v>
      </c>
      <c r="BA299" s="503" t="str">
        <f>IF(終値!A299="","",IF(AND(高値!AE299&gt;高値!AD299,高値!AE299&gt;高値!AC299,高値!AE299&gt;高値!AF299,高値!AE299&gt;高値!AG299),26,""))</f>
        <v/>
      </c>
      <c r="BB299" s="503" t="str">
        <f>IF(終値!A299="","",IF(AND(高値!AF299&gt;高値!AE299,高値!AF299&gt;高値!AD299,高値!AF299&gt;高値!AG299,高値!AF299&gt;高値!AH299),27,""))</f>
        <v/>
      </c>
      <c r="BC299" s="503" t="str">
        <f>IF(終値!A299="","",IF(AND(高値!AG299&gt;高値!AF299,高値!AG299&gt;高値!AE299,高値!AG299&gt;高値!AH299,高値!AG299&gt;高値!AI299),28,""))</f>
        <v/>
      </c>
      <c r="BD299" s="503">
        <f t="shared" si="24"/>
        <v>5</v>
      </c>
      <c r="BE299" s="503">
        <f t="shared" si="25"/>
        <v>6</v>
      </c>
      <c r="BF299" s="503">
        <f t="shared" si="26"/>
        <v>13</v>
      </c>
      <c r="BG299" s="503">
        <f>IF($BE299="","",INDEX(安値!$E299:$CZ299,1,$BE299+1))</f>
        <v>897</v>
      </c>
      <c r="BH299" s="503">
        <f>IF($BF299="","",INDEX(安値!$E299:$CZ299,1,$BF299+1))</f>
        <v>945</v>
      </c>
      <c r="BI299" s="503">
        <f>IF($BF299="","",MAX(INDEX(高値!$E299:$CZ299,1,$BE299+1):INDEX(高値!$E299:$CZ299,1,$BF299+1)))</f>
        <v>1092</v>
      </c>
      <c r="BJ299" s="503">
        <f>IF($BF299="","",AVERAGE(INDEX(終値!$E299:$CZ299,1,$BF299+1):INDEX(終値!$E299:$CZ299,1,$BF299+20))-2*STDEVP(INDEX(終値!$E299:$CZ299,1,$BF299+1):INDEX(終値!$E299:$CZ299,1,$BF299+20)))</f>
        <v>998.27136494611568</v>
      </c>
      <c r="BK299" s="503">
        <f>IF($BE299="","",AVERAGE(INDEX(終値!$E299:$CZ299,1,$BE299+1):INDEX(終値!$E299:$CZ299,1,$BE299+20))-2*STDEVP(INDEX(終値!$E299:$CZ299,1,$BE299+1):INDEX(終値!$E299:$CZ299,1,$BE299+20)))</f>
        <v>918.32943668716518</v>
      </c>
      <c r="BL299" s="503">
        <f t="shared" si="27"/>
        <v>3</v>
      </c>
      <c r="BM299" s="503">
        <f t="shared" si="28"/>
        <v>16</v>
      </c>
      <c r="BN299" s="503">
        <f t="shared" si="29"/>
        <v>21</v>
      </c>
      <c r="BO299" s="503">
        <f>IF($BM299="","",INDEX(高値!$E299:$CZ299,1,$BM299+1))</f>
        <v>1214</v>
      </c>
      <c r="BP299" s="503">
        <f>IF($BN299="","",INDEX(高値!$E299:$CZ299,1,$BN299+1))</f>
        <v>1262</v>
      </c>
      <c r="BQ299" s="503">
        <f>IF($BN299="","",MIN(INDEX(安値!$E299:$CZ299,1,$BM299+1):INDEX(安値!$E299:$CZ299,1,$BN299+1)))</f>
        <v>1053</v>
      </c>
      <c r="BR299" s="503">
        <f>IF($BN299="","",AVERAGE(INDEX(終値!$E299:$CZ299,1,$BN299+1):INDEX(終値!$E299:$CZ299,1,$BN299+20))+2*STDEVP(INDEX(終値!$E299:$CZ299,1,$BN299+1):INDEX(終値!$E299:$CZ299,1,$BN299+20)))</f>
        <v>1935.7228897477462</v>
      </c>
      <c r="BS299" s="503">
        <f>IF($BM299="","",AVERAGE(INDEX(終値!$E299:$CZ299,1,$BM299+1):INDEX(終値!$E299:$CZ299,1,$BM299+20))+2*STDEVP(INDEX(終値!$E299:$CZ299,1,$BM299+1):INDEX(終値!$E299:$CZ299,1,$BM299+20)))</f>
        <v>1363.5210342599389</v>
      </c>
      <c r="BT299" s="500"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二番天井M形成</v>
      </c>
    </row>
    <row r="300" spans="2:72">
      <c r="B300" s="503" t="str">
        <f>IF(終値!A300="","",IF(AND(安値!G300&lt;安値!F300,安値!G300&lt;安値!E300,安値!G300&lt;安値!H300,安値!G300&lt;安値!I300),2,""))</f>
        <v/>
      </c>
      <c r="C300" s="503" t="str">
        <f>IF(終値!A300="","",IF(AND(安値!H300&lt;安値!G300,安値!H300&lt;安値!F300,安値!H300&lt;安値!I300,安値!H300&lt;安値!J300),3,""))</f>
        <v/>
      </c>
      <c r="D300" s="503" t="str">
        <f>IF(終値!A300="","",IF(AND(安値!I300&lt;安値!H300,安値!I300&lt;安値!G300,安値!I300&lt;安値!J300,安値!I300&lt;安値!K300),4,""))</f>
        <v/>
      </c>
      <c r="E300" s="503" t="str">
        <f>IF(終値!A300="","",IF(AND(安値!J300&lt;安値!I300,安値!J300&lt;安値!H300,安値!J300&lt;安値!K300,安値!J300&lt;安値!L300),5,""))</f>
        <v/>
      </c>
      <c r="F300" s="503">
        <f>IF(終値!A300="","",IF(AND(安値!K300&lt;安値!J300,安値!K300&lt;安値!I300,安値!K300&lt;安値!L300,安値!K300&lt;安値!M300),6,""))</f>
        <v>6</v>
      </c>
      <c r="G300" s="503" t="str">
        <f>IF(終値!A300="","",IF(AND(安値!L300&lt;安値!K300,安値!L300&lt;安値!J300,安値!L300&lt;安値!M300,安値!L300&lt;安値!N300),7,""))</f>
        <v/>
      </c>
      <c r="H300" s="503" t="str">
        <f>IF(終値!A300="","",IF(AND(安値!M300&lt;安値!L300,安値!M300&lt;安値!K300,安値!M300&lt;安値!N300,安値!M300&lt;安値!O300),8,""))</f>
        <v/>
      </c>
      <c r="I300" s="503">
        <f>IF(終値!A300="","",IF(AND(安値!N300&lt;安値!M300,安値!N300&lt;安値!L300,安値!N300&lt;安値!O300,安値!N300&lt;安値!P300),9,""))</f>
        <v>9</v>
      </c>
      <c r="J300" s="503" t="str">
        <f>IF(終値!A300="","",IF(AND(安値!O300&lt;安値!N300,安値!O300&lt;安値!M300,安値!O300&lt;安値!P300,安値!O300&lt;安値!Q300),10,""))</f>
        <v/>
      </c>
      <c r="K300" s="503" t="str">
        <f>IF(終値!A300="","",IF(AND(安値!P300&lt;安値!O300,安値!P300&lt;安値!N300,安値!P300&lt;安値!Q300,安値!P300&lt;安値!R300),11,""))</f>
        <v/>
      </c>
      <c r="L300" s="503" t="str">
        <f>IF(終値!A300="","",IF(AND(安値!Q300&lt;安値!P300,安値!Q300&lt;安値!O300,安値!Q300&lt;安値!R300,安値!Q300&lt;安値!S300),12,""))</f>
        <v/>
      </c>
      <c r="M300" s="503">
        <f>IF(終値!A300="","",IF(AND(安値!R300&lt;安値!Q300,安値!R300&lt;安値!P300,安値!R300&lt;安値!S300,安値!R300&lt;安値!T300),13,""))</f>
        <v>13</v>
      </c>
      <c r="N300" s="503" t="str">
        <f>IF(終値!A300="","",IF(AND(安値!S300&lt;安値!R300,安値!S300&lt;安値!Q300,安値!S300&lt;安値!T300,安値!S300&lt;安値!U300),14,""))</f>
        <v/>
      </c>
      <c r="O300" s="503" t="str">
        <f>IF(終値!A300="","",IF(AND(安値!T300&lt;安値!S300,安値!T300&lt;安値!R300,安値!T300&lt;安値!U300,安値!T300&lt;安値!V300),15,""))</f>
        <v/>
      </c>
      <c r="P300" s="503" t="str">
        <f>IF(終値!A300="","",IF(AND(安値!U300&lt;安値!T300,安値!U300&lt;安値!S300,安値!U300&lt;安値!V300,安値!U300&lt;安値!W300),16,""))</f>
        <v/>
      </c>
      <c r="Q300" s="503" t="str">
        <f>IF(終値!A300="","",IF(AND(安値!V300&lt;安値!U300,安値!V300&lt;安値!T300,安値!V300&lt;安値!W300,安値!V300&lt;安値!X300),17,""))</f>
        <v/>
      </c>
      <c r="R300" s="503" t="str">
        <f>IF(終値!A300="","",IF(AND(安値!W300&lt;安値!V300,安値!W300&lt;安値!U300,安値!W300&lt;安値!X300,安値!W300&lt;安値!Y300),18,""))</f>
        <v/>
      </c>
      <c r="S300" s="503">
        <f>IF(終値!A300="","",IF(AND(安値!X300&lt;安値!W300,安値!X300&lt;安値!V300,安値!X300&lt;安値!Y300,安値!X300&lt;安値!Z300),19,""))</f>
        <v>19</v>
      </c>
      <c r="T300" s="503" t="str">
        <f>IF(終値!A300="","",IF(AND(安値!Y300&lt;安値!X300,安値!Y300&lt;安値!W300,安値!Y300&lt;安値!Z300,安値!Y300&lt;安値!AA300),20,""))</f>
        <v/>
      </c>
      <c r="U300" s="503" t="str">
        <f>IF(終値!A300="","",IF(AND(安値!Z300&lt;安値!Y300,安値!Z300&lt;安値!X300,安値!Z300&lt;安値!AA300,安値!Z300&lt;安値!AB300),21,""))</f>
        <v/>
      </c>
      <c r="V300" s="503" t="str">
        <f>IF(終値!A300="","",IF(AND(安値!AA300&lt;安値!Z300,安値!AA300&lt;安値!Y300,安値!AA300&lt;安値!AB300,安値!AA300&lt;安値!AC300),22,""))</f>
        <v/>
      </c>
      <c r="W300" s="503" t="str">
        <f>IF(終値!A300="","",IF(AND(安値!AB300&lt;安値!AA300,安値!AB300&lt;安値!Z300,安値!AB300&lt;安値!AC300,安値!AB300&lt;安値!AD300),23,""))</f>
        <v/>
      </c>
      <c r="X300" s="503" t="str">
        <f>IF(終値!A300="","",IF(AND(安値!AC300&lt;安値!AB300,安値!AC300&lt;安値!AA300,安値!AC300&lt;安値!AD300,安値!AC300&lt;安値!AE300),24,""))</f>
        <v/>
      </c>
      <c r="Y300" s="503" t="str">
        <f>IF(終値!A300="","",IF(AND(安値!AD300&lt;安値!AC300,安値!AD300&lt;安値!AB300,安値!AD300&lt;安値!AE300,安値!AD300&lt;安値!AF300),25,""))</f>
        <v/>
      </c>
      <c r="Z300" s="503">
        <f>IF(終値!A300="","",IF(AND(安値!AE300&lt;安値!AD300,安値!AE300&lt;安値!AC300,安値!AE300&lt;安値!AF300,安値!AE300&lt;安値!AG300),26,""))</f>
        <v>26</v>
      </c>
      <c r="AA300" s="503" t="str">
        <f>IF(終値!A300="","",IF(AND(安値!AF300&lt;安値!AE300,安値!AF300&lt;安値!AD300,安値!AF300&lt;安値!AG300,安値!AF300&lt;安値!AH300),27,""))</f>
        <v/>
      </c>
      <c r="AB300" s="503" t="str">
        <f>IF(終値!A300="","",IF(AND(安値!AG300&lt;安値!AF300,安値!AG300&lt;安値!AE300,安値!AG300&lt;安値!AH300,安値!AG300&lt;安値!AI300),28,""))</f>
        <v/>
      </c>
      <c r="AC300" s="503" t="str">
        <f>IF(終値!A300="","",IF(AND(高値!G300&gt;高値!F300,高値!G300&gt;高値!E300,高値!G300&gt;高値!H300,高値!G300&gt;高値!I300),2,""))</f>
        <v/>
      </c>
      <c r="AD300" s="503" t="str">
        <f>IF(終値!A300="","",IF(AND(高値!H300&gt;高値!G300,高値!H300&gt;高値!F300,高値!H300&gt;高値!I300,高値!H300&gt;高値!J300),3,""))</f>
        <v/>
      </c>
      <c r="AE300" s="503" t="str">
        <f>IF(終値!A300="","",IF(AND(高値!I300&gt;高値!H300,高値!I300&gt;高値!G300,高値!I300&gt;高値!J300,高値!I300&gt;高値!K300),4,""))</f>
        <v/>
      </c>
      <c r="AF300" s="503" t="str">
        <f>IF(終値!A300="","",IF(AND(高値!J300&gt;高値!I300,高値!J300&gt;高値!H300,高値!J300&gt;高値!K300,高値!J300&gt;高値!L300),5,""))</f>
        <v/>
      </c>
      <c r="AG300" s="503" t="str">
        <f>IF(終値!A300="","",IF(AND(高値!K300&gt;高値!J300,高値!K300&gt;高値!I300,高値!K300&gt;高値!L300,高値!K300&gt;高値!M300),6,""))</f>
        <v/>
      </c>
      <c r="AH300" s="503" t="str">
        <f>IF(終値!A300="","",IF(AND(高値!L300&gt;高値!K300,高値!L300&gt;高値!J300,高値!L300&gt;高値!M300,高値!L300&gt;高値!N300),7,""))</f>
        <v/>
      </c>
      <c r="AI300" s="503" t="str">
        <f>IF(終値!A300="","",IF(AND(高値!M300&gt;高値!L300,高値!M300&gt;高値!K300,高値!M300&gt;高値!N300,高値!M300&gt;高値!O300),8,""))</f>
        <v/>
      </c>
      <c r="AJ300" s="503" t="str">
        <f>IF(終値!A300="","",IF(AND(高値!N300&gt;高値!M300,高値!N300&gt;高値!L300,高値!N300&gt;高値!O300,高値!N300&gt;高値!P300),9,""))</f>
        <v/>
      </c>
      <c r="AK300" s="503">
        <f>IF(終値!A300="","",IF(AND(高値!O300&gt;高値!N300,高値!O300&gt;高値!M300,高値!O300&gt;高値!P300,高値!O300&gt;高値!Q300),10,""))</f>
        <v>10</v>
      </c>
      <c r="AL300" s="503" t="str">
        <f>IF(終値!A300="","",IF(AND(高値!P300&gt;高値!O300,高値!P300&gt;高値!N300,高値!P300&gt;高値!Q300,高値!P300&gt;高値!R300),11,""))</f>
        <v/>
      </c>
      <c r="AM300" s="503" t="str">
        <f>IF(終値!A300="","",IF(AND(高値!Q300&gt;高値!P300,高値!Q300&gt;高値!O300,高値!Q300&gt;高値!R300,高値!Q300&gt;高値!S300),12,""))</f>
        <v/>
      </c>
      <c r="AN300" s="503" t="str">
        <f>IF(終値!A300="","",IF(AND(高値!R300&gt;高値!Q300,高値!R300&gt;高値!P300,高値!R300&gt;高値!S300,高値!R300&gt;高値!T300),13,""))</f>
        <v/>
      </c>
      <c r="AO300" s="503" t="str">
        <f>IF(終値!A300="","",IF(AND(高値!S300&gt;高値!R300,高値!S300&gt;高値!Q300,高値!S300&gt;高値!T300,高値!S300&gt;高値!U300),14,""))</f>
        <v/>
      </c>
      <c r="AP300" s="503" t="str">
        <f>IF(終値!A300="","",IF(AND(高値!T300&gt;高値!S300,高値!T300&gt;高値!R300,高値!T300&gt;高値!U300,高値!T300&gt;高値!V300),15,""))</f>
        <v/>
      </c>
      <c r="AQ300" s="503">
        <f>IF(終値!A300="","",IF(AND(高値!U300&gt;高値!T300,高値!U300&gt;高値!S300,高値!U300&gt;高値!V300,高値!U300&gt;高値!W300),16,""))</f>
        <v>16</v>
      </c>
      <c r="AR300" s="503" t="str">
        <f>IF(終値!A300="","",IF(AND(高値!V300&gt;高値!U300,高値!V300&gt;高値!T300,高値!V300&gt;高値!W300,高値!V300&gt;高値!X300),17,""))</f>
        <v/>
      </c>
      <c r="AS300" s="503" t="str">
        <f>IF(終値!A300="","",IF(AND(高値!W300&gt;高値!V300,高値!W300&gt;高値!U300,高値!W300&gt;高値!X300,高値!W300&gt;高値!Y300),18,""))</f>
        <v/>
      </c>
      <c r="AT300" s="503" t="str">
        <f>IF(終値!A300="","",IF(AND(高値!X300&gt;高値!W300,高値!X300&gt;高値!V300,高値!X300&gt;高値!Y300,高値!X300&gt;高値!Z300),19,""))</f>
        <v/>
      </c>
      <c r="AU300" s="503" t="str">
        <f>IF(終値!A300="","",IF(AND(高値!Y300&gt;高値!X300,高値!Y300&gt;高値!W300,高値!Y300&gt;高値!Z300,高値!Y300&gt;高値!AA300),20,""))</f>
        <v/>
      </c>
      <c r="AV300" s="503" t="str">
        <f>IF(終値!A300="","",IF(AND(高値!Z300&gt;高値!Y300,高値!Z300&gt;高値!X300,高値!Z300&gt;高値!AA300,高値!Z300&gt;高値!AB300),21,""))</f>
        <v/>
      </c>
      <c r="AW300" s="503" t="str">
        <f>IF(終値!A300="","",IF(AND(高値!AA300&gt;高値!Z300,高値!AA300&gt;高値!Y300,高値!AA300&gt;高値!AB300,高値!AA300&gt;高値!AC300),22,""))</f>
        <v/>
      </c>
      <c r="AX300" s="503" t="str">
        <f>IF(終値!A300="","",IF(AND(高値!AB300&gt;高値!AA300,高値!AB300&gt;高値!Z300,高値!AB300&gt;高値!AC300,高値!AB300&gt;高値!AD300),23,""))</f>
        <v/>
      </c>
      <c r="AY300" s="503">
        <f>IF(終値!A300="","",IF(AND(高値!AC300&gt;高値!AB300,高値!AC300&gt;高値!AA300,高値!AC300&gt;高値!AD300,高値!AC300&gt;高値!AE300),24,""))</f>
        <v>24</v>
      </c>
      <c r="AZ300" s="503" t="str">
        <f>IF(終値!A300="","",IF(AND(高値!AD300&gt;高値!AC300,高値!AD300&gt;高値!AB300,高値!AD300&gt;高値!AE300,高値!AD300&gt;高値!AF300),25,""))</f>
        <v/>
      </c>
      <c r="BA300" s="503" t="str">
        <f>IF(終値!A300="","",IF(AND(高値!AE300&gt;高値!AD300,高値!AE300&gt;高値!AC300,高値!AE300&gt;高値!AF300,高値!AE300&gt;高値!AG300),26,""))</f>
        <v/>
      </c>
      <c r="BB300" s="503" t="str">
        <f>IF(終値!A300="","",IF(AND(高値!AF300&gt;高値!AE300,高値!AF300&gt;高値!AD300,高値!AF300&gt;高値!AG300,高値!AF300&gt;高値!AH300),27,""))</f>
        <v/>
      </c>
      <c r="BC300" s="503" t="str">
        <f>IF(終値!A300="","",IF(AND(高値!AG300&gt;高値!AF300,高値!AG300&gt;高値!AE300,高値!AG300&gt;高値!AH300,高値!AG300&gt;高値!AI300),28,""))</f>
        <v/>
      </c>
      <c r="BD300" s="503">
        <f t="shared" si="24"/>
        <v>5</v>
      </c>
      <c r="BE300" s="503">
        <f t="shared" si="25"/>
        <v>6</v>
      </c>
      <c r="BF300" s="503">
        <f t="shared" si="26"/>
        <v>9</v>
      </c>
      <c r="BG300" s="503">
        <f>IF($BE300="","",INDEX(安値!$E300:$CZ300,1,$BE300+1))</f>
        <v>2100.5</v>
      </c>
      <c r="BH300" s="503">
        <f>IF($BF300="","",INDEX(安値!$E300:$CZ300,1,$BF300+1))</f>
        <v>0</v>
      </c>
      <c r="BI300" s="503">
        <f>IF($BF300="","",MAX(INDEX(高値!$E300:$CZ300,1,$BE300+1):INDEX(高値!$E300:$CZ300,1,$BF300+1)))</f>
        <v>2372</v>
      </c>
      <c r="BJ300" s="503">
        <f>IF($BF300="","",AVERAGE(INDEX(終値!$E300:$CZ300,1,$BF300+1):INDEX(終値!$E300:$CZ300,1,$BF300+20))-2*STDEVP(INDEX(終値!$E300:$CZ300,1,$BF300+1):INDEX(終値!$E300:$CZ300,1,$BF300+20)))</f>
        <v>2263.7082223227917</v>
      </c>
      <c r="BK300" s="503">
        <f>IF($BE300="","",AVERAGE(INDEX(終値!$E300:$CZ300,1,$BE300+1):INDEX(終値!$E300:$CZ300,1,$BE300+20))-2*STDEVP(INDEX(終値!$E300:$CZ300,1,$BE300+1):INDEX(終値!$E300:$CZ300,1,$BE300+20)))</f>
        <v>2152.5285812166276</v>
      </c>
      <c r="BL300" s="503">
        <f t="shared" si="27"/>
        <v>3</v>
      </c>
      <c r="BM300" s="503">
        <f t="shared" si="28"/>
        <v>10</v>
      </c>
      <c r="BN300" s="503">
        <f t="shared" si="29"/>
        <v>16</v>
      </c>
      <c r="BO300" s="503">
        <f>IF($BM300="","",INDEX(高値!$E300:$CZ300,1,$BM300+1))</f>
        <v>2488</v>
      </c>
      <c r="BP300" s="503">
        <f>IF($BN300="","",INDEX(高値!$E300:$CZ300,1,$BN300+1))</f>
        <v>2551.5</v>
      </c>
      <c r="BQ300" s="503">
        <f>IF($BN300="","",MIN(INDEX(安値!$E300:$CZ300,1,$BM300+1):INDEX(安値!$E300:$CZ300,1,$BN300+1)))</f>
        <v>2224</v>
      </c>
      <c r="BR300" s="503">
        <f>IF($BN300="","",AVERAGE(INDEX(終値!$E300:$CZ300,1,$BN300+1):INDEX(終値!$E300:$CZ300,1,$BN300+20))+2*STDEVP(INDEX(終値!$E300:$CZ300,1,$BN300+1):INDEX(終値!$E300:$CZ300,1,$BN300+20)))</f>
        <v>2882.8346045333733</v>
      </c>
      <c r="BS300" s="503">
        <f>IF($BM300="","",AVERAGE(INDEX(終値!$E300:$CZ300,1,$BM300+1):INDEX(終値!$E300:$CZ300,1,$BM300+20))+2*STDEVP(INDEX(終値!$E300:$CZ300,1,$BM300+1):INDEX(終値!$E300:$CZ300,1,$BM300+20)))</f>
        <v>2801.4972646917986</v>
      </c>
      <c r="BT300" s="500"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v>
      </c>
    </row>
    <row r="301" spans="2:72">
      <c r="B301" s="503" t="str">
        <f>IF(終値!A301="","",IF(AND(安値!G301&lt;安値!F301,安値!G301&lt;安値!E301,安値!G301&lt;安値!H301,安値!G301&lt;安値!I301),2,""))</f>
        <v/>
      </c>
      <c r="C301" s="503">
        <f>IF(終値!A301="","",IF(AND(安値!H301&lt;安値!G301,安値!H301&lt;安値!F301,安値!H301&lt;安値!I301,安値!H301&lt;安値!J301),3,""))</f>
        <v>3</v>
      </c>
      <c r="D301" s="503" t="str">
        <f>IF(終値!A301="","",IF(AND(安値!I301&lt;安値!H301,安値!I301&lt;安値!G301,安値!I301&lt;安値!J301,安値!I301&lt;安値!K301),4,""))</f>
        <v/>
      </c>
      <c r="E301" s="503" t="str">
        <f>IF(終値!A301="","",IF(AND(安値!J301&lt;安値!I301,安値!J301&lt;安値!H301,安値!J301&lt;安値!K301,安値!J301&lt;安値!L301),5,""))</f>
        <v/>
      </c>
      <c r="F301" s="503">
        <f>IF(終値!A301="","",IF(AND(安値!K301&lt;安値!J301,安値!K301&lt;安値!I301,安値!K301&lt;安値!L301,安値!K301&lt;安値!M301),6,""))</f>
        <v>6</v>
      </c>
      <c r="G301" s="503" t="str">
        <f>IF(終値!A301="","",IF(AND(安値!L301&lt;安値!K301,安値!L301&lt;安値!J301,安値!L301&lt;安値!M301,安値!L301&lt;安値!N301),7,""))</f>
        <v/>
      </c>
      <c r="H301" s="503" t="str">
        <f>IF(終値!A301="","",IF(AND(安値!M301&lt;安値!L301,安値!M301&lt;安値!K301,安値!M301&lt;安値!N301,安値!M301&lt;安値!O301),8,""))</f>
        <v/>
      </c>
      <c r="I301" s="503" t="str">
        <f>IF(終値!A301="","",IF(AND(安値!N301&lt;安値!M301,安値!N301&lt;安値!L301,安値!N301&lt;安値!O301,安値!N301&lt;安値!P301),9,""))</f>
        <v/>
      </c>
      <c r="J301" s="503" t="str">
        <f>IF(終値!A301="","",IF(AND(安値!O301&lt;安値!N301,安値!O301&lt;安値!M301,安値!O301&lt;安値!P301,安値!O301&lt;安値!Q301),10,""))</f>
        <v/>
      </c>
      <c r="K301" s="503" t="str">
        <f>IF(終値!A301="","",IF(AND(安値!P301&lt;安値!O301,安値!P301&lt;安値!N301,安値!P301&lt;安値!Q301,安値!P301&lt;安値!R301),11,""))</f>
        <v/>
      </c>
      <c r="L301" s="503" t="str">
        <f>IF(終値!A301="","",IF(AND(安値!Q301&lt;安値!P301,安値!Q301&lt;安値!O301,安値!Q301&lt;安値!R301,安値!Q301&lt;安値!S301),12,""))</f>
        <v/>
      </c>
      <c r="M301" s="503">
        <f>IF(終値!A301="","",IF(AND(安値!R301&lt;安値!Q301,安値!R301&lt;安値!P301,安値!R301&lt;安値!S301,安値!R301&lt;安値!T301),13,""))</f>
        <v>13</v>
      </c>
      <c r="N301" s="503" t="str">
        <f>IF(終値!A301="","",IF(AND(安値!S301&lt;安値!R301,安値!S301&lt;安値!Q301,安値!S301&lt;安値!T301,安値!S301&lt;安値!U301),14,""))</f>
        <v/>
      </c>
      <c r="O301" s="503" t="str">
        <f>IF(終値!A301="","",IF(AND(安値!T301&lt;安値!S301,安値!T301&lt;安値!R301,安値!T301&lt;安値!U301,安値!T301&lt;安値!V301),15,""))</f>
        <v/>
      </c>
      <c r="P301" s="503" t="str">
        <f>IF(終値!A301="","",IF(AND(安値!U301&lt;安値!T301,安値!U301&lt;安値!S301,安値!U301&lt;安値!V301,安値!U301&lt;安値!W301),16,""))</f>
        <v/>
      </c>
      <c r="Q301" s="503" t="str">
        <f>IF(終値!A301="","",IF(AND(安値!V301&lt;安値!U301,安値!V301&lt;安値!T301,安値!V301&lt;安値!W301,安値!V301&lt;安値!X301),17,""))</f>
        <v/>
      </c>
      <c r="R301" s="503" t="str">
        <f>IF(終値!A301="","",IF(AND(安値!W301&lt;安値!V301,安値!W301&lt;安値!U301,安値!W301&lt;安値!X301,安値!W301&lt;安値!Y301),18,""))</f>
        <v/>
      </c>
      <c r="S301" s="503" t="str">
        <f>IF(終値!A301="","",IF(AND(安値!X301&lt;安値!W301,安値!X301&lt;安値!V301,安値!X301&lt;安値!Y301,安値!X301&lt;安値!Z301),19,""))</f>
        <v/>
      </c>
      <c r="T301" s="503" t="str">
        <f>IF(終値!A301="","",IF(AND(安値!Y301&lt;安値!X301,安値!Y301&lt;安値!W301,安値!Y301&lt;安値!Z301,安値!Y301&lt;安値!AA301),20,""))</f>
        <v/>
      </c>
      <c r="U301" s="503" t="str">
        <f>IF(終値!A301="","",IF(AND(安値!Z301&lt;安値!Y301,安値!Z301&lt;安値!X301,安値!Z301&lt;安値!AA301,安値!Z301&lt;安値!AB301),21,""))</f>
        <v/>
      </c>
      <c r="V301" s="503">
        <f>IF(終値!A301="","",IF(AND(安値!AA301&lt;安値!Z301,安値!AA301&lt;安値!Y301,安値!AA301&lt;安値!AB301,安値!AA301&lt;安値!AC301),22,""))</f>
        <v>22</v>
      </c>
      <c r="W301" s="503" t="str">
        <f>IF(終値!A301="","",IF(AND(安値!AB301&lt;安値!AA301,安値!AB301&lt;安値!Z301,安値!AB301&lt;安値!AC301,安値!AB301&lt;安値!AD301),23,""))</f>
        <v/>
      </c>
      <c r="X301" s="503" t="str">
        <f>IF(終値!A301="","",IF(AND(安値!AC301&lt;安値!AB301,安値!AC301&lt;安値!AA301,安値!AC301&lt;安値!AD301,安値!AC301&lt;安値!AE301),24,""))</f>
        <v/>
      </c>
      <c r="Y301" s="503">
        <f>IF(終値!A301="","",IF(AND(安値!AD301&lt;安値!AC301,安値!AD301&lt;安値!AB301,安値!AD301&lt;安値!AE301,安値!AD301&lt;安値!AF301),25,""))</f>
        <v>25</v>
      </c>
      <c r="Z301" s="503" t="str">
        <f>IF(終値!A301="","",IF(AND(安値!AE301&lt;安値!AD301,安値!AE301&lt;安値!AC301,安値!AE301&lt;安値!AF301,安値!AE301&lt;安値!AG301),26,""))</f>
        <v/>
      </c>
      <c r="AA301" s="503" t="str">
        <f>IF(終値!A301="","",IF(AND(安値!AF301&lt;安値!AE301,安値!AF301&lt;安値!AD301,安値!AF301&lt;安値!AG301,安値!AF301&lt;安値!AH301),27,""))</f>
        <v/>
      </c>
      <c r="AB301" s="503" t="str">
        <f>IF(終値!A301="","",IF(AND(安値!AG301&lt;安値!AF301,安値!AG301&lt;安値!AE301,安値!AG301&lt;安値!AH301,安値!AG301&lt;安値!AI301),28,""))</f>
        <v/>
      </c>
      <c r="AC301" s="503" t="str">
        <f>IF(終値!A301="","",IF(AND(高値!G301&gt;高値!F301,高値!G301&gt;高値!E301,高値!G301&gt;高値!H301,高値!G301&gt;高値!I301),2,""))</f>
        <v/>
      </c>
      <c r="AD301" s="503" t="str">
        <f>IF(終値!A301="","",IF(AND(高値!H301&gt;高値!G301,高値!H301&gt;高値!F301,高値!H301&gt;高値!I301,高値!H301&gt;高値!J301),3,""))</f>
        <v/>
      </c>
      <c r="AE301" s="503">
        <f>IF(終値!A301="","",IF(AND(高値!I301&gt;高値!H301,高値!I301&gt;高値!G301,高値!I301&gt;高値!J301,高値!I301&gt;高値!K301),4,""))</f>
        <v>4</v>
      </c>
      <c r="AF301" s="503" t="str">
        <f>IF(終値!A301="","",IF(AND(高値!J301&gt;高値!I301,高値!J301&gt;高値!H301,高値!J301&gt;高値!K301,高値!J301&gt;高値!L301),5,""))</f>
        <v/>
      </c>
      <c r="AG301" s="503" t="str">
        <f>IF(終値!A301="","",IF(AND(高値!K301&gt;高値!J301,高値!K301&gt;高値!I301,高値!K301&gt;高値!L301,高値!K301&gt;高値!M301),6,""))</f>
        <v/>
      </c>
      <c r="AH301" s="503" t="str">
        <f>IF(終値!A301="","",IF(AND(高値!L301&gt;高値!K301,高値!L301&gt;高値!J301,高値!L301&gt;高値!M301,高値!L301&gt;高値!N301),7,""))</f>
        <v/>
      </c>
      <c r="AI301" s="503" t="str">
        <f>IF(終値!A301="","",IF(AND(高値!M301&gt;高値!L301,高値!M301&gt;高値!K301,高値!M301&gt;高値!N301,高値!M301&gt;高値!O301),8,""))</f>
        <v/>
      </c>
      <c r="AJ301" s="503">
        <f>IF(終値!A301="","",IF(AND(高値!N301&gt;高値!M301,高値!N301&gt;高値!L301,高値!N301&gt;高値!O301,高値!N301&gt;高値!P301),9,""))</f>
        <v>9</v>
      </c>
      <c r="AK301" s="503" t="str">
        <f>IF(終値!A301="","",IF(AND(高値!O301&gt;高値!N301,高値!O301&gt;高値!M301,高値!O301&gt;高値!P301,高値!O301&gt;高値!Q301),10,""))</f>
        <v/>
      </c>
      <c r="AL301" s="503" t="str">
        <f>IF(終値!A301="","",IF(AND(高値!P301&gt;高値!O301,高値!P301&gt;高値!N301,高値!P301&gt;高値!Q301,高値!P301&gt;高値!R301),11,""))</f>
        <v/>
      </c>
      <c r="AM301" s="503" t="str">
        <f>IF(終値!A301="","",IF(AND(高値!Q301&gt;高値!P301,高値!Q301&gt;高値!O301,高値!Q301&gt;高値!R301,高値!Q301&gt;高値!S301),12,""))</f>
        <v/>
      </c>
      <c r="AN301" s="503" t="str">
        <f>IF(終値!A301="","",IF(AND(高値!R301&gt;高値!Q301,高値!R301&gt;高値!P301,高値!R301&gt;高値!S301,高値!R301&gt;高値!T301),13,""))</f>
        <v/>
      </c>
      <c r="AO301" s="503" t="str">
        <f>IF(終値!A301="","",IF(AND(高値!S301&gt;高値!R301,高値!S301&gt;高値!Q301,高値!S301&gt;高値!T301,高値!S301&gt;高値!U301),14,""))</f>
        <v/>
      </c>
      <c r="AP301" s="503" t="str">
        <f>IF(終値!A301="","",IF(AND(高値!T301&gt;高値!S301,高値!T301&gt;高値!R301,高値!T301&gt;高値!U301,高値!T301&gt;高値!V301),15,""))</f>
        <v/>
      </c>
      <c r="AQ301" s="503" t="str">
        <f>IF(終値!A301="","",IF(AND(高値!U301&gt;高値!T301,高値!U301&gt;高値!S301,高値!U301&gt;高値!V301,高値!U301&gt;高値!W301),16,""))</f>
        <v/>
      </c>
      <c r="AR301" s="503" t="str">
        <f>IF(終値!A301="","",IF(AND(高値!V301&gt;高値!U301,高値!V301&gt;高値!T301,高値!V301&gt;高値!W301,高値!V301&gt;高値!X301),17,""))</f>
        <v/>
      </c>
      <c r="AS301" s="503" t="str">
        <f>IF(終値!A301="","",IF(AND(高値!W301&gt;高値!V301,高値!W301&gt;高値!U301,高値!W301&gt;高値!X301,高値!W301&gt;高値!Y301),18,""))</f>
        <v/>
      </c>
      <c r="AT301" s="503" t="str">
        <f>IF(終値!A301="","",IF(AND(高値!X301&gt;高値!W301,高値!X301&gt;高値!V301,高値!X301&gt;高値!Y301,高値!X301&gt;高値!Z301),19,""))</f>
        <v/>
      </c>
      <c r="AU301" s="503" t="str">
        <f>IF(終値!A301="","",IF(AND(高値!Y301&gt;高値!X301,高値!Y301&gt;高値!W301,高値!Y301&gt;高値!Z301,高値!Y301&gt;高値!AA301),20,""))</f>
        <v/>
      </c>
      <c r="AV301" s="503">
        <f>IF(終値!A301="","",IF(AND(高値!Z301&gt;高値!Y301,高値!Z301&gt;高値!X301,高値!Z301&gt;高値!AA301,高値!Z301&gt;高値!AB301),21,""))</f>
        <v>21</v>
      </c>
      <c r="AW301" s="503" t="str">
        <f>IF(終値!A301="","",IF(AND(高値!AA301&gt;高値!Z301,高値!AA301&gt;高値!Y301,高値!AA301&gt;高値!AB301,高値!AA301&gt;高値!AC301),22,""))</f>
        <v/>
      </c>
      <c r="AX301" s="503" t="str">
        <f>IF(終値!A301="","",IF(AND(高値!AB301&gt;高値!AA301,高値!AB301&gt;高値!Z301,高値!AB301&gt;高値!AC301,高値!AB301&gt;高値!AD301),23,""))</f>
        <v/>
      </c>
      <c r="AY301" s="503" t="str">
        <f>IF(終値!A301="","",IF(AND(高値!AC301&gt;高値!AB301,高値!AC301&gt;高値!AA301,高値!AC301&gt;高値!AD301,高値!AC301&gt;高値!AE301),24,""))</f>
        <v/>
      </c>
      <c r="AZ301" s="503" t="str">
        <f>IF(終値!A301="","",IF(AND(高値!AD301&gt;高値!AC301,高値!AD301&gt;高値!AB301,高値!AD301&gt;高値!AE301,高値!AD301&gt;高値!AF301),25,""))</f>
        <v/>
      </c>
      <c r="BA301" s="503" t="str">
        <f>IF(終値!A301="","",IF(AND(高値!AE301&gt;高値!AD301,高値!AE301&gt;高値!AC301,高値!AE301&gt;高値!AF301,高値!AE301&gt;高値!AG301),26,""))</f>
        <v/>
      </c>
      <c r="BB301" s="503" t="str">
        <f>IF(終値!A301="","",IF(AND(高値!AF301&gt;高値!AE301,高値!AF301&gt;高値!AD301,高値!AF301&gt;高値!AG301,高値!AF301&gt;高値!AH301),27,""))</f>
        <v/>
      </c>
      <c r="BC301" s="503" t="str">
        <f>IF(終値!A301="","",IF(AND(高値!AG301&gt;高値!AF301,高値!AG301&gt;高値!AE301,高値!AG301&gt;高値!AH301,高値!AG301&gt;高値!AI301),28,""))</f>
        <v/>
      </c>
      <c r="BD301" s="503">
        <f t="shared" si="24"/>
        <v>5</v>
      </c>
      <c r="BE301" s="503">
        <f t="shared" si="25"/>
        <v>3</v>
      </c>
      <c r="BF301" s="503">
        <f t="shared" si="26"/>
        <v>6</v>
      </c>
      <c r="BG301" s="503">
        <f>IF($BE301="","",INDEX(安値!$E301:$CZ301,1,$BE301+1))</f>
        <v>2937</v>
      </c>
      <c r="BH301" s="503">
        <f>IF($BF301="","",INDEX(安値!$E301:$CZ301,1,$BF301+1))</f>
        <v>2975</v>
      </c>
      <c r="BI301" s="503">
        <f>IF($BF301="","",MAX(INDEX(高値!$E301:$CZ301,1,$BE301+1):INDEX(高値!$E301:$CZ301,1,$BF301+1)))</f>
        <v>3345</v>
      </c>
      <c r="BJ301" s="503">
        <f>IF($BF301="","",AVERAGE(INDEX(終値!$E301:$CZ301,1,$BF301+1):INDEX(終値!$E301:$CZ301,1,$BF301+20))-2*STDEVP(INDEX(終値!$E301:$CZ301,1,$BF301+1):INDEX(終値!$E301:$CZ301,1,$BF301+20)))</f>
        <v>3030.4115872155144</v>
      </c>
      <c r="BK301" s="503">
        <f>IF($BE301="","",AVERAGE(INDEX(終値!$E301:$CZ301,1,$BE301+1):INDEX(終値!$E301:$CZ301,1,$BE301+20))-2*STDEVP(INDEX(終値!$E301:$CZ301,1,$BE301+1):INDEX(終値!$E301:$CZ301,1,$BE301+20)))</f>
        <v>2910.0653494452727</v>
      </c>
      <c r="BL301" s="503">
        <f t="shared" si="27"/>
        <v>3</v>
      </c>
      <c r="BM301" s="503">
        <f t="shared" si="28"/>
        <v>4</v>
      </c>
      <c r="BN301" s="503">
        <f t="shared" si="29"/>
        <v>9</v>
      </c>
      <c r="BO301" s="503">
        <f>IF($BM301="","",INDEX(高値!$E301:$CZ301,1,$BM301+1))</f>
        <v>3345</v>
      </c>
      <c r="BP301" s="503">
        <f>IF($BN301="","",INDEX(高値!$E301:$CZ301,1,$BN301+1))</f>
        <v>3425</v>
      </c>
      <c r="BQ301" s="503">
        <f>IF($BN301="","",MIN(INDEX(安値!$E301:$CZ301,1,$BM301+1):INDEX(安値!$E301:$CZ301,1,$BN301+1)))</f>
        <v>2975</v>
      </c>
      <c r="BR301" s="503">
        <f>IF($BN301="","",AVERAGE(INDEX(終値!$E301:$CZ301,1,$BN301+1):INDEX(終値!$E301:$CZ301,1,$BN301+20))+2*STDEVP(INDEX(終値!$E301:$CZ301,1,$BN301+1):INDEX(終値!$E301:$CZ301,1,$BN301+20)))</f>
        <v>4039.0630816554935</v>
      </c>
      <c r="BS301" s="503">
        <f>IF($BM301="","",AVERAGE(INDEX(終値!$E301:$CZ301,1,$BM301+1):INDEX(終値!$E301:$CZ301,1,$BM301+20))+2*STDEVP(INDEX(終値!$E301:$CZ301,1,$BM301+1):INDEX(終値!$E301:$CZ301,1,$BM301+20)))</f>
        <v>3934.9291447161222</v>
      </c>
      <c r="BT301" s="500"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二番底W▲</v>
      </c>
    </row>
    <row r="302" spans="2:72">
      <c r="B302" s="503" t="str">
        <f>IF(終値!A302="","",IF(AND(安値!G302&lt;安値!F302,安値!G302&lt;安値!E302,安値!G302&lt;安値!H302,安値!G302&lt;安値!I302),2,""))</f>
        <v/>
      </c>
      <c r="C302" s="503" t="str">
        <f>IF(終値!A302="","",IF(AND(安値!H302&lt;安値!G302,安値!H302&lt;安値!F302,安値!H302&lt;安値!I302,安値!H302&lt;安値!J302),3,""))</f>
        <v/>
      </c>
      <c r="D302" s="503" t="str">
        <f>IF(終値!A302="","",IF(AND(安値!I302&lt;安値!H302,安値!I302&lt;安値!G302,安値!I302&lt;安値!J302,安値!I302&lt;安値!K302),4,""))</f>
        <v/>
      </c>
      <c r="E302" s="503" t="str">
        <f>IF(終値!A302="","",IF(AND(安値!J302&lt;安値!I302,安値!J302&lt;安値!H302,安値!J302&lt;安値!K302,安値!J302&lt;安値!L302),5,""))</f>
        <v/>
      </c>
      <c r="F302" s="503">
        <f>IF(終値!A302="","",IF(AND(安値!K302&lt;安値!J302,安値!K302&lt;安値!I302,安値!K302&lt;安値!L302,安値!K302&lt;安値!M302),6,""))</f>
        <v>6</v>
      </c>
      <c r="G302" s="503" t="str">
        <f>IF(終値!A302="","",IF(AND(安値!L302&lt;安値!K302,安値!L302&lt;安値!J302,安値!L302&lt;安値!M302,安値!L302&lt;安値!N302),7,""))</f>
        <v/>
      </c>
      <c r="H302" s="503" t="str">
        <f>IF(終値!A302="","",IF(AND(安値!M302&lt;安値!L302,安値!M302&lt;安値!K302,安値!M302&lt;安値!N302,安値!M302&lt;安値!O302),8,""))</f>
        <v/>
      </c>
      <c r="I302" s="503" t="str">
        <f>IF(終値!A302="","",IF(AND(安値!N302&lt;安値!M302,安値!N302&lt;安値!L302,安値!N302&lt;安値!O302,安値!N302&lt;安値!P302),9,""))</f>
        <v/>
      </c>
      <c r="J302" s="503" t="str">
        <f>IF(終値!A302="","",IF(AND(安値!O302&lt;安値!N302,安値!O302&lt;安値!M302,安値!O302&lt;安値!P302,安値!O302&lt;安値!Q302),10,""))</f>
        <v/>
      </c>
      <c r="K302" s="503" t="str">
        <f>IF(終値!A302="","",IF(AND(安値!P302&lt;安値!O302,安値!P302&lt;安値!N302,安値!P302&lt;安値!Q302,安値!P302&lt;安値!R302),11,""))</f>
        <v/>
      </c>
      <c r="L302" s="503" t="str">
        <f>IF(終値!A302="","",IF(AND(安値!Q302&lt;安値!P302,安値!Q302&lt;安値!O302,安値!Q302&lt;安値!R302,安値!Q302&lt;安値!S302),12,""))</f>
        <v/>
      </c>
      <c r="M302" s="503">
        <f>IF(終値!A302="","",IF(AND(安値!R302&lt;安値!Q302,安値!R302&lt;安値!P302,安値!R302&lt;安値!S302,安値!R302&lt;安値!T302),13,""))</f>
        <v>13</v>
      </c>
      <c r="N302" s="503" t="str">
        <f>IF(終値!A302="","",IF(AND(安値!S302&lt;安値!R302,安値!S302&lt;安値!Q302,安値!S302&lt;安値!T302,安値!S302&lt;安値!U302),14,""))</f>
        <v/>
      </c>
      <c r="O302" s="503" t="str">
        <f>IF(終値!A302="","",IF(AND(安値!T302&lt;安値!S302,安値!T302&lt;安値!R302,安値!T302&lt;安値!U302,安値!T302&lt;安値!V302),15,""))</f>
        <v/>
      </c>
      <c r="P302" s="503" t="str">
        <f>IF(終値!A302="","",IF(AND(安値!U302&lt;安値!T302,安値!U302&lt;安値!S302,安値!U302&lt;安値!V302,安値!U302&lt;安値!W302),16,""))</f>
        <v/>
      </c>
      <c r="Q302" s="503" t="str">
        <f>IF(終値!A302="","",IF(AND(安値!V302&lt;安値!U302,安値!V302&lt;安値!T302,安値!V302&lt;安値!W302,安値!V302&lt;安値!X302),17,""))</f>
        <v/>
      </c>
      <c r="R302" s="503" t="str">
        <f>IF(終値!A302="","",IF(AND(安値!W302&lt;安値!V302,安値!W302&lt;安値!U302,安値!W302&lt;安値!X302,安値!W302&lt;安値!Y302),18,""))</f>
        <v/>
      </c>
      <c r="S302" s="503">
        <f>IF(終値!A302="","",IF(AND(安値!X302&lt;安値!W302,安値!X302&lt;安値!V302,安値!X302&lt;安値!Y302,安値!X302&lt;安値!Z302),19,""))</f>
        <v>19</v>
      </c>
      <c r="T302" s="503" t="str">
        <f>IF(終値!A302="","",IF(AND(安値!Y302&lt;安値!X302,安値!Y302&lt;安値!W302,安値!Y302&lt;安値!Z302,安値!Y302&lt;安値!AA302),20,""))</f>
        <v/>
      </c>
      <c r="U302" s="503" t="str">
        <f>IF(終値!A302="","",IF(AND(安値!Z302&lt;安値!Y302,安値!Z302&lt;安値!X302,安値!Z302&lt;安値!AA302,安値!Z302&lt;安値!AB302),21,""))</f>
        <v/>
      </c>
      <c r="V302" s="503" t="str">
        <f>IF(終値!A302="","",IF(AND(安値!AA302&lt;安値!Z302,安値!AA302&lt;安値!Y302,安値!AA302&lt;安値!AB302,安値!AA302&lt;安値!AC302),22,""))</f>
        <v/>
      </c>
      <c r="W302" s="503" t="str">
        <f>IF(終値!A302="","",IF(AND(安値!AB302&lt;安値!AA302,安値!AB302&lt;安値!Z302,安値!AB302&lt;安値!AC302,安値!AB302&lt;安値!AD302),23,""))</f>
        <v/>
      </c>
      <c r="X302" s="503" t="str">
        <f>IF(終値!A302="","",IF(AND(安値!AC302&lt;安値!AB302,安値!AC302&lt;安値!AA302,安値!AC302&lt;安値!AD302,安値!AC302&lt;安値!AE302),24,""))</f>
        <v/>
      </c>
      <c r="Y302" s="503" t="str">
        <f>IF(終値!A302="","",IF(AND(安値!AD302&lt;安値!AC302,安値!AD302&lt;安値!AB302,安値!AD302&lt;安値!AE302,安値!AD302&lt;安値!AF302),25,""))</f>
        <v/>
      </c>
      <c r="Z302" s="503" t="str">
        <f>IF(終値!A302="","",IF(AND(安値!AE302&lt;安値!AD302,安値!AE302&lt;安値!AC302,安値!AE302&lt;安値!AF302,安値!AE302&lt;安値!AG302),26,""))</f>
        <v/>
      </c>
      <c r="AA302" s="503">
        <f>IF(終値!A302="","",IF(AND(安値!AF302&lt;安値!AE302,安値!AF302&lt;安値!AD302,安値!AF302&lt;安値!AG302,安値!AF302&lt;安値!AH302),27,""))</f>
        <v>27</v>
      </c>
      <c r="AB302" s="503" t="str">
        <f>IF(終値!A302="","",IF(AND(安値!AG302&lt;安値!AF302,安値!AG302&lt;安値!AE302,安値!AG302&lt;安値!AH302,安値!AG302&lt;安値!AI302),28,""))</f>
        <v/>
      </c>
      <c r="AC302" s="503" t="str">
        <f>IF(終値!A302="","",IF(AND(高値!G302&gt;高値!F302,高値!G302&gt;高値!E302,高値!G302&gt;高値!H302,高値!G302&gt;高値!I302),2,""))</f>
        <v/>
      </c>
      <c r="AD302" s="503" t="str">
        <f>IF(終値!A302="","",IF(AND(高値!H302&gt;高値!G302,高値!H302&gt;高値!F302,高値!H302&gt;高値!I302,高値!H302&gt;高値!J302),3,""))</f>
        <v/>
      </c>
      <c r="AE302" s="503" t="str">
        <f>IF(終値!A302="","",IF(AND(高値!I302&gt;高値!H302,高値!I302&gt;高値!G302,高値!I302&gt;高値!J302,高値!I302&gt;高値!K302),4,""))</f>
        <v/>
      </c>
      <c r="AF302" s="503" t="str">
        <f>IF(終値!A302="","",IF(AND(高値!J302&gt;高値!I302,高値!J302&gt;高値!H302,高値!J302&gt;高値!K302,高値!J302&gt;高値!L302),5,""))</f>
        <v/>
      </c>
      <c r="AG302" s="503" t="str">
        <f>IF(終値!A302="","",IF(AND(高値!K302&gt;高値!J302,高値!K302&gt;高値!I302,高値!K302&gt;高値!L302,高値!K302&gt;高値!M302),6,""))</f>
        <v/>
      </c>
      <c r="AH302" s="503" t="str">
        <f>IF(終値!A302="","",IF(AND(高値!L302&gt;高値!K302,高値!L302&gt;高値!J302,高値!L302&gt;高値!M302,高値!L302&gt;高値!N302),7,""))</f>
        <v/>
      </c>
      <c r="AI302" s="503" t="str">
        <f>IF(終値!A302="","",IF(AND(高値!M302&gt;高値!L302,高値!M302&gt;高値!K302,高値!M302&gt;高値!N302,高値!M302&gt;高値!O302),8,""))</f>
        <v/>
      </c>
      <c r="AJ302" s="503" t="str">
        <f>IF(終値!A302="","",IF(AND(高値!N302&gt;高値!M302,高値!N302&gt;高値!L302,高値!N302&gt;高値!O302,高値!N302&gt;高値!P302),9,""))</f>
        <v/>
      </c>
      <c r="AK302" s="503" t="str">
        <f>IF(終値!A302="","",IF(AND(高値!O302&gt;高値!N302,高値!O302&gt;高値!M302,高値!O302&gt;高値!P302,高値!O302&gt;高値!Q302),10,""))</f>
        <v/>
      </c>
      <c r="AL302" s="503" t="str">
        <f>IF(終値!A302="","",IF(AND(高値!P302&gt;高値!O302,高値!P302&gt;高値!N302,高値!P302&gt;高値!Q302,高値!P302&gt;高値!R302),11,""))</f>
        <v/>
      </c>
      <c r="AM302" s="503" t="str">
        <f>IF(終値!A302="","",IF(AND(高値!Q302&gt;高値!P302,高値!Q302&gt;高値!O302,高値!Q302&gt;高値!R302,高値!Q302&gt;高値!S302),12,""))</f>
        <v/>
      </c>
      <c r="AN302" s="503" t="str">
        <f>IF(終値!A302="","",IF(AND(高値!R302&gt;高値!Q302,高値!R302&gt;高値!P302,高値!R302&gt;高値!S302,高値!R302&gt;高値!T302),13,""))</f>
        <v/>
      </c>
      <c r="AO302" s="503" t="str">
        <f>IF(終値!A302="","",IF(AND(高値!S302&gt;高値!R302,高値!S302&gt;高値!Q302,高値!S302&gt;高値!T302,高値!S302&gt;高値!U302),14,""))</f>
        <v/>
      </c>
      <c r="AP302" s="503">
        <f>IF(終値!A302="","",IF(AND(高値!T302&gt;高値!S302,高値!T302&gt;高値!R302,高値!T302&gt;高値!U302,高値!T302&gt;高値!V302),15,""))</f>
        <v>15</v>
      </c>
      <c r="AQ302" s="503" t="str">
        <f>IF(終値!A302="","",IF(AND(高値!U302&gt;高値!T302,高値!U302&gt;高値!S302,高値!U302&gt;高値!V302,高値!U302&gt;高値!W302),16,""))</f>
        <v/>
      </c>
      <c r="AR302" s="503" t="str">
        <f>IF(終値!A302="","",IF(AND(高値!V302&gt;高値!U302,高値!V302&gt;高値!T302,高値!V302&gt;高値!W302,高値!V302&gt;高値!X302),17,""))</f>
        <v/>
      </c>
      <c r="AS302" s="503" t="str">
        <f>IF(終値!A302="","",IF(AND(高値!W302&gt;高値!V302,高値!W302&gt;高値!U302,高値!W302&gt;高値!X302,高値!W302&gt;高値!Y302),18,""))</f>
        <v/>
      </c>
      <c r="AT302" s="503" t="str">
        <f>IF(終値!A302="","",IF(AND(高値!X302&gt;高値!W302,高値!X302&gt;高値!V302,高値!X302&gt;高値!Y302,高値!X302&gt;高値!Z302),19,""))</f>
        <v/>
      </c>
      <c r="AU302" s="503" t="str">
        <f>IF(終値!A302="","",IF(AND(高値!Y302&gt;高値!X302,高値!Y302&gt;高値!W302,高値!Y302&gt;高値!Z302,高値!Y302&gt;高値!AA302),20,""))</f>
        <v/>
      </c>
      <c r="AV302" s="503" t="str">
        <f>IF(終値!A302="","",IF(AND(高値!Z302&gt;高値!Y302,高値!Z302&gt;高値!X302,高値!Z302&gt;高値!AA302,高値!Z302&gt;高値!AB302),21,""))</f>
        <v/>
      </c>
      <c r="AW302" s="503" t="str">
        <f>IF(終値!A302="","",IF(AND(高値!AA302&gt;高値!Z302,高値!AA302&gt;高値!Y302,高値!AA302&gt;高値!AB302,高値!AA302&gt;高値!AC302),22,""))</f>
        <v/>
      </c>
      <c r="AX302" s="503" t="str">
        <f>IF(終値!A302="","",IF(AND(高値!AB302&gt;高値!AA302,高値!AB302&gt;高値!Z302,高値!AB302&gt;高値!AC302,高値!AB302&gt;高値!AD302),23,""))</f>
        <v/>
      </c>
      <c r="AY302" s="503">
        <f>IF(終値!A302="","",IF(AND(高値!AC302&gt;高値!AB302,高値!AC302&gt;高値!AA302,高値!AC302&gt;高値!AD302,高値!AC302&gt;高値!AE302),24,""))</f>
        <v>24</v>
      </c>
      <c r="AZ302" s="503" t="str">
        <f>IF(終値!A302="","",IF(AND(高値!AD302&gt;高値!AC302,高値!AD302&gt;高値!AB302,高値!AD302&gt;高値!AE302,高値!AD302&gt;高値!AF302),25,""))</f>
        <v/>
      </c>
      <c r="BA302" s="503" t="str">
        <f>IF(終値!A302="","",IF(AND(高値!AE302&gt;高値!AD302,高値!AE302&gt;高値!AC302,高値!AE302&gt;高値!AF302,高値!AE302&gt;高値!AG302),26,""))</f>
        <v/>
      </c>
      <c r="BB302" s="503" t="str">
        <f>IF(終値!A302="","",IF(AND(高値!AF302&gt;高値!AE302,高値!AF302&gt;高値!AD302,高値!AF302&gt;高値!AG302,高値!AF302&gt;高値!AH302),27,""))</f>
        <v/>
      </c>
      <c r="BC302" s="503" t="str">
        <f>IF(終値!A302="","",IF(AND(高値!AG302&gt;高値!AF302,高値!AG302&gt;高値!AE302,高値!AG302&gt;高値!AH302,高値!AG302&gt;高値!AI302),28,""))</f>
        <v/>
      </c>
      <c r="BD302" s="503">
        <f t="shared" si="24"/>
        <v>4</v>
      </c>
      <c r="BE302" s="503">
        <f t="shared" si="25"/>
        <v>6</v>
      </c>
      <c r="BF302" s="503">
        <f t="shared" si="26"/>
        <v>13</v>
      </c>
      <c r="BG302" s="503">
        <f>IF($BE302="","",INDEX(安値!$E302:$CZ302,1,$BE302+1))</f>
        <v>23340</v>
      </c>
      <c r="BH302" s="503">
        <f>IF($BF302="","",INDEX(安値!$E302:$CZ302,1,$BF302+1))</f>
        <v>24625</v>
      </c>
      <c r="BI302" s="503">
        <f>IF($BF302="","",MAX(INDEX(高値!$E302:$CZ302,1,$BE302+1):INDEX(高値!$E302:$CZ302,1,$BF302+1)))</f>
        <v>25630</v>
      </c>
      <c r="BJ302" s="503">
        <f>IF($BF302="","",AVERAGE(INDEX(終値!$E302:$CZ302,1,$BF302+1):INDEX(終値!$E302:$CZ302,1,$BF302+20))-2*STDEVP(INDEX(終値!$E302:$CZ302,1,$BF302+1):INDEX(終値!$E302:$CZ302,1,$BF302+20)))</f>
        <v>24274.972760547211</v>
      </c>
      <c r="BK302" s="503">
        <f>IF($BE302="","",AVERAGE(INDEX(終値!$E302:$CZ302,1,$BE302+1):INDEX(終値!$E302:$CZ302,1,$BE302+20))-2*STDEVP(INDEX(終値!$E302:$CZ302,1,$BE302+1):INDEX(終値!$E302:$CZ302,1,$BE302+20)))</f>
        <v>23739.987212041855</v>
      </c>
      <c r="BL302" s="503">
        <f t="shared" si="27"/>
        <v>2</v>
      </c>
      <c r="BM302" s="503">
        <f t="shared" si="28"/>
        <v>15</v>
      </c>
      <c r="BN302" s="503">
        <f t="shared" si="29"/>
        <v>24</v>
      </c>
      <c r="BO302" s="503">
        <f>IF($BM302="","",INDEX(高値!$E302:$CZ302,1,$BM302+1))</f>
        <v>25965</v>
      </c>
      <c r="BP302" s="503">
        <f>IF($BN302="","",INDEX(高値!$E302:$CZ302,1,$BN302+1))</f>
        <v>26265</v>
      </c>
      <c r="BQ302" s="503">
        <f>IF($BN302="","",MIN(INDEX(安値!$E302:$CZ302,1,$BM302+1):INDEX(安値!$E302:$CZ302,1,$BN302+1)))</f>
        <v>23910</v>
      </c>
      <c r="BR302" s="503">
        <f>IF($BN302="","",AVERAGE(INDEX(終値!$E302:$CZ302,1,$BN302+1):INDEX(終値!$E302:$CZ302,1,$BN302+20))+2*STDEVP(INDEX(終値!$E302:$CZ302,1,$BN302+1):INDEX(終値!$E302:$CZ302,1,$BN302+20)))</f>
        <v>28055.980252609741</v>
      </c>
      <c r="BS302" s="503">
        <f>IF($BM302="","",AVERAGE(INDEX(終値!$E302:$CZ302,1,$BM302+1):INDEX(終値!$E302:$CZ302,1,$BM302+20))+2*STDEVP(INDEX(終値!$E302:$CZ302,1,$BM302+1):INDEX(終値!$E302:$CZ302,1,$BM302+20)))</f>
        <v>27994.725545031197</v>
      </c>
      <c r="BT302" s="500"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二番天井M形成</v>
      </c>
    </row>
    <row r="303" spans="2:72">
      <c r="B303" s="503" t="str">
        <f>IF(終値!A303="","",IF(AND(安値!G303&lt;安値!F303,安値!G303&lt;安値!E303,安値!G303&lt;安値!H303,安値!G303&lt;安値!I303),2,""))</f>
        <v/>
      </c>
      <c r="C303" s="503" t="str">
        <f>IF(終値!A303="","",IF(AND(安値!H303&lt;安値!G303,安値!H303&lt;安値!F303,安値!H303&lt;安値!I303,安値!H303&lt;安値!J303),3,""))</f>
        <v/>
      </c>
      <c r="D303" s="503" t="str">
        <f>IF(終値!A303="","",IF(AND(安値!I303&lt;安値!H303,安値!I303&lt;安値!G303,安値!I303&lt;安値!J303,安値!I303&lt;安値!K303),4,""))</f>
        <v/>
      </c>
      <c r="E303" s="503" t="str">
        <f>IF(終値!A303="","",IF(AND(安値!J303&lt;安値!I303,安値!J303&lt;安値!H303,安値!J303&lt;安値!K303,安値!J303&lt;安値!L303),5,""))</f>
        <v/>
      </c>
      <c r="F303" s="503">
        <f>IF(終値!A303="","",IF(AND(安値!K303&lt;安値!J303,安値!K303&lt;安値!I303,安値!K303&lt;安値!L303,安値!K303&lt;安値!M303),6,""))</f>
        <v>6</v>
      </c>
      <c r="G303" s="503" t="str">
        <f>IF(終値!A303="","",IF(AND(安値!L303&lt;安値!K303,安値!L303&lt;安値!J303,安値!L303&lt;安値!M303,安値!L303&lt;安値!N303),7,""))</f>
        <v/>
      </c>
      <c r="H303" s="503" t="str">
        <f>IF(終値!A303="","",IF(AND(安値!M303&lt;安値!L303,安値!M303&lt;安値!K303,安値!M303&lt;安値!N303,安値!M303&lt;安値!O303),8,""))</f>
        <v/>
      </c>
      <c r="I303" s="503" t="str">
        <f>IF(終値!A303="","",IF(AND(安値!N303&lt;安値!M303,安値!N303&lt;安値!L303,安値!N303&lt;安値!O303,安値!N303&lt;安値!P303),9,""))</f>
        <v/>
      </c>
      <c r="J303" s="503" t="str">
        <f>IF(終値!A303="","",IF(AND(安値!O303&lt;安値!N303,安値!O303&lt;安値!M303,安値!O303&lt;安値!P303,安値!O303&lt;安値!Q303),10,""))</f>
        <v/>
      </c>
      <c r="K303" s="503" t="str">
        <f>IF(終値!A303="","",IF(AND(安値!P303&lt;安値!O303,安値!P303&lt;安値!N303,安値!P303&lt;安値!Q303,安値!P303&lt;安値!R303),11,""))</f>
        <v/>
      </c>
      <c r="L303" s="503" t="str">
        <f>IF(終値!A303="","",IF(AND(安値!Q303&lt;安値!P303,安値!Q303&lt;安値!O303,安値!Q303&lt;安値!R303,安値!Q303&lt;安値!S303),12,""))</f>
        <v/>
      </c>
      <c r="M303" s="503">
        <f>IF(終値!A303="","",IF(AND(安値!R303&lt;安値!Q303,安値!R303&lt;安値!P303,安値!R303&lt;安値!S303,安値!R303&lt;安値!T303),13,""))</f>
        <v>13</v>
      </c>
      <c r="N303" s="503" t="str">
        <f>IF(終値!A303="","",IF(AND(安値!S303&lt;安値!R303,安値!S303&lt;安値!Q303,安値!S303&lt;安値!T303,安値!S303&lt;安値!U303),14,""))</f>
        <v/>
      </c>
      <c r="O303" s="503" t="str">
        <f>IF(終値!A303="","",IF(AND(安値!T303&lt;安値!S303,安値!T303&lt;安値!R303,安値!T303&lt;安値!U303,安値!T303&lt;安値!V303),15,""))</f>
        <v/>
      </c>
      <c r="P303" s="503" t="str">
        <f>IF(終値!A303="","",IF(AND(安値!U303&lt;安値!T303,安値!U303&lt;安値!S303,安値!U303&lt;安値!V303,安値!U303&lt;安値!W303),16,""))</f>
        <v/>
      </c>
      <c r="Q303" s="503" t="str">
        <f>IF(終値!A303="","",IF(AND(安値!V303&lt;安値!U303,安値!V303&lt;安値!T303,安値!V303&lt;安値!W303,安値!V303&lt;安値!X303),17,""))</f>
        <v/>
      </c>
      <c r="R303" s="503" t="str">
        <f>IF(終値!A303="","",IF(AND(安値!W303&lt;安値!V303,安値!W303&lt;安値!U303,安値!W303&lt;安値!X303,安値!W303&lt;安値!Y303),18,""))</f>
        <v/>
      </c>
      <c r="S303" s="503">
        <f>IF(終値!A303="","",IF(AND(安値!X303&lt;安値!W303,安値!X303&lt;安値!V303,安値!X303&lt;安値!Y303,安値!X303&lt;安値!Z303),19,""))</f>
        <v>19</v>
      </c>
      <c r="T303" s="503" t="str">
        <f>IF(終値!A303="","",IF(AND(安値!Y303&lt;安値!X303,安値!Y303&lt;安値!W303,安値!Y303&lt;安値!Z303,安値!Y303&lt;安値!AA303),20,""))</f>
        <v/>
      </c>
      <c r="U303" s="503" t="str">
        <f>IF(終値!A303="","",IF(AND(安値!Z303&lt;安値!Y303,安値!Z303&lt;安値!X303,安値!Z303&lt;安値!AA303,安値!Z303&lt;安値!AB303),21,""))</f>
        <v/>
      </c>
      <c r="V303" s="503" t="str">
        <f>IF(終値!A303="","",IF(AND(安値!AA303&lt;安値!Z303,安値!AA303&lt;安値!Y303,安値!AA303&lt;安値!AB303,安値!AA303&lt;安値!AC303),22,""))</f>
        <v/>
      </c>
      <c r="W303" s="503" t="str">
        <f>IF(終値!A303="","",IF(AND(安値!AB303&lt;安値!AA303,安値!AB303&lt;安値!Z303,安値!AB303&lt;安値!AC303,安値!AB303&lt;安値!AD303),23,""))</f>
        <v/>
      </c>
      <c r="X303" s="503" t="str">
        <f>IF(終値!A303="","",IF(AND(安値!AC303&lt;安値!AB303,安値!AC303&lt;安値!AA303,安値!AC303&lt;安値!AD303,安値!AC303&lt;安値!AE303),24,""))</f>
        <v/>
      </c>
      <c r="Y303" s="503" t="str">
        <f>IF(終値!A303="","",IF(AND(安値!AD303&lt;安値!AC303,安値!AD303&lt;安値!AB303,安値!AD303&lt;安値!AE303,安値!AD303&lt;安値!AF303),25,""))</f>
        <v/>
      </c>
      <c r="Z303" s="503">
        <f>IF(終値!A303="","",IF(AND(安値!AE303&lt;安値!AD303,安値!AE303&lt;安値!AC303,安値!AE303&lt;安値!AF303,安値!AE303&lt;安値!AG303),26,""))</f>
        <v>26</v>
      </c>
      <c r="AA303" s="503" t="str">
        <f>IF(終値!A303="","",IF(AND(安値!AF303&lt;安値!AE303,安値!AF303&lt;安値!AD303,安値!AF303&lt;安値!AG303,安値!AF303&lt;安値!AH303),27,""))</f>
        <v/>
      </c>
      <c r="AB303" s="503" t="str">
        <f>IF(終値!A303="","",IF(AND(安値!AG303&lt;安値!AF303,安値!AG303&lt;安値!AE303,安値!AG303&lt;安値!AH303,安値!AG303&lt;安値!AI303),28,""))</f>
        <v/>
      </c>
      <c r="AC303" s="503" t="str">
        <f>IF(終値!A303="","",IF(AND(高値!G303&gt;高値!F303,高値!G303&gt;高値!E303,高値!G303&gt;高値!H303,高値!G303&gt;高値!I303),2,""))</f>
        <v/>
      </c>
      <c r="AD303" s="503" t="str">
        <f>IF(終値!A303="","",IF(AND(高値!H303&gt;高値!G303,高値!H303&gt;高値!F303,高値!H303&gt;高値!I303,高値!H303&gt;高値!J303),3,""))</f>
        <v/>
      </c>
      <c r="AE303" s="503">
        <f>IF(終値!A303="","",IF(AND(高値!I303&gt;高値!H303,高値!I303&gt;高値!G303,高値!I303&gt;高値!J303,高値!I303&gt;高値!K303),4,""))</f>
        <v>4</v>
      </c>
      <c r="AF303" s="503" t="str">
        <f>IF(終値!A303="","",IF(AND(高値!J303&gt;高値!I303,高値!J303&gt;高値!H303,高値!J303&gt;高値!K303,高値!J303&gt;高値!L303),5,""))</f>
        <v/>
      </c>
      <c r="AG303" s="503" t="str">
        <f>IF(終値!A303="","",IF(AND(高値!K303&gt;高値!J303,高値!K303&gt;高値!I303,高値!K303&gt;高値!L303,高値!K303&gt;高値!M303),6,""))</f>
        <v/>
      </c>
      <c r="AH303" s="503" t="str">
        <f>IF(終値!A303="","",IF(AND(高値!L303&gt;高値!K303,高値!L303&gt;高値!J303,高値!L303&gt;高値!M303,高値!L303&gt;高値!N303),7,""))</f>
        <v/>
      </c>
      <c r="AI303" s="503" t="str">
        <f>IF(終値!A303="","",IF(AND(高値!M303&gt;高値!L303,高値!M303&gt;高値!K303,高値!M303&gt;高値!N303,高値!M303&gt;高値!O303),8,""))</f>
        <v/>
      </c>
      <c r="AJ303" s="503" t="str">
        <f>IF(終値!A303="","",IF(AND(高値!N303&gt;高値!M303,高値!N303&gt;高値!L303,高値!N303&gt;高値!O303,高値!N303&gt;高値!P303),9,""))</f>
        <v/>
      </c>
      <c r="AK303" s="503" t="str">
        <f>IF(終値!A303="","",IF(AND(高値!O303&gt;高値!N303,高値!O303&gt;高値!M303,高値!O303&gt;高値!P303,高値!O303&gt;高値!Q303),10,""))</f>
        <v/>
      </c>
      <c r="AL303" s="503">
        <f>IF(終値!A303="","",IF(AND(高値!P303&gt;高値!O303,高値!P303&gt;高値!N303,高値!P303&gt;高値!Q303,高値!P303&gt;高値!R303),11,""))</f>
        <v>11</v>
      </c>
      <c r="AM303" s="503" t="str">
        <f>IF(終値!A303="","",IF(AND(高値!Q303&gt;高値!P303,高値!Q303&gt;高値!O303,高値!Q303&gt;高値!R303,高値!Q303&gt;高値!S303),12,""))</f>
        <v/>
      </c>
      <c r="AN303" s="503" t="str">
        <f>IF(終値!A303="","",IF(AND(高値!R303&gt;高値!Q303,高値!R303&gt;高値!P303,高値!R303&gt;高値!S303,高値!R303&gt;高値!T303),13,""))</f>
        <v/>
      </c>
      <c r="AO303" s="503" t="str">
        <f>IF(終値!A303="","",IF(AND(高値!S303&gt;高値!R303,高値!S303&gt;高値!Q303,高値!S303&gt;高値!T303,高値!S303&gt;高値!U303),14,""))</f>
        <v/>
      </c>
      <c r="AP303" s="503" t="str">
        <f>IF(終値!A303="","",IF(AND(高値!T303&gt;高値!S303,高値!T303&gt;高値!R303,高値!T303&gt;高値!U303,高値!T303&gt;高値!V303),15,""))</f>
        <v/>
      </c>
      <c r="AQ303" s="503" t="str">
        <f>IF(終値!A303="","",IF(AND(高値!U303&gt;高値!T303,高値!U303&gt;高値!S303,高値!U303&gt;高値!V303,高値!U303&gt;高値!W303),16,""))</f>
        <v/>
      </c>
      <c r="AR303" s="503">
        <f>IF(終値!A303="","",IF(AND(高値!V303&gt;高値!U303,高値!V303&gt;高値!T303,高値!V303&gt;高値!W303,高値!V303&gt;高値!X303),17,""))</f>
        <v>17</v>
      </c>
      <c r="AS303" s="503" t="str">
        <f>IF(終値!A303="","",IF(AND(高値!W303&gt;高値!V303,高値!W303&gt;高値!U303,高値!W303&gt;高値!X303,高値!W303&gt;高値!Y303),18,""))</f>
        <v/>
      </c>
      <c r="AT303" s="503" t="str">
        <f>IF(終値!A303="","",IF(AND(高値!X303&gt;高値!W303,高値!X303&gt;高値!V303,高値!X303&gt;高値!Y303,高値!X303&gt;高値!Z303),19,""))</f>
        <v/>
      </c>
      <c r="AU303" s="503" t="str">
        <f>IF(終値!A303="","",IF(AND(高値!Y303&gt;高値!X303,高値!Y303&gt;高値!W303,高値!Y303&gt;高値!Z303,高値!Y303&gt;高値!AA303),20,""))</f>
        <v/>
      </c>
      <c r="AV303" s="503">
        <f>IF(終値!A303="","",IF(AND(高値!Z303&gt;高値!Y303,高値!Z303&gt;高値!X303,高値!Z303&gt;高値!AA303,高値!Z303&gt;高値!AB303),21,""))</f>
        <v>21</v>
      </c>
      <c r="AW303" s="503" t="str">
        <f>IF(終値!A303="","",IF(AND(高値!AA303&gt;高値!Z303,高値!AA303&gt;高値!Y303,高値!AA303&gt;高値!AB303,高値!AA303&gt;高値!AC303),22,""))</f>
        <v/>
      </c>
      <c r="AX303" s="503" t="str">
        <f>IF(終値!A303="","",IF(AND(高値!AB303&gt;高値!AA303,高値!AB303&gt;高値!Z303,高値!AB303&gt;高値!AC303,高値!AB303&gt;高値!AD303),23,""))</f>
        <v/>
      </c>
      <c r="AY303" s="503">
        <f>IF(終値!A303="","",IF(AND(高値!AC303&gt;高値!AB303,高値!AC303&gt;高値!AA303,高値!AC303&gt;高値!AD303,高値!AC303&gt;高値!AE303),24,""))</f>
        <v>24</v>
      </c>
      <c r="AZ303" s="503" t="str">
        <f>IF(終値!A303="","",IF(AND(高値!AD303&gt;高値!AC303,高値!AD303&gt;高値!AB303,高値!AD303&gt;高値!AE303,高値!AD303&gt;高値!AF303),25,""))</f>
        <v/>
      </c>
      <c r="BA303" s="503" t="str">
        <f>IF(終値!A303="","",IF(AND(高値!AE303&gt;高値!AD303,高値!AE303&gt;高値!AC303,高値!AE303&gt;高値!AF303,高値!AE303&gt;高値!AG303),26,""))</f>
        <v/>
      </c>
      <c r="BB303" s="503" t="str">
        <f>IF(終値!A303="","",IF(AND(高値!AF303&gt;高値!AE303,高値!AF303&gt;高値!AD303,高値!AF303&gt;高値!AG303,高値!AF303&gt;高値!AH303),27,""))</f>
        <v/>
      </c>
      <c r="BC303" s="503" t="str">
        <f>IF(終値!A303="","",IF(AND(高値!AG303&gt;高値!AF303,高値!AG303&gt;高値!AE303,高値!AG303&gt;高値!AH303,高値!AG303&gt;高値!AI303),28,""))</f>
        <v/>
      </c>
      <c r="BD303" s="503">
        <f t="shared" si="24"/>
        <v>4</v>
      </c>
      <c r="BE303" s="503">
        <f t="shared" si="25"/>
        <v>6</v>
      </c>
      <c r="BF303" s="503">
        <f t="shared" si="26"/>
        <v>13</v>
      </c>
      <c r="BG303" s="503">
        <f>IF($BE303="","",INDEX(安値!$E303:$CZ303,1,$BE303+1))</f>
        <v>62580</v>
      </c>
      <c r="BH303" s="503">
        <f>IF($BF303="","",INDEX(安値!$E303:$CZ303,1,$BF303+1))</f>
        <v>64880</v>
      </c>
      <c r="BI303" s="503">
        <f>IF($BF303="","",MAX(INDEX(高値!$E303:$CZ303,1,$BE303+1):INDEX(高値!$E303:$CZ303,1,$BF303+1)))</f>
        <v>69920</v>
      </c>
      <c r="BJ303" s="503">
        <f>IF($BF303="","",AVERAGE(INDEX(終値!$E303:$CZ303,1,$BF303+1):INDEX(終値!$E303:$CZ303,1,$BF303+20))-2*STDEVP(INDEX(終値!$E303:$CZ303,1,$BF303+1):INDEX(終値!$E303:$CZ303,1,$BF303+20)))</f>
        <v>67817.11240704653</v>
      </c>
      <c r="BK303" s="503">
        <f>IF($BE303="","",AVERAGE(INDEX(終値!$E303:$CZ303,1,$BE303+1):INDEX(終値!$E303:$CZ303,1,$BE303+20))-2*STDEVP(INDEX(終値!$E303:$CZ303,1,$BE303+1):INDEX(終値!$E303:$CZ303,1,$BE303+20)))</f>
        <v>64113.552963484064</v>
      </c>
      <c r="BL303" s="503">
        <f t="shared" si="27"/>
        <v>5</v>
      </c>
      <c r="BM303" s="503">
        <f t="shared" si="28"/>
        <v>4</v>
      </c>
      <c r="BN303" s="503">
        <f t="shared" si="29"/>
        <v>11</v>
      </c>
      <c r="BO303" s="503">
        <f>IF($BM303="","",INDEX(高値!$E303:$CZ303,1,$BM303+1))</f>
        <v>67710</v>
      </c>
      <c r="BP303" s="503">
        <f>IF($BN303="","",INDEX(高値!$E303:$CZ303,1,$BN303+1))</f>
        <v>69920</v>
      </c>
      <c r="BQ303" s="503">
        <f>IF($BN303="","",MIN(INDEX(安値!$E303:$CZ303,1,$BM303+1):INDEX(安値!$E303:$CZ303,1,$BN303+1)))</f>
        <v>62580</v>
      </c>
      <c r="BR303" s="503">
        <f>IF($BN303="","",AVERAGE(INDEX(終値!$E303:$CZ303,1,$BN303+1):INDEX(終値!$E303:$CZ303,1,$BN303+20))+2*STDEVP(INDEX(終値!$E303:$CZ303,1,$BN303+1):INDEX(終値!$E303:$CZ303,1,$BN303+20)))</f>
        <v>75665.989707431174</v>
      </c>
      <c r="BS303" s="503">
        <f>IF($BM303="","",AVERAGE(INDEX(終値!$E303:$CZ303,1,$BM303+1):INDEX(終値!$E303:$CZ303,1,$BM303+20))+2*STDEVP(INDEX(終値!$E303:$CZ303,1,$BM303+1):INDEX(終値!$E303:$CZ303,1,$BM303+20)))</f>
        <v>74271.598586782886</v>
      </c>
      <c r="BT303" s="500"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二番底W形成</v>
      </c>
    </row>
    <row r="304" spans="2:72">
      <c r="B304" s="503" t="str">
        <f>IF(終値!A304="","",IF(AND(安値!G304&lt;安値!F304,安値!G304&lt;安値!E304,安値!G304&lt;安値!H304,安値!G304&lt;安値!I304),2,""))</f>
        <v/>
      </c>
      <c r="C304" s="503">
        <f>IF(終値!A304="","",IF(AND(安値!H304&lt;安値!G304,安値!H304&lt;安値!F304,安値!H304&lt;安値!I304,安値!H304&lt;安値!J304),3,""))</f>
        <v>3</v>
      </c>
      <c r="D304" s="503" t="str">
        <f>IF(終値!A304="","",IF(AND(安値!I304&lt;安値!H304,安値!I304&lt;安値!G304,安値!I304&lt;安値!J304,安値!I304&lt;安値!K304),4,""))</f>
        <v/>
      </c>
      <c r="E304" s="503" t="str">
        <f>IF(終値!A304="","",IF(AND(安値!J304&lt;安値!I304,安値!J304&lt;安値!H304,安値!J304&lt;安値!K304,安値!J304&lt;安値!L304),5,""))</f>
        <v/>
      </c>
      <c r="F304" s="503" t="str">
        <f>IF(終値!A304="","",IF(AND(安値!K304&lt;安値!J304,安値!K304&lt;安値!I304,安値!K304&lt;安値!L304,安値!K304&lt;安値!M304),6,""))</f>
        <v/>
      </c>
      <c r="G304" s="503" t="str">
        <f>IF(終値!A304="","",IF(AND(安値!L304&lt;安値!K304,安値!L304&lt;安値!J304,安値!L304&lt;安値!M304,安値!L304&lt;安値!N304),7,""))</f>
        <v/>
      </c>
      <c r="H304" s="503" t="str">
        <f>IF(終値!A304="","",IF(AND(安値!M304&lt;安値!L304,安値!M304&lt;安値!K304,安値!M304&lt;安値!N304,安値!M304&lt;安値!O304),8,""))</f>
        <v/>
      </c>
      <c r="I304" s="503" t="str">
        <f>IF(終値!A304="","",IF(AND(安値!N304&lt;安値!M304,安値!N304&lt;安値!L304,安値!N304&lt;安値!O304,安値!N304&lt;安値!P304),9,""))</f>
        <v/>
      </c>
      <c r="J304" s="503" t="str">
        <f>IF(終値!A304="","",IF(AND(安値!O304&lt;安値!N304,安値!O304&lt;安値!M304,安値!O304&lt;安値!P304,安値!O304&lt;安値!Q304),10,""))</f>
        <v/>
      </c>
      <c r="K304" s="503" t="str">
        <f>IF(終値!A304="","",IF(AND(安値!P304&lt;安値!O304,安値!P304&lt;安値!N304,安値!P304&lt;安値!Q304,安値!P304&lt;安値!R304),11,""))</f>
        <v/>
      </c>
      <c r="L304" s="503" t="str">
        <f>IF(終値!A304="","",IF(AND(安値!Q304&lt;安値!P304,安値!Q304&lt;安値!O304,安値!Q304&lt;安値!R304,安値!Q304&lt;安値!S304),12,""))</f>
        <v/>
      </c>
      <c r="M304" s="503">
        <f>IF(終値!A304="","",IF(AND(安値!R304&lt;安値!Q304,安値!R304&lt;安値!P304,安値!R304&lt;安値!S304,安値!R304&lt;安値!T304),13,""))</f>
        <v>13</v>
      </c>
      <c r="N304" s="503" t="str">
        <f>IF(終値!A304="","",IF(AND(安値!S304&lt;安値!R304,安値!S304&lt;安値!Q304,安値!S304&lt;安値!T304,安値!S304&lt;安値!U304),14,""))</f>
        <v/>
      </c>
      <c r="O304" s="503" t="str">
        <f>IF(終値!A304="","",IF(AND(安値!T304&lt;安値!S304,安値!T304&lt;安値!R304,安値!T304&lt;安値!U304,安値!T304&lt;安値!V304),15,""))</f>
        <v/>
      </c>
      <c r="P304" s="503" t="str">
        <f>IF(終値!A304="","",IF(AND(安値!U304&lt;安値!T304,安値!U304&lt;安値!S304,安値!U304&lt;安値!V304,安値!U304&lt;安値!W304),16,""))</f>
        <v/>
      </c>
      <c r="Q304" s="503" t="str">
        <f>IF(終値!A304="","",IF(AND(安値!V304&lt;安値!U304,安値!V304&lt;安値!T304,安値!V304&lt;安値!W304,安値!V304&lt;安値!X304),17,""))</f>
        <v/>
      </c>
      <c r="R304" s="503" t="str">
        <f>IF(終値!A304="","",IF(AND(安値!W304&lt;安値!V304,安値!W304&lt;安値!U304,安値!W304&lt;安値!X304,安値!W304&lt;安値!Y304),18,""))</f>
        <v/>
      </c>
      <c r="S304" s="503" t="str">
        <f>IF(終値!A304="","",IF(AND(安値!X304&lt;安値!W304,安値!X304&lt;安値!V304,安値!X304&lt;安値!Y304,安値!X304&lt;安値!Z304),19,""))</f>
        <v/>
      </c>
      <c r="T304" s="503" t="str">
        <f>IF(終値!A304="","",IF(AND(安値!Y304&lt;安値!X304,安値!Y304&lt;安値!W304,安値!Y304&lt;安値!Z304,安値!Y304&lt;安値!AA304),20,""))</f>
        <v/>
      </c>
      <c r="U304" s="503" t="str">
        <f>IF(終値!A304="","",IF(AND(安値!Z304&lt;安値!Y304,安値!Z304&lt;安値!X304,安値!Z304&lt;安値!AA304,安値!Z304&lt;安値!AB304),21,""))</f>
        <v/>
      </c>
      <c r="V304" s="503" t="str">
        <f>IF(終値!A304="","",IF(AND(安値!AA304&lt;安値!Z304,安値!AA304&lt;安値!Y304,安値!AA304&lt;安値!AB304,安値!AA304&lt;安値!AC304),22,""))</f>
        <v/>
      </c>
      <c r="W304" s="503">
        <f>IF(終値!A304="","",IF(AND(安値!AB304&lt;安値!AA304,安値!AB304&lt;安値!Z304,安値!AB304&lt;安値!AC304,安値!AB304&lt;安値!AD304),23,""))</f>
        <v>23</v>
      </c>
      <c r="X304" s="503" t="str">
        <f>IF(終値!A304="","",IF(AND(安値!AC304&lt;安値!AB304,安値!AC304&lt;安値!AA304,安値!AC304&lt;安値!AD304,安値!AC304&lt;安値!AE304),24,""))</f>
        <v/>
      </c>
      <c r="Y304" s="503" t="str">
        <f>IF(終値!A304="","",IF(AND(安値!AD304&lt;安値!AC304,安値!AD304&lt;安値!AB304,安値!AD304&lt;安値!AE304,安値!AD304&lt;安値!AF304),25,""))</f>
        <v/>
      </c>
      <c r="Z304" s="503" t="str">
        <f>IF(終値!A304="","",IF(AND(安値!AE304&lt;安値!AD304,安値!AE304&lt;安値!AC304,安値!AE304&lt;安値!AF304,安値!AE304&lt;安値!AG304),26,""))</f>
        <v/>
      </c>
      <c r="AA304" s="503" t="str">
        <f>IF(終値!A304="","",IF(AND(安値!AF304&lt;安値!AE304,安値!AF304&lt;安値!AD304,安値!AF304&lt;安値!AG304,安値!AF304&lt;安値!AH304),27,""))</f>
        <v/>
      </c>
      <c r="AB304" s="503" t="str">
        <f>IF(終値!A304="","",IF(AND(安値!AG304&lt;安値!AF304,安値!AG304&lt;安値!AE304,安値!AG304&lt;安値!AH304,安値!AG304&lt;安値!AI304),28,""))</f>
        <v/>
      </c>
      <c r="AC304" s="503" t="str">
        <f>IF(終値!A304="","",IF(AND(高値!G304&gt;高値!F304,高値!G304&gt;高値!E304,高値!G304&gt;高値!H304,高値!G304&gt;高値!I304),2,""))</f>
        <v/>
      </c>
      <c r="AD304" s="503" t="str">
        <f>IF(終値!A304="","",IF(AND(高値!H304&gt;高値!G304,高値!H304&gt;高値!F304,高値!H304&gt;高値!I304,高値!H304&gt;高値!J304),3,""))</f>
        <v/>
      </c>
      <c r="AE304" s="503" t="str">
        <f>IF(終値!A304="","",IF(AND(高値!I304&gt;高値!H304,高値!I304&gt;高値!G304,高値!I304&gt;高値!J304,高値!I304&gt;高値!K304),4,""))</f>
        <v/>
      </c>
      <c r="AF304" s="503" t="str">
        <f>IF(終値!A304="","",IF(AND(高値!J304&gt;高値!I304,高値!J304&gt;高値!H304,高値!J304&gt;高値!K304,高値!J304&gt;高値!L304),5,""))</f>
        <v/>
      </c>
      <c r="AG304" s="503" t="str">
        <f>IF(終値!A304="","",IF(AND(高値!K304&gt;高値!J304,高値!K304&gt;高値!I304,高値!K304&gt;高値!L304,高値!K304&gt;高値!M304),6,""))</f>
        <v/>
      </c>
      <c r="AH304" s="503">
        <f>IF(終値!A304="","",IF(AND(高値!L304&gt;高値!K304,高値!L304&gt;高値!J304,高値!L304&gt;高値!M304,高値!L304&gt;高値!N304),7,""))</f>
        <v>7</v>
      </c>
      <c r="AI304" s="503" t="str">
        <f>IF(終値!A304="","",IF(AND(高値!M304&gt;高値!L304,高値!M304&gt;高値!K304,高値!M304&gt;高値!N304,高値!M304&gt;高値!O304),8,""))</f>
        <v/>
      </c>
      <c r="AJ304" s="503" t="str">
        <f>IF(終値!A304="","",IF(AND(高値!N304&gt;高値!M304,高値!N304&gt;高値!L304,高値!N304&gt;高値!O304,高値!N304&gt;高値!P304),9,""))</f>
        <v/>
      </c>
      <c r="AK304" s="503" t="str">
        <f>IF(終値!A304="","",IF(AND(高値!O304&gt;高値!N304,高値!O304&gt;高値!M304,高値!O304&gt;高値!P304,高値!O304&gt;高値!Q304),10,""))</f>
        <v/>
      </c>
      <c r="AL304" s="503" t="str">
        <f>IF(終値!A304="","",IF(AND(高値!P304&gt;高値!O304,高値!P304&gt;高値!N304,高値!P304&gt;高値!Q304,高値!P304&gt;高値!R304),11,""))</f>
        <v/>
      </c>
      <c r="AM304" s="503" t="str">
        <f>IF(終値!A304="","",IF(AND(高値!Q304&gt;高値!P304,高値!Q304&gt;高値!O304,高値!Q304&gt;高値!R304,高値!Q304&gt;高値!S304),12,""))</f>
        <v/>
      </c>
      <c r="AN304" s="503" t="str">
        <f>IF(終値!A304="","",IF(AND(高値!R304&gt;高値!Q304,高値!R304&gt;高値!P304,高値!R304&gt;高値!S304,高値!R304&gt;高値!T304),13,""))</f>
        <v/>
      </c>
      <c r="AO304" s="503" t="str">
        <f>IF(終値!A304="","",IF(AND(高値!S304&gt;高値!R304,高値!S304&gt;高値!Q304,高値!S304&gt;高値!T304,高値!S304&gt;高値!U304),14,""))</f>
        <v/>
      </c>
      <c r="AP304" s="503" t="str">
        <f>IF(終値!A304="","",IF(AND(高値!T304&gt;高値!S304,高値!T304&gt;高値!R304,高値!T304&gt;高値!U304,高値!T304&gt;高値!V304),15,""))</f>
        <v/>
      </c>
      <c r="AQ304" s="503" t="str">
        <f>IF(終値!A304="","",IF(AND(高値!U304&gt;高値!T304,高値!U304&gt;高値!S304,高値!U304&gt;高値!V304,高値!U304&gt;高値!W304),16,""))</f>
        <v/>
      </c>
      <c r="AR304" s="503" t="str">
        <f>IF(終値!A304="","",IF(AND(高値!V304&gt;高値!U304,高値!V304&gt;高値!T304,高値!V304&gt;高値!W304,高値!V304&gt;高値!X304),17,""))</f>
        <v/>
      </c>
      <c r="AS304" s="503" t="str">
        <f>IF(終値!A304="","",IF(AND(高値!W304&gt;高値!V304,高値!W304&gt;高値!U304,高値!W304&gt;高値!X304,高値!W304&gt;高値!Y304),18,""))</f>
        <v/>
      </c>
      <c r="AT304" s="503" t="str">
        <f>IF(終値!A304="","",IF(AND(高値!X304&gt;高値!W304,高値!X304&gt;高値!V304,高値!X304&gt;高値!Y304,高値!X304&gt;高値!Z304),19,""))</f>
        <v/>
      </c>
      <c r="AU304" s="503">
        <f>IF(終値!A304="","",IF(AND(高値!Y304&gt;高値!X304,高値!Y304&gt;高値!W304,高値!Y304&gt;高値!Z304,高値!Y304&gt;高値!AA304),20,""))</f>
        <v>20</v>
      </c>
      <c r="AV304" s="503" t="str">
        <f>IF(終値!A304="","",IF(AND(高値!Z304&gt;高値!Y304,高値!Z304&gt;高値!X304,高値!Z304&gt;高値!AA304,高値!Z304&gt;高値!AB304),21,""))</f>
        <v/>
      </c>
      <c r="AW304" s="503" t="str">
        <f>IF(終値!A304="","",IF(AND(高値!AA304&gt;高値!Z304,高値!AA304&gt;高値!Y304,高値!AA304&gt;高値!AB304,高値!AA304&gt;高値!AC304),22,""))</f>
        <v/>
      </c>
      <c r="AX304" s="503" t="str">
        <f>IF(終値!A304="","",IF(AND(高値!AB304&gt;高値!AA304,高値!AB304&gt;高値!Z304,高値!AB304&gt;高値!AC304,高値!AB304&gt;高値!AD304),23,""))</f>
        <v/>
      </c>
      <c r="AY304" s="503" t="str">
        <f>IF(終値!A304="","",IF(AND(高値!AC304&gt;高値!AB304,高値!AC304&gt;高値!AA304,高値!AC304&gt;高値!AD304,高値!AC304&gt;高値!AE304),24,""))</f>
        <v/>
      </c>
      <c r="AZ304" s="503" t="str">
        <f>IF(終値!A304="","",IF(AND(高値!AD304&gt;高値!AC304,高値!AD304&gt;高値!AB304,高値!AD304&gt;高値!AE304,高値!AD304&gt;高値!AF304),25,""))</f>
        <v/>
      </c>
      <c r="BA304" s="503" t="str">
        <f>IF(終値!A304="","",IF(AND(高値!AE304&gt;高値!AD304,高値!AE304&gt;高値!AC304,高値!AE304&gt;高値!AF304,高値!AE304&gt;高値!AG304),26,""))</f>
        <v/>
      </c>
      <c r="BB304" s="503" t="str">
        <f>IF(終値!A304="","",IF(AND(高値!AF304&gt;高値!AE304,高値!AF304&gt;高値!AD304,高値!AF304&gt;高値!AG304,高値!AF304&gt;高値!AH304),27,""))</f>
        <v/>
      </c>
      <c r="BC304" s="503" t="str">
        <f>IF(終値!A304="","",IF(AND(高値!AG304&gt;高値!AF304,高値!AG304&gt;高値!AE304,高値!AG304&gt;高値!AH304,高値!AG304&gt;高値!AI304),28,""))</f>
        <v/>
      </c>
      <c r="BD304" s="503">
        <f t="shared" si="24"/>
        <v>3</v>
      </c>
      <c r="BE304" s="503">
        <f t="shared" si="25"/>
        <v>3</v>
      </c>
      <c r="BF304" s="503">
        <f t="shared" si="26"/>
        <v>13</v>
      </c>
      <c r="BG304" s="503">
        <f>IF($BE304="","",INDEX(安値!$E304:$CZ304,1,$BE304+1))</f>
        <v>6852</v>
      </c>
      <c r="BH304" s="503">
        <f>IF($BF304="","",INDEX(安値!$E304:$CZ304,1,$BF304+1))</f>
        <v>6951</v>
      </c>
      <c r="BI304" s="503">
        <f>IF($BF304="","",MAX(INDEX(高値!$E304:$CZ304,1,$BE304+1):INDEX(高値!$E304:$CZ304,1,$BF304+1)))</f>
        <v>7862</v>
      </c>
      <c r="BJ304" s="503">
        <f>IF($BF304="","",AVERAGE(INDEX(終値!$E304:$CZ304,1,$BF304+1):INDEX(終値!$E304:$CZ304,1,$BF304+20))-2*STDEVP(INDEX(終値!$E304:$CZ304,1,$BF304+1):INDEX(終値!$E304:$CZ304,1,$BF304+20)))</f>
        <v>7219.2772369164813</v>
      </c>
      <c r="BK304" s="503">
        <f>IF($BE304="","",AVERAGE(INDEX(終値!$E304:$CZ304,1,$BE304+1):INDEX(終値!$E304:$CZ304,1,$BE304+20))-2*STDEVP(INDEX(終値!$E304:$CZ304,1,$BE304+1):INDEX(終値!$E304:$CZ304,1,$BE304+20)))</f>
        <v>6850.0918933961248</v>
      </c>
      <c r="BL304" s="503">
        <f t="shared" si="27"/>
        <v>2</v>
      </c>
      <c r="BM304" s="503">
        <f t="shared" si="28"/>
        <v>7</v>
      </c>
      <c r="BN304" s="503">
        <f t="shared" si="29"/>
        <v>20</v>
      </c>
      <c r="BO304" s="503">
        <f>IF($BM304="","",INDEX(高値!$E304:$CZ304,1,$BM304+1))</f>
        <v>7862</v>
      </c>
      <c r="BP304" s="503">
        <f>IF($BN304="","",INDEX(高値!$E304:$CZ304,1,$BN304+1))</f>
        <v>8246</v>
      </c>
      <c r="BQ304" s="503">
        <f>IF($BN304="","",MIN(INDEX(安値!$E304:$CZ304,1,$BM304+1):INDEX(安値!$E304:$CZ304,1,$BN304+1)))</f>
        <v>6951</v>
      </c>
      <c r="BR304" s="503">
        <f>IF($BN304="","",AVERAGE(INDEX(終値!$E304:$CZ304,1,$BN304+1):INDEX(終値!$E304:$CZ304,1,$BN304+20))+2*STDEVP(INDEX(終値!$E304:$CZ304,1,$BN304+1):INDEX(終値!$E304:$CZ304,1,$BN304+20)))</f>
        <v>8742.2774836376557</v>
      </c>
      <c r="BS304" s="503">
        <f>IF($BM304="","",AVERAGE(INDEX(終値!$E304:$CZ304,1,$BM304+1):INDEX(終値!$E304:$CZ304,1,$BM304+20))+2*STDEVP(INDEX(終値!$E304:$CZ304,1,$BM304+1):INDEX(終値!$E304:$CZ304,1,$BM304+20)))</f>
        <v>8236.3875648124049</v>
      </c>
      <c r="BT304" s="500"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二番底W▲</v>
      </c>
    </row>
    <row r="305" spans="2:72">
      <c r="B305" s="503" t="str">
        <f>IF(終値!A305="","",IF(AND(安値!G305&lt;安値!F305,安値!G305&lt;安値!E305,安値!G305&lt;安値!H305,安値!G305&lt;安値!I305),2,""))</f>
        <v/>
      </c>
      <c r="C305" s="503" t="str">
        <f>IF(終値!A305="","",IF(AND(安値!H305&lt;安値!G305,安値!H305&lt;安値!F305,安値!H305&lt;安値!I305,安値!H305&lt;安値!J305),3,""))</f>
        <v/>
      </c>
      <c r="D305" s="503" t="str">
        <f>IF(終値!A305="","",IF(AND(安値!I305&lt;安値!H305,安値!I305&lt;安値!G305,安値!I305&lt;安値!J305,安値!I305&lt;安値!K305),4,""))</f>
        <v/>
      </c>
      <c r="E305" s="503" t="str">
        <f>IF(終値!A305="","",IF(AND(安値!J305&lt;安値!I305,安値!J305&lt;安値!H305,安値!J305&lt;安値!K305,安値!J305&lt;安値!L305),5,""))</f>
        <v/>
      </c>
      <c r="F305" s="503" t="str">
        <f>IF(終値!A305="","",IF(AND(安値!K305&lt;安値!J305,安値!K305&lt;安値!I305,安値!K305&lt;安値!L305,安値!K305&lt;安値!M305),6,""))</f>
        <v/>
      </c>
      <c r="G305" s="503" t="str">
        <f>IF(終値!A305="","",IF(AND(安値!L305&lt;安値!K305,安値!L305&lt;安値!J305,安値!L305&lt;安値!M305,安値!L305&lt;安値!N305),7,""))</f>
        <v/>
      </c>
      <c r="H305" s="503" t="str">
        <f>IF(終値!A305="","",IF(AND(安値!M305&lt;安値!L305,安値!M305&lt;安値!K305,安値!M305&lt;安値!N305,安値!M305&lt;安値!O305),8,""))</f>
        <v/>
      </c>
      <c r="I305" s="503">
        <f>IF(終値!A305="","",IF(AND(安値!N305&lt;安値!M305,安値!N305&lt;安値!L305,安値!N305&lt;安値!O305,安値!N305&lt;安値!P305),9,""))</f>
        <v>9</v>
      </c>
      <c r="J305" s="503" t="str">
        <f>IF(終値!A305="","",IF(AND(安値!O305&lt;安値!N305,安値!O305&lt;安値!M305,安値!O305&lt;安値!P305,安値!O305&lt;安値!Q305),10,""))</f>
        <v/>
      </c>
      <c r="K305" s="503" t="str">
        <f>IF(終値!A305="","",IF(AND(安値!P305&lt;安値!O305,安値!P305&lt;安値!N305,安値!P305&lt;安値!Q305,安値!P305&lt;安値!R305),11,""))</f>
        <v/>
      </c>
      <c r="L305" s="503" t="str">
        <f>IF(終値!A305="","",IF(AND(安値!Q305&lt;安値!P305,安値!Q305&lt;安値!O305,安値!Q305&lt;安値!R305,安値!Q305&lt;安値!S305),12,""))</f>
        <v/>
      </c>
      <c r="M305" s="503" t="str">
        <f>IF(終値!A305="","",IF(AND(安値!R305&lt;安値!Q305,安値!R305&lt;安値!P305,安値!R305&lt;安値!S305,安値!R305&lt;安値!T305),13,""))</f>
        <v/>
      </c>
      <c r="N305" s="503" t="str">
        <f>IF(終値!A305="","",IF(AND(安値!S305&lt;安値!R305,安値!S305&lt;安値!Q305,安値!S305&lt;安値!T305,安値!S305&lt;安値!U305),14,""))</f>
        <v/>
      </c>
      <c r="O305" s="503" t="str">
        <f>IF(終値!A305="","",IF(AND(安値!T305&lt;安値!S305,安値!T305&lt;安値!R305,安値!T305&lt;安値!U305,安値!T305&lt;安値!V305),15,""))</f>
        <v/>
      </c>
      <c r="P305" s="503">
        <f>IF(終値!A305="","",IF(AND(安値!U305&lt;安値!T305,安値!U305&lt;安値!S305,安値!U305&lt;安値!V305,安値!U305&lt;安値!W305),16,""))</f>
        <v>16</v>
      </c>
      <c r="Q305" s="503" t="str">
        <f>IF(終値!A305="","",IF(AND(安値!V305&lt;安値!U305,安値!V305&lt;安値!T305,安値!V305&lt;安値!W305,安値!V305&lt;安値!X305),17,""))</f>
        <v/>
      </c>
      <c r="R305" s="503" t="str">
        <f>IF(終値!A305="","",IF(AND(安値!W305&lt;安値!V305,安値!W305&lt;安値!U305,安値!W305&lt;安値!X305,安値!W305&lt;安値!Y305),18,""))</f>
        <v/>
      </c>
      <c r="S305" s="503" t="str">
        <f>IF(終値!A305="","",IF(AND(安値!X305&lt;安値!W305,安値!X305&lt;安値!V305,安値!X305&lt;安値!Y305,安値!X305&lt;安値!Z305),19,""))</f>
        <v/>
      </c>
      <c r="T305" s="503" t="str">
        <f>IF(終値!A305="","",IF(AND(安値!Y305&lt;安値!X305,安値!Y305&lt;安値!W305,安値!Y305&lt;安値!Z305,安値!Y305&lt;安値!AA305),20,""))</f>
        <v/>
      </c>
      <c r="U305" s="503" t="str">
        <f>IF(終値!A305="","",IF(AND(安値!Z305&lt;安値!Y305,安値!Z305&lt;安値!X305,安値!Z305&lt;安値!AA305,安値!Z305&lt;安値!AB305),21,""))</f>
        <v/>
      </c>
      <c r="V305" s="503" t="str">
        <f>IF(終値!A305="","",IF(AND(安値!AA305&lt;安値!Z305,安値!AA305&lt;安値!Y305,安値!AA305&lt;安値!AB305,安値!AA305&lt;安値!AC305),22,""))</f>
        <v/>
      </c>
      <c r="W305" s="503" t="str">
        <f>IF(終値!A305="","",IF(AND(安値!AB305&lt;安値!AA305,安値!AB305&lt;安値!Z305,安値!AB305&lt;安値!AC305,安値!AB305&lt;安値!AD305),23,""))</f>
        <v/>
      </c>
      <c r="X305" s="503">
        <f>IF(終値!A305="","",IF(AND(安値!AC305&lt;安値!AB305,安値!AC305&lt;安値!AA305,安値!AC305&lt;安値!AD305,安値!AC305&lt;安値!AE305),24,""))</f>
        <v>24</v>
      </c>
      <c r="Y305" s="503" t="str">
        <f>IF(終値!A305="","",IF(AND(安値!AD305&lt;安値!AC305,安値!AD305&lt;安値!AB305,安値!AD305&lt;安値!AE305,安値!AD305&lt;安値!AF305),25,""))</f>
        <v/>
      </c>
      <c r="Z305" s="503" t="str">
        <f>IF(終値!A305="","",IF(AND(安値!AE305&lt;安値!AD305,安値!AE305&lt;安値!AC305,安値!AE305&lt;安値!AF305,安値!AE305&lt;安値!AG305),26,""))</f>
        <v/>
      </c>
      <c r="AA305" s="503" t="str">
        <f>IF(終値!A305="","",IF(AND(安値!AF305&lt;安値!AE305,安値!AF305&lt;安値!AD305,安値!AF305&lt;安値!AG305,安値!AF305&lt;安値!AH305),27,""))</f>
        <v/>
      </c>
      <c r="AB305" s="503" t="str">
        <f>IF(終値!A305="","",IF(AND(安値!AG305&lt;安値!AF305,安値!AG305&lt;安値!AE305,安値!AG305&lt;安値!AH305,安値!AG305&lt;安値!AI305),28,""))</f>
        <v/>
      </c>
      <c r="AC305" s="503" t="str">
        <f>IF(終値!A305="","",IF(AND(高値!G305&gt;高値!F305,高値!G305&gt;高値!E305,高値!G305&gt;高値!H305,高値!G305&gt;高値!I305),2,""))</f>
        <v/>
      </c>
      <c r="AD305" s="503" t="str">
        <f>IF(終値!A305="","",IF(AND(高値!H305&gt;高値!G305,高値!H305&gt;高値!F305,高値!H305&gt;高値!I305,高値!H305&gt;高値!J305),3,""))</f>
        <v/>
      </c>
      <c r="AE305" s="503" t="str">
        <f>IF(終値!A305="","",IF(AND(高値!I305&gt;高値!H305,高値!I305&gt;高値!G305,高値!I305&gt;高値!J305,高値!I305&gt;高値!K305),4,""))</f>
        <v/>
      </c>
      <c r="AF305" s="503" t="str">
        <f>IF(終値!A305="","",IF(AND(高値!J305&gt;高値!I305,高値!J305&gt;高値!H305,高値!J305&gt;高値!K305,高値!J305&gt;高値!L305),5,""))</f>
        <v/>
      </c>
      <c r="AG305" s="503">
        <f>IF(終値!A305="","",IF(AND(高値!K305&gt;高値!J305,高値!K305&gt;高値!I305,高値!K305&gt;高値!L305,高値!K305&gt;高値!M305),6,""))</f>
        <v>6</v>
      </c>
      <c r="AH305" s="503" t="str">
        <f>IF(終値!A305="","",IF(AND(高値!L305&gt;高値!K305,高値!L305&gt;高値!J305,高値!L305&gt;高値!M305,高値!L305&gt;高値!N305),7,""))</f>
        <v/>
      </c>
      <c r="AI305" s="503" t="str">
        <f>IF(終値!A305="","",IF(AND(高値!M305&gt;高値!L305,高値!M305&gt;高値!K305,高値!M305&gt;高値!N305,高値!M305&gt;高値!O305),8,""))</f>
        <v/>
      </c>
      <c r="AJ305" s="503" t="str">
        <f>IF(終値!A305="","",IF(AND(高値!N305&gt;高値!M305,高値!N305&gt;高値!L305,高値!N305&gt;高値!O305,高値!N305&gt;高値!P305),9,""))</f>
        <v/>
      </c>
      <c r="AK305" s="503" t="str">
        <f>IF(終値!A305="","",IF(AND(高値!O305&gt;高値!N305,高値!O305&gt;高値!M305,高値!O305&gt;高値!P305,高値!O305&gt;高値!Q305),10,""))</f>
        <v/>
      </c>
      <c r="AL305" s="503" t="str">
        <f>IF(終値!A305="","",IF(AND(高値!P305&gt;高値!O305,高値!P305&gt;高値!N305,高値!P305&gt;高値!Q305,高値!P305&gt;高値!R305),11,""))</f>
        <v/>
      </c>
      <c r="AM305" s="503" t="str">
        <f>IF(終値!A305="","",IF(AND(高値!Q305&gt;高値!P305,高値!Q305&gt;高値!O305,高値!Q305&gt;高値!R305,高値!Q305&gt;高値!S305),12,""))</f>
        <v/>
      </c>
      <c r="AN305" s="503">
        <f>IF(終値!A305="","",IF(AND(高値!R305&gt;高値!Q305,高値!R305&gt;高値!P305,高値!R305&gt;高値!S305,高値!R305&gt;高値!T305),13,""))</f>
        <v>13</v>
      </c>
      <c r="AO305" s="503" t="str">
        <f>IF(終値!A305="","",IF(AND(高値!S305&gt;高値!R305,高値!S305&gt;高値!Q305,高値!S305&gt;高値!T305,高値!S305&gt;高値!U305),14,""))</f>
        <v/>
      </c>
      <c r="AP305" s="503" t="str">
        <f>IF(終値!A305="","",IF(AND(高値!T305&gt;高値!S305,高値!T305&gt;高値!R305,高値!T305&gt;高値!U305,高値!T305&gt;高値!V305),15,""))</f>
        <v/>
      </c>
      <c r="AQ305" s="503" t="str">
        <f>IF(終値!A305="","",IF(AND(高値!U305&gt;高値!T305,高値!U305&gt;高値!S305,高値!U305&gt;高値!V305,高値!U305&gt;高値!W305),16,""))</f>
        <v/>
      </c>
      <c r="AR305" s="503" t="str">
        <f>IF(終値!A305="","",IF(AND(高値!V305&gt;高値!U305,高値!V305&gt;高値!T305,高値!V305&gt;高値!W305,高値!V305&gt;高値!X305),17,""))</f>
        <v/>
      </c>
      <c r="AS305" s="503" t="str">
        <f>IF(終値!A305="","",IF(AND(高値!W305&gt;高値!V305,高値!W305&gt;高値!U305,高値!W305&gt;高値!X305,高値!W305&gt;高値!Y305),18,""))</f>
        <v/>
      </c>
      <c r="AT305" s="503">
        <f>IF(終値!A305="","",IF(AND(高値!X305&gt;高値!W305,高値!X305&gt;高値!V305,高値!X305&gt;高値!Y305,高値!X305&gt;高値!Z305),19,""))</f>
        <v>19</v>
      </c>
      <c r="AU305" s="503" t="str">
        <f>IF(終値!A305="","",IF(AND(高値!Y305&gt;高値!X305,高値!Y305&gt;高値!W305,高値!Y305&gt;高値!Z305,高値!Y305&gt;高値!AA305),20,""))</f>
        <v/>
      </c>
      <c r="AV305" s="503" t="str">
        <f>IF(終値!A305="","",IF(AND(高値!Z305&gt;高値!Y305,高値!Z305&gt;高値!X305,高値!Z305&gt;高値!AA305,高値!Z305&gt;高値!AB305),21,""))</f>
        <v/>
      </c>
      <c r="AW305" s="503" t="str">
        <f>IF(終値!A305="","",IF(AND(高値!AA305&gt;高値!Z305,高値!AA305&gt;高値!Y305,高値!AA305&gt;高値!AB305,高値!AA305&gt;高値!AC305),22,""))</f>
        <v/>
      </c>
      <c r="AX305" s="503" t="str">
        <f>IF(終値!A305="","",IF(AND(高値!AB305&gt;高値!AA305,高値!AB305&gt;高値!Z305,高値!AB305&gt;高値!AC305,高値!AB305&gt;高値!AD305),23,""))</f>
        <v/>
      </c>
      <c r="AY305" s="503" t="str">
        <f>IF(終値!A305="","",IF(AND(高値!AC305&gt;高値!AB305,高値!AC305&gt;高値!AA305,高値!AC305&gt;高値!AD305,高値!AC305&gt;高値!AE305),24,""))</f>
        <v/>
      </c>
      <c r="AZ305" s="503">
        <f>IF(終値!A305="","",IF(AND(高値!AD305&gt;高値!AC305,高値!AD305&gt;高値!AB305,高値!AD305&gt;高値!AE305,高値!AD305&gt;高値!AF305),25,""))</f>
        <v>25</v>
      </c>
      <c r="BA305" s="503" t="str">
        <f>IF(終値!A305="","",IF(AND(高値!AE305&gt;高値!AD305,高値!AE305&gt;高値!AC305,高値!AE305&gt;高値!AF305,高値!AE305&gt;高値!AG305),26,""))</f>
        <v/>
      </c>
      <c r="BB305" s="503" t="str">
        <f>IF(終値!A305="","",IF(AND(高値!AF305&gt;高値!AE305,高値!AF305&gt;高値!AD305,高値!AF305&gt;高値!AG305,高値!AF305&gt;高値!AH305),27,""))</f>
        <v/>
      </c>
      <c r="BC305" s="503" t="str">
        <f>IF(終値!A305="","",IF(AND(高値!AG305&gt;高値!AF305,高値!AG305&gt;高値!AE305,高値!AG305&gt;高値!AH305,高値!AG305&gt;高値!AI305),28,""))</f>
        <v/>
      </c>
      <c r="BD305" s="503">
        <f t="shared" si="24"/>
        <v>3</v>
      </c>
      <c r="BE305" s="503">
        <f t="shared" si="25"/>
        <v>9</v>
      </c>
      <c r="BF305" s="503">
        <f t="shared" si="26"/>
        <v>16</v>
      </c>
      <c r="BG305" s="503">
        <f>IF($BE305="","",INDEX(安値!$E305:$CZ305,1,$BE305+1))</f>
        <v>843.8</v>
      </c>
      <c r="BH305" s="503">
        <f>IF($BF305="","",INDEX(安値!$E305:$CZ305,1,$BF305+1))</f>
        <v>846.5</v>
      </c>
      <c r="BI305" s="503">
        <f>IF($BF305="","",MAX(INDEX(高値!$E305:$CZ305,1,$BE305+1):INDEX(高値!$E305:$CZ305,1,$BF305+1)))</f>
        <v>903.9</v>
      </c>
      <c r="BJ305" s="503">
        <f>IF($BF305="","",AVERAGE(INDEX(終値!$E305:$CZ305,1,$BF305+1):INDEX(終値!$E305:$CZ305,1,$BF305+20))-2*STDEVP(INDEX(終値!$E305:$CZ305,1,$BF305+1):INDEX(終値!$E305:$CZ305,1,$BF305+20)))</f>
        <v>789.94078219126493</v>
      </c>
      <c r="BK305" s="503">
        <f>IF($BE305="","",AVERAGE(INDEX(終値!$E305:$CZ305,1,$BE305+1):INDEX(終値!$E305:$CZ305,1,$BE305+20))-2*STDEVP(INDEX(終値!$E305:$CZ305,1,$BE305+1):INDEX(終値!$E305:$CZ305,1,$BE305+20)))</f>
        <v>798.45094214654819</v>
      </c>
      <c r="BL305" s="503">
        <f t="shared" si="27"/>
        <v>4</v>
      </c>
      <c r="BM305" s="503">
        <f t="shared" si="28"/>
        <v>6</v>
      </c>
      <c r="BN305" s="503">
        <f t="shared" si="29"/>
        <v>13</v>
      </c>
      <c r="BO305" s="503">
        <f>IF($BM305="","",INDEX(高値!$E305:$CZ305,1,$BM305+1))</f>
        <v>984.5</v>
      </c>
      <c r="BP305" s="503">
        <f>IF($BN305="","",INDEX(高値!$E305:$CZ305,1,$BN305+1))</f>
        <v>903.9</v>
      </c>
      <c r="BQ305" s="503">
        <f>IF($BN305="","",MIN(INDEX(安値!$E305:$CZ305,1,$BM305+1):INDEX(安値!$E305:$CZ305,1,$BN305+1)))</f>
        <v>843.8</v>
      </c>
      <c r="BR305" s="503">
        <f>IF($BN305="","",AVERAGE(INDEX(終値!$E305:$CZ305,1,$BN305+1):INDEX(終値!$E305:$CZ305,1,$BN305+20))+2*STDEVP(INDEX(終値!$E305:$CZ305,1,$BN305+1):INDEX(終値!$E305:$CZ305,1,$BN305+20)))</f>
        <v>893.5478584018465</v>
      </c>
      <c r="BS305" s="503">
        <f>IF($BM305="","",AVERAGE(INDEX(終値!$E305:$CZ305,1,$BM305+1):INDEX(終値!$E305:$CZ305,1,$BM305+20))+2*STDEVP(INDEX(終値!$E305:$CZ305,1,$BM305+1):INDEX(終値!$E305:$CZ305,1,$BM305+20)))</f>
        <v>938.79696331997934</v>
      </c>
      <c r="BT305" s="500"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二番底W形成</v>
      </c>
    </row>
    <row r="306" spans="2:72">
      <c r="B306" s="503" t="str">
        <f>IF(終値!A306="","",IF(AND(安値!G306&lt;安値!F306,安値!G306&lt;安値!E306,安値!G306&lt;安値!H306,安値!G306&lt;安値!I306),2,""))</f>
        <v/>
      </c>
      <c r="C306" s="503" t="str">
        <f>IF(終値!A306="","",IF(AND(安値!H306&lt;安値!G306,安値!H306&lt;安値!F306,安値!H306&lt;安値!I306,安値!H306&lt;安値!J306),3,""))</f>
        <v/>
      </c>
      <c r="D306" s="503" t="str">
        <f>IF(終値!A306="","",IF(AND(安値!I306&lt;安値!H306,安値!I306&lt;安値!G306,安値!I306&lt;安値!J306,安値!I306&lt;安値!K306),4,""))</f>
        <v/>
      </c>
      <c r="E306" s="503" t="str">
        <f>IF(終値!A306="","",IF(AND(安値!J306&lt;安値!I306,安値!J306&lt;安値!H306,安値!J306&lt;安値!K306,安値!J306&lt;安値!L306),5,""))</f>
        <v/>
      </c>
      <c r="F306" s="503" t="str">
        <f>IF(終値!A306="","",IF(AND(安値!K306&lt;安値!J306,安値!K306&lt;安値!I306,安値!K306&lt;安値!L306,安値!K306&lt;安値!M306),6,""))</f>
        <v/>
      </c>
      <c r="G306" s="503" t="str">
        <f>IF(終値!A306="","",IF(AND(安値!L306&lt;安値!K306,安値!L306&lt;安値!J306,安値!L306&lt;安値!M306,安値!L306&lt;安値!N306),7,""))</f>
        <v/>
      </c>
      <c r="H306" s="503" t="str">
        <f>IF(終値!A306="","",IF(AND(安値!M306&lt;安値!L306,安値!M306&lt;安値!K306,安値!M306&lt;安値!N306,安値!M306&lt;安値!O306),8,""))</f>
        <v/>
      </c>
      <c r="I306" s="503" t="str">
        <f>IF(終値!A306="","",IF(AND(安値!N306&lt;安値!M306,安値!N306&lt;安値!L306,安値!N306&lt;安値!O306,安値!N306&lt;安値!P306),9,""))</f>
        <v/>
      </c>
      <c r="J306" s="503" t="str">
        <f>IF(終値!A306="","",IF(AND(安値!O306&lt;安値!N306,安値!O306&lt;安値!M306,安値!O306&lt;安値!P306,安値!O306&lt;安値!Q306),10,""))</f>
        <v/>
      </c>
      <c r="K306" s="503" t="str">
        <f>IF(終値!A306="","",IF(AND(安値!P306&lt;安値!O306,安値!P306&lt;安値!N306,安値!P306&lt;安値!Q306,安値!P306&lt;安値!R306),11,""))</f>
        <v/>
      </c>
      <c r="L306" s="503" t="str">
        <f>IF(終値!A306="","",IF(AND(安値!Q306&lt;安値!P306,安値!Q306&lt;安値!O306,安値!Q306&lt;安値!R306,安値!Q306&lt;安値!S306),12,""))</f>
        <v/>
      </c>
      <c r="M306" s="503" t="str">
        <f>IF(終値!A306="","",IF(AND(安値!R306&lt;安値!Q306,安値!R306&lt;安値!P306,安値!R306&lt;安値!S306,安値!R306&lt;安値!T306),13,""))</f>
        <v/>
      </c>
      <c r="N306" s="503" t="str">
        <f>IF(終値!A306="","",IF(AND(安値!S306&lt;安値!R306,安値!S306&lt;安値!Q306,安値!S306&lt;安値!T306,安値!S306&lt;安値!U306),14,""))</f>
        <v/>
      </c>
      <c r="O306" s="503" t="str">
        <f>IF(終値!A306="","",IF(AND(安値!T306&lt;安値!S306,安値!T306&lt;安値!R306,安値!T306&lt;安値!U306,安値!T306&lt;安値!V306),15,""))</f>
        <v/>
      </c>
      <c r="P306" s="503" t="str">
        <f>IF(終値!A306="","",IF(AND(安値!U306&lt;安値!T306,安値!U306&lt;安値!S306,安値!U306&lt;安値!V306,安値!U306&lt;安値!W306),16,""))</f>
        <v/>
      </c>
      <c r="Q306" s="503" t="str">
        <f>IF(終値!A306="","",IF(AND(安値!V306&lt;安値!U306,安値!V306&lt;安値!T306,安値!V306&lt;安値!W306,安値!V306&lt;安値!X306),17,""))</f>
        <v/>
      </c>
      <c r="R306" s="503" t="str">
        <f>IF(終値!A306="","",IF(AND(安値!W306&lt;安値!V306,安値!W306&lt;安値!U306,安値!W306&lt;安値!X306,安値!W306&lt;安値!Y306),18,""))</f>
        <v/>
      </c>
      <c r="S306" s="503" t="str">
        <f>IF(終値!A306="","",IF(AND(安値!X306&lt;安値!W306,安値!X306&lt;安値!V306,安値!X306&lt;安値!Y306,安値!X306&lt;安値!Z306),19,""))</f>
        <v/>
      </c>
      <c r="T306" s="503" t="str">
        <f>IF(終値!A306="","",IF(AND(安値!Y306&lt;安値!X306,安値!Y306&lt;安値!W306,安値!Y306&lt;安値!Z306,安値!Y306&lt;安値!AA306),20,""))</f>
        <v/>
      </c>
      <c r="U306" s="503" t="str">
        <f>IF(終値!A306="","",IF(AND(安値!Z306&lt;安値!Y306,安値!Z306&lt;安値!X306,安値!Z306&lt;安値!AA306,安値!Z306&lt;安値!AB306),21,""))</f>
        <v/>
      </c>
      <c r="V306" s="503" t="str">
        <f>IF(終値!A306="","",IF(AND(安値!AA306&lt;安値!Z306,安値!AA306&lt;安値!Y306,安値!AA306&lt;安値!AB306,安値!AA306&lt;安値!AC306),22,""))</f>
        <v/>
      </c>
      <c r="W306" s="503" t="str">
        <f>IF(終値!A306="","",IF(AND(安値!AB306&lt;安値!AA306,安値!AB306&lt;安値!Z306,安値!AB306&lt;安値!AC306,安値!AB306&lt;安値!AD306),23,""))</f>
        <v/>
      </c>
      <c r="X306" s="503" t="str">
        <f>IF(終値!A306="","",IF(AND(安値!AC306&lt;安値!AB306,安値!AC306&lt;安値!AA306,安値!AC306&lt;安値!AD306,安値!AC306&lt;安値!AE306),24,""))</f>
        <v/>
      </c>
      <c r="Y306" s="503" t="str">
        <f>IF(終値!A306="","",IF(AND(安値!AD306&lt;安値!AC306,安値!AD306&lt;安値!AB306,安値!AD306&lt;安値!AE306,安値!AD306&lt;安値!AF306),25,""))</f>
        <v/>
      </c>
      <c r="Z306" s="503" t="str">
        <f>IF(終値!A306="","",IF(AND(安値!AE306&lt;安値!AD306,安値!AE306&lt;安値!AC306,安値!AE306&lt;安値!AF306,安値!AE306&lt;安値!AG306),26,""))</f>
        <v/>
      </c>
      <c r="AA306" s="503" t="str">
        <f>IF(終値!A306="","",IF(AND(安値!AF306&lt;安値!AE306,安値!AF306&lt;安値!AD306,安値!AF306&lt;安値!AG306,安値!AF306&lt;安値!AH306),27,""))</f>
        <v/>
      </c>
      <c r="AB306" s="503" t="str">
        <f>IF(終値!A306="","",IF(AND(安値!AG306&lt;安値!AF306,安値!AG306&lt;安値!AE306,安値!AG306&lt;安値!AH306,安値!AG306&lt;安値!AI306),28,""))</f>
        <v/>
      </c>
      <c r="AC306" s="503" t="str">
        <f>IF(終値!A306="","",IF(AND(高値!G306&gt;高値!F306,高値!G306&gt;高値!E306,高値!G306&gt;高値!H306,高値!G306&gt;高値!I306),2,""))</f>
        <v/>
      </c>
      <c r="AD306" s="503" t="str">
        <f>IF(終値!A306="","",IF(AND(高値!H306&gt;高値!G306,高値!H306&gt;高値!F306,高値!H306&gt;高値!I306,高値!H306&gt;高値!J306),3,""))</f>
        <v/>
      </c>
      <c r="AE306" s="503" t="str">
        <f>IF(終値!A306="","",IF(AND(高値!I306&gt;高値!H306,高値!I306&gt;高値!G306,高値!I306&gt;高値!J306,高値!I306&gt;高値!K306),4,""))</f>
        <v/>
      </c>
      <c r="AF306" s="503" t="str">
        <f>IF(終値!A306="","",IF(AND(高値!J306&gt;高値!I306,高値!J306&gt;高値!H306,高値!J306&gt;高値!K306,高値!J306&gt;高値!L306),5,""))</f>
        <v/>
      </c>
      <c r="AG306" s="503" t="str">
        <f>IF(終値!A306="","",IF(AND(高値!K306&gt;高値!J306,高値!K306&gt;高値!I306,高値!K306&gt;高値!L306,高値!K306&gt;高値!M306),6,""))</f>
        <v/>
      </c>
      <c r="AH306" s="503" t="str">
        <f>IF(終値!A306="","",IF(AND(高値!L306&gt;高値!K306,高値!L306&gt;高値!J306,高値!L306&gt;高値!M306,高値!L306&gt;高値!N306),7,""))</f>
        <v/>
      </c>
      <c r="AI306" s="503" t="str">
        <f>IF(終値!A306="","",IF(AND(高値!M306&gt;高値!L306,高値!M306&gt;高値!K306,高値!M306&gt;高値!N306,高値!M306&gt;高値!O306),8,""))</f>
        <v/>
      </c>
      <c r="AJ306" s="503" t="str">
        <f>IF(終値!A306="","",IF(AND(高値!N306&gt;高値!M306,高値!N306&gt;高値!L306,高値!N306&gt;高値!O306,高値!N306&gt;高値!P306),9,""))</f>
        <v/>
      </c>
      <c r="AK306" s="503" t="str">
        <f>IF(終値!A306="","",IF(AND(高値!O306&gt;高値!N306,高値!O306&gt;高値!M306,高値!O306&gt;高値!P306,高値!O306&gt;高値!Q306),10,""))</f>
        <v/>
      </c>
      <c r="AL306" s="503" t="str">
        <f>IF(終値!A306="","",IF(AND(高値!P306&gt;高値!O306,高値!P306&gt;高値!N306,高値!P306&gt;高値!Q306,高値!P306&gt;高値!R306),11,""))</f>
        <v/>
      </c>
      <c r="AM306" s="503" t="str">
        <f>IF(終値!A306="","",IF(AND(高値!Q306&gt;高値!P306,高値!Q306&gt;高値!O306,高値!Q306&gt;高値!R306,高値!Q306&gt;高値!S306),12,""))</f>
        <v/>
      </c>
      <c r="AN306" s="503" t="str">
        <f>IF(終値!A306="","",IF(AND(高値!R306&gt;高値!Q306,高値!R306&gt;高値!P306,高値!R306&gt;高値!S306,高値!R306&gt;高値!T306),13,""))</f>
        <v/>
      </c>
      <c r="AO306" s="503" t="str">
        <f>IF(終値!A306="","",IF(AND(高値!S306&gt;高値!R306,高値!S306&gt;高値!Q306,高値!S306&gt;高値!T306,高値!S306&gt;高値!U306),14,""))</f>
        <v/>
      </c>
      <c r="AP306" s="503" t="str">
        <f>IF(終値!A306="","",IF(AND(高値!T306&gt;高値!S306,高値!T306&gt;高値!R306,高値!T306&gt;高値!U306,高値!T306&gt;高値!V306),15,""))</f>
        <v/>
      </c>
      <c r="AQ306" s="503" t="str">
        <f>IF(終値!A306="","",IF(AND(高値!U306&gt;高値!T306,高値!U306&gt;高値!S306,高値!U306&gt;高値!V306,高値!U306&gt;高値!W306),16,""))</f>
        <v/>
      </c>
      <c r="AR306" s="503" t="str">
        <f>IF(終値!A306="","",IF(AND(高値!V306&gt;高値!U306,高値!V306&gt;高値!T306,高値!V306&gt;高値!W306,高値!V306&gt;高値!X306),17,""))</f>
        <v/>
      </c>
      <c r="AS306" s="503" t="str">
        <f>IF(終値!A306="","",IF(AND(高値!W306&gt;高値!V306,高値!W306&gt;高値!U306,高値!W306&gt;高値!X306,高値!W306&gt;高値!Y306),18,""))</f>
        <v/>
      </c>
      <c r="AT306" s="503" t="str">
        <f>IF(終値!A306="","",IF(AND(高値!X306&gt;高値!W306,高値!X306&gt;高値!V306,高値!X306&gt;高値!Y306,高値!X306&gt;高値!Z306),19,""))</f>
        <v/>
      </c>
      <c r="AU306" s="503" t="str">
        <f>IF(終値!A306="","",IF(AND(高値!Y306&gt;高値!X306,高値!Y306&gt;高値!W306,高値!Y306&gt;高値!Z306,高値!Y306&gt;高値!AA306),20,""))</f>
        <v/>
      </c>
      <c r="AV306" s="503" t="str">
        <f>IF(終値!A306="","",IF(AND(高値!Z306&gt;高値!Y306,高値!Z306&gt;高値!X306,高値!Z306&gt;高値!AA306,高値!Z306&gt;高値!AB306),21,""))</f>
        <v/>
      </c>
      <c r="AW306" s="503" t="str">
        <f>IF(終値!A306="","",IF(AND(高値!AA306&gt;高値!Z306,高値!AA306&gt;高値!Y306,高値!AA306&gt;高値!AB306,高値!AA306&gt;高値!AC306),22,""))</f>
        <v/>
      </c>
      <c r="AX306" s="503" t="str">
        <f>IF(終値!A306="","",IF(AND(高値!AB306&gt;高値!AA306,高値!AB306&gt;高値!Z306,高値!AB306&gt;高値!AC306,高値!AB306&gt;高値!AD306),23,""))</f>
        <v/>
      </c>
      <c r="AY306" s="503" t="str">
        <f>IF(終値!A306="","",IF(AND(高値!AC306&gt;高値!AB306,高値!AC306&gt;高値!AA306,高値!AC306&gt;高値!AD306,高値!AC306&gt;高値!AE306),24,""))</f>
        <v/>
      </c>
      <c r="AZ306" s="503" t="str">
        <f>IF(終値!A306="","",IF(AND(高値!AD306&gt;高値!AC306,高値!AD306&gt;高値!AB306,高値!AD306&gt;高値!AE306,高値!AD306&gt;高値!AF306),25,""))</f>
        <v/>
      </c>
      <c r="BA306" s="503" t="str">
        <f>IF(終値!A306="","",IF(AND(高値!AE306&gt;高値!AD306,高値!AE306&gt;高値!AC306,高値!AE306&gt;高値!AF306,高値!AE306&gt;高値!AG306),26,""))</f>
        <v/>
      </c>
      <c r="BB306" s="503" t="str">
        <f>IF(終値!A306="","",IF(AND(高値!AF306&gt;高値!AE306,高値!AF306&gt;高値!AD306,高値!AF306&gt;高値!AG306,高値!AF306&gt;高値!AH306),27,""))</f>
        <v/>
      </c>
      <c r="BC306" s="503" t="str">
        <f>IF(終値!A306="","",IF(AND(高値!AG306&gt;高値!AF306,高値!AG306&gt;高値!AE306,高値!AG306&gt;高値!AH306,高値!AG306&gt;高値!AI306),28,""))</f>
        <v/>
      </c>
      <c r="BD306" s="503">
        <f t="shared" si="24"/>
        <v>0</v>
      </c>
      <c r="BE306" s="503" t="str">
        <f t="shared" si="25"/>
        <v/>
      </c>
      <c r="BF306" s="503" t="str">
        <f t="shared" si="26"/>
        <v/>
      </c>
      <c r="BG306" s="503" t="str">
        <f>IF($BE306="","",INDEX(安値!$E306:$CZ306,1,$BE306+1))</f>
        <v/>
      </c>
      <c r="BH306" s="503" t="str">
        <f>IF($BF306="","",INDEX(安値!$E306:$CZ306,1,$BF306+1))</f>
        <v/>
      </c>
      <c r="BI306" s="503" t="str">
        <f>IF($BF306="","",MAX(INDEX(高値!$E306:$CZ306,1,$BE306+1):INDEX(高値!$E306:$CZ306,1,$BF306+1)))</f>
        <v/>
      </c>
      <c r="BJ306" s="503" t="str">
        <f>IF($BF306="","",AVERAGE(INDEX(終値!$E306:$CZ306,1,$BF306+1):INDEX(終値!$E306:$CZ306,1,$BF306+20))-2*STDEVP(INDEX(終値!$E306:$CZ306,1,$BF306+1):INDEX(終値!$E306:$CZ306,1,$BF306+20)))</f>
        <v/>
      </c>
      <c r="BK306" s="503" t="str">
        <f>IF($BE306="","",AVERAGE(INDEX(終値!$E306:$CZ306,1,$BE306+1):INDEX(終値!$E306:$CZ306,1,$BE306+20))-2*STDEVP(INDEX(終値!$E306:$CZ306,1,$BE306+1):INDEX(終値!$E306:$CZ306,1,$BE306+20)))</f>
        <v/>
      </c>
      <c r="BL306" s="503">
        <f t="shared" si="27"/>
        <v>0</v>
      </c>
      <c r="BM306" s="503" t="str">
        <f t="shared" si="28"/>
        <v/>
      </c>
      <c r="BN306" s="503" t="str">
        <f t="shared" si="29"/>
        <v/>
      </c>
      <c r="BO306" s="503" t="str">
        <f>IF($BM306="","",INDEX(高値!$E306:$CZ306,1,$BM306+1))</f>
        <v/>
      </c>
      <c r="BP306" s="503" t="str">
        <f>IF($BN306="","",INDEX(高値!$E306:$CZ306,1,$BN306+1))</f>
        <v/>
      </c>
      <c r="BQ306" s="503" t="str">
        <f>IF($BN306="","",MIN(INDEX(安値!$E306:$CZ306,1,$BM306+1):INDEX(安値!$E306:$CZ306,1,$BN306+1)))</f>
        <v/>
      </c>
      <c r="BR306" s="503" t="str">
        <f>IF($BN306="","",AVERAGE(INDEX(終値!$E306:$CZ306,1,$BN306+1):INDEX(終値!$E306:$CZ306,1,$BN306+20))+2*STDEVP(INDEX(終値!$E306:$CZ306,1,$BN306+1):INDEX(終値!$E306:$CZ306,1,$BN306+20)))</f>
        <v/>
      </c>
      <c r="BS306" s="503" t="str">
        <f>IF($BM306="","",AVERAGE(INDEX(終値!$E306:$CZ306,1,$BM306+1):INDEX(終値!$E306:$CZ306,1,$BM306+20))+2*STDEVP(INDEX(終値!$E306:$CZ306,1,$BM306+1):INDEX(終値!$E306:$CZ306,1,$BM306+20)))</f>
        <v/>
      </c>
      <c r="BT306" s="500"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3" t="str">
        <f>IF(終値!A307="","",IF(AND(安値!G307&lt;安値!F307,安値!G307&lt;安値!E307,安値!G307&lt;安値!H307,安値!G307&lt;安値!I307),2,""))</f>
        <v/>
      </c>
      <c r="C307" s="503" t="str">
        <f>IF(終値!A307="","",IF(AND(安値!H307&lt;安値!G307,安値!H307&lt;安値!F307,安値!H307&lt;安値!I307,安値!H307&lt;安値!J307),3,""))</f>
        <v/>
      </c>
      <c r="D307" s="503" t="str">
        <f>IF(終値!A307="","",IF(AND(安値!I307&lt;安値!H307,安値!I307&lt;安値!G307,安値!I307&lt;安値!J307,安値!I307&lt;安値!K307),4,""))</f>
        <v/>
      </c>
      <c r="E307" s="503" t="str">
        <f>IF(終値!A307="","",IF(AND(安値!J307&lt;安値!I307,安値!J307&lt;安値!H307,安値!J307&lt;安値!K307,安値!J307&lt;安値!L307),5,""))</f>
        <v/>
      </c>
      <c r="F307" s="503" t="str">
        <f>IF(終値!A307="","",IF(AND(安値!K307&lt;安値!J307,安値!K307&lt;安値!I307,安値!K307&lt;安値!L307,安値!K307&lt;安値!M307),6,""))</f>
        <v/>
      </c>
      <c r="G307" s="503" t="str">
        <f>IF(終値!A307="","",IF(AND(安値!L307&lt;安値!K307,安値!L307&lt;安値!J307,安値!L307&lt;安値!M307,安値!L307&lt;安値!N307),7,""))</f>
        <v/>
      </c>
      <c r="H307" s="503" t="str">
        <f>IF(終値!A307="","",IF(AND(安値!M307&lt;安値!L307,安値!M307&lt;安値!K307,安値!M307&lt;安値!N307,安値!M307&lt;安値!O307),8,""))</f>
        <v/>
      </c>
      <c r="I307" s="503" t="str">
        <f>IF(終値!A307="","",IF(AND(安値!N307&lt;安値!M307,安値!N307&lt;安値!L307,安値!N307&lt;安値!O307,安値!N307&lt;安値!P307),9,""))</f>
        <v/>
      </c>
      <c r="J307" s="503" t="str">
        <f>IF(終値!A307="","",IF(AND(安値!O307&lt;安値!N307,安値!O307&lt;安値!M307,安値!O307&lt;安値!P307,安値!O307&lt;安値!Q307),10,""))</f>
        <v/>
      </c>
      <c r="K307" s="503" t="str">
        <f>IF(終値!A307="","",IF(AND(安値!P307&lt;安値!O307,安値!P307&lt;安値!N307,安値!P307&lt;安値!Q307,安値!P307&lt;安値!R307),11,""))</f>
        <v/>
      </c>
      <c r="L307" s="503" t="str">
        <f>IF(終値!A307="","",IF(AND(安値!Q307&lt;安値!P307,安値!Q307&lt;安値!O307,安値!Q307&lt;安値!R307,安値!Q307&lt;安値!S307),12,""))</f>
        <v/>
      </c>
      <c r="M307" s="503" t="str">
        <f>IF(終値!A307="","",IF(AND(安値!R307&lt;安値!Q307,安値!R307&lt;安値!P307,安値!R307&lt;安値!S307,安値!R307&lt;安値!T307),13,""))</f>
        <v/>
      </c>
      <c r="N307" s="503" t="str">
        <f>IF(終値!A307="","",IF(AND(安値!S307&lt;安値!R307,安値!S307&lt;安値!Q307,安値!S307&lt;安値!T307,安値!S307&lt;安値!U307),14,""))</f>
        <v/>
      </c>
      <c r="O307" s="503" t="str">
        <f>IF(終値!A307="","",IF(AND(安値!T307&lt;安値!S307,安値!T307&lt;安値!R307,安値!T307&lt;安値!U307,安値!T307&lt;安値!V307),15,""))</f>
        <v/>
      </c>
      <c r="P307" s="503" t="str">
        <f>IF(終値!A307="","",IF(AND(安値!U307&lt;安値!T307,安値!U307&lt;安値!S307,安値!U307&lt;安値!V307,安値!U307&lt;安値!W307),16,""))</f>
        <v/>
      </c>
      <c r="Q307" s="503" t="str">
        <f>IF(終値!A307="","",IF(AND(安値!V307&lt;安値!U307,安値!V307&lt;安値!T307,安値!V307&lt;安値!W307,安値!V307&lt;安値!X307),17,""))</f>
        <v/>
      </c>
      <c r="R307" s="503" t="str">
        <f>IF(終値!A307="","",IF(AND(安値!W307&lt;安値!V307,安値!W307&lt;安値!U307,安値!W307&lt;安値!X307,安値!W307&lt;安値!Y307),18,""))</f>
        <v/>
      </c>
      <c r="S307" s="503" t="str">
        <f>IF(終値!A307="","",IF(AND(安値!X307&lt;安値!W307,安値!X307&lt;安値!V307,安値!X307&lt;安値!Y307,安値!X307&lt;安値!Z307),19,""))</f>
        <v/>
      </c>
      <c r="T307" s="503" t="str">
        <f>IF(終値!A307="","",IF(AND(安値!Y307&lt;安値!X307,安値!Y307&lt;安値!W307,安値!Y307&lt;安値!Z307,安値!Y307&lt;安値!AA307),20,""))</f>
        <v/>
      </c>
      <c r="U307" s="503" t="str">
        <f>IF(終値!A307="","",IF(AND(安値!Z307&lt;安値!Y307,安値!Z307&lt;安値!X307,安値!Z307&lt;安値!AA307,安値!Z307&lt;安値!AB307),21,""))</f>
        <v/>
      </c>
      <c r="V307" s="503" t="str">
        <f>IF(終値!A307="","",IF(AND(安値!AA307&lt;安値!Z307,安値!AA307&lt;安値!Y307,安値!AA307&lt;安値!AB307,安値!AA307&lt;安値!AC307),22,""))</f>
        <v/>
      </c>
      <c r="W307" s="503" t="str">
        <f>IF(終値!A307="","",IF(AND(安値!AB307&lt;安値!AA307,安値!AB307&lt;安値!Z307,安値!AB307&lt;安値!AC307,安値!AB307&lt;安値!AD307),23,""))</f>
        <v/>
      </c>
      <c r="X307" s="503" t="str">
        <f>IF(終値!A307="","",IF(AND(安値!AC307&lt;安値!AB307,安値!AC307&lt;安値!AA307,安値!AC307&lt;安値!AD307,安値!AC307&lt;安値!AE307),24,""))</f>
        <v/>
      </c>
      <c r="Y307" s="503" t="str">
        <f>IF(終値!A307="","",IF(AND(安値!AD307&lt;安値!AC307,安値!AD307&lt;安値!AB307,安値!AD307&lt;安値!AE307,安値!AD307&lt;安値!AF307),25,""))</f>
        <v/>
      </c>
      <c r="Z307" s="503" t="str">
        <f>IF(終値!A307="","",IF(AND(安値!AE307&lt;安値!AD307,安値!AE307&lt;安値!AC307,安値!AE307&lt;安値!AF307,安値!AE307&lt;安値!AG307),26,""))</f>
        <v/>
      </c>
      <c r="AA307" s="503" t="str">
        <f>IF(終値!A307="","",IF(AND(安値!AF307&lt;安値!AE307,安値!AF307&lt;安値!AD307,安値!AF307&lt;安値!AG307,安値!AF307&lt;安値!AH307),27,""))</f>
        <v/>
      </c>
      <c r="AB307" s="503" t="str">
        <f>IF(終値!A307="","",IF(AND(安値!AG307&lt;安値!AF307,安値!AG307&lt;安値!AE307,安値!AG307&lt;安値!AH307,安値!AG307&lt;安値!AI307),28,""))</f>
        <v/>
      </c>
      <c r="AC307" s="503" t="str">
        <f>IF(終値!A307="","",IF(AND(高値!G307&gt;高値!F307,高値!G307&gt;高値!E307,高値!G307&gt;高値!H307,高値!G307&gt;高値!I307),2,""))</f>
        <v/>
      </c>
      <c r="AD307" s="503" t="str">
        <f>IF(終値!A307="","",IF(AND(高値!H307&gt;高値!G307,高値!H307&gt;高値!F307,高値!H307&gt;高値!I307,高値!H307&gt;高値!J307),3,""))</f>
        <v/>
      </c>
      <c r="AE307" s="503" t="str">
        <f>IF(終値!A307="","",IF(AND(高値!I307&gt;高値!H307,高値!I307&gt;高値!G307,高値!I307&gt;高値!J307,高値!I307&gt;高値!K307),4,""))</f>
        <v/>
      </c>
      <c r="AF307" s="503" t="str">
        <f>IF(終値!A307="","",IF(AND(高値!J307&gt;高値!I307,高値!J307&gt;高値!H307,高値!J307&gt;高値!K307,高値!J307&gt;高値!L307),5,""))</f>
        <v/>
      </c>
      <c r="AG307" s="503" t="str">
        <f>IF(終値!A307="","",IF(AND(高値!K307&gt;高値!J307,高値!K307&gt;高値!I307,高値!K307&gt;高値!L307,高値!K307&gt;高値!M307),6,""))</f>
        <v/>
      </c>
      <c r="AH307" s="503" t="str">
        <f>IF(終値!A307="","",IF(AND(高値!L307&gt;高値!K307,高値!L307&gt;高値!J307,高値!L307&gt;高値!M307,高値!L307&gt;高値!N307),7,""))</f>
        <v/>
      </c>
      <c r="AI307" s="503" t="str">
        <f>IF(終値!A307="","",IF(AND(高値!M307&gt;高値!L307,高値!M307&gt;高値!K307,高値!M307&gt;高値!N307,高値!M307&gt;高値!O307),8,""))</f>
        <v/>
      </c>
      <c r="AJ307" s="503" t="str">
        <f>IF(終値!A307="","",IF(AND(高値!N307&gt;高値!M307,高値!N307&gt;高値!L307,高値!N307&gt;高値!O307,高値!N307&gt;高値!P307),9,""))</f>
        <v/>
      </c>
      <c r="AK307" s="503" t="str">
        <f>IF(終値!A307="","",IF(AND(高値!O307&gt;高値!N307,高値!O307&gt;高値!M307,高値!O307&gt;高値!P307,高値!O307&gt;高値!Q307),10,""))</f>
        <v/>
      </c>
      <c r="AL307" s="503" t="str">
        <f>IF(終値!A307="","",IF(AND(高値!P307&gt;高値!O307,高値!P307&gt;高値!N307,高値!P307&gt;高値!Q307,高値!P307&gt;高値!R307),11,""))</f>
        <v/>
      </c>
      <c r="AM307" s="503" t="str">
        <f>IF(終値!A307="","",IF(AND(高値!Q307&gt;高値!P307,高値!Q307&gt;高値!O307,高値!Q307&gt;高値!R307,高値!Q307&gt;高値!S307),12,""))</f>
        <v/>
      </c>
      <c r="AN307" s="503" t="str">
        <f>IF(終値!A307="","",IF(AND(高値!R307&gt;高値!Q307,高値!R307&gt;高値!P307,高値!R307&gt;高値!S307,高値!R307&gt;高値!T307),13,""))</f>
        <v/>
      </c>
      <c r="AO307" s="503" t="str">
        <f>IF(終値!A307="","",IF(AND(高値!S307&gt;高値!R307,高値!S307&gt;高値!Q307,高値!S307&gt;高値!T307,高値!S307&gt;高値!U307),14,""))</f>
        <v/>
      </c>
      <c r="AP307" s="503" t="str">
        <f>IF(終値!A307="","",IF(AND(高値!T307&gt;高値!S307,高値!T307&gt;高値!R307,高値!T307&gt;高値!U307,高値!T307&gt;高値!V307),15,""))</f>
        <v/>
      </c>
      <c r="AQ307" s="503" t="str">
        <f>IF(終値!A307="","",IF(AND(高値!U307&gt;高値!T307,高値!U307&gt;高値!S307,高値!U307&gt;高値!V307,高値!U307&gt;高値!W307),16,""))</f>
        <v/>
      </c>
      <c r="AR307" s="503" t="str">
        <f>IF(終値!A307="","",IF(AND(高値!V307&gt;高値!U307,高値!V307&gt;高値!T307,高値!V307&gt;高値!W307,高値!V307&gt;高値!X307),17,""))</f>
        <v/>
      </c>
      <c r="AS307" s="503" t="str">
        <f>IF(終値!A307="","",IF(AND(高値!W307&gt;高値!V307,高値!W307&gt;高値!U307,高値!W307&gt;高値!X307,高値!W307&gt;高値!Y307),18,""))</f>
        <v/>
      </c>
      <c r="AT307" s="503" t="str">
        <f>IF(終値!A307="","",IF(AND(高値!X307&gt;高値!W307,高値!X307&gt;高値!V307,高値!X307&gt;高値!Y307,高値!X307&gt;高値!Z307),19,""))</f>
        <v/>
      </c>
      <c r="AU307" s="503" t="str">
        <f>IF(終値!A307="","",IF(AND(高値!Y307&gt;高値!X307,高値!Y307&gt;高値!W307,高値!Y307&gt;高値!Z307,高値!Y307&gt;高値!AA307),20,""))</f>
        <v/>
      </c>
      <c r="AV307" s="503" t="str">
        <f>IF(終値!A307="","",IF(AND(高値!Z307&gt;高値!Y307,高値!Z307&gt;高値!X307,高値!Z307&gt;高値!AA307,高値!Z307&gt;高値!AB307),21,""))</f>
        <v/>
      </c>
      <c r="AW307" s="503" t="str">
        <f>IF(終値!A307="","",IF(AND(高値!AA307&gt;高値!Z307,高値!AA307&gt;高値!Y307,高値!AA307&gt;高値!AB307,高値!AA307&gt;高値!AC307),22,""))</f>
        <v/>
      </c>
      <c r="AX307" s="503" t="str">
        <f>IF(終値!A307="","",IF(AND(高値!AB307&gt;高値!AA307,高値!AB307&gt;高値!Z307,高値!AB307&gt;高値!AC307,高値!AB307&gt;高値!AD307),23,""))</f>
        <v/>
      </c>
      <c r="AY307" s="503" t="str">
        <f>IF(終値!A307="","",IF(AND(高値!AC307&gt;高値!AB307,高値!AC307&gt;高値!AA307,高値!AC307&gt;高値!AD307,高値!AC307&gt;高値!AE307),24,""))</f>
        <v/>
      </c>
      <c r="AZ307" s="503" t="str">
        <f>IF(終値!A307="","",IF(AND(高値!AD307&gt;高値!AC307,高値!AD307&gt;高値!AB307,高値!AD307&gt;高値!AE307,高値!AD307&gt;高値!AF307),25,""))</f>
        <v/>
      </c>
      <c r="BA307" s="503" t="str">
        <f>IF(終値!A307="","",IF(AND(高値!AE307&gt;高値!AD307,高値!AE307&gt;高値!AC307,高値!AE307&gt;高値!AF307,高値!AE307&gt;高値!AG307),26,""))</f>
        <v/>
      </c>
      <c r="BB307" s="503" t="str">
        <f>IF(終値!A307="","",IF(AND(高値!AF307&gt;高値!AE307,高値!AF307&gt;高値!AD307,高値!AF307&gt;高値!AG307,高値!AF307&gt;高値!AH307),27,""))</f>
        <v/>
      </c>
      <c r="BC307" s="503" t="str">
        <f>IF(終値!A307="","",IF(AND(高値!AG307&gt;高値!AF307,高値!AG307&gt;高値!AE307,高値!AG307&gt;高値!AH307,高値!AG307&gt;高値!AI307),28,""))</f>
        <v/>
      </c>
      <c r="BD307" s="503">
        <f t="shared" si="24"/>
        <v>0</v>
      </c>
      <c r="BE307" s="503" t="str">
        <f t="shared" si="25"/>
        <v/>
      </c>
      <c r="BF307" s="503" t="str">
        <f t="shared" si="26"/>
        <v/>
      </c>
      <c r="BG307" s="503" t="str">
        <f>IF($BE307="","",INDEX(安値!$E307:$CZ307,1,$BE307+1))</f>
        <v/>
      </c>
      <c r="BH307" s="503" t="str">
        <f>IF($BF307="","",INDEX(安値!$E307:$CZ307,1,$BF307+1))</f>
        <v/>
      </c>
      <c r="BI307" s="503" t="str">
        <f>IF($BF307="","",MAX(INDEX(高値!$E307:$CZ307,1,$BE307+1):INDEX(高値!$E307:$CZ307,1,$BF307+1)))</f>
        <v/>
      </c>
      <c r="BJ307" s="503" t="str">
        <f>IF($BF307="","",AVERAGE(INDEX(終値!$E307:$CZ307,1,$BF307+1):INDEX(終値!$E307:$CZ307,1,$BF307+20))-2*STDEVP(INDEX(終値!$E307:$CZ307,1,$BF307+1):INDEX(終値!$E307:$CZ307,1,$BF307+20)))</f>
        <v/>
      </c>
      <c r="BK307" s="503" t="str">
        <f>IF($BE307="","",AVERAGE(INDEX(終値!$E307:$CZ307,1,$BE307+1):INDEX(終値!$E307:$CZ307,1,$BE307+20))-2*STDEVP(INDEX(終値!$E307:$CZ307,1,$BE307+1):INDEX(終値!$E307:$CZ307,1,$BE307+20)))</f>
        <v/>
      </c>
      <c r="BL307" s="503">
        <f t="shared" si="27"/>
        <v>0</v>
      </c>
      <c r="BM307" s="503" t="str">
        <f t="shared" si="28"/>
        <v/>
      </c>
      <c r="BN307" s="503" t="str">
        <f t="shared" si="29"/>
        <v/>
      </c>
      <c r="BO307" s="503" t="str">
        <f>IF($BM307="","",INDEX(高値!$E307:$CZ307,1,$BM307+1))</f>
        <v/>
      </c>
      <c r="BP307" s="503" t="str">
        <f>IF($BN307="","",INDEX(高値!$E307:$CZ307,1,$BN307+1))</f>
        <v/>
      </c>
      <c r="BQ307" s="503" t="str">
        <f>IF($BN307="","",MIN(INDEX(安値!$E307:$CZ307,1,$BM307+1):INDEX(安値!$E307:$CZ307,1,$BN307+1)))</f>
        <v/>
      </c>
      <c r="BR307" s="503" t="str">
        <f>IF($BN307="","",AVERAGE(INDEX(終値!$E307:$CZ307,1,$BN307+1):INDEX(終値!$E307:$CZ307,1,$BN307+20))+2*STDEVP(INDEX(終値!$E307:$CZ307,1,$BN307+1):INDEX(終値!$E307:$CZ307,1,$BN307+20)))</f>
        <v/>
      </c>
      <c r="BS307" s="503" t="str">
        <f>IF($BM307="","",AVERAGE(INDEX(終値!$E307:$CZ307,1,$BM307+1):INDEX(終値!$E307:$CZ307,1,$BM307+20))+2*STDEVP(INDEX(終値!$E307:$CZ307,1,$BM307+1):INDEX(終値!$E307:$CZ307,1,$BM307+20)))</f>
        <v/>
      </c>
      <c r="BT307" s="500"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3" t="str">
        <f>IF(終値!A308="","",IF(AND(安値!G308&lt;安値!F308,安値!G308&lt;安値!E308,安値!G308&lt;安値!H308,安値!G308&lt;安値!I308),2,""))</f>
        <v/>
      </c>
      <c r="C308" s="503" t="str">
        <f>IF(終値!A308="","",IF(AND(安値!H308&lt;安値!G308,安値!H308&lt;安値!F308,安値!H308&lt;安値!I308,安値!H308&lt;安値!J308),3,""))</f>
        <v/>
      </c>
      <c r="D308" s="503" t="str">
        <f>IF(終値!A308="","",IF(AND(安値!I308&lt;安値!H308,安値!I308&lt;安値!G308,安値!I308&lt;安値!J308,安値!I308&lt;安値!K308),4,""))</f>
        <v/>
      </c>
      <c r="E308" s="503" t="str">
        <f>IF(終値!A308="","",IF(AND(安値!J308&lt;安値!I308,安値!J308&lt;安値!H308,安値!J308&lt;安値!K308,安値!J308&lt;安値!L308),5,""))</f>
        <v/>
      </c>
      <c r="F308" s="503" t="str">
        <f>IF(終値!A308="","",IF(AND(安値!K308&lt;安値!J308,安値!K308&lt;安値!I308,安値!K308&lt;安値!L308,安値!K308&lt;安値!M308),6,""))</f>
        <v/>
      </c>
      <c r="G308" s="503" t="str">
        <f>IF(終値!A308="","",IF(AND(安値!L308&lt;安値!K308,安値!L308&lt;安値!J308,安値!L308&lt;安値!M308,安値!L308&lt;安値!N308),7,""))</f>
        <v/>
      </c>
      <c r="H308" s="503" t="str">
        <f>IF(終値!A308="","",IF(AND(安値!M308&lt;安値!L308,安値!M308&lt;安値!K308,安値!M308&lt;安値!N308,安値!M308&lt;安値!O308),8,""))</f>
        <v/>
      </c>
      <c r="I308" s="503" t="str">
        <f>IF(終値!A308="","",IF(AND(安値!N308&lt;安値!M308,安値!N308&lt;安値!L308,安値!N308&lt;安値!O308,安値!N308&lt;安値!P308),9,""))</f>
        <v/>
      </c>
      <c r="J308" s="503" t="str">
        <f>IF(終値!A308="","",IF(AND(安値!O308&lt;安値!N308,安値!O308&lt;安値!M308,安値!O308&lt;安値!P308,安値!O308&lt;安値!Q308),10,""))</f>
        <v/>
      </c>
      <c r="K308" s="503" t="str">
        <f>IF(終値!A308="","",IF(AND(安値!P308&lt;安値!O308,安値!P308&lt;安値!N308,安値!P308&lt;安値!Q308,安値!P308&lt;安値!R308),11,""))</f>
        <v/>
      </c>
      <c r="L308" s="503" t="str">
        <f>IF(終値!A308="","",IF(AND(安値!Q308&lt;安値!P308,安値!Q308&lt;安値!O308,安値!Q308&lt;安値!R308,安値!Q308&lt;安値!S308),12,""))</f>
        <v/>
      </c>
      <c r="M308" s="503" t="str">
        <f>IF(終値!A308="","",IF(AND(安値!R308&lt;安値!Q308,安値!R308&lt;安値!P308,安値!R308&lt;安値!S308,安値!R308&lt;安値!T308),13,""))</f>
        <v/>
      </c>
      <c r="N308" s="503" t="str">
        <f>IF(終値!A308="","",IF(AND(安値!S308&lt;安値!R308,安値!S308&lt;安値!Q308,安値!S308&lt;安値!T308,安値!S308&lt;安値!U308),14,""))</f>
        <v/>
      </c>
      <c r="O308" s="503" t="str">
        <f>IF(終値!A308="","",IF(AND(安値!T308&lt;安値!S308,安値!T308&lt;安値!R308,安値!T308&lt;安値!U308,安値!T308&lt;安値!V308),15,""))</f>
        <v/>
      </c>
      <c r="P308" s="503" t="str">
        <f>IF(終値!A308="","",IF(AND(安値!U308&lt;安値!T308,安値!U308&lt;安値!S308,安値!U308&lt;安値!V308,安値!U308&lt;安値!W308),16,""))</f>
        <v/>
      </c>
      <c r="Q308" s="503" t="str">
        <f>IF(終値!A308="","",IF(AND(安値!V308&lt;安値!U308,安値!V308&lt;安値!T308,安値!V308&lt;安値!W308,安値!V308&lt;安値!X308),17,""))</f>
        <v/>
      </c>
      <c r="R308" s="503" t="str">
        <f>IF(終値!A308="","",IF(AND(安値!W308&lt;安値!V308,安値!W308&lt;安値!U308,安値!W308&lt;安値!X308,安値!W308&lt;安値!Y308),18,""))</f>
        <v/>
      </c>
      <c r="S308" s="503" t="str">
        <f>IF(終値!A308="","",IF(AND(安値!X308&lt;安値!W308,安値!X308&lt;安値!V308,安値!X308&lt;安値!Y308,安値!X308&lt;安値!Z308),19,""))</f>
        <v/>
      </c>
      <c r="T308" s="503" t="str">
        <f>IF(終値!A308="","",IF(AND(安値!Y308&lt;安値!X308,安値!Y308&lt;安値!W308,安値!Y308&lt;安値!Z308,安値!Y308&lt;安値!AA308),20,""))</f>
        <v/>
      </c>
      <c r="U308" s="503" t="str">
        <f>IF(終値!A308="","",IF(AND(安値!Z308&lt;安値!Y308,安値!Z308&lt;安値!X308,安値!Z308&lt;安値!AA308,安値!Z308&lt;安値!AB308),21,""))</f>
        <v/>
      </c>
      <c r="V308" s="503" t="str">
        <f>IF(終値!A308="","",IF(AND(安値!AA308&lt;安値!Z308,安値!AA308&lt;安値!Y308,安値!AA308&lt;安値!AB308,安値!AA308&lt;安値!AC308),22,""))</f>
        <v/>
      </c>
      <c r="W308" s="503" t="str">
        <f>IF(終値!A308="","",IF(AND(安値!AB308&lt;安値!AA308,安値!AB308&lt;安値!Z308,安値!AB308&lt;安値!AC308,安値!AB308&lt;安値!AD308),23,""))</f>
        <v/>
      </c>
      <c r="X308" s="503" t="str">
        <f>IF(終値!A308="","",IF(AND(安値!AC308&lt;安値!AB308,安値!AC308&lt;安値!AA308,安値!AC308&lt;安値!AD308,安値!AC308&lt;安値!AE308),24,""))</f>
        <v/>
      </c>
      <c r="Y308" s="503" t="str">
        <f>IF(終値!A308="","",IF(AND(安値!AD308&lt;安値!AC308,安値!AD308&lt;安値!AB308,安値!AD308&lt;安値!AE308,安値!AD308&lt;安値!AF308),25,""))</f>
        <v/>
      </c>
      <c r="Z308" s="503" t="str">
        <f>IF(終値!A308="","",IF(AND(安値!AE308&lt;安値!AD308,安値!AE308&lt;安値!AC308,安値!AE308&lt;安値!AF308,安値!AE308&lt;安値!AG308),26,""))</f>
        <v/>
      </c>
      <c r="AA308" s="503" t="str">
        <f>IF(終値!A308="","",IF(AND(安値!AF308&lt;安値!AE308,安値!AF308&lt;安値!AD308,安値!AF308&lt;安値!AG308,安値!AF308&lt;安値!AH308),27,""))</f>
        <v/>
      </c>
      <c r="AB308" s="503" t="str">
        <f>IF(終値!A308="","",IF(AND(安値!AG308&lt;安値!AF308,安値!AG308&lt;安値!AE308,安値!AG308&lt;安値!AH308,安値!AG308&lt;安値!AI308),28,""))</f>
        <v/>
      </c>
      <c r="AC308" s="503" t="str">
        <f>IF(終値!A308="","",IF(AND(高値!G308&gt;高値!F308,高値!G308&gt;高値!E308,高値!G308&gt;高値!H308,高値!G308&gt;高値!I308),2,""))</f>
        <v/>
      </c>
      <c r="AD308" s="503" t="str">
        <f>IF(終値!A308="","",IF(AND(高値!H308&gt;高値!G308,高値!H308&gt;高値!F308,高値!H308&gt;高値!I308,高値!H308&gt;高値!J308),3,""))</f>
        <v/>
      </c>
      <c r="AE308" s="503" t="str">
        <f>IF(終値!A308="","",IF(AND(高値!I308&gt;高値!H308,高値!I308&gt;高値!G308,高値!I308&gt;高値!J308,高値!I308&gt;高値!K308),4,""))</f>
        <v/>
      </c>
      <c r="AF308" s="503" t="str">
        <f>IF(終値!A308="","",IF(AND(高値!J308&gt;高値!I308,高値!J308&gt;高値!H308,高値!J308&gt;高値!K308,高値!J308&gt;高値!L308),5,""))</f>
        <v/>
      </c>
      <c r="AG308" s="503" t="str">
        <f>IF(終値!A308="","",IF(AND(高値!K308&gt;高値!J308,高値!K308&gt;高値!I308,高値!K308&gt;高値!L308,高値!K308&gt;高値!M308),6,""))</f>
        <v/>
      </c>
      <c r="AH308" s="503" t="str">
        <f>IF(終値!A308="","",IF(AND(高値!L308&gt;高値!K308,高値!L308&gt;高値!J308,高値!L308&gt;高値!M308,高値!L308&gt;高値!N308),7,""))</f>
        <v/>
      </c>
      <c r="AI308" s="503" t="str">
        <f>IF(終値!A308="","",IF(AND(高値!M308&gt;高値!L308,高値!M308&gt;高値!K308,高値!M308&gt;高値!N308,高値!M308&gt;高値!O308),8,""))</f>
        <v/>
      </c>
      <c r="AJ308" s="503" t="str">
        <f>IF(終値!A308="","",IF(AND(高値!N308&gt;高値!M308,高値!N308&gt;高値!L308,高値!N308&gt;高値!O308,高値!N308&gt;高値!P308),9,""))</f>
        <v/>
      </c>
      <c r="AK308" s="503" t="str">
        <f>IF(終値!A308="","",IF(AND(高値!O308&gt;高値!N308,高値!O308&gt;高値!M308,高値!O308&gt;高値!P308,高値!O308&gt;高値!Q308),10,""))</f>
        <v/>
      </c>
      <c r="AL308" s="503" t="str">
        <f>IF(終値!A308="","",IF(AND(高値!P308&gt;高値!O308,高値!P308&gt;高値!N308,高値!P308&gt;高値!Q308,高値!P308&gt;高値!R308),11,""))</f>
        <v/>
      </c>
      <c r="AM308" s="503" t="str">
        <f>IF(終値!A308="","",IF(AND(高値!Q308&gt;高値!P308,高値!Q308&gt;高値!O308,高値!Q308&gt;高値!R308,高値!Q308&gt;高値!S308),12,""))</f>
        <v/>
      </c>
      <c r="AN308" s="503" t="str">
        <f>IF(終値!A308="","",IF(AND(高値!R308&gt;高値!Q308,高値!R308&gt;高値!P308,高値!R308&gt;高値!S308,高値!R308&gt;高値!T308),13,""))</f>
        <v/>
      </c>
      <c r="AO308" s="503" t="str">
        <f>IF(終値!A308="","",IF(AND(高値!S308&gt;高値!R308,高値!S308&gt;高値!Q308,高値!S308&gt;高値!T308,高値!S308&gt;高値!U308),14,""))</f>
        <v/>
      </c>
      <c r="AP308" s="503" t="str">
        <f>IF(終値!A308="","",IF(AND(高値!T308&gt;高値!S308,高値!T308&gt;高値!R308,高値!T308&gt;高値!U308,高値!T308&gt;高値!V308),15,""))</f>
        <v/>
      </c>
      <c r="AQ308" s="503" t="str">
        <f>IF(終値!A308="","",IF(AND(高値!U308&gt;高値!T308,高値!U308&gt;高値!S308,高値!U308&gt;高値!V308,高値!U308&gt;高値!W308),16,""))</f>
        <v/>
      </c>
      <c r="AR308" s="503" t="str">
        <f>IF(終値!A308="","",IF(AND(高値!V308&gt;高値!U308,高値!V308&gt;高値!T308,高値!V308&gt;高値!W308,高値!V308&gt;高値!X308),17,""))</f>
        <v/>
      </c>
      <c r="AS308" s="503" t="str">
        <f>IF(終値!A308="","",IF(AND(高値!W308&gt;高値!V308,高値!W308&gt;高値!U308,高値!W308&gt;高値!X308,高値!W308&gt;高値!Y308),18,""))</f>
        <v/>
      </c>
      <c r="AT308" s="503" t="str">
        <f>IF(終値!A308="","",IF(AND(高値!X308&gt;高値!W308,高値!X308&gt;高値!V308,高値!X308&gt;高値!Y308,高値!X308&gt;高値!Z308),19,""))</f>
        <v/>
      </c>
      <c r="AU308" s="503" t="str">
        <f>IF(終値!A308="","",IF(AND(高値!Y308&gt;高値!X308,高値!Y308&gt;高値!W308,高値!Y308&gt;高値!Z308,高値!Y308&gt;高値!AA308),20,""))</f>
        <v/>
      </c>
      <c r="AV308" s="503" t="str">
        <f>IF(終値!A308="","",IF(AND(高値!Z308&gt;高値!Y308,高値!Z308&gt;高値!X308,高値!Z308&gt;高値!AA308,高値!Z308&gt;高値!AB308),21,""))</f>
        <v/>
      </c>
      <c r="AW308" s="503" t="str">
        <f>IF(終値!A308="","",IF(AND(高値!AA308&gt;高値!Z308,高値!AA308&gt;高値!Y308,高値!AA308&gt;高値!AB308,高値!AA308&gt;高値!AC308),22,""))</f>
        <v/>
      </c>
      <c r="AX308" s="503" t="str">
        <f>IF(終値!A308="","",IF(AND(高値!AB308&gt;高値!AA308,高値!AB308&gt;高値!Z308,高値!AB308&gt;高値!AC308,高値!AB308&gt;高値!AD308),23,""))</f>
        <v/>
      </c>
      <c r="AY308" s="503" t="str">
        <f>IF(終値!A308="","",IF(AND(高値!AC308&gt;高値!AB308,高値!AC308&gt;高値!AA308,高値!AC308&gt;高値!AD308,高値!AC308&gt;高値!AE308),24,""))</f>
        <v/>
      </c>
      <c r="AZ308" s="503" t="str">
        <f>IF(終値!A308="","",IF(AND(高値!AD308&gt;高値!AC308,高値!AD308&gt;高値!AB308,高値!AD308&gt;高値!AE308,高値!AD308&gt;高値!AF308),25,""))</f>
        <v/>
      </c>
      <c r="BA308" s="503" t="str">
        <f>IF(終値!A308="","",IF(AND(高値!AE308&gt;高値!AD308,高値!AE308&gt;高値!AC308,高値!AE308&gt;高値!AF308,高値!AE308&gt;高値!AG308),26,""))</f>
        <v/>
      </c>
      <c r="BB308" s="503" t="str">
        <f>IF(終値!A308="","",IF(AND(高値!AF308&gt;高値!AE308,高値!AF308&gt;高値!AD308,高値!AF308&gt;高値!AG308,高値!AF308&gt;高値!AH308),27,""))</f>
        <v/>
      </c>
      <c r="BC308" s="503" t="str">
        <f>IF(終値!A308="","",IF(AND(高値!AG308&gt;高値!AF308,高値!AG308&gt;高値!AE308,高値!AG308&gt;高値!AH308,高値!AG308&gt;高値!AI308),28,""))</f>
        <v/>
      </c>
      <c r="BD308" s="503">
        <f t="shared" si="24"/>
        <v>0</v>
      </c>
      <c r="BE308" s="503" t="str">
        <f t="shared" si="25"/>
        <v/>
      </c>
      <c r="BF308" s="503" t="str">
        <f t="shared" si="26"/>
        <v/>
      </c>
      <c r="BG308" s="503" t="str">
        <f>IF($BE308="","",INDEX(安値!$E308:$CZ308,1,$BE308+1))</f>
        <v/>
      </c>
      <c r="BH308" s="503" t="str">
        <f>IF($BF308="","",INDEX(安値!$E308:$CZ308,1,$BF308+1))</f>
        <v/>
      </c>
      <c r="BI308" s="503" t="str">
        <f>IF($BF308="","",MAX(INDEX(高値!$E308:$CZ308,1,$BE308+1):INDEX(高値!$E308:$CZ308,1,$BF308+1)))</f>
        <v/>
      </c>
      <c r="BJ308" s="503" t="str">
        <f>IF($BF308="","",AVERAGE(INDEX(終値!$E308:$CZ308,1,$BF308+1):INDEX(終値!$E308:$CZ308,1,$BF308+20))-2*STDEVP(INDEX(終値!$E308:$CZ308,1,$BF308+1):INDEX(終値!$E308:$CZ308,1,$BF308+20)))</f>
        <v/>
      </c>
      <c r="BK308" s="503" t="str">
        <f>IF($BE308="","",AVERAGE(INDEX(終値!$E308:$CZ308,1,$BE308+1):INDEX(終値!$E308:$CZ308,1,$BE308+20))-2*STDEVP(INDEX(終値!$E308:$CZ308,1,$BE308+1):INDEX(終値!$E308:$CZ308,1,$BE308+20)))</f>
        <v/>
      </c>
      <c r="BL308" s="503">
        <f t="shared" si="27"/>
        <v>0</v>
      </c>
      <c r="BM308" s="503" t="str">
        <f t="shared" si="28"/>
        <v/>
      </c>
      <c r="BN308" s="503" t="str">
        <f t="shared" si="29"/>
        <v/>
      </c>
      <c r="BO308" s="503" t="str">
        <f>IF($BM308="","",INDEX(高値!$E308:$CZ308,1,$BM308+1))</f>
        <v/>
      </c>
      <c r="BP308" s="503" t="str">
        <f>IF($BN308="","",INDEX(高値!$E308:$CZ308,1,$BN308+1))</f>
        <v/>
      </c>
      <c r="BQ308" s="503" t="str">
        <f>IF($BN308="","",MIN(INDEX(安値!$E308:$CZ308,1,$BM308+1):INDEX(安値!$E308:$CZ308,1,$BN308+1)))</f>
        <v/>
      </c>
      <c r="BR308" s="503" t="str">
        <f>IF($BN308="","",AVERAGE(INDEX(終値!$E308:$CZ308,1,$BN308+1):INDEX(終値!$E308:$CZ308,1,$BN308+20))+2*STDEVP(INDEX(終値!$E308:$CZ308,1,$BN308+1):INDEX(終値!$E308:$CZ308,1,$BN308+20)))</f>
        <v/>
      </c>
      <c r="BS308" s="503" t="str">
        <f>IF($BM308="","",AVERAGE(INDEX(終値!$E308:$CZ308,1,$BM308+1):INDEX(終値!$E308:$CZ308,1,$BM308+20))+2*STDEVP(INDEX(終値!$E308:$CZ308,1,$BM308+1):INDEX(終値!$E308:$CZ308,1,$BM308+20)))</f>
        <v/>
      </c>
      <c r="BT308" s="500"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3" t="str">
        <f>IF(終値!A309="","",IF(AND(安値!G309&lt;安値!F309,安値!G309&lt;安値!E309,安値!G309&lt;安値!H309,安値!G309&lt;安値!I309),2,""))</f>
        <v/>
      </c>
      <c r="C309" s="503" t="str">
        <f>IF(終値!A309="","",IF(AND(安値!H309&lt;安値!G309,安値!H309&lt;安値!F309,安値!H309&lt;安値!I309,安値!H309&lt;安値!J309),3,""))</f>
        <v/>
      </c>
      <c r="D309" s="503" t="str">
        <f>IF(終値!A309="","",IF(AND(安値!I309&lt;安値!H309,安値!I309&lt;安値!G309,安値!I309&lt;安値!J309,安値!I309&lt;安値!K309),4,""))</f>
        <v/>
      </c>
      <c r="E309" s="503" t="str">
        <f>IF(終値!A309="","",IF(AND(安値!J309&lt;安値!I309,安値!J309&lt;安値!H309,安値!J309&lt;安値!K309,安値!J309&lt;安値!L309),5,""))</f>
        <v/>
      </c>
      <c r="F309" s="503" t="str">
        <f>IF(終値!A309="","",IF(AND(安値!K309&lt;安値!J309,安値!K309&lt;安値!I309,安値!K309&lt;安値!L309,安値!K309&lt;安値!M309),6,""))</f>
        <v/>
      </c>
      <c r="G309" s="503" t="str">
        <f>IF(終値!A309="","",IF(AND(安値!L309&lt;安値!K309,安値!L309&lt;安値!J309,安値!L309&lt;安値!M309,安値!L309&lt;安値!N309),7,""))</f>
        <v/>
      </c>
      <c r="H309" s="503" t="str">
        <f>IF(終値!A309="","",IF(AND(安値!M309&lt;安値!L309,安値!M309&lt;安値!K309,安値!M309&lt;安値!N309,安値!M309&lt;安値!O309),8,""))</f>
        <v/>
      </c>
      <c r="I309" s="503" t="str">
        <f>IF(終値!A309="","",IF(AND(安値!N309&lt;安値!M309,安値!N309&lt;安値!L309,安値!N309&lt;安値!O309,安値!N309&lt;安値!P309),9,""))</f>
        <v/>
      </c>
      <c r="J309" s="503" t="str">
        <f>IF(終値!A309="","",IF(AND(安値!O309&lt;安値!N309,安値!O309&lt;安値!M309,安値!O309&lt;安値!P309,安値!O309&lt;安値!Q309),10,""))</f>
        <v/>
      </c>
      <c r="K309" s="503" t="str">
        <f>IF(終値!A309="","",IF(AND(安値!P309&lt;安値!O309,安値!P309&lt;安値!N309,安値!P309&lt;安値!Q309,安値!P309&lt;安値!R309),11,""))</f>
        <v/>
      </c>
      <c r="L309" s="503" t="str">
        <f>IF(終値!A309="","",IF(AND(安値!Q309&lt;安値!P309,安値!Q309&lt;安値!O309,安値!Q309&lt;安値!R309,安値!Q309&lt;安値!S309),12,""))</f>
        <v/>
      </c>
      <c r="M309" s="503" t="str">
        <f>IF(終値!A309="","",IF(AND(安値!R309&lt;安値!Q309,安値!R309&lt;安値!P309,安値!R309&lt;安値!S309,安値!R309&lt;安値!T309),13,""))</f>
        <v/>
      </c>
      <c r="N309" s="503" t="str">
        <f>IF(終値!A309="","",IF(AND(安値!S309&lt;安値!R309,安値!S309&lt;安値!Q309,安値!S309&lt;安値!T309,安値!S309&lt;安値!U309),14,""))</f>
        <v/>
      </c>
      <c r="O309" s="503" t="str">
        <f>IF(終値!A309="","",IF(AND(安値!T309&lt;安値!S309,安値!T309&lt;安値!R309,安値!T309&lt;安値!U309,安値!T309&lt;安値!V309),15,""))</f>
        <v/>
      </c>
      <c r="P309" s="503" t="str">
        <f>IF(終値!A309="","",IF(AND(安値!U309&lt;安値!T309,安値!U309&lt;安値!S309,安値!U309&lt;安値!V309,安値!U309&lt;安値!W309),16,""))</f>
        <v/>
      </c>
      <c r="Q309" s="503" t="str">
        <f>IF(終値!A309="","",IF(AND(安値!V309&lt;安値!U309,安値!V309&lt;安値!T309,安値!V309&lt;安値!W309,安値!V309&lt;安値!X309),17,""))</f>
        <v/>
      </c>
      <c r="R309" s="503" t="str">
        <f>IF(終値!A309="","",IF(AND(安値!W309&lt;安値!V309,安値!W309&lt;安値!U309,安値!W309&lt;安値!X309,安値!W309&lt;安値!Y309),18,""))</f>
        <v/>
      </c>
      <c r="S309" s="503" t="str">
        <f>IF(終値!A309="","",IF(AND(安値!X309&lt;安値!W309,安値!X309&lt;安値!V309,安値!X309&lt;安値!Y309,安値!X309&lt;安値!Z309),19,""))</f>
        <v/>
      </c>
      <c r="T309" s="503" t="str">
        <f>IF(終値!A309="","",IF(AND(安値!Y309&lt;安値!X309,安値!Y309&lt;安値!W309,安値!Y309&lt;安値!Z309,安値!Y309&lt;安値!AA309),20,""))</f>
        <v/>
      </c>
      <c r="U309" s="503" t="str">
        <f>IF(終値!A309="","",IF(AND(安値!Z309&lt;安値!Y309,安値!Z309&lt;安値!X309,安値!Z309&lt;安値!AA309,安値!Z309&lt;安値!AB309),21,""))</f>
        <v/>
      </c>
      <c r="V309" s="503" t="str">
        <f>IF(終値!A309="","",IF(AND(安値!AA309&lt;安値!Z309,安値!AA309&lt;安値!Y309,安値!AA309&lt;安値!AB309,安値!AA309&lt;安値!AC309),22,""))</f>
        <v/>
      </c>
      <c r="W309" s="503" t="str">
        <f>IF(終値!A309="","",IF(AND(安値!AB309&lt;安値!AA309,安値!AB309&lt;安値!Z309,安値!AB309&lt;安値!AC309,安値!AB309&lt;安値!AD309),23,""))</f>
        <v/>
      </c>
      <c r="X309" s="503" t="str">
        <f>IF(終値!A309="","",IF(AND(安値!AC309&lt;安値!AB309,安値!AC309&lt;安値!AA309,安値!AC309&lt;安値!AD309,安値!AC309&lt;安値!AE309),24,""))</f>
        <v/>
      </c>
      <c r="Y309" s="503" t="str">
        <f>IF(終値!A309="","",IF(AND(安値!AD309&lt;安値!AC309,安値!AD309&lt;安値!AB309,安値!AD309&lt;安値!AE309,安値!AD309&lt;安値!AF309),25,""))</f>
        <v/>
      </c>
      <c r="Z309" s="503" t="str">
        <f>IF(終値!A309="","",IF(AND(安値!AE309&lt;安値!AD309,安値!AE309&lt;安値!AC309,安値!AE309&lt;安値!AF309,安値!AE309&lt;安値!AG309),26,""))</f>
        <v/>
      </c>
      <c r="AA309" s="503" t="str">
        <f>IF(終値!A309="","",IF(AND(安値!AF309&lt;安値!AE309,安値!AF309&lt;安値!AD309,安値!AF309&lt;安値!AG309,安値!AF309&lt;安値!AH309),27,""))</f>
        <v/>
      </c>
      <c r="AB309" s="503" t="str">
        <f>IF(終値!A309="","",IF(AND(安値!AG309&lt;安値!AF309,安値!AG309&lt;安値!AE309,安値!AG309&lt;安値!AH309,安値!AG309&lt;安値!AI309),28,""))</f>
        <v/>
      </c>
      <c r="AC309" s="503" t="str">
        <f>IF(終値!A309="","",IF(AND(高値!G309&gt;高値!F309,高値!G309&gt;高値!E309,高値!G309&gt;高値!H309,高値!G309&gt;高値!I309),2,""))</f>
        <v/>
      </c>
      <c r="AD309" s="503" t="str">
        <f>IF(終値!A309="","",IF(AND(高値!H309&gt;高値!G309,高値!H309&gt;高値!F309,高値!H309&gt;高値!I309,高値!H309&gt;高値!J309),3,""))</f>
        <v/>
      </c>
      <c r="AE309" s="503" t="str">
        <f>IF(終値!A309="","",IF(AND(高値!I309&gt;高値!H309,高値!I309&gt;高値!G309,高値!I309&gt;高値!J309,高値!I309&gt;高値!K309),4,""))</f>
        <v/>
      </c>
      <c r="AF309" s="503" t="str">
        <f>IF(終値!A309="","",IF(AND(高値!J309&gt;高値!I309,高値!J309&gt;高値!H309,高値!J309&gt;高値!K309,高値!J309&gt;高値!L309),5,""))</f>
        <v/>
      </c>
      <c r="AG309" s="503" t="str">
        <f>IF(終値!A309="","",IF(AND(高値!K309&gt;高値!J309,高値!K309&gt;高値!I309,高値!K309&gt;高値!L309,高値!K309&gt;高値!M309),6,""))</f>
        <v/>
      </c>
      <c r="AH309" s="503" t="str">
        <f>IF(終値!A309="","",IF(AND(高値!L309&gt;高値!K309,高値!L309&gt;高値!J309,高値!L309&gt;高値!M309,高値!L309&gt;高値!N309),7,""))</f>
        <v/>
      </c>
      <c r="AI309" s="503" t="str">
        <f>IF(終値!A309="","",IF(AND(高値!M309&gt;高値!L309,高値!M309&gt;高値!K309,高値!M309&gt;高値!N309,高値!M309&gt;高値!O309),8,""))</f>
        <v/>
      </c>
      <c r="AJ309" s="503" t="str">
        <f>IF(終値!A309="","",IF(AND(高値!N309&gt;高値!M309,高値!N309&gt;高値!L309,高値!N309&gt;高値!O309,高値!N309&gt;高値!P309),9,""))</f>
        <v/>
      </c>
      <c r="AK309" s="503" t="str">
        <f>IF(終値!A309="","",IF(AND(高値!O309&gt;高値!N309,高値!O309&gt;高値!M309,高値!O309&gt;高値!P309,高値!O309&gt;高値!Q309),10,""))</f>
        <v/>
      </c>
      <c r="AL309" s="503" t="str">
        <f>IF(終値!A309="","",IF(AND(高値!P309&gt;高値!O309,高値!P309&gt;高値!N309,高値!P309&gt;高値!Q309,高値!P309&gt;高値!R309),11,""))</f>
        <v/>
      </c>
      <c r="AM309" s="503" t="str">
        <f>IF(終値!A309="","",IF(AND(高値!Q309&gt;高値!P309,高値!Q309&gt;高値!O309,高値!Q309&gt;高値!R309,高値!Q309&gt;高値!S309),12,""))</f>
        <v/>
      </c>
      <c r="AN309" s="503" t="str">
        <f>IF(終値!A309="","",IF(AND(高値!R309&gt;高値!Q309,高値!R309&gt;高値!P309,高値!R309&gt;高値!S309,高値!R309&gt;高値!T309),13,""))</f>
        <v/>
      </c>
      <c r="AO309" s="503" t="str">
        <f>IF(終値!A309="","",IF(AND(高値!S309&gt;高値!R309,高値!S309&gt;高値!Q309,高値!S309&gt;高値!T309,高値!S309&gt;高値!U309),14,""))</f>
        <v/>
      </c>
      <c r="AP309" s="503" t="str">
        <f>IF(終値!A309="","",IF(AND(高値!T309&gt;高値!S309,高値!T309&gt;高値!R309,高値!T309&gt;高値!U309,高値!T309&gt;高値!V309),15,""))</f>
        <v/>
      </c>
      <c r="AQ309" s="503" t="str">
        <f>IF(終値!A309="","",IF(AND(高値!U309&gt;高値!T309,高値!U309&gt;高値!S309,高値!U309&gt;高値!V309,高値!U309&gt;高値!W309),16,""))</f>
        <v/>
      </c>
      <c r="AR309" s="503" t="str">
        <f>IF(終値!A309="","",IF(AND(高値!V309&gt;高値!U309,高値!V309&gt;高値!T309,高値!V309&gt;高値!W309,高値!V309&gt;高値!X309),17,""))</f>
        <v/>
      </c>
      <c r="AS309" s="503" t="str">
        <f>IF(終値!A309="","",IF(AND(高値!W309&gt;高値!V309,高値!W309&gt;高値!U309,高値!W309&gt;高値!X309,高値!W309&gt;高値!Y309),18,""))</f>
        <v/>
      </c>
      <c r="AT309" s="503" t="str">
        <f>IF(終値!A309="","",IF(AND(高値!X309&gt;高値!W309,高値!X309&gt;高値!V309,高値!X309&gt;高値!Y309,高値!X309&gt;高値!Z309),19,""))</f>
        <v/>
      </c>
      <c r="AU309" s="503" t="str">
        <f>IF(終値!A309="","",IF(AND(高値!Y309&gt;高値!X309,高値!Y309&gt;高値!W309,高値!Y309&gt;高値!Z309,高値!Y309&gt;高値!AA309),20,""))</f>
        <v/>
      </c>
      <c r="AV309" s="503" t="str">
        <f>IF(終値!A309="","",IF(AND(高値!Z309&gt;高値!Y309,高値!Z309&gt;高値!X309,高値!Z309&gt;高値!AA309,高値!Z309&gt;高値!AB309),21,""))</f>
        <v/>
      </c>
      <c r="AW309" s="503" t="str">
        <f>IF(終値!A309="","",IF(AND(高値!AA309&gt;高値!Z309,高値!AA309&gt;高値!Y309,高値!AA309&gt;高値!AB309,高値!AA309&gt;高値!AC309),22,""))</f>
        <v/>
      </c>
      <c r="AX309" s="503" t="str">
        <f>IF(終値!A309="","",IF(AND(高値!AB309&gt;高値!AA309,高値!AB309&gt;高値!Z309,高値!AB309&gt;高値!AC309,高値!AB309&gt;高値!AD309),23,""))</f>
        <v/>
      </c>
      <c r="AY309" s="503" t="str">
        <f>IF(終値!A309="","",IF(AND(高値!AC309&gt;高値!AB309,高値!AC309&gt;高値!AA309,高値!AC309&gt;高値!AD309,高値!AC309&gt;高値!AE309),24,""))</f>
        <v/>
      </c>
      <c r="AZ309" s="503" t="str">
        <f>IF(終値!A309="","",IF(AND(高値!AD309&gt;高値!AC309,高値!AD309&gt;高値!AB309,高値!AD309&gt;高値!AE309,高値!AD309&gt;高値!AF309),25,""))</f>
        <v/>
      </c>
      <c r="BA309" s="503" t="str">
        <f>IF(終値!A309="","",IF(AND(高値!AE309&gt;高値!AD309,高値!AE309&gt;高値!AC309,高値!AE309&gt;高値!AF309,高値!AE309&gt;高値!AG309),26,""))</f>
        <v/>
      </c>
      <c r="BB309" s="503" t="str">
        <f>IF(終値!A309="","",IF(AND(高値!AF309&gt;高値!AE309,高値!AF309&gt;高値!AD309,高値!AF309&gt;高値!AG309,高値!AF309&gt;高値!AH309),27,""))</f>
        <v/>
      </c>
      <c r="BC309" s="503" t="str">
        <f>IF(終値!A309="","",IF(AND(高値!AG309&gt;高値!AF309,高値!AG309&gt;高値!AE309,高値!AG309&gt;高値!AH309,高値!AG309&gt;高値!AI309),28,""))</f>
        <v/>
      </c>
      <c r="BD309" s="503">
        <f t="shared" si="24"/>
        <v>0</v>
      </c>
      <c r="BE309" s="503" t="str">
        <f t="shared" si="25"/>
        <v/>
      </c>
      <c r="BF309" s="503" t="str">
        <f t="shared" si="26"/>
        <v/>
      </c>
      <c r="BG309" s="503" t="str">
        <f>IF($BE309="","",INDEX(安値!$E309:$CZ309,1,$BE309+1))</f>
        <v/>
      </c>
      <c r="BH309" s="503" t="str">
        <f>IF($BF309="","",INDEX(安値!$E309:$CZ309,1,$BF309+1))</f>
        <v/>
      </c>
      <c r="BI309" s="503" t="str">
        <f>IF($BF309="","",MAX(INDEX(高値!$E309:$CZ309,1,$BE309+1):INDEX(高値!$E309:$CZ309,1,$BF309+1)))</f>
        <v/>
      </c>
      <c r="BJ309" s="503" t="str">
        <f>IF($BF309="","",AVERAGE(INDEX(終値!$E309:$CZ309,1,$BF309+1):INDEX(終値!$E309:$CZ309,1,$BF309+20))-2*STDEVP(INDEX(終値!$E309:$CZ309,1,$BF309+1):INDEX(終値!$E309:$CZ309,1,$BF309+20)))</f>
        <v/>
      </c>
      <c r="BK309" s="503" t="str">
        <f>IF($BE309="","",AVERAGE(INDEX(終値!$E309:$CZ309,1,$BE309+1):INDEX(終値!$E309:$CZ309,1,$BE309+20))-2*STDEVP(INDEX(終値!$E309:$CZ309,1,$BE309+1):INDEX(終値!$E309:$CZ309,1,$BE309+20)))</f>
        <v/>
      </c>
      <c r="BL309" s="503">
        <f t="shared" si="27"/>
        <v>0</v>
      </c>
      <c r="BM309" s="503" t="str">
        <f t="shared" si="28"/>
        <v/>
      </c>
      <c r="BN309" s="503" t="str">
        <f t="shared" si="29"/>
        <v/>
      </c>
      <c r="BO309" s="503" t="str">
        <f>IF($BM309="","",INDEX(高値!$E309:$CZ309,1,$BM309+1))</f>
        <v/>
      </c>
      <c r="BP309" s="503" t="str">
        <f>IF($BN309="","",INDEX(高値!$E309:$CZ309,1,$BN309+1))</f>
        <v/>
      </c>
      <c r="BQ309" s="503" t="str">
        <f>IF($BN309="","",MIN(INDEX(安値!$E309:$CZ309,1,$BM309+1):INDEX(安値!$E309:$CZ309,1,$BN309+1)))</f>
        <v/>
      </c>
      <c r="BR309" s="503" t="str">
        <f>IF($BN309="","",AVERAGE(INDEX(終値!$E309:$CZ309,1,$BN309+1):INDEX(終値!$E309:$CZ309,1,$BN309+20))+2*STDEVP(INDEX(終値!$E309:$CZ309,1,$BN309+1):INDEX(終値!$E309:$CZ309,1,$BN309+20)))</f>
        <v/>
      </c>
      <c r="BS309" s="503" t="str">
        <f>IF($BM309="","",AVERAGE(INDEX(終値!$E309:$CZ309,1,$BM309+1):INDEX(終値!$E309:$CZ309,1,$BM309+20))+2*STDEVP(INDEX(終値!$E309:$CZ309,1,$BM309+1):INDEX(終値!$E309:$CZ309,1,$BM309+20)))</f>
        <v/>
      </c>
      <c r="BT309" s="500"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3" t="str">
        <f>IF(終値!A310="","",IF(AND(安値!G310&lt;安値!F310,安値!G310&lt;安値!E310,安値!G310&lt;安値!H310,安値!G310&lt;安値!I310),2,""))</f>
        <v/>
      </c>
      <c r="C310" s="503" t="str">
        <f>IF(終値!A310="","",IF(AND(安値!H310&lt;安値!G310,安値!H310&lt;安値!F310,安値!H310&lt;安値!I310,安値!H310&lt;安値!J310),3,""))</f>
        <v/>
      </c>
      <c r="D310" s="503" t="str">
        <f>IF(終値!A310="","",IF(AND(安値!I310&lt;安値!H310,安値!I310&lt;安値!G310,安値!I310&lt;安値!J310,安値!I310&lt;安値!K310),4,""))</f>
        <v/>
      </c>
      <c r="E310" s="503" t="str">
        <f>IF(終値!A310="","",IF(AND(安値!J310&lt;安値!I310,安値!J310&lt;安値!H310,安値!J310&lt;安値!K310,安値!J310&lt;安値!L310),5,""))</f>
        <v/>
      </c>
      <c r="F310" s="503" t="str">
        <f>IF(終値!A310="","",IF(AND(安値!K310&lt;安値!J310,安値!K310&lt;安値!I310,安値!K310&lt;安値!L310,安値!K310&lt;安値!M310),6,""))</f>
        <v/>
      </c>
      <c r="G310" s="503" t="str">
        <f>IF(終値!A310="","",IF(AND(安値!L310&lt;安値!K310,安値!L310&lt;安値!J310,安値!L310&lt;安値!M310,安値!L310&lt;安値!N310),7,""))</f>
        <v/>
      </c>
      <c r="H310" s="503" t="str">
        <f>IF(終値!A310="","",IF(AND(安値!M310&lt;安値!L310,安値!M310&lt;安値!K310,安値!M310&lt;安値!N310,安値!M310&lt;安値!O310),8,""))</f>
        <v/>
      </c>
      <c r="I310" s="503" t="str">
        <f>IF(終値!A310="","",IF(AND(安値!N310&lt;安値!M310,安値!N310&lt;安値!L310,安値!N310&lt;安値!O310,安値!N310&lt;安値!P310),9,""))</f>
        <v/>
      </c>
      <c r="J310" s="503" t="str">
        <f>IF(終値!A310="","",IF(AND(安値!O310&lt;安値!N310,安値!O310&lt;安値!M310,安値!O310&lt;安値!P310,安値!O310&lt;安値!Q310),10,""))</f>
        <v/>
      </c>
      <c r="K310" s="503" t="str">
        <f>IF(終値!A310="","",IF(AND(安値!P310&lt;安値!O310,安値!P310&lt;安値!N310,安値!P310&lt;安値!Q310,安値!P310&lt;安値!R310),11,""))</f>
        <v/>
      </c>
      <c r="L310" s="503" t="str">
        <f>IF(終値!A310="","",IF(AND(安値!Q310&lt;安値!P310,安値!Q310&lt;安値!O310,安値!Q310&lt;安値!R310,安値!Q310&lt;安値!S310),12,""))</f>
        <v/>
      </c>
      <c r="M310" s="503" t="str">
        <f>IF(終値!A310="","",IF(AND(安値!R310&lt;安値!Q310,安値!R310&lt;安値!P310,安値!R310&lt;安値!S310,安値!R310&lt;安値!T310),13,""))</f>
        <v/>
      </c>
      <c r="N310" s="503" t="str">
        <f>IF(終値!A310="","",IF(AND(安値!S310&lt;安値!R310,安値!S310&lt;安値!Q310,安値!S310&lt;安値!T310,安値!S310&lt;安値!U310),14,""))</f>
        <v/>
      </c>
      <c r="O310" s="503" t="str">
        <f>IF(終値!A310="","",IF(AND(安値!T310&lt;安値!S310,安値!T310&lt;安値!R310,安値!T310&lt;安値!U310,安値!T310&lt;安値!V310),15,""))</f>
        <v/>
      </c>
      <c r="P310" s="503" t="str">
        <f>IF(終値!A310="","",IF(AND(安値!U310&lt;安値!T310,安値!U310&lt;安値!S310,安値!U310&lt;安値!V310,安値!U310&lt;安値!W310),16,""))</f>
        <v/>
      </c>
      <c r="Q310" s="503" t="str">
        <f>IF(終値!A310="","",IF(AND(安値!V310&lt;安値!U310,安値!V310&lt;安値!T310,安値!V310&lt;安値!W310,安値!V310&lt;安値!X310),17,""))</f>
        <v/>
      </c>
      <c r="R310" s="503" t="str">
        <f>IF(終値!A310="","",IF(AND(安値!W310&lt;安値!V310,安値!W310&lt;安値!U310,安値!W310&lt;安値!X310,安値!W310&lt;安値!Y310),18,""))</f>
        <v/>
      </c>
      <c r="S310" s="503" t="str">
        <f>IF(終値!A310="","",IF(AND(安値!X310&lt;安値!W310,安値!X310&lt;安値!V310,安値!X310&lt;安値!Y310,安値!X310&lt;安値!Z310),19,""))</f>
        <v/>
      </c>
      <c r="T310" s="503" t="str">
        <f>IF(終値!A310="","",IF(AND(安値!Y310&lt;安値!X310,安値!Y310&lt;安値!W310,安値!Y310&lt;安値!Z310,安値!Y310&lt;安値!AA310),20,""))</f>
        <v/>
      </c>
      <c r="U310" s="503" t="str">
        <f>IF(終値!A310="","",IF(AND(安値!Z310&lt;安値!Y310,安値!Z310&lt;安値!X310,安値!Z310&lt;安値!AA310,安値!Z310&lt;安値!AB310),21,""))</f>
        <v/>
      </c>
      <c r="V310" s="503" t="str">
        <f>IF(終値!A310="","",IF(AND(安値!AA310&lt;安値!Z310,安値!AA310&lt;安値!Y310,安値!AA310&lt;安値!AB310,安値!AA310&lt;安値!AC310),22,""))</f>
        <v/>
      </c>
      <c r="W310" s="503" t="str">
        <f>IF(終値!A310="","",IF(AND(安値!AB310&lt;安値!AA310,安値!AB310&lt;安値!Z310,安値!AB310&lt;安値!AC310,安値!AB310&lt;安値!AD310),23,""))</f>
        <v/>
      </c>
      <c r="X310" s="503" t="str">
        <f>IF(終値!A310="","",IF(AND(安値!AC310&lt;安値!AB310,安値!AC310&lt;安値!AA310,安値!AC310&lt;安値!AD310,安値!AC310&lt;安値!AE310),24,""))</f>
        <v/>
      </c>
      <c r="Y310" s="503" t="str">
        <f>IF(終値!A310="","",IF(AND(安値!AD310&lt;安値!AC310,安値!AD310&lt;安値!AB310,安値!AD310&lt;安値!AE310,安値!AD310&lt;安値!AF310),25,""))</f>
        <v/>
      </c>
      <c r="Z310" s="503" t="str">
        <f>IF(終値!A310="","",IF(AND(安値!AE310&lt;安値!AD310,安値!AE310&lt;安値!AC310,安値!AE310&lt;安値!AF310,安値!AE310&lt;安値!AG310),26,""))</f>
        <v/>
      </c>
      <c r="AA310" s="503" t="str">
        <f>IF(終値!A310="","",IF(AND(安値!AF310&lt;安値!AE310,安値!AF310&lt;安値!AD310,安値!AF310&lt;安値!AG310,安値!AF310&lt;安値!AH310),27,""))</f>
        <v/>
      </c>
      <c r="AB310" s="503" t="str">
        <f>IF(終値!A310="","",IF(AND(安値!AG310&lt;安値!AF310,安値!AG310&lt;安値!AE310,安値!AG310&lt;安値!AH310,安値!AG310&lt;安値!AI310),28,""))</f>
        <v/>
      </c>
      <c r="AC310" s="503" t="str">
        <f>IF(終値!A310="","",IF(AND(高値!G310&gt;高値!F310,高値!G310&gt;高値!E310,高値!G310&gt;高値!H310,高値!G310&gt;高値!I310),2,""))</f>
        <v/>
      </c>
      <c r="AD310" s="503" t="str">
        <f>IF(終値!A310="","",IF(AND(高値!H310&gt;高値!G310,高値!H310&gt;高値!F310,高値!H310&gt;高値!I310,高値!H310&gt;高値!J310),3,""))</f>
        <v/>
      </c>
      <c r="AE310" s="503" t="str">
        <f>IF(終値!A310="","",IF(AND(高値!I310&gt;高値!H310,高値!I310&gt;高値!G310,高値!I310&gt;高値!J310,高値!I310&gt;高値!K310),4,""))</f>
        <v/>
      </c>
      <c r="AF310" s="503" t="str">
        <f>IF(終値!A310="","",IF(AND(高値!J310&gt;高値!I310,高値!J310&gt;高値!H310,高値!J310&gt;高値!K310,高値!J310&gt;高値!L310),5,""))</f>
        <v/>
      </c>
      <c r="AG310" s="503" t="str">
        <f>IF(終値!A310="","",IF(AND(高値!K310&gt;高値!J310,高値!K310&gt;高値!I310,高値!K310&gt;高値!L310,高値!K310&gt;高値!M310),6,""))</f>
        <v/>
      </c>
      <c r="AH310" s="503" t="str">
        <f>IF(終値!A310="","",IF(AND(高値!L310&gt;高値!K310,高値!L310&gt;高値!J310,高値!L310&gt;高値!M310,高値!L310&gt;高値!N310),7,""))</f>
        <v/>
      </c>
      <c r="AI310" s="503" t="str">
        <f>IF(終値!A310="","",IF(AND(高値!M310&gt;高値!L310,高値!M310&gt;高値!K310,高値!M310&gt;高値!N310,高値!M310&gt;高値!O310),8,""))</f>
        <v/>
      </c>
      <c r="AJ310" s="503" t="str">
        <f>IF(終値!A310="","",IF(AND(高値!N310&gt;高値!M310,高値!N310&gt;高値!L310,高値!N310&gt;高値!O310,高値!N310&gt;高値!P310),9,""))</f>
        <v/>
      </c>
      <c r="AK310" s="503" t="str">
        <f>IF(終値!A310="","",IF(AND(高値!O310&gt;高値!N310,高値!O310&gt;高値!M310,高値!O310&gt;高値!P310,高値!O310&gt;高値!Q310),10,""))</f>
        <v/>
      </c>
      <c r="AL310" s="503" t="str">
        <f>IF(終値!A310="","",IF(AND(高値!P310&gt;高値!O310,高値!P310&gt;高値!N310,高値!P310&gt;高値!Q310,高値!P310&gt;高値!R310),11,""))</f>
        <v/>
      </c>
      <c r="AM310" s="503" t="str">
        <f>IF(終値!A310="","",IF(AND(高値!Q310&gt;高値!P310,高値!Q310&gt;高値!O310,高値!Q310&gt;高値!R310,高値!Q310&gt;高値!S310),12,""))</f>
        <v/>
      </c>
      <c r="AN310" s="503" t="str">
        <f>IF(終値!A310="","",IF(AND(高値!R310&gt;高値!Q310,高値!R310&gt;高値!P310,高値!R310&gt;高値!S310,高値!R310&gt;高値!T310),13,""))</f>
        <v/>
      </c>
      <c r="AO310" s="503" t="str">
        <f>IF(終値!A310="","",IF(AND(高値!S310&gt;高値!R310,高値!S310&gt;高値!Q310,高値!S310&gt;高値!T310,高値!S310&gt;高値!U310),14,""))</f>
        <v/>
      </c>
      <c r="AP310" s="503" t="str">
        <f>IF(終値!A310="","",IF(AND(高値!T310&gt;高値!S310,高値!T310&gt;高値!R310,高値!T310&gt;高値!U310,高値!T310&gt;高値!V310),15,""))</f>
        <v/>
      </c>
      <c r="AQ310" s="503" t="str">
        <f>IF(終値!A310="","",IF(AND(高値!U310&gt;高値!T310,高値!U310&gt;高値!S310,高値!U310&gt;高値!V310,高値!U310&gt;高値!W310),16,""))</f>
        <v/>
      </c>
      <c r="AR310" s="503" t="str">
        <f>IF(終値!A310="","",IF(AND(高値!V310&gt;高値!U310,高値!V310&gt;高値!T310,高値!V310&gt;高値!W310,高値!V310&gt;高値!X310),17,""))</f>
        <v/>
      </c>
      <c r="AS310" s="503" t="str">
        <f>IF(終値!A310="","",IF(AND(高値!W310&gt;高値!V310,高値!W310&gt;高値!U310,高値!W310&gt;高値!X310,高値!W310&gt;高値!Y310),18,""))</f>
        <v/>
      </c>
      <c r="AT310" s="503" t="str">
        <f>IF(終値!A310="","",IF(AND(高値!X310&gt;高値!W310,高値!X310&gt;高値!V310,高値!X310&gt;高値!Y310,高値!X310&gt;高値!Z310),19,""))</f>
        <v/>
      </c>
      <c r="AU310" s="503" t="str">
        <f>IF(終値!A310="","",IF(AND(高値!Y310&gt;高値!X310,高値!Y310&gt;高値!W310,高値!Y310&gt;高値!Z310,高値!Y310&gt;高値!AA310),20,""))</f>
        <v/>
      </c>
      <c r="AV310" s="503" t="str">
        <f>IF(終値!A310="","",IF(AND(高値!Z310&gt;高値!Y310,高値!Z310&gt;高値!X310,高値!Z310&gt;高値!AA310,高値!Z310&gt;高値!AB310),21,""))</f>
        <v/>
      </c>
      <c r="AW310" s="503" t="str">
        <f>IF(終値!A310="","",IF(AND(高値!AA310&gt;高値!Z310,高値!AA310&gt;高値!Y310,高値!AA310&gt;高値!AB310,高値!AA310&gt;高値!AC310),22,""))</f>
        <v/>
      </c>
      <c r="AX310" s="503" t="str">
        <f>IF(終値!A310="","",IF(AND(高値!AB310&gt;高値!AA310,高値!AB310&gt;高値!Z310,高値!AB310&gt;高値!AC310,高値!AB310&gt;高値!AD310),23,""))</f>
        <v/>
      </c>
      <c r="AY310" s="503" t="str">
        <f>IF(終値!A310="","",IF(AND(高値!AC310&gt;高値!AB310,高値!AC310&gt;高値!AA310,高値!AC310&gt;高値!AD310,高値!AC310&gt;高値!AE310),24,""))</f>
        <v/>
      </c>
      <c r="AZ310" s="503" t="str">
        <f>IF(終値!A310="","",IF(AND(高値!AD310&gt;高値!AC310,高値!AD310&gt;高値!AB310,高値!AD310&gt;高値!AE310,高値!AD310&gt;高値!AF310),25,""))</f>
        <v/>
      </c>
      <c r="BA310" s="503" t="str">
        <f>IF(終値!A310="","",IF(AND(高値!AE310&gt;高値!AD310,高値!AE310&gt;高値!AC310,高値!AE310&gt;高値!AF310,高値!AE310&gt;高値!AG310),26,""))</f>
        <v/>
      </c>
      <c r="BB310" s="503" t="str">
        <f>IF(終値!A310="","",IF(AND(高値!AF310&gt;高値!AE310,高値!AF310&gt;高値!AD310,高値!AF310&gt;高値!AG310,高値!AF310&gt;高値!AH310),27,""))</f>
        <v/>
      </c>
      <c r="BC310" s="503" t="str">
        <f>IF(終値!A310="","",IF(AND(高値!AG310&gt;高値!AF310,高値!AG310&gt;高値!AE310,高値!AG310&gt;高値!AH310,高値!AG310&gt;高値!AI310),28,""))</f>
        <v/>
      </c>
      <c r="BD310" s="503">
        <f t="shared" si="24"/>
        <v>0</v>
      </c>
      <c r="BE310" s="503" t="str">
        <f t="shared" si="25"/>
        <v/>
      </c>
      <c r="BF310" s="503" t="str">
        <f t="shared" si="26"/>
        <v/>
      </c>
      <c r="BG310" s="503" t="str">
        <f>IF($BE310="","",INDEX(安値!$E310:$CZ310,1,$BE310+1))</f>
        <v/>
      </c>
      <c r="BH310" s="503" t="str">
        <f>IF($BF310="","",INDEX(安値!$E310:$CZ310,1,$BF310+1))</f>
        <v/>
      </c>
      <c r="BI310" s="503" t="str">
        <f>IF($BF310="","",MAX(INDEX(高値!$E310:$CZ310,1,$BE310+1):INDEX(高値!$E310:$CZ310,1,$BF310+1)))</f>
        <v/>
      </c>
      <c r="BJ310" s="503" t="str">
        <f>IF($BF310="","",AVERAGE(INDEX(終値!$E310:$CZ310,1,$BF310+1):INDEX(終値!$E310:$CZ310,1,$BF310+20))-2*STDEVP(INDEX(終値!$E310:$CZ310,1,$BF310+1):INDEX(終値!$E310:$CZ310,1,$BF310+20)))</f>
        <v/>
      </c>
      <c r="BK310" s="503" t="str">
        <f>IF($BE310="","",AVERAGE(INDEX(終値!$E310:$CZ310,1,$BE310+1):INDEX(終値!$E310:$CZ310,1,$BE310+20))-2*STDEVP(INDEX(終値!$E310:$CZ310,1,$BE310+1):INDEX(終値!$E310:$CZ310,1,$BE310+20)))</f>
        <v/>
      </c>
      <c r="BL310" s="503">
        <f t="shared" si="27"/>
        <v>0</v>
      </c>
      <c r="BM310" s="503" t="str">
        <f t="shared" si="28"/>
        <v/>
      </c>
      <c r="BN310" s="503" t="str">
        <f t="shared" si="29"/>
        <v/>
      </c>
      <c r="BO310" s="503" t="str">
        <f>IF($BM310="","",INDEX(高値!$E310:$CZ310,1,$BM310+1))</f>
        <v/>
      </c>
      <c r="BP310" s="503" t="str">
        <f>IF($BN310="","",INDEX(高値!$E310:$CZ310,1,$BN310+1))</f>
        <v/>
      </c>
      <c r="BQ310" s="503" t="str">
        <f>IF($BN310="","",MIN(INDEX(安値!$E310:$CZ310,1,$BM310+1):INDEX(安値!$E310:$CZ310,1,$BN310+1)))</f>
        <v/>
      </c>
      <c r="BR310" s="503" t="str">
        <f>IF($BN310="","",AVERAGE(INDEX(終値!$E310:$CZ310,1,$BN310+1):INDEX(終値!$E310:$CZ310,1,$BN310+20))+2*STDEVP(INDEX(終値!$E310:$CZ310,1,$BN310+1):INDEX(終値!$E310:$CZ310,1,$BN310+20)))</f>
        <v/>
      </c>
      <c r="BS310" s="503" t="str">
        <f>IF($BM310="","",AVERAGE(INDEX(終値!$E310:$CZ310,1,$BM310+1):INDEX(終値!$E310:$CZ310,1,$BM310+20))+2*STDEVP(INDEX(終値!$E310:$CZ310,1,$BM310+1):INDEX(終値!$E310:$CZ310,1,$BM310+20)))</f>
        <v/>
      </c>
      <c r="BT310" s="500"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3" t="str">
        <f>IF(終値!A311="","",IF(AND(安値!G311&lt;安値!F311,安値!G311&lt;安値!E311,安値!G311&lt;安値!H311,安値!G311&lt;安値!I311),2,""))</f>
        <v/>
      </c>
      <c r="C311" s="503" t="str">
        <f>IF(終値!A311="","",IF(AND(安値!H311&lt;安値!G311,安値!H311&lt;安値!F311,安値!H311&lt;安値!I311,安値!H311&lt;安値!J311),3,""))</f>
        <v/>
      </c>
      <c r="D311" s="503" t="str">
        <f>IF(終値!A311="","",IF(AND(安値!I311&lt;安値!H311,安値!I311&lt;安値!G311,安値!I311&lt;安値!J311,安値!I311&lt;安値!K311),4,""))</f>
        <v/>
      </c>
      <c r="E311" s="503" t="str">
        <f>IF(終値!A311="","",IF(AND(安値!J311&lt;安値!I311,安値!J311&lt;安値!H311,安値!J311&lt;安値!K311,安値!J311&lt;安値!L311),5,""))</f>
        <v/>
      </c>
      <c r="F311" s="503" t="str">
        <f>IF(終値!A311="","",IF(AND(安値!K311&lt;安値!J311,安値!K311&lt;安値!I311,安値!K311&lt;安値!L311,安値!K311&lt;安値!M311),6,""))</f>
        <v/>
      </c>
      <c r="G311" s="503" t="str">
        <f>IF(終値!A311="","",IF(AND(安値!L311&lt;安値!K311,安値!L311&lt;安値!J311,安値!L311&lt;安値!M311,安値!L311&lt;安値!N311),7,""))</f>
        <v/>
      </c>
      <c r="H311" s="503" t="str">
        <f>IF(終値!A311="","",IF(AND(安値!M311&lt;安値!L311,安値!M311&lt;安値!K311,安値!M311&lt;安値!N311,安値!M311&lt;安値!O311),8,""))</f>
        <v/>
      </c>
      <c r="I311" s="503" t="str">
        <f>IF(終値!A311="","",IF(AND(安値!N311&lt;安値!M311,安値!N311&lt;安値!L311,安値!N311&lt;安値!O311,安値!N311&lt;安値!P311),9,""))</f>
        <v/>
      </c>
      <c r="J311" s="503" t="str">
        <f>IF(終値!A311="","",IF(AND(安値!O311&lt;安値!N311,安値!O311&lt;安値!M311,安値!O311&lt;安値!P311,安値!O311&lt;安値!Q311),10,""))</f>
        <v/>
      </c>
      <c r="K311" s="503" t="str">
        <f>IF(終値!A311="","",IF(AND(安値!P311&lt;安値!O311,安値!P311&lt;安値!N311,安値!P311&lt;安値!Q311,安値!P311&lt;安値!R311),11,""))</f>
        <v/>
      </c>
      <c r="L311" s="503" t="str">
        <f>IF(終値!A311="","",IF(AND(安値!Q311&lt;安値!P311,安値!Q311&lt;安値!O311,安値!Q311&lt;安値!R311,安値!Q311&lt;安値!S311),12,""))</f>
        <v/>
      </c>
      <c r="M311" s="503" t="str">
        <f>IF(終値!A311="","",IF(AND(安値!R311&lt;安値!Q311,安値!R311&lt;安値!P311,安値!R311&lt;安値!S311,安値!R311&lt;安値!T311),13,""))</f>
        <v/>
      </c>
      <c r="N311" s="503" t="str">
        <f>IF(終値!A311="","",IF(AND(安値!S311&lt;安値!R311,安値!S311&lt;安値!Q311,安値!S311&lt;安値!T311,安値!S311&lt;安値!U311),14,""))</f>
        <v/>
      </c>
      <c r="O311" s="503" t="str">
        <f>IF(終値!A311="","",IF(AND(安値!T311&lt;安値!S311,安値!T311&lt;安値!R311,安値!T311&lt;安値!U311,安値!T311&lt;安値!V311),15,""))</f>
        <v/>
      </c>
      <c r="P311" s="503" t="str">
        <f>IF(終値!A311="","",IF(AND(安値!U311&lt;安値!T311,安値!U311&lt;安値!S311,安値!U311&lt;安値!V311,安値!U311&lt;安値!W311),16,""))</f>
        <v/>
      </c>
      <c r="Q311" s="503" t="str">
        <f>IF(終値!A311="","",IF(AND(安値!V311&lt;安値!U311,安値!V311&lt;安値!T311,安値!V311&lt;安値!W311,安値!V311&lt;安値!X311),17,""))</f>
        <v/>
      </c>
      <c r="R311" s="503" t="str">
        <f>IF(終値!A311="","",IF(AND(安値!W311&lt;安値!V311,安値!W311&lt;安値!U311,安値!W311&lt;安値!X311,安値!W311&lt;安値!Y311),18,""))</f>
        <v/>
      </c>
      <c r="S311" s="503" t="str">
        <f>IF(終値!A311="","",IF(AND(安値!X311&lt;安値!W311,安値!X311&lt;安値!V311,安値!X311&lt;安値!Y311,安値!X311&lt;安値!Z311),19,""))</f>
        <v/>
      </c>
      <c r="T311" s="503" t="str">
        <f>IF(終値!A311="","",IF(AND(安値!Y311&lt;安値!X311,安値!Y311&lt;安値!W311,安値!Y311&lt;安値!Z311,安値!Y311&lt;安値!AA311),20,""))</f>
        <v/>
      </c>
      <c r="U311" s="503" t="str">
        <f>IF(終値!A311="","",IF(AND(安値!Z311&lt;安値!Y311,安値!Z311&lt;安値!X311,安値!Z311&lt;安値!AA311,安値!Z311&lt;安値!AB311),21,""))</f>
        <v/>
      </c>
      <c r="V311" s="503" t="str">
        <f>IF(終値!A311="","",IF(AND(安値!AA311&lt;安値!Z311,安値!AA311&lt;安値!Y311,安値!AA311&lt;安値!AB311,安値!AA311&lt;安値!AC311),22,""))</f>
        <v/>
      </c>
      <c r="W311" s="503" t="str">
        <f>IF(終値!A311="","",IF(AND(安値!AB311&lt;安値!AA311,安値!AB311&lt;安値!Z311,安値!AB311&lt;安値!AC311,安値!AB311&lt;安値!AD311),23,""))</f>
        <v/>
      </c>
      <c r="X311" s="503" t="str">
        <f>IF(終値!A311="","",IF(AND(安値!AC311&lt;安値!AB311,安値!AC311&lt;安値!AA311,安値!AC311&lt;安値!AD311,安値!AC311&lt;安値!AE311),24,""))</f>
        <v/>
      </c>
      <c r="Y311" s="503" t="str">
        <f>IF(終値!A311="","",IF(AND(安値!AD311&lt;安値!AC311,安値!AD311&lt;安値!AB311,安値!AD311&lt;安値!AE311,安値!AD311&lt;安値!AF311),25,""))</f>
        <v/>
      </c>
      <c r="Z311" s="503" t="str">
        <f>IF(終値!A311="","",IF(AND(安値!AE311&lt;安値!AD311,安値!AE311&lt;安値!AC311,安値!AE311&lt;安値!AF311,安値!AE311&lt;安値!AG311),26,""))</f>
        <v/>
      </c>
      <c r="AA311" s="503" t="str">
        <f>IF(終値!A311="","",IF(AND(安値!AF311&lt;安値!AE311,安値!AF311&lt;安値!AD311,安値!AF311&lt;安値!AG311,安値!AF311&lt;安値!AH311),27,""))</f>
        <v/>
      </c>
      <c r="AB311" s="503" t="str">
        <f>IF(終値!A311="","",IF(AND(安値!AG311&lt;安値!AF311,安値!AG311&lt;安値!AE311,安値!AG311&lt;安値!AH311,安値!AG311&lt;安値!AI311),28,""))</f>
        <v/>
      </c>
      <c r="AC311" s="503" t="str">
        <f>IF(終値!A311="","",IF(AND(高値!G311&gt;高値!F311,高値!G311&gt;高値!E311,高値!G311&gt;高値!H311,高値!G311&gt;高値!I311),2,""))</f>
        <v/>
      </c>
      <c r="AD311" s="503" t="str">
        <f>IF(終値!A311="","",IF(AND(高値!H311&gt;高値!G311,高値!H311&gt;高値!F311,高値!H311&gt;高値!I311,高値!H311&gt;高値!J311),3,""))</f>
        <v/>
      </c>
      <c r="AE311" s="503" t="str">
        <f>IF(終値!A311="","",IF(AND(高値!I311&gt;高値!H311,高値!I311&gt;高値!G311,高値!I311&gt;高値!J311,高値!I311&gt;高値!K311),4,""))</f>
        <v/>
      </c>
      <c r="AF311" s="503" t="str">
        <f>IF(終値!A311="","",IF(AND(高値!J311&gt;高値!I311,高値!J311&gt;高値!H311,高値!J311&gt;高値!K311,高値!J311&gt;高値!L311),5,""))</f>
        <v/>
      </c>
      <c r="AG311" s="503" t="str">
        <f>IF(終値!A311="","",IF(AND(高値!K311&gt;高値!J311,高値!K311&gt;高値!I311,高値!K311&gt;高値!L311,高値!K311&gt;高値!M311),6,""))</f>
        <v/>
      </c>
      <c r="AH311" s="503" t="str">
        <f>IF(終値!A311="","",IF(AND(高値!L311&gt;高値!K311,高値!L311&gt;高値!J311,高値!L311&gt;高値!M311,高値!L311&gt;高値!N311),7,""))</f>
        <v/>
      </c>
      <c r="AI311" s="503" t="str">
        <f>IF(終値!A311="","",IF(AND(高値!M311&gt;高値!L311,高値!M311&gt;高値!K311,高値!M311&gt;高値!N311,高値!M311&gt;高値!O311),8,""))</f>
        <v/>
      </c>
      <c r="AJ311" s="503" t="str">
        <f>IF(終値!A311="","",IF(AND(高値!N311&gt;高値!M311,高値!N311&gt;高値!L311,高値!N311&gt;高値!O311,高値!N311&gt;高値!P311),9,""))</f>
        <v/>
      </c>
      <c r="AK311" s="503" t="str">
        <f>IF(終値!A311="","",IF(AND(高値!O311&gt;高値!N311,高値!O311&gt;高値!M311,高値!O311&gt;高値!P311,高値!O311&gt;高値!Q311),10,""))</f>
        <v/>
      </c>
      <c r="AL311" s="503" t="str">
        <f>IF(終値!A311="","",IF(AND(高値!P311&gt;高値!O311,高値!P311&gt;高値!N311,高値!P311&gt;高値!Q311,高値!P311&gt;高値!R311),11,""))</f>
        <v/>
      </c>
      <c r="AM311" s="503" t="str">
        <f>IF(終値!A311="","",IF(AND(高値!Q311&gt;高値!P311,高値!Q311&gt;高値!O311,高値!Q311&gt;高値!R311,高値!Q311&gt;高値!S311),12,""))</f>
        <v/>
      </c>
      <c r="AN311" s="503" t="str">
        <f>IF(終値!A311="","",IF(AND(高値!R311&gt;高値!Q311,高値!R311&gt;高値!P311,高値!R311&gt;高値!S311,高値!R311&gt;高値!T311),13,""))</f>
        <v/>
      </c>
      <c r="AO311" s="503" t="str">
        <f>IF(終値!A311="","",IF(AND(高値!S311&gt;高値!R311,高値!S311&gt;高値!Q311,高値!S311&gt;高値!T311,高値!S311&gt;高値!U311),14,""))</f>
        <v/>
      </c>
      <c r="AP311" s="503" t="str">
        <f>IF(終値!A311="","",IF(AND(高値!T311&gt;高値!S311,高値!T311&gt;高値!R311,高値!T311&gt;高値!U311,高値!T311&gt;高値!V311),15,""))</f>
        <v/>
      </c>
      <c r="AQ311" s="503" t="str">
        <f>IF(終値!A311="","",IF(AND(高値!U311&gt;高値!T311,高値!U311&gt;高値!S311,高値!U311&gt;高値!V311,高値!U311&gt;高値!W311),16,""))</f>
        <v/>
      </c>
      <c r="AR311" s="503" t="str">
        <f>IF(終値!A311="","",IF(AND(高値!V311&gt;高値!U311,高値!V311&gt;高値!T311,高値!V311&gt;高値!W311,高値!V311&gt;高値!X311),17,""))</f>
        <v/>
      </c>
      <c r="AS311" s="503" t="str">
        <f>IF(終値!A311="","",IF(AND(高値!W311&gt;高値!V311,高値!W311&gt;高値!U311,高値!W311&gt;高値!X311,高値!W311&gt;高値!Y311),18,""))</f>
        <v/>
      </c>
      <c r="AT311" s="503" t="str">
        <f>IF(終値!A311="","",IF(AND(高値!X311&gt;高値!W311,高値!X311&gt;高値!V311,高値!X311&gt;高値!Y311,高値!X311&gt;高値!Z311),19,""))</f>
        <v/>
      </c>
      <c r="AU311" s="503" t="str">
        <f>IF(終値!A311="","",IF(AND(高値!Y311&gt;高値!X311,高値!Y311&gt;高値!W311,高値!Y311&gt;高値!Z311,高値!Y311&gt;高値!AA311),20,""))</f>
        <v/>
      </c>
      <c r="AV311" s="503" t="str">
        <f>IF(終値!A311="","",IF(AND(高値!Z311&gt;高値!Y311,高値!Z311&gt;高値!X311,高値!Z311&gt;高値!AA311,高値!Z311&gt;高値!AB311),21,""))</f>
        <v/>
      </c>
      <c r="AW311" s="503" t="str">
        <f>IF(終値!A311="","",IF(AND(高値!AA311&gt;高値!Z311,高値!AA311&gt;高値!Y311,高値!AA311&gt;高値!AB311,高値!AA311&gt;高値!AC311),22,""))</f>
        <v/>
      </c>
      <c r="AX311" s="503" t="str">
        <f>IF(終値!A311="","",IF(AND(高値!AB311&gt;高値!AA311,高値!AB311&gt;高値!Z311,高値!AB311&gt;高値!AC311,高値!AB311&gt;高値!AD311),23,""))</f>
        <v/>
      </c>
      <c r="AY311" s="503" t="str">
        <f>IF(終値!A311="","",IF(AND(高値!AC311&gt;高値!AB311,高値!AC311&gt;高値!AA311,高値!AC311&gt;高値!AD311,高値!AC311&gt;高値!AE311),24,""))</f>
        <v/>
      </c>
      <c r="AZ311" s="503" t="str">
        <f>IF(終値!A311="","",IF(AND(高値!AD311&gt;高値!AC311,高値!AD311&gt;高値!AB311,高値!AD311&gt;高値!AE311,高値!AD311&gt;高値!AF311),25,""))</f>
        <v/>
      </c>
      <c r="BA311" s="503" t="str">
        <f>IF(終値!A311="","",IF(AND(高値!AE311&gt;高値!AD311,高値!AE311&gt;高値!AC311,高値!AE311&gt;高値!AF311,高値!AE311&gt;高値!AG311),26,""))</f>
        <v/>
      </c>
      <c r="BB311" s="503" t="str">
        <f>IF(終値!A311="","",IF(AND(高値!AF311&gt;高値!AE311,高値!AF311&gt;高値!AD311,高値!AF311&gt;高値!AG311,高値!AF311&gt;高値!AH311),27,""))</f>
        <v/>
      </c>
      <c r="BC311" s="503" t="str">
        <f>IF(終値!A311="","",IF(AND(高値!AG311&gt;高値!AF311,高値!AG311&gt;高値!AE311,高値!AG311&gt;高値!AH311,高値!AG311&gt;高値!AI311),28,""))</f>
        <v/>
      </c>
      <c r="BD311" s="503">
        <f t="shared" si="24"/>
        <v>0</v>
      </c>
      <c r="BE311" s="503" t="str">
        <f t="shared" si="25"/>
        <v/>
      </c>
      <c r="BF311" s="503" t="str">
        <f t="shared" si="26"/>
        <v/>
      </c>
      <c r="BG311" s="503" t="str">
        <f>IF($BE311="","",INDEX(安値!$E311:$CZ311,1,$BE311+1))</f>
        <v/>
      </c>
      <c r="BH311" s="503" t="str">
        <f>IF($BF311="","",INDEX(安値!$E311:$CZ311,1,$BF311+1))</f>
        <v/>
      </c>
      <c r="BI311" s="503" t="str">
        <f>IF($BF311="","",MAX(INDEX(高値!$E311:$CZ311,1,$BE311+1):INDEX(高値!$E311:$CZ311,1,$BF311+1)))</f>
        <v/>
      </c>
      <c r="BJ311" s="503" t="str">
        <f>IF($BF311="","",AVERAGE(INDEX(終値!$E311:$CZ311,1,$BF311+1):INDEX(終値!$E311:$CZ311,1,$BF311+20))-2*STDEVP(INDEX(終値!$E311:$CZ311,1,$BF311+1):INDEX(終値!$E311:$CZ311,1,$BF311+20)))</f>
        <v/>
      </c>
      <c r="BK311" s="503" t="str">
        <f>IF($BE311="","",AVERAGE(INDEX(終値!$E311:$CZ311,1,$BE311+1):INDEX(終値!$E311:$CZ311,1,$BE311+20))-2*STDEVP(INDEX(終値!$E311:$CZ311,1,$BE311+1):INDEX(終値!$E311:$CZ311,1,$BE311+20)))</f>
        <v/>
      </c>
      <c r="BL311" s="503">
        <f t="shared" si="27"/>
        <v>0</v>
      </c>
      <c r="BM311" s="503" t="str">
        <f t="shared" si="28"/>
        <v/>
      </c>
      <c r="BN311" s="503" t="str">
        <f t="shared" si="29"/>
        <v/>
      </c>
      <c r="BO311" s="503" t="str">
        <f>IF($BM311="","",INDEX(高値!$E311:$CZ311,1,$BM311+1))</f>
        <v/>
      </c>
      <c r="BP311" s="503" t="str">
        <f>IF($BN311="","",INDEX(高値!$E311:$CZ311,1,$BN311+1))</f>
        <v/>
      </c>
      <c r="BQ311" s="503" t="str">
        <f>IF($BN311="","",MIN(INDEX(安値!$E311:$CZ311,1,$BM311+1):INDEX(安値!$E311:$CZ311,1,$BN311+1)))</f>
        <v/>
      </c>
      <c r="BR311" s="503" t="str">
        <f>IF($BN311="","",AVERAGE(INDEX(終値!$E311:$CZ311,1,$BN311+1):INDEX(終値!$E311:$CZ311,1,$BN311+20))+2*STDEVP(INDEX(終値!$E311:$CZ311,1,$BN311+1):INDEX(終値!$E311:$CZ311,1,$BN311+20)))</f>
        <v/>
      </c>
      <c r="BS311" s="503" t="str">
        <f>IF($BM311="","",AVERAGE(INDEX(終値!$E311:$CZ311,1,$BM311+1):INDEX(終値!$E311:$CZ311,1,$BM311+20))+2*STDEVP(INDEX(終値!$E311:$CZ311,1,$BM311+1):INDEX(終値!$E311:$CZ311,1,$BM311+20)))</f>
        <v/>
      </c>
      <c r="BT311" s="500"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3" t="str">
        <f>IF(終値!A312="","",IF(AND(安値!G312&lt;安値!F312,安値!G312&lt;安値!E312,安値!G312&lt;安値!H312,安値!G312&lt;安値!I312),2,""))</f>
        <v/>
      </c>
      <c r="C312" s="503" t="str">
        <f>IF(終値!A312="","",IF(AND(安値!H312&lt;安値!G312,安値!H312&lt;安値!F312,安値!H312&lt;安値!I312,安値!H312&lt;安値!J312),3,""))</f>
        <v/>
      </c>
      <c r="D312" s="503" t="str">
        <f>IF(終値!A312="","",IF(AND(安値!I312&lt;安値!H312,安値!I312&lt;安値!G312,安値!I312&lt;安値!J312,安値!I312&lt;安値!K312),4,""))</f>
        <v/>
      </c>
      <c r="E312" s="503" t="str">
        <f>IF(終値!A312="","",IF(AND(安値!J312&lt;安値!I312,安値!J312&lt;安値!H312,安値!J312&lt;安値!K312,安値!J312&lt;安値!L312),5,""))</f>
        <v/>
      </c>
      <c r="F312" s="503" t="str">
        <f>IF(終値!A312="","",IF(AND(安値!K312&lt;安値!J312,安値!K312&lt;安値!I312,安値!K312&lt;安値!L312,安値!K312&lt;安値!M312),6,""))</f>
        <v/>
      </c>
      <c r="G312" s="503" t="str">
        <f>IF(終値!A312="","",IF(AND(安値!L312&lt;安値!K312,安値!L312&lt;安値!J312,安値!L312&lt;安値!M312,安値!L312&lt;安値!N312),7,""))</f>
        <v/>
      </c>
      <c r="H312" s="503" t="str">
        <f>IF(終値!A312="","",IF(AND(安値!M312&lt;安値!L312,安値!M312&lt;安値!K312,安値!M312&lt;安値!N312,安値!M312&lt;安値!O312),8,""))</f>
        <v/>
      </c>
      <c r="I312" s="503" t="str">
        <f>IF(終値!A312="","",IF(AND(安値!N312&lt;安値!M312,安値!N312&lt;安値!L312,安値!N312&lt;安値!O312,安値!N312&lt;安値!P312),9,""))</f>
        <v/>
      </c>
      <c r="J312" s="503" t="str">
        <f>IF(終値!A312="","",IF(AND(安値!O312&lt;安値!N312,安値!O312&lt;安値!M312,安値!O312&lt;安値!P312,安値!O312&lt;安値!Q312),10,""))</f>
        <v/>
      </c>
      <c r="K312" s="503" t="str">
        <f>IF(終値!A312="","",IF(AND(安値!P312&lt;安値!O312,安値!P312&lt;安値!N312,安値!P312&lt;安値!Q312,安値!P312&lt;安値!R312),11,""))</f>
        <v/>
      </c>
      <c r="L312" s="503" t="str">
        <f>IF(終値!A312="","",IF(AND(安値!Q312&lt;安値!P312,安値!Q312&lt;安値!O312,安値!Q312&lt;安値!R312,安値!Q312&lt;安値!S312),12,""))</f>
        <v/>
      </c>
      <c r="M312" s="503" t="str">
        <f>IF(終値!A312="","",IF(AND(安値!R312&lt;安値!Q312,安値!R312&lt;安値!P312,安値!R312&lt;安値!S312,安値!R312&lt;安値!T312),13,""))</f>
        <v/>
      </c>
      <c r="N312" s="503" t="str">
        <f>IF(終値!A312="","",IF(AND(安値!S312&lt;安値!R312,安値!S312&lt;安値!Q312,安値!S312&lt;安値!T312,安値!S312&lt;安値!U312),14,""))</f>
        <v/>
      </c>
      <c r="O312" s="503" t="str">
        <f>IF(終値!A312="","",IF(AND(安値!T312&lt;安値!S312,安値!T312&lt;安値!R312,安値!T312&lt;安値!U312,安値!T312&lt;安値!V312),15,""))</f>
        <v/>
      </c>
      <c r="P312" s="503" t="str">
        <f>IF(終値!A312="","",IF(AND(安値!U312&lt;安値!T312,安値!U312&lt;安値!S312,安値!U312&lt;安値!V312,安値!U312&lt;安値!W312),16,""))</f>
        <v/>
      </c>
      <c r="Q312" s="503" t="str">
        <f>IF(終値!A312="","",IF(AND(安値!V312&lt;安値!U312,安値!V312&lt;安値!T312,安値!V312&lt;安値!W312,安値!V312&lt;安値!X312),17,""))</f>
        <v/>
      </c>
      <c r="R312" s="503" t="str">
        <f>IF(終値!A312="","",IF(AND(安値!W312&lt;安値!V312,安値!W312&lt;安値!U312,安値!W312&lt;安値!X312,安値!W312&lt;安値!Y312),18,""))</f>
        <v/>
      </c>
      <c r="S312" s="503" t="str">
        <f>IF(終値!A312="","",IF(AND(安値!X312&lt;安値!W312,安値!X312&lt;安値!V312,安値!X312&lt;安値!Y312,安値!X312&lt;安値!Z312),19,""))</f>
        <v/>
      </c>
      <c r="T312" s="503" t="str">
        <f>IF(終値!A312="","",IF(AND(安値!Y312&lt;安値!X312,安値!Y312&lt;安値!W312,安値!Y312&lt;安値!Z312,安値!Y312&lt;安値!AA312),20,""))</f>
        <v/>
      </c>
      <c r="U312" s="503" t="str">
        <f>IF(終値!A312="","",IF(AND(安値!Z312&lt;安値!Y312,安値!Z312&lt;安値!X312,安値!Z312&lt;安値!AA312,安値!Z312&lt;安値!AB312),21,""))</f>
        <v/>
      </c>
      <c r="V312" s="503" t="str">
        <f>IF(終値!A312="","",IF(AND(安値!AA312&lt;安値!Z312,安値!AA312&lt;安値!Y312,安値!AA312&lt;安値!AB312,安値!AA312&lt;安値!AC312),22,""))</f>
        <v/>
      </c>
      <c r="W312" s="503" t="str">
        <f>IF(終値!A312="","",IF(AND(安値!AB312&lt;安値!AA312,安値!AB312&lt;安値!Z312,安値!AB312&lt;安値!AC312,安値!AB312&lt;安値!AD312),23,""))</f>
        <v/>
      </c>
      <c r="X312" s="503" t="str">
        <f>IF(終値!A312="","",IF(AND(安値!AC312&lt;安値!AB312,安値!AC312&lt;安値!AA312,安値!AC312&lt;安値!AD312,安値!AC312&lt;安値!AE312),24,""))</f>
        <v/>
      </c>
      <c r="Y312" s="503" t="str">
        <f>IF(終値!A312="","",IF(AND(安値!AD312&lt;安値!AC312,安値!AD312&lt;安値!AB312,安値!AD312&lt;安値!AE312,安値!AD312&lt;安値!AF312),25,""))</f>
        <v/>
      </c>
      <c r="Z312" s="503" t="str">
        <f>IF(終値!A312="","",IF(AND(安値!AE312&lt;安値!AD312,安値!AE312&lt;安値!AC312,安値!AE312&lt;安値!AF312,安値!AE312&lt;安値!AG312),26,""))</f>
        <v/>
      </c>
      <c r="AA312" s="503" t="str">
        <f>IF(終値!A312="","",IF(AND(安値!AF312&lt;安値!AE312,安値!AF312&lt;安値!AD312,安値!AF312&lt;安値!AG312,安値!AF312&lt;安値!AH312),27,""))</f>
        <v/>
      </c>
      <c r="AB312" s="503" t="str">
        <f>IF(終値!A312="","",IF(AND(安値!AG312&lt;安値!AF312,安値!AG312&lt;安値!AE312,安値!AG312&lt;安値!AH312,安値!AG312&lt;安値!AI312),28,""))</f>
        <v/>
      </c>
      <c r="AC312" s="503" t="str">
        <f>IF(終値!A312="","",IF(AND(高値!G312&gt;高値!F312,高値!G312&gt;高値!E312,高値!G312&gt;高値!H312,高値!G312&gt;高値!I312),2,""))</f>
        <v/>
      </c>
      <c r="AD312" s="503" t="str">
        <f>IF(終値!A312="","",IF(AND(高値!H312&gt;高値!G312,高値!H312&gt;高値!F312,高値!H312&gt;高値!I312,高値!H312&gt;高値!J312),3,""))</f>
        <v/>
      </c>
      <c r="AE312" s="503" t="str">
        <f>IF(終値!A312="","",IF(AND(高値!I312&gt;高値!H312,高値!I312&gt;高値!G312,高値!I312&gt;高値!J312,高値!I312&gt;高値!K312),4,""))</f>
        <v/>
      </c>
      <c r="AF312" s="503" t="str">
        <f>IF(終値!A312="","",IF(AND(高値!J312&gt;高値!I312,高値!J312&gt;高値!H312,高値!J312&gt;高値!K312,高値!J312&gt;高値!L312),5,""))</f>
        <v/>
      </c>
      <c r="AG312" s="503" t="str">
        <f>IF(終値!A312="","",IF(AND(高値!K312&gt;高値!J312,高値!K312&gt;高値!I312,高値!K312&gt;高値!L312,高値!K312&gt;高値!M312),6,""))</f>
        <v/>
      </c>
      <c r="AH312" s="503" t="str">
        <f>IF(終値!A312="","",IF(AND(高値!L312&gt;高値!K312,高値!L312&gt;高値!J312,高値!L312&gt;高値!M312,高値!L312&gt;高値!N312),7,""))</f>
        <v/>
      </c>
      <c r="AI312" s="503" t="str">
        <f>IF(終値!A312="","",IF(AND(高値!M312&gt;高値!L312,高値!M312&gt;高値!K312,高値!M312&gt;高値!N312,高値!M312&gt;高値!O312),8,""))</f>
        <v/>
      </c>
      <c r="AJ312" s="503" t="str">
        <f>IF(終値!A312="","",IF(AND(高値!N312&gt;高値!M312,高値!N312&gt;高値!L312,高値!N312&gt;高値!O312,高値!N312&gt;高値!P312),9,""))</f>
        <v/>
      </c>
      <c r="AK312" s="503" t="str">
        <f>IF(終値!A312="","",IF(AND(高値!O312&gt;高値!N312,高値!O312&gt;高値!M312,高値!O312&gt;高値!P312,高値!O312&gt;高値!Q312),10,""))</f>
        <v/>
      </c>
      <c r="AL312" s="503" t="str">
        <f>IF(終値!A312="","",IF(AND(高値!P312&gt;高値!O312,高値!P312&gt;高値!N312,高値!P312&gt;高値!Q312,高値!P312&gt;高値!R312),11,""))</f>
        <v/>
      </c>
      <c r="AM312" s="503" t="str">
        <f>IF(終値!A312="","",IF(AND(高値!Q312&gt;高値!P312,高値!Q312&gt;高値!O312,高値!Q312&gt;高値!R312,高値!Q312&gt;高値!S312),12,""))</f>
        <v/>
      </c>
      <c r="AN312" s="503" t="str">
        <f>IF(終値!A312="","",IF(AND(高値!R312&gt;高値!Q312,高値!R312&gt;高値!P312,高値!R312&gt;高値!S312,高値!R312&gt;高値!T312),13,""))</f>
        <v/>
      </c>
      <c r="AO312" s="503" t="str">
        <f>IF(終値!A312="","",IF(AND(高値!S312&gt;高値!R312,高値!S312&gt;高値!Q312,高値!S312&gt;高値!T312,高値!S312&gt;高値!U312),14,""))</f>
        <v/>
      </c>
      <c r="AP312" s="503" t="str">
        <f>IF(終値!A312="","",IF(AND(高値!T312&gt;高値!S312,高値!T312&gt;高値!R312,高値!T312&gt;高値!U312,高値!T312&gt;高値!V312),15,""))</f>
        <v/>
      </c>
      <c r="AQ312" s="503" t="str">
        <f>IF(終値!A312="","",IF(AND(高値!U312&gt;高値!T312,高値!U312&gt;高値!S312,高値!U312&gt;高値!V312,高値!U312&gt;高値!W312),16,""))</f>
        <v/>
      </c>
      <c r="AR312" s="503" t="str">
        <f>IF(終値!A312="","",IF(AND(高値!V312&gt;高値!U312,高値!V312&gt;高値!T312,高値!V312&gt;高値!W312,高値!V312&gt;高値!X312),17,""))</f>
        <v/>
      </c>
      <c r="AS312" s="503" t="str">
        <f>IF(終値!A312="","",IF(AND(高値!W312&gt;高値!V312,高値!W312&gt;高値!U312,高値!W312&gt;高値!X312,高値!W312&gt;高値!Y312),18,""))</f>
        <v/>
      </c>
      <c r="AT312" s="503" t="str">
        <f>IF(終値!A312="","",IF(AND(高値!X312&gt;高値!W312,高値!X312&gt;高値!V312,高値!X312&gt;高値!Y312,高値!X312&gt;高値!Z312),19,""))</f>
        <v/>
      </c>
      <c r="AU312" s="503" t="str">
        <f>IF(終値!A312="","",IF(AND(高値!Y312&gt;高値!X312,高値!Y312&gt;高値!W312,高値!Y312&gt;高値!Z312,高値!Y312&gt;高値!AA312),20,""))</f>
        <v/>
      </c>
      <c r="AV312" s="503" t="str">
        <f>IF(終値!A312="","",IF(AND(高値!Z312&gt;高値!Y312,高値!Z312&gt;高値!X312,高値!Z312&gt;高値!AA312,高値!Z312&gt;高値!AB312),21,""))</f>
        <v/>
      </c>
      <c r="AW312" s="503" t="str">
        <f>IF(終値!A312="","",IF(AND(高値!AA312&gt;高値!Z312,高値!AA312&gt;高値!Y312,高値!AA312&gt;高値!AB312,高値!AA312&gt;高値!AC312),22,""))</f>
        <v/>
      </c>
      <c r="AX312" s="503" t="str">
        <f>IF(終値!A312="","",IF(AND(高値!AB312&gt;高値!AA312,高値!AB312&gt;高値!Z312,高値!AB312&gt;高値!AC312,高値!AB312&gt;高値!AD312),23,""))</f>
        <v/>
      </c>
      <c r="AY312" s="503" t="str">
        <f>IF(終値!A312="","",IF(AND(高値!AC312&gt;高値!AB312,高値!AC312&gt;高値!AA312,高値!AC312&gt;高値!AD312,高値!AC312&gt;高値!AE312),24,""))</f>
        <v/>
      </c>
      <c r="AZ312" s="503" t="str">
        <f>IF(終値!A312="","",IF(AND(高値!AD312&gt;高値!AC312,高値!AD312&gt;高値!AB312,高値!AD312&gt;高値!AE312,高値!AD312&gt;高値!AF312),25,""))</f>
        <v/>
      </c>
      <c r="BA312" s="503" t="str">
        <f>IF(終値!A312="","",IF(AND(高値!AE312&gt;高値!AD312,高値!AE312&gt;高値!AC312,高値!AE312&gt;高値!AF312,高値!AE312&gt;高値!AG312),26,""))</f>
        <v/>
      </c>
      <c r="BB312" s="503" t="str">
        <f>IF(終値!A312="","",IF(AND(高値!AF312&gt;高値!AE312,高値!AF312&gt;高値!AD312,高値!AF312&gt;高値!AG312,高値!AF312&gt;高値!AH312),27,""))</f>
        <v/>
      </c>
      <c r="BC312" s="503" t="str">
        <f>IF(終値!A312="","",IF(AND(高値!AG312&gt;高値!AF312,高値!AG312&gt;高値!AE312,高値!AG312&gt;高値!AH312,高値!AG312&gt;高値!AI312),28,""))</f>
        <v/>
      </c>
      <c r="BD312" s="503">
        <f t="shared" si="24"/>
        <v>0</v>
      </c>
      <c r="BE312" s="503" t="str">
        <f t="shared" si="25"/>
        <v/>
      </c>
      <c r="BF312" s="503" t="str">
        <f t="shared" si="26"/>
        <v/>
      </c>
      <c r="BG312" s="503" t="str">
        <f>IF($BE312="","",INDEX(安値!$E312:$CZ312,1,$BE312+1))</f>
        <v/>
      </c>
      <c r="BH312" s="503" t="str">
        <f>IF($BF312="","",INDEX(安値!$E312:$CZ312,1,$BF312+1))</f>
        <v/>
      </c>
      <c r="BI312" s="503" t="str">
        <f>IF($BF312="","",MAX(INDEX(高値!$E312:$CZ312,1,$BE312+1):INDEX(高値!$E312:$CZ312,1,$BF312+1)))</f>
        <v/>
      </c>
      <c r="BJ312" s="503" t="str">
        <f>IF($BF312="","",AVERAGE(INDEX(終値!$E312:$CZ312,1,$BF312+1):INDEX(終値!$E312:$CZ312,1,$BF312+20))-2*STDEVP(INDEX(終値!$E312:$CZ312,1,$BF312+1):INDEX(終値!$E312:$CZ312,1,$BF312+20)))</f>
        <v/>
      </c>
      <c r="BK312" s="503" t="str">
        <f>IF($BE312="","",AVERAGE(INDEX(終値!$E312:$CZ312,1,$BE312+1):INDEX(終値!$E312:$CZ312,1,$BE312+20))-2*STDEVP(INDEX(終値!$E312:$CZ312,1,$BE312+1):INDEX(終値!$E312:$CZ312,1,$BE312+20)))</f>
        <v/>
      </c>
      <c r="BL312" s="503">
        <f t="shared" si="27"/>
        <v>0</v>
      </c>
      <c r="BM312" s="503" t="str">
        <f t="shared" si="28"/>
        <v/>
      </c>
      <c r="BN312" s="503" t="str">
        <f t="shared" si="29"/>
        <v/>
      </c>
      <c r="BO312" s="503" t="str">
        <f>IF($BM312="","",INDEX(高値!$E312:$CZ312,1,$BM312+1))</f>
        <v/>
      </c>
      <c r="BP312" s="503" t="str">
        <f>IF($BN312="","",INDEX(高値!$E312:$CZ312,1,$BN312+1))</f>
        <v/>
      </c>
      <c r="BQ312" s="503" t="str">
        <f>IF($BN312="","",MIN(INDEX(安値!$E312:$CZ312,1,$BM312+1):INDEX(安値!$E312:$CZ312,1,$BN312+1)))</f>
        <v/>
      </c>
      <c r="BR312" s="503" t="str">
        <f>IF($BN312="","",AVERAGE(INDEX(終値!$E312:$CZ312,1,$BN312+1):INDEX(終値!$E312:$CZ312,1,$BN312+20))+2*STDEVP(INDEX(終値!$E312:$CZ312,1,$BN312+1):INDEX(終値!$E312:$CZ312,1,$BN312+20)))</f>
        <v/>
      </c>
      <c r="BS312" s="503" t="str">
        <f>IF($BM312="","",AVERAGE(INDEX(終値!$E312:$CZ312,1,$BM312+1):INDEX(終値!$E312:$CZ312,1,$BM312+20))+2*STDEVP(INDEX(終値!$E312:$CZ312,1,$BM312+1):INDEX(終値!$E312:$CZ312,1,$BM312+20)))</f>
        <v/>
      </c>
      <c r="BT312" s="500"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3" t="str">
        <f>IF(終値!A313="","",IF(AND(安値!G313&lt;安値!F313,安値!G313&lt;安値!E313,安値!G313&lt;安値!H313,安値!G313&lt;安値!I313),2,""))</f>
        <v/>
      </c>
      <c r="C313" s="503" t="str">
        <f>IF(終値!A313="","",IF(AND(安値!H313&lt;安値!G313,安値!H313&lt;安値!F313,安値!H313&lt;安値!I313,安値!H313&lt;安値!J313),3,""))</f>
        <v/>
      </c>
      <c r="D313" s="503" t="str">
        <f>IF(終値!A313="","",IF(AND(安値!I313&lt;安値!H313,安値!I313&lt;安値!G313,安値!I313&lt;安値!J313,安値!I313&lt;安値!K313),4,""))</f>
        <v/>
      </c>
      <c r="E313" s="503" t="str">
        <f>IF(終値!A313="","",IF(AND(安値!J313&lt;安値!I313,安値!J313&lt;安値!H313,安値!J313&lt;安値!K313,安値!J313&lt;安値!L313),5,""))</f>
        <v/>
      </c>
      <c r="F313" s="503" t="str">
        <f>IF(終値!A313="","",IF(AND(安値!K313&lt;安値!J313,安値!K313&lt;安値!I313,安値!K313&lt;安値!L313,安値!K313&lt;安値!M313),6,""))</f>
        <v/>
      </c>
      <c r="G313" s="503" t="str">
        <f>IF(終値!A313="","",IF(AND(安値!L313&lt;安値!K313,安値!L313&lt;安値!J313,安値!L313&lt;安値!M313,安値!L313&lt;安値!N313),7,""))</f>
        <v/>
      </c>
      <c r="H313" s="503" t="str">
        <f>IF(終値!A313="","",IF(AND(安値!M313&lt;安値!L313,安値!M313&lt;安値!K313,安値!M313&lt;安値!N313,安値!M313&lt;安値!O313),8,""))</f>
        <v/>
      </c>
      <c r="I313" s="503" t="str">
        <f>IF(終値!A313="","",IF(AND(安値!N313&lt;安値!M313,安値!N313&lt;安値!L313,安値!N313&lt;安値!O313,安値!N313&lt;安値!P313),9,""))</f>
        <v/>
      </c>
      <c r="J313" s="503" t="str">
        <f>IF(終値!A313="","",IF(AND(安値!O313&lt;安値!N313,安値!O313&lt;安値!M313,安値!O313&lt;安値!P313,安値!O313&lt;安値!Q313),10,""))</f>
        <v/>
      </c>
      <c r="K313" s="503" t="str">
        <f>IF(終値!A313="","",IF(AND(安値!P313&lt;安値!O313,安値!P313&lt;安値!N313,安値!P313&lt;安値!Q313,安値!P313&lt;安値!R313),11,""))</f>
        <v/>
      </c>
      <c r="L313" s="503" t="str">
        <f>IF(終値!A313="","",IF(AND(安値!Q313&lt;安値!P313,安値!Q313&lt;安値!O313,安値!Q313&lt;安値!R313,安値!Q313&lt;安値!S313),12,""))</f>
        <v/>
      </c>
      <c r="M313" s="503" t="str">
        <f>IF(終値!A313="","",IF(AND(安値!R313&lt;安値!Q313,安値!R313&lt;安値!P313,安値!R313&lt;安値!S313,安値!R313&lt;安値!T313),13,""))</f>
        <v/>
      </c>
      <c r="N313" s="503" t="str">
        <f>IF(終値!A313="","",IF(AND(安値!S313&lt;安値!R313,安値!S313&lt;安値!Q313,安値!S313&lt;安値!T313,安値!S313&lt;安値!U313),14,""))</f>
        <v/>
      </c>
      <c r="O313" s="503" t="str">
        <f>IF(終値!A313="","",IF(AND(安値!T313&lt;安値!S313,安値!T313&lt;安値!R313,安値!T313&lt;安値!U313,安値!T313&lt;安値!V313),15,""))</f>
        <v/>
      </c>
      <c r="P313" s="503" t="str">
        <f>IF(終値!A313="","",IF(AND(安値!U313&lt;安値!T313,安値!U313&lt;安値!S313,安値!U313&lt;安値!V313,安値!U313&lt;安値!W313),16,""))</f>
        <v/>
      </c>
      <c r="Q313" s="503" t="str">
        <f>IF(終値!A313="","",IF(AND(安値!V313&lt;安値!U313,安値!V313&lt;安値!T313,安値!V313&lt;安値!W313,安値!V313&lt;安値!X313),17,""))</f>
        <v/>
      </c>
      <c r="R313" s="503" t="str">
        <f>IF(終値!A313="","",IF(AND(安値!W313&lt;安値!V313,安値!W313&lt;安値!U313,安値!W313&lt;安値!X313,安値!W313&lt;安値!Y313),18,""))</f>
        <v/>
      </c>
      <c r="S313" s="503" t="str">
        <f>IF(終値!A313="","",IF(AND(安値!X313&lt;安値!W313,安値!X313&lt;安値!V313,安値!X313&lt;安値!Y313,安値!X313&lt;安値!Z313),19,""))</f>
        <v/>
      </c>
      <c r="T313" s="503" t="str">
        <f>IF(終値!A313="","",IF(AND(安値!Y313&lt;安値!X313,安値!Y313&lt;安値!W313,安値!Y313&lt;安値!Z313,安値!Y313&lt;安値!AA313),20,""))</f>
        <v/>
      </c>
      <c r="U313" s="503" t="str">
        <f>IF(終値!A313="","",IF(AND(安値!Z313&lt;安値!Y313,安値!Z313&lt;安値!X313,安値!Z313&lt;安値!AA313,安値!Z313&lt;安値!AB313),21,""))</f>
        <v/>
      </c>
      <c r="V313" s="503" t="str">
        <f>IF(終値!A313="","",IF(AND(安値!AA313&lt;安値!Z313,安値!AA313&lt;安値!Y313,安値!AA313&lt;安値!AB313,安値!AA313&lt;安値!AC313),22,""))</f>
        <v/>
      </c>
      <c r="W313" s="503" t="str">
        <f>IF(終値!A313="","",IF(AND(安値!AB313&lt;安値!AA313,安値!AB313&lt;安値!Z313,安値!AB313&lt;安値!AC313,安値!AB313&lt;安値!AD313),23,""))</f>
        <v/>
      </c>
      <c r="X313" s="503" t="str">
        <f>IF(終値!A313="","",IF(AND(安値!AC313&lt;安値!AB313,安値!AC313&lt;安値!AA313,安値!AC313&lt;安値!AD313,安値!AC313&lt;安値!AE313),24,""))</f>
        <v/>
      </c>
      <c r="Y313" s="503" t="str">
        <f>IF(終値!A313="","",IF(AND(安値!AD313&lt;安値!AC313,安値!AD313&lt;安値!AB313,安値!AD313&lt;安値!AE313,安値!AD313&lt;安値!AF313),25,""))</f>
        <v/>
      </c>
      <c r="Z313" s="503" t="str">
        <f>IF(終値!A313="","",IF(AND(安値!AE313&lt;安値!AD313,安値!AE313&lt;安値!AC313,安値!AE313&lt;安値!AF313,安値!AE313&lt;安値!AG313),26,""))</f>
        <v/>
      </c>
      <c r="AA313" s="503" t="str">
        <f>IF(終値!A313="","",IF(AND(安値!AF313&lt;安値!AE313,安値!AF313&lt;安値!AD313,安値!AF313&lt;安値!AG313,安値!AF313&lt;安値!AH313),27,""))</f>
        <v/>
      </c>
      <c r="AB313" s="503" t="str">
        <f>IF(終値!A313="","",IF(AND(安値!AG313&lt;安値!AF313,安値!AG313&lt;安値!AE313,安値!AG313&lt;安値!AH313,安値!AG313&lt;安値!AI313),28,""))</f>
        <v/>
      </c>
      <c r="AC313" s="503" t="str">
        <f>IF(終値!A313="","",IF(AND(高値!G313&gt;高値!F313,高値!G313&gt;高値!E313,高値!G313&gt;高値!H313,高値!G313&gt;高値!I313),2,""))</f>
        <v/>
      </c>
      <c r="AD313" s="503" t="str">
        <f>IF(終値!A313="","",IF(AND(高値!H313&gt;高値!G313,高値!H313&gt;高値!F313,高値!H313&gt;高値!I313,高値!H313&gt;高値!J313),3,""))</f>
        <v/>
      </c>
      <c r="AE313" s="503" t="str">
        <f>IF(終値!A313="","",IF(AND(高値!I313&gt;高値!H313,高値!I313&gt;高値!G313,高値!I313&gt;高値!J313,高値!I313&gt;高値!K313),4,""))</f>
        <v/>
      </c>
      <c r="AF313" s="503" t="str">
        <f>IF(終値!A313="","",IF(AND(高値!J313&gt;高値!I313,高値!J313&gt;高値!H313,高値!J313&gt;高値!K313,高値!J313&gt;高値!L313),5,""))</f>
        <v/>
      </c>
      <c r="AG313" s="503" t="str">
        <f>IF(終値!A313="","",IF(AND(高値!K313&gt;高値!J313,高値!K313&gt;高値!I313,高値!K313&gt;高値!L313,高値!K313&gt;高値!M313),6,""))</f>
        <v/>
      </c>
      <c r="AH313" s="503" t="str">
        <f>IF(終値!A313="","",IF(AND(高値!L313&gt;高値!K313,高値!L313&gt;高値!J313,高値!L313&gt;高値!M313,高値!L313&gt;高値!N313),7,""))</f>
        <v/>
      </c>
      <c r="AI313" s="503" t="str">
        <f>IF(終値!A313="","",IF(AND(高値!M313&gt;高値!L313,高値!M313&gt;高値!K313,高値!M313&gt;高値!N313,高値!M313&gt;高値!O313),8,""))</f>
        <v/>
      </c>
      <c r="AJ313" s="503" t="str">
        <f>IF(終値!A313="","",IF(AND(高値!N313&gt;高値!M313,高値!N313&gt;高値!L313,高値!N313&gt;高値!O313,高値!N313&gt;高値!P313),9,""))</f>
        <v/>
      </c>
      <c r="AK313" s="503" t="str">
        <f>IF(終値!A313="","",IF(AND(高値!O313&gt;高値!N313,高値!O313&gt;高値!M313,高値!O313&gt;高値!P313,高値!O313&gt;高値!Q313),10,""))</f>
        <v/>
      </c>
      <c r="AL313" s="503" t="str">
        <f>IF(終値!A313="","",IF(AND(高値!P313&gt;高値!O313,高値!P313&gt;高値!N313,高値!P313&gt;高値!Q313,高値!P313&gt;高値!R313),11,""))</f>
        <v/>
      </c>
      <c r="AM313" s="503" t="str">
        <f>IF(終値!A313="","",IF(AND(高値!Q313&gt;高値!P313,高値!Q313&gt;高値!O313,高値!Q313&gt;高値!R313,高値!Q313&gt;高値!S313),12,""))</f>
        <v/>
      </c>
      <c r="AN313" s="503" t="str">
        <f>IF(終値!A313="","",IF(AND(高値!R313&gt;高値!Q313,高値!R313&gt;高値!P313,高値!R313&gt;高値!S313,高値!R313&gt;高値!T313),13,""))</f>
        <v/>
      </c>
      <c r="AO313" s="503" t="str">
        <f>IF(終値!A313="","",IF(AND(高値!S313&gt;高値!R313,高値!S313&gt;高値!Q313,高値!S313&gt;高値!T313,高値!S313&gt;高値!U313),14,""))</f>
        <v/>
      </c>
      <c r="AP313" s="503" t="str">
        <f>IF(終値!A313="","",IF(AND(高値!T313&gt;高値!S313,高値!T313&gt;高値!R313,高値!T313&gt;高値!U313,高値!T313&gt;高値!V313),15,""))</f>
        <v/>
      </c>
      <c r="AQ313" s="503" t="str">
        <f>IF(終値!A313="","",IF(AND(高値!U313&gt;高値!T313,高値!U313&gt;高値!S313,高値!U313&gt;高値!V313,高値!U313&gt;高値!W313),16,""))</f>
        <v/>
      </c>
      <c r="AR313" s="503" t="str">
        <f>IF(終値!A313="","",IF(AND(高値!V313&gt;高値!U313,高値!V313&gt;高値!T313,高値!V313&gt;高値!W313,高値!V313&gt;高値!X313),17,""))</f>
        <v/>
      </c>
      <c r="AS313" s="503" t="str">
        <f>IF(終値!A313="","",IF(AND(高値!W313&gt;高値!V313,高値!W313&gt;高値!U313,高値!W313&gt;高値!X313,高値!W313&gt;高値!Y313),18,""))</f>
        <v/>
      </c>
      <c r="AT313" s="503" t="str">
        <f>IF(終値!A313="","",IF(AND(高値!X313&gt;高値!W313,高値!X313&gt;高値!V313,高値!X313&gt;高値!Y313,高値!X313&gt;高値!Z313),19,""))</f>
        <v/>
      </c>
      <c r="AU313" s="503" t="str">
        <f>IF(終値!A313="","",IF(AND(高値!Y313&gt;高値!X313,高値!Y313&gt;高値!W313,高値!Y313&gt;高値!Z313,高値!Y313&gt;高値!AA313),20,""))</f>
        <v/>
      </c>
      <c r="AV313" s="503" t="str">
        <f>IF(終値!A313="","",IF(AND(高値!Z313&gt;高値!Y313,高値!Z313&gt;高値!X313,高値!Z313&gt;高値!AA313,高値!Z313&gt;高値!AB313),21,""))</f>
        <v/>
      </c>
      <c r="AW313" s="503" t="str">
        <f>IF(終値!A313="","",IF(AND(高値!AA313&gt;高値!Z313,高値!AA313&gt;高値!Y313,高値!AA313&gt;高値!AB313,高値!AA313&gt;高値!AC313),22,""))</f>
        <v/>
      </c>
      <c r="AX313" s="503" t="str">
        <f>IF(終値!A313="","",IF(AND(高値!AB313&gt;高値!AA313,高値!AB313&gt;高値!Z313,高値!AB313&gt;高値!AC313,高値!AB313&gt;高値!AD313),23,""))</f>
        <v/>
      </c>
      <c r="AY313" s="503" t="str">
        <f>IF(終値!A313="","",IF(AND(高値!AC313&gt;高値!AB313,高値!AC313&gt;高値!AA313,高値!AC313&gt;高値!AD313,高値!AC313&gt;高値!AE313),24,""))</f>
        <v/>
      </c>
      <c r="AZ313" s="503" t="str">
        <f>IF(終値!A313="","",IF(AND(高値!AD313&gt;高値!AC313,高値!AD313&gt;高値!AB313,高値!AD313&gt;高値!AE313,高値!AD313&gt;高値!AF313),25,""))</f>
        <v/>
      </c>
      <c r="BA313" s="503" t="str">
        <f>IF(終値!A313="","",IF(AND(高値!AE313&gt;高値!AD313,高値!AE313&gt;高値!AC313,高値!AE313&gt;高値!AF313,高値!AE313&gt;高値!AG313),26,""))</f>
        <v/>
      </c>
      <c r="BB313" s="503" t="str">
        <f>IF(終値!A313="","",IF(AND(高値!AF313&gt;高値!AE313,高値!AF313&gt;高値!AD313,高値!AF313&gt;高値!AG313,高値!AF313&gt;高値!AH313),27,""))</f>
        <v/>
      </c>
      <c r="BC313" s="503" t="str">
        <f>IF(終値!A313="","",IF(AND(高値!AG313&gt;高値!AF313,高値!AG313&gt;高値!AE313,高値!AG313&gt;高値!AH313,高値!AG313&gt;高値!AI313),28,""))</f>
        <v/>
      </c>
      <c r="BD313" s="503">
        <f t="shared" si="24"/>
        <v>0</v>
      </c>
      <c r="BE313" s="503" t="str">
        <f t="shared" si="25"/>
        <v/>
      </c>
      <c r="BF313" s="503" t="str">
        <f t="shared" si="26"/>
        <v/>
      </c>
      <c r="BG313" s="503" t="str">
        <f>IF($BE313="","",INDEX(安値!$E313:$CZ313,1,$BE313+1))</f>
        <v/>
      </c>
      <c r="BH313" s="503" t="str">
        <f>IF($BF313="","",INDEX(安値!$E313:$CZ313,1,$BF313+1))</f>
        <v/>
      </c>
      <c r="BI313" s="503" t="str">
        <f>IF($BF313="","",MAX(INDEX(高値!$E313:$CZ313,1,$BE313+1):INDEX(高値!$E313:$CZ313,1,$BF313+1)))</f>
        <v/>
      </c>
      <c r="BJ313" s="503" t="str">
        <f>IF($BF313="","",AVERAGE(INDEX(終値!$E313:$CZ313,1,$BF313+1):INDEX(終値!$E313:$CZ313,1,$BF313+20))-2*STDEVP(INDEX(終値!$E313:$CZ313,1,$BF313+1):INDEX(終値!$E313:$CZ313,1,$BF313+20)))</f>
        <v/>
      </c>
      <c r="BK313" s="503" t="str">
        <f>IF($BE313="","",AVERAGE(INDEX(終値!$E313:$CZ313,1,$BE313+1):INDEX(終値!$E313:$CZ313,1,$BE313+20))-2*STDEVP(INDEX(終値!$E313:$CZ313,1,$BE313+1):INDEX(終値!$E313:$CZ313,1,$BE313+20)))</f>
        <v/>
      </c>
      <c r="BL313" s="503">
        <f t="shared" si="27"/>
        <v>0</v>
      </c>
      <c r="BM313" s="503" t="str">
        <f t="shared" si="28"/>
        <v/>
      </c>
      <c r="BN313" s="503" t="str">
        <f t="shared" si="29"/>
        <v/>
      </c>
      <c r="BO313" s="503" t="str">
        <f>IF($BM313="","",INDEX(高値!$E313:$CZ313,1,$BM313+1))</f>
        <v/>
      </c>
      <c r="BP313" s="503" t="str">
        <f>IF($BN313="","",INDEX(高値!$E313:$CZ313,1,$BN313+1))</f>
        <v/>
      </c>
      <c r="BQ313" s="503" t="str">
        <f>IF($BN313="","",MIN(INDEX(安値!$E313:$CZ313,1,$BM313+1):INDEX(安値!$E313:$CZ313,1,$BN313+1)))</f>
        <v/>
      </c>
      <c r="BR313" s="503" t="str">
        <f>IF($BN313="","",AVERAGE(INDEX(終値!$E313:$CZ313,1,$BN313+1):INDEX(終値!$E313:$CZ313,1,$BN313+20))+2*STDEVP(INDEX(終値!$E313:$CZ313,1,$BN313+1):INDEX(終値!$E313:$CZ313,1,$BN313+20)))</f>
        <v/>
      </c>
      <c r="BS313" s="503" t="str">
        <f>IF($BM313="","",AVERAGE(INDEX(終値!$E313:$CZ313,1,$BM313+1):INDEX(終値!$E313:$CZ313,1,$BM313+20))+2*STDEVP(INDEX(終値!$E313:$CZ313,1,$BM313+1):INDEX(終値!$E313:$CZ313,1,$BM313+20)))</f>
        <v/>
      </c>
      <c r="BT313" s="500"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3" t="str">
        <f>IF(終値!A314="","",IF(AND(安値!G314&lt;安値!F314,安値!G314&lt;安値!E314,安値!G314&lt;安値!H314,安値!G314&lt;安値!I314),2,""))</f>
        <v/>
      </c>
      <c r="C314" s="503" t="str">
        <f>IF(終値!A314="","",IF(AND(安値!H314&lt;安値!G314,安値!H314&lt;安値!F314,安値!H314&lt;安値!I314,安値!H314&lt;安値!J314),3,""))</f>
        <v/>
      </c>
      <c r="D314" s="503" t="str">
        <f>IF(終値!A314="","",IF(AND(安値!I314&lt;安値!H314,安値!I314&lt;安値!G314,安値!I314&lt;安値!J314,安値!I314&lt;安値!K314),4,""))</f>
        <v/>
      </c>
      <c r="E314" s="503" t="str">
        <f>IF(終値!A314="","",IF(AND(安値!J314&lt;安値!I314,安値!J314&lt;安値!H314,安値!J314&lt;安値!K314,安値!J314&lt;安値!L314),5,""))</f>
        <v/>
      </c>
      <c r="F314" s="503" t="str">
        <f>IF(終値!A314="","",IF(AND(安値!K314&lt;安値!J314,安値!K314&lt;安値!I314,安値!K314&lt;安値!L314,安値!K314&lt;安値!M314),6,""))</f>
        <v/>
      </c>
      <c r="G314" s="503" t="str">
        <f>IF(終値!A314="","",IF(AND(安値!L314&lt;安値!K314,安値!L314&lt;安値!J314,安値!L314&lt;安値!M314,安値!L314&lt;安値!N314),7,""))</f>
        <v/>
      </c>
      <c r="H314" s="503" t="str">
        <f>IF(終値!A314="","",IF(AND(安値!M314&lt;安値!L314,安値!M314&lt;安値!K314,安値!M314&lt;安値!N314,安値!M314&lt;安値!O314),8,""))</f>
        <v/>
      </c>
      <c r="I314" s="503" t="str">
        <f>IF(終値!A314="","",IF(AND(安値!N314&lt;安値!M314,安値!N314&lt;安値!L314,安値!N314&lt;安値!O314,安値!N314&lt;安値!P314),9,""))</f>
        <v/>
      </c>
      <c r="J314" s="503" t="str">
        <f>IF(終値!A314="","",IF(AND(安値!O314&lt;安値!N314,安値!O314&lt;安値!M314,安値!O314&lt;安値!P314,安値!O314&lt;安値!Q314),10,""))</f>
        <v/>
      </c>
      <c r="K314" s="503" t="str">
        <f>IF(終値!A314="","",IF(AND(安値!P314&lt;安値!O314,安値!P314&lt;安値!N314,安値!P314&lt;安値!Q314,安値!P314&lt;安値!R314),11,""))</f>
        <v/>
      </c>
      <c r="L314" s="503" t="str">
        <f>IF(終値!A314="","",IF(AND(安値!Q314&lt;安値!P314,安値!Q314&lt;安値!O314,安値!Q314&lt;安値!R314,安値!Q314&lt;安値!S314),12,""))</f>
        <v/>
      </c>
      <c r="M314" s="503" t="str">
        <f>IF(終値!A314="","",IF(AND(安値!R314&lt;安値!Q314,安値!R314&lt;安値!P314,安値!R314&lt;安値!S314,安値!R314&lt;安値!T314),13,""))</f>
        <v/>
      </c>
      <c r="N314" s="503" t="str">
        <f>IF(終値!A314="","",IF(AND(安値!S314&lt;安値!R314,安値!S314&lt;安値!Q314,安値!S314&lt;安値!T314,安値!S314&lt;安値!U314),14,""))</f>
        <v/>
      </c>
      <c r="O314" s="503" t="str">
        <f>IF(終値!A314="","",IF(AND(安値!T314&lt;安値!S314,安値!T314&lt;安値!R314,安値!T314&lt;安値!U314,安値!T314&lt;安値!V314),15,""))</f>
        <v/>
      </c>
      <c r="P314" s="503" t="str">
        <f>IF(終値!A314="","",IF(AND(安値!U314&lt;安値!T314,安値!U314&lt;安値!S314,安値!U314&lt;安値!V314,安値!U314&lt;安値!W314),16,""))</f>
        <v/>
      </c>
      <c r="Q314" s="503" t="str">
        <f>IF(終値!A314="","",IF(AND(安値!V314&lt;安値!U314,安値!V314&lt;安値!T314,安値!V314&lt;安値!W314,安値!V314&lt;安値!X314),17,""))</f>
        <v/>
      </c>
      <c r="R314" s="503" t="str">
        <f>IF(終値!A314="","",IF(AND(安値!W314&lt;安値!V314,安値!W314&lt;安値!U314,安値!W314&lt;安値!X314,安値!W314&lt;安値!Y314),18,""))</f>
        <v/>
      </c>
      <c r="S314" s="503" t="str">
        <f>IF(終値!A314="","",IF(AND(安値!X314&lt;安値!W314,安値!X314&lt;安値!V314,安値!X314&lt;安値!Y314,安値!X314&lt;安値!Z314),19,""))</f>
        <v/>
      </c>
      <c r="T314" s="503" t="str">
        <f>IF(終値!A314="","",IF(AND(安値!Y314&lt;安値!X314,安値!Y314&lt;安値!W314,安値!Y314&lt;安値!Z314,安値!Y314&lt;安値!AA314),20,""))</f>
        <v/>
      </c>
      <c r="U314" s="503" t="str">
        <f>IF(終値!A314="","",IF(AND(安値!Z314&lt;安値!Y314,安値!Z314&lt;安値!X314,安値!Z314&lt;安値!AA314,安値!Z314&lt;安値!AB314),21,""))</f>
        <v/>
      </c>
      <c r="V314" s="503" t="str">
        <f>IF(終値!A314="","",IF(AND(安値!AA314&lt;安値!Z314,安値!AA314&lt;安値!Y314,安値!AA314&lt;安値!AB314,安値!AA314&lt;安値!AC314),22,""))</f>
        <v/>
      </c>
      <c r="W314" s="503" t="str">
        <f>IF(終値!A314="","",IF(AND(安値!AB314&lt;安値!AA314,安値!AB314&lt;安値!Z314,安値!AB314&lt;安値!AC314,安値!AB314&lt;安値!AD314),23,""))</f>
        <v/>
      </c>
      <c r="X314" s="503" t="str">
        <f>IF(終値!A314="","",IF(AND(安値!AC314&lt;安値!AB314,安値!AC314&lt;安値!AA314,安値!AC314&lt;安値!AD314,安値!AC314&lt;安値!AE314),24,""))</f>
        <v/>
      </c>
      <c r="Y314" s="503" t="str">
        <f>IF(終値!A314="","",IF(AND(安値!AD314&lt;安値!AC314,安値!AD314&lt;安値!AB314,安値!AD314&lt;安値!AE314,安値!AD314&lt;安値!AF314),25,""))</f>
        <v/>
      </c>
      <c r="Z314" s="503" t="str">
        <f>IF(終値!A314="","",IF(AND(安値!AE314&lt;安値!AD314,安値!AE314&lt;安値!AC314,安値!AE314&lt;安値!AF314,安値!AE314&lt;安値!AG314),26,""))</f>
        <v/>
      </c>
      <c r="AA314" s="503" t="str">
        <f>IF(終値!A314="","",IF(AND(安値!AF314&lt;安値!AE314,安値!AF314&lt;安値!AD314,安値!AF314&lt;安値!AG314,安値!AF314&lt;安値!AH314),27,""))</f>
        <v/>
      </c>
      <c r="AB314" s="503" t="str">
        <f>IF(終値!A314="","",IF(AND(安値!AG314&lt;安値!AF314,安値!AG314&lt;安値!AE314,安値!AG314&lt;安値!AH314,安値!AG314&lt;安値!AI314),28,""))</f>
        <v/>
      </c>
      <c r="AC314" s="503" t="str">
        <f>IF(終値!A314="","",IF(AND(高値!G314&gt;高値!F314,高値!G314&gt;高値!E314,高値!G314&gt;高値!H314,高値!G314&gt;高値!I314),2,""))</f>
        <v/>
      </c>
      <c r="AD314" s="503" t="str">
        <f>IF(終値!A314="","",IF(AND(高値!H314&gt;高値!G314,高値!H314&gt;高値!F314,高値!H314&gt;高値!I314,高値!H314&gt;高値!J314),3,""))</f>
        <v/>
      </c>
      <c r="AE314" s="503" t="str">
        <f>IF(終値!A314="","",IF(AND(高値!I314&gt;高値!H314,高値!I314&gt;高値!G314,高値!I314&gt;高値!J314,高値!I314&gt;高値!K314),4,""))</f>
        <v/>
      </c>
      <c r="AF314" s="503" t="str">
        <f>IF(終値!A314="","",IF(AND(高値!J314&gt;高値!I314,高値!J314&gt;高値!H314,高値!J314&gt;高値!K314,高値!J314&gt;高値!L314),5,""))</f>
        <v/>
      </c>
      <c r="AG314" s="503" t="str">
        <f>IF(終値!A314="","",IF(AND(高値!K314&gt;高値!J314,高値!K314&gt;高値!I314,高値!K314&gt;高値!L314,高値!K314&gt;高値!M314),6,""))</f>
        <v/>
      </c>
      <c r="AH314" s="503" t="str">
        <f>IF(終値!A314="","",IF(AND(高値!L314&gt;高値!K314,高値!L314&gt;高値!J314,高値!L314&gt;高値!M314,高値!L314&gt;高値!N314),7,""))</f>
        <v/>
      </c>
      <c r="AI314" s="503" t="str">
        <f>IF(終値!A314="","",IF(AND(高値!M314&gt;高値!L314,高値!M314&gt;高値!K314,高値!M314&gt;高値!N314,高値!M314&gt;高値!O314),8,""))</f>
        <v/>
      </c>
      <c r="AJ314" s="503" t="str">
        <f>IF(終値!A314="","",IF(AND(高値!N314&gt;高値!M314,高値!N314&gt;高値!L314,高値!N314&gt;高値!O314,高値!N314&gt;高値!P314),9,""))</f>
        <v/>
      </c>
      <c r="AK314" s="503" t="str">
        <f>IF(終値!A314="","",IF(AND(高値!O314&gt;高値!N314,高値!O314&gt;高値!M314,高値!O314&gt;高値!P314,高値!O314&gt;高値!Q314),10,""))</f>
        <v/>
      </c>
      <c r="AL314" s="503" t="str">
        <f>IF(終値!A314="","",IF(AND(高値!P314&gt;高値!O314,高値!P314&gt;高値!N314,高値!P314&gt;高値!Q314,高値!P314&gt;高値!R314),11,""))</f>
        <v/>
      </c>
      <c r="AM314" s="503" t="str">
        <f>IF(終値!A314="","",IF(AND(高値!Q314&gt;高値!P314,高値!Q314&gt;高値!O314,高値!Q314&gt;高値!R314,高値!Q314&gt;高値!S314),12,""))</f>
        <v/>
      </c>
      <c r="AN314" s="503" t="str">
        <f>IF(終値!A314="","",IF(AND(高値!R314&gt;高値!Q314,高値!R314&gt;高値!P314,高値!R314&gt;高値!S314,高値!R314&gt;高値!T314),13,""))</f>
        <v/>
      </c>
      <c r="AO314" s="503" t="str">
        <f>IF(終値!A314="","",IF(AND(高値!S314&gt;高値!R314,高値!S314&gt;高値!Q314,高値!S314&gt;高値!T314,高値!S314&gt;高値!U314),14,""))</f>
        <v/>
      </c>
      <c r="AP314" s="503" t="str">
        <f>IF(終値!A314="","",IF(AND(高値!T314&gt;高値!S314,高値!T314&gt;高値!R314,高値!T314&gt;高値!U314,高値!T314&gt;高値!V314),15,""))</f>
        <v/>
      </c>
      <c r="AQ314" s="503" t="str">
        <f>IF(終値!A314="","",IF(AND(高値!U314&gt;高値!T314,高値!U314&gt;高値!S314,高値!U314&gt;高値!V314,高値!U314&gt;高値!W314),16,""))</f>
        <v/>
      </c>
      <c r="AR314" s="503" t="str">
        <f>IF(終値!A314="","",IF(AND(高値!V314&gt;高値!U314,高値!V314&gt;高値!T314,高値!V314&gt;高値!W314,高値!V314&gt;高値!X314),17,""))</f>
        <v/>
      </c>
      <c r="AS314" s="503" t="str">
        <f>IF(終値!A314="","",IF(AND(高値!W314&gt;高値!V314,高値!W314&gt;高値!U314,高値!W314&gt;高値!X314,高値!W314&gt;高値!Y314),18,""))</f>
        <v/>
      </c>
      <c r="AT314" s="503" t="str">
        <f>IF(終値!A314="","",IF(AND(高値!X314&gt;高値!W314,高値!X314&gt;高値!V314,高値!X314&gt;高値!Y314,高値!X314&gt;高値!Z314),19,""))</f>
        <v/>
      </c>
      <c r="AU314" s="503" t="str">
        <f>IF(終値!A314="","",IF(AND(高値!Y314&gt;高値!X314,高値!Y314&gt;高値!W314,高値!Y314&gt;高値!Z314,高値!Y314&gt;高値!AA314),20,""))</f>
        <v/>
      </c>
      <c r="AV314" s="503" t="str">
        <f>IF(終値!A314="","",IF(AND(高値!Z314&gt;高値!Y314,高値!Z314&gt;高値!X314,高値!Z314&gt;高値!AA314,高値!Z314&gt;高値!AB314),21,""))</f>
        <v/>
      </c>
      <c r="AW314" s="503" t="str">
        <f>IF(終値!A314="","",IF(AND(高値!AA314&gt;高値!Z314,高値!AA314&gt;高値!Y314,高値!AA314&gt;高値!AB314,高値!AA314&gt;高値!AC314),22,""))</f>
        <v/>
      </c>
      <c r="AX314" s="503" t="str">
        <f>IF(終値!A314="","",IF(AND(高値!AB314&gt;高値!AA314,高値!AB314&gt;高値!Z314,高値!AB314&gt;高値!AC314,高値!AB314&gt;高値!AD314),23,""))</f>
        <v/>
      </c>
      <c r="AY314" s="503" t="str">
        <f>IF(終値!A314="","",IF(AND(高値!AC314&gt;高値!AB314,高値!AC314&gt;高値!AA314,高値!AC314&gt;高値!AD314,高値!AC314&gt;高値!AE314),24,""))</f>
        <v/>
      </c>
      <c r="AZ314" s="503" t="str">
        <f>IF(終値!A314="","",IF(AND(高値!AD314&gt;高値!AC314,高値!AD314&gt;高値!AB314,高値!AD314&gt;高値!AE314,高値!AD314&gt;高値!AF314),25,""))</f>
        <v/>
      </c>
      <c r="BA314" s="503" t="str">
        <f>IF(終値!A314="","",IF(AND(高値!AE314&gt;高値!AD314,高値!AE314&gt;高値!AC314,高値!AE314&gt;高値!AF314,高値!AE314&gt;高値!AG314),26,""))</f>
        <v/>
      </c>
      <c r="BB314" s="503" t="str">
        <f>IF(終値!A314="","",IF(AND(高値!AF314&gt;高値!AE314,高値!AF314&gt;高値!AD314,高値!AF314&gt;高値!AG314,高値!AF314&gt;高値!AH314),27,""))</f>
        <v/>
      </c>
      <c r="BC314" s="503" t="str">
        <f>IF(終値!A314="","",IF(AND(高値!AG314&gt;高値!AF314,高値!AG314&gt;高値!AE314,高値!AG314&gt;高値!AH314,高値!AG314&gt;高値!AI314),28,""))</f>
        <v/>
      </c>
      <c r="BD314" s="503">
        <f t="shared" si="24"/>
        <v>0</v>
      </c>
      <c r="BE314" s="503" t="str">
        <f t="shared" si="25"/>
        <v/>
      </c>
      <c r="BF314" s="503" t="str">
        <f t="shared" si="26"/>
        <v/>
      </c>
      <c r="BG314" s="503" t="str">
        <f>IF($BE314="","",INDEX(安値!$E314:$CZ314,1,$BE314+1))</f>
        <v/>
      </c>
      <c r="BH314" s="503" t="str">
        <f>IF($BF314="","",INDEX(安値!$E314:$CZ314,1,$BF314+1))</f>
        <v/>
      </c>
      <c r="BI314" s="503" t="str">
        <f>IF($BF314="","",MAX(INDEX(高値!$E314:$CZ314,1,$BE314+1):INDEX(高値!$E314:$CZ314,1,$BF314+1)))</f>
        <v/>
      </c>
      <c r="BJ314" s="503" t="str">
        <f>IF($BF314="","",AVERAGE(INDEX(終値!$E314:$CZ314,1,$BF314+1):INDEX(終値!$E314:$CZ314,1,$BF314+20))-2*STDEVP(INDEX(終値!$E314:$CZ314,1,$BF314+1):INDEX(終値!$E314:$CZ314,1,$BF314+20)))</f>
        <v/>
      </c>
      <c r="BK314" s="503" t="str">
        <f>IF($BE314="","",AVERAGE(INDEX(終値!$E314:$CZ314,1,$BE314+1):INDEX(終値!$E314:$CZ314,1,$BE314+20))-2*STDEVP(INDEX(終値!$E314:$CZ314,1,$BE314+1):INDEX(終値!$E314:$CZ314,1,$BE314+20)))</f>
        <v/>
      </c>
      <c r="BL314" s="503">
        <f t="shared" si="27"/>
        <v>0</v>
      </c>
      <c r="BM314" s="503" t="str">
        <f t="shared" si="28"/>
        <v/>
      </c>
      <c r="BN314" s="503" t="str">
        <f t="shared" si="29"/>
        <v/>
      </c>
      <c r="BO314" s="503" t="str">
        <f>IF($BM314="","",INDEX(高値!$E314:$CZ314,1,$BM314+1))</f>
        <v/>
      </c>
      <c r="BP314" s="503" t="str">
        <f>IF($BN314="","",INDEX(高値!$E314:$CZ314,1,$BN314+1))</f>
        <v/>
      </c>
      <c r="BQ314" s="503" t="str">
        <f>IF($BN314="","",MIN(INDEX(安値!$E314:$CZ314,1,$BM314+1):INDEX(安値!$E314:$CZ314,1,$BN314+1)))</f>
        <v/>
      </c>
      <c r="BR314" s="503" t="str">
        <f>IF($BN314="","",AVERAGE(INDEX(終値!$E314:$CZ314,1,$BN314+1):INDEX(終値!$E314:$CZ314,1,$BN314+20))+2*STDEVP(INDEX(終値!$E314:$CZ314,1,$BN314+1):INDEX(終値!$E314:$CZ314,1,$BN314+20)))</f>
        <v/>
      </c>
      <c r="BS314" s="503" t="str">
        <f>IF($BM314="","",AVERAGE(INDEX(終値!$E314:$CZ314,1,$BM314+1):INDEX(終値!$E314:$CZ314,1,$BM314+20))+2*STDEVP(INDEX(終値!$E314:$CZ314,1,$BM314+1):INDEX(終値!$E314:$CZ314,1,$BM314+20)))</f>
        <v/>
      </c>
      <c r="BT314" s="500"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3" t="str">
        <f>IF(終値!A315="","",IF(AND(安値!G315&lt;安値!F315,安値!G315&lt;安値!E315,安値!G315&lt;安値!H315,安値!G315&lt;安値!I315),2,""))</f>
        <v/>
      </c>
      <c r="C315" s="503" t="str">
        <f>IF(終値!A315="","",IF(AND(安値!H315&lt;安値!G315,安値!H315&lt;安値!F315,安値!H315&lt;安値!I315,安値!H315&lt;安値!J315),3,""))</f>
        <v/>
      </c>
      <c r="D315" s="503" t="str">
        <f>IF(終値!A315="","",IF(AND(安値!I315&lt;安値!H315,安値!I315&lt;安値!G315,安値!I315&lt;安値!J315,安値!I315&lt;安値!K315),4,""))</f>
        <v/>
      </c>
      <c r="E315" s="503" t="str">
        <f>IF(終値!A315="","",IF(AND(安値!J315&lt;安値!I315,安値!J315&lt;安値!H315,安値!J315&lt;安値!K315,安値!J315&lt;安値!L315),5,""))</f>
        <v/>
      </c>
      <c r="F315" s="503" t="str">
        <f>IF(終値!A315="","",IF(AND(安値!K315&lt;安値!J315,安値!K315&lt;安値!I315,安値!K315&lt;安値!L315,安値!K315&lt;安値!M315),6,""))</f>
        <v/>
      </c>
      <c r="G315" s="503" t="str">
        <f>IF(終値!A315="","",IF(AND(安値!L315&lt;安値!K315,安値!L315&lt;安値!J315,安値!L315&lt;安値!M315,安値!L315&lt;安値!N315),7,""))</f>
        <v/>
      </c>
      <c r="H315" s="503" t="str">
        <f>IF(終値!A315="","",IF(AND(安値!M315&lt;安値!L315,安値!M315&lt;安値!K315,安値!M315&lt;安値!N315,安値!M315&lt;安値!O315),8,""))</f>
        <v/>
      </c>
      <c r="I315" s="503" t="str">
        <f>IF(終値!A315="","",IF(AND(安値!N315&lt;安値!M315,安値!N315&lt;安値!L315,安値!N315&lt;安値!O315,安値!N315&lt;安値!P315),9,""))</f>
        <v/>
      </c>
      <c r="J315" s="503" t="str">
        <f>IF(終値!A315="","",IF(AND(安値!O315&lt;安値!N315,安値!O315&lt;安値!M315,安値!O315&lt;安値!P315,安値!O315&lt;安値!Q315),10,""))</f>
        <v/>
      </c>
      <c r="K315" s="503" t="str">
        <f>IF(終値!A315="","",IF(AND(安値!P315&lt;安値!O315,安値!P315&lt;安値!N315,安値!P315&lt;安値!Q315,安値!P315&lt;安値!R315),11,""))</f>
        <v/>
      </c>
      <c r="L315" s="503" t="str">
        <f>IF(終値!A315="","",IF(AND(安値!Q315&lt;安値!P315,安値!Q315&lt;安値!O315,安値!Q315&lt;安値!R315,安値!Q315&lt;安値!S315),12,""))</f>
        <v/>
      </c>
      <c r="M315" s="503" t="str">
        <f>IF(終値!A315="","",IF(AND(安値!R315&lt;安値!Q315,安値!R315&lt;安値!P315,安値!R315&lt;安値!S315,安値!R315&lt;安値!T315),13,""))</f>
        <v/>
      </c>
      <c r="N315" s="503" t="str">
        <f>IF(終値!A315="","",IF(AND(安値!S315&lt;安値!R315,安値!S315&lt;安値!Q315,安値!S315&lt;安値!T315,安値!S315&lt;安値!U315),14,""))</f>
        <v/>
      </c>
      <c r="O315" s="503" t="str">
        <f>IF(終値!A315="","",IF(AND(安値!T315&lt;安値!S315,安値!T315&lt;安値!R315,安値!T315&lt;安値!U315,安値!T315&lt;安値!V315),15,""))</f>
        <v/>
      </c>
      <c r="P315" s="503" t="str">
        <f>IF(終値!A315="","",IF(AND(安値!U315&lt;安値!T315,安値!U315&lt;安値!S315,安値!U315&lt;安値!V315,安値!U315&lt;安値!W315),16,""))</f>
        <v/>
      </c>
      <c r="Q315" s="503" t="str">
        <f>IF(終値!A315="","",IF(AND(安値!V315&lt;安値!U315,安値!V315&lt;安値!T315,安値!V315&lt;安値!W315,安値!V315&lt;安値!X315),17,""))</f>
        <v/>
      </c>
      <c r="R315" s="503" t="str">
        <f>IF(終値!A315="","",IF(AND(安値!W315&lt;安値!V315,安値!W315&lt;安値!U315,安値!W315&lt;安値!X315,安値!W315&lt;安値!Y315),18,""))</f>
        <v/>
      </c>
      <c r="S315" s="503" t="str">
        <f>IF(終値!A315="","",IF(AND(安値!X315&lt;安値!W315,安値!X315&lt;安値!V315,安値!X315&lt;安値!Y315,安値!X315&lt;安値!Z315),19,""))</f>
        <v/>
      </c>
      <c r="T315" s="503" t="str">
        <f>IF(終値!A315="","",IF(AND(安値!Y315&lt;安値!X315,安値!Y315&lt;安値!W315,安値!Y315&lt;安値!Z315,安値!Y315&lt;安値!AA315),20,""))</f>
        <v/>
      </c>
      <c r="U315" s="503" t="str">
        <f>IF(終値!A315="","",IF(AND(安値!Z315&lt;安値!Y315,安値!Z315&lt;安値!X315,安値!Z315&lt;安値!AA315,安値!Z315&lt;安値!AB315),21,""))</f>
        <v/>
      </c>
      <c r="V315" s="503" t="str">
        <f>IF(終値!A315="","",IF(AND(安値!AA315&lt;安値!Z315,安値!AA315&lt;安値!Y315,安値!AA315&lt;安値!AB315,安値!AA315&lt;安値!AC315),22,""))</f>
        <v/>
      </c>
      <c r="W315" s="503" t="str">
        <f>IF(終値!A315="","",IF(AND(安値!AB315&lt;安値!AA315,安値!AB315&lt;安値!Z315,安値!AB315&lt;安値!AC315,安値!AB315&lt;安値!AD315),23,""))</f>
        <v/>
      </c>
      <c r="X315" s="503" t="str">
        <f>IF(終値!A315="","",IF(AND(安値!AC315&lt;安値!AB315,安値!AC315&lt;安値!AA315,安値!AC315&lt;安値!AD315,安値!AC315&lt;安値!AE315),24,""))</f>
        <v/>
      </c>
      <c r="Y315" s="503" t="str">
        <f>IF(終値!A315="","",IF(AND(安値!AD315&lt;安値!AC315,安値!AD315&lt;安値!AB315,安値!AD315&lt;安値!AE315,安値!AD315&lt;安値!AF315),25,""))</f>
        <v/>
      </c>
      <c r="Z315" s="503" t="str">
        <f>IF(終値!A315="","",IF(AND(安値!AE315&lt;安値!AD315,安値!AE315&lt;安値!AC315,安値!AE315&lt;安値!AF315,安値!AE315&lt;安値!AG315),26,""))</f>
        <v/>
      </c>
      <c r="AA315" s="503" t="str">
        <f>IF(終値!A315="","",IF(AND(安値!AF315&lt;安値!AE315,安値!AF315&lt;安値!AD315,安値!AF315&lt;安値!AG315,安値!AF315&lt;安値!AH315),27,""))</f>
        <v/>
      </c>
      <c r="AB315" s="503" t="str">
        <f>IF(終値!A315="","",IF(AND(安値!AG315&lt;安値!AF315,安値!AG315&lt;安値!AE315,安値!AG315&lt;安値!AH315,安値!AG315&lt;安値!AI315),28,""))</f>
        <v/>
      </c>
      <c r="AC315" s="503" t="str">
        <f>IF(終値!A315="","",IF(AND(高値!G315&gt;高値!F315,高値!G315&gt;高値!E315,高値!G315&gt;高値!H315,高値!G315&gt;高値!I315),2,""))</f>
        <v/>
      </c>
      <c r="AD315" s="503" t="str">
        <f>IF(終値!A315="","",IF(AND(高値!H315&gt;高値!G315,高値!H315&gt;高値!F315,高値!H315&gt;高値!I315,高値!H315&gt;高値!J315),3,""))</f>
        <v/>
      </c>
      <c r="AE315" s="503" t="str">
        <f>IF(終値!A315="","",IF(AND(高値!I315&gt;高値!H315,高値!I315&gt;高値!G315,高値!I315&gt;高値!J315,高値!I315&gt;高値!K315),4,""))</f>
        <v/>
      </c>
      <c r="AF315" s="503" t="str">
        <f>IF(終値!A315="","",IF(AND(高値!J315&gt;高値!I315,高値!J315&gt;高値!H315,高値!J315&gt;高値!K315,高値!J315&gt;高値!L315),5,""))</f>
        <v/>
      </c>
      <c r="AG315" s="503" t="str">
        <f>IF(終値!A315="","",IF(AND(高値!K315&gt;高値!J315,高値!K315&gt;高値!I315,高値!K315&gt;高値!L315,高値!K315&gt;高値!M315),6,""))</f>
        <v/>
      </c>
      <c r="AH315" s="503" t="str">
        <f>IF(終値!A315="","",IF(AND(高値!L315&gt;高値!K315,高値!L315&gt;高値!J315,高値!L315&gt;高値!M315,高値!L315&gt;高値!N315),7,""))</f>
        <v/>
      </c>
      <c r="AI315" s="503" t="str">
        <f>IF(終値!A315="","",IF(AND(高値!M315&gt;高値!L315,高値!M315&gt;高値!K315,高値!M315&gt;高値!N315,高値!M315&gt;高値!O315),8,""))</f>
        <v/>
      </c>
      <c r="AJ315" s="503" t="str">
        <f>IF(終値!A315="","",IF(AND(高値!N315&gt;高値!M315,高値!N315&gt;高値!L315,高値!N315&gt;高値!O315,高値!N315&gt;高値!P315),9,""))</f>
        <v/>
      </c>
      <c r="AK315" s="503" t="str">
        <f>IF(終値!A315="","",IF(AND(高値!O315&gt;高値!N315,高値!O315&gt;高値!M315,高値!O315&gt;高値!P315,高値!O315&gt;高値!Q315),10,""))</f>
        <v/>
      </c>
      <c r="AL315" s="503" t="str">
        <f>IF(終値!A315="","",IF(AND(高値!P315&gt;高値!O315,高値!P315&gt;高値!N315,高値!P315&gt;高値!Q315,高値!P315&gt;高値!R315),11,""))</f>
        <v/>
      </c>
      <c r="AM315" s="503" t="str">
        <f>IF(終値!A315="","",IF(AND(高値!Q315&gt;高値!P315,高値!Q315&gt;高値!O315,高値!Q315&gt;高値!R315,高値!Q315&gt;高値!S315),12,""))</f>
        <v/>
      </c>
      <c r="AN315" s="503" t="str">
        <f>IF(終値!A315="","",IF(AND(高値!R315&gt;高値!Q315,高値!R315&gt;高値!P315,高値!R315&gt;高値!S315,高値!R315&gt;高値!T315),13,""))</f>
        <v/>
      </c>
      <c r="AO315" s="503" t="str">
        <f>IF(終値!A315="","",IF(AND(高値!S315&gt;高値!R315,高値!S315&gt;高値!Q315,高値!S315&gt;高値!T315,高値!S315&gt;高値!U315),14,""))</f>
        <v/>
      </c>
      <c r="AP315" s="503" t="str">
        <f>IF(終値!A315="","",IF(AND(高値!T315&gt;高値!S315,高値!T315&gt;高値!R315,高値!T315&gt;高値!U315,高値!T315&gt;高値!V315),15,""))</f>
        <v/>
      </c>
      <c r="AQ315" s="503" t="str">
        <f>IF(終値!A315="","",IF(AND(高値!U315&gt;高値!T315,高値!U315&gt;高値!S315,高値!U315&gt;高値!V315,高値!U315&gt;高値!W315),16,""))</f>
        <v/>
      </c>
      <c r="AR315" s="503" t="str">
        <f>IF(終値!A315="","",IF(AND(高値!V315&gt;高値!U315,高値!V315&gt;高値!T315,高値!V315&gt;高値!W315,高値!V315&gt;高値!X315),17,""))</f>
        <v/>
      </c>
      <c r="AS315" s="503" t="str">
        <f>IF(終値!A315="","",IF(AND(高値!W315&gt;高値!V315,高値!W315&gt;高値!U315,高値!W315&gt;高値!X315,高値!W315&gt;高値!Y315),18,""))</f>
        <v/>
      </c>
      <c r="AT315" s="503" t="str">
        <f>IF(終値!A315="","",IF(AND(高値!X315&gt;高値!W315,高値!X315&gt;高値!V315,高値!X315&gt;高値!Y315,高値!X315&gt;高値!Z315),19,""))</f>
        <v/>
      </c>
      <c r="AU315" s="503" t="str">
        <f>IF(終値!A315="","",IF(AND(高値!Y315&gt;高値!X315,高値!Y315&gt;高値!W315,高値!Y315&gt;高値!Z315,高値!Y315&gt;高値!AA315),20,""))</f>
        <v/>
      </c>
      <c r="AV315" s="503" t="str">
        <f>IF(終値!A315="","",IF(AND(高値!Z315&gt;高値!Y315,高値!Z315&gt;高値!X315,高値!Z315&gt;高値!AA315,高値!Z315&gt;高値!AB315),21,""))</f>
        <v/>
      </c>
      <c r="AW315" s="503" t="str">
        <f>IF(終値!A315="","",IF(AND(高値!AA315&gt;高値!Z315,高値!AA315&gt;高値!Y315,高値!AA315&gt;高値!AB315,高値!AA315&gt;高値!AC315),22,""))</f>
        <v/>
      </c>
      <c r="AX315" s="503" t="str">
        <f>IF(終値!A315="","",IF(AND(高値!AB315&gt;高値!AA315,高値!AB315&gt;高値!Z315,高値!AB315&gt;高値!AC315,高値!AB315&gt;高値!AD315),23,""))</f>
        <v/>
      </c>
      <c r="AY315" s="503" t="str">
        <f>IF(終値!A315="","",IF(AND(高値!AC315&gt;高値!AB315,高値!AC315&gt;高値!AA315,高値!AC315&gt;高値!AD315,高値!AC315&gt;高値!AE315),24,""))</f>
        <v/>
      </c>
      <c r="AZ315" s="503" t="str">
        <f>IF(終値!A315="","",IF(AND(高値!AD315&gt;高値!AC315,高値!AD315&gt;高値!AB315,高値!AD315&gt;高値!AE315,高値!AD315&gt;高値!AF315),25,""))</f>
        <v/>
      </c>
      <c r="BA315" s="503" t="str">
        <f>IF(終値!A315="","",IF(AND(高値!AE315&gt;高値!AD315,高値!AE315&gt;高値!AC315,高値!AE315&gt;高値!AF315,高値!AE315&gt;高値!AG315),26,""))</f>
        <v/>
      </c>
      <c r="BB315" s="503" t="str">
        <f>IF(終値!A315="","",IF(AND(高値!AF315&gt;高値!AE315,高値!AF315&gt;高値!AD315,高値!AF315&gt;高値!AG315,高値!AF315&gt;高値!AH315),27,""))</f>
        <v/>
      </c>
      <c r="BC315" s="503" t="str">
        <f>IF(終値!A315="","",IF(AND(高値!AG315&gt;高値!AF315,高値!AG315&gt;高値!AE315,高値!AG315&gt;高値!AH315,高値!AG315&gt;高値!AI315),28,""))</f>
        <v/>
      </c>
      <c r="BD315" s="503">
        <f t="shared" si="24"/>
        <v>0</v>
      </c>
      <c r="BE315" s="503" t="str">
        <f t="shared" si="25"/>
        <v/>
      </c>
      <c r="BF315" s="503" t="str">
        <f t="shared" si="26"/>
        <v/>
      </c>
      <c r="BG315" s="503" t="str">
        <f>IF($BE315="","",INDEX(安値!$E315:$CZ315,1,$BE315+1))</f>
        <v/>
      </c>
      <c r="BH315" s="503" t="str">
        <f>IF($BF315="","",INDEX(安値!$E315:$CZ315,1,$BF315+1))</f>
        <v/>
      </c>
      <c r="BI315" s="503" t="str">
        <f>IF($BF315="","",MAX(INDEX(高値!$E315:$CZ315,1,$BE315+1):INDEX(高値!$E315:$CZ315,1,$BF315+1)))</f>
        <v/>
      </c>
      <c r="BJ315" s="503" t="str">
        <f>IF($BF315="","",AVERAGE(INDEX(終値!$E315:$CZ315,1,$BF315+1):INDEX(終値!$E315:$CZ315,1,$BF315+20))-2*STDEVP(INDEX(終値!$E315:$CZ315,1,$BF315+1):INDEX(終値!$E315:$CZ315,1,$BF315+20)))</f>
        <v/>
      </c>
      <c r="BK315" s="503" t="str">
        <f>IF($BE315="","",AVERAGE(INDEX(終値!$E315:$CZ315,1,$BE315+1):INDEX(終値!$E315:$CZ315,1,$BE315+20))-2*STDEVP(INDEX(終値!$E315:$CZ315,1,$BE315+1):INDEX(終値!$E315:$CZ315,1,$BE315+20)))</f>
        <v/>
      </c>
      <c r="BL315" s="503">
        <f t="shared" si="27"/>
        <v>0</v>
      </c>
      <c r="BM315" s="503" t="str">
        <f t="shared" si="28"/>
        <v/>
      </c>
      <c r="BN315" s="503" t="str">
        <f t="shared" si="29"/>
        <v/>
      </c>
      <c r="BO315" s="503" t="str">
        <f>IF($BM315="","",INDEX(高値!$E315:$CZ315,1,$BM315+1))</f>
        <v/>
      </c>
      <c r="BP315" s="503" t="str">
        <f>IF($BN315="","",INDEX(高値!$E315:$CZ315,1,$BN315+1))</f>
        <v/>
      </c>
      <c r="BQ315" s="503" t="str">
        <f>IF($BN315="","",MIN(INDEX(安値!$E315:$CZ315,1,$BM315+1):INDEX(安値!$E315:$CZ315,1,$BN315+1)))</f>
        <v/>
      </c>
      <c r="BR315" s="503" t="str">
        <f>IF($BN315="","",AVERAGE(INDEX(終値!$E315:$CZ315,1,$BN315+1):INDEX(終値!$E315:$CZ315,1,$BN315+20))+2*STDEVP(INDEX(終値!$E315:$CZ315,1,$BN315+1):INDEX(終値!$E315:$CZ315,1,$BN315+20)))</f>
        <v/>
      </c>
      <c r="BS315" s="503" t="str">
        <f>IF($BM315="","",AVERAGE(INDEX(終値!$E315:$CZ315,1,$BM315+1):INDEX(終値!$E315:$CZ315,1,$BM315+20))+2*STDEVP(INDEX(終値!$E315:$CZ315,1,$BM315+1):INDEX(終値!$E315:$CZ315,1,$BM315+20)))</f>
        <v/>
      </c>
      <c r="BT315" s="500"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3" t="str">
        <f>IF(終値!A316="","",IF(AND(安値!G316&lt;安値!F316,安値!G316&lt;安値!E316,安値!G316&lt;安値!H316,安値!G316&lt;安値!I316),2,""))</f>
        <v/>
      </c>
      <c r="C316" s="503" t="str">
        <f>IF(終値!A316="","",IF(AND(安値!H316&lt;安値!G316,安値!H316&lt;安値!F316,安値!H316&lt;安値!I316,安値!H316&lt;安値!J316),3,""))</f>
        <v/>
      </c>
      <c r="D316" s="503" t="str">
        <f>IF(終値!A316="","",IF(AND(安値!I316&lt;安値!H316,安値!I316&lt;安値!G316,安値!I316&lt;安値!J316,安値!I316&lt;安値!K316),4,""))</f>
        <v/>
      </c>
      <c r="E316" s="503" t="str">
        <f>IF(終値!A316="","",IF(AND(安値!J316&lt;安値!I316,安値!J316&lt;安値!H316,安値!J316&lt;安値!K316,安値!J316&lt;安値!L316),5,""))</f>
        <v/>
      </c>
      <c r="F316" s="503" t="str">
        <f>IF(終値!A316="","",IF(AND(安値!K316&lt;安値!J316,安値!K316&lt;安値!I316,安値!K316&lt;安値!L316,安値!K316&lt;安値!M316),6,""))</f>
        <v/>
      </c>
      <c r="G316" s="503" t="str">
        <f>IF(終値!A316="","",IF(AND(安値!L316&lt;安値!K316,安値!L316&lt;安値!J316,安値!L316&lt;安値!M316,安値!L316&lt;安値!N316),7,""))</f>
        <v/>
      </c>
      <c r="H316" s="503" t="str">
        <f>IF(終値!A316="","",IF(AND(安値!M316&lt;安値!L316,安値!M316&lt;安値!K316,安値!M316&lt;安値!N316,安値!M316&lt;安値!O316),8,""))</f>
        <v/>
      </c>
      <c r="I316" s="503" t="str">
        <f>IF(終値!A316="","",IF(AND(安値!N316&lt;安値!M316,安値!N316&lt;安値!L316,安値!N316&lt;安値!O316,安値!N316&lt;安値!P316),9,""))</f>
        <v/>
      </c>
      <c r="J316" s="503" t="str">
        <f>IF(終値!A316="","",IF(AND(安値!O316&lt;安値!N316,安値!O316&lt;安値!M316,安値!O316&lt;安値!P316,安値!O316&lt;安値!Q316),10,""))</f>
        <v/>
      </c>
      <c r="K316" s="503" t="str">
        <f>IF(終値!A316="","",IF(AND(安値!P316&lt;安値!O316,安値!P316&lt;安値!N316,安値!P316&lt;安値!Q316,安値!P316&lt;安値!R316),11,""))</f>
        <v/>
      </c>
      <c r="L316" s="503" t="str">
        <f>IF(終値!A316="","",IF(AND(安値!Q316&lt;安値!P316,安値!Q316&lt;安値!O316,安値!Q316&lt;安値!R316,安値!Q316&lt;安値!S316),12,""))</f>
        <v/>
      </c>
      <c r="M316" s="503" t="str">
        <f>IF(終値!A316="","",IF(AND(安値!R316&lt;安値!Q316,安値!R316&lt;安値!P316,安値!R316&lt;安値!S316,安値!R316&lt;安値!T316),13,""))</f>
        <v/>
      </c>
      <c r="N316" s="503" t="str">
        <f>IF(終値!A316="","",IF(AND(安値!S316&lt;安値!R316,安値!S316&lt;安値!Q316,安値!S316&lt;安値!T316,安値!S316&lt;安値!U316),14,""))</f>
        <v/>
      </c>
      <c r="O316" s="503" t="str">
        <f>IF(終値!A316="","",IF(AND(安値!T316&lt;安値!S316,安値!T316&lt;安値!R316,安値!T316&lt;安値!U316,安値!T316&lt;安値!V316),15,""))</f>
        <v/>
      </c>
      <c r="P316" s="503" t="str">
        <f>IF(終値!A316="","",IF(AND(安値!U316&lt;安値!T316,安値!U316&lt;安値!S316,安値!U316&lt;安値!V316,安値!U316&lt;安値!W316),16,""))</f>
        <v/>
      </c>
      <c r="Q316" s="503" t="str">
        <f>IF(終値!A316="","",IF(AND(安値!V316&lt;安値!U316,安値!V316&lt;安値!T316,安値!V316&lt;安値!W316,安値!V316&lt;安値!X316),17,""))</f>
        <v/>
      </c>
      <c r="R316" s="503" t="str">
        <f>IF(終値!A316="","",IF(AND(安値!W316&lt;安値!V316,安値!W316&lt;安値!U316,安値!W316&lt;安値!X316,安値!W316&lt;安値!Y316),18,""))</f>
        <v/>
      </c>
      <c r="S316" s="503" t="str">
        <f>IF(終値!A316="","",IF(AND(安値!X316&lt;安値!W316,安値!X316&lt;安値!V316,安値!X316&lt;安値!Y316,安値!X316&lt;安値!Z316),19,""))</f>
        <v/>
      </c>
      <c r="T316" s="503" t="str">
        <f>IF(終値!A316="","",IF(AND(安値!Y316&lt;安値!X316,安値!Y316&lt;安値!W316,安値!Y316&lt;安値!Z316,安値!Y316&lt;安値!AA316),20,""))</f>
        <v/>
      </c>
      <c r="U316" s="503" t="str">
        <f>IF(終値!A316="","",IF(AND(安値!Z316&lt;安値!Y316,安値!Z316&lt;安値!X316,安値!Z316&lt;安値!AA316,安値!Z316&lt;安値!AB316),21,""))</f>
        <v/>
      </c>
      <c r="V316" s="503" t="str">
        <f>IF(終値!A316="","",IF(AND(安値!AA316&lt;安値!Z316,安値!AA316&lt;安値!Y316,安値!AA316&lt;安値!AB316,安値!AA316&lt;安値!AC316),22,""))</f>
        <v/>
      </c>
      <c r="W316" s="503" t="str">
        <f>IF(終値!A316="","",IF(AND(安値!AB316&lt;安値!AA316,安値!AB316&lt;安値!Z316,安値!AB316&lt;安値!AC316,安値!AB316&lt;安値!AD316),23,""))</f>
        <v/>
      </c>
      <c r="X316" s="503" t="str">
        <f>IF(終値!A316="","",IF(AND(安値!AC316&lt;安値!AB316,安値!AC316&lt;安値!AA316,安値!AC316&lt;安値!AD316,安値!AC316&lt;安値!AE316),24,""))</f>
        <v/>
      </c>
      <c r="Y316" s="503" t="str">
        <f>IF(終値!A316="","",IF(AND(安値!AD316&lt;安値!AC316,安値!AD316&lt;安値!AB316,安値!AD316&lt;安値!AE316,安値!AD316&lt;安値!AF316),25,""))</f>
        <v/>
      </c>
      <c r="Z316" s="503" t="str">
        <f>IF(終値!A316="","",IF(AND(安値!AE316&lt;安値!AD316,安値!AE316&lt;安値!AC316,安値!AE316&lt;安値!AF316,安値!AE316&lt;安値!AG316),26,""))</f>
        <v/>
      </c>
      <c r="AA316" s="503" t="str">
        <f>IF(終値!A316="","",IF(AND(安値!AF316&lt;安値!AE316,安値!AF316&lt;安値!AD316,安値!AF316&lt;安値!AG316,安値!AF316&lt;安値!AH316),27,""))</f>
        <v/>
      </c>
      <c r="AB316" s="503" t="str">
        <f>IF(終値!A316="","",IF(AND(安値!AG316&lt;安値!AF316,安値!AG316&lt;安値!AE316,安値!AG316&lt;安値!AH316,安値!AG316&lt;安値!AI316),28,""))</f>
        <v/>
      </c>
      <c r="AC316" s="503" t="str">
        <f>IF(終値!A316="","",IF(AND(高値!G316&gt;高値!F316,高値!G316&gt;高値!E316,高値!G316&gt;高値!H316,高値!G316&gt;高値!I316),2,""))</f>
        <v/>
      </c>
      <c r="AD316" s="503" t="str">
        <f>IF(終値!A316="","",IF(AND(高値!H316&gt;高値!G316,高値!H316&gt;高値!F316,高値!H316&gt;高値!I316,高値!H316&gt;高値!J316),3,""))</f>
        <v/>
      </c>
      <c r="AE316" s="503" t="str">
        <f>IF(終値!A316="","",IF(AND(高値!I316&gt;高値!H316,高値!I316&gt;高値!G316,高値!I316&gt;高値!J316,高値!I316&gt;高値!K316),4,""))</f>
        <v/>
      </c>
      <c r="AF316" s="503" t="str">
        <f>IF(終値!A316="","",IF(AND(高値!J316&gt;高値!I316,高値!J316&gt;高値!H316,高値!J316&gt;高値!K316,高値!J316&gt;高値!L316),5,""))</f>
        <v/>
      </c>
      <c r="AG316" s="503" t="str">
        <f>IF(終値!A316="","",IF(AND(高値!K316&gt;高値!J316,高値!K316&gt;高値!I316,高値!K316&gt;高値!L316,高値!K316&gt;高値!M316),6,""))</f>
        <v/>
      </c>
      <c r="AH316" s="503" t="str">
        <f>IF(終値!A316="","",IF(AND(高値!L316&gt;高値!K316,高値!L316&gt;高値!J316,高値!L316&gt;高値!M316,高値!L316&gt;高値!N316),7,""))</f>
        <v/>
      </c>
      <c r="AI316" s="503" t="str">
        <f>IF(終値!A316="","",IF(AND(高値!M316&gt;高値!L316,高値!M316&gt;高値!K316,高値!M316&gt;高値!N316,高値!M316&gt;高値!O316),8,""))</f>
        <v/>
      </c>
      <c r="AJ316" s="503" t="str">
        <f>IF(終値!A316="","",IF(AND(高値!N316&gt;高値!M316,高値!N316&gt;高値!L316,高値!N316&gt;高値!O316,高値!N316&gt;高値!P316),9,""))</f>
        <v/>
      </c>
      <c r="AK316" s="503" t="str">
        <f>IF(終値!A316="","",IF(AND(高値!O316&gt;高値!N316,高値!O316&gt;高値!M316,高値!O316&gt;高値!P316,高値!O316&gt;高値!Q316),10,""))</f>
        <v/>
      </c>
      <c r="AL316" s="503" t="str">
        <f>IF(終値!A316="","",IF(AND(高値!P316&gt;高値!O316,高値!P316&gt;高値!N316,高値!P316&gt;高値!Q316,高値!P316&gt;高値!R316),11,""))</f>
        <v/>
      </c>
      <c r="AM316" s="503" t="str">
        <f>IF(終値!A316="","",IF(AND(高値!Q316&gt;高値!P316,高値!Q316&gt;高値!O316,高値!Q316&gt;高値!R316,高値!Q316&gt;高値!S316),12,""))</f>
        <v/>
      </c>
      <c r="AN316" s="503" t="str">
        <f>IF(終値!A316="","",IF(AND(高値!R316&gt;高値!Q316,高値!R316&gt;高値!P316,高値!R316&gt;高値!S316,高値!R316&gt;高値!T316),13,""))</f>
        <v/>
      </c>
      <c r="AO316" s="503" t="str">
        <f>IF(終値!A316="","",IF(AND(高値!S316&gt;高値!R316,高値!S316&gt;高値!Q316,高値!S316&gt;高値!T316,高値!S316&gt;高値!U316),14,""))</f>
        <v/>
      </c>
      <c r="AP316" s="503" t="str">
        <f>IF(終値!A316="","",IF(AND(高値!T316&gt;高値!S316,高値!T316&gt;高値!R316,高値!T316&gt;高値!U316,高値!T316&gt;高値!V316),15,""))</f>
        <v/>
      </c>
      <c r="AQ316" s="503" t="str">
        <f>IF(終値!A316="","",IF(AND(高値!U316&gt;高値!T316,高値!U316&gt;高値!S316,高値!U316&gt;高値!V316,高値!U316&gt;高値!W316),16,""))</f>
        <v/>
      </c>
      <c r="AR316" s="503" t="str">
        <f>IF(終値!A316="","",IF(AND(高値!V316&gt;高値!U316,高値!V316&gt;高値!T316,高値!V316&gt;高値!W316,高値!V316&gt;高値!X316),17,""))</f>
        <v/>
      </c>
      <c r="AS316" s="503" t="str">
        <f>IF(終値!A316="","",IF(AND(高値!W316&gt;高値!V316,高値!W316&gt;高値!U316,高値!W316&gt;高値!X316,高値!W316&gt;高値!Y316),18,""))</f>
        <v/>
      </c>
      <c r="AT316" s="503" t="str">
        <f>IF(終値!A316="","",IF(AND(高値!X316&gt;高値!W316,高値!X316&gt;高値!V316,高値!X316&gt;高値!Y316,高値!X316&gt;高値!Z316),19,""))</f>
        <v/>
      </c>
      <c r="AU316" s="503" t="str">
        <f>IF(終値!A316="","",IF(AND(高値!Y316&gt;高値!X316,高値!Y316&gt;高値!W316,高値!Y316&gt;高値!Z316,高値!Y316&gt;高値!AA316),20,""))</f>
        <v/>
      </c>
      <c r="AV316" s="503" t="str">
        <f>IF(終値!A316="","",IF(AND(高値!Z316&gt;高値!Y316,高値!Z316&gt;高値!X316,高値!Z316&gt;高値!AA316,高値!Z316&gt;高値!AB316),21,""))</f>
        <v/>
      </c>
      <c r="AW316" s="503" t="str">
        <f>IF(終値!A316="","",IF(AND(高値!AA316&gt;高値!Z316,高値!AA316&gt;高値!Y316,高値!AA316&gt;高値!AB316,高値!AA316&gt;高値!AC316),22,""))</f>
        <v/>
      </c>
      <c r="AX316" s="503" t="str">
        <f>IF(終値!A316="","",IF(AND(高値!AB316&gt;高値!AA316,高値!AB316&gt;高値!Z316,高値!AB316&gt;高値!AC316,高値!AB316&gt;高値!AD316),23,""))</f>
        <v/>
      </c>
      <c r="AY316" s="503" t="str">
        <f>IF(終値!A316="","",IF(AND(高値!AC316&gt;高値!AB316,高値!AC316&gt;高値!AA316,高値!AC316&gt;高値!AD316,高値!AC316&gt;高値!AE316),24,""))</f>
        <v/>
      </c>
      <c r="AZ316" s="503" t="str">
        <f>IF(終値!A316="","",IF(AND(高値!AD316&gt;高値!AC316,高値!AD316&gt;高値!AB316,高値!AD316&gt;高値!AE316,高値!AD316&gt;高値!AF316),25,""))</f>
        <v/>
      </c>
      <c r="BA316" s="503" t="str">
        <f>IF(終値!A316="","",IF(AND(高値!AE316&gt;高値!AD316,高値!AE316&gt;高値!AC316,高値!AE316&gt;高値!AF316,高値!AE316&gt;高値!AG316),26,""))</f>
        <v/>
      </c>
      <c r="BB316" s="503" t="str">
        <f>IF(終値!A316="","",IF(AND(高値!AF316&gt;高値!AE316,高値!AF316&gt;高値!AD316,高値!AF316&gt;高値!AG316,高値!AF316&gt;高値!AH316),27,""))</f>
        <v/>
      </c>
      <c r="BC316" s="503" t="str">
        <f>IF(終値!A316="","",IF(AND(高値!AG316&gt;高値!AF316,高値!AG316&gt;高値!AE316,高値!AG316&gt;高値!AH316,高値!AG316&gt;高値!AI316),28,""))</f>
        <v/>
      </c>
      <c r="BD316" s="503">
        <f t="shared" si="24"/>
        <v>0</v>
      </c>
      <c r="BE316" s="503" t="str">
        <f t="shared" si="25"/>
        <v/>
      </c>
      <c r="BF316" s="503" t="str">
        <f t="shared" si="26"/>
        <v/>
      </c>
      <c r="BG316" s="503" t="str">
        <f>IF($BE316="","",INDEX(安値!$E316:$CZ316,1,$BE316+1))</f>
        <v/>
      </c>
      <c r="BH316" s="503" t="str">
        <f>IF($BF316="","",INDEX(安値!$E316:$CZ316,1,$BF316+1))</f>
        <v/>
      </c>
      <c r="BI316" s="503" t="str">
        <f>IF($BF316="","",MAX(INDEX(高値!$E316:$CZ316,1,$BE316+1):INDEX(高値!$E316:$CZ316,1,$BF316+1)))</f>
        <v/>
      </c>
      <c r="BJ316" s="503" t="str">
        <f>IF($BF316="","",AVERAGE(INDEX(終値!$E316:$CZ316,1,$BF316+1):INDEX(終値!$E316:$CZ316,1,$BF316+20))-2*STDEVP(INDEX(終値!$E316:$CZ316,1,$BF316+1):INDEX(終値!$E316:$CZ316,1,$BF316+20)))</f>
        <v/>
      </c>
      <c r="BK316" s="503" t="str">
        <f>IF($BE316="","",AVERAGE(INDEX(終値!$E316:$CZ316,1,$BE316+1):INDEX(終値!$E316:$CZ316,1,$BE316+20))-2*STDEVP(INDEX(終値!$E316:$CZ316,1,$BE316+1):INDEX(終値!$E316:$CZ316,1,$BE316+20)))</f>
        <v/>
      </c>
      <c r="BL316" s="503">
        <f t="shared" si="27"/>
        <v>0</v>
      </c>
      <c r="BM316" s="503" t="str">
        <f t="shared" si="28"/>
        <v/>
      </c>
      <c r="BN316" s="503" t="str">
        <f t="shared" si="29"/>
        <v/>
      </c>
      <c r="BO316" s="503" t="str">
        <f>IF($BM316="","",INDEX(高値!$E316:$CZ316,1,$BM316+1))</f>
        <v/>
      </c>
      <c r="BP316" s="503" t="str">
        <f>IF($BN316="","",INDEX(高値!$E316:$CZ316,1,$BN316+1))</f>
        <v/>
      </c>
      <c r="BQ316" s="503" t="str">
        <f>IF($BN316="","",MIN(INDEX(安値!$E316:$CZ316,1,$BM316+1):INDEX(安値!$E316:$CZ316,1,$BN316+1)))</f>
        <v/>
      </c>
      <c r="BR316" s="503" t="str">
        <f>IF($BN316="","",AVERAGE(INDEX(終値!$E316:$CZ316,1,$BN316+1):INDEX(終値!$E316:$CZ316,1,$BN316+20))+2*STDEVP(INDEX(終値!$E316:$CZ316,1,$BN316+1):INDEX(終値!$E316:$CZ316,1,$BN316+20)))</f>
        <v/>
      </c>
      <c r="BS316" s="503" t="str">
        <f>IF($BM316="","",AVERAGE(INDEX(終値!$E316:$CZ316,1,$BM316+1):INDEX(終値!$E316:$CZ316,1,$BM316+20))+2*STDEVP(INDEX(終値!$E316:$CZ316,1,$BM316+1):INDEX(終値!$E316:$CZ316,1,$BM316+20)))</f>
        <v/>
      </c>
      <c r="BT316" s="500"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3" t="str">
        <f>IF(終値!A317="","",IF(AND(安値!G317&lt;安値!F317,安値!G317&lt;安値!E317,安値!G317&lt;安値!H317,安値!G317&lt;安値!I317),2,""))</f>
        <v/>
      </c>
      <c r="C317" s="503" t="str">
        <f>IF(終値!A317="","",IF(AND(安値!H317&lt;安値!G317,安値!H317&lt;安値!F317,安値!H317&lt;安値!I317,安値!H317&lt;安値!J317),3,""))</f>
        <v/>
      </c>
      <c r="D317" s="503" t="str">
        <f>IF(終値!A317="","",IF(AND(安値!I317&lt;安値!H317,安値!I317&lt;安値!G317,安値!I317&lt;安値!J317,安値!I317&lt;安値!K317),4,""))</f>
        <v/>
      </c>
      <c r="E317" s="503" t="str">
        <f>IF(終値!A317="","",IF(AND(安値!J317&lt;安値!I317,安値!J317&lt;安値!H317,安値!J317&lt;安値!K317,安値!J317&lt;安値!L317),5,""))</f>
        <v/>
      </c>
      <c r="F317" s="503" t="str">
        <f>IF(終値!A317="","",IF(AND(安値!K317&lt;安値!J317,安値!K317&lt;安値!I317,安値!K317&lt;安値!L317,安値!K317&lt;安値!M317),6,""))</f>
        <v/>
      </c>
      <c r="G317" s="503" t="str">
        <f>IF(終値!A317="","",IF(AND(安値!L317&lt;安値!K317,安値!L317&lt;安値!J317,安値!L317&lt;安値!M317,安値!L317&lt;安値!N317),7,""))</f>
        <v/>
      </c>
      <c r="H317" s="503" t="str">
        <f>IF(終値!A317="","",IF(AND(安値!M317&lt;安値!L317,安値!M317&lt;安値!K317,安値!M317&lt;安値!N317,安値!M317&lt;安値!O317),8,""))</f>
        <v/>
      </c>
      <c r="I317" s="503" t="str">
        <f>IF(終値!A317="","",IF(AND(安値!N317&lt;安値!M317,安値!N317&lt;安値!L317,安値!N317&lt;安値!O317,安値!N317&lt;安値!P317),9,""))</f>
        <v/>
      </c>
      <c r="J317" s="503" t="str">
        <f>IF(終値!A317="","",IF(AND(安値!O317&lt;安値!N317,安値!O317&lt;安値!M317,安値!O317&lt;安値!P317,安値!O317&lt;安値!Q317),10,""))</f>
        <v/>
      </c>
      <c r="K317" s="503" t="str">
        <f>IF(終値!A317="","",IF(AND(安値!P317&lt;安値!O317,安値!P317&lt;安値!N317,安値!P317&lt;安値!Q317,安値!P317&lt;安値!R317),11,""))</f>
        <v/>
      </c>
      <c r="L317" s="503" t="str">
        <f>IF(終値!A317="","",IF(AND(安値!Q317&lt;安値!P317,安値!Q317&lt;安値!O317,安値!Q317&lt;安値!R317,安値!Q317&lt;安値!S317),12,""))</f>
        <v/>
      </c>
      <c r="M317" s="503" t="str">
        <f>IF(終値!A317="","",IF(AND(安値!R317&lt;安値!Q317,安値!R317&lt;安値!P317,安値!R317&lt;安値!S317,安値!R317&lt;安値!T317),13,""))</f>
        <v/>
      </c>
      <c r="N317" s="503" t="str">
        <f>IF(終値!A317="","",IF(AND(安値!S317&lt;安値!R317,安値!S317&lt;安値!Q317,安値!S317&lt;安値!T317,安値!S317&lt;安値!U317),14,""))</f>
        <v/>
      </c>
      <c r="O317" s="503" t="str">
        <f>IF(終値!A317="","",IF(AND(安値!T317&lt;安値!S317,安値!T317&lt;安値!R317,安値!T317&lt;安値!U317,安値!T317&lt;安値!V317),15,""))</f>
        <v/>
      </c>
      <c r="P317" s="503" t="str">
        <f>IF(終値!A317="","",IF(AND(安値!U317&lt;安値!T317,安値!U317&lt;安値!S317,安値!U317&lt;安値!V317,安値!U317&lt;安値!W317),16,""))</f>
        <v/>
      </c>
      <c r="Q317" s="503" t="str">
        <f>IF(終値!A317="","",IF(AND(安値!V317&lt;安値!U317,安値!V317&lt;安値!T317,安値!V317&lt;安値!W317,安値!V317&lt;安値!X317),17,""))</f>
        <v/>
      </c>
      <c r="R317" s="503" t="str">
        <f>IF(終値!A317="","",IF(AND(安値!W317&lt;安値!V317,安値!W317&lt;安値!U317,安値!W317&lt;安値!X317,安値!W317&lt;安値!Y317),18,""))</f>
        <v/>
      </c>
      <c r="S317" s="503" t="str">
        <f>IF(終値!A317="","",IF(AND(安値!X317&lt;安値!W317,安値!X317&lt;安値!V317,安値!X317&lt;安値!Y317,安値!X317&lt;安値!Z317),19,""))</f>
        <v/>
      </c>
      <c r="T317" s="503" t="str">
        <f>IF(終値!A317="","",IF(AND(安値!Y317&lt;安値!X317,安値!Y317&lt;安値!W317,安値!Y317&lt;安値!Z317,安値!Y317&lt;安値!AA317),20,""))</f>
        <v/>
      </c>
      <c r="U317" s="503" t="str">
        <f>IF(終値!A317="","",IF(AND(安値!Z317&lt;安値!Y317,安値!Z317&lt;安値!X317,安値!Z317&lt;安値!AA317,安値!Z317&lt;安値!AB317),21,""))</f>
        <v/>
      </c>
      <c r="V317" s="503" t="str">
        <f>IF(終値!A317="","",IF(AND(安値!AA317&lt;安値!Z317,安値!AA317&lt;安値!Y317,安値!AA317&lt;安値!AB317,安値!AA317&lt;安値!AC317),22,""))</f>
        <v/>
      </c>
      <c r="W317" s="503" t="str">
        <f>IF(終値!A317="","",IF(AND(安値!AB317&lt;安値!AA317,安値!AB317&lt;安値!Z317,安値!AB317&lt;安値!AC317,安値!AB317&lt;安値!AD317),23,""))</f>
        <v/>
      </c>
      <c r="X317" s="503" t="str">
        <f>IF(終値!A317="","",IF(AND(安値!AC317&lt;安値!AB317,安値!AC317&lt;安値!AA317,安値!AC317&lt;安値!AD317,安値!AC317&lt;安値!AE317),24,""))</f>
        <v/>
      </c>
      <c r="Y317" s="503" t="str">
        <f>IF(終値!A317="","",IF(AND(安値!AD317&lt;安値!AC317,安値!AD317&lt;安値!AB317,安値!AD317&lt;安値!AE317,安値!AD317&lt;安値!AF317),25,""))</f>
        <v/>
      </c>
      <c r="Z317" s="503" t="str">
        <f>IF(終値!A317="","",IF(AND(安値!AE317&lt;安値!AD317,安値!AE317&lt;安値!AC317,安値!AE317&lt;安値!AF317,安値!AE317&lt;安値!AG317),26,""))</f>
        <v/>
      </c>
      <c r="AA317" s="503" t="str">
        <f>IF(終値!A317="","",IF(AND(安値!AF317&lt;安値!AE317,安値!AF317&lt;安値!AD317,安値!AF317&lt;安値!AG317,安値!AF317&lt;安値!AH317),27,""))</f>
        <v/>
      </c>
      <c r="AB317" s="503" t="str">
        <f>IF(終値!A317="","",IF(AND(安値!AG317&lt;安値!AF317,安値!AG317&lt;安値!AE317,安値!AG317&lt;安値!AH317,安値!AG317&lt;安値!AI317),28,""))</f>
        <v/>
      </c>
      <c r="AC317" s="503" t="str">
        <f>IF(終値!A317="","",IF(AND(高値!G317&gt;高値!F317,高値!G317&gt;高値!E317,高値!G317&gt;高値!H317,高値!G317&gt;高値!I317),2,""))</f>
        <v/>
      </c>
      <c r="AD317" s="503" t="str">
        <f>IF(終値!A317="","",IF(AND(高値!H317&gt;高値!G317,高値!H317&gt;高値!F317,高値!H317&gt;高値!I317,高値!H317&gt;高値!J317),3,""))</f>
        <v/>
      </c>
      <c r="AE317" s="503" t="str">
        <f>IF(終値!A317="","",IF(AND(高値!I317&gt;高値!H317,高値!I317&gt;高値!G317,高値!I317&gt;高値!J317,高値!I317&gt;高値!K317),4,""))</f>
        <v/>
      </c>
      <c r="AF317" s="503" t="str">
        <f>IF(終値!A317="","",IF(AND(高値!J317&gt;高値!I317,高値!J317&gt;高値!H317,高値!J317&gt;高値!K317,高値!J317&gt;高値!L317),5,""))</f>
        <v/>
      </c>
      <c r="AG317" s="503" t="str">
        <f>IF(終値!A317="","",IF(AND(高値!K317&gt;高値!J317,高値!K317&gt;高値!I317,高値!K317&gt;高値!L317,高値!K317&gt;高値!M317),6,""))</f>
        <v/>
      </c>
      <c r="AH317" s="503" t="str">
        <f>IF(終値!A317="","",IF(AND(高値!L317&gt;高値!K317,高値!L317&gt;高値!J317,高値!L317&gt;高値!M317,高値!L317&gt;高値!N317),7,""))</f>
        <v/>
      </c>
      <c r="AI317" s="503" t="str">
        <f>IF(終値!A317="","",IF(AND(高値!M317&gt;高値!L317,高値!M317&gt;高値!K317,高値!M317&gt;高値!N317,高値!M317&gt;高値!O317),8,""))</f>
        <v/>
      </c>
      <c r="AJ317" s="503" t="str">
        <f>IF(終値!A317="","",IF(AND(高値!N317&gt;高値!M317,高値!N317&gt;高値!L317,高値!N317&gt;高値!O317,高値!N317&gt;高値!P317),9,""))</f>
        <v/>
      </c>
      <c r="AK317" s="503" t="str">
        <f>IF(終値!A317="","",IF(AND(高値!O317&gt;高値!N317,高値!O317&gt;高値!M317,高値!O317&gt;高値!P317,高値!O317&gt;高値!Q317),10,""))</f>
        <v/>
      </c>
      <c r="AL317" s="503" t="str">
        <f>IF(終値!A317="","",IF(AND(高値!P317&gt;高値!O317,高値!P317&gt;高値!N317,高値!P317&gt;高値!Q317,高値!P317&gt;高値!R317),11,""))</f>
        <v/>
      </c>
      <c r="AM317" s="503" t="str">
        <f>IF(終値!A317="","",IF(AND(高値!Q317&gt;高値!P317,高値!Q317&gt;高値!O317,高値!Q317&gt;高値!R317,高値!Q317&gt;高値!S317),12,""))</f>
        <v/>
      </c>
      <c r="AN317" s="503" t="str">
        <f>IF(終値!A317="","",IF(AND(高値!R317&gt;高値!Q317,高値!R317&gt;高値!P317,高値!R317&gt;高値!S317,高値!R317&gt;高値!T317),13,""))</f>
        <v/>
      </c>
      <c r="AO317" s="503" t="str">
        <f>IF(終値!A317="","",IF(AND(高値!S317&gt;高値!R317,高値!S317&gt;高値!Q317,高値!S317&gt;高値!T317,高値!S317&gt;高値!U317),14,""))</f>
        <v/>
      </c>
      <c r="AP317" s="503" t="str">
        <f>IF(終値!A317="","",IF(AND(高値!T317&gt;高値!S317,高値!T317&gt;高値!R317,高値!T317&gt;高値!U317,高値!T317&gt;高値!V317),15,""))</f>
        <v/>
      </c>
      <c r="AQ317" s="503" t="str">
        <f>IF(終値!A317="","",IF(AND(高値!U317&gt;高値!T317,高値!U317&gt;高値!S317,高値!U317&gt;高値!V317,高値!U317&gt;高値!W317),16,""))</f>
        <v/>
      </c>
      <c r="AR317" s="503" t="str">
        <f>IF(終値!A317="","",IF(AND(高値!V317&gt;高値!U317,高値!V317&gt;高値!T317,高値!V317&gt;高値!W317,高値!V317&gt;高値!X317),17,""))</f>
        <v/>
      </c>
      <c r="AS317" s="503" t="str">
        <f>IF(終値!A317="","",IF(AND(高値!W317&gt;高値!V317,高値!W317&gt;高値!U317,高値!W317&gt;高値!X317,高値!W317&gt;高値!Y317),18,""))</f>
        <v/>
      </c>
      <c r="AT317" s="503" t="str">
        <f>IF(終値!A317="","",IF(AND(高値!X317&gt;高値!W317,高値!X317&gt;高値!V317,高値!X317&gt;高値!Y317,高値!X317&gt;高値!Z317),19,""))</f>
        <v/>
      </c>
      <c r="AU317" s="503" t="str">
        <f>IF(終値!A317="","",IF(AND(高値!Y317&gt;高値!X317,高値!Y317&gt;高値!W317,高値!Y317&gt;高値!Z317,高値!Y317&gt;高値!AA317),20,""))</f>
        <v/>
      </c>
      <c r="AV317" s="503" t="str">
        <f>IF(終値!A317="","",IF(AND(高値!Z317&gt;高値!Y317,高値!Z317&gt;高値!X317,高値!Z317&gt;高値!AA317,高値!Z317&gt;高値!AB317),21,""))</f>
        <v/>
      </c>
      <c r="AW317" s="503" t="str">
        <f>IF(終値!A317="","",IF(AND(高値!AA317&gt;高値!Z317,高値!AA317&gt;高値!Y317,高値!AA317&gt;高値!AB317,高値!AA317&gt;高値!AC317),22,""))</f>
        <v/>
      </c>
      <c r="AX317" s="503" t="str">
        <f>IF(終値!A317="","",IF(AND(高値!AB317&gt;高値!AA317,高値!AB317&gt;高値!Z317,高値!AB317&gt;高値!AC317,高値!AB317&gt;高値!AD317),23,""))</f>
        <v/>
      </c>
      <c r="AY317" s="503" t="str">
        <f>IF(終値!A317="","",IF(AND(高値!AC317&gt;高値!AB317,高値!AC317&gt;高値!AA317,高値!AC317&gt;高値!AD317,高値!AC317&gt;高値!AE317),24,""))</f>
        <v/>
      </c>
      <c r="AZ317" s="503" t="str">
        <f>IF(終値!A317="","",IF(AND(高値!AD317&gt;高値!AC317,高値!AD317&gt;高値!AB317,高値!AD317&gt;高値!AE317,高値!AD317&gt;高値!AF317),25,""))</f>
        <v/>
      </c>
      <c r="BA317" s="503" t="str">
        <f>IF(終値!A317="","",IF(AND(高値!AE317&gt;高値!AD317,高値!AE317&gt;高値!AC317,高値!AE317&gt;高値!AF317,高値!AE317&gt;高値!AG317),26,""))</f>
        <v/>
      </c>
      <c r="BB317" s="503" t="str">
        <f>IF(終値!A317="","",IF(AND(高値!AF317&gt;高値!AE317,高値!AF317&gt;高値!AD317,高値!AF317&gt;高値!AG317,高値!AF317&gt;高値!AH317),27,""))</f>
        <v/>
      </c>
      <c r="BC317" s="503" t="str">
        <f>IF(終値!A317="","",IF(AND(高値!AG317&gt;高値!AF317,高値!AG317&gt;高値!AE317,高値!AG317&gt;高値!AH317,高値!AG317&gt;高値!AI317),28,""))</f>
        <v/>
      </c>
      <c r="BD317" s="503">
        <f t="shared" si="24"/>
        <v>0</v>
      </c>
      <c r="BE317" s="503" t="str">
        <f t="shared" si="25"/>
        <v/>
      </c>
      <c r="BF317" s="503" t="str">
        <f t="shared" si="26"/>
        <v/>
      </c>
      <c r="BG317" s="503" t="str">
        <f>IF($BE317="","",INDEX(安値!$E317:$CZ317,1,$BE317+1))</f>
        <v/>
      </c>
      <c r="BH317" s="503" t="str">
        <f>IF($BF317="","",INDEX(安値!$E317:$CZ317,1,$BF317+1))</f>
        <v/>
      </c>
      <c r="BI317" s="503" t="str">
        <f>IF($BF317="","",MAX(INDEX(高値!$E317:$CZ317,1,$BE317+1):INDEX(高値!$E317:$CZ317,1,$BF317+1)))</f>
        <v/>
      </c>
      <c r="BJ317" s="503" t="str">
        <f>IF($BF317="","",AVERAGE(INDEX(終値!$E317:$CZ317,1,$BF317+1):INDEX(終値!$E317:$CZ317,1,$BF317+20))-2*STDEVP(INDEX(終値!$E317:$CZ317,1,$BF317+1):INDEX(終値!$E317:$CZ317,1,$BF317+20)))</f>
        <v/>
      </c>
      <c r="BK317" s="503" t="str">
        <f>IF($BE317="","",AVERAGE(INDEX(終値!$E317:$CZ317,1,$BE317+1):INDEX(終値!$E317:$CZ317,1,$BE317+20))-2*STDEVP(INDEX(終値!$E317:$CZ317,1,$BE317+1):INDEX(終値!$E317:$CZ317,1,$BE317+20)))</f>
        <v/>
      </c>
      <c r="BL317" s="503">
        <f t="shared" si="27"/>
        <v>0</v>
      </c>
      <c r="BM317" s="503" t="str">
        <f t="shared" si="28"/>
        <v/>
      </c>
      <c r="BN317" s="503" t="str">
        <f t="shared" si="29"/>
        <v/>
      </c>
      <c r="BO317" s="503" t="str">
        <f>IF($BM317="","",INDEX(高値!$E317:$CZ317,1,$BM317+1))</f>
        <v/>
      </c>
      <c r="BP317" s="503" t="str">
        <f>IF($BN317="","",INDEX(高値!$E317:$CZ317,1,$BN317+1))</f>
        <v/>
      </c>
      <c r="BQ317" s="503" t="str">
        <f>IF($BN317="","",MIN(INDEX(安値!$E317:$CZ317,1,$BM317+1):INDEX(安値!$E317:$CZ317,1,$BN317+1)))</f>
        <v/>
      </c>
      <c r="BR317" s="503" t="str">
        <f>IF($BN317="","",AVERAGE(INDEX(終値!$E317:$CZ317,1,$BN317+1):INDEX(終値!$E317:$CZ317,1,$BN317+20))+2*STDEVP(INDEX(終値!$E317:$CZ317,1,$BN317+1):INDEX(終値!$E317:$CZ317,1,$BN317+20)))</f>
        <v/>
      </c>
      <c r="BS317" s="503" t="str">
        <f>IF($BM317="","",AVERAGE(INDEX(終値!$E317:$CZ317,1,$BM317+1):INDEX(終値!$E317:$CZ317,1,$BM317+20))+2*STDEVP(INDEX(終値!$E317:$CZ317,1,$BM317+1):INDEX(終値!$E317:$CZ317,1,$BM317+20)))</f>
        <v/>
      </c>
      <c r="BT317" s="500"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3" t="str">
        <f>IF(終値!A318="","",IF(AND(安値!G318&lt;安値!F318,安値!G318&lt;安値!E318,安値!G318&lt;安値!H318,安値!G318&lt;安値!I318),2,""))</f>
        <v/>
      </c>
      <c r="C318" s="503" t="str">
        <f>IF(終値!A318="","",IF(AND(安値!H318&lt;安値!G318,安値!H318&lt;安値!F318,安値!H318&lt;安値!I318,安値!H318&lt;安値!J318),3,""))</f>
        <v/>
      </c>
      <c r="D318" s="503" t="str">
        <f>IF(終値!A318="","",IF(AND(安値!I318&lt;安値!H318,安値!I318&lt;安値!G318,安値!I318&lt;安値!J318,安値!I318&lt;安値!K318),4,""))</f>
        <v/>
      </c>
      <c r="E318" s="503" t="str">
        <f>IF(終値!A318="","",IF(AND(安値!J318&lt;安値!I318,安値!J318&lt;安値!H318,安値!J318&lt;安値!K318,安値!J318&lt;安値!L318),5,""))</f>
        <v/>
      </c>
      <c r="F318" s="503" t="str">
        <f>IF(終値!A318="","",IF(AND(安値!K318&lt;安値!J318,安値!K318&lt;安値!I318,安値!K318&lt;安値!L318,安値!K318&lt;安値!M318),6,""))</f>
        <v/>
      </c>
      <c r="G318" s="503" t="str">
        <f>IF(終値!A318="","",IF(AND(安値!L318&lt;安値!K318,安値!L318&lt;安値!J318,安値!L318&lt;安値!M318,安値!L318&lt;安値!N318),7,""))</f>
        <v/>
      </c>
      <c r="H318" s="503" t="str">
        <f>IF(終値!A318="","",IF(AND(安値!M318&lt;安値!L318,安値!M318&lt;安値!K318,安値!M318&lt;安値!N318,安値!M318&lt;安値!O318),8,""))</f>
        <v/>
      </c>
      <c r="I318" s="503" t="str">
        <f>IF(終値!A318="","",IF(AND(安値!N318&lt;安値!M318,安値!N318&lt;安値!L318,安値!N318&lt;安値!O318,安値!N318&lt;安値!P318),9,""))</f>
        <v/>
      </c>
      <c r="J318" s="503" t="str">
        <f>IF(終値!A318="","",IF(AND(安値!O318&lt;安値!N318,安値!O318&lt;安値!M318,安値!O318&lt;安値!P318,安値!O318&lt;安値!Q318),10,""))</f>
        <v/>
      </c>
      <c r="K318" s="503" t="str">
        <f>IF(終値!A318="","",IF(AND(安値!P318&lt;安値!O318,安値!P318&lt;安値!N318,安値!P318&lt;安値!Q318,安値!P318&lt;安値!R318),11,""))</f>
        <v/>
      </c>
      <c r="L318" s="503" t="str">
        <f>IF(終値!A318="","",IF(AND(安値!Q318&lt;安値!P318,安値!Q318&lt;安値!O318,安値!Q318&lt;安値!R318,安値!Q318&lt;安値!S318),12,""))</f>
        <v/>
      </c>
      <c r="M318" s="503" t="str">
        <f>IF(終値!A318="","",IF(AND(安値!R318&lt;安値!Q318,安値!R318&lt;安値!P318,安値!R318&lt;安値!S318,安値!R318&lt;安値!T318),13,""))</f>
        <v/>
      </c>
      <c r="N318" s="503" t="str">
        <f>IF(終値!A318="","",IF(AND(安値!S318&lt;安値!R318,安値!S318&lt;安値!Q318,安値!S318&lt;安値!T318,安値!S318&lt;安値!U318),14,""))</f>
        <v/>
      </c>
      <c r="O318" s="503" t="str">
        <f>IF(終値!A318="","",IF(AND(安値!T318&lt;安値!S318,安値!T318&lt;安値!R318,安値!T318&lt;安値!U318,安値!T318&lt;安値!V318),15,""))</f>
        <v/>
      </c>
      <c r="P318" s="503" t="str">
        <f>IF(終値!A318="","",IF(AND(安値!U318&lt;安値!T318,安値!U318&lt;安値!S318,安値!U318&lt;安値!V318,安値!U318&lt;安値!W318),16,""))</f>
        <v/>
      </c>
      <c r="Q318" s="503" t="str">
        <f>IF(終値!A318="","",IF(AND(安値!V318&lt;安値!U318,安値!V318&lt;安値!T318,安値!V318&lt;安値!W318,安値!V318&lt;安値!X318),17,""))</f>
        <v/>
      </c>
      <c r="R318" s="503" t="str">
        <f>IF(終値!A318="","",IF(AND(安値!W318&lt;安値!V318,安値!W318&lt;安値!U318,安値!W318&lt;安値!X318,安値!W318&lt;安値!Y318),18,""))</f>
        <v/>
      </c>
      <c r="S318" s="503" t="str">
        <f>IF(終値!A318="","",IF(AND(安値!X318&lt;安値!W318,安値!X318&lt;安値!V318,安値!X318&lt;安値!Y318,安値!X318&lt;安値!Z318),19,""))</f>
        <v/>
      </c>
      <c r="T318" s="503" t="str">
        <f>IF(終値!A318="","",IF(AND(安値!Y318&lt;安値!X318,安値!Y318&lt;安値!W318,安値!Y318&lt;安値!Z318,安値!Y318&lt;安値!AA318),20,""))</f>
        <v/>
      </c>
      <c r="U318" s="503" t="str">
        <f>IF(終値!A318="","",IF(AND(安値!Z318&lt;安値!Y318,安値!Z318&lt;安値!X318,安値!Z318&lt;安値!AA318,安値!Z318&lt;安値!AB318),21,""))</f>
        <v/>
      </c>
      <c r="V318" s="503" t="str">
        <f>IF(終値!A318="","",IF(AND(安値!AA318&lt;安値!Z318,安値!AA318&lt;安値!Y318,安値!AA318&lt;安値!AB318,安値!AA318&lt;安値!AC318),22,""))</f>
        <v/>
      </c>
      <c r="W318" s="503" t="str">
        <f>IF(終値!A318="","",IF(AND(安値!AB318&lt;安値!AA318,安値!AB318&lt;安値!Z318,安値!AB318&lt;安値!AC318,安値!AB318&lt;安値!AD318),23,""))</f>
        <v/>
      </c>
      <c r="X318" s="503" t="str">
        <f>IF(終値!A318="","",IF(AND(安値!AC318&lt;安値!AB318,安値!AC318&lt;安値!AA318,安値!AC318&lt;安値!AD318,安値!AC318&lt;安値!AE318),24,""))</f>
        <v/>
      </c>
      <c r="Y318" s="503" t="str">
        <f>IF(終値!A318="","",IF(AND(安値!AD318&lt;安値!AC318,安値!AD318&lt;安値!AB318,安値!AD318&lt;安値!AE318,安値!AD318&lt;安値!AF318),25,""))</f>
        <v/>
      </c>
      <c r="Z318" s="503" t="str">
        <f>IF(終値!A318="","",IF(AND(安値!AE318&lt;安値!AD318,安値!AE318&lt;安値!AC318,安値!AE318&lt;安値!AF318,安値!AE318&lt;安値!AG318),26,""))</f>
        <v/>
      </c>
      <c r="AA318" s="503" t="str">
        <f>IF(終値!A318="","",IF(AND(安値!AF318&lt;安値!AE318,安値!AF318&lt;安値!AD318,安値!AF318&lt;安値!AG318,安値!AF318&lt;安値!AH318),27,""))</f>
        <v/>
      </c>
      <c r="AB318" s="503" t="str">
        <f>IF(終値!A318="","",IF(AND(安値!AG318&lt;安値!AF318,安値!AG318&lt;安値!AE318,安値!AG318&lt;安値!AH318,安値!AG318&lt;安値!AI318),28,""))</f>
        <v/>
      </c>
      <c r="AC318" s="503" t="str">
        <f>IF(終値!A318="","",IF(AND(高値!G318&gt;高値!F318,高値!G318&gt;高値!E318,高値!G318&gt;高値!H318,高値!G318&gt;高値!I318),2,""))</f>
        <v/>
      </c>
      <c r="AD318" s="503" t="str">
        <f>IF(終値!A318="","",IF(AND(高値!H318&gt;高値!G318,高値!H318&gt;高値!F318,高値!H318&gt;高値!I318,高値!H318&gt;高値!J318),3,""))</f>
        <v/>
      </c>
      <c r="AE318" s="503" t="str">
        <f>IF(終値!A318="","",IF(AND(高値!I318&gt;高値!H318,高値!I318&gt;高値!G318,高値!I318&gt;高値!J318,高値!I318&gt;高値!K318),4,""))</f>
        <v/>
      </c>
      <c r="AF318" s="503" t="str">
        <f>IF(終値!A318="","",IF(AND(高値!J318&gt;高値!I318,高値!J318&gt;高値!H318,高値!J318&gt;高値!K318,高値!J318&gt;高値!L318),5,""))</f>
        <v/>
      </c>
      <c r="AG318" s="503" t="str">
        <f>IF(終値!A318="","",IF(AND(高値!K318&gt;高値!J318,高値!K318&gt;高値!I318,高値!K318&gt;高値!L318,高値!K318&gt;高値!M318),6,""))</f>
        <v/>
      </c>
      <c r="AH318" s="503" t="str">
        <f>IF(終値!A318="","",IF(AND(高値!L318&gt;高値!K318,高値!L318&gt;高値!J318,高値!L318&gt;高値!M318,高値!L318&gt;高値!N318),7,""))</f>
        <v/>
      </c>
      <c r="AI318" s="503" t="str">
        <f>IF(終値!A318="","",IF(AND(高値!M318&gt;高値!L318,高値!M318&gt;高値!K318,高値!M318&gt;高値!N318,高値!M318&gt;高値!O318),8,""))</f>
        <v/>
      </c>
      <c r="AJ318" s="503" t="str">
        <f>IF(終値!A318="","",IF(AND(高値!N318&gt;高値!M318,高値!N318&gt;高値!L318,高値!N318&gt;高値!O318,高値!N318&gt;高値!P318),9,""))</f>
        <v/>
      </c>
      <c r="AK318" s="503" t="str">
        <f>IF(終値!A318="","",IF(AND(高値!O318&gt;高値!N318,高値!O318&gt;高値!M318,高値!O318&gt;高値!P318,高値!O318&gt;高値!Q318),10,""))</f>
        <v/>
      </c>
      <c r="AL318" s="503" t="str">
        <f>IF(終値!A318="","",IF(AND(高値!P318&gt;高値!O318,高値!P318&gt;高値!N318,高値!P318&gt;高値!Q318,高値!P318&gt;高値!R318),11,""))</f>
        <v/>
      </c>
      <c r="AM318" s="503" t="str">
        <f>IF(終値!A318="","",IF(AND(高値!Q318&gt;高値!P318,高値!Q318&gt;高値!O318,高値!Q318&gt;高値!R318,高値!Q318&gt;高値!S318),12,""))</f>
        <v/>
      </c>
      <c r="AN318" s="503" t="str">
        <f>IF(終値!A318="","",IF(AND(高値!R318&gt;高値!Q318,高値!R318&gt;高値!P318,高値!R318&gt;高値!S318,高値!R318&gt;高値!T318),13,""))</f>
        <v/>
      </c>
      <c r="AO318" s="503" t="str">
        <f>IF(終値!A318="","",IF(AND(高値!S318&gt;高値!R318,高値!S318&gt;高値!Q318,高値!S318&gt;高値!T318,高値!S318&gt;高値!U318),14,""))</f>
        <v/>
      </c>
      <c r="AP318" s="503" t="str">
        <f>IF(終値!A318="","",IF(AND(高値!T318&gt;高値!S318,高値!T318&gt;高値!R318,高値!T318&gt;高値!U318,高値!T318&gt;高値!V318),15,""))</f>
        <v/>
      </c>
      <c r="AQ318" s="503" t="str">
        <f>IF(終値!A318="","",IF(AND(高値!U318&gt;高値!T318,高値!U318&gt;高値!S318,高値!U318&gt;高値!V318,高値!U318&gt;高値!W318),16,""))</f>
        <v/>
      </c>
      <c r="AR318" s="503" t="str">
        <f>IF(終値!A318="","",IF(AND(高値!V318&gt;高値!U318,高値!V318&gt;高値!T318,高値!V318&gt;高値!W318,高値!V318&gt;高値!X318),17,""))</f>
        <v/>
      </c>
      <c r="AS318" s="503" t="str">
        <f>IF(終値!A318="","",IF(AND(高値!W318&gt;高値!V318,高値!W318&gt;高値!U318,高値!W318&gt;高値!X318,高値!W318&gt;高値!Y318),18,""))</f>
        <v/>
      </c>
      <c r="AT318" s="503" t="str">
        <f>IF(終値!A318="","",IF(AND(高値!X318&gt;高値!W318,高値!X318&gt;高値!V318,高値!X318&gt;高値!Y318,高値!X318&gt;高値!Z318),19,""))</f>
        <v/>
      </c>
      <c r="AU318" s="503" t="str">
        <f>IF(終値!A318="","",IF(AND(高値!Y318&gt;高値!X318,高値!Y318&gt;高値!W318,高値!Y318&gt;高値!Z318,高値!Y318&gt;高値!AA318),20,""))</f>
        <v/>
      </c>
      <c r="AV318" s="503" t="str">
        <f>IF(終値!A318="","",IF(AND(高値!Z318&gt;高値!Y318,高値!Z318&gt;高値!X318,高値!Z318&gt;高値!AA318,高値!Z318&gt;高値!AB318),21,""))</f>
        <v/>
      </c>
      <c r="AW318" s="503" t="str">
        <f>IF(終値!A318="","",IF(AND(高値!AA318&gt;高値!Z318,高値!AA318&gt;高値!Y318,高値!AA318&gt;高値!AB318,高値!AA318&gt;高値!AC318),22,""))</f>
        <v/>
      </c>
      <c r="AX318" s="503" t="str">
        <f>IF(終値!A318="","",IF(AND(高値!AB318&gt;高値!AA318,高値!AB318&gt;高値!Z318,高値!AB318&gt;高値!AC318,高値!AB318&gt;高値!AD318),23,""))</f>
        <v/>
      </c>
      <c r="AY318" s="503" t="str">
        <f>IF(終値!A318="","",IF(AND(高値!AC318&gt;高値!AB318,高値!AC318&gt;高値!AA318,高値!AC318&gt;高値!AD318,高値!AC318&gt;高値!AE318),24,""))</f>
        <v/>
      </c>
      <c r="AZ318" s="503" t="str">
        <f>IF(終値!A318="","",IF(AND(高値!AD318&gt;高値!AC318,高値!AD318&gt;高値!AB318,高値!AD318&gt;高値!AE318,高値!AD318&gt;高値!AF318),25,""))</f>
        <v/>
      </c>
      <c r="BA318" s="503" t="str">
        <f>IF(終値!A318="","",IF(AND(高値!AE318&gt;高値!AD318,高値!AE318&gt;高値!AC318,高値!AE318&gt;高値!AF318,高値!AE318&gt;高値!AG318),26,""))</f>
        <v/>
      </c>
      <c r="BB318" s="503" t="str">
        <f>IF(終値!A318="","",IF(AND(高値!AF318&gt;高値!AE318,高値!AF318&gt;高値!AD318,高値!AF318&gt;高値!AG318,高値!AF318&gt;高値!AH318),27,""))</f>
        <v/>
      </c>
      <c r="BC318" s="503" t="str">
        <f>IF(終値!A318="","",IF(AND(高値!AG318&gt;高値!AF318,高値!AG318&gt;高値!AE318,高値!AG318&gt;高値!AH318,高値!AG318&gt;高値!AI318),28,""))</f>
        <v/>
      </c>
      <c r="BD318" s="503">
        <f t="shared" si="24"/>
        <v>0</v>
      </c>
      <c r="BE318" s="503" t="str">
        <f t="shared" si="25"/>
        <v/>
      </c>
      <c r="BF318" s="503" t="str">
        <f t="shared" si="26"/>
        <v/>
      </c>
      <c r="BG318" s="503" t="str">
        <f>IF($BE318="","",INDEX(安値!$E318:$CZ318,1,$BE318+1))</f>
        <v/>
      </c>
      <c r="BH318" s="503" t="str">
        <f>IF($BF318="","",INDEX(安値!$E318:$CZ318,1,$BF318+1))</f>
        <v/>
      </c>
      <c r="BI318" s="503" t="str">
        <f>IF($BF318="","",MAX(INDEX(高値!$E318:$CZ318,1,$BE318+1):INDEX(高値!$E318:$CZ318,1,$BF318+1)))</f>
        <v/>
      </c>
      <c r="BJ318" s="503" t="str">
        <f>IF($BF318="","",AVERAGE(INDEX(終値!$E318:$CZ318,1,$BF318+1):INDEX(終値!$E318:$CZ318,1,$BF318+20))-2*STDEVP(INDEX(終値!$E318:$CZ318,1,$BF318+1):INDEX(終値!$E318:$CZ318,1,$BF318+20)))</f>
        <v/>
      </c>
      <c r="BK318" s="503" t="str">
        <f>IF($BE318="","",AVERAGE(INDEX(終値!$E318:$CZ318,1,$BE318+1):INDEX(終値!$E318:$CZ318,1,$BE318+20))-2*STDEVP(INDEX(終値!$E318:$CZ318,1,$BE318+1):INDEX(終値!$E318:$CZ318,1,$BE318+20)))</f>
        <v/>
      </c>
      <c r="BL318" s="503">
        <f t="shared" si="27"/>
        <v>0</v>
      </c>
      <c r="BM318" s="503" t="str">
        <f t="shared" si="28"/>
        <v/>
      </c>
      <c r="BN318" s="503" t="str">
        <f t="shared" si="29"/>
        <v/>
      </c>
      <c r="BO318" s="503" t="str">
        <f>IF($BM318="","",INDEX(高値!$E318:$CZ318,1,$BM318+1))</f>
        <v/>
      </c>
      <c r="BP318" s="503" t="str">
        <f>IF($BN318="","",INDEX(高値!$E318:$CZ318,1,$BN318+1))</f>
        <v/>
      </c>
      <c r="BQ318" s="503" t="str">
        <f>IF($BN318="","",MIN(INDEX(安値!$E318:$CZ318,1,$BM318+1):INDEX(安値!$E318:$CZ318,1,$BN318+1)))</f>
        <v/>
      </c>
      <c r="BR318" s="503" t="str">
        <f>IF($BN318="","",AVERAGE(INDEX(終値!$E318:$CZ318,1,$BN318+1):INDEX(終値!$E318:$CZ318,1,$BN318+20))+2*STDEVP(INDEX(終値!$E318:$CZ318,1,$BN318+1):INDEX(終値!$E318:$CZ318,1,$BN318+20)))</f>
        <v/>
      </c>
      <c r="BS318" s="503" t="str">
        <f>IF($BM318="","",AVERAGE(INDEX(終値!$E318:$CZ318,1,$BM318+1):INDEX(終値!$E318:$CZ318,1,$BM318+20))+2*STDEVP(INDEX(終値!$E318:$CZ318,1,$BM318+1):INDEX(終値!$E318:$CZ318,1,$BM318+20)))</f>
        <v/>
      </c>
      <c r="BT318" s="500"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3" t="str">
        <f>IF(終値!A319="","",IF(AND(安値!G319&lt;安値!F319,安値!G319&lt;安値!E319,安値!G319&lt;安値!H319,安値!G319&lt;安値!I319),2,""))</f>
        <v/>
      </c>
      <c r="C319" s="503" t="str">
        <f>IF(終値!A319="","",IF(AND(安値!H319&lt;安値!G319,安値!H319&lt;安値!F319,安値!H319&lt;安値!I319,安値!H319&lt;安値!J319),3,""))</f>
        <v/>
      </c>
      <c r="D319" s="503" t="str">
        <f>IF(終値!A319="","",IF(AND(安値!I319&lt;安値!H319,安値!I319&lt;安値!G319,安値!I319&lt;安値!J319,安値!I319&lt;安値!K319),4,""))</f>
        <v/>
      </c>
      <c r="E319" s="503" t="str">
        <f>IF(終値!A319="","",IF(AND(安値!J319&lt;安値!I319,安値!J319&lt;安値!H319,安値!J319&lt;安値!K319,安値!J319&lt;安値!L319),5,""))</f>
        <v/>
      </c>
      <c r="F319" s="503" t="str">
        <f>IF(終値!A319="","",IF(AND(安値!K319&lt;安値!J319,安値!K319&lt;安値!I319,安値!K319&lt;安値!L319,安値!K319&lt;安値!M319),6,""))</f>
        <v/>
      </c>
      <c r="G319" s="503" t="str">
        <f>IF(終値!A319="","",IF(AND(安値!L319&lt;安値!K319,安値!L319&lt;安値!J319,安値!L319&lt;安値!M319,安値!L319&lt;安値!N319),7,""))</f>
        <v/>
      </c>
      <c r="H319" s="503" t="str">
        <f>IF(終値!A319="","",IF(AND(安値!M319&lt;安値!L319,安値!M319&lt;安値!K319,安値!M319&lt;安値!N319,安値!M319&lt;安値!O319),8,""))</f>
        <v/>
      </c>
      <c r="I319" s="503" t="str">
        <f>IF(終値!A319="","",IF(AND(安値!N319&lt;安値!M319,安値!N319&lt;安値!L319,安値!N319&lt;安値!O319,安値!N319&lt;安値!P319),9,""))</f>
        <v/>
      </c>
      <c r="J319" s="503" t="str">
        <f>IF(終値!A319="","",IF(AND(安値!O319&lt;安値!N319,安値!O319&lt;安値!M319,安値!O319&lt;安値!P319,安値!O319&lt;安値!Q319),10,""))</f>
        <v/>
      </c>
      <c r="K319" s="503" t="str">
        <f>IF(終値!A319="","",IF(AND(安値!P319&lt;安値!O319,安値!P319&lt;安値!N319,安値!P319&lt;安値!Q319,安値!P319&lt;安値!R319),11,""))</f>
        <v/>
      </c>
      <c r="L319" s="503" t="str">
        <f>IF(終値!A319="","",IF(AND(安値!Q319&lt;安値!P319,安値!Q319&lt;安値!O319,安値!Q319&lt;安値!R319,安値!Q319&lt;安値!S319),12,""))</f>
        <v/>
      </c>
      <c r="M319" s="503" t="str">
        <f>IF(終値!A319="","",IF(AND(安値!R319&lt;安値!Q319,安値!R319&lt;安値!P319,安値!R319&lt;安値!S319,安値!R319&lt;安値!T319),13,""))</f>
        <v/>
      </c>
      <c r="N319" s="503" t="str">
        <f>IF(終値!A319="","",IF(AND(安値!S319&lt;安値!R319,安値!S319&lt;安値!Q319,安値!S319&lt;安値!T319,安値!S319&lt;安値!U319),14,""))</f>
        <v/>
      </c>
      <c r="O319" s="503" t="str">
        <f>IF(終値!A319="","",IF(AND(安値!T319&lt;安値!S319,安値!T319&lt;安値!R319,安値!T319&lt;安値!U319,安値!T319&lt;安値!V319),15,""))</f>
        <v/>
      </c>
      <c r="P319" s="503" t="str">
        <f>IF(終値!A319="","",IF(AND(安値!U319&lt;安値!T319,安値!U319&lt;安値!S319,安値!U319&lt;安値!V319,安値!U319&lt;安値!W319),16,""))</f>
        <v/>
      </c>
      <c r="Q319" s="503" t="str">
        <f>IF(終値!A319="","",IF(AND(安値!V319&lt;安値!U319,安値!V319&lt;安値!T319,安値!V319&lt;安値!W319,安値!V319&lt;安値!X319),17,""))</f>
        <v/>
      </c>
      <c r="R319" s="503" t="str">
        <f>IF(終値!A319="","",IF(AND(安値!W319&lt;安値!V319,安値!W319&lt;安値!U319,安値!W319&lt;安値!X319,安値!W319&lt;安値!Y319),18,""))</f>
        <v/>
      </c>
      <c r="S319" s="503" t="str">
        <f>IF(終値!A319="","",IF(AND(安値!X319&lt;安値!W319,安値!X319&lt;安値!V319,安値!X319&lt;安値!Y319,安値!X319&lt;安値!Z319),19,""))</f>
        <v/>
      </c>
      <c r="T319" s="503" t="str">
        <f>IF(終値!A319="","",IF(AND(安値!Y319&lt;安値!X319,安値!Y319&lt;安値!W319,安値!Y319&lt;安値!Z319,安値!Y319&lt;安値!AA319),20,""))</f>
        <v/>
      </c>
      <c r="U319" s="503" t="str">
        <f>IF(終値!A319="","",IF(AND(安値!Z319&lt;安値!Y319,安値!Z319&lt;安値!X319,安値!Z319&lt;安値!AA319,安値!Z319&lt;安値!AB319),21,""))</f>
        <v/>
      </c>
      <c r="V319" s="503" t="str">
        <f>IF(終値!A319="","",IF(AND(安値!AA319&lt;安値!Z319,安値!AA319&lt;安値!Y319,安値!AA319&lt;安値!AB319,安値!AA319&lt;安値!AC319),22,""))</f>
        <v/>
      </c>
      <c r="W319" s="503" t="str">
        <f>IF(終値!A319="","",IF(AND(安値!AB319&lt;安値!AA319,安値!AB319&lt;安値!Z319,安値!AB319&lt;安値!AC319,安値!AB319&lt;安値!AD319),23,""))</f>
        <v/>
      </c>
      <c r="X319" s="503" t="str">
        <f>IF(終値!A319="","",IF(AND(安値!AC319&lt;安値!AB319,安値!AC319&lt;安値!AA319,安値!AC319&lt;安値!AD319,安値!AC319&lt;安値!AE319),24,""))</f>
        <v/>
      </c>
      <c r="Y319" s="503" t="str">
        <f>IF(終値!A319="","",IF(AND(安値!AD319&lt;安値!AC319,安値!AD319&lt;安値!AB319,安値!AD319&lt;安値!AE319,安値!AD319&lt;安値!AF319),25,""))</f>
        <v/>
      </c>
      <c r="Z319" s="503" t="str">
        <f>IF(終値!A319="","",IF(AND(安値!AE319&lt;安値!AD319,安値!AE319&lt;安値!AC319,安値!AE319&lt;安値!AF319,安値!AE319&lt;安値!AG319),26,""))</f>
        <v/>
      </c>
      <c r="AA319" s="503" t="str">
        <f>IF(終値!A319="","",IF(AND(安値!AF319&lt;安値!AE319,安値!AF319&lt;安値!AD319,安値!AF319&lt;安値!AG319,安値!AF319&lt;安値!AH319),27,""))</f>
        <v/>
      </c>
      <c r="AB319" s="503" t="str">
        <f>IF(終値!A319="","",IF(AND(安値!AG319&lt;安値!AF319,安値!AG319&lt;安値!AE319,安値!AG319&lt;安値!AH319,安値!AG319&lt;安値!AI319),28,""))</f>
        <v/>
      </c>
      <c r="AC319" s="503" t="str">
        <f>IF(終値!A319="","",IF(AND(高値!G319&gt;高値!F319,高値!G319&gt;高値!E319,高値!G319&gt;高値!H319,高値!G319&gt;高値!I319),2,""))</f>
        <v/>
      </c>
      <c r="AD319" s="503" t="str">
        <f>IF(終値!A319="","",IF(AND(高値!H319&gt;高値!G319,高値!H319&gt;高値!F319,高値!H319&gt;高値!I319,高値!H319&gt;高値!J319),3,""))</f>
        <v/>
      </c>
      <c r="AE319" s="503" t="str">
        <f>IF(終値!A319="","",IF(AND(高値!I319&gt;高値!H319,高値!I319&gt;高値!G319,高値!I319&gt;高値!J319,高値!I319&gt;高値!K319),4,""))</f>
        <v/>
      </c>
      <c r="AF319" s="503" t="str">
        <f>IF(終値!A319="","",IF(AND(高値!J319&gt;高値!I319,高値!J319&gt;高値!H319,高値!J319&gt;高値!K319,高値!J319&gt;高値!L319),5,""))</f>
        <v/>
      </c>
      <c r="AG319" s="503" t="str">
        <f>IF(終値!A319="","",IF(AND(高値!K319&gt;高値!J319,高値!K319&gt;高値!I319,高値!K319&gt;高値!L319,高値!K319&gt;高値!M319),6,""))</f>
        <v/>
      </c>
      <c r="AH319" s="503" t="str">
        <f>IF(終値!A319="","",IF(AND(高値!L319&gt;高値!K319,高値!L319&gt;高値!J319,高値!L319&gt;高値!M319,高値!L319&gt;高値!N319),7,""))</f>
        <v/>
      </c>
      <c r="AI319" s="503" t="str">
        <f>IF(終値!A319="","",IF(AND(高値!M319&gt;高値!L319,高値!M319&gt;高値!K319,高値!M319&gt;高値!N319,高値!M319&gt;高値!O319),8,""))</f>
        <v/>
      </c>
      <c r="AJ319" s="503" t="str">
        <f>IF(終値!A319="","",IF(AND(高値!N319&gt;高値!M319,高値!N319&gt;高値!L319,高値!N319&gt;高値!O319,高値!N319&gt;高値!P319),9,""))</f>
        <v/>
      </c>
      <c r="AK319" s="503" t="str">
        <f>IF(終値!A319="","",IF(AND(高値!O319&gt;高値!N319,高値!O319&gt;高値!M319,高値!O319&gt;高値!P319,高値!O319&gt;高値!Q319),10,""))</f>
        <v/>
      </c>
      <c r="AL319" s="503" t="str">
        <f>IF(終値!A319="","",IF(AND(高値!P319&gt;高値!O319,高値!P319&gt;高値!N319,高値!P319&gt;高値!Q319,高値!P319&gt;高値!R319),11,""))</f>
        <v/>
      </c>
      <c r="AM319" s="503" t="str">
        <f>IF(終値!A319="","",IF(AND(高値!Q319&gt;高値!P319,高値!Q319&gt;高値!O319,高値!Q319&gt;高値!R319,高値!Q319&gt;高値!S319),12,""))</f>
        <v/>
      </c>
      <c r="AN319" s="503" t="str">
        <f>IF(終値!A319="","",IF(AND(高値!R319&gt;高値!Q319,高値!R319&gt;高値!P319,高値!R319&gt;高値!S319,高値!R319&gt;高値!T319),13,""))</f>
        <v/>
      </c>
      <c r="AO319" s="503" t="str">
        <f>IF(終値!A319="","",IF(AND(高値!S319&gt;高値!R319,高値!S319&gt;高値!Q319,高値!S319&gt;高値!T319,高値!S319&gt;高値!U319),14,""))</f>
        <v/>
      </c>
      <c r="AP319" s="503" t="str">
        <f>IF(終値!A319="","",IF(AND(高値!T319&gt;高値!S319,高値!T319&gt;高値!R319,高値!T319&gt;高値!U319,高値!T319&gt;高値!V319),15,""))</f>
        <v/>
      </c>
      <c r="AQ319" s="503" t="str">
        <f>IF(終値!A319="","",IF(AND(高値!U319&gt;高値!T319,高値!U319&gt;高値!S319,高値!U319&gt;高値!V319,高値!U319&gt;高値!W319),16,""))</f>
        <v/>
      </c>
      <c r="AR319" s="503" t="str">
        <f>IF(終値!A319="","",IF(AND(高値!V319&gt;高値!U319,高値!V319&gt;高値!T319,高値!V319&gt;高値!W319,高値!V319&gt;高値!X319),17,""))</f>
        <v/>
      </c>
      <c r="AS319" s="503" t="str">
        <f>IF(終値!A319="","",IF(AND(高値!W319&gt;高値!V319,高値!W319&gt;高値!U319,高値!W319&gt;高値!X319,高値!W319&gt;高値!Y319),18,""))</f>
        <v/>
      </c>
      <c r="AT319" s="503" t="str">
        <f>IF(終値!A319="","",IF(AND(高値!X319&gt;高値!W319,高値!X319&gt;高値!V319,高値!X319&gt;高値!Y319,高値!X319&gt;高値!Z319),19,""))</f>
        <v/>
      </c>
      <c r="AU319" s="503" t="str">
        <f>IF(終値!A319="","",IF(AND(高値!Y319&gt;高値!X319,高値!Y319&gt;高値!W319,高値!Y319&gt;高値!Z319,高値!Y319&gt;高値!AA319),20,""))</f>
        <v/>
      </c>
      <c r="AV319" s="503" t="str">
        <f>IF(終値!A319="","",IF(AND(高値!Z319&gt;高値!Y319,高値!Z319&gt;高値!X319,高値!Z319&gt;高値!AA319,高値!Z319&gt;高値!AB319),21,""))</f>
        <v/>
      </c>
      <c r="AW319" s="503" t="str">
        <f>IF(終値!A319="","",IF(AND(高値!AA319&gt;高値!Z319,高値!AA319&gt;高値!Y319,高値!AA319&gt;高値!AB319,高値!AA319&gt;高値!AC319),22,""))</f>
        <v/>
      </c>
      <c r="AX319" s="503" t="str">
        <f>IF(終値!A319="","",IF(AND(高値!AB319&gt;高値!AA319,高値!AB319&gt;高値!Z319,高値!AB319&gt;高値!AC319,高値!AB319&gt;高値!AD319),23,""))</f>
        <v/>
      </c>
      <c r="AY319" s="503" t="str">
        <f>IF(終値!A319="","",IF(AND(高値!AC319&gt;高値!AB319,高値!AC319&gt;高値!AA319,高値!AC319&gt;高値!AD319,高値!AC319&gt;高値!AE319),24,""))</f>
        <v/>
      </c>
      <c r="AZ319" s="503" t="str">
        <f>IF(終値!A319="","",IF(AND(高値!AD319&gt;高値!AC319,高値!AD319&gt;高値!AB319,高値!AD319&gt;高値!AE319,高値!AD319&gt;高値!AF319),25,""))</f>
        <v/>
      </c>
      <c r="BA319" s="503" t="str">
        <f>IF(終値!A319="","",IF(AND(高値!AE319&gt;高値!AD319,高値!AE319&gt;高値!AC319,高値!AE319&gt;高値!AF319,高値!AE319&gt;高値!AG319),26,""))</f>
        <v/>
      </c>
      <c r="BB319" s="503" t="str">
        <f>IF(終値!A319="","",IF(AND(高値!AF319&gt;高値!AE319,高値!AF319&gt;高値!AD319,高値!AF319&gt;高値!AG319,高値!AF319&gt;高値!AH319),27,""))</f>
        <v/>
      </c>
      <c r="BC319" s="503" t="str">
        <f>IF(終値!A319="","",IF(AND(高値!AG319&gt;高値!AF319,高値!AG319&gt;高値!AE319,高値!AG319&gt;高値!AH319,高値!AG319&gt;高値!AI319),28,""))</f>
        <v/>
      </c>
      <c r="BD319" s="503">
        <f t="shared" si="24"/>
        <v>0</v>
      </c>
      <c r="BE319" s="503" t="str">
        <f t="shared" si="25"/>
        <v/>
      </c>
      <c r="BF319" s="503" t="str">
        <f t="shared" si="26"/>
        <v/>
      </c>
      <c r="BG319" s="503" t="str">
        <f>IF($BE319="","",INDEX(安値!$E319:$CZ319,1,$BE319+1))</f>
        <v/>
      </c>
      <c r="BH319" s="503" t="str">
        <f>IF($BF319="","",INDEX(安値!$E319:$CZ319,1,$BF319+1))</f>
        <v/>
      </c>
      <c r="BI319" s="503" t="str">
        <f>IF($BF319="","",MAX(INDEX(高値!$E319:$CZ319,1,$BE319+1):INDEX(高値!$E319:$CZ319,1,$BF319+1)))</f>
        <v/>
      </c>
      <c r="BJ319" s="503" t="str">
        <f>IF($BF319="","",AVERAGE(INDEX(終値!$E319:$CZ319,1,$BF319+1):INDEX(終値!$E319:$CZ319,1,$BF319+20))-2*STDEVP(INDEX(終値!$E319:$CZ319,1,$BF319+1):INDEX(終値!$E319:$CZ319,1,$BF319+20)))</f>
        <v/>
      </c>
      <c r="BK319" s="503" t="str">
        <f>IF($BE319="","",AVERAGE(INDEX(終値!$E319:$CZ319,1,$BE319+1):INDEX(終値!$E319:$CZ319,1,$BE319+20))-2*STDEVP(INDEX(終値!$E319:$CZ319,1,$BE319+1):INDEX(終値!$E319:$CZ319,1,$BE319+20)))</f>
        <v/>
      </c>
      <c r="BL319" s="503">
        <f t="shared" si="27"/>
        <v>0</v>
      </c>
      <c r="BM319" s="503" t="str">
        <f t="shared" si="28"/>
        <v/>
      </c>
      <c r="BN319" s="503" t="str">
        <f t="shared" si="29"/>
        <v/>
      </c>
      <c r="BO319" s="503" t="str">
        <f>IF($BM319="","",INDEX(高値!$E319:$CZ319,1,$BM319+1))</f>
        <v/>
      </c>
      <c r="BP319" s="503" t="str">
        <f>IF($BN319="","",INDEX(高値!$E319:$CZ319,1,$BN319+1))</f>
        <v/>
      </c>
      <c r="BQ319" s="503" t="str">
        <f>IF($BN319="","",MIN(INDEX(安値!$E319:$CZ319,1,$BM319+1):INDEX(安値!$E319:$CZ319,1,$BN319+1)))</f>
        <v/>
      </c>
      <c r="BR319" s="503" t="str">
        <f>IF($BN319="","",AVERAGE(INDEX(終値!$E319:$CZ319,1,$BN319+1):INDEX(終値!$E319:$CZ319,1,$BN319+20))+2*STDEVP(INDEX(終値!$E319:$CZ319,1,$BN319+1):INDEX(終値!$E319:$CZ319,1,$BN319+20)))</f>
        <v/>
      </c>
      <c r="BS319" s="503" t="str">
        <f>IF($BM319="","",AVERAGE(INDEX(終値!$E319:$CZ319,1,$BM319+1):INDEX(終値!$E319:$CZ319,1,$BM319+20))+2*STDEVP(INDEX(終値!$E319:$CZ319,1,$BM319+1):INDEX(終値!$E319:$CZ319,1,$BM319+20)))</f>
        <v/>
      </c>
      <c r="BT319" s="500"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3" t="str">
        <f>IF(終値!A320="","",IF(AND(安値!G320&lt;安値!F320,安値!G320&lt;安値!E320,安値!G320&lt;安値!H320,安値!G320&lt;安値!I320),2,""))</f>
        <v/>
      </c>
      <c r="C320" s="503" t="str">
        <f>IF(終値!A320="","",IF(AND(安値!H320&lt;安値!G320,安値!H320&lt;安値!F320,安値!H320&lt;安値!I320,安値!H320&lt;安値!J320),3,""))</f>
        <v/>
      </c>
      <c r="D320" s="503" t="str">
        <f>IF(終値!A320="","",IF(AND(安値!I320&lt;安値!H320,安値!I320&lt;安値!G320,安値!I320&lt;安値!J320,安値!I320&lt;安値!K320),4,""))</f>
        <v/>
      </c>
      <c r="E320" s="503" t="str">
        <f>IF(終値!A320="","",IF(AND(安値!J320&lt;安値!I320,安値!J320&lt;安値!H320,安値!J320&lt;安値!K320,安値!J320&lt;安値!L320),5,""))</f>
        <v/>
      </c>
      <c r="F320" s="503" t="str">
        <f>IF(終値!A320="","",IF(AND(安値!K320&lt;安値!J320,安値!K320&lt;安値!I320,安値!K320&lt;安値!L320,安値!K320&lt;安値!M320),6,""))</f>
        <v/>
      </c>
      <c r="G320" s="503" t="str">
        <f>IF(終値!A320="","",IF(AND(安値!L320&lt;安値!K320,安値!L320&lt;安値!J320,安値!L320&lt;安値!M320,安値!L320&lt;安値!N320),7,""))</f>
        <v/>
      </c>
      <c r="H320" s="503" t="str">
        <f>IF(終値!A320="","",IF(AND(安値!M320&lt;安値!L320,安値!M320&lt;安値!K320,安値!M320&lt;安値!N320,安値!M320&lt;安値!O320),8,""))</f>
        <v/>
      </c>
      <c r="I320" s="503" t="str">
        <f>IF(終値!A320="","",IF(AND(安値!N320&lt;安値!M320,安値!N320&lt;安値!L320,安値!N320&lt;安値!O320,安値!N320&lt;安値!P320),9,""))</f>
        <v/>
      </c>
      <c r="J320" s="503" t="str">
        <f>IF(終値!A320="","",IF(AND(安値!O320&lt;安値!N320,安値!O320&lt;安値!M320,安値!O320&lt;安値!P320,安値!O320&lt;安値!Q320),10,""))</f>
        <v/>
      </c>
      <c r="K320" s="503" t="str">
        <f>IF(終値!A320="","",IF(AND(安値!P320&lt;安値!O320,安値!P320&lt;安値!N320,安値!P320&lt;安値!Q320,安値!P320&lt;安値!R320),11,""))</f>
        <v/>
      </c>
      <c r="L320" s="503" t="str">
        <f>IF(終値!A320="","",IF(AND(安値!Q320&lt;安値!P320,安値!Q320&lt;安値!O320,安値!Q320&lt;安値!R320,安値!Q320&lt;安値!S320),12,""))</f>
        <v/>
      </c>
      <c r="M320" s="503" t="str">
        <f>IF(終値!A320="","",IF(AND(安値!R320&lt;安値!Q320,安値!R320&lt;安値!P320,安値!R320&lt;安値!S320,安値!R320&lt;安値!T320),13,""))</f>
        <v/>
      </c>
      <c r="N320" s="503" t="str">
        <f>IF(終値!A320="","",IF(AND(安値!S320&lt;安値!R320,安値!S320&lt;安値!Q320,安値!S320&lt;安値!T320,安値!S320&lt;安値!U320),14,""))</f>
        <v/>
      </c>
      <c r="O320" s="503" t="str">
        <f>IF(終値!A320="","",IF(AND(安値!T320&lt;安値!S320,安値!T320&lt;安値!R320,安値!T320&lt;安値!U320,安値!T320&lt;安値!V320),15,""))</f>
        <v/>
      </c>
      <c r="P320" s="503" t="str">
        <f>IF(終値!A320="","",IF(AND(安値!U320&lt;安値!T320,安値!U320&lt;安値!S320,安値!U320&lt;安値!V320,安値!U320&lt;安値!W320),16,""))</f>
        <v/>
      </c>
      <c r="Q320" s="503" t="str">
        <f>IF(終値!A320="","",IF(AND(安値!V320&lt;安値!U320,安値!V320&lt;安値!T320,安値!V320&lt;安値!W320,安値!V320&lt;安値!X320),17,""))</f>
        <v/>
      </c>
      <c r="R320" s="503" t="str">
        <f>IF(終値!A320="","",IF(AND(安値!W320&lt;安値!V320,安値!W320&lt;安値!U320,安値!W320&lt;安値!X320,安値!W320&lt;安値!Y320),18,""))</f>
        <v/>
      </c>
      <c r="S320" s="503" t="str">
        <f>IF(終値!A320="","",IF(AND(安値!X320&lt;安値!W320,安値!X320&lt;安値!V320,安値!X320&lt;安値!Y320,安値!X320&lt;安値!Z320),19,""))</f>
        <v/>
      </c>
      <c r="T320" s="503" t="str">
        <f>IF(終値!A320="","",IF(AND(安値!Y320&lt;安値!X320,安値!Y320&lt;安値!W320,安値!Y320&lt;安値!Z320,安値!Y320&lt;安値!AA320),20,""))</f>
        <v/>
      </c>
      <c r="U320" s="503" t="str">
        <f>IF(終値!A320="","",IF(AND(安値!Z320&lt;安値!Y320,安値!Z320&lt;安値!X320,安値!Z320&lt;安値!AA320,安値!Z320&lt;安値!AB320),21,""))</f>
        <v/>
      </c>
      <c r="V320" s="503" t="str">
        <f>IF(終値!A320="","",IF(AND(安値!AA320&lt;安値!Z320,安値!AA320&lt;安値!Y320,安値!AA320&lt;安値!AB320,安値!AA320&lt;安値!AC320),22,""))</f>
        <v/>
      </c>
      <c r="W320" s="503" t="str">
        <f>IF(終値!A320="","",IF(AND(安値!AB320&lt;安値!AA320,安値!AB320&lt;安値!Z320,安値!AB320&lt;安値!AC320,安値!AB320&lt;安値!AD320),23,""))</f>
        <v/>
      </c>
      <c r="X320" s="503" t="str">
        <f>IF(終値!A320="","",IF(AND(安値!AC320&lt;安値!AB320,安値!AC320&lt;安値!AA320,安値!AC320&lt;安値!AD320,安値!AC320&lt;安値!AE320),24,""))</f>
        <v/>
      </c>
      <c r="Y320" s="503" t="str">
        <f>IF(終値!A320="","",IF(AND(安値!AD320&lt;安値!AC320,安値!AD320&lt;安値!AB320,安値!AD320&lt;安値!AE320,安値!AD320&lt;安値!AF320),25,""))</f>
        <v/>
      </c>
      <c r="Z320" s="503" t="str">
        <f>IF(終値!A320="","",IF(AND(安値!AE320&lt;安値!AD320,安値!AE320&lt;安値!AC320,安値!AE320&lt;安値!AF320,安値!AE320&lt;安値!AG320),26,""))</f>
        <v/>
      </c>
      <c r="AA320" s="503" t="str">
        <f>IF(終値!A320="","",IF(AND(安値!AF320&lt;安値!AE320,安値!AF320&lt;安値!AD320,安値!AF320&lt;安値!AG320,安値!AF320&lt;安値!AH320),27,""))</f>
        <v/>
      </c>
      <c r="AB320" s="503" t="str">
        <f>IF(終値!A320="","",IF(AND(安値!AG320&lt;安値!AF320,安値!AG320&lt;安値!AE320,安値!AG320&lt;安値!AH320,安値!AG320&lt;安値!AI320),28,""))</f>
        <v/>
      </c>
      <c r="AC320" s="503" t="str">
        <f>IF(終値!A320="","",IF(AND(高値!G320&gt;高値!F320,高値!G320&gt;高値!E320,高値!G320&gt;高値!H320,高値!G320&gt;高値!I320),2,""))</f>
        <v/>
      </c>
      <c r="AD320" s="503" t="str">
        <f>IF(終値!A320="","",IF(AND(高値!H320&gt;高値!G320,高値!H320&gt;高値!F320,高値!H320&gt;高値!I320,高値!H320&gt;高値!J320),3,""))</f>
        <v/>
      </c>
      <c r="AE320" s="503" t="str">
        <f>IF(終値!A320="","",IF(AND(高値!I320&gt;高値!H320,高値!I320&gt;高値!G320,高値!I320&gt;高値!J320,高値!I320&gt;高値!K320),4,""))</f>
        <v/>
      </c>
      <c r="AF320" s="503" t="str">
        <f>IF(終値!A320="","",IF(AND(高値!J320&gt;高値!I320,高値!J320&gt;高値!H320,高値!J320&gt;高値!K320,高値!J320&gt;高値!L320),5,""))</f>
        <v/>
      </c>
      <c r="AG320" s="503" t="str">
        <f>IF(終値!A320="","",IF(AND(高値!K320&gt;高値!J320,高値!K320&gt;高値!I320,高値!K320&gt;高値!L320,高値!K320&gt;高値!M320),6,""))</f>
        <v/>
      </c>
      <c r="AH320" s="503" t="str">
        <f>IF(終値!A320="","",IF(AND(高値!L320&gt;高値!K320,高値!L320&gt;高値!J320,高値!L320&gt;高値!M320,高値!L320&gt;高値!N320),7,""))</f>
        <v/>
      </c>
      <c r="AI320" s="503" t="str">
        <f>IF(終値!A320="","",IF(AND(高値!M320&gt;高値!L320,高値!M320&gt;高値!K320,高値!M320&gt;高値!N320,高値!M320&gt;高値!O320),8,""))</f>
        <v/>
      </c>
      <c r="AJ320" s="503" t="str">
        <f>IF(終値!A320="","",IF(AND(高値!N320&gt;高値!M320,高値!N320&gt;高値!L320,高値!N320&gt;高値!O320,高値!N320&gt;高値!P320),9,""))</f>
        <v/>
      </c>
      <c r="AK320" s="503" t="str">
        <f>IF(終値!A320="","",IF(AND(高値!O320&gt;高値!N320,高値!O320&gt;高値!M320,高値!O320&gt;高値!P320,高値!O320&gt;高値!Q320),10,""))</f>
        <v/>
      </c>
      <c r="AL320" s="503" t="str">
        <f>IF(終値!A320="","",IF(AND(高値!P320&gt;高値!O320,高値!P320&gt;高値!N320,高値!P320&gt;高値!Q320,高値!P320&gt;高値!R320),11,""))</f>
        <v/>
      </c>
      <c r="AM320" s="503" t="str">
        <f>IF(終値!A320="","",IF(AND(高値!Q320&gt;高値!P320,高値!Q320&gt;高値!O320,高値!Q320&gt;高値!R320,高値!Q320&gt;高値!S320),12,""))</f>
        <v/>
      </c>
      <c r="AN320" s="503" t="str">
        <f>IF(終値!A320="","",IF(AND(高値!R320&gt;高値!Q320,高値!R320&gt;高値!P320,高値!R320&gt;高値!S320,高値!R320&gt;高値!T320),13,""))</f>
        <v/>
      </c>
      <c r="AO320" s="503" t="str">
        <f>IF(終値!A320="","",IF(AND(高値!S320&gt;高値!R320,高値!S320&gt;高値!Q320,高値!S320&gt;高値!T320,高値!S320&gt;高値!U320),14,""))</f>
        <v/>
      </c>
      <c r="AP320" s="503" t="str">
        <f>IF(終値!A320="","",IF(AND(高値!T320&gt;高値!S320,高値!T320&gt;高値!R320,高値!T320&gt;高値!U320,高値!T320&gt;高値!V320),15,""))</f>
        <v/>
      </c>
      <c r="AQ320" s="503" t="str">
        <f>IF(終値!A320="","",IF(AND(高値!U320&gt;高値!T320,高値!U320&gt;高値!S320,高値!U320&gt;高値!V320,高値!U320&gt;高値!W320),16,""))</f>
        <v/>
      </c>
      <c r="AR320" s="503" t="str">
        <f>IF(終値!A320="","",IF(AND(高値!V320&gt;高値!U320,高値!V320&gt;高値!T320,高値!V320&gt;高値!W320,高値!V320&gt;高値!X320),17,""))</f>
        <v/>
      </c>
      <c r="AS320" s="503" t="str">
        <f>IF(終値!A320="","",IF(AND(高値!W320&gt;高値!V320,高値!W320&gt;高値!U320,高値!W320&gt;高値!X320,高値!W320&gt;高値!Y320),18,""))</f>
        <v/>
      </c>
      <c r="AT320" s="503" t="str">
        <f>IF(終値!A320="","",IF(AND(高値!X320&gt;高値!W320,高値!X320&gt;高値!V320,高値!X320&gt;高値!Y320,高値!X320&gt;高値!Z320),19,""))</f>
        <v/>
      </c>
      <c r="AU320" s="503" t="str">
        <f>IF(終値!A320="","",IF(AND(高値!Y320&gt;高値!X320,高値!Y320&gt;高値!W320,高値!Y320&gt;高値!Z320,高値!Y320&gt;高値!AA320),20,""))</f>
        <v/>
      </c>
      <c r="AV320" s="503" t="str">
        <f>IF(終値!A320="","",IF(AND(高値!Z320&gt;高値!Y320,高値!Z320&gt;高値!X320,高値!Z320&gt;高値!AA320,高値!Z320&gt;高値!AB320),21,""))</f>
        <v/>
      </c>
      <c r="AW320" s="503" t="str">
        <f>IF(終値!A320="","",IF(AND(高値!AA320&gt;高値!Z320,高値!AA320&gt;高値!Y320,高値!AA320&gt;高値!AB320,高値!AA320&gt;高値!AC320),22,""))</f>
        <v/>
      </c>
      <c r="AX320" s="503" t="str">
        <f>IF(終値!A320="","",IF(AND(高値!AB320&gt;高値!AA320,高値!AB320&gt;高値!Z320,高値!AB320&gt;高値!AC320,高値!AB320&gt;高値!AD320),23,""))</f>
        <v/>
      </c>
      <c r="AY320" s="503" t="str">
        <f>IF(終値!A320="","",IF(AND(高値!AC320&gt;高値!AB320,高値!AC320&gt;高値!AA320,高値!AC320&gt;高値!AD320,高値!AC320&gt;高値!AE320),24,""))</f>
        <v/>
      </c>
      <c r="AZ320" s="503" t="str">
        <f>IF(終値!A320="","",IF(AND(高値!AD320&gt;高値!AC320,高値!AD320&gt;高値!AB320,高値!AD320&gt;高値!AE320,高値!AD320&gt;高値!AF320),25,""))</f>
        <v/>
      </c>
      <c r="BA320" s="503" t="str">
        <f>IF(終値!A320="","",IF(AND(高値!AE320&gt;高値!AD320,高値!AE320&gt;高値!AC320,高値!AE320&gt;高値!AF320,高値!AE320&gt;高値!AG320),26,""))</f>
        <v/>
      </c>
      <c r="BB320" s="503" t="str">
        <f>IF(終値!A320="","",IF(AND(高値!AF320&gt;高値!AE320,高値!AF320&gt;高値!AD320,高値!AF320&gt;高値!AG320,高値!AF320&gt;高値!AH320),27,""))</f>
        <v/>
      </c>
      <c r="BC320" s="503" t="str">
        <f>IF(終値!A320="","",IF(AND(高値!AG320&gt;高値!AF320,高値!AG320&gt;高値!AE320,高値!AG320&gt;高値!AH320,高値!AG320&gt;高値!AI320),28,""))</f>
        <v/>
      </c>
      <c r="BD320" s="503">
        <f t="shared" si="24"/>
        <v>0</v>
      </c>
      <c r="BE320" s="503" t="str">
        <f t="shared" si="25"/>
        <v/>
      </c>
      <c r="BF320" s="503" t="str">
        <f t="shared" si="26"/>
        <v/>
      </c>
      <c r="BG320" s="503" t="str">
        <f>IF($BE320="","",INDEX(安値!$E320:$CZ320,1,$BE320+1))</f>
        <v/>
      </c>
      <c r="BH320" s="503" t="str">
        <f>IF($BF320="","",INDEX(安値!$E320:$CZ320,1,$BF320+1))</f>
        <v/>
      </c>
      <c r="BI320" s="503" t="str">
        <f>IF($BF320="","",MAX(INDEX(高値!$E320:$CZ320,1,$BE320+1):INDEX(高値!$E320:$CZ320,1,$BF320+1)))</f>
        <v/>
      </c>
      <c r="BJ320" s="503" t="str">
        <f>IF($BF320="","",AVERAGE(INDEX(終値!$E320:$CZ320,1,$BF320+1):INDEX(終値!$E320:$CZ320,1,$BF320+20))-2*STDEVP(INDEX(終値!$E320:$CZ320,1,$BF320+1):INDEX(終値!$E320:$CZ320,1,$BF320+20)))</f>
        <v/>
      </c>
      <c r="BK320" s="503" t="str">
        <f>IF($BE320="","",AVERAGE(INDEX(終値!$E320:$CZ320,1,$BE320+1):INDEX(終値!$E320:$CZ320,1,$BE320+20))-2*STDEVP(INDEX(終値!$E320:$CZ320,1,$BE320+1):INDEX(終値!$E320:$CZ320,1,$BE320+20)))</f>
        <v/>
      </c>
      <c r="BL320" s="503">
        <f t="shared" si="27"/>
        <v>0</v>
      </c>
      <c r="BM320" s="503" t="str">
        <f t="shared" si="28"/>
        <v/>
      </c>
      <c r="BN320" s="503" t="str">
        <f t="shared" si="29"/>
        <v/>
      </c>
      <c r="BO320" s="503" t="str">
        <f>IF($BM320="","",INDEX(高値!$E320:$CZ320,1,$BM320+1))</f>
        <v/>
      </c>
      <c r="BP320" s="503" t="str">
        <f>IF($BN320="","",INDEX(高値!$E320:$CZ320,1,$BN320+1))</f>
        <v/>
      </c>
      <c r="BQ320" s="503" t="str">
        <f>IF($BN320="","",MIN(INDEX(安値!$E320:$CZ320,1,$BM320+1):INDEX(安値!$E320:$CZ320,1,$BN320+1)))</f>
        <v/>
      </c>
      <c r="BR320" s="503" t="str">
        <f>IF($BN320="","",AVERAGE(INDEX(終値!$E320:$CZ320,1,$BN320+1):INDEX(終値!$E320:$CZ320,1,$BN320+20))+2*STDEVP(INDEX(終値!$E320:$CZ320,1,$BN320+1):INDEX(終値!$E320:$CZ320,1,$BN320+20)))</f>
        <v/>
      </c>
      <c r="BS320" s="503" t="str">
        <f>IF($BM320="","",AVERAGE(INDEX(終値!$E320:$CZ320,1,$BM320+1):INDEX(終値!$E320:$CZ320,1,$BM320+20))+2*STDEVP(INDEX(終値!$E320:$CZ320,1,$BM320+1):INDEX(終値!$E320:$CZ320,1,$BM320+20)))</f>
        <v/>
      </c>
      <c r="BT320" s="500"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3" t="str">
        <f>IF(終値!A321="","",IF(AND(安値!G321&lt;安値!F321,安値!G321&lt;安値!E321,安値!G321&lt;安値!H321,安値!G321&lt;安値!I321),2,""))</f>
        <v/>
      </c>
      <c r="C321" s="503" t="str">
        <f>IF(終値!A321="","",IF(AND(安値!H321&lt;安値!G321,安値!H321&lt;安値!F321,安値!H321&lt;安値!I321,安値!H321&lt;安値!J321),3,""))</f>
        <v/>
      </c>
      <c r="D321" s="503" t="str">
        <f>IF(終値!A321="","",IF(AND(安値!I321&lt;安値!H321,安値!I321&lt;安値!G321,安値!I321&lt;安値!J321,安値!I321&lt;安値!K321),4,""))</f>
        <v/>
      </c>
      <c r="E321" s="503" t="str">
        <f>IF(終値!A321="","",IF(AND(安値!J321&lt;安値!I321,安値!J321&lt;安値!H321,安値!J321&lt;安値!K321,安値!J321&lt;安値!L321),5,""))</f>
        <v/>
      </c>
      <c r="F321" s="503" t="str">
        <f>IF(終値!A321="","",IF(AND(安値!K321&lt;安値!J321,安値!K321&lt;安値!I321,安値!K321&lt;安値!L321,安値!K321&lt;安値!M321),6,""))</f>
        <v/>
      </c>
      <c r="G321" s="503" t="str">
        <f>IF(終値!A321="","",IF(AND(安値!L321&lt;安値!K321,安値!L321&lt;安値!J321,安値!L321&lt;安値!M321,安値!L321&lt;安値!N321),7,""))</f>
        <v/>
      </c>
      <c r="H321" s="503" t="str">
        <f>IF(終値!A321="","",IF(AND(安値!M321&lt;安値!L321,安値!M321&lt;安値!K321,安値!M321&lt;安値!N321,安値!M321&lt;安値!O321),8,""))</f>
        <v/>
      </c>
      <c r="I321" s="503" t="str">
        <f>IF(終値!A321="","",IF(AND(安値!N321&lt;安値!M321,安値!N321&lt;安値!L321,安値!N321&lt;安値!O321,安値!N321&lt;安値!P321),9,""))</f>
        <v/>
      </c>
      <c r="J321" s="503" t="str">
        <f>IF(終値!A321="","",IF(AND(安値!O321&lt;安値!N321,安値!O321&lt;安値!M321,安値!O321&lt;安値!P321,安値!O321&lt;安値!Q321),10,""))</f>
        <v/>
      </c>
      <c r="K321" s="503" t="str">
        <f>IF(終値!A321="","",IF(AND(安値!P321&lt;安値!O321,安値!P321&lt;安値!N321,安値!P321&lt;安値!Q321,安値!P321&lt;安値!R321),11,""))</f>
        <v/>
      </c>
      <c r="L321" s="503" t="str">
        <f>IF(終値!A321="","",IF(AND(安値!Q321&lt;安値!P321,安値!Q321&lt;安値!O321,安値!Q321&lt;安値!R321,安値!Q321&lt;安値!S321),12,""))</f>
        <v/>
      </c>
      <c r="M321" s="503" t="str">
        <f>IF(終値!A321="","",IF(AND(安値!R321&lt;安値!Q321,安値!R321&lt;安値!P321,安値!R321&lt;安値!S321,安値!R321&lt;安値!T321),13,""))</f>
        <v/>
      </c>
      <c r="N321" s="503" t="str">
        <f>IF(終値!A321="","",IF(AND(安値!S321&lt;安値!R321,安値!S321&lt;安値!Q321,安値!S321&lt;安値!T321,安値!S321&lt;安値!U321),14,""))</f>
        <v/>
      </c>
      <c r="O321" s="503" t="str">
        <f>IF(終値!A321="","",IF(AND(安値!T321&lt;安値!S321,安値!T321&lt;安値!R321,安値!T321&lt;安値!U321,安値!T321&lt;安値!V321),15,""))</f>
        <v/>
      </c>
      <c r="P321" s="503" t="str">
        <f>IF(終値!A321="","",IF(AND(安値!U321&lt;安値!T321,安値!U321&lt;安値!S321,安値!U321&lt;安値!V321,安値!U321&lt;安値!W321),16,""))</f>
        <v/>
      </c>
      <c r="Q321" s="503" t="str">
        <f>IF(終値!A321="","",IF(AND(安値!V321&lt;安値!U321,安値!V321&lt;安値!T321,安値!V321&lt;安値!W321,安値!V321&lt;安値!X321),17,""))</f>
        <v/>
      </c>
      <c r="R321" s="503" t="str">
        <f>IF(終値!A321="","",IF(AND(安値!W321&lt;安値!V321,安値!W321&lt;安値!U321,安値!W321&lt;安値!X321,安値!W321&lt;安値!Y321),18,""))</f>
        <v/>
      </c>
      <c r="S321" s="503" t="str">
        <f>IF(終値!A321="","",IF(AND(安値!X321&lt;安値!W321,安値!X321&lt;安値!V321,安値!X321&lt;安値!Y321,安値!X321&lt;安値!Z321),19,""))</f>
        <v/>
      </c>
      <c r="T321" s="503" t="str">
        <f>IF(終値!A321="","",IF(AND(安値!Y321&lt;安値!X321,安値!Y321&lt;安値!W321,安値!Y321&lt;安値!Z321,安値!Y321&lt;安値!AA321),20,""))</f>
        <v/>
      </c>
      <c r="U321" s="503" t="str">
        <f>IF(終値!A321="","",IF(AND(安値!Z321&lt;安値!Y321,安値!Z321&lt;安値!X321,安値!Z321&lt;安値!AA321,安値!Z321&lt;安値!AB321),21,""))</f>
        <v/>
      </c>
      <c r="V321" s="503" t="str">
        <f>IF(終値!A321="","",IF(AND(安値!AA321&lt;安値!Z321,安値!AA321&lt;安値!Y321,安値!AA321&lt;安値!AB321,安値!AA321&lt;安値!AC321),22,""))</f>
        <v/>
      </c>
      <c r="W321" s="503" t="str">
        <f>IF(終値!A321="","",IF(AND(安値!AB321&lt;安値!AA321,安値!AB321&lt;安値!Z321,安値!AB321&lt;安値!AC321,安値!AB321&lt;安値!AD321),23,""))</f>
        <v/>
      </c>
      <c r="X321" s="503" t="str">
        <f>IF(終値!A321="","",IF(AND(安値!AC321&lt;安値!AB321,安値!AC321&lt;安値!AA321,安値!AC321&lt;安値!AD321,安値!AC321&lt;安値!AE321),24,""))</f>
        <v/>
      </c>
      <c r="Y321" s="503" t="str">
        <f>IF(終値!A321="","",IF(AND(安値!AD321&lt;安値!AC321,安値!AD321&lt;安値!AB321,安値!AD321&lt;安値!AE321,安値!AD321&lt;安値!AF321),25,""))</f>
        <v/>
      </c>
      <c r="Z321" s="503" t="str">
        <f>IF(終値!A321="","",IF(AND(安値!AE321&lt;安値!AD321,安値!AE321&lt;安値!AC321,安値!AE321&lt;安値!AF321,安値!AE321&lt;安値!AG321),26,""))</f>
        <v/>
      </c>
      <c r="AA321" s="503" t="str">
        <f>IF(終値!A321="","",IF(AND(安値!AF321&lt;安値!AE321,安値!AF321&lt;安値!AD321,安値!AF321&lt;安値!AG321,安値!AF321&lt;安値!AH321),27,""))</f>
        <v/>
      </c>
      <c r="AB321" s="503" t="str">
        <f>IF(終値!A321="","",IF(AND(安値!AG321&lt;安値!AF321,安値!AG321&lt;安値!AE321,安値!AG321&lt;安値!AH321,安値!AG321&lt;安値!AI321),28,""))</f>
        <v/>
      </c>
      <c r="AC321" s="503" t="str">
        <f>IF(終値!A321="","",IF(AND(高値!G321&gt;高値!F321,高値!G321&gt;高値!E321,高値!G321&gt;高値!H321,高値!G321&gt;高値!I321),2,""))</f>
        <v/>
      </c>
      <c r="AD321" s="503" t="str">
        <f>IF(終値!A321="","",IF(AND(高値!H321&gt;高値!G321,高値!H321&gt;高値!F321,高値!H321&gt;高値!I321,高値!H321&gt;高値!J321),3,""))</f>
        <v/>
      </c>
      <c r="AE321" s="503" t="str">
        <f>IF(終値!A321="","",IF(AND(高値!I321&gt;高値!H321,高値!I321&gt;高値!G321,高値!I321&gt;高値!J321,高値!I321&gt;高値!K321),4,""))</f>
        <v/>
      </c>
      <c r="AF321" s="503" t="str">
        <f>IF(終値!A321="","",IF(AND(高値!J321&gt;高値!I321,高値!J321&gt;高値!H321,高値!J321&gt;高値!K321,高値!J321&gt;高値!L321),5,""))</f>
        <v/>
      </c>
      <c r="AG321" s="503" t="str">
        <f>IF(終値!A321="","",IF(AND(高値!K321&gt;高値!J321,高値!K321&gt;高値!I321,高値!K321&gt;高値!L321,高値!K321&gt;高値!M321),6,""))</f>
        <v/>
      </c>
      <c r="AH321" s="503" t="str">
        <f>IF(終値!A321="","",IF(AND(高値!L321&gt;高値!K321,高値!L321&gt;高値!J321,高値!L321&gt;高値!M321,高値!L321&gt;高値!N321),7,""))</f>
        <v/>
      </c>
      <c r="AI321" s="503" t="str">
        <f>IF(終値!A321="","",IF(AND(高値!M321&gt;高値!L321,高値!M321&gt;高値!K321,高値!M321&gt;高値!N321,高値!M321&gt;高値!O321),8,""))</f>
        <v/>
      </c>
      <c r="AJ321" s="503" t="str">
        <f>IF(終値!A321="","",IF(AND(高値!N321&gt;高値!M321,高値!N321&gt;高値!L321,高値!N321&gt;高値!O321,高値!N321&gt;高値!P321),9,""))</f>
        <v/>
      </c>
      <c r="AK321" s="503" t="str">
        <f>IF(終値!A321="","",IF(AND(高値!O321&gt;高値!N321,高値!O321&gt;高値!M321,高値!O321&gt;高値!P321,高値!O321&gt;高値!Q321),10,""))</f>
        <v/>
      </c>
      <c r="AL321" s="503" t="str">
        <f>IF(終値!A321="","",IF(AND(高値!P321&gt;高値!O321,高値!P321&gt;高値!N321,高値!P321&gt;高値!Q321,高値!P321&gt;高値!R321),11,""))</f>
        <v/>
      </c>
      <c r="AM321" s="503" t="str">
        <f>IF(終値!A321="","",IF(AND(高値!Q321&gt;高値!P321,高値!Q321&gt;高値!O321,高値!Q321&gt;高値!R321,高値!Q321&gt;高値!S321),12,""))</f>
        <v/>
      </c>
      <c r="AN321" s="503" t="str">
        <f>IF(終値!A321="","",IF(AND(高値!R321&gt;高値!Q321,高値!R321&gt;高値!P321,高値!R321&gt;高値!S321,高値!R321&gt;高値!T321),13,""))</f>
        <v/>
      </c>
      <c r="AO321" s="503" t="str">
        <f>IF(終値!A321="","",IF(AND(高値!S321&gt;高値!R321,高値!S321&gt;高値!Q321,高値!S321&gt;高値!T321,高値!S321&gt;高値!U321),14,""))</f>
        <v/>
      </c>
      <c r="AP321" s="503" t="str">
        <f>IF(終値!A321="","",IF(AND(高値!T321&gt;高値!S321,高値!T321&gt;高値!R321,高値!T321&gt;高値!U321,高値!T321&gt;高値!V321),15,""))</f>
        <v/>
      </c>
      <c r="AQ321" s="503" t="str">
        <f>IF(終値!A321="","",IF(AND(高値!U321&gt;高値!T321,高値!U321&gt;高値!S321,高値!U321&gt;高値!V321,高値!U321&gt;高値!W321),16,""))</f>
        <v/>
      </c>
      <c r="AR321" s="503" t="str">
        <f>IF(終値!A321="","",IF(AND(高値!V321&gt;高値!U321,高値!V321&gt;高値!T321,高値!V321&gt;高値!W321,高値!V321&gt;高値!X321),17,""))</f>
        <v/>
      </c>
      <c r="AS321" s="503" t="str">
        <f>IF(終値!A321="","",IF(AND(高値!W321&gt;高値!V321,高値!W321&gt;高値!U321,高値!W321&gt;高値!X321,高値!W321&gt;高値!Y321),18,""))</f>
        <v/>
      </c>
      <c r="AT321" s="503" t="str">
        <f>IF(終値!A321="","",IF(AND(高値!X321&gt;高値!W321,高値!X321&gt;高値!V321,高値!X321&gt;高値!Y321,高値!X321&gt;高値!Z321),19,""))</f>
        <v/>
      </c>
      <c r="AU321" s="503" t="str">
        <f>IF(終値!A321="","",IF(AND(高値!Y321&gt;高値!X321,高値!Y321&gt;高値!W321,高値!Y321&gt;高値!Z321,高値!Y321&gt;高値!AA321),20,""))</f>
        <v/>
      </c>
      <c r="AV321" s="503" t="str">
        <f>IF(終値!A321="","",IF(AND(高値!Z321&gt;高値!Y321,高値!Z321&gt;高値!X321,高値!Z321&gt;高値!AA321,高値!Z321&gt;高値!AB321),21,""))</f>
        <v/>
      </c>
      <c r="AW321" s="503" t="str">
        <f>IF(終値!A321="","",IF(AND(高値!AA321&gt;高値!Z321,高値!AA321&gt;高値!Y321,高値!AA321&gt;高値!AB321,高値!AA321&gt;高値!AC321),22,""))</f>
        <v/>
      </c>
      <c r="AX321" s="503" t="str">
        <f>IF(終値!A321="","",IF(AND(高値!AB321&gt;高値!AA321,高値!AB321&gt;高値!Z321,高値!AB321&gt;高値!AC321,高値!AB321&gt;高値!AD321),23,""))</f>
        <v/>
      </c>
      <c r="AY321" s="503" t="str">
        <f>IF(終値!A321="","",IF(AND(高値!AC321&gt;高値!AB321,高値!AC321&gt;高値!AA321,高値!AC321&gt;高値!AD321,高値!AC321&gt;高値!AE321),24,""))</f>
        <v/>
      </c>
      <c r="AZ321" s="503" t="str">
        <f>IF(終値!A321="","",IF(AND(高値!AD321&gt;高値!AC321,高値!AD321&gt;高値!AB321,高値!AD321&gt;高値!AE321,高値!AD321&gt;高値!AF321),25,""))</f>
        <v/>
      </c>
      <c r="BA321" s="503" t="str">
        <f>IF(終値!A321="","",IF(AND(高値!AE321&gt;高値!AD321,高値!AE321&gt;高値!AC321,高値!AE321&gt;高値!AF321,高値!AE321&gt;高値!AG321),26,""))</f>
        <v/>
      </c>
      <c r="BB321" s="503" t="str">
        <f>IF(終値!A321="","",IF(AND(高値!AF321&gt;高値!AE321,高値!AF321&gt;高値!AD321,高値!AF321&gt;高値!AG321,高値!AF321&gt;高値!AH321),27,""))</f>
        <v/>
      </c>
      <c r="BC321" s="503" t="str">
        <f>IF(終値!A321="","",IF(AND(高値!AG321&gt;高値!AF321,高値!AG321&gt;高値!AE321,高値!AG321&gt;高値!AH321,高値!AG321&gt;高値!AI321),28,""))</f>
        <v/>
      </c>
      <c r="BD321" s="503">
        <f t="shared" si="24"/>
        <v>0</v>
      </c>
      <c r="BE321" s="503" t="str">
        <f t="shared" si="25"/>
        <v/>
      </c>
      <c r="BF321" s="503" t="str">
        <f t="shared" si="26"/>
        <v/>
      </c>
      <c r="BG321" s="503" t="str">
        <f>IF($BE321="","",INDEX(安値!$E321:$CZ321,1,$BE321+1))</f>
        <v/>
      </c>
      <c r="BH321" s="503" t="str">
        <f>IF($BF321="","",INDEX(安値!$E321:$CZ321,1,$BF321+1))</f>
        <v/>
      </c>
      <c r="BI321" s="503" t="str">
        <f>IF($BF321="","",MAX(INDEX(高値!$E321:$CZ321,1,$BE321+1):INDEX(高値!$E321:$CZ321,1,$BF321+1)))</f>
        <v/>
      </c>
      <c r="BJ321" s="503" t="str">
        <f>IF($BF321="","",AVERAGE(INDEX(終値!$E321:$CZ321,1,$BF321+1):INDEX(終値!$E321:$CZ321,1,$BF321+20))-2*STDEVP(INDEX(終値!$E321:$CZ321,1,$BF321+1):INDEX(終値!$E321:$CZ321,1,$BF321+20)))</f>
        <v/>
      </c>
      <c r="BK321" s="503" t="str">
        <f>IF($BE321="","",AVERAGE(INDEX(終値!$E321:$CZ321,1,$BE321+1):INDEX(終値!$E321:$CZ321,1,$BE321+20))-2*STDEVP(INDEX(終値!$E321:$CZ321,1,$BE321+1):INDEX(終値!$E321:$CZ321,1,$BE321+20)))</f>
        <v/>
      </c>
      <c r="BL321" s="503">
        <f t="shared" si="27"/>
        <v>0</v>
      </c>
      <c r="BM321" s="503" t="str">
        <f t="shared" si="28"/>
        <v/>
      </c>
      <c r="BN321" s="503" t="str">
        <f t="shared" si="29"/>
        <v/>
      </c>
      <c r="BO321" s="503" t="str">
        <f>IF($BM321="","",INDEX(高値!$E321:$CZ321,1,$BM321+1))</f>
        <v/>
      </c>
      <c r="BP321" s="503" t="str">
        <f>IF($BN321="","",INDEX(高値!$E321:$CZ321,1,$BN321+1))</f>
        <v/>
      </c>
      <c r="BQ321" s="503" t="str">
        <f>IF($BN321="","",MIN(INDEX(安値!$E321:$CZ321,1,$BM321+1):INDEX(安値!$E321:$CZ321,1,$BN321+1)))</f>
        <v/>
      </c>
      <c r="BR321" s="503" t="str">
        <f>IF($BN321="","",AVERAGE(INDEX(終値!$E321:$CZ321,1,$BN321+1):INDEX(終値!$E321:$CZ321,1,$BN321+20))+2*STDEVP(INDEX(終値!$E321:$CZ321,1,$BN321+1):INDEX(終値!$E321:$CZ321,1,$BN321+20)))</f>
        <v/>
      </c>
      <c r="BS321" s="503" t="str">
        <f>IF($BM321="","",AVERAGE(INDEX(終値!$E321:$CZ321,1,$BM321+1):INDEX(終値!$E321:$CZ321,1,$BM321+20))+2*STDEVP(INDEX(終値!$E321:$CZ321,1,$BM321+1):INDEX(終値!$E321:$CZ321,1,$BM321+20)))</f>
        <v/>
      </c>
      <c r="BT321" s="500"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3" t="str">
        <f>IF(終値!A322="","",IF(AND(安値!G322&lt;安値!F322,安値!G322&lt;安値!E322,安値!G322&lt;安値!H322,安値!G322&lt;安値!I322),2,""))</f>
        <v/>
      </c>
      <c r="C322" s="503" t="str">
        <f>IF(終値!A322="","",IF(AND(安値!H322&lt;安値!G322,安値!H322&lt;安値!F322,安値!H322&lt;安値!I322,安値!H322&lt;安値!J322),3,""))</f>
        <v/>
      </c>
      <c r="D322" s="503" t="str">
        <f>IF(終値!A322="","",IF(AND(安値!I322&lt;安値!H322,安値!I322&lt;安値!G322,安値!I322&lt;安値!J322,安値!I322&lt;安値!K322),4,""))</f>
        <v/>
      </c>
      <c r="E322" s="503" t="str">
        <f>IF(終値!A322="","",IF(AND(安値!J322&lt;安値!I322,安値!J322&lt;安値!H322,安値!J322&lt;安値!K322,安値!J322&lt;安値!L322),5,""))</f>
        <v/>
      </c>
      <c r="F322" s="503" t="str">
        <f>IF(終値!A322="","",IF(AND(安値!K322&lt;安値!J322,安値!K322&lt;安値!I322,安値!K322&lt;安値!L322,安値!K322&lt;安値!M322),6,""))</f>
        <v/>
      </c>
      <c r="G322" s="503" t="str">
        <f>IF(終値!A322="","",IF(AND(安値!L322&lt;安値!K322,安値!L322&lt;安値!J322,安値!L322&lt;安値!M322,安値!L322&lt;安値!N322),7,""))</f>
        <v/>
      </c>
      <c r="H322" s="503" t="str">
        <f>IF(終値!A322="","",IF(AND(安値!M322&lt;安値!L322,安値!M322&lt;安値!K322,安値!M322&lt;安値!N322,安値!M322&lt;安値!O322),8,""))</f>
        <v/>
      </c>
      <c r="I322" s="503" t="str">
        <f>IF(終値!A322="","",IF(AND(安値!N322&lt;安値!M322,安値!N322&lt;安値!L322,安値!N322&lt;安値!O322,安値!N322&lt;安値!P322),9,""))</f>
        <v/>
      </c>
      <c r="J322" s="503" t="str">
        <f>IF(終値!A322="","",IF(AND(安値!O322&lt;安値!N322,安値!O322&lt;安値!M322,安値!O322&lt;安値!P322,安値!O322&lt;安値!Q322),10,""))</f>
        <v/>
      </c>
      <c r="K322" s="503" t="str">
        <f>IF(終値!A322="","",IF(AND(安値!P322&lt;安値!O322,安値!P322&lt;安値!N322,安値!P322&lt;安値!Q322,安値!P322&lt;安値!R322),11,""))</f>
        <v/>
      </c>
      <c r="L322" s="503" t="str">
        <f>IF(終値!A322="","",IF(AND(安値!Q322&lt;安値!P322,安値!Q322&lt;安値!O322,安値!Q322&lt;安値!R322,安値!Q322&lt;安値!S322),12,""))</f>
        <v/>
      </c>
      <c r="M322" s="503" t="str">
        <f>IF(終値!A322="","",IF(AND(安値!R322&lt;安値!Q322,安値!R322&lt;安値!P322,安値!R322&lt;安値!S322,安値!R322&lt;安値!T322),13,""))</f>
        <v/>
      </c>
      <c r="N322" s="503" t="str">
        <f>IF(終値!A322="","",IF(AND(安値!S322&lt;安値!R322,安値!S322&lt;安値!Q322,安値!S322&lt;安値!T322,安値!S322&lt;安値!U322),14,""))</f>
        <v/>
      </c>
      <c r="O322" s="503" t="str">
        <f>IF(終値!A322="","",IF(AND(安値!T322&lt;安値!S322,安値!T322&lt;安値!R322,安値!T322&lt;安値!U322,安値!T322&lt;安値!V322),15,""))</f>
        <v/>
      </c>
      <c r="P322" s="503" t="str">
        <f>IF(終値!A322="","",IF(AND(安値!U322&lt;安値!T322,安値!U322&lt;安値!S322,安値!U322&lt;安値!V322,安値!U322&lt;安値!W322),16,""))</f>
        <v/>
      </c>
      <c r="Q322" s="503" t="str">
        <f>IF(終値!A322="","",IF(AND(安値!V322&lt;安値!U322,安値!V322&lt;安値!T322,安値!V322&lt;安値!W322,安値!V322&lt;安値!X322),17,""))</f>
        <v/>
      </c>
      <c r="R322" s="503" t="str">
        <f>IF(終値!A322="","",IF(AND(安値!W322&lt;安値!V322,安値!W322&lt;安値!U322,安値!W322&lt;安値!X322,安値!W322&lt;安値!Y322),18,""))</f>
        <v/>
      </c>
      <c r="S322" s="503" t="str">
        <f>IF(終値!A322="","",IF(AND(安値!X322&lt;安値!W322,安値!X322&lt;安値!V322,安値!X322&lt;安値!Y322,安値!X322&lt;安値!Z322),19,""))</f>
        <v/>
      </c>
      <c r="T322" s="503" t="str">
        <f>IF(終値!A322="","",IF(AND(安値!Y322&lt;安値!X322,安値!Y322&lt;安値!W322,安値!Y322&lt;安値!Z322,安値!Y322&lt;安値!AA322),20,""))</f>
        <v/>
      </c>
      <c r="U322" s="503" t="str">
        <f>IF(終値!A322="","",IF(AND(安値!Z322&lt;安値!Y322,安値!Z322&lt;安値!X322,安値!Z322&lt;安値!AA322,安値!Z322&lt;安値!AB322),21,""))</f>
        <v/>
      </c>
      <c r="V322" s="503" t="str">
        <f>IF(終値!A322="","",IF(AND(安値!AA322&lt;安値!Z322,安値!AA322&lt;安値!Y322,安値!AA322&lt;安値!AB322,安値!AA322&lt;安値!AC322),22,""))</f>
        <v/>
      </c>
      <c r="W322" s="503" t="str">
        <f>IF(終値!A322="","",IF(AND(安値!AB322&lt;安値!AA322,安値!AB322&lt;安値!Z322,安値!AB322&lt;安値!AC322,安値!AB322&lt;安値!AD322),23,""))</f>
        <v/>
      </c>
      <c r="X322" s="503" t="str">
        <f>IF(終値!A322="","",IF(AND(安値!AC322&lt;安値!AB322,安値!AC322&lt;安値!AA322,安値!AC322&lt;安値!AD322,安値!AC322&lt;安値!AE322),24,""))</f>
        <v/>
      </c>
      <c r="Y322" s="503" t="str">
        <f>IF(終値!A322="","",IF(AND(安値!AD322&lt;安値!AC322,安値!AD322&lt;安値!AB322,安値!AD322&lt;安値!AE322,安値!AD322&lt;安値!AF322),25,""))</f>
        <v/>
      </c>
      <c r="Z322" s="503" t="str">
        <f>IF(終値!A322="","",IF(AND(安値!AE322&lt;安値!AD322,安値!AE322&lt;安値!AC322,安値!AE322&lt;安値!AF322,安値!AE322&lt;安値!AG322),26,""))</f>
        <v/>
      </c>
      <c r="AA322" s="503" t="str">
        <f>IF(終値!A322="","",IF(AND(安値!AF322&lt;安値!AE322,安値!AF322&lt;安値!AD322,安値!AF322&lt;安値!AG322,安値!AF322&lt;安値!AH322),27,""))</f>
        <v/>
      </c>
      <c r="AB322" s="503" t="str">
        <f>IF(終値!A322="","",IF(AND(安値!AG322&lt;安値!AF322,安値!AG322&lt;安値!AE322,安値!AG322&lt;安値!AH322,安値!AG322&lt;安値!AI322),28,""))</f>
        <v/>
      </c>
      <c r="AC322" s="503" t="str">
        <f>IF(終値!A322="","",IF(AND(高値!G322&gt;高値!F322,高値!G322&gt;高値!E322,高値!G322&gt;高値!H322,高値!G322&gt;高値!I322),2,""))</f>
        <v/>
      </c>
      <c r="AD322" s="503" t="str">
        <f>IF(終値!A322="","",IF(AND(高値!H322&gt;高値!G322,高値!H322&gt;高値!F322,高値!H322&gt;高値!I322,高値!H322&gt;高値!J322),3,""))</f>
        <v/>
      </c>
      <c r="AE322" s="503" t="str">
        <f>IF(終値!A322="","",IF(AND(高値!I322&gt;高値!H322,高値!I322&gt;高値!G322,高値!I322&gt;高値!J322,高値!I322&gt;高値!K322),4,""))</f>
        <v/>
      </c>
      <c r="AF322" s="503" t="str">
        <f>IF(終値!A322="","",IF(AND(高値!J322&gt;高値!I322,高値!J322&gt;高値!H322,高値!J322&gt;高値!K322,高値!J322&gt;高値!L322),5,""))</f>
        <v/>
      </c>
      <c r="AG322" s="503" t="str">
        <f>IF(終値!A322="","",IF(AND(高値!K322&gt;高値!J322,高値!K322&gt;高値!I322,高値!K322&gt;高値!L322,高値!K322&gt;高値!M322),6,""))</f>
        <v/>
      </c>
      <c r="AH322" s="503" t="str">
        <f>IF(終値!A322="","",IF(AND(高値!L322&gt;高値!K322,高値!L322&gt;高値!J322,高値!L322&gt;高値!M322,高値!L322&gt;高値!N322),7,""))</f>
        <v/>
      </c>
      <c r="AI322" s="503" t="str">
        <f>IF(終値!A322="","",IF(AND(高値!M322&gt;高値!L322,高値!M322&gt;高値!K322,高値!M322&gt;高値!N322,高値!M322&gt;高値!O322),8,""))</f>
        <v/>
      </c>
      <c r="AJ322" s="503" t="str">
        <f>IF(終値!A322="","",IF(AND(高値!N322&gt;高値!M322,高値!N322&gt;高値!L322,高値!N322&gt;高値!O322,高値!N322&gt;高値!P322),9,""))</f>
        <v/>
      </c>
      <c r="AK322" s="503" t="str">
        <f>IF(終値!A322="","",IF(AND(高値!O322&gt;高値!N322,高値!O322&gt;高値!M322,高値!O322&gt;高値!P322,高値!O322&gt;高値!Q322),10,""))</f>
        <v/>
      </c>
      <c r="AL322" s="503" t="str">
        <f>IF(終値!A322="","",IF(AND(高値!P322&gt;高値!O322,高値!P322&gt;高値!N322,高値!P322&gt;高値!Q322,高値!P322&gt;高値!R322),11,""))</f>
        <v/>
      </c>
      <c r="AM322" s="503" t="str">
        <f>IF(終値!A322="","",IF(AND(高値!Q322&gt;高値!P322,高値!Q322&gt;高値!O322,高値!Q322&gt;高値!R322,高値!Q322&gt;高値!S322),12,""))</f>
        <v/>
      </c>
      <c r="AN322" s="503" t="str">
        <f>IF(終値!A322="","",IF(AND(高値!R322&gt;高値!Q322,高値!R322&gt;高値!P322,高値!R322&gt;高値!S322,高値!R322&gt;高値!T322),13,""))</f>
        <v/>
      </c>
      <c r="AO322" s="503" t="str">
        <f>IF(終値!A322="","",IF(AND(高値!S322&gt;高値!R322,高値!S322&gt;高値!Q322,高値!S322&gt;高値!T322,高値!S322&gt;高値!U322),14,""))</f>
        <v/>
      </c>
      <c r="AP322" s="503" t="str">
        <f>IF(終値!A322="","",IF(AND(高値!T322&gt;高値!S322,高値!T322&gt;高値!R322,高値!T322&gt;高値!U322,高値!T322&gt;高値!V322),15,""))</f>
        <v/>
      </c>
      <c r="AQ322" s="503" t="str">
        <f>IF(終値!A322="","",IF(AND(高値!U322&gt;高値!T322,高値!U322&gt;高値!S322,高値!U322&gt;高値!V322,高値!U322&gt;高値!W322),16,""))</f>
        <v/>
      </c>
      <c r="AR322" s="503" t="str">
        <f>IF(終値!A322="","",IF(AND(高値!V322&gt;高値!U322,高値!V322&gt;高値!T322,高値!V322&gt;高値!W322,高値!V322&gt;高値!X322),17,""))</f>
        <v/>
      </c>
      <c r="AS322" s="503" t="str">
        <f>IF(終値!A322="","",IF(AND(高値!W322&gt;高値!V322,高値!W322&gt;高値!U322,高値!W322&gt;高値!X322,高値!W322&gt;高値!Y322),18,""))</f>
        <v/>
      </c>
      <c r="AT322" s="503" t="str">
        <f>IF(終値!A322="","",IF(AND(高値!X322&gt;高値!W322,高値!X322&gt;高値!V322,高値!X322&gt;高値!Y322,高値!X322&gt;高値!Z322),19,""))</f>
        <v/>
      </c>
      <c r="AU322" s="503" t="str">
        <f>IF(終値!A322="","",IF(AND(高値!Y322&gt;高値!X322,高値!Y322&gt;高値!W322,高値!Y322&gt;高値!Z322,高値!Y322&gt;高値!AA322),20,""))</f>
        <v/>
      </c>
      <c r="AV322" s="503" t="str">
        <f>IF(終値!A322="","",IF(AND(高値!Z322&gt;高値!Y322,高値!Z322&gt;高値!X322,高値!Z322&gt;高値!AA322,高値!Z322&gt;高値!AB322),21,""))</f>
        <v/>
      </c>
      <c r="AW322" s="503" t="str">
        <f>IF(終値!A322="","",IF(AND(高値!AA322&gt;高値!Z322,高値!AA322&gt;高値!Y322,高値!AA322&gt;高値!AB322,高値!AA322&gt;高値!AC322),22,""))</f>
        <v/>
      </c>
      <c r="AX322" s="503" t="str">
        <f>IF(終値!A322="","",IF(AND(高値!AB322&gt;高値!AA322,高値!AB322&gt;高値!Z322,高値!AB322&gt;高値!AC322,高値!AB322&gt;高値!AD322),23,""))</f>
        <v/>
      </c>
      <c r="AY322" s="503" t="str">
        <f>IF(終値!A322="","",IF(AND(高値!AC322&gt;高値!AB322,高値!AC322&gt;高値!AA322,高値!AC322&gt;高値!AD322,高値!AC322&gt;高値!AE322),24,""))</f>
        <v/>
      </c>
      <c r="AZ322" s="503" t="str">
        <f>IF(終値!A322="","",IF(AND(高値!AD322&gt;高値!AC322,高値!AD322&gt;高値!AB322,高値!AD322&gt;高値!AE322,高値!AD322&gt;高値!AF322),25,""))</f>
        <v/>
      </c>
      <c r="BA322" s="503" t="str">
        <f>IF(終値!A322="","",IF(AND(高値!AE322&gt;高値!AD322,高値!AE322&gt;高値!AC322,高値!AE322&gt;高値!AF322,高値!AE322&gt;高値!AG322),26,""))</f>
        <v/>
      </c>
      <c r="BB322" s="503" t="str">
        <f>IF(終値!A322="","",IF(AND(高値!AF322&gt;高値!AE322,高値!AF322&gt;高値!AD322,高値!AF322&gt;高値!AG322,高値!AF322&gt;高値!AH322),27,""))</f>
        <v/>
      </c>
      <c r="BC322" s="503" t="str">
        <f>IF(終値!A322="","",IF(AND(高値!AG322&gt;高値!AF322,高値!AG322&gt;高値!AE322,高値!AG322&gt;高値!AH322,高値!AG322&gt;高値!AI322),28,""))</f>
        <v/>
      </c>
      <c r="BD322" s="503">
        <f t="shared" si="24"/>
        <v>0</v>
      </c>
      <c r="BE322" s="503" t="str">
        <f t="shared" si="25"/>
        <v/>
      </c>
      <c r="BF322" s="503" t="str">
        <f t="shared" si="26"/>
        <v/>
      </c>
      <c r="BG322" s="503" t="str">
        <f>IF($BE322="","",INDEX(安値!$E322:$CZ322,1,$BE322+1))</f>
        <v/>
      </c>
      <c r="BH322" s="503" t="str">
        <f>IF($BF322="","",INDEX(安値!$E322:$CZ322,1,$BF322+1))</f>
        <v/>
      </c>
      <c r="BI322" s="503" t="str">
        <f>IF($BF322="","",MAX(INDEX(高値!$E322:$CZ322,1,$BE322+1):INDEX(高値!$E322:$CZ322,1,$BF322+1)))</f>
        <v/>
      </c>
      <c r="BJ322" s="503" t="str">
        <f>IF($BF322="","",AVERAGE(INDEX(終値!$E322:$CZ322,1,$BF322+1):INDEX(終値!$E322:$CZ322,1,$BF322+20))-2*STDEVP(INDEX(終値!$E322:$CZ322,1,$BF322+1):INDEX(終値!$E322:$CZ322,1,$BF322+20)))</f>
        <v/>
      </c>
      <c r="BK322" s="503" t="str">
        <f>IF($BE322="","",AVERAGE(INDEX(終値!$E322:$CZ322,1,$BE322+1):INDEX(終値!$E322:$CZ322,1,$BE322+20))-2*STDEVP(INDEX(終値!$E322:$CZ322,1,$BE322+1):INDEX(終値!$E322:$CZ322,1,$BE322+20)))</f>
        <v/>
      </c>
      <c r="BL322" s="503">
        <f t="shared" si="27"/>
        <v>0</v>
      </c>
      <c r="BM322" s="503" t="str">
        <f t="shared" si="28"/>
        <v/>
      </c>
      <c r="BN322" s="503" t="str">
        <f t="shared" si="29"/>
        <v/>
      </c>
      <c r="BO322" s="503" t="str">
        <f>IF($BM322="","",INDEX(高値!$E322:$CZ322,1,$BM322+1))</f>
        <v/>
      </c>
      <c r="BP322" s="503" t="str">
        <f>IF($BN322="","",INDEX(高値!$E322:$CZ322,1,$BN322+1))</f>
        <v/>
      </c>
      <c r="BQ322" s="503" t="str">
        <f>IF($BN322="","",MIN(INDEX(安値!$E322:$CZ322,1,$BM322+1):INDEX(安値!$E322:$CZ322,1,$BN322+1)))</f>
        <v/>
      </c>
      <c r="BR322" s="503" t="str">
        <f>IF($BN322="","",AVERAGE(INDEX(終値!$E322:$CZ322,1,$BN322+1):INDEX(終値!$E322:$CZ322,1,$BN322+20))+2*STDEVP(INDEX(終値!$E322:$CZ322,1,$BN322+1):INDEX(終値!$E322:$CZ322,1,$BN322+20)))</f>
        <v/>
      </c>
      <c r="BS322" s="503" t="str">
        <f>IF($BM322="","",AVERAGE(INDEX(終値!$E322:$CZ322,1,$BM322+1):INDEX(終値!$E322:$CZ322,1,$BM322+20))+2*STDEVP(INDEX(終値!$E322:$CZ322,1,$BM322+1):INDEX(終値!$E322:$CZ322,1,$BM322+20)))</f>
        <v/>
      </c>
      <c r="BT322" s="500"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3" t="str">
        <f>IF(終値!A323="","",IF(AND(安値!G323&lt;安値!F323,安値!G323&lt;安値!E323,安値!G323&lt;安値!H323,安値!G323&lt;安値!I323),2,""))</f>
        <v/>
      </c>
      <c r="C323" s="503" t="str">
        <f>IF(終値!A323="","",IF(AND(安値!H323&lt;安値!G323,安値!H323&lt;安値!F323,安値!H323&lt;安値!I323,安値!H323&lt;安値!J323),3,""))</f>
        <v/>
      </c>
      <c r="D323" s="503" t="str">
        <f>IF(終値!A323="","",IF(AND(安値!I323&lt;安値!H323,安値!I323&lt;安値!G323,安値!I323&lt;安値!J323,安値!I323&lt;安値!K323),4,""))</f>
        <v/>
      </c>
      <c r="E323" s="503" t="str">
        <f>IF(終値!A323="","",IF(AND(安値!J323&lt;安値!I323,安値!J323&lt;安値!H323,安値!J323&lt;安値!K323,安値!J323&lt;安値!L323),5,""))</f>
        <v/>
      </c>
      <c r="F323" s="503" t="str">
        <f>IF(終値!A323="","",IF(AND(安値!K323&lt;安値!J323,安値!K323&lt;安値!I323,安値!K323&lt;安値!L323,安値!K323&lt;安値!M323),6,""))</f>
        <v/>
      </c>
      <c r="G323" s="503" t="str">
        <f>IF(終値!A323="","",IF(AND(安値!L323&lt;安値!K323,安値!L323&lt;安値!J323,安値!L323&lt;安値!M323,安値!L323&lt;安値!N323),7,""))</f>
        <v/>
      </c>
      <c r="H323" s="503" t="str">
        <f>IF(終値!A323="","",IF(AND(安値!M323&lt;安値!L323,安値!M323&lt;安値!K323,安値!M323&lt;安値!N323,安値!M323&lt;安値!O323),8,""))</f>
        <v/>
      </c>
      <c r="I323" s="503" t="str">
        <f>IF(終値!A323="","",IF(AND(安値!N323&lt;安値!M323,安値!N323&lt;安値!L323,安値!N323&lt;安値!O323,安値!N323&lt;安値!P323),9,""))</f>
        <v/>
      </c>
      <c r="J323" s="503" t="str">
        <f>IF(終値!A323="","",IF(AND(安値!O323&lt;安値!N323,安値!O323&lt;安値!M323,安値!O323&lt;安値!P323,安値!O323&lt;安値!Q323),10,""))</f>
        <v/>
      </c>
      <c r="K323" s="503" t="str">
        <f>IF(終値!A323="","",IF(AND(安値!P323&lt;安値!O323,安値!P323&lt;安値!N323,安値!P323&lt;安値!Q323,安値!P323&lt;安値!R323),11,""))</f>
        <v/>
      </c>
      <c r="L323" s="503" t="str">
        <f>IF(終値!A323="","",IF(AND(安値!Q323&lt;安値!P323,安値!Q323&lt;安値!O323,安値!Q323&lt;安値!R323,安値!Q323&lt;安値!S323),12,""))</f>
        <v/>
      </c>
      <c r="M323" s="503" t="str">
        <f>IF(終値!A323="","",IF(AND(安値!R323&lt;安値!Q323,安値!R323&lt;安値!P323,安値!R323&lt;安値!S323,安値!R323&lt;安値!T323),13,""))</f>
        <v/>
      </c>
      <c r="N323" s="503" t="str">
        <f>IF(終値!A323="","",IF(AND(安値!S323&lt;安値!R323,安値!S323&lt;安値!Q323,安値!S323&lt;安値!T323,安値!S323&lt;安値!U323),14,""))</f>
        <v/>
      </c>
      <c r="O323" s="503" t="str">
        <f>IF(終値!A323="","",IF(AND(安値!T323&lt;安値!S323,安値!T323&lt;安値!R323,安値!T323&lt;安値!U323,安値!T323&lt;安値!V323),15,""))</f>
        <v/>
      </c>
      <c r="P323" s="503" t="str">
        <f>IF(終値!A323="","",IF(AND(安値!U323&lt;安値!T323,安値!U323&lt;安値!S323,安値!U323&lt;安値!V323,安値!U323&lt;安値!W323),16,""))</f>
        <v/>
      </c>
      <c r="Q323" s="503" t="str">
        <f>IF(終値!A323="","",IF(AND(安値!V323&lt;安値!U323,安値!V323&lt;安値!T323,安値!V323&lt;安値!W323,安値!V323&lt;安値!X323),17,""))</f>
        <v/>
      </c>
      <c r="R323" s="503" t="str">
        <f>IF(終値!A323="","",IF(AND(安値!W323&lt;安値!V323,安値!W323&lt;安値!U323,安値!W323&lt;安値!X323,安値!W323&lt;安値!Y323),18,""))</f>
        <v/>
      </c>
      <c r="S323" s="503" t="str">
        <f>IF(終値!A323="","",IF(AND(安値!X323&lt;安値!W323,安値!X323&lt;安値!V323,安値!X323&lt;安値!Y323,安値!X323&lt;安値!Z323),19,""))</f>
        <v/>
      </c>
      <c r="T323" s="503" t="str">
        <f>IF(終値!A323="","",IF(AND(安値!Y323&lt;安値!X323,安値!Y323&lt;安値!W323,安値!Y323&lt;安値!Z323,安値!Y323&lt;安値!AA323),20,""))</f>
        <v/>
      </c>
      <c r="U323" s="503" t="str">
        <f>IF(終値!A323="","",IF(AND(安値!Z323&lt;安値!Y323,安値!Z323&lt;安値!X323,安値!Z323&lt;安値!AA323,安値!Z323&lt;安値!AB323),21,""))</f>
        <v/>
      </c>
      <c r="V323" s="503" t="str">
        <f>IF(終値!A323="","",IF(AND(安値!AA323&lt;安値!Z323,安値!AA323&lt;安値!Y323,安値!AA323&lt;安値!AB323,安値!AA323&lt;安値!AC323),22,""))</f>
        <v/>
      </c>
      <c r="W323" s="503" t="str">
        <f>IF(終値!A323="","",IF(AND(安値!AB323&lt;安値!AA323,安値!AB323&lt;安値!Z323,安値!AB323&lt;安値!AC323,安値!AB323&lt;安値!AD323),23,""))</f>
        <v/>
      </c>
      <c r="X323" s="503" t="str">
        <f>IF(終値!A323="","",IF(AND(安値!AC323&lt;安値!AB323,安値!AC323&lt;安値!AA323,安値!AC323&lt;安値!AD323,安値!AC323&lt;安値!AE323),24,""))</f>
        <v/>
      </c>
      <c r="Y323" s="503" t="str">
        <f>IF(終値!A323="","",IF(AND(安値!AD323&lt;安値!AC323,安値!AD323&lt;安値!AB323,安値!AD323&lt;安値!AE323,安値!AD323&lt;安値!AF323),25,""))</f>
        <v/>
      </c>
      <c r="Z323" s="503" t="str">
        <f>IF(終値!A323="","",IF(AND(安値!AE323&lt;安値!AD323,安値!AE323&lt;安値!AC323,安値!AE323&lt;安値!AF323,安値!AE323&lt;安値!AG323),26,""))</f>
        <v/>
      </c>
      <c r="AA323" s="503" t="str">
        <f>IF(終値!A323="","",IF(AND(安値!AF323&lt;安値!AE323,安値!AF323&lt;安値!AD323,安値!AF323&lt;安値!AG323,安値!AF323&lt;安値!AH323),27,""))</f>
        <v/>
      </c>
      <c r="AB323" s="503" t="str">
        <f>IF(終値!A323="","",IF(AND(安値!AG323&lt;安値!AF323,安値!AG323&lt;安値!AE323,安値!AG323&lt;安値!AH323,安値!AG323&lt;安値!AI323),28,""))</f>
        <v/>
      </c>
      <c r="AC323" s="503" t="str">
        <f>IF(終値!A323="","",IF(AND(高値!G323&gt;高値!F323,高値!G323&gt;高値!E323,高値!G323&gt;高値!H323,高値!G323&gt;高値!I323),2,""))</f>
        <v/>
      </c>
      <c r="AD323" s="503" t="str">
        <f>IF(終値!A323="","",IF(AND(高値!H323&gt;高値!G323,高値!H323&gt;高値!F323,高値!H323&gt;高値!I323,高値!H323&gt;高値!J323),3,""))</f>
        <v/>
      </c>
      <c r="AE323" s="503" t="str">
        <f>IF(終値!A323="","",IF(AND(高値!I323&gt;高値!H323,高値!I323&gt;高値!G323,高値!I323&gt;高値!J323,高値!I323&gt;高値!K323),4,""))</f>
        <v/>
      </c>
      <c r="AF323" s="503" t="str">
        <f>IF(終値!A323="","",IF(AND(高値!J323&gt;高値!I323,高値!J323&gt;高値!H323,高値!J323&gt;高値!K323,高値!J323&gt;高値!L323),5,""))</f>
        <v/>
      </c>
      <c r="AG323" s="503" t="str">
        <f>IF(終値!A323="","",IF(AND(高値!K323&gt;高値!J323,高値!K323&gt;高値!I323,高値!K323&gt;高値!L323,高値!K323&gt;高値!M323),6,""))</f>
        <v/>
      </c>
      <c r="AH323" s="503" t="str">
        <f>IF(終値!A323="","",IF(AND(高値!L323&gt;高値!K323,高値!L323&gt;高値!J323,高値!L323&gt;高値!M323,高値!L323&gt;高値!N323),7,""))</f>
        <v/>
      </c>
      <c r="AI323" s="503" t="str">
        <f>IF(終値!A323="","",IF(AND(高値!M323&gt;高値!L323,高値!M323&gt;高値!K323,高値!M323&gt;高値!N323,高値!M323&gt;高値!O323),8,""))</f>
        <v/>
      </c>
      <c r="AJ323" s="503" t="str">
        <f>IF(終値!A323="","",IF(AND(高値!N323&gt;高値!M323,高値!N323&gt;高値!L323,高値!N323&gt;高値!O323,高値!N323&gt;高値!P323),9,""))</f>
        <v/>
      </c>
      <c r="AK323" s="503" t="str">
        <f>IF(終値!A323="","",IF(AND(高値!O323&gt;高値!N323,高値!O323&gt;高値!M323,高値!O323&gt;高値!P323,高値!O323&gt;高値!Q323),10,""))</f>
        <v/>
      </c>
      <c r="AL323" s="503" t="str">
        <f>IF(終値!A323="","",IF(AND(高値!P323&gt;高値!O323,高値!P323&gt;高値!N323,高値!P323&gt;高値!Q323,高値!P323&gt;高値!R323),11,""))</f>
        <v/>
      </c>
      <c r="AM323" s="503" t="str">
        <f>IF(終値!A323="","",IF(AND(高値!Q323&gt;高値!P323,高値!Q323&gt;高値!O323,高値!Q323&gt;高値!R323,高値!Q323&gt;高値!S323),12,""))</f>
        <v/>
      </c>
      <c r="AN323" s="503" t="str">
        <f>IF(終値!A323="","",IF(AND(高値!R323&gt;高値!Q323,高値!R323&gt;高値!P323,高値!R323&gt;高値!S323,高値!R323&gt;高値!T323),13,""))</f>
        <v/>
      </c>
      <c r="AO323" s="503" t="str">
        <f>IF(終値!A323="","",IF(AND(高値!S323&gt;高値!R323,高値!S323&gt;高値!Q323,高値!S323&gt;高値!T323,高値!S323&gt;高値!U323),14,""))</f>
        <v/>
      </c>
      <c r="AP323" s="503" t="str">
        <f>IF(終値!A323="","",IF(AND(高値!T323&gt;高値!S323,高値!T323&gt;高値!R323,高値!T323&gt;高値!U323,高値!T323&gt;高値!V323),15,""))</f>
        <v/>
      </c>
      <c r="AQ323" s="503" t="str">
        <f>IF(終値!A323="","",IF(AND(高値!U323&gt;高値!T323,高値!U323&gt;高値!S323,高値!U323&gt;高値!V323,高値!U323&gt;高値!W323),16,""))</f>
        <v/>
      </c>
      <c r="AR323" s="503" t="str">
        <f>IF(終値!A323="","",IF(AND(高値!V323&gt;高値!U323,高値!V323&gt;高値!T323,高値!V323&gt;高値!W323,高値!V323&gt;高値!X323),17,""))</f>
        <v/>
      </c>
      <c r="AS323" s="503" t="str">
        <f>IF(終値!A323="","",IF(AND(高値!W323&gt;高値!V323,高値!W323&gt;高値!U323,高値!W323&gt;高値!X323,高値!W323&gt;高値!Y323),18,""))</f>
        <v/>
      </c>
      <c r="AT323" s="503" t="str">
        <f>IF(終値!A323="","",IF(AND(高値!X323&gt;高値!W323,高値!X323&gt;高値!V323,高値!X323&gt;高値!Y323,高値!X323&gt;高値!Z323),19,""))</f>
        <v/>
      </c>
      <c r="AU323" s="503" t="str">
        <f>IF(終値!A323="","",IF(AND(高値!Y323&gt;高値!X323,高値!Y323&gt;高値!W323,高値!Y323&gt;高値!Z323,高値!Y323&gt;高値!AA323),20,""))</f>
        <v/>
      </c>
      <c r="AV323" s="503" t="str">
        <f>IF(終値!A323="","",IF(AND(高値!Z323&gt;高値!Y323,高値!Z323&gt;高値!X323,高値!Z323&gt;高値!AA323,高値!Z323&gt;高値!AB323),21,""))</f>
        <v/>
      </c>
      <c r="AW323" s="503" t="str">
        <f>IF(終値!A323="","",IF(AND(高値!AA323&gt;高値!Z323,高値!AA323&gt;高値!Y323,高値!AA323&gt;高値!AB323,高値!AA323&gt;高値!AC323),22,""))</f>
        <v/>
      </c>
      <c r="AX323" s="503" t="str">
        <f>IF(終値!A323="","",IF(AND(高値!AB323&gt;高値!AA323,高値!AB323&gt;高値!Z323,高値!AB323&gt;高値!AC323,高値!AB323&gt;高値!AD323),23,""))</f>
        <v/>
      </c>
      <c r="AY323" s="503" t="str">
        <f>IF(終値!A323="","",IF(AND(高値!AC323&gt;高値!AB323,高値!AC323&gt;高値!AA323,高値!AC323&gt;高値!AD323,高値!AC323&gt;高値!AE323),24,""))</f>
        <v/>
      </c>
      <c r="AZ323" s="503" t="str">
        <f>IF(終値!A323="","",IF(AND(高値!AD323&gt;高値!AC323,高値!AD323&gt;高値!AB323,高値!AD323&gt;高値!AE323,高値!AD323&gt;高値!AF323),25,""))</f>
        <v/>
      </c>
      <c r="BA323" s="503" t="str">
        <f>IF(終値!A323="","",IF(AND(高値!AE323&gt;高値!AD323,高値!AE323&gt;高値!AC323,高値!AE323&gt;高値!AF323,高値!AE323&gt;高値!AG323),26,""))</f>
        <v/>
      </c>
      <c r="BB323" s="503" t="str">
        <f>IF(終値!A323="","",IF(AND(高値!AF323&gt;高値!AE323,高値!AF323&gt;高値!AD323,高値!AF323&gt;高値!AG323,高値!AF323&gt;高値!AH323),27,""))</f>
        <v/>
      </c>
      <c r="BC323" s="503" t="str">
        <f>IF(終値!A323="","",IF(AND(高値!AG323&gt;高値!AF323,高値!AG323&gt;高値!AE323,高値!AG323&gt;高値!AH323,高値!AG323&gt;高値!AI323),28,""))</f>
        <v/>
      </c>
      <c r="BD323" s="503">
        <f t="shared" si="24"/>
        <v>0</v>
      </c>
      <c r="BE323" s="503" t="str">
        <f t="shared" si="25"/>
        <v/>
      </c>
      <c r="BF323" s="503" t="str">
        <f t="shared" si="26"/>
        <v/>
      </c>
      <c r="BG323" s="503" t="str">
        <f>IF($BE323="","",INDEX(安値!$E323:$CZ323,1,$BE323+1))</f>
        <v/>
      </c>
      <c r="BH323" s="503" t="str">
        <f>IF($BF323="","",INDEX(安値!$E323:$CZ323,1,$BF323+1))</f>
        <v/>
      </c>
      <c r="BI323" s="503" t="str">
        <f>IF($BF323="","",MAX(INDEX(高値!$E323:$CZ323,1,$BE323+1):INDEX(高値!$E323:$CZ323,1,$BF323+1)))</f>
        <v/>
      </c>
      <c r="BJ323" s="503" t="str">
        <f>IF($BF323="","",AVERAGE(INDEX(終値!$E323:$CZ323,1,$BF323+1):INDEX(終値!$E323:$CZ323,1,$BF323+20))-2*STDEVP(INDEX(終値!$E323:$CZ323,1,$BF323+1):INDEX(終値!$E323:$CZ323,1,$BF323+20)))</f>
        <v/>
      </c>
      <c r="BK323" s="503" t="str">
        <f>IF($BE323="","",AVERAGE(INDEX(終値!$E323:$CZ323,1,$BE323+1):INDEX(終値!$E323:$CZ323,1,$BE323+20))-2*STDEVP(INDEX(終値!$E323:$CZ323,1,$BE323+1):INDEX(終値!$E323:$CZ323,1,$BE323+20)))</f>
        <v/>
      </c>
      <c r="BL323" s="503">
        <f t="shared" si="27"/>
        <v>0</v>
      </c>
      <c r="BM323" s="503" t="str">
        <f t="shared" si="28"/>
        <v/>
      </c>
      <c r="BN323" s="503" t="str">
        <f t="shared" si="29"/>
        <v/>
      </c>
      <c r="BO323" s="503" t="str">
        <f>IF($BM323="","",INDEX(高値!$E323:$CZ323,1,$BM323+1))</f>
        <v/>
      </c>
      <c r="BP323" s="503" t="str">
        <f>IF($BN323="","",INDEX(高値!$E323:$CZ323,1,$BN323+1))</f>
        <v/>
      </c>
      <c r="BQ323" s="503" t="str">
        <f>IF($BN323="","",MIN(INDEX(安値!$E323:$CZ323,1,$BM323+1):INDEX(安値!$E323:$CZ323,1,$BN323+1)))</f>
        <v/>
      </c>
      <c r="BR323" s="503" t="str">
        <f>IF($BN323="","",AVERAGE(INDEX(終値!$E323:$CZ323,1,$BN323+1):INDEX(終値!$E323:$CZ323,1,$BN323+20))+2*STDEVP(INDEX(終値!$E323:$CZ323,1,$BN323+1):INDEX(終値!$E323:$CZ323,1,$BN323+20)))</f>
        <v/>
      </c>
      <c r="BS323" s="503" t="str">
        <f>IF($BM323="","",AVERAGE(INDEX(終値!$E323:$CZ323,1,$BM323+1):INDEX(終値!$E323:$CZ323,1,$BM323+20))+2*STDEVP(INDEX(終値!$E323:$CZ323,1,$BM323+1):INDEX(終値!$E323:$CZ323,1,$BM323+20)))</f>
        <v/>
      </c>
      <c r="BT323" s="500"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3" t="str">
        <f>IF(終値!A324="","",IF(AND(安値!G324&lt;安値!F324,安値!G324&lt;安値!E324,安値!G324&lt;安値!H324,安値!G324&lt;安値!I324),2,""))</f>
        <v/>
      </c>
      <c r="C324" s="503" t="str">
        <f>IF(終値!A324="","",IF(AND(安値!H324&lt;安値!G324,安値!H324&lt;安値!F324,安値!H324&lt;安値!I324,安値!H324&lt;安値!J324),3,""))</f>
        <v/>
      </c>
      <c r="D324" s="503" t="str">
        <f>IF(終値!A324="","",IF(AND(安値!I324&lt;安値!H324,安値!I324&lt;安値!G324,安値!I324&lt;安値!J324,安値!I324&lt;安値!K324),4,""))</f>
        <v/>
      </c>
      <c r="E324" s="503" t="str">
        <f>IF(終値!A324="","",IF(AND(安値!J324&lt;安値!I324,安値!J324&lt;安値!H324,安値!J324&lt;安値!K324,安値!J324&lt;安値!L324),5,""))</f>
        <v/>
      </c>
      <c r="F324" s="503" t="str">
        <f>IF(終値!A324="","",IF(AND(安値!K324&lt;安値!J324,安値!K324&lt;安値!I324,安値!K324&lt;安値!L324,安値!K324&lt;安値!M324),6,""))</f>
        <v/>
      </c>
      <c r="G324" s="503" t="str">
        <f>IF(終値!A324="","",IF(AND(安値!L324&lt;安値!K324,安値!L324&lt;安値!J324,安値!L324&lt;安値!M324,安値!L324&lt;安値!N324),7,""))</f>
        <v/>
      </c>
      <c r="H324" s="503" t="str">
        <f>IF(終値!A324="","",IF(AND(安値!M324&lt;安値!L324,安値!M324&lt;安値!K324,安値!M324&lt;安値!N324,安値!M324&lt;安値!O324),8,""))</f>
        <v/>
      </c>
      <c r="I324" s="503" t="str">
        <f>IF(終値!A324="","",IF(AND(安値!N324&lt;安値!M324,安値!N324&lt;安値!L324,安値!N324&lt;安値!O324,安値!N324&lt;安値!P324),9,""))</f>
        <v/>
      </c>
      <c r="J324" s="503" t="str">
        <f>IF(終値!A324="","",IF(AND(安値!O324&lt;安値!N324,安値!O324&lt;安値!M324,安値!O324&lt;安値!P324,安値!O324&lt;安値!Q324),10,""))</f>
        <v/>
      </c>
      <c r="K324" s="503" t="str">
        <f>IF(終値!A324="","",IF(AND(安値!P324&lt;安値!O324,安値!P324&lt;安値!N324,安値!P324&lt;安値!Q324,安値!P324&lt;安値!R324),11,""))</f>
        <v/>
      </c>
      <c r="L324" s="503" t="str">
        <f>IF(終値!A324="","",IF(AND(安値!Q324&lt;安値!P324,安値!Q324&lt;安値!O324,安値!Q324&lt;安値!R324,安値!Q324&lt;安値!S324),12,""))</f>
        <v/>
      </c>
      <c r="M324" s="503" t="str">
        <f>IF(終値!A324="","",IF(AND(安値!R324&lt;安値!Q324,安値!R324&lt;安値!P324,安値!R324&lt;安値!S324,安値!R324&lt;安値!T324),13,""))</f>
        <v/>
      </c>
      <c r="N324" s="503" t="str">
        <f>IF(終値!A324="","",IF(AND(安値!S324&lt;安値!R324,安値!S324&lt;安値!Q324,安値!S324&lt;安値!T324,安値!S324&lt;安値!U324),14,""))</f>
        <v/>
      </c>
      <c r="O324" s="503" t="str">
        <f>IF(終値!A324="","",IF(AND(安値!T324&lt;安値!S324,安値!T324&lt;安値!R324,安値!T324&lt;安値!U324,安値!T324&lt;安値!V324),15,""))</f>
        <v/>
      </c>
      <c r="P324" s="503" t="str">
        <f>IF(終値!A324="","",IF(AND(安値!U324&lt;安値!T324,安値!U324&lt;安値!S324,安値!U324&lt;安値!V324,安値!U324&lt;安値!W324),16,""))</f>
        <v/>
      </c>
      <c r="Q324" s="503" t="str">
        <f>IF(終値!A324="","",IF(AND(安値!V324&lt;安値!U324,安値!V324&lt;安値!T324,安値!V324&lt;安値!W324,安値!V324&lt;安値!X324),17,""))</f>
        <v/>
      </c>
      <c r="R324" s="503" t="str">
        <f>IF(終値!A324="","",IF(AND(安値!W324&lt;安値!V324,安値!W324&lt;安値!U324,安値!W324&lt;安値!X324,安値!W324&lt;安値!Y324),18,""))</f>
        <v/>
      </c>
      <c r="S324" s="503" t="str">
        <f>IF(終値!A324="","",IF(AND(安値!X324&lt;安値!W324,安値!X324&lt;安値!V324,安値!X324&lt;安値!Y324,安値!X324&lt;安値!Z324),19,""))</f>
        <v/>
      </c>
      <c r="T324" s="503" t="str">
        <f>IF(終値!A324="","",IF(AND(安値!Y324&lt;安値!X324,安値!Y324&lt;安値!W324,安値!Y324&lt;安値!Z324,安値!Y324&lt;安値!AA324),20,""))</f>
        <v/>
      </c>
      <c r="U324" s="503" t="str">
        <f>IF(終値!A324="","",IF(AND(安値!Z324&lt;安値!Y324,安値!Z324&lt;安値!X324,安値!Z324&lt;安値!AA324,安値!Z324&lt;安値!AB324),21,""))</f>
        <v/>
      </c>
      <c r="V324" s="503" t="str">
        <f>IF(終値!A324="","",IF(AND(安値!AA324&lt;安値!Z324,安値!AA324&lt;安値!Y324,安値!AA324&lt;安値!AB324,安値!AA324&lt;安値!AC324),22,""))</f>
        <v/>
      </c>
      <c r="W324" s="503" t="str">
        <f>IF(終値!A324="","",IF(AND(安値!AB324&lt;安値!AA324,安値!AB324&lt;安値!Z324,安値!AB324&lt;安値!AC324,安値!AB324&lt;安値!AD324),23,""))</f>
        <v/>
      </c>
      <c r="X324" s="503" t="str">
        <f>IF(終値!A324="","",IF(AND(安値!AC324&lt;安値!AB324,安値!AC324&lt;安値!AA324,安値!AC324&lt;安値!AD324,安値!AC324&lt;安値!AE324),24,""))</f>
        <v/>
      </c>
      <c r="Y324" s="503" t="str">
        <f>IF(終値!A324="","",IF(AND(安値!AD324&lt;安値!AC324,安値!AD324&lt;安値!AB324,安値!AD324&lt;安値!AE324,安値!AD324&lt;安値!AF324),25,""))</f>
        <v/>
      </c>
      <c r="Z324" s="503" t="str">
        <f>IF(終値!A324="","",IF(AND(安値!AE324&lt;安値!AD324,安値!AE324&lt;安値!AC324,安値!AE324&lt;安値!AF324,安値!AE324&lt;安値!AG324),26,""))</f>
        <v/>
      </c>
      <c r="AA324" s="503" t="str">
        <f>IF(終値!A324="","",IF(AND(安値!AF324&lt;安値!AE324,安値!AF324&lt;安値!AD324,安値!AF324&lt;安値!AG324,安値!AF324&lt;安値!AH324),27,""))</f>
        <v/>
      </c>
      <c r="AB324" s="503" t="str">
        <f>IF(終値!A324="","",IF(AND(安値!AG324&lt;安値!AF324,安値!AG324&lt;安値!AE324,安値!AG324&lt;安値!AH324,安値!AG324&lt;安値!AI324),28,""))</f>
        <v/>
      </c>
      <c r="AC324" s="503" t="str">
        <f>IF(終値!A324="","",IF(AND(高値!G324&gt;高値!F324,高値!G324&gt;高値!E324,高値!G324&gt;高値!H324,高値!G324&gt;高値!I324),2,""))</f>
        <v/>
      </c>
      <c r="AD324" s="503" t="str">
        <f>IF(終値!A324="","",IF(AND(高値!H324&gt;高値!G324,高値!H324&gt;高値!F324,高値!H324&gt;高値!I324,高値!H324&gt;高値!J324),3,""))</f>
        <v/>
      </c>
      <c r="AE324" s="503" t="str">
        <f>IF(終値!A324="","",IF(AND(高値!I324&gt;高値!H324,高値!I324&gt;高値!G324,高値!I324&gt;高値!J324,高値!I324&gt;高値!K324),4,""))</f>
        <v/>
      </c>
      <c r="AF324" s="503" t="str">
        <f>IF(終値!A324="","",IF(AND(高値!J324&gt;高値!I324,高値!J324&gt;高値!H324,高値!J324&gt;高値!K324,高値!J324&gt;高値!L324),5,""))</f>
        <v/>
      </c>
      <c r="AG324" s="503" t="str">
        <f>IF(終値!A324="","",IF(AND(高値!K324&gt;高値!J324,高値!K324&gt;高値!I324,高値!K324&gt;高値!L324,高値!K324&gt;高値!M324),6,""))</f>
        <v/>
      </c>
      <c r="AH324" s="503" t="str">
        <f>IF(終値!A324="","",IF(AND(高値!L324&gt;高値!K324,高値!L324&gt;高値!J324,高値!L324&gt;高値!M324,高値!L324&gt;高値!N324),7,""))</f>
        <v/>
      </c>
      <c r="AI324" s="503" t="str">
        <f>IF(終値!A324="","",IF(AND(高値!M324&gt;高値!L324,高値!M324&gt;高値!K324,高値!M324&gt;高値!N324,高値!M324&gt;高値!O324),8,""))</f>
        <v/>
      </c>
      <c r="AJ324" s="503" t="str">
        <f>IF(終値!A324="","",IF(AND(高値!N324&gt;高値!M324,高値!N324&gt;高値!L324,高値!N324&gt;高値!O324,高値!N324&gt;高値!P324),9,""))</f>
        <v/>
      </c>
      <c r="AK324" s="503" t="str">
        <f>IF(終値!A324="","",IF(AND(高値!O324&gt;高値!N324,高値!O324&gt;高値!M324,高値!O324&gt;高値!P324,高値!O324&gt;高値!Q324),10,""))</f>
        <v/>
      </c>
      <c r="AL324" s="503" t="str">
        <f>IF(終値!A324="","",IF(AND(高値!P324&gt;高値!O324,高値!P324&gt;高値!N324,高値!P324&gt;高値!Q324,高値!P324&gt;高値!R324),11,""))</f>
        <v/>
      </c>
      <c r="AM324" s="503" t="str">
        <f>IF(終値!A324="","",IF(AND(高値!Q324&gt;高値!P324,高値!Q324&gt;高値!O324,高値!Q324&gt;高値!R324,高値!Q324&gt;高値!S324),12,""))</f>
        <v/>
      </c>
      <c r="AN324" s="503" t="str">
        <f>IF(終値!A324="","",IF(AND(高値!R324&gt;高値!Q324,高値!R324&gt;高値!P324,高値!R324&gt;高値!S324,高値!R324&gt;高値!T324),13,""))</f>
        <v/>
      </c>
      <c r="AO324" s="503" t="str">
        <f>IF(終値!A324="","",IF(AND(高値!S324&gt;高値!R324,高値!S324&gt;高値!Q324,高値!S324&gt;高値!T324,高値!S324&gt;高値!U324),14,""))</f>
        <v/>
      </c>
      <c r="AP324" s="503" t="str">
        <f>IF(終値!A324="","",IF(AND(高値!T324&gt;高値!S324,高値!T324&gt;高値!R324,高値!T324&gt;高値!U324,高値!T324&gt;高値!V324),15,""))</f>
        <v/>
      </c>
      <c r="AQ324" s="503" t="str">
        <f>IF(終値!A324="","",IF(AND(高値!U324&gt;高値!T324,高値!U324&gt;高値!S324,高値!U324&gt;高値!V324,高値!U324&gt;高値!W324),16,""))</f>
        <v/>
      </c>
      <c r="AR324" s="503" t="str">
        <f>IF(終値!A324="","",IF(AND(高値!V324&gt;高値!U324,高値!V324&gt;高値!T324,高値!V324&gt;高値!W324,高値!V324&gt;高値!X324),17,""))</f>
        <v/>
      </c>
      <c r="AS324" s="503" t="str">
        <f>IF(終値!A324="","",IF(AND(高値!W324&gt;高値!V324,高値!W324&gt;高値!U324,高値!W324&gt;高値!X324,高値!W324&gt;高値!Y324),18,""))</f>
        <v/>
      </c>
      <c r="AT324" s="503" t="str">
        <f>IF(終値!A324="","",IF(AND(高値!X324&gt;高値!W324,高値!X324&gt;高値!V324,高値!X324&gt;高値!Y324,高値!X324&gt;高値!Z324),19,""))</f>
        <v/>
      </c>
      <c r="AU324" s="503" t="str">
        <f>IF(終値!A324="","",IF(AND(高値!Y324&gt;高値!X324,高値!Y324&gt;高値!W324,高値!Y324&gt;高値!Z324,高値!Y324&gt;高値!AA324),20,""))</f>
        <v/>
      </c>
      <c r="AV324" s="503" t="str">
        <f>IF(終値!A324="","",IF(AND(高値!Z324&gt;高値!Y324,高値!Z324&gt;高値!X324,高値!Z324&gt;高値!AA324,高値!Z324&gt;高値!AB324),21,""))</f>
        <v/>
      </c>
      <c r="AW324" s="503" t="str">
        <f>IF(終値!A324="","",IF(AND(高値!AA324&gt;高値!Z324,高値!AA324&gt;高値!Y324,高値!AA324&gt;高値!AB324,高値!AA324&gt;高値!AC324),22,""))</f>
        <v/>
      </c>
      <c r="AX324" s="503" t="str">
        <f>IF(終値!A324="","",IF(AND(高値!AB324&gt;高値!AA324,高値!AB324&gt;高値!Z324,高値!AB324&gt;高値!AC324,高値!AB324&gt;高値!AD324),23,""))</f>
        <v/>
      </c>
      <c r="AY324" s="503" t="str">
        <f>IF(終値!A324="","",IF(AND(高値!AC324&gt;高値!AB324,高値!AC324&gt;高値!AA324,高値!AC324&gt;高値!AD324,高値!AC324&gt;高値!AE324),24,""))</f>
        <v/>
      </c>
      <c r="AZ324" s="503" t="str">
        <f>IF(終値!A324="","",IF(AND(高値!AD324&gt;高値!AC324,高値!AD324&gt;高値!AB324,高値!AD324&gt;高値!AE324,高値!AD324&gt;高値!AF324),25,""))</f>
        <v/>
      </c>
      <c r="BA324" s="503" t="str">
        <f>IF(終値!A324="","",IF(AND(高値!AE324&gt;高値!AD324,高値!AE324&gt;高値!AC324,高値!AE324&gt;高値!AF324,高値!AE324&gt;高値!AG324),26,""))</f>
        <v/>
      </c>
      <c r="BB324" s="503" t="str">
        <f>IF(終値!A324="","",IF(AND(高値!AF324&gt;高値!AE324,高値!AF324&gt;高値!AD324,高値!AF324&gt;高値!AG324,高値!AF324&gt;高値!AH324),27,""))</f>
        <v/>
      </c>
      <c r="BC324" s="503" t="str">
        <f>IF(終値!A324="","",IF(AND(高値!AG324&gt;高値!AF324,高値!AG324&gt;高値!AE324,高値!AG324&gt;高値!AH324,高値!AG324&gt;高値!AI324),28,""))</f>
        <v/>
      </c>
      <c r="BD324" s="503">
        <f t="shared" si="24"/>
        <v>0</v>
      </c>
      <c r="BE324" s="503" t="str">
        <f t="shared" si="25"/>
        <v/>
      </c>
      <c r="BF324" s="503" t="str">
        <f t="shared" si="26"/>
        <v/>
      </c>
      <c r="BG324" s="503" t="str">
        <f>IF($BE324="","",INDEX(安値!$E324:$CZ324,1,$BE324+1))</f>
        <v/>
      </c>
      <c r="BH324" s="503" t="str">
        <f>IF($BF324="","",INDEX(安値!$E324:$CZ324,1,$BF324+1))</f>
        <v/>
      </c>
      <c r="BI324" s="503" t="str">
        <f>IF($BF324="","",MAX(INDEX(高値!$E324:$CZ324,1,$BE324+1):INDEX(高値!$E324:$CZ324,1,$BF324+1)))</f>
        <v/>
      </c>
      <c r="BJ324" s="503" t="str">
        <f>IF($BF324="","",AVERAGE(INDEX(終値!$E324:$CZ324,1,$BF324+1):INDEX(終値!$E324:$CZ324,1,$BF324+20))-2*STDEVP(INDEX(終値!$E324:$CZ324,1,$BF324+1):INDEX(終値!$E324:$CZ324,1,$BF324+20)))</f>
        <v/>
      </c>
      <c r="BK324" s="503" t="str">
        <f>IF($BE324="","",AVERAGE(INDEX(終値!$E324:$CZ324,1,$BE324+1):INDEX(終値!$E324:$CZ324,1,$BE324+20))-2*STDEVP(INDEX(終値!$E324:$CZ324,1,$BE324+1):INDEX(終値!$E324:$CZ324,1,$BE324+20)))</f>
        <v/>
      </c>
      <c r="BL324" s="503">
        <f t="shared" si="27"/>
        <v>0</v>
      </c>
      <c r="BM324" s="503" t="str">
        <f t="shared" si="28"/>
        <v/>
      </c>
      <c r="BN324" s="503" t="str">
        <f t="shared" si="29"/>
        <v/>
      </c>
      <c r="BO324" s="503" t="str">
        <f>IF($BM324="","",INDEX(高値!$E324:$CZ324,1,$BM324+1))</f>
        <v/>
      </c>
      <c r="BP324" s="503" t="str">
        <f>IF($BN324="","",INDEX(高値!$E324:$CZ324,1,$BN324+1))</f>
        <v/>
      </c>
      <c r="BQ324" s="503" t="str">
        <f>IF($BN324="","",MIN(INDEX(安値!$E324:$CZ324,1,$BM324+1):INDEX(安値!$E324:$CZ324,1,$BN324+1)))</f>
        <v/>
      </c>
      <c r="BR324" s="503" t="str">
        <f>IF($BN324="","",AVERAGE(INDEX(終値!$E324:$CZ324,1,$BN324+1):INDEX(終値!$E324:$CZ324,1,$BN324+20))+2*STDEVP(INDEX(終値!$E324:$CZ324,1,$BN324+1):INDEX(終値!$E324:$CZ324,1,$BN324+20)))</f>
        <v/>
      </c>
      <c r="BS324" s="503" t="str">
        <f>IF($BM324="","",AVERAGE(INDEX(終値!$E324:$CZ324,1,$BM324+1):INDEX(終値!$E324:$CZ324,1,$BM324+20))+2*STDEVP(INDEX(終値!$E324:$CZ324,1,$BM324+1):INDEX(終値!$E324:$CZ324,1,$BM324+20)))</f>
        <v/>
      </c>
      <c r="BT324" s="500"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3" t="str">
        <f>IF(終値!A325="","",IF(AND(安値!G325&lt;安値!F325,安値!G325&lt;安値!E325,安値!G325&lt;安値!H325,安値!G325&lt;安値!I325),2,""))</f>
        <v/>
      </c>
      <c r="C325" s="503" t="str">
        <f>IF(終値!A325="","",IF(AND(安値!H325&lt;安値!G325,安値!H325&lt;安値!F325,安値!H325&lt;安値!I325,安値!H325&lt;安値!J325),3,""))</f>
        <v/>
      </c>
      <c r="D325" s="503" t="str">
        <f>IF(終値!A325="","",IF(AND(安値!I325&lt;安値!H325,安値!I325&lt;安値!G325,安値!I325&lt;安値!J325,安値!I325&lt;安値!K325),4,""))</f>
        <v/>
      </c>
      <c r="E325" s="503" t="str">
        <f>IF(終値!A325="","",IF(AND(安値!J325&lt;安値!I325,安値!J325&lt;安値!H325,安値!J325&lt;安値!K325,安値!J325&lt;安値!L325),5,""))</f>
        <v/>
      </c>
      <c r="F325" s="503" t="str">
        <f>IF(終値!A325="","",IF(AND(安値!K325&lt;安値!J325,安値!K325&lt;安値!I325,安値!K325&lt;安値!L325,安値!K325&lt;安値!M325),6,""))</f>
        <v/>
      </c>
      <c r="G325" s="503" t="str">
        <f>IF(終値!A325="","",IF(AND(安値!L325&lt;安値!K325,安値!L325&lt;安値!J325,安値!L325&lt;安値!M325,安値!L325&lt;安値!N325),7,""))</f>
        <v/>
      </c>
      <c r="H325" s="503" t="str">
        <f>IF(終値!A325="","",IF(AND(安値!M325&lt;安値!L325,安値!M325&lt;安値!K325,安値!M325&lt;安値!N325,安値!M325&lt;安値!O325),8,""))</f>
        <v/>
      </c>
      <c r="I325" s="503" t="str">
        <f>IF(終値!A325="","",IF(AND(安値!N325&lt;安値!M325,安値!N325&lt;安値!L325,安値!N325&lt;安値!O325,安値!N325&lt;安値!P325),9,""))</f>
        <v/>
      </c>
      <c r="J325" s="503" t="str">
        <f>IF(終値!A325="","",IF(AND(安値!O325&lt;安値!N325,安値!O325&lt;安値!M325,安値!O325&lt;安値!P325,安値!O325&lt;安値!Q325),10,""))</f>
        <v/>
      </c>
      <c r="K325" s="503" t="str">
        <f>IF(終値!A325="","",IF(AND(安値!P325&lt;安値!O325,安値!P325&lt;安値!N325,安値!P325&lt;安値!Q325,安値!P325&lt;安値!R325),11,""))</f>
        <v/>
      </c>
      <c r="L325" s="503" t="str">
        <f>IF(終値!A325="","",IF(AND(安値!Q325&lt;安値!P325,安値!Q325&lt;安値!O325,安値!Q325&lt;安値!R325,安値!Q325&lt;安値!S325),12,""))</f>
        <v/>
      </c>
      <c r="M325" s="503" t="str">
        <f>IF(終値!A325="","",IF(AND(安値!R325&lt;安値!Q325,安値!R325&lt;安値!P325,安値!R325&lt;安値!S325,安値!R325&lt;安値!T325),13,""))</f>
        <v/>
      </c>
      <c r="N325" s="503" t="str">
        <f>IF(終値!A325="","",IF(AND(安値!S325&lt;安値!R325,安値!S325&lt;安値!Q325,安値!S325&lt;安値!T325,安値!S325&lt;安値!U325),14,""))</f>
        <v/>
      </c>
      <c r="O325" s="503" t="str">
        <f>IF(終値!A325="","",IF(AND(安値!T325&lt;安値!S325,安値!T325&lt;安値!R325,安値!T325&lt;安値!U325,安値!T325&lt;安値!V325),15,""))</f>
        <v/>
      </c>
      <c r="P325" s="503" t="str">
        <f>IF(終値!A325="","",IF(AND(安値!U325&lt;安値!T325,安値!U325&lt;安値!S325,安値!U325&lt;安値!V325,安値!U325&lt;安値!W325),16,""))</f>
        <v/>
      </c>
      <c r="Q325" s="503" t="str">
        <f>IF(終値!A325="","",IF(AND(安値!V325&lt;安値!U325,安値!V325&lt;安値!T325,安値!V325&lt;安値!W325,安値!V325&lt;安値!X325),17,""))</f>
        <v/>
      </c>
      <c r="R325" s="503" t="str">
        <f>IF(終値!A325="","",IF(AND(安値!W325&lt;安値!V325,安値!W325&lt;安値!U325,安値!W325&lt;安値!X325,安値!W325&lt;安値!Y325),18,""))</f>
        <v/>
      </c>
      <c r="S325" s="503" t="str">
        <f>IF(終値!A325="","",IF(AND(安値!X325&lt;安値!W325,安値!X325&lt;安値!V325,安値!X325&lt;安値!Y325,安値!X325&lt;安値!Z325),19,""))</f>
        <v/>
      </c>
      <c r="T325" s="503" t="str">
        <f>IF(終値!A325="","",IF(AND(安値!Y325&lt;安値!X325,安値!Y325&lt;安値!W325,安値!Y325&lt;安値!Z325,安値!Y325&lt;安値!AA325),20,""))</f>
        <v/>
      </c>
      <c r="U325" s="503" t="str">
        <f>IF(終値!A325="","",IF(AND(安値!Z325&lt;安値!Y325,安値!Z325&lt;安値!X325,安値!Z325&lt;安値!AA325,安値!Z325&lt;安値!AB325),21,""))</f>
        <v/>
      </c>
      <c r="V325" s="503" t="str">
        <f>IF(終値!A325="","",IF(AND(安値!AA325&lt;安値!Z325,安値!AA325&lt;安値!Y325,安値!AA325&lt;安値!AB325,安値!AA325&lt;安値!AC325),22,""))</f>
        <v/>
      </c>
      <c r="W325" s="503" t="str">
        <f>IF(終値!A325="","",IF(AND(安値!AB325&lt;安値!AA325,安値!AB325&lt;安値!Z325,安値!AB325&lt;安値!AC325,安値!AB325&lt;安値!AD325),23,""))</f>
        <v/>
      </c>
      <c r="X325" s="503" t="str">
        <f>IF(終値!A325="","",IF(AND(安値!AC325&lt;安値!AB325,安値!AC325&lt;安値!AA325,安値!AC325&lt;安値!AD325,安値!AC325&lt;安値!AE325),24,""))</f>
        <v/>
      </c>
      <c r="Y325" s="503" t="str">
        <f>IF(終値!A325="","",IF(AND(安値!AD325&lt;安値!AC325,安値!AD325&lt;安値!AB325,安値!AD325&lt;安値!AE325,安値!AD325&lt;安値!AF325),25,""))</f>
        <v/>
      </c>
      <c r="Z325" s="503" t="str">
        <f>IF(終値!A325="","",IF(AND(安値!AE325&lt;安値!AD325,安値!AE325&lt;安値!AC325,安値!AE325&lt;安値!AF325,安値!AE325&lt;安値!AG325),26,""))</f>
        <v/>
      </c>
      <c r="AA325" s="503" t="str">
        <f>IF(終値!A325="","",IF(AND(安値!AF325&lt;安値!AE325,安値!AF325&lt;安値!AD325,安値!AF325&lt;安値!AG325,安値!AF325&lt;安値!AH325),27,""))</f>
        <v/>
      </c>
      <c r="AB325" s="503" t="str">
        <f>IF(終値!A325="","",IF(AND(安値!AG325&lt;安値!AF325,安値!AG325&lt;安値!AE325,安値!AG325&lt;安値!AH325,安値!AG325&lt;安値!AI325),28,""))</f>
        <v/>
      </c>
      <c r="AC325" s="503" t="str">
        <f>IF(終値!A325="","",IF(AND(高値!G325&gt;高値!F325,高値!G325&gt;高値!E325,高値!G325&gt;高値!H325,高値!G325&gt;高値!I325),2,""))</f>
        <v/>
      </c>
      <c r="AD325" s="503" t="str">
        <f>IF(終値!A325="","",IF(AND(高値!H325&gt;高値!G325,高値!H325&gt;高値!F325,高値!H325&gt;高値!I325,高値!H325&gt;高値!J325),3,""))</f>
        <v/>
      </c>
      <c r="AE325" s="503" t="str">
        <f>IF(終値!A325="","",IF(AND(高値!I325&gt;高値!H325,高値!I325&gt;高値!G325,高値!I325&gt;高値!J325,高値!I325&gt;高値!K325),4,""))</f>
        <v/>
      </c>
      <c r="AF325" s="503" t="str">
        <f>IF(終値!A325="","",IF(AND(高値!J325&gt;高値!I325,高値!J325&gt;高値!H325,高値!J325&gt;高値!K325,高値!J325&gt;高値!L325),5,""))</f>
        <v/>
      </c>
      <c r="AG325" s="503" t="str">
        <f>IF(終値!A325="","",IF(AND(高値!K325&gt;高値!J325,高値!K325&gt;高値!I325,高値!K325&gt;高値!L325,高値!K325&gt;高値!M325),6,""))</f>
        <v/>
      </c>
      <c r="AH325" s="503" t="str">
        <f>IF(終値!A325="","",IF(AND(高値!L325&gt;高値!K325,高値!L325&gt;高値!J325,高値!L325&gt;高値!M325,高値!L325&gt;高値!N325),7,""))</f>
        <v/>
      </c>
      <c r="AI325" s="503" t="str">
        <f>IF(終値!A325="","",IF(AND(高値!M325&gt;高値!L325,高値!M325&gt;高値!K325,高値!M325&gt;高値!N325,高値!M325&gt;高値!O325),8,""))</f>
        <v/>
      </c>
      <c r="AJ325" s="503" t="str">
        <f>IF(終値!A325="","",IF(AND(高値!N325&gt;高値!M325,高値!N325&gt;高値!L325,高値!N325&gt;高値!O325,高値!N325&gt;高値!P325),9,""))</f>
        <v/>
      </c>
      <c r="AK325" s="503" t="str">
        <f>IF(終値!A325="","",IF(AND(高値!O325&gt;高値!N325,高値!O325&gt;高値!M325,高値!O325&gt;高値!P325,高値!O325&gt;高値!Q325),10,""))</f>
        <v/>
      </c>
      <c r="AL325" s="503" t="str">
        <f>IF(終値!A325="","",IF(AND(高値!P325&gt;高値!O325,高値!P325&gt;高値!N325,高値!P325&gt;高値!Q325,高値!P325&gt;高値!R325),11,""))</f>
        <v/>
      </c>
      <c r="AM325" s="503" t="str">
        <f>IF(終値!A325="","",IF(AND(高値!Q325&gt;高値!P325,高値!Q325&gt;高値!O325,高値!Q325&gt;高値!R325,高値!Q325&gt;高値!S325),12,""))</f>
        <v/>
      </c>
      <c r="AN325" s="503" t="str">
        <f>IF(終値!A325="","",IF(AND(高値!R325&gt;高値!Q325,高値!R325&gt;高値!P325,高値!R325&gt;高値!S325,高値!R325&gt;高値!T325),13,""))</f>
        <v/>
      </c>
      <c r="AO325" s="503" t="str">
        <f>IF(終値!A325="","",IF(AND(高値!S325&gt;高値!R325,高値!S325&gt;高値!Q325,高値!S325&gt;高値!T325,高値!S325&gt;高値!U325),14,""))</f>
        <v/>
      </c>
      <c r="AP325" s="503" t="str">
        <f>IF(終値!A325="","",IF(AND(高値!T325&gt;高値!S325,高値!T325&gt;高値!R325,高値!T325&gt;高値!U325,高値!T325&gt;高値!V325),15,""))</f>
        <v/>
      </c>
      <c r="AQ325" s="503" t="str">
        <f>IF(終値!A325="","",IF(AND(高値!U325&gt;高値!T325,高値!U325&gt;高値!S325,高値!U325&gt;高値!V325,高値!U325&gt;高値!W325),16,""))</f>
        <v/>
      </c>
      <c r="AR325" s="503" t="str">
        <f>IF(終値!A325="","",IF(AND(高値!V325&gt;高値!U325,高値!V325&gt;高値!T325,高値!V325&gt;高値!W325,高値!V325&gt;高値!X325),17,""))</f>
        <v/>
      </c>
      <c r="AS325" s="503" t="str">
        <f>IF(終値!A325="","",IF(AND(高値!W325&gt;高値!V325,高値!W325&gt;高値!U325,高値!W325&gt;高値!X325,高値!W325&gt;高値!Y325),18,""))</f>
        <v/>
      </c>
      <c r="AT325" s="503" t="str">
        <f>IF(終値!A325="","",IF(AND(高値!X325&gt;高値!W325,高値!X325&gt;高値!V325,高値!X325&gt;高値!Y325,高値!X325&gt;高値!Z325),19,""))</f>
        <v/>
      </c>
      <c r="AU325" s="503" t="str">
        <f>IF(終値!A325="","",IF(AND(高値!Y325&gt;高値!X325,高値!Y325&gt;高値!W325,高値!Y325&gt;高値!Z325,高値!Y325&gt;高値!AA325),20,""))</f>
        <v/>
      </c>
      <c r="AV325" s="503" t="str">
        <f>IF(終値!A325="","",IF(AND(高値!Z325&gt;高値!Y325,高値!Z325&gt;高値!X325,高値!Z325&gt;高値!AA325,高値!Z325&gt;高値!AB325),21,""))</f>
        <v/>
      </c>
      <c r="AW325" s="503" t="str">
        <f>IF(終値!A325="","",IF(AND(高値!AA325&gt;高値!Z325,高値!AA325&gt;高値!Y325,高値!AA325&gt;高値!AB325,高値!AA325&gt;高値!AC325),22,""))</f>
        <v/>
      </c>
      <c r="AX325" s="503" t="str">
        <f>IF(終値!A325="","",IF(AND(高値!AB325&gt;高値!AA325,高値!AB325&gt;高値!Z325,高値!AB325&gt;高値!AC325,高値!AB325&gt;高値!AD325),23,""))</f>
        <v/>
      </c>
      <c r="AY325" s="503" t="str">
        <f>IF(終値!A325="","",IF(AND(高値!AC325&gt;高値!AB325,高値!AC325&gt;高値!AA325,高値!AC325&gt;高値!AD325,高値!AC325&gt;高値!AE325),24,""))</f>
        <v/>
      </c>
      <c r="AZ325" s="503" t="str">
        <f>IF(終値!A325="","",IF(AND(高値!AD325&gt;高値!AC325,高値!AD325&gt;高値!AB325,高値!AD325&gt;高値!AE325,高値!AD325&gt;高値!AF325),25,""))</f>
        <v/>
      </c>
      <c r="BA325" s="503" t="str">
        <f>IF(終値!A325="","",IF(AND(高値!AE325&gt;高値!AD325,高値!AE325&gt;高値!AC325,高値!AE325&gt;高値!AF325,高値!AE325&gt;高値!AG325),26,""))</f>
        <v/>
      </c>
      <c r="BB325" s="503" t="str">
        <f>IF(終値!A325="","",IF(AND(高値!AF325&gt;高値!AE325,高値!AF325&gt;高値!AD325,高値!AF325&gt;高値!AG325,高値!AF325&gt;高値!AH325),27,""))</f>
        <v/>
      </c>
      <c r="BC325" s="503" t="str">
        <f>IF(終値!A325="","",IF(AND(高値!AG325&gt;高値!AF325,高値!AG325&gt;高値!AE325,高値!AG325&gt;高値!AH325,高値!AG325&gt;高値!AI325),28,""))</f>
        <v/>
      </c>
      <c r="BD325" s="503">
        <f t="shared" si="24"/>
        <v>0</v>
      </c>
      <c r="BE325" s="503" t="str">
        <f t="shared" si="25"/>
        <v/>
      </c>
      <c r="BF325" s="503" t="str">
        <f t="shared" si="26"/>
        <v/>
      </c>
      <c r="BG325" s="503" t="str">
        <f>IF($BE325="","",INDEX(安値!$E325:$CZ325,1,$BE325+1))</f>
        <v/>
      </c>
      <c r="BH325" s="503" t="str">
        <f>IF($BF325="","",INDEX(安値!$E325:$CZ325,1,$BF325+1))</f>
        <v/>
      </c>
      <c r="BI325" s="503" t="str">
        <f>IF($BF325="","",MAX(INDEX(高値!$E325:$CZ325,1,$BE325+1):INDEX(高値!$E325:$CZ325,1,$BF325+1)))</f>
        <v/>
      </c>
      <c r="BJ325" s="503" t="str">
        <f>IF($BF325="","",AVERAGE(INDEX(終値!$E325:$CZ325,1,$BF325+1):INDEX(終値!$E325:$CZ325,1,$BF325+20))-2*STDEVP(INDEX(終値!$E325:$CZ325,1,$BF325+1):INDEX(終値!$E325:$CZ325,1,$BF325+20)))</f>
        <v/>
      </c>
      <c r="BK325" s="503" t="str">
        <f>IF($BE325="","",AVERAGE(INDEX(終値!$E325:$CZ325,1,$BE325+1):INDEX(終値!$E325:$CZ325,1,$BE325+20))-2*STDEVP(INDEX(終値!$E325:$CZ325,1,$BE325+1):INDEX(終値!$E325:$CZ325,1,$BE325+20)))</f>
        <v/>
      </c>
      <c r="BL325" s="503">
        <f t="shared" si="27"/>
        <v>0</v>
      </c>
      <c r="BM325" s="503" t="str">
        <f t="shared" si="28"/>
        <v/>
      </c>
      <c r="BN325" s="503" t="str">
        <f t="shared" si="29"/>
        <v/>
      </c>
      <c r="BO325" s="503" t="str">
        <f>IF($BM325="","",INDEX(高値!$E325:$CZ325,1,$BM325+1))</f>
        <v/>
      </c>
      <c r="BP325" s="503" t="str">
        <f>IF($BN325="","",INDEX(高値!$E325:$CZ325,1,$BN325+1))</f>
        <v/>
      </c>
      <c r="BQ325" s="503" t="str">
        <f>IF($BN325="","",MIN(INDEX(安値!$E325:$CZ325,1,$BM325+1):INDEX(安値!$E325:$CZ325,1,$BN325+1)))</f>
        <v/>
      </c>
      <c r="BR325" s="503" t="str">
        <f>IF($BN325="","",AVERAGE(INDEX(終値!$E325:$CZ325,1,$BN325+1):INDEX(終値!$E325:$CZ325,1,$BN325+20))+2*STDEVP(INDEX(終値!$E325:$CZ325,1,$BN325+1):INDEX(終値!$E325:$CZ325,1,$BN325+20)))</f>
        <v/>
      </c>
      <c r="BS325" s="503" t="str">
        <f>IF($BM325="","",AVERAGE(INDEX(終値!$E325:$CZ325,1,$BM325+1):INDEX(終値!$E325:$CZ325,1,$BM325+20))+2*STDEVP(INDEX(終値!$E325:$CZ325,1,$BM325+1):INDEX(終値!$E325:$CZ325,1,$BM325+20)))</f>
        <v/>
      </c>
      <c r="BT325" s="500"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3" t="str">
        <f>IF(終値!A326="","",IF(AND(安値!G326&lt;安値!F326,安値!G326&lt;安値!E326,安値!G326&lt;安値!H326,安値!G326&lt;安値!I326),2,""))</f>
        <v/>
      </c>
      <c r="C326" s="503" t="str">
        <f>IF(終値!A326="","",IF(AND(安値!H326&lt;安値!G326,安値!H326&lt;安値!F326,安値!H326&lt;安値!I326,安値!H326&lt;安値!J326),3,""))</f>
        <v/>
      </c>
      <c r="D326" s="503" t="str">
        <f>IF(終値!A326="","",IF(AND(安値!I326&lt;安値!H326,安値!I326&lt;安値!G326,安値!I326&lt;安値!J326,安値!I326&lt;安値!K326),4,""))</f>
        <v/>
      </c>
      <c r="E326" s="503" t="str">
        <f>IF(終値!A326="","",IF(AND(安値!J326&lt;安値!I326,安値!J326&lt;安値!H326,安値!J326&lt;安値!K326,安値!J326&lt;安値!L326),5,""))</f>
        <v/>
      </c>
      <c r="F326" s="503" t="str">
        <f>IF(終値!A326="","",IF(AND(安値!K326&lt;安値!J326,安値!K326&lt;安値!I326,安値!K326&lt;安値!L326,安値!K326&lt;安値!M326),6,""))</f>
        <v/>
      </c>
      <c r="G326" s="503" t="str">
        <f>IF(終値!A326="","",IF(AND(安値!L326&lt;安値!K326,安値!L326&lt;安値!J326,安値!L326&lt;安値!M326,安値!L326&lt;安値!N326),7,""))</f>
        <v/>
      </c>
      <c r="H326" s="503" t="str">
        <f>IF(終値!A326="","",IF(AND(安値!M326&lt;安値!L326,安値!M326&lt;安値!K326,安値!M326&lt;安値!N326,安値!M326&lt;安値!O326),8,""))</f>
        <v/>
      </c>
      <c r="I326" s="503" t="str">
        <f>IF(終値!A326="","",IF(AND(安値!N326&lt;安値!M326,安値!N326&lt;安値!L326,安値!N326&lt;安値!O326,安値!N326&lt;安値!P326),9,""))</f>
        <v/>
      </c>
      <c r="J326" s="503" t="str">
        <f>IF(終値!A326="","",IF(AND(安値!O326&lt;安値!N326,安値!O326&lt;安値!M326,安値!O326&lt;安値!P326,安値!O326&lt;安値!Q326),10,""))</f>
        <v/>
      </c>
      <c r="K326" s="503" t="str">
        <f>IF(終値!A326="","",IF(AND(安値!P326&lt;安値!O326,安値!P326&lt;安値!N326,安値!P326&lt;安値!Q326,安値!P326&lt;安値!R326),11,""))</f>
        <v/>
      </c>
      <c r="L326" s="503" t="str">
        <f>IF(終値!A326="","",IF(AND(安値!Q326&lt;安値!P326,安値!Q326&lt;安値!O326,安値!Q326&lt;安値!R326,安値!Q326&lt;安値!S326),12,""))</f>
        <v/>
      </c>
      <c r="M326" s="503" t="str">
        <f>IF(終値!A326="","",IF(AND(安値!R326&lt;安値!Q326,安値!R326&lt;安値!P326,安値!R326&lt;安値!S326,安値!R326&lt;安値!T326),13,""))</f>
        <v/>
      </c>
      <c r="N326" s="503" t="str">
        <f>IF(終値!A326="","",IF(AND(安値!S326&lt;安値!R326,安値!S326&lt;安値!Q326,安値!S326&lt;安値!T326,安値!S326&lt;安値!U326),14,""))</f>
        <v/>
      </c>
      <c r="O326" s="503" t="str">
        <f>IF(終値!A326="","",IF(AND(安値!T326&lt;安値!S326,安値!T326&lt;安値!R326,安値!T326&lt;安値!U326,安値!T326&lt;安値!V326),15,""))</f>
        <v/>
      </c>
      <c r="P326" s="503" t="str">
        <f>IF(終値!A326="","",IF(AND(安値!U326&lt;安値!T326,安値!U326&lt;安値!S326,安値!U326&lt;安値!V326,安値!U326&lt;安値!W326),16,""))</f>
        <v/>
      </c>
      <c r="Q326" s="503" t="str">
        <f>IF(終値!A326="","",IF(AND(安値!V326&lt;安値!U326,安値!V326&lt;安値!T326,安値!V326&lt;安値!W326,安値!V326&lt;安値!X326),17,""))</f>
        <v/>
      </c>
      <c r="R326" s="503" t="str">
        <f>IF(終値!A326="","",IF(AND(安値!W326&lt;安値!V326,安値!W326&lt;安値!U326,安値!W326&lt;安値!X326,安値!W326&lt;安値!Y326),18,""))</f>
        <v/>
      </c>
      <c r="S326" s="503" t="str">
        <f>IF(終値!A326="","",IF(AND(安値!X326&lt;安値!W326,安値!X326&lt;安値!V326,安値!X326&lt;安値!Y326,安値!X326&lt;安値!Z326),19,""))</f>
        <v/>
      </c>
      <c r="T326" s="503" t="str">
        <f>IF(終値!A326="","",IF(AND(安値!Y326&lt;安値!X326,安値!Y326&lt;安値!W326,安値!Y326&lt;安値!Z326,安値!Y326&lt;安値!AA326),20,""))</f>
        <v/>
      </c>
      <c r="U326" s="503" t="str">
        <f>IF(終値!A326="","",IF(AND(安値!Z326&lt;安値!Y326,安値!Z326&lt;安値!X326,安値!Z326&lt;安値!AA326,安値!Z326&lt;安値!AB326),21,""))</f>
        <v/>
      </c>
      <c r="V326" s="503" t="str">
        <f>IF(終値!A326="","",IF(AND(安値!AA326&lt;安値!Z326,安値!AA326&lt;安値!Y326,安値!AA326&lt;安値!AB326,安値!AA326&lt;安値!AC326),22,""))</f>
        <v/>
      </c>
      <c r="W326" s="503" t="str">
        <f>IF(終値!A326="","",IF(AND(安値!AB326&lt;安値!AA326,安値!AB326&lt;安値!Z326,安値!AB326&lt;安値!AC326,安値!AB326&lt;安値!AD326),23,""))</f>
        <v/>
      </c>
      <c r="X326" s="503" t="str">
        <f>IF(終値!A326="","",IF(AND(安値!AC326&lt;安値!AB326,安値!AC326&lt;安値!AA326,安値!AC326&lt;安値!AD326,安値!AC326&lt;安値!AE326),24,""))</f>
        <v/>
      </c>
      <c r="Y326" s="503" t="str">
        <f>IF(終値!A326="","",IF(AND(安値!AD326&lt;安値!AC326,安値!AD326&lt;安値!AB326,安値!AD326&lt;安値!AE326,安値!AD326&lt;安値!AF326),25,""))</f>
        <v/>
      </c>
      <c r="Z326" s="503" t="str">
        <f>IF(終値!A326="","",IF(AND(安値!AE326&lt;安値!AD326,安値!AE326&lt;安値!AC326,安値!AE326&lt;安値!AF326,安値!AE326&lt;安値!AG326),26,""))</f>
        <v/>
      </c>
      <c r="AA326" s="503" t="str">
        <f>IF(終値!A326="","",IF(AND(安値!AF326&lt;安値!AE326,安値!AF326&lt;安値!AD326,安値!AF326&lt;安値!AG326,安値!AF326&lt;安値!AH326),27,""))</f>
        <v/>
      </c>
      <c r="AB326" s="503" t="str">
        <f>IF(終値!A326="","",IF(AND(安値!AG326&lt;安値!AF326,安値!AG326&lt;安値!AE326,安値!AG326&lt;安値!AH326,安値!AG326&lt;安値!AI326),28,""))</f>
        <v/>
      </c>
      <c r="AC326" s="503" t="str">
        <f>IF(終値!A326="","",IF(AND(高値!G326&gt;高値!F326,高値!G326&gt;高値!E326,高値!G326&gt;高値!H326,高値!G326&gt;高値!I326),2,""))</f>
        <v/>
      </c>
      <c r="AD326" s="503" t="str">
        <f>IF(終値!A326="","",IF(AND(高値!H326&gt;高値!G326,高値!H326&gt;高値!F326,高値!H326&gt;高値!I326,高値!H326&gt;高値!J326),3,""))</f>
        <v/>
      </c>
      <c r="AE326" s="503" t="str">
        <f>IF(終値!A326="","",IF(AND(高値!I326&gt;高値!H326,高値!I326&gt;高値!G326,高値!I326&gt;高値!J326,高値!I326&gt;高値!K326),4,""))</f>
        <v/>
      </c>
      <c r="AF326" s="503" t="str">
        <f>IF(終値!A326="","",IF(AND(高値!J326&gt;高値!I326,高値!J326&gt;高値!H326,高値!J326&gt;高値!K326,高値!J326&gt;高値!L326),5,""))</f>
        <v/>
      </c>
      <c r="AG326" s="503" t="str">
        <f>IF(終値!A326="","",IF(AND(高値!K326&gt;高値!J326,高値!K326&gt;高値!I326,高値!K326&gt;高値!L326,高値!K326&gt;高値!M326),6,""))</f>
        <v/>
      </c>
      <c r="AH326" s="503" t="str">
        <f>IF(終値!A326="","",IF(AND(高値!L326&gt;高値!K326,高値!L326&gt;高値!J326,高値!L326&gt;高値!M326,高値!L326&gt;高値!N326),7,""))</f>
        <v/>
      </c>
      <c r="AI326" s="503" t="str">
        <f>IF(終値!A326="","",IF(AND(高値!M326&gt;高値!L326,高値!M326&gt;高値!K326,高値!M326&gt;高値!N326,高値!M326&gt;高値!O326),8,""))</f>
        <v/>
      </c>
      <c r="AJ326" s="503" t="str">
        <f>IF(終値!A326="","",IF(AND(高値!N326&gt;高値!M326,高値!N326&gt;高値!L326,高値!N326&gt;高値!O326,高値!N326&gt;高値!P326),9,""))</f>
        <v/>
      </c>
      <c r="AK326" s="503" t="str">
        <f>IF(終値!A326="","",IF(AND(高値!O326&gt;高値!N326,高値!O326&gt;高値!M326,高値!O326&gt;高値!P326,高値!O326&gt;高値!Q326),10,""))</f>
        <v/>
      </c>
      <c r="AL326" s="503" t="str">
        <f>IF(終値!A326="","",IF(AND(高値!P326&gt;高値!O326,高値!P326&gt;高値!N326,高値!P326&gt;高値!Q326,高値!P326&gt;高値!R326),11,""))</f>
        <v/>
      </c>
      <c r="AM326" s="503" t="str">
        <f>IF(終値!A326="","",IF(AND(高値!Q326&gt;高値!P326,高値!Q326&gt;高値!O326,高値!Q326&gt;高値!R326,高値!Q326&gt;高値!S326),12,""))</f>
        <v/>
      </c>
      <c r="AN326" s="503" t="str">
        <f>IF(終値!A326="","",IF(AND(高値!R326&gt;高値!Q326,高値!R326&gt;高値!P326,高値!R326&gt;高値!S326,高値!R326&gt;高値!T326),13,""))</f>
        <v/>
      </c>
      <c r="AO326" s="503" t="str">
        <f>IF(終値!A326="","",IF(AND(高値!S326&gt;高値!R326,高値!S326&gt;高値!Q326,高値!S326&gt;高値!T326,高値!S326&gt;高値!U326),14,""))</f>
        <v/>
      </c>
      <c r="AP326" s="503" t="str">
        <f>IF(終値!A326="","",IF(AND(高値!T326&gt;高値!S326,高値!T326&gt;高値!R326,高値!T326&gt;高値!U326,高値!T326&gt;高値!V326),15,""))</f>
        <v/>
      </c>
      <c r="AQ326" s="503" t="str">
        <f>IF(終値!A326="","",IF(AND(高値!U326&gt;高値!T326,高値!U326&gt;高値!S326,高値!U326&gt;高値!V326,高値!U326&gt;高値!W326),16,""))</f>
        <v/>
      </c>
      <c r="AR326" s="503" t="str">
        <f>IF(終値!A326="","",IF(AND(高値!V326&gt;高値!U326,高値!V326&gt;高値!T326,高値!V326&gt;高値!W326,高値!V326&gt;高値!X326),17,""))</f>
        <v/>
      </c>
      <c r="AS326" s="503" t="str">
        <f>IF(終値!A326="","",IF(AND(高値!W326&gt;高値!V326,高値!W326&gt;高値!U326,高値!W326&gt;高値!X326,高値!W326&gt;高値!Y326),18,""))</f>
        <v/>
      </c>
      <c r="AT326" s="503" t="str">
        <f>IF(終値!A326="","",IF(AND(高値!X326&gt;高値!W326,高値!X326&gt;高値!V326,高値!X326&gt;高値!Y326,高値!X326&gt;高値!Z326),19,""))</f>
        <v/>
      </c>
      <c r="AU326" s="503" t="str">
        <f>IF(終値!A326="","",IF(AND(高値!Y326&gt;高値!X326,高値!Y326&gt;高値!W326,高値!Y326&gt;高値!Z326,高値!Y326&gt;高値!AA326),20,""))</f>
        <v/>
      </c>
      <c r="AV326" s="503" t="str">
        <f>IF(終値!A326="","",IF(AND(高値!Z326&gt;高値!Y326,高値!Z326&gt;高値!X326,高値!Z326&gt;高値!AA326,高値!Z326&gt;高値!AB326),21,""))</f>
        <v/>
      </c>
      <c r="AW326" s="503" t="str">
        <f>IF(終値!A326="","",IF(AND(高値!AA326&gt;高値!Z326,高値!AA326&gt;高値!Y326,高値!AA326&gt;高値!AB326,高値!AA326&gt;高値!AC326),22,""))</f>
        <v/>
      </c>
      <c r="AX326" s="503" t="str">
        <f>IF(終値!A326="","",IF(AND(高値!AB326&gt;高値!AA326,高値!AB326&gt;高値!Z326,高値!AB326&gt;高値!AC326,高値!AB326&gt;高値!AD326),23,""))</f>
        <v/>
      </c>
      <c r="AY326" s="503" t="str">
        <f>IF(終値!A326="","",IF(AND(高値!AC326&gt;高値!AB326,高値!AC326&gt;高値!AA326,高値!AC326&gt;高値!AD326,高値!AC326&gt;高値!AE326),24,""))</f>
        <v/>
      </c>
      <c r="AZ326" s="503" t="str">
        <f>IF(終値!A326="","",IF(AND(高値!AD326&gt;高値!AC326,高値!AD326&gt;高値!AB326,高値!AD326&gt;高値!AE326,高値!AD326&gt;高値!AF326),25,""))</f>
        <v/>
      </c>
      <c r="BA326" s="503" t="str">
        <f>IF(終値!A326="","",IF(AND(高値!AE326&gt;高値!AD326,高値!AE326&gt;高値!AC326,高値!AE326&gt;高値!AF326,高値!AE326&gt;高値!AG326),26,""))</f>
        <v/>
      </c>
      <c r="BB326" s="503" t="str">
        <f>IF(終値!A326="","",IF(AND(高値!AF326&gt;高値!AE326,高値!AF326&gt;高値!AD326,高値!AF326&gt;高値!AG326,高値!AF326&gt;高値!AH326),27,""))</f>
        <v/>
      </c>
      <c r="BC326" s="503" t="str">
        <f>IF(終値!A326="","",IF(AND(高値!AG326&gt;高値!AF326,高値!AG326&gt;高値!AE326,高値!AG326&gt;高値!AH326,高値!AG326&gt;高値!AI326),28,""))</f>
        <v/>
      </c>
      <c r="BD326" s="503">
        <f t="shared" ref="BD326:BD389" si="30">COUNT($B326:$AB326)</f>
        <v>0</v>
      </c>
      <c r="BE326" s="503" t="str">
        <f t="shared" ref="BE326:BE389" si="31">IF($BD326&gt;=2,MIN($B326:$AB326),"")</f>
        <v/>
      </c>
      <c r="BF326" s="503" t="str">
        <f t="shared" ref="BF326:BF389" si="32">IF($BD326&gt;=2,SMALL($B326:$AB326,2),"")</f>
        <v/>
      </c>
      <c r="BG326" s="503" t="str">
        <f>IF($BE326="","",INDEX(安値!$E326:$CZ326,1,$BE326+1))</f>
        <v/>
      </c>
      <c r="BH326" s="503" t="str">
        <f>IF($BF326="","",INDEX(安値!$E326:$CZ326,1,$BF326+1))</f>
        <v/>
      </c>
      <c r="BI326" s="503" t="str">
        <f>IF($BF326="","",MAX(INDEX(高値!$E326:$CZ326,1,$BE326+1):INDEX(高値!$E326:$CZ326,1,$BF326+1)))</f>
        <v/>
      </c>
      <c r="BJ326" s="503" t="str">
        <f>IF($BF326="","",AVERAGE(INDEX(終値!$E326:$CZ326,1,$BF326+1):INDEX(終値!$E326:$CZ326,1,$BF326+20))-2*STDEVP(INDEX(終値!$E326:$CZ326,1,$BF326+1):INDEX(終値!$E326:$CZ326,1,$BF326+20)))</f>
        <v/>
      </c>
      <c r="BK326" s="503" t="str">
        <f>IF($BE326="","",AVERAGE(INDEX(終値!$E326:$CZ326,1,$BE326+1):INDEX(終値!$E326:$CZ326,1,$BE326+20))-2*STDEVP(INDEX(終値!$E326:$CZ326,1,$BE326+1):INDEX(終値!$E326:$CZ326,1,$BE326+20)))</f>
        <v/>
      </c>
      <c r="BL326" s="503">
        <f t="shared" ref="BL326:BL389" si="33">COUNT($AC326:$BC326)</f>
        <v>0</v>
      </c>
      <c r="BM326" s="503" t="str">
        <f t="shared" ref="BM326:BM389" si="34">IF($BL326&gt;=2,MIN($AC326:$BC326),"")</f>
        <v/>
      </c>
      <c r="BN326" s="503" t="str">
        <f t="shared" ref="BN326:BN389" si="35">IF($BL326&gt;=2,SMALL($AC326:$BC326,2),"")</f>
        <v/>
      </c>
      <c r="BO326" s="503" t="str">
        <f>IF($BM326="","",INDEX(高値!$E326:$CZ326,1,$BM326+1))</f>
        <v/>
      </c>
      <c r="BP326" s="503" t="str">
        <f>IF($BN326="","",INDEX(高値!$E326:$CZ326,1,$BN326+1))</f>
        <v/>
      </c>
      <c r="BQ326" s="503" t="str">
        <f>IF($BN326="","",MIN(INDEX(安値!$E326:$CZ326,1,$BM326+1):INDEX(安値!$E326:$CZ326,1,$BN326+1)))</f>
        <v/>
      </c>
      <c r="BR326" s="503" t="str">
        <f>IF($BN326="","",AVERAGE(INDEX(終値!$E326:$CZ326,1,$BN326+1):INDEX(終値!$E326:$CZ326,1,$BN326+20))+2*STDEVP(INDEX(終値!$E326:$CZ326,1,$BN326+1):INDEX(終値!$E326:$CZ326,1,$BN326+20)))</f>
        <v/>
      </c>
      <c r="BS326" s="503" t="str">
        <f>IF($BM326="","",AVERAGE(INDEX(終値!$E326:$CZ326,1,$BM326+1):INDEX(終値!$E326:$CZ326,1,$BM326+20))+2*STDEVP(INDEX(終値!$E326:$CZ326,1,$BM326+1):INDEX(終値!$E326:$CZ326,1,$BM326+20)))</f>
        <v/>
      </c>
      <c r="BT326" s="500"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3" t="str">
        <f>IF(終値!A327="","",IF(AND(安値!G327&lt;安値!F327,安値!G327&lt;安値!E327,安値!G327&lt;安値!H327,安値!G327&lt;安値!I327),2,""))</f>
        <v/>
      </c>
      <c r="C327" s="503" t="str">
        <f>IF(終値!A327="","",IF(AND(安値!H327&lt;安値!G327,安値!H327&lt;安値!F327,安値!H327&lt;安値!I327,安値!H327&lt;安値!J327),3,""))</f>
        <v/>
      </c>
      <c r="D327" s="503" t="str">
        <f>IF(終値!A327="","",IF(AND(安値!I327&lt;安値!H327,安値!I327&lt;安値!G327,安値!I327&lt;安値!J327,安値!I327&lt;安値!K327),4,""))</f>
        <v/>
      </c>
      <c r="E327" s="503" t="str">
        <f>IF(終値!A327="","",IF(AND(安値!J327&lt;安値!I327,安値!J327&lt;安値!H327,安値!J327&lt;安値!K327,安値!J327&lt;安値!L327),5,""))</f>
        <v/>
      </c>
      <c r="F327" s="503" t="str">
        <f>IF(終値!A327="","",IF(AND(安値!K327&lt;安値!J327,安値!K327&lt;安値!I327,安値!K327&lt;安値!L327,安値!K327&lt;安値!M327),6,""))</f>
        <v/>
      </c>
      <c r="G327" s="503" t="str">
        <f>IF(終値!A327="","",IF(AND(安値!L327&lt;安値!K327,安値!L327&lt;安値!J327,安値!L327&lt;安値!M327,安値!L327&lt;安値!N327),7,""))</f>
        <v/>
      </c>
      <c r="H327" s="503" t="str">
        <f>IF(終値!A327="","",IF(AND(安値!M327&lt;安値!L327,安値!M327&lt;安値!K327,安値!M327&lt;安値!N327,安値!M327&lt;安値!O327),8,""))</f>
        <v/>
      </c>
      <c r="I327" s="503" t="str">
        <f>IF(終値!A327="","",IF(AND(安値!N327&lt;安値!M327,安値!N327&lt;安値!L327,安値!N327&lt;安値!O327,安値!N327&lt;安値!P327),9,""))</f>
        <v/>
      </c>
      <c r="J327" s="503" t="str">
        <f>IF(終値!A327="","",IF(AND(安値!O327&lt;安値!N327,安値!O327&lt;安値!M327,安値!O327&lt;安値!P327,安値!O327&lt;安値!Q327),10,""))</f>
        <v/>
      </c>
      <c r="K327" s="503" t="str">
        <f>IF(終値!A327="","",IF(AND(安値!P327&lt;安値!O327,安値!P327&lt;安値!N327,安値!P327&lt;安値!Q327,安値!P327&lt;安値!R327),11,""))</f>
        <v/>
      </c>
      <c r="L327" s="503" t="str">
        <f>IF(終値!A327="","",IF(AND(安値!Q327&lt;安値!P327,安値!Q327&lt;安値!O327,安値!Q327&lt;安値!R327,安値!Q327&lt;安値!S327),12,""))</f>
        <v/>
      </c>
      <c r="M327" s="503" t="str">
        <f>IF(終値!A327="","",IF(AND(安値!R327&lt;安値!Q327,安値!R327&lt;安値!P327,安値!R327&lt;安値!S327,安値!R327&lt;安値!T327),13,""))</f>
        <v/>
      </c>
      <c r="N327" s="503" t="str">
        <f>IF(終値!A327="","",IF(AND(安値!S327&lt;安値!R327,安値!S327&lt;安値!Q327,安値!S327&lt;安値!T327,安値!S327&lt;安値!U327),14,""))</f>
        <v/>
      </c>
      <c r="O327" s="503" t="str">
        <f>IF(終値!A327="","",IF(AND(安値!T327&lt;安値!S327,安値!T327&lt;安値!R327,安値!T327&lt;安値!U327,安値!T327&lt;安値!V327),15,""))</f>
        <v/>
      </c>
      <c r="P327" s="503" t="str">
        <f>IF(終値!A327="","",IF(AND(安値!U327&lt;安値!T327,安値!U327&lt;安値!S327,安値!U327&lt;安値!V327,安値!U327&lt;安値!W327),16,""))</f>
        <v/>
      </c>
      <c r="Q327" s="503" t="str">
        <f>IF(終値!A327="","",IF(AND(安値!V327&lt;安値!U327,安値!V327&lt;安値!T327,安値!V327&lt;安値!W327,安値!V327&lt;安値!X327),17,""))</f>
        <v/>
      </c>
      <c r="R327" s="503" t="str">
        <f>IF(終値!A327="","",IF(AND(安値!W327&lt;安値!V327,安値!W327&lt;安値!U327,安値!W327&lt;安値!X327,安値!W327&lt;安値!Y327),18,""))</f>
        <v/>
      </c>
      <c r="S327" s="503" t="str">
        <f>IF(終値!A327="","",IF(AND(安値!X327&lt;安値!W327,安値!X327&lt;安値!V327,安値!X327&lt;安値!Y327,安値!X327&lt;安値!Z327),19,""))</f>
        <v/>
      </c>
      <c r="T327" s="503" t="str">
        <f>IF(終値!A327="","",IF(AND(安値!Y327&lt;安値!X327,安値!Y327&lt;安値!W327,安値!Y327&lt;安値!Z327,安値!Y327&lt;安値!AA327),20,""))</f>
        <v/>
      </c>
      <c r="U327" s="503" t="str">
        <f>IF(終値!A327="","",IF(AND(安値!Z327&lt;安値!Y327,安値!Z327&lt;安値!X327,安値!Z327&lt;安値!AA327,安値!Z327&lt;安値!AB327),21,""))</f>
        <v/>
      </c>
      <c r="V327" s="503" t="str">
        <f>IF(終値!A327="","",IF(AND(安値!AA327&lt;安値!Z327,安値!AA327&lt;安値!Y327,安値!AA327&lt;安値!AB327,安値!AA327&lt;安値!AC327),22,""))</f>
        <v/>
      </c>
      <c r="W327" s="503" t="str">
        <f>IF(終値!A327="","",IF(AND(安値!AB327&lt;安値!AA327,安値!AB327&lt;安値!Z327,安値!AB327&lt;安値!AC327,安値!AB327&lt;安値!AD327),23,""))</f>
        <v/>
      </c>
      <c r="X327" s="503" t="str">
        <f>IF(終値!A327="","",IF(AND(安値!AC327&lt;安値!AB327,安値!AC327&lt;安値!AA327,安値!AC327&lt;安値!AD327,安値!AC327&lt;安値!AE327),24,""))</f>
        <v/>
      </c>
      <c r="Y327" s="503" t="str">
        <f>IF(終値!A327="","",IF(AND(安値!AD327&lt;安値!AC327,安値!AD327&lt;安値!AB327,安値!AD327&lt;安値!AE327,安値!AD327&lt;安値!AF327),25,""))</f>
        <v/>
      </c>
      <c r="Z327" s="503" t="str">
        <f>IF(終値!A327="","",IF(AND(安値!AE327&lt;安値!AD327,安値!AE327&lt;安値!AC327,安値!AE327&lt;安値!AF327,安値!AE327&lt;安値!AG327),26,""))</f>
        <v/>
      </c>
      <c r="AA327" s="503" t="str">
        <f>IF(終値!A327="","",IF(AND(安値!AF327&lt;安値!AE327,安値!AF327&lt;安値!AD327,安値!AF327&lt;安値!AG327,安値!AF327&lt;安値!AH327),27,""))</f>
        <v/>
      </c>
      <c r="AB327" s="503" t="str">
        <f>IF(終値!A327="","",IF(AND(安値!AG327&lt;安値!AF327,安値!AG327&lt;安値!AE327,安値!AG327&lt;安値!AH327,安値!AG327&lt;安値!AI327),28,""))</f>
        <v/>
      </c>
      <c r="AC327" s="503" t="str">
        <f>IF(終値!A327="","",IF(AND(高値!G327&gt;高値!F327,高値!G327&gt;高値!E327,高値!G327&gt;高値!H327,高値!G327&gt;高値!I327),2,""))</f>
        <v/>
      </c>
      <c r="AD327" s="503" t="str">
        <f>IF(終値!A327="","",IF(AND(高値!H327&gt;高値!G327,高値!H327&gt;高値!F327,高値!H327&gt;高値!I327,高値!H327&gt;高値!J327),3,""))</f>
        <v/>
      </c>
      <c r="AE327" s="503" t="str">
        <f>IF(終値!A327="","",IF(AND(高値!I327&gt;高値!H327,高値!I327&gt;高値!G327,高値!I327&gt;高値!J327,高値!I327&gt;高値!K327),4,""))</f>
        <v/>
      </c>
      <c r="AF327" s="503" t="str">
        <f>IF(終値!A327="","",IF(AND(高値!J327&gt;高値!I327,高値!J327&gt;高値!H327,高値!J327&gt;高値!K327,高値!J327&gt;高値!L327),5,""))</f>
        <v/>
      </c>
      <c r="AG327" s="503" t="str">
        <f>IF(終値!A327="","",IF(AND(高値!K327&gt;高値!J327,高値!K327&gt;高値!I327,高値!K327&gt;高値!L327,高値!K327&gt;高値!M327),6,""))</f>
        <v/>
      </c>
      <c r="AH327" s="503" t="str">
        <f>IF(終値!A327="","",IF(AND(高値!L327&gt;高値!K327,高値!L327&gt;高値!J327,高値!L327&gt;高値!M327,高値!L327&gt;高値!N327),7,""))</f>
        <v/>
      </c>
      <c r="AI327" s="503" t="str">
        <f>IF(終値!A327="","",IF(AND(高値!M327&gt;高値!L327,高値!M327&gt;高値!K327,高値!M327&gt;高値!N327,高値!M327&gt;高値!O327),8,""))</f>
        <v/>
      </c>
      <c r="AJ327" s="503" t="str">
        <f>IF(終値!A327="","",IF(AND(高値!N327&gt;高値!M327,高値!N327&gt;高値!L327,高値!N327&gt;高値!O327,高値!N327&gt;高値!P327),9,""))</f>
        <v/>
      </c>
      <c r="AK327" s="503" t="str">
        <f>IF(終値!A327="","",IF(AND(高値!O327&gt;高値!N327,高値!O327&gt;高値!M327,高値!O327&gt;高値!P327,高値!O327&gt;高値!Q327),10,""))</f>
        <v/>
      </c>
      <c r="AL327" s="503" t="str">
        <f>IF(終値!A327="","",IF(AND(高値!P327&gt;高値!O327,高値!P327&gt;高値!N327,高値!P327&gt;高値!Q327,高値!P327&gt;高値!R327),11,""))</f>
        <v/>
      </c>
      <c r="AM327" s="503" t="str">
        <f>IF(終値!A327="","",IF(AND(高値!Q327&gt;高値!P327,高値!Q327&gt;高値!O327,高値!Q327&gt;高値!R327,高値!Q327&gt;高値!S327),12,""))</f>
        <v/>
      </c>
      <c r="AN327" s="503" t="str">
        <f>IF(終値!A327="","",IF(AND(高値!R327&gt;高値!Q327,高値!R327&gt;高値!P327,高値!R327&gt;高値!S327,高値!R327&gt;高値!T327),13,""))</f>
        <v/>
      </c>
      <c r="AO327" s="503" t="str">
        <f>IF(終値!A327="","",IF(AND(高値!S327&gt;高値!R327,高値!S327&gt;高値!Q327,高値!S327&gt;高値!T327,高値!S327&gt;高値!U327),14,""))</f>
        <v/>
      </c>
      <c r="AP327" s="503" t="str">
        <f>IF(終値!A327="","",IF(AND(高値!T327&gt;高値!S327,高値!T327&gt;高値!R327,高値!T327&gt;高値!U327,高値!T327&gt;高値!V327),15,""))</f>
        <v/>
      </c>
      <c r="AQ327" s="503" t="str">
        <f>IF(終値!A327="","",IF(AND(高値!U327&gt;高値!T327,高値!U327&gt;高値!S327,高値!U327&gt;高値!V327,高値!U327&gt;高値!W327),16,""))</f>
        <v/>
      </c>
      <c r="AR327" s="503" t="str">
        <f>IF(終値!A327="","",IF(AND(高値!V327&gt;高値!U327,高値!V327&gt;高値!T327,高値!V327&gt;高値!W327,高値!V327&gt;高値!X327),17,""))</f>
        <v/>
      </c>
      <c r="AS327" s="503" t="str">
        <f>IF(終値!A327="","",IF(AND(高値!W327&gt;高値!V327,高値!W327&gt;高値!U327,高値!W327&gt;高値!X327,高値!W327&gt;高値!Y327),18,""))</f>
        <v/>
      </c>
      <c r="AT327" s="503" t="str">
        <f>IF(終値!A327="","",IF(AND(高値!X327&gt;高値!W327,高値!X327&gt;高値!V327,高値!X327&gt;高値!Y327,高値!X327&gt;高値!Z327),19,""))</f>
        <v/>
      </c>
      <c r="AU327" s="503" t="str">
        <f>IF(終値!A327="","",IF(AND(高値!Y327&gt;高値!X327,高値!Y327&gt;高値!W327,高値!Y327&gt;高値!Z327,高値!Y327&gt;高値!AA327),20,""))</f>
        <v/>
      </c>
      <c r="AV327" s="503" t="str">
        <f>IF(終値!A327="","",IF(AND(高値!Z327&gt;高値!Y327,高値!Z327&gt;高値!X327,高値!Z327&gt;高値!AA327,高値!Z327&gt;高値!AB327),21,""))</f>
        <v/>
      </c>
      <c r="AW327" s="503" t="str">
        <f>IF(終値!A327="","",IF(AND(高値!AA327&gt;高値!Z327,高値!AA327&gt;高値!Y327,高値!AA327&gt;高値!AB327,高値!AA327&gt;高値!AC327),22,""))</f>
        <v/>
      </c>
      <c r="AX327" s="503" t="str">
        <f>IF(終値!A327="","",IF(AND(高値!AB327&gt;高値!AA327,高値!AB327&gt;高値!Z327,高値!AB327&gt;高値!AC327,高値!AB327&gt;高値!AD327),23,""))</f>
        <v/>
      </c>
      <c r="AY327" s="503" t="str">
        <f>IF(終値!A327="","",IF(AND(高値!AC327&gt;高値!AB327,高値!AC327&gt;高値!AA327,高値!AC327&gt;高値!AD327,高値!AC327&gt;高値!AE327),24,""))</f>
        <v/>
      </c>
      <c r="AZ327" s="503" t="str">
        <f>IF(終値!A327="","",IF(AND(高値!AD327&gt;高値!AC327,高値!AD327&gt;高値!AB327,高値!AD327&gt;高値!AE327,高値!AD327&gt;高値!AF327),25,""))</f>
        <v/>
      </c>
      <c r="BA327" s="503" t="str">
        <f>IF(終値!A327="","",IF(AND(高値!AE327&gt;高値!AD327,高値!AE327&gt;高値!AC327,高値!AE327&gt;高値!AF327,高値!AE327&gt;高値!AG327),26,""))</f>
        <v/>
      </c>
      <c r="BB327" s="503" t="str">
        <f>IF(終値!A327="","",IF(AND(高値!AF327&gt;高値!AE327,高値!AF327&gt;高値!AD327,高値!AF327&gt;高値!AG327,高値!AF327&gt;高値!AH327),27,""))</f>
        <v/>
      </c>
      <c r="BC327" s="503" t="str">
        <f>IF(終値!A327="","",IF(AND(高値!AG327&gt;高値!AF327,高値!AG327&gt;高値!AE327,高値!AG327&gt;高値!AH327,高値!AG327&gt;高値!AI327),28,""))</f>
        <v/>
      </c>
      <c r="BD327" s="503">
        <f t="shared" si="30"/>
        <v>0</v>
      </c>
      <c r="BE327" s="503" t="str">
        <f t="shared" si="31"/>
        <v/>
      </c>
      <c r="BF327" s="503" t="str">
        <f t="shared" si="32"/>
        <v/>
      </c>
      <c r="BG327" s="503" t="str">
        <f>IF($BE327="","",INDEX(安値!$E327:$CZ327,1,$BE327+1))</f>
        <v/>
      </c>
      <c r="BH327" s="503" t="str">
        <f>IF($BF327="","",INDEX(安値!$E327:$CZ327,1,$BF327+1))</f>
        <v/>
      </c>
      <c r="BI327" s="503" t="str">
        <f>IF($BF327="","",MAX(INDEX(高値!$E327:$CZ327,1,$BE327+1):INDEX(高値!$E327:$CZ327,1,$BF327+1)))</f>
        <v/>
      </c>
      <c r="BJ327" s="503" t="str">
        <f>IF($BF327="","",AVERAGE(INDEX(終値!$E327:$CZ327,1,$BF327+1):INDEX(終値!$E327:$CZ327,1,$BF327+20))-2*STDEVP(INDEX(終値!$E327:$CZ327,1,$BF327+1):INDEX(終値!$E327:$CZ327,1,$BF327+20)))</f>
        <v/>
      </c>
      <c r="BK327" s="503" t="str">
        <f>IF($BE327="","",AVERAGE(INDEX(終値!$E327:$CZ327,1,$BE327+1):INDEX(終値!$E327:$CZ327,1,$BE327+20))-2*STDEVP(INDEX(終値!$E327:$CZ327,1,$BE327+1):INDEX(終値!$E327:$CZ327,1,$BE327+20)))</f>
        <v/>
      </c>
      <c r="BL327" s="503">
        <f t="shared" si="33"/>
        <v>0</v>
      </c>
      <c r="BM327" s="503" t="str">
        <f t="shared" si="34"/>
        <v/>
      </c>
      <c r="BN327" s="503" t="str">
        <f t="shared" si="35"/>
        <v/>
      </c>
      <c r="BO327" s="503" t="str">
        <f>IF($BM327="","",INDEX(高値!$E327:$CZ327,1,$BM327+1))</f>
        <v/>
      </c>
      <c r="BP327" s="503" t="str">
        <f>IF($BN327="","",INDEX(高値!$E327:$CZ327,1,$BN327+1))</f>
        <v/>
      </c>
      <c r="BQ327" s="503" t="str">
        <f>IF($BN327="","",MIN(INDEX(安値!$E327:$CZ327,1,$BM327+1):INDEX(安値!$E327:$CZ327,1,$BN327+1)))</f>
        <v/>
      </c>
      <c r="BR327" s="503" t="str">
        <f>IF($BN327="","",AVERAGE(INDEX(終値!$E327:$CZ327,1,$BN327+1):INDEX(終値!$E327:$CZ327,1,$BN327+20))+2*STDEVP(INDEX(終値!$E327:$CZ327,1,$BN327+1):INDEX(終値!$E327:$CZ327,1,$BN327+20)))</f>
        <v/>
      </c>
      <c r="BS327" s="503" t="str">
        <f>IF($BM327="","",AVERAGE(INDEX(終値!$E327:$CZ327,1,$BM327+1):INDEX(終値!$E327:$CZ327,1,$BM327+20))+2*STDEVP(INDEX(終値!$E327:$CZ327,1,$BM327+1):INDEX(終値!$E327:$CZ327,1,$BM327+20)))</f>
        <v/>
      </c>
      <c r="BT327" s="500"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3" t="str">
        <f>IF(終値!A328="","",IF(AND(安値!G328&lt;安値!F328,安値!G328&lt;安値!E328,安値!G328&lt;安値!H328,安値!G328&lt;安値!I328),2,""))</f>
        <v/>
      </c>
      <c r="C328" s="503" t="str">
        <f>IF(終値!A328="","",IF(AND(安値!H328&lt;安値!G328,安値!H328&lt;安値!F328,安値!H328&lt;安値!I328,安値!H328&lt;安値!J328),3,""))</f>
        <v/>
      </c>
      <c r="D328" s="503" t="str">
        <f>IF(終値!A328="","",IF(AND(安値!I328&lt;安値!H328,安値!I328&lt;安値!G328,安値!I328&lt;安値!J328,安値!I328&lt;安値!K328),4,""))</f>
        <v/>
      </c>
      <c r="E328" s="503" t="str">
        <f>IF(終値!A328="","",IF(AND(安値!J328&lt;安値!I328,安値!J328&lt;安値!H328,安値!J328&lt;安値!K328,安値!J328&lt;安値!L328),5,""))</f>
        <v/>
      </c>
      <c r="F328" s="503" t="str">
        <f>IF(終値!A328="","",IF(AND(安値!K328&lt;安値!J328,安値!K328&lt;安値!I328,安値!K328&lt;安値!L328,安値!K328&lt;安値!M328),6,""))</f>
        <v/>
      </c>
      <c r="G328" s="503" t="str">
        <f>IF(終値!A328="","",IF(AND(安値!L328&lt;安値!K328,安値!L328&lt;安値!J328,安値!L328&lt;安値!M328,安値!L328&lt;安値!N328),7,""))</f>
        <v/>
      </c>
      <c r="H328" s="503" t="str">
        <f>IF(終値!A328="","",IF(AND(安値!M328&lt;安値!L328,安値!M328&lt;安値!K328,安値!M328&lt;安値!N328,安値!M328&lt;安値!O328),8,""))</f>
        <v/>
      </c>
      <c r="I328" s="503" t="str">
        <f>IF(終値!A328="","",IF(AND(安値!N328&lt;安値!M328,安値!N328&lt;安値!L328,安値!N328&lt;安値!O328,安値!N328&lt;安値!P328),9,""))</f>
        <v/>
      </c>
      <c r="J328" s="503" t="str">
        <f>IF(終値!A328="","",IF(AND(安値!O328&lt;安値!N328,安値!O328&lt;安値!M328,安値!O328&lt;安値!P328,安値!O328&lt;安値!Q328),10,""))</f>
        <v/>
      </c>
      <c r="K328" s="503" t="str">
        <f>IF(終値!A328="","",IF(AND(安値!P328&lt;安値!O328,安値!P328&lt;安値!N328,安値!P328&lt;安値!Q328,安値!P328&lt;安値!R328),11,""))</f>
        <v/>
      </c>
      <c r="L328" s="503" t="str">
        <f>IF(終値!A328="","",IF(AND(安値!Q328&lt;安値!P328,安値!Q328&lt;安値!O328,安値!Q328&lt;安値!R328,安値!Q328&lt;安値!S328),12,""))</f>
        <v/>
      </c>
      <c r="M328" s="503" t="str">
        <f>IF(終値!A328="","",IF(AND(安値!R328&lt;安値!Q328,安値!R328&lt;安値!P328,安値!R328&lt;安値!S328,安値!R328&lt;安値!T328),13,""))</f>
        <v/>
      </c>
      <c r="N328" s="503" t="str">
        <f>IF(終値!A328="","",IF(AND(安値!S328&lt;安値!R328,安値!S328&lt;安値!Q328,安値!S328&lt;安値!T328,安値!S328&lt;安値!U328),14,""))</f>
        <v/>
      </c>
      <c r="O328" s="503" t="str">
        <f>IF(終値!A328="","",IF(AND(安値!T328&lt;安値!S328,安値!T328&lt;安値!R328,安値!T328&lt;安値!U328,安値!T328&lt;安値!V328),15,""))</f>
        <v/>
      </c>
      <c r="P328" s="503" t="str">
        <f>IF(終値!A328="","",IF(AND(安値!U328&lt;安値!T328,安値!U328&lt;安値!S328,安値!U328&lt;安値!V328,安値!U328&lt;安値!W328),16,""))</f>
        <v/>
      </c>
      <c r="Q328" s="503" t="str">
        <f>IF(終値!A328="","",IF(AND(安値!V328&lt;安値!U328,安値!V328&lt;安値!T328,安値!V328&lt;安値!W328,安値!V328&lt;安値!X328),17,""))</f>
        <v/>
      </c>
      <c r="R328" s="503" t="str">
        <f>IF(終値!A328="","",IF(AND(安値!W328&lt;安値!V328,安値!W328&lt;安値!U328,安値!W328&lt;安値!X328,安値!W328&lt;安値!Y328),18,""))</f>
        <v/>
      </c>
      <c r="S328" s="503" t="str">
        <f>IF(終値!A328="","",IF(AND(安値!X328&lt;安値!W328,安値!X328&lt;安値!V328,安値!X328&lt;安値!Y328,安値!X328&lt;安値!Z328),19,""))</f>
        <v/>
      </c>
      <c r="T328" s="503" t="str">
        <f>IF(終値!A328="","",IF(AND(安値!Y328&lt;安値!X328,安値!Y328&lt;安値!W328,安値!Y328&lt;安値!Z328,安値!Y328&lt;安値!AA328),20,""))</f>
        <v/>
      </c>
      <c r="U328" s="503" t="str">
        <f>IF(終値!A328="","",IF(AND(安値!Z328&lt;安値!Y328,安値!Z328&lt;安値!X328,安値!Z328&lt;安値!AA328,安値!Z328&lt;安値!AB328),21,""))</f>
        <v/>
      </c>
      <c r="V328" s="503" t="str">
        <f>IF(終値!A328="","",IF(AND(安値!AA328&lt;安値!Z328,安値!AA328&lt;安値!Y328,安値!AA328&lt;安値!AB328,安値!AA328&lt;安値!AC328),22,""))</f>
        <v/>
      </c>
      <c r="W328" s="503" t="str">
        <f>IF(終値!A328="","",IF(AND(安値!AB328&lt;安値!AA328,安値!AB328&lt;安値!Z328,安値!AB328&lt;安値!AC328,安値!AB328&lt;安値!AD328),23,""))</f>
        <v/>
      </c>
      <c r="X328" s="503" t="str">
        <f>IF(終値!A328="","",IF(AND(安値!AC328&lt;安値!AB328,安値!AC328&lt;安値!AA328,安値!AC328&lt;安値!AD328,安値!AC328&lt;安値!AE328),24,""))</f>
        <v/>
      </c>
      <c r="Y328" s="503" t="str">
        <f>IF(終値!A328="","",IF(AND(安値!AD328&lt;安値!AC328,安値!AD328&lt;安値!AB328,安値!AD328&lt;安値!AE328,安値!AD328&lt;安値!AF328),25,""))</f>
        <v/>
      </c>
      <c r="Z328" s="503" t="str">
        <f>IF(終値!A328="","",IF(AND(安値!AE328&lt;安値!AD328,安値!AE328&lt;安値!AC328,安値!AE328&lt;安値!AF328,安値!AE328&lt;安値!AG328),26,""))</f>
        <v/>
      </c>
      <c r="AA328" s="503" t="str">
        <f>IF(終値!A328="","",IF(AND(安値!AF328&lt;安値!AE328,安値!AF328&lt;安値!AD328,安値!AF328&lt;安値!AG328,安値!AF328&lt;安値!AH328),27,""))</f>
        <v/>
      </c>
      <c r="AB328" s="503" t="str">
        <f>IF(終値!A328="","",IF(AND(安値!AG328&lt;安値!AF328,安値!AG328&lt;安値!AE328,安値!AG328&lt;安値!AH328,安値!AG328&lt;安値!AI328),28,""))</f>
        <v/>
      </c>
      <c r="AC328" s="503" t="str">
        <f>IF(終値!A328="","",IF(AND(高値!G328&gt;高値!F328,高値!G328&gt;高値!E328,高値!G328&gt;高値!H328,高値!G328&gt;高値!I328),2,""))</f>
        <v/>
      </c>
      <c r="AD328" s="503" t="str">
        <f>IF(終値!A328="","",IF(AND(高値!H328&gt;高値!G328,高値!H328&gt;高値!F328,高値!H328&gt;高値!I328,高値!H328&gt;高値!J328),3,""))</f>
        <v/>
      </c>
      <c r="AE328" s="503" t="str">
        <f>IF(終値!A328="","",IF(AND(高値!I328&gt;高値!H328,高値!I328&gt;高値!G328,高値!I328&gt;高値!J328,高値!I328&gt;高値!K328),4,""))</f>
        <v/>
      </c>
      <c r="AF328" s="503" t="str">
        <f>IF(終値!A328="","",IF(AND(高値!J328&gt;高値!I328,高値!J328&gt;高値!H328,高値!J328&gt;高値!K328,高値!J328&gt;高値!L328),5,""))</f>
        <v/>
      </c>
      <c r="AG328" s="503" t="str">
        <f>IF(終値!A328="","",IF(AND(高値!K328&gt;高値!J328,高値!K328&gt;高値!I328,高値!K328&gt;高値!L328,高値!K328&gt;高値!M328),6,""))</f>
        <v/>
      </c>
      <c r="AH328" s="503" t="str">
        <f>IF(終値!A328="","",IF(AND(高値!L328&gt;高値!K328,高値!L328&gt;高値!J328,高値!L328&gt;高値!M328,高値!L328&gt;高値!N328),7,""))</f>
        <v/>
      </c>
      <c r="AI328" s="503" t="str">
        <f>IF(終値!A328="","",IF(AND(高値!M328&gt;高値!L328,高値!M328&gt;高値!K328,高値!M328&gt;高値!N328,高値!M328&gt;高値!O328),8,""))</f>
        <v/>
      </c>
      <c r="AJ328" s="503" t="str">
        <f>IF(終値!A328="","",IF(AND(高値!N328&gt;高値!M328,高値!N328&gt;高値!L328,高値!N328&gt;高値!O328,高値!N328&gt;高値!P328),9,""))</f>
        <v/>
      </c>
      <c r="AK328" s="503" t="str">
        <f>IF(終値!A328="","",IF(AND(高値!O328&gt;高値!N328,高値!O328&gt;高値!M328,高値!O328&gt;高値!P328,高値!O328&gt;高値!Q328),10,""))</f>
        <v/>
      </c>
      <c r="AL328" s="503" t="str">
        <f>IF(終値!A328="","",IF(AND(高値!P328&gt;高値!O328,高値!P328&gt;高値!N328,高値!P328&gt;高値!Q328,高値!P328&gt;高値!R328),11,""))</f>
        <v/>
      </c>
      <c r="AM328" s="503" t="str">
        <f>IF(終値!A328="","",IF(AND(高値!Q328&gt;高値!P328,高値!Q328&gt;高値!O328,高値!Q328&gt;高値!R328,高値!Q328&gt;高値!S328),12,""))</f>
        <v/>
      </c>
      <c r="AN328" s="503" t="str">
        <f>IF(終値!A328="","",IF(AND(高値!R328&gt;高値!Q328,高値!R328&gt;高値!P328,高値!R328&gt;高値!S328,高値!R328&gt;高値!T328),13,""))</f>
        <v/>
      </c>
      <c r="AO328" s="503" t="str">
        <f>IF(終値!A328="","",IF(AND(高値!S328&gt;高値!R328,高値!S328&gt;高値!Q328,高値!S328&gt;高値!T328,高値!S328&gt;高値!U328),14,""))</f>
        <v/>
      </c>
      <c r="AP328" s="503" t="str">
        <f>IF(終値!A328="","",IF(AND(高値!T328&gt;高値!S328,高値!T328&gt;高値!R328,高値!T328&gt;高値!U328,高値!T328&gt;高値!V328),15,""))</f>
        <v/>
      </c>
      <c r="AQ328" s="503" t="str">
        <f>IF(終値!A328="","",IF(AND(高値!U328&gt;高値!T328,高値!U328&gt;高値!S328,高値!U328&gt;高値!V328,高値!U328&gt;高値!W328),16,""))</f>
        <v/>
      </c>
      <c r="AR328" s="503" t="str">
        <f>IF(終値!A328="","",IF(AND(高値!V328&gt;高値!U328,高値!V328&gt;高値!T328,高値!V328&gt;高値!W328,高値!V328&gt;高値!X328),17,""))</f>
        <v/>
      </c>
      <c r="AS328" s="503" t="str">
        <f>IF(終値!A328="","",IF(AND(高値!W328&gt;高値!V328,高値!W328&gt;高値!U328,高値!W328&gt;高値!X328,高値!W328&gt;高値!Y328),18,""))</f>
        <v/>
      </c>
      <c r="AT328" s="503" t="str">
        <f>IF(終値!A328="","",IF(AND(高値!X328&gt;高値!W328,高値!X328&gt;高値!V328,高値!X328&gt;高値!Y328,高値!X328&gt;高値!Z328),19,""))</f>
        <v/>
      </c>
      <c r="AU328" s="503" t="str">
        <f>IF(終値!A328="","",IF(AND(高値!Y328&gt;高値!X328,高値!Y328&gt;高値!W328,高値!Y328&gt;高値!Z328,高値!Y328&gt;高値!AA328),20,""))</f>
        <v/>
      </c>
      <c r="AV328" s="503" t="str">
        <f>IF(終値!A328="","",IF(AND(高値!Z328&gt;高値!Y328,高値!Z328&gt;高値!X328,高値!Z328&gt;高値!AA328,高値!Z328&gt;高値!AB328),21,""))</f>
        <v/>
      </c>
      <c r="AW328" s="503" t="str">
        <f>IF(終値!A328="","",IF(AND(高値!AA328&gt;高値!Z328,高値!AA328&gt;高値!Y328,高値!AA328&gt;高値!AB328,高値!AA328&gt;高値!AC328),22,""))</f>
        <v/>
      </c>
      <c r="AX328" s="503" t="str">
        <f>IF(終値!A328="","",IF(AND(高値!AB328&gt;高値!AA328,高値!AB328&gt;高値!Z328,高値!AB328&gt;高値!AC328,高値!AB328&gt;高値!AD328),23,""))</f>
        <v/>
      </c>
      <c r="AY328" s="503" t="str">
        <f>IF(終値!A328="","",IF(AND(高値!AC328&gt;高値!AB328,高値!AC328&gt;高値!AA328,高値!AC328&gt;高値!AD328,高値!AC328&gt;高値!AE328),24,""))</f>
        <v/>
      </c>
      <c r="AZ328" s="503" t="str">
        <f>IF(終値!A328="","",IF(AND(高値!AD328&gt;高値!AC328,高値!AD328&gt;高値!AB328,高値!AD328&gt;高値!AE328,高値!AD328&gt;高値!AF328),25,""))</f>
        <v/>
      </c>
      <c r="BA328" s="503" t="str">
        <f>IF(終値!A328="","",IF(AND(高値!AE328&gt;高値!AD328,高値!AE328&gt;高値!AC328,高値!AE328&gt;高値!AF328,高値!AE328&gt;高値!AG328),26,""))</f>
        <v/>
      </c>
      <c r="BB328" s="503" t="str">
        <f>IF(終値!A328="","",IF(AND(高値!AF328&gt;高値!AE328,高値!AF328&gt;高値!AD328,高値!AF328&gt;高値!AG328,高値!AF328&gt;高値!AH328),27,""))</f>
        <v/>
      </c>
      <c r="BC328" s="503" t="str">
        <f>IF(終値!A328="","",IF(AND(高値!AG328&gt;高値!AF328,高値!AG328&gt;高値!AE328,高値!AG328&gt;高値!AH328,高値!AG328&gt;高値!AI328),28,""))</f>
        <v/>
      </c>
      <c r="BD328" s="503">
        <f t="shared" si="30"/>
        <v>0</v>
      </c>
      <c r="BE328" s="503" t="str">
        <f t="shared" si="31"/>
        <v/>
      </c>
      <c r="BF328" s="503" t="str">
        <f t="shared" si="32"/>
        <v/>
      </c>
      <c r="BG328" s="503" t="str">
        <f>IF($BE328="","",INDEX(安値!$E328:$CZ328,1,$BE328+1))</f>
        <v/>
      </c>
      <c r="BH328" s="503" t="str">
        <f>IF($BF328="","",INDEX(安値!$E328:$CZ328,1,$BF328+1))</f>
        <v/>
      </c>
      <c r="BI328" s="503" t="str">
        <f>IF($BF328="","",MAX(INDEX(高値!$E328:$CZ328,1,$BE328+1):INDEX(高値!$E328:$CZ328,1,$BF328+1)))</f>
        <v/>
      </c>
      <c r="BJ328" s="503" t="str">
        <f>IF($BF328="","",AVERAGE(INDEX(終値!$E328:$CZ328,1,$BF328+1):INDEX(終値!$E328:$CZ328,1,$BF328+20))-2*STDEVP(INDEX(終値!$E328:$CZ328,1,$BF328+1):INDEX(終値!$E328:$CZ328,1,$BF328+20)))</f>
        <v/>
      </c>
      <c r="BK328" s="503" t="str">
        <f>IF($BE328="","",AVERAGE(INDEX(終値!$E328:$CZ328,1,$BE328+1):INDEX(終値!$E328:$CZ328,1,$BE328+20))-2*STDEVP(INDEX(終値!$E328:$CZ328,1,$BE328+1):INDEX(終値!$E328:$CZ328,1,$BE328+20)))</f>
        <v/>
      </c>
      <c r="BL328" s="503">
        <f t="shared" si="33"/>
        <v>0</v>
      </c>
      <c r="BM328" s="503" t="str">
        <f t="shared" si="34"/>
        <v/>
      </c>
      <c r="BN328" s="503" t="str">
        <f t="shared" si="35"/>
        <v/>
      </c>
      <c r="BO328" s="503" t="str">
        <f>IF($BM328="","",INDEX(高値!$E328:$CZ328,1,$BM328+1))</f>
        <v/>
      </c>
      <c r="BP328" s="503" t="str">
        <f>IF($BN328="","",INDEX(高値!$E328:$CZ328,1,$BN328+1))</f>
        <v/>
      </c>
      <c r="BQ328" s="503" t="str">
        <f>IF($BN328="","",MIN(INDEX(安値!$E328:$CZ328,1,$BM328+1):INDEX(安値!$E328:$CZ328,1,$BN328+1)))</f>
        <v/>
      </c>
      <c r="BR328" s="503" t="str">
        <f>IF($BN328="","",AVERAGE(INDEX(終値!$E328:$CZ328,1,$BN328+1):INDEX(終値!$E328:$CZ328,1,$BN328+20))+2*STDEVP(INDEX(終値!$E328:$CZ328,1,$BN328+1):INDEX(終値!$E328:$CZ328,1,$BN328+20)))</f>
        <v/>
      </c>
      <c r="BS328" s="503" t="str">
        <f>IF($BM328="","",AVERAGE(INDEX(終値!$E328:$CZ328,1,$BM328+1):INDEX(終値!$E328:$CZ328,1,$BM328+20))+2*STDEVP(INDEX(終値!$E328:$CZ328,1,$BM328+1):INDEX(終値!$E328:$CZ328,1,$BM328+20)))</f>
        <v/>
      </c>
      <c r="BT328" s="500"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3" t="str">
        <f>IF(終値!A329="","",IF(AND(安値!G329&lt;安値!F329,安値!G329&lt;安値!E329,安値!G329&lt;安値!H329,安値!G329&lt;安値!I329),2,""))</f>
        <v/>
      </c>
      <c r="C329" s="503" t="str">
        <f>IF(終値!A329="","",IF(AND(安値!H329&lt;安値!G329,安値!H329&lt;安値!F329,安値!H329&lt;安値!I329,安値!H329&lt;安値!J329),3,""))</f>
        <v/>
      </c>
      <c r="D329" s="503" t="str">
        <f>IF(終値!A329="","",IF(AND(安値!I329&lt;安値!H329,安値!I329&lt;安値!G329,安値!I329&lt;安値!J329,安値!I329&lt;安値!K329),4,""))</f>
        <v/>
      </c>
      <c r="E329" s="503" t="str">
        <f>IF(終値!A329="","",IF(AND(安値!J329&lt;安値!I329,安値!J329&lt;安値!H329,安値!J329&lt;安値!K329,安値!J329&lt;安値!L329),5,""))</f>
        <v/>
      </c>
      <c r="F329" s="503" t="str">
        <f>IF(終値!A329="","",IF(AND(安値!K329&lt;安値!J329,安値!K329&lt;安値!I329,安値!K329&lt;安値!L329,安値!K329&lt;安値!M329),6,""))</f>
        <v/>
      </c>
      <c r="G329" s="503" t="str">
        <f>IF(終値!A329="","",IF(AND(安値!L329&lt;安値!K329,安値!L329&lt;安値!J329,安値!L329&lt;安値!M329,安値!L329&lt;安値!N329),7,""))</f>
        <v/>
      </c>
      <c r="H329" s="503" t="str">
        <f>IF(終値!A329="","",IF(AND(安値!M329&lt;安値!L329,安値!M329&lt;安値!K329,安値!M329&lt;安値!N329,安値!M329&lt;安値!O329),8,""))</f>
        <v/>
      </c>
      <c r="I329" s="503" t="str">
        <f>IF(終値!A329="","",IF(AND(安値!N329&lt;安値!M329,安値!N329&lt;安値!L329,安値!N329&lt;安値!O329,安値!N329&lt;安値!P329),9,""))</f>
        <v/>
      </c>
      <c r="J329" s="503" t="str">
        <f>IF(終値!A329="","",IF(AND(安値!O329&lt;安値!N329,安値!O329&lt;安値!M329,安値!O329&lt;安値!P329,安値!O329&lt;安値!Q329),10,""))</f>
        <v/>
      </c>
      <c r="K329" s="503" t="str">
        <f>IF(終値!A329="","",IF(AND(安値!P329&lt;安値!O329,安値!P329&lt;安値!N329,安値!P329&lt;安値!Q329,安値!P329&lt;安値!R329),11,""))</f>
        <v/>
      </c>
      <c r="L329" s="503" t="str">
        <f>IF(終値!A329="","",IF(AND(安値!Q329&lt;安値!P329,安値!Q329&lt;安値!O329,安値!Q329&lt;安値!R329,安値!Q329&lt;安値!S329),12,""))</f>
        <v/>
      </c>
      <c r="M329" s="503" t="str">
        <f>IF(終値!A329="","",IF(AND(安値!R329&lt;安値!Q329,安値!R329&lt;安値!P329,安値!R329&lt;安値!S329,安値!R329&lt;安値!T329),13,""))</f>
        <v/>
      </c>
      <c r="N329" s="503" t="str">
        <f>IF(終値!A329="","",IF(AND(安値!S329&lt;安値!R329,安値!S329&lt;安値!Q329,安値!S329&lt;安値!T329,安値!S329&lt;安値!U329),14,""))</f>
        <v/>
      </c>
      <c r="O329" s="503" t="str">
        <f>IF(終値!A329="","",IF(AND(安値!T329&lt;安値!S329,安値!T329&lt;安値!R329,安値!T329&lt;安値!U329,安値!T329&lt;安値!V329),15,""))</f>
        <v/>
      </c>
      <c r="P329" s="503" t="str">
        <f>IF(終値!A329="","",IF(AND(安値!U329&lt;安値!T329,安値!U329&lt;安値!S329,安値!U329&lt;安値!V329,安値!U329&lt;安値!W329),16,""))</f>
        <v/>
      </c>
      <c r="Q329" s="503" t="str">
        <f>IF(終値!A329="","",IF(AND(安値!V329&lt;安値!U329,安値!V329&lt;安値!T329,安値!V329&lt;安値!W329,安値!V329&lt;安値!X329),17,""))</f>
        <v/>
      </c>
      <c r="R329" s="503" t="str">
        <f>IF(終値!A329="","",IF(AND(安値!W329&lt;安値!V329,安値!W329&lt;安値!U329,安値!W329&lt;安値!X329,安値!W329&lt;安値!Y329),18,""))</f>
        <v/>
      </c>
      <c r="S329" s="503" t="str">
        <f>IF(終値!A329="","",IF(AND(安値!X329&lt;安値!W329,安値!X329&lt;安値!V329,安値!X329&lt;安値!Y329,安値!X329&lt;安値!Z329),19,""))</f>
        <v/>
      </c>
      <c r="T329" s="503" t="str">
        <f>IF(終値!A329="","",IF(AND(安値!Y329&lt;安値!X329,安値!Y329&lt;安値!W329,安値!Y329&lt;安値!Z329,安値!Y329&lt;安値!AA329),20,""))</f>
        <v/>
      </c>
      <c r="U329" s="503" t="str">
        <f>IF(終値!A329="","",IF(AND(安値!Z329&lt;安値!Y329,安値!Z329&lt;安値!X329,安値!Z329&lt;安値!AA329,安値!Z329&lt;安値!AB329),21,""))</f>
        <v/>
      </c>
      <c r="V329" s="503" t="str">
        <f>IF(終値!A329="","",IF(AND(安値!AA329&lt;安値!Z329,安値!AA329&lt;安値!Y329,安値!AA329&lt;安値!AB329,安値!AA329&lt;安値!AC329),22,""))</f>
        <v/>
      </c>
      <c r="W329" s="503" t="str">
        <f>IF(終値!A329="","",IF(AND(安値!AB329&lt;安値!AA329,安値!AB329&lt;安値!Z329,安値!AB329&lt;安値!AC329,安値!AB329&lt;安値!AD329),23,""))</f>
        <v/>
      </c>
      <c r="X329" s="503" t="str">
        <f>IF(終値!A329="","",IF(AND(安値!AC329&lt;安値!AB329,安値!AC329&lt;安値!AA329,安値!AC329&lt;安値!AD329,安値!AC329&lt;安値!AE329),24,""))</f>
        <v/>
      </c>
      <c r="Y329" s="503" t="str">
        <f>IF(終値!A329="","",IF(AND(安値!AD329&lt;安値!AC329,安値!AD329&lt;安値!AB329,安値!AD329&lt;安値!AE329,安値!AD329&lt;安値!AF329),25,""))</f>
        <v/>
      </c>
      <c r="Z329" s="503" t="str">
        <f>IF(終値!A329="","",IF(AND(安値!AE329&lt;安値!AD329,安値!AE329&lt;安値!AC329,安値!AE329&lt;安値!AF329,安値!AE329&lt;安値!AG329),26,""))</f>
        <v/>
      </c>
      <c r="AA329" s="503" t="str">
        <f>IF(終値!A329="","",IF(AND(安値!AF329&lt;安値!AE329,安値!AF329&lt;安値!AD329,安値!AF329&lt;安値!AG329,安値!AF329&lt;安値!AH329),27,""))</f>
        <v/>
      </c>
      <c r="AB329" s="503" t="str">
        <f>IF(終値!A329="","",IF(AND(安値!AG329&lt;安値!AF329,安値!AG329&lt;安値!AE329,安値!AG329&lt;安値!AH329,安値!AG329&lt;安値!AI329),28,""))</f>
        <v/>
      </c>
      <c r="AC329" s="503" t="str">
        <f>IF(終値!A329="","",IF(AND(高値!G329&gt;高値!F329,高値!G329&gt;高値!E329,高値!G329&gt;高値!H329,高値!G329&gt;高値!I329),2,""))</f>
        <v/>
      </c>
      <c r="AD329" s="503" t="str">
        <f>IF(終値!A329="","",IF(AND(高値!H329&gt;高値!G329,高値!H329&gt;高値!F329,高値!H329&gt;高値!I329,高値!H329&gt;高値!J329),3,""))</f>
        <v/>
      </c>
      <c r="AE329" s="503" t="str">
        <f>IF(終値!A329="","",IF(AND(高値!I329&gt;高値!H329,高値!I329&gt;高値!G329,高値!I329&gt;高値!J329,高値!I329&gt;高値!K329),4,""))</f>
        <v/>
      </c>
      <c r="AF329" s="503" t="str">
        <f>IF(終値!A329="","",IF(AND(高値!J329&gt;高値!I329,高値!J329&gt;高値!H329,高値!J329&gt;高値!K329,高値!J329&gt;高値!L329),5,""))</f>
        <v/>
      </c>
      <c r="AG329" s="503" t="str">
        <f>IF(終値!A329="","",IF(AND(高値!K329&gt;高値!J329,高値!K329&gt;高値!I329,高値!K329&gt;高値!L329,高値!K329&gt;高値!M329),6,""))</f>
        <v/>
      </c>
      <c r="AH329" s="503" t="str">
        <f>IF(終値!A329="","",IF(AND(高値!L329&gt;高値!K329,高値!L329&gt;高値!J329,高値!L329&gt;高値!M329,高値!L329&gt;高値!N329),7,""))</f>
        <v/>
      </c>
      <c r="AI329" s="503" t="str">
        <f>IF(終値!A329="","",IF(AND(高値!M329&gt;高値!L329,高値!M329&gt;高値!K329,高値!M329&gt;高値!N329,高値!M329&gt;高値!O329),8,""))</f>
        <v/>
      </c>
      <c r="AJ329" s="503" t="str">
        <f>IF(終値!A329="","",IF(AND(高値!N329&gt;高値!M329,高値!N329&gt;高値!L329,高値!N329&gt;高値!O329,高値!N329&gt;高値!P329),9,""))</f>
        <v/>
      </c>
      <c r="AK329" s="503" t="str">
        <f>IF(終値!A329="","",IF(AND(高値!O329&gt;高値!N329,高値!O329&gt;高値!M329,高値!O329&gt;高値!P329,高値!O329&gt;高値!Q329),10,""))</f>
        <v/>
      </c>
      <c r="AL329" s="503" t="str">
        <f>IF(終値!A329="","",IF(AND(高値!P329&gt;高値!O329,高値!P329&gt;高値!N329,高値!P329&gt;高値!Q329,高値!P329&gt;高値!R329),11,""))</f>
        <v/>
      </c>
      <c r="AM329" s="503" t="str">
        <f>IF(終値!A329="","",IF(AND(高値!Q329&gt;高値!P329,高値!Q329&gt;高値!O329,高値!Q329&gt;高値!R329,高値!Q329&gt;高値!S329),12,""))</f>
        <v/>
      </c>
      <c r="AN329" s="503" t="str">
        <f>IF(終値!A329="","",IF(AND(高値!R329&gt;高値!Q329,高値!R329&gt;高値!P329,高値!R329&gt;高値!S329,高値!R329&gt;高値!T329),13,""))</f>
        <v/>
      </c>
      <c r="AO329" s="503" t="str">
        <f>IF(終値!A329="","",IF(AND(高値!S329&gt;高値!R329,高値!S329&gt;高値!Q329,高値!S329&gt;高値!T329,高値!S329&gt;高値!U329),14,""))</f>
        <v/>
      </c>
      <c r="AP329" s="503" t="str">
        <f>IF(終値!A329="","",IF(AND(高値!T329&gt;高値!S329,高値!T329&gt;高値!R329,高値!T329&gt;高値!U329,高値!T329&gt;高値!V329),15,""))</f>
        <v/>
      </c>
      <c r="AQ329" s="503" t="str">
        <f>IF(終値!A329="","",IF(AND(高値!U329&gt;高値!T329,高値!U329&gt;高値!S329,高値!U329&gt;高値!V329,高値!U329&gt;高値!W329),16,""))</f>
        <v/>
      </c>
      <c r="AR329" s="503" t="str">
        <f>IF(終値!A329="","",IF(AND(高値!V329&gt;高値!U329,高値!V329&gt;高値!T329,高値!V329&gt;高値!W329,高値!V329&gt;高値!X329),17,""))</f>
        <v/>
      </c>
      <c r="AS329" s="503" t="str">
        <f>IF(終値!A329="","",IF(AND(高値!W329&gt;高値!V329,高値!W329&gt;高値!U329,高値!W329&gt;高値!X329,高値!W329&gt;高値!Y329),18,""))</f>
        <v/>
      </c>
      <c r="AT329" s="503" t="str">
        <f>IF(終値!A329="","",IF(AND(高値!X329&gt;高値!W329,高値!X329&gt;高値!V329,高値!X329&gt;高値!Y329,高値!X329&gt;高値!Z329),19,""))</f>
        <v/>
      </c>
      <c r="AU329" s="503" t="str">
        <f>IF(終値!A329="","",IF(AND(高値!Y329&gt;高値!X329,高値!Y329&gt;高値!W329,高値!Y329&gt;高値!Z329,高値!Y329&gt;高値!AA329),20,""))</f>
        <v/>
      </c>
      <c r="AV329" s="503" t="str">
        <f>IF(終値!A329="","",IF(AND(高値!Z329&gt;高値!Y329,高値!Z329&gt;高値!X329,高値!Z329&gt;高値!AA329,高値!Z329&gt;高値!AB329),21,""))</f>
        <v/>
      </c>
      <c r="AW329" s="503" t="str">
        <f>IF(終値!A329="","",IF(AND(高値!AA329&gt;高値!Z329,高値!AA329&gt;高値!Y329,高値!AA329&gt;高値!AB329,高値!AA329&gt;高値!AC329),22,""))</f>
        <v/>
      </c>
      <c r="AX329" s="503" t="str">
        <f>IF(終値!A329="","",IF(AND(高値!AB329&gt;高値!AA329,高値!AB329&gt;高値!Z329,高値!AB329&gt;高値!AC329,高値!AB329&gt;高値!AD329),23,""))</f>
        <v/>
      </c>
      <c r="AY329" s="503" t="str">
        <f>IF(終値!A329="","",IF(AND(高値!AC329&gt;高値!AB329,高値!AC329&gt;高値!AA329,高値!AC329&gt;高値!AD329,高値!AC329&gt;高値!AE329),24,""))</f>
        <v/>
      </c>
      <c r="AZ329" s="503" t="str">
        <f>IF(終値!A329="","",IF(AND(高値!AD329&gt;高値!AC329,高値!AD329&gt;高値!AB329,高値!AD329&gt;高値!AE329,高値!AD329&gt;高値!AF329),25,""))</f>
        <v/>
      </c>
      <c r="BA329" s="503" t="str">
        <f>IF(終値!A329="","",IF(AND(高値!AE329&gt;高値!AD329,高値!AE329&gt;高値!AC329,高値!AE329&gt;高値!AF329,高値!AE329&gt;高値!AG329),26,""))</f>
        <v/>
      </c>
      <c r="BB329" s="503" t="str">
        <f>IF(終値!A329="","",IF(AND(高値!AF329&gt;高値!AE329,高値!AF329&gt;高値!AD329,高値!AF329&gt;高値!AG329,高値!AF329&gt;高値!AH329),27,""))</f>
        <v/>
      </c>
      <c r="BC329" s="503" t="str">
        <f>IF(終値!A329="","",IF(AND(高値!AG329&gt;高値!AF329,高値!AG329&gt;高値!AE329,高値!AG329&gt;高値!AH329,高値!AG329&gt;高値!AI329),28,""))</f>
        <v/>
      </c>
      <c r="BD329" s="503">
        <f t="shared" si="30"/>
        <v>0</v>
      </c>
      <c r="BE329" s="503" t="str">
        <f t="shared" si="31"/>
        <v/>
      </c>
      <c r="BF329" s="503" t="str">
        <f t="shared" si="32"/>
        <v/>
      </c>
      <c r="BG329" s="503" t="str">
        <f>IF($BE329="","",INDEX(安値!$E329:$CZ329,1,$BE329+1))</f>
        <v/>
      </c>
      <c r="BH329" s="503" t="str">
        <f>IF($BF329="","",INDEX(安値!$E329:$CZ329,1,$BF329+1))</f>
        <v/>
      </c>
      <c r="BI329" s="503" t="str">
        <f>IF($BF329="","",MAX(INDEX(高値!$E329:$CZ329,1,$BE329+1):INDEX(高値!$E329:$CZ329,1,$BF329+1)))</f>
        <v/>
      </c>
      <c r="BJ329" s="503" t="str">
        <f>IF($BF329="","",AVERAGE(INDEX(終値!$E329:$CZ329,1,$BF329+1):INDEX(終値!$E329:$CZ329,1,$BF329+20))-2*STDEVP(INDEX(終値!$E329:$CZ329,1,$BF329+1):INDEX(終値!$E329:$CZ329,1,$BF329+20)))</f>
        <v/>
      </c>
      <c r="BK329" s="503" t="str">
        <f>IF($BE329="","",AVERAGE(INDEX(終値!$E329:$CZ329,1,$BE329+1):INDEX(終値!$E329:$CZ329,1,$BE329+20))-2*STDEVP(INDEX(終値!$E329:$CZ329,1,$BE329+1):INDEX(終値!$E329:$CZ329,1,$BE329+20)))</f>
        <v/>
      </c>
      <c r="BL329" s="503">
        <f t="shared" si="33"/>
        <v>0</v>
      </c>
      <c r="BM329" s="503" t="str">
        <f t="shared" si="34"/>
        <v/>
      </c>
      <c r="BN329" s="503" t="str">
        <f t="shared" si="35"/>
        <v/>
      </c>
      <c r="BO329" s="503" t="str">
        <f>IF($BM329="","",INDEX(高値!$E329:$CZ329,1,$BM329+1))</f>
        <v/>
      </c>
      <c r="BP329" s="503" t="str">
        <f>IF($BN329="","",INDEX(高値!$E329:$CZ329,1,$BN329+1))</f>
        <v/>
      </c>
      <c r="BQ329" s="503" t="str">
        <f>IF($BN329="","",MIN(INDEX(安値!$E329:$CZ329,1,$BM329+1):INDEX(安値!$E329:$CZ329,1,$BN329+1)))</f>
        <v/>
      </c>
      <c r="BR329" s="503" t="str">
        <f>IF($BN329="","",AVERAGE(INDEX(終値!$E329:$CZ329,1,$BN329+1):INDEX(終値!$E329:$CZ329,1,$BN329+20))+2*STDEVP(INDEX(終値!$E329:$CZ329,1,$BN329+1):INDEX(終値!$E329:$CZ329,1,$BN329+20)))</f>
        <v/>
      </c>
      <c r="BS329" s="503" t="str">
        <f>IF($BM329="","",AVERAGE(INDEX(終値!$E329:$CZ329,1,$BM329+1):INDEX(終値!$E329:$CZ329,1,$BM329+20))+2*STDEVP(INDEX(終値!$E329:$CZ329,1,$BM329+1):INDEX(終値!$E329:$CZ329,1,$BM329+20)))</f>
        <v/>
      </c>
      <c r="BT329" s="500"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3" t="str">
        <f>IF(終値!A330="","",IF(AND(安値!G330&lt;安値!F330,安値!G330&lt;安値!E330,安値!G330&lt;安値!H330,安値!G330&lt;安値!I330),2,""))</f>
        <v/>
      </c>
      <c r="C330" s="503" t="str">
        <f>IF(終値!A330="","",IF(AND(安値!H330&lt;安値!G330,安値!H330&lt;安値!F330,安値!H330&lt;安値!I330,安値!H330&lt;安値!J330),3,""))</f>
        <v/>
      </c>
      <c r="D330" s="503" t="str">
        <f>IF(終値!A330="","",IF(AND(安値!I330&lt;安値!H330,安値!I330&lt;安値!G330,安値!I330&lt;安値!J330,安値!I330&lt;安値!K330),4,""))</f>
        <v/>
      </c>
      <c r="E330" s="503" t="str">
        <f>IF(終値!A330="","",IF(AND(安値!J330&lt;安値!I330,安値!J330&lt;安値!H330,安値!J330&lt;安値!K330,安値!J330&lt;安値!L330),5,""))</f>
        <v/>
      </c>
      <c r="F330" s="503" t="str">
        <f>IF(終値!A330="","",IF(AND(安値!K330&lt;安値!J330,安値!K330&lt;安値!I330,安値!K330&lt;安値!L330,安値!K330&lt;安値!M330),6,""))</f>
        <v/>
      </c>
      <c r="G330" s="503" t="str">
        <f>IF(終値!A330="","",IF(AND(安値!L330&lt;安値!K330,安値!L330&lt;安値!J330,安値!L330&lt;安値!M330,安値!L330&lt;安値!N330),7,""))</f>
        <v/>
      </c>
      <c r="H330" s="503" t="str">
        <f>IF(終値!A330="","",IF(AND(安値!M330&lt;安値!L330,安値!M330&lt;安値!K330,安値!M330&lt;安値!N330,安値!M330&lt;安値!O330),8,""))</f>
        <v/>
      </c>
      <c r="I330" s="503" t="str">
        <f>IF(終値!A330="","",IF(AND(安値!N330&lt;安値!M330,安値!N330&lt;安値!L330,安値!N330&lt;安値!O330,安値!N330&lt;安値!P330),9,""))</f>
        <v/>
      </c>
      <c r="J330" s="503" t="str">
        <f>IF(終値!A330="","",IF(AND(安値!O330&lt;安値!N330,安値!O330&lt;安値!M330,安値!O330&lt;安値!P330,安値!O330&lt;安値!Q330),10,""))</f>
        <v/>
      </c>
      <c r="K330" s="503" t="str">
        <f>IF(終値!A330="","",IF(AND(安値!P330&lt;安値!O330,安値!P330&lt;安値!N330,安値!P330&lt;安値!Q330,安値!P330&lt;安値!R330),11,""))</f>
        <v/>
      </c>
      <c r="L330" s="503" t="str">
        <f>IF(終値!A330="","",IF(AND(安値!Q330&lt;安値!P330,安値!Q330&lt;安値!O330,安値!Q330&lt;安値!R330,安値!Q330&lt;安値!S330),12,""))</f>
        <v/>
      </c>
      <c r="M330" s="503" t="str">
        <f>IF(終値!A330="","",IF(AND(安値!R330&lt;安値!Q330,安値!R330&lt;安値!P330,安値!R330&lt;安値!S330,安値!R330&lt;安値!T330),13,""))</f>
        <v/>
      </c>
      <c r="N330" s="503" t="str">
        <f>IF(終値!A330="","",IF(AND(安値!S330&lt;安値!R330,安値!S330&lt;安値!Q330,安値!S330&lt;安値!T330,安値!S330&lt;安値!U330),14,""))</f>
        <v/>
      </c>
      <c r="O330" s="503" t="str">
        <f>IF(終値!A330="","",IF(AND(安値!T330&lt;安値!S330,安値!T330&lt;安値!R330,安値!T330&lt;安値!U330,安値!T330&lt;安値!V330),15,""))</f>
        <v/>
      </c>
      <c r="P330" s="503" t="str">
        <f>IF(終値!A330="","",IF(AND(安値!U330&lt;安値!T330,安値!U330&lt;安値!S330,安値!U330&lt;安値!V330,安値!U330&lt;安値!W330),16,""))</f>
        <v/>
      </c>
      <c r="Q330" s="503" t="str">
        <f>IF(終値!A330="","",IF(AND(安値!V330&lt;安値!U330,安値!V330&lt;安値!T330,安値!V330&lt;安値!W330,安値!V330&lt;安値!X330),17,""))</f>
        <v/>
      </c>
      <c r="R330" s="503" t="str">
        <f>IF(終値!A330="","",IF(AND(安値!W330&lt;安値!V330,安値!W330&lt;安値!U330,安値!W330&lt;安値!X330,安値!W330&lt;安値!Y330),18,""))</f>
        <v/>
      </c>
      <c r="S330" s="503" t="str">
        <f>IF(終値!A330="","",IF(AND(安値!X330&lt;安値!W330,安値!X330&lt;安値!V330,安値!X330&lt;安値!Y330,安値!X330&lt;安値!Z330),19,""))</f>
        <v/>
      </c>
      <c r="T330" s="503" t="str">
        <f>IF(終値!A330="","",IF(AND(安値!Y330&lt;安値!X330,安値!Y330&lt;安値!W330,安値!Y330&lt;安値!Z330,安値!Y330&lt;安値!AA330),20,""))</f>
        <v/>
      </c>
      <c r="U330" s="503" t="str">
        <f>IF(終値!A330="","",IF(AND(安値!Z330&lt;安値!Y330,安値!Z330&lt;安値!X330,安値!Z330&lt;安値!AA330,安値!Z330&lt;安値!AB330),21,""))</f>
        <v/>
      </c>
      <c r="V330" s="503" t="str">
        <f>IF(終値!A330="","",IF(AND(安値!AA330&lt;安値!Z330,安値!AA330&lt;安値!Y330,安値!AA330&lt;安値!AB330,安値!AA330&lt;安値!AC330),22,""))</f>
        <v/>
      </c>
      <c r="W330" s="503" t="str">
        <f>IF(終値!A330="","",IF(AND(安値!AB330&lt;安値!AA330,安値!AB330&lt;安値!Z330,安値!AB330&lt;安値!AC330,安値!AB330&lt;安値!AD330),23,""))</f>
        <v/>
      </c>
      <c r="X330" s="503" t="str">
        <f>IF(終値!A330="","",IF(AND(安値!AC330&lt;安値!AB330,安値!AC330&lt;安値!AA330,安値!AC330&lt;安値!AD330,安値!AC330&lt;安値!AE330),24,""))</f>
        <v/>
      </c>
      <c r="Y330" s="503" t="str">
        <f>IF(終値!A330="","",IF(AND(安値!AD330&lt;安値!AC330,安値!AD330&lt;安値!AB330,安値!AD330&lt;安値!AE330,安値!AD330&lt;安値!AF330),25,""))</f>
        <v/>
      </c>
      <c r="Z330" s="503" t="str">
        <f>IF(終値!A330="","",IF(AND(安値!AE330&lt;安値!AD330,安値!AE330&lt;安値!AC330,安値!AE330&lt;安値!AF330,安値!AE330&lt;安値!AG330),26,""))</f>
        <v/>
      </c>
      <c r="AA330" s="503" t="str">
        <f>IF(終値!A330="","",IF(AND(安値!AF330&lt;安値!AE330,安値!AF330&lt;安値!AD330,安値!AF330&lt;安値!AG330,安値!AF330&lt;安値!AH330),27,""))</f>
        <v/>
      </c>
      <c r="AB330" s="503" t="str">
        <f>IF(終値!A330="","",IF(AND(安値!AG330&lt;安値!AF330,安値!AG330&lt;安値!AE330,安値!AG330&lt;安値!AH330,安値!AG330&lt;安値!AI330),28,""))</f>
        <v/>
      </c>
      <c r="AC330" s="503" t="str">
        <f>IF(終値!A330="","",IF(AND(高値!G330&gt;高値!F330,高値!G330&gt;高値!E330,高値!G330&gt;高値!H330,高値!G330&gt;高値!I330),2,""))</f>
        <v/>
      </c>
      <c r="AD330" s="503" t="str">
        <f>IF(終値!A330="","",IF(AND(高値!H330&gt;高値!G330,高値!H330&gt;高値!F330,高値!H330&gt;高値!I330,高値!H330&gt;高値!J330),3,""))</f>
        <v/>
      </c>
      <c r="AE330" s="503" t="str">
        <f>IF(終値!A330="","",IF(AND(高値!I330&gt;高値!H330,高値!I330&gt;高値!G330,高値!I330&gt;高値!J330,高値!I330&gt;高値!K330),4,""))</f>
        <v/>
      </c>
      <c r="AF330" s="503" t="str">
        <f>IF(終値!A330="","",IF(AND(高値!J330&gt;高値!I330,高値!J330&gt;高値!H330,高値!J330&gt;高値!K330,高値!J330&gt;高値!L330),5,""))</f>
        <v/>
      </c>
      <c r="AG330" s="503" t="str">
        <f>IF(終値!A330="","",IF(AND(高値!K330&gt;高値!J330,高値!K330&gt;高値!I330,高値!K330&gt;高値!L330,高値!K330&gt;高値!M330),6,""))</f>
        <v/>
      </c>
      <c r="AH330" s="503" t="str">
        <f>IF(終値!A330="","",IF(AND(高値!L330&gt;高値!K330,高値!L330&gt;高値!J330,高値!L330&gt;高値!M330,高値!L330&gt;高値!N330),7,""))</f>
        <v/>
      </c>
      <c r="AI330" s="503" t="str">
        <f>IF(終値!A330="","",IF(AND(高値!M330&gt;高値!L330,高値!M330&gt;高値!K330,高値!M330&gt;高値!N330,高値!M330&gt;高値!O330),8,""))</f>
        <v/>
      </c>
      <c r="AJ330" s="503" t="str">
        <f>IF(終値!A330="","",IF(AND(高値!N330&gt;高値!M330,高値!N330&gt;高値!L330,高値!N330&gt;高値!O330,高値!N330&gt;高値!P330),9,""))</f>
        <v/>
      </c>
      <c r="AK330" s="503" t="str">
        <f>IF(終値!A330="","",IF(AND(高値!O330&gt;高値!N330,高値!O330&gt;高値!M330,高値!O330&gt;高値!P330,高値!O330&gt;高値!Q330),10,""))</f>
        <v/>
      </c>
      <c r="AL330" s="503" t="str">
        <f>IF(終値!A330="","",IF(AND(高値!P330&gt;高値!O330,高値!P330&gt;高値!N330,高値!P330&gt;高値!Q330,高値!P330&gt;高値!R330),11,""))</f>
        <v/>
      </c>
      <c r="AM330" s="503" t="str">
        <f>IF(終値!A330="","",IF(AND(高値!Q330&gt;高値!P330,高値!Q330&gt;高値!O330,高値!Q330&gt;高値!R330,高値!Q330&gt;高値!S330),12,""))</f>
        <v/>
      </c>
      <c r="AN330" s="503" t="str">
        <f>IF(終値!A330="","",IF(AND(高値!R330&gt;高値!Q330,高値!R330&gt;高値!P330,高値!R330&gt;高値!S330,高値!R330&gt;高値!T330),13,""))</f>
        <v/>
      </c>
      <c r="AO330" s="503" t="str">
        <f>IF(終値!A330="","",IF(AND(高値!S330&gt;高値!R330,高値!S330&gt;高値!Q330,高値!S330&gt;高値!T330,高値!S330&gt;高値!U330),14,""))</f>
        <v/>
      </c>
      <c r="AP330" s="503" t="str">
        <f>IF(終値!A330="","",IF(AND(高値!T330&gt;高値!S330,高値!T330&gt;高値!R330,高値!T330&gt;高値!U330,高値!T330&gt;高値!V330),15,""))</f>
        <v/>
      </c>
      <c r="AQ330" s="503" t="str">
        <f>IF(終値!A330="","",IF(AND(高値!U330&gt;高値!T330,高値!U330&gt;高値!S330,高値!U330&gt;高値!V330,高値!U330&gt;高値!W330),16,""))</f>
        <v/>
      </c>
      <c r="AR330" s="503" t="str">
        <f>IF(終値!A330="","",IF(AND(高値!V330&gt;高値!U330,高値!V330&gt;高値!T330,高値!V330&gt;高値!W330,高値!V330&gt;高値!X330),17,""))</f>
        <v/>
      </c>
      <c r="AS330" s="503" t="str">
        <f>IF(終値!A330="","",IF(AND(高値!W330&gt;高値!V330,高値!W330&gt;高値!U330,高値!W330&gt;高値!X330,高値!W330&gt;高値!Y330),18,""))</f>
        <v/>
      </c>
      <c r="AT330" s="503" t="str">
        <f>IF(終値!A330="","",IF(AND(高値!X330&gt;高値!W330,高値!X330&gt;高値!V330,高値!X330&gt;高値!Y330,高値!X330&gt;高値!Z330),19,""))</f>
        <v/>
      </c>
      <c r="AU330" s="503" t="str">
        <f>IF(終値!A330="","",IF(AND(高値!Y330&gt;高値!X330,高値!Y330&gt;高値!W330,高値!Y330&gt;高値!Z330,高値!Y330&gt;高値!AA330),20,""))</f>
        <v/>
      </c>
      <c r="AV330" s="503" t="str">
        <f>IF(終値!A330="","",IF(AND(高値!Z330&gt;高値!Y330,高値!Z330&gt;高値!X330,高値!Z330&gt;高値!AA330,高値!Z330&gt;高値!AB330),21,""))</f>
        <v/>
      </c>
      <c r="AW330" s="503" t="str">
        <f>IF(終値!A330="","",IF(AND(高値!AA330&gt;高値!Z330,高値!AA330&gt;高値!Y330,高値!AA330&gt;高値!AB330,高値!AA330&gt;高値!AC330),22,""))</f>
        <v/>
      </c>
      <c r="AX330" s="503" t="str">
        <f>IF(終値!A330="","",IF(AND(高値!AB330&gt;高値!AA330,高値!AB330&gt;高値!Z330,高値!AB330&gt;高値!AC330,高値!AB330&gt;高値!AD330),23,""))</f>
        <v/>
      </c>
      <c r="AY330" s="503" t="str">
        <f>IF(終値!A330="","",IF(AND(高値!AC330&gt;高値!AB330,高値!AC330&gt;高値!AA330,高値!AC330&gt;高値!AD330,高値!AC330&gt;高値!AE330),24,""))</f>
        <v/>
      </c>
      <c r="AZ330" s="503" t="str">
        <f>IF(終値!A330="","",IF(AND(高値!AD330&gt;高値!AC330,高値!AD330&gt;高値!AB330,高値!AD330&gt;高値!AE330,高値!AD330&gt;高値!AF330),25,""))</f>
        <v/>
      </c>
      <c r="BA330" s="503" t="str">
        <f>IF(終値!A330="","",IF(AND(高値!AE330&gt;高値!AD330,高値!AE330&gt;高値!AC330,高値!AE330&gt;高値!AF330,高値!AE330&gt;高値!AG330),26,""))</f>
        <v/>
      </c>
      <c r="BB330" s="503" t="str">
        <f>IF(終値!A330="","",IF(AND(高値!AF330&gt;高値!AE330,高値!AF330&gt;高値!AD330,高値!AF330&gt;高値!AG330,高値!AF330&gt;高値!AH330),27,""))</f>
        <v/>
      </c>
      <c r="BC330" s="503" t="str">
        <f>IF(終値!A330="","",IF(AND(高値!AG330&gt;高値!AF330,高値!AG330&gt;高値!AE330,高値!AG330&gt;高値!AH330,高値!AG330&gt;高値!AI330),28,""))</f>
        <v/>
      </c>
      <c r="BD330" s="503">
        <f t="shared" si="30"/>
        <v>0</v>
      </c>
      <c r="BE330" s="503" t="str">
        <f t="shared" si="31"/>
        <v/>
      </c>
      <c r="BF330" s="503" t="str">
        <f t="shared" si="32"/>
        <v/>
      </c>
      <c r="BG330" s="503" t="str">
        <f>IF($BE330="","",INDEX(安値!$E330:$CZ330,1,$BE330+1))</f>
        <v/>
      </c>
      <c r="BH330" s="503" t="str">
        <f>IF($BF330="","",INDEX(安値!$E330:$CZ330,1,$BF330+1))</f>
        <v/>
      </c>
      <c r="BI330" s="503" t="str">
        <f>IF($BF330="","",MAX(INDEX(高値!$E330:$CZ330,1,$BE330+1):INDEX(高値!$E330:$CZ330,1,$BF330+1)))</f>
        <v/>
      </c>
      <c r="BJ330" s="503" t="str">
        <f>IF($BF330="","",AVERAGE(INDEX(終値!$E330:$CZ330,1,$BF330+1):INDEX(終値!$E330:$CZ330,1,$BF330+20))-2*STDEVP(INDEX(終値!$E330:$CZ330,1,$BF330+1):INDEX(終値!$E330:$CZ330,1,$BF330+20)))</f>
        <v/>
      </c>
      <c r="BK330" s="503" t="str">
        <f>IF($BE330="","",AVERAGE(INDEX(終値!$E330:$CZ330,1,$BE330+1):INDEX(終値!$E330:$CZ330,1,$BE330+20))-2*STDEVP(INDEX(終値!$E330:$CZ330,1,$BE330+1):INDEX(終値!$E330:$CZ330,1,$BE330+20)))</f>
        <v/>
      </c>
      <c r="BL330" s="503">
        <f t="shared" si="33"/>
        <v>0</v>
      </c>
      <c r="BM330" s="503" t="str">
        <f t="shared" si="34"/>
        <v/>
      </c>
      <c r="BN330" s="503" t="str">
        <f t="shared" si="35"/>
        <v/>
      </c>
      <c r="BO330" s="503" t="str">
        <f>IF($BM330="","",INDEX(高値!$E330:$CZ330,1,$BM330+1))</f>
        <v/>
      </c>
      <c r="BP330" s="503" t="str">
        <f>IF($BN330="","",INDEX(高値!$E330:$CZ330,1,$BN330+1))</f>
        <v/>
      </c>
      <c r="BQ330" s="503" t="str">
        <f>IF($BN330="","",MIN(INDEX(安値!$E330:$CZ330,1,$BM330+1):INDEX(安値!$E330:$CZ330,1,$BN330+1)))</f>
        <v/>
      </c>
      <c r="BR330" s="503" t="str">
        <f>IF($BN330="","",AVERAGE(INDEX(終値!$E330:$CZ330,1,$BN330+1):INDEX(終値!$E330:$CZ330,1,$BN330+20))+2*STDEVP(INDEX(終値!$E330:$CZ330,1,$BN330+1):INDEX(終値!$E330:$CZ330,1,$BN330+20)))</f>
        <v/>
      </c>
      <c r="BS330" s="503" t="str">
        <f>IF($BM330="","",AVERAGE(INDEX(終値!$E330:$CZ330,1,$BM330+1):INDEX(終値!$E330:$CZ330,1,$BM330+20))+2*STDEVP(INDEX(終値!$E330:$CZ330,1,$BM330+1):INDEX(終値!$E330:$CZ330,1,$BM330+20)))</f>
        <v/>
      </c>
      <c r="BT330" s="500"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3" t="str">
        <f>IF(終値!A331="","",IF(AND(安値!G331&lt;安値!F331,安値!G331&lt;安値!E331,安値!G331&lt;安値!H331,安値!G331&lt;安値!I331),2,""))</f>
        <v/>
      </c>
      <c r="C331" s="503" t="str">
        <f>IF(終値!A331="","",IF(AND(安値!H331&lt;安値!G331,安値!H331&lt;安値!F331,安値!H331&lt;安値!I331,安値!H331&lt;安値!J331),3,""))</f>
        <v/>
      </c>
      <c r="D331" s="503" t="str">
        <f>IF(終値!A331="","",IF(AND(安値!I331&lt;安値!H331,安値!I331&lt;安値!G331,安値!I331&lt;安値!J331,安値!I331&lt;安値!K331),4,""))</f>
        <v/>
      </c>
      <c r="E331" s="503" t="str">
        <f>IF(終値!A331="","",IF(AND(安値!J331&lt;安値!I331,安値!J331&lt;安値!H331,安値!J331&lt;安値!K331,安値!J331&lt;安値!L331),5,""))</f>
        <v/>
      </c>
      <c r="F331" s="503" t="str">
        <f>IF(終値!A331="","",IF(AND(安値!K331&lt;安値!J331,安値!K331&lt;安値!I331,安値!K331&lt;安値!L331,安値!K331&lt;安値!M331),6,""))</f>
        <v/>
      </c>
      <c r="G331" s="503" t="str">
        <f>IF(終値!A331="","",IF(AND(安値!L331&lt;安値!K331,安値!L331&lt;安値!J331,安値!L331&lt;安値!M331,安値!L331&lt;安値!N331),7,""))</f>
        <v/>
      </c>
      <c r="H331" s="503" t="str">
        <f>IF(終値!A331="","",IF(AND(安値!M331&lt;安値!L331,安値!M331&lt;安値!K331,安値!M331&lt;安値!N331,安値!M331&lt;安値!O331),8,""))</f>
        <v/>
      </c>
      <c r="I331" s="503" t="str">
        <f>IF(終値!A331="","",IF(AND(安値!N331&lt;安値!M331,安値!N331&lt;安値!L331,安値!N331&lt;安値!O331,安値!N331&lt;安値!P331),9,""))</f>
        <v/>
      </c>
      <c r="J331" s="503" t="str">
        <f>IF(終値!A331="","",IF(AND(安値!O331&lt;安値!N331,安値!O331&lt;安値!M331,安値!O331&lt;安値!P331,安値!O331&lt;安値!Q331),10,""))</f>
        <v/>
      </c>
      <c r="K331" s="503" t="str">
        <f>IF(終値!A331="","",IF(AND(安値!P331&lt;安値!O331,安値!P331&lt;安値!N331,安値!P331&lt;安値!Q331,安値!P331&lt;安値!R331),11,""))</f>
        <v/>
      </c>
      <c r="L331" s="503" t="str">
        <f>IF(終値!A331="","",IF(AND(安値!Q331&lt;安値!P331,安値!Q331&lt;安値!O331,安値!Q331&lt;安値!R331,安値!Q331&lt;安値!S331),12,""))</f>
        <v/>
      </c>
      <c r="M331" s="503" t="str">
        <f>IF(終値!A331="","",IF(AND(安値!R331&lt;安値!Q331,安値!R331&lt;安値!P331,安値!R331&lt;安値!S331,安値!R331&lt;安値!T331),13,""))</f>
        <v/>
      </c>
      <c r="N331" s="503" t="str">
        <f>IF(終値!A331="","",IF(AND(安値!S331&lt;安値!R331,安値!S331&lt;安値!Q331,安値!S331&lt;安値!T331,安値!S331&lt;安値!U331),14,""))</f>
        <v/>
      </c>
      <c r="O331" s="503" t="str">
        <f>IF(終値!A331="","",IF(AND(安値!T331&lt;安値!S331,安値!T331&lt;安値!R331,安値!T331&lt;安値!U331,安値!T331&lt;安値!V331),15,""))</f>
        <v/>
      </c>
      <c r="P331" s="503" t="str">
        <f>IF(終値!A331="","",IF(AND(安値!U331&lt;安値!T331,安値!U331&lt;安値!S331,安値!U331&lt;安値!V331,安値!U331&lt;安値!W331),16,""))</f>
        <v/>
      </c>
      <c r="Q331" s="503" t="str">
        <f>IF(終値!A331="","",IF(AND(安値!V331&lt;安値!U331,安値!V331&lt;安値!T331,安値!V331&lt;安値!W331,安値!V331&lt;安値!X331),17,""))</f>
        <v/>
      </c>
      <c r="R331" s="503" t="str">
        <f>IF(終値!A331="","",IF(AND(安値!W331&lt;安値!V331,安値!W331&lt;安値!U331,安値!W331&lt;安値!X331,安値!W331&lt;安値!Y331),18,""))</f>
        <v/>
      </c>
      <c r="S331" s="503" t="str">
        <f>IF(終値!A331="","",IF(AND(安値!X331&lt;安値!W331,安値!X331&lt;安値!V331,安値!X331&lt;安値!Y331,安値!X331&lt;安値!Z331),19,""))</f>
        <v/>
      </c>
      <c r="T331" s="503" t="str">
        <f>IF(終値!A331="","",IF(AND(安値!Y331&lt;安値!X331,安値!Y331&lt;安値!W331,安値!Y331&lt;安値!Z331,安値!Y331&lt;安値!AA331),20,""))</f>
        <v/>
      </c>
      <c r="U331" s="503" t="str">
        <f>IF(終値!A331="","",IF(AND(安値!Z331&lt;安値!Y331,安値!Z331&lt;安値!X331,安値!Z331&lt;安値!AA331,安値!Z331&lt;安値!AB331),21,""))</f>
        <v/>
      </c>
      <c r="V331" s="503" t="str">
        <f>IF(終値!A331="","",IF(AND(安値!AA331&lt;安値!Z331,安値!AA331&lt;安値!Y331,安値!AA331&lt;安値!AB331,安値!AA331&lt;安値!AC331),22,""))</f>
        <v/>
      </c>
      <c r="W331" s="503" t="str">
        <f>IF(終値!A331="","",IF(AND(安値!AB331&lt;安値!AA331,安値!AB331&lt;安値!Z331,安値!AB331&lt;安値!AC331,安値!AB331&lt;安値!AD331),23,""))</f>
        <v/>
      </c>
      <c r="X331" s="503" t="str">
        <f>IF(終値!A331="","",IF(AND(安値!AC331&lt;安値!AB331,安値!AC331&lt;安値!AA331,安値!AC331&lt;安値!AD331,安値!AC331&lt;安値!AE331),24,""))</f>
        <v/>
      </c>
      <c r="Y331" s="503" t="str">
        <f>IF(終値!A331="","",IF(AND(安値!AD331&lt;安値!AC331,安値!AD331&lt;安値!AB331,安値!AD331&lt;安値!AE331,安値!AD331&lt;安値!AF331),25,""))</f>
        <v/>
      </c>
      <c r="Z331" s="503" t="str">
        <f>IF(終値!A331="","",IF(AND(安値!AE331&lt;安値!AD331,安値!AE331&lt;安値!AC331,安値!AE331&lt;安値!AF331,安値!AE331&lt;安値!AG331),26,""))</f>
        <v/>
      </c>
      <c r="AA331" s="503" t="str">
        <f>IF(終値!A331="","",IF(AND(安値!AF331&lt;安値!AE331,安値!AF331&lt;安値!AD331,安値!AF331&lt;安値!AG331,安値!AF331&lt;安値!AH331),27,""))</f>
        <v/>
      </c>
      <c r="AB331" s="503" t="str">
        <f>IF(終値!A331="","",IF(AND(安値!AG331&lt;安値!AF331,安値!AG331&lt;安値!AE331,安値!AG331&lt;安値!AH331,安値!AG331&lt;安値!AI331),28,""))</f>
        <v/>
      </c>
      <c r="AC331" s="503" t="str">
        <f>IF(終値!A331="","",IF(AND(高値!G331&gt;高値!F331,高値!G331&gt;高値!E331,高値!G331&gt;高値!H331,高値!G331&gt;高値!I331),2,""))</f>
        <v/>
      </c>
      <c r="AD331" s="503" t="str">
        <f>IF(終値!A331="","",IF(AND(高値!H331&gt;高値!G331,高値!H331&gt;高値!F331,高値!H331&gt;高値!I331,高値!H331&gt;高値!J331),3,""))</f>
        <v/>
      </c>
      <c r="AE331" s="503" t="str">
        <f>IF(終値!A331="","",IF(AND(高値!I331&gt;高値!H331,高値!I331&gt;高値!G331,高値!I331&gt;高値!J331,高値!I331&gt;高値!K331),4,""))</f>
        <v/>
      </c>
      <c r="AF331" s="503" t="str">
        <f>IF(終値!A331="","",IF(AND(高値!J331&gt;高値!I331,高値!J331&gt;高値!H331,高値!J331&gt;高値!K331,高値!J331&gt;高値!L331),5,""))</f>
        <v/>
      </c>
      <c r="AG331" s="503" t="str">
        <f>IF(終値!A331="","",IF(AND(高値!K331&gt;高値!J331,高値!K331&gt;高値!I331,高値!K331&gt;高値!L331,高値!K331&gt;高値!M331),6,""))</f>
        <v/>
      </c>
      <c r="AH331" s="503" t="str">
        <f>IF(終値!A331="","",IF(AND(高値!L331&gt;高値!K331,高値!L331&gt;高値!J331,高値!L331&gt;高値!M331,高値!L331&gt;高値!N331),7,""))</f>
        <v/>
      </c>
      <c r="AI331" s="503" t="str">
        <f>IF(終値!A331="","",IF(AND(高値!M331&gt;高値!L331,高値!M331&gt;高値!K331,高値!M331&gt;高値!N331,高値!M331&gt;高値!O331),8,""))</f>
        <v/>
      </c>
      <c r="AJ331" s="503" t="str">
        <f>IF(終値!A331="","",IF(AND(高値!N331&gt;高値!M331,高値!N331&gt;高値!L331,高値!N331&gt;高値!O331,高値!N331&gt;高値!P331),9,""))</f>
        <v/>
      </c>
      <c r="AK331" s="503" t="str">
        <f>IF(終値!A331="","",IF(AND(高値!O331&gt;高値!N331,高値!O331&gt;高値!M331,高値!O331&gt;高値!P331,高値!O331&gt;高値!Q331),10,""))</f>
        <v/>
      </c>
      <c r="AL331" s="503" t="str">
        <f>IF(終値!A331="","",IF(AND(高値!P331&gt;高値!O331,高値!P331&gt;高値!N331,高値!P331&gt;高値!Q331,高値!P331&gt;高値!R331),11,""))</f>
        <v/>
      </c>
      <c r="AM331" s="503" t="str">
        <f>IF(終値!A331="","",IF(AND(高値!Q331&gt;高値!P331,高値!Q331&gt;高値!O331,高値!Q331&gt;高値!R331,高値!Q331&gt;高値!S331),12,""))</f>
        <v/>
      </c>
      <c r="AN331" s="503" t="str">
        <f>IF(終値!A331="","",IF(AND(高値!R331&gt;高値!Q331,高値!R331&gt;高値!P331,高値!R331&gt;高値!S331,高値!R331&gt;高値!T331),13,""))</f>
        <v/>
      </c>
      <c r="AO331" s="503" t="str">
        <f>IF(終値!A331="","",IF(AND(高値!S331&gt;高値!R331,高値!S331&gt;高値!Q331,高値!S331&gt;高値!T331,高値!S331&gt;高値!U331),14,""))</f>
        <v/>
      </c>
      <c r="AP331" s="503" t="str">
        <f>IF(終値!A331="","",IF(AND(高値!T331&gt;高値!S331,高値!T331&gt;高値!R331,高値!T331&gt;高値!U331,高値!T331&gt;高値!V331),15,""))</f>
        <v/>
      </c>
      <c r="AQ331" s="503" t="str">
        <f>IF(終値!A331="","",IF(AND(高値!U331&gt;高値!T331,高値!U331&gt;高値!S331,高値!U331&gt;高値!V331,高値!U331&gt;高値!W331),16,""))</f>
        <v/>
      </c>
      <c r="AR331" s="503" t="str">
        <f>IF(終値!A331="","",IF(AND(高値!V331&gt;高値!U331,高値!V331&gt;高値!T331,高値!V331&gt;高値!W331,高値!V331&gt;高値!X331),17,""))</f>
        <v/>
      </c>
      <c r="AS331" s="503" t="str">
        <f>IF(終値!A331="","",IF(AND(高値!W331&gt;高値!V331,高値!W331&gt;高値!U331,高値!W331&gt;高値!X331,高値!W331&gt;高値!Y331),18,""))</f>
        <v/>
      </c>
      <c r="AT331" s="503" t="str">
        <f>IF(終値!A331="","",IF(AND(高値!X331&gt;高値!W331,高値!X331&gt;高値!V331,高値!X331&gt;高値!Y331,高値!X331&gt;高値!Z331),19,""))</f>
        <v/>
      </c>
      <c r="AU331" s="503" t="str">
        <f>IF(終値!A331="","",IF(AND(高値!Y331&gt;高値!X331,高値!Y331&gt;高値!W331,高値!Y331&gt;高値!Z331,高値!Y331&gt;高値!AA331),20,""))</f>
        <v/>
      </c>
      <c r="AV331" s="503" t="str">
        <f>IF(終値!A331="","",IF(AND(高値!Z331&gt;高値!Y331,高値!Z331&gt;高値!X331,高値!Z331&gt;高値!AA331,高値!Z331&gt;高値!AB331),21,""))</f>
        <v/>
      </c>
      <c r="AW331" s="503" t="str">
        <f>IF(終値!A331="","",IF(AND(高値!AA331&gt;高値!Z331,高値!AA331&gt;高値!Y331,高値!AA331&gt;高値!AB331,高値!AA331&gt;高値!AC331),22,""))</f>
        <v/>
      </c>
      <c r="AX331" s="503" t="str">
        <f>IF(終値!A331="","",IF(AND(高値!AB331&gt;高値!AA331,高値!AB331&gt;高値!Z331,高値!AB331&gt;高値!AC331,高値!AB331&gt;高値!AD331),23,""))</f>
        <v/>
      </c>
      <c r="AY331" s="503" t="str">
        <f>IF(終値!A331="","",IF(AND(高値!AC331&gt;高値!AB331,高値!AC331&gt;高値!AA331,高値!AC331&gt;高値!AD331,高値!AC331&gt;高値!AE331),24,""))</f>
        <v/>
      </c>
      <c r="AZ331" s="503" t="str">
        <f>IF(終値!A331="","",IF(AND(高値!AD331&gt;高値!AC331,高値!AD331&gt;高値!AB331,高値!AD331&gt;高値!AE331,高値!AD331&gt;高値!AF331),25,""))</f>
        <v/>
      </c>
      <c r="BA331" s="503" t="str">
        <f>IF(終値!A331="","",IF(AND(高値!AE331&gt;高値!AD331,高値!AE331&gt;高値!AC331,高値!AE331&gt;高値!AF331,高値!AE331&gt;高値!AG331),26,""))</f>
        <v/>
      </c>
      <c r="BB331" s="503" t="str">
        <f>IF(終値!A331="","",IF(AND(高値!AF331&gt;高値!AE331,高値!AF331&gt;高値!AD331,高値!AF331&gt;高値!AG331,高値!AF331&gt;高値!AH331),27,""))</f>
        <v/>
      </c>
      <c r="BC331" s="503" t="str">
        <f>IF(終値!A331="","",IF(AND(高値!AG331&gt;高値!AF331,高値!AG331&gt;高値!AE331,高値!AG331&gt;高値!AH331,高値!AG331&gt;高値!AI331),28,""))</f>
        <v/>
      </c>
      <c r="BD331" s="503">
        <f t="shared" si="30"/>
        <v>0</v>
      </c>
      <c r="BE331" s="503" t="str">
        <f t="shared" si="31"/>
        <v/>
      </c>
      <c r="BF331" s="503" t="str">
        <f t="shared" si="32"/>
        <v/>
      </c>
      <c r="BG331" s="503" t="str">
        <f>IF($BE331="","",INDEX(安値!$E331:$CZ331,1,$BE331+1))</f>
        <v/>
      </c>
      <c r="BH331" s="503" t="str">
        <f>IF($BF331="","",INDEX(安値!$E331:$CZ331,1,$BF331+1))</f>
        <v/>
      </c>
      <c r="BI331" s="503" t="str">
        <f>IF($BF331="","",MAX(INDEX(高値!$E331:$CZ331,1,$BE331+1):INDEX(高値!$E331:$CZ331,1,$BF331+1)))</f>
        <v/>
      </c>
      <c r="BJ331" s="503" t="str">
        <f>IF($BF331="","",AVERAGE(INDEX(終値!$E331:$CZ331,1,$BF331+1):INDEX(終値!$E331:$CZ331,1,$BF331+20))-2*STDEVP(INDEX(終値!$E331:$CZ331,1,$BF331+1):INDEX(終値!$E331:$CZ331,1,$BF331+20)))</f>
        <v/>
      </c>
      <c r="BK331" s="503" t="str">
        <f>IF($BE331="","",AVERAGE(INDEX(終値!$E331:$CZ331,1,$BE331+1):INDEX(終値!$E331:$CZ331,1,$BE331+20))-2*STDEVP(INDEX(終値!$E331:$CZ331,1,$BE331+1):INDEX(終値!$E331:$CZ331,1,$BE331+20)))</f>
        <v/>
      </c>
      <c r="BL331" s="503">
        <f t="shared" si="33"/>
        <v>0</v>
      </c>
      <c r="BM331" s="503" t="str">
        <f t="shared" si="34"/>
        <v/>
      </c>
      <c r="BN331" s="503" t="str">
        <f t="shared" si="35"/>
        <v/>
      </c>
      <c r="BO331" s="503" t="str">
        <f>IF($BM331="","",INDEX(高値!$E331:$CZ331,1,$BM331+1))</f>
        <v/>
      </c>
      <c r="BP331" s="503" t="str">
        <f>IF($BN331="","",INDEX(高値!$E331:$CZ331,1,$BN331+1))</f>
        <v/>
      </c>
      <c r="BQ331" s="503" t="str">
        <f>IF($BN331="","",MIN(INDEX(安値!$E331:$CZ331,1,$BM331+1):INDEX(安値!$E331:$CZ331,1,$BN331+1)))</f>
        <v/>
      </c>
      <c r="BR331" s="503" t="str">
        <f>IF($BN331="","",AVERAGE(INDEX(終値!$E331:$CZ331,1,$BN331+1):INDEX(終値!$E331:$CZ331,1,$BN331+20))+2*STDEVP(INDEX(終値!$E331:$CZ331,1,$BN331+1):INDEX(終値!$E331:$CZ331,1,$BN331+20)))</f>
        <v/>
      </c>
      <c r="BS331" s="503" t="str">
        <f>IF($BM331="","",AVERAGE(INDEX(終値!$E331:$CZ331,1,$BM331+1):INDEX(終値!$E331:$CZ331,1,$BM331+20))+2*STDEVP(INDEX(終値!$E331:$CZ331,1,$BM331+1):INDEX(終値!$E331:$CZ331,1,$BM331+20)))</f>
        <v/>
      </c>
      <c r="BT331" s="500"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3" t="str">
        <f>IF(終値!A332="","",IF(AND(安値!G332&lt;安値!F332,安値!G332&lt;安値!E332,安値!G332&lt;安値!H332,安値!G332&lt;安値!I332),2,""))</f>
        <v/>
      </c>
      <c r="C332" s="503" t="str">
        <f>IF(終値!A332="","",IF(AND(安値!H332&lt;安値!G332,安値!H332&lt;安値!F332,安値!H332&lt;安値!I332,安値!H332&lt;安値!J332),3,""))</f>
        <v/>
      </c>
      <c r="D332" s="503" t="str">
        <f>IF(終値!A332="","",IF(AND(安値!I332&lt;安値!H332,安値!I332&lt;安値!G332,安値!I332&lt;安値!J332,安値!I332&lt;安値!K332),4,""))</f>
        <v/>
      </c>
      <c r="E332" s="503" t="str">
        <f>IF(終値!A332="","",IF(AND(安値!J332&lt;安値!I332,安値!J332&lt;安値!H332,安値!J332&lt;安値!K332,安値!J332&lt;安値!L332),5,""))</f>
        <v/>
      </c>
      <c r="F332" s="503" t="str">
        <f>IF(終値!A332="","",IF(AND(安値!K332&lt;安値!J332,安値!K332&lt;安値!I332,安値!K332&lt;安値!L332,安値!K332&lt;安値!M332),6,""))</f>
        <v/>
      </c>
      <c r="G332" s="503" t="str">
        <f>IF(終値!A332="","",IF(AND(安値!L332&lt;安値!K332,安値!L332&lt;安値!J332,安値!L332&lt;安値!M332,安値!L332&lt;安値!N332),7,""))</f>
        <v/>
      </c>
      <c r="H332" s="503" t="str">
        <f>IF(終値!A332="","",IF(AND(安値!M332&lt;安値!L332,安値!M332&lt;安値!K332,安値!M332&lt;安値!N332,安値!M332&lt;安値!O332),8,""))</f>
        <v/>
      </c>
      <c r="I332" s="503" t="str">
        <f>IF(終値!A332="","",IF(AND(安値!N332&lt;安値!M332,安値!N332&lt;安値!L332,安値!N332&lt;安値!O332,安値!N332&lt;安値!P332),9,""))</f>
        <v/>
      </c>
      <c r="J332" s="503" t="str">
        <f>IF(終値!A332="","",IF(AND(安値!O332&lt;安値!N332,安値!O332&lt;安値!M332,安値!O332&lt;安値!P332,安値!O332&lt;安値!Q332),10,""))</f>
        <v/>
      </c>
      <c r="K332" s="503" t="str">
        <f>IF(終値!A332="","",IF(AND(安値!P332&lt;安値!O332,安値!P332&lt;安値!N332,安値!P332&lt;安値!Q332,安値!P332&lt;安値!R332),11,""))</f>
        <v/>
      </c>
      <c r="L332" s="503" t="str">
        <f>IF(終値!A332="","",IF(AND(安値!Q332&lt;安値!P332,安値!Q332&lt;安値!O332,安値!Q332&lt;安値!R332,安値!Q332&lt;安値!S332),12,""))</f>
        <v/>
      </c>
      <c r="M332" s="503" t="str">
        <f>IF(終値!A332="","",IF(AND(安値!R332&lt;安値!Q332,安値!R332&lt;安値!P332,安値!R332&lt;安値!S332,安値!R332&lt;安値!T332),13,""))</f>
        <v/>
      </c>
      <c r="N332" s="503" t="str">
        <f>IF(終値!A332="","",IF(AND(安値!S332&lt;安値!R332,安値!S332&lt;安値!Q332,安値!S332&lt;安値!T332,安値!S332&lt;安値!U332),14,""))</f>
        <v/>
      </c>
      <c r="O332" s="503" t="str">
        <f>IF(終値!A332="","",IF(AND(安値!T332&lt;安値!S332,安値!T332&lt;安値!R332,安値!T332&lt;安値!U332,安値!T332&lt;安値!V332),15,""))</f>
        <v/>
      </c>
      <c r="P332" s="503" t="str">
        <f>IF(終値!A332="","",IF(AND(安値!U332&lt;安値!T332,安値!U332&lt;安値!S332,安値!U332&lt;安値!V332,安値!U332&lt;安値!W332),16,""))</f>
        <v/>
      </c>
      <c r="Q332" s="503" t="str">
        <f>IF(終値!A332="","",IF(AND(安値!V332&lt;安値!U332,安値!V332&lt;安値!T332,安値!V332&lt;安値!W332,安値!V332&lt;安値!X332),17,""))</f>
        <v/>
      </c>
      <c r="R332" s="503" t="str">
        <f>IF(終値!A332="","",IF(AND(安値!W332&lt;安値!V332,安値!W332&lt;安値!U332,安値!W332&lt;安値!X332,安値!W332&lt;安値!Y332),18,""))</f>
        <v/>
      </c>
      <c r="S332" s="503" t="str">
        <f>IF(終値!A332="","",IF(AND(安値!X332&lt;安値!W332,安値!X332&lt;安値!V332,安値!X332&lt;安値!Y332,安値!X332&lt;安値!Z332),19,""))</f>
        <v/>
      </c>
      <c r="T332" s="503" t="str">
        <f>IF(終値!A332="","",IF(AND(安値!Y332&lt;安値!X332,安値!Y332&lt;安値!W332,安値!Y332&lt;安値!Z332,安値!Y332&lt;安値!AA332),20,""))</f>
        <v/>
      </c>
      <c r="U332" s="503" t="str">
        <f>IF(終値!A332="","",IF(AND(安値!Z332&lt;安値!Y332,安値!Z332&lt;安値!X332,安値!Z332&lt;安値!AA332,安値!Z332&lt;安値!AB332),21,""))</f>
        <v/>
      </c>
      <c r="V332" s="503" t="str">
        <f>IF(終値!A332="","",IF(AND(安値!AA332&lt;安値!Z332,安値!AA332&lt;安値!Y332,安値!AA332&lt;安値!AB332,安値!AA332&lt;安値!AC332),22,""))</f>
        <v/>
      </c>
      <c r="W332" s="503" t="str">
        <f>IF(終値!A332="","",IF(AND(安値!AB332&lt;安値!AA332,安値!AB332&lt;安値!Z332,安値!AB332&lt;安値!AC332,安値!AB332&lt;安値!AD332),23,""))</f>
        <v/>
      </c>
      <c r="X332" s="503" t="str">
        <f>IF(終値!A332="","",IF(AND(安値!AC332&lt;安値!AB332,安値!AC332&lt;安値!AA332,安値!AC332&lt;安値!AD332,安値!AC332&lt;安値!AE332),24,""))</f>
        <v/>
      </c>
      <c r="Y332" s="503" t="str">
        <f>IF(終値!A332="","",IF(AND(安値!AD332&lt;安値!AC332,安値!AD332&lt;安値!AB332,安値!AD332&lt;安値!AE332,安値!AD332&lt;安値!AF332),25,""))</f>
        <v/>
      </c>
      <c r="Z332" s="503" t="str">
        <f>IF(終値!A332="","",IF(AND(安値!AE332&lt;安値!AD332,安値!AE332&lt;安値!AC332,安値!AE332&lt;安値!AF332,安値!AE332&lt;安値!AG332),26,""))</f>
        <v/>
      </c>
      <c r="AA332" s="503" t="str">
        <f>IF(終値!A332="","",IF(AND(安値!AF332&lt;安値!AE332,安値!AF332&lt;安値!AD332,安値!AF332&lt;安値!AG332,安値!AF332&lt;安値!AH332),27,""))</f>
        <v/>
      </c>
      <c r="AB332" s="503" t="str">
        <f>IF(終値!A332="","",IF(AND(安値!AG332&lt;安値!AF332,安値!AG332&lt;安値!AE332,安値!AG332&lt;安値!AH332,安値!AG332&lt;安値!AI332),28,""))</f>
        <v/>
      </c>
      <c r="AC332" s="503" t="str">
        <f>IF(終値!A332="","",IF(AND(高値!G332&gt;高値!F332,高値!G332&gt;高値!E332,高値!G332&gt;高値!H332,高値!G332&gt;高値!I332),2,""))</f>
        <v/>
      </c>
      <c r="AD332" s="503" t="str">
        <f>IF(終値!A332="","",IF(AND(高値!H332&gt;高値!G332,高値!H332&gt;高値!F332,高値!H332&gt;高値!I332,高値!H332&gt;高値!J332),3,""))</f>
        <v/>
      </c>
      <c r="AE332" s="503" t="str">
        <f>IF(終値!A332="","",IF(AND(高値!I332&gt;高値!H332,高値!I332&gt;高値!G332,高値!I332&gt;高値!J332,高値!I332&gt;高値!K332),4,""))</f>
        <v/>
      </c>
      <c r="AF332" s="503" t="str">
        <f>IF(終値!A332="","",IF(AND(高値!J332&gt;高値!I332,高値!J332&gt;高値!H332,高値!J332&gt;高値!K332,高値!J332&gt;高値!L332),5,""))</f>
        <v/>
      </c>
      <c r="AG332" s="503" t="str">
        <f>IF(終値!A332="","",IF(AND(高値!K332&gt;高値!J332,高値!K332&gt;高値!I332,高値!K332&gt;高値!L332,高値!K332&gt;高値!M332),6,""))</f>
        <v/>
      </c>
      <c r="AH332" s="503" t="str">
        <f>IF(終値!A332="","",IF(AND(高値!L332&gt;高値!K332,高値!L332&gt;高値!J332,高値!L332&gt;高値!M332,高値!L332&gt;高値!N332),7,""))</f>
        <v/>
      </c>
      <c r="AI332" s="503" t="str">
        <f>IF(終値!A332="","",IF(AND(高値!M332&gt;高値!L332,高値!M332&gt;高値!K332,高値!M332&gt;高値!N332,高値!M332&gt;高値!O332),8,""))</f>
        <v/>
      </c>
      <c r="AJ332" s="503" t="str">
        <f>IF(終値!A332="","",IF(AND(高値!N332&gt;高値!M332,高値!N332&gt;高値!L332,高値!N332&gt;高値!O332,高値!N332&gt;高値!P332),9,""))</f>
        <v/>
      </c>
      <c r="AK332" s="503" t="str">
        <f>IF(終値!A332="","",IF(AND(高値!O332&gt;高値!N332,高値!O332&gt;高値!M332,高値!O332&gt;高値!P332,高値!O332&gt;高値!Q332),10,""))</f>
        <v/>
      </c>
      <c r="AL332" s="503" t="str">
        <f>IF(終値!A332="","",IF(AND(高値!P332&gt;高値!O332,高値!P332&gt;高値!N332,高値!P332&gt;高値!Q332,高値!P332&gt;高値!R332),11,""))</f>
        <v/>
      </c>
      <c r="AM332" s="503" t="str">
        <f>IF(終値!A332="","",IF(AND(高値!Q332&gt;高値!P332,高値!Q332&gt;高値!O332,高値!Q332&gt;高値!R332,高値!Q332&gt;高値!S332),12,""))</f>
        <v/>
      </c>
      <c r="AN332" s="503" t="str">
        <f>IF(終値!A332="","",IF(AND(高値!R332&gt;高値!Q332,高値!R332&gt;高値!P332,高値!R332&gt;高値!S332,高値!R332&gt;高値!T332),13,""))</f>
        <v/>
      </c>
      <c r="AO332" s="503" t="str">
        <f>IF(終値!A332="","",IF(AND(高値!S332&gt;高値!R332,高値!S332&gt;高値!Q332,高値!S332&gt;高値!T332,高値!S332&gt;高値!U332),14,""))</f>
        <v/>
      </c>
      <c r="AP332" s="503" t="str">
        <f>IF(終値!A332="","",IF(AND(高値!T332&gt;高値!S332,高値!T332&gt;高値!R332,高値!T332&gt;高値!U332,高値!T332&gt;高値!V332),15,""))</f>
        <v/>
      </c>
      <c r="AQ332" s="503" t="str">
        <f>IF(終値!A332="","",IF(AND(高値!U332&gt;高値!T332,高値!U332&gt;高値!S332,高値!U332&gt;高値!V332,高値!U332&gt;高値!W332),16,""))</f>
        <v/>
      </c>
      <c r="AR332" s="503" t="str">
        <f>IF(終値!A332="","",IF(AND(高値!V332&gt;高値!U332,高値!V332&gt;高値!T332,高値!V332&gt;高値!W332,高値!V332&gt;高値!X332),17,""))</f>
        <v/>
      </c>
      <c r="AS332" s="503" t="str">
        <f>IF(終値!A332="","",IF(AND(高値!W332&gt;高値!V332,高値!W332&gt;高値!U332,高値!W332&gt;高値!X332,高値!W332&gt;高値!Y332),18,""))</f>
        <v/>
      </c>
      <c r="AT332" s="503" t="str">
        <f>IF(終値!A332="","",IF(AND(高値!X332&gt;高値!W332,高値!X332&gt;高値!V332,高値!X332&gt;高値!Y332,高値!X332&gt;高値!Z332),19,""))</f>
        <v/>
      </c>
      <c r="AU332" s="503" t="str">
        <f>IF(終値!A332="","",IF(AND(高値!Y332&gt;高値!X332,高値!Y332&gt;高値!W332,高値!Y332&gt;高値!Z332,高値!Y332&gt;高値!AA332),20,""))</f>
        <v/>
      </c>
      <c r="AV332" s="503" t="str">
        <f>IF(終値!A332="","",IF(AND(高値!Z332&gt;高値!Y332,高値!Z332&gt;高値!X332,高値!Z332&gt;高値!AA332,高値!Z332&gt;高値!AB332),21,""))</f>
        <v/>
      </c>
      <c r="AW332" s="503" t="str">
        <f>IF(終値!A332="","",IF(AND(高値!AA332&gt;高値!Z332,高値!AA332&gt;高値!Y332,高値!AA332&gt;高値!AB332,高値!AA332&gt;高値!AC332),22,""))</f>
        <v/>
      </c>
      <c r="AX332" s="503" t="str">
        <f>IF(終値!A332="","",IF(AND(高値!AB332&gt;高値!AA332,高値!AB332&gt;高値!Z332,高値!AB332&gt;高値!AC332,高値!AB332&gt;高値!AD332),23,""))</f>
        <v/>
      </c>
      <c r="AY332" s="503" t="str">
        <f>IF(終値!A332="","",IF(AND(高値!AC332&gt;高値!AB332,高値!AC332&gt;高値!AA332,高値!AC332&gt;高値!AD332,高値!AC332&gt;高値!AE332),24,""))</f>
        <v/>
      </c>
      <c r="AZ332" s="503" t="str">
        <f>IF(終値!A332="","",IF(AND(高値!AD332&gt;高値!AC332,高値!AD332&gt;高値!AB332,高値!AD332&gt;高値!AE332,高値!AD332&gt;高値!AF332),25,""))</f>
        <v/>
      </c>
      <c r="BA332" s="503" t="str">
        <f>IF(終値!A332="","",IF(AND(高値!AE332&gt;高値!AD332,高値!AE332&gt;高値!AC332,高値!AE332&gt;高値!AF332,高値!AE332&gt;高値!AG332),26,""))</f>
        <v/>
      </c>
      <c r="BB332" s="503" t="str">
        <f>IF(終値!A332="","",IF(AND(高値!AF332&gt;高値!AE332,高値!AF332&gt;高値!AD332,高値!AF332&gt;高値!AG332,高値!AF332&gt;高値!AH332),27,""))</f>
        <v/>
      </c>
      <c r="BC332" s="503" t="str">
        <f>IF(終値!A332="","",IF(AND(高値!AG332&gt;高値!AF332,高値!AG332&gt;高値!AE332,高値!AG332&gt;高値!AH332,高値!AG332&gt;高値!AI332),28,""))</f>
        <v/>
      </c>
      <c r="BD332" s="503">
        <f t="shared" si="30"/>
        <v>0</v>
      </c>
      <c r="BE332" s="503" t="str">
        <f t="shared" si="31"/>
        <v/>
      </c>
      <c r="BF332" s="503" t="str">
        <f t="shared" si="32"/>
        <v/>
      </c>
      <c r="BG332" s="503" t="str">
        <f>IF($BE332="","",INDEX(安値!$E332:$CZ332,1,$BE332+1))</f>
        <v/>
      </c>
      <c r="BH332" s="503" t="str">
        <f>IF($BF332="","",INDEX(安値!$E332:$CZ332,1,$BF332+1))</f>
        <v/>
      </c>
      <c r="BI332" s="503" t="str">
        <f>IF($BF332="","",MAX(INDEX(高値!$E332:$CZ332,1,$BE332+1):INDEX(高値!$E332:$CZ332,1,$BF332+1)))</f>
        <v/>
      </c>
      <c r="BJ332" s="503" t="str">
        <f>IF($BF332="","",AVERAGE(INDEX(終値!$E332:$CZ332,1,$BF332+1):INDEX(終値!$E332:$CZ332,1,$BF332+20))-2*STDEVP(INDEX(終値!$E332:$CZ332,1,$BF332+1):INDEX(終値!$E332:$CZ332,1,$BF332+20)))</f>
        <v/>
      </c>
      <c r="BK332" s="503" t="str">
        <f>IF($BE332="","",AVERAGE(INDEX(終値!$E332:$CZ332,1,$BE332+1):INDEX(終値!$E332:$CZ332,1,$BE332+20))-2*STDEVP(INDEX(終値!$E332:$CZ332,1,$BE332+1):INDEX(終値!$E332:$CZ332,1,$BE332+20)))</f>
        <v/>
      </c>
      <c r="BL332" s="503">
        <f t="shared" si="33"/>
        <v>0</v>
      </c>
      <c r="BM332" s="503" t="str">
        <f t="shared" si="34"/>
        <v/>
      </c>
      <c r="BN332" s="503" t="str">
        <f t="shared" si="35"/>
        <v/>
      </c>
      <c r="BO332" s="503" t="str">
        <f>IF($BM332="","",INDEX(高値!$E332:$CZ332,1,$BM332+1))</f>
        <v/>
      </c>
      <c r="BP332" s="503" t="str">
        <f>IF($BN332="","",INDEX(高値!$E332:$CZ332,1,$BN332+1))</f>
        <v/>
      </c>
      <c r="BQ332" s="503" t="str">
        <f>IF($BN332="","",MIN(INDEX(安値!$E332:$CZ332,1,$BM332+1):INDEX(安値!$E332:$CZ332,1,$BN332+1)))</f>
        <v/>
      </c>
      <c r="BR332" s="503" t="str">
        <f>IF($BN332="","",AVERAGE(INDEX(終値!$E332:$CZ332,1,$BN332+1):INDEX(終値!$E332:$CZ332,1,$BN332+20))+2*STDEVP(INDEX(終値!$E332:$CZ332,1,$BN332+1):INDEX(終値!$E332:$CZ332,1,$BN332+20)))</f>
        <v/>
      </c>
      <c r="BS332" s="503" t="str">
        <f>IF($BM332="","",AVERAGE(INDEX(終値!$E332:$CZ332,1,$BM332+1):INDEX(終値!$E332:$CZ332,1,$BM332+20))+2*STDEVP(INDEX(終値!$E332:$CZ332,1,$BM332+1):INDEX(終値!$E332:$CZ332,1,$BM332+20)))</f>
        <v/>
      </c>
      <c r="BT332" s="500"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3" t="str">
        <f>IF(終値!A333="","",IF(AND(安値!G333&lt;安値!F333,安値!G333&lt;安値!E333,安値!G333&lt;安値!H333,安値!G333&lt;安値!I333),2,""))</f>
        <v/>
      </c>
      <c r="C333" s="503" t="str">
        <f>IF(終値!A333="","",IF(AND(安値!H333&lt;安値!G333,安値!H333&lt;安値!F333,安値!H333&lt;安値!I333,安値!H333&lt;安値!J333),3,""))</f>
        <v/>
      </c>
      <c r="D333" s="503" t="str">
        <f>IF(終値!A333="","",IF(AND(安値!I333&lt;安値!H333,安値!I333&lt;安値!G333,安値!I333&lt;安値!J333,安値!I333&lt;安値!K333),4,""))</f>
        <v/>
      </c>
      <c r="E333" s="503" t="str">
        <f>IF(終値!A333="","",IF(AND(安値!J333&lt;安値!I333,安値!J333&lt;安値!H333,安値!J333&lt;安値!K333,安値!J333&lt;安値!L333),5,""))</f>
        <v/>
      </c>
      <c r="F333" s="503" t="str">
        <f>IF(終値!A333="","",IF(AND(安値!K333&lt;安値!J333,安値!K333&lt;安値!I333,安値!K333&lt;安値!L333,安値!K333&lt;安値!M333),6,""))</f>
        <v/>
      </c>
      <c r="G333" s="503" t="str">
        <f>IF(終値!A333="","",IF(AND(安値!L333&lt;安値!K333,安値!L333&lt;安値!J333,安値!L333&lt;安値!M333,安値!L333&lt;安値!N333),7,""))</f>
        <v/>
      </c>
      <c r="H333" s="503" t="str">
        <f>IF(終値!A333="","",IF(AND(安値!M333&lt;安値!L333,安値!M333&lt;安値!K333,安値!M333&lt;安値!N333,安値!M333&lt;安値!O333),8,""))</f>
        <v/>
      </c>
      <c r="I333" s="503" t="str">
        <f>IF(終値!A333="","",IF(AND(安値!N333&lt;安値!M333,安値!N333&lt;安値!L333,安値!N333&lt;安値!O333,安値!N333&lt;安値!P333),9,""))</f>
        <v/>
      </c>
      <c r="J333" s="503" t="str">
        <f>IF(終値!A333="","",IF(AND(安値!O333&lt;安値!N333,安値!O333&lt;安値!M333,安値!O333&lt;安値!P333,安値!O333&lt;安値!Q333),10,""))</f>
        <v/>
      </c>
      <c r="K333" s="503" t="str">
        <f>IF(終値!A333="","",IF(AND(安値!P333&lt;安値!O333,安値!P333&lt;安値!N333,安値!P333&lt;安値!Q333,安値!P333&lt;安値!R333),11,""))</f>
        <v/>
      </c>
      <c r="L333" s="503" t="str">
        <f>IF(終値!A333="","",IF(AND(安値!Q333&lt;安値!P333,安値!Q333&lt;安値!O333,安値!Q333&lt;安値!R333,安値!Q333&lt;安値!S333),12,""))</f>
        <v/>
      </c>
      <c r="M333" s="503" t="str">
        <f>IF(終値!A333="","",IF(AND(安値!R333&lt;安値!Q333,安値!R333&lt;安値!P333,安値!R333&lt;安値!S333,安値!R333&lt;安値!T333),13,""))</f>
        <v/>
      </c>
      <c r="N333" s="503" t="str">
        <f>IF(終値!A333="","",IF(AND(安値!S333&lt;安値!R333,安値!S333&lt;安値!Q333,安値!S333&lt;安値!T333,安値!S333&lt;安値!U333),14,""))</f>
        <v/>
      </c>
      <c r="O333" s="503" t="str">
        <f>IF(終値!A333="","",IF(AND(安値!T333&lt;安値!S333,安値!T333&lt;安値!R333,安値!T333&lt;安値!U333,安値!T333&lt;安値!V333),15,""))</f>
        <v/>
      </c>
      <c r="P333" s="503" t="str">
        <f>IF(終値!A333="","",IF(AND(安値!U333&lt;安値!T333,安値!U333&lt;安値!S333,安値!U333&lt;安値!V333,安値!U333&lt;安値!W333),16,""))</f>
        <v/>
      </c>
      <c r="Q333" s="503" t="str">
        <f>IF(終値!A333="","",IF(AND(安値!V333&lt;安値!U333,安値!V333&lt;安値!T333,安値!V333&lt;安値!W333,安値!V333&lt;安値!X333),17,""))</f>
        <v/>
      </c>
      <c r="R333" s="503" t="str">
        <f>IF(終値!A333="","",IF(AND(安値!W333&lt;安値!V333,安値!W333&lt;安値!U333,安値!W333&lt;安値!X333,安値!W333&lt;安値!Y333),18,""))</f>
        <v/>
      </c>
      <c r="S333" s="503" t="str">
        <f>IF(終値!A333="","",IF(AND(安値!X333&lt;安値!W333,安値!X333&lt;安値!V333,安値!X333&lt;安値!Y333,安値!X333&lt;安値!Z333),19,""))</f>
        <v/>
      </c>
      <c r="T333" s="503" t="str">
        <f>IF(終値!A333="","",IF(AND(安値!Y333&lt;安値!X333,安値!Y333&lt;安値!W333,安値!Y333&lt;安値!Z333,安値!Y333&lt;安値!AA333),20,""))</f>
        <v/>
      </c>
      <c r="U333" s="503" t="str">
        <f>IF(終値!A333="","",IF(AND(安値!Z333&lt;安値!Y333,安値!Z333&lt;安値!X333,安値!Z333&lt;安値!AA333,安値!Z333&lt;安値!AB333),21,""))</f>
        <v/>
      </c>
      <c r="V333" s="503" t="str">
        <f>IF(終値!A333="","",IF(AND(安値!AA333&lt;安値!Z333,安値!AA333&lt;安値!Y333,安値!AA333&lt;安値!AB333,安値!AA333&lt;安値!AC333),22,""))</f>
        <v/>
      </c>
      <c r="W333" s="503" t="str">
        <f>IF(終値!A333="","",IF(AND(安値!AB333&lt;安値!AA333,安値!AB333&lt;安値!Z333,安値!AB333&lt;安値!AC333,安値!AB333&lt;安値!AD333),23,""))</f>
        <v/>
      </c>
      <c r="X333" s="503" t="str">
        <f>IF(終値!A333="","",IF(AND(安値!AC333&lt;安値!AB333,安値!AC333&lt;安値!AA333,安値!AC333&lt;安値!AD333,安値!AC333&lt;安値!AE333),24,""))</f>
        <v/>
      </c>
      <c r="Y333" s="503" t="str">
        <f>IF(終値!A333="","",IF(AND(安値!AD333&lt;安値!AC333,安値!AD333&lt;安値!AB333,安値!AD333&lt;安値!AE333,安値!AD333&lt;安値!AF333),25,""))</f>
        <v/>
      </c>
      <c r="Z333" s="503" t="str">
        <f>IF(終値!A333="","",IF(AND(安値!AE333&lt;安値!AD333,安値!AE333&lt;安値!AC333,安値!AE333&lt;安値!AF333,安値!AE333&lt;安値!AG333),26,""))</f>
        <v/>
      </c>
      <c r="AA333" s="503" t="str">
        <f>IF(終値!A333="","",IF(AND(安値!AF333&lt;安値!AE333,安値!AF333&lt;安値!AD333,安値!AF333&lt;安値!AG333,安値!AF333&lt;安値!AH333),27,""))</f>
        <v/>
      </c>
      <c r="AB333" s="503" t="str">
        <f>IF(終値!A333="","",IF(AND(安値!AG333&lt;安値!AF333,安値!AG333&lt;安値!AE333,安値!AG333&lt;安値!AH333,安値!AG333&lt;安値!AI333),28,""))</f>
        <v/>
      </c>
      <c r="AC333" s="503" t="str">
        <f>IF(終値!A333="","",IF(AND(高値!G333&gt;高値!F333,高値!G333&gt;高値!E333,高値!G333&gt;高値!H333,高値!G333&gt;高値!I333),2,""))</f>
        <v/>
      </c>
      <c r="AD333" s="503" t="str">
        <f>IF(終値!A333="","",IF(AND(高値!H333&gt;高値!G333,高値!H333&gt;高値!F333,高値!H333&gt;高値!I333,高値!H333&gt;高値!J333),3,""))</f>
        <v/>
      </c>
      <c r="AE333" s="503" t="str">
        <f>IF(終値!A333="","",IF(AND(高値!I333&gt;高値!H333,高値!I333&gt;高値!G333,高値!I333&gt;高値!J333,高値!I333&gt;高値!K333),4,""))</f>
        <v/>
      </c>
      <c r="AF333" s="503" t="str">
        <f>IF(終値!A333="","",IF(AND(高値!J333&gt;高値!I333,高値!J333&gt;高値!H333,高値!J333&gt;高値!K333,高値!J333&gt;高値!L333),5,""))</f>
        <v/>
      </c>
      <c r="AG333" s="503" t="str">
        <f>IF(終値!A333="","",IF(AND(高値!K333&gt;高値!J333,高値!K333&gt;高値!I333,高値!K333&gt;高値!L333,高値!K333&gt;高値!M333),6,""))</f>
        <v/>
      </c>
      <c r="AH333" s="503" t="str">
        <f>IF(終値!A333="","",IF(AND(高値!L333&gt;高値!K333,高値!L333&gt;高値!J333,高値!L333&gt;高値!M333,高値!L333&gt;高値!N333),7,""))</f>
        <v/>
      </c>
      <c r="AI333" s="503" t="str">
        <f>IF(終値!A333="","",IF(AND(高値!M333&gt;高値!L333,高値!M333&gt;高値!K333,高値!M333&gt;高値!N333,高値!M333&gt;高値!O333),8,""))</f>
        <v/>
      </c>
      <c r="AJ333" s="503" t="str">
        <f>IF(終値!A333="","",IF(AND(高値!N333&gt;高値!M333,高値!N333&gt;高値!L333,高値!N333&gt;高値!O333,高値!N333&gt;高値!P333),9,""))</f>
        <v/>
      </c>
      <c r="AK333" s="503" t="str">
        <f>IF(終値!A333="","",IF(AND(高値!O333&gt;高値!N333,高値!O333&gt;高値!M333,高値!O333&gt;高値!P333,高値!O333&gt;高値!Q333),10,""))</f>
        <v/>
      </c>
      <c r="AL333" s="503" t="str">
        <f>IF(終値!A333="","",IF(AND(高値!P333&gt;高値!O333,高値!P333&gt;高値!N333,高値!P333&gt;高値!Q333,高値!P333&gt;高値!R333),11,""))</f>
        <v/>
      </c>
      <c r="AM333" s="503" t="str">
        <f>IF(終値!A333="","",IF(AND(高値!Q333&gt;高値!P333,高値!Q333&gt;高値!O333,高値!Q333&gt;高値!R333,高値!Q333&gt;高値!S333),12,""))</f>
        <v/>
      </c>
      <c r="AN333" s="503" t="str">
        <f>IF(終値!A333="","",IF(AND(高値!R333&gt;高値!Q333,高値!R333&gt;高値!P333,高値!R333&gt;高値!S333,高値!R333&gt;高値!T333),13,""))</f>
        <v/>
      </c>
      <c r="AO333" s="503" t="str">
        <f>IF(終値!A333="","",IF(AND(高値!S333&gt;高値!R333,高値!S333&gt;高値!Q333,高値!S333&gt;高値!T333,高値!S333&gt;高値!U333),14,""))</f>
        <v/>
      </c>
      <c r="AP333" s="503" t="str">
        <f>IF(終値!A333="","",IF(AND(高値!T333&gt;高値!S333,高値!T333&gt;高値!R333,高値!T333&gt;高値!U333,高値!T333&gt;高値!V333),15,""))</f>
        <v/>
      </c>
      <c r="AQ333" s="503" t="str">
        <f>IF(終値!A333="","",IF(AND(高値!U333&gt;高値!T333,高値!U333&gt;高値!S333,高値!U333&gt;高値!V333,高値!U333&gt;高値!W333),16,""))</f>
        <v/>
      </c>
      <c r="AR333" s="503" t="str">
        <f>IF(終値!A333="","",IF(AND(高値!V333&gt;高値!U333,高値!V333&gt;高値!T333,高値!V333&gt;高値!W333,高値!V333&gt;高値!X333),17,""))</f>
        <v/>
      </c>
      <c r="AS333" s="503" t="str">
        <f>IF(終値!A333="","",IF(AND(高値!W333&gt;高値!V333,高値!W333&gt;高値!U333,高値!W333&gt;高値!X333,高値!W333&gt;高値!Y333),18,""))</f>
        <v/>
      </c>
      <c r="AT333" s="503" t="str">
        <f>IF(終値!A333="","",IF(AND(高値!X333&gt;高値!W333,高値!X333&gt;高値!V333,高値!X333&gt;高値!Y333,高値!X333&gt;高値!Z333),19,""))</f>
        <v/>
      </c>
      <c r="AU333" s="503" t="str">
        <f>IF(終値!A333="","",IF(AND(高値!Y333&gt;高値!X333,高値!Y333&gt;高値!W333,高値!Y333&gt;高値!Z333,高値!Y333&gt;高値!AA333),20,""))</f>
        <v/>
      </c>
      <c r="AV333" s="503" t="str">
        <f>IF(終値!A333="","",IF(AND(高値!Z333&gt;高値!Y333,高値!Z333&gt;高値!X333,高値!Z333&gt;高値!AA333,高値!Z333&gt;高値!AB333),21,""))</f>
        <v/>
      </c>
      <c r="AW333" s="503" t="str">
        <f>IF(終値!A333="","",IF(AND(高値!AA333&gt;高値!Z333,高値!AA333&gt;高値!Y333,高値!AA333&gt;高値!AB333,高値!AA333&gt;高値!AC333),22,""))</f>
        <v/>
      </c>
      <c r="AX333" s="503" t="str">
        <f>IF(終値!A333="","",IF(AND(高値!AB333&gt;高値!AA333,高値!AB333&gt;高値!Z333,高値!AB333&gt;高値!AC333,高値!AB333&gt;高値!AD333),23,""))</f>
        <v/>
      </c>
      <c r="AY333" s="503" t="str">
        <f>IF(終値!A333="","",IF(AND(高値!AC333&gt;高値!AB333,高値!AC333&gt;高値!AA333,高値!AC333&gt;高値!AD333,高値!AC333&gt;高値!AE333),24,""))</f>
        <v/>
      </c>
      <c r="AZ333" s="503" t="str">
        <f>IF(終値!A333="","",IF(AND(高値!AD333&gt;高値!AC333,高値!AD333&gt;高値!AB333,高値!AD333&gt;高値!AE333,高値!AD333&gt;高値!AF333),25,""))</f>
        <v/>
      </c>
      <c r="BA333" s="503" t="str">
        <f>IF(終値!A333="","",IF(AND(高値!AE333&gt;高値!AD333,高値!AE333&gt;高値!AC333,高値!AE333&gt;高値!AF333,高値!AE333&gt;高値!AG333),26,""))</f>
        <v/>
      </c>
      <c r="BB333" s="503" t="str">
        <f>IF(終値!A333="","",IF(AND(高値!AF333&gt;高値!AE333,高値!AF333&gt;高値!AD333,高値!AF333&gt;高値!AG333,高値!AF333&gt;高値!AH333),27,""))</f>
        <v/>
      </c>
      <c r="BC333" s="503" t="str">
        <f>IF(終値!A333="","",IF(AND(高値!AG333&gt;高値!AF333,高値!AG333&gt;高値!AE333,高値!AG333&gt;高値!AH333,高値!AG333&gt;高値!AI333),28,""))</f>
        <v/>
      </c>
      <c r="BD333" s="503">
        <f t="shared" si="30"/>
        <v>0</v>
      </c>
      <c r="BE333" s="503" t="str">
        <f t="shared" si="31"/>
        <v/>
      </c>
      <c r="BF333" s="503" t="str">
        <f t="shared" si="32"/>
        <v/>
      </c>
      <c r="BG333" s="503" t="str">
        <f>IF($BE333="","",INDEX(安値!$E333:$CZ333,1,$BE333+1))</f>
        <v/>
      </c>
      <c r="BH333" s="503" t="str">
        <f>IF($BF333="","",INDEX(安値!$E333:$CZ333,1,$BF333+1))</f>
        <v/>
      </c>
      <c r="BI333" s="503" t="str">
        <f>IF($BF333="","",MAX(INDEX(高値!$E333:$CZ333,1,$BE333+1):INDEX(高値!$E333:$CZ333,1,$BF333+1)))</f>
        <v/>
      </c>
      <c r="BJ333" s="503" t="str">
        <f>IF($BF333="","",AVERAGE(INDEX(終値!$E333:$CZ333,1,$BF333+1):INDEX(終値!$E333:$CZ333,1,$BF333+20))-2*STDEVP(INDEX(終値!$E333:$CZ333,1,$BF333+1):INDEX(終値!$E333:$CZ333,1,$BF333+20)))</f>
        <v/>
      </c>
      <c r="BK333" s="503" t="str">
        <f>IF($BE333="","",AVERAGE(INDEX(終値!$E333:$CZ333,1,$BE333+1):INDEX(終値!$E333:$CZ333,1,$BE333+20))-2*STDEVP(INDEX(終値!$E333:$CZ333,1,$BE333+1):INDEX(終値!$E333:$CZ333,1,$BE333+20)))</f>
        <v/>
      </c>
      <c r="BL333" s="503">
        <f t="shared" si="33"/>
        <v>0</v>
      </c>
      <c r="BM333" s="503" t="str">
        <f t="shared" si="34"/>
        <v/>
      </c>
      <c r="BN333" s="503" t="str">
        <f t="shared" si="35"/>
        <v/>
      </c>
      <c r="BO333" s="503" t="str">
        <f>IF($BM333="","",INDEX(高値!$E333:$CZ333,1,$BM333+1))</f>
        <v/>
      </c>
      <c r="BP333" s="503" t="str">
        <f>IF($BN333="","",INDEX(高値!$E333:$CZ333,1,$BN333+1))</f>
        <v/>
      </c>
      <c r="BQ333" s="503" t="str">
        <f>IF($BN333="","",MIN(INDEX(安値!$E333:$CZ333,1,$BM333+1):INDEX(安値!$E333:$CZ333,1,$BN333+1)))</f>
        <v/>
      </c>
      <c r="BR333" s="503" t="str">
        <f>IF($BN333="","",AVERAGE(INDEX(終値!$E333:$CZ333,1,$BN333+1):INDEX(終値!$E333:$CZ333,1,$BN333+20))+2*STDEVP(INDEX(終値!$E333:$CZ333,1,$BN333+1):INDEX(終値!$E333:$CZ333,1,$BN333+20)))</f>
        <v/>
      </c>
      <c r="BS333" s="503" t="str">
        <f>IF($BM333="","",AVERAGE(INDEX(終値!$E333:$CZ333,1,$BM333+1):INDEX(終値!$E333:$CZ333,1,$BM333+20))+2*STDEVP(INDEX(終値!$E333:$CZ333,1,$BM333+1):INDEX(終値!$E333:$CZ333,1,$BM333+20)))</f>
        <v/>
      </c>
      <c r="BT333" s="500"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3" t="str">
        <f>IF(終値!A334="","",IF(AND(安値!G334&lt;安値!F334,安値!G334&lt;安値!E334,安値!G334&lt;安値!H334,安値!G334&lt;安値!I334),2,""))</f>
        <v/>
      </c>
      <c r="C334" s="503" t="str">
        <f>IF(終値!A334="","",IF(AND(安値!H334&lt;安値!G334,安値!H334&lt;安値!F334,安値!H334&lt;安値!I334,安値!H334&lt;安値!J334),3,""))</f>
        <v/>
      </c>
      <c r="D334" s="503" t="str">
        <f>IF(終値!A334="","",IF(AND(安値!I334&lt;安値!H334,安値!I334&lt;安値!G334,安値!I334&lt;安値!J334,安値!I334&lt;安値!K334),4,""))</f>
        <v/>
      </c>
      <c r="E334" s="503" t="str">
        <f>IF(終値!A334="","",IF(AND(安値!J334&lt;安値!I334,安値!J334&lt;安値!H334,安値!J334&lt;安値!K334,安値!J334&lt;安値!L334),5,""))</f>
        <v/>
      </c>
      <c r="F334" s="503" t="str">
        <f>IF(終値!A334="","",IF(AND(安値!K334&lt;安値!J334,安値!K334&lt;安値!I334,安値!K334&lt;安値!L334,安値!K334&lt;安値!M334),6,""))</f>
        <v/>
      </c>
      <c r="G334" s="503" t="str">
        <f>IF(終値!A334="","",IF(AND(安値!L334&lt;安値!K334,安値!L334&lt;安値!J334,安値!L334&lt;安値!M334,安値!L334&lt;安値!N334),7,""))</f>
        <v/>
      </c>
      <c r="H334" s="503" t="str">
        <f>IF(終値!A334="","",IF(AND(安値!M334&lt;安値!L334,安値!M334&lt;安値!K334,安値!M334&lt;安値!N334,安値!M334&lt;安値!O334),8,""))</f>
        <v/>
      </c>
      <c r="I334" s="503" t="str">
        <f>IF(終値!A334="","",IF(AND(安値!N334&lt;安値!M334,安値!N334&lt;安値!L334,安値!N334&lt;安値!O334,安値!N334&lt;安値!P334),9,""))</f>
        <v/>
      </c>
      <c r="J334" s="503" t="str">
        <f>IF(終値!A334="","",IF(AND(安値!O334&lt;安値!N334,安値!O334&lt;安値!M334,安値!O334&lt;安値!P334,安値!O334&lt;安値!Q334),10,""))</f>
        <v/>
      </c>
      <c r="K334" s="503" t="str">
        <f>IF(終値!A334="","",IF(AND(安値!P334&lt;安値!O334,安値!P334&lt;安値!N334,安値!P334&lt;安値!Q334,安値!P334&lt;安値!R334),11,""))</f>
        <v/>
      </c>
      <c r="L334" s="503" t="str">
        <f>IF(終値!A334="","",IF(AND(安値!Q334&lt;安値!P334,安値!Q334&lt;安値!O334,安値!Q334&lt;安値!R334,安値!Q334&lt;安値!S334),12,""))</f>
        <v/>
      </c>
      <c r="M334" s="503" t="str">
        <f>IF(終値!A334="","",IF(AND(安値!R334&lt;安値!Q334,安値!R334&lt;安値!P334,安値!R334&lt;安値!S334,安値!R334&lt;安値!T334),13,""))</f>
        <v/>
      </c>
      <c r="N334" s="503" t="str">
        <f>IF(終値!A334="","",IF(AND(安値!S334&lt;安値!R334,安値!S334&lt;安値!Q334,安値!S334&lt;安値!T334,安値!S334&lt;安値!U334),14,""))</f>
        <v/>
      </c>
      <c r="O334" s="503" t="str">
        <f>IF(終値!A334="","",IF(AND(安値!T334&lt;安値!S334,安値!T334&lt;安値!R334,安値!T334&lt;安値!U334,安値!T334&lt;安値!V334),15,""))</f>
        <v/>
      </c>
      <c r="P334" s="503" t="str">
        <f>IF(終値!A334="","",IF(AND(安値!U334&lt;安値!T334,安値!U334&lt;安値!S334,安値!U334&lt;安値!V334,安値!U334&lt;安値!W334),16,""))</f>
        <v/>
      </c>
      <c r="Q334" s="503" t="str">
        <f>IF(終値!A334="","",IF(AND(安値!V334&lt;安値!U334,安値!V334&lt;安値!T334,安値!V334&lt;安値!W334,安値!V334&lt;安値!X334),17,""))</f>
        <v/>
      </c>
      <c r="R334" s="503" t="str">
        <f>IF(終値!A334="","",IF(AND(安値!W334&lt;安値!V334,安値!W334&lt;安値!U334,安値!W334&lt;安値!X334,安値!W334&lt;安値!Y334),18,""))</f>
        <v/>
      </c>
      <c r="S334" s="503" t="str">
        <f>IF(終値!A334="","",IF(AND(安値!X334&lt;安値!W334,安値!X334&lt;安値!V334,安値!X334&lt;安値!Y334,安値!X334&lt;安値!Z334),19,""))</f>
        <v/>
      </c>
      <c r="T334" s="503" t="str">
        <f>IF(終値!A334="","",IF(AND(安値!Y334&lt;安値!X334,安値!Y334&lt;安値!W334,安値!Y334&lt;安値!Z334,安値!Y334&lt;安値!AA334),20,""))</f>
        <v/>
      </c>
      <c r="U334" s="503" t="str">
        <f>IF(終値!A334="","",IF(AND(安値!Z334&lt;安値!Y334,安値!Z334&lt;安値!X334,安値!Z334&lt;安値!AA334,安値!Z334&lt;安値!AB334),21,""))</f>
        <v/>
      </c>
      <c r="V334" s="503" t="str">
        <f>IF(終値!A334="","",IF(AND(安値!AA334&lt;安値!Z334,安値!AA334&lt;安値!Y334,安値!AA334&lt;安値!AB334,安値!AA334&lt;安値!AC334),22,""))</f>
        <v/>
      </c>
      <c r="W334" s="503" t="str">
        <f>IF(終値!A334="","",IF(AND(安値!AB334&lt;安値!AA334,安値!AB334&lt;安値!Z334,安値!AB334&lt;安値!AC334,安値!AB334&lt;安値!AD334),23,""))</f>
        <v/>
      </c>
      <c r="X334" s="503" t="str">
        <f>IF(終値!A334="","",IF(AND(安値!AC334&lt;安値!AB334,安値!AC334&lt;安値!AA334,安値!AC334&lt;安値!AD334,安値!AC334&lt;安値!AE334),24,""))</f>
        <v/>
      </c>
      <c r="Y334" s="503" t="str">
        <f>IF(終値!A334="","",IF(AND(安値!AD334&lt;安値!AC334,安値!AD334&lt;安値!AB334,安値!AD334&lt;安値!AE334,安値!AD334&lt;安値!AF334),25,""))</f>
        <v/>
      </c>
      <c r="Z334" s="503" t="str">
        <f>IF(終値!A334="","",IF(AND(安値!AE334&lt;安値!AD334,安値!AE334&lt;安値!AC334,安値!AE334&lt;安値!AF334,安値!AE334&lt;安値!AG334),26,""))</f>
        <v/>
      </c>
      <c r="AA334" s="503" t="str">
        <f>IF(終値!A334="","",IF(AND(安値!AF334&lt;安値!AE334,安値!AF334&lt;安値!AD334,安値!AF334&lt;安値!AG334,安値!AF334&lt;安値!AH334),27,""))</f>
        <v/>
      </c>
      <c r="AB334" s="503" t="str">
        <f>IF(終値!A334="","",IF(AND(安値!AG334&lt;安値!AF334,安値!AG334&lt;安値!AE334,安値!AG334&lt;安値!AH334,安値!AG334&lt;安値!AI334),28,""))</f>
        <v/>
      </c>
      <c r="AC334" s="503" t="str">
        <f>IF(終値!A334="","",IF(AND(高値!G334&gt;高値!F334,高値!G334&gt;高値!E334,高値!G334&gt;高値!H334,高値!G334&gt;高値!I334),2,""))</f>
        <v/>
      </c>
      <c r="AD334" s="503" t="str">
        <f>IF(終値!A334="","",IF(AND(高値!H334&gt;高値!G334,高値!H334&gt;高値!F334,高値!H334&gt;高値!I334,高値!H334&gt;高値!J334),3,""))</f>
        <v/>
      </c>
      <c r="AE334" s="503" t="str">
        <f>IF(終値!A334="","",IF(AND(高値!I334&gt;高値!H334,高値!I334&gt;高値!G334,高値!I334&gt;高値!J334,高値!I334&gt;高値!K334),4,""))</f>
        <v/>
      </c>
      <c r="AF334" s="503" t="str">
        <f>IF(終値!A334="","",IF(AND(高値!J334&gt;高値!I334,高値!J334&gt;高値!H334,高値!J334&gt;高値!K334,高値!J334&gt;高値!L334),5,""))</f>
        <v/>
      </c>
      <c r="AG334" s="503" t="str">
        <f>IF(終値!A334="","",IF(AND(高値!K334&gt;高値!J334,高値!K334&gt;高値!I334,高値!K334&gt;高値!L334,高値!K334&gt;高値!M334),6,""))</f>
        <v/>
      </c>
      <c r="AH334" s="503" t="str">
        <f>IF(終値!A334="","",IF(AND(高値!L334&gt;高値!K334,高値!L334&gt;高値!J334,高値!L334&gt;高値!M334,高値!L334&gt;高値!N334),7,""))</f>
        <v/>
      </c>
      <c r="AI334" s="503" t="str">
        <f>IF(終値!A334="","",IF(AND(高値!M334&gt;高値!L334,高値!M334&gt;高値!K334,高値!M334&gt;高値!N334,高値!M334&gt;高値!O334),8,""))</f>
        <v/>
      </c>
      <c r="AJ334" s="503" t="str">
        <f>IF(終値!A334="","",IF(AND(高値!N334&gt;高値!M334,高値!N334&gt;高値!L334,高値!N334&gt;高値!O334,高値!N334&gt;高値!P334),9,""))</f>
        <v/>
      </c>
      <c r="AK334" s="503" t="str">
        <f>IF(終値!A334="","",IF(AND(高値!O334&gt;高値!N334,高値!O334&gt;高値!M334,高値!O334&gt;高値!P334,高値!O334&gt;高値!Q334),10,""))</f>
        <v/>
      </c>
      <c r="AL334" s="503" t="str">
        <f>IF(終値!A334="","",IF(AND(高値!P334&gt;高値!O334,高値!P334&gt;高値!N334,高値!P334&gt;高値!Q334,高値!P334&gt;高値!R334),11,""))</f>
        <v/>
      </c>
      <c r="AM334" s="503" t="str">
        <f>IF(終値!A334="","",IF(AND(高値!Q334&gt;高値!P334,高値!Q334&gt;高値!O334,高値!Q334&gt;高値!R334,高値!Q334&gt;高値!S334),12,""))</f>
        <v/>
      </c>
      <c r="AN334" s="503" t="str">
        <f>IF(終値!A334="","",IF(AND(高値!R334&gt;高値!Q334,高値!R334&gt;高値!P334,高値!R334&gt;高値!S334,高値!R334&gt;高値!T334),13,""))</f>
        <v/>
      </c>
      <c r="AO334" s="503" t="str">
        <f>IF(終値!A334="","",IF(AND(高値!S334&gt;高値!R334,高値!S334&gt;高値!Q334,高値!S334&gt;高値!T334,高値!S334&gt;高値!U334),14,""))</f>
        <v/>
      </c>
      <c r="AP334" s="503" t="str">
        <f>IF(終値!A334="","",IF(AND(高値!T334&gt;高値!S334,高値!T334&gt;高値!R334,高値!T334&gt;高値!U334,高値!T334&gt;高値!V334),15,""))</f>
        <v/>
      </c>
      <c r="AQ334" s="503" t="str">
        <f>IF(終値!A334="","",IF(AND(高値!U334&gt;高値!T334,高値!U334&gt;高値!S334,高値!U334&gt;高値!V334,高値!U334&gt;高値!W334),16,""))</f>
        <v/>
      </c>
      <c r="AR334" s="503" t="str">
        <f>IF(終値!A334="","",IF(AND(高値!V334&gt;高値!U334,高値!V334&gt;高値!T334,高値!V334&gt;高値!W334,高値!V334&gt;高値!X334),17,""))</f>
        <v/>
      </c>
      <c r="AS334" s="503" t="str">
        <f>IF(終値!A334="","",IF(AND(高値!W334&gt;高値!V334,高値!W334&gt;高値!U334,高値!W334&gt;高値!X334,高値!W334&gt;高値!Y334),18,""))</f>
        <v/>
      </c>
      <c r="AT334" s="503" t="str">
        <f>IF(終値!A334="","",IF(AND(高値!X334&gt;高値!W334,高値!X334&gt;高値!V334,高値!X334&gt;高値!Y334,高値!X334&gt;高値!Z334),19,""))</f>
        <v/>
      </c>
      <c r="AU334" s="503" t="str">
        <f>IF(終値!A334="","",IF(AND(高値!Y334&gt;高値!X334,高値!Y334&gt;高値!W334,高値!Y334&gt;高値!Z334,高値!Y334&gt;高値!AA334),20,""))</f>
        <v/>
      </c>
      <c r="AV334" s="503" t="str">
        <f>IF(終値!A334="","",IF(AND(高値!Z334&gt;高値!Y334,高値!Z334&gt;高値!X334,高値!Z334&gt;高値!AA334,高値!Z334&gt;高値!AB334),21,""))</f>
        <v/>
      </c>
      <c r="AW334" s="503" t="str">
        <f>IF(終値!A334="","",IF(AND(高値!AA334&gt;高値!Z334,高値!AA334&gt;高値!Y334,高値!AA334&gt;高値!AB334,高値!AA334&gt;高値!AC334),22,""))</f>
        <v/>
      </c>
      <c r="AX334" s="503" t="str">
        <f>IF(終値!A334="","",IF(AND(高値!AB334&gt;高値!AA334,高値!AB334&gt;高値!Z334,高値!AB334&gt;高値!AC334,高値!AB334&gt;高値!AD334),23,""))</f>
        <v/>
      </c>
      <c r="AY334" s="503" t="str">
        <f>IF(終値!A334="","",IF(AND(高値!AC334&gt;高値!AB334,高値!AC334&gt;高値!AA334,高値!AC334&gt;高値!AD334,高値!AC334&gt;高値!AE334),24,""))</f>
        <v/>
      </c>
      <c r="AZ334" s="503" t="str">
        <f>IF(終値!A334="","",IF(AND(高値!AD334&gt;高値!AC334,高値!AD334&gt;高値!AB334,高値!AD334&gt;高値!AE334,高値!AD334&gt;高値!AF334),25,""))</f>
        <v/>
      </c>
      <c r="BA334" s="503" t="str">
        <f>IF(終値!A334="","",IF(AND(高値!AE334&gt;高値!AD334,高値!AE334&gt;高値!AC334,高値!AE334&gt;高値!AF334,高値!AE334&gt;高値!AG334),26,""))</f>
        <v/>
      </c>
      <c r="BB334" s="503" t="str">
        <f>IF(終値!A334="","",IF(AND(高値!AF334&gt;高値!AE334,高値!AF334&gt;高値!AD334,高値!AF334&gt;高値!AG334,高値!AF334&gt;高値!AH334),27,""))</f>
        <v/>
      </c>
      <c r="BC334" s="503" t="str">
        <f>IF(終値!A334="","",IF(AND(高値!AG334&gt;高値!AF334,高値!AG334&gt;高値!AE334,高値!AG334&gt;高値!AH334,高値!AG334&gt;高値!AI334),28,""))</f>
        <v/>
      </c>
      <c r="BD334" s="503">
        <f t="shared" si="30"/>
        <v>0</v>
      </c>
      <c r="BE334" s="503" t="str">
        <f t="shared" si="31"/>
        <v/>
      </c>
      <c r="BF334" s="503" t="str">
        <f t="shared" si="32"/>
        <v/>
      </c>
      <c r="BG334" s="503" t="str">
        <f>IF($BE334="","",INDEX(安値!$E334:$CZ334,1,$BE334+1))</f>
        <v/>
      </c>
      <c r="BH334" s="503" t="str">
        <f>IF($BF334="","",INDEX(安値!$E334:$CZ334,1,$BF334+1))</f>
        <v/>
      </c>
      <c r="BI334" s="503" t="str">
        <f>IF($BF334="","",MAX(INDEX(高値!$E334:$CZ334,1,$BE334+1):INDEX(高値!$E334:$CZ334,1,$BF334+1)))</f>
        <v/>
      </c>
      <c r="BJ334" s="503" t="str">
        <f>IF($BF334="","",AVERAGE(INDEX(終値!$E334:$CZ334,1,$BF334+1):INDEX(終値!$E334:$CZ334,1,$BF334+20))-2*STDEVP(INDEX(終値!$E334:$CZ334,1,$BF334+1):INDEX(終値!$E334:$CZ334,1,$BF334+20)))</f>
        <v/>
      </c>
      <c r="BK334" s="503" t="str">
        <f>IF($BE334="","",AVERAGE(INDEX(終値!$E334:$CZ334,1,$BE334+1):INDEX(終値!$E334:$CZ334,1,$BE334+20))-2*STDEVP(INDEX(終値!$E334:$CZ334,1,$BE334+1):INDEX(終値!$E334:$CZ334,1,$BE334+20)))</f>
        <v/>
      </c>
      <c r="BL334" s="503">
        <f t="shared" si="33"/>
        <v>0</v>
      </c>
      <c r="BM334" s="503" t="str">
        <f t="shared" si="34"/>
        <v/>
      </c>
      <c r="BN334" s="503" t="str">
        <f t="shared" si="35"/>
        <v/>
      </c>
      <c r="BO334" s="503" t="str">
        <f>IF($BM334="","",INDEX(高値!$E334:$CZ334,1,$BM334+1))</f>
        <v/>
      </c>
      <c r="BP334" s="503" t="str">
        <f>IF($BN334="","",INDEX(高値!$E334:$CZ334,1,$BN334+1))</f>
        <v/>
      </c>
      <c r="BQ334" s="503" t="str">
        <f>IF($BN334="","",MIN(INDEX(安値!$E334:$CZ334,1,$BM334+1):INDEX(安値!$E334:$CZ334,1,$BN334+1)))</f>
        <v/>
      </c>
      <c r="BR334" s="503" t="str">
        <f>IF($BN334="","",AVERAGE(INDEX(終値!$E334:$CZ334,1,$BN334+1):INDEX(終値!$E334:$CZ334,1,$BN334+20))+2*STDEVP(INDEX(終値!$E334:$CZ334,1,$BN334+1):INDEX(終値!$E334:$CZ334,1,$BN334+20)))</f>
        <v/>
      </c>
      <c r="BS334" s="503" t="str">
        <f>IF($BM334="","",AVERAGE(INDEX(終値!$E334:$CZ334,1,$BM334+1):INDEX(終値!$E334:$CZ334,1,$BM334+20))+2*STDEVP(INDEX(終値!$E334:$CZ334,1,$BM334+1):INDEX(終値!$E334:$CZ334,1,$BM334+20)))</f>
        <v/>
      </c>
      <c r="BT334" s="500"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3" t="str">
        <f>IF(終値!A335="","",IF(AND(安値!G335&lt;安値!F335,安値!G335&lt;安値!E335,安値!G335&lt;安値!H335,安値!G335&lt;安値!I335),2,""))</f>
        <v/>
      </c>
      <c r="C335" s="503" t="str">
        <f>IF(終値!A335="","",IF(AND(安値!H335&lt;安値!G335,安値!H335&lt;安値!F335,安値!H335&lt;安値!I335,安値!H335&lt;安値!J335),3,""))</f>
        <v/>
      </c>
      <c r="D335" s="503" t="str">
        <f>IF(終値!A335="","",IF(AND(安値!I335&lt;安値!H335,安値!I335&lt;安値!G335,安値!I335&lt;安値!J335,安値!I335&lt;安値!K335),4,""))</f>
        <v/>
      </c>
      <c r="E335" s="503" t="str">
        <f>IF(終値!A335="","",IF(AND(安値!J335&lt;安値!I335,安値!J335&lt;安値!H335,安値!J335&lt;安値!K335,安値!J335&lt;安値!L335),5,""))</f>
        <v/>
      </c>
      <c r="F335" s="503" t="str">
        <f>IF(終値!A335="","",IF(AND(安値!K335&lt;安値!J335,安値!K335&lt;安値!I335,安値!K335&lt;安値!L335,安値!K335&lt;安値!M335),6,""))</f>
        <v/>
      </c>
      <c r="G335" s="503" t="str">
        <f>IF(終値!A335="","",IF(AND(安値!L335&lt;安値!K335,安値!L335&lt;安値!J335,安値!L335&lt;安値!M335,安値!L335&lt;安値!N335),7,""))</f>
        <v/>
      </c>
      <c r="H335" s="503" t="str">
        <f>IF(終値!A335="","",IF(AND(安値!M335&lt;安値!L335,安値!M335&lt;安値!K335,安値!M335&lt;安値!N335,安値!M335&lt;安値!O335),8,""))</f>
        <v/>
      </c>
      <c r="I335" s="503" t="str">
        <f>IF(終値!A335="","",IF(AND(安値!N335&lt;安値!M335,安値!N335&lt;安値!L335,安値!N335&lt;安値!O335,安値!N335&lt;安値!P335),9,""))</f>
        <v/>
      </c>
      <c r="J335" s="503" t="str">
        <f>IF(終値!A335="","",IF(AND(安値!O335&lt;安値!N335,安値!O335&lt;安値!M335,安値!O335&lt;安値!P335,安値!O335&lt;安値!Q335),10,""))</f>
        <v/>
      </c>
      <c r="K335" s="503" t="str">
        <f>IF(終値!A335="","",IF(AND(安値!P335&lt;安値!O335,安値!P335&lt;安値!N335,安値!P335&lt;安値!Q335,安値!P335&lt;安値!R335),11,""))</f>
        <v/>
      </c>
      <c r="L335" s="503" t="str">
        <f>IF(終値!A335="","",IF(AND(安値!Q335&lt;安値!P335,安値!Q335&lt;安値!O335,安値!Q335&lt;安値!R335,安値!Q335&lt;安値!S335),12,""))</f>
        <v/>
      </c>
      <c r="M335" s="503" t="str">
        <f>IF(終値!A335="","",IF(AND(安値!R335&lt;安値!Q335,安値!R335&lt;安値!P335,安値!R335&lt;安値!S335,安値!R335&lt;安値!T335),13,""))</f>
        <v/>
      </c>
      <c r="N335" s="503" t="str">
        <f>IF(終値!A335="","",IF(AND(安値!S335&lt;安値!R335,安値!S335&lt;安値!Q335,安値!S335&lt;安値!T335,安値!S335&lt;安値!U335),14,""))</f>
        <v/>
      </c>
      <c r="O335" s="503" t="str">
        <f>IF(終値!A335="","",IF(AND(安値!T335&lt;安値!S335,安値!T335&lt;安値!R335,安値!T335&lt;安値!U335,安値!T335&lt;安値!V335),15,""))</f>
        <v/>
      </c>
      <c r="P335" s="503" t="str">
        <f>IF(終値!A335="","",IF(AND(安値!U335&lt;安値!T335,安値!U335&lt;安値!S335,安値!U335&lt;安値!V335,安値!U335&lt;安値!W335),16,""))</f>
        <v/>
      </c>
      <c r="Q335" s="503" t="str">
        <f>IF(終値!A335="","",IF(AND(安値!V335&lt;安値!U335,安値!V335&lt;安値!T335,安値!V335&lt;安値!W335,安値!V335&lt;安値!X335),17,""))</f>
        <v/>
      </c>
      <c r="R335" s="503" t="str">
        <f>IF(終値!A335="","",IF(AND(安値!W335&lt;安値!V335,安値!W335&lt;安値!U335,安値!W335&lt;安値!X335,安値!W335&lt;安値!Y335),18,""))</f>
        <v/>
      </c>
      <c r="S335" s="503" t="str">
        <f>IF(終値!A335="","",IF(AND(安値!X335&lt;安値!W335,安値!X335&lt;安値!V335,安値!X335&lt;安値!Y335,安値!X335&lt;安値!Z335),19,""))</f>
        <v/>
      </c>
      <c r="T335" s="503" t="str">
        <f>IF(終値!A335="","",IF(AND(安値!Y335&lt;安値!X335,安値!Y335&lt;安値!W335,安値!Y335&lt;安値!Z335,安値!Y335&lt;安値!AA335),20,""))</f>
        <v/>
      </c>
      <c r="U335" s="503" t="str">
        <f>IF(終値!A335="","",IF(AND(安値!Z335&lt;安値!Y335,安値!Z335&lt;安値!X335,安値!Z335&lt;安値!AA335,安値!Z335&lt;安値!AB335),21,""))</f>
        <v/>
      </c>
      <c r="V335" s="503" t="str">
        <f>IF(終値!A335="","",IF(AND(安値!AA335&lt;安値!Z335,安値!AA335&lt;安値!Y335,安値!AA335&lt;安値!AB335,安値!AA335&lt;安値!AC335),22,""))</f>
        <v/>
      </c>
      <c r="W335" s="503" t="str">
        <f>IF(終値!A335="","",IF(AND(安値!AB335&lt;安値!AA335,安値!AB335&lt;安値!Z335,安値!AB335&lt;安値!AC335,安値!AB335&lt;安値!AD335),23,""))</f>
        <v/>
      </c>
      <c r="X335" s="503" t="str">
        <f>IF(終値!A335="","",IF(AND(安値!AC335&lt;安値!AB335,安値!AC335&lt;安値!AA335,安値!AC335&lt;安値!AD335,安値!AC335&lt;安値!AE335),24,""))</f>
        <v/>
      </c>
      <c r="Y335" s="503" t="str">
        <f>IF(終値!A335="","",IF(AND(安値!AD335&lt;安値!AC335,安値!AD335&lt;安値!AB335,安値!AD335&lt;安値!AE335,安値!AD335&lt;安値!AF335),25,""))</f>
        <v/>
      </c>
      <c r="Z335" s="503" t="str">
        <f>IF(終値!A335="","",IF(AND(安値!AE335&lt;安値!AD335,安値!AE335&lt;安値!AC335,安値!AE335&lt;安値!AF335,安値!AE335&lt;安値!AG335),26,""))</f>
        <v/>
      </c>
      <c r="AA335" s="503" t="str">
        <f>IF(終値!A335="","",IF(AND(安値!AF335&lt;安値!AE335,安値!AF335&lt;安値!AD335,安値!AF335&lt;安値!AG335,安値!AF335&lt;安値!AH335),27,""))</f>
        <v/>
      </c>
      <c r="AB335" s="503" t="str">
        <f>IF(終値!A335="","",IF(AND(安値!AG335&lt;安値!AF335,安値!AG335&lt;安値!AE335,安値!AG335&lt;安値!AH335,安値!AG335&lt;安値!AI335),28,""))</f>
        <v/>
      </c>
      <c r="AC335" s="503" t="str">
        <f>IF(終値!A335="","",IF(AND(高値!G335&gt;高値!F335,高値!G335&gt;高値!E335,高値!G335&gt;高値!H335,高値!G335&gt;高値!I335),2,""))</f>
        <v/>
      </c>
      <c r="AD335" s="503" t="str">
        <f>IF(終値!A335="","",IF(AND(高値!H335&gt;高値!G335,高値!H335&gt;高値!F335,高値!H335&gt;高値!I335,高値!H335&gt;高値!J335),3,""))</f>
        <v/>
      </c>
      <c r="AE335" s="503" t="str">
        <f>IF(終値!A335="","",IF(AND(高値!I335&gt;高値!H335,高値!I335&gt;高値!G335,高値!I335&gt;高値!J335,高値!I335&gt;高値!K335),4,""))</f>
        <v/>
      </c>
      <c r="AF335" s="503" t="str">
        <f>IF(終値!A335="","",IF(AND(高値!J335&gt;高値!I335,高値!J335&gt;高値!H335,高値!J335&gt;高値!K335,高値!J335&gt;高値!L335),5,""))</f>
        <v/>
      </c>
      <c r="AG335" s="503" t="str">
        <f>IF(終値!A335="","",IF(AND(高値!K335&gt;高値!J335,高値!K335&gt;高値!I335,高値!K335&gt;高値!L335,高値!K335&gt;高値!M335),6,""))</f>
        <v/>
      </c>
      <c r="AH335" s="503" t="str">
        <f>IF(終値!A335="","",IF(AND(高値!L335&gt;高値!K335,高値!L335&gt;高値!J335,高値!L335&gt;高値!M335,高値!L335&gt;高値!N335),7,""))</f>
        <v/>
      </c>
      <c r="AI335" s="503" t="str">
        <f>IF(終値!A335="","",IF(AND(高値!M335&gt;高値!L335,高値!M335&gt;高値!K335,高値!M335&gt;高値!N335,高値!M335&gt;高値!O335),8,""))</f>
        <v/>
      </c>
      <c r="AJ335" s="503" t="str">
        <f>IF(終値!A335="","",IF(AND(高値!N335&gt;高値!M335,高値!N335&gt;高値!L335,高値!N335&gt;高値!O335,高値!N335&gt;高値!P335),9,""))</f>
        <v/>
      </c>
      <c r="AK335" s="503" t="str">
        <f>IF(終値!A335="","",IF(AND(高値!O335&gt;高値!N335,高値!O335&gt;高値!M335,高値!O335&gt;高値!P335,高値!O335&gt;高値!Q335),10,""))</f>
        <v/>
      </c>
      <c r="AL335" s="503" t="str">
        <f>IF(終値!A335="","",IF(AND(高値!P335&gt;高値!O335,高値!P335&gt;高値!N335,高値!P335&gt;高値!Q335,高値!P335&gt;高値!R335),11,""))</f>
        <v/>
      </c>
      <c r="AM335" s="503" t="str">
        <f>IF(終値!A335="","",IF(AND(高値!Q335&gt;高値!P335,高値!Q335&gt;高値!O335,高値!Q335&gt;高値!R335,高値!Q335&gt;高値!S335),12,""))</f>
        <v/>
      </c>
      <c r="AN335" s="503" t="str">
        <f>IF(終値!A335="","",IF(AND(高値!R335&gt;高値!Q335,高値!R335&gt;高値!P335,高値!R335&gt;高値!S335,高値!R335&gt;高値!T335),13,""))</f>
        <v/>
      </c>
      <c r="AO335" s="503" t="str">
        <f>IF(終値!A335="","",IF(AND(高値!S335&gt;高値!R335,高値!S335&gt;高値!Q335,高値!S335&gt;高値!T335,高値!S335&gt;高値!U335),14,""))</f>
        <v/>
      </c>
      <c r="AP335" s="503" t="str">
        <f>IF(終値!A335="","",IF(AND(高値!T335&gt;高値!S335,高値!T335&gt;高値!R335,高値!T335&gt;高値!U335,高値!T335&gt;高値!V335),15,""))</f>
        <v/>
      </c>
      <c r="AQ335" s="503" t="str">
        <f>IF(終値!A335="","",IF(AND(高値!U335&gt;高値!T335,高値!U335&gt;高値!S335,高値!U335&gt;高値!V335,高値!U335&gt;高値!W335),16,""))</f>
        <v/>
      </c>
      <c r="AR335" s="503" t="str">
        <f>IF(終値!A335="","",IF(AND(高値!V335&gt;高値!U335,高値!V335&gt;高値!T335,高値!V335&gt;高値!W335,高値!V335&gt;高値!X335),17,""))</f>
        <v/>
      </c>
      <c r="AS335" s="503" t="str">
        <f>IF(終値!A335="","",IF(AND(高値!W335&gt;高値!V335,高値!W335&gt;高値!U335,高値!W335&gt;高値!X335,高値!W335&gt;高値!Y335),18,""))</f>
        <v/>
      </c>
      <c r="AT335" s="503" t="str">
        <f>IF(終値!A335="","",IF(AND(高値!X335&gt;高値!W335,高値!X335&gt;高値!V335,高値!X335&gt;高値!Y335,高値!X335&gt;高値!Z335),19,""))</f>
        <v/>
      </c>
      <c r="AU335" s="503" t="str">
        <f>IF(終値!A335="","",IF(AND(高値!Y335&gt;高値!X335,高値!Y335&gt;高値!W335,高値!Y335&gt;高値!Z335,高値!Y335&gt;高値!AA335),20,""))</f>
        <v/>
      </c>
      <c r="AV335" s="503" t="str">
        <f>IF(終値!A335="","",IF(AND(高値!Z335&gt;高値!Y335,高値!Z335&gt;高値!X335,高値!Z335&gt;高値!AA335,高値!Z335&gt;高値!AB335),21,""))</f>
        <v/>
      </c>
      <c r="AW335" s="503" t="str">
        <f>IF(終値!A335="","",IF(AND(高値!AA335&gt;高値!Z335,高値!AA335&gt;高値!Y335,高値!AA335&gt;高値!AB335,高値!AA335&gt;高値!AC335),22,""))</f>
        <v/>
      </c>
      <c r="AX335" s="503" t="str">
        <f>IF(終値!A335="","",IF(AND(高値!AB335&gt;高値!AA335,高値!AB335&gt;高値!Z335,高値!AB335&gt;高値!AC335,高値!AB335&gt;高値!AD335),23,""))</f>
        <v/>
      </c>
      <c r="AY335" s="503" t="str">
        <f>IF(終値!A335="","",IF(AND(高値!AC335&gt;高値!AB335,高値!AC335&gt;高値!AA335,高値!AC335&gt;高値!AD335,高値!AC335&gt;高値!AE335),24,""))</f>
        <v/>
      </c>
      <c r="AZ335" s="503" t="str">
        <f>IF(終値!A335="","",IF(AND(高値!AD335&gt;高値!AC335,高値!AD335&gt;高値!AB335,高値!AD335&gt;高値!AE335,高値!AD335&gt;高値!AF335),25,""))</f>
        <v/>
      </c>
      <c r="BA335" s="503" t="str">
        <f>IF(終値!A335="","",IF(AND(高値!AE335&gt;高値!AD335,高値!AE335&gt;高値!AC335,高値!AE335&gt;高値!AF335,高値!AE335&gt;高値!AG335),26,""))</f>
        <v/>
      </c>
      <c r="BB335" s="503" t="str">
        <f>IF(終値!A335="","",IF(AND(高値!AF335&gt;高値!AE335,高値!AF335&gt;高値!AD335,高値!AF335&gt;高値!AG335,高値!AF335&gt;高値!AH335),27,""))</f>
        <v/>
      </c>
      <c r="BC335" s="503" t="str">
        <f>IF(終値!A335="","",IF(AND(高値!AG335&gt;高値!AF335,高値!AG335&gt;高値!AE335,高値!AG335&gt;高値!AH335,高値!AG335&gt;高値!AI335),28,""))</f>
        <v/>
      </c>
      <c r="BD335" s="503">
        <f t="shared" si="30"/>
        <v>0</v>
      </c>
      <c r="BE335" s="503" t="str">
        <f t="shared" si="31"/>
        <v/>
      </c>
      <c r="BF335" s="503" t="str">
        <f t="shared" si="32"/>
        <v/>
      </c>
      <c r="BG335" s="503" t="str">
        <f>IF($BE335="","",INDEX(安値!$E335:$CZ335,1,$BE335+1))</f>
        <v/>
      </c>
      <c r="BH335" s="503" t="str">
        <f>IF($BF335="","",INDEX(安値!$E335:$CZ335,1,$BF335+1))</f>
        <v/>
      </c>
      <c r="BI335" s="503" t="str">
        <f>IF($BF335="","",MAX(INDEX(高値!$E335:$CZ335,1,$BE335+1):INDEX(高値!$E335:$CZ335,1,$BF335+1)))</f>
        <v/>
      </c>
      <c r="BJ335" s="503" t="str">
        <f>IF($BF335="","",AVERAGE(INDEX(終値!$E335:$CZ335,1,$BF335+1):INDEX(終値!$E335:$CZ335,1,$BF335+20))-2*STDEVP(INDEX(終値!$E335:$CZ335,1,$BF335+1):INDEX(終値!$E335:$CZ335,1,$BF335+20)))</f>
        <v/>
      </c>
      <c r="BK335" s="503" t="str">
        <f>IF($BE335="","",AVERAGE(INDEX(終値!$E335:$CZ335,1,$BE335+1):INDEX(終値!$E335:$CZ335,1,$BE335+20))-2*STDEVP(INDEX(終値!$E335:$CZ335,1,$BE335+1):INDEX(終値!$E335:$CZ335,1,$BE335+20)))</f>
        <v/>
      </c>
      <c r="BL335" s="503">
        <f t="shared" si="33"/>
        <v>0</v>
      </c>
      <c r="BM335" s="503" t="str">
        <f t="shared" si="34"/>
        <v/>
      </c>
      <c r="BN335" s="503" t="str">
        <f t="shared" si="35"/>
        <v/>
      </c>
      <c r="BO335" s="503" t="str">
        <f>IF($BM335="","",INDEX(高値!$E335:$CZ335,1,$BM335+1))</f>
        <v/>
      </c>
      <c r="BP335" s="503" t="str">
        <f>IF($BN335="","",INDEX(高値!$E335:$CZ335,1,$BN335+1))</f>
        <v/>
      </c>
      <c r="BQ335" s="503" t="str">
        <f>IF($BN335="","",MIN(INDEX(安値!$E335:$CZ335,1,$BM335+1):INDEX(安値!$E335:$CZ335,1,$BN335+1)))</f>
        <v/>
      </c>
      <c r="BR335" s="503" t="str">
        <f>IF($BN335="","",AVERAGE(INDEX(終値!$E335:$CZ335,1,$BN335+1):INDEX(終値!$E335:$CZ335,1,$BN335+20))+2*STDEVP(INDEX(終値!$E335:$CZ335,1,$BN335+1):INDEX(終値!$E335:$CZ335,1,$BN335+20)))</f>
        <v/>
      </c>
      <c r="BS335" s="503" t="str">
        <f>IF($BM335="","",AVERAGE(INDEX(終値!$E335:$CZ335,1,$BM335+1):INDEX(終値!$E335:$CZ335,1,$BM335+20))+2*STDEVP(INDEX(終値!$E335:$CZ335,1,$BM335+1):INDEX(終値!$E335:$CZ335,1,$BM335+20)))</f>
        <v/>
      </c>
      <c r="BT335" s="500"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3" t="str">
        <f>IF(終値!A336="","",IF(AND(安値!G336&lt;安値!F336,安値!G336&lt;安値!E336,安値!G336&lt;安値!H336,安値!G336&lt;安値!I336),2,""))</f>
        <v/>
      </c>
      <c r="C336" s="503" t="str">
        <f>IF(終値!A336="","",IF(AND(安値!H336&lt;安値!G336,安値!H336&lt;安値!F336,安値!H336&lt;安値!I336,安値!H336&lt;安値!J336),3,""))</f>
        <v/>
      </c>
      <c r="D336" s="503" t="str">
        <f>IF(終値!A336="","",IF(AND(安値!I336&lt;安値!H336,安値!I336&lt;安値!G336,安値!I336&lt;安値!J336,安値!I336&lt;安値!K336),4,""))</f>
        <v/>
      </c>
      <c r="E336" s="503" t="str">
        <f>IF(終値!A336="","",IF(AND(安値!J336&lt;安値!I336,安値!J336&lt;安値!H336,安値!J336&lt;安値!K336,安値!J336&lt;安値!L336),5,""))</f>
        <v/>
      </c>
      <c r="F336" s="503" t="str">
        <f>IF(終値!A336="","",IF(AND(安値!K336&lt;安値!J336,安値!K336&lt;安値!I336,安値!K336&lt;安値!L336,安値!K336&lt;安値!M336),6,""))</f>
        <v/>
      </c>
      <c r="G336" s="503" t="str">
        <f>IF(終値!A336="","",IF(AND(安値!L336&lt;安値!K336,安値!L336&lt;安値!J336,安値!L336&lt;安値!M336,安値!L336&lt;安値!N336),7,""))</f>
        <v/>
      </c>
      <c r="H336" s="503" t="str">
        <f>IF(終値!A336="","",IF(AND(安値!M336&lt;安値!L336,安値!M336&lt;安値!K336,安値!M336&lt;安値!N336,安値!M336&lt;安値!O336),8,""))</f>
        <v/>
      </c>
      <c r="I336" s="503" t="str">
        <f>IF(終値!A336="","",IF(AND(安値!N336&lt;安値!M336,安値!N336&lt;安値!L336,安値!N336&lt;安値!O336,安値!N336&lt;安値!P336),9,""))</f>
        <v/>
      </c>
      <c r="J336" s="503" t="str">
        <f>IF(終値!A336="","",IF(AND(安値!O336&lt;安値!N336,安値!O336&lt;安値!M336,安値!O336&lt;安値!P336,安値!O336&lt;安値!Q336),10,""))</f>
        <v/>
      </c>
      <c r="K336" s="503" t="str">
        <f>IF(終値!A336="","",IF(AND(安値!P336&lt;安値!O336,安値!P336&lt;安値!N336,安値!P336&lt;安値!Q336,安値!P336&lt;安値!R336),11,""))</f>
        <v/>
      </c>
      <c r="L336" s="503" t="str">
        <f>IF(終値!A336="","",IF(AND(安値!Q336&lt;安値!P336,安値!Q336&lt;安値!O336,安値!Q336&lt;安値!R336,安値!Q336&lt;安値!S336),12,""))</f>
        <v/>
      </c>
      <c r="M336" s="503" t="str">
        <f>IF(終値!A336="","",IF(AND(安値!R336&lt;安値!Q336,安値!R336&lt;安値!P336,安値!R336&lt;安値!S336,安値!R336&lt;安値!T336),13,""))</f>
        <v/>
      </c>
      <c r="N336" s="503" t="str">
        <f>IF(終値!A336="","",IF(AND(安値!S336&lt;安値!R336,安値!S336&lt;安値!Q336,安値!S336&lt;安値!T336,安値!S336&lt;安値!U336),14,""))</f>
        <v/>
      </c>
      <c r="O336" s="503" t="str">
        <f>IF(終値!A336="","",IF(AND(安値!T336&lt;安値!S336,安値!T336&lt;安値!R336,安値!T336&lt;安値!U336,安値!T336&lt;安値!V336),15,""))</f>
        <v/>
      </c>
      <c r="P336" s="503" t="str">
        <f>IF(終値!A336="","",IF(AND(安値!U336&lt;安値!T336,安値!U336&lt;安値!S336,安値!U336&lt;安値!V336,安値!U336&lt;安値!W336),16,""))</f>
        <v/>
      </c>
      <c r="Q336" s="503" t="str">
        <f>IF(終値!A336="","",IF(AND(安値!V336&lt;安値!U336,安値!V336&lt;安値!T336,安値!V336&lt;安値!W336,安値!V336&lt;安値!X336),17,""))</f>
        <v/>
      </c>
      <c r="R336" s="503" t="str">
        <f>IF(終値!A336="","",IF(AND(安値!W336&lt;安値!V336,安値!W336&lt;安値!U336,安値!W336&lt;安値!X336,安値!W336&lt;安値!Y336),18,""))</f>
        <v/>
      </c>
      <c r="S336" s="503" t="str">
        <f>IF(終値!A336="","",IF(AND(安値!X336&lt;安値!W336,安値!X336&lt;安値!V336,安値!X336&lt;安値!Y336,安値!X336&lt;安値!Z336),19,""))</f>
        <v/>
      </c>
      <c r="T336" s="503" t="str">
        <f>IF(終値!A336="","",IF(AND(安値!Y336&lt;安値!X336,安値!Y336&lt;安値!W336,安値!Y336&lt;安値!Z336,安値!Y336&lt;安値!AA336),20,""))</f>
        <v/>
      </c>
      <c r="U336" s="503" t="str">
        <f>IF(終値!A336="","",IF(AND(安値!Z336&lt;安値!Y336,安値!Z336&lt;安値!X336,安値!Z336&lt;安値!AA336,安値!Z336&lt;安値!AB336),21,""))</f>
        <v/>
      </c>
      <c r="V336" s="503" t="str">
        <f>IF(終値!A336="","",IF(AND(安値!AA336&lt;安値!Z336,安値!AA336&lt;安値!Y336,安値!AA336&lt;安値!AB336,安値!AA336&lt;安値!AC336),22,""))</f>
        <v/>
      </c>
      <c r="W336" s="503" t="str">
        <f>IF(終値!A336="","",IF(AND(安値!AB336&lt;安値!AA336,安値!AB336&lt;安値!Z336,安値!AB336&lt;安値!AC336,安値!AB336&lt;安値!AD336),23,""))</f>
        <v/>
      </c>
      <c r="X336" s="503" t="str">
        <f>IF(終値!A336="","",IF(AND(安値!AC336&lt;安値!AB336,安値!AC336&lt;安値!AA336,安値!AC336&lt;安値!AD336,安値!AC336&lt;安値!AE336),24,""))</f>
        <v/>
      </c>
      <c r="Y336" s="503" t="str">
        <f>IF(終値!A336="","",IF(AND(安値!AD336&lt;安値!AC336,安値!AD336&lt;安値!AB336,安値!AD336&lt;安値!AE336,安値!AD336&lt;安値!AF336),25,""))</f>
        <v/>
      </c>
      <c r="Z336" s="503" t="str">
        <f>IF(終値!A336="","",IF(AND(安値!AE336&lt;安値!AD336,安値!AE336&lt;安値!AC336,安値!AE336&lt;安値!AF336,安値!AE336&lt;安値!AG336),26,""))</f>
        <v/>
      </c>
      <c r="AA336" s="503" t="str">
        <f>IF(終値!A336="","",IF(AND(安値!AF336&lt;安値!AE336,安値!AF336&lt;安値!AD336,安値!AF336&lt;安値!AG336,安値!AF336&lt;安値!AH336),27,""))</f>
        <v/>
      </c>
      <c r="AB336" s="503" t="str">
        <f>IF(終値!A336="","",IF(AND(安値!AG336&lt;安値!AF336,安値!AG336&lt;安値!AE336,安値!AG336&lt;安値!AH336,安値!AG336&lt;安値!AI336),28,""))</f>
        <v/>
      </c>
      <c r="AC336" s="503" t="str">
        <f>IF(終値!A336="","",IF(AND(高値!G336&gt;高値!F336,高値!G336&gt;高値!E336,高値!G336&gt;高値!H336,高値!G336&gt;高値!I336),2,""))</f>
        <v/>
      </c>
      <c r="AD336" s="503" t="str">
        <f>IF(終値!A336="","",IF(AND(高値!H336&gt;高値!G336,高値!H336&gt;高値!F336,高値!H336&gt;高値!I336,高値!H336&gt;高値!J336),3,""))</f>
        <v/>
      </c>
      <c r="AE336" s="503" t="str">
        <f>IF(終値!A336="","",IF(AND(高値!I336&gt;高値!H336,高値!I336&gt;高値!G336,高値!I336&gt;高値!J336,高値!I336&gt;高値!K336),4,""))</f>
        <v/>
      </c>
      <c r="AF336" s="503" t="str">
        <f>IF(終値!A336="","",IF(AND(高値!J336&gt;高値!I336,高値!J336&gt;高値!H336,高値!J336&gt;高値!K336,高値!J336&gt;高値!L336),5,""))</f>
        <v/>
      </c>
      <c r="AG336" s="503" t="str">
        <f>IF(終値!A336="","",IF(AND(高値!K336&gt;高値!J336,高値!K336&gt;高値!I336,高値!K336&gt;高値!L336,高値!K336&gt;高値!M336),6,""))</f>
        <v/>
      </c>
      <c r="AH336" s="503" t="str">
        <f>IF(終値!A336="","",IF(AND(高値!L336&gt;高値!K336,高値!L336&gt;高値!J336,高値!L336&gt;高値!M336,高値!L336&gt;高値!N336),7,""))</f>
        <v/>
      </c>
      <c r="AI336" s="503" t="str">
        <f>IF(終値!A336="","",IF(AND(高値!M336&gt;高値!L336,高値!M336&gt;高値!K336,高値!M336&gt;高値!N336,高値!M336&gt;高値!O336),8,""))</f>
        <v/>
      </c>
      <c r="AJ336" s="503" t="str">
        <f>IF(終値!A336="","",IF(AND(高値!N336&gt;高値!M336,高値!N336&gt;高値!L336,高値!N336&gt;高値!O336,高値!N336&gt;高値!P336),9,""))</f>
        <v/>
      </c>
      <c r="AK336" s="503" t="str">
        <f>IF(終値!A336="","",IF(AND(高値!O336&gt;高値!N336,高値!O336&gt;高値!M336,高値!O336&gt;高値!P336,高値!O336&gt;高値!Q336),10,""))</f>
        <v/>
      </c>
      <c r="AL336" s="503" t="str">
        <f>IF(終値!A336="","",IF(AND(高値!P336&gt;高値!O336,高値!P336&gt;高値!N336,高値!P336&gt;高値!Q336,高値!P336&gt;高値!R336),11,""))</f>
        <v/>
      </c>
      <c r="AM336" s="503" t="str">
        <f>IF(終値!A336="","",IF(AND(高値!Q336&gt;高値!P336,高値!Q336&gt;高値!O336,高値!Q336&gt;高値!R336,高値!Q336&gt;高値!S336),12,""))</f>
        <v/>
      </c>
      <c r="AN336" s="503" t="str">
        <f>IF(終値!A336="","",IF(AND(高値!R336&gt;高値!Q336,高値!R336&gt;高値!P336,高値!R336&gt;高値!S336,高値!R336&gt;高値!T336),13,""))</f>
        <v/>
      </c>
      <c r="AO336" s="503" t="str">
        <f>IF(終値!A336="","",IF(AND(高値!S336&gt;高値!R336,高値!S336&gt;高値!Q336,高値!S336&gt;高値!T336,高値!S336&gt;高値!U336),14,""))</f>
        <v/>
      </c>
      <c r="AP336" s="503" t="str">
        <f>IF(終値!A336="","",IF(AND(高値!T336&gt;高値!S336,高値!T336&gt;高値!R336,高値!T336&gt;高値!U336,高値!T336&gt;高値!V336),15,""))</f>
        <v/>
      </c>
      <c r="AQ336" s="503" t="str">
        <f>IF(終値!A336="","",IF(AND(高値!U336&gt;高値!T336,高値!U336&gt;高値!S336,高値!U336&gt;高値!V336,高値!U336&gt;高値!W336),16,""))</f>
        <v/>
      </c>
      <c r="AR336" s="503" t="str">
        <f>IF(終値!A336="","",IF(AND(高値!V336&gt;高値!U336,高値!V336&gt;高値!T336,高値!V336&gt;高値!W336,高値!V336&gt;高値!X336),17,""))</f>
        <v/>
      </c>
      <c r="AS336" s="503" t="str">
        <f>IF(終値!A336="","",IF(AND(高値!W336&gt;高値!V336,高値!W336&gt;高値!U336,高値!W336&gt;高値!X336,高値!W336&gt;高値!Y336),18,""))</f>
        <v/>
      </c>
      <c r="AT336" s="503" t="str">
        <f>IF(終値!A336="","",IF(AND(高値!X336&gt;高値!W336,高値!X336&gt;高値!V336,高値!X336&gt;高値!Y336,高値!X336&gt;高値!Z336),19,""))</f>
        <v/>
      </c>
      <c r="AU336" s="503" t="str">
        <f>IF(終値!A336="","",IF(AND(高値!Y336&gt;高値!X336,高値!Y336&gt;高値!W336,高値!Y336&gt;高値!Z336,高値!Y336&gt;高値!AA336),20,""))</f>
        <v/>
      </c>
      <c r="AV336" s="503" t="str">
        <f>IF(終値!A336="","",IF(AND(高値!Z336&gt;高値!Y336,高値!Z336&gt;高値!X336,高値!Z336&gt;高値!AA336,高値!Z336&gt;高値!AB336),21,""))</f>
        <v/>
      </c>
      <c r="AW336" s="503" t="str">
        <f>IF(終値!A336="","",IF(AND(高値!AA336&gt;高値!Z336,高値!AA336&gt;高値!Y336,高値!AA336&gt;高値!AB336,高値!AA336&gt;高値!AC336),22,""))</f>
        <v/>
      </c>
      <c r="AX336" s="503" t="str">
        <f>IF(終値!A336="","",IF(AND(高値!AB336&gt;高値!AA336,高値!AB336&gt;高値!Z336,高値!AB336&gt;高値!AC336,高値!AB336&gt;高値!AD336),23,""))</f>
        <v/>
      </c>
      <c r="AY336" s="503" t="str">
        <f>IF(終値!A336="","",IF(AND(高値!AC336&gt;高値!AB336,高値!AC336&gt;高値!AA336,高値!AC336&gt;高値!AD336,高値!AC336&gt;高値!AE336),24,""))</f>
        <v/>
      </c>
      <c r="AZ336" s="503" t="str">
        <f>IF(終値!A336="","",IF(AND(高値!AD336&gt;高値!AC336,高値!AD336&gt;高値!AB336,高値!AD336&gt;高値!AE336,高値!AD336&gt;高値!AF336),25,""))</f>
        <v/>
      </c>
      <c r="BA336" s="503" t="str">
        <f>IF(終値!A336="","",IF(AND(高値!AE336&gt;高値!AD336,高値!AE336&gt;高値!AC336,高値!AE336&gt;高値!AF336,高値!AE336&gt;高値!AG336),26,""))</f>
        <v/>
      </c>
      <c r="BB336" s="503" t="str">
        <f>IF(終値!A336="","",IF(AND(高値!AF336&gt;高値!AE336,高値!AF336&gt;高値!AD336,高値!AF336&gt;高値!AG336,高値!AF336&gt;高値!AH336),27,""))</f>
        <v/>
      </c>
      <c r="BC336" s="503" t="str">
        <f>IF(終値!A336="","",IF(AND(高値!AG336&gt;高値!AF336,高値!AG336&gt;高値!AE336,高値!AG336&gt;高値!AH336,高値!AG336&gt;高値!AI336),28,""))</f>
        <v/>
      </c>
      <c r="BD336" s="503">
        <f t="shared" si="30"/>
        <v>0</v>
      </c>
      <c r="BE336" s="503" t="str">
        <f t="shared" si="31"/>
        <v/>
      </c>
      <c r="BF336" s="503" t="str">
        <f t="shared" si="32"/>
        <v/>
      </c>
      <c r="BG336" s="503" t="str">
        <f>IF($BE336="","",INDEX(安値!$E336:$CZ336,1,$BE336+1))</f>
        <v/>
      </c>
      <c r="BH336" s="503" t="str">
        <f>IF($BF336="","",INDEX(安値!$E336:$CZ336,1,$BF336+1))</f>
        <v/>
      </c>
      <c r="BI336" s="503" t="str">
        <f>IF($BF336="","",MAX(INDEX(高値!$E336:$CZ336,1,$BE336+1):INDEX(高値!$E336:$CZ336,1,$BF336+1)))</f>
        <v/>
      </c>
      <c r="BJ336" s="503" t="str">
        <f>IF($BF336="","",AVERAGE(INDEX(終値!$E336:$CZ336,1,$BF336+1):INDEX(終値!$E336:$CZ336,1,$BF336+20))-2*STDEVP(INDEX(終値!$E336:$CZ336,1,$BF336+1):INDEX(終値!$E336:$CZ336,1,$BF336+20)))</f>
        <v/>
      </c>
      <c r="BK336" s="503" t="str">
        <f>IF($BE336="","",AVERAGE(INDEX(終値!$E336:$CZ336,1,$BE336+1):INDEX(終値!$E336:$CZ336,1,$BE336+20))-2*STDEVP(INDEX(終値!$E336:$CZ336,1,$BE336+1):INDEX(終値!$E336:$CZ336,1,$BE336+20)))</f>
        <v/>
      </c>
      <c r="BL336" s="503">
        <f t="shared" si="33"/>
        <v>0</v>
      </c>
      <c r="BM336" s="503" t="str">
        <f t="shared" si="34"/>
        <v/>
      </c>
      <c r="BN336" s="503" t="str">
        <f t="shared" si="35"/>
        <v/>
      </c>
      <c r="BO336" s="503" t="str">
        <f>IF($BM336="","",INDEX(高値!$E336:$CZ336,1,$BM336+1))</f>
        <v/>
      </c>
      <c r="BP336" s="503" t="str">
        <f>IF($BN336="","",INDEX(高値!$E336:$CZ336,1,$BN336+1))</f>
        <v/>
      </c>
      <c r="BQ336" s="503" t="str">
        <f>IF($BN336="","",MIN(INDEX(安値!$E336:$CZ336,1,$BM336+1):INDEX(安値!$E336:$CZ336,1,$BN336+1)))</f>
        <v/>
      </c>
      <c r="BR336" s="503" t="str">
        <f>IF($BN336="","",AVERAGE(INDEX(終値!$E336:$CZ336,1,$BN336+1):INDEX(終値!$E336:$CZ336,1,$BN336+20))+2*STDEVP(INDEX(終値!$E336:$CZ336,1,$BN336+1):INDEX(終値!$E336:$CZ336,1,$BN336+20)))</f>
        <v/>
      </c>
      <c r="BS336" s="503" t="str">
        <f>IF($BM336="","",AVERAGE(INDEX(終値!$E336:$CZ336,1,$BM336+1):INDEX(終値!$E336:$CZ336,1,$BM336+20))+2*STDEVP(INDEX(終値!$E336:$CZ336,1,$BM336+1):INDEX(終値!$E336:$CZ336,1,$BM336+20)))</f>
        <v/>
      </c>
      <c r="BT336" s="500"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3" t="str">
        <f>IF(終値!A337="","",IF(AND(安値!G337&lt;安値!F337,安値!G337&lt;安値!E337,安値!G337&lt;安値!H337,安値!G337&lt;安値!I337),2,""))</f>
        <v/>
      </c>
      <c r="C337" s="503" t="str">
        <f>IF(終値!A337="","",IF(AND(安値!H337&lt;安値!G337,安値!H337&lt;安値!F337,安値!H337&lt;安値!I337,安値!H337&lt;安値!J337),3,""))</f>
        <v/>
      </c>
      <c r="D337" s="503" t="str">
        <f>IF(終値!A337="","",IF(AND(安値!I337&lt;安値!H337,安値!I337&lt;安値!G337,安値!I337&lt;安値!J337,安値!I337&lt;安値!K337),4,""))</f>
        <v/>
      </c>
      <c r="E337" s="503" t="str">
        <f>IF(終値!A337="","",IF(AND(安値!J337&lt;安値!I337,安値!J337&lt;安値!H337,安値!J337&lt;安値!K337,安値!J337&lt;安値!L337),5,""))</f>
        <v/>
      </c>
      <c r="F337" s="503" t="str">
        <f>IF(終値!A337="","",IF(AND(安値!K337&lt;安値!J337,安値!K337&lt;安値!I337,安値!K337&lt;安値!L337,安値!K337&lt;安値!M337),6,""))</f>
        <v/>
      </c>
      <c r="G337" s="503" t="str">
        <f>IF(終値!A337="","",IF(AND(安値!L337&lt;安値!K337,安値!L337&lt;安値!J337,安値!L337&lt;安値!M337,安値!L337&lt;安値!N337),7,""))</f>
        <v/>
      </c>
      <c r="H337" s="503" t="str">
        <f>IF(終値!A337="","",IF(AND(安値!M337&lt;安値!L337,安値!M337&lt;安値!K337,安値!M337&lt;安値!N337,安値!M337&lt;安値!O337),8,""))</f>
        <v/>
      </c>
      <c r="I337" s="503" t="str">
        <f>IF(終値!A337="","",IF(AND(安値!N337&lt;安値!M337,安値!N337&lt;安値!L337,安値!N337&lt;安値!O337,安値!N337&lt;安値!P337),9,""))</f>
        <v/>
      </c>
      <c r="J337" s="503" t="str">
        <f>IF(終値!A337="","",IF(AND(安値!O337&lt;安値!N337,安値!O337&lt;安値!M337,安値!O337&lt;安値!P337,安値!O337&lt;安値!Q337),10,""))</f>
        <v/>
      </c>
      <c r="K337" s="503" t="str">
        <f>IF(終値!A337="","",IF(AND(安値!P337&lt;安値!O337,安値!P337&lt;安値!N337,安値!P337&lt;安値!Q337,安値!P337&lt;安値!R337),11,""))</f>
        <v/>
      </c>
      <c r="L337" s="503" t="str">
        <f>IF(終値!A337="","",IF(AND(安値!Q337&lt;安値!P337,安値!Q337&lt;安値!O337,安値!Q337&lt;安値!R337,安値!Q337&lt;安値!S337),12,""))</f>
        <v/>
      </c>
      <c r="M337" s="503" t="str">
        <f>IF(終値!A337="","",IF(AND(安値!R337&lt;安値!Q337,安値!R337&lt;安値!P337,安値!R337&lt;安値!S337,安値!R337&lt;安値!T337),13,""))</f>
        <v/>
      </c>
      <c r="N337" s="503" t="str">
        <f>IF(終値!A337="","",IF(AND(安値!S337&lt;安値!R337,安値!S337&lt;安値!Q337,安値!S337&lt;安値!T337,安値!S337&lt;安値!U337),14,""))</f>
        <v/>
      </c>
      <c r="O337" s="503" t="str">
        <f>IF(終値!A337="","",IF(AND(安値!T337&lt;安値!S337,安値!T337&lt;安値!R337,安値!T337&lt;安値!U337,安値!T337&lt;安値!V337),15,""))</f>
        <v/>
      </c>
      <c r="P337" s="503" t="str">
        <f>IF(終値!A337="","",IF(AND(安値!U337&lt;安値!T337,安値!U337&lt;安値!S337,安値!U337&lt;安値!V337,安値!U337&lt;安値!W337),16,""))</f>
        <v/>
      </c>
      <c r="Q337" s="503" t="str">
        <f>IF(終値!A337="","",IF(AND(安値!V337&lt;安値!U337,安値!V337&lt;安値!T337,安値!V337&lt;安値!W337,安値!V337&lt;安値!X337),17,""))</f>
        <v/>
      </c>
      <c r="R337" s="503" t="str">
        <f>IF(終値!A337="","",IF(AND(安値!W337&lt;安値!V337,安値!W337&lt;安値!U337,安値!W337&lt;安値!X337,安値!W337&lt;安値!Y337),18,""))</f>
        <v/>
      </c>
      <c r="S337" s="503" t="str">
        <f>IF(終値!A337="","",IF(AND(安値!X337&lt;安値!W337,安値!X337&lt;安値!V337,安値!X337&lt;安値!Y337,安値!X337&lt;安値!Z337),19,""))</f>
        <v/>
      </c>
      <c r="T337" s="503" t="str">
        <f>IF(終値!A337="","",IF(AND(安値!Y337&lt;安値!X337,安値!Y337&lt;安値!W337,安値!Y337&lt;安値!Z337,安値!Y337&lt;安値!AA337),20,""))</f>
        <v/>
      </c>
      <c r="U337" s="503" t="str">
        <f>IF(終値!A337="","",IF(AND(安値!Z337&lt;安値!Y337,安値!Z337&lt;安値!X337,安値!Z337&lt;安値!AA337,安値!Z337&lt;安値!AB337),21,""))</f>
        <v/>
      </c>
      <c r="V337" s="503" t="str">
        <f>IF(終値!A337="","",IF(AND(安値!AA337&lt;安値!Z337,安値!AA337&lt;安値!Y337,安値!AA337&lt;安値!AB337,安値!AA337&lt;安値!AC337),22,""))</f>
        <v/>
      </c>
      <c r="W337" s="503" t="str">
        <f>IF(終値!A337="","",IF(AND(安値!AB337&lt;安値!AA337,安値!AB337&lt;安値!Z337,安値!AB337&lt;安値!AC337,安値!AB337&lt;安値!AD337),23,""))</f>
        <v/>
      </c>
      <c r="X337" s="503" t="str">
        <f>IF(終値!A337="","",IF(AND(安値!AC337&lt;安値!AB337,安値!AC337&lt;安値!AA337,安値!AC337&lt;安値!AD337,安値!AC337&lt;安値!AE337),24,""))</f>
        <v/>
      </c>
      <c r="Y337" s="503" t="str">
        <f>IF(終値!A337="","",IF(AND(安値!AD337&lt;安値!AC337,安値!AD337&lt;安値!AB337,安値!AD337&lt;安値!AE337,安値!AD337&lt;安値!AF337),25,""))</f>
        <v/>
      </c>
      <c r="Z337" s="503" t="str">
        <f>IF(終値!A337="","",IF(AND(安値!AE337&lt;安値!AD337,安値!AE337&lt;安値!AC337,安値!AE337&lt;安値!AF337,安値!AE337&lt;安値!AG337),26,""))</f>
        <v/>
      </c>
      <c r="AA337" s="503" t="str">
        <f>IF(終値!A337="","",IF(AND(安値!AF337&lt;安値!AE337,安値!AF337&lt;安値!AD337,安値!AF337&lt;安値!AG337,安値!AF337&lt;安値!AH337),27,""))</f>
        <v/>
      </c>
      <c r="AB337" s="503" t="str">
        <f>IF(終値!A337="","",IF(AND(安値!AG337&lt;安値!AF337,安値!AG337&lt;安値!AE337,安値!AG337&lt;安値!AH337,安値!AG337&lt;安値!AI337),28,""))</f>
        <v/>
      </c>
      <c r="AC337" s="503" t="str">
        <f>IF(終値!A337="","",IF(AND(高値!G337&gt;高値!F337,高値!G337&gt;高値!E337,高値!G337&gt;高値!H337,高値!G337&gt;高値!I337),2,""))</f>
        <v/>
      </c>
      <c r="AD337" s="503" t="str">
        <f>IF(終値!A337="","",IF(AND(高値!H337&gt;高値!G337,高値!H337&gt;高値!F337,高値!H337&gt;高値!I337,高値!H337&gt;高値!J337),3,""))</f>
        <v/>
      </c>
      <c r="AE337" s="503" t="str">
        <f>IF(終値!A337="","",IF(AND(高値!I337&gt;高値!H337,高値!I337&gt;高値!G337,高値!I337&gt;高値!J337,高値!I337&gt;高値!K337),4,""))</f>
        <v/>
      </c>
      <c r="AF337" s="503" t="str">
        <f>IF(終値!A337="","",IF(AND(高値!J337&gt;高値!I337,高値!J337&gt;高値!H337,高値!J337&gt;高値!K337,高値!J337&gt;高値!L337),5,""))</f>
        <v/>
      </c>
      <c r="AG337" s="503" t="str">
        <f>IF(終値!A337="","",IF(AND(高値!K337&gt;高値!J337,高値!K337&gt;高値!I337,高値!K337&gt;高値!L337,高値!K337&gt;高値!M337),6,""))</f>
        <v/>
      </c>
      <c r="AH337" s="503" t="str">
        <f>IF(終値!A337="","",IF(AND(高値!L337&gt;高値!K337,高値!L337&gt;高値!J337,高値!L337&gt;高値!M337,高値!L337&gt;高値!N337),7,""))</f>
        <v/>
      </c>
      <c r="AI337" s="503" t="str">
        <f>IF(終値!A337="","",IF(AND(高値!M337&gt;高値!L337,高値!M337&gt;高値!K337,高値!M337&gt;高値!N337,高値!M337&gt;高値!O337),8,""))</f>
        <v/>
      </c>
      <c r="AJ337" s="503" t="str">
        <f>IF(終値!A337="","",IF(AND(高値!N337&gt;高値!M337,高値!N337&gt;高値!L337,高値!N337&gt;高値!O337,高値!N337&gt;高値!P337),9,""))</f>
        <v/>
      </c>
      <c r="AK337" s="503" t="str">
        <f>IF(終値!A337="","",IF(AND(高値!O337&gt;高値!N337,高値!O337&gt;高値!M337,高値!O337&gt;高値!P337,高値!O337&gt;高値!Q337),10,""))</f>
        <v/>
      </c>
      <c r="AL337" s="503" t="str">
        <f>IF(終値!A337="","",IF(AND(高値!P337&gt;高値!O337,高値!P337&gt;高値!N337,高値!P337&gt;高値!Q337,高値!P337&gt;高値!R337),11,""))</f>
        <v/>
      </c>
      <c r="AM337" s="503" t="str">
        <f>IF(終値!A337="","",IF(AND(高値!Q337&gt;高値!P337,高値!Q337&gt;高値!O337,高値!Q337&gt;高値!R337,高値!Q337&gt;高値!S337),12,""))</f>
        <v/>
      </c>
      <c r="AN337" s="503" t="str">
        <f>IF(終値!A337="","",IF(AND(高値!R337&gt;高値!Q337,高値!R337&gt;高値!P337,高値!R337&gt;高値!S337,高値!R337&gt;高値!T337),13,""))</f>
        <v/>
      </c>
      <c r="AO337" s="503" t="str">
        <f>IF(終値!A337="","",IF(AND(高値!S337&gt;高値!R337,高値!S337&gt;高値!Q337,高値!S337&gt;高値!T337,高値!S337&gt;高値!U337),14,""))</f>
        <v/>
      </c>
      <c r="AP337" s="503" t="str">
        <f>IF(終値!A337="","",IF(AND(高値!T337&gt;高値!S337,高値!T337&gt;高値!R337,高値!T337&gt;高値!U337,高値!T337&gt;高値!V337),15,""))</f>
        <v/>
      </c>
      <c r="AQ337" s="503" t="str">
        <f>IF(終値!A337="","",IF(AND(高値!U337&gt;高値!T337,高値!U337&gt;高値!S337,高値!U337&gt;高値!V337,高値!U337&gt;高値!W337),16,""))</f>
        <v/>
      </c>
      <c r="AR337" s="503" t="str">
        <f>IF(終値!A337="","",IF(AND(高値!V337&gt;高値!U337,高値!V337&gt;高値!T337,高値!V337&gt;高値!W337,高値!V337&gt;高値!X337),17,""))</f>
        <v/>
      </c>
      <c r="AS337" s="503" t="str">
        <f>IF(終値!A337="","",IF(AND(高値!W337&gt;高値!V337,高値!W337&gt;高値!U337,高値!W337&gt;高値!X337,高値!W337&gt;高値!Y337),18,""))</f>
        <v/>
      </c>
      <c r="AT337" s="503" t="str">
        <f>IF(終値!A337="","",IF(AND(高値!X337&gt;高値!W337,高値!X337&gt;高値!V337,高値!X337&gt;高値!Y337,高値!X337&gt;高値!Z337),19,""))</f>
        <v/>
      </c>
      <c r="AU337" s="503" t="str">
        <f>IF(終値!A337="","",IF(AND(高値!Y337&gt;高値!X337,高値!Y337&gt;高値!W337,高値!Y337&gt;高値!Z337,高値!Y337&gt;高値!AA337),20,""))</f>
        <v/>
      </c>
      <c r="AV337" s="503" t="str">
        <f>IF(終値!A337="","",IF(AND(高値!Z337&gt;高値!Y337,高値!Z337&gt;高値!X337,高値!Z337&gt;高値!AA337,高値!Z337&gt;高値!AB337),21,""))</f>
        <v/>
      </c>
      <c r="AW337" s="503" t="str">
        <f>IF(終値!A337="","",IF(AND(高値!AA337&gt;高値!Z337,高値!AA337&gt;高値!Y337,高値!AA337&gt;高値!AB337,高値!AA337&gt;高値!AC337),22,""))</f>
        <v/>
      </c>
      <c r="AX337" s="503" t="str">
        <f>IF(終値!A337="","",IF(AND(高値!AB337&gt;高値!AA337,高値!AB337&gt;高値!Z337,高値!AB337&gt;高値!AC337,高値!AB337&gt;高値!AD337),23,""))</f>
        <v/>
      </c>
      <c r="AY337" s="503" t="str">
        <f>IF(終値!A337="","",IF(AND(高値!AC337&gt;高値!AB337,高値!AC337&gt;高値!AA337,高値!AC337&gt;高値!AD337,高値!AC337&gt;高値!AE337),24,""))</f>
        <v/>
      </c>
      <c r="AZ337" s="503" t="str">
        <f>IF(終値!A337="","",IF(AND(高値!AD337&gt;高値!AC337,高値!AD337&gt;高値!AB337,高値!AD337&gt;高値!AE337,高値!AD337&gt;高値!AF337),25,""))</f>
        <v/>
      </c>
      <c r="BA337" s="503" t="str">
        <f>IF(終値!A337="","",IF(AND(高値!AE337&gt;高値!AD337,高値!AE337&gt;高値!AC337,高値!AE337&gt;高値!AF337,高値!AE337&gt;高値!AG337),26,""))</f>
        <v/>
      </c>
      <c r="BB337" s="503" t="str">
        <f>IF(終値!A337="","",IF(AND(高値!AF337&gt;高値!AE337,高値!AF337&gt;高値!AD337,高値!AF337&gt;高値!AG337,高値!AF337&gt;高値!AH337),27,""))</f>
        <v/>
      </c>
      <c r="BC337" s="503" t="str">
        <f>IF(終値!A337="","",IF(AND(高値!AG337&gt;高値!AF337,高値!AG337&gt;高値!AE337,高値!AG337&gt;高値!AH337,高値!AG337&gt;高値!AI337),28,""))</f>
        <v/>
      </c>
      <c r="BD337" s="503">
        <f t="shared" si="30"/>
        <v>0</v>
      </c>
      <c r="BE337" s="503" t="str">
        <f t="shared" si="31"/>
        <v/>
      </c>
      <c r="BF337" s="503" t="str">
        <f t="shared" si="32"/>
        <v/>
      </c>
      <c r="BG337" s="503" t="str">
        <f>IF($BE337="","",INDEX(安値!$E337:$CZ337,1,$BE337+1))</f>
        <v/>
      </c>
      <c r="BH337" s="503" t="str">
        <f>IF($BF337="","",INDEX(安値!$E337:$CZ337,1,$BF337+1))</f>
        <v/>
      </c>
      <c r="BI337" s="503" t="str">
        <f>IF($BF337="","",MAX(INDEX(高値!$E337:$CZ337,1,$BE337+1):INDEX(高値!$E337:$CZ337,1,$BF337+1)))</f>
        <v/>
      </c>
      <c r="BJ337" s="503" t="str">
        <f>IF($BF337="","",AVERAGE(INDEX(終値!$E337:$CZ337,1,$BF337+1):INDEX(終値!$E337:$CZ337,1,$BF337+20))-2*STDEVP(INDEX(終値!$E337:$CZ337,1,$BF337+1):INDEX(終値!$E337:$CZ337,1,$BF337+20)))</f>
        <v/>
      </c>
      <c r="BK337" s="503" t="str">
        <f>IF($BE337="","",AVERAGE(INDEX(終値!$E337:$CZ337,1,$BE337+1):INDEX(終値!$E337:$CZ337,1,$BE337+20))-2*STDEVP(INDEX(終値!$E337:$CZ337,1,$BE337+1):INDEX(終値!$E337:$CZ337,1,$BE337+20)))</f>
        <v/>
      </c>
      <c r="BL337" s="503">
        <f t="shared" si="33"/>
        <v>0</v>
      </c>
      <c r="BM337" s="503" t="str">
        <f t="shared" si="34"/>
        <v/>
      </c>
      <c r="BN337" s="503" t="str">
        <f t="shared" si="35"/>
        <v/>
      </c>
      <c r="BO337" s="503" t="str">
        <f>IF($BM337="","",INDEX(高値!$E337:$CZ337,1,$BM337+1))</f>
        <v/>
      </c>
      <c r="BP337" s="503" t="str">
        <f>IF($BN337="","",INDEX(高値!$E337:$CZ337,1,$BN337+1))</f>
        <v/>
      </c>
      <c r="BQ337" s="503" t="str">
        <f>IF($BN337="","",MIN(INDEX(安値!$E337:$CZ337,1,$BM337+1):INDEX(安値!$E337:$CZ337,1,$BN337+1)))</f>
        <v/>
      </c>
      <c r="BR337" s="503" t="str">
        <f>IF($BN337="","",AVERAGE(INDEX(終値!$E337:$CZ337,1,$BN337+1):INDEX(終値!$E337:$CZ337,1,$BN337+20))+2*STDEVP(INDEX(終値!$E337:$CZ337,1,$BN337+1):INDEX(終値!$E337:$CZ337,1,$BN337+20)))</f>
        <v/>
      </c>
      <c r="BS337" s="503" t="str">
        <f>IF($BM337="","",AVERAGE(INDEX(終値!$E337:$CZ337,1,$BM337+1):INDEX(終値!$E337:$CZ337,1,$BM337+20))+2*STDEVP(INDEX(終値!$E337:$CZ337,1,$BM337+1):INDEX(終値!$E337:$CZ337,1,$BM337+20)))</f>
        <v/>
      </c>
      <c r="BT337" s="500"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3" t="str">
        <f>IF(終値!A338="","",IF(AND(安値!G338&lt;安値!F338,安値!G338&lt;安値!E338,安値!G338&lt;安値!H338,安値!G338&lt;安値!I338),2,""))</f>
        <v/>
      </c>
      <c r="C338" s="503" t="str">
        <f>IF(終値!A338="","",IF(AND(安値!H338&lt;安値!G338,安値!H338&lt;安値!F338,安値!H338&lt;安値!I338,安値!H338&lt;安値!J338),3,""))</f>
        <v/>
      </c>
      <c r="D338" s="503" t="str">
        <f>IF(終値!A338="","",IF(AND(安値!I338&lt;安値!H338,安値!I338&lt;安値!G338,安値!I338&lt;安値!J338,安値!I338&lt;安値!K338),4,""))</f>
        <v/>
      </c>
      <c r="E338" s="503" t="str">
        <f>IF(終値!A338="","",IF(AND(安値!J338&lt;安値!I338,安値!J338&lt;安値!H338,安値!J338&lt;安値!K338,安値!J338&lt;安値!L338),5,""))</f>
        <v/>
      </c>
      <c r="F338" s="503" t="str">
        <f>IF(終値!A338="","",IF(AND(安値!K338&lt;安値!J338,安値!K338&lt;安値!I338,安値!K338&lt;安値!L338,安値!K338&lt;安値!M338),6,""))</f>
        <v/>
      </c>
      <c r="G338" s="503" t="str">
        <f>IF(終値!A338="","",IF(AND(安値!L338&lt;安値!K338,安値!L338&lt;安値!J338,安値!L338&lt;安値!M338,安値!L338&lt;安値!N338),7,""))</f>
        <v/>
      </c>
      <c r="H338" s="503" t="str">
        <f>IF(終値!A338="","",IF(AND(安値!M338&lt;安値!L338,安値!M338&lt;安値!K338,安値!M338&lt;安値!N338,安値!M338&lt;安値!O338),8,""))</f>
        <v/>
      </c>
      <c r="I338" s="503" t="str">
        <f>IF(終値!A338="","",IF(AND(安値!N338&lt;安値!M338,安値!N338&lt;安値!L338,安値!N338&lt;安値!O338,安値!N338&lt;安値!P338),9,""))</f>
        <v/>
      </c>
      <c r="J338" s="503" t="str">
        <f>IF(終値!A338="","",IF(AND(安値!O338&lt;安値!N338,安値!O338&lt;安値!M338,安値!O338&lt;安値!P338,安値!O338&lt;安値!Q338),10,""))</f>
        <v/>
      </c>
      <c r="K338" s="503" t="str">
        <f>IF(終値!A338="","",IF(AND(安値!P338&lt;安値!O338,安値!P338&lt;安値!N338,安値!P338&lt;安値!Q338,安値!P338&lt;安値!R338),11,""))</f>
        <v/>
      </c>
      <c r="L338" s="503" t="str">
        <f>IF(終値!A338="","",IF(AND(安値!Q338&lt;安値!P338,安値!Q338&lt;安値!O338,安値!Q338&lt;安値!R338,安値!Q338&lt;安値!S338),12,""))</f>
        <v/>
      </c>
      <c r="M338" s="503" t="str">
        <f>IF(終値!A338="","",IF(AND(安値!R338&lt;安値!Q338,安値!R338&lt;安値!P338,安値!R338&lt;安値!S338,安値!R338&lt;安値!T338),13,""))</f>
        <v/>
      </c>
      <c r="N338" s="503" t="str">
        <f>IF(終値!A338="","",IF(AND(安値!S338&lt;安値!R338,安値!S338&lt;安値!Q338,安値!S338&lt;安値!T338,安値!S338&lt;安値!U338),14,""))</f>
        <v/>
      </c>
      <c r="O338" s="503" t="str">
        <f>IF(終値!A338="","",IF(AND(安値!T338&lt;安値!S338,安値!T338&lt;安値!R338,安値!T338&lt;安値!U338,安値!T338&lt;安値!V338),15,""))</f>
        <v/>
      </c>
      <c r="P338" s="503" t="str">
        <f>IF(終値!A338="","",IF(AND(安値!U338&lt;安値!T338,安値!U338&lt;安値!S338,安値!U338&lt;安値!V338,安値!U338&lt;安値!W338),16,""))</f>
        <v/>
      </c>
      <c r="Q338" s="503" t="str">
        <f>IF(終値!A338="","",IF(AND(安値!V338&lt;安値!U338,安値!V338&lt;安値!T338,安値!V338&lt;安値!W338,安値!V338&lt;安値!X338),17,""))</f>
        <v/>
      </c>
      <c r="R338" s="503" t="str">
        <f>IF(終値!A338="","",IF(AND(安値!W338&lt;安値!V338,安値!W338&lt;安値!U338,安値!W338&lt;安値!X338,安値!W338&lt;安値!Y338),18,""))</f>
        <v/>
      </c>
      <c r="S338" s="503" t="str">
        <f>IF(終値!A338="","",IF(AND(安値!X338&lt;安値!W338,安値!X338&lt;安値!V338,安値!X338&lt;安値!Y338,安値!X338&lt;安値!Z338),19,""))</f>
        <v/>
      </c>
      <c r="T338" s="503" t="str">
        <f>IF(終値!A338="","",IF(AND(安値!Y338&lt;安値!X338,安値!Y338&lt;安値!W338,安値!Y338&lt;安値!Z338,安値!Y338&lt;安値!AA338),20,""))</f>
        <v/>
      </c>
      <c r="U338" s="503" t="str">
        <f>IF(終値!A338="","",IF(AND(安値!Z338&lt;安値!Y338,安値!Z338&lt;安値!X338,安値!Z338&lt;安値!AA338,安値!Z338&lt;安値!AB338),21,""))</f>
        <v/>
      </c>
      <c r="V338" s="503" t="str">
        <f>IF(終値!A338="","",IF(AND(安値!AA338&lt;安値!Z338,安値!AA338&lt;安値!Y338,安値!AA338&lt;安値!AB338,安値!AA338&lt;安値!AC338),22,""))</f>
        <v/>
      </c>
      <c r="W338" s="503" t="str">
        <f>IF(終値!A338="","",IF(AND(安値!AB338&lt;安値!AA338,安値!AB338&lt;安値!Z338,安値!AB338&lt;安値!AC338,安値!AB338&lt;安値!AD338),23,""))</f>
        <v/>
      </c>
      <c r="X338" s="503" t="str">
        <f>IF(終値!A338="","",IF(AND(安値!AC338&lt;安値!AB338,安値!AC338&lt;安値!AA338,安値!AC338&lt;安値!AD338,安値!AC338&lt;安値!AE338),24,""))</f>
        <v/>
      </c>
      <c r="Y338" s="503" t="str">
        <f>IF(終値!A338="","",IF(AND(安値!AD338&lt;安値!AC338,安値!AD338&lt;安値!AB338,安値!AD338&lt;安値!AE338,安値!AD338&lt;安値!AF338),25,""))</f>
        <v/>
      </c>
      <c r="Z338" s="503" t="str">
        <f>IF(終値!A338="","",IF(AND(安値!AE338&lt;安値!AD338,安値!AE338&lt;安値!AC338,安値!AE338&lt;安値!AF338,安値!AE338&lt;安値!AG338),26,""))</f>
        <v/>
      </c>
      <c r="AA338" s="503" t="str">
        <f>IF(終値!A338="","",IF(AND(安値!AF338&lt;安値!AE338,安値!AF338&lt;安値!AD338,安値!AF338&lt;安値!AG338,安値!AF338&lt;安値!AH338),27,""))</f>
        <v/>
      </c>
      <c r="AB338" s="503" t="str">
        <f>IF(終値!A338="","",IF(AND(安値!AG338&lt;安値!AF338,安値!AG338&lt;安値!AE338,安値!AG338&lt;安値!AH338,安値!AG338&lt;安値!AI338),28,""))</f>
        <v/>
      </c>
      <c r="AC338" s="503" t="str">
        <f>IF(終値!A338="","",IF(AND(高値!G338&gt;高値!F338,高値!G338&gt;高値!E338,高値!G338&gt;高値!H338,高値!G338&gt;高値!I338),2,""))</f>
        <v/>
      </c>
      <c r="AD338" s="503" t="str">
        <f>IF(終値!A338="","",IF(AND(高値!H338&gt;高値!G338,高値!H338&gt;高値!F338,高値!H338&gt;高値!I338,高値!H338&gt;高値!J338),3,""))</f>
        <v/>
      </c>
      <c r="AE338" s="503" t="str">
        <f>IF(終値!A338="","",IF(AND(高値!I338&gt;高値!H338,高値!I338&gt;高値!G338,高値!I338&gt;高値!J338,高値!I338&gt;高値!K338),4,""))</f>
        <v/>
      </c>
      <c r="AF338" s="503" t="str">
        <f>IF(終値!A338="","",IF(AND(高値!J338&gt;高値!I338,高値!J338&gt;高値!H338,高値!J338&gt;高値!K338,高値!J338&gt;高値!L338),5,""))</f>
        <v/>
      </c>
      <c r="AG338" s="503" t="str">
        <f>IF(終値!A338="","",IF(AND(高値!K338&gt;高値!J338,高値!K338&gt;高値!I338,高値!K338&gt;高値!L338,高値!K338&gt;高値!M338),6,""))</f>
        <v/>
      </c>
      <c r="AH338" s="503" t="str">
        <f>IF(終値!A338="","",IF(AND(高値!L338&gt;高値!K338,高値!L338&gt;高値!J338,高値!L338&gt;高値!M338,高値!L338&gt;高値!N338),7,""))</f>
        <v/>
      </c>
      <c r="AI338" s="503" t="str">
        <f>IF(終値!A338="","",IF(AND(高値!M338&gt;高値!L338,高値!M338&gt;高値!K338,高値!M338&gt;高値!N338,高値!M338&gt;高値!O338),8,""))</f>
        <v/>
      </c>
      <c r="AJ338" s="503" t="str">
        <f>IF(終値!A338="","",IF(AND(高値!N338&gt;高値!M338,高値!N338&gt;高値!L338,高値!N338&gt;高値!O338,高値!N338&gt;高値!P338),9,""))</f>
        <v/>
      </c>
      <c r="AK338" s="503" t="str">
        <f>IF(終値!A338="","",IF(AND(高値!O338&gt;高値!N338,高値!O338&gt;高値!M338,高値!O338&gt;高値!P338,高値!O338&gt;高値!Q338),10,""))</f>
        <v/>
      </c>
      <c r="AL338" s="503" t="str">
        <f>IF(終値!A338="","",IF(AND(高値!P338&gt;高値!O338,高値!P338&gt;高値!N338,高値!P338&gt;高値!Q338,高値!P338&gt;高値!R338),11,""))</f>
        <v/>
      </c>
      <c r="AM338" s="503" t="str">
        <f>IF(終値!A338="","",IF(AND(高値!Q338&gt;高値!P338,高値!Q338&gt;高値!O338,高値!Q338&gt;高値!R338,高値!Q338&gt;高値!S338),12,""))</f>
        <v/>
      </c>
      <c r="AN338" s="503" t="str">
        <f>IF(終値!A338="","",IF(AND(高値!R338&gt;高値!Q338,高値!R338&gt;高値!P338,高値!R338&gt;高値!S338,高値!R338&gt;高値!T338),13,""))</f>
        <v/>
      </c>
      <c r="AO338" s="503" t="str">
        <f>IF(終値!A338="","",IF(AND(高値!S338&gt;高値!R338,高値!S338&gt;高値!Q338,高値!S338&gt;高値!T338,高値!S338&gt;高値!U338),14,""))</f>
        <v/>
      </c>
      <c r="AP338" s="503" t="str">
        <f>IF(終値!A338="","",IF(AND(高値!T338&gt;高値!S338,高値!T338&gt;高値!R338,高値!T338&gt;高値!U338,高値!T338&gt;高値!V338),15,""))</f>
        <v/>
      </c>
      <c r="AQ338" s="503" t="str">
        <f>IF(終値!A338="","",IF(AND(高値!U338&gt;高値!T338,高値!U338&gt;高値!S338,高値!U338&gt;高値!V338,高値!U338&gt;高値!W338),16,""))</f>
        <v/>
      </c>
      <c r="AR338" s="503" t="str">
        <f>IF(終値!A338="","",IF(AND(高値!V338&gt;高値!U338,高値!V338&gt;高値!T338,高値!V338&gt;高値!W338,高値!V338&gt;高値!X338),17,""))</f>
        <v/>
      </c>
      <c r="AS338" s="503" t="str">
        <f>IF(終値!A338="","",IF(AND(高値!W338&gt;高値!V338,高値!W338&gt;高値!U338,高値!W338&gt;高値!X338,高値!W338&gt;高値!Y338),18,""))</f>
        <v/>
      </c>
      <c r="AT338" s="503" t="str">
        <f>IF(終値!A338="","",IF(AND(高値!X338&gt;高値!W338,高値!X338&gt;高値!V338,高値!X338&gt;高値!Y338,高値!X338&gt;高値!Z338),19,""))</f>
        <v/>
      </c>
      <c r="AU338" s="503" t="str">
        <f>IF(終値!A338="","",IF(AND(高値!Y338&gt;高値!X338,高値!Y338&gt;高値!W338,高値!Y338&gt;高値!Z338,高値!Y338&gt;高値!AA338),20,""))</f>
        <v/>
      </c>
      <c r="AV338" s="503" t="str">
        <f>IF(終値!A338="","",IF(AND(高値!Z338&gt;高値!Y338,高値!Z338&gt;高値!X338,高値!Z338&gt;高値!AA338,高値!Z338&gt;高値!AB338),21,""))</f>
        <v/>
      </c>
      <c r="AW338" s="503" t="str">
        <f>IF(終値!A338="","",IF(AND(高値!AA338&gt;高値!Z338,高値!AA338&gt;高値!Y338,高値!AA338&gt;高値!AB338,高値!AA338&gt;高値!AC338),22,""))</f>
        <v/>
      </c>
      <c r="AX338" s="503" t="str">
        <f>IF(終値!A338="","",IF(AND(高値!AB338&gt;高値!AA338,高値!AB338&gt;高値!Z338,高値!AB338&gt;高値!AC338,高値!AB338&gt;高値!AD338),23,""))</f>
        <v/>
      </c>
      <c r="AY338" s="503" t="str">
        <f>IF(終値!A338="","",IF(AND(高値!AC338&gt;高値!AB338,高値!AC338&gt;高値!AA338,高値!AC338&gt;高値!AD338,高値!AC338&gt;高値!AE338),24,""))</f>
        <v/>
      </c>
      <c r="AZ338" s="503" t="str">
        <f>IF(終値!A338="","",IF(AND(高値!AD338&gt;高値!AC338,高値!AD338&gt;高値!AB338,高値!AD338&gt;高値!AE338,高値!AD338&gt;高値!AF338),25,""))</f>
        <v/>
      </c>
      <c r="BA338" s="503" t="str">
        <f>IF(終値!A338="","",IF(AND(高値!AE338&gt;高値!AD338,高値!AE338&gt;高値!AC338,高値!AE338&gt;高値!AF338,高値!AE338&gt;高値!AG338),26,""))</f>
        <v/>
      </c>
      <c r="BB338" s="503" t="str">
        <f>IF(終値!A338="","",IF(AND(高値!AF338&gt;高値!AE338,高値!AF338&gt;高値!AD338,高値!AF338&gt;高値!AG338,高値!AF338&gt;高値!AH338),27,""))</f>
        <v/>
      </c>
      <c r="BC338" s="503" t="str">
        <f>IF(終値!A338="","",IF(AND(高値!AG338&gt;高値!AF338,高値!AG338&gt;高値!AE338,高値!AG338&gt;高値!AH338,高値!AG338&gt;高値!AI338),28,""))</f>
        <v/>
      </c>
      <c r="BD338" s="503">
        <f t="shared" si="30"/>
        <v>0</v>
      </c>
      <c r="BE338" s="503" t="str">
        <f t="shared" si="31"/>
        <v/>
      </c>
      <c r="BF338" s="503" t="str">
        <f t="shared" si="32"/>
        <v/>
      </c>
      <c r="BG338" s="503" t="str">
        <f>IF($BE338="","",INDEX(安値!$E338:$CZ338,1,$BE338+1))</f>
        <v/>
      </c>
      <c r="BH338" s="503" t="str">
        <f>IF($BF338="","",INDEX(安値!$E338:$CZ338,1,$BF338+1))</f>
        <v/>
      </c>
      <c r="BI338" s="503" t="str">
        <f>IF($BF338="","",MAX(INDEX(高値!$E338:$CZ338,1,$BE338+1):INDEX(高値!$E338:$CZ338,1,$BF338+1)))</f>
        <v/>
      </c>
      <c r="BJ338" s="503" t="str">
        <f>IF($BF338="","",AVERAGE(INDEX(終値!$E338:$CZ338,1,$BF338+1):INDEX(終値!$E338:$CZ338,1,$BF338+20))-2*STDEVP(INDEX(終値!$E338:$CZ338,1,$BF338+1):INDEX(終値!$E338:$CZ338,1,$BF338+20)))</f>
        <v/>
      </c>
      <c r="BK338" s="503" t="str">
        <f>IF($BE338="","",AVERAGE(INDEX(終値!$E338:$CZ338,1,$BE338+1):INDEX(終値!$E338:$CZ338,1,$BE338+20))-2*STDEVP(INDEX(終値!$E338:$CZ338,1,$BE338+1):INDEX(終値!$E338:$CZ338,1,$BE338+20)))</f>
        <v/>
      </c>
      <c r="BL338" s="503">
        <f t="shared" si="33"/>
        <v>0</v>
      </c>
      <c r="BM338" s="503" t="str">
        <f t="shared" si="34"/>
        <v/>
      </c>
      <c r="BN338" s="503" t="str">
        <f t="shared" si="35"/>
        <v/>
      </c>
      <c r="BO338" s="503" t="str">
        <f>IF($BM338="","",INDEX(高値!$E338:$CZ338,1,$BM338+1))</f>
        <v/>
      </c>
      <c r="BP338" s="503" t="str">
        <f>IF($BN338="","",INDEX(高値!$E338:$CZ338,1,$BN338+1))</f>
        <v/>
      </c>
      <c r="BQ338" s="503" t="str">
        <f>IF($BN338="","",MIN(INDEX(安値!$E338:$CZ338,1,$BM338+1):INDEX(安値!$E338:$CZ338,1,$BN338+1)))</f>
        <v/>
      </c>
      <c r="BR338" s="503" t="str">
        <f>IF($BN338="","",AVERAGE(INDEX(終値!$E338:$CZ338,1,$BN338+1):INDEX(終値!$E338:$CZ338,1,$BN338+20))+2*STDEVP(INDEX(終値!$E338:$CZ338,1,$BN338+1):INDEX(終値!$E338:$CZ338,1,$BN338+20)))</f>
        <v/>
      </c>
      <c r="BS338" s="503" t="str">
        <f>IF($BM338="","",AVERAGE(INDEX(終値!$E338:$CZ338,1,$BM338+1):INDEX(終値!$E338:$CZ338,1,$BM338+20))+2*STDEVP(INDEX(終値!$E338:$CZ338,1,$BM338+1):INDEX(終値!$E338:$CZ338,1,$BM338+20)))</f>
        <v/>
      </c>
      <c r="BT338" s="500"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3" t="str">
        <f>IF(終値!A339="","",IF(AND(安値!G339&lt;安値!F339,安値!G339&lt;安値!E339,安値!G339&lt;安値!H339,安値!G339&lt;安値!I339),2,""))</f>
        <v/>
      </c>
      <c r="C339" s="503" t="str">
        <f>IF(終値!A339="","",IF(AND(安値!H339&lt;安値!G339,安値!H339&lt;安値!F339,安値!H339&lt;安値!I339,安値!H339&lt;安値!J339),3,""))</f>
        <v/>
      </c>
      <c r="D339" s="503" t="str">
        <f>IF(終値!A339="","",IF(AND(安値!I339&lt;安値!H339,安値!I339&lt;安値!G339,安値!I339&lt;安値!J339,安値!I339&lt;安値!K339),4,""))</f>
        <v/>
      </c>
      <c r="E339" s="503" t="str">
        <f>IF(終値!A339="","",IF(AND(安値!J339&lt;安値!I339,安値!J339&lt;安値!H339,安値!J339&lt;安値!K339,安値!J339&lt;安値!L339),5,""))</f>
        <v/>
      </c>
      <c r="F339" s="503" t="str">
        <f>IF(終値!A339="","",IF(AND(安値!K339&lt;安値!J339,安値!K339&lt;安値!I339,安値!K339&lt;安値!L339,安値!K339&lt;安値!M339),6,""))</f>
        <v/>
      </c>
      <c r="G339" s="503" t="str">
        <f>IF(終値!A339="","",IF(AND(安値!L339&lt;安値!K339,安値!L339&lt;安値!J339,安値!L339&lt;安値!M339,安値!L339&lt;安値!N339),7,""))</f>
        <v/>
      </c>
      <c r="H339" s="503" t="str">
        <f>IF(終値!A339="","",IF(AND(安値!M339&lt;安値!L339,安値!M339&lt;安値!K339,安値!M339&lt;安値!N339,安値!M339&lt;安値!O339),8,""))</f>
        <v/>
      </c>
      <c r="I339" s="503" t="str">
        <f>IF(終値!A339="","",IF(AND(安値!N339&lt;安値!M339,安値!N339&lt;安値!L339,安値!N339&lt;安値!O339,安値!N339&lt;安値!P339),9,""))</f>
        <v/>
      </c>
      <c r="J339" s="503" t="str">
        <f>IF(終値!A339="","",IF(AND(安値!O339&lt;安値!N339,安値!O339&lt;安値!M339,安値!O339&lt;安値!P339,安値!O339&lt;安値!Q339),10,""))</f>
        <v/>
      </c>
      <c r="K339" s="503" t="str">
        <f>IF(終値!A339="","",IF(AND(安値!P339&lt;安値!O339,安値!P339&lt;安値!N339,安値!P339&lt;安値!Q339,安値!P339&lt;安値!R339),11,""))</f>
        <v/>
      </c>
      <c r="L339" s="503" t="str">
        <f>IF(終値!A339="","",IF(AND(安値!Q339&lt;安値!P339,安値!Q339&lt;安値!O339,安値!Q339&lt;安値!R339,安値!Q339&lt;安値!S339),12,""))</f>
        <v/>
      </c>
      <c r="M339" s="503" t="str">
        <f>IF(終値!A339="","",IF(AND(安値!R339&lt;安値!Q339,安値!R339&lt;安値!P339,安値!R339&lt;安値!S339,安値!R339&lt;安値!T339),13,""))</f>
        <v/>
      </c>
      <c r="N339" s="503" t="str">
        <f>IF(終値!A339="","",IF(AND(安値!S339&lt;安値!R339,安値!S339&lt;安値!Q339,安値!S339&lt;安値!T339,安値!S339&lt;安値!U339),14,""))</f>
        <v/>
      </c>
      <c r="O339" s="503" t="str">
        <f>IF(終値!A339="","",IF(AND(安値!T339&lt;安値!S339,安値!T339&lt;安値!R339,安値!T339&lt;安値!U339,安値!T339&lt;安値!V339),15,""))</f>
        <v/>
      </c>
      <c r="P339" s="503" t="str">
        <f>IF(終値!A339="","",IF(AND(安値!U339&lt;安値!T339,安値!U339&lt;安値!S339,安値!U339&lt;安値!V339,安値!U339&lt;安値!W339),16,""))</f>
        <v/>
      </c>
      <c r="Q339" s="503" t="str">
        <f>IF(終値!A339="","",IF(AND(安値!V339&lt;安値!U339,安値!V339&lt;安値!T339,安値!V339&lt;安値!W339,安値!V339&lt;安値!X339),17,""))</f>
        <v/>
      </c>
      <c r="R339" s="503" t="str">
        <f>IF(終値!A339="","",IF(AND(安値!W339&lt;安値!V339,安値!W339&lt;安値!U339,安値!W339&lt;安値!X339,安値!W339&lt;安値!Y339),18,""))</f>
        <v/>
      </c>
      <c r="S339" s="503" t="str">
        <f>IF(終値!A339="","",IF(AND(安値!X339&lt;安値!W339,安値!X339&lt;安値!V339,安値!X339&lt;安値!Y339,安値!X339&lt;安値!Z339),19,""))</f>
        <v/>
      </c>
      <c r="T339" s="503" t="str">
        <f>IF(終値!A339="","",IF(AND(安値!Y339&lt;安値!X339,安値!Y339&lt;安値!W339,安値!Y339&lt;安値!Z339,安値!Y339&lt;安値!AA339),20,""))</f>
        <v/>
      </c>
      <c r="U339" s="503" t="str">
        <f>IF(終値!A339="","",IF(AND(安値!Z339&lt;安値!Y339,安値!Z339&lt;安値!X339,安値!Z339&lt;安値!AA339,安値!Z339&lt;安値!AB339),21,""))</f>
        <v/>
      </c>
      <c r="V339" s="503" t="str">
        <f>IF(終値!A339="","",IF(AND(安値!AA339&lt;安値!Z339,安値!AA339&lt;安値!Y339,安値!AA339&lt;安値!AB339,安値!AA339&lt;安値!AC339),22,""))</f>
        <v/>
      </c>
      <c r="W339" s="503" t="str">
        <f>IF(終値!A339="","",IF(AND(安値!AB339&lt;安値!AA339,安値!AB339&lt;安値!Z339,安値!AB339&lt;安値!AC339,安値!AB339&lt;安値!AD339),23,""))</f>
        <v/>
      </c>
      <c r="X339" s="503" t="str">
        <f>IF(終値!A339="","",IF(AND(安値!AC339&lt;安値!AB339,安値!AC339&lt;安値!AA339,安値!AC339&lt;安値!AD339,安値!AC339&lt;安値!AE339),24,""))</f>
        <v/>
      </c>
      <c r="Y339" s="503" t="str">
        <f>IF(終値!A339="","",IF(AND(安値!AD339&lt;安値!AC339,安値!AD339&lt;安値!AB339,安値!AD339&lt;安値!AE339,安値!AD339&lt;安値!AF339),25,""))</f>
        <v/>
      </c>
      <c r="Z339" s="503" t="str">
        <f>IF(終値!A339="","",IF(AND(安値!AE339&lt;安値!AD339,安値!AE339&lt;安値!AC339,安値!AE339&lt;安値!AF339,安値!AE339&lt;安値!AG339),26,""))</f>
        <v/>
      </c>
      <c r="AA339" s="503" t="str">
        <f>IF(終値!A339="","",IF(AND(安値!AF339&lt;安値!AE339,安値!AF339&lt;安値!AD339,安値!AF339&lt;安値!AG339,安値!AF339&lt;安値!AH339),27,""))</f>
        <v/>
      </c>
      <c r="AB339" s="503" t="str">
        <f>IF(終値!A339="","",IF(AND(安値!AG339&lt;安値!AF339,安値!AG339&lt;安値!AE339,安値!AG339&lt;安値!AH339,安値!AG339&lt;安値!AI339),28,""))</f>
        <v/>
      </c>
      <c r="AC339" s="503" t="str">
        <f>IF(終値!A339="","",IF(AND(高値!G339&gt;高値!F339,高値!G339&gt;高値!E339,高値!G339&gt;高値!H339,高値!G339&gt;高値!I339),2,""))</f>
        <v/>
      </c>
      <c r="AD339" s="503" t="str">
        <f>IF(終値!A339="","",IF(AND(高値!H339&gt;高値!G339,高値!H339&gt;高値!F339,高値!H339&gt;高値!I339,高値!H339&gt;高値!J339),3,""))</f>
        <v/>
      </c>
      <c r="AE339" s="503" t="str">
        <f>IF(終値!A339="","",IF(AND(高値!I339&gt;高値!H339,高値!I339&gt;高値!G339,高値!I339&gt;高値!J339,高値!I339&gt;高値!K339),4,""))</f>
        <v/>
      </c>
      <c r="AF339" s="503" t="str">
        <f>IF(終値!A339="","",IF(AND(高値!J339&gt;高値!I339,高値!J339&gt;高値!H339,高値!J339&gt;高値!K339,高値!J339&gt;高値!L339),5,""))</f>
        <v/>
      </c>
      <c r="AG339" s="503" t="str">
        <f>IF(終値!A339="","",IF(AND(高値!K339&gt;高値!J339,高値!K339&gt;高値!I339,高値!K339&gt;高値!L339,高値!K339&gt;高値!M339),6,""))</f>
        <v/>
      </c>
      <c r="AH339" s="503" t="str">
        <f>IF(終値!A339="","",IF(AND(高値!L339&gt;高値!K339,高値!L339&gt;高値!J339,高値!L339&gt;高値!M339,高値!L339&gt;高値!N339),7,""))</f>
        <v/>
      </c>
      <c r="AI339" s="503" t="str">
        <f>IF(終値!A339="","",IF(AND(高値!M339&gt;高値!L339,高値!M339&gt;高値!K339,高値!M339&gt;高値!N339,高値!M339&gt;高値!O339),8,""))</f>
        <v/>
      </c>
      <c r="AJ339" s="503" t="str">
        <f>IF(終値!A339="","",IF(AND(高値!N339&gt;高値!M339,高値!N339&gt;高値!L339,高値!N339&gt;高値!O339,高値!N339&gt;高値!P339),9,""))</f>
        <v/>
      </c>
      <c r="AK339" s="503" t="str">
        <f>IF(終値!A339="","",IF(AND(高値!O339&gt;高値!N339,高値!O339&gt;高値!M339,高値!O339&gt;高値!P339,高値!O339&gt;高値!Q339),10,""))</f>
        <v/>
      </c>
      <c r="AL339" s="503" t="str">
        <f>IF(終値!A339="","",IF(AND(高値!P339&gt;高値!O339,高値!P339&gt;高値!N339,高値!P339&gt;高値!Q339,高値!P339&gt;高値!R339),11,""))</f>
        <v/>
      </c>
      <c r="AM339" s="503" t="str">
        <f>IF(終値!A339="","",IF(AND(高値!Q339&gt;高値!P339,高値!Q339&gt;高値!O339,高値!Q339&gt;高値!R339,高値!Q339&gt;高値!S339),12,""))</f>
        <v/>
      </c>
      <c r="AN339" s="503" t="str">
        <f>IF(終値!A339="","",IF(AND(高値!R339&gt;高値!Q339,高値!R339&gt;高値!P339,高値!R339&gt;高値!S339,高値!R339&gt;高値!T339),13,""))</f>
        <v/>
      </c>
      <c r="AO339" s="503" t="str">
        <f>IF(終値!A339="","",IF(AND(高値!S339&gt;高値!R339,高値!S339&gt;高値!Q339,高値!S339&gt;高値!T339,高値!S339&gt;高値!U339),14,""))</f>
        <v/>
      </c>
      <c r="AP339" s="503" t="str">
        <f>IF(終値!A339="","",IF(AND(高値!T339&gt;高値!S339,高値!T339&gt;高値!R339,高値!T339&gt;高値!U339,高値!T339&gt;高値!V339),15,""))</f>
        <v/>
      </c>
      <c r="AQ339" s="503" t="str">
        <f>IF(終値!A339="","",IF(AND(高値!U339&gt;高値!T339,高値!U339&gt;高値!S339,高値!U339&gt;高値!V339,高値!U339&gt;高値!W339),16,""))</f>
        <v/>
      </c>
      <c r="AR339" s="503" t="str">
        <f>IF(終値!A339="","",IF(AND(高値!V339&gt;高値!U339,高値!V339&gt;高値!T339,高値!V339&gt;高値!W339,高値!V339&gt;高値!X339),17,""))</f>
        <v/>
      </c>
      <c r="AS339" s="503" t="str">
        <f>IF(終値!A339="","",IF(AND(高値!W339&gt;高値!V339,高値!W339&gt;高値!U339,高値!W339&gt;高値!X339,高値!W339&gt;高値!Y339),18,""))</f>
        <v/>
      </c>
      <c r="AT339" s="503" t="str">
        <f>IF(終値!A339="","",IF(AND(高値!X339&gt;高値!W339,高値!X339&gt;高値!V339,高値!X339&gt;高値!Y339,高値!X339&gt;高値!Z339),19,""))</f>
        <v/>
      </c>
      <c r="AU339" s="503" t="str">
        <f>IF(終値!A339="","",IF(AND(高値!Y339&gt;高値!X339,高値!Y339&gt;高値!W339,高値!Y339&gt;高値!Z339,高値!Y339&gt;高値!AA339),20,""))</f>
        <v/>
      </c>
      <c r="AV339" s="503" t="str">
        <f>IF(終値!A339="","",IF(AND(高値!Z339&gt;高値!Y339,高値!Z339&gt;高値!X339,高値!Z339&gt;高値!AA339,高値!Z339&gt;高値!AB339),21,""))</f>
        <v/>
      </c>
      <c r="AW339" s="503" t="str">
        <f>IF(終値!A339="","",IF(AND(高値!AA339&gt;高値!Z339,高値!AA339&gt;高値!Y339,高値!AA339&gt;高値!AB339,高値!AA339&gt;高値!AC339),22,""))</f>
        <v/>
      </c>
      <c r="AX339" s="503" t="str">
        <f>IF(終値!A339="","",IF(AND(高値!AB339&gt;高値!AA339,高値!AB339&gt;高値!Z339,高値!AB339&gt;高値!AC339,高値!AB339&gt;高値!AD339),23,""))</f>
        <v/>
      </c>
      <c r="AY339" s="503" t="str">
        <f>IF(終値!A339="","",IF(AND(高値!AC339&gt;高値!AB339,高値!AC339&gt;高値!AA339,高値!AC339&gt;高値!AD339,高値!AC339&gt;高値!AE339),24,""))</f>
        <v/>
      </c>
      <c r="AZ339" s="503" t="str">
        <f>IF(終値!A339="","",IF(AND(高値!AD339&gt;高値!AC339,高値!AD339&gt;高値!AB339,高値!AD339&gt;高値!AE339,高値!AD339&gt;高値!AF339),25,""))</f>
        <v/>
      </c>
      <c r="BA339" s="503" t="str">
        <f>IF(終値!A339="","",IF(AND(高値!AE339&gt;高値!AD339,高値!AE339&gt;高値!AC339,高値!AE339&gt;高値!AF339,高値!AE339&gt;高値!AG339),26,""))</f>
        <v/>
      </c>
      <c r="BB339" s="503" t="str">
        <f>IF(終値!A339="","",IF(AND(高値!AF339&gt;高値!AE339,高値!AF339&gt;高値!AD339,高値!AF339&gt;高値!AG339,高値!AF339&gt;高値!AH339),27,""))</f>
        <v/>
      </c>
      <c r="BC339" s="503" t="str">
        <f>IF(終値!A339="","",IF(AND(高値!AG339&gt;高値!AF339,高値!AG339&gt;高値!AE339,高値!AG339&gt;高値!AH339,高値!AG339&gt;高値!AI339),28,""))</f>
        <v/>
      </c>
      <c r="BD339" s="503">
        <f t="shared" si="30"/>
        <v>0</v>
      </c>
      <c r="BE339" s="503" t="str">
        <f t="shared" si="31"/>
        <v/>
      </c>
      <c r="BF339" s="503" t="str">
        <f t="shared" si="32"/>
        <v/>
      </c>
      <c r="BG339" s="503" t="str">
        <f>IF($BE339="","",INDEX(安値!$E339:$CZ339,1,$BE339+1))</f>
        <v/>
      </c>
      <c r="BH339" s="503" t="str">
        <f>IF($BF339="","",INDEX(安値!$E339:$CZ339,1,$BF339+1))</f>
        <v/>
      </c>
      <c r="BI339" s="503" t="str">
        <f>IF($BF339="","",MAX(INDEX(高値!$E339:$CZ339,1,$BE339+1):INDEX(高値!$E339:$CZ339,1,$BF339+1)))</f>
        <v/>
      </c>
      <c r="BJ339" s="503" t="str">
        <f>IF($BF339="","",AVERAGE(INDEX(終値!$E339:$CZ339,1,$BF339+1):INDEX(終値!$E339:$CZ339,1,$BF339+20))-2*STDEVP(INDEX(終値!$E339:$CZ339,1,$BF339+1):INDEX(終値!$E339:$CZ339,1,$BF339+20)))</f>
        <v/>
      </c>
      <c r="BK339" s="503" t="str">
        <f>IF($BE339="","",AVERAGE(INDEX(終値!$E339:$CZ339,1,$BE339+1):INDEX(終値!$E339:$CZ339,1,$BE339+20))-2*STDEVP(INDEX(終値!$E339:$CZ339,1,$BE339+1):INDEX(終値!$E339:$CZ339,1,$BE339+20)))</f>
        <v/>
      </c>
      <c r="BL339" s="503">
        <f t="shared" si="33"/>
        <v>0</v>
      </c>
      <c r="BM339" s="503" t="str">
        <f t="shared" si="34"/>
        <v/>
      </c>
      <c r="BN339" s="503" t="str">
        <f t="shared" si="35"/>
        <v/>
      </c>
      <c r="BO339" s="503" t="str">
        <f>IF($BM339="","",INDEX(高値!$E339:$CZ339,1,$BM339+1))</f>
        <v/>
      </c>
      <c r="BP339" s="503" t="str">
        <f>IF($BN339="","",INDEX(高値!$E339:$CZ339,1,$BN339+1))</f>
        <v/>
      </c>
      <c r="BQ339" s="503" t="str">
        <f>IF($BN339="","",MIN(INDEX(安値!$E339:$CZ339,1,$BM339+1):INDEX(安値!$E339:$CZ339,1,$BN339+1)))</f>
        <v/>
      </c>
      <c r="BR339" s="503" t="str">
        <f>IF($BN339="","",AVERAGE(INDEX(終値!$E339:$CZ339,1,$BN339+1):INDEX(終値!$E339:$CZ339,1,$BN339+20))+2*STDEVP(INDEX(終値!$E339:$CZ339,1,$BN339+1):INDEX(終値!$E339:$CZ339,1,$BN339+20)))</f>
        <v/>
      </c>
      <c r="BS339" s="503" t="str">
        <f>IF($BM339="","",AVERAGE(INDEX(終値!$E339:$CZ339,1,$BM339+1):INDEX(終値!$E339:$CZ339,1,$BM339+20))+2*STDEVP(INDEX(終値!$E339:$CZ339,1,$BM339+1):INDEX(終値!$E339:$CZ339,1,$BM339+20)))</f>
        <v/>
      </c>
      <c r="BT339" s="500"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3" t="str">
        <f>IF(終値!A340="","",IF(AND(安値!G340&lt;安値!F340,安値!G340&lt;安値!E340,安値!G340&lt;安値!H340,安値!G340&lt;安値!I340),2,""))</f>
        <v/>
      </c>
      <c r="C340" s="503" t="str">
        <f>IF(終値!A340="","",IF(AND(安値!H340&lt;安値!G340,安値!H340&lt;安値!F340,安値!H340&lt;安値!I340,安値!H340&lt;安値!J340),3,""))</f>
        <v/>
      </c>
      <c r="D340" s="503" t="str">
        <f>IF(終値!A340="","",IF(AND(安値!I340&lt;安値!H340,安値!I340&lt;安値!G340,安値!I340&lt;安値!J340,安値!I340&lt;安値!K340),4,""))</f>
        <v/>
      </c>
      <c r="E340" s="503" t="str">
        <f>IF(終値!A340="","",IF(AND(安値!J340&lt;安値!I340,安値!J340&lt;安値!H340,安値!J340&lt;安値!K340,安値!J340&lt;安値!L340),5,""))</f>
        <v/>
      </c>
      <c r="F340" s="503" t="str">
        <f>IF(終値!A340="","",IF(AND(安値!K340&lt;安値!J340,安値!K340&lt;安値!I340,安値!K340&lt;安値!L340,安値!K340&lt;安値!M340),6,""))</f>
        <v/>
      </c>
      <c r="G340" s="503" t="str">
        <f>IF(終値!A340="","",IF(AND(安値!L340&lt;安値!K340,安値!L340&lt;安値!J340,安値!L340&lt;安値!M340,安値!L340&lt;安値!N340),7,""))</f>
        <v/>
      </c>
      <c r="H340" s="503" t="str">
        <f>IF(終値!A340="","",IF(AND(安値!M340&lt;安値!L340,安値!M340&lt;安値!K340,安値!M340&lt;安値!N340,安値!M340&lt;安値!O340),8,""))</f>
        <v/>
      </c>
      <c r="I340" s="503" t="str">
        <f>IF(終値!A340="","",IF(AND(安値!N340&lt;安値!M340,安値!N340&lt;安値!L340,安値!N340&lt;安値!O340,安値!N340&lt;安値!P340),9,""))</f>
        <v/>
      </c>
      <c r="J340" s="503" t="str">
        <f>IF(終値!A340="","",IF(AND(安値!O340&lt;安値!N340,安値!O340&lt;安値!M340,安値!O340&lt;安値!P340,安値!O340&lt;安値!Q340),10,""))</f>
        <v/>
      </c>
      <c r="K340" s="503" t="str">
        <f>IF(終値!A340="","",IF(AND(安値!P340&lt;安値!O340,安値!P340&lt;安値!N340,安値!P340&lt;安値!Q340,安値!P340&lt;安値!R340),11,""))</f>
        <v/>
      </c>
      <c r="L340" s="503" t="str">
        <f>IF(終値!A340="","",IF(AND(安値!Q340&lt;安値!P340,安値!Q340&lt;安値!O340,安値!Q340&lt;安値!R340,安値!Q340&lt;安値!S340),12,""))</f>
        <v/>
      </c>
      <c r="M340" s="503" t="str">
        <f>IF(終値!A340="","",IF(AND(安値!R340&lt;安値!Q340,安値!R340&lt;安値!P340,安値!R340&lt;安値!S340,安値!R340&lt;安値!T340),13,""))</f>
        <v/>
      </c>
      <c r="N340" s="503" t="str">
        <f>IF(終値!A340="","",IF(AND(安値!S340&lt;安値!R340,安値!S340&lt;安値!Q340,安値!S340&lt;安値!T340,安値!S340&lt;安値!U340),14,""))</f>
        <v/>
      </c>
      <c r="O340" s="503" t="str">
        <f>IF(終値!A340="","",IF(AND(安値!T340&lt;安値!S340,安値!T340&lt;安値!R340,安値!T340&lt;安値!U340,安値!T340&lt;安値!V340),15,""))</f>
        <v/>
      </c>
      <c r="P340" s="503" t="str">
        <f>IF(終値!A340="","",IF(AND(安値!U340&lt;安値!T340,安値!U340&lt;安値!S340,安値!U340&lt;安値!V340,安値!U340&lt;安値!W340),16,""))</f>
        <v/>
      </c>
      <c r="Q340" s="503" t="str">
        <f>IF(終値!A340="","",IF(AND(安値!V340&lt;安値!U340,安値!V340&lt;安値!T340,安値!V340&lt;安値!W340,安値!V340&lt;安値!X340),17,""))</f>
        <v/>
      </c>
      <c r="R340" s="503" t="str">
        <f>IF(終値!A340="","",IF(AND(安値!W340&lt;安値!V340,安値!W340&lt;安値!U340,安値!W340&lt;安値!X340,安値!W340&lt;安値!Y340),18,""))</f>
        <v/>
      </c>
      <c r="S340" s="503" t="str">
        <f>IF(終値!A340="","",IF(AND(安値!X340&lt;安値!W340,安値!X340&lt;安値!V340,安値!X340&lt;安値!Y340,安値!X340&lt;安値!Z340),19,""))</f>
        <v/>
      </c>
      <c r="T340" s="503" t="str">
        <f>IF(終値!A340="","",IF(AND(安値!Y340&lt;安値!X340,安値!Y340&lt;安値!W340,安値!Y340&lt;安値!Z340,安値!Y340&lt;安値!AA340),20,""))</f>
        <v/>
      </c>
      <c r="U340" s="503" t="str">
        <f>IF(終値!A340="","",IF(AND(安値!Z340&lt;安値!Y340,安値!Z340&lt;安値!X340,安値!Z340&lt;安値!AA340,安値!Z340&lt;安値!AB340),21,""))</f>
        <v/>
      </c>
      <c r="V340" s="503" t="str">
        <f>IF(終値!A340="","",IF(AND(安値!AA340&lt;安値!Z340,安値!AA340&lt;安値!Y340,安値!AA340&lt;安値!AB340,安値!AA340&lt;安値!AC340),22,""))</f>
        <v/>
      </c>
      <c r="W340" s="503" t="str">
        <f>IF(終値!A340="","",IF(AND(安値!AB340&lt;安値!AA340,安値!AB340&lt;安値!Z340,安値!AB340&lt;安値!AC340,安値!AB340&lt;安値!AD340),23,""))</f>
        <v/>
      </c>
      <c r="X340" s="503" t="str">
        <f>IF(終値!A340="","",IF(AND(安値!AC340&lt;安値!AB340,安値!AC340&lt;安値!AA340,安値!AC340&lt;安値!AD340,安値!AC340&lt;安値!AE340),24,""))</f>
        <v/>
      </c>
      <c r="Y340" s="503" t="str">
        <f>IF(終値!A340="","",IF(AND(安値!AD340&lt;安値!AC340,安値!AD340&lt;安値!AB340,安値!AD340&lt;安値!AE340,安値!AD340&lt;安値!AF340),25,""))</f>
        <v/>
      </c>
      <c r="Z340" s="503" t="str">
        <f>IF(終値!A340="","",IF(AND(安値!AE340&lt;安値!AD340,安値!AE340&lt;安値!AC340,安値!AE340&lt;安値!AF340,安値!AE340&lt;安値!AG340),26,""))</f>
        <v/>
      </c>
      <c r="AA340" s="503" t="str">
        <f>IF(終値!A340="","",IF(AND(安値!AF340&lt;安値!AE340,安値!AF340&lt;安値!AD340,安値!AF340&lt;安値!AG340,安値!AF340&lt;安値!AH340),27,""))</f>
        <v/>
      </c>
      <c r="AB340" s="503" t="str">
        <f>IF(終値!A340="","",IF(AND(安値!AG340&lt;安値!AF340,安値!AG340&lt;安値!AE340,安値!AG340&lt;安値!AH340,安値!AG340&lt;安値!AI340),28,""))</f>
        <v/>
      </c>
      <c r="AC340" s="503" t="str">
        <f>IF(終値!A340="","",IF(AND(高値!G340&gt;高値!F340,高値!G340&gt;高値!E340,高値!G340&gt;高値!H340,高値!G340&gt;高値!I340),2,""))</f>
        <v/>
      </c>
      <c r="AD340" s="503" t="str">
        <f>IF(終値!A340="","",IF(AND(高値!H340&gt;高値!G340,高値!H340&gt;高値!F340,高値!H340&gt;高値!I340,高値!H340&gt;高値!J340),3,""))</f>
        <v/>
      </c>
      <c r="AE340" s="503" t="str">
        <f>IF(終値!A340="","",IF(AND(高値!I340&gt;高値!H340,高値!I340&gt;高値!G340,高値!I340&gt;高値!J340,高値!I340&gt;高値!K340),4,""))</f>
        <v/>
      </c>
      <c r="AF340" s="503" t="str">
        <f>IF(終値!A340="","",IF(AND(高値!J340&gt;高値!I340,高値!J340&gt;高値!H340,高値!J340&gt;高値!K340,高値!J340&gt;高値!L340),5,""))</f>
        <v/>
      </c>
      <c r="AG340" s="503" t="str">
        <f>IF(終値!A340="","",IF(AND(高値!K340&gt;高値!J340,高値!K340&gt;高値!I340,高値!K340&gt;高値!L340,高値!K340&gt;高値!M340),6,""))</f>
        <v/>
      </c>
      <c r="AH340" s="503" t="str">
        <f>IF(終値!A340="","",IF(AND(高値!L340&gt;高値!K340,高値!L340&gt;高値!J340,高値!L340&gt;高値!M340,高値!L340&gt;高値!N340),7,""))</f>
        <v/>
      </c>
      <c r="AI340" s="503" t="str">
        <f>IF(終値!A340="","",IF(AND(高値!M340&gt;高値!L340,高値!M340&gt;高値!K340,高値!M340&gt;高値!N340,高値!M340&gt;高値!O340),8,""))</f>
        <v/>
      </c>
      <c r="AJ340" s="503" t="str">
        <f>IF(終値!A340="","",IF(AND(高値!N340&gt;高値!M340,高値!N340&gt;高値!L340,高値!N340&gt;高値!O340,高値!N340&gt;高値!P340),9,""))</f>
        <v/>
      </c>
      <c r="AK340" s="503" t="str">
        <f>IF(終値!A340="","",IF(AND(高値!O340&gt;高値!N340,高値!O340&gt;高値!M340,高値!O340&gt;高値!P340,高値!O340&gt;高値!Q340),10,""))</f>
        <v/>
      </c>
      <c r="AL340" s="503" t="str">
        <f>IF(終値!A340="","",IF(AND(高値!P340&gt;高値!O340,高値!P340&gt;高値!N340,高値!P340&gt;高値!Q340,高値!P340&gt;高値!R340),11,""))</f>
        <v/>
      </c>
      <c r="AM340" s="503" t="str">
        <f>IF(終値!A340="","",IF(AND(高値!Q340&gt;高値!P340,高値!Q340&gt;高値!O340,高値!Q340&gt;高値!R340,高値!Q340&gt;高値!S340),12,""))</f>
        <v/>
      </c>
      <c r="AN340" s="503" t="str">
        <f>IF(終値!A340="","",IF(AND(高値!R340&gt;高値!Q340,高値!R340&gt;高値!P340,高値!R340&gt;高値!S340,高値!R340&gt;高値!T340),13,""))</f>
        <v/>
      </c>
      <c r="AO340" s="503" t="str">
        <f>IF(終値!A340="","",IF(AND(高値!S340&gt;高値!R340,高値!S340&gt;高値!Q340,高値!S340&gt;高値!T340,高値!S340&gt;高値!U340),14,""))</f>
        <v/>
      </c>
      <c r="AP340" s="503" t="str">
        <f>IF(終値!A340="","",IF(AND(高値!T340&gt;高値!S340,高値!T340&gt;高値!R340,高値!T340&gt;高値!U340,高値!T340&gt;高値!V340),15,""))</f>
        <v/>
      </c>
      <c r="AQ340" s="503" t="str">
        <f>IF(終値!A340="","",IF(AND(高値!U340&gt;高値!T340,高値!U340&gt;高値!S340,高値!U340&gt;高値!V340,高値!U340&gt;高値!W340),16,""))</f>
        <v/>
      </c>
      <c r="AR340" s="503" t="str">
        <f>IF(終値!A340="","",IF(AND(高値!V340&gt;高値!U340,高値!V340&gt;高値!T340,高値!V340&gt;高値!W340,高値!V340&gt;高値!X340),17,""))</f>
        <v/>
      </c>
      <c r="AS340" s="503" t="str">
        <f>IF(終値!A340="","",IF(AND(高値!W340&gt;高値!V340,高値!W340&gt;高値!U340,高値!W340&gt;高値!X340,高値!W340&gt;高値!Y340),18,""))</f>
        <v/>
      </c>
      <c r="AT340" s="503" t="str">
        <f>IF(終値!A340="","",IF(AND(高値!X340&gt;高値!W340,高値!X340&gt;高値!V340,高値!X340&gt;高値!Y340,高値!X340&gt;高値!Z340),19,""))</f>
        <v/>
      </c>
      <c r="AU340" s="503" t="str">
        <f>IF(終値!A340="","",IF(AND(高値!Y340&gt;高値!X340,高値!Y340&gt;高値!W340,高値!Y340&gt;高値!Z340,高値!Y340&gt;高値!AA340),20,""))</f>
        <v/>
      </c>
      <c r="AV340" s="503" t="str">
        <f>IF(終値!A340="","",IF(AND(高値!Z340&gt;高値!Y340,高値!Z340&gt;高値!X340,高値!Z340&gt;高値!AA340,高値!Z340&gt;高値!AB340),21,""))</f>
        <v/>
      </c>
      <c r="AW340" s="503" t="str">
        <f>IF(終値!A340="","",IF(AND(高値!AA340&gt;高値!Z340,高値!AA340&gt;高値!Y340,高値!AA340&gt;高値!AB340,高値!AA340&gt;高値!AC340),22,""))</f>
        <v/>
      </c>
      <c r="AX340" s="503" t="str">
        <f>IF(終値!A340="","",IF(AND(高値!AB340&gt;高値!AA340,高値!AB340&gt;高値!Z340,高値!AB340&gt;高値!AC340,高値!AB340&gt;高値!AD340),23,""))</f>
        <v/>
      </c>
      <c r="AY340" s="503" t="str">
        <f>IF(終値!A340="","",IF(AND(高値!AC340&gt;高値!AB340,高値!AC340&gt;高値!AA340,高値!AC340&gt;高値!AD340,高値!AC340&gt;高値!AE340),24,""))</f>
        <v/>
      </c>
      <c r="AZ340" s="503" t="str">
        <f>IF(終値!A340="","",IF(AND(高値!AD340&gt;高値!AC340,高値!AD340&gt;高値!AB340,高値!AD340&gt;高値!AE340,高値!AD340&gt;高値!AF340),25,""))</f>
        <v/>
      </c>
      <c r="BA340" s="503" t="str">
        <f>IF(終値!A340="","",IF(AND(高値!AE340&gt;高値!AD340,高値!AE340&gt;高値!AC340,高値!AE340&gt;高値!AF340,高値!AE340&gt;高値!AG340),26,""))</f>
        <v/>
      </c>
      <c r="BB340" s="503" t="str">
        <f>IF(終値!A340="","",IF(AND(高値!AF340&gt;高値!AE340,高値!AF340&gt;高値!AD340,高値!AF340&gt;高値!AG340,高値!AF340&gt;高値!AH340),27,""))</f>
        <v/>
      </c>
      <c r="BC340" s="503" t="str">
        <f>IF(終値!A340="","",IF(AND(高値!AG340&gt;高値!AF340,高値!AG340&gt;高値!AE340,高値!AG340&gt;高値!AH340,高値!AG340&gt;高値!AI340),28,""))</f>
        <v/>
      </c>
      <c r="BD340" s="503">
        <f t="shared" si="30"/>
        <v>0</v>
      </c>
      <c r="BE340" s="503" t="str">
        <f t="shared" si="31"/>
        <v/>
      </c>
      <c r="BF340" s="503" t="str">
        <f t="shared" si="32"/>
        <v/>
      </c>
      <c r="BG340" s="503" t="str">
        <f>IF($BE340="","",INDEX(安値!$E340:$CZ340,1,$BE340+1))</f>
        <v/>
      </c>
      <c r="BH340" s="503" t="str">
        <f>IF($BF340="","",INDEX(安値!$E340:$CZ340,1,$BF340+1))</f>
        <v/>
      </c>
      <c r="BI340" s="503" t="str">
        <f>IF($BF340="","",MAX(INDEX(高値!$E340:$CZ340,1,$BE340+1):INDEX(高値!$E340:$CZ340,1,$BF340+1)))</f>
        <v/>
      </c>
      <c r="BJ340" s="503" t="str">
        <f>IF($BF340="","",AVERAGE(INDEX(終値!$E340:$CZ340,1,$BF340+1):INDEX(終値!$E340:$CZ340,1,$BF340+20))-2*STDEVP(INDEX(終値!$E340:$CZ340,1,$BF340+1):INDEX(終値!$E340:$CZ340,1,$BF340+20)))</f>
        <v/>
      </c>
      <c r="BK340" s="503" t="str">
        <f>IF($BE340="","",AVERAGE(INDEX(終値!$E340:$CZ340,1,$BE340+1):INDEX(終値!$E340:$CZ340,1,$BE340+20))-2*STDEVP(INDEX(終値!$E340:$CZ340,1,$BE340+1):INDEX(終値!$E340:$CZ340,1,$BE340+20)))</f>
        <v/>
      </c>
      <c r="BL340" s="503">
        <f t="shared" si="33"/>
        <v>0</v>
      </c>
      <c r="BM340" s="503" t="str">
        <f t="shared" si="34"/>
        <v/>
      </c>
      <c r="BN340" s="503" t="str">
        <f t="shared" si="35"/>
        <v/>
      </c>
      <c r="BO340" s="503" t="str">
        <f>IF($BM340="","",INDEX(高値!$E340:$CZ340,1,$BM340+1))</f>
        <v/>
      </c>
      <c r="BP340" s="503" t="str">
        <f>IF($BN340="","",INDEX(高値!$E340:$CZ340,1,$BN340+1))</f>
        <v/>
      </c>
      <c r="BQ340" s="503" t="str">
        <f>IF($BN340="","",MIN(INDEX(安値!$E340:$CZ340,1,$BM340+1):INDEX(安値!$E340:$CZ340,1,$BN340+1)))</f>
        <v/>
      </c>
      <c r="BR340" s="503" t="str">
        <f>IF($BN340="","",AVERAGE(INDEX(終値!$E340:$CZ340,1,$BN340+1):INDEX(終値!$E340:$CZ340,1,$BN340+20))+2*STDEVP(INDEX(終値!$E340:$CZ340,1,$BN340+1):INDEX(終値!$E340:$CZ340,1,$BN340+20)))</f>
        <v/>
      </c>
      <c r="BS340" s="503" t="str">
        <f>IF($BM340="","",AVERAGE(INDEX(終値!$E340:$CZ340,1,$BM340+1):INDEX(終値!$E340:$CZ340,1,$BM340+20))+2*STDEVP(INDEX(終値!$E340:$CZ340,1,$BM340+1):INDEX(終値!$E340:$CZ340,1,$BM340+20)))</f>
        <v/>
      </c>
      <c r="BT340" s="500"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3" t="str">
        <f>IF(終値!A341="","",IF(AND(安値!G341&lt;安値!F341,安値!G341&lt;安値!E341,安値!G341&lt;安値!H341,安値!G341&lt;安値!I341),2,""))</f>
        <v/>
      </c>
      <c r="C341" s="503" t="str">
        <f>IF(終値!A341="","",IF(AND(安値!H341&lt;安値!G341,安値!H341&lt;安値!F341,安値!H341&lt;安値!I341,安値!H341&lt;安値!J341),3,""))</f>
        <v/>
      </c>
      <c r="D341" s="503" t="str">
        <f>IF(終値!A341="","",IF(AND(安値!I341&lt;安値!H341,安値!I341&lt;安値!G341,安値!I341&lt;安値!J341,安値!I341&lt;安値!K341),4,""))</f>
        <v/>
      </c>
      <c r="E341" s="503" t="str">
        <f>IF(終値!A341="","",IF(AND(安値!J341&lt;安値!I341,安値!J341&lt;安値!H341,安値!J341&lt;安値!K341,安値!J341&lt;安値!L341),5,""))</f>
        <v/>
      </c>
      <c r="F341" s="503" t="str">
        <f>IF(終値!A341="","",IF(AND(安値!K341&lt;安値!J341,安値!K341&lt;安値!I341,安値!K341&lt;安値!L341,安値!K341&lt;安値!M341),6,""))</f>
        <v/>
      </c>
      <c r="G341" s="503" t="str">
        <f>IF(終値!A341="","",IF(AND(安値!L341&lt;安値!K341,安値!L341&lt;安値!J341,安値!L341&lt;安値!M341,安値!L341&lt;安値!N341),7,""))</f>
        <v/>
      </c>
      <c r="H341" s="503" t="str">
        <f>IF(終値!A341="","",IF(AND(安値!M341&lt;安値!L341,安値!M341&lt;安値!K341,安値!M341&lt;安値!N341,安値!M341&lt;安値!O341),8,""))</f>
        <v/>
      </c>
      <c r="I341" s="503" t="str">
        <f>IF(終値!A341="","",IF(AND(安値!N341&lt;安値!M341,安値!N341&lt;安値!L341,安値!N341&lt;安値!O341,安値!N341&lt;安値!P341),9,""))</f>
        <v/>
      </c>
      <c r="J341" s="503" t="str">
        <f>IF(終値!A341="","",IF(AND(安値!O341&lt;安値!N341,安値!O341&lt;安値!M341,安値!O341&lt;安値!P341,安値!O341&lt;安値!Q341),10,""))</f>
        <v/>
      </c>
      <c r="K341" s="503" t="str">
        <f>IF(終値!A341="","",IF(AND(安値!P341&lt;安値!O341,安値!P341&lt;安値!N341,安値!P341&lt;安値!Q341,安値!P341&lt;安値!R341),11,""))</f>
        <v/>
      </c>
      <c r="L341" s="503" t="str">
        <f>IF(終値!A341="","",IF(AND(安値!Q341&lt;安値!P341,安値!Q341&lt;安値!O341,安値!Q341&lt;安値!R341,安値!Q341&lt;安値!S341),12,""))</f>
        <v/>
      </c>
      <c r="M341" s="503" t="str">
        <f>IF(終値!A341="","",IF(AND(安値!R341&lt;安値!Q341,安値!R341&lt;安値!P341,安値!R341&lt;安値!S341,安値!R341&lt;安値!T341),13,""))</f>
        <v/>
      </c>
      <c r="N341" s="503" t="str">
        <f>IF(終値!A341="","",IF(AND(安値!S341&lt;安値!R341,安値!S341&lt;安値!Q341,安値!S341&lt;安値!T341,安値!S341&lt;安値!U341),14,""))</f>
        <v/>
      </c>
      <c r="O341" s="503" t="str">
        <f>IF(終値!A341="","",IF(AND(安値!T341&lt;安値!S341,安値!T341&lt;安値!R341,安値!T341&lt;安値!U341,安値!T341&lt;安値!V341),15,""))</f>
        <v/>
      </c>
      <c r="P341" s="503" t="str">
        <f>IF(終値!A341="","",IF(AND(安値!U341&lt;安値!T341,安値!U341&lt;安値!S341,安値!U341&lt;安値!V341,安値!U341&lt;安値!W341),16,""))</f>
        <v/>
      </c>
      <c r="Q341" s="503" t="str">
        <f>IF(終値!A341="","",IF(AND(安値!V341&lt;安値!U341,安値!V341&lt;安値!T341,安値!V341&lt;安値!W341,安値!V341&lt;安値!X341),17,""))</f>
        <v/>
      </c>
      <c r="R341" s="503" t="str">
        <f>IF(終値!A341="","",IF(AND(安値!W341&lt;安値!V341,安値!W341&lt;安値!U341,安値!W341&lt;安値!X341,安値!W341&lt;安値!Y341),18,""))</f>
        <v/>
      </c>
      <c r="S341" s="503" t="str">
        <f>IF(終値!A341="","",IF(AND(安値!X341&lt;安値!W341,安値!X341&lt;安値!V341,安値!X341&lt;安値!Y341,安値!X341&lt;安値!Z341),19,""))</f>
        <v/>
      </c>
      <c r="T341" s="503" t="str">
        <f>IF(終値!A341="","",IF(AND(安値!Y341&lt;安値!X341,安値!Y341&lt;安値!W341,安値!Y341&lt;安値!Z341,安値!Y341&lt;安値!AA341),20,""))</f>
        <v/>
      </c>
      <c r="U341" s="503" t="str">
        <f>IF(終値!A341="","",IF(AND(安値!Z341&lt;安値!Y341,安値!Z341&lt;安値!X341,安値!Z341&lt;安値!AA341,安値!Z341&lt;安値!AB341),21,""))</f>
        <v/>
      </c>
      <c r="V341" s="503" t="str">
        <f>IF(終値!A341="","",IF(AND(安値!AA341&lt;安値!Z341,安値!AA341&lt;安値!Y341,安値!AA341&lt;安値!AB341,安値!AA341&lt;安値!AC341),22,""))</f>
        <v/>
      </c>
      <c r="W341" s="503" t="str">
        <f>IF(終値!A341="","",IF(AND(安値!AB341&lt;安値!AA341,安値!AB341&lt;安値!Z341,安値!AB341&lt;安値!AC341,安値!AB341&lt;安値!AD341),23,""))</f>
        <v/>
      </c>
      <c r="X341" s="503" t="str">
        <f>IF(終値!A341="","",IF(AND(安値!AC341&lt;安値!AB341,安値!AC341&lt;安値!AA341,安値!AC341&lt;安値!AD341,安値!AC341&lt;安値!AE341),24,""))</f>
        <v/>
      </c>
      <c r="Y341" s="503" t="str">
        <f>IF(終値!A341="","",IF(AND(安値!AD341&lt;安値!AC341,安値!AD341&lt;安値!AB341,安値!AD341&lt;安値!AE341,安値!AD341&lt;安値!AF341),25,""))</f>
        <v/>
      </c>
      <c r="Z341" s="503" t="str">
        <f>IF(終値!A341="","",IF(AND(安値!AE341&lt;安値!AD341,安値!AE341&lt;安値!AC341,安値!AE341&lt;安値!AF341,安値!AE341&lt;安値!AG341),26,""))</f>
        <v/>
      </c>
      <c r="AA341" s="503" t="str">
        <f>IF(終値!A341="","",IF(AND(安値!AF341&lt;安値!AE341,安値!AF341&lt;安値!AD341,安値!AF341&lt;安値!AG341,安値!AF341&lt;安値!AH341),27,""))</f>
        <v/>
      </c>
      <c r="AB341" s="503" t="str">
        <f>IF(終値!A341="","",IF(AND(安値!AG341&lt;安値!AF341,安値!AG341&lt;安値!AE341,安値!AG341&lt;安値!AH341,安値!AG341&lt;安値!AI341),28,""))</f>
        <v/>
      </c>
      <c r="AC341" s="503" t="str">
        <f>IF(終値!A341="","",IF(AND(高値!G341&gt;高値!F341,高値!G341&gt;高値!E341,高値!G341&gt;高値!H341,高値!G341&gt;高値!I341),2,""))</f>
        <v/>
      </c>
      <c r="AD341" s="503" t="str">
        <f>IF(終値!A341="","",IF(AND(高値!H341&gt;高値!G341,高値!H341&gt;高値!F341,高値!H341&gt;高値!I341,高値!H341&gt;高値!J341),3,""))</f>
        <v/>
      </c>
      <c r="AE341" s="503" t="str">
        <f>IF(終値!A341="","",IF(AND(高値!I341&gt;高値!H341,高値!I341&gt;高値!G341,高値!I341&gt;高値!J341,高値!I341&gt;高値!K341),4,""))</f>
        <v/>
      </c>
      <c r="AF341" s="503" t="str">
        <f>IF(終値!A341="","",IF(AND(高値!J341&gt;高値!I341,高値!J341&gt;高値!H341,高値!J341&gt;高値!K341,高値!J341&gt;高値!L341),5,""))</f>
        <v/>
      </c>
      <c r="AG341" s="503" t="str">
        <f>IF(終値!A341="","",IF(AND(高値!K341&gt;高値!J341,高値!K341&gt;高値!I341,高値!K341&gt;高値!L341,高値!K341&gt;高値!M341),6,""))</f>
        <v/>
      </c>
      <c r="AH341" s="503" t="str">
        <f>IF(終値!A341="","",IF(AND(高値!L341&gt;高値!K341,高値!L341&gt;高値!J341,高値!L341&gt;高値!M341,高値!L341&gt;高値!N341),7,""))</f>
        <v/>
      </c>
      <c r="AI341" s="503" t="str">
        <f>IF(終値!A341="","",IF(AND(高値!M341&gt;高値!L341,高値!M341&gt;高値!K341,高値!M341&gt;高値!N341,高値!M341&gt;高値!O341),8,""))</f>
        <v/>
      </c>
      <c r="AJ341" s="503" t="str">
        <f>IF(終値!A341="","",IF(AND(高値!N341&gt;高値!M341,高値!N341&gt;高値!L341,高値!N341&gt;高値!O341,高値!N341&gt;高値!P341),9,""))</f>
        <v/>
      </c>
      <c r="AK341" s="503" t="str">
        <f>IF(終値!A341="","",IF(AND(高値!O341&gt;高値!N341,高値!O341&gt;高値!M341,高値!O341&gt;高値!P341,高値!O341&gt;高値!Q341),10,""))</f>
        <v/>
      </c>
      <c r="AL341" s="503" t="str">
        <f>IF(終値!A341="","",IF(AND(高値!P341&gt;高値!O341,高値!P341&gt;高値!N341,高値!P341&gt;高値!Q341,高値!P341&gt;高値!R341),11,""))</f>
        <v/>
      </c>
      <c r="AM341" s="503" t="str">
        <f>IF(終値!A341="","",IF(AND(高値!Q341&gt;高値!P341,高値!Q341&gt;高値!O341,高値!Q341&gt;高値!R341,高値!Q341&gt;高値!S341),12,""))</f>
        <v/>
      </c>
      <c r="AN341" s="503" t="str">
        <f>IF(終値!A341="","",IF(AND(高値!R341&gt;高値!Q341,高値!R341&gt;高値!P341,高値!R341&gt;高値!S341,高値!R341&gt;高値!T341),13,""))</f>
        <v/>
      </c>
      <c r="AO341" s="503" t="str">
        <f>IF(終値!A341="","",IF(AND(高値!S341&gt;高値!R341,高値!S341&gt;高値!Q341,高値!S341&gt;高値!T341,高値!S341&gt;高値!U341),14,""))</f>
        <v/>
      </c>
      <c r="AP341" s="503" t="str">
        <f>IF(終値!A341="","",IF(AND(高値!T341&gt;高値!S341,高値!T341&gt;高値!R341,高値!T341&gt;高値!U341,高値!T341&gt;高値!V341),15,""))</f>
        <v/>
      </c>
      <c r="AQ341" s="503" t="str">
        <f>IF(終値!A341="","",IF(AND(高値!U341&gt;高値!T341,高値!U341&gt;高値!S341,高値!U341&gt;高値!V341,高値!U341&gt;高値!W341),16,""))</f>
        <v/>
      </c>
      <c r="AR341" s="503" t="str">
        <f>IF(終値!A341="","",IF(AND(高値!V341&gt;高値!U341,高値!V341&gt;高値!T341,高値!V341&gt;高値!W341,高値!V341&gt;高値!X341),17,""))</f>
        <v/>
      </c>
      <c r="AS341" s="503" t="str">
        <f>IF(終値!A341="","",IF(AND(高値!W341&gt;高値!V341,高値!W341&gt;高値!U341,高値!W341&gt;高値!X341,高値!W341&gt;高値!Y341),18,""))</f>
        <v/>
      </c>
      <c r="AT341" s="503" t="str">
        <f>IF(終値!A341="","",IF(AND(高値!X341&gt;高値!W341,高値!X341&gt;高値!V341,高値!X341&gt;高値!Y341,高値!X341&gt;高値!Z341),19,""))</f>
        <v/>
      </c>
      <c r="AU341" s="503" t="str">
        <f>IF(終値!A341="","",IF(AND(高値!Y341&gt;高値!X341,高値!Y341&gt;高値!W341,高値!Y341&gt;高値!Z341,高値!Y341&gt;高値!AA341),20,""))</f>
        <v/>
      </c>
      <c r="AV341" s="503" t="str">
        <f>IF(終値!A341="","",IF(AND(高値!Z341&gt;高値!Y341,高値!Z341&gt;高値!X341,高値!Z341&gt;高値!AA341,高値!Z341&gt;高値!AB341),21,""))</f>
        <v/>
      </c>
      <c r="AW341" s="503" t="str">
        <f>IF(終値!A341="","",IF(AND(高値!AA341&gt;高値!Z341,高値!AA341&gt;高値!Y341,高値!AA341&gt;高値!AB341,高値!AA341&gt;高値!AC341),22,""))</f>
        <v/>
      </c>
      <c r="AX341" s="503" t="str">
        <f>IF(終値!A341="","",IF(AND(高値!AB341&gt;高値!AA341,高値!AB341&gt;高値!Z341,高値!AB341&gt;高値!AC341,高値!AB341&gt;高値!AD341),23,""))</f>
        <v/>
      </c>
      <c r="AY341" s="503" t="str">
        <f>IF(終値!A341="","",IF(AND(高値!AC341&gt;高値!AB341,高値!AC341&gt;高値!AA341,高値!AC341&gt;高値!AD341,高値!AC341&gt;高値!AE341),24,""))</f>
        <v/>
      </c>
      <c r="AZ341" s="503" t="str">
        <f>IF(終値!A341="","",IF(AND(高値!AD341&gt;高値!AC341,高値!AD341&gt;高値!AB341,高値!AD341&gt;高値!AE341,高値!AD341&gt;高値!AF341),25,""))</f>
        <v/>
      </c>
      <c r="BA341" s="503" t="str">
        <f>IF(終値!A341="","",IF(AND(高値!AE341&gt;高値!AD341,高値!AE341&gt;高値!AC341,高値!AE341&gt;高値!AF341,高値!AE341&gt;高値!AG341),26,""))</f>
        <v/>
      </c>
      <c r="BB341" s="503" t="str">
        <f>IF(終値!A341="","",IF(AND(高値!AF341&gt;高値!AE341,高値!AF341&gt;高値!AD341,高値!AF341&gt;高値!AG341,高値!AF341&gt;高値!AH341),27,""))</f>
        <v/>
      </c>
      <c r="BC341" s="503" t="str">
        <f>IF(終値!A341="","",IF(AND(高値!AG341&gt;高値!AF341,高値!AG341&gt;高値!AE341,高値!AG341&gt;高値!AH341,高値!AG341&gt;高値!AI341),28,""))</f>
        <v/>
      </c>
      <c r="BD341" s="503">
        <f t="shared" si="30"/>
        <v>0</v>
      </c>
      <c r="BE341" s="503" t="str">
        <f t="shared" si="31"/>
        <v/>
      </c>
      <c r="BF341" s="503" t="str">
        <f t="shared" si="32"/>
        <v/>
      </c>
      <c r="BG341" s="503" t="str">
        <f>IF($BE341="","",INDEX(安値!$E341:$CZ341,1,$BE341+1))</f>
        <v/>
      </c>
      <c r="BH341" s="503" t="str">
        <f>IF($BF341="","",INDEX(安値!$E341:$CZ341,1,$BF341+1))</f>
        <v/>
      </c>
      <c r="BI341" s="503" t="str">
        <f>IF($BF341="","",MAX(INDEX(高値!$E341:$CZ341,1,$BE341+1):INDEX(高値!$E341:$CZ341,1,$BF341+1)))</f>
        <v/>
      </c>
      <c r="BJ341" s="503" t="str">
        <f>IF($BF341="","",AVERAGE(INDEX(終値!$E341:$CZ341,1,$BF341+1):INDEX(終値!$E341:$CZ341,1,$BF341+20))-2*STDEVP(INDEX(終値!$E341:$CZ341,1,$BF341+1):INDEX(終値!$E341:$CZ341,1,$BF341+20)))</f>
        <v/>
      </c>
      <c r="BK341" s="503" t="str">
        <f>IF($BE341="","",AVERAGE(INDEX(終値!$E341:$CZ341,1,$BE341+1):INDEX(終値!$E341:$CZ341,1,$BE341+20))-2*STDEVP(INDEX(終値!$E341:$CZ341,1,$BE341+1):INDEX(終値!$E341:$CZ341,1,$BE341+20)))</f>
        <v/>
      </c>
      <c r="BL341" s="503">
        <f t="shared" si="33"/>
        <v>0</v>
      </c>
      <c r="BM341" s="503" t="str">
        <f t="shared" si="34"/>
        <v/>
      </c>
      <c r="BN341" s="503" t="str">
        <f t="shared" si="35"/>
        <v/>
      </c>
      <c r="BO341" s="503" t="str">
        <f>IF($BM341="","",INDEX(高値!$E341:$CZ341,1,$BM341+1))</f>
        <v/>
      </c>
      <c r="BP341" s="503" t="str">
        <f>IF($BN341="","",INDEX(高値!$E341:$CZ341,1,$BN341+1))</f>
        <v/>
      </c>
      <c r="BQ341" s="503" t="str">
        <f>IF($BN341="","",MIN(INDEX(安値!$E341:$CZ341,1,$BM341+1):INDEX(安値!$E341:$CZ341,1,$BN341+1)))</f>
        <v/>
      </c>
      <c r="BR341" s="503" t="str">
        <f>IF($BN341="","",AVERAGE(INDEX(終値!$E341:$CZ341,1,$BN341+1):INDEX(終値!$E341:$CZ341,1,$BN341+20))+2*STDEVP(INDEX(終値!$E341:$CZ341,1,$BN341+1):INDEX(終値!$E341:$CZ341,1,$BN341+20)))</f>
        <v/>
      </c>
      <c r="BS341" s="503" t="str">
        <f>IF($BM341="","",AVERAGE(INDEX(終値!$E341:$CZ341,1,$BM341+1):INDEX(終値!$E341:$CZ341,1,$BM341+20))+2*STDEVP(INDEX(終値!$E341:$CZ341,1,$BM341+1):INDEX(終値!$E341:$CZ341,1,$BM341+20)))</f>
        <v/>
      </c>
      <c r="BT341" s="500"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3" t="str">
        <f>IF(終値!A342="","",IF(AND(安値!G342&lt;安値!F342,安値!G342&lt;安値!E342,安値!G342&lt;安値!H342,安値!G342&lt;安値!I342),2,""))</f>
        <v/>
      </c>
      <c r="C342" s="503" t="str">
        <f>IF(終値!A342="","",IF(AND(安値!H342&lt;安値!G342,安値!H342&lt;安値!F342,安値!H342&lt;安値!I342,安値!H342&lt;安値!J342),3,""))</f>
        <v/>
      </c>
      <c r="D342" s="503" t="str">
        <f>IF(終値!A342="","",IF(AND(安値!I342&lt;安値!H342,安値!I342&lt;安値!G342,安値!I342&lt;安値!J342,安値!I342&lt;安値!K342),4,""))</f>
        <v/>
      </c>
      <c r="E342" s="503" t="str">
        <f>IF(終値!A342="","",IF(AND(安値!J342&lt;安値!I342,安値!J342&lt;安値!H342,安値!J342&lt;安値!K342,安値!J342&lt;安値!L342),5,""))</f>
        <v/>
      </c>
      <c r="F342" s="503" t="str">
        <f>IF(終値!A342="","",IF(AND(安値!K342&lt;安値!J342,安値!K342&lt;安値!I342,安値!K342&lt;安値!L342,安値!K342&lt;安値!M342),6,""))</f>
        <v/>
      </c>
      <c r="G342" s="503" t="str">
        <f>IF(終値!A342="","",IF(AND(安値!L342&lt;安値!K342,安値!L342&lt;安値!J342,安値!L342&lt;安値!M342,安値!L342&lt;安値!N342),7,""))</f>
        <v/>
      </c>
      <c r="H342" s="503" t="str">
        <f>IF(終値!A342="","",IF(AND(安値!M342&lt;安値!L342,安値!M342&lt;安値!K342,安値!M342&lt;安値!N342,安値!M342&lt;安値!O342),8,""))</f>
        <v/>
      </c>
      <c r="I342" s="503" t="str">
        <f>IF(終値!A342="","",IF(AND(安値!N342&lt;安値!M342,安値!N342&lt;安値!L342,安値!N342&lt;安値!O342,安値!N342&lt;安値!P342),9,""))</f>
        <v/>
      </c>
      <c r="J342" s="503" t="str">
        <f>IF(終値!A342="","",IF(AND(安値!O342&lt;安値!N342,安値!O342&lt;安値!M342,安値!O342&lt;安値!P342,安値!O342&lt;安値!Q342),10,""))</f>
        <v/>
      </c>
      <c r="K342" s="503" t="str">
        <f>IF(終値!A342="","",IF(AND(安値!P342&lt;安値!O342,安値!P342&lt;安値!N342,安値!P342&lt;安値!Q342,安値!P342&lt;安値!R342),11,""))</f>
        <v/>
      </c>
      <c r="L342" s="503" t="str">
        <f>IF(終値!A342="","",IF(AND(安値!Q342&lt;安値!P342,安値!Q342&lt;安値!O342,安値!Q342&lt;安値!R342,安値!Q342&lt;安値!S342),12,""))</f>
        <v/>
      </c>
      <c r="M342" s="503" t="str">
        <f>IF(終値!A342="","",IF(AND(安値!R342&lt;安値!Q342,安値!R342&lt;安値!P342,安値!R342&lt;安値!S342,安値!R342&lt;安値!T342),13,""))</f>
        <v/>
      </c>
      <c r="N342" s="503" t="str">
        <f>IF(終値!A342="","",IF(AND(安値!S342&lt;安値!R342,安値!S342&lt;安値!Q342,安値!S342&lt;安値!T342,安値!S342&lt;安値!U342),14,""))</f>
        <v/>
      </c>
      <c r="O342" s="503" t="str">
        <f>IF(終値!A342="","",IF(AND(安値!T342&lt;安値!S342,安値!T342&lt;安値!R342,安値!T342&lt;安値!U342,安値!T342&lt;安値!V342),15,""))</f>
        <v/>
      </c>
      <c r="P342" s="503" t="str">
        <f>IF(終値!A342="","",IF(AND(安値!U342&lt;安値!T342,安値!U342&lt;安値!S342,安値!U342&lt;安値!V342,安値!U342&lt;安値!W342),16,""))</f>
        <v/>
      </c>
      <c r="Q342" s="503" t="str">
        <f>IF(終値!A342="","",IF(AND(安値!V342&lt;安値!U342,安値!V342&lt;安値!T342,安値!V342&lt;安値!W342,安値!V342&lt;安値!X342),17,""))</f>
        <v/>
      </c>
      <c r="R342" s="503" t="str">
        <f>IF(終値!A342="","",IF(AND(安値!W342&lt;安値!V342,安値!W342&lt;安値!U342,安値!W342&lt;安値!X342,安値!W342&lt;安値!Y342),18,""))</f>
        <v/>
      </c>
      <c r="S342" s="503" t="str">
        <f>IF(終値!A342="","",IF(AND(安値!X342&lt;安値!W342,安値!X342&lt;安値!V342,安値!X342&lt;安値!Y342,安値!X342&lt;安値!Z342),19,""))</f>
        <v/>
      </c>
      <c r="T342" s="503" t="str">
        <f>IF(終値!A342="","",IF(AND(安値!Y342&lt;安値!X342,安値!Y342&lt;安値!W342,安値!Y342&lt;安値!Z342,安値!Y342&lt;安値!AA342),20,""))</f>
        <v/>
      </c>
      <c r="U342" s="503" t="str">
        <f>IF(終値!A342="","",IF(AND(安値!Z342&lt;安値!Y342,安値!Z342&lt;安値!X342,安値!Z342&lt;安値!AA342,安値!Z342&lt;安値!AB342),21,""))</f>
        <v/>
      </c>
      <c r="V342" s="503" t="str">
        <f>IF(終値!A342="","",IF(AND(安値!AA342&lt;安値!Z342,安値!AA342&lt;安値!Y342,安値!AA342&lt;安値!AB342,安値!AA342&lt;安値!AC342),22,""))</f>
        <v/>
      </c>
      <c r="W342" s="503" t="str">
        <f>IF(終値!A342="","",IF(AND(安値!AB342&lt;安値!AA342,安値!AB342&lt;安値!Z342,安値!AB342&lt;安値!AC342,安値!AB342&lt;安値!AD342),23,""))</f>
        <v/>
      </c>
      <c r="X342" s="503" t="str">
        <f>IF(終値!A342="","",IF(AND(安値!AC342&lt;安値!AB342,安値!AC342&lt;安値!AA342,安値!AC342&lt;安値!AD342,安値!AC342&lt;安値!AE342),24,""))</f>
        <v/>
      </c>
      <c r="Y342" s="503" t="str">
        <f>IF(終値!A342="","",IF(AND(安値!AD342&lt;安値!AC342,安値!AD342&lt;安値!AB342,安値!AD342&lt;安値!AE342,安値!AD342&lt;安値!AF342),25,""))</f>
        <v/>
      </c>
      <c r="Z342" s="503" t="str">
        <f>IF(終値!A342="","",IF(AND(安値!AE342&lt;安値!AD342,安値!AE342&lt;安値!AC342,安値!AE342&lt;安値!AF342,安値!AE342&lt;安値!AG342),26,""))</f>
        <v/>
      </c>
      <c r="AA342" s="503" t="str">
        <f>IF(終値!A342="","",IF(AND(安値!AF342&lt;安値!AE342,安値!AF342&lt;安値!AD342,安値!AF342&lt;安値!AG342,安値!AF342&lt;安値!AH342),27,""))</f>
        <v/>
      </c>
      <c r="AB342" s="503" t="str">
        <f>IF(終値!A342="","",IF(AND(安値!AG342&lt;安値!AF342,安値!AG342&lt;安値!AE342,安値!AG342&lt;安値!AH342,安値!AG342&lt;安値!AI342),28,""))</f>
        <v/>
      </c>
      <c r="AC342" s="503" t="str">
        <f>IF(終値!A342="","",IF(AND(高値!G342&gt;高値!F342,高値!G342&gt;高値!E342,高値!G342&gt;高値!H342,高値!G342&gt;高値!I342),2,""))</f>
        <v/>
      </c>
      <c r="AD342" s="503" t="str">
        <f>IF(終値!A342="","",IF(AND(高値!H342&gt;高値!G342,高値!H342&gt;高値!F342,高値!H342&gt;高値!I342,高値!H342&gt;高値!J342),3,""))</f>
        <v/>
      </c>
      <c r="AE342" s="503" t="str">
        <f>IF(終値!A342="","",IF(AND(高値!I342&gt;高値!H342,高値!I342&gt;高値!G342,高値!I342&gt;高値!J342,高値!I342&gt;高値!K342),4,""))</f>
        <v/>
      </c>
      <c r="AF342" s="503" t="str">
        <f>IF(終値!A342="","",IF(AND(高値!J342&gt;高値!I342,高値!J342&gt;高値!H342,高値!J342&gt;高値!K342,高値!J342&gt;高値!L342),5,""))</f>
        <v/>
      </c>
      <c r="AG342" s="503" t="str">
        <f>IF(終値!A342="","",IF(AND(高値!K342&gt;高値!J342,高値!K342&gt;高値!I342,高値!K342&gt;高値!L342,高値!K342&gt;高値!M342),6,""))</f>
        <v/>
      </c>
      <c r="AH342" s="503" t="str">
        <f>IF(終値!A342="","",IF(AND(高値!L342&gt;高値!K342,高値!L342&gt;高値!J342,高値!L342&gt;高値!M342,高値!L342&gt;高値!N342),7,""))</f>
        <v/>
      </c>
      <c r="AI342" s="503" t="str">
        <f>IF(終値!A342="","",IF(AND(高値!M342&gt;高値!L342,高値!M342&gt;高値!K342,高値!M342&gt;高値!N342,高値!M342&gt;高値!O342),8,""))</f>
        <v/>
      </c>
      <c r="AJ342" s="503" t="str">
        <f>IF(終値!A342="","",IF(AND(高値!N342&gt;高値!M342,高値!N342&gt;高値!L342,高値!N342&gt;高値!O342,高値!N342&gt;高値!P342),9,""))</f>
        <v/>
      </c>
      <c r="AK342" s="503" t="str">
        <f>IF(終値!A342="","",IF(AND(高値!O342&gt;高値!N342,高値!O342&gt;高値!M342,高値!O342&gt;高値!P342,高値!O342&gt;高値!Q342),10,""))</f>
        <v/>
      </c>
      <c r="AL342" s="503" t="str">
        <f>IF(終値!A342="","",IF(AND(高値!P342&gt;高値!O342,高値!P342&gt;高値!N342,高値!P342&gt;高値!Q342,高値!P342&gt;高値!R342),11,""))</f>
        <v/>
      </c>
      <c r="AM342" s="503" t="str">
        <f>IF(終値!A342="","",IF(AND(高値!Q342&gt;高値!P342,高値!Q342&gt;高値!O342,高値!Q342&gt;高値!R342,高値!Q342&gt;高値!S342),12,""))</f>
        <v/>
      </c>
      <c r="AN342" s="503" t="str">
        <f>IF(終値!A342="","",IF(AND(高値!R342&gt;高値!Q342,高値!R342&gt;高値!P342,高値!R342&gt;高値!S342,高値!R342&gt;高値!T342),13,""))</f>
        <v/>
      </c>
      <c r="AO342" s="503" t="str">
        <f>IF(終値!A342="","",IF(AND(高値!S342&gt;高値!R342,高値!S342&gt;高値!Q342,高値!S342&gt;高値!T342,高値!S342&gt;高値!U342),14,""))</f>
        <v/>
      </c>
      <c r="AP342" s="503" t="str">
        <f>IF(終値!A342="","",IF(AND(高値!T342&gt;高値!S342,高値!T342&gt;高値!R342,高値!T342&gt;高値!U342,高値!T342&gt;高値!V342),15,""))</f>
        <v/>
      </c>
      <c r="AQ342" s="503" t="str">
        <f>IF(終値!A342="","",IF(AND(高値!U342&gt;高値!T342,高値!U342&gt;高値!S342,高値!U342&gt;高値!V342,高値!U342&gt;高値!W342),16,""))</f>
        <v/>
      </c>
      <c r="AR342" s="503" t="str">
        <f>IF(終値!A342="","",IF(AND(高値!V342&gt;高値!U342,高値!V342&gt;高値!T342,高値!V342&gt;高値!W342,高値!V342&gt;高値!X342),17,""))</f>
        <v/>
      </c>
      <c r="AS342" s="503" t="str">
        <f>IF(終値!A342="","",IF(AND(高値!W342&gt;高値!V342,高値!W342&gt;高値!U342,高値!W342&gt;高値!X342,高値!W342&gt;高値!Y342),18,""))</f>
        <v/>
      </c>
      <c r="AT342" s="503" t="str">
        <f>IF(終値!A342="","",IF(AND(高値!X342&gt;高値!W342,高値!X342&gt;高値!V342,高値!X342&gt;高値!Y342,高値!X342&gt;高値!Z342),19,""))</f>
        <v/>
      </c>
      <c r="AU342" s="503" t="str">
        <f>IF(終値!A342="","",IF(AND(高値!Y342&gt;高値!X342,高値!Y342&gt;高値!W342,高値!Y342&gt;高値!Z342,高値!Y342&gt;高値!AA342),20,""))</f>
        <v/>
      </c>
      <c r="AV342" s="503" t="str">
        <f>IF(終値!A342="","",IF(AND(高値!Z342&gt;高値!Y342,高値!Z342&gt;高値!X342,高値!Z342&gt;高値!AA342,高値!Z342&gt;高値!AB342),21,""))</f>
        <v/>
      </c>
      <c r="AW342" s="503" t="str">
        <f>IF(終値!A342="","",IF(AND(高値!AA342&gt;高値!Z342,高値!AA342&gt;高値!Y342,高値!AA342&gt;高値!AB342,高値!AA342&gt;高値!AC342),22,""))</f>
        <v/>
      </c>
      <c r="AX342" s="503" t="str">
        <f>IF(終値!A342="","",IF(AND(高値!AB342&gt;高値!AA342,高値!AB342&gt;高値!Z342,高値!AB342&gt;高値!AC342,高値!AB342&gt;高値!AD342),23,""))</f>
        <v/>
      </c>
      <c r="AY342" s="503" t="str">
        <f>IF(終値!A342="","",IF(AND(高値!AC342&gt;高値!AB342,高値!AC342&gt;高値!AA342,高値!AC342&gt;高値!AD342,高値!AC342&gt;高値!AE342),24,""))</f>
        <v/>
      </c>
      <c r="AZ342" s="503" t="str">
        <f>IF(終値!A342="","",IF(AND(高値!AD342&gt;高値!AC342,高値!AD342&gt;高値!AB342,高値!AD342&gt;高値!AE342,高値!AD342&gt;高値!AF342),25,""))</f>
        <v/>
      </c>
      <c r="BA342" s="503" t="str">
        <f>IF(終値!A342="","",IF(AND(高値!AE342&gt;高値!AD342,高値!AE342&gt;高値!AC342,高値!AE342&gt;高値!AF342,高値!AE342&gt;高値!AG342),26,""))</f>
        <v/>
      </c>
      <c r="BB342" s="503" t="str">
        <f>IF(終値!A342="","",IF(AND(高値!AF342&gt;高値!AE342,高値!AF342&gt;高値!AD342,高値!AF342&gt;高値!AG342,高値!AF342&gt;高値!AH342),27,""))</f>
        <v/>
      </c>
      <c r="BC342" s="503" t="str">
        <f>IF(終値!A342="","",IF(AND(高値!AG342&gt;高値!AF342,高値!AG342&gt;高値!AE342,高値!AG342&gt;高値!AH342,高値!AG342&gt;高値!AI342),28,""))</f>
        <v/>
      </c>
      <c r="BD342" s="503">
        <f t="shared" si="30"/>
        <v>0</v>
      </c>
      <c r="BE342" s="503" t="str">
        <f t="shared" si="31"/>
        <v/>
      </c>
      <c r="BF342" s="503" t="str">
        <f t="shared" si="32"/>
        <v/>
      </c>
      <c r="BG342" s="503" t="str">
        <f>IF($BE342="","",INDEX(安値!$E342:$CZ342,1,$BE342+1))</f>
        <v/>
      </c>
      <c r="BH342" s="503" t="str">
        <f>IF($BF342="","",INDEX(安値!$E342:$CZ342,1,$BF342+1))</f>
        <v/>
      </c>
      <c r="BI342" s="503" t="str">
        <f>IF($BF342="","",MAX(INDEX(高値!$E342:$CZ342,1,$BE342+1):INDEX(高値!$E342:$CZ342,1,$BF342+1)))</f>
        <v/>
      </c>
      <c r="BJ342" s="503" t="str">
        <f>IF($BF342="","",AVERAGE(INDEX(終値!$E342:$CZ342,1,$BF342+1):INDEX(終値!$E342:$CZ342,1,$BF342+20))-2*STDEVP(INDEX(終値!$E342:$CZ342,1,$BF342+1):INDEX(終値!$E342:$CZ342,1,$BF342+20)))</f>
        <v/>
      </c>
      <c r="BK342" s="503" t="str">
        <f>IF($BE342="","",AVERAGE(INDEX(終値!$E342:$CZ342,1,$BE342+1):INDEX(終値!$E342:$CZ342,1,$BE342+20))-2*STDEVP(INDEX(終値!$E342:$CZ342,1,$BE342+1):INDEX(終値!$E342:$CZ342,1,$BE342+20)))</f>
        <v/>
      </c>
      <c r="BL342" s="503">
        <f t="shared" si="33"/>
        <v>0</v>
      </c>
      <c r="BM342" s="503" t="str">
        <f t="shared" si="34"/>
        <v/>
      </c>
      <c r="BN342" s="503" t="str">
        <f t="shared" si="35"/>
        <v/>
      </c>
      <c r="BO342" s="503" t="str">
        <f>IF($BM342="","",INDEX(高値!$E342:$CZ342,1,$BM342+1))</f>
        <v/>
      </c>
      <c r="BP342" s="503" t="str">
        <f>IF($BN342="","",INDEX(高値!$E342:$CZ342,1,$BN342+1))</f>
        <v/>
      </c>
      <c r="BQ342" s="503" t="str">
        <f>IF($BN342="","",MIN(INDEX(安値!$E342:$CZ342,1,$BM342+1):INDEX(安値!$E342:$CZ342,1,$BN342+1)))</f>
        <v/>
      </c>
      <c r="BR342" s="503" t="str">
        <f>IF($BN342="","",AVERAGE(INDEX(終値!$E342:$CZ342,1,$BN342+1):INDEX(終値!$E342:$CZ342,1,$BN342+20))+2*STDEVP(INDEX(終値!$E342:$CZ342,1,$BN342+1):INDEX(終値!$E342:$CZ342,1,$BN342+20)))</f>
        <v/>
      </c>
      <c r="BS342" s="503" t="str">
        <f>IF($BM342="","",AVERAGE(INDEX(終値!$E342:$CZ342,1,$BM342+1):INDEX(終値!$E342:$CZ342,1,$BM342+20))+2*STDEVP(INDEX(終値!$E342:$CZ342,1,$BM342+1):INDEX(終値!$E342:$CZ342,1,$BM342+20)))</f>
        <v/>
      </c>
      <c r="BT342" s="500"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3" t="str">
        <f>IF(終値!A343="","",IF(AND(安値!G343&lt;安値!F343,安値!G343&lt;安値!E343,安値!G343&lt;安値!H343,安値!G343&lt;安値!I343),2,""))</f>
        <v/>
      </c>
      <c r="C343" s="503" t="str">
        <f>IF(終値!A343="","",IF(AND(安値!H343&lt;安値!G343,安値!H343&lt;安値!F343,安値!H343&lt;安値!I343,安値!H343&lt;安値!J343),3,""))</f>
        <v/>
      </c>
      <c r="D343" s="503" t="str">
        <f>IF(終値!A343="","",IF(AND(安値!I343&lt;安値!H343,安値!I343&lt;安値!G343,安値!I343&lt;安値!J343,安値!I343&lt;安値!K343),4,""))</f>
        <v/>
      </c>
      <c r="E343" s="503" t="str">
        <f>IF(終値!A343="","",IF(AND(安値!J343&lt;安値!I343,安値!J343&lt;安値!H343,安値!J343&lt;安値!K343,安値!J343&lt;安値!L343),5,""))</f>
        <v/>
      </c>
      <c r="F343" s="503" t="str">
        <f>IF(終値!A343="","",IF(AND(安値!K343&lt;安値!J343,安値!K343&lt;安値!I343,安値!K343&lt;安値!L343,安値!K343&lt;安値!M343),6,""))</f>
        <v/>
      </c>
      <c r="G343" s="503" t="str">
        <f>IF(終値!A343="","",IF(AND(安値!L343&lt;安値!K343,安値!L343&lt;安値!J343,安値!L343&lt;安値!M343,安値!L343&lt;安値!N343),7,""))</f>
        <v/>
      </c>
      <c r="H343" s="503" t="str">
        <f>IF(終値!A343="","",IF(AND(安値!M343&lt;安値!L343,安値!M343&lt;安値!K343,安値!M343&lt;安値!N343,安値!M343&lt;安値!O343),8,""))</f>
        <v/>
      </c>
      <c r="I343" s="503" t="str">
        <f>IF(終値!A343="","",IF(AND(安値!N343&lt;安値!M343,安値!N343&lt;安値!L343,安値!N343&lt;安値!O343,安値!N343&lt;安値!P343),9,""))</f>
        <v/>
      </c>
      <c r="J343" s="503" t="str">
        <f>IF(終値!A343="","",IF(AND(安値!O343&lt;安値!N343,安値!O343&lt;安値!M343,安値!O343&lt;安値!P343,安値!O343&lt;安値!Q343),10,""))</f>
        <v/>
      </c>
      <c r="K343" s="503" t="str">
        <f>IF(終値!A343="","",IF(AND(安値!P343&lt;安値!O343,安値!P343&lt;安値!N343,安値!P343&lt;安値!Q343,安値!P343&lt;安値!R343),11,""))</f>
        <v/>
      </c>
      <c r="L343" s="503" t="str">
        <f>IF(終値!A343="","",IF(AND(安値!Q343&lt;安値!P343,安値!Q343&lt;安値!O343,安値!Q343&lt;安値!R343,安値!Q343&lt;安値!S343),12,""))</f>
        <v/>
      </c>
      <c r="M343" s="503" t="str">
        <f>IF(終値!A343="","",IF(AND(安値!R343&lt;安値!Q343,安値!R343&lt;安値!P343,安値!R343&lt;安値!S343,安値!R343&lt;安値!T343),13,""))</f>
        <v/>
      </c>
      <c r="N343" s="503" t="str">
        <f>IF(終値!A343="","",IF(AND(安値!S343&lt;安値!R343,安値!S343&lt;安値!Q343,安値!S343&lt;安値!T343,安値!S343&lt;安値!U343),14,""))</f>
        <v/>
      </c>
      <c r="O343" s="503" t="str">
        <f>IF(終値!A343="","",IF(AND(安値!T343&lt;安値!S343,安値!T343&lt;安値!R343,安値!T343&lt;安値!U343,安値!T343&lt;安値!V343),15,""))</f>
        <v/>
      </c>
      <c r="P343" s="503" t="str">
        <f>IF(終値!A343="","",IF(AND(安値!U343&lt;安値!T343,安値!U343&lt;安値!S343,安値!U343&lt;安値!V343,安値!U343&lt;安値!W343),16,""))</f>
        <v/>
      </c>
      <c r="Q343" s="503" t="str">
        <f>IF(終値!A343="","",IF(AND(安値!V343&lt;安値!U343,安値!V343&lt;安値!T343,安値!V343&lt;安値!W343,安値!V343&lt;安値!X343),17,""))</f>
        <v/>
      </c>
      <c r="R343" s="503" t="str">
        <f>IF(終値!A343="","",IF(AND(安値!W343&lt;安値!V343,安値!W343&lt;安値!U343,安値!W343&lt;安値!X343,安値!W343&lt;安値!Y343),18,""))</f>
        <v/>
      </c>
      <c r="S343" s="503" t="str">
        <f>IF(終値!A343="","",IF(AND(安値!X343&lt;安値!W343,安値!X343&lt;安値!V343,安値!X343&lt;安値!Y343,安値!X343&lt;安値!Z343),19,""))</f>
        <v/>
      </c>
      <c r="T343" s="503" t="str">
        <f>IF(終値!A343="","",IF(AND(安値!Y343&lt;安値!X343,安値!Y343&lt;安値!W343,安値!Y343&lt;安値!Z343,安値!Y343&lt;安値!AA343),20,""))</f>
        <v/>
      </c>
      <c r="U343" s="503" t="str">
        <f>IF(終値!A343="","",IF(AND(安値!Z343&lt;安値!Y343,安値!Z343&lt;安値!X343,安値!Z343&lt;安値!AA343,安値!Z343&lt;安値!AB343),21,""))</f>
        <v/>
      </c>
      <c r="V343" s="503" t="str">
        <f>IF(終値!A343="","",IF(AND(安値!AA343&lt;安値!Z343,安値!AA343&lt;安値!Y343,安値!AA343&lt;安値!AB343,安値!AA343&lt;安値!AC343),22,""))</f>
        <v/>
      </c>
      <c r="W343" s="503" t="str">
        <f>IF(終値!A343="","",IF(AND(安値!AB343&lt;安値!AA343,安値!AB343&lt;安値!Z343,安値!AB343&lt;安値!AC343,安値!AB343&lt;安値!AD343),23,""))</f>
        <v/>
      </c>
      <c r="X343" s="503" t="str">
        <f>IF(終値!A343="","",IF(AND(安値!AC343&lt;安値!AB343,安値!AC343&lt;安値!AA343,安値!AC343&lt;安値!AD343,安値!AC343&lt;安値!AE343),24,""))</f>
        <v/>
      </c>
      <c r="Y343" s="503" t="str">
        <f>IF(終値!A343="","",IF(AND(安値!AD343&lt;安値!AC343,安値!AD343&lt;安値!AB343,安値!AD343&lt;安値!AE343,安値!AD343&lt;安値!AF343),25,""))</f>
        <v/>
      </c>
      <c r="Z343" s="503" t="str">
        <f>IF(終値!A343="","",IF(AND(安値!AE343&lt;安値!AD343,安値!AE343&lt;安値!AC343,安値!AE343&lt;安値!AF343,安値!AE343&lt;安値!AG343),26,""))</f>
        <v/>
      </c>
      <c r="AA343" s="503" t="str">
        <f>IF(終値!A343="","",IF(AND(安値!AF343&lt;安値!AE343,安値!AF343&lt;安値!AD343,安値!AF343&lt;安値!AG343,安値!AF343&lt;安値!AH343),27,""))</f>
        <v/>
      </c>
      <c r="AB343" s="503" t="str">
        <f>IF(終値!A343="","",IF(AND(安値!AG343&lt;安値!AF343,安値!AG343&lt;安値!AE343,安値!AG343&lt;安値!AH343,安値!AG343&lt;安値!AI343),28,""))</f>
        <v/>
      </c>
      <c r="AC343" s="503" t="str">
        <f>IF(終値!A343="","",IF(AND(高値!G343&gt;高値!F343,高値!G343&gt;高値!E343,高値!G343&gt;高値!H343,高値!G343&gt;高値!I343),2,""))</f>
        <v/>
      </c>
      <c r="AD343" s="503" t="str">
        <f>IF(終値!A343="","",IF(AND(高値!H343&gt;高値!G343,高値!H343&gt;高値!F343,高値!H343&gt;高値!I343,高値!H343&gt;高値!J343),3,""))</f>
        <v/>
      </c>
      <c r="AE343" s="503" t="str">
        <f>IF(終値!A343="","",IF(AND(高値!I343&gt;高値!H343,高値!I343&gt;高値!G343,高値!I343&gt;高値!J343,高値!I343&gt;高値!K343),4,""))</f>
        <v/>
      </c>
      <c r="AF343" s="503" t="str">
        <f>IF(終値!A343="","",IF(AND(高値!J343&gt;高値!I343,高値!J343&gt;高値!H343,高値!J343&gt;高値!K343,高値!J343&gt;高値!L343),5,""))</f>
        <v/>
      </c>
      <c r="AG343" s="503" t="str">
        <f>IF(終値!A343="","",IF(AND(高値!K343&gt;高値!J343,高値!K343&gt;高値!I343,高値!K343&gt;高値!L343,高値!K343&gt;高値!M343),6,""))</f>
        <v/>
      </c>
      <c r="AH343" s="503" t="str">
        <f>IF(終値!A343="","",IF(AND(高値!L343&gt;高値!K343,高値!L343&gt;高値!J343,高値!L343&gt;高値!M343,高値!L343&gt;高値!N343),7,""))</f>
        <v/>
      </c>
      <c r="AI343" s="503" t="str">
        <f>IF(終値!A343="","",IF(AND(高値!M343&gt;高値!L343,高値!M343&gt;高値!K343,高値!M343&gt;高値!N343,高値!M343&gt;高値!O343),8,""))</f>
        <v/>
      </c>
      <c r="AJ343" s="503" t="str">
        <f>IF(終値!A343="","",IF(AND(高値!N343&gt;高値!M343,高値!N343&gt;高値!L343,高値!N343&gt;高値!O343,高値!N343&gt;高値!P343),9,""))</f>
        <v/>
      </c>
      <c r="AK343" s="503" t="str">
        <f>IF(終値!A343="","",IF(AND(高値!O343&gt;高値!N343,高値!O343&gt;高値!M343,高値!O343&gt;高値!P343,高値!O343&gt;高値!Q343),10,""))</f>
        <v/>
      </c>
      <c r="AL343" s="503" t="str">
        <f>IF(終値!A343="","",IF(AND(高値!P343&gt;高値!O343,高値!P343&gt;高値!N343,高値!P343&gt;高値!Q343,高値!P343&gt;高値!R343),11,""))</f>
        <v/>
      </c>
      <c r="AM343" s="503" t="str">
        <f>IF(終値!A343="","",IF(AND(高値!Q343&gt;高値!P343,高値!Q343&gt;高値!O343,高値!Q343&gt;高値!R343,高値!Q343&gt;高値!S343),12,""))</f>
        <v/>
      </c>
      <c r="AN343" s="503" t="str">
        <f>IF(終値!A343="","",IF(AND(高値!R343&gt;高値!Q343,高値!R343&gt;高値!P343,高値!R343&gt;高値!S343,高値!R343&gt;高値!T343),13,""))</f>
        <v/>
      </c>
      <c r="AO343" s="503" t="str">
        <f>IF(終値!A343="","",IF(AND(高値!S343&gt;高値!R343,高値!S343&gt;高値!Q343,高値!S343&gt;高値!T343,高値!S343&gt;高値!U343),14,""))</f>
        <v/>
      </c>
      <c r="AP343" s="503" t="str">
        <f>IF(終値!A343="","",IF(AND(高値!T343&gt;高値!S343,高値!T343&gt;高値!R343,高値!T343&gt;高値!U343,高値!T343&gt;高値!V343),15,""))</f>
        <v/>
      </c>
      <c r="AQ343" s="503" t="str">
        <f>IF(終値!A343="","",IF(AND(高値!U343&gt;高値!T343,高値!U343&gt;高値!S343,高値!U343&gt;高値!V343,高値!U343&gt;高値!W343),16,""))</f>
        <v/>
      </c>
      <c r="AR343" s="503" t="str">
        <f>IF(終値!A343="","",IF(AND(高値!V343&gt;高値!U343,高値!V343&gt;高値!T343,高値!V343&gt;高値!W343,高値!V343&gt;高値!X343),17,""))</f>
        <v/>
      </c>
      <c r="AS343" s="503" t="str">
        <f>IF(終値!A343="","",IF(AND(高値!W343&gt;高値!V343,高値!W343&gt;高値!U343,高値!W343&gt;高値!X343,高値!W343&gt;高値!Y343),18,""))</f>
        <v/>
      </c>
      <c r="AT343" s="503" t="str">
        <f>IF(終値!A343="","",IF(AND(高値!X343&gt;高値!W343,高値!X343&gt;高値!V343,高値!X343&gt;高値!Y343,高値!X343&gt;高値!Z343),19,""))</f>
        <v/>
      </c>
      <c r="AU343" s="503" t="str">
        <f>IF(終値!A343="","",IF(AND(高値!Y343&gt;高値!X343,高値!Y343&gt;高値!W343,高値!Y343&gt;高値!Z343,高値!Y343&gt;高値!AA343),20,""))</f>
        <v/>
      </c>
      <c r="AV343" s="503" t="str">
        <f>IF(終値!A343="","",IF(AND(高値!Z343&gt;高値!Y343,高値!Z343&gt;高値!X343,高値!Z343&gt;高値!AA343,高値!Z343&gt;高値!AB343),21,""))</f>
        <v/>
      </c>
      <c r="AW343" s="503" t="str">
        <f>IF(終値!A343="","",IF(AND(高値!AA343&gt;高値!Z343,高値!AA343&gt;高値!Y343,高値!AA343&gt;高値!AB343,高値!AA343&gt;高値!AC343),22,""))</f>
        <v/>
      </c>
      <c r="AX343" s="503" t="str">
        <f>IF(終値!A343="","",IF(AND(高値!AB343&gt;高値!AA343,高値!AB343&gt;高値!Z343,高値!AB343&gt;高値!AC343,高値!AB343&gt;高値!AD343),23,""))</f>
        <v/>
      </c>
      <c r="AY343" s="503" t="str">
        <f>IF(終値!A343="","",IF(AND(高値!AC343&gt;高値!AB343,高値!AC343&gt;高値!AA343,高値!AC343&gt;高値!AD343,高値!AC343&gt;高値!AE343),24,""))</f>
        <v/>
      </c>
      <c r="AZ343" s="503" t="str">
        <f>IF(終値!A343="","",IF(AND(高値!AD343&gt;高値!AC343,高値!AD343&gt;高値!AB343,高値!AD343&gt;高値!AE343,高値!AD343&gt;高値!AF343),25,""))</f>
        <v/>
      </c>
      <c r="BA343" s="503" t="str">
        <f>IF(終値!A343="","",IF(AND(高値!AE343&gt;高値!AD343,高値!AE343&gt;高値!AC343,高値!AE343&gt;高値!AF343,高値!AE343&gt;高値!AG343),26,""))</f>
        <v/>
      </c>
      <c r="BB343" s="503" t="str">
        <f>IF(終値!A343="","",IF(AND(高値!AF343&gt;高値!AE343,高値!AF343&gt;高値!AD343,高値!AF343&gt;高値!AG343,高値!AF343&gt;高値!AH343),27,""))</f>
        <v/>
      </c>
      <c r="BC343" s="503" t="str">
        <f>IF(終値!A343="","",IF(AND(高値!AG343&gt;高値!AF343,高値!AG343&gt;高値!AE343,高値!AG343&gt;高値!AH343,高値!AG343&gt;高値!AI343),28,""))</f>
        <v/>
      </c>
      <c r="BD343" s="503">
        <f t="shared" si="30"/>
        <v>0</v>
      </c>
      <c r="BE343" s="503" t="str">
        <f t="shared" si="31"/>
        <v/>
      </c>
      <c r="BF343" s="503" t="str">
        <f t="shared" si="32"/>
        <v/>
      </c>
      <c r="BG343" s="503" t="str">
        <f>IF($BE343="","",INDEX(安値!$E343:$CZ343,1,$BE343+1))</f>
        <v/>
      </c>
      <c r="BH343" s="503" t="str">
        <f>IF($BF343="","",INDEX(安値!$E343:$CZ343,1,$BF343+1))</f>
        <v/>
      </c>
      <c r="BI343" s="503" t="str">
        <f>IF($BF343="","",MAX(INDEX(高値!$E343:$CZ343,1,$BE343+1):INDEX(高値!$E343:$CZ343,1,$BF343+1)))</f>
        <v/>
      </c>
      <c r="BJ343" s="503" t="str">
        <f>IF($BF343="","",AVERAGE(INDEX(終値!$E343:$CZ343,1,$BF343+1):INDEX(終値!$E343:$CZ343,1,$BF343+20))-2*STDEVP(INDEX(終値!$E343:$CZ343,1,$BF343+1):INDEX(終値!$E343:$CZ343,1,$BF343+20)))</f>
        <v/>
      </c>
      <c r="BK343" s="503" t="str">
        <f>IF($BE343="","",AVERAGE(INDEX(終値!$E343:$CZ343,1,$BE343+1):INDEX(終値!$E343:$CZ343,1,$BE343+20))-2*STDEVP(INDEX(終値!$E343:$CZ343,1,$BE343+1):INDEX(終値!$E343:$CZ343,1,$BE343+20)))</f>
        <v/>
      </c>
      <c r="BL343" s="503">
        <f t="shared" si="33"/>
        <v>0</v>
      </c>
      <c r="BM343" s="503" t="str">
        <f t="shared" si="34"/>
        <v/>
      </c>
      <c r="BN343" s="503" t="str">
        <f t="shared" si="35"/>
        <v/>
      </c>
      <c r="BO343" s="503" t="str">
        <f>IF($BM343="","",INDEX(高値!$E343:$CZ343,1,$BM343+1))</f>
        <v/>
      </c>
      <c r="BP343" s="503" t="str">
        <f>IF($BN343="","",INDEX(高値!$E343:$CZ343,1,$BN343+1))</f>
        <v/>
      </c>
      <c r="BQ343" s="503" t="str">
        <f>IF($BN343="","",MIN(INDEX(安値!$E343:$CZ343,1,$BM343+1):INDEX(安値!$E343:$CZ343,1,$BN343+1)))</f>
        <v/>
      </c>
      <c r="BR343" s="503" t="str">
        <f>IF($BN343="","",AVERAGE(INDEX(終値!$E343:$CZ343,1,$BN343+1):INDEX(終値!$E343:$CZ343,1,$BN343+20))+2*STDEVP(INDEX(終値!$E343:$CZ343,1,$BN343+1):INDEX(終値!$E343:$CZ343,1,$BN343+20)))</f>
        <v/>
      </c>
      <c r="BS343" s="503" t="str">
        <f>IF($BM343="","",AVERAGE(INDEX(終値!$E343:$CZ343,1,$BM343+1):INDEX(終値!$E343:$CZ343,1,$BM343+20))+2*STDEVP(INDEX(終値!$E343:$CZ343,1,$BM343+1):INDEX(終値!$E343:$CZ343,1,$BM343+20)))</f>
        <v/>
      </c>
      <c r="BT343" s="500"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3" t="str">
        <f>IF(終値!A344="","",IF(AND(安値!G344&lt;安値!F344,安値!G344&lt;安値!E344,安値!G344&lt;安値!H344,安値!G344&lt;安値!I344),2,""))</f>
        <v/>
      </c>
      <c r="C344" s="503" t="str">
        <f>IF(終値!A344="","",IF(AND(安値!H344&lt;安値!G344,安値!H344&lt;安値!F344,安値!H344&lt;安値!I344,安値!H344&lt;安値!J344),3,""))</f>
        <v/>
      </c>
      <c r="D344" s="503" t="str">
        <f>IF(終値!A344="","",IF(AND(安値!I344&lt;安値!H344,安値!I344&lt;安値!G344,安値!I344&lt;安値!J344,安値!I344&lt;安値!K344),4,""))</f>
        <v/>
      </c>
      <c r="E344" s="503" t="str">
        <f>IF(終値!A344="","",IF(AND(安値!J344&lt;安値!I344,安値!J344&lt;安値!H344,安値!J344&lt;安値!K344,安値!J344&lt;安値!L344),5,""))</f>
        <v/>
      </c>
      <c r="F344" s="503" t="str">
        <f>IF(終値!A344="","",IF(AND(安値!K344&lt;安値!J344,安値!K344&lt;安値!I344,安値!K344&lt;安値!L344,安値!K344&lt;安値!M344),6,""))</f>
        <v/>
      </c>
      <c r="G344" s="503" t="str">
        <f>IF(終値!A344="","",IF(AND(安値!L344&lt;安値!K344,安値!L344&lt;安値!J344,安値!L344&lt;安値!M344,安値!L344&lt;安値!N344),7,""))</f>
        <v/>
      </c>
      <c r="H344" s="503" t="str">
        <f>IF(終値!A344="","",IF(AND(安値!M344&lt;安値!L344,安値!M344&lt;安値!K344,安値!M344&lt;安値!N344,安値!M344&lt;安値!O344),8,""))</f>
        <v/>
      </c>
      <c r="I344" s="503" t="str">
        <f>IF(終値!A344="","",IF(AND(安値!N344&lt;安値!M344,安値!N344&lt;安値!L344,安値!N344&lt;安値!O344,安値!N344&lt;安値!P344),9,""))</f>
        <v/>
      </c>
      <c r="J344" s="503" t="str">
        <f>IF(終値!A344="","",IF(AND(安値!O344&lt;安値!N344,安値!O344&lt;安値!M344,安値!O344&lt;安値!P344,安値!O344&lt;安値!Q344),10,""))</f>
        <v/>
      </c>
      <c r="K344" s="503" t="str">
        <f>IF(終値!A344="","",IF(AND(安値!P344&lt;安値!O344,安値!P344&lt;安値!N344,安値!P344&lt;安値!Q344,安値!P344&lt;安値!R344),11,""))</f>
        <v/>
      </c>
      <c r="L344" s="503" t="str">
        <f>IF(終値!A344="","",IF(AND(安値!Q344&lt;安値!P344,安値!Q344&lt;安値!O344,安値!Q344&lt;安値!R344,安値!Q344&lt;安値!S344),12,""))</f>
        <v/>
      </c>
      <c r="M344" s="503" t="str">
        <f>IF(終値!A344="","",IF(AND(安値!R344&lt;安値!Q344,安値!R344&lt;安値!P344,安値!R344&lt;安値!S344,安値!R344&lt;安値!T344),13,""))</f>
        <v/>
      </c>
      <c r="N344" s="503" t="str">
        <f>IF(終値!A344="","",IF(AND(安値!S344&lt;安値!R344,安値!S344&lt;安値!Q344,安値!S344&lt;安値!T344,安値!S344&lt;安値!U344),14,""))</f>
        <v/>
      </c>
      <c r="O344" s="503" t="str">
        <f>IF(終値!A344="","",IF(AND(安値!T344&lt;安値!S344,安値!T344&lt;安値!R344,安値!T344&lt;安値!U344,安値!T344&lt;安値!V344),15,""))</f>
        <v/>
      </c>
      <c r="P344" s="503" t="str">
        <f>IF(終値!A344="","",IF(AND(安値!U344&lt;安値!T344,安値!U344&lt;安値!S344,安値!U344&lt;安値!V344,安値!U344&lt;安値!W344),16,""))</f>
        <v/>
      </c>
      <c r="Q344" s="503" t="str">
        <f>IF(終値!A344="","",IF(AND(安値!V344&lt;安値!U344,安値!V344&lt;安値!T344,安値!V344&lt;安値!W344,安値!V344&lt;安値!X344),17,""))</f>
        <v/>
      </c>
      <c r="R344" s="503" t="str">
        <f>IF(終値!A344="","",IF(AND(安値!W344&lt;安値!V344,安値!W344&lt;安値!U344,安値!W344&lt;安値!X344,安値!W344&lt;安値!Y344),18,""))</f>
        <v/>
      </c>
      <c r="S344" s="503" t="str">
        <f>IF(終値!A344="","",IF(AND(安値!X344&lt;安値!W344,安値!X344&lt;安値!V344,安値!X344&lt;安値!Y344,安値!X344&lt;安値!Z344),19,""))</f>
        <v/>
      </c>
      <c r="T344" s="503" t="str">
        <f>IF(終値!A344="","",IF(AND(安値!Y344&lt;安値!X344,安値!Y344&lt;安値!W344,安値!Y344&lt;安値!Z344,安値!Y344&lt;安値!AA344),20,""))</f>
        <v/>
      </c>
      <c r="U344" s="503" t="str">
        <f>IF(終値!A344="","",IF(AND(安値!Z344&lt;安値!Y344,安値!Z344&lt;安値!X344,安値!Z344&lt;安値!AA344,安値!Z344&lt;安値!AB344),21,""))</f>
        <v/>
      </c>
      <c r="V344" s="503" t="str">
        <f>IF(終値!A344="","",IF(AND(安値!AA344&lt;安値!Z344,安値!AA344&lt;安値!Y344,安値!AA344&lt;安値!AB344,安値!AA344&lt;安値!AC344),22,""))</f>
        <v/>
      </c>
      <c r="W344" s="503" t="str">
        <f>IF(終値!A344="","",IF(AND(安値!AB344&lt;安値!AA344,安値!AB344&lt;安値!Z344,安値!AB344&lt;安値!AC344,安値!AB344&lt;安値!AD344),23,""))</f>
        <v/>
      </c>
      <c r="X344" s="503" t="str">
        <f>IF(終値!A344="","",IF(AND(安値!AC344&lt;安値!AB344,安値!AC344&lt;安値!AA344,安値!AC344&lt;安値!AD344,安値!AC344&lt;安値!AE344),24,""))</f>
        <v/>
      </c>
      <c r="Y344" s="503" t="str">
        <f>IF(終値!A344="","",IF(AND(安値!AD344&lt;安値!AC344,安値!AD344&lt;安値!AB344,安値!AD344&lt;安値!AE344,安値!AD344&lt;安値!AF344),25,""))</f>
        <v/>
      </c>
      <c r="Z344" s="503" t="str">
        <f>IF(終値!A344="","",IF(AND(安値!AE344&lt;安値!AD344,安値!AE344&lt;安値!AC344,安値!AE344&lt;安値!AF344,安値!AE344&lt;安値!AG344),26,""))</f>
        <v/>
      </c>
      <c r="AA344" s="503" t="str">
        <f>IF(終値!A344="","",IF(AND(安値!AF344&lt;安値!AE344,安値!AF344&lt;安値!AD344,安値!AF344&lt;安値!AG344,安値!AF344&lt;安値!AH344),27,""))</f>
        <v/>
      </c>
      <c r="AB344" s="503" t="str">
        <f>IF(終値!A344="","",IF(AND(安値!AG344&lt;安値!AF344,安値!AG344&lt;安値!AE344,安値!AG344&lt;安値!AH344,安値!AG344&lt;安値!AI344),28,""))</f>
        <v/>
      </c>
      <c r="AC344" s="503" t="str">
        <f>IF(終値!A344="","",IF(AND(高値!G344&gt;高値!F344,高値!G344&gt;高値!E344,高値!G344&gt;高値!H344,高値!G344&gt;高値!I344),2,""))</f>
        <v/>
      </c>
      <c r="AD344" s="503" t="str">
        <f>IF(終値!A344="","",IF(AND(高値!H344&gt;高値!G344,高値!H344&gt;高値!F344,高値!H344&gt;高値!I344,高値!H344&gt;高値!J344),3,""))</f>
        <v/>
      </c>
      <c r="AE344" s="503" t="str">
        <f>IF(終値!A344="","",IF(AND(高値!I344&gt;高値!H344,高値!I344&gt;高値!G344,高値!I344&gt;高値!J344,高値!I344&gt;高値!K344),4,""))</f>
        <v/>
      </c>
      <c r="AF344" s="503" t="str">
        <f>IF(終値!A344="","",IF(AND(高値!J344&gt;高値!I344,高値!J344&gt;高値!H344,高値!J344&gt;高値!K344,高値!J344&gt;高値!L344),5,""))</f>
        <v/>
      </c>
      <c r="AG344" s="503" t="str">
        <f>IF(終値!A344="","",IF(AND(高値!K344&gt;高値!J344,高値!K344&gt;高値!I344,高値!K344&gt;高値!L344,高値!K344&gt;高値!M344),6,""))</f>
        <v/>
      </c>
      <c r="AH344" s="503" t="str">
        <f>IF(終値!A344="","",IF(AND(高値!L344&gt;高値!K344,高値!L344&gt;高値!J344,高値!L344&gt;高値!M344,高値!L344&gt;高値!N344),7,""))</f>
        <v/>
      </c>
      <c r="AI344" s="503" t="str">
        <f>IF(終値!A344="","",IF(AND(高値!M344&gt;高値!L344,高値!M344&gt;高値!K344,高値!M344&gt;高値!N344,高値!M344&gt;高値!O344),8,""))</f>
        <v/>
      </c>
      <c r="AJ344" s="503" t="str">
        <f>IF(終値!A344="","",IF(AND(高値!N344&gt;高値!M344,高値!N344&gt;高値!L344,高値!N344&gt;高値!O344,高値!N344&gt;高値!P344),9,""))</f>
        <v/>
      </c>
      <c r="AK344" s="503" t="str">
        <f>IF(終値!A344="","",IF(AND(高値!O344&gt;高値!N344,高値!O344&gt;高値!M344,高値!O344&gt;高値!P344,高値!O344&gt;高値!Q344),10,""))</f>
        <v/>
      </c>
      <c r="AL344" s="503" t="str">
        <f>IF(終値!A344="","",IF(AND(高値!P344&gt;高値!O344,高値!P344&gt;高値!N344,高値!P344&gt;高値!Q344,高値!P344&gt;高値!R344),11,""))</f>
        <v/>
      </c>
      <c r="AM344" s="503" t="str">
        <f>IF(終値!A344="","",IF(AND(高値!Q344&gt;高値!P344,高値!Q344&gt;高値!O344,高値!Q344&gt;高値!R344,高値!Q344&gt;高値!S344),12,""))</f>
        <v/>
      </c>
      <c r="AN344" s="503" t="str">
        <f>IF(終値!A344="","",IF(AND(高値!R344&gt;高値!Q344,高値!R344&gt;高値!P344,高値!R344&gt;高値!S344,高値!R344&gt;高値!T344),13,""))</f>
        <v/>
      </c>
      <c r="AO344" s="503" t="str">
        <f>IF(終値!A344="","",IF(AND(高値!S344&gt;高値!R344,高値!S344&gt;高値!Q344,高値!S344&gt;高値!T344,高値!S344&gt;高値!U344),14,""))</f>
        <v/>
      </c>
      <c r="AP344" s="503" t="str">
        <f>IF(終値!A344="","",IF(AND(高値!T344&gt;高値!S344,高値!T344&gt;高値!R344,高値!T344&gt;高値!U344,高値!T344&gt;高値!V344),15,""))</f>
        <v/>
      </c>
      <c r="AQ344" s="503" t="str">
        <f>IF(終値!A344="","",IF(AND(高値!U344&gt;高値!T344,高値!U344&gt;高値!S344,高値!U344&gt;高値!V344,高値!U344&gt;高値!W344),16,""))</f>
        <v/>
      </c>
      <c r="AR344" s="503" t="str">
        <f>IF(終値!A344="","",IF(AND(高値!V344&gt;高値!U344,高値!V344&gt;高値!T344,高値!V344&gt;高値!W344,高値!V344&gt;高値!X344),17,""))</f>
        <v/>
      </c>
      <c r="AS344" s="503" t="str">
        <f>IF(終値!A344="","",IF(AND(高値!W344&gt;高値!V344,高値!W344&gt;高値!U344,高値!W344&gt;高値!X344,高値!W344&gt;高値!Y344),18,""))</f>
        <v/>
      </c>
      <c r="AT344" s="503" t="str">
        <f>IF(終値!A344="","",IF(AND(高値!X344&gt;高値!W344,高値!X344&gt;高値!V344,高値!X344&gt;高値!Y344,高値!X344&gt;高値!Z344),19,""))</f>
        <v/>
      </c>
      <c r="AU344" s="503" t="str">
        <f>IF(終値!A344="","",IF(AND(高値!Y344&gt;高値!X344,高値!Y344&gt;高値!W344,高値!Y344&gt;高値!Z344,高値!Y344&gt;高値!AA344),20,""))</f>
        <v/>
      </c>
      <c r="AV344" s="503" t="str">
        <f>IF(終値!A344="","",IF(AND(高値!Z344&gt;高値!Y344,高値!Z344&gt;高値!X344,高値!Z344&gt;高値!AA344,高値!Z344&gt;高値!AB344),21,""))</f>
        <v/>
      </c>
      <c r="AW344" s="503" t="str">
        <f>IF(終値!A344="","",IF(AND(高値!AA344&gt;高値!Z344,高値!AA344&gt;高値!Y344,高値!AA344&gt;高値!AB344,高値!AA344&gt;高値!AC344),22,""))</f>
        <v/>
      </c>
      <c r="AX344" s="503" t="str">
        <f>IF(終値!A344="","",IF(AND(高値!AB344&gt;高値!AA344,高値!AB344&gt;高値!Z344,高値!AB344&gt;高値!AC344,高値!AB344&gt;高値!AD344),23,""))</f>
        <v/>
      </c>
      <c r="AY344" s="503" t="str">
        <f>IF(終値!A344="","",IF(AND(高値!AC344&gt;高値!AB344,高値!AC344&gt;高値!AA344,高値!AC344&gt;高値!AD344,高値!AC344&gt;高値!AE344),24,""))</f>
        <v/>
      </c>
      <c r="AZ344" s="503" t="str">
        <f>IF(終値!A344="","",IF(AND(高値!AD344&gt;高値!AC344,高値!AD344&gt;高値!AB344,高値!AD344&gt;高値!AE344,高値!AD344&gt;高値!AF344),25,""))</f>
        <v/>
      </c>
      <c r="BA344" s="503" t="str">
        <f>IF(終値!A344="","",IF(AND(高値!AE344&gt;高値!AD344,高値!AE344&gt;高値!AC344,高値!AE344&gt;高値!AF344,高値!AE344&gt;高値!AG344),26,""))</f>
        <v/>
      </c>
      <c r="BB344" s="503" t="str">
        <f>IF(終値!A344="","",IF(AND(高値!AF344&gt;高値!AE344,高値!AF344&gt;高値!AD344,高値!AF344&gt;高値!AG344,高値!AF344&gt;高値!AH344),27,""))</f>
        <v/>
      </c>
      <c r="BC344" s="503" t="str">
        <f>IF(終値!A344="","",IF(AND(高値!AG344&gt;高値!AF344,高値!AG344&gt;高値!AE344,高値!AG344&gt;高値!AH344,高値!AG344&gt;高値!AI344),28,""))</f>
        <v/>
      </c>
      <c r="BD344" s="503">
        <f t="shared" si="30"/>
        <v>0</v>
      </c>
      <c r="BE344" s="503" t="str">
        <f t="shared" si="31"/>
        <v/>
      </c>
      <c r="BF344" s="503" t="str">
        <f t="shared" si="32"/>
        <v/>
      </c>
      <c r="BG344" s="503" t="str">
        <f>IF($BE344="","",INDEX(安値!$E344:$CZ344,1,$BE344+1))</f>
        <v/>
      </c>
      <c r="BH344" s="503" t="str">
        <f>IF($BF344="","",INDEX(安値!$E344:$CZ344,1,$BF344+1))</f>
        <v/>
      </c>
      <c r="BI344" s="503" t="str">
        <f>IF($BF344="","",MAX(INDEX(高値!$E344:$CZ344,1,$BE344+1):INDEX(高値!$E344:$CZ344,1,$BF344+1)))</f>
        <v/>
      </c>
      <c r="BJ344" s="503" t="str">
        <f>IF($BF344="","",AVERAGE(INDEX(終値!$E344:$CZ344,1,$BF344+1):INDEX(終値!$E344:$CZ344,1,$BF344+20))-2*STDEVP(INDEX(終値!$E344:$CZ344,1,$BF344+1):INDEX(終値!$E344:$CZ344,1,$BF344+20)))</f>
        <v/>
      </c>
      <c r="BK344" s="503" t="str">
        <f>IF($BE344="","",AVERAGE(INDEX(終値!$E344:$CZ344,1,$BE344+1):INDEX(終値!$E344:$CZ344,1,$BE344+20))-2*STDEVP(INDEX(終値!$E344:$CZ344,1,$BE344+1):INDEX(終値!$E344:$CZ344,1,$BE344+20)))</f>
        <v/>
      </c>
      <c r="BL344" s="503">
        <f t="shared" si="33"/>
        <v>0</v>
      </c>
      <c r="BM344" s="503" t="str">
        <f t="shared" si="34"/>
        <v/>
      </c>
      <c r="BN344" s="503" t="str">
        <f t="shared" si="35"/>
        <v/>
      </c>
      <c r="BO344" s="503" t="str">
        <f>IF($BM344="","",INDEX(高値!$E344:$CZ344,1,$BM344+1))</f>
        <v/>
      </c>
      <c r="BP344" s="503" t="str">
        <f>IF($BN344="","",INDEX(高値!$E344:$CZ344,1,$BN344+1))</f>
        <v/>
      </c>
      <c r="BQ344" s="503" t="str">
        <f>IF($BN344="","",MIN(INDEX(安値!$E344:$CZ344,1,$BM344+1):INDEX(安値!$E344:$CZ344,1,$BN344+1)))</f>
        <v/>
      </c>
      <c r="BR344" s="503" t="str">
        <f>IF($BN344="","",AVERAGE(INDEX(終値!$E344:$CZ344,1,$BN344+1):INDEX(終値!$E344:$CZ344,1,$BN344+20))+2*STDEVP(INDEX(終値!$E344:$CZ344,1,$BN344+1):INDEX(終値!$E344:$CZ344,1,$BN344+20)))</f>
        <v/>
      </c>
      <c r="BS344" s="503" t="str">
        <f>IF($BM344="","",AVERAGE(INDEX(終値!$E344:$CZ344,1,$BM344+1):INDEX(終値!$E344:$CZ344,1,$BM344+20))+2*STDEVP(INDEX(終値!$E344:$CZ344,1,$BM344+1):INDEX(終値!$E344:$CZ344,1,$BM344+20)))</f>
        <v/>
      </c>
      <c r="BT344" s="500"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3" t="str">
        <f>IF(終値!A345="","",IF(AND(安値!G345&lt;安値!F345,安値!G345&lt;安値!E345,安値!G345&lt;安値!H345,安値!G345&lt;安値!I345),2,""))</f>
        <v/>
      </c>
      <c r="C345" s="503" t="str">
        <f>IF(終値!A345="","",IF(AND(安値!H345&lt;安値!G345,安値!H345&lt;安値!F345,安値!H345&lt;安値!I345,安値!H345&lt;安値!J345),3,""))</f>
        <v/>
      </c>
      <c r="D345" s="503" t="str">
        <f>IF(終値!A345="","",IF(AND(安値!I345&lt;安値!H345,安値!I345&lt;安値!G345,安値!I345&lt;安値!J345,安値!I345&lt;安値!K345),4,""))</f>
        <v/>
      </c>
      <c r="E345" s="503" t="str">
        <f>IF(終値!A345="","",IF(AND(安値!J345&lt;安値!I345,安値!J345&lt;安値!H345,安値!J345&lt;安値!K345,安値!J345&lt;安値!L345),5,""))</f>
        <v/>
      </c>
      <c r="F345" s="503" t="str">
        <f>IF(終値!A345="","",IF(AND(安値!K345&lt;安値!J345,安値!K345&lt;安値!I345,安値!K345&lt;安値!L345,安値!K345&lt;安値!M345),6,""))</f>
        <v/>
      </c>
      <c r="G345" s="503" t="str">
        <f>IF(終値!A345="","",IF(AND(安値!L345&lt;安値!K345,安値!L345&lt;安値!J345,安値!L345&lt;安値!M345,安値!L345&lt;安値!N345),7,""))</f>
        <v/>
      </c>
      <c r="H345" s="503" t="str">
        <f>IF(終値!A345="","",IF(AND(安値!M345&lt;安値!L345,安値!M345&lt;安値!K345,安値!M345&lt;安値!N345,安値!M345&lt;安値!O345),8,""))</f>
        <v/>
      </c>
      <c r="I345" s="503" t="str">
        <f>IF(終値!A345="","",IF(AND(安値!N345&lt;安値!M345,安値!N345&lt;安値!L345,安値!N345&lt;安値!O345,安値!N345&lt;安値!P345),9,""))</f>
        <v/>
      </c>
      <c r="J345" s="503" t="str">
        <f>IF(終値!A345="","",IF(AND(安値!O345&lt;安値!N345,安値!O345&lt;安値!M345,安値!O345&lt;安値!P345,安値!O345&lt;安値!Q345),10,""))</f>
        <v/>
      </c>
      <c r="K345" s="503" t="str">
        <f>IF(終値!A345="","",IF(AND(安値!P345&lt;安値!O345,安値!P345&lt;安値!N345,安値!P345&lt;安値!Q345,安値!P345&lt;安値!R345),11,""))</f>
        <v/>
      </c>
      <c r="L345" s="503" t="str">
        <f>IF(終値!A345="","",IF(AND(安値!Q345&lt;安値!P345,安値!Q345&lt;安値!O345,安値!Q345&lt;安値!R345,安値!Q345&lt;安値!S345),12,""))</f>
        <v/>
      </c>
      <c r="M345" s="503" t="str">
        <f>IF(終値!A345="","",IF(AND(安値!R345&lt;安値!Q345,安値!R345&lt;安値!P345,安値!R345&lt;安値!S345,安値!R345&lt;安値!T345),13,""))</f>
        <v/>
      </c>
      <c r="N345" s="503" t="str">
        <f>IF(終値!A345="","",IF(AND(安値!S345&lt;安値!R345,安値!S345&lt;安値!Q345,安値!S345&lt;安値!T345,安値!S345&lt;安値!U345),14,""))</f>
        <v/>
      </c>
      <c r="O345" s="503" t="str">
        <f>IF(終値!A345="","",IF(AND(安値!T345&lt;安値!S345,安値!T345&lt;安値!R345,安値!T345&lt;安値!U345,安値!T345&lt;安値!V345),15,""))</f>
        <v/>
      </c>
      <c r="P345" s="503" t="str">
        <f>IF(終値!A345="","",IF(AND(安値!U345&lt;安値!T345,安値!U345&lt;安値!S345,安値!U345&lt;安値!V345,安値!U345&lt;安値!W345),16,""))</f>
        <v/>
      </c>
      <c r="Q345" s="503" t="str">
        <f>IF(終値!A345="","",IF(AND(安値!V345&lt;安値!U345,安値!V345&lt;安値!T345,安値!V345&lt;安値!W345,安値!V345&lt;安値!X345),17,""))</f>
        <v/>
      </c>
      <c r="R345" s="503" t="str">
        <f>IF(終値!A345="","",IF(AND(安値!W345&lt;安値!V345,安値!W345&lt;安値!U345,安値!W345&lt;安値!X345,安値!W345&lt;安値!Y345),18,""))</f>
        <v/>
      </c>
      <c r="S345" s="503" t="str">
        <f>IF(終値!A345="","",IF(AND(安値!X345&lt;安値!W345,安値!X345&lt;安値!V345,安値!X345&lt;安値!Y345,安値!X345&lt;安値!Z345),19,""))</f>
        <v/>
      </c>
      <c r="T345" s="503" t="str">
        <f>IF(終値!A345="","",IF(AND(安値!Y345&lt;安値!X345,安値!Y345&lt;安値!W345,安値!Y345&lt;安値!Z345,安値!Y345&lt;安値!AA345),20,""))</f>
        <v/>
      </c>
      <c r="U345" s="503" t="str">
        <f>IF(終値!A345="","",IF(AND(安値!Z345&lt;安値!Y345,安値!Z345&lt;安値!X345,安値!Z345&lt;安値!AA345,安値!Z345&lt;安値!AB345),21,""))</f>
        <v/>
      </c>
      <c r="V345" s="503" t="str">
        <f>IF(終値!A345="","",IF(AND(安値!AA345&lt;安値!Z345,安値!AA345&lt;安値!Y345,安値!AA345&lt;安値!AB345,安値!AA345&lt;安値!AC345),22,""))</f>
        <v/>
      </c>
      <c r="W345" s="503" t="str">
        <f>IF(終値!A345="","",IF(AND(安値!AB345&lt;安値!AA345,安値!AB345&lt;安値!Z345,安値!AB345&lt;安値!AC345,安値!AB345&lt;安値!AD345),23,""))</f>
        <v/>
      </c>
      <c r="X345" s="503" t="str">
        <f>IF(終値!A345="","",IF(AND(安値!AC345&lt;安値!AB345,安値!AC345&lt;安値!AA345,安値!AC345&lt;安値!AD345,安値!AC345&lt;安値!AE345),24,""))</f>
        <v/>
      </c>
      <c r="Y345" s="503" t="str">
        <f>IF(終値!A345="","",IF(AND(安値!AD345&lt;安値!AC345,安値!AD345&lt;安値!AB345,安値!AD345&lt;安値!AE345,安値!AD345&lt;安値!AF345),25,""))</f>
        <v/>
      </c>
      <c r="Z345" s="503" t="str">
        <f>IF(終値!A345="","",IF(AND(安値!AE345&lt;安値!AD345,安値!AE345&lt;安値!AC345,安値!AE345&lt;安値!AF345,安値!AE345&lt;安値!AG345),26,""))</f>
        <v/>
      </c>
      <c r="AA345" s="503" t="str">
        <f>IF(終値!A345="","",IF(AND(安値!AF345&lt;安値!AE345,安値!AF345&lt;安値!AD345,安値!AF345&lt;安値!AG345,安値!AF345&lt;安値!AH345),27,""))</f>
        <v/>
      </c>
      <c r="AB345" s="503" t="str">
        <f>IF(終値!A345="","",IF(AND(安値!AG345&lt;安値!AF345,安値!AG345&lt;安値!AE345,安値!AG345&lt;安値!AH345,安値!AG345&lt;安値!AI345),28,""))</f>
        <v/>
      </c>
      <c r="AC345" s="503" t="str">
        <f>IF(終値!A345="","",IF(AND(高値!G345&gt;高値!F345,高値!G345&gt;高値!E345,高値!G345&gt;高値!H345,高値!G345&gt;高値!I345),2,""))</f>
        <v/>
      </c>
      <c r="AD345" s="503" t="str">
        <f>IF(終値!A345="","",IF(AND(高値!H345&gt;高値!G345,高値!H345&gt;高値!F345,高値!H345&gt;高値!I345,高値!H345&gt;高値!J345),3,""))</f>
        <v/>
      </c>
      <c r="AE345" s="503" t="str">
        <f>IF(終値!A345="","",IF(AND(高値!I345&gt;高値!H345,高値!I345&gt;高値!G345,高値!I345&gt;高値!J345,高値!I345&gt;高値!K345),4,""))</f>
        <v/>
      </c>
      <c r="AF345" s="503" t="str">
        <f>IF(終値!A345="","",IF(AND(高値!J345&gt;高値!I345,高値!J345&gt;高値!H345,高値!J345&gt;高値!K345,高値!J345&gt;高値!L345),5,""))</f>
        <v/>
      </c>
      <c r="AG345" s="503" t="str">
        <f>IF(終値!A345="","",IF(AND(高値!K345&gt;高値!J345,高値!K345&gt;高値!I345,高値!K345&gt;高値!L345,高値!K345&gt;高値!M345),6,""))</f>
        <v/>
      </c>
      <c r="AH345" s="503" t="str">
        <f>IF(終値!A345="","",IF(AND(高値!L345&gt;高値!K345,高値!L345&gt;高値!J345,高値!L345&gt;高値!M345,高値!L345&gt;高値!N345),7,""))</f>
        <v/>
      </c>
      <c r="AI345" s="503" t="str">
        <f>IF(終値!A345="","",IF(AND(高値!M345&gt;高値!L345,高値!M345&gt;高値!K345,高値!M345&gt;高値!N345,高値!M345&gt;高値!O345),8,""))</f>
        <v/>
      </c>
      <c r="AJ345" s="503" t="str">
        <f>IF(終値!A345="","",IF(AND(高値!N345&gt;高値!M345,高値!N345&gt;高値!L345,高値!N345&gt;高値!O345,高値!N345&gt;高値!P345),9,""))</f>
        <v/>
      </c>
      <c r="AK345" s="503" t="str">
        <f>IF(終値!A345="","",IF(AND(高値!O345&gt;高値!N345,高値!O345&gt;高値!M345,高値!O345&gt;高値!P345,高値!O345&gt;高値!Q345),10,""))</f>
        <v/>
      </c>
      <c r="AL345" s="503" t="str">
        <f>IF(終値!A345="","",IF(AND(高値!P345&gt;高値!O345,高値!P345&gt;高値!N345,高値!P345&gt;高値!Q345,高値!P345&gt;高値!R345),11,""))</f>
        <v/>
      </c>
      <c r="AM345" s="503" t="str">
        <f>IF(終値!A345="","",IF(AND(高値!Q345&gt;高値!P345,高値!Q345&gt;高値!O345,高値!Q345&gt;高値!R345,高値!Q345&gt;高値!S345),12,""))</f>
        <v/>
      </c>
      <c r="AN345" s="503" t="str">
        <f>IF(終値!A345="","",IF(AND(高値!R345&gt;高値!Q345,高値!R345&gt;高値!P345,高値!R345&gt;高値!S345,高値!R345&gt;高値!T345),13,""))</f>
        <v/>
      </c>
      <c r="AO345" s="503" t="str">
        <f>IF(終値!A345="","",IF(AND(高値!S345&gt;高値!R345,高値!S345&gt;高値!Q345,高値!S345&gt;高値!T345,高値!S345&gt;高値!U345),14,""))</f>
        <v/>
      </c>
      <c r="AP345" s="503" t="str">
        <f>IF(終値!A345="","",IF(AND(高値!T345&gt;高値!S345,高値!T345&gt;高値!R345,高値!T345&gt;高値!U345,高値!T345&gt;高値!V345),15,""))</f>
        <v/>
      </c>
      <c r="AQ345" s="503" t="str">
        <f>IF(終値!A345="","",IF(AND(高値!U345&gt;高値!T345,高値!U345&gt;高値!S345,高値!U345&gt;高値!V345,高値!U345&gt;高値!W345),16,""))</f>
        <v/>
      </c>
      <c r="AR345" s="503" t="str">
        <f>IF(終値!A345="","",IF(AND(高値!V345&gt;高値!U345,高値!V345&gt;高値!T345,高値!V345&gt;高値!W345,高値!V345&gt;高値!X345),17,""))</f>
        <v/>
      </c>
      <c r="AS345" s="503" t="str">
        <f>IF(終値!A345="","",IF(AND(高値!W345&gt;高値!V345,高値!W345&gt;高値!U345,高値!W345&gt;高値!X345,高値!W345&gt;高値!Y345),18,""))</f>
        <v/>
      </c>
      <c r="AT345" s="503" t="str">
        <f>IF(終値!A345="","",IF(AND(高値!X345&gt;高値!W345,高値!X345&gt;高値!V345,高値!X345&gt;高値!Y345,高値!X345&gt;高値!Z345),19,""))</f>
        <v/>
      </c>
      <c r="AU345" s="503" t="str">
        <f>IF(終値!A345="","",IF(AND(高値!Y345&gt;高値!X345,高値!Y345&gt;高値!W345,高値!Y345&gt;高値!Z345,高値!Y345&gt;高値!AA345),20,""))</f>
        <v/>
      </c>
      <c r="AV345" s="503" t="str">
        <f>IF(終値!A345="","",IF(AND(高値!Z345&gt;高値!Y345,高値!Z345&gt;高値!X345,高値!Z345&gt;高値!AA345,高値!Z345&gt;高値!AB345),21,""))</f>
        <v/>
      </c>
      <c r="AW345" s="503" t="str">
        <f>IF(終値!A345="","",IF(AND(高値!AA345&gt;高値!Z345,高値!AA345&gt;高値!Y345,高値!AA345&gt;高値!AB345,高値!AA345&gt;高値!AC345),22,""))</f>
        <v/>
      </c>
      <c r="AX345" s="503" t="str">
        <f>IF(終値!A345="","",IF(AND(高値!AB345&gt;高値!AA345,高値!AB345&gt;高値!Z345,高値!AB345&gt;高値!AC345,高値!AB345&gt;高値!AD345),23,""))</f>
        <v/>
      </c>
      <c r="AY345" s="503" t="str">
        <f>IF(終値!A345="","",IF(AND(高値!AC345&gt;高値!AB345,高値!AC345&gt;高値!AA345,高値!AC345&gt;高値!AD345,高値!AC345&gt;高値!AE345),24,""))</f>
        <v/>
      </c>
      <c r="AZ345" s="503" t="str">
        <f>IF(終値!A345="","",IF(AND(高値!AD345&gt;高値!AC345,高値!AD345&gt;高値!AB345,高値!AD345&gt;高値!AE345,高値!AD345&gt;高値!AF345),25,""))</f>
        <v/>
      </c>
      <c r="BA345" s="503" t="str">
        <f>IF(終値!A345="","",IF(AND(高値!AE345&gt;高値!AD345,高値!AE345&gt;高値!AC345,高値!AE345&gt;高値!AF345,高値!AE345&gt;高値!AG345),26,""))</f>
        <v/>
      </c>
      <c r="BB345" s="503" t="str">
        <f>IF(終値!A345="","",IF(AND(高値!AF345&gt;高値!AE345,高値!AF345&gt;高値!AD345,高値!AF345&gt;高値!AG345,高値!AF345&gt;高値!AH345),27,""))</f>
        <v/>
      </c>
      <c r="BC345" s="503" t="str">
        <f>IF(終値!A345="","",IF(AND(高値!AG345&gt;高値!AF345,高値!AG345&gt;高値!AE345,高値!AG345&gt;高値!AH345,高値!AG345&gt;高値!AI345),28,""))</f>
        <v/>
      </c>
      <c r="BD345" s="503">
        <f t="shared" si="30"/>
        <v>0</v>
      </c>
      <c r="BE345" s="503" t="str">
        <f t="shared" si="31"/>
        <v/>
      </c>
      <c r="BF345" s="503" t="str">
        <f t="shared" si="32"/>
        <v/>
      </c>
      <c r="BG345" s="503" t="str">
        <f>IF($BE345="","",INDEX(安値!$E345:$CZ345,1,$BE345+1))</f>
        <v/>
      </c>
      <c r="BH345" s="503" t="str">
        <f>IF($BF345="","",INDEX(安値!$E345:$CZ345,1,$BF345+1))</f>
        <v/>
      </c>
      <c r="BI345" s="503" t="str">
        <f>IF($BF345="","",MAX(INDEX(高値!$E345:$CZ345,1,$BE345+1):INDEX(高値!$E345:$CZ345,1,$BF345+1)))</f>
        <v/>
      </c>
      <c r="BJ345" s="503" t="str">
        <f>IF($BF345="","",AVERAGE(INDEX(終値!$E345:$CZ345,1,$BF345+1):INDEX(終値!$E345:$CZ345,1,$BF345+20))-2*STDEVP(INDEX(終値!$E345:$CZ345,1,$BF345+1):INDEX(終値!$E345:$CZ345,1,$BF345+20)))</f>
        <v/>
      </c>
      <c r="BK345" s="503" t="str">
        <f>IF($BE345="","",AVERAGE(INDEX(終値!$E345:$CZ345,1,$BE345+1):INDEX(終値!$E345:$CZ345,1,$BE345+20))-2*STDEVP(INDEX(終値!$E345:$CZ345,1,$BE345+1):INDEX(終値!$E345:$CZ345,1,$BE345+20)))</f>
        <v/>
      </c>
      <c r="BL345" s="503">
        <f t="shared" si="33"/>
        <v>0</v>
      </c>
      <c r="BM345" s="503" t="str">
        <f t="shared" si="34"/>
        <v/>
      </c>
      <c r="BN345" s="503" t="str">
        <f t="shared" si="35"/>
        <v/>
      </c>
      <c r="BO345" s="503" t="str">
        <f>IF($BM345="","",INDEX(高値!$E345:$CZ345,1,$BM345+1))</f>
        <v/>
      </c>
      <c r="BP345" s="503" t="str">
        <f>IF($BN345="","",INDEX(高値!$E345:$CZ345,1,$BN345+1))</f>
        <v/>
      </c>
      <c r="BQ345" s="503" t="str">
        <f>IF($BN345="","",MIN(INDEX(安値!$E345:$CZ345,1,$BM345+1):INDEX(安値!$E345:$CZ345,1,$BN345+1)))</f>
        <v/>
      </c>
      <c r="BR345" s="503" t="str">
        <f>IF($BN345="","",AVERAGE(INDEX(終値!$E345:$CZ345,1,$BN345+1):INDEX(終値!$E345:$CZ345,1,$BN345+20))+2*STDEVP(INDEX(終値!$E345:$CZ345,1,$BN345+1):INDEX(終値!$E345:$CZ345,1,$BN345+20)))</f>
        <v/>
      </c>
      <c r="BS345" s="503" t="str">
        <f>IF($BM345="","",AVERAGE(INDEX(終値!$E345:$CZ345,1,$BM345+1):INDEX(終値!$E345:$CZ345,1,$BM345+20))+2*STDEVP(INDEX(終値!$E345:$CZ345,1,$BM345+1):INDEX(終値!$E345:$CZ345,1,$BM345+20)))</f>
        <v/>
      </c>
      <c r="BT345" s="500"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3" t="str">
        <f>IF(終値!A346="","",IF(AND(安値!G346&lt;安値!F346,安値!G346&lt;安値!E346,安値!G346&lt;安値!H346,安値!G346&lt;安値!I346),2,""))</f>
        <v/>
      </c>
      <c r="C346" s="503" t="str">
        <f>IF(終値!A346="","",IF(AND(安値!H346&lt;安値!G346,安値!H346&lt;安値!F346,安値!H346&lt;安値!I346,安値!H346&lt;安値!J346),3,""))</f>
        <v/>
      </c>
      <c r="D346" s="503" t="str">
        <f>IF(終値!A346="","",IF(AND(安値!I346&lt;安値!H346,安値!I346&lt;安値!G346,安値!I346&lt;安値!J346,安値!I346&lt;安値!K346),4,""))</f>
        <v/>
      </c>
      <c r="E346" s="503" t="str">
        <f>IF(終値!A346="","",IF(AND(安値!J346&lt;安値!I346,安値!J346&lt;安値!H346,安値!J346&lt;安値!K346,安値!J346&lt;安値!L346),5,""))</f>
        <v/>
      </c>
      <c r="F346" s="503" t="str">
        <f>IF(終値!A346="","",IF(AND(安値!K346&lt;安値!J346,安値!K346&lt;安値!I346,安値!K346&lt;安値!L346,安値!K346&lt;安値!M346),6,""))</f>
        <v/>
      </c>
      <c r="G346" s="503" t="str">
        <f>IF(終値!A346="","",IF(AND(安値!L346&lt;安値!K346,安値!L346&lt;安値!J346,安値!L346&lt;安値!M346,安値!L346&lt;安値!N346),7,""))</f>
        <v/>
      </c>
      <c r="H346" s="503" t="str">
        <f>IF(終値!A346="","",IF(AND(安値!M346&lt;安値!L346,安値!M346&lt;安値!K346,安値!M346&lt;安値!N346,安値!M346&lt;安値!O346),8,""))</f>
        <v/>
      </c>
      <c r="I346" s="503" t="str">
        <f>IF(終値!A346="","",IF(AND(安値!N346&lt;安値!M346,安値!N346&lt;安値!L346,安値!N346&lt;安値!O346,安値!N346&lt;安値!P346),9,""))</f>
        <v/>
      </c>
      <c r="J346" s="503" t="str">
        <f>IF(終値!A346="","",IF(AND(安値!O346&lt;安値!N346,安値!O346&lt;安値!M346,安値!O346&lt;安値!P346,安値!O346&lt;安値!Q346),10,""))</f>
        <v/>
      </c>
      <c r="K346" s="503" t="str">
        <f>IF(終値!A346="","",IF(AND(安値!P346&lt;安値!O346,安値!P346&lt;安値!N346,安値!P346&lt;安値!Q346,安値!P346&lt;安値!R346),11,""))</f>
        <v/>
      </c>
      <c r="L346" s="503" t="str">
        <f>IF(終値!A346="","",IF(AND(安値!Q346&lt;安値!P346,安値!Q346&lt;安値!O346,安値!Q346&lt;安値!R346,安値!Q346&lt;安値!S346),12,""))</f>
        <v/>
      </c>
      <c r="M346" s="503" t="str">
        <f>IF(終値!A346="","",IF(AND(安値!R346&lt;安値!Q346,安値!R346&lt;安値!P346,安値!R346&lt;安値!S346,安値!R346&lt;安値!T346),13,""))</f>
        <v/>
      </c>
      <c r="N346" s="503" t="str">
        <f>IF(終値!A346="","",IF(AND(安値!S346&lt;安値!R346,安値!S346&lt;安値!Q346,安値!S346&lt;安値!T346,安値!S346&lt;安値!U346),14,""))</f>
        <v/>
      </c>
      <c r="O346" s="503" t="str">
        <f>IF(終値!A346="","",IF(AND(安値!T346&lt;安値!S346,安値!T346&lt;安値!R346,安値!T346&lt;安値!U346,安値!T346&lt;安値!V346),15,""))</f>
        <v/>
      </c>
      <c r="P346" s="503" t="str">
        <f>IF(終値!A346="","",IF(AND(安値!U346&lt;安値!T346,安値!U346&lt;安値!S346,安値!U346&lt;安値!V346,安値!U346&lt;安値!W346),16,""))</f>
        <v/>
      </c>
      <c r="Q346" s="503" t="str">
        <f>IF(終値!A346="","",IF(AND(安値!V346&lt;安値!U346,安値!V346&lt;安値!T346,安値!V346&lt;安値!W346,安値!V346&lt;安値!X346),17,""))</f>
        <v/>
      </c>
      <c r="R346" s="503" t="str">
        <f>IF(終値!A346="","",IF(AND(安値!W346&lt;安値!V346,安値!W346&lt;安値!U346,安値!W346&lt;安値!X346,安値!W346&lt;安値!Y346),18,""))</f>
        <v/>
      </c>
      <c r="S346" s="503" t="str">
        <f>IF(終値!A346="","",IF(AND(安値!X346&lt;安値!W346,安値!X346&lt;安値!V346,安値!X346&lt;安値!Y346,安値!X346&lt;安値!Z346),19,""))</f>
        <v/>
      </c>
      <c r="T346" s="503" t="str">
        <f>IF(終値!A346="","",IF(AND(安値!Y346&lt;安値!X346,安値!Y346&lt;安値!W346,安値!Y346&lt;安値!Z346,安値!Y346&lt;安値!AA346),20,""))</f>
        <v/>
      </c>
      <c r="U346" s="503" t="str">
        <f>IF(終値!A346="","",IF(AND(安値!Z346&lt;安値!Y346,安値!Z346&lt;安値!X346,安値!Z346&lt;安値!AA346,安値!Z346&lt;安値!AB346),21,""))</f>
        <v/>
      </c>
      <c r="V346" s="503" t="str">
        <f>IF(終値!A346="","",IF(AND(安値!AA346&lt;安値!Z346,安値!AA346&lt;安値!Y346,安値!AA346&lt;安値!AB346,安値!AA346&lt;安値!AC346),22,""))</f>
        <v/>
      </c>
      <c r="W346" s="503" t="str">
        <f>IF(終値!A346="","",IF(AND(安値!AB346&lt;安値!AA346,安値!AB346&lt;安値!Z346,安値!AB346&lt;安値!AC346,安値!AB346&lt;安値!AD346),23,""))</f>
        <v/>
      </c>
      <c r="X346" s="503" t="str">
        <f>IF(終値!A346="","",IF(AND(安値!AC346&lt;安値!AB346,安値!AC346&lt;安値!AA346,安値!AC346&lt;安値!AD346,安値!AC346&lt;安値!AE346),24,""))</f>
        <v/>
      </c>
      <c r="Y346" s="503" t="str">
        <f>IF(終値!A346="","",IF(AND(安値!AD346&lt;安値!AC346,安値!AD346&lt;安値!AB346,安値!AD346&lt;安値!AE346,安値!AD346&lt;安値!AF346),25,""))</f>
        <v/>
      </c>
      <c r="Z346" s="503" t="str">
        <f>IF(終値!A346="","",IF(AND(安値!AE346&lt;安値!AD346,安値!AE346&lt;安値!AC346,安値!AE346&lt;安値!AF346,安値!AE346&lt;安値!AG346),26,""))</f>
        <v/>
      </c>
      <c r="AA346" s="503" t="str">
        <f>IF(終値!A346="","",IF(AND(安値!AF346&lt;安値!AE346,安値!AF346&lt;安値!AD346,安値!AF346&lt;安値!AG346,安値!AF346&lt;安値!AH346),27,""))</f>
        <v/>
      </c>
      <c r="AB346" s="503" t="str">
        <f>IF(終値!A346="","",IF(AND(安値!AG346&lt;安値!AF346,安値!AG346&lt;安値!AE346,安値!AG346&lt;安値!AH346,安値!AG346&lt;安値!AI346),28,""))</f>
        <v/>
      </c>
      <c r="AC346" s="503" t="str">
        <f>IF(終値!A346="","",IF(AND(高値!G346&gt;高値!F346,高値!G346&gt;高値!E346,高値!G346&gt;高値!H346,高値!G346&gt;高値!I346),2,""))</f>
        <v/>
      </c>
      <c r="AD346" s="503" t="str">
        <f>IF(終値!A346="","",IF(AND(高値!H346&gt;高値!G346,高値!H346&gt;高値!F346,高値!H346&gt;高値!I346,高値!H346&gt;高値!J346),3,""))</f>
        <v/>
      </c>
      <c r="AE346" s="503" t="str">
        <f>IF(終値!A346="","",IF(AND(高値!I346&gt;高値!H346,高値!I346&gt;高値!G346,高値!I346&gt;高値!J346,高値!I346&gt;高値!K346),4,""))</f>
        <v/>
      </c>
      <c r="AF346" s="503" t="str">
        <f>IF(終値!A346="","",IF(AND(高値!J346&gt;高値!I346,高値!J346&gt;高値!H346,高値!J346&gt;高値!K346,高値!J346&gt;高値!L346),5,""))</f>
        <v/>
      </c>
      <c r="AG346" s="503" t="str">
        <f>IF(終値!A346="","",IF(AND(高値!K346&gt;高値!J346,高値!K346&gt;高値!I346,高値!K346&gt;高値!L346,高値!K346&gt;高値!M346),6,""))</f>
        <v/>
      </c>
      <c r="AH346" s="503" t="str">
        <f>IF(終値!A346="","",IF(AND(高値!L346&gt;高値!K346,高値!L346&gt;高値!J346,高値!L346&gt;高値!M346,高値!L346&gt;高値!N346),7,""))</f>
        <v/>
      </c>
      <c r="AI346" s="503" t="str">
        <f>IF(終値!A346="","",IF(AND(高値!M346&gt;高値!L346,高値!M346&gt;高値!K346,高値!M346&gt;高値!N346,高値!M346&gt;高値!O346),8,""))</f>
        <v/>
      </c>
      <c r="AJ346" s="503" t="str">
        <f>IF(終値!A346="","",IF(AND(高値!N346&gt;高値!M346,高値!N346&gt;高値!L346,高値!N346&gt;高値!O346,高値!N346&gt;高値!P346),9,""))</f>
        <v/>
      </c>
      <c r="AK346" s="503" t="str">
        <f>IF(終値!A346="","",IF(AND(高値!O346&gt;高値!N346,高値!O346&gt;高値!M346,高値!O346&gt;高値!P346,高値!O346&gt;高値!Q346),10,""))</f>
        <v/>
      </c>
      <c r="AL346" s="503" t="str">
        <f>IF(終値!A346="","",IF(AND(高値!P346&gt;高値!O346,高値!P346&gt;高値!N346,高値!P346&gt;高値!Q346,高値!P346&gt;高値!R346),11,""))</f>
        <v/>
      </c>
      <c r="AM346" s="503" t="str">
        <f>IF(終値!A346="","",IF(AND(高値!Q346&gt;高値!P346,高値!Q346&gt;高値!O346,高値!Q346&gt;高値!R346,高値!Q346&gt;高値!S346),12,""))</f>
        <v/>
      </c>
      <c r="AN346" s="503" t="str">
        <f>IF(終値!A346="","",IF(AND(高値!R346&gt;高値!Q346,高値!R346&gt;高値!P346,高値!R346&gt;高値!S346,高値!R346&gt;高値!T346),13,""))</f>
        <v/>
      </c>
      <c r="AO346" s="503" t="str">
        <f>IF(終値!A346="","",IF(AND(高値!S346&gt;高値!R346,高値!S346&gt;高値!Q346,高値!S346&gt;高値!T346,高値!S346&gt;高値!U346),14,""))</f>
        <v/>
      </c>
      <c r="AP346" s="503" t="str">
        <f>IF(終値!A346="","",IF(AND(高値!T346&gt;高値!S346,高値!T346&gt;高値!R346,高値!T346&gt;高値!U346,高値!T346&gt;高値!V346),15,""))</f>
        <v/>
      </c>
      <c r="AQ346" s="503" t="str">
        <f>IF(終値!A346="","",IF(AND(高値!U346&gt;高値!T346,高値!U346&gt;高値!S346,高値!U346&gt;高値!V346,高値!U346&gt;高値!W346),16,""))</f>
        <v/>
      </c>
      <c r="AR346" s="503" t="str">
        <f>IF(終値!A346="","",IF(AND(高値!V346&gt;高値!U346,高値!V346&gt;高値!T346,高値!V346&gt;高値!W346,高値!V346&gt;高値!X346),17,""))</f>
        <v/>
      </c>
      <c r="AS346" s="503" t="str">
        <f>IF(終値!A346="","",IF(AND(高値!W346&gt;高値!V346,高値!W346&gt;高値!U346,高値!W346&gt;高値!X346,高値!W346&gt;高値!Y346),18,""))</f>
        <v/>
      </c>
      <c r="AT346" s="503" t="str">
        <f>IF(終値!A346="","",IF(AND(高値!X346&gt;高値!W346,高値!X346&gt;高値!V346,高値!X346&gt;高値!Y346,高値!X346&gt;高値!Z346),19,""))</f>
        <v/>
      </c>
      <c r="AU346" s="503" t="str">
        <f>IF(終値!A346="","",IF(AND(高値!Y346&gt;高値!X346,高値!Y346&gt;高値!W346,高値!Y346&gt;高値!Z346,高値!Y346&gt;高値!AA346),20,""))</f>
        <v/>
      </c>
      <c r="AV346" s="503" t="str">
        <f>IF(終値!A346="","",IF(AND(高値!Z346&gt;高値!Y346,高値!Z346&gt;高値!X346,高値!Z346&gt;高値!AA346,高値!Z346&gt;高値!AB346),21,""))</f>
        <v/>
      </c>
      <c r="AW346" s="503" t="str">
        <f>IF(終値!A346="","",IF(AND(高値!AA346&gt;高値!Z346,高値!AA346&gt;高値!Y346,高値!AA346&gt;高値!AB346,高値!AA346&gt;高値!AC346),22,""))</f>
        <v/>
      </c>
      <c r="AX346" s="503" t="str">
        <f>IF(終値!A346="","",IF(AND(高値!AB346&gt;高値!AA346,高値!AB346&gt;高値!Z346,高値!AB346&gt;高値!AC346,高値!AB346&gt;高値!AD346),23,""))</f>
        <v/>
      </c>
      <c r="AY346" s="503" t="str">
        <f>IF(終値!A346="","",IF(AND(高値!AC346&gt;高値!AB346,高値!AC346&gt;高値!AA346,高値!AC346&gt;高値!AD346,高値!AC346&gt;高値!AE346),24,""))</f>
        <v/>
      </c>
      <c r="AZ346" s="503" t="str">
        <f>IF(終値!A346="","",IF(AND(高値!AD346&gt;高値!AC346,高値!AD346&gt;高値!AB346,高値!AD346&gt;高値!AE346,高値!AD346&gt;高値!AF346),25,""))</f>
        <v/>
      </c>
      <c r="BA346" s="503" t="str">
        <f>IF(終値!A346="","",IF(AND(高値!AE346&gt;高値!AD346,高値!AE346&gt;高値!AC346,高値!AE346&gt;高値!AF346,高値!AE346&gt;高値!AG346),26,""))</f>
        <v/>
      </c>
      <c r="BB346" s="503" t="str">
        <f>IF(終値!A346="","",IF(AND(高値!AF346&gt;高値!AE346,高値!AF346&gt;高値!AD346,高値!AF346&gt;高値!AG346,高値!AF346&gt;高値!AH346),27,""))</f>
        <v/>
      </c>
      <c r="BC346" s="503" t="str">
        <f>IF(終値!A346="","",IF(AND(高値!AG346&gt;高値!AF346,高値!AG346&gt;高値!AE346,高値!AG346&gt;高値!AH346,高値!AG346&gt;高値!AI346),28,""))</f>
        <v/>
      </c>
      <c r="BD346" s="503">
        <f t="shared" si="30"/>
        <v>0</v>
      </c>
      <c r="BE346" s="503" t="str">
        <f t="shared" si="31"/>
        <v/>
      </c>
      <c r="BF346" s="503" t="str">
        <f t="shared" si="32"/>
        <v/>
      </c>
      <c r="BG346" s="503" t="str">
        <f>IF($BE346="","",INDEX(安値!$E346:$CZ346,1,$BE346+1))</f>
        <v/>
      </c>
      <c r="BH346" s="503" t="str">
        <f>IF($BF346="","",INDEX(安値!$E346:$CZ346,1,$BF346+1))</f>
        <v/>
      </c>
      <c r="BI346" s="503" t="str">
        <f>IF($BF346="","",MAX(INDEX(高値!$E346:$CZ346,1,$BE346+1):INDEX(高値!$E346:$CZ346,1,$BF346+1)))</f>
        <v/>
      </c>
      <c r="BJ346" s="503" t="str">
        <f>IF($BF346="","",AVERAGE(INDEX(終値!$E346:$CZ346,1,$BF346+1):INDEX(終値!$E346:$CZ346,1,$BF346+20))-2*STDEVP(INDEX(終値!$E346:$CZ346,1,$BF346+1):INDEX(終値!$E346:$CZ346,1,$BF346+20)))</f>
        <v/>
      </c>
      <c r="BK346" s="503" t="str">
        <f>IF($BE346="","",AVERAGE(INDEX(終値!$E346:$CZ346,1,$BE346+1):INDEX(終値!$E346:$CZ346,1,$BE346+20))-2*STDEVP(INDEX(終値!$E346:$CZ346,1,$BE346+1):INDEX(終値!$E346:$CZ346,1,$BE346+20)))</f>
        <v/>
      </c>
      <c r="BL346" s="503">
        <f t="shared" si="33"/>
        <v>0</v>
      </c>
      <c r="BM346" s="503" t="str">
        <f t="shared" si="34"/>
        <v/>
      </c>
      <c r="BN346" s="503" t="str">
        <f t="shared" si="35"/>
        <v/>
      </c>
      <c r="BO346" s="503" t="str">
        <f>IF($BM346="","",INDEX(高値!$E346:$CZ346,1,$BM346+1))</f>
        <v/>
      </c>
      <c r="BP346" s="503" t="str">
        <f>IF($BN346="","",INDEX(高値!$E346:$CZ346,1,$BN346+1))</f>
        <v/>
      </c>
      <c r="BQ346" s="503" t="str">
        <f>IF($BN346="","",MIN(INDEX(安値!$E346:$CZ346,1,$BM346+1):INDEX(安値!$E346:$CZ346,1,$BN346+1)))</f>
        <v/>
      </c>
      <c r="BR346" s="503" t="str">
        <f>IF($BN346="","",AVERAGE(INDEX(終値!$E346:$CZ346,1,$BN346+1):INDEX(終値!$E346:$CZ346,1,$BN346+20))+2*STDEVP(INDEX(終値!$E346:$CZ346,1,$BN346+1):INDEX(終値!$E346:$CZ346,1,$BN346+20)))</f>
        <v/>
      </c>
      <c r="BS346" s="503" t="str">
        <f>IF($BM346="","",AVERAGE(INDEX(終値!$E346:$CZ346,1,$BM346+1):INDEX(終値!$E346:$CZ346,1,$BM346+20))+2*STDEVP(INDEX(終値!$E346:$CZ346,1,$BM346+1):INDEX(終値!$E346:$CZ346,1,$BM346+20)))</f>
        <v/>
      </c>
      <c r="BT346" s="500"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3" t="str">
        <f>IF(終値!A347="","",IF(AND(安値!G347&lt;安値!F347,安値!G347&lt;安値!E347,安値!G347&lt;安値!H347,安値!G347&lt;安値!I347),2,""))</f>
        <v/>
      </c>
      <c r="C347" s="503" t="str">
        <f>IF(終値!A347="","",IF(AND(安値!H347&lt;安値!G347,安値!H347&lt;安値!F347,安値!H347&lt;安値!I347,安値!H347&lt;安値!J347),3,""))</f>
        <v/>
      </c>
      <c r="D347" s="503" t="str">
        <f>IF(終値!A347="","",IF(AND(安値!I347&lt;安値!H347,安値!I347&lt;安値!G347,安値!I347&lt;安値!J347,安値!I347&lt;安値!K347),4,""))</f>
        <v/>
      </c>
      <c r="E347" s="503" t="str">
        <f>IF(終値!A347="","",IF(AND(安値!J347&lt;安値!I347,安値!J347&lt;安値!H347,安値!J347&lt;安値!K347,安値!J347&lt;安値!L347),5,""))</f>
        <v/>
      </c>
      <c r="F347" s="503" t="str">
        <f>IF(終値!A347="","",IF(AND(安値!K347&lt;安値!J347,安値!K347&lt;安値!I347,安値!K347&lt;安値!L347,安値!K347&lt;安値!M347),6,""))</f>
        <v/>
      </c>
      <c r="G347" s="503" t="str">
        <f>IF(終値!A347="","",IF(AND(安値!L347&lt;安値!K347,安値!L347&lt;安値!J347,安値!L347&lt;安値!M347,安値!L347&lt;安値!N347),7,""))</f>
        <v/>
      </c>
      <c r="H347" s="503" t="str">
        <f>IF(終値!A347="","",IF(AND(安値!M347&lt;安値!L347,安値!M347&lt;安値!K347,安値!M347&lt;安値!N347,安値!M347&lt;安値!O347),8,""))</f>
        <v/>
      </c>
      <c r="I347" s="503" t="str">
        <f>IF(終値!A347="","",IF(AND(安値!N347&lt;安値!M347,安値!N347&lt;安値!L347,安値!N347&lt;安値!O347,安値!N347&lt;安値!P347),9,""))</f>
        <v/>
      </c>
      <c r="J347" s="503" t="str">
        <f>IF(終値!A347="","",IF(AND(安値!O347&lt;安値!N347,安値!O347&lt;安値!M347,安値!O347&lt;安値!P347,安値!O347&lt;安値!Q347),10,""))</f>
        <v/>
      </c>
      <c r="K347" s="503" t="str">
        <f>IF(終値!A347="","",IF(AND(安値!P347&lt;安値!O347,安値!P347&lt;安値!N347,安値!P347&lt;安値!Q347,安値!P347&lt;安値!R347),11,""))</f>
        <v/>
      </c>
      <c r="L347" s="503" t="str">
        <f>IF(終値!A347="","",IF(AND(安値!Q347&lt;安値!P347,安値!Q347&lt;安値!O347,安値!Q347&lt;安値!R347,安値!Q347&lt;安値!S347),12,""))</f>
        <v/>
      </c>
      <c r="M347" s="503" t="str">
        <f>IF(終値!A347="","",IF(AND(安値!R347&lt;安値!Q347,安値!R347&lt;安値!P347,安値!R347&lt;安値!S347,安値!R347&lt;安値!T347),13,""))</f>
        <v/>
      </c>
      <c r="N347" s="503" t="str">
        <f>IF(終値!A347="","",IF(AND(安値!S347&lt;安値!R347,安値!S347&lt;安値!Q347,安値!S347&lt;安値!T347,安値!S347&lt;安値!U347),14,""))</f>
        <v/>
      </c>
      <c r="O347" s="503" t="str">
        <f>IF(終値!A347="","",IF(AND(安値!T347&lt;安値!S347,安値!T347&lt;安値!R347,安値!T347&lt;安値!U347,安値!T347&lt;安値!V347),15,""))</f>
        <v/>
      </c>
      <c r="P347" s="503" t="str">
        <f>IF(終値!A347="","",IF(AND(安値!U347&lt;安値!T347,安値!U347&lt;安値!S347,安値!U347&lt;安値!V347,安値!U347&lt;安値!W347),16,""))</f>
        <v/>
      </c>
      <c r="Q347" s="503" t="str">
        <f>IF(終値!A347="","",IF(AND(安値!V347&lt;安値!U347,安値!V347&lt;安値!T347,安値!V347&lt;安値!W347,安値!V347&lt;安値!X347),17,""))</f>
        <v/>
      </c>
      <c r="R347" s="503" t="str">
        <f>IF(終値!A347="","",IF(AND(安値!W347&lt;安値!V347,安値!W347&lt;安値!U347,安値!W347&lt;安値!X347,安値!W347&lt;安値!Y347),18,""))</f>
        <v/>
      </c>
      <c r="S347" s="503" t="str">
        <f>IF(終値!A347="","",IF(AND(安値!X347&lt;安値!W347,安値!X347&lt;安値!V347,安値!X347&lt;安値!Y347,安値!X347&lt;安値!Z347),19,""))</f>
        <v/>
      </c>
      <c r="T347" s="503" t="str">
        <f>IF(終値!A347="","",IF(AND(安値!Y347&lt;安値!X347,安値!Y347&lt;安値!W347,安値!Y347&lt;安値!Z347,安値!Y347&lt;安値!AA347),20,""))</f>
        <v/>
      </c>
      <c r="U347" s="503" t="str">
        <f>IF(終値!A347="","",IF(AND(安値!Z347&lt;安値!Y347,安値!Z347&lt;安値!X347,安値!Z347&lt;安値!AA347,安値!Z347&lt;安値!AB347),21,""))</f>
        <v/>
      </c>
      <c r="V347" s="503" t="str">
        <f>IF(終値!A347="","",IF(AND(安値!AA347&lt;安値!Z347,安値!AA347&lt;安値!Y347,安値!AA347&lt;安値!AB347,安値!AA347&lt;安値!AC347),22,""))</f>
        <v/>
      </c>
      <c r="W347" s="503" t="str">
        <f>IF(終値!A347="","",IF(AND(安値!AB347&lt;安値!AA347,安値!AB347&lt;安値!Z347,安値!AB347&lt;安値!AC347,安値!AB347&lt;安値!AD347),23,""))</f>
        <v/>
      </c>
      <c r="X347" s="503" t="str">
        <f>IF(終値!A347="","",IF(AND(安値!AC347&lt;安値!AB347,安値!AC347&lt;安値!AA347,安値!AC347&lt;安値!AD347,安値!AC347&lt;安値!AE347),24,""))</f>
        <v/>
      </c>
      <c r="Y347" s="503" t="str">
        <f>IF(終値!A347="","",IF(AND(安値!AD347&lt;安値!AC347,安値!AD347&lt;安値!AB347,安値!AD347&lt;安値!AE347,安値!AD347&lt;安値!AF347),25,""))</f>
        <v/>
      </c>
      <c r="Z347" s="503" t="str">
        <f>IF(終値!A347="","",IF(AND(安値!AE347&lt;安値!AD347,安値!AE347&lt;安値!AC347,安値!AE347&lt;安値!AF347,安値!AE347&lt;安値!AG347),26,""))</f>
        <v/>
      </c>
      <c r="AA347" s="503" t="str">
        <f>IF(終値!A347="","",IF(AND(安値!AF347&lt;安値!AE347,安値!AF347&lt;安値!AD347,安値!AF347&lt;安値!AG347,安値!AF347&lt;安値!AH347),27,""))</f>
        <v/>
      </c>
      <c r="AB347" s="503" t="str">
        <f>IF(終値!A347="","",IF(AND(安値!AG347&lt;安値!AF347,安値!AG347&lt;安値!AE347,安値!AG347&lt;安値!AH347,安値!AG347&lt;安値!AI347),28,""))</f>
        <v/>
      </c>
      <c r="AC347" s="503" t="str">
        <f>IF(終値!A347="","",IF(AND(高値!G347&gt;高値!F347,高値!G347&gt;高値!E347,高値!G347&gt;高値!H347,高値!G347&gt;高値!I347),2,""))</f>
        <v/>
      </c>
      <c r="AD347" s="503" t="str">
        <f>IF(終値!A347="","",IF(AND(高値!H347&gt;高値!G347,高値!H347&gt;高値!F347,高値!H347&gt;高値!I347,高値!H347&gt;高値!J347),3,""))</f>
        <v/>
      </c>
      <c r="AE347" s="503" t="str">
        <f>IF(終値!A347="","",IF(AND(高値!I347&gt;高値!H347,高値!I347&gt;高値!G347,高値!I347&gt;高値!J347,高値!I347&gt;高値!K347),4,""))</f>
        <v/>
      </c>
      <c r="AF347" s="503" t="str">
        <f>IF(終値!A347="","",IF(AND(高値!J347&gt;高値!I347,高値!J347&gt;高値!H347,高値!J347&gt;高値!K347,高値!J347&gt;高値!L347),5,""))</f>
        <v/>
      </c>
      <c r="AG347" s="503" t="str">
        <f>IF(終値!A347="","",IF(AND(高値!K347&gt;高値!J347,高値!K347&gt;高値!I347,高値!K347&gt;高値!L347,高値!K347&gt;高値!M347),6,""))</f>
        <v/>
      </c>
      <c r="AH347" s="503" t="str">
        <f>IF(終値!A347="","",IF(AND(高値!L347&gt;高値!K347,高値!L347&gt;高値!J347,高値!L347&gt;高値!M347,高値!L347&gt;高値!N347),7,""))</f>
        <v/>
      </c>
      <c r="AI347" s="503" t="str">
        <f>IF(終値!A347="","",IF(AND(高値!M347&gt;高値!L347,高値!M347&gt;高値!K347,高値!M347&gt;高値!N347,高値!M347&gt;高値!O347),8,""))</f>
        <v/>
      </c>
      <c r="AJ347" s="503" t="str">
        <f>IF(終値!A347="","",IF(AND(高値!N347&gt;高値!M347,高値!N347&gt;高値!L347,高値!N347&gt;高値!O347,高値!N347&gt;高値!P347),9,""))</f>
        <v/>
      </c>
      <c r="AK347" s="503" t="str">
        <f>IF(終値!A347="","",IF(AND(高値!O347&gt;高値!N347,高値!O347&gt;高値!M347,高値!O347&gt;高値!P347,高値!O347&gt;高値!Q347),10,""))</f>
        <v/>
      </c>
      <c r="AL347" s="503" t="str">
        <f>IF(終値!A347="","",IF(AND(高値!P347&gt;高値!O347,高値!P347&gt;高値!N347,高値!P347&gt;高値!Q347,高値!P347&gt;高値!R347),11,""))</f>
        <v/>
      </c>
      <c r="AM347" s="503" t="str">
        <f>IF(終値!A347="","",IF(AND(高値!Q347&gt;高値!P347,高値!Q347&gt;高値!O347,高値!Q347&gt;高値!R347,高値!Q347&gt;高値!S347),12,""))</f>
        <v/>
      </c>
      <c r="AN347" s="503" t="str">
        <f>IF(終値!A347="","",IF(AND(高値!R347&gt;高値!Q347,高値!R347&gt;高値!P347,高値!R347&gt;高値!S347,高値!R347&gt;高値!T347),13,""))</f>
        <v/>
      </c>
      <c r="AO347" s="503" t="str">
        <f>IF(終値!A347="","",IF(AND(高値!S347&gt;高値!R347,高値!S347&gt;高値!Q347,高値!S347&gt;高値!T347,高値!S347&gt;高値!U347),14,""))</f>
        <v/>
      </c>
      <c r="AP347" s="503" t="str">
        <f>IF(終値!A347="","",IF(AND(高値!T347&gt;高値!S347,高値!T347&gt;高値!R347,高値!T347&gt;高値!U347,高値!T347&gt;高値!V347),15,""))</f>
        <v/>
      </c>
      <c r="AQ347" s="503" t="str">
        <f>IF(終値!A347="","",IF(AND(高値!U347&gt;高値!T347,高値!U347&gt;高値!S347,高値!U347&gt;高値!V347,高値!U347&gt;高値!W347),16,""))</f>
        <v/>
      </c>
      <c r="AR347" s="503" t="str">
        <f>IF(終値!A347="","",IF(AND(高値!V347&gt;高値!U347,高値!V347&gt;高値!T347,高値!V347&gt;高値!W347,高値!V347&gt;高値!X347),17,""))</f>
        <v/>
      </c>
      <c r="AS347" s="503" t="str">
        <f>IF(終値!A347="","",IF(AND(高値!W347&gt;高値!V347,高値!W347&gt;高値!U347,高値!W347&gt;高値!X347,高値!W347&gt;高値!Y347),18,""))</f>
        <v/>
      </c>
      <c r="AT347" s="503" t="str">
        <f>IF(終値!A347="","",IF(AND(高値!X347&gt;高値!W347,高値!X347&gt;高値!V347,高値!X347&gt;高値!Y347,高値!X347&gt;高値!Z347),19,""))</f>
        <v/>
      </c>
      <c r="AU347" s="503" t="str">
        <f>IF(終値!A347="","",IF(AND(高値!Y347&gt;高値!X347,高値!Y347&gt;高値!W347,高値!Y347&gt;高値!Z347,高値!Y347&gt;高値!AA347),20,""))</f>
        <v/>
      </c>
      <c r="AV347" s="503" t="str">
        <f>IF(終値!A347="","",IF(AND(高値!Z347&gt;高値!Y347,高値!Z347&gt;高値!X347,高値!Z347&gt;高値!AA347,高値!Z347&gt;高値!AB347),21,""))</f>
        <v/>
      </c>
      <c r="AW347" s="503" t="str">
        <f>IF(終値!A347="","",IF(AND(高値!AA347&gt;高値!Z347,高値!AA347&gt;高値!Y347,高値!AA347&gt;高値!AB347,高値!AA347&gt;高値!AC347),22,""))</f>
        <v/>
      </c>
      <c r="AX347" s="503" t="str">
        <f>IF(終値!A347="","",IF(AND(高値!AB347&gt;高値!AA347,高値!AB347&gt;高値!Z347,高値!AB347&gt;高値!AC347,高値!AB347&gt;高値!AD347),23,""))</f>
        <v/>
      </c>
      <c r="AY347" s="503" t="str">
        <f>IF(終値!A347="","",IF(AND(高値!AC347&gt;高値!AB347,高値!AC347&gt;高値!AA347,高値!AC347&gt;高値!AD347,高値!AC347&gt;高値!AE347),24,""))</f>
        <v/>
      </c>
      <c r="AZ347" s="503" t="str">
        <f>IF(終値!A347="","",IF(AND(高値!AD347&gt;高値!AC347,高値!AD347&gt;高値!AB347,高値!AD347&gt;高値!AE347,高値!AD347&gt;高値!AF347),25,""))</f>
        <v/>
      </c>
      <c r="BA347" s="503" t="str">
        <f>IF(終値!A347="","",IF(AND(高値!AE347&gt;高値!AD347,高値!AE347&gt;高値!AC347,高値!AE347&gt;高値!AF347,高値!AE347&gt;高値!AG347),26,""))</f>
        <v/>
      </c>
      <c r="BB347" s="503" t="str">
        <f>IF(終値!A347="","",IF(AND(高値!AF347&gt;高値!AE347,高値!AF347&gt;高値!AD347,高値!AF347&gt;高値!AG347,高値!AF347&gt;高値!AH347),27,""))</f>
        <v/>
      </c>
      <c r="BC347" s="503" t="str">
        <f>IF(終値!A347="","",IF(AND(高値!AG347&gt;高値!AF347,高値!AG347&gt;高値!AE347,高値!AG347&gt;高値!AH347,高値!AG347&gt;高値!AI347),28,""))</f>
        <v/>
      </c>
      <c r="BD347" s="503">
        <f t="shared" si="30"/>
        <v>0</v>
      </c>
      <c r="BE347" s="503" t="str">
        <f t="shared" si="31"/>
        <v/>
      </c>
      <c r="BF347" s="503" t="str">
        <f t="shared" si="32"/>
        <v/>
      </c>
      <c r="BG347" s="503" t="str">
        <f>IF($BE347="","",INDEX(安値!$E347:$CZ347,1,$BE347+1))</f>
        <v/>
      </c>
      <c r="BH347" s="503" t="str">
        <f>IF($BF347="","",INDEX(安値!$E347:$CZ347,1,$BF347+1))</f>
        <v/>
      </c>
      <c r="BI347" s="503" t="str">
        <f>IF($BF347="","",MAX(INDEX(高値!$E347:$CZ347,1,$BE347+1):INDEX(高値!$E347:$CZ347,1,$BF347+1)))</f>
        <v/>
      </c>
      <c r="BJ347" s="503" t="str">
        <f>IF($BF347="","",AVERAGE(INDEX(終値!$E347:$CZ347,1,$BF347+1):INDEX(終値!$E347:$CZ347,1,$BF347+20))-2*STDEVP(INDEX(終値!$E347:$CZ347,1,$BF347+1):INDEX(終値!$E347:$CZ347,1,$BF347+20)))</f>
        <v/>
      </c>
      <c r="BK347" s="503" t="str">
        <f>IF($BE347="","",AVERAGE(INDEX(終値!$E347:$CZ347,1,$BE347+1):INDEX(終値!$E347:$CZ347,1,$BE347+20))-2*STDEVP(INDEX(終値!$E347:$CZ347,1,$BE347+1):INDEX(終値!$E347:$CZ347,1,$BE347+20)))</f>
        <v/>
      </c>
      <c r="BL347" s="503">
        <f t="shared" si="33"/>
        <v>0</v>
      </c>
      <c r="BM347" s="503" t="str">
        <f t="shared" si="34"/>
        <v/>
      </c>
      <c r="BN347" s="503" t="str">
        <f t="shared" si="35"/>
        <v/>
      </c>
      <c r="BO347" s="503" t="str">
        <f>IF($BM347="","",INDEX(高値!$E347:$CZ347,1,$BM347+1))</f>
        <v/>
      </c>
      <c r="BP347" s="503" t="str">
        <f>IF($BN347="","",INDEX(高値!$E347:$CZ347,1,$BN347+1))</f>
        <v/>
      </c>
      <c r="BQ347" s="503" t="str">
        <f>IF($BN347="","",MIN(INDEX(安値!$E347:$CZ347,1,$BM347+1):INDEX(安値!$E347:$CZ347,1,$BN347+1)))</f>
        <v/>
      </c>
      <c r="BR347" s="503" t="str">
        <f>IF($BN347="","",AVERAGE(INDEX(終値!$E347:$CZ347,1,$BN347+1):INDEX(終値!$E347:$CZ347,1,$BN347+20))+2*STDEVP(INDEX(終値!$E347:$CZ347,1,$BN347+1):INDEX(終値!$E347:$CZ347,1,$BN347+20)))</f>
        <v/>
      </c>
      <c r="BS347" s="503" t="str">
        <f>IF($BM347="","",AVERAGE(INDEX(終値!$E347:$CZ347,1,$BM347+1):INDEX(終値!$E347:$CZ347,1,$BM347+20))+2*STDEVP(INDEX(終値!$E347:$CZ347,1,$BM347+1):INDEX(終値!$E347:$CZ347,1,$BM347+20)))</f>
        <v/>
      </c>
      <c r="BT347" s="500"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3" t="str">
        <f>IF(終値!A348="","",IF(AND(安値!G348&lt;安値!F348,安値!G348&lt;安値!E348,安値!G348&lt;安値!H348,安値!G348&lt;安値!I348),2,""))</f>
        <v/>
      </c>
      <c r="C348" s="503" t="str">
        <f>IF(終値!A348="","",IF(AND(安値!H348&lt;安値!G348,安値!H348&lt;安値!F348,安値!H348&lt;安値!I348,安値!H348&lt;安値!J348),3,""))</f>
        <v/>
      </c>
      <c r="D348" s="503" t="str">
        <f>IF(終値!A348="","",IF(AND(安値!I348&lt;安値!H348,安値!I348&lt;安値!G348,安値!I348&lt;安値!J348,安値!I348&lt;安値!K348),4,""))</f>
        <v/>
      </c>
      <c r="E348" s="503" t="str">
        <f>IF(終値!A348="","",IF(AND(安値!J348&lt;安値!I348,安値!J348&lt;安値!H348,安値!J348&lt;安値!K348,安値!J348&lt;安値!L348),5,""))</f>
        <v/>
      </c>
      <c r="F348" s="503" t="str">
        <f>IF(終値!A348="","",IF(AND(安値!K348&lt;安値!J348,安値!K348&lt;安値!I348,安値!K348&lt;安値!L348,安値!K348&lt;安値!M348),6,""))</f>
        <v/>
      </c>
      <c r="G348" s="503" t="str">
        <f>IF(終値!A348="","",IF(AND(安値!L348&lt;安値!K348,安値!L348&lt;安値!J348,安値!L348&lt;安値!M348,安値!L348&lt;安値!N348),7,""))</f>
        <v/>
      </c>
      <c r="H348" s="503" t="str">
        <f>IF(終値!A348="","",IF(AND(安値!M348&lt;安値!L348,安値!M348&lt;安値!K348,安値!M348&lt;安値!N348,安値!M348&lt;安値!O348),8,""))</f>
        <v/>
      </c>
      <c r="I348" s="503" t="str">
        <f>IF(終値!A348="","",IF(AND(安値!N348&lt;安値!M348,安値!N348&lt;安値!L348,安値!N348&lt;安値!O348,安値!N348&lt;安値!P348),9,""))</f>
        <v/>
      </c>
      <c r="J348" s="503" t="str">
        <f>IF(終値!A348="","",IF(AND(安値!O348&lt;安値!N348,安値!O348&lt;安値!M348,安値!O348&lt;安値!P348,安値!O348&lt;安値!Q348),10,""))</f>
        <v/>
      </c>
      <c r="K348" s="503" t="str">
        <f>IF(終値!A348="","",IF(AND(安値!P348&lt;安値!O348,安値!P348&lt;安値!N348,安値!P348&lt;安値!Q348,安値!P348&lt;安値!R348),11,""))</f>
        <v/>
      </c>
      <c r="L348" s="503" t="str">
        <f>IF(終値!A348="","",IF(AND(安値!Q348&lt;安値!P348,安値!Q348&lt;安値!O348,安値!Q348&lt;安値!R348,安値!Q348&lt;安値!S348),12,""))</f>
        <v/>
      </c>
      <c r="M348" s="503" t="str">
        <f>IF(終値!A348="","",IF(AND(安値!R348&lt;安値!Q348,安値!R348&lt;安値!P348,安値!R348&lt;安値!S348,安値!R348&lt;安値!T348),13,""))</f>
        <v/>
      </c>
      <c r="N348" s="503" t="str">
        <f>IF(終値!A348="","",IF(AND(安値!S348&lt;安値!R348,安値!S348&lt;安値!Q348,安値!S348&lt;安値!T348,安値!S348&lt;安値!U348),14,""))</f>
        <v/>
      </c>
      <c r="O348" s="503" t="str">
        <f>IF(終値!A348="","",IF(AND(安値!T348&lt;安値!S348,安値!T348&lt;安値!R348,安値!T348&lt;安値!U348,安値!T348&lt;安値!V348),15,""))</f>
        <v/>
      </c>
      <c r="P348" s="503" t="str">
        <f>IF(終値!A348="","",IF(AND(安値!U348&lt;安値!T348,安値!U348&lt;安値!S348,安値!U348&lt;安値!V348,安値!U348&lt;安値!W348),16,""))</f>
        <v/>
      </c>
      <c r="Q348" s="503" t="str">
        <f>IF(終値!A348="","",IF(AND(安値!V348&lt;安値!U348,安値!V348&lt;安値!T348,安値!V348&lt;安値!W348,安値!V348&lt;安値!X348),17,""))</f>
        <v/>
      </c>
      <c r="R348" s="503" t="str">
        <f>IF(終値!A348="","",IF(AND(安値!W348&lt;安値!V348,安値!W348&lt;安値!U348,安値!W348&lt;安値!X348,安値!W348&lt;安値!Y348),18,""))</f>
        <v/>
      </c>
      <c r="S348" s="503" t="str">
        <f>IF(終値!A348="","",IF(AND(安値!X348&lt;安値!W348,安値!X348&lt;安値!V348,安値!X348&lt;安値!Y348,安値!X348&lt;安値!Z348),19,""))</f>
        <v/>
      </c>
      <c r="T348" s="503" t="str">
        <f>IF(終値!A348="","",IF(AND(安値!Y348&lt;安値!X348,安値!Y348&lt;安値!W348,安値!Y348&lt;安値!Z348,安値!Y348&lt;安値!AA348),20,""))</f>
        <v/>
      </c>
      <c r="U348" s="503" t="str">
        <f>IF(終値!A348="","",IF(AND(安値!Z348&lt;安値!Y348,安値!Z348&lt;安値!X348,安値!Z348&lt;安値!AA348,安値!Z348&lt;安値!AB348),21,""))</f>
        <v/>
      </c>
      <c r="V348" s="503" t="str">
        <f>IF(終値!A348="","",IF(AND(安値!AA348&lt;安値!Z348,安値!AA348&lt;安値!Y348,安値!AA348&lt;安値!AB348,安値!AA348&lt;安値!AC348),22,""))</f>
        <v/>
      </c>
      <c r="W348" s="503" t="str">
        <f>IF(終値!A348="","",IF(AND(安値!AB348&lt;安値!AA348,安値!AB348&lt;安値!Z348,安値!AB348&lt;安値!AC348,安値!AB348&lt;安値!AD348),23,""))</f>
        <v/>
      </c>
      <c r="X348" s="503" t="str">
        <f>IF(終値!A348="","",IF(AND(安値!AC348&lt;安値!AB348,安値!AC348&lt;安値!AA348,安値!AC348&lt;安値!AD348,安値!AC348&lt;安値!AE348),24,""))</f>
        <v/>
      </c>
      <c r="Y348" s="503" t="str">
        <f>IF(終値!A348="","",IF(AND(安値!AD348&lt;安値!AC348,安値!AD348&lt;安値!AB348,安値!AD348&lt;安値!AE348,安値!AD348&lt;安値!AF348),25,""))</f>
        <v/>
      </c>
      <c r="Z348" s="503" t="str">
        <f>IF(終値!A348="","",IF(AND(安値!AE348&lt;安値!AD348,安値!AE348&lt;安値!AC348,安値!AE348&lt;安値!AF348,安値!AE348&lt;安値!AG348),26,""))</f>
        <v/>
      </c>
      <c r="AA348" s="503" t="str">
        <f>IF(終値!A348="","",IF(AND(安値!AF348&lt;安値!AE348,安値!AF348&lt;安値!AD348,安値!AF348&lt;安値!AG348,安値!AF348&lt;安値!AH348),27,""))</f>
        <v/>
      </c>
      <c r="AB348" s="503" t="str">
        <f>IF(終値!A348="","",IF(AND(安値!AG348&lt;安値!AF348,安値!AG348&lt;安値!AE348,安値!AG348&lt;安値!AH348,安値!AG348&lt;安値!AI348),28,""))</f>
        <v/>
      </c>
      <c r="AC348" s="503" t="str">
        <f>IF(終値!A348="","",IF(AND(高値!G348&gt;高値!F348,高値!G348&gt;高値!E348,高値!G348&gt;高値!H348,高値!G348&gt;高値!I348),2,""))</f>
        <v/>
      </c>
      <c r="AD348" s="503" t="str">
        <f>IF(終値!A348="","",IF(AND(高値!H348&gt;高値!G348,高値!H348&gt;高値!F348,高値!H348&gt;高値!I348,高値!H348&gt;高値!J348),3,""))</f>
        <v/>
      </c>
      <c r="AE348" s="503" t="str">
        <f>IF(終値!A348="","",IF(AND(高値!I348&gt;高値!H348,高値!I348&gt;高値!G348,高値!I348&gt;高値!J348,高値!I348&gt;高値!K348),4,""))</f>
        <v/>
      </c>
      <c r="AF348" s="503" t="str">
        <f>IF(終値!A348="","",IF(AND(高値!J348&gt;高値!I348,高値!J348&gt;高値!H348,高値!J348&gt;高値!K348,高値!J348&gt;高値!L348),5,""))</f>
        <v/>
      </c>
      <c r="AG348" s="503" t="str">
        <f>IF(終値!A348="","",IF(AND(高値!K348&gt;高値!J348,高値!K348&gt;高値!I348,高値!K348&gt;高値!L348,高値!K348&gt;高値!M348),6,""))</f>
        <v/>
      </c>
      <c r="AH348" s="503" t="str">
        <f>IF(終値!A348="","",IF(AND(高値!L348&gt;高値!K348,高値!L348&gt;高値!J348,高値!L348&gt;高値!M348,高値!L348&gt;高値!N348),7,""))</f>
        <v/>
      </c>
      <c r="AI348" s="503" t="str">
        <f>IF(終値!A348="","",IF(AND(高値!M348&gt;高値!L348,高値!M348&gt;高値!K348,高値!M348&gt;高値!N348,高値!M348&gt;高値!O348),8,""))</f>
        <v/>
      </c>
      <c r="AJ348" s="503" t="str">
        <f>IF(終値!A348="","",IF(AND(高値!N348&gt;高値!M348,高値!N348&gt;高値!L348,高値!N348&gt;高値!O348,高値!N348&gt;高値!P348),9,""))</f>
        <v/>
      </c>
      <c r="AK348" s="503" t="str">
        <f>IF(終値!A348="","",IF(AND(高値!O348&gt;高値!N348,高値!O348&gt;高値!M348,高値!O348&gt;高値!P348,高値!O348&gt;高値!Q348),10,""))</f>
        <v/>
      </c>
      <c r="AL348" s="503" t="str">
        <f>IF(終値!A348="","",IF(AND(高値!P348&gt;高値!O348,高値!P348&gt;高値!N348,高値!P348&gt;高値!Q348,高値!P348&gt;高値!R348),11,""))</f>
        <v/>
      </c>
      <c r="AM348" s="503" t="str">
        <f>IF(終値!A348="","",IF(AND(高値!Q348&gt;高値!P348,高値!Q348&gt;高値!O348,高値!Q348&gt;高値!R348,高値!Q348&gt;高値!S348),12,""))</f>
        <v/>
      </c>
      <c r="AN348" s="503" t="str">
        <f>IF(終値!A348="","",IF(AND(高値!R348&gt;高値!Q348,高値!R348&gt;高値!P348,高値!R348&gt;高値!S348,高値!R348&gt;高値!T348),13,""))</f>
        <v/>
      </c>
      <c r="AO348" s="503" t="str">
        <f>IF(終値!A348="","",IF(AND(高値!S348&gt;高値!R348,高値!S348&gt;高値!Q348,高値!S348&gt;高値!T348,高値!S348&gt;高値!U348),14,""))</f>
        <v/>
      </c>
      <c r="AP348" s="503" t="str">
        <f>IF(終値!A348="","",IF(AND(高値!T348&gt;高値!S348,高値!T348&gt;高値!R348,高値!T348&gt;高値!U348,高値!T348&gt;高値!V348),15,""))</f>
        <v/>
      </c>
      <c r="AQ348" s="503" t="str">
        <f>IF(終値!A348="","",IF(AND(高値!U348&gt;高値!T348,高値!U348&gt;高値!S348,高値!U348&gt;高値!V348,高値!U348&gt;高値!W348),16,""))</f>
        <v/>
      </c>
      <c r="AR348" s="503" t="str">
        <f>IF(終値!A348="","",IF(AND(高値!V348&gt;高値!U348,高値!V348&gt;高値!T348,高値!V348&gt;高値!W348,高値!V348&gt;高値!X348),17,""))</f>
        <v/>
      </c>
      <c r="AS348" s="503" t="str">
        <f>IF(終値!A348="","",IF(AND(高値!W348&gt;高値!V348,高値!W348&gt;高値!U348,高値!W348&gt;高値!X348,高値!W348&gt;高値!Y348),18,""))</f>
        <v/>
      </c>
      <c r="AT348" s="503" t="str">
        <f>IF(終値!A348="","",IF(AND(高値!X348&gt;高値!W348,高値!X348&gt;高値!V348,高値!X348&gt;高値!Y348,高値!X348&gt;高値!Z348),19,""))</f>
        <v/>
      </c>
      <c r="AU348" s="503" t="str">
        <f>IF(終値!A348="","",IF(AND(高値!Y348&gt;高値!X348,高値!Y348&gt;高値!W348,高値!Y348&gt;高値!Z348,高値!Y348&gt;高値!AA348),20,""))</f>
        <v/>
      </c>
      <c r="AV348" s="503" t="str">
        <f>IF(終値!A348="","",IF(AND(高値!Z348&gt;高値!Y348,高値!Z348&gt;高値!X348,高値!Z348&gt;高値!AA348,高値!Z348&gt;高値!AB348),21,""))</f>
        <v/>
      </c>
      <c r="AW348" s="503" t="str">
        <f>IF(終値!A348="","",IF(AND(高値!AA348&gt;高値!Z348,高値!AA348&gt;高値!Y348,高値!AA348&gt;高値!AB348,高値!AA348&gt;高値!AC348),22,""))</f>
        <v/>
      </c>
      <c r="AX348" s="503" t="str">
        <f>IF(終値!A348="","",IF(AND(高値!AB348&gt;高値!AA348,高値!AB348&gt;高値!Z348,高値!AB348&gt;高値!AC348,高値!AB348&gt;高値!AD348),23,""))</f>
        <v/>
      </c>
      <c r="AY348" s="503" t="str">
        <f>IF(終値!A348="","",IF(AND(高値!AC348&gt;高値!AB348,高値!AC348&gt;高値!AA348,高値!AC348&gt;高値!AD348,高値!AC348&gt;高値!AE348),24,""))</f>
        <v/>
      </c>
      <c r="AZ348" s="503" t="str">
        <f>IF(終値!A348="","",IF(AND(高値!AD348&gt;高値!AC348,高値!AD348&gt;高値!AB348,高値!AD348&gt;高値!AE348,高値!AD348&gt;高値!AF348),25,""))</f>
        <v/>
      </c>
      <c r="BA348" s="503" t="str">
        <f>IF(終値!A348="","",IF(AND(高値!AE348&gt;高値!AD348,高値!AE348&gt;高値!AC348,高値!AE348&gt;高値!AF348,高値!AE348&gt;高値!AG348),26,""))</f>
        <v/>
      </c>
      <c r="BB348" s="503" t="str">
        <f>IF(終値!A348="","",IF(AND(高値!AF348&gt;高値!AE348,高値!AF348&gt;高値!AD348,高値!AF348&gt;高値!AG348,高値!AF348&gt;高値!AH348),27,""))</f>
        <v/>
      </c>
      <c r="BC348" s="503" t="str">
        <f>IF(終値!A348="","",IF(AND(高値!AG348&gt;高値!AF348,高値!AG348&gt;高値!AE348,高値!AG348&gt;高値!AH348,高値!AG348&gt;高値!AI348),28,""))</f>
        <v/>
      </c>
      <c r="BD348" s="503">
        <f t="shared" si="30"/>
        <v>0</v>
      </c>
      <c r="BE348" s="503" t="str">
        <f t="shared" si="31"/>
        <v/>
      </c>
      <c r="BF348" s="503" t="str">
        <f t="shared" si="32"/>
        <v/>
      </c>
      <c r="BG348" s="503" t="str">
        <f>IF($BE348="","",INDEX(安値!$E348:$CZ348,1,$BE348+1))</f>
        <v/>
      </c>
      <c r="BH348" s="503" t="str">
        <f>IF($BF348="","",INDEX(安値!$E348:$CZ348,1,$BF348+1))</f>
        <v/>
      </c>
      <c r="BI348" s="503" t="str">
        <f>IF($BF348="","",MAX(INDEX(高値!$E348:$CZ348,1,$BE348+1):INDEX(高値!$E348:$CZ348,1,$BF348+1)))</f>
        <v/>
      </c>
      <c r="BJ348" s="503" t="str">
        <f>IF($BF348="","",AVERAGE(INDEX(終値!$E348:$CZ348,1,$BF348+1):INDEX(終値!$E348:$CZ348,1,$BF348+20))-2*STDEVP(INDEX(終値!$E348:$CZ348,1,$BF348+1):INDEX(終値!$E348:$CZ348,1,$BF348+20)))</f>
        <v/>
      </c>
      <c r="BK348" s="503" t="str">
        <f>IF($BE348="","",AVERAGE(INDEX(終値!$E348:$CZ348,1,$BE348+1):INDEX(終値!$E348:$CZ348,1,$BE348+20))-2*STDEVP(INDEX(終値!$E348:$CZ348,1,$BE348+1):INDEX(終値!$E348:$CZ348,1,$BE348+20)))</f>
        <v/>
      </c>
      <c r="BL348" s="503">
        <f t="shared" si="33"/>
        <v>0</v>
      </c>
      <c r="BM348" s="503" t="str">
        <f t="shared" si="34"/>
        <v/>
      </c>
      <c r="BN348" s="503" t="str">
        <f t="shared" si="35"/>
        <v/>
      </c>
      <c r="BO348" s="503" t="str">
        <f>IF($BM348="","",INDEX(高値!$E348:$CZ348,1,$BM348+1))</f>
        <v/>
      </c>
      <c r="BP348" s="503" t="str">
        <f>IF($BN348="","",INDEX(高値!$E348:$CZ348,1,$BN348+1))</f>
        <v/>
      </c>
      <c r="BQ348" s="503" t="str">
        <f>IF($BN348="","",MIN(INDEX(安値!$E348:$CZ348,1,$BM348+1):INDEX(安値!$E348:$CZ348,1,$BN348+1)))</f>
        <v/>
      </c>
      <c r="BR348" s="503" t="str">
        <f>IF($BN348="","",AVERAGE(INDEX(終値!$E348:$CZ348,1,$BN348+1):INDEX(終値!$E348:$CZ348,1,$BN348+20))+2*STDEVP(INDEX(終値!$E348:$CZ348,1,$BN348+1):INDEX(終値!$E348:$CZ348,1,$BN348+20)))</f>
        <v/>
      </c>
      <c r="BS348" s="503" t="str">
        <f>IF($BM348="","",AVERAGE(INDEX(終値!$E348:$CZ348,1,$BM348+1):INDEX(終値!$E348:$CZ348,1,$BM348+20))+2*STDEVP(INDEX(終値!$E348:$CZ348,1,$BM348+1):INDEX(終値!$E348:$CZ348,1,$BM348+20)))</f>
        <v/>
      </c>
      <c r="BT348" s="500"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3" t="str">
        <f>IF(終値!A349="","",IF(AND(安値!G349&lt;安値!F349,安値!G349&lt;安値!E349,安値!G349&lt;安値!H349,安値!G349&lt;安値!I349),2,""))</f>
        <v/>
      </c>
      <c r="C349" s="503" t="str">
        <f>IF(終値!A349="","",IF(AND(安値!H349&lt;安値!G349,安値!H349&lt;安値!F349,安値!H349&lt;安値!I349,安値!H349&lt;安値!J349),3,""))</f>
        <v/>
      </c>
      <c r="D349" s="503" t="str">
        <f>IF(終値!A349="","",IF(AND(安値!I349&lt;安値!H349,安値!I349&lt;安値!G349,安値!I349&lt;安値!J349,安値!I349&lt;安値!K349),4,""))</f>
        <v/>
      </c>
      <c r="E349" s="503" t="str">
        <f>IF(終値!A349="","",IF(AND(安値!J349&lt;安値!I349,安値!J349&lt;安値!H349,安値!J349&lt;安値!K349,安値!J349&lt;安値!L349),5,""))</f>
        <v/>
      </c>
      <c r="F349" s="503" t="str">
        <f>IF(終値!A349="","",IF(AND(安値!K349&lt;安値!J349,安値!K349&lt;安値!I349,安値!K349&lt;安値!L349,安値!K349&lt;安値!M349),6,""))</f>
        <v/>
      </c>
      <c r="G349" s="503" t="str">
        <f>IF(終値!A349="","",IF(AND(安値!L349&lt;安値!K349,安値!L349&lt;安値!J349,安値!L349&lt;安値!M349,安値!L349&lt;安値!N349),7,""))</f>
        <v/>
      </c>
      <c r="H349" s="503" t="str">
        <f>IF(終値!A349="","",IF(AND(安値!M349&lt;安値!L349,安値!M349&lt;安値!K349,安値!M349&lt;安値!N349,安値!M349&lt;安値!O349),8,""))</f>
        <v/>
      </c>
      <c r="I349" s="503" t="str">
        <f>IF(終値!A349="","",IF(AND(安値!N349&lt;安値!M349,安値!N349&lt;安値!L349,安値!N349&lt;安値!O349,安値!N349&lt;安値!P349),9,""))</f>
        <v/>
      </c>
      <c r="J349" s="503" t="str">
        <f>IF(終値!A349="","",IF(AND(安値!O349&lt;安値!N349,安値!O349&lt;安値!M349,安値!O349&lt;安値!P349,安値!O349&lt;安値!Q349),10,""))</f>
        <v/>
      </c>
      <c r="K349" s="503" t="str">
        <f>IF(終値!A349="","",IF(AND(安値!P349&lt;安値!O349,安値!P349&lt;安値!N349,安値!P349&lt;安値!Q349,安値!P349&lt;安値!R349),11,""))</f>
        <v/>
      </c>
      <c r="L349" s="503" t="str">
        <f>IF(終値!A349="","",IF(AND(安値!Q349&lt;安値!P349,安値!Q349&lt;安値!O349,安値!Q349&lt;安値!R349,安値!Q349&lt;安値!S349),12,""))</f>
        <v/>
      </c>
      <c r="M349" s="503" t="str">
        <f>IF(終値!A349="","",IF(AND(安値!R349&lt;安値!Q349,安値!R349&lt;安値!P349,安値!R349&lt;安値!S349,安値!R349&lt;安値!T349),13,""))</f>
        <v/>
      </c>
      <c r="N349" s="503" t="str">
        <f>IF(終値!A349="","",IF(AND(安値!S349&lt;安値!R349,安値!S349&lt;安値!Q349,安値!S349&lt;安値!T349,安値!S349&lt;安値!U349),14,""))</f>
        <v/>
      </c>
      <c r="O349" s="503" t="str">
        <f>IF(終値!A349="","",IF(AND(安値!T349&lt;安値!S349,安値!T349&lt;安値!R349,安値!T349&lt;安値!U349,安値!T349&lt;安値!V349),15,""))</f>
        <v/>
      </c>
      <c r="P349" s="503" t="str">
        <f>IF(終値!A349="","",IF(AND(安値!U349&lt;安値!T349,安値!U349&lt;安値!S349,安値!U349&lt;安値!V349,安値!U349&lt;安値!W349),16,""))</f>
        <v/>
      </c>
      <c r="Q349" s="503" t="str">
        <f>IF(終値!A349="","",IF(AND(安値!V349&lt;安値!U349,安値!V349&lt;安値!T349,安値!V349&lt;安値!W349,安値!V349&lt;安値!X349),17,""))</f>
        <v/>
      </c>
      <c r="R349" s="503" t="str">
        <f>IF(終値!A349="","",IF(AND(安値!W349&lt;安値!V349,安値!W349&lt;安値!U349,安値!W349&lt;安値!X349,安値!W349&lt;安値!Y349),18,""))</f>
        <v/>
      </c>
      <c r="S349" s="503" t="str">
        <f>IF(終値!A349="","",IF(AND(安値!X349&lt;安値!W349,安値!X349&lt;安値!V349,安値!X349&lt;安値!Y349,安値!X349&lt;安値!Z349),19,""))</f>
        <v/>
      </c>
      <c r="T349" s="503" t="str">
        <f>IF(終値!A349="","",IF(AND(安値!Y349&lt;安値!X349,安値!Y349&lt;安値!W349,安値!Y349&lt;安値!Z349,安値!Y349&lt;安値!AA349),20,""))</f>
        <v/>
      </c>
      <c r="U349" s="503" t="str">
        <f>IF(終値!A349="","",IF(AND(安値!Z349&lt;安値!Y349,安値!Z349&lt;安値!X349,安値!Z349&lt;安値!AA349,安値!Z349&lt;安値!AB349),21,""))</f>
        <v/>
      </c>
      <c r="V349" s="503" t="str">
        <f>IF(終値!A349="","",IF(AND(安値!AA349&lt;安値!Z349,安値!AA349&lt;安値!Y349,安値!AA349&lt;安値!AB349,安値!AA349&lt;安値!AC349),22,""))</f>
        <v/>
      </c>
      <c r="W349" s="503" t="str">
        <f>IF(終値!A349="","",IF(AND(安値!AB349&lt;安値!AA349,安値!AB349&lt;安値!Z349,安値!AB349&lt;安値!AC349,安値!AB349&lt;安値!AD349),23,""))</f>
        <v/>
      </c>
      <c r="X349" s="503" t="str">
        <f>IF(終値!A349="","",IF(AND(安値!AC349&lt;安値!AB349,安値!AC349&lt;安値!AA349,安値!AC349&lt;安値!AD349,安値!AC349&lt;安値!AE349),24,""))</f>
        <v/>
      </c>
      <c r="Y349" s="503" t="str">
        <f>IF(終値!A349="","",IF(AND(安値!AD349&lt;安値!AC349,安値!AD349&lt;安値!AB349,安値!AD349&lt;安値!AE349,安値!AD349&lt;安値!AF349),25,""))</f>
        <v/>
      </c>
      <c r="Z349" s="503" t="str">
        <f>IF(終値!A349="","",IF(AND(安値!AE349&lt;安値!AD349,安値!AE349&lt;安値!AC349,安値!AE349&lt;安値!AF349,安値!AE349&lt;安値!AG349),26,""))</f>
        <v/>
      </c>
      <c r="AA349" s="503" t="str">
        <f>IF(終値!A349="","",IF(AND(安値!AF349&lt;安値!AE349,安値!AF349&lt;安値!AD349,安値!AF349&lt;安値!AG349,安値!AF349&lt;安値!AH349),27,""))</f>
        <v/>
      </c>
      <c r="AB349" s="503" t="str">
        <f>IF(終値!A349="","",IF(AND(安値!AG349&lt;安値!AF349,安値!AG349&lt;安値!AE349,安値!AG349&lt;安値!AH349,安値!AG349&lt;安値!AI349),28,""))</f>
        <v/>
      </c>
      <c r="AC349" s="503" t="str">
        <f>IF(終値!A349="","",IF(AND(高値!G349&gt;高値!F349,高値!G349&gt;高値!E349,高値!G349&gt;高値!H349,高値!G349&gt;高値!I349),2,""))</f>
        <v/>
      </c>
      <c r="AD349" s="503" t="str">
        <f>IF(終値!A349="","",IF(AND(高値!H349&gt;高値!G349,高値!H349&gt;高値!F349,高値!H349&gt;高値!I349,高値!H349&gt;高値!J349),3,""))</f>
        <v/>
      </c>
      <c r="AE349" s="503" t="str">
        <f>IF(終値!A349="","",IF(AND(高値!I349&gt;高値!H349,高値!I349&gt;高値!G349,高値!I349&gt;高値!J349,高値!I349&gt;高値!K349),4,""))</f>
        <v/>
      </c>
      <c r="AF349" s="503" t="str">
        <f>IF(終値!A349="","",IF(AND(高値!J349&gt;高値!I349,高値!J349&gt;高値!H349,高値!J349&gt;高値!K349,高値!J349&gt;高値!L349),5,""))</f>
        <v/>
      </c>
      <c r="AG349" s="503" t="str">
        <f>IF(終値!A349="","",IF(AND(高値!K349&gt;高値!J349,高値!K349&gt;高値!I349,高値!K349&gt;高値!L349,高値!K349&gt;高値!M349),6,""))</f>
        <v/>
      </c>
      <c r="AH349" s="503" t="str">
        <f>IF(終値!A349="","",IF(AND(高値!L349&gt;高値!K349,高値!L349&gt;高値!J349,高値!L349&gt;高値!M349,高値!L349&gt;高値!N349),7,""))</f>
        <v/>
      </c>
      <c r="AI349" s="503" t="str">
        <f>IF(終値!A349="","",IF(AND(高値!M349&gt;高値!L349,高値!M349&gt;高値!K349,高値!M349&gt;高値!N349,高値!M349&gt;高値!O349),8,""))</f>
        <v/>
      </c>
      <c r="AJ349" s="503" t="str">
        <f>IF(終値!A349="","",IF(AND(高値!N349&gt;高値!M349,高値!N349&gt;高値!L349,高値!N349&gt;高値!O349,高値!N349&gt;高値!P349),9,""))</f>
        <v/>
      </c>
      <c r="AK349" s="503" t="str">
        <f>IF(終値!A349="","",IF(AND(高値!O349&gt;高値!N349,高値!O349&gt;高値!M349,高値!O349&gt;高値!P349,高値!O349&gt;高値!Q349),10,""))</f>
        <v/>
      </c>
      <c r="AL349" s="503" t="str">
        <f>IF(終値!A349="","",IF(AND(高値!P349&gt;高値!O349,高値!P349&gt;高値!N349,高値!P349&gt;高値!Q349,高値!P349&gt;高値!R349),11,""))</f>
        <v/>
      </c>
      <c r="AM349" s="503" t="str">
        <f>IF(終値!A349="","",IF(AND(高値!Q349&gt;高値!P349,高値!Q349&gt;高値!O349,高値!Q349&gt;高値!R349,高値!Q349&gt;高値!S349),12,""))</f>
        <v/>
      </c>
      <c r="AN349" s="503" t="str">
        <f>IF(終値!A349="","",IF(AND(高値!R349&gt;高値!Q349,高値!R349&gt;高値!P349,高値!R349&gt;高値!S349,高値!R349&gt;高値!T349),13,""))</f>
        <v/>
      </c>
      <c r="AO349" s="503" t="str">
        <f>IF(終値!A349="","",IF(AND(高値!S349&gt;高値!R349,高値!S349&gt;高値!Q349,高値!S349&gt;高値!T349,高値!S349&gt;高値!U349),14,""))</f>
        <v/>
      </c>
      <c r="AP349" s="503" t="str">
        <f>IF(終値!A349="","",IF(AND(高値!T349&gt;高値!S349,高値!T349&gt;高値!R349,高値!T349&gt;高値!U349,高値!T349&gt;高値!V349),15,""))</f>
        <v/>
      </c>
      <c r="AQ349" s="503" t="str">
        <f>IF(終値!A349="","",IF(AND(高値!U349&gt;高値!T349,高値!U349&gt;高値!S349,高値!U349&gt;高値!V349,高値!U349&gt;高値!W349),16,""))</f>
        <v/>
      </c>
      <c r="AR349" s="503" t="str">
        <f>IF(終値!A349="","",IF(AND(高値!V349&gt;高値!U349,高値!V349&gt;高値!T349,高値!V349&gt;高値!W349,高値!V349&gt;高値!X349),17,""))</f>
        <v/>
      </c>
      <c r="AS349" s="503" t="str">
        <f>IF(終値!A349="","",IF(AND(高値!W349&gt;高値!V349,高値!W349&gt;高値!U349,高値!W349&gt;高値!X349,高値!W349&gt;高値!Y349),18,""))</f>
        <v/>
      </c>
      <c r="AT349" s="503" t="str">
        <f>IF(終値!A349="","",IF(AND(高値!X349&gt;高値!W349,高値!X349&gt;高値!V349,高値!X349&gt;高値!Y349,高値!X349&gt;高値!Z349),19,""))</f>
        <v/>
      </c>
      <c r="AU349" s="503" t="str">
        <f>IF(終値!A349="","",IF(AND(高値!Y349&gt;高値!X349,高値!Y349&gt;高値!W349,高値!Y349&gt;高値!Z349,高値!Y349&gt;高値!AA349),20,""))</f>
        <v/>
      </c>
      <c r="AV349" s="503" t="str">
        <f>IF(終値!A349="","",IF(AND(高値!Z349&gt;高値!Y349,高値!Z349&gt;高値!X349,高値!Z349&gt;高値!AA349,高値!Z349&gt;高値!AB349),21,""))</f>
        <v/>
      </c>
      <c r="AW349" s="503" t="str">
        <f>IF(終値!A349="","",IF(AND(高値!AA349&gt;高値!Z349,高値!AA349&gt;高値!Y349,高値!AA349&gt;高値!AB349,高値!AA349&gt;高値!AC349),22,""))</f>
        <v/>
      </c>
      <c r="AX349" s="503" t="str">
        <f>IF(終値!A349="","",IF(AND(高値!AB349&gt;高値!AA349,高値!AB349&gt;高値!Z349,高値!AB349&gt;高値!AC349,高値!AB349&gt;高値!AD349),23,""))</f>
        <v/>
      </c>
      <c r="AY349" s="503" t="str">
        <f>IF(終値!A349="","",IF(AND(高値!AC349&gt;高値!AB349,高値!AC349&gt;高値!AA349,高値!AC349&gt;高値!AD349,高値!AC349&gt;高値!AE349),24,""))</f>
        <v/>
      </c>
      <c r="AZ349" s="503" t="str">
        <f>IF(終値!A349="","",IF(AND(高値!AD349&gt;高値!AC349,高値!AD349&gt;高値!AB349,高値!AD349&gt;高値!AE349,高値!AD349&gt;高値!AF349),25,""))</f>
        <v/>
      </c>
      <c r="BA349" s="503" t="str">
        <f>IF(終値!A349="","",IF(AND(高値!AE349&gt;高値!AD349,高値!AE349&gt;高値!AC349,高値!AE349&gt;高値!AF349,高値!AE349&gt;高値!AG349),26,""))</f>
        <v/>
      </c>
      <c r="BB349" s="503" t="str">
        <f>IF(終値!A349="","",IF(AND(高値!AF349&gt;高値!AE349,高値!AF349&gt;高値!AD349,高値!AF349&gt;高値!AG349,高値!AF349&gt;高値!AH349),27,""))</f>
        <v/>
      </c>
      <c r="BC349" s="503" t="str">
        <f>IF(終値!A349="","",IF(AND(高値!AG349&gt;高値!AF349,高値!AG349&gt;高値!AE349,高値!AG349&gt;高値!AH349,高値!AG349&gt;高値!AI349),28,""))</f>
        <v/>
      </c>
      <c r="BD349" s="503">
        <f t="shared" si="30"/>
        <v>0</v>
      </c>
      <c r="BE349" s="503" t="str">
        <f t="shared" si="31"/>
        <v/>
      </c>
      <c r="BF349" s="503" t="str">
        <f t="shared" si="32"/>
        <v/>
      </c>
      <c r="BG349" s="503" t="str">
        <f>IF($BE349="","",INDEX(安値!$E349:$CZ349,1,$BE349+1))</f>
        <v/>
      </c>
      <c r="BH349" s="503" t="str">
        <f>IF($BF349="","",INDEX(安値!$E349:$CZ349,1,$BF349+1))</f>
        <v/>
      </c>
      <c r="BI349" s="503" t="str">
        <f>IF($BF349="","",MAX(INDEX(高値!$E349:$CZ349,1,$BE349+1):INDEX(高値!$E349:$CZ349,1,$BF349+1)))</f>
        <v/>
      </c>
      <c r="BJ349" s="503" t="str">
        <f>IF($BF349="","",AVERAGE(INDEX(終値!$E349:$CZ349,1,$BF349+1):INDEX(終値!$E349:$CZ349,1,$BF349+20))-2*STDEVP(INDEX(終値!$E349:$CZ349,1,$BF349+1):INDEX(終値!$E349:$CZ349,1,$BF349+20)))</f>
        <v/>
      </c>
      <c r="BK349" s="503" t="str">
        <f>IF($BE349="","",AVERAGE(INDEX(終値!$E349:$CZ349,1,$BE349+1):INDEX(終値!$E349:$CZ349,1,$BE349+20))-2*STDEVP(INDEX(終値!$E349:$CZ349,1,$BE349+1):INDEX(終値!$E349:$CZ349,1,$BE349+20)))</f>
        <v/>
      </c>
      <c r="BL349" s="503">
        <f t="shared" si="33"/>
        <v>0</v>
      </c>
      <c r="BM349" s="503" t="str">
        <f t="shared" si="34"/>
        <v/>
      </c>
      <c r="BN349" s="503" t="str">
        <f t="shared" si="35"/>
        <v/>
      </c>
      <c r="BO349" s="503" t="str">
        <f>IF($BM349="","",INDEX(高値!$E349:$CZ349,1,$BM349+1))</f>
        <v/>
      </c>
      <c r="BP349" s="503" t="str">
        <f>IF($BN349="","",INDEX(高値!$E349:$CZ349,1,$BN349+1))</f>
        <v/>
      </c>
      <c r="BQ349" s="503" t="str">
        <f>IF($BN349="","",MIN(INDEX(安値!$E349:$CZ349,1,$BM349+1):INDEX(安値!$E349:$CZ349,1,$BN349+1)))</f>
        <v/>
      </c>
      <c r="BR349" s="503" t="str">
        <f>IF($BN349="","",AVERAGE(INDEX(終値!$E349:$CZ349,1,$BN349+1):INDEX(終値!$E349:$CZ349,1,$BN349+20))+2*STDEVP(INDEX(終値!$E349:$CZ349,1,$BN349+1):INDEX(終値!$E349:$CZ349,1,$BN349+20)))</f>
        <v/>
      </c>
      <c r="BS349" s="503" t="str">
        <f>IF($BM349="","",AVERAGE(INDEX(終値!$E349:$CZ349,1,$BM349+1):INDEX(終値!$E349:$CZ349,1,$BM349+20))+2*STDEVP(INDEX(終値!$E349:$CZ349,1,$BM349+1):INDEX(終値!$E349:$CZ349,1,$BM349+20)))</f>
        <v/>
      </c>
      <c r="BT349" s="500"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3" t="str">
        <f>IF(終値!A350="","",IF(AND(安値!G350&lt;安値!F350,安値!G350&lt;安値!E350,安値!G350&lt;安値!H350,安値!G350&lt;安値!I350),2,""))</f>
        <v/>
      </c>
      <c r="C350" s="503" t="str">
        <f>IF(終値!A350="","",IF(AND(安値!H350&lt;安値!G350,安値!H350&lt;安値!F350,安値!H350&lt;安値!I350,安値!H350&lt;安値!J350),3,""))</f>
        <v/>
      </c>
      <c r="D350" s="503" t="str">
        <f>IF(終値!A350="","",IF(AND(安値!I350&lt;安値!H350,安値!I350&lt;安値!G350,安値!I350&lt;安値!J350,安値!I350&lt;安値!K350),4,""))</f>
        <v/>
      </c>
      <c r="E350" s="503" t="str">
        <f>IF(終値!A350="","",IF(AND(安値!J350&lt;安値!I350,安値!J350&lt;安値!H350,安値!J350&lt;安値!K350,安値!J350&lt;安値!L350),5,""))</f>
        <v/>
      </c>
      <c r="F350" s="503" t="str">
        <f>IF(終値!A350="","",IF(AND(安値!K350&lt;安値!J350,安値!K350&lt;安値!I350,安値!K350&lt;安値!L350,安値!K350&lt;安値!M350),6,""))</f>
        <v/>
      </c>
      <c r="G350" s="503" t="str">
        <f>IF(終値!A350="","",IF(AND(安値!L350&lt;安値!K350,安値!L350&lt;安値!J350,安値!L350&lt;安値!M350,安値!L350&lt;安値!N350),7,""))</f>
        <v/>
      </c>
      <c r="H350" s="503" t="str">
        <f>IF(終値!A350="","",IF(AND(安値!M350&lt;安値!L350,安値!M350&lt;安値!K350,安値!M350&lt;安値!N350,安値!M350&lt;安値!O350),8,""))</f>
        <v/>
      </c>
      <c r="I350" s="503" t="str">
        <f>IF(終値!A350="","",IF(AND(安値!N350&lt;安値!M350,安値!N350&lt;安値!L350,安値!N350&lt;安値!O350,安値!N350&lt;安値!P350),9,""))</f>
        <v/>
      </c>
      <c r="J350" s="503" t="str">
        <f>IF(終値!A350="","",IF(AND(安値!O350&lt;安値!N350,安値!O350&lt;安値!M350,安値!O350&lt;安値!P350,安値!O350&lt;安値!Q350),10,""))</f>
        <v/>
      </c>
      <c r="K350" s="503" t="str">
        <f>IF(終値!A350="","",IF(AND(安値!P350&lt;安値!O350,安値!P350&lt;安値!N350,安値!P350&lt;安値!Q350,安値!P350&lt;安値!R350),11,""))</f>
        <v/>
      </c>
      <c r="L350" s="503" t="str">
        <f>IF(終値!A350="","",IF(AND(安値!Q350&lt;安値!P350,安値!Q350&lt;安値!O350,安値!Q350&lt;安値!R350,安値!Q350&lt;安値!S350),12,""))</f>
        <v/>
      </c>
      <c r="M350" s="503" t="str">
        <f>IF(終値!A350="","",IF(AND(安値!R350&lt;安値!Q350,安値!R350&lt;安値!P350,安値!R350&lt;安値!S350,安値!R350&lt;安値!T350),13,""))</f>
        <v/>
      </c>
      <c r="N350" s="503" t="str">
        <f>IF(終値!A350="","",IF(AND(安値!S350&lt;安値!R350,安値!S350&lt;安値!Q350,安値!S350&lt;安値!T350,安値!S350&lt;安値!U350),14,""))</f>
        <v/>
      </c>
      <c r="O350" s="503" t="str">
        <f>IF(終値!A350="","",IF(AND(安値!T350&lt;安値!S350,安値!T350&lt;安値!R350,安値!T350&lt;安値!U350,安値!T350&lt;安値!V350),15,""))</f>
        <v/>
      </c>
      <c r="P350" s="503" t="str">
        <f>IF(終値!A350="","",IF(AND(安値!U350&lt;安値!T350,安値!U350&lt;安値!S350,安値!U350&lt;安値!V350,安値!U350&lt;安値!W350),16,""))</f>
        <v/>
      </c>
      <c r="Q350" s="503" t="str">
        <f>IF(終値!A350="","",IF(AND(安値!V350&lt;安値!U350,安値!V350&lt;安値!T350,安値!V350&lt;安値!W350,安値!V350&lt;安値!X350),17,""))</f>
        <v/>
      </c>
      <c r="R350" s="503" t="str">
        <f>IF(終値!A350="","",IF(AND(安値!W350&lt;安値!V350,安値!W350&lt;安値!U350,安値!W350&lt;安値!X350,安値!W350&lt;安値!Y350),18,""))</f>
        <v/>
      </c>
      <c r="S350" s="503" t="str">
        <f>IF(終値!A350="","",IF(AND(安値!X350&lt;安値!W350,安値!X350&lt;安値!V350,安値!X350&lt;安値!Y350,安値!X350&lt;安値!Z350),19,""))</f>
        <v/>
      </c>
      <c r="T350" s="503" t="str">
        <f>IF(終値!A350="","",IF(AND(安値!Y350&lt;安値!X350,安値!Y350&lt;安値!W350,安値!Y350&lt;安値!Z350,安値!Y350&lt;安値!AA350),20,""))</f>
        <v/>
      </c>
      <c r="U350" s="503" t="str">
        <f>IF(終値!A350="","",IF(AND(安値!Z350&lt;安値!Y350,安値!Z350&lt;安値!X350,安値!Z350&lt;安値!AA350,安値!Z350&lt;安値!AB350),21,""))</f>
        <v/>
      </c>
      <c r="V350" s="503" t="str">
        <f>IF(終値!A350="","",IF(AND(安値!AA350&lt;安値!Z350,安値!AA350&lt;安値!Y350,安値!AA350&lt;安値!AB350,安値!AA350&lt;安値!AC350),22,""))</f>
        <v/>
      </c>
      <c r="W350" s="503" t="str">
        <f>IF(終値!A350="","",IF(AND(安値!AB350&lt;安値!AA350,安値!AB350&lt;安値!Z350,安値!AB350&lt;安値!AC350,安値!AB350&lt;安値!AD350),23,""))</f>
        <v/>
      </c>
      <c r="X350" s="503" t="str">
        <f>IF(終値!A350="","",IF(AND(安値!AC350&lt;安値!AB350,安値!AC350&lt;安値!AA350,安値!AC350&lt;安値!AD350,安値!AC350&lt;安値!AE350),24,""))</f>
        <v/>
      </c>
      <c r="Y350" s="503" t="str">
        <f>IF(終値!A350="","",IF(AND(安値!AD350&lt;安値!AC350,安値!AD350&lt;安値!AB350,安値!AD350&lt;安値!AE350,安値!AD350&lt;安値!AF350),25,""))</f>
        <v/>
      </c>
      <c r="Z350" s="503" t="str">
        <f>IF(終値!A350="","",IF(AND(安値!AE350&lt;安値!AD350,安値!AE350&lt;安値!AC350,安値!AE350&lt;安値!AF350,安値!AE350&lt;安値!AG350),26,""))</f>
        <v/>
      </c>
      <c r="AA350" s="503" t="str">
        <f>IF(終値!A350="","",IF(AND(安値!AF350&lt;安値!AE350,安値!AF350&lt;安値!AD350,安値!AF350&lt;安値!AG350,安値!AF350&lt;安値!AH350),27,""))</f>
        <v/>
      </c>
      <c r="AB350" s="503" t="str">
        <f>IF(終値!A350="","",IF(AND(安値!AG350&lt;安値!AF350,安値!AG350&lt;安値!AE350,安値!AG350&lt;安値!AH350,安値!AG350&lt;安値!AI350),28,""))</f>
        <v/>
      </c>
      <c r="AC350" s="503" t="str">
        <f>IF(終値!A350="","",IF(AND(高値!G350&gt;高値!F350,高値!G350&gt;高値!E350,高値!G350&gt;高値!H350,高値!G350&gt;高値!I350),2,""))</f>
        <v/>
      </c>
      <c r="AD350" s="503" t="str">
        <f>IF(終値!A350="","",IF(AND(高値!H350&gt;高値!G350,高値!H350&gt;高値!F350,高値!H350&gt;高値!I350,高値!H350&gt;高値!J350),3,""))</f>
        <v/>
      </c>
      <c r="AE350" s="503" t="str">
        <f>IF(終値!A350="","",IF(AND(高値!I350&gt;高値!H350,高値!I350&gt;高値!G350,高値!I350&gt;高値!J350,高値!I350&gt;高値!K350),4,""))</f>
        <v/>
      </c>
      <c r="AF350" s="503" t="str">
        <f>IF(終値!A350="","",IF(AND(高値!J350&gt;高値!I350,高値!J350&gt;高値!H350,高値!J350&gt;高値!K350,高値!J350&gt;高値!L350),5,""))</f>
        <v/>
      </c>
      <c r="AG350" s="503" t="str">
        <f>IF(終値!A350="","",IF(AND(高値!K350&gt;高値!J350,高値!K350&gt;高値!I350,高値!K350&gt;高値!L350,高値!K350&gt;高値!M350),6,""))</f>
        <v/>
      </c>
      <c r="AH350" s="503" t="str">
        <f>IF(終値!A350="","",IF(AND(高値!L350&gt;高値!K350,高値!L350&gt;高値!J350,高値!L350&gt;高値!M350,高値!L350&gt;高値!N350),7,""))</f>
        <v/>
      </c>
      <c r="AI350" s="503" t="str">
        <f>IF(終値!A350="","",IF(AND(高値!M350&gt;高値!L350,高値!M350&gt;高値!K350,高値!M350&gt;高値!N350,高値!M350&gt;高値!O350),8,""))</f>
        <v/>
      </c>
      <c r="AJ350" s="503" t="str">
        <f>IF(終値!A350="","",IF(AND(高値!N350&gt;高値!M350,高値!N350&gt;高値!L350,高値!N350&gt;高値!O350,高値!N350&gt;高値!P350),9,""))</f>
        <v/>
      </c>
      <c r="AK350" s="503" t="str">
        <f>IF(終値!A350="","",IF(AND(高値!O350&gt;高値!N350,高値!O350&gt;高値!M350,高値!O350&gt;高値!P350,高値!O350&gt;高値!Q350),10,""))</f>
        <v/>
      </c>
      <c r="AL350" s="503" t="str">
        <f>IF(終値!A350="","",IF(AND(高値!P350&gt;高値!O350,高値!P350&gt;高値!N350,高値!P350&gt;高値!Q350,高値!P350&gt;高値!R350),11,""))</f>
        <v/>
      </c>
      <c r="AM350" s="503" t="str">
        <f>IF(終値!A350="","",IF(AND(高値!Q350&gt;高値!P350,高値!Q350&gt;高値!O350,高値!Q350&gt;高値!R350,高値!Q350&gt;高値!S350),12,""))</f>
        <v/>
      </c>
      <c r="AN350" s="503" t="str">
        <f>IF(終値!A350="","",IF(AND(高値!R350&gt;高値!Q350,高値!R350&gt;高値!P350,高値!R350&gt;高値!S350,高値!R350&gt;高値!T350),13,""))</f>
        <v/>
      </c>
      <c r="AO350" s="503" t="str">
        <f>IF(終値!A350="","",IF(AND(高値!S350&gt;高値!R350,高値!S350&gt;高値!Q350,高値!S350&gt;高値!T350,高値!S350&gt;高値!U350),14,""))</f>
        <v/>
      </c>
      <c r="AP350" s="503" t="str">
        <f>IF(終値!A350="","",IF(AND(高値!T350&gt;高値!S350,高値!T350&gt;高値!R350,高値!T350&gt;高値!U350,高値!T350&gt;高値!V350),15,""))</f>
        <v/>
      </c>
      <c r="AQ350" s="503" t="str">
        <f>IF(終値!A350="","",IF(AND(高値!U350&gt;高値!T350,高値!U350&gt;高値!S350,高値!U350&gt;高値!V350,高値!U350&gt;高値!W350),16,""))</f>
        <v/>
      </c>
      <c r="AR350" s="503" t="str">
        <f>IF(終値!A350="","",IF(AND(高値!V350&gt;高値!U350,高値!V350&gt;高値!T350,高値!V350&gt;高値!W350,高値!V350&gt;高値!X350),17,""))</f>
        <v/>
      </c>
      <c r="AS350" s="503" t="str">
        <f>IF(終値!A350="","",IF(AND(高値!W350&gt;高値!V350,高値!W350&gt;高値!U350,高値!W350&gt;高値!X350,高値!W350&gt;高値!Y350),18,""))</f>
        <v/>
      </c>
      <c r="AT350" s="503" t="str">
        <f>IF(終値!A350="","",IF(AND(高値!X350&gt;高値!W350,高値!X350&gt;高値!V350,高値!X350&gt;高値!Y350,高値!X350&gt;高値!Z350),19,""))</f>
        <v/>
      </c>
      <c r="AU350" s="503" t="str">
        <f>IF(終値!A350="","",IF(AND(高値!Y350&gt;高値!X350,高値!Y350&gt;高値!W350,高値!Y350&gt;高値!Z350,高値!Y350&gt;高値!AA350),20,""))</f>
        <v/>
      </c>
      <c r="AV350" s="503" t="str">
        <f>IF(終値!A350="","",IF(AND(高値!Z350&gt;高値!Y350,高値!Z350&gt;高値!X350,高値!Z350&gt;高値!AA350,高値!Z350&gt;高値!AB350),21,""))</f>
        <v/>
      </c>
      <c r="AW350" s="503" t="str">
        <f>IF(終値!A350="","",IF(AND(高値!AA350&gt;高値!Z350,高値!AA350&gt;高値!Y350,高値!AA350&gt;高値!AB350,高値!AA350&gt;高値!AC350),22,""))</f>
        <v/>
      </c>
      <c r="AX350" s="503" t="str">
        <f>IF(終値!A350="","",IF(AND(高値!AB350&gt;高値!AA350,高値!AB350&gt;高値!Z350,高値!AB350&gt;高値!AC350,高値!AB350&gt;高値!AD350),23,""))</f>
        <v/>
      </c>
      <c r="AY350" s="503" t="str">
        <f>IF(終値!A350="","",IF(AND(高値!AC350&gt;高値!AB350,高値!AC350&gt;高値!AA350,高値!AC350&gt;高値!AD350,高値!AC350&gt;高値!AE350),24,""))</f>
        <v/>
      </c>
      <c r="AZ350" s="503" t="str">
        <f>IF(終値!A350="","",IF(AND(高値!AD350&gt;高値!AC350,高値!AD350&gt;高値!AB350,高値!AD350&gt;高値!AE350,高値!AD350&gt;高値!AF350),25,""))</f>
        <v/>
      </c>
      <c r="BA350" s="503" t="str">
        <f>IF(終値!A350="","",IF(AND(高値!AE350&gt;高値!AD350,高値!AE350&gt;高値!AC350,高値!AE350&gt;高値!AF350,高値!AE350&gt;高値!AG350),26,""))</f>
        <v/>
      </c>
      <c r="BB350" s="503" t="str">
        <f>IF(終値!A350="","",IF(AND(高値!AF350&gt;高値!AE350,高値!AF350&gt;高値!AD350,高値!AF350&gt;高値!AG350,高値!AF350&gt;高値!AH350),27,""))</f>
        <v/>
      </c>
      <c r="BC350" s="503" t="str">
        <f>IF(終値!A350="","",IF(AND(高値!AG350&gt;高値!AF350,高値!AG350&gt;高値!AE350,高値!AG350&gt;高値!AH350,高値!AG350&gt;高値!AI350),28,""))</f>
        <v/>
      </c>
      <c r="BD350" s="503">
        <f t="shared" si="30"/>
        <v>0</v>
      </c>
      <c r="BE350" s="503" t="str">
        <f t="shared" si="31"/>
        <v/>
      </c>
      <c r="BF350" s="503" t="str">
        <f t="shared" si="32"/>
        <v/>
      </c>
      <c r="BG350" s="503" t="str">
        <f>IF($BE350="","",INDEX(安値!$E350:$CZ350,1,$BE350+1))</f>
        <v/>
      </c>
      <c r="BH350" s="503" t="str">
        <f>IF($BF350="","",INDEX(安値!$E350:$CZ350,1,$BF350+1))</f>
        <v/>
      </c>
      <c r="BI350" s="503" t="str">
        <f>IF($BF350="","",MAX(INDEX(高値!$E350:$CZ350,1,$BE350+1):INDEX(高値!$E350:$CZ350,1,$BF350+1)))</f>
        <v/>
      </c>
      <c r="BJ350" s="503" t="str">
        <f>IF($BF350="","",AVERAGE(INDEX(終値!$E350:$CZ350,1,$BF350+1):INDEX(終値!$E350:$CZ350,1,$BF350+20))-2*STDEVP(INDEX(終値!$E350:$CZ350,1,$BF350+1):INDEX(終値!$E350:$CZ350,1,$BF350+20)))</f>
        <v/>
      </c>
      <c r="BK350" s="503" t="str">
        <f>IF($BE350="","",AVERAGE(INDEX(終値!$E350:$CZ350,1,$BE350+1):INDEX(終値!$E350:$CZ350,1,$BE350+20))-2*STDEVP(INDEX(終値!$E350:$CZ350,1,$BE350+1):INDEX(終値!$E350:$CZ350,1,$BE350+20)))</f>
        <v/>
      </c>
      <c r="BL350" s="503">
        <f t="shared" si="33"/>
        <v>0</v>
      </c>
      <c r="BM350" s="503" t="str">
        <f t="shared" si="34"/>
        <v/>
      </c>
      <c r="BN350" s="503" t="str">
        <f t="shared" si="35"/>
        <v/>
      </c>
      <c r="BO350" s="503" t="str">
        <f>IF($BM350="","",INDEX(高値!$E350:$CZ350,1,$BM350+1))</f>
        <v/>
      </c>
      <c r="BP350" s="503" t="str">
        <f>IF($BN350="","",INDEX(高値!$E350:$CZ350,1,$BN350+1))</f>
        <v/>
      </c>
      <c r="BQ350" s="503" t="str">
        <f>IF($BN350="","",MIN(INDEX(安値!$E350:$CZ350,1,$BM350+1):INDEX(安値!$E350:$CZ350,1,$BN350+1)))</f>
        <v/>
      </c>
      <c r="BR350" s="503" t="str">
        <f>IF($BN350="","",AVERAGE(INDEX(終値!$E350:$CZ350,1,$BN350+1):INDEX(終値!$E350:$CZ350,1,$BN350+20))+2*STDEVP(INDEX(終値!$E350:$CZ350,1,$BN350+1):INDEX(終値!$E350:$CZ350,1,$BN350+20)))</f>
        <v/>
      </c>
      <c r="BS350" s="503" t="str">
        <f>IF($BM350="","",AVERAGE(INDEX(終値!$E350:$CZ350,1,$BM350+1):INDEX(終値!$E350:$CZ350,1,$BM350+20))+2*STDEVP(INDEX(終値!$E350:$CZ350,1,$BM350+1):INDEX(終値!$E350:$CZ350,1,$BM350+20)))</f>
        <v/>
      </c>
      <c r="BT350" s="500"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3" t="str">
        <f>IF(終値!A351="","",IF(AND(安値!G351&lt;安値!F351,安値!G351&lt;安値!E351,安値!G351&lt;安値!H351,安値!G351&lt;安値!I351),2,""))</f>
        <v/>
      </c>
      <c r="C351" s="503" t="str">
        <f>IF(終値!A351="","",IF(AND(安値!H351&lt;安値!G351,安値!H351&lt;安値!F351,安値!H351&lt;安値!I351,安値!H351&lt;安値!J351),3,""))</f>
        <v/>
      </c>
      <c r="D351" s="503" t="str">
        <f>IF(終値!A351="","",IF(AND(安値!I351&lt;安値!H351,安値!I351&lt;安値!G351,安値!I351&lt;安値!J351,安値!I351&lt;安値!K351),4,""))</f>
        <v/>
      </c>
      <c r="E351" s="503" t="str">
        <f>IF(終値!A351="","",IF(AND(安値!J351&lt;安値!I351,安値!J351&lt;安値!H351,安値!J351&lt;安値!K351,安値!J351&lt;安値!L351),5,""))</f>
        <v/>
      </c>
      <c r="F351" s="503" t="str">
        <f>IF(終値!A351="","",IF(AND(安値!K351&lt;安値!J351,安値!K351&lt;安値!I351,安値!K351&lt;安値!L351,安値!K351&lt;安値!M351),6,""))</f>
        <v/>
      </c>
      <c r="G351" s="503" t="str">
        <f>IF(終値!A351="","",IF(AND(安値!L351&lt;安値!K351,安値!L351&lt;安値!J351,安値!L351&lt;安値!M351,安値!L351&lt;安値!N351),7,""))</f>
        <v/>
      </c>
      <c r="H351" s="503" t="str">
        <f>IF(終値!A351="","",IF(AND(安値!M351&lt;安値!L351,安値!M351&lt;安値!K351,安値!M351&lt;安値!N351,安値!M351&lt;安値!O351),8,""))</f>
        <v/>
      </c>
      <c r="I351" s="503" t="str">
        <f>IF(終値!A351="","",IF(AND(安値!N351&lt;安値!M351,安値!N351&lt;安値!L351,安値!N351&lt;安値!O351,安値!N351&lt;安値!P351),9,""))</f>
        <v/>
      </c>
      <c r="J351" s="503" t="str">
        <f>IF(終値!A351="","",IF(AND(安値!O351&lt;安値!N351,安値!O351&lt;安値!M351,安値!O351&lt;安値!P351,安値!O351&lt;安値!Q351),10,""))</f>
        <v/>
      </c>
      <c r="K351" s="503" t="str">
        <f>IF(終値!A351="","",IF(AND(安値!P351&lt;安値!O351,安値!P351&lt;安値!N351,安値!P351&lt;安値!Q351,安値!P351&lt;安値!R351),11,""))</f>
        <v/>
      </c>
      <c r="L351" s="503" t="str">
        <f>IF(終値!A351="","",IF(AND(安値!Q351&lt;安値!P351,安値!Q351&lt;安値!O351,安値!Q351&lt;安値!R351,安値!Q351&lt;安値!S351),12,""))</f>
        <v/>
      </c>
      <c r="M351" s="503" t="str">
        <f>IF(終値!A351="","",IF(AND(安値!R351&lt;安値!Q351,安値!R351&lt;安値!P351,安値!R351&lt;安値!S351,安値!R351&lt;安値!T351),13,""))</f>
        <v/>
      </c>
      <c r="N351" s="503" t="str">
        <f>IF(終値!A351="","",IF(AND(安値!S351&lt;安値!R351,安値!S351&lt;安値!Q351,安値!S351&lt;安値!T351,安値!S351&lt;安値!U351),14,""))</f>
        <v/>
      </c>
      <c r="O351" s="503" t="str">
        <f>IF(終値!A351="","",IF(AND(安値!T351&lt;安値!S351,安値!T351&lt;安値!R351,安値!T351&lt;安値!U351,安値!T351&lt;安値!V351),15,""))</f>
        <v/>
      </c>
      <c r="P351" s="503" t="str">
        <f>IF(終値!A351="","",IF(AND(安値!U351&lt;安値!T351,安値!U351&lt;安値!S351,安値!U351&lt;安値!V351,安値!U351&lt;安値!W351),16,""))</f>
        <v/>
      </c>
      <c r="Q351" s="503" t="str">
        <f>IF(終値!A351="","",IF(AND(安値!V351&lt;安値!U351,安値!V351&lt;安値!T351,安値!V351&lt;安値!W351,安値!V351&lt;安値!X351),17,""))</f>
        <v/>
      </c>
      <c r="R351" s="503" t="str">
        <f>IF(終値!A351="","",IF(AND(安値!W351&lt;安値!V351,安値!W351&lt;安値!U351,安値!W351&lt;安値!X351,安値!W351&lt;安値!Y351),18,""))</f>
        <v/>
      </c>
      <c r="S351" s="503" t="str">
        <f>IF(終値!A351="","",IF(AND(安値!X351&lt;安値!W351,安値!X351&lt;安値!V351,安値!X351&lt;安値!Y351,安値!X351&lt;安値!Z351),19,""))</f>
        <v/>
      </c>
      <c r="T351" s="503" t="str">
        <f>IF(終値!A351="","",IF(AND(安値!Y351&lt;安値!X351,安値!Y351&lt;安値!W351,安値!Y351&lt;安値!Z351,安値!Y351&lt;安値!AA351),20,""))</f>
        <v/>
      </c>
      <c r="U351" s="503" t="str">
        <f>IF(終値!A351="","",IF(AND(安値!Z351&lt;安値!Y351,安値!Z351&lt;安値!X351,安値!Z351&lt;安値!AA351,安値!Z351&lt;安値!AB351),21,""))</f>
        <v/>
      </c>
      <c r="V351" s="503" t="str">
        <f>IF(終値!A351="","",IF(AND(安値!AA351&lt;安値!Z351,安値!AA351&lt;安値!Y351,安値!AA351&lt;安値!AB351,安値!AA351&lt;安値!AC351),22,""))</f>
        <v/>
      </c>
      <c r="W351" s="503" t="str">
        <f>IF(終値!A351="","",IF(AND(安値!AB351&lt;安値!AA351,安値!AB351&lt;安値!Z351,安値!AB351&lt;安値!AC351,安値!AB351&lt;安値!AD351),23,""))</f>
        <v/>
      </c>
      <c r="X351" s="503" t="str">
        <f>IF(終値!A351="","",IF(AND(安値!AC351&lt;安値!AB351,安値!AC351&lt;安値!AA351,安値!AC351&lt;安値!AD351,安値!AC351&lt;安値!AE351),24,""))</f>
        <v/>
      </c>
      <c r="Y351" s="503" t="str">
        <f>IF(終値!A351="","",IF(AND(安値!AD351&lt;安値!AC351,安値!AD351&lt;安値!AB351,安値!AD351&lt;安値!AE351,安値!AD351&lt;安値!AF351),25,""))</f>
        <v/>
      </c>
      <c r="Z351" s="503" t="str">
        <f>IF(終値!A351="","",IF(AND(安値!AE351&lt;安値!AD351,安値!AE351&lt;安値!AC351,安値!AE351&lt;安値!AF351,安値!AE351&lt;安値!AG351),26,""))</f>
        <v/>
      </c>
      <c r="AA351" s="503" t="str">
        <f>IF(終値!A351="","",IF(AND(安値!AF351&lt;安値!AE351,安値!AF351&lt;安値!AD351,安値!AF351&lt;安値!AG351,安値!AF351&lt;安値!AH351),27,""))</f>
        <v/>
      </c>
      <c r="AB351" s="503" t="str">
        <f>IF(終値!A351="","",IF(AND(安値!AG351&lt;安値!AF351,安値!AG351&lt;安値!AE351,安値!AG351&lt;安値!AH351,安値!AG351&lt;安値!AI351),28,""))</f>
        <v/>
      </c>
      <c r="AC351" s="503" t="str">
        <f>IF(終値!A351="","",IF(AND(高値!G351&gt;高値!F351,高値!G351&gt;高値!E351,高値!G351&gt;高値!H351,高値!G351&gt;高値!I351),2,""))</f>
        <v/>
      </c>
      <c r="AD351" s="503" t="str">
        <f>IF(終値!A351="","",IF(AND(高値!H351&gt;高値!G351,高値!H351&gt;高値!F351,高値!H351&gt;高値!I351,高値!H351&gt;高値!J351),3,""))</f>
        <v/>
      </c>
      <c r="AE351" s="503" t="str">
        <f>IF(終値!A351="","",IF(AND(高値!I351&gt;高値!H351,高値!I351&gt;高値!G351,高値!I351&gt;高値!J351,高値!I351&gt;高値!K351),4,""))</f>
        <v/>
      </c>
      <c r="AF351" s="503" t="str">
        <f>IF(終値!A351="","",IF(AND(高値!J351&gt;高値!I351,高値!J351&gt;高値!H351,高値!J351&gt;高値!K351,高値!J351&gt;高値!L351),5,""))</f>
        <v/>
      </c>
      <c r="AG351" s="503" t="str">
        <f>IF(終値!A351="","",IF(AND(高値!K351&gt;高値!J351,高値!K351&gt;高値!I351,高値!K351&gt;高値!L351,高値!K351&gt;高値!M351),6,""))</f>
        <v/>
      </c>
      <c r="AH351" s="503" t="str">
        <f>IF(終値!A351="","",IF(AND(高値!L351&gt;高値!K351,高値!L351&gt;高値!J351,高値!L351&gt;高値!M351,高値!L351&gt;高値!N351),7,""))</f>
        <v/>
      </c>
      <c r="AI351" s="503" t="str">
        <f>IF(終値!A351="","",IF(AND(高値!M351&gt;高値!L351,高値!M351&gt;高値!K351,高値!M351&gt;高値!N351,高値!M351&gt;高値!O351),8,""))</f>
        <v/>
      </c>
      <c r="AJ351" s="503" t="str">
        <f>IF(終値!A351="","",IF(AND(高値!N351&gt;高値!M351,高値!N351&gt;高値!L351,高値!N351&gt;高値!O351,高値!N351&gt;高値!P351),9,""))</f>
        <v/>
      </c>
      <c r="AK351" s="503" t="str">
        <f>IF(終値!A351="","",IF(AND(高値!O351&gt;高値!N351,高値!O351&gt;高値!M351,高値!O351&gt;高値!P351,高値!O351&gt;高値!Q351),10,""))</f>
        <v/>
      </c>
      <c r="AL351" s="503" t="str">
        <f>IF(終値!A351="","",IF(AND(高値!P351&gt;高値!O351,高値!P351&gt;高値!N351,高値!P351&gt;高値!Q351,高値!P351&gt;高値!R351),11,""))</f>
        <v/>
      </c>
      <c r="AM351" s="503" t="str">
        <f>IF(終値!A351="","",IF(AND(高値!Q351&gt;高値!P351,高値!Q351&gt;高値!O351,高値!Q351&gt;高値!R351,高値!Q351&gt;高値!S351),12,""))</f>
        <v/>
      </c>
      <c r="AN351" s="503" t="str">
        <f>IF(終値!A351="","",IF(AND(高値!R351&gt;高値!Q351,高値!R351&gt;高値!P351,高値!R351&gt;高値!S351,高値!R351&gt;高値!T351),13,""))</f>
        <v/>
      </c>
      <c r="AO351" s="503" t="str">
        <f>IF(終値!A351="","",IF(AND(高値!S351&gt;高値!R351,高値!S351&gt;高値!Q351,高値!S351&gt;高値!T351,高値!S351&gt;高値!U351),14,""))</f>
        <v/>
      </c>
      <c r="AP351" s="503" t="str">
        <f>IF(終値!A351="","",IF(AND(高値!T351&gt;高値!S351,高値!T351&gt;高値!R351,高値!T351&gt;高値!U351,高値!T351&gt;高値!V351),15,""))</f>
        <v/>
      </c>
      <c r="AQ351" s="503" t="str">
        <f>IF(終値!A351="","",IF(AND(高値!U351&gt;高値!T351,高値!U351&gt;高値!S351,高値!U351&gt;高値!V351,高値!U351&gt;高値!W351),16,""))</f>
        <v/>
      </c>
      <c r="AR351" s="503" t="str">
        <f>IF(終値!A351="","",IF(AND(高値!V351&gt;高値!U351,高値!V351&gt;高値!T351,高値!V351&gt;高値!W351,高値!V351&gt;高値!X351),17,""))</f>
        <v/>
      </c>
      <c r="AS351" s="503" t="str">
        <f>IF(終値!A351="","",IF(AND(高値!W351&gt;高値!V351,高値!W351&gt;高値!U351,高値!W351&gt;高値!X351,高値!W351&gt;高値!Y351),18,""))</f>
        <v/>
      </c>
      <c r="AT351" s="503" t="str">
        <f>IF(終値!A351="","",IF(AND(高値!X351&gt;高値!W351,高値!X351&gt;高値!V351,高値!X351&gt;高値!Y351,高値!X351&gt;高値!Z351),19,""))</f>
        <v/>
      </c>
      <c r="AU351" s="503" t="str">
        <f>IF(終値!A351="","",IF(AND(高値!Y351&gt;高値!X351,高値!Y351&gt;高値!W351,高値!Y351&gt;高値!Z351,高値!Y351&gt;高値!AA351),20,""))</f>
        <v/>
      </c>
      <c r="AV351" s="503" t="str">
        <f>IF(終値!A351="","",IF(AND(高値!Z351&gt;高値!Y351,高値!Z351&gt;高値!X351,高値!Z351&gt;高値!AA351,高値!Z351&gt;高値!AB351),21,""))</f>
        <v/>
      </c>
      <c r="AW351" s="503" t="str">
        <f>IF(終値!A351="","",IF(AND(高値!AA351&gt;高値!Z351,高値!AA351&gt;高値!Y351,高値!AA351&gt;高値!AB351,高値!AA351&gt;高値!AC351),22,""))</f>
        <v/>
      </c>
      <c r="AX351" s="503" t="str">
        <f>IF(終値!A351="","",IF(AND(高値!AB351&gt;高値!AA351,高値!AB351&gt;高値!Z351,高値!AB351&gt;高値!AC351,高値!AB351&gt;高値!AD351),23,""))</f>
        <v/>
      </c>
      <c r="AY351" s="503" t="str">
        <f>IF(終値!A351="","",IF(AND(高値!AC351&gt;高値!AB351,高値!AC351&gt;高値!AA351,高値!AC351&gt;高値!AD351,高値!AC351&gt;高値!AE351),24,""))</f>
        <v/>
      </c>
      <c r="AZ351" s="503" t="str">
        <f>IF(終値!A351="","",IF(AND(高値!AD351&gt;高値!AC351,高値!AD351&gt;高値!AB351,高値!AD351&gt;高値!AE351,高値!AD351&gt;高値!AF351),25,""))</f>
        <v/>
      </c>
      <c r="BA351" s="503" t="str">
        <f>IF(終値!A351="","",IF(AND(高値!AE351&gt;高値!AD351,高値!AE351&gt;高値!AC351,高値!AE351&gt;高値!AF351,高値!AE351&gt;高値!AG351),26,""))</f>
        <v/>
      </c>
      <c r="BB351" s="503" t="str">
        <f>IF(終値!A351="","",IF(AND(高値!AF351&gt;高値!AE351,高値!AF351&gt;高値!AD351,高値!AF351&gt;高値!AG351,高値!AF351&gt;高値!AH351),27,""))</f>
        <v/>
      </c>
      <c r="BC351" s="503" t="str">
        <f>IF(終値!A351="","",IF(AND(高値!AG351&gt;高値!AF351,高値!AG351&gt;高値!AE351,高値!AG351&gt;高値!AH351,高値!AG351&gt;高値!AI351),28,""))</f>
        <v/>
      </c>
      <c r="BD351" s="503">
        <f t="shared" si="30"/>
        <v>0</v>
      </c>
      <c r="BE351" s="503" t="str">
        <f t="shared" si="31"/>
        <v/>
      </c>
      <c r="BF351" s="503" t="str">
        <f t="shared" si="32"/>
        <v/>
      </c>
      <c r="BG351" s="503" t="str">
        <f>IF($BE351="","",INDEX(安値!$E351:$CZ351,1,$BE351+1))</f>
        <v/>
      </c>
      <c r="BH351" s="503" t="str">
        <f>IF($BF351="","",INDEX(安値!$E351:$CZ351,1,$BF351+1))</f>
        <v/>
      </c>
      <c r="BI351" s="503" t="str">
        <f>IF($BF351="","",MAX(INDEX(高値!$E351:$CZ351,1,$BE351+1):INDEX(高値!$E351:$CZ351,1,$BF351+1)))</f>
        <v/>
      </c>
      <c r="BJ351" s="503" t="str">
        <f>IF($BF351="","",AVERAGE(INDEX(終値!$E351:$CZ351,1,$BF351+1):INDEX(終値!$E351:$CZ351,1,$BF351+20))-2*STDEVP(INDEX(終値!$E351:$CZ351,1,$BF351+1):INDEX(終値!$E351:$CZ351,1,$BF351+20)))</f>
        <v/>
      </c>
      <c r="BK351" s="503" t="str">
        <f>IF($BE351="","",AVERAGE(INDEX(終値!$E351:$CZ351,1,$BE351+1):INDEX(終値!$E351:$CZ351,1,$BE351+20))-2*STDEVP(INDEX(終値!$E351:$CZ351,1,$BE351+1):INDEX(終値!$E351:$CZ351,1,$BE351+20)))</f>
        <v/>
      </c>
      <c r="BL351" s="503">
        <f t="shared" si="33"/>
        <v>0</v>
      </c>
      <c r="BM351" s="503" t="str">
        <f t="shared" si="34"/>
        <v/>
      </c>
      <c r="BN351" s="503" t="str">
        <f t="shared" si="35"/>
        <v/>
      </c>
      <c r="BO351" s="503" t="str">
        <f>IF($BM351="","",INDEX(高値!$E351:$CZ351,1,$BM351+1))</f>
        <v/>
      </c>
      <c r="BP351" s="503" t="str">
        <f>IF($BN351="","",INDEX(高値!$E351:$CZ351,1,$BN351+1))</f>
        <v/>
      </c>
      <c r="BQ351" s="503" t="str">
        <f>IF($BN351="","",MIN(INDEX(安値!$E351:$CZ351,1,$BM351+1):INDEX(安値!$E351:$CZ351,1,$BN351+1)))</f>
        <v/>
      </c>
      <c r="BR351" s="503" t="str">
        <f>IF($BN351="","",AVERAGE(INDEX(終値!$E351:$CZ351,1,$BN351+1):INDEX(終値!$E351:$CZ351,1,$BN351+20))+2*STDEVP(INDEX(終値!$E351:$CZ351,1,$BN351+1):INDEX(終値!$E351:$CZ351,1,$BN351+20)))</f>
        <v/>
      </c>
      <c r="BS351" s="503" t="str">
        <f>IF($BM351="","",AVERAGE(INDEX(終値!$E351:$CZ351,1,$BM351+1):INDEX(終値!$E351:$CZ351,1,$BM351+20))+2*STDEVP(INDEX(終値!$E351:$CZ351,1,$BM351+1):INDEX(終値!$E351:$CZ351,1,$BM351+20)))</f>
        <v/>
      </c>
      <c r="BT351" s="500"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3" t="str">
        <f>IF(終値!A352="","",IF(AND(安値!G352&lt;安値!F352,安値!G352&lt;安値!E352,安値!G352&lt;安値!H352,安値!G352&lt;安値!I352),2,""))</f>
        <v/>
      </c>
      <c r="C352" s="503" t="str">
        <f>IF(終値!A352="","",IF(AND(安値!H352&lt;安値!G352,安値!H352&lt;安値!F352,安値!H352&lt;安値!I352,安値!H352&lt;安値!J352),3,""))</f>
        <v/>
      </c>
      <c r="D352" s="503" t="str">
        <f>IF(終値!A352="","",IF(AND(安値!I352&lt;安値!H352,安値!I352&lt;安値!G352,安値!I352&lt;安値!J352,安値!I352&lt;安値!K352),4,""))</f>
        <v/>
      </c>
      <c r="E352" s="503" t="str">
        <f>IF(終値!A352="","",IF(AND(安値!J352&lt;安値!I352,安値!J352&lt;安値!H352,安値!J352&lt;安値!K352,安値!J352&lt;安値!L352),5,""))</f>
        <v/>
      </c>
      <c r="F352" s="503" t="str">
        <f>IF(終値!A352="","",IF(AND(安値!K352&lt;安値!J352,安値!K352&lt;安値!I352,安値!K352&lt;安値!L352,安値!K352&lt;安値!M352),6,""))</f>
        <v/>
      </c>
      <c r="G352" s="503" t="str">
        <f>IF(終値!A352="","",IF(AND(安値!L352&lt;安値!K352,安値!L352&lt;安値!J352,安値!L352&lt;安値!M352,安値!L352&lt;安値!N352),7,""))</f>
        <v/>
      </c>
      <c r="H352" s="503" t="str">
        <f>IF(終値!A352="","",IF(AND(安値!M352&lt;安値!L352,安値!M352&lt;安値!K352,安値!M352&lt;安値!N352,安値!M352&lt;安値!O352),8,""))</f>
        <v/>
      </c>
      <c r="I352" s="503" t="str">
        <f>IF(終値!A352="","",IF(AND(安値!N352&lt;安値!M352,安値!N352&lt;安値!L352,安値!N352&lt;安値!O352,安値!N352&lt;安値!P352),9,""))</f>
        <v/>
      </c>
      <c r="J352" s="503" t="str">
        <f>IF(終値!A352="","",IF(AND(安値!O352&lt;安値!N352,安値!O352&lt;安値!M352,安値!O352&lt;安値!P352,安値!O352&lt;安値!Q352),10,""))</f>
        <v/>
      </c>
      <c r="K352" s="503" t="str">
        <f>IF(終値!A352="","",IF(AND(安値!P352&lt;安値!O352,安値!P352&lt;安値!N352,安値!P352&lt;安値!Q352,安値!P352&lt;安値!R352),11,""))</f>
        <v/>
      </c>
      <c r="L352" s="503" t="str">
        <f>IF(終値!A352="","",IF(AND(安値!Q352&lt;安値!P352,安値!Q352&lt;安値!O352,安値!Q352&lt;安値!R352,安値!Q352&lt;安値!S352),12,""))</f>
        <v/>
      </c>
      <c r="M352" s="503" t="str">
        <f>IF(終値!A352="","",IF(AND(安値!R352&lt;安値!Q352,安値!R352&lt;安値!P352,安値!R352&lt;安値!S352,安値!R352&lt;安値!T352),13,""))</f>
        <v/>
      </c>
      <c r="N352" s="503" t="str">
        <f>IF(終値!A352="","",IF(AND(安値!S352&lt;安値!R352,安値!S352&lt;安値!Q352,安値!S352&lt;安値!T352,安値!S352&lt;安値!U352),14,""))</f>
        <v/>
      </c>
      <c r="O352" s="503" t="str">
        <f>IF(終値!A352="","",IF(AND(安値!T352&lt;安値!S352,安値!T352&lt;安値!R352,安値!T352&lt;安値!U352,安値!T352&lt;安値!V352),15,""))</f>
        <v/>
      </c>
      <c r="P352" s="503" t="str">
        <f>IF(終値!A352="","",IF(AND(安値!U352&lt;安値!T352,安値!U352&lt;安値!S352,安値!U352&lt;安値!V352,安値!U352&lt;安値!W352),16,""))</f>
        <v/>
      </c>
      <c r="Q352" s="503" t="str">
        <f>IF(終値!A352="","",IF(AND(安値!V352&lt;安値!U352,安値!V352&lt;安値!T352,安値!V352&lt;安値!W352,安値!V352&lt;安値!X352),17,""))</f>
        <v/>
      </c>
      <c r="R352" s="503" t="str">
        <f>IF(終値!A352="","",IF(AND(安値!W352&lt;安値!V352,安値!W352&lt;安値!U352,安値!W352&lt;安値!X352,安値!W352&lt;安値!Y352),18,""))</f>
        <v/>
      </c>
      <c r="S352" s="503" t="str">
        <f>IF(終値!A352="","",IF(AND(安値!X352&lt;安値!W352,安値!X352&lt;安値!V352,安値!X352&lt;安値!Y352,安値!X352&lt;安値!Z352),19,""))</f>
        <v/>
      </c>
      <c r="T352" s="503" t="str">
        <f>IF(終値!A352="","",IF(AND(安値!Y352&lt;安値!X352,安値!Y352&lt;安値!W352,安値!Y352&lt;安値!Z352,安値!Y352&lt;安値!AA352),20,""))</f>
        <v/>
      </c>
      <c r="U352" s="503" t="str">
        <f>IF(終値!A352="","",IF(AND(安値!Z352&lt;安値!Y352,安値!Z352&lt;安値!X352,安値!Z352&lt;安値!AA352,安値!Z352&lt;安値!AB352),21,""))</f>
        <v/>
      </c>
      <c r="V352" s="503" t="str">
        <f>IF(終値!A352="","",IF(AND(安値!AA352&lt;安値!Z352,安値!AA352&lt;安値!Y352,安値!AA352&lt;安値!AB352,安値!AA352&lt;安値!AC352),22,""))</f>
        <v/>
      </c>
      <c r="W352" s="503" t="str">
        <f>IF(終値!A352="","",IF(AND(安値!AB352&lt;安値!AA352,安値!AB352&lt;安値!Z352,安値!AB352&lt;安値!AC352,安値!AB352&lt;安値!AD352),23,""))</f>
        <v/>
      </c>
      <c r="X352" s="503" t="str">
        <f>IF(終値!A352="","",IF(AND(安値!AC352&lt;安値!AB352,安値!AC352&lt;安値!AA352,安値!AC352&lt;安値!AD352,安値!AC352&lt;安値!AE352),24,""))</f>
        <v/>
      </c>
      <c r="Y352" s="503" t="str">
        <f>IF(終値!A352="","",IF(AND(安値!AD352&lt;安値!AC352,安値!AD352&lt;安値!AB352,安値!AD352&lt;安値!AE352,安値!AD352&lt;安値!AF352),25,""))</f>
        <v/>
      </c>
      <c r="Z352" s="503" t="str">
        <f>IF(終値!A352="","",IF(AND(安値!AE352&lt;安値!AD352,安値!AE352&lt;安値!AC352,安値!AE352&lt;安値!AF352,安値!AE352&lt;安値!AG352),26,""))</f>
        <v/>
      </c>
      <c r="AA352" s="503" t="str">
        <f>IF(終値!A352="","",IF(AND(安値!AF352&lt;安値!AE352,安値!AF352&lt;安値!AD352,安値!AF352&lt;安値!AG352,安値!AF352&lt;安値!AH352),27,""))</f>
        <v/>
      </c>
      <c r="AB352" s="503" t="str">
        <f>IF(終値!A352="","",IF(AND(安値!AG352&lt;安値!AF352,安値!AG352&lt;安値!AE352,安値!AG352&lt;安値!AH352,安値!AG352&lt;安値!AI352),28,""))</f>
        <v/>
      </c>
      <c r="AC352" s="503" t="str">
        <f>IF(終値!A352="","",IF(AND(高値!G352&gt;高値!F352,高値!G352&gt;高値!E352,高値!G352&gt;高値!H352,高値!G352&gt;高値!I352),2,""))</f>
        <v/>
      </c>
      <c r="AD352" s="503" t="str">
        <f>IF(終値!A352="","",IF(AND(高値!H352&gt;高値!G352,高値!H352&gt;高値!F352,高値!H352&gt;高値!I352,高値!H352&gt;高値!J352),3,""))</f>
        <v/>
      </c>
      <c r="AE352" s="503" t="str">
        <f>IF(終値!A352="","",IF(AND(高値!I352&gt;高値!H352,高値!I352&gt;高値!G352,高値!I352&gt;高値!J352,高値!I352&gt;高値!K352),4,""))</f>
        <v/>
      </c>
      <c r="AF352" s="503" t="str">
        <f>IF(終値!A352="","",IF(AND(高値!J352&gt;高値!I352,高値!J352&gt;高値!H352,高値!J352&gt;高値!K352,高値!J352&gt;高値!L352),5,""))</f>
        <v/>
      </c>
      <c r="AG352" s="503" t="str">
        <f>IF(終値!A352="","",IF(AND(高値!K352&gt;高値!J352,高値!K352&gt;高値!I352,高値!K352&gt;高値!L352,高値!K352&gt;高値!M352),6,""))</f>
        <v/>
      </c>
      <c r="AH352" s="503" t="str">
        <f>IF(終値!A352="","",IF(AND(高値!L352&gt;高値!K352,高値!L352&gt;高値!J352,高値!L352&gt;高値!M352,高値!L352&gt;高値!N352),7,""))</f>
        <v/>
      </c>
      <c r="AI352" s="503" t="str">
        <f>IF(終値!A352="","",IF(AND(高値!M352&gt;高値!L352,高値!M352&gt;高値!K352,高値!M352&gt;高値!N352,高値!M352&gt;高値!O352),8,""))</f>
        <v/>
      </c>
      <c r="AJ352" s="503" t="str">
        <f>IF(終値!A352="","",IF(AND(高値!N352&gt;高値!M352,高値!N352&gt;高値!L352,高値!N352&gt;高値!O352,高値!N352&gt;高値!P352),9,""))</f>
        <v/>
      </c>
      <c r="AK352" s="503" t="str">
        <f>IF(終値!A352="","",IF(AND(高値!O352&gt;高値!N352,高値!O352&gt;高値!M352,高値!O352&gt;高値!P352,高値!O352&gt;高値!Q352),10,""))</f>
        <v/>
      </c>
      <c r="AL352" s="503" t="str">
        <f>IF(終値!A352="","",IF(AND(高値!P352&gt;高値!O352,高値!P352&gt;高値!N352,高値!P352&gt;高値!Q352,高値!P352&gt;高値!R352),11,""))</f>
        <v/>
      </c>
      <c r="AM352" s="503" t="str">
        <f>IF(終値!A352="","",IF(AND(高値!Q352&gt;高値!P352,高値!Q352&gt;高値!O352,高値!Q352&gt;高値!R352,高値!Q352&gt;高値!S352),12,""))</f>
        <v/>
      </c>
      <c r="AN352" s="503" t="str">
        <f>IF(終値!A352="","",IF(AND(高値!R352&gt;高値!Q352,高値!R352&gt;高値!P352,高値!R352&gt;高値!S352,高値!R352&gt;高値!T352),13,""))</f>
        <v/>
      </c>
      <c r="AO352" s="503" t="str">
        <f>IF(終値!A352="","",IF(AND(高値!S352&gt;高値!R352,高値!S352&gt;高値!Q352,高値!S352&gt;高値!T352,高値!S352&gt;高値!U352),14,""))</f>
        <v/>
      </c>
      <c r="AP352" s="503" t="str">
        <f>IF(終値!A352="","",IF(AND(高値!T352&gt;高値!S352,高値!T352&gt;高値!R352,高値!T352&gt;高値!U352,高値!T352&gt;高値!V352),15,""))</f>
        <v/>
      </c>
      <c r="AQ352" s="503" t="str">
        <f>IF(終値!A352="","",IF(AND(高値!U352&gt;高値!T352,高値!U352&gt;高値!S352,高値!U352&gt;高値!V352,高値!U352&gt;高値!W352),16,""))</f>
        <v/>
      </c>
      <c r="AR352" s="503" t="str">
        <f>IF(終値!A352="","",IF(AND(高値!V352&gt;高値!U352,高値!V352&gt;高値!T352,高値!V352&gt;高値!W352,高値!V352&gt;高値!X352),17,""))</f>
        <v/>
      </c>
      <c r="AS352" s="503" t="str">
        <f>IF(終値!A352="","",IF(AND(高値!W352&gt;高値!V352,高値!W352&gt;高値!U352,高値!W352&gt;高値!X352,高値!W352&gt;高値!Y352),18,""))</f>
        <v/>
      </c>
      <c r="AT352" s="503" t="str">
        <f>IF(終値!A352="","",IF(AND(高値!X352&gt;高値!W352,高値!X352&gt;高値!V352,高値!X352&gt;高値!Y352,高値!X352&gt;高値!Z352),19,""))</f>
        <v/>
      </c>
      <c r="AU352" s="503" t="str">
        <f>IF(終値!A352="","",IF(AND(高値!Y352&gt;高値!X352,高値!Y352&gt;高値!W352,高値!Y352&gt;高値!Z352,高値!Y352&gt;高値!AA352),20,""))</f>
        <v/>
      </c>
      <c r="AV352" s="503" t="str">
        <f>IF(終値!A352="","",IF(AND(高値!Z352&gt;高値!Y352,高値!Z352&gt;高値!X352,高値!Z352&gt;高値!AA352,高値!Z352&gt;高値!AB352),21,""))</f>
        <v/>
      </c>
      <c r="AW352" s="503" t="str">
        <f>IF(終値!A352="","",IF(AND(高値!AA352&gt;高値!Z352,高値!AA352&gt;高値!Y352,高値!AA352&gt;高値!AB352,高値!AA352&gt;高値!AC352),22,""))</f>
        <v/>
      </c>
      <c r="AX352" s="503" t="str">
        <f>IF(終値!A352="","",IF(AND(高値!AB352&gt;高値!AA352,高値!AB352&gt;高値!Z352,高値!AB352&gt;高値!AC352,高値!AB352&gt;高値!AD352),23,""))</f>
        <v/>
      </c>
      <c r="AY352" s="503" t="str">
        <f>IF(終値!A352="","",IF(AND(高値!AC352&gt;高値!AB352,高値!AC352&gt;高値!AA352,高値!AC352&gt;高値!AD352,高値!AC352&gt;高値!AE352),24,""))</f>
        <v/>
      </c>
      <c r="AZ352" s="503" t="str">
        <f>IF(終値!A352="","",IF(AND(高値!AD352&gt;高値!AC352,高値!AD352&gt;高値!AB352,高値!AD352&gt;高値!AE352,高値!AD352&gt;高値!AF352),25,""))</f>
        <v/>
      </c>
      <c r="BA352" s="503" t="str">
        <f>IF(終値!A352="","",IF(AND(高値!AE352&gt;高値!AD352,高値!AE352&gt;高値!AC352,高値!AE352&gt;高値!AF352,高値!AE352&gt;高値!AG352),26,""))</f>
        <v/>
      </c>
      <c r="BB352" s="503" t="str">
        <f>IF(終値!A352="","",IF(AND(高値!AF352&gt;高値!AE352,高値!AF352&gt;高値!AD352,高値!AF352&gt;高値!AG352,高値!AF352&gt;高値!AH352),27,""))</f>
        <v/>
      </c>
      <c r="BC352" s="503" t="str">
        <f>IF(終値!A352="","",IF(AND(高値!AG352&gt;高値!AF352,高値!AG352&gt;高値!AE352,高値!AG352&gt;高値!AH352,高値!AG352&gt;高値!AI352),28,""))</f>
        <v/>
      </c>
      <c r="BD352" s="503">
        <f t="shared" si="30"/>
        <v>0</v>
      </c>
      <c r="BE352" s="503" t="str">
        <f t="shared" si="31"/>
        <v/>
      </c>
      <c r="BF352" s="503" t="str">
        <f t="shared" si="32"/>
        <v/>
      </c>
      <c r="BG352" s="503" t="str">
        <f>IF($BE352="","",INDEX(安値!$E352:$CZ352,1,$BE352+1))</f>
        <v/>
      </c>
      <c r="BH352" s="503" t="str">
        <f>IF($BF352="","",INDEX(安値!$E352:$CZ352,1,$BF352+1))</f>
        <v/>
      </c>
      <c r="BI352" s="503" t="str">
        <f>IF($BF352="","",MAX(INDEX(高値!$E352:$CZ352,1,$BE352+1):INDEX(高値!$E352:$CZ352,1,$BF352+1)))</f>
        <v/>
      </c>
      <c r="BJ352" s="503" t="str">
        <f>IF($BF352="","",AVERAGE(INDEX(終値!$E352:$CZ352,1,$BF352+1):INDEX(終値!$E352:$CZ352,1,$BF352+20))-2*STDEVP(INDEX(終値!$E352:$CZ352,1,$BF352+1):INDEX(終値!$E352:$CZ352,1,$BF352+20)))</f>
        <v/>
      </c>
      <c r="BK352" s="503" t="str">
        <f>IF($BE352="","",AVERAGE(INDEX(終値!$E352:$CZ352,1,$BE352+1):INDEX(終値!$E352:$CZ352,1,$BE352+20))-2*STDEVP(INDEX(終値!$E352:$CZ352,1,$BE352+1):INDEX(終値!$E352:$CZ352,1,$BE352+20)))</f>
        <v/>
      </c>
      <c r="BL352" s="503">
        <f t="shared" si="33"/>
        <v>0</v>
      </c>
      <c r="BM352" s="503" t="str">
        <f t="shared" si="34"/>
        <v/>
      </c>
      <c r="BN352" s="503" t="str">
        <f t="shared" si="35"/>
        <v/>
      </c>
      <c r="BO352" s="503" t="str">
        <f>IF($BM352="","",INDEX(高値!$E352:$CZ352,1,$BM352+1))</f>
        <v/>
      </c>
      <c r="BP352" s="503" t="str">
        <f>IF($BN352="","",INDEX(高値!$E352:$CZ352,1,$BN352+1))</f>
        <v/>
      </c>
      <c r="BQ352" s="503" t="str">
        <f>IF($BN352="","",MIN(INDEX(安値!$E352:$CZ352,1,$BM352+1):INDEX(安値!$E352:$CZ352,1,$BN352+1)))</f>
        <v/>
      </c>
      <c r="BR352" s="503" t="str">
        <f>IF($BN352="","",AVERAGE(INDEX(終値!$E352:$CZ352,1,$BN352+1):INDEX(終値!$E352:$CZ352,1,$BN352+20))+2*STDEVP(INDEX(終値!$E352:$CZ352,1,$BN352+1):INDEX(終値!$E352:$CZ352,1,$BN352+20)))</f>
        <v/>
      </c>
      <c r="BS352" s="503" t="str">
        <f>IF($BM352="","",AVERAGE(INDEX(終値!$E352:$CZ352,1,$BM352+1):INDEX(終値!$E352:$CZ352,1,$BM352+20))+2*STDEVP(INDEX(終値!$E352:$CZ352,1,$BM352+1):INDEX(終値!$E352:$CZ352,1,$BM352+20)))</f>
        <v/>
      </c>
      <c r="BT352" s="500"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3" t="str">
        <f>IF(終値!A353="","",IF(AND(安値!G353&lt;安値!F353,安値!G353&lt;安値!E353,安値!G353&lt;安値!H353,安値!G353&lt;安値!I353),2,""))</f>
        <v/>
      </c>
      <c r="C353" s="503" t="str">
        <f>IF(終値!A353="","",IF(AND(安値!H353&lt;安値!G353,安値!H353&lt;安値!F353,安値!H353&lt;安値!I353,安値!H353&lt;安値!J353),3,""))</f>
        <v/>
      </c>
      <c r="D353" s="503" t="str">
        <f>IF(終値!A353="","",IF(AND(安値!I353&lt;安値!H353,安値!I353&lt;安値!G353,安値!I353&lt;安値!J353,安値!I353&lt;安値!K353),4,""))</f>
        <v/>
      </c>
      <c r="E353" s="503" t="str">
        <f>IF(終値!A353="","",IF(AND(安値!J353&lt;安値!I353,安値!J353&lt;安値!H353,安値!J353&lt;安値!K353,安値!J353&lt;安値!L353),5,""))</f>
        <v/>
      </c>
      <c r="F353" s="503" t="str">
        <f>IF(終値!A353="","",IF(AND(安値!K353&lt;安値!J353,安値!K353&lt;安値!I353,安値!K353&lt;安値!L353,安値!K353&lt;安値!M353),6,""))</f>
        <v/>
      </c>
      <c r="G353" s="503" t="str">
        <f>IF(終値!A353="","",IF(AND(安値!L353&lt;安値!K353,安値!L353&lt;安値!J353,安値!L353&lt;安値!M353,安値!L353&lt;安値!N353),7,""))</f>
        <v/>
      </c>
      <c r="H353" s="503" t="str">
        <f>IF(終値!A353="","",IF(AND(安値!M353&lt;安値!L353,安値!M353&lt;安値!K353,安値!M353&lt;安値!N353,安値!M353&lt;安値!O353),8,""))</f>
        <v/>
      </c>
      <c r="I353" s="503" t="str">
        <f>IF(終値!A353="","",IF(AND(安値!N353&lt;安値!M353,安値!N353&lt;安値!L353,安値!N353&lt;安値!O353,安値!N353&lt;安値!P353),9,""))</f>
        <v/>
      </c>
      <c r="J353" s="503" t="str">
        <f>IF(終値!A353="","",IF(AND(安値!O353&lt;安値!N353,安値!O353&lt;安値!M353,安値!O353&lt;安値!P353,安値!O353&lt;安値!Q353),10,""))</f>
        <v/>
      </c>
      <c r="K353" s="503" t="str">
        <f>IF(終値!A353="","",IF(AND(安値!P353&lt;安値!O353,安値!P353&lt;安値!N353,安値!P353&lt;安値!Q353,安値!P353&lt;安値!R353),11,""))</f>
        <v/>
      </c>
      <c r="L353" s="503" t="str">
        <f>IF(終値!A353="","",IF(AND(安値!Q353&lt;安値!P353,安値!Q353&lt;安値!O353,安値!Q353&lt;安値!R353,安値!Q353&lt;安値!S353),12,""))</f>
        <v/>
      </c>
      <c r="M353" s="503" t="str">
        <f>IF(終値!A353="","",IF(AND(安値!R353&lt;安値!Q353,安値!R353&lt;安値!P353,安値!R353&lt;安値!S353,安値!R353&lt;安値!T353),13,""))</f>
        <v/>
      </c>
      <c r="N353" s="503" t="str">
        <f>IF(終値!A353="","",IF(AND(安値!S353&lt;安値!R353,安値!S353&lt;安値!Q353,安値!S353&lt;安値!T353,安値!S353&lt;安値!U353),14,""))</f>
        <v/>
      </c>
      <c r="O353" s="503" t="str">
        <f>IF(終値!A353="","",IF(AND(安値!T353&lt;安値!S353,安値!T353&lt;安値!R353,安値!T353&lt;安値!U353,安値!T353&lt;安値!V353),15,""))</f>
        <v/>
      </c>
      <c r="P353" s="503" t="str">
        <f>IF(終値!A353="","",IF(AND(安値!U353&lt;安値!T353,安値!U353&lt;安値!S353,安値!U353&lt;安値!V353,安値!U353&lt;安値!W353),16,""))</f>
        <v/>
      </c>
      <c r="Q353" s="503" t="str">
        <f>IF(終値!A353="","",IF(AND(安値!V353&lt;安値!U353,安値!V353&lt;安値!T353,安値!V353&lt;安値!W353,安値!V353&lt;安値!X353),17,""))</f>
        <v/>
      </c>
      <c r="R353" s="503" t="str">
        <f>IF(終値!A353="","",IF(AND(安値!W353&lt;安値!V353,安値!W353&lt;安値!U353,安値!W353&lt;安値!X353,安値!W353&lt;安値!Y353),18,""))</f>
        <v/>
      </c>
      <c r="S353" s="503" t="str">
        <f>IF(終値!A353="","",IF(AND(安値!X353&lt;安値!W353,安値!X353&lt;安値!V353,安値!X353&lt;安値!Y353,安値!X353&lt;安値!Z353),19,""))</f>
        <v/>
      </c>
      <c r="T353" s="503" t="str">
        <f>IF(終値!A353="","",IF(AND(安値!Y353&lt;安値!X353,安値!Y353&lt;安値!W353,安値!Y353&lt;安値!Z353,安値!Y353&lt;安値!AA353),20,""))</f>
        <v/>
      </c>
      <c r="U353" s="503" t="str">
        <f>IF(終値!A353="","",IF(AND(安値!Z353&lt;安値!Y353,安値!Z353&lt;安値!X353,安値!Z353&lt;安値!AA353,安値!Z353&lt;安値!AB353),21,""))</f>
        <v/>
      </c>
      <c r="V353" s="503" t="str">
        <f>IF(終値!A353="","",IF(AND(安値!AA353&lt;安値!Z353,安値!AA353&lt;安値!Y353,安値!AA353&lt;安値!AB353,安値!AA353&lt;安値!AC353),22,""))</f>
        <v/>
      </c>
      <c r="W353" s="503" t="str">
        <f>IF(終値!A353="","",IF(AND(安値!AB353&lt;安値!AA353,安値!AB353&lt;安値!Z353,安値!AB353&lt;安値!AC353,安値!AB353&lt;安値!AD353),23,""))</f>
        <v/>
      </c>
      <c r="X353" s="503" t="str">
        <f>IF(終値!A353="","",IF(AND(安値!AC353&lt;安値!AB353,安値!AC353&lt;安値!AA353,安値!AC353&lt;安値!AD353,安値!AC353&lt;安値!AE353),24,""))</f>
        <v/>
      </c>
      <c r="Y353" s="503" t="str">
        <f>IF(終値!A353="","",IF(AND(安値!AD353&lt;安値!AC353,安値!AD353&lt;安値!AB353,安値!AD353&lt;安値!AE353,安値!AD353&lt;安値!AF353),25,""))</f>
        <v/>
      </c>
      <c r="Z353" s="503" t="str">
        <f>IF(終値!A353="","",IF(AND(安値!AE353&lt;安値!AD353,安値!AE353&lt;安値!AC353,安値!AE353&lt;安値!AF353,安値!AE353&lt;安値!AG353),26,""))</f>
        <v/>
      </c>
      <c r="AA353" s="503" t="str">
        <f>IF(終値!A353="","",IF(AND(安値!AF353&lt;安値!AE353,安値!AF353&lt;安値!AD353,安値!AF353&lt;安値!AG353,安値!AF353&lt;安値!AH353),27,""))</f>
        <v/>
      </c>
      <c r="AB353" s="503" t="str">
        <f>IF(終値!A353="","",IF(AND(安値!AG353&lt;安値!AF353,安値!AG353&lt;安値!AE353,安値!AG353&lt;安値!AH353,安値!AG353&lt;安値!AI353),28,""))</f>
        <v/>
      </c>
      <c r="AC353" s="503" t="str">
        <f>IF(終値!A353="","",IF(AND(高値!G353&gt;高値!F353,高値!G353&gt;高値!E353,高値!G353&gt;高値!H353,高値!G353&gt;高値!I353),2,""))</f>
        <v/>
      </c>
      <c r="AD353" s="503" t="str">
        <f>IF(終値!A353="","",IF(AND(高値!H353&gt;高値!G353,高値!H353&gt;高値!F353,高値!H353&gt;高値!I353,高値!H353&gt;高値!J353),3,""))</f>
        <v/>
      </c>
      <c r="AE353" s="503" t="str">
        <f>IF(終値!A353="","",IF(AND(高値!I353&gt;高値!H353,高値!I353&gt;高値!G353,高値!I353&gt;高値!J353,高値!I353&gt;高値!K353),4,""))</f>
        <v/>
      </c>
      <c r="AF353" s="503" t="str">
        <f>IF(終値!A353="","",IF(AND(高値!J353&gt;高値!I353,高値!J353&gt;高値!H353,高値!J353&gt;高値!K353,高値!J353&gt;高値!L353),5,""))</f>
        <v/>
      </c>
      <c r="AG353" s="503" t="str">
        <f>IF(終値!A353="","",IF(AND(高値!K353&gt;高値!J353,高値!K353&gt;高値!I353,高値!K353&gt;高値!L353,高値!K353&gt;高値!M353),6,""))</f>
        <v/>
      </c>
      <c r="AH353" s="503" t="str">
        <f>IF(終値!A353="","",IF(AND(高値!L353&gt;高値!K353,高値!L353&gt;高値!J353,高値!L353&gt;高値!M353,高値!L353&gt;高値!N353),7,""))</f>
        <v/>
      </c>
      <c r="AI353" s="503" t="str">
        <f>IF(終値!A353="","",IF(AND(高値!M353&gt;高値!L353,高値!M353&gt;高値!K353,高値!M353&gt;高値!N353,高値!M353&gt;高値!O353),8,""))</f>
        <v/>
      </c>
      <c r="AJ353" s="503" t="str">
        <f>IF(終値!A353="","",IF(AND(高値!N353&gt;高値!M353,高値!N353&gt;高値!L353,高値!N353&gt;高値!O353,高値!N353&gt;高値!P353),9,""))</f>
        <v/>
      </c>
      <c r="AK353" s="503" t="str">
        <f>IF(終値!A353="","",IF(AND(高値!O353&gt;高値!N353,高値!O353&gt;高値!M353,高値!O353&gt;高値!P353,高値!O353&gt;高値!Q353),10,""))</f>
        <v/>
      </c>
      <c r="AL353" s="503" t="str">
        <f>IF(終値!A353="","",IF(AND(高値!P353&gt;高値!O353,高値!P353&gt;高値!N353,高値!P353&gt;高値!Q353,高値!P353&gt;高値!R353),11,""))</f>
        <v/>
      </c>
      <c r="AM353" s="503" t="str">
        <f>IF(終値!A353="","",IF(AND(高値!Q353&gt;高値!P353,高値!Q353&gt;高値!O353,高値!Q353&gt;高値!R353,高値!Q353&gt;高値!S353),12,""))</f>
        <v/>
      </c>
      <c r="AN353" s="503" t="str">
        <f>IF(終値!A353="","",IF(AND(高値!R353&gt;高値!Q353,高値!R353&gt;高値!P353,高値!R353&gt;高値!S353,高値!R353&gt;高値!T353),13,""))</f>
        <v/>
      </c>
      <c r="AO353" s="503" t="str">
        <f>IF(終値!A353="","",IF(AND(高値!S353&gt;高値!R353,高値!S353&gt;高値!Q353,高値!S353&gt;高値!T353,高値!S353&gt;高値!U353),14,""))</f>
        <v/>
      </c>
      <c r="AP353" s="503" t="str">
        <f>IF(終値!A353="","",IF(AND(高値!T353&gt;高値!S353,高値!T353&gt;高値!R353,高値!T353&gt;高値!U353,高値!T353&gt;高値!V353),15,""))</f>
        <v/>
      </c>
      <c r="AQ353" s="503" t="str">
        <f>IF(終値!A353="","",IF(AND(高値!U353&gt;高値!T353,高値!U353&gt;高値!S353,高値!U353&gt;高値!V353,高値!U353&gt;高値!W353),16,""))</f>
        <v/>
      </c>
      <c r="AR353" s="503" t="str">
        <f>IF(終値!A353="","",IF(AND(高値!V353&gt;高値!U353,高値!V353&gt;高値!T353,高値!V353&gt;高値!W353,高値!V353&gt;高値!X353),17,""))</f>
        <v/>
      </c>
      <c r="AS353" s="503" t="str">
        <f>IF(終値!A353="","",IF(AND(高値!W353&gt;高値!V353,高値!W353&gt;高値!U353,高値!W353&gt;高値!X353,高値!W353&gt;高値!Y353),18,""))</f>
        <v/>
      </c>
      <c r="AT353" s="503" t="str">
        <f>IF(終値!A353="","",IF(AND(高値!X353&gt;高値!W353,高値!X353&gt;高値!V353,高値!X353&gt;高値!Y353,高値!X353&gt;高値!Z353),19,""))</f>
        <v/>
      </c>
      <c r="AU353" s="503" t="str">
        <f>IF(終値!A353="","",IF(AND(高値!Y353&gt;高値!X353,高値!Y353&gt;高値!W353,高値!Y353&gt;高値!Z353,高値!Y353&gt;高値!AA353),20,""))</f>
        <v/>
      </c>
      <c r="AV353" s="503" t="str">
        <f>IF(終値!A353="","",IF(AND(高値!Z353&gt;高値!Y353,高値!Z353&gt;高値!X353,高値!Z353&gt;高値!AA353,高値!Z353&gt;高値!AB353),21,""))</f>
        <v/>
      </c>
      <c r="AW353" s="503" t="str">
        <f>IF(終値!A353="","",IF(AND(高値!AA353&gt;高値!Z353,高値!AA353&gt;高値!Y353,高値!AA353&gt;高値!AB353,高値!AA353&gt;高値!AC353),22,""))</f>
        <v/>
      </c>
      <c r="AX353" s="503" t="str">
        <f>IF(終値!A353="","",IF(AND(高値!AB353&gt;高値!AA353,高値!AB353&gt;高値!Z353,高値!AB353&gt;高値!AC353,高値!AB353&gt;高値!AD353),23,""))</f>
        <v/>
      </c>
      <c r="AY353" s="503" t="str">
        <f>IF(終値!A353="","",IF(AND(高値!AC353&gt;高値!AB353,高値!AC353&gt;高値!AA353,高値!AC353&gt;高値!AD353,高値!AC353&gt;高値!AE353),24,""))</f>
        <v/>
      </c>
      <c r="AZ353" s="503" t="str">
        <f>IF(終値!A353="","",IF(AND(高値!AD353&gt;高値!AC353,高値!AD353&gt;高値!AB353,高値!AD353&gt;高値!AE353,高値!AD353&gt;高値!AF353),25,""))</f>
        <v/>
      </c>
      <c r="BA353" s="503" t="str">
        <f>IF(終値!A353="","",IF(AND(高値!AE353&gt;高値!AD353,高値!AE353&gt;高値!AC353,高値!AE353&gt;高値!AF353,高値!AE353&gt;高値!AG353),26,""))</f>
        <v/>
      </c>
      <c r="BB353" s="503" t="str">
        <f>IF(終値!A353="","",IF(AND(高値!AF353&gt;高値!AE353,高値!AF353&gt;高値!AD353,高値!AF353&gt;高値!AG353,高値!AF353&gt;高値!AH353),27,""))</f>
        <v/>
      </c>
      <c r="BC353" s="503" t="str">
        <f>IF(終値!A353="","",IF(AND(高値!AG353&gt;高値!AF353,高値!AG353&gt;高値!AE353,高値!AG353&gt;高値!AH353,高値!AG353&gt;高値!AI353),28,""))</f>
        <v/>
      </c>
      <c r="BD353" s="503">
        <f t="shared" si="30"/>
        <v>0</v>
      </c>
      <c r="BE353" s="503" t="str">
        <f t="shared" si="31"/>
        <v/>
      </c>
      <c r="BF353" s="503" t="str">
        <f t="shared" si="32"/>
        <v/>
      </c>
      <c r="BG353" s="503" t="str">
        <f>IF($BE353="","",INDEX(安値!$E353:$CZ353,1,$BE353+1))</f>
        <v/>
      </c>
      <c r="BH353" s="503" t="str">
        <f>IF($BF353="","",INDEX(安値!$E353:$CZ353,1,$BF353+1))</f>
        <v/>
      </c>
      <c r="BI353" s="503" t="str">
        <f>IF($BF353="","",MAX(INDEX(高値!$E353:$CZ353,1,$BE353+1):INDEX(高値!$E353:$CZ353,1,$BF353+1)))</f>
        <v/>
      </c>
      <c r="BJ353" s="503" t="str">
        <f>IF($BF353="","",AVERAGE(INDEX(終値!$E353:$CZ353,1,$BF353+1):INDEX(終値!$E353:$CZ353,1,$BF353+20))-2*STDEVP(INDEX(終値!$E353:$CZ353,1,$BF353+1):INDEX(終値!$E353:$CZ353,1,$BF353+20)))</f>
        <v/>
      </c>
      <c r="BK353" s="503" t="str">
        <f>IF($BE353="","",AVERAGE(INDEX(終値!$E353:$CZ353,1,$BE353+1):INDEX(終値!$E353:$CZ353,1,$BE353+20))-2*STDEVP(INDEX(終値!$E353:$CZ353,1,$BE353+1):INDEX(終値!$E353:$CZ353,1,$BE353+20)))</f>
        <v/>
      </c>
      <c r="BL353" s="503">
        <f t="shared" si="33"/>
        <v>0</v>
      </c>
      <c r="BM353" s="503" t="str">
        <f t="shared" si="34"/>
        <v/>
      </c>
      <c r="BN353" s="503" t="str">
        <f t="shared" si="35"/>
        <v/>
      </c>
      <c r="BO353" s="503" t="str">
        <f>IF($BM353="","",INDEX(高値!$E353:$CZ353,1,$BM353+1))</f>
        <v/>
      </c>
      <c r="BP353" s="503" t="str">
        <f>IF($BN353="","",INDEX(高値!$E353:$CZ353,1,$BN353+1))</f>
        <v/>
      </c>
      <c r="BQ353" s="503" t="str">
        <f>IF($BN353="","",MIN(INDEX(安値!$E353:$CZ353,1,$BM353+1):INDEX(安値!$E353:$CZ353,1,$BN353+1)))</f>
        <v/>
      </c>
      <c r="BR353" s="503" t="str">
        <f>IF($BN353="","",AVERAGE(INDEX(終値!$E353:$CZ353,1,$BN353+1):INDEX(終値!$E353:$CZ353,1,$BN353+20))+2*STDEVP(INDEX(終値!$E353:$CZ353,1,$BN353+1):INDEX(終値!$E353:$CZ353,1,$BN353+20)))</f>
        <v/>
      </c>
      <c r="BS353" s="503" t="str">
        <f>IF($BM353="","",AVERAGE(INDEX(終値!$E353:$CZ353,1,$BM353+1):INDEX(終値!$E353:$CZ353,1,$BM353+20))+2*STDEVP(INDEX(終値!$E353:$CZ353,1,$BM353+1):INDEX(終値!$E353:$CZ353,1,$BM353+20)))</f>
        <v/>
      </c>
      <c r="BT353" s="500"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3" t="str">
        <f>IF(終値!A354="","",IF(AND(安値!G354&lt;安値!F354,安値!G354&lt;安値!E354,安値!G354&lt;安値!H354,安値!G354&lt;安値!I354),2,""))</f>
        <v/>
      </c>
      <c r="C354" s="503" t="str">
        <f>IF(終値!A354="","",IF(AND(安値!H354&lt;安値!G354,安値!H354&lt;安値!F354,安値!H354&lt;安値!I354,安値!H354&lt;安値!J354),3,""))</f>
        <v/>
      </c>
      <c r="D354" s="503" t="str">
        <f>IF(終値!A354="","",IF(AND(安値!I354&lt;安値!H354,安値!I354&lt;安値!G354,安値!I354&lt;安値!J354,安値!I354&lt;安値!K354),4,""))</f>
        <v/>
      </c>
      <c r="E354" s="503" t="str">
        <f>IF(終値!A354="","",IF(AND(安値!J354&lt;安値!I354,安値!J354&lt;安値!H354,安値!J354&lt;安値!K354,安値!J354&lt;安値!L354),5,""))</f>
        <v/>
      </c>
      <c r="F354" s="503" t="str">
        <f>IF(終値!A354="","",IF(AND(安値!K354&lt;安値!J354,安値!K354&lt;安値!I354,安値!K354&lt;安値!L354,安値!K354&lt;安値!M354),6,""))</f>
        <v/>
      </c>
      <c r="G354" s="503" t="str">
        <f>IF(終値!A354="","",IF(AND(安値!L354&lt;安値!K354,安値!L354&lt;安値!J354,安値!L354&lt;安値!M354,安値!L354&lt;安値!N354),7,""))</f>
        <v/>
      </c>
      <c r="H354" s="503" t="str">
        <f>IF(終値!A354="","",IF(AND(安値!M354&lt;安値!L354,安値!M354&lt;安値!K354,安値!M354&lt;安値!N354,安値!M354&lt;安値!O354),8,""))</f>
        <v/>
      </c>
      <c r="I354" s="503" t="str">
        <f>IF(終値!A354="","",IF(AND(安値!N354&lt;安値!M354,安値!N354&lt;安値!L354,安値!N354&lt;安値!O354,安値!N354&lt;安値!P354),9,""))</f>
        <v/>
      </c>
      <c r="J354" s="503" t="str">
        <f>IF(終値!A354="","",IF(AND(安値!O354&lt;安値!N354,安値!O354&lt;安値!M354,安値!O354&lt;安値!P354,安値!O354&lt;安値!Q354),10,""))</f>
        <v/>
      </c>
      <c r="K354" s="503" t="str">
        <f>IF(終値!A354="","",IF(AND(安値!P354&lt;安値!O354,安値!P354&lt;安値!N354,安値!P354&lt;安値!Q354,安値!P354&lt;安値!R354),11,""))</f>
        <v/>
      </c>
      <c r="L354" s="503" t="str">
        <f>IF(終値!A354="","",IF(AND(安値!Q354&lt;安値!P354,安値!Q354&lt;安値!O354,安値!Q354&lt;安値!R354,安値!Q354&lt;安値!S354),12,""))</f>
        <v/>
      </c>
      <c r="M354" s="503" t="str">
        <f>IF(終値!A354="","",IF(AND(安値!R354&lt;安値!Q354,安値!R354&lt;安値!P354,安値!R354&lt;安値!S354,安値!R354&lt;安値!T354),13,""))</f>
        <v/>
      </c>
      <c r="N354" s="503" t="str">
        <f>IF(終値!A354="","",IF(AND(安値!S354&lt;安値!R354,安値!S354&lt;安値!Q354,安値!S354&lt;安値!T354,安値!S354&lt;安値!U354),14,""))</f>
        <v/>
      </c>
      <c r="O354" s="503" t="str">
        <f>IF(終値!A354="","",IF(AND(安値!T354&lt;安値!S354,安値!T354&lt;安値!R354,安値!T354&lt;安値!U354,安値!T354&lt;安値!V354),15,""))</f>
        <v/>
      </c>
      <c r="P354" s="503" t="str">
        <f>IF(終値!A354="","",IF(AND(安値!U354&lt;安値!T354,安値!U354&lt;安値!S354,安値!U354&lt;安値!V354,安値!U354&lt;安値!W354),16,""))</f>
        <v/>
      </c>
      <c r="Q354" s="503" t="str">
        <f>IF(終値!A354="","",IF(AND(安値!V354&lt;安値!U354,安値!V354&lt;安値!T354,安値!V354&lt;安値!W354,安値!V354&lt;安値!X354),17,""))</f>
        <v/>
      </c>
      <c r="R354" s="503" t="str">
        <f>IF(終値!A354="","",IF(AND(安値!W354&lt;安値!V354,安値!W354&lt;安値!U354,安値!W354&lt;安値!X354,安値!W354&lt;安値!Y354),18,""))</f>
        <v/>
      </c>
      <c r="S354" s="503" t="str">
        <f>IF(終値!A354="","",IF(AND(安値!X354&lt;安値!W354,安値!X354&lt;安値!V354,安値!X354&lt;安値!Y354,安値!X354&lt;安値!Z354),19,""))</f>
        <v/>
      </c>
      <c r="T354" s="503" t="str">
        <f>IF(終値!A354="","",IF(AND(安値!Y354&lt;安値!X354,安値!Y354&lt;安値!W354,安値!Y354&lt;安値!Z354,安値!Y354&lt;安値!AA354),20,""))</f>
        <v/>
      </c>
      <c r="U354" s="503" t="str">
        <f>IF(終値!A354="","",IF(AND(安値!Z354&lt;安値!Y354,安値!Z354&lt;安値!X354,安値!Z354&lt;安値!AA354,安値!Z354&lt;安値!AB354),21,""))</f>
        <v/>
      </c>
      <c r="V354" s="503" t="str">
        <f>IF(終値!A354="","",IF(AND(安値!AA354&lt;安値!Z354,安値!AA354&lt;安値!Y354,安値!AA354&lt;安値!AB354,安値!AA354&lt;安値!AC354),22,""))</f>
        <v/>
      </c>
      <c r="W354" s="503" t="str">
        <f>IF(終値!A354="","",IF(AND(安値!AB354&lt;安値!AA354,安値!AB354&lt;安値!Z354,安値!AB354&lt;安値!AC354,安値!AB354&lt;安値!AD354),23,""))</f>
        <v/>
      </c>
      <c r="X354" s="503" t="str">
        <f>IF(終値!A354="","",IF(AND(安値!AC354&lt;安値!AB354,安値!AC354&lt;安値!AA354,安値!AC354&lt;安値!AD354,安値!AC354&lt;安値!AE354),24,""))</f>
        <v/>
      </c>
      <c r="Y354" s="503" t="str">
        <f>IF(終値!A354="","",IF(AND(安値!AD354&lt;安値!AC354,安値!AD354&lt;安値!AB354,安値!AD354&lt;安値!AE354,安値!AD354&lt;安値!AF354),25,""))</f>
        <v/>
      </c>
      <c r="Z354" s="503" t="str">
        <f>IF(終値!A354="","",IF(AND(安値!AE354&lt;安値!AD354,安値!AE354&lt;安値!AC354,安値!AE354&lt;安値!AF354,安値!AE354&lt;安値!AG354),26,""))</f>
        <v/>
      </c>
      <c r="AA354" s="503" t="str">
        <f>IF(終値!A354="","",IF(AND(安値!AF354&lt;安値!AE354,安値!AF354&lt;安値!AD354,安値!AF354&lt;安値!AG354,安値!AF354&lt;安値!AH354),27,""))</f>
        <v/>
      </c>
      <c r="AB354" s="503" t="str">
        <f>IF(終値!A354="","",IF(AND(安値!AG354&lt;安値!AF354,安値!AG354&lt;安値!AE354,安値!AG354&lt;安値!AH354,安値!AG354&lt;安値!AI354),28,""))</f>
        <v/>
      </c>
      <c r="AC354" s="503" t="str">
        <f>IF(終値!A354="","",IF(AND(高値!G354&gt;高値!F354,高値!G354&gt;高値!E354,高値!G354&gt;高値!H354,高値!G354&gt;高値!I354),2,""))</f>
        <v/>
      </c>
      <c r="AD354" s="503" t="str">
        <f>IF(終値!A354="","",IF(AND(高値!H354&gt;高値!G354,高値!H354&gt;高値!F354,高値!H354&gt;高値!I354,高値!H354&gt;高値!J354),3,""))</f>
        <v/>
      </c>
      <c r="AE354" s="503" t="str">
        <f>IF(終値!A354="","",IF(AND(高値!I354&gt;高値!H354,高値!I354&gt;高値!G354,高値!I354&gt;高値!J354,高値!I354&gt;高値!K354),4,""))</f>
        <v/>
      </c>
      <c r="AF354" s="503" t="str">
        <f>IF(終値!A354="","",IF(AND(高値!J354&gt;高値!I354,高値!J354&gt;高値!H354,高値!J354&gt;高値!K354,高値!J354&gt;高値!L354),5,""))</f>
        <v/>
      </c>
      <c r="AG354" s="503" t="str">
        <f>IF(終値!A354="","",IF(AND(高値!K354&gt;高値!J354,高値!K354&gt;高値!I354,高値!K354&gt;高値!L354,高値!K354&gt;高値!M354),6,""))</f>
        <v/>
      </c>
      <c r="AH354" s="503" t="str">
        <f>IF(終値!A354="","",IF(AND(高値!L354&gt;高値!K354,高値!L354&gt;高値!J354,高値!L354&gt;高値!M354,高値!L354&gt;高値!N354),7,""))</f>
        <v/>
      </c>
      <c r="AI354" s="503" t="str">
        <f>IF(終値!A354="","",IF(AND(高値!M354&gt;高値!L354,高値!M354&gt;高値!K354,高値!M354&gt;高値!N354,高値!M354&gt;高値!O354),8,""))</f>
        <v/>
      </c>
      <c r="AJ354" s="503" t="str">
        <f>IF(終値!A354="","",IF(AND(高値!N354&gt;高値!M354,高値!N354&gt;高値!L354,高値!N354&gt;高値!O354,高値!N354&gt;高値!P354),9,""))</f>
        <v/>
      </c>
      <c r="AK354" s="503" t="str">
        <f>IF(終値!A354="","",IF(AND(高値!O354&gt;高値!N354,高値!O354&gt;高値!M354,高値!O354&gt;高値!P354,高値!O354&gt;高値!Q354),10,""))</f>
        <v/>
      </c>
      <c r="AL354" s="503" t="str">
        <f>IF(終値!A354="","",IF(AND(高値!P354&gt;高値!O354,高値!P354&gt;高値!N354,高値!P354&gt;高値!Q354,高値!P354&gt;高値!R354),11,""))</f>
        <v/>
      </c>
      <c r="AM354" s="503" t="str">
        <f>IF(終値!A354="","",IF(AND(高値!Q354&gt;高値!P354,高値!Q354&gt;高値!O354,高値!Q354&gt;高値!R354,高値!Q354&gt;高値!S354),12,""))</f>
        <v/>
      </c>
      <c r="AN354" s="503" t="str">
        <f>IF(終値!A354="","",IF(AND(高値!R354&gt;高値!Q354,高値!R354&gt;高値!P354,高値!R354&gt;高値!S354,高値!R354&gt;高値!T354),13,""))</f>
        <v/>
      </c>
      <c r="AO354" s="503" t="str">
        <f>IF(終値!A354="","",IF(AND(高値!S354&gt;高値!R354,高値!S354&gt;高値!Q354,高値!S354&gt;高値!T354,高値!S354&gt;高値!U354),14,""))</f>
        <v/>
      </c>
      <c r="AP354" s="503" t="str">
        <f>IF(終値!A354="","",IF(AND(高値!T354&gt;高値!S354,高値!T354&gt;高値!R354,高値!T354&gt;高値!U354,高値!T354&gt;高値!V354),15,""))</f>
        <v/>
      </c>
      <c r="AQ354" s="503" t="str">
        <f>IF(終値!A354="","",IF(AND(高値!U354&gt;高値!T354,高値!U354&gt;高値!S354,高値!U354&gt;高値!V354,高値!U354&gt;高値!W354),16,""))</f>
        <v/>
      </c>
      <c r="AR354" s="503" t="str">
        <f>IF(終値!A354="","",IF(AND(高値!V354&gt;高値!U354,高値!V354&gt;高値!T354,高値!V354&gt;高値!W354,高値!V354&gt;高値!X354),17,""))</f>
        <v/>
      </c>
      <c r="AS354" s="503" t="str">
        <f>IF(終値!A354="","",IF(AND(高値!W354&gt;高値!V354,高値!W354&gt;高値!U354,高値!W354&gt;高値!X354,高値!W354&gt;高値!Y354),18,""))</f>
        <v/>
      </c>
      <c r="AT354" s="503" t="str">
        <f>IF(終値!A354="","",IF(AND(高値!X354&gt;高値!W354,高値!X354&gt;高値!V354,高値!X354&gt;高値!Y354,高値!X354&gt;高値!Z354),19,""))</f>
        <v/>
      </c>
      <c r="AU354" s="503" t="str">
        <f>IF(終値!A354="","",IF(AND(高値!Y354&gt;高値!X354,高値!Y354&gt;高値!W354,高値!Y354&gt;高値!Z354,高値!Y354&gt;高値!AA354),20,""))</f>
        <v/>
      </c>
      <c r="AV354" s="503" t="str">
        <f>IF(終値!A354="","",IF(AND(高値!Z354&gt;高値!Y354,高値!Z354&gt;高値!X354,高値!Z354&gt;高値!AA354,高値!Z354&gt;高値!AB354),21,""))</f>
        <v/>
      </c>
      <c r="AW354" s="503" t="str">
        <f>IF(終値!A354="","",IF(AND(高値!AA354&gt;高値!Z354,高値!AA354&gt;高値!Y354,高値!AA354&gt;高値!AB354,高値!AA354&gt;高値!AC354),22,""))</f>
        <v/>
      </c>
      <c r="AX354" s="503" t="str">
        <f>IF(終値!A354="","",IF(AND(高値!AB354&gt;高値!AA354,高値!AB354&gt;高値!Z354,高値!AB354&gt;高値!AC354,高値!AB354&gt;高値!AD354),23,""))</f>
        <v/>
      </c>
      <c r="AY354" s="503" t="str">
        <f>IF(終値!A354="","",IF(AND(高値!AC354&gt;高値!AB354,高値!AC354&gt;高値!AA354,高値!AC354&gt;高値!AD354,高値!AC354&gt;高値!AE354),24,""))</f>
        <v/>
      </c>
      <c r="AZ354" s="503" t="str">
        <f>IF(終値!A354="","",IF(AND(高値!AD354&gt;高値!AC354,高値!AD354&gt;高値!AB354,高値!AD354&gt;高値!AE354,高値!AD354&gt;高値!AF354),25,""))</f>
        <v/>
      </c>
      <c r="BA354" s="503" t="str">
        <f>IF(終値!A354="","",IF(AND(高値!AE354&gt;高値!AD354,高値!AE354&gt;高値!AC354,高値!AE354&gt;高値!AF354,高値!AE354&gt;高値!AG354),26,""))</f>
        <v/>
      </c>
      <c r="BB354" s="503" t="str">
        <f>IF(終値!A354="","",IF(AND(高値!AF354&gt;高値!AE354,高値!AF354&gt;高値!AD354,高値!AF354&gt;高値!AG354,高値!AF354&gt;高値!AH354),27,""))</f>
        <v/>
      </c>
      <c r="BC354" s="503" t="str">
        <f>IF(終値!A354="","",IF(AND(高値!AG354&gt;高値!AF354,高値!AG354&gt;高値!AE354,高値!AG354&gt;高値!AH354,高値!AG354&gt;高値!AI354),28,""))</f>
        <v/>
      </c>
      <c r="BD354" s="503">
        <f t="shared" si="30"/>
        <v>0</v>
      </c>
      <c r="BE354" s="503" t="str">
        <f t="shared" si="31"/>
        <v/>
      </c>
      <c r="BF354" s="503" t="str">
        <f t="shared" si="32"/>
        <v/>
      </c>
      <c r="BG354" s="503" t="str">
        <f>IF($BE354="","",INDEX(安値!$E354:$CZ354,1,$BE354+1))</f>
        <v/>
      </c>
      <c r="BH354" s="503" t="str">
        <f>IF($BF354="","",INDEX(安値!$E354:$CZ354,1,$BF354+1))</f>
        <v/>
      </c>
      <c r="BI354" s="503" t="str">
        <f>IF($BF354="","",MAX(INDEX(高値!$E354:$CZ354,1,$BE354+1):INDEX(高値!$E354:$CZ354,1,$BF354+1)))</f>
        <v/>
      </c>
      <c r="BJ354" s="503" t="str">
        <f>IF($BF354="","",AVERAGE(INDEX(終値!$E354:$CZ354,1,$BF354+1):INDEX(終値!$E354:$CZ354,1,$BF354+20))-2*STDEVP(INDEX(終値!$E354:$CZ354,1,$BF354+1):INDEX(終値!$E354:$CZ354,1,$BF354+20)))</f>
        <v/>
      </c>
      <c r="BK354" s="503" t="str">
        <f>IF($BE354="","",AVERAGE(INDEX(終値!$E354:$CZ354,1,$BE354+1):INDEX(終値!$E354:$CZ354,1,$BE354+20))-2*STDEVP(INDEX(終値!$E354:$CZ354,1,$BE354+1):INDEX(終値!$E354:$CZ354,1,$BE354+20)))</f>
        <v/>
      </c>
      <c r="BL354" s="503">
        <f t="shared" si="33"/>
        <v>0</v>
      </c>
      <c r="BM354" s="503" t="str">
        <f t="shared" si="34"/>
        <v/>
      </c>
      <c r="BN354" s="503" t="str">
        <f t="shared" si="35"/>
        <v/>
      </c>
      <c r="BO354" s="503" t="str">
        <f>IF($BM354="","",INDEX(高値!$E354:$CZ354,1,$BM354+1))</f>
        <v/>
      </c>
      <c r="BP354" s="503" t="str">
        <f>IF($BN354="","",INDEX(高値!$E354:$CZ354,1,$BN354+1))</f>
        <v/>
      </c>
      <c r="BQ354" s="503" t="str">
        <f>IF($BN354="","",MIN(INDEX(安値!$E354:$CZ354,1,$BM354+1):INDEX(安値!$E354:$CZ354,1,$BN354+1)))</f>
        <v/>
      </c>
      <c r="BR354" s="503" t="str">
        <f>IF($BN354="","",AVERAGE(INDEX(終値!$E354:$CZ354,1,$BN354+1):INDEX(終値!$E354:$CZ354,1,$BN354+20))+2*STDEVP(INDEX(終値!$E354:$CZ354,1,$BN354+1):INDEX(終値!$E354:$CZ354,1,$BN354+20)))</f>
        <v/>
      </c>
      <c r="BS354" s="503" t="str">
        <f>IF($BM354="","",AVERAGE(INDEX(終値!$E354:$CZ354,1,$BM354+1):INDEX(終値!$E354:$CZ354,1,$BM354+20))+2*STDEVP(INDEX(終値!$E354:$CZ354,1,$BM354+1):INDEX(終値!$E354:$CZ354,1,$BM354+20)))</f>
        <v/>
      </c>
      <c r="BT354" s="500"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3" t="str">
        <f>IF(終値!A355="","",IF(AND(安値!G355&lt;安値!F355,安値!G355&lt;安値!E355,安値!G355&lt;安値!H355,安値!G355&lt;安値!I355),2,""))</f>
        <v/>
      </c>
      <c r="C355" s="503" t="str">
        <f>IF(終値!A355="","",IF(AND(安値!H355&lt;安値!G355,安値!H355&lt;安値!F355,安値!H355&lt;安値!I355,安値!H355&lt;安値!J355),3,""))</f>
        <v/>
      </c>
      <c r="D355" s="503" t="str">
        <f>IF(終値!A355="","",IF(AND(安値!I355&lt;安値!H355,安値!I355&lt;安値!G355,安値!I355&lt;安値!J355,安値!I355&lt;安値!K355),4,""))</f>
        <v/>
      </c>
      <c r="E355" s="503" t="str">
        <f>IF(終値!A355="","",IF(AND(安値!J355&lt;安値!I355,安値!J355&lt;安値!H355,安値!J355&lt;安値!K355,安値!J355&lt;安値!L355),5,""))</f>
        <v/>
      </c>
      <c r="F355" s="503" t="str">
        <f>IF(終値!A355="","",IF(AND(安値!K355&lt;安値!J355,安値!K355&lt;安値!I355,安値!K355&lt;安値!L355,安値!K355&lt;安値!M355),6,""))</f>
        <v/>
      </c>
      <c r="G355" s="503" t="str">
        <f>IF(終値!A355="","",IF(AND(安値!L355&lt;安値!K355,安値!L355&lt;安値!J355,安値!L355&lt;安値!M355,安値!L355&lt;安値!N355),7,""))</f>
        <v/>
      </c>
      <c r="H355" s="503" t="str">
        <f>IF(終値!A355="","",IF(AND(安値!M355&lt;安値!L355,安値!M355&lt;安値!K355,安値!M355&lt;安値!N355,安値!M355&lt;安値!O355),8,""))</f>
        <v/>
      </c>
      <c r="I355" s="503" t="str">
        <f>IF(終値!A355="","",IF(AND(安値!N355&lt;安値!M355,安値!N355&lt;安値!L355,安値!N355&lt;安値!O355,安値!N355&lt;安値!P355),9,""))</f>
        <v/>
      </c>
      <c r="J355" s="503" t="str">
        <f>IF(終値!A355="","",IF(AND(安値!O355&lt;安値!N355,安値!O355&lt;安値!M355,安値!O355&lt;安値!P355,安値!O355&lt;安値!Q355),10,""))</f>
        <v/>
      </c>
      <c r="K355" s="503" t="str">
        <f>IF(終値!A355="","",IF(AND(安値!P355&lt;安値!O355,安値!P355&lt;安値!N355,安値!P355&lt;安値!Q355,安値!P355&lt;安値!R355),11,""))</f>
        <v/>
      </c>
      <c r="L355" s="503" t="str">
        <f>IF(終値!A355="","",IF(AND(安値!Q355&lt;安値!P355,安値!Q355&lt;安値!O355,安値!Q355&lt;安値!R355,安値!Q355&lt;安値!S355),12,""))</f>
        <v/>
      </c>
      <c r="M355" s="503" t="str">
        <f>IF(終値!A355="","",IF(AND(安値!R355&lt;安値!Q355,安値!R355&lt;安値!P355,安値!R355&lt;安値!S355,安値!R355&lt;安値!T355),13,""))</f>
        <v/>
      </c>
      <c r="N355" s="503" t="str">
        <f>IF(終値!A355="","",IF(AND(安値!S355&lt;安値!R355,安値!S355&lt;安値!Q355,安値!S355&lt;安値!T355,安値!S355&lt;安値!U355),14,""))</f>
        <v/>
      </c>
      <c r="O355" s="503" t="str">
        <f>IF(終値!A355="","",IF(AND(安値!T355&lt;安値!S355,安値!T355&lt;安値!R355,安値!T355&lt;安値!U355,安値!T355&lt;安値!V355),15,""))</f>
        <v/>
      </c>
      <c r="P355" s="503" t="str">
        <f>IF(終値!A355="","",IF(AND(安値!U355&lt;安値!T355,安値!U355&lt;安値!S355,安値!U355&lt;安値!V355,安値!U355&lt;安値!W355),16,""))</f>
        <v/>
      </c>
      <c r="Q355" s="503" t="str">
        <f>IF(終値!A355="","",IF(AND(安値!V355&lt;安値!U355,安値!V355&lt;安値!T355,安値!V355&lt;安値!W355,安値!V355&lt;安値!X355),17,""))</f>
        <v/>
      </c>
      <c r="R355" s="503" t="str">
        <f>IF(終値!A355="","",IF(AND(安値!W355&lt;安値!V355,安値!W355&lt;安値!U355,安値!W355&lt;安値!X355,安値!W355&lt;安値!Y355),18,""))</f>
        <v/>
      </c>
      <c r="S355" s="503" t="str">
        <f>IF(終値!A355="","",IF(AND(安値!X355&lt;安値!W355,安値!X355&lt;安値!V355,安値!X355&lt;安値!Y355,安値!X355&lt;安値!Z355),19,""))</f>
        <v/>
      </c>
      <c r="T355" s="503" t="str">
        <f>IF(終値!A355="","",IF(AND(安値!Y355&lt;安値!X355,安値!Y355&lt;安値!W355,安値!Y355&lt;安値!Z355,安値!Y355&lt;安値!AA355),20,""))</f>
        <v/>
      </c>
      <c r="U355" s="503" t="str">
        <f>IF(終値!A355="","",IF(AND(安値!Z355&lt;安値!Y355,安値!Z355&lt;安値!X355,安値!Z355&lt;安値!AA355,安値!Z355&lt;安値!AB355),21,""))</f>
        <v/>
      </c>
      <c r="V355" s="503" t="str">
        <f>IF(終値!A355="","",IF(AND(安値!AA355&lt;安値!Z355,安値!AA355&lt;安値!Y355,安値!AA355&lt;安値!AB355,安値!AA355&lt;安値!AC355),22,""))</f>
        <v/>
      </c>
      <c r="W355" s="503" t="str">
        <f>IF(終値!A355="","",IF(AND(安値!AB355&lt;安値!AA355,安値!AB355&lt;安値!Z355,安値!AB355&lt;安値!AC355,安値!AB355&lt;安値!AD355),23,""))</f>
        <v/>
      </c>
      <c r="X355" s="503" t="str">
        <f>IF(終値!A355="","",IF(AND(安値!AC355&lt;安値!AB355,安値!AC355&lt;安値!AA355,安値!AC355&lt;安値!AD355,安値!AC355&lt;安値!AE355),24,""))</f>
        <v/>
      </c>
      <c r="Y355" s="503" t="str">
        <f>IF(終値!A355="","",IF(AND(安値!AD355&lt;安値!AC355,安値!AD355&lt;安値!AB355,安値!AD355&lt;安値!AE355,安値!AD355&lt;安値!AF355),25,""))</f>
        <v/>
      </c>
      <c r="Z355" s="503" t="str">
        <f>IF(終値!A355="","",IF(AND(安値!AE355&lt;安値!AD355,安値!AE355&lt;安値!AC355,安値!AE355&lt;安値!AF355,安値!AE355&lt;安値!AG355),26,""))</f>
        <v/>
      </c>
      <c r="AA355" s="503" t="str">
        <f>IF(終値!A355="","",IF(AND(安値!AF355&lt;安値!AE355,安値!AF355&lt;安値!AD355,安値!AF355&lt;安値!AG355,安値!AF355&lt;安値!AH355),27,""))</f>
        <v/>
      </c>
      <c r="AB355" s="503" t="str">
        <f>IF(終値!A355="","",IF(AND(安値!AG355&lt;安値!AF355,安値!AG355&lt;安値!AE355,安値!AG355&lt;安値!AH355,安値!AG355&lt;安値!AI355),28,""))</f>
        <v/>
      </c>
      <c r="AC355" s="503" t="str">
        <f>IF(終値!A355="","",IF(AND(高値!G355&gt;高値!F355,高値!G355&gt;高値!E355,高値!G355&gt;高値!H355,高値!G355&gt;高値!I355),2,""))</f>
        <v/>
      </c>
      <c r="AD355" s="503" t="str">
        <f>IF(終値!A355="","",IF(AND(高値!H355&gt;高値!G355,高値!H355&gt;高値!F355,高値!H355&gt;高値!I355,高値!H355&gt;高値!J355),3,""))</f>
        <v/>
      </c>
      <c r="AE355" s="503" t="str">
        <f>IF(終値!A355="","",IF(AND(高値!I355&gt;高値!H355,高値!I355&gt;高値!G355,高値!I355&gt;高値!J355,高値!I355&gt;高値!K355),4,""))</f>
        <v/>
      </c>
      <c r="AF355" s="503" t="str">
        <f>IF(終値!A355="","",IF(AND(高値!J355&gt;高値!I355,高値!J355&gt;高値!H355,高値!J355&gt;高値!K355,高値!J355&gt;高値!L355),5,""))</f>
        <v/>
      </c>
      <c r="AG355" s="503" t="str">
        <f>IF(終値!A355="","",IF(AND(高値!K355&gt;高値!J355,高値!K355&gt;高値!I355,高値!K355&gt;高値!L355,高値!K355&gt;高値!M355),6,""))</f>
        <v/>
      </c>
      <c r="AH355" s="503" t="str">
        <f>IF(終値!A355="","",IF(AND(高値!L355&gt;高値!K355,高値!L355&gt;高値!J355,高値!L355&gt;高値!M355,高値!L355&gt;高値!N355),7,""))</f>
        <v/>
      </c>
      <c r="AI355" s="503" t="str">
        <f>IF(終値!A355="","",IF(AND(高値!M355&gt;高値!L355,高値!M355&gt;高値!K355,高値!M355&gt;高値!N355,高値!M355&gt;高値!O355),8,""))</f>
        <v/>
      </c>
      <c r="AJ355" s="503" t="str">
        <f>IF(終値!A355="","",IF(AND(高値!N355&gt;高値!M355,高値!N355&gt;高値!L355,高値!N355&gt;高値!O355,高値!N355&gt;高値!P355),9,""))</f>
        <v/>
      </c>
      <c r="AK355" s="503" t="str">
        <f>IF(終値!A355="","",IF(AND(高値!O355&gt;高値!N355,高値!O355&gt;高値!M355,高値!O355&gt;高値!P355,高値!O355&gt;高値!Q355),10,""))</f>
        <v/>
      </c>
      <c r="AL355" s="503" t="str">
        <f>IF(終値!A355="","",IF(AND(高値!P355&gt;高値!O355,高値!P355&gt;高値!N355,高値!P355&gt;高値!Q355,高値!P355&gt;高値!R355),11,""))</f>
        <v/>
      </c>
      <c r="AM355" s="503" t="str">
        <f>IF(終値!A355="","",IF(AND(高値!Q355&gt;高値!P355,高値!Q355&gt;高値!O355,高値!Q355&gt;高値!R355,高値!Q355&gt;高値!S355),12,""))</f>
        <v/>
      </c>
      <c r="AN355" s="503" t="str">
        <f>IF(終値!A355="","",IF(AND(高値!R355&gt;高値!Q355,高値!R355&gt;高値!P355,高値!R355&gt;高値!S355,高値!R355&gt;高値!T355),13,""))</f>
        <v/>
      </c>
      <c r="AO355" s="503" t="str">
        <f>IF(終値!A355="","",IF(AND(高値!S355&gt;高値!R355,高値!S355&gt;高値!Q355,高値!S355&gt;高値!T355,高値!S355&gt;高値!U355),14,""))</f>
        <v/>
      </c>
      <c r="AP355" s="503" t="str">
        <f>IF(終値!A355="","",IF(AND(高値!T355&gt;高値!S355,高値!T355&gt;高値!R355,高値!T355&gt;高値!U355,高値!T355&gt;高値!V355),15,""))</f>
        <v/>
      </c>
      <c r="AQ355" s="503" t="str">
        <f>IF(終値!A355="","",IF(AND(高値!U355&gt;高値!T355,高値!U355&gt;高値!S355,高値!U355&gt;高値!V355,高値!U355&gt;高値!W355),16,""))</f>
        <v/>
      </c>
      <c r="AR355" s="503" t="str">
        <f>IF(終値!A355="","",IF(AND(高値!V355&gt;高値!U355,高値!V355&gt;高値!T355,高値!V355&gt;高値!W355,高値!V355&gt;高値!X355),17,""))</f>
        <v/>
      </c>
      <c r="AS355" s="503" t="str">
        <f>IF(終値!A355="","",IF(AND(高値!W355&gt;高値!V355,高値!W355&gt;高値!U355,高値!W355&gt;高値!X355,高値!W355&gt;高値!Y355),18,""))</f>
        <v/>
      </c>
      <c r="AT355" s="503" t="str">
        <f>IF(終値!A355="","",IF(AND(高値!X355&gt;高値!W355,高値!X355&gt;高値!V355,高値!X355&gt;高値!Y355,高値!X355&gt;高値!Z355),19,""))</f>
        <v/>
      </c>
      <c r="AU355" s="503" t="str">
        <f>IF(終値!A355="","",IF(AND(高値!Y355&gt;高値!X355,高値!Y355&gt;高値!W355,高値!Y355&gt;高値!Z355,高値!Y355&gt;高値!AA355),20,""))</f>
        <v/>
      </c>
      <c r="AV355" s="503" t="str">
        <f>IF(終値!A355="","",IF(AND(高値!Z355&gt;高値!Y355,高値!Z355&gt;高値!X355,高値!Z355&gt;高値!AA355,高値!Z355&gt;高値!AB355),21,""))</f>
        <v/>
      </c>
      <c r="AW355" s="503" t="str">
        <f>IF(終値!A355="","",IF(AND(高値!AA355&gt;高値!Z355,高値!AA355&gt;高値!Y355,高値!AA355&gt;高値!AB355,高値!AA355&gt;高値!AC355),22,""))</f>
        <v/>
      </c>
      <c r="AX355" s="503" t="str">
        <f>IF(終値!A355="","",IF(AND(高値!AB355&gt;高値!AA355,高値!AB355&gt;高値!Z355,高値!AB355&gt;高値!AC355,高値!AB355&gt;高値!AD355),23,""))</f>
        <v/>
      </c>
      <c r="AY355" s="503" t="str">
        <f>IF(終値!A355="","",IF(AND(高値!AC355&gt;高値!AB355,高値!AC355&gt;高値!AA355,高値!AC355&gt;高値!AD355,高値!AC355&gt;高値!AE355),24,""))</f>
        <v/>
      </c>
      <c r="AZ355" s="503" t="str">
        <f>IF(終値!A355="","",IF(AND(高値!AD355&gt;高値!AC355,高値!AD355&gt;高値!AB355,高値!AD355&gt;高値!AE355,高値!AD355&gt;高値!AF355),25,""))</f>
        <v/>
      </c>
      <c r="BA355" s="503" t="str">
        <f>IF(終値!A355="","",IF(AND(高値!AE355&gt;高値!AD355,高値!AE355&gt;高値!AC355,高値!AE355&gt;高値!AF355,高値!AE355&gt;高値!AG355),26,""))</f>
        <v/>
      </c>
      <c r="BB355" s="503" t="str">
        <f>IF(終値!A355="","",IF(AND(高値!AF355&gt;高値!AE355,高値!AF355&gt;高値!AD355,高値!AF355&gt;高値!AG355,高値!AF355&gt;高値!AH355),27,""))</f>
        <v/>
      </c>
      <c r="BC355" s="503" t="str">
        <f>IF(終値!A355="","",IF(AND(高値!AG355&gt;高値!AF355,高値!AG355&gt;高値!AE355,高値!AG355&gt;高値!AH355,高値!AG355&gt;高値!AI355),28,""))</f>
        <v/>
      </c>
      <c r="BD355" s="503">
        <f t="shared" si="30"/>
        <v>0</v>
      </c>
      <c r="BE355" s="503" t="str">
        <f t="shared" si="31"/>
        <v/>
      </c>
      <c r="BF355" s="503" t="str">
        <f t="shared" si="32"/>
        <v/>
      </c>
      <c r="BG355" s="503" t="str">
        <f>IF($BE355="","",INDEX(安値!$E355:$CZ355,1,$BE355+1))</f>
        <v/>
      </c>
      <c r="BH355" s="503" t="str">
        <f>IF($BF355="","",INDEX(安値!$E355:$CZ355,1,$BF355+1))</f>
        <v/>
      </c>
      <c r="BI355" s="503" t="str">
        <f>IF($BF355="","",MAX(INDEX(高値!$E355:$CZ355,1,$BE355+1):INDEX(高値!$E355:$CZ355,1,$BF355+1)))</f>
        <v/>
      </c>
      <c r="BJ355" s="503" t="str">
        <f>IF($BF355="","",AVERAGE(INDEX(終値!$E355:$CZ355,1,$BF355+1):INDEX(終値!$E355:$CZ355,1,$BF355+20))-2*STDEVP(INDEX(終値!$E355:$CZ355,1,$BF355+1):INDEX(終値!$E355:$CZ355,1,$BF355+20)))</f>
        <v/>
      </c>
      <c r="BK355" s="503" t="str">
        <f>IF($BE355="","",AVERAGE(INDEX(終値!$E355:$CZ355,1,$BE355+1):INDEX(終値!$E355:$CZ355,1,$BE355+20))-2*STDEVP(INDEX(終値!$E355:$CZ355,1,$BE355+1):INDEX(終値!$E355:$CZ355,1,$BE355+20)))</f>
        <v/>
      </c>
      <c r="BL355" s="503">
        <f t="shared" si="33"/>
        <v>0</v>
      </c>
      <c r="BM355" s="503" t="str">
        <f t="shared" si="34"/>
        <v/>
      </c>
      <c r="BN355" s="503" t="str">
        <f t="shared" si="35"/>
        <v/>
      </c>
      <c r="BO355" s="503" t="str">
        <f>IF($BM355="","",INDEX(高値!$E355:$CZ355,1,$BM355+1))</f>
        <v/>
      </c>
      <c r="BP355" s="503" t="str">
        <f>IF($BN355="","",INDEX(高値!$E355:$CZ355,1,$BN355+1))</f>
        <v/>
      </c>
      <c r="BQ355" s="503" t="str">
        <f>IF($BN355="","",MIN(INDEX(安値!$E355:$CZ355,1,$BM355+1):INDEX(安値!$E355:$CZ355,1,$BN355+1)))</f>
        <v/>
      </c>
      <c r="BR355" s="503" t="str">
        <f>IF($BN355="","",AVERAGE(INDEX(終値!$E355:$CZ355,1,$BN355+1):INDEX(終値!$E355:$CZ355,1,$BN355+20))+2*STDEVP(INDEX(終値!$E355:$CZ355,1,$BN355+1):INDEX(終値!$E355:$CZ355,1,$BN355+20)))</f>
        <v/>
      </c>
      <c r="BS355" s="503" t="str">
        <f>IF($BM355="","",AVERAGE(INDEX(終値!$E355:$CZ355,1,$BM355+1):INDEX(終値!$E355:$CZ355,1,$BM355+20))+2*STDEVP(INDEX(終値!$E355:$CZ355,1,$BM355+1):INDEX(終値!$E355:$CZ355,1,$BM355+20)))</f>
        <v/>
      </c>
      <c r="BT355" s="500"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3" t="str">
        <f>IF(終値!A356="","",IF(AND(安値!G356&lt;安値!F356,安値!G356&lt;安値!E356,安値!G356&lt;安値!H356,安値!G356&lt;安値!I356),2,""))</f>
        <v/>
      </c>
      <c r="C356" s="503" t="str">
        <f>IF(終値!A356="","",IF(AND(安値!H356&lt;安値!G356,安値!H356&lt;安値!F356,安値!H356&lt;安値!I356,安値!H356&lt;安値!J356),3,""))</f>
        <v/>
      </c>
      <c r="D356" s="503" t="str">
        <f>IF(終値!A356="","",IF(AND(安値!I356&lt;安値!H356,安値!I356&lt;安値!G356,安値!I356&lt;安値!J356,安値!I356&lt;安値!K356),4,""))</f>
        <v/>
      </c>
      <c r="E356" s="503" t="str">
        <f>IF(終値!A356="","",IF(AND(安値!J356&lt;安値!I356,安値!J356&lt;安値!H356,安値!J356&lt;安値!K356,安値!J356&lt;安値!L356),5,""))</f>
        <v/>
      </c>
      <c r="F356" s="503" t="str">
        <f>IF(終値!A356="","",IF(AND(安値!K356&lt;安値!J356,安値!K356&lt;安値!I356,安値!K356&lt;安値!L356,安値!K356&lt;安値!M356),6,""))</f>
        <v/>
      </c>
      <c r="G356" s="503" t="str">
        <f>IF(終値!A356="","",IF(AND(安値!L356&lt;安値!K356,安値!L356&lt;安値!J356,安値!L356&lt;安値!M356,安値!L356&lt;安値!N356),7,""))</f>
        <v/>
      </c>
      <c r="H356" s="503" t="str">
        <f>IF(終値!A356="","",IF(AND(安値!M356&lt;安値!L356,安値!M356&lt;安値!K356,安値!M356&lt;安値!N356,安値!M356&lt;安値!O356),8,""))</f>
        <v/>
      </c>
      <c r="I356" s="503" t="str">
        <f>IF(終値!A356="","",IF(AND(安値!N356&lt;安値!M356,安値!N356&lt;安値!L356,安値!N356&lt;安値!O356,安値!N356&lt;安値!P356),9,""))</f>
        <v/>
      </c>
      <c r="J356" s="503" t="str">
        <f>IF(終値!A356="","",IF(AND(安値!O356&lt;安値!N356,安値!O356&lt;安値!M356,安値!O356&lt;安値!P356,安値!O356&lt;安値!Q356),10,""))</f>
        <v/>
      </c>
      <c r="K356" s="503" t="str">
        <f>IF(終値!A356="","",IF(AND(安値!P356&lt;安値!O356,安値!P356&lt;安値!N356,安値!P356&lt;安値!Q356,安値!P356&lt;安値!R356),11,""))</f>
        <v/>
      </c>
      <c r="L356" s="503" t="str">
        <f>IF(終値!A356="","",IF(AND(安値!Q356&lt;安値!P356,安値!Q356&lt;安値!O356,安値!Q356&lt;安値!R356,安値!Q356&lt;安値!S356),12,""))</f>
        <v/>
      </c>
      <c r="M356" s="503" t="str">
        <f>IF(終値!A356="","",IF(AND(安値!R356&lt;安値!Q356,安値!R356&lt;安値!P356,安値!R356&lt;安値!S356,安値!R356&lt;安値!T356),13,""))</f>
        <v/>
      </c>
      <c r="N356" s="503" t="str">
        <f>IF(終値!A356="","",IF(AND(安値!S356&lt;安値!R356,安値!S356&lt;安値!Q356,安値!S356&lt;安値!T356,安値!S356&lt;安値!U356),14,""))</f>
        <v/>
      </c>
      <c r="O356" s="503" t="str">
        <f>IF(終値!A356="","",IF(AND(安値!T356&lt;安値!S356,安値!T356&lt;安値!R356,安値!T356&lt;安値!U356,安値!T356&lt;安値!V356),15,""))</f>
        <v/>
      </c>
      <c r="P356" s="503" t="str">
        <f>IF(終値!A356="","",IF(AND(安値!U356&lt;安値!T356,安値!U356&lt;安値!S356,安値!U356&lt;安値!V356,安値!U356&lt;安値!W356),16,""))</f>
        <v/>
      </c>
      <c r="Q356" s="503" t="str">
        <f>IF(終値!A356="","",IF(AND(安値!V356&lt;安値!U356,安値!V356&lt;安値!T356,安値!V356&lt;安値!W356,安値!V356&lt;安値!X356),17,""))</f>
        <v/>
      </c>
      <c r="R356" s="503" t="str">
        <f>IF(終値!A356="","",IF(AND(安値!W356&lt;安値!V356,安値!W356&lt;安値!U356,安値!W356&lt;安値!X356,安値!W356&lt;安値!Y356),18,""))</f>
        <v/>
      </c>
      <c r="S356" s="503" t="str">
        <f>IF(終値!A356="","",IF(AND(安値!X356&lt;安値!W356,安値!X356&lt;安値!V356,安値!X356&lt;安値!Y356,安値!X356&lt;安値!Z356),19,""))</f>
        <v/>
      </c>
      <c r="T356" s="503" t="str">
        <f>IF(終値!A356="","",IF(AND(安値!Y356&lt;安値!X356,安値!Y356&lt;安値!W356,安値!Y356&lt;安値!Z356,安値!Y356&lt;安値!AA356),20,""))</f>
        <v/>
      </c>
      <c r="U356" s="503" t="str">
        <f>IF(終値!A356="","",IF(AND(安値!Z356&lt;安値!Y356,安値!Z356&lt;安値!X356,安値!Z356&lt;安値!AA356,安値!Z356&lt;安値!AB356),21,""))</f>
        <v/>
      </c>
      <c r="V356" s="503" t="str">
        <f>IF(終値!A356="","",IF(AND(安値!AA356&lt;安値!Z356,安値!AA356&lt;安値!Y356,安値!AA356&lt;安値!AB356,安値!AA356&lt;安値!AC356),22,""))</f>
        <v/>
      </c>
      <c r="W356" s="503" t="str">
        <f>IF(終値!A356="","",IF(AND(安値!AB356&lt;安値!AA356,安値!AB356&lt;安値!Z356,安値!AB356&lt;安値!AC356,安値!AB356&lt;安値!AD356),23,""))</f>
        <v/>
      </c>
      <c r="X356" s="503" t="str">
        <f>IF(終値!A356="","",IF(AND(安値!AC356&lt;安値!AB356,安値!AC356&lt;安値!AA356,安値!AC356&lt;安値!AD356,安値!AC356&lt;安値!AE356),24,""))</f>
        <v/>
      </c>
      <c r="Y356" s="503" t="str">
        <f>IF(終値!A356="","",IF(AND(安値!AD356&lt;安値!AC356,安値!AD356&lt;安値!AB356,安値!AD356&lt;安値!AE356,安値!AD356&lt;安値!AF356),25,""))</f>
        <v/>
      </c>
      <c r="Z356" s="503" t="str">
        <f>IF(終値!A356="","",IF(AND(安値!AE356&lt;安値!AD356,安値!AE356&lt;安値!AC356,安値!AE356&lt;安値!AF356,安値!AE356&lt;安値!AG356),26,""))</f>
        <v/>
      </c>
      <c r="AA356" s="503" t="str">
        <f>IF(終値!A356="","",IF(AND(安値!AF356&lt;安値!AE356,安値!AF356&lt;安値!AD356,安値!AF356&lt;安値!AG356,安値!AF356&lt;安値!AH356),27,""))</f>
        <v/>
      </c>
      <c r="AB356" s="503" t="str">
        <f>IF(終値!A356="","",IF(AND(安値!AG356&lt;安値!AF356,安値!AG356&lt;安値!AE356,安値!AG356&lt;安値!AH356,安値!AG356&lt;安値!AI356),28,""))</f>
        <v/>
      </c>
      <c r="AC356" s="503" t="str">
        <f>IF(終値!A356="","",IF(AND(高値!G356&gt;高値!F356,高値!G356&gt;高値!E356,高値!G356&gt;高値!H356,高値!G356&gt;高値!I356),2,""))</f>
        <v/>
      </c>
      <c r="AD356" s="503" t="str">
        <f>IF(終値!A356="","",IF(AND(高値!H356&gt;高値!G356,高値!H356&gt;高値!F356,高値!H356&gt;高値!I356,高値!H356&gt;高値!J356),3,""))</f>
        <v/>
      </c>
      <c r="AE356" s="503" t="str">
        <f>IF(終値!A356="","",IF(AND(高値!I356&gt;高値!H356,高値!I356&gt;高値!G356,高値!I356&gt;高値!J356,高値!I356&gt;高値!K356),4,""))</f>
        <v/>
      </c>
      <c r="AF356" s="503" t="str">
        <f>IF(終値!A356="","",IF(AND(高値!J356&gt;高値!I356,高値!J356&gt;高値!H356,高値!J356&gt;高値!K356,高値!J356&gt;高値!L356),5,""))</f>
        <v/>
      </c>
      <c r="AG356" s="503" t="str">
        <f>IF(終値!A356="","",IF(AND(高値!K356&gt;高値!J356,高値!K356&gt;高値!I356,高値!K356&gt;高値!L356,高値!K356&gt;高値!M356),6,""))</f>
        <v/>
      </c>
      <c r="AH356" s="503" t="str">
        <f>IF(終値!A356="","",IF(AND(高値!L356&gt;高値!K356,高値!L356&gt;高値!J356,高値!L356&gt;高値!M356,高値!L356&gt;高値!N356),7,""))</f>
        <v/>
      </c>
      <c r="AI356" s="503" t="str">
        <f>IF(終値!A356="","",IF(AND(高値!M356&gt;高値!L356,高値!M356&gt;高値!K356,高値!M356&gt;高値!N356,高値!M356&gt;高値!O356),8,""))</f>
        <v/>
      </c>
      <c r="AJ356" s="503" t="str">
        <f>IF(終値!A356="","",IF(AND(高値!N356&gt;高値!M356,高値!N356&gt;高値!L356,高値!N356&gt;高値!O356,高値!N356&gt;高値!P356),9,""))</f>
        <v/>
      </c>
      <c r="AK356" s="503" t="str">
        <f>IF(終値!A356="","",IF(AND(高値!O356&gt;高値!N356,高値!O356&gt;高値!M356,高値!O356&gt;高値!P356,高値!O356&gt;高値!Q356),10,""))</f>
        <v/>
      </c>
      <c r="AL356" s="503" t="str">
        <f>IF(終値!A356="","",IF(AND(高値!P356&gt;高値!O356,高値!P356&gt;高値!N356,高値!P356&gt;高値!Q356,高値!P356&gt;高値!R356),11,""))</f>
        <v/>
      </c>
      <c r="AM356" s="503" t="str">
        <f>IF(終値!A356="","",IF(AND(高値!Q356&gt;高値!P356,高値!Q356&gt;高値!O356,高値!Q356&gt;高値!R356,高値!Q356&gt;高値!S356),12,""))</f>
        <v/>
      </c>
      <c r="AN356" s="503" t="str">
        <f>IF(終値!A356="","",IF(AND(高値!R356&gt;高値!Q356,高値!R356&gt;高値!P356,高値!R356&gt;高値!S356,高値!R356&gt;高値!T356),13,""))</f>
        <v/>
      </c>
      <c r="AO356" s="503" t="str">
        <f>IF(終値!A356="","",IF(AND(高値!S356&gt;高値!R356,高値!S356&gt;高値!Q356,高値!S356&gt;高値!T356,高値!S356&gt;高値!U356),14,""))</f>
        <v/>
      </c>
      <c r="AP356" s="503" t="str">
        <f>IF(終値!A356="","",IF(AND(高値!T356&gt;高値!S356,高値!T356&gt;高値!R356,高値!T356&gt;高値!U356,高値!T356&gt;高値!V356),15,""))</f>
        <v/>
      </c>
      <c r="AQ356" s="503" t="str">
        <f>IF(終値!A356="","",IF(AND(高値!U356&gt;高値!T356,高値!U356&gt;高値!S356,高値!U356&gt;高値!V356,高値!U356&gt;高値!W356),16,""))</f>
        <v/>
      </c>
      <c r="AR356" s="503" t="str">
        <f>IF(終値!A356="","",IF(AND(高値!V356&gt;高値!U356,高値!V356&gt;高値!T356,高値!V356&gt;高値!W356,高値!V356&gt;高値!X356),17,""))</f>
        <v/>
      </c>
      <c r="AS356" s="503" t="str">
        <f>IF(終値!A356="","",IF(AND(高値!W356&gt;高値!V356,高値!W356&gt;高値!U356,高値!W356&gt;高値!X356,高値!W356&gt;高値!Y356),18,""))</f>
        <v/>
      </c>
      <c r="AT356" s="503" t="str">
        <f>IF(終値!A356="","",IF(AND(高値!X356&gt;高値!W356,高値!X356&gt;高値!V356,高値!X356&gt;高値!Y356,高値!X356&gt;高値!Z356),19,""))</f>
        <v/>
      </c>
      <c r="AU356" s="503" t="str">
        <f>IF(終値!A356="","",IF(AND(高値!Y356&gt;高値!X356,高値!Y356&gt;高値!W356,高値!Y356&gt;高値!Z356,高値!Y356&gt;高値!AA356),20,""))</f>
        <v/>
      </c>
      <c r="AV356" s="503" t="str">
        <f>IF(終値!A356="","",IF(AND(高値!Z356&gt;高値!Y356,高値!Z356&gt;高値!X356,高値!Z356&gt;高値!AA356,高値!Z356&gt;高値!AB356),21,""))</f>
        <v/>
      </c>
      <c r="AW356" s="503" t="str">
        <f>IF(終値!A356="","",IF(AND(高値!AA356&gt;高値!Z356,高値!AA356&gt;高値!Y356,高値!AA356&gt;高値!AB356,高値!AA356&gt;高値!AC356),22,""))</f>
        <v/>
      </c>
      <c r="AX356" s="503" t="str">
        <f>IF(終値!A356="","",IF(AND(高値!AB356&gt;高値!AA356,高値!AB356&gt;高値!Z356,高値!AB356&gt;高値!AC356,高値!AB356&gt;高値!AD356),23,""))</f>
        <v/>
      </c>
      <c r="AY356" s="503" t="str">
        <f>IF(終値!A356="","",IF(AND(高値!AC356&gt;高値!AB356,高値!AC356&gt;高値!AA356,高値!AC356&gt;高値!AD356,高値!AC356&gt;高値!AE356),24,""))</f>
        <v/>
      </c>
      <c r="AZ356" s="503" t="str">
        <f>IF(終値!A356="","",IF(AND(高値!AD356&gt;高値!AC356,高値!AD356&gt;高値!AB356,高値!AD356&gt;高値!AE356,高値!AD356&gt;高値!AF356),25,""))</f>
        <v/>
      </c>
      <c r="BA356" s="503" t="str">
        <f>IF(終値!A356="","",IF(AND(高値!AE356&gt;高値!AD356,高値!AE356&gt;高値!AC356,高値!AE356&gt;高値!AF356,高値!AE356&gt;高値!AG356),26,""))</f>
        <v/>
      </c>
      <c r="BB356" s="503" t="str">
        <f>IF(終値!A356="","",IF(AND(高値!AF356&gt;高値!AE356,高値!AF356&gt;高値!AD356,高値!AF356&gt;高値!AG356,高値!AF356&gt;高値!AH356),27,""))</f>
        <v/>
      </c>
      <c r="BC356" s="503" t="str">
        <f>IF(終値!A356="","",IF(AND(高値!AG356&gt;高値!AF356,高値!AG356&gt;高値!AE356,高値!AG356&gt;高値!AH356,高値!AG356&gt;高値!AI356),28,""))</f>
        <v/>
      </c>
      <c r="BD356" s="503">
        <f t="shared" si="30"/>
        <v>0</v>
      </c>
      <c r="BE356" s="503" t="str">
        <f t="shared" si="31"/>
        <v/>
      </c>
      <c r="BF356" s="503" t="str">
        <f t="shared" si="32"/>
        <v/>
      </c>
      <c r="BG356" s="503" t="str">
        <f>IF($BE356="","",INDEX(安値!$E356:$CZ356,1,$BE356+1))</f>
        <v/>
      </c>
      <c r="BH356" s="503" t="str">
        <f>IF($BF356="","",INDEX(安値!$E356:$CZ356,1,$BF356+1))</f>
        <v/>
      </c>
      <c r="BI356" s="503" t="str">
        <f>IF($BF356="","",MAX(INDEX(高値!$E356:$CZ356,1,$BE356+1):INDEX(高値!$E356:$CZ356,1,$BF356+1)))</f>
        <v/>
      </c>
      <c r="BJ356" s="503" t="str">
        <f>IF($BF356="","",AVERAGE(INDEX(終値!$E356:$CZ356,1,$BF356+1):INDEX(終値!$E356:$CZ356,1,$BF356+20))-2*STDEVP(INDEX(終値!$E356:$CZ356,1,$BF356+1):INDEX(終値!$E356:$CZ356,1,$BF356+20)))</f>
        <v/>
      </c>
      <c r="BK356" s="503" t="str">
        <f>IF($BE356="","",AVERAGE(INDEX(終値!$E356:$CZ356,1,$BE356+1):INDEX(終値!$E356:$CZ356,1,$BE356+20))-2*STDEVP(INDEX(終値!$E356:$CZ356,1,$BE356+1):INDEX(終値!$E356:$CZ356,1,$BE356+20)))</f>
        <v/>
      </c>
      <c r="BL356" s="503">
        <f t="shared" si="33"/>
        <v>0</v>
      </c>
      <c r="BM356" s="503" t="str">
        <f t="shared" si="34"/>
        <v/>
      </c>
      <c r="BN356" s="503" t="str">
        <f t="shared" si="35"/>
        <v/>
      </c>
      <c r="BO356" s="503" t="str">
        <f>IF($BM356="","",INDEX(高値!$E356:$CZ356,1,$BM356+1))</f>
        <v/>
      </c>
      <c r="BP356" s="503" t="str">
        <f>IF($BN356="","",INDEX(高値!$E356:$CZ356,1,$BN356+1))</f>
        <v/>
      </c>
      <c r="BQ356" s="503" t="str">
        <f>IF($BN356="","",MIN(INDEX(安値!$E356:$CZ356,1,$BM356+1):INDEX(安値!$E356:$CZ356,1,$BN356+1)))</f>
        <v/>
      </c>
      <c r="BR356" s="503" t="str">
        <f>IF($BN356="","",AVERAGE(INDEX(終値!$E356:$CZ356,1,$BN356+1):INDEX(終値!$E356:$CZ356,1,$BN356+20))+2*STDEVP(INDEX(終値!$E356:$CZ356,1,$BN356+1):INDEX(終値!$E356:$CZ356,1,$BN356+20)))</f>
        <v/>
      </c>
      <c r="BS356" s="503" t="str">
        <f>IF($BM356="","",AVERAGE(INDEX(終値!$E356:$CZ356,1,$BM356+1):INDEX(終値!$E356:$CZ356,1,$BM356+20))+2*STDEVP(INDEX(終値!$E356:$CZ356,1,$BM356+1):INDEX(終値!$E356:$CZ356,1,$BM356+20)))</f>
        <v/>
      </c>
      <c r="BT356" s="500"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3" t="str">
        <f>IF(終値!A357="","",IF(AND(安値!G357&lt;安値!F357,安値!G357&lt;安値!E357,安値!G357&lt;安値!H357,安値!G357&lt;安値!I357),2,""))</f>
        <v/>
      </c>
      <c r="C357" s="503" t="str">
        <f>IF(終値!A357="","",IF(AND(安値!H357&lt;安値!G357,安値!H357&lt;安値!F357,安値!H357&lt;安値!I357,安値!H357&lt;安値!J357),3,""))</f>
        <v/>
      </c>
      <c r="D357" s="503" t="str">
        <f>IF(終値!A357="","",IF(AND(安値!I357&lt;安値!H357,安値!I357&lt;安値!G357,安値!I357&lt;安値!J357,安値!I357&lt;安値!K357),4,""))</f>
        <v/>
      </c>
      <c r="E357" s="503" t="str">
        <f>IF(終値!A357="","",IF(AND(安値!J357&lt;安値!I357,安値!J357&lt;安値!H357,安値!J357&lt;安値!K357,安値!J357&lt;安値!L357),5,""))</f>
        <v/>
      </c>
      <c r="F357" s="503" t="str">
        <f>IF(終値!A357="","",IF(AND(安値!K357&lt;安値!J357,安値!K357&lt;安値!I357,安値!K357&lt;安値!L357,安値!K357&lt;安値!M357),6,""))</f>
        <v/>
      </c>
      <c r="G357" s="503" t="str">
        <f>IF(終値!A357="","",IF(AND(安値!L357&lt;安値!K357,安値!L357&lt;安値!J357,安値!L357&lt;安値!M357,安値!L357&lt;安値!N357),7,""))</f>
        <v/>
      </c>
      <c r="H357" s="503" t="str">
        <f>IF(終値!A357="","",IF(AND(安値!M357&lt;安値!L357,安値!M357&lt;安値!K357,安値!M357&lt;安値!N357,安値!M357&lt;安値!O357),8,""))</f>
        <v/>
      </c>
      <c r="I357" s="503" t="str">
        <f>IF(終値!A357="","",IF(AND(安値!N357&lt;安値!M357,安値!N357&lt;安値!L357,安値!N357&lt;安値!O357,安値!N357&lt;安値!P357),9,""))</f>
        <v/>
      </c>
      <c r="J357" s="503" t="str">
        <f>IF(終値!A357="","",IF(AND(安値!O357&lt;安値!N357,安値!O357&lt;安値!M357,安値!O357&lt;安値!P357,安値!O357&lt;安値!Q357),10,""))</f>
        <v/>
      </c>
      <c r="K357" s="503" t="str">
        <f>IF(終値!A357="","",IF(AND(安値!P357&lt;安値!O357,安値!P357&lt;安値!N357,安値!P357&lt;安値!Q357,安値!P357&lt;安値!R357),11,""))</f>
        <v/>
      </c>
      <c r="L357" s="503" t="str">
        <f>IF(終値!A357="","",IF(AND(安値!Q357&lt;安値!P357,安値!Q357&lt;安値!O357,安値!Q357&lt;安値!R357,安値!Q357&lt;安値!S357),12,""))</f>
        <v/>
      </c>
      <c r="M357" s="503" t="str">
        <f>IF(終値!A357="","",IF(AND(安値!R357&lt;安値!Q357,安値!R357&lt;安値!P357,安値!R357&lt;安値!S357,安値!R357&lt;安値!T357),13,""))</f>
        <v/>
      </c>
      <c r="N357" s="503" t="str">
        <f>IF(終値!A357="","",IF(AND(安値!S357&lt;安値!R357,安値!S357&lt;安値!Q357,安値!S357&lt;安値!T357,安値!S357&lt;安値!U357),14,""))</f>
        <v/>
      </c>
      <c r="O357" s="503" t="str">
        <f>IF(終値!A357="","",IF(AND(安値!T357&lt;安値!S357,安値!T357&lt;安値!R357,安値!T357&lt;安値!U357,安値!T357&lt;安値!V357),15,""))</f>
        <v/>
      </c>
      <c r="P357" s="503" t="str">
        <f>IF(終値!A357="","",IF(AND(安値!U357&lt;安値!T357,安値!U357&lt;安値!S357,安値!U357&lt;安値!V357,安値!U357&lt;安値!W357),16,""))</f>
        <v/>
      </c>
      <c r="Q357" s="503" t="str">
        <f>IF(終値!A357="","",IF(AND(安値!V357&lt;安値!U357,安値!V357&lt;安値!T357,安値!V357&lt;安値!W357,安値!V357&lt;安値!X357),17,""))</f>
        <v/>
      </c>
      <c r="R357" s="503" t="str">
        <f>IF(終値!A357="","",IF(AND(安値!W357&lt;安値!V357,安値!W357&lt;安値!U357,安値!W357&lt;安値!X357,安値!W357&lt;安値!Y357),18,""))</f>
        <v/>
      </c>
      <c r="S357" s="503" t="str">
        <f>IF(終値!A357="","",IF(AND(安値!X357&lt;安値!W357,安値!X357&lt;安値!V357,安値!X357&lt;安値!Y357,安値!X357&lt;安値!Z357),19,""))</f>
        <v/>
      </c>
      <c r="T357" s="503" t="str">
        <f>IF(終値!A357="","",IF(AND(安値!Y357&lt;安値!X357,安値!Y357&lt;安値!W357,安値!Y357&lt;安値!Z357,安値!Y357&lt;安値!AA357),20,""))</f>
        <v/>
      </c>
      <c r="U357" s="503" t="str">
        <f>IF(終値!A357="","",IF(AND(安値!Z357&lt;安値!Y357,安値!Z357&lt;安値!X357,安値!Z357&lt;安値!AA357,安値!Z357&lt;安値!AB357),21,""))</f>
        <v/>
      </c>
      <c r="V357" s="503" t="str">
        <f>IF(終値!A357="","",IF(AND(安値!AA357&lt;安値!Z357,安値!AA357&lt;安値!Y357,安値!AA357&lt;安値!AB357,安値!AA357&lt;安値!AC357),22,""))</f>
        <v/>
      </c>
      <c r="W357" s="503" t="str">
        <f>IF(終値!A357="","",IF(AND(安値!AB357&lt;安値!AA357,安値!AB357&lt;安値!Z357,安値!AB357&lt;安値!AC357,安値!AB357&lt;安値!AD357),23,""))</f>
        <v/>
      </c>
      <c r="X357" s="503" t="str">
        <f>IF(終値!A357="","",IF(AND(安値!AC357&lt;安値!AB357,安値!AC357&lt;安値!AA357,安値!AC357&lt;安値!AD357,安値!AC357&lt;安値!AE357),24,""))</f>
        <v/>
      </c>
      <c r="Y357" s="503" t="str">
        <f>IF(終値!A357="","",IF(AND(安値!AD357&lt;安値!AC357,安値!AD357&lt;安値!AB357,安値!AD357&lt;安値!AE357,安値!AD357&lt;安値!AF357),25,""))</f>
        <v/>
      </c>
      <c r="Z357" s="503" t="str">
        <f>IF(終値!A357="","",IF(AND(安値!AE357&lt;安値!AD357,安値!AE357&lt;安値!AC357,安値!AE357&lt;安値!AF357,安値!AE357&lt;安値!AG357),26,""))</f>
        <v/>
      </c>
      <c r="AA357" s="503" t="str">
        <f>IF(終値!A357="","",IF(AND(安値!AF357&lt;安値!AE357,安値!AF357&lt;安値!AD357,安値!AF357&lt;安値!AG357,安値!AF357&lt;安値!AH357),27,""))</f>
        <v/>
      </c>
      <c r="AB357" s="503" t="str">
        <f>IF(終値!A357="","",IF(AND(安値!AG357&lt;安値!AF357,安値!AG357&lt;安値!AE357,安値!AG357&lt;安値!AH357,安値!AG357&lt;安値!AI357),28,""))</f>
        <v/>
      </c>
      <c r="AC357" s="503" t="str">
        <f>IF(終値!A357="","",IF(AND(高値!G357&gt;高値!F357,高値!G357&gt;高値!E357,高値!G357&gt;高値!H357,高値!G357&gt;高値!I357),2,""))</f>
        <v/>
      </c>
      <c r="AD357" s="503" t="str">
        <f>IF(終値!A357="","",IF(AND(高値!H357&gt;高値!G357,高値!H357&gt;高値!F357,高値!H357&gt;高値!I357,高値!H357&gt;高値!J357),3,""))</f>
        <v/>
      </c>
      <c r="AE357" s="503" t="str">
        <f>IF(終値!A357="","",IF(AND(高値!I357&gt;高値!H357,高値!I357&gt;高値!G357,高値!I357&gt;高値!J357,高値!I357&gt;高値!K357),4,""))</f>
        <v/>
      </c>
      <c r="AF357" s="503" t="str">
        <f>IF(終値!A357="","",IF(AND(高値!J357&gt;高値!I357,高値!J357&gt;高値!H357,高値!J357&gt;高値!K357,高値!J357&gt;高値!L357),5,""))</f>
        <v/>
      </c>
      <c r="AG357" s="503" t="str">
        <f>IF(終値!A357="","",IF(AND(高値!K357&gt;高値!J357,高値!K357&gt;高値!I357,高値!K357&gt;高値!L357,高値!K357&gt;高値!M357),6,""))</f>
        <v/>
      </c>
      <c r="AH357" s="503" t="str">
        <f>IF(終値!A357="","",IF(AND(高値!L357&gt;高値!K357,高値!L357&gt;高値!J357,高値!L357&gt;高値!M357,高値!L357&gt;高値!N357),7,""))</f>
        <v/>
      </c>
      <c r="AI357" s="503" t="str">
        <f>IF(終値!A357="","",IF(AND(高値!M357&gt;高値!L357,高値!M357&gt;高値!K357,高値!M357&gt;高値!N357,高値!M357&gt;高値!O357),8,""))</f>
        <v/>
      </c>
      <c r="AJ357" s="503" t="str">
        <f>IF(終値!A357="","",IF(AND(高値!N357&gt;高値!M357,高値!N357&gt;高値!L357,高値!N357&gt;高値!O357,高値!N357&gt;高値!P357),9,""))</f>
        <v/>
      </c>
      <c r="AK357" s="503" t="str">
        <f>IF(終値!A357="","",IF(AND(高値!O357&gt;高値!N357,高値!O357&gt;高値!M357,高値!O357&gt;高値!P357,高値!O357&gt;高値!Q357),10,""))</f>
        <v/>
      </c>
      <c r="AL357" s="503" t="str">
        <f>IF(終値!A357="","",IF(AND(高値!P357&gt;高値!O357,高値!P357&gt;高値!N357,高値!P357&gt;高値!Q357,高値!P357&gt;高値!R357),11,""))</f>
        <v/>
      </c>
      <c r="AM357" s="503" t="str">
        <f>IF(終値!A357="","",IF(AND(高値!Q357&gt;高値!P357,高値!Q357&gt;高値!O357,高値!Q357&gt;高値!R357,高値!Q357&gt;高値!S357),12,""))</f>
        <v/>
      </c>
      <c r="AN357" s="503" t="str">
        <f>IF(終値!A357="","",IF(AND(高値!R357&gt;高値!Q357,高値!R357&gt;高値!P357,高値!R357&gt;高値!S357,高値!R357&gt;高値!T357),13,""))</f>
        <v/>
      </c>
      <c r="AO357" s="503" t="str">
        <f>IF(終値!A357="","",IF(AND(高値!S357&gt;高値!R357,高値!S357&gt;高値!Q357,高値!S357&gt;高値!T357,高値!S357&gt;高値!U357),14,""))</f>
        <v/>
      </c>
      <c r="AP357" s="503" t="str">
        <f>IF(終値!A357="","",IF(AND(高値!T357&gt;高値!S357,高値!T357&gt;高値!R357,高値!T357&gt;高値!U357,高値!T357&gt;高値!V357),15,""))</f>
        <v/>
      </c>
      <c r="AQ357" s="503" t="str">
        <f>IF(終値!A357="","",IF(AND(高値!U357&gt;高値!T357,高値!U357&gt;高値!S357,高値!U357&gt;高値!V357,高値!U357&gt;高値!W357),16,""))</f>
        <v/>
      </c>
      <c r="AR357" s="503" t="str">
        <f>IF(終値!A357="","",IF(AND(高値!V357&gt;高値!U357,高値!V357&gt;高値!T357,高値!V357&gt;高値!W357,高値!V357&gt;高値!X357),17,""))</f>
        <v/>
      </c>
      <c r="AS357" s="503" t="str">
        <f>IF(終値!A357="","",IF(AND(高値!W357&gt;高値!V357,高値!W357&gt;高値!U357,高値!W357&gt;高値!X357,高値!W357&gt;高値!Y357),18,""))</f>
        <v/>
      </c>
      <c r="AT357" s="503" t="str">
        <f>IF(終値!A357="","",IF(AND(高値!X357&gt;高値!W357,高値!X357&gt;高値!V357,高値!X357&gt;高値!Y357,高値!X357&gt;高値!Z357),19,""))</f>
        <v/>
      </c>
      <c r="AU357" s="503" t="str">
        <f>IF(終値!A357="","",IF(AND(高値!Y357&gt;高値!X357,高値!Y357&gt;高値!W357,高値!Y357&gt;高値!Z357,高値!Y357&gt;高値!AA357),20,""))</f>
        <v/>
      </c>
      <c r="AV357" s="503" t="str">
        <f>IF(終値!A357="","",IF(AND(高値!Z357&gt;高値!Y357,高値!Z357&gt;高値!X357,高値!Z357&gt;高値!AA357,高値!Z357&gt;高値!AB357),21,""))</f>
        <v/>
      </c>
      <c r="AW357" s="503" t="str">
        <f>IF(終値!A357="","",IF(AND(高値!AA357&gt;高値!Z357,高値!AA357&gt;高値!Y357,高値!AA357&gt;高値!AB357,高値!AA357&gt;高値!AC357),22,""))</f>
        <v/>
      </c>
      <c r="AX357" s="503" t="str">
        <f>IF(終値!A357="","",IF(AND(高値!AB357&gt;高値!AA357,高値!AB357&gt;高値!Z357,高値!AB357&gt;高値!AC357,高値!AB357&gt;高値!AD357),23,""))</f>
        <v/>
      </c>
      <c r="AY357" s="503" t="str">
        <f>IF(終値!A357="","",IF(AND(高値!AC357&gt;高値!AB357,高値!AC357&gt;高値!AA357,高値!AC357&gt;高値!AD357,高値!AC357&gt;高値!AE357),24,""))</f>
        <v/>
      </c>
      <c r="AZ357" s="503" t="str">
        <f>IF(終値!A357="","",IF(AND(高値!AD357&gt;高値!AC357,高値!AD357&gt;高値!AB357,高値!AD357&gt;高値!AE357,高値!AD357&gt;高値!AF357),25,""))</f>
        <v/>
      </c>
      <c r="BA357" s="503" t="str">
        <f>IF(終値!A357="","",IF(AND(高値!AE357&gt;高値!AD357,高値!AE357&gt;高値!AC357,高値!AE357&gt;高値!AF357,高値!AE357&gt;高値!AG357),26,""))</f>
        <v/>
      </c>
      <c r="BB357" s="503" t="str">
        <f>IF(終値!A357="","",IF(AND(高値!AF357&gt;高値!AE357,高値!AF357&gt;高値!AD357,高値!AF357&gt;高値!AG357,高値!AF357&gt;高値!AH357),27,""))</f>
        <v/>
      </c>
      <c r="BC357" s="503" t="str">
        <f>IF(終値!A357="","",IF(AND(高値!AG357&gt;高値!AF357,高値!AG357&gt;高値!AE357,高値!AG357&gt;高値!AH357,高値!AG357&gt;高値!AI357),28,""))</f>
        <v/>
      </c>
      <c r="BD357" s="503">
        <f t="shared" si="30"/>
        <v>0</v>
      </c>
      <c r="BE357" s="503" t="str">
        <f t="shared" si="31"/>
        <v/>
      </c>
      <c r="BF357" s="503" t="str">
        <f t="shared" si="32"/>
        <v/>
      </c>
      <c r="BG357" s="503" t="str">
        <f>IF($BE357="","",INDEX(安値!$E357:$CZ357,1,$BE357+1))</f>
        <v/>
      </c>
      <c r="BH357" s="503" t="str">
        <f>IF($BF357="","",INDEX(安値!$E357:$CZ357,1,$BF357+1))</f>
        <v/>
      </c>
      <c r="BI357" s="503" t="str">
        <f>IF($BF357="","",MAX(INDEX(高値!$E357:$CZ357,1,$BE357+1):INDEX(高値!$E357:$CZ357,1,$BF357+1)))</f>
        <v/>
      </c>
      <c r="BJ357" s="503" t="str">
        <f>IF($BF357="","",AVERAGE(INDEX(終値!$E357:$CZ357,1,$BF357+1):INDEX(終値!$E357:$CZ357,1,$BF357+20))-2*STDEVP(INDEX(終値!$E357:$CZ357,1,$BF357+1):INDEX(終値!$E357:$CZ357,1,$BF357+20)))</f>
        <v/>
      </c>
      <c r="BK357" s="503" t="str">
        <f>IF($BE357="","",AVERAGE(INDEX(終値!$E357:$CZ357,1,$BE357+1):INDEX(終値!$E357:$CZ357,1,$BE357+20))-2*STDEVP(INDEX(終値!$E357:$CZ357,1,$BE357+1):INDEX(終値!$E357:$CZ357,1,$BE357+20)))</f>
        <v/>
      </c>
      <c r="BL357" s="503">
        <f t="shared" si="33"/>
        <v>0</v>
      </c>
      <c r="BM357" s="503" t="str">
        <f t="shared" si="34"/>
        <v/>
      </c>
      <c r="BN357" s="503" t="str">
        <f t="shared" si="35"/>
        <v/>
      </c>
      <c r="BO357" s="503" t="str">
        <f>IF($BM357="","",INDEX(高値!$E357:$CZ357,1,$BM357+1))</f>
        <v/>
      </c>
      <c r="BP357" s="503" t="str">
        <f>IF($BN357="","",INDEX(高値!$E357:$CZ357,1,$BN357+1))</f>
        <v/>
      </c>
      <c r="BQ357" s="503" t="str">
        <f>IF($BN357="","",MIN(INDEX(安値!$E357:$CZ357,1,$BM357+1):INDEX(安値!$E357:$CZ357,1,$BN357+1)))</f>
        <v/>
      </c>
      <c r="BR357" s="503" t="str">
        <f>IF($BN357="","",AVERAGE(INDEX(終値!$E357:$CZ357,1,$BN357+1):INDEX(終値!$E357:$CZ357,1,$BN357+20))+2*STDEVP(INDEX(終値!$E357:$CZ357,1,$BN357+1):INDEX(終値!$E357:$CZ357,1,$BN357+20)))</f>
        <v/>
      </c>
      <c r="BS357" s="503" t="str">
        <f>IF($BM357="","",AVERAGE(INDEX(終値!$E357:$CZ357,1,$BM357+1):INDEX(終値!$E357:$CZ357,1,$BM357+20))+2*STDEVP(INDEX(終値!$E357:$CZ357,1,$BM357+1):INDEX(終値!$E357:$CZ357,1,$BM357+20)))</f>
        <v/>
      </c>
      <c r="BT357" s="500"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3" t="str">
        <f>IF(終値!A358="","",IF(AND(安値!G358&lt;安値!F358,安値!G358&lt;安値!E358,安値!G358&lt;安値!H358,安値!G358&lt;安値!I358),2,""))</f>
        <v/>
      </c>
      <c r="C358" s="503" t="str">
        <f>IF(終値!A358="","",IF(AND(安値!H358&lt;安値!G358,安値!H358&lt;安値!F358,安値!H358&lt;安値!I358,安値!H358&lt;安値!J358),3,""))</f>
        <v/>
      </c>
      <c r="D358" s="503" t="str">
        <f>IF(終値!A358="","",IF(AND(安値!I358&lt;安値!H358,安値!I358&lt;安値!G358,安値!I358&lt;安値!J358,安値!I358&lt;安値!K358),4,""))</f>
        <v/>
      </c>
      <c r="E358" s="503" t="str">
        <f>IF(終値!A358="","",IF(AND(安値!J358&lt;安値!I358,安値!J358&lt;安値!H358,安値!J358&lt;安値!K358,安値!J358&lt;安値!L358),5,""))</f>
        <v/>
      </c>
      <c r="F358" s="503" t="str">
        <f>IF(終値!A358="","",IF(AND(安値!K358&lt;安値!J358,安値!K358&lt;安値!I358,安値!K358&lt;安値!L358,安値!K358&lt;安値!M358),6,""))</f>
        <v/>
      </c>
      <c r="G358" s="503" t="str">
        <f>IF(終値!A358="","",IF(AND(安値!L358&lt;安値!K358,安値!L358&lt;安値!J358,安値!L358&lt;安値!M358,安値!L358&lt;安値!N358),7,""))</f>
        <v/>
      </c>
      <c r="H358" s="503" t="str">
        <f>IF(終値!A358="","",IF(AND(安値!M358&lt;安値!L358,安値!M358&lt;安値!K358,安値!M358&lt;安値!N358,安値!M358&lt;安値!O358),8,""))</f>
        <v/>
      </c>
      <c r="I358" s="503" t="str">
        <f>IF(終値!A358="","",IF(AND(安値!N358&lt;安値!M358,安値!N358&lt;安値!L358,安値!N358&lt;安値!O358,安値!N358&lt;安値!P358),9,""))</f>
        <v/>
      </c>
      <c r="J358" s="503" t="str">
        <f>IF(終値!A358="","",IF(AND(安値!O358&lt;安値!N358,安値!O358&lt;安値!M358,安値!O358&lt;安値!P358,安値!O358&lt;安値!Q358),10,""))</f>
        <v/>
      </c>
      <c r="K358" s="503" t="str">
        <f>IF(終値!A358="","",IF(AND(安値!P358&lt;安値!O358,安値!P358&lt;安値!N358,安値!P358&lt;安値!Q358,安値!P358&lt;安値!R358),11,""))</f>
        <v/>
      </c>
      <c r="L358" s="503" t="str">
        <f>IF(終値!A358="","",IF(AND(安値!Q358&lt;安値!P358,安値!Q358&lt;安値!O358,安値!Q358&lt;安値!R358,安値!Q358&lt;安値!S358),12,""))</f>
        <v/>
      </c>
      <c r="M358" s="503" t="str">
        <f>IF(終値!A358="","",IF(AND(安値!R358&lt;安値!Q358,安値!R358&lt;安値!P358,安値!R358&lt;安値!S358,安値!R358&lt;安値!T358),13,""))</f>
        <v/>
      </c>
      <c r="N358" s="503" t="str">
        <f>IF(終値!A358="","",IF(AND(安値!S358&lt;安値!R358,安値!S358&lt;安値!Q358,安値!S358&lt;安値!T358,安値!S358&lt;安値!U358),14,""))</f>
        <v/>
      </c>
      <c r="O358" s="503" t="str">
        <f>IF(終値!A358="","",IF(AND(安値!T358&lt;安値!S358,安値!T358&lt;安値!R358,安値!T358&lt;安値!U358,安値!T358&lt;安値!V358),15,""))</f>
        <v/>
      </c>
      <c r="P358" s="503" t="str">
        <f>IF(終値!A358="","",IF(AND(安値!U358&lt;安値!T358,安値!U358&lt;安値!S358,安値!U358&lt;安値!V358,安値!U358&lt;安値!W358),16,""))</f>
        <v/>
      </c>
      <c r="Q358" s="503" t="str">
        <f>IF(終値!A358="","",IF(AND(安値!V358&lt;安値!U358,安値!V358&lt;安値!T358,安値!V358&lt;安値!W358,安値!V358&lt;安値!X358),17,""))</f>
        <v/>
      </c>
      <c r="R358" s="503" t="str">
        <f>IF(終値!A358="","",IF(AND(安値!W358&lt;安値!V358,安値!W358&lt;安値!U358,安値!W358&lt;安値!X358,安値!W358&lt;安値!Y358),18,""))</f>
        <v/>
      </c>
      <c r="S358" s="503" t="str">
        <f>IF(終値!A358="","",IF(AND(安値!X358&lt;安値!W358,安値!X358&lt;安値!V358,安値!X358&lt;安値!Y358,安値!X358&lt;安値!Z358),19,""))</f>
        <v/>
      </c>
      <c r="T358" s="503" t="str">
        <f>IF(終値!A358="","",IF(AND(安値!Y358&lt;安値!X358,安値!Y358&lt;安値!W358,安値!Y358&lt;安値!Z358,安値!Y358&lt;安値!AA358),20,""))</f>
        <v/>
      </c>
      <c r="U358" s="503" t="str">
        <f>IF(終値!A358="","",IF(AND(安値!Z358&lt;安値!Y358,安値!Z358&lt;安値!X358,安値!Z358&lt;安値!AA358,安値!Z358&lt;安値!AB358),21,""))</f>
        <v/>
      </c>
      <c r="V358" s="503" t="str">
        <f>IF(終値!A358="","",IF(AND(安値!AA358&lt;安値!Z358,安値!AA358&lt;安値!Y358,安値!AA358&lt;安値!AB358,安値!AA358&lt;安値!AC358),22,""))</f>
        <v/>
      </c>
      <c r="W358" s="503" t="str">
        <f>IF(終値!A358="","",IF(AND(安値!AB358&lt;安値!AA358,安値!AB358&lt;安値!Z358,安値!AB358&lt;安値!AC358,安値!AB358&lt;安値!AD358),23,""))</f>
        <v/>
      </c>
      <c r="X358" s="503" t="str">
        <f>IF(終値!A358="","",IF(AND(安値!AC358&lt;安値!AB358,安値!AC358&lt;安値!AA358,安値!AC358&lt;安値!AD358,安値!AC358&lt;安値!AE358),24,""))</f>
        <v/>
      </c>
      <c r="Y358" s="503" t="str">
        <f>IF(終値!A358="","",IF(AND(安値!AD358&lt;安値!AC358,安値!AD358&lt;安値!AB358,安値!AD358&lt;安値!AE358,安値!AD358&lt;安値!AF358),25,""))</f>
        <v/>
      </c>
      <c r="Z358" s="503" t="str">
        <f>IF(終値!A358="","",IF(AND(安値!AE358&lt;安値!AD358,安値!AE358&lt;安値!AC358,安値!AE358&lt;安値!AF358,安値!AE358&lt;安値!AG358),26,""))</f>
        <v/>
      </c>
      <c r="AA358" s="503" t="str">
        <f>IF(終値!A358="","",IF(AND(安値!AF358&lt;安値!AE358,安値!AF358&lt;安値!AD358,安値!AF358&lt;安値!AG358,安値!AF358&lt;安値!AH358),27,""))</f>
        <v/>
      </c>
      <c r="AB358" s="503" t="str">
        <f>IF(終値!A358="","",IF(AND(安値!AG358&lt;安値!AF358,安値!AG358&lt;安値!AE358,安値!AG358&lt;安値!AH358,安値!AG358&lt;安値!AI358),28,""))</f>
        <v/>
      </c>
      <c r="AC358" s="503" t="str">
        <f>IF(終値!A358="","",IF(AND(高値!G358&gt;高値!F358,高値!G358&gt;高値!E358,高値!G358&gt;高値!H358,高値!G358&gt;高値!I358),2,""))</f>
        <v/>
      </c>
      <c r="AD358" s="503" t="str">
        <f>IF(終値!A358="","",IF(AND(高値!H358&gt;高値!G358,高値!H358&gt;高値!F358,高値!H358&gt;高値!I358,高値!H358&gt;高値!J358),3,""))</f>
        <v/>
      </c>
      <c r="AE358" s="503" t="str">
        <f>IF(終値!A358="","",IF(AND(高値!I358&gt;高値!H358,高値!I358&gt;高値!G358,高値!I358&gt;高値!J358,高値!I358&gt;高値!K358),4,""))</f>
        <v/>
      </c>
      <c r="AF358" s="503" t="str">
        <f>IF(終値!A358="","",IF(AND(高値!J358&gt;高値!I358,高値!J358&gt;高値!H358,高値!J358&gt;高値!K358,高値!J358&gt;高値!L358),5,""))</f>
        <v/>
      </c>
      <c r="AG358" s="503" t="str">
        <f>IF(終値!A358="","",IF(AND(高値!K358&gt;高値!J358,高値!K358&gt;高値!I358,高値!K358&gt;高値!L358,高値!K358&gt;高値!M358),6,""))</f>
        <v/>
      </c>
      <c r="AH358" s="503" t="str">
        <f>IF(終値!A358="","",IF(AND(高値!L358&gt;高値!K358,高値!L358&gt;高値!J358,高値!L358&gt;高値!M358,高値!L358&gt;高値!N358),7,""))</f>
        <v/>
      </c>
      <c r="AI358" s="503" t="str">
        <f>IF(終値!A358="","",IF(AND(高値!M358&gt;高値!L358,高値!M358&gt;高値!K358,高値!M358&gt;高値!N358,高値!M358&gt;高値!O358),8,""))</f>
        <v/>
      </c>
      <c r="AJ358" s="503" t="str">
        <f>IF(終値!A358="","",IF(AND(高値!N358&gt;高値!M358,高値!N358&gt;高値!L358,高値!N358&gt;高値!O358,高値!N358&gt;高値!P358),9,""))</f>
        <v/>
      </c>
      <c r="AK358" s="503" t="str">
        <f>IF(終値!A358="","",IF(AND(高値!O358&gt;高値!N358,高値!O358&gt;高値!M358,高値!O358&gt;高値!P358,高値!O358&gt;高値!Q358),10,""))</f>
        <v/>
      </c>
      <c r="AL358" s="503" t="str">
        <f>IF(終値!A358="","",IF(AND(高値!P358&gt;高値!O358,高値!P358&gt;高値!N358,高値!P358&gt;高値!Q358,高値!P358&gt;高値!R358),11,""))</f>
        <v/>
      </c>
      <c r="AM358" s="503" t="str">
        <f>IF(終値!A358="","",IF(AND(高値!Q358&gt;高値!P358,高値!Q358&gt;高値!O358,高値!Q358&gt;高値!R358,高値!Q358&gt;高値!S358),12,""))</f>
        <v/>
      </c>
      <c r="AN358" s="503" t="str">
        <f>IF(終値!A358="","",IF(AND(高値!R358&gt;高値!Q358,高値!R358&gt;高値!P358,高値!R358&gt;高値!S358,高値!R358&gt;高値!T358),13,""))</f>
        <v/>
      </c>
      <c r="AO358" s="503" t="str">
        <f>IF(終値!A358="","",IF(AND(高値!S358&gt;高値!R358,高値!S358&gt;高値!Q358,高値!S358&gt;高値!T358,高値!S358&gt;高値!U358),14,""))</f>
        <v/>
      </c>
      <c r="AP358" s="503" t="str">
        <f>IF(終値!A358="","",IF(AND(高値!T358&gt;高値!S358,高値!T358&gt;高値!R358,高値!T358&gt;高値!U358,高値!T358&gt;高値!V358),15,""))</f>
        <v/>
      </c>
      <c r="AQ358" s="503" t="str">
        <f>IF(終値!A358="","",IF(AND(高値!U358&gt;高値!T358,高値!U358&gt;高値!S358,高値!U358&gt;高値!V358,高値!U358&gt;高値!W358),16,""))</f>
        <v/>
      </c>
      <c r="AR358" s="503" t="str">
        <f>IF(終値!A358="","",IF(AND(高値!V358&gt;高値!U358,高値!V358&gt;高値!T358,高値!V358&gt;高値!W358,高値!V358&gt;高値!X358),17,""))</f>
        <v/>
      </c>
      <c r="AS358" s="503" t="str">
        <f>IF(終値!A358="","",IF(AND(高値!W358&gt;高値!V358,高値!W358&gt;高値!U358,高値!W358&gt;高値!X358,高値!W358&gt;高値!Y358),18,""))</f>
        <v/>
      </c>
      <c r="AT358" s="503" t="str">
        <f>IF(終値!A358="","",IF(AND(高値!X358&gt;高値!W358,高値!X358&gt;高値!V358,高値!X358&gt;高値!Y358,高値!X358&gt;高値!Z358),19,""))</f>
        <v/>
      </c>
      <c r="AU358" s="503" t="str">
        <f>IF(終値!A358="","",IF(AND(高値!Y358&gt;高値!X358,高値!Y358&gt;高値!W358,高値!Y358&gt;高値!Z358,高値!Y358&gt;高値!AA358),20,""))</f>
        <v/>
      </c>
      <c r="AV358" s="503" t="str">
        <f>IF(終値!A358="","",IF(AND(高値!Z358&gt;高値!Y358,高値!Z358&gt;高値!X358,高値!Z358&gt;高値!AA358,高値!Z358&gt;高値!AB358),21,""))</f>
        <v/>
      </c>
      <c r="AW358" s="503" t="str">
        <f>IF(終値!A358="","",IF(AND(高値!AA358&gt;高値!Z358,高値!AA358&gt;高値!Y358,高値!AA358&gt;高値!AB358,高値!AA358&gt;高値!AC358),22,""))</f>
        <v/>
      </c>
      <c r="AX358" s="503" t="str">
        <f>IF(終値!A358="","",IF(AND(高値!AB358&gt;高値!AA358,高値!AB358&gt;高値!Z358,高値!AB358&gt;高値!AC358,高値!AB358&gt;高値!AD358),23,""))</f>
        <v/>
      </c>
      <c r="AY358" s="503" t="str">
        <f>IF(終値!A358="","",IF(AND(高値!AC358&gt;高値!AB358,高値!AC358&gt;高値!AA358,高値!AC358&gt;高値!AD358,高値!AC358&gt;高値!AE358),24,""))</f>
        <v/>
      </c>
      <c r="AZ358" s="503" t="str">
        <f>IF(終値!A358="","",IF(AND(高値!AD358&gt;高値!AC358,高値!AD358&gt;高値!AB358,高値!AD358&gt;高値!AE358,高値!AD358&gt;高値!AF358),25,""))</f>
        <v/>
      </c>
      <c r="BA358" s="503" t="str">
        <f>IF(終値!A358="","",IF(AND(高値!AE358&gt;高値!AD358,高値!AE358&gt;高値!AC358,高値!AE358&gt;高値!AF358,高値!AE358&gt;高値!AG358),26,""))</f>
        <v/>
      </c>
      <c r="BB358" s="503" t="str">
        <f>IF(終値!A358="","",IF(AND(高値!AF358&gt;高値!AE358,高値!AF358&gt;高値!AD358,高値!AF358&gt;高値!AG358,高値!AF358&gt;高値!AH358),27,""))</f>
        <v/>
      </c>
      <c r="BC358" s="503" t="str">
        <f>IF(終値!A358="","",IF(AND(高値!AG358&gt;高値!AF358,高値!AG358&gt;高値!AE358,高値!AG358&gt;高値!AH358,高値!AG358&gt;高値!AI358),28,""))</f>
        <v/>
      </c>
      <c r="BD358" s="503">
        <f t="shared" si="30"/>
        <v>0</v>
      </c>
      <c r="BE358" s="503" t="str">
        <f t="shared" si="31"/>
        <v/>
      </c>
      <c r="BF358" s="503" t="str">
        <f t="shared" si="32"/>
        <v/>
      </c>
      <c r="BG358" s="503" t="str">
        <f>IF($BE358="","",INDEX(安値!$E358:$CZ358,1,$BE358+1))</f>
        <v/>
      </c>
      <c r="BH358" s="503" t="str">
        <f>IF($BF358="","",INDEX(安値!$E358:$CZ358,1,$BF358+1))</f>
        <v/>
      </c>
      <c r="BI358" s="503" t="str">
        <f>IF($BF358="","",MAX(INDEX(高値!$E358:$CZ358,1,$BE358+1):INDEX(高値!$E358:$CZ358,1,$BF358+1)))</f>
        <v/>
      </c>
      <c r="BJ358" s="503" t="str">
        <f>IF($BF358="","",AVERAGE(INDEX(終値!$E358:$CZ358,1,$BF358+1):INDEX(終値!$E358:$CZ358,1,$BF358+20))-2*STDEVP(INDEX(終値!$E358:$CZ358,1,$BF358+1):INDEX(終値!$E358:$CZ358,1,$BF358+20)))</f>
        <v/>
      </c>
      <c r="BK358" s="503" t="str">
        <f>IF($BE358="","",AVERAGE(INDEX(終値!$E358:$CZ358,1,$BE358+1):INDEX(終値!$E358:$CZ358,1,$BE358+20))-2*STDEVP(INDEX(終値!$E358:$CZ358,1,$BE358+1):INDEX(終値!$E358:$CZ358,1,$BE358+20)))</f>
        <v/>
      </c>
      <c r="BL358" s="503">
        <f t="shared" si="33"/>
        <v>0</v>
      </c>
      <c r="BM358" s="503" t="str">
        <f t="shared" si="34"/>
        <v/>
      </c>
      <c r="BN358" s="503" t="str">
        <f t="shared" si="35"/>
        <v/>
      </c>
      <c r="BO358" s="503" t="str">
        <f>IF($BM358="","",INDEX(高値!$E358:$CZ358,1,$BM358+1))</f>
        <v/>
      </c>
      <c r="BP358" s="503" t="str">
        <f>IF($BN358="","",INDEX(高値!$E358:$CZ358,1,$BN358+1))</f>
        <v/>
      </c>
      <c r="BQ358" s="503" t="str">
        <f>IF($BN358="","",MIN(INDEX(安値!$E358:$CZ358,1,$BM358+1):INDEX(安値!$E358:$CZ358,1,$BN358+1)))</f>
        <v/>
      </c>
      <c r="BR358" s="503" t="str">
        <f>IF($BN358="","",AVERAGE(INDEX(終値!$E358:$CZ358,1,$BN358+1):INDEX(終値!$E358:$CZ358,1,$BN358+20))+2*STDEVP(INDEX(終値!$E358:$CZ358,1,$BN358+1):INDEX(終値!$E358:$CZ358,1,$BN358+20)))</f>
        <v/>
      </c>
      <c r="BS358" s="503" t="str">
        <f>IF($BM358="","",AVERAGE(INDEX(終値!$E358:$CZ358,1,$BM358+1):INDEX(終値!$E358:$CZ358,1,$BM358+20))+2*STDEVP(INDEX(終値!$E358:$CZ358,1,$BM358+1):INDEX(終値!$E358:$CZ358,1,$BM358+20)))</f>
        <v/>
      </c>
      <c r="BT358" s="500"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3" t="str">
        <f>IF(終値!A359="","",IF(AND(安値!G359&lt;安値!F359,安値!G359&lt;安値!E359,安値!G359&lt;安値!H359,安値!G359&lt;安値!I359),2,""))</f>
        <v/>
      </c>
      <c r="C359" s="503" t="str">
        <f>IF(終値!A359="","",IF(AND(安値!H359&lt;安値!G359,安値!H359&lt;安値!F359,安値!H359&lt;安値!I359,安値!H359&lt;安値!J359),3,""))</f>
        <v/>
      </c>
      <c r="D359" s="503" t="str">
        <f>IF(終値!A359="","",IF(AND(安値!I359&lt;安値!H359,安値!I359&lt;安値!G359,安値!I359&lt;安値!J359,安値!I359&lt;安値!K359),4,""))</f>
        <v/>
      </c>
      <c r="E359" s="503" t="str">
        <f>IF(終値!A359="","",IF(AND(安値!J359&lt;安値!I359,安値!J359&lt;安値!H359,安値!J359&lt;安値!K359,安値!J359&lt;安値!L359),5,""))</f>
        <v/>
      </c>
      <c r="F359" s="503" t="str">
        <f>IF(終値!A359="","",IF(AND(安値!K359&lt;安値!J359,安値!K359&lt;安値!I359,安値!K359&lt;安値!L359,安値!K359&lt;安値!M359),6,""))</f>
        <v/>
      </c>
      <c r="G359" s="503" t="str">
        <f>IF(終値!A359="","",IF(AND(安値!L359&lt;安値!K359,安値!L359&lt;安値!J359,安値!L359&lt;安値!M359,安値!L359&lt;安値!N359),7,""))</f>
        <v/>
      </c>
      <c r="H359" s="503" t="str">
        <f>IF(終値!A359="","",IF(AND(安値!M359&lt;安値!L359,安値!M359&lt;安値!K359,安値!M359&lt;安値!N359,安値!M359&lt;安値!O359),8,""))</f>
        <v/>
      </c>
      <c r="I359" s="503" t="str">
        <f>IF(終値!A359="","",IF(AND(安値!N359&lt;安値!M359,安値!N359&lt;安値!L359,安値!N359&lt;安値!O359,安値!N359&lt;安値!P359),9,""))</f>
        <v/>
      </c>
      <c r="J359" s="503" t="str">
        <f>IF(終値!A359="","",IF(AND(安値!O359&lt;安値!N359,安値!O359&lt;安値!M359,安値!O359&lt;安値!P359,安値!O359&lt;安値!Q359),10,""))</f>
        <v/>
      </c>
      <c r="K359" s="503" t="str">
        <f>IF(終値!A359="","",IF(AND(安値!P359&lt;安値!O359,安値!P359&lt;安値!N359,安値!P359&lt;安値!Q359,安値!P359&lt;安値!R359),11,""))</f>
        <v/>
      </c>
      <c r="L359" s="503" t="str">
        <f>IF(終値!A359="","",IF(AND(安値!Q359&lt;安値!P359,安値!Q359&lt;安値!O359,安値!Q359&lt;安値!R359,安値!Q359&lt;安値!S359),12,""))</f>
        <v/>
      </c>
      <c r="M359" s="503" t="str">
        <f>IF(終値!A359="","",IF(AND(安値!R359&lt;安値!Q359,安値!R359&lt;安値!P359,安値!R359&lt;安値!S359,安値!R359&lt;安値!T359),13,""))</f>
        <v/>
      </c>
      <c r="N359" s="503" t="str">
        <f>IF(終値!A359="","",IF(AND(安値!S359&lt;安値!R359,安値!S359&lt;安値!Q359,安値!S359&lt;安値!T359,安値!S359&lt;安値!U359),14,""))</f>
        <v/>
      </c>
      <c r="O359" s="503" t="str">
        <f>IF(終値!A359="","",IF(AND(安値!T359&lt;安値!S359,安値!T359&lt;安値!R359,安値!T359&lt;安値!U359,安値!T359&lt;安値!V359),15,""))</f>
        <v/>
      </c>
      <c r="P359" s="503" t="str">
        <f>IF(終値!A359="","",IF(AND(安値!U359&lt;安値!T359,安値!U359&lt;安値!S359,安値!U359&lt;安値!V359,安値!U359&lt;安値!W359),16,""))</f>
        <v/>
      </c>
      <c r="Q359" s="503" t="str">
        <f>IF(終値!A359="","",IF(AND(安値!V359&lt;安値!U359,安値!V359&lt;安値!T359,安値!V359&lt;安値!W359,安値!V359&lt;安値!X359),17,""))</f>
        <v/>
      </c>
      <c r="R359" s="503" t="str">
        <f>IF(終値!A359="","",IF(AND(安値!W359&lt;安値!V359,安値!W359&lt;安値!U359,安値!W359&lt;安値!X359,安値!W359&lt;安値!Y359),18,""))</f>
        <v/>
      </c>
      <c r="S359" s="503" t="str">
        <f>IF(終値!A359="","",IF(AND(安値!X359&lt;安値!W359,安値!X359&lt;安値!V359,安値!X359&lt;安値!Y359,安値!X359&lt;安値!Z359),19,""))</f>
        <v/>
      </c>
      <c r="T359" s="503" t="str">
        <f>IF(終値!A359="","",IF(AND(安値!Y359&lt;安値!X359,安値!Y359&lt;安値!W359,安値!Y359&lt;安値!Z359,安値!Y359&lt;安値!AA359),20,""))</f>
        <v/>
      </c>
      <c r="U359" s="503" t="str">
        <f>IF(終値!A359="","",IF(AND(安値!Z359&lt;安値!Y359,安値!Z359&lt;安値!X359,安値!Z359&lt;安値!AA359,安値!Z359&lt;安値!AB359),21,""))</f>
        <v/>
      </c>
      <c r="V359" s="503" t="str">
        <f>IF(終値!A359="","",IF(AND(安値!AA359&lt;安値!Z359,安値!AA359&lt;安値!Y359,安値!AA359&lt;安値!AB359,安値!AA359&lt;安値!AC359),22,""))</f>
        <v/>
      </c>
      <c r="W359" s="503" t="str">
        <f>IF(終値!A359="","",IF(AND(安値!AB359&lt;安値!AA359,安値!AB359&lt;安値!Z359,安値!AB359&lt;安値!AC359,安値!AB359&lt;安値!AD359),23,""))</f>
        <v/>
      </c>
      <c r="X359" s="503" t="str">
        <f>IF(終値!A359="","",IF(AND(安値!AC359&lt;安値!AB359,安値!AC359&lt;安値!AA359,安値!AC359&lt;安値!AD359,安値!AC359&lt;安値!AE359),24,""))</f>
        <v/>
      </c>
      <c r="Y359" s="503" t="str">
        <f>IF(終値!A359="","",IF(AND(安値!AD359&lt;安値!AC359,安値!AD359&lt;安値!AB359,安値!AD359&lt;安値!AE359,安値!AD359&lt;安値!AF359),25,""))</f>
        <v/>
      </c>
      <c r="Z359" s="503" t="str">
        <f>IF(終値!A359="","",IF(AND(安値!AE359&lt;安値!AD359,安値!AE359&lt;安値!AC359,安値!AE359&lt;安値!AF359,安値!AE359&lt;安値!AG359),26,""))</f>
        <v/>
      </c>
      <c r="AA359" s="503" t="str">
        <f>IF(終値!A359="","",IF(AND(安値!AF359&lt;安値!AE359,安値!AF359&lt;安値!AD359,安値!AF359&lt;安値!AG359,安値!AF359&lt;安値!AH359),27,""))</f>
        <v/>
      </c>
      <c r="AB359" s="503" t="str">
        <f>IF(終値!A359="","",IF(AND(安値!AG359&lt;安値!AF359,安値!AG359&lt;安値!AE359,安値!AG359&lt;安値!AH359,安値!AG359&lt;安値!AI359),28,""))</f>
        <v/>
      </c>
      <c r="AC359" s="503" t="str">
        <f>IF(終値!A359="","",IF(AND(高値!G359&gt;高値!F359,高値!G359&gt;高値!E359,高値!G359&gt;高値!H359,高値!G359&gt;高値!I359),2,""))</f>
        <v/>
      </c>
      <c r="AD359" s="503" t="str">
        <f>IF(終値!A359="","",IF(AND(高値!H359&gt;高値!G359,高値!H359&gt;高値!F359,高値!H359&gt;高値!I359,高値!H359&gt;高値!J359),3,""))</f>
        <v/>
      </c>
      <c r="AE359" s="503" t="str">
        <f>IF(終値!A359="","",IF(AND(高値!I359&gt;高値!H359,高値!I359&gt;高値!G359,高値!I359&gt;高値!J359,高値!I359&gt;高値!K359),4,""))</f>
        <v/>
      </c>
      <c r="AF359" s="503" t="str">
        <f>IF(終値!A359="","",IF(AND(高値!J359&gt;高値!I359,高値!J359&gt;高値!H359,高値!J359&gt;高値!K359,高値!J359&gt;高値!L359),5,""))</f>
        <v/>
      </c>
      <c r="AG359" s="503" t="str">
        <f>IF(終値!A359="","",IF(AND(高値!K359&gt;高値!J359,高値!K359&gt;高値!I359,高値!K359&gt;高値!L359,高値!K359&gt;高値!M359),6,""))</f>
        <v/>
      </c>
      <c r="AH359" s="503" t="str">
        <f>IF(終値!A359="","",IF(AND(高値!L359&gt;高値!K359,高値!L359&gt;高値!J359,高値!L359&gt;高値!M359,高値!L359&gt;高値!N359),7,""))</f>
        <v/>
      </c>
      <c r="AI359" s="503" t="str">
        <f>IF(終値!A359="","",IF(AND(高値!M359&gt;高値!L359,高値!M359&gt;高値!K359,高値!M359&gt;高値!N359,高値!M359&gt;高値!O359),8,""))</f>
        <v/>
      </c>
      <c r="AJ359" s="503" t="str">
        <f>IF(終値!A359="","",IF(AND(高値!N359&gt;高値!M359,高値!N359&gt;高値!L359,高値!N359&gt;高値!O359,高値!N359&gt;高値!P359),9,""))</f>
        <v/>
      </c>
      <c r="AK359" s="503" t="str">
        <f>IF(終値!A359="","",IF(AND(高値!O359&gt;高値!N359,高値!O359&gt;高値!M359,高値!O359&gt;高値!P359,高値!O359&gt;高値!Q359),10,""))</f>
        <v/>
      </c>
      <c r="AL359" s="503" t="str">
        <f>IF(終値!A359="","",IF(AND(高値!P359&gt;高値!O359,高値!P359&gt;高値!N359,高値!P359&gt;高値!Q359,高値!P359&gt;高値!R359),11,""))</f>
        <v/>
      </c>
      <c r="AM359" s="503" t="str">
        <f>IF(終値!A359="","",IF(AND(高値!Q359&gt;高値!P359,高値!Q359&gt;高値!O359,高値!Q359&gt;高値!R359,高値!Q359&gt;高値!S359),12,""))</f>
        <v/>
      </c>
      <c r="AN359" s="503" t="str">
        <f>IF(終値!A359="","",IF(AND(高値!R359&gt;高値!Q359,高値!R359&gt;高値!P359,高値!R359&gt;高値!S359,高値!R359&gt;高値!T359),13,""))</f>
        <v/>
      </c>
      <c r="AO359" s="503" t="str">
        <f>IF(終値!A359="","",IF(AND(高値!S359&gt;高値!R359,高値!S359&gt;高値!Q359,高値!S359&gt;高値!T359,高値!S359&gt;高値!U359),14,""))</f>
        <v/>
      </c>
      <c r="AP359" s="503" t="str">
        <f>IF(終値!A359="","",IF(AND(高値!T359&gt;高値!S359,高値!T359&gt;高値!R359,高値!T359&gt;高値!U359,高値!T359&gt;高値!V359),15,""))</f>
        <v/>
      </c>
      <c r="AQ359" s="503" t="str">
        <f>IF(終値!A359="","",IF(AND(高値!U359&gt;高値!T359,高値!U359&gt;高値!S359,高値!U359&gt;高値!V359,高値!U359&gt;高値!W359),16,""))</f>
        <v/>
      </c>
      <c r="AR359" s="503" t="str">
        <f>IF(終値!A359="","",IF(AND(高値!V359&gt;高値!U359,高値!V359&gt;高値!T359,高値!V359&gt;高値!W359,高値!V359&gt;高値!X359),17,""))</f>
        <v/>
      </c>
      <c r="AS359" s="503" t="str">
        <f>IF(終値!A359="","",IF(AND(高値!W359&gt;高値!V359,高値!W359&gt;高値!U359,高値!W359&gt;高値!X359,高値!W359&gt;高値!Y359),18,""))</f>
        <v/>
      </c>
      <c r="AT359" s="503" t="str">
        <f>IF(終値!A359="","",IF(AND(高値!X359&gt;高値!W359,高値!X359&gt;高値!V359,高値!X359&gt;高値!Y359,高値!X359&gt;高値!Z359),19,""))</f>
        <v/>
      </c>
      <c r="AU359" s="503" t="str">
        <f>IF(終値!A359="","",IF(AND(高値!Y359&gt;高値!X359,高値!Y359&gt;高値!W359,高値!Y359&gt;高値!Z359,高値!Y359&gt;高値!AA359),20,""))</f>
        <v/>
      </c>
      <c r="AV359" s="503" t="str">
        <f>IF(終値!A359="","",IF(AND(高値!Z359&gt;高値!Y359,高値!Z359&gt;高値!X359,高値!Z359&gt;高値!AA359,高値!Z359&gt;高値!AB359),21,""))</f>
        <v/>
      </c>
      <c r="AW359" s="503" t="str">
        <f>IF(終値!A359="","",IF(AND(高値!AA359&gt;高値!Z359,高値!AA359&gt;高値!Y359,高値!AA359&gt;高値!AB359,高値!AA359&gt;高値!AC359),22,""))</f>
        <v/>
      </c>
      <c r="AX359" s="503" t="str">
        <f>IF(終値!A359="","",IF(AND(高値!AB359&gt;高値!AA359,高値!AB359&gt;高値!Z359,高値!AB359&gt;高値!AC359,高値!AB359&gt;高値!AD359),23,""))</f>
        <v/>
      </c>
      <c r="AY359" s="503" t="str">
        <f>IF(終値!A359="","",IF(AND(高値!AC359&gt;高値!AB359,高値!AC359&gt;高値!AA359,高値!AC359&gt;高値!AD359,高値!AC359&gt;高値!AE359),24,""))</f>
        <v/>
      </c>
      <c r="AZ359" s="503" t="str">
        <f>IF(終値!A359="","",IF(AND(高値!AD359&gt;高値!AC359,高値!AD359&gt;高値!AB359,高値!AD359&gt;高値!AE359,高値!AD359&gt;高値!AF359),25,""))</f>
        <v/>
      </c>
      <c r="BA359" s="503" t="str">
        <f>IF(終値!A359="","",IF(AND(高値!AE359&gt;高値!AD359,高値!AE359&gt;高値!AC359,高値!AE359&gt;高値!AF359,高値!AE359&gt;高値!AG359),26,""))</f>
        <v/>
      </c>
      <c r="BB359" s="503" t="str">
        <f>IF(終値!A359="","",IF(AND(高値!AF359&gt;高値!AE359,高値!AF359&gt;高値!AD359,高値!AF359&gt;高値!AG359,高値!AF359&gt;高値!AH359),27,""))</f>
        <v/>
      </c>
      <c r="BC359" s="503" t="str">
        <f>IF(終値!A359="","",IF(AND(高値!AG359&gt;高値!AF359,高値!AG359&gt;高値!AE359,高値!AG359&gt;高値!AH359,高値!AG359&gt;高値!AI359),28,""))</f>
        <v/>
      </c>
      <c r="BD359" s="503">
        <f t="shared" si="30"/>
        <v>0</v>
      </c>
      <c r="BE359" s="503" t="str">
        <f t="shared" si="31"/>
        <v/>
      </c>
      <c r="BF359" s="503" t="str">
        <f t="shared" si="32"/>
        <v/>
      </c>
      <c r="BG359" s="503" t="str">
        <f>IF($BE359="","",INDEX(安値!$E359:$CZ359,1,$BE359+1))</f>
        <v/>
      </c>
      <c r="BH359" s="503" t="str">
        <f>IF($BF359="","",INDEX(安値!$E359:$CZ359,1,$BF359+1))</f>
        <v/>
      </c>
      <c r="BI359" s="503" t="str">
        <f>IF($BF359="","",MAX(INDEX(高値!$E359:$CZ359,1,$BE359+1):INDEX(高値!$E359:$CZ359,1,$BF359+1)))</f>
        <v/>
      </c>
      <c r="BJ359" s="503" t="str">
        <f>IF($BF359="","",AVERAGE(INDEX(終値!$E359:$CZ359,1,$BF359+1):INDEX(終値!$E359:$CZ359,1,$BF359+20))-2*STDEVP(INDEX(終値!$E359:$CZ359,1,$BF359+1):INDEX(終値!$E359:$CZ359,1,$BF359+20)))</f>
        <v/>
      </c>
      <c r="BK359" s="503" t="str">
        <f>IF($BE359="","",AVERAGE(INDEX(終値!$E359:$CZ359,1,$BE359+1):INDEX(終値!$E359:$CZ359,1,$BE359+20))-2*STDEVP(INDEX(終値!$E359:$CZ359,1,$BE359+1):INDEX(終値!$E359:$CZ359,1,$BE359+20)))</f>
        <v/>
      </c>
      <c r="BL359" s="503">
        <f t="shared" si="33"/>
        <v>0</v>
      </c>
      <c r="BM359" s="503" t="str">
        <f t="shared" si="34"/>
        <v/>
      </c>
      <c r="BN359" s="503" t="str">
        <f t="shared" si="35"/>
        <v/>
      </c>
      <c r="BO359" s="503" t="str">
        <f>IF($BM359="","",INDEX(高値!$E359:$CZ359,1,$BM359+1))</f>
        <v/>
      </c>
      <c r="BP359" s="503" t="str">
        <f>IF($BN359="","",INDEX(高値!$E359:$CZ359,1,$BN359+1))</f>
        <v/>
      </c>
      <c r="BQ359" s="503" t="str">
        <f>IF($BN359="","",MIN(INDEX(安値!$E359:$CZ359,1,$BM359+1):INDEX(安値!$E359:$CZ359,1,$BN359+1)))</f>
        <v/>
      </c>
      <c r="BR359" s="503" t="str">
        <f>IF($BN359="","",AVERAGE(INDEX(終値!$E359:$CZ359,1,$BN359+1):INDEX(終値!$E359:$CZ359,1,$BN359+20))+2*STDEVP(INDEX(終値!$E359:$CZ359,1,$BN359+1):INDEX(終値!$E359:$CZ359,1,$BN359+20)))</f>
        <v/>
      </c>
      <c r="BS359" s="503" t="str">
        <f>IF($BM359="","",AVERAGE(INDEX(終値!$E359:$CZ359,1,$BM359+1):INDEX(終値!$E359:$CZ359,1,$BM359+20))+2*STDEVP(INDEX(終値!$E359:$CZ359,1,$BM359+1):INDEX(終値!$E359:$CZ359,1,$BM359+20)))</f>
        <v/>
      </c>
      <c r="BT359" s="500"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3" t="str">
        <f>IF(終値!A360="","",IF(AND(安値!G360&lt;安値!F360,安値!G360&lt;安値!E360,安値!G360&lt;安値!H360,安値!G360&lt;安値!I360),2,""))</f>
        <v/>
      </c>
      <c r="C360" s="503" t="str">
        <f>IF(終値!A360="","",IF(AND(安値!H360&lt;安値!G360,安値!H360&lt;安値!F360,安値!H360&lt;安値!I360,安値!H360&lt;安値!J360),3,""))</f>
        <v/>
      </c>
      <c r="D360" s="503" t="str">
        <f>IF(終値!A360="","",IF(AND(安値!I360&lt;安値!H360,安値!I360&lt;安値!G360,安値!I360&lt;安値!J360,安値!I360&lt;安値!K360),4,""))</f>
        <v/>
      </c>
      <c r="E360" s="503" t="str">
        <f>IF(終値!A360="","",IF(AND(安値!J360&lt;安値!I360,安値!J360&lt;安値!H360,安値!J360&lt;安値!K360,安値!J360&lt;安値!L360),5,""))</f>
        <v/>
      </c>
      <c r="F360" s="503" t="str">
        <f>IF(終値!A360="","",IF(AND(安値!K360&lt;安値!J360,安値!K360&lt;安値!I360,安値!K360&lt;安値!L360,安値!K360&lt;安値!M360),6,""))</f>
        <v/>
      </c>
      <c r="G360" s="503" t="str">
        <f>IF(終値!A360="","",IF(AND(安値!L360&lt;安値!K360,安値!L360&lt;安値!J360,安値!L360&lt;安値!M360,安値!L360&lt;安値!N360),7,""))</f>
        <v/>
      </c>
      <c r="H360" s="503" t="str">
        <f>IF(終値!A360="","",IF(AND(安値!M360&lt;安値!L360,安値!M360&lt;安値!K360,安値!M360&lt;安値!N360,安値!M360&lt;安値!O360),8,""))</f>
        <v/>
      </c>
      <c r="I360" s="503" t="str">
        <f>IF(終値!A360="","",IF(AND(安値!N360&lt;安値!M360,安値!N360&lt;安値!L360,安値!N360&lt;安値!O360,安値!N360&lt;安値!P360),9,""))</f>
        <v/>
      </c>
      <c r="J360" s="503" t="str">
        <f>IF(終値!A360="","",IF(AND(安値!O360&lt;安値!N360,安値!O360&lt;安値!M360,安値!O360&lt;安値!P360,安値!O360&lt;安値!Q360),10,""))</f>
        <v/>
      </c>
      <c r="K360" s="503" t="str">
        <f>IF(終値!A360="","",IF(AND(安値!P360&lt;安値!O360,安値!P360&lt;安値!N360,安値!P360&lt;安値!Q360,安値!P360&lt;安値!R360),11,""))</f>
        <v/>
      </c>
      <c r="L360" s="503" t="str">
        <f>IF(終値!A360="","",IF(AND(安値!Q360&lt;安値!P360,安値!Q360&lt;安値!O360,安値!Q360&lt;安値!R360,安値!Q360&lt;安値!S360),12,""))</f>
        <v/>
      </c>
      <c r="M360" s="503" t="str">
        <f>IF(終値!A360="","",IF(AND(安値!R360&lt;安値!Q360,安値!R360&lt;安値!P360,安値!R360&lt;安値!S360,安値!R360&lt;安値!T360),13,""))</f>
        <v/>
      </c>
      <c r="N360" s="503" t="str">
        <f>IF(終値!A360="","",IF(AND(安値!S360&lt;安値!R360,安値!S360&lt;安値!Q360,安値!S360&lt;安値!T360,安値!S360&lt;安値!U360),14,""))</f>
        <v/>
      </c>
      <c r="O360" s="503" t="str">
        <f>IF(終値!A360="","",IF(AND(安値!T360&lt;安値!S360,安値!T360&lt;安値!R360,安値!T360&lt;安値!U360,安値!T360&lt;安値!V360),15,""))</f>
        <v/>
      </c>
      <c r="P360" s="503" t="str">
        <f>IF(終値!A360="","",IF(AND(安値!U360&lt;安値!T360,安値!U360&lt;安値!S360,安値!U360&lt;安値!V360,安値!U360&lt;安値!W360),16,""))</f>
        <v/>
      </c>
      <c r="Q360" s="503" t="str">
        <f>IF(終値!A360="","",IF(AND(安値!V360&lt;安値!U360,安値!V360&lt;安値!T360,安値!V360&lt;安値!W360,安値!V360&lt;安値!X360),17,""))</f>
        <v/>
      </c>
      <c r="R360" s="503" t="str">
        <f>IF(終値!A360="","",IF(AND(安値!W360&lt;安値!V360,安値!W360&lt;安値!U360,安値!W360&lt;安値!X360,安値!W360&lt;安値!Y360),18,""))</f>
        <v/>
      </c>
      <c r="S360" s="503" t="str">
        <f>IF(終値!A360="","",IF(AND(安値!X360&lt;安値!W360,安値!X360&lt;安値!V360,安値!X360&lt;安値!Y360,安値!X360&lt;安値!Z360),19,""))</f>
        <v/>
      </c>
      <c r="T360" s="503" t="str">
        <f>IF(終値!A360="","",IF(AND(安値!Y360&lt;安値!X360,安値!Y360&lt;安値!W360,安値!Y360&lt;安値!Z360,安値!Y360&lt;安値!AA360),20,""))</f>
        <v/>
      </c>
      <c r="U360" s="503" t="str">
        <f>IF(終値!A360="","",IF(AND(安値!Z360&lt;安値!Y360,安値!Z360&lt;安値!X360,安値!Z360&lt;安値!AA360,安値!Z360&lt;安値!AB360),21,""))</f>
        <v/>
      </c>
      <c r="V360" s="503" t="str">
        <f>IF(終値!A360="","",IF(AND(安値!AA360&lt;安値!Z360,安値!AA360&lt;安値!Y360,安値!AA360&lt;安値!AB360,安値!AA360&lt;安値!AC360),22,""))</f>
        <v/>
      </c>
      <c r="W360" s="503" t="str">
        <f>IF(終値!A360="","",IF(AND(安値!AB360&lt;安値!AA360,安値!AB360&lt;安値!Z360,安値!AB360&lt;安値!AC360,安値!AB360&lt;安値!AD360),23,""))</f>
        <v/>
      </c>
      <c r="X360" s="503" t="str">
        <f>IF(終値!A360="","",IF(AND(安値!AC360&lt;安値!AB360,安値!AC360&lt;安値!AA360,安値!AC360&lt;安値!AD360,安値!AC360&lt;安値!AE360),24,""))</f>
        <v/>
      </c>
      <c r="Y360" s="503" t="str">
        <f>IF(終値!A360="","",IF(AND(安値!AD360&lt;安値!AC360,安値!AD360&lt;安値!AB360,安値!AD360&lt;安値!AE360,安値!AD360&lt;安値!AF360),25,""))</f>
        <v/>
      </c>
      <c r="Z360" s="503" t="str">
        <f>IF(終値!A360="","",IF(AND(安値!AE360&lt;安値!AD360,安値!AE360&lt;安値!AC360,安値!AE360&lt;安値!AF360,安値!AE360&lt;安値!AG360),26,""))</f>
        <v/>
      </c>
      <c r="AA360" s="503" t="str">
        <f>IF(終値!A360="","",IF(AND(安値!AF360&lt;安値!AE360,安値!AF360&lt;安値!AD360,安値!AF360&lt;安値!AG360,安値!AF360&lt;安値!AH360),27,""))</f>
        <v/>
      </c>
      <c r="AB360" s="503" t="str">
        <f>IF(終値!A360="","",IF(AND(安値!AG360&lt;安値!AF360,安値!AG360&lt;安値!AE360,安値!AG360&lt;安値!AH360,安値!AG360&lt;安値!AI360),28,""))</f>
        <v/>
      </c>
      <c r="AC360" s="503" t="str">
        <f>IF(終値!A360="","",IF(AND(高値!G360&gt;高値!F360,高値!G360&gt;高値!E360,高値!G360&gt;高値!H360,高値!G360&gt;高値!I360),2,""))</f>
        <v/>
      </c>
      <c r="AD360" s="503" t="str">
        <f>IF(終値!A360="","",IF(AND(高値!H360&gt;高値!G360,高値!H360&gt;高値!F360,高値!H360&gt;高値!I360,高値!H360&gt;高値!J360),3,""))</f>
        <v/>
      </c>
      <c r="AE360" s="503" t="str">
        <f>IF(終値!A360="","",IF(AND(高値!I360&gt;高値!H360,高値!I360&gt;高値!G360,高値!I360&gt;高値!J360,高値!I360&gt;高値!K360),4,""))</f>
        <v/>
      </c>
      <c r="AF360" s="503" t="str">
        <f>IF(終値!A360="","",IF(AND(高値!J360&gt;高値!I360,高値!J360&gt;高値!H360,高値!J360&gt;高値!K360,高値!J360&gt;高値!L360),5,""))</f>
        <v/>
      </c>
      <c r="AG360" s="503" t="str">
        <f>IF(終値!A360="","",IF(AND(高値!K360&gt;高値!J360,高値!K360&gt;高値!I360,高値!K360&gt;高値!L360,高値!K360&gt;高値!M360),6,""))</f>
        <v/>
      </c>
      <c r="AH360" s="503" t="str">
        <f>IF(終値!A360="","",IF(AND(高値!L360&gt;高値!K360,高値!L360&gt;高値!J360,高値!L360&gt;高値!M360,高値!L360&gt;高値!N360),7,""))</f>
        <v/>
      </c>
      <c r="AI360" s="503" t="str">
        <f>IF(終値!A360="","",IF(AND(高値!M360&gt;高値!L360,高値!M360&gt;高値!K360,高値!M360&gt;高値!N360,高値!M360&gt;高値!O360),8,""))</f>
        <v/>
      </c>
      <c r="AJ360" s="503" t="str">
        <f>IF(終値!A360="","",IF(AND(高値!N360&gt;高値!M360,高値!N360&gt;高値!L360,高値!N360&gt;高値!O360,高値!N360&gt;高値!P360),9,""))</f>
        <v/>
      </c>
      <c r="AK360" s="503" t="str">
        <f>IF(終値!A360="","",IF(AND(高値!O360&gt;高値!N360,高値!O360&gt;高値!M360,高値!O360&gt;高値!P360,高値!O360&gt;高値!Q360),10,""))</f>
        <v/>
      </c>
      <c r="AL360" s="503" t="str">
        <f>IF(終値!A360="","",IF(AND(高値!P360&gt;高値!O360,高値!P360&gt;高値!N360,高値!P360&gt;高値!Q360,高値!P360&gt;高値!R360),11,""))</f>
        <v/>
      </c>
      <c r="AM360" s="503" t="str">
        <f>IF(終値!A360="","",IF(AND(高値!Q360&gt;高値!P360,高値!Q360&gt;高値!O360,高値!Q360&gt;高値!R360,高値!Q360&gt;高値!S360),12,""))</f>
        <v/>
      </c>
      <c r="AN360" s="503" t="str">
        <f>IF(終値!A360="","",IF(AND(高値!R360&gt;高値!Q360,高値!R360&gt;高値!P360,高値!R360&gt;高値!S360,高値!R360&gt;高値!T360),13,""))</f>
        <v/>
      </c>
      <c r="AO360" s="503" t="str">
        <f>IF(終値!A360="","",IF(AND(高値!S360&gt;高値!R360,高値!S360&gt;高値!Q360,高値!S360&gt;高値!T360,高値!S360&gt;高値!U360),14,""))</f>
        <v/>
      </c>
      <c r="AP360" s="503" t="str">
        <f>IF(終値!A360="","",IF(AND(高値!T360&gt;高値!S360,高値!T360&gt;高値!R360,高値!T360&gt;高値!U360,高値!T360&gt;高値!V360),15,""))</f>
        <v/>
      </c>
      <c r="AQ360" s="503" t="str">
        <f>IF(終値!A360="","",IF(AND(高値!U360&gt;高値!T360,高値!U360&gt;高値!S360,高値!U360&gt;高値!V360,高値!U360&gt;高値!W360),16,""))</f>
        <v/>
      </c>
      <c r="AR360" s="503" t="str">
        <f>IF(終値!A360="","",IF(AND(高値!V360&gt;高値!U360,高値!V360&gt;高値!T360,高値!V360&gt;高値!W360,高値!V360&gt;高値!X360),17,""))</f>
        <v/>
      </c>
      <c r="AS360" s="503" t="str">
        <f>IF(終値!A360="","",IF(AND(高値!W360&gt;高値!V360,高値!W360&gt;高値!U360,高値!W360&gt;高値!X360,高値!W360&gt;高値!Y360),18,""))</f>
        <v/>
      </c>
      <c r="AT360" s="503" t="str">
        <f>IF(終値!A360="","",IF(AND(高値!X360&gt;高値!W360,高値!X360&gt;高値!V360,高値!X360&gt;高値!Y360,高値!X360&gt;高値!Z360),19,""))</f>
        <v/>
      </c>
      <c r="AU360" s="503" t="str">
        <f>IF(終値!A360="","",IF(AND(高値!Y360&gt;高値!X360,高値!Y360&gt;高値!W360,高値!Y360&gt;高値!Z360,高値!Y360&gt;高値!AA360),20,""))</f>
        <v/>
      </c>
      <c r="AV360" s="503" t="str">
        <f>IF(終値!A360="","",IF(AND(高値!Z360&gt;高値!Y360,高値!Z360&gt;高値!X360,高値!Z360&gt;高値!AA360,高値!Z360&gt;高値!AB360),21,""))</f>
        <v/>
      </c>
      <c r="AW360" s="503" t="str">
        <f>IF(終値!A360="","",IF(AND(高値!AA360&gt;高値!Z360,高値!AA360&gt;高値!Y360,高値!AA360&gt;高値!AB360,高値!AA360&gt;高値!AC360),22,""))</f>
        <v/>
      </c>
      <c r="AX360" s="503" t="str">
        <f>IF(終値!A360="","",IF(AND(高値!AB360&gt;高値!AA360,高値!AB360&gt;高値!Z360,高値!AB360&gt;高値!AC360,高値!AB360&gt;高値!AD360),23,""))</f>
        <v/>
      </c>
      <c r="AY360" s="503" t="str">
        <f>IF(終値!A360="","",IF(AND(高値!AC360&gt;高値!AB360,高値!AC360&gt;高値!AA360,高値!AC360&gt;高値!AD360,高値!AC360&gt;高値!AE360),24,""))</f>
        <v/>
      </c>
      <c r="AZ360" s="503" t="str">
        <f>IF(終値!A360="","",IF(AND(高値!AD360&gt;高値!AC360,高値!AD360&gt;高値!AB360,高値!AD360&gt;高値!AE360,高値!AD360&gt;高値!AF360),25,""))</f>
        <v/>
      </c>
      <c r="BA360" s="503" t="str">
        <f>IF(終値!A360="","",IF(AND(高値!AE360&gt;高値!AD360,高値!AE360&gt;高値!AC360,高値!AE360&gt;高値!AF360,高値!AE360&gt;高値!AG360),26,""))</f>
        <v/>
      </c>
      <c r="BB360" s="503" t="str">
        <f>IF(終値!A360="","",IF(AND(高値!AF360&gt;高値!AE360,高値!AF360&gt;高値!AD360,高値!AF360&gt;高値!AG360,高値!AF360&gt;高値!AH360),27,""))</f>
        <v/>
      </c>
      <c r="BC360" s="503" t="str">
        <f>IF(終値!A360="","",IF(AND(高値!AG360&gt;高値!AF360,高値!AG360&gt;高値!AE360,高値!AG360&gt;高値!AH360,高値!AG360&gt;高値!AI360),28,""))</f>
        <v/>
      </c>
      <c r="BD360" s="503">
        <f t="shared" si="30"/>
        <v>0</v>
      </c>
      <c r="BE360" s="503" t="str">
        <f t="shared" si="31"/>
        <v/>
      </c>
      <c r="BF360" s="503" t="str">
        <f t="shared" si="32"/>
        <v/>
      </c>
      <c r="BG360" s="503" t="str">
        <f>IF($BE360="","",INDEX(安値!$E360:$CZ360,1,$BE360+1))</f>
        <v/>
      </c>
      <c r="BH360" s="503" t="str">
        <f>IF($BF360="","",INDEX(安値!$E360:$CZ360,1,$BF360+1))</f>
        <v/>
      </c>
      <c r="BI360" s="503" t="str">
        <f>IF($BF360="","",MAX(INDEX(高値!$E360:$CZ360,1,$BE360+1):INDEX(高値!$E360:$CZ360,1,$BF360+1)))</f>
        <v/>
      </c>
      <c r="BJ360" s="503" t="str">
        <f>IF($BF360="","",AVERAGE(INDEX(終値!$E360:$CZ360,1,$BF360+1):INDEX(終値!$E360:$CZ360,1,$BF360+20))-2*STDEVP(INDEX(終値!$E360:$CZ360,1,$BF360+1):INDEX(終値!$E360:$CZ360,1,$BF360+20)))</f>
        <v/>
      </c>
      <c r="BK360" s="503" t="str">
        <f>IF($BE360="","",AVERAGE(INDEX(終値!$E360:$CZ360,1,$BE360+1):INDEX(終値!$E360:$CZ360,1,$BE360+20))-2*STDEVP(INDEX(終値!$E360:$CZ360,1,$BE360+1):INDEX(終値!$E360:$CZ360,1,$BE360+20)))</f>
        <v/>
      </c>
      <c r="BL360" s="503">
        <f t="shared" si="33"/>
        <v>0</v>
      </c>
      <c r="BM360" s="503" t="str">
        <f t="shared" si="34"/>
        <v/>
      </c>
      <c r="BN360" s="503" t="str">
        <f t="shared" si="35"/>
        <v/>
      </c>
      <c r="BO360" s="503" t="str">
        <f>IF($BM360="","",INDEX(高値!$E360:$CZ360,1,$BM360+1))</f>
        <v/>
      </c>
      <c r="BP360" s="503" t="str">
        <f>IF($BN360="","",INDEX(高値!$E360:$CZ360,1,$BN360+1))</f>
        <v/>
      </c>
      <c r="BQ360" s="503" t="str">
        <f>IF($BN360="","",MIN(INDEX(安値!$E360:$CZ360,1,$BM360+1):INDEX(安値!$E360:$CZ360,1,$BN360+1)))</f>
        <v/>
      </c>
      <c r="BR360" s="503" t="str">
        <f>IF($BN360="","",AVERAGE(INDEX(終値!$E360:$CZ360,1,$BN360+1):INDEX(終値!$E360:$CZ360,1,$BN360+20))+2*STDEVP(INDEX(終値!$E360:$CZ360,1,$BN360+1):INDEX(終値!$E360:$CZ360,1,$BN360+20)))</f>
        <v/>
      </c>
      <c r="BS360" s="503" t="str">
        <f>IF($BM360="","",AVERAGE(INDEX(終値!$E360:$CZ360,1,$BM360+1):INDEX(終値!$E360:$CZ360,1,$BM360+20))+2*STDEVP(INDEX(終値!$E360:$CZ360,1,$BM360+1):INDEX(終値!$E360:$CZ360,1,$BM360+20)))</f>
        <v/>
      </c>
      <c r="BT360" s="500"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3" t="str">
        <f>IF(終値!A361="","",IF(AND(安値!G361&lt;安値!F361,安値!G361&lt;安値!E361,安値!G361&lt;安値!H361,安値!G361&lt;安値!I361),2,""))</f>
        <v/>
      </c>
      <c r="C361" s="503" t="str">
        <f>IF(終値!A361="","",IF(AND(安値!H361&lt;安値!G361,安値!H361&lt;安値!F361,安値!H361&lt;安値!I361,安値!H361&lt;安値!J361),3,""))</f>
        <v/>
      </c>
      <c r="D361" s="503" t="str">
        <f>IF(終値!A361="","",IF(AND(安値!I361&lt;安値!H361,安値!I361&lt;安値!G361,安値!I361&lt;安値!J361,安値!I361&lt;安値!K361),4,""))</f>
        <v/>
      </c>
      <c r="E361" s="503" t="str">
        <f>IF(終値!A361="","",IF(AND(安値!J361&lt;安値!I361,安値!J361&lt;安値!H361,安値!J361&lt;安値!K361,安値!J361&lt;安値!L361),5,""))</f>
        <v/>
      </c>
      <c r="F361" s="503" t="str">
        <f>IF(終値!A361="","",IF(AND(安値!K361&lt;安値!J361,安値!K361&lt;安値!I361,安値!K361&lt;安値!L361,安値!K361&lt;安値!M361),6,""))</f>
        <v/>
      </c>
      <c r="G361" s="503" t="str">
        <f>IF(終値!A361="","",IF(AND(安値!L361&lt;安値!K361,安値!L361&lt;安値!J361,安値!L361&lt;安値!M361,安値!L361&lt;安値!N361),7,""))</f>
        <v/>
      </c>
      <c r="H361" s="503" t="str">
        <f>IF(終値!A361="","",IF(AND(安値!M361&lt;安値!L361,安値!M361&lt;安値!K361,安値!M361&lt;安値!N361,安値!M361&lt;安値!O361),8,""))</f>
        <v/>
      </c>
      <c r="I361" s="503" t="str">
        <f>IF(終値!A361="","",IF(AND(安値!N361&lt;安値!M361,安値!N361&lt;安値!L361,安値!N361&lt;安値!O361,安値!N361&lt;安値!P361),9,""))</f>
        <v/>
      </c>
      <c r="J361" s="503" t="str">
        <f>IF(終値!A361="","",IF(AND(安値!O361&lt;安値!N361,安値!O361&lt;安値!M361,安値!O361&lt;安値!P361,安値!O361&lt;安値!Q361),10,""))</f>
        <v/>
      </c>
      <c r="K361" s="503" t="str">
        <f>IF(終値!A361="","",IF(AND(安値!P361&lt;安値!O361,安値!P361&lt;安値!N361,安値!P361&lt;安値!Q361,安値!P361&lt;安値!R361),11,""))</f>
        <v/>
      </c>
      <c r="L361" s="503" t="str">
        <f>IF(終値!A361="","",IF(AND(安値!Q361&lt;安値!P361,安値!Q361&lt;安値!O361,安値!Q361&lt;安値!R361,安値!Q361&lt;安値!S361),12,""))</f>
        <v/>
      </c>
      <c r="M361" s="503" t="str">
        <f>IF(終値!A361="","",IF(AND(安値!R361&lt;安値!Q361,安値!R361&lt;安値!P361,安値!R361&lt;安値!S361,安値!R361&lt;安値!T361),13,""))</f>
        <v/>
      </c>
      <c r="N361" s="503" t="str">
        <f>IF(終値!A361="","",IF(AND(安値!S361&lt;安値!R361,安値!S361&lt;安値!Q361,安値!S361&lt;安値!T361,安値!S361&lt;安値!U361),14,""))</f>
        <v/>
      </c>
      <c r="O361" s="503" t="str">
        <f>IF(終値!A361="","",IF(AND(安値!T361&lt;安値!S361,安値!T361&lt;安値!R361,安値!T361&lt;安値!U361,安値!T361&lt;安値!V361),15,""))</f>
        <v/>
      </c>
      <c r="P361" s="503" t="str">
        <f>IF(終値!A361="","",IF(AND(安値!U361&lt;安値!T361,安値!U361&lt;安値!S361,安値!U361&lt;安値!V361,安値!U361&lt;安値!W361),16,""))</f>
        <v/>
      </c>
      <c r="Q361" s="503" t="str">
        <f>IF(終値!A361="","",IF(AND(安値!V361&lt;安値!U361,安値!V361&lt;安値!T361,安値!V361&lt;安値!W361,安値!V361&lt;安値!X361),17,""))</f>
        <v/>
      </c>
      <c r="R361" s="503" t="str">
        <f>IF(終値!A361="","",IF(AND(安値!W361&lt;安値!V361,安値!W361&lt;安値!U361,安値!W361&lt;安値!X361,安値!W361&lt;安値!Y361),18,""))</f>
        <v/>
      </c>
      <c r="S361" s="503" t="str">
        <f>IF(終値!A361="","",IF(AND(安値!X361&lt;安値!W361,安値!X361&lt;安値!V361,安値!X361&lt;安値!Y361,安値!X361&lt;安値!Z361),19,""))</f>
        <v/>
      </c>
      <c r="T361" s="503" t="str">
        <f>IF(終値!A361="","",IF(AND(安値!Y361&lt;安値!X361,安値!Y361&lt;安値!W361,安値!Y361&lt;安値!Z361,安値!Y361&lt;安値!AA361),20,""))</f>
        <v/>
      </c>
      <c r="U361" s="503" t="str">
        <f>IF(終値!A361="","",IF(AND(安値!Z361&lt;安値!Y361,安値!Z361&lt;安値!X361,安値!Z361&lt;安値!AA361,安値!Z361&lt;安値!AB361),21,""))</f>
        <v/>
      </c>
      <c r="V361" s="503" t="str">
        <f>IF(終値!A361="","",IF(AND(安値!AA361&lt;安値!Z361,安値!AA361&lt;安値!Y361,安値!AA361&lt;安値!AB361,安値!AA361&lt;安値!AC361),22,""))</f>
        <v/>
      </c>
      <c r="W361" s="503" t="str">
        <f>IF(終値!A361="","",IF(AND(安値!AB361&lt;安値!AA361,安値!AB361&lt;安値!Z361,安値!AB361&lt;安値!AC361,安値!AB361&lt;安値!AD361),23,""))</f>
        <v/>
      </c>
      <c r="X361" s="503" t="str">
        <f>IF(終値!A361="","",IF(AND(安値!AC361&lt;安値!AB361,安値!AC361&lt;安値!AA361,安値!AC361&lt;安値!AD361,安値!AC361&lt;安値!AE361),24,""))</f>
        <v/>
      </c>
      <c r="Y361" s="503" t="str">
        <f>IF(終値!A361="","",IF(AND(安値!AD361&lt;安値!AC361,安値!AD361&lt;安値!AB361,安値!AD361&lt;安値!AE361,安値!AD361&lt;安値!AF361),25,""))</f>
        <v/>
      </c>
      <c r="Z361" s="503" t="str">
        <f>IF(終値!A361="","",IF(AND(安値!AE361&lt;安値!AD361,安値!AE361&lt;安値!AC361,安値!AE361&lt;安値!AF361,安値!AE361&lt;安値!AG361),26,""))</f>
        <v/>
      </c>
      <c r="AA361" s="503" t="str">
        <f>IF(終値!A361="","",IF(AND(安値!AF361&lt;安値!AE361,安値!AF361&lt;安値!AD361,安値!AF361&lt;安値!AG361,安値!AF361&lt;安値!AH361),27,""))</f>
        <v/>
      </c>
      <c r="AB361" s="503" t="str">
        <f>IF(終値!A361="","",IF(AND(安値!AG361&lt;安値!AF361,安値!AG361&lt;安値!AE361,安値!AG361&lt;安値!AH361,安値!AG361&lt;安値!AI361),28,""))</f>
        <v/>
      </c>
      <c r="AC361" s="503" t="str">
        <f>IF(終値!A361="","",IF(AND(高値!G361&gt;高値!F361,高値!G361&gt;高値!E361,高値!G361&gt;高値!H361,高値!G361&gt;高値!I361),2,""))</f>
        <v/>
      </c>
      <c r="AD361" s="503" t="str">
        <f>IF(終値!A361="","",IF(AND(高値!H361&gt;高値!G361,高値!H361&gt;高値!F361,高値!H361&gt;高値!I361,高値!H361&gt;高値!J361),3,""))</f>
        <v/>
      </c>
      <c r="AE361" s="503" t="str">
        <f>IF(終値!A361="","",IF(AND(高値!I361&gt;高値!H361,高値!I361&gt;高値!G361,高値!I361&gt;高値!J361,高値!I361&gt;高値!K361),4,""))</f>
        <v/>
      </c>
      <c r="AF361" s="503" t="str">
        <f>IF(終値!A361="","",IF(AND(高値!J361&gt;高値!I361,高値!J361&gt;高値!H361,高値!J361&gt;高値!K361,高値!J361&gt;高値!L361),5,""))</f>
        <v/>
      </c>
      <c r="AG361" s="503" t="str">
        <f>IF(終値!A361="","",IF(AND(高値!K361&gt;高値!J361,高値!K361&gt;高値!I361,高値!K361&gt;高値!L361,高値!K361&gt;高値!M361),6,""))</f>
        <v/>
      </c>
      <c r="AH361" s="503" t="str">
        <f>IF(終値!A361="","",IF(AND(高値!L361&gt;高値!K361,高値!L361&gt;高値!J361,高値!L361&gt;高値!M361,高値!L361&gt;高値!N361),7,""))</f>
        <v/>
      </c>
      <c r="AI361" s="503" t="str">
        <f>IF(終値!A361="","",IF(AND(高値!M361&gt;高値!L361,高値!M361&gt;高値!K361,高値!M361&gt;高値!N361,高値!M361&gt;高値!O361),8,""))</f>
        <v/>
      </c>
      <c r="AJ361" s="503" t="str">
        <f>IF(終値!A361="","",IF(AND(高値!N361&gt;高値!M361,高値!N361&gt;高値!L361,高値!N361&gt;高値!O361,高値!N361&gt;高値!P361),9,""))</f>
        <v/>
      </c>
      <c r="AK361" s="503" t="str">
        <f>IF(終値!A361="","",IF(AND(高値!O361&gt;高値!N361,高値!O361&gt;高値!M361,高値!O361&gt;高値!P361,高値!O361&gt;高値!Q361),10,""))</f>
        <v/>
      </c>
      <c r="AL361" s="503" t="str">
        <f>IF(終値!A361="","",IF(AND(高値!P361&gt;高値!O361,高値!P361&gt;高値!N361,高値!P361&gt;高値!Q361,高値!P361&gt;高値!R361),11,""))</f>
        <v/>
      </c>
      <c r="AM361" s="503" t="str">
        <f>IF(終値!A361="","",IF(AND(高値!Q361&gt;高値!P361,高値!Q361&gt;高値!O361,高値!Q361&gt;高値!R361,高値!Q361&gt;高値!S361),12,""))</f>
        <v/>
      </c>
      <c r="AN361" s="503" t="str">
        <f>IF(終値!A361="","",IF(AND(高値!R361&gt;高値!Q361,高値!R361&gt;高値!P361,高値!R361&gt;高値!S361,高値!R361&gt;高値!T361),13,""))</f>
        <v/>
      </c>
      <c r="AO361" s="503" t="str">
        <f>IF(終値!A361="","",IF(AND(高値!S361&gt;高値!R361,高値!S361&gt;高値!Q361,高値!S361&gt;高値!T361,高値!S361&gt;高値!U361),14,""))</f>
        <v/>
      </c>
      <c r="AP361" s="503" t="str">
        <f>IF(終値!A361="","",IF(AND(高値!T361&gt;高値!S361,高値!T361&gt;高値!R361,高値!T361&gt;高値!U361,高値!T361&gt;高値!V361),15,""))</f>
        <v/>
      </c>
      <c r="AQ361" s="503" t="str">
        <f>IF(終値!A361="","",IF(AND(高値!U361&gt;高値!T361,高値!U361&gt;高値!S361,高値!U361&gt;高値!V361,高値!U361&gt;高値!W361),16,""))</f>
        <v/>
      </c>
      <c r="AR361" s="503" t="str">
        <f>IF(終値!A361="","",IF(AND(高値!V361&gt;高値!U361,高値!V361&gt;高値!T361,高値!V361&gt;高値!W361,高値!V361&gt;高値!X361),17,""))</f>
        <v/>
      </c>
      <c r="AS361" s="503" t="str">
        <f>IF(終値!A361="","",IF(AND(高値!W361&gt;高値!V361,高値!W361&gt;高値!U361,高値!W361&gt;高値!X361,高値!W361&gt;高値!Y361),18,""))</f>
        <v/>
      </c>
      <c r="AT361" s="503" t="str">
        <f>IF(終値!A361="","",IF(AND(高値!X361&gt;高値!W361,高値!X361&gt;高値!V361,高値!X361&gt;高値!Y361,高値!X361&gt;高値!Z361),19,""))</f>
        <v/>
      </c>
      <c r="AU361" s="503" t="str">
        <f>IF(終値!A361="","",IF(AND(高値!Y361&gt;高値!X361,高値!Y361&gt;高値!W361,高値!Y361&gt;高値!Z361,高値!Y361&gt;高値!AA361),20,""))</f>
        <v/>
      </c>
      <c r="AV361" s="503" t="str">
        <f>IF(終値!A361="","",IF(AND(高値!Z361&gt;高値!Y361,高値!Z361&gt;高値!X361,高値!Z361&gt;高値!AA361,高値!Z361&gt;高値!AB361),21,""))</f>
        <v/>
      </c>
      <c r="AW361" s="503" t="str">
        <f>IF(終値!A361="","",IF(AND(高値!AA361&gt;高値!Z361,高値!AA361&gt;高値!Y361,高値!AA361&gt;高値!AB361,高値!AA361&gt;高値!AC361),22,""))</f>
        <v/>
      </c>
      <c r="AX361" s="503" t="str">
        <f>IF(終値!A361="","",IF(AND(高値!AB361&gt;高値!AA361,高値!AB361&gt;高値!Z361,高値!AB361&gt;高値!AC361,高値!AB361&gt;高値!AD361),23,""))</f>
        <v/>
      </c>
      <c r="AY361" s="503" t="str">
        <f>IF(終値!A361="","",IF(AND(高値!AC361&gt;高値!AB361,高値!AC361&gt;高値!AA361,高値!AC361&gt;高値!AD361,高値!AC361&gt;高値!AE361),24,""))</f>
        <v/>
      </c>
      <c r="AZ361" s="503" t="str">
        <f>IF(終値!A361="","",IF(AND(高値!AD361&gt;高値!AC361,高値!AD361&gt;高値!AB361,高値!AD361&gt;高値!AE361,高値!AD361&gt;高値!AF361),25,""))</f>
        <v/>
      </c>
      <c r="BA361" s="503" t="str">
        <f>IF(終値!A361="","",IF(AND(高値!AE361&gt;高値!AD361,高値!AE361&gt;高値!AC361,高値!AE361&gt;高値!AF361,高値!AE361&gt;高値!AG361),26,""))</f>
        <v/>
      </c>
      <c r="BB361" s="503" t="str">
        <f>IF(終値!A361="","",IF(AND(高値!AF361&gt;高値!AE361,高値!AF361&gt;高値!AD361,高値!AF361&gt;高値!AG361,高値!AF361&gt;高値!AH361),27,""))</f>
        <v/>
      </c>
      <c r="BC361" s="503" t="str">
        <f>IF(終値!A361="","",IF(AND(高値!AG361&gt;高値!AF361,高値!AG361&gt;高値!AE361,高値!AG361&gt;高値!AH361,高値!AG361&gt;高値!AI361),28,""))</f>
        <v/>
      </c>
      <c r="BD361" s="503">
        <f t="shared" si="30"/>
        <v>0</v>
      </c>
      <c r="BE361" s="503" t="str">
        <f t="shared" si="31"/>
        <v/>
      </c>
      <c r="BF361" s="503" t="str">
        <f t="shared" si="32"/>
        <v/>
      </c>
      <c r="BG361" s="503" t="str">
        <f>IF($BE361="","",INDEX(安値!$E361:$CZ361,1,$BE361+1))</f>
        <v/>
      </c>
      <c r="BH361" s="503" t="str">
        <f>IF($BF361="","",INDEX(安値!$E361:$CZ361,1,$BF361+1))</f>
        <v/>
      </c>
      <c r="BI361" s="503" t="str">
        <f>IF($BF361="","",MAX(INDEX(高値!$E361:$CZ361,1,$BE361+1):INDEX(高値!$E361:$CZ361,1,$BF361+1)))</f>
        <v/>
      </c>
      <c r="BJ361" s="503" t="str">
        <f>IF($BF361="","",AVERAGE(INDEX(終値!$E361:$CZ361,1,$BF361+1):INDEX(終値!$E361:$CZ361,1,$BF361+20))-2*STDEVP(INDEX(終値!$E361:$CZ361,1,$BF361+1):INDEX(終値!$E361:$CZ361,1,$BF361+20)))</f>
        <v/>
      </c>
      <c r="BK361" s="503" t="str">
        <f>IF($BE361="","",AVERAGE(INDEX(終値!$E361:$CZ361,1,$BE361+1):INDEX(終値!$E361:$CZ361,1,$BE361+20))-2*STDEVP(INDEX(終値!$E361:$CZ361,1,$BE361+1):INDEX(終値!$E361:$CZ361,1,$BE361+20)))</f>
        <v/>
      </c>
      <c r="BL361" s="503">
        <f t="shared" si="33"/>
        <v>0</v>
      </c>
      <c r="BM361" s="503" t="str">
        <f t="shared" si="34"/>
        <v/>
      </c>
      <c r="BN361" s="503" t="str">
        <f t="shared" si="35"/>
        <v/>
      </c>
      <c r="BO361" s="503" t="str">
        <f>IF($BM361="","",INDEX(高値!$E361:$CZ361,1,$BM361+1))</f>
        <v/>
      </c>
      <c r="BP361" s="503" t="str">
        <f>IF($BN361="","",INDEX(高値!$E361:$CZ361,1,$BN361+1))</f>
        <v/>
      </c>
      <c r="BQ361" s="503" t="str">
        <f>IF($BN361="","",MIN(INDEX(安値!$E361:$CZ361,1,$BM361+1):INDEX(安値!$E361:$CZ361,1,$BN361+1)))</f>
        <v/>
      </c>
      <c r="BR361" s="503" t="str">
        <f>IF($BN361="","",AVERAGE(INDEX(終値!$E361:$CZ361,1,$BN361+1):INDEX(終値!$E361:$CZ361,1,$BN361+20))+2*STDEVP(INDEX(終値!$E361:$CZ361,1,$BN361+1):INDEX(終値!$E361:$CZ361,1,$BN361+20)))</f>
        <v/>
      </c>
      <c r="BS361" s="503" t="str">
        <f>IF($BM361="","",AVERAGE(INDEX(終値!$E361:$CZ361,1,$BM361+1):INDEX(終値!$E361:$CZ361,1,$BM361+20))+2*STDEVP(INDEX(終値!$E361:$CZ361,1,$BM361+1):INDEX(終値!$E361:$CZ361,1,$BM361+20)))</f>
        <v/>
      </c>
      <c r="BT361" s="500"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3" t="str">
        <f>IF(終値!A362="","",IF(AND(安値!G362&lt;安値!F362,安値!G362&lt;安値!E362,安値!G362&lt;安値!H362,安値!G362&lt;安値!I362),2,""))</f>
        <v/>
      </c>
      <c r="C362" s="503" t="str">
        <f>IF(終値!A362="","",IF(AND(安値!H362&lt;安値!G362,安値!H362&lt;安値!F362,安値!H362&lt;安値!I362,安値!H362&lt;安値!J362),3,""))</f>
        <v/>
      </c>
      <c r="D362" s="503" t="str">
        <f>IF(終値!A362="","",IF(AND(安値!I362&lt;安値!H362,安値!I362&lt;安値!G362,安値!I362&lt;安値!J362,安値!I362&lt;安値!K362),4,""))</f>
        <v/>
      </c>
      <c r="E362" s="503" t="str">
        <f>IF(終値!A362="","",IF(AND(安値!J362&lt;安値!I362,安値!J362&lt;安値!H362,安値!J362&lt;安値!K362,安値!J362&lt;安値!L362),5,""))</f>
        <v/>
      </c>
      <c r="F362" s="503" t="str">
        <f>IF(終値!A362="","",IF(AND(安値!K362&lt;安値!J362,安値!K362&lt;安値!I362,安値!K362&lt;安値!L362,安値!K362&lt;安値!M362),6,""))</f>
        <v/>
      </c>
      <c r="G362" s="503" t="str">
        <f>IF(終値!A362="","",IF(AND(安値!L362&lt;安値!K362,安値!L362&lt;安値!J362,安値!L362&lt;安値!M362,安値!L362&lt;安値!N362),7,""))</f>
        <v/>
      </c>
      <c r="H362" s="503" t="str">
        <f>IF(終値!A362="","",IF(AND(安値!M362&lt;安値!L362,安値!M362&lt;安値!K362,安値!M362&lt;安値!N362,安値!M362&lt;安値!O362),8,""))</f>
        <v/>
      </c>
      <c r="I362" s="503" t="str">
        <f>IF(終値!A362="","",IF(AND(安値!N362&lt;安値!M362,安値!N362&lt;安値!L362,安値!N362&lt;安値!O362,安値!N362&lt;安値!P362),9,""))</f>
        <v/>
      </c>
      <c r="J362" s="503" t="str">
        <f>IF(終値!A362="","",IF(AND(安値!O362&lt;安値!N362,安値!O362&lt;安値!M362,安値!O362&lt;安値!P362,安値!O362&lt;安値!Q362),10,""))</f>
        <v/>
      </c>
      <c r="K362" s="503" t="str">
        <f>IF(終値!A362="","",IF(AND(安値!P362&lt;安値!O362,安値!P362&lt;安値!N362,安値!P362&lt;安値!Q362,安値!P362&lt;安値!R362),11,""))</f>
        <v/>
      </c>
      <c r="L362" s="503" t="str">
        <f>IF(終値!A362="","",IF(AND(安値!Q362&lt;安値!P362,安値!Q362&lt;安値!O362,安値!Q362&lt;安値!R362,安値!Q362&lt;安値!S362),12,""))</f>
        <v/>
      </c>
      <c r="M362" s="503" t="str">
        <f>IF(終値!A362="","",IF(AND(安値!R362&lt;安値!Q362,安値!R362&lt;安値!P362,安値!R362&lt;安値!S362,安値!R362&lt;安値!T362),13,""))</f>
        <v/>
      </c>
      <c r="N362" s="503" t="str">
        <f>IF(終値!A362="","",IF(AND(安値!S362&lt;安値!R362,安値!S362&lt;安値!Q362,安値!S362&lt;安値!T362,安値!S362&lt;安値!U362),14,""))</f>
        <v/>
      </c>
      <c r="O362" s="503" t="str">
        <f>IF(終値!A362="","",IF(AND(安値!T362&lt;安値!S362,安値!T362&lt;安値!R362,安値!T362&lt;安値!U362,安値!T362&lt;安値!V362),15,""))</f>
        <v/>
      </c>
      <c r="P362" s="503" t="str">
        <f>IF(終値!A362="","",IF(AND(安値!U362&lt;安値!T362,安値!U362&lt;安値!S362,安値!U362&lt;安値!V362,安値!U362&lt;安値!W362),16,""))</f>
        <v/>
      </c>
      <c r="Q362" s="503" t="str">
        <f>IF(終値!A362="","",IF(AND(安値!V362&lt;安値!U362,安値!V362&lt;安値!T362,安値!V362&lt;安値!W362,安値!V362&lt;安値!X362),17,""))</f>
        <v/>
      </c>
      <c r="R362" s="503" t="str">
        <f>IF(終値!A362="","",IF(AND(安値!W362&lt;安値!V362,安値!W362&lt;安値!U362,安値!W362&lt;安値!X362,安値!W362&lt;安値!Y362),18,""))</f>
        <v/>
      </c>
      <c r="S362" s="503" t="str">
        <f>IF(終値!A362="","",IF(AND(安値!X362&lt;安値!W362,安値!X362&lt;安値!V362,安値!X362&lt;安値!Y362,安値!X362&lt;安値!Z362),19,""))</f>
        <v/>
      </c>
      <c r="T362" s="503" t="str">
        <f>IF(終値!A362="","",IF(AND(安値!Y362&lt;安値!X362,安値!Y362&lt;安値!W362,安値!Y362&lt;安値!Z362,安値!Y362&lt;安値!AA362),20,""))</f>
        <v/>
      </c>
      <c r="U362" s="503" t="str">
        <f>IF(終値!A362="","",IF(AND(安値!Z362&lt;安値!Y362,安値!Z362&lt;安値!X362,安値!Z362&lt;安値!AA362,安値!Z362&lt;安値!AB362),21,""))</f>
        <v/>
      </c>
      <c r="V362" s="503" t="str">
        <f>IF(終値!A362="","",IF(AND(安値!AA362&lt;安値!Z362,安値!AA362&lt;安値!Y362,安値!AA362&lt;安値!AB362,安値!AA362&lt;安値!AC362),22,""))</f>
        <v/>
      </c>
      <c r="W362" s="503" t="str">
        <f>IF(終値!A362="","",IF(AND(安値!AB362&lt;安値!AA362,安値!AB362&lt;安値!Z362,安値!AB362&lt;安値!AC362,安値!AB362&lt;安値!AD362),23,""))</f>
        <v/>
      </c>
      <c r="X362" s="503" t="str">
        <f>IF(終値!A362="","",IF(AND(安値!AC362&lt;安値!AB362,安値!AC362&lt;安値!AA362,安値!AC362&lt;安値!AD362,安値!AC362&lt;安値!AE362),24,""))</f>
        <v/>
      </c>
      <c r="Y362" s="503" t="str">
        <f>IF(終値!A362="","",IF(AND(安値!AD362&lt;安値!AC362,安値!AD362&lt;安値!AB362,安値!AD362&lt;安値!AE362,安値!AD362&lt;安値!AF362),25,""))</f>
        <v/>
      </c>
      <c r="Z362" s="503" t="str">
        <f>IF(終値!A362="","",IF(AND(安値!AE362&lt;安値!AD362,安値!AE362&lt;安値!AC362,安値!AE362&lt;安値!AF362,安値!AE362&lt;安値!AG362),26,""))</f>
        <v/>
      </c>
      <c r="AA362" s="503" t="str">
        <f>IF(終値!A362="","",IF(AND(安値!AF362&lt;安値!AE362,安値!AF362&lt;安値!AD362,安値!AF362&lt;安値!AG362,安値!AF362&lt;安値!AH362),27,""))</f>
        <v/>
      </c>
      <c r="AB362" s="503" t="str">
        <f>IF(終値!A362="","",IF(AND(安値!AG362&lt;安値!AF362,安値!AG362&lt;安値!AE362,安値!AG362&lt;安値!AH362,安値!AG362&lt;安値!AI362),28,""))</f>
        <v/>
      </c>
      <c r="AC362" s="503" t="str">
        <f>IF(終値!A362="","",IF(AND(高値!G362&gt;高値!F362,高値!G362&gt;高値!E362,高値!G362&gt;高値!H362,高値!G362&gt;高値!I362),2,""))</f>
        <v/>
      </c>
      <c r="AD362" s="503" t="str">
        <f>IF(終値!A362="","",IF(AND(高値!H362&gt;高値!G362,高値!H362&gt;高値!F362,高値!H362&gt;高値!I362,高値!H362&gt;高値!J362),3,""))</f>
        <v/>
      </c>
      <c r="AE362" s="503" t="str">
        <f>IF(終値!A362="","",IF(AND(高値!I362&gt;高値!H362,高値!I362&gt;高値!G362,高値!I362&gt;高値!J362,高値!I362&gt;高値!K362),4,""))</f>
        <v/>
      </c>
      <c r="AF362" s="503" t="str">
        <f>IF(終値!A362="","",IF(AND(高値!J362&gt;高値!I362,高値!J362&gt;高値!H362,高値!J362&gt;高値!K362,高値!J362&gt;高値!L362),5,""))</f>
        <v/>
      </c>
      <c r="AG362" s="503" t="str">
        <f>IF(終値!A362="","",IF(AND(高値!K362&gt;高値!J362,高値!K362&gt;高値!I362,高値!K362&gt;高値!L362,高値!K362&gt;高値!M362),6,""))</f>
        <v/>
      </c>
      <c r="AH362" s="503" t="str">
        <f>IF(終値!A362="","",IF(AND(高値!L362&gt;高値!K362,高値!L362&gt;高値!J362,高値!L362&gt;高値!M362,高値!L362&gt;高値!N362),7,""))</f>
        <v/>
      </c>
      <c r="AI362" s="503" t="str">
        <f>IF(終値!A362="","",IF(AND(高値!M362&gt;高値!L362,高値!M362&gt;高値!K362,高値!M362&gt;高値!N362,高値!M362&gt;高値!O362),8,""))</f>
        <v/>
      </c>
      <c r="AJ362" s="503" t="str">
        <f>IF(終値!A362="","",IF(AND(高値!N362&gt;高値!M362,高値!N362&gt;高値!L362,高値!N362&gt;高値!O362,高値!N362&gt;高値!P362),9,""))</f>
        <v/>
      </c>
      <c r="AK362" s="503" t="str">
        <f>IF(終値!A362="","",IF(AND(高値!O362&gt;高値!N362,高値!O362&gt;高値!M362,高値!O362&gt;高値!P362,高値!O362&gt;高値!Q362),10,""))</f>
        <v/>
      </c>
      <c r="AL362" s="503" t="str">
        <f>IF(終値!A362="","",IF(AND(高値!P362&gt;高値!O362,高値!P362&gt;高値!N362,高値!P362&gt;高値!Q362,高値!P362&gt;高値!R362),11,""))</f>
        <v/>
      </c>
      <c r="AM362" s="503" t="str">
        <f>IF(終値!A362="","",IF(AND(高値!Q362&gt;高値!P362,高値!Q362&gt;高値!O362,高値!Q362&gt;高値!R362,高値!Q362&gt;高値!S362),12,""))</f>
        <v/>
      </c>
      <c r="AN362" s="503" t="str">
        <f>IF(終値!A362="","",IF(AND(高値!R362&gt;高値!Q362,高値!R362&gt;高値!P362,高値!R362&gt;高値!S362,高値!R362&gt;高値!T362),13,""))</f>
        <v/>
      </c>
      <c r="AO362" s="503" t="str">
        <f>IF(終値!A362="","",IF(AND(高値!S362&gt;高値!R362,高値!S362&gt;高値!Q362,高値!S362&gt;高値!T362,高値!S362&gt;高値!U362),14,""))</f>
        <v/>
      </c>
      <c r="AP362" s="503" t="str">
        <f>IF(終値!A362="","",IF(AND(高値!T362&gt;高値!S362,高値!T362&gt;高値!R362,高値!T362&gt;高値!U362,高値!T362&gt;高値!V362),15,""))</f>
        <v/>
      </c>
      <c r="AQ362" s="503" t="str">
        <f>IF(終値!A362="","",IF(AND(高値!U362&gt;高値!T362,高値!U362&gt;高値!S362,高値!U362&gt;高値!V362,高値!U362&gt;高値!W362),16,""))</f>
        <v/>
      </c>
      <c r="AR362" s="503" t="str">
        <f>IF(終値!A362="","",IF(AND(高値!V362&gt;高値!U362,高値!V362&gt;高値!T362,高値!V362&gt;高値!W362,高値!V362&gt;高値!X362),17,""))</f>
        <v/>
      </c>
      <c r="AS362" s="503" t="str">
        <f>IF(終値!A362="","",IF(AND(高値!W362&gt;高値!V362,高値!W362&gt;高値!U362,高値!W362&gt;高値!X362,高値!W362&gt;高値!Y362),18,""))</f>
        <v/>
      </c>
      <c r="AT362" s="503" t="str">
        <f>IF(終値!A362="","",IF(AND(高値!X362&gt;高値!W362,高値!X362&gt;高値!V362,高値!X362&gt;高値!Y362,高値!X362&gt;高値!Z362),19,""))</f>
        <v/>
      </c>
      <c r="AU362" s="503" t="str">
        <f>IF(終値!A362="","",IF(AND(高値!Y362&gt;高値!X362,高値!Y362&gt;高値!W362,高値!Y362&gt;高値!Z362,高値!Y362&gt;高値!AA362),20,""))</f>
        <v/>
      </c>
      <c r="AV362" s="503" t="str">
        <f>IF(終値!A362="","",IF(AND(高値!Z362&gt;高値!Y362,高値!Z362&gt;高値!X362,高値!Z362&gt;高値!AA362,高値!Z362&gt;高値!AB362),21,""))</f>
        <v/>
      </c>
      <c r="AW362" s="503" t="str">
        <f>IF(終値!A362="","",IF(AND(高値!AA362&gt;高値!Z362,高値!AA362&gt;高値!Y362,高値!AA362&gt;高値!AB362,高値!AA362&gt;高値!AC362),22,""))</f>
        <v/>
      </c>
      <c r="AX362" s="503" t="str">
        <f>IF(終値!A362="","",IF(AND(高値!AB362&gt;高値!AA362,高値!AB362&gt;高値!Z362,高値!AB362&gt;高値!AC362,高値!AB362&gt;高値!AD362),23,""))</f>
        <v/>
      </c>
      <c r="AY362" s="503" t="str">
        <f>IF(終値!A362="","",IF(AND(高値!AC362&gt;高値!AB362,高値!AC362&gt;高値!AA362,高値!AC362&gt;高値!AD362,高値!AC362&gt;高値!AE362),24,""))</f>
        <v/>
      </c>
      <c r="AZ362" s="503" t="str">
        <f>IF(終値!A362="","",IF(AND(高値!AD362&gt;高値!AC362,高値!AD362&gt;高値!AB362,高値!AD362&gt;高値!AE362,高値!AD362&gt;高値!AF362),25,""))</f>
        <v/>
      </c>
      <c r="BA362" s="503" t="str">
        <f>IF(終値!A362="","",IF(AND(高値!AE362&gt;高値!AD362,高値!AE362&gt;高値!AC362,高値!AE362&gt;高値!AF362,高値!AE362&gt;高値!AG362),26,""))</f>
        <v/>
      </c>
      <c r="BB362" s="503" t="str">
        <f>IF(終値!A362="","",IF(AND(高値!AF362&gt;高値!AE362,高値!AF362&gt;高値!AD362,高値!AF362&gt;高値!AG362,高値!AF362&gt;高値!AH362),27,""))</f>
        <v/>
      </c>
      <c r="BC362" s="503" t="str">
        <f>IF(終値!A362="","",IF(AND(高値!AG362&gt;高値!AF362,高値!AG362&gt;高値!AE362,高値!AG362&gt;高値!AH362,高値!AG362&gt;高値!AI362),28,""))</f>
        <v/>
      </c>
      <c r="BD362" s="503">
        <f t="shared" si="30"/>
        <v>0</v>
      </c>
      <c r="BE362" s="503" t="str">
        <f t="shared" si="31"/>
        <v/>
      </c>
      <c r="BF362" s="503" t="str">
        <f t="shared" si="32"/>
        <v/>
      </c>
      <c r="BG362" s="503" t="str">
        <f>IF($BE362="","",INDEX(安値!$E362:$CZ362,1,$BE362+1))</f>
        <v/>
      </c>
      <c r="BH362" s="503" t="str">
        <f>IF($BF362="","",INDEX(安値!$E362:$CZ362,1,$BF362+1))</f>
        <v/>
      </c>
      <c r="BI362" s="503" t="str">
        <f>IF($BF362="","",MAX(INDEX(高値!$E362:$CZ362,1,$BE362+1):INDEX(高値!$E362:$CZ362,1,$BF362+1)))</f>
        <v/>
      </c>
      <c r="BJ362" s="503" t="str">
        <f>IF($BF362="","",AVERAGE(INDEX(終値!$E362:$CZ362,1,$BF362+1):INDEX(終値!$E362:$CZ362,1,$BF362+20))-2*STDEVP(INDEX(終値!$E362:$CZ362,1,$BF362+1):INDEX(終値!$E362:$CZ362,1,$BF362+20)))</f>
        <v/>
      </c>
      <c r="BK362" s="503" t="str">
        <f>IF($BE362="","",AVERAGE(INDEX(終値!$E362:$CZ362,1,$BE362+1):INDEX(終値!$E362:$CZ362,1,$BE362+20))-2*STDEVP(INDEX(終値!$E362:$CZ362,1,$BE362+1):INDEX(終値!$E362:$CZ362,1,$BE362+20)))</f>
        <v/>
      </c>
      <c r="BL362" s="503">
        <f t="shared" si="33"/>
        <v>0</v>
      </c>
      <c r="BM362" s="503" t="str">
        <f t="shared" si="34"/>
        <v/>
      </c>
      <c r="BN362" s="503" t="str">
        <f t="shared" si="35"/>
        <v/>
      </c>
      <c r="BO362" s="503" t="str">
        <f>IF($BM362="","",INDEX(高値!$E362:$CZ362,1,$BM362+1))</f>
        <v/>
      </c>
      <c r="BP362" s="503" t="str">
        <f>IF($BN362="","",INDEX(高値!$E362:$CZ362,1,$BN362+1))</f>
        <v/>
      </c>
      <c r="BQ362" s="503" t="str">
        <f>IF($BN362="","",MIN(INDEX(安値!$E362:$CZ362,1,$BM362+1):INDEX(安値!$E362:$CZ362,1,$BN362+1)))</f>
        <v/>
      </c>
      <c r="BR362" s="503" t="str">
        <f>IF($BN362="","",AVERAGE(INDEX(終値!$E362:$CZ362,1,$BN362+1):INDEX(終値!$E362:$CZ362,1,$BN362+20))+2*STDEVP(INDEX(終値!$E362:$CZ362,1,$BN362+1):INDEX(終値!$E362:$CZ362,1,$BN362+20)))</f>
        <v/>
      </c>
      <c r="BS362" s="503" t="str">
        <f>IF($BM362="","",AVERAGE(INDEX(終値!$E362:$CZ362,1,$BM362+1):INDEX(終値!$E362:$CZ362,1,$BM362+20))+2*STDEVP(INDEX(終値!$E362:$CZ362,1,$BM362+1):INDEX(終値!$E362:$CZ362,1,$BM362+20)))</f>
        <v/>
      </c>
      <c r="BT362" s="500"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3" t="str">
        <f>IF(終値!A363="","",IF(AND(安値!G363&lt;安値!F363,安値!G363&lt;安値!E363,安値!G363&lt;安値!H363,安値!G363&lt;安値!I363),2,""))</f>
        <v/>
      </c>
      <c r="C363" s="503" t="str">
        <f>IF(終値!A363="","",IF(AND(安値!H363&lt;安値!G363,安値!H363&lt;安値!F363,安値!H363&lt;安値!I363,安値!H363&lt;安値!J363),3,""))</f>
        <v/>
      </c>
      <c r="D363" s="503" t="str">
        <f>IF(終値!A363="","",IF(AND(安値!I363&lt;安値!H363,安値!I363&lt;安値!G363,安値!I363&lt;安値!J363,安値!I363&lt;安値!K363),4,""))</f>
        <v/>
      </c>
      <c r="E363" s="503" t="str">
        <f>IF(終値!A363="","",IF(AND(安値!J363&lt;安値!I363,安値!J363&lt;安値!H363,安値!J363&lt;安値!K363,安値!J363&lt;安値!L363),5,""))</f>
        <v/>
      </c>
      <c r="F363" s="503" t="str">
        <f>IF(終値!A363="","",IF(AND(安値!K363&lt;安値!J363,安値!K363&lt;安値!I363,安値!K363&lt;安値!L363,安値!K363&lt;安値!M363),6,""))</f>
        <v/>
      </c>
      <c r="G363" s="503" t="str">
        <f>IF(終値!A363="","",IF(AND(安値!L363&lt;安値!K363,安値!L363&lt;安値!J363,安値!L363&lt;安値!M363,安値!L363&lt;安値!N363),7,""))</f>
        <v/>
      </c>
      <c r="H363" s="503" t="str">
        <f>IF(終値!A363="","",IF(AND(安値!M363&lt;安値!L363,安値!M363&lt;安値!K363,安値!M363&lt;安値!N363,安値!M363&lt;安値!O363),8,""))</f>
        <v/>
      </c>
      <c r="I363" s="503" t="str">
        <f>IF(終値!A363="","",IF(AND(安値!N363&lt;安値!M363,安値!N363&lt;安値!L363,安値!N363&lt;安値!O363,安値!N363&lt;安値!P363),9,""))</f>
        <v/>
      </c>
      <c r="J363" s="503" t="str">
        <f>IF(終値!A363="","",IF(AND(安値!O363&lt;安値!N363,安値!O363&lt;安値!M363,安値!O363&lt;安値!P363,安値!O363&lt;安値!Q363),10,""))</f>
        <v/>
      </c>
      <c r="K363" s="503" t="str">
        <f>IF(終値!A363="","",IF(AND(安値!P363&lt;安値!O363,安値!P363&lt;安値!N363,安値!P363&lt;安値!Q363,安値!P363&lt;安値!R363),11,""))</f>
        <v/>
      </c>
      <c r="L363" s="503" t="str">
        <f>IF(終値!A363="","",IF(AND(安値!Q363&lt;安値!P363,安値!Q363&lt;安値!O363,安値!Q363&lt;安値!R363,安値!Q363&lt;安値!S363),12,""))</f>
        <v/>
      </c>
      <c r="M363" s="503" t="str">
        <f>IF(終値!A363="","",IF(AND(安値!R363&lt;安値!Q363,安値!R363&lt;安値!P363,安値!R363&lt;安値!S363,安値!R363&lt;安値!T363),13,""))</f>
        <v/>
      </c>
      <c r="N363" s="503" t="str">
        <f>IF(終値!A363="","",IF(AND(安値!S363&lt;安値!R363,安値!S363&lt;安値!Q363,安値!S363&lt;安値!T363,安値!S363&lt;安値!U363),14,""))</f>
        <v/>
      </c>
      <c r="O363" s="503" t="str">
        <f>IF(終値!A363="","",IF(AND(安値!T363&lt;安値!S363,安値!T363&lt;安値!R363,安値!T363&lt;安値!U363,安値!T363&lt;安値!V363),15,""))</f>
        <v/>
      </c>
      <c r="P363" s="503" t="str">
        <f>IF(終値!A363="","",IF(AND(安値!U363&lt;安値!T363,安値!U363&lt;安値!S363,安値!U363&lt;安値!V363,安値!U363&lt;安値!W363),16,""))</f>
        <v/>
      </c>
      <c r="Q363" s="503" t="str">
        <f>IF(終値!A363="","",IF(AND(安値!V363&lt;安値!U363,安値!V363&lt;安値!T363,安値!V363&lt;安値!W363,安値!V363&lt;安値!X363),17,""))</f>
        <v/>
      </c>
      <c r="R363" s="503" t="str">
        <f>IF(終値!A363="","",IF(AND(安値!W363&lt;安値!V363,安値!W363&lt;安値!U363,安値!W363&lt;安値!X363,安値!W363&lt;安値!Y363),18,""))</f>
        <v/>
      </c>
      <c r="S363" s="503" t="str">
        <f>IF(終値!A363="","",IF(AND(安値!X363&lt;安値!W363,安値!X363&lt;安値!V363,安値!X363&lt;安値!Y363,安値!X363&lt;安値!Z363),19,""))</f>
        <v/>
      </c>
      <c r="T363" s="503" t="str">
        <f>IF(終値!A363="","",IF(AND(安値!Y363&lt;安値!X363,安値!Y363&lt;安値!W363,安値!Y363&lt;安値!Z363,安値!Y363&lt;安値!AA363),20,""))</f>
        <v/>
      </c>
      <c r="U363" s="503" t="str">
        <f>IF(終値!A363="","",IF(AND(安値!Z363&lt;安値!Y363,安値!Z363&lt;安値!X363,安値!Z363&lt;安値!AA363,安値!Z363&lt;安値!AB363),21,""))</f>
        <v/>
      </c>
      <c r="V363" s="503" t="str">
        <f>IF(終値!A363="","",IF(AND(安値!AA363&lt;安値!Z363,安値!AA363&lt;安値!Y363,安値!AA363&lt;安値!AB363,安値!AA363&lt;安値!AC363),22,""))</f>
        <v/>
      </c>
      <c r="W363" s="503" t="str">
        <f>IF(終値!A363="","",IF(AND(安値!AB363&lt;安値!AA363,安値!AB363&lt;安値!Z363,安値!AB363&lt;安値!AC363,安値!AB363&lt;安値!AD363),23,""))</f>
        <v/>
      </c>
      <c r="X363" s="503" t="str">
        <f>IF(終値!A363="","",IF(AND(安値!AC363&lt;安値!AB363,安値!AC363&lt;安値!AA363,安値!AC363&lt;安値!AD363,安値!AC363&lt;安値!AE363),24,""))</f>
        <v/>
      </c>
      <c r="Y363" s="503" t="str">
        <f>IF(終値!A363="","",IF(AND(安値!AD363&lt;安値!AC363,安値!AD363&lt;安値!AB363,安値!AD363&lt;安値!AE363,安値!AD363&lt;安値!AF363),25,""))</f>
        <v/>
      </c>
      <c r="Z363" s="503" t="str">
        <f>IF(終値!A363="","",IF(AND(安値!AE363&lt;安値!AD363,安値!AE363&lt;安値!AC363,安値!AE363&lt;安値!AF363,安値!AE363&lt;安値!AG363),26,""))</f>
        <v/>
      </c>
      <c r="AA363" s="503" t="str">
        <f>IF(終値!A363="","",IF(AND(安値!AF363&lt;安値!AE363,安値!AF363&lt;安値!AD363,安値!AF363&lt;安値!AG363,安値!AF363&lt;安値!AH363),27,""))</f>
        <v/>
      </c>
      <c r="AB363" s="503" t="str">
        <f>IF(終値!A363="","",IF(AND(安値!AG363&lt;安値!AF363,安値!AG363&lt;安値!AE363,安値!AG363&lt;安値!AH363,安値!AG363&lt;安値!AI363),28,""))</f>
        <v/>
      </c>
      <c r="AC363" s="503" t="str">
        <f>IF(終値!A363="","",IF(AND(高値!G363&gt;高値!F363,高値!G363&gt;高値!E363,高値!G363&gt;高値!H363,高値!G363&gt;高値!I363),2,""))</f>
        <v/>
      </c>
      <c r="AD363" s="503" t="str">
        <f>IF(終値!A363="","",IF(AND(高値!H363&gt;高値!G363,高値!H363&gt;高値!F363,高値!H363&gt;高値!I363,高値!H363&gt;高値!J363),3,""))</f>
        <v/>
      </c>
      <c r="AE363" s="503" t="str">
        <f>IF(終値!A363="","",IF(AND(高値!I363&gt;高値!H363,高値!I363&gt;高値!G363,高値!I363&gt;高値!J363,高値!I363&gt;高値!K363),4,""))</f>
        <v/>
      </c>
      <c r="AF363" s="503" t="str">
        <f>IF(終値!A363="","",IF(AND(高値!J363&gt;高値!I363,高値!J363&gt;高値!H363,高値!J363&gt;高値!K363,高値!J363&gt;高値!L363),5,""))</f>
        <v/>
      </c>
      <c r="AG363" s="503" t="str">
        <f>IF(終値!A363="","",IF(AND(高値!K363&gt;高値!J363,高値!K363&gt;高値!I363,高値!K363&gt;高値!L363,高値!K363&gt;高値!M363),6,""))</f>
        <v/>
      </c>
      <c r="AH363" s="503" t="str">
        <f>IF(終値!A363="","",IF(AND(高値!L363&gt;高値!K363,高値!L363&gt;高値!J363,高値!L363&gt;高値!M363,高値!L363&gt;高値!N363),7,""))</f>
        <v/>
      </c>
      <c r="AI363" s="503" t="str">
        <f>IF(終値!A363="","",IF(AND(高値!M363&gt;高値!L363,高値!M363&gt;高値!K363,高値!M363&gt;高値!N363,高値!M363&gt;高値!O363),8,""))</f>
        <v/>
      </c>
      <c r="AJ363" s="503" t="str">
        <f>IF(終値!A363="","",IF(AND(高値!N363&gt;高値!M363,高値!N363&gt;高値!L363,高値!N363&gt;高値!O363,高値!N363&gt;高値!P363),9,""))</f>
        <v/>
      </c>
      <c r="AK363" s="503" t="str">
        <f>IF(終値!A363="","",IF(AND(高値!O363&gt;高値!N363,高値!O363&gt;高値!M363,高値!O363&gt;高値!P363,高値!O363&gt;高値!Q363),10,""))</f>
        <v/>
      </c>
      <c r="AL363" s="503" t="str">
        <f>IF(終値!A363="","",IF(AND(高値!P363&gt;高値!O363,高値!P363&gt;高値!N363,高値!P363&gt;高値!Q363,高値!P363&gt;高値!R363),11,""))</f>
        <v/>
      </c>
      <c r="AM363" s="503" t="str">
        <f>IF(終値!A363="","",IF(AND(高値!Q363&gt;高値!P363,高値!Q363&gt;高値!O363,高値!Q363&gt;高値!R363,高値!Q363&gt;高値!S363),12,""))</f>
        <v/>
      </c>
      <c r="AN363" s="503" t="str">
        <f>IF(終値!A363="","",IF(AND(高値!R363&gt;高値!Q363,高値!R363&gt;高値!P363,高値!R363&gt;高値!S363,高値!R363&gt;高値!T363),13,""))</f>
        <v/>
      </c>
      <c r="AO363" s="503" t="str">
        <f>IF(終値!A363="","",IF(AND(高値!S363&gt;高値!R363,高値!S363&gt;高値!Q363,高値!S363&gt;高値!T363,高値!S363&gt;高値!U363),14,""))</f>
        <v/>
      </c>
      <c r="AP363" s="503" t="str">
        <f>IF(終値!A363="","",IF(AND(高値!T363&gt;高値!S363,高値!T363&gt;高値!R363,高値!T363&gt;高値!U363,高値!T363&gt;高値!V363),15,""))</f>
        <v/>
      </c>
      <c r="AQ363" s="503" t="str">
        <f>IF(終値!A363="","",IF(AND(高値!U363&gt;高値!T363,高値!U363&gt;高値!S363,高値!U363&gt;高値!V363,高値!U363&gt;高値!W363),16,""))</f>
        <v/>
      </c>
      <c r="AR363" s="503" t="str">
        <f>IF(終値!A363="","",IF(AND(高値!V363&gt;高値!U363,高値!V363&gt;高値!T363,高値!V363&gt;高値!W363,高値!V363&gt;高値!X363),17,""))</f>
        <v/>
      </c>
      <c r="AS363" s="503" t="str">
        <f>IF(終値!A363="","",IF(AND(高値!W363&gt;高値!V363,高値!W363&gt;高値!U363,高値!W363&gt;高値!X363,高値!W363&gt;高値!Y363),18,""))</f>
        <v/>
      </c>
      <c r="AT363" s="503" t="str">
        <f>IF(終値!A363="","",IF(AND(高値!X363&gt;高値!W363,高値!X363&gt;高値!V363,高値!X363&gt;高値!Y363,高値!X363&gt;高値!Z363),19,""))</f>
        <v/>
      </c>
      <c r="AU363" s="503" t="str">
        <f>IF(終値!A363="","",IF(AND(高値!Y363&gt;高値!X363,高値!Y363&gt;高値!W363,高値!Y363&gt;高値!Z363,高値!Y363&gt;高値!AA363),20,""))</f>
        <v/>
      </c>
      <c r="AV363" s="503" t="str">
        <f>IF(終値!A363="","",IF(AND(高値!Z363&gt;高値!Y363,高値!Z363&gt;高値!X363,高値!Z363&gt;高値!AA363,高値!Z363&gt;高値!AB363),21,""))</f>
        <v/>
      </c>
      <c r="AW363" s="503" t="str">
        <f>IF(終値!A363="","",IF(AND(高値!AA363&gt;高値!Z363,高値!AA363&gt;高値!Y363,高値!AA363&gt;高値!AB363,高値!AA363&gt;高値!AC363),22,""))</f>
        <v/>
      </c>
      <c r="AX363" s="503" t="str">
        <f>IF(終値!A363="","",IF(AND(高値!AB363&gt;高値!AA363,高値!AB363&gt;高値!Z363,高値!AB363&gt;高値!AC363,高値!AB363&gt;高値!AD363),23,""))</f>
        <v/>
      </c>
      <c r="AY363" s="503" t="str">
        <f>IF(終値!A363="","",IF(AND(高値!AC363&gt;高値!AB363,高値!AC363&gt;高値!AA363,高値!AC363&gt;高値!AD363,高値!AC363&gt;高値!AE363),24,""))</f>
        <v/>
      </c>
      <c r="AZ363" s="503" t="str">
        <f>IF(終値!A363="","",IF(AND(高値!AD363&gt;高値!AC363,高値!AD363&gt;高値!AB363,高値!AD363&gt;高値!AE363,高値!AD363&gt;高値!AF363),25,""))</f>
        <v/>
      </c>
      <c r="BA363" s="503" t="str">
        <f>IF(終値!A363="","",IF(AND(高値!AE363&gt;高値!AD363,高値!AE363&gt;高値!AC363,高値!AE363&gt;高値!AF363,高値!AE363&gt;高値!AG363),26,""))</f>
        <v/>
      </c>
      <c r="BB363" s="503" t="str">
        <f>IF(終値!A363="","",IF(AND(高値!AF363&gt;高値!AE363,高値!AF363&gt;高値!AD363,高値!AF363&gt;高値!AG363,高値!AF363&gt;高値!AH363),27,""))</f>
        <v/>
      </c>
      <c r="BC363" s="503" t="str">
        <f>IF(終値!A363="","",IF(AND(高値!AG363&gt;高値!AF363,高値!AG363&gt;高値!AE363,高値!AG363&gt;高値!AH363,高値!AG363&gt;高値!AI363),28,""))</f>
        <v/>
      </c>
      <c r="BD363" s="503">
        <f t="shared" si="30"/>
        <v>0</v>
      </c>
      <c r="BE363" s="503" t="str">
        <f t="shared" si="31"/>
        <v/>
      </c>
      <c r="BF363" s="503" t="str">
        <f t="shared" si="32"/>
        <v/>
      </c>
      <c r="BG363" s="503" t="str">
        <f>IF($BE363="","",INDEX(安値!$E363:$CZ363,1,$BE363+1))</f>
        <v/>
      </c>
      <c r="BH363" s="503" t="str">
        <f>IF($BF363="","",INDEX(安値!$E363:$CZ363,1,$BF363+1))</f>
        <v/>
      </c>
      <c r="BI363" s="503" t="str">
        <f>IF($BF363="","",MAX(INDEX(高値!$E363:$CZ363,1,$BE363+1):INDEX(高値!$E363:$CZ363,1,$BF363+1)))</f>
        <v/>
      </c>
      <c r="BJ363" s="503" t="str">
        <f>IF($BF363="","",AVERAGE(INDEX(終値!$E363:$CZ363,1,$BF363+1):INDEX(終値!$E363:$CZ363,1,$BF363+20))-2*STDEVP(INDEX(終値!$E363:$CZ363,1,$BF363+1):INDEX(終値!$E363:$CZ363,1,$BF363+20)))</f>
        <v/>
      </c>
      <c r="BK363" s="503" t="str">
        <f>IF($BE363="","",AVERAGE(INDEX(終値!$E363:$CZ363,1,$BE363+1):INDEX(終値!$E363:$CZ363,1,$BE363+20))-2*STDEVP(INDEX(終値!$E363:$CZ363,1,$BE363+1):INDEX(終値!$E363:$CZ363,1,$BE363+20)))</f>
        <v/>
      </c>
      <c r="BL363" s="503">
        <f t="shared" si="33"/>
        <v>0</v>
      </c>
      <c r="BM363" s="503" t="str">
        <f t="shared" si="34"/>
        <v/>
      </c>
      <c r="BN363" s="503" t="str">
        <f t="shared" si="35"/>
        <v/>
      </c>
      <c r="BO363" s="503" t="str">
        <f>IF($BM363="","",INDEX(高値!$E363:$CZ363,1,$BM363+1))</f>
        <v/>
      </c>
      <c r="BP363" s="503" t="str">
        <f>IF($BN363="","",INDEX(高値!$E363:$CZ363,1,$BN363+1))</f>
        <v/>
      </c>
      <c r="BQ363" s="503" t="str">
        <f>IF($BN363="","",MIN(INDEX(安値!$E363:$CZ363,1,$BM363+1):INDEX(安値!$E363:$CZ363,1,$BN363+1)))</f>
        <v/>
      </c>
      <c r="BR363" s="503" t="str">
        <f>IF($BN363="","",AVERAGE(INDEX(終値!$E363:$CZ363,1,$BN363+1):INDEX(終値!$E363:$CZ363,1,$BN363+20))+2*STDEVP(INDEX(終値!$E363:$CZ363,1,$BN363+1):INDEX(終値!$E363:$CZ363,1,$BN363+20)))</f>
        <v/>
      </c>
      <c r="BS363" s="503" t="str">
        <f>IF($BM363="","",AVERAGE(INDEX(終値!$E363:$CZ363,1,$BM363+1):INDEX(終値!$E363:$CZ363,1,$BM363+20))+2*STDEVP(INDEX(終値!$E363:$CZ363,1,$BM363+1):INDEX(終値!$E363:$CZ363,1,$BM363+20)))</f>
        <v/>
      </c>
      <c r="BT363" s="500"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3" t="str">
        <f>IF(終値!A364="","",IF(AND(安値!G364&lt;安値!F364,安値!G364&lt;安値!E364,安値!G364&lt;安値!H364,安値!G364&lt;安値!I364),2,""))</f>
        <v/>
      </c>
      <c r="C364" s="503" t="str">
        <f>IF(終値!A364="","",IF(AND(安値!H364&lt;安値!G364,安値!H364&lt;安値!F364,安値!H364&lt;安値!I364,安値!H364&lt;安値!J364),3,""))</f>
        <v/>
      </c>
      <c r="D364" s="503" t="str">
        <f>IF(終値!A364="","",IF(AND(安値!I364&lt;安値!H364,安値!I364&lt;安値!G364,安値!I364&lt;安値!J364,安値!I364&lt;安値!K364),4,""))</f>
        <v/>
      </c>
      <c r="E364" s="503" t="str">
        <f>IF(終値!A364="","",IF(AND(安値!J364&lt;安値!I364,安値!J364&lt;安値!H364,安値!J364&lt;安値!K364,安値!J364&lt;安値!L364),5,""))</f>
        <v/>
      </c>
      <c r="F364" s="503" t="str">
        <f>IF(終値!A364="","",IF(AND(安値!K364&lt;安値!J364,安値!K364&lt;安値!I364,安値!K364&lt;安値!L364,安値!K364&lt;安値!M364),6,""))</f>
        <v/>
      </c>
      <c r="G364" s="503" t="str">
        <f>IF(終値!A364="","",IF(AND(安値!L364&lt;安値!K364,安値!L364&lt;安値!J364,安値!L364&lt;安値!M364,安値!L364&lt;安値!N364),7,""))</f>
        <v/>
      </c>
      <c r="H364" s="503" t="str">
        <f>IF(終値!A364="","",IF(AND(安値!M364&lt;安値!L364,安値!M364&lt;安値!K364,安値!M364&lt;安値!N364,安値!M364&lt;安値!O364),8,""))</f>
        <v/>
      </c>
      <c r="I364" s="503" t="str">
        <f>IF(終値!A364="","",IF(AND(安値!N364&lt;安値!M364,安値!N364&lt;安値!L364,安値!N364&lt;安値!O364,安値!N364&lt;安値!P364),9,""))</f>
        <v/>
      </c>
      <c r="J364" s="503" t="str">
        <f>IF(終値!A364="","",IF(AND(安値!O364&lt;安値!N364,安値!O364&lt;安値!M364,安値!O364&lt;安値!P364,安値!O364&lt;安値!Q364),10,""))</f>
        <v/>
      </c>
      <c r="K364" s="503" t="str">
        <f>IF(終値!A364="","",IF(AND(安値!P364&lt;安値!O364,安値!P364&lt;安値!N364,安値!P364&lt;安値!Q364,安値!P364&lt;安値!R364),11,""))</f>
        <v/>
      </c>
      <c r="L364" s="503" t="str">
        <f>IF(終値!A364="","",IF(AND(安値!Q364&lt;安値!P364,安値!Q364&lt;安値!O364,安値!Q364&lt;安値!R364,安値!Q364&lt;安値!S364),12,""))</f>
        <v/>
      </c>
      <c r="M364" s="503" t="str">
        <f>IF(終値!A364="","",IF(AND(安値!R364&lt;安値!Q364,安値!R364&lt;安値!P364,安値!R364&lt;安値!S364,安値!R364&lt;安値!T364),13,""))</f>
        <v/>
      </c>
      <c r="N364" s="503" t="str">
        <f>IF(終値!A364="","",IF(AND(安値!S364&lt;安値!R364,安値!S364&lt;安値!Q364,安値!S364&lt;安値!T364,安値!S364&lt;安値!U364),14,""))</f>
        <v/>
      </c>
      <c r="O364" s="503" t="str">
        <f>IF(終値!A364="","",IF(AND(安値!T364&lt;安値!S364,安値!T364&lt;安値!R364,安値!T364&lt;安値!U364,安値!T364&lt;安値!V364),15,""))</f>
        <v/>
      </c>
      <c r="P364" s="503" t="str">
        <f>IF(終値!A364="","",IF(AND(安値!U364&lt;安値!T364,安値!U364&lt;安値!S364,安値!U364&lt;安値!V364,安値!U364&lt;安値!W364),16,""))</f>
        <v/>
      </c>
      <c r="Q364" s="503" t="str">
        <f>IF(終値!A364="","",IF(AND(安値!V364&lt;安値!U364,安値!V364&lt;安値!T364,安値!V364&lt;安値!W364,安値!V364&lt;安値!X364),17,""))</f>
        <v/>
      </c>
      <c r="R364" s="503" t="str">
        <f>IF(終値!A364="","",IF(AND(安値!W364&lt;安値!V364,安値!W364&lt;安値!U364,安値!W364&lt;安値!X364,安値!W364&lt;安値!Y364),18,""))</f>
        <v/>
      </c>
      <c r="S364" s="503" t="str">
        <f>IF(終値!A364="","",IF(AND(安値!X364&lt;安値!W364,安値!X364&lt;安値!V364,安値!X364&lt;安値!Y364,安値!X364&lt;安値!Z364),19,""))</f>
        <v/>
      </c>
      <c r="T364" s="503" t="str">
        <f>IF(終値!A364="","",IF(AND(安値!Y364&lt;安値!X364,安値!Y364&lt;安値!W364,安値!Y364&lt;安値!Z364,安値!Y364&lt;安値!AA364),20,""))</f>
        <v/>
      </c>
      <c r="U364" s="503" t="str">
        <f>IF(終値!A364="","",IF(AND(安値!Z364&lt;安値!Y364,安値!Z364&lt;安値!X364,安値!Z364&lt;安値!AA364,安値!Z364&lt;安値!AB364),21,""))</f>
        <v/>
      </c>
      <c r="V364" s="503" t="str">
        <f>IF(終値!A364="","",IF(AND(安値!AA364&lt;安値!Z364,安値!AA364&lt;安値!Y364,安値!AA364&lt;安値!AB364,安値!AA364&lt;安値!AC364),22,""))</f>
        <v/>
      </c>
      <c r="W364" s="503" t="str">
        <f>IF(終値!A364="","",IF(AND(安値!AB364&lt;安値!AA364,安値!AB364&lt;安値!Z364,安値!AB364&lt;安値!AC364,安値!AB364&lt;安値!AD364),23,""))</f>
        <v/>
      </c>
      <c r="X364" s="503" t="str">
        <f>IF(終値!A364="","",IF(AND(安値!AC364&lt;安値!AB364,安値!AC364&lt;安値!AA364,安値!AC364&lt;安値!AD364,安値!AC364&lt;安値!AE364),24,""))</f>
        <v/>
      </c>
      <c r="Y364" s="503" t="str">
        <f>IF(終値!A364="","",IF(AND(安値!AD364&lt;安値!AC364,安値!AD364&lt;安値!AB364,安値!AD364&lt;安値!AE364,安値!AD364&lt;安値!AF364),25,""))</f>
        <v/>
      </c>
      <c r="Z364" s="503" t="str">
        <f>IF(終値!A364="","",IF(AND(安値!AE364&lt;安値!AD364,安値!AE364&lt;安値!AC364,安値!AE364&lt;安値!AF364,安値!AE364&lt;安値!AG364),26,""))</f>
        <v/>
      </c>
      <c r="AA364" s="503" t="str">
        <f>IF(終値!A364="","",IF(AND(安値!AF364&lt;安値!AE364,安値!AF364&lt;安値!AD364,安値!AF364&lt;安値!AG364,安値!AF364&lt;安値!AH364),27,""))</f>
        <v/>
      </c>
      <c r="AB364" s="503" t="str">
        <f>IF(終値!A364="","",IF(AND(安値!AG364&lt;安値!AF364,安値!AG364&lt;安値!AE364,安値!AG364&lt;安値!AH364,安値!AG364&lt;安値!AI364),28,""))</f>
        <v/>
      </c>
      <c r="AC364" s="503" t="str">
        <f>IF(終値!A364="","",IF(AND(高値!G364&gt;高値!F364,高値!G364&gt;高値!E364,高値!G364&gt;高値!H364,高値!G364&gt;高値!I364),2,""))</f>
        <v/>
      </c>
      <c r="AD364" s="503" t="str">
        <f>IF(終値!A364="","",IF(AND(高値!H364&gt;高値!G364,高値!H364&gt;高値!F364,高値!H364&gt;高値!I364,高値!H364&gt;高値!J364),3,""))</f>
        <v/>
      </c>
      <c r="AE364" s="503" t="str">
        <f>IF(終値!A364="","",IF(AND(高値!I364&gt;高値!H364,高値!I364&gt;高値!G364,高値!I364&gt;高値!J364,高値!I364&gt;高値!K364),4,""))</f>
        <v/>
      </c>
      <c r="AF364" s="503" t="str">
        <f>IF(終値!A364="","",IF(AND(高値!J364&gt;高値!I364,高値!J364&gt;高値!H364,高値!J364&gt;高値!K364,高値!J364&gt;高値!L364),5,""))</f>
        <v/>
      </c>
      <c r="AG364" s="503" t="str">
        <f>IF(終値!A364="","",IF(AND(高値!K364&gt;高値!J364,高値!K364&gt;高値!I364,高値!K364&gt;高値!L364,高値!K364&gt;高値!M364),6,""))</f>
        <v/>
      </c>
      <c r="AH364" s="503" t="str">
        <f>IF(終値!A364="","",IF(AND(高値!L364&gt;高値!K364,高値!L364&gt;高値!J364,高値!L364&gt;高値!M364,高値!L364&gt;高値!N364),7,""))</f>
        <v/>
      </c>
      <c r="AI364" s="503" t="str">
        <f>IF(終値!A364="","",IF(AND(高値!M364&gt;高値!L364,高値!M364&gt;高値!K364,高値!M364&gt;高値!N364,高値!M364&gt;高値!O364),8,""))</f>
        <v/>
      </c>
      <c r="AJ364" s="503" t="str">
        <f>IF(終値!A364="","",IF(AND(高値!N364&gt;高値!M364,高値!N364&gt;高値!L364,高値!N364&gt;高値!O364,高値!N364&gt;高値!P364),9,""))</f>
        <v/>
      </c>
      <c r="AK364" s="503" t="str">
        <f>IF(終値!A364="","",IF(AND(高値!O364&gt;高値!N364,高値!O364&gt;高値!M364,高値!O364&gt;高値!P364,高値!O364&gt;高値!Q364),10,""))</f>
        <v/>
      </c>
      <c r="AL364" s="503" t="str">
        <f>IF(終値!A364="","",IF(AND(高値!P364&gt;高値!O364,高値!P364&gt;高値!N364,高値!P364&gt;高値!Q364,高値!P364&gt;高値!R364),11,""))</f>
        <v/>
      </c>
      <c r="AM364" s="503" t="str">
        <f>IF(終値!A364="","",IF(AND(高値!Q364&gt;高値!P364,高値!Q364&gt;高値!O364,高値!Q364&gt;高値!R364,高値!Q364&gt;高値!S364),12,""))</f>
        <v/>
      </c>
      <c r="AN364" s="503" t="str">
        <f>IF(終値!A364="","",IF(AND(高値!R364&gt;高値!Q364,高値!R364&gt;高値!P364,高値!R364&gt;高値!S364,高値!R364&gt;高値!T364),13,""))</f>
        <v/>
      </c>
      <c r="AO364" s="503" t="str">
        <f>IF(終値!A364="","",IF(AND(高値!S364&gt;高値!R364,高値!S364&gt;高値!Q364,高値!S364&gt;高値!T364,高値!S364&gt;高値!U364),14,""))</f>
        <v/>
      </c>
      <c r="AP364" s="503" t="str">
        <f>IF(終値!A364="","",IF(AND(高値!T364&gt;高値!S364,高値!T364&gt;高値!R364,高値!T364&gt;高値!U364,高値!T364&gt;高値!V364),15,""))</f>
        <v/>
      </c>
      <c r="AQ364" s="503" t="str">
        <f>IF(終値!A364="","",IF(AND(高値!U364&gt;高値!T364,高値!U364&gt;高値!S364,高値!U364&gt;高値!V364,高値!U364&gt;高値!W364),16,""))</f>
        <v/>
      </c>
      <c r="AR364" s="503" t="str">
        <f>IF(終値!A364="","",IF(AND(高値!V364&gt;高値!U364,高値!V364&gt;高値!T364,高値!V364&gt;高値!W364,高値!V364&gt;高値!X364),17,""))</f>
        <v/>
      </c>
      <c r="AS364" s="503" t="str">
        <f>IF(終値!A364="","",IF(AND(高値!W364&gt;高値!V364,高値!W364&gt;高値!U364,高値!W364&gt;高値!X364,高値!W364&gt;高値!Y364),18,""))</f>
        <v/>
      </c>
      <c r="AT364" s="503" t="str">
        <f>IF(終値!A364="","",IF(AND(高値!X364&gt;高値!W364,高値!X364&gt;高値!V364,高値!X364&gt;高値!Y364,高値!X364&gt;高値!Z364),19,""))</f>
        <v/>
      </c>
      <c r="AU364" s="503" t="str">
        <f>IF(終値!A364="","",IF(AND(高値!Y364&gt;高値!X364,高値!Y364&gt;高値!W364,高値!Y364&gt;高値!Z364,高値!Y364&gt;高値!AA364),20,""))</f>
        <v/>
      </c>
      <c r="AV364" s="503" t="str">
        <f>IF(終値!A364="","",IF(AND(高値!Z364&gt;高値!Y364,高値!Z364&gt;高値!X364,高値!Z364&gt;高値!AA364,高値!Z364&gt;高値!AB364),21,""))</f>
        <v/>
      </c>
      <c r="AW364" s="503" t="str">
        <f>IF(終値!A364="","",IF(AND(高値!AA364&gt;高値!Z364,高値!AA364&gt;高値!Y364,高値!AA364&gt;高値!AB364,高値!AA364&gt;高値!AC364),22,""))</f>
        <v/>
      </c>
      <c r="AX364" s="503" t="str">
        <f>IF(終値!A364="","",IF(AND(高値!AB364&gt;高値!AA364,高値!AB364&gt;高値!Z364,高値!AB364&gt;高値!AC364,高値!AB364&gt;高値!AD364),23,""))</f>
        <v/>
      </c>
      <c r="AY364" s="503" t="str">
        <f>IF(終値!A364="","",IF(AND(高値!AC364&gt;高値!AB364,高値!AC364&gt;高値!AA364,高値!AC364&gt;高値!AD364,高値!AC364&gt;高値!AE364),24,""))</f>
        <v/>
      </c>
      <c r="AZ364" s="503" t="str">
        <f>IF(終値!A364="","",IF(AND(高値!AD364&gt;高値!AC364,高値!AD364&gt;高値!AB364,高値!AD364&gt;高値!AE364,高値!AD364&gt;高値!AF364),25,""))</f>
        <v/>
      </c>
      <c r="BA364" s="503" t="str">
        <f>IF(終値!A364="","",IF(AND(高値!AE364&gt;高値!AD364,高値!AE364&gt;高値!AC364,高値!AE364&gt;高値!AF364,高値!AE364&gt;高値!AG364),26,""))</f>
        <v/>
      </c>
      <c r="BB364" s="503" t="str">
        <f>IF(終値!A364="","",IF(AND(高値!AF364&gt;高値!AE364,高値!AF364&gt;高値!AD364,高値!AF364&gt;高値!AG364,高値!AF364&gt;高値!AH364),27,""))</f>
        <v/>
      </c>
      <c r="BC364" s="503" t="str">
        <f>IF(終値!A364="","",IF(AND(高値!AG364&gt;高値!AF364,高値!AG364&gt;高値!AE364,高値!AG364&gt;高値!AH364,高値!AG364&gt;高値!AI364),28,""))</f>
        <v/>
      </c>
      <c r="BD364" s="503">
        <f t="shared" si="30"/>
        <v>0</v>
      </c>
      <c r="BE364" s="503" t="str">
        <f t="shared" si="31"/>
        <v/>
      </c>
      <c r="BF364" s="503" t="str">
        <f t="shared" si="32"/>
        <v/>
      </c>
      <c r="BG364" s="503" t="str">
        <f>IF($BE364="","",INDEX(安値!$E364:$CZ364,1,$BE364+1))</f>
        <v/>
      </c>
      <c r="BH364" s="503" t="str">
        <f>IF($BF364="","",INDEX(安値!$E364:$CZ364,1,$BF364+1))</f>
        <v/>
      </c>
      <c r="BI364" s="503" t="str">
        <f>IF($BF364="","",MAX(INDEX(高値!$E364:$CZ364,1,$BE364+1):INDEX(高値!$E364:$CZ364,1,$BF364+1)))</f>
        <v/>
      </c>
      <c r="BJ364" s="503" t="str">
        <f>IF($BF364="","",AVERAGE(INDEX(終値!$E364:$CZ364,1,$BF364+1):INDEX(終値!$E364:$CZ364,1,$BF364+20))-2*STDEVP(INDEX(終値!$E364:$CZ364,1,$BF364+1):INDEX(終値!$E364:$CZ364,1,$BF364+20)))</f>
        <v/>
      </c>
      <c r="BK364" s="503" t="str">
        <f>IF($BE364="","",AVERAGE(INDEX(終値!$E364:$CZ364,1,$BE364+1):INDEX(終値!$E364:$CZ364,1,$BE364+20))-2*STDEVP(INDEX(終値!$E364:$CZ364,1,$BE364+1):INDEX(終値!$E364:$CZ364,1,$BE364+20)))</f>
        <v/>
      </c>
      <c r="BL364" s="503">
        <f t="shared" si="33"/>
        <v>0</v>
      </c>
      <c r="BM364" s="503" t="str">
        <f t="shared" si="34"/>
        <v/>
      </c>
      <c r="BN364" s="503" t="str">
        <f t="shared" si="35"/>
        <v/>
      </c>
      <c r="BO364" s="503" t="str">
        <f>IF($BM364="","",INDEX(高値!$E364:$CZ364,1,$BM364+1))</f>
        <v/>
      </c>
      <c r="BP364" s="503" t="str">
        <f>IF($BN364="","",INDEX(高値!$E364:$CZ364,1,$BN364+1))</f>
        <v/>
      </c>
      <c r="BQ364" s="503" t="str">
        <f>IF($BN364="","",MIN(INDEX(安値!$E364:$CZ364,1,$BM364+1):INDEX(安値!$E364:$CZ364,1,$BN364+1)))</f>
        <v/>
      </c>
      <c r="BR364" s="503" t="str">
        <f>IF($BN364="","",AVERAGE(INDEX(終値!$E364:$CZ364,1,$BN364+1):INDEX(終値!$E364:$CZ364,1,$BN364+20))+2*STDEVP(INDEX(終値!$E364:$CZ364,1,$BN364+1):INDEX(終値!$E364:$CZ364,1,$BN364+20)))</f>
        <v/>
      </c>
      <c r="BS364" s="503" t="str">
        <f>IF($BM364="","",AVERAGE(INDEX(終値!$E364:$CZ364,1,$BM364+1):INDEX(終値!$E364:$CZ364,1,$BM364+20))+2*STDEVP(INDEX(終値!$E364:$CZ364,1,$BM364+1):INDEX(終値!$E364:$CZ364,1,$BM364+20)))</f>
        <v/>
      </c>
      <c r="BT364" s="500"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3" t="str">
        <f>IF(終値!A365="","",IF(AND(安値!G365&lt;安値!F365,安値!G365&lt;安値!E365,安値!G365&lt;安値!H365,安値!G365&lt;安値!I365),2,""))</f>
        <v/>
      </c>
      <c r="C365" s="503" t="str">
        <f>IF(終値!A365="","",IF(AND(安値!H365&lt;安値!G365,安値!H365&lt;安値!F365,安値!H365&lt;安値!I365,安値!H365&lt;安値!J365),3,""))</f>
        <v/>
      </c>
      <c r="D365" s="503" t="str">
        <f>IF(終値!A365="","",IF(AND(安値!I365&lt;安値!H365,安値!I365&lt;安値!G365,安値!I365&lt;安値!J365,安値!I365&lt;安値!K365),4,""))</f>
        <v/>
      </c>
      <c r="E365" s="503" t="str">
        <f>IF(終値!A365="","",IF(AND(安値!J365&lt;安値!I365,安値!J365&lt;安値!H365,安値!J365&lt;安値!K365,安値!J365&lt;安値!L365),5,""))</f>
        <v/>
      </c>
      <c r="F365" s="503" t="str">
        <f>IF(終値!A365="","",IF(AND(安値!K365&lt;安値!J365,安値!K365&lt;安値!I365,安値!K365&lt;安値!L365,安値!K365&lt;安値!M365),6,""))</f>
        <v/>
      </c>
      <c r="G365" s="503" t="str">
        <f>IF(終値!A365="","",IF(AND(安値!L365&lt;安値!K365,安値!L365&lt;安値!J365,安値!L365&lt;安値!M365,安値!L365&lt;安値!N365),7,""))</f>
        <v/>
      </c>
      <c r="H365" s="503" t="str">
        <f>IF(終値!A365="","",IF(AND(安値!M365&lt;安値!L365,安値!M365&lt;安値!K365,安値!M365&lt;安値!N365,安値!M365&lt;安値!O365),8,""))</f>
        <v/>
      </c>
      <c r="I365" s="503" t="str">
        <f>IF(終値!A365="","",IF(AND(安値!N365&lt;安値!M365,安値!N365&lt;安値!L365,安値!N365&lt;安値!O365,安値!N365&lt;安値!P365),9,""))</f>
        <v/>
      </c>
      <c r="J365" s="503" t="str">
        <f>IF(終値!A365="","",IF(AND(安値!O365&lt;安値!N365,安値!O365&lt;安値!M365,安値!O365&lt;安値!P365,安値!O365&lt;安値!Q365),10,""))</f>
        <v/>
      </c>
      <c r="K365" s="503" t="str">
        <f>IF(終値!A365="","",IF(AND(安値!P365&lt;安値!O365,安値!P365&lt;安値!N365,安値!P365&lt;安値!Q365,安値!P365&lt;安値!R365),11,""))</f>
        <v/>
      </c>
      <c r="L365" s="503" t="str">
        <f>IF(終値!A365="","",IF(AND(安値!Q365&lt;安値!P365,安値!Q365&lt;安値!O365,安値!Q365&lt;安値!R365,安値!Q365&lt;安値!S365),12,""))</f>
        <v/>
      </c>
      <c r="M365" s="503" t="str">
        <f>IF(終値!A365="","",IF(AND(安値!R365&lt;安値!Q365,安値!R365&lt;安値!P365,安値!R365&lt;安値!S365,安値!R365&lt;安値!T365),13,""))</f>
        <v/>
      </c>
      <c r="N365" s="503" t="str">
        <f>IF(終値!A365="","",IF(AND(安値!S365&lt;安値!R365,安値!S365&lt;安値!Q365,安値!S365&lt;安値!T365,安値!S365&lt;安値!U365),14,""))</f>
        <v/>
      </c>
      <c r="O365" s="503" t="str">
        <f>IF(終値!A365="","",IF(AND(安値!T365&lt;安値!S365,安値!T365&lt;安値!R365,安値!T365&lt;安値!U365,安値!T365&lt;安値!V365),15,""))</f>
        <v/>
      </c>
      <c r="P365" s="503" t="str">
        <f>IF(終値!A365="","",IF(AND(安値!U365&lt;安値!T365,安値!U365&lt;安値!S365,安値!U365&lt;安値!V365,安値!U365&lt;安値!W365),16,""))</f>
        <v/>
      </c>
      <c r="Q365" s="503" t="str">
        <f>IF(終値!A365="","",IF(AND(安値!V365&lt;安値!U365,安値!V365&lt;安値!T365,安値!V365&lt;安値!W365,安値!V365&lt;安値!X365),17,""))</f>
        <v/>
      </c>
      <c r="R365" s="503" t="str">
        <f>IF(終値!A365="","",IF(AND(安値!W365&lt;安値!V365,安値!W365&lt;安値!U365,安値!W365&lt;安値!X365,安値!W365&lt;安値!Y365),18,""))</f>
        <v/>
      </c>
      <c r="S365" s="503" t="str">
        <f>IF(終値!A365="","",IF(AND(安値!X365&lt;安値!W365,安値!X365&lt;安値!V365,安値!X365&lt;安値!Y365,安値!X365&lt;安値!Z365),19,""))</f>
        <v/>
      </c>
      <c r="T365" s="503" t="str">
        <f>IF(終値!A365="","",IF(AND(安値!Y365&lt;安値!X365,安値!Y365&lt;安値!W365,安値!Y365&lt;安値!Z365,安値!Y365&lt;安値!AA365),20,""))</f>
        <v/>
      </c>
      <c r="U365" s="503" t="str">
        <f>IF(終値!A365="","",IF(AND(安値!Z365&lt;安値!Y365,安値!Z365&lt;安値!X365,安値!Z365&lt;安値!AA365,安値!Z365&lt;安値!AB365),21,""))</f>
        <v/>
      </c>
      <c r="V365" s="503" t="str">
        <f>IF(終値!A365="","",IF(AND(安値!AA365&lt;安値!Z365,安値!AA365&lt;安値!Y365,安値!AA365&lt;安値!AB365,安値!AA365&lt;安値!AC365),22,""))</f>
        <v/>
      </c>
      <c r="W365" s="503" t="str">
        <f>IF(終値!A365="","",IF(AND(安値!AB365&lt;安値!AA365,安値!AB365&lt;安値!Z365,安値!AB365&lt;安値!AC365,安値!AB365&lt;安値!AD365),23,""))</f>
        <v/>
      </c>
      <c r="X365" s="503" t="str">
        <f>IF(終値!A365="","",IF(AND(安値!AC365&lt;安値!AB365,安値!AC365&lt;安値!AA365,安値!AC365&lt;安値!AD365,安値!AC365&lt;安値!AE365),24,""))</f>
        <v/>
      </c>
      <c r="Y365" s="503" t="str">
        <f>IF(終値!A365="","",IF(AND(安値!AD365&lt;安値!AC365,安値!AD365&lt;安値!AB365,安値!AD365&lt;安値!AE365,安値!AD365&lt;安値!AF365),25,""))</f>
        <v/>
      </c>
      <c r="Z365" s="503" t="str">
        <f>IF(終値!A365="","",IF(AND(安値!AE365&lt;安値!AD365,安値!AE365&lt;安値!AC365,安値!AE365&lt;安値!AF365,安値!AE365&lt;安値!AG365),26,""))</f>
        <v/>
      </c>
      <c r="AA365" s="503" t="str">
        <f>IF(終値!A365="","",IF(AND(安値!AF365&lt;安値!AE365,安値!AF365&lt;安値!AD365,安値!AF365&lt;安値!AG365,安値!AF365&lt;安値!AH365),27,""))</f>
        <v/>
      </c>
      <c r="AB365" s="503" t="str">
        <f>IF(終値!A365="","",IF(AND(安値!AG365&lt;安値!AF365,安値!AG365&lt;安値!AE365,安値!AG365&lt;安値!AH365,安値!AG365&lt;安値!AI365),28,""))</f>
        <v/>
      </c>
      <c r="AC365" s="503" t="str">
        <f>IF(終値!A365="","",IF(AND(高値!G365&gt;高値!F365,高値!G365&gt;高値!E365,高値!G365&gt;高値!H365,高値!G365&gt;高値!I365),2,""))</f>
        <v/>
      </c>
      <c r="AD365" s="503" t="str">
        <f>IF(終値!A365="","",IF(AND(高値!H365&gt;高値!G365,高値!H365&gt;高値!F365,高値!H365&gt;高値!I365,高値!H365&gt;高値!J365),3,""))</f>
        <v/>
      </c>
      <c r="AE365" s="503" t="str">
        <f>IF(終値!A365="","",IF(AND(高値!I365&gt;高値!H365,高値!I365&gt;高値!G365,高値!I365&gt;高値!J365,高値!I365&gt;高値!K365),4,""))</f>
        <v/>
      </c>
      <c r="AF365" s="503" t="str">
        <f>IF(終値!A365="","",IF(AND(高値!J365&gt;高値!I365,高値!J365&gt;高値!H365,高値!J365&gt;高値!K365,高値!J365&gt;高値!L365),5,""))</f>
        <v/>
      </c>
      <c r="AG365" s="503" t="str">
        <f>IF(終値!A365="","",IF(AND(高値!K365&gt;高値!J365,高値!K365&gt;高値!I365,高値!K365&gt;高値!L365,高値!K365&gt;高値!M365),6,""))</f>
        <v/>
      </c>
      <c r="AH365" s="503" t="str">
        <f>IF(終値!A365="","",IF(AND(高値!L365&gt;高値!K365,高値!L365&gt;高値!J365,高値!L365&gt;高値!M365,高値!L365&gt;高値!N365),7,""))</f>
        <v/>
      </c>
      <c r="AI365" s="503" t="str">
        <f>IF(終値!A365="","",IF(AND(高値!M365&gt;高値!L365,高値!M365&gt;高値!K365,高値!M365&gt;高値!N365,高値!M365&gt;高値!O365),8,""))</f>
        <v/>
      </c>
      <c r="AJ365" s="503" t="str">
        <f>IF(終値!A365="","",IF(AND(高値!N365&gt;高値!M365,高値!N365&gt;高値!L365,高値!N365&gt;高値!O365,高値!N365&gt;高値!P365),9,""))</f>
        <v/>
      </c>
      <c r="AK365" s="503" t="str">
        <f>IF(終値!A365="","",IF(AND(高値!O365&gt;高値!N365,高値!O365&gt;高値!M365,高値!O365&gt;高値!P365,高値!O365&gt;高値!Q365),10,""))</f>
        <v/>
      </c>
      <c r="AL365" s="503" t="str">
        <f>IF(終値!A365="","",IF(AND(高値!P365&gt;高値!O365,高値!P365&gt;高値!N365,高値!P365&gt;高値!Q365,高値!P365&gt;高値!R365),11,""))</f>
        <v/>
      </c>
      <c r="AM365" s="503" t="str">
        <f>IF(終値!A365="","",IF(AND(高値!Q365&gt;高値!P365,高値!Q365&gt;高値!O365,高値!Q365&gt;高値!R365,高値!Q365&gt;高値!S365),12,""))</f>
        <v/>
      </c>
      <c r="AN365" s="503" t="str">
        <f>IF(終値!A365="","",IF(AND(高値!R365&gt;高値!Q365,高値!R365&gt;高値!P365,高値!R365&gt;高値!S365,高値!R365&gt;高値!T365),13,""))</f>
        <v/>
      </c>
      <c r="AO365" s="503" t="str">
        <f>IF(終値!A365="","",IF(AND(高値!S365&gt;高値!R365,高値!S365&gt;高値!Q365,高値!S365&gt;高値!T365,高値!S365&gt;高値!U365),14,""))</f>
        <v/>
      </c>
      <c r="AP365" s="503" t="str">
        <f>IF(終値!A365="","",IF(AND(高値!T365&gt;高値!S365,高値!T365&gt;高値!R365,高値!T365&gt;高値!U365,高値!T365&gt;高値!V365),15,""))</f>
        <v/>
      </c>
      <c r="AQ365" s="503" t="str">
        <f>IF(終値!A365="","",IF(AND(高値!U365&gt;高値!T365,高値!U365&gt;高値!S365,高値!U365&gt;高値!V365,高値!U365&gt;高値!W365),16,""))</f>
        <v/>
      </c>
      <c r="AR365" s="503" t="str">
        <f>IF(終値!A365="","",IF(AND(高値!V365&gt;高値!U365,高値!V365&gt;高値!T365,高値!V365&gt;高値!W365,高値!V365&gt;高値!X365),17,""))</f>
        <v/>
      </c>
      <c r="AS365" s="503" t="str">
        <f>IF(終値!A365="","",IF(AND(高値!W365&gt;高値!V365,高値!W365&gt;高値!U365,高値!W365&gt;高値!X365,高値!W365&gt;高値!Y365),18,""))</f>
        <v/>
      </c>
      <c r="AT365" s="503" t="str">
        <f>IF(終値!A365="","",IF(AND(高値!X365&gt;高値!W365,高値!X365&gt;高値!V365,高値!X365&gt;高値!Y365,高値!X365&gt;高値!Z365),19,""))</f>
        <v/>
      </c>
      <c r="AU365" s="503" t="str">
        <f>IF(終値!A365="","",IF(AND(高値!Y365&gt;高値!X365,高値!Y365&gt;高値!W365,高値!Y365&gt;高値!Z365,高値!Y365&gt;高値!AA365),20,""))</f>
        <v/>
      </c>
      <c r="AV365" s="503" t="str">
        <f>IF(終値!A365="","",IF(AND(高値!Z365&gt;高値!Y365,高値!Z365&gt;高値!X365,高値!Z365&gt;高値!AA365,高値!Z365&gt;高値!AB365),21,""))</f>
        <v/>
      </c>
      <c r="AW365" s="503" t="str">
        <f>IF(終値!A365="","",IF(AND(高値!AA365&gt;高値!Z365,高値!AA365&gt;高値!Y365,高値!AA365&gt;高値!AB365,高値!AA365&gt;高値!AC365),22,""))</f>
        <v/>
      </c>
      <c r="AX365" s="503" t="str">
        <f>IF(終値!A365="","",IF(AND(高値!AB365&gt;高値!AA365,高値!AB365&gt;高値!Z365,高値!AB365&gt;高値!AC365,高値!AB365&gt;高値!AD365),23,""))</f>
        <v/>
      </c>
      <c r="AY365" s="503" t="str">
        <f>IF(終値!A365="","",IF(AND(高値!AC365&gt;高値!AB365,高値!AC365&gt;高値!AA365,高値!AC365&gt;高値!AD365,高値!AC365&gt;高値!AE365),24,""))</f>
        <v/>
      </c>
      <c r="AZ365" s="503" t="str">
        <f>IF(終値!A365="","",IF(AND(高値!AD365&gt;高値!AC365,高値!AD365&gt;高値!AB365,高値!AD365&gt;高値!AE365,高値!AD365&gt;高値!AF365),25,""))</f>
        <v/>
      </c>
      <c r="BA365" s="503" t="str">
        <f>IF(終値!A365="","",IF(AND(高値!AE365&gt;高値!AD365,高値!AE365&gt;高値!AC365,高値!AE365&gt;高値!AF365,高値!AE365&gt;高値!AG365),26,""))</f>
        <v/>
      </c>
      <c r="BB365" s="503" t="str">
        <f>IF(終値!A365="","",IF(AND(高値!AF365&gt;高値!AE365,高値!AF365&gt;高値!AD365,高値!AF365&gt;高値!AG365,高値!AF365&gt;高値!AH365),27,""))</f>
        <v/>
      </c>
      <c r="BC365" s="503" t="str">
        <f>IF(終値!A365="","",IF(AND(高値!AG365&gt;高値!AF365,高値!AG365&gt;高値!AE365,高値!AG365&gt;高値!AH365,高値!AG365&gt;高値!AI365),28,""))</f>
        <v/>
      </c>
      <c r="BD365" s="503">
        <f t="shared" si="30"/>
        <v>0</v>
      </c>
      <c r="BE365" s="503" t="str">
        <f t="shared" si="31"/>
        <v/>
      </c>
      <c r="BF365" s="503" t="str">
        <f t="shared" si="32"/>
        <v/>
      </c>
      <c r="BG365" s="503" t="str">
        <f>IF($BE365="","",INDEX(安値!$E365:$CZ365,1,$BE365+1))</f>
        <v/>
      </c>
      <c r="BH365" s="503" t="str">
        <f>IF($BF365="","",INDEX(安値!$E365:$CZ365,1,$BF365+1))</f>
        <v/>
      </c>
      <c r="BI365" s="503" t="str">
        <f>IF($BF365="","",MAX(INDEX(高値!$E365:$CZ365,1,$BE365+1):INDEX(高値!$E365:$CZ365,1,$BF365+1)))</f>
        <v/>
      </c>
      <c r="BJ365" s="503" t="str">
        <f>IF($BF365="","",AVERAGE(INDEX(終値!$E365:$CZ365,1,$BF365+1):INDEX(終値!$E365:$CZ365,1,$BF365+20))-2*STDEVP(INDEX(終値!$E365:$CZ365,1,$BF365+1):INDEX(終値!$E365:$CZ365,1,$BF365+20)))</f>
        <v/>
      </c>
      <c r="BK365" s="503" t="str">
        <f>IF($BE365="","",AVERAGE(INDEX(終値!$E365:$CZ365,1,$BE365+1):INDEX(終値!$E365:$CZ365,1,$BE365+20))-2*STDEVP(INDEX(終値!$E365:$CZ365,1,$BE365+1):INDEX(終値!$E365:$CZ365,1,$BE365+20)))</f>
        <v/>
      </c>
      <c r="BL365" s="503">
        <f t="shared" si="33"/>
        <v>0</v>
      </c>
      <c r="BM365" s="503" t="str">
        <f t="shared" si="34"/>
        <v/>
      </c>
      <c r="BN365" s="503" t="str">
        <f t="shared" si="35"/>
        <v/>
      </c>
      <c r="BO365" s="503" t="str">
        <f>IF($BM365="","",INDEX(高値!$E365:$CZ365,1,$BM365+1))</f>
        <v/>
      </c>
      <c r="BP365" s="503" t="str">
        <f>IF($BN365="","",INDEX(高値!$E365:$CZ365,1,$BN365+1))</f>
        <v/>
      </c>
      <c r="BQ365" s="503" t="str">
        <f>IF($BN365="","",MIN(INDEX(安値!$E365:$CZ365,1,$BM365+1):INDEX(安値!$E365:$CZ365,1,$BN365+1)))</f>
        <v/>
      </c>
      <c r="BR365" s="503" t="str">
        <f>IF($BN365="","",AVERAGE(INDEX(終値!$E365:$CZ365,1,$BN365+1):INDEX(終値!$E365:$CZ365,1,$BN365+20))+2*STDEVP(INDEX(終値!$E365:$CZ365,1,$BN365+1):INDEX(終値!$E365:$CZ365,1,$BN365+20)))</f>
        <v/>
      </c>
      <c r="BS365" s="503" t="str">
        <f>IF($BM365="","",AVERAGE(INDEX(終値!$E365:$CZ365,1,$BM365+1):INDEX(終値!$E365:$CZ365,1,$BM365+20))+2*STDEVP(INDEX(終値!$E365:$CZ365,1,$BM365+1):INDEX(終値!$E365:$CZ365,1,$BM365+20)))</f>
        <v/>
      </c>
      <c r="BT365" s="500"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3" t="str">
        <f>IF(終値!A366="","",IF(AND(安値!G366&lt;安値!F366,安値!G366&lt;安値!E366,安値!G366&lt;安値!H366,安値!G366&lt;安値!I366),2,""))</f>
        <v/>
      </c>
      <c r="C366" s="503" t="str">
        <f>IF(終値!A366="","",IF(AND(安値!H366&lt;安値!G366,安値!H366&lt;安値!F366,安値!H366&lt;安値!I366,安値!H366&lt;安値!J366),3,""))</f>
        <v/>
      </c>
      <c r="D366" s="503" t="str">
        <f>IF(終値!A366="","",IF(AND(安値!I366&lt;安値!H366,安値!I366&lt;安値!G366,安値!I366&lt;安値!J366,安値!I366&lt;安値!K366),4,""))</f>
        <v/>
      </c>
      <c r="E366" s="503" t="str">
        <f>IF(終値!A366="","",IF(AND(安値!J366&lt;安値!I366,安値!J366&lt;安値!H366,安値!J366&lt;安値!K366,安値!J366&lt;安値!L366),5,""))</f>
        <v/>
      </c>
      <c r="F366" s="503" t="str">
        <f>IF(終値!A366="","",IF(AND(安値!K366&lt;安値!J366,安値!K366&lt;安値!I366,安値!K366&lt;安値!L366,安値!K366&lt;安値!M366),6,""))</f>
        <v/>
      </c>
      <c r="G366" s="503" t="str">
        <f>IF(終値!A366="","",IF(AND(安値!L366&lt;安値!K366,安値!L366&lt;安値!J366,安値!L366&lt;安値!M366,安値!L366&lt;安値!N366),7,""))</f>
        <v/>
      </c>
      <c r="H366" s="503" t="str">
        <f>IF(終値!A366="","",IF(AND(安値!M366&lt;安値!L366,安値!M366&lt;安値!K366,安値!M366&lt;安値!N366,安値!M366&lt;安値!O366),8,""))</f>
        <v/>
      </c>
      <c r="I366" s="503" t="str">
        <f>IF(終値!A366="","",IF(AND(安値!N366&lt;安値!M366,安値!N366&lt;安値!L366,安値!N366&lt;安値!O366,安値!N366&lt;安値!P366),9,""))</f>
        <v/>
      </c>
      <c r="J366" s="503" t="str">
        <f>IF(終値!A366="","",IF(AND(安値!O366&lt;安値!N366,安値!O366&lt;安値!M366,安値!O366&lt;安値!P366,安値!O366&lt;安値!Q366),10,""))</f>
        <v/>
      </c>
      <c r="K366" s="503" t="str">
        <f>IF(終値!A366="","",IF(AND(安値!P366&lt;安値!O366,安値!P366&lt;安値!N366,安値!P366&lt;安値!Q366,安値!P366&lt;安値!R366),11,""))</f>
        <v/>
      </c>
      <c r="L366" s="503" t="str">
        <f>IF(終値!A366="","",IF(AND(安値!Q366&lt;安値!P366,安値!Q366&lt;安値!O366,安値!Q366&lt;安値!R366,安値!Q366&lt;安値!S366),12,""))</f>
        <v/>
      </c>
      <c r="M366" s="503" t="str">
        <f>IF(終値!A366="","",IF(AND(安値!R366&lt;安値!Q366,安値!R366&lt;安値!P366,安値!R366&lt;安値!S366,安値!R366&lt;安値!T366),13,""))</f>
        <v/>
      </c>
      <c r="N366" s="503" t="str">
        <f>IF(終値!A366="","",IF(AND(安値!S366&lt;安値!R366,安値!S366&lt;安値!Q366,安値!S366&lt;安値!T366,安値!S366&lt;安値!U366),14,""))</f>
        <v/>
      </c>
      <c r="O366" s="503" t="str">
        <f>IF(終値!A366="","",IF(AND(安値!T366&lt;安値!S366,安値!T366&lt;安値!R366,安値!T366&lt;安値!U366,安値!T366&lt;安値!V366),15,""))</f>
        <v/>
      </c>
      <c r="P366" s="503" t="str">
        <f>IF(終値!A366="","",IF(AND(安値!U366&lt;安値!T366,安値!U366&lt;安値!S366,安値!U366&lt;安値!V366,安値!U366&lt;安値!W366),16,""))</f>
        <v/>
      </c>
      <c r="Q366" s="503" t="str">
        <f>IF(終値!A366="","",IF(AND(安値!V366&lt;安値!U366,安値!V366&lt;安値!T366,安値!V366&lt;安値!W366,安値!V366&lt;安値!X366),17,""))</f>
        <v/>
      </c>
      <c r="R366" s="503" t="str">
        <f>IF(終値!A366="","",IF(AND(安値!W366&lt;安値!V366,安値!W366&lt;安値!U366,安値!W366&lt;安値!X366,安値!W366&lt;安値!Y366),18,""))</f>
        <v/>
      </c>
      <c r="S366" s="503" t="str">
        <f>IF(終値!A366="","",IF(AND(安値!X366&lt;安値!W366,安値!X366&lt;安値!V366,安値!X366&lt;安値!Y366,安値!X366&lt;安値!Z366),19,""))</f>
        <v/>
      </c>
      <c r="T366" s="503" t="str">
        <f>IF(終値!A366="","",IF(AND(安値!Y366&lt;安値!X366,安値!Y366&lt;安値!W366,安値!Y366&lt;安値!Z366,安値!Y366&lt;安値!AA366),20,""))</f>
        <v/>
      </c>
      <c r="U366" s="503" t="str">
        <f>IF(終値!A366="","",IF(AND(安値!Z366&lt;安値!Y366,安値!Z366&lt;安値!X366,安値!Z366&lt;安値!AA366,安値!Z366&lt;安値!AB366),21,""))</f>
        <v/>
      </c>
      <c r="V366" s="503" t="str">
        <f>IF(終値!A366="","",IF(AND(安値!AA366&lt;安値!Z366,安値!AA366&lt;安値!Y366,安値!AA366&lt;安値!AB366,安値!AA366&lt;安値!AC366),22,""))</f>
        <v/>
      </c>
      <c r="W366" s="503" t="str">
        <f>IF(終値!A366="","",IF(AND(安値!AB366&lt;安値!AA366,安値!AB366&lt;安値!Z366,安値!AB366&lt;安値!AC366,安値!AB366&lt;安値!AD366),23,""))</f>
        <v/>
      </c>
      <c r="X366" s="503" t="str">
        <f>IF(終値!A366="","",IF(AND(安値!AC366&lt;安値!AB366,安値!AC366&lt;安値!AA366,安値!AC366&lt;安値!AD366,安値!AC366&lt;安値!AE366),24,""))</f>
        <v/>
      </c>
      <c r="Y366" s="503" t="str">
        <f>IF(終値!A366="","",IF(AND(安値!AD366&lt;安値!AC366,安値!AD366&lt;安値!AB366,安値!AD366&lt;安値!AE366,安値!AD366&lt;安値!AF366),25,""))</f>
        <v/>
      </c>
      <c r="Z366" s="503" t="str">
        <f>IF(終値!A366="","",IF(AND(安値!AE366&lt;安値!AD366,安値!AE366&lt;安値!AC366,安値!AE366&lt;安値!AF366,安値!AE366&lt;安値!AG366),26,""))</f>
        <v/>
      </c>
      <c r="AA366" s="503" t="str">
        <f>IF(終値!A366="","",IF(AND(安値!AF366&lt;安値!AE366,安値!AF366&lt;安値!AD366,安値!AF366&lt;安値!AG366,安値!AF366&lt;安値!AH366),27,""))</f>
        <v/>
      </c>
      <c r="AB366" s="503" t="str">
        <f>IF(終値!A366="","",IF(AND(安値!AG366&lt;安値!AF366,安値!AG366&lt;安値!AE366,安値!AG366&lt;安値!AH366,安値!AG366&lt;安値!AI366),28,""))</f>
        <v/>
      </c>
      <c r="AC366" s="503" t="str">
        <f>IF(終値!A366="","",IF(AND(高値!G366&gt;高値!F366,高値!G366&gt;高値!E366,高値!G366&gt;高値!H366,高値!G366&gt;高値!I366),2,""))</f>
        <v/>
      </c>
      <c r="AD366" s="503" t="str">
        <f>IF(終値!A366="","",IF(AND(高値!H366&gt;高値!G366,高値!H366&gt;高値!F366,高値!H366&gt;高値!I366,高値!H366&gt;高値!J366),3,""))</f>
        <v/>
      </c>
      <c r="AE366" s="503" t="str">
        <f>IF(終値!A366="","",IF(AND(高値!I366&gt;高値!H366,高値!I366&gt;高値!G366,高値!I366&gt;高値!J366,高値!I366&gt;高値!K366),4,""))</f>
        <v/>
      </c>
      <c r="AF366" s="503" t="str">
        <f>IF(終値!A366="","",IF(AND(高値!J366&gt;高値!I366,高値!J366&gt;高値!H366,高値!J366&gt;高値!K366,高値!J366&gt;高値!L366),5,""))</f>
        <v/>
      </c>
      <c r="AG366" s="503" t="str">
        <f>IF(終値!A366="","",IF(AND(高値!K366&gt;高値!J366,高値!K366&gt;高値!I366,高値!K366&gt;高値!L366,高値!K366&gt;高値!M366),6,""))</f>
        <v/>
      </c>
      <c r="AH366" s="503" t="str">
        <f>IF(終値!A366="","",IF(AND(高値!L366&gt;高値!K366,高値!L366&gt;高値!J366,高値!L366&gt;高値!M366,高値!L366&gt;高値!N366),7,""))</f>
        <v/>
      </c>
      <c r="AI366" s="503" t="str">
        <f>IF(終値!A366="","",IF(AND(高値!M366&gt;高値!L366,高値!M366&gt;高値!K366,高値!M366&gt;高値!N366,高値!M366&gt;高値!O366),8,""))</f>
        <v/>
      </c>
      <c r="AJ366" s="503" t="str">
        <f>IF(終値!A366="","",IF(AND(高値!N366&gt;高値!M366,高値!N366&gt;高値!L366,高値!N366&gt;高値!O366,高値!N366&gt;高値!P366),9,""))</f>
        <v/>
      </c>
      <c r="AK366" s="503" t="str">
        <f>IF(終値!A366="","",IF(AND(高値!O366&gt;高値!N366,高値!O366&gt;高値!M366,高値!O366&gt;高値!P366,高値!O366&gt;高値!Q366),10,""))</f>
        <v/>
      </c>
      <c r="AL366" s="503" t="str">
        <f>IF(終値!A366="","",IF(AND(高値!P366&gt;高値!O366,高値!P366&gt;高値!N366,高値!P366&gt;高値!Q366,高値!P366&gt;高値!R366),11,""))</f>
        <v/>
      </c>
      <c r="AM366" s="503" t="str">
        <f>IF(終値!A366="","",IF(AND(高値!Q366&gt;高値!P366,高値!Q366&gt;高値!O366,高値!Q366&gt;高値!R366,高値!Q366&gt;高値!S366),12,""))</f>
        <v/>
      </c>
      <c r="AN366" s="503" t="str">
        <f>IF(終値!A366="","",IF(AND(高値!R366&gt;高値!Q366,高値!R366&gt;高値!P366,高値!R366&gt;高値!S366,高値!R366&gt;高値!T366),13,""))</f>
        <v/>
      </c>
      <c r="AO366" s="503" t="str">
        <f>IF(終値!A366="","",IF(AND(高値!S366&gt;高値!R366,高値!S366&gt;高値!Q366,高値!S366&gt;高値!T366,高値!S366&gt;高値!U366),14,""))</f>
        <v/>
      </c>
      <c r="AP366" s="503" t="str">
        <f>IF(終値!A366="","",IF(AND(高値!T366&gt;高値!S366,高値!T366&gt;高値!R366,高値!T366&gt;高値!U366,高値!T366&gt;高値!V366),15,""))</f>
        <v/>
      </c>
      <c r="AQ366" s="503" t="str">
        <f>IF(終値!A366="","",IF(AND(高値!U366&gt;高値!T366,高値!U366&gt;高値!S366,高値!U366&gt;高値!V366,高値!U366&gt;高値!W366),16,""))</f>
        <v/>
      </c>
      <c r="AR366" s="503" t="str">
        <f>IF(終値!A366="","",IF(AND(高値!V366&gt;高値!U366,高値!V366&gt;高値!T366,高値!V366&gt;高値!W366,高値!V366&gt;高値!X366),17,""))</f>
        <v/>
      </c>
      <c r="AS366" s="503" t="str">
        <f>IF(終値!A366="","",IF(AND(高値!W366&gt;高値!V366,高値!W366&gt;高値!U366,高値!W366&gt;高値!X366,高値!W366&gt;高値!Y366),18,""))</f>
        <v/>
      </c>
      <c r="AT366" s="503" t="str">
        <f>IF(終値!A366="","",IF(AND(高値!X366&gt;高値!W366,高値!X366&gt;高値!V366,高値!X366&gt;高値!Y366,高値!X366&gt;高値!Z366),19,""))</f>
        <v/>
      </c>
      <c r="AU366" s="503" t="str">
        <f>IF(終値!A366="","",IF(AND(高値!Y366&gt;高値!X366,高値!Y366&gt;高値!W366,高値!Y366&gt;高値!Z366,高値!Y366&gt;高値!AA366),20,""))</f>
        <v/>
      </c>
      <c r="AV366" s="503" t="str">
        <f>IF(終値!A366="","",IF(AND(高値!Z366&gt;高値!Y366,高値!Z366&gt;高値!X366,高値!Z366&gt;高値!AA366,高値!Z366&gt;高値!AB366),21,""))</f>
        <v/>
      </c>
      <c r="AW366" s="503" t="str">
        <f>IF(終値!A366="","",IF(AND(高値!AA366&gt;高値!Z366,高値!AA366&gt;高値!Y366,高値!AA366&gt;高値!AB366,高値!AA366&gt;高値!AC366),22,""))</f>
        <v/>
      </c>
      <c r="AX366" s="503" t="str">
        <f>IF(終値!A366="","",IF(AND(高値!AB366&gt;高値!AA366,高値!AB366&gt;高値!Z366,高値!AB366&gt;高値!AC366,高値!AB366&gt;高値!AD366),23,""))</f>
        <v/>
      </c>
      <c r="AY366" s="503" t="str">
        <f>IF(終値!A366="","",IF(AND(高値!AC366&gt;高値!AB366,高値!AC366&gt;高値!AA366,高値!AC366&gt;高値!AD366,高値!AC366&gt;高値!AE366),24,""))</f>
        <v/>
      </c>
      <c r="AZ366" s="503" t="str">
        <f>IF(終値!A366="","",IF(AND(高値!AD366&gt;高値!AC366,高値!AD366&gt;高値!AB366,高値!AD366&gt;高値!AE366,高値!AD366&gt;高値!AF366),25,""))</f>
        <v/>
      </c>
      <c r="BA366" s="503" t="str">
        <f>IF(終値!A366="","",IF(AND(高値!AE366&gt;高値!AD366,高値!AE366&gt;高値!AC366,高値!AE366&gt;高値!AF366,高値!AE366&gt;高値!AG366),26,""))</f>
        <v/>
      </c>
      <c r="BB366" s="503" t="str">
        <f>IF(終値!A366="","",IF(AND(高値!AF366&gt;高値!AE366,高値!AF366&gt;高値!AD366,高値!AF366&gt;高値!AG366,高値!AF366&gt;高値!AH366),27,""))</f>
        <v/>
      </c>
      <c r="BC366" s="503" t="str">
        <f>IF(終値!A366="","",IF(AND(高値!AG366&gt;高値!AF366,高値!AG366&gt;高値!AE366,高値!AG366&gt;高値!AH366,高値!AG366&gt;高値!AI366),28,""))</f>
        <v/>
      </c>
      <c r="BD366" s="503">
        <f t="shared" si="30"/>
        <v>0</v>
      </c>
      <c r="BE366" s="503" t="str">
        <f t="shared" si="31"/>
        <v/>
      </c>
      <c r="BF366" s="503" t="str">
        <f t="shared" si="32"/>
        <v/>
      </c>
      <c r="BG366" s="503" t="str">
        <f>IF($BE366="","",INDEX(安値!$E366:$CZ366,1,$BE366+1))</f>
        <v/>
      </c>
      <c r="BH366" s="503" t="str">
        <f>IF($BF366="","",INDEX(安値!$E366:$CZ366,1,$BF366+1))</f>
        <v/>
      </c>
      <c r="BI366" s="503" t="str">
        <f>IF($BF366="","",MAX(INDEX(高値!$E366:$CZ366,1,$BE366+1):INDEX(高値!$E366:$CZ366,1,$BF366+1)))</f>
        <v/>
      </c>
      <c r="BJ366" s="503" t="str">
        <f>IF($BF366="","",AVERAGE(INDEX(終値!$E366:$CZ366,1,$BF366+1):INDEX(終値!$E366:$CZ366,1,$BF366+20))-2*STDEVP(INDEX(終値!$E366:$CZ366,1,$BF366+1):INDEX(終値!$E366:$CZ366,1,$BF366+20)))</f>
        <v/>
      </c>
      <c r="BK366" s="503" t="str">
        <f>IF($BE366="","",AVERAGE(INDEX(終値!$E366:$CZ366,1,$BE366+1):INDEX(終値!$E366:$CZ366,1,$BE366+20))-2*STDEVP(INDEX(終値!$E366:$CZ366,1,$BE366+1):INDEX(終値!$E366:$CZ366,1,$BE366+20)))</f>
        <v/>
      </c>
      <c r="BL366" s="503">
        <f t="shared" si="33"/>
        <v>0</v>
      </c>
      <c r="BM366" s="503" t="str">
        <f t="shared" si="34"/>
        <v/>
      </c>
      <c r="BN366" s="503" t="str">
        <f t="shared" si="35"/>
        <v/>
      </c>
      <c r="BO366" s="503" t="str">
        <f>IF($BM366="","",INDEX(高値!$E366:$CZ366,1,$BM366+1))</f>
        <v/>
      </c>
      <c r="BP366" s="503" t="str">
        <f>IF($BN366="","",INDEX(高値!$E366:$CZ366,1,$BN366+1))</f>
        <v/>
      </c>
      <c r="BQ366" s="503" t="str">
        <f>IF($BN366="","",MIN(INDEX(安値!$E366:$CZ366,1,$BM366+1):INDEX(安値!$E366:$CZ366,1,$BN366+1)))</f>
        <v/>
      </c>
      <c r="BR366" s="503" t="str">
        <f>IF($BN366="","",AVERAGE(INDEX(終値!$E366:$CZ366,1,$BN366+1):INDEX(終値!$E366:$CZ366,1,$BN366+20))+2*STDEVP(INDEX(終値!$E366:$CZ366,1,$BN366+1):INDEX(終値!$E366:$CZ366,1,$BN366+20)))</f>
        <v/>
      </c>
      <c r="BS366" s="503" t="str">
        <f>IF($BM366="","",AVERAGE(INDEX(終値!$E366:$CZ366,1,$BM366+1):INDEX(終値!$E366:$CZ366,1,$BM366+20))+2*STDEVP(INDEX(終値!$E366:$CZ366,1,$BM366+1):INDEX(終値!$E366:$CZ366,1,$BM366+20)))</f>
        <v/>
      </c>
      <c r="BT366" s="500"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3" t="str">
        <f>IF(終値!A367="","",IF(AND(安値!G367&lt;安値!F367,安値!G367&lt;安値!E367,安値!G367&lt;安値!H367,安値!G367&lt;安値!I367),2,""))</f>
        <v/>
      </c>
      <c r="C367" s="503" t="str">
        <f>IF(終値!A367="","",IF(AND(安値!H367&lt;安値!G367,安値!H367&lt;安値!F367,安値!H367&lt;安値!I367,安値!H367&lt;安値!J367),3,""))</f>
        <v/>
      </c>
      <c r="D367" s="503" t="str">
        <f>IF(終値!A367="","",IF(AND(安値!I367&lt;安値!H367,安値!I367&lt;安値!G367,安値!I367&lt;安値!J367,安値!I367&lt;安値!K367),4,""))</f>
        <v/>
      </c>
      <c r="E367" s="503" t="str">
        <f>IF(終値!A367="","",IF(AND(安値!J367&lt;安値!I367,安値!J367&lt;安値!H367,安値!J367&lt;安値!K367,安値!J367&lt;安値!L367),5,""))</f>
        <v/>
      </c>
      <c r="F367" s="503" t="str">
        <f>IF(終値!A367="","",IF(AND(安値!K367&lt;安値!J367,安値!K367&lt;安値!I367,安値!K367&lt;安値!L367,安値!K367&lt;安値!M367),6,""))</f>
        <v/>
      </c>
      <c r="G367" s="503" t="str">
        <f>IF(終値!A367="","",IF(AND(安値!L367&lt;安値!K367,安値!L367&lt;安値!J367,安値!L367&lt;安値!M367,安値!L367&lt;安値!N367),7,""))</f>
        <v/>
      </c>
      <c r="H367" s="503" t="str">
        <f>IF(終値!A367="","",IF(AND(安値!M367&lt;安値!L367,安値!M367&lt;安値!K367,安値!M367&lt;安値!N367,安値!M367&lt;安値!O367),8,""))</f>
        <v/>
      </c>
      <c r="I367" s="503" t="str">
        <f>IF(終値!A367="","",IF(AND(安値!N367&lt;安値!M367,安値!N367&lt;安値!L367,安値!N367&lt;安値!O367,安値!N367&lt;安値!P367),9,""))</f>
        <v/>
      </c>
      <c r="J367" s="503" t="str">
        <f>IF(終値!A367="","",IF(AND(安値!O367&lt;安値!N367,安値!O367&lt;安値!M367,安値!O367&lt;安値!P367,安値!O367&lt;安値!Q367),10,""))</f>
        <v/>
      </c>
      <c r="K367" s="503" t="str">
        <f>IF(終値!A367="","",IF(AND(安値!P367&lt;安値!O367,安値!P367&lt;安値!N367,安値!P367&lt;安値!Q367,安値!P367&lt;安値!R367),11,""))</f>
        <v/>
      </c>
      <c r="L367" s="503" t="str">
        <f>IF(終値!A367="","",IF(AND(安値!Q367&lt;安値!P367,安値!Q367&lt;安値!O367,安値!Q367&lt;安値!R367,安値!Q367&lt;安値!S367),12,""))</f>
        <v/>
      </c>
      <c r="M367" s="503" t="str">
        <f>IF(終値!A367="","",IF(AND(安値!R367&lt;安値!Q367,安値!R367&lt;安値!P367,安値!R367&lt;安値!S367,安値!R367&lt;安値!T367),13,""))</f>
        <v/>
      </c>
      <c r="N367" s="503" t="str">
        <f>IF(終値!A367="","",IF(AND(安値!S367&lt;安値!R367,安値!S367&lt;安値!Q367,安値!S367&lt;安値!T367,安値!S367&lt;安値!U367),14,""))</f>
        <v/>
      </c>
      <c r="O367" s="503" t="str">
        <f>IF(終値!A367="","",IF(AND(安値!T367&lt;安値!S367,安値!T367&lt;安値!R367,安値!T367&lt;安値!U367,安値!T367&lt;安値!V367),15,""))</f>
        <v/>
      </c>
      <c r="P367" s="503" t="str">
        <f>IF(終値!A367="","",IF(AND(安値!U367&lt;安値!T367,安値!U367&lt;安値!S367,安値!U367&lt;安値!V367,安値!U367&lt;安値!W367),16,""))</f>
        <v/>
      </c>
      <c r="Q367" s="503" t="str">
        <f>IF(終値!A367="","",IF(AND(安値!V367&lt;安値!U367,安値!V367&lt;安値!T367,安値!V367&lt;安値!W367,安値!V367&lt;安値!X367),17,""))</f>
        <v/>
      </c>
      <c r="R367" s="503" t="str">
        <f>IF(終値!A367="","",IF(AND(安値!W367&lt;安値!V367,安値!W367&lt;安値!U367,安値!W367&lt;安値!X367,安値!W367&lt;安値!Y367),18,""))</f>
        <v/>
      </c>
      <c r="S367" s="503" t="str">
        <f>IF(終値!A367="","",IF(AND(安値!X367&lt;安値!W367,安値!X367&lt;安値!V367,安値!X367&lt;安値!Y367,安値!X367&lt;安値!Z367),19,""))</f>
        <v/>
      </c>
      <c r="T367" s="503" t="str">
        <f>IF(終値!A367="","",IF(AND(安値!Y367&lt;安値!X367,安値!Y367&lt;安値!W367,安値!Y367&lt;安値!Z367,安値!Y367&lt;安値!AA367),20,""))</f>
        <v/>
      </c>
      <c r="U367" s="503" t="str">
        <f>IF(終値!A367="","",IF(AND(安値!Z367&lt;安値!Y367,安値!Z367&lt;安値!X367,安値!Z367&lt;安値!AA367,安値!Z367&lt;安値!AB367),21,""))</f>
        <v/>
      </c>
      <c r="V367" s="503" t="str">
        <f>IF(終値!A367="","",IF(AND(安値!AA367&lt;安値!Z367,安値!AA367&lt;安値!Y367,安値!AA367&lt;安値!AB367,安値!AA367&lt;安値!AC367),22,""))</f>
        <v/>
      </c>
      <c r="W367" s="503" t="str">
        <f>IF(終値!A367="","",IF(AND(安値!AB367&lt;安値!AA367,安値!AB367&lt;安値!Z367,安値!AB367&lt;安値!AC367,安値!AB367&lt;安値!AD367),23,""))</f>
        <v/>
      </c>
      <c r="X367" s="503" t="str">
        <f>IF(終値!A367="","",IF(AND(安値!AC367&lt;安値!AB367,安値!AC367&lt;安値!AA367,安値!AC367&lt;安値!AD367,安値!AC367&lt;安値!AE367),24,""))</f>
        <v/>
      </c>
      <c r="Y367" s="503" t="str">
        <f>IF(終値!A367="","",IF(AND(安値!AD367&lt;安値!AC367,安値!AD367&lt;安値!AB367,安値!AD367&lt;安値!AE367,安値!AD367&lt;安値!AF367),25,""))</f>
        <v/>
      </c>
      <c r="Z367" s="503" t="str">
        <f>IF(終値!A367="","",IF(AND(安値!AE367&lt;安値!AD367,安値!AE367&lt;安値!AC367,安値!AE367&lt;安値!AF367,安値!AE367&lt;安値!AG367),26,""))</f>
        <v/>
      </c>
      <c r="AA367" s="503" t="str">
        <f>IF(終値!A367="","",IF(AND(安値!AF367&lt;安値!AE367,安値!AF367&lt;安値!AD367,安値!AF367&lt;安値!AG367,安値!AF367&lt;安値!AH367),27,""))</f>
        <v/>
      </c>
      <c r="AB367" s="503" t="str">
        <f>IF(終値!A367="","",IF(AND(安値!AG367&lt;安値!AF367,安値!AG367&lt;安値!AE367,安値!AG367&lt;安値!AH367,安値!AG367&lt;安値!AI367),28,""))</f>
        <v/>
      </c>
      <c r="AC367" s="503" t="str">
        <f>IF(終値!A367="","",IF(AND(高値!G367&gt;高値!F367,高値!G367&gt;高値!E367,高値!G367&gt;高値!H367,高値!G367&gt;高値!I367),2,""))</f>
        <v/>
      </c>
      <c r="AD367" s="503" t="str">
        <f>IF(終値!A367="","",IF(AND(高値!H367&gt;高値!G367,高値!H367&gt;高値!F367,高値!H367&gt;高値!I367,高値!H367&gt;高値!J367),3,""))</f>
        <v/>
      </c>
      <c r="AE367" s="503" t="str">
        <f>IF(終値!A367="","",IF(AND(高値!I367&gt;高値!H367,高値!I367&gt;高値!G367,高値!I367&gt;高値!J367,高値!I367&gt;高値!K367),4,""))</f>
        <v/>
      </c>
      <c r="AF367" s="503" t="str">
        <f>IF(終値!A367="","",IF(AND(高値!J367&gt;高値!I367,高値!J367&gt;高値!H367,高値!J367&gt;高値!K367,高値!J367&gt;高値!L367),5,""))</f>
        <v/>
      </c>
      <c r="AG367" s="503" t="str">
        <f>IF(終値!A367="","",IF(AND(高値!K367&gt;高値!J367,高値!K367&gt;高値!I367,高値!K367&gt;高値!L367,高値!K367&gt;高値!M367),6,""))</f>
        <v/>
      </c>
      <c r="AH367" s="503" t="str">
        <f>IF(終値!A367="","",IF(AND(高値!L367&gt;高値!K367,高値!L367&gt;高値!J367,高値!L367&gt;高値!M367,高値!L367&gt;高値!N367),7,""))</f>
        <v/>
      </c>
      <c r="AI367" s="503" t="str">
        <f>IF(終値!A367="","",IF(AND(高値!M367&gt;高値!L367,高値!M367&gt;高値!K367,高値!M367&gt;高値!N367,高値!M367&gt;高値!O367),8,""))</f>
        <v/>
      </c>
      <c r="AJ367" s="503" t="str">
        <f>IF(終値!A367="","",IF(AND(高値!N367&gt;高値!M367,高値!N367&gt;高値!L367,高値!N367&gt;高値!O367,高値!N367&gt;高値!P367),9,""))</f>
        <v/>
      </c>
      <c r="AK367" s="503" t="str">
        <f>IF(終値!A367="","",IF(AND(高値!O367&gt;高値!N367,高値!O367&gt;高値!M367,高値!O367&gt;高値!P367,高値!O367&gt;高値!Q367),10,""))</f>
        <v/>
      </c>
      <c r="AL367" s="503" t="str">
        <f>IF(終値!A367="","",IF(AND(高値!P367&gt;高値!O367,高値!P367&gt;高値!N367,高値!P367&gt;高値!Q367,高値!P367&gt;高値!R367),11,""))</f>
        <v/>
      </c>
      <c r="AM367" s="503" t="str">
        <f>IF(終値!A367="","",IF(AND(高値!Q367&gt;高値!P367,高値!Q367&gt;高値!O367,高値!Q367&gt;高値!R367,高値!Q367&gt;高値!S367),12,""))</f>
        <v/>
      </c>
      <c r="AN367" s="503" t="str">
        <f>IF(終値!A367="","",IF(AND(高値!R367&gt;高値!Q367,高値!R367&gt;高値!P367,高値!R367&gt;高値!S367,高値!R367&gt;高値!T367),13,""))</f>
        <v/>
      </c>
      <c r="AO367" s="503" t="str">
        <f>IF(終値!A367="","",IF(AND(高値!S367&gt;高値!R367,高値!S367&gt;高値!Q367,高値!S367&gt;高値!T367,高値!S367&gt;高値!U367),14,""))</f>
        <v/>
      </c>
      <c r="AP367" s="503" t="str">
        <f>IF(終値!A367="","",IF(AND(高値!T367&gt;高値!S367,高値!T367&gt;高値!R367,高値!T367&gt;高値!U367,高値!T367&gt;高値!V367),15,""))</f>
        <v/>
      </c>
      <c r="AQ367" s="503" t="str">
        <f>IF(終値!A367="","",IF(AND(高値!U367&gt;高値!T367,高値!U367&gt;高値!S367,高値!U367&gt;高値!V367,高値!U367&gt;高値!W367),16,""))</f>
        <v/>
      </c>
      <c r="AR367" s="503" t="str">
        <f>IF(終値!A367="","",IF(AND(高値!V367&gt;高値!U367,高値!V367&gt;高値!T367,高値!V367&gt;高値!W367,高値!V367&gt;高値!X367),17,""))</f>
        <v/>
      </c>
      <c r="AS367" s="503" t="str">
        <f>IF(終値!A367="","",IF(AND(高値!W367&gt;高値!V367,高値!W367&gt;高値!U367,高値!W367&gt;高値!X367,高値!W367&gt;高値!Y367),18,""))</f>
        <v/>
      </c>
      <c r="AT367" s="503" t="str">
        <f>IF(終値!A367="","",IF(AND(高値!X367&gt;高値!W367,高値!X367&gt;高値!V367,高値!X367&gt;高値!Y367,高値!X367&gt;高値!Z367),19,""))</f>
        <v/>
      </c>
      <c r="AU367" s="503" t="str">
        <f>IF(終値!A367="","",IF(AND(高値!Y367&gt;高値!X367,高値!Y367&gt;高値!W367,高値!Y367&gt;高値!Z367,高値!Y367&gt;高値!AA367),20,""))</f>
        <v/>
      </c>
      <c r="AV367" s="503" t="str">
        <f>IF(終値!A367="","",IF(AND(高値!Z367&gt;高値!Y367,高値!Z367&gt;高値!X367,高値!Z367&gt;高値!AA367,高値!Z367&gt;高値!AB367),21,""))</f>
        <v/>
      </c>
      <c r="AW367" s="503" t="str">
        <f>IF(終値!A367="","",IF(AND(高値!AA367&gt;高値!Z367,高値!AA367&gt;高値!Y367,高値!AA367&gt;高値!AB367,高値!AA367&gt;高値!AC367),22,""))</f>
        <v/>
      </c>
      <c r="AX367" s="503" t="str">
        <f>IF(終値!A367="","",IF(AND(高値!AB367&gt;高値!AA367,高値!AB367&gt;高値!Z367,高値!AB367&gt;高値!AC367,高値!AB367&gt;高値!AD367),23,""))</f>
        <v/>
      </c>
      <c r="AY367" s="503" t="str">
        <f>IF(終値!A367="","",IF(AND(高値!AC367&gt;高値!AB367,高値!AC367&gt;高値!AA367,高値!AC367&gt;高値!AD367,高値!AC367&gt;高値!AE367),24,""))</f>
        <v/>
      </c>
      <c r="AZ367" s="503" t="str">
        <f>IF(終値!A367="","",IF(AND(高値!AD367&gt;高値!AC367,高値!AD367&gt;高値!AB367,高値!AD367&gt;高値!AE367,高値!AD367&gt;高値!AF367),25,""))</f>
        <v/>
      </c>
      <c r="BA367" s="503" t="str">
        <f>IF(終値!A367="","",IF(AND(高値!AE367&gt;高値!AD367,高値!AE367&gt;高値!AC367,高値!AE367&gt;高値!AF367,高値!AE367&gt;高値!AG367),26,""))</f>
        <v/>
      </c>
      <c r="BB367" s="503" t="str">
        <f>IF(終値!A367="","",IF(AND(高値!AF367&gt;高値!AE367,高値!AF367&gt;高値!AD367,高値!AF367&gt;高値!AG367,高値!AF367&gt;高値!AH367),27,""))</f>
        <v/>
      </c>
      <c r="BC367" s="503" t="str">
        <f>IF(終値!A367="","",IF(AND(高値!AG367&gt;高値!AF367,高値!AG367&gt;高値!AE367,高値!AG367&gt;高値!AH367,高値!AG367&gt;高値!AI367),28,""))</f>
        <v/>
      </c>
      <c r="BD367" s="503">
        <f t="shared" si="30"/>
        <v>0</v>
      </c>
      <c r="BE367" s="503" t="str">
        <f t="shared" si="31"/>
        <v/>
      </c>
      <c r="BF367" s="503" t="str">
        <f t="shared" si="32"/>
        <v/>
      </c>
      <c r="BG367" s="503" t="str">
        <f>IF($BE367="","",INDEX(安値!$E367:$CZ367,1,$BE367+1))</f>
        <v/>
      </c>
      <c r="BH367" s="503" t="str">
        <f>IF($BF367="","",INDEX(安値!$E367:$CZ367,1,$BF367+1))</f>
        <v/>
      </c>
      <c r="BI367" s="503" t="str">
        <f>IF($BF367="","",MAX(INDEX(高値!$E367:$CZ367,1,$BE367+1):INDEX(高値!$E367:$CZ367,1,$BF367+1)))</f>
        <v/>
      </c>
      <c r="BJ367" s="503" t="str">
        <f>IF($BF367="","",AVERAGE(INDEX(終値!$E367:$CZ367,1,$BF367+1):INDEX(終値!$E367:$CZ367,1,$BF367+20))-2*STDEVP(INDEX(終値!$E367:$CZ367,1,$BF367+1):INDEX(終値!$E367:$CZ367,1,$BF367+20)))</f>
        <v/>
      </c>
      <c r="BK367" s="503" t="str">
        <f>IF($BE367="","",AVERAGE(INDEX(終値!$E367:$CZ367,1,$BE367+1):INDEX(終値!$E367:$CZ367,1,$BE367+20))-2*STDEVP(INDEX(終値!$E367:$CZ367,1,$BE367+1):INDEX(終値!$E367:$CZ367,1,$BE367+20)))</f>
        <v/>
      </c>
      <c r="BL367" s="503">
        <f t="shared" si="33"/>
        <v>0</v>
      </c>
      <c r="BM367" s="503" t="str">
        <f t="shared" si="34"/>
        <v/>
      </c>
      <c r="BN367" s="503" t="str">
        <f t="shared" si="35"/>
        <v/>
      </c>
      <c r="BO367" s="503" t="str">
        <f>IF($BM367="","",INDEX(高値!$E367:$CZ367,1,$BM367+1))</f>
        <v/>
      </c>
      <c r="BP367" s="503" t="str">
        <f>IF($BN367="","",INDEX(高値!$E367:$CZ367,1,$BN367+1))</f>
        <v/>
      </c>
      <c r="BQ367" s="503" t="str">
        <f>IF($BN367="","",MIN(INDEX(安値!$E367:$CZ367,1,$BM367+1):INDEX(安値!$E367:$CZ367,1,$BN367+1)))</f>
        <v/>
      </c>
      <c r="BR367" s="503" t="str">
        <f>IF($BN367="","",AVERAGE(INDEX(終値!$E367:$CZ367,1,$BN367+1):INDEX(終値!$E367:$CZ367,1,$BN367+20))+2*STDEVP(INDEX(終値!$E367:$CZ367,1,$BN367+1):INDEX(終値!$E367:$CZ367,1,$BN367+20)))</f>
        <v/>
      </c>
      <c r="BS367" s="503" t="str">
        <f>IF($BM367="","",AVERAGE(INDEX(終値!$E367:$CZ367,1,$BM367+1):INDEX(終値!$E367:$CZ367,1,$BM367+20))+2*STDEVP(INDEX(終値!$E367:$CZ367,1,$BM367+1):INDEX(終値!$E367:$CZ367,1,$BM367+20)))</f>
        <v/>
      </c>
      <c r="BT367" s="500"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3" t="str">
        <f>IF(終値!A368="","",IF(AND(安値!G368&lt;安値!F368,安値!G368&lt;安値!E368,安値!G368&lt;安値!H368,安値!G368&lt;安値!I368),2,""))</f>
        <v/>
      </c>
      <c r="C368" s="503" t="str">
        <f>IF(終値!A368="","",IF(AND(安値!H368&lt;安値!G368,安値!H368&lt;安値!F368,安値!H368&lt;安値!I368,安値!H368&lt;安値!J368),3,""))</f>
        <v/>
      </c>
      <c r="D368" s="503" t="str">
        <f>IF(終値!A368="","",IF(AND(安値!I368&lt;安値!H368,安値!I368&lt;安値!G368,安値!I368&lt;安値!J368,安値!I368&lt;安値!K368),4,""))</f>
        <v/>
      </c>
      <c r="E368" s="503" t="str">
        <f>IF(終値!A368="","",IF(AND(安値!J368&lt;安値!I368,安値!J368&lt;安値!H368,安値!J368&lt;安値!K368,安値!J368&lt;安値!L368),5,""))</f>
        <v/>
      </c>
      <c r="F368" s="503" t="str">
        <f>IF(終値!A368="","",IF(AND(安値!K368&lt;安値!J368,安値!K368&lt;安値!I368,安値!K368&lt;安値!L368,安値!K368&lt;安値!M368),6,""))</f>
        <v/>
      </c>
      <c r="G368" s="503" t="str">
        <f>IF(終値!A368="","",IF(AND(安値!L368&lt;安値!K368,安値!L368&lt;安値!J368,安値!L368&lt;安値!M368,安値!L368&lt;安値!N368),7,""))</f>
        <v/>
      </c>
      <c r="H368" s="503" t="str">
        <f>IF(終値!A368="","",IF(AND(安値!M368&lt;安値!L368,安値!M368&lt;安値!K368,安値!M368&lt;安値!N368,安値!M368&lt;安値!O368),8,""))</f>
        <v/>
      </c>
      <c r="I368" s="503" t="str">
        <f>IF(終値!A368="","",IF(AND(安値!N368&lt;安値!M368,安値!N368&lt;安値!L368,安値!N368&lt;安値!O368,安値!N368&lt;安値!P368),9,""))</f>
        <v/>
      </c>
      <c r="J368" s="503" t="str">
        <f>IF(終値!A368="","",IF(AND(安値!O368&lt;安値!N368,安値!O368&lt;安値!M368,安値!O368&lt;安値!P368,安値!O368&lt;安値!Q368),10,""))</f>
        <v/>
      </c>
      <c r="K368" s="503" t="str">
        <f>IF(終値!A368="","",IF(AND(安値!P368&lt;安値!O368,安値!P368&lt;安値!N368,安値!P368&lt;安値!Q368,安値!P368&lt;安値!R368),11,""))</f>
        <v/>
      </c>
      <c r="L368" s="503" t="str">
        <f>IF(終値!A368="","",IF(AND(安値!Q368&lt;安値!P368,安値!Q368&lt;安値!O368,安値!Q368&lt;安値!R368,安値!Q368&lt;安値!S368),12,""))</f>
        <v/>
      </c>
      <c r="M368" s="503" t="str">
        <f>IF(終値!A368="","",IF(AND(安値!R368&lt;安値!Q368,安値!R368&lt;安値!P368,安値!R368&lt;安値!S368,安値!R368&lt;安値!T368),13,""))</f>
        <v/>
      </c>
      <c r="N368" s="503" t="str">
        <f>IF(終値!A368="","",IF(AND(安値!S368&lt;安値!R368,安値!S368&lt;安値!Q368,安値!S368&lt;安値!T368,安値!S368&lt;安値!U368),14,""))</f>
        <v/>
      </c>
      <c r="O368" s="503" t="str">
        <f>IF(終値!A368="","",IF(AND(安値!T368&lt;安値!S368,安値!T368&lt;安値!R368,安値!T368&lt;安値!U368,安値!T368&lt;安値!V368),15,""))</f>
        <v/>
      </c>
      <c r="P368" s="503" t="str">
        <f>IF(終値!A368="","",IF(AND(安値!U368&lt;安値!T368,安値!U368&lt;安値!S368,安値!U368&lt;安値!V368,安値!U368&lt;安値!W368),16,""))</f>
        <v/>
      </c>
      <c r="Q368" s="503" t="str">
        <f>IF(終値!A368="","",IF(AND(安値!V368&lt;安値!U368,安値!V368&lt;安値!T368,安値!V368&lt;安値!W368,安値!V368&lt;安値!X368),17,""))</f>
        <v/>
      </c>
      <c r="R368" s="503" t="str">
        <f>IF(終値!A368="","",IF(AND(安値!W368&lt;安値!V368,安値!W368&lt;安値!U368,安値!W368&lt;安値!X368,安値!W368&lt;安値!Y368),18,""))</f>
        <v/>
      </c>
      <c r="S368" s="503" t="str">
        <f>IF(終値!A368="","",IF(AND(安値!X368&lt;安値!W368,安値!X368&lt;安値!V368,安値!X368&lt;安値!Y368,安値!X368&lt;安値!Z368),19,""))</f>
        <v/>
      </c>
      <c r="T368" s="503" t="str">
        <f>IF(終値!A368="","",IF(AND(安値!Y368&lt;安値!X368,安値!Y368&lt;安値!W368,安値!Y368&lt;安値!Z368,安値!Y368&lt;安値!AA368),20,""))</f>
        <v/>
      </c>
      <c r="U368" s="503" t="str">
        <f>IF(終値!A368="","",IF(AND(安値!Z368&lt;安値!Y368,安値!Z368&lt;安値!X368,安値!Z368&lt;安値!AA368,安値!Z368&lt;安値!AB368),21,""))</f>
        <v/>
      </c>
      <c r="V368" s="503" t="str">
        <f>IF(終値!A368="","",IF(AND(安値!AA368&lt;安値!Z368,安値!AA368&lt;安値!Y368,安値!AA368&lt;安値!AB368,安値!AA368&lt;安値!AC368),22,""))</f>
        <v/>
      </c>
      <c r="W368" s="503" t="str">
        <f>IF(終値!A368="","",IF(AND(安値!AB368&lt;安値!AA368,安値!AB368&lt;安値!Z368,安値!AB368&lt;安値!AC368,安値!AB368&lt;安値!AD368),23,""))</f>
        <v/>
      </c>
      <c r="X368" s="503" t="str">
        <f>IF(終値!A368="","",IF(AND(安値!AC368&lt;安値!AB368,安値!AC368&lt;安値!AA368,安値!AC368&lt;安値!AD368,安値!AC368&lt;安値!AE368),24,""))</f>
        <v/>
      </c>
      <c r="Y368" s="503" t="str">
        <f>IF(終値!A368="","",IF(AND(安値!AD368&lt;安値!AC368,安値!AD368&lt;安値!AB368,安値!AD368&lt;安値!AE368,安値!AD368&lt;安値!AF368),25,""))</f>
        <v/>
      </c>
      <c r="Z368" s="503" t="str">
        <f>IF(終値!A368="","",IF(AND(安値!AE368&lt;安値!AD368,安値!AE368&lt;安値!AC368,安値!AE368&lt;安値!AF368,安値!AE368&lt;安値!AG368),26,""))</f>
        <v/>
      </c>
      <c r="AA368" s="503" t="str">
        <f>IF(終値!A368="","",IF(AND(安値!AF368&lt;安値!AE368,安値!AF368&lt;安値!AD368,安値!AF368&lt;安値!AG368,安値!AF368&lt;安値!AH368),27,""))</f>
        <v/>
      </c>
      <c r="AB368" s="503" t="str">
        <f>IF(終値!A368="","",IF(AND(安値!AG368&lt;安値!AF368,安値!AG368&lt;安値!AE368,安値!AG368&lt;安値!AH368,安値!AG368&lt;安値!AI368),28,""))</f>
        <v/>
      </c>
      <c r="AC368" s="503" t="str">
        <f>IF(終値!A368="","",IF(AND(高値!G368&gt;高値!F368,高値!G368&gt;高値!E368,高値!G368&gt;高値!H368,高値!G368&gt;高値!I368),2,""))</f>
        <v/>
      </c>
      <c r="AD368" s="503" t="str">
        <f>IF(終値!A368="","",IF(AND(高値!H368&gt;高値!G368,高値!H368&gt;高値!F368,高値!H368&gt;高値!I368,高値!H368&gt;高値!J368),3,""))</f>
        <v/>
      </c>
      <c r="AE368" s="503" t="str">
        <f>IF(終値!A368="","",IF(AND(高値!I368&gt;高値!H368,高値!I368&gt;高値!G368,高値!I368&gt;高値!J368,高値!I368&gt;高値!K368),4,""))</f>
        <v/>
      </c>
      <c r="AF368" s="503" t="str">
        <f>IF(終値!A368="","",IF(AND(高値!J368&gt;高値!I368,高値!J368&gt;高値!H368,高値!J368&gt;高値!K368,高値!J368&gt;高値!L368),5,""))</f>
        <v/>
      </c>
      <c r="AG368" s="503" t="str">
        <f>IF(終値!A368="","",IF(AND(高値!K368&gt;高値!J368,高値!K368&gt;高値!I368,高値!K368&gt;高値!L368,高値!K368&gt;高値!M368),6,""))</f>
        <v/>
      </c>
      <c r="AH368" s="503" t="str">
        <f>IF(終値!A368="","",IF(AND(高値!L368&gt;高値!K368,高値!L368&gt;高値!J368,高値!L368&gt;高値!M368,高値!L368&gt;高値!N368),7,""))</f>
        <v/>
      </c>
      <c r="AI368" s="503" t="str">
        <f>IF(終値!A368="","",IF(AND(高値!M368&gt;高値!L368,高値!M368&gt;高値!K368,高値!M368&gt;高値!N368,高値!M368&gt;高値!O368),8,""))</f>
        <v/>
      </c>
      <c r="AJ368" s="503" t="str">
        <f>IF(終値!A368="","",IF(AND(高値!N368&gt;高値!M368,高値!N368&gt;高値!L368,高値!N368&gt;高値!O368,高値!N368&gt;高値!P368),9,""))</f>
        <v/>
      </c>
      <c r="AK368" s="503" t="str">
        <f>IF(終値!A368="","",IF(AND(高値!O368&gt;高値!N368,高値!O368&gt;高値!M368,高値!O368&gt;高値!P368,高値!O368&gt;高値!Q368),10,""))</f>
        <v/>
      </c>
      <c r="AL368" s="503" t="str">
        <f>IF(終値!A368="","",IF(AND(高値!P368&gt;高値!O368,高値!P368&gt;高値!N368,高値!P368&gt;高値!Q368,高値!P368&gt;高値!R368),11,""))</f>
        <v/>
      </c>
      <c r="AM368" s="503" t="str">
        <f>IF(終値!A368="","",IF(AND(高値!Q368&gt;高値!P368,高値!Q368&gt;高値!O368,高値!Q368&gt;高値!R368,高値!Q368&gt;高値!S368),12,""))</f>
        <v/>
      </c>
      <c r="AN368" s="503" t="str">
        <f>IF(終値!A368="","",IF(AND(高値!R368&gt;高値!Q368,高値!R368&gt;高値!P368,高値!R368&gt;高値!S368,高値!R368&gt;高値!T368),13,""))</f>
        <v/>
      </c>
      <c r="AO368" s="503" t="str">
        <f>IF(終値!A368="","",IF(AND(高値!S368&gt;高値!R368,高値!S368&gt;高値!Q368,高値!S368&gt;高値!T368,高値!S368&gt;高値!U368),14,""))</f>
        <v/>
      </c>
      <c r="AP368" s="503" t="str">
        <f>IF(終値!A368="","",IF(AND(高値!T368&gt;高値!S368,高値!T368&gt;高値!R368,高値!T368&gt;高値!U368,高値!T368&gt;高値!V368),15,""))</f>
        <v/>
      </c>
      <c r="AQ368" s="503" t="str">
        <f>IF(終値!A368="","",IF(AND(高値!U368&gt;高値!T368,高値!U368&gt;高値!S368,高値!U368&gt;高値!V368,高値!U368&gt;高値!W368),16,""))</f>
        <v/>
      </c>
      <c r="AR368" s="503" t="str">
        <f>IF(終値!A368="","",IF(AND(高値!V368&gt;高値!U368,高値!V368&gt;高値!T368,高値!V368&gt;高値!W368,高値!V368&gt;高値!X368),17,""))</f>
        <v/>
      </c>
      <c r="AS368" s="503" t="str">
        <f>IF(終値!A368="","",IF(AND(高値!W368&gt;高値!V368,高値!W368&gt;高値!U368,高値!W368&gt;高値!X368,高値!W368&gt;高値!Y368),18,""))</f>
        <v/>
      </c>
      <c r="AT368" s="503" t="str">
        <f>IF(終値!A368="","",IF(AND(高値!X368&gt;高値!W368,高値!X368&gt;高値!V368,高値!X368&gt;高値!Y368,高値!X368&gt;高値!Z368),19,""))</f>
        <v/>
      </c>
      <c r="AU368" s="503" t="str">
        <f>IF(終値!A368="","",IF(AND(高値!Y368&gt;高値!X368,高値!Y368&gt;高値!W368,高値!Y368&gt;高値!Z368,高値!Y368&gt;高値!AA368),20,""))</f>
        <v/>
      </c>
      <c r="AV368" s="503" t="str">
        <f>IF(終値!A368="","",IF(AND(高値!Z368&gt;高値!Y368,高値!Z368&gt;高値!X368,高値!Z368&gt;高値!AA368,高値!Z368&gt;高値!AB368),21,""))</f>
        <v/>
      </c>
      <c r="AW368" s="503" t="str">
        <f>IF(終値!A368="","",IF(AND(高値!AA368&gt;高値!Z368,高値!AA368&gt;高値!Y368,高値!AA368&gt;高値!AB368,高値!AA368&gt;高値!AC368),22,""))</f>
        <v/>
      </c>
      <c r="AX368" s="503" t="str">
        <f>IF(終値!A368="","",IF(AND(高値!AB368&gt;高値!AA368,高値!AB368&gt;高値!Z368,高値!AB368&gt;高値!AC368,高値!AB368&gt;高値!AD368),23,""))</f>
        <v/>
      </c>
      <c r="AY368" s="503" t="str">
        <f>IF(終値!A368="","",IF(AND(高値!AC368&gt;高値!AB368,高値!AC368&gt;高値!AA368,高値!AC368&gt;高値!AD368,高値!AC368&gt;高値!AE368),24,""))</f>
        <v/>
      </c>
      <c r="AZ368" s="503" t="str">
        <f>IF(終値!A368="","",IF(AND(高値!AD368&gt;高値!AC368,高値!AD368&gt;高値!AB368,高値!AD368&gt;高値!AE368,高値!AD368&gt;高値!AF368),25,""))</f>
        <v/>
      </c>
      <c r="BA368" s="503" t="str">
        <f>IF(終値!A368="","",IF(AND(高値!AE368&gt;高値!AD368,高値!AE368&gt;高値!AC368,高値!AE368&gt;高値!AF368,高値!AE368&gt;高値!AG368),26,""))</f>
        <v/>
      </c>
      <c r="BB368" s="503" t="str">
        <f>IF(終値!A368="","",IF(AND(高値!AF368&gt;高値!AE368,高値!AF368&gt;高値!AD368,高値!AF368&gt;高値!AG368,高値!AF368&gt;高値!AH368),27,""))</f>
        <v/>
      </c>
      <c r="BC368" s="503" t="str">
        <f>IF(終値!A368="","",IF(AND(高値!AG368&gt;高値!AF368,高値!AG368&gt;高値!AE368,高値!AG368&gt;高値!AH368,高値!AG368&gt;高値!AI368),28,""))</f>
        <v/>
      </c>
      <c r="BD368" s="503">
        <f t="shared" si="30"/>
        <v>0</v>
      </c>
      <c r="BE368" s="503" t="str">
        <f t="shared" si="31"/>
        <v/>
      </c>
      <c r="BF368" s="503" t="str">
        <f t="shared" si="32"/>
        <v/>
      </c>
      <c r="BG368" s="503" t="str">
        <f>IF($BE368="","",INDEX(安値!$E368:$CZ368,1,$BE368+1))</f>
        <v/>
      </c>
      <c r="BH368" s="503" t="str">
        <f>IF($BF368="","",INDEX(安値!$E368:$CZ368,1,$BF368+1))</f>
        <v/>
      </c>
      <c r="BI368" s="503" t="str">
        <f>IF($BF368="","",MAX(INDEX(高値!$E368:$CZ368,1,$BE368+1):INDEX(高値!$E368:$CZ368,1,$BF368+1)))</f>
        <v/>
      </c>
      <c r="BJ368" s="503" t="str">
        <f>IF($BF368="","",AVERAGE(INDEX(終値!$E368:$CZ368,1,$BF368+1):INDEX(終値!$E368:$CZ368,1,$BF368+20))-2*STDEVP(INDEX(終値!$E368:$CZ368,1,$BF368+1):INDEX(終値!$E368:$CZ368,1,$BF368+20)))</f>
        <v/>
      </c>
      <c r="BK368" s="503" t="str">
        <f>IF($BE368="","",AVERAGE(INDEX(終値!$E368:$CZ368,1,$BE368+1):INDEX(終値!$E368:$CZ368,1,$BE368+20))-2*STDEVP(INDEX(終値!$E368:$CZ368,1,$BE368+1):INDEX(終値!$E368:$CZ368,1,$BE368+20)))</f>
        <v/>
      </c>
      <c r="BL368" s="503">
        <f t="shared" si="33"/>
        <v>0</v>
      </c>
      <c r="BM368" s="503" t="str">
        <f t="shared" si="34"/>
        <v/>
      </c>
      <c r="BN368" s="503" t="str">
        <f t="shared" si="35"/>
        <v/>
      </c>
      <c r="BO368" s="503" t="str">
        <f>IF($BM368="","",INDEX(高値!$E368:$CZ368,1,$BM368+1))</f>
        <v/>
      </c>
      <c r="BP368" s="503" t="str">
        <f>IF($BN368="","",INDEX(高値!$E368:$CZ368,1,$BN368+1))</f>
        <v/>
      </c>
      <c r="BQ368" s="503" t="str">
        <f>IF($BN368="","",MIN(INDEX(安値!$E368:$CZ368,1,$BM368+1):INDEX(安値!$E368:$CZ368,1,$BN368+1)))</f>
        <v/>
      </c>
      <c r="BR368" s="503" t="str">
        <f>IF($BN368="","",AVERAGE(INDEX(終値!$E368:$CZ368,1,$BN368+1):INDEX(終値!$E368:$CZ368,1,$BN368+20))+2*STDEVP(INDEX(終値!$E368:$CZ368,1,$BN368+1):INDEX(終値!$E368:$CZ368,1,$BN368+20)))</f>
        <v/>
      </c>
      <c r="BS368" s="503" t="str">
        <f>IF($BM368="","",AVERAGE(INDEX(終値!$E368:$CZ368,1,$BM368+1):INDEX(終値!$E368:$CZ368,1,$BM368+20))+2*STDEVP(INDEX(終値!$E368:$CZ368,1,$BM368+1):INDEX(終値!$E368:$CZ368,1,$BM368+20)))</f>
        <v/>
      </c>
      <c r="BT368" s="500"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3" t="str">
        <f>IF(終値!A369="","",IF(AND(安値!G369&lt;安値!F369,安値!G369&lt;安値!E369,安値!G369&lt;安値!H369,安値!G369&lt;安値!I369),2,""))</f>
        <v/>
      </c>
      <c r="C369" s="503" t="str">
        <f>IF(終値!A369="","",IF(AND(安値!H369&lt;安値!G369,安値!H369&lt;安値!F369,安値!H369&lt;安値!I369,安値!H369&lt;安値!J369),3,""))</f>
        <v/>
      </c>
      <c r="D369" s="503" t="str">
        <f>IF(終値!A369="","",IF(AND(安値!I369&lt;安値!H369,安値!I369&lt;安値!G369,安値!I369&lt;安値!J369,安値!I369&lt;安値!K369),4,""))</f>
        <v/>
      </c>
      <c r="E369" s="503" t="str">
        <f>IF(終値!A369="","",IF(AND(安値!J369&lt;安値!I369,安値!J369&lt;安値!H369,安値!J369&lt;安値!K369,安値!J369&lt;安値!L369),5,""))</f>
        <v/>
      </c>
      <c r="F369" s="503" t="str">
        <f>IF(終値!A369="","",IF(AND(安値!K369&lt;安値!J369,安値!K369&lt;安値!I369,安値!K369&lt;安値!L369,安値!K369&lt;安値!M369),6,""))</f>
        <v/>
      </c>
      <c r="G369" s="503" t="str">
        <f>IF(終値!A369="","",IF(AND(安値!L369&lt;安値!K369,安値!L369&lt;安値!J369,安値!L369&lt;安値!M369,安値!L369&lt;安値!N369),7,""))</f>
        <v/>
      </c>
      <c r="H369" s="503" t="str">
        <f>IF(終値!A369="","",IF(AND(安値!M369&lt;安値!L369,安値!M369&lt;安値!K369,安値!M369&lt;安値!N369,安値!M369&lt;安値!O369),8,""))</f>
        <v/>
      </c>
      <c r="I369" s="503" t="str">
        <f>IF(終値!A369="","",IF(AND(安値!N369&lt;安値!M369,安値!N369&lt;安値!L369,安値!N369&lt;安値!O369,安値!N369&lt;安値!P369),9,""))</f>
        <v/>
      </c>
      <c r="J369" s="503" t="str">
        <f>IF(終値!A369="","",IF(AND(安値!O369&lt;安値!N369,安値!O369&lt;安値!M369,安値!O369&lt;安値!P369,安値!O369&lt;安値!Q369),10,""))</f>
        <v/>
      </c>
      <c r="K369" s="503" t="str">
        <f>IF(終値!A369="","",IF(AND(安値!P369&lt;安値!O369,安値!P369&lt;安値!N369,安値!P369&lt;安値!Q369,安値!P369&lt;安値!R369),11,""))</f>
        <v/>
      </c>
      <c r="L369" s="503" t="str">
        <f>IF(終値!A369="","",IF(AND(安値!Q369&lt;安値!P369,安値!Q369&lt;安値!O369,安値!Q369&lt;安値!R369,安値!Q369&lt;安値!S369),12,""))</f>
        <v/>
      </c>
      <c r="M369" s="503" t="str">
        <f>IF(終値!A369="","",IF(AND(安値!R369&lt;安値!Q369,安値!R369&lt;安値!P369,安値!R369&lt;安値!S369,安値!R369&lt;安値!T369),13,""))</f>
        <v/>
      </c>
      <c r="N369" s="503" t="str">
        <f>IF(終値!A369="","",IF(AND(安値!S369&lt;安値!R369,安値!S369&lt;安値!Q369,安値!S369&lt;安値!T369,安値!S369&lt;安値!U369),14,""))</f>
        <v/>
      </c>
      <c r="O369" s="503" t="str">
        <f>IF(終値!A369="","",IF(AND(安値!T369&lt;安値!S369,安値!T369&lt;安値!R369,安値!T369&lt;安値!U369,安値!T369&lt;安値!V369),15,""))</f>
        <v/>
      </c>
      <c r="P369" s="503" t="str">
        <f>IF(終値!A369="","",IF(AND(安値!U369&lt;安値!T369,安値!U369&lt;安値!S369,安値!U369&lt;安値!V369,安値!U369&lt;安値!W369),16,""))</f>
        <v/>
      </c>
      <c r="Q369" s="503" t="str">
        <f>IF(終値!A369="","",IF(AND(安値!V369&lt;安値!U369,安値!V369&lt;安値!T369,安値!V369&lt;安値!W369,安値!V369&lt;安値!X369),17,""))</f>
        <v/>
      </c>
      <c r="R369" s="503" t="str">
        <f>IF(終値!A369="","",IF(AND(安値!W369&lt;安値!V369,安値!W369&lt;安値!U369,安値!W369&lt;安値!X369,安値!W369&lt;安値!Y369),18,""))</f>
        <v/>
      </c>
      <c r="S369" s="503" t="str">
        <f>IF(終値!A369="","",IF(AND(安値!X369&lt;安値!W369,安値!X369&lt;安値!V369,安値!X369&lt;安値!Y369,安値!X369&lt;安値!Z369),19,""))</f>
        <v/>
      </c>
      <c r="T369" s="503" t="str">
        <f>IF(終値!A369="","",IF(AND(安値!Y369&lt;安値!X369,安値!Y369&lt;安値!W369,安値!Y369&lt;安値!Z369,安値!Y369&lt;安値!AA369),20,""))</f>
        <v/>
      </c>
      <c r="U369" s="503" t="str">
        <f>IF(終値!A369="","",IF(AND(安値!Z369&lt;安値!Y369,安値!Z369&lt;安値!X369,安値!Z369&lt;安値!AA369,安値!Z369&lt;安値!AB369),21,""))</f>
        <v/>
      </c>
      <c r="V369" s="503" t="str">
        <f>IF(終値!A369="","",IF(AND(安値!AA369&lt;安値!Z369,安値!AA369&lt;安値!Y369,安値!AA369&lt;安値!AB369,安値!AA369&lt;安値!AC369),22,""))</f>
        <v/>
      </c>
      <c r="W369" s="503" t="str">
        <f>IF(終値!A369="","",IF(AND(安値!AB369&lt;安値!AA369,安値!AB369&lt;安値!Z369,安値!AB369&lt;安値!AC369,安値!AB369&lt;安値!AD369),23,""))</f>
        <v/>
      </c>
      <c r="X369" s="503" t="str">
        <f>IF(終値!A369="","",IF(AND(安値!AC369&lt;安値!AB369,安値!AC369&lt;安値!AA369,安値!AC369&lt;安値!AD369,安値!AC369&lt;安値!AE369),24,""))</f>
        <v/>
      </c>
      <c r="Y369" s="503" t="str">
        <f>IF(終値!A369="","",IF(AND(安値!AD369&lt;安値!AC369,安値!AD369&lt;安値!AB369,安値!AD369&lt;安値!AE369,安値!AD369&lt;安値!AF369),25,""))</f>
        <v/>
      </c>
      <c r="Z369" s="503" t="str">
        <f>IF(終値!A369="","",IF(AND(安値!AE369&lt;安値!AD369,安値!AE369&lt;安値!AC369,安値!AE369&lt;安値!AF369,安値!AE369&lt;安値!AG369),26,""))</f>
        <v/>
      </c>
      <c r="AA369" s="503" t="str">
        <f>IF(終値!A369="","",IF(AND(安値!AF369&lt;安値!AE369,安値!AF369&lt;安値!AD369,安値!AF369&lt;安値!AG369,安値!AF369&lt;安値!AH369),27,""))</f>
        <v/>
      </c>
      <c r="AB369" s="503" t="str">
        <f>IF(終値!A369="","",IF(AND(安値!AG369&lt;安値!AF369,安値!AG369&lt;安値!AE369,安値!AG369&lt;安値!AH369,安値!AG369&lt;安値!AI369),28,""))</f>
        <v/>
      </c>
      <c r="AC369" s="503" t="str">
        <f>IF(終値!A369="","",IF(AND(高値!G369&gt;高値!F369,高値!G369&gt;高値!E369,高値!G369&gt;高値!H369,高値!G369&gt;高値!I369),2,""))</f>
        <v/>
      </c>
      <c r="AD369" s="503" t="str">
        <f>IF(終値!A369="","",IF(AND(高値!H369&gt;高値!G369,高値!H369&gt;高値!F369,高値!H369&gt;高値!I369,高値!H369&gt;高値!J369),3,""))</f>
        <v/>
      </c>
      <c r="AE369" s="503" t="str">
        <f>IF(終値!A369="","",IF(AND(高値!I369&gt;高値!H369,高値!I369&gt;高値!G369,高値!I369&gt;高値!J369,高値!I369&gt;高値!K369),4,""))</f>
        <v/>
      </c>
      <c r="AF369" s="503" t="str">
        <f>IF(終値!A369="","",IF(AND(高値!J369&gt;高値!I369,高値!J369&gt;高値!H369,高値!J369&gt;高値!K369,高値!J369&gt;高値!L369),5,""))</f>
        <v/>
      </c>
      <c r="AG369" s="503" t="str">
        <f>IF(終値!A369="","",IF(AND(高値!K369&gt;高値!J369,高値!K369&gt;高値!I369,高値!K369&gt;高値!L369,高値!K369&gt;高値!M369),6,""))</f>
        <v/>
      </c>
      <c r="AH369" s="503" t="str">
        <f>IF(終値!A369="","",IF(AND(高値!L369&gt;高値!K369,高値!L369&gt;高値!J369,高値!L369&gt;高値!M369,高値!L369&gt;高値!N369),7,""))</f>
        <v/>
      </c>
      <c r="AI369" s="503" t="str">
        <f>IF(終値!A369="","",IF(AND(高値!M369&gt;高値!L369,高値!M369&gt;高値!K369,高値!M369&gt;高値!N369,高値!M369&gt;高値!O369),8,""))</f>
        <v/>
      </c>
      <c r="AJ369" s="503" t="str">
        <f>IF(終値!A369="","",IF(AND(高値!N369&gt;高値!M369,高値!N369&gt;高値!L369,高値!N369&gt;高値!O369,高値!N369&gt;高値!P369),9,""))</f>
        <v/>
      </c>
      <c r="AK369" s="503" t="str">
        <f>IF(終値!A369="","",IF(AND(高値!O369&gt;高値!N369,高値!O369&gt;高値!M369,高値!O369&gt;高値!P369,高値!O369&gt;高値!Q369),10,""))</f>
        <v/>
      </c>
      <c r="AL369" s="503" t="str">
        <f>IF(終値!A369="","",IF(AND(高値!P369&gt;高値!O369,高値!P369&gt;高値!N369,高値!P369&gt;高値!Q369,高値!P369&gt;高値!R369),11,""))</f>
        <v/>
      </c>
      <c r="AM369" s="503" t="str">
        <f>IF(終値!A369="","",IF(AND(高値!Q369&gt;高値!P369,高値!Q369&gt;高値!O369,高値!Q369&gt;高値!R369,高値!Q369&gt;高値!S369),12,""))</f>
        <v/>
      </c>
      <c r="AN369" s="503" t="str">
        <f>IF(終値!A369="","",IF(AND(高値!R369&gt;高値!Q369,高値!R369&gt;高値!P369,高値!R369&gt;高値!S369,高値!R369&gt;高値!T369),13,""))</f>
        <v/>
      </c>
      <c r="AO369" s="503" t="str">
        <f>IF(終値!A369="","",IF(AND(高値!S369&gt;高値!R369,高値!S369&gt;高値!Q369,高値!S369&gt;高値!T369,高値!S369&gt;高値!U369),14,""))</f>
        <v/>
      </c>
      <c r="AP369" s="503" t="str">
        <f>IF(終値!A369="","",IF(AND(高値!T369&gt;高値!S369,高値!T369&gt;高値!R369,高値!T369&gt;高値!U369,高値!T369&gt;高値!V369),15,""))</f>
        <v/>
      </c>
      <c r="AQ369" s="503" t="str">
        <f>IF(終値!A369="","",IF(AND(高値!U369&gt;高値!T369,高値!U369&gt;高値!S369,高値!U369&gt;高値!V369,高値!U369&gt;高値!W369),16,""))</f>
        <v/>
      </c>
      <c r="AR369" s="503" t="str">
        <f>IF(終値!A369="","",IF(AND(高値!V369&gt;高値!U369,高値!V369&gt;高値!T369,高値!V369&gt;高値!W369,高値!V369&gt;高値!X369),17,""))</f>
        <v/>
      </c>
      <c r="AS369" s="503" t="str">
        <f>IF(終値!A369="","",IF(AND(高値!W369&gt;高値!V369,高値!W369&gt;高値!U369,高値!W369&gt;高値!X369,高値!W369&gt;高値!Y369),18,""))</f>
        <v/>
      </c>
      <c r="AT369" s="503" t="str">
        <f>IF(終値!A369="","",IF(AND(高値!X369&gt;高値!W369,高値!X369&gt;高値!V369,高値!X369&gt;高値!Y369,高値!X369&gt;高値!Z369),19,""))</f>
        <v/>
      </c>
      <c r="AU369" s="503" t="str">
        <f>IF(終値!A369="","",IF(AND(高値!Y369&gt;高値!X369,高値!Y369&gt;高値!W369,高値!Y369&gt;高値!Z369,高値!Y369&gt;高値!AA369),20,""))</f>
        <v/>
      </c>
      <c r="AV369" s="503" t="str">
        <f>IF(終値!A369="","",IF(AND(高値!Z369&gt;高値!Y369,高値!Z369&gt;高値!X369,高値!Z369&gt;高値!AA369,高値!Z369&gt;高値!AB369),21,""))</f>
        <v/>
      </c>
      <c r="AW369" s="503" t="str">
        <f>IF(終値!A369="","",IF(AND(高値!AA369&gt;高値!Z369,高値!AA369&gt;高値!Y369,高値!AA369&gt;高値!AB369,高値!AA369&gt;高値!AC369),22,""))</f>
        <v/>
      </c>
      <c r="AX369" s="503" t="str">
        <f>IF(終値!A369="","",IF(AND(高値!AB369&gt;高値!AA369,高値!AB369&gt;高値!Z369,高値!AB369&gt;高値!AC369,高値!AB369&gt;高値!AD369),23,""))</f>
        <v/>
      </c>
      <c r="AY369" s="503" t="str">
        <f>IF(終値!A369="","",IF(AND(高値!AC369&gt;高値!AB369,高値!AC369&gt;高値!AA369,高値!AC369&gt;高値!AD369,高値!AC369&gt;高値!AE369),24,""))</f>
        <v/>
      </c>
      <c r="AZ369" s="503" t="str">
        <f>IF(終値!A369="","",IF(AND(高値!AD369&gt;高値!AC369,高値!AD369&gt;高値!AB369,高値!AD369&gt;高値!AE369,高値!AD369&gt;高値!AF369),25,""))</f>
        <v/>
      </c>
      <c r="BA369" s="503" t="str">
        <f>IF(終値!A369="","",IF(AND(高値!AE369&gt;高値!AD369,高値!AE369&gt;高値!AC369,高値!AE369&gt;高値!AF369,高値!AE369&gt;高値!AG369),26,""))</f>
        <v/>
      </c>
      <c r="BB369" s="503" t="str">
        <f>IF(終値!A369="","",IF(AND(高値!AF369&gt;高値!AE369,高値!AF369&gt;高値!AD369,高値!AF369&gt;高値!AG369,高値!AF369&gt;高値!AH369),27,""))</f>
        <v/>
      </c>
      <c r="BC369" s="503" t="str">
        <f>IF(終値!A369="","",IF(AND(高値!AG369&gt;高値!AF369,高値!AG369&gt;高値!AE369,高値!AG369&gt;高値!AH369,高値!AG369&gt;高値!AI369),28,""))</f>
        <v/>
      </c>
      <c r="BD369" s="503">
        <f t="shared" si="30"/>
        <v>0</v>
      </c>
      <c r="BE369" s="503" t="str">
        <f t="shared" si="31"/>
        <v/>
      </c>
      <c r="BF369" s="503" t="str">
        <f t="shared" si="32"/>
        <v/>
      </c>
      <c r="BG369" s="503" t="str">
        <f>IF($BE369="","",INDEX(安値!$E369:$CZ369,1,$BE369+1))</f>
        <v/>
      </c>
      <c r="BH369" s="503" t="str">
        <f>IF($BF369="","",INDEX(安値!$E369:$CZ369,1,$BF369+1))</f>
        <v/>
      </c>
      <c r="BI369" s="503" t="str">
        <f>IF($BF369="","",MAX(INDEX(高値!$E369:$CZ369,1,$BE369+1):INDEX(高値!$E369:$CZ369,1,$BF369+1)))</f>
        <v/>
      </c>
      <c r="BJ369" s="503" t="str">
        <f>IF($BF369="","",AVERAGE(INDEX(終値!$E369:$CZ369,1,$BF369+1):INDEX(終値!$E369:$CZ369,1,$BF369+20))-2*STDEVP(INDEX(終値!$E369:$CZ369,1,$BF369+1):INDEX(終値!$E369:$CZ369,1,$BF369+20)))</f>
        <v/>
      </c>
      <c r="BK369" s="503" t="str">
        <f>IF($BE369="","",AVERAGE(INDEX(終値!$E369:$CZ369,1,$BE369+1):INDEX(終値!$E369:$CZ369,1,$BE369+20))-2*STDEVP(INDEX(終値!$E369:$CZ369,1,$BE369+1):INDEX(終値!$E369:$CZ369,1,$BE369+20)))</f>
        <v/>
      </c>
      <c r="BL369" s="503">
        <f t="shared" si="33"/>
        <v>0</v>
      </c>
      <c r="BM369" s="503" t="str">
        <f t="shared" si="34"/>
        <v/>
      </c>
      <c r="BN369" s="503" t="str">
        <f t="shared" si="35"/>
        <v/>
      </c>
      <c r="BO369" s="503" t="str">
        <f>IF($BM369="","",INDEX(高値!$E369:$CZ369,1,$BM369+1))</f>
        <v/>
      </c>
      <c r="BP369" s="503" t="str">
        <f>IF($BN369="","",INDEX(高値!$E369:$CZ369,1,$BN369+1))</f>
        <v/>
      </c>
      <c r="BQ369" s="503" t="str">
        <f>IF($BN369="","",MIN(INDEX(安値!$E369:$CZ369,1,$BM369+1):INDEX(安値!$E369:$CZ369,1,$BN369+1)))</f>
        <v/>
      </c>
      <c r="BR369" s="503" t="str">
        <f>IF($BN369="","",AVERAGE(INDEX(終値!$E369:$CZ369,1,$BN369+1):INDEX(終値!$E369:$CZ369,1,$BN369+20))+2*STDEVP(INDEX(終値!$E369:$CZ369,1,$BN369+1):INDEX(終値!$E369:$CZ369,1,$BN369+20)))</f>
        <v/>
      </c>
      <c r="BS369" s="503" t="str">
        <f>IF($BM369="","",AVERAGE(INDEX(終値!$E369:$CZ369,1,$BM369+1):INDEX(終値!$E369:$CZ369,1,$BM369+20))+2*STDEVP(INDEX(終値!$E369:$CZ369,1,$BM369+1):INDEX(終値!$E369:$CZ369,1,$BM369+20)))</f>
        <v/>
      </c>
      <c r="BT369" s="500"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3" t="str">
        <f>IF(終値!A370="","",IF(AND(安値!G370&lt;安値!F370,安値!G370&lt;安値!E370,安値!G370&lt;安値!H370,安値!G370&lt;安値!I370),2,""))</f>
        <v/>
      </c>
      <c r="C370" s="503" t="str">
        <f>IF(終値!A370="","",IF(AND(安値!H370&lt;安値!G370,安値!H370&lt;安値!F370,安値!H370&lt;安値!I370,安値!H370&lt;安値!J370),3,""))</f>
        <v/>
      </c>
      <c r="D370" s="503" t="str">
        <f>IF(終値!A370="","",IF(AND(安値!I370&lt;安値!H370,安値!I370&lt;安値!G370,安値!I370&lt;安値!J370,安値!I370&lt;安値!K370),4,""))</f>
        <v/>
      </c>
      <c r="E370" s="503" t="str">
        <f>IF(終値!A370="","",IF(AND(安値!J370&lt;安値!I370,安値!J370&lt;安値!H370,安値!J370&lt;安値!K370,安値!J370&lt;安値!L370),5,""))</f>
        <v/>
      </c>
      <c r="F370" s="503" t="str">
        <f>IF(終値!A370="","",IF(AND(安値!K370&lt;安値!J370,安値!K370&lt;安値!I370,安値!K370&lt;安値!L370,安値!K370&lt;安値!M370),6,""))</f>
        <v/>
      </c>
      <c r="G370" s="503" t="str">
        <f>IF(終値!A370="","",IF(AND(安値!L370&lt;安値!K370,安値!L370&lt;安値!J370,安値!L370&lt;安値!M370,安値!L370&lt;安値!N370),7,""))</f>
        <v/>
      </c>
      <c r="H370" s="503" t="str">
        <f>IF(終値!A370="","",IF(AND(安値!M370&lt;安値!L370,安値!M370&lt;安値!K370,安値!M370&lt;安値!N370,安値!M370&lt;安値!O370),8,""))</f>
        <v/>
      </c>
      <c r="I370" s="503" t="str">
        <f>IF(終値!A370="","",IF(AND(安値!N370&lt;安値!M370,安値!N370&lt;安値!L370,安値!N370&lt;安値!O370,安値!N370&lt;安値!P370),9,""))</f>
        <v/>
      </c>
      <c r="J370" s="503" t="str">
        <f>IF(終値!A370="","",IF(AND(安値!O370&lt;安値!N370,安値!O370&lt;安値!M370,安値!O370&lt;安値!P370,安値!O370&lt;安値!Q370),10,""))</f>
        <v/>
      </c>
      <c r="K370" s="503" t="str">
        <f>IF(終値!A370="","",IF(AND(安値!P370&lt;安値!O370,安値!P370&lt;安値!N370,安値!P370&lt;安値!Q370,安値!P370&lt;安値!R370),11,""))</f>
        <v/>
      </c>
      <c r="L370" s="503" t="str">
        <f>IF(終値!A370="","",IF(AND(安値!Q370&lt;安値!P370,安値!Q370&lt;安値!O370,安値!Q370&lt;安値!R370,安値!Q370&lt;安値!S370),12,""))</f>
        <v/>
      </c>
      <c r="M370" s="503" t="str">
        <f>IF(終値!A370="","",IF(AND(安値!R370&lt;安値!Q370,安値!R370&lt;安値!P370,安値!R370&lt;安値!S370,安値!R370&lt;安値!T370),13,""))</f>
        <v/>
      </c>
      <c r="N370" s="503" t="str">
        <f>IF(終値!A370="","",IF(AND(安値!S370&lt;安値!R370,安値!S370&lt;安値!Q370,安値!S370&lt;安値!T370,安値!S370&lt;安値!U370),14,""))</f>
        <v/>
      </c>
      <c r="O370" s="503" t="str">
        <f>IF(終値!A370="","",IF(AND(安値!T370&lt;安値!S370,安値!T370&lt;安値!R370,安値!T370&lt;安値!U370,安値!T370&lt;安値!V370),15,""))</f>
        <v/>
      </c>
      <c r="P370" s="503" t="str">
        <f>IF(終値!A370="","",IF(AND(安値!U370&lt;安値!T370,安値!U370&lt;安値!S370,安値!U370&lt;安値!V370,安値!U370&lt;安値!W370),16,""))</f>
        <v/>
      </c>
      <c r="Q370" s="503" t="str">
        <f>IF(終値!A370="","",IF(AND(安値!V370&lt;安値!U370,安値!V370&lt;安値!T370,安値!V370&lt;安値!W370,安値!V370&lt;安値!X370),17,""))</f>
        <v/>
      </c>
      <c r="R370" s="503" t="str">
        <f>IF(終値!A370="","",IF(AND(安値!W370&lt;安値!V370,安値!W370&lt;安値!U370,安値!W370&lt;安値!X370,安値!W370&lt;安値!Y370),18,""))</f>
        <v/>
      </c>
      <c r="S370" s="503" t="str">
        <f>IF(終値!A370="","",IF(AND(安値!X370&lt;安値!W370,安値!X370&lt;安値!V370,安値!X370&lt;安値!Y370,安値!X370&lt;安値!Z370),19,""))</f>
        <v/>
      </c>
      <c r="T370" s="503" t="str">
        <f>IF(終値!A370="","",IF(AND(安値!Y370&lt;安値!X370,安値!Y370&lt;安値!W370,安値!Y370&lt;安値!Z370,安値!Y370&lt;安値!AA370),20,""))</f>
        <v/>
      </c>
      <c r="U370" s="503" t="str">
        <f>IF(終値!A370="","",IF(AND(安値!Z370&lt;安値!Y370,安値!Z370&lt;安値!X370,安値!Z370&lt;安値!AA370,安値!Z370&lt;安値!AB370),21,""))</f>
        <v/>
      </c>
      <c r="V370" s="503" t="str">
        <f>IF(終値!A370="","",IF(AND(安値!AA370&lt;安値!Z370,安値!AA370&lt;安値!Y370,安値!AA370&lt;安値!AB370,安値!AA370&lt;安値!AC370),22,""))</f>
        <v/>
      </c>
      <c r="W370" s="503" t="str">
        <f>IF(終値!A370="","",IF(AND(安値!AB370&lt;安値!AA370,安値!AB370&lt;安値!Z370,安値!AB370&lt;安値!AC370,安値!AB370&lt;安値!AD370),23,""))</f>
        <v/>
      </c>
      <c r="X370" s="503" t="str">
        <f>IF(終値!A370="","",IF(AND(安値!AC370&lt;安値!AB370,安値!AC370&lt;安値!AA370,安値!AC370&lt;安値!AD370,安値!AC370&lt;安値!AE370),24,""))</f>
        <v/>
      </c>
      <c r="Y370" s="503" t="str">
        <f>IF(終値!A370="","",IF(AND(安値!AD370&lt;安値!AC370,安値!AD370&lt;安値!AB370,安値!AD370&lt;安値!AE370,安値!AD370&lt;安値!AF370),25,""))</f>
        <v/>
      </c>
      <c r="Z370" s="503" t="str">
        <f>IF(終値!A370="","",IF(AND(安値!AE370&lt;安値!AD370,安値!AE370&lt;安値!AC370,安値!AE370&lt;安値!AF370,安値!AE370&lt;安値!AG370),26,""))</f>
        <v/>
      </c>
      <c r="AA370" s="503" t="str">
        <f>IF(終値!A370="","",IF(AND(安値!AF370&lt;安値!AE370,安値!AF370&lt;安値!AD370,安値!AF370&lt;安値!AG370,安値!AF370&lt;安値!AH370),27,""))</f>
        <v/>
      </c>
      <c r="AB370" s="503" t="str">
        <f>IF(終値!A370="","",IF(AND(安値!AG370&lt;安値!AF370,安値!AG370&lt;安値!AE370,安値!AG370&lt;安値!AH370,安値!AG370&lt;安値!AI370),28,""))</f>
        <v/>
      </c>
      <c r="AC370" s="503" t="str">
        <f>IF(終値!A370="","",IF(AND(高値!G370&gt;高値!F370,高値!G370&gt;高値!E370,高値!G370&gt;高値!H370,高値!G370&gt;高値!I370),2,""))</f>
        <v/>
      </c>
      <c r="AD370" s="503" t="str">
        <f>IF(終値!A370="","",IF(AND(高値!H370&gt;高値!G370,高値!H370&gt;高値!F370,高値!H370&gt;高値!I370,高値!H370&gt;高値!J370),3,""))</f>
        <v/>
      </c>
      <c r="AE370" s="503" t="str">
        <f>IF(終値!A370="","",IF(AND(高値!I370&gt;高値!H370,高値!I370&gt;高値!G370,高値!I370&gt;高値!J370,高値!I370&gt;高値!K370),4,""))</f>
        <v/>
      </c>
      <c r="AF370" s="503" t="str">
        <f>IF(終値!A370="","",IF(AND(高値!J370&gt;高値!I370,高値!J370&gt;高値!H370,高値!J370&gt;高値!K370,高値!J370&gt;高値!L370),5,""))</f>
        <v/>
      </c>
      <c r="AG370" s="503" t="str">
        <f>IF(終値!A370="","",IF(AND(高値!K370&gt;高値!J370,高値!K370&gt;高値!I370,高値!K370&gt;高値!L370,高値!K370&gt;高値!M370),6,""))</f>
        <v/>
      </c>
      <c r="AH370" s="503" t="str">
        <f>IF(終値!A370="","",IF(AND(高値!L370&gt;高値!K370,高値!L370&gt;高値!J370,高値!L370&gt;高値!M370,高値!L370&gt;高値!N370),7,""))</f>
        <v/>
      </c>
      <c r="AI370" s="503" t="str">
        <f>IF(終値!A370="","",IF(AND(高値!M370&gt;高値!L370,高値!M370&gt;高値!K370,高値!M370&gt;高値!N370,高値!M370&gt;高値!O370),8,""))</f>
        <v/>
      </c>
      <c r="AJ370" s="503" t="str">
        <f>IF(終値!A370="","",IF(AND(高値!N370&gt;高値!M370,高値!N370&gt;高値!L370,高値!N370&gt;高値!O370,高値!N370&gt;高値!P370),9,""))</f>
        <v/>
      </c>
      <c r="AK370" s="503" t="str">
        <f>IF(終値!A370="","",IF(AND(高値!O370&gt;高値!N370,高値!O370&gt;高値!M370,高値!O370&gt;高値!P370,高値!O370&gt;高値!Q370),10,""))</f>
        <v/>
      </c>
      <c r="AL370" s="503" t="str">
        <f>IF(終値!A370="","",IF(AND(高値!P370&gt;高値!O370,高値!P370&gt;高値!N370,高値!P370&gt;高値!Q370,高値!P370&gt;高値!R370),11,""))</f>
        <v/>
      </c>
      <c r="AM370" s="503" t="str">
        <f>IF(終値!A370="","",IF(AND(高値!Q370&gt;高値!P370,高値!Q370&gt;高値!O370,高値!Q370&gt;高値!R370,高値!Q370&gt;高値!S370),12,""))</f>
        <v/>
      </c>
      <c r="AN370" s="503" t="str">
        <f>IF(終値!A370="","",IF(AND(高値!R370&gt;高値!Q370,高値!R370&gt;高値!P370,高値!R370&gt;高値!S370,高値!R370&gt;高値!T370),13,""))</f>
        <v/>
      </c>
      <c r="AO370" s="503" t="str">
        <f>IF(終値!A370="","",IF(AND(高値!S370&gt;高値!R370,高値!S370&gt;高値!Q370,高値!S370&gt;高値!T370,高値!S370&gt;高値!U370),14,""))</f>
        <v/>
      </c>
      <c r="AP370" s="503" t="str">
        <f>IF(終値!A370="","",IF(AND(高値!T370&gt;高値!S370,高値!T370&gt;高値!R370,高値!T370&gt;高値!U370,高値!T370&gt;高値!V370),15,""))</f>
        <v/>
      </c>
      <c r="AQ370" s="503" t="str">
        <f>IF(終値!A370="","",IF(AND(高値!U370&gt;高値!T370,高値!U370&gt;高値!S370,高値!U370&gt;高値!V370,高値!U370&gt;高値!W370),16,""))</f>
        <v/>
      </c>
      <c r="AR370" s="503" t="str">
        <f>IF(終値!A370="","",IF(AND(高値!V370&gt;高値!U370,高値!V370&gt;高値!T370,高値!V370&gt;高値!W370,高値!V370&gt;高値!X370),17,""))</f>
        <v/>
      </c>
      <c r="AS370" s="503" t="str">
        <f>IF(終値!A370="","",IF(AND(高値!W370&gt;高値!V370,高値!W370&gt;高値!U370,高値!W370&gt;高値!X370,高値!W370&gt;高値!Y370),18,""))</f>
        <v/>
      </c>
      <c r="AT370" s="503" t="str">
        <f>IF(終値!A370="","",IF(AND(高値!X370&gt;高値!W370,高値!X370&gt;高値!V370,高値!X370&gt;高値!Y370,高値!X370&gt;高値!Z370),19,""))</f>
        <v/>
      </c>
      <c r="AU370" s="503" t="str">
        <f>IF(終値!A370="","",IF(AND(高値!Y370&gt;高値!X370,高値!Y370&gt;高値!W370,高値!Y370&gt;高値!Z370,高値!Y370&gt;高値!AA370),20,""))</f>
        <v/>
      </c>
      <c r="AV370" s="503" t="str">
        <f>IF(終値!A370="","",IF(AND(高値!Z370&gt;高値!Y370,高値!Z370&gt;高値!X370,高値!Z370&gt;高値!AA370,高値!Z370&gt;高値!AB370),21,""))</f>
        <v/>
      </c>
      <c r="AW370" s="503" t="str">
        <f>IF(終値!A370="","",IF(AND(高値!AA370&gt;高値!Z370,高値!AA370&gt;高値!Y370,高値!AA370&gt;高値!AB370,高値!AA370&gt;高値!AC370),22,""))</f>
        <v/>
      </c>
      <c r="AX370" s="503" t="str">
        <f>IF(終値!A370="","",IF(AND(高値!AB370&gt;高値!AA370,高値!AB370&gt;高値!Z370,高値!AB370&gt;高値!AC370,高値!AB370&gt;高値!AD370),23,""))</f>
        <v/>
      </c>
      <c r="AY370" s="503" t="str">
        <f>IF(終値!A370="","",IF(AND(高値!AC370&gt;高値!AB370,高値!AC370&gt;高値!AA370,高値!AC370&gt;高値!AD370,高値!AC370&gt;高値!AE370),24,""))</f>
        <v/>
      </c>
      <c r="AZ370" s="503" t="str">
        <f>IF(終値!A370="","",IF(AND(高値!AD370&gt;高値!AC370,高値!AD370&gt;高値!AB370,高値!AD370&gt;高値!AE370,高値!AD370&gt;高値!AF370),25,""))</f>
        <v/>
      </c>
      <c r="BA370" s="503" t="str">
        <f>IF(終値!A370="","",IF(AND(高値!AE370&gt;高値!AD370,高値!AE370&gt;高値!AC370,高値!AE370&gt;高値!AF370,高値!AE370&gt;高値!AG370),26,""))</f>
        <v/>
      </c>
      <c r="BB370" s="503" t="str">
        <f>IF(終値!A370="","",IF(AND(高値!AF370&gt;高値!AE370,高値!AF370&gt;高値!AD370,高値!AF370&gt;高値!AG370,高値!AF370&gt;高値!AH370),27,""))</f>
        <v/>
      </c>
      <c r="BC370" s="503" t="str">
        <f>IF(終値!A370="","",IF(AND(高値!AG370&gt;高値!AF370,高値!AG370&gt;高値!AE370,高値!AG370&gt;高値!AH370,高値!AG370&gt;高値!AI370),28,""))</f>
        <v/>
      </c>
      <c r="BD370" s="503">
        <f t="shared" si="30"/>
        <v>0</v>
      </c>
      <c r="BE370" s="503" t="str">
        <f t="shared" si="31"/>
        <v/>
      </c>
      <c r="BF370" s="503" t="str">
        <f t="shared" si="32"/>
        <v/>
      </c>
      <c r="BG370" s="503" t="str">
        <f>IF($BE370="","",INDEX(安値!$E370:$CZ370,1,$BE370+1))</f>
        <v/>
      </c>
      <c r="BH370" s="503" t="str">
        <f>IF($BF370="","",INDEX(安値!$E370:$CZ370,1,$BF370+1))</f>
        <v/>
      </c>
      <c r="BI370" s="503" t="str">
        <f>IF($BF370="","",MAX(INDEX(高値!$E370:$CZ370,1,$BE370+1):INDEX(高値!$E370:$CZ370,1,$BF370+1)))</f>
        <v/>
      </c>
      <c r="BJ370" s="503" t="str">
        <f>IF($BF370="","",AVERAGE(INDEX(終値!$E370:$CZ370,1,$BF370+1):INDEX(終値!$E370:$CZ370,1,$BF370+20))-2*STDEVP(INDEX(終値!$E370:$CZ370,1,$BF370+1):INDEX(終値!$E370:$CZ370,1,$BF370+20)))</f>
        <v/>
      </c>
      <c r="BK370" s="503" t="str">
        <f>IF($BE370="","",AVERAGE(INDEX(終値!$E370:$CZ370,1,$BE370+1):INDEX(終値!$E370:$CZ370,1,$BE370+20))-2*STDEVP(INDEX(終値!$E370:$CZ370,1,$BE370+1):INDEX(終値!$E370:$CZ370,1,$BE370+20)))</f>
        <v/>
      </c>
      <c r="BL370" s="503">
        <f t="shared" si="33"/>
        <v>0</v>
      </c>
      <c r="BM370" s="503" t="str">
        <f t="shared" si="34"/>
        <v/>
      </c>
      <c r="BN370" s="503" t="str">
        <f t="shared" si="35"/>
        <v/>
      </c>
      <c r="BO370" s="503" t="str">
        <f>IF($BM370="","",INDEX(高値!$E370:$CZ370,1,$BM370+1))</f>
        <v/>
      </c>
      <c r="BP370" s="503" t="str">
        <f>IF($BN370="","",INDEX(高値!$E370:$CZ370,1,$BN370+1))</f>
        <v/>
      </c>
      <c r="BQ370" s="503" t="str">
        <f>IF($BN370="","",MIN(INDEX(安値!$E370:$CZ370,1,$BM370+1):INDEX(安値!$E370:$CZ370,1,$BN370+1)))</f>
        <v/>
      </c>
      <c r="BR370" s="503" t="str">
        <f>IF($BN370="","",AVERAGE(INDEX(終値!$E370:$CZ370,1,$BN370+1):INDEX(終値!$E370:$CZ370,1,$BN370+20))+2*STDEVP(INDEX(終値!$E370:$CZ370,1,$BN370+1):INDEX(終値!$E370:$CZ370,1,$BN370+20)))</f>
        <v/>
      </c>
      <c r="BS370" s="503" t="str">
        <f>IF($BM370="","",AVERAGE(INDEX(終値!$E370:$CZ370,1,$BM370+1):INDEX(終値!$E370:$CZ370,1,$BM370+20))+2*STDEVP(INDEX(終値!$E370:$CZ370,1,$BM370+1):INDEX(終値!$E370:$CZ370,1,$BM370+20)))</f>
        <v/>
      </c>
      <c r="BT370" s="500"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3" t="str">
        <f>IF(終値!A371="","",IF(AND(安値!G371&lt;安値!F371,安値!G371&lt;安値!E371,安値!G371&lt;安値!H371,安値!G371&lt;安値!I371),2,""))</f>
        <v/>
      </c>
      <c r="C371" s="503" t="str">
        <f>IF(終値!A371="","",IF(AND(安値!H371&lt;安値!G371,安値!H371&lt;安値!F371,安値!H371&lt;安値!I371,安値!H371&lt;安値!J371),3,""))</f>
        <v/>
      </c>
      <c r="D371" s="503" t="str">
        <f>IF(終値!A371="","",IF(AND(安値!I371&lt;安値!H371,安値!I371&lt;安値!G371,安値!I371&lt;安値!J371,安値!I371&lt;安値!K371),4,""))</f>
        <v/>
      </c>
      <c r="E371" s="503" t="str">
        <f>IF(終値!A371="","",IF(AND(安値!J371&lt;安値!I371,安値!J371&lt;安値!H371,安値!J371&lt;安値!K371,安値!J371&lt;安値!L371),5,""))</f>
        <v/>
      </c>
      <c r="F371" s="503" t="str">
        <f>IF(終値!A371="","",IF(AND(安値!K371&lt;安値!J371,安値!K371&lt;安値!I371,安値!K371&lt;安値!L371,安値!K371&lt;安値!M371),6,""))</f>
        <v/>
      </c>
      <c r="G371" s="503" t="str">
        <f>IF(終値!A371="","",IF(AND(安値!L371&lt;安値!K371,安値!L371&lt;安値!J371,安値!L371&lt;安値!M371,安値!L371&lt;安値!N371),7,""))</f>
        <v/>
      </c>
      <c r="H371" s="503" t="str">
        <f>IF(終値!A371="","",IF(AND(安値!M371&lt;安値!L371,安値!M371&lt;安値!K371,安値!M371&lt;安値!N371,安値!M371&lt;安値!O371),8,""))</f>
        <v/>
      </c>
      <c r="I371" s="503" t="str">
        <f>IF(終値!A371="","",IF(AND(安値!N371&lt;安値!M371,安値!N371&lt;安値!L371,安値!N371&lt;安値!O371,安値!N371&lt;安値!P371),9,""))</f>
        <v/>
      </c>
      <c r="J371" s="503" t="str">
        <f>IF(終値!A371="","",IF(AND(安値!O371&lt;安値!N371,安値!O371&lt;安値!M371,安値!O371&lt;安値!P371,安値!O371&lt;安値!Q371),10,""))</f>
        <v/>
      </c>
      <c r="K371" s="503" t="str">
        <f>IF(終値!A371="","",IF(AND(安値!P371&lt;安値!O371,安値!P371&lt;安値!N371,安値!P371&lt;安値!Q371,安値!P371&lt;安値!R371),11,""))</f>
        <v/>
      </c>
      <c r="L371" s="503" t="str">
        <f>IF(終値!A371="","",IF(AND(安値!Q371&lt;安値!P371,安値!Q371&lt;安値!O371,安値!Q371&lt;安値!R371,安値!Q371&lt;安値!S371),12,""))</f>
        <v/>
      </c>
      <c r="M371" s="503" t="str">
        <f>IF(終値!A371="","",IF(AND(安値!R371&lt;安値!Q371,安値!R371&lt;安値!P371,安値!R371&lt;安値!S371,安値!R371&lt;安値!T371),13,""))</f>
        <v/>
      </c>
      <c r="N371" s="503" t="str">
        <f>IF(終値!A371="","",IF(AND(安値!S371&lt;安値!R371,安値!S371&lt;安値!Q371,安値!S371&lt;安値!T371,安値!S371&lt;安値!U371),14,""))</f>
        <v/>
      </c>
      <c r="O371" s="503" t="str">
        <f>IF(終値!A371="","",IF(AND(安値!T371&lt;安値!S371,安値!T371&lt;安値!R371,安値!T371&lt;安値!U371,安値!T371&lt;安値!V371),15,""))</f>
        <v/>
      </c>
      <c r="P371" s="503" t="str">
        <f>IF(終値!A371="","",IF(AND(安値!U371&lt;安値!T371,安値!U371&lt;安値!S371,安値!U371&lt;安値!V371,安値!U371&lt;安値!W371),16,""))</f>
        <v/>
      </c>
      <c r="Q371" s="503" t="str">
        <f>IF(終値!A371="","",IF(AND(安値!V371&lt;安値!U371,安値!V371&lt;安値!T371,安値!V371&lt;安値!W371,安値!V371&lt;安値!X371),17,""))</f>
        <v/>
      </c>
      <c r="R371" s="503" t="str">
        <f>IF(終値!A371="","",IF(AND(安値!W371&lt;安値!V371,安値!W371&lt;安値!U371,安値!W371&lt;安値!X371,安値!W371&lt;安値!Y371),18,""))</f>
        <v/>
      </c>
      <c r="S371" s="503" t="str">
        <f>IF(終値!A371="","",IF(AND(安値!X371&lt;安値!W371,安値!X371&lt;安値!V371,安値!X371&lt;安値!Y371,安値!X371&lt;安値!Z371),19,""))</f>
        <v/>
      </c>
      <c r="T371" s="503" t="str">
        <f>IF(終値!A371="","",IF(AND(安値!Y371&lt;安値!X371,安値!Y371&lt;安値!W371,安値!Y371&lt;安値!Z371,安値!Y371&lt;安値!AA371),20,""))</f>
        <v/>
      </c>
      <c r="U371" s="503" t="str">
        <f>IF(終値!A371="","",IF(AND(安値!Z371&lt;安値!Y371,安値!Z371&lt;安値!X371,安値!Z371&lt;安値!AA371,安値!Z371&lt;安値!AB371),21,""))</f>
        <v/>
      </c>
      <c r="V371" s="503" t="str">
        <f>IF(終値!A371="","",IF(AND(安値!AA371&lt;安値!Z371,安値!AA371&lt;安値!Y371,安値!AA371&lt;安値!AB371,安値!AA371&lt;安値!AC371),22,""))</f>
        <v/>
      </c>
      <c r="W371" s="503" t="str">
        <f>IF(終値!A371="","",IF(AND(安値!AB371&lt;安値!AA371,安値!AB371&lt;安値!Z371,安値!AB371&lt;安値!AC371,安値!AB371&lt;安値!AD371),23,""))</f>
        <v/>
      </c>
      <c r="X371" s="503" t="str">
        <f>IF(終値!A371="","",IF(AND(安値!AC371&lt;安値!AB371,安値!AC371&lt;安値!AA371,安値!AC371&lt;安値!AD371,安値!AC371&lt;安値!AE371),24,""))</f>
        <v/>
      </c>
      <c r="Y371" s="503" t="str">
        <f>IF(終値!A371="","",IF(AND(安値!AD371&lt;安値!AC371,安値!AD371&lt;安値!AB371,安値!AD371&lt;安値!AE371,安値!AD371&lt;安値!AF371),25,""))</f>
        <v/>
      </c>
      <c r="Z371" s="503" t="str">
        <f>IF(終値!A371="","",IF(AND(安値!AE371&lt;安値!AD371,安値!AE371&lt;安値!AC371,安値!AE371&lt;安値!AF371,安値!AE371&lt;安値!AG371),26,""))</f>
        <v/>
      </c>
      <c r="AA371" s="503" t="str">
        <f>IF(終値!A371="","",IF(AND(安値!AF371&lt;安値!AE371,安値!AF371&lt;安値!AD371,安値!AF371&lt;安値!AG371,安値!AF371&lt;安値!AH371),27,""))</f>
        <v/>
      </c>
      <c r="AB371" s="503" t="str">
        <f>IF(終値!A371="","",IF(AND(安値!AG371&lt;安値!AF371,安値!AG371&lt;安値!AE371,安値!AG371&lt;安値!AH371,安値!AG371&lt;安値!AI371),28,""))</f>
        <v/>
      </c>
      <c r="AC371" s="503" t="str">
        <f>IF(終値!A371="","",IF(AND(高値!G371&gt;高値!F371,高値!G371&gt;高値!E371,高値!G371&gt;高値!H371,高値!G371&gt;高値!I371),2,""))</f>
        <v/>
      </c>
      <c r="AD371" s="503" t="str">
        <f>IF(終値!A371="","",IF(AND(高値!H371&gt;高値!G371,高値!H371&gt;高値!F371,高値!H371&gt;高値!I371,高値!H371&gt;高値!J371),3,""))</f>
        <v/>
      </c>
      <c r="AE371" s="503" t="str">
        <f>IF(終値!A371="","",IF(AND(高値!I371&gt;高値!H371,高値!I371&gt;高値!G371,高値!I371&gt;高値!J371,高値!I371&gt;高値!K371),4,""))</f>
        <v/>
      </c>
      <c r="AF371" s="503" t="str">
        <f>IF(終値!A371="","",IF(AND(高値!J371&gt;高値!I371,高値!J371&gt;高値!H371,高値!J371&gt;高値!K371,高値!J371&gt;高値!L371),5,""))</f>
        <v/>
      </c>
      <c r="AG371" s="503" t="str">
        <f>IF(終値!A371="","",IF(AND(高値!K371&gt;高値!J371,高値!K371&gt;高値!I371,高値!K371&gt;高値!L371,高値!K371&gt;高値!M371),6,""))</f>
        <v/>
      </c>
      <c r="AH371" s="503" t="str">
        <f>IF(終値!A371="","",IF(AND(高値!L371&gt;高値!K371,高値!L371&gt;高値!J371,高値!L371&gt;高値!M371,高値!L371&gt;高値!N371),7,""))</f>
        <v/>
      </c>
      <c r="AI371" s="503" t="str">
        <f>IF(終値!A371="","",IF(AND(高値!M371&gt;高値!L371,高値!M371&gt;高値!K371,高値!M371&gt;高値!N371,高値!M371&gt;高値!O371),8,""))</f>
        <v/>
      </c>
      <c r="AJ371" s="503" t="str">
        <f>IF(終値!A371="","",IF(AND(高値!N371&gt;高値!M371,高値!N371&gt;高値!L371,高値!N371&gt;高値!O371,高値!N371&gt;高値!P371),9,""))</f>
        <v/>
      </c>
      <c r="AK371" s="503" t="str">
        <f>IF(終値!A371="","",IF(AND(高値!O371&gt;高値!N371,高値!O371&gt;高値!M371,高値!O371&gt;高値!P371,高値!O371&gt;高値!Q371),10,""))</f>
        <v/>
      </c>
      <c r="AL371" s="503" t="str">
        <f>IF(終値!A371="","",IF(AND(高値!P371&gt;高値!O371,高値!P371&gt;高値!N371,高値!P371&gt;高値!Q371,高値!P371&gt;高値!R371),11,""))</f>
        <v/>
      </c>
      <c r="AM371" s="503" t="str">
        <f>IF(終値!A371="","",IF(AND(高値!Q371&gt;高値!P371,高値!Q371&gt;高値!O371,高値!Q371&gt;高値!R371,高値!Q371&gt;高値!S371),12,""))</f>
        <v/>
      </c>
      <c r="AN371" s="503" t="str">
        <f>IF(終値!A371="","",IF(AND(高値!R371&gt;高値!Q371,高値!R371&gt;高値!P371,高値!R371&gt;高値!S371,高値!R371&gt;高値!T371),13,""))</f>
        <v/>
      </c>
      <c r="AO371" s="503" t="str">
        <f>IF(終値!A371="","",IF(AND(高値!S371&gt;高値!R371,高値!S371&gt;高値!Q371,高値!S371&gt;高値!T371,高値!S371&gt;高値!U371),14,""))</f>
        <v/>
      </c>
      <c r="AP371" s="503" t="str">
        <f>IF(終値!A371="","",IF(AND(高値!T371&gt;高値!S371,高値!T371&gt;高値!R371,高値!T371&gt;高値!U371,高値!T371&gt;高値!V371),15,""))</f>
        <v/>
      </c>
      <c r="AQ371" s="503" t="str">
        <f>IF(終値!A371="","",IF(AND(高値!U371&gt;高値!T371,高値!U371&gt;高値!S371,高値!U371&gt;高値!V371,高値!U371&gt;高値!W371),16,""))</f>
        <v/>
      </c>
      <c r="AR371" s="503" t="str">
        <f>IF(終値!A371="","",IF(AND(高値!V371&gt;高値!U371,高値!V371&gt;高値!T371,高値!V371&gt;高値!W371,高値!V371&gt;高値!X371),17,""))</f>
        <v/>
      </c>
      <c r="AS371" s="503" t="str">
        <f>IF(終値!A371="","",IF(AND(高値!W371&gt;高値!V371,高値!W371&gt;高値!U371,高値!W371&gt;高値!X371,高値!W371&gt;高値!Y371),18,""))</f>
        <v/>
      </c>
      <c r="AT371" s="503" t="str">
        <f>IF(終値!A371="","",IF(AND(高値!X371&gt;高値!W371,高値!X371&gt;高値!V371,高値!X371&gt;高値!Y371,高値!X371&gt;高値!Z371),19,""))</f>
        <v/>
      </c>
      <c r="AU371" s="503" t="str">
        <f>IF(終値!A371="","",IF(AND(高値!Y371&gt;高値!X371,高値!Y371&gt;高値!W371,高値!Y371&gt;高値!Z371,高値!Y371&gt;高値!AA371),20,""))</f>
        <v/>
      </c>
      <c r="AV371" s="503" t="str">
        <f>IF(終値!A371="","",IF(AND(高値!Z371&gt;高値!Y371,高値!Z371&gt;高値!X371,高値!Z371&gt;高値!AA371,高値!Z371&gt;高値!AB371),21,""))</f>
        <v/>
      </c>
      <c r="AW371" s="503" t="str">
        <f>IF(終値!A371="","",IF(AND(高値!AA371&gt;高値!Z371,高値!AA371&gt;高値!Y371,高値!AA371&gt;高値!AB371,高値!AA371&gt;高値!AC371),22,""))</f>
        <v/>
      </c>
      <c r="AX371" s="503" t="str">
        <f>IF(終値!A371="","",IF(AND(高値!AB371&gt;高値!AA371,高値!AB371&gt;高値!Z371,高値!AB371&gt;高値!AC371,高値!AB371&gt;高値!AD371),23,""))</f>
        <v/>
      </c>
      <c r="AY371" s="503" t="str">
        <f>IF(終値!A371="","",IF(AND(高値!AC371&gt;高値!AB371,高値!AC371&gt;高値!AA371,高値!AC371&gt;高値!AD371,高値!AC371&gt;高値!AE371),24,""))</f>
        <v/>
      </c>
      <c r="AZ371" s="503" t="str">
        <f>IF(終値!A371="","",IF(AND(高値!AD371&gt;高値!AC371,高値!AD371&gt;高値!AB371,高値!AD371&gt;高値!AE371,高値!AD371&gt;高値!AF371),25,""))</f>
        <v/>
      </c>
      <c r="BA371" s="503" t="str">
        <f>IF(終値!A371="","",IF(AND(高値!AE371&gt;高値!AD371,高値!AE371&gt;高値!AC371,高値!AE371&gt;高値!AF371,高値!AE371&gt;高値!AG371),26,""))</f>
        <v/>
      </c>
      <c r="BB371" s="503" t="str">
        <f>IF(終値!A371="","",IF(AND(高値!AF371&gt;高値!AE371,高値!AF371&gt;高値!AD371,高値!AF371&gt;高値!AG371,高値!AF371&gt;高値!AH371),27,""))</f>
        <v/>
      </c>
      <c r="BC371" s="503" t="str">
        <f>IF(終値!A371="","",IF(AND(高値!AG371&gt;高値!AF371,高値!AG371&gt;高値!AE371,高値!AG371&gt;高値!AH371,高値!AG371&gt;高値!AI371),28,""))</f>
        <v/>
      </c>
      <c r="BD371" s="503">
        <f t="shared" si="30"/>
        <v>0</v>
      </c>
      <c r="BE371" s="503" t="str">
        <f t="shared" si="31"/>
        <v/>
      </c>
      <c r="BF371" s="503" t="str">
        <f t="shared" si="32"/>
        <v/>
      </c>
      <c r="BG371" s="503" t="str">
        <f>IF($BE371="","",INDEX(安値!$E371:$CZ371,1,$BE371+1))</f>
        <v/>
      </c>
      <c r="BH371" s="503" t="str">
        <f>IF($BF371="","",INDEX(安値!$E371:$CZ371,1,$BF371+1))</f>
        <v/>
      </c>
      <c r="BI371" s="503" t="str">
        <f>IF($BF371="","",MAX(INDEX(高値!$E371:$CZ371,1,$BE371+1):INDEX(高値!$E371:$CZ371,1,$BF371+1)))</f>
        <v/>
      </c>
      <c r="BJ371" s="503" t="str">
        <f>IF($BF371="","",AVERAGE(INDEX(終値!$E371:$CZ371,1,$BF371+1):INDEX(終値!$E371:$CZ371,1,$BF371+20))-2*STDEVP(INDEX(終値!$E371:$CZ371,1,$BF371+1):INDEX(終値!$E371:$CZ371,1,$BF371+20)))</f>
        <v/>
      </c>
      <c r="BK371" s="503" t="str">
        <f>IF($BE371="","",AVERAGE(INDEX(終値!$E371:$CZ371,1,$BE371+1):INDEX(終値!$E371:$CZ371,1,$BE371+20))-2*STDEVP(INDEX(終値!$E371:$CZ371,1,$BE371+1):INDEX(終値!$E371:$CZ371,1,$BE371+20)))</f>
        <v/>
      </c>
      <c r="BL371" s="503">
        <f t="shared" si="33"/>
        <v>0</v>
      </c>
      <c r="BM371" s="503" t="str">
        <f t="shared" si="34"/>
        <v/>
      </c>
      <c r="BN371" s="503" t="str">
        <f t="shared" si="35"/>
        <v/>
      </c>
      <c r="BO371" s="503" t="str">
        <f>IF($BM371="","",INDEX(高値!$E371:$CZ371,1,$BM371+1))</f>
        <v/>
      </c>
      <c r="BP371" s="503" t="str">
        <f>IF($BN371="","",INDEX(高値!$E371:$CZ371,1,$BN371+1))</f>
        <v/>
      </c>
      <c r="BQ371" s="503" t="str">
        <f>IF($BN371="","",MIN(INDEX(安値!$E371:$CZ371,1,$BM371+1):INDEX(安値!$E371:$CZ371,1,$BN371+1)))</f>
        <v/>
      </c>
      <c r="BR371" s="503" t="str">
        <f>IF($BN371="","",AVERAGE(INDEX(終値!$E371:$CZ371,1,$BN371+1):INDEX(終値!$E371:$CZ371,1,$BN371+20))+2*STDEVP(INDEX(終値!$E371:$CZ371,1,$BN371+1):INDEX(終値!$E371:$CZ371,1,$BN371+20)))</f>
        <v/>
      </c>
      <c r="BS371" s="503" t="str">
        <f>IF($BM371="","",AVERAGE(INDEX(終値!$E371:$CZ371,1,$BM371+1):INDEX(終値!$E371:$CZ371,1,$BM371+20))+2*STDEVP(INDEX(終値!$E371:$CZ371,1,$BM371+1):INDEX(終値!$E371:$CZ371,1,$BM371+20)))</f>
        <v/>
      </c>
      <c r="BT371" s="500"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3" t="str">
        <f>IF(終値!A372="","",IF(AND(安値!G372&lt;安値!F372,安値!G372&lt;安値!E372,安値!G372&lt;安値!H372,安値!G372&lt;安値!I372),2,""))</f>
        <v/>
      </c>
      <c r="C372" s="503" t="str">
        <f>IF(終値!A372="","",IF(AND(安値!H372&lt;安値!G372,安値!H372&lt;安値!F372,安値!H372&lt;安値!I372,安値!H372&lt;安値!J372),3,""))</f>
        <v/>
      </c>
      <c r="D372" s="503" t="str">
        <f>IF(終値!A372="","",IF(AND(安値!I372&lt;安値!H372,安値!I372&lt;安値!G372,安値!I372&lt;安値!J372,安値!I372&lt;安値!K372),4,""))</f>
        <v/>
      </c>
      <c r="E372" s="503" t="str">
        <f>IF(終値!A372="","",IF(AND(安値!J372&lt;安値!I372,安値!J372&lt;安値!H372,安値!J372&lt;安値!K372,安値!J372&lt;安値!L372),5,""))</f>
        <v/>
      </c>
      <c r="F372" s="503" t="str">
        <f>IF(終値!A372="","",IF(AND(安値!K372&lt;安値!J372,安値!K372&lt;安値!I372,安値!K372&lt;安値!L372,安値!K372&lt;安値!M372),6,""))</f>
        <v/>
      </c>
      <c r="G372" s="503" t="str">
        <f>IF(終値!A372="","",IF(AND(安値!L372&lt;安値!K372,安値!L372&lt;安値!J372,安値!L372&lt;安値!M372,安値!L372&lt;安値!N372),7,""))</f>
        <v/>
      </c>
      <c r="H372" s="503" t="str">
        <f>IF(終値!A372="","",IF(AND(安値!M372&lt;安値!L372,安値!M372&lt;安値!K372,安値!M372&lt;安値!N372,安値!M372&lt;安値!O372),8,""))</f>
        <v/>
      </c>
      <c r="I372" s="503" t="str">
        <f>IF(終値!A372="","",IF(AND(安値!N372&lt;安値!M372,安値!N372&lt;安値!L372,安値!N372&lt;安値!O372,安値!N372&lt;安値!P372),9,""))</f>
        <v/>
      </c>
      <c r="J372" s="503" t="str">
        <f>IF(終値!A372="","",IF(AND(安値!O372&lt;安値!N372,安値!O372&lt;安値!M372,安値!O372&lt;安値!P372,安値!O372&lt;安値!Q372),10,""))</f>
        <v/>
      </c>
      <c r="K372" s="503" t="str">
        <f>IF(終値!A372="","",IF(AND(安値!P372&lt;安値!O372,安値!P372&lt;安値!N372,安値!P372&lt;安値!Q372,安値!P372&lt;安値!R372),11,""))</f>
        <v/>
      </c>
      <c r="L372" s="503" t="str">
        <f>IF(終値!A372="","",IF(AND(安値!Q372&lt;安値!P372,安値!Q372&lt;安値!O372,安値!Q372&lt;安値!R372,安値!Q372&lt;安値!S372),12,""))</f>
        <v/>
      </c>
      <c r="M372" s="503" t="str">
        <f>IF(終値!A372="","",IF(AND(安値!R372&lt;安値!Q372,安値!R372&lt;安値!P372,安値!R372&lt;安値!S372,安値!R372&lt;安値!T372),13,""))</f>
        <v/>
      </c>
      <c r="N372" s="503" t="str">
        <f>IF(終値!A372="","",IF(AND(安値!S372&lt;安値!R372,安値!S372&lt;安値!Q372,安値!S372&lt;安値!T372,安値!S372&lt;安値!U372),14,""))</f>
        <v/>
      </c>
      <c r="O372" s="503" t="str">
        <f>IF(終値!A372="","",IF(AND(安値!T372&lt;安値!S372,安値!T372&lt;安値!R372,安値!T372&lt;安値!U372,安値!T372&lt;安値!V372),15,""))</f>
        <v/>
      </c>
      <c r="P372" s="503" t="str">
        <f>IF(終値!A372="","",IF(AND(安値!U372&lt;安値!T372,安値!U372&lt;安値!S372,安値!U372&lt;安値!V372,安値!U372&lt;安値!W372),16,""))</f>
        <v/>
      </c>
      <c r="Q372" s="503" t="str">
        <f>IF(終値!A372="","",IF(AND(安値!V372&lt;安値!U372,安値!V372&lt;安値!T372,安値!V372&lt;安値!W372,安値!V372&lt;安値!X372),17,""))</f>
        <v/>
      </c>
      <c r="R372" s="503" t="str">
        <f>IF(終値!A372="","",IF(AND(安値!W372&lt;安値!V372,安値!W372&lt;安値!U372,安値!W372&lt;安値!X372,安値!W372&lt;安値!Y372),18,""))</f>
        <v/>
      </c>
      <c r="S372" s="503" t="str">
        <f>IF(終値!A372="","",IF(AND(安値!X372&lt;安値!W372,安値!X372&lt;安値!V372,安値!X372&lt;安値!Y372,安値!X372&lt;安値!Z372),19,""))</f>
        <v/>
      </c>
      <c r="T372" s="503" t="str">
        <f>IF(終値!A372="","",IF(AND(安値!Y372&lt;安値!X372,安値!Y372&lt;安値!W372,安値!Y372&lt;安値!Z372,安値!Y372&lt;安値!AA372),20,""))</f>
        <v/>
      </c>
      <c r="U372" s="503" t="str">
        <f>IF(終値!A372="","",IF(AND(安値!Z372&lt;安値!Y372,安値!Z372&lt;安値!X372,安値!Z372&lt;安値!AA372,安値!Z372&lt;安値!AB372),21,""))</f>
        <v/>
      </c>
      <c r="V372" s="503" t="str">
        <f>IF(終値!A372="","",IF(AND(安値!AA372&lt;安値!Z372,安値!AA372&lt;安値!Y372,安値!AA372&lt;安値!AB372,安値!AA372&lt;安値!AC372),22,""))</f>
        <v/>
      </c>
      <c r="W372" s="503" t="str">
        <f>IF(終値!A372="","",IF(AND(安値!AB372&lt;安値!AA372,安値!AB372&lt;安値!Z372,安値!AB372&lt;安値!AC372,安値!AB372&lt;安値!AD372),23,""))</f>
        <v/>
      </c>
      <c r="X372" s="503" t="str">
        <f>IF(終値!A372="","",IF(AND(安値!AC372&lt;安値!AB372,安値!AC372&lt;安値!AA372,安値!AC372&lt;安値!AD372,安値!AC372&lt;安値!AE372),24,""))</f>
        <v/>
      </c>
      <c r="Y372" s="503" t="str">
        <f>IF(終値!A372="","",IF(AND(安値!AD372&lt;安値!AC372,安値!AD372&lt;安値!AB372,安値!AD372&lt;安値!AE372,安値!AD372&lt;安値!AF372),25,""))</f>
        <v/>
      </c>
      <c r="Z372" s="503" t="str">
        <f>IF(終値!A372="","",IF(AND(安値!AE372&lt;安値!AD372,安値!AE372&lt;安値!AC372,安値!AE372&lt;安値!AF372,安値!AE372&lt;安値!AG372),26,""))</f>
        <v/>
      </c>
      <c r="AA372" s="503" t="str">
        <f>IF(終値!A372="","",IF(AND(安値!AF372&lt;安値!AE372,安値!AF372&lt;安値!AD372,安値!AF372&lt;安値!AG372,安値!AF372&lt;安値!AH372),27,""))</f>
        <v/>
      </c>
      <c r="AB372" s="503" t="str">
        <f>IF(終値!A372="","",IF(AND(安値!AG372&lt;安値!AF372,安値!AG372&lt;安値!AE372,安値!AG372&lt;安値!AH372,安値!AG372&lt;安値!AI372),28,""))</f>
        <v/>
      </c>
      <c r="AC372" s="503" t="str">
        <f>IF(終値!A372="","",IF(AND(高値!G372&gt;高値!F372,高値!G372&gt;高値!E372,高値!G372&gt;高値!H372,高値!G372&gt;高値!I372),2,""))</f>
        <v/>
      </c>
      <c r="AD372" s="503" t="str">
        <f>IF(終値!A372="","",IF(AND(高値!H372&gt;高値!G372,高値!H372&gt;高値!F372,高値!H372&gt;高値!I372,高値!H372&gt;高値!J372),3,""))</f>
        <v/>
      </c>
      <c r="AE372" s="503" t="str">
        <f>IF(終値!A372="","",IF(AND(高値!I372&gt;高値!H372,高値!I372&gt;高値!G372,高値!I372&gt;高値!J372,高値!I372&gt;高値!K372),4,""))</f>
        <v/>
      </c>
      <c r="AF372" s="503" t="str">
        <f>IF(終値!A372="","",IF(AND(高値!J372&gt;高値!I372,高値!J372&gt;高値!H372,高値!J372&gt;高値!K372,高値!J372&gt;高値!L372),5,""))</f>
        <v/>
      </c>
      <c r="AG372" s="503" t="str">
        <f>IF(終値!A372="","",IF(AND(高値!K372&gt;高値!J372,高値!K372&gt;高値!I372,高値!K372&gt;高値!L372,高値!K372&gt;高値!M372),6,""))</f>
        <v/>
      </c>
      <c r="AH372" s="503" t="str">
        <f>IF(終値!A372="","",IF(AND(高値!L372&gt;高値!K372,高値!L372&gt;高値!J372,高値!L372&gt;高値!M372,高値!L372&gt;高値!N372),7,""))</f>
        <v/>
      </c>
      <c r="AI372" s="503" t="str">
        <f>IF(終値!A372="","",IF(AND(高値!M372&gt;高値!L372,高値!M372&gt;高値!K372,高値!M372&gt;高値!N372,高値!M372&gt;高値!O372),8,""))</f>
        <v/>
      </c>
      <c r="AJ372" s="503" t="str">
        <f>IF(終値!A372="","",IF(AND(高値!N372&gt;高値!M372,高値!N372&gt;高値!L372,高値!N372&gt;高値!O372,高値!N372&gt;高値!P372),9,""))</f>
        <v/>
      </c>
      <c r="AK372" s="503" t="str">
        <f>IF(終値!A372="","",IF(AND(高値!O372&gt;高値!N372,高値!O372&gt;高値!M372,高値!O372&gt;高値!P372,高値!O372&gt;高値!Q372),10,""))</f>
        <v/>
      </c>
      <c r="AL372" s="503" t="str">
        <f>IF(終値!A372="","",IF(AND(高値!P372&gt;高値!O372,高値!P372&gt;高値!N372,高値!P372&gt;高値!Q372,高値!P372&gt;高値!R372),11,""))</f>
        <v/>
      </c>
      <c r="AM372" s="503" t="str">
        <f>IF(終値!A372="","",IF(AND(高値!Q372&gt;高値!P372,高値!Q372&gt;高値!O372,高値!Q372&gt;高値!R372,高値!Q372&gt;高値!S372),12,""))</f>
        <v/>
      </c>
      <c r="AN372" s="503" t="str">
        <f>IF(終値!A372="","",IF(AND(高値!R372&gt;高値!Q372,高値!R372&gt;高値!P372,高値!R372&gt;高値!S372,高値!R372&gt;高値!T372),13,""))</f>
        <v/>
      </c>
      <c r="AO372" s="503" t="str">
        <f>IF(終値!A372="","",IF(AND(高値!S372&gt;高値!R372,高値!S372&gt;高値!Q372,高値!S372&gt;高値!T372,高値!S372&gt;高値!U372),14,""))</f>
        <v/>
      </c>
      <c r="AP372" s="503" t="str">
        <f>IF(終値!A372="","",IF(AND(高値!T372&gt;高値!S372,高値!T372&gt;高値!R372,高値!T372&gt;高値!U372,高値!T372&gt;高値!V372),15,""))</f>
        <v/>
      </c>
      <c r="AQ372" s="503" t="str">
        <f>IF(終値!A372="","",IF(AND(高値!U372&gt;高値!T372,高値!U372&gt;高値!S372,高値!U372&gt;高値!V372,高値!U372&gt;高値!W372),16,""))</f>
        <v/>
      </c>
      <c r="AR372" s="503" t="str">
        <f>IF(終値!A372="","",IF(AND(高値!V372&gt;高値!U372,高値!V372&gt;高値!T372,高値!V372&gt;高値!W372,高値!V372&gt;高値!X372),17,""))</f>
        <v/>
      </c>
      <c r="AS372" s="503" t="str">
        <f>IF(終値!A372="","",IF(AND(高値!W372&gt;高値!V372,高値!W372&gt;高値!U372,高値!W372&gt;高値!X372,高値!W372&gt;高値!Y372),18,""))</f>
        <v/>
      </c>
      <c r="AT372" s="503" t="str">
        <f>IF(終値!A372="","",IF(AND(高値!X372&gt;高値!W372,高値!X372&gt;高値!V372,高値!X372&gt;高値!Y372,高値!X372&gt;高値!Z372),19,""))</f>
        <v/>
      </c>
      <c r="AU372" s="503" t="str">
        <f>IF(終値!A372="","",IF(AND(高値!Y372&gt;高値!X372,高値!Y372&gt;高値!W372,高値!Y372&gt;高値!Z372,高値!Y372&gt;高値!AA372),20,""))</f>
        <v/>
      </c>
      <c r="AV372" s="503" t="str">
        <f>IF(終値!A372="","",IF(AND(高値!Z372&gt;高値!Y372,高値!Z372&gt;高値!X372,高値!Z372&gt;高値!AA372,高値!Z372&gt;高値!AB372),21,""))</f>
        <v/>
      </c>
      <c r="AW372" s="503" t="str">
        <f>IF(終値!A372="","",IF(AND(高値!AA372&gt;高値!Z372,高値!AA372&gt;高値!Y372,高値!AA372&gt;高値!AB372,高値!AA372&gt;高値!AC372),22,""))</f>
        <v/>
      </c>
      <c r="AX372" s="503" t="str">
        <f>IF(終値!A372="","",IF(AND(高値!AB372&gt;高値!AA372,高値!AB372&gt;高値!Z372,高値!AB372&gt;高値!AC372,高値!AB372&gt;高値!AD372),23,""))</f>
        <v/>
      </c>
      <c r="AY372" s="503" t="str">
        <f>IF(終値!A372="","",IF(AND(高値!AC372&gt;高値!AB372,高値!AC372&gt;高値!AA372,高値!AC372&gt;高値!AD372,高値!AC372&gt;高値!AE372),24,""))</f>
        <v/>
      </c>
      <c r="AZ372" s="503" t="str">
        <f>IF(終値!A372="","",IF(AND(高値!AD372&gt;高値!AC372,高値!AD372&gt;高値!AB372,高値!AD372&gt;高値!AE372,高値!AD372&gt;高値!AF372),25,""))</f>
        <v/>
      </c>
      <c r="BA372" s="503" t="str">
        <f>IF(終値!A372="","",IF(AND(高値!AE372&gt;高値!AD372,高値!AE372&gt;高値!AC372,高値!AE372&gt;高値!AF372,高値!AE372&gt;高値!AG372),26,""))</f>
        <v/>
      </c>
      <c r="BB372" s="503" t="str">
        <f>IF(終値!A372="","",IF(AND(高値!AF372&gt;高値!AE372,高値!AF372&gt;高値!AD372,高値!AF372&gt;高値!AG372,高値!AF372&gt;高値!AH372),27,""))</f>
        <v/>
      </c>
      <c r="BC372" s="503" t="str">
        <f>IF(終値!A372="","",IF(AND(高値!AG372&gt;高値!AF372,高値!AG372&gt;高値!AE372,高値!AG372&gt;高値!AH372,高値!AG372&gt;高値!AI372),28,""))</f>
        <v/>
      </c>
      <c r="BD372" s="503">
        <f t="shared" si="30"/>
        <v>0</v>
      </c>
      <c r="BE372" s="503" t="str">
        <f t="shared" si="31"/>
        <v/>
      </c>
      <c r="BF372" s="503" t="str">
        <f t="shared" si="32"/>
        <v/>
      </c>
      <c r="BG372" s="503" t="str">
        <f>IF($BE372="","",INDEX(安値!$E372:$CZ372,1,$BE372+1))</f>
        <v/>
      </c>
      <c r="BH372" s="503" t="str">
        <f>IF($BF372="","",INDEX(安値!$E372:$CZ372,1,$BF372+1))</f>
        <v/>
      </c>
      <c r="BI372" s="503" t="str">
        <f>IF($BF372="","",MAX(INDEX(高値!$E372:$CZ372,1,$BE372+1):INDEX(高値!$E372:$CZ372,1,$BF372+1)))</f>
        <v/>
      </c>
      <c r="BJ372" s="503" t="str">
        <f>IF($BF372="","",AVERAGE(INDEX(終値!$E372:$CZ372,1,$BF372+1):INDEX(終値!$E372:$CZ372,1,$BF372+20))-2*STDEVP(INDEX(終値!$E372:$CZ372,1,$BF372+1):INDEX(終値!$E372:$CZ372,1,$BF372+20)))</f>
        <v/>
      </c>
      <c r="BK372" s="503" t="str">
        <f>IF($BE372="","",AVERAGE(INDEX(終値!$E372:$CZ372,1,$BE372+1):INDEX(終値!$E372:$CZ372,1,$BE372+20))-2*STDEVP(INDEX(終値!$E372:$CZ372,1,$BE372+1):INDEX(終値!$E372:$CZ372,1,$BE372+20)))</f>
        <v/>
      </c>
      <c r="BL372" s="503">
        <f t="shared" si="33"/>
        <v>0</v>
      </c>
      <c r="BM372" s="503" t="str">
        <f t="shared" si="34"/>
        <v/>
      </c>
      <c r="BN372" s="503" t="str">
        <f t="shared" si="35"/>
        <v/>
      </c>
      <c r="BO372" s="503" t="str">
        <f>IF($BM372="","",INDEX(高値!$E372:$CZ372,1,$BM372+1))</f>
        <v/>
      </c>
      <c r="BP372" s="503" t="str">
        <f>IF($BN372="","",INDEX(高値!$E372:$CZ372,1,$BN372+1))</f>
        <v/>
      </c>
      <c r="BQ372" s="503" t="str">
        <f>IF($BN372="","",MIN(INDEX(安値!$E372:$CZ372,1,$BM372+1):INDEX(安値!$E372:$CZ372,1,$BN372+1)))</f>
        <v/>
      </c>
      <c r="BR372" s="503" t="str">
        <f>IF($BN372="","",AVERAGE(INDEX(終値!$E372:$CZ372,1,$BN372+1):INDEX(終値!$E372:$CZ372,1,$BN372+20))+2*STDEVP(INDEX(終値!$E372:$CZ372,1,$BN372+1):INDEX(終値!$E372:$CZ372,1,$BN372+20)))</f>
        <v/>
      </c>
      <c r="BS372" s="503" t="str">
        <f>IF($BM372="","",AVERAGE(INDEX(終値!$E372:$CZ372,1,$BM372+1):INDEX(終値!$E372:$CZ372,1,$BM372+20))+2*STDEVP(INDEX(終値!$E372:$CZ372,1,$BM372+1):INDEX(終値!$E372:$CZ372,1,$BM372+20)))</f>
        <v/>
      </c>
      <c r="BT372" s="500"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3" t="str">
        <f>IF(終値!A373="","",IF(AND(安値!G373&lt;安値!F373,安値!G373&lt;安値!E373,安値!G373&lt;安値!H373,安値!G373&lt;安値!I373),2,""))</f>
        <v/>
      </c>
      <c r="C373" s="503" t="str">
        <f>IF(終値!A373="","",IF(AND(安値!H373&lt;安値!G373,安値!H373&lt;安値!F373,安値!H373&lt;安値!I373,安値!H373&lt;安値!J373),3,""))</f>
        <v/>
      </c>
      <c r="D373" s="503" t="str">
        <f>IF(終値!A373="","",IF(AND(安値!I373&lt;安値!H373,安値!I373&lt;安値!G373,安値!I373&lt;安値!J373,安値!I373&lt;安値!K373),4,""))</f>
        <v/>
      </c>
      <c r="E373" s="503" t="str">
        <f>IF(終値!A373="","",IF(AND(安値!J373&lt;安値!I373,安値!J373&lt;安値!H373,安値!J373&lt;安値!K373,安値!J373&lt;安値!L373),5,""))</f>
        <v/>
      </c>
      <c r="F373" s="503" t="str">
        <f>IF(終値!A373="","",IF(AND(安値!K373&lt;安値!J373,安値!K373&lt;安値!I373,安値!K373&lt;安値!L373,安値!K373&lt;安値!M373),6,""))</f>
        <v/>
      </c>
      <c r="G373" s="503" t="str">
        <f>IF(終値!A373="","",IF(AND(安値!L373&lt;安値!K373,安値!L373&lt;安値!J373,安値!L373&lt;安値!M373,安値!L373&lt;安値!N373),7,""))</f>
        <v/>
      </c>
      <c r="H373" s="503" t="str">
        <f>IF(終値!A373="","",IF(AND(安値!M373&lt;安値!L373,安値!M373&lt;安値!K373,安値!M373&lt;安値!N373,安値!M373&lt;安値!O373),8,""))</f>
        <v/>
      </c>
      <c r="I373" s="503" t="str">
        <f>IF(終値!A373="","",IF(AND(安値!N373&lt;安値!M373,安値!N373&lt;安値!L373,安値!N373&lt;安値!O373,安値!N373&lt;安値!P373),9,""))</f>
        <v/>
      </c>
      <c r="J373" s="503" t="str">
        <f>IF(終値!A373="","",IF(AND(安値!O373&lt;安値!N373,安値!O373&lt;安値!M373,安値!O373&lt;安値!P373,安値!O373&lt;安値!Q373),10,""))</f>
        <v/>
      </c>
      <c r="K373" s="503" t="str">
        <f>IF(終値!A373="","",IF(AND(安値!P373&lt;安値!O373,安値!P373&lt;安値!N373,安値!P373&lt;安値!Q373,安値!P373&lt;安値!R373),11,""))</f>
        <v/>
      </c>
      <c r="L373" s="503" t="str">
        <f>IF(終値!A373="","",IF(AND(安値!Q373&lt;安値!P373,安値!Q373&lt;安値!O373,安値!Q373&lt;安値!R373,安値!Q373&lt;安値!S373),12,""))</f>
        <v/>
      </c>
      <c r="M373" s="503" t="str">
        <f>IF(終値!A373="","",IF(AND(安値!R373&lt;安値!Q373,安値!R373&lt;安値!P373,安値!R373&lt;安値!S373,安値!R373&lt;安値!T373),13,""))</f>
        <v/>
      </c>
      <c r="N373" s="503" t="str">
        <f>IF(終値!A373="","",IF(AND(安値!S373&lt;安値!R373,安値!S373&lt;安値!Q373,安値!S373&lt;安値!T373,安値!S373&lt;安値!U373),14,""))</f>
        <v/>
      </c>
      <c r="O373" s="503" t="str">
        <f>IF(終値!A373="","",IF(AND(安値!T373&lt;安値!S373,安値!T373&lt;安値!R373,安値!T373&lt;安値!U373,安値!T373&lt;安値!V373),15,""))</f>
        <v/>
      </c>
      <c r="P373" s="503" t="str">
        <f>IF(終値!A373="","",IF(AND(安値!U373&lt;安値!T373,安値!U373&lt;安値!S373,安値!U373&lt;安値!V373,安値!U373&lt;安値!W373),16,""))</f>
        <v/>
      </c>
      <c r="Q373" s="503" t="str">
        <f>IF(終値!A373="","",IF(AND(安値!V373&lt;安値!U373,安値!V373&lt;安値!T373,安値!V373&lt;安値!W373,安値!V373&lt;安値!X373),17,""))</f>
        <v/>
      </c>
      <c r="R373" s="503" t="str">
        <f>IF(終値!A373="","",IF(AND(安値!W373&lt;安値!V373,安値!W373&lt;安値!U373,安値!W373&lt;安値!X373,安値!W373&lt;安値!Y373),18,""))</f>
        <v/>
      </c>
      <c r="S373" s="503" t="str">
        <f>IF(終値!A373="","",IF(AND(安値!X373&lt;安値!W373,安値!X373&lt;安値!V373,安値!X373&lt;安値!Y373,安値!X373&lt;安値!Z373),19,""))</f>
        <v/>
      </c>
      <c r="T373" s="503" t="str">
        <f>IF(終値!A373="","",IF(AND(安値!Y373&lt;安値!X373,安値!Y373&lt;安値!W373,安値!Y373&lt;安値!Z373,安値!Y373&lt;安値!AA373),20,""))</f>
        <v/>
      </c>
      <c r="U373" s="503" t="str">
        <f>IF(終値!A373="","",IF(AND(安値!Z373&lt;安値!Y373,安値!Z373&lt;安値!X373,安値!Z373&lt;安値!AA373,安値!Z373&lt;安値!AB373),21,""))</f>
        <v/>
      </c>
      <c r="V373" s="503" t="str">
        <f>IF(終値!A373="","",IF(AND(安値!AA373&lt;安値!Z373,安値!AA373&lt;安値!Y373,安値!AA373&lt;安値!AB373,安値!AA373&lt;安値!AC373),22,""))</f>
        <v/>
      </c>
      <c r="W373" s="503" t="str">
        <f>IF(終値!A373="","",IF(AND(安値!AB373&lt;安値!AA373,安値!AB373&lt;安値!Z373,安値!AB373&lt;安値!AC373,安値!AB373&lt;安値!AD373),23,""))</f>
        <v/>
      </c>
      <c r="X373" s="503" t="str">
        <f>IF(終値!A373="","",IF(AND(安値!AC373&lt;安値!AB373,安値!AC373&lt;安値!AA373,安値!AC373&lt;安値!AD373,安値!AC373&lt;安値!AE373),24,""))</f>
        <v/>
      </c>
      <c r="Y373" s="503" t="str">
        <f>IF(終値!A373="","",IF(AND(安値!AD373&lt;安値!AC373,安値!AD373&lt;安値!AB373,安値!AD373&lt;安値!AE373,安値!AD373&lt;安値!AF373),25,""))</f>
        <v/>
      </c>
      <c r="Z373" s="503" t="str">
        <f>IF(終値!A373="","",IF(AND(安値!AE373&lt;安値!AD373,安値!AE373&lt;安値!AC373,安値!AE373&lt;安値!AF373,安値!AE373&lt;安値!AG373),26,""))</f>
        <v/>
      </c>
      <c r="AA373" s="503" t="str">
        <f>IF(終値!A373="","",IF(AND(安値!AF373&lt;安値!AE373,安値!AF373&lt;安値!AD373,安値!AF373&lt;安値!AG373,安値!AF373&lt;安値!AH373),27,""))</f>
        <v/>
      </c>
      <c r="AB373" s="503" t="str">
        <f>IF(終値!A373="","",IF(AND(安値!AG373&lt;安値!AF373,安値!AG373&lt;安値!AE373,安値!AG373&lt;安値!AH373,安値!AG373&lt;安値!AI373),28,""))</f>
        <v/>
      </c>
      <c r="AC373" s="503" t="str">
        <f>IF(終値!A373="","",IF(AND(高値!G373&gt;高値!F373,高値!G373&gt;高値!E373,高値!G373&gt;高値!H373,高値!G373&gt;高値!I373),2,""))</f>
        <v/>
      </c>
      <c r="AD373" s="503" t="str">
        <f>IF(終値!A373="","",IF(AND(高値!H373&gt;高値!G373,高値!H373&gt;高値!F373,高値!H373&gt;高値!I373,高値!H373&gt;高値!J373),3,""))</f>
        <v/>
      </c>
      <c r="AE373" s="503" t="str">
        <f>IF(終値!A373="","",IF(AND(高値!I373&gt;高値!H373,高値!I373&gt;高値!G373,高値!I373&gt;高値!J373,高値!I373&gt;高値!K373),4,""))</f>
        <v/>
      </c>
      <c r="AF373" s="503" t="str">
        <f>IF(終値!A373="","",IF(AND(高値!J373&gt;高値!I373,高値!J373&gt;高値!H373,高値!J373&gt;高値!K373,高値!J373&gt;高値!L373),5,""))</f>
        <v/>
      </c>
      <c r="AG373" s="503" t="str">
        <f>IF(終値!A373="","",IF(AND(高値!K373&gt;高値!J373,高値!K373&gt;高値!I373,高値!K373&gt;高値!L373,高値!K373&gt;高値!M373),6,""))</f>
        <v/>
      </c>
      <c r="AH373" s="503" t="str">
        <f>IF(終値!A373="","",IF(AND(高値!L373&gt;高値!K373,高値!L373&gt;高値!J373,高値!L373&gt;高値!M373,高値!L373&gt;高値!N373),7,""))</f>
        <v/>
      </c>
      <c r="AI373" s="503" t="str">
        <f>IF(終値!A373="","",IF(AND(高値!M373&gt;高値!L373,高値!M373&gt;高値!K373,高値!M373&gt;高値!N373,高値!M373&gt;高値!O373),8,""))</f>
        <v/>
      </c>
      <c r="AJ373" s="503" t="str">
        <f>IF(終値!A373="","",IF(AND(高値!N373&gt;高値!M373,高値!N373&gt;高値!L373,高値!N373&gt;高値!O373,高値!N373&gt;高値!P373),9,""))</f>
        <v/>
      </c>
      <c r="AK373" s="503" t="str">
        <f>IF(終値!A373="","",IF(AND(高値!O373&gt;高値!N373,高値!O373&gt;高値!M373,高値!O373&gt;高値!P373,高値!O373&gt;高値!Q373),10,""))</f>
        <v/>
      </c>
      <c r="AL373" s="503" t="str">
        <f>IF(終値!A373="","",IF(AND(高値!P373&gt;高値!O373,高値!P373&gt;高値!N373,高値!P373&gt;高値!Q373,高値!P373&gt;高値!R373),11,""))</f>
        <v/>
      </c>
      <c r="AM373" s="503" t="str">
        <f>IF(終値!A373="","",IF(AND(高値!Q373&gt;高値!P373,高値!Q373&gt;高値!O373,高値!Q373&gt;高値!R373,高値!Q373&gt;高値!S373),12,""))</f>
        <v/>
      </c>
      <c r="AN373" s="503" t="str">
        <f>IF(終値!A373="","",IF(AND(高値!R373&gt;高値!Q373,高値!R373&gt;高値!P373,高値!R373&gt;高値!S373,高値!R373&gt;高値!T373),13,""))</f>
        <v/>
      </c>
      <c r="AO373" s="503" t="str">
        <f>IF(終値!A373="","",IF(AND(高値!S373&gt;高値!R373,高値!S373&gt;高値!Q373,高値!S373&gt;高値!T373,高値!S373&gt;高値!U373),14,""))</f>
        <v/>
      </c>
      <c r="AP373" s="503" t="str">
        <f>IF(終値!A373="","",IF(AND(高値!T373&gt;高値!S373,高値!T373&gt;高値!R373,高値!T373&gt;高値!U373,高値!T373&gt;高値!V373),15,""))</f>
        <v/>
      </c>
      <c r="AQ373" s="503" t="str">
        <f>IF(終値!A373="","",IF(AND(高値!U373&gt;高値!T373,高値!U373&gt;高値!S373,高値!U373&gt;高値!V373,高値!U373&gt;高値!W373),16,""))</f>
        <v/>
      </c>
      <c r="AR373" s="503" t="str">
        <f>IF(終値!A373="","",IF(AND(高値!V373&gt;高値!U373,高値!V373&gt;高値!T373,高値!V373&gt;高値!W373,高値!V373&gt;高値!X373),17,""))</f>
        <v/>
      </c>
      <c r="AS373" s="503" t="str">
        <f>IF(終値!A373="","",IF(AND(高値!W373&gt;高値!V373,高値!W373&gt;高値!U373,高値!W373&gt;高値!X373,高値!W373&gt;高値!Y373),18,""))</f>
        <v/>
      </c>
      <c r="AT373" s="503" t="str">
        <f>IF(終値!A373="","",IF(AND(高値!X373&gt;高値!W373,高値!X373&gt;高値!V373,高値!X373&gt;高値!Y373,高値!X373&gt;高値!Z373),19,""))</f>
        <v/>
      </c>
      <c r="AU373" s="503" t="str">
        <f>IF(終値!A373="","",IF(AND(高値!Y373&gt;高値!X373,高値!Y373&gt;高値!W373,高値!Y373&gt;高値!Z373,高値!Y373&gt;高値!AA373),20,""))</f>
        <v/>
      </c>
      <c r="AV373" s="503" t="str">
        <f>IF(終値!A373="","",IF(AND(高値!Z373&gt;高値!Y373,高値!Z373&gt;高値!X373,高値!Z373&gt;高値!AA373,高値!Z373&gt;高値!AB373),21,""))</f>
        <v/>
      </c>
      <c r="AW373" s="503" t="str">
        <f>IF(終値!A373="","",IF(AND(高値!AA373&gt;高値!Z373,高値!AA373&gt;高値!Y373,高値!AA373&gt;高値!AB373,高値!AA373&gt;高値!AC373),22,""))</f>
        <v/>
      </c>
      <c r="AX373" s="503" t="str">
        <f>IF(終値!A373="","",IF(AND(高値!AB373&gt;高値!AA373,高値!AB373&gt;高値!Z373,高値!AB373&gt;高値!AC373,高値!AB373&gt;高値!AD373),23,""))</f>
        <v/>
      </c>
      <c r="AY373" s="503" t="str">
        <f>IF(終値!A373="","",IF(AND(高値!AC373&gt;高値!AB373,高値!AC373&gt;高値!AA373,高値!AC373&gt;高値!AD373,高値!AC373&gt;高値!AE373),24,""))</f>
        <v/>
      </c>
      <c r="AZ373" s="503" t="str">
        <f>IF(終値!A373="","",IF(AND(高値!AD373&gt;高値!AC373,高値!AD373&gt;高値!AB373,高値!AD373&gt;高値!AE373,高値!AD373&gt;高値!AF373),25,""))</f>
        <v/>
      </c>
      <c r="BA373" s="503" t="str">
        <f>IF(終値!A373="","",IF(AND(高値!AE373&gt;高値!AD373,高値!AE373&gt;高値!AC373,高値!AE373&gt;高値!AF373,高値!AE373&gt;高値!AG373),26,""))</f>
        <v/>
      </c>
      <c r="BB373" s="503" t="str">
        <f>IF(終値!A373="","",IF(AND(高値!AF373&gt;高値!AE373,高値!AF373&gt;高値!AD373,高値!AF373&gt;高値!AG373,高値!AF373&gt;高値!AH373),27,""))</f>
        <v/>
      </c>
      <c r="BC373" s="503" t="str">
        <f>IF(終値!A373="","",IF(AND(高値!AG373&gt;高値!AF373,高値!AG373&gt;高値!AE373,高値!AG373&gt;高値!AH373,高値!AG373&gt;高値!AI373),28,""))</f>
        <v/>
      </c>
      <c r="BD373" s="503">
        <f t="shared" si="30"/>
        <v>0</v>
      </c>
      <c r="BE373" s="503" t="str">
        <f t="shared" si="31"/>
        <v/>
      </c>
      <c r="BF373" s="503" t="str">
        <f t="shared" si="32"/>
        <v/>
      </c>
      <c r="BG373" s="503" t="str">
        <f>IF($BE373="","",INDEX(安値!$E373:$CZ373,1,$BE373+1))</f>
        <v/>
      </c>
      <c r="BH373" s="503" t="str">
        <f>IF($BF373="","",INDEX(安値!$E373:$CZ373,1,$BF373+1))</f>
        <v/>
      </c>
      <c r="BI373" s="503" t="str">
        <f>IF($BF373="","",MAX(INDEX(高値!$E373:$CZ373,1,$BE373+1):INDEX(高値!$E373:$CZ373,1,$BF373+1)))</f>
        <v/>
      </c>
      <c r="BJ373" s="503" t="str">
        <f>IF($BF373="","",AVERAGE(INDEX(終値!$E373:$CZ373,1,$BF373+1):INDEX(終値!$E373:$CZ373,1,$BF373+20))-2*STDEVP(INDEX(終値!$E373:$CZ373,1,$BF373+1):INDEX(終値!$E373:$CZ373,1,$BF373+20)))</f>
        <v/>
      </c>
      <c r="BK373" s="503" t="str">
        <f>IF($BE373="","",AVERAGE(INDEX(終値!$E373:$CZ373,1,$BE373+1):INDEX(終値!$E373:$CZ373,1,$BE373+20))-2*STDEVP(INDEX(終値!$E373:$CZ373,1,$BE373+1):INDEX(終値!$E373:$CZ373,1,$BE373+20)))</f>
        <v/>
      </c>
      <c r="BL373" s="503">
        <f t="shared" si="33"/>
        <v>0</v>
      </c>
      <c r="BM373" s="503" t="str">
        <f t="shared" si="34"/>
        <v/>
      </c>
      <c r="BN373" s="503" t="str">
        <f t="shared" si="35"/>
        <v/>
      </c>
      <c r="BO373" s="503" t="str">
        <f>IF($BM373="","",INDEX(高値!$E373:$CZ373,1,$BM373+1))</f>
        <v/>
      </c>
      <c r="BP373" s="503" t="str">
        <f>IF($BN373="","",INDEX(高値!$E373:$CZ373,1,$BN373+1))</f>
        <v/>
      </c>
      <c r="BQ373" s="503" t="str">
        <f>IF($BN373="","",MIN(INDEX(安値!$E373:$CZ373,1,$BM373+1):INDEX(安値!$E373:$CZ373,1,$BN373+1)))</f>
        <v/>
      </c>
      <c r="BR373" s="503" t="str">
        <f>IF($BN373="","",AVERAGE(INDEX(終値!$E373:$CZ373,1,$BN373+1):INDEX(終値!$E373:$CZ373,1,$BN373+20))+2*STDEVP(INDEX(終値!$E373:$CZ373,1,$BN373+1):INDEX(終値!$E373:$CZ373,1,$BN373+20)))</f>
        <v/>
      </c>
      <c r="BS373" s="503" t="str">
        <f>IF($BM373="","",AVERAGE(INDEX(終値!$E373:$CZ373,1,$BM373+1):INDEX(終値!$E373:$CZ373,1,$BM373+20))+2*STDEVP(INDEX(終値!$E373:$CZ373,1,$BM373+1):INDEX(終値!$E373:$CZ373,1,$BM373+20)))</f>
        <v/>
      </c>
      <c r="BT373" s="500"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3" t="str">
        <f>IF(終値!A374="","",IF(AND(安値!G374&lt;安値!F374,安値!G374&lt;安値!E374,安値!G374&lt;安値!H374,安値!G374&lt;安値!I374),2,""))</f>
        <v/>
      </c>
      <c r="C374" s="503" t="str">
        <f>IF(終値!A374="","",IF(AND(安値!H374&lt;安値!G374,安値!H374&lt;安値!F374,安値!H374&lt;安値!I374,安値!H374&lt;安値!J374),3,""))</f>
        <v/>
      </c>
      <c r="D374" s="503" t="str">
        <f>IF(終値!A374="","",IF(AND(安値!I374&lt;安値!H374,安値!I374&lt;安値!G374,安値!I374&lt;安値!J374,安値!I374&lt;安値!K374),4,""))</f>
        <v/>
      </c>
      <c r="E374" s="503" t="str">
        <f>IF(終値!A374="","",IF(AND(安値!J374&lt;安値!I374,安値!J374&lt;安値!H374,安値!J374&lt;安値!K374,安値!J374&lt;安値!L374),5,""))</f>
        <v/>
      </c>
      <c r="F374" s="503" t="str">
        <f>IF(終値!A374="","",IF(AND(安値!K374&lt;安値!J374,安値!K374&lt;安値!I374,安値!K374&lt;安値!L374,安値!K374&lt;安値!M374),6,""))</f>
        <v/>
      </c>
      <c r="G374" s="503" t="str">
        <f>IF(終値!A374="","",IF(AND(安値!L374&lt;安値!K374,安値!L374&lt;安値!J374,安値!L374&lt;安値!M374,安値!L374&lt;安値!N374),7,""))</f>
        <v/>
      </c>
      <c r="H374" s="503" t="str">
        <f>IF(終値!A374="","",IF(AND(安値!M374&lt;安値!L374,安値!M374&lt;安値!K374,安値!M374&lt;安値!N374,安値!M374&lt;安値!O374),8,""))</f>
        <v/>
      </c>
      <c r="I374" s="503" t="str">
        <f>IF(終値!A374="","",IF(AND(安値!N374&lt;安値!M374,安値!N374&lt;安値!L374,安値!N374&lt;安値!O374,安値!N374&lt;安値!P374),9,""))</f>
        <v/>
      </c>
      <c r="J374" s="503" t="str">
        <f>IF(終値!A374="","",IF(AND(安値!O374&lt;安値!N374,安値!O374&lt;安値!M374,安値!O374&lt;安値!P374,安値!O374&lt;安値!Q374),10,""))</f>
        <v/>
      </c>
      <c r="K374" s="503" t="str">
        <f>IF(終値!A374="","",IF(AND(安値!P374&lt;安値!O374,安値!P374&lt;安値!N374,安値!P374&lt;安値!Q374,安値!P374&lt;安値!R374),11,""))</f>
        <v/>
      </c>
      <c r="L374" s="503" t="str">
        <f>IF(終値!A374="","",IF(AND(安値!Q374&lt;安値!P374,安値!Q374&lt;安値!O374,安値!Q374&lt;安値!R374,安値!Q374&lt;安値!S374),12,""))</f>
        <v/>
      </c>
      <c r="M374" s="503" t="str">
        <f>IF(終値!A374="","",IF(AND(安値!R374&lt;安値!Q374,安値!R374&lt;安値!P374,安値!R374&lt;安値!S374,安値!R374&lt;安値!T374),13,""))</f>
        <v/>
      </c>
      <c r="N374" s="503" t="str">
        <f>IF(終値!A374="","",IF(AND(安値!S374&lt;安値!R374,安値!S374&lt;安値!Q374,安値!S374&lt;安値!T374,安値!S374&lt;安値!U374),14,""))</f>
        <v/>
      </c>
      <c r="O374" s="503" t="str">
        <f>IF(終値!A374="","",IF(AND(安値!T374&lt;安値!S374,安値!T374&lt;安値!R374,安値!T374&lt;安値!U374,安値!T374&lt;安値!V374),15,""))</f>
        <v/>
      </c>
      <c r="P374" s="503" t="str">
        <f>IF(終値!A374="","",IF(AND(安値!U374&lt;安値!T374,安値!U374&lt;安値!S374,安値!U374&lt;安値!V374,安値!U374&lt;安値!W374),16,""))</f>
        <v/>
      </c>
      <c r="Q374" s="503" t="str">
        <f>IF(終値!A374="","",IF(AND(安値!V374&lt;安値!U374,安値!V374&lt;安値!T374,安値!V374&lt;安値!W374,安値!V374&lt;安値!X374),17,""))</f>
        <v/>
      </c>
      <c r="R374" s="503" t="str">
        <f>IF(終値!A374="","",IF(AND(安値!W374&lt;安値!V374,安値!W374&lt;安値!U374,安値!W374&lt;安値!X374,安値!W374&lt;安値!Y374),18,""))</f>
        <v/>
      </c>
      <c r="S374" s="503" t="str">
        <f>IF(終値!A374="","",IF(AND(安値!X374&lt;安値!W374,安値!X374&lt;安値!V374,安値!X374&lt;安値!Y374,安値!X374&lt;安値!Z374),19,""))</f>
        <v/>
      </c>
      <c r="T374" s="503" t="str">
        <f>IF(終値!A374="","",IF(AND(安値!Y374&lt;安値!X374,安値!Y374&lt;安値!W374,安値!Y374&lt;安値!Z374,安値!Y374&lt;安値!AA374),20,""))</f>
        <v/>
      </c>
      <c r="U374" s="503" t="str">
        <f>IF(終値!A374="","",IF(AND(安値!Z374&lt;安値!Y374,安値!Z374&lt;安値!X374,安値!Z374&lt;安値!AA374,安値!Z374&lt;安値!AB374),21,""))</f>
        <v/>
      </c>
      <c r="V374" s="503" t="str">
        <f>IF(終値!A374="","",IF(AND(安値!AA374&lt;安値!Z374,安値!AA374&lt;安値!Y374,安値!AA374&lt;安値!AB374,安値!AA374&lt;安値!AC374),22,""))</f>
        <v/>
      </c>
      <c r="W374" s="503" t="str">
        <f>IF(終値!A374="","",IF(AND(安値!AB374&lt;安値!AA374,安値!AB374&lt;安値!Z374,安値!AB374&lt;安値!AC374,安値!AB374&lt;安値!AD374),23,""))</f>
        <v/>
      </c>
      <c r="X374" s="503" t="str">
        <f>IF(終値!A374="","",IF(AND(安値!AC374&lt;安値!AB374,安値!AC374&lt;安値!AA374,安値!AC374&lt;安値!AD374,安値!AC374&lt;安値!AE374),24,""))</f>
        <v/>
      </c>
      <c r="Y374" s="503" t="str">
        <f>IF(終値!A374="","",IF(AND(安値!AD374&lt;安値!AC374,安値!AD374&lt;安値!AB374,安値!AD374&lt;安値!AE374,安値!AD374&lt;安値!AF374),25,""))</f>
        <v/>
      </c>
      <c r="Z374" s="503" t="str">
        <f>IF(終値!A374="","",IF(AND(安値!AE374&lt;安値!AD374,安値!AE374&lt;安値!AC374,安値!AE374&lt;安値!AF374,安値!AE374&lt;安値!AG374),26,""))</f>
        <v/>
      </c>
      <c r="AA374" s="503" t="str">
        <f>IF(終値!A374="","",IF(AND(安値!AF374&lt;安値!AE374,安値!AF374&lt;安値!AD374,安値!AF374&lt;安値!AG374,安値!AF374&lt;安値!AH374),27,""))</f>
        <v/>
      </c>
      <c r="AB374" s="503" t="str">
        <f>IF(終値!A374="","",IF(AND(安値!AG374&lt;安値!AF374,安値!AG374&lt;安値!AE374,安値!AG374&lt;安値!AH374,安値!AG374&lt;安値!AI374),28,""))</f>
        <v/>
      </c>
      <c r="AC374" s="503" t="str">
        <f>IF(終値!A374="","",IF(AND(高値!G374&gt;高値!F374,高値!G374&gt;高値!E374,高値!G374&gt;高値!H374,高値!G374&gt;高値!I374),2,""))</f>
        <v/>
      </c>
      <c r="AD374" s="503" t="str">
        <f>IF(終値!A374="","",IF(AND(高値!H374&gt;高値!G374,高値!H374&gt;高値!F374,高値!H374&gt;高値!I374,高値!H374&gt;高値!J374),3,""))</f>
        <v/>
      </c>
      <c r="AE374" s="503" t="str">
        <f>IF(終値!A374="","",IF(AND(高値!I374&gt;高値!H374,高値!I374&gt;高値!G374,高値!I374&gt;高値!J374,高値!I374&gt;高値!K374),4,""))</f>
        <v/>
      </c>
      <c r="AF374" s="503" t="str">
        <f>IF(終値!A374="","",IF(AND(高値!J374&gt;高値!I374,高値!J374&gt;高値!H374,高値!J374&gt;高値!K374,高値!J374&gt;高値!L374),5,""))</f>
        <v/>
      </c>
      <c r="AG374" s="503" t="str">
        <f>IF(終値!A374="","",IF(AND(高値!K374&gt;高値!J374,高値!K374&gt;高値!I374,高値!K374&gt;高値!L374,高値!K374&gt;高値!M374),6,""))</f>
        <v/>
      </c>
      <c r="AH374" s="503" t="str">
        <f>IF(終値!A374="","",IF(AND(高値!L374&gt;高値!K374,高値!L374&gt;高値!J374,高値!L374&gt;高値!M374,高値!L374&gt;高値!N374),7,""))</f>
        <v/>
      </c>
      <c r="AI374" s="503" t="str">
        <f>IF(終値!A374="","",IF(AND(高値!M374&gt;高値!L374,高値!M374&gt;高値!K374,高値!M374&gt;高値!N374,高値!M374&gt;高値!O374),8,""))</f>
        <v/>
      </c>
      <c r="AJ374" s="503" t="str">
        <f>IF(終値!A374="","",IF(AND(高値!N374&gt;高値!M374,高値!N374&gt;高値!L374,高値!N374&gt;高値!O374,高値!N374&gt;高値!P374),9,""))</f>
        <v/>
      </c>
      <c r="AK374" s="503" t="str">
        <f>IF(終値!A374="","",IF(AND(高値!O374&gt;高値!N374,高値!O374&gt;高値!M374,高値!O374&gt;高値!P374,高値!O374&gt;高値!Q374),10,""))</f>
        <v/>
      </c>
      <c r="AL374" s="503" t="str">
        <f>IF(終値!A374="","",IF(AND(高値!P374&gt;高値!O374,高値!P374&gt;高値!N374,高値!P374&gt;高値!Q374,高値!P374&gt;高値!R374),11,""))</f>
        <v/>
      </c>
      <c r="AM374" s="503" t="str">
        <f>IF(終値!A374="","",IF(AND(高値!Q374&gt;高値!P374,高値!Q374&gt;高値!O374,高値!Q374&gt;高値!R374,高値!Q374&gt;高値!S374),12,""))</f>
        <v/>
      </c>
      <c r="AN374" s="503" t="str">
        <f>IF(終値!A374="","",IF(AND(高値!R374&gt;高値!Q374,高値!R374&gt;高値!P374,高値!R374&gt;高値!S374,高値!R374&gt;高値!T374),13,""))</f>
        <v/>
      </c>
      <c r="AO374" s="503" t="str">
        <f>IF(終値!A374="","",IF(AND(高値!S374&gt;高値!R374,高値!S374&gt;高値!Q374,高値!S374&gt;高値!T374,高値!S374&gt;高値!U374),14,""))</f>
        <v/>
      </c>
      <c r="AP374" s="503" t="str">
        <f>IF(終値!A374="","",IF(AND(高値!T374&gt;高値!S374,高値!T374&gt;高値!R374,高値!T374&gt;高値!U374,高値!T374&gt;高値!V374),15,""))</f>
        <v/>
      </c>
      <c r="AQ374" s="503" t="str">
        <f>IF(終値!A374="","",IF(AND(高値!U374&gt;高値!T374,高値!U374&gt;高値!S374,高値!U374&gt;高値!V374,高値!U374&gt;高値!W374),16,""))</f>
        <v/>
      </c>
      <c r="AR374" s="503" t="str">
        <f>IF(終値!A374="","",IF(AND(高値!V374&gt;高値!U374,高値!V374&gt;高値!T374,高値!V374&gt;高値!W374,高値!V374&gt;高値!X374),17,""))</f>
        <v/>
      </c>
      <c r="AS374" s="503" t="str">
        <f>IF(終値!A374="","",IF(AND(高値!W374&gt;高値!V374,高値!W374&gt;高値!U374,高値!W374&gt;高値!X374,高値!W374&gt;高値!Y374),18,""))</f>
        <v/>
      </c>
      <c r="AT374" s="503" t="str">
        <f>IF(終値!A374="","",IF(AND(高値!X374&gt;高値!W374,高値!X374&gt;高値!V374,高値!X374&gt;高値!Y374,高値!X374&gt;高値!Z374),19,""))</f>
        <v/>
      </c>
      <c r="AU374" s="503" t="str">
        <f>IF(終値!A374="","",IF(AND(高値!Y374&gt;高値!X374,高値!Y374&gt;高値!W374,高値!Y374&gt;高値!Z374,高値!Y374&gt;高値!AA374),20,""))</f>
        <v/>
      </c>
      <c r="AV374" s="503" t="str">
        <f>IF(終値!A374="","",IF(AND(高値!Z374&gt;高値!Y374,高値!Z374&gt;高値!X374,高値!Z374&gt;高値!AA374,高値!Z374&gt;高値!AB374),21,""))</f>
        <v/>
      </c>
      <c r="AW374" s="503" t="str">
        <f>IF(終値!A374="","",IF(AND(高値!AA374&gt;高値!Z374,高値!AA374&gt;高値!Y374,高値!AA374&gt;高値!AB374,高値!AA374&gt;高値!AC374),22,""))</f>
        <v/>
      </c>
      <c r="AX374" s="503" t="str">
        <f>IF(終値!A374="","",IF(AND(高値!AB374&gt;高値!AA374,高値!AB374&gt;高値!Z374,高値!AB374&gt;高値!AC374,高値!AB374&gt;高値!AD374),23,""))</f>
        <v/>
      </c>
      <c r="AY374" s="503" t="str">
        <f>IF(終値!A374="","",IF(AND(高値!AC374&gt;高値!AB374,高値!AC374&gt;高値!AA374,高値!AC374&gt;高値!AD374,高値!AC374&gt;高値!AE374),24,""))</f>
        <v/>
      </c>
      <c r="AZ374" s="503" t="str">
        <f>IF(終値!A374="","",IF(AND(高値!AD374&gt;高値!AC374,高値!AD374&gt;高値!AB374,高値!AD374&gt;高値!AE374,高値!AD374&gt;高値!AF374),25,""))</f>
        <v/>
      </c>
      <c r="BA374" s="503" t="str">
        <f>IF(終値!A374="","",IF(AND(高値!AE374&gt;高値!AD374,高値!AE374&gt;高値!AC374,高値!AE374&gt;高値!AF374,高値!AE374&gt;高値!AG374),26,""))</f>
        <v/>
      </c>
      <c r="BB374" s="503" t="str">
        <f>IF(終値!A374="","",IF(AND(高値!AF374&gt;高値!AE374,高値!AF374&gt;高値!AD374,高値!AF374&gt;高値!AG374,高値!AF374&gt;高値!AH374),27,""))</f>
        <v/>
      </c>
      <c r="BC374" s="503" t="str">
        <f>IF(終値!A374="","",IF(AND(高値!AG374&gt;高値!AF374,高値!AG374&gt;高値!AE374,高値!AG374&gt;高値!AH374,高値!AG374&gt;高値!AI374),28,""))</f>
        <v/>
      </c>
      <c r="BD374" s="503">
        <f t="shared" si="30"/>
        <v>0</v>
      </c>
      <c r="BE374" s="503" t="str">
        <f t="shared" si="31"/>
        <v/>
      </c>
      <c r="BF374" s="503" t="str">
        <f t="shared" si="32"/>
        <v/>
      </c>
      <c r="BG374" s="503" t="str">
        <f>IF($BE374="","",INDEX(安値!$E374:$CZ374,1,$BE374+1))</f>
        <v/>
      </c>
      <c r="BH374" s="503" t="str">
        <f>IF($BF374="","",INDEX(安値!$E374:$CZ374,1,$BF374+1))</f>
        <v/>
      </c>
      <c r="BI374" s="503" t="str">
        <f>IF($BF374="","",MAX(INDEX(高値!$E374:$CZ374,1,$BE374+1):INDEX(高値!$E374:$CZ374,1,$BF374+1)))</f>
        <v/>
      </c>
      <c r="BJ374" s="503" t="str">
        <f>IF($BF374="","",AVERAGE(INDEX(終値!$E374:$CZ374,1,$BF374+1):INDEX(終値!$E374:$CZ374,1,$BF374+20))-2*STDEVP(INDEX(終値!$E374:$CZ374,1,$BF374+1):INDEX(終値!$E374:$CZ374,1,$BF374+20)))</f>
        <v/>
      </c>
      <c r="BK374" s="503" t="str">
        <f>IF($BE374="","",AVERAGE(INDEX(終値!$E374:$CZ374,1,$BE374+1):INDEX(終値!$E374:$CZ374,1,$BE374+20))-2*STDEVP(INDEX(終値!$E374:$CZ374,1,$BE374+1):INDEX(終値!$E374:$CZ374,1,$BE374+20)))</f>
        <v/>
      </c>
      <c r="BL374" s="503">
        <f t="shared" si="33"/>
        <v>0</v>
      </c>
      <c r="BM374" s="503" t="str">
        <f t="shared" si="34"/>
        <v/>
      </c>
      <c r="BN374" s="503" t="str">
        <f t="shared" si="35"/>
        <v/>
      </c>
      <c r="BO374" s="503" t="str">
        <f>IF($BM374="","",INDEX(高値!$E374:$CZ374,1,$BM374+1))</f>
        <v/>
      </c>
      <c r="BP374" s="503" t="str">
        <f>IF($BN374="","",INDEX(高値!$E374:$CZ374,1,$BN374+1))</f>
        <v/>
      </c>
      <c r="BQ374" s="503" t="str">
        <f>IF($BN374="","",MIN(INDEX(安値!$E374:$CZ374,1,$BM374+1):INDEX(安値!$E374:$CZ374,1,$BN374+1)))</f>
        <v/>
      </c>
      <c r="BR374" s="503" t="str">
        <f>IF($BN374="","",AVERAGE(INDEX(終値!$E374:$CZ374,1,$BN374+1):INDEX(終値!$E374:$CZ374,1,$BN374+20))+2*STDEVP(INDEX(終値!$E374:$CZ374,1,$BN374+1):INDEX(終値!$E374:$CZ374,1,$BN374+20)))</f>
        <v/>
      </c>
      <c r="BS374" s="503" t="str">
        <f>IF($BM374="","",AVERAGE(INDEX(終値!$E374:$CZ374,1,$BM374+1):INDEX(終値!$E374:$CZ374,1,$BM374+20))+2*STDEVP(INDEX(終値!$E374:$CZ374,1,$BM374+1):INDEX(終値!$E374:$CZ374,1,$BM374+20)))</f>
        <v/>
      </c>
      <c r="BT374" s="500"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3" t="str">
        <f>IF(終値!A375="","",IF(AND(安値!G375&lt;安値!F375,安値!G375&lt;安値!E375,安値!G375&lt;安値!H375,安値!G375&lt;安値!I375),2,""))</f>
        <v/>
      </c>
      <c r="C375" s="503" t="str">
        <f>IF(終値!A375="","",IF(AND(安値!H375&lt;安値!G375,安値!H375&lt;安値!F375,安値!H375&lt;安値!I375,安値!H375&lt;安値!J375),3,""))</f>
        <v/>
      </c>
      <c r="D375" s="503" t="str">
        <f>IF(終値!A375="","",IF(AND(安値!I375&lt;安値!H375,安値!I375&lt;安値!G375,安値!I375&lt;安値!J375,安値!I375&lt;安値!K375),4,""))</f>
        <v/>
      </c>
      <c r="E375" s="503" t="str">
        <f>IF(終値!A375="","",IF(AND(安値!J375&lt;安値!I375,安値!J375&lt;安値!H375,安値!J375&lt;安値!K375,安値!J375&lt;安値!L375),5,""))</f>
        <v/>
      </c>
      <c r="F375" s="503" t="str">
        <f>IF(終値!A375="","",IF(AND(安値!K375&lt;安値!J375,安値!K375&lt;安値!I375,安値!K375&lt;安値!L375,安値!K375&lt;安値!M375),6,""))</f>
        <v/>
      </c>
      <c r="G375" s="503" t="str">
        <f>IF(終値!A375="","",IF(AND(安値!L375&lt;安値!K375,安値!L375&lt;安値!J375,安値!L375&lt;安値!M375,安値!L375&lt;安値!N375),7,""))</f>
        <v/>
      </c>
      <c r="H375" s="503" t="str">
        <f>IF(終値!A375="","",IF(AND(安値!M375&lt;安値!L375,安値!M375&lt;安値!K375,安値!M375&lt;安値!N375,安値!M375&lt;安値!O375),8,""))</f>
        <v/>
      </c>
      <c r="I375" s="503" t="str">
        <f>IF(終値!A375="","",IF(AND(安値!N375&lt;安値!M375,安値!N375&lt;安値!L375,安値!N375&lt;安値!O375,安値!N375&lt;安値!P375),9,""))</f>
        <v/>
      </c>
      <c r="J375" s="503" t="str">
        <f>IF(終値!A375="","",IF(AND(安値!O375&lt;安値!N375,安値!O375&lt;安値!M375,安値!O375&lt;安値!P375,安値!O375&lt;安値!Q375),10,""))</f>
        <v/>
      </c>
      <c r="K375" s="503" t="str">
        <f>IF(終値!A375="","",IF(AND(安値!P375&lt;安値!O375,安値!P375&lt;安値!N375,安値!P375&lt;安値!Q375,安値!P375&lt;安値!R375),11,""))</f>
        <v/>
      </c>
      <c r="L375" s="503" t="str">
        <f>IF(終値!A375="","",IF(AND(安値!Q375&lt;安値!P375,安値!Q375&lt;安値!O375,安値!Q375&lt;安値!R375,安値!Q375&lt;安値!S375),12,""))</f>
        <v/>
      </c>
      <c r="M375" s="503" t="str">
        <f>IF(終値!A375="","",IF(AND(安値!R375&lt;安値!Q375,安値!R375&lt;安値!P375,安値!R375&lt;安値!S375,安値!R375&lt;安値!T375),13,""))</f>
        <v/>
      </c>
      <c r="N375" s="503" t="str">
        <f>IF(終値!A375="","",IF(AND(安値!S375&lt;安値!R375,安値!S375&lt;安値!Q375,安値!S375&lt;安値!T375,安値!S375&lt;安値!U375),14,""))</f>
        <v/>
      </c>
      <c r="O375" s="503" t="str">
        <f>IF(終値!A375="","",IF(AND(安値!T375&lt;安値!S375,安値!T375&lt;安値!R375,安値!T375&lt;安値!U375,安値!T375&lt;安値!V375),15,""))</f>
        <v/>
      </c>
      <c r="P375" s="503" t="str">
        <f>IF(終値!A375="","",IF(AND(安値!U375&lt;安値!T375,安値!U375&lt;安値!S375,安値!U375&lt;安値!V375,安値!U375&lt;安値!W375),16,""))</f>
        <v/>
      </c>
      <c r="Q375" s="503" t="str">
        <f>IF(終値!A375="","",IF(AND(安値!V375&lt;安値!U375,安値!V375&lt;安値!T375,安値!V375&lt;安値!W375,安値!V375&lt;安値!X375),17,""))</f>
        <v/>
      </c>
      <c r="R375" s="503" t="str">
        <f>IF(終値!A375="","",IF(AND(安値!W375&lt;安値!V375,安値!W375&lt;安値!U375,安値!W375&lt;安値!X375,安値!W375&lt;安値!Y375),18,""))</f>
        <v/>
      </c>
      <c r="S375" s="503" t="str">
        <f>IF(終値!A375="","",IF(AND(安値!X375&lt;安値!W375,安値!X375&lt;安値!V375,安値!X375&lt;安値!Y375,安値!X375&lt;安値!Z375),19,""))</f>
        <v/>
      </c>
      <c r="T375" s="503" t="str">
        <f>IF(終値!A375="","",IF(AND(安値!Y375&lt;安値!X375,安値!Y375&lt;安値!W375,安値!Y375&lt;安値!Z375,安値!Y375&lt;安値!AA375),20,""))</f>
        <v/>
      </c>
      <c r="U375" s="503" t="str">
        <f>IF(終値!A375="","",IF(AND(安値!Z375&lt;安値!Y375,安値!Z375&lt;安値!X375,安値!Z375&lt;安値!AA375,安値!Z375&lt;安値!AB375),21,""))</f>
        <v/>
      </c>
      <c r="V375" s="503" t="str">
        <f>IF(終値!A375="","",IF(AND(安値!AA375&lt;安値!Z375,安値!AA375&lt;安値!Y375,安値!AA375&lt;安値!AB375,安値!AA375&lt;安値!AC375),22,""))</f>
        <v/>
      </c>
      <c r="W375" s="503" t="str">
        <f>IF(終値!A375="","",IF(AND(安値!AB375&lt;安値!AA375,安値!AB375&lt;安値!Z375,安値!AB375&lt;安値!AC375,安値!AB375&lt;安値!AD375),23,""))</f>
        <v/>
      </c>
      <c r="X375" s="503" t="str">
        <f>IF(終値!A375="","",IF(AND(安値!AC375&lt;安値!AB375,安値!AC375&lt;安値!AA375,安値!AC375&lt;安値!AD375,安値!AC375&lt;安値!AE375),24,""))</f>
        <v/>
      </c>
      <c r="Y375" s="503" t="str">
        <f>IF(終値!A375="","",IF(AND(安値!AD375&lt;安値!AC375,安値!AD375&lt;安値!AB375,安値!AD375&lt;安値!AE375,安値!AD375&lt;安値!AF375),25,""))</f>
        <v/>
      </c>
      <c r="Z375" s="503" t="str">
        <f>IF(終値!A375="","",IF(AND(安値!AE375&lt;安値!AD375,安値!AE375&lt;安値!AC375,安値!AE375&lt;安値!AF375,安値!AE375&lt;安値!AG375),26,""))</f>
        <v/>
      </c>
      <c r="AA375" s="503" t="str">
        <f>IF(終値!A375="","",IF(AND(安値!AF375&lt;安値!AE375,安値!AF375&lt;安値!AD375,安値!AF375&lt;安値!AG375,安値!AF375&lt;安値!AH375),27,""))</f>
        <v/>
      </c>
      <c r="AB375" s="503" t="str">
        <f>IF(終値!A375="","",IF(AND(安値!AG375&lt;安値!AF375,安値!AG375&lt;安値!AE375,安値!AG375&lt;安値!AH375,安値!AG375&lt;安値!AI375),28,""))</f>
        <v/>
      </c>
      <c r="AC375" s="503" t="str">
        <f>IF(終値!A375="","",IF(AND(高値!G375&gt;高値!F375,高値!G375&gt;高値!E375,高値!G375&gt;高値!H375,高値!G375&gt;高値!I375),2,""))</f>
        <v/>
      </c>
      <c r="AD375" s="503" t="str">
        <f>IF(終値!A375="","",IF(AND(高値!H375&gt;高値!G375,高値!H375&gt;高値!F375,高値!H375&gt;高値!I375,高値!H375&gt;高値!J375),3,""))</f>
        <v/>
      </c>
      <c r="AE375" s="503" t="str">
        <f>IF(終値!A375="","",IF(AND(高値!I375&gt;高値!H375,高値!I375&gt;高値!G375,高値!I375&gt;高値!J375,高値!I375&gt;高値!K375),4,""))</f>
        <v/>
      </c>
      <c r="AF375" s="503" t="str">
        <f>IF(終値!A375="","",IF(AND(高値!J375&gt;高値!I375,高値!J375&gt;高値!H375,高値!J375&gt;高値!K375,高値!J375&gt;高値!L375),5,""))</f>
        <v/>
      </c>
      <c r="AG375" s="503" t="str">
        <f>IF(終値!A375="","",IF(AND(高値!K375&gt;高値!J375,高値!K375&gt;高値!I375,高値!K375&gt;高値!L375,高値!K375&gt;高値!M375),6,""))</f>
        <v/>
      </c>
      <c r="AH375" s="503" t="str">
        <f>IF(終値!A375="","",IF(AND(高値!L375&gt;高値!K375,高値!L375&gt;高値!J375,高値!L375&gt;高値!M375,高値!L375&gt;高値!N375),7,""))</f>
        <v/>
      </c>
      <c r="AI375" s="503" t="str">
        <f>IF(終値!A375="","",IF(AND(高値!M375&gt;高値!L375,高値!M375&gt;高値!K375,高値!M375&gt;高値!N375,高値!M375&gt;高値!O375),8,""))</f>
        <v/>
      </c>
      <c r="AJ375" s="503" t="str">
        <f>IF(終値!A375="","",IF(AND(高値!N375&gt;高値!M375,高値!N375&gt;高値!L375,高値!N375&gt;高値!O375,高値!N375&gt;高値!P375),9,""))</f>
        <v/>
      </c>
      <c r="AK375" s="503" t="str">
        <f>IF(終値!A375="","",IF(AND(高値!O375&gt;高値!N375,高値!O375&gt;高値!M375,高値!O375&gt;高値!P375,高値!O375&gt;高値!Q375),10,""))</f>
        <v/>
      </c>
      <c r="AL375" s="503" t="str">
        <f>IF(終値!A375="","",IF(AND(高値!P375&gt;高値!O375,高値!P375&gt;高値!N375,高値!P375&gt;高値!Q375,高値!P375&gt;高値!R375),11,""))</f>
        <v/>
      </c>
      <c r="AM375" s="503" t="str">
        <f>IF(終値!A375="","",IF(AND(高値!Q375&gt;高値!P375,高値!Q375&gt;高値!O375,高値!Q375&gt;高値!R375,高値!Q375&gt;高値!S375),12,""))</f>
        <v/>
      </c>
      <c r="AN375" s="503" t="str">
        <f>IF(終値!A375="","",IF(AND(高値!R375&gt;高値!Q375,高値!R375&gt;高値!P375,高値!R375&gt;高値!S375,高値!R375&gt;高値!T375),13,""))</f>
        <v/>
      </c>
      <c r="AO375" s="503" t="str">
        <f>IF(終値!A375="","",IF(AND(高値!S375&gt;高値!R375,高値!S375&gt;高値!Q375,高値!S375&gt;高値!T375,高値!S375&gt;高値!U375),14,""))</f>
        <v/>
      </c>
      <c r="AP375" s="503" t="str">
        <f>IF(終値!A375="","",IF(AND(高値!T375&gt;高値!S375,高値!T375&gt;高値!R375,高値!T375&gt;高値!U375,高値!T375&gt;高値!V375),15,""))</f>
        <v/>
      </c>
      <c r="AQ375" s="503" t="str">
        <f>IF(終値!A375="","",IF(AND(高値!U375&gt;高値!T375,高値!U375&gt;高値!S375,高値!U375&gt;高値!V375,高値!U375&gt;高値!W375),16,""))</f>
        <v/>
      </c>
      <c r="AR375" s="503" t="str">
        <f>IF(終値!A375="","",IF(AND(高値!V375&gt;高値!U375,高値!V375&gt;高値!T375,高値!V375&gt;高値!W375,高値!V375&gt;高値!X375),17,""))</f>
        <v/>
      </c>
      <c r="AS375" s="503" t="str">
        <f>IF(終値!A375="","",IF(AND(高値!W375&gt;高値!V375,高値!W375&gt;高値!U375,高値!W375&gt;高値!X375,高値!W375&gt;高値!Y375),18,""))</f>
        <v/>
      </c>
      <c r="AT375" s="503" t="str">
        <f>IF(終値!A375="","",IF(AND(高値!X375&gt;高値!W375,高値!X375&gt;高値!V375,高値!X375&gt;高値!Y375,高値!X375&gt;高値!Z375),19,""))</f>
        <v/>
      </c>
      <c r="AU375" s="503" t="str">
        <f>IF(終値!A375="","",IF(AND(高値!Y375&gt;高値!X375,高値!Y375&gt;高値!W375,高値!Y375&gt;高値!Z375,高値!Y375&gt;高値!AA375),20,""))</f>
        <v/>
      </c>
      <c r="AV375" s="503" t="str">
        <f>IF(終値!A375="","",IF(AND(高値!Z375&gt;高値!Y375,高値!Z375&gt;高値!X375,高値!Z375&gt;高値!AA375,高値!Z375&gt;高値!AB375),21,""))</f>
        <v/>
      </c>
      <c r="AW375" s="503" t="str">
        <f>IF(終値!A375="","",IF(AND(高値!AA375&gt;高値!Z375,高値!AA375&gt;高値!Y375,高値!AA375&gt;高値!AB375,高値!AA375&gt;高値!AC375),22,""))</f>
        <v/>
      </c>
      <c r="AX375" s="503" t="str">
        <f>IF(終値!A375="","",IF(AND(高値!AB375&gt;高値!AA375,高値!AB375&gt;高値!Z375,高値!AB375&gt;高値!AC375,高値!AB375&gt;高値!AD375),23,""))</f>
        <v/>
      </c>
      <c r="AY375" s="503" t="str">
        <f>IF(終値!A375="","",IF(AND(高値!AC375&gt;高値!AB375,高値!AC375&gt;高値!AA375,高値!AC375&gt;高値!AD375,高値!AC375&gt;高値!AE375),24,""))</f>
        <v/>
      </c>
      <c r="AZ375" s="503" t="str">
        <f>IF(終値!A375="","",IF(AND(高値!AD375&gt;高値!AC375,高値!AD375&gt;高値!AB375,高値!AD375&gt;高値!AE375,高値!AD375&gt;高値!AF375),25,""))</f>
        <v/>
      </c>
      <c r="BA375" s="503" t="str">
        <f>IF(終値!A375="","",IF(AND(高値!AE375&gt;高値!AD375,高値!AE375&gt;高値!AC375,高値!AE375&gt;高値!AF375,高値!AE375&gt;高値!AG375),26,""))</f>
        <v/>
      </c>
      <c r="BB375" s="503" t="str">
        <f>IF(終値!A375="","",IF(AND(高値!AF375&gt;高値!AE375,高値!AF375&gt;高値!AD375,高値!AF375&gt;高値!AG375,高値!AF375&gt;高値!AH375),27,""))</f>
        <v/>
      </c>
      <c r="BC375" s="503" t="str">
        <f>IF(終値!A375="","",IF(AND(高値!AG375&gt;高値!AF375,高値!AG375&gt;高値!AE375,高値!AG375&gt;高値!AH375,高値!AG375&gt;高値!AI375),28,""))</f>
        <v/>
      </c>
      <c r="BD375" s="503">
        <f t="shared" si="30"/>
        <v>0</v>
      </c>
      <c r="BE375" s="503" t="str">
        <f t="shared" si="31"/>
        <v/>
      </c>
      <c r="BF375" s="503" t="str">
        <f t="shared" si="32"/>
        <v/>
      </c>
      <c r="BG375" s="503" t="str">
        <f>IF($BE375="","",INDEX(安値!$E375:$CZ375,1,$BE375+1))</f>
        <v/>
      </c>
      <c r="BH375" s="503" t="str">
        <f>IF($BF375="","",INDEX(安値!$E375:$CZ375,1,$BF375+1))</f>
        <v/>
      </c>
      <c r="BI375" s="503" t="str">
        <f>IF($BF375="","",MAX(INDEX(高値!$E375:$CZ375,1,$BE375+1):INDEX(高値!$E375:$CZ375,1,$BF375+1)))</f>
        <v/>
      </c>
      <c r="BJ375" s="503" t="str">
        <f>IF($BF375="","",AVERAGE(INDEX(終値!$E375:$CZ375,1,$BF375+1):INDEX(終値!$E375:$CZ375,1,$BF375+20))-2*STDEVP(INDEX(終値!$E375:$CZ375,1,$BF375+1):INDEX(終値!$E375:$CZ375,1,$BF375+20)))</f>
        <v/>
      </c>
      <c r="BK375" s="503" t="str">
        <f>IF($BE375="","",AVERAGE(INDEX(終値!$E375:$CZ375,1,$BE375+1):INDEX(終値!$E375:$CZ375,1,$BE375+20))-2*STDEVP(INDEX(終値!$E375:$CZ375,1,$BE375+1):INDEX(終値!$E375:$CZ375,1,$BE375+20)))</f>
        <v/>
      </c>
      <c r="BL375" s="503">
        <f t="shared" si="33"/>
        <v>0</v>
      </c>
      <c r="BM375" s="503" t="str">
        <f t="shared" si="34"/>
        <v/>
      </c>
      <c r="BN375" s="503" t="str">
        <f t="shared" si="35"/>
        <v/>
      </c>
      <c r="BO375" s="503" t="str">
        <f>IF($BM375="","",INDEX(高値!$E375:$CZ375,1,$BM375+1))</f>
        <v/>
      </c>
      <c r="BP375" s="503" t="str">
        <f>IF($BN375="","",INDEX(高値!$E375:$CZ375,1,$BN375+1))</f>
        <v/>
      </c>
      <c r="BQ375" s="503" t="str">
        <f>IF($BN375="","",MIN(INDEX(安値!$E375:$CZ375,1,$BM375+1):INDEX(安値!$E375:$CZ375,1,$BN375+1)))</f>
        <v/>
      </c>
      <c r="BR375" s="503" t="str">
        <f>IF($BN375="","",AVERAGE(INDEX(終値!$E375:$CZ375,1,$BN375+1):INDEX(終値!$E375:$CZ375,1,$BN375+20))+2*STDEVP(INDEX(終値!$E375:$CZ375,1,$BN375+1):INDEX(終値!$E375:$CZ375,1,$BN375+20)))</f>
        <v/>
      </c>
      <c r="BS375" s="503" t="str">
        <f>IF($BM375="","",AVERAGE(INDEX(終値!$E375:$CZ375,1,$BM375+1):INDEX(終値!$E375:$CZ375,1,$BM375+20))+2*STDEVP(INDEX(終値!$E375:$CZ375,1,$BM375+1):INDEX(終値!$E375:$CZ375,1,$BM375+20)))</f>
        <v/>
      </c>
      <c r="BT375" s="500"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3" t="str">
        <f>IF(終値!A376="","",IF(AND(安値!G376&lt;安値!F376,安値!G376&lt;安値!E376,安値!G376&lt;安値!H376,安値!G376&lt;安値!I376),2,""))</f>
        <v/>
      </c>
      <c r="C376" s="503" t="str">
        <f>IF(終値!A376="","",IF(AND(安値!H376&lt;安値!G376,安値!H376&lt;安値!F376,安値!H376&lt;安値!I376,安値!H376&lt;安値!J376),3,""))</f>
        <v/>
      </c>
      <c r="D376" s="503" t="str">
        <f>IF(終値!A376="","",IF(AND(安値!I376&lt;安値!H376,安値!I376&lt;安値!G376,安値!I376&lt;安値!J376,安値!I376&lt;安値!K376),4,""))</f>
        <v/>
      </c>
      <c r="E376" s="503" t="str">
        <f>IF(終値!A376="","",IF(AND(安値!J376&lt;安値!I376,安値!J376&lt;安値!H376,安値!J376&lt;安値!K376,安値!J376&lt;安値!L376),5,""))</f>
        <v/>
      </c>
      <c r="F376" s="503" t="str">
        <f>IF(終値!A376="","",IF(AND(安値!K376&lt;安値!J376,安値!K376&lt;安値!I376,安値!K376&lt;安値!L376,安値!K376&lt;安値!M376),6,""))</f>
        <v/>
      </c>
      <c r="G376" s="503" t="str">
        <f>IF(終値!A376="","",IF(AND(安値!L376&lt;安値!K376,安値!L376&lt;安値!J376,安値!L376&lt;安値!M376,安値!L376&lt;安値!N376),7,""))</f>
        <v/>
      </c>
      <c r="H376" s="503" t="str">
        <f>IF(終値!A376="","",IF(AND(安値!M376&lt;安値!L376,安値!M376&lt;安値!K376,安値!M376&lt;安値!N376,安値!M376&lt;安値!O376),8,""))</f>
        <v/>
      </c>
      <c r="I376" s="503" t="str">
        <f>IF(終値!A376="","",IF(AND(安値!N376&lt;安値!M376,安値!N376&lt;安値!L376,安値!N376&lt;安値!O376,安値!N376&lt;安値!P376),9,""))</f>
        <v/>
      </c>
      <c r="J376" s="503" t="str">
        <f>IF(終値!A376="","",IF(AND(安値!O376&lt;安値!N376,安値!O376&lt;安値!M376,安値!O376&lt;安値!P376,安値!O376&lt;安値!Q376),10,""))</f>
        <v/>
      </c>
      <c r="K376" s="503" t="str">
        <f>IF(終値!A376="","",IF(AND(安値!P376&lt;安値!O376,安値!P376&lt;安値!N376,安値!P376&lt;安値!Q376,安値!P376&lt;安値!R376),11,""))</f>
        <v/>
      </c>
      <c r="L376" s="503" t="str">
        <f>IF(終値!A376="","",IF(AND(安値!Q376&lt;安値!P376,安値!Q376&lt;安値!O376,安値!Q376&lt;安値!R376,安値!Q376&lt;安値!S376),12,""))</f>
        <v/>
      </c>
      <c r="M376" s="503" t="str">
        <f>IF(終値!A376="","",IF(AND(安値!R376&lt;安値!Q376,安値!R376&lt;安値!P376,安値!R376&lt;安値!S376,安値!R376&lt;安値!T376),13,""))</f>
        <v/>
      </c>
      <c r="N376" s="503" t="str">
        <f>IF(終値!A376="","",IF(AND(安値!S376&lt;安値!R376,安値!S376&lt;安値!Q376,安値!S376&lt;安値!T376,安値!S376&lt;安値!U376),14,""))</f>
        <v/>
      </c>
      <c r="O376" s="503" t="str">
        <f>IF(終値!A376="","",IF(AND(安値!T376&lt;安値!S376,安値!T376&lt;安値!R376,安値!T376&lt;安値!U376,安値!T376&lt;安値!V376),15,""))</f>
        <v/>
      </c>
      <c r="P376" s="503" t="str">
        <f>IF(終値!A376="","",IF(AND(安値!U376&lt;安値!T376,安値!U376&lt;安値!S376,安値!U376&lt;安値!V376,安値!U376&lt;安値!W376),16,""))</f>
        <v/>
      </c>
      <c r="Q376" s="503" t="str">
        <f>IF(終値!A376="","",IF(AND(安値!V376&lt;安値!U376,安値!V376&lt;安値!T376,安値!V376&lt;安値!W376,安値!V376&lt;安値!X376),17,""))</f>
        <v/>
      </c>
      <c r="R376" s="503" t="str">
        <f>IF(終値!A376="","",IF(AND(安値!W376&lt;安値!V376,安値!W376&lt;安値!U376,安値!W376&lt;安値!X376,安値!W376&lt;安値!Y376),18,""))</f>
        <v/>
      </c>
      <c r="S376" s="503" t="str">
        <f>IF(終値!A376="","",IF(AND(安値!X376&lt;安値!W376,安値!X376&lt;安値!V376,安値!X376&lt;安値!Y376,安値!X376&lt;安値!Z376),19,""))</f>
        <v/>
      </c>
      <c r="T376" s="503" t="str">
        <f>IF(終値!A376="","",IF(AND(安値!Y376&lt;安値!X376,安値!Y376&lt;安値!W376,安値!Y376&lt;安値!Z376,安値!Y376&lt;安値!AA376),20,""))</f>
        <v/>
      </c>
      <c r="U376" s="503" t="str">
        <f>IF(終値!A376="","",IF(AND(安値!Z376&lt;安値!Y376,安値!Z376&lt;安値!X376,安値!Z376&lt;安値!AA376,安値!Z376&lt;安値!AB376),21,""))</f>
        <v/>
      </c>
      <c r="V376" s="503" t="str">
        <f>IF(終値!A376="","",IF(AND(安値!AA376&lt;安値!Z376,安値!AA376&lt;安値!Y376,安値!AA376&lt;安値!AB376,安値!AA376&lt;安値!AC376),22,""))</f>
        <v/>
      </c>
      <c r="W376" s="503" t="str">
        <f>IF(終値!A376="","",IF(AND(安値!AB376&lt;安値!AA376,安値!AB376&lt;安値!Z376,安値!AB376&lt;安値!AC376,安値!AB376&lt;安値!AD376),23,""))</f>
        <v/>
      </c>
      <c r="X376" s="503" t="str">
        <f>IF(終値!A376="","",IF(AND(安値!AC376&lt;安値!AB376,安値!AC376&lt;安値!AA376,安値!AC376&lt;安値!AD376,安値!AC376&lt;安値!AE376),24,""))</f>
        <v/>
      </c>
      <c r="Y376" s="503" t="str">
        <f>IF(終値!A376="","",IF(AND(安値!AD376&lt;安値!AC376,安値!AD376&lt;安値!AB376,安値!AD376&lt;安値!AE376,安値!AD376&lt;安値!AF376),25,""))</f>
        <v/>
      </c>
      <c r="Z376" s="503" t="str">
        <f>IF(終値!A376="","",IF(AND(安値!AE376&lt;安値!AD376,安値!AE376&lt;安値!AC376,安値!AE376&lt;安値!AF376,安値!AE376&lt;安値!AG376),26,""))</f>
        <v/>
      </c>
      <c r="AA376" s="503" t="str">
        <f>IF(終値!A376="","",IF(AND(安値!AF376&lt;安値!AE376,安値!AF376&lt;安値!AD376,安値!AF376&lt;安値!AG376,安値!AF376&lt;安値!AH376),27,""))</f>
        <v/>
      </c>
      <c r="AB376" s="503" t="str">
        <f>IF(終値!A376="","",IF(AND(安値!AG376&lt;安値!AF376,安値!AG376&lt;安値!AE376,安値!AG376&lt;安値!AH376,安値!AG376&lt;安値!AI376),28,""))</f>
        <v/>
      </c>
      <c r="AC376" s="503" t="str">
        <f>IF(終値!A376="","",IF(AND(高値!G376&gt;高値!F376,高値!G376&gt;高値!E376,高値!G376&gt;高値!H376,高値!G376&gt;高値!I376),2,""))</f>
        <v/>
      </c>
      <c r="AD376" s="503" t="str">
        <f>IF(終値!A376="","",IF(AND(高値!H376&gt;高値!G376,高値!H376&gt;高値!F376,高値!H376&gt;高値!I376,高値!H376&gt;高値!J376),3,""))</f>
        <v/>
      </c>
      <c r="AE376" s="503" t="str">
        <f>IF(終値!A376="","",IF(AND(高値!I376&gt;高値!H376,高値!I376&gt;高値!G376,高値!I376&gt;高値!J376,高値!I376&gt;高値!K376),4,""))</f>
        <v/>
      </c>
      <c r="AF376" s="503" t="str">
        <f>IF(終値!A376="","",IF(AND(高値!J376&gt;高値!I376,高値!J376&gt;高値!H376,高値!J376&gt;高値!K376,高値!J376&gt;高値!L376),5,""))</f>
        <v/>
      </c>
      <c r="AG376" s="503" t="str">
        <f>IF(終値!A376="","",IF(AND(高値!K376&gt;高値!J376,高値!K376&gt;高値!I376,高値!K376&gt;高値!L376,高値!K376&gt;高値!M376),6,""))</f>
        <v/>
      </c>
      <c r="AH376" s="503" t="str">
        <f>IF(終値!A376="","",IF(AND(高値!L376&gt;高値!K376,高値!L376&gt;高値!J376,高値!L376&gt;高値!M376,高値!L376&gt;高値!N376),7,""))</f>
        <v/>
      </c>
      <c r="AI376" s="503" t="str">
        <f>IF(終値!A376="","",IF(AND(高値!M376&gt;高値!L376,高値!M376&gt;高値!K376,高値!M376&gt;高値!N376,高値!M376&gt;高値!O376),8,""))</f>
        <v/>
      </c>
      <c r="AJ376" s="503" t="str">
        <f>IF(終値!A376="","",IF(AND(高値!N376&gt;高値!M376,高値!N376&gt;高値!L376,高値!N376&gt;高値!O376,高値!N376&gt;高値!P376),9,""))</f>
        <v/>
      </c>
      <c r="AK376" s="503" t="str">
        <f>IF(終値!A376="","",IF(AND(高値!O376&gt;高値!N376,高値!O376&gt;高値!M376,高値!O376&gt;高値!P376,高値!O376&gt;高値!Q376),10,""))</f>
        <v/>
      </c>
      <c r="AL376" s="503" t="str">
        <f>IF(終値!A376="","",IF(AND(高値!P376&gt;高値!O376,高値!P376&gt;高値!N376,高値!P376&gt;高値!Q376,高値!P376&gt;高値!R376),11,""))</f>
        <v/>
      </c>
      <c r="AM376" s="503" t="str">
        <f>IF(終値!A376="","",IF(AND(高値!Q376&gt;高値!P376,高値!Q376&gt;高値!O376,高値!Q376&gt;高値!R376,高値!Q376&gt;高値!S376),12,""))</f>
        <v/>
      </c>
      <c r="AN376" s="503" t="str">
        <f>IF(終値!A376="","",IF(AND(高値!R376&gt;高値!Q376,高値!R376&gt;高値!P376,高値!R376&gt;高値!S376,高値!R376&gt;高値!T376),13,""))</f>
        <v/>
      </c>
      <c r="AO376" s="503" t="str">
        <f>IF(終値!A376="","",IF(AND(高値!S376&gt;高値!R376,高値!S376&gt;高値!Q376,高値!S376&gt;高値!T376,高値!S376&gt;高値!U376),14,""))</f>
        <v/>
      </c>
      <c r="AP376" s="503" t="str">
        <f>IF(終値!A376="","",IF(AND(高値!T376&gt;高値!S376,高値!T376&gt;高値!R376,高値!T376&gt;高値!U376,高値!T376&gt;高値!V376),15,""))</f>
        <v/>
      </c>
      <c r="AQ376" s="503" t="str">
        <f>IF(終値!A376="","",IF(AND(高値!U376&gt;高値!T376,高値!U376&gt;高値!S376,高値!U376&gt;高値!V376,高値!U376&gt;高値!W376),16,""))</f>
        <v/>
      </c>
      <c r="AR376" s="503" t="str">
        <f>IF(終値!A376="","",IF(AND(高値!V376&gt;高値!U376,高値!V376&gt;高値!T376,高値!V376&gt;高値!W376,高値!V376&gt;高値!X376),17,""))</f>
        <v/>
      </c>
      <c r="AS376" s="503" t="str">
        <f>IF(終値!A376="","",IF(AND(高値!W376&gt;高値!V376,高値!W376&gt;高値!U376,高値!W376&gt;高値!X376,高値!W376&gt;高値!Y376),18,""))</f>
        <v/>
      </c>
      <c r="AT376" s="503" t="str">
        <f>IF(終値!A376="","",IF(AND(高値!X376&gt;高値!W376,高値!X376&gt;高値!V376,高値!X376&gt;高値!Y376,高値!X376&gt;高値!Z376),19,""))</f>
        <v/>
      </c>
      <c r="AU376" s="503" t="str">
        <f>IF(終値!A376="","",IF(AND(高値!Y376&gt;高値!X376,高値!Y376&gt;高値!W376,高値!Y376&gt;高値!Z376,高値!Y376&gt;高値!AA376),20,""))</f>
        <v/>
      </c>
      <c r="AV376" s="503" t="str">
        <f>IF(終値!A376="","",IF(AND(高値!Z376&gt;高値!Y376,高値!Z376&gt;高値!X376,高値!Z376&gt;高値!AA376,高値!Z376&gt;高値!AB376),21,""))</f>
        <v/>
      </c>
      <c r="AW376" s="503" t="str">
        <f>IF(終値!A376="","",IF(AND(高値!AA376&gt;高値!Z376,高値!AA376&gt;高値!Y376,高値!AA376&gt;高値!AB376,高値!AA376&gt;高値!AC376),22,""))</f>
        <v/>
      </c>
      <c r="AX376" s="503" t="str">
        <f>IF(終値!A376="","",IF(AND(高値!AB376&gt;高値!AA376,高値!AB376&gt;高値!Z376,高値!AB376&gt;高値!AC376,高値!AB376&gt;高値!AD376),23,""))</f>
        <v/>
      </c>
      <c r="AY376" s="503" t="str">
        <f>IF(終値!A376="","",IF(AND(高値!AC376&gt;高値!AB376,高値!AC376&gt;高値!AA376,高値!AC376&gt;高値!AD376,高値!AC376&gt;高値!AE376),24,""))</f>
        <v/>
      </c>
      <c r="AZ376" s="503" t="str">
        <f>IF(終値!A376="","",IF(AND(高値!AD376&gt;高値!AC376,高値!AD376&gt;高値!AB376,高値!AD376&gt;高値!AE376,高値!AD376&gt;高値!AF376),25,""))</f>
        <v/>
      </c>
      <c r="BA376" s="503" t="str">
        <f>IF(終値!A376="","",IF(AND(高値!AE376&gt;高値!AD376,高値!AE376&gt;高値!AC376,高値!AE376&gt;高値!AF376,高値!AE376&gt;高値!AG376),26,""))</f>
        <v/>
      </c>
      <c r="BB376" s="503" t="str">
        <f>IF(終値!A376="","",IF(AND(高値!AF376&gt;高値!AE376,高値!AF376&gt;高値!AD376,高値!AF376&gt;高値!AG376,高値!AF376&gt;高値!AH376),27,""))</f>
        <v/>
      </c>
      <c r="BC376" s="503" t="str">
        <f>IF(終値!A376="","",IF(AND(高値!AG376&gt;高値!AF376,高値!AG376&gt;高値!AE376,高値!AG376&gt;高値!AH376,高値!AG376&gt;高値!AI376),28,""))</f>
        <v/>
      </c>
      <c r="BD376" s="503">
        <f t="shared" si="30"/>
        <v>0</v>
      </c>
      <c r="BE376" s="503" t="str">
        <f t="shared" si="31"/>
        <v/>
      </c>
      <c r="BF376" s="503" t="str">
        <f t="shared" si="32"/>
        <v/>
      </c>
      <c r="BG376" s="503" t="str">
        <f>IF($BE376="","",INDEX(安値!$E376:$CZ376,1,$BE376+1))</f>
        <v/>
      </c>
      <c r="BH376" s="503" t="str">
        <f>IF($BF376="","",INDEX(安値!$E376:$CZ376,1,$BF376+1))</f>
        <v/>
      </c>
      <c r="BI376" s="503" t="str">
        <f>IF($BF376="","",MAX(INDEX(高値!$E376:$CZ376,1,$BE376+1):INDEX(高値!$E376:$CZ376,1,$BF376+1)))</f>
        <v/>
      </c>
      <c r="BJ376" s="503" t="str">
        <f>IF($BF376="","",AVERAGE(INDEX(終値!$E376:$CZ376,1,$BF376+1):INDEX(終値!$E376:$CZ376,1,$BF376+20))-2*STDEVP(INDEX(終値!$E376:$CZ376,1,$BF376+1):INDEX(終値!$E376:$CZ376,1,$BF376+20)))</f>
        <v/>
      </c>
      <c r="BK376" s="503" t="str">
        <f>IF($BE376="","",AVERAGE(INDEX(終値!$E376:$CZ376,1,$BE376+1):INDEX(終値!$E376:$CZ376,1,$BE376+20))-2*STDEVP(INDEX(終値!$E376:$CZ376,1,$BE376+1):INDEX(終値!$E376:$CZ376,1,$BE376+20)))</f>
        <v/>
      </c>
      <c r="BL376" s="503">
        <f t="shared" si="33"/>
        <v>0</v>
      </c>
      <c r="BM376" s="503" t="str">
        <f t="shared" si="34"/>
        <v/>
      </c>
      <c r="BN376" s="503" t="str">
        <f t="shared" si="35"/>
        <v/>
      </c>
      <c r="BO376" s="503" t="str">
        <f>IF($BM376="","",INDEX(高値!$E376:$CZ376,1,$BM376+1))</f>
        <v/>
      </c>
      <c r="BP376" s="503" t="str">
        <f>IF($BN376="","",INDEX(高値!$E376:$CZ376,1,$BN376+1))</f>
        <v/>
      </c>
      <c r="BQ376" s="503" t="str">
        <f>IF($BN376="","",MIN(INDEX(安値!$E376:$CZ376,1,$BM376+1):INDEX(安値!$E376:$CZ376,1,$BN376+1)))</f>
        <v/>
      </c>
      <c r="BR376" s="503" t="str">
        <f>IF($BN376="","",AVERAGE(INDEX(終値!$E376:$CZ376,1,$BN376+1):INDEX(終値!$E376:$CZ376,1,$BN376+20))+2*STDEVP(INDEX(終値!$E376:$CZ376,1,$BN376+1):INDEX(終値!$E376:$CZ376,1,$BN376+20)))</f>
        <v/>
      </c>
      <c r="BS376" s="503" t="str">
        <f>IF($BM376="","",AVERAGE(INDEX(終値!$E376:$CZ376,1,$BM376+1):INDEX(終値!$E376:$CZ376,1,$BM376+20))+2*STDEVP(INDEX(終値!$E376:$CZ376,1,$BM376+1):INDEX(終値!$E376:$CZ376,1,$BM376+20)))</f>
        <v/>
      </c>
      <c r="BT376" s="500"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3" t="str">
        <f>IF(終値!A377="","",IF(AND(安値!G377&lt;安値!F377,安値!G377&lt;安値!E377,安値!G377&lt;安値!H377,安値!G377&lt;安値!I377),2,""))</f>
        <v/>
      </c>
      <c r="C377" s="503" t="str">
        <f>IF(終値!A377="","",IF(AND(安値!H377&lt;安値!G377,安値!H377&lt;安値!F377,安値!H377&lt;安値!I377,安値!H377&lt;安値!J377),3,""))</f>
        <v/>
      </c>
      <c r="D377" s="503" t="str">
        <f>IF(終値!A377="","",IF(AND(安値!I377&lt;安値!H377,安値!I377&lt;安値!G377,安値!I377&lt;安値!J377,安値!I377&lt;安値!K377),4,""))</f>
        <v/>
      </c>
      <c r="E377" s="503" t="str">
        <f>IF(終値!A377="","",IF(AND(安値!J377&lt;安値!I377,安値!J377&lt;安値!H377,安値!J377&lt;安値!K377,安値!J377&lt;安値!L377),5,""))</f>
        <v/>
      </c>
      <c r="F377" s="503" t="str">
        <f>IF(終値!A377="","",IF(AND(安値!K377&lt;安値!J377,安値!K377&lt;安値!I377,安値!K377&lt;安値!L377,安値!K377&lt;安値!M377),6,""))</f>
        <v/>
      </c>
      <c r="G377" s="503" t="str">
        <f>IF(終値!A377="","",IF(AND(安値!L377&lt;安値!K377,安値!L377&lt;安値!J377,安値!L377&lt;安値!M377,安値!L377&lt;安値!N377),7,""))</f>
        <v/>
      </c>
      <c r="H377" s="503" t="str">
        <f>IF(終値!A377="","",IF(AND(安値!M377&lt;安値!L377,安値!M377&lt;安値!K377,安値!M377&lt;安値!N377,安値!M377&lt;安値!O377),8,""))</f>
        <v/>
      </c>
      <c r="I377" s="503" t="str">
        <f>IF(終値!A377="","",IF(AND(安値!N377&lt;安値!M377,安値!N377&lt;安値!L377,安値!N377&lt;安値!O377,安値!N377&lt;安値!P377),9,""))</f>
        <v/>
      </c>
      <c r="J377" s="503" t="str">
        <f>IF(終値!A377="","",IF(AND(安値!O377&lt;安値!N377,安値!O377&lt;安値!M377,安値!O377&lt;安値!P377,安値!O377&lt;安値!Q377),10,""))</f>
        <v/>
      </c>
      <c r="K377" s="503" t="str">
        <f>IF(終値!A377="","",IF(AND(安値!P377&lt;安値!O377,安値!P377&lt;安値!N377,安値!P377&lt;安値!Q377,安値!P377&lt;安値!R377),11,""))</f>
        <v/>
      </c>
      <c r="L377" s="503" t="str">
        <f>IF(終値!A377="","",IF(AND(安値!Q377&lt;安値!P377,安値!Q377&lt;安値!O377,安値!Q377&lt;安値!R377,安値!Q377&lt;安値!S377),12,""))</f>
        <v/>
      </c>
      <c r="M377" s="503" t="str">
        <f>IF(終値!A377="","",IF(AND(安値!R377&lt;安値!Q377,安値!R377&lt;安値!P377,安値!R377&lt;安値!S377,安値!R377&lt;安値!T377),13,""))</f>
        <v/>
      </c>
      <c r="N377" s="503" t="str">
        <f>IF(終値!A377="","",IF(AND(安値!S377&lt;安値!R377,安値!S377&lt;安値!Q377,安値!S377&lt;安値!T377,安値!S377&lt;安値!U377),14,""))</f>
        <v/>
      </c>
      <c r="O377" s="503" t="str">
        <f>IF(終値!A377="","",IF(AND(安値!T377&lt;安値!S377,安値!T377&lt;安値!R377,安値!T377&lt;安値!U377,安値!T377&lt;安値!V377),15,""))</f>
        <v/>
      </c>
      <c r="P377" s="503" t="str">
        <f>IF(終値!A377="","",IF(AND(安値!U377&lt;安値!T377,安値!U377&lt;安値!S377,安値!U377&lt;安値!V377,安値!U377&lt;安値!W377),16,""))</f>
        <v/>
      </c>
      <c r="Q377" s="503" t="str">
        <f>IF(終値!A377="","",IF(AND(安値!V377&lt;安値!U377,安値!V377&lt;安値!T377,安値!V377&lt;安値!W377,安値!V377&lt;安値!X377),17,""))</f>
        <v/>
      </c>
      <c r="R377" s="503" t="str">
        <f>IF(終値!A377="","",IF(AND(安値!W377&lt;安値!V377,安値!W377&lt;安値!U377,安値!W377&lt;安値!X377,安値!W377&lt;安値!Y377),18,""))</f>
        <v/>
      </c>
      <c r="S377" s="503" t="str">
        <f>IF(終値!A377="","",IF(AND(安値!X377&lt;安値!W377,安値!X377&lt;安値!V377,安値!X377&lt;安値!Y377,安値!X377&lt;安値!Z377),19,""))</f>
        <v/>
      </c>
      <c r="T377" s="503" t="str">
        <f>IF(終値!A377="","",IF(AND(安値!Y377&lt;安値!X377,安値!Y377&lt;安値!W377,安値!Y377&lt;安値!Z377,安値!Y377&lt;安値!AA377),20,""))</f>
        <v/>
      </c>
      <c r="U377" s="503" t="str">
        <f>IF(終値!A377="","",IF(AND(安値!Z377&lt;安値!Y377,安値!Z377&lt;安値!X377,安値!Z377&lt;安値!AA377,安値!Z377&lt;安値!AB377),21,""))</f>
        <v/>
      </c>
      <c r="V377" s="503" t="str">
        <f>IF(終値!A377="","",IF(AND(安値!AA377&lt;安値!Z377,安値!AA377&lt;安値!Y377,安値!AA377&lt;安値!AB377,安値!AA377&lt;安値!AC377),22,""))</f>
        <v/>
      </c>
      <c r="W377" s="503" t="str">
        <f>IF(終値!A377="","",IF(AND(安値!AB377&lt;安値!AA377,安値!AB377&lt;安値!Z377,安値!AB377&lt;安値!AC377,安値!AB377&lt;安値!AD377),23,""))</f>
        <v/>
      </c>
      <c r="X377" s="503" t="str">
        <f>IF(終値!A377="","",IF(AND(安値!AC377&lt;安値!AB377,安値!AC377&lt;安値!AA377,安値!AC377&lt;安値!AD377,安値!AC377&lt;安値!AE377),24,""))</f>
        <v/>
      </c>
      <c r="Y377" s="503" t="str">
        <f>IF(終値!A377="","",IF(AND(安値!AD377&lt;安値!AC377,安値!AD377&lt;安値!AB377,安値!AD377&lt;安値!AE377,安値!AD377&lt;安値!AF377),25,""))</f>
        <v/>
      </c>
      <c r="Z377" s="503" t="str">
        <f>IF(終値!A377="","",IF(AND(安値!AE377&lt;安値!AD377,安値!AE377&lt;安値!AC377,安値!AE377&lt;安値!AF377,安値!AE377&lt;安値!AG377),26,""))</f>
        <v/>
      </c>
      <c r="AA377" s="503" t="str">
        <f>IF(終値!A377="","",IF(AND(安値!AF377&lt;安値!AE377,安値!AF377&lt;安値!AD377,安値!AF377&lt;安値!AG377,安値!AF377&lt;安値!AH377),27,""))</f>
        <v/>
      </c>
      <c r="AB377" s="503" t="str">
        <f>IF(終値!A377="","",IF(AND(安値!AG377&lt;安値!AF377,安値!AG377&lt;安値!AE377,安値!AG377&lt;安値!AH377,安値!AG377&lt;安値!AI377),28,""))</f>
        <v/>
      </c>
      <c r="AC377" s="503" t="str">
        <f>IF(終値!A377="","",IF(AND(高値!G377&gt;高値!F377,高値!G377&gt;高値!E377,高値!G377&gt;高値!H377,高値!G377&gt;高値!I377),2,""))</f>
        <v/>
      </c>
      <c r="AD377" s="503" t="str">
        <f>IF(終値!A377="","",IF(AND(高値!H377&gt;高値!G377,高値!H377&gt;高値!F377,高値!H377&gt;高値!I377,高値!H377&gt;高値!J377),3,""))</f>
        <v/>
      </c>
      <c r="AE377" s="503" t="str">
        <f>IF(終値!A377="","",IF(AND(高値!I377&gt;高値!H377,高値!I377&gt;高値!G377,高値!I377&gt;高値!J377,高値!I377&gt;高値!K377),4,""))</f>
        <v/>
      </c>
      <c r="AF377" s="503" t="str">
        <f>IF(終値!A377="","",IF(AND(高値!J377&gt;高値!I377,高値!J377&gt;高値!H377,高値!J377&gt;高値!K377,高値!J377&gt;高値!L377),5,""))</f>
        <v/>
      </c>
      <c r="AG377" s="503" t="str">
        <f>IF(終値!A377="","",IF(AND(高値!K377&gt;高値!J377,高値!K377&gt;高値!I377,高値!K377&gt;高値!L377,高値!K377&gt;高値!M377),6,""))</f>
        <v/>
      </c>
      <c r="AH377" s="503" t="str">
        <f>IF(終値!A377="","",IF(AND(高値!L377&gt;高値!K377,高値!L377&gt;高値!J377,高値!L377&gt;高値!M377,高値!L377&gt;高値!N377),7,""))</f>
        <v/>
      </c>
      <c r="AI377" s="503" t="str">
        <f>IF(終値!A377="","",IF(AND(高値!M377&gt;高値!L377,高値!M377&gt;高値!K377,高値!M377&gt;高値!N377,高値!M377&gt;高値!O377),8,""))</f>
        <v/>
      </c>
      <c r="AJ377" s="503" t="str">
        <f>IF(終値!A377="","",IF(AND(高値!N377&gt;高値!M377,高値!N377&gt;高値!L377,高値!N377&gt;高値!O377,高値!N377&gt;高値!P377),9,""))</f>
        <v/>
      </c>
      <c r="AK377" s="503" t="str">
        <f>IF(終値!A377="","",IF(AND(高値!O377&gt;高値!N377,高値!O377&gt;高値!M377,高値!O377&gt;高値!P377,高値!O377&gt;高値!Q377),10,""))</f>
        <v/>
      </c>
      <c r="AL377" s="503" t="str">
        <f>IF(終値!A377="","",IF(AND(高値!P377&gt;高値!O377,高値!P377&gt;高値!N377,高値!P377&gt;高値!Q377,高値!P377&gt;高値!R377),11,""))</f>
        <v/>
      </c>
      <c r="AM377" s="503" t="str">
        <f>IF(終値!A377="","",IF(AND(高値!Q377&gt;高値!P377,高値!Q377&gt;高値!O377,高値!Q377&gt;高値!R377,高値!Q377&gt;高値!S377),12,""))</f>
        <v/>
      </c>
      <c r="AN377" s="503" t="str">
        <f>IF(終値!A377="","",IF(AND(高値!R377&gt;高値!Q377,高値!R377&gt;高値!P377,高値!R377&gt;高値!S377,高値!R377&gt;高値!T377),13,""))</f>
        <v/>
      </c>
      <c r="AO377" s="503" t="str">
        <f>IF(終値!A377="","",IF(AND(高値!S377&gt;高値!R377,高値!S377&gt;高値!Q377,高値!S377&gt;高値!T377,高値!S377&gt;高値!U377),14,""))</f>
        <v/>
      </c>
      <c r="AP377" s="503" t="str">
        <f>IF(終値!A377="","",IF(AND(高値!T377&gt;高値!S377,高値!T377&gt;高値!R377,高値!T377&gt;高値!U377,高値!T377&gt;高値!V377),15,""))</f>
        <v/>
      </c>
      <c r="AQ377" s="503" t="str">
        <f>IF(終値!A377="","",IF(AND(高値!U377&gt;高値!T377,高値!U377&gt;高値!S377,高値!U377&gt;高値!V377,高値!U377&gt;高値!W377),16,""))</f>
        <v/>
      </c>
      <c r="AR377" s="503" t="str">
        <f>IF(終値!A377="","",IF(AND(高値!V377&gt;高値!U377,高値!V377&gt;高値!T377,高値!V377&gt;高値!W377,高値!V377&gt;高値!X377),17,""))</f>
        <v/>
      </c>
      <c r="AS377" s="503" t="str">
        <f>IF(終値!A377="","",IF(AND(高値!W377&gt;高値!V377,高値!W377&gt;高値!U377,高値!W377&gt;高値!X377,高値!W377&gt;高値!Y377),18,""))</f>
        <v/>
      </c>
      <c r="AT377" s="503" t="str">
        <f>IF(終値!A377="","",IF(AND(高値!X377&gt;高値!W377,高値!X377&gt;高値!V377,高値!X377&gt;高値!Y377,高値!X377&gt;高値!Z377),19,""))</f>
        <v/>
      </c>
      <c r="AU377" s="503" t="str">
        <f>IF(終値!A377="","",IF(AND(高値!Y377&gt;高値!X377,高値!Y377&gt;高値!W377,高値!Y377&gt;高値!Z377,高値!Y377&gt;高値!AA377),20,""))</f>
        <v/>
      </c>
      <c r="AV377" s="503" t="str">
        <f>IF(終値!A377="","",IF(AND(高値!Z377&gt;高値!Y377,高値!Z377&gt;高値!X377,高値!Z377&gt;高値!AA377,高値!Z377&gt;高値!AB377),21,""))</f>
        <v/>
      </c>
      <c r="AW377" s="503" t="str">
        <f>IF(終値!A377="","",IF(AND(高値!AA377&gt;高値!Z377,高値!AA377&gt;高値!Y377,高値!AA377&gt;高値!AB377,高値!AA377&gt;高値!AC377),22,""))</f>
        <v/>
      </c>
      <c r="AX377" s="503" t="str">
        <f>IF(終値!A377="","",IF(AND(高値!AB377&gt;高値!AA377,高値!AB377&gt;高値!Z377,高値!AB377&gt;高値!AC377,高値!AB377&gt;高値!AD377),23,""))</f>
        <v/>
      </c>
      <c r="AY377" s="503" t="str">
        <f>IF(終値!A377="","",IF(AND(高値!AC377&gt;高値!AB377,高値!AC377&gt;高値!AA377,高値!AC377&gt;高値!AD377,高値!AC377&gt;高値!AE377),24,""))</f>
        <v/>
      </c>
      <c r="AZ377" s="503" t="str">
        <f>IF(終値!A377="","",IF(AND(高値!AD377&gt;高値!AC377,高値!AD377&gt;高値!AB377,高値!AD377&gt;高値!AE377,高値!AD377&gt;高値!AF377),25,""))</f>
        <v/>
      </c>
      <c r="BA377" s="503" t="str">
        <f>IF(終値!A377="","",IF(AND(高値!AE377&gt;高値!AD377,高値!AE377&gt;高値!AC377,高値!AE377&gt;高値!AF377,高値!AE377&gt;高値!AG377),26,""))</f>
        <v/>
      </c>
      <c r="BB377" s="503" t="str">
        <f>IF(終値!A377="","",IF(AND(高値!AF377&gt;高値!AE377,高値!AF377&gt;高値!AD377,高値!AF377&gt;高値!AG377,高値!AF377&gt;高値!AH377),27,""))</f>
        <v/>
      </c>
      <c r="BC377" s="503" t="str">
        <f>IF(終値!A377="","",IF(AND(高値!AG377&gt;高値!AF377,高値!AG377&gt;高値!AE377,高値!AG377&gt;高値!AH377,高値!AG377&gt;高値!AI377),28,""))</f>
        <v/>
      </c>
      <c r="BD377" s="503">
        <f t="shared" si="30"/>
        <v>0</v>
      </c>
      <c r="BE377" s="503" t="str">
        <f t="shared" si="31"/>
        <v/>
      </c>
      <c r="BF377" s="503" t="str">
        <f t="shared" si="32"/>
        <v/>
      </c>
      <c r="BG377" s="503" t="str">
        <f>IF($BE377="","",INDEX(安値!$E377:$CZ377,1,$BE377+1))</f>
        <v/>
      </c>
      <c r="BH377" s="503" t="str">
        <f>IF($BF377="","",INDEX(安値!$E377:$CZ377,1,$BF377+1))</f>
        <v/>
      </c>
      <c r="BI377" s="503" t="str">
        <f>IF($BF377="","",MAX(INDEX(高値!$E377:$CZ377,1,$BE377+1):INDEX(高値!$E377:$CZ377,1,$BF377+1)))</f>
        <v/>
      </c>
      <c r="BJ377" s="503" t="str">
        <f>IF($BF377="","",AVERAGE(INDEX(終値!$E377:$CZ377,1,$BF377+1):INDEX(終値!$E377:$CZ377,1,$BF377+20))-2*STDEVP(INDEX(終値!$E377:$CZ377,1,$BF377+1):INDEX(終値!$E377:$CZ377,1,$BF377+20)))</f>
        <v/>
      </c>
      <c r="BK377" s="503" t="str">
        <f>IF($BE377="","",AVERAGE(INDEX(終値!$E377:$CZ377,1,$BE377+1):INDEX(終値!$E377:$CZ377,1,$BE377+20))-2*STDEVP(INDEX(終値!$E377:$CZ377,1,$BE377+1):INDEX(終値!$E377:$CZ377,1,$BE377+20)))</f>
        <v/>
      </c>
      <c r="BL377" s="503">
        <f t="shared" si="33"/>
        <v>0</v>
      </c>
      <c r="BM377" s="503" t="str">
        <f t="shared" si="34"/>
        <v/>
      </c>
      <c r="BN377" s="503" t="str">
        <f t="shared" si="35"/>
        <v/>
      </c>
      <c r="BO377" s="503" t="str">
        <f>IF($BM377="","",INDEX(高値!$E377:$CZ377,1,$BM377+1))</f>
        <v/>
      </c>
      <c r="BP377" s="503" t="str">
        <f>IF($BN377="","",INDEX(高値!$E377:$CZ377,1,$BN377+1))</f>
        <v/>
      </c>
      <c r="BQ377" s="503" t="str">
        <f>IF($BN377="","",MIN(INDEX(安値!$E377:$CZ377,1,$BM377+1):INDEX(安値!$E377:$CZ377,1,$BN377+1)))</f>
        <v/>
      </c>
      <c r="BR377" s="503" t="str">
        <f>IF($BN377="","",AVERAGE(INDEX(終値!$E377:$CZ377,1,$BN377+1):INDEX(終値!$E377:$CZ377,1,$BN377+20))+2*STDEVP(INDEX(終値!$E377:$CZ377,1,$BN377+1):INDEX(終値!$E377:$CZ377,1,$BN377+20)))</f>
        <v/>
      </c>
      <c r="BS377" s="503" t="str">
        <f>IF($BM377="","",AVERAGE(INDEX(終値!$E377:$CZ377,1,$BM377+1):INDEX(終値!$E377:$CZ377,1,$BM377+20))+2*STDEVP(INDEX(終値!$E377:$CZ377,1,$BM377+1):INDEX(終値!$E377:$CZ377,1,$BM377+20)))</f>
        <v/>
      </c>
      <c r="BT377" s="500"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3" t="str">
        <f>IF(終値!A378="","",IF(AND(安値!G378&lt;安値!F378,安値!G378&lt;安値!E378,安値!G378&lt;安値!H378,安値!G378&lt;安値!I378),2,""))</f>
        <v/>
      </c>
      <c r="C378" s="503" t="str">
        <f>IF(終値!A378="","",IF(AND(安値!H378&lt;安値!G378,安値!H378&lt;安値!F378,安値!H378&lt;安値!I378,安値!H378&lt;安値!J378),3,""))</f>
        <v/>
      </c>
      <c r="D378" s="503" t="str">
        <f>IF(終値!A378="","",IF(AND(安値!I378&lt;安値!H378,安値!I378&lt;安値!G378,安値!I378&lt;安値!J378,安値!I378&lt;安値!K378),4,""))</f>
        <v/>
      </c>
      <c r="E378" s="503" t="str">
        <f>IF(終値!A378="","",IF(AND(安値!J378&lt;安値!I378,安値!J378&lt;安値!H378,安値!J378&lt;安値!K378,安値!J378&lt;安値!L378),5,""))</f>
        <v/>
      </c>
      <c r="F378" s="503" t="str">
        <f>IF(終値!A378="","",IF(AND(安値!K378&lt;安値!J378,安値!K378&lt;安値!I378,安値!K378&lt;安値!L378,安値!K378&lt;安値!M378),6,""))</f>
        <v/>
      </c>
      <c r="G378" s="503" t="str">
        <f>IF(終値!A378="","",IF(AND(安値!L378&lt;安値!K378,安値!L378&lt;安値!J378,安値!L378&lt;安値!M378,安値!L378&lt;安値!N378),7,""))</f>
        <v/>
      </c>
      <c r="H378" s="503" t="str">
        <f>IF(終値!A378="","",IF(AND(安値!M378&lt;安値!L378,安値!M378&lt;安値!K378,安値!M378&lt;安値!N378,安値!M378&lt;安値!O378),8,""))</f>
        <v/>
      </c>
      <c r="I378" s="503" t="str">
        <f>IF(終値!A378="","",IF(AND(安値!N378&lt;安値!M378,安値!N378&lt;安値!L378,安値!N378&lt;安値!O378,安値!N378&lt;安値!P378),9,""))</f>
        <v/>
      </c>
      <c r="J378" s="503" t="str">
        <f>IF(終値!A378="","",IF(AND(安値!O378&lt;安値!N378,安値!O378&lt;安値!M378,安値!O378&lt;安値!P378,安値!O378&lt;安値!Q378),10,""))</f>
        <v/>
      </c>
      <c r="K378" s="503" t="str">
        <f>IF(終値!A378="","",IF(AND(安値!P378&lt;安値!O378,安値!P378&lt;安値!N378,安値!P378&lt;安値!Q378,安値!P378&lt;安値!R378),11,""))</f>
        <v/>
      </c>
      <c r="L378" s="503" t="str">
        <f>IF(終値!A378="","",IF(AND(安値!Q378&lt;安値!P378,安値!Q378&lt;安値!O378,安値!Q378&lt;安値!R378,安値!Q378&lt;安値!S378),12,""))</f>
        <v/>
      </c>
      <c r="M378" s="503" t="str">
        <f>IF(終値!A378="","",IF(AND(安値!R378&lt;安値!Q378,安値!R378&lt;安値!P378,安値!R378&lt;安値!S378,安値!R378&lt;安値!T378),13,""))</f>
        <v/>
      </c>
      <c r="N378" s="503" t="str">
        <f>IF(終値!A378="","",IF(AND(安値!S378&lt;安値!R378,安値!S378&lt;安値!Q378,安値!S378&lt;安値!T378,安値!S378&lt;安値!U378),14,""))</f>
        <v/>
      </c>
      <c r="O378" s="503" t="str">
        <f>IF(終値!A378="","",IF(AND(安値!T378&lt;安値!S378,安値!T378&lt;安値!R378,安値!T378&lt;安値!U378,安値!T378&lt;安値!V378),15,""))</f>
        <v/>
      </c>
      <c r="P378" s="503" t="str">
        <f>IF(終値!A378="","",IF(AND(安値!U378&lt;安値!T378,安値!U378&lt;安値!S378,安値!U378&lt;安値!V378,安値!U378&lt;安値!W378),16,""))</f>
        <v/>
      </c>
      <c r="Q378" s="503" t="str">
        <f>IF(終値!A378="","",IF(AND(安値!V378&lt;安値!U378,安値!V378&lt;安値!T378,安値!V378&lt;安値!W378,安値!V378&lt;安値!X378),17,""))</f>
        <v/>
      </c>
      <c r="R378" s="503" t="str">
        <f>IF(終値!A378="","",IF(AND(安値!W378&lt;安値!V378,安値!W378&lt;安値!U378,安値!W378&lt;安値!X378,安値!W378&lt;安値!Y378),18,""))</f>
        <v/>
      </c>
      <c r="S378" s="503" t="str">
        <f>IF(終値!A378="","",IF(AND(安値!X378&lt;安値!W378,安値!X378&lt;安値!V378,安値!X378&lt;安値!Y378,安値!X378&lt;安値!Z378),19,""))</f>
        <v/>
      </c>
      <c r="T378" s="503" t="str">
        <f>IF(終値!A378="","",IF(AND(安値!Y378&lt;安値!X378,安値!Y378&lt;安値!W378,安値!Y378&lt;安値!Z378,安値!Y378&lt;安値!AA378),20,""))</f>
        <v/>
      </c>
      <c r="U378" s="503" t="str">
        <f>IF(終値!A378="","",IF(AND(安値!Z378&lt;安値!Y378,安値!Z378&lt;安値!X378,安値!Z378&lt;安値!AA378,安値!Z378&lt;安値!AB378),21,""))</f>
        <v/>
      </c>
      <c r="V378" s="503" t="str">
        <f>IF(終値!A378="","",IF(AND(安値!AA378&lt;安値!Z378,安値!AA378&lt;安値!Y378,安値!AA378&lt;安値!AB378,安値!AA378&lt;安値!AC378),22,""))</f>
        <v/>
      </c>
      <c r="W378" s="503" t="str">
        <f>IF(終値!A378="","",IF(AND(安値!AB378&lt;安値!AA378,安値!AB378&lt;安値!Z378,安値!AB378&lt;安値!AC378,安値!AB378&lt;安値!AD378),23,""))</f>
        <v/>
      </c>
      <c r="X378" s="503" t="str">
        <f>IF(終値!A378="","",IF(AND(安値!AC378&lt;安値!AB378,安値!AC378&lt;安値!AA378,安値!AC378&lt;安値!AD378,安値!AC378&lt;安値!AE378),24,""))</f>
        <v/>
      </c>
      <c r="Y378" s="503" t="str">
        <f>IF(終値!A378="","",IF(AND(安値!AD378&lt;安値!AC378,安値!AD378&lt;安値!AB378,安値!AD378&lt;安値!AE378,安値!AD378&lt;安値!AF378),25,""))</f>
        <v/>
      </c>
      <c r="Z378" s="503" t="str">
        <f>IF(終値!A378="","",IF(AND(安値!AE378&lt;安値!AD378,安値!AE378&lt;安値!AC378,安値!AE378&lt;安値!AF378,安値!AE378&lt;安値!AG378),26,""))</f>
        <v/>
      </c>
      <c r="AA378" s="503" t="str">
        <f>IF(終値!A378="","",IF(AND(安値!AF378&lt;安値!AE378,安値!AF378&lt;安値!AD378,安値!AF378&lt;安値!AG378,安値!AF378&lt;安値!AH378),27,""))</f>
        <v/>
      </c>
      <c r="AB378" s="503" t="str">
        <f>IF(終値!A378="","",IF(AND(安値!AG378&lt;安値!AF378,安値!AG378&lt;安値!AE378,安値!AG378&lt;安値!AH378,安値!AG378&lt;安値!AI378),28,""))</f>
        <v/>
      </c>
      <c r="AC378" s="503" t="str">
        <f>IF(終値!A378="","",IF(AND(高値!G378&gt;高値!F378,高値!G378&gt;高値!E378,高値!G378&gt;高値!H378,高値!G378&gt;高値!I378),2,""))</f>
        <v/>
      </c>
      <c r="AD378" s="503" t="str">
        <f>IF(終値!A378="","",IF(AND(高値!H378&gt;高値!G378,高値!H378&gt;高値!F378,高値!H378&gt;高値!I378,高値!H378&gt;高値!J378),3,""))</f>
        <v/>
      </c>
      <c r="AE378" s="503" t="str">
        <f>IF(終値!A378="","",IF(AND(高値!I378&gt;高値!H378,高値!I378&gt;高値!G378,高値!I378&gt;高値!J378,高値!I378&gt;高値!K378),4,""))</f>
        <v/>
      </c>
      <c r="AF378" s="503" t="str">
        <f>IF(終値!A378="","",IF(AND(高値!J378&gt;高値!I378,高値!J378&gt;高値!H378,高値!J378&gt;高値!K378,高値!J378&gt;高値!L378),5,""))</f>
        <v/>
      </c>
      <c r="AG378" s="503" t="str">
        <f>IF(終値!A378="","",IF(AND(高値!K378&gt;高値!J378,高値!K378&gt;高値!I378,高値!K378&gt;高値!L378,高値!K378&gt;高値!M378),6,""))</f>
        <v/>
      </c>
      <c r="AH378" s="503" t="str">
        <f>IF(終値!A378="","",IF(AND(高値!L378&gt;高値!K378,高値!L378&gt;高値!J378,高値!L378&gt;高値!M378,高値!L378&gt;高値!N378),7,""))</f>
        <v/>
      </c>
      <c r="AI378" s="503" t="str">
        <f>IF(終値!A378="","",IF(AND(高値!M378&gt;高値!L378,高値!M378&gt;高値!K378,高値!M378&gt;高値!N378,高値!M378&gt;高値!O378),8,""))</f>
        <v/>
      </c>
      <c r="AJ378" s="503" t="str">
        <f>IF(終値!A378="","",IF(AND(高値!N378&gt;高値!M378,高値!N378&gt;高値!L378,高値!N378&gt;高値!O378,高値!N378&gt;高値!P378),9,""))</f>
        <v/>
      </c>
      <c r="AK378" s="503" t="str">
        <f>IF(終値!A378="","",IF(AND(高値!O378&gt;高値!N378,高値!O378&gt;高値!M378,高値!O378&gt;高値!P378,高値!O378&gt;高値!Q378),10,""))</f>
        <v/>
      </c>
      <c r="AL378" s="503" t="str">
        <f>IF(終値!A378="","",IF(AND(高値!P378&gt;高値!O378,高値!P378&gt;高値!N378,高値!P378&gt;高値!Q378,高値!P378&gt;高値!R378),11,""))</f>
        <v/>
      </c>
      <c r="AM378" s="503" t="str">
        <f>IF(終値!A378="","",IF(AND(高値!Q378&gt;高値!P378,高値!Q378&gt;高値!O378,高値!Q378&gt;高値!R378,高値!Q378&gt;高値!S378),12,""))</f>
        <v/>
      </c>
      <c r="AN378" s="503" t="str">
        <f>IF(終値!A378="","",IF(AND(高値!R378&gt;高値!Q378,高値!R378&gt;高値!P378,高値!R378&gt;高値!S378,高値!R378&gt;高値!T378),13,""))</f>
        <v/>
      </c>
      <c r="AO378" s="503" t="str">
        <f>IF(終値!A378="","",IF(AND(高値!S378&gt;高値!R378,高値!S378&gt;高値!Q378,高値!S378&gt;高値!T378,高値!S378&gt;高値!U378),14,""))</f>
        <v/>
      </c>
      <c r="AP378" s="503" t="str">
        <f>IF(終値!A378="","",IF(AND(高値!T378&gt;高値!S378,高値!T378&gt;高値!R378,高値!T378&gt;高値!U378,高値!T378&gt;高値!V378),15,""))</f>
        <v/>
      </c>
      <c r="AQ378" s="503" t="str">
        <f>IF(終値!A378="","",IF(AND(高値!U378&gt;高値!T378,高値!U378&gt;高値!S378,高値!U378&gt;高値!V378,高値!U378&gt;高値!W378),16,""))</f>
        <v/>
      </c>
      <c r="AR378" s="503" t="str">
        <f>IF(終値!A378="","",IF(AND(高値!V378&gt;高値!U378,高値!V378&gt;高値!T378,高値!V378&gt;高値!W378,高値!V378&gt;高値!X378),17,""))</f>
        <v/>
      </c>
      <c r="AS378" s="503" t="str">
        <f>IF(終値!A378="","",IF(AND(高値!W378&gt;高値!V378,高値!W378&gt;高値!U378,高値!W378&gt;高値!X378,高値!W378&gt;高値!Y378),18,""))</f>
        <v/>
      </c>
      <c r="AT378" s="503" t="str">
        <f>IF(終値!A378="","",IF(AND(高値!X378&gt;高値!W378,高値!X378&gt;高値!V378,高値!X378&gt;高値!Y378,高値!X378&gt;高値!Z378),19,""))</f>
        <v/>
      </c>
      <c r="AU378" s="503" t="str">
        <f>IF(終値!A378="","",IF(AND(高値!Y378&gt;高値!X378,高値!Y378&gt;高値!W378,高値!Y378&gt;高値!Z378,高値!Y378&gt;高値!AA378),20,""))</f>
        <v/>
      </c>
      <c r="AV378" s="503" t="str">
        <f>IF(終値!A378="","",IF(AND(高値!Z378&gt;高値!Y378,高値!Z378&gt;高値!X378,高値!Z378&gt;高値!AA378,高値!Z378&gt;高値!AB378),21,""))</f>
        <v/>
      </c>
      <c r="AW378" s="503" t="str">
        <f>IF(終値!A378="","",IF(AND(高値!AA378&gt;高値!Z378,高値!AA378&gt;高値!Y378,高値!AA378&gt;高値!AB378,高値!AA378&gt;高値!AC378),22,""))</f>
        <v/>
      </c>
      <c r="AX378" s="503" t="str">
        <f>IF(終値!A378="","",IF(AND(高値!AB378&gt;高値!AA378,高値!AB378&gt;高値!Z378,高値!AB378&gt;高値!AC378,高値!AB378&gt;高値!AD378),23,""))</f>
        <v/>
      </c>
      <c r="AY378" s="503" t="str">
        <f>IF(終値!A378="","",IF(AND(高値!AC378&gt;高値!AB378,高値!AC378&gt;高値!AA378,高値!AC378&gt;高値!AD378,高値!AC378&gt;高値!AE378),24,""))</f>
        <v/>
      </c>
      <c r="AZ378" s="503" t="str">
        <f>IF(終値!A378="","",IF(AND(高値!AD378&gt;高値!AC378,高値!AD378&gt;高値!AB378,高値!AD378&gt;高値!AE378,高値!AD378&gt;高値!AF378),25,""))</f>
        <v/>
      </c>
      <c r="BA378" s="503" t="str">
        <f>IF(終値!A378="","",IF(AND(高値!AE378&gt;高値!AD378,高値!AE378&gt;高値!AC378,高値!AE378&gt;高値!AF378,高値!AE378&gt;高値!AG378),26,""))</f>
        <v/>
      </c>
      <c r="BB378" s="503" t="str">
        <f>IF(終値!A378="","",IF(AND(高値!AF378&gt;高値!AE378,高値!AF378&gt;高値!AD378,高値!AF378&gt;高値!AG378,高値!AF378&gt;高値!AH378),27,""))</f>
        <v/>
      </c>
      <c r="BC378" s="503" t="str">
        <f>IF(終値!A378="","",IF(AND(高値!AG378&gt;高値!AF378,高値!AG378&gt;高値!AE378,高値!AG378&gt;高値!AH378,高値!AG378&gt;高値!AI378),28,""))</f>
        <v/>
      </c>
      <c r="BD378" s="503">
        <f t="shared" si="30"/>
        <v>0</v>
      </c>
      <c r="BE378" s="503" t="str">
        <f t="shared" si="31"/>
        <v/>
      </c>
      <c r="BF378" s="503" t="str">
        <f t="shared" si="32"/>
        <v/>
      </c>
      <c r="BG378" s="503" t="str">
        <f>IF($BE378="","",INDEX(安値!$E378:$CZ378,1,$BE378+1))</f>
        <v/>
      </c>
      <c r="BH378" s="503" t="str">
        <f>IF($BF378="","",INDEX(安値!$E378:$CZ378,1,$BF378+1))</f>
        <v/>
      </c>
      <c r="BI378" s="503" t="str">
        <f>IF($BF378="","",MAX(INDEX(高値!$E378:$CZ378,1,$BE378+1):INDEX(高値!$E378:$CZ378,1,$BF378+1)))</f>
        <v/>
      </c>
      <c r="BJ378" s="503" t="str">
        <f>IF($BF378="","",AVERAGE(INDEX(終値!$E378:$CZ378,1,$BF378+1):INDEX(終値!$E378:$CZ378,1,$BF378+20))-2*STDEVP(INDEX(終値!$E378:$CZ378,1,$BF378+1):INDEX(終値!$E378:$CZ378,1,$BF378+20)))</f>
        <v/>
      </c>
      <c r="BK378" s="503" t="str">
        <f>IF($BE378="","",AVERAGE(INDEX(終値!$E378:$CZ378,1,$BE378+1):INDEX(終値!$E378:$CZ378,1,$BE378+20))-2*STDEVP(INDEX(終値!$E378:$CZ378,1,$BE378+1):INDEX(終値!$E378:$CZ378,1,$BE378+20)))</f>
        <v/>
      </c>
      <c r="BL378" s="503">
        <f t="shared" si="33"/>
        <v>0</v>
      </c>
      <c r="BM378" s="503" t="str">
        <f t="shared" si="34"/>
        <v/>
      </c>
      <c r="BN378" s="503" t="str">
        <f t="shared" si="35"/>
        <v/>
      </c>
      <c r="BO378" s="503" t="str">
        <f>IF($BM378="","",INDEX(高値!$E378:$CZ378,1,$BM378+1))</f>
        <v/>
      </c>
      <c r="BP378" s="503" t="str">
        <f>IF($BN378="","",INDEX(高値!$E378:$CZ378,1,$BN378+1))</f>
        <v/>
      </c>
      <c r="BQ378" s="503" t="str">
        <f>IF($BN378="","",MIN(INDEX(安値!$E378:$CZ378,1,$BM378+1):INDEX(安値!$E378:$CZ378,1,$BN378+1)))</f>
        <v/>
      </c>
      <c r="BR378" s="503" t="str">
        <f>IF($BN378="","",AVERAGE(INDEX(終値!$E378:$CZ378,1,$BN378+1):INDEX(終値!$E378:$CZ378,1,$BN378+20))+2*STDEVP(INDEX(終値!$E378:$CZ378,1,$BN378+1):INDEX(終値!$E378:$CZ378,1,$BN378+20)))</f>
        <v/>
      </c>
      <c r="BS378" s="503" t="str">
        <f>IF($BM378="","",AVERAGE(INDEX(終値!$E378:$CZ378,1,$BM378+1):INDEX(終値!$E378:$CZ378,1,$BM378+20))+2*STDEVP(INDEX(終値!$E378:$CZ378,1,$BM378+1):INDEX(終値!$E378:$CZ378,1,$BM378+20)))</f>
        <v/>
      </c>
      <c r="BT378" s="500"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3" t="str">
        <f>IF(終値!A379="","",IF(AND(安値!G379&lt;安値!F379,安値!G379&lt;安値!E379,安値!G379&lt;安値!H379,安値!G379&lt;安値!I379),2,""))</f>
        <v/>
      </c>
      <c r="C379" s="503" t="str">
        <f>IF(終値!A379="","",IF(AND(安値!H379&lt;安値!G379,安値!H379&lt;安値!F379,安値!H379&lt;安値!I379,安値!H379&lt;安値!J379),3,""))</f>
        <v/>
      </c>
      <c r="D379" s="503" t="str">
        <f>IF(終値!A379="","",IF(AND(安値!I379&lt;安値!H379,安値!I379&lt;安値!G379,安値!I379&lt;安値!J379,安値!I379&lt;安値!K379),4,""))</f>
        <v/>
      </c>
      <c r="E379" s="503" t="str">
        <f>IF(終値!A379="","",IF(AND(安値!J379&lt;安値!I379,安値!J379&lt;安値!H379,安値!J379&lt;安値!K379,安値!J379&lt;安値!L379),5,""))</f>
        <v/>
      </c>
      <c r="F379" s="503" t="str">
        <f>IF(終値!A379="","",IF(AND(安値!K379&lt;安値!J379,安値!K379&lt;安値!I379,安値!K379&lt;安値!L379,安値!K379&lt;安値!M379),6,""))</f>
        <v/>
      </c>
      <c r="G379" s="503" t="str">
        <f>IF(終値!A379="","",IF(AND(安値!L379&lt;安値!K379,安値!L379&lt;安値!J379,安値!L379&lt;安値!M379,安値!L379&lt;安値!N379),7,""))</f>
        <v/>
      </c>
      <c r="H379" s="503" t="str">
        <f>IF(終値!A379="","",IF(AND(安値!M379&lt;安値!L379,安値!M379&lt;安値!K379,安値!M379&lt;安値!N379,安値!M379&lt;安値!O379),8,""))</f>
        <v/>
      </c>
      <c r="I379" s="503" t="str">
        <f>IF(終値!A379="","",IF(AND(安値!N379&lt;安値!M379,安値!N379&lt;安値!L379,安値!N379&lt;安値!O379,安値!N379&lt;安値!P379),9,""))</f>
        <v/>
      </c>
      <c r="J379" s="503" t="str">
        <f>IF(終値!A379="","",IF(AND(安値!O379&lt;安値!N379,安値!O379&lt;安値!M379,安値!O379&lt;安値!P379,安値!O379&lt;安値!Q379),10,""))</f>
        <v/>
      </c>
      <c r="K379" s="503" t="str">
        <f>IF(終値!A379="","",IF(AND(安値!P379&lt;安値!O379,安値!P379&lt;安値!N379,安値!P379&lt;安値!Q379,安値!P379&lt;安値!R379),11,""))</f>
        <v/>
      </c>
      <c r="L379" s="503" t="str">
        <f>IF(終値!A379="","",IF(AND(安値!Q379&lt;安値!P379,安値!Q379&lt;安値!O379,安値!Q379&lt;安値!R379,安値!Q379&lt;安値!S379),12,""))</f>
        <v/>
      </c>
      <c r="M379" s="503" t="str">
        <f>IF(終値!A379="","",IF(AND(安値!R379&lt;安値!Q379,安値!R379&lt;安値!P379,安値!R379&lt;安値!S379,安値!R379&lt;安値!T379),13,""))</f>
        <v/>
      </c>
      <c r="N379" s="503" t="str">
        <f>IF(終値!A379="","",IF(AND(安値!S379&lt;安値!R379,安値!S379&lt;安値!Q379,安値!S379&lt;安値!T379,安値!S379&lt;安値!U379),14,""))</f>
        <v/>
      </c>
      <c r="O379" s="503" t="str">
        <f>IF(終値!A379="","",IF(AND(安値!T379&lt;安値!S379,安値!T379&lt;安値!R379,安値!T379&lt;安値!U379,安値!T379&lt;安値!V379),15,""))</f>
        <v/>
      </c>
      <c r="P379" s="503" t="str">
        <f>IF(終値!A379="","",IF(AND(安値!U379&lt;安値!T379,安値!U379&lt;安値!S379,安値!U379&lt;安値!V379,安値!U379&lt;安値!W379),16,""))</f>
        <v/>
      </c>
      <c r="Q379" s="503" t="str">
        <f>IF(終値!A379="","",IF(AND(安値!V379&lt;安値!U379,安値!V379&lt;安値!T379,安値!V379&lt;安値!W379,安値!V379&lt;安値!X379),17,""))</f>
        <v/>
      </c>
      <c r="R379" s="503" t="str">
        <f>IF(終値!A379="","",IF(AND(安値!W379&lt;安値!V379,安値!W379&lt;安値!U379,安値!W379&lt;安値!X379,安値!W379&lt;安値!Y379),18,""))</f>
        <v/>
      </c>
      <c r="S379" s="503" t="str">
        <f>IF(終値!A379="","",IF(AND(安値!X379&lt;安値!W379,安値!X379&lt;安値!V379,安値!X379&lt;安値!Y379,安値!X379&lt;安値!Z379),19,""))</f>
        <v/>
      </c>
      <c r="T379" s="503" t="str">
        <f>IF(終値!A379="","",IF(AND(安値!Y379&lt;安値!X379,安値!Y379&lt;安値!W379,安値!Y379&lt;安値!Z379,安値!Y379&lt;安値!AA379),20,""))</f>
        <v/>
      </c>
      <c r="U379" s="503" t="str">
        <f>IF(終値!A379="","",IF(AND(安値!Z379&lt;安値!Y379,安値!Z379&lt;安値!X379,安値!Z379&lt;安値!AA379,安値!Z379&lt;安値!AB379),21,""))</f>
        <v/>
      </c>
      <c r="V379" s="503" t="str">
        <f>IF(終値!A379="","",IF(AND(安値!AA379&lt;安値!Z379,安値!AA379&lt;安値!Y379,安値!AA379&lt;安値!AB379,安値!AA379&lt;安値!AC379),22,""))</f>
        <v/>
      </c>
      <c r="W379" s="503" t="str">
        <f>IF(終値!A379="","",IF(AND(安値!AB379&lt;安値!AA379,安値!AB379&lt;安値!Z379,安値!AB379&lt;安値!AC379,安値!AB379&lt;安値!AD379),23,""))</f>
        <v/>
      </c>
      <c r="X379" s="503" t="str">
        <f>IF(終値!A379="","",IF(AND(安値!AC379&lt;安値!AB379,安値!AC379&lt;安値!AA379,安値!AC379&lt;安値!AD379,安値!AC379&lt;安値!AE379),24,""))</f>
        <v/>
      </c>
      <c r="Y379" s="503" t="str">
        <f>IF(終値!A379="","",IF(AND(安値!AD379&lt;安値!AC379,安値!AD379&lt;安値!AB379,安値!AD379&lt;安値!AE379,安値!AD379&lt;安値!AF379),25,""))</f>
        <v/>
      </c>
      <c r="Z379" s="503" t="str">
        <f>IF(終値!A379="","",IF(AND(安値!AE379&lt;安値!AD379,安値!AE379&lt;安値!AC379,安値!AE379&lt;安値!AF379,安値!AE379&lt;安値!AG379),26,""))</f>
        <v/>
      </c>
      <c r="AA379" s="503" t="str">
        <f>IF(終値!A379="","",IF(AND(安値!AF379&lt;安値!AE379,安値!AF379&lt;安値!AD379,安値!AF379&lt;安値!AG379,安値!AF379&lt;安値!AH379),27,""))</f>
        <v/>
      </c>
      <c r="AB379" s="503" t="str">
        <f>IF(終値!A379="","",IF(AND(安値!AG379&lt;安値!AF379,安値!AG379&lt;安値!AE379,安値!AG379&lt;安値!AH379,安値!AG379&lt;安値!AI379),28,""))</f>
        <v/>
      </c>
      <c r="AC379" s="503" t="str">
        <f>IF(終値!A379="","",IF(AND(高値!G379&gt;高値!F379,高値!G379&gt;高値!E379,高値!G379&gt;高値!H379,高値!G379&gt;高値!I379),2,""))</f>
        <v/>
      </c>
      <c r="AD379" s="503" t="str">
        <f>IF(終値!A379="","",IF(AND(高値!H379&gt;高値!G379,高値!H379&gt;高値!F379,高値!H379&gt;高値!I379,高値!H379&gt;高値!J379),3,""))</f>
        <v/>
      </c>
      <c r="AE379" s="503" t="str">
        <f>IF(終値!A379="","",IF(AND(高値!I379&gt;高値!H379,高値!I379&gt;高値!G379,高値!I379&gt;高値!J379,高値!I379&gt;高値!K379),4,""))</f>
        <v/>
      </c>
      <c r="AF379" s="503" t="str">
        <f>IF(終値!A379="","",IF(AND(高値!J379&gt;高値!I379,高値!J379&gt;高値!H379,高値!J379&gt;高値!K379,高値!J379&gt;高値!L379),5,""))</f>
        <v/>
      </c>
      <c r="AG379" s="503" t="str">
        <f>IF(終値!A379="","",IF(AND(高値!K379&gt;高値!J379,高値!K379&gt;高値!I379,高値!K379&gt;高値!L379,高値!K379&gt;高値!M379),6,""))</f>
        <v/>
      </c>
      <c r="AH379" s="503" t="str">
        <f>IF(終値!A379="","",IF(AND(高値!L379&gt;高値!K379,高値!L379&gt;高値!J379,高値!L379&gt;高値!M379,高値!L379&gt;高値!N379),7,""))</f>
        <v/>
      </c>
      <c r="AI379" s="503" t="str">
        <f>IF(終値!A379="","",IF(AND(高値!M379&gt;高値!L379,高値!M379&gt;高値!K379,高値!M379&gt;高値!N379,高値!M379&gt;高値!O379),8,""))</f>
        <v/>
      </c>
      <c r="AJ379" s="503" t="str">
        <f>IF(終値!A379="","",IF(AND(高値!N379&gt;高値!M379,高値!N379&gt;高値!L379,高値!N379&gt;高値!O379,高値!N379&gt;高値!P379),9,""))</f>
        <v/>
      </c>
      <c r="AK379" s="503" t="str">
        <f>IF(終値!A379="","",IF(AND(高値!O379&gt;高値!N379,高値!O379&gt;高値!M379,高値!O379&gt;高値!P379,高値!O379&gt;高値!Q379),10,""))</f>
        <v/>
      </c>
      <c r="AL379" s="503" t="str">
        <f>IF(終値!A379="","",IF(AND(高値!P379&gt;高値!O379,高値!P379&gt;高値!N379,高値!P379&gt;高値!Q379,高値!P379&gt;高値!R379),11,""))</f>
        <v/>
      </c>
      <c r="AM379" s="503" t="str">
        <f>IF(終値!A379="","",IF(AND(高値!Q379&gt;高値!P379,高値!Q379&gt;高値!O379,高値!Q379&gt;高値!R379,高値!Q379&gt;高値!S379),12,""))</f>
        <v/>
      </c>
      <c r="AN379" s="503" t="str">
        <f>IF(終値!A379="","",IF(AND(高値!R379&gt;高値!Q379,高値!R379&gt;高値!P379,高値!R379&gt;高値!S379,高値!R379&gt;高値!T379),13,""))</f>
        <v/>
      </c>
      <c r="AO379" s="503" t="str">
        <f>IF(終値!A379="","",IF(AND(高値!S379&gt;高値!R379,高値!S379&gt;高値!Q379,高値!S379&gt;高値!T379,高値!S379&gt;高値!U379),14,""))</f>
        <v/>
      </c>
      <c r="AP379" s="503" t="str">
        <f>IF(終値!A379="","",IF(AND(高値!T379&gt;高値!S379,高値!T379&gt;高値!R379,高値!T379&gt;高値!U379,高値!T379&gt;高値!V379),15,""))</f>
        <v/>
      </c>
      <c r="AQ379" s="503" t="str">
        <f>IF(終値!A379="","",IF(AND(高値!U379&gt;高値!T379,高値!U379&gt;高値!S379,高値!U379&gt;高値!V379,高値!U379&gt;高値!W379),16,""))</f>
        <v/>
      </c>
      <c r="AR379" s="503" t="str">
        <f>IF(終値!A379="","",IF(AND(高値!V379&gt;高値!U379,高値!V379&gt;高値!T379,高値!V379&gt;高値!W379,高値!V379&gt;高値!X379),17,""))</f>
        <v/>
      </c>
      <c r="AS379" s="503" t="str">
        <f>IF(終値!A379="","",IF(AND(高値!W379&gt;高値!V379,高値!W379&gt;高値!U379,高値!W379&gt;高値!X379,高値!W379&gt;高値!Y379),18,""))</f>
        <v/>
      </c>
      <c r="AT379" s="503" t="str">
        <f>IF(終値!A379="","",IF(AND(高値!X379&gt;高値!W379,高値!X379&gt;高値!V379,高値!X379&gt;高値!Y379,高値!X379&gt;高値!Z379),19,""))</f>
        <v/>
      </c>
      <c r="AU379" s="503" t="str">
        <f>IF(終値!A379="","",IF(AND(高値!Y379&gt;高値!X379,高値!Y379&gt;高値!W379,高値!Y379&gt;高値!Z379,高値!Y379&gt;高値!AA379),20,""))</f>
        <v/>
      </c>
      <c r="AV379" s="503" t="str">
        <f>IF(終値!A379="","",IF(AND(高値!Z379&gt;高値!Y379,高値!Z379&gt;高値!X379,高値!Z379&gt;高値!AA379,高値!Z379&gt;高値!AB379),21,""))</f>
        <v/>
      </c>
      <c r="AW379" s="503" t="str">
        <f>IF(終値!A379="","",IF(AND(高値!AA379&gt;高値!Z379,高値!AA379&gt;高値!Y379,高値!AA379&gt;高値!AB379,高値!AA379&gt;高値!AC379),22,""))</f>
        <v/>
      </c>
      <c r="AX379" s="503" t="str">
        <f>IF(終値!A379="","",IF(AND(高値!AB379&gt;高値!AA379,高値!AB379&gt;高値!Z379,高値!AB379&gt;高値!AC379,高値!AB379&gt;高値!AD379),23,""))</f>
        <v/>
      </c>
      <c r="AY379" s="503" t="str">
        <f>IF(終値!A379="","",IF(AND(高値!AC379&gt;高値!AB379,高値!AC379&gt;高値!AA379,高値!AC379&gt;高値!AD379,高値!AC379&gt;高値!AE379),24,""))</f>
        <v/>
      </c>
      <c r="AZ379" s="503" t="str">
        <f>IF(終値!A379="","",IF(AND(高値!AD379&gt;高値!AC379,高値!AD379&gt;高値!AB379,高値!AD379&gt;高値!AE379,高値!AD379&gt;高値!AF379),25,""))</f>
        <v/>
      </c>
      <c r="BA379" s="503" t="str">
        <f>IF(終値!A379="","",IF(AND(高値!AE379&gt;高値!AD379,高値!AE379&gt;高値!AC379,高値!AE379&gt;高値!AF379,高値!AE379&gt;高値!AG379),26,""))</f>
        <v/>
      </c>
      <c r="BB379" s="503" t="str">
        <f>IF(終値!A379="","",IF(AND(高値!AF379&gt;高値!AE379,高値!AF379&gt;高値!AD379,高値!AF379&gt;高値!AG379,高値!AF379&gt;高値!AH379),27,""))</f>
        <v/>
      </c>
      <c r="BC379" s="503" t="str">
        <f>IF(終値!A379="","",IF(AND(高値!AG379&gt;高値!AF379,高値!AG379&gt;高値!AE379,高値!AG379&gt;高値!AH379,高値!AG379&gt;高値!AI379),28,""))</f>
        <v/>
      </c>
      <c r="BD379" s="503">
        <f t="shared" si="30"/>
        <v>0</v>
      </c>
      <c r="BE379" s="503" t="str">
        <f t="shared" si="31"/>
        <v/>
      </c>
      <c r="BF379" s="503" t="str">
        <f t="shared" si="32"/>
        <v/>
      </c>
      <c r="BG379" s="503" t="str">
        <f>IF($BE379="","",INDEX(安値!$E379:$CZ379,1,$BE379+1))</f>
        <v/>
      </c>
      <c r="BH379" s="503" t="str">
        <f>IF($BF379="","",INDEX(安値!$E379:$CZ379,1,$BF379+1))</f>
        <v/>
      </c>
      <c r="BI379" s="503" t="str">
        <f>IF($BF379="","",MAX(INDEX(高値!$E379:$CZ379,1,$BE379+1):INDEX(高値!$E379:$CZ379,1,$BF379+1)))</f>
        <v/>
      </c>
      <c r="BJ379" s="503" t="str">
        <f>IF($BF379="","",AVERAGE(INDEX(終値!$E379:$CZ379,1,$BF379+1):INDEX(終値!$E379:$CZ379,1,$BF379+20))-2*STDEVP(INDEX(終値!$E379:$CZ379,1,$BF379+1):INDEX(終値!$E379:$CZ379,1,$BF379+20)))</f>
        <v/>
      </c>
      <c r="BK379" s="503" t="str">
        <f>IF($BE379="","",AVERAGE(INDEX(終値!$E379:$CZ379,1,$BE379+1):INDEX(終値!$E379:$CZ379,1,$BE379+20))-2*STDEVP(INDEX(終値!$E379:$CZ379,1,$BE379+1):INDEX(終値!$E379:$CZ379,1,$BE379+20)))</f>
        <v/>
      </c>
      <c r="BL379" s="503">
        <f t="shared" si="33"/>
        <v>0</v>
      </c>
      <c r="BM379" s="503" t="str">
        <f t="shared" si="34"/>
        <v/>
      </c>
      <c r="BN379" s="503" t="str">
        <f t="shared" si="35"/>
        <v/>
      </c>
      <c r="BO379" s="503" t="str">
        <f>IF($BM379="","",INDEX(高値!$E379:$CZ379,1,$BM379+1))</f>
        <v/>
      </c>
      <c r="BP379" s="503" t="str">
        <f>IF($BN379="","",INDEX(高値!$E379:$CZ379,1,$BN379+1))</f>
        <v/>
      </c>
      <c r="BQ379" s="503" t="str">
        <f>IF($BN379="","",MIN(INDEX(安値!$E379:$CZ379,1,$BM379+1):INDEX(安値!$E379:$CZ379,1,$BN379+1)))</f>
        <v/>
      </c>
      <c r="BR379" s="503" t="str">
        <f>IF($BN379="","",AVERAGE(INDEX(終値!$E379:$CZ379,1,$BN379+1):INDEX(終値!$E379:$CZ379,1,$BN379+20))+2*STDEVP(INDEX(終値!$E379:$CZ379,1,$BN379+1):INDEX(終値!$E379:$CZ379,1,$BN379+20)))</f>
        <v/>
      </c>
      <c r="BS379" s="503" t="str">
        <f>IF($BM379="","",AVERAGE(INDEX(終値!$E379:$CZ379,1,$BM379+1):INDEX(終値!$E379:$CZ379,1,$BM379+20))+2*STDEVP(INDEX(終値!$E379:$CZ379,1,$BM379+1):INDEX(終値!$E379:$CZ379,1,$BM379+20)))</f>
        <v/>
      </c>
      <c r="BT379" s="500"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3" t="str">
        <f>IF(終値!A380="","",IF(AND(安値!G380&lt;安値!F380,安値!G380&lt;安値!E380,安値!G380&lt;安値!H380,安値!G380&lt;安値!I380),2,""))</f>
        <v/>
      </c>
      <c r="C380" s="503" t="str">
        <f>IF(終値!A380="","",IF(AND(安値!H380&lt;安値!G380,安値!H380&lt;安値!F380,安値!H380&lt;安値!I380,安値!H380&lt;安値!J380),3,""))</f>
        <v/>
      </c>
      <c r="D380" s="503" t="str">
        <f>IF(終値!A380="","",IF(AND(安値!I380&lt;安値!H380,安値!I380&lt;安値!G380,安値!I380&lt;安値!J380,安値!I380&lt;安値!K380),4,""))</f>
        <v/>
      </c>
      <c r="E380" s="503" t="str">
        <f>IF(終値!A380="","",IF(AND(安値!J380&lt;安値!I380,安値!J380&lt;安値!H380,安値!J380&lt;安値!K380,安値!J380&lt;安値!L380),5,""))</f>
        <v/>
      </c>
      <c r="F380" s="503" t="str">
        <f>IF(終値!A380="","",IF(AND(安値!K380&lt;安値!J380,安値!K380&lt;安値!I380,安値!K380&lt;安値!L380,安値!K380&lt;安値!M380),6,""))</f>
        <v/>
      </c>
      <c r="G380" s="503" t="str">
        <f>IF(終値!A380="","",IF(AND(安値!L380&lt;安値!K380,安値!L380&lt;安値!J380,安値!L380&lt;安値!M380,安値!L380&lt;安値!N380),7,""))</f>
        <v/>
      </c>
      <c r="H380" s="503" t="str">
        <f>IF(終値!A380="","",IF(AND(安値!M380&lt;安値!L380,安値!M380&lt;安値!K380,安値!M380&lt;安値!N380,安値!M380&lt;安値!O380),8,""))</f>
        <v/>
      </c>
      <c r="I380" s="503" t="str">
        <f>IF(終値!A380="","",IF(AND(安値!N380&lt;安値!M380,安値!N380&lt;安値!L380,安値!N380&lt;安値!O380,安値!N380&lt;安値!P380),9,""))</f>
        <v/>
      </c>
      <c r="J380" s="503" t="str">
        <f>IF(終値!A380="","",IF(AND(安値!O380&lt;安値!N380,安値!O380&lt;安値!M380,安値!O380&lt;安値!P380,安値!O380&lt;安値!Q380),10,""))</f>
        <v/>
      </c>
      <c r="K380" s="503" t="str">
        <f>IF(終値!A380="","",IF(AND(安値!P380&lt;安値!O380,安値!P380&lt;安値!N380,安値!P380&lt;安値!Q380,安値!P380&lt;安値!R380),11,""))</f>
        <v/>
      </c>
      <c r="L380" s="503" t="str">
        <f>IF(終値!A380="","",IF(AND(安値!Q380&lt;安値!P380,安値!Q380&lt;安値!O380,安値!Q380&lt;安値!R380,安値!Q380&lt;安値!S380),12,""))</f>
        <v/>
      </c>
      <c r="M380" s="503" t="str">
        <f>IF(終値!A380="","",IF(AND(安値!R380&lt;安値!Q380,安値!R380&lt;安値!P380,安値!R380&lt;安値!S380,安値!R380&lt;安値!T380),13,""))</f>
        <v/>
      </c>
      <c r="N380" s="503" t="str">
        <f>IF(終値!A380="","",IF(AND(安値!S380&lt;安値!R380,安値!S380&lt;安値!Q380,安値!S380&lt;安値!T380,安値!S380&lt;安値!U380),14,""))</f>
        <v/>
      </c>
      <c r="O380" s="503" t="str">
        <f>IF(終値!A380="","",IF(AND(安値!T380&lt;安値!S380,安値!T380&lt;安値!R380,安値!T380&lt;安値!U380,安値!T380&lt;安値!V380),15,""))</f>
        <v/>
      </c>
      <c r="P380" s="503" t="str">
        <f>IF(終値!A380="","",IF(AND(安値!U380&lt;安値!T380,安値!U380&lt;安値!S380,安値!U380&lt;安値!V380,安値!U380&lt;安値!W380),16,""))</f>
        <v/>
      </c>
      <c r="Q380" s="503" t="str">
        <f>IF(終値!A380="","",IF(AND(安値!V380&lt;安値!U380,安値!V380&lt;安値!T380,安値!V380&lt;安値!W380,安値!V380&lt;安値!X380),17,""))</f>
        <v/>
      </c>
      <c r="R380" s="503" t="str">
        <f>IF(終値!A380="","",IF(AND(安値!W380&lt;安値!V380,安値!W380&lt;安値!U380,安値!W380&lt;安値!X380,安値!W380&lt;安値!Y380),18,""))</f>
        <v/>
      </c>
      <c r="S380" s="503" t="str">
        <f>IF(終値!A380="","",IF(AND(安値!X380&lt;安値!W380,安値!X380&lt;安値!V380,安値!X380&lt;安値!Y380,安値!X380&lt;安値!Z380),19,""))</f>
        <v/>
      </c>
      <c r="T380" s="503" t="str">
        <f>IF(終値!A380="","",IF(AND(安値!Y380&lt;安値!X380,安値!Y380&lt;安値!W380,安値!Y380&lt;安値!Z380,安値!Y380&lt;安値!AA380),20,""))</f>
        <v/>
      </c>
      <c r="U380" s="503" t="str">
        <f>IF(終値!A380="","",IF(AND(安値!Z380&lt;安値!Y380,安値!Z380&lt;安値!X380,安値!Z380&lt;安値!AA380,安値!Z380&lt;安値!AB380),21,""))</f>
        <v/>
      </c>
      <c r="V380" s="503" t="str">
        <f>IF(終値!A380="","",IF(AND(安値!AA380&lt;安値!Z380,安値!AA380&lt;安値!Y380,安値!AA380&lt;安値!AB380,安値!AA380&lt;安値!AC380),22,""))</f>
        <v/>
      </c>
      <c r="W380" s="503" t="str">
        <f>IF(終値!A380="","",IF(AND(安値!AB380&lt;安値!AA380,安値!AB380&lt;安値!Z380,安値!AB380&lt;安値!AC380,安値!AB380&lt;安値!AD380),23,""))</f>
        <v/>
      </c>
      <c r="X380" s="503" t="str">
        <f>IF(終値!A380="","",IF(AND(安値!AC380&lt;安値!AB380,安値!AC380&lt;安値!AA380,安値!AC380&lt;安値!AD380,安値!AC380&lt;安値!AE380),24,""))</f>
        <v/>
      </c>
      <c r="Y380" s="503" t="str">
        <f>IF(終値!A380="","",IF(AND(安値!AD380&lt;安値!AC380,安値!AD380&lt;安値!AB380,安値!AD380&lt;安値!AE380,安値!AD380&lt;安値!AF380),25,""))</f>
        <v/>
      </c>
      <c r="Z380" s="503" t="str">
        <f>IF(終値!A380="","",IF(AND(安値!AE380&lt;安値!AD380,安値!AE380&lt;安値!AC380,安値!AE380&lt;安値!AF380,安値!AE380&lt;安値!AG380),26,""))</f>
        <v/>
      </c>
      <c r="AA380" s="503" t="str">
        <f>IF(終値!A380="","",IF(AND(安値!AF380&lt;安値!AE380,安値!AF380&lt;安値!AD380,安値!AF380&lt;安値!AG380,安値!AF380&lt;安値!AH380),27,""))</f>
        <v/>
      </c>
      <c r="AB380" s="503" t="str">
        <f>IF(終値!A380="","",IF(AND(安値!AG380&lt;安値!AF380,安値!AG380&lt;安値!AE380,安値!AG380&lt;安値!AH380,安値!AG380&lt;安値!AI380),28,""))</f>
        <v/>
      </c>
      <c r="AC380" s="503" t="str">
        <f>IF(終値!A380="","",IF(AND(高値!G380&gt;高値!F380,高値!G380&gt;高値!E380,高値!G380&gt;高値!H380,高値!G380&gt;高値!I380),2,""))</f>
        <v/>
      </c>
      <c r="AD380" s="503" t="str">
        <f>IF(終値!A380="","",IF(AND(高値!H380&gt;高値!G380,高値!H380&gt;高値!F380,高値!H380&gt;高値!I380,高値!H380&gt;高値!J380),3,""))</f>
        <v/>
      </c>
      <c r="AE380" s="503" t="str">
        <f>IF(終値!A380="","",IF(AND(高値!I380&gt;高値!H380,高値!I380&gt;高値!G380,高値!I380&gt;高値!J380,高値!I380&gt;高値!K380),4,""))</f>
        <v/>
      </c>
      <c r="AF380" s="503" t="str">
        <f>IF(終値!A380="","",IF(AND(高値!J380&gt;高値!I380,高値!J380&gt;高値!H380,高値!J380&gt;高値!K380,高値!J380&gt;高値!L380),5,""))</f>
        <v/>
      </c>
      <c r="AG380" s="503" t="str">
        <f>IF(終値!A380="","",IF(AND(高値!K380&gt;高値!J380,高値!K380&gt;高値!I380,高値!K380&gt;高値!L380,高値!K380&gt;高値!M380),6,""))</f>
        <v/>
      </c>
      <c r="AH380" s="503" t="str">
        <f>IF(終値!A380="","",IF(AND(高値!L380&gt;高値!K380,高値!L380&gt;高値!J380,高値!L380&gt;高値!M380,高値!L380&gt;高値!N380),7,""))</f>
        <v/>
      </c>
      <c r="AI380" s="503" t="str">
        <f>IF(終値!A380="","",IF(AND(高値!M380&gt;高値!L380,高値!M380&gt;高値!K380,高値!M380&gt;高値!N380,高値!M380&gt;高値!O380),8,""))</f>
        <v/>
      </c>
      <c r="AJ380" s="503" t="str">
        <f>IF(終値!A380="","",IF(AND(高値!N380&gt;高値!M380,高値!N380&gt;高値!L380,高値!N380&gt;高値!O380,高値!N380&gt;高値!P380),9,""))</f>
        <v/>
      </c>
      <c r="AK380" s="503" t="str">
        <f>IF(終値!A380="","",IF(AND(高値!O380&gt;高値!N380,高値!O380&gt;高値!M380,高値!O380&gt;高値!P380,高値!O380&gt;高値!Q380),10,""))</f>
        <v/>
      </c>
      <c r="AL380" s="503" t="str">
        <f>IF(終値!A380="","",IF(AND(高値!P380&gt;高値!O380,高値!P380&gt;高値!N380,高値!P380&gt;高値!Q380,高値!P380&gt;高値!R380),11,""))</f>
        <v/>
      </c>
      <c r="AM380" s="503" t="str">
        <f>IF(終値!A380="","",IF(AND(高値!Q380&gt;高値!P380,高値!Q380&gt;高値!O380,高値!Q380&gt;高値!R380,高値!Q380&gt;高値!S380),12,""))</f>
        <v/>
      </c>
      <c r="AN380" s="503" t="str">
        <f>IF(終値!A380="","",IF(AND(高値!R380&gt;高値!Q380,高値!R380&gt;高値!P380,高値!R380&gt;高値!S380,高値!R380&gt;高値!T380),13,""))</f>
        <v/>
      </c>
      <c r="AO380" s="503" t="str">
        <f>IF(終値!A380="","",IF(AND(高値!S380&gt;高値!R380,高値!S380&gt;高値!Q380,高値!S380&gt;高値!T380,高値!S380&gt;高値!U380),14,""))</f>
        <v/>
      </c>
      <c r="AP380" s="503" t="str">
        <f>IF(終値!A380="","",IF(AND(高値!T380&gt;高値!S380,高値!T380&gt;高値!R380,高値!T380&gt;高値!U380,高値!T380&gt;高値!V380),15,""))</f>
        <v/>
      </c>
      <c r="AQ380" s="503" t="str">
        <f>IF(終値!A380="","",IF(AND(高値!U380&gt;高値!T380,高値!U380&gt;高値!S380,高値!U380&gt;高値!V380,高値!U380&gt;高値!W380),16,""))</f>
        <v/>
      </c>
      <c r="AR380" s="503" t="str">
        <f>IF(終値!A380="","",IF(AND(高値!V380&gt;高値!U380,高値!V380&gt;高値!T380,高値!V380&gt;高値!W380,高値!V380&gt;高値!X380),17,""))</f>
        <v/>
      </c>
      <c r="AS380" s="503" t="str">
        <f>IF(終値!A380="","",IF(AND(高値!W380&gt;高値!V380,高値!W380&gt;高値!U380,高値!W380&gt;高値!X380,高値!W380&gt;高値!Y380),18,""))</f>
        <v/>
      </c>
      <c r="AT380" s="503" t="str">
        <f>IF(終値!A380="","",IF(AND(高値!X380&gt;高値!W380,高値!X380&gt;高値!V380,高値!X380&gt;高値!Y380,高値!X380&gt;高値!Z380),19,""))</f>
        <v/>
      </c>
      <c r="AU380" s="503" t="str">
        <f>IF(終値!A380="","",IF(AND(高値!Y380&gt;高値!X380,高値!Y380&gt;高値!W380,高値!Y380&gt;高値!Z380,高値!Y380&gt;高値!AA380),20,""))</f>
        <v/>
      </c>
      <c r="AV380" s="503" t="str">
        <f>IF(終値!A380="","",IF(AND(高値!Z380&gt;高値!Y380,高値!Z380&gt;高値!X380,高値!Z380&gt;高値!AA380,高値!Z380&gt;高値!AB380),21,""))</f>
        <v/>
      </c>
      <c r="AW380" s="503" t="str">
        <f>IF(終値!A380="","",IF(AND(高値!AA380&gt;高値!Z380,高値!AA380&gt;高値!Y380,高値!AA380&gt;高値!AB380,高値!AA380&gt;高値!AC380),22,""))</f>
        <v/>
      </c>
      <c r="AX380" s="503" t="str">
        <f>IF(終値!A380="","",IF(AND(高値!AB380&gt;高値!AA380,高値!AB380&gt;高値!Z380,高値!AB380&gt;高値!AC380,高値!AB380&gt;高値!AD380),23,""))</f>
        <v/>
      </c>
      <c r="AY380" s="503" t="str">
        <f>IF(終値!A380="","",IF(AND(高値!AC380&gt;高値!AB380,高値!AC380&gt;高値!AA380,高値!AC380&gt;高値!AD380,高値!AC380&gt;高値!AE380),24,""))</f>
        <v/>
      </c>
      <c r="AZ380" s="503" t="str">
        <f>IF(終値!A380="","",IF(AND(高値!AD380&gt;高値!AC380,高値!AD380&gt;高値!AB380,高値!AD380&gt;高値!AE380,高値!AD380&gt;高値!AF380),25,""))</f>
        <v/>
      </c>
      <c r="BA380" s="503" t="str">
        <f>IF(終値!A380="","",IF(AND(高値!AE380&gt;高値!AD380,高値!AE380&gt;高値!AC380,高値!AE380&gt;高値!AF380,高値!AE380&gt;高値!AG380),26,""))</f>
        <v/>
      </c>
      <c r="BB380" s="503" t="str">
        <f>IF(終値!A380="","",IF(AND(高値!AF380&gt;高値!AE380,高値!AF380&gt;高値!AD380,高値!AF380&gt;高値!AG380,高値!AF380&gt;高値!AH380),27,""))</f>
        <v/>
      </c>
      <c r="BC380" s="503" t="str">
        <f>IF(終値!A380="","",IF(AND(高値!AG380&gt;高値!AF380,高値!AG380&gt;高値!AE380,高値!AG380&gt;高値!AH380,高値!AG380&gt;高値!AI380),28,""))</f>
        <v/>
      </c>
      <c r="BD380" s="503">
        <f t="shared" si="30"/>
        <v>0</v>
      </c>
      <c r="BE380" s="503" t="str">
        <f t="shared" si="31"/>
        <v/>
      </c>
      <c r="BF380" s="503" t="str">
        <f t="shared" si="32"/>
        <v/>
      </c>
      <c r="BG380" s="503" t="str">
        <f>IF($BE380="","",INDEX(安値!$E380:$CZ380,1,$BE380+1))</f>
        <v/>
      </c>
      <c r="BH380" s="503" t="str">
        <f>IF($BF380="","",INDEX(安値!$E380:$CZ380,1,$BF380+1))</f>
        <v/>
      </c>
      <c r="BI380" s="503" t="str">
        <f>IF($BF380="","",MAX(INDEX(高値!$E380:$CZ380,1,$BE380+1):INDEX(高値!$E380:$CZ380,1,$BF380+1)))</f>
        <v/>
      </c>
      <c r="BJ380" s="503" t="str">
        <f>IF($BF380="","",AVERAGE(INDEX(終値!$E380:$CZ380,1,$BF380+1):INDEX(終値!$E380:$CZ380,1,$BF380+20))-2*STDEVP(INDEX(終値!$E380:$CZ380,1,$BF380+1):INDEX(終値!$E380:$CZ380,1,$BF380+20)))</f>
        <v/>
      </c>
      <c r="BK380" s="503" t="str">
        <f>IF($BE380="","",AVERAGE(INDEX(終値!$E380:$CZ380,1,$BE380+1):INDEX(終値!$E380:$CZ380,1,$BE380+20))-2*STDEVP(INDEX(終値!$E380:$CZ380,1,$BE380+1):INDEX(終値!$E380:$CZ380,1,$BE380+20)))</f>
        <v/>
      </c>
      <c r="BL380" s="503">
        <f t="shared" si="33"/>
        <v>0</v>
      </c>
      <c r="BM380" s="503" t="str">
        <f t="shared" si="34"/>
        <v/>
      </c>
      <c r="BN380" s="503" t="str">
        <f t="shared" si="35"/>
        <v/>
      </c>
      <c r="BO380" s="503" t="str">
        <f>IF($BM380="","",INDEX(高値!$E380:$CZ380,1,$BM380+1))</f>
        <v/>
      </c>
      <c r="BP380" s="503" t="str">
        <f>IF($BN380="","",INDEX(高値!$E380:$CZ380,1,$BN380+1))</f>
        <v/>
      </c>
      <c r="BQ380" s="503" t="str">
        <f>IF($BN380="","",MIN(INDEX(安値!$E380:$CZ380,1,$BM380+1):INDEX(安値!$E380:$CZ380,1,$BN380+1)))</f>
        <v/>
      </c>
      <c r="BR380" s="503" t="str">
        <f>IF($BN380="","",AVERAGE(INDEX(終値!$E380:$CZ380,1,$BN380+1):INDEX(終値!$E380:$CZ380,1,$BN380+20))+2*STDEVP(INDEX(終値!$E380:$CZ380,1,$BN380+1):INDEX(終値!$E380:$CZ380,1,$BN380+20)))</f>
        <v/>
      </c>
      <c r="BS380" s="503" t="str">
        <f>IF($BM380="","",AVERAGE(INDEX(終値!$E380:$CZ380,1,$BM380+1):INDEX(終値!$E380:$CZ380,1,$BM380+20))+2*STDEVP(INDEX(終値!$E380:$CZ380,1,$BM380+1):INDEX(終値!$E380:$CZ380,1,$BM380+20)))</f>
        <v/>
      </c>
      <c r="BT380" s="500"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3" t="str">
        <f>IF(終値!A381="","",IF(AND(安値!G381&lt;安値!F381,安値!G381&lt;安値!E381,安値!G381&lt;安値!H381,安値!G381&lt;安値!I381),2,""))</f>
        <v/>
      </c>
      <c r="C381" s="503" t="str">
        <f>IF(終値!A381="","",IF(AND(安値!H381&lt;安値!G381,安値!H381&lt;安値!F381,安値!H381&lt;安値!I381,安値!H381&lt;安値!J381),3,""))</f>
        <v/>
      </c>
      <c r="D381" s="503" t="str">
        <f>IF(終値!A381="","",IF(AND(安値!I381&lt;安値!H381,安値!I381&lt;安値!G381,安値!I381&lt;安値!J381,安値!I381&lt;安値!K381),4,""))</f>
        <v/>
      </c>
      <c r="E381" s="503" t="str">
        <f>IF(終値!A381="","",IF(AND(安値!J381&lt;安値!I381,安値!J381&lt;安値!H381,安値!J381&lt;安値!K381,安値!J381&lt;安値!L381),5,""))</f>
        <v/>
      </c>
      <c r="F381" s="503" t="str">
        <f>IF(終値!A381="","",IF(AND(安値!K381&lt;安値!J381,安値!K381&lt;安値!I381,安値!K381&lt;安値!L381,安値!K381&lt;安値!M381),6,""))</f>
        <v/>
      </c>
      <c r="G381" s="503" t="str">
        <f>IF(終値!A381="","",IF(AND(安値!L381&lt;安値!K381,安値!L381&lt;安値!J381,安値!L381&lt;安値!M381,安値!L381&lt;安値!N381),7,""))</f>
        <v/>
      </c>
      <c r="H381" s="503" t="str">
        <f>IF(終値!A381="","",IF(AND(安値!M381&lt;安値!L381,安値!M381&lt;安値!K381,安値!M381&lt;安値!N381,安値!M381&lt;安値!O381),8,""))</f>
        <v/>
      </c>
      <c r="I381" s="503" t="str">
        <f>IF(終値!A381="","",IF(AND(安値!N381&lt;安値!M381,安値!N381&lt;安値!L381,安値!N381&lt;安値!O381,安値!N381&lt;安値!P381),9,""))</f>
        <v/>
      </c>
      <c r="J381" s="503" t="str">
        <f>IF(終値!A381="","",IF(AND(安値!O381&lt;安値!N381,安値!O381&lt;安値!M381,安値!O381&lt;安値!P381,安値!O381&lt;安値!Q381),10,""))</f>
        <v/>
      </c>
      <c r="K381" s="503" t="str">
        <f>IF(終値!A381="","",IF(AND(安値!P381&lt;安値!O381,安値!P381&lt;安値!N381,安値!P381&lt;安値!Q381,安値!P381&lt;安値!R381),11,""))</f>
        <v/>
      </c>
      <c r="L381" s="503" t="str">
        <f>IF(終値!A381="","",IF(AND(安値!Q381&lt;安値!P381,安値!Q381&lt;安値!O381,安値!Q381&lt;安値!R381,安値!Q381&lt;安値!S381),12,""))</f>
        <v/>
      </c>
      <c r="M381" s="503" t="str">
        <f>IF(終値!A381="","",IF(AND(安値!R381&lt;安値!Q381,安値!R381&lt;安値!P381,安値!R381&lt;安値!S381,安値!R381&lt;安値!T381),13,""))</f>
        <v/>
      </c>
      <c r="N381" s="503" t="str">
        <f>IF(終値!A381="","",IF(AND(安値!S381&lt;安値!R381,安値!S381&lt;安値!Q381,安値!S381&lt;安値!T381,安値!S381&lt;安値!U381),14,""))</f>
        <v/>
      </c>
      <c r="O381" s="503" t="str">
        <f>IF(終値!A381="","",IF(AND(安値!T381&lt;安値!S381,安値!T381&lt;安値!R381,安値!T381&lt;安値!U381,安値!T381&lt;安値!V381),15,""))</f>
        <v/>
      </c>
      <c r="P381" s="503" t="str">
        <f>IF(終値!A381="","",IF(AND(安値!U381&lt;安値!T381,安値!U381&lt;安値!S381,安値!U381&lt;安値!V381,安値!U381&lt;安値!W381),16,""))</f>
        <v/>
      </c>
      <c r="Q381" s="503" t="str">
        <f>IF(終値!A381="","",IF(AND(安値!V381&lt;安値!U381,安値!V381&lt;安値!T381,安値!V381&lt;安値!W381,安値!V381&lt;安値!X381),17,""))</f>
        <v/>
      </c>
      <c r="R381" s="503" t="str">
        <f>IF(終値!A381="","",IF(AND(安値!W381&lt;安値!V381,安値!W381&lt;安値!U381,安値!W381&lt;安値!X381,安値!W381&lt;安値!Y381),18,""))</f>
        <v/>
      </c>
      <c r="S381" s="503" t="str">
        <f>IF(終値!A381="","",IF(AND(安値!X381&lt;安値!W381,安値!X381&lt;安値!V381,安値!X381&lt;安値!Y381,安値!X381&lt;安値!Z381),19,""))</f>
        <v/>
      </c>
      <c r="T381" s="503" t="str">
        <f>IF(終値!A381="","",IF(AND(安値!Y381&lt;安値!X381,安値!Y381&lt;安値!W381,安値!Y381&lt;安値!Z381,安値!Y381&lt;安値!AA381),20,""))</f>
        <v/>
      </c>
      <c r="U381" s="503" t="str">
        <f>IF(終値!A381="","",IF(AND(安値!Z381&lt;安値!Y381,安値!Z381&lt;安値!X381,安値!Z381&lt;安値!AA381,安値!Z381&lt;安値!AB381),21,""))</f>
        <v/>
      </c>
      <c r="V381" s="503" t="str">
        <f>IF(終値!A381="","",IF(AND(安値!AA381&lt;安値!Z381,安値!AA381&lt;安値!Y381,安値!AA381&lt;安値!AB381,安値!AA381&lt;安値!AC381),22,""))</f>
        <v/>
      </c>
      <c r="W381" s="503" t="str">
        <f>IF(終値!A381="","",IF(AND(安値!AB381&lt;安値!AA381,安値!AB381&lt;安値!Z381,安値!AB381&lt;安値!AC381,安値!AB381&lt;安値!AD381),23,""))</f>
        <v/>
      </c>
      <c r="X381" s="503" t="str">
        <f>IF(終値!A381="","",IF(AND(安値!AC381&lt;安値!AB381,安値!AC381&lt;安値!AA381,安値!AC381&lt;安値!AD381,安値!AC381&lt;安値!AE381),24,""))</f>
        <v/>
      </c>
      <c r="Y381" s="503" t="str">
        <f>IF(終値!A381="","",IF(AND(安値!AD381&lt;安値!AC381,安値!AD381&lt;安値!AB381,安値!AD381&lt;安値!AE381,安値!AD381&lt;安値!AF381),25,""))</f>
        <v/>
      </c>
      <c r="Z381" s="503" t="str">
        <f>IF(終値!A381="","",IF(AND(安値!AE381&lt;安値!AD381,安値!AE381&lt;安値!AC381,安値!AE381&lt;安値!AF381,安値!AE381&lt;安値!AG381),26,""))</f>
        <v/>
      </c>
      <c r="AA381" s="503" t="str">
        <f>IF(終値!A381="","",IF(AND(安値!AF381&lt;安値!AE381,安値!AF381&lt;安値!AD381,安値!AF381&lt;安値!AG381,安値!AF381&lt;安値!AH381),27,""))</f>
        <v/>
      </c>
      <c r="AB381" s="503" t="str">
        <f>IF(終値!A381="","",IF(AND(安値!AG381&lt;安値!AF381,安値!AG381&lt;安値!AE381,安値!AG381&lt;安値!AH381,安値!AG381&lt;安値!AI381),28,""))</f>
        <v/>
      </c>
      <c r="AC381" s="503" t="str">
        <f>IF(終値!A381="","",IF(AND(高値!G381&gt;高値!F381,高値!G381&gt;高値!E381,高値!G381&gt;高値!H381,高値!G381&gt;高値!I381),2,""))</f>
        <v/>
      </c>
      <c r="AD381" s="503" t="str">
        <f>IF(終値!A381="","",IF(AND(高値!H381&gt;高値!G381,高値!H381&gt;高値!F381,高値!H381&gt;高値!I381,高値!H381&gt;高値!J381),3,""))</f>
        <v/>
      </c>
      <c r="AE381" s="503" t="str">
        <f>IF(終値!A381="","",IF(AND(高値!I381&gt;高値!H381,高値!I381&gt;高値!G381,高値!I381&gt;高値!J381,高値!I381&gt;高値!K381),4,""))</f>
        <v/>
      </c>
      <c r="AF381" s="503" t="str">
        <f>IF(終値!A381="","",IF(AND(高値!J381&gt;高値!I381,高値!J381&gt;高値!H381,高値!J381&gt;高値!K381,高値!J381&gt;高値!L381),5,""))</f>
        <v/>
      </c>
      <c r="AG381" s="503" t="str">
        <f>IF(終値!A381="","",IF(AND(高値!K381&gt;高値!J381,高値!K381&gt;高値!I381,高値!K381&gt;高値!L381,高値!K381&gt;高値!M381),6,""))</f>
        <v/>
      </c>
      <c r="AH381" s="503" t="str">
        <f>IF(終値!A381="","",IF(AND(高値!L381&gt;高値!K381,高値!L381&gt;高値!J381,高値!L381&gt;高値!M381,高値!L381&gt;高値!N381),7,""))</f>
        <v/>
      </c>
      <c r="AI381" s="503" t="str">
        <f>IF(終値!A381="","",IF(AND(高値!M381&gt;高値!L381,高値!M381&gt;高値!K381,高値!M381&gt;高値!N381,高値!M381&gt;高値!O381),8,""))</f>
        <v/>
      </c>
      <c r="AJ381" s="503" t="str">
        <f>IF(終値!A381="","",IF(AND(高値!N381&gt;高値!M381,高値!N381&gt;高値!L381,高値!N381&gt;高値!O381,高値!N381&gt;高値!P381),9,""))</f>
        <v/>
      </c>
      <c r="AK381" s="503" t="str">
        <f>IF(終値!A381="","",IF(AND(高値!O381&gt;高値!N381,高値!O381&gt;高値!M381,高値!O381&gt;高値!P381,高値!O381&gt;高値!Q381),10,""))</f>
        <v/>
      </c>
      <c r="AL381" s="503" t="str">
        <f>IF(終値!A381="","",IF(AND(高値!P381&gt;高値!O381,高値!P381&gt;高値!N381,高値!P381&gt;高値!Q381,高値!P381&gt;高値!R381),11,""))</f>
        <v/>
      </c>
      <c r="AM381" s="503" t="str">
        <f>IF(終値!A381="","",IF(AND(高値!Q381&gt;高値!P381,高値!Q381&gt;高値!O381,高値!Q381&gt;高値!R381,高値!Q381&gt;高値!S381),12,""))</f>
        <v/>
      </c>
      <c r="AN381" s="503" t="str">
        <f>IF(終値!A381="","",IF(AND(高値!R381&gt;高値!Q381,高値!R381&gt;高値!P381,高値!R381&gt;高値!S381,高値!R381&gt;高値!T381),13,""))</f>
        <v/>
      </c>
      <c r="AO381" s="503" t="str">
        <f>IF(終値!A381="","",IF(AND(高値!S381&gt;高値!R381,高値!S381&gt;高値!Q381,高値!S381&gt;高値!T381,高値!S381&gt;高値!U381),14,""))</f>
        <v/>
      </c>
      <c r="AP381" s="503" t="str">
        <f>IF(終値!A381="","",IF(AND(高値!T381&gt;高値!S381,高値!T381&gt;高値!R381,高値!T381&gt;高値!U381,高値!T381&gt;高値!V381),15,""))</f>
        <v/>
      </c>
      <c r="AQ381" s="503" t="str">
        <f>IF(終値!A381="","",IF(AND(高値!U381&gt;高値!T381,高値!U381&gt;高値!S381,高値!U381&gt;高値!V381,高値!U381&gt;高値!W381),16,""))</f>
        <v/>
      </c>
      <c r="AR381" s="503" t="str">
        <f>IF(終値!A381="","",IF(AND(高値!V381&gt;高値!U381,高値!V381&gt;高値!T381,高値!V381&gt;高値!W381,高値!V381&gt;高値!X381),17,""))</f>
        <v/>
      </c>
      <c r="AS381" s="503" t="str">
        <f>IF(終値!A381="","",IF(AND(高値!W381&gt;高値!V381,高値!W381&gt;高値!U381,高値!W381&gt;高値!X381,高値!W381&gt;高値!Y381),18,""))</f>
        <v/>
      </c>
      <c r="AT381" s="503" t="str">
        <f>IF(終値!A381="","",IF(AND(高値!X381&gt;高値!W381,高値!X381&gt;高値!V381,高値!X381&gt;高値!Y381,高値!X381&gt;高値!Z381),19,""))</f>
        <v/>
      </c>
      <c r="AU381" s="503" t="str">
        <f>IF(終値!A381="","",IF(AND(高値!Y381&gt;高値!X381,高値!Y381&gt;高値!W381,高値!Y381&gt;高値!Z381,高値!Y381&gt;高値!AA381),20,""))</f>
        <v/>
      </c>
      <c r="AV381" s="503" t="str">
        <f>IF(終値!A381="","",IF(AND(高値!Z381&gt;高値!Y381,高値!Z381&gt;高値!X381,高値!Z381&gt;高値!AA381,高値!Z381&gt;高値!AB381),21,""))</f>
        <v/>
      </c>
      <c r="AW381" s="503" t="str">
        <f>IF(終値!A381="","",IF(AND(高値!AA381&gt;高値!Z381,高値!AA381&gt;高値!Y381,高値!AA381&gt;高値!AB381,高値!AA381&gt;高値!AC381),22,""))</f>
        <v/>
      </c>
      <c r="AX381" s="503" t="str">
        <f>IF(終値!A381="","",IF(AND(高値!AB381&gt;高値!AA381,高値!AB381&gt;高値!Z381,高値!AB381&gt;高値!AC381,高値!AB381&gt;高値!AD381),23,""))</f>
        <v/>
      </c>
      <c r="AY381" s="503" t="str">
        <f>IF(終値!A381="","",IF(AND(高値!AC381&gt;高値!AB381,高値!AC381&gt;高値!AA381,高値!AC381&gt;高値!AD381,高値!AC381&gt;高値!AE381),24,""))</f>
        <v/>
      </c>
      <c r="AZ381" s="503" t="str">
        <f>IF(終値!A381="","",IF(AND(高値!AD381&gt;高値!AC381,高値!AD381&gt;高値!AB381,高値!AD381&gt;高値!AE381,高値!AD381&gt;高値!AF381),25,""))</f>
        <v/>
      </c>
      <c r="BA381" s="503" t="str">
        <f>IF(終値!A381="","",IF(AND(高値!AE381&gt;高値!AD381,高値!AE381&gt;高値!AC381,高値!AE381&gt;高値!AF381,高値!AE381&gt;高値!AG381),26,""))</f>
        <v/>
      </c>
      <c r="BB381" s="503" t="str">
        <f>IF(終値!A381="","",IF(AND(高値!AF381&gt;高値!AE381,高値!AF381&gt;高値!AD381,高値!AF381&gt;高値!AG381,高値!AF381&gt;高値!AH381),27,""))</f>
        <v/>
      </c>
      <c r="BC381" s="503" t="str">
        <f>IF(終値!A381="","",IF(AND(高値!AG381&gt;高値!AF381,高値!AG381&gt;高値!AE381,高値!AG381&gt;高値!AH381,高値!AG381&gt;高値!AI381),28,""))</f>
        <v/>
      </c>
      <c r="BD381" s="503">
        <f t="shared" si="30"/>
        <v>0</v>
      </c>
      <c r="BE381" s="503" t="str">
        <f t="shared" si="31"/>
        <v/>
      </c>
      <c r="BF381" s="503" t="str">
        <f t="shared" si="32"/>
        <v/>
      </c>
      <c r="BG381" s="503" t="str">
        <f>IF($BE381="","",INDEX(安値!$E381:$CZ381,1,$BE381+1))</f>
        <v/>
      </c>
      <c r="BH381" s="503" t="str">
        <f>IF($BF381="","",INDEX(安値!$E381:$CZ381,1,$BF381+1))</f>
        <v/>
      </c>
      <c r="BI381" s="503" t="str">
        <f>IF($BF381="","",MAX(INDEX(高値!$E381:$CZ381,1,$BE381+1):INDEX(高値!$E381:$CZ381,1,$BF381+1)))</f>
        <v/>
      </c>
      <c r="BJ381" s="503" t="str">
        <f>IF($BF381="","",AVERAGE(INDEX(終値!$E381:$CZ381,1,$BF381+1):INDEX(終値!$E381:$CZ381,1,$BF381+20))-2*STDEVP(INDEX(終値!$E381:$CZ381,1,$BF381+1):INDEX(終値!$E381:$CZ381,1,$BF381+20)))</f>
        <v/>
      </c>
      <c r="BK381" s="503" t="str">
        <f>IF($BE381="","",AVERAGE(INDEX(終値!$E381:$CZ381,1,$BE381+1):INDEX(終値!$E381:$CZ381,1,$BE381+20))-2*STDEVP(INDEX(終値!$E381:$CZ381,1,$BE381+1):INDEX(終値!$E381:$CZ381,1,$BE381+20)))</f>
        <v/>
      </c>
      <c r="BL381" s="503">
        <f t="shared" si="33"/>
        <v>0</v>
      </c>
      <c r="BM381" s="503" t="str">
        <f t="shared" si="34"/>
        <v/>
      </c>
      <c r="BN381" s="503" t="str">
        <f t="shared" si="35"/>
        <v/>
      </c>
      <c r="BO381" s="503" t="str">
        <f>IF($BM381="","",INDEX(高値!$E381:$CZ381,1,$BM381+1))</f>
        <v/>
      </c>
      <c r="BP381" s="503" t="str">
        <f>IF($BN381="","",INDEX(高値!$E381:$CZ381,1,$BN381+1))</f>
        <v/>
      </c>
      <c r="BQ381" s="503" t="str">
        <f>IF($BN381="","",MIN(INDEX(安値!$E381:$CZ381,1,$BM381+1):INDEX(安値!$E381:$CZ381,1,$BN381+1)))</f>
        <v/>
      </c>
      <c r="BR381" s="503" t="str">
        <f>IF($BN381="","",AVERAGE(INDEX(終値!$E381:$CZ381,1,$BN381+1):INDEX(終値!$E381:$CZ381,1,$BN381+20))+2*STDEVP(INDEX(終値!$E381:$CZ381,1,$BN381+1):INDEX(終値!$E381:$CZ381,1,$BN381+20)))</f>
        <v/>
      </c>
      <c r="BS381" s="503" t="str">
        <f>IF($BM381="","",AVERAGE(INDEX(終値!$E381:$CZ381,1,$BM381+1):INDEX(終値!$E381:$CZ381,1,$BM381+20))+2*STDEVP(INDEX(終値!$E381:$CZ381,1,$BM381+1):INDEX(終値!$E381:$CZ381,1,$BM381+20)))</f>
        <v/>
      </c>
      <c r="BT381" s="500"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3" t="str">
        <f>IF(終値!A382="","",IF(AND(安値!G382&lt;安値!F382,安値!G382&lt;安値!E382,安値!G382&lt;安値!H382,安値!G382&lt;安値!I382),2,""))</f>
        <v/>
      </c>
      <c r="C382" s="503" t="str">
        <f>IF(終値!A382="","",IF(AND(安値!H382&lt;安値!G382,安値!H382&lt;安値!F382,安値!H382&lt;安値!I382,安値!H382&lt;安値!J382),3,""))</f>
        <v/>
      </c>
      <c r="D382" s="503" t="str">
        <f>IF(終値!A382="","",IF(AND(安値!I382&lt;安値!H382,安値!I382&lt;安値!G382,安値!I382&lt;安値!J382,安値!I382&lt;安値!K382),4,""))</f>
        <v/>
      </c>
      <c r="E382" s="503" t="str">
        <f>IF(終値!A382="","",IF(AND(安値!J382&lt;安値!I382,安値!J382&lt;安値!H382,安値!J382&lt;安値!K382,安値!J382&lt;安値!L382),5,""))</f>
        <v/>
      </c>
      <c r="F382" s="503" t="str">
        <f>IF(終値!A382="","",IF(AND(安値!K382&lt;安値!J382,安値!K382&lt;安値!I382,安値!K382&lt;安値!L382,安値!K382&lt;安値!M382),6,""))</f>
        <v/>
      </c>
      <c r="G382" s="503" t="str">
        <f>IF(終値!A382="","",IF(AND(安値!L382&lt;安値!K382,安値!L382&lt;安値!J382,安値!L382&lt;安値!M382,安値!L382&lt;安値!N382),7,""))</f>
        <v/>
      </c>
      <c r="H382" s="503" t="str">
        <f>IF(終値!A382="","",IF(AND(安値!M382&lt;安値!L382,安値!M382&lt;安値!K382,安値!M382&lt;安値!N382,安値!M382&lt;安値!O382),8,""))</f>
        <v/>
      </c>
      <c r="I382" s="503" t="str">
        <f>IF(終値!A382="","",IF(AND(安値!N382&lt;安値!M382,安値!N382&lt;安値!L382,安値!N382&lt;安値!O382,安値!N382&lt;安値!P382),9,""))</f>
        <v/>
      </c>
      <c r="J382" s="503" t="str">
        <f>IF(終値!A382="","",IF(AND(安値!O382&lt;安値!N382,安値!O382&lt;安値!M382,安値!O382&lt;安値!P382,安値!O382&lt;安値!Q382),10,""))</f>
        <v/>
      </c>
      <c r="K382" s="503" t="str">
        <f>IF(終値!A382="","",IF(AND(安値!P382&lt;安値!O382,安値!P382&lt;安値!N382,安値!P382&lt;安値!Q382,安値!P382&lt;安値!R382),11,""))</f>
        <v/>
      </c>
      <c r="L382" s="503" t="str">
        <f>IF(終値!A382="","",IF(AND(安値!Q382&lt;安値!P382,安値!Q382&lt;安値!O382,安値!Q382&lt;安値!R382,安値!Q382&lt;安値!S382),12,""))</f>
        <v/>
      </c>
      <c r="M382" s="503" t="str">
        <f>IF(終値!A382="","",IF(AND(安値!R382&lt;安値!Q382,安値!R382&lt;安値!P382,安値!R382&lt;安値!S382,安値!R382&lt;安値!T382),13,""))</f>
        <v/>
      </c>
      <c r="N382" s="503" t="str">
        <f>IF(終値!A382="","",IF(AND(安値!S382&lt;安値!R382,安値!S382&lt;安値!Q382,安値!S382&lt;安値!T382,安値!S382&lt;安値!U382),14,""))</f>
        <v/>
      </c>
      <c r="O382" s="503" t="str">
        <f>IF(終値!A382="","",IF(AND(安値!T382&lt;安値!S382,安値!T382&lt;安値!R382,安値!T382&lt;安値!U382,安値!T382&lt;安値!V382),15,""))</f>
        <v/>
      </c>
      <c r="P382" s="503" t="str">
        <f>IF(終値!A382="","",IF(AND(安値!U382&lt;安値!T382,安値!U382&lt;安値!S382,安値!U382&lt;安値!V382,安値!U382&lt;安値!W382),16,""))</f>
        <v/>
      </c>
      <c r="Q382" s="503" t="str">
        <f>IF(終値!A382="","",IF(AND(安値!V382&lt;安値!U382,安値!V382&lt;安値!T382,安値!V382&lt;安値!W382,安値!V382&lt;安値!X382),17,""))</f>
        <v/>
      </c>
      <c r="R382" s="503" t="str">
        <f>IF(終値!A382="","",IF(AND(安値!W382&lt;安値!V382,安値!W382&lt;安値!U382,安値!W382&lt;安値!X382,安値!W382&lt;安値!Y382),18,""))</f>
        <v/>
      </c>
      <c r="S382" s="503" t="str">
        <f>IF(終値!A382="","",IF(AND(安値!X382&lt;安値!W382,安値!X382&lt;安値!V382,安値!X382&lt;安値!Y382,安値!X382&lt;安値!Z382),19,""))</f>
        <v/>
      </c>
      <c r="T382" s="503" t="str">
        <f>IF(終値!A382="","",IF(AND(安値!Y382&lt;安値!X382,安値!Y382&lt;安値!W382,安値!Y382&lt;安値!Z382,安値!Y382&lt;安値!AA382),20,""))</f>
        <v/>
      </c>
      <c r="U382" s="503" t="str">
        <f>IF(終値!A382="","",IF(AND(安値!Z382&lt;安値!Y382,安値!Z382&lt;安値!X382,安値!Z382&lt;安値!AA382,安値!Z382&lt;安値!AB382),21,""))</f>
        <v/>
      </c>
      <c r="V382" s="503" t="str">
        <f>IF(終値!A382="","",IF(AND(安値!AA382&lt;安値!Z382,安値!AA382&lt;安値!Y382,安値!AA382&lt;安値!AB382,安値!AA382&lt;安値!AC382),22,""))</f>
        <v/>
      </c>
      <c r="W382" s="503" t="str">
        <f>IF(終値!A382="","",IF(AND(安値!AB382&lt;安値!AA382,安値!AB382&lt;安値!Z382,安値!AB382&lt;安値!AC382,安値!AB382&lt;安値!AD382),23,""))</f>
        <v/>
      </c>
      <c r="X382" s="503" t="str">
        <f>IF(終値!A382="","",IF(AND(安値!AC382&lt;安値!AB382,安値!AC382&lt;安値!AA382,安値!AC382&lt;安値!AD382,安値!AC382&lt;安値!AE382),24,""))</f>
        <v/>
      </c>
      <c r="Y382" s="503" t="str">
        <f>IF(終値!A382="","",IF(AND(安値!AD382&lt;安値!AC382,安値!AD382&lt;安値!AB382,安値!AD382&lt;安値!AE382,安値!AD382&lt;安値!AF382),25,""))</f>
        <v/>
      </c>
      <c r="Z382" s="503" t="str">
        <f>IF(終値!A382="","",IF(AND(安値!AE382&lt;安値!AD382,安値!AE382&lt;安値!AC382,安値!AE382&lt;安値!AF382,安値!AE382&lt;安値!AG382),26,""))</f>
        <v/>
      </c>
      <c r="AA382" s="503" t="str">
        <f>IF(終値!A382="","",IF(AND(安値!AF382&lt;安値!AE382,安値!AF382&lt;安値!AD382,安値!AF382&lt;安値!AG382,安値!AF382&lt;安値!AH382),27,""))</f>
        <v/>
      </c>
      <c r="AB382" s="503" t="str">
        <f>IF(終値!A382="","",IF(AND(安値!AG382&lt;安値!AF382,安値!AG382&lt;安値!AE382,安値!AG382&lt;安値!AH382,安値!AG382&lt;安値!AI382),28,""))</f>
        <v/>
      </c>
      <c r="AC382" s="503" t="str">
        <f>IF(終値!A382="","",IF(AND(高値!G382&gt;高値!F382,高値!G382&gt;高値!E382,高値!G382&gt;高値!H382,高値!G382&gt;高値!I382),2,""))</f>
        <v/>
      </c>
      <c r="AD382" s="503" t="str">
        <f>IF(終値!A382="","",IF(AND(高値!H382&gt;高値!G382,高値!H382&gt;高値!F382,高値!H382&gt;高値!I382,高値!H382&gt;高値!J382),3,""))</f>
        <v/>
      </c>
      <c r="AE382" s="503" t="str">
        <f>IF(終値!A382="","",IF(AND(高値!I382&gt;高値!H382,高値!I382&gt;高値!G382,高値!I382&gt;高値!J382,高値!I382&gt;高値!K382),4,""))</f>
        <v/>
      </c>
      <c r="AF382" s="503" t="str">
        <f>IF(終値!A382="","",IF(AND(高値!J382&gt;高値!I382,高値!J382&gt;高値!H382,高値!J382&gt;高値!K382,高値!J382&gt;高値!L382),5,""))</f>
        <v/>
      </c>
      <c r="AG382" s="503" t="str">
        <f>IF(終値!A382="","",IF(AND(高値!K382&gt;高値!J382,高値!K382&gt;高値!I382,高値!K382&gt;高値!L382,高値!K382&gt;高値!M382),6,""))</f>
        <v/>
      </c>
      <c r="AH382" s="503" t="str">
        <f>IF(終値!A382="","",IF(AND(高値!L382&gt;高値!K382,高値!L382&gt;高値!J382,高値!L382&gt;高値!M382,高値!L382&gt;高値!N382),7,""))</f>
        <v/>
      </c>
      <c r="AI382" s="503" t="str">
        <f>IF(終値!A382="","",IF(AND(高値!M382&gt;高値!L382,高値!M382&gt;高値!K382,高値!M382&gt;高値!N382,高値!M382&gt;高値!O382),8,""))</f>
        <v/>
      </c>
      <c r="AJ382" s="503" t="str">
        <f>IF(終値!A382="","",IF(AND(高値!N382&gt;高値!M382,高値!N382&gt;高値!L382,高値!N382&gt;高値!O382,高値!N382&gt;高値!P382),9,""))</f>
        <v/>
      </c>
      <c r="AK382" s="503" t="str">
        <f>IF(終値!A382="","",IF(AND(高値!O382&gt;高値!N382,高値!O382&gt;高値!M382,高値!O382&gt;高値!P382,高値!O382&gt;高値!Q382),10,""))</f>
        <v/>
      </c>
      <c r="AL382" s="503" t="str">
        <f>IF(終値!A382="","",IF(AND(高値!P382&gt;高値!O382,高値!P382&gt;高値!N382,高値!P382&gt;高値!Q382,高値!P382&gt;高値!R382),11,""))</f>
        <v/>
      </c>
      <c r="AM382" s="503" t="str">
        <f>IF(終値!A382="","",IF(AND(高値!Q382&gt;高値!P382,高値!Q382&gt;高値!O382,高値!Q382&gt;高値!R382,高値!Q382&gt;高値!S382),12,""))</f>
        <v/>
      </c>
      <c r="AN382" s="503" t="str">
        <f>IF(終値!A382="","",IF(AND(高値!R382&gt;高値!Q382,高値!R382&gt;高値!P382,高値!R382&gt;高値!S382,高値!R382&gt;高値!T382),13,""))</f>
        <v/>
      </c>
      <c r="AO382" s="503" t="str">
        <f>IF(終値!A382="","",IF(AND(高値!S382&gt;高値!R382,高値!S382&gt;高値!Q382,高値!S382&gt;高値!T382,高値!S382&gt;高値!U382),14,""))</f>
        <v/>
      </c>
      <c r="AP382" s="503" t="str">
        <f>IF(終値!A382="","",IF(AND(高値!T382&gt;高値!S382,高値!T382&gt;高値!R382,高値!T382&gt;高値!U382,高値!T382&gt;高値!V382),15,""))</f>
        <v/>
      </c>
      <c r="AQ382" s="503" t="str">
        <f>IF(終値!A382="","",IF(AND(高値!U382&gt;高値!T382,高値!U382&gt;高値!S382,高値!U382&gt;高値!V382,高値!U382&gt;高値!W382),16,""))</f>
        <v/>
      </c>
      <c r="AR382" s="503" t="str">
        <f>IF(終値!A382="","",IF(AND(高値!V382&gt;高値!U382,高値!V382&gt;高値!T382,高値!V382&gt;高値!W382,高値!V382&gt;高値!X382),17,""))</f>
        <v/>
      </c>
      <c r="AS382" s="503" t="str">
        <f>IF(終値!A382="","",IF(AND(高値!W382&gt;高値!V382,高値!W382&gt;高値!U382,高値!W382&gt;高値!X382,高値!W382&gt;高値!Y382),18,""))</f>
        <v/>
      </c>
      <c r="AT382" s="503" t="str">
        <f>IF(終値!A382="","",IF(AND(高値!X382&gt;高値!W382,高値!X382&gt;高値!V382,高値!X382&gt;高値!Y382,高値!X382&gt;高値!Z382),19,""))</f>
        <v/>
      </c>
      <c r="AU382" s="503" t="str">
        <f>IF(終値!A382="","",IF(AND(高値!Y382&gt;高値!X382,高値!Y382&gt;高値!W382,高値!Y382&gt;高値!Z382,高値!Y382&gt;高値!AA382),20,""))</f>
        <v/>
      </c>
      <c r="AV382" s="503" t="str">
        <f>IF(終値!A382="","",IF(AND(高値!Z382&gt;高値!Y382,高値!Z382&gt;高値!X382,高値!Z382&gt;高値!AA382,高値!Z382&gt;高値!AB382),21,""))</f>
        <v/>
      </c>
      <c r="AW382" s="503" t="str">
        <f>IF(終値!A382="","",IF(AND(高値!AA382&gt;高値!Z382,高値!AA382&gt;高値!Y382,高値!AA382&gt;高値!AB382,高値!AA382&gt;高値!AC382),22,""))</f>
        <v/>
      </c>
      <c r="AX382" s="503" t="str">
        <f>IF(終値!A382="","",IF(AND(高値!AB382&gt;高値!AA382,高値!AB382&gt;高値!Z382,高値!AB382&gt;高値!AC382,高値!AB382&gt;高値!AD382),23,""))</f>
        <v/>
      </c>
      <c r="AY382" s="503" t="str">
        <f>IF(終値!A382="","",IF(AND(高値!AC382&gt;高値!AB382,高値!AC382&gt;高値!AA382,高値!AC382&gt;高値!AD382,高値!AC382&gt;高値!AE382),24,""))</f>
        <v/>
      </c>
      <c r="AZ382" s="503" t="str">
        <f>IF(終値!A382="","",IF(AND(高値!AD382&gt;高値!AC382,高値!AD382&gt;高値!AB382,高値!AD382&gt;高値!AE382,高値!AD382&gt;高値!AF382),25,""))</f>
        <v/>
      </c>
      <c r="BA382" s="503" t="str">
        <f>IF(終値!A382="","",IF(AND(高値!AE382&gt;高値!AD382,高値!AE382&gt;高値!AC382,高値!AE382&gt;高値!AF382,高値!AE382&gt;高値!AG382),26,""))</f>
        <v/>
      </c>
      <c r="BB382" s="503" t="str">
        <f>IF(終値!A382="","",IF(AND(高値!AF382&gt;高値!AE382,高値!AF382&gt;高値!AD382,高値!AF382&gt;高値!AG382,高値!AF382&gt;高値!AH382),27,""))</f>
        <v/>
      </c>
      <c r="BC382" s="503" t="str">
        <f>IF(終値!A382="","",IF(AND(高値!AG382&gt;高値!AF382,高値!AG382&gt;高値!AE382,高値!AG382&gt;高値!AH382,高値!AG382&gt;高値!AI382),28,""))</f>
        <v/>
      </c>
      <c r="BD382" s="503">
        <f t="shared" si="30"/>
        <v>0</v>
      </c>
      <c r="BE382" s="503" t="str">
        <f t="shared" si="31"/>
        <v/>
      </c>
      <c r="BF382" s="503" t="str">
        <f t="shared" si="32"/>
        <v/>
      </c>
      <c r="BG382" s="503" t="str">
        <f>IF($BE382="","",INDEX(安値!$E382:$CZ382,1,$BE382+1))</f>
        <v/>
      </c>
      <c r="BH382" s="503" t="str">
        <f>IF($BF382="","",INDEX(安値!$E382:$CZ382,1,$BF382+1))</f>
        <v/>
      </c>
      <c r="BI382" s="503" t="str">
        <f>IF($BF382="","",MAX(INDEX(高値!$E382:$CZ382,1,$BE382+1):INDEX(高値!$E382:$CZ382,1,$BF382+1)))</f>
        <v/>
      </c>
      <c r="BJ382" s="503" t="str">
        <f>IF($BF382="","",AVERAGE(INDEX(終値!$E382:$CZ382,1,$BF382+1):INDEX(終値!$E382:$CZ382,1,$BF382+20))-2*STDEVP(INDEX(終値!$E382:$CZ382,1,$BF382+1):INDEX(終値!$E382:$CZ382,1,$BF382+20)))</f>
        <v/>
      </c>
      <c r="BK382" s="503" t="str">
        <f>IF($BE382="","",AVERAGE(INDEX(終値!$E382:$CZ382,1,$BE382+1):INDEX(終値!$E382:$CZ382,1,$BE382+20))-2*STDEVP(INDEX(終値!$E382:$CZ382,1,$BE382+1):INDEX(終値!$E382:$CZ382,1,$BE382+20)))</f>
        <v/>
      </c>
      <c r="BL382" s="503">
        <f t="shared" si="33"/>
        <v>0</v>
      </c>
      <c r="BM382" s="503" t="str">
        <f t="shared" si="34"/>
        <v/>
      </c>
      <c r="BN382" s="503" t="str">
        <f t="shared" si="35"/>
        <v/>
      </c>
      <c r="BO382" s="503" t="str">
        <f>IF($BM382="","",INDEX(高値!$E382:$CZ382,1,$BM382+1))</f>
        <v/>
      </c>
      <c r="BP382" s="503" t="str">
        <f>IF($BN382="","",INDEX(高値!$E382:$CZ382,1,$BN382+1))</f>
        <v/>
      </c>
      <c r="BQ382" s="503" t="str">
        <f>IF($BN382="","",MIN(INDEX(安値!$E382:$CZ382,1,$BM382+1):INDEX(安値!$E382:$CZ382,1,$BN382+1)))</f>
        <v/>
      </c>
      <c r="BR382" s="503" t="str">
        <f>IF($BN382="","",AVERAGE(INDEX(終値!$E382:$CZ382,1,$BN382+1):INDEX(終値!$E382:$CZ382,1,$BN382+20))+2*STDEVP(INDEX(終値!$E382:$CZ382,1,$BN382+1):INDEX(終値!$E382:$CZ382,1,$BN382+20)))</f>
        <v/>
      </c>
      <c r="BS382" s="503" t="str">
        <f>IF($BM382="","",AVERAGE(INDEX(終値!$E382:$CZ382,1,$BM382+1):INDEX(終値!$E382:$CZ382,1,$BM382+20))+2*STDEVP(INDEX(終値!$E382:$CZ382,1,$BM382+1):INDEX(終値!$E382:$CZ382,1,$BM382+20)))</f>
        <v/>
      </c>
      <c r="BT382" s="500"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3" t="str">
        <f>IF(終値!A383="","",IF(AND(安値!G383&lt;安値!F383,安値!G383&lt;安値!E383,安値!G383&lt;安値!H383,安値!G383&lt;安値!I383),2,""))</f>
        <v/>
      </c>
      <c r="C383" s="503" t="str">
        <f>IF(終値!A383="","",IF(AND(安値!H383&lt;安値!G383,安値!H383&lt;安値!F383,安値!H383&lt;安値!I383,安値!H383&lt;安値!J383),3,""))</f>
        <v/>
      </c>
      <c r="D383" s="503" t="str">
        <f>IF(終値!A383="","",IF(AND(安値!I383&lt;安値!H383,安値!I383&lt;安値!G383,安値!I383&lt;安値!J383,安値!I383&lt;安値!K383),4,""))</f>
        <v/>
      </c>
      <c r="E383" s="503" t="str">
        <f>IF(終値!A383="","",IF(AND(安値!J383&lt;安値!I383,安値!J383&lt;安値!H383,安値!J383&lt;安値!K383,安値!J383&lt;安値!L383),5,""))</f>
        <v/>
      </c>
      <c r="F383" s="503" t="str">
        <f>IF(終値!A383="","",IF(AND(安値!K383&lt;安値!J383,安値!K383&lt;安値!I383,安値!K383&lt;安値!L383,安値!K383&lt;安値!M383),6,""))</f>
        <v/>
      </c>
      <c r="G383" s="503" t="str">
        <f>IF(終値!A383="","",IF(AND(安値!L383&lt;安値!K383,安値!L383&lt;安値!J383,安値!L383&lt;安値!M383,安値!L383&lt;安値!N383),7,""))</f>
        <v/>
      </c>
      <c r="H383" s="503" t="str">
        <f>IF(終値!A383="","",IF(AND(安値!M383&lt;安値!L383,安値!M383&lt;安値!K383,安値!M383&lt;安値!N383,安値!M383&lt;安値!O383),8,""))</f>
        <v/>
      </c>
      <c r="I383" s="503" t="str">
        <f>IF(終値!A383="","",IF(AND(安値!N383&lt;安値!M383,安値!N383&lt;安値!L383,安値!N383&lt;安値!O383,安値!N383&lt;安値!P383),9,""))</f>
        <v/>
      </c>
      <c r="J383" s="503" t="str">
        <f>IF(終値!A383="","",IF(AND(安値!O383&lt;安値!N383,安値!O383&lt;安値!M383,安値!O383&lt;安値!P383,安値!O383&lt;安値!Q383),10,""))</f>
        <v/>
      </c>
      <c r="K383" s="503" t="str">
        <f>IF(終値!A383="","",IF(AND(安値!P383&lt;安値!O383,安値!P383&lt;安値!N383,安値!P383&lt;安値!Q383,安値!P383&lt;安値!R383),11,""))</f>
        <v/>
      </c>
      <c r="L383" s="503" t="str">
        <f>IF(終値!A383="","",IF(AND(安値!Q383&lt;安値!P383,安値!Q383&lt;安値!O383,安値!Q383&lt;安値!R383,安値!Q383&lt;安値!S383),12,""))</f>
        <v/>
      </c>
      <c r="M383" s="503" t="str">
        <f>IF(終値!A383="","",IF(AND(安値!R383&lt;安値!Q383,安値!R383&lt;安値!P383,安値!R383&lt;安値!S383,安値!R383&lt;安値!T383),13,""))</f>
        <v/>
      </c>
      <c r="N383" s="503" t="str">
        <f>IF(終値!A383="","",IF(AND(安値!S383&lt;安値!R383,安値!S383&lt;安値!Q383,安値!S383&lt;安値!T383,安値!S383&lt;安値!U383),14,""))</f>
        <v/>
      </c>
      <c r="O383" s="503" t="str">
        <f>IF(終値!A383="","",IF(AND(安値!T383&lt;安値!S383,安値!T383&lt;安値!R383,安値!T383&lt;安値!U383,安値!T383&lt;安値!V383),15,""))</f>
        <v/>
      </c>
      <c r="P383" s="503" t="str">
        <f>IF(終値!A383="","",IF(AND(安値!U383&lt;安値!T383,安値!U383&lt;安値!S383,安値!U383&lt;安値!V383,安値!U383&lt;安値!W383),16,""))</f>
        <v/>
      </c>
      <c r="Q383" s="503" t="str">
        <f>IF(終値!A383="","",IF(AND(安値!V383&lt;安値!U383,安値!V383&lt;安値!T383,安値!V383&lt;安値!W383,安値!V383&lt;安値!X383),17,""))</f>
        <v/>
      </c>
      <c r="R383" s="503" t="str">
        <f>IF(終値!A383="","",IF(AND(安値!W383&lt;安値!V383,安値!W383&lt;安値!U383,安値!W383&lt;安値!X383,安値!W383&lt;安値!Y383),18,""))</f>
        <v/>
      </c>
      <c r="S383" s="503" t="str">
        <f>IF(終値!A383="","",IF(AND(安値!X383&lt;安値!W383,安値!X383&lt;安値!V383,安値!X383&lt;安値!Y383,安値!X383&lt;安値!Z383),19,""))</f>
        <v/>
      </c>
      <c r="T383" s="503" t="str">
        <f>IF(終値!A383="","",IF(AND(安値!Y383&lt;安値!X383,安値!Y383&lt;安値!W383,安値!Y383&lt;安値!Z383,安値!Y383&lt;安値!AA383),20,""))</f>
        <v/>
      </c>
      <c r="U383" s="503" t="str">
        <f>IF(終値!A383="","",IF(AND(安値!Z383&lt;安値!Y383,安値!Z383&lt;安値!X383,安値!Z383&lt;安値!AA383,安値!Z383&lt;安値!AB383),21,""))</f>
        <v/>
      </c>
      <c r="V383" s="503" t="str">
        <f>IF(終値!A383="","",IF(AND(安値!AA383&lt;安値!Z383,安値!AA383&lt;安値!Y383,安値!AA383&lt;安値!AB383,安値!AA383&lt;安値!AC383),22,""))</f>
        <v/>
      </c>
      <c r="W383" s="503" t="str">
        <f>IF(終値!A383="","",IF(AND(安値!AB383&lt;安値!AA383,安値!AB383&lt;安値!Z383,安値!AB383&lt;安値!AC383,安値!AB383&lt;安値!AD383),23,""))</f>
        <v/>
      </c>
      <c r="X383" s="503" t="str">
        <f>IF(終値!A383="","",IF(AND(安値!AC383&lt;安値!AB383,安値!AC383&lt;安値!AA383,安値!AC383&lt;安値!AD383,安値!AC383&lt;安値!AE383),24,""))</f>
        <v/>
      </c>
      <c r="Y383" s="503" t="str">
        <f>IF(終値!A383="","",IF(AND(安値!AD383&lt;安値!AC383,安値!AD383&lt;安値!AB383,安値!AD383&lt;安値!AE383,安値!AD383&lt;安値!AF383),25,""))</f>
        <v/>
      </c>
      <c r="Z383" s="503" t="str">
        <f>IF(終値!A383="","",IF(AND(安値!AE383&lt;安値!AD383,安値!AE383&lt;安値!AC383,安値!AE383&lt;安値!AF383,安値!AE383&lt;安値!AG383),26,""))</f>
        <v/>
      </c>
      <c r="AA383" s="503" t="str">
        <f>IF(終値!A383="","",IF(AND(安値!AF383&lt;安値!AE383,安値!AF383&lt;安値!AD383,安値!AF383&lt;安値!AG383,安値!AF383&lt;安値!AH383),27,""))</f>
        <v/>
      </c>
      <c r="AB383" s="503" t="str">
        <f>IF(終値!A383="","",IF(AND(安値!AG383&lt;安値!AF383,安値!AG383&lt;安値!AE383,安値!AG383&lt;安値!AH383,安値!AG383&lt;安値!AI383),28,""))</f>
        <v/>
      </c>
      <c r="AC383" s="503" t="str">
        <f>IF(終値!A383="","",IF(AND(高値!G383&gt;高値!F383,高値!G383&gt;高値!E383,高値!G383&gt;高値!H383,高値!G383&gt;高値!I383),2,""))</f>
        <v/>
      </c>
      <c r="AD383" s="503" t="str">
        <f>IF(終値!A383="","",IF(AND(高値!H383&gt;高値!G383,高値!H383&gt;高値!F383,高値!H383&gt;高値!I383,高値!H383&gt;高値!J383),3,""))</f>
        <v/>
      </c>
      <c r="AE383" s="503" t="str">
        <f>IF(終値!A383="","",IF(AND(高値!I383&gt;高値!H383,高値!I383&gt;高値!G383,高値!I383&gt;高値!J383,高値!I383&gt;高値!K383),4,""))</f>
        <v/>
      </c>
      <c r="AF383" s="503" t="str">
        <f>IF(終値!A383="","",IF(AND(高値!J383&gt;高値!I383,高値!J383&gt;高値!H383,高値!J383&gt;高値!K383,高値!J383&gt;高値!L383),5,""))</f>
        <v/>
      </c>
      <c r="AG383" s="503" t="str">
        <f>IF(終値!A383="","",IF(AND(高値!K383&gt;高値!J383,高値!K383&gt;高値!I383,高値!K383&gt;高値!L383,高値!K383&gt;高値!M383),6,""))</f>
        <v/>
      </c>
      <c r="AH383" s="503" t="str">
        <f>IF(終値!A383="","",IF(AND(高値!L383&gt;高値!K383,高値!L383&gt;高値!J383,高値!L383&gt;高値!M383,高値!L383&gt;高値!N383),7,""))</f>
        <v/>
      </c>
      <c r="AI383" s="503" t="str">
        <f>IF(終値!A383="","",IF(AND(高値!M383&gt;高値!L383,高値!M383&gt;高値!K383,高値!M383&gt;高値!N383,高値!M383&gt;高値!O383),8,""))</f>
        <v/>
      </c>
      <c r="AJ383" s="503" t="str">
        <f>IF(終値!A383="","",IF(AND(高値!N383&gt;高値!M383,高値!N383&gt;高値!L383,高値!N383&gt;高値!O383,高値!N383&gt;高値!P383),9,""))</f>
        <v/>
      </c>
      <c r="AK383" s="503" t="str">
        <f>IF(終値!A383="","",IF(AND(高値!O383&gt;高値!N383,高値!O383&gt;高値!M383,高値!O383&gt;高値!P383,高値!O383&gt;高値!Q383),10,""))</f>
        <v/>
      </c>
      <c r="AL383" s="503" t="str">
        <f>IF(終値!A383="","",IF(AND(高値!P383&gt;高値!O383,高値!P383&gt;高値!N383,高値!P383&gt;高値!Q383,高値!P383&gt;高値!R383),11,""))</f>
        <v/>
      </c>
      <c r="AM383" s="503" t="str">
        <f>IF(終値!A383="","",IF(AND(高値!Q383&gt;高値!P383,高値!Q383&gt;高値!O383,高値!Q383&gt;高値!R383,高値!Q383&gt;高値!S383),12,""))</f>
        <v/>
      </c>
      <c r="AN383" s="503" t="str">
        <f>IF(終値!A383="","",IF(AND(高値!R383&gt;高値!Q383,高値!R383&gt;高値!P383,高値!R383&gt;高値!S383,高値!R383&gt;高値!T383),13,""))</f>
        <v/>
      </c>
      <c r="AO383" s="503" t="str">
        <f>IF(終値!A383="","",IF(AND(高値!S383&gt;高値!R383,高値!S383&gt;高値!Q383,高値!S383&gt;高値!T383,高値!S383&gt;高値!U383),14,""))</f>
        <v/>
      </c>
      <c r="AP383" s="503" t="str">
        <f>IF(終値!A383="","",IF(AND(高値!T383&gt;高値!S383,高値!T383&gt;高値!R383,高値!T383&gt;高値!U383,高値!T383&gt;高値!V383),15,""))</f>
        <v/>
      </c>
      <c r="AQ383" s="503" t="str">
        <f>IF(終値!A383="","",IF(AND(高値!U383&gt;高値!T383,高値!U383&gt;高値!S383,高値!U383&gt;高値!V383,高値!U383&gt;高値!W383),16,""))</f>
        <v/>
      </c>
      <c r="AR383" s="503" t="str">
        <f>IF(終値!A383="","",IF(AND(高値!V383&gt;高値!U383,高値!V383&gt;高値!T383,高値!V383&gt;高値!W383,高値!V383&gt;高値!X383),17,""))</f>
        <v/>
      </c>
      <c r="AS383" s="503" t="str">
        <f>IF(終値!A383="","",IF(AND(高値!W383&gt;高値!V383,高値!W383&gt;高値!U383,高値!W383&gt;高値!X383,高値!W383&gt;高値!Y383),18,""))</f>
        <v/>
      </c>
      <c r="AT383" s="503" t="str">
        <f>IF(終値!A383="","",IF(AND(高値!X383&gt;高値!W383,高値!X383&gt;高値!V383,高値!X383&gt;高値!Y383,高値!X383&gt;高値!Z383),19,""))</f>
        <v/>
      </c>
      <c r="AU383" s="503" t="str">
        <f>IF(終値!A383="","",IF(AND(高値!Y383&gt;高値!X383,高値!Y383&gt;高値!W383,高値!Y383&gt;高値!Z383,高値!Y383&gt;高値!AA383),20,""))</f>
        <v/>
      </c>
      <c r="AV383" s="503" t="str">
        <f>IF(終値!A383="","",IF(AND(高値!Z383&gt;高値!Y383,高値!Z383&gt;高値!X383,高値!Z383&gt;高値!AA383,高値!Z383&gt;高値!AB383),21,""))</f>
        <v/>
      </c>
      <c r="AW383" s="503" t="str">
        <f>IF(終値!A383="","",IF(AND(高値!AA383&gt;高値!Z383,高値!AA383&gt;高値!Y383,高値!AA383&gt;高値!AB383,高値!AA383&gt;高値!AC383),22,""))</f>
        <v/>
      </c>
      <c r="AX383" s="503" t="str">
        <f>IF(終値!A383="","",IF(AND(高値!AB383&gt;高値!AA383,高値!AB383&gt;高値!Z383,高値!AB383&gt;高値!AC383,高値!AB383&gt;高値!AD383),23,""))</f>
        <v/>
      </c>
      <c r="AY383" s="503" t="str">
        <f>IF(終値!A383="","",IF(AND(高値!AC383&gt;高値!AB383,高値!AC383&gt;高値!AA383,高値!AC383&gt;高値!AD383,高値!AC383&gt;高値!AE383),24,""))</f>
        <v/>
      </c>
      <c r="AZ383" s="503" t="str">
        <f>IF(終値!A383="","",IF(AND(高値!AD383&gt;高値!AC383,高値!AD383&gt;高値!AB383,高値!AD383&gt;高値!AE383,高値!AD383&gt;高値!AF383),25,""))</f>
        <v/>
      </c>
      <c r="BA383" s="503" t="str">
        <f>IF(終値!A383="","",IF(AND(高値!AE383&gt;高値!AD383,高値!AE383&gt;高値!AC383,高値!AE383&gt;高値!AF383,高値!AE383&gt;高値!AG383),26,""))</f>
        <v/>
      </c>
      <c r="BB383" s="503" t="str">
        <f>IF(終値!A383="","",IF(AND(高値!AF383&gt;高値!AE383,高値!AF383&gt;高値!AD383,高値!AF383&gt;高値!AG383,高値!AF383&gt;高値!AH383),27,""))</f>
        <v/>
      </c>
      <c r="BC383" s="503" t="str">
        <f>IF(終値!A383="","",IF(AND(高値!AG383&gt;高値!AF383,高値!AG383&gt;高値!AE383,高値!AG383&gt;高値!AH383,高値!AG383&gt;高値!AI383),28,""))</f>
        <v/>
      </c>
      <c r="BD383" s="503">
        <f t="shared" si="30"/>
        <v>0</v>
      </c>
      <c r="BE383" s="503" t="str">
        <f t="shared" si="31"/>
        <v/>
      </c>
      <c r="BF383" s="503" t="str">
        <f t="shared" si="32"/>
        <v/>
      </c>
      <c r="BG383" s="503" t="str">
        <f>IF($BE383="","",INDEX(安値!$E383:$CZ383,1,$BE383+1))</f>
        <v/>
      </c>
      <c r="BH383" s="503" t="str">
        <f>IF($BF383="","",INDEX(安値!$E383:$CZ383,1,$BF383+1))</f>
        <v/>
      </c>
      <c r="BI383" s="503" t="str">
        <f>IF($BF383="","",MAX(INDEX(高値!$E383:$CZ383,1,$BE383+1):INDEX(高値!$E383:$CZ383,1,$BF383+1)))</f>
        <v/>
      </c>
      <c r="BJ383" s="503" t="str">
        <f>IF($BF383="","",AVERAGE(INDEX(終値!$E383:$CZ383,1,$BF383+1):INDEX(終値!$E383:$CZ383,1,$BF383+20))-2*STDEVP(INDEX(終値!$E383:$CZ383,1,$BF383+1):INDEX(終値!$E383:$CZ383,1,$BF383+20)))</f>
        <v/>
      </c>
      <c r="BK383" s="503" t="str">
        <f>IF($BE383="","",AVERAGE(INDEX(終値!$E383:$CZ383,1,$BE383+1):INDEX(終値!$E383:$CZ383,1,$BE383+20))-2*STDEVP(INDEX(終値!$E383:$CZ383,1,$BE383+1):INDEX(終値!$E383:$CZ383,1,$BE383+20)))</f>
        <v/>
      </c>
      <c r="BL383" s="503">
        <f t="shared" si="33"/>
        <v>0</v>
      </c>
      <c r="BM383" s="503" t="str">
        <f t="shared" si="34"/>
        <v/>
      </c>
      <c r="BN383" s="503" t="str">
        <f t="shared" si="35"/>
        <v/>
      </c>
      <c r="BO383" s="503" t="str">
        <f>IF($BM383="","",INDEX(高値!$E383:$CZ383,1,$BM383+1))</f>
        <v/>
      </c>
      <c r="BP383" s="503" t="str">
        <f>IF($BN383="","",INDEX(高値!$E383:$CZ383,1,$BN383+1))</f>
        <v/>
      </c>
      <c r="BQ383" s="503" t="str">
        <f>IF($BN383="","",MIN(INDEX(安値!$E383:$CZ383,1,$BM383+1):INDEX(安値!$E383:$CZ383,1,$BN383+1)))</f>
        <v/>
      </c>
      <c r="BR383" s="503" t="str">
        <f>IF($BN383="","",AVERAGE(INDEX(終値!$E383:$CZ383,1,$BN383+1):INDEX(終値!$E383:$CZ383,1,$BN383+20))+2*STDEVP(INDEX(終値!$E383:$CZ383,1,$BN383+1):INDEX(終値!$E383:$CZ383,1,$BN383+20)))</f>
        <v/>
      </c>
      <c r="BS383" s="503" t="str">
        <f>IF($BM383="","",AVERAGE(INDEX(終値!$E383:$CZ383,1,$BM383+1):INDEX(終値!$E383:$CZ383,1,$BM383+20))+2*STDEVP(INDEX(終値!$E383:$CZ383,1,$BM383+1):INDEX(終値!$E383:$CZ383,1,$BM383+20)))</f>
        <v/>
      </c>
      <c r="BT383" s="500"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3" t="str">
        <f>IF(終値!A384="","",IF(AND(安値!G384&lt;安値!F384,安値!G384&lt;安値!E384,安値!G384&lt;安値!H384,安値!G384&lt;安値!I384),2,""))</f>
        <v/>
      </c>
      <c r="C384" s="503" t="str">
        <f>IF(終値!A384="","",IF(AND(安値!H384&lt;安値!G384,安値!H384&lt;安値!F384,安値!H384&lt;安値!I384,安値!H384&lt;安値!J384),3,""))</f>
        <v/>
      </c>
      <c r="D384" s="503" t="str">
        <f>IF(終値!A384="","",IF(AND(安値!I384&lt;安値!H384,安値!I384&lt;安値!G384,安値!I384&lt;安値!J384,安値!I384&lt;安値!K384),4,""))</f>
        <v/>
      </c>
      <c r="E384" s="503" t="str">
        <f>IF(終値!A384="","",IF(AND(安値!J384&lt;安値!I384,安値!J384&lt;安値!H384,安値!J384&lt;安値!K384,安値!J384&lt;安値!L384),5,""))</f>
        <v/>
      </c>
      <c r="F384" s="503" t="str">
        <f>IF(終値!A384="","",IF(AND(安値!K384&lt;安値!J384,安値!K384&lt;安値!I384,安値!K384&lt;安値!L384,安値!K384&lt;安値!M384),6,""))</f>
        <v/>
      </c>
      <c r="G384" s="503" t="str">
        <f>IF(終値!A384="","",IF(AND(安値!L384&lt;安値!K384,安値!L384&lt;安値!J384,安値!L384&lt;安値!M384,安値!L384&lt;安値!N384),7,""))</f>
        <v/>
      </c>
      <c r="H384" s="503" t="str">
        <f>IF(終値!A384="","",IF(AND(安値!M384&lt;安値!L384,安値!M384&lt;安値!K384,安値!M384&lt;安値!N384,安値!M384&lt;安値!O384),8,""))</f>
        <v/>
      </c>
      <c r="I384" s="503" t="str">
        <f>IF(終値!A384="","",IF(AND(安値!N384&lt;安値!M384,安値!N384&lt;安値!L384,安値!N384&lt;安値!O384,安値!N384&lt;安値!P384),9,""))</f>
        <v/>
      </c>
      <c r="J384" s="503" t="str">
        <f>IF(終値!A384="","",IF(AND(安値!O384&lt;安値!N384,安値!O384&lt;安値!M384,安値!O384&lt;安値!P384,安値!O384&lt;安値!Q384),10,""))</f>
        <v/>
      </c>
      <c r="K384" s="503" t="str">
        <f>IF(終値!A384="","",IF(AND(安値!P384&lt;安値!O384,安値!P384&lt;安値!N384,安値!P384&lt;安値!Q384,安値!P384&lt;安値!R384),11,""))</f>
        <v/>
      </c>
      <c r="L384" s="503" t="str">
        <f>IF(終値!A384="","",IF(AND(安値!Q384&lt;安値!P384,安値!Q384&lt;安値!O384,安値!Q384&lt;安値!R384,安値!Q384&lt;安値!S384),12,""))</f>
        <v/>
      </c>
      <c r="M384" s="503" t="str">
        <f>IF(終値!A384="","",IF(AND(安値!R384&lt;安値!Q384,安値!R384&lt;安値!P384,安値!R384&lt;安値!S384,安値!R384&lt;安値!T384),13,""))</f>
        <v/>
      </c>
      <c r="N384" s="503" t="str">
        <f>IF(終値!A384="","",IF(AND(安値!S384&lt;安値!R384,安値!S384&lt;安値!Q384,安値!S384&lt;安値!T384,安値!S384&lt;安値!U384),14,""))</f>
        <v/>
      </c>
      <c r="O384" s="503" t="str">
        <f>IF(終値!A384="","",IF(AND(安値!T384&lt;安値!S384,安値!T384&lt;安値!R384,安値!T384&lt;安値!U384,安値!T384&lt;安値!V384),15,""))</f>
        <v/>
      </c>
      <c r="P384" s="503" t="str">
        <f>IF(終値!A384="","",IF(AND(安値!U384&lt;安値!T384,安値!U384&lt;安値!S384,安値!U384&lt;安値!V384,安値!U384&lt;安値!W384),16,""))</f>
        <v/>
      </c>
      <c r="Q384" s="503" t="str">
        <f>IF(終値!A384="","",IF(AND(安値!V384&lt;安値!U384,安値!V384&lt;安値!T384,安値!V384&lt;安値!W384,安値!V384&lt;安値!X384),17,""))</f>
        <v/>
      </c>
      <c r="R384" s="503" t="str">
        <f>IF(終値!A384="","",IF(AND(安値!W384&lt;安値!V384,安値!W384&lt;安値!U384,安値!W384&lt;安値!X384,安値!W384&lt;安値!Y384),18,""))</f>
        <v/>
      </c>
      <c r="S384" s="503" t="str">
        <f>IF(終値!A384="","",IF(AND(安値!X384&lt;安値!W384,安値!X384&lt;安値!V384,安値!X384&lt;安値!Y384,安値!X384&lt;安値!Z384),19,""))</f>
        <v/>
      </c>
      <c r="T384" s="503" t="str">
        <f>IF(終値!A384="","",IF(AND(安値!Y384&lt;安値!X384,安値!Y384&lt;安値!W384,安値!Y384&lt;安値!Z384,安値!Y384&lt;安値!AA384),20,""))</f>
        <v/>
      </c>
      <c r="U384" s="503" t="str">
        <f>IF(終値!A384="","",IF(AND(安値!Z384&lt;安値!Y384,安値!Z384&lt;安値!X384,安値!Z384&lt;安値!AA384,安値!Z384&lt;安値!AB384),21,""))</f>
        <v/>
      </c>
      <c r="V384" s="503" t="str">
        <f>IF(終値!A384="","",IF(AND(安値!AA384&lt;安値!Z384,安値!AA384&lt;安値!Y384,安値!AA384&lt;安値!AB384,安値!AA384&lt;安値!AC384),22,""))</f>
        <v/>
      </c>
      <c r="W384" s="503" t="str">
        <f>IF(終値!A384="","",IF(AND(安値!AB384&lt;安値!AA384,安値!AB384&lt;安値!Z384,安値!AB384&lt;安値!AC384,安値!AB384&lt;安値!AD384),23,""))</f>
        <v/>
      </c>
      <c r="X384" s="503" t="str">
        <f>IF(終値!A384="","",IF(AND(安値!AC384&lt;安値!AB384,安値!AC384&lt;安値!AA384,安値!AC384&lt;安値!AD384,安値!AC384&lt;安値!AE384),24,""))</f>
        <v/>
      </c>
      <c r="Y384" s="503" t="str">
        <f>IF(終値!A384="","",IF(AND(安値!AD384&lt;安値!AC384,安値!AD384&lt;安値!AB384,安値!AD384&lt;安値!AE384,安値!AD384&lt;安値!AF384),25,""))</f>
        <v/>
      </c>
      <c r="Z384" s="503" t="str">
        <f>IF(終値!A384="","",IF(AND(安値!AE384&lt;安値!AD384,安値!AE384&lt;安値!AC384,安値!AE384&lt;安値!AF384,安値!AE384&lt;安値!AG384),26,""))</f>
        <v/>
      </c>
      <c r="AA384" s="503" t="str">
        <f>IF(終値!A384="","",IF(AND(安値!AF384&lt;安値!AE384,安値!AF384&lt;安値!AD384,安値!AF384&lt;安値!AG384,安値!AF384&lt;安値!AH384),27,""))</f>
        <v/>
      </c>
      <c r="AB384" s="503" t="str">
        <f>IF(終値!A384="","",IF(AND(安値!AG384&lt;安値!AF384,安値!AG384&lt;安値!AE384,安値!AG384&lt;安値!AH384,安値!AG384&lt;安値!AI384),28,""))</f>
        <v/>
      </c>
      <c r="AC384" s="503" t="str">
        <f>IF(終値!A384="","",IF(AND(高値!G384&gt;高値!F384,高値!G384&gt;高値!E384,高値!G384&gt;高値!H384,高値!G384&gt;高値!I384),2,""))</f>
        <v/>
      </c>
      <c r="AD384" s="503" t="str">
        <f>IF(終値!A384="","",IF(AND(高値!H384&gt;高値!G384,高値!H384&gt;高値!F384,高値!H384&gt;高値!I384,高値!H384&gt;高値!J384),3,""))</f>
        <v/>
      </c>
      <c r="AE384" s="503" t="str">
        <f>IF(終値!A384="","",IF(AND(高値!I384&gt;高値!H384,高値!I384&gt;高値!G384,高値!I384&gt;高値!J384,高値!I384&gt;高値!K384),4,""))</f>
        <v/>
      </c>
      <c r="AF384" s="503" t="str">
        <f>IF(終値!A384="","",IF(AND(高値!J384&gt;高値!I384,高値!J384&gt;高値!H384,高値!J384&gt;高値!K384,高値!J384&gt;高値!L384),5,""))</f>
        <v/>
      </c>
      <c r="AG384" s="503" t="str">
        <f>IF(終値!A384="","",IF(AND(高値!K384&gt;高値!J384,高値!K384&gt;高値!I384,高値!K384&gt;高値!L384,高値!K384&gt;高値!M384),6,""))</f>
        <v/>
      </c>
      <c r="AH384" s="503" t="str">
        <f>IF(終値!A384="","",IF(AND(高値!L384&gt;高値!K384,高値!L384&gt;高値!J384,高値!L384&gt;高値!M384,高値!L384&gt;高値!N384),7,""))</f>
        <v/>
      </c>
      <c r="AI384" s="503" t="str">
        <f>IF(終値!A384="","",IF(AND(高値!M384&gt;高値!L384,高値!M384&gt;高値!K384,高値!M384&gt;高値!N384,高値!M384&gt;高値!O384),8,""))</f>
        <v/>
      </c>
      <c r="AJ384" s="503" t="str">
        <f>IF(終値!A384="","",IF(AND(高値!N384&gt;高値!M384,高値!N384&gt;高値!L384,高値!N384&gt;高値!O384,高値!N384&gt;高値!P384),9,""))</f>
        <v/>
      </c>
      <c r="AK384" s="503" t="str">
        <f>IF(終値!A384="","",IF(AND(高値!O384&gt;高値!N384,高値!O384&gt;高値!M384,高値!O384&gt;高値!P384,高値!O384&gt;高値!Q384),10,""))</f>
        <v/>
      </c>
      <c r="AL384" s="503" t="str">
        <f>IF(終値!A384="","",IF(AND(高値!P384&gt;高値!O384,高値!P384&gt;高値!N384,高値!P384&gt;高値!Q384,高値!P384&gt;高値!R384),11,""))</f>
        <v/>
      </c>
      <c r="AM384" s="503" t="str">
        <f>IF(終値!A384="","",IF(AND(高値!Q384&gt;高値!P384,高値!Q384&gt;高値!O384,高値!Q384&gt;高値!R384,高値!Q384&gt;高値!S384),12,""))</f>
        <v/>
      </c>
      <c r="AN384" s="503" t="str">
        <f>IF(終値!A384="","",IF(AND(高値!R384&gt;高値!Q384,高値!R384&gt;高値!P384,高値!R384&gt;高値!S384,高値!R384&gt;高値!T384),13,""))</f>
        <v/>
      </c>
      <c r="AO384" s="503" t="str">
        <f>IF(終値!A384="","",IF(AND(高値!S384&gt;高値!R384,高値!S384&gt;高値!Q384,高値!S384&gt;高値!T384,高値!S384&gt;高値!U384),14,""))</f>
        <v/>
      </c>
      <c r="AP384" s="503" t="str">
        <f>IF(終値!A384="","",IF(AND(高値!T384&gt;高値!S384,高値!T384&gt;高値!R384,高値!T384&gt;高値!U384,高値!T384&gt;高値!V384),15,""))</f>
        <v/>
      </c>
      <c r="AQ384" s="503" t="str">
        <f>IF(終値!A384="","",IF(AND(高値!U384&gt;高値!T384,高値!U384&gt;高値!S384,高値!U384&gt;高値!V384,高値!U384&gt;高値!W384),16,""))</f>
        <v/>
      </c>
      <c r="AR384" s="503" t="str">
        <f>IF(終値!A384="","",IF(AND(高値!V384&gt;高値!U384,高値!V384&gt;高値!T384,高値!V384&gt;高値!W384,高値!V384&gt;高値!X384),17,""))</f>
        <v/>
      </c>
      <c r="AS384" s="503" t="str">
        <f>IF(終値!A384="","",IF(AND(高値!W384&gt;高値!V384,高値!W384&gt;高値!U384,高値!W384&gt;高値!X384,高値!W384&gt;高値!Y384),18,""))</f>
        <v/>
      </c>
      <c r="AT384" s="503" t="str">
        <f>IF(終値!A384="","",IF(AND(高値!X384&gt;高値!W384,高値!X384&gt;高値!V384,高値!X384&gt;高値!Y384,高値!X384&gt;高値!Z384),19,""))</f>
        <v/>
      </c>
      <c r="AU384" s="503" t="str">
        <f>IF(終値!A384="","",IF(AND(高値!Y384&gt;高値!X384,高値!Y384&gt;高値!W384,高値!Y384&gt;高値!Z384,高値!Y384&gt;高値!AA384),20,""))</f>
        <v/>
      </c>
      <c r="AV384" s="503" t="str">
        <f>IF(終値!A384="","",IF(AND(高値!Z384&gt;高値!Y384,高値!Z384&gt;高値!X384,高値!Z384&gt;高値!AA384,高値!Z384&gt;高値!AB384),21,""))</f>
        <v/>
      </c>
      <c r="AW384" s="503" t="str">
        <f>IF(終値!A384="","",IF(AND(高値!AA384&gt;高値!Z384,高値!AA384&gt;高値!Y384,高値!AA384&gt;高値!AB384,高値!AA384&gt;高値!AC384),22,""))</f>
        <v/>
      </c>
      <c r="AX384" s="503" t="str">
        <f>IF(終値!A384="","",IF(AND(高値!AB384&gt;高値!AA384,高値!AB384&gt;高値!Z384,高値!AB384&gt;高値!AC384,高値!AB384&gt;高値!AD384),23,""))</f>
        <v/>
      </c>
      <c r="AY384" s="503" t="str">
        <f>IF(終値!A384="","",IF(AND(高値!AC384&gt;高値!AB384,高値!AC384&gt;高値!AA384,高値!AC384&gt;高値!AD384,高値!AC384&gt;高値!AE384),24,""))</f>
        <v/>
      </c>
      <c r="AZ384" s="503" t="str">
        <f>IF(終値!A384="","",IF(AND(高値!AD384&gt;高値!AC384,高値!AD384&gt;高値!AB384,高値!AD384&gt;高値!AE384,高値!AD384&gt;高値!AF384),25,""))</f>
        <v/>
      </c>
      <c r="BA384" s="503" t="str">
        <f>IF(終値!A384="","",IF(AND(高値!AE384&gt;高値!AD384,高値!AE384&gt;高値!AC384,高値!AE384&gt;高値!AF384,高値!AE384&gt;高値!AG384),26,""))</f>
        <v/>
      </c>
      <c r="BB384" s="503" t="str">
        <f>IF(終値!A384="","",IF(AND(高値!AF384&gt;高値!AE384,高値!AF384&gt;高値!AD384,高値!AF384&gt;高値!AG384,高値!AF384&gt;高値!AH384),27,""))</f>
        <v/>
      </c>
      <c r="BC384" s="503" t="str">
        <f>IF(終値!A384="","",IF(AND(高値!AG384&gt;高値!AF384,高値!AG384&gt;高値!AE384,高値!AG384&gt;高値!AH384,高値!AG384&gt;高値!AI384),28,""))</f>
        <v/>
      </c>
      <c r="BD384" s="503">
        <f t="shared" si="30"/>
        <v>0</v>
      </c>
      <c r="BE384" s="503" t="str">
        <f t="shared" si="31"/>
        <v/>
      </c>
      <c r="BF384" s="503" t="str">
        <f t="shared" si="32"/>
        <v/>
      </c>
      <c r="BG384" s="503" t="str">
        <f>IF($BE384="","",INDEX(安値!$E384:$CZ384,1,$BE384+1))</f>
        <v/>
      </c>
      <c r="BH384" s="503" t="str">
        <f>IF($BF384="","",INDEX(安値!$E384:$CZ384,1,$BF384+1))</f>
        <v/>
      </c>
      <c r="BI384" s="503" t="str">
        <f>IF($BF384="","",MAX(INDEX(高値!$E384:$CZ384,1,$BE384+1):INDEX(高値!$E384:$CZ384,1,$BF384+1)))</f>
        <v/>
      </c>
      <c r="BJ384" s="503" t="str">
        <f>IF($BF384="","",AVERAGE(INDEX(終値!$E384:$CZ384,1,$BF384+1):INDEX(終値!$E384:$CZ384,1,$BF384+20))-2*STDEVP(INDEX(終値!$E384:$CZ384,1,$BF384+1):INDEX(終値!$E384:$CZ384,1,$BF384+20)))</f>
        <v/>
      </c>
      <c r="BK384" s="503" t="str">
        <f>IF($BE384="","",AVERAGE(INDEX(終値!$E384:$CZ384,1,$BE384+1):INDEX(終値!$E384:$CZ384,1,$BE384+20))-2*STDEVP(INDEX(終値!$E384:$CZ384,1,$BE384+1):INDEX(終値!$E384:$CZ384,1,$BE384+20)))</f>
        <v/>
      </c>
      <c r="BL384" s="503">
        <f t="shared" si="33"/>
        <v>0</v>
      </c>
      <c r="BM384" s="503" t="str">
        <f t="shared" si="34"/>
        <v/>
      </c>
      <c r="BN384" s="503" t="str">
        <f t="shared" si="35"/>
        <v/>
      </c>
      <c r="BO384" s="503" t="str">
        <f>IF($BM384="","",INDEX(高値!$E384:$CZ384,1,$BM384+1))</f>
        <v/>
      </c>
      <c r="BP384" s="503" t="str">
        <f>IF($BN384="","",INDEX(高値!$E384:$CZ384,1,$BN384+1))</f>
        <v/>
      </c>
      <c r="BQ384" s="503" t="str">
        <f>IF($BN384="","",MIN(INDEX(安値!$E384:$CZ384,1,$BM384+1):INDEX(安値!$E384:$CZ384,1,$BN384+1)))</f>
        <v/>
      </c>
      <c r="BR384" s="503" t="str">
        <f>IF($BN384="","",AVERAGE(INDEX(終値!$E384:$CZ384,1,$BN384+1):INDEX(終値!$E384:$CZ384,1,$BN384+20))+2*STDEVP(INDEX(終値!$E384:$CZ384,1,$BN384+1):INDEX(終値!$E384:$CZ384,1,$BN384+20)))</f>
        <v/>
      </c>
      <c r="BS384" s="503" t="str">
        <f>IF($BM384="","",AVERAGE(INDEX(終値!$E384:$CZ384,1,$BM384+1):INDEX(終値!$E384:$CZ384,1,$BM384+20))+2*STDEVP(INDEX(終値!$E384:$CZ384,1,$BM384+1):INDEX(終値!$E384:$CZ384,1,$BM384+20)))</f>
        <v/>
      </c>
      <c r="BT384" s="500"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3" t="str">
        <f>IF(終値!A385="","",IF(AND(安値!G385&lt;安値!F385,安値!G385&lt;安値!E385,安値!G385&lt;安値!H385,安値!G385&lt;安値!I385),2,""))</f>
        <v/>
      </c>
      <c r="C385" s="503" t="str">
        <f>IF(終値!A385="","",IF(AND(安値!H385&lt;安値!G385,安値!H385&lt;安値!F385,安値!H385&lt;安値!I385,安値!H385&lt;安値!J385),3,""))</f>
        <v/>
      </c>
      <c r="D385" s="503" t="str">
        <f>IF(終値!A385="","",IF(AND(安値!I385&lt;安値!H385,安値!I385&lt;安値!G385,安値!I385&lt;安値!J385,安値!I385&lt;安値!K385),4,""))</f>
        <v/>
      </c>
      <c r="E385" s="503" t="str">
        <f>IF(終値!A385="","",IF(AND(安値!J385&lt;安値!I385,安値!J385&lt;安値!H385,安値!J385&lt;安値!K385,安値!J385&lt;安値!L385),5,""))</f>
        <v/>
      </c>
      <c r="F385" s="503" t="str">
        <f>IF(終値!A385="","",IF(AND(安値!K385&lt;安値!J385,安値!K385&lt;安値!I385,安値!K385&lt;安値!L385,安値!K385&lt;安値!M385),6,""))</f>
        <v/>
      </c>
      <c r="G385" s="503" t="str">
        <f>IF(終値!A385="","",IF(AND(安値!L385&lt;安値!K385,安値!L385&lt;安値!J385,安値!L385&lt;安値!M385,安値!L385&lt;安値!N385),7,""))</f>
        <v/>
      </c>
      <c r="H385" s="503" t="str">
        <f>IF(終値!A385="","",IF(AND(安値!M385&lt;安値!L385,安値!M385&lt;安値!K385,安値!M385&lt;安値!N385,安値!M385&lt;安値!O385),8,""))</f>
        <v/>
      </c>
      <c r="I385" s="503" t="str">
        <f>IF(終値!A385="","",IF(AND(安値!N385&lt;安値!M385,安値!N385&lt;安値!L385,安値!N385&lt;安値!O385,安値!N385&lt;安値!P385),9,""))</f>
        <v/>
      </c>
      <c r="J385" s="503" t="str">
        <f>IF(終値!A385="","",IF(AND(安値!O385&lt;安値!N385,安値!O385&lt;安値!M385,安値!O385&lt;安値!P385,安値!O385&lt;安値!Q385),10,""))</f>
        <v/>
      </c>
      <c r="K385" s="503" t="str">
        <f>IF(終値!A385="","",IF(AND(安値!P385&lt;安値!O385,安値!P385&lt;安値!N385,安値!P385&lt;安値!Q385,安値!P385&lt;安値!R385),11,""))</f>
        <v/>
      </c>
      <c r="L385" s="503" t="str">
        <f>IF(終値!A385="","",IF(AND(安値!Q385&lt;安値!P385,安値!Q385&lt;安値!O385,安値!Q385&lt;安値!R385,安値!Q385&lt;安値!S385),12,""))</f>
        <v/>
      </c>
      <c r="M385" s="503" t="str">
        <f>IF(終値!A385="","",IF(AND(安値!R385&lt;安値!Q385,安値!R385&lt;安値!P385,安値!R385&lt;安値!S385,安値!R385&lt;安値!T385),13,""))</f>
        <v/>
      </c>
      <c r="N385" s="503" t="str">
        <f>IF(終値!A385="","",IF(AND(安値!S385&lt;安値!R385,安値!S385&lt;安値!Q385,安値!S385&lt;安値!T385,安値!S385&lt;安値!U385),14,""))</f>
        <v/>
      </c>
      <c r="O385" s="503" t="str">
        <f>IF(終値!A385="","",IF(AND(安値!T385&lt;安値!S385,安値!T385&lt;安値!R385,安値!T385&lt;安値!U385,安値!T385&lt;安値!V385),15,""))</f>
        <v/>
      </c>
      <c r="P385" s="503" t="str">
        <f>IF(終値!A385="","",IF(AND(安値!U385&lt;安値!T385,安値!U385&lt;安値!S385,安値!U385&lt;安値!V385,安値!U385&lt;安値!W385),16,""))</f>
        <v/>
      </c>
      <c r="Q385" s="503" t="str">
        <f>IF(終値!A385="","",IF(AND(安値!V385&lt;安値!U385,安値!V385&lt;安値!T385,安値!V385&lt;安値!W385,安値!V385&lt;安値!X385),17,""))</f>
        <v/>
      </c>
      <c r="R385" s="503" t="str">
        <f>IF(終値!A385="","",IF(AND(安値!W385&lt;安値!V385,安値!W385&lt;安値!U385,安値!W385&lt;安値!X385,安値!W385&lt;安値!Y385),18,""))</f>
        <v/>
      </c>
      <c r="S385" s="503" t="str">
        <f>IF(終値!A385="","",IF(AND(安値!X385&lt;安値!W385,安値!X385&lt;安値!V385,安値!X385&lt;安値!Y385,安値!X385&lt;安値!Z385),19,""))</f>
        <v/>
      </c>
      <c r="T385" s="503" t="str">
        <f>IF(終値!A385="","",IF(AND(安値!Y385&lt;安値!X385,安値!Y385&lt;安値!W385,安値!Y385&lt;安値!Z385,安値!Y385&lt;安値!AA385),20,""))</f>
        <v/>
      </c>
      <c r="U385" s="503" t="str">
        <f>IF(終値!A385="","",IF(AND(安値!Z385&lt;安値!Y385,安値!Z385&lt;安値!X385,安値!Z385&lt;安値!AA385,安値!Z385&lt;安値!AB385),21,""))</f>
        <v/>
      </c>
      <c r="V385" s="503" t="str">
        <f>IF(終値!A385="","",IF(AND(安値!AA385&lt;安値!Z385,安値!AA385&lt;安値!Y385,安値!AA385&lt;安値!AB385,安値!AA385&lt;安値!AC385),22,""))</f>
        <v/>
      </c>
      <c r="W385" s="503" t="str">
        <f>IF(終値!A385="","",IF(AND(安値!AB385&lt;安値!AA385,安値!AB385&lt;安値!Z385,安値!AB385&lt;安値!AC385,安値!AB385&lt;安値!AD385),23,""))</f>
        <v/>
      </c>
      <c r="X385" s="503" t="str">
        <f>IF(終値!A385="","",IF(AND(安値!AC385&lt;安値!AB385,安値!AC385&lt;安値!AA385,安値!AC385&lt;安値!AD385,安値!AC385&lt;安値!AE385),24,""))</f>
        <v/>
      </c>
      <c r="Y385" s="503" t="str">
        <f>IF(終値!A385="","",IF(AND(安値!AD385&lt;安値!AC385,安値!AD385&lt;安値!AB385,安値!AD385&lt;安値!AE385,安値!AD385&lt;安値!AF385),25,""))</f>
        <v/>
      </c>
      <c r="Z385" s="503" t="str">
        <f>IF(終値!A385="","",IF(AND(安値!AE385&lt;安値!AD385,安値!AE385&lt;安値!AC385,安値!AE385&lt;安値!AF385,安値!AE385&lt;安値!AG385),26,""))</f>
        <v/>
      </c>
      <c r="AA385" s="503" t="str">
        <f>IF(終値!A385="","",IF(AND(安値!AF385&lt;安値!AE385,安値!AF385&lt;安値!AD385,安値!AF385&lt;安値!AG385,安値!AF385&lt;安値!AH385),27,""))</f>
        <v/>
      </c>
      <c r="AB385" s="503" t="str">
        <f>IF(終値!A385="","",IF(AND(安値!AG385&lt;安値!AF385,安値!AG385&lt;安値!AE385,安値!AG385&lt;安値!AH385,安値!AG385&lt;安値!AI385),28,""))</f>
        <v/>
      </c>
      <c r="AC385" s="503" t="str">
        <f>IF(終値!A385="","",IF(AND(高値!G385&gt;高値!F385,高値!G385&gt;高値!E385,高値!G385&gt;高値!H385,高値!G385&gt;高値!I385),2,""))</f>
        <v/>
      </c>
      <c r="AD385" s="503" t="str">
        <f>IF(終値!A385="","",IF(AND(高値!H385&gt;高値!G385,高値!H385&gt;高値!F385,高値!H385&gt;高値!I385,高値!H385&gt;高値!J385),3,""))</f>
        <v/>
      </c>
      <c r="AE385" s="503" t="str">
        <f>IF(終値!A385="","",IF(AND(高値!I385&gt;高値!H385,高値!I385&gt;高値!G385,高値!I385&gt;高値!J385,高値!I385&gt;高値!K385),4,""))</f>
        <v/>
      </c>
      <c r="AF385" s="503" t="str">
        <f>IF(終値!A385="","",IF(AND(高値!J385&gt;高値!I385,高値!J385&gt;高値!H385,高値!J385&gt;高値!K385,高値!J385&gt;高値!L385),5,""))</f>
        <v/>
      </c>
      <c r="AG385" s="503" t="str">
        <f>IF(終値!A385="","",IF(AND(高値!K385&gt;高値!J385,高値!K385&gt;高値!I385,高値!K385&gt;高値!L385,高値!K385&gt;高値!M385),6,""))</f>
        <v/>
      </c>
      <c r="AH385" s="503" t="str">
        <f>IF(終値!A385="","",IF(AND(高値!L385&gt;高値!K385,高値!L385&gt;高値!J385,高値!L385&gt;高値!M385,高値!L385&gt;高値!N385),7,""))</f>
        <v/>
      </c>
      <c r="AI385" s="503" t="str">
        <f>IF(終値!A385="","",IF(AND(高値!M385&gt;高値!L385,高値!M385&gt;高値!K385,高値!M385&gt;高値!N385,高値!M385&gt;高値!O385),8,""))</f>
        <v/>
      </c>
      <c r="AJ385" s="503" t="str">
        <f>IF(終値!A385="","",IF(AND(高値!N385&gt;高値!M385,高値!N385&gt;高値!L385,高値!N385&gt;高値!O385,高値!N385&gt;高値!P385),9,""))</f>
        <v/>
      </c>
      <c r="AK385" s="503" t="str">
        <f>IF(終値!A385="","",IF(AND(高値!O385&gt;高値!N385,高値!O385&gt;高値!M385,高値!O385&gt;高値!P385,高値!O385&gt;高値!Q385),10,""))</f>
        <v/>
      </c>
      <c r="AL385" s="503" t="str">
        <f>IF(終値!A385="","",IF(AND(高値!P385&gt;高値!O385,高値!P385&gt;高値!N385,高値!P385&gt;高値!Q385,高値!P385&gt;高値!R385),11,""))</f>
        <v/>
      </c>
      <c r="AM385" s="503" t="str">
        <f>IF(終値!A385="","",IF(AND(高値!Q385&gt;高値!P385,高値!Q385&gt;高値!O385,高値!Q385&gt;高値!R385,高値!Q385&gt;高値!S385),12,""))</f>
        <v/>
      </c>
      <c r="AN385" s="503" t="str">
        <f>IF(終値!A385="","",IF(AND(高値!R385&gt;高値!Q385,高値!R385&gt;高値!P385,高値!R385&gt;高値!S385,高値!R385&gt;高値!T385),13,""))</f>
        <v/>
      </c>
      <c r="AO385" s="503" t="str">
        <f>IF(終値!A385="","",IF(AND(高値!S385&gt;高値!R385,高値!S385&gt;高値!Q385,高値!S385&gt;高値!T385,高値!S385&gt;高値!U385),14,""))</f>
        <v/>
      </c>
      <c r="AP385" s="503" t="str">
        <f>IF(終値!A385="","",IF(AND(高値!T385&gt;高値!S385,高値!T385&gt;高値!R385,高値!T385&gt;高値!U385,高値!T385&gt;高値!V385),15,""))</f>
        <v/>
      </c>
      <c r="AQ385" s="503" t="str">
        <f>IF(終値!A385="","",IF(AND(高値!U385&gt;高値!T385,高値!U385&gt;高値!S385,高値!U385&gt;高値!V385,高値!U385&gt;高値!W385),16,""))</f>
        <v/>
      </c>
      <c r="AR385" s="503" t="str">
        <f>IF(終値!A385="","",IF(AND(高値!V385&gt;高値!U385,高値!V385&gt;高値!T385,高値!V385&gt;高値!W385,高値!V385&gt;高値!X385),17,""))</f>
        <v/>
      </c>
      <c r="AS385" s="503" t="str">
        <f>IF(終値!A385="","",IF(AND(高値!W385&gt;高値!V385,高値!W385&gt;高値!U385,高値!W385&gt;高値!X385,高値!W385&gt;高値!Y385),18,""))</f>
        <v/>
      </c>
      <c r="AT385" s="503" t="str">
        <f>IF(終値!A385="","",IF(AND(高値!X385&gt;高値!W385,高値!X385&gt;高値!V385,高値!X385&gt;高値!Y385,高値!X385&gt;高値!Z385),19,""))</f>
        <v/>
      </c>
      <c r="AU385" s="503" t="str">
        <f>IF(終値!A385="","",IF(AND(高値!Y385&gt;高値!X385,高値!Y385&gt;高値!W385,高値!Y385&gt;高値!Z385,高値!Y385&gt;高値!AA385),20,""))</f>
        <v/>
      </c>
      <c r="AV385" s="503" t="str">
        <f>IF(終値!A385="","",IF(AND(高値!Z385&gt;高値!Y385,高値!Z385&gt;高値!X385,高値!Z385&gt;高値!AA385,高値!Z385&gt;高値!AB385),21,""))</f>
        <v/>
      </c>
      <c r="AW385" s="503" t="str">
        <f>IF(終値!A385="","",IF(AND(高値!AA385&gt;高値!Z385,高値!AA385&gt;高値!Y385,高値!AA385&gt;高値!AB385,高値!AA385&gt;高値!AC385),22,""))</f>
        <v/>
      </c>
      <c r="AX385" s="503" t="str">
        <f>IF(終値!A385="","",IF(AND(高値!AB385&gt;高値!AA385,高値!AB385&gt;高値!Z385,高値!AB385&gt;高値!AC385,高値!AB385&gt;高値!AD385),23,""))</f>
        <v/>
      </c>
      <c r="AY385" s="503" t="str">
        <f>IF(終値!A385="","",IF(AND(高値!AC385&gt;高値!AB385,高値!AC385&gt;高値!AA385,高値!AC385&gt;高値!AD385,高値!AC385&gt;高値!AE385),24,""))</f>
        <v/>
      </c>
      <c r="AZ385" s="503" t="str">
        <f>IF(終値!A385="","",IF(AND(高値!AD385&gt;高値!AC385,高値!AD385&gt;高値!AB385,高値!AD385&gt;高値!AE385,高値!AD385&gt;高値!AF385),25,""))</f>
        <v/>
      </c>
      <c r="BA385" s="503" t="str">
        <f>IF(終値!A385="","",IF(AND(高値!AE385&gt;高値!AD385,高値!AE385&gt;高値!AC385,高値!AE385&gt;高値!AF385,高値!AE385&gt;高値!AG385),26,""))</f>
        <v/>
      </c>
      <c r="BB385" s="503" t="str">
        <f>IF(終値!A385="","",IF(AND(高値!AF385&gt;高値!AE385,高値!AF385&gt;高値!AD385,高値!AF385&gt;高値!AG385,高値!AF385&gt;高値!AH385),27,""))</f>
        <v/>
      </c>
      <c r="BC385" s="503" t="str">
        <f>IF(終値!A385="","",IF(AND(高値!AG385&gt;高値!AF385,高値!AG385&gt;高値!AE385,高値!AG385&gt;高値!AH385,高値!AG385&gt;高値!AI385),28,""))</f>
        <v/>
      </c>
      <c r="BD385" s="503">
        <f t="shared" si="30"/>
        <v>0</v>
      </c>
      <c r="BE385" s="503" t="str">
        <f t="shared" si="31"/>
        <v/>
      </c>
      <c r="BF385" s="503" t="str">
        <f t="shared" si="32"/>
        <v/>
      </c>
      <c r="BG385" s="503" t="str">
        <f>IF($BE385="","",INDEX(安値!$E385:$CZ385,1,$BE385+1))</f>
        <v/>
      </c>
      <c r="BH385" s="503" t="str">
        <f>IF($BF385="","",INDEX(安値!$E385:$CZ385,1,$BF385+1))</f>
        <v/>
      </c>
      <c r="BI385" s="503" t="str">
        <f>IF($BF385="","",MAX(INDEX(高値!$E385:$CZ385,1,$BE385+1):INDEX(高値!$E385:$CZ385,1,$BF385+1)))</f>
        <v/>
      </c>
      <c r="BJ385" s="503" t="str">
        <f>IF($BF385="","",AVERAGE(INDEX(終値!$E385:$CZ385,1,$BF385+1):INDEX(終値!$E385:$CZ385,1,$BF385+20))-2*STDEVP(INDEX(終値!$E385:$CZ385,1,$BF385+1):INDEX(終値!$E385:$CZ385,1,$BF385+20)))</f>
        <v/>
      </c>
      <c r="BK385" s="503" t="str">
        <f>IF($BE385="","",AVERAGE(INDEX(終値!$E385:$CZ385,1,$BE385+1):INDEX(終値!$E385:$CZ385,1,$BE385+20))-2*STDEVP(INDEX(終値!$E385:$CZ385,1,$BE385+1):INDEX(終値!$E385:$CZ385,1,$BE385+20)))</f>
        <v/>
      </c>
      <c r="BL385" s="503">
        <f t="shared" si="33"/>
        <v>0</v>
      </c>
      <c r="BM385" s="503" t="str">
        <f t="shared" si="34"/>
        <v/>
      </c>
      <c r="BN385" s="503" t="str">
        <f t="shared" si="35"/>
        <v/>
      </c>
      <c r="BO385" s="503" t="str">
        <f>IF($BM385="","",INDEX(高値!$E385:$CZ385,1,$BM385+1))</f>
        <v/>
      </c>
      <c r="BP385" s="503" t="str">
        <f>IF($BN385="","",INDEX(高値!$E385:$CZ385,1,$BN385+1))</f>
        <v/>
      </c>
      <c r="BQ385" s="503" t="str">
        <f>IF($BN385="","",MIN(INDEX(安値!$E385:$CZ385,1,$BM385+1):INDEX(安値!$E385:$CZ385,1,$BN385+1)))</f>
        <v/>
      </c>
      <c r="BR385" s="503" t="str">
        <f>IF($BN385="","",AVERAGE(INDEX(終値!$E385:$CZ385,1,$BN385+1):INDEX(終値!$E385:$CZ385,1,$BN385+20))+2*STDEVP(INDEX(終値!$E385:$CZ385,1,$BN385+1):INDEX(終値!$E385:$CZ385,1,$BN385+20)))</f>
        <v/>
      </c>
      <c r="BS385" s="503" t="str">
        <f>IF($BM385="","",AVERAGE(INDEX(終値!$E385:$CZ385,1,$BM385+1):INDEX(終値!$E385:$CZ385,1,$BM385+20))+2*STDEVP(INDEX(終値!$E385:$CZ385,1,$BM385+1):INDEX(終値!$E385:$CZ385,1,$BM385+20)))</f>
        <v/>
      </c>
      <c r="BT385" s="500"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3" t="str">
        <f>IF(終値!A386="","",IF(AND(安値!G386&lt;安値!F386,安値!G386&lt;安値!E386,安値!G386&lt;安値!H386,安値!G386&lt;安値!I386),2,""))</f>
        <v/>
      </c>
      <c r="C386" s="503" t="str">
        <f>IF(終値!A386="","",IF(AND(安値!H386&lt;安値!G386,安値!H386&lt;安値!F386,安値!H386&lt;安値!I386,安値!H386&lt;安値!J386),3,""))</f>
        <v/>
      </c>
      <c r="D386" s="503" t="str">
        <f>IF(終値!A386="","",IF(AND(安値!I386&lt;安値!H386,安値!I386&lt;安値!G386,安値!I386&lt;安値!J386,安値!I386&lt;安値!K386),4,""))</f>
        <v/>
      </c>
      <c r="E386" s="503" t="str">
        <f>IF(終値!A386="","",IF(AND(安値!J386&lt;安値!I386,安値!J386&lt;安値!H386,安値!J386&lt;安値!K386,安値!J386&lt;安値!L386),5,""))</f>
        <v/>
      </c>
      <c r="F386" s="503" t="str">
        <f>IF(終値!A386="","",IF(AND(安値!K386&lt;安値!J386,安値!K386&lt;安値!I386,安値!K386&lt;安値!L386,安値!K386&lt;安値!M386),6,""))</f>
        <v/>
      </c>
      <c r="G386" s="503" t="str">
        <f>IF(終値!A386="","",IF(AND(安値!L386&lt;安値!K386,安値!L386&lt;安値!J386,安値!L386&lt;安値!M386,安値!L386&lt;安値!N386),7,""))</f>
        <v/>
      </c>
      <c r="H386" s="503" t="str">
        <f>IF(終値!A386="","",IF(AND(安値!M386&lt;安値!L386,安値!M386&lt;安値!K386,安値!M386&lt;安値!N386,安値!M386&lt;安値!O386),8,""))</f>
        <v/>
      </c>
      <c r="I386" s="503" t="str">
        <f>IF(終値!A386="","",IF(AND(安値!N386&lt;安値!M386,安値!N386&lt;安値!L386,安値!N386&lt;安値!O386,安値!N386&lt;安値!P386),9,""))</f>
        <v/>
      </c>
      <c r="J386" s="503" t="str">
        <f>IF(終値!A386="","",IF(AND(安値!O386&lt;安値!N386,安値!O386&lt;安値!M386,安値!O386&lt;安値!P386,安値!O386&lt;安値!Q386),10,""))</f>
        <v/>
      </c>
      <c r="K386" s="503" t="str">
        <f>IF(終値!A386="","",IF(AND(安値!P386&lt;安値!O386,安値!P386&lt;安値!N386,安値!P386&lt;安値!Q386,安値!P386&lt;安値!R386),11,""))</f>
        <v/>
      </c>
      <c r="L386" s="503" t="str">
        <f>IF(終値!A386="","",IF(AND(安値!Q386&lt;安値!P386,安値!Q386&lt;安値!O386,安値!Q386&lt;安値!R386,安値!Q386&lt;安値!S386),12,""))</f>
        <v/>
      </c>
      <c r="M386" s="503" t="str">
        <f>IF(終値!A386="","",IF(AND(安値!R386&lt;安値!Q386,安値!R386&lt;安値!P386,安値!R386&lt;安値!S386,安値!R386&lt;安値!T386),13,""))</f>
        <v/>
      </c>
      <c r="N386" s="503" t="str">
        <f>IF(終値!A386="","",IF(AND(安値!S386&lt;安値!R386,安値!S386&lt;安値!Q386,安値!S386&lt;安値!T386,安値!S386&lt;安値!U386),14,""))</f>
        <v/>
      </c>
      <c r="O386" s="503" t="str">
        <f>IF(終値!A386="","",IF(AND(安値!T386&lt;安値!S386,安値!T386&lt;安値!R386,安値!T386&lt;安値!U386,安値!T386&lt;安値!V386),15,""))</f>
        <v/>
      </c>
      <c r="P386" s="503" t="str">
        <f>IF(終値!A386="","",IF(AND(安値!U386&lt;安値!T386,安値!U386&lt;安値!S386,安値!U386&lt;安値!V386,安値!U386&lt;安値!W386),16,""))</f>
        <v/>
      </c>
      <c r="Q386" s="503" t="str">
        <f>IF(終値!A386="","",IF(AND(安値!V386&lt;安値!U386,安値!V386&lt;安値!T386,安値!V386&lt;安値!W386,安値!V386&lt;安値!X386),17,""))</f>
        <v/>
      </c>
      <c r="R386" s="503" t="str">
        <f>IF(終値!A386="","",IF(AND(安値!W386&lt;安値!V386,安値!W386&lt;安値!U386,安値!W386&lt;安値!X386,安値!W386&lt;安値!Y386),18,""))</f>
        <v/>
      </c>
      <c r="S386" s="503" t="str">
        <f>IF(終値!A386="","",IF(AND(安値!X386&lt;安値!W386,安値!X386&lt;安値!V386,安値!X386&lt;安値!Y386,安値!X386&lt;安値!Z386),19,""))</f>
        <v/>
      </c>
      <c r="T386" s="503" t="str">
        <f>IF(終値!A386="","",IF(AND(安値!Y386&lt;安値!X386,安値!Y386&lt;安値!W386,安値!Y386&lt;安値!Z386,安値!Y386&lt;安値!AA386),20,""))</f>
        <v/>
      </c>
      <c r="U386" s="503" t="str">
        <f>IF(終値!A386="","",IF(AND(安値!Z386&lt;安値!Y386,安値!Z386&lt;安値!X386,安値!Z386&lt;安値!AA386,安値!Z386&lt;安値!AB386),21,""))</f>
        <v/>
      </c>
      <c r="V386" s="503" t="str">
        <f>IF(終値!A386="","",IF(AND(安値!AA386&lt;安値!Z386,安値!AA386&lt;安値!Y386,安値!AA386&lt;安値!AB386,安値!AA386&lt;安値!AC386),22,""))</f>
        <v/>
      </c>
      <c r="W386" s="503" t="str">
        <f>IF(終値!A386="","",IF(AND(安値!AB386&lt;安値!AA386,安値!AB386&lt;安値!Z386,安値!AB386&lt;安値!AC386,安値!AB386&lt;安値!AD386),23,""))</f>
        <v/>
      </c>
      <c r="X386" s="503" t="str">
        <f>IF(終値!A386="","",IF(AND(安値!AC386&lt;安値!AB386,安値!AC386&lt;安値!AA386,安値!AC386&lt;安値!AD386,安値!AC386&lt;安値!AE386),24,""))</f>
        <v/>
      </c>
      <c r="Y386" s="503" t="str">
        <f>IF(終値!A386="","",IF(AND(安値!AD386&lt;安値!AC386,安値!AD386&lt;安値!AB386,安値!AD386&lt;安値!AE386,安値!AD386&lt;安値!AF386),25,""))</f>
        <v/>
      </c>
      <c r="Z386" s="503" t="str">
        <f>IF(終値!A386="","",IF(AND(安値!AE386&lt;安値!AD386,安値!AE386&lt;安値!AC386,安値!AE386&lt;安値!AF386,安値!AE386&lt;安値!AG386),26,""))</f>
        <v/>
      </c>
      <c r="AA386" s="503" t="str">
        <f>IF(終値!A386="","",IF(AND(安値!AF386&lt;安値!AE386,安値!AF386&lt;安値!AD386,安値!AF386&lt;安値!AG386,安値!AF386&lt;安値!AH386),27,""))</f>
        <v/>
      </c>
      <c r="AB386" s="503" t="str">
        <f>IF(終値!A386="","",IF(AND(安値!AG386&lt;安値!AF386,安値!AG386&lt;安値!AE386,安値!AG386&lt;安値!AH386,安値!AG386&lt;安値!AI386),28,""))</f>
        <v/>
      </c>
      <c r="AC386" s="503" t="str">
        <f>IF(終値!A386="","",IF(AND(高値!G386&gt;高値!F386,高値!G386&gt;高値!E386,高値!G386&gt;高値!H386,高値!G386&gt;高値!I386),2,""))</f>
        <v/>
      </c>
      <c r="AD386" s="503" t="str">
        <f>IF(終値!A386="","",IF(AND(高値!H386&gt;高値!G386,高値!H386&gt;高値!F386,高値!H386&gt;高値!I386,高値!H386&gt;高値!J386),3,""))</f>
        <v/>
      </c>
      <c r="AE386" s="503" t="str">
        <f>IF(終値!A386="","",IF(AND(高値!I386&gt;高値!H386,高値!I386&gt;高値!G386,高値!I386&gt;高値!J386,高値!I386&gt;高値!K386),4,""))</f>
        <v/>
      </c>
      <c r="AF386" s="503" t="str">
        <f>IF(終値!A386="","",IF(AND(高値!J386&gt;高値!I386,高値!J386&gt;高値!H386,高値!J386&gt;高値!K386,高値!J386&gt;高値!L386),5,""))</f>
        <v/>
      </c>
      <c r="AG386" s="503" t="str">
        <f>IF(終値!A386="","",IF(AND(高値!K386&gt;高値!J386,高値!K386&gt;高値!I386,高値!K386&gt;高値!L386,高値!K386&gt;高値!M386),6,""))</f>
        <v/>
      </c>
      <c r="AH386" s="503" t="str">
        <f>IF(終値!A386="","",IF(AND(高値!L386&gt;高値!K386,高値!L386&gt;高値!J386,高値!L386&gt;高値!M386,高値!L386&gt;高値!N386),7,""))</f>
        <v/>
      </c>
      <c r="AI386" s="503" t="str">
        <f>IF(終値!A386="","",IF(AND(高値!M386&gt;高値!L386,高値!M386&gt;高値!K386,高値!M386&gt;高値!N386,高値!M386&gt;高値!O386),8,""))</f>
        <v/>
      </c>
      <c r="AJ386" s="503" t="str">
        <f>IF(終値!A386="","",IF(AND(高値!N386&gt;高値!M386,高値!N386&gt;高値!L386,高値!N386&gt;高値!O386,高値!N386&gt;高値!P386),9,""))</f>
        <v/>
      </c>
      <c r="AK386" s="503" t="str">
        <f>IF(終値!A386="","",IF(AND(高値!O386&gt;高値!N386,高値!O386&gt;高値!M386,高値!O386&gt;高値!P386,高値!O386&gt;高値!Q386),10,""))</f>
        <v/>
      </c>
      <c r="AL386" s="503" t="str">
        <f>IF(終値!A386="","",IF(AND(高値!P386&gt;高値!O386,高値!P386&gt;高値!N386,高値!P386&gt;高値!Q386,高値!P386&gt;高値!R386),11,""))</f>
        <v/>
      </c>
      <c r="AM386" s="503" t="str">
        <f>IF(終値!A386="","",IF(AND(高値!Q386&gt;高値!P386,高値!Q386&gt;高値!O386,高値!Q386&gt;高値!R386,高値!Q386&gt;高値!S386),12,""))</f>
        <v/>
      </c>
      <c r="AN386" s="503" t="str">
        <f>IF(終値!A386="","",IF(AND(高値!R386&gt;高値!Q386,高値!R386&gt;高値!P386,高値!R386&gt;高値!S386,高値!R386&gt;高値!T386),13,""))</f>
        <v/>
      </c>
      <c r="AO386" s="503" t="str">
        <f>IF(終値!A386="","",IF(AND(高値!S386&gt;高値!R386,高値!S386&gt;高値!Q386,高値!S386&gt;高値!T386,高値!S386&gt;高値!U386),14,""))</f>
        <v/>
      </c>
      <c r="AP386" s="503" t="str">
        <f>IF(終値!A386="","",IF(AND(高値!T386&gt;高値!S386,高値!T386&gt;高値!R386,高値!T386&gt;高値!U386,高値!T386&gt;高値!V386),15,""))</f>
        <v/>
      </c>
      <c r="AQ386" s="503" t="str">
        <f>IF(終値!A386="","",IF(AND(高値!U386&gt;高値!T386,高値!U386&gt;高値!S386,高値!U386&gt;高値!V386,高値!U386&gt;高値!W386),16,""))</f>
        <v/>
      </c>
      <c r="AR386" s="503" t="str">
        <f>IF(終値!A386="","",IF(AND(高値!V386&gt;高値!U386,高値!V386&gt;高値!T386,高値!V386&gt;高値!W386,高値!V386&gt;高値!X386),17,""))</f>
        <v/>
      </c>
      <c r="AS386" s="503" t="str">
        <f>IF(終値!A386="","",IF(AND(高値!W386&gt;高値!V386,高値!W386&gt;高値!U386,高値!W386&gt;高値!X386,高値!W386&gt;高値!Y386),18,""))</f>
        <v/>
      </c>
      <c r="AT386" s="503" t="str">
        <f>IF(終値!A386="","",IF(AND(高値!X386&gt;高値!W386,高値!X386&gt;高値!V386,高値!X386&gt;高値!Y386,高値!X386&gt;高値!Z386),19,""))</f>
        <v/>
      </c>
      <c r="AU386" s="503" t="str">
        <f>IF(終値!A386="","",IF(AND(高値!Y386&gt;高値!X386,高値!Y386&gt;高値!W386,高値!Y386&gt;高値!Z386,高値!Y386&gt;高値!AA386),20,""))</f>
        <v/>
      </c>
      <c r="AV386" s="503" t="str">
        <f>IF(終値!A386="","",IF(AND(高値!Z386&gt;高値!Y386,高値!Z386&gt;高値!X386,高値!Z386&gt;高値!AA386,高値!Z386&gt;高値!AB386),21,""))</f>
        <v/>
      </c>
      <c r="AW386" s="503" t="str">
        <f>IF(終値!A386="","",IF(AND(高値!AA386&gt;高値!Z386,高値!AA386&gt;高値!Y386,高値!AA386&gt;高値!AB386,高値!AA386&gt;高値!AC386),22,""))</f>
        <v/>
      </c>
      <c r="AX386" s="503" t="str">
        <f>IF(終値!A386="","",IF(AND(高値!AB386&gt;高値!AA386,高値!AB386&gt;高値!Z386,高値!AB386&gt;高値!AC386,高値!AB386&gt;高値!AD386),23,""))</f>
        <v/>
      </c>
      <c r="AY386" s="503" t="str">
        <f>IF(終値!A386="","",IF(AND(高値!AC386&gt;高値!AB386,高値!AC386&gt;高値!AA386,高値!AC386&gt;高値!AD386,高値!AC386&gt;高値!AE386),24,""))</f>
        <v/>
      </c>
      <c r="AZ386" s="503" t="str">
        <f>IF(終値!A386="","",IF(AND(高値!AD386&gt;高値!AC386,高値!AD386&gt;高値!AB386,高値!AD386&gt;高値!AE386,高値!AD386&gt;高値!AF386),25,""))</f>
        <v/>
      </c>
      <c r="BA386" s="503" t="str">
        <f>IF(終値!A386="","",IF(AND(高値!AE386&gt;高値!AD386,高値!AE386&gt;高値!AC386,高値!AE386&gt;高値!AF386,高値!AE386&gt;高値!AG386),26,""))</f>
        <v/>
      </c>
      <c r="BB386" s="503" t="str">
        <f>IF(終値!A386="","",IF(AND(高値!AF386&gt;高値!AE386,高値!AF386&gt;高値!AD386,高値!AF386&gt;高値!AG386,高値!AF386&gt;高値!AH386),27,""))</f>
        <v/>
      </c>
      <c r="BC386" s="503" t="str">
        <f>IF(終値!A386="","",IF(AND(高値!AG386&gt;高値!AF386,高値!AG386&gt;高値!AE386,高値!AG386&gt;高値!AH386,高値!AG386&gt;高値!AI386),28,""))</f>
        <v/>
      </c>
      <c r="BD386" s="503">
        <f t="shared" si="30"/>
        <v>0</v>
      </c>
      <c r="BE386" s="503" t="str">
        <f t="shared" si="31"/>
        <v/>
      </c>
      <c r="BF386" s="503" t="str">
        <f t="shared" si="32"/>
        <v/>
      </c>
      <c r="BG386" s="503" t="str">
        <f>IF($BE386="","",INDEX(安値!$E386:$CZ386,1,$BE386+1))</f>
        <v/>
      </c>
      <c r="BH386" s="503" t="str">
        <f>IF($BF386="","",INDEX(安値!$E386:$CZ386,1,$BF386+1))</f>
        <v/>
      </c>
      <c r="BI386" s="503" t="str">
        <f>IF($BF386="","",MAX(INDEX(高値!$E386:$CZ386,1,$BE386+1):INDEX(高値!$E386:$CZ386,1,$BF386+1)))</f>
        <v/>
      </c>
      <c r="BJ386" s="503" t="str">
        <f>IF($BF386="","",AVERAGE(INDEX(終値!$E386:$CZ386,1,$BF386+1):INDEX(終値!$E386:$CZ386,1,$BF386+20))-2*STDEVP(INDEX(終値!$E386:$CZ386,1,$BF386+1):INDEX(終値!$E386:$CZ386,1,$BF386+20)))</f>
        <v/>
      </c>
      <c r="BK386" s="503" t="str">
        <f>IF($BE386="","",AVERAGE(INDEX(終値!$E386:$CZ386,1,$BE386+1):INDEX(終値!$E386:$CZ386,1,$BE386+20))-2*STDEVP(INDEX(終値!$E386:$CZ386,1,$BE386+1):INDEX(終値!$E386:$CZ386,1,$BE386+20)))</f>
        <v/>
      </c>
      <c r="BL386" s="503">
        <f t="shared" si="33"/>
        <v>0</v>
      </c>
      <c r="BM386" s="503" t="str">
        <f t="shared" si="34"/>
        <v/>
      </c>
      <c r="BN386" s="503" t="str">
        <f t="shared" si="35"/>
        <v/>
      </c>
      <c r="BO386" s="503" t="str">
        <f>IF($BM386="","",INDEX(高値!$E386:$CZ386,1,$BM386+1))</f>
        <v/>
      </c>
      <c r="BP386" s="503" t="str">
        <f>IF($BN386="","",INDEX(高値!$E386:$CZ386,1,$BN386+1))</f>
        <v/>
      </c>
      <c r="BQ386" s="503" t="str">
        <f>IF($BN386="","",MIN(INDEX(安値!$E386:$CZ386,1,$BM386+1):INDEX(安値!$E386:$CZ386,1,$BN386+1)))</f>
        <v/>
      </c>
      <c r="BR386" s="503" t="str">
        <f>IF($BN386="","",AVERAGE(INDEX(終値!$E386:$CZ386,1,$BN386+1):INDEX(終値!$E386:$CZ386,1,$BN386+20))+2*STDEVP(INDEX(終値!$E386:$CZ386,1,$BN386+1):INDEX(終値!$E386:$CZ386,1,$BN386+20)))</f>
        <v/>
      </c>
      <c r="BS386" s="503" t="str">
        <f>IF($BM386="","",AVERAGE(INDEX(終値!$E386:$CZ386,1,$BM386+1):INDEX(終値!$E386:$CZ386,1,$BM386+20))+2*STDEVP(INDEX(終値!$E386:$CZ386,1,$BM386+1):INDEX(終値!$E386:$CZ386,1,$BM386+20)))</f>
        <v/>
      </c>
      <c r="BT386" s="500"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3" t="str">
        <f>IF(終値!A387="","",IF(AND(安値!G387&lt;安値!F387,安値!G387&lt;安値!E387,安値!G387&lt;安値!H387,安値!G387&lt;安値!I387),2,""))</f>
        <v/>
      </c>
      <c r="C387" s="503" t="str">
        <f>IF(終値!A387="","",IF(AND(安値!H387&lt;安値!G387,安値!H387&lt;安値!F387,安値!H387&lt;安値!I387,安値!H387&lt;安値!J387),3,""))</f>
        <v/>
      </c>
      <c r="D387" s="503" t="str">
        <f>IF(終値!A387="","",IF(AND(安値!I387&lt;安値!H387,安値!I387&lt;安値!G387,安値!I387&lt;安値!J387,安値!I387&lt;安値!K387),4,""))</f>
        <v/>
      </c>
      <c r="E387" s="503" t="str">
        <f>IF(終値!A387="","",IF(AND(安値!J387&lt;安値!I387,安値!J387&lt;安値!H387,安値!J387&lt;安値!K387,安値!J387&lt;安値!L387),5,""))</f>
        <v/>
      </c>
      <c r="F387" s="503" t="str">
        <f>IF(終値!A387="","",IF(AND(安値!K387&lt;安値!J387,安値!K387&lt;安値!I387,安値!K387&lt;安値!L387,安値!K387&lt;安値!M387),6,""))</f>
        <v/>
      </c>
      <c r="G387" s="503" t="str">
        <f>IF(終値!A387="","",IF(AND(安値!L387&lt;安値!K387,安値!L387&lt;安値!J387,安値!L387&lt;安値!M387,安値!L387&lt;安値!N387),7,""))</f>
        <v/>
      </c>
      <c r="H387" s="503" t="str">
        <f>IF(終値!A387="","",IF(AND(安値!M387&lt;安値!L387,安値!M387&lt;安値!K387,安値!M387&lt;安値!N387,安値!M387&lt;安値!O387),8,""))</f>
        <v/>
      </c>
      <c r="I387" s="503" t="str">
        <f>IF(終値!A387="","",IF(AND(安値!N387&lt;安値!M387,安値!N387&lt;安値!L387,安値!N387&lt;安値!O387,安値!N387&lt;安値!P387),9,""))</f>
        <v/>
      </c>
      <c r="J387" s="503" t="str">
        <f>IF(終値!A387="","",IF(AND(安値!O387&lt;安値!N387,安値!O387&lt;安値!M387,安値!O387&lt;安値!P387,安値!O387&lt;安値!Q387),10,""))</f>
        <v/>
      </c>
      <c r="K387" s="503" t="str">
        <f>IF(終値!A387="","",IF(AND(安値!P387&lt;安値!O387,安値!P387&lt;安値!N387,安値!P387&lt;安値!Q387,安値!P387&lt;安値!R387),11,""))</f>
        <v/>
      </c>
      <c r="L387" s="503" t="str">
        <f>IF(終値!A387="","",IF(AND(安値!Q387&lt;安値!P387,安値!Q387&lt;安値!O387,安値!Q387&lt;安値!R387,安値!Q387&lt;安値!S387),12,""))</f>
        <v/>
      </c>
      <c r="M387" s="503" t="str">
        <f>IF(終値!A387="","",IF(AND(安値!R387&lt;安値!Q387,安値!R387&lt;安値!P387,安値!R387&lt;安値!S387,安値!R387&lt;安値!T387),13,""))</f>
        <v/>
      </c>
      <c r="N387" s="503" t="str">
        <f>IF(終値!A387="","",IF(AND(安値!S387&lt;安値!R387,安値!S387&lt;安値!Q387,安値!S387&lt;安値!T387,安値!S387&lt;安値!U387),14,""))</f>
        <v/>
      </c>
      <c r="O387" s="503" t="str">
        <f>IF(終値!A387="","",IF(AND(安値!T387&lt;安値!S387,安値!T387&lt;安値!R387,安値!T387&lt;安値!U387,安値!T387&lt;安値!V387),15,""))</f>
        <v/>
      </c>
      <c r="P387" s="503" t="str">
        <f>IF(終値!A387="","",IF(AND(安値!U387&lt;安値!T387,安値!U387&lt;安値!S387,安値!U387&lt;安値!V387,安値!U387&lt;安値!W387),16,""))</f>
        <v/>
      </c>
      <c r="Q387" s="503" t="str">
        <f>IF(終値!A387="","",IF(AND(安値!V387&lt;安値!U387,安値!V387&lt;安値!T387,安値!V387&lt;安値!W387,安値!V387&lt;安値!X387),17,""))</f>
        <v/>
      </c>
      <c r="R387" s="503" t="str">
        <f>IF(終値!A387="","",IF(AND(安値!W387&lt;安値!V387,安値!W387&lt;安値!U387,安値!W387&lt;安値!X387,安値!W387&lt;安値!Y387),18,""))</f>
        <v/>
      </c>
      <c r="S387" s="503" t="str">
        <f>IF(終値!A387="","",IF(AND(安値!X387&lt;安値!W387,安値!X387&lt;安値!V387,安値!X387&lt;安値!Y387,安値!X387&lt;安値!Z387),19,""))</f>
        <v/>
      </c>
      <c r="T387" s="503" t="str">
        <f>IF(終値!A387="","",IF(AND(安値!Y387&lt;安値!X387,安値!Y387&lt;安値!W387,安値!Y387&lt;安値!Z387,安値!Y387&lt;安値!AA387),20,""))</f>
        <v/>
      </c>
      <c r="U387" s="503" t="str">
        <f>IF(終値!A387="","",IF(AND(安値!Z387&lt;安値!Y387,安値!Z387&lt;安値!X387,安値!Z387&lt;安値!AA387,安値!Z387&lt;安値!AB387),21,""))</f>
        <v/>
      </c>
      <c r="V387" s="503" t="str">
        <f>IF(終値!A387="","",IF(AND(安値!AA387&lt;安値!Z387,安値!AA387&lt;安値!Y387,安値!AA387&lt;安値!AB387,安値!AA387&lt;安値!AC387),22,""))</f>
        <v/>
      </c>
      <c r="W387" s="503" t="str">
        <f>IF(終値!A387="","",IF(AND(安値!AB387&lt;安値!AA387,安値!AB387&lt;安値!Z387,安値!AB387&lt;安値!AC387,安値!AB387&lt;安値!AD387),23,""))</f>
        <v/>
      </c>
      <c r="X387" s="503" t="str">
        <f>IF(終値!A387="","",IF(AND(安値!AC387&lt;安値!AB387,安値!AC387&lt;安値!AA387,安値!AC387&lt;安値!AD387,安値!AC387&lt;安値!AE387),24,""))</f>
        <v/>
      </c>
      <c r="Y387" s="503" t="str">
        <f>IF(終値!A387="","",IF(AND(安値!AD387&lt;安値!AC387,安値!AD387&lt;安値!AB387,安値!AD387&lt;安値!AE387,安値!AD387&lt;安値!AF387),25,""))</f>
        <v/>
      </c>
      <c r="Z387" s="503" t="str">
        <f>IF(終値!A387="","",IF(AND(安値!AE387&lt;安値!AD387,安値!AE387&lt;安値!AC387,安値!AE387&lt;安値!AF387,安値!AE387&lt;安値!AG387),26,""))</f>
        <v/>
      </c>
      <c r="AA387" s="503" t="str">
        <f>IF(終値!A387="","",IF(AND(安値!AF387&lt;安値!AE387,安値!AF387&lt;安値!AD387,安値!AF387&lt;安値!AG387,安値!AF387&lt;安値!AH387),27,""))</f>
        <v/>
      </c>
      <c r="AB387" s="503" t="str">
        <f>IF(終値!A387="","",IF(AND(安値!AG387&lt;安値!AF387,安値!AG387&lt;安値!AE387,安値!AG387&lt;安値!AH387,安値!AG387&lt;安値!AI387),28,""))</f>
        <v/>
      </c>
      <c r="AC387" s="503" t="str">
        <f>IF(終値!A387="","",IF(AND(高値!G387&gt;高値!F387,高値!G387&gt;高値!E387,高値!G387&gt;高値!H387,高値!G387&gt;高値!I387),2,""))</f>
        <v/>
      </c>
      <c r="AD387" s="503" t="str">
        <f>IF(終値!A387="","",IF(AND(高値!H387&gt;高値!G387,高値!H387&gt;高値!F387,高値!H387&gt;高値!I387,高値!H387&gt;高値!J387),3,""))</f>
        <v/>
      </c>
      <c r="AE387" s="503" t="str">
        <f>IF(終値!A387="","",IF(AND(高値!I387&gt;高値!H387,高値!I387&gt;高値!G387,高値!I387&gt;高値!J387,高値!I387&gt;高値!K387),4,""))</f>
        <v/>
      </c>
      <c r="AF387" s="503" t="str">
        <f>IF(終値!A387="","",IF(AND(高値!J387&gt;高値!I387,高値!J387&gt;高値!H387,高値!J387&gt;高値!K387,高値!J387&gt;高値!L387),5,""))</f>
        <v/>
      </c>
      <c r="AG387" s="503" t="str">
        <f>IF(終値!A387="","",IF(AND(高値!K387&gt;高値!J387,高値!K387&gt;高値!I387,高値!K387&gt;高値!L387,高値!K387&gt;高値!M387),6,""))</f>
        <v/>
      </c>
      <c r="AH387" s="503" t="str">
        <f>IF(終値!A387="","",IF(AND(高値!L387&gt;高値!K387,高値!L387&gt;高値!J387,高値!L387&gt;高値!M387,高値!L387&gt;高値!N387),7,""))</f>
        <v/>
      </c>
      <c r="AI387" s="503" t="str">
        <f>IF(終値!A387="","",IF(AND(高値!M387&gt;高値!L387,高値!M387&gt;高値!K387,高値!M387&gt;高値!N387,高値!M387&gt;高値!O387),8,""))</f>
        <v/>
      </c>
      <c r="AJ387" s="503" t="str">
        <f>IF(終値!A387="","",IF(AND(高値!N387&gt;高値!M387,高値!N387&gt;高値!L387,高値!N387&gt;高値!O387,高値!N387&gt;高値!P387),9,""))</f>
        <v/>
      </c>
      <c r="AK387" s="503" t="str">
        <f>IF(終値!A387="","",IF(AND(高値!O387&gt;高値!N387,高値!O387&gt;高値!M387,高値!O387&gt;高値!P387,高値!O387&gt;高値!Q387),10,""))</f>
        <v/>
      </c>
      <c r="AL387" s="503" t="str">
        <f>IF(終値!A387="","",IF(AND(高値!P387&gt;高値!O387,高値!P387&gt;高値!N387,高値!P387&gt;高値!Q387,高値!P387&gt;高値!R387),11,""))</f>
        <v/>
      </c>
      <c r="AM387" s="503" t="str">
        <f>IF(終値!A387="","",IF(AND(高値!Q387&gt;高値!P387,高値!Q387&gt;高値!O387,高値!Q387&gt;高値!R387,高値!Q387&gt;高値!S387),12,""))</f>
        <v/>
      </c>
      <c r="AN387" s="503" t="str">
        <f>IF(終値!A387="","",IF(AND(高値!R387&gt;高値!Q387,高値!R387&gt;高値!P387,高値!R387&gt;高値!S387,高値!R387&gt;高値!T387),13,""))</f>
        <v/>
      </c>
      <c r="AO387" s="503" t="str">
        <f>IF(終値!A387="","",IF(AND(高値!S387&gt;高値!R387,高値!S387&gt;高値!Q387,高値!S387&gt;高値!T387,高値!S387&gt;高値!U387),14,""))</f>
        <v/>
      </c>
      <c r="AP387" s="503" t="str">
        <f>IF(終値!A387="","",IF(AND(高値!T387&gt;高値!S387,高値!T387&gt;高値!R387,高値!T387&gt;高値!U387,高値!T387&gt;高値!V387),15,""))</f>
        <v/>
      </c>
      <c r="AQ387" s="503" t="str">
        <f>IF(終値!A387="","",IF(AND(高値!U387&gt;高値!T387,高値!U387&gt;高値!S387,高値!U387&gt;高値!V387,高値!U387&gt;高値!W387),16,""))</f>
        <v/>
      </c>
      <c r="AR387" s="503" t="str">
        <f>IF(終値!A387="","",IF(AND(高値!V387&gt;高値!U387,高値!V387&gt;高値!T387,高値!V387&gt;高値!W387,高値!V387&gt;高値!X387),17,""))</f>
        <v/>
      </c>
      <c r="AS387" s="503" t="str">
        <f>IF(終値!A387="","",IF(AND(高値!W387&gt;高値!V387,高値!W387&gt;高値!U387,高値!W387&gt;高値!X387,高値!W387&gt;高値!Y387),18,""))</f>
        <v/>
      </c>
      <c r="AT387" s="503" t="str">
        <f>IF(終値!A387="","",IF(AND(高値!X387&gt;高値!W387,高値!X387&gt;高値!V387,高値!X387&gt;高値!Y387,高値!X387&gt;高値!Z387),19,""))</f>
        <v/>
      </c>
      <c r="AU387" s="503" t="str">
        <f>IF(終値!A387="","",IF(AND(高値!Y387&gt;高値!X387,高値!Y387&gt;高値!W387,高値!Y387&gt;高値!Z387,高値!Y387&gt;高値!AA387),20,""))</f>
        <v/>
      </c>
      <c r="AV387" s="503" t="str">
        <f>IF(終値!A387="","",IF(AND(高値!Z387&gt;高値!Y387,高値!Z387&gt;高値!X387,高値!Z387&gt;高値!AA387,高値!Z387&gt;高値!AB387),21,""))</f>
        <v/>
      </c>
      <c r="AW387" s="503" t="str">
        <f>IF(終値!A387="","",IF(AND(高値!AA387&gt;高値!Z387,高値!AA387&gt;高値!Y387,高値!AA387&gt;高値!AB387,高値!AA387&gt;高値!AC387),22,""))</f>
        <v/>
      </c>
      <c r="AX387" s="503" t="str">
        <f>IF(終値!A387="","",IF(AND(高値!AB387&gt;高値!AA387,高値!AB387&gt;高値!Z387,高値!AB387&gt;高値!AC387,高値!AB387&gt;高値!AD387),23,""))</f>
        <v/>
      </c>
      <c r="AY387" s="503" t="str">
        <f>IF(終値!A387="","",IF(AND(高値!AC387&gt;高値!AB387,高値!AC387&gt;高値!AA387,高値!AC387&gt;高値!AD387,高値!AC387&gt;高値!AE387),24,""))</f>
        <v/>
      </c>
      <c r="AZ387" s="503" t="str">
        <f>IF(終値!A387="","",IF(AND(高値!AD387&gt;高値!AC387,高値!AD387&gt;高値!AB387,高値!AD387&gt;高値!AE387,高値!AD387&gt;高値!AF387),25,""))</f>
        <v/>
      </c>
      <c r="BA387" s="503" t="str">
        <f>IF(終値!A387="","",IF(AND(高値!AE387&gt;高値!AD387,高値!AE387&gt;高値!AC387,高値!AE387&gt;高値!AF387,高値!AE387&gt;高値!AG387),26,""))</f>
        <v/>
      </c>
      <c r="BB387" s="503" t="str">
        <f>IF(終値!A387="","",IF(AND(高値!AF387&gt;高値!AE387,高値!AF387&gt;高値!AD387,高値!AF387&gt;高値!AG387,高値!AF387&gt;高値!AH387),27,""))</f>
        <v/>
      </c>
      <c r="BC387" s="503" t="str">
        <f>IF(終値!A387="","",IF(AND(高値!AG387&gt;高値!AF387,高値!AG387&gt;高値!AE387,高値!AG387&gt;高値!AH387,高値!AG387&gt;高値!AI387),28,""))</f>
        <v/>
      </c>
      <c r="BD387" s="503">
        <f t="shared" si="30"/>
        <v>0</v>
      </c>
      <c r="BE387" s="503" t="str">
        <f t="shared" si="31"/>
        <v/>
      </c>
      <c r="BF387" s="503" t="str">
        <f t="shared" si="32"/>
        <v/>
      </c>
      <c r="BG387" s="503" t="str">
        <f>IF($BE387="","",INDEX(安値!$E387:$CZ387,1,$BE387+1))</f>
        <v/>
      </c>
      <c r="BH387" s="503" t="str">
        <f>IF($BF387="","",INDEX(安値!$E387:$CZ387,1,$BF387+1))</f>
        <v/>
      </c>
      <c r="BI387" s="503" t="str">
        <f>IF($BF387="","",MAX(INDEX(高値!$E387:$CZ387,1,$BE387+1):INDEX(高値!$E387:$CZ387,1,$BF387+1)))</f>
        <v/>
      </c>
      <c r="BJ387" s="503" t="str">
        <f>IF($BF387="","",AVERAGE(INDEX(終値!$E387:$CZ387,1,$BF387+1):INDEX(終値!$E387:$CZ387,1,$BF387+20))-2*STDEVP(INDEX(終値!$E387:$CZ387,1,$BF387+1):INDEX(終値!$E387:$CZ387,1,$BF387+20)))</f>
        <v/>
      </c>
      <c r="BK387" s="503" t="str">
        <f>IF($BE387="","",AVERAGE(INDEX(終値!$E387:$CZ387,1,$BE387+1):INDEX(終値!$E387:$CZ387,1,$BE387+20))-2*STDEVP(INDEX(終値!$E387:$CZ387,1,$BE387+1):INDEX(終値!$E387:$CZ387,1,$BE387+20)))</f>
        <v/>
      </c>
      <c r="BL387" s="503">
        <f t="shared" si="33"/>
        <v>0</v>
      </c>
      <c r="BM387" s="503" t="str">
        <f t="shared" si="34"/>
        <v/>
      </c>
      <c r="BN387" s="503" t="str">
        <f t="shared" si="35"/>
        <v/>
      </c>
      <c r="BO387" s="503" t="str">
        <f>IF($BM387="","",INDEX(高値!$E387:$CZ387,1,$BM387+1))</f>
        <v/>
      </c>
      <c r="BP387" s="503" t="str">
        <f>IF($BN387="","",INDEX(高値!$E387:$CZ387,1,$BN387+1))</f>
        <v/>
      </c>
      <c r="BQ387" s="503" t="str">
        <f>IF($BN387="","",MIN(INDEX(安値!$E387:$CZ387,1,$BM387+1):INDEX(安値!$E387:$CZ387,1,$BN387+1)))</f>
        <v/>
      </c>
      <c r="BR387" s="503" t="str">
        <f>IF($BN387="","",AVERAGE(INDEX(終値!$E387:$CZ387,1,$BN387+1):INDEX(終値!$E387:$CZ387,1,$BN387+20))+2*STDEVP(INDEX(終値!$E387:$CZ387,1,$BN387+1):INDEX(終値!$E387:$CZ387,1,$BN387+20)))</f>
        <v/>
      </c>
      <c r="BS387" s="503" t="str">
        <f>IF($BM387="","",AVERAGE(INDEX(終値!$E387:$CZ387,1,$BM387+1):INDEX(終値!$E387:$CZ387,1,$BM387+20))+2*STDEVP(INDEX(終値!$E387:$CZ387,1,$BM387+1):INDEX(終値!$E387:$CZ387,1,$BM387+20)))</f>
        <v/>
      </c>
      <c r="BT387" s="500"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3" t="str">
        <f>IF(終値!A388="","",IF(AND(安値!G388&lt;安値!F388,安値!G388&lt;安値!E388,安値!G388&lt;安値!H388,安値!G388&lt;安値!I388),2,""))</f>
        <v/>
      </c>
      <c r="C388" s="503" t="str">
        <f>IF(終値!A388="","",IF(AND(安値!H388&lt;安値!G388,安値!H388&lt;安値!F388,安値!H388&lt;安値!I388,安値!H388&lt;安値!J388),3,""))</f>
        <v/>
      </c>
      <c r="D388" s="503" t="str">
        <f>IF(終値!A388="","",IF(AND(安値!I388&lt;安値!H388,安値!I388&lt;安値!G388,安値!I388&lt;安値!J388,安値!I388&lt;安値!K388),4,""))</f>
        <v/>
      </c>
      <c r="E388" s="503" t="str">
        <f>IF(終値!A388="","",IF(AND(安値!J388&lt;安値!I388,安値!J388&lt;安値!H388,安値!J388&lt;安値!K388,安値!J388&lt;安値!L388),5,""))</f>
        <v/>
      </c>
      <c r="F388" s="503" t="str">
        <f>IF(終値!A388="","",IF(AND(安値!K388&lt;安値!J388,安値!K388&lt;安値!I388,安値!K388&lt;安値!L388,安値!K388&lt;安値!M388),6,""))</f>
        <v/>
      </c>
      <c r="G388" s="503" t="str">
        <f>IF(終値!A388="","",IF(AND(安値!L388&lt;安値!K388,安値!L388&lt;安値!J388,安値!L388&lt;安値!M388,安値!L388&lt;安値!N388),7,""))</f>
        <v/>
      </c>
      <c r="H388" s="503" t="str">
        <f>IF(終値!A388="","",IF(AND(安値!M388&lt;安値!L388,安値!M388&lt;安値!K388,安値!M388&lt;安値!N388,安値!M388&lt;安値!O388),8,""))</f>
        <v/>
      </c>
      <c r="I388" s="503" t="str">
        <f>IF(終値!A388="","",IF(AND(安値!N388&lt;安値!M388,安値!N388&lt;安値!L388,安値!N388&lt;安値!O388,安値!N388&lt;安値!P388),9,""))</f>
        <v/>
      </c>
      <c r="J388" s="503" t="str">
        <f>IF(終値!A388="","",IF(AND(安値!O388&lt;安値!N388,安値!O388&lt;安値!M388,安値!O388&lt;安値!P388,安値!O388&lt;安値!Q388),10,""))</f>
        <v/>
      </c>
      <c r="K388" s="503" t="str">
        <f>IF(終値!A388="","",IF(AND(安値!P388&lt;安値!O388,安値!P388&lt;安値!N388,安値!P388&lt;安値!Q388,安値!P388&lt;安値!R388),11,""))</f>
        <v/>
      </c>
      <c r="L388" s="503" t="str">
        <f>IF(終値!A388="","",IF(AND(安値!Q388&lt;安値!P388,安値!Q388&lt;安値!O388,安値!Q388&lt;安値!R388,安値!Q388&lt;安値!S388),12,""))</f>
        <v/>
      </c>
      <c r="M388" s="503" t="str">
        <f>IF(終値!A388="","",IF(AND(安値!R388&lt;安値!Q388,安値!R388&lt;安値!P388,安値!R388&lt;安値!S388,安値!R388&lt;安値!T388),13,""))</f>
        <v/>
      </c>
      <c r="N388" s="503" t="str">
        <f>IF(終値!A388="","",IF(AND(安値!S388&lt;安値!R388,安値!S388&lt;安値!Q388,安値!S388&lt;安値!T388,安値!S388&lt;安値!U388),14,""))</f>
        <v/>
      </c>
      <c r="O388" s="503" t="str">
        <f>IF(終値!A388="","",IF(AND(安値!T388&lt;安値!S388,安値!T388&lt;安値!R388,安値!T388&lt;安値!U388,安値!T388&lt;安値!V388),15,""))</f>
        <v/>
      </c>
      <c r="P388" s="503" t="str">
        <f>IF(終値!A388="","",IF(AND(安値!U388&lt;安値!T388,安値!U388&lt;安値!S388,安値!U388&lt;安値!V388,安値!U388&lt;安値!W388),16,""))</f>
        <v/>
      </c>
      <c r="Q388" s="503" t="str">
        <f>IF(終値!A388="","",IF(AND(安値!V388&lt;安値!U388,安値!V388&lt;安値!T388,安値!V388&lt;安値!W388,安値!V388&lt;安値!X388),17,""))</f>
        <v/>
      </c>
      <c r="R388" s="503" t="str">
        <f>IF(終値!A388="","",IF(AND(安値!W388&lt;安値!V388,安値!W388&lt;安値!U388,安値!W388&lt;安値!X388,安値!W388&lt;安値!Y388),18,""))</f>
        <v/>
      </c>
      <c r="S388" s="503" t="str">
        <f>IF(終値!A388="","",IF(AND(安値!X388&lt;安値!W388,安値!X388&lt;安値!V388,安値!X388&lt;安値!Y388,安値!X388&lt;安値!Z388),19,""))</f>
        <v/>
      </c>
      <c r="T388" s="503" t="str">
        <f>IF(終値!A388="","",IF(AND(安値!Y388&lt;安値!X388,安値!Y388&lt;安値!W388,安値!Y388&lt;安値!Z388,安値!Y388&lt;安値!AA388),20,""))</f>
        <v/>
      </c>
      <c r="U388" s="503" t="str">
        <f>IF(終値!A388="","",IF(AND(安値!Z388&lt;安値!Y388,安値!Z388&lt;安値!X388,安値!Z388&lt;安値!AA388,安値!Z388&lt;安値!AB388),21,""))</f>
        <v/>
      </c>
      <c r="V388" s="503" t="str">
        <f>IF(終値!A388="","",IF(AND(安値!AA388&lt;安値!Z388,安値!AA388&lt;安値!Y388,安値!AA388&lt;安値!AB388,安値!AA388&lt;安値!AC388),22,""))</f>
        <v/>
      </c>
      <c r="W388" s="503" t="str">
        <f>IF(終値!A388="","",IF(AND(安値!AB388&lt;安値!AA388,安値!AB388&lt;安値!Z388,安値!AB388&lt;安値!AC388,安値!AB388&lt;安値!AD388),23,""))</f>
        <v/>
      </c>
      <c r="X388" s="503" t="str">
        <f>IF(終値!A388="","",IF(AND(安値!AC388&lt;安値!AB388,安値!AC388&lt;安値!AA388,安値!AC388&lt;安値!AD388,安値!AC388&lt;安値!AE388),24,""))</f>
        <v/>
      </c>
      <c r="Y388" s="503" t="str">
        <f>IF(終値!A388="","",IF(AND(安値!AD388&lt;安値!AC388,安値!AD388&lt;安値!AB388,安値!AD388&lt;安値!AE388,安値!AD388&lt;安値!AF388),25,""))</f>
        <v/>
      </c>
      <c r="Z388" s="503" t="str">
        <f>IF(終値!A388="","",IF(AND(安値!AE388&lt;安値!AD388,安値!AE388&lt;安値!AC388,安値!AE388&lt;安値!AF388,安値!AE388&lt;安値!AG388),26,""))</f>
        <v/>
      </c>
      <c r="AA388" s="503" t="str">
        <f>IF(終値!A388="","",IF(AND(安値!AF388&lt;安値!AE388,安値!AF388&lt;安値!AD388,安値!AF388&lt;安値!AG388,安値!AF388&lt;安値!AH388),27,""))</f>
        <v/>
      </c>
      <c r="AB388" s="503" t="str">
        <f>IF(終値!A388="","",IF(AND(安値!AG388&lt;安値!AF388,安値!AG388&lt;安値!AE388,安値!AG388&lt;安値!AH388,安値!AG388&lt;安値!AI388),28,""))</f>
        <v/>
      </c>
      <c r="AC388" s="503" t="str">
        <f>IF(終値!A388="","",IF(AND(高値!G388&gt;高値!F388,高値!G388&gt;高値!E388,高値!G388&gt;高値!H388,高値!G388&gt;高値!I388),2,""))</f>
        <v/>
      </c>
      <c r="AD388" s="503" t="str">
        <f>IF(終値!A388="","",IF(AND(高値!H388&gt;高値!G388,高値!H388&gt;高値!F388,高値!H388&gt;高値!I388,高値!H388&gt;高値!J388),3,""))</f>
        <v/>
      </c>
      <c r="AE388" s="503" t="str">
        <f>IF(終値!A388="","",IF(AND(高値!I388&gt;高値!H388,高値!I388&gt;高値!G388,高値!I388&gt;高値!J388,高値!I388&gt;高値!K388),4,""))</f>
        <v/>
      </c>
      <c r="AF388" s="503" t="str">
        <f>IF(終値!A388="","",IF(AND(高値!J388&gt;高値!I388,高値!J388&gt;高値!H388,高値!J388&gt;高値!K388,高値!J388&gt;高値!L388),5,""))</f>
        <v/>
      </c>
      <c r="AG388" s="503" t="str">
        <f>IF(終値!A388="","",IF(AND(高値!K388&gt;高値!J388,高値!K388&gt;高値!I388,高値!K388&gt;高値!L388,高値!K388&gt;高値!M388),6,""))</f>
        <v/>
      </c>
      <c r="AH388" s="503" t="str">
        <f>IF(終値!A388="","",IF(AND(高値!L388&gt;高値!K388,高値!L388&gt;高値!J388,高値!L388&gt;高値!M388,高値!L388&gt;高値!N388),7,""))</f>
        <v/>
      </c>
      <c r="AI388" s="503" t="str">
        <f>IF(終値!A388="","",IF(AND(高値!M388&gt;高値!L388,高値!M388&gt;高値!K388,高値!M388&gt;高値!N388,高値!M388&gt;高値!O388),8,""))</f>
        <v/>
      </c>
      <c r="AJ388" s="503" t="str">
        <f>IF(終値!A388="","",IF(AND(高値!N388&gt;高値!M388,高値!N388&gt;高値!L388,高値!N388&gt;高値!O388,高値!N388&gt;高値!P388),9,""))</f>
        <v/>
      </c>
      <c r="AK388" s="503" t="str">
        <f>IF(終値!A388="","",IF(AND(高値!O388&gt;高値!N388,高値!O388&gt;高値!M388,高値!O388&gt;高値!P388,高値!O388&gt;高値!Q388),10,""))</f>
        <v/>
      </c>
      <c r="AL388" s="503" t="str">
        <f>IF(終値!A388="","",IF(AND(高値!P388&gt;高値!O388,高値!P388&gt;高値!N388,高値!P388&gt;高値!Q388,高値!P388&gt;高値!R388),11,""))</f>
        <v/>
      </c>
      <c r="AM388" s="503" t="str">
        <f>IF(終値!A388="","",IF(AND(高値!Q388&gt;高値!P388,高値!Q388&gt;高値!O388,高値!Q388&gt;高値!R388,高値!Q388&gt;高値!S388),12,""))</f>
        <v/>
      </c>
      <c r="AN388" s="503" t="str">
        <f>IF(終値!A388="","",IF(AND(高値!R388&gt;高値!Q388,高値!R388&gt;高値!P388,高値!R388&gt;高値!S388,高値!R388&gt;高値!T388),13,""))</f>
        <v/>
      </c>
      <c r="AO388" s="503" t="str">
        <f>IF(終値!A388="","",IF(AND(高値!S388&gt;高値!R388,高値!S388&gt;高値!Q388,高値!S388&gt;高値!T388,高値!S388&gt;高値!U388),14,""))</f>
        <v/>
      </c>
      <c r="AP388" s="503" t="str">
        <f>IF(終値!A388="","",IF(AND(高値!T388&gt;高値!S388,高値!T388&gt;高値!R388,高値!T388&gt;高値!U388,高値!T388&gt;高値!V388),15,""))</f>
        <v/>
      </c>
      <c r="AQ388" s="503" t="str">
        <f>IF(終値!A388="","",IF(AND(高値!U388&gt;高値!T388,高値!U388&gt;高値!S388,高値!U388&gt;高値!V388,高値!U388&gt;高値!W388),16,""))</f>
        <v/>
      </c>
      <c r="AR388" s="503" t="str">
        <f>IF(終値!A388="","",IF(AND(高値!V388&gt;高値!U388,高値!V388&gt;高値!T388,高値!V388&gt;高値!W388,高値!V388&gt;高値!X388),17,""))</f>
        <v/>
      </c>
      <c r="AS388" s="503" t="str">
        <f>IF(終値!A388="","",IF(AND(高値!W388&gt;高値!V388,高値!W388&gt;高値!U388,高値!W388&gt;高値!X388,高値!W388&gt;高値!Y388),18,""))</f>
        <v/>
      </c>
      <c r="AT388" s="503" t="str">
        <f>IF(終値!A388="","",IF(AND(高値!X388&gt;高値!W388,高値!X388&gt;高値!V388,高値!X388&gt;高値!Y388,高値!X388&gt;高値!Z388),19,""))</f>
        <v/>
      </c>
      <c r="AU388" s="503" t="str">
        <f>IF(終値!A388="","",IF(AND(高値!Y388&gt;高値!X388,高値!Y388&gt;高値!W388,高値!Y388&gt;高値!Z388,高値!Y388&gt;高値!AA388),20,""))</f>
        <v/>
      </c>
      <c r="AV388" s="503" t="str">
        <f>IF(終値!A388="","",IF(AND(高値!Z388&gt;高値!Y388,高値!Z388&gt;高値!X388,高値!Z388&gt;高値!AA388,高値!Z388&gt;高値!AB388),21,""))</f>
        <v/>
      </c>
      <c r="AW388" s="503" t="str">
        <f>IF(終値!A388="","",IF(AND(高値!AA388&gt;高値!Z388,高値!AA388&gt;高値!Y388,高値!AA388&gt;高値!AB388,高値!AA388&gt;高値!AC388),22,""))</f>
        <v/>
      </c>
      <c r="AX388" s="503" t="str">
        <f>IF(終値!A388="","",IF(AND(高値!AB388&gt;高値!AA388,高値!AB388&gt;高値!Z388,高値!AB388&gt;高値!AC388,高値!AB388&gt;高値!AD388),23,""))</f>
        <v/>
      </c>
      <c r="AY388" s="503" t="str">
        <f>IF(終値!A388="","",IF(AND(高値!AC388&gt;高値!AB388,高値!AC388&gt;高値!AA388,高値!AC388&gt;高値!AD388,高値!AC388&gt;高値!AE388),24,""))</f>
        <v/>
      </c>
      <c r="AZ388" s="503" t="str">
        <f>IF(終値!A388="","",IF(AND(高値!AD388&gt;高値!AC388,高値!AD388&gt;高値!AB388,高値!AD388&gt;高値!AE388,高値!AD388&gt;高値!AF388),25,""))</f>
        <v/>
      </c>
      <c r="BA388" s="503" t="str">
        <f>IF(終値!A388="","",IF(AND(高値!AE388&gt;高値!AD388,高値!AE388&gt;高値!AC388,高値!AE388&gt;高値!AF388,高値!AE388&gt;高値!AG388),26,""))</f>
        <v/>
      </c>
      <c r="BB388" s="503" t="str">
        <f>IF(終値!A388="","",IF(AND(高値!AF388&gt;高値!AE388,高値!AF388&gt;高値!AD388,高値!AF388&gt;高値!AG388,高値!AF388&gt;高値!AH388),27,""))</f>
        <v/>
      </c>
      <c r="BC388" s="503" t="str">
        <f>IF(終値!A388="","",IF(AND(高値!AG388&gt;高値!AF388,高値!AG388&gt;高値!AE388,高値!AG388&gt;高値!AH388,高値!AG388&gt;高値!AI388),28,""))</f>
        <v/>
      </c>
      <c r="BD388" s="503">
        <f t="shared" si="30"/>
        <v>0</v>
      </c>
      <c r="BE388" s="503" t="str">
        <f t="shared" si="31"/>
        <v/>
      </c>
      <c r="BF388" s="503" t="str">
        <f t="shared" si="32"/>
        <v/>
      </c>
      <c r="BG388" s="503" t="str">
        <f>IF($BE388="","",INDEX(安値!$E388:$CZ388,1,$BE388+1))</f>
        <v/>
      </c>
      <c r="BH388" s="503" t="str">
        <f>IF($BF388="","",INDEX(安値!$E388:$CZ388,1,$BF388+1))</f>
        <v/>
      </c>
      <c r="BI388" s="503" t="str">
        <f>IF($BF388="","",MAX(INDEX(高値!$E388:$CZ388,1,$BE388+1):INDEX(高値!$E388:$CZ388,1,$BF388+1)))</f>
        <v/>
      </c>
      <c r="BJ388" s="503" t="str">
        <f>IF($BF388="","",AVERAGE(INDEX(終値!$E388:$CZ388,1,$BF388+1):INDEX(終値!$E388:$CZ388,1,$BF388+20))-2*STDEVP(INDEX(終値!$E388:$CZ388,1,$BF388+1):INDEX(終値!$E388:$CZ388,1,$BF388+20)))</f>
        <v/>
      </c>
      <c r="BK388" s="503" t="str">
        <f>IF($BE388="","",AVERAGE(INDEX(終値!$E388:$CZ388,1,$BE388+1):INDEX(終値!$E388:$CZ388,1,$BE388+20))-2*STDEVP(INDEX(終値!$E388:$CZ388,1,$BE388+1):INDEX(終値!$E388:$CZ388,1,$BE388+20)))</f>
        <v/>
      </c>
      <c r="BL388" s="503">
        <f t="shared" si="33"/>
        <v>0</v>
      </c>
      <c r="BM388" s="503" t="str">
        <f t="shared" si="34"/>
        <v/>
      </c>
      <c r="BN388" s="503" t="str">
        <f t="shared" si="35"/>
        <v/>
      </c>
      <c r="BO388" s="503" t="str">
        <f>IF($BM388="","",INDEX(高値!$E388:$CZ388,1,$BM388+1))</f>
        <v/>
      </c>
      <c r="BP388" s="503" t="str">
        <f>IF($BN388="","",INDEX(高値!$E388:$CZ388,1,$BN388+1))</f>
        <v/>
      </c>
      <c r="BQ388" s="503" t="str">
        <f>IF($BN388="","",MIN(INDEX(安値!$E388:$CZ388,1,$BM388+1):INDEX(安値!$E388:$CZ388,1,$BN388+1)))</f>
        <v/>
      </c>
      <c r="BR388" s="503" t="str">
        <f>IF($BN388="","",AVERAGE(INDEX(終値!$E388:$CZ388,1,$BN388+1):INDEX(終値!$E388:$CZ388,1,$BN388+20))+2*STDEVP(INDEX(終値!$E388:$CZ388,1,$BN388+1):INDEX(終値!$E388:$CZ388,1,$BN388+20)))</f>
        <v/>
      </c>
      <c r="BS388" s="503" t="str">
        <f>IF($BM388="","",AVERAGE(INDEX(終値!$E388:$CZ388,1,$BM388+1):INDEX(終値!$E388:$CZ388,1,$BM388+20))+2*STDEVP(INDEX(終値!$E388:$CZ388,1,$BM388+1):INDEX(終値!$E388:$CZ388,1,$BM388+20)))</f>
        <v/>
      </c>
      <c r="BT388" s="500"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3" t="str">
        <f>IF(終値!A389="","",IF(AND(安値!G389&lt;安値!F389,安値!G389&lt;安値!E389,安値!G389&lt;安値!H389,安値!G389&lt;安値!I389),2,""))</f>
        <v/>
      </c>
      <c r="C389" s="503" t="str">
        <f>IF(終値!A389="","",IF(AND(安値!H389&lt;安値!G389,安値!H389&lt;安値!F389,安値!H389&lt;安値!I389,安値!H389&lt;安値!J389),3,""))</f>
        <v/>
      </c>
      <c r="D389" s="503" t="str">
        <f>IF(終値!A389="","",IF(AND(安値!I389&lt;安値!H389,安値!I389&lt;安値!G389,安値!I389&lt;安値!J389,安値!I389&lt;安値!K389),4,""))</f>
        <v/>
      </c>
      <c r="E389" s="503" t="str">
        <f>IF(終値!A389="","",IF(AND(安値!J389&lt;安値!I389,安値!J389&lt;安値!H389,安値!J389&lt;安値!K389,安値!J389&lt;安値!L389),5,""))</f>
        <v/>
      </c>
      <c r="F389" s="503" t="str">
        <f>IF(終値!A389="","",IF(AND(安値!K389&lt;安値!J389,安値!K389&lt;安値!I389,安値!K389&lt;安値!L389,安値!K389&lt;安値!M389),6,""))</f>
        <v/>
      </c>
      <c r="G389" s="503" t="str">
        <f>IF(終値!A389="","",IF(AND(安値!L389&lt;安値!K389,安値!L389&lt;安値!J389,安値!L389&lt;安値!M389,安値!L389&lt;安値!N389),7,""))</f>
        <v/>
      </c>
      <c r="H389" s="503" t="str">
        <f>IF(終値!A389="","",IF(AND(安値!M389&lt;安値!L389,安値!M389&lt;安値!K389,安値!M389&lt;安値!N389,安値!M389&lt;安値!O389),8,""))</f>
        <v/>
      </c>
      <c r="I389" s="503" t="str">
        <f>IF(終値!A389="","",IF(AND(安値!N389&lt;安値!M389,安値!N389&lt;安値!L389,安値!N389&lt;安値!O389,安値!N389&lt;安値!P389),9,""))</f>
        <v/>
      </c>
      <c r="J389" s="503" t="str">
        <f>IF(終値!A389="","",IF(AND(安値!O389&lt;安値!N389,安値!O389&lt;安値!M389,安値!O389&lt;安値!P389,安値!O389&lt;安値!Q389),10,""))</f>
        <v/>
      </c>
      <c r="K389" s="503" t="str">
        <f>IF(終値!A389="","",IF(AND(安値!P389&lt;安値!O389,安値!P389&lt;安値!N389,安値!P389&lt;安値!Q389,安値!P389&lt;安値!R389),11,""))</f>
        <v/>
      </c>
      <c r="L389" s="503" t="str">
        <f>IF(終値!A389="","",IF(AND(安値!Q389&lt;安値!P389,安値!Q389&lt;安値!O389,安値!Q389&lt;安値!R389,安値!Q389&lt;安値!S389),12,""))</f>
        <v/>
      </c>
      <c r="M389" s="503" t="str">
        <f>IF(終値!A389="","",IF(AND(安値!R389&lt;安値!Q389,安値!R389&lt;安値!P389,安値!R389&lt;安値!S389,安値!R389&lt;安値!T389),13,""))</f>
        <v/>
      </c>
      <c r="N389" s="503" t="str">
        <f>IF(終値!A389="","",IF(AND(安値!S389&lt;安値!R389,安値!S389&lt;安値!Q389,安値!S389&lt;安値!T389,安値!S389&lt;安値!U389),14,""))</f>
        <v/>
      </c>
      <c r="O389" s="503" t="str">
        <f>IF(終値!A389="","",IF(AND(安値!T389&lt;安値!S389,安値!T389&lt;安値!R389,安値!T389&lt;安値!U389,安値!T389&lt;安値!V389),15,""))</f>
        <v/>
      </c>
      <c r="P389" s="503" t="str">
        <f>IF(終値!A389="","",IF(AND(安値!U389&lt;安値!T389,安値!U389&lt;安値!S389,安値!U389&lt;安値!V389,安値!U389&lt;安値!W389),16,""))</f>
        <v/>
      </c>
      <c r="Q389" s="503" t="str">
        <f>IF(終値!A389="","",IF(AND(安値!V389&lt;安値!U389,安値!V389&lt;安値!T389,安値!V389&lt;安値!W389,安値!V389&lt;安値!X389),17,""))</f>
        <v/>
      </c>
      <c r="R389" s="503" t="str">
        <f>IF(終値!A389="","",IF(AND(安値!W389&lt;安値!V389,安値!W389&lt;安値!U389,安値!W389&lt;安値!X389,安値!W389&lt;安値!Y389),18,""))</f>
        <v/>
      </c>
      <c r="S389" s="503" t="str">
        <f>IF(終値!A389="","",IF(AND(安値!X389&lt;安値!W389,安値!X389&lt;安値!V389,安値!X389&lt;安値!Y389,安値!X389&lt;安値!Z389),19,""))</f>
        <v/>
      </c>
      <c r="T389" s="503" t="str">
        <f>IF(終値!A389="","",IF(AND(安値!Y389&lt;安値!X389,安値!Y389&lt;安値!W389,安値!Y389&lt;安値!Z389,安値!Y389&lt;安値!AA389),20,""))</f>
        <v/>
      </c>
      <c r="U389" s="503" t="str">
        <f>IF(終値!A389="","",IF(AND(安値!Z389&lt;安値!Y389,安値!Z389&lt;安値!X389,安値!Z389&lt;安値!AA389,安値!Z389&lt;安値!AB389),21,""))</f>
        <v/>
      </c>
      <c r="V389" s="503" t="str">
        <f>IF(終値!A389="","",IF(AND(安値!AA389&lt;安値!Z389,安値!AA389&lt;安値!Y389,安値!AA389&lt;安値!AB389,安値!AA389&lt;安値!AC389),22,""))</f>
        <v/>
      </c>
      <c r="W389" s="503" t="str">
        <f>IF(終値!A389="","",IF(AND(安値!AB389&lt;安値!AA389,安値!AB389&lt;安値!Z389,安値!AB389&lt;安値!AC389,安値!AB389&lt;安値!AD389),23,""))</f>
        <v/>
      </c>
      <c r="X389" s="503" t="str">
        <f>IF(終値!A389="","",IF(AND(安値!AC389&lt;安値!AB389,安値!AC389&lt;安値!AA389,安値!AC389&lt;安値!AD389,安値!AC389&lt;安値!AE389),24,""))</f>
        <v/>
      </c>
      <c r="Y389" s="503" t="str">
        <f>IF(終値!A389="","",IF(AND(安値!AD389&lt;安値!AC389,安値!AD389&lt;安値!AB389,安値!AD389&lt;安値!AE389,安値!AD389&lt;安値!AF389),25,""))</f>
        <v/>
      </c>
      <c r="Z389" s="503" t="str">
        <f>IF(終値!A389="","",IF(AND(安値!AE389&lt;安値!AD389,安値!AE389&lt;安値!AC389,安値!AE389&lt;安値!AF389,安値!AE389&lt;安値!AG389),26,""))</f>
        <v/>
      </c>
      <c r="AA389" s="503" t="str">
        <f>IF(終値!A389="","",IF(AND(安値!AF389&lt;安値!AE389,安値!AF389&lt;安値!AD389,安値!AF389&lt;安値!AG389,安値!AF389&lt;安値!AH389),27,""))</f>
        <v/>
      </c>
      <c r="AB389" s="503" t="str">
        <f>IF(終値!A389="","",IF(AND(安値!AG389&lt;安値!AF389,安値!AG389&lt;安値!AE389,安値!AG389&lt;安値!AH389,安値!AG389&lt;安値!AI389),28,""))</f>
        <v/>
      </c>
      <c r="AC389" s="503" t="str">
        <f>IF(終値!A389="","",IF(AND(高値!G389&gt;高値!F389,高値!G389&gt;高値!E389,高値!G389&gt;高値!H389,高値!G389&gt;高値!I389),2,""))</f>
        <v/>
      </c>
      <c r="AD389" s="503" t="str">
        <f>IF(終値!A389="","",IF(AND(高値!H389&gt;高値!G389,高値!H389&gt;高値!F389,高値!H389&gt;高値!I389,高値!H389&gt;高値!J389),3,""))</f>
        <v/>
      </c>
      <c r="AE389" s="503" t="str">
        <f>IF(終値!A389="","",IF(AND(高値!I389&gt;高値!H389,高値!I389&gt;高値!G389,高値!I389&gt;高値!J389,高値!I389&gt;高値!K389),4,""))</f>
        <v/>
      </c>
      <c r="AF389" s="503" t="str">
        <f>IF(終値!A389="","",IF(AND(高値!J389&gt;高値!I389,高値!J389&gt;高値!H389,高値!J389&gt;高値!K389,高値!J389&gt;高値!L389),5,""))</f>
        <v/>
      </c>
      <c r="AG389" s="503" t="str">
        <f>IF(終値!A389="","",IF(AND(高値!K389&gt;高値!J389,高値!K389&gt;高値!I389,高値!K389&gt;高値!L389,高値!K389&gt;高値!M389),6,""))</f>
        <v/>
      </c>
      <c r="AH389" s="503" t="str">
        <f>IF(終値!A389="","",IF(AND(高値!L389&gt;高値!K389,高値!L389&gt;高値!J389,高値!L389&gt;高値!M389,高値!L389&gt;高値!N389),7,""))</f>
        <v/>
      </c>
      <c r="AI389" s="503" t="str">
        <f>IF(終値!A389="","",IF(AND(高値!M389&gt;高値!L389,高値!M389&gt;高値!K389,高値!M389&gt;高値!N389,高値!M389&gt;高値!O389),8,""))</f>
        <v/>
      </c>
      <c r="AJ389" s="503" t="str">
        <f>IF(終値!A389="","",IF(AND(高値!N389&gt;高値!M389,高値!N389&gt;高値!L389,高値!N389&gt;高値!O389,高値!N389&gt;高値!P389),9,""))</f>
        <v/>
      </c>
      <c r="AK389" s="503" t="str">
        <f>IF(終値!A389="","",IF(AND(高値!O389&gt;高値!N389,高値!O389&gt;高値!M389,高値!O389&gt;高値!P389,高値!O389&gt;高値!Q389),10,""))</f>
        <v/>
      </c>
      <c r="AL389" s="503" t="str">
        <f>IF(終値!A389="","",IF(AND(高値!P389&gt;高値!O389,高値!P389&gt;高値!N389,高値!P389&gt;高値!Q389,高値!P389&gt;高値!R389),11,""))</f>
        <v/>
      </c>
      <c r="AM389" s="503" t="str">
        <f>IF(終値!A389="","",IF(AND(高値!Q389&gt;高値!P389,高値!Q389&gt;高値!O389,高値!Q389&gt;高値!R389,高値!Q389&gt;高値!S389),12,""))</f>
        <v/>
      </c>
      <c r="AN389" s="503" t="str">
        <f>IF(終値!A389="","",IF(AND(高値!R389&gt;高値!Q389,高値!R389&gt;高値!P389,高値!R389&gt;高値!S389,高値!R389&gt;高値!T389),13,""))</f>
        <v/>
      </c>
      <c r="AO389" s="503" t="str">
        <f>IF(終値!A389="","",IF(AND(高値!S389&gt;高値!R389,高値!S389&gt;高値!Q389,高値!S389&gt;高値!T389,高値!S389&gt;高値!U389),14,""))</f>
        <v/>
      </c>
      <c r="AP389" s="503" t="str">
        <f>IF(終値!A389="","",IF(AND(高値!T389&gt;高値!S389,高値!T389&gt;高値!R389,高値!T389&gt;高値!U389,高値!T389&gt;高値!V389),15,""))</f>
        <v/>
      </c>
      <c r="AQ389" s="503" t="str">
        <f>IF(終値!A389="","",IF(AND(高値!U389&gt;高値!T389,高値!U389&gt;高値!S389,高値!U389&gt;高値!V389,高値!U389&gt;高値!W389),16,""))</f>
        <v/>
      </c>
      <c r="AR389" s="503" t="str">
        <f>IF(終値!A389="","",IF(AND(高値!V389&gt;高値!U389,高値!V389&gt;高値!T389,高値!V389&gt;高値!W389,高値!V389&gt;高値!X389),17,""))</f>
        <v/>
      </c>
      <c r="AS389" s="503" t="str">
        <f>IF(終値!A389="","",IF(AND(高値!W389&gt;高値!V389,高値!W389&gt;高値!U389,高値!W389&gt;高値!X389,高値!W389&gt;高値!Y389),18,""))</f>
        <v/>
      </c>
      <c r="AT389" s="503" t="str">
        <f>IF(終値!A389="","",IF(AND(高値!X389&gt;高値!W389,高値!X389&gt;高値!V389,高値!X389&gt;高値!Y389,高値!X389&gt;高値!Z389),19,""))</f>
        <v/>
      </c>
      <c r="AU389" s="503" t="str">
        <f>IF(終値!A389="","",IF(AND(高値!Y389&gt;高値!X389,高値!Y389&gt;高値!W389,高値!Y389&gt;高値!Z389,高値!Y389&gt;高値!AA389),20,""))</f>
        <v/>
      </c>
      <c r="AV389" s="503" t="str">
        <f>IF(終値!A389="","",IF(AND(高値!Z389&gt;高値!Y389,高値!Z389&gt;高値!X389,高値!Z389&gt;高値!AA389,高値!Z389&gt;高値!AB389),21,""))</f>
        <v/>
      </c>
      <c r="AW389" s="503" t="str">
        <f>IF(終値!A389="","",IF(AND(高値!AA389&gt;高値!Z389,高値!AA389&gt;高値!Y389,高値!AA389&gt;高値!AB389,高値!AA389&gt;高値!AC389),22,""))</f>
        <v/>
      </c>
      <c r="AX389" s="503" t="str">
        <f>IF(終値!A389="","",IF(AND(高値!AB389&gt;高値!AA389,高値!AB389&gt;高値!Z389,高値!AB389&gt;高値!AC389,高値!AB389&gt;高値!AD389),23,""))</f>
        <v/>
      </c>
      <c r="AY389" s="503" t="str">
        <f>IF(終値!A389="","",IF(AND(高値!AC389&gt;高値!AB389,高値!AC389&gt;高値!AA389,高値!AC389&gt;高値!AD389,高値!AC389&gt;高値!AE389),24,""))</f>
        <v/>
      </c>
      <c r="AZ389" s="503" t="str">
        <f>IF(終値!A389="","",IF(AND(高値!AD389&gt;高値!AC389,高値!AD389&gt;高値!AB389,高値!AD389&gt;高値!AE389,高値!AD389&gt;高値!AF389),25,""))</f>
        <v/>
      </c>
      <c r="BA389" s="503" t="str">
        <f>IF(終値!A389="","",IF(AND(高値!AE389&gt;高値!AD389,高値!AE389&gt;高値!AC389,高値!AE389&gt;高値!AF389,高値!AE389&gt;高値!AG389),26,""))</f>
        <v/>
      </c>
      <c r="BB389" s="503" t="str">
        <f>IF(終値!A389="","",IF(AND(高値!AF389&gt;高値!AE389,高値!AF389&gt;高値!AD389,高値!AF389&gt;高値!AG389,高値!AF389&gt;高値!AH389),27,""))</f>
        <v/>
      </c>
      <c r="BC389" s="503" t="str">
        <f>IF(終値!A389="","",IF(AND(高値!AG389&gt;高値!AF389,高値!AG389&gt;高値!AE389,高値!AG389&gt;高値!AH389,高値!AG389&gt;高値!AI389),28,""))</f>
        <v/>
      </c>
      <c r="BD389" s="503">
        <f t="shared" si="30"/>
        <v>0</v>
      </c>
      <c r="BE389" s="503" t="str">
        <f t="shared" si="31"/>
        <v/>
      </c>
      <c r="BF389" s="503" t="str">
        <f t="shared" si="32"/>
        <v/>
      </c>
      <c r="BG389" s="503" t="str">
        <f>IF($BE389="","",INDEX(安値!$E389:$CZ389,1,$BE389+1))</f>
        <v/>
      </c>
      <c r="BH389" s="503" t="str">
        <f>IF($BF389="","",INDEX(安値!$E389:$CZ389,1,$BF389+1))</f>
        <v/>
      </c>
      <c r="BI389" s="503" t="str">
        <f>IF($BF389="","",MAX(INDEX(高値!$E389:$CZ389,1,$BE389+1):INDEX(高値!$E389:$CZ389,1,$BF389+1)))</f>
        <v/>
      </c>
      <c r="BJ389" s="503" t="str">
        <f>IF($BF389="","",AVERAGE(INDEX(終値!$E389:$CZ389,1,$BF389+1):INDEX(終値!$E389:$CZ389,1,$BF389+20))-2*STDEVP(INDEX(終値!$E389:$CZ389,1,$BF389+1):INDEX(終値!$E389:$CZ389,1,$BF389+20)))</f>
        <v/>
      </c>
      <c r="BK389" s="503" t="str">
        <f>IF($BE389="","",AVERAGE(INDEX(終値!$E389:$CZ389,1,$BE389+1):INDEX(終値!$E389:$CZ389,1,$BE389+20))-2*STDEVP(INDEX(終値!$E389:$CZ389,1,$BE389+1):INDEX(終値!$E389:$CZ389,1,$BE389+20)))</f>
        <v/>
      </c>
      <c r="BL389" s="503">
        <f t="shared" si="33"/>
        <v>0</v>
      </c>
      <c r="BM389" s="503" t="str">
        <f t="shared" si="34"/>
        <v/>
      </c>
      <c r="BN389" s="503" t="str">
        <f t="shared" si="35"/>
        <v/>
      </c>
      <c r="BO389" s="503" t="str">
        <f>IF($BM389="","",INDEX(高値!$E389:$CZ389,1,$BM389+1))</f>
        <v/>
      </c>
      <c r="BP389" s="503" t="str">
        <f>IF($BN389="","",INDEX(高値!$E389:$CZ389,1,$BN389+1))</f>
        <v/>
      </c>
      <c r="BQ389" s="503" t="str">
        <f>IF($BN389="","",MIN(INDEX(安値!$E389:$CZ389,1,$BM389+1):INDEX(安値!$E389:$CZ389,1,$BN389+1)))</f>
        <v/>
      </c>
      <c r="BR389" s="503" t="str">
        <f>IF($BN389="","",AVERAGE(INDEX(終値!$E389:$CZ389,1,$BN389+1):INDEX(終値!$E389:$CZ389,1,$BN389+20))+2*STDEVP(INDEX(終値!$E389:$CZ389,1,$BN389+1):INDEX(終値!$E389:$CZ389,1,$BN389+20)))</f>
        <v/>
      </c>
      <c r="BS389" s="503" t="str">
        <f>IF($BM389="","",AVERAGE(INDEX(終値!$E389:$CZ389,1,$BM389+1):INDEX(終値!$E389:$CZ389,1,$BM389+20))+2*STDEVP(INDEX(終値!$E389:$CZ389,1,$BM389+1):INDEX(終値!$E389:$CZ389,1,$BM389+20)))</f>
        <v/>
      </c>
      <c r="BT389" s="500"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3" t="str">
        <f>IF(終値!A390="","",IF(AND(安値!G390&lt;安値!F390,安値!G390&lt;安値!E390,安値!G390&lt;安値!H390,安値!G390&lt;安値!I390),2,""))</f>
        <v/>
      </c>
      <c r="C390" s="503" t="str">
        <f>IF(終値!A390="","",IF(AND(安値!H390&lt;安値!G390,安値!H390&lt;安値!F390,安値!H390&lt;安値!I390,安値!H390&lt;安値!J390),3,""))</f>
        <v/>
      </c>
      <c r="D390" s="503" t="str">
        <f>IF(終値!A390="","",IF(AND(安値!I390&lt;安値!H390,安値!I390&lt;安値!G390,安値!I390&lt;安値!J390,安値!I390&lt;安値!K390),4,""))</f>
        <v/>
      </c>
      <c r="E390" s="503" t="str">
        <f>IF(終値!A390="","",IF(AND(安値!J390&lt;安値!I390,安値!J390&lt;安値!H390,安値!J390&lt;安値!K390,安値!J390&lt;安値!L390),5,""))</f>
        <v/>
      </c>
      <c r="F390" s="503" t="str">
        <f>IF(終値!A390="","",IF(AND(安値!K390&lt;安値!J390,安値!K390&lt;安値!I390,安値!K390&lt;安値!L390,安値!K390&lt;安値!M390),6,""))</f>
        <v/>
      </c>
      <c r="G390" s="503" t="str">
        <f>IF(終値!A390="","",IF(AND(安値!L390&lt;安値!K390,安値!L390&lt;安値!J390,安値!L390&lt;安値!M390,安値!L390&lt;安値!N390),7,""))</f>
        <v/>
      </c>
      <c r="H390" s="503" t="str">
        <f>IF(終値!A390="","",IF(AND(安値!M390&lt;安値!L390,安値!M390&lt;安値!K390,安値!M390&lt;安値!N390,安値!M390&lt;安値!O390),8,""))</f>
        <v/>
      </c>
      <c r="I390" s="503" t="str">
        <f>IF(終値!A390="","",IF(AND(安値!N390&lt;安値!M390,安値!N390&lt;安値!L390,安値!N390&lt;安値!O390,安値!N390&lt;安値!P390),9,""))</f>
        <v/>
      </c>
      <c r="J390" s="503" t="str">
        <f>IF(終値!A390="","",IF(AND(安値!O390&lt;安値!N390,安値!O390&lt;安値!M390,安値!O390&lt;安値!P390,安値!O390&lt;安値!Q390),10,""))</f>
        <v/>
      </c>
      <c r="K390" s="503" t="str">
        <f>IF(終値!A390="","",IF(AND(安値!P390&lt;安値!O390,安値!P390&lt;安値!N390,安値!P390&lt;安値!Q390,安値!P390&lt;安値!R390),11,""))</f>
        <v/>
      </c>
      <c r="L390" s="503" t="str">
        <f>IF(終値!A390="","",IF(AND(安値!Q390&lt;安値!P390,安値!Q390&lt;安値!O390,安値!Q390&lt;安値!R390,安値!Q390&lt;安値!S390),12,""))</f>
        <v/>
      </c>
      <c r="M390" s="503" t="str">
        <f>IF(終値!A390="","",IF(AND(安値!R390&lt;安値!Q390,安値!R390&lt;安値!P390,安値!R390&lt;安値!S390,安値!R390&lt;安値!T390),13,""))</f>
        <v/>
      </c>
      <c r="N390" s="503" t="str">
        <f>IF(終値!A390="","",IF(AND(安値!S390&lt;安値!R390,安値!S390&lt;安値!Q390,安値!S390&lt;安値!T390,安値!S390&lt;安値!U390),14,""))</f>
        <v/>
      </c>
      <c r="O390" s="503" t="str">
        <f>IF(終値!A390="","",IF(AND(安値!T390&lt;安値!S390,安値!T390&lt;安値!R390,安値!T390&lt;安値!U390,安値!T390&lt;安値!V390),15,""))</f>
        <v/>
      </c>
      <c r="P390" s="503" t="str">
        <f>IF(終値!A390="","",IF(AND(安値!U390&lt;安値!T390,安値!U390&lt;安値!S390,安値!U390&lt;安値!V390,安値!U390&lt;安値!W390),16,""))</f>
        <v/>
      </c>
      <c r="Q390" s="503" t="str">
        <f>IF(終値!A390="","",IF(AND(安値!V390&lt;安値!U390,安値!V390&lt;安値!T390,安値!V390&lt;安値!W390,安値!V390&lt;安値!X390),17,""))</f>
        <v/>
      </c>
      <c r="R390" s="503" t="str">
        <f>IF(終値!A390="","",IF(AND(安値!W390&lt;安値!V390,安値!W390&lt;安値!U390,安値!W390&lt;安値!X390,安値!W390&lt;安値!Y390),18,""))</f>
        <v/>
      </c>
      <c r="S390" s="503" t="str">
        <f>IF(終値!A390="","",IF(AND(安値!X390&lt;安値!W390,安値!X390&lt;安値!V390,安値!X390&lt;安値!Y390,安値!X390&lt;安値!Z390),19,""))</f>
        <v/>
      </c>
      <c r="T390" s="503" t="str">
        <f>IF(終値!A390="","",IF(AND(安値!Y390&lt;安値!X390,安値!Y390&lt;安値!W390,安値!Y390&lt;安値!Z390,安値!Y390&lt;安値!AA390),20,""))</f>
        <v/>
      </c>
      <c r="U390" s="503" t="str">
        <f>IF(終値!A390="","",IF(AND(安値!Z390&lt;安値!Y390,安値!Z390&lt;安値!X390,安値!Z390&lt;安値!AA390,安値!Z390&lt;安値!AB390),21,""))</f>
        <v/>
      </c>
      <c r="V390" s="503" t="str">
        <f>IF(終値!A390="","",IF(AND(安値!AA390&lt;安値!Z390,安値!AA390&lt;安値!Y390,安値!AA390&lt;安値!AB390,安値!AA390&lt;安値!AC390),22,""))</f>
        <v/>
      </c>
      <c r="W390" s="503" t="str">
        <f>IF(終値!A390="","",IF(AND(安値!AB390&lt;安値!AA390,安値!AB390&lt;安値!Z390,安値!AB390&lt;安値!AC390,安値!AB390&lt;安値!AD390),23,""))</f>
        <v/>
      </c>
      <c r="X390" s="503" t="str">
        <f>IF(終値!A390="","",IF(AND(安値!AC390&lt;安値!AB390,安値!AC390&lt;安値!AA390,安値!AC390&lt;安値!AD390,安値!AC390&lt;安値!AE390),24,""))</f>
        <v/>
      </c>
      <c r="Y390" s="503" t="str">
        <f>IF(終値!A390="","",IF(AND(安値!AD390&lt;安値!AC390,安値!AD390&lt;安値!AB390,安値!AD390&lt;安値!AE390,安値!AD390&lt;安値!AF390),25,""))</f>
        <v/>
      </c>
      <c r="Z390" s="503" t="str">
        <f>IF(終値!A390="","",IF(AND(安値!AE390&lt;安値!AD390,安値!AE390&lt;安値!AC390,安値!AE390&lt;安値!AF390,安値!AE390&lt;安値!AG390),26,""))</f>
        <v/>
      </c>
      <c r="AA390" s="503" t="str">
        <f>IF(終値!A390="","",IF(AND(安値!AF390&lt;安値!AE390,安値!AF390&lt;安値!AD390,安値!AF390&lt;安値!AG390,安値!AF390&lt;安値!AH390),27,""))</f>
        <v/>
      </c>
      <c r="AB390" s="503" t="str">
        <f>IF(終値!A390="","",IF(AND(安値!AG390&lt;安値!AF390,安値!AG390&lt;安値!AE390,安値!AG390&lt;安値!AH390,安値!AG390&lt;安値!AI390),28,""))</f>
        <v/>
      </c>
      <c r="AC390" s="503" t="str">
        <f>IF(終値!A390="","",IF(AND(高値!G390&gt;高値!F390,高値!G390&gt;高値!E390,高値!G390&gt;高値!H390,高値!G390&gt;高値!I390),2,""))</f>
        <v/>
      </c>
      <c r="AD390" s="503" t="str">
        <f>IF(終値!A390="","",IF(AND(高値!H390&gt;高値!G390,高値!H390&gt;高値!F390,高値!H390&gt;高値!I390,高値!H390&gt;高値!J390),3,""))</f>
        <v/>
      </c>
      <c r="AE390" s="503" t="str">
        <f>IF(終値!A390="","",IF(AND(高値!I390&gt;高値!H390,高値!I390&gt;高値!G390,高値!I390&gt;高値!J390,高値!I390&gt;高値!K390),4,""))</f>
        <v/>
      </c>
      <c r="AF390" s="503" t="str">
        <f>IF(終値!A390="","",IF(AND(高値!J390&gt;高値!I390,高値!J390&gt;高値!H390,高値!J390&gt;高値!K390,高値!J390&gt;高値!L390),5,""))</f>
        <v/>
      </c>
      <c r="AG390" s="503" t="str">
        <f>IF(終値!A390="","",IF(AND(高値!K390&gt;高値!J390,高値!K390&gt;高値!I390,高値!K390&gt;高値!L390,高値!K390&gt;高値!M390),6,""))</f>
        <v/>
      </c>
      <c r="AH390" s="503" t="str">
        <f>IF(終値!A390="","",IF(AND(高値!L390&gt;高値!K390,高値!L390&gt;高値!J390,高値!L390&gt;高値!M390,高値!L390&gt;高値!N390),7,""))</f>
        <v/>
      </c>
      <c r="AI390" s="503" t="str">
        <f>IF(終値!A390="","",IF(AND(高値!M390&gt;高値!L390,高値!M390&gt;高値!K390,高値!M390&gt;高値!N390,高値!M390&gt;高値!O390),8,""))</f>
        <v/>
      </c>
      <c r="AJ390" s="503" t="str">
        <f>IF(終値!A390="","",IF(AND(高値!N390&gt;高値!M390,高値!N390&gt;高値!L390,高値!N390&gt;高値!O390,高値!N390&gt;高値!P390),9,""))</f>
        <v/>
      </c>
      <c r="AK390" s="503" t="str">
        <f>IF(終値!A390="","",IF(AND(高値!O390&gt;高値!N390,高値!O390&gt;高値!M390,高値!O390&gt;高値!P390,高値!O390&gt;高値!Q390),10,""))</f>
        <v/>
      </c>
      <c r="AL390" s="503" t="str">
        <f>IF(終値!A390="","",IF(AND(高値!P390&gt;高値!O390,高値!P390&gt;高値!N390,高値!P390&gt;高値!Q390,高値!P390&gt;高値!R390),11,""))</f>
        <v/>
      </c>
      <c r="AM390" s="503" t="str">
        <f>IF(終値!A390="","",IF(AND(高値!Q390&gt;高値!P390,高値!Q390&gt;高値!O390,高値!Q390&gt;高値!R390,高値!Q390&gt;高値!S390),12,""))</f>
        <v/>
      </c>
      <c r="AN390" s="503" t="str">
        <f>IF(終値!A390="","",IF(AND(高値!R390&gt;高値!Q390,高値!R390&gt;高値!P390,高値!R390&gt;高値!S390,高値!R390&gt;高値!T390),13,""))</f>
        <v/>
      </c>
      <c r="AO390" s="503" t="str">
        <f>IF(終値!A390="","",IF(AND(高値!S390&gt;高値!R390,高値!S390&gt;高値!Q390,高値!S390&gt;高値!T390,高値!S390&gt;高値!U390),14,""))</f>
        <v/>
      </c>
      <c r="AP390" s="503" t="str">
        <f>IF(終値!A390="","",IF(AND(高値!T390&gt;高値!S390,高値!T390&gt;高値!R390,高値!T390&gt;高値!U390,高値!T390&gt;高値!V390),15,""))</f>
        <v/>
      </c>
      <c r="AQ390" s="503" t="str">
        <f>IF(終値!A390="","",IF(AND(高値!U390&gt;高値!T390,高値!U390&gt;高値!S390,高値!U390&gt;高値!V390,高値!U390&gt;高値!W390),16,""))</f>
        <v/>
      </c>
      <c r="AR390" s="503" t="str">
        <f>IF(終値!A390="","",IF(AND(高値!V390&gt;高値!U390,高値!V390&gt;高値!T390,高値!V390&gt;高値!W390,高値!V390&gt;高値!X390),17,""))</f>
        <v/>
      </c>
      <c r="AS390" s="503" t="str">
        <f>IF(終値!A390="","",IF(AND(高値!W390&gt;高値!V390,高値!W390&gt;高値!U390,高値!W390&gt;高値!X390,高値!W390&gt;高値!Y390),18,""))</f>
        <v/>
      </c>
      <c r="AT390" s="503" t="str">
        <f>IF(終値!A390="","",IF(AND(高値!X390&gt;高値!W390,高値!X390&gt;高値!V390,高値!X390&gt;高値!Y390,高値!X390&gt;高値!Z390),19,""))</f>
        <v/>
      </c>
      <c r="AU390" s="503" t="str">
        <f>IF(終値!A390="","",IF(AND(高値!Y390&gt;高値!X390,高値!Y390&gt;高値!W390,高値!Y390&gt;高値!Z390,高値!Y390&gt;高値!AA390),20,""))</f>
        <v/>
      </c>
      <c r="AV390" s="503" t="str">
        <f>IF(終値!A390="","",IF(AND(高値!Z390&gt;高値!Y390,高値!Z390&gt;高値!X390,高値!Z390&gt;高値!AA390,高値!Z390&gt;高値!AB390),21,""))</f>
        <v/>
      </c>
      <c r="AW390" s="503" t="str">
        <f>IF(終値!A390="","",IF(AND(高値!AA390&gt;高値!Z390,高値!AA390&gt;高値!Y390,高値!AA390&gt;高値!AB390,高値!AA390&gt;高値!AC390),22,""))</f>
        <v/>
      </c>
      <c r="AX390" s="503" t="str">
        <f>IF(終値!A390="","",IF(AND(高値!AB390&gt;高値!AA390,高値!AB390&gt;高値!Z390,高値!AB390&gt;高値!AC390,高値!AB390&gt;高値!AD390),23,""))</f>
        <v/>
      </c>
      <c r="AY390" s="503" t="str">
        <f>IF(終値!A390="","",IF(AND(高値!AC390&gt;高値!AB390,高値!AC390&gt;高値!AA390,高値!AC390&gt;高値!AD390,高値!AC390&gt;高値!AE390),24,""))</f>
        <v/>
      </c>
      <c r="AZ390" s="503" t="str">
        <f>IF(終値!A390="","",IF(AND(高値!AD390&gt;高値!AC390,高値!AD390&gt;高値!AB390,高値!AD390&gt;高値!AE390,高値!AD390&gt;高値!AF390),25,""))</f>
        <v/>
      </c>
      <c r="BA390" s="503" t="str">
        <f>IF(終値!A390="","",IF(AND(高値!AE390&gt;高値!AD390,高値!AE390&gt;高値!AC390,高値!AE390&gt;高値!AF390,高値!AE390&gt;高値!AG390),26,""))</f>
        <v/>
      </c>
      <c r="BB390" s="503" t="str">
        <f>IF(終値!A390="","",IF(AND(高値!AF390&gt;高値!AE390,高値!AF390&gt;高値!AD390,高値!AF390&gt;高値!AG390,高値!AF390&gt;高値!AH390),27,""))</f>
        <v/>
      </c>
      <c r="BC390" s="503" t="str">
        <f>IF(終値!A390="","",IF(AND(高値!AG390&gt;高値!AF390,高値!AG390&gt;高値!AE390,高値!AG390&gt;高値!AH390,高値!AG390&gt;高値!AI390),28,""))</f>
        <v/>
      </c>
      <c r="BD390" s="503">
        <f t="shared" ref="BD390:BD405" si="36">COUNT($B390:$AB390)</f>
        <v>0</v>
      </c>
      <c r="BE390" s="503" t="str">
        <f t="shared" ref="BE390:BE405" si="37">IF($BD390&gt;=2,MIN($B390:$AB390),"")</f>
        <v/>
      </c>
      <c r="BF390" s="503" t="str">
        <f t="shared" ref="BF390:BF405" si="38">IF($BD390&gt;=2,SMALL($B390:$AB390,2),"")</f>
        <v/>
      </c>
      <c r="BG390" s="503" t="str">
        <f>IF($BE390="","",INDEX(安値!$E390:$CZ390,1,$BE390+1))</f>
        <v/>
      </c>
      <c r="BH390" s="503" t="str">
        <f>IF($BF390="","",INDEX(安値!$E390:$CZ390,1,$BF390+1))</f>
        <v/>
      </c>
      <c r="BI390" s="503" t="str">
        <f>IF($BF390="","",MAX(INDEX(高値!$E390:$CZ390,1,$BE390+1):INDEX(高値!$E390:$CZ390,1,$BF390+1)))</f>
        <v/>
      </c>
      <c r="BJ390" s="503" t="str">
        <f>IF($BF390="","",AVERAGE(INDEX(終値!$E390:$CZ390,1,$BF390+1):INDEX(終値!$E390:$CZ390,1,$BF390+20))-2*STDEVP(INDEX(終値!$E390:$CZ390,1,$BF390+1):INDEX(終値!$E390:$CZ390,1,$BF390+20)))</f>
        <v/>
      </c>
      <c r="BK390" s="503" t="str">
        <f>IF($BE390="","",AVERAGE(INDEX(終値!$E390:$CZ390,1,$BE390+1):INDEX(終値!$E390:$CZ390,1,$BE390+20))-2*STDEVP(INDEX(終値!$E390:$CZ390,1,$BE390+1):INDEX(終値!$E390:$CZ390,1,$BE390+20)))</f>
        <v/>
      </c>
      <c r="BL390" s="503">
        <f t="shared" ref="BL390:BL405" si="39">COUNT($AC390:$BC390)</f>
        <v>0</v>
      </c>
      <c r="BM390" s="503" t="str">
        <f t="shared" ref="BM390:BM405" si="40">IF($BL390&gt;=2,MIN($AC390:$BC390),"")</f>
        <v/>
      </c>
      <c r="BN390" s="503" t="str">
        <f t="shared" ref="BN390:BN405" si="41">IF($BL390&gt;=2,SMALL($AC390:$BC390,2),"")</f>
        <v/>
      </c>
      <c r="BO390" s="503" t="str">
        <f>IF($BM390="","",INDEX(高値!$E390:$CZ390,1,$BM390+1))</f>
        <v/>
      </c>
      <c r="BP390" s="503" t="str">
        <f>IF($BN390="","",INDEX(高値!$E390:$CZ390,1,$BN390+1))</f>
        <v/>
      </c>
      <c r="BQ390" s="503" t="str">
        <f>IF($BN390="","",MIN(INDEX(安値!$E390:$CZ390,1,$BM390+1):INDEX(安値!$E390:$CZ390,1,$BN390+1)))</f>
        <v/>
      </c>
      <c r="BR390" s="503" t="str">
        <f>IF($BN390="","",AVERAGE(INDEX(終値!$E390:$CZ390,1,$BN390+1):INDEX(終値!$E390:$CZ390,1,$BN390+20))+2*STDEVP(INDEX(終値!$E390:$CZ390,1,$BN390+1):INDEX(終値!$E390:$CZ390,1,$BN390+20)))</f>
        <v/>
      </c>
      <c r="BS390" s="503" t="str">
        <f>IF($BM390="","",AVERAGE(INDEX(終値!$E390:$CZ390,1,$BM390+1):INDEX(終値!$E390:$CZ390,1,$BM390+20))+2*STDEVP(INDEX(終値!$E390:$CZ390,1,$BM390+1):INDEX(終値!$E390:$CZ390,1,$BM390+20)))</f>
        <v/>
      </c>
      <c r="BT390" s="500"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3" t="str">
        <f>IF(終値!A391="","",IF(AND(安値!G391&lt;安値!F391,安値!G391&lt;安値!E391,安値!G391&lt;安値!H391,安値!G391&lt;安値!I391),2,""))</f>
        <v/>
      </c>
      <c r="C391" s="503" t="str">
        <f>IF(終値!A391="","",IF(AND(安値!H391&lt;安値!G391,安値!H391&lt;安値!F391,安値!H391&lt;安値!I391,安値!H391&lt;安値!J391),3,""))</f>
        <v/>
      </c>
      <c r="D391" s="503" t="str">
        <f>IF(終値!A391="","",IF(AND(安値!I391&lt;安値!H391,安値!I391&lt;安値!G391,安値!I391&lt;安値!J391,安値!I391&lt;安値!K391),4,""))</f>
        <v/>
      </c>
      <c r="E391" s="503" t="str">
        <f>IF(終値!A391="","",IF(AND(安値!J391&lt;安値!I391,安値!J391&lt;安値!H391,安値!J391&lt;安値!K391,安値!J391&lt;安値!L391),5,""))</f>
        <v/>
      </c>
      <c r="F391" s="503" t="str">
        <f>IF(終値!A391="","",IF(AND(安値!K391&lt;安値!J391,安値!K391&lt;安値!I391,安値!K391&lt;安値!L391,安値!K391&lt;安値!M391),6,""))</f>
        <v/>
      </c>
      <c r="G391" s="503" t="str">
        <f>IF(終値!A391="","",IF(AND(安値!L391&lt;安値!K391,安値!L391&lt;安値!J391,安値!L391&lt;安値!M391,安値!L391&lt;安値!N391),7,""))</f>
        <v/>
      </c>
      <c r="H391" s="503" t="str">
        <f>IF(終値!A391="","",IF(AND(安値!M391&lt;安値!L391,安値!M391&lt;安値!K391,安値!M391&lt;安値!N391,安値!M391&lt;安値!O391),8,""))</f>
        <v/>
      </c>
      <c r="I391" s="503" t="str">
        <f>IF(終値!A391="","",IF(AND(安値!N391&lt;安値!M391,安値!N391&lt;安値!L391,安値!N391&lt;安値!O391,安値!N391&lt;安値!P391),9,""))</f>
        <v/>
      </c>
      <c r="J391" s="503" t="str">
        <f>IF(終値!A391="","",IF(AND(安値!O391&lt;安値!N391,安値!O391&lt;安値!M391,安値!O391&lt;安値!P391,安値!O391&lt;安値!Q391),10,""))</f>
        <v/>
      </c>
      <c r="K391" s="503" t="str">
        <f>IF(終値!A391="","",IF(AND(安値!P391&lt;安値!O391,安値!P391&lt;安値!N391,安値!P391&lt;安値!Q391,安値!P391&lt;安値!R391),11,""))</f>
        <v/>
      </c>
      <c r="L391" s="503" t="str">
        <f>IF(終値!A391="","",IF(AND(安値!Q391&lt;安値!P391,安値!Q391&lt;安値!O391,安値!Q391&lt;安値!R391,安値!Q391&lt;安値!S391),12,""))</f>
        <v/>
      </c>
      <c r="M391" s="503" t="str">
        <f>IF(終値!A391="","",IF(AND(安値!R391&lt;安値!Q391,安値!R391&lt;安値!P391,安値!R391&lt;安値!S391,安値!R391&lt;安値!T391),13,""))</f>
        <v/>
      </c>
      <c r="N391" s="503" t="str">
        <f>IF(終値!A391="","",IF(AND(安値!S391&lt;安値!R391,安値!S391&lt;安値!Q391,安値!S391&lt;安値!T391,安値!S391&lt;安値!U391),14,""))</f>
        <v/>
      </c>
      <c r="O391" s="503" t="str">
        <f>IF(終値!A391="","",IF(AND(安値!T391&lt;安値!S391,安値!T391&lt;安値!R391,安値!T391&lt;安値!U391,安値!T391&lt;安値!V391),15,""))</f>
        <v/>
      </c>
      <c r="P391" s="503" t="str">
        <f>IF(終値!A391="","",IF(AND(安値!U391&lt;安値!T391,安値!U391&lt;安値!S391,安値!U391&lt;安値!V391,安値!U391&lt;安値!W391),16,""))</f>
        <v/>
      </c>
      <c r="Q391" s="503" t="str">
        <f>IF(終値!A391="","",IF(AND(安値!V391&lt;安値!U391,安値!V391&lt;安値!T391,安値!V391&lt;安値!W391,安値!V391&lt;安値!X391),17,""))</f>
        <v/>
      </c>
      <c r="R391" s="503" t="str">
        <f>IF(終値!A391="","",IF(AND(安値!W391&lt;安値!V391,安値!W391&lt;安値!U391,安値!W391&lt;安値!X391,安値!W391&lt;安値!Y391),18,""))</f>
        <v/>
      </c>
      <c r="S391" s="503" t="str">
        <f>IF(終値!A391="","",IF(AND(安値!X391&lt;安値!W391,安値!X391&lt;安値!V391,安値!X391&lt;安値!Y391,安値!X391&lt;安値!Z391),19,""))</f>
        <v/>
      </c>
      <c r="T391" s="503" t="str">
        <f>IF(終値!A391="","",IF(AND(安値!Y391&lt;安値!X391,安値!Y391&lt;安値!W391,安値!Y391&lt;安値!Z391,安値!Y391&lt;安値!AA391),20,""))</f>
        <v/>
      </c>
      <c r="U391" s="503" t="str">
        <f>IF(終値!A391="","",IF(AND(安値!Z391&lt;安値!Y391,安値!Z391&lt;安値!X391,安値!Z391&lt;安値!AA391,安値!Z391&lt;安値!AB391),21,""))</f>
        <v/>
      </c>
      <c r="V391" s="503" t="str">
        <f>IF(終値!A391="","",IF(AND(安値!AA391&lt;安値!Z391,安値!AA391&lt;安値!Y391,安値!AA391&lt;安値!AB391,安値!AA391&lt;安値!AC391),22,""))</f>
        <v/>
      </c>
      <c r="W391" s="503" t="str">
        <f>IF(終値!A391="","",IF(AND(安値!AB391&lt;安値!AA391,安値!AB391&lt;安値!Z391,安値!AB391&lt;安値!AC391,安値!AB391&lt;安値!AD391),23,""))</f>
        <v/>
      </c>
      <c r="X391" s="503" t="str">
        <f>IF(終値!A391="","",IF(AND(安値!AC391&lt;安値!AB391,安値!AC391&lt;安値!AA391,安値!AC391&lt;安値!AD391,安値!AC391&lt;安値!AE391),24,""))</f>
        <v/>
      </c>
      <c r="Y391" s="503" t="str">
        <f>IF(終値!A391="","",IF(AND(安値!AD391&lt;安値!AC391,安値!AD391&lt;安値!AB391,安値!AD391&lt;安値!AE391,安値!AD391&lt;安値!AF391),25,""))</f>
        <v/>
      </c>
      <c r="Z391" s="503" t="str">
        <f>IF(終値!A391="","",IF(AND(安値!AE391&lt;安値!AD391,安値!AE391&lt;安値!AC391,安値!AE391&lt;安値!AF391,安値!AE391&lt;安値!AG391),26,""))</f>
        <v/>
      </c>
      <c r="AA391" s="503" t="str">
        <f>IF(終値!A391="","",IF(AND(安値!AF391&lt;安値!AE391,安値!AF391&lt;安値!AD391,安値!AF391&lt;安値!AG391,安値!AF391&lt;安値!AH391),27,""))</f>
        <v/>
      </c>
      <c r="AB391" s="503" t="str">
        <f>IF(終値!A391="","",IF(AND(安値!AG391&lt;安値!AF391,安値!AG391&lt;安値!AE391,安値!AG391&lt;安値!AH391,安値!AG391&lt;安値!AI391),28,""))</f>
        <v/>
      </c>
      <c r="AC391" s="503" t="str">
        <f>IF(終値!A391="","",IF(AND(高値!G391&gt;高値!F391,高値!G391&gt;高値!E391,高値!G391&gt;高値!H391,高値!G391&gt;高値!I391),2,""))</f>
        <v/>
      </c>
      <c r="AD391" s="503" t="str">
        <f>IF(終値!A391="","",IF(AND(高値!H391&gt;高値!G391,高値!H391&gt;高値!F391,高値!H391&gt;高値!I391,高値!H391&gt;高値!J391),3,""))</f>
        <v/>
      </c>
      <c r="AE391" s="503" t="str">
        <f>IF(終値!A391="","",IF(AND(高値!I391&gt;高値!H391,高値!I391&gt;高値!G391,高値!I391&gt;高値!J391,高値!I391&gt;高値!K391),4,""))</f>
        <v/>
      </c>
      <c r="AF391" s="503" t="str">
        <f>IF(終値!A391="","",IF(AND(高値!J391&gt;高値!I391,高値!J391&gt;高値!H391,高値!J391&gt;高値!K391,高値!J391&gt;高値!L391),5,""))</f>
        <v/>
      </c>
      <c r="AG391" s="503" t="str">
        <f>IF(終値!A391="","",IF(AND(高値!K391&gt;高値!J391,高値!K391&gt;高値!I391,高値!K391&gt;高値!L391,高値!K391&gt;高値!M391),6,""))</f>
        <v/>
      </c>
      <c r="AH391" s="503" t="str">
        <f>IF(終値!A391="","",IF(AND(高値!L391&gt;高値!K391,高値!L391&gt;高値!J391,高値!L391&gt;高値!M391,高値!L391&gt;高値!N391),7,""))</f>
        <v/>
      </c>
      <c r="AI391" s="503" t="str">
        <f>IF(終値!A391="","",IF(AND(高値!M391&gt;高値!L391,高値!M391&gt;高値!K391,高値!M391&gt;高値!N391,高値!M391&gt;高値!O391),8,""))</f>
        <v/>
      </c>
      <c r="AJ391" s="503" t="str">
        <f>IF(終値!A391="","",IF(AND(高値!N391&gt;高値!M391,高値!N391&gt;高値!L391,高値!N391&gt;高値!O391,高値!N391&gt;高値!P391),9,""))</f>
        <v/>
      </c>
      <c r="AK391" s="503" t="str">
        <f>IF(終値!A391="","",IF(AND(高値!O391&gt;高値!N391,高値!O391&gt;高値!M391,高値!O391&gt;高値!P391,高値!O391&gt;高値!Q391),10,""))</f>
        <v/>
      </c>
      <c r="AL391" s="503" t="str">
        <f>IF(終値!A391="","",IF(AND(高値!P391&gt;高値!O391,高値!P391&gt;高値!N391,高値!P391&gt;高値!Q391,高値!P391&gt;高値!R391),11,""))</f>
        <v/>
      </c>
      <c r="AM391" s="503" t="str">
        <f>IF(終値!A391="","",IF(AND(高値!Q391&gt;高値!P391,高値!Q391&gt;高値!O391,高値!Q391&gt;高値!R391,高値!Q391&gt;高値!S391),12,""))</f>
        <v/>
      </c>
      <c r="AN391" s="503" t="str">
        <f>IF(終値!A391="","",IF(AND(高値!R391&gt;高値!Q391,高値!R391&gt;高値!P391,高値!R391&gt;高値!S391,高値!R391&gt;高値!T391),13,""))</f>
        <v/>
      </c>
      <c r="AO391" s="503" t="str">
        <f>IF(終値!A391="","",IF(AND(高値!S391&gt;高値!R391,高値!S391&gt;高値!Q391,高値!S391&gt;高値!T391,高値!S391&gt;高値!U391),14,""))</f>
        <v/>
      </c>
      <c r="AP391" s="503" t="str">
        <f>IF(終値!A391="","",IF(AND(高値!T391&gt;高値!S391,高値!T391&gt;高値!R391,高値!T391&gt;高値!U391,高値!T391&gt;高値!V391),15,""))</f>
        <v/>
      </c>
      <c r="AQ391" s="503" t="str">
        <f>IF(終値!A391="","",IF(AND(高値!U391&gt;高値!T391,高値!U391&gt;高値!S391,高値!U391&gt;高値!V391,高値!U391&gt;高値!W391),16,""))</f>
        <v/>
      </c>
      <c r="AR391" s="503" t="str">
        <f>IF(終値!A391="","",IF(AND(高値!V391&gt;高値!U391,高値!V391&gt;高値!T391,高値!V391&gt;高値!W391,高値!V391&gt;高値!X391),17,""))</f>
        <v/>
      </c>
      <c r="AS391" s="503" t="str">
        <f>IF(終値!A391="","",IF(AND(高値!W391&gt;高値!V391,高値!W391&gt;高値!U391,高値!W391&gt;高値!X391,高値!W391&gt;高値!Y391),18,""))</f>
        <v/>
      </c>
      <c r="AT391" s="503" t="str">
        <f>IF(終値!A391="","",IF(AND(高値!X391&gt;高値!W391,高値!X391&gt;高値!V391,高値!X391&gt;高値!Y391,高値!X391&gt;高値!Z391),19,""))</f>
        <v/>
      </c>
      <c r="AU391" s="503" t="str">
        <f>IF(終値!A391="","",IF(AND(高値!Y391&gt;高値!X391,高値!Y391&gt;高値!W391,高値!Y391&gt;高値!Z391,高値!Y391&gt;高値!AA391),20,""))</f>
        <v/>
      </c>
      <c r="AV391" s="503" t="str">
        <f>IF(終値!A391="","",IF(AND(高値!Z391&gt;高値!Y391,高値!Z391&gt;高値!X391,高値!Z391&gt;高値!AA391,高値!Z391&gt;高値!AB391),21,""))</f>
        <v/>
      </c>
      <c r="AW391" s="503" t="str">
        <f>IF(終値!A391="","",IF(AND(高値!AA391&gt;高値!Z391,高値!AA391&gt;高値!Y391,高値!AA391&gt;高値!AB391,高値!AA391&gt;高値!AC391),22,""))</f>
        <v/>
      </c>
      <c r="AX391" s="503" t="str">
        <f>IF(終値!A391="","",IF(AND(高値!AB391&gt;高値!AA391,高値!AB391&gt;高値!Z391,高値!AB391&gt;高値!AC391,高値!AB391&gt;高値!AD391),23,""))</f>
        <v/>
      </c>
      <c r="AY391" s="503" t="str">
        <f>IF(終値!A391="","",IF(AND(高値!AC391&gt;高値!AB391,高値!AC391&gt;高値!AA391,高値!AC391&gt;高値!AD391,高値!AC391&gt;高値!AE391),24,""))</f>
        <v/>
      </c>
      <c r="AZ391" s="503" t="str">
        <f>IF(終値!A391="","",IF(AND(高値!AD391&gt;高値!AC391,高値!AD391&gt;高値!AB391,高値!AD391&gt;高値!AE391,高値!AD391&gt;高値!AF391),25,""))</f>
        <v/>
      </c>
      <c r="BA391" s="503" t="str">
        <f>IF(終値!A391="","",IF(AND(高値!AE391&gt;高値!AD391,高値!AE391&gt;高値!AC391,高値!AE391&gt;高値!AF391,高値!AE391&gt;高値!AG391),26,""))</f>
        <v/>
      </c>
      <c r="BB391" s="503" t="str">
        <f>IF(終値!A391="","",IF(AND(高値!AF391&gt;高値!AE391,高値!AF391&gt;高値!AD391,高値!AF391&gt;高値!AG391,高値!AF391&gt;高値!AH391),27,""))</f>
        <v/>
      </c>
      <c r="BC391" s="503" t="str">
        <f>IF(終値!A391="","",IF(AND(高値!AG391&gt;高値!AF391,高値!AG391&gt;高値!AE391,高値!AG391&gt;高値!AH391,高値!AG391&gt;高値!AI391),28,""))</f>
        <v/>
      </c>
      <c r="BD391" s="503">
        <f t="shared" si="36"/>
        <v>0</v>
      </c>
      <c r="BE391" s="503" t="str">
        <f t="shared" si="37"/>
        <v/>
      </c>
      <c r="BF391" s="503" t="str">
        <f t="shared" si="38"/>
        <v/>
      </c>
      <c r="BG391" s="503" t="str">
        <f>IF($BE391="","",INDEX(安値!$E391:$CZ391,1,$BE391+1))</f>
        <v/>
      </c>
      <c r="BH391" s="503" t="str">
        <f>IF($BF391="","",INDEX(安値!$E391:$CZ391,1,$BF391+1))</f>
        <v/>
      </c>
      <c r="BI391" s="503" t="str">
        <f>IF($BF391="","",MAX(INDEX(高値!$E391:$CZ391,1,$BE391+1):INDEX(高値!$E391:$CZ391,1,$BF391+1)))</f>
        <v/>
      </c>
      <c r="BJ391" s="503" t="str">
        <f>IF($BF391="","",AVERAGE(INDEX(終値!$E391:$CZ391,1,$BF391+1):INDEX(終値!$E391:$CZ391,1,$BF391+20))-2*STDEVP(INDEX(終値!$E391:$CZ391,1,$BF391+1):INDEX(終値!$E391:$CZ391,1,$BF391+20)))</f>
        <v/>
      </c>
      <c r="BK391" s="503" t="str">
        <f>IF($BE391="","",AVERAGE(INDEX(終値!$E391:$CZ391,1,$BE391+1):INDEX(終値!$E391:$CZ391,1,$BE391+20))-2*STDEVP(INDEX(終値!$E391:$CZ391,1,$BE391+1):INDEX(終値!$E391:$CZ391,1,$BE391+20)))</f>
        <v/>
      </c>
      <c r="BL391" s="503">
        <f t="shared" si="39"/>
        <v>0</v>
      </c>
      <c r="BM391" s="503" t="str">
        <f t="shared" si="40"/>
        <v/>
      </c>
      <c r="BN391" s="503" t="str">
        <f t="shared" si="41"/>
        <v/>
      </c>
      <c r="BO391" s="503" t="str">
        <f>IF($BM391="","",INDEX(高値!$E391:$CZ391,1,$BM391+1))</f>
        <v/>
      </c>
      <c r="BP391" s="503" t="str">
        <f>IF($BN391="","",INDEX(高値!$E391:$CZ391,1,$BN391+1))</f>
        <v/>
      </c>
      <c r="BQ391" s="503" t="str">
        <f>IF($BN391="","",MIN(INDEX(安値!$E391:$CZ391,1,$BM391+1):INDEX(安値!$E391:$CZ391,1,$BN391+1)))</f>
        <v/>
      </c>
      <c r="BR391" s="503" t="str">
        <f>IF($BN391="","",AVERAGE(INDEX(終値!$E391:$CZ391,1,$BN391+1):INDEX(終値!$E391:$CZ391,1,$BN391+20))+2*STDEVP(INDEX(終値!$E391:$CZ391,1,$BN391+1):INDEX(終値!$E391:$CZ391,1,$BN391+20)))</f>
        <v/>
      </c>
      <c r="BS391" s="503" t="str">
        <f>IF($BM391="","",AVERAGE(INDEX(終値!$E391:$CZ391,1,$BM391+1):INDEX(終値!$E391:$CZ391,1,$BM391+20))+2*STDEVP(INDEX(終値!$E391:$CZ391,1,$BM391+1):INDEX(終値!$E391:$CZ391,1,$BM391+20)))</f>
        <v/>
      </c>
      <c r="BT391" s="500"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3" t="str">
        <f>IF(終値!A392="","",IF(AND(安値!G392&lt;安値!F392,安値!G392&lt;安値!E392,安値!G392&lt;安値!H392,安値!G392&lt;安値!I392),2,""))</f>
        <v/>
      </c>
      <c r="C392" s="503" t="str">
        <f>IF(終値!A392="","",IF(AND(安値!H392&lt;安値!G392,安値!H392&lt;安値!F392,安値!H392&lt;安値!I392,安値!H392&lt;安値!J392),3,""))</f>
        <v/>
      </c>
      <c r="D392" s="503" t="str">
        <f>IF(終値!A392="","",IF(AND(安値!I392&lt;安値!H392,安値!I392&lt;安値!G392,安値!I392&lt;安値!J392,安値!I392&lt;安値!K392),4,""))</f>
        <v/>
      </c>
      <c r="E392" s="503" t="str">
        <f>IF(終値!A392="","",IF(AND(安値!J392&lt;安値!I392,安値!J392&lt;安値!H392,安値!J392&lt;安値!K392,安値!J392&lt;安値!L392),5,""))</f>
        <v/>
      </c>
      <c r="F392" s="503" t="str">
        <f>IF(終値!A392="","",IF(AND(安値!K392&lt;安値!J392,安値!K392&lt;安値!I392,安値!K392&lt;安値!L392,安値!K392&lt;安値!M392),6,""))</f>
        <v/>
      </c>
      <c r="G392" s="503" t="str">
        <f>IF(終値!A392="","",IF(AND(安値!L392&lt;安値!K392,安値!L392&lt;安値!J392,安値!L392&lt;安値!M392,安値!L392&lt;安値!N392),7,""))</f>
        <v/>
      </c>
      <c r="H392" s="503" t="str">
        <f>IF(終値!A392="","",IF(AND(安値!M392&lt;安値!L392,安値!M392&lt;安値!K392,安値!M392&lt;安値!N392,安値!M392&lt;安値!O392),8,""))</f>
        <v/>
      </c>
      <c r="I392" s="503" t="str">
        <f>IF(終値!A392="","",IF(AND(安値!N392&lt;安値!M392,安値!N392&lt;安値!L392,安値!N392&lt;安値!O392,安値!N392&lt;安値!P392),9,""))</f>
        <v/>
      </c>
      <c r="J392" s="503" t="str">
        <f>IF(終値!A392="","",IF(AND(安値!O392&lt;安値!N392,安値!O392&lt;安値!M392,安値!O392&lt;安値!P392,安値!O392&lt;安値!Q392),10,""))</f>
        <v/>
      </c>
      <c r="K392" s="503" t="str">
        <f>IF(終値!A392="","",IF(AND(安値!P392&lt;安値!O392,安値!P392&lt;安値!N392,安値!P392&lt;安値!Q392,安値!P392&lt;安値!R392),11,""))</f>
        <v/>
      </c>
      <c r="L392" s="503" t="str">
        <f>IF(終値!A392="","",IF(AND(安値!Q392&lt;安値!P392,安値!Q392&lt;安値!O392,安値!Q392&lt;安値!R392,安値!Q392&lt;安値!S392),12,""))</f>
        <v/>
      </c>
      <c r="M392" s="503" t="str">
        <f>IF(終値!A392="","",IF(AND(安値!R392&lt;安値!Q392,安値!R392&lt;安値!P392,安値!R392&lt;安値!S392,安値!R392&lt;安値!T392),13,""))</f>
        <v/>
      </c>
      <c r="N392" s="503" t="str">
        <f>IF(終値!A392="","",IF(AND(安値!S392&lt;安値!R392,安値!S392&lt;安値!Q392,安値!S392&lt;安値!T392,安値!S392&lt;安値!U392),14,""))</f>
        <v/>
      </c>
      <c r="O392" s="503" t="str">
        <f>IF(終値!A392="","",IF(AND(安値!T392&lt;安値!S392,安値!T392&lt;安値!R392,安値!T392&lt;安値!U392,安値!T392&lt;安値!V392),15,""))</f>
        <v/>
      </c>
      <c r="P392" s="503" t="str">
        <f>IF(終値!A392="","",IF(AND(安値!U392&lt;安値!T392,安値!U392&lt;安値!S392,安値!U392&lt;安値!V392,安値!U392&lt;安値!W392),16,""))</f>
        <v/>
      </c>
      <c r="Q392" s="503" t="str">
        <f>IF(終値!A392="","",IF(AND(安値!V392&lt;安値!U392,安値!V392&lt;安値!T392,安値!V392&lt;安値!W392,安値!V392&lt;安値!X392),17,""))</f>
        <v/>
      </c>
      <c r="R392" s="503" t="str">
        <f>IF(終値!A392="","",IF(AND(安値!W392&lt;安値!V392,安値!W392&lt;安値!U392,安値!W392&lt;安値!X392,安値!W392&lt;安値!Y392),18,""))</f>
        <v/>
      </c>
      <c r="S392" s="503" t="str">
        <f>IF(終値!A392="","",IF(AND(安値!X392&lt;安値!W392,安値!X392&lt;安値!V392,安値!X392&lt;安値!Y392,安値!X392&lt;安値!Z392),19,""))</f>
        <v/>
      </c>
      <c r="T392" s="503" t="str">
        <f>IF(終値!A392="","",IF(AND(安値!Y392&lt;安値!X392,安値!Y392&lt;安値!W392,安値!Y392&lt;安値!Z392,安値!Y392&lt;安値!AA392),20,""))</f>
        <v/>
      </c>
      <c r="U392" s="503" t="str">
        <f>IF(終値!A392="","",IF(AND(安値!Z392&lt;安値!Y392,安値!Z392&lt;安値!X392,安値!Z392&lt;安値!AA392,安値!Z392&lt;安値!AB392),21,""))</f>
        <v/>
      </c>
      <c r="V392" s="503" t="str">
        <f>IF(終値!A392="","",IF(AND(安値!AA392&lt;安値!Z392,安値!AA392&lt;安値!Y392,安値!AA392&lt;安値!AB392,安値!AA392&lt;安値!AC392),22,""))</f>
        <v/>
      </c>
      <c r="W392" s="503" t="str">
        <f>IF(終値!A392="","",IF(AND(安値!AB392&lt;安値!AA392,安値!AB392&lt;安値!Z392,安値!AB392&lt;安値!AC392,安値!AB392&lt;安値!AD392),23,""))</f>
        <v/>
      </c>
      <c r="X392" s="503" t="str">
        <f>IF(終値!A392="","",IF(AND(安値!AC392&lt;安値!AB392,安値!AC392&lt;安値!AA392,安値!AC392&lt;安値!AD392,安値!AC392&lt;安値!AE392),24,""))</f>
        <v/>
      </c>
      <c r="Y392" s="503" t="str">
        <f>IF(終値!A392="","",IF(AND(安値!AD392&lt;安値!AC392,安値!AD392&lt;安値!AB392,安値!AD392&lt;安値!AE392,安値!AD392&lt;安値!AF392),25,""))</f>
        <v/>
      </c>
      <c r="Z392" s="503" t="str">
        <f>IF(終値!A392="","",IF(AND(安値!AE392&lt;安値!AD392,安値!AE392&lt;安値!AC392,安値!AE392&lt;安値!AF392,安値!AE392&lt;安値!AG392),26,""))</f>
        <v/>
      </c>
      <c r="AA392" s="503" t="str">
        <f>IF(終値!A392="","",IF(AND(安値!AF392&lt;安値!AE392,安値!AF392&lt;安値!AD392,安値!AF392&lt;安値!AG392,安値!AF392&lt;安値!AH392),27,""))</f>
        <v/>
      </c>
      <c r="AB392" s="503" t="str">
        <f>IF(終値!A392="","",IF(AND(安値!AG392&lt;安値!AF392,安値!AG392&lt;安値!AE392,安値!AG392&lt;安値!AH392,安値!AG392&lt;安値!AI392),28,""))</f>
        <v/>
      </c>
      <c r="AC392" s="503" t="str">
        <f>IF(終値!A392="","",IF(AND(高値!G392&gt;高値!F392,高値!G392&gt;高値!E392,高値!G392&gt;高値!H392,高値!G392&gt;高値!I392),2,""))</f>
        <v/>
      </c>
      <c r="AD392" s="503" t="str">
        <f>IF(終値!A392="","",IF(AND(高値!H392&gt;高値!G392,高値!H392&gt;高値!F392,高値!H392&gt;高値!I392,高値!H392&gt;高値!J392),3,""))</f>
        <v/>
      </c>
      <c r="AE392" s="503" t="str">
        <f>IF(終値!A392="","",IF(AND(高値!I392&gt;高値!H392,高値!I392&gt;高値!G392,高値!I392&gt;高値!J392,高値!I392&gt;高値!K392),4,""))</f>
        <v/>
      </c>
      <c r="AF392" s="503" t="str">
        <f>IF(終値!A392="","",IF(AND(高値!J392&gt;高値!I392,高値!J392&gt;高値!H392,高値!J392&gt;高値!K392,高値!J392&gt;高値!L392),5,""))</f>
        <v/>
      </c>
      <c r="AG392" s="503" t="str">
        <f>IF(終値!A392="","",IF(AND(高値!K392&gt;高値!J392,高値!K392&gt;高値!I392,高値!K392&gt;高値!L392,高値!K392&gt;高値!M392),6,""))</f>
        <v/>
      </c>
      <c r="AH392" s="503" t="str">
        <f>IF(終値!A392="","",IF(AND(高値!L392&gt;高値!K392,高値!L392&gt;高値!J392,高値!L392&gt;高値!M392,高値!L392&gt;高値!N392),7,""))</f>
        <v/>
      </c>
      <c r="AI392" s="503" t="str">
        <f>IF(終値!A392="","",IF(AND(高値!M392&gt;高値!L392,高値!M392&gt;高値!K392,高値!M392&gt;高値!N392,高値!M392&gt;高値!O392),8,""))</f>
        <v/>
      </c>
      <c r="AJ392" s="503" t="str">
        <f>IF(終値!A392="","",IF(AND(高値!N392&gt;高値!M392,高値!N392&gt;高値!L392,高値!N392&gt;高値!O392,高値!N392&gt;高値!P392),9,""))</f>
        <v/>
      </c>
      <c r="AK392" s="503" t="str">
        <f>IF(終値!A392="","",IF(AND(高値!O392&gt;高値!N392,高値!O392&gt;高値!M392,高値!O392&gt;高値!P392,高値!O392&gt;高値!Q392),10,""))</f>
        <v/>
      </c>
      <c r="AL392" s="503" t="str">
        <f>IF(終値!A392="","",IF(AND(高値!P392&gt;高値!O392,高値!P392&gt;高値!N392,高値!P392&gt;高値!Q392,高値!P392&gt;高値!R392),11,""))</f>
        <v/>
      </c>
      <c r="AM392" s="503" t="str">
        <f>IF(終値!A392="","",IF(AND(高値!Q392&gt;高値!P392,高値!Q392&gt;高値!O392,高値!Q392&gt;高値!R392,高値!Q392&gt;高値!S392),12,""))</f>
        <v/>
      </c>
      <c r="AN392" s="503" t="str">
        <f>IF(終値!A392="","",IF(AND(高値!R392&gt;高値!Q392,高値!R392&gt;高値!P392,高値!R392&gt;高値!S392,高値!R392&gt;高値!T392),13,""))</f>
        <v/>
      </c>
      <c r="AO392" s="503" t="str">
        <f>IF(終値!A392="","",IF(AND(高値!S392&gt;高値!R392,高値!S392&gt;高値!Q392,高値!S392&gt;高値!T392,高値!S392&gt;高値!U392),14,""))</f>
        <v/>
      </c>
      <c r="AP392" s="503" t="str">
        <f>IF(終値!A392="","",IF(AND(高値!T392&gt;高値!S392,高値!T392&gt;高値!R392,高値!T392&gt;高値!U392,高値!T392&gt;高値!V392),15,""))</f>
        <v/>
      </c>
      <c r="AQ392" s="503" t="str">
        <f>IF(終値!A392="","",IF(AND(高値!U392&gt;高値!T392,高値!U392&gt;高値!S392,高値!U392&gt;高値!V392,高値!U392&gt;高値!W392),16,""))</f>
        <v/>
      </c>
      <c r="AR392" s="503" t="str">
        <f>IF(終値!A392="","",IF(AND(高値!V392&gt;高値!U392,高値!V392&gt;高値!T392,高値!V392&gt;高値!W392,高値!V392&gt;高値!X392),17,""))</f>
        <v/>
      </c>
      <c r="AS392" s="503" t="str">
        <f>IF(終値!A392="","",IF(AND(高値!W392&gt;高値!V392,高値!W392&gt;高値!U392,高値!W392&gt;高値!X392,高値!W392&gt;高値!Y392),18,""))</f>
        <v/>
      </c>
      <c r="AT392" s="503" t="str">
        <f>IF(終値!A392="","",IF(AND(高値!X392&gt;高値!W392,高値!X392&gt;高値!V392,高値!X392&gt;高値!Y392,高値!X392&gt;高値!Z392),19,""))</f>
        <v/>
      </c>
      <c r="AU392" s="503" t="str">
        <f>IF(終値!A392="","",IF(AND(高値!Y392&gt;高値!X392,高値!Y392&gt;高値!W392,高値!Y392&gt;高値!Z392,高値!Y392&gt;高値!AA392),20,""))</f>
        <v/>
      </c>
      <c r="AV392" s="503" t="str">
        <f>IF(終値!A392="","",IF(AND(高値!Z392&gt;高値!Y392,高値!Z392&gt;高値!X392,高値!Z392&gt;高値!AA392,高値!Z392&gt;高値!AB392),21,""))</f>
        <v/>
      </c>
      <c r="AW392" s="503" t="str">
        <f>IF(終値!A392="","",IF(AND(高値!AA392&gt;高値!Z392,高値!AA392&gt;高値!Y392,高値!AA392&gt;高値!AB392,高値!AA392&gt;高値!AC392),22,""))</f>
        <v/>
      </c>
      <c r="AX392" s="503" t="str">
        <f>IF(終値!A392="","",IF(AND(高値!AB392&gt;高値!AA392,高値!AB392&gt;高値!Z392,高値!AB392&gt;高値!AC392,高値!AB392&gt;高値!AD392),23,""))</f>
        <v/>
      </c>
      <c r="AY392" s="503" t="str">
        <f>IF(終値!A392="","",IF(AND(高値!AC392&gt;高値!AB392,高値!AC392&gt;高値!AA392,高値!AC392&gt;高値!AD392,高値!AC392&gt;高値!AE392),24,""))</f>
        <v/>
      </c>
      <c r="AZ392" s="503" t="str">
        <f>IF(終値!A392="","",IF(AND(高値!AD392&gt;高値!AC392,高値!AD392&gt;高値!AB392,高値!AD392&gt;高値!AE392,高値!AD392&gt;高値!AF392),25,""))</f>
        <v/>
      </c>
      <c r="BA392" s="503" t="str">
        <f>IF(終値!A392="","",IF(AND(高値!AE392&gt;高値!AD392,高値!AE392&gt;高値!AC392,高値!AE392&gt;高値!AF392,高値!AE392&gt;高値!AG392),26,""))</f>
        <v/>
      </c>
      <c r="BB392" s="503" t="str">
        <f>IF(終値!A392="","",IF(AND(高値!AF392&gt;高値!AE392,高値!AF392&gt;高値!AD392,高値!AF392&gt;高値!AG392,高値!AF392&gt;高値!AH392),27,""))</f>
        <v/>
      </c>
      <c r="BC392" s="503" t="str">
        <f>IF(終値!A392="","",IF(AND(高値!AG392&gt;高値!AF392,高値!AG392&gt;高値!AE392,高値!AG392&gt;高値!AH392,高値!AG392&gt;高値!AI392),28,""))</f>
        <v/>
      </c>
      <c r="BD392" s="503">
        <f t="shared" si="36"/>
        <v>0</v>
      </c>
      <c r="BE392" s="503" t="str">
        <f t="shared" si="37"/>
        <v/>
      </c>
      <c r="BF392" s="503" t="str">
        <f t="shared" si="38"/>
        <v/>
      </c>
      <c r="BG392" s="503" t="str">
        <f>IF($BE392="","",INDEX(安値!$E392:$CZ392,1,$BE392+1))</f>
        <v/>
      </c>
      <c r="BH392" s="503" t="str">
        <f>IF($BF392="","",INDEX(安値!$E392:$CZ392,1,$BF392+1))</f>
        <v/>
      </c>
      <c r="BI392" s="503" t="str">
        <f>IF($BF392="","",MAX(INDEX(高値!$E392:$CZ392,1,$BE392+1):INDEX(高値!$E392:$CZ392,1,$BF392+1)))</f>
        <v/>
      </c>
      <c r="BJ392" s="503" t="str">
        <f>IF($BF392="","",AVERAGE(INDEX(終値!$E392:$CZ392,1,$BF392+1):INDEX(終値!$E392:$CZ392,1,$BF392+20))-2*STDEVP(INDEX(終値!$E392:$CZ392,1,$BF392+1):INDEX(終値!$E392:$CZ392,1,$BF392+20)))</f>
        <v/>
      </c>
      <c r="BK392" s="503" t="str">
        <f>IF($BE392="","",AVERAGE(INDEX(終値!$E392:$CZ392,1,$BE392+1):INDEX(終値!$E392:$CZ392,1,$BE392+20))-2*STDEVP(INDEX(終値!$E392:$CZ392,1,$BE392+1):INDEX(終値!$E392:$CZ392,1,$BE392+20)))</f>
        <v/>
      </c>
      <c r="BL392" s="503">
        <f t="shared" si="39"/>
        <v>0</v>
      </c>
      <c r="BM392" s="503" t="str">
        <f t="shared" si="40"/>
        <v/>
      </c>
      <c r="BN392" s="503" t="str">
        <f t="shared" si="41"/>
        <v/>
      </c>
      <c r="BO392" s="503" t="str">
        <f>IF($BM392="","",INDEX(高値!$E392:$CZ392,1,$BM392+1))</f>
        <v/>
      </c>
      <c r="BP392" s="503" t="str">
        <f>IF($BN392="","",INDEX(高値!$E392:$CZ392,1,$BN392+1))</f>
        <v/>
      </c>
      <c r="BQ392" s="503" t="str">
        <f>IF($BN392="","",MIN(INDEX(安値!$E392:$CZ392,1,$BM392+1):INDEX(安値!$E392:$CZ392,1,$BN392+1)))</f>
        <v/>
      </c>
      <c r="BR392" s="503" t="str">
        <f>IF($BN392="","",AVERAGE(INDEX(終値!$E392:$CZ392,1,$BN392+1):INDEX(終値!$E392:$CZ392,1,$BN392+20))+2*STDEVP(INDEX(終値!$E392:$CZ392,1,$BN392+1):INDEX(終値!$E392:$CZ392,1,$BN392+20)))</f>
        <v/>
      </c>
      <c r="BS392" s="503" t="str">
        <f>IF($BM392="","",AVERAGE(INDEX(終値!$E392:$CZ392,1,$BM392+1):INDEX(終値!$E392:$CZ392,1,$BM392+20))+2*STDEVP(INDEX(終値!$E392:$CZ392,1,$BM392+1):INDEX(終値!$E392:$CZ392,1,$BM392+20)))</f>
        <v/>
      </c>
      <c r="BT392" s="500"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3" t="str">
        <f>IF(終値!A393="","",IF(AND(安値!G393&lt;安値!F393,安値!G393&lt;安値!E393,安値!G393&lt;安値!H393,安値!G393&lt;安値!I393),2,""))</f>
        <v/>
      </c>
      <c r="C393" s="503" t="str">
        <f>IF(終値!A393="","",IF(AND(安値!H393&lt;安値!G393,安値!H393&lt;安値!F393,安値!H393&lt;安値!I393,安値!H393&lt;安値!J393),3,""))</f>
        <v/>
      </c>
      <c r="D393" s="503" t="str">
        <f>IF(終値!A393="","",IF(AND(安値!I393&lt;安値!H393,安値!I393&lt;安値!G393,安値!I393&lt;安値!J393,安値!I393&lt;安値!K393),4,""))</f>
        <v/>
      </c>
      <c r="E393" s="503" t="str">
        <f>IF(終値!A393="","",IF(AND(安値!J393&lt;安値!I393,安値!J393&lt;安値!H393,安値!J393&lt;安値!K393,安値!J393&lt;安値!L393),5,""))</f>
        <v/>
      </c>
      <c r="F393" s="503" t="str">
        <f>IF(終値!A393="","",IF(AND(安値!K393&lt;安値!J393,安値!K393&lt;安値!I393,安値!K393&lt;安値!L393,安値!K393&lt;安値!M393),6,""))</f>
        <v/>
      </c>
      <c r="G393" s="503" t="str">
        <f>IF(終値!A393="","",IF(AND(安値!L393&lt;安値!K393,安値!L393&lt;安値!J393,安値!L393&lt;安値!M393,安値!L393&lt;安値!N393),7,""))</f>
        <v/>
      </c>
      <c r="H393" s="503" t="str">
        <f>IF(終値!A393="","",IF(AND(安値!M393&lt;安値!L393,安値!M393&lt;安値!K393,安値!M393&lt;安値!N393,安値!M393&lt;安値!O393),8,""))</f>
        <v/>
      </c>
      <c r="I393" s="503" t="str">
        <f>IF(終値!A393="","",IF(AND(安値!N393&lt;安値!M393,安値!N393&lt;安値!L393,安値!N393&lt;安値!O393,安値!N393&lt;安値!P393),9,""))</f>
        <v/>
      </c>
      <c r="J393" s="503" t="str">
        <f>IF(終値!A393="","",IF(AND(安値!O393&lt;安値!N393,安値!O393&lt;安値!M393,安値!O393&lt;安値!P393,安値!O393&lt;安値!Q393),10,""))</f>
        <v/>
      </c>
      <c r="K393" s="503" t="str">
        <f>IF(終値!A393="","",IF(AND(安値!P393&lt;安値!O393,安値!P393&lt;安値!N393,安値!P393&lt;安値!Q393,安値!P393&lt;安値!R393),11,""))</f>
        <v/>
      </c>
      <c r="L393" s="503" t="str">
        <f>IF(終値!A393="","",IF(AND(安値!Q393&lt;安値!P393,安値!Q393&lt;安値!O393,安値!Q393&lt;安値!R393,安値!Q393&lt;安値!S393),12,""))</f>
        <v/>
      </c>
      <c r="M393" s="503" t="str">
        <f>IF(終値!A393="","",IF(AND(安値!R393&lt;安値!Q393,安値!R393&lt;安値!P393,安値!R393&lt;安値!S393,安値!R393&lt;安値!T393),13,""))</f>
        <v/>
      </c>
      <c r="N393" s="503" t="str">
        <f>IF(終値!A393="","",IF(AND(安値!S393&lt;安値!R393,安値!S393&lt;安値!Q393,安値!S393&lt;安値!T393,安値!S393&lt;安値!U393),14,""))</f>
        <v/>
      </c>
      <c r="O393" s="503" t="str">
        <f>IF(終値!A393="","",IF(AND(安値!T393&lt;安値!S393,安値!T393&lt;安値!R393,安値!T393&lt;安値!U393,安値!T393&lt;安値!V393),15,""))</f>
        <v/>
      </c>
      <c r="P393" s="503" t="str">
        <f>IF(終値!A393="","",IF(AND(安値!U393&lt;安値!T393,安値!U393&lt;安値!S393,安値!U393&lt;安値!V393,安値!U393&lt;安値!W393),16,""))</f>
        <v/>
      </c>
      <c r="Q393" s="503" t="str">
        <f>IF(終値!A393="","",IF(AND(安値!V393&lt;安値!U393,安値!V393&lt;安値!T393,安値!V393&lt;安値!W393,安値!V393&lt;安値!X393),17,""))</f>
        <v/>
      </c>
      <c r="R393" s="503" t="str">
        <f>IF(終値!A393="","",IF(AND(安値!W393&lt;安値!V393,安値!W393&lt;安値!U393,安値!W393&lt;安値!X393,安値!W393&lt;安値!Y393),18,""))</f>
        <v/>
      </c>
      <c r="S393" s="503" t="str">
        <f>IF(終値!A393="","",IF(AND(安値!X393&lt;安値!W393,安値!X393&lt;安値!V393,安値!X393&lt;安値!Y393,安値!X393&lt;安値!Z393),19,""))</f>
        <v/>
      </c>
      <c r="T393" s="503" t="str">
        <f>IF(終値!A393="","",IF(AND(安値!Y393&lt;安値!X393,安値!Y393&lt;安値!W393,安値!Y393&lt;安値!Z393,安値!Y393&lt;安値!AA393),20,""))</f>
        <v/>
      </c>
      <c r="U393" s="503" t="str">
        <f>IF(終値!A393="","",IF(AND(安値!Z393&lt;安値!Y393,安値!Z393&lt;安値!X393,安値!Z393&lt;安値!AA393,安値!Z393&lt;安値!AB393),21,""))</f>
        <v/>
      </c>
      <c r="V393" s="503" t="str">
        <f>IF(終値!A393="","",IF(AND(安値!AA393&lt;安値!Z393,安値!AA393&lt;安値!Y393,安値!AA393&lt;安値!AB393,安値!AA393&lt;安値!AC393),22,""))</f>
        <v/>
      </c>
      <c r="W393" s="503" t="str">
        <f>IF(終値!A393="","",IF(AND(安値!AB393&lt;安値!AA393,安値!AB393&lt;安値!Z393,安値!AB393&lt;安値!AC393,安値!AB393&lt;安値!AD393),23,""))</f>
        <v/>
      </c>
      <c r="X393" s="503" t="str">
        <f>IF(終値!A393="","",IF(AND(安値!AC393&lt;安値!AB393,安値!AC393&lt;安値!AA393,安値!AC393&lt;安値!AD393,安値!AC393&lt;安値!AE393),24,""))</f>
        <v/>
      </c>
      <c r="Y393" s="503" t="str">
        <f>IF(終値!A393="","",IF(AND(安値!AD393&lt;安値!AC393,安値!AD393&lt;安値!AB393,安値!AD393&lt;安値!AE393,安値!AD393&lt;安値!AF393),25,""))</f>
        <v/>
      </c>
      <c r="Z393" s="503" t="str">
        <f>IF(終値!A393="","",IF(AND(安値!AE393&lt;安値!AD393,安値!AE393&lt;安値!AC393,安値!AE393&lt;安値!AF393,安値!AE393&lt;安値!AG393),26,""))</f>
        <v/>
      </c>
      <c r="AA393" s="503" t="str">
        <f>IF(終値!A393="","",IF(AND(安値!AF393&lt;安値!AE393,安値!AF393&lt;安値!AD393,安値!AF393&lt;安値!AG393,安値!AF393&lt;安値!AH393),27,""))</f>
        <v/>
      </c>
      <c r="AB393" s="503" t="str">
        <f>IF(終値!A393="","",IF(AND(安値!AG393&lt;安値!AF393,安値!AG393&lt;安値!AE393,安値!AG393&lt;安値!AH393,安値!AG393&lt;安値!AI393),28,""))</f>
        <v/>
      </c>
      <c r="AC393" s="503" t="str">
        <f>IF(終値!A393="","",IF(AND(高値!G393&gt;高値!F393,高値!G393&gt;高値!E393,高値!G393&gt;高値!H393,高値!G393&gt;高値!I393),2,""))</f>
        <v/>
      </c>
      <c r="AD393" s="503" t="str">
        <f>IF(終値!A393="","",IF(AND(高値!H393&gt;高値!G393,高値!H393&gt;高値!F393,高値!H393&gt;高値!I393,高値!H393&gt;高値!J393),3,""))</f>
        <v/>
      </c>
      <c r="AE393" s="503" t="str">
        <f>IF(終値!A393="","",IF(AND(高値!I393&gt;高値!H393,高値!I393&gt;高値!G393,高値!I393&gt;高値!J393,高値!I393&gt;高値!K393),4,""))</f>
        <v/>
      </c>
      <c r="AF393" s="503" t="str">
        <f>IF(終値!A393="","",IF(AND(高値!J393&gt;高値!I393,高値!J393&gt;高値!H393,高値!J393&gt;高値!K393,高値!J393&gt;高値!L393),5,""))</f>
        <v/>
      </c>
      <c r="AG393" s="503" t="str">
        <f>IF(終値!A393="","",IF(AND(高値!K393&gt;高値!J393,高値!K393&gt;高値!I393,高値!K393&gt;高値!L393,高値!K393&gt;高値!M393),6,""))</f>
        <v/>
      </c>
      <c r="AH393" s="503" t="str">
        <f>IF(終値!A393="","",IF(AND(高値!L393&gt;高値!K393,高値!L393&gt;高値!J393,高値!L393&gt;高値!M393,高値!L393&gt;高値!N393),7,""))</f>
        <v/>
      </c>
      <c r="AI393" s="503" t="str">
        <f>IF(終値!A393="","",IF(AND(高値!M393&gt;高値!L393,高値!M393&gt;高値!K393,高値!M393&gt;高値!N393,高値!M393&gt;高値!O393),8,""))</f>
        <v/>
      </c>
      <c r="AJ393" s="503" t="str">
        <f>IF(終値!A393="","",IF(AND(高値!N393&gt;高値!M393,高値!N393&gt;高値!L393,高値!N393&gt;高値!O393,高値!N393&gt;高値!P393),9,""))</f>
        <v/>
      </c>
      <c r="AK393" s="503" t="str">
        <f>IF(終値!A393="","",IF(AND(高値!O393&gt;高値!N393,高値!O393&gt;高値!M393,高値!O393&gt;高値!P393,高値!O393&gt;高値!Q393),10,""))</f>
        <v/>
      </c>
      <c r="AL393" s="503" t="str">
        <f>IF(終値!A393="","",IF(AND(高値!P393&gt;高値!O393,高値!P393&gt;高値!N393,高値!P393&gt;高値!Q393,高値!P393&gt;高値!R393),11,""))</f>
        <v/>
      </c>
      <c r="AM393" s="503" t="str">
        <f>IF(終値!A393="","",IF(AND(高値!Q393&gt;高値!P393,高値!Q393&gt;高値!O393,高値!Q393&gt;高値!R393,高値!Q393&gt;高値!S393),12,""))</f>
        <v/>
      </c>
      <c r="AN393" s="503" t="str">
        <f>IF(終値!A393="","",IF(AND(高値!R393&gt;高値!Q393,高値!R393&gt;高値!P393,高値!R393&gt;高値!S393,高値!R393&gt;高値!T393),13,""))</f>
        <v/>
      </c>
      <c r="AO393" s="503" t="str">
        <f>IF(終値!A393="","",IF(AND(高値!S393&gt;高値!R393,高値!S393&gt;高値!Q393,高値!S393&gt;高値!T393,高値!S393&gt;高値!U393),14,""))</f>
        <v/>
      </c>
      <c r="AP393" s="503" t="str">
        <f>IF(終値!A393="","",IF(AND(高値!T393&gt;高値!S393,高値!T393&gt;高値!R393,高値!T393&gt;高値!U393,高値!T393&gt;高値!V393),15,""))</f>
        <v/>
      </c>
      <c r="AQ393" s="503" t="str">
        <f>IF(終値!A393="","",IF(AND(高値!U393&gt;高値!T393,高値!U393&gt;高値!S393,高値!U393&gt;高値!V393,高値!U393&gt;高値!W393),16,""))</f>
        <v/>
      </c>
      <c r="AR393" s="503" t="str">
        <f>IF(終値!A393="","",IF(AND(高値!V393&gt;高値!U393,高値!V393&gt;高値!T393,高値!V393&gt;高値!W393,高値!V393&gt;高値!X393),17,""))</f>
        <v/>
      </c>
      <c r="AS393" s="503" t="str">
        <f>IF(終値!A393="","",IF(AND(高値!W393&gt;高値!V393,高値!W393&gt;高値!U393,高値!W393&gt;高値!X393,高値!W393&gt;高値!Y393),18,""))</f>
        <v/>
      </c>
      <c r="AT393" s="503" t="str">
        <f>IF(終値!A393="","",IF(AND(高値!X393&gt;高値!W393,高値!X393&gt;高値!V393,高値!X393&gt;高値!Y393,高値!X393&gt;高値!Z393),19,""))</f>
        <v/>
      </c>
      <c r="AU393" s="503" t="str">
        <f>IF(終値!A393="","",IF(AND(高値!Y393&gt;高値!X393,高値!Y393&gt;高値!W393,高値!Y393&gt;高値!Z393,高値!Y393&gt;高値!AA393),20,""))</f>
        <v/>
      </c>
      <c r="AV393" s="503" t="str">
        <f>IF(終値!A393="","",IF(AND(高値!Z393&gt;高値!Y393,高値!Z393&gt;高値!X393,高値!Z393&gt;高値!AA393,高値!Z393&gt;高値!AB393),21,""))</f>
        <v/>
      </c>
      <c r="AW393" s="503" t="str">
        <f>IF(終値!A393="","",IF(AND(高値!AA393&gt;高値!Z393,高値!AA393&gt;高値!Y393,高値!AA393&gt;高値!AB393,高値!AA393&gt;高値!AC393),22,""))</f>
        <v/>
      </c>
      <c r="AX393" s="503" t="str">
        <f>IF(終値!A393="","",IF(AND(高値!AB393&gt;高値!AA393,高値!AB393&gt;高値!Z393,高値!AB393&gt;高値!AC393,高値!AB393&gt;高値!AD393),23,""))</f>
        <v/>
      </c>
      <c r="AY393" s="503" t="str">
        <f>IF(終値!A393="","",IF(AND(高値!AC393&gt;高値!AB393,高値!AC393&gt;高値!AA393,高値!AC393&gt;高値!AD393,高値!AC393&gt;高値!AE393),24,""))</f>
        <v/>
      </c>
      <c r="AZ393" s="503" t="str">
        <f>IF(終値!A393="","",IF(AND(高値!AD393&gt;高値!AC393,高値!AD393&gt;高値!AB393,高値!AD393&gt;高値!AE393,高値!AD393&gt;高値!AF393),25,""))</f>
        <v/>
      </c>
      <c r="BA393" s="503" t="str">
        <f>IF(終値!A393="","",IF(AND(高値!AE393&gt;高値!AD393,高値!AE393&gt;高値!AC393,高値!AE393&gt;高値!AF393,高値!AE393&gt;高値!AG393),26,""))</f>
        <v/>
      </c>
      <c r="BB393" s="503" t="str">
        <f>IF(終値!A393="","",IF(AND(高値!AF393&gt;高値!AE393,高値!AF393&gt;高値!AD393,高値!AF393&gt;高値!AG393,高値!AF393&gt;高値!AH393),27,""))</f>
        <v/>
      </c>
      <c r="BC393" s="503" t="str">
        <f>IF(終値!A393="","",IF(AND(高値!AG393&gt;高値!AF393,高値!AG393&gt;高値!AE393,高値!AG393&gt;高値!AH393,高値!AG393&gt;高値!AI393),28,""))</f>
        <v/>
      </c>
      <c r="BD393" s="503">
        <f t="shared" si="36"/>
        <v>0</v>
      </c>
      <c r="BE393" s="503" t="str">
        <f t="shared" si="37"/>
        <v/>
      </c>
      <c r="BF393" s="503" t="str">
        <f t="shared" si="38"/>
        <v/>
      </c>
      <c r="BG393" s="503" t="str">
        <f>IF($BE393="","",INDEX(安値!$E393:$CZ393,1,$BE393+1))</f>
        <v/>
      </c>
      <c r="BH393" s="503" t="str">
        <f>IF($BF393="","",INDEX(安値!$E393:$CZ393,1,$BF393+1))</f>
        <v/>
      </c>
      <c r="BI393" s="503" t="str">
        <f>IF($BF393="","",MAX(INDEX(高値!$E393:$CZ393,1,$BE393+1):INDEX(高値!$E393:$CZ393,1,$BF393+1)))</f>
        <v/>
      </c>
      <c r="BJ393" s="503" t="str">
        <f>IF($BF393="","",AVERAGE(INDEX(終値!$E393:$CZ393,1,$BF393+1):INDEX(終値!$E393:$CZ393,1,$BF393+20))-2*STDEVP(INDEX(終値!$E393:$CZ393,1,$BF393+1):INDEX(終値!$E393:$CZ393,1,$BF393+20)))</f>
        <v/>
      </c>
      <c r="BK393" s="503" t="str">
        <f>IF($BE393="","",AVERAGE(INDEX(終値!$E393:$CZ393,1,$BE393+1):INDEX(終値!$E393:$CZ393,1,$BE393+20))-2*STDEVP(INDEX(終値!$E393:$CZ393,1,$BE393+1):INDEX(終値!$E393:$CZ393,1,$BE393+20)))</f>
        <v/>
      </c>
      <c r="BL393" s="503">
        <f t="shared" si="39"/>
        <v>0</v>
      </c>
      <c r="BM393" s="503" t="str">
        <f t="shared" si="40"/>
        <v/>
      </c>
      <c r="BN393" s="503" t="str">
        <f t="shared" si="41"/>
        <v/>
      </c>
      <c r="BO393" s="503" t="str">
        <f>IF($BM393="","",INDEX(高値!$E393:$CZ393,1,$BM393+1))</f>
        <v/>
      </c>
      <c r="BP393" s="503" t="str">
        <f>IF($BN393="","",INDEX(高値!$E393:$CZ393,1,$BN393+1))</f>
        <v/>
      </c>
      <c r="BQ393" s="503" t="str">
        <f>IF($BN393="","",MIN(INDEX(安値!$E393:$CZ393,1,$BM393+1):INDEX(安値!$E393:$CZ393,1,$BN393+1)))</f>
        <v/>
      </c>
      <c r="BR393" s="503" t="str">
        <f>IF($BN393="","",AVERAGE(INDEX(終値!$E393:$CZ393,1,$BN393+1):INDEX(終値!$E393:$CZ393,1,$BN393+20))+2*STDEVP(INDEX(終値!$E393:$CZ393,1,$BN393+1):INDEX(終値!$E393:$CZ393,1,$BN393+20)))</f>
        <v/>
      </c>
      <c r="BS393" s="503" t="str">
        <f>IF($BM393="","",AVERAGE(INDEX(終値!$E393:$CZ393,1,$BM393+1):INDEX(終値!$E393:$CZ393,1,$BM393+20))+2*STDEVP(INDEX(終値!$E393:$CZ393,1,$BM393+1):INDEX(終値!$E393:$CZ393,1,$BM393+20)))</f>
        <v/>
      </c>
      <c r="BT393" s="500"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3" t="str">
        <f>IF(終値!A394="","",IF(AND(安値!G394&lt;安値!F394,安値!G394&lt;安値!E394,安値!G394&lt;安値!H394,安値!G394&lt;安値!I394),2,""))</f>
        <v/>
      </c>
      <c r="C394" s="503" t="str">
        <f>IF(終値!A394="","",IF(AND(安値!H394&lt;安値!G394,安値!H394&lt;安値!F394,安値!H394&lt;安値!I394,安値!H394&lt;安値!J394),3,""))</f>
        <v/>
      </c>
      <c r="D394" s="503" t="str">
        <f>IF(終値!A394="","",IF(AND(安値!I394&lt;安値!H394,安値!I394&lt;安値!G394,安値!I394&lt;安値!J394,安値!I394&lt;安値!K394),4,""))</f>
        <v/>
      </c>
      <c r="E394" s="503" t="str">
        <f>IF(終値!A394="","",IF(AND(安値!J394&lt;安値!I394,安値!J394&lt;安値!H394,安値!J394&lt;安値!K394,安値!J394&lt;安値!L394),5,""))</f>
        <v/>
      </c>
      <c r="F394" s="503" t="str">
        <f>IF(終値!A394="","",IF(AND(安値!K394&lt;安値!J394,安値!K394&lt;安値!I394,安値!K394&lt;安値!L394,安値!K394&lt;安値!M394),6,""))</f>
        <v/>
      </c>
      <c r="G394" s="503" t="str">
        <f>IF(終値!A394="","",IF(AND(安値!L394&lt;安値!K394,安値!L394&lt;安値!J394,安値!L394&lt;安値!M394,安値!L394&lt;安値!N394),7,""))</f>
        <v/>
      </c>
      <c r="H394" s="503" t="str">
        <f>IF(終値!A394="","",IF(AND(安値!M394&lt;安値!L394,安値!M394&lt;安値!K394,安値!M394&lt;安値!N394,安値!M394&lt;安値!O394),8,""))</f>
        <v/>
      </c>
      <c r="I394" s="503" t="str">
        <f>IF(終値!A394="","",IF(AND(安値!N394&lt;安値!M394,安値!N394&lt;安値!L394,安値!N394&lt;安値!O394,安値!N394&lt;安値!P394),9,""))</f>
        <v/>
      </c>
      <c r="J394" s="503" t="str">
        <f>IF(終値!A394="","",IF(AND(安値!O394&lt;安値!N394,安値!O394&lt;安値!M394,安値!O394&lt;安値!P394,安値!O394&lt;安値!Q394),10,""))</f>
        <v/>
      </c>
      <c r="K394" s="503" t="str">
        <f>IF(終値!A394="","",IF(AND(安値!P394&lt;安値!O394,安値!P394&lt;安値!N394,安値!P394&lt;安値!Q394,安値!P394&lt;安値!R394),11,""))</f>
        <v/>
      </c>
      <c r="L394" s="503" t="str">
        <f>IF(終値!A394="","",IF(AND(安値!Q394&lt;安値!P394,安値!Q394&lt;安値!O394,安値!Q394&lt;安値!R394,安値!Q394&lt;安値!S394),12,""))</f>
        <v/>
      </c>
      <c r="M394" s="503" t="str">
        <f>IF(終値!A394="","",IF(AND(安値!R394&lt;安値!Q394,安値!R394&lt;安値!P394,安値!R394&lt;安値!S394,安値!R394&lt;安値!T394),13,""))</f>
        <v/>
      </c>
      <c r="N394" s="503" t="str">
        <f>IF(終値!A394="","",IF(AND(安値!S394&lt;安値!R394,安値!S394&lt;安値!Q394,安値!S394&lt;安値!T394,安値!S394&lt;安値!U394),14,""))</f>
        <v/>
      </c>
      <c r="O394" s="503" t="str">
        <f>IF(終値!A394="","",IF(AND(安値!T394&lt;安値!S394,安値!T394&lt;安値!R394,安値!T394&lt;安値!U394,安値!T394&lt;安値!V394),15,""))</f>
        <v/>
      </c>
      <c r="P394" s="503" t="str">
        <f>IF(終値!A394="","",IF(AND(安値!U394&lt;安値!T394,安値!U394&lt;安値!S394,安値!U394&lt;安値!V394,安値!U394&lt;安値!W394),16,""))</f>
        <v/>
      </c>
      <c r="Q394" s="503" t="str">
        <f>IF(終値!A394="","",IF(AND(安値!V394&lt;安値!U394,安値!V394&lt;安値!T394,安値!V394&lt;安値!W394,安値!V394&lt;安値!X394),17,""))</f>
        <v/>
      </c>
      <c r="R394" s="503" t="str">
        <f>IF(終値!A394="","",IF(AND(安値!W394&lt;安値!V394,安値!W394&lt;安値!U394,安値!W394&lt;安値!X394,安値!W394&lt;安値!Y394),18,""))</f>
        <v/>
      </c>
      <c r="S394" s="503" t="str">
        <f>IF(終値!A394="","",IF(AND(安値!X394&lt;安値!W394,安値!X394&lt;安値!V394,安値!X394&lt;安値!Y394,安値!X394&lt;安値!Z394),19,""))</f>
        <v/>
      </c>
      <c r="T394" s="503" t="str">
        <f>IF(終値!A394="","",IF(AND(安値!Y394&lt;安値!X394,安値!Y394&lt;安値!W394,安値!Y394&lt;安値!Z394,安値!Y394&lt;安値!AA394),20,""))</f>
        <v/>
      </c>
      <c r="U394" s="503" t="str">
        <f>IF(終値!A394="","",IF(AND(安値!Z394&lt;安値!Y394,安値!Z394&lt;安値!X394,安値!Z394&lt;安値!AA394,安値!Z394&lt;安値!AB394),21,""))</f>
        <v/>
      </c>
      <c r="V394" s="503" t="str">
        <f>IF(終値!A394="","",IF(AND(安値!AA394&lt;安値!Z394,安値!AA394&lt;安値!Y394,安値!AA394&lt;安値!AB394,安値!AA394&lt;安値!AC394),22,""))</f>
        <v/>
      </c>
      <c r="W394" s="503" t="str">
        <f>IF(終値!A394="","",IF(AND(安値!AB394&lt;安値!AA394,安値!AB394&lt;安値!Z394,安値!AB394&lt;安値!AC394,安値!AB394&lt;安値!AD394),23,""))</f>
        <v/>
      </c>
      <c r="X394" s="503" t="str">
        <f>IF(終値!A394="","",IF(AND(安値!AC394&lt;安値!AB394,安値!AC394&lt;安値!AA394,安値!AC394&lt;安値!AD394,安値!AC394&lt;安値!AE394),24,""))</f>
        <v/>
      </c>
      <c r="Y394" s="503" t="str">
        <f>IF(終値!A394="","",IF(AND(安値!AD394&lt;安値!AC394,安値!AD394&lt;安値!AB394,安値!AD394&lt;安値!AE394,安値!AD394&lt;安値!AF394),25,""))</f>
        <v/>
      </c>
      <c r="Z394" s="503" t="str">
        <f>IF(終値!A394="","",IF(AND(安値!AE394&lt;安値!AD394,安値!AE394&lt;安値!AC394,安値!AE394&lt;安値!AF394,安値!AE394&lt;安値!AG394),26,""))</f>
        <v/>
      </c>
      <c r="AA394" s="503" t="str">
        <f>IF(終値!A394="","",IF(AND(安値!AF394&lt;安値!AE394,安値!AF394&lt;安値!AD394,安値!AF394&lt;安値!AG394,安値!AF394&lt;安値!AH394),27,""))</f>
        <v/>
      </c>
      <c r="AB394" s="503" t="str">
        <f>IF(終値!A394="","",IF(AND(安値!AG394&lt;安値!AF394,安値!AG394&lt;安値!AE394,安値!AG394&lt;安値!AH394,安値!AG394&lt;安値!AI394),28,""))</f>
        <v/>
      </c>
      <c r="AC394" s="503" t="str">
        <f>IF(終値!A394="","",IF(AND(高値!G394&gt;高値!F394,高値!G394&gt;高値!E394,高値!G394&gt;高値!H394,高値!G394&gt;高値!I394),2,""))</f>
        <v/>
      </c>
      <c r="AD394" s="503" t="str">
        <f>IF(終値!A394="","",IF(AND(高値!H394&gt;高値!G394,高値!H394&gt;高値!F394,高値!H394&gt;高値!I394,高値!H394&gt;高値!J394),3,""))</f>
        <v/>
      </c>
      <c r="AE394" s="503" t="str">
        <f>IF(終値!A394="","",IF(AND(高値!I394&gt;高値!H394,高値!I394&gt;高値!G394,高値!I394&gt;高値!J394,高値!I394&gt;高値!K394),4,""))</f>
        <v/>
      </c>
      <c r="AF394" s="503" t="str">
        <f>IF(終値!A394="","",IF(AND(高値!J394&gt;高値!I394,高値!J394&gt;高値!H394,高値!J394&gt;高値!K394,高値!J394&gt;高値!L394),5,""))</f>
        <v/>
      </c>
      <c r="AG394" s="503" t="str">
        <f>IF(終値!A394="","",IF(AND(高値!K394&gt;高値!J394,高値!K394&gt;高値!I394,高値!K394&gt;高値!L394,高値!K394&gt;高値!M394),6,""))</f>
        <v/>
      </c>
      <c r="AH394" s="503" t="str">
        <f>IF(終値!A394="","",IF(AND(高値!L394&gt;高値!K394,高値!L394&gt;高値!J394,高値!L394&gt;高値!M394,高値!L394&gt;高値!N394),7,""))</f>
        <v/>
      </c>
      <c r="AI394" s="503" t="str">
        <f>IF(終値!A394="","",IF(AND(高値!M394&gt;高値!L394,高値!M394&gt;高値!K394,高値!M394&gt;高値!N394,高値!M394&gt;高値!O394),8,""))</f>
        <v/>
      </c>
      <c r="AJ394" s="503" t="str">
        <f>IF(終値!A394="","",IF(AND(高値!N394&gt;高値!M394,高値!N394&gt;高値!L394,高値!N394&gt;高値!O394,高値!N394&gt;高値!P394),9,""))</f>
        <v/>
      </c>
      <c r="AK394" s="503" t="str">
        <f>IF(終値!A394="","",IF(AND(高値!O394&gt;高値!N394,高値!O394&gt;高値!M394,高値!O394&gt;高値!P394,高値!O394&gt;高値!Q394),10,""))</f>
        <v/>
      </c>
      <c r="AL394" s="503" t="str">
        <f>IF(終値!A394="","",IF(AND(高値!P394&gt;高値!O394,高値!P394&gt;高値!N394,高値!P394&gt;高値!Q394,高値!P394&gt;高値!R394),11,""))</f>
        <v/>
      </c>
      <c r="AM394" s="503" t="str">
        <f>IF(終値!A394="","",IF(AND(高値!Q394&gt;高値!P394,高値!Q394&gt;高値!O394,高値!Q394&gt;高値!R394,高値!Q394&gt;高値!S394),12,""))</f>
        <v/>
      </c>
      <c r="AN394" s="503" t="str">
        <f>IF(終値!A394="","",IF(AND(高値!R394&gt;高値!Q394,高値!R394&gt;高値!P394,高値!R394&gt;高値!S394,高値!R394&gt;高値!T394),13,""))</f>
        <v/>
      </c>
      <c r="AO394" s="503" t="str">
        <f>IF(終値!A394="","",IF(AND(高値!S394&gt;高値!R394,高値!S394&gt;高値!Q394,高値!S394&gt;高値!T394,高値!S394&gt;高値!U394),14,""))</f>
        <v/>
      </c>
      <c r="AP394" s="503" t="str">
        <f>IF(終値!A394="","",IF(AND(高値!T394&gt;高値!S394,高値!T394&gt;高値!R394,高値!T394&gt;高値!U394,高値!T394&gt;高値!V394),15,""))</f>
        <v/>
      </c>
      <c r="AQ394" s="503" t="str">
        <f>IF(終値!A394="","",IF(AND(高値!U394&gt;高値!T394,高値!U394&gt;高値!S394,高値!U394&gt;高値!V394,高値!U394&gt;高値!W394),16,""))</f>
        <v/>
      </c>
      <c r="AR394" s="503" t="str">
        <f>IF(終値!A394="","",IF(AND(高値!V394&gt;高値!U394,高値!V394&gt;高値!T394,高値!V394&gt;高値!W394,高値!V394&gt;高値!X394),17,""))</f>
        <v/>
      </c>
      <c r="AS394" s="503" t="str">
        <f>IF(終値!A394="","",IF(AND(高値!W394&gt;高値!V394,高値!W394&gt;高値!U394,高値!W394&gt;高値!X394,高値!W394&gt;高値!Y394),18,""))</f>
        <v/>
      </c>
      <c r="AT394" s="503" t="str">
        <f>IF(終値!A394="","",IF(AND(高値!X394&gt;高値!W394,高値!X394&gt;高値!V394,高値!X394&gt;高値!Y394,高値!X394&gt;高値!Z394),19,""))</f>
        <v/>
      </c>
      <c r="AU394" s="503" t="str">
        <f>IF(終値!A394="","",IF(AND(高値!Y394&gt;高値!X394,高値!Y394&gt;高値!W394,高値!Y394&gt;高値!Z394,高値!Y394&gt;高値!AA394),20,""))</f>
        <v/>
      </c>
      <c r="AV394" s="503" t="str">
        <f>IF(終値!A394="","",IF(AND(高値!Z394&gt;高値!Y394,高値!Z394&gt;高値!X394,高値!Z394&gt;高値!AA394,高値!Z394&gt;高値!AB394),21,""))</f>
        <v/>
      </c>
      <c r="AW394" s="503" t="str">
        <f>IF(終値!A394="","",IF(AND(高値!AA394&gt;高値!Z394,高値!AA394&gt;高値!Y394,高値!AA394&gt;高値!AB394,高値!AA394&gt;高値!AC394),22,""))</f>
        <v/>
      </c>
      <c r="AX394" s="503" t="str">
        <f>IF(終値!A394="","",IF(AND(高値!AB394&gt;高値!AA394,高値!AB394&gt;高値!Z394,高値!AB394&gt;高値!AC394,高値!AB394&gt;高値!AD394),23,""))</f>
        <v/>
      </c>
      <c r="AY394" s="503" t="str">
        <f>IF(終値!A394="","",IF(AND(高値!AC394&gt;高値!AB394,高値!AC394&gt;高値!AA394,高値!AC394&gt;高値!AD394,高値!AC394&gt;高値!AE394),24,""))</f>
        <v/>
      </c>
      <c r="AZ394" s="503" t="str">
        <f>IF(終値!A394="","",IF(AND(高値!AD394&gt;高値!AC394,高値!AD394&gt;高値!AB394,高値!AD394&gt;高値!AE394,高値!AD394&gt;高値!AF394),25,""))</f>
        <v/>
      </c>
      <c r="BA394" s="503" t="str">
        <f>IF(終値!A394="","",IF(AND(高値!AE394&gt;高値!AD394,高値!AE394&gt;高値!AC394,高値!AE394&gt;高値!AF394,高値!AE394&gt;高値!AG394),26,""))</f>
        <v/>
      </c>
      <c r="BB394" s="503" t="str">
        <f>IF(終値!A394="","",IF(AND(高値!AF394&gt;高値!AE394,高値!AF394&gt;高値!AD394,高値!AF394&gt;高値!AG394,高値!AF394&gt;高値!AH394),27,""))</f>
        <v/>
      </c>
      <c r="BC394" s="503" t="str">
        <f>IF(終値!A394="","",IF(AND(高値!AG394&gt;高値!AF394,高値!AG394&gt;高値!AE394,高値!AG394&gt;高値!AH394,高値!AG394&gt;高値!AI394),28,""))</f>
        <v/>
      </c>
      <c r="BD394" s="503">
        <f t="shared" si="36"/>
        <v>0</v>
      </c>
      <c r="BE394" s="503" t="str">
        <f t="shared" si="37"/>
        <v/>
      </c>
      <c r="BF394" s="503" t="str">
        <f t="shared" si="38"/>
        <v/>
      </c>
      <c r="BG394" s="503" t="str">
        <f>IF($BE394="","",INDEX(安値!$E394:$CZ394,1,$BE394+1))</f>
        <v/>
      </c>
      <c r="BH394" s="503" t="str">
        <f>IF($BF394="","",INDEX(安値!$E394:$CZ394,1,$BF394+1))</f>
        <v/>
      </c>
      <c r="BI394" s="503" t="str">
        <f>IF($BF394="","",MAX(INDEX(高値!$E394:$CZ394,1,$BE394+1):INDEX(高値!$E394:$CZ394,1,$BF394+1)))</f>
        <v/>
      </c>
      <c r="BJ394" s="503" t="str">
        <f>IF($BF394="","",AVERAGE(INDEX(終値!$E394:$CZ394,1,$BF394+1):INDEX(終値!$E394:$CZ394,1,$BF394+20))-2*STDEVP(INDEX(終値!$E394:$CZ394,1,$BF394+1):INDEX(終値!$E394:$CZ394,1,$BF394+20)))</f>
        <v/>
      </c>
      <c r="BK394" s="503" t="str">
        <f>IF($BE394="","",AVERAGE(INDEX(終値!$E394:$CZ394,1,$BE394+1):INDEX(終値!$E394:$CZ394,1,$BE394+20))-2*STDEVP(INDEX(終値!$E394:$CZ394,1,$BE394+1):INDEX(終値!$E394:$CZ394,1,$BE394+20)))</f>
        <v/>
      </c>
      <c r="BL394" s="503">
        <f t="shared" si="39"/>
        <v>0</v>
      </c>
      <c r="BM394" s="503" t="str">
        <f t="shared" si="40"/>
        <v/>
      </c>
      <c r="BN394" s="503" t="str">
        <f t="shared" si="41"/>
        <v/>
      </c>
      <c r="BO394" s="503" t="str">
        <f>IF($BM394="","",INDEX(高値!$E394:$CZ394,1,$BM394+1))</f>
        <v/>
      </c>
      <c r="BP394" s="503" t="str">
        <f>IF($BN394="","",INDEX(高値!$E394:$CZ394,1,$BN394+1))</f>
        <v/>
      </c>
      <c r="BQ394" s="503" t="str">
        <f>IF($BN394="","",MIN(INDEX(安値!$E394:$CZ394,1,$BM394+1):INDEX(安値!$E394:$CZ394,1,$BN394+1)))</f>
        <v/>
      </c>
      <c r="BR394" s="503" t="str">
        <f>IF($BN394="","",AVERAGE(INDEX(終値!$E394:$CZ394,1,$BN394+1):INDEX(終値!$E394:$CZ394,1,$BN394+20))+2*STDEVP(INDEX(終値!$E394:$CZ394,1,$BN394+1):INDEX(終値!$E394:$CZ394,1,$BN394+20)))</f>
        <v/>
      </c>
      <c r="BS394" s="503" t="str">
        <f>IF($BM394="","",AVERAGE(INDEX(終値!$E394:$CZ394,1,$BM394+1):INDEX(終値!$E394:$CZ394,1,$BM394+20))+2*STDEVP(INDEX(終値!$E394:$CZ394,1,$BM394+1):INDEX(終値!$E394:$CZ394,1,$BM394+20)))</f>
        <v/>
      </c>
      <c r="BT394" s="500"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3" t="str">
        <f>IF(終値!A395="","",IF(AND(安値!G395&lt;安値!F395,安値!G395&lt;安値!E395,安値!G395&lt;安値!H395,安値!G395&lt;安値!I395),2,""))</f>
        <v/>
      </c>
      <c r="C395" s="503" t="str">
        <f>IF(終値!A395="","",IF(AND(安値!H395&lt;安値!G395,安値!H395&lt;安値!F395,安値!H395&lt;安値!I395,安値!H395&lt;安値!J395),3,""))</f>
        <v/>
      </c>
      <c r="D395" s="503" t="str">
        <f>IF(終値!A395="","",IF(AND(安値!I395&lt;安値!H395,安値!I395&lt;安値!G395,安値!I395&lt;安値!J395,安値!I395&lt;安値!K395),4,""))</f>
        <v/>
      </c>
      <c r="E395" s="503" t="str">
        <f>IF(終値!A395="","",IF(AND(安値!J395&lt;安値!I395,安値!J395&lt;安値!H395,安値!J395&lt;安値!K395,安値!J395&lt;安値!L395),5,""))</f>
        <v/>
      </c>
      <c r="F395" s="503" t="str">
        <f>IF(終値!A395="","",IF(AND(安値!K395&lt;安値!J395,安値!K395&lt;安値!I395,安値!K395&lt;安値!L395,安値!K395&lt;安値!M395),6,""))</f>
        <v/>
      </c>
      <c r="G395" s="503" t="str">
        <f>IF(終値!A395="","",IF(AND(安値!L395&lt;安値!K395,安値!L395&lt;安値!J395,安値!L395&lt;安値!M395,安値!L395&lt;安値!N395),7,""))</f>
        <v/>
      </c>
      <c r="H395" s="503" t="str">
        <f>IF(終値!A395="","",IF(AND(安値!M395&lt;安値!L395,安値!M395&lt;安値!K395,安値!M395&lt;安値!N395,安値!M395&lt;安値!O395),8,""))</f>
        <v/>
      </c>
      <c r="I395" s="503" t="str">
        <f>IF(終値!A395="","",IF(AND(安値!N395&lt;安値!M395,安値!N395&lt;安値!L395,安値!N395&lt;安値!O395,安値!N395&lt;安値!P395),9,""))</f>
        <v/>
      </c>
      <c r="J395" s="503" t="str">
        <f>IF(終値!A395="","",IF(AND(安値!O395&lt;安値!N395,安値!O395&lt;安値!M395,安値!O395&lt;安値!P395,安値!O395&lt;安値!Q395),10,""))</f>
        <v/>
      </c>
      <c r="K395" s="503" t="str">
        <f>IF(終値!A395="","",IF(AND(安値!P395&lt;安値!O395,安値!P395&lt;安値!N395,安値!P395&lt;安値!Q395,安値!P395&lt;安値!R395),11,""))</f>
        <v/>
      </c>
      <c r="L395" s="503" t="str">
        <f>IF(終値!A395="","",IF(AND(安値!Q395&lt;安値!P395,安値!Q395&lt;安値!O395,安値!Q395&lt;安値!R395,安値!Q395&lt;安値!S395),12,""))</f>
        <v/>
      </c>
      <c r="M395" s="503" t="str">
        <f>IF(終値!A395="","",IF(AND(安値!R395&lt;安値!Q395,安値!R395&lt;安値!P395,安値!R395&lt;安値!S395,安値!R395&lt;安値!T395),13,""))</f>
        <v/>
      </c>
      <c r="N395" s="503" t="str">
        <f>IF(終値!A395="","",IF(AND(安値!S395&lt;安値!R395,安値!S395&lt;安値!Q395,安値!S395&lt;安値!T395,安値!S395&lt;安値!U395),14,""))</f>
        <v/>
      </c>
      <c r="O395" s="503" t="str">
        <f>IF(終値!A395="","",IF(AND(安値!T395&lt;安値!S395,安値!T395&lt;安値!R395,安値!T395&lt;安値!U395,安値!T395&lt;安値!V395),15,""))</f>
        <v/>
      </c>
      <c r="P395" s="503" t="str">
        <f>IF(終値!A395="","",IF(AND(安値!U395&lt;安値!T395,安値!U395&lt;安値!S395,安値!U395&lt;安値!V395,安値!U395&lt;安値!W395),16,""))</f>
        <v/>
      </c>
      <c r="Q395" s="503" t="str">
        <f>IF(終値!A395="","",IF(AND(安値!V395&lt;安値!U395,安値!V395&lt;安値!T395,安値!V395&lt;安値!W395,安値!V395&lt;安値!X395),17,""))</f>
        <v/>
      </c>
      <c r="R395" s="503" t="str">
        <f>IF(終値!A395="","",IF(AND(安値!W395&lt;安値!V395,安値!W395&lt;安値!U395,安値!W395&lt;安値!X395,安値!W395&lt;安値!Y395),18,""))</f>
        <v/>
      </c>
      <c r="S395" s="503" t="str">
        <f>IF(終値!A395="","",IF(AND(安値!X395&lt;安値!W395,安値!X395&lt;安値!V395,安値!X395&lt;安値!Y395,安値!X395&lt;安値!Z395),19,""))</f>
        <v/>
      </c>
      <c r="T395" s="503" t="str">
        <f>IF(終値!A395="","",IF(AND(安値!Y395&lt;安値!X395,安値!Y395&lt;安値!W395,安値!Y395&lt;安値!Z395,安値!Y395&lt;安値!AA395),20,""))</f>
        <v/>
      </c>
      <c r="U395" s="503" t="str">
        <f>IF(終値!A395="","",IF(AND(安値!Z395&lt;安値!Y395,安値!Z395&lt;安値!X395,安値!Z395&lt;安値!AA395,安値!Z395&lt;安値!AB395),21,""))</f>
        <v/>
      </c>
      <c r="V395" s="503" t="str">
        <f>IF(終値!A395="","",IF(AND(安値!AA395&lt;安値!Z395,安値!AA395&lt;安値!Y395,安値!AA395&lt;安値!AB395,安値!AA395&lt;安値!AC395),22,""))</f>
        <v/>
      </c>
      <c r="W395" s="503" t="str">
        <f>IF(終値!A395="","",IF(AND(安値!AB395&lt;安値!AA395,安値!AB395&lt;安値!Z395,安値!AB395&lt;安値!AC395,安値!AB395&lt;安値!AD395),23,""))</f>
        <v/>
      </c>
      <c r="X395" s="503" t="str">
        <f>IF(終値!A395="","",IF(AND(安値!AC395&lt;安値!AB395,安値!AC395&lt;安値!AA395,安値!AC395&lt;安値!AD395,安値!AC395&lt;安値!AE395),24,""))</f>
        <v/>
      </c>
      <c r="Y395" s="503" t="str">
        <f>IF(終値!A395="","",IF(AND(安値!AD395&lt;安値!AC395,安値!AD395&lt;安値!AB395,安値!AD395&lt;安値!AE395,安値!AD395&lt;安値!AF395),25,""))</f>
        <v/>
      </c>
      <c r="Z395" s="503" t="str">
        <f>IF(終値!A395="","",IF(AND(安値!AE395&lt;安値!AD395,安値!AE395&lt;安値!AC395,安値!AE395&lt;安値!AF395,安値!AE395&lt;安値!AG395),26,""))</f>
        <v/>
      </c>
      <c r="AA395" s="503" t="str">
        <f>IF(終値!A395="","",IF(AND(安値!AF395&lt;安値!AE395,安値!AF395&lt;安値!AD395,安値!AF395&lt;安値!AG395,安値!AF395&lt;安値!AH395),27,""))</f>
        <v/>
      </c>
      <c r="AB395" s="503" t="str">
        <f>IF(終値!A395="","",IF(AND(安値!AG395&lt;安値!AF395,安値!AG395&lt;安値!AE395,安値!AG395&lt;安値!AH395,安値!AG395&lt;安値!AI395),28,""))</f>
        <v/>
      </c>
      <c r="AC395" s="503" t="str">
        <f>IF(終値!A395="","",IF(AND(高値!G395&gt;高値!F395,高値!G395&gt;高値!E395,高値!G395&gt;高値!H395,高値!G395&gt;高値!I395),2,""))</f>
        <v/>
      </c>
      <c r="AD395" s="503" t="str">
        <f>IF(終値!A395="","",IF(AND(高値!H395&gt;高値!G395,高値!H395&gt;高値!F395,高値!H395&gt;高値!I395,高値!H395&gt;高値!J395),3,""))</f>
        <v/>
      </c>
      <c r="AE395" s="503" t="str">
        <f>IF(終値!A395="","",IF(AND(高値!I395&gt;高値!H395,高値!I395&gt;高値!G395,高値!I395&gt;高値!J395,高値!I395&gt;高値!K395),4,""))</f>
        <v/>
      </c>
      <c r="AF395" s="503" t="str">
        <f>IF(終値!A395="","",IF(AND(高値!J395&gt;高値!I395,高値!J395&gt;高値!H395,高値!J395&gt;高値!K395,高値!J395&gt;高値!L395),5,""))</f>
        <v/>
      </c>
      <c r="AG395" s="503" t="str">
        <f>IF(終値!A395="","",IF(AND(高値!K395&gt;高値!J395,高値!K395&gt;高値!I395,高値!K395&gt;高値!L395,高値!K395&gt;高値!M395),6,""))</f>
        <v/>
      </c>
      <c r="AH395" s="503" t="str">
        <f>IF(終値!A395="","",IF(AND(高値!L395&gt;高値!K395,高値!L395&gt;高値!J395,高値!L395&gt;高値!M395,高値!L395&gt;高値!N395),7,""))</f>
        <v/>
      </c>
      <c r="AI395" s="503" t="str">
        <f>IF(終値!A395="","",IF(AND(高値!M395&gt;高値!L395,高値!M395&gt;高値!K395,高値!M395&gt;高値!N395,高値!M395&gt;高値!O395),8,""))</f>
        <v/>
      </c>
      <c r="AJ395" s="503" t="str">
        <f>IF(終値!A395="","",IF(AND(高値!N395&gt;高値!M395,高値!N395&gt;高値!L395,高値!N395&gt;高値!O395,高値!N395&gt;高値!P395),9,""))</f>
        <v/>
      </c>
      <c r="AK395" s="503" t="str">
        <f>IF(終値!A395="","",IF(AND(高値!O395&gt;高値!N395,高値!O395&gt;高値!M395,高値!O395&gt;高値!P395,高値!O395&gt;高値!Q395),10,""))</f>
        <v/>
      </c>
      <c r="AL395" s="503" t="str">
        <f>IF(終値!A395="","",IF(AND(高値!P395&gt;高値!O395,高値!P395&gt;高値!N395,高値!P395&gt;高値!Q395,高値!P395&gt;高値!R395),11,""))</f>
        <v/>
      </c>
      <c r="AM395" s="503" t="str">
        <f>IF(終値!A395="","",IF(AND(高値!Q395&gt;高値!P395,高値!Q395&gt;高値!O395,高値!Q395&gt;高値!R395,高値!Q395&gt;高値!S395),12,""))</f>
        <v/>
      </c>
      <c r="AN395" s="503" t="str">
        <f>IF(終値!A395="","",IF(AND(高値!R395&gt;高値!Q395,高値!R395&gt;高値!P395,高値!R395&gt;高値!S395,高値!R395&gt;高値!T395),13,""))</f>
        <v/>
      </c>
      <c r="AO395" s="503" t="str">
        <f>IF(終値!A395="","",IF(AND(高値!S395&gt;高値!R395,高値!S395&gt;高値!Q395,高値!S395&gt;高値!T395,高値!S395&gt;高値!U395),14,""))</f>
        <v/>
      </c>
      <c r="AP395" s="503" t="str">
        <f>IF(終値!A395="","",IF(AND(高値!T395&gt;高値!S395,高値!T395&gt;高値!R395,高値!T395&gt;高値!U395,高値!T395&gt;高値!V395),15,""))</f>
        <v/>
      </c>
      <c r="AQ395" s="503" t="str">
        <f>IF(終値!A395="","",IF(AND(高値!U395&gt;高値!T395,高値!U395&gt;高値!S395,高値!U395&gt;高値!V395,高値!U395&gt;高値!W395),16,""))</f>
        <v/>
      </c>
      <c r="AR395" s="503" t="str">
        <f>IF(終値!A395="","",IF(AND(高値!V395&gt;高値!U395,高値!V395&gt;高値!T395,高値!V395&gt;高値!W395,高値!V395&gt;高値!X395),17,""))</f>
        <v/>
      </c>
      <c r="AS395" s="503" t="str">
        <f>IF(終値!A395="","",IF(AND(高値!W395&gt;高値!V395,高値!W395&gt;高値!U395,高値!W395&gt;高値!X395,高値!W395&gt;高値!Y395),18,""))</f>
        <v/>
      </c>
      <c r="AT395" s="503" t="str">
        <f>IF(終値!A395="","",IF(AND(高値!X395&gt;高値!W395,高値!X395&gt;高値!V395,高値!X395&gt;高値!Y395,高値!X395&gt;高値!Z395),19,""))</f>
        <v/>
      </c>
      <c r="AU395" s="503" t="str">
        <f>IF(終値!A395="","",IF(AND(高値!Y395&gt;高値!X395,高値!Y395&gt;高値!W395,高値!Y395&gt;高値!Z395,高値!Y395&gt;高値!AA395),20,""))</f>
        <v/>
      </c>
      <c r="AV395" s="503" t="str">
        <f>IF(終値!A395="","",IF(AND(高値!Z395&gt;高値!Y395,高値!Z395&gt;高値!X395,高値!Z395&gt;高値!AA395,高値!Z395&gt;高値!AB395),21,""))</f>
        <v/>
      </c>
      <c r="AW395" s="503" t="str">
        <f>IF(終値!A395="","",IF(AND(高値!AA395&gt;高値!Z395,高値!AA395&gt;高値!Y395,高値!AA395&gt;高値!AB395,高値!AA395&gt;高値!AC395),22,""))</f>
        <v/>
      </c>
      <c r="AX395" s="503" t="str">
        <f>IF(終値!A395="","",IF(AND(高値!AB395&gt;高値!AA395,高値!AB395&gt;高値!Z395,高値!AB395&gt;高値!AC395,高値!AB395&gt;高値!AD395),23,""))</f>
        <v/>
      </c>
      <c r="AY395" s="503" t="str">
        <f>IF(終値!A395="","",IF(AND(高値!AC395&gt;高値!AB395,高値!AC395&gt;高値!AA395,高値!AC395&gt;高値!AD395,高値!AC395&gt;高値!AE395),24,""))</f>
        <v/>
      </c>
      <c r="AZ395" s="503" t="str">
        <f>IF(終値!A395="","",IF(AND(高値!AD395&gt;高値!AC395,高値!AD395&gt;高値!AB395,高値!AD395&gt;高値!AE395,高値!AD395&gt;高値!AF395),25,""))</f>
        <v/>
      </c>
      <c r="BA395" s="503" t="str">
        <f>IF(終値!A395="","",IF(AND(高値!AE395&gt;高値!AD395,高値!AE395&gt;高値!AC395,高値!AE395&gt;高値!AF395,高値!AE395&gt;高値!AG395),26,""))</f>
        <v/>
      </c>
      <c r="BB395" s="503" t="str">
        <f>IF(終値!A395="","",IF(AND(高値!AF395&gt;高値!AE395,高値!AF395&gt;高値!AD395,高値!AF395&gt;高値!AG395,高値!AF395&gt;高値!AH395),27,""))</f>
        <v/>
      </c>
      <c r="BC395" s="503" t="str">
        <f>IF(終値!A395="","",IF(AND(高値!AG395&gt;高値!AF395,高値!AG395&gt;高値!AE395,高値!AG395&gt;高値!AH395,高値!AG395&gt;高値!AI395),28,""))</f>
        <v/>
      </c>
      <c r="BD395" s="503">
        <f t="shared" si="36"/>
        <v>0</v>
      </c>
      <c r="BE395" s="503" t="str">
        <f t="shared" si="37"/>
        <v/>
      </c>
      <c r="BF395" s="503" t="str">
        <f t="shared" si="38"/>
        <v/>
      </c>
      <c r="BG395" s="503" t="str">
        <f>IF($BE395="","",INDEX(安値!$E395:$CZ395,1,$BE395+1))</f>
        <v/>
      </c>
      <c r="BH395" s="503" t="str">
        <f>IF($BF395="","",INDEX(安値!$E395:$CZ395,1,$BF395+1))</f>
        <v/>
      </c>
      <c r="BI395" s="503" t="str">
        <f>IF($BF395="","",MAX(INDEX(高値!$E395:$CZ395,1,$BE395+1):INDEX(高値!$E395:$CZ395,1,$BF395+1)))</f>
        <v/>
      </c>
      <c r="BJ395" s="503" t="str">
        <f>IF($BF395="","",AVERAGE(INDEX(終値!$E395:$CZ395,1,$BF395+1):INDEX(終値!$E395:$CZ395,1,$BF395+20))-2*STDEVP(INDEX(終値!$E395:$CZ395,1,$BF395+1):INDEX(終値!$E395:$CZ395,1,$BF395+20)))</f>
        <v/>
      </c>
      <c r="BK395" s="503" t="str">
        <f>IF($BE395="","",AVERAGE(INDEX(終値!$E395:$CZ395,1,$BE395+1):INDEX(終値!$E395:$CZ395,1,$BE395+20))-2*STDEVP(INDEX(終値!$E395:$CZ395,1,$BE395+1):INDEX(終値!$E395:$CZ395,1,$BE395+20)))</f>
        <v/>
      </c>
      <c r="BL395" s="503">
        <f t="shared" si="39"/>
        <v>0</v>
      </c>
      <c r="BM395" s="503" t="str">
        <f t="shared" si="40"/>
        <v/>
      </c>
      <c r="BN395" s="503" t="str">
        <f t="shared" si="41"/>
        <v/>
      </c>
      <c r="BO395" s="503" t="str">
        <f>IF($BM395="","",INDEX(高値!$E395:$CZ395,1,$BM395+1))</f>
        <v/>
      </c>
      <c r="BP395" s="503" t="str">
        <f>IF($BN395="","",INDEX(高値!$E395:$CZ395,1,$BN395+1))</f>
        <v/>
      </c>
      <c r="BQ395" s="503" t="str">
        <f>IF($BN395="","",MIN(INDEX(安値!$E395:$CZ395,1,$BM395+1):INDEX(安値!$E395:$CZ395,1,$BN395+1)))</f>
        <v/>
      </c>
      <c r="BR395" s="503" t="str">
        <f>IF($BN395="","",AVERAGE(INDEX(終値!$E395:$CZ395,1,$BN395+1):INDEX(終値!$E395:$CZ395,1,$BN395+20))+2*STDEVP(INDEX(終値!$E395:$CZ395,1,$BN395+1):INDEX(終値!$E395:$CZ395,1,$BN395+20)))</f>
        <v/>
      </c>
      <c r="BS395" s="503" t="str">
        <f>IF($BM395="","",AVERAGE(INDEX(終値!$E395:$CZ395,1,$BM395+1):INDEX(終値!$E395:$CZ395,1,$BM395+20))+2*STDEVP(INDEX(終値!$E395:$CZ395,1,$BM395+1):INDEX(終値!$E395:$CZ395,1,$BM395+20)))</f>
        <v/>
      </c>
      <c r="BT395" s="500"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3" t="str">
        <f>IF(終値!A396="","",IF(AND(安値!G396&lt;安値!F396,安値!G396&lt;安値!E396,安値!G396&lt;安値!H396,安値!G396&lt;安値!I396),2,""))</f>
        <v/>
      </c>
      <c r="C396" s="503" t="str">
        <f>IF(終値!A396="","",IF(AND(安値!H396&lt;安値!G396,安値!H396&lt;安値!F396,安値!H396&lt;安値!I396,安値!H396&lt;安値!J396),3,""))</f>
        <v/>
      </c>
      <c r="D396" s="503" t="str">
        <f>IF(終値!A396="","",IF(AND(安値!I396&lt;安値!H396,安値!I396&lt;安値!G396,安値!I396&lt;安値!J396,安値!I396&lt;安値!K396),4,""))</f>
        <v/>
      </c>
      <c r="E396" s="503" t="str">
        <f>IF(終値!A396="","",IF(AND(安値!J396&lt;安値!I396,安値!J396&lt;安値!H396,安値!J396&lt;安値!K396,安値!J396&lt;安値!L396),5,""))</f>
        <v/>
      </c>
      <c r="F396" s="503" t="str">
        <f>IF(終値!A396="","",IF(AND(安値!K396&lt;安値!J396,安値!K396&lt;安値!I396,安値!K396&lt;安値!L396,安値!K396&lt;安値!M396),6,""))</f>
        <v/>
      </c>
      <c r="G396" s="503" t="str">
        <f>IF(終値!A396="","",IF(AND(安値!L396&lt;安値!K396,安値!L396&lt;安値!J396,安値!L396&lt;安値!M396,安値!L396&lt;安値!N396),7,""))</f>
        <v/>
      </c>
      <c r="H396" s="503" t="str">
        <f>IF(終値!A396="","",IF(AND(安値!M396&lt;安値!L396,安値!M396&lt;安値!K396,安値!M396&lt;安値!N396,安値!M396&lt;安値!O396),8,""))</f>
        <v/>
      </c>
      <c r="I396" s="503" t="str">
        <f>IF(終値!A396="","",IF(AND(安値!N396&lt;安値!M396,安値!N396&lt;安値!L396,安値!N396&lt;安値!O396,安値!N396&lt;安値!P396),9,""))</f>
        <v/>
      </c>
      <c r="J396" s="503" t="str">
        <f>IF(終値!A396="","",IF(AND(安値!O396&lt;安値!N396,安値!O396&lt;安値!M396,安値!O396&lt;安値!P396,安値!O396&lt;安値!Q396),10,""))</f>
        <v/>
      </c>
      <c r="K396" s="503" t="str">
        <f>IF(終値!A396="","",IF(AND(安値!P396&lt;安値!O396,安値!P396&lt;安値!N396,安値!P396&lt;安値!Q396,安値!P396&lt;安値!R396),11,""))</f>
        <v/>
      </c>
      <c r="L396" s="503" t="str">
        <f>IF(終値!A396="","",IF(AND(安値!Q396&lt;安値!P396,安値!Q396&lt;安値!O396,安値!Q396&lt;安値!R396,安値!Q396&lt;安値!S396),12,""))</f>
        <v/>
      </c>
      <c r="M396" s="503" t="str">
        <f>IF(終値!A396="","",IF(AND(安値!R396&lt;安値!Q396,安値!R396&lt;安値!P396,安値!R396&lt;安値!S396,安値!R396&lt;安値!T396),13,""))</f>
        <v/>
      </c>
      <c r="N396" s="503" t="str">
        <f>IF(終値!A396="","",IF(AND(安値!S396&lt;安値!R396,安値!S396&lt;安値!Q396,安値!S396&lt;安値!T396,安値!S396&lt;安値!U396),14,""))</f>
        <v/>
      </c>
      <c r="O396" s="503" t="str">
        <f>IF(終値!A396="","",IF(AND(安値!T396&lt;安値!S396,安値!T396&lt;安値!R396,安値!T396&lt;安値!U396,安値!T396&lt;安値!V396),15,""))</f>
        <v/>
      </c>
      <c r="P396" s="503" t="str">
        <f>IF(終値!A396="","",IF(AND(安値!U396&lt;安値!T396,安値!U396&lt;安値!S396,安値!U396&lt;安値!V396,安値!U396&lt;安値!W396),16,""))</f>
        <v/>
      </c>
      <c r="Q396" s="503" t="str">
        <f>IF(終値!A396="","",IF(AND(安値!V396&lt;安値!U396,安値!V396&lt;安値!T396,安値!V396&lt;安値!W396,安値!V396&lt;安値!X396),17,""))</f>
        <v/>
      </c>
      <c r="R396" s="503" t="str">
        <f>IF(終値!A396="","",IF(AND(安値!W396&lt;安値!V396,安値!W396&lt;安値!U396,安値!W396&lt;安値!X396,安値!W396&lt;安値!Y396),18,""))</f>
        <v/>
      </c>
      <c r="S396" s="503" t="str">
        <f>IF(終値!A396="","",IF(AND(安値!X396&lt;安値!W396,安値!X396&lt;安値!V396,安値!X396&lt;安値!Y396,安値!X396&lt;安値!Z396),19,""))</f>
        <v/>
      </c>
      <c r="T396" s="503" t="str">
        <f>IF(終値!A396="","",IF(AND(安値!Y396&lt;安値!X396,安値!Y396&lt;安値!W396,安値!Y396&lt;安値!Z396,安値!Y396&lt;安値!AA396),20,""))</f>
        <v/>
      </c>
      <c r="U396" s="503" t="str">
        <f>IF(終値!A396="","",IF(AND(安値!Z396&lt;安値!Y396,安値!Z396&lt;安値!X396,安値!Z396&lt;安値!AA396,安値!Z396&lt;安値!AB396),21,""))</f>
        <v/>
      </c>
      <c r="V396" s="503" t="str">
        <f>IF(終値!A396="","",IF(AND(安値!AA396&lt;安値!Z396,安値!AA396&lt;安値!Y396,安値!AA396&lt;安値!AB396,安値!AA396&lt;安値!AC396),22,""))</f>
        <v/>
      </c>
      <c r="W396" s="503" t="str">
        <f>IF(終値!A396="","",IF(AND(安値!AB396&lt;安値!AA396,安値!AB396&lt;安値!Z396,安値!AB396&lt;安値!AC396,安値!AB396&lt;安値!AD396),23,""))</f>
        <v/>
      </c>
      <c r="X396" s="503" t="str">
        <f>IF(終値!A396="","",IF(AND(安値!AC396&lt;安値!AB396,安値!AC396&lt;安値!AA396,安値!AC396&lt;安値!AD396,安値!AC396&lt;安値!AE396),24,""))</f>
        <v/>
      </c>
      <c r="Y396" s="503" t="str">
        <f>IF(終値!A396="","",IF(AND(安値!AD396&lt;安値!AC396,安値!AD396&lt;安値!AB396,安値!AD396&lt;安値!AE396,安値!AD396&lt;安値!AF396),25,""))</f>
        <v/>
      </c>
      <c r="Z396" s="503" t="str">
        <f>IF(終値!A396="","",IF(AND(安値!AE396&lt;安値!AD396,安値!AE396&lt;安値!AC396,安値!AE396&lt;安値!AF396,安値!AE396&lt;安値!AG396),26,""))</f>
        <v/>
      </c>
      <c r="AA396" s="503" t="str">
        <f>IF(終値!A396="","",IF(AND(安値!AF396&lt;安値!AE396,安値!AF396&lt;安値!AD396,安値!AF396&lt;安値!AG396,安値!AF396&lt;安値!AH396),27,""))</f>
        <v/>
      </c>
      <c r="AB396" s="503" t="str">
        <f>IF(終値!A396="","",IF(AND(安値!AG396&lt;安値!AF396,安値!AG396&lt;安値!AE396,安値!AG396&lt;安値!AH396,安値!AG396&lt;安値!AI396),28,""))</f>
        <v/>
      </c>
      <c r="AC396" s="503" t="str">
        <f>IF(終値!A396="","",IF(AND(高値!G396&gt;高値!F396,高値!G396&gt;高値!E396,高値!G396&gt;高値!H396,高値!G396&gt;高値!I396),2,""))</f>
        <v/>
      </c>
      <c r="AD396" s="503" t="str">
        <f>IF(終値!A396="","",IF(AND(高値!H396&gt;高値!G396,高値!H396&gt;高値!F396,高値!H396&gt;高値!I396,高値!H396&gt;高値!J396),3,""))</f>
        <v/>
      </c>
      <c r="AE396" s="503" t="str">
        <f>IF(終値!A396="","",IF(AND(高値!I396&gt;高値!H396,高値!I396&gt;高値!G396,高値!I396&gt;高値!J396,高値!I396&gt;高値!K396),4,""))</f>
        <v/>
      </c>
      <c r="AF396" s="503" t="str">
        <f>IF(終値!A396="","",IF(AND(高値!J396&gt;高値!I396,高値!J396&gt;高値!H396,高値!J396&gt;高値!K396,高値!J396&gt;高値!L396),5,""))</f>
        <v/>
      </c>
      <c r="AG396" s="503" t="str">
        <f>IF(終値!A396="","",IF(AND(高値!K396&gt;高値!J396,高値!K396&gt;高値!I396,高値!K396&gt;高値!L396,高値!K396&gt;高値!M396),6,""))</f>
        <v/>
      </c>
      <c r="AH396" s="503" t="str">
        <f>IF(終値!A396="","",IF(AND(高値!L396&gt;高値!K396,高値!L396&gt;高値!J396,高値!L396&gt;高値!M396,高値!L396&gt;高値!N396),7,""))</f>
        <v/>
      </c>
      <c r="AI396" s="503" t="str">
        <f>IF(終値!A396="","",IF(AND(高値!M396&gt;高値!L396,高値!M396&gt;高値!K396,高値!M396&gt;高値!N396,高値!M396&gt;高値!O396),8,""))</f>
        <v/>
      </c>
      <c r="AJ396" s="503" t="str">
        <f>IF(終値!A396="","",IF(AND(高値!N396&gt;高値!M396,高値!N396&gt;高値!L396,高値!N396&gt;高値!O396,高値!N396&gt;高値!P396),9,""))</f>
        <v/>
      </c>
      <c r="AK396" s="503" t="str">
        <f>IF(終値!A396="","",IF(AND(高値!O396&gt;高値!N396,高値!O396&gt;高値!M396,高値!O396&gt;高値!P396,高値!O396&gt;高値!Q396),10,""))</f>
        <v/>
      </c>
      <c r="AL396" s="503" t="str">
        <f>IF(終値!A396="","",IF(AND(高値!P396&gt;高値!O396,高値!P396&gt;高値!N396,高値!P396&gt;高値!Q396,高値!P396&gt;高値!R396),11,""))</f>
        <v/>
      </c>
      <c r="AM396" s="503" t="str">
        <f>IF(終値!A396="","",IF(AND(高値!Q396&gt;高値!P396,高値!Q396&gt;高値!O396,高値!Q396&gt;高値!R396,高値!Q396&gt;高値!S396),12,""))</f>
        <v/>
      </c>
      <c r="AN396" s="503" t="str">
        <f>IF(終値!A396="","",IF(AND(高値!R396&gt;高値!Q396,高値!R396&gt;高値!P396,高値!R396&gt;高値!S396,高値!R396&gt;高値!T396),13,""))</f>
        <v/>
      </c>
      <c r="AO396" s="503" t="str">
        <f>IF(終値!A396="","",IF(AND(高値!S396&gt;高値!R396,高値!S396&gt;高値!Q396,高値!S396&gt;高値!T396,高値!S396&gt;高値!U396),14,""))</f>
        <v/>
      </c>
      <c r="AP396" s="503" t="str">
        <f>IF(終値!A396="","",IF(AND(高値!T396&gt;高値!S396,高値!T396&gt;高値!R396,高値!T396&gt;高値!U396,高値!T396&gt;高値!V396),15,""))</f>
        <v/>
      </c>
      <c r="AQ396" s="503" t="str">
        <f>IF(終値!A396="","",IF(AND(高値!U396&gt;高値!T396,高値!U396&gt;高値!S396,高値!U396&gt;高値!V396,高値!U396&gt;高値!W396),16,""))</f>
        <v/>
      </c>
      <c r="AR396" s="503" t="str">
        <f>IF(終値!A396="","",IF(AND(高値!V396&gt;高値!U396,高値!V396&gt;高値!T396,高値!V396&gt;高値!W396,高値!V396&gt;高値!X396),17,""))</f>
        <v/>
      </c>
      <c r="AS396" s="503" t="str">
        <f>IF(終値!A396="","",IF(AND(高値!W396&gt;高値!V396,高値!W396&gt;高値!U396,高値!W396&gt;高値!X396,高値!W396&gt;高値!Y396),18,""))</f>
        <v/>
      </c>
      <c r="AT396" s="503" t="str">
        <f>IF(終値!A396="","",IF(AND(高値!X396&gt;高値!W396,高値!X396&gt;高値!V396,高値!X396&gt;高値!Y396,高値!X396&gt;高値!Z396),19,""))</f>
        <v/>
      </c>
      <c r="AU396" s="503" t="str">
        <f>IF(終値!A396="","",IF(AND(高値!Y396&gt;高値!X396,高値!Y396&gt;高値!W396,高値!Y396&gt;高値!Z396,高値!Y396&gt;高値!AA396),20,""))</f>
        <v/>
      </c>
      <c r="AV396" s="503" t="str">
        <f>IF(終値!A396="","",IF(AND(高値!Z396&gt;高値!Y396,高値!Z396&gt;高値!X396,高値!Z396&gt;高値!AA396,高値!Z396&gt;高値!AB396),21,""))</f>
        <v/>
      </c>
      <c r="AW396" s="503" t="str">
        <f>IF(終値!A396="","",IF(AND(高値!AA396&gt;高値!Z396,高値!AA396&gt;高値!Y396,高値!AA396&gt;高値!AB396,高値!AA396&gt;高値!AC396),22,""))</f>
        <v/>
      </c>
      <c r="AX396" s="503" t="str">
        <f>IF(終値!A396="","",IF(AND(高値!AB396&gt;高値!AA396,高値!AB396&gt;高値!Z396,高値!AB396&gt;高値!AC396,高値!AB396&gt;高値!AD396),23,""))</f>
        <v/>
      </c>
      <c r="AY396" s="503" t="str">
        <f>IF(終値!A396="","",IF(AND(高値!AC396&gt;高値!AB396,高値!AC396&gt;高値!AA396,高値!AC396&gt;高値!AD396,高値!AC396&gt;高値!AE396),24,""))</f>
        <v/>
      </c>
      <c r="AZ396" s="503" t="str">
        <f>IF(終値!A396="","",IF(AND(高値!AD396&gt;高値!AC396,高値!AD396&gt;高値!AB396,高値!AD396&gt;高値!AE396,高値!AD396&gt;高値!AF396),25,""))</f>
        <v/>
      </c>
      <c r="BA396" s="503" t="str">
        <f>IF(終値!A396="","",IF(AND(高値!AE396&gt;高値!AD396,高値!AE396&gt;高値!AC396,高値!AE396&gt;高値!AF396,高値!AE396&gt;高値!AG396),26,""))</f>
        <v/>
      </c>
      <c r="BB396" s="503" t="str">
        <f>IF(終値!A396="","",IF(AND(高値!AF396&gt;高値!AE396,高値!AF396&gt;高値!AD396,高値!AF396&gt;高値!AG396,高値!AF396&gt;高値!AH396),27,""))</f>
        <v/>
      </c>
      <c r="BC396" s="503" t="str">
        <f>IF(終値!A396="","",IF(AND(高値!AG396&gt;高値!AF396,高値!AG396&gt;高値!AE396,高値!AG396&gt;高値!AH396,高値!AG396&gt;高値!AI396),28,""))</f>
        <v/>
      </c>
      <c r="BD396" s="503">
        <f t="shared" si="36"/>
        <v>0</v>
      </c>
      <c r="BE396" s="503" t="str">
        <f t="shared" si="37"/>
        <v/>
      </c>
      <c r="BF396" s="503" t="str">
        <f t="shared" si="38"/>
        <v/>
      </c>
      <c r="BG396" s="503" t="str">
        <f>IF($BE396="","",INDEX(安値!$E396:$CZ396,1,$BE396+1))</f>
        <v/>
      </c>
      <c r="BH396" s="503" t="str">
        <f>IF($BF396="","",INDEX(安値!$E396:$CZ396,1,$BF396+1))</f>
        <v/>
      </c>
      <c r="BI396" s="503" t="str">
        <f>IF($BF396="","",MAX(INDEX(高値!$E396:$CZ396,1,$BE396+1):INDEX(高値!$E396:$CZ396,1,$BF396+1)))</f>
        <v/>
      </c>
      <c r="BJ396" s="503" t="str">
        <f>IF($BF396="","",AVERAGE(INDEX(終値!$E396:$CZ396,1,$BF396+1):INDEX(終値!$E396:$CZ396,1,$BF396+20))-2*STDEVP(INDEX(終値!$E396:$CZ396,1,$BF396+1):INDEX(終値!$E396:$CZ396,1,$BF396+20)))</f>
        <v/>
      </c>
      <c r="BK396" s="503" t="str">
        <f>IF($BE396="","",AVERAGE(INDEX(終値!$E396:$CZ396,1,$BE396+1):INDEX(終値!$E396:$CZ396,1,$BE396+20))-2*STDEVP(INDEX(終値!$E396:$CZ396,1,$BE396+1):INDEX(終値!$E396:$CZ396,1,$BE396+20)))</f>
        <v/>
      </c>
      <c r="BL396" s="503">
        <f t="shared" si="39"/>
        <v>0</v>
      </c>
      <c r="BM396" s="503" t="str">
        <f t="shared" si="40"/>
        <v/>
      </c>
      <c r="BN396" s="503" t="str">
        <f t="shared" si="41"/>
        <v/>
      </c>
      <c r="BO396" s="503" t="str">
        <f>IF($BM396="","",INDEX(高値!$E396:$CZ396,1,$BM396+1))</f>
        <v/>
      </c>
      <c r="BP396" s="503" t="str">
        <f>IF($BN396="","",INDEX(高値!$E396:$CZ396,1,$BN396+1))</f>
        <v/>
      </c>
      <c r="BQ396" s="503" t="str">
        <f>IF($BN396="","",MIN(INDEX(安値!$E396:$CZ396,1,$BM396+1):INDEX(安値!$E396:$CZ396,1,$BN396+1)))</f>
        <v/>
      </c>
      <c r="BR396" s="503" t="str">
        <f>IF($BN396="","",AVERAGE(INDEX(終値!$E396:$CZ396,1,$BN396+1):INDEX(終値!$E396:$CZ396,1,$BN396+20))+2*STDEVP(INDEX(終値!$E396:$CZ396,1,$BN396+1):INDEX(終値!$E396:$CZ396,1,$BN396+20)))</f>
        <v/>
      </c>
      <c r="BS396" s="503" t="str">
        <f>IF($BM396="","",AVERAGE(INDEX(終値!$E396:$CZ396,1,$BM396+1):INDEX(終値!$E396:$CZ396,1,$BM396+20))+2*STDEVP(INDEX(終値!$E396:$CZ396,1,$BM396+1):INDEX(終値!$E396:$CZ396,1,$BM396+20)))</f>
        <v/>
      </c>
      <c r="BT396" s="500"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3" t="str">
        <f>IF(終値!A397="","",IF(AND(安値!G397&lt;安値!F397,安値!G397&lt;安値!E397,安値!G397&lt;安値!H397,安値!G397&lt;安値!I397),2,""))</f>
        <v/>
      </c>
      <c r="C397" s="503" t="str">
        <f>IF(終値!A397="","",IF(AND(安値!H397&lt;安値!G397,安値!H397&lt;安値!F397,安値!H397&lt;安値!I397,安値!H397&lt;安値!J397),3,""))</f>
        <v/>
      </c>
      <c r="D397" s="503" t="str">
        <f>IF(終値!A397="","",IF(AND(安値!I397&lt;安値!H397,安値!I397&lt;安値!G397,安値!I397&lt;安値!J397,安値!I397&lt;安値!K397),4,""))</f>
        <v/>
      </c>
      <c r="E397" s="503" t="str">
        <f>IF(終値!A397="","",IF(AND(安値!J397&lt;安値!I397,安値!J397&lt;安値!H397,安値!J397&lt;安値!K397,安値!J397&lt;安値!L397),5,""))</f>
        <v/>
      </c>
      <c r="F397" s="503" t="str">
        <f>IF(終値!A397="","",IF(AND(安値!K397&lt;安値!J397,安値!K397&lt;安値!I397,安値!K397&lt;安値!L397,安値!K397&lt;安値!M397),6,""))</f>
        <v/>
      </c>
      <c r="G397" s="503" t="str">
        <f>IF(終値!A397="","",IF(AND(安値!L397&lt;安値!K397,安値!L397&lt;安値!J397,安値!L397&lt;安値!M397,安値!L397&lt;安値!N397),7,""))</f>
        <v/>
      </c>
      <c r="H397" s="503" t="str">
        <f>IF(終値!A397="","",IF(AND(安値!M397&lt;安値!L397,安値!M397&lt;安値!K397,安値!M397&lt;安値!N397,安値!M397&lt;安値!O397),8,""))</f>
        <v/>
      </c>
      <c r="I397" s="503" t="str">
        <f>IF(終値!A397="","",IF(AND(安値!N397&lt;安値!M397,安値!N397&lt;安値!L397,安値!N397&lt;安値!O397,安値!N397&lt;安値!P397),9,""))</f>
        <v/>
      </c>
      <c r="J397" s="503" t="str">
        <f>IF(終値!A397="","",IF(AND(安値!O397&lt;安値!N397,安値!O397&lt;安値!M397,安値!O397&lt;安値!P397,安値!O397&lt;安値!Q397),10,""))</f>
        <v/>
      </c>
      <c r="K397" s="503" t="str">
        <f>IF(終値!A397="","",IF(AND(安値!P397&lt;安値!O397,安値!P397&lt;安値!N397,安値!P397&lt;安値!Q397,安値!P397&lt;安値!R397),11,""))</f>
        <v/>
      </c>
      <c r="L397" s="503" t="str">
        <f>IF(終値!A397="","",IF(AND(安値!Q397&lt;安値!P397,安値!Q397&lt;安値!O397,安値!Q397&lt;安値!R397,安値!Q397&lt;安値!S397),12,""))</f>
        <v/>
      </c>
      <c r="M397" s="503" t="str">
        <f>IF(終値!A397="","",IF(AND(安値!R397&lt;安値!Q397,安値!R397&lt;安値!P397,安値!R397&lt;安値!S397,安値!R397&lt;安値!T397),13,""))</f>
        <v/>
      </c>
      <c r="N397" s="503" t="str">
        <f>IF(終値!A397="","",IF(AND(安値!S397&lt;安値!R397,安値!S397&lt;安値!Q397,安値!S397&lt;安値!T397,安値!S397&lt;安値!U397),14,""))</f>
        <v/>
      </c>
      <c r="O397" s="503" t="str">
        <f>IF(終値!A397="","",IF(AND(安値!T397&lt;安値!S397,安値!T397&lt;安値!R397,安値!T397&lt;安値!U397,安値!T397&lt;安値!V397),15,""))</f>
        <v/>
      </c>
      <c r="P397" s="503" t="str">
        <f>IF(終値!A397="","",IF(AND(安値!U397&lt;安値!T397,安値!U397&lt;安値!S397,安値!U397&lt;安値!V397,安値!U397&lt;安値!W397),16,""))</f>
        <v/>
      </c>
      <c r="Q397" s="503" t="str">
        <f>IF(終値!A397="","",IF(AND(安値!V397&lt;安値!U397,安値!V397&lt;安値!T397,安値!V397&lt;安値!W397,安値!V397&lt;安値!X397),17,""))</f>
        <v/>
      </c>
      <c r="R397" s="503" t="str">
        <f>IF(終値!A397="","",IF(AND(安値!W397&lt;安値!V397,安値!W397&lt;安値!U397,安値!W397&lt;安値!X397,安値!W397&lt;安値!Y397),18,""))</f>
        <v/>
      </c>
      <c r="S397" s="503" t="str">
        <f>IF(終値!A397="","",IF(AND(安値!X397&lt;安値!W397,安値!X397&lt;安値!V397,安値!X397&lt;安値!Y397,安値!X397&lt;安値!Z397),19,""))</f>
        <v/>
      </c>
      <c r="T397" s="503" t="str">
        <f>IF(終値!A397="","",IF(AND(安値!Y397&lt;安値!X397,安値!Y397&lt;安値!W397,安値!Y397&lt;安値!Z397,安値!Y397&lt;安値!AA397),20,""))</f>
        <v/>
      </c>
      <c r="U397" s="503" t="str">
        <f>IF(終値!A397="","",IF(AND(安値!Z397&lt;安値!Y397,安値!Z397&lt;安値!X397,安値!Z397&lt;安値!AA397,安値!Z397&lt;安値!AB397),21,""))</f>
        <v/>
      </c>
      <c r="V397" s="503" t="str">
        <f>IF(終値!A397="","",IF(AND(安値!AA397&lt;安値!Z397,安値!AA397&lt;安値!Y397,安値!AA397&lt;安値!AB397,安値!AA397&lt;安値!AC397),22,""))</f>
        <v/>
      </c>
      <c r="W397" s="503" t="str">
        <f>IF(終値!A397="","",IF(AND(安値!AB397&lt;安値!AA397,安値!AB397&lt;安値!Z397,安値!AB397&lt;安値!AC397,安値!AB397&lt;安値!AD397),23,""))</f>
        <v/>
      </c>
      <c r="X397" s="503" t="str">
        <f>IF(終値!A397="","",IF(AND(安値!AC397&lt;安値!AB397,安値!AC397&lt;安値!AA397,安値!AC397&lt;安値!AD397,安値!AC397&lt;安値!AE397),24,""))</f>
        <v/>
      </c>
      <c r="Y397" s="503" t="str">
        <f>IF(終値!A397="","",IF(AND(安値!AD397&lt;安値!AC397,安値!AD397&lt;安値!AB397,安値!AD397&lt;安値!AE397,安値!AD397&lt;安値!AF397),25,""))</f>
        <v/>
      </c>
      <c r="Z397" s="503" t="str">
        <f>IF(終値!A397="","",IF(AND(安値!AE397&lt;安値!AD397,安値!AE397&lt;安値!AC397,安値!AE397&lt;安値!AF397,安値!AE397&lt;安値!AG397),26,""))</f>
        <v/>
      </c>
      <c r="AA397" s="503" t="str">
        <f>IF(終値!A397="","",IF(AND(安値!AF397&lt;安値!AE397,安値!AF397&lt;安値!AD397,安値!AF397&lt;安値!AG397,安値!AF397&lt;安値!AH397),27,""))</f>
        <v/>
      </c>
      <c r="AB397" s="503" t="str">
        <f>IF(終値!A397="","",IF(AND(安値!AG397&lt;安値!AF397,安値!AG397&lt;安値!AE397,安値!AG397&lt;安値!AH397,安値!AG397&lt;安値!AI397),28,""))</f>
        <v/>
      </c>
      <c r="AC397" s="503" t="str">
        <f>IF(終値!A397="","",IF(AND(高値!G397&gt;高値!F397,高値!G397&gt;高値!E397,高値!G397&gt;高値!H397,高値!G397&gt;高値!I397),2,""))</f>
        <v/>
      </c>
      <c r="AD397" s="503" t="str">
        <f>IF(終値!A397="","",IF(AND(高値!H397&gt;高値!G397,高値!H397&gt;高値!F397,高値!H397&gt;高値!I397,高値!H397&gt;高値!J397),3,""))</f>
        <v/>
      </c>
      <c r="AE397" s="503" t="str">
        <f>IF(終値!A397="","",IF(AND(高値!I397&gt;高値!H397,高値!I397&gt;高値!G397,高値!I397&gt;高値!J397,高値!I397&gt;高値!K397),4,""))</f>
        <v/>
      </c>
      <c r="AF397" s="503" t="str">
        <f>IF(終値!A397="","",IF(AND(高値!J397&gt;高値!I397,高値!J397&gt;高値!H397,高値!J397&gt;高値!K397,高値!J397&gt;高値!L397),5,""))</f>
        <v/>
      </c>
      <c r="AG397" s="503" t="str">
        <f>IF(終値!A397="","",IF(AND(高値!K397&gt;高値!J397,高値!K397&gt;高値!I397,高値!K397&gt;高値!L397,高値!K397&gt;高値!M397),6,""))</f>
        <v/>
      </c>
      <c r="AH397" s="503" t="str">
        <f>IF(終値!A397="","",IF(AND(高値!L397&gt;高値!K397,高値!L397&gt;高値!J397,高値!L397&gt;高値!M397,高値!L397&gt;高値!N397),7,""))</f>
        <v/>
      </c>
      <c r="AI397" s="503" t="str">
        <f>IF(終値!A397="","",IF(AND(高値!M397&gt;高値!L397,高値!M397&gt;高値!K397,高値!M397&gt;高値!N397,高値!M397&gt;高値!O397),8,""))</f>
        <v/>
      </c>
      <c r="AJ397" s="503" t="str">
        <f>IF(終値!A397="","",IF(AND(高値!N397&gt;高値!M397,高値!N397&gt;高値!L397,高値!N397&gt;高値!O397,高値!N397&gt;高値!P397),9,""))</f>
        <v/>
      </c>
      <c r="AK397" s="503" t="str">
        <f>IF(終値!A397="","",IF(AND(高値!O397&gt;高値!N397,高値!O397&gt;高値!M397,高値!O397&gt;高値!P397,高値!O397&gt;高値!Q397),10,""))</f>
        <v/>
      </c>
      <c r="AL397" s="503" t="str">
        <f>IF(終値!A397="","",IF(AND(高値!P397&gt;高値!O397,高値!P397&gt;高値!N397,高値!P397&gt;高値!Q397,高値!P397&gt;高値!R397),11,""))</f>
        <v/>
      </c>
      <c r="AM397" s="503" t="str">
        <f>IF(終値!A397="","",IF(AND(高値!Q397&gt;高値!P397,高値!Q397&gt;高値!O397,高値!Q397&gt;高値!R397,高値!Q397&gt;高値!S397),12,""))</f>
        <v/>
      </c>
      <c r="AN397" s="503" t="str">
        <f>IF(終値!A397="","",IF(AND(高値!R397&gt;高値!Q397,高値!R397&gt;高値!P397,高値!R397&gt;高値!S397,高値!R397&gt;高値!T397),13,""))</f>
        <v/>
      </c>
      <c r="AO397" s="503" t="str">
        <f>IF(終値!A397="","",IF(AND(高値!S397&gt;高値!R397,高値!S397&gt;高値!Q397,高値!S397&gt;高値!T397,高値!S397&gt;高値!U397),14,""))</f>
        <v/>
      </c>
      <c r="AP397" s="503" t="str">
        <f>IF(終値!A397="","",IF(AND(高値!T397&gt;高値!S397,高値!T397&gt;高値!R397,高値!T397&gt;高値!U397,高値!T397&gt;高値!V397),15,""))</f>
        <v/>
      </c>
      <c r="AQ397" s="503" t="str">
        <f>IF(終値!A397="","",IF(AND(高値!U397&gt;高値!T397,高値!U397&gt;高値!S397,高値!U397&gt;高値!V397,高値!U397&gt;高値!W397),16,""))</f>
        <v/>
      </c>
      <c r="AR397" s="503" t="str">
        <f>IF(終値!A397="","",IF(AND(高値!V397&gt;高値!U397,高値!V397&gt;高値!T397,高値!V397&gt;高値!W397,高値!V397&gt;高値!X397),17,""))</f>
        <v/>
      </c>
      <c r="AS397" s="503" t="str">
        <f>IF(終値!A397="","",IF(AND(高値!W397&gt;高値!V397,高値!W397&gt;高値!U397,高値!W397&gt;高値!X397,高値!W397&gt;高値!Y397),18,""))</f>
        <v/>
      </c>
      <c r="AT397" s="503" t="str">
        <f>IF(終値!A397="","",IF(AND(高値!X397&gt;高値!W397,高値!X397&gt;高値!V397,高値!X397&gt;高値!Y397,高値!X397&gt;高値!Z397),19,""))</f>
        <v/>
      </c>
      <c r="AU397" s="503" t="str">
        <f>IF(終値!A397="","",IF(AND(高値!Y397&gt;高値!X397,高値!Y397&gt;高値!W397,高値!Y397&gt;高値!Z397,高値!Y397&gt;高値!AA397),20,""))</f>
        <v/>
      </c>
      <c r="AV397" s="503" t="str">
        <f>IF(終値!A397="","",IF(AND(高値!Z397&gt;高値!Y397,高値!Z397&gt;高値!X397,高値!Z397&gt;高値!AA397,高値!Z397&gt;高値!AB397),21,""))</f>
        <v/>
      </c>
      <c r="AW397" s="503" t="str">
        <f>IF(終値!A397="","",IF(AND(高値!AA397&gt;高値!Z397,高値!AA397&gt;高値!Y397,高値!AA397&gt;高値!AB397,高値!AA397&gt;高値!AC397),22,""))</f>
        <v/>
      </c>
      <c r="AX397" s="503" t="str">
        <f>IF(終値!A397="","",IF(AND(高値!AB397&gt;高値!AA397,高値!AB397&gt;高値!Z397,高値!AB397&gt;高値!AC397,高値!AB397&gt;高値!AD397),23,""))</f>
        <v/>
      </c>
      <c r="AY397" s="503" t="str">
        <f>IF(終値!A397="","",IF(AND(高値!AC397&gt;高値!AB397,高値!AC397&gt;高値!AA397,高値!AC397&gt;高値!AD397,高値!AC397&gt;高値!AE397),24,""))</f>
        <v/>
      </c>
      <c r="AZ397" s="503" t="str">
        <f>IF(終値!A397="","",IF(AND(高値!AD397&gt;高値!AC397,高値!AD397&gt;高値!AB397,高値!AD397&gt;高値!AE397,高値!AD397&gt;高値!AF397),25,""))</f>
        <v/>
      </c>
      <c r="BA397" s="503" t="str">
        <f>IF(終値!A397="","",IF(AND(高値!AE397&gt;高値!AD397,高値!AE397&gt;高値!AC397,高値!AE397&gt;高値!AF397,高値!AE397&gt;高値!AG397),26,""))</f>
        <v/>
      </c>
      <c r="BB397" s="503" t="str">
        <f>IF(終値!A397="","",IF(AND(高値!AF397&gt;高値!AE397,高値!AF397&gt;高値!AD397,高値!AF397&gt;高値!AG397,高値!AF397&gt;高値!AH397),27,""))</f>
        <v/>
      </c>
      <c r="BC397" s="503" t="str">
        <f>IF(終値!A397="","",IF(AND(高値!AG397&gt;高値!AF397,高値!AG397&gt;高値!AE397,高値!AG397&gt;高値!AH397,高値!AG397&gt;高値!AI397),28,""))</f>
        <v/>
      </c>
      <c r="BD397" s="503">
        <f t="shared" si="36"/>
        <v>0</v>
      </c>
      <c r="BE397" s="503" t="str">
        <f t="shared" si="37"/>
        <v/>
      </c>
      <c r="BF397" s="503" t="str">
        <f t="shared" si="38"/>
        <v/>
      </c>
      <c r="BG397" s="503" t="str">
        <f>IF($BE397="","",INDEX(安値!$E397:$CZ397,1,$BE397+1))</f>
        <v/>
      </c>
      <c r="BH397" s="503" t="str">
        <f>IF($BF397="","",INDEX(安値!$E397:$CZ397,1,$BF397+1))</f>
        <v/>
      </c>
      <c r="BI397" s="503" t="str">
        <f>IF($BF397="","",MAX(INDEX(高値!$E397:$CZ397,1,$BE397+1):INDEX(高値!$E397:$CZ397,1,$BF397+1)))</f>
        <v/>
      </c>
      <c r="BJ397" s="503" t="str">
        <f>IF($BF397="","",AVERAGE(INDEX(終値!$E397:$CZ397,1,$BF397+1):INDEX(終値!$E397:$CZ397,1,$BF397+20))-2*STDEVP(INDEX(終値!$E397:$CZ397,1,$BF397+1):INDEX(終値!$E397:$CZ397,1,$BF397+20)))</f>
        <v/>
      </c>
      <c r="BK397" s="503" t="str">
        <f>IF($BE397="","",AVERAGE(INDEX(終値!$E397:$CZ397,1,$BE397+1):INDEX(終値!$E397:$CZ397,1,$BE397+20))-2*STDEVP(INDEX(終値!$E397:$CZ397,1,$BE397+1):INDEX(終値!$E397:$CZ397,1,$BE397+20)))</f>
        <v/>
      </c>
      <c r="BL397" s="503">
        <f t="shared" si="39"/>
        <v>0</v>
      </c>
      <c r="BM397" s="503" t="str">
        <f t="shared" si="40"/>
        <v/>
      </c>
      <c r="BN397" s="503" t="str">
        <f t="shared" si="41"/>
        <v/>
      </c>
      <c r="BO397" s="503" t="str">
        <f>IF($BM397="","",INDEX(高値!$E397:$CZ397,1,$BM397+1))</f>
        <v/>
      </c>
      <c r="BP397" s="503" t="str">
        <f>IF($BN397="","",INDEX(高値!$E397:$CZ397,1,$BN397+1))</f>
        <v/>
      </c>
      <c r="BQ397" s="503" t="str">
        <f>IF($BN397="","",MIN(INDEX(安値!$E397:$CZ397,1,$BM397+1):INDEX(安値!$E397:$CZ397,1,$BN397+1)))</f>
        <v/>
      </c>
      <c r="BR397" s="503" t="str">
        <f>IF($BN397="","",AVERAGE(INDEX(終値!$E397:$CZ397,1,$BN397+1):INDEX(終値!$E397:$CZ397,1,$BN397+20))+2*STDEVP(INDEX(終値!$E397:$CZ397,1,$BN397+1):INDEX(終値!$E397:$CZ397,1,$BN397+20)))</f>
        <v/>
      </c>
      <c r="BS397" s="503" t="str">
        <f>IF($BM397="","",AVERAGE(INDEX(終値!$E397:$CZ397,1,$BM397+1):INDEX(終値!$E397:$CZ397,1,$BM397+20))+2*STDEVP(INDEX(終値!$E397:$CZ397,1,$BM397+1):INDEX(終値!$E397:$CZ397,1,$BM397+20)))</f>
        <v/>
      </c>
      <c r="BT397" s="500"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3" t="str">
        <f>IF(終値!A398="","",IF(AND(安値!G398&lt;安値!F398,安値!G398&lt;安値!E398,安値!G398&lt;安値!H398,安値!G398&lt;安値!I398),2,""))</f>
        <v/>
      </c>
      <c r="C398" s="503" t="str">
        <f>IF(終値!A398="","",IF(AND(安値!H398&lt;安値!G398,安値!H398&lt;安値!F398,安値!H398&lt;安値!I398,安値!H398&lt;安値!J398),3,""))</f>
        <v/>
      </c>
      <c r="D398" s="503" t="str">
        <f>IF(終値!A398="","",IF(AND(安値!I398&lt;安値!H398,安値!I398&lt;安値!G398,安値!I398&lt;安値!J398,安値!I398&lt;安値!K398),4,""))</f>
        <v/>
      </c>
      <c r="E398" s="503" t="str">
        <f>IF(終値!A398="","",IF(AND(安値!J398&lt;安値!I398,安値!J398&lt;安値!H398,安値!J398&lt;安値!K398,安値!J398&lt;安値!L398),5,""))</f>
        <v/>
      </c>
      <c r="F398" s="503" t="str">
        <f>IF(終値!A398="","",IF(AND(安値!K398&lt;安値!J398,安値!K398&lt;安値!I398,安値!K398&lt;安値!L398,安値!K398&lt;安値!M398),6,""))</f>
        <v/>
      </c>
      <c r="G398" s="503" t="str">
        <f>IF(終値!A398="","",IF(AND(安値!L398&lt;安値!K398,安値!L398&lt;安値!J398,安値!L398&lt;安値!M398,安値!L398&lt;安値!N398),7,""))</f>
        <v/>
      </c>
      <c r="H398" s="503" t="str">
        <f>IF(終値!A398="","",IF(AND(安値!M398&lt;安値!L398,安値!M398&lt;安値!K398,安値!M398&lt;安値!N398,安値!M398&lt;安値!O398),8,""))</f>
        <v/>
      </c>
      <c r="I398" s="503" t="str">
        <f>IF(終値!A398="","",IF(AND(安値!N398&lt;安値!M398,安値!N398&lt;安値!L398,安値!N398&lt;安値!O398,安値!N398&lt;安値!P398),9,""))</f>
        <v/>
      </c>
      <c r="J398" s="503" t="str">
        <f>IF(終値!A398="","",IF(AND(安値!O398&lt;安値!N398,安値!O398&lt;安値!M398,安値!O398&lt;安値!P398,安値!O398&lt;安値!Q398),10,""))</f>
        <v/>
      </c>
      <c r="K398" s="503" t="str">
        <f>IF(終値!A398="","",IF(AND(安値!P398&lt;安値!O398,安値!P398&lt;安値!N398,安値!P398&lt;安値!Q398,安値!P398&lt;安値!R398),11,""))</f>
        <v/>
      </c>
      <c r="L398" s="503" t="str">
        <f>IF(終値!A398="","",IF(AND(安値!Q398&lt;安値!P398,安値!Q398&lt;安値!O398,安値!Q398&lt;安値!R398,安値!Q398&lt;安値!S398),12,""))</f>
        <v/>
      </c>
      <c r="M398" s="503" t="str">
        <f>IF(終値!A398="","",IF(AND(安値!R398&lt;安値!Q398,安値!R398&lt;安値!P398,安値!R398&lt;安値!S398,安値!R398&lt;安値!T398),13,""))</f>
        <v/>
      </c>
      <c r="N398" s="503" t="str">
        <f>IF(終値!A398="","",IF(AND(安値!S398&lt;安値!R398,安値!S398&lt;安値!Q398,安値!S398&lt;安値!T398,安値!S398&lt;安値!U398),14,""))</f>
        <v/>
      </c>
      <c r="O398" s="503" t="str">
        <f>IF(終値!A398="","",IF(AND(安値!T398&lt;安値!S398,安値!T398&lt;安値!R398,安値!T398&lt;安値!U398,安値!T398&lt;安値!V398),15,""))</f>
        <v/>
      </c>
      <c r="P398" s="503" t="str">
        <f>IF(終値!A398="","",IF(AND(安値!U398&lt;安値!T398,安値!U398&lt;安値!S398,安値!U398&lt;安値!V398,安値!U398&lt;安値!W398),16,""))</f>
        <v/>
      </c>
      <c r="Q398" s="503" t="str">
        <f>IF(終値!A398="","",IF(AND(安値!V398&lt;安値!U398,安値!V398&lt;安値!T398,安値!V398&lt;安値!W398,安値!V398&lt;安値!X398),17,""))</f>
        <v/>
      </c>
      <c r="R398" s="503" t="str">
        <f>IF(終値!A398="","",IF(AND(安値!W398&lt;安値!V398,安値!W398&lt;安値!U398,安値!W398&lt;安値!X398,安値!W398&lt;安値!Y398),18,""))</f>
        <v/>
      </c>
      <c r="S398" s="503" t="str">
        <f>IF(終値!A398="","",IF(AND(安値!X398&lt;安値!W398,安値!X398&lt;安値!V398,安値!X398&lt;安値!Y398,安値!X398&lt;安値!Z398),19,""))</f>
        <v/>
      </c>
      <c r="T398" s="503" t="str">
        <f>IF(終値!A398="","",IF(AND(安値!Y398&lt;安値!X398,安値!Y398&lt;安値!W398,安値!Y398&lt;安値!Z398,安値!Y398&lt;安値!AA398),20,""))</f>
        <v/>
      </c>
      <c r="U398" s="503" t="str">
        <f>IF(終値!A398="","",IF(AND(安値!Z398&lt;安値!Y398,安値!Z398&lt;安値!X398,安値!Z398&lt;安値!AA398,安値!Z398&lt;安値!AB398),21,""))</f>
        <v/>
      </c>
      <c r="V398" s="503" t="str">
        <f>IF(終値!A398="","",IF(AND(安値!AA398&lt;安値!Z398,安値!AA398&lt;安値!Y398,安値!AA398&lt;安値!AB398,安値!AA398&lt;安値!AC398),22,""))</f>
        <v/>
      </c>
      <c r="W398" s="503" t="str">
        <f>IF(終値!A398="","",IF(AND(安値!AB398&lt;安値!AA398,安値!AB398&lt;安値!Z398,安値!AB398&lt;安値!AC398,安値!AB398&lt;安値!AD398),23,""))</f>
        <v/>
      </c>
      <c r="X398" s="503" t="str">
        <f>IF(終値!A398="","",IF(AND(安値!AC398&lt;安値!AB398,安値!AC398&lt;安値!AA398,安値!AC398&lt;安値!AD398,安値!AC398&lt;安値!AE398),24,""))</f>
        <v/>
      </c>
      <c r="Y398" s="503" t="str">
        <f>IF(終値!A398="","",IF(AND(安値!AD398&lt;安値!AC398,安値!AD398&lt;安値!AB398,安値!AD398&lt;安値!AE398,安値!AD398&lt;安値!AF398),25,""))</f>
        <v/>
      </c>
      <c r="Z398" s="503" t="str">
        <f>IF(終値!A398="","",IF(AND(安値!AE398&lt;安値!AD398,安値!AE398&lt;安値!AC398,安値!AE398&lt;安値!AF398,安値!AE398&lt;安値!AG398),26,""))</f>
        <v/>
      </c>
      <c r="AA398" s="503" t="str">
        <f>IF(終値!A398="","",IF(AND(安値!AF398&lt;安値!AE398,安値!AF398&lt;安値!AD398,安値!AF398&lt;安値!AG398,安値!AF398&lt;安値!AH398),27,""))</f>
        <v/>
      </c>
      <c r="AB398" s="503" t="str">
        <f>IF(終値!A398="","",IF(AND(安値!AG398&lt;安値!AF398,安値!AG398&lt;安値!AE398,安値!AG398&lt;安値!AH398,安値!AG398&lt;安値!AI398),28,""))</f>
        <v/>
      </c>
      <c r="AC398" s="503" t="str">
        <f>IF(終値!A398="","",IF(AND(高値!G398&gt;高値!F398,高値!G398&gt;高値!E398,高値!G398&gt;高値!H398,高値!G398&gt;高値!I398),2,""))</f>
        <v/>
      </c>
      <c r="AD398" s="503" t="str">
        <f>IF(終値!A398="","",IF(AND(高値!H398&gt;高値!G398,高値!H398&gt;高値!F398,高値!H398&gt;高値!I398,高値!H398&gt;高値!J398),3,""))</f>
        <v/>
      </c>
      <c r="AE398" s="503" t="str">
        <f>IF(終値!A398="","",IF(AND(高値!I398&gt;高値!H398,高値!I398&gt;高値!G398,高値!I398&gt;高値!J398,高値!I398&gt;高値!K398),4,""))</f>
        <v/>
      </c>
      <c r="AF398" s="503" t="str">
        <f>IF(終値!A398="","",IF(AND(高値!J398&gt;高値!I398,高値!J398&gt;高値!H398,高値!J398&gt;高値!K398,高値!J398&gt;高値!L398),5,""))</f>
        <v/>
      </c>
      <c r="AG398" s="503" t="str">
        <f>IF(終値!A398="","",IF(AND(高値!K398&gt;高値!J398,高値!K398&gt;高値!I398,高値!K398&gt;高値!L398,高値!K398&gt;高値!M398),6,""))</f>
        <v/>
      </c>
      <c r="AH398" s="503" t="str">
        <f>IF(終値!A398="","",IF(AND(高値!L398&gt;高値!K398,高値!L398&gt;高値!J398,高値!L398&gt;高値!M398,高値!L398&gt;高値!N398),7,""))</f>
        <v/>
      </c>
      <c r="AI398" s="503" t="str">
        <f>IF(終値!A398="","",IF(AND(高値!M398&gt;高値!L398,高値!M398&gt;高値!K398,高値!M398&gt;高値!N398,高値!M398&gt;高値!O398),8,""))</f>
        <v/>
      </c>
      <c r="AJ398" s="503" t="str">
        <f>IF(終値!A398="","",IF(AND(高値!N398&gt;高値!M398,高値!N398&gt;高値!L398,高値!N398&gt;高値!O398,高値!N398&gt;高値!P398),9,""))</f>
        <v/>
      </c>
      <c r="AK398" s="503" t="str">
        <f>IF(終値!A398="","",IF(AND(高値!O398&gt;高値!N398,高値!O398&gt;高値!M398,高値!O398&gt;高値!P398,高値!O398&gt;高値!Q398),10,""))</f>
        <v/>
      </c>
      <c r="AL398" s="503" t="str">
        <f>IF(終値!A398="","",IF(AND(高値!P398&gt;高値!O398,高値!P398&gt;高値!N398,高値!P398&gt;高値!Q398,高値!P398&gt;高値!R398),11,""))</f>
        <v/>
      </c>
      <c r="AM398" s="503" t="str">
        <f>IF(終値!A398="","",IF(AND(高値!Q398&gt;高値!P398,高値!Q398&gt;高値!O398,高値!Q398&gt;高値!R398,高値!Q398&gt;高値!S398),12,""))</f>
        <v/>
      </c>
      <c r="AN398" s="503" t="str">
        <f>IF(終値!A398="","",IF(AND(高値!R398&gt;高値!Q398,高値!R398&gt;高値!P398,高値!R398&gt;高値!S398,高値!R398&gt;高値!T398),13,""))</f>
        <v/>
      </c>
      <c r="AO398" s="503" t="str">
        <f>IF(終値!A398="","",IF(AND(高値!S398&gt;高値!R398,高値!S398&gt;高値!Q398,高値!S398&gt;高値!T398,高値!S398&gt;高値!U398),14,""))</f>
        <v/>
      </c>
      <c r="AP398" s="503" t="str">
        <f>IF(終値!A398="","",IF(AND(高値!T398&gt;高値!S398,高値!T398&gt;高値!R398,高値!T398&gt;高値!U398,高値!T398&gt;高値!V398),15,""))</f>
        <v/>
      </c>
      <c r="AQ398" s="503" t="str">
        <f>IF(終値!A398="","",IF(AND(高値!U398&gt;高値!T398,高値!U398&gt;高値!S398,高値!U398&gt;高値!V398,高値!U398&gt;高値!W398),16,""))</f>
        <v/>
      </c>
      <c r="AR398" s="503" t="str">
        <f>IF(終値!A398="","",IF(AND(高値!V398&gt;高値!U398,高値!V398&gt;高値!T398,高値!V398&gt;高値!W398,高値!V398&gt;高値!X398),17,""))</f>
        <v/>
      </c>
      <c r="AS398" s="503" t="str">
        <f>IF(終値!A398="","",IF(AND(高値!W398&gt;高値!V398,高値!W398&gt;高値!U398,高値!W398&gt;高値!X398,高値!W398&gt;高値!Y398),18,""))</f>
        <v/>
      </c>
      <c r="AT398" s="503" t="str">
        <f>IF(終値!A398="","",IF(AND(高値!X398&gt;高値!W398,高値!X398&gt;高値!V398,高値!X398&gt;高値!Y398,高値!X398&gt;高値!Z398),19,""))</f>
        <v/>
      </c>
      <c r="AU398" s="503" t="str">
        <f>IF(終値!A398="","",IF(AND(高値!Y398&gt;高値!X398,高値!Y398&gt;高値!W398,高値!Y398&gt;高値!Z398,高値!Y398&gt;高値!AA398),20,""))</f>
        <v/>
      </c>
      <c r="AV398" s="503" t="str">
        <f>IF(終値!A398="","",IF(AND(高値!Z398&gt;高値!Y398,高値!Z398&gt;高値!X398,高値!Z398&gt;高値!AA398,高値!Z398&gt;高値!AB398),21,""))</f>
        <v/>
      </c>
      <c r="AW398" s="503" t="str">
        <f>IF(終値!A398="","",IF(AND(高値!AA398&gt;高値!Z398,高値!AA398&gt;高値!Y398,高値!AA398&gt;高値!AB398,高値!AA398&gt;高値!AC398),22,""))</f>
        <v/>
      </c>
      <c r="AX398" s="503" t="str">
        <f>IF(終値!A398="","",IF(AND(高値!AB398&gt;高値!AA398,高値!AB398&gt;高値!Z398,高値!AB398&gt;高値!AC398,高値!AB398&gt;高値!AD398),23,""))</f>
        <v/>
      </c>
      <c r="AY398" s="503" t="str">
        <f>IF(終値!A398="","",IF(AND(高値!AC398&gt;高値!AB398,高値!AC398&gt;高値!AA398,高値!AC398&gt;高値!AD398,高値!AC398&gt;高値!AE398),24,""))</f>
        <v/>
      </c>
      <c r="AZ398" s="503" t="str">
        <f>IF(終値!A398="","",IF(AND(高値!AD398&gt;高値!AC398,高値!AD398&gt;高値!AB398,高値!AD398&gt;高値!AE398,高値!AD398&gt;高値!AF398),25,""))</f>
        <v/>
      </c>
      <c r="BA398" s="503" t="str">
        <f>IF(終値!A398="","",IF(AND(高値!AE398&gt;高値!AD398,高値!AE398&gt;高値!AC398,高値!AE398&gt;高値!AF398,高値!AE398&gt;高値!AG398),26,""))</f>
        <v/>
      </c>
      <c r="BB398" s="503" t="str">
        <f>IF(終値!A398="","",IF(AND(高値!AF398&gt;高値!AE398,高値!AF398&gt;高値!AD398,高値!AF398&gt;高値!AG398,高値!AF398&gt;高値!AH398),27,""))</f>
        <v/>
      </c>
      <c r="BC398" s="503" t="str">
        <f>IF(終値!A398="","",IF(AND(高値!AG398&gt;高値!AF398,高値!AG398&gt;高値!AE398,高値!AG398&gt;高値!AH398,高値!AG398&gt;高値!AI398),28,""))</f>
        <v/>
      </c>
      <c r="BD398" s="503">
        <f t="shared" si="36"/>
        <v>0</v>
      </c>
      <c r="BE398" s="503" t="str">
        <f t="shared" si="37"/>
        <v/>
      </c>
      <c r="BF398" s="503" t="str">
        <f t="shared" si="38"/>
        <v/>
      </c>
      <c r="BG398" s="503" t="str">
        <f>IF($BE398="","",INDEX(安値!$E398:$CZ398,1,$BE398+1))</f>
        <v/>
      </c>
      <c r="BH398" s="503" t="str">
        <f>IF($BF398="","",INDEX(安値!$E398:$CZ398,1,$BF398+1))</f>
        <v/>
      </c>
      <c r="BI398" s="503" t="str">
        <f>IF($BF398="","",MAX(INDEX(高値!$E398:$CZ398,1,$BE398+1):INDEX(高値!$E398:$CZ398,1,$BF398+1)))</f>
        <v/>
      </c>
      <c r="BJ398" s="503" t="str">
        <f>IF($BF398="","",AVERAGE(INDEX(終値!$E398:$CZ398,1,$BF398+1):INDEX(終値!$E398:$CZ398,1,$BF398+20))-2*STDEVP(INDEX(終値!$E398:$CZ398,1,$BF398+1):INDEX(終値!$E398:$CZ398,1,$BF398+20)))</f>
        <v/>
      </c>
      <c r="BK398" s="503" t="str">
        <f>IF($BE398="","",AVERAGE(INDEX(終値!$E398:$CZ398,1,$BE398+1):INDEX(終値!$E398:$CZ398,1,$BE398+20))-2*STDEVP(INDEX(終値!$E398:$CZ398,1,$BE398+1):INDEX(終値!$E398:$CZ398,1,$BE398+20)))</f>
        <v/>
      </c>
      <c r="BL398" s="503">
        <f t="shared" si="39"/>
        <v>0</v>
      </c>
      <c r="BM398" s="503" t="str">
        <f t="shared" si="40"/>
        <v/>
      </c>
      <c r="BN398" s="503" t="str">
        <f t="shared" si="41"/>
        <v/>
      </c>
      <c r="BO398" s="503" t="str">
        <f>IF($BM398="","",INDEX(高値!$E398:$CZ398,1,$BM398+1))</f>
        <v/>
      </c>
      <c r="BP398" s="503" t="str">
        <f>IF($BN398="","",INDEX(高値!$E398:$CZ398,1,$BN398+1))</f>
        <v/>
      </c>
      <c r="BQ398" s="503" t="str">
        <f>IF($BN398="","",MIN(INDEX(安値!$E398:$CZ398,1,$BM398+1):INDEX(安値!$E398:$CZ398,1,$BN398+1)))</f>
        <v/>
      </c>
      <c r="BR398" s="503" t="str">
        <f>IF($BN398="","",AVERAGE(INDEX(終値!$E398:$CZ398,1,$BN398+1):INDEX(終値!$E398:$CZ398,1,$BN398+20))+2*STDEVP(INDEX(終値!$E398:$CZ398,1,$BN398+1):INDEX(終値!$E398:$CZ398,1,$BN398+20)))</f>
        <v/>
      </c>
      <c r="BS398" s="503" t="str">
        <f>IF($BM398="","",AVERAGE(INDEX(終値!$E398:$CZ398,1,$BM398+1):INDEX(終値!$E398:$CZ398,1,$BM398+20))+2*STDEVP(INDEX(終値!$E398:$CZ398,1,$BM398+1):INDEX(終値!$E398:$CZ398,1,$BM398+20)))</f>
        <v/>
      </c>
      <c r="BT398" s="500"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3" t="str">
        <f>IF(終値!A399="","",IF(AND(安値!G399&lt;安値!F399,安値!G399&lt;安値!E399,安値!G399&lt;安値!H399,安値!G399&lt;安値!I399),2,""))</f>
        <v/>
      </c>
      <c r="C399" s="503" t="str">
        <f>IF(終値!A399="","",IF(AND(安値!H399&lt;安値!G399,安値!H399&lt;安値!F399,安値!H399&lt;安値!I399,安値!H399&lt;安値!J399),3,""))</f>
        <v/>
      </c>
      <c r="D399" s="503" t="str">
        <f>IF(終値!A399="","",IF(AND(安値!I399&lt;安値!H399,安値!I399&lt;安値!G399,安値!I399&lt;安値!J399,安値!I399&lt;安値!K399),4,""))</f>
        <v/>
      </c>
      <c r="E399" s="503" t="str">
        <f>IF(終値!A399="","",IF(AND(安値!J399&lt;安値!I399,安値!J399&lt;安値!H399,安値!J399&lt;安値!K399,安値!J399&lt;安値!L399),5,""))</f>
        <v/>
      </c>
      <c r="F399" s="503" t="str">
        <f>IF(終値!A399="","",IF(AND(安値!K399&lt;安値!J399,安値!K399&lt;安値!I399,安値!K399&lt;安値!L399,安値!K399&lt;安値!M399),6,""))</f>
        <v/>
      </c>
      <c r="G399" s="503" t="str">
        <f>IF(終値!A399="","",IF(AND(安値!L399&lt;安値!K399,安値!L399&lt;安値!J399,安値!L399&lt;安値!M399,安値!L399&lt;安値!N399),7,""))</f>
        <v/>
      </c>
      <c r="H399" s="503" t="str">
        <f>IF(終値!A399="","",IF(AND(安値!M399&lt;安値!L399,安値!M399&lt;安値!K399,安値!M399&lt;安値!N399,安値!M399&lt;安値!O399),8,""))</f>
        <v/>
      </c>
      <c r="I399" s="503" t="str">
        <f>IF(終値!A399="","",IF(AND(安値!N399&lt;安値!M399,安値!N399&lt;安値!L399,安値!N399&lt;安値!O399,安値!N399&lt;安値!P399),9,""))</f>
        <v/>
      </c>
      <c r="J399" s="503" t="str">
        <f>IF(終値!A399="","",IF(AND(安値!O399&lt;安値!N399,安値!O399&lt;安値!M399,安値!O399&lt;安値!P399,安値!O399&lt;安値!Q399),10,""))</f>
        <v/>
      </c>
      <c r="K399" s="503" t="str">
        <f>IF(終値!A399="","",IF(AND(安値!P399&lt;安値!O399,安値!P399&lt;安値!N399,安値!P399&lt;安値!Q399,安値!P399&lt;安値!R399),11,""))</f>
        <v/>
      </c>
      <c r="L399" s="503" t="str">
        <f>IF(終値!A399="","",IF(AND(安値!Q399&lt;安値!P399,安値!Q399&lt;安値!O399,安値!Q399&lt;安値!R399,安値!Q399&lt;安値!S399),12,""))</f>
        <v/>
      </c>
      <c r="M399" s="503" t="str">
        <f>IF(終値!A399="","",IF(AND(安値!R399&lt;安値!Q399,安値!R399&lt;安値!P399,安値!R399&lt;安値!S399,安値!R399&lt;安値!T399),13,""))</f>
        <v/>
      </c>
      <c r="N399" s="503" t="str">
        <f>IF(終値!A399="","",IF(AND(安値!S399&lt;安値!R399,安値!S399&lt;安値!Q399,安値!S399&lt;安値!T399,安値!S399&lt;安値!U399),14,""))</f>
        <v/>
      </c>
      <c r="O399" s="503" t="str">
        <f>IF(終値!A399="","",IF(AND(安値!T399&lt;安値!S399,安値!T399&lt;安値!R399,安値!T399&lt;安値!U399,安値!T399&lt;安値!V399),15,""))</f>
        <v/>
      </c>
      <c r="P399" s="503" t="str">
        <f>IF(終値!A399="","",IF(AND(安値!U399&lt;安値!T399,安値!U399&lt;安値!S399,安値!U399&lt;安値!V399,安値!U399&lt;安値!W399),16,""))</f>
        <v/>
      </c>
      <c r="Q399" s="503" t="str">
        <f>IF(終値!A399="","",IF(AND(安値!V399&lt;安値!U399,安値!V399&lt;安値!T399,安値!V399&lt;安値!W399,安値!V399&lt;安値!X399),17,""))</f>
        <v/>
      </c>
      <c r="R399" s="503" t="str">
        <f>IF(終値!A399="","",IF(AND(安値!W399&lt;安値!V399,安値!W399&lt;安値!U399,安値!W399&lt;安値!X399,安値!W399&lt;安値!Y399),18,""))</f>
        <v/>
      </c>
      <c r="S399" s="503" t="str">
        <f>IF(終値!A399="","",IF(AND(安値!X399&lt;安値!W399,安値!X399&lt;安値!V399,安値!X399&lt;安値!Y399,安値!X399&lt;安値!Z399),19,""))</f>
        <v/>
      </c>
      <c r="T399" s="503" t="str">
        <f>IF(終値!A399="","",IF(AND(安値!Y399&lt;安値!X399,安値!Y399&lt;安値!W399,安値!Y399&lt;安値!Z399,安値!Y399&lt;安値!AA399),20,""))</f>
        <v/>
      </c>
      <c r="U399" s="503" t="str">
        <f>IF(終値!A399="","",IF(AND(安値!Z399&lt;安値!Y399,安値!Z399&lt;安値!X399,安値!Z399&lt;安値!AA399,安値!Z399&lt;安値!AB399),21,""))</f>
        <v/>
      </c>
      <c r="V399" s="503" t="str">
        <f>IF(終値!A399="","",IF(AND(安値!AA399&lt;安値!Z399,安値!AA399&lt;安値!Y399,安値!AA399&lt;安値!AB399,安値!AA399&lt;安値!AC399),22,""))</f>
        <v/>
      </c>
      <c r="W399" s="503" t="str">
        <f>IF(終値!A399="","",IF(AND(安値!AB399&lt;安値!AA399,安値!AB399&lt;安値!Z399,安値!AB399&lt;安値!AC399,安値!AB399&lt;安値!AD399),23,""))</f>
        <v/>
      </c>
      <c r="X399" s="503" t="str">
        <f>IF(終値!A399="","",IF(AND(安値!AC399&lt;安値!AB399,安値!AC399&lt;安値!AA399,安値!AC399&lt;安値!AD399,安値!AC399&lt;安値!AE399),24,""))</f>
        <v/>
      </c>
      <c r="Y399" s="503" t="str">
        <f>IF(終値!A399="","",IF(AND(安値!AD399&lt;安値!AC399,安値!AD399&lt;安値!AB399,安値!AD399&lt;安値!AE399,安値!AD399&lt;安値!AF399),25,""))</f>
        <v/>
      </c>
      <c r="Z399" s="503" t="str">
        <f>IF(終値!A399="","",IF(AND(安値!AE399&lt;安値!AD399,安値!AE399&lt;安値!AC399,安値!AE399&lt;安値!AF399,安値!AE399&lt;安値!AG399),26,""))</f>
        <v/>
      </c>
      <c r="AA399" s="503" t="str">
        <f>IF(終値!A399="","",IF(AND(安値!AF399&lt;安値!AE399,安値!AF399&lt;安値!AD399,安値!AF399&lt;安値!AG399,安値!AF399&lt;安値!AH399),27,""))</f>
        <v/>
      </c>
      <c r="AB399" s="503" t="str">
        <f>IF(終値!A399="","",IF(AND(安値!AG399&lt;安値!AF399,安値!AG399&lt;安値!AE399,安値!AG399&lt;安値!AH399,安値!AG399&lt;安値!AI399),28,""))</f>
        <v/>
      </c>
      <c r="AC399" s="503" t="str">
        <f>IF(終値!A399="","",IF(AND(高値!G399&gt;高値!F399,高値!G399&gt;高値!E399,高値!G399&gt;高値!H399,高値!G399&gt;高値!I399),2,""))</f>
        <v/>
      </c>
      <c r="AD399" s="503" t="str">
        <f>IF(終値!A399="","",IF(AND(高値!H399&gt;高値!G399,高値!H399&gt;高値!F399,高値!H399&gt;高値!I399,高値!H399&gt;高値!J399),3,""))</f>
        <v/>
      </c>
      <c r="AE399" s="503" t="str">
        <f>IF(終値!A399="","",IF(AND(高値!I399&gt;高値!H399,高値!I399&gt;高値!G399,高値!I399&gt;高値!J399,高値!I399&gt;高値!K399),4,""))</f>
        <v/>
      </c>
      <c r="AF399" s="503" t="str">
        <f>IF(終値!A399="","",IF(AND(高値!J399&gt;高値!I399,高値!J399&gt;高値!H399,高値!J399&gt;高値!K399,高値!J399&gt;高値!L399),5,""))</f>
        <v/>
      </c>
      <c r="AG399" s="503" t="str">
        <f>IF(終値!A399="","",IF(AND(高値!K399&gt;高値!J399,高値!K399&gt;高値!I399,高値!K399&gt;高値!L399,高値!K399&gt;高値!M399),6,""))</f>
        <v/>
      </c>
      <c r="AH399" s="503" t="str">
        <f>IF(終値!A399="","",IF(AND(高値!L399&gt;高値!K399,高値!L399&gt;高値!J399,高値!L399&gt;高値!M399,高値!L399&gt;高値!N399),7,""))</f>
        <v/>
      </c>
      <c r="AI399" s="503" t="str">
        <f>IF(終値!A399="","",IF(AND(高値!M399&gt;高値!L399,高値!M399&gt;高値!K399,高値!M399&gt;高値!N399,高値!M399&gt;高値!O399),8,""))</f>
        <v/>
      </c>
      <c r="AJ399" s="503" t="str">
        <f>IF(終値!A399="","",IF(AND(高値!N399&gt;高値!M399,高値!N399&gt;高値!L399,高値!N399&gt;高値!O399,高値!N399&gt;高値!P399),9,""))</f>
        <v/>
      </c>
      <c r="AK399" s="503" t="str">
        <f>IF(終値!A399="","",IF(AND(高値!O399&gt;高値!N399,高値!O399&gt;高値!M399,高値!O399&gt;高値!P399,高値!O399&gt;高値!Q399),10,""))</f>
        <v/>
      </c>
      <c r="AL399" s="503" t="str">
        <f>IF(終値!A399="","",IF(AND(高値!P399&gt;高値!O399,高値!P399&gt;高値!N399,高値!P399&gt;高値!Q399,高値!P399&gt;高値!R399),11,""))</f>
        <v/>
      </c>
      <c r="AM399" s="503" t="str">
        <f>IF(終値!A399="","",IF(AND(高値!Q399&gt;高値!P399,高値!Q399&gt;高値!O399,高値!Q399&gt;高値!R399,高値!Q399&gt;高値!S399),12,""))</f>
        <v/>
      </c>
      <c r="AN399" s="503" t="str">
        <f>IF(終値!A399="","",IF(AND(高値!R399&gt;高値!Q399,高値!R399&gt;高値!P399,高値!R399&gt;高値!S399,高値!R399&gt;高値!T399),13,""))</f>
        <v/>
      </c>
      <c r="AO399" s="503" t="str">
        <f>IF(終値!A399="","",IF(AND(高値!S399&gt;高値!R399,高値!S399&gt;高値!Q399,高値!S399&gt;高値!T399,高値!S399&gt;高値!U399),14,""))</f>
        <v/>
      </c>
      <c r="AP399" s="503" t="str">
        <f>IF(終値!A399="","",IF(AND(高値!T399&gt;高値!S399,高値!T399&gt;高値!R399,高値!T399&gt;高値!U399,高値!T399&gt;高値!V399),15,""))</f>
        <v/>
      </c>
      <c r="AQ399" s="503" t="str">
        <f>IF(終値!A399="","",IF(AND(高値!U399&gt;高値!T399,高値!U399&gt;高値!S399,高値!U399&gt;高値!V399,高値!U399&gt;高値!W399),16,""))</f>
        <v/>
      </c>
      <c r="AR399" s="503" t="str">
        <f>IF(終値!A399="","",IF(AND(高値!V399&gt;高値!U399,高値!V399&gt;高値!T399,高値!V399&gt;高値!W399,高値!V399&gt;高値!X399),17,""))</f>
        <v/>
      </c>
      <c r="AS399" s="503" t="str">
        <f>IF(終値!A399="","",IF(AND(高値!W399&gt;高値!V399,高値!W399&gt;高値!U399,高値!W399&gt;高値!X399,高値!W399&gt;高値!Y399),18,""))</f>
        <v/>
      </c>
      <c r="AT399" s="503" t="str">
        <f>IF(終値!A399="","",IF(AND(高値!X399&gt;高値!W399,高値!X399&gt;高値!V399,高値!X399&gt;高値!Y399,高値!X399&gt;高値!Z399),19,""))</f>
        <v/>
      </c>
      <c r="AU399" s="503" t="str">
        <f>IF(終値!A399="","",IF(AND(高値!Y399&gt;高値!X399,高値!Y399&gt;高値!W399,高値!Y399&gt;高値!Z399,高値!Y399&gt;高値!AA399),20,""))</f>
        <v/>
      </c>
      <c r="AV399" s="503" t="str">
        <f>IF(終値!A399="","",IF(AND(高値!Z399&gt;高値!Y399,高値!Z399&gt;高値!X399,高値!Z399&gt;高値!AA399,高値!Z399&gt;高値!AB399),21,""))</f>
        <v/>
      </c>
      <c r="AW399" s="503" t="str">
        <f>IF(終値!A399="","",IF(AND(高値!AA399&gt;高値!Z399,高値!AA399&gt;高値!Y399,高値!AA399&gt;高値!AB399,高値!AA399&gt;高値!AC399),22,""))</f>
        <v/>
      </c>
      <c r="AX399" s="503" t="str">
        <f>IF(終値!A399="","",IF(AND(高値!AB399&gt;高値!AA399,高値!AB399&gt;高値!Z399,高値!AB399&gt;高値!AC399,高値!AB399&gt;高値!AD399),23,""))</f>
        <v/>
      </c>
      <c r="AY399" s="503" t="str">
        <f>IF(終値!A399="","",IF(AND(高値!AC399&gt;高値!AB399,高値!AC399&gt;高値!AA399,高値!AC399&gt;高値!AD399,高値!AC399&gt;高値!AE399),24,""))</f>
        <v/>
      </c>
      <c r="AZ399" s="503" t="str">
        <f>IF(終値!A399="","",IF(AND(高値!AD399&gt;高値!AC399,高値!AD399&gt;高値!AB399,高値!AD399&gt;高値!AE399,高値!AD399&gt;高値!AF399),25,""))</f>
        <v/>
      </c>
      <c r="BA399" s="503" t="str">
        <f>IF(終値!A399="","",IF(AND(高値!AE399&gt;高値!AD399,高値!AE399&gt;高値!AC399,高値!AE399&gt;高値!AF399,高値!AE399&gt;高値!AG399),26,""))</f>
        <v/>
      </c>
      <c r="BB399" s="503" t="str">
        <f>IF(終値!A399="","",IF(AND(高値!AF399&gt;高値!AE399,高値!AF399&gt;高値!AD399,高値!AF399&gt;高値!AG399,高値!AF399&gt;高値!AH399),27,""))</f>
        <v/>
      </c>
      <c r="BC399" s="503" t="str">
        <f>IF(終値!A399="","",IF(AND(高値!AG399&gt;高値!AF399,高値!AG399&gt;高値!AE399,高値!AG399&gt;高値!AH399,高値!AG399&gt;高値!AI399),28,""))</f>
        <v/>
      </c>
      <c r="BD399" s="503">
        <f t="shared" si="36"/>
        <v>0</v>
      </c>
      <c r="BE399" s="503" t="str">
        <f t="shared" si="37"/>
        <v/>
      </c>
      <c r="BF399" s="503" t="str">
        <f t="shared" si="38"/>
        <v/>
      </c>
      <c r="BG399" s="503" t="str">
        <f>IF($BE399="","",INDEX(安値!$E399:$CZ399,1,$BE399+1))</f>
        <v/>
      </c>
      <c r="BH399" s="503" t="str">
        <f>IF($BF399="","",INDEX(安値!$E399:$CZ399,1,$BF399+1))</f>
        <v/>
      </c>
      <c r="BI399" s="503" t="str">
        <f>IF($BF399="","",MAX(INDEX(高値!$E399:$CZ399,1,$BE399+1):INDEX(高値!$E399:$CZ399,1,$BF399+1)))</f>
        <v/>
      </c>
      <c r="BJ399" s="503" t="str">
        <f>IF($BF399="","",AVERAGE(INDEX(終値!$E399:$CZ399,1,$BF399+1):INDEX(終値!$E399:$CZ399,1,$BF399+20))-2*STDEVP(INDEX(終値!$E399:$CZ399,1,$BF399+1):INDEX(終値!$E399:$CZ399,1,$BF399+20)))</f>
        <v/>
      </c>
      <c r="BK399" s="503" t="str">
        <f>IF($BE399="","",AVERAGE(INDEX(終値!$E399:$CZ399,1,$BE399+1):INDEX(終値!$E399:$CZ399,1,$BE399+20))-2*STDEVP(INDEX(終値!$E399:$CZ399,1,$BE399+1):INDEX(終値!$E399:$CZ399,1,$BE399+20)))</f>
        <v/>
      </c>
      <c r="BL399" s="503">
        <f t="shared" si="39"/>
        <v>0</v>
      </c>
      <c r="BM399" s="503" t="str">
        <f t="shared" si="40"/>
        <v/>
      </c>
      <c r="BN399" s="503" t="str">
        <f t="shared" si="41"/>
        <v/>
      </c>
      <c r="BO399" s="503" t="str">
        <f>IF($BM399="","",INDEX(高値!$E399:$CZ399,1,$BM399+1))</f>
        <v/>
      </c>
      <c r="BP399" s="503" t="str">
        <f>IF($BN399="","",INDEX(高値!$E399:$CZ399,1,$BN399+1))</f>
        <v/>
      </c>
      <c r="BQ399" s="503" t="str">
        <f>IF($BN399="","",MIN(INDEX(安値!$E399:$CZ399,1,$BM399+1):INDEX(安値!$E399:$CZ399,1,$BN399+1)))</f>
        <v/>
      </c>
      <c r="BR399" s="503" t="str">
        <f>IF($BN399="","",AVERAGE(INDEX(終値!$E399:$CZ399,1,$BN399+1):INDEX(終値!$E399:$CZ399,1,$BN399+20))+2*STDEVP(INDEX(終値!$E399:$CZ399,1,$BN399+1):INDEX(終値!$E399:$CZ399,1,$BN399+20)))</f>
        <v/>
      </c>
      <c r="BS399" s="503" t="str">
        <f>IF($BM399="","",AVERAGE(INDEX(終値!$E399:$CZ399,1,$BM399+1):INDEX(終値!$E399:$CZ399,1,$BM399+20))+2*STDEVP(INDEX(終値!$E399:$CZ399,1,$BM399+1):INDEX(終値!$E399:$CZ399,1,$BM399+20)))</f>
        <v/>
      </c>
      <c r="BT399" s="500"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3" t="str">
        <f>IF(終値!A400="","",IF(AND(安値!G400&lt;安値!F400,安値!G400&lt;安値!E400,安値!G400&lt;安値!H400,安値!G400&lt;安値!I400),2,""))</f>
        <v/>
      </c>
      <c r="C400" s="503" t="str">
        <f>IF(終値!A400="","",IF(AND(安値!H400&lt;安値!G400,安値!H400&lt;安値!F400,安値!H400&lt;安値!I400,安値!H400&lt;安値!J400),3,""))</f>
        <v/>
      </c>
      <c r="D400" s="503" t="str">
        <f>IF(終値!A400="","",IF(AND(安値!I400&lt;安値!H400,安値!I400&lt;安値!G400,安値!I400&lt;安値!J400,安値!I400&lt;安値!K400),4,""))</f>
        <v/>
      </c>
      <c r="E400" s="503" t="str">
        <f>IF(終値!A400="","",IF(AND(安値!J400&lt;安値!I400,安値!J400&lt;安値!H400,安値!J400&lt;安値!K400,安値!J400&lt;安値!L400),5,""))</f>
        <v/>
      </c>
      <c r="F400" s="503" t="str">
        <f>IF(終値!A400="","",IF(AND(安値!K400&lt;安値!J400,安値!K400&lt;安値!I400,安値!K400&lt;安値!L400,安値!K400&lt;安値!M400),6,""))</f>
        <v/>
      </c>
      <c r="G400" s="503" t="str">
        <f>IF(終値!A400="","",IF(AND(安値!L400&lt;安値!K400,安値!L400&lt;安値!J400,安値!L400&lt;安値!M400,安値!L400&lt;安値!N400),7,""))</f>
        <v/>
      </c>
      <c r="H400" s="503" t="str">
        <f>IF(終値!A400="","",IF(AND(安値!M400&lt;安値!L400,安値!M400&lt;安値!K400,安値!M400&lt;安値!N400,安値!M400&lt;安値!O400),8,""))</f>
        <v/>
      </c>
      <c r="I400" s="503" t="str">
        <f>IF(終値!A400="","",IF(AND(安値!N400&lt;安値!M400,安値!N400&lt;安値!L400,安値!N400&lt;安値!O400,安値!N400&lt;安値!P400),9,""))</f>
        <v/>
      </c>
      <c r="J400" s="503" t="str">
        <f>IF(終値!A400="","",IF(AND(安値!O400&lt;安値!N400,安値!O400&lt;安値!M400,安値!O400&lt;安値!P400,安値!O400&lt;安値!Q400),10,""))</f>
        <v/>
      </c>
      <c r="K400" s="503" t="str">
        <f>IF(終値!A400="","",IF(AND(安値!P400&lt;安値!O400,安値!P400&lt;安値!N400,安値!P400&lt;安値!Q400,安値!P400&lt;安値!R400),11,""))</f>
        <v/>
      </c>
      <c r="L400" s="503" t="str">
        <f>IF(終値!A400="","",IF(AND(安値!Q400&lt;安値!P400,安値!Q400&lt;安値!O400,安値!Q400&lt;安値!R400,安値!Q400&lt;安値!S400),12,""))</f>
        <v/>
      </c>
      <c r="M400" s="503" t="str">
        <f>IF(終値!A400="","",IF(AND(安値!R400&lt;安値!Q400,安値!R400&lt;安値!P400,安値!R400&lt;安値!S400,安値!R400&lt;安値!T400),13,""))</f>
        <v/>
      </c>
      <c r="N400" s="503" t="str">
        <f>IF(終値!A400="","",IF(AND(安値!S400&lt;安値!R400,安値!S400&lt;安値!Q400,安値!S400&lt;安値!T400,安値!S400&lt;安値!U400),14,""))</f>
        <v/>
      </c>
      <c r="O400" s="503" t="str">
        <f>IF(終値!A400="","",IF(AND(安値!T400&lt;安値!S400,安値!T400&lt;安値!R400,安値!T400&lt;安値!U400,安値!T400&lt;安値!V400),15,""))</f>
        <v/>
      </c>
      <c r="P400" s="503" t="str">
        <f>IF(終値!A400="","",IF(AND(安値!U400&lt;安値!T400,安値!U400&lt;安値!S400,安値!U400&lt;安値!V400,安値!U400&lt;安値!W400),16,""))</f>
        <v/>
      </c>
      <c r="Q400" s="503" t="str">
        <f>IF(終値!A400="","",IF(AND(安値!V400&lt;安値!U400,安値!V400&lt;安値!T400,安値!V400&lt;安値!W400,安値!V400&lt;安値!X400),17,""))</f>
        <v/>
      </c>
      <c r="R400" s="503" t="str">
        <f>IF(終値!A400="","",IF(AND(安値!W400&lt;安値!V400,安値!W400&lt;安値!U400,安値!W400&lt;安値!X400,安値!W400&lt;安値!Y400),18,""))</f>
        <v/>
      </c>
      <c r="S400" s="503" t="str">
        <f>IF(終値!A400="","",IF(AND(安値!X400&lt;安値!W400,安値!X400&lt;安値!V400,安値!X400&lt;安値!Y400,安値!X400&lt;安値!Z400),19,""))</f>
        <v/>
      </c>
      <c r="T400" s="503" t="str">
        <f>IF(終値!A400="","",IF(AND(安値!Y400&lt;安値!X400,安値!Y400&lt;安値!W400,安値!Y400&lt;安値!Z400,安値!Y400&lt;安値!AA400),20,""))</f>
        <v/>
      </c>
      <c r="U400" s="503" t="str">
        <f>IF(終値!A400="","",IF(AND(安値!Z400&lt;安値!Y400,安値!Z400&lt;安値!X400,安値!Z400&lt;安値!AA400,安値!Z400&lt;安値!AB400),21,""))</f>
        <v/>
      </c>
      <c r="V400" s="503" t="str">
        <f>IF(終値!A400="","",IF(AND(安値!AA400&lt;安値!Z400,安値!AA400&lt;安値!Y400,安値!AA400&lt;安値!AB400,安値!AA400&lt;安値!AC400),22,""))</f>
        <v/>
      </c>
      <c r="W400" s="503" t="str">
        <f>IF(終値!A400="","",IF(AND(安値!AB400&lt;安値!AA400,安値!AB400&lt;安値!Z400,安値!AB400&lt;安値!AC400,安値!AB400&lt;安値!AD400),23,""))</f>
        <v/>
      </c>
      <c r="X400" s="503" t="str">
        <f>IF(終値!A400="","",IF(AND(安値!AC400&lt;安値!AB400,安値!AC400&lt;安値!AA400,安値!AC400&lt;安値!AD400,安値!AC400&lt;安値!AE400),24,""))</f>
        <v/>
      </c>
      <c r="Y400" s="503" t="str">
        <f>IF(終値!A400="","",IF(AND(安値!AD400&lt;安値!AC400,安値!AD400&lt;安値!AB400,安値!AD400&lt;安値!AE400,安値!AD400&lt;安値!AF400),25,""))</f>
        <v/>
      </c>
      <c r="Z400" s="503" t="str">
        <f>IF(終値!A400="","",IF(AND(安値!AE400&lt;安値!AD400,安値!AE400&lt;安値!AC400,安値!AE400&lt;安値!AF400,安値!AE400&lt;安値!AG400),26,""))</f>
        <v/>
      </c>
      <c r="AA400" s="503" t="str">
        <f>IF(終値!A400="","",IF(AND(安値!AF400&lt;安値!AE400,安値!AF400&lt;安値!AD400,安値!AF400&lt;安値!AG400,安値!AF400&lt;安値!AH400),27,""))</f>
        <v/>
      </c>
      <c r="AB400" s="503" t="str">
        <f>IF(終値!A400="","",IF(AND(安値!AG400&lt;安値!AF400,安値!AG400&lt;安値!AE400,安値!AG400&lt;安値!AH400,安値!AG400&lt;安値!AI400),28,""))</f>
        <v/>
      </c>
      <c r="AC400" s="503" t="str">
        <f>IF(終値!A400="","",IF(AND(高値!G400&gt;高値!F400,高値!G400&gt;高値!E400,高値!G400&gt;高値!H400,高値!G400&gt;高値!I400),2,""))</f>
        <v/>
      </c>
      <c r="AD400" s="503" t="str">
        <f>IF(終値!A400="","",IF(AND(高値!H400&gt;高値!G400,高値!H400&gt;高値!F400,高値!H400&gt;高値!I400,高値!H400&gt;高値!J400),3,""))</f>
        <v/>
      </c>
      <c r="AE400" s="503" t="str">
        <f>IF(終値!A400="","",IF(AND(高値!I400&gt;高値!H400,高値!I400&gt;高値!G400,高値!I400&gt;高値!J400,高値!I400&gt;高値!K400),4,""))</f>
        <v/>
      </c>
      <c r="AF400" s="503" t="str">
        <f>IF(終値!A400="","",IF(AND(高値!J400&gt;高値!I400,高値!J400&gt;高値!H400,高値!J400&gt;高値!K400,高値!J400&gt;高値!L400),5,""))</f>
        <v/>
      </c>
      <c r="AG400" s="503" t="str">
        <f>IF(終値!A400="","",IF(AND(高値!K400&gt;高値!J400,高値!K400&gt;高値!I400,高値!K400&gt;高値!L400,高値!K400&gt;高値!M400),6,""))</f>
        <v/>
      </c>
      <c r="AH400" s="503" t="str">
        <f>IF(終値!A400="","",IF(AND(高値!L400&gt;高値!K400,高値!L400&gt;高値!J400,高値!L400&gt;高値!M400,高値!L400&gt;高値!N400),7,""))</f>
        <v/>
      </c>
      <c r="AI400" s="503" t="str">
        <f>IF(終値!A400="","",IF(AND(高値!M400&gt;高値!L400,高値!M400&gt;高値!K400,高値!M400&gt;高値!N400,高値!M400&gt;高値!O400),8,""))</f>
        <v/>
      </c>
      <c r="AJ400" s="503" t="str">
        <f>IF(終値!A400="","",IF(AND(高値!N400&gt;高値!M400,高値!N400&gt;高値!L400,高値!N400&gt;高値!O400,高値!N400&gt;高値!P400),9,""))</f>
        <v/>
      </c>
      <c r="AK400" s="503" t="str">
        <f>IF(終値!A400="","",IF(AND(高値!O400&gt;高値!N400,高値!O400&gt;高値!M400,高値!O400&gt;高値!P400,高値!O400&gt;高値!Q400),10,""))</f>
        <v/>
      </c>
      <c r="AL400" s="503" t="str">
        <f>IF(終値!A400="","",IF(AND(高値!P400&gt;高値!O400,高値!P400&gt;高値!N400,高値!P400&gt;高値!Q400,高値!P400&gt;高値!R400),11,""))</f>
        <v/>
      </c>
      <c r="AM400" s="503" t="str">
        <f>IF(終値!A400="","",IF(AND(高値!Q400&gt;高値!P400,高値!Q400&gt;高値!O400,高値!Q400&gt;高値!R400,高値!Q400&gt;高値!S400),12,""))</f>
        <v/>
      </c>
      <c r="AN400" s="503" t="str">
        <f>IF(終値!A400="","",IF(AND(高値!R400&gt;高値!Q400,高値!R400&gt;高値!P400,高値!R400&gt;高値!S400,高値!R400&gt;高値!T400),13,""))</f>
        <v/>
      </c>
      <c r="AO400" s="503" t="str">
        <f>IF(終値!A400="","",IF(AND(高値!S400&gt;高値!R400,高値!S400&gt;高値!Q400,高値!S400&gt;高値!T400,高値!S400&gt;高値!U400),14,""))</f>
        <v/>
      </c>
      <c r="AP400" s="503" t="str">
        <f>IF(終値!A400="","",IF(AND(高値!T400&gt;高値!S400,高値!T400&gt;高値!R400,高値!T400&gt;高値!U400,高値!T400&gt;高値!V400),15,""))</f>
        <v/>
      </c>
      <c r="AQ400" s="503" t="str">
        <f>IF(終値!A400="","",IF(AND(高値!U400&gt;高値!T400,高値!U400&gt;高値!S400,高値!U400&gt;高値!V400,高値!U400&gt;高値!W400),16,""))</f>
        <v/>
      </c>
      <c r="AR400" s="503" t="str">
        <f>IF(終値!A400="","",IF(AND(高値!V400&gt;高値!U400,高値!V400&gt;高値!T400,高値!V400&gt;高値!W400,高値!V400&gt;高値!X400),17,""))</f>
        <v/>
      </c>
      <c r="AS400" s="503" t="str">
        <f>IF(終値!A400="","",IF(AND(高値!W400&gt;高値!V400,高値!W400&gt;高値!U400,高値!W400&gt;高値!X400,高値!W400&gt;高値!Y400),18,""))</f>
        <v/>
      </c>
      <c r="AT400" s="503" t="str">
        <f>IF(終値!A400="","",IF(AND(高値!X400&gt;高値!W400,高値!X400&gt;高値!V400,高値!X400&gt;高値!Y400,高値!X400&gt;高値!Z400),19,""))</f>
        <v/>
      </c>
      <c r="AU400" s="503" t="str">
        <f>IF(終値!A400="","",IF(AND(高値!Y400&gt;高値!X400,高値!Y400&gt;高値!W400,高値!Y400&gt;高値!Z400,高値!Y400&gt;高値!AA400),20,""))</f>
        <v/>
      </c>
      <c r="AV400" s="503" t="str">
        <f>IF(終値!A400="","",IF(AND(高値!Z400&gt;高値!Y400,高値!Z400&gt;高値!X400,高値!Z400&gt;高値!AA400,高値!Z400&gt;高値!AB400),21,""))</f>
        <v/>
      </c>
      <c r="AW400" s="503" t="str">
        <f>IF(終値!A400="","",IF(AND(高値!AA400&gt;高値!Z400,高値!AA400&gt;高値!Y400,高値!AA400&gt;高値!AB400,高値!AA400&gt;高値!AC400),22,""))</f>
        <v/>
      </c>
      <c r="AX400" s="503" t="str">
        <f>IF(終値!A400="","",IF(AND(高値!AB400&gt;高値!AA400,高値!AB400&gt;高値!Z400,高値!AB400&gt;高値!AC400,高値!AB400&gt;高値!AD400),23,""))</f>
        <v/>
      </c>
      <c r="AY400" s="503" t="str">
        <f>IF(終値!A400="","",IF(AND(高値!AC400&gt;高値!AB400,高値!AC400&gt;高値!AA400,高値!AC400&gt;高値!AD400,高値!AC400&gt;高値!AE400),24,""))</f>
        <v/>
      </c>
      <c r="AZ400" s="503" t="str">
        <f>IF(終値!A400="","",IF(AND(高値!AD400&gt;高値!AC400,高値!AD400&gt;高値!AB400,高値!AD400&gt;高値!AE400,高値!AD400&gt;高値!AF400),25,""))</f>
        <v/>
      </c>
      <c r="BA400" s="503" t="str">
        <f>IF(終値!A400="","",IF(AND(高値!AE400&gt;高値!AD400,高値!AE400&gt;高値!AC400,高値!AE400&gt;高値!AF400,高値!AE400&gt;高値!AG400),26,""))</f>
        <v/>
      </c>
      <c r="BB400" s="503" t="str">
        <f>IF(終値!A400="","",IF(AND(高値!AF400&gt;高値!AE400,高値!AF400&gt;高値!AD400,高値!AF400&gt;高値!AG400,高値!AF400&gt;高値!AH400),27,""))</f>
        <v/>
      </c>
      <c r="BC400" s="503" t="str">
        <f>IF(終値!A400="","",IF(AND(高値!AG400&gt;高値!AF400,高値!AG400&gt;高値!AE400,高値!AG400&gt;高値!AH400,高値!AG400&gt;高値!AI400),28,""))</f>
        <v/>
      </c>
      <c r="BD400" s="503">
        <f t="shared" si="36"/>
        <v>0</v>
      </c>
      <c r="BE400" s="503" t="str">
        <f t="shared" si="37"/>
        <v/>
      </c>
      <c r="BF400" s="503" t="str">
        <f t="shared" si="38"/>
        <v/>
      </c>
      <c r="BG400" s="503" t="str">
        <f>IF($BE400="","",INDEX(安値!$E400:$CZ400,1,$BE400+1))</f>
        <v/>
      </c>
      <c r="BH400" s="503" t="str">
        <f>IF($BF400="","",INDEX(安値!$E400:$CZ400,1,$BF400+1))</f>
        <v/>
      </c>
      <c r="BI400" s="503" t="str">
        <f>IF($BF400="","",MAX(INDEX(高値!$E400:$CZ400,1,$BE400+1):INDEX(高値!$E400:$CZ400,1,$BF400+1)))</f>
        <v/>
      </c>
      <c r="BJ400" s="503" t="str">
        <f>IF($BF400="","",AVERAGE(INDEX(終値!$E400:$CZ400,1,$BF400+1):INDEX(終値!$E400:$CZ400,1,$BF400+20))-2*STDEVP(INDEX(終値!$E400:$CZ400,1,$BF400+1):INDEX(終値!$E400:$CZ400,1,$BF400+20)))</f>
        <v/>
      </c>
      <c r="BK400" s="503" t="str">
        <f>IF($BE400="","",AVERAGE(INDEX(終値!$E400:$CZ400,1,$BE400+1):INDEX(終値!$E400:$CZ400,1,$BE400+20))-2*STDEVP(INDEX(終値!$E400:$CZ400,1,$BE400+1):INDEX(終値!$E400:$CZ400,1,$BE400+20)))</f>
        <v/>
      </c>
      <c r="BL400" s="503">
        <f t="shared" si="39"/>
        <v>0</v>
      </c>
      <c r="BM400" s="503" t="str">
        <f t="shared" si="40"/>
        <v/>
      </c>
      <c r="BN400" s="503" t="str">
        <f t="shared" si="41"/>
        <v/>
      </c>
      <c r="BO400" s="503" t="str">
        <f>IF($BM400="","",INDEX(高値!$E400:$CZ400,1,$BM400+1))</f>
        <v/>
      </c>
      <c r="BP400" s="503" t="str">
        <f>IF($BN400="","",INDEX(高値!$E400:$CZ400,1,$BN400+1))</f>
        <v/>
      </c>
      <c r="BQ400" s="503" t="str">
        <f>IF($BN400="","",MIN(INDEX(安値!$E400:$CZ400,1,$BM400+1):INDEX(安値!$E400:$CZ400,1,$BN400+1)))</f>
        <v/>
      </c>
      <c r="BR400" s="503" t="str">
        <f>IF($BN400="","",AVERAGE(INDEX(終値!$E400:$CZ400,1,$BN400+1):INDEX(終値!$E400:$CZ400,1,$BN400+20))+2*STDEVP(INDEX(終値!$E400:$CZ400,1,$BN400+1):INDEX(終値!$E400:$CZ400,1,$BN400+20)))</f>
        <v/>
      </c>
      <c r="BS400" s="503" t="str">
        <f>IF($BM400="","",AVERAGE(INDEX(終値!$E400:$CZ400,1,$BM400+1):INDEX(終値!$E400:$CZ400,1,$BM400+20))+2*STDEVP(INDEX(終値!$E400:$CZ400,1,$BM400+1):INDEX(終値!$E400:$CZ400,1,$BM400+20)))</f>
        <v/>
      </c>
      <c r="BT400" s="500"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3" t="str">
        <f>IF(終値!A401="","",IF(AND(安値!G401&lt;安値!F401,安値!G401&lt;安値!E401,安値!G401&lt;安値!H401,安値!G401&lt;安値!I401),2,""))</f>
        <v/>
      </c>
      <c r="C401" s="503" t="str">
        <f>IF(終値!A401="","",IF(AND(安値!H401&lt;安値!G401,安値!H401&lt;安値!F401,安値!H401&lt;安値!I401,安値!H401&lt;安値!J401),3,""))</f>
        <v/>
      </c>
      <c r="D401" s="503" t="str">
        <f>IF(終値!A401="","",IF(AND(安値!I401&lt;安値!H401,安値!I401&lt;安値!G401,安値!I401&lt;安値!J401,安値!I401&lt;安値!K401),4,""))</f>
        <v/>
      </c>
      <c r="E401" s="503" t="str">
        <f>IF(終値!A401="","",IF(AND(安値!J401&lt;安値!I401,安値!J401&lt;安値!H401,安値!J401&lt;安値!K401,安値!J401&lt;安値!L401),5,""))</f>
        <v/>
      </c>
      <c r="F401" s="503" t="str">
        <f>IF(終値!A401="","",IF(AND(安値!K401&lt;安値!J401,安値!K401&lt;安値!I401,安値!K401&lt;安値!L401,安値!K401&lt;安値!M401),6,""))</f>
        <v/>
      </c>
      <c r="G401" s="503" t="str">
        <f>IF(終値!A401="","",IF(AND(安値!L401&lt;安値!K401,安値!L401&lt;安値!J401,安値!L401&lt;安値!M401,安値!L401&lt;安値!N401),7,""))</f>
        <v/>
      </c>
      <c r="H401" s="503" t="str">
        <f>IF(終値!A401="","",IF(AND(安値!M401&lt;安値!L401,安値!M401&lt;安値!K401,安値!M401&lt;安値!N401,安値!M401&lt;安値!O401),8,""))</f>
        <v/>
      </c>
      <c r="I401" s="503" t="str">
        <f>IF(終値!A401="","",IF(AND(安値!N401&lt;安値!M401,安値!N401&lt;安値!L401,安値!N401&lt;安値!O401,安値!N401&lt;安値!P401),9,""))</f>
        <v/>
      </c>
      <c r="J401" s="503" t="str">
        <f>IF(終値!A401="","",IF(AND(安値!O401&lt;安値!N401,安値!O401&lt;安値!M401,安値!O401&lt;安値!P401,安値!O401&lt;安値!Q401),10,""))</f>
        <v/>
      </c>
      <c r="K401" s="503" t="str">
        <f>IF(終値!A401="","",IF(AND(安値!P401&lt;安値!O401,安値!P401&lt;安値!N401,安値!P401&lt;安値!Q401,安値!P401&lt;安値!R401),11,""))</f>
        <v/>
      </c>
      <c r="L401" s="503" t="str">
        <f>IF(終値!A401="","",IF(AND(安値!Q401&lt;安値!P401,安値!Q401&lt;安値!O401,安値!Q401&lt;安値!R401,安値!Q401&lt;安値!S401),12,""))</f>
        <v/>
      </c>
      <c r="M401" s="503" t="str">
        <f>IF(終値!A401="","",IF(AND(安値!R401&lt;安値!Q401,安値!R401&lt;安値!P401,安値!R401&lt;安値!S401,安値!R401&lt;安値!T401),13,""))</f>
        <v/>
      </c>
      <c r="N401" s="503" t="str">
        <f>IF(終値!A401="","",IF(AND(安値!S401&lt;安値!R401,安値!S401&lt;安値!Q401,安値!S401&lt;安値!T401,安値!S401&lt;安値!U401),14,""))</f>
        <v/>
      </c>
      <c r="O401" s="503" t="str">
        <f>IF(終値!A401="","",IF(AND(安値!T401&lt;安値!S401,安値!T401&lt;安値!R401,安値!T401&lt;安値!U401,安値!T401&lt;安値!V401),15,""))</f>
        <v/>
      </c>
      <c r="P401" s="503" t="str">
        <f>IF(終値!A401="","",IF(AND(安値!U401&lt;安値!T401,安値!U401&lt;安値!S401,安値!U401&lt;安値!V401,安値!U401&lt;安値!W401),16,""))</f>
        <v/>
      </c>
      <c r="Q401" s="503" t="str">
        <f>IF(終値!A401="","",IF(AND(安値!V401&lt;安値!U401,安値!V401&lt;安値!T401,安値!V401&lt;安値!W401,安値!V401&lt;安値!X401),17,""))</f>
        <v/>
      </c>
      <c r="R401" s="503" t="str">
        <f>IF(終値!A401="","",IF(AND(安値!W401&lt;安値!V401,安値!W401&lt;安値!U401,安値!W401&lt;安値!X401,安値!W401&lt;安値!Y401),18,""))</f>
        <v/>
      </c>
      <c r="S401" s="503" t="str">
        <f>IF(終値!A401="","",IF(AND(安値!X401&lt;安値!W401,安値!X401&lt;安値!V401,安値!X401&lt;安値!Y401,安値!X401&lt;安値!Z401),19,""))</f>
        <v/>
      </c>
      <c r="T401" s="503" t="str">
        <f>IF(終値!A401="","",IF(AND(安値!Y401&lt;安値!X401,安値!Y401&lt;安値!W401,安値!Y401&lt;安値!Z401,安値!Y401&lt;安値!AA401),20,""))</f>
        <v/>
      </c>
      <c r="U401" s="503" t="str">
        <f>IF(終値!A401="","",IF(AND(安値!Z401&lt;安値!Y401,安値!Z401&lt;安値!X401,安値!Z401&lt;安値!AA401,安値!Z401&lt;安値!AB401),21,""))</f>
        <v/>
      </c>
      <c r="V401" s="503" t="str">
        <f>IF(終値!A401="","",IF(AND(安値!AA401&lt;安値!Z401,安値!AA401&lt;安値!Y401,安値!AA401&lt;安値!AB401,安値!AA401&lt;安値!AC401),22,""))</f>
        <v/>
      </c>
      <c r="W401" s="503" t="str">
        <f>IF(終値!A401="","",IF(AND(安値!AB401&lt;安値!AA401,安値!AB401&lt;安値!Z401,安値!AB401&lt;安値!AC401,安値!AB401&lt;安値!AD401),23,""))</f>
        <v/>
      </c>
      <c r="X401" s="503" t="str">
        <f>IF(終値!A401="","",IF(AND(安値!AC401&lt;安値!AB401,安値!AC401&lt;安値!AA401,安値!AC401&lt;安値!AD401,安値!AC401&lt;安値!AE401),24,""))</f>
        <v/>
      </c>
      <c r="Y401" s="503" t="str">
        <f>IF(終値!A401="","",IF(AND(安値!AD401&lt;安値!AC401,安値!AD401&lt;安値!AB401,安値!AD401&lt;安値!AE401,安値!AD401&lt;安値!AF401),25,""))</f>
        <v/>
      </c>
      <c r="Z401" s="503" t="str">
        <f>IF(終値!A401="","",IF(AND(安値!AE401&lt;安値!AD401,安値!AE401&lt;安値!AC401,安値!AE401&lt;安値!AF401,安値!AE401&lt;安値!AG401),26,""))</f>
        <v/>
      </c>
      <c r="AA401" s="503" t="str">
        <f>IF(終値!A401="","",IF(AND(安値!AF401&lt;安値!AE401,安値!AF401&lt;安値!AD401,安値!AF401&lt;安値!AG401,安値!AF401&lt;安値!AH401),27,""))</f>
        <v/>
      </c>
      <c r="AB401" s="503" t="str">
        <f>IF(終値!A401="","",IF(AND(安値!AG401&lt;安値!AF401,安値!AG401&lt;安値!AE401,安値!AG401&lt;安値!AH401,安値!AG401&lt;安値!AI401),28,""))</f>
        <v/>
      </c>
      <c r="AC401" s="503" t="str">
        <f>IF(終値!A401="","",IF(AND(高値!G401&gt;高値!F401,高値!G401&gt;高値!E401,高値!G401&gt;高値!H401,高値!G401&gt;高値!I401),2,""))</f>
        <v/>
      </c>
      <c r="AD401" s="503" t="str">
        <f>IF(終値!A401="","",IF(AND(高値!H401&gt;高値!G401,高値!H401&gt;高値!F401,高値!H401&gt;高値!I401,高値!H401&gt;高値!J401),3,""))</f>
        <v/>
      </c>
      <c r="AE401" s="503" t="str">
        <f>IF(終値!A401="","",IF(AND(高値!I401&gt;高値!H401,高値!I401&gt;高値!G401,高値!I401&gt;高値!J401,高値!I401&gt;高値!K401),4,""))</f>
        <v/>
      </c>
      <c r="AF401" s="503" t="str">
        <f>IF(終値!A401="","",IF(AND(高値!J401&gt;高値!I401,高値!J401&gt;高値!H401,高値!J401&gt;高値!K401,高値!J401&gt;高値!L401),5,""))</f>
        <v/>
      </c>
      <c r="AG401" s="503" t="str">
        <f>IF(終値!A401="","",IF(AND(高値!K401&gt;高値!J401,高値!K401&gt;高値!I401,高値!K401&gt;高値!L401,高値!K401&gt;高値!M401),6,""))</f>
        <v/>
      </c>
      <c r="AH401" s="503" t="str">
        <f>IF(終値!A401="","",IF(AND(高値!L401&gt;高値!K401,高値!L401&gt;高値!J401,高値!L401&gt;高値!M401,高値!L401&gt;高値!N401),7,""))</f>
        <v/>
      </c>
      <c r="AI401" s="503" t="str">
        <f>IF(終値!A401="","",IF(AND(高値!M401&gt;高値!L401,高値!M401&gt;高値!K401,高値!M401&gt;高値!N401,高値!M401&gt;高値!O401),8,""))</f>
        <v/>
      </c>
      <c r="AJ401" s="503" t="str">
        <f>IF(終値!A401="","",IF(AND(高値!N401&gt;高値!M401,高値!N401&gt;高値!L401,高値!N401&gt;高値!O401,高値!N401&gt;高値!P401),9,""))</f>
        <v/>
      </c>
      <c r="AK401" s="503" t="str">
        <f>IF(終値!A401="","",IF(AND(高値!O401&gt;高値!N401,高値!O401&gt;高値!M401,高値!O401&gt;高値!P401,高値!O401&gt;高値!Q401),10,""))</f>
        <v/>
      </c>
      <c r="AL401" s="503" t="str">
        <f>IF(終値!A401="","",IF(AND(高値!P401&gt;高値!O401,高値!P401&gt;高値!N401,高値!P401&gt;高値!Q401,高値!P401&gt;高値!R401),11,""))</f>
        <v/>
      </c>
      <c r="AM401" s="503" t="str">
        <f>IF(終値!A401="","",IF(AND(高値!Q401&gt;高値!P401,高値!Q401&gt;高値!O401,高値!Q401&gt;高値!R401,高値!Q401&gt;高値!S401),12,""))</f>
        <v/>
      </c>
      <c r="AN401" s="503" t="str">
        <f>IF(終値!A401="","",IF(AND(高値!R401&gt;高値!Q401,高値!R401&gt;高値!P401,高値!R401&gt;高値!S401,高値!R401&gt;高値!T401),13,""))</f>
        <v/>
      </c>
      <c r="AO401" s="503" t="str">
        <f>IF(終値!A401="","",IF(AND(高値!S401&gt;高値!R401,高値!S401&gt;高値!Q401,高値!S401&gt;高値!T401,高値!S401&gt;高値!U401),14,""))</f>
        <v/>
      </c>
      <c r="AP401" s="503" t="str">
        <f>IF(終値!A401="","",IF(AND(高値!T401&gt;高値!S401,高値!T401&gt;高値!R401,高値!T401&gt;高値!U401,高値!T401&gt;高値!V401),15,""))</f>
        <v/>
      </c>
      <c r="AQ401" s="503" t="str">
        <f>IF(終値!A401="","",IF(AND(高値!U401&gt;高値!T401,高値!U401&gt;高値!S401,高値!U401&gt;高値!V401,高値!U401&gt;高値!W401),16,""))</f>
        <v/>
      </c>
      <c r="AR401" s="503" t="str">
        <f>IF(終値!A401="","",IF(AND(高値!V401&gt;高値!U401,高値!V401&gt;高値!T401,高値!V401&gt;高値!W401,高値!V401&gt;高値!X401),17,""))</f>
        <v/>
      </c>
      <c r="AS401" s="503" t="str">
        <f>IF(終値!A401="","",IF(AND(高値!W401&gt;高値!V401,高値!W401&gt;高値!U401,高値!W401&gt;高値!X401,高値!W401&gt;高値!Y401),18,""))</f>
        <v/>
      </c>
      <c r="AT401" s="503" t="str">
        <f>IF(終値!A401="","",IF(AND(高値!X401&gt;高値!W401,高値!X401&gt;高値!V401,高値!X401&gt;高値!Y401,高値!X401&gt;高値!Z401),19,""))</f>
        <v/>
      </c>
      <c r="AU401" s="503" t="str">
        <f>IF(終値!A401="","",IF(AND(高値!Y401&gt;高値!X401,高値!Y401&gt;高値!W401,高値!Y401&gt;高値!Z401,高値!Y401&gt;高値!AA401),20,""))</f>
        <v/>
      </c>
      <c r="AV401" s="503" t="str">
        <f>IF(終値!A401="","",IF(AND(高値!Z401&gt;高値!Y401,高値!Z401&gt;高値!X401,高値!Z401&gt;高値!AA401,高値!Z401&gt;高値!AB401),21,""))</f>
        <v/>
      </c>
      <c r="AW401" s="503" t="str">
        <f>IF(終値!A401="","",IF(AND(高値!AA401&gt;高値!Z401,高値!AA401&gt;高値!Y401,高値!AA401&gt;高値!AB401,高値!AA401&gt;高値!AC401),22,""))</f>
        <v/>
      </c>
      <c r="AX401" s="503" t="str">
        <f>IF(終値!A401="","",IF(AND(高値!AB401&gt;高値!AA401,高値!AB401&gt;高値!Z401,高値!AB401&gt;高値!AC401,高値!AB401&gt;高値!AD401),23,""))</f>
        <v/>
      </c>
      <c r="AY401" s="503" t="str">
        <f>IF(終値!A401="","",IF(AND(高値!AC401&gt;高値!AB401,高値!AC401&gt;高値!AA401,高値!AC401&gt;高値!AD401,高値!AC401&gt;高値!AE401),24,""))</f>
        <v/>
      </c>
      <c r="AZ401" s="503" t="str">
        <f>IF(終値!A401="","",IF(AND(高値!AD401&gt;高値!AC401,高値!AD401&gt;高値!AB401,高値!AD401&gt;高値!AE401,高値!AD401&gt;高値!AF401),25,""))</f>
        <v/>
      </c>
      <c r="BA401" s="503" t="str">
        <f>IF(終値!A401="","",IF(AND(高値!AE401&gt;高値!AD401,高値!AE401&gt;高値!AC401,高値!AE401&gt;高値!AF401,高値!AE401&gt;高値!AG401),26,""))</f>
        <v/>
      </c>
      <c r="BB401" s="503" t="str">
        <f>IF(終値!A401="","",IF(AND(高値!AF401&gt;高値!AE401,高値!AF401&gt;高値!AD401,高値!AF401&gt;高値!AG401,高値!AF401&gt;高値!AH401),27,""))</f>
        <v/>
      </c>
      <c r="BC401" s="503" t="str">
        <f>IF(終値!A401="","",IF(AND(高値!AG401&gt;高値!AF401,高値!AG401&gt;高値!AE401,高値!AG401&gt;高値!AH401,高値!AG401&gt;高値!AI401),28,""))</f>
        <v/>
      </c>
      <c r="BD401" s="503">
        <f t="shared" si="36"/>
        <v>0</v>
      </c>
      <c r="BE401" s="503" t="str">
        <f t="shared" si="37"/>
        <v/>
      </c>
      <c r="BF401" s="503" t="str">
        <f t="shared" si="38"/>
        <v/>
      </c>
      <c r="BG401" s="503" t="str">
        <f>IF($BE401="","",INDEX(安値!$E401:$CZ401,1,$BE401+1))</f>
        <v/>
      </c>
      <c r="BH401" s="503" t="str">
        <f>IF($BF401="","",INDEX(安値!$E401:$CZ401,1,$BF401+1))</f>
        <v/>
      </c>
      <c r="BI401" s="503" t="str">
        <f>IF($BF401="","",MAX(INDEX(高値!$E401:$CZ401,1,$BE401+1):INDEX(高値!$E401:$CZ401,1,$BF401+1)))</f>
        <v/>
      </c>
      <c r="BJ401" s="503" t="str">
        <f>IF($BF401="","",AVERAGE(INDEX(終値!$E401:$CZ401,1,$BF401+1):INDEX(終値!$E401:$CZ401,1,$BF401+20))-2*STDEVP(INDEX(終値!$E401:$CZ401,1,$BF401+1):INDEX(終値!$E401:$CZ401,1,$BF401+20)))</f>
        <v/>
      </c>
      <c r="BK401" s="503" t="str">
        <f>IF($BE401="","",AVERAGE(INDEX(終値!$E401:$CZ401,1,$BE401+1):INDEX(終値!$E401:$CZ401,1,$BE401+20))-2*STDEVP(INDEX(終値!$E401:$CZ401,1,$BE401+1):INDEX(終値!$E401:$CZ401,1,$BE401+20)))</f>
        <v/>
      </c>
      <c r="BL401" s="503">
        <f t="shared" si="39"/>
        <v>0</v>
      </c>
      <c r="BM401" s="503" t="str">
        <f t="shared" si="40"/>
        <v/>
      </c>
      <c r="BN401" s="503" t="str">
        <f t="shared" si="41"/>
        <v/>
      </c>
      <c r="BO401" s="503" t="str">
        <f>IF($BM401="","",INDEX(高値!$E401:$CZ401,1,$BM401+1))</f>
        <v/>
      </c>
      <c r="BP401" s="503" t="str">
        <f>IF($BN401="","",INDEX(高値!$E401:$CZ401,1,$BN401+1))</f>
        <v/>
      </c>
      <c r="BQ401" s="503" t="str">
        <f>IF($BN401="","",MIN(INDEX(安値!$E401:$CZ401,1,$BM401+1):INDEX(安値!$E401:$CZ401,1,$BN401+1)))</f>
        <v/>
      </c>
      <c r="BR401" s="503" t="str">
        <f>IF($BN401="","",AVERAGE(INDEX(終値!$E401:$CZ401,1,$BN401+1):INDEX(終値!$E401:$CZ401,1,$BN401+20))+2*STDEVP(INDEX(終値!$E401:$CZ401,1,$BN401+1):INDEX(終値!$E401:$CZ401,1,$BN401+20)))</f>
        <v/>
      </c>
      <c r="BS401" s="503" t="str">
        <f>IF($BM401="","",AVERAGE(INDEX(終値!$E401:$CZ401,1,$BM401+1):INDEX(終値!$E401:$CZ401,1,$BM401+20))+2*STDEVP(INDEX(終値!$E401:$CZ401,1,$BM401+1):INDEX(終値!$E401:$CZ401,1,$BM401+20)))</f>
        <v/>
      </c>
      <c r="BT401" s="500"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3" t="str">
        <f>IF(終値!A402="","",IF(AND(安値!G402&lt;安値!F402,安値!G402&lt;安値!E402,安値!G402&lt;安値!H402,安値!G402&lt;安値!I402),2,""))</f>
        <v/>
      </c>
      <c r="C402" s="503" t="str">
        <f>IF(終値!A402="","",IF(AND(安値!H402&lt;安値!G402,安値!H402&lt;安値!F402,安値!H402&lt;安値!I402,安値!H402&lt;安値!J402),3,""))</f>
        <v/>
      </c>
      <c r="D402" s="503" t="str">
        <f>IF(終値!A402="","",IF(AND(安値!I402&lt;安値!H402,安値!I402&lt;安値!G402,安値!I402&lt;安値!J402,安値!I402&lt;安値!K402),4,""))</f>
        <v/>
      </c>
      <c r="E402" s="503" t="str">
        <f>IF(終値!A402="","",IF(AND(安値!J402&lt;安値!I402,安値!J402&lt;安値!H402,安値!J402&lt;安値!K402,安値!J402&lt;安値!L402),5,""))</f>
        <v/>
      </c>
      <c r="F402" s="503" t="str">
        <f>IF(終値!A402="","",IF(AND(安値!K402&lt;安値!J402,安値!K402&lt;安値!I402,安値!K402&lt;安値!L402,安値!K402&lt;安値!M402),6,""))</f>
        <v/>
      </c>
      <c r="G402" s="503" t="str">
        <f>IF(終値!A402="","",IF(AND(安値!L402&lt;安値!K402,安値!L402&lt;安値!J402,安値!L402&lt;安値!M402,安値!L402&lt;安値!N402),7,""))</f>
        <v/>
      </c>
      <c r="H402" s="503" t="str">
        <f>IF(終値!A402="","",IF(AND(安値!M402&lt;安値!L402,安値!M402&lt;安値!K402,安値!M402&lt;安値!N402,安値!M402&lt;安値!O402),8,""))</f>
        <v/>
      </c>
      <c r="I402" s="503" t="str">
        <f>IF(終値!A402="","",IF(AND(安値!N402&lt;安値!M402,安値!N402&lt;安値!L402,安値!N402&lt;安値!O402,安値!N402&lt;安値!P402),9,""))</f>
        <v/>
      </c>
      <c r="J402" s="503" t="str">
        <f>IF(終値!A402="","",IF(AND(安値!O402&lt;安値!N402,安値!O402&lt;安値!M402,安値!O402&lt;安値!P402,安値!O402&lt;安値!Q402),10,""))</f>
        <v/>
      </c>
      <c r="K402" s="503" t="str">
        <f>IF(終値!A402="","",IF(AND(安値!P402&lt;安値!O402,安値!P402&lt;安値!N402,安値!P402&lt;安値!Q402,安値!P402&lt;安値!R402),11,""))</f>
        <v/>
      </c>
      <c r="L402" s="503" t="str">
        <f>IF(終値!A402="","",IF(AND(安値!Q402&lt;安値!P402,安値!Q402&lt;安値!O402,安値!Q402&lt;安値!R402,安値!Q402&lt;安値!S402),12,""))</f>
        <v/>
      </c>
      <c r="M402" s="503" t="str">
        <f>IF(終値!A402="","",IF(AND(安値!R402&lt;安値!Q402,安値!R402&lt;安値!P402,安値!R402&lt;安値!S402,安値!R402&lt;安値!T402),13,""))</f>
        <v/>
      </c>
      <c r="N402" s="503" t="str">
        <f>IF(終値!A402="","",IF(AND(安値!S402&lt;安値!R402,安値!S402&lt;安値!Q402,安値!S402&lt;安値!T402,安値!S402&lt;安値!U402),14,""))</f>
        <v/>
      </c>
      <c r="O402" s="503" t="str">
        <f>IF(終値!A402="","",IF(AND(安値!T402&lt;安値!S402,安値!T402&lt;安値!R402,安値!T402&lt;安値!U402,安値!T402&lt;安値!V402),15,""))</f>
        <v/>
      </c>
      <c r="P402" s="503" t="str">
        <f>IF(終値!A402="","",IF(AND(安値!U402&lt;安値!T402,安値!U402&lt;安値!S402,安値!U402&lt;安値!V402,安値!U402&lt;安値!W402),16,""))</f>
        <v/>
      </c>
      <c r="Q402" s="503" t="str">
        <f>IF(終値!A402="","",IF(AND(安値!V402&lt;安値!U402,安値!V402&lt;安値!T402,安値!V402&lt;安値!W402,安値!V402&lt;安値!X402),17,""))</f>
        <v/>
      </c>
      <c r="R402" s="503" t="str">
        <f>IF(終値!A402="","",IF(AND(安値!W402&lt;安値!V402,安値!W402&lt;安値!U402,安値!W402&lt;安値!X402,安値!W402&lt;安値!Y402),18,""))</f>
        <v/>
      </c>
      <c r="S402" s="503" t="str">
        <f>IF(終値!A402="","",IF(AND(安値!X402&lt;安値!W402,安値!X402&lt;安値!V402,安値!X402&lt;安値!Y402,安値!X402&lt;安値!Z402),19,""))</f>
        <v/>
      </c>
      <c r="T402" s="503" t="str">
        <f>IF(終値!A402="","",IF(AND(安値!Y402&lt;安値!X402,安値!Y402&lt;安値!W402,安値!Y402&lt;安値!Z402,安値!Y402&lt;安値!AA402),20,""))</f>
        <v/>
      </c>
      <c r="U402" s="503" t="str">
        <f>IF(終値!A402="","",IF(AND(安値!Z402&lt;安値!Y402,安値!Z402&lt;安値!X402,安値!Z402&lt;安値!AA402,安値!Z402&lt;安値!AB402),21,""))</f>
        <v/>
      </c>
      <c r="V402" s="503" t="str">
        <f>IF(終値!A402="","",IF(AND(安値!AA402&lt;安値!Z402,安値!AA402&lt;安値!Y402,安値!AA402&lt;安値!AB402,安値!AA402&lt;安値!AC402),22,""))</f>
        <v/>
      </c>
      <c r="W402" s="503" t="str">
        <f>IF(終値!A402="","",IF(AND(安値!AB402&lt;安値!AA402,安値!AB402&lt;安値!Z402,安値!AB402&lt;安値!AC402,安値!AB402&lt;安値!AD402),23,""))</f>
        <v/>
      </c>
      <c r="X402" s="503" t="str">
        <f>IF(終値!A402="","",IF(AND(安値!AC402&lt;安値!AB402,安値!AC402&lt;安値!AA402,安値!AC402&lt;安値!AD402,安値!AC402&lt;安値!AE402),24,""))</f>
        <v/>
      </c>
      <c r="Y402" s="503" t="str">
        <f>IF(終値!A402="","",IF(AND(安値!AD402&lt;安値!AC402,安値!AD402&lt;安値!AB402,安値!AD402&lt;安値!AE402,安値!AD402&lt;安値!AF402),25,""))</f>
        <v/>
      </c>
      <c r="Z402" s="503" t="str">
        <f>IF(終値!A402="","",IF(AND(安値!AE402&lt;安値!AD402,安値!AE402&lt;安値!AC402,安値!AE402&lt;安値!AF402,安値!AE402&lt;安値!AG402),26,""))</f>
        <v/>
      </c>
      <c r="AA402" s="503" t="str">
        <f>IF(終値!A402="","",IF(AND(安値!AF402&lt;安値!AE402,安値!AF402&lt;安値!AD402,安値!AF402&lt;安値!AG402,安値!AF402&lt;安値!AH402),27,""))</f>
        <v/>
      </c>
      <c r="AB402" s="503" t="str">
        <f>IF(終値!A402="","",IF(AND(安値!AG402&lt;安値!AF402,安値!AG402&lt;安値!AE402,安値!AG402&lt;安値!AH402,安値!AG402&lt;安値!AI402),28,""))</f>
        <v/>
      </c>
      <c r="AC402" s="503" t="str">
        <f>IF(終値!A402="","",IF(AND(高値!G402&gt;高値!F402,高値!G402&gt;高値!E402,高値!G402&gt;高値!H402,高値!G402&gt;高値!I402),2,""))</f>
        <v/>
      </c>
      <c r="AD402" s="503" t="str">
        <f>IF(終値!A402="","",IF(AND(高値!H402&gt;高値!G402,高値!H402&gt;高値!F402,高値!H402&gt;高値!I402,高値!H402&gt;高値!J402),3,""))</f>
        <v/>
      </c>
      <c r="AE402" s="503" t="str">
        <f>IF(終値!A402="","",IF(AND(高値!I402&gt;高値!H402,高値!I402&gt;高値!G402,高値!I402&gt;高値!J402,高値!I402&gt;高値!K402),4,""))</f>
        <v/>
      </c>
      <c r="AF402" s="503" t="str">
        <f>IF(終値!A402="","",IF(AND(高値!J402&gt;高値!I402,高値!J402&gt;高値!H402,高値!J402&gt;高値!K402,高値!J402&gt;高値!L402),5,""))</f>
        <v/>
      </c>
      <c r="AG402" s="503" t="str">
        <f>IF(終値!A402="","",IF(AND(高値!K402&gt;高値!J402,高値!K402&gt;高値!I402,高値!K402&gt;高値!L402,高値!K402&gt;高値!M402),6,""))</f>
        <v/>
      </c>
      <c r="AH402" s="503" t="str">
        <f>IF(終値!A402="","",IF(AND(高値!L402&gt;高値!K402,高値!L402&gt;高値!J402,高値!L402&gt;高値!M402,高値!L402&gt;高値!N402),7,""))</f>
        <v/>
      </c>
      <c r="AI402" s="503" t="str">
        <f>IF(終値!A402="","",IF(AND(高値!M402&gt;高値!L402,高値!M402&gt;高値!K402,高値!M402&gt;高値!N402,高値!M402&gt;高値!O402),8,""))</f>
        <v/>
      </c>
      <c r="AJ402" s="503" t="str">
        <f>IF(終値!A402="","",IF(AND(高値!N402&gt;高値!M402,高値!N402&gt;高値!L402,高値!N402&gt;高値!O402,高値!N402&gt;高値!P402),9,""))</f>
        <v/>
      </c>
      <c r="AK402" s="503" t="str">
        <f>IF(終値!A402="","",IF(AND(高値!O402&gt;高値!N402,高値!O402&gt;高値!M402,高値!O402&gt;高値!P402,高値!O402&gt;高値!Q402),10,""))</f>
        <v/>
      </c>
      <c r="AL402" s="503" t="str">
        <f>IF(終値!A402="","",IF(AND(高値!P402&gt;高値!O402,高値!P402&gt;高値!N402,高値!P402&gt;高値!Q402,高値!P402&gt;高値!R402),11,""))</f>
        <v/>
      </c>
      <c r="AM402" s="503" t="str">
        <f>IF(終値!A402="","",IF(AND(高値!Q402&gt;高値!P402,高値!Q402&gt;高値!O402,高値!Q402&gt;高値!R402,高値!Q402&gt;高値!S402),12,""))</f>
        <v/>
      </c>
      <c r="AN402" s="503" t="str">
        <f>IF(終値!A402="","",IF(AND(高値!R402&gt;高値!Q402,高値!R402&gt;高値!P402,高値!R402&gt;高値!S402,高値!R402&gt;高値!T402),13,""))</f>
        <v/>
      </c>
      <c r="AO402" s="503" t="str">
        <f>IF(終値!A402="","",IF(AND(高値!S402&gt;高値!R402,高値!S402&gt;高値!Q402,高値!S402&gt;高値!T402,高値!S402&gt;高値!U402),14,""))</f>
        <v/>
      </c>
      <c r="AP402" s="503" t="str">
        <f>IF(終値!A402="","",IF(AND(高値!T402&gt;高値!S402,高値!T402&gt;高値!R402,高値!T402&gt;高値!U402,高値!T402&gt;高値!V402),15,""))</f>
        <v/>
      </c>
      <c r="AQ402" s="503" t="str">
        <f>IF(終値!A402="","",IF(AND(高値!U402&gt;高値!T402,高値!U402&gt;高値!S402,高値!U402&gt;高値!V402,高値!U402&gt;高値!W402),16,""))</f>
        <v/>
      </c>
      <c r="AR402" s="503" t="str">
        <f>IF(終値!A402="","",IF(AND(高値!V402&gt;高値!U402,高値!V402&gt;高値!T402,高値!V402&gt;高値!W402,高値!V402&gt;高値!X402),17,""))</f>
        <v/>
      </c>
      <c r="AS402" s="503" t="str">
        <f>IF(終値!A402="","",IF(AND(高値!W402&gt;高値!V402,高値!W402&gt;高値!U402,高値!W402&gt;高値!X402,高値!W402&gt;高値!Y402),18,""))</f>
        <v/>
      </c>
      <c r="AT402" s="503" t="str">
        <f>IF(終値!A402="","",IF(AND(高値!X402&gt;高値!W402,高値!X402&gt;高値!V402,高値!X402&gt;高値!Y402,高値!X402&gt;高値!Z402),19,""))</f>
        <v/>
      </c>
      <c r="AU402" s="503" t="str">
        <f>IF(終値!A402="","",IF(AND(高値!Y402&gt;高値!X402,高値!Y402&gt;高値!W402,高値!Y402&gt;高値!Z402,高値!Y402&gt;高値!AA402),20,""))</f>
        <v/>
      </c>
      <c r="AV402" s="503" t="str">
        <f>IF(終値!A402="","",IF(AND(高値!Z402&gt;高値!Y402,高値!Z402&gt;高値!X402,高値!Z402&gt;高値!AA402,高値!Z402&gt;高値!AB402),21,""))</f>
        <v/>
      </c>
      <c r="AW402" s="503" t="str">
        <f>IF(終値!A402="","",IF(AND(高値!AA402&gt;高値!Z402,高値!AA402&gt;高値!Y402,高値!AA402&gt;高値!AB402,高値!AA402&gt;高値!AC402),22,""))</f>
        <v/>
      </c>
      <c r="AX402" s="503" t="str">
        <f>IF(終値!A402="","",IF(AND(高値!AB402&gt;高値!AA402,高値!AB402&gt;高値!Z402,高値!AB402&gt;高値!AC402,高値!AB402&gt;高値!AD402),23,""))</f>
        <v/>
      </c>
      <c r="AY402" s="503" t="str">
        <f>IF(終値!A402="","",IF(AND(高値!AC402&gt;高値!AB402,高値!AC402&gt;高値!AA402,高値!AC402&gt;高値!AD402,高値!AC402&gt;高値!AE402),24,""))</f>
        <v/>
      </c>
      <c r="AZ402" s="503" t="str">
        <f>IF(終値!A402="","",IF(AND(高値!AD402&gt;高値!AC402,高値!AD402&gt;高値!AB402,高値!AD402&gt;高値!AE402,高値!AD402&gt;高値!AF402),25,""))</f>
        <v/>
      </c>
      <c r="BA402" s="503" t="str">
        <f>IF(終値!A402="","",IF(AND(高値!AE402&gt;高値!AD402,高値!AE402&gt;高値!AC402,高値!AE402&gt;高値!AF402,高値!AE402&gt;高値!AG402),26,""))</f>
        <v/>
      </c>
      <c r="BB402" s="503" t="str">
        <f>IF(終値!A402="","",IF(AND(高値!AF402&gt;高値!AE402,高値!AF402&gt;高値!AD402,高値!AF402&gt;高値!AG402,高値!AF402&gt;高値!AH402),27,""))</f>
        <v/>
      </c>
      <c r="BC402" s="503" t="str">
        <f>IF(終値!A402="","",IF(AND(高値!AG402&gt;高値!AF402,高値!AG402&gt;高値!AE402,高値!AG402&gt;高値!AH402,高値!AG402&gt;高値!AI402),28,""))</f>
        <v/>
      </c>
      <c r="BD402" s="503">
        <f t="shared" si="36"/>
        <v>0</v>
      </c>
      <c r="BE402" s="503" t="str">
        <f t="shared" si="37"/>
        <v/>
      </c>
      <c r="BF402" s="503" t="str">
        <f t="shared" si="38"/>
        <v/>
      </c>
      <c r="BG402" s="503" t="str">
        <f>IF($BE402="","",INDEX(安値!$E402:$CZ402,1,$BE402+1))</f>
        <v/>
      </c>
      <c r="BH402" s="503" t="str">
        <f>IF($BF402="","",INDEX(安値!$E402:$CZ402,1,$BF402+1))</f>
        <v/>
      </c>
      <c r="BI402" s="503" t="str">
        <f>IF($BF402="","",MAX(INDEX(高値!$E402:$CZ402,1,$BE402+1):INDEX(高値!$E402:$CZ402,1,$BF402+1)))</f>
        <v/>
      </c>
      <c r="BJ402" s="503" t="str">
        <f>IF($BF402="","",AVERAGE(INDEX(終値!$E402:$CZ402,1,$BF402+1):INDEX(終値!$E402:$CZ402,1,$BF402+20))-2*STDEVP(INDEX(終値!$E402:$CZ402,1,$BF402+1):INDEX(終値!$E402:$CZ402,1,$BF402+20)))</f>
        <v/>
      </c>
      <c r="BK402" s="503" t="str">
        <f>IF($BE402="","",AVERAGE(INDEX(終値!$E402:$CZ402,1,$BE402+1):INDEX(終値!$E402:$CZ402,1,$BE402+20))-2*STDEVP(INDEX(終値!$E402:$CZ402,1,$BE402+1):INDEX(終値!$E402:$CZ402,1,$BE402+20)))</f>
        <v/>
      </c>
      <c r="BL402" s="503">
        <f t="shared" si="39"/>
        <v>0</v>
      </c>
      <c r="BM402" s="503" t="str">
        <f t="shared" si="40"/>
        <v/>
      </c>
      <c r="BN402" s="503" t="str">
        <f t="shared" si="41"/>
        <v/>
      </c>
      <c r="BO402" s="503" t="str">
        <f>IF($BM402="","",INDEX(高値!$E402:$CZ402,1,$BM402+1))</f>
        <v/>
      </c>
      <c r="BP402" s="503" t="str">
        <f>IF($BN402="","",INDEX(高値!$E402:$CZ402,1,$BN402+1))</f>
        <v/>
      </c>
      <c r="BQ402" s="503" t="str">
        <f>IF($BN402="","",MIN(INDEX(安値!$E402:$CZ402,1,$BM402+1):INDEX(安値!$E402:$CZ402,1,$BN402+1)))</f>
        <v/>
      </c>
      <c r="BR402" s="503" t="str">
        <f>IF($BN402="","",AVERAGE(INDEX(終値!$E402:$CZ402,1,$BN402+1):INDEX(終値!$E402:$CZ402,1,$BN402+20))+2*STDEVP(INDEX(終値!$E402:$CZ402,1,$BN402+1):INDEX(終値!$E402:$CZ402,1,$BN402+20)))</f>
        <v/>
      </c>
      <c r="BS402" s="503" t="str">
        <f>IF($BM402="","",AVERAGE(INDEX(終値!$E402:$CZ402,1,$BM402+1):INDEX(終値!$E402:$CZ402,1,$BM402+20))+2*STDEVP(INDEX(終値!$E402:$CZ402,1,$BM402+1):INDEX(終値!$E402:$CZ402,1,$BM402+20)))</f>
        <v/>
      </c>
      <c r="BT402" s="500"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3" t="str">
        <f>IF(終値!A403="","",IF(AND(安値!G403&lt;安値!F403,安値!G403&lt;安値!E403,安値!G403&lt;安値!H403,安値!G403&lt;安値!I403),2,""))</f>
        <v/>
      </c>
      <c r="C403" s="503" t="str">
        <f>IF(終値!A403="","",IF(AND(安値!H403&lt;安値!G403,安値!H403&lt;安値!F403,安値!H403&lt;安値!I403,安値!H403&lt;安値!J403),3,""))</f>
        <v/>
      </c>
      <c r="D403" s="503" t="str">
        <f>IF(終値!A403="","",IF(AND(安値!I403&lt;安値!H403,安値!I403&lt;安値!G403,安値!I403&lt;安値!J403,安値!I403&lt;安値!K403),4,""))</f>
        <v/>
      </c>
      <c r="E403" s="503" t="str">
        <f>IF(終値!A403="","",IF(AND(安値!J403&lt;安値!I403,安値!J403&lt;安値!H403,安値!J403&lt;安値!K403,安値!J403&lt;安値!L403),5,""))</f>
        <v/>
      </c>
      <c r="F403" s="503" t="str">
        <f>IF(終値!A403="","",IF(AND(安値!K403&lt;安値!J403,安値!K403&lt;安値!I403,安値!K403&lt;安値!L403,安値!K403&lt;安値!M403),6,""))</f>
        <v/>
      </c>
      <c r="G403" s="503" t="str">
        <f>IF(終値!A403="","",IF(AND(安値!L403&lt;安値!K403,安値!L403&lt;安値!J403,安値!L403&lt;安値!M403,安値!L403&lt;安値!N403),7,""))</f>
        <v/>
      </c>
      <c r="H403" s="503" t="str">
        <f>IF(終値!A403="","",IF(AND(安値!M403&lt;安値!L403,安値!M403&lt;安値!K403,安値!M403&lt;安値!N403,安値!M403&lt;安値!O403),8,""))</f>
        <v/>
      </c>
      <c r="I403" s="503" t="str">
        <f>IF(終値!A403="","",IF(AND(安値!N403&lt;安値!M403,安値!N403&lt;安値!L403,安値!N403&lt;安値!O403,安値!N403&lt;安値!P403),9,""))</f>
        <v/>
      </c>
      <c r="J403" s="503" t="str">
        <f>IF(終値!A403="","",IF(AND(安値!O403&lt;安値!N403,安値!O403&lt;安値!M403,安値!O403&lt;安値!P403,安値!O403&lt;安値!Q403),10,""))</f>
        <v/>
      </c>
      <c r="K403" s="503" t="str">
        <f>IF(終値!A403="","",IF(AND(安値!P403&lt;安値!O403,安値!P403&lt;安値!N403,安値!P403&lt;安値!Q403,安値!P403&lt;安値!R403),11,""))</f>
        <v/>
      </c>
      <c r="L403" s="503" t="str">
        <f>IF(終値!A403="","",IF(AND(安値!Q403&lt;安値!P403,安値!Q403&lt;安値!O403,安値!Q403&lt;安値!R403,安値!Q403&lt;安値!S403),12,""))</f>
        <v/>
      </c>
      <c r="M403" s="503" t="str">
        <f>IF(終値!A403="","",IF(AND(安値!R403&lt;安値!Q403,安値!R403&lt;安値!P403,安値!R403&lt;安値!S403,安値!R403&lt;安値!T403),13,""))</f>
        <v/>
      </c>
      <c r="N403" s="503" t="str">
        <f>IF(終値!A403="","",IF(AND(安値!S403&lt;安値!R403,安値!S403&lt;安値!Q403,安値!S403&lt;安値!T403,安値!S403&lt;安値!U403),14,""))</f>
        <v/>
      </c>
      <c r="O403" s="503" t="str">
        <f>IF(終値!A403="","",IF(AND(安値!T403&lt;安値!S403,安値!T403&lt;安値!R403,安値!T403&lt;安値!U403,安値!T403&lt;安値!V403),15,""))</f>
        <v/>
      </c>
      <c r="P403" s="503" t="str">
        <f>IF(終値!A403="","",IF(AND(安値!U403&lt;安値!T403,安値!U403&lt;安値!S403,安値!U403&lt;安値!V403,安値!U403&lt;安値!W403),16,""))</f>
        <v/>
      </c>
      <c r="Q403" s="503" t="str">
        <f>IF(終値!A403="","",IF(AND(安値!V403&lt;安値!U403,安値!V403&lt;安値!T403,安値!V403&lt;安値!W403,安値!V403&lt;安値!X403),17,""))</f>
        <v/>
      </c>
      <c r="R403" s="503" t="str">
        <f>IF(終値!A403="","",IF(AND(安値!W403&lt;安値!V403,安値!W403&lt;安値!U403,安値!W403&lt;安値!X403,安値!W403&lt;安値!Y403),18,""))</f>
        <v/>
      </c>
      <c r="S403" s="503" t="str">
        <f>IF(終値!A403="","",IF(AND(安値!X403&lt;安値!W403,安値!X403&lt;安値!V403,安値!X403&lt;安値!Y403,安値!X403&lt;安値!Z403),19,""))</f>
        <v/>
      </c>
      <c r="T403" s="503" t="str">
        <f>IF(終値!A403="","",IF(AND(安値!Y403&lt;安値!X403,安値!Y403&lt;安値!W403,安値!Y403&lt;安値!Z403,安値!Y403&lt;安値!AA403),20,""))</f>
        <v/>
      </c>
      <c r="U403" s="503" t="str">
        <f>IF(終値!A403="","",IF(AND(安値!Z403&lt;安値!Y403,安値!Z403&lt;安値!X403,安値!Z403&lt;安値!AA403,安値!Z403&lt;安値!AB403),21,""))</f>
        <v/>
      </c>
      <c r="V403" s="503" t="str">
        <f>IF(終値!A403="","",IF(AND(安値!AA403&lt;安値!Z403,安値!AA403&lt;安値!Y403,安値!AA403&lt;安値!AB403,安値!AA403&lt;安値!AC403),22,""))</f>
        <v/>
      </c>
      <c r="W403" s="503" t="str">
        <f>IF(終値!A403="","",IF(AND(安値!AB403&lt;安値!AA403,安値!AB403&lt;安値!Z403,安値!AB403&lt;安値!AC403,安値!AB403&lt;安値!AD403),23,""))</f>
        <v/>
      </c>
      <c r="X403" s="503" t="str">
        <f>IF(終値!A403="","",IF(AND(安値!AC403&lt;安値!AB403,安値!AC403&lt;安値!AA403,安値!AC403&lt;安値!AD403,安値!AC403&lt;安値!AE403),24,""))</f>
        <v/>
      </c>
      <c r="Y403" s="503" t="str">
        <f>IF(終値!A403="","",IF(AND(安値!AD403&lt;安値!AC403,安値!AD403&lt;安値!AB403,安値!AD403&lt;安値!AE403,安値!AD403&lt;安値!AF403),25,""))</f>
        <v/>
      </c>
      <c r="Z403" s="503" t="str">
        <f>IF(終値!A403="","",IF(AND(安値!AE403&lt;安値!AD403,安値!AE403&lt;安値!AC403,安値!AE403&lt;安値!AF403,安値!AE403&lt;安値!AG403),26,""))</f>
        <v/>
      </c>
      <c r="AA403" s="503" t="str">
        <f>IF(終値!A403="","",IF(AND(安値!AF403&lt;安値!AE403,安値!AF403&lt;安値!AD403,安値!AF403&lt;安値!AG403,安値!AF403&lt;安値!AH403),27,""))</f>
        <v/>
      </c>
      <c r="AB403" s="503" t="str">
        <f>IF(終値!A403="","",IF(AND(安値!AG403&lt;安値!AF403,安値!AG403&lt;安値!AE403,安値!AG403&lt;安値!AH403,安値!AG403&lt;安値!AI403),28,""))</f>
        <v/>
      </c>
      <c r="AC403" s="503" t="str">
        <f>IF(終値!A403="","",IF(AND(高値!G403&gt;高値!F403,高値!G403&gt;高値!E403,高値!G403&gt;高値!H403,高値!G403&gt;高値!I403),2,""))</f>
        <v/>
      </c>
      <c r="AD403" s="503" t="str">
        <f>IF(終値!A403="","",IF(AND(高値!H403&gt;高値!G403,高値!H403&gt;高値!F403,高値!H403&gt;高値!I403,高値!H403&gt;高値!J403),3,""))</f>
        <v/>
      </c>
      <c r="AE403" s="503" t="str">
        <f>IF(終値!A403="","",IF(AND(高値!I403&gt;高値!H403,高値!I403&gt;高値!G403,高値!I403&gt;高値!J403,高値!I403&gt;高値!K403),4,""))</f>
        <v/>
      </c>
      <c r="AF403" s="503" t="str">
        <f>IF(終値!A403="","",IF(AND(高値!J403&gt;高値!I403,高値!J403&gt;高値!H403,高値!J403&gt;高値!K403,高値!J403&gt;高値!L403),5,""))</f>
        <v/>
      </c>
      <c r="AG403" s="503" t="str">
        <f>IF(終値!A403="","",IF(AND(高値!K403&gt;高値!J403,高値!K403&gt;高値!I403,高値!K403&gt;高値!L403,高値!K403&gt;高値!M403),6,""))</f>
        <v/>
      </c>
      <c r="AH403" s="503" t="str">
        <f>IF(終値!A403="","",IF(AND(高値!L403&gt;高値!K403,高値!L403&gt;高値!J403,高値!L403&gt;高値!M403,高値!L403&gt;高値!N403),7,""))</f>
        <v/>
      </c>
      <c r="AI403" s="503" t="str">
        <f>IF(終値!A403="","",IF(AND(高値!M403&gt;高値!L403,高値!M403&gt;高値!K403,高値!M403&gt;高値!N403,高値!M403&gt;高値!O403),8,""))</f>
        <v/>
      </c>
      <c r="AJ403" s="503" t="str">
        <f>IF(終値!A403="","",IF(AND(高値!N403&gt;高値!M403,高値!N403&gt;高値!L403,高値!N403&gt;高値!O403,高値!N403&gt;高値!P403),9,""))</f>
        <v/>
      </c>
      <c r="AK403" s="503" t="str">
        <f>IF(終値!A403="","",IF(AND(高値!O403&gt;高値!N403,高値!O403&gt;高値!M403,高値!O403&gt;高値!P403,高値!O403&gt;高値!Q403),10,""))</f>
        <v/>
      </c>
      <c r="AL403" s="503" t="str">
        <f>IF(終値!A403="","",IF(AND(高値!P403&gt;高値!O403,高値!P403&gt;高値!N403,高値!P403&gt;高値!Q403,高値!P403&gt;高値!R403),11,""))</f>
        <v/>
      </c>
      <c r="AM403" s="503" t="str">
        <f>IF(終値!A403="","",IF(AND(高値!Q403&gt;高値!P403,高値!Q403&gt;高値!O403,高値!Q403&gt;高値!R403,高値!Q403&gt;高値!S403),12,""))</f>
        <v/>
      </c>
      <c r="AN403" s="503" t="str">
        <f>IF(終値!A403="","",IF(AND(高値!R403&gt;高値!Q403,高値!R403&gt;高値!P403,高値!R403&gt;高値!S403,高値!R403&gt;高値!T403),13,""))</f>
        <v/>
      </c>
      <c r="AO403" s="503" t="str">
        <f>IF(終値!A403="","",IF(AND(高値!S403&gt;高値!R403,高値!S403&gt;高値!Q403,高値!S403&gt;高値!T403,高値!S403&gt;高値!U403),14,""))</f>
        <v/>
      </c>
      <c r="AP403" s="503" t="str">
        <f>IF(終値!A403="","",IF(AND(高値!T403&gt;高値!S403,高値!T403&gt;高値!R403,高値!T403&gt;高値!U403,高値!T403&gt;高値!V403),15,""))</f>
        <v/>
      </c>
      <c r="AQ403" s="503" t="str">
        <f>IF(終値!A403="","",IF(AND(高値!U403&gt;高値!T403,高値!U403&gt;高値!S403,高値!U403&gt;高値!V403,高値!U403&gt;高値!W403),16,""))</f>
        <v/>
      </c>
      <c r="AR403" s="503" t="str">
        <f>IF(終値!A403="","",IF(AND(高値!V403&gt;高値!U403,高値!V403&gt;高値!T403,高値!V403&gt;高値!W403,高値!V403&gt;高値!X403),17,""))</f>
        <v/>
      </c>
      <c r="AS403" s="503" t="str">
        <f>IF(終値!A403="","",IF(AND(高値!W403&gt;高値!V403,高値!W403&gt;高値!U403,高値!W403&gt;高値!X403,高値!W403&gt;高値!Y403),18,""))</f>
        <v/>
      </c>
      <c r="AT403" s="503" t="str">
        <f>IF(終値!A403="","",IF(AND(高値!X403&gt;高値!W403,高値!X403&gt;高値!V403,高値!X403&gt;高値!Y403,高値!X403&gt;高値!Z403),19,""))</f>
        <v/>
      </c>
      <c r="AU403" s="503" t="str">
        <f>IF(終値!A403="","",IF(AND(高値!Y403&gt;高値!X403,高値!Y403&gt;高値!W403,高値!Y403&gt;高値!Z403,高値!Y403&gt;高値!AA403),20,""))</f>
        <v/>
      </c>
      <c r="AV403" s="503" t="str">
        <f>IF(終値!A403="","",IF(AND(高値!Z403&gt;高値!Y403,高値!Z403&gt;高値!X403,高値!Z403&gt;高値!AA403,高値!Z403&gt;高値!AB403),21,""))</f>
        <v/>
      </c>
      <c r="AW403" s="503" t="str">
        <f>IF(終値!A403="","",IF(AND(高値!AA403&gt;高値!Z403,高値!AA403&gt;高値!Y403,高値!AA403&gt;高値!AB403,高値!AA403&gt;高値!AC403),22,""))</f>
        <v/>
      </c>
      <c r="AX403" s="503" t="str">
        <f>IF(終値!A403="","",IF(AND(高値!AB403&gt;高値!AA403,高値!AB403&gt;高値!Z403,高値!AB403&gt;高値!AC403,高値!AB403&gt;高値!AD403),23,""))</f>
        <v/>
      </c>
      <c r="AY403" s="503" t="str">
        <f>IF(終値!A403="","",IF(AND(高値!AC403&gt;高値!AB403,高値!AC403&gt;高値!AA403,高値!AC403&gt;高値!AD403,高値!AC403&gt;高値!AE403),24,""))</f>
        <v/>
      </c>
      <c r="AZ403" s="503" t="str">
        <f>IF(終値!A403="","",IF(AND(高値!AD403&gt;高値!AC403,高値!AD403&gt;高値!AB403,高値!AD403&gt;高値!AE403,高値!AD403&gt;高値!AF403),25,""))</f>
        <v/>
      </c>
      <c r="BA403" s="503" t="str">
        <f>IF(終値!A403="","",IF(AND(高値!AE403&gt;高値!AD403,高値!AE403&gt;高値!AC403,高値!AE403&gt;高値!AF403,高値!AE403&gt;高値!AG403),26,""))</f>
        <v/>
      </c>
      <c r="BB403" s="503" t="str">
        <f>IF(終値!A403="","",IF(AND(高値!AF403&gt;高値!AE403,高値!AF403&gt;高値!AD403,高値!AF403&gt;高値!AG403,高値!AF403&gt;高値!AH403),27,""))</f>
        <v/>
      </c>
      <c r="BC403" s="503" t="str">
        <f>IF(終値!A403="","",IF(AND(高値!AG403&gt;高値!AF403,高値!AG403&gt;高値!AE403,高値!AG403&gt;高値!AH403,高値!AG403&gt;高値!AI403),28,""))</f>
        <v/>
      </c>
      <c r="BD403" s="503">
        <f t="shared" si="36"/>
        <v>0</v>
      </c>
      <c r="BE403" s="503" t="str">
        <f t="shared" si="37"/>
        <v/>
      </c>
      <c r="BF403" s="503" t="str">
        <f t="shared" si="38"/>
        <v/>
      </c>
      <c r="BG403" s="503" t="str">
        <f>IF($BE403="","",INDEX(安値!$E403:$CZ403,1,$BE403+1))</f>
        <v/>
      </c>
      <c r="BH403" s="503" t="str">
        <f>IF($BF403="","",INDEX(安値!$E403:$CZ403,1,$BF403+1))</f>
        <v/>
      </c>
      <c r="BI403" s="503" t="str">
        <f>IF($BF403="","",MAX(INDEX(高値!$E403:$CZ403,1,$BE403+1):INDEX(高値!$E403:$CZ403,1,$BF403+1)))</f>
        <v/>
      </c>
      <c r="BJ403" s="503" t="str">
        <f>IF($BF403="","",AVERAGE(INDEX(終値!$E403:$CZ403,1,$BF403+1):INDEX(終値!$E403:$CZ403,1,$BF403+20))-2*STDEVP(INDEX(終値!$E403:$CZ403,1,$BF403+1):INDEX(終値!$E403:$CZ403,1,$BF403+20)))</f>
        <v/>
      </c>
      <c r="BK403" s="503" t="str">
        <f>IF($BE403="","",AVERAGE(INDEX(終値!$E403:$CZ403,1,$BE403+1):INDEX(終値!$E403:$CZ403,1,$BE403+20))-2*STDEVP(INDEX(終値!$E403:$CZ403,1,$BE403+1):INDEX(終値!$E403:$CZ403,1,$BE403+20)))</f>
        <v/>
      </c>
      <c r="BL403" s="503">
        <f t="shared" si="39"/>
        <v>0</v>
      </c>
      <c r="BM403" s="503" t="str">
        <f t="shared" si="40"/>
        <v/>
      </c>
      <c r="BN403" s="503" t="str">
        <f t="shared" si="41"/>
        <v/>
      </c>
      <c r="BO403" s="503" t="str">
        <f>IF($BM403="","",INDEX(高値!$E403:$CZ403,1,$BM403+1))</f>
        <v/>
      </c>
      <c r="BP403" s="503" t="str">
        <f>IF($BN403="","",INDEX(高値!$E403:$CZ403,1,$BN403+1))</f>
        <v/>
      </c>
      <c r="BQ403" s="503" t="str">
        <f>IF($BN403="","",MIN(INDEX(安値!$E403:$CZ403,1,$BM403+1):INDEX(安値!$E403:$CZ403,1,$BN403+1)))</f>
        <v/>
      </c>
      <c r="BR403" s="503" t="str">
        <f>IF($BN403="","",AVERAGE(INDEX(終値!$E403:$CZ403,1,$BN403+1):INDEX(終値!$E403:$CZ403,1,$BN403+20))+2*STDEVP(INDEX(終値!$E403:$CZ403,1,$BN403+1):INDEX(終値!$E403:$CZ403,1,$BN403+20)))</f>
        <v/>
      </c>
      <c r="BS403" s="503" t="str">
        <f>IF($BM403="","",AVERAGE(INDEX(終値!$E403:$CZ403,1,$BM403+1):INDEX(終値!$E403:$CZ403,1,$BM403+20))+2*STDEVP(INDEX(終値!$E403:$CZ403,1,$BM403+1):INDEX(終値!$E403:$CZ403,1,$BM403+20)))</f>
        <v/>
      </c>
      <c r="BT403" s="500"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3" t="str">
        <f>IF(終値!A404="","",IF(AND(安値!G404&lt;安値!F404,安値!G404&lt;安値!E404,安値!G404&lt;安値!H404,安値!G404&lt;安値!I404),2,""))</f>
        <v/>
      </c>
      <c r="C404" s="503" t="str">
        <f>IF(終値!A404="","",IF(AND(安値!H404&lt;安値!G404,安値!H404&lt;安値!F404,安値!H404&lt;安値!I404,安値!H404&lt;安値!J404),3,""))</f>
        <v/>
      </c>
      <c r="D404" s="503" t="str">
        <f>IF(終値!A404="","",IF(AND(安値!I404&lt;安値!H404,安値!I404&lt;安値!G404,安値!I404&lt;安値!J404,安値!I404&lt;安値!K404),4,""))</f>
        <v/>
      </c>
      <c r="E404" s="503" t="str">
        <f>IF(終値!A404="","",IF(AND(安値!J404&lt;安値!I404,安値!J404&lt;安値!H404,安値!J404&lt;安値!K404,安値!J404&lt;安値!L404),5,""))</f>
        <v/>
      </c>
      <c r="F404" s="503" t="str">
        <f>IF(終値!A404="","",IF(AND(安値!K404&lt;安値!J404,安値!K404&lt;安値!I404,安値!K404&lt;安値!L404,安値!K404&lt;安値!M404),6,""))</f>
        <v/>
      </c>
      <c r="G404" s="503" t="str">
        <f>IF(終値!A404="","",IF(AND(安値!L404&lt;安値!K404,安値!L404&lt;安値!J404,安値!L404&lt;安値!M404,安値!L404&lt;安値!N404),7,""))</f>
        <v/>
      </c>
      <c r="H404" s="503" t="str">
        <f>IF(終値!A404="","",IF(AND(安値!M404&lt;安値!L404,安値!M404&lt;安値!K404,安値!M404&lt;安値!N404,安値!M404&lt;安値!O404),8,""))</f>
        <v/>
      </c>
      <c r="I404" s="503" t="str">
        <f>IF(終値!A404="","",IF(AND(安値!N404&lt;安値!M404,安値!N404&lt;安値!L404,安値!N404&lt;安値!O404,安値!N404&lt;安値!P404),9,""))</f>
        <v/>
      </c>
      <c r="J404" s="503" t="str">
        <f>IF(終値!A404="","",IF(AND(安値!O404&lt;安値!N404,安値!O404&lt;安値!M404,安値!O404&lt;安値!P404,安値!O404&lt;安値!Q404),10,""))</f>
        <v/>
      </c>
      <c r="K404" s="503" t="str">
        <f>IF(終値!A404="","",IF(AND(安値!P404&lt;安値!O404,安値!P404&lt;安値!N404,安値!P404&lt;安値!Q404,安値!P404&lt;安値!R404),11,""))</f>
        <v/>
      </c>
      <c r="L404" s="503" t="str">
        <f>IF(終値!A404="","",IF(AND(安値!Q404&lt;安値!P404,安値!Q404&lt;安値!O404,安値!Q404&lt;安値!R404,安値!Q404&lt;安値!S404),12,""))</f>
        <v/>
      </c>
      <c r="M404" s="503" t="str">
        <f>IF(終値!A404="","",IF(AND(安値!R404&lt;安値!Q404,安値!R404&lt;安値!P404,安値!R404&lt;安値!S404,安値!R404&lt;安値!T404),13,""))</f>
        <v/>
      </c>
      <c r="N404" s="503" t="str">
        <f>IF(終値!A404="","",IF(AND(安値!S404&lt;安値!R404,安値!S404&lt;安値!Q404,安値!S404&lt;安値!T404,安値!S404&lt;安値!U404),14,""))</f>
        <v/>
      </c>
      <c r="O404" s="503" t="str">
        <f>IF(終値!A404="","",IF(AND(安値!T404&lt;安値!S404,安値!T404&lt;安値!R404,安値!T404&lt;安値!U404,安値!T404&lt;安値!V404),15,""))</f>
        <v/>
      </c>
      <c r="P404" s="503" t="str">
        <f>IF(終値!A404="","",IF(AND(安値!U404&lt;安値!T404,安値!U404&lt;安値!S404,安値!U404&lt;安値!V404,安値!U404&lt;安値!W404),16,""))</f>
        <v/>
      </c>
      <c r="Q404" s="503" t="str">
        <f>IF(終値!A404="","",IF(AND(安値!V404&lt;安値!U404,安値!V404&lt;安値!T404,安値!V404&lt;安値!W404,安値!V404&lt;安値!X404),17,""))</f>
        <v/>
      </c>
      <c r="R404" s="503" t="str">
        <f>IF(終値!A404="","",IF(AND(安値!W404&lt;安値!V404,安値!W404&lt;安値!U404,安値!W404&lt;安値!X404,安値!W404&lt;安値!Y404),18,""))</f>
        <v/>
      </c>
      <c r="S404" s="503" t="str">
        <f>IF(終値!A404="","",IF(AND(安値!X404&lt;安値!W404,安値!X404&lt;安値!V404,安値!X404&lt;安値!Y404,安値!X404&lt;安値!Z404),19,""))</f>
        <v/>
      </c>
      <c r="T404" s="503" t="str">
        <f>IF(終値!A404="","",IF(AND(安値!Y404&lt;安値!X404,安値!Y404&lt;安値!W404,安値!Y404&lt;安値!Z404,安値!Y404&lt;安値!AA404),20,""))</f>
        <v/>
      </c>
      <c r="U404" s="503" t="str">
        <f>IF(終値!A404="","",IF(AND(安値!Z404&lt;安値!Y404,安値!Z404&lt;安値!X404,安値!Z404&lt;安値!AA404,安値!Z404&lt;安値!AB404),21,""))</f>
        <v/>
      </c>
      <c r="V404" s="503" t="str">
        <f>IF(終値!A404="","",IF(AND(安値!AA404&lt;安値!Z404,安値!AA404&lt;安値!Y404,安値!AA404&lt;安値!AB404,安値!AA404&lt;安値!AC404),22,""))</f>
        <v/>
      </c>
      <c r="W404" s="503" t="str">
        <f>IF(終値!A404="","",IF(AND(安値!AB404&lt;安値!AA404,安値!AB404&lt;安値!Z404,安値!AB404&lt;安値!AC404,安値!AB404&lt;安値!AD404),23,""))</f>
        <v/>
      </c>
      <c r="X404" s="503" t="str">
        <f>IF(終値!A404="","",IF(AND(安値!AC404&lt;安値!AB404,安値!AC404&lt;安値!AA404,安値!AC404&lt;安値!AD404,安値!AC404&lt;安値!AE404),24,""))</f>
        <v/>
      </c>
      <c r="Y404" s="503" t="str">
        <f>IF(終値!A404="","",IF(AND(安値!AD404&lt;安値!AC404,安値!AD404&lt;安値!AB404,安値!AD404&lt;安値!AE404,安値!AD404&lt;安値!AF404),25,""))</f>
        <v/>
      </c>
      <c r="Z404" s="503" t="str">
        <f>IF(終値!A404="","",IF(AND(安値!AE404&lt;安値!AD404,安値!AE404&lt;安値!AC404,安値!AE404&lt;安値!AF404,安値!AE404&lt;安値!AG404),26,""))</f>
        <v/>
      </c>
      <c r="AA404" s="503" t="str">
        <f>IF(終値!A404="","",IF(AND(安値!AF404&lt;安値!AE404,安値!AF404&lt;安値!AD404,安値!AF404&lt;安値!AG404,安値!AF404&lt;安値!AH404),27,""))</f>
        <v/>
      </c>
      <c r="AB404" s="503" t="str">
        <f>IF(終値!A404="","",IF(AND(安値!AG404&lt;安値!AF404,安値!AG404&lt;安値!AE404,安値!AG404&lt;安値!AH404,安値!AG404&lt;安値!AI404),28,""))</f>
        <v/>
      </c>
      <c r="AC404" s="503" t="str">
        <f>IF(終値!A404="","",IF(AND(高値!G404&gt;高値!F404,高値!G404&gt;高値!E404,高値!G404&gt;高値!H404,高値!G404&gt;高値!I404),2,""))</f>
        <v/>
      </c>
      <c r="AD404" s="503" t="str">
        <f>IF(終値!A404="","",IF(AND(高値!H404&gt;高値!G404,高値!H404&gt;高値!F404,高値!H404&gt;高値!I404,高値!H404&gt;高値!J404),3,""))</f>
        <v/>
      </c>
      <c r="AE404" s="503" t="str">
        <f>IF(終値!A404="","",IF(AND(高値!I404&gt;高値!H404,高値!I404&gt;高値!G404,高値!I404&gt;高値!J404,高値!I404&gt;高値!K404),4,""))</f>
        <v/>
      </c>
      <c r="AF404" s="503" t="str">
        <f>IF(終値!A404="","",IF(AND(高値!J404&gt;高値!I404,高値!J404&gt;高値!H404,高値!J404&gt;高値!K404,高値!J404&gt;高値!L404),5,""))</f>
        <v/>
      </c>
      <c r="AG404" s="503" t="str">
        <f>IF(終値!A404="","",IF(AND(高値!K404&gt;高値!J404,高値!K404&gt;高値!I404,高値!K404&gt;高値!L404,高値!K404&gt;高値!M404),6,""))</f>
        <v/>
      </c>
      <c r="AH404" s="503" t="str">
        <f>IF(終値!A404="","",IF(AND(高値!L404&gt;高値!K404,高値!L404&gt;高値!J404,高値!L404&gt;高値!M404,高値!L404&gt;高値!N404),7,""))</f>
        <v/>
      </c>
      <c r="AI404" s="503" t="str">
        <f>IF(終値!A404="","",IF(AND(高値!M404&gt;高値!L404,高値!M404&gt;高値!K404,高値!M404&gt;高値!N404,高値!M404&gt;高値!O404),8,""))</f>
        <v/>
      </c>
      <c r="AJ404" s="503" t="str">
        <f>IF(終値!A404="","",IF(AND(高値!N404&gt;高値!M404,高値!N404&gt;高値!L404,高値!N404&gt;高値!O404,高値!N404&gt;高値!P404),9,""))</f>
        <v/>
      </c>
      <c r="AK404" s="503" t="str">
        <f>IF(終値!A404="","",IF(AND(高値!O404&gt;高値!N404,高値!O404&gt;高値!M404,高値!O404&gt;高値!P404,高値!O404&gt;高値!Q404),10,""))</f>
        <v/>
      </c>
      <c r="AL404" s="503" t="str">
        <f>IF(終値!A404="","",IF(AND(高値!P404&gt;高値!O404,高値!P404&gt;高値!N404,高値!P404&gt;高値!Q404,高値!P404&gt;高値!R404),11,""))</f>
        <v/>
      </c>
      <c r="AM404" s="503" t="str">
        <f>IF(終値!A404="","",IF(AND(高値!Q404&gt;高値!P404,高値!Q404&gt;高値!O404,高値!Q404&gt;高値!R404,高値!Q404&gt;高値!S404),12,""))</f>
        <v/>
      </c>
      <c r="AN404" s="503" t="str">
        <f>IF(終値!A404="","",IF(AND(高値!R404&gt;高値!Q404,高値!R404&gt;高値!P404,高値!R404&gt;高値!S404,高値!R404&gt;高値!T404),13,""))</f>
        <v/>
      </c>
      <c r="AO404" s="503" t="str">
        <f>IF(終値!A404="","",IF(AND(高値!S404&gt;高値!R404,高値!S404&gt;高値!Q404,高値!S404&gt;高値!T404,高値!S404&gt;高値!U404),14,""))</f>
        <v/>
      </c>
      <c r="AP404" s="503" t="str">
        <f>IF(終値!A404="","",IF(AND(高値!T404&gt;高値!S404,高値!T404&gt;高値!R404,高値!T404&gt;高値!U404,高値!T404&gt;高値!V404),15,""))</f>
        <v/>
      </c>
      <c r="AQ404" s="503" t="str">
        <f>IF(終値!A404="","",IF(AND(高値!U404&gt;高値!T404,高値!U404&gt;高値!S404,高値!U404&gt;高値!V404,高値!U404&gt;高値!W404),16,""))</f>
        <v/>
      </c>
      <c r="AR404" s="503" t="str">
        <f>IF(終値!A404="","",IF(AND(高値!V404&gt;高値!U404,高値!V404&gt;高値!T404,高値!V404&gt;高値!W404,高値!V404&gt;高値!X404),17,""))</f>
        <v/>
      </c>
      <c r="AS404" s="503" t="str">
        <f>IF(終値!A404="","",IF(AND(高値!W404&gt;高値!V404,高値!W404&gt;高値!U404,高値!W404&gt;高値!X404,高値!W404&gt;高値!Y404),18,""))</f>
        <v/>
      </c>
      <c r="AT404" s="503" t="str">
        <f>IF(終値!A404="","",IF(AND(高値!X404&gt;高値!W404,高値!X404&gt;高値!V404,高値!X404&gt;高値!Y404,高値!X404&gt;高値!Z404),19,""))</f>
        <v/>
      </c>
      <c r="AU404" s="503" t="str">
        <f>IF(終値!A404="","",IF(AND(高値!Y404&gt;高値!X404,高値!Y404&gt;高値!W404,高値!Y404&gt;高値!Z404,高値!Y404&gt;高値!AA404),20,""))</f>
        <v/>
      </c>
      <c r="AV404" s="503" t="str">
        <f>IF(終値!A404="","",IF(AND(高値!Z404&gt;高値!Y404,高値!Z404&gt;高値!X404,高値!Z404&gt;高値!AA404,高値!Z404&gt;高値!AB404),21,""))</f>
        <v/>
      </c>
      <c r="AW404" s="503" t="str">
        <f>IF(終値!A404="","",IF(AND(高値!AA404&gt;高値!Z404,高値!AA404&gt;高値!Y404,高値!AA404&gt;高値!AB404,高値!AA404&gt;高値!AC404),22,""))</f>
        <v/>
      </c>
      <c r="AX404" s="503" t="str">
        <f>IF(終値!A404="","",IF(AND(高値!AB404&gt;高値!AA404,高値!AB404&gt;高値!Z404,高値!AB404&gt;高値!AC404,高値!AB404&gt;高値!AD404),23,""))</f>
        <v/>
      </c>
      <c r="AY404" s="503" t="str">
        <f>IF(終値!A404="","",IF(AND(高値!AC404&gt;高値!AB404,高値!AC404&gt;高値!AA404,高値!AC404&gt;高値!AD404,高値!AC404&gt;高値!AE404),24,""))</f>
        <v/>
      </c>
      <c r="AZ404" s="503" t="str">
        <f>IF(終値!A404="","",IF(AND(高値!AD404&gt;高値!AC404,高値!AD404&gt;高値!AB404,高値!AD404&gt;高値!AE404,高値!AD404&gt;高値!AF404),25,""))</f>
        <v/>
      </c>
      <c r="BA404" s="503" t="str">
        <f>IF(終値!A404="","",IF(AND(高値!AE404&gt;高値!AD404,高値!AE404&gt;高値!AC404,高値!AE404&gt;高値!AF404,高値!AE404&gt;高値!AG404),26,""))</f>
        <v/>
      </c>
      <c r="BB404" s="503" t="str">
        <f>IF(終値!A404="","",IF(AND(高値!AF404&gt;高値!AE404,高値!AF404&gt;高値!AD404,高値!AF404&gt;高値!AG404,高値!AF404&gt;高値!AH404),27,""))</f>
        <v/>
      </c>
      <c r="BC404" s="503" t="str">
        <f>IF(終値!A404="","",IF(AND(高値!AG404&gt;高値!AF404,高値!AG404&gt;高値!AE404,高値!AG404&gt;高値!AH404,高値!AG404&gt;高値!AI404),28,""))</f>
        <v/>
      </c>
      <c r="BD404" s="503">
        <f t="shared" si="36"/>
        <v>0</v>
      </c>
      <c r="BE404" s="503" t="str">
        <f t="shared" si="37"/>
        <v/>
      </c>
      <c r="BF404" s="503" t="str">
        <f t="shared" si="38"/>
        <v/>
      </c>
      <c r="BG404" s="503" t="str">
        <f>IF($BE404="","",INDEX(安値!$E404:$CZ404,1,$BE404+1))</f>
        <v/>
      </c>
      <c r="BH404" s="503" t="str">
        <f>IF($BF404="","",INDEX(安値!$E404:$CZ404,1,$BF404+1))</f>
        <v/>
      </c>
      <c r="BI404" s="503" t="str">
        <f>IF($BF404="","",MAX(INDEX(高値!$E404:$CZ404,1,$BE404+1):INDEX(高値!$E404:$CZ404,1,$BF404+1)))</f>
        <v/>
      </c>
      <c r="BJ404" s="503" t="str">
        <f>IF($BF404="","",AVERAGE(INDEX(終値!$E404:$CZ404,1,$BF404+1):INDEX(終値!$E404:$CZ404,1,$BF404+20))-2*STDEVP(INDEX(終値!$E404:$CZ404,1,$BF404+1):INDEX(終値!$E404:$CZ404,1,$BF404+20)))</f>
        <v/>
      </c>
      <c r="BK404" s="503" t="str">
        <f>IF($BE404="","",AVERAGE(INDEX(終値!$E404:$CZ404,1,$BE404+1):INDEX(終値!$E404:$CZ404,1,$BE404+20))-2*STDEVP(INDEX(終値!$E404:$CZ404,1,$BE404+1):INDEX(終値!$E404:$CZ404,1,$BE404+20)))</f>
        <v/>
      </c>
      <c r="BL404" s="503">
        <f t="shared" si="39"/>
        <v>0</v>
      </c>
      <c r="BM404" s="503" t="str">
        <f t="shared" si="40"/>
        <v/>
      </c>
      <c r="BN404" s="503" t="str">
        <f t="shared" si="41"/>
        <v/>
      </c>
      <c r="BO404" s="503" t="str">
        <f>IF($BM404="","",INDEX(高値!$E404:$CZ404,1,$BM404+1))</f>
        <v/>
      </c>
      <c r="BP404" s="503" t="str">
        <f>IF($BN404="","",INDEX(高値!$E404:$CZ404,1,$BN404+1))</f>
        <v/>
      </c>
      <c r="BQ404" s="503" t="str">
        <f>IF($BN404="","",MIN(INDEX(安値!$E404:$CZ404,1,$BM404+1):INDEX(安値!$E404:$CZ404,1,$BN404+1)))</f>
        <v/>
      </c>
      <c r="BR404" s="503" t="str">
        <f>IF($BN404="","",AVERAGE(INDEX(終値!$E404:$CZ404,1,$BN404+1):INDEX(終値!$E404:$CZ404,1,$BN404+20))+2*STDEVP(INDEX(終値!$E404:$CZ404,1,$BN404+1):INDEX(終値!$E404:$CZ404,1,$BN404+20)))</f>
        <v/>
      </c>
      <c r="BS404" s="503" t="str">
        <f>IF($BM404="","",AVERAGE(INDEX(終値!$E404:$CZ404,1,$BM404+1):INDEX(終値!$E404:$CZ404,1,$BM404+20))+2*STDEVP(INDEX(終値!$E404:$CZ404,1,$BM404+1):INDEX(終値!$E404:$CZ404,1,$BM404+20)))</f>
        <v/>
      </c>
      <c r="BT404" s="500"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3" t="str">
        <f>IF(終値!A405="","",IF(AND(安値!G405&lt;安値!F405,安値!G405&lt;安値!E405,安値!G405&lt;安値!H405,安値!G405&lt;安値!I405),2,""))</f>
        <v/>
      </c>
      <c r="C405" s="503" t="str">
        <f>IF(終値!A405="","",IF(AND(安値!H405&lt;安値!G405,安値!H405&lt;安値!F405,安値!H405&lt;安値!I405,安値!H405&lt;安値!J405),3,""))</f>
        <v/>
      </c>
      <c r="D405" s="503" t="str">
        <f>IF(終値!A405="","",IF(AND(安値!I405&lt;安値!H405,安値!I405&lt;安値!G405,安値!I405&lt;安値!J405,安値!I405&lt;安値!K405),4,""))</f>
        <v/>
      </c>
      <c r="E405" s="503" t="str">
        <f>IF(終値!A405="","",IF(AND(安値!J405&lt;安値!I405,安値!J405&lt;安値!H405,安値!J405&lt;安値!K405,安値!J405&lt;安値!L405),5,""))</f>
        <v/>
      </c>
      <c r="F405" s="503" t="str">
        <f>IF(終値!A405="","",IF(AND(安値!K405&lt;安値!J405,安値!K405&lt;安値!I405,安値!K405&lt;安値!L405,安値!K405&lt;安値!M405),6,""))</f>
        <v/>
      </c>
      <c r="G405" s="503" t="str">
        <f>IF(終値!A405="","",IF(AND(安値!L405&lt;安値!K405,安値!L405&lt;安値!J405,安値!L405&lt;安値!M405,安値!L405&lt;安値!N405),7,""))</f>
        <v/>
      </c>
      <c r="H405" s="503" t="str">
        <f>IF(終値!A405="","",IF(AND(安値!M405&lt;安値!L405,安値!M405&lt;安値!K405,安値!M405&lt;安値!N405,安値!M405&lt;安値!O405),8,""))</f>
        <v/>
      </c>
      <c r="I405" s="503" t="str">
        <f>IF(終値!A405="","",IF(AND(安値!N405&lt;安値!M405,安値!N405&lt;安値!L405,安値!N405&lt;安値!O405,安値!N405&lt;安値!P405),9,""))</f>
        <v/>
      </c>
      <c r="J405" s="503" t="str">
        <f>IF(終値!A405="","",IF(AND(安値!O405&lt;安値!N405,安値!O405&lt;安値!M405,安値!O405&lt;安値!P405,安値!O405&lt;安値!Q405),10,""))</f>
        <v/>
      </c>
      <c r="K405" s="503" t="str">
        <f>IF(終値!A405="","",IF(AND(安値!P405&lt;安値!O405,安値!P405&lt;安値!N405,安値!P405&lt;安値!Q405,安値!P405&lt;安値!R405),11,""))</f>
        <v/>
      </c>
      <c r="L405" s="503" t="str">
        <f>IF(終値!A405="","",IF(AND(安値!Q405&lt;安値!P405,安値!Q405&lt;安値!O405,安値!Q405&lt;安値!R405,安値!Q405&lt;安値!S405),12,""))</f>
        <v/>
      </c>
      <c r="M405" s="503" t="str">
        <f>IF(終値!A405="","",IF(AND(安値!R405&lt;安値!Q405,安値!R405&lt;安値!P405,安値!R405&lt;安値!S405,安値!R405&lt;安値!T405),13,""))</f>
        <v/>
      </c>
      <c r="N405" s="503" t="str">
        <f>IF(終値!A405="","",IF(AND(安値!S405&lt;安値!R405,安値!S405&lt;安値!Q405,安値!S405&lt;安値!T405,安値!S405&lt;安値!U405),14,""))</f>
        <v/>
      </c>
      <c r="O405" s="503" t="str">
        <f>IF(終値!A405="","",IF(AND(安値!T405&lt;安値!S405,安値!T405&lt;安値!R405,安値!T405&lt;安値!U405,安値!T405&lt;安値!V405),15,""))</f>
        <v/>
      </c>
      <c r="P405" s="503" t="str">
        <f>IF(終値!A405="","",IF(AND(安値!U405&lt;安値!T405,安値!U405&lt;安値!S405,安値!U405&lt;安値!V405,安値!U405&lt;安値!W405),16,""))</f>
        <v/>
      </c>
      <c r="Q405" s="503" t="str">
        <f>IF(終値!A405="","",IF(AND(安値!V405&lt;安値!U405,安値!V405&lt;安値!T405,安値!V405&lt;安値!W405,安値!V405&lt;安値!X405),17,""))</f>
        <v/>
      </c>
      <c r="R405" s="503" t="str">
        <f>IF(終値!A405="","",IF(AND(安値!W405&lt;安値!V405,安値!W405&lt;安値!U405,安値!W405&lt;安値!X405,安値!W405&lt;安値!Y405),18,""))</f>
        <v/>
      </c>
      <c r="S405" s="503" t="str">
        <f>IF(終値!A405="","",IF(AND(安値!X405&lt;安値!W405,安値!X405&lt;安値!V405,安値!X405&lt;安値!Y405,安値!X405&lt;安値!Z405),19,""))</f>
        <v/>
      </c>
      <c r="T405" s="503" t="str">
        <f>IF(終値!A405="","",IF(AND(安値!Y405&lt;安値!X405,安値!Y405&lt;安値!W405,安値!Y405&lt;安値!Z405,安値!Y405&lt;安値!AA405),20,""))</f>
        <v/>
      </c>
      <c r="U405" s="503" t="str">
        <f>IF(終値!A405="","",IF(AND(安値!Z405&lt;安値!Y405,安値!Z405&lt;安値!X405,安値!Z405&lt;安値!AA405,安値!Z405&lt;安値!AB405),21,""))</f>
        <v/>
      </c>
      <c r="V405" s="503" t="str">
        <f>IF(終値!A405="","",IF(AND(安値!AA405&lt;安値!Z405,安値!AA405&lt;安値!Y405,安値!AA405&lt;安値!AB405,安値!AA405&lt;安値!AC405),22,""))</f>
        <v/>
      </c>
      <c r="W405" s="503" t="str">
        <f>IF(終値!A405="","",IF(AND(安値!AB405&lt;安値!AA405,安値!AB405&lt;安値!Z405,安値!AB405&lt;安値!AC405,安値!AB405&lt;安値!AD405),23,""))</f>
        <v/>
      </c>
      <c r="X405" s="503" t="str">
        <f>IF(終値!A405="","",IF(AND(安値!AC405&lt;安値!AB405,安値!AC405&lt;安値!AA405,安値!AC405&lt;安値!AD405,安値!AC405&lt;安値!AE405),24,""))</f>
        <v/>
      </c>
      <c r="Y405" s="503" t="str">
        <f>IF(終値!A405="","",IF(AND(安値!AD405&lt;安値!AC405,安値!AD405&lt;安値!AB405,安値!AD405&lt;安値!AE405,安値!AD405&lt;安値!AF405),25,""))</f>
        <v/>
      </c>
      <c r="Z405" s="503" t="str">
        <f>IF(終値!A405="","",IF(AND(安値!AE405&lt;安値!AD405,安値!AE405&lt;安値!AC405,安値!AE405&lt;安値!AF405,安値!AE405&lt;安値!AG405),26,""))</f>
        <v/>
      </c>
      <c r="AA405" s="503" t="str">
        <f>IF(終値!A405="","",IF(AND(安値!AF405&lt;安値!AE405,安値!AF405&lt;安値!AD405,安値!AF405&lt;安値!AG405,安値!AF405&lt;安値!AH405),27,""))</f>
        <v/>
      </c>
      <c r="AB405" s="503" t="str">
        <f>IF(終値!A405="","",IF(AND(安値!AG405&lt;安値!AF405,安値!AG405&lt;安値!AE405,安値!AG405&lt;安値!AH405,安値!AG405&lt;安値!AI405),28,""))</f>
        <v/>
      </c>
      <c r="AC405" s="503" t="str">
        <f>IF(終値!A405="","",IF(AND(高値!G405&gt;高値!F405,高値!G405&gt;高値!E405,高値!G405&gt;高値!H405,高値!G405&gt;高値!I405),2,""))</f>
        <v/>
      </c>
      <c r="AD405" s="503" t="str">
        <f>IF(終値!A405="","",IF(AND(高値!H405&gt;高値!G405,高値!H405&gt;高値!F405,高値!H405&gt;高値!I405,高値!H405&gt;高値!J405),3,""))</f>
        <v/>
      </c>
      <c r="AE405" s="503" t="str">
        <f>IF(終値!A405="","",IF(AND(高値!I405&gt;高値!H405,高値!I405&gt;高値!G405,高値!I405&gt;高値!J405,高値!I405&gt;高値!K405),4,""))</f>
        <v/>
      </c>
      <c r="AF405" s="503" t="str">
        <f>IF(終値!A405="","",IF(AND(高値!J405&gt;高値!I405,高値!J405&gt;高値!H405,高値!J405&gt;高値!K405,高値!J405&gt;高値!L405),5,""))</f>
        <v/>
      </c>
      <c r="AG405" s="503" t="str">
        <f>IF(終値!A405="","",IF(AND(高値!K405&gt;高値!J405,高値!K405&gt;高値!I405,高値!K405&gt;高値!L405,高値!K405&gt;高値!M405),6,""))</f>
        <v/>
      </c>
      <c r="AH405" s="503" t="str">
        <f>IF(終値!A405="","",IF(AND(高値!L405&gt;高値!K405,高値!L405&gt;高値!J405,高値!L405&gt;高値!M405,高値!L405&gt;高値!N405),7,""))</f>
        <v/>
      </c>
      <c r="AI405" s="503" t="str">
        <f>IF(終値!A405="","",IF(AND(高値!M405&gt;高値!L405,高値!M405&gt;高値!K405,高値!M405&gt;高値!N405,高値!M405&gt;高値!O405),8,""))</f>
        <v/>
      </c>
      <c r="AJ405" s="503" t="str">
        <f>IF(終値!A405="","",IF(AND(高値!N405&gt;高値!M405,高値!N405&gt;高値!L405,高値!N405&gt;高値!O405,高値!N405&gt;高値!P405),9,""))</f>
        <v/>
      </c>
      <c r="AK405" s="503" t="str">
        <f>IF(終値!A405="","",IF(AND(高値!O405&gt;高値!N405,高値!O405&gt;高値!M405,高値!O405&gt;高値!P405,高値!O405&gt;高値!Q405),10,""))</f>
        <v/>
      </c>
      <c r="AL405" s="503" t="str">
        <f>IF(終値!A405="","",IF(AND(高値!P405&gt;高値!O405,高値!P405&gt;高値!N405,高値!P405&gt;高値!Q405,高値!P405&gt;高値!R405),11,""))</f>
        <v/>
      </c>
      <c r="AM405" s="503" t="str">
        <f>IF(終値!A405="","",IF(AND(高値!Q405&gt;高値!P405,高値!Q405&gt;高値!O405,高値!Q405&gt;高値!R405,高値!Q405&gt;高値!S405),12,""))</f>
        <v/>
      </c>
      <c r="AN405" s="503" t="str">
        <f>IF(終値!A405="","",IF(AND(高値!R405&gt;高値!Q405,高値!R405&gt;高値!P405,高値!R405&gt;高値!S405,高値!R405&gt;高値!T405),13,""))</f>
        <v/>
      </c>
      <c r="AO405" s="503" t="str">
        <f>IF(終値!A405="","",IF(AND(高値!S405&gt;高値!R405,高値!S405&gt;高値!Q405,高値!S405&gt;高値!T405,高値!S405&gt;高値!U405),14,""))</f>
        <v/>
      </c>
      <c r="AP405" s="503" t="str">
        <f>IF(終値!A405="","",IF(AND(高値!T405&gt;高値!S405,高値!T405&gt;高値!R405,高値!T405&gt;高値!U405,高値!T405&gt;高値!V405),15,""))</f>
        <v/>
      </c>
      <c r="AQ405" s="503" t="str">
        <f>IF(終値!A405="","",IF(AND(高値!U405&gt;高値!T405,高値!U405&gt;高値!S405,高値!U405&gt;高値!V405,高値!U405&gt;高値!W405),16,""))</f>
        <v/>
      </c>
      <c r="AR405" s="503" t="str">
        <f>IF(終値!A405="","",IF(AND(高値!V405&gt;高値!U405,高値!V405&gt;高値!T405,高値!V405&gt;高値!W405,高値!V405&gt;高値!X405),17,""))</f>
        <v/>
      </c>
      <c r="AS405" s="503" t="str">
        <f>IF(終値!A405="","",IF(AND(高値!W405&gt;高値!V405,高値!W405&gt;高値!U405,高値!W405&gt;高値!X405,高値!W405&gt;高値!Y405),18,""))</f>
        <v/>
      </c>
      <c r="AT405" s="503" t="str">
        <f>IF(終値!A405="","",IF(AND(高値!X405&gt;高値!W405,高値!X405&gt;高値!V405,高値!X405&gt;高値!Y405,高値!X405&gt;高値!Z405),19,""))</f>
        <v/>
      </c>
      <c r="AU405" s="503" t="str">
        <f>IF(終値!A405="","",IF(AND(高値!Y405&gt;高値!X405,高値!Y405&gt;高値!W405,高値!Y405&gt;高値!Z405,高値!Y405&gt;高値!AA405),20,""))</f>
        <v/>
      </c>
      <c r="AV405" s="503" t="str">
        <f>IF(終値!A405="","",IF(AND(高値!Z405&gt;高値!Y405,高値!Z405&gt;高値!X405,高値!Z405&gt;高値!AA405,高値!Z405&gt;高値!AB405),21,""))</f>
        <v/>
      </c>
      <c r="AW405" s="503" t="str">
        <f>IF(終値!A405="","",IF(AND(高値!AA405&gt;高値!Z405,高値!AA405&gt;高値!Y405,高値!AA405&gt;高値!AB405,高値!AA405&gt;高値!AC405),22,""))</f>
        <v/>
      </c>
      <c r="AX405" s="503" t="str">
        <f>IF(終値!A405="","",IF(AND(高値!AB405&gt;高値!AA405,高値!AB405&gt;高値!Z405,高値!AB405&gt;高値!AC405,高値!AB405&gt;高値!AD405),23,""))</f>
        <v/>
      </c>
      <c r="AY405" s="503" t="str">
        <f>IF(終値!A405="","",IF(AND(高値!AC405&gt;高値!AB405,高値!AC405&gt;高値!AA405,高値!AC405&gt;高値!AD405,高値!AC405&gt;高値!AE405),24,""))</f>
        <v/>
      </c>
      <c r="AZ405" s="503" t="str">
        <f>IF(終値!A405="","",IF(AND(高値!AD405&gt;高値!AC405,高値!AD405&gt;高値!AB405,高値!AD405&gt;高値!AE405,高値!AD405&gt;高値!AF405),25,""))</f>
        <v/>
      </c>
      <c r="BA405" s="503" t="str">
        <f>IF(終値!A405="","",IF(AND(高値!AE405&gt;高値!AD405,高値!AE405&gt;高値!AC405,高値!AE405&gt;高値!AF405,高値!AE405&gt;高値!AG405),26,""))</f>
        <v/>
      </c>
      <c r="BB405" s="503" t="str">
        <f>IF(終値!A405="","",IF(AND(高値!AF405&gt;高値!AE405,高値!AF405&gt;高値!AD405,高値!AF405&gt;高値!AG405,高値!AF405&gt;高値!AH405),27,""))</f>
        <v/>
      </c>
      <c r="BC405" s="503" t="str">
        <f>IF(終値!A405="","",IF(AND(高値!AG405&gt;高値!AF405,高値!AG405&gt;高値!AE405,高値!AG405&gt;高値!AH405,高値!AG405&gt;高値!AI405),28,""))</f>
        <v/>
      </c>
      <c r="BD405" s="503">
        <f t="shared" si="36"/>
        <v>0</v>
      </c>
      <c r="BE405" s="503" t="str">
        <f t="shared" si="37"/>
        <v/>
      </c>
      <c r="BF405" s="503" t="str">
        <f t="shared" si="38"/>
        <v/>
      </c>
      <c r="BG405" s="503" t="str">
        <f>IF($BE405="","",INDEX(安値!$E405:$CZ405,1,$BE405+1))</f>
        <v/>
      </c>
      <c r="BH405" s="503" t="str">
        <f>IF($BF405="","",INDEX(安値!$E405:$CZ405,1,$BF405+1))</f>
        <v/>
      </c>
      <c r="BI405" s="503" t="str">
        <f>IF($BF405="","",MAX(INDEX(高値!$E405:$CZ405,1,$BE405+1):INDEX(高値!$E405:$CZ405,1,$BF405+1)))</f>
        <v/>
      </c>
      <c r="BJ405" s="503" t="str">
        <f>IF($BF405="","",AVERAGE(INDEX(終値!$E405:$CZ405,1,$BF405+1):INDEX(終値!$E405:$CZ405,1,$BF405+20))-2*STDEVP(INDEX(終値!$E405:$CZ405,1,$BF405+1):INDEX(終値!$E405:$CZ405,1,$BF405+20)))</f>
        <v/>
      </c>
      <c r="BK405" s="503" t="str">
        <f>IF($BE405="","",AVERAGE(INDEX(終値!$E405:$CZ405,1,$BE405+1):INDEX(終値!$E405:$CZ405,1,$BE405+20))-2*STDEVP(INDEX(終値!$E405:$CZ405,1,$BE405+1):INDEX(終値!$E405:$CZ405,1,$BE405+20)))</f>
        <v/>
      </c>
      <c r="BL405" s="503">
        <f t="shared" si="39"/>
        <v>0</v>
      </c>
      <c r="BM405" s="503" t="str">
        <f t="shared" si="40"/>
        <v/>
      </c>
      <c r="BN405" s="503" t="str">
        <f t="shared" si="41"/>
        <v/>
      </c>
      <c r="BO405" s="503" t="str">
        <f>IF($BM405="","",INDEX(高値!$E405:$CZ405,1,$BM405+1))</f>
        <v/>
      </c>
      <c r="BP405" s="503" t="str">
        <f>IF($BN405="","",INDEX(高値!$E405:$CZ405,1,$BN405+1))</f>
        <v/>
      </c>
      <c r="BQ405" s="503" t="str">
        <f>IF($BN405="","",MIN(INDEX(安値!$E405:$CZ405,1,$BM405+1):INDEX(安値!$E405:$CZ405,1,$BN405+1)))</f>
        <v/>
      </c>
      <c r="BR405" s="503" t="str">
        <f>IF($BN405="","",AVERAGE(INDEX(終値!$E405:$CZ405,1,$BN405+1):INDEX(終値!$E405:$CZ405,1,$BN405+20))+2*STDEVP(INDEX(終値!$E405:$CZ405,1,$BN405+1):INDEX(終値!$E405:$CZ405,1,$BN405+20)))</f>
        <v/>
      </c>
      <c r="BS405" s="503" t="str">
        <f>IF($BM405="","",AVERAGE(INDEX(終値!$E405:$CZ405,1,$BM405+1):INDEX(終値!$E405:$CZ405,1,$BM405+20))+2*STDEVP(INDEX(終値!$E405:$CZ405,1,$BM405+1):INDEX(終値!$E405:$CZ405,1,$BM405+20)))</f>
        <v/>
      </c>
      <c r="BT405" s="500"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xl/worksheets/sheet29.xml><?xml version="1.0" encoding="utf-8"?>
<worksheet xmlns="http://schemas.openxmlformats.org/spreadsheetml/2006/main">
  <dimension ref="A1:E474"/>
  <sheetViews>
    <sheetView workbookViewId="0"/>
  </sheetViews>
  <sheetFormatPr defaultRowHeight="18"/>
  <cols>
    <col min="1" max="1" width="26" customWidth="1"/>
    <col min="2" max="2" width="12" customWidth="1"/>
    <col min="4" max="4" width="26" customWidth="1"/>
    <col min="5" max="5" width="12" customWidth="1"/>
  </cols>
  <sheetData>
    <row r="1" spans="1:1">
      <c r="A1" t="inlineStr">
        <is>
          <t>⚙ V811 設定 ― 青字の B列 と E列 を変更してください</t>
        </is>
      </c>
    </row>
    <row r="2" spans="1:4">
      <c r="A2" t="inlineStr">
        <is>
          <t>■ リスク管理（管理シートが参照）</t>
        </is>
      </c>
      <c r="D2" t="inlineStr">
        <is>
          <t>■ 抽出ゲート（V811指標が参照）</t>
        </is>
      </c>
    </row>
    <row r="3" spans="1:5">
      <c r="A3" t="inlineStr">
        <is>
          <t>損切幅</t>
        </is>
      </c>
      <c r="B3">
        <v>0.03</v>
      </c>
      <c r="D3" t="inlineStr">
        <is>
          <t>14日平均レンジ率 上限(%)</t>
        </is>
      </c>
      <c r="E3">
        <v>2.2</v>
      </c>
    </row>
    <row r="4" spans="1:5">
      <c r="A4" t="inlineStr">
        <is>
          <t>利確幅</t>
        </is>
      </c>
      <c r="B4">
        <v>0.08</v>
      </c>
      <c r="D4" t="inlineStr">
        <is>
          <t>25日レンジ幅 上限(%)</t>
        </is>
      </c>
      <c r="E4">
        <v>9.0</v>
      </c>
    </row>
    <row r="5" spans="1:5">
      <c r="A5" t="inlineStr">
        <is>
          <t>1回の許容損失額(円)</t>
        </is>
      </c>
      <c r="B5">
        <v>20000</v>
      </c>
      <c r="D5" t="inlineStr">
        <is>
          <t>ギャップ率 上限(%)</t>
        </is>
      </c>
      <c r="E5">
        <v>0.5</v>
      </c>
    </row>
    <row r="6" spans="1:5">
      <c r="A6" t="inlineStr">
        <is>
          <t>時間決済(営業日)</t>
        </is>
      </c>
      <c r="B6">
        <v>3</v>
      </c>
      <c r="D6" t="inlineStr">
        <is>
          <t>前日比 上限(%)</t>
        </is>
      </c>
      <c r="E6">
        <v>1.5</v>
      </c>
    </row>
    <row r="7" spans="1:5">
      <c r="A7" t="inlineStr">
        <is>
          <t>片道手数料率</t>
        </is>
      </c>
      <c r="B7">
        <v>0.0005</v>
      </c>
      <c r="D7" t="inlineStr">
        <is>
          <t>前日比 下限(%)</t>
        </is>
      </c>
      <c r="E7">
        <v>-3.0</v>
      </c>
    </row>
    <row r="8" spans="1:5">
      <c r="A8" t="inlineStr">
        <is>
          <t>貸株料(年率)</t>
        </is>
      </c>
      <c r="B8">
        <v>0.0115</v>
      </c>
      <c r="D8" t="inlineStr">
        <is>
          <t>25日高値距離 下限(%)</t>
        </is>
      </c>
      <c r="E8">
        <v>-10.0</v>
      </c>
    </row>
    <row r="9" spans="4:5">
      <c r="D9" t="inlineStr">
        <is>
          <t>日中レンジ率 上限(%)</t>
        </is>
      </c>
      <c r="E9">
        <v>2.0</v>
      </c>
    </row>
    <row r="10" spans="4:5">
      <c r="D10" t="inlineStr">
        <is>
          <t>1日の採用上限(件)</t>
        </is>
      </c>
      <c r="E10">
        <v>3</v>
      </c>
    </row>
    <row r="11" spans="4:5">
      <c r="D11" t="inlineStr">
        <is>
          <t>買いを使う 1=使う 0=停止</t>
        </is>
      </c>
      <c r="E11">
        <v>1</v>
      </c>
    </row>
    <row r="12" spans="4:5">
      <c r="D12" t="inlineStr">
        <is>
          <t>売りを使う 1=使う 0=停止</t>
        </is>
      </c>
      <c r="E12">
        <v>0</v>
      </c>
    </row>
    <row r="15" spans="1:1">
      <c r="A15" t="inlineStr">
        <is>
          <t>■ 管理シート用の補助（行番号は管理シートに対応）</t>
        </is>
      </c>
    </row>
    <row r="16" spans="1:4">
      <c r="A16" t="inlineStr">
        <is>
          <t>管理の行</t>
        </is>
      </c>
      <c r="B16" t="inlineStr">
        <is>
          <t>重複警告</t>
        </is>
      </c>
      <c r="C16" t="inlineStr">
        <is>
          <t>推奨株数</t>
        </is>
      </c>
      <c r="D16" t="inlineStr">
        <is>
          <t>実質損益(手数料後)</t>
        </is>
      </c>
    </row>
    <row r="17" spans="1:4">
      <c r="A17">
        <v>4</v>
      </c>
      <c r="B17">
        <f>IF(管理!$B4="","",IF(COUNTIFS(管理!$B$4:$B4,管理!$B4,管理!$C$4:$C4,管理!$C4)&gt;1,"⛔重複",""))</f>
      </c>
      <c r="C17">
        <f>IF(管理!$F4="","",MAX(100,ROUNDDOWN($B$5/(管理!$F4*$B$3)/100,0)*100))</f>
      </c>
      <c r="D17">
        <f>IF(OR(管理!$F4="",管理!$U4=""),"",ROUND(管理!$V4-(管理!$F4+管理!$U4)*管理!$G4*$B$7-IF(管理!$C4="売",管理!$F4*管理!$G4*$B$8*管理!$W4/365,0),0))</f>
      </c>
    </row>
    <row r="18" spans="1:4">
      <c r="A18">
        <v>5</v>
      </c>
      <c r="B18">
        <f>IF(管理!$B5="","",IF(COUNTIFS(管理!$B$4:$B5,管理!$B5,管理!$C$4:$C5,管理!$C5)&gt;1,"⛔重複",""))</f>
      </c>
      <c r="C18">
        <f>IF(管理!$F5="","",MAX(100,ROUNDDOWN($B$5/(管理!$F5*$B$3)/100,0)*100))</f>
      </c>
      <c r="D18">
        <f>IF(OR(管理!$F5="",管理!$U5=""),"",ROUND(管理!$V5-(管理!$F5+管理!$U5)*管理!$G5*$B$7-IF(管理!$C5="売",管理!$F5*管理!$G5*$B$8*管理!$W5/365,0),0))</f>
      </c>
    </row>
    <row r="19" spans="1:4">
      <c r="A19">
        <v>6</v>
      </c>
      <c r="B19">
        <f>IF(管理!$B6="","",IF(COUNTIFS(管理!$B$4:$B6,管理!$B6,管理!$C$4:$C6,管理!$C6)&gt;1,"⛔重複",""))</f>
      </c>
      <c r="C19">
        <f>IF(管理!$F6="","",MAX(100,ROUNDDOWN($B$5/(管理!$F6*$B$3)/100,0)*100))</f>
      </c>
      <c r="D19">
        <f>IF(OR(管理!$F6="",管理!$U6=""),"",ROUND(管理!$V6-(管理!$F6+管理!$U6)*管理!$G6*$B$7-IF(管理!$C6="売",管理!$F6*管理!$G6*$B$8*管理!$W6/365,0),0))</f>
      </c>
    </row>
    <row r="20" spans="1:4">
      <c r="A20">
        <v>7</v>
      </c>
      <c r="B20">
        <f>IF(管理!$B7="","",IF(COUNTIFS(管理!$B$4:$B7,管理!$B7,管理!$C$4:$C7,管理!$C7)&gt;1,"⛔重複",""))</f>
      </c>
      <c r="C20">
        <f>IF(管理!$F7="","",MAX(100,ROUNDDOWN($B$5/(管理!$F7*$B$3)/100,0)*100))</f>
      </c>
      <c r="D20">
        <f>IF(OR(管理!$F7="",管理!$U7=""),"",ROUND(管理!$V7-(管理!$F7+管理!$U7)*管理!$G7*$B$7-IF(管理!$C7="売",管理!$F7*管理!$G7*$B$8*管理!$W7/365,0),0))</f>
      </c>
    </row>
    <row r="21" spans="1:4">
      <c r="A21">
        <v>8</v>
      </c>
      <c r="B21">
        <f>IF(管理!$B8="","",IF(COUNTIFS(管理!$B$4:$B8,管理!$B8,管理!$C$4:$C8,管理!$C8)&gt;1,"⛔重複",""))</f>
      </c>
      <c r="C21">
        <f>IF(管理!$F8="","",MAX(100,ROUNDDOWN($B$5/(管理!$F8*$B$3)/100,0)*100))</f>
      </c>
      <c r="D21">
        <f>IF(OR(管理!$F8="",管理!$U8=""),"",ROUND(管理!$V8-(管理!$F8+管理!$U8)*管理!$G8*$B$7-IF(管理!$C8="売",管理!$F8*管理!$G8*$B$8*管理!$W8/365,0),0))</f>
      </c>
    </row>
    <row r="22" spans="1:4">
      <c r="A22">
        <v>9</v>
      </c>
      <c r="B22">
        <f>IF(管理!$B9="","",IF(COUNTIFS(管理!$B$4:$B9,管理!$B9,管理!$C$4:$C9,管理!$C9)&gt;1,"⛔重複",""))</f>
      </c>
      <c r="C22">
        <f>IF(管理!$F9="","",MAX(100,ROUNDDOWN($B$5/(管理!$F9*$B$3)/100,0)*100))</f>
      </c>
      <c r="D22">
        <f>IF(OR(管理!$F9="",管理!$U9=""),"",ROUND(管理!$V9-(管理!$F9+管理!$U9)*管理!$G9*$B$7-IF(管理!$C9="売",管理!$F9*管理!$G9*$B$8*管理!$W9/365,0),0))</f>
      </c>
    </row>
    <row r="23" spans="1:4">
      <c r="A23">
        <v>10</v>
      </c>
      <c r="B23">
        <f>IF(管理!$B10="","",IF(COUNTIFS(管理!$B$4:$B10,管理!$B10,管理!$C$4:$C10,管理!$C10)&gt;1,"⛔重複",""))</f>
      </c>
      <c r="C23">
        <f>IF(管理!$F10="","",MAX(100,ROUNDDOWN($B$5/(管理!$F10*$B$3)/100,0)*100))</f>
      </c>
      <c r="D23">
        <f>IF(OR(管理!$F10="",管理!$U10=""),"",ROUND(管理!$V10-(管理!$F10+管理!$U10)*管理!$G10*$B$7-IF(管理!$C10="売",管理!$F10*管理!$G10*$B$8*管理!$W10/365,0),0))</f>
      </c>
    </row>
    <row r="24" spans="1:4">
      <c r="A24">
        <v>11</v>
      </c>
      <c r="B24">
        <f>IF(管理!$B11="","",IF(COUNTIFS(管理!$B$4:$B11,管理!$B11,管理!$C$4:$C11,管理!$C11)&gt;1,"⛔重複",""))</f>
      </c>
      <c r="C24">
        <f>IF(管理!$F11="","",MAX(100,ROUNDDOWN($B$5/(管理!$F11*$B$3)/100,0)*100))</f>
      </c>
      <c r="D24">
        <f>IF(OR(管理!$F11="",管理!$U11=""),"",ROUND(管理!$V11-(管理!$F11+管理!$U11)*管理!$G11*$B$7-IF(管理!$C11="売",管理!$F11*管理!$G11*$B$8*管理!$W11/365,0),0))</f>
      </c>
    </row>
    <row r="25" spans="1:4">
      <c r="A25">
        <v>12</v>
      </c>
      <c r="B25">
        <f>IF(管理!$B12="","",IF(COUNTIFS(管理!$B$4:$B12,管理!$B12,管理!$C$4:$C12,管理!$C12)&gt;1,"⛔重複",""))</f>
      </c>
      <c r="C25">
        <f>IF(管理!$F12="","",MAX(100,ROUNDDOWN($B$5/(管理!$F12*$B$3)/100,0)*100))</f>
      </c>
      <c r="D25">
        <f>IF(OR(管理!$F12="",管理!$U12=""),"",ROUND(管理!$V12-(管理!$F12+管理!$U12)*管理!$G12*$B$7-IF(管理!$C12="売",管理!$F12*管理!$G12*$B$8*管理!$W12/365,0),0))</f>
      </c>
    </row>
    <row r="26" spans="1:4">
      <c r="A26">
        <v>13</v>
      </c>
      <c r="B26">
        <f>IF(管理!$B13="","",IF(COUNTIFS(管理!$B$4:$B13,管理!$B13,管理!$C$4:$C13,管理!$C13)&gt;1,"⛔重複",""))</f>
      </c>
      <c r="C26">
        <f>IF(管理!$F13="","",MAX(100,ROUNDDOWN($B$5/(管理!$F13*$B$3)/100,0)*100))</f>
      </c>
      <c r="D26">
        <f>IF(OR(管理!$F13="",管理!$U13=""),"",ROUND(管理!$V13-(管理!$F13+管理!$U13)*管理!$G13*$B$7-IF(管理!$C13="売",管理!$F13*管理!$G13*$B$8*管理!$W13/365,0),0))</f>
      </c>
    </row>
    <row r="27" spans="1:4">
      <c r="A27">
        <v>14</v>
      </c>
      <c r="B27">
        <f>IF(管理!$B14="","",IF(COUNTIFS(管理!$B$4:$B14,管理!$B14,管理!$C$4:$C14,管理!$C14)&gt;1,"⛔重複",""))</f>
      </c>
      <c r="C27">
        <f>IF(管理!$F14="","",MAX(100,ROUNDDOWN($B$5/(管理!$F14*$B$3)/100,0)*100))</f>
      </c>
      <c r="D27">
        <f>IF(OR(管理!$F14="",管理!$U14=""),"",ROUND(管理!$V14-(管理!$F14+管理!$U14)*管理!$G14*$B$7-IF(管理!$C14="売",管理!$F14*管理!$G14*$B$8*管理!$W14/365,0),0))</f>
      </c>
    </row>
    <row r="28" spans="1:4">
      <c r="A28">
        <v>15</v>
      </c>
      <c r="B28">
        <f>IF(管理!$B15="","",IF(COUNTIFS(管理!$B$4:$B15,管理!$B15,管理!$C$4:$C15,管理!$C15)&gt;1,"⛔重複",""))</f>
      </c>
      <c r="C28">
        <f>IF(管理!$F15="","",MAX(100,ROUNDDOWN($B$5/(管理!$F15*$B$3)/100,0)*100))</f>
      </c>
      <c r="D28">
        <f>IF(OR(管理!$F15="",管理!$U15=""),"",ROUND(管理!$V15-(管理!$F15+管理!$U15)*管理!$G15*$B$7-IF(管理!$C15="売",管理!$F15*管理!$G15*$B$8*管理!$W15/365,0),0))</f>
      </c>
    </row>
    <row r="29" spans="1:4">
      <c r="A29">
        <v>16</v>
      </c>
      <c r="B29">
        <f>IF(管理!$B16="","",IF(COUNTIFS(管理!$B$4:$B16,管理!$B16,管理!$C$4:$C16,管理!$C16)&gt;1,"⛔重複",""))</f>
      </c>
      <c r="C29">
        <f>IF(管理!$F16="","",MAX(100,ROUNDDOWN($B$5/(管理!$F16*$B$3)/100,0)*100))</f>
      </c>
      <c r="D29">
        <f>IF(OR(管理!$F16="",管理!$U16=""),"",ROUND(管理!$V16-(管理!$F16+管理!$U16)*管理!$G16*$B$7-IF(管理!$C16="売",管理!$F16*管理!$G16*$B$8*管理!$W16/365,0),0))</f>
      </c>
    </row>
    <row r="30" spans="1:4">
      <c r="A30">
        <v>17</v>
      </c>
      <c r="B30">
        <f>IF(管理!$B17="","",IF(COUNTIFS(管理!$B$4:$B17,管理!$B17,管理!$C$4:$C17,管理!$C17)&gt;1,"⛔重複",""))</f>
      </c>
      <c r="C30">
        <f>IF(管理!$F17="","",MAX(100,ROUNDDOWN($B$5/(管理!$F17*$B$3)/100,0)*100))</f>
      </c>
      <c r="D30">
        <f>IF(OR(管理!$F17="",管理!$U17=""),"",ROUND(管理!$V17-(管理!$F17+管理!$U17)*管理!$G17*$B$7-IF(管理!$C17="売",管理!$F17*管理!$G17*$B$8*管理!$W17/365,0),0))</f>
      </c>
    </row>
    <row r="31" spans="1:4">
      <c r="A31">
        <v>18</v>
      </c>
      <c r="B31">
        <f>IF(管理!$B18="","",IF(COUNTIFS(管理!$B$4:$B18,管理!$B18,管理!$C$4:$C18,管理!$C18)&gt;1,"⛔重複",""))</f>
      </c>
      <c r="C31">
        <f>IF(管理!$F18="","",MAX(100,ROUNDDOWN($B$5/(管理!$F18*$B$3)/100,0)*100))</f>
      </c>
      <c r="D31">
        <f>IF(OR(管理!$F18="",管理!$U18=""),"",ROUND(管理!$V18-(管理!$F18+管理!$U18)*管理!$G18*$B$7-IF(管理!$C18="売",管理!$F18*管理!$G18*$B$8*管理!$W18/365,0),0))</f>
      </c>
    </row>
    <row r="32" spans="1:4">
      <c r="A32">
        <v>19</v>
      </c>
      <c r="B32">
        <f>IF(管理!$B19="","",IF(COUNTIFS(管理!$B$4:$B19,管理!$B19,管理!$C$4:$C19,管理!$C19)&gt;1,"⛔重複",""))</f>
      </c>
      <c r="C32">
        <f>IF(管理!$F19="","",MAX(100,ROUNDDOWN($B$5/(管理!$F19*$B$3)/100,0)*100))</f>
      </c>
      <c r="D32">
        <f>IF(OR(管理!$F19="",管理!$U19=""),"",ROUND(管理!$V19-(管理!$F19+管理!$U19)*管理!$G19*$B$7-IF(管理!$C19="売",管理!$F19*管理!$G19*$B$8*管理!$W19/365,0),0))</f>
      </c>
    </row>
    <row r="33" spans="1:4">
      <c r="A33">
        <v>20</v>
      </c>
      <c r="B33">
        <f>IF(管理!$B20="","",IF(COUNTIFS(管理!$B$4:$B20,管理!$B20,管理!$C$4:$C20,管理!$C20)&gt;1,"⛔重複",""))</f>
      </c>
      <c r="C33">
        <f>IF(管理!$F20="","",MAX(100,ROUNDDOWN($B$5/(管理!$F20*$B$3)/100,0)*100))</f>
      </c>
      <c r="D33">
        <f>IF(OR(管理!$F20="",管理!$U20=""),"",ROUND(管理!$V20-(管理!$F20+管理!$U20)*管理!$G20*$B$7-IF(管理!$C20="売",管理!$F20*管理!$G20*$B$8*管理!$W20/365,0),0))</f>
      </c>
    </row>
    <row r="34" spans="1:4">
      <c r="A34">
        <v>21</v>
      </c>
      <c r="B34">
        <f>IF(管理!$B21="","",IF(COUNTIFS(管理!$B$4:$B21,管理!$B21,管理!$C$4:$C21,管理!$C21)&gt;1,"⛔重複",""))</f>
      </c>
      <c r="C34">
        <f>IF(管理!$F21="","",MAX(100,ROUNDDOWN($B$5/(管理!$F21*$B$3)/100,0)*100))</f>
      </c>
      <c r="D34">
        <f>IF(OR(管理!$F21="",管理!$U21=""),"",ROUND(管理!$V21-(管理!$F21+管理!$U21)*管理!$G21*$B$7-IF(管理!$C21="売",管理!$F21*管理!$G21*$B$8*管理!$W21/365,0),0))</f>
      </c>
    </row>
    <row r="35" spans="1:4">
      <c r="A35">
        <v>22</v>
      </c>
      <c r="B35">
        <f>IF(管理!$B22="","",IF(COUNTIFS(管理!$B$4:$B22,管理!$B22,管理!$C$4:$C22,管理!$C22)&gt;1,"⛔重複",""))</f>
      </c>
      <c r="C35">
        <f>IF(管理!$F22="","",MAX(100,ROUNDDOWN($B$5/(管理!$F22*$B$3)/100,0)*100))</f>
      </c>
      <c r="D35">
        <f>IF(OR(管理!$F22="",管理!$U22=""),"",ROUND(管理!$V22-(管理!$F22+管理!$U22)*管理!$G22*$B$7-IF(管理!$C22="売",管理!$F22*管理!$G22*$B$8*管理!$W22/365,0),0))</f>
      </c>
    </row>
    <row r="36" spans="1:4">
      <c r="A36">
        <v>23</v>
      </c>
      <c r="B36">
        <f>IF(管理!$B23="","",IF(COUNTIFS(管理!$B$4:$B23,管理!$B23,管理!$C$4:$C23,管理!$C23)&gt;1,"⛔重複",""))</f>
      </c>
      <c r="C36">
        <f>IF(管理!$F23="","",MAX(100,ROUNDDOWN($B$5/(管理!$F23*$B$3)/100,0)*100))</f>
      </c>
      <c r="D36">
        <f>IF(OR(管理!$F23="",管理!$U23=""),"",ROUND(管理!$V23-(管理!$F23+管理!$U23)*管理!$G23*$B$7-IF(管理!$C23="売",管理!$F23*管理!$G23*$B$8*管理!$W23/365,0),0))</f>
      </c>
    </row>
    <row r="37" spans="1:4">
      <c r="A37">
        <v>24</v>
      </c>
      <c r="B37">
        <f>IF(管理!$B24="","",IF(COUNTIFS(管理!$B$4:$B24,管理!$B24,管理!$C$4:$C24,管理!$C24)&gt;1,"⛔重複",""))</f>
      </c>
      <c r="C37">
        <f>IF(管理!$F24="","",MAX(100,ROUNDDOWN($B$5/(管理!$F24*$B$3)/100,0)*100))</f>
      </c>
      <c r="D37">
        <f>IF(OR(管理!$F24="",管理!$U24=""),"",ROUND(管理!$V24-(管理!$F24+管理!$U24)*管理!$G24*$B$7-IF(管理!$C24="売",管理!$F24*管理!$G24*$B$8*管理!$W24/365,0),0))</f>
      </c>
    </row>
    <row r="38" spans="1:4">
      <c r="A38">
        <v>25</v>
      </c>
      <c r="B38">
        <f>IF(管理!$B25="","",IF(COUNTIFS(管理!$B$4:$B25,管理!$B25,管理!$C$4:$C25,管理!$C25)&gt;1,"⛔重複",""))</f>
      </c>
      <c r="C38">
        <f>IF(管理!$F25="","",MAX(100,ROUNDDOWN($B$5/(管理!$F25*$B$3)/100,0)*100))</f>
      </c>
      <c r="D38">
        <f>IF(OR(管理!$F25="",管理!$U25=""),"",ROUND(管理!$V25-(管理!$F25+管理!$U25)*管理!$G25*$B$7-IF(管理!$C25="売",管理!$F25*管理!$G25*$B$8*管理!$W25/365,0),0))</f>
      </c>
    </row>
    <row r="39" spans="1:4">
      <c r="A39">
        <v>26</v>
      </c>
      <c r="B39">
        <f>IF(管理!$B26="","",IF(COUNTIFS(管理!$B$4:$B26,管理!$B26,管理!$C$4:$C26,管理!$C26)&gt;1,"⛔重複",""))</f>
      </c>
      <c r="C39">
        <f>IF(管理!$F26="","",MAX(100,ROUNDDOWN($B$5/(管理!$F26*$B$3)/100,0)*100))</f>
      </c>
      <c r="D39">
        <f>IF(OR(管理!$F26="",管理!$U26=""),"",ROUND(管理!$V26-(管理!$F26+管理!$U26)*管理!$G26*$B$7-IF(管理!$C26="売",管理!$F26*管理!$G26*$B$8*管理!$W26/365,0),0))</f>
      </c>
    </row>
    <row r="40" spans="1:4">
      <c r="A40">
        <v>27</v>
      </c>
      <c r="B40">
        <f>IF(管理!$B27="","",IF(COUNTIFS(管理!$B$4:$B27,管理!$B27,管理!$C$4:$C27,管理!$C27)&gt;1,"⛔重複",""))</f>
      </c>
      <c r="C40">
        <f>IF(管理!$F27="","",MAX(100,ROUNDDOWN($B$5/(管理!$F27*$B$3)/100,0)*100))</f>
      </c>
      <c r="D40">
        <f>IF(OR(管理!$F27="",管理!$U27=""),"",ROUND(管理!$V27-(管理!$F27+管理!$U27)*管理!$G27*$B$7-IF(管理!$C27="売",管理!$F27*管理!$G27*$B$8*管理!$W27/365,0),0))</f>
      </c>
    </row>
    <row r="41" spans="1:4">
      <c r="A41">
        <v>28</v>
      </c>
      <c r="B41">
        <f>IF(管理!$B28="","",IF(COUNTIFS(管理!$B$4:$B28,管理!$B28,管理!$C$4:$C28,管理!$C28)&gt;1,"⛔重複",""))</f>
      </c>
      <c r="C41">
        <f>IF(管理!$F28="","",MAX(100,ROUNDDOWN($B$5/(管理!$F28*$B$3)/100,0)*100))</f>
      </c>
      <c r="D41">
        <f>IF(OR(管理!$F28="",管理!$U28=""),"",ROUND(管理!$V28-(管理!$F28+管理!$U28)*管理!$G28*$B$7-IF(管理!$C28="売",管理!$F28*管理!$G28*$B$8*管理!$W28/365,0),0))</f>
      </c>
    </row>
    <row r="42" spans="1:4">
      <c r="A42">
        <v>29</v>
      </c>
      <c r="B42">
        <f>IF(管理!$B29="","",IF(COUNTIFS(管理!$B$4:$B29,管理!$B29,管理!$C$4:$C29,管理!$C29)&gt;1,"⛔重複",""))</f>
      </c>
      <c r="C42">
        <f>IF(管理!$F29="","",MAX(100,ROUNDDOWN($B$5/(管理!$F29*$B$3)/100,0)*100))</f>
      </c>
      <c r="D42">
        <f>IF(OR(管理!$F29="",管理!$U29=""),"",ROUND(管理!$V29-(管理!$F29+管理!$U29)*管理!$G29*$B$7-IF(管理!$C29="売",管理!$F29*管理!$G29*$B$8*管理!$W29/365,0),0))</f>
      </c>
    </row>
    <row r="43" spans="1:4">
      <c r="A43">
        <v>30</v>
      </c>
      <c r="B43">
        <f>IF(管理!$B30="","",IF(COUNTIFS(管理!$B$4:$B30,管理!$B30,管理!$C$4:$C30,管理!$C30)&gt;1,"⛔重複",""))</f>
      </c>
      <c r="C43">
        <f>IF(管理!$F30="","",MAX(100,ROUNDDOWN($B$5/(管理!$F30*$B$3)/100,0)*100))</f>
      </c>
      <c r="D43">
        <f>IF(OR(管理!$F30="",管理!$U30=""),"",ROUND(管理!$V30-(管理!$F30+管理!$U30)*管理!$G30*$B$7-IF(管理!$C30="売",管理!$F30*管理!$G30*$B$8*管理!$W30/365,0),0))</f>
      </c>
    </row>
    <row r="44" spans="1:4">
      <c r="A44">
        <v>31</v>
      </c>
      <c r="B44">
        <f>IF(管理!$B31="","",IF(COUNTIFS(管理!$B$4:$B31,管理!$B31,管理!$C$4:$C31,管理!$C31)&gt;1,"⛔重複",""))</f>
      </c>
      <c r="C44">
        <f>IF(管理!$F31="","",MAX(100,ROUNDDOWN($B$5/(管理!$F31*$B$3)/100,0)*100))</f>
      </c>
      <c r="D44">
        <f>IF(OR(管理!$F31="",管理!$U31=""),"",ROUND(管理!$V31-(管理!$F31+管理!$U31)*管理!$G31*$B$7-IF(管理!$C31="売",管理!$F31*管理!$G31*$B$8*管理!$W31/365,0),0))</f>
      </c>
    </row>
    <row r="45" spans="1:4">
      <c r="A45">
        <v>32</v>
      </c>
      <c r="B45">
        <f>IF(管理!$B32="","",IF(COUNTIFS(管理!$B$4:$B32,管理!$B32,管理!$C$4:$C32,管理!$C32)&gt;1,"⛔重複",""))</f>
      </c>
      <c r="C45">
        <f>IF(管理!$F32="","",MAX(100,ROUNDDOWN($B$5/(管理!$F32*$B$3)/100,0)*100))</f>
      </c>
      <c r="D45">
        <f>IF(OR(管理!$F32="",管理!$U32=""),"",ROUND(管理!$V32-(管理!$F32+管理!$U32)*管理!$G32*$B$7-IF(管理!$C32="売",管理!$F32*管理!$G32*$B$8*管理!$W32/365,0),0))</f>
      </c>
    </row>
    <row r="46" spans="1:4">
      <c r="A46">
        <v>33</v>
      </c>
      <c r="B46">
        <f>IF(管理!$B33="","",IF(COUNTIFS(管理!$B$4:$B33,管理!$B33,管理!$C$4:$C33,管理!$C33)&gt;1,"⛔重複",""))</f>
      </c>
      <c r="C46">
        <f>IF(管理!$F33="","",MAX(100,ROUNDDOWN($B$5/(管理!$F33*$B$3)/100,0)*100))</f>
      </c>
      <c r="D46">
        <f>IF(OR(管理!$F33="",管理!$U33=""),"",ROUND(管理!$V33-(管理!$F33+管理!$U33)*管理!$G33*$B$7-IF(管理!$C33="売",管理!$F33*管理!$G33*$B$8*管理!$W33/365,0),0))</f>
      </c>
    </row>
    <row r="47" spans="1:4">
      <c r="A47">
        <v>34</v>
      </c>
      <c r="B47">
        <f>IF(管理!$B34="","",IF(COUNTIFS(管理!$B$4:$B34,管理!$B34,管理!$C$4:$C34,管理!$C34)&gt;1,"⛔重複",""))</f>
      </c>
      <c r="C47">
        <f>IF(管理!$F34="","",MAX(100,ROUNDDOWN($B$5/(管理!$F34*$B$3)/100,0)*100))</f>
      </c>
      <c r="D47">
        <f>IF(OR(管理!$F34="",管理!$U34=""),"",ROUND(管理!$V34-(管理!$F34+管理!$U34)*管理!$G34*$B$7-IF(管理!$C34="売",管理!$F34*管理!$G34*$B$8*管理!$W34/365,0),0))</f>
      </c>
    </row>
    <row r="48" spans="1:4">
      <c r="A48">
        <v>35</v>
      </c>
      <c r="B48">
        <f>IF(管理!$B35="","",IF(COUNTIFS(管理!$B$4:$B35,管理!$B35,管理!$C$4:$C35,管理!$C35)&gt;1,"⛔重複",""))</f>
      </c>
      <c r="C48">
        <f>IF(管理!$F35="","",MAX(100,ROUNDDOWN($B$5/(管理!$F35*$B$3)/100,0)*100))</f>
      </c>
      <c r="D48">
        <f>IF(OR(管理!$F35="",管理!$U35=""),"",ROUND(管理!$V35-(管理!$F35+管理!$U35)*管理!$G35*$B$7-IF(管理!$C35="売",管理!$F35*管理!$G35*$B$8*管理!$W35/365,0),0))</f>
      </c>
    </row>
    <row r="49" spans="1:4">
      <c r="A49">
        <v>36</v>
      </c>
      <c r="B49">
        <f>IF(管理!$B36="","",IF(COUNTIFS(管理!$B$4:$B36,管理!$B36,管理!$C$4:$C36,管理!$C36)&gt;1,"⛔重複",""))</f>
      </c>
      <c r="C49">
        <f>IF(管理!$F36="","",MAX(100,ROUNDDOWN($B$5/(管理!$F36*$B$3)/100,0)*100))</f>
      </c>
      <c r="D49">
        <f>IF(OR(管理!$F36="",管理!$U36=""),"",ROUND(管理!$V36-(管理!$F36+管理!$U36)*管理!$G36*$B$7-IF(管理!$C36="売",管理!$F36*管理!$G36*$B$8*管理!$W36/365,0),0))</f>
      </c>
    </row>
    <row r="50" spans="1:4">
      <c r="A50">
        <v>37</v>
      </c>
      <c r="B50">
        <f>IF(管理!$B37="","",IF(COUNTIFS(管理!$B$4:$B37,管理!$B37,管理!$C$4:$C37,管理!$C37)&gt;1,"⛔重複",""))</f>
      </c>
      <c r="C50">
        <f>IF(管理!$F37="","",MAX(100,ROUNDDOWN($B$5/(管理!$F37*$B$3)/100,0)*100))</f>
      </c>
      <c r="D50">
        <f>IF(OR(管理!$F37="",管理!$U37=""),"",ROUND(管理!$V37-(管理!$F37+管理!$U37)*管理!$G37*$B$7-IF(管理!$C37="売",管理!$F37*管理!$G37*$B$8*管理!$W37/365,0),0))</f>
      </c>
    </row>
    <row r="51" spans="1:4">
      <c r="A51">
        <v>38</v>
      </c>
      <c r="B51">
        <f>IF(管理!$B38="","",IF(COUNTIFS(管理!$B$4:$B38,管理!$B38,管理!$C$4:$C38,管理!$C38)&gt;1,"⛔重複",""))</f>
      </c>
      <c r="C51">
        <f>IF(管理!$F38="","",MAX(100,ROUNDDOWN($B$5/(管理!$F38*$B$3)/100,0)*100))</f>
      </c>
      <c r="D51">
        <f>IF(OR(管理!$F38="",管理!$U38=""),"",ROUND(管理!$V38-(管理!$F38+管理!$U38)*管理!$G38*$B$7-IF(管理!$C38="売",管理!$F38*管理!$G38*$B$8*管理!$W38/365,0),0))</f>
      </c>
    </row>
    <row r="52" spans="1:4">
      <c r="A52">
        <v>39</v>
      </c>
      <c r="B52">
        <f>IF(管理!$B39="","",IF(COUNTIFS(管理!$B$4:$B39,管理!$B39,管理!$C$4:$C39,管理!$C39)&gt;1,"⛔重複",""))</f>
      </c>
      <c r="C52">
        <f>IF(管理!$F39="","",MAX(100,ROUNDDOWN($B$5/(管理!$F39*$B$3)/100,0)*100))</f>
      </c>
      <c r="D52">
        <f>IF(OR(管理!$F39="",管理!$U39=""),"",ROUND(管理!$V39-(管理!$F39+管理!$U39)*管理!$G39*$B$7-IF(管理!$C39="売",管理!$F39*管理!$G39*$B$8*管理!$W39/365,0),0))</f>
      </c>
    </row>
    <row r="53" spans="1:4">
      <c r="A53">
        <v>40</v>
      </c>
      <c r="B53">
        <f>IF(管理!$B40="","",IF(COUNTIFS(管理!$B$4:$B40,管理!$B40,管理!$C$4:$C40,管理!$C40)&gt;1,"⛔重複",""))</f>
      </c>
      <c r="C53">
        <f>IF(管理!$F40="","",MAX(100,ROUNDDOWN($B$5/(管理!$F40*$B$3)/100,0)*100))</f>
      </c>
      <c r="D53">
        <f>IF(OR(管理!$F40="",管理!$U40=""),"",ROUND(管理!$V40-(管理!$F40+管理!$U40)*管理!$G40*$B$7-IF(管理!$C40="売",管理!$F40*管理!$G40*$B$8*管理!$W40/365,0),0))</f>
      </c>
    </row>
    <row r="54" spans="1:4">
      <c r="A54">
        <v>41</v>
      </c>
      <c r="B54">
        <f>IF(管理!$B41="","",IF(COUNTIFS(管理!$B$4:$B41,管理!$B41,管理!$C$4:$C41,管理!$C41)&gt;1,"⛔重複",""))</f>
      </c>
      <c r="C54">
        <f>IF(管理!$F41="","",MAX(100,ROUNDDOWN($B$5/(管理!$F41*$B$3)/100,0)*100))</f>
      </c>
      <c r="D54">
        <f>IF(OR(管理!$F41="",管理!$U41=""),"",ROUND(管理!$V41-(管理!$F41+管理!$U41)*管理!$G41*$B$7-IF(管理!$C41="売",管理!$F41*管理!$G41*$B$8*管理!$W41/365,0),0))</f>
      </c>
    </row>
    <row r="55" spans="1:4">
      <c r="A55">
        <v>42</v>
      </c>
      <c r="B55">
        <f>IF(管理!$B42="","",IF(COUNTIFS(管理!$B$4:$B42,管理!$B42,管理!$C$4:$C42,管理!$C42)&gt;1,"⛔重複",""))</f>
      </c>
      <c r="C55">
        <f>IF(管理!$F42="","",MAX(100,ROUNDDOWN($B$5/(管理!$F42*$B$3)/100,0)*100))</f>
      </c>
      <c r="D55">
        <f>IF(OR(管理!$F42="",管理!$U42=""),"",ROUND(管理!$V42-(管理!$F42+管理!$U42)*管理!$G42*$B$7-IF(管理!$C42="売",管理!$F42*管理!$G42*$B$8*管理!$W42/365,0),0))</f>
      </c>
    </row>
    <row r="56" spans="1:4">
      <c r="A56">
        <v>43</v>
      </c>
      <c r="B56">
        <f>IF(管理!$B43="","",IF(COUNTIFS(管理!$B$4:$B43,管理!$B43,管理!$C$4:$C43,管理!$C43)&gt;1,"⛔重複",""))</f>
      </c>
      <c r="C56">
        <f>IF(管理!$F43="","",MAX(100,ROUNDDOWN($B$5/(管理!$F43*$B$3)/100,0)*100))</f>
      </c>
      <c r="D56">
        <f>IF(OR(管理!$F43="",管理!$U43=""),"",ROUND(管理!$V43-(管理!$F43+管理!$U43)*管理!$G43*$B$7-IF(管理!$C43="売",管理!$F43*管理!$G43*$B$8*管理!$W43/365,0),0))</f>
      </c>
    </row>
    <row r="57" spans="1:4">
      <c r="A57">
        <v>44</v>
      </c>
      <c r="B57">
        <f>IF(管理!$B44="","",IF(COUNTIFS(管理!$B$4:$B44,管理!$B44,管理!$C$4:$C44,管理!$C44)&gt;1,"⛔重複",""))</f>
      </c>
      <c r="C57">
        <f>IF(管理!$F44="","",MAX(100,ROUNDDOWN($B$5/(管理!$F44*$B$3)/100,0)*100))</f>
      </c>
      <c r="D57">
        <f>IF(OR(管理!$F44="",管理!$U44=""),"",ROUND(管理!$V44-(管理!$F44+管理!$U44)*管理!$G44*$B$7-IF(管理!$C44="売",管理!$F44*管理!$G44*$B$8*管理!$W44/365,0),0))</f>
      </c>
    </row>
    <row r="58" spans="1:4">
      <c r="A58">
        <v>45</v>
      </c>
      <c r="B58">
        <f>IF(管理!$B45="","",IF(COUNTIFS(管理!$B$4:$B45,管理!$B45,管理!$C$4:$C45,管理!$C45)&gt;1,"⛔重複",""))</f>
      </c>
      <c r="C58">
        <f>IF(管理!$F45="","",MAX(100,ROUNDDOWN($B$5/(管理!$F45*$B$3)/100,0)*100))</f>
      </c>
      <c r="D58">
        <f>IF(OR(管理!$F45="",管理!$U45=""),"",ROUND(管理!$V45-(管理!$F45+管理!$U45)*管理!$G45*$B$7-IF(管理!$C45="売",管理!$F45*管理!$G45*$B$8*管理!$W45/365,0),0))</f>
      </c>
    </row>
    <row r="59" spans="1:4">
      <c r="A59">
        <v>46</v>
      </c>
      <c r="B59">
        <f>IF(管理!$B46="","",IF(COUNTIFS(管理!$B$4:$B46,管理!$B46,管理!$C$4:$C46,管理!$C46)&gt;1,"⛔重複",""))</f>
      </c>
      <c r="C59">
        <f>IF(管理!$F46="","",MAX(100,ROUNDDOWN($B$5/(管理!$F46*$B$3)/100,0)*100))</f>
      </c>
      <c r="D59">
        <f>IF(OR(管理!$F46="",管理!$U46=""),"",ROUND(管理!$V46-(管理!$F46+管理!$U46)*管理!$G46*$B$7-IF(管理!$C46="売",管理!$F46*管理!$G46*$B$8*管理!$W46/365,0),0))</f>
      </c>
    </row>
    <row r="60" spans="1:4">
      <c r="A60">
        <v>47</v>
      </c>
      <c r="B60">
        <f>IF(管理!$B47="","",IF(COUNTIFS(管理!$B$4:$B47,管理!$B47,管理!$C$4:$C47,管理!$C47)&gt;1,"⛔重複",""))</f>
      </c>
      <c r="C60">
        <f>IF(管理!$F47="","",MAX(100,ROUNDDOWN($B$5/(管理!$F47*$B$3)/100,0)*100))</f>
      </c>
      <c r="D60">
        <f>IF(OR(管理!$F47="",管理!$U47=""),"",ROUND(管理!$V47-(管理!$F47+管理!$U47)*管理!$G47*$B$7-IF(管理!$C47="売",管理!$F47*管理!$G47*$B$8*管理!$W47/365,0),0))</f>
      </c>
    </row>
    <row r="61" spans="1:4">
      <c r="A61">
        <v>48</v>
      </c>
      <c r="B61">
        <f>IF(管理!$B48="","",IF(COUNTIFS(管理!$B$4:$B48,管理!$B48,管理!$C$4:$C48,管理!$C48)&gt;1,"⛔重複",""))</f>
      </c>
      <c r="C61">
        <f>IF(管理!$F48="","",MAX(100,ROUNDDOWN($B$5/(管理!$F48*$B$3)/100,0)*100))</f>
      </c>
      <c r="D61">
        <f>IF(OR(管理!$F48="",管理!$U48=""),"",ROUND(管理!$V48-(管理!$F48+管理!$U48)*管理!$G48*$B$7-IF(管理!$C48="売",管理!$F48*管理!$G48*$B$8*管理!$W48/365,0),0))</f>
      </c>
    </row>
    <row r="62" spans="1:4">
      <c r="A62">
        <v>49</v>
      </c>
      <c r="B62">
        <f>IF(管理!$B49="","",IF(COUNTIFS(管理!$B$4:$B49,管理!$B49,管理!$C$4:$C49,管理!$C49)&gt;1,"⛔重複",""))</f>
      </c>
      <c r="C62">
        <f>IF(管理!$F49="","",MAX(100,ROUNDDOWN($B$5/(管理!$F49*$B$3)/100,0)*100))</f>
      </c>
      <c r="D62">
        <f>IF(OR(管理!$F49="",管理!$U49=""),"",ROUND(管理!$V49-(管理!$F49+管理!$U49)*管理!$G49*$B$7-IF(管理!$C49="売",管理!$F49*管理!$G49*$B$8*管理!$W49/365,0),0))</f>
      </c>
    </row>
    <row r="63" spans="1:4">
      <c r="A63">
        <v>50</v>
      </c>
      <c r="B63">
        <f>IF(管理!$B50="","",IF(COUNTIFS(管理!$B$4:$B50,管理!$B50,管理!$C$4:$C50,管理!$C50)&gt;1,"⛔重複",""))</f>
      </c>
      <c r="C63">
        <f>IF(管理!$F50="","",MAX(100,ROUNDDOWN($B$5/(管理!$F50*$B$3)/100,0)*100))</f>
      </c>
      <c r="D63">
        <f>IF(OR(管理!$F50="",管理!$U50=""),"",ROUND(管理!$V50-(管理!$F50+管理!$U50)*管理!$G50*$B$7-IF(管理!$C50="売",管理!$F50*管理!$G50*$B$8*管理!$W50/365,0),0))</f>
      </c>
    </row>
    <row r="64" spans="1:4">
      <c r="A64">
        <v>51</v>
      </c>
      <c r="B64">
        <f>IF(管理!$B51="","",IF(COUNTIFS(管理!$B$4:$B51,管理!$B51,管理!$C$4:$C51,管理!$C51)&gt;1,"⛔重複",""))</f>
      </c>
      <c r="C64">
        <f>IF(管理!$F51="","",MAX(100,ROUNDDOWN($B$5/(管理!$F51*$B$3)/100,0)*100))</f>
      </c>
      <c r="D64">
        <f>IF(OR(管理!$F51="",管理!$U51=""),"",ROUND(管理!$V51-(管理!$F51+管理!$U51)*管理!$G51*$B$7-IF(管理!$C51="売",管理!$F51*管理!$G51*$B$8*管理!$W51/365,0),0))</f>
      </c>
    </row>
    <row r="65" spans="1:4">
      <c r="A65">
        <v>52</v>
      </c>
      <c r="B65">
        <f>IF(管理!$B52="","",IF(COUNTIFS(管理!$B$4:$B52,管理!$B52,管理!$C$4:$C52,管理!$C52)&gt;1,"⛔重複",""))</f>
      </c>
      <c r="C65">
        <f>IF(管理!$F52="","",MAX(100,ROUNDDOWN($B$5/(管理!$F52*$B$3)/100,0)*100))</f>
      </c>
      <c r="D65">
        <f>IF(OR(管理!$F52="",管理!$U52=""),"",ROUND(管理!$V52-(管理!$F52+管理!$U52)*管理!$G52*$B$7-IF(管理!$C52="売",管理!$F52*管理!$G52*$B$8*管理!$W52/365,0),0))</f>
      </c>
    </row>
    <row r="66" spans="1:4">
      <c r="A66">
        <v>53</v>
      </c>
      <c r="B66">
        <f>IF(管理!$B53="","",IF(COUNTIFS(管理!$B$4:$B53,管理!$B53,管理!$C$4:$C53,管理!$C53)&gt;1,"⛔重複",""))</f>
      </c>
      <c r="C66">
        <f>IF(管理!$F53="","",MAX(100,ROUNDDOWN($B$5/(管理!$F53*$B$3)/100,0)*100))</f>
      </c>
      <c r="D66">
        <f>IF(OR(管理!$F53="",管理!$U53=""),"",ROUND(管理!$V53-(管理!$F53+管理!$U53)*管理!$G53*$B$7-IF(管理!$C53="売",管理!$F53*管理!$G53*$B$8*管理!$W53/365,0),0))</f>
      </c>
    </row>
    <row r="67" spans="1:4">
      <c r="A67">
        <v>54</v>
      </c>
      <c r="B67">
        <f>IF(管理!$B54="","",IF(COUNTIFS(管理!$B$4:$B54,管理!$B54,管理!$C$4:$C54,管理!$C54)&gt;1,"⛔重複",""))</f>
      </c>
      <c r="C67">
        <f>IF(管理!$F54="","",MAX(100,ROUNDDOWN($B$5/(管理!$F54*$B$3)/100,0)*100))</f>
      </c>
      <c r="D67">
        <f>IF(OR(管理!$F54="",管理!$U54=""),"",ROUND(管理!$V54-(管理!$F54+管理!$U54)*管理!$G54*$B$7-IF(管理!$C54="売",管理!$F54*管理!$G54*$B$8*管理!$W54/365,0),0))</f>
      </c>
    </row>
    <row r="68" spans="1:4">
      <c r="A68">
        <v>55</v>
      </c>
      <c r="B68">
        <f>IF(管理!$B55="","",IF(COUNTIFS(管理!$B$4:$B55,管理!$B55,管理!$C$4:$C55,管理!$C55)&gt;1,"⛔重複",""))</f>
      </c>
      <c r="C68">
        <f>IF(管理!$F55="","",MAX(100,ROUNDDOWN($B$5/(管理!$F55*$B$3)/100,0)*100))</f>
      </c>
      <c r="D68">
        <f>IF(OR(管理!$F55="",管理!$U55=""),"",ROUND(管理!$V55-(管理!$F55+管理!$U55)*管理!$G55*$B$7-IF(管理!$C55="売",管理!$F55*管理!$G55*$B$8*管理!$W55/365,0),0))</f>
      </c>
    </row>
    <row r="69" spans="1:4">
      <c r="A69">
        <v>56</v>
      </c>
      <c r="B69">
        <f>IF(管理!$B56="","",IF(COUNTIFS(管理!$B$4:$B56,管理!$B56,管理!$C$4:$C56,管理!$C56)&gt;1,"⛔重複",""))</f>
      </c>
      <c r="C69">
        <f>IF(管理!$F56="","",MAX(100,ROUNDDOWN($B$5/(管理!$F56*$B$3)/100,0)*100))</f>
      </c>
      <c r="D69">
        <f>IF(OR(管理!$F56="",管理!$U56=""),"",ROUND(管理!$V56-(管理!$F56+管理!$U56)*管理!$G56*$B$7-IF(管理!$C56="売",管理!$F56*管理!$G56*$B$8*管理!$W56/365,0),0))</f>
      </c>
    </row>
    <row r="70" spans="1:4">
      <c r="A70">
        <v>57</v>
      </c>
      <c r="B70">
        <f>IF(管理!$B57="","",IF(COUNTIFS(管理!$B$4:$B57,管理!$B57,管理!$C$4:$C57,管理!$C57)&gt;1,"⛔重複",""))</f>
      </c>
      <c r="C70">
        <f>IF(管理!$F57="","",MAX(100,ROUNDDOWN($B$5/(管理!$F57*$B$3)/100,0)*100))</f>
      </c>
      <c r="D70">
        <f>IF(OR(管理!$F57="",管理!$U57=""),"",ROUND(管理!$V57-(管理!$F57+管理!$U57)*管理!$G57*$B$7-IF(管理!$C57="売",管理!$F57*管理!$G57*$B$8*管理!$W57/365,0),0))</f>
      </c>
    </row>
    <row r="71" spans="1:4">
      <c r="A71">
        <v>58</v>
      </c>
      <c r="B71">
        <f>IF(管理!$B58="","",IF(COUNTIFS(管理!$B$4:$B58,管理!$B58,管理!$C$4:$C58,管理!$C58)&gt;1,"⛔重複",""))</f>
      </c>
      <c r="C71">
        <f>IF(管理!$F58="","",MAX(100,ROUNDDOWN($B$5/(管理!$F58*$B$3)/100,0)*100))</f>
      </c>
      <c r="D71">
        <f>IF(OR(管理!$F58="",管理!$U58=""),"",ROUND(管理!$V58-(管理!$F58+管理!$U58)*管理!$G58*$B$7-IF(管理!$C58="売",管理!$F58*管理!$G58*$B$8*管理!$W58/365,0),0))</f>
      </c>
    </row>
    <row r="72" spans="1:4">
      <c r="A72">
        <v>59</v>
      </c>
      <c r="B72">
        <f>IF(管理!$B59="","",IF(COUNTIFS(管理!$B$4:$B59,管理!$B59,管理!$C$4:$C59,管理!$C59)&gt;1,"⛔重複",""))</f>
      </c>
      <c r="C72">
        <f>IF(管理!$F59="","",MAX(100,ROUNDDOWN($B$5/(管理!$F59*$B$3)/100,0)*100))</f>
      </c>
      <c r="D72">
        <f>IF(OR(管理!$F59="",管理!$U59=""),"",ROUND(管理!$V59-(管理!$F59+管理!$U59)*管理!$G59*$B$7-IF(管理!$C59="売",管理!$F59*管理!$G59*$B$8*管理!$W59/365,0),0))</f>
      </c>
    </row>
    <row r="73" spans="1:4">
      <c r="A73">
        <v>60</v>
      </c>
      <c r="B73">
        <f>IF(管理!$B60="","",IF(COUNTIFS(管理!$B$4:$B60,管理!$B60,管理!$C$4:$C60,管理!$C60)&gt;1,"⛔重複",""))</f>
      </c>
      <c r="C73">
        <f>IF(管理!$F60="","",MAX(100,ROUNDDOWN($B$5/(管理!$F60*$B$3)/100,0)*100))</f>
      </c>
      <c r="D73">
        <f>IF(OR(管理!$F60="",管理!$U60=""),"",ROUND(管理!$V60-(管理!$F60+管理!$U60)*管理!$G60*$B$7-IF(管理!$C60="売",管理!$F60*管理!$G60*$B$8*管理!$W60/365,0),0))</f>
      </c>
    </row>
    <row r="74" spans="1:4">
      <c r="A74">
        <v>61</v>
      </c>
      <c r="B74">
        <f>IF(管理!$B61="","",IF(COUNTIFS(管理!$B$4:$B61,管理!$B61,管理!$C$4:$C61,管理!$C61)&gt;1,"⛔重複",""))</f>
      </c>
      <c r="C74">
        <f>IF(管理!$F61="","",MAX(100,ROUNDDOWN($B$5/(管理!$F61*$B$3)/100,0)*100))</f>
      </c>
      <c r="D74">
        <f>IF(OR(管理!$F61="",管理!$U61=""),"",ROUND(管理!$V61-(管理!$F61+管理!$U61)*管理!$G61*$B$7-IF(管理!$C61="売",管理!$F61*管理!$G61*$B$8*管理!$W61/365,0),0))</f>
      </c>
    </row>
    <row r="75" spans="1:4">
      <c r="A75">
        <v>62</v>
      </c>
      <c r="B75">
        <f>IF(管理!$B62="","",IF(COUNTIFS(管理!$B$4:$B62,管理!$B62,管理!$C$4:$C62,管理!$C62)&gt;1,"⛔重複",""))</f>
      </c>
      <c r="C75">
        <f>IF(管理!$F62="","",MAX(100,ROUNDDOWN($B$5/(管理!$F62*$B$3)/100,0)*100))</f>
      </c>
      <c r="D75">
        <f>IF(OR(管理!$F62="",管理!$U62=""),"",ROUND(管理!$V62-(管理!$F62+管理!$U62)*管理!$G62*$B$7-IF(管理!$C62="売",管理!$F62*管理!$G62*$B$8*管理!$W62/365,0),0))</f>
      </c>
    </row>
    <row r="76" spans="1:4">
      <c r="A76">
        <v>63</v>
      </c>
      <c r="B76">
        <f>IF(管理!$B63="","",IF(COUNTIFS(管理!$B$4:$B63,管理!$B63,管理!$C$4:$C63,管理!$C63)&gt;1,"⛔重複",""))</f>
      </c>
      <c r="C76">
        <f>IF(管理!$F63="","",MAX(100,ROUNDDOWN($B$5/(管理!$F63*$B$3)/100,0)*100))</f>
      </c>
      <c r="D76">
        <f>IF(OR(管理!$F63="",管理!$U63=""),"",ROUND(管理!$V63-(管理!$F63+管理!$U63)*管理!$G63*$B$7-IF(管理!$C63="売",管理!$F63*管理!$G63*$B$8*管理!$W63/365,0),0))</f>
      </c>
    </row>
    <row r="77" spans="1:4">
      <c r="A77">
        <v>64</v>
      </c>
      <c r="B77">
        <f>IF(管理!$B64="","",IF(COUNTIFS(管理!$B$4:$B64,管理!$B64,管理!$C$4:$C64,管理!$C64)&gt;1,"⛔重複",""))</f>
      </c>
      <c r="C77">
        <f>IF(管理!$F64="","",MAX(100,ROUNDDOWN($B$5/(管理!$F64*$B$3)/100,0)*100))</f>
      </c>
      <c r="D77">
        <f>IF(OR(管理!$F64="",管理!$U64=""),"",ROUND(管理!$V64-(管理!$F64+管理!$U64)*管理!$G64*$B$7-IF(管理!$C64="売",管理!$F64*管理!$G64*$B$8*管理!$W64/365,0),0))</f>
      </c>
    </row>
    <row r="78" spans="1:4">
      <c r="A78">
        <v>65</v>
      </c>
      <c r="B78">
        <f>IF(管理!$B65="","",IF(COUNTIFS(管理!$B$4:$B65,管理!$B65,管理!$C$4:$C65,管理!$C65)&gt;1,"⛔重複",""))</f>
      </c>
      <c r="C78">
        <f>IF(管理!$F65="","",MAX(100,ROUNDDOWN($B$5/(管理!$F65*$B$3)/100,0)*100))</f>
      </c>
      <c r="D78">
        <f>IF(OR(管理!$F65="",管理!$U65=""),"",ROUND(管理!$V65-(管理!$F65+管理!$U65)*管理!$G65*$B$7-IF(管理!$C65="売",管理!$F65*管理!$G65*$B$8*管理!$W65/365,0),0))</f>
      </c>
    </row>
    <row r="79" spans="1:4">
      <c r="A79">
        <v>66</v>
      </c>
      <c r="B79">
        <f>IF(管理!$B66="","",IF(COUNTIFS(管理!$B$4:$B66,管理!$B66,管理!$C$4:$C66,管理!$C66)&gt;1,"⛔重複",""))</f>
      </c>
      <c r="C79">
        <f>IF(管理!$F66="","",MAX(100,ROUNDDOWN($B$5/(管理!$F66*$B$3)/100,0)*100))</f>
      </c>
      <c r="D79">
        <f>IF(OR(管理!$F66="",管理!$U66=""),"",ROUND(管理!$V66-(管理!$F66+管理!$U66)*管理!$G66*$B$7-IF(管理!$C66="売",管理!$F66*管理!$G66*$B$8*管理!$W66/365,0),0))</f>
      </c>
    </row>
    <row r="80" spans="1:4">
      <c r="A80">
        <v>67</v>
      </c>
      <c r="B80">
        <f>IF(管理!$B67="","",IF(COUNTIFS(管理!$B$4:$B67,管理!$B67,管理!$C$4:$C67,管理!$C67)&gt;1,"⛔重複",""))</f>
      </c>
      <c r="C80">
        <f>IF(管理!$F67="","",MAX(100,ROUNDDOWN($B$5/(管理!$F67*$B$3)/100,0)*100))</f>
      </c>
      <c r="D80">
        <f>IF(OR(管理!$F67="",管理!$U67=""),"",ROUND(管理!$V67-(管理!$F67+管理!$U67)*管理!$G67*$B$7-IF(管理!$C67="売",管理!$F67*管理!$G67*$B$8*管理!$W67/365,0),0))</f>
      </c>
    </row>
    <row r="81" spans="1:4">
      <c r="A81">
        <v>68</v>
      </c>
      <c r="B81">
        <f>IF(管理!$B68="","",IF(COUNTIFS(管理!$B$4:$B68,管理!$B68,管理!$C$4:$C68,管理!$C68)&gt;1,"⛔重複",""))</f>
      </c>
      <c r="C81">
        <f>IF(管理!$F68="","",MAX(100,ROUNDDOWN($B$5/(管理!$F68*$B$3)/100,0)*100))</f>
      </c>
      <c r="D81">
        <f>IF(OR(管理!$F68="",管理!$U68=""),"",ROUND(管理!$V68-(管理!$F68+管理!$U68)*管理!$G68*$B$7-IF(管理!$C68="売",管理!$F68*管理!$G68*$B$8*管理!$W68/365,0),0))</f>
      </c>
    </row>
    <row r="82" spans="1:4">
      <c r="A82">
        <v>69</v>
      </c>
      <c r="B82">
        <f>IF(管理!$B69="","",IF(COUNTIFS(管理!$B$4:$B69,管理!$B69,管理!$C$4:$C69,管理!$C69)&gt;1,"⛔重複",""))</f>
      </c>
      <c r="C82">
        <f>IF(管理!$F69="","",MAX(100,ROUNDDOWN($B$5/(管理!$F69*$B$3)/100,0)*100))</f>
      </c>
      <c r="D82">
        <f>IF(OR(管理!$F69="",管理!$U69=""),"",ROUND(管理!$V69-(管理!$F69+管理!$U69)*管理!$G69*$B$7-IF(管理!$C69="売",管理!$F69*管理!$G69*$B$8*管理!$W69/365,0),0))</f>
      </c>
    </row>
    <row r="83" spans="1:4">
      <c r="A83">
        <v>70</v>
      </c>
      <c r="B83">
        <f>IF(管理!$B70="","",IF(COUNTIFS(管理!$B$4:$B70,管理!$B70,管理!$C$4:$C70,管理!$C70)&gt;1,"⛔重複",""))</f>
      </c>
      <c r="C83">
        <f>IF(管理!$F70="","",MAX(100,ROUNDDOWN($B$5/(管理!$F70*$B$3)/100,0)*100))</f>
      </c>
      <c r="D83">
        <f>IF(OR(管理!$F70="",管理!$U70=""),"",ROUND(管理!$V70-(管理!$F70+管理!$U70)*管理!$G70*$B$7-IF(管理!$C70="売",管理!$F70*管理!$G70*$B$8*管理!$W70/365,0),0))</f>
      </c>
    </row>
    <row r="84" spans="1:4">
      <c r="A84">
        <v>71</v>
      </c>
      <c r="B84">
        <f>IF(管理!$B71="","",IF(COUNTIFS(管理!$B$4:$B71,管理!$B71,管理!$C$4:$C71,管理!$C71)&gt;1,"⛔重複",""))</f>
      </c>
      <c r="C84">
        <f>IF(管理!$F71="","",MAX(100,ROUNDDOWN($B$5/(管理!$F71*$B$3)/100,0)*100))</f>
      </c>
      <c r="D84">
        <f>IF(OR(管理!$F71="",管理!$U71=""),"",ROUND(管理!$V71-(管理!$F71+管理!$U71)*管理!$G71*$B$7-IF(管理!$C71="売",管理!$F71*管理!$G71*$B$8*管理!$W71/365,0),0))</f>
      </c>
    </row>
    <row r="85" spans="1:4">
      <c r="A85">
        <v>72</v>
      </c>
      <c r="B85">
        <f>IF(管理!$B72="","",IF(COUNTIFS(管理!$B$4:$B72,管理!$B72,管理!$C$4:$C72,管理!$C72)&gt;1,"⛔重複",""))</f>
      </c>
      <c r="C85">
        <f>IF(管理!$F72="","",MAX(100,ROUNDDOWN($B$5/(管理!$F72*$B$3)/100,0)*100))</f>
      </c>
      <c r="D85">
        <f>IF(OR(管理!$F72="",管理!$U72=""),"",ROUND(管理!$V72-(管理!$F72+管理!$U72)*管理!$G72*$B$7-IF(管理!$C72="売",管理!$F72*管理!$G72*$B$8*管理!$W72/365,0),0))</f>
      </c>
    </row>
    <row r="86" spans="1:4">
      <c r="A86">
        <v>73</v>
      </c>
      <c r="B86">
        <f>IF(管理!$B73="","",IF(COUNTIFS(管理!$B$4:$B73,管理!$B73,管理!$C$4:$C73,管理!$C73)&gt;1,"⛔重複",""))</f>
      </c>
      <c r="C86">
        <f>IF(管理!$F73="","",MAX(100,ROUNDDOWN($B$5/(管理!$F73*$B$3)/100,0)*100))</f>
      </c>
      <c r="D86">
        <f>IF(OR(管理!$F73="",管理!$U73=""),"",ROUND(管理!$V73-(管理!$F73+管理!$U73)*管理!$G73*$B$7-IF(管理!$C73="売",管理!$F73*管理!$G73*$B$8*管理!$W73/365,0),0))</f>
      </c>
    </row>
    <row r="87" spans="1:4">
      <c r="A87">
        <v>74</v>
      </c>
      <c r="B87">
        <f>IF(管理!$B74="","",IF(COUNTIFS(管理!$B$4:$B74,管理!$B74,管理!$C$4:$C74,管理!$C74)&gt;1,"⛔重複",""))</f>
      </c>
      <c r="C87">
        <f>IF(管理!$F74="","",MAX(100,ROUNDDOWN($B$5/(管理!$F74*$B$3)/100,0)*100))</f>
      </c>
      <c r="D87">
        <f>IF(OR(管理!$F74="",管理!$U74=""),"",ROUND(管理!$V74-(管理!$F74+管理!$U74)*管理!$G74*$B$7-IF(管理!$C74="売",管理!$F74*管理!$G74*$B$8*管理!$W74/365,0),0))</f>
      </c>
    </row>
    <row r="88" spans="1:4">
      <c r="A88">
        <v>75</v>
      </c>
      <c r="B88">
        <f>IF(管理!$B75="","",IF(COUNTIFS(管理!$B$4:$B75,管理!$B75,管理!$C$4:$C75,管理!$C75)&gt;1,"⛔重複",""))</f>
      </c>
      <c r="C88">
        <f>IF(管理!$F75="","",MAX(100,ROUNDDOWN($B$5/(管理!$F75*$B$3)/100,0)*100))</f>
      </c>
      <c r="D88">
        <f>IF(OR(管理!$F75="",管理!$U75=""),"",ROUND(管理!$V75-(管理!$F75+管理!$U75)*管理!$G75*$B$7-IF(管理!$C75="売",管理!$F75*管理!$G75*$B$8*管理!$W75/365,0),0))</f>
      </c>
    </row>
    <row r="89" spans="1:4">
      <c r="A89">
        <v>76</v>
      </c>
      <c r="B89">
        <f>IF(管理!$B76="","",IF(COUNTIFS(管理!$B$4:$B76,管理!$B76,管理!$C$4:$C76,管理!$C76)&gt;1,"⛔重複",""))</f>
      </c>
      <c r="C89">
        <f>IF(管理!$F76="","",MAX(100,ROUNDDOWN($B$5/(管理!$F76*$B$3)/100,0)*100))</f>
      </c>
      <c r="D89">
        <f>IF(OR(管理!$F76="",管理!$U76=""),"",ROUND(管理!$V76-(管理!$F76+管理!$U76)*管理!$G76*$B$7-IF(管理!$C76="売",管理!$F76*管理!$G76*$B$8*管理!$W76/365,0),0))</f>
      </c>
    </row>
    <row r="90" spans="1:4">
      <c r="A90">
        <v>77</v>
      </c>
      <c r="B90">
        <f>IF(管理!$B77="","",IF(COUNTIFS(管理!$B$4:$B77,管理!$B77,管理!$C$4:$C77,管理!$C77)&gt;1,"⛔重複",""))</f>
      </c>
      <c r="C90">
        <f>IF(管理!$F77="","",MAX(100,ROUNDDOWN($B$5/(管理!$F77*$B$3)/100,0)*100))</f>
      </c>
      <c r="D90">
        <f>IF(OR(管理!$F77="",管理!$U77=""),"",ROUND(管理!$V77-(管理!$F77+管理!$U77)*管理!$G77*$B$7-IF(管理!$C77="売",管理!$F77*管理!$G77*$B$8*管理!$W77/365,0),0))</f>
      </c>
    </row>
    <row r="91" spans="1:4">
      <c r="A91">
        <v>78</v>
      </c>
      <c r="B91">
        <f>IF(管理!$B78="","",IF(COUNTIFS(管理!$B$4:$B78,管理!$B78,管理!$C$4:$C78,管理!$C78)&gt;1,"⛔重複",""))</f>
      </c>
      <c r="C91">
        <f>IF(管理!$F78="","",MAX(100,ROUNDDOWN($B$5/(管理!$F78*$B$3)/100,0)*100))</f>
      </c>
      <c r="D91">
        <f>IF(OR(管理!$F78="",管理!$U78=""),"",ROUND(管理!$V78-(管理!$F78+管理!$U78)*管理!$G78*$B$7-IF(管理!$C78="売",管理!$F78*管理!$G78*$B$8*管理!$W78/365,0),0))</f>
      </c>
    </row>
    <row r="92" spans="1:4">
      <c r="A92">
        <v>79</v>
      </c>
      <c r="B92">
        <f>IF(管理!$B79="","",IF(COUNTIFS(管理!$B$4:$B79,管理!$B79,管理!$C$4:$C79,管理!$C79)&gt;1,"⛔重複",""))</f>
      </c>
      <c r="C92">
        <f>IF(管理!$F79="","",MAX(100,ROUNDDOWN($B$5/(管理!$F79*$B$3)/100,0)*100))</f>
      </c>
      <c r="D92">
        <f>IF(OR(管理!$F79="",管理!$U79=""),"",ROUND(管理!$V79-(管理!$F79+管理!$U79)*管理!$G79*$B$7-IF(管理!$C79="売",管理!$F79*管理!$G79*$B$8*管理!$W79/365,0),0))</f>
      </c>
    </row>
    <row r="93" spans="1:4">
      <c r="A93">
        <v>80</v>
      </c>
      <c r="B93">
        <f>IF(管理!$B80="","",IF(COUNTIFS(管理!$B$4:$B80,管理!$B80,管理!$C$4:$C80,管理!$C80)&gt;1,"⛔重複",""))</f>
      </c>
      <c r="C93">
        <f>IF(管理!$F80="","",MAX(100,ROUNDDOWN($B$5/(管理!$F80*$B$3)/100,0)*100))</f>
      </c>
      <c r="D93">
        <f>IF(OR(管理!$F80="",管理!$U80=""),"",ROUND(管理!$V80-(管理!$F80+管理!$U80)*管理!$G80*$B$7-IF(管理!$C80="売",管理!$F80*管理!$G80*$B$8*管理!$W80/365,0),0))</f>
      </c>
    </row>
    <row r="94" spans="1:4">
      <c r="A94">
        <v>81</v>
      </c>
      <c r="B94">
        <f>IF(管理!$B81="","",IF(COUNTIFS(管理!$B$4:$B81,管理!$B81,管理!$C$4:$C81,管理!$C81)&gt;1,"⛔重複",""))</f>
      </c>
      <c r="C94">
        <f>IF(管理!$F81="","",MAX(100,ROUNDDOWN($B$5/(管理!$F81*$B$3)/100,0)*100))</f>
      </c>
      <c r="D94">
        <f>IF(OR(管理!$F81="",管理!$U81=""),"",ROUND(管理!$V81-(管理!$F81+管理!$U81)*管理!$G81*$B$7-IF(管理!$C81="売",管理!$F81*管理!$G81*$B$8*管理!$W81/365,0),0))</f>
      </c>
    </row>
    <row r="95" spans="1:4">
      <c r="A95">
        <v>82</v>
      </c>
      <c r="B95">
        <f>IF(管理!$B82="","",IF(COUNTIFS(管理!$B$4:$B82,管理!$B82,管理!$C$4:$C82,管理!$C82)&gt;1,"⛔重複",""))</f>
      </c>
      <c r="C95">
        <f>IF(管理!$F82="","",MAX(100,ROUNDDOWN($B$5/(管理!$F82*$B$3)/100,0)*100))</f>
      </c>
      <c r="D95">
        <f>IF(OR(管理!$F82="",管理!$U82=""),"",ROUND(管理!$V82-(管理!$F82+管理!$U82)*管理!$G82*$B$7-IF(管理!$C82="売",管理!$F82*管理!$G82*$B$8*管理!$W82/365,0),0))</f>
      </c>
    </row>
    <row r="96" spans="1:4">
      <c r="A96">
        <v>83</v>
      </c>
      <c r="B96">
        <f>IF(管理!$B83="","",IF(COUNTIFS(管理!$B$4:$B83,管理!$B83,管理!$C$4:$C83,管理!$C83)&gt;1,"⛔重複",""))</f>
      </c>
      <c r="C96">
        <f>IF(管理!$F83="","",MAX(100,ROUNDDOWN($B$5/(管理!$F83*$B$3)/100,0)*100))</f>
      </c>
      <c r="D96">
        <f>IF(OR(管理!$F83="",管理!$U83=""),"",ROUND(管理!$V83-(管理!$F83+管理!$U83)*管理!$G83*$B$7-IF(管理!$C83="売",管理!$F83*管理!$G83*$B$8*管理!$W83/365,0),0))</f>
      </c>
    </row>
    <row r="97" spans="1:4">
      <c r="A97">
        <v>84</v>
      </c>
      <c r="B97">
        <f>IF(管理!$B84="","",IF(COUNTIFS(管理!$B$4:$B84,管理!$B84,管理!$C$4:$C84,管理!$C84)&gt;1,"⛔重複",""))</f>
      </c>
      <c r="C97">
        <f>IF(管理!$F84="","",MAX(100,ROUNDDOWN($B$5/(管理!$F84*$B$3)/100,0)*100))</f>
      </c>
      <c r="D97">
        <f>IF(OR(管理!$F84="",管理!$U84=""),"",ROUND(管理!$V84-(管理!$F84+管理!$U84)*管理!$G84*$B$7-IF(管理!$C84="売",管理!$F84*管理!$G84*$B$8*管理!$W84/365,0),0))</f>
      </c>
    </row>
    <row r="98" spans="1:4">
      <c r="A98">
        <v>85</v>
      </c>
      <c r="B98">
        <f>IF(管理!$B85="","",IF(COUNTIFS(管理!$B$4:$B85,管理!$B85,管理!$C$4:$C85,管理!$C85)&gt;1,"⛔重複",""))</f>
      </c>
      <c r="C98">
        <f>IF(管理!$F85="","",MAX(100,ROUNDDOWN($B$5/(管理!$F85*$B$3)/100,0)*100))</f>
      </c>
      <c r="D98">
        <f>IF(OR(管理!$F85="",管理!$U85=""),"",ROUND(管理!$V85-(管理!$F85+管理!$U85)*管理!$G85*$B$7-IF(管理!$C85="売",管理!$F85*管理!$G85*$B$8*管理!$W85/365,0),0))</f>
      </c>
    </row>
    <row r="99" spans="1:4">
      <c r="A99">
        <v>86</v>
      </c>
      <c r="B99">
        <f>IF(管理!$B86="","",IF(COUNTIFS(管理!$B$4:$B86,管理!$B86,管理!$C$4:$C86,管理!$C86)&gt;1,"⛔重複",""))</f>
      </c>
      <c r="C99">
        <f>IF(管理!$F86="","",MAX(100,ROUNDDOWN($B$5/(管理!$F86*$B$3)/100,0)*100))</f>
      </c>
      <c r="D99">
        <f>IF(OR(管理!$F86="",管理!$U86=""),"",ROUND(管理!$V86-(管理!$F86+管理!$U86)*管理!$G86*$B$7-IF(管理!$C86="売",管理!$F86*管理!$G86*$B$8*管理!$W86/365,0),0))</f>
      </c>
    </row>
    <row r="100" spans="1:4">
      <c r="A100">
        <v>87</v>
      </c>
      <c r="B100">
        <f>IF(管理!$B87="","",IF(COUNTIFS(管理!$B$4:$B87,管理!$B87,管理!$C$4:$C87,管理!$C87)&gt;1,"⛔重複",""))</f>
      </c>
      <c r="C100">
        <f>IF(管理!$F87="","",MAX(100,ROUNDDOWN($B$5/(管理!$F87*$B$3)/100,0)*100))</f>
      </c>
      <c r="D100">
        <f>IF(OR(管理!$F87="",管理!$U87=""),"",ROUND(管理!$V87-(管理!$F87+管理!$U87)*管理!$G87*$B$7-IF(管理!$C87="売",管理!$F87*管理!$G87*$B$8*管理!$W87/365,0),0))</f>
      </c>
    </row>
    <row r="101" spans="1:4">
      <c r="A101">
        <v>88</v>
      </c>
      <c r="B101">
        <f>IF(管理!$B88="","",IF(COUNTIFS(管理!$B$4:$B88,管理!$B88,管理!$C$4:$C88,管理!$C88)&gt;1,"⛔重複",""))</f>
      </c>
      <c r="C101">
        <f>IF(管理!$F88="","",MAX(100,ROUNDDOWN($B$5/(管理!$F88*$B$3)/100,0)*100))</f>
      </c>
      <c r="D101">
        <f>IF(OR(管理!$F88="",管理!$U88=""),"",ROUND(管理!$V88-(管理!$F88+管理!$U88)*管理!$G88*$B$7-IF(管理!$C88="売",管理!$F88*管理!$G88*$B$8*管理!$W88/365,0),0))</f>
      </c>
    </row>
    <row r="102" spans="1:4">
      <c r="A102">
        <v>89</v>
      </c>
      <c r="B102">
        <f>IF(管理!$B89="","",IF(COUNTIFS(管理!$B$4:$B89,管理!$B89,管理!$C$4:$C89,管理!$C89)&gt;1,"⛔重複",""))</f>
      </c>
      <c r="C102">
        <f>IF(管理!$F89="","",MAX(100,ROUNDDOWN($B$5/(管理!$F89*$B$3)/100,0)*100))</f>
      </c>
      <c r="D102">
        <f>IF(OR(管理!$F89="",管理!$U89=""),"",ROUND(管理!$V89-(管理!$F89+管理!$U89)*管理!$G89*$B$7-IF(管理!$C89="売",管理!$F89*管理!$G89*$B$8*管理!$W89/365,0),0))</f>
      </c>
    </row>
    <row r="103" spans="1:4">
      <c r="A103">
        <v>90</v>
      </c>
      <c r="B103">
        <f>IF(管理!$B90="","",IF(COUNTIFS(管理!$B$4:$B90,管理!$B90,管理!$C$4:$C90,管理!$C90)&gt;1,"⛔重複",""))</f>
      </c>
      <c r="C103">
        <f>IF(管理!$F90="","",MAX(100,ROUNDDOWN($B$5/(管理!$F90*$B$3)/100,0)*100))</f>
      </c>
      <c r="D103">
        <f>IF(OR(管理!$F90="",管理!$U90=""),"",ROUND(管理!$V90-(管理!$F90+管理!$U90)*管理!$G90*$B$7-IF(管理!$C90="売",管理!$F90*管理!$G90*$B$8*管理!$W90/365,0),0))</f>
      </c>
    </row>
    <row r="104" spans="1:4">
      <c r="A104">
        <v>91</v>
      </c>
      <c r="B104">
        <f>IF(管理!$B91="","",IF(COUNTIFS(管理!$B$4:$B91,管理!$B91,管理!$C$4:$C91,管理!$C91)&gt;1,"⛔重複",""))</f>
      </c>
      <c r="C104">
        <f>IF(管理!$F91="","",MAX(100,ROUNDDOWN($B$5/(管理!$F91*$B$3)/100,0)*100))</f>
      </c>
      <c r="D104">
        <f>IF(OR(管理!$F91="",管理!$U91=""),"",ROUND(管理!$V91-(管理!$F91+管理!$U91)*管理!$G91*$B$7-IF(管理!$C91="売",管理!$F91*管理!$G91*$B$8*管理!$W91/365,0),0))</f>
      </c>
    </row>
    <row r="105" spans="1:4">
      <c r="A105">
        <v>92</v>
      </c>
      <c r="B105">
        <f>IF(管理!$B92="","",IF(COUNTIFS(管理!$B$4:$B92,管理!$B92,管理!$C$4:$C92,管理!$C92)&gt;1,"⛔重複",""))</f>
      </c>
      <c r="C105">
        <f>IF(管理!$F92="","",MAX(100,ROUNDDOWN($B$5/(管理!$F92*$B$3)/100,0)*100))</f>
      </c>
      <c r="D105">
        <f>IF(OR(管理!$F92="",管理!$U92=""),"",ROUND(管理!$V92-(管理!$F92+管理!$U92)*管理!$G92*$B$7-IF(管理!$C92="売",管理!$F92*管理!$G92*$B$8*管理!$W92/365,0),0))</f>
      </c>
    </row>
    <row r="106" spans="1:4">
      <c r="A106">
        <v>93</v>
      </c>
      <c r="B106">
        <f>IF(管理!$B93="","",IF(COUNTIFS(管理!$B$4:$B93,管理!$B93,管理!$C$4:$C93,管理!$C93)&gt;1,"⛔重複",""))</f>
      </c>
      <c r="C106">
        <f>IF(管理!$F93="","",MAX(100,ROUNDDOWN($B$5/(管理!$F93*$B$3)/100,0)*100))</f>
      </c>
      <c r="D106">
        <f>IF(OR(管理!$F93="",管理!$U93=""),"",ROUND(管理!$V93-(管理!$F93+管理!$U93)*管理!$G93*$B$7-IF(管理!$C93="売",管理!$F93*管理!$G93*$B$8*管理!$W93/365,0),0))</f>
      </c>
    </row>
    <row r="107" spans="1:4">
      <c r="A107">
        <v>94</v>
      </c>
      <c r="B107">
        <f>IF(管理!$B94="","",IF(COUNTIFS(管理!$B$4:$B94,管理!$B94,管理!$C$4:$C94,管理!$C94)&gt;1,"⛔重複",""))</f>
      </c>
      <c r="C107">
        <f>IF(管理!$F94="","",MAX(100,ROUNDDOWN($B$5/(管理!$F94*$B$3)/100,0)*100))</f>
      </c>
      <c r="D107">
        <f>IF(OR(管理!$F94="",管理!$U94=""),"",ROUND(管理!$V94-(管理!$F94+管理!$U94)*管理!$G94*$B$7-IF(管理!$C94="売",管理!$F94*管理!$G94*$B$8*管理!$W94/365,0),0))</f>
      </c>
    </row>
    <row r="108" spans="1:4">
      <c r="A108">
        <v>95</v>
      </c>
      <c r="B108">
        <f>IF(管理!$B95="","",IF(COUNTIFS(管理!$B$4:$B95,管理!$B95,管理!$C$4:$C95,管理!$C95)&gt;1,"⛔重複",""))</f>
      </c>
      <c r="C108">
        <f>IF(管理!$F95="","",MAX(100,ROUNDDOWN($B$5/(管理!$F95*$B$3)/100,0)*100))</f>
      </c>
      <c r="D108">
        <f>IF(OR(管理!$F95="",管理!$U95=""),"",ROUND(管理!$V95-(管理!$F95+管理!$U95)*管理!$G95*$B$7-IF(管理!$C95="売",管理!$F95*管理!$G95*$B$8*管理!$W95/365,0),0))</f>
      </c>
    </row>
    <row r="109" spans="1:4">
      <c r="A109">
        <v>96</v>
      </c>
      <c r="B109">
        <f>IF(管理!$B96="","",IF(COUNTIFS(管理!$B$4:$B96,管理!$B96,管理!$C$4:$C96,管理!$C96)&gt;1,"⛔重複",""))</f>
      </c>
      <c r="C109">
        <f>IF(管理!$F96="","",MAX(100,ROUNDDOWN($B$5/(管理!$F96*$B$3)/100,0)*100))</f>
      </c>
      <c r="D109">
        <f>IF(OR(管理!$F96="",管理!$U96=""),"",ROUND(管理!$V96-(管理!$F96+管理!$U96)*管理!$G96*$B$7-IF(管理!$C96="売",管理!$F96*管理!$G96*$B$8*管理!$W96/365,0),0))</f>
      </c>
    </row>
    <row r="110" spans="1:4">
      <c r="A110">
        <v>97</v>
      </c>
      <c r="B110">
        <f>IF(管理!$B97="","",IF(COUNTIFS(管理!$B$4:$B97,管理!$B97,管理!$C$4:$C97,管理!$C97)&gt;1,"⛔重複",""))</f>
      </c>
      <c r="C110">
        <f>IF(管理!$F97="","",MAX(100,ROUNDDOWN($B$5/(管理!$F97*$B$3)/100,0)*100))</f>
      </c>
      <c r="D110">
        <f>IF(OR(管理!$F97="",管理!$U97=""),"",ROUND(管理!$V97-(管理!$F97+管理!$U97)*管理!$G97*$B$7-IF(管理!$C97="売",管理!$F97*管理!$G97*$B$8*管理!$W97/365,0),0))</f>
      </c>
    </row>
    <row r="111" spans="1:4">
      <c r="A111">
        <v>98</v>
      </c>
      <c r="B111">
        <f>IF(管理!$B98="","",IF(COUNTIFS(管理!$B$4:$B98,管理!$B98,管理!$C$4:$C98,管理!$C98)&gt;1,"⛔重複",""))</f>
      </c>
      <c r="C111">
        <f>IF(管理!$F98="","",MAX(100,ROUNDDOWN($B$5/(管理!$F98*$B$3)/100,0)*100))</f>
      </c>
      <c r="D111">
        <f>IF(OR(管理!$F98="",管理!$U98=""),"",ROUND(管理!$V98-(管理!$F98+管理!$U98)*管理!$G98*$B$7-IF(管理!$C98="売",管理!$F98*管理!$G98*$B$8*管理!$W98/365,0),0))</f>
      </c>
    </row>
    <row r="112" spans="1:4">
      <c r="A112">
        <v>99</v>
      </c>
      <c r="B112">
        <f>IF(管理!$B99="","",IF(COUNTIFS(管理!$B$4:$B99,管理!$B99,管理!$C$4:$C99,管理!$C99)&gt;1,"⛔重複",""))</f>
      </c>
      <c r="C112">
        <f>IF(管理!$F99="","",MAX(100,ROUNDDOWN($B$5/(管理!$F99*$B$3)/100,0)*100))</f>
      </c>
      <c r="D112">
        <f>IF(OR(管理!$F99="",管理!$U99=""),"",ROUND(管理!$V99-(管理!$F99+管理!$U99)*管理!$G99*$B$7-IF(管理!$C99="売",管理!$F99*管理!$G99*$B$8*管理!$W99/365,0),0))</f>
      </c>
    </row>
    <row r="113" spans="1:4">
      <c r="A113">
        <v>100</v>
      </c>
      <c r="B113">
        <f>IF(管理!$B100="","",IF(COUNTIFS(管理!$B$4:$B100,管理!$B100,管理!$C$4:$C100,管理!$C100)&gt;1,"⛔重複",""))</f>
      </c>
      <c r="C113">
        <f>IF(管理!$F100="","",MAX(100,ROUNDDOWN($B$5/(管理!$F100*$B$3)/100,0)*100))</f>
      </c>
      <c r="D113">
        <f>IF(OR(管理!$F100="",管理!$U100=""),"",ROUND(管理!$V100-(管理!$F100+管理!$U100)*管理!$G100*$B$7-IF(管理!$C100="売",管理!$F100*管理!$G100*$B$8*管理!$W100/365,0),0))</f>
      </c>
    </row>
    <row r="114" spans="1:4">
      <c r="A114">
        <v>101</v>
      </c>
      <c r="B114">
        <f>IF(管理!$B101="","",IF(COUNTIFS(管理!$B$4:$B101,管理!$B101,管理!$C$4:$C101,管理!$C101)&gt;1,"⛔重複",""))</f>
      </c>
      <c r="C114">
        <f>IF(管理!$F101="","",MAX(100,ROUNDDOWN($B$5/(管理!$F101*$B$3)/100,0)*100))</f>
      </c>
      <c r="D114">
        <f>IF(OR(管理!$F101="",管理!$U101=""),"",ROUND(管理!$V101-(管理!$F101+管理!$U101)*管理!$G101*$B$7-IF(管理!$C101="売",管理!$F101*管理!$G101*$B$8*管理!$W101/365,0),0))</f>
      </c>
    </row>
    <row r="115" spans="1:4">
      <c r="A115">
        <v>102</v>
      </c>
      <c r="B115">
        <f>IF(管理!$B102="","",IF(COUNTIFS(管理!$B$4:$B102,管理!$B102,管理!$C$4:$C102,管理!$C102)&gt;1,"⛔重複",""))</f>
      </c>
      <c r="C115">
        <f>IF(管理!$F102="","",MAX(100,ROUNDDOWN($B$5/(管理!$F102*$B$3)/100,0)*100))</f>
      </c>
      <c r="D115">
        <f>IF(OR(管理!$F102="",管理!$U102=""),"",ROUND(管理!$V102-(管理!$F102+管理!$U102)*管理!$G102*$B$7-IF(管理!$C102="売",管理!$F102*管理!$G102*$B$8*管理!$W102/365,0),0))</f>
      </c>
    </row>
    <row r="116" spans="1:4">
      <c r="A116">
        <v>103</v>
      </c>
      <c r="B116">
        <f>IF(管理!$B103="","",IF(COUNTIFS(管理!$B$4:$B103,管理!$B103,管理!$C$4:$C103,管理!$C103)&gt;1,"⛔重複",""))</f>
      </c>
      <c r="C116">
        <f>IF(管理!$F103="","",MAX(100,ROUNDDOWN($B$5/(管理!$F103*$B$3)/100,0)*100))</f>
      </c>
      <c r="D116">
        <f>IF(OR(管理!$F103="",管理!$U103=""),"",ROUND(管理!$V103-(管理!$F103+管理!$U103)*管理!$G103*$B$7-IF(管理!$C103="売",管理!$F103*管理!$G103*$B$8*管理!$W103/365,0),0))</f>
      </c>
    </row>
    <row r="117" spans="1:4">
      <c r="A117">
        <v>104</v>
      </c>
      <c r="B117">
        <f>IF(管理!$B104="","",IF(COUNTIFS(管理!$B$4:$B104,管理!$B104,管理!$C$4:$C104,管理!$C104)&gt;1,"⛔重複",""))</f>
      </c>
      <c r="C117">
        <f>IF(管理!$F104="","",MAX(100,ROUNDDOWN($B$5/(管理!$F104*$B$3)/100,0)*100))</f>
      </c>
      <c r="D117">
        <f>IF(OR(管理!$F104="",管理!$U104=""),"",ROUND(管理!$V104-(管理!$F104+管理!$U104)*管理!$G104*$B$7-IF(管理!$C104="売",管理!$F104*管理!$G104*$B$8*管理!$W104/365,0),0))</f>
      </c>
    </row>
    <row r="118" spans="1:4">
      <c r="A118">
        <v>105</v>
      </c>
      <c r="B118">
        <f>IF(管理!$B105="","",IF(COUNTIFS(管理!$B$4:$B105,管理!$B105,管理!$C$4:$C105,管理!$C105)&gt;1,"⛔重複",""))</f>
      </c>
      <c r="C118">
        <f>IF(管理!$F105="","",MAX(100,ROUNDDOWN($B$5/(管理!$F105*$B$3)/100,0)*100))</f>
      </c>
      <c r="D118">
        <f>IF(OR(管理!$F105="",管理!$U105=""),"",ROUND(管理!$V105-(管理!$F105+管理!$U105)*管理!$G105*$B$7-IF(管理!$C105="売",管理!$F105*管理!$G105*$B$8*管理!$W105/365,0),0))</f>
      </c>
    </row>
    <row r="119" spans="1:4">
      <c r="A119">
        <v>106</v>
      </c>
      <c r="B119">
        <f>IF(管理!$B106="","",IF(COUNTIFS(管理!$B$4:$B106,管理!$B106,管理!$C$4:$C106,管理!$C106)&gt;1,"⛔重複",""))</f>
      </c>
      <c r="C119">
        <f>IF(管理!$F106="","",MAX(100,ROUNDDOWN($B$5/(管理!$F106*$B$3)/100,0)*100))</f>
      </c>
      <c r="D119">
        <f>IF(OR(管理!$F106="",管理!$U106=""),"",ROUND(管理!$V106-(管理!$F106+管理!$U106)*管理!$G106*$B$7-IF(管理!$C106="売",管理!$F106*管理!$G106*$B$8*管理!$W106/365,0),0))</f>
      </c>
    </row>
    <row r="120" spans="1:4">
      <c r="A120">
        <v>107</v>
      </c>
      <c r="B120">
        <f>IF(管理!$B107="","",IF(COUNTIFS(管理!$B$4:$B107,管理!$B107,管理!$C$4:$C107,管理!$C107)&gt;1,"⛔重複",""))</f>
      </c>
      <c r="C120">
        <f>IF(管理!$F107="","",MAX(100,ROUNDDOWN($B$5/(管理!$F107*$B$3)/100,0)*100))</f>
      </c>
      <c r="D120">
        <f>IF(OR(管理!$F107="",管理!$U107=""),"",ROUND(管理!$V107-(管理!$F107+管理!$U107)*管理!$G107*$B$7-IF(管理!$C107="売",管理!$F107*管理!$G107*$B$8*管理!$W107/365,0),0))</f>
      </c>
    </row>
    <row r="121" spans="1:4">
      <c r="A121">
        <v>108</v>
      </c>
      <c r="B121">
        <f>IF(管理!$B108="","",IF(COUNTIFS(管理!$B$4:$B108,管理!$B108,管理!$C$4:$C108,管理!$C108)&gt;1,"⛔重複",""))</f>
      </c>
      <c r="C121">
        <f>IF(管理!$F108="","",MAX(100,ROUNDDOWN($B$5/(管理!$F108*$B$3)/100,0)*100))</f>
      </c>
      <c r="D121">
        <f>IF(OR(管理!$F108="",管理!$U108=""),"",ROUND(管理!$V108-(管理!$F108+管理!$U108)*管理!$G108*$B$7-IF(管理!$C108="売",管理!$F108*管理!$G108*$B$8*管理!$W108/365,0),0))</f>
      </c>
    </row>
    <row r="122" spans="1:4">
      <c r="A122">
        <v>109</v>
      </c>
      <c r="B122">
        <f>IF(管理!$B109="","",IF(COUNTIFS(管理!$B$4:$B109,管理!$B109,管理!$C$4:$C109,管理!$C109)&gt;1,"⛔重複",""))</f>
      </c>
      <c r="C122">
        <f>IF(管理!$F109="","",MAX(100,ROUNDDOWN($B$5/(管理!$F109*$B$3)/100,0)*100))</f>
      </c>
      <c r="D122">
        <f>IF(OR(管理!$F109="",管理!$U109=""),"",ROUND(管理!$V109-(管理!$F109+管理!$U109)*管理!$G109*$B$7-IF(管理!$C109="売",管理!$F109*管理!$G109*$B$8*管理!$W109/365,0),0))</f>
      </c>
    </row>
    <row r="123" spans="1:4">
      <c r="A123">
        <v>110</v>
      </c>
      <c r="B123">
        <f>IF(管理!$B110="","",IF(COUNTIFS(管理!$B$4:$B110,管理!$B110,管理!$C$4:$C110,管理!$C110)&gt;1,"⛔重複",""))</f>
      </c>
      <c r="C123">
        <f>IF(管理!$F110="","",MAX(100,ROUNDDOWN($B$5/(管理!$F110*$B$3)/100,0)*100))</f>
      </c>
      <c r="D123">
        <f>IF(OR(管理!$F110="",管理!$U110=""),"",ROUND(管理!$V110-(管理!$F110+管理!$U110)*管理!$G110*$B$7-IF(管理!$C110="売",管理!$F110*管理!$G110*$B$8*管理!$W110/365,0),0))</f>
      </c>
    </row>
    <row r="124" spans="1:4">
      <c r="A124">
        <v>111</v>
      </c>
      <c r="B124">
        <f>IF(管理!$B111="","",IF(COUNTIFS(管理!$B$4:$B111,管理!$B111,管理!$C$4:$C111,管理!$C111)&gt;1,"⛔重複",""))</f>
      </c>
      <c r="C124">
        <f>IF(管理!$F111="","",MAX(100,ROUNDDOWN($B$5/(管理!$F111*$B$3)/100,0)*100))</f>
      </c>
      <c r="D124">
        <f>IF(OR(管理!$F111="",管理!$U111=""),"",ROUND(管理!$V111-(管理!$F111+管理!$U111)*管理!$G111*$B$7-IF(管理!$C111="売",管理!$F111*管理!$G111*$B$8*管理!$W111/365,0),0))</f>
      </c>
    </row>
    <row r="125" spans="1:4">
      <c r="A125">
        <v>112</v>
      </c>
      <c r="B125">
        <f>IF(管理!$B112="","",IF(COUNTIFS(管理!$B$4:$B112,管理!$B112,管理!$C$4:$C112,管理!$C112)&gt;1,"⛔重複",""))</f>
      </c>
      <c r="C125">
        <f>IF(管理!$F112="","",MAX(100,ROUNDDOWN($B$5/(管理!$F112*$B$3)/100,0)*100))</f>
      </c>
      <c r="D125">
        <f>IF(OR(管理!$F112="",管理!$U112=""),"",ROUND(管理!$V112-(管理!$F112+管理!$U112)*管理!$G112*$B$7-IF(管理!$C112="売",管理!$F112*管理!$G112*$B$8*管理!$W112/365,0),0))</f>
      </c>
    </row>
    <row r="126" spans="1:4">
      <c r="A126">
        <v>113</v>
      </c>
      <c r="B126">
        <f>IF(管理!$B113="","",IF(COUNTIFS(管理!$B$4:$B113,管理!$B113,管理!$C$4:$C113,管理!$C113)&gt;1,"⛔重複",""))</f>
      </c>
      <c r="C126">
        <f>IF(管理!$F113="","",MAX(100,ROUNDDOWN($B$5/(管理!$F113*$B$3)/100,0)*100))</f>
      </c>
      <c r="D126">
        <f>IF(OR(管理!$F113="",管理!$U113=""),"",ROUND(管理!$V113-(管理!$F113+管理!$U113)*管理!$G113*$B$7-IF(管理!$C113="売",管理!$F113*管理!$G113*$B$8*管理!$W113/365,0),0))</f>
      </c>
    </row>
    <row r="127" spans="1:4">
      <c r="A127">
        <v>114</v>
      </c>
      <c r="B127">
        <f>IF(管理!$B114="","",IF(COUNTIFS(管理!$B$4:$B114,管理!$B114,管理!$C$4:$C114,管理!$C114)&gt;1,"⛔重複",""))</f>
      </c>
      <c r="C127">
        <f>IF(管理!$F114="","",MAX(100,ROUNDDOWN($B$5/(管理!$F114*$B$3)/100,0)*100))</f>
      </c>
      <c r="D127">
        <f>IF(OR(管理!$F114="",管理!$U114=""),"",ROUND(管理!$V114-(管理!$F114+管理!$U114)*管理!$G114*$B$7-IF(管理!$C114="売",管理!$F114*管理!$G114*$B$8*管理!$W114/365,0),0))</f>
      </c>
    </row>
    <row r="128" spans="1:4">
      <c r="A128">
        <v>115</v>
      </c>
      <c r="B128">
        <f>IF(管理!$B115="","",IF(COUNTIFS(管理!$B$4:$B115,管理!$B115,管理!$C$4:$C115,管理!$C115)&gt;1,"⛔重複",""))</f>
      </c>
      <c r="C128">
        <f>IF(管理!$F115="","",MAX(100,ROUNDDOWN($B$5/(管理!$F115*$B$3)/100,0)*100))</f>
      </c>
      <c r="D128">
        <f>IF(OR(管理!$F115="",管理!$U115=""),"",ROUND(管理!$V115-(管理!$F115+管理!$U115)*管理!$G115*$B$7-IF(管理!$C115="売",管理!$F115*管理!$G115*$B$8*管理!$W115/365,0),0))</f>
      </c>
    </row>
    <row r="129" spans="1:4">
      <c r="A129">
        <v>116</v>
      </c>
      <c r="B129">
        <f>IF(管理!$B116="","",IF(COUNTIFS(管理!$B$4:$B116,管理!$B116,管理!$C$4:$C116,管理!$C116)&gt;1,"⛔重複",""))</f>
      </c>
      <c r="C129">
        <f>IF(管理!$F116="","",MAX(100,ROUNDDOWN($B$5/(管理!$F116*$B$3)/100,0)*100))</f>
      </c>
      <c r="D129">
        <f>IF(OR(管理!$F116="",管理!$U116=""),"",ROUND(管理!$V116-(管理!$F116+管理!$U116)*管理!$G116*$B$7-IF(管理!$C116="売",管理!$F116*管理!$G116*$B$8*管理!$W116/365,0),0))</f>
      </c>
    </row>
    <row r="130" spans="1:4">
      <c r="A130">
        <v>117</v>
      </c>
      <c r="B130">
        <f>IF(管理!$B117="","",IF(COUNTIFS(管理!$B$4:$B117,管理!$B117,管理!$C$4:$C117,管理!$C117)&gt;1,"⛔重複",""))</f>
      </c>
      <c r="C130">
        <f>IF(管理!$F117="","",MAX(100,ROUNDDOWN($B$5/(管理!$F117*$B$3)/100,0)*100))</f>
      </c>
      <c r="D130">
        <f>IF(OR(管理!$F117="",管理!$U117=""),"",ROUND(管理!$V117-(管理!$F117+管理!$U117)*管理!$G117*$B$7-IF(管理!$C117="売",管理!$F117*管理!$G117*$B$8*管理!$W117/365,0),0))</f>
      </c>
    </row>
    <row r="131" spans="1:4">
      <c r="A131">
        <v>118</v>
      </c>
      <c r="B131">
        <f>IF(管理!$B118="","",IF(COUNTIFS(管理!$B$4:$B118,管理!$B118,管理!$C$4:$C118,管理!$C118)&gt;1,"⛔重複",""))</f>
      </c>
      <c r="C131">
        <f>IF(管理!$F118="","",MAX(100,ROUNDDOWN($B$5/(管理!$F118*$B$3)/100,0)*100))</f>
      </c>
      <c r="D131">
        <f>IF(OR(管理!$F118="",管理!$U118=""),"",ROUND(管理!$V118-(管理!$F118+管理!$U118)*管理!$G118*$B$7-IF(管理!$C118="売",管理!$F118*管理!$G118*$B$8*管理!$W118/365,0),0))</f>
      </c>
    </row>
    <row r="132" spans="1:4">
      <c r="A132">
        <v>119</v>
      </c>
      <c r="B132">
        <f>IF(管理!$B119="","",IF(COUNTIFS(管理!$B$4:$B119,管理!$B119,管理!$C$4:$C119,管理!$C119)&gt;1,"⛔重複",""))</f>
      </c>
      <c r="C132">
        <f>IF(管理!$F119="","",MAX(100,ROUNDDOWN($B$5/(管理!$F119*$B$3)/100,0)*100))</f>
      </c>
      <c r="D132">
        <f>IF(OR(管理!$F119="",管理!$U119=""),"",ROUND(管理!$V119-(管理!$F119+管理!$U119)*管理!$G119*$B$7-IF(管理!$C119="売",管理!$F119*管理!$G119*$B$8*管理!$W119/365,0),0))</f>
      </c>
    </row>
    <row r="133" spans="1:4">
      <c r="A133">
        <v>120</v>
      </c>
      <c r="B133">
        <f>IF(管理!$B120="","",IF(COUNTIFS(管理!$B$4:$B120,管理!$B120,管理!$C$4:$C120,管理!$C120)&gt;1,"⛔重複",""))</f>
      </c>
      <c r="C133">
        <f>IF(管理!$F120="","",MAX(100,ROUNDDOWN($B$5/(管理!$F120*$B$3)/100,0)*100))</f>
      </c>
      <c r="D133">
        <f>IF(OR(管理!$F120="",管理!$U120=""),"",ROUND(管理!$V120-(管理!$F120+管理!$U120)*管理!$G120*$B$7-IF(管理!$C120="売",管理!$F120*管理!$G120*$B$8*管理!$W120/365,0),0))</f>
      </c>
    </row>
    <row r="134" spans="1:4">
      <c r="A134">
        <v>121</v>
      </c>
      <c r="B134">
        <f>IF(管理!$B121="","",IF(COUNTIFS(管理!$B$4:$B121,管理!$B121,管理!$C$4:$C121,管理!$C121)&gt;1,"⛔重複",""))</f>
      </c>
      <c r="C134">
        <f>IF(管理!$F121="","",MAX(100,ROUNDDOWN($B$5/(管理!$F121*$B$3)/100,0)*100))</f>
      </c>
      <c r="D134">
        <f>IF(OR(管理!$F121="",管理!$U121=""),"",ROUND(管理!$V121-(管理!$F121+管理!$U121)*管理!$G121*$B$7-IF(管理!$C121="売",管理!$F121*管理!$G121*$B$8*管理!$W121/365,0),0))</f>
      </c>
    </row>
    <row r="135" spans="1:4">
      <c r="A135">
        <v>122</v>
      </c>
      <c r="B135">
        <f>IF(管理!$B122="","",IF(COUNTIFS(管理!$B$4:$B122,管理!$B122,管理!$C$4:$C122,管理!$C122)&gt;1,"⛔重複",""))</f>
      </c>
      <c r="C135">
        <f>IF(管理!$F122="","",MAX(100,ROUNDDOWN($B$5/(管理!$F122*$B$3)/100,0)*100))</f>
      </c>
      <c r="D135">
        <f>IF(OR(管理!$F122="",管理!$U122=""),"",ROUND(管理!$V122-(管理!$F122+管理!$U122)*管理!$G122*$B$7-IF(管理!$C122="売",管理!$F122*管理!$G122*$B$8*管理!$W122/365,0),0))</f>
      </c>
    </row>
    <row r="136" spans="1:4">
      <c r="A136">
        <v>123</v>
      </c>
      <c r="B136">
        <f>IF(管理!$B123="","",IF(COUNTIFS(管理!$B$4:$B123,管理!$B123,管理!$C$4:$C123,管理!$C123)&gt;1,"⛔重複",""))</f>
      </c>
      <c r="C136">
        <f>IF(管理!$F123="","",MAX(100,ROUNDDOWN($B$5/(管理!$F123*$B$3)/100,0)*100))</f>
      </c>
      <c r="D136">
        <f>IF(OR(管理!$F123="",管理!$U123=""),"",ROUND(管理!$V123-(管理!$F123+管理!$U123)*管理!$G123*$B$7-IF(管理!$C123="売",管理!$F123*管理!$G123*$B$8*管理!$W123/365,0),0))</f>
      </c>
    </row>
    <row r="137" spans="1:4">
      <c r="A137">
        <v>124</v>
      </c>
      <c r="B137">
        <f>IF(管理!$B124="","",IF(COUNTIFS(管理!$B$4:$B124,管理!$B124,管理!$C$4:$C124,管理!$C124)&gt;1,"⛔重複",""))</f>
      </c>
      <c r="C137">
        <f>IF(管理!$F124="","",MAX(100,ROUNDDOWN($B$5/(管理!$F124*$B$3)/100,0)*100))</f>
      </c>
      <c r="D137">
        <f>IF(OR(管理!$F124="",管理!$U124=""),"",ROUND(管理!$V124-(管理!$F124+管理!$U124)*管理!$G124*$B$7-IF(管理!$C124="売",管理!$F124*管理!$G124*$B$8*管理!$W124/365,0),0))</f>
      </c>
    </row>
    <row r="138" spans="1:4">
      <c r="A138">
        <v>125</v>
      </c>
      <c r="B138">
        <f>IF(管理!$B125="","",IF(COUNTIFS(管理!$B$4:$B125,管理!$B125,管理!$C$4:$C125,管理!$C125)&gt;1,"⛔重複",""))</f>
      </c>
      <c r="C138">
        <f>IF(管理!$F125="","",MAX(100,ROUNDDOWN($B$5/(管理!$F125*$B$3)/100,0)*100))</f>
      </c>
      <c r="D138">
        <f>IF(OR(管理!$F125="",管理!$U125=""),"",ROUND(管理!$V125-(管理!$F125+管理!$U125)*管理!$G125*$B$7-IF(管理!$C125="売",管理!$F125*管理!$G125*$B$8*管理!$W125/365,0),0))</f>
      </c>
    </row>
    <row r="139" spans="1:4">
      <c r="A139">
        <v>126</v>
      </c>
      <c r="B139">
        <f>IF(管理!$B126="","",IF(COUNTIFS(管理!$B$4:$B126,管理!$B126,管理!$C$4:$C126,管理!$C126)&gt;1,"⛔重複",""))</f>
      </c>
      <c r="C139">
        <f>IF(管理!$F126="","",MAX(100,ROUNDDOWN($B$5/(管理!$F126*$B$3)/100,0)*100))</f>
      </c>
      <c r="D139">
        <f>IF(OR(管理!$F126="",管理!$U126=""),"",ROUND(管理!$V126-(管理!$F126+管理!$U126)*管理!$G126*$B$7-IF(管理!$C126="売",管理!$F126*管理!$G126*$B$8*管理!$W126/365,0),0))</f>
      </c>
    </row>
    <row r="140" spans="1:4">
      <c r="A140">
        <v>127</v>
      </c>
      <c r="B140">
        <f>IF(管理!$B127="","",IF(COUNTIFS(管理!$B$4:$B127,管理!$B127,管理!$C$4:$C127,管理!$C127)&gt;1,"⛔重複",""))</f>
      </c>
      <c r="C140">
        <f>IF(管理!$F127="","",MAX(100,ROUNDDOWN($B$5/(管理!$F127*$B$3)/100,0)*100))</f>
      </c>
      <c r="D140">
        <f>IF(OR(管理!$F127="",管理!$U127=""),"",ROUND(管理!$V127-(管理!$F127+管理!$U127)*管理!$G127*$B$7-IF(管理!$C127="売",管理!$F127*管理!$G127*$B$8*管理!$W127/365,0),0))</f>
      </c>
    </row>
    <row r="141" spans="1:4">
      <c r="A141">
        <v>128</v>
      </c>
      <c r="B141">
        <f>IF(管理!$B128="","",IF(COUNTIFS(管理!$B$4:$B128,管理!$B128,管理!$C$4:$C128,管理!$C128)&gt;1,"⛔重複",""))</f>
      </c>
      <c r="C141">
        <f>IF(管理!$F128="","",MAX(100,ROUNDDOWN($B$5/(管理!$F128*$B$3)/100,0)*100))</f>
      </c>
      <c r="D141">
        <f>IF(OR(管理!$F128="",管理!$U128=""),"",ROUND(管理!$V128-(管理!$F128+管理!$U128)*管理!$G128*$B$7-IF(管理!$C128="売",管理!$F128*管理!$G128*$B$8*管理!$W128/365,0),0))</f>
      </c>
    </row>
    <row r="142" spans="1:4">
      <c r="A142">
        <v>129</v>
      </c>
      <c r="B142">
        <f>IF(管理!$B129="","",IF(COUNTIFS(管理!$B$4:$B129,管理!$B129,管理!$C$4:$C129,管理!$C129)&gt;1,"⛔重複",""))</f>
      </c>
      <c r="C142">
        <f>IF(管理!$F129="","",MAX(100,ROUNDDOWN($B$5/(管理!$F129*$B$3)/100,0)*100))</f>
      </c>
      <c r="D142">
        <f>IF(OR(管理!$F129="",管理!$U129=""),"",ROUND(管理!$V129-(管理!$F129+管理!$U129)*管理!$G129*$B$7-IF(管理!$C129="売",管理!$F129*管理!$G129*$B$8*管理!$W129/365,0),0))</f>
      </c>
    </row>
    <row r="143" spans="1:4">
      <c r="A143">
        <v>130</v>
      </c>
      <c r="B143">
        <f>IF(管理!$B130="","",IF(COUNTIFS(管理!$B$4:$B130,管理!$B130,管理!$C$4:$C130,管理!$C130)&gt;1,"⛔重複",""))</f>
      </c>
      <c r="C143">
        <f>IF(管理!$F130="","",MAX(100,ROUNDDOWN($B$5/(管理!$F130*$B$3)/100,0)*100))</f>
      </c>
      <c r="D143">
        <f>IF(OR(管理!$F130="",管理!$U130=""),"",ROUND(管理!$V130-(管理!$F130+管理!$U130)*管理!$G130*$B$7-IF(管理!$C130="売",管理!$F130*管理!$G130*$B$8*管理!$W130/365,0),0))</f>
      </c>
    </row>
    <row r="144" spans="1:4">
      <c r="A144">
        <v>131</v>
      </c>
      <c r="B144">
        <f>IF(管理!$B131="","",IF(COUNTIFS(管理!$B$4:$B131,管理!$B131,管理!$C$4:$C131,管理!$C131)&gt;1,"⛔重複",""))</f>
      </c>
      <c r="C144">
        <f>IF(管理!$F131="","",MAX(100,ROUNDDOWN($B$5/(管理!$F131*$B$3)/100,0)*100))</f>
      </c>
      <c r="D144">
        <f>IF(OR(管理!$F131="",管理!$U131=""),"",ROUND(管理!$V131-(管理!$F131+管理!$U131)*管理!$G131*$B$7-IF(管理!$C131="売",管理!$F131*管理!$G131*$B$8*管理!$W131/365,0),0))</f>
      </c>
    </row>
    <row r="145" spans="1:4">
      <c r="A145">
        <v>132</v>
      </c>
      <c r="B145">
        <f>IF(管理!$B132="","",IF(COUNTIFS(管理!$B$4:$B132,管理!$B132,管理!$C$4:$C132,管理!$C132)&gt;1,"⛔重複",""))</f>
      </c>
      <c r="C145">
        <f>IF(管理!$F132="","",MAX(100,ROUNDDOWN($B$5/(管理!$F132*$B$3)/100,0)*100))</f>
      </c>
      <c r="D145">
        <f>IF(OR(管理!$F132="",管理!$U132=""),"",ROUND(管理!$V132-(管理!$F132+管理!$U132)*管理!$G132*$B$7-IF(管理!$C132="売",管理!$F132*管理!$G132*$B$8*管理!$W132/365,0),0))</f>
      </c>
    </row>
    <row r="146" spans="1:4">
      <c r="A146">
        <v>133</v>
      </c>
      <c r="B146">
        <f>IF(管理!$B133="","",IF(COUNTIFS(管理!$B$4:$B133,管理!$B133,管理!$C$4:$C133,管理!$C133)&gt;1,"⛔重複",""))</f>
      </c>
      <c r="C146">
        <f>IF(管理!$F133="","",MAX(100,ROUNDDOWN($B$5/(管理!$F133*$B$3)/100,0)*100))</f>
      </c>
      <c r="D146">
        <f>IF(OR(管理!$F133="",管理!$U133=""),"",ROUND(管理!$V133-(管理!$F133+管理!$U133)*管理!$G133*$B$7-IF(管理!$C133="売",管理!$F133*管理!$G133*$B$8*管理!$W133/365,0),0))</f>
      </c>
    </row>
    <row r="147" spans="1:4">
      <c r="A147">
        <v>134</v>
      </c>
      <c r="B147">
        <f>IF(管理!$B134="","",IF(COUNTIFS(管理!$B$4:$B134,管理!$B134,管理!$C$4:$C134,管理!$C134)&gt;1,"⛔重複",""))</f>
      </c>
      <c r="C147">
        <f>IF(管理!$F134="","",MAX(100,ROUNDDOWN($B$5/(管理!$F134*$B$3)/100,0)*100))</f>
      </c>
      <c r="D147">
        <f>IF(OR(管理!$F134="",管理!$U134=""),"",ROUND(管理!$V134-(管理!$F134+管理!$U134)*管理!$G134*$B$7-IF(管理!$C134="売",管理!$F134*管理!$G134*$B$8*管理!$W134/365,0),0))</f>
      </c>
    </row>
    <row r="148" spans="1:4">
      <c r="A148">
        <v>135</v>
      </c>
      <c r="B148">
        <f>IF(管理!$B135="","",IF(COUNTIFS(管理!$B$4:$B135,管理!$B135,管理!$C$4:$C135,管理!$C135)&gt;1,"⛔重複",""))</f>
      </c>
      <c r="C148">
        <f>IF(管理!$F135="","",MAX(100,ROUNDDOWN($B$5/(管理!$F135*$B$3)/100,0)*100))</f>
      </c>
      <c r="D148">
        <f>IF(OR(管理!$F135="",管理!$U135=""),"",ROUND(管理!$V135-(管理!$F135+管理!$U135)*管理!$G135*$B$7-IF(管理!$C135="売",管理!$F135*管理!$G135*$B$8*管理!$W135/365,0),0))</f>
      </c>
    </row>
    <row r="149" spans="1:4">
      <c r="A149">
        <v>136</v>
      </c>
      <c r="B149">
        <f>IF(管理!$B136="","",IF(COUNTIFS(管理!$B$4:$B136,管理!$B136,管理!$C$4:$C136,管理!$C136)&gt;1,"⛔重複",""))</f>
      </c>
      <c r="C149">
        <f>IF(管理!$F136="","",MAX(100,ROUNDDOWN($B$5/(管理!$F136*$B$3)/100,0)*100))</f>
      </c>
      <c r="D149">
        <f>IF(OR(管理!$F136="",管理!$U136=""),"",ROUND(管理!$V136-(管理!$F136+管理!$U136)*管理!$G136*$B$7-IF(管理!$C136="売",管理!$F136*管理!$G136*$B$8*管理!$W136/365,0),0))</f>
      </c>
    </row>
    <row r="150" spans="1:4">
      <c r="A150">
        <v>137</v>
      </c>
      <c r="B150">
        <f>IF(管理!$B137="","",IF(COUNTIFS(管理!$B$4:$B137,管理!$B137,管理!$C$4:$C137,管理!$C137)&gt;1,"⛔重複",""))</f>
      </c>
      <c r="C150">
        <f>IF(管理!$F137="","",MAX(100,ROUNDDOWN($B$5/(管理!$F137*$B$3)/100,0)*100))</f>
      </c>
      <c r="D150">
        <f>IF(OR(管理!$F137="",管理!$U137=""),"",ROUND(管理!$V137-(管理!$F137+管理!$U137)*管理!$G137*$B$7-IF(管理!$C137="売",管理!$F137*管理!$G137*$B$8*管理!$W137/365,0),0))</f>
      </c>
    </row>
    <row r="151" spans="1:4">
      <c r="A151">
        <v>138</v>
      </c>
      <c r="B151">
        <f>IF(管理!$B138="","",IF(COUNTIFS(管理!$B$4:$B138,管理!$B138,管理!$C$4:$C138,管理!$C138)&gt;1,"⛔重複",""))</f>
      </c>
      <c r="C151">
        <f>IF(管理!$F138="","",MAX(100,ROUNDDOWN($B$5/(管理!$F138*$B$3)/100,0)*100))</f>
      </c>
      <c r="D151">
        <f>IF(OR(管理!$F138="",管理!$U138=""),"",ROUND(管理!$V138-(管理!$F138+管理!$U138)*管理!$G138*$B$7-IF(管理!$C138="売",管理!$F138*管理!$G138*$B$8*管理!$W138/365,0),0))</f>
      </c>
    </row>
    <row r="152" spans="1:4">
      <c r="A152">
        <v>139</v>
      </c>
      <c r="B152">
        <f>IF(管理!$B139="","",IF(COUNTIFS(管理!$B$4:$B139,管理!$B139,管理!$C$4:$C139,管理!$C139)&gt;1,"⛔重複",""))</f>
      </c>
      <c r="C152">
        <f>IF(管理!$F139="","",MAX(100,ROUNDDOWN($B$5/(管理!$F139*$B$3)/100,0)*100))</f>
      </c>
      <c r="D152">
        <f>IF(OR(管理!$F139="",管理!$U139=""),"",ROUND(管理!$V139-(管理!$F139+管理!$U139)*管理!$G139*$B$7-IF(管理!$C139="売",管理!$F139*管理!$G139*$B$8*管理!$W139/365,0),0))</f>
      </c>
    </row>
    <row r="153" spans="1:4">
      <c r="A153">
        <v>140</v>
      </c>
      <c r="B153">
        <f>IF(管理!$B140="","",IF(COUNTIFS(管理!$B$4:$B140,管理!$B140,管理!$C$4:$C140,管理!$C140)&gt;1,"⛔重複",""))</f>
      </c>
      <c r="C153">
        <f>IF(管理!$F140="","",MAX(100,ROUNDDOWN($B$5/(管理!$F140*$B$3)/100,0)*100))</f>
      </c>
      <c r="D153">
        <f>IF(OR(管理!$F140="",管理!$U140=""),"",ROUND(管理!$V140-(管理!$F140+管理!$U140)*管理!$G140*$B$7-IF(管理!$C140="売",管理!$F140*管理!$G140*$B$8*管理!$W140/365,0),0))</f>
      </c>
    </row>
    <row r="154" spans="1:4">
      <c r="A154">
        <v>141</v>
      </c>
      <c r="B154">
        <f>IF(管理!$B141="","",IF(COUNTIFS(管理!$B$4:$B141,管理!$B141,管理!$C$4:$C141,管理!$C141)&gt;1,"⛔重複",""))</f>
      </c>
      <c r="C154">
        <f>IF(管理!$F141="","",MAX(100,ROUNDDOWN($B$5/(管理!$F141*$B$3)/100,0)*100))</f>
      </c>
      <c r="D154">
        <f>IF(OR(管理!$F141="",管理!$U141=""),"",ROUND(管理!$V141-(管理!$F141+管理!$U141)*管理!$G141*$B$7-IF(管理!$C141="売",管理!$F141*管理!$G141*$B$8*管理!$W141/365,0),0))</f>
      </c>
    </row>
    <row r="155" spans="1:4">
      <c r="A155">
        <v>142</v>
      </c>
      <c r="B155">
        <f>IF(管理!$B142="","",IF(COUNTIFS(管理!$B$4:$B142,管理!$B142,管理!$C$4:$C142,管理!$C142)&gt;1,"⛔重複",""))</f>
      </c>
      <c r="C155">
        <f>IF(管理!$F142="","",MAX(100,ROUNDDOWN($B$5/(管理!$F142*$B$3)/100,0)*100))</f>
      </c>
      <c r="D155">
        <f>IF(OR(管理!$F142="",管理!$U142=""),"",ROUND(管理!$V142-(管理!$F142+管理!$U142)*管理!$G142*$B$7-IF(管理!$C142="売",管理!$F142*管理!$G142*$B$8*管理!$W142/365,0),0))</f>
      </c>
    </row>
    <row r="156" spans="1:4">
      <c r="A156">
        <v>143</v>
      </c>
      <c r="B156">
        <f>IF(管理!$B143="","",IF(COUNTIFS(管理!$B$4:$B143,管理!$B143,管理!$C$4:$C143,管理!$C143)&gt;1,"⛔重複",""))</f>
      </c>
      <c r="C156">
        <f>IF(管理!$F143="","",MAX(100,ROUNDDOWN($B$5/(管理!$F143*$B$3)/100,0)*100))</f>
      </c>
      <c r="D156">
        <f>IF(OR(管理!$F143="",管理!$U143=""),"",ROUND(管理!$V143-(管理!$F143+管理!$U143)*管理!$G143*$B$7-IF(管理!$C143="売",管理!$F143*管理!$G143*$B$8*管理!$W143/365,0),0))</f>
      </c>
    </row>
    <row r="157" spans="1:4">
      <c r="A157">
        <v>144</v>
      </c>
      <c r="B157">
        <f>IF(管理!$B144="","",IF(COUNTIFS(管理!$B$4:$B144,管理!$B144,管理!$C$4:$C144,管理!$C144)&gt;1,"⛔重複",""))</f>
      </c>
      <c r="C157">
        <f>IF(管理!$F144="","",MAX(100,ROUNDDOWN($B$5/(管理!$F144*$B$3)/100,0)*100))</f>
      </c>
      <c r="D157">
        <f>IF(OR(管理!$F144="",管理!$U144=""),"",ROUND(管理!$V144-(管理!$F144+管理!$U144)*管理!$G144*$B$7-IF(管理!$C144="売",管理!$F144*管理!$G144*$B$8*管理!$W144/365,0),0))</f>
      </c>
    </row>
    <row r="158" spans="1:4">
      <c r="A158">
        <v>145</v>
      </c>
      <c r="B158">
        <f>IF(管理!$B145="","",IF(COUNTIFS(管理!$B$4:$B145,管理!$B145,管理!$C$4:$C145,管理!$C145)&gt;1,"⛔重複",""))</f>
      </c>
      <c r="C158">
        <f>IF(管理!$F145="","",MAX(100,ROUNDDOWN($B$5/(管理!$F145*$B$3)/100,0)*100))</f>
      </c>
      <c r="D158">
        <f>IF(OR(管理!$F145="",管理!$U145=""),"",ROUND(管理!$V145-(管理!$F145+管理!$U145)*管理!$G145*$B$7-IF(管理!$C145="売",管理!$F145*管理!$G145*$B$8*管理!$W145/365,0),0))</f>
      </c>
    </row>
    <row r="159" spans="1:4">
      <c r="A159">
        <v>146</v>
      </c>
      <c r="B159">
        <f>IF(管理!$B146="","",IF(COUNTIFS(管理!$B$4:$B146,管理!$B146,管理!$C$4:$C146,管理!$C146)&gt;1,"⛔重複",""))</f>
      </c>
      <c r="C159">
        <f>IF(管理!$F146="","",MAX(100,ROUNDDOWN($B$5/(管理!$F146*$B$3)/100,0)*100))</f>
      </c>
      <c r="D159">
        <f>IF(OR(管理!$F146="",管理!$U146=""),"",ROUND(管理!$V146-(管理!$F146+管理!$U146)*管理!$G146*$B$7-IF(管理!$C146="売",管理!$F146*管理!$G146*$B$8*管理!$W146/365,0),0))</f>
      </c>
    </row>
    <row r="160" spans="1:4">
      <c r="A160">
        <v>147</v>
      </c>
      <c r="B160">
        <f>IF(管理!$B147="","",IF(COUNTIFS(管理!$B$4:$B147,管理!$B147,管理!$C$4:$C147,管理!$C147)&gt;1,"⛔重複",""))</f>
      </c>
      <c r="C160">
        <f>IF(管理!$F147="","",MAX(100,ROUNDDOWN($B$5/(管理!$F147*$B$3)/100,0)*100))</f>
      </c>
      <c r="D160">
        <f>IF(OR(管理!$F147="",管理!$U147=""),"",ROUND(管理!$V147-(管理!$F147+管理!$U147)*管理!$G147*$B$7-IF(管理!$C147="売",管理!$F147*管理!$G147*$B$8*管理!$W147/365,0),0))</f>
      </c>
    </row>
    <row r="161" spans="1:4">
      <c r="A161">
        <v>148</v>
      </c>
      <c r="B161">
        <f>IF(管理!$B148="","",IF(COUNTIFS(管理!$B$4:$B148,管理!$B148,管理!$C$4:$C148,管理!$C148)&gt;1,"⛔重複",""))</f>
      </c>
      <c r="C161">
        <f>IF(管理!$F148="","",MAX(100,ROUNDDOWN($B$5/(管理!$F148*$B$3)/100,0)*100))</f>
      </c>
      <c r="D161">
        <f>IF(OR(管理!$F148="",管理!$U148=""),"",ROUND(管理!$V148-(管理!$F148+管理!$U148)*管理!$G148*$B$7-IF(管理!$C148="売",管理!$F148*管理!$G148*$B$8*管理!$W148/365,0),0))</f>
      </c>
    </row>
    <row r="162" spans="1:4">
      <c r="A162">
        <v>149</v>
      </c>
      <c r="B162">
        <f>IF(管理!$B149="","",IF(COUNTIFS(管理!$B$4:$B149,管理!$B149,管理!$C$4:$C149,管理!$C149)&gt;1,"⛔重複",""))</f>
      </c>
      <c r="C162">
        <f>IF(管理!$F149="","",MAX(100,ROUNDDOWN($B$5/(管理!$F149*$B$3)/100,0)*100))</f>
      </c>
      <c r="D162">
        <f>IF(OR(管理!$F149="",管理!$U149=""),"",ROUND(管理!$V149-(管理!$F149+管理!$U149)*管理!$G149*$B$7-IF(管理!$C149="売",管理!$F149*管理!$G149*$B$8*管理!$W149/365,0),0))</f>
      </c>
    </row>
    <row r="163" spans="1:4">
      <c r="A163">
        <v>150</v>
      </c>
      <c r="B163">
        <f>IF(管理!$B150="","",IF(COUNTIFS(管理!$B$4:$B150,管理!$B150,管理!$C$4:$C150,管理!$C150)&gt;1,"⛔重複",""))</f>
      </c>
      <c r="C163">
        <f>IF(管理!$F150="","",MAX(100,ROUNDDOWN($B$5/(管理!$F150*$B$3)/100,0)*100))</f>
      </c>
      <c r="D163">
        <f>IF(OR(管理!$F150="",管理!$U150=""),"",ROUND(管理!$V150-(管理!$F150+管理!$U150)*管理!$G150*$B$7-IF(管理!$C150="売",管理!$F150*管理!$G150*$B$8*管理!$W150/365,0),0))</f>
      </c>
    </row>
    <row r="164" spans="1:4">
      <c r="A164">
        <v>151</v>
      </c>
      <c r="B164">
        <f>IF(管理!$B151="","",IF(COUNTIFS(管理!$B$4:$B151,管理!$B151,管理!$C$4:$C151,管理!$C151)&gt;1,"⛔重複",""))</f>
      </c>
      <c r="C164">
        <f>IF(管理!$F151="","",MAX(100,ROUNDDOWN($B$5/(管理!$F151*$B$3)/100,0)*100))</f>
      </c>
      <c r="D164">
        <f>IF(OR(管理!$F151="",管理!$U151=""),"",ROUND(管理!$V151-(管理!$F151+管理!$U151)*管理!$G151*$B$7-IF(管理!$C151="売",管理!$F151*管理!$G151*$B$8*管理!$W151/365,0),0))</f>
      </c>
    </row>
    <row r="165" spans="1:4">
      <c r="A165">
        <v>152</v>
      </c>
      <c r="B165">
        <f>IF(管理!$B152="","",IF(COUNTIFS(管理!$B$4:$B152,管理!$B152,管理!$C$4:$C152,管理!$C152)&gt;1,"⛔重複",""))</f>
      </c>
      <c r="C165">
        <f>IF(管理!$F152="","",MAX(100,ROUNDDOWN($B$5/(管理!$F152*$B$3)/100,0)*100))</f>
      </c>
      <c r="D165">
        <f>IF(OR(管理!$F152="",管理!$U152=""),"",ROUND(管理!$V152-(管理!$F152+管理!$U152)*管理!$G152*$B$7-IF(管理!$C152="売",管理!$F152*管理!$G152*$B$8*管理!$W152/365,0),0))</f>
      </c>
    </row>
    <row r="166" spans="1:4">
      <c r="A166">
        <v>153</v>
      </c>
      <c r="B166">
        <f>IF(管理!$B153="","",IF(COUNTIFS(管理!$B$4:$B153,管理!$B153,管理!$C$4:$C153,管理!$C153)&gt;1,"⛔重複",""))</f>
      </c>
      <c r="C166">
        <f>IF(管理!$F153="","",MAX(100,ROUNDDOWN($B$5/(管理!$F153*$B$3)/100,0)*100))</f>
      </c>
      <c r="D166">
        <f>IF(OR(管理!$F153="",管理!$U153=""),"",ROUND(管理!$V153-(管理!$F153+管理!$U153)*管理!$G153*$B$7-IF(管理!$C153="売",管理!$F153*管理!$G153*$B$8*管理!$W153/365,0),0))</f>
      </c>
    </row>
    <row r="167" spans="1:4">
      <c r="A167">
        <v>154</v>
      </c>
      <c r="B167">
        <f>IF(管理!$B154="","",IF(COUNTIFS(管理!$B$4:$B154,管理!$B154,管理!$C$4:$C154,管理!$C154)&gt;1,"⛔重複",""))</f>
      </c>
      <c r="C167">
        <f>IF(管理!$F154="","",MAX(100,ROUNDDOWN($B$5/(管理!$F154*$B$3)/100,0)*100))</f>
      </c>
      <c r="D167">
        <f>IF(OR(管理!$F154="",管理!$U154=""),"",ROUND(管理!$V154-(管理!$F154+管理!$U154)*管理!$G154*$B$7-IF(管理!$C154="売",管理!$F154*管理!$G154*$B$8*管理!$W154/365,0),0))</f>
      </c>
    </row>
    <row r="168" spans="1:4">
      <c r="A168">
        <v>155</v>
      </c>
      <c r="B168">
        <f>IF(管理!$B155="","",IF(COUNTIFS(管理!$B$4:$B155,管理!$B155,管理!$C$4:$C155,管理!$C155)&gt;1,"⛔重複",""))</f>
      </c>
      <c r="C168">
        <f>IF(管理!$F155="","",MAX(100,ROUNDDOWN($B$5/(管理!$F155*$B$3)/100,0)*100))</f>
      </c>
      <c r="D168">
        <f>IF(OR(管理!$F155="",管理!$U155=""),"",ROUND(管理!$V155-(管理!$F155+管理!$U155)*管理!$G155*$B$7-IF(管理!$C155="売",管理!$F155*管理!$G155*$B$8*管理!$W155/365,0),0))</f>
      </c>
    </row>
    <row r="169" spans="1:4">
      <c r="A169">
        <v>156</v>
      </c>
      <c r="B169">
        <f>IF(管理!$B156="","",IF(COUNTIFS(管理!$B$4:$B156,管理!$B156,管理!$C$4:$C156,管理!$C156)&gt;1,"⛔重複",""))</f>
      </c>
      <c r="C169">
        <f>IF(管理!$F156="","",MAX(100,ROUNDDOWN($B$5/(管理!$F156*$B$3)/100,0)*100))</f>
      </c>
      <c r="D169">
        <f>IF(OR(管理!$F156="",管理!$U156=""),"",ROUND(管理!$V156-(管理!$F156+管理!$U156)*管理!$G156*$B$7-IF(管理!$C156="売",管理!$F156*管理!$G156*$B$8*管理!$W156/365,0),0))</f>
      </c>
    </row>
    <row r="170" spans="1:4">
      <c r="A170">
        <v>157</v>
      </c>
      <c r="B170">
        <f>IF(管理!$B157="","",IF(COUNTIFS(管理!$B$4:$B157,管理!$B157,管理!$C$4:$C157,管理!$C157)&gt;1,"⛔重複",""))</f>
      </c>
      <c r="C170">
        <f>IF(管理!$F157="","",MAX(100,ROUNDDOWN($B$5/(管理!$F157*$B$3)/100,0)*100))</f>
      </c>
      <c r="D170">
        <f>IF(OR(管理!$F157="",管理!$U157=""),"",ROUND(管理!$V157-(管理!$F157+管理!$U157)*管理!$G157*$B$7-IF(管理!$C157="売",管理!$F157*管理!$G157*$B$8*管理!$W157/365,0),0))</f>
      </c>
    </row>
    <row r="171" spans="1:4">
      <c r="A171">
        <v>158</v>
      </c>
      <c r="B171">
        <f>IF(管理!$B158="","",IF(COUNTIFS(管理!$B$4:$B158,管理!$B158,管理!$C$4:$C158,管理!$C158)&gt;1,"⛔重複",""))</f>
      </c>
      <c r="C171">
        <f>IF(管理!$F158="","",MAX(100,ROUNDDOWN($B$5/(管理!$F158*$B$3)/100,0)*100))</f>
      </c>
      <c r="D171">
        <f>IF(OR(管理!$F158="",管理!$U158=""),"",ROUND(管理!$V158-(管理!$F158+管理!$U158)*管理!$G158*$B$7-IF(管理!$C158="売",管理!$F158*管理!$G158*$B$8*管理!$W158/365,0),0))</f>
      </c>
    </row>
    <row r="172" spans="1:4">
      <c r="A172">
        <v>159</v>
      </c>
      <c r="B172">
        <f>IF(管理!$B159="","",IF(COUNTIFS(管理!$B$4:$B159,管理!$B159,管理!$C$4:$C159,管理!$C159)&gt;1,"⛔重複",""))</f>
      </c>
      <c r="C172">
        <f>IF(管理!$F159="","",MAX(100,ROUNDDOWN($B$5/(管理!$F159*$B$3)/100,0)*100))</f>
      </c>
      <c r="D172">
        <f>IF(OR(管理!$F159="",管理!$U159=""),"",ROUND(管理!$V159-(管理!$F159+管理!$U159)*管理!$G159*$B$7-IF(管理!$C159="売",管理!$F159*管理!$G159*$B$8*管理!$W159/365,0),0))</f>
      </c>
    </row>
    <row r="173" spans="1:4">
      <c r="A173">
        <v>160</v>
      </c>
      <c r="B173">
        <f>IF(管理!$B160="","",IF(COUNTIFS(管理!$B$4:$B160,管理!$B160,管理!$C$4:$C160,管理!$C160)&gt;1,"⛔重複",""))</f>
      </c>
      <c r="C173">
        <f>IF(管理!$F160="","",MAX(100,ROUNDDOWN($B$5/(管理!$F160*$B$3)/100,0)*100))</f>
      </c>
      <c r="D173">
        <f>IF(OR(管理!$F160="",管理!$U160=""),"",ROUND(管理!$V160-(管理!$F160+管理!$U160)*管理!$G160*$B$7-IF(管理!$C160="売",管理!$F160*管理!$G160*$B$8*管理!$W160/365,0),0))</f>
      </c>
    </row>
    <row r="174" spans="1:4">
      <c r="A174">
        <v>161</v>
      </c>
      <c r="B174">
        <f>IF(管理!$B161="","",IF(COUNTIFS(管理!$B$4:$B161,管理!$B161,管理!$C$4:$C161,管理!$C161)&gt;1,"⛔重複",""))</f>
      </c>
      <c r="C174">
        <f>IF(管理!$F161="","",MAX(100,ROUNDDOWN($B$5/(管理!$F161*$B$3)/100,0)*100))</f>
      </c>
      <c r="D174">
        <f>IF(OR(管理!$F161="",管理!$U161=""),"",ROUND(管理!$V161-(管理!$F161+管理!$U161)*管理!$G161*$B$7-IF(管理!$C161="売",管理!$F161*管理!$G161*$B$8*管理!$W161/365,0),0))</f>
      </c>
    </row>
    <row r="175" spans="1:4">
      <c r="A175">
        <v>162</v>
      </c>
      <c r="B175">
        <f>IF(管理!$B162="","",IF(COUNTIFS(管理!$B$4:$B162,管理!$B162,管理!$C$4:$C162,管理!$C162)&gt;1,"⛔重複",""))</f>
      </c>
      <c r="C175">
        <f>IF(管理!$F162="","",MAX(100,ROUNDDOWN($B$5/(管理!$F162*$B$3)/100,0)*100))</f>
      </c>
      <c r="D175">
        <f>IF(OR(管理!$F162="",管理!$U162=""),"",ROUND(管理!$V162-(管理!$F162+管理!$U162)*管理!$G162*$B$7-IF(管理!$C162="売",管理!$F162*管理!$G162*$B$8*管理!$W162/365,0),0))</f>
      </c>
    </row>
    <row r="176" spans="1:4">
      <c r="A176">
        <v>163</v>
      </c>
      <c r="B176">
        <f>IF(管理!$B163="","",IF(COUNTIFS(管理!$B$4:$B163,管理!$B163,管理!$C$4:$C163,管理!$C163)&gt;1,"⛔重複",""))</f>
      </c>
      <c r="C176">
        <f>IF(管理!$F163="","",MAX(100,ROUNDDOWN($B$5/(管理!$F163*$B$3)/100,0)*100))</f>
      </c>
      <c r="D176">
        <f>IF(OR(管理!$F163="",管理!$U163=""),"",ROUND(管理!$V163-(管理!$F163+管理!$U163)*管理!$G163*$B$7-IF(管理!$C163="売",管理!$F163*管理!$G163*$B$8*管理!$W163/365,0),0))</f>
      </c>
    </row>
    <row r="177" spans="1:4">
      <c r="A177">
        <v>164</v>
      </c>
      <c r="B177">
        <f>IF(管理!$B164="","",IF(COUNTIFS(管理!$B$4:$B164,管理!$B164,管理!$C$4:$C164,管理!$C164)&gt;1,"⛔重複",""))</f>
      </c>
      <c r="C177">
        <f>IF(管理!$F164="","",MAX(100,ROUNDDOWN($B$5/(管理!$F164*$B$3)/100,0)*100))</f>
      </c>
      <c r="D177">
        <f>IF(OR(管理!$F164="",管理!$U164=""),"",ROUND(管理!$V164-(管理!$F164+管理!$U164)*管理!$G164*$B$7-IF(管理!$C164="売",管理!$F164*管理!$G164*$B$8*管理!$W164/365,0),0))</f>
      </c>
    </row>
    <row r="178" spans="1:4">
      <c r="A178">
        <v>165</v>
      </c>
      <c r="B178">
        <f>IF(管理!$B165="","",IF(COUNTIFS(管理!$B$4:$B165,管理!$B165,管理!$C$4:$C165,管理!$C165)&gt;1,"⛔重複",""))</f>
      </c>
      <c r="C178">
        <f>IF(管理!$F165="","",MAX(100,ROUNDDOWN($B$5/(管理!$F165*$B$3)/100,0)*100))</f>
      </c>
      <c r="D178">
        <f>IF(OR(管理!$F165="",管理!$U165=""),"",ROUND(管理!$V165-(管理!$F165+管理!$U165)*管理!$G165*$B$7-IF(管理!$C165="売",管理!$F165*管理!$G165*$B$8*管理!$W165/365,0),0))</f>
      </c>
    </row>
    <row r="179" spans="1:4">
      <c r="A179">
        <v>166</v>
      </c>
      <c r="B179">
        <f>IF(管理!$B166="","",IF(COUNTIFS(管理!$B$4:$B166,管理!$B166,管理!$C$4:$C166,管理!$C166)&gt;1,"⛔重複",""))</f>
      </c>
      <c r="C179">
        <f>IF(管理!$F166="","",MAX(100,ROUNDDOWN($B$5/(管理!$F166*$B$3)/100,0)*100))</f>
      </c>
      <c r="D179">
        <f>IF(OR(管理!$F166="",管理!$U166=""),"",ROUND(管理!$V166-(管理!$F166+管理!$U166)*管理!$G166*$B$7-IF(管理!$C166="売",管理!$F166*管理!$G166*$B$8*管理!$W166/365,0),0))</f>
      </c>
    </row>
    <row r="180" spans="1:4">
      <c r="A180">
        <v>167</v>
      </c>
      <c r="B180">
        <f>IF(管理!$B167="","",IF(COUNTIFS(管理!$B$4:$B167,管理!$B167,管理!$C$4:$C167,管理!$C167)&gt;1,"⛔重複",""))</f>
      </c>
      <c r="C180">
        <f>IF(管理!$F167="","",MAX(100,ROUNDDOWN($B$5/(管理!$F167*$B$3)/100,0)*100))</f>
      </c>
      <c r="D180">
        <f>IF(OR(管理!$F167="",管理!$U167=""),"",ROUND(管理!$V167-(管理!$F167+管理!$U167)*管理!$G167*$B$7-IF(管理!$C167="売",管理!$F167*管理!$G167*$B$8*管理!$W167/365,0),0))</f>
      </c>
    </row>
    <row r="181" spans="1:4">
      <c r="A181">
        <v>168</v>
      </c>
      <c r="B181">
        <f>IF(管理!$B168="","",IF(COUNTIFS(管理!$B$4:$B168,管理!$B168,管理!$C$4:$C168,管理!$C168)&gt;1,"⛔重複",""))</f>
      </c>
      <c r="C181">
        <f>IF(管理!$F168="","",MAX(100,ROUNDDOWN($B$5/(管理!$F168*$B$3)/100,0)*100))</f>
      </c>
      <c r="D181">
        <f>IF(OR(管理!$F168="",管理!$U168=""),"",ROUND(管理!$V168-(管理!$F168+管理!$U168)*管理!$G168*$B$7-IF(管理!$C168="売",管理!$F168*管理!$G168*$B$8*管理!$W168/365,0),0))</f>
      </c>
    </row>
    <row r="182" spans="1:4">
      <c r="A182">
        <v>169</v>
      </c>
      <c r="B182">
        <f>IF(管理!$B169="","",IF(COUNTIFS(管理!$B$4:$B169,管理!$B169,管理!$C$4:$C169,管理!$C169)&gt;1,"⛔重複",""))</f>
      </c>
      <c r="C182">
        <f>IF(管理!$F169="","",MAX(100,ROUNDDOWN($B$5/(管理!$F169*$B$3)/100,0)*100))</f>
      </c>
      <c r="D182">
        <f>IF(OR(管理!$F169="",管理!$U169=""),"",ROUND(管理!$V169-(管理!$F169+管理!$U169)*管理!$G169*$B$7-IF(管理!$C169="売",管理!$F169*管理!$G169*$B$8*管理!$W169/365,0),0))</f>
      </c>
    </row>
    <row r="183" spans="1:4">
      <c r="A183">
        <v>170</v>
      </c>
      <c r="B183">
        <f>IF(管理!$B170="","",IF(COUNTIFS(管理!$B$4:$B170,管理!$B170,管理!$C$4:$C170,管理!$C170)&gt;1,"⛔重複",""))</f>
      </c>
      <c r="C183">
        <f>IF(管理!$F170="","",MAX(100,ROUNDDOWN($B$5/(管理!$F170*$B$3)/100,0)*100))</f>
      </c>
      <c r="D183">
        <f>IF(OR(管理!$F170="",管理!$U170=""),"",ROUND(管理!$V170-(管理!$F170+管理!$U170)*管理!$G170*$B$7-IF(管理!$C170="売",管理!$F170*管理!$G170*$B$8*管理!$W170/365,0),0))</f>
      </c>
    </row>
    <row r="184" spans="1:4">
      <c r="A184">
        <v>171</v>
      </c>
      <c r="B184">
        <f>IF(管理!$B171="","",IF(COUNTIFS(管理!$B$4:$B171,管理!$B171,管理!$C$4:$C171,管理!$C171)&gt;1,"⛔重複",""))</f>
      </c>
      <c r="C184">
        <f>IF(管理!$F171="","",MAX(100,ROUNDDOWN($B$5/(管理!$F171*$B$3)/100,0)*100))</f>
      </c>
      <c r="D184">
        <f>IF(OR(管理!$F171="",管理!$U171=""),"",ROUND(管理!$V171-(管理!$F171+管理!$U171)*管理!$G171*$B$7-IF(管理!$C171="売",管理!$F171*管理!$G171*$B$8*管理!$W171/365,0),0))</f>
      </c>
    </row>
    <row r="185" spans="1:4">
      <c r="A185">
        <v>172</v>
      </c>
      <c r="B185">
        <f>IF(管理!$B172="","",IF(COUNTIFS(管理!$B$4:$B172,管理!$B172,管理!$C$4:$C172,管理!$C172)&gt;1,"⛔重複",""))</f>
      </c>
      <c r="C185">
        <f>IF(管理!$F172="","",MAX(100,ROUNDDOWN($B$5/(管理!$F172*$B$3)/100,0)*100))</f>
      </c>
      <c r="D185">
        <f>IF(OR(管理!$F172="",管理!$U172=""),"",ROUND(管理!$V172-(管理!$F172+管理!$U172)*管理!$G172*$B$7-IF(管理!$C172="売",管理!$F172*管理!$G172*$B$8*管理!$W172/365,0),0))</f>
      </c>
    </row>
    <row r="186" spans="1:4">
      <c r="A186">
        <v>173</v>
      </c>
      <c r="B186">
        <f>IF(管理!$B173="","",IF(COUNTIFS(管理!$B$4:$B173,管理!$B173,管理!$C$4:$C173,管理!$C173)&gt;1,"⛔重複",""))</f>
      </c>
      <c r="C186">
        <f>IF(管理!$F173="","",MAX(100,ROUNDDOWN($B$5/(管理!$F173*$B$3)/100,0)*100))</f>
      </c>
      <c r="D186">
        <f>IF(OR(管理!$F173="",管理!$U173=""),"",ROUND(管理!$V173-(管理!$F173+管理!$U173)*管理!$G173*$B$7-IF(管理!$C173="売",管理!$F173*管理!$G173*$B$8*管理!$W173/365,0),0))</f>
      </c>
    </row>
    <row r="187" spans="1:4">
      <c r="A187">
        <v>174</v>
      </c>
      <c r="B187">
        <f>IF(管理!$B174="","",IF(COUNTIFS(管理!$B$4:$B174,管理!$B174,管理!$C$4:$C174,管理!$C174)&gt;1,"⛔重複",""))</f>
      </c>
      <c r="C187">
        <f>IF(管理!$F174="","",MAX(100,ROUNDDOWN($B$5/(管理!$F174*$B$3)/100,0)*100))</f>
      </c>
      <c r="D187">
        <f>IF(OR(管理!$F174="",管理!$U174=""),"",ROUND(管理!$V174-(管理!$F174+管理!$U174)*管理!$G174*$B$7-IF(管理!$C174="売",管理!$F174*管理!$G174*$B$8*管理!$W174/365,0),0))</f>
      </c>
    </row>
    <row r="188" spans="1:4">
      <c r="A188">
        <v>175</v>
      </c>
      <c r="B188">
        <f>IF(管理!$B175="","",IF(COUNTIFS(管理!$B$4:$B175,管理!$B175,管理!$C$4:$C175,管理!$C175)&gt;1,"⛔重複",""))</f>
      </c>
      <c r="C188">
        <f>IF(管理!$F175="","",MAX(100,ROUNDDOWN($B$5/(管理!$F175*$B$3)/100,0)*100))</f>
      </c>
      <c r="D188">
        <f>IF(OR(管理!$F175="",管理!$U175=""),"",ROUND(管理!$V175-(管理!$F175+管理!$U175)*管理!$G175*$B$7-IF(管理!$C175="売",管理!$F175*管理!$G175*$B$8*管理!$W175/365,0),0))</f>
      </c>
    </row>
    <row r="189" spans="1:4">
      <c r="A189">
        <v>176</v>
      </c>
      <c r="B189">
        <f>IF(管理!$B176="","",IF(COUNTIFS(管理!$B$4:$B176,管理!$B176,管理!$C$4:$C176,管理!$C176)&gt;1,"⛔重複",""))</f>
      </c>
      <c r="C189">
        <f>IF(管理!$F176="","",MAX(100,ROUNDDOWN($B$5/(管理!$F176*$B$3)/100,0)*100))</f>
      </c>
      <c r="D189">
        <f>IF(OR(管理!$F176="",管理!$U176=""),"",ROUND(管理!$V176-(管理!$F176+管理!$U176)*管理!$G176*$B$7-IF(管理!$C176="売",管理!$F176*管理!$G176*$B$8*管理!$W176/365,0),0))</f>
      </c>
    </row>
    <row r="190" spans="1:4">
      <c r="A190">
        <v>177</v>
      </c>
      <c r="B190">
        <f>IF(管理!$B177="","",IF(COUNTIFS(管理!$B$4:$B177,管理!$B177,管理!$C$4:$C177,管理!$C177)&gt;1,"⛔重複",""))</f>
      </c>
      <c r="C190">
        <f>IF(管理!$F177="","",MAX(100,ROUNDDOWN($B$5/(管理!$F177*$B$3)/100,0)*100))</f>
      </c>
      <c r="D190">
        <f>IF(OR(管理!$F177="",管理!$U177=""),"",ROUND(管理!$V177-(管理!$F177+管理!$U177)*管理!$G177*$B$7-IF(管理!$C177="売",管理!$F177*管理!$G177*$B$8*管理!$W177/365,0),0))</f>
      </c>
    </row>
    <row r="191" spans="1:4">
      <c r="A191">
        <v>178</v>
      </c>
      <c r="B191">
        <f>IF(管理!$B178="","",IF(COUNTIFS(管理!$B$4:$B178,管理!$B178,管理!$C$4:$C178,管理!$C178)&gt;1,"⛔重複",""))</f>
      </c>
      <c r="C191">
        <f>IF(管理!$F178="","",MAX(100,ROUNDDOWN($B$5/(管理!$F178*$B$3)/100,0)*100))</f>
      </c>
      <c r="D191">
        <f>IF(OR(管理!$F178="",管理!$U178=""),"",ROUND(管理!$V178-(管理!$F178+管理!$U178)*管理!$G178*$B$7-IF(管理!$C178="売",管理!$F178*管理!$G178*$B$8*管理!$W178/365,0),0))</f>
      </c>
    </row>
    <row r="192" spans="1:4">
      <c r="A192">
        <v>179</v>
      </c>
      <c r="B192">
        <f>IF(管理!$B179="","",IF(COUNTIFS(管理!$B$4:$B179,管理!$B179,管理!$C$4:$C179,管理!$C179)&gt;1,"⛔重複",""))</f>
      </c>
      <c r="C192">
        <f>IF(管理!$F179="","",MAX(100,ROUNDDOWN($B$5/(管理!$F179*$B$3)/100,0)*100))</f>
      </c>
      <c r="D192">
        <f>IF(OR(管理!$F179="",管理!$U179=""),"",ROUND(管理!$V179-(管理!$F179+管理!$U179)*管理!$G179*$B$7-IF(管理!$C179="売",管理!$F179*管理!$G179*$B$8*管理!$W179/365,0),0))</f>
      </c>
    </row>
    <row r="193" spans="1:4">
      <c r="A193">
        <v>180</v>
      </c>
      <c r="B193">
        <f>IF(管理!$B180="","",IF(COUNTIFS(管理!$B$4:$B180,管理!$B180,管理!$C$4:$C180,管理!$C180)&gt;1,"⛔重複",""))</f>
      </c>
      <c r="C193">
        <f>IF(管理!$F180="","",MAX(100,ROUNDDOWN($B$5/(管理!$F180*$B$3)/100,0)*100))</f>
      </c>
      <c r="D193">
        <f>IF(OR(管理!$F180="",管理!$U180=""),"",ROUND(管理!$V180-(管理!$F180+管理!$U180)*管理!$G180*$B$7-IF(管理!$C180="売",管理!$F180*管理!$G180*$B$8*管理!$W180/365,0),0))</f>
      </c>
    </row>
    <row r="194" spans="1:4">
      <c r="A194">
        <v>181</v>
      </c>
      <c r="B194">
        <f>IF(管理!$B181="","",IF(COUNTIFS(管理!$B$4:$B181,管理!$B181,管理!$C$4:$C181,管理!$C181)&gt;1,"⛔重複",""))</f>
      </c>
      <c r="C194">
        <f>IF(管理!$F181="","",MAX(100,ROUNDDOWN($B$5/(管理!$F181*$B$3)/100,0)*100))</f>
      </c>
      <c r="D194">
        <f>IF(OR(管理!$F181="",管理!$U181=""),"",ROUND(管理!$V181-(管理!$F181+管理!$U181)*管理!$G181*$B$7-IF(管理!$C181="売",管理!$F181*管理!$G181*$B$8*管理!$W181/365,0),0))</f>
      </c>
    </row>
    <row r="195" spans="1:4">
      <c r="A195">
        <v>182</v>
      </c>
      <c r="B195">
        <f>IF(管理!$B182="","",IF(COUNTIFS(管理!$B$4:$B182,管理!$B182,管理!$C$4:$C182,管理!$C182)&gt;1,"⛔重複",""))</f>
      </c>
      <c r="C195">
        <f>IF(管理!$F182="","",MAX(100,ROUNDDOWN($B$5/(管理!$F182*$B$3)/100,0)*100))</f>
      </c>
      <c r="D195">
        <f>IF(OR(管理!$F182="",管理!$U182=""),"",ROUND(管理!$V182-(管理!$F182+管理!$U182)*管理!$G182*$B$7-IF(管理!$C182="売",管理!$F182*管理!$G182*$B$8*管理!$W182/365,0),0))</f>
      </c>
    </row>
    <row r="196" spans="1:4">
      <c r="A196">
        <v>183</v>
      </c>
      <c r="B196">
        <f>IF(管理!$B183="","",IF(COUNTIFS(管理!$B$4:$B183,管理!$B183,管理!$C$4:$C183,管理!$C183)&gt;1,"⛔重複",""))</f>
      </c>
      <c r="C196">
        <f>IF(管理!$F183="","",MAX(100,ROUNDDOWN($B$5/(管理!$F183*$B$3)/100,0)*100))</f>
      </c>
      <c r="D196">
        <f>IF(OR(管理!$F183="",管理!$U183=""),"",ROUND(管理!$V183-(管理!$F183+管理!$U183)*管理!$G183*$B$7-IF(管理!$C183="売",管理!$F183*管理!$G183*$B$8*管理!$W183/365,0),0))</f>
      </c>
    </row>
    <row r="197" spans="1:4">
      <c r="A197">
        <v>184</v>
      </c>
      <c r="B197">
        <f>IF(管理!$B184="","",IF(COUNTIFS(管理!$B$4:$B184,管理!$B184,管理!$C$4:$C184,管理!$C184)&gt;1,"⛔重複",""))</f>
      </c>
      <c r="C197">
        <f>IF(管理!$F184="","",MAX(100,ROUNDDOWN($B$5/(管理!$F184*$B$3)/100,0)*100))</f>
      </c>
      <c r="D197">
        <f>IF(OR(管理!$F184="",管理!$U184=""),"",ROUND(管理!$V184-(管理!$F184+管理!$U184)*管理!$G184*$B$7-IF(管理!$C184="売",管理!$F184*管理!$G184*$B$8*管理!$W184/365,0),0))</f>
      </c>
    </row>
    <row r="198" spans="1:4">
      <c r="A198">
        <v>185</v>
      </c>
      <c r="B198">
        <f>IF(管理!$B185="","",IF(COUNTIFS(管理!$B$4:$B185,管理!$B185,管理!$C$4:$C185,管理!$C185)&gt;1,"⛔重複",""))</f>
      </c>
      <c r="C198">
        <f>IF(管理!$F185="","",MAX(100,ROUNDDOWN($B$5/(管理!$F185*$B$3)/100,0)*100))</f>
      </c>
      <c r="D198">
        <f>IF(OR(管理!$F185="",管理!$U185=""),"",ROUND(管理!$V185-(管理!$F185+管理!$U185)*管理!$G185*$B$7-IF(管理!$C185="売",管理!$F185*管理!$G185*$B$8*管理!$W185/365,0),0))</f>
      </c>
    </row>
    <row r="199" spans="1:4">
      <c r="A199">
        <v>186</v>
      </c>
      <c r="B199">
        <f>IF(管理!$B186="","",IF(COUNTIFS(管理!$B$4:$B186,管理!$B186,管理!$C$4:$C186,管理!$C186)&gt;1,"⛔重複",""))</f>
      </c>
      <c r="C199">
        <f>IF(管理!$F186="","",MAX(100,ROUNDDOWN($B$5/(管理!$F186*$B$3)/100,0)*100))</f>
      </c>
      <c r="D199">
        <f>IF(OR(管理!$F186="",管理!$U186=""),"",ROUND(管理!$V186-(管理!$F186+管理!$U186)*管理!$G186*$B$7-IF(管理!$C186="売",管理!$F186*管理!$G186*$B$8*管理!$W186/365,0),0))</f>
      </c>
    </row>
    <row r="200" spans="1:4">
      <c r="A200">
        <v>187</v>
      </c>
      <c r="B200">
        <f>IF(管理!$B187="","",IF(COUNTIFS(管理!$B$4:$B187,管理!$B187,管理!$C$4:$C187,管理!$C187)&gt;1,"⛔重複",""))</f>
      </c>
      <c r="C200">
        <f>IF(管理!$F187="","",MAX(100,ROUNDDOWN($B$5/(管理!$F187*$B$3)/100,0)*100))</f>
      </c>
      <c r="D200">
        <f>IF(OR(管理!$F187="",管理!$U187=""),"",ROUND(管理!$V187-(管理!$F187+管理!$U187)*管理!$G187*$B$7-IF(管理!$C187="売",管理!$F187*管理!$G187*$B$8*管理!$W187/365,0),0))</f>
      </c>
    </row>
    <row r="201" spans="1:4">
      <c r="A201">
        <v>188</v>
      </c>
      <c r="B201">
        <f>IF(管理!$B188="","",IF(COUNTIFS(管理!$B$4:$B188,管理!$B188,管理!$C$4:$C188,管理!$C188)&gt;1,"⛔重複",""))</f>
      </c>
      <c r="C201">
        <f>IF(管理!$F188="","",MAX(100,ROUNDDOWN($B$5/(管理!$F188*$B$3)/100,0)*100))</f>
      </c>
      <c r="D201">
        <f>IF(OR(管理!$F188="",管理!$U188=""),"",ROUND(管理!$V188-(管理!$F188+管理!$U188)*管理!$G188*$B$7-IF(管理!$C188="売",管理!$F188*管理!$G188*$B$8*管理!$W188/365,0),0))</f>
      </c>
    </row>
    <row r="202" spans="1:4">
      <c r="A202">
        <v>189</v>
      </c>
      <c r="B202">
        <f>IF(管理!$B189="","",IF(COUNTIFS(管理!$B$4:$B189,管理!$B189,管理!$C$4:$C189,管理!$C189)&gt;1,"⛔重複",""))</f>
      </c>
      <c r="C202">
        <f>IF(管理!$F189="","",MAX(100,ROUNDDOWN($B$5/(管理!$F189*$B$3)/100,0)*100))</f>
      </c>
      <c r="D202">
        <f>IF(OR(管理!$F189="",管理!$U189=""),"",ROUND(管理!$V189-(管理!$F189+管理!$U189)*管理!$G189*$B$7-IF(管理!$C189="売",管理!$F189*管理!$G189*$B$8*管理!$W189/365,0),0))</f>
      </c>
    </row>
    <row r="203" spans="1:4">
      <c r="A203">
        <v>190</v>
      </c>
      <c r="B203">
        <f>IF(管理!$B190="","",IF(COUNTIFS(管理!$B$4:$B190,管理!$B190,管理!$C$4:$C190,管理!$C190)&gt;1,"⛔重複",""))</f>
      </c>
      <c r="C203">
        <f>IF(管理!$F190="","",MAX(100,ROUNDDOWN($B$5/(管理!$F190*$B$3)/100,0)*100))</f>
      </c>
      <c r="D203">
        <f>IF(OR(管理!$F190="",管理!$U190=""),"",ROUND(管理!$V190-(管理!$F190+管理!$U190)*管理!$G190*$B$7-IF(管理!$C190="売",管理!$F190*管理!$G190*$B$8*管理!$W190/365,0),0))</f>
      </c>
    </row>
    <row r="204" spans="1:4">
      <c r="A204">
        <v>191</v>
      </c>
      <c r="B204">
        <f>IF(管理!$B191="","",IF(COUNTIFS(管理!$B$4:$B191,管理!$B191,管理!$C$4:$C191,管理!$C191)&gt;1,"⛔重複",""))</f>
      </c>
      <c r="C204">
        <f>IF(管理!$F191="","",MAX(100,ROUNDDOWN($B$5/(管理!$F191*$B$3)/100,0)*100))</f>
      </c>
      <c r="D204">
        <f>IF(OR(管理!$F191="",管理!$U191=""),"",ROUND(管理!$V191-(管理!$F191+管理!$U191)*管理!$G191*$B$7-IF(管理!$C191="売",管理!$F191*管理!$G191*$B$8*管理!$W191/365,0),0))</f>
      </c>
    </row>
    <row r="205" spans="1:4">
      <c r="A205">
        <v>192</v>
      </c>
      <c r="B205">
        <f>IF(管理!$B192="","",IF(COUNTIFS(管理!$B$4:$B192,管理!$B192,管理!$C$4:$C192,管理!$C192)&gt;1,"⛔重複",""))</f>
      </c>
      <c r="C205">
        <f>IF(管理!$F192="","",MAX(100,ROUNDDOWN($B$5/(管理!$F192*$B$3)/100,0)*100))</f>
      </c>
      <c r="D205">
        <f>IF(OR(管理!$F192="",管理!$U192=""),"",ROUND(管理!$V192-(管理!$F192+管理!$U192)*管理!$G192*$B$7-IF(管理!$C192="売",管理!$F192*管理!$G192*$B$8*管理!$W192/365,0),0))</f>
      </c>
    </row>
    <row r="206" spans="1:4">
      <c r="A206">
        <v>193</v>
      </c>
      <c r="B206">
        <f>IF(管理!$B193="","",IF(COUNTIFS(管理!$B$4:$B193,管理!$B193,管理!$C$4:$C193,管理!$C193)&gt;1,"⛔重複",""))</f>
      </c>
      <c r="C206">
        <f>IF(管理!$F193="","",MAX(100,ROUNDDOWN($B$5/(管理!$F193*$B$3)/100,0)*100))</f>
      </c>
      <c r="D206">
        <f>IF(OR(管理!$F193="",管理!$U193=""),"",ROUND(管理!$V193-(管理!$F193+管理!$U193)*管理!$G193*$B$7-IF(管理!$C193="売",管理!$F193*管理!$G193*$B$8*管理!$W193/365,0),0))</f>
      </c>
    </row>
    <row r="207" spans="1:4">
      <c r="A207">
        <v>194</v>
      </c>
      <c r="B207">
        <f>IF(管理!$B194="","",IF(COUNTIFS(管理!$B$4:$B194,管理!$B194,管理!$C$4:$C194,管理!$C194)&gt;1,"⛔重複",""))</f>
      </c>
      <c r="C207">
        <f>IF(管理!$F194="","",MAX(100,ROUNDDOWN($B$5/(管理!$F194*$B$3)/100,0)*100))</f>
      </c>
      <c r="D207">
        <f>IF(OR(管理!$F194="",管理!$U194=""),"",ROUND(管理!$V194-(管理!$F194+管理!$U194)*管理!$G194*$B$7-IF(管理!$C194="売",管理!$F194*管理!$G194*$B$8*管理!$W194/365,0),0))</f>
      </c>
    </row>
    <row r="208" spans="1:4">
      <c r="A208">
        <v>195</v>
      </c>
      <c r="B208">
        <f>IF(管理!$B195="","",IF(COUNTIFS(管理!$B$4:$B195,管理!$B195,管理!$C$4:$C195,管理!$C195)&gt;1,"⛔重複",""))</f>
      </c>
      <c r="C208">
        <f>IF(管理!$F195="","",MAX(100,ROUNDDOWN($B$5/(管理!$F195*$B$3)/100,0)*100))</f>
      </c>
      <c r="D208">
        <f>IF(OR(管理!$F195="",管理!$U195=""),"",ROUND(管理!$V195-(管理!$F195+管理!$U195)*管理!$G195*$B$7-IF(管理!$C195="売",管理!$F195*管理!$G195*$B$8*管理!$W195/365,0),0))</f>
      </c>
    </row>
    <row r="209" spans="1:4">
      <c r="A209">
        <v>196</v>
      </c>
      <c r="B209">
        <f>IF(管理!$B196="","",IF(COUNTIFS(管理!$B$4:$B196,管理!$B196,管理!$C$4:$C196,管理!$C196)&gt;1,"⛔重複",""))</f>
      </c>
      <c r="C209">
        <f>IF(管理!$F196="","",MAX(100,ROUNDDOWN($B$5/(管理!$F196*$B$3)/100,0)*100))</f>
      </c>
      <c r="D209">
        <f>IF(OR(管理!$F196="",管理!$U196=""),"",ROUND(管理!$V196-(管理!$F196+管理!$U196)*管理!$G196*$B$7-IF(管理!$C196="売",管理!$F196*管理!$G196*$B$8*管理!$W196/365,0),0))</f>
      </c>
    </row>
    <row r="210" spans="1:4">
      <c r="A210">
        <v>197</v>
      </c>
      <c r="B210">
        <f>IF(管理!$B197="","",IF(COUNTIFS(管理!$B$4:$B197,管理!$B197,管理!$C$4:$C197,管理!$C197)&gt;1,"⛔重複",""))</f>
      </c>
      <c r="C210">
        <f>IF(管理!$F197="","",MAX(100,ROUNDDOWN($B$5/(管理!$F197*$B$3)/100,0)*100))</f>
      </c>
      <c r="D210">
        <f>IF(OR(管理!$F197="",管理!$U197=""),"",ROUND(管理!$V197-(管理!$F197+管理!$U197)*管理!$G197*$B$7-IF(管理!$C197="売",管理!$F197*管理!$G197*$B$8*管理!$W197/365,0),0))</f>
      </c>
    </row>
    <row r="211" spans="1:4">
      <c r="A211">
        <v>198</v>
      </c>
      <c r="B211">
        <f>IF(管理!$B198="","",IF(COUNTIFS(管理!$B$4:$B198,管理!$B198,管理!$C$4:$C198,管理!$C198)&gt;1,"⛔重複",""))</f>
      </c>
      <c r="C211">
        <f>IF(管理!$F198="","",MAX(100,ROUNDDOWN($B$5/(管理!$F198*$B$3)/100,0)*100))</f>
      </c>
      <c r="D211">
        <f>IF(OR(管理!$F198="",管理!$U198=""),"",ROUND(管理!$V198-(管理!$F198+管理!$U198)*管理!$G198*$B$7-IF(管理!$C198="売",管理!$F198*管理!$G198*$B$8*管理!$W198/365,0),0))</f>
      </c>
    </row>
    <row r="212" spans="1:4">
      <c r="A212">
        <v>199</v>
      </c>
      <c r="B212">
        <f>IF(管理!$B199="","",IF(COUNTIFS(管理!$B$4:$B199,管理!$B199,管理!$C$4:$C199,管理!$C199)&gt;1,"⛔重複",""))</f>
      </c>
      <c r="C212">
        <f>IF(管理!$F199="","",MAX(100,ROUNDDOWN($B$5/(管理!$F199*$B$3)/100,0)*100))</f>
      </c>
      <c r="D212">
        <f>IF(OR(管理!$F199="",管理!$U199=""),"",ROUND(管理!$V199-(管理!$F199+管理!$U199)*管理!$G199*$B$7-IF(管理!$C199="売",管理!$F199*管理!$G199*$B$8*管理!$W199/365,0),0))</f>
      </c>
    </row>
    <row r="213" spans="1:4">
      <c r="A213">
        <v>200</v>
      </c>
      <c r="B213">
        <f>IF(管理!$B200="","",IF(COUNTIFS(管理!$B$4:$B200,管理!$B200,管理!$C$4:$C200,管理!$C200)&gt;1,"⛔重複",""))</f>
      </c>
      <c r="C213">
        <f>IF(管理!$F200="","",MAX(100,ROUNDDOWN($B$5/(管理!$F200*$B$3)/100,0)*100))</f>
      </c>
      <c r="D213">
        <f>IF(OR(管理!$F200="",管理!$U200=""),"",ROUND(管理!$V200-(管理!$F200+管理!$U200)*管理!$G200*$B$7-IF(管理!$C200="売",管理!$F200*管理!$G200*$B$8*管理!$W200/365,0),0))</f>
      </c>
    </row>
    <row r="214" spans="1:4">
      <c r="A214">
        <v>201</v>
      </c>
      <c r="B214">
        <f>IF(管理!$B201="","",IF(COUNTIFS(管理!$B$4:$B201,管理!$B201,管理!$C$4:$C201,管理!$C201)&gt;1,"⛔重複",""))</f>
      </c>
      <c r="C214">
        <f>IF(管理!$F201="","",MAX(100,ROUNDDOWN($B$5/(管理!$F201*$B$3)/100,0)*100))</f>
      </c>
      <c r="D214">
        <f>IF(OR(管理!$F201="",管理!$U201=""),"",ROUND(管理!$V201-(管理!$F201+管理!$U201)*管理!$G201*$B$7-IF(管理!$C201="売",管理!$F201*管理!$G201*$B$8*管理!$W201/365,0),0))</f>
      </c>
    </row>
    <row r="215" spans="1:4">
      <c r="A215">
        <v>202</v>
      </c>
      <c r="B215">
        <f>IF(管理!$B202="","",IF(COUNTIFS(管理!$B$4:$B202,管理!$B202,管理!$C$4:$C202,管理!$C202)&gt;1,"⛔重複",""))</f>
      </c>
      <c r="C215">
        <f>IF(管理!$F202="","",MAX(100,ROUNDDOWN($B$5/(管理!$F202*$B$3)/100,0)*100))</f>
      </c>
      <c r="D215">
        <f>IF(OR(管理!$F202="",管理!$U202=""),"",ROUND(管理!$V202-(管理!$F202+管理!$U202)*管理!$G202*$B$7-IF(管理!$C202="売",管理!$F202*管理!$G202*$B$8*管理!$W202/365,0),0))</f>
      </c>
    </row>
    <row r="216" spans="1:4">
      <c r="A216">
        <v>203</v>
      </c>
      <c r="B216">
        <f>IF(管理!$B203="","",IF(COUNTIFS(管理!$B$4:$B203,管理!$B203,管理!$C$4:$C203,管理!$C203)&gt;1,"⛔重複",""))</f>
      </c>
      <c r="C216">
        <f>IF(管理!$F203="","",MAX(100,ROUNDDOWN($B$5/(管理!$F203*$B$3)/100,0)*100))</f>
      </c>
      <c r="D216">
        <f>IF(OR(管理!$F203="",管理!$U203=""),"",ROUND(管理!$V203-(管理!$F203+管理!$U203)*管理!$G203*$B$7-IF(管理!$C203="売",管理!$F203*管理!$G203*$B$8*管理!$W203/365,0),0))</f>
      </c>
    </row>
    <row r="217" spans="1:4">
      <c r="A217">
        <v>204</v>
      </c>
      <c r="B217">
        <f>IF(管理!$B204="","",IF(COUNTIFS(管理!$B$4:$B204,管理!$B204,管理!$C$4:$C204,管理!$C204)&gt;1,"⛔重複",""))</f>
      </c>
      <c r="C217">
        <f>IF(管理!$F204="","",MAX(100,ROUNDDOWN($B$5/(管理!$F204*$B$3)/100,0)*100))</f>
      </c>
      <c r="D217">
        <f>IF(OR(管理!$F204="",管理!$U204=""),"",ROUND(管理!$V204-(管理!$F204+管理!$U204)*管理!$G204*$B$7-IF(管理!$C204="売",管理!$F204*管理!$G204*$B$8*管理!$W204/365,0),0))</f>
      </c>
    </row>
    <row r="218" spans="1:4">
      <c r="A218">
        <v>205</v>
      </c>
      <c r="B218">
        <f>IF(管理!$B205="","",IF(COUNTIFS(管理!$B$4:$B205,管理!$B205,管理!$C$4:$C205,管理!$C205)&gt;1,"⛔重複",""))</f>
      </c>
      <c r="C218">
        <f>IF(管理!$F205="","",MAX(100,ROUNDDOWN($B$5/(管理!$F205*$B$3)/100,0)*100))</f>
      </c>
      <c r="D218">
        <f>IF(OR(管理!$F205="",管理!$U205=""),"",ROUND(管理!$V205-(管理!$F205+管理!$U205)*管理!$G205*$B$7-IF(管理!$C205="売",管理!$F205*管理!$G205*$B$8*管理!$W205/365,0),0))</f>
      </c>
    </row>
    <row r="219" spans="1:4">
      <c r="A219">
        <v>206</v>
      </c>
      <c r="B219">
        <f>IF(管理!$B206="","",IF(COUNTIFS(管理!$B$4:$B206,管理!$B206,管理!$C$4:$C206,管理!$C206)&gt;1,"⛔重複",""))</f>
      </c>
      <c r="C219">
        <f>IF(管理!$F206="","",MAX(100,ROUNDDOWN($B$5/(管理!$F206*$B$3)/100,0)*100))</f>
      </c>
      <c r="D219">
        <f>IF(OR(管理!$F206="",管理!$U206=""),"",ROUND(管理!$V206-(管理!$F206+管理!$U206)*管理!$G206*$B$7-IF(管理!$C206="売",管理!$F206*管理!$G206*$B$8*管理!$W206/365,0),0))</f>
      </c>
    </row>
    <row r="220" spans="1:4">
      <c r="A220">
        <v>207</v>
      </c>
      <c r="B220">
        <f>IF(管理!$B207="","",IF(COUNTIFS(管理!$B$4:$B207,管理!$B207,管理!$C$4:$C207,管理!$C207)&gt;1,"⛔重複",""))</f>
      </c>
      <c r="C220">
        <f>IF(管理!$F207="","",MAX(100,ROUNDDOWN($B$5/(管理!$F207*$B$3)/100,0)*100))</f>
      </c>
      <c r="D220">
        <f>IF(OR(管理!$F207="",管理!$U207=""),"",ROUND(管理!$V207-(管理!$F207+管理!$U207)*管理!$G207*$B$7-IF(管理!$C207="売",管理!$F207*管理!$G207*$B$8*管理!$W207/365,0),0))</f>
      </c>
    </row>
    <row r="221" spans="1:4">
      <c r="A221">
        <v>208</v>
      </c>
      <c r="B221">
        <f>IF(管理!$B208="","",IF(COUNTIFS(管理!$B$4:$B208,管理!$B208,管理!$C$4:$C208,管理!$C208)&gt;1,"⛔重複",""))</f>
      </c>
      <c r="C221">
        <f>IF(管理!$F208="","",MAX(100,ROUNDDOWN($B$5/(管理!$F208*$B$3)/100,0)*100))</f>
      </c>
      <c r="D221">
        <f>IF(OR(管理!$F208="",管理!$U208=""),"",ROUND(管理!$V208-(管理!$F208+管理!$U208)*管理!$G208*$B$7-IF(管理!$C208="売",管理!$F208*管理!$G208*$B$8*管理!$W208/365,0),0))</f>
      </c>
    </row>
    <row r="222" spans="1:4">
      <c r="A222">
        <v>209</v>
      </c>
      <c r="B222">
        <f>IF(管理!$B209="","",IF(COUNTIFS(管理!$B$4:$B209,管理!$B209,管理!$C$4:$C209,管理!$C209)&gt;1,"⛔重複",""))</f>
      </c>
      <c r="C222">
        <f>IF(管理!$F209="","",MAX(100,ROUNDDOWN($B$5/(管理!$F209*$B$3)/100,0)*100))</f>
      </c>
      <c r="D222">
        <f>IF(OR(管理!$F209="",管理!$U209=""),"",ROUND(管理!$V209-(管理!$F209+管理!$U209)*管理!$G209*$B$7-IF(管理!$C209="売",管理!$F209*管理!$G209*$B$8*管理!$W209/365,0),0))</f>
      </c>
    </row>
    <row r="223" spans="1:4">
      <c r="A223">
        <v>210</v>
      </c>
      <c r="B223">
        <f>IF(管理!$B210="","",IF(COUNTIFS(管理!$B$4:$B210,管理!$B210,管理!$C$4:$C210,管理!$C210)&gt;1,"⛔重複",""))</f>
      </c>
      <c r="C223">
        <f>IF(管理!$F210="","",MAX(100,ROUNDDOWN($B$5/(管理!$F210*$B$3)/100,0)*100))</f>
      </c>
      <c r="D223">
        <f>IF(OR(管理!$F210="",管理!$U210=""),"",ROUND(管理!$V210-(管理!$F210+管理!$U210)*管理!$G210*$B$7-IF(管理!$C210="売",管理!$F210*管理!$G210*$B$8*管理!$W210/365,0),0))</f>
      </c>
    </row>
    <row r="224" spans="1:4">
      <c r="A224">
        <v>211</v>
      </c>
      <c r="B224">
        <f>IF(管理!$B211="","",IF(COUNTIFS(管理!$B$4:$B211,管理!$B211,管理!$C$4:$C211,管理!$C211)&gt;1,"⛔重複",""))</f>
      </c>
      <c r="C224">
        <f>IF(管理!$F211="","",MAX(100,ROUNDDOWN($B$5/(管理!$F211*$B$3)/100,0)*100))</f>
      </c>
      <c r="D224">
        <f>IF(OR(管理!$F211="",管理!$U211=""),"",ROUND(管理!$V211-(管理!$F211+管理!$U211)*管理!$G211*$B$7-IF(管理!$C211="売",管理!$F211*管理!$G211*$B$8*管理!$W211/365,0),0))</f>
      </c>
    </row>
    <row r="225" spans="1:4">
      <c r="A225">
        <v>212</v>
      </c>
      <c r="B225">
        <f>IF(管理!$B212="","",IF(COUNTIFS(管理!$B$4:$B212,管理!$B212,管理!$C$4:$C212,管理!$C212)&gt;1,"⛔重複",""))</f>
      </c>
      <c r="C225">
        <f>IF(管理!$F212="","",MAX(100,ROUNDDOWN($B$5/(管理!$F212*$B$3)/100,0)*100))</f>
      </c>
      <c r="D225">
        <f>IF(OR(管理!$F212="",管理!$U212=""),"",ROUND(管理!$V212-(管理!$F212+管理!$U212)*管理!$G212*$B$7-IF(管理!$C212="売",管理!$F212*管理!$G212*$B$8*管理!$W212/365,0),0))</f>
      </c>
    </row>
    <row r="226" spans="1:4">
      <c r="A226">
        <v>213</v>
      </c>
      <c r="B226">
        <f>IF(管理!$B213="","",IF(COUNTIFS(管理!$B$4:$B213,管理!$B213,管理!$C$4:$C213,管理!$C213)&gt;1,"⛔重複",""))</f>
      </c>
      <c r="C226">
        <f>IF(管理!$F213="","",MAX(100,ROUNDDOWN($B$5/(管理!$F213*$B$3)/100,0)*100))</f>
      </c>
      <c r="D226">
        <f>IF(OR(管理!$F213="",管理!$U213=""),"",ROUND(管理!$V213-(管理!$F213+管理!$U213)*管理!$G213*$B$7-IF(管理!$C213="売",管理!$F213*管理!$G213*$B$8*管理!$W213/365,0),0))</f>
      </c>
    </row>
    <row r="227" spans="1:4">
      <c r="A227">
        <v>214</v>
      </c>
      <c r="B227">
        <f>IF(管理!$B214="","",IF(COUNTIFS(管理!$B$4:$B214,管理!$B214,管理!$C$4:$C214,管理!$C214)&gt;1,"⛔重複",""))</f>
      </c>
      <c r="C227">
        <f>IF(管理!$F214="","",MAX(100,ROUNDDOWN($B$5/(管理!$F214*$B$3)/100,0)*100))</f>
      </c>
      <c r="D227">
        <f>IF(OR(管理!$F214="",管理!$U214=""),"",ROUND(管理!$V214-(管理!$F214+管理!$U214)*管理!$G214*$B$7-IF(管理!$C214="売",管理!$F214*管理!$G214*$B$8*管理!$W214/365,0),0))</f>
      </c>
    </row>
    <row r="228" spans="1:4">
      <c r="A228">
        <v>215</v>
      </c>
      <c r="B228">
        <f>IF(管理!$B215="","",IF(COUNTIFS(管理!$B$4:$B215,管理!$B215,管理!$C$4:$C215,管理!$C215)&gt;1,"⛔重複",""))</f>
      </c>
      <c r="C228">
        <f>IF(管理!$F215="","",MAX(100,ROUNDDOWN($B$5/(管理!$F215*$B$3)/100,0)*100))</f>
      </c>
      <c r="D228">
        <f>IF(OR(管理!$F215="",管理!$U215=""),"",ROUND(管理!$V215-(管理!$F215+管理!$U215)*管理!$G215*$B$7-IF(管理!$C215="売",管理!$F215*管理!$G215*$B$8*管理!$W215/365,0),0))</f>
      </c>
    </row>
    <row r="229" spans="1:4">
      <c r="A229">
        <v>216</v>
      </c>
      <c r="B229">
        <f>IF(管理!$B216="","",IF(COUNTIFS(管理!$B$4:$B216,管理!$B216,管理!$C$4:$C216,管理!$C216)&gt;1,"⛔重複",""))</f>
      </c>
      <c r="C229">
        <f>IF(管理!$F216="","",MAX(100,ROUNDDOWN($B$5/(管理!$F216*$B$3)/100,0)*100))</f>
      </c>
      <c r="D229">
        <f>IF(OR(管理!$F216="",管理!$U216=""),"",ROUND(管理!$V216-(管理!$F216+管理!$U216)*管理!$G216*$B$7-IF(管理!$C216="売",管理!$F216*管理!$G216*$B$8*管理!$W216/365,0),0))</f>
      </c>
    </row>
    <row r="230" spans="1:4">
      <c r="A230">
        <v>217</v>
      </c>
      <c r="B230">
        <f>IF(管理!$B217="","",IF(COUNTIFS(管理!$B$4:$B217,管理!$B217,管理!$C$4:$C217,管理!$C217)&gt;1,"⛔重複",""))</f>
      </c>
      <c r="C230">
        <f>IF(管理!$F217="","",MAX(100,ROUNDDOWN($B$5/(管理!$F217*$B$3)/100,0)*100))</f>
      </c>
      <c r="D230">
        <f>IF(OR(管理!$F217="",管理!$U217=""),"",ROUND(管理!$V217-(管理!$F217+管理!$U217)*管理!$G217*$B$7-IF(管理!$C217="売",管理!$F217*管理!$G217*$B$8*管理!$W217/365,0),0))</f>
      </c>
    </row>
    <row r="231" spans="1:4">
      <c r="A231">
        <v>218</v>
      </c>
      <c r="B231">
        <f>IF(管理!$B218="","",IF(COUNTIFS(管理!$B$4:$B218,管理!$B218,管理!$C$4:$C218,管理!$C218)&gt;1,"⛔重複",""))</f>
      </c>
      <c r="C231">
        <f>IF(管理!$F218="","",MAX(100,ROUNDDOWN($B$5/(管理!$F218*$B$3)/100,0)*100))</f>
      </c>
      <c r="D231">
        <f>IF(OR(管理!$F218="",管理!$U218=""),"",ROUND(管理!$V218-(管理!$F218+管理!$U218)*管理!$G218*$B$7-IF(管理!$C218="売",管理!$F218*管理!$G218*$B$8*管理!$W218/365,0),0))</f>
      </c>
    </row>
    <row r="232" spans="1:4">
      <c r="A232">
        <v>219</v>
      </c>
      <c r="B232">
        <f>IF(管理!$B219="","",IF(COUNTIFS(管理!$B$4:$B219,管理!$B219,管理!$C$4:$C219,管理!$C219)&gt;1,"⛔重複",""))</f>
      </c>
      <c r="C232">
        <f>IF(管理!$F219="","",MAX(100,ROUNDDOWN($B$5/(管理!$F219*$B$3)/100,0)*100))</f>
      </c>
      <c r="D232">
        <f>IF(OR(管理!$F219="",管理!$U219=""),"",ROUND(管理!$V219-(管理!$F219+管理!$U219)*管理!$G219*$B$7-IF(管理!$C219="売",管理!$F219*管理!$G219*$B$8*管理!$W219/365,0),0))</f>
      </c>
    </row>
    <row r="233" spans="1:4">
      <c r="A233">
        <v>220</v>
      </c>
      <c r="B233">
        <f>IF(管理!$B220="","",IF(COUNTIFS(管理!$B$4:$B220,管理!$B220,管理!$C$4:$C220,管理!$C220)&gt;1,"⛔重複",""))</f>
      </c>
      <c r="C233">
        <f>IF(管理!$F220="","",MAX(100,ROUNDDOWN($B$5/(管理!$F220*$B$3)/100,0)*100))</f>
      </c>
      <c r="D233">
        <f>IF(OR(管理!$F220="",管理!$U220=""),"",ROUND(管理!$V220-(管理!$F220+管理!$U220)*管理!$G220*$B$7-IF(管理!$C220="売",管理!$F220*管理!$G220*$B$8*管理!$W220/365,0),0))</f>
      </c>
    </row>
    <row r="234" spans="1:4">
      <c r="A234">
        <v>221</v>
      </c>
      <c r="B234">
        <f>IF(管理!$B221="","",IF(COUNTIFS(管理!$B$4:$B221,管理!$B221,管理!$C$4:$C221,管理!$C221)&gt;1,"⛔重複",""))</f>
      </c>
      <c r="C234">
        <f>IF(管理!$F221="","",MAX(100,ROUNDDOWN($B$5/(管理!$F221*$B$3)/100,0)*100))</f>
      </c>
      <c r="D234">
        <f>IF(OR(管理!$F221="",管理!$U221=""),"",ROUND(管理!$V221-(管理!$F221+管理!$U221)*管理!$G221*$B$7-IF(管理!$C221="売",管理!$F221*管理!$G221*$B$8*管理!$W221/365,0),0))</f>
      </c>
    </row>
    <row r="235" spans="1:4">
      <c r="A235">
        <v>222</v>
      </c>
      <c r="B235">
        <f>IF(管理!$B222="","",IF(COUNTIFS(管理!$B$4:$B222,管理!$B222,管理!$C$4:$C222,管理!$C222)&gt;1,"⛔重複",""))</f>
      </c>
      <c r="C235">
        <f>IF(管理!$F222="","",MAX(100,ROUNDDOWN($B$5/(管理!$F222*$B$3)/100,0)*100))</f>
      </c>
      <c r="D235">
        <f>IF(OR(管理!$F222="",管理!$U222=""),"",ROUND(管理!$V222-(管理!$F222+管理!$U222)*管理!$G222*$B$7-IF(管理!$C222="売",管理!$F222*管理!$G222*$B$8*管理!$W222/365,0),0))</f>
      </c>
    </row>
    <row r="236" spans="1:4">
      <c r="A236">
        <v>223</v>
      </c>
      <c r="B236">
        <f>IF(管理!$B223="","",IF(COUNTIFS(管理!$B$4:$B223,管理!$B223,管理!$C$4:$C223,管理!$C223)&gt;1,"⛔重複",""))</f>
      </c>
      <c r="C236">
        <f>IF(管理!$F223="","",MAX(100,ROUNDDOWN($B$5/(管理!$F223*$B$3)/100,0)*100))</f>
      </c>
      <c r="D236">
        <f>IF(OR(管理!$F223="",管理!$U223=""),"",ROUND(管理!$V223-(管理!$F223+管理!$U223)*管理!$G223*$B$7-IF(管理!$C223="売",管理!$F223*管理!$G223*$B$8*管理!$W223/365,0),0))</f>
      </c>
    </row>
    <row r="237" spans="1:4">
      <c r="A237">
        <v>224</v>
      </c>
      <c r="B237">
        <f>IF(管理!$B224="","",IF(COUNTIFS(管理!$B$4:$B224,管理!$B224,管理!$C$4:$C224,管理!$C224)&gt;1,"⛔重複",""))</f>
      </c>
      <c r="C237">
        <f>IF(管理!$F224="","",MAX(100,ROUNDDOWN($B$5/(管理!$F224*$B$3)/100,0)*100))</f>
      </c>
      <c r="D237">
        <f>IF(OR(管理!$F224="",管理!$U224=""),"",ROUND(管理!$V224-(管理!$F224+管理!$U224)*管理!$G224*$B$7-IF(管理!$C224="売",管理!$F224*管理!$G224*$B$8*管理!$W224/365,0),0))</f>
      </c>
    </row>
    <row r="238" spans="1:4">
      <c r="A238">
        <v>225</v>
      </c>
      <c r="B238">
        <f>IF(管理!$B225="","",IF(COUNTIFS(管理!$B$4:$B225,管理!$B225,管理!$C$4:$C225,管理!$C225)&gt;1,"⛔重複",""))</f>
      </c>
      <c r="C238">
        <f>IF(管理!$F225="","",MAX(100,ROUNDDOWN($B$5/(管理!$F225*$B$3)/100,0)*100))</f>
      </c>
      <c r="D238">
        <f>IF(OR(管理!$F225="",管理!$U225=""),"",ROUND(管理!$V225-(管理!$F225+管理!$U225)*管理!$G225*$B$7-IF(管理!$C225="売",管理!$F225*管理!$G225*$B$8*管理!$W225/365,0),0))</f>
      </c>
    </row>
    <row r="239" spans="1:4">
      <c r="A239">
        <v>226</v>
      </c>
      <c r="B239">
        <f>IF(管理!$B226="","",IF(COUNTIFS(管理!$B$4:$B226,管理!$B226,管理!$C$4:$C226,管理!$C226)&gt;1,"⛔重複",""))</f>
      </c>
      <c r="C239">
        <f>IF(管理!$F226="","",MAX(100,ROUNDDOWN($B$5/(管理!$F226*$B$3)/100,0)*100))</f>
      </c>
      <c r="D239">
        <f>IF(OR(管理!$F226="",管理!$U226=""),"",ROUND(管理!$V226-(管理!$F226+管理!$U226)*管理!$G226*$B$7-IF(管理!$C226="売",管理!$F226*管理!$G226*$B$8*管理!$W226/365,0),0))</f>
      </c>
    </row>
    <row r="240" spans="1:4">
      <c r="A240">
        <v>227</v>
      </c>
      <c r="B240">
        <f>IF(管理!$B227="","",IF(COUNTIFS(管理!$B$4:$B227,管理!$B227,管理!$C$4:$C227,管理!$C227)&gt;1,"⛔重複",""))</f>
      </c>
      <c r="C240">
        <f>IF(管理!$F227="","",MAX(100,ROUNDDOWN($B$5/(管理!$F227*$B$3)/100,0)*100))</f>
      </c>
      <c r="D240">
        <f>IF(OR(管理!$F227="",管理!$U227=""),"",ROUND(管理!$V227-(管理!$F227+管理!$U227)*管理!$G227*$B$7-IF(管理!$C227="売",管理!$F227*管理!$G227*$B$8*管理!$W227/365,0),0))</f>
      </c>
    </row>
    <row r="241" spans="1:4">
      <c r="A241">
        <v>228</v>
      </c>
      <c r="B241">
        <f>IF(管理!$B228="","",IF(COUNTIFS(管理!$B$4:$B228,管理!$B228,管理!$C$4:$C228,管理!$C228)&gt;1,"⛔重複",""))</f>
      </c>
      <c r="C241">
        <f>IF(管理!$F228="","",MAX(100,ROUNDDOWN($B$5/(管理!$F228*$B$3)/100,0)*100))</f>
      </c>
      <c r="D241">
        <f>IF(OR(管理!$F228="",管理!$U228=""),"",ROUND(管理!$V228-(管理!$F228+管理!$U228)*管理!$G228*$B$7-IF(管理!$C228="売",管理!$F228*管理!$G228*$B$8*管理!$W228/365,0),0))</f>
      </c>
    </row>
    <row r="242" spans="1:4">
      <c r="A242">
        <v>229</v>
      </c>
      <c r="B242">
        <f>IF(管理!$B229="","",IF(COUNTIFS(管理!$B$4:$B229,管理!$B229,管理!$C$4:$C229,管理!$C229)&gt;1,"⛔重複",""))</f>
      </c>
      <c r="C242">
        <f>IF(管理!$F229="","",MAX(100,ROUNDDOWN($B$5/(管理!$F229*$B$3)/100,0)*100))</f>
      </c>
      <c r="D242">
        <f>IF(OR(管理!$F229="",管理!$U229=""),"",ROUND(管理!$V229-(管理!$F229+管理!$U229)*管理!$G229*$B$7-IF(管理!$C229="売",管理!$F229*管理!$G229*$B$8*管理!$W229/365,0),0))</f>
      </c>
    </row>
    <row r="243" spans="1:4">
      <c r="A243">
        <v>230</v>
      </c>
      <c r="B243">
        <f>IF(管理!$B230="","",IF(COUNTIFS(管理!$B$4:$B230,管理!$B230,管理!$C$4:$C230,管理!$C230)&gt;1,"⛔重複",""))</f>
      </c>
      <c r="C243">
        <f>IF(管理!$F230="","",MAX(100,ROUNDDOWN($B$5/(管理!$F230*$B$3)/100,0)*100))</f>
      </c>
      <c r="D243">
        <f>IF(OR(管理!$F230="",管理!$U230=""),"",ROUND(管理!$V230-(管理!$F230+管理!$U230)*管理!$G230*$B$7-IF(管理!$C230="売",管理!$F230*管理!$G230*$B$8*管理!$W230/365,0),0))</f>
      </c>
    </row>
    <row r="244" spans="1:4">
      <c r="A244">
        <v>231</v>
      </c>
      <c r="B244">
        <f>IF(管理!$B231="","",IF(COUNTIFS(管理!$B$4:$B231,管理!$B231,管理!$C$4:$C231,管理!$C231)&gt;1,"⛔重複",""))</f>
      </c>
      <c r="C244">
        <f>IF(管理!$F231="","",MAX(100,ROUNDDOWN($B$5/(管理!$F231*$B$3)/100,0)*100))</f>
      </c>
      <c r="D244">
        <f>IF(OR(管理!$F231="",管理!$U231=""),"",ROUND(管理!$V231-(管理!$F231+管理!$U231)*管理!$G231*$B$7-IF(管理!$C231="売",管理!$F231*管理!$G231*$B$8*管理!$W231/365,0),0))</f>
      </c>
    </row>
    <row r="245" spans="1:4">
      <c r="A245">
        <v>232</v>
      </c>
      <c r="B245">
        <f>IF(管理!$B232="","",IF(COUNTIFS(管理!$B$4:$B232,管理!$B232,管理!$C$4:$C232,管理!$C232)&gt;1,"⛔重複",""))</f>
      </c>
      <c r="C245">
        <f>IF(管理!$F232="","",MAX(100,ROUNDDOWN($B$5/(管理!$F232*$B$3)/100,0)*100))</f>
      </c>
      <c r="D245">
        <f>IF(OR(管理!$F232="",管理!$U232=""),"",ROUND(管理!$V232-(管理!$F232+管理!$U232)*管理!$G232*$B$7-IF(管理!$C232="売",管理!$F232*管理!$G232*$B$8*管理!$W232/365,0),0))</f>
      </c>
    </row>
    <row r="246" spans="1:4">
      <c r="A246">
        <v>233</v>
      </c>
      <c r="B246">
        <f>IF(管理!$B233="","",IF(COUNTIFS(管理!$B$4:$B233,管理!$B233,管理!$C$4:$C233,管理!$C233)&gt;1,"⛔重複",""))</f>
      </c>
      <c r="C246">
        <f>IF(管理!$F233="","",MAX(100,ROUNDDOWN($B$5/(管理!$F233*$B$3)/100,0)*100))</f>
      </c>
      <c r="D246">
        <f>IF(OR(管理!$F233="",管理!$U233=""),"",ROUND(管理!$V233-(管理!$F233+管理!$U233)*管理!$G233*$B$7-IF(管理!$C233="売",管理!$F233*管理!$G233*$B$8*管理!$W233/365,0),0))</f>
      </c>
    </row>
    <row r="247" spans="1:4">
      <c r="A247">
        <v>234</v>
      </c>
      <c r="B247">
        <f>IF(管理!$B234="","",IF(COUNTIFS(管理!$B$4:$B234,管理!$B234,管理!$C$4:$C234,管理!$C234)&gt;1,"⛔重複",""))</f>
      </c>
      <c r="C247">
        <f>IF(管理!$F234="","",MAX(100,ROUNDDOWN($B$5/(管理!$F234*$B$3)/100,0)*100))</f>
      </c>
      <c r="D247">
        <f>IF(OR(管理!$F234="",管理!$U234=""),"",ROUND(管理!$V234-(管理!$F234+管理!$U234)*管理!$G234*$B$7-IF(管理!$C234="売",管理!$F234*管理!$G234*$B$8*管理!$W234/365,0),0))</f>
      </c>
    </row>
    <row r="248" spans="1:4">
      <c r="A248">
        <v>235</v>
      </c>
      <c r="B248">
        <f>IF(管理!$B235="","",IF(COUNTIFS(管理!$B$4:$B235,管理!$B235,管理!$C$4:$C235,管理!$C235)&gt;1,"⛔重複",""))</f>
      </c>
      <c r="C248">
        <f>IF(管理!$F235="","",MAX(100,ROUNDDOWN($B$5/(管理!$F235*$B$3)/100,0)*100))</f>
      </c>
      <c r="D248">
        <f>IF(OR(管理!$F235="",管理!$U235=""),"",ROUND(管理!$V235-(管理!$F235+管理!$U235)*管理!$G235*$B$7-IF(管理!$C235="売",管理!$F235*管理!$G235*$B$8*管理!$W235/365,0),0))</f>
      </c>
    </row>
    <row r="249" spans="1:4">
      <c r="A249">
        <v>236</v>
      </c>
      <c r="B249">
        <f>IF(管理!$B236="","",IF(COUNTIFS(管理!$B$4:$B236,管理!$B236,管理!$C$4:$C236,管理!$C236)&gt;1,"⛔重複",""))</f>
      </c>
      <c r="C249">
        <f>IF(管理!$F236="","",MAX(100,ROUNDDOWN($B$5/(管理!$F236*$B$3)/100,0)*100))</f>
      </c>
      <c r="D249">
        <f>IF(OR(管理!$F236="",管理!$U236=""),"",ROUND(管理!$V236-(管理!$F236+管理!$U236)*管理!$G236*$B$7-IF(管理!$C236="売",管理!$F236*管理!$G236*$B$8*管理!$W236/365,0),0))</f>
      </c>
    </row>
    <row r="250" spans="1:4">
      <c r="A250">
        <v>237</v>
      </c>
      <c r="B250">
        <f>IF(管理!$B237="","",IF(COUNTIFS(管理!$B$4:$B237,管理!$B237,管理!$C$4:$C237,管理!$C237)&gt;1,"⛔重複",""))</f>
      </c>
      <c r="C250">
        <f>IF(管理!$F237="","",MAX(100,ROUNDDOWN($B$5/(管理!$F237*$B$3)/100,0)*100))</f>
      </c>
      <c r="D250">
        <f>IF(OR(管理!$F237="",管理!$U237=""),"",ROUND(管理!$V237-(管理!$F237+管理!$U237)*管理!$G237*$B$7-IF(管理!$C237="売",管理!$F237*管理!$G237*$B$8*管理!$W237/365,0),0))</f>
      </c>
    </row>
    <row r="251" spans="1:4">
      <c r="A251">
        <v>238</v>
      </c>
      <c r="B251">
        <f>IF(管理!$B238="","",IF(COUNTIFS(管理!$B$4:$B238,管理!$B238,管理!$C$4:$C238,管理!$C238)&gt;1,"⛔重複",""))</f>
      </c>
      <c r="C251">
        <f>IF(管理!$F238="","",MAX(100,ROUNDDOWN($B$5/(管理!$F238*$B$3)/100,0)*100))</f>
      </c>
      <c r="D251">
        <f>IF(OR(管理!$F238="",管理!$U238=""),"",ROUND(管理!$V238-(管理!$F238+管理!$U238)*管理!$G238*$B$7-IF(管理!$C238="売",管理!$F238*管理!$G238*$B$8*管理!$W238/365,0),0))</f>
      </c>
    </row>
    <row r="252" spans="1:4">
      <c r="A252">
        <v>239</v>
      </c>
      <c r="B252">
        <f>IF(管理!$B239="","",IF(COUNTIFS(管理!$B$4:$B239,管理!$B239,管理!$C$4:$C239,管理!$C239)&gt;1,"⛔重複",""))</f>
      </c>
      <c r="C252">
        <f>IF(管理!$F239="","",MAX(100,ROUNDDOWN($B$5/(管理!$F239*$B$3)/100,0)*100))</f>
      </c>
      <c r="D252">
        <f>IF(OR(管理!$F239="",管理!$U239=""),"",ROUND(管理!$V239-(管理!$F239+管理!$U239)*管理!$G239*$B$7-IF(管理!$C239="売",管理!$F239*管理!$G239*$B$8*管理!$W239/365,0),0))</f>
      </c>
    </row>
    <row r="253" spans="1:4">
      <c r="A253">
        <v>240</v>
      </c>
      <c r="B253">
        <f>IF(管理!$B240="","",IF(COUNTIFS(管理!$B$4:$B240,管理!$B240,管理!$C$4:$C240,管理!$C240)&gt;1,"⛔重複",""))</f>
      </c>
      <c r="C253">
        <f>IF(管理!$F240="","",MAX(100,ROUNDDOWN($B$5/(管理!$F240*$B$3)/100,0)*100))</f>
      </c>
      <c r="D253">
        <f>IF(OR(管理!$F240="",管理!$U240=""),"",ROUND(管理!$V240-(管理!$F240+管理!$U240)*管理!$G240*$B$7-IF(管理!$C240="売",管理!$F240*管理!$G240*$B$8*管理!$W240/365,0),0))</f>
      </c>
    </row>
    <row r="254" spans="1:4">
      <c r="A254">
        <v>241</v>
      </c>
      <c r="B254">
        <f>IF(管理!$B241="","",IF(COUNTIFS(管理!$B$4:$B241,管理!$B241,管理!$C$4:$C241,管理!$C241)&gt;1,"⛔重複",""))</f>
      </c>
      <c r="C254">
        <f>IF(管理!$F241="","",MAX(100,ROUNDDOWN($B$5/(管理!$F241*$B$3)/100,0)*100))</f>
      </c>
      <c r="D254">
        <f>IF(OR(管理!$F241="",管理!$U241=""),"",ROUND(管理!$V241-(管理!$F241+管理!$U241)*管理!$G241*$B$7-IF(管理!$C241="売",管理!$F241*管理!$G241*$B$8*管理!$W241/365,0),0))</f>
      </c>
    </row>
    <row r="255" spans="1:4">
      <c r="A255">
        <v>242</v>
      </c>
      <c r="B255">
        <f>IF(管理!$B242="","",IF(COUNTIFS(管理!$B$4:$B242,管理!$B242,管理!$C$4:$C242,管理!$C242)&gt;1,"⛔重複",""))</f>
      </c>
      <c r="C255">
        <f>IF(管理!$F242="","",MAX(100,ROUNDDOWN($B$5/(管理!$F242*$B$3)/100,0)*100))</f>
      </c>
      <c r="D255">
        <f>IF(OR(管理!$F242="",管理!$U242=""),"",ROUND(管理!$V242-(管理!$F242+管理!$U242)*管理!$G242*$B$7-IF(管理!$C242="売",管理!$F242*管理!$G242*$B$8*管理!$W242/365,0),0))</f>
      </c>
    </row>
    <row r="256" spans="1:4">
      <c r="A256">
        <v>243</v>
      </c>
      <c r="B256">
        <f>IF(管理!$B243="","",IF(COUNTIFS(管理!$B$4:$B243,管理!$B243,管理!$C$4:$C243,管理!$C243)&gt;1,"⛔重複",""))</f>
      </c>
      <c r="C256">
        <f>IF(管理!$F243="","",MAX(100,ROUNDDOWN($B$5/(管理!$F243*$B$3)/100,0)*100))</f>
      </c>
      <c r="D256">
        <f>IF(OR(管理!$F243="",管理!$U243=""),"",ROUND(管理!$V243-(管理!$F243+管理!$U243)*管理!$G243*$B$7-IF(管理!$C243="売",管理!$F243*管理!$G243*$B$8*管理!$W243/365,0),0))</f>
      </c>
    </row>
    <row r="257" spans="1:4">
      <c r="A257">
        <v>244</v>
      </c>
      <c r="B257">
        <f>IF(管理!$B244="","",IF(COUNTIFS(管理!$B$4:$B244,管理!$B244,管理!$C$4:$C244,管理!$C244)&gt;1,"⛔重複",""))</f>
      </c>
      <c r="C257">
        <f>IF(管理!$F244="","",MAX(100,ROUNDDOWN($B$5/(管理!$F244*$B$3)/100,0)*100))</f>
      </c>
      <c r="D257">
        <f>IF(OR(管理!$F244="",管理!$U244=""),"",ROUND(管理!$V244-(管理!$F244+管理!$U244)*管理!$G244*$B$7-IF(管理!$C244="売",管理!$F244*管理!$G244*$B$8*管理!$W244/365,0),0))</f>
      </c>
    </row>
    <row r="258" spans="1:4">
      <c r="A258">
        <v>245</v>
      </c>
      <c r="B258">
        <f>IF(管理!$B245="","",IF(COUNTIFS(管理!$B$4:$B245,管理!$B245,管理!$C$4:$C245,管理!$C245)&gt;1,"⛔重複",""))</f>
      </c>
      <c r="C258">
        <f>IF(管理!$F245="","",MAX(100,ROUNDDOWN($B$5/(管理!$F245*$B$3)/100,0)*100))</f>
      </c>
      <c r="D258">
        <f>IF(OR(管理!$F245="",管理!$U245=""),"",ROUND(管理!$V245-(管理!$F245+管理!$U245)*管理!$G245*$B$7-IF(管理!$C245="売",管理!$F245*管理!$G245*$B$8*管理!$W245/365,0),0))</f>
      </c>
    </row>
    <row r="259" spans="1:4">
      <c r="A259">
        <v>246</v>
      </c>
      <c r="B259">
        <f>IF(管理!$B246="","",IF(COUNTIFS(管理!$B$4:$B246,管理!$B246,管理!$C$4:$C246,管理!$C246)&gt;1,"⛔重複",""))</f>
      </c>
      <c r="C259">
        <f>IF(管理!$F246="","",MAX(100,ROUNDDOWN($B$5/(管理!$F246*$B$3)/100,0)*100))</f>
      </c>
      <c r="D259">
        <f>IF(OR(管理!$F246="",管理!$U246=""),"",ROUND(管理!$V246-(管理!$F246+管理!$U246)*管理!$G246*$B$7-IF(管理!$C246="売",管理!$F246*管理!$G246*$B$8*管理!$W246/365,0),0))</f>
      </c>
    </row>
    <row r="260" spans="1:4">
      <c r="A260">
        <v>247</v>
      </c>
      <c r="B260">
        <f>IF(管理!$B247="","",IF(COUNTIFS(管理!$B$4:$B247,管理!$B247,管理!$C$4:$C247,管理!$C247)&gt;1,"⛔重複",""))</f>
      </c>
      <c r="C260">
        <f>IF(管理!$F247="","",MAX(100,ROUNDDOWN($B$5/(管理!$F247*$B$3)/100,0)*100))</f>
      </c>
      <c r="D260">
        <f>IF(OR(管理!$F247="",管理!$U247=""),"",ROUND(管理!$V247-(管理!$F247+管理!$U247)*管理!$G247*$B$7-IF(管理!$C247="売",管理!$F247*管理!$G247*$B$8*管理!$W247/365,0),0))</f>
      </c>
    </row>
    <row r="261" spans="1:4">
      <c r="A261">
        <v>248</v>
      </c>
      <c r="B261">
        <f>IF(管理!$B248="","",IF(COUNTIFS(管理!$B$4:$B248,管理!$B248,管理!$C$4:$C248,管理!$C248)&gt;1,"⛔重複",""))</f>
      </c>
      <c r="C261">
        <f>IF(管理!$F248="","",MAX(100,ROUNDDOWN($B$5/(管理!$F248*$B$3)/100,0)*100))</f>
      </c>
      <c r="D261">
        <f>IF(OR(管理!$F248="",管理!$U248=""),"",ROUND(管理!$V248-(管理!$F248+管理!$U248)*管理!$G248*$B$7-IF(管理!$C248="売",管理!$F248*管理!$G248*$B$8*管理!$W248/365,0),0))</f>
      </c>
    </row>
    <row r="262" spans="1:4">
      <c r="A262">
        <v>249</v>
      </c>
      <c r="B262">
        <f>IF(管理!$B249="","",IF(COUNTIFS(管理!$B$4:$B249,管理!$B249,管理!$C$4:$C249,管理!$C249)&gt;1,"⛔重複",""))</f>
      </c>
      <c r="C262">
        <f>IF(管理!$F249="","",MAX(100,ROUNDDOWN($B$5/(管理!$F249*$B$3)/100,0)*100))</f>
      </c>
      <c r="D262">
        <f>IF(OR(管理!$F249="",管理!$U249=""),"",ROUND(管理!$V249-(管理!$F249+管理!$U249)*管理!$G249*$B$7-IF(管理!$C249="売",管理!$F249*管理!$G249*$B$8*管理!$W249/365,0),0))</f>
      </c>
    </row>
    <row r="263" spans="1:4">
      <c r="A263">
        <v>250</v>
      </c>
      <c r="B263">
        <f>IF(管理!$B250="","",IF(COUNTIFS(管理!$B$4:$B250,管理!$B250,管理!$C$4:$C250,管理!$C250)&gt;1,"⛔重複",""))</f>
      </c>
      <c r="C263">
        <f>IF(管理!$F250="","",MAX(100,ROUNDDOWN($B$5/(管理!$F250*$B$3)/100,0)*100))</f>
      </c>
      <c r="D263">
        <f>IF(OR(管理!$F250="",管理!$U250=""),"",ROUND(管理!$V250-(管理!$F250+管理!$U250)*管理!$G250*$B$7-IF(管理!$C250="売",管理!$F250*管理!$G250*$B$8*管理!$W250/365,0),0))</f>
      </c>
    </row>
    <row r="264" spans="1:4">
      <c r="A264">
        <v>251</v>
      </c>
      <c r="B264">
        <f>IF(管理!$B251="","",IF(COUNTIFS(管理!$B$4:$B251,管理!$B251,管理!$C$4:$C251,管理!$C251)&gt;1,"⛔重複",""))</f>
      </c>
      <c r="C264">
        <f>IF(管理!$F251="","",MAX(100,ROUNDDOWN($B$5/(管理!$F251*$B$3)/100,0)*100))</f>
      </c>
      <c r="D264">
        <f>IF(OR(管理!$F251="",管理!$U251=""),"",ROUND(管理!$V251-(管理!$F251+管理!$U251)*管理!$G251*$B$7-IF(管理!$C251="売",管理!$F251*管理!$G251*$B$8*管理!$W251/365,0),0))</f>
      </c>
    </row>
    <row r="265" spans="1:4">
      <c r="A265">
        <v>252</v>
      </c>
      <c r="B265">
        <f>IF(管理!$B252="","",IF(COUNTIFS(管理!$B$4:$B252,管理!$B252,管理!$C$4:$C252,管理!$C252)&gt;1,"⛔重複",""))</f>
      </c>
      <c r="C265">
        <f>IF(管理!$F252="","",MAX(100,ROUNDDOWN($B$5/(管理!$F252*$B$3)/100,0)*100))</f>
      </c>
      <c r="D265">
        <f>IF(OR(管理!$F252="",管理!$U252=""),"",ROUND(管理!$V252-(管理!$F252+管理!$U252)*管理!$G252*$B$7-IF(管理!$C252="売",管理!$F252*管理!$G252*$B$8*管理!$W252/365,0),0))</f>
      </c>
    </row>
    <row r="266" spans="1:4">
      <c r="A266">
        <v>253</v>
      </c>
      <c r="B266">
        <f>IF(管理!$B253="","",IF(COUNTIFS(管理!$B$4:$B253,管理!$B253,管理!$C$4:$C253,管理!$C253)&gt;1,"⛔重複",""))</f>
      </c>
      <c r="C266">
        <f>IF(管理!$F253="","",MAX(100,ROUNDDOWN($B$5/(管理!$F253*$B$3)/100,0)*100))</f>
      </c>
      <c r="D266">
        <f>IF(OR(管理!$F253="",管理!$U253=""),"",ROUND(管理!$V253-(管理!$F253+管理!$U253)*管理!$G253*$B$7-IF(管理!$C253="売",管理!$F253*管理!$G253*$B$8*管理!$W253/365,0),0))</f>
      </c>
    </row>
    <row r="267" spans="1:4">
      <c r="A267">
        <v>254</v>
      </c>
      <c r="B267">
        <f>IF(管理!$B254="","",IF(COUNTIFS(管理!$B$4:$B254,管理!$B254,管理!$C$4:$C254,管理!$C254)&gt;1,"⛔重複",""))</f>
      </c>
      <c r="C267">
        <f>IF(管理!$F254="","",MAX(100,ROUNDDOWN($B$5/(管理!$F254*$B$3)/100,0)*100))</f>
      </c>
      <c r="D267">
        <f>IF(OR(管理!$F254="",管理!$U254=""),"",ROUND(管理!$V254-(管理!$F254+管理!$U254)*管理!$G254*$B$7-IF(管理!$C254="売",管理!$F254*管理!$G254*$B$8*管理!$W254/365,0),0))</f>
      </c>
    </row>
    <row r="268" spans="1:4">
      <c r="A268">
        <v>255</v>
      </c>
      <c r="B268">
        <f>IF(管理!$B255="","",IF(COUNTIFS(管理!$B$4:$B255,管理!$B255,管理!$C$4:$C255,管理!$C255)&gt;1,"⛔重複",""))</f>
      </c>
      <c r="C268">
        <f>IF(管理!$F255="","",MAX(100,ROUNDDOWN($B$5/(管理!$F255*$B$3)/100,0)*100))</f>
      </c>
      <c r="D268">
        <f>IF(OR(管理!$F255="",管理!$U255=""),"",ROUND(管理!$V255-(管理!$F255+管理!$U255)*管理!$G255*$B$7-IF(管理!$C255="売",管理!$F255*管理!$G255*$B$8*管理!$W255/365,0),0))</f>
      </c>
    </row>
    <row r="269" spans="1:4">
      <c r="A269">
        <v>256</v>
      </c>
      <c r="B269">
        <f>IF(管理!$B256="","",IF(COUNTIFS(管理!$B$4:$B256,管理!$B256,管理!$C$4:$C256,管理!$C256)&gt;1,"⛔重複",""))</f>
      </c>
      <c r="C269">
        <f>IF(管理!$F256="","",MAX(100,ROUNDDOWN($B$5/(管理!$F256*$B$3)/100,0)*100))</f>
      </c>
      <c r="D269">
        <f>IF(OR(管理!$F256="",管理!$U256=""),"",ROUND(管理!$V256-(管理!$F256+管理!$U256)*管理!$G256*$B$7-IF(管理!$C256="売",管理!$F256*管理!$G256*$B$8*管理!$W256/365,0),0))</f>
      </c>
    </row>
    <row r="270" spans="1:4">
      <c r="A270">
        <v>257</v>
      </c>
      <c r="B270">
        <f>IF(管理!$B257="","",IF(COUNTIFS(管理!$B$4:$B257,管理!$B257,管理!$C$4:$C257,管理!$C257)&gt;1,"⛔重複",""))</f>
      </c>
      <c r="C270">
        <f>IF(管理!$F257="","",MAX(100,ROUNDDOWN($B$5/(管理!$F257*$B$3)/100,0)*100))</f>
      </c>
      <c r="D270">
        <f>IF(OR(管理!$F257="",管理!$U257=""),"",ROUND(管理!$V257-(管理!$F257+管理!$U257)*管理!$G257*$B$7-IF(管理!$C257="売",管理!$F257*管理!$G257*$B$8*管理!$W257/365,0),0))</f>
      </c>
    </row>
    <row r="271" spans="1:4">
      <c r="A271">
        <v>258</v>
      </c>
      <c r="B271">
        <f>IF(管理!$B258="","",IF(COUNTIFS(管理!$B$4:$B258,管理!$B258,管理!$C$4:$C258,管理!$C258)&gt;1,"⛔重複",""))</f>
      </c>
      <c r="C271">
        <f>IF(管理!$F258="","",MAX(100,ROUNDDOWN($B$5/(管理!$F258*$B$3)/100,0)*100))</f>
      </c>
      <c r="D271">
        <f>IF(OR(管理!$F258="",管理!$U258=""),"",ROUND(管理!$V258-(管理!$F258+管理!$U258)*管理!$G258*$B$7-IF(管理!$C258="売",管理!$F258*管理!$G258*$B$8*管理!$W258/365,0),0))</f>
      </c>
    </row>
    <row r="272" spans="1:4">
      <c r="A272">
        <v>259</v>
      </c>
      <c r="B272">
        <f>IF(管理!$B259="","",IF(COUNTIFS(管理!$B$4:$B259,管理!$B259,管理!$C$4:$C259,管理!$C259)&gt;1,"⛔重複",""))</f>
      </c>
      <c r="C272">
        <f>IF(管理!$F259="","",MAX(100,ROUNDDOWN($B$5/(管理!$F259*$B$3)/100,0)*100))</f>
      </c>
      <c r="D272">
        <f>IF(OR(管理!$F259="",管理!$U259=""),"",ROUND(管理!$V259-(管理!$F259+管理!$U259)*管理!$G259*$B$7-IF(管理!$C259="売",管理!$F259*管理!$G259*$B$8*管理!$W259/365,0),0))</f>
      </c>
    </row>
    <row r="273" spans="1:4">
      <c r="A273">
        <v>260</v>
      </c>
      <c r="B273">
        <f>IF(管理!$B260="","",IF(COUNTIFS(管理!$B$4:$B260,管理!$B260,管理!$C$4:$C260,管理!$C260)&gt;1,"⛔重複",""))</f>
      </c>
      <c r="C273">
        <f>IF(管理!$F260="","",MAX(100,ROUNDDOWN($B$5/(管理!$F260*$B$3)/100,0)*100))</f>
      </c>
      <c r="D273">
        <f>IF(OR(管理!$F260="",管理!$U260=""),"",ROUND(管理!$V260-(管理!$F260+管理!$U260)*管理!$G260*$B$7-IF(管理!$C260="売",管理!$F260*管理!$G260*$B$8*管理!$W260/365,0),0))</f>
      </c>
    </row>
    <row r="274" spans="1:4">
      <c r="A274">
        <v>261</v>
      </c>
      <c r="B274">
        <f>IF(管理!$B261="","",IF(COUNTIFS(管理!$B$4:$B261,管理!$B261,管理!$C$4:$C261,管理!$C261)&gt;1,"⛔重複",""))</f>
      </c>
      <c r="C274">
        <f>IF(管理!$F261="","",MAX(100,ROUNDDOWN($B$5/(管理!$F261*$B$3)/100,0)*100))</f>
      </c>
      <c r="D274">
        <f>IF(OR(管理!$F261="",管理!$U261=""),"",ROUND(管理!$V261-(管理!$F261+管理!$U261)*管理!$G261*$B$7-IF(管理!$C261="売",管理!$F261*管理!$G261*$B$8*管理!$W261/365,0),0))</f>
      </c>
    </row>
    <row r="275" spans="1:4">
      <c r="A275">
        <v>262</v>
      </c>
      <c r="B275">
        <f>IF(管理!$B262="","",IF(COUNTIFS(管理!$B$4:$B262,管理!$B262,管理!$C$4:$C262,管理!$C262)&gt;1,"⛔重複",""))</f>
      </c>
      <c r="C275">
        <f>IF(管理!$F262="","",MAX(100,ROUNDDOWN($B$5/(管理!$F262*$B$3)/100,0)*100))</f>
      </c>
      <c r="D275">
        <f>IF(OR(管理!$F262="",管理!$U262=""),"",ROUND(管理!$V262-(管理!$F262+管理!$U262)*管理!$G262*$B$7-IF(管理!$C262="売",管理!$F262*管理!$G262*$B$8*管理!$W262/365,0),0))</f>
      </c>
    </row>
    <row r="276" spans="1:4">
      <c r="A276">
        <v>263</v>
      </c>
      <c r="B276">
        <f>IF(管理!$B263="","",IF(COUNTIFS(管理!$B$4:$B263,管理!$B263,管理!$C$4:$C263,管理!$C263)&gt;1,"⛔重複",""))</f>
      </c>
      <c r="C276">
        <f>IF(管理!$F263="","",MAX(100,ROUNDDOWN($B$5/(管理!$F263*$B$3)/100,0)*100))</f>
      </c>
      <c r="D276">
        <f>IF(OR(管理!$F263="",管理!$U263=""),"",ROUND(管理!$V263-(管理!$F263+管理!$U263)*管理!$G263*$B$7-IF(管理!$C263="売",管理!$F263*管理!$G263*$B$8*管理!$W263/365,0),0))</f>
      </c>
    </row>
    <row r="277" spans="1:4">
      <c r="A277">
        <v>264</v>
      </c>
      <c r="B277">
        <f>IF(管理!$B264="","",IF(COUNTIFS(管理!$B$4:$B264,管理!$B264,管理!$C$4:$C264,管理!$C264)&gt;1,"⛔重複",""))</f>
      </c>
      <c r="C277">
        <f>IF(管理!$F264="","",MAX(100,ROUNDDOWN($B$5/(管理!$F264*$B$3)/100,0)*100))</f>
      </c>
      <c r="D277">
        <f>IF(OR(管理!$F264="",管理!$U264=""),"",ROUND(管理!$V264-(管理!$F264+管理!$U264)*管理!$G264*$B$7-IF(管理!$C264="売",管理!$F264*管理!$G264*$B$8*管理!$W264/365,0),0))</f>
      </c>
    </row>
    <row r="278" spans="1:4">
      <c r="A278">
        <v>265</v>
      </c>
      <c r="B278">
        <f>IF(管理!$B265="","",IF(COUNTIFS(管理!$B$4:$B265,管理!$B265,管理!$C$4:$C265,管理!$C265)&gt;1,"⛔重複",""))</f>
      </c>
      <c r="C278">
        <f>IF(管理!$F265="","",MAX(100,ROUNDDOWN($B$5/(管理!$F265*$B$3)/100,0)*100))</f>
      </c>
      <c r="D278">
        <f>IF(OR(管理!$F265="",管理!$U265=""),"",ROUND(管理!$V265-(管理!$F265+管理!$U265)*管理!$G265*$B$7-IF(管理!$C265="売",管理!$F265*管理!$G265*$B$8*管理!$W265/365,0),0))</f>
      </c>
    </row>
    <row r="279" spans="1:4">
      <c r="A279">
        <v>266</v>
      </c>
      <c r="B279">
        <f>IF(管理!$B266="","",IF(COUNTIFS(管理!$B$4:$B266,管理!$B266,管理!$C$4:$C266,管理!$C266)&gt;1,"⛔重複",""))</f>
      </c>
      <c r="C279">
        <f>IF(管理!$F266="","",MAX(100,ROUNDDOWN($B$5/(管理!$F266*$B$3)/100,0)*100))</f>
      </c>
      <c r="D279">
        <f>IF(OR(管理!$F266="",管理!$U266=""),"",ROUND(管理!$V266-(管理!$F266+管理!$U266)*管理!$G266*$B$7-IF(管理!$C266="売",管理!$F266*管理!$G266*$B$8*管理!$W266/365,0),0))</f>
      </c>
    </row>
    <row r="280" spans="1:4">
      <c r="A280">
        <v>267</v>
      </c>
      <c r="B280">
        <f>IF(管理!$B267="","",IF(COUNTIFS(管理!$B$4:$B267,管理!$B267,管理!$C$4:$C267,管理!$C267)&gt;1,"⛔重複",""))</f>
      </c>
      <c r="C280">
        <f>IF(管理!$F267="","",MAX(100,ROUNDDOWN($B$5/(管理!$F267*$B$3)/100,0)*100))</f>
      </c>
      <c r="D280">
        <f>IF(OR(管理!$F267="",管理!$U267=""),"",ROUND(管理!$V267-(管理!$F267+管理!$U267)*管理!$G267*$B$7-IF(管理!$C267="売",管理!$F267*管理!$G267*$B$8*管理!$W267/365,0),0))</f>
      </c>
    </row>
    <row r="281" spans="1:4">
      <c r="A281">
        <v>268</v>
      </c>
      <c r="B281">
        <f>IF(管理!$B268="","",IF(COUNTIFS(管理!$B$4:$B268,管理!$B268,管理!$C$4:$C268,管理!$C268)&gt;1,"⛔重複",""))</f>
      </c>
      <c r="C281">
        <f>IF(管理!$F268="","",MAX(100,ROUNDDOWN($B$5/(管理!$F268*$B$3)/100,0)*100))</f>
      </c>
      <c r="D281">
        <f>IF(OR(管理!$F268="",管理!$U268=""),"",ROUND(管理!$V268-(管理!$F268+管理!$U268)*管理!$G268*$B$7-IF(管理!$C268="売",管理!$F268*管理!$G268*$B$8*管理!$W268/365,0),0))</f>
      </c>
    </row>
    <row r="282" spans="1:4">
      <c r="A282">
        <v>269</v>
      </c>
      <c r="B282">
        <f>IF(管理!$B269="","",IF(COUNTIFS(管理!$B$4:$B269,管理!$B269,管理!$C$4:$C269,管理!$C269)&gt;1,"⛔重複",""))</f>
      </c>
      <c r="C282">
        <f>IF(管理!$F269="","",MAX(100,ROUNDDOWN($B$5/(管理!$F269*$B$3)/100,0)*100))</f>
      </c>
      <c r="D282">
        <f>IF(OR(管理!$F269="",管理!$U269=""),"",ROUND(管理!$V269-(管理!$F269+管理!$U269)*管理!$G269*$B$7-IF(管理!$C269="売",管理!$F269*管理!$G269*$B$8*管理!$W269/365,0),0))</f>
      </c>
    </row>
    <row r="283" spans="1:4">
      <c r="A283">
        <v>270</v>
      </c>
      <c r="B283">
        <f>IF(管理!$B270="","",IF(COUNTIFS(管理!$B$4:$B270,管理!$B270,管理!$C$4:$C270,管理!$C270)&gt;1,"⛔重複",""))</f>
      </c>
      <c r="C283">
        <f>IF(管理!$F270="","",MAX(100,ROUNDDOWN($B$5/(管理!$F270*$B$3)/100,0)*100))</f>
      </c>
      <c r="D283">
        <f>IF(OR(管理!$F270="",管理!$U270=""),"",ROUND(管理!$V270-(管理!$F270+管理!$U270)*管理!$G270*$B$7-IF(管理!$C270="売",管理!$F270*管理!$G270*$B$8*管理!$W270/365,0),0))</f>
      </c>
    </row>
    <row r="284" spans="1:4">
      <c r="A284">
        <v>271</v>
      </c>
      <c r="B284">
        <f>IF(管理!$B271="","",IF(COUNTIFS(管理!$B$4:$B271,管理!$B271,管理!$C$4:$C271,管理!$C271)&gt;1,"⛔重複",""))</f>
      </c>
      <c r="C284">
        <f>IF(管理!$F271="","",MAX(100,ROUNDDOWN($B$5/(管理!$F271*$B$3)/100,0)*100))</f>
      </c>
      <c r="D284">
        <f>IF(OR(管理!$F271="",管理!$U271=""),"",ROUND(管理!$V271-(管理!$F271+管理!$U271)*管理!$G271*$B$7-IF(管理!$C271="売",管理!$F271*管理!$G271*$B$8*管理!$W271/365,0),0))</f>
      </c>
    </row>
    <row r="285" spans="1:4">
      <c r="A285">
        <v>272</v>
      </c>
      <c r="B285">
        <f>IF(管理!$B272="","",IF(COUNTIFS(管理!$B$4:$B272,管理!$B272,管理!$C$4:$C272,管理!$C272)&gt;1,"⛔重複",""))</f>
      </c>
      <c r="C285">
        <f>IF(管理!$F272="","",MAX(100,ROUNDDOWN($B$5/(管理!$F272*$B$3)/100,0)*100))</f>
      </c>
      <c r="D285">
        <f>IF(OR(管理!$F272="",管理!$U272=""),"",ROUND(管理!$V272-(管理!$F272+管理!$U272)*管理!$G272*$B$7-IF(管理!$C272="売",管理!$F272*管理!$G272*$B$8*管理!$W272/365,0),0))</f>
      </c>
    </row>
    <row r="286" spans="1:4">
      <c r="A286">
        <v>273</v>
      </c>
      <c r="B286">
        <f>IF(管理!$B273="","",IF(COUNTIFS(管理!$B$4:$B273,管理!$B273,管理!$C$4:$C273,管理!$C273)&gt;1,"⛔重複",""))</f>
      </c>
      <c r="C286">
        <f>IF(管理!$F273="","",MAX(100,ROUNDDOWN($B$5/(管理!$F273*$B$3)/100,0)*100))</f>
      </c>
      <c r="D286">
        <f>IF(OR(管理!$F273="",管理!$U273=""),"",ROUND(管理!$V273-(管理!$F273+管理!$U273)*管理!$G273*$B$7-IF(管理!$C273="売",管理!$F273*管理!$G273*$B$8*管理!$W273/365,0),0))</f>
      </c>
    </row>
    <row r="287" spans="1:4">
      <c r="A287">
        <v>274</v>
      </c>
      <c r="B287">
        <f>IF(管理!$B274="","",IF(COUNTIFS(管理!$B$4:$B274,管理!$B274,管理!$C$4:$C274,管理!$C274)&gt;1,"⛔重複",""))</f>
      </c>
      <c r="C287">
        <f>IF(管理!$F274="","",MAX(100,ROUNDDOWN($B$5/(管理!$F274*$B$3)/100,0)*100))</f>
      </c>
      <c r="D287">
        <f>IF(OR(管理!$F274="",管理!$U274=""),"",ROUND(管理!$V274-(管理!$F274+管理!$U274)*管理!$G274*$B$7-IF(管理!$C274="売",管理!$F274*管理!$G274*$B$8*管理!$W274/365,0),0))</f>
      </c>
    </row>
    <row r="288" spans="1:4">
      <c r="A288">
        <v>275</v>
      </c>
      <c r="B288">
        <f>IF(管理!$B275="","",IF(COUNTIFS(管理!$B$4:$B275,管理!$B275,管理!$C$4:$C275,管理!$C275)&gt;1,"⛔重複",""))</f>
      </c>
      <c r="C288">
        <f>IF(管理!$F275="","",MAX(100,ROUNDDOWN($B$5/(管理!$F275*$B$3)/100,0)*100))</f>
      </c>
      <c r="D288">
        <f>IF(OR(管理!$F275="",管理!$U275=""),"",ROUND(管理!$V275-(管理!$F275+管理!$U275)*管理!$G275*$B$7-IF(管理!$C275="売",管理!$F275*管理!$G275*$B$8*管理!$W275/365,0),0))</f>
      </c>
    </row>
    <row r="289" spans="1:4">
      <c r="A289">
        <v>276</v>
      </c>
      <c r="B289">
        <f>IF(管理!$B276="","",IF(COUNTIFS(管理!$B$4:$B276,管理!$B276,管理!$C$4:$C276,管理!$C276)&gt;1,"⛔重複",""))</f>
      </c>
      <c r="C289">
        <f>IF(管理!$F276="","",MAX(100,ROUNDDOWN($B$5/(管理!$F276*$B$3)/100,0)*100))</f>
      </c>
      <c r="D289">
        <f>IF(OR(管理!$F276="",管理!$U276=""),"",ROUND(管理!$V276-(管理!$F276+管理!$U276)*管理!$G276*$B$7-IF(管理!$C276="売",管理!$F276*管理!$G276*$B$8*管理!$W276/365,0),0))</f>
      </c>
    </row>
    <row r="290" spans="1:4">
      <c r="A290">
        <v>277</v>
      </c>
      <c r="B290">
        <f>IF(管理!$B277="","",IF(COUNTIFS(管理!$B$4:$B277,管理!$B277,管理!$C$4:$C277,管理!$C277)&gt;1,"⛔重複",""))</f>
      </c>
      <c r="C290">
        <f>IF(管理!$F277="","",MAX(100,ROUNDDOWN($B$5/(管理!$F277*$B$3)/100,0)*100))</f>
      </c>
      <c r="D290">
        <f>IF(OR(管理!$F277="",管理!$U277=""),"",ROUND(管理!$V277-(管理!$F277+管理!$U277)*管理!$G277*$B$7-IF(管理!$C277="売",管理!$F277*管理!$G277*$B$8*管理!$W277/365,0),0))</f>
      </c>
    </row>
    <row r="291" spans="1:4">
      <c r="A291">
        <v>278</v>
      </c>
      <c r="B291">
        <f>IF(管理!$B278="","",IF(COUNTIFS(管理!$B$4:$B278,管理!$B278,管理!$C$4:$C278,管理!$C278)&gt;1,"⛔重複",""))</f>
      </c>
      <c r="C291">
        <f>IF(管理!$F278="","",MAX(100,ROUNDDOWN($B$5/(管理!$F278*$B$3)/100,0)*100))</f>
      </c>
      <c r="D291">
        <f>IF(OR(管理!$F278="",管理!$U278=""),"",ROUND(管理!$V278-(管理!$F278+管理!$U278)*管理!$G278*$B$7-IF(管理!$C278="売",管理!$F278*管理!$G278*$B$8*管理!$W278/365,0),0))</f>
      </c>
    </row>
    <row r="292" spans="1:4">
      <c r="A292">
        <v>279</v>
      </c>
      <c r="B292">
        <f>IF(管理!$B279="","",IF(COUNTIFS(管理!$B$4:$B279,管理!$B279,管理!$C$4:$C279,管理!$C279)&gt;1,"⛔重複",""))</f>
      </c>
      <c r="C292">
        <f>IF(管理!$F279="","",MAX(100,ROUNDDOWN($B$5/(管理!$F279*$B$3)/100,0)*100))</f>
      </c>
      <c r="D292">
        <f>IF(OR(管理!$F279="",管理!$U279=""),"",ROUND(管理!$V279-(管理!$F279+管理!$U279)*管理!$G279*$B$7-IF(管理!$C279="売",管理!$F279*管理!$G279*$B$8*管理!$W279/365,0),0))</f>
      </c>
    </row>
    <row r="293" spans="1:4">
      <c r="A293">
        <v>280</v>
      </c>
      <c r="B293">
        <f>IF(管理!$B280="","",IF(COUNTIFS(管理!$B$4:$B280,管理!$B280,管理!$C$4:$C280,管理!$C280)&gt;1,"⛔重複",""))</f>
      </c>
      <c r="C293">
        <f>IF(管理!$F280="","",MAX(100,ROUNDDOWN($B$5/(管理!$F280*$B$3)/100,0)*100))</f>
      </c>
      <c r="D293">
        <f>IF(OR(管理!$F280="",管理!$U280=""),"",ROUND(管理!$V280-(管理!$F280+管理!$U280)*管理!$G280*$B$7-IF(管理!$C280="売",管理!$F280*管理!$G280*$B$8*管理!$W280/365,0),0))</f>
      </c>
    </row>
    <row r="294" spans="1:4">
      <c r="A294">
        <v>281</v>
      </c>
      <c r="B294">
        <f>IF(管理!$B281="","",IF(COUNTIFS(管理!$B$4:$B281,管理!$B281,管理!$C$4:$C281,管理!$C281)&gt;1,"⛔重複",""))</f>
      </c>
      <c r="C294">
        <f>IF(管理!$F281="","",MAX(100,ROUNDDOWN($B$5/(管理!$F281*$B$3)/100,0)*100))</f>
      </c>
      <c r="D294">
        <f>IF(OR(管理!$F281="",管理!$U281=""),"",ROUND(管理!$V281-(管理!$F281+管理!$U281)*管理!$G281*$B$7-IF(管理!$C281="売",管理!$F281*管理!$G281*$B$8*管理!$W281/365,0),0))</f>
      </c>
    </row>
    <row r="295" spans="1:4">
      <c r="A295">
        <v>282</v>
      </c>
      <c r="B295">
        <f>IF(管理!$B282="","",IF(COUNTIFS(管理!$B$4:$B282,管理!$B282,管理!$C$4:$C282,管理!$C282)&gt;1,"⛔重複",""))</f>
      </c>
      <c r="C295">
        <f>IF(管理!$F282="","",MAX(100,ROUNDDOWN($B$5/(管理!$F282*$B$3)/100,0)*100))</f>
      </c>
      <c r="D295">
        <f>IF(OR(管理!$F282="",管理!$U282=""),"",ROUND(管理!$V282-(管理!$F282+管理!$U282)*管理!$G282*$B$7-IF(管理!$C282="売",管理!$F282*管理!$G282*$B$8*管理!$W282/365,0),0))</f>
      </c>
    </row>
    <row r="296" spans="1:4">
      <c r="A296">
        <v>283</v>
      </c>
      <c r="B296">
        <f>IF(管理!$B283="","",IF(COUNTIFS(管理!$B$4:$B283,管理!$B283,管理!$C$4:$C283,管理!$C283)&gt;1,"⛔重複",""))</f>
      </c>
      <c r="C296">
        <f>IF(管理!$F283="","",MAX(100,ROUNDDOWN($B$5/(管理!$F283*$B$3)/100,0)*100))</f>
      </c>
      <c r="D296">
        <f>IF(OR(管理!$F283="",管理!$U283=""),"",ROUND(管理!$V283-(管理!$F283+管理!$U283)*管理!$G283*$B$7-IF(管理!$C283="売",管理!$F283*管理!$G283*$B$8*管理!$W283/365,0),0))</f>
      </c>
    </row>
    <row r="297" spans="1:4">
      <c r="A297">
        <v>284</v>
      </c>
      <c r="B297">
        <f>IF(管理!$B284="","",IF(COUNTIFS(管理!$B$4:$B284,管理!$B284,管理!$C$4:$C284,管理!$C284)&gt;1,"⛔重複",""))</f>
      </c>
      <c r="C297">
        <f>IF(管理!$F284="","",MAX(100,ROUNDDOWN($B$5/(管理!$F284*$B$3)/100,0)*100))</f>
      </c>
      <c r="D297">
        <f>IF(OR(管理!$F284="",管理!$U284=""),"",ROUND(管理!$V284-(管理!$F284+管理!$U284)*管理!$G284*$B$7-IF(管理!$C284="売",管理!$F284*管理!$G284*$B$8*管理!$W284/365,0),0))</f>
      </c>
    </row>
    <row r="298" spans="1:4">
      <c r="A298">
        <v>285</v>
      </c>
      <c r="B298">
        <f>IF(管理!$B285="","",IF(COUNTIFS(管理!$B$4:$B285,管理!$B285,管理!$C$4:$C285,管理!$C285)&gt;1,"⛔重複",""))</f>
      </c>
      <c r="C298">
        <f>IF(管理!$F285="","",MAX(100,ROUNDDOWN($B$5/(管理!$F285*$B$3)/100,0)*100))</f>
      </c>
      <c r="D298">
        <f>IF(OR(管理!$F285="",管理!$U285=""),"",ROUND(管理!$V285-(管理!$F285+管理!$U285)*管理!$G285*$B$7-IF(管理!$C285="売",管理!$F285*管理!$G285*$B$8*管理!$W285/365,0),0))</f>
      </c>
    </row>
    <row r="299" spans="1:4">
      <c r="A299">
        <v>286</v>
      </c>
      <c r="B299">
        <f>IF(管理!$B286="","",IF(COUNTIFS(管理!$B$4:$B286,管理!$B286,管理!$C$4:$C286,管理!$C286)&gt;1,"⛔重複",""))</f>
      </c>
      <c r="C299">
        <f>IF(管理!$F286="","",MAX(100,ROUNDDOWN($B$5/(管理!$F286*$B$3)/100,0)*100))</f>
      </c>
      <c r="D299">
        <f>IF(OR(管理!$F286="",管理!$U286=""),"",ROUND(管理!$V286-(管理!$F286+管理!$U286)*管理!$G286*$B$7-IF(管理!$C286="売",管理!$F286*管理!$G286*$B$8*管理!$W286/365,0),0))</f>
      </c>
    </row>
    <row r="300" spans="1:4">
      <c r="A300">
        <v>287</v>
      </c>
      <c r="B300">
        <f>IF(管理!$B287="","",IF(COUNTIFS(管理!$B$4:$B287,管理!$B287,管理!$C$4:$C287,管理!$C287)&gt;1,"⛔重複",""))</f>
      </c>
      <c r="C300">
        <f>IF(管理!$F287="","",MAX(100,ROUNDDOWN($B$5/(管理!$F287*$B$3)/100,0)*100))</f>
      </c>
      <c r="D300">
        <f>IF(OR(管理!$F287="",管理!$U287=""),"",ROUND(管理!$V287-(管理!$F287+管理!$U287)*管理!$G287*$B$7-IF(管理!$C287="売",管理!$F287*管理!$G287*$B$8*管理!$W287/365,0),0))</f>
      </c>
    </row>
    <row r="301" spans="1:4">
      <c r="A301">
        <v>288</v>
      </c>
      <c r="B301">
        <f>IF(管理!$B288="","",IF(COUNTIFS(管理!$B$4:$B288,管理!$B288,管理!$C$4:$C288,管理!$C288)&gt;1,"⛔重複",""))</f>
      </c>
      <c r="C301">
        <f>IF(管理!$F288="","",MAX(100,ROUNDDOWN($B$5/(管理!$F288*$B$3)/100,0)*100))</f>
      </c>
      <c r="D301">
        <f>IF(OR(管理!$F288="",管理!$U288=""),"",ROUND(管理!$V288-(管理!$F288+管理!$U288)*管理!$G288*$B$7-IF(管理!$C288="売",管理!$F288*管理!$G288*$B$8*管理!$W288/365,0),0))</f>
      </c>
    </row>
    <row r="302" spans="1:4">
      <c r="A302">
        <v>289</v>
      </c>
      <c r="B302">
        <f>IF(管理!$B289="","",IF(COUNTIFS(管理!$B$4:$B289,管理!$B289,管理!$C$4:$C289,管理!$C289)&gt;1,"⛔重複",""))</f>
      </c>
      <c r="C302">
        <f>IF(管理!$F289="","",MAX(100,ROUNDDOWN($B$5/(管理!$F289*$B$3)/100,0)*100))</f>
      </c>
      <c r="D302">
        <f>IF(OR(管理!$F289="",管理!$U289=""),"",ROUND(管理!$V289-(管理!$F289+管理!$U289)*管理!$G289*$B$7-IF(管理!$C289="売",管理!$F289*管理!$G289*$B$8*管理!$W289/365,0),0))</f>
      </c>
    </row>
    <row r="303" spans="1:4">
      <c r="A303">
        <v>290</v>
      </c>
      <c r="B303">
        <f>IF(管理!$B290="","",IF(COUNTIFS(管理!$B$4:$B290,管理!$B290,管理!$C$4:$C290,管理!$C290)&gt;1,"⛔重複",""))</f>
      </c>
      <c r="C303">
        <f>IF(管理!$F290="","",MAX(100,ROUNDDOWN($B$5/(管理!$F290*$B$3)/100,0)*100))</f>
      </c>
      <c r="D303">
        <f>IF(OR(管理!$F290="",管理!$U290=""),"",ROUND(管理!$V290-(管理!$F290+管理!$U290)*管理!$G290*$B$7-IF(管理!$C290="売",管理!$F290*管理!$G290*$B$8*管理!$W290/365,0),0))</f>
      </c>
    </row>
    <row r="304" spans="1:4">
      <c r="A304">
        <v>291</v>
      </c>
      <c r="B304">
        <f>IF(管理!$B291="","",IF(COUNTIFS(管理!$B$4:$B291,管理!$B291,管理!$C$4:$C291,管理!$C291)&gt;1,"⛔重複",""))</f>
      </c>
      <c r="C304">
        <f>IF(管理!$F291="","",MAX(100,ROUNDDOWN($B$5/(管理!$F291*$B$3)/100,0)*100))</f>
      </c>
      <c r="D304">
        <f>IF(OR(管理!$F291="",管理!$U291=""),"",ROUND(管理!$V291-(管理!$F291+管理!$U291)*管理!$G291*$B$7-IF(管理!$C291="売",管理!$F291*管理!$G291*$B$8*管理!$W291/365,0),0))</f>
      </c>
    </row>
    <row r="305" spans="1:4">
      <c r="A305">
        <v>292</v>
      </c>
      <c r="B305">
        <f>IF(管理!$B292="","",IF(COUNTIFS(管理!$B$4:$B292,管理!$B292,管理!$C$4:$C292,管理!$C292)&gt;1,"⛔重複",""))</f>
      </c>
      <c r="C305">
        <f>IF(管理!$F292="","",MAX(100,ROUNDDOWN($B$5/(管理!$F292*$B$3)/100,0)*100))</f>
      </c>
      <c r="D305">
        <f>IF(OR(管理!$F292="",管理!$U292=""),"",ROUND(管理!$V292-(管理!$F292+管理!$U292)*管理!$G292*$B$7-IF(管理!$C292="売",管理!$F292*管理!$G292*$B$8*管理!$W292/365,0),0))</f>
      </c>
    </row>
    <row r="306" spans="1:4">
      <c r="A306">
        <v>293</v>
      </c>
      <c r="B306">
        <f>IF(管理!$B293="","",IF(COUNTIFS(管理!$B$4:$B293,管理!$B293,管理!$C$4:$C293,管理!$C293)&gt;1,"⛔重複",""))</f>
      </c>
      <c r="C306">
        <f>IF(管理!$F293="","",MAX(100,ROUNDDOWN($B$5/(管理!$F293*$B$3)/100,0)*100))</f>
      </c>
      <c r="D306">
        <f>IF(OR(管理!$F293="",管理!$U293=""),"",ROUND(管理!$V293-(管理!$F293+管理!$U293)*管理!$G293*$B$7-IF(管理!$C293="売",管理!$F293*管理!$G293*$B$8*管理!$W293/365,0),0))</f>
      </c>
    </row>
    <row r="307" spans="1:4">
      <c r="A307">
        <v>294</v>
      </c>
      <c r="B307">
        <f>IF(管理!$B294="","",IF(COUNTIFS(管理!$B$4:$B294,管理!$B294,管理!$C$4:$C294,管理!$C294)&gt;1,"⛔重複",""))</f>
      </c>
      <c r="C307">
        <f>IF(管理!$F294="","",MAX(100,ROUNDDOWN($B$5/(管理!$F294*$B$3)/100,0)*100))</f>
      </c>
      <c r="D307">
        <f>IF(OR(管理!$F294="",管理!$U294=""),"",ROUND(管理!$V294-(管理!$F294+管理!$U294)*管理!$G294*$B$7-IF(管理!$C294="売",管理!$F294*管理!$G294*$B$8*管理!$W294/365,0),0))</f>
      </c>
    </row>
    <row r="308" spans="1:4">
      <c r="A308">
        <v>295</v>
      </c>
      <c r="B308">
        <f>IF(管理!$B295="","",IF(COUNTIFS(管理!$B$4:$B295,管理!$B295,管理!$C$4:$C295,管理!$C295)&gt;1,"⛔重複",""))</f>
      </c>
      <c r="C308">
        <f>IF(管理!$F295="","",MAX(100,ROUNDDOWN($B$5/(管理!$F295*$B$3)/100,0)*100))</f>
      </c>
      <c r="D308">
        <f>IF(OR(管理!$F295="",管理!$U295=""),"",ROUND(管理!$V295-(管理!$F295+管理!$U295)*管理!$G295*$B$7-IF(管理!$C295="売",管理!$F295*管理!$G295*$B$8*管理!$W295/365,0),0))</f>
      </c>
    </row>
    <row r="309" spans="1:4">
      <c r="A309">
        <v>296</v>
      </c>
      <c r="B309">
        <f>IF(管理!$B296="","",IF(COUNTIFS(管理!$B$4:$B296,管理!$B296,管理!$C$4:$C296,管理!$C296)&gt;1,"⛔重複",""))</f>
      </c>
      <c r="C309">
        <f>IF(管理!$F296="","",MAX(100,ROUNDDOWN($B$5/(管理!$F296*$B$3)/100,0)*100))</f>
      </c>
      <c r="D309">
        <f>IF(OR(管理!$F296="",管理!$U296=""),"",ROUND(管理!$V296-(管理!$F296+管理!$U296)*管理!$G296*$B$7-IF(管理!$C296="売",管理!$F296*管理!$G296*$B$8*管理!$W296/365,0),0))</f>
      </c>
    </row>
    <row r="310" spans="1:4">
      <c r="A310">
        <v>297</v>
      </c>
      <c r="B310">
        <f>IF(管理!$B297="","",IF(COUNTIFS(管理!$B$4:$B297,管理!$B297,管理!$C$4:$C297,管理!$C297)&gt;1,"⛔重複",""))</f>
      </c>
      <c r="C310">
        <f>IF(管理!$F297="","",MAX(100,ROUNDDOWN($B$5/(管理!$F297*$B$3)/100,0)*100))</f>
      </c>
      <c r="D310">
        <f>IF(OR(管理!$F297="",管理!$U297=""),"",ROUND(管理!$V297-(管理!$F297+管理!$U297)*管理!$G297*$B$7-IF(管理!$C297="売",管理!$F297*管理!$G297*$B$8*管理!$W297/365,0),0))</f>
      </c>
    </row>
    <row r="311" spans="1:4">
      <c r="A311">
        <v>298</v>
      </c>
      <c r="B311">
        <f>IF(管理!$B298="","",IF(COUNTIFS(管理!$B$4:$B298,管理!$B298,管理!$C$4:$C298,管理!$C298)&gt;1,"⛔重複",""))</f>
      </c>
      <c r="C311">
        <f>IF(管理!$F298="","",MAX(100,ROUNDDOWN($B$5/(管理!$F298*$B$3)/100,0)*100))</f>
      </c>
      <c r="D311">
        <f>IF(OR(管理!$F298="",管理!$U298=""),"",ROUND(管理!$V298-(管理!$F298+管理!$U298)*管理!$G298*$B$7-IF(管理!$C298="売",管理!$F298*管理!$G298*$B$8*管理!$W298/365,0),0))</f>
      </c>
    </row>
    <row r="312" spans="1:4">
      <c r="A312">
        <v>299</v>
      </c>
      <c r="B312">
        <f>IF(管理!$B299="","",IF(COUNTIFS(管理!$B$4:$B299,管理!$B299,管理!$C$4:$C299,管理!$C299)&gt;1,"⛔重複",""))</f>
      </c>
      <c r="C312">
        <f>IF(管理!$F299="","",MAX(100,ROUNDDOWN($B$5/(管理!$F299*$B$3)/100,0)*100))</f>
      </c>
      <c r="D312">
        <f>IF(OR(管理!$F299="",管理!$U299=""),"",ROUND(管理!$V299-(管理!$F299+管理!$U299)*管理!$G299*$B$7-IF(管理!$C299="売",管理!$F299*管理!$G299*$B$8*管理!$W299/365,0),0))</f>
      </c>
    </row>
    <row r="313" spans="1:4">
      <c r="A313">
        <v>300</v>
      </c>
      <c r="B313">
        <f>IF(管理!$B300="","",IF(COUNTIFS(管理!$B$4:$B300,管理!$B300,管理!$C$4:$C300,管理!$C300)&gt;1,"⛔重複",""))</f>
      </c>
      <c r="C313">
        <f>IF(管理!$F300="","",MAX(100,ROUNDDOWN($B$5/(管理!$F300*$B$3)/100,0)*100))</f>
      </c>
      <c r="D313">
        <f>IF(OR(管理!$F300="",管理!$U300=""),"",ROUND(管理!$V300-(管理!$F300+管理!$U300)*管理!$G300*$B$7-IF(管理!$C300="売",管理!$F300*管理!$G300*$B$8*管理!$W300/365,0),0))</f>
      </c>
    </row>
    <row r="314" spans="1:4">
      <c r="A314">
        <v>301</v>
      </c>
      <c r="B314">
        <f>IF(管理!$B301="","",IF(COUNTIFS(管理!$B$4:$B301,管理!$B301,管理!$C$4:$C301,管理!$C301)&gt;1,"⛔重複",""))</f>
      </c>
      <c r="C314">
        <f>IF(管理!$F301="","",MAX(100,ROUNDDOWN($B$5/(管理!$F301*$B$3)/100,0)*100))</f>
      </c>
      <c r="D314">
        <f>IF(OR(管理!$F301="",管理!$U301=""),"",ROUND(管理!$V301-(管理!$F301+管理!$U301)*管理!$G301*$B$7-IF(管理!$C301="売",管理!$F301*管理!$G301*$B$8*管理!$W301/365,0),0))</f>
      </c>
    </row>
    <row r="315" spans="1:4">
      <c r="A315">
        <v>302</v>
      </c>
      <c r="B315">
        <f>IF(管理!$B302="","",IF(COUNTIFS(管理!$B$4:$B302,管理!$B302,管理!$C$4:$C302,管理!$C302)&gt;1,"⛔重複",""))</f>
      </c>
      <c r="C315">
        <f>IF(管理!$F302="","",MAX(100,ROUNDDOWN($B$5/(管理!$F302*$B$3)/100,0)*100))</f>
      </c>
      <c r="D315">
        <f>IF(OR(管理!$F302="",管理!$U302=""),"",ROUND(管理!$V302-(管理!$F302+管理!$U302)*管理!$G302*$B$7-IF(管理!$C302="売",管理!$F302*管理!$G302*$B$8*管理!$W302/365,0),0))</f>
      </c>
    </row>
    <row r="316" spans="1:4">
      <c r="A316">
        <v>303</v>
      </c>
      <c r="B316">
        <f>IF(管理!$B303="","",IF(COUNTIFS(管理!$B$4:$B303,管理!$B303,管理!$C$4:$C303,管理!$C303)&gt;1,"⛔重複",""))</f>
      </c>
      <c r="C316">
        <f>IF(管理!$F303="","",MAX(100,ROUNDDOWN($B$5/(管理!$F303*$B$3)/100,0)*100))</f>
      </c>
      <c r="D316">
        <f>IF(OR(管理!$F303="",管理!$U303=""),"",ROUND(管理!$V303-(管理!$F303+管理!$U303)*管理!$G303*$B$7-IF(管理!$C303="売",管理!$F303*管理!$G303*$B$8*管理!$W303/365,0),0))</f>
      </c>
    </row>
    <row r="317" spans="1:4">
      <c r="A317">
        <v>304</v>
      </c>
      <c r="B317">
        <f>IF(管理!$B304="","",IF(COUNTIFS(管理!$B$4:$B304,管理!$B304,管理!$C$4:$C304,管理!$C304)&gt;1,"⛔重複",""))</f>
      </c>
      <c r="C317">
        <f>IF(管理!$F304="","",MAX(100,ROUNDDOWN($B$5/(管理!$F304*$B$3)/100,0)*100))</f>
      </c>
      <c r="D317">
        <f>IF(OR(管理!$F304="",管理!$U304=""),"",ROUND(管理!$V304-(管理!$F304+管理!$U304)*管理!$G304*$B$7-IF(管理!$C304="売",管理!$F304*管理!$G304*$B$8*管理!$W304/365,0),0))</f>
      </c>
    </row>
    <row r="318" spans="1:4">
      <c r="A318">
        <v>305</v>
      </c>
      <c r="B318">
        <f>IF(管理!$B305="","",IF(COUNTIFS(管理!$B$4:$B305,管理!$B305,管理!$C$4:$C305,管理!$C305)&gt;1,"⛔重複",""))</f>
      </c>
      <c r="C318">
        <f>IF(管理!$F305="","",MAX(100,ROUNDDOWN($B$5/(管理!$F305*$B$3)/100,0)*100))</f>
      </c>
      <c r="D318">
        <f>IF(OR(管理!$F305="",管理!$U305=""),"",ROUND(管理!$V305-(管理!$F305+管理!$U305)*管理!$G305*$B$7-IF(管理!$C305="売",管理!$F305*管理!$G305*$B$8*管理!$W305/365,0),0))</f>
      </c>
    </row>
    <row r="319" spans="1:4">
      <c r="A319">
        <v>306</v>
      </c>
      <c r="B319">
        <f>IF(管理!$B306="","",IF(COUNTIFS(管理!$B$4:$B306,管理!$B306,管理!$C$4:$C306,管理!$C306)&gt;1,"⛔重複",""))</f>
      </c>
      <c r="C319">
        <f>IF(管理!$F306="","",MAX(100,ROUNDDOWN($B$5/(管理!$F306*$B$3)/100,0)*100))</f>
      </c>
      <c r="D319">
        <f>IF(OR(管理!$F306="",管理!$U306=""),"",ROUND(管理!$V306-(管理!$F306+管理!$U306)*管理!$G306*$B$7-IF(管理!$C306="売",管理!$F306*管理!$G306*$B$8*管理!$W306/365,0),0))</f>
      </c>
    </row>
    <row r="320" spans="1:4">
      <c r="A320">
        <v>307</v>
      </c>
      <c r="B320">
        <f>IF(管理!$B307="","",IF(COUNTIFS(管理!$B$4:$B307,管理!$B307,管理!$C$4:$C307,管理!$C307)&gt;1,"⛔重複",""))</f>
      </c>
      <c r="C320">
        <f>IF(管理!$F307="","",MAX(100,ROUNDDOWN($B$5/(管理!$F307*$B$3)/100,0)*100))</f>
      </c>
      <c r="D320">
        <f>IF(OR(管理!$F307="",管理!$U307=""),"",ROUND(管理!$V307-(管理!$F307+管理!$U307)*管理!$G307*$B$7-IF(管理!$C307="売",管理!$F307*管理!$G307*$B$8*管理!$W307/365,0),0))</f>
      </c>
    </row>
    <row r="321" spans="1:4">
      <c r="A321">
        <v>308</v>
      </c>
      <c r="B321">
        <f>IF(管理!$B308="","",IF(COUNTIFS(管理!$B$4:$B308,管理!$B308,管理!$C$4:$C308,管理!$C308)&gt;1,"⛔重複",""))</f>
      </c>
      <c r="C321">
        <f>IF(管理!$F308="","",MAX(100,ROUNDDOWN($B$5/(管理!$F308*$B$3)/100,0)*100))</f>
      </c>
      <c r="D321">
        <f>IF(OR(管理!$F308="",管理!$U308=""),"",ROUND(管理!$V308-(管理!$F308+管理!$U308)*管理!$G308*$B$7-IF(管理!$C308="売",管理!$F308*管理!$G308*$B$8*管理!$W308/365,0),0))</f>
      </c>
    </row>
    <row r="322" spans="1:4">
      <c r="A322">
        <v>309</v>
      </c>
      <c r="B322">
        <f>IF(管理!$B309="","",IF(COUNTIFS(管理!$B$4:$B309,管理!$B309,管理!$C$4:$C309,管理!$C309)&gt;1,"⛔重複",""))</f>
      </c>
      <c r="C322">
        <f>IF(管理!$F309="","",MAX(100,ROUNDDOWN($B$5/(管理!$F309*$B$3)/100,0)*100))</f>
      </c>
      <c r="D322">
        <f>IF(OR(管理!$F309="",管理!$U309=""),"",ROUND(管理!$V309-(管理!$F309+管理!$U309)*管理!$G309*$B$7-IF(管理!$C309="売",管理!$F309*管理!$G309*$B$8*管理!$W309/365,0),0))</f>
      </c>
    </row>
    <row r="323" spans="1:4">
      <c r="A323">
        <v>310</v>
      </c>
      <c r="B323">
        <f>IF(管理!$B310="","",IF(COUNTIFS(管理!$B$4:$B310,管理!$B310,管理!$C$4:$C310,管理!$C310)&gt;1,"⛔重複",""))</f>
      </c>
      <c r="C323">
        <f>IF(管理!$F310="","",MAX(100,ROUNDDOWN($B$5/(管理!$F310*$B$3)/100,0)*100))</f>
      </c>
      <c r="D323">
        <f>IF(OR(管理!$F310="",管理!$U310=""),"",ROUND(管理!$V310-(管理!$F310+管理!$U310)*管理!$G310*$B$7-IF(管理!$C310="売",管理!$F310*管理!$G310*$B$8*管理!$W310/365,0),0))</f>
      </c>
    </row>
    <row r="324" spans="1:4">
      <c r="A324">
        <v>311</v>
      </c>
      <c r="B324">
        <f>IF(管理!$B311="","",IF(COUNTIFS(管理!$B$4:$B311,管理!$B311,管理!$C$4:$C311,管理!$C311)&gt;1,"⛔重複",""))</f>
      </c>
      <c r="C324">
        <f>IF(管理!$F311="","",MAX(100,ROUNDDOWN($B$5/(管理!$F311*$B$3)/100,0)*100))</f>
      </c>
      <c r="D324">
        <f>IF(OR(管理!$F311="",管理!$U311=""),"",ROUND(管理!$V311-(管理!$F311+管理!$U311)*管理!$G311*$B$7-IF(管理!$C311="売",管理!$F311*管理!$G311*$B$8*管理!$W311/365,0),0))</f>
      </c>
    </row>
    <row r="325" spans="1:4">
      <c r="A325">
        <v>312</v>
      </c>
      <c r="B325">
        <f>IF(管理!$B312="","",IF(COUNTIFS(管理!$B$4:$B312,管理!$B312,管理!$C$4:$C312,管理!$C312)&gt;1,"⛔重複",""))</f>
      </c>
      <c r="C325">
        <f>IF(管理!$F312="","",MAX(100,ROUNDDOWN($B$5/(管理!$F312*$B$3)/100,0)*100))</f>
      </c>
      <c r="D325">
        <f>IF(OR(管理!$F312="",管理!$U312=""),"",ROUND(管理!$V312-(管理!$F312+管理!$U312)*管理!$G312*$B$7-IF(管理!$C312="売",管理!$F312*管理!$G312*$B$8*管理!$W312/365,0),0))</f>
      </c>
    </row>
    <row r="326" spans="1:4">
      <c r="A326">
        <v>313</v>
      </c>
      <c r="B326">
        <f>IF(管理!$B313="","",IF(COUNTIFS(管理!$B$4:$B313,管理!$B313,管理!$C$4:$C313,管理!$C313)&gt;1,"⛔重複",""))</f>
      </c>
      <c r="C326">
        <f>IF(管理!$F313="","",MAX(100,ROUNDDOWN($B$5/(管理!$F313*$B$3)/100,0)*100))</f>
      </c>
      <c r="D326">
        <f>IF(OR(管理!$F313="",管理!$U313=""),"",ROUND(管理!$V313-(管理!$F313+管理!$U313)*管理!$G313*$B$7-IF(管理!$C313="売",管理!$F313*管理!$G313*$B$8*管理!$W313/365,0),0))</f>
      </c>
    </row>
    <row r="327" spans="1:4">
      <c r="A327">
        <v>314</v>
      </c>
      <c r="B327">
        <f>IF(管理!$B314="","",IF(COUNTIFS(管理!$B$4:$B314,管理!$B314,管理!$C$4:$C314,管理!$C314)&gt;1,"⛔重複",""))</f>
      </c>
      <c r="C327">
        <f>IF(管理!$F314="","",MAX(100,ROUNDDOWN($B$5/(管理!$F314*$B$3)/100,0)*100))</f>
      </c>
      <c r="D327">
        <f>IF(OR(管理!$F314="",管理!$U314=""),"",ROUND(管理!$V314-(管理!$F314+管理!$U314)*管理!$G314*$B$7-IF(管理!$C314="売",管理!$F314*管理!$G314*$B$8*管理!$W314/365,0),0))</f>
      </c>
    </row>
    <row r="328" spans="1:4">
      <c r="A328">
        <v>315</v>
      </c>
      <c r="B328">
        <f>IF(管理!$B315="","",IF(COUNTIFS(管理!$B$4:$B315,管理!$B315,管理!$C$4:$C315,管理!$C315)&gt;1,"⛔重複",""))</f>
      </c>
      <c r="C328">
        <f>IF(管理!$F315="","",MAX(100,ROUNDDOWN($B$5/(管理!$F315*$B$3)/100,0)*100))</f>
      </c>
      <c r="D328">
        <f>IF(OR(管理!$F315="",管理!$U315=""),"",ROUND(管理!$V315-(管理!$F315+管理!$U315)*管理!$G315*$B$7-IF(管理!$C315="売",管理!$F315*管理!$G315*$B$8*管理!$W315/365,0),0))</f>
      </c>
    </row>
    <row r="329" spans="1:4">
      <c r="A329">
        <v>316</v>
      </c>
      <c r="B329">
        <f>IF(管理!$B316="","",IF(COUNTIFS(管理!$B$4:$B316,管理!$B316,管理!$C$4:$C316,管理!$C316)&gt;1,"⛔重複",""))</f>
      </c>
      <c r="C329">
        <f>IF(管理!$F316="","",MAX(100,ROUNDDOWN($B$5/(管理!$F316*$B$3)/100,0)*100))</f>
      </c>
      <c r="D329">
        <f>IF(OR(管理!$F316="",管理!$U316=""),"",ROUND(管理!$V316-(管理!$F316+管理!$U316)*管理!$G316*$B$7-IF(管理!$C316="売",管理!$F316*管理!$G316*$B$8*管理!$W316/365,0),0))</f>
      </c>
    </row>
    <row r="330" spans="1:4">
      <c r="A330">
        <v>317</v>
      </c>
      <c r="B330">
        <f>IF(管理!$B317="","",IF(COUNTIFS(管理!$B$4:$B317,管理!$B317,管理!$C$4:$C317,管理!$C317)&gt;1,"⛔重複",""))</f>
      </c>
      <c r="C330">
        <f>IF(管理!$F317="","",MAX(100,ROUNDDOWN($B$5/(管理!$F317*$B$3)/100,0)*100))</f>
      </c>
      <c r="D330">
        <f>IF(OR(管理!$F317="",管理!$U317=""),"",ROUND(管理!$V317-(管理!$F317+管理!$U317)*管理!$G317*$B$7-IF(管理!$C317="売",管理!$F317*管理!$G317*$B$8*管理!$W317/365,0),0))</f>
      </c>
    </row>
    <row r="331" spans="1:4">
      <c r="A331">
        <v>318</v>
      </c>
      <c r="B331">
        <f>IF(管理!$B318="","",IF(COUNTIFS(管理!$B$4:$B318,管理!$B318,管理!$C$4:$C318,管理!$C318)&gt;1,"⛔重複",""))</f>
      </c>
      <c r="C331">
        <f>IF(管理!$F318="","",MAX(100,ROUNDDOWN($B$5/(管理!$F318*$B$3)/100,0)*100))</f>
      </c>
      <c r="D331">
        <f>IF(OR(管理!$F318="",管理!$U318=""),"",ROUND(管理!$V318-(管理!$F318+管理!$U318)*管理!$G318*$B$7-IF(管理!$C318="売",管理!$F318*管理!$G318*$B$8*管理!$W318/365,0),0))</f>
      </c>
    </row>
    <row r="332" spans="1:4">
      <c r="A332">
        <v>319</v>
      </c>
      <c r="B332">
        <f>IF(管理!$B319="","",IF(COUNTIFS(管理!$B$4:$B319,管理!$B319,管理!$C$4:$C319,管理!$C319)&gt;1,"⛔重複",""))</f>
      </c>
      <c r="C332">
        <f>IF(管理!$F319="","",MAX(100,ROUNDDOWN($B$5/(管理!$F319*$B$3)/100,0)*100))</f>
      </c>
      <c r="D332">
        <f>IF(OR(管理!$F319="",管理!$U319=""),"",ROUND(管理!$V319-(管理!$F319+管理!$U319)*管理!$G319*$B$7-IF(管理!$C319="売",管理!$F319*管理!$G319*$B$8*管理!$W319/365,0),0))</f>
      </c>
    </row>
    <row r="333" spans="1:4">
      <c r="A333">
        <v>320</v>
      </c>
      <c r="B333">
        <f>IF(管理!$B320="","",IF(COUNTIFS(管理!$B$4:$B320,管理!$B320,管理!$C$4:$C320,管理!$C320)&gt;1,"⛔重複",""))</f>
      </c>
      <c r="C333">
        <f>IF(管理!$F320="","",MAX(100,ROUNDDOWN($B$5/(管理!$F320*$B$3)/100,0)*100))</f>
      </c>
      <c r="D333">
        <f>IF(OR(管理!$F320="",管理!$U320=""),"",ROUND(管理!$V320-(管理!$F320+管理!$U320)*管理!$G320*$B$7-IF(管理!$C320="売",管理!$F320*管理!$G320*$B$8*管理!$W320/365,0),0))</f>
      </c>
    </row>
    <row r="334" spans="1:4">
      <c r="A334">
        <v>321</v>
      </c>
      <c r="B334">
        <f>IF(管理!$B321="","",IF(COUNTIFS(管理!$B$4:$B321,管理!$B321,管理!$C$4:$C321,管理!$C321)&gt;1,"⛔重複",""))</f>
      </c>
      <c r="C334">
        <f>IF(管理!$F321="","",MAX(100,ROUNDDOWN($B$5/(管理!$F321*$B$3)/100,0)*100))</f>
      </c>
      <c r="D334">
        <f>IF(OR(管理!$F321="",管理!$U321=""),"",ROUND(管理!$V321-(管理!$F321+管理!$U321)*管理!$G321*$B$7-IF(管理!$C321="売",管理!$F321*管理!$G321*$B$8*管理!$W321/365,0),0))</f>
      </c>
    </row>
    <row r="335" spans="1:4">
      <c r="A335">
        <v>322</v>
      </c>
      <c r="B335">
        <f>IF(管理!$B322="","",IF(COUNTIFS(管理!$B$4:$B322,管理!$B322,管理!$C$4:$C322,管理!$C322)&gt;1,"⛔重複",""))</f>
      </c>
      <c r="C335">
        <f>IF(管理!$F322="","",MAX(100,ROUNDDOWN($B$5/(管理!$F322*$B$3)/100,0)*100))</f>
      </c>
      <c r="D335">
        <f>IF(OR(管理!$F322="",管理!$U322=""),"",ROUND(管理!$V322-(管理!$F322+管理!$U322)*管理!$G322*$B$7-IF(管理!$C322="売",管理!$F322*管理!$G322*$B$8*管理!$W322/365,0),0))</f>
      </c>
    </row>
    <row r="336" spans="1:4">
      <c r="A336">
        <v>323</v>
      </c>
      <c r="B336">
        <f>IF(管理!$B323="","",IF(COUNTIFS(管理!$B$4:$B323,管理!$B323,管理!$C$4:$C323,管理!$C323)&gt;1,"⛔重複",""))</f>
      </c>
      <c r="C336">
        <f>IF(管理!$F323="","",MAX(100,ROUNDDOWN($B$5/(管理!$F323*$B$3)/100,0)*100))</f>
      </c>
      <c r="D336">
        <f>IF(OR(管理!$F323="",管理!$U323=""),"",ROUND(管理!$V323-(管理!$F323+管理!$U323)*管理!$G323*$B$7-IF(管理!$C323="売",管理!$F323*管理!$G323*$B$8*管理!$W323/365,0),0))</f>
      </c>
    </row>
    <row r="337" spans="1:4">
      <c r="A337">
        <v>324</v>
      </c>
      <c r="B337">
        <f>IF(管理!$B324="","",IF(COUNTIFS(管理!$B$4:$B324,管理!$B324,管理!$C$4:$C324,管理!$C324)&gt;1,"⛔重複",""))</f>
      </c>
      <c r="C337">
        <f>IF(管理!$F324="","",MAX(100,ROUNDDOWN($B$5/(管理!$F324*$B$3)/100,0)*100))</f>
      </c>
      <c r="D337">
        <f>IF(OR(管理!$F324="",管理!$U324=""),"",ROUND(管理!$V324-(管理!$F324+管理!$U324)*管理!$G324*$B$7-IF(管理!$C324="売",管理!$F324*管理!$G324*$B$8*管理!$W324/365,0),0))</f>
      </c>
    </row>
    <row r="338" spans="1:4">
      <c r="A338">
        <v>325</v>
      </c>
      <c r="B338">
        <f>IF(管理!$B325="","",IF(COUNTIFS(管理!$B$4:$B325,管理!$B325,管理!$C$4:$C325,管理!$C325)&gt;1,"⛔重複",""))</f>
      </c>
      <c r="C338">
        <f>IF(管理!$F325="","",MAX(100,ROUNDDOWN($B$5/(管理!$F325*$B$3)/100,0)*100))</f>
      </c>
      <c r="D338">
        <f>IF(OR(管理!$F325="",管理!$U325=""),"",ROUND(管理!$V325-(管理!$F325+管理!$U325)*管理!$G325*$B$7-IF(管理!$C325="売",管理!$F325*管理!$G325*$B$8*管理!$W325/365,0),0))</f>
      </c>
    </row>
    <row r="339" spans="1:4">
      <c r="A339">
        <v>326</v>
      </c>
      <c r="B339">
        <f>IF(管理!$B326="","",IF(COUNTIFS(管理!$B$4:$B326,管理!$B326,管理!$C$4:$C326,管理!$C326)&gt;1,"⛔重複",""))</f>
      </c>
      <c r="C339">
        <f>IF(管理!$F326="","",MAX(100,ROUNDDOWN($B$5/(管理!$F326*$B$3)/100,0)*100))</f>
      </c>
      <c r="D339">
        <f>IF(OR(管理!$F326="",管理!$U326=""),"",ROUND(管理!$V326-(管理!$F326+管理!$U326)*管理!$G326*$B$7-IF(管理!$C326="売",管理!$F326*管理!$G326*$B$8*管理!$W326/365,0),0))</f>
      </c>
    </row>
    <row r="340" spans="1:4">
      <c r="A340">
        <v>327</v>
      </c>
      <c r="B340">
        <f>IF(管理!$B327="","",IF(COUNTIFS(管理!$B$4:$B327,管理!$B327,管理!$C$4:$C327,管理!$C327)&gt;1,"⛔重複",""))</f>
      </c>
      <c r="C340">
        <f>IF(管理!$F327="","",MAX(100,ROUNDDOWN($B$5/(管理!$F327*$B$3)/100,0)*100))</f>
      </c>
      <c r="D340">
        <f>IF(OR(管理!$F327="",管理!$U327=""),"",ROUND(管理!$V327-(管理!$F327+管理!$U327)*管理!$G327*$B$7-IF(管理!$C327="売",管理!$F327*管理!$G327*$B$8*管理!$W327/365,0),0))</f>
      </c>
    </row>
    <row r="341" spans="1:4">
      <c r="A341">
        <v>328</v>
      </c>
      <c r="B341">
        <f>IF(管理!$B328="","",IF(COUNTIFS(管理!$B$4:$B328,管理!$B328,管理!$C$4:$C328,管理!$C328)&gt;1,"⛔重複",""))</f>
      </c>
      <c r="C341">
        <f>IF(管理!$F328="","",MAX(100,ROUNDDOWN($B$5/(管理!$F328*$B$3)/100,0)*100))</f>
      </c>
      <c r="D341">
        <f>IF(OR(管理!$F328="",管理!$U328=""),"",ROUND(管理!$V328-(管理!$F328+管理!$U328)*管理!$G328*$B$7-IF(管理!$C328="売",管理!$F328*管理!$G328*$B$8*管理!$W328/365,0),0))</f>
      </c>
    </row>
    <row r="342" spans="1:4">
      <c r="A342">
        <v>329</v>
      </c>
      <c r="B342">
        <f>IF(管理!$B329="","",IF(COUNTIFS(管理!$B$4:$B329,管理!$B329,管理!$C$4:$C329,管理!$C329)&gt;1,"⛔重複",""))</f>
      </c>
      <c r="C342">
        <f>IF(管理!$F329="","",MAX(100,ROUNDDOWN($B$5/(管理!$F329*$B$3)/100,0)*100))</f>
      </c>
      <c r="D342">
        <f>IF(OR(管理!$F329="",管理!$U329=""),"",ROUND(管理!$V329-(管理!$F329+管理!$U329)*管理!$G329*$B$7-IF(管理!$C329="売",管理!$F329*管理!$G329*$B$8*管理!$W329/365,0),0))</f>
      </c>
    </row>
    <row r="343" spans="1:4">
      <c r="A343">
        <v>330</v>
      </c>
      <c r="B343">
        <f>IF(管理!$B330="","",IF(COUNTIFS(管理!$B$4:$B330,管理!$B330,管理!$C$4:$C330,管理!$C330)&gt;1,"⛔重複",""))</f>
      </c>
      <c r="C343">
        <f>IF(管理!$F330="","",MAX(100,ROUNDDOWN($B$5/(管理!$F330*$B$3)/100,0)*100))</f>
      </c>
      <c r="D343">
        <f>IF(OR(管理!$F330="",管理!$U330=""),"",ROUND(管理!$V330-(管理!$F330+管理!$U330)*管理!$G330*$B$7-IF(管理!$C330="売",管理!$F330*管理!$G330*$B$8*管理!$W330/365,0),0))</f>
      </c>
    </row>
    <row r="344" spans="1:4">
      <c r="A344">
        <v>331</v>
      </c>
      <c r="B344">
        <f>IF(管理!$B331="","",IF(COUNTIFS(管理!$B$4:$B331,管理!$B331,管理!$C$4:$C331,管理!$C331)&gt;1,"⛔重複",""))</f>
      </c>
      <c r="C344">
        <f>IF(管理!$F331="","",MAX(100,ROUNDDOWN($B$5/(管理!$F331*$B$3)/100,0)*100))</f>
      </c>
      <c r="D344">
        <f>IF(OR(管理!$F331="",管理!$U331=""),"",ROUND(管理!$V331-(管理!$F331+管理!$U331)*管理!$G331*$B$7-IF(管理!$C331="売",管理!$F331*管理!$G331*$B$8*管理!$W331/365,0),0))</f>
      </c>
    </row>
    <row r="345" spans="1:4">
      <c r="A345">
        <v>332</v>
      </c>
      <c r="B345">
        <f>IF(管理!$B332="","",IF(COUNTIFS(管理!$B$4:$B332,管理!$B332,管理!$C$4:$C332,管理!$C332)&gt;1,"⛔重複",""))</f>
      </c>
      <c r="C345">
        <f>IF(管理!$F332="","",MAX(100,ROUNDDOWN($B$5/(管理!$F332*$B$3)/100,0)*100))</f>
      </c>
      <c r="D345">
        <f>IF(OR(管理!$F332="",管理!$U332=""),"",ROUND(管理!$V332-(管理!$F332+管理!$U332)*管理!$G332*$B$7-IF(管理!$C332="売",管理!$F332*管理!$G332*$B$8*管理!$W332/365,0),0))</f>
      </c>
    </row>
    <row r="346" spans="1:4">
      <c r="A346">
        <v>333</v>
      </c>
      <c r="B346">
        <f>IF(管理!$B333="","",IF(COUNTIFS(管理!$B$4:$B333,管理!$B333,管理!$C$4:$C333,管理!$C333)&gt;1,"⛔重複",""))</f>
      </c>
      <c r="C346">
        <f>IF(管理!$F333="","",MAX(100,ROUNDDOWN($B$5/(管理!$F333*$B$3)/100,0)*100))</f>
      </c>
      <c r="D346">
        <f>IF(OR(管理!$F333="",管理!$U333=""),"",ROUND(管理!$V333-(管理!$F333+管理!$U333)*管理!$G333*$B$7-IF(管理!$C333="売",管理!$F333*管理!$G333*$B$8*管理!$W333/365,0),0))</f>
      </c>
    </row>
    <row r="347" spans="1:4">
      <c r="A347">
        <v>334</v>
      </c>
      <c r="B347">
        <f>IF(管理!$B334="","",IF(COUNTIFS(管理!$B$4:$B334,管理!$B334,管理!$C$4:$C334,管理!$C334)&gt;1,"⛔重複",""))</f>
      </c>
      <c r="C347">
        <f>IF(管理!$F334="","",MAX(100,ROUNDDOWN($B$5/(管理!$F334*$B$3)/100,0)*100))</f>
      </c>
      <c r="D347">
        <f>IF(OR(管理!$F334="",管理!$U334=""),"",ROUND(管理!$V334-(管理!$F334+管理!$U334)*管理!$G334*$B$7-IF(管理!$C334="売",管理!$F334*管理!$G334*$B$8*管理!$W334/365,0),0))</f>
      </c>
    </row>
    <row r="348" spans="1:4">
      <c r="A348">
        <v>335</v>
      </c>
      <c r="B348">
        <f>IF(管理!$B335="","",IF(COUNTIFS(管理!$B$4:$B335,管理!$B335,管理!$C$4:$C335,管理!$C335)&gt;1,"⛔重複",""))</f>
      </c>
      <c r="C348">
        <f>IF(管理!$F335="","",MAX(100,ROUNDDOWN($B$5/(管理!$F335*$B$3)/100,0)*100))</f>
      </c>
      <c r="D348">
        <f>IF(OR(管理!$F335="",管理!$U335=""),"",ROUND(管理!$V335-(管理!$F335+管理!$U335)*管理!$G335*$B$7-IF(管理!$C335="売",管理!$F335*管理!$G335*$B$8*管理!$W335/365,0),0))</f>
      </c>
    </row>
    <row r="349" spans="1:4">
      <c r="A349">
        <v>336</v>
      </c>
      <c r="B349">
        <f>IF(管理!$B336="","",IF(COUNTIFS(管理!$B$4:$B336,管理!$B336,管理!$C$4:$C336,管理!$C336)&gt;1,"⛔重複",""))</f>
      </c>
      <c r="C349">
        <f>IF(管理!$F336="","",MAX(100,ROUNDDOWN($B$5/(管理!$F336*$B$3)/100,0)*100))</f>
      </c>
      <c r="D349">
        <f>IF(OR(管理!$F336="",管理!$U336=""),"",ROUND(管理!$V336-(管理!$F336+管理!$U336)*管理!$G336*$B$7-IF(管理!$C336="売",管理!$F336*管理!$G336*$B$8*管理!$W336/365,0),0))</f>
      </c>
    </row>
    <row r="350" spans="1:4">
      <c r="A350">
        <v>337</v>
      </c>
      <c r="B350">
        <f>IF(管理!$B337="","",IF(COUNTIFS(管理!$B$4:$B337,管理!$B337,管理!$C$4:$C337,管理!$C337)&gt;1,"⛔重複",""))</f>
      </c>
      <c r="C350">
        <f>IF(管理!$F337="","",MAX(100,ROUNDDOWN($B$5/(管理!$F337*$B$3)/100,0)*100))</f>
      </c>
      <c r="D350">
        <f>IF(OR(管理!$F337="",管理!$U337=""),"",ROUND(管理!$V337-(管理!$F337+管理!$U337)*管理!$G337*$B$7-IF(管理!$C337="売",管理!$F337*管理!$G337*$B$8*管理!$W337/365,0),0))</f>
      </c>
    </row>
    <row r="351" spans="1:4">
      <c r="A351">
        <v>338</v>
      </c>
      <c r="B351">
        <f>IF(管理!$B338="","",IF(COUNTIFS(管理!$B$4:$B338,管理!$B338,管理!$C$4:$C338,管理!$C338)&gt;1,"⛔重複",""))</f>
      </c>
      <c r="C351">
        <f>IF(管理!$F338="","",MAX(100,ROUNDDOWN($B$5/(管理!$F338*$B$3)/100,0)*100))</f>
      </c>
      <c r="D351">
        <f>IF(OR(管理!$F338="",管理!$U338=""),"",ROUND(管理!$V338-(管理!$F338+管理!$U338)*管理!$G338*$B$7-IF(管理!$C338="売",管理!$F338*管理!$G338*$B$8*管理!$W338/365,0),0))</f>
      </c>
    </row>
    <row r="352" spans="1:4">
      <c r="A352">
        <v>339</v>
      </c>
      <c r="B352">
        <f>IF(管理!$B339="","",IF(COUNTIFS(管理!$B$4:$B339,管理!$B339,管理!$C$4:$C339,管理!$C339)&gt;1,"⛔重複",""))</f>
      </c>
      <c r="C352">
        <f>IF(管理!$F339="","",MAX(100,ROUNDDOWN($B$5/(管理!$F339*$B$3)/100,0)*100))</f>
      </c>
      <c r="D352">
        <f>IF(OR(管理!$F339="",管理!$U339=""),"",ROUND(管理!$V339-(管理!$F339+管理!$U339)*管理!$G339*$B$7-IF(管理!$C339="売",管理!$F339*管理!$G339*$B$8*管理!$W339/365,0),0))</f>
      </c>
    </row>
    <row r="353" spans="1:4">
      <c r="A353">
        <v>340</v>
      </c>
      <c r="B353">
        <f>IF(管理!$B340="","",IF(COUNTIFS(管理!$B$4:$B340,管理!$B340,管理!$C$4:$C340,管理!$C340)&gt;1,"⛔重複",""))</f>
      </c>
      <c r="C353">
        <f>IF(管理!$F340="","",MAX(100,ROUNDDOWN($B$5/(管理!$F340*$B$3)/100,0)*100))</f>
      </c>
      <c r="D353">
        <f>IF(OR(管理!$F340="",管理!$U340=""),"",ROUND(管理!$V340-(管理!$F340+管理!$U340)*管理!$G340*$B$7-IF(管理!$C340="売",管理!$F340*管理!$G340*$B$8*管理!$W340/365,0),0))</f>
      </c>
    </row>
    <row r="354" spans="1:4">
      <c r="A354">
        <v>341</v>
      </c>
      <c r="B354">
        <f>IF(管理!$B341="","",IF(COUNTIFS(管理!$B$4:$B341,管理!$B341,管理!$C$4:$C341,管理!$C341)&gt;1,"⛔重複",""))</f>
      </c>
      <c r="C354">
        <f>IF(管理!$F341="","",MAX(100,ROUNDDOWN($B$5/(管理!$F341*$B$3)/100,0)*100))</f>
      </c>
      <c r="D354">
        <f>IF(OR(管理!$F341="",管理!$U341=""),"",ROUND(管理!$V341-(管理!$F341+管理!$U341)*管理!$G341*$B$7-IF(管理!$C341="売",管理!$F341*管理!$G341*$B$8*管理!$W341/365,0),0))</f>
      </c>
    </row>
    <row r="355" spans="1:4">
      <c r="A355">
        <v>342</v>
      </c>
      <c r="B355">
        <f>IF(管理!$B342="","",IF(COUNTIFS(管理!$B$4:$B342,管理!$B342,管理!$C$4:$C342,管理!$C342)&gt;1,"⛔重複",""))</f>
      </c>
      <c r="C355">
        <f>IF(管理!$F342="","",MAX(100,ROUNDDOWN($B$5/(管理!$F342*$B$3)/100,0)*100))</f>
      </c>
      <c r="D355">
        <f>IF(OR(管理!$F342="",管理!$U342=""),"",ROUND(管理!$V342-(管理!$F342+管理!$U342)*管理!$G342*$B$7-IF(管理!$C342="売",管理!$F342*管理!$G342*$B$8*管理!$W342/365,0),0))</f>
      </c>
    </row>
    <row r="356" spans="1:4">
      <c r="A356">
        <v>343</v>
      </c>
      <c r="B356">
        <f>IF(管理!$B343="","",IF(COUNTIFS(管理!$B$4:$B343,管理!$B343,管理!$C$4:$C343,管理!$C343)&gt;1,"⛔重複",""))</f>
      </c>
      <c r="C356">
        <f>IF(管理!$F343="","",MAX(100,ROUNDDOWN($B$5/(管理!$F343*$B$3)/100,0)*100))</f>
      </c>
      <c r="D356">
        <f>IF(OR(管理!$F343="",管理!$U343=""),"",ROUND(管理!$V343-(管理!$F343+管理!$U343)*管理!$G343*$B$7-IF(管理!$C343="売",管理!$F343*管理!$G343*$B$8*管理!$W343/365,0),0))</f>
      </c>
    </row>
    <row r="357" spans="1:4">
      <c r="A357">
        <v>344</v>
      </c>
      <c r="B357">
        <f>IF(管理!$B344="","",IF(COUNTIFS(管理!$B$4:$B344,管理!$B344,管理!$C$4:$C344,管理!$C344)&gt;1,"⛔重複",""))</f>
      </c>
      <c r="C357">
        <f>IF(管理!$F344="","",MAX(100,ROUNDDOWN($B$5/(管理!$F344*$B$3)/100,0)*100))</f>
      </c>
      <c r="D357">
        <f>IF(OR(管理!$F344="",管理!$U344=""),"",ROUND(管理!$V344-(管理!$F344+管理!$U344)*管理!$G344*$B$7-IF(管理!$C344="売",管理!$F344*管理!$G344*$B$8*管理!$W344/365,0),0))</f>
      </c>
    </row>
    <row r="358" spans="1:4">
      <c r="A358">
        <v>345</v>
      </c>
      <c r="B358">
        <f>IF(管理!$B345="","",IF(COUNTIFS(管理!$B$4:$B345,管理!$B345,管理!$C$4:$C345,管理!$C345)&gt;1,"⛔重複",""))</f>
      </c>
      <c r="C358">
        <f>IF(管理!$F345="","",MAX(100,ROUNDDOWN($B$5/(管理!$F345*$B$3)/100,0)*100))</f>
      </c>
      <c r="D358">
        <f>IF(OR(管理!$F345="",管理!$U345=""),"",ROUND(管理!$V345-(管理!$F345+管理!$U345)*管理!$G345*$B$7-IF(管理!$C345="売",管理!$F345*管理!$G345*$B$8*管理!$W345/365,0),0))</f>
      </c>
    </row>
    <row r="359" spans="1:4">
      <c r="A359">
        <v>346</v>
      </c>
      <c r="B359">
        <f>IF(管理!$B346="","",IF(COUNTIFS(管理!$B$4:$B346,管理!$B346,管理!$C$4:$C346,管理!$C346)&gt;1,"⛔重複",""))</f>
      </c>
      <c r="C359">
        <f>IF(管理!$F346="","",MAX(100,ROUNDDOWN($B$5/(管理!$F346*$B$3)/100,0)*100))</f>
      </c>
      <c r="D359">
        <f>IF(OR(管理!$F346="",管理!$U346=""),"",ROUND(管理!$V346-(管理!$F346+管理!$U346)*管理!$G346*$B$7-IF(管理!$C346="売",管理!$F346*管理!$G346*$B$8*管理!$W346/365,0),0))</f>
      </c>
    </row>
    <row r="360" spans="1:4">
      <c r="A360">
        <v>347</v>
      </c>
      <c r="B360">
        <f>IF(管理!$B347="","",IF(COUNTIFS(管理!$B$4:$B347,管理!$B347,管理!$C$4:$C347,管理!$C347)&gt;1,"⛔重複",""))</f>
      </c>
      <c r="C360">
        <f>IF(管理!$F347="","",MAX(100,ROUNDDOWN($B$5/(管理!$F347*$B$3)/100,0)*100))</f>
      </c>
      <c r="D360">
        <f>IF(OR(管理!$F347="",管理!$U347=""),"",ROUND(管理!$V347-(管理!$F347+管理!$U347)*管理!$G347*$B$7-IF(管理!$C347="売",管理!$F347*管理!$G347*$B$8*管理!$W347/365,0),0))</f>
      </c>
    </row>
    <row r="361" spans="1:4">
      <c r="A361">
        <v>348</v>
      </c>
      <c r="B361">
        <f>IF(管理!$B348="","",IF(COUNTIFS(管理!$B$4:$B348,管理!$B348,管理!$C$4:$C348,管理!$C348)&gt;1,"⛔重複",""))</f>
      </c>
      <c r="C361">
        <f>IF(管理!$F348="","",MAX(100,ROUNDDOWN($B$5/(管理!$F348*$B$3)/100,0)*100))</f>
      </c>
      <c r="D361">
        <f>IF(OR(管理!$F348="",管理!$U348=""),"",ROUND(管理!$V348-(管理!$F348+管理!$U348)*管理!$G348*$B$7-IF(管理!$C348="売",管理!$F348*管理!$G348*$B$8*管理!$W348/365,0),0))</f>
      </c>
    </row>
    <row r="362" spans="1:4">
      <c r="A362">
        <v>349</v>
      </c>
      <c r="B362">
        <f>IF(管理!$B349="","",IF(COUNTIFS(管理!$B$4:$B349,管理!$B349,管理!$C$4:$C349,管理!$C349)&gt;1,"⛔重複",""))</f>
      </c>
      <c r="C362">
        <f>IF(管理!$F349="","",MAX(100,ROUNDDOWN($B$5/(管理!$F349*$B$3)/100,0)*100))</f>
      </c>
      <c r="D362">
        <f>IF(OR(管理!$F349="",管理!$U349=""),"",ROUND(管理!$V349-(管理!$F349+管理!$U349)*管理!$G349*$B$7-IF(管理!$C349="売",管理!$F349*管理!$G349*$B$8*管理!$W349/365,0),0))</f>
      </c>
    </row>
    <row r="363" spans="1:4">
      <c r="A363">
        <v>350</v>
      </c>
      <c r="B363">
        <f>IF(管理!$B350="","",IF(COUNTIFS(管理!$B$4:$B350,管理!$B350,管理!$C$4:$C350,管理!$C350)&gt;1,"⛔重複",""))</f>
      </c>
      <c r="C363">
        <f>IF(管理!$F350="","",MAX(100,ROUNDDOWN($B$5/(管理!$F350*$B$3)/100,0)*100))</f>
      </c>
      <c r="D363">
        <f>IF(OR(管理!$F350="",管理!$U350=""),"",ROUND(管理!$V350-(管理!$F350+管理!$U350)*管理!$G350*$B$7-IF(管理!$C350="売",管理!$F350*管理!$G350*$B$8*管理!$W350/365,0),0))</f>
      </c>
    </row>
    <row r="364" spans="1:4">
      <c r="A364">
        <v>351</v>
      </c>
      <c r="B364">
        <f>IF(管理!$B351="","",IF(COUNTIFS(管理!$B$4:$B351,管理!$B351,管理!$C$4:$C351,管理!$C351)&gt;1,"⛔重複",""))</f>
      </c>
      <c r="C364">
        <f>IF(管理!$F351="","",MAX(100,ROUNDDOWN($B$5/(管理!$F351*$B$3)/100,0)*100))</f>
      </c>
      <c r="D364">
        <f>IF(OR(管理!$F351="",管理!$U351=""),"",ROUND(管理!$V351-(管理!$F351+管理!$U351)*管理!$G351*$B$7-IF(管理!$C351="売",管理!$F351*管理!$G351*$B$8*管理!$W351/365,0),0))</f>
      </c>
    </row>
    <row r="365" spans="1:4">
      <c r="A365">
        <v>352</v>
      </c>
      <c r="B365">
        <f>IF(管理!$B352="","",IF(COUNTIFS(管理!$B$4:$B352,管理!$B352,管理!$C$4:$C352,管理!$C352)&gt;1,"⛔重複",""))</f>
      </c>
      <c r="C365">
        <f>IF(管理!$F352="","",MAX(100,ROUNDDOWN($B$5/(管理!$F352*$B$3)/100,0)*100))</f>
      </c>
      <c r="D365">
        <f>IF(OR(管理!$F352="",管理!$U352=""),"",ROUND(管理!$V352-(管理!$F352+管理!$U352)*管理!$G352*$B$7-IF(管理!$C352="売",管理!$F352*管理!$G352*$B$8*管理!$W352/365,0),0))</f>
      </c>
    </row>
    <row r="366" spans="1:4">
      <c r="A366">
        <v>353</v>
      </c>
      <c r="B366">
        <f>IF(管理!$B353="","",IF(COUNTIFS(管理!$B$4:$B353,管理!$B353,管理!$C$4:$C353,管理!$C353)&gt;1,"⛔重複",""))</f>
      </c>
      <c r="C366">
        <f>IF(管理!$F353="","",MAX(100,ROUNDDOWN($B$5/(管理!$F353*$B$3)/100,0)*100))</f>
      </c>
      <c r="D366">
        <f>IF(OR(管理!$F353="",管理!$U353=""),"",ROUND(管理!$V353-(管理!$F353+管理!$U353)*管理!$G353*$B$7-IF(管理!$C353="売",管理!$F353*管理!$G353*$B$8*管理!$W353/365,0),0))</f>
      </c>
    </row>
    <row r="367" spans="1:4">
      <c r="A367">
        <v>354</v>
      </c>
      <c r="B367">
        <f>IF(管理!$B354="","",IF(COUNTIFS(管理!$B$4:$B354,管理!$B354,管理!$C$4:$C354,管理!$C354)&gt;1,"⛔重複",""))</f>
      </c>
      <c r="C367">
        <f>IF(管理!$F354="","",MAX(100,ROUNDDOWN($B$5/(管理!$F354*$B$3)/100,0)*100))</f>
      </c>
      <c r="D367">
        <f>IF(OR(管理!$F354="",管理!$U354=""),"",ROUND(管理!$V354-(管理!$F354+管理!$U354)*管理!$G354*$B$7-IF(管理!$C354="売",管理!$F354*管理!$G354*$B$8*管理!$W354/365,0),0))</f>
      </c>
    </row>
    <row r="368" spans="1:4">
      <c r="A368">
        <v>355</v>
      </c>
      <c r="B368">
        <f>IF(管理!$B355="","",IF(COUNTIFS(管理!$B$4:$B355,管理!$B355,管理!$C$4:$C355,管理!$C355)&gt;1,"⛔重複",""))</f>
      </c>
      <c r="C368">
        <f>IF(管理!$F355="","",MAX(100,ROUNDDOWN($B$5/(管理!$F355*$B$3)/100,0)*100))</f>
      </c>
      <c r="D368">
        <f>IF(OR(管理!$F355="",管理!$U355=""),"",ROUND(管理!$V355-(管理!$F355+管理!$U355)*管理!$G355*$B$7-IF(管理!$C355="売",管理!$F355*管理!$G355*$B$8*管理!$W355/365,0),0))</f>
      </c>
    </row>
    <row r="369" spans="1:4">
      <c r="A369">
        <v>356</v>
      </c>
      <c r="B369">
        <f>IF(管理!$B356="","",IF(COUNTIFS(管理!$B$4:$B356,管理!$B356,管理!$C$4:$C356,管理!$C356)&gt;1,"⛔重複",""))</f>
      </c>
      <c r="C369">
        <f>IF(管理!$F356="","",MAX(100,ROUNDDOWN($B$5/(管理!$F356*$B$3)/100,0)*100))</f>
      </c>
      <c r="D369">
        <f>IF(OR(管理!$F356="",管理!$U356=""),"",ROUND(管理!$V356-(管理!$F356+管理!$U356)*管理!$G356*$B$7-IF(管理!$C356="売",管理!$F356*管理!$G356*$B$8*管理!$W356/365,0),0))</f>
      </c>
    </row>
    <row r="370" spans="1:4">
      <c r="A370">
        <v>357</v>
      </c>
      <c r="B370">
        <f>IF(管理!$B357="","",IF(COUNTIFS(管理!$B$4:$B357,管理!$B357,管理!$C$4:$C357,管理!$C357)&gt;1,"⛔重複",""))</f>
      </c>
      <c r="C370">
        <f>IF(管理!$F357="","",MAX(100,ROUNDDOWN($B$5/(管理!$F357*$B$3)/100,0)*100))</f>
      </c>
      <c r="D370">
        <f>IF(OR(管理!$F357="",管理!$U357=""),"",ROUND(管理!$V357-(管理!$F357+管理!$U357)*管理!$G357*$B$7-IF(管理!$C357="売",管理!$F357*管理!$G357*$B$8*管理!$W357/365,0),0))</f>
      </c>
    </row>
    <row r="371" spans="1:4">
      <c r="A371">
        <v>358</v>
      </c>
      <c r="B371">
        <f>IF(管理!$B358="","",IF(COUNTIFS(管理!$B$4:$B358,管理!$B358,管理!$C$4:$C358,管理!$C358)&gt;1,"⛔重複",""))</f>
      </c>
      <c r="C371">
        <f>IF(管理!$F358="","",MAX(100,ROUNDDOWN($B$5/(管理!$F358*$B$3)/100,0)*100))</f>
      </c>
      <c r="D371">
        <f>IF(OR(管理!$F358="",管理!$U358=""),"",ROUND(管理!$V358-(管理!$F358+管理!$U358)*管理!$G358*$B$7-IF(管理!$C358="売",管理!$F358*管理!$G358*$B$8*管理!$W358/365,0),0))</f>
      </c>
    </row>
    <row r="372" spans="1:4">
      <c r="A372">
        <v>359</v>
      </c>
      <c r="B372">
        <f>IF(管理!$B359="","",IF(COUNTIFS(管理!$B$4:$B359,管理!$B359,管理!$C$4:$C359,管理!$C359)&gt;1,"⛔重複",""))</f>
      </c>
      <c r="C372">
        <f>IF(管理!$F359="","",MAX(100,ROUNDDOWN($B$5/(管理!$F359*$B$3)/100,0)*100))</f>
      </c>
      <c r="D372">
        <f>IF(OR(管理!$F359="",管理!$U359=""),"",ROUND(管理!$V359-(管理!$F359+管理!$U359)*管理!$G359*$B$7-IF(管理!$C359="売",管理!$F359*管理!$G359*$B$8*管理!$W359/365,0),0))</f>
      </c>
    </row>
    <row r="373" spans="1:4">
      <c r="A373">
        <v>360</v>
      </c>
      <c r="B373">
        <f>IF(管理!$B360="","",IF(COUNTIFS(管理!$B$4:$B360,管理!$B360,管理!$C$4:$C360,管理!$C360)&gt;1,"⛔重複",""))</f>
      </c>
      <c r="C373">
        <f>IF(管理!$F360="","",MAX(100,ROUNDDOWN($B$5/(管理!$F360*$B$3)/100,0)*100))</f>
      </c>
      <c r="D373">
        <f>IF(OR(管理!$F360="",管理!$U360=""),"",ROUND(管理!$V360-(管理!$F360+管理!$U360)*管理!$G360*$B$7-IF(管理!$C360="売",管理!$F360*管理!$G360*$B$8*管理!$W360/365,0),0))</f>
      </c>
    </row>
    <row r="374" spans="1:4">
      <c r="A374">
        <v>361</v>
      </c>
      <c r="B374">
        <f>IF(管理!$B361="","",IF(COUNTIFS(管理!$B$4:$B361,管理!$B361,管理!$C$4:$C361,管理!$C361)&gt;1,"⛔重複",""))</f>
      </c>
      <c r="C374">
        <f>IF(管理!$F361="","",MAX(100,ROUNDDOWN($B$5/(管理!$F361*$B$3)/100,0)*100))</f>
      </c>
      <c r="D374">
        <f>IF(OR(管理!$F361="",管理!$U361=""),"",ROUND(管理!$V361-(管理!$F361+管理!$U361)*管理!$G361*$B$7-IF(管理!$C361="売",管理!$F361*管理!$G361*$B$8*管理!$W361/365,0),0))</f>
      </c>
    </row>
    <row r="375" spans="1:4">
      <c r="A375">
        <v>362</v>
      </c>
      <c r="B375">
        <f>IF(管理!$B362="","",IF(COUNTIFS(管理!$B$4:$B362,管理!$B362,管理!$C$4:$C362,管理!$C362)&gt;1,"⛔重複",""))</f>
      </c>
      <c r="C375">
        <f>IF(管理!$F362="","",MAX(100,ROUNDDOWN($B$5/(管理!$F362*$B$3)/100,0)*100))</f>
      </c>
      <c r="D375">
        <f>IF(OR(管理!$F362="",管理!$U362=""),"",ROUND(管理!$V362-(管理!$F362+管理!$U362)*管理!$G362*$B$7-IF(管理!$C362="売",管理!$F362*管理!$G362*$B$8*管理!$W362/365,0),0))</f>
      </c>
    </row>
    <row r="376" spans="1:4">
      <c r="A376">
        <v>363</v>
      </c>
      <c r="B376">
        <f>IF(管理!$B363="","",IF(COUNTIFS(管理!$B$4:$B363,管理!$B363,管理!$C$4:$C363,管理!$C363)&gt;1,"⛔重複",""))</f>
      </c>
      <c r="C376">
        <f>IF(管理!$F363="","",MAX(100,ROUNDDOWN($B$5/(管理!$F363*$B$3)/100,0)*100))</f>
      </c>
      <c r="D376">
        <f>IF(OR(管理!$F363="",管理!$U363=""),"",ROUND(管理!$V363-(管理!$F363+管理!$U363)*管理!$G363*$B$7-IF(管理!$C363="売",管理!$F363*管理!$G363*$B$8*管理!$W363/365,0),0))</f>
      </c>
    </row>
    <row r="377" spans="1:4">
      <c r="A377">
        <v>364</v>
      </c>
      <c r="B377">
        <f>IF(管理!$B364="","",IF(COUNTIFS(管理!$B$4:$B364,管理!$B364,管理!$C$4:$C364,管理!$C364)&gt;1,"⛔重複",""))</f>
      </c>
      <c r="C377">
        <f>IF(管理!$F364="","",MAX(100,ROUNDDOWN($B$5/(管理!$F364*$B$3)/100,0)*100))</f>
      </c>
      <c r="D377">
        <f>IF(OR(管理!$F364="",管理!$U364=""),"",ROUND(管理!$V364-(管理!$F364+管理!$U364)*管理!$G364*$B$7-IF(管理!$C364="売",管理!$F364*管理!$G364*$B$8*管理!$W364/365,0),0))</f>
      </c>
    </row>
    <row r="378" spans="1:4">
      <c r="A378">
        <v>365</v>
      </c>
      <c r="B378">
        <f>IF(管理!$B365="","",IF(COUNTIFS(管理!$B$4:$B365,管理!$B365,管理!$C$4:$C365,管理!$C365)&gt;1,"⛔重複",""))</f>
      </c>
      <c r="C378">
        <f>IF(管理!$F365="","",MAX(100,ROUNDDOWN($B$5/(管理!$F365*$B$3)/100,0)*100))</f>
      </c>
      <c r="D378">
        <f>IF(OR(管理!$F365="",管理!$U365=""),"",ROUND(管理!$V365-(管理!$F365+管理!$U365)*管理!$G365*$B$7-IF(管理!$C365="売",管理!$F365*管理!$G365*$B$8*管理!$W365/365,0),0))</f>
      </c>
    </row>
    <row r="379" spans="1:4">
      <c r="A379">
        <v>366</v>
      </c>
      <c r="B379">
        <f>IF(管理!$B366="","",IF(COUNTIFS(管理!$B$4:$B366,管理!$B366,管理!$C$4:$C366,管理!$C366)&gt;1,"⛔重複",""))</f>
      </c>
      <c r="C379">
        <f>IF(管理!$F366="","",MAX(100,ROUNDDOWN($B$5/(管理!$F366*$B$3)/100,0)*100))</f>
      </c>
      <c r="D379">
        <f>IF(OR(管理!$F366="",管理!$U366=""),"",ROUND(管理!$V366-(管理!$F366+管理!$U366)*管理!$G366*$B$7-IF(管理!$C366="売",管理!$F366*管理!$G366*$B$8*管理!$W366/365,0),0))</f>
      </c>
    </row>
    <row r="380" spans="1:4">
      <c r="A380">
        <v>367</v>
      </c>
      <c r="B380">
        <f>IF(管理!$B367="","",IF(COUNTIFS(管理!$B$4:$B367,管理!$B367,管理!$C$4:$C367,管理!$C367)&gt;1,"⛔重複",""))</f>
      </c>
      <c r="C380">
        <f>IF(管理!$F367="","",MAX(100,ROUNDDOWN($B$5/(管理!$F367*$B$3)/100,0)*100))</f>
      </c>
      <c r="D380">
        <f>IF(OR(管理!$F367="",管理!$U367=""),"",ROUND(管理!$V367-(管理!$F367+管理!$U367)*管理!$G367*$B$7-IF(管理!$C367="売",管理!$F367*管理!$G367*$B$8*管理!$W367/365,0),0))</f>
      </c>
    </row>
    <row r="381" spans="1:4">
      <c r="A381">
        <v>368</v>
      </c>
      <c r="B381">
        <f>IF(管理!$B368="","",IF(COUNTIFS(管理!$B$4:$B368,管理!$B368,管理!$C$4:$C368,管理!$C368)&gt;1,"⛔重複",""))</f>
      </c>
      <c r="C381">
        <f>IF(管理!$F368="","",MAX(100,ROUNDDOWN($B$5/(管理!$F368*$B$3)/100,0)*100))</f>
      </c>
      <c r="D381">
        <f>IF(OR(管理!$F368="",管理!$U368=""),"",ROUND(管理!$V368-(管理!$F368+管理!$U368)*管理!$G368*$B$7-IF(管理!$C368="売",管理!$F368*管理!$G368*$B$8*管理!$W368/365,0),0))</f>
      </c>
    </row>
    <row r="382" spans="1:4">
      <c r="A382">
        <v>369</v>
      </c>
      <c r="B382">
        <f>IF(管理!$B369="","",IF(COUNTIFS(管理!$B$4:$B369,管理!$B369,管理!$C$4:$C369,管理!$C369)&gt;1,"⛔重複",""))</f>
      </c>
      <c r="C382">
        <f>IF(管理!$F369="","",MAX(100,ROUNDDOWN($B$5/(管理!$F369*$B$3)/100,0)*100))</f>
      </c>
      <c r="D382">
        <f>IF(OR(管理!$F369="",管理!$U369=""),"",ROUND(管理!$V369-(管理!$F369+管理!$U369)*管理!$G369*$B$7-IF(管理!$C369="売",管理!$F369*管理!$G369*$B$8*管理!$W369/365,0),0))</f>
      </c>
    </row>
    <row r="383" spans="1:4">
      <c r="A383">
        <v>370</v>
      </c>
      <c r="B383">
        <f>IF(管理!$B370="","",IF(COUNTIFS(管理!$B$4:$B370,管理!$B370,管理!$C$4:$C370,管理!$C370)&gt;1,"⛔重複",""))</f>
      </c>
      <c r="C383">
        <f>IF(管理!$F370="","",MAX(100,ROUNDDOWN($B$5/(管理!$F370*$B$3)/100,0)*100))</f>
      </c>
      <c r="D383">
        <f>IF(OR(管理!$F370="",管理!$U370=""),"",ROUND(管理!$V370-(管理!$F370+管理!$U370)*管理!$G370*$B$7-IF(管理!$C370="売",管理!$F370*管理!$G370*$B$8*管理!$W370/365,0),0))</f>
      </c>
    </row>
    <row r="384" spans="1:4">
      <c r="A384">
        <v>371</v>
      </c>
      <c r="B384">
        <f>IF(管理!$B371="","",IF(COUNTIFS(管理!$B$4:$B371,管理!$B371,管理!$C$4:$C371,管理!$C371)&gt;1,"⛔重複",""))</f>
      </c>
      <c r="C384">
        <f>IF(管理!$F371="","",MAX(100,ROUNDDOWN($B$5/(管理!$F371*$B$3)/100,0)*100))</f>
      </c>
      <c r="D384">
        <f>IF(OR(管理!$F371="",管理!$U371=""),"",ROUND(管理!$V371-(管理!$F371+管理!$U371)*管理!$G371*$B$7-IF(管理!$C371="売",管理!$F371*管理!$G371*$B$8*管理!$W371/365,0),0))</f>
      </c>
    </row>
    <row r="385" spans="1:4">
      <c r="A385">
        <v>372</v>
      </c>
      <c r="B385">
        <f>IF(管理!$B372="","",IF(COUNTIFS(管理!$B$4:$B372,管理!$B372,管理!$C$4:$C372,管理!$C372)&gt;1,"⛔重複",""))</f>
      </c>
      <c r="C385">
        <f>IF(管理!$F372="","",MAX(100,ROUNDDOWN($B$5/(管理!$F372*$B$3)/100,0)*100))</f>
      </c>
      <c r="D385">
        <f>IF(OR(管理!$F372="",管理!$U372=""),"",ROUND(管理!$V372-(管理!$F372+管理!$U372)*管理!$G372*$B$7-IF(管理!$C372="売",管理!$F372*管理!$G372*$B$8*管理!$W372/365,0),0))</f>
      </c>
    </row>
    <row r="386" spans="1:4">
      <c r="A386">
        <v>373</v>
      </c>
      <c r="B386">
        <f>IF(管理!$B373="","",IF(COUNTIFS(管理!$B$4:$B373,管理!$B373,管理!$C$4:$C373,管理!$C373)&gt;1,"⛔重複",""))</f>
      </c>
      <c r="C386">
        <f>IF(管理!$F373="","",MAX(100,ROUNDDOWN($B$5/(管理!$F373*$B$3)/100,0)*100))</f>
      </c>
      <c r="D386">
        <f>IF(OR(管理!$F373="",管理!$U373=""),"",ROUND(管理!$V373-(管理!$F373+管理!$U373)*管理!$G373*$B$7-IF(管理!$C373="売",管理!$F373*管理!$G373*$B$8*管理!$W373/365,0),0))</f>
      </c>
    </row>
    <row r="387" spans="1:4">
      <c r="A387">
        <v>374</v>
      </c>
      <c r="B387">
        <f>IF(管理!$B374="","",IF(COUNTIFS(管理!$B$4:$B374,管理!$B374,管理!$C$4:$C374,管理!$C374)&gt;1,"⛔重複",""))</f>
      </c>
      <c r="C387">
        <f>IF(管理!$F374="","",MAX(100,ROUNDDOWN($B$5/(管理!$F374*$B$3)/100,0)*100))</f>
      </c>
      <c r="D387">
        <f>IF(OR(管理!$F374="",管理!$U374=""),"",ROUND(管理!$V374-(管理!$F374+管理!$U374)*管理!$G374*$B$7-IF(管理!$C374="売",管理!$F374*管理!$G374*$B$8*管理!$W374/365,0),0))</f>
      </c>
    </row>
    <row r="388" spans="1:4">
      <c r="A388">
        <v>375</v>
      </c>
      <c r="B388">
        <f>IF(管理!$B375="","",IF(COUNTIFS(管理!$B$4:$B375,管理!$B375,管理!$C$4:$C375,管理!$C375)&gt;1,"⛔重複",""))</f>
      </c>
      <c r="C388">
        <f>IF(管理!$F375="","",MAX(100,ROUNDDOWN($B$5/(管理!$F375*$B$3)/100,0)*100))</f>
      </c>
      <c r="D388">
        <f>IF(OR(管理!$F375="",管理!$U375=""),"",ROUND(管理!$V375-(管理!$F375+管理!$U375)*管理!$G375*$B$7-IF(管理!$C375="売",管理!$F375*管理!$G375*$B$8*管理!$W375/365,0),0))</f>
      </c>
    </row>
    <row r="389" spans="1:4">
      <c r="A389">
        <v>376</v>
      </c>
      <c r="B389">
        <f>IF(管理!$B376="","",IF(COUNTIFS(管理!$B$4:$B376,管理!$B376,管理!$C$4:$C376,管理!$C376)&gt;1,"⛔重複",""))</f>
      </c>
      <c r="C389">
        <f>IF(管理!$F376="","",MAX(100,ROUNDDOWN($B$5/(管理!$F376*$B$3)/100,0)*100))</f>
      </c>
      <c r="D389">
        <f>IF(OR(管理!$F376="",管理!$U376=""),"",ROUND(管理!$V376-(管理!$F376+管理!$U376)*管理!$G376*$B$7-IF(管理!$C376="売",管理!$F376*管理!$G376*$B$8*管理!$W376/365,0),0))</f>
      </c>
    </row>
    <row r="390" spans="1:4">
      <c r="A390">
        <v>377</v>
      </c>
      <c r="B390">
        <f>IF(管理!$B377="","",IF(COUNTIFS(管理!$B$4:$B377,管理!$B377,管理!$C$4:$C377,管理!$C377)&gt;1,"⛔重複",""))</f>
      </c>
      <c r="C390">
        <f>IF(管理!$F377="","",MAX(100,ROUNDDOWN($B$5/(管理!$F377*$B$3)/100,0)*100))</f>
      </c>
      <c r="D390">
        <f>IF(OR(管理!$F377="",管理!$U377=""),"",ROUND(管理!$V377-(管理!$F377+管理!$U377)*管理!$G377*$B$7-IF(管理!$C377="売",管理!$F377*管理!$G377*$B$8*管理!$W377/365,0),0))</f>
      </c>
    </row>
    <row r="391" spans="1:4">
      <c r="A391">
        <v>378</v>
      </c>
      <c r="B391">
        <f>IF(管理!$B378="","",IF(COUNTIFS(管理!$B$4:$B378,管理!$B378,管理!$C$4:$C378,管理!$C378)&gt;1,"⛔重複",""))</f>
      </c>
      <c r="C391">
        <f>IF(管理!$F378="","",MAX(100,ROUNDDOWN($B$5/(管理!$F378*$B$3)/100,0)*100))</f>
      </c>
      <c r="D391">
        <f>IF(OR(管理!$F378="",管理!$U378=""),"",ROUND(管理!$V378-(管理!$F378+管理!$U378)*管理!$G378*$B$7-IF(管理!$C378="売",管理!$F378*管理!$G378*$B$8*管理!$W378/365,0),0))</f>
      </c>
    </row>
    <row r="392" spans="1:4">
      <c r="A392">
        <v>379</v>
      </c>
      <c r="B392">
        <f>IF(管理!$B379="","",IF(COUNTIFS(管理!$B$4:$B379,管理!$B379,管理!$C$4:$C379,管理!$C379)&gt;1,"⛔重複",""))</f>
      </c>
      <c r="C392">
        <f>IF(管理!$F379="","",MAX(100,ROUNDDOWN($B$5/(管理!$F379*$B$3)/100,0)*100))</f>
      </c>
      <c r="D392">
        <f>IF(OR(管理!$F379="",管理!$U379=""),"",ROUND(管理!$V379-(管理!$F379+管理!$U379)*管理!$G379*$B$7-IF(管理!$C379="売",管理!$F379*管理!$G379*$B$8*管理!$W379/365,0),0))</f>
      </c>
    </row>
    <row r="393" spans="1:4">
      <c r="A393">
        <v>380</v>
      </c>
      <c r="B393">
        <f>IF(管理!$B380="","",IF(COUNTIFS(管理!$B$4:$B380,管理!$B380,管理!$C$4:$C380,管理!$C380)&gt;1,"⛔重複",""))</f>
      </c>
      <c r="C393">
        <f>IF(管理!$F380="","",MAX(100,ROUNDDOWN($B$5/(管理!$F380*$B$3)/100,0)*100))</f>
      </c>
      <c r="D393">
        <f>IF(OR(管理!$F380="",管理!$U380=""),"",ROUND(管理!$V380-(管理!$F380+管理!$U380)*管理!$G380*$B$7-IF(管理!$C380="売",管理!$F380*管理!$G380*$B$8*管理!$W380/365,0),0))</f>
      </c>
    </row>
    <row r="394" spans="1:4">
      <c r="A394">
        <v>381</v>
      </c>
      <c r="B394">
        <f>IF(管理!$B381="","",IF(COUNTIFS(管理!$B$4:$B381,管理!$B381,管理!$C$4:$C381,管理!$C381)&gt;1,"⛔重複",""))</f>
      </c>
      <c r="C394">
        <f>IF(管理!$F381="","",MAX(100,ROUNDDOWN($B$5/(管理!$F381*$B$3)/100,0)*100))</f>
      </c>
      <c r="D394">
        <f>IF(OR(管理!$F381="",管理!$U381=""),"",ROUND(管理!$V381-(管理!$F381+管理!$U381)*管理!$G381*$B$7-IF(管理!$C381="売",管理!$F381*管理!$G381*$B$8*管理!$W381/365,0),0))</f>
      </c>
    </row>
    <row r="395" spans="1:4">
      <c r="A395">
        <v>382</v>
      </c>
      <c r="B395">
        <f>IF(管理!$B382="","",IF(COUNTIFS(管理!$B$4:$B382,管理!$B382,管理!$C$4:$C382,管理!$C382)&gt;1,"⛔重複",""))</f>
      </c>
      <c r="C395">
        <f>IF(管理!$F382="","",MAX(100,ROUNDDOWN($B$5/(管理!$F382*$B$3)/100,0)*100))</f>
      </c>
      <c r="D395">
        <f>IF(OR(管理!$F382="",管理!$U382=""),"",ROUND(管理!$V382-(管理!$F382+管理!$U382)*管理!$G382*$B$7-IF(管理!$C382="売",管理!$F382*管理!$G382*$B$8*管理!$W382/365,0),0))</f>
      </c>
    </row>
    <row r="396" spans="1:4">
      <c r="A396">
        <v>383</v>
      </c>
      <c r="B396">
        <f>IF(管理!$B383="","",IF(COUNTIFS(管理!$B$4:$B383,管理!$B383,管理!$C$4:$C383,管理!$C383)&gt;1,"⛔重複",""))</f>
      </c>
      <c r="C396">
        <f>IF(管理!$F383="","",MAX(100,ROUNDDOWN($B$5/(管理!$F383*$B$3)/100,0)*100))</f>
      </c>
      <c r="D396">
        <f>IF(OR(管理!$F383="",管理!$U383=""),"",ROUND(管理!$V383-(管理!$F383+管理!$U383)*管理!$G383*$B$7-IF(管理!$C383="売",管理!$F383*管理!$G383*$B$8*管理!$W383/365,0),0))</f>
      </c>
    </row>
    <row r="397" spans="1:4">
      <c r="A397">
        <v>384</v>
      </c>
      <c r="B397">
        <f>IF(管理!$B384="","",IF(COUNTIFS(管理!$B$4:$B384,管理!$B384,管理!$C$4:$C384,管理!$C384)&gt;1,"⛔重複",""))</f>
      </c>
      <c r="C397">
        <f>IF(管理!$F384="","",MAX(100,ROUNDDOWN($B$5/(管理!$F384*$B$3)/100,0)*100))</f>
      </c>
      <c r="D397">
        <f>IF(OR(管理!$F384="",管理!$U384=""),"",ROUND(管理!$V384-(管理!$F384+管理!$U384)*管理!$G384*$B$7-IF(管理!$C384="売",管理!$F384*管理!$G384*$B$8*管理!$W384/365,0),0))</f>
      </c>
    </row>
    <row r="398" spans="1:4">
      <c r="A398">
        <v>385</v>
      </c>
      <c r="B398">
        <f>IF(管理!$B385="","",IF(COUNTIFS(管理!$B$4:$B385,管理!$B385,管理!$C$4:$C385,管理!$C385)&gt;1,"⛔重複",""))</f>
      </c>
      <c r="C398">
        <f>IF(管理!$F385="","",MAX(100,ROUNDDOWN($B$5/(管理!$F385*$B$3)/100,0)*100))</f>
      </c>
      <c r="D398">
        <f>IF(OR(管理!$F385="",管理!$U385=""),"",ROUND(管理!$V385-(管理!$F385+管理!$U385)*管理!$G385*$B$7-IF(管理!$C385="売",管理!$F385*管理!$G385*$B$8*管理!$W385/365,0),0))</f>
      </c>
    </row>
    <row r="399" spans="1:4">
      <c r="A399">
        <v>386</v>
      </c>
      <c r="B399">
        <f>IF(管理!$B386="","",IF(COUNTIFS(管理!$B$4:$B386,管理!$B386,管理!$C$4:$C386,管理!$C386)&gt;1,"⛔重複",""))</f>
      </c>
      <c r="C399">
        <f>IF(管理!$F386="","",MAX(100,ROUNDDOWN($B$5/(管理!$F386*$B$3)/100,0)*100))</f>
      </c>
      <c r="D399">
        <f>IF(OR(管理!$F386="",管理!$U386=""),"",ROUND(管理!$V386-(管理!$F386+管理!$U386)*管理!$G386*$B$7-IF(管理!$C386="売",管理!$F386*管理!$G386*$B$8*管理!$W386/365,0),0))</f>
      </c>
    </row>
    <row r="400" spans="1:4">
      <c r="A400">
        <v>387</v>
      </c>
      <c r="B400">
        <f>IF(管理!$B387="","",IF(COUNTIFS(管理!$B$4:$B387,管理!$B387,管理!$C$4:$C387,管理!$C387)&gt;1,"⛔重複",""))</f>
      </c>
      <c r="C400">
        <f>IF(管理!$F387="","",MAX(100,ROUNDDOWN($B$5/(管理!$F387*$B$3)/100,0)*100))</f>
      </c>
      <c r="D400">
        <f>IF(OR(管理!$F387="",管理!$U387=""),"",ROUND(管理!$V387-(管理!$F387+管理!$U387)*管理!$G387*$B$7-IF(管理!$C387="売",管理!$F387*管理!$G387*$B$8*管理!$W387/365,0),0))</f>
      </c>
    </row>
    <row r="401" spans="1:4">
      <c r="A401">
        <v>388</v>
      </c>
      <c r="B401">
        <f>IF(管理!$B388="","",IF(COUNTIFS(管理!$B$4:$B388,管理!$B388,管理!$C$4:$C388,管理!$C388)&gt;1,"⛔重複",""))</f>
      </c>
      <c r="C401">
        <f>IF(管理!$F388="","",MAX(100,ROUNDDOWN($B$5/(管理!$F388*$B$3)/100,0)*100))</f>
      </c>
      <c r="D401">
        <f>IF(OR(管理!$F388="",管理!$U388=""),"",ROUND(管理!$V388-(管理!$F388+管理!$U388)*管理!$G388*$B$7-IF(管理!$C388="売",管理!$F388*管理!$G388*$B$8*管理!$W388/365,0),0))</f>
      </c>
    </row>
    <row r="402" spans="1:4">
      <c r="A402">
        <v>389</v>
      </c>
      <c r="B402">
        <f>IF(管理!$B389="","",IF(COUNTIFS(管理!$B$4:$B389,管理!$B389,管理!$C$4:$C389,管理!$C389)&gt;1,"⛔重複",""))</f>
      </c>
      <c r="C402">
        <f>IF(管理!$F389="","",MAX(100,ROUNDDOWN($B$5/(管理!$F389*$B$3)/100,0)*100))</f>
      </c>
      <c r="D402">
        <f>IF(OR(管理!$F389="",管理!$U389=""),"",ROUND(管理!$V389-(管理!$F389+管理!$U389)*管理!$G389*$B$7-IF(管理!$C389="売",管理!$F389*管理!$G389*$B$8*管理!$W389/365,0),0))</f>
      </c>
    </row>
    <row r="403" spans="1:4">
      <c r="A403">
        <v>390</v>
      </c>
      <c r="B403">
        <f>IF(管理!$B390="","",IF(COUNTIFS(管理!$B$4:$B390,管理!$B390,管理!$C$4:$C390,管理!$C390)&gt;1,"⛔重複",""))</f>
      </c>
      <c r="C403">
        <f>IF(管理!$F390="","",MAX(100,ROUNDDOWN($B$5/(管理!$F390*$B$3)/100,0)*100))</f>
      </c>
      <c r="D403">
        <f>IF(OR(管理!$F390="",管理!$U390=""),"",ROUND(管理!$V390-(管理!$F390+管理!$U390)*管理!$G390*$B$7-IF(管理!$C390="売",管理!$F390*管理!$G390*$B$8*管理!$W390/365,0),0))</f>
      </c>
    </row>
    <row r="404" spans="1:4">
      <c r="A404">
        <v>391</v>
      </c>
      <c r="B404">
        <f>IF(管理!$B391="","",IF(COUNTIFS(管理!$B$4:$B391,管理!$B391,管理!$C$4:$C391,管理!$C391)&gt;1,"⛔重複",""))</f>
      </c>
      <c r="C404">
        <f>IF(管理!$F391="","",MAX(100,ROUNDDOWN($B$5/(管理!$F391*$B$3)/100,0)*100))</f>
      </c>
      <c r="D404">
        <f>IF(OR(管理!$F391="",管理!$U391=""),"",ROUND(管理!$V391-(管理!$F391+管理!$U391)*管理!$G391*$B$7-IF(管理!$C391="売",管理!$F391*管理!$G391*$B$8*管理!$W391/365,0),0))</f>
      </c>
    </row>
    <row r="405" spans="1:4">
      <c r="A405">
        <v>392</v>
      </c>
      <c r="B405">
        <f>IF(管理!$B392="","",IF(COUNTIFS(管理!$B$4:$B392,管理!$B392,管理!$C$4:$C392,管理!$C392)&gt;1,"⛔重複",""))</f>
      </c>
      <c r="C405">
        <f>IF(管理!$F392="","",MAX(100,ROUNDDOWN($B$5/(管理!$F392*$B$3)/100,0)*100))</f>
      </c>
      <c r="D405">
        <f>IF(OR(管理!$F392="",管理!$U392=""),"",ROUND(管理!$V392-(管理!$F392+管理!$U392)*管理!$G392*$B$7-IF(管理!$C392="売",管理!$F392*管理!$G392*$B$8*管理!$W392/365,0),0))</f>
      </c>
    </row>
    <row r="406" spans="1:4">
      <c r="A406">
        <v>393</v>
      </c>
      <c r="B406">
        <f>IF(管理!$B393="","",IF(COUNTIFS(管理!$B$4:$B393,管理!$B393,管理!$C$4:$C393,管理!$C393)&gt;1,"⛔重複",""))</f>
      </c>
      <c r="C406">
        <f>IF(管理!$F393="","",MAX(100,ROUNDDOWN($B$5/(管理!$F393*$B$3)/100,0)*100))</f>
      </c>
      <c r="D406">
        <f>IF(OR(管理!$F393="",管理!$U393=""),"",ROUND(管理!$V393-(管理!$F393+管理!$U393)*管理!$G393*$B$7-IF(管理!$C393="売",管理!$F393*管理!$G393*$B$8*管理!$W393/365,0),0))</f>
      </c>
    </row>
    <row r="407" spans="1:4">
      <c r="A407">
        <v>394</v>
      </c>
      <c r="B407">
        <f>IF(管理!$B394="","",IF(COUNTIFS(管理!$B$4:$B394,管理!$B394,管理!$C$4:$C394,管理!$C394)&gt;1,"⛔重複",""))</f>
      </c>
      <c r="C407">
        <f>IF(管理!$F394="","",MAX(100,ROUNDDOWN($B$5/(管理!$F394*$B$3)/100,0)*100))</f>
      </c>
      <c r="D407">
        <f>IF(OR(管理!$F394="",管理!$U394=""),"",ROUND(管理!$V394-(管理!$F394+管理!$U394)*管理!$G394*$B$7-IF(管理!$C394="売",管理!$F394*管理!$G394*$B$8*管理!$W394/365,0),0))</f>
      </c>
    </row>
    <row r="408" spans="1:4">
      <c r="A408">
        <v>395</v>
      </c>
      <c r="B408">
        <f>IF(管理!$B395="","",IF(COUNTIFS(管理!$B$4:$B395,管理!$B395,管理!$C$4:$C395,管理!$C395)&gt;1,"⛔重複",""))</f>
      </c>
      <c r="C408">
        <f>IF(管理!$F395="","",MAX(100,ROUNDDOWN($B$5/(管理!$F395*$B$3)/100,0)*100))</f>
      </c>
      <c r="D408">
        <f>IF(OR(管理!$F395="",管理!$U395=""),"",ROUND(管理!$V395-(管理!$F395+管理!$U395)*管理!$G395*$B$7-IF(管理!$C395="売",管理!$F395*管理!$G395*$B$8*管理!$W395/365,0),0))</f>
      </c>
    </row>
    <row r="409" spans="1:4">
      <c r="A409">
        <v>396</v>
      </c>
      <c r="B409">
        <f>IF(管理!$B396="","",IF(COUNTIFS(管理!$B$4:$B396,管理!$B396,管理!$C$4:$C396,管理!$C396)&gt;1,"⛔重複",""))</f>
      </c>
      <c r="C409">
        <f>IF(管理!$F396="","",MAX(100,ROUNDDOWN($B$5/(管理!$F396*$B$3)/100,0)*100))</f>
      </c>
      <c r="D409">
        <f>IF(OR(管理!$F396="",管理!$U396=""),"",ROUND(管理!$V396-(管理!$F396+管理!$U396)*管理!$G396*$B$7-IF(管理!$C396="売",管理!$F396*管理!$G396*$B$8*管理!$W396/365,0),0))</f>
      </c>
    </row>
    <row r="410" spans="1:4">
      <c r="A410">
        <v>397</v>
      </c>
      <c r="B410">
        <f>IF(管理!$B397="","",IF(COUNTIFS(管理!$B$4:$B397,管理!$B397,管理!$C$4:$C397,管理!$C397)&gt;1,"⛔重複",""))</f>
      </c>
      <c r="C410">
        <f>IF(管理!$F397="","",MAX(100,ROUNDDOWN($B$5/(管理!$F397*$B$3)/100,0)*100))</f>
      </c>
      <c r="D410">
        <f>IF(OR(管理!$F397="",管理!$U397=""),"",ROUND(管理!$V397-(管理!$F397+管理!$U397)*管理!$G397*$B$7-IF(管理!$C397="売",管理!$F397*管理!$G397*$B$8*管理!$W397/365,0),0))</f>
      </c>
    </row>
    <row r="411" spans="1:4">
      <c r="A411">
        <v>398</v>
      </c>
      <c r="B411">
        <f>IF(管理!$B398="","",IF(COUNTIFS(管理!$B$4:$B398,管理!$B398,管理!$C$4:$C398,管理!$C398)&gt;1,"⛔重複",""))</f>
      </c>
      <c r="C411">
        <f>IF(管理!$F398="","",MAX(100,ROUNDDOWN($B$5/(管理!$F398*$B$3)/100,0)*100))</f>
      </c>
      <c r="D411">
        <f>IF(OR(管理!$F398="",管理!$U398=""),"",ROUND(管理!$V398-(管理!$F398+管理!$U398)*管理!$G398*$B$7-IF(管理!$C398="売",管理!$F398*管理!$G398*$B$8*管理!$W398/365,0),0))</f>
      </c>
    </row>
    <row r="412" spans="1:4">
      <c r="A412">
        <v>399</v>
      </c>
      <c r="B412">
        <f>IF(管理!$B399="","",IF(COUNTIFS(管理!$B$4:$B399,管理!$B399,管理!$C$4:$C399,管理!$C399)&gt;1,"⛔重複",""))</f>
      </c>
      <c r="C412">
        <f>IF(管理!$F399="","",MAX(100,ROUNDDOWN($B$5/(管理!$F399*$B$3)/100,0)*100))</f>
      </c>
      <c r="D412">
        <f>IF(OR(管理!$F399="",管理!$U399=""),"",ROUND(管理!$V399-(管理!$F399+管理!$U399)*管理!$G399*$B$7-IF(管理!$C399="売",管理!$F399*管理!$G399*$B$8*管理!$W399/365,0),0))</f>
      </c>
    </row>
    <row r="413" spans="1:4">
      <c r="A413">
        <v>400</v>
      </c>
      <c r="B413">
        <f>IF(管理!$B400="","",IF(COUNTIFS(管理!$B$4:$B400,管理!$B400,管理!$C$4:$C400,管理!$C400)&gt;1,"⛔重複",""))</f>
      </c>
      <c r="C413">
        <f>IF(管理!$F400="","",MAX(100,ROUNDDOWN($B$5/(管理!$F400*$B$3)/100,0)*100))</f>
      </c>
      <c r="D413">
        <f>IF(OR(管理!$F400="",管理!$U400=""),"",ROUND(管理!$V400-(管理!$F400+管理!$U400)*管理!$G400*$B$7-IF(管理!$C400="売",管理!$F400*管理!$G400*$B$8*管理!$W400/365,0),0))</f>
      </c>
    </row>
    <row r="414" spans="1:4">
      <c r="A414">
        <v>401</v>
      </c>
      <c r="B414">
        <f>IF(管理!$B401="","",IF(COUNTIFS(管理!$B$4:$B401,管理!$B401,管理!$C$4:$C401,管理!$C401)&gt;1,"⛔重複",""))</f>
      </c>
      <c r="C414">
        <f>IF(管理!$F401="","",MAX(100,ROUNDDOWN($B$5/(管理!$F401*$B$3)/100,0)*100))</f>
      </c>
      <c r="D414">
        <f>IF(OR(管理!$F401="",管理!$U401=""),"",ROUND(管理!$V401-(管理!$F401+管理!$U401)*管理!$G401*$B$7-IF(管理!$C401="売",管理!$F401*管理!$G401*$B$8*管理!$W401/365,0),0))</f>
      </c>
    </row>
    <row r="415" spans="1:4">
      <c r="A415">
        <v>402</v>
      </c>
      <c r="B415">
        <f>IF(管理!$B402="","",IF(COUNTIFS(管理!$B$4:$B402,管理!$B402,管理!$C$4:$C402,管理!$C402)&gt;1,"⛔重複",""))</f>
      </c>
      <c r="C415">
        <f>IF(管理!$F402="","",MAX(100,ROUNDDOWN($B$5/(管理!$F402*$B$3)/100,0)*100))</f>
      </c>
      <c r="D415">
        <f>IF(OR(管理!$F402="",管理!$U402=""),"",ROUND(管理!$V402-(管理!$F402+管理!$U402)*管理!$G402*$B$7-IF(管理!$C402="売",管理!$F402*管理!$G402*$B$8*管理!$W402/365,0),0))</f>
      </c>
    </row>
    <row r="416" spans="1:4">
      <c r="A416">
        <v>403</v>
      </c>
      <c r="B416">
        <f>IF(管理!$B403="","",IF(COUNTIFS(管理!$B$4:$B403,管理!$B403,管理!$C$4:$C403,管理!$C403)&gt;1,"⛔重複",""))</f>
      </c>
      <c r="C416">
        <f>IF(管理!$F403="","",MAX(100,ROUNDDOWN($B$5/(管理!$F403*$B$3)/100,0)*100))</f>
      </c>
      <c r="D416">
        <f>IF(OR(管理!$F403="",管理!$U403=""),"",ROUND(管理!$V403-(管理!$F403+管理!$U403)*管理!$G403*$B$7-IF(管理!$C403="売",管理!$F403*管理!$G403*$B$8*管理!$W403/365,0),0))</f>
      </c>
    </row>
    <row r="417" spans="1:4">
      <c r="A417">
        <v>404</v>
      </c>
      <c r="B417">
        <f>IF(管理!$B404="","",IF(COUNTIFS(管理!$B$4:$B404,管理!$B404,管理!$C$4:$C404,管理!$C404)&gt;1,"⛔重複",""))</f>
      </c>
      <c r="C417">
        <f>IF(管理!$F404="","",MAX(100,ROUNDDOWN($B$5/(管理!$F404*$B$3)/100,0)*100))</f>
      </c>
      <c r="D417">
        <f>IF(OR(管理!$F404="",管理!$U404=""),"",ROUND(管理!$V404-(管理!$F404+管理!$U404)*管理!$G404*$B$7-IF(管理!$C404="売",管理!$F404*管理!$G404*$B$8*管理!$W404/365,0),0))</f>
      </c>
    </row>
    <row r="418" spans="1:4">
      <c r="A418">
        <v>405</v>
      </c>
      <c r="B418">
        <f>IF(管理!$B405="","",IF(COUNTIFS(管理!$B$4:$B405,管理!$B405,管理!$C$4:$C405,管理!$C405)&gt;1,"⛔重複",""))</f>
      </c>
      <c r="C418">
        <f>IF(管理!$F405="","",MAX(100,ROUNDDOWN($B$5/(管理!$F405*$B$3)/100,0)*100))</f>
      </c>
      <c r="D418">
        <f>IF(OR(管理!$F405="",管理!$U405=""),"",ROUND(管理!$V405-(管理!$F405+管理!$U405)*管理!$G405*$B$7-IF(管理!$C405="売",管理!$F405*管理!$G405*$B$8*管理!$W405/365,0),0))</f>
      </c>
    </row>
    <row r="419" spans="1:4">
      <c r="A419">
        <v>406</v>
      </c>
      <c r="B419">
        <f>IF(管理!$B406="","",IF(COUNTIFS(管理!$B$4:$B406,管理!$B406,管理!$C$4:$C406,管理!$C406)&gt;1,"⛔重複",""))</f>
      </c>
      <c r="C419">
        <f>IF(管理!$F406="","",MAX(100,ROUNDDOWN($B$5/(管理!$F406*$B$3)/100,0)*100))</f>
      </c>
      <c r="D419">
        <f>IF(OR(管理!$F406="",管理!$U406=""),"",ROUND(管理!$V406-(管理!$F406+管理!$U406)*管理!$G406*$B$7-IF(管理!$C406="売",管理!$F406*管理!$G406*$B$8*管理!$W406/365,0),0))</f>
      </c>
    </row>
    <row r="420" spans="1:4">
      <c r="A420">
        <v>407</v>
      </c>
      <c r="B420">
        <f>IF(管理!$B407="","",IF(COUNTIFS(管理!$B$4:$B407,管理!$B407,管理!$C$4:$C407,管理!$C407)&gt;1,"⛔重複",""))</f>
      </c>
      <c r="C420">
        <f>IF(管理!$F407="","",MAX(100,ROUNDDOWN($B$5/(管理!$F407*$B$3)/100,0)*100))</f>
      </c>
      <c r="D420">
        <f>IF(OR(管理!$F407="",管理!$U407=""),"",ROUND(管理!$V407-(管理!$F407+管理!$U407)*管理!$G407*$B$7-IF(管理!$C407="売",管理!$F407*管理!$G407*$B$8*管理!$W407/365,0),0))</f>
      </c>
    </row>
    <row r="421" spans="1:4">
      <c r="A421">
        <v>408</v>
      </c>
      <c r="B421">
        <f>IF(管理!$B408="","",IF(COUNTIFS(管理!$B$4:$B408,管理!$B408,管理!$C$4:$C408,管理!$C408)&gt;1,"⛔重複",""))</f>
      </c>
      <c r="C421">
        <f>IF(管理!$F408="","",MAX(100,ROUNDDOWN($B$5/(管理!$F408*$B$3)/100,0)*100))</f>
      </c>
      <c r="D421">
        <f>IF(OR(管理!$F408="",管理!$U408=""),"",ROUND(管理!$V408-(管理!$F408+管理!$U408)*管理!$G408*$B$7-IF(管理!$C408="売",管理!$F408*管理!$G408*$B$8*管理!$W408/365,0),0))</f>
      </c>
    </row>
    <row r="422" spans="1:4">
      <c r="A422">
        <v>409</v>
      </c>
      <c r="B422">
        <f>IF(管理!$B409="","",IF(COUNTIFS(管理!$B$4:$B409,管理!$B409,管理!$C$4:$C409,管理!$C409)&gt;1,"⛔重複",""))</f>
      </c>
      <c r="C422">
        <f>IF(管理!$F409="","",MAX(100,ROUNDDOWN($B$5/(管理!$F409*$B$3)/100,0)*100))</f>
      </c>
      <c r="D422">
        <f>IF(OR(管理!$F409="",管理!$U409=""),"",ROUND(管理!$V409-(管理!$F409+管理!$U409)*管理!$G409*$B$7-IF(管理!$C409="売",管理!$F409*管理!$G409*$B$8*管理!$W409/365,0),0))</f>
      </c>
    </row>
    <row r="423" spans="1:4">
      <c r="A423">
        <v>410</v>
      </c>
      <c r="B423">
        <f>IF(管理!$B410="","",IF(COUNTIFS(管理!$B$4:$B410,管理!$B410,管理!$C$4:$C410,管理!$C410)&gt;1,"⛔重複",""))</f>
      </c>
      <c r="C423">
        <f>IF(管理!$F410="","",MAX(100,ROUNDDOWN($B$5/(管理!$F410*$B$3)/100,0)*100))</f>
      </c>
      <c r="D423">
        <f>IF(OR(管理!$F410="",管理!$U410=""),"",ROUND(管理!$V410-(管理!$F410+管理!$U410)*管理!$G410*$B$7-IF(管理!$C410="売",管理!$F410*管理!$G410*$B$8*管理!$W410/365,0),0))</f>
      </c>
    </row>
    <row r="424" spans="1:4">
      <c r="A424">
        <v>411</v>
      </c>
      <c r="B424">
        <f>IF(管理!$B411="","",IF(COUNTIFS(管理!$B$4:$B411,管理!$B411,管理!$C$4:$C411,管理!$C411)&gt;1,"⛔重複",""))</f>
      </c>
      <c r="C424">
        <f>IF(管理!$F411="","",MAX(100,ROUNDDOWN($B$5/(管理!$F411*$B$3)/100,0)*100))</f>
      </c>
      <c r="D424">
        <f>IF(OR(管理!$F411="",管理!$U411=""),"",ROUND(管理!$V411-(管理!$F411+管理!$U411)*管理!$G411*$B$7-IF(管理!$C411="売",管理!$F411*管理!$G411*$B$8*管理!$W411/365,0),0))</f>
      </c>
    </row>
    <row r="425" spans="1:4">
      <c r="A425">
        <v>412</v>
      </c>
      <c r="B425">
        <f>IF(管理!$B412="","",IF(COUNTIFS(管理!$B$4:$B412,管理!$B412,管理!$C$4:$C412,管理!$C412)&gt;1,"⛔重複",""))</f>
      </c>
      <c r="C425">
        <f>IF(管理!$F412="","",MAX(100,ROUNDDOWN($B$5/(管理!$F412*$B$3)/100,0)*100))</f>
      </c>
      <c r="D425">
        <f>IF(OR(管理!$F412="",管理!$U412=""),"",ROUND(管理!$V412-(管理!$F412+管理!$U412)*管理!$G412*$B$7-IF(管理!$C412="売",管理!$F412*管理!$G412*$B$8*管理!$W412/365,0),0))</f>
      </c>
    </row>
    <row r="426" spans="1:4">
      <c r="A426">
        <v>413</v>
      </c>
      <c r="B426">
        <f>IF(管理!$B413="","",IF(COUNTIFS(管理!$B$4:$B413,管理!$B413,管理!$C$4:$C413,管理!$C413)&gt;1,"⛔重複",""))</f>
      </c>
      <c r="C426">
        <f>IF(管理!$F413="","",MAX(100,ROUNDDOWN($B$5/(管理!$F413*$B$3)/100,0)*100))</f>
      </c>
      <c r="D426">
        <f>IF(OR(管理!$F413="",管理!$U413=""),"",ROUND(管理!$V413-(管理!$F413+管理!$U413)*管理!$G413*$B$7-IF(管理!$C413="売",管理!$F413*管理!$G413*$B$8*管理!$W413/365,0),0))</f>
      </c>
    </row>
    <row r="427" spans="1:4">
      <c r="A427">
        <v>414</v>
      </c>
      <c r="B427">
        <f>IF(管理!$B414="","",IF(COUNTIFS(管理!$B$4:$B414,管理!$B414,管理!$C$4:$C414,管理!$C414)&gt;1,"⛔重複",""))</f>
      </c>
      <c r="C427">
        <f>IF(管理!$F414="","",MAX(100,ROUNDDOWN($B$5/(管理!$F414*$B$3)/100,0)*100))</f>
      </c>
      <c r="D427">
        <f>IF(OR(管理!$F414="",管理!$U414=""),"",ROUND(管理!$V414-(管理!$F414+管理!$U414)*管理!$G414*$B$7-IF(管理!$C414="売",管理!$F414*管理!$G414*$B$8*管理!$W414/365,0),0))</f>
      </c>
    </row>
    <row r="428" spans="1:4">
      <c r="A428">
        <v>415</v>
      </c>
      <c r="B428">
        <f>IF(管理!$B415="","",IF(COUNTIFS(管理!$B$4:$B415,管理!$B415,管理!$C$4:$C415,管理!$C415)&gt;1,"⛔重複",""))</f>
      </c>
      <c r="C428">
        <f>IF(管理!$F415="","",MAX(100,ROUNDDOWN($B$5/(管理!$F415*$B$3)/100,0)*100))</f>
      </c>
      <c r="D428">
        <f>IF(OR(管理!$F415="",管理!$U415=""),"",ROUND(管理!$V415-(管理!$F415+管理!$U415)*管理!$G415*$B$7-IF(管理!$C415="売",管理!$F415*管理!$G415*$B$8*管理!$W415/365,0),0))</f>
      </c>
    </row>
    <row r="429" spans="1:4">
      <c r="A429">
        <v>416</v>
      </c>
      <c r="B429">
        <f>IF(管理!$B416="","",IF(COUNTIFS(管理!$B$4:$B416,管理!$B416,管理!$C$4:$C416,管理!$C416)&gt;1,"⛔重複",""))</f>
      </c>
      <c r="C429">
        <f>IF(管理!$F416="","",MAX(100,ROUNDDOWN($B$5/(管理!$F416*$B$3)/100,0)*100))</f>
      </c>
      <c r="D429">
        <f>IF(OR(管理!$F416="",管理!$U416=""),"",ROUND(管理!$V416-(管理!$F416+管理!$U416)*管理!$G416*$B$7-IF(管理!$C416="売",管理!$F416*管理!$G416*$B$8*管理!$W416/365,0),0))</f>
      </c>
    </row>
    <row r="430" spans="1:4">
      <c r="A430">
        <v>417</v>
      </c>
      <c r="B430">
        <f>IF(管理!$B417="","",IF(COUNTIFS(管理!$B$4:$B417,管理!$B417,管理!$C$4:$C417,管理!$C417)&gt;1,"⛔重複",""))</f>
      </c>
      <c r="C430">
        <f>IF(管理!$F417="","",MAX(100,ROUNDDOWN($B$5/(管理!$F417*$B$3)/100,0)*100))</f>
      </c>
      <c r="D430">
        <f>IF(OR(管理!$F417="",管理!$U417=""),"",ROUND(管理!$V417-(管理!$F417+管理!$U417)*管理!$G417*$B$7-IF(管理!$C417="売",管理!$F417*管理!$G417*$B$8*管理!$W417/365,0),0))</f>
      </c>
    </row>
    <row r="431" spans="1:4">
      <c r="A431">
        <v>418</v>
      </c>
      <c r="B431">
        <f>IF(管理!$B418="","",IF(COUNTIFS(管理!$B$4:$B418,管理!$B418,管理!$C$4:$C418,管理!$C418)&gt;1,"⛔重複",""))</f>
      </c>
      <c r="C431">
        <f>IF(管理!$F418="","",MAX(100,ROUNDDOWN($B$5/(管理!$F418*$B$3)/100,0)*100))</f>
      </c>
      <c r="D431">
        <f>IF(OR(管理!$F418="",管理!$U418=""),"",ROUND(管理!$V418-(管理!$F418+管理!$U418)*管理!$G418*$B$7-IF(管理!$C418="売",管理!$F418*管理!$G418*$B$8*管理!$W418/365,0),0))</f>
      </c>
    </row>
    <row r="432" spans="1:4">
      <c r="A432">
        <v>419</v>
      </c>
      <c r="B432">
        <f>IF(管理!$B419="","",IF(COUNTIFS(管理!$B$4:$B419,管理!$B419,管理!$C$4:$C419,管理!$C419)&gt;1,"⛔重複",""))</f>
      </c>
      <c r="C432">
        <f>IF(管理!$F419="","",MAX(100,ROUNDDOWN($B$5/(管理!$F419*$B$3)/100,0)*100))</f>
      </c>
      <c r="D432">
        <f>IF(OR(管理!$F419="",管理!$U419=""),"",ROUND(管理!$V419-(管理!$F419+管理!$U419)*管理!$G419*$B$7-IF(管理!$C419="売",管理!$F419*管理!$G419*$B$8*管理!$W419/365,0),0))</f>
      </c>
    </row>
    <row r="433" spans="1:4">
      <c r="A433">
        <v>420</v>
      </c>
      <c r="B433">
        <f>IF(管理!$B420="","",IF(COUNTIFS(管理!$B$4:$B420,管理!$B420,管理!$C$4:$C420,管理!$C420)&gt;1,"⛔重複",""))</f>
      </c>
      <c r="C433">
        <f>IF(管理!$F420="","",MAX(100,ROUNDDOWN($B$5/(管理!$F420*$B$3)/100,0)*100))</f>
      </c>
      <c r="D433">
        <f>IF(OR(管理!$F420="",管理!$U420=""),"",ROUND(管理!$V420-(管理!$F420+管理!$U420)*管理!$G420*$B$7-IF(管理!$C420="売",管理!$F420*管理!$G420*$B$8*管理!$W420/365,0),0))</f>
      </c>
    </row>
    <row r="434" spans="1:4">
      <c r="A434">
        <v>421</v>
      </c>
      <c r="B434">
        <f>IF(管理!$B421="","",IF(COUNTIFS(管理!$B$4:$B421,管理!$B421,管理!$C$4:$C421,管理!$C421)&gt;1,"⛔重複",""))</f>
      </c>
      <c r="C434">
        <f>IF(管理!$F421="","",MAX(100,ROUNDDOWN($B$5/(管理!$F421*$B$3)/100,0)*100))</f>
      </c>
      <c r="D434">
        <f>IF(OR(管理!$F421="",管理!$U421=""),"",ROUND(管理!$V421-(管理!$F421+管理!$U421)*管理!$G421*$B$7-IF(管理!$C421="売",管理!$F421*管理!$G421*$B$8*管理!$W421/365,0),0))</f>
      </c>
    </row>
    <row r="435" spans="1:4">
      <c r="A435">
        <v>422</v>
      </c>
      <c r="B435">
        <f>IF(管理!$B422="","",IF(COUNTIFS(管理!$B$4:$B422,管理!$B422,管理!$C$4:$C422,管理!$C422)&gt;1,"⛔重複",""))</f>
      </c>
      <c r="C435">
        <f>IF(管理!$F422="","",MAX(100,ROUNDDOWN($B$5/(管理!$F422*$B$3)/100,0)*100))</f>
      </c>
      <c r="D435">
        <f>IF(OR(管理!$F422="",管理!$U422=""),"",ROUND(管理!$V422-(管理!$F422+管理!$U422)*管理!$G422*$B$7-IF(管理!$C422="売",管理!$F422*管理!$G422*$B$8*管理!$W422/365,0),0))</f>
      </c>
    </row>
    <row r="436" spans="1:4">
      <c r="A436">
        <v>423</v>
      </c>
      <c r="B436">
        <f>IF(管理!$B423="","",IF(COUNTIFS(管理!$B$4:$B423,管理!$B423,管理!$C$4:$C423,管理!$C423)&gt;1,"⛔重複",""))</f>
      </c>
      <c r="C436">
        <f>IF(管理!$F423="","",MAX(100,ROUNDDOWN($B$5/(管理!$F423*$B$3)/100,0)*100))</f>
      </c>
      <c r="D436">
        <f>IF(OR(管理!$F423="",管理!$U423=""),"",ROUND(管理!$V423-(管理!$F423+管理!$U423)*管理!$G423*$B$7-IF(管理!$C423="売",管理!$F423*管理!$G423*$B$8*管理!$W423/365,0),0))</f>
      </c>
    </row>
    <row r="437" spans="1:4">
      <c r="A437">
        <v>424</v>
      </c>
      <c r="B437">
        <f>IF(管理!$B424="","",IF(COUNTIFS(管理!$B$4:$B424,管理!$B424,管理!$C$4:$C424,管理!$C424)&gt;1,"⛔重複",""))</f>
      </c>
      <c r="C437">
        <f>IF(管理!$F424="","",MAX(100,ROUNDDOWN($B$5/(管理!$F424*$B$3)/100,0)*100))</f>
      </c>
      <c r="D437">
        <f>IF(OR(管理!$F424="",管理!$U424=""),"",ROUND(管理!$V424-(管理!$F424+管理!$U424)*管理!$G424*$B$7-IF(管理!$C424="売",管理!$F424*管理!$G424*$B$8*管理!$W424/365,0),0))</f>
      </c>
    </row>
    <row r="438" spans="1:4">
      <c r="A438">
        <v>425</v>
      </c>
      <c r="B438">
        <f>IF(管理!$B425="","",IF(COUNTIFS(管理!$B$4:$B425,管理!$B425,管理!$C$4:$C425,管理!$C425)&gt;1,"⛔重複",""))</f>
      </c>
      <c r="C438">
        <f>IF(管理!$F425="","",MAX(100,ROUNDDOWN($B$5/(管理!$F425*$B$3)/100,0)*100))</f>
      </c>
      <c r="D438">
        <f>IF(OR(管理!$F425="",管理!$U425=""),"",ROUND(管理!$V425-(管理!$F425+管理!$U425)*管理!$G425*$B$7-IF(管理!$C425="売",管理!$F425*管理!$G425*$B$8*管理!$W425/365,0),0))</f>
      </c>
    </row>
    <row r="439" spans="1:4">
      <c r="A439">
        <v>426</v>
      </c>
      <c r="B439">
        <f>IF(管理!$B426="","",IF(COUNTIFS(管理!$B$4:$B426,管理!$B426,管理!$C$4:$C426,管理!$C426)&gt;1,"⛔重複",""))</f>
      </c>
      <c r="C439">
        <f>IF(管理!$F426="","",MAX(100,ROUNDDOWN($B$5/(管理!$F426*$B$3)/100,0)*100))</f>
      </c>
      <c r="D439">
        <f>IF(OR(管理!$F426="",管理!$U426=""),"",ROUND(管理!$V426-(管理!$F426+管理!$U426)*管理!$G426*$B$7-IF(管理!$C426="売",管理!$F426*管理!$G426*$B$8*管理!$W426/365,0),0))</f>
      </c>
    </row>
    <row r="440" spans="1:4">
      <c r="A440">
        <v>427</v>
      </c>
      <c r="B440">
        <f>IF(管理!$B427="","",IF(COUNTIFS(管理!$B$4:$B427,管理!$B427,管理!$C$4:$C427,管理!$C427)&gt;1,"⛔重複",""))</f>
      </c>
      <c r="C440">
        <f>IF(管理!$F427="","",MAX(100,ROUNDDOWN($B$5/(管理!$F427*$B$3)/100,0)*100))</f>
      </c>
      <c r="D440">
        <f>IF(OR(管理!$F427="",管理!$U427=""),"",ROUND(管理!$V427-(管理!$F427+管理!$U427)*管理!$G427*$B$7-IF(管理!$C427="売",管理!$F427*管理!$G427*$B$8*管理!$W427/365,0),0))</f>
      </c>
    </row>
    <row r="441" spans="1:4">
      <c r="A441">
        <v>428</v>
      </c>
      <c r="B441">
        <f>IF(管理!$B428="","",IF(COUNTIFS(管理!$B$4:$B428,管理!$B428,管理!$C$4:$C428,管理!$C428)&gt;1,"⛔重複",""))</f>
      </c>
      <c r="C441">
        <f>IF(管理!$F428="","",MAX(100,ROUNDDOWN($B$5/(管理!$F428*$B$3)/100,0)*100))</f>
      </c>
      <c r="D441">
        <f>IF(OR(管理!$F428="",管理!$U428=""),"",ROUND(管理!$V428-(管理!$F428+管理!$U428)*管理!$G428*$B$7-IF(管理!$C428="売",管理!$F428*管理!$G428*$B$8*管理!$W428/365,0),0))</f>
      </c>
    </row>
    <row r="442" spans="1:4">
      <c r="A442">
        <v>429</v>
      </c>
      <c r="B442">
        <f>IF(管理!$B429="","",IF(COUNTIFS(管理!$B$4:$B429,管理!$B429,管理!$C$4:$C429,管理!$C429)&gt;1,"⛔重複",""))</f>
      </c>
      <c r="C442">
        <f>IF(管理!$F429="","",MAX(100,ROUNDDOWN($B$5/(管理!$F429*$B$3)/100,0)*100))</f>
      </c>
      <c r="D442">
        <f>IF(OR(管理!$F429="",管理!$U429=""),"",ROUND(管理!$V429-(管理!$F429+管理!$U429)*管理!$G429*$B$7-IF(管理!$C429="売",管理!$F429*管理!$G429*$B$8*管理!$W429/365,0),0))</f>
      </c>
    </row>
    <row r="443" spans="1:4">
      <c r="A443">
        <v>430</v>
      </c>
      <c r="B443">
        <f>IF(管理!$B430="","",IF(COUNTIFS(管理!$B$4:$B430,管理!$B430,管理!$C$4:$C430,管理!$C430)&gt;1,"⛔重複",""))</f>
      </c>
      <c r="C443">
        <f>IF(管理!$F430="","",MAX(100,ROUNDDOWN($B$5/(管理!$F430*$B$3)/100,0)*100))</f>
      </c>
      <c r="D443">
        <f>IF(OR(管理!$F430="",管理!$U430=""),"",ROUND(管理!$V430-(管理!$F430+管理!$U430)*管理!$G430*$B$7-IF(管理!$C430="売",管理!$F430*管理!$G430*$B$8*管理!$W430/365,0),0))</f>
      </c>
    </row>
    <row r="444" spans="1:4">
      <c r="A444">
        <v>431</v>
      </c>
      <c r="B444">
        <f>IF(管理!$B431="","",IF(COUNTIFS(管理!$B$4:$B431,管理!$B431,管理!$C$4:$C431,管理!$C431)&gt;1,"⛔重複",""))</f>
      </c>
      <c r="C444">
        <f>IF(管理!$F431="","",MAX(100,ROUNDDOWN($B$5/(管理!$F431*$B$3)/100,0)*100))</f>
      </c>
      <c r="D444">
        <f>IF(OR(管理!$F431="",管理!$U431=""),"",ROUND(管理!$V431-(管理!$F431+管理!$U431)*管理!$G431*$B$7-IF(管理!$C431="売",管理!$F431*管理!$G431*$B$8*管理!$W431/365,0),0))</f>
      </c>
    </row>
    <row r="445" spans="1:4">
      <c r="A445">
        <v>432</v>
      </c>
      <c r="B445">
        <f>IF(管理!$B432="","",IF(COUNTIFS(管理!$B$4:$B432,管理!$B432,管理!$C$4:$C432,管理!$C432)&gt;1,"⛔重複",""))</f>
      </c>
      <c r="C445">
        <f>IF(管理!$F432="","",MAX(100,ROUNDDOWN($B$5/(管理!$F432*$B$3)/100,0)*100))</f>
      </c>
      <c r="D445">
        <f>IF(OR(管理!$F432="",管理!$U432=""),"",ROUND(管理!$V432-(管理!$F432+管理!$U432)*管理!$G432*$B$7-IF(管理!$C432="売",管理!$F432*管理!$G432*$B$8*管理!$W432/365,0),0))</f>
      </c>
    </row>
    <row r="446" spans="1:4">
      <c r="A446">
        <v>433</v>
      </c>
      <c r="B446">
        <f>IF(管理!$B433="","",IF(COUNTIFS(管理!$B$4:$B433,管理!$B433,管理!$C$4:$C433,管理!$C433)&gt;1,"⛔重複",""))</f>
      </c>
      <c r="C446">
        <f>IF(管理!$F433="","",MAX(100,ROUNDDOWN($B$5/(管理!$F433*$B$3)/100,0)*100))</f>
      </c>
      <c r="D446">
        <f>IF(OR(管理!$F433="",管理!$U433=""),"",ROUND(管理!$V433-(管理!$F433+管理!$U433)*管理!$G433*$B$7-IF(管理!$C433="売",管理!$F433*管理!$G433*$B$8*管理!$W433/365,0),0))</f>
      </c>
    </row>
    <row r="447" spans="1:4">
      <c r="A447">
        <v>434</v>
      </c>
      <c r="B447">
        <f>IF(管理!$B434="","",IF(COUNTIFS(管理!$B$4:$B434,管理!$B434,管理!$C$4:$C434,管理!$C434)&gt;1,"⛔重複",""))</f>
      </c>
      <c r="C447">
        <f>IF(管理!$F434="","",MAX(100,ROUNDDOWN($B$5/(管理!$F434*$B$3)/100,0)*100))</f>
      </c>
      <c r="D447">
        <f>IF(OR(管理!$F434="",管理!$U434=""),"",ROUND(管理!$V434-(管理!$F434+管理!$U434)*管理!$G434*$B$7-IF(管理!$C434="売",管理!$F434*管理!$G434*$B$8*管理!$W434/365,0),0))</f>
      </c>
    </row>
    <row r="448" spans="1:4">
      <c r="A448">
        <v>435</v>
      </c>
      <c r="B448">
        <f>IF(管理!$B435="","",IF(COUNTIFS(管理!$B$4:$B435,管理!$B435,管理!$C$4:$C435,管理!$C435)&gt;1,"⛔重複",""))</f>
      </c>
      <c r="C448">
        <f>IF(管理!$F435="","",MAX(100,ROUNDDOWN($B$5/(管理!$F435*$B$3)/100,0)*100))</f>
      </c>
      <c r="D448">
        <f>IF(OR(管理!$F435="",管理!$U435=""),"",ROUND(管理!$V435-(管理!$F435+管理!$U435)*管理!$G435*$B$7-IF(管理!$C435="売",管理!$F435*管理!$G435*$B$8*管理!$W435/365,0),0))</f>
      </c>
    </row>
    <row r="449" spans="1:4">
      <c r="A449">
        <v>436</v>
      </c>
      <c r="B449">
        <f>IF(管理!$B436="","",IF(COUNTIFS(管理!$B$4:$B436,管理!$B436,管理!$C$4:$C436,管理!$C436)&gt;1,"⛔重複",""))</f>
      </c>
      <c r="C449">
        <f>IF(管理!$F436="","",MAX(100,ROUNDDOWN($B$5/(管理!$F436*$B$3)/100,0)*100))</f>
      </c>
      <c r="D449">
        <f>IF(OR(管理!$F436="",管理!$U436=""),"",ROUND(管理!$V436-(管理!$F436+管理!$U436)*管理!$G436*$B$7-IF(管理!$C436="売",管理!$F436*管理!$G436*$B$8*管理!$W436/365,0),0))</f>
      </c>
    </row>
    <row r="450" spans="1:4">
      <c r="A450">
        <v>437</v>
      </c>
      <c r="B450">
        <f>IF(管理!$B437="","",IF(COUNTIFS(管理!$B$4:$B437,管理!$B437,管理!$C$4:$C437,管理!$C437)&gt;1,"⛔重複",""))</f>
      </c>
      <c r="C450">
        <f>IF(管理!$F437="","",MAX(100,ROUNDDOWN($B$5/(管理!$F437*$B$3)/100,0)*100))</f>
      </c>
      <c r="D450">
        <f>IF(OR(管理!$F437="",管理!$U437=""),"",ROUND(管理!$V437-(管理!$F437+管理!$U437)*管理!$G437*$B$7-IF(管理!$C437="売",管理!$F437*管理!$G437*$B$8*管理!$W437/365,0),0))</f>
      </c>
    </row>
    <row r="451" spans="1:4">
      <c r="A451">
        <v>438</v>
      </c>
      <c r="B451">
        <f>IF(管理!$B438="","",IF(COUNTIFS(管理!$B$4:$B438,管理!$B438,管理!$C$4:$C438,管理!$C438)&gt;1,"⛔重複",""))</f>
      </c>
      <c r="C451">
        <f>IF(管理!$F438="","",MAX(100,ROUNDDOWN($B$5/(管理!$F438*$B$3)/100,0)*100))</f>
      </c>
      <c r="D451">
        <f>IF(OR(管理!$F438="",管理!$U438=""),"",ROUND(管理!$V438-(管理!$F438+管理!$U438)*管理!$G438*$B$7-IF(管理!$C438="売",管理!$F438*管理!$G438*$B$8*管理!$W438/365,0),0))</f>
      </c>
    </row>
    <row r="452" spans="1:4">
      <c r="A452">
        <v>439</v>
      </c>
      <c r="B452">
        <f>IF(管理!$B439="","",IF(COUNTIFS(管理!$B$4:$B439,管理!$B439,管理!$C$4:$C439,管理!$C439)&gt;1,"⛔重複",""))</f>
      </c>
      <c r="C452">
        <f>IF(管理!$F439="","",MAX(100,ROUNDDOWN($B$5/(管理!$F439*$B$3)/100,0)*100))</f>
      </c>
      <c r="D452">
        <f>IF(OR(管理!$F439="",管理!$U439=""),"",ROUND(管理!$V439-(管理!$F439+管理!$U439)*管理!$G439*$B$7-IF(管理!$C439="売",管理!$F439*管理!$G439*$B$8*管理!$W439/365,0),0))</f>
      </c>
    </row>
    <row r="453" spans="1:4">
      <c r="A453">
        <v>440</v>
      </c>
      <c r="B453">
        <f>IF(管理!$B440="","",IF(COUNTIFS(管理!$B$4:$B440,管理!$B440,管理!$C$4:$C440,管理!$C440)&gt;1,"⛔重複",""))</f>
      </c>
      <c r="C453">
        <f>IF(管理!$F440="","",MAX(100,ROUNDDOWN($B$5/(管理!$F440*$B$3)/100,0)*100))</f>
      </c>
      <c r="D453">
        <f>IF(OR(管理!$F440="",管理!$U440=""),"",ROUND(管理!$V440-(管理!$F440+管理!$U440)*管理!$G440*$B$7-IF(管理!$C440="売",管理!$F440*管理!$G440*$B$8*管理!$W440/365,0),0))</f>
      </c>
    </row>
    <row r="454" spans="1:4">
      <c r="A454">
        <v>441</v>
      </c>
      <c r="B454">
        <f>IF(管理!$B441="","",IF(COUNTIFS(管理!$B$4:$B441,管理!$B441,管理!$C$4:$C441,管理!$C441)&gt;1,"⛔重複",""))</f>
      </c>
      <c r="C454">
        <f>IF(管理!$F441="","",MAX(100,ROUNDDOWN($B$5/(管理!$F441*$B$3)/100,0)*100))</f>
      </c>
      <c r="D454">
        <f>IF(OR(管理!$F441="",管理!$U441=""),"",ROUND(管理!$V441-(管理!$F441+管理!$U441)*管理!$G441*$B$7-IF(管理!$C441="売",管理!$F441*管理!$G441*$B$8*管理!$W441/365,0),0))</f>
      </c>
    </row>
    <row r="455" spans="1:4">
      <c r="A455">
        <v>442</v>
      </c>
      <c r="B455">
        <f>IF(管理!$B442="","",IF(COUNTIFS(管理!$B$4:$B442,管理!$B442,管理!$C$4:$C442,管理!$C442)&gt;1,"⛔重複",""))</f>
      </c>
      <c r="C455">
        <f>IF(管理!$F442="","",MAX(100,ROUNDDOWN($B$5/(管理!$F442*$B$3)/100,0)*100))</f>
      </c>
      <c r="D455">
        <f>IF(OR(管理!$F442="",管理!$U442=""),"",ROUND(管理!$V442-(管理!$F442+管理!$U442)*管理!$G442*$B$7-IF(管理!$C442="売",管理!$F442*管理!$G442*$B$8*管理!$W442/365,0),0))</f>
      </c>
    </row>
    <row r="456" spans="1:4">
      <c r="A456">
        <v>443</v>
      </c>
      <c r="B456">
        <f>IF(管理!$B443="","",IF(COUNTIFS(管理!$B$4:$B443,管理!$B443,管理!$C$4:$C443,管理!$C443)&gt;1,"⛔重複",""))</f>
      </c>
      <c r="C456">
        <f>IF(管理!$F443="","",MAX(100,ROUNDDOWN($B$5/(管理!$F443*$B$3)/100,0)*100))</f>
      </c>
      <c r="D456">
        <f>IF(OR(管理!$F443="",管理!$U443=""),"",ROUND(管理!$V443-(管理!$F443+管理!$U443)*管理!$G443*$B$7-IF(管理!$C443="売",管理!$F443*管理!$G443*$B$8*管理!$W443/365,0),0))</f>
      </c>
    </row>
    <row r="457" spans="1:4">
      <c r="A457">
        <v>444</v>
      </c>
      <c r="B457">
        <f>IF(管理!$B444="","",IF(COUNTIFS(管理!$B$4:$B444,管理!$B444,管理!$C$4:$C444,管理!$C444)&gt;1,"⛔重複",""))</f>
      </c>
      <c r="C457">
        <f>IF(管理!$F444="","",MAX(100,ROUNDDOWN($B$5/(管理!$F444*$B$3)/100,0)*100))</f>
      </c>
      <c r="D457">
        <f>IF(OR(管理!$F444="",管理!$U444=""),"",ROUND(管理!$V444-(管理!$F444+管理!$U444)*管理!$G444*$B$7-IF(管理!$C444="売",管理!$F444*管理!$G444*$B$8*管理!$W444/365,0),0))</f>
      </c>
    </row>
    <row r="458" spans="1:4">
      <c r="A458">
        <v>445</v>
      </c>
      <c r="B458">
        <f>IF(管理!$B445="","",IF(COUNTIFS(管理!$B$4:$B445,管理!$B445,管理!$C$4:$C445,管理!$C445)&gt;1,"⛔重複",""))</f>
      </c>
      <c r="C458">
        <f>IF(管理!$F445="","",MAX(100,ROUNDDOWN($B$5/(管理!$F445*$B$3)/100,0)*100))</f>
      </c>
      <c r="D458">
        <f>IF(OR(管理!$F445="",管理!$U445=""),"",ROUND(管理!$V445-(管理!$F445+管理!$U445)*管理!$G445*$B$7-IF(管理!$C445="売",管理!$F445*管理!$G445*$B$8*管理!$W445/365,0),0))</f>
      </c>
    </row>
    <row r="459" spans="1:4">
      <c r="A459">
        <v>446</v>
      </c>
      <c r="B459">
        <f>IF(管理!$B446="","",IF(COUNTIFS(管理!$B$4:$B446,管理!$B446,管理!$C$4:$C446,管理!$C446)&gt;1,"⛔重複",""))</f>
      </c>
      <c r="C459">
        <f>IF(管理!$F446="","",MAX(100,ROUNDDOWN($B$5/(管理!$F446*$B$3)/100,0)*100))</f>
      </c>
      <c r="D459">
        <f>IF(OR(管理!$F446="",管理!$U446=""),"",ROUND(管理!$V446-(管理!$F446+管理!$U446)*管理!$G446*$B$7-IF(管理!$C446="売",管理!$F446*管理!$G446*$B$8*管理!$W446/365,0),0))</f>
      </c>
    </row>
    <row r="460" spans="1:4">
      <c r="A460">
        <v>447</v>
      </c>
      <c r="B460">
        <f>IF(管理!$B447="","",IF(COUNTIFS(管理!$B$4:$B447,管理!$B447,管理!$C$4:$C447,管理!$C447)&gt;1,"⛔重複",""))</f>
      </c>
      <c r="C460">
        <f>IF(管理!$F447="","",MAX(100,ROUNDDOWN($B$5/(管理!$F447*$B$3)/100,0)*100))</f>
      </c>
      <c r="D460">
        <f>IF(OR(管理!$F447="",管理!$U447=""),"",ROUND(管理!$V447-(管理!$F447+管理!$U447)*管理!$G447*$B$7-IF(管理!$C447="売",管理!$F447*管理!$G447*$B$8*管理!$W447/365,0),0))</f>
      </c>
    </row>
    <row r="461" spans="1:4">
      <c r="A461">
        <v>448</v>
      </c>
      <c r="B461">
        <f>IF(管理!$B448="","",IF(COUNTIFS(管理!$B$4:$B448,管理!$B448,管理!$C$4:$C448,管理!$C448)&gt;1,"⛔重複",""))</f>
      </c>
      <c r="C461">
        <f>IF(管理!$F448="","",MAX(100,ROUNDDOWN($B$5/(管理!$F448*$B$3)/100,0)*100))</f>
      </c>
      <c r="D461">
        <f>IF(OR(管理!$F448="",管理!$U448=""),"",ROUND(管理!$V448-(管理!$F448+管理!$U448)*管理!$G448*$B$7-IF(管理!$C448="売",管理!$F448*管理!$G448*$B$8*管理!$W448/365,0),0))</f>
      </c>
    </row>
    <row r="462" spans="1:4">
      <c r="A462">
        <v>449</v>
      </c>
      <c r="B462">
        <f>IF(管理!$B449="","",IF(COUNTIFS(管理!$B$4:$B449,管理!$B449,管理!$C$4:$C449,管理!$C449)&gt;1,"⛔重複",""))</f>
      </c>
      <c r="C462">
        <f>IF(管理!$F449="","",MAX(100,ROUNDDOWN($B$5/(管理!$F449*$B$3)/100,0)*100))</f>
      </c>
      <c r="D462">
        <f>IF(OR(管理!$F449="",管理!$U449=""),"",ROUND(管理!$V449-(管理!$F449+管理!$U449)*管理!$G449*$B$7-IF(管理!$C449="売",管理!$F449*管理!$G449*$B$8*管理!$W449/365,0),0))</f>
      </c>
    </row>
    <row r="463" spans="1:4">
      <c r="A463">
        <v>450</v>
      </c>
      <c r="B463">
        <f>IF(管理!$B450="","",IF(COUNTIFS(管理!$B$4:$B450,管理!$B450,管理!$C$4:$C450,管理!$C450)&gt;1,"⛔重複",""))</f>
      </c>
      <c r="C463">
        <f>IF(管理!$F450="","",MAX(100,ROUNDDOWN($B$5/(管理!$F450*$B$3)/100,0)*100))</f>
      </c>
      <c r="D463">
        <f>IF(OR(管理!$F450="",管理!$U450=""),"",ROUND(管理!$V450-(管理!$F450+管理!$U450)*管理!$G450*$B$7-IF(管理!$C450="売",管理!$F450*管理!$G450*$B$8*管理!$W450/365,0),0))</f>
      </c>
    </row>
    <row r="464" spans="1:4">
      <c r="A464">
        <v>451</v>
      </c>
      <c r="B464">
        <f>IF(管理!$B451="","",IF(COUNTIFS(管理!$B$4:$B451,管理!$B451,管理!$C$4:$C451,管理!$C451)&gt;1,"⛔重複",""))</f>
      </c>
      <c r="C464">
        <f>IF(管理!$F451="","",MAX(100,ROUNDDOWN($B$5/(管理!$F451*$B$3)/100,0)*100))</f>
      </c>
      <c r="D464">
        <f>IF(OR(管理!$F451="",管理!$U451=""),"",ROUND(管理!$V451-(管理!$F451+管理!$U451)*管理!$G451*$B$7-IF(管理!$C451="売",管理!$F451*管理!$G451*$B$8*管理!$W451/365,0),0))</f>
      </c>
    </row>
    <row r="465" spans="1:4">
      <c r="A465">
        <v>452</v>
      </c>
      <c r="B465">
        <f>IF(管理!$B452="","",IF(COUNTIFS(管理!$B$4:$B452,管理!$B452,管理!$C$4:$C452,管理!$C452)&gt;1,"⛔重複",""))</f>
      </c>
      <c r="C465">
        <f>IF(管理!$F452="","",MAX(100,ROUNDDOWN($B$5/(管理!$F452*$B$3)/100,0)*100))</f>
      </c>
      <c r="D465">
        <f>IF(OR(管理!$F452="",管理!$U452=""),"",ROUND(管理!$V452-(管理!$F452+管理!$U452)*管理!$G452*$B$7-IF(管理!$C452="売",管理!$F452*管理!$G452*$B$8*管理!$W452/365,0),0))</f>
      </c>
    </row>
    <row r="466" spans="1:4">
      <c r="A466">
        <v>453</v>
      </c>
      <c r="B466">
        <f>IF(管理!$B453="","",IF(COUNTIFS(管理!$B$4:$B453,管理!$B453,管理!$C$4:$C453,管理!$C453)&gt;1,"⛔重複",""))</f>
      </c>
      <c r="C466">
        <f>IF(管理!$F453="","",MAX(100,ROUNDDOWN($B$5/(管理!$F453*$B$3)/100,0)*100))</f>
      </c>
      <c r="D466">
        <f>IF(OR(管理!$F453="",管理!$U453=""),"",ROUND(管理!$V453-(管理!$F453+管理!$U453)*管理!$G453*$B$7-IF(管理!$C453="売",管理!$F453*管理!$G453*$B$8*管理!$W453/365,0),0))</f>
      </c>
    </row>
    <row r="467" spans="1:4">
      <c r="A467">
        <v>454</v>
      </c>
      <c r="B467">
        <f>IF(管理!$B454="","",IF(COUNTIFS(管理!$B$4:$B454,管理!$B454,管理!$C$4:$C454,管理!$C454)&gt;1,"⛔重複",""))</f>
      </c>
      <c r="C467">
        <f>IF(管理!$F454="","",MAX(100,ROUNDDOWN($B$5/(管理!$F454*$B$3)/100,0)*100))</f>
      </c>
      <c r="D467">
        <f>IF(OR(管理!$F454="",管理!$U454=""),"",ROUND(管理!$V454-(管理!$F454+管理!$U454)*管理!$G454*$B$7-IF(管理!$C454="売",管理!$F454*管理!$G454*$B$8*管理!$W454/365,0),0))</f>
      </c>
    </row>
    <row r="468" spans="1:4">
      <c r="A468">
        <v>455</v>
      </c>
      <c r="B468">
        <f>IF(管理!$B455="","",IF(COUNTIFS(管理!$B$4:$B455,管理!$B455,管理!$C$4:$C455,管理!$C455)&gt;1,"⛔重複",""))</f>
      </c>
      <c r="C468">
        <f>IF(管理!$F455="","",MAX(100,ROUNDDOWN($B$5/(管理!$F455*$B$3)/100,0)*100))</f>
      </c>
      <c r="D468">
        <f>IF(OR(管理!$F455="",管理!$U455=""),"",ROUND(管理!$V455-(管理!$F455+管理!$U455)*管理!$G455*$B$7-IF(管理!$C455="売",管理!$F455*管理!$G455*$B$8*管理!$W455/365,0),0))</f>
      </c>
    </row>
    <row r="469" spans="1:4">
      <c r="A469">
        <v>456</v>
      </c>
      <c r="B469">
        <f>IF(管理!$B456="","",IF(COUNTIFS(管理!$B$4:$B456,管理!$B456,管理!$C$4:$C456,管理!$C456)&gt;1,"⛔重複",""))</f>
      </c>
      <c r="C469">
        <f>IF(管理!$F456="","",MAX(100,ROUNDDOWN($B$5/(管理!$F456*$B$3)/100,0)*100))</f>
      </c>
      <c r="D469">
        <f>IF(OR(管理!$F456="",管理!$U456=""),"",ROUND(管理!$V456-(管理!$F456+管理!$U456)*管理!$G456*$B$7-IF(管理!$C456="売",管理!$F456*管理!$G456*$B$8*管理!$W456/365,0),0))</f>
      </c>
    </row>
    <row r="470" spans="1:4">
      <c r="A470">
        <v>457</v>
      </c>
      <c r="B470">
        <f>IF(管理!$B457="","",IF(COUNTIFS(管理!$B$4:$B457,管理!$B457,管理!$C$4:$C457,管理!$C457)&gt;1,"⛔重複",""))</f>
      </c>
      <c r="C470">
        <f>IF(管理!$F457="","",MAX(100,ROUNDDOWN($B$5/(管理!$F457*$B$3)/100,0)*100))</f>
      </c>
      <c r="D470">
        <f>IF(OR(管理!$F457="",管理!$U457=""),"",ROUND(管理!$V457-(管理!$F457+管理!$U457)*管理!$G457*$B$7-IF(管理!$C457="売",管理!$F457*管理!$G457*$B$8*管理!$W457/365,0),0))</f>
      </c>
    </row>
    <row r="471" spans="1:4">
      <c r="A471">
        <v>458</v>
      </c>
      <c r="B471">
        <f>IF(管理!$B458="","",IF(COUNTIFS(管理!$B$4:$B458,管理!$B458,管理!$C$4:$C458,管理!$C458)&gt;1,"⛔重複",""))</f>
      </c>
      <c r="C471">
        <f>IF(管理!$F458="","",MAX(100,ROUNDDOWN($B$5/(管理!$F458*$B$3)/100,0)*100))</f>
      </c>
      <c r="D471">
        <f>IF(OR(管理!$F458="",管理!$U458=""),"",ROUND(管理!$V458-(管理!$F458+管理!$U458)*管理!$G458*$B$7-IF(管理!$C458="売",管理!$F458*管理!$G458*$B$8*管理!$W458/365,0),0))</f>
      </c>
    </row>
    <row r="472" spans="1:4">
      <c r="A472">
        <v>459</v>
      </c>
      <c r="B472">
        <f>IF(管理!$B459="","",IF(COUNTIFS(管理!$B$4:$B459,管理!$B459,管理!$C$4:$C459,管理!$C459)&gt;1,"⛔重複",""))</f>
      </c>
      <c r="C472">
        <f>IF(管理!$F459="","",MAX(100,ROUNDDOWN($B$5/(管理!$F459*$B$3)/100,0)*100))</f>
      </c>
      <c r="D472">
        <f>IF(OR(管理!$F459="",管理!$U459=""),"",ROUND(管理!$V459-(管理!$F459+管理!$U459)*管理!$G459*$B$7-IF(管理!$C459="売",管理!$F459*管理!$G459*$B$8*管理!$W459/365,0),0))</f>
      </c>
    </row>
    <row r="473" spans="1:4">
      <c r="A473">
        <v>460</v>
      </c>
      <c r="B473">
        <f>IF(管理!$B460="","",IF(COUNTIFS(管理!$B$4:$B460,管理!$B460,管理!$C$4:$C460,管理!$C460)&gt;1,"⛔重複",""))</f>
      </c>
      <c r="C473">
        <f>IF(管理!$F460="","",MAX(100,ROUNDDOWN($B$5/(管理!$F460*$B$3)/100,0)*100))</f>
      </c>
      <c r="D473">
        <f>IF(OR(管理!$F460="",管理!$U460=""),"",ROUND(管理!$V460-(管理!$F460+管理!$U460)*管理!$G460*$B$7-IF(管理!$C460="売",管理!$F460*管理!$G460*$B$8*管理!$W460/365,0),0))</f>
      </c>
    </row>
    <row r="474" spans="1:4">
      <c r="A474">
        <v>461</v>
      </c>
      <c r="B474">
        <f>IF(管理!$B461="","",IF(COUNTIFS(管理!$B$4:$B461,管理!$B461,管理!$C$4:$C461,管理!$C461)&gt;1,"⛔重複",""))</f>
      </c>
      <c r="C474">
        <f>IF(管理!$F461="","",MAX(100,ROUNDDOWN($B$5/(管理!$F461*$B$3)/100,0)*100))</f>
      </c>
      <c r="D474">
        <f>IF(OR(管理!$F461="",管理!$U461=""),"",ROUND(管理!$V461-(管理!$F461+管理!$U461)*管理!$G461*$B$7-IF(管理!$C461="売",管理!$F461*管理!$G461*$B$8*管理!$W461/365,0),0))</f>
      </c>
    </row>
  </sheetData>
  <pageMargins left="0.7" right="0.7" top="0.75" bottom="0.75" header="0.3" footer="0.3"/>
</worksheet>
</file>

<file path=xl/worksheets/sheet30.xml><?xml version="1.0" encoding="utf-8"?>
<worksheet xmlns="http://schemas.openxmlformats.org/spreadsheetml/2006/main">
  <dimension ref="A1:T206"/>
  <sheetViews>
    <sheetView workbookViewId="0"/>
  </sheetViews>
  <sheetFormatPr defaultRowHeight="18"/>
  <cols>
    <col min="1" max="1" width="9" customWidth="1"/>
    <col min="2" max="2" width="20" customWidth="1"/>
    <col min="3" max="8" width="14" customWidth="1"/>
    <col min="9" max="9" width="8" customWidth="1"/>
    <col min="10" max="10" width="20" customWidth="1"/>
    <col min="11" max="11" width="9" customWidth="1"/>
    <col min="12" max="12" width="20" customWidth="1"/>
    <col min="13" max="18" width="14" customWidth="1"/>
    <col min="19" max="19" width="8" customWidth="1"/>
    <col min="20" max="20" width="20" customWidth="1"/>
  </cols>
  <sheetData>
    <row r="1" spans="1:1">
      <c r="A1" t="inlineStr">
        <is>
          <t>V811 指標 ― 分析／売分析の全銘柄を、有効性を検定した指標だけで評価</t>
        </is>
      </c>
    </row>
    <row r="2" spans="1:20">
      <c r="A2" t="inlineStr">
        <is>
          <t>コード</t>
        </is>
      </c>
      <c r="B2" t="inlineStr">
        <is>
          <t>銘柄名</t>
        </is>
      </c>
      <c r="C2" t="inlineStr">
        <is>
          <t>14日平均レンジ率</t>
        </is>
      </c>
      <c r="D2" t="inlineStr">
        <is>
          <t>25日レンジ幅</t>
        </is>
      </c>
      <c r="E2" t="inlineStr">
        <is>
          <t>ギャップ率</t>
        </is>
      </c>
      <c r="F2" t="inlineStr">
        <is>
          <t>25日高値距離</t>
        </is>
      </c>
      <c r="G2" t="inlineStr">
        <is>
          <t>日中レンジ率</t>
        </is>
      </c>
      <c r="H2" t="inlineStr">
        <is>
          <t>スコア</t>
        </is>
      </c>
      <c r="I2" t="inlineStr">
        <is>
          <t>ゲート</t>
        </is>
      </c>
      <c r="J2" t="inlineStr">
        <is>
          <t>判定</t>
        </is>
      </c>
      <c r="K2" t="inlineStr">
        <is>
          <t>コード</t>
        </is>
      </c>
      <c r="L2" t="inlineStr">
        <is>
          <t>銘柄名</t>
        </is>
      </c>
      <c r="M2" t="inlineStr">
        <is>
          <t>14日平均レンジ率</t>
        </is>
      </c>
      <c r="N2" t="inlineStr">
        <is>
          <t>25日レンジ幅</t>
        </is>
      </c>
      <c r="O2" t="inlineStr">
        <is>
          <t>ギャップ率</t>
        </is>
      </c>
      <c r="P2" t="inlineStr">
        <is>
          <t>25日高値距離</t>
        </is>
      </c>
      <c r="Q2" t="inlineStr">
        <is>
          <t>日中レンジ率</t>
        </is>
      </c>
      <c r="R2" t="inlineStr">
        <is>
          <t>スコア</t>
        </is>
      </c>
      <c r="S2" t="inlineStr">
        <is>
          <t>ゲート</t>
        </is>
      </c>
      <c r="T2" t="inlineStr">
        <is>
          <t>判定</t>
        </is>
      </c>
    </row>
    <row r="3" spans="1:20">
      <c r="A3">
        <f>IF(分析!$C3="","",分析!$C3)</f>
      </c>
      <c r="B3">
        <f>IF(分析!$C3="","",分析!$D3)</f>
      </c>
      <c r="C3">
        <f>IFERROR((SUM(OFFSET(高値!$E$6,IFERROR(MATCH(分析!$C3,銘柄管理!$B$6:$B$305,0),MATCH(TEXT(分析!$C3,"0"),銘柄管理!$B$6:$B$305,0))-1,0,1,14))-SUM(OFFSET(安値!$E$6,IFERROR(MATCH(分析!$C3,銘柄管理!$B$6:$B$305,0),MATCH(TEXT(分析!$C3,"0"),銘柄管理!$B$6:$B$305,0))-1,0,1,14)))/SUM(OFFSET(終値!$E$6,IFERROR(MATCH(分析!$C3,銘柄管理!$B$6:$B$305,0),MATCH(TEXT(分析!$C3,"0"),銘柄管理!$B$6:$B$305,0))-1,0,1,14))*100,"")</f>
      </c>
      <c r="D3">
        <f>IFERROR((MAX(OFFSET(高値!$E$6,IFERROR(MATCH(分析!$C3,銘柄管理!$B$6:$B$305,0),MATCH(TEXT(分析!$C3,"0"),銘柄管理!$B$6:$B$305,0))-1,0,1,25))-MIN(OFFSET(安値!$E$6,IFERROR(MATCH(分析!$C3,銘柄管理!$B$6:$B$305,0),MATCH(TEXT(分析!$C3,"0"),銘柄管理!$B$6:$B$305,0))-1,0,1,25)))/分析!$E3*100,"")</f>
      </c>
      <c r="E3">
        <f>IFERROR((分析!$F3-分析!$G3)/分析!$G3*100,"")</f>
      </c>
      <c r="F3">
        <f>IFERROR((分析!$E3-MAX(OFFSET(高値!$E$6,IFERROR(MATCH(分析!$C3,銘柄管理!$B$6:$B$305,0),MATCH(TEXT(分析!$C3,"0"),銘柄管理!$B$6:$B$305,0))-1,0,1,25)))/MAX(OFFSET(高値!$E$6,IFERROR(MATCH(分析!$C3,銘柄管理!$B$6:$B$305,0),MATCH(TEXT(分析!$C3,"0"),銘柄管理!$B$6:$B$305,0))-1,0,1,25))*100,"")</f>
      </c>
      <c r="G3">
        <f>IFERROR((分析!$H3-分析!$I3)/分析!$F3*100,"")</f>
      </c>
      <c r="H3">
        <f>IFERROR(5-COUNTIF($C$3:$C$206,"&lt;"&amp;$C3)/COUNT($C$3:$C$206)-COUNTIF($G$3:$G$206,"&lt;"&amp;$G3)/COUNT($G$3:$G$206)-COUNTIF($D$3:$D$206,"&lt;"&amp;$D3)/COUNT($D$3:$D$206)-COUNTIF(分析!$Z$3:$Z$206,"&lt;"&amp;分析!$Z3)/COUNT(分析!$Z$3:$Z$206)-COUNTIF($E$3:$E$206,"&lt;"&amp;$E3)/COUNT($E$3:$E$206),"")</f>
      </c>
      <c r="I3">
        <f>IF(OR(A3="",A3="TOPX",C3="",H3=""),0,IF(AND(V811設定!$E$11=1,C3&lt;=V811設定!$E$3,D3&lt;=V811設定!$E$4,E3&lt;=V811設定!$E$5,分析!$Z3&lt;=V811設定!$E$6,分析!$Z3&gt;=V811設定!$E$7,F3&gt;=V811設定!$E$8,G3&lt;=V811設定!$E$9),1,0))</f>
      </c>
      <c r="J3">
        <f>IF(A3="","",IF(I3=1,"○ゲート通過",IF(V811設定!$E$11&lt;&gt;1,"― 停止中",IF(C3&gt;V811設定!$E$3,"×値動きが荒い",IF(D3&gt;V811設定!$E$4,"×レンジが広い",IF(E3&gt;V811設定!$E$5,"×窓を開けて上昇",IF(分析!$Z3&gt;V811設定!$E$6,"×前日に急騰",IF(分析!$Z3&lt;V811設定!$E$7,"×前日に急落",IF(F3&lt;V811設定!$E$8,"×高値から離れすぎ",IF(G3&gt;V811設定!$E$9,"×当日の値幅が大きい","×"))))))))))</f>
      </c>
      <c r="K3">
        <f>IF(売分析!$C3="","",売分析!$C3)</f>
      </c>
      <c r="L3">
        <f>IF(売分析!$C3="","",売分析!$D3)</f>
      </c>
      <c r="M3">
        <f>IFERROR((SUM(OFFSET(高値!$E$6,IFERROR(MATCH(売分析!$C3,銘柄管理!$B$6:$B$305,0),MATCH(TEXT(売分析!$C3,"0"),銘柄管理!$B$6:$B$305,0))-1,0,1,14))-SUM(OFFSET(安値!$E$6,IFERROR(MATCH(売分析!$C3,銘柄管理!$B$6:$B$305,0),MATCH(TEXT(売分析!$C3,"0"),銘柄管理!$B$6:$B$305,0))-1,0,1,14)))/SUM(OFFSET(終値!$E$6,IFERROR(MATCH(売分析!$C3,銘柄管理!$B$6:$B$305,0),MATCH(TEXT(売分析!$C3,"0"),銘柄管理!$B$6:$B$305,0))-1,0,1,14))*100,"")</f>
      </c>
      <c r="N3">
        <f>IFERROR((MAX(OFFSET(高値!$E$6,IFERROR(MATCH(売分析!$C3,銘柄管理!$B$6:$B$305,0),MATCH(TEXT(売分析!$C3,"0"),銘柄管理!$B$6:$B$305,0))-1,0,1,25))-MIN(OFFSET(安値!$E$6,IFERROR(MATCH(売分析!$C3,銘柄管理!$B$6:$B$305,0),MATCH(TEXT(売分析!$C3,"0"),銘柄管理!$B$6:$B$305,0))-1,0,1,25)))/売分析!$E3*100,"")</f>
      </c>
      <c r="O3">
        <f>IFERROR((売分析!$F3-売分析!$G3)/売分析!$G3*100,"")</f>
      </c>
      <c r="P3">
        <f>IFERROR((売分析!$E3-MAX(OFFSET(高値!$E$6,IFERROR(MATCH(売分析!$C3,銘柄管理!$B$6:$B$305,0),MATCH(TEXT(売分析!$C3,"0"),銘柄管理!$B$6:$B$305,0))-1,0,1,25)))/MAX(OFFSET(高値!$E$6,IFERROR(MATCH(売分析!$C3,銘柄管理!$B$6:$B$305,0),MATCH(TEXT(売分析!$C3,"0"),銘柄管理!$B$6:$B$305,0))-1,0,1,25))*100,"")</f>
      </c>
      <c r="Q3">
        <f>IFERROR((売分析!$H3-売分析!$I3)/売分析!$F3*100,"")</f>
      </c>
      <c r="R3">
        <f>IFERROR(5-COUNTIF($M$3:$M$206,"&lt;"&amp;$M3)/COUNT($M$3:$M$206)-COUNTIF($Q$3:$Q$206,"&lt;"&amp;$Q3)/COUNT($Q$3:$Q$206)-COUNTIF($N$3:$N$206,"&lt;"&amp;$N3)/COUNT($N$3:$N$206)-COUNTIF(売分析!$Z$3:$Z$206,"&lt;"&amp;売分析!$Z3)/COUNT(売分析!$Z$3:$Z$206)-COUNTIF($O$3:$O$206,"&lt;"&amp;$O3)/COUNT($O$3:$O$206),"")</f>
      </c>
      <c r="S3">
        <f>IF(OR(K3="",K3="TOPX",M3="",R3=""),0,IF(AND(V811設定!$E$12=1,M3&lt;=V811設定!$E$3,N3&lt;=V811設定!$E$4,O3&lt;=V811設定!$E$5,売分析!$Z3&lt;=V811設定!$E$6,売分析!$Z3&gt;=V811設定!$E$7,P3&gt;=V811設定!$E$8,Q3&lt;=V811設定!$E$9),1,0))</f>
      </c>
      <c r="T3">
        <f>IF(K3="","",IF(S3=1,"○ゲート通過",IF(V811設定!$E$12&lt;&gt;1,"― 停止中",IF(M3&gt;V811設定!$E$3,"×値動きが荒い",IF(N3&gt;V811設定!$E$4,"×レンジが広い",IF(O3&gt;V811設定!$E$5,"×窓を開けて上昇",IF(売分析!$Z3&gt;V811設定!$E$6,"×前日に急騰",IF(売分析!$Z3&lt;V811設定!$E$7,"×前日に急落",IF(P3&lt;V811設定!$E$8,"×高値から離れすぎ",IF(Q3&gt;V811設定!$E$9,"×当日の値幅が大きい","×"))))))))))</f>
      </c>
    </row>
    <row r="4" spans="1:20">
      <c r="A4">
        <f>IF(分析!$C4="","",分析!$C4)</f>
      </c>
      <c r="B4">
        <f>IF(分析!$C4="","",分析!$D4)</f>
      </c>
      <c r="C4">
        <f>IFERROR((SUM(OFFSET(高値!$E$6,IFERROR(MATCH(分析!$C4,銘柄管理!$B$6:$B$305,0),MATCH(TEXT(分析!$C4,"0"),銘柄管理!$B$6:$B$305,0))-1,0,1,14))-SUM(OFFSET(安値!$E$6,IFERROR(MATCH(分析!$C4,銘柄管理!$B$6:$B$305,0),MATCH(TEXT(分析!$C4,"0"),銘柄管理!$B$6:$B$305,0))-1,0,1,14)))/SUM(OFFSET(終値!$E$6,IFERROR(MATCH(分析!$C4,銘柄管理!$B$6:$B$305,0),MATCH(TEXT(分析!$C4,"0"),銘柄管理!$B$6:$B$305,0))-1,0,1,14))*100,"")</f>
      </c>
      <c r="D4">
        <f>IFERROR((MAX(OFFSET(高値!$E$6,IFERROR(MATCH(分析!$C4,銘柄管理!$B$6:$B$305,0),MATCH(TEXT(分析!$C4,"0"),銘柄管理!$B$6:$B$305,0))-1,0,1,25))-MIN(OFFSET(安値!$E$6,IFERROR(MATCH(分析!$C4,銘柄管理!$B$6:$B$305,0),MATCH(TEXT(分析!$C4,"0"),銘柄管理!$B$6:$B$305,0))-1,0,1,25)))/分析!$E4*100,"")</f>
      </c>
      <c r="E4">
        <f>IFERROR((分析!$F4-分析!$G4)/分析!$G4*100,"")</f>
      </c>
      <c r="F4">
        <f>IFERROR((分析!$E4-MAX(OFFSET(高値!$E$6,IFERROR(MATCH(分析!$C4,銘柄管理!$B$6:$B$305,0),MATCH(TEXT(分析!$C4,"0"),銘柄管理!$B$6:$B$305,0))-1,0,1,25)))/MAX(OFFSET(高値!$E$6,IFERROR(MATCH(分析!$C4,銘柄管理!$B$6:$B$305,0),MATCH(TEXT(分析!$C4,"0"),銘柄管理!$B$6:$B$305,0))-1,0,1,25))*100,"")</f>
      </c>
      <c r="G4">
        <f>IFERROR((分析!$H4-分析!$I4)/分析!$F4*100,"")</f>
      </c>
      <c r="H4">
        <f>IFERROR(5-COUNTIF($C$3:$C$206,"&lt;"&amp;$C4)/COUNT($C$3:$C$206)-COUNTIF($G$3:$G$206,"&lt;"&amp;$G4)/COUNT($G$3:$G$206)-COUNTIF($D$3:$D$206,"&lt;"&amp;$D4)/COUNT($D$3:$D$206)-COUNTIF(分析!$Z$3:$Z$206,"&lt;"&amp;分析!$Z4)/COUNT(分析!$Z$3:$Z$206)-COUNTIF($E$3:$E$206,"&lt;"&amp;$E4)/COUNT($E$3:$E$206),"")</f>
      </c>
      <c r="I4">
        <f>IF(OR(A4="",A4="TOPX",C4="",H4=""),0,IF(AND(V811設定!$E$11=1,C4&lt;=V811設定!$E$3,D4&lt;=V811設定!$E$4,E4&lt;=V811設定!$E$5,分析!$Z4&lt;=V811設定!$E$6,分析!$Z4&gt;=V811設定!$E$7,F4&gt;=V811設定!$E$8,G4&lt;=V811設定!$E$9),1,0))</f>
      </c>
      <c r="J4">
        <f>IF(A4="","",IF(I4=1,"○ゲート通過",IF(V811設定!$E$11&lt;&gt;1,"― 停止中",IF(C4&gt;V811設定!$E$3,"×値動きが荒い",IF(D4&gt;V811設定!$E$4,"×レンジが広い",IF(E4&gt;V811設定!$E$5,"×窓を開けて上昇",IF(分析!$Z4&gt;V811設定!$E$6,"×前日に急騰",IF(分析!$Z4&lt;V811設定!$E$7,"×前日に急落",IF(F4&lt;V811設定!$E$8,"×高値から離れすぎ",IF(G4&gt;V811設定!$E$9,"×当日の値幅が大きい","×"))))))))))</f>
      </c>
      <c r="K4">
        <f>IF(売分析!$C4="","",売分析!$C4)</f>
      </c>
      <c r="L4">
        <f>IF(売分析!$C4="","",売分析!$D4)</f>
      </c>
      <c r="M4">
        <f>IFERROR((SUM(OFFSET(高値!$E$6,IFERROR(MATCH(売分析!$C4,銘柄管理!$B$6:$B$305,0),MATCH(TEXT(売分析!$C4,"0"),銘柄管理!$B$6:$B$305,0))-1,0,1,14))-SUM(OFFSET(安値!$E$6,IFERROR(MATCH(売分析!$C4,銘柄管理!$B$6:$B$305,0),MATCH(TEXT(売分析!$C4,"0"),銘柄管理!$B$6:$B$305,0))-1,0,1,14)))/SUM(OFFSET(終値!$E$6,IFERROR(MATCH(売分析!$C4,銘柄管理!$B$6:$B$305,0),MATCH(TEXT(売分析!$C4,"0"),銘柄管理!$B$6:$B$305,0))-1,0,1,14))*100,"")</f>
      </c>
      <c r="N4">
        <f>IFERROR((MAX(OFFSET(高値!$E$6,IFERROR(MATCH(売分析!$C4,銘柄管理!$B$6:$B$305,0),MATCH(TEXT(売分析!$C4,"0"),銘柄管理!$B$6:$B$305,0))-1,0,1,25))-MIN(OFFSET(安値!$E$6,IFERROR(MATCH(売分析!$C4,銘柄管理!$B$6:$B$305,0),MATCH(TEXT(売分析!$C4,"0"),銘柄管理!$B$6:$B$305,0))-1,0,1,25)))/売分析!$E4*100,"")</f>
      </c>
      <c r="O4">
        <f>IFERROR((売分析!$F4-売分析!$G4)/売分析!$G4*100,"")</f>
      </c>
      <c r="P4">
        <f>IFERROR((売分析!$E4-MAX(OFFSET(高値!$E$6,IFERROR(MATCH(売分析!$C4,銘柄管理!$B$6:$B$305,0),MATCH(TEXT(売分析!$C4,"0"),銘柄管理!$B$6:$B$305,0))-1,0,1,25)))/MAX(OFFSET(高値!$E$6,IFERROR(MATCH(売分析!$C4,銘柄管理!$B$6:$B$305,0),MATCH(TEXT(売分析!$C4,"0"),銘柄管理!$B$6:$B$305,0))-1,0,1,25))*100,"")</f>
      </c>
      <c r="Q4">
        <f>IFERROR((売分析!$H4-売分析!$I4)/売分析!$F4*100,"")</f>
      </c>
      <c r="R4">
        <f>IFERROR(5-COUNTIF($M$3:$M$206,"&lt;"&amp;$M4)/COUNT($M$3:$M$206)-COUNTIF($Q$3:$Q$206,"&lt;"&amp;$Q4)/COUNT($Q$3:$Q$206)-COUNTIF($N$3:$N$206,"&lt;"&amp;$N4)/COUNT($N$3:$N$206)-COUNTIF(売分析!$Z$3:$Z$206,"&lt;"&amp;売分析!$Z4)/COUNT(売分析!$Z$3:$Z$206)-COUNTIF($O$3:$O$206,"&lt;"&amp;$O4)/COUNT($O$3:$O$206),"")</f>
      </c>
      <c r="S4">
        <f>IF(OR(K4="",K4="TOPX",M4="",R4=""),0,IF(AND(V811設定!$E$12=1,M4&lt;=V811設定!$E$3,N4&lt;=V811設定!$E$4,O4&lt;=V811設定!$E$5,売分析!$Z4&lt;=V811設定!$E$6,売分析!$Z4&gt;=V811設定!$E$7,P4&gt;=V811設定!$E$8,Q4&lt;=V811設定!$E$9),1,0))</f>
      </c>
      <c r="T4">
        <f>IF(K4="","",IF(S4=1,"○ゲート通過",IF(V811設定!$E$12&lt;&gt;1,"― 停止中",IF(M4&gt;V811設定!$E$3,"×値動きが荒い",IF(N4&gt;V811設定!$E$4,"×レンジが広い",IF(O4&gt;V811設定!$E$5,"×窓を開けて上昇",IF(売分析!$Z4&gt;V811設定!$E$6,"×前日に急騰",IF(売分析!$Z4&lt;V811設定!$E$7,"×前日に急落",IF(P4&lt;V811設定!$E$8,"×高値から離れすぎ",IF(Q4&gt;V811設定!$E$9,"×当日の値幅が大きい","×"))))))))))</f>
      </c>
    </row>
    <row r="5" spans="1:20">
      <c r="A5">
        <f>IF(分析!$C5="","",分析!$C5)</f>
      </c>
      <c r="B5">
        <f>IF(分析!$C5="","",分析!$D5)</f>
      </c>
      <c r="C5">
        <f>IFERROR((SUM(OFFSET(高値!$E$6,IFERROR(MATCH(分析!$C5,銘柄管理!$B$6:$B$305,0),MATCH(TEXT(分析!$C5,"0"),銘柄管理!$B$6:$B$305,0))-1,0,1,14))-SUM(OFFSET(安値!$E$6,IFERROR(MATCH(分析!$C5,銘柄管理!$B$6:$B$305,0),MATCH(TEXT(分析!$C5,"0"),銘柄管理!$B$6:$B$305,0))-1,0,1,14)))/SUM(OFFSET(終値!$E$6,IFERROR(MATCH(分析!$C5,銘柄管理!$B$6:$B$305,0),MATCH(TEXT(分析!$C5,"0"),銘柄管理!$B$6:$B$305,0))-1,0,1,14))*100,"")</f>
      </c>
      <c r="D5">
        <f>IFERROR((MAX(OFFSET(高値!$E$6,IFERROR(MATCH(分析!$C5,銘柄管理!$B$6:$B$305,0),MATCH(TEXT(分析!$C5,"0"),銘柄管理!$B$6:$B$305,0))-1,0,1,25))-MIN(OFFSET(安値!$E$6,IFERROR(MATCH(分析!$C5,銘柄管理!$B$6:$B$305,0),MATCH(TEXT(分析!$C5,"0"),銘柄管理!$B$6:$B$305,0))-1,0,1,25)))/分析!$E5*100,"")</f>
      </c>
      <c r="E5">
        <f>IFERROR((分析!$F5-分析!$G5)/分析!$G5*100,"")</f>
      </c>
      <c r="F5">
        <f>IFERROR((分析!$E5-MAX(OFFSET(高値!$E$6,IFERROR(MATCH(分析!$C5,銘柄管理!$B$6:$B$305,0),MATCH(TEXT(分析!$C5,"0"),銘柄管理!$B$6:$B$305,0))-1,0,1,25)))/MAX(OFFSET(高値!$E$6,IFERROR(MATCH(分析!$C5,銘柄管理!$B$6:$B$305,0),MATCH(TEXT(分析!$C5,"0"),銘柄管理!$B$6:$B$305,0))-1,0,1,25))*100,"")</f>
      </c>
      <c r="G5">
        <f>IFERROR((分析!$H5-分析!$I5)/分析!$F5*100,"")</f>
      </c>
      <c r="H5">
        <f>IFERROR(5-COUNTIF($C$3:$C$206,"&lt;"&amp;$C5)/COUNT($C$3:$C$206)-COUNTIF($G$3:$G$206,"&lt;"&amp;$G5)/COUNT($G$3:$G$206)-COUNTIF($D$3:$D$206,"&lt;"&amp;$D5)/COUNT($D$3:$D$206)-COUNTIF(分析!$Z$3:$Z$206,"&lt;"&amp;分析!$Z5)/COUNT(分析!$Z$3:$Z$206)-COUNTIF($E$3:$E$206,"&lt;"&amp;$E5)/COUNT($E$3:$E$206),"")</f>
      </c>
      <c r="I5">
        <f>IF(OR(A5="",A5="TOPX",C5="",H5=""),0,IF(AND(V811設定!$E$11=1,C5&lt;=V811設定!$E$3,D5&lt;=V811設定!$E$4,E5&lt;=V811設定!$E$5,分析!$Z5&lt;=V811設定!$E$6,分析!$Z5&gt;=V811設定!$E$7,F5&gt;=V811設定!$E$8,G5&lt;=V811設定!$E$9),1,0))</f>
      </c>
      <c r="J5">
        <f>IF(A5="","",IF(I5=1,"○ゲート通過",IF(V811設定!$E$11&lt;&gt;1,"― 停止中",IF(C5&gt;V811設定!$E$3,"×値動きが荒い",IF(D5&gt;V811設定!$E$4,"×レンジが広い",IF(E5&gt;V811設定!$E$5,"×窓を開けて上昇",IF(分析!$Z5&gt;V811設定!$E$6,"×前日に急騰",IF(分析!$Z5&lt;V811設定!$E$7,"×前日に急落",IF(F5&lt;V811設定!$E$8,"×高値から離れすぎ",IF(G5&gt;V811設定!$E$9,"×当日の値幅が大きい","×"))))))))))</f>
      </c>
      <c r="K5">
        <f>IF(売分析!$C5="","",売分析!$C5)</f>
      </c>
      <c r="L5">
        <f>IF(売分析!$C5="","",売分析!$D5)</f>
      </c>
      <c r="M5">
        <f>IFERROR((SUM(OFFSET(高値!$E$6,IFERROR(MATCH(売分析!$C5,銘柄管理!$B$6:$B$305,0),MATCH(TEXT(売分析!$C5,"0"),銘柄管理!$B$6:$B$305,0))-1,0,1,14))-SUM(OFFSET(安値!$E$6,IFERROR(MATCH(売分析!$C5,銘柄管理!$B$6:$B$305,0),MATCH(TEXT(売分析!$C5,"0"),銘柄管理!$B$6:$B$305,0))-1,0,1,14)))/SUM(OFFSET(終値!$E$6,IFERROR(MATCH(売分析!$C5,銘柄管理!$B$6:$B$305,0),MATCH(TEXT(売分析!$C5,"0"),銘柄管理!$B$6:$B$305,0))-1,0,1,14))*100,"")</f>
      </c>
      <c r="N5">
        <f>IFERROR((MAX(OFFSET(高値!$E$6,IFERROR(MATCH(売分析!$C5,銘柄管理!$B$6:$B$305,0),MATCH(TEXT(売分析!$C5,"0"),銘柄管理!$B$6:$B$305,0))-1,0,1,25))-MIN(OFFSET(安値!$E$6,IFERROR(MATCH(売分析!$C5,銘柄管理!$B$6:$B$305,0),MATCH(TEXT(売分析!$C5,"0"),銘柄管理!$B$6:$B$305,0))-1,0,1,25)))/売分析!$E5*100,"")</f>
      </c>
      <c r="O5">
        <f>IFERROR((売分析!$F5-売分析!$G5)/売分析!$G5*100,"")</f>
      </c>
      <c r="P5">
        <f>IFERROR((売分析!$E5-MAX(OFFSET(高値!$E$6,IFERROR(MATCH(売分析!$C5,銘柄管理!$B$6:$B$305,0),MATCH(TEXT(売分析!$C5,"0"),銘柄管理!$B$6:$B$305,0))-1,0,1,25)))/MAX(OFFSET(高値!$E$6,IFERROR(MATCH(売分析!$C5,銘柄管理!$B$6:$B$305,0),MATCH(TEXT(売分析!$C5,"0"),銘柄管理!$B$6:$B$305,0))-1,0,1,25))*100,"")</f>
      </c>
      <c r="Q5">
        <f>IFERROR((売分析!$H5-売分析!$I5)/売分析!$F5*100,"")</f>
      </c>
      <c r="R5">
        <f>IFERROR(5-COUNTIF($M$3:$M$206,"&lt;"&amp;$M5)/COUNT($M$3:$M$206)-COUNTIF($Q$3:$Q$206,"&lt;"&amp;$Q5)/COUNT($Q$3:$Q$206)-COUNTIF($N$3:$N$206,"&lt;"&amp;$N5)/COUNT($N$3:$N$206)-COUNTIF(売分析!$Z$3:$Z$206,"&lt;"&amp;売分析!$Z5)/COUNT(売分析!$Z$3:$Z$206)-COUNTIF($O$3:$O$206,"&lt;"&amp;$O5)/COUNT($O$3:$O$206),"")</f>
      </c>
      <c r="S5">
        <f>IF(OR(K5="",K5="TOPX",M5="",R5=""),0,IF(AND(V811設定!$E$12=1,M5&lt;=V811設定!$E$3,N5&lt;=V811設定!$E$4,O5&lt;=V811設定!$E$5,売分析!$Z5&lt;=V811設定!$E$6,売分析!$Z5&gt;=V811設定!$E$7,P5&gt;=V811設定!$E$8,Q5&lt;=V811設定!$E$9),1,0))</f>
      </c>
      <c r="T5">
        <f>IF(K5="","",IF(S5=1,"○ゲート通過",IF(V811設定!$E$12&lt;&gt;1,"― 停止中",IF(M5&gt;V811設定!$E$3,"×値動きが荒い",IF(N5&gt;V811設定!$E$4,"×レンジが広い",IF(O5&gt;V811設定!$E$5,"×窓を開けて上昇",IF(売分析!$Z5&gt;V811設定!$E$6,"×前日に急騰",IF(売分析!$Z5&lt;V811設定!$E$7,"×前日に急落",IF(P5&lt;V811設定!$E$8,"×高値から離れすぎ",IF(Q5&gt;V811設定!$E$9,"×当日の値幅が大きい","×"))))))))))</f>
      </c>
    </row>
    <row r="6" spans="1:20">
      <c r="A6">
        <f>IF(分析!$C6="","",分析!$C6)</f>
      </c>
      <c r="B6">
        <f>IF(分析!$C6="","",分析!$D6)</f>
      </c>
      <c r="C6">
        <f>IFERROR((SUM(OFFSET(高値!$E$6,IFERROR(MATCH(分析!$C6,銘柄管理!$B$6:$B$305,0),MATCH(TEXT(分析!$C6,"0"),銘柄管理!$B$6:$B$305,0))-1,0,1,14))-SUM(OFFSET(安値!$E$6,IFERROR(MATCH(分析!$C6,銘柄管理!$B$6:$B$305,0),MATCH(TEXT(分析!$C6,"0"),銘柄管理!$B$6:$B$305,0))-1,0,1,14)))/SUM(OFFSET(終値!$E$6,IFERROR(MATCH(分析!$C6,銘柄管理!$B$6:$B$305,0),MATCH(TEXT(分析!$C6,"0"),銘柄管理!$B$6:$B$305,0))-1,0,1,14))*100,"")</f>
      </c>
      <c r="D6">
        <f>IFERROR((MAX(OFFSET(高値!$E$6,IFERROR(MATCH(分析!$C6,銘柄管理!$B$6:$B$305,0),MATCH(TEXT(分析!$C6,"0"),銘柄管理!$B$6:$B$305,0))-1,0,1,25))-MIN(OFFSET(安値!$E$6,IFERROR(MATCH(分析!$C6,銘柄管理!$B$6:$B$305,0),MATCH(TEXT(分析!$C6,"0"),銘柄管理!$B$6:$B$305,0))-1,0,1,25)))/分析!$E6*100,"")</f>
      </c>
      <c r="E6">
        <f>IFERROR((分析!$F6-分析!$G6)/分析!$G6*100,"")</f>
      </c>
      <c r="F6">
        <f>IFERROR((分析!$E6-MAX(OFFSET(高値!$E$6,IFERROR(MATCH(分析!$C6,銘柄管理!$B$6:$B$305,0),MATCH(TEXT(分析!$C6,"0"),銘柄管理!$B$6:$B$305,0))-1,0,1,25)))/MAX(OFFSET(高値!$E$6,IFERROR(MATCH(分析!$C6,銘柄管理!$B$6:$B$305,0),MATCH(TEXT(分析!$C6,"0"),銘柄管理!$B$6:$B$305,0))-1,0,1,25))*100,"")</f>
      </c>
      <c r="G6">
        <f>IFERROR((分析!$H6-分析!$I6)/分析!$F6*100,"")</f>
      </c>
      <c r="H6">
        <f>IFERROR(5-COUNTIF($C$3:$C$206,"&lt;"&amp;$C6)/COUNT($C$3:$C$206)-COUNTIF($G$3:$G$206,"&lt;"&amp;$G6)/COUNT($G$3:$G$206)-COUNTIF($D$3:$D$206,"&lt;"&amp;$D6)/COUNT($D$3:$D$206)-COUNTIF(分析!$Z$3:$Z$206,"&lt;"&amp;分析!$Z6)/COUNT(分析!$Z$3:$Z$206)-COUNTIF($E$3:$E$206,"&lt;"&amp;$E6)/COUNT($E$3:$E$206),"")</f>
      </c>
      <c r="I6">
        <f>IF(OR(A6="",A6="TOPX",C6="",H6=""),0,IF(AND(V811設定!$E$11=1,C6&lt;=V811設定!$E$3,D6&lt;=V811設定!$E$4,E6&lt;=V811設定!$E$5,分析!$Z6&lt;=V811設定!$E$6,分析!$Z6&gt;=V811設定!$E$7,F6&gt;=V811設定!$E$8,G6&lt;=V811設定!$E$9),1,0))</f>
      </c>
      <c r="J6">
        <f>IF(A6="","",IF(I6=1,"○ゲート通過",IF(V811設定!$E$11&lt;&gt;1,"― 停止中",IF(C6&gt;V811設定!$E$3,"×値動きが荒い",IF(D6&gt;V811設定!$E$4,"×レンジが広い",IF(E6&gt;V811設定!$E$5,"×窓を開けて上昇",IF(分析!$Z6&gt;V811設定!$E$6,"×前日に急騰",IF(分析!$Z6&lt;V811設定!$E$7,"×前日に急落",IF(F6&lt;V811設定!$E$8,"×高値から離れすぎ",IF(G6&gt;V811設定!$E$9,"×当日の値幅が大きい","×"))))))))))</f>
      </c>
      <c r="K6">
        <f>IF(売分析!$C6="","",売分析!$C6)</f>
      </c>
      <c r="L6">
        <f>IF(売分析!$C6="","",売分析!$D6)</f>
      </c>
      <c r="M6">
        <f>IFERROR((SUM(OFFSET(高値!$E$6,IFERROR(MATCH(売分析!$C6,銘柄管理!$B$6:$B$305,0),MATCH(TEXT(売分析!$C6,"0"),銘柄管理!$B$6:$B$305,0))-1,0,1,14))-SUM(OFFSET(安値!$E$6,IFERROR(MATCH(売分析!$C6,銘柄管理!$B$6:$B$305,0),MATCH(TEXT(売分析!$C6,"0"),銘柄管理!$B$6:$B$305,0))-1,0,1,14)))/SUM(OFFSET(終値!$E$6,IFERROR(MATCH(売分析!$C6,銘柄管理!$B$6:$B$305,0),MATCH(TEXT(売分析!$C6,"0"),銘柄管理!$B$6:$B$305,0))-1,0,1,14))*100,"")</f>
      </c>
      <c r="N6">
        <f>IFERROR((MAX(OFFSET(高値!$E$6,IFERROR(MATCH(売分析!$C6,銘柄管理!$B$6:$B$305,0),MATCH(TEXT(売分析!$C6,"0"),銘柄管理!$B$6:$B$305,0))-1,0,1,25))-MIN(OFFSET(安値!$E$6,IFERROR(MATCH(売分析!$C6,銘柄管理!$B$6:$B$305,0),MATCH(TEXT(売分析!$C6,"0"),銘柄管理!$B$6:$B$305,0))-1,0,1,25)))/売分析!$E6*100,"")</f>
      </c>
      <c r="O6">
        <f>IFERROR((売分析!$F6-売分析!$G6)/売分析!$G6*100,"")</f>
      </c>
      <c r="P6">
        <f>IFERROR((売分析!$E6-MAX(OFFSET(高値!$E$6,IFERROR(MATCH(売分析!$C6,銘柄管理!$B$6:$B$305,0),MATCH(TEXT(売分析!$C6,"0"),銘柄管理!$B$6:$B$305,0))-1,0,1,25)))/MAX(OFFSET(高値!$E$6,IFERROR(MATCH(売分析!$C6,銘柄管理!$B$6:$B$305,0),MATCH(TEXT(売分析!$C6,"0"),銘柄管理!$B$6:$B$305,0))-1,0,1,25))*100,"")</f>
      </c>
      <c r="Q6">
        <f>IFERROR((売分析!$H6-売分析!$I6)/売分析!$F6*100,"")</f>
      </c>
      <c r="R6">
        <f>IFERROR(5-COUNTIF($M$3:$M$206,"&lt;"&amp;$M6)/COUNT($M$3:$M$206)-COUNTIF($Q$3:$Q$206,"&lt;"&amp;$Q6)/COUNT($Q$3:$Q$206)-COUNTIF($N$3:$N$206,"&lt;"&amp;$N6)/COUNT($N$3:$N$206)-COUNTIF(売分析!$Z$3:$Z$206,"&lt;"&amp;売分析!$Z6)/COUNT(売分析!$Z$3:$Z$206)-COUNTIF($O$3:$O$206,"&lt;"&amp;$O6)/COUNT($O$3:$O$206),"")</f>
      </c>
      <c r="S6">
        <f>IF(OR(K6="",K6="TOPX",M6="",R6=""),0,IF(AND(V811設定!$E$12=1,M6&lt;=V811設定!$E$3,N6&lt;=V811設定!$E$4,O6&lt;=V811設定!$E$5,売分析!$Z6&lt;=V811設定!$E$6,売分析!$Z6&gt;=V811設定!$E$7,P6&gt;=V811設定!$E$8,Q6&lt;=V811設定!$E$9),1,0))</f>
      </c>
      <c r="T6">
        <f>IF(K6="","",IF(S6=1,"○ゲート通過",IF(V811設定!$E$12&lt;&gt;1,"― 停止中",IF(M6&gt;V811設定!$E$3,"×値動きが荒い",IF(N6&gt;V811設定!$E$4,"×レンジが広い",IF(O6&gt;V811設定!$E$5,"×窓を開けて上昇",IF(売分析!$Z6&gt;V811設定!$E$6,"×前日に急騰",IF(売分析!$Z6&lt;V811設定!$E$7,"×前日に急落",IF(P6&lt;V811設定!$E$8,"×高値から離れすぎ",IF(Q6&gt;V811設定!$E$9,"×当日の値幅が大きい","×"))))))))))</f>
      </c>
    </row>
    <row r="7" spans="1:20">
      <c r="A7">
        <f>IF(分析!$C7="","",分析!$C7)</f>
      </c>
      <c r="B7">
        <f>IF(分析!$C7="","",分析!$D7)</f>
      </c>
      <c r="C7">
        <f>IFERROR((SUM(OFFSET(高値!$E$6,IFERROR(MATCH(分析!$C7,銘柄管理!$B$6:$B$305,0),MATCH(TEXT(分析!$C7,"0"),銘柄管理!$B$6:$B$305,0))-1,0,1,14))-SUM(OFFSET(安値!$E$6,IFERROR(MATCH(分析!$C7,銘柄管理!$B$6:$B$305,0),MATCH(TEXT(分析!$C7,"0"),銘柄管理!$B$6:$B$305,0))-1,0,1,14)))/SUM(OFFSET(終値!$E$6,IFERROR(MATCH(分析!$C7,銘柄管理!$B$6:$B$305,0),MATCH(TEXT(分析!$C7,"0"),銘柄管理!$B$6:$B$305,0))-1,0,1,14))*100,"")</f>
      </c>
      <c r="D7">
        <f>IFERROR((MAX(OFFSET(高値!$E$6,IFERROR(MATCH(分析!$C7,銘柄管理!$B$6:$B$305,0),MATCH(TEXT(分析!$C7,"0"),銘柄管理!$B$6:$B$305,0))-1,0,1,25))-MIN(OFFSET(安値!$E$6,IFERROR(MATCH(分析!$C7,銘柄管理!$B$6:$B$305,0),MATCH(TEXT(分析!$C7,"0"),銘柄管理!$B$6:$B$305,0))-1,0,1,25)))/分析!$E7*100,"")</f>
      </c>
      <c r="E7">
        <f>IFERROR((分析!$F7-分析!$G7)/分析!$G7*100,"")</f>
      </c>
      <c r="F7">
        <f>IFERROR((分析!$E7-MAX(OFFSET(高値!$E$6,IFERROR(MATCH(分析!$C7,銘柄管理!$B$6:$B$305,0),MATCH(TEXT(分析!$C7,"0"),銘柄管理!$B$6:$B$305,0))-1,0,1,25)))/MAX(OFFSET(高値!$E$6,IFERROR(MATCH(分析!$C7,銘柄管理!$B$6:$B$305,0),MATCH(TEXT(分析!$C7,"0"),銘柄管理!$B$6:$B$305,0))-1,0,1,25))*100,"")</f>
      </c>
      <c r="G7">
        <f>IFERROR((分析!$H7-分析!$I7)/分析!$F7*100,"")</f>
      </c>
      <c r="H7">
        <f>IFERROR(5-COUNTIF($C$3:$C$206,"&lt;"&amp;$C7)/COUNT($C$3:$C$206)-COUNTIF($G$3:$G$206,"&lt;"&amp;$G7)/COUNT($G$3:$G$206)-COUNTIF($D$3:$D$206,"&lt;"&amp;$D7)/COUNT($D$3:$D$206)-COUNTIF(分析!$Z$3:$Z$206,"&lt;"&amp;分析!$Z7)/COUNT(分析!$Z$3:$Z$206)-COUNTIF($E$3:$E$206,"&lt;"&amp;$E7)/COUNT($E$3:$E$206),"")</f>
      </c>
      <c r="I7">
        <f>IF(OR(A7="",A7="TOPX",C7="",H7=""),0,IF(AND(V811設定!$E$11=1,C7&lt;=V811設定!$E$3,D7&lt;=V811設定!$E$4,E7&lt;=V811設定!$E$5,分析!$Z7&lt;=V811設定!$E$6,分析!$Z7&gt;=V811設定!$E$7,F7&gt;=V811設定!$E$8,G7&lt;=V811設定!$E$9),1,0))</f>
      </c>
      <c r="J7">
        <f>IF(A7="","",IF(I7=1,"○ゲート通過",IF(V811設定!$E$11&lt;&gt;1,"― 停止中",IF(C7&gt;V811設定!$E$3,"×値動きが荒い",IF(D7&gt;V811設定!$E$4,"×レンジが広い",IF(E7&gt;V811設定!$E$5,"×窓を開けて上昇",IF(分析!$Z7&gt;V811設定!$E$6,"×前日に急騰",IF(分析!$Z7&lt;V811設定!$E$7,"×前日に急落",IF(F7&lt;V811設定!$E$8,"×高値から離れすぎ",IF(G7&gt;V811設定!$E$9,"×当日の値幅が大きい","×"))))))))))</f>
      </c>
      <c r="K7">
        <f>IF(売分析!$C7="","",売分析!$C7)</f>
      </c>
      <c r="L7">
        <f>IF(売分析!$C7="","",売分析!$D7)</f>
      </c>
      <c r="M7">
        <f>IFERROR((SUM(OFFSET(高値!$E$6,IFERROR(MATCH(売分析!$C7,銘柄管理!$B$6:$B$305,0),MATCH(TEXT(売分析!$C7,"0"),銘柄管理!$B$6:$B$305,0))-1,0,1,14))-SUM(OFFSET(安値!$E$6,IFERROR(MATCH(売分析!$C7,銘柄管理!$B$6:$B$305,0),MATCH(TEXT(売分析!$C7,"0"),銘柄管理!$B$6:$B$305,0))-1,0,1,14)))/SUM(OFFSET(終値!$E$6,IFERROR(MATCH(売分析!$C7,銘柄管理!$B$6:$B$305,0),MATCH(TEXT(売分析!$C7,"0"),銘柄管理!$B$6:$B$305,0))-1,0,1,14))*100,"")</f>
      </c>
      <c r="N7">
        <f>IFERROR((MAX(OFFSET(高値!$E$6,IFERROR(MATCH(売分析!$C7,銘柄管理!$B$6:$B$305,0),MATCH(TEXT(売分析!$C7,"0"),銘柄管理!$B$6:$B$305,0))-1,0,1,25))-MIN(OFFSET(安値!$E$6,IFERROR(MATCH(売分析!$C7,銘柄管理!$B$6:$B$305,0),MATCH(TEXT(売分析!$C7,"0"),銘柄管理!$B$6:$B$305,0))-1,0,1,25)))/売分析!$E7*100,"")</f>
      </c>
      <c r="O7">
        <f>IFERROR((売分析!$F7-売分析!$G7)/売分析!$G7*100,"")</f>
      </c>
      <c r="P7">
        <f>IFERROR((売分析!$E7-MAX(OFFSET(高値!$E$6,IFERROR(MATCH(売分析!$C7,銘柄管理!$B$6:$B$305,0),MATCH(TEXT(売分析!$C7,"0"),銘柄管理!$B$6:$B$305,0))-1,0,1,25)))/MAX(OFFSET(高値!$E$6,IFERROR(MATCH(売分析!$C7,銘柄管理!$B$6:$B$305,0),MATCH(TEXT(売分析!$C7,"0"),銘柄管理!$B$6:$B$305,0))-1,0,1,25))*100,"")</f>
      </c>
      <c r="Q7">
        <f>IFERROR((売分析!$H7-売分析!$I7)/売分析!$F7*100,"")</f>
      </c>
      <c r="R7">
        <f>IFERROR(5-COUNTIF($M$3:$M$206,"&lt;"&amp;$M7)/COUNT($M$3:$M$206)-COUNTIF($Q$3:$Q$206,"&lt;"&amp;$Q7)/COUNT($Q$3:$Q$206)-COUNTIF($N$3:$N$206,"&lt;"&amp;$N7)/COUNT($N$3:$N$206)-COUNTIF(売分析!$Z$3:$Z$206,"&lt;"&amp;売分析!$Z7)/COUNT(売分析!$Z$3:$Z$206)-COUNTIF($O$3:$O$206,"&lt;"&amp;$O7)/COUNT($O$3:$O$206),"")</f>
      </c>
      <c r="S7">
        <f>IF(OR(K7="",K7="TOPX",M7="",R7=""),0,IF(AND(V811設定!$E$12=1,M7&lt;=V811設定!$E$3,N7&lt;=V811設定!$E$4,O7&lt;=V811設定!$E$5,売分析!$Z7&lt;=V811設定!$E$6,売分析!$Z7&gt;=V811設定!$E$7,P7&gt;=V811設定!$E$8,Q7&lt;=V811設定!$E$9),1,0))</f>
      </c>
      <c r="T7">
        <f>IF(K7="","",IF(S7=1,"○ゲート通過",IF(V811設定!$E$12&lt;&gt;1,"― 停止中",IF(M7&gt;V811設定!$E$3,"×値動きが荒い",IF(N7&gt;V811設定!$E$4,"×レンジが広い",IF(O7&gt;V811設定!$E$5,"×窓を開けて上昇",IF(売分析!$Z7&gt;V811設定!$E$6,"×前日に急騰",IF(売分析!$Z7&lt;V811設定!$E$7,"×前日に急落",IF(P7&lt;V811設定!$E$8,"×高値から離れすぎ",IF(Q7&gt;V811設定!$E$9,"×当日の値幅が大きい","×"))))))))))</f>
      </c>
    </row>
    <row r="8" spans="1:20">
      <c r="A8">
        <f>IF(分析!$C8="","",分析!$C8)</f>
      </c>
      <c r="B8">
        <f>IF(分析!$C8="","",分析!$D8)</f>
      </c>
      <c r="C8">
        <f>IFERROR((SUM(OFFSET(高値!$E$6,IFERROR(MATCH(分析!$C8,銘柄管理!$B$6:$B$305,0),MATCH(TEXT(分析!$C8,"0"),銘柄管理!$B$6:$B$305,0))-1,0,1,14))-SUM(OFFSET(安値!$E$6,IFERROR(MATCH(分析!$C8,銘柄管理!$B$6:$B$305,0),MATCH(TEXT(分析!$C8,"0"),銘柄管理!$B$6:$B$305,0))-1,0,1,14)))/SUM(OFFSET(終値!$E$6,IFERROR(MATCH(分析!$C8,銘柄管理!$B$6:$B$305,0),MATCH(TEXT(分析!$C8,"0"),銘柄管理!$B$6:$B$305,0))-1,0,1,14))*100,"")</f>
      </c>
      <c r="D8">
        <f>IFERROR((MAX(OFFSET(高値!$E$6,IFERROR(MATCH(分析!$C8,銘柄管理!$B$6:$B$305,0),MATCH(TEXT(分析!$C8,"0"),銘柄管理!$B$6:$B$305,0))-1,0,1,25))-MIN(OFFSET(安値!$E$6,IFERROR(MATCH(分析!$C8,銘柄管理!$B$6:$B$305,0),MATCH(TEXT(分析!$C8,"0"),銘柄管理!$B$6:$B$305,0))-1,0,1,25)))/分析!$E8*100,"")</f>
      </c>
      <c r="E8">
        <f>IFERROR((分析!$F8-分析!$G8)/分析!$G8*100,"")</f>
      </c>
      <c r="F8">
        <f>IFERROR((分析!$E8-MAX(OFFSET(高値!$E$6,IFERROR(MATCH(分析!$C8,銘柄管理!$B$6:$B$305,0),MATCH(TEXT(分析!$C8,"0"),銘柄管理!$B$6:$B$305,0))-1,0,1,25)))/MAX(OFFSET(高値!$E$6,IFERROR(MATCH(分析!$C8,銘柄管理!$B$6:$B$305,0),MATCH(TEXT(分析!$C8,"0"),銘柄管理!$B$6:$B$305,0))-1,0,1,25))*100,"")</f>
      </c>
      <c r="G8">
        <f>IFERROR((分析!$H8-分析!$I8)/分析!$F8*100,"")</f>
      </c>
      <c r="H8">
        <f>IFERROR(5-COUNTIF($C$3:$C$206,"&lt;"&amp;$C8)/COUNT($C$3:$C$206)-COUNTIF($G$3:$G$206,"&lt;"&amp;$G8)/COUNT($G$3:$G$206)-COUNTIF($D$3:$D$206,"&lt;"&amp;$D8)/COUNT($D$3:$D$206)-COUNTIF(分析!$Z$3:$Z$206,"&lt;"&amp;分析!$Z8)/COUNT(分析!$Z$3:$Z$206)-COUNTIF($E$3:$E$206,"&lt;"&amp;$E8)/COUNT($E$3:$E$206),"")</f>
      </c>
      <c r="I8">
        <f>IF(OR(A8="",A8="TOPX",C8="",H8=""),0,IF(AND(V811設定!$E$11=1,C8&lt;=V811設定!$E$3,D8&lt;=V811設定!$E$4,E8&lt;=V811設定!$E$5,分析!$Z8&lt;=V811設定!$E$6,分析!$Z8&gt;=V811設定!$E$7,F8&gt;=V811設定!$E$8,G8&lt;=V811設定!$E$9),1,0))</f>
      </c>
      <c r="J8">
        <f>IF(A8="","",IF(I8=1,"○ゲート通過",IF(V811設定!$E$11&lt;&gt;1,"― 停止中",IF(C8&gt;V811設定!$E$3,"×値動きが荒い",IF(D8&gt;V811設定!$E$4,"×レンジが広い",IF(E8&gt;V811設定!$E$5,"×窓を開けて上昇",IF(分析!$Z8&gt;V811設定!$E$6,"×前日に急騰",IF(分析!$Z8&lt;V811設定!$E$7,"×前日に急落",IF(F8&lt;V811設定!$E$8,"×高値から離れすぎ",IF(G8&gt;V811設定!$E$9,"×当日の値幅が大きい","×"))))))))))</f>
      </c>
      <c r="K8">
        <f>IF(売分析!$C8="","",売分析!$C8)</f>
      </c>
      <c r="L8">
        <f>IF(売分析!$C8="","",売分析!$D8)</f>
      </c>
      <c r="M8">
        <f>IFERROR((SUM(OFFSET(高値!$E$6,IFERROR(MATCH(売分析!$C8,銘柄管理!$B$6:$B$305,0),MATCH(TEXT(売分析!$C8,"0"),銘柄管理!$B$6:$B$305,0))-1,0,1,14))-SUM(OFFSET(安値!$E$6,IFERROR(MATCH(売分析!$C8,銘柄管理!$B$6:$B$305,0),MATCH(TEXT(売分析!$C8,"0"),銘柄管理!$B$6:$B$305,0))-1,0,1,14)))/SUM(OFFSET(終値!$E$6,IFERROR(MATCH(売分析!$C8,銘柄管理!$B$6:$B$305,0),MATCH(TEXT(売分析!$C8,"0"),銘柄管理!$B$6:$B$305,0))-1,0,1,14))*100,"")</f>
      </c>
      <c r="N8">
        <f>IFERROR((MAX(OFFSET(高値!$E$6,IFERROR(MATCH(売分析!$C8,銘柄管理!$B$6:$B$305,0),MATCH(TEXT(売分析!$C8,"0"),銘柄管理!$B$6:$B$305,0))-1,0,1,25))-MIN(OFFSET(安値!$E$6,IFERROR(MATCH(売分析!$C8,銘柄管理!$B$6:$B$305,0),MATCH(TEXT(売分析!$C8,"0"),銘柄管理!$B$6:$B$305,0))-1,0,1,25)))/売分析!$E8*100,"")</f>
      </c>
      <c r="O8">
        <f>IFERROR((売分析!$F8-売分析!$G8)/売分析!$G8*100,"")</f>
      </c>
      <c r="P8">
        <f>IFERROR((売分析!$E8-MAX(OFFSET(高値!$E$6,IFERROR(MATCH(売分析!$C8,銘柄管理!$B$6:$B$305,0),MATCH(TEXT(売分析!$C8,"0"),銘柄管理!$B$6:$B$305,0))-1,0,1,25)))/MAX(OFFSET(高値!$E$6,IFERROR(MATCH(売分析!$C8,銘柄管理!$B$6:$B$305,0),MATCH(TEXT(売分析!$C8,"0"),銘柄管理!$B$6:$B$305,0))-1,0,1,25))*100,"")</f>
      </c>
      <c r="Q8">
        <f>IFERROR((売分析!$H8-売分析!$I8)/売分析!$F8*100,"")</f>
      </c>
      <c r="R8">
        <f>IFERROR(5-COUNTIF($M$3:$M$206,"&lt;"&amp;$M8)/COUNT($M$3:$M$206)-COUNTIF($Q$3:$Q$206,"&lt;"&amp;$Q8)/COUNT($Q$3:$Q$206)-COUNTIF($N$3:$N$206,"&lt;"&amp;$N8)/COUNT($N$3:$N$206)-COUNTIF(売分析!$Z$3:$Z$206,"&lt;"&amp;売分析!$Z8)/COUNT(売分析!$Z$3:$Z$206)-COUNTIF($O$3:$O$206,"&lt;"&amp;$O8)/COUNT($O$3:$O$206),"")</f>
      </c>
      <c r="S8">
        <f>IF(OR(K8="",K8="TOPX",M8="",R8=""),0,IF(AND(V811設定!$E$12=1,M8&lt;=V811設定!$E$3,N8&lt;=V811設定!$E$4,O8&lt;=V811設定!$E$5,売分析!$Z8&lt;=V811設定!$E$6,売分析!$Z8&gt;=V811設定!$E$7,P8&gt;=V811設定!$E$8,Q8&lt;=V811設定!$E$9),1,0))</f>
      </c>
      <c r="T8">
        <f>IF(K8="","",IF(S8=1,"○ゲート通過",IF(V811設定!$E$12&lt;&gt;1,"― 停止中",IF(M8&gt;V811設定!$E$3,"×値動きが荒い",IF(N8&gt;V811設定!$E$4,"×レンジが広い",IF(O8&gt;V811設定!$E$5,"×窓を開けて上昇",IF(売分析!$Z8&gt;V811設定!$E$6,"×前日に急騰",IF(売分析!$Z8&lt;V811設定!$E$7,"×前日に急落",IF(P8&lt;V811設定!$E$8,"×高値から離れすぎ",IF(Q8&gt;V811設定!$E$9,"×当日の値幅が大きい","×"))))))))))</f>
      </c>
    </row>
    <row r="9" spans="1:20">
      <c r="A9">
        <f>IF(分析!$C9="","",分析!$C9)</f>
      </c>
      <c r="B9">
        <f>IF(分析!$C9="","",分析!$D9)</f>
      </c>
      <c r="C9">
        <f>IFERROR((SUM(OFFSET(高値!$E$6,IFERROR(MATCH(分析!$C9,銘柄管理!$B$6:$B$305,0),MATCH(TEXT(分析!$C9,"0"),銘柄管理!$B$6:$B$305,0))-1,0,1,14))-SUM(OFFSET(安値!$E$6,IFERROR(MATCH(分析!$C9,銘柄管理!$B$6:$B$305,0),MATCH(TEXT(分析!$C9,"0"),銘柄管理!$B$6:$B$305,0))-1,0,1,14)))/SUM(OFFSET(終値!$E$6,IFERROR(MATCH(分析!$C9,銘柄管理!$B$6:$B$305,0),MATCH(TEXT(分析!$C9,"0"),銘柄管理!$B$6:$B$305,0))-1,0,1,14))*100,"")</f>
      </c>
      <c r="D9">
        <f>IFERROR((MAX(OFFSET(高値!$E$6,IFERROR(MATCH(分析!$C9,銘柄管理!$B$6:$B$305,0),MATCH(TEXT(分析!$C9,"0"),銘柄管理!$B$6:$B$305,0))-1,0,1,25))-MIN(OFFSET(安値!$E$6,IFERROR(MATCH(分析!$C9,銘柄管理!$B$6:$B$305,0),MATCH(TEXT(分析!$C9,"0"),銘柄管理!$B$6:$B$305,0))-1,0,1,25)))/分析!$E9*100,"")</f>
      </c>
      <c r="E9">
        <f>IFERROR((分析!$F9-分析!$G9)/分析!$G9*100,"")</f>
      </c>
      <c r="F9">
        <f>IFERROR((分析!$E9-MAX(OFFSET(高値!$E$6,IFERROR(MATCH(分析!$C9,銘柄管理!$B$6:$B$305,0),MATCH(TEXT(分析!$C9,"0"),銘柄管理!$B$6:$B$305,0))-1,0,1,25)))/MAX(OFFSET(高値!$E$6,IFERROR(MATCH(分析!$C9,銘柄管理!$B$6:$B$305,0),MATCH(TEXT(分析!$C9,"0"),銘柄管理!$B$6:$B$305,0))-1,0,1,25))*100,"")</f>
      </c>
      <c r="G9">
        <f>IFERROR((分析!$H9-分析!$I9)/分析!$F9*100,"")</f>
      </c>
      <c r="H9">
        <f>IFERROR(5-COUNTIF($C$3:$C$206,"&lt;"&amp;$C9)/COUNT($C$3:$C$206)-COUNTIF($G$3:$G$206,"&lt;"&amp;$G9)/COUNT($G$3:$G$206)-COUNTIF($D$3:$D$206,"&lt;"&amp;$D9)/COUNT($D$3:$D$206)-COUNTIF(分析!$Z$3:$Z$206,"&lt;"&amp;分析!$Z9)/COUNT(分析!$Z$3:$Z$206)-COUNTIF($E$3:$E$206,"&lt;"&amp;$E9)/COUNT($E$3:$E$206),"")</f>
      </c>
      <c r="I9">
        <f>IF(OR(A9="",A9="TOPX",C9="",H9=""),0,IF(AND(V811設定!$E$11=1,C9&lt;=V811設定!$E$3,D9&lt;=V811設定!$E$4,E9&lt;=V811設定!$E$5,分析!$Z9&lt;=V811設定!$E$6,分析!$Z9&gt;=V811設定!$E$7,F9&gt;=V811設定!$E$8,G9&lt;=V811設定!$E$9),1,0))</f>
      </c>
      <c r="J9">
        <f>IF(A9="","",IF(I9=1,"○ゲート通過",IF(V811設定!$E$11&lt;&gt;1,"― 停止中",IF(C9&gt;V811設定!$E$3,"×値動きが荒い",IF(D9&gt;V811設定!$E$4,"×レンジが広い",IF(E9&gt;V811設定!$E$5,"×窓を開けて上昇",IF(分析!$Z9&gt;V811設定!$E$6,"×前日に急騰",IF(分析!$Z9&lt;V811設定!$E$7,"×前日に急落",IF(F9&lt;V811設定!$E$8,"×高値から離れすぎ",IF(G9&gt;V811設定!$E$9,"×当日の値幅が大きい","×"))))))))))</f>
      </c>
      <c r="K9">
        <f>IF(売分析!$C9="","",売分析!$C9)</f>
      </c>
      <c r="L9">
        <f>IF(売分析!$C9="","",売分析!$D9)</f>
      </c>
      <c r="M9">
        <f>IFERROR((SUM(OFFSET(高値!$E$6,IFERROR(MATCH(売分析!$C9,銘柄管理!$B$6:$B$305,0),MATCH(TEXT(売分析!$C9,"0"),銘柄管理!$B$6:$B$305,0))-1,0,1,14))-SUM(OFFSET(安値!$E$6,IFERROR(MATCH(売分析!$C9,銘柄管理!$B$6:$B$305,0),MATCH(TEXT(売分析!$C9,"0"),銘柄管理!$B$6:$B$305,0))-1,0,1,14)))/SUM(OFFSET(終値!$E$6,IFERROR(MATCH(売分析!$C9,銘柄管理!$B$6:$B$305,0),MATCH(TEXT(売分析!$C9,"0"),銘柄管理!$B$6:$B$305,0))-1,0,1,14))*100,"")</f>
      </c>
      <c r="N9">
        <f>IFERROR((MAX(OFFSET(高値!$E$6,IFERROR(MATCH(売分析!$C9,銘柄管理!$B$6:$B$305,0),MATCH(TEXT(売分析!$C9,"0"),銘柄管理!$B$6:$B$305,0))-1,0,1,25))-MIN(OFFSET(安値!$E$6,IFERROR(MATCH(売分析!$C9,銘柄管理!$B$6:$B$305,0),MATCH(TEXT(売分析!$C9,"0"),銘柄管理!$B$6:$B$305,0))-1,0,1,25)))/売分析!$E9*100,"")</f>
      </c>
      <c r="O9">
        <f>IFERROR((売分析!$F9-売分析!$G9)/売分析!$G9*100,"")</f>
      </c>
      <c r="P9">
        <f>IFERROR((売分析!$E9-MAX(OFFSET(高値!$E$6,IFERROR(MATCH(売分析!$C9,銘柄管理!$B$6:$B$305,0),MATCH(TEXT(売分析!$C9,"0"),銘柄管理!$B$6:$B$305,0))-1,0,1,25)))/MAX(OFFSET(高値!$E$6,IFERROR(MATCH(売分析!$C9,銘柄管理!$B$6:$B$305,0),MATCH(TEXT(売分析!$C9,"0"),銘柄管理!$B$6:$B$305,0))-1,0,1,25))*100,"")</f>
      </c>
      <c r="Q9">
        <f>IFERROR((売分析!$H9-売分析!$I9)/売分析!$F9*100,"")</f>
      </c>
      <c r="R9">
        <f>IFERROR(5-COUNTIF($M$3:$M$206,"&lt;"&amp;$M9)/COUNT($M$3:$M$206)-COUNTIF($Q$3:$Q$206,"&lt;"&amp;$Q9)/COUNT($Q$3:$Q$206)-COUNTIF($N$3:$N$206,"&lt;"&amp;$N9)/COUNT($N$3:$N$206)-COUNTIF(売分析!$Z$3:$Z$206,"&lt;"&amp;売分析!$Z9)/COUNT(売分析!$Z$3:$Z$206)-COUNTIF($O$3:$O$206,"&lt;"&amp;$O9)/COUNT($O$3:$O$206),"")</f>
      </c>
      <c r="S9">
        <f>IF(OR(K9="",K9="TOPX",M9="",R9=""),0,IF(AND(V811設定!$E$12=1,M9&lt;=V811設定!$E$3,N9&lt;=V811設定!$E$4,O9&lt;=V811設定!$E$5,売分析!$Z9&lt;=V811設定!$E$6,売分析!$Z9&gt;=V811設定!$E$7,P9&gt;=V811設定!$E$8,Q9&lt;=V811設定!$E$9),1,0))</f>
      </c>
      <c r="T9">
        <f>IF(K9="","",IF(S9=1,"○ゲート通過",IF(V811設定!$E$12&lt;&gt;1,"― 停止中",IF(M9&gt;V811設定!$E$3,"×値動きが荒い",IF(N9&gt;V811設定!$E$4,"×レンジが広い",IF(O9&gt;V811設定!$E$5,"×窓を開けて上昇",IF(売分析!$Z9&gt;V811設定!$E$6,"×前日に急騰",IF(売分析!$Z9&lt;V811設定!$E$7,"×前日に急落",IF(P9&lt;V811設定!$E$8,"×高値から離れすぎ",IF(Q9&gt;V811設定!$E$9,"×当日の値幅が大きい","×"))))))))))</f>
      </c>
    </row>
    <row r="10" spans="1:20">
      <c r="A10">
        <f>IF(分析!$C10="","",分析!$C10)</f>
      </c>
      <c r="B10">
        <f>IF(分析!$C10="","",分析!$D10)</f>
      </c>
      <c r="C10">
        <f>IFERROR((SUM(OFFSET(高値!$E$6,IFERROR(MATCH(分析!$C10,銘柄管理!$B$6:$B$305,0),MATCH(TEXT(分析!$C10,"0"),銘柄管理!$B$6:$B$305,0))-1,0,1,14))-SUM(OFFSET(安値!$E$6,IFERROR(MATCH(分析!$C10,銘柄管理!$B$6:$B$305,0),MATCH(TEXT(分析!$C10,"0"),銘柄管理!$B$6:$B$305,0))-1,0,1,14)))/SUM(OFFSET(終値!$E$6,IFERROR(MATCH(分析!$C10,銘柄管理!$B$6:$B$305,0),MATCH(TEXT(分析!$C10,"0"),銘柄管理!$B$6:$B$305,0))-1,0,1,14))*100,"")</f>
      </c>
      <c r="D10">
        <f>IFERROR((MAX(OFFSET(高値!$E$6,IFERROR(MATCH(分析!$C10,銘柄管理!$B$6:$B$305,0),MATCH(TEXT(分析!$C10,"0"),銘柄管理!$B$6:$B$305,0))-1,0,1,25))-MIN(OFFSET(安値!$E$6,IFERROR(MATCH(分析!$C10,銘柄管理!$B$6:$B$305,0),MATCH(TEXT(分析!$C10,"0"),銘柄管理!$B$6:$B$305,0))-1,0,1,25)))/分析!$E10*100,"")</f>
      </c>
      <c r="E10">
        <f>IFERROR((分析!$F10-分析!$G10)/分析!$G10*100,"")</f>
      </c>
      <c r="F10">
        <f>IFERROR((分析!$E10-MAX(OFFSET(高値!$E$6,IFERROR(MATCH(分析!$C10,銘柄管理!$B$6:$B$305,0),MATCH(TEXT(分析!$C10,"0"),銘柄管理!$B$6:$B$305,0))-1,0,1,25)))/MAX(OFFSET(高値!$E$6,IFERROR(MATCH(分析!$C10,銘柄管理!$B$6:$B$305,0),MATCH(TEXT(分析!$C10,"0"),銘柄管理!$B$6:$B$305,0))-1,0,1,25))*100,"")</f>
      </c>
      <c r="G10">
        <f>IFERROR((分析!$H10-分析!$I10)/分析!$F10*100,"")</f>
      </c>
      <c r="H10">
        <f>IFERROR(5-COUNTIF($C$3:$C$206,"&lt;"&amp;$C10)/COUNT($C$3:$C$206)-COUNTIF($G$3:$G$206,"&lt;"&amp;$G10)/COUNT($G$3:$G$206)-COUNTIF($D$3:$D$206,"&lt;"&amp;$D10)/COUNT($D$3:$D$206)-COUNTIF(分析!$Z$3:$Z$206,"&lt;"&amp;分析!$Z10)/COUNT(分析!$Z$3:$Z$206)-COUNTIF($E$3:$E$206,"&lt;"&amp;$E10)/COUNT($E$3:$E$206),"")</f>
      </c>
      <c r="I10">
        <f>IF(OR(A10="",A10="TOPX",C10="",H10=""),0,IF(AND(V811設定!$E$11=1,C10&lt;=V811設定!$E$3,D10&lt;=V811設定!$E$4,E10&lt;=V811設定!$E$5,分析!$Z10&lt;=V811設定!$E$6,分析!$Z10&gt;=V811設定!$E$7,F10&gt;=V811設定!$E$8,G10&lt;=V811設定!$E$9),1,0))</f>
      </c>
      <c r="J10">
        <f>IF(A10="","",IF(I10=1,"○ゲート通過",IF(V811設定!$E$11&lt;&gt;1,"― 停止中",IF(C10&gt;V811設定!$E$3,"×値動きが荒い",IF(D10&gt;V811設定!$E$4,"×レンジが広い",IF(E10&gt;V811設定!$E$5,"×窓を開けて上昇",IF(分析!$Z10&gt;V811設定!$E$6,"×前日に急騰",IF(分析!$Z10&lt;V811設定!$E$7,"×前日に急落",IF(F10&lt;V811設定!$E$8,"×高値から離れすぎ",IF(G10&gt;V811設定!$E$9,"×当日の値幅が大きい","×"))))))))))</f>
      </c>
      <c r="K10">
        <f>IF(売分析!$C10="","",売分析!$C10)</f>
      </c>
      <c r="L10">
        <f>IF(売分析!$C10="","",売分析!$D10)</f>
      </c>
      <c r="M10">
        <f>IFERROR((SUM(OFFSET(高値!$E$6,IFERROR(MATCH(売分析!$C10,銘柄管理!$B$6:$B$305,0),MATCH(TEXT(売分析!$C10,"0"),銘柄管理!$B$6:$B$305,0))-1,0,1,14))-SUM(OFFSET(安値!$E$6,IFERROR(MATCH(売分析!$C10,銘柄管理!$B$6:$B$305,0),MATCH(TEXT(売分析!$C10,"0"),銘柄管理!$B$6:$B$305,0))-1,0,1,14)))/SUM(OFFSET(終値!$E$6,IFERROR(MATCH(売分析!$C10,銘柄管理!$B$6:$B$305,0),MATCH(TEXT(売分析!$C10,"0"),銘柄管理!$B$6:$B$305,0))-1,0,1,14))*100,"")</f>
      </c>
      <c r="N10">
        <f>IFERROR((MAX(OFFSET(高値!$E$6,IFERROR(MATCH(売分析!$C10,銘柄管理!$B$6:$B$305,0),MATCH(TEXT(売分析!$C10,"0"),銘柄管理!$B$6:$B$305,0))-1,0,1,25))-MIN(OFFSET(安値!$E$6,IFERROR(MATCH(売分析!$C10,銘柄管理!$B$6:$B$305,0),MATCH(TEXT(売分析!$C10,"0"),銘柄管理!$B$6:$B$305,0))-1,0,1,25)))/売分析!$E10*100,"")</f>
      </c>
      <c r="O10">
        <f>IFERROR((売分析!$F10-売分析!$G10)/売分析!$G10*100,"")</f>
      </c>
      <c r="P10">
        <f>IFERROR((売分析!$E10-MAX(OFFSET(高値!$E$6,IFERROR(MATCH(売分析!$C10,銘柄管理!$B$6:$B$305,0),MATCH(TEXT(売分析!$C10,"0"),銘柄管理!$B$6:$B$305,0))-1,0,1,25)))/MAX(OFFSET(高値!$E$6,IFERROR(MATCH(売分析!$C10,銘柄管理!$B$6:$B$305,0),MATCH(TEXT(売分析!$C10,"0"),銘柄管理!$B$6:$B$305,0))-1,0,1,25))*100,"")</f>
      </c>
      <c r="Q10">
        <f>IFERROR((売分析!$H10-売分析!$I10)/売分析!$F10*100,"")</f>
      </c>
      <c r="R10">
        <f>IFERROR(5-COUNTIF($M$3:$M$206,"&lt;"&amp;$M10)/COUNT($M$3:$M$206)-COUNTIF($Q$3:$Q$206,"&lt;"&amp;$Q10)/COUNT($Q$3:$Q$206)-COUNTIF($N$3:$N$206,"&lt;"&amp;$N10)/COUNT($N$3:$N$206)-COUNTIF(売分析!$Z$3:$Z$206,"&lt;"&amp;売分析!$Z10)/COUNT(売分析!$Z$3:$Z$206)-COUNTIF($O$3:$O$206,"&lt;"&amp;$O10)/COUNT($O$3:$O$206),"")</f>
      </c>
      <c r="S10">
        <f>IF(OR(K10="",K10="TOPX",M10="",R10=""),0,IF(AND(V811設定!$E$12=1,M10&lt;=V811設定!$E$3,N10&lt;=V811設定!$E$4,O10&lt;=V811設定!$E$5,売分析!$Z10&lt;=V811設定!$E$6,売分析!$Z10&gt;=V811設定!$E$7,P10&gt;=V811設定!$E$8,Q10&lt;=V811設定!$E$9),1,0))</f>
      </c>
      <c r="T10">
        <f>IF(K10="","",IF(S10=1,"○ゲート通過",IF(V811設定!$E$12&lt;&gt;1,"― 停止中",IF(M10&gt;V811設定!$E$3,"×値動きが荒い",IF(N10&gt;V811設定!$E$4,"×レンジが広い",IF(O10&gt;V811設定!$E$5,"×窓を開けて上昇",IF(売分析!$Z10&gt;V811設定!$E$6,"×前日に急騰",IF(売分析!$Z10&lt;V811設定!$E$7,"×前日に急落",IF(P10&lt;V811設定!$E$8,"×高値から離れすぎ",IF(Q10&gt;V811設定!$E$9,"×当日の値幅が大きい","×"))))))))))</f>
      </c>
    </row>
    <row r="11" spans="1:20">
      <c r="A11">
        <f>IF(分析!$C11="","",分析!$C11)</f>
      </c>
      <c r="B11">
        <f>IF(分析!$C11="","",分析!$D11)</f>
      </c>
      <c r="C11">
        <f>IFERROR((SUM(OFFSET(高値!$E$6,IFERROR(MATCH(分析!$C11,銘柄管理!$B$6:$B$305,0),MATCH(TEXT(分析!$C11,"0"),銘柄管理!$B$6:$B$305,0))-1,0,1,14))-SUM(OFFSET(安値!$E$6,IFERROR(MATCH(分析!$C11,銘柄管理!$B$6:$B$305,0),MATCH(TEXT(分析!$C11,"0"),銘柄管理!$B$6:$B$305,0))-1,0,1,14)))/SUM(OFFSET(終値!$E$6,IFERROR(MATCH(分析!$C11,銘柄管理!$B$6:$B$305,0),MATCH(TEXT(分析!$C11,"0"),銘柄管理!$B$6:$B$305,0))-1,0,1,14))*100,"")</f>
      </c>
      <c r="D11">
        <f>IFERROR((MAX(OFFSET(高値!$E$6,IFERROR(MATCH(分析!$C11,銘柄管理!$B$6:$B$305,0),MATCH(TEXT(分析!$C11,"0"),銘柄管理!$B$6:$B$305,0))-1,0,1,25))-MIN(OFFSET(安値!$E$6,IFERROR(MATCH(分析!$C11,銘柄管理!$B$6:$B$305,0),MATCH(TEXT(分析!$C11,"0"),銘柄管理!$B$6:$B$305,0))-1,0,1,25)))/分析!$E11*100,"")</f>
      </c>
      <c r="E11">
        <f>IFERROR((分析!$F11-分析!$G11)/分析!$G11*100,"")</f>
      </c>
      <c r="F11">
        <f>IFERROR((分析!$E11-MAX(OFFSET(高値!$E$6,IFERROR(MATCH(分析!$C11,銘柄管理!$B$6:$B$305,0),MATCH(TEXT(分析!$C11,"0"),銘柄管理!$B$6:$B$305,0))-1,0,1,25)))/MAX(OFFSET(高値!$E$6,IFERROR(MATCH(分析!$C11,銘柄管理!$B$6:$B$305,0),MATCH(TEXT(分析!$C11,"0"),銘柄管理!$B$6:$B$305,0))-1,0,1,25))*100,"")</f>
      </c>
      <c r="G11">
        <f>IFERROR((分析!$H11-分析!$I11)/分析!$F11*100,"")</f>
      </c>
      <c r="H11">
        <f>IFERROR(5-COUNTIF($C$3:$C$206,"&lt;"&amp;$C11)/COUNT($C$3:$C$206)-COUNTIF($G$3:$G$206,"&lt;"&amp;$G11)/COUNT($G$3:$G$206)-COUNTIF($D$3:$D$206,"&lt;"&amp;$D11)/COUNT($D$3:$D$206)-COUNTIF(分析!$Z$3:$Z$206,"&lt;"&amp;分析!$Z11)/COUNT(分析!$Z$3:$Z$206)-COUNTIF($E$3:$E$206,"&lt;"&amp;$E11)/COUNT($E$3:$E$206),"")</f>
      </c>
      <c r="I11">
        <f>IF(OR(A11="",A11="TOPX",C11="",H11=""),0,IF(AND(V811設定!$E$11=1,C11&lt;=V811設定!$E$3,D11&lt;=V811設定!$E$4,E11&lt;=V811設定!$E$5,分析!$Z11&lt;=V811設定!$E$6,分析!$Z11&gt;=V811設定!$E$7,F11&gt;=V811設定!$E$8,G11&lt;=V811設定!$E$9),1,0))</f>
      </c>
      <c r="J11">
        <f>IF(A11="","",IF(I11=1,"○ゲート通過",IF(V811設定!$E$11&lt;&gt;1,"― 停止中",IF(C11&gt;V811設定!$E$3,"×値動きが荒い",IF(D11&gt;V811設定!$E$4,"×レンジが広い",IF(E11&gt;V811設定!$E$5,"×窓を開けて上昇",IF(分析!$Z11&gt;V811設定!$E$6,"×前日に急騰",IF(分析!$Z11&lt;V811設定!$E$7,"×前日に急落",IF(F11&lt;V811設定!$E$8,"×高値から離れすぎ",IF(G11&gt;V811設定!$E$9,"×当日の値幅が大きい","×"))))))))))</f>
      </c>
      <c r="K11">
        <f>IF(売分析!$C11="","",売分析!$C11)</f>
      </c>
      <c r="L11">
        <f>IF(売分析!$C11="","",売分析!$D11)</f>
      </c>
      <c r="M11">
        <f>IFERROR((SUM(OFFSET(高値!$E$6,IFERROR(MATCH(売分析!$C11,銘柄管理!$B$6:$B$305,0),MATCH(TEXT(売分析!$C11,"0"),銘柄管理!$B$6:$B$305,0))-1,0,1,14))-SUM(OFFSET(安値!$E$6,IFERROR(MATCH(売分析!$C11,銘柄管理!$B$6:$B$305,0),MATCH(TEXT(売分析!$C11,"0"),銘柄管理!$B$6:$B$305,0))-1,0,1,14)))/SUM(OFFSET(終値!$E$6,IFERROR(MATCH(売分析!$C11,銘柄管理!$B$6:$B$305,0),MATCH(TEXT(売分析!$C11,"0"),銘柄管理!$B$6:$B$305,0))-1,0,1,14))*100,"")</f>
      </c>
      <c r="N11">
        <f>IFERROR((MAX(OFFSET(高値!$E$6,IFERROR(MATCH(売分析!$C11,銘柄管理!$B$6:$B$305,0),MATCH(TEXT(売分析!$C11,"0"),銘柄管理!$B$6:$B$305,0))-1,0,1,25))-MIN(OFFSET(安値!$E$6,IFERROR(MATCH(売分析!$C11,銘柄管理!$B$6:$B$305,0),MATCH(TEXT(売分析!$C11,"0"),銘柄管理!$B$6:$B$305,0))-1,0,1,25)))/売分析!$E11*100,"")</f>
      </c>
      <c r="O11">
        <f>IFERROR((売分析!$F11-売分析!$G11)/売分析!$G11*100,"")</f>
      </c>
      <c r="P11">
        <f>IFERROR((売分析!$E11-MAX(OFFSET(高値!$E$6,IFERROR(MATCH(売分析!$C11,銘柄管理!$B$6:$B$305,0),MATCH(TEXT(売分析!$C11,"0"),銘柄管理!$B$6:$B$305,0))-1,0,1,25)))/MAX(OFFSET(高値!$E$6,IFERROR(MATCH(売分析!$C11,銘柄管理!$B$6:$B$305,0),MATCH(TEXT(売分析!$C11,"0"),銘柄管理!$B$6:$B$305,0))-1,0,1,25))*100,"")</f>
      </c>
      <c r="Q11">
        <f>IFERROR((売分析!$H11-売分析!$I11)/売分析!$F11*100,"")</f>
      </c>
      <c r="R11">
        <f>IFERROR(5-COUNTIF($M$3:$M$206,"&lt;"&amp;$M11)/COUNT($M$3:$M$206)-COUNTIF($Q$3:$Q$206,"&lt;"&amp;$Q11)/COUNT($Q$3:$Q$206)-COUNTIF($N$3:$N$206,"&lt;"&amp;$N11)/COUNT($N$3:$N$206)-COUNTIF(売分析!$Z$3:$Z$206,"&lt;"&amp;売分析!$Z11)/COUNT(売分析!$Z$3:$Z$206)-COUNTIF($O$3:$O$206,"&lt;"&amp;$O11)/COUNT($O$3:$O$206),"")</f>
      </c>
      <c r="S11">
        <f>IF(OR(K11="",K11="TOPX",M11="",R11=""),0,IF(AND(V811設定!$E$12=1,M11&lt;=V811設定!$E$3,N11&lt;=V811設定!$E$4,O11&lt;=V811設定!$E$5,売分析!$Z11&lt;=V811設定!$E$6,売分析!$Z11&gt;=V811設定!$E$7,P11&gt;=V811設定!$E$8,Q11&lt;=V811設定!$E$9),1,0))</f>
      </c>
      <c r="T11">
        <f>IF(K11="","",IF(S11=1,"○ゲート通過",IF(V811設定!$E$12&lt;&gt;1,"― 停止中",IF(M11&gt;V811設定!$E$3,"×値動きが荒い",IF(N11&gt;V811設定!$E$4,"×レンジが広い",IF(O11&gt;V811設定!$E$5,"×窓を開けて上昇",IF(売分析!$Z11&gt;V811設定!$E$6,"×前日に急騰",IF(売分析!$Z11&lt;V811設定!$E$7,"×前日に急落",IF(P11&lt;V811設定!$E$8,"×高値から離れすぎ",IF(Q11&gt;V811設定!$E$9,"×当日の値幅が大きい","×"))))))))))</f>
      </c>
    </row>
    <row r="12" spans="1:20">
      <c r="A12">
        <f>IF(分析!$C12="","",分析!$C12)</f>
      </c>
      <c r="B12">
        <f>IF(分析!$C12="","",分析!$D12)</f>
      </c>
      <c r="C12">
        <f>IFERROR((SUM(OFFSET(高値!$E$6,IFERROR(MATCH(分析!$C12,銘柄管理!$B$6:$B$305,0),MATCH(TEXT(分析!$C12,"0"),銘柄管理!$B$6:$B$305,0))-1,0,1,14))-SUM(OFFSET(安値!$E$6,IFERROR(MATCH(分析!$C12,銘柄管理!$B$6:$B$305,0),MATCH(TEXT(分析!$C12,"0"),銘柄管理!$B$6:$B$305,0))-1,0,1,14)))/SUM(OFFSET(終値!$E$6,IFERROR(MATCH(分析!$C12,銘柄管理!$B$6:$B$305,0),MATCH(TEXT(分析!$C12,"0"),銘柄管理!$B$6:$B$305,0))-1,0,1,14))*100,"")</f>
      </c>
      <c r="D12">
        <f>IFERROR((MAX(OFFSET(高値!$E$6,IFERROR(MATCH(分析!$C12,銘柄管理!$B$6:$B$305,0),MATCH(TEXT(分析!$C12,"0"),銘柄管理!$B$6:$B$305,0))-1,0,1,25))-MIN(OFFSET(安値!$E$6,IFERROR(MATCH(分析!$C12,銘柄管理!$B$6:$B$305,0),MATCH(TEXT(分析!$C12,"0"),銘柄管理!$B$6:$B$305,0))-1,0,1,25)))/分析!$E12*100,"")</f>
      </c>
      <c r="E12">
        <f>IFERROR((分析!$F12-分析!$G12)/分析!$G12*100,"")</f>
      </c>
      <c r="F12">
        <f>IFERROR((分析!$E12-MAX(OFFSET(高値!$E$6,IFERROR(MATCH(分析!$C12,銘柄管理!$B$6:$B$305,0),MATCH(TEXT(分析!$C12,"0"),銘柄管理!$B$6:$B$305,0))-1,0,1,25)))/MAX(OFFSET(高値!$E$6,IFERROR(MATCH(分析!$C12,銘柄管理!$B$6:$B$305,0),MATCH(TEXT(分析!$C12,"0"),銘柄管理!$B$6:$B$305,0))-1,0,1,25))*100,"")</f>
      </c>
      <c r="G12">
        <f>IFERROR((分析!$H12-分析!$I12)/分析!$F12*100,"")</f>
      </c>
      <c r="H12">
        <f>IFERROR(5-COUNTIF($C$3:$C$206,"&lt;"&amp;$C12)/COUNT($C$3:$C$206)-COUNTIF($G$3:$G$206,"&lt;"&amp;$G12)/COUNT($G$3:$G$206)-COUNTIF($D$3:$D$206,"&lt;"&amp;$D12)/COUNT($D$3:$D$206)-COUNTIF(分析!$Z$3:$Z$206,"&lt;"&amp;分析!$Z12)/COUNT(分析!$Z$3:$Z$206)-COUNTIF($E$3:$E$206,"&lt;"&amp;$E12)/COUNT($E$3:$E$206),"")</f>
      </c>
      <c r="I12">
        <f>IF(OR(A12="",A12="TOPX",C12="",H12=""),0,IF(AND(V811設定!$E$11=1,C12&lt;=V811設定!$E$3,D12&lt;=V811設定!$E$4,E12&lt;=V811設定!$E$5,分析!$Z12&lt;=V811設定!$E$6,分析!$Z12&gt;=V811設定!$E$7,F12&gt;=V811設定!$E$8,G12&lt;=V811設定!$E$9),1,0))</f>
      </c>
      <c r="J12">
        <f>IF(A12="","",IF(I12=1,"○ゲート通過",IF(V811設定!$E$11&lt;&gt;1,"― 停止中",IF(C12&gt;V811設定!$E$3,"×値動きが荒い",IF(D12&gt;V811設定!$E$4,"×レンジが広い",IF(E12&gt;V811設定!$E$5,"×窓を開けて上昇",IF(分析!$Z12&gt;V811設定!$E$6,"×前日に急騰",IF(分析!$Z12&lt;V811設定!$E$7,"×前日に急落",IF(F12&lt;V811設定!$E$8,"×高値から離れすぎ",IF(G12&gt;V811設定!$E$9,"×当日の値幅が大きい","×"))))))))))</f>
      </c>
      <c r="K12">
        <f>IF(売分析!$C12="","",売分析!$C12)</f>
      </c>
      <c r="L12">
        <f>IF(売分析!$C12="","",売分析!$D12)</f>
      </c>
      <c r="M12">
        <f>IFERROR((SUM(OFFSET(高値!$E$6,IFERROR(MATCH(売分析!$C12,銘柄管理!$B$6:$B$305,0),MATCH(TEXT(売分析!$C12,"0"),銘柄管理!$B$6:$B$305,0))-1,0,1,14))-SUM(OFFSET(安値!$E$6,IFERROR(MATCH(売分析!$C12,銘柄管理!$B$6:$B$305,0),MATCH(TEXT(売分析!$C12,"0"),銘柄管理!$B$6:$B$305,0))-1,0,1,14)))/SUM(OFFSET(終値!$E$6,IFERROR(MATCH(売分析!$C12,銘柄管理!$B$6:$B$305,0),MATCH(TEXT(売分析!$C12,"0"),銘柄管理!$B$6:$B$305,0))-1,0,1,14))*100,"")</f>
      </c>
      <c r="N12">
        <f>IFERROR((MAX(OFFSET(高値!$E$6,IFERROR(MATCH(売分析!$C12,銘柄管理!$B$6:$B$305,0),MATCH(TEXT(売分析!$C12,"0"),銘柄管理!$B$6:$B$305,0))-1,0,1,25))-MIN(OFFSET(安値!$E$6,IFERROR(MATCH(売分析!$C12,銘柄管理!$B$6:$B$305,0),MATCH(TEXT(売分析!$C12,"0"),銘柄管理!$B$6:$B$305,0))-1,0,1,25)))/売分析!$E12*100,"")</f>
      </c>
      <c r="O12">
        <f>IFERROR((売分析!$F12-売分析!$G12)/売分析!$G12*100,"")</f>
      </c>
      <c r="P12">
        <f>IFERROR((売分析!$E12-MAX(OFFSET(高値!$E$6,IFERROR(MATCH(売分析!$C12,銘柄管理!$B$6:$B$305,0),MATCH(TEXT(売分析!$C12,"0"),銘柄管理!$B$6:$B$305,0))-1,0,1,25)))/MAX(OFFSET(高値!$E$6,IFERROR(MATCH(売分析!$C12,銘柄管理!$B$6:$B$305,0),MATCH(TEXT(売分析!$C12,"0"),銘柄管理!$B$6:$B$305,0))-1,0,1,25))*100,"")</f>
      </c>
      <c r="Q12">
        <f>IFERROR((売分析!$H12-売分析!$I12)/売分析!$F12*100,"")</f>
      </c>
      <c r="R12">
        <f>IFERROR(5-COUNTIF($M$3:$M$206,"&lt;"&amp;$M12)/COUNT($M$3:$M$206)-COUNTIF($Q$3:$Q$206,"&lt;"&amp;$Q12)/COUNT($Q$3:$Q$206)-COUNTIF($N$3:$N$206,"&lt;"&amp;$N12)/COUNT($N$3:$N$206)-COUNTIF(売分析!$Z$3:$Z$206,"&lt;"&amp;売分析!$Z12)/COUNT(売分析!$Z$3:$Z$206)-COUNTIF($O$3:$O$206,"&lt;"&amp;$O12)/COUNT($O$3:$O$206),"")</f>
      </c>
      <c r="S12">
        <f>IF(OR(K12="",K12="TOPX",M12="",R12=""),0,IF(AND(V811設定!$E$12=1,M12&lt;=V811設定!$E$3,N12&lt;=V811設定!$E$4,O12&lt;=V811設定!$E$5,売分析!$Z12&lt;=V811設定!$E$6,売分析!$Z12&gt;=V811設定!$E$7,P12&gt;=V811設定!$E$8,Q12&lt;=V811設定!$E$9),1,0))</f>
      </c>
      <c r="T12">
        <f>IF(K12="","",IF(S12=1,"○ゲート通過",IF(V811設定!$E$12&lt;&gt;1,"― 停止中",IF(M12&gt;V811設定!$E$3,"×値動きが荒い",IF(N12&gt;V811設定!$E$4,"×レンジが広い",IF(O12&gt;V811設定!$E$5,"×窓を開けて上昇",IF(売分析!$Z12&gt;V811設定!$E$6,"×前日に急騰",IF(売分析!$Z12&lt;V811設定!$E$7,"×前日に急落",IF(P12&lt;V811設定!$E$8,"×高値から離れすぎ",IF(Q12&gt;V811設定!$E$9,"×当日の値幅が大きい","×"))))))))))</f>
      </c>
    </row>
    <row r="13" spans="1:20">
      <c r="A13">
        <f>IF(分析!$C13="","",分析!$C13)</f>
      </c>
      <c r="B13">
        <f>IF(分析!$C13="","",分析!$D13)</f>
      </c>
      <c r="C13">
        <f>IFERROR((SUM(OFFSET(高値!$E$6,IFERROR(MATCH(分析!$C13,銘柄管理!$B$6:$B$305,0),MATCH(TEXT(分析!$C13,"0"),銘柄管理!$B$6:$B$305,0))-1,0,1,14))-SUM(OFFSET(安値!$E$6,IFERROR(MATCH(分析!$C13,銘柄管理!$B$6:$B$305,0),MATCH(TEXT(分析!$C13,"0"),銘柄管理!$B$6:$B$305,0))-1,0,1,14)))/SUM(OFFSET(終値!$E$6,IFERROR(MATCH(分析!$C13,銘柄管理!$B$6:$B$305,0),MATCH(TEXT(分析!$C13,"0"),銘柄管理!$B$6:$B$305,0))-1,0,1,14))*100,"")</f>
      </c>
      <c r="D13">
        <f>IFERROR((MAX(OFFSET(高値!$E$6,IFERROR(MATCH(分析!$C13,銘柄管理!$B$6:$B$305,0),MATCH(TEXT(分析!$C13,"0"),銘柄管理!$B$6:$B$305,0))-1,0,1,25))-MIN(OFFSET(安値!$E$6,IFERROR(MATCH(分析!$C13,銘柄管理!$B$6:$B$305,0),MATCH(TEXT(分析!$C13,"0"),銘柄管理!$B$6:$B$305,0))-1,0,1,25)))/分析!$E13*100,"")</f>
      </c>
      <c r="E13">
        <f>IFERROR((分析!$F13-分析!$G13)/分析!$G13*100,"")</f>
      </c>
      <c r="F13">
        <f>IFERROR((分析!$E13-MAX(OFFSET(高値!$E$6,IFERROR(MATCH(分析!$C13,銘柄管理!$B$6:$B$305,0),MATCH(TEXT(分析!$C13,"0"),銘柄管理!$B$6:$B$305,0))-1,0,1,25)))/MAX(OFFSET(高値!$E$6,IFERROR(MATCH(分析!$C13,銘柄管理!$B$6:$B$305,0),MATCH(TEXT(分析!$C13,"0"),銘柄管理!$B$6:$B$305,0))-1,0,1,25))*100,"")</f>
      </c>
      <c r="G13">
        <f>IFERROR((分析!$H13-分析!$I13)/分析!$F13*100,"")</f>
      </c>
      <c r="H13">
        <f>IFERROR(5-COUNTIF($C$3:$C$206,"&lt;"&amp;$C13)/COUNT($C$3:$C$206)-COUNTIF($G$3:$G$206,"&lt;"&amp;$G13)/COUNT($G$3:$G$206)-COUNTIF($D$3:$D$206,"&lt;"&amp;$D13)/COUNT($D$3:$D$206)-COUNTIF(分析!$Z$3:$Z$206,"&lt;"&amp;分析!$Z13)/COUNT(分析!$Z$3:$Z$206)-COUNTIF($E$3:$E$206,"&lt;"&amp;$E13)/COUNT($E$3:$E$206),"")</f>
      </c>
      <c r="I13">
        <f>IF(OR(A13="",A13="TOPX",C13="",H13=""),0,IF(AND(V811設定!$E$11=1,C13&lt;=V811設定!$E$3,D13&lt;=V811設定!$E$4,E13&lt;=V811設定!$E$5,分析!$Z13&lt;=V811設定!$E$6,分析!$Z13&gt;=V811設定!$E$7,F13&gt;=V811設定!$E$8,G13&lt;=V811設定!$E$9),1,0))</f>
      </c>
      <c r="J13">
        <f>IF(A13="","",IF(I13=1,"○ゲート通過",IF(V811設定!$E$11&lt;&gt;1,"― 停止中",IF(C13&gt;V811設定!$E$3,"×値動きが荒い",IF(D13&gt;V811設定!$E$4,"×レンジが広い",IF(E13&gt;V811設定!$E$5,"×窓を開けて上昇",IF(分析!$Z13&gt;V811設定!$E$6,"×前日に急騰",IF(分析!$Z13&lt;V811設定!$E$7,"×前日に急落",IF(F13&lt;V811設定!$E$8,"×高値から離れすぎ",IF(G13&gt;V811設定!$E$9,"×当日の値幅が大きい","×"))))))))))</f>
      </c>
      <c r="K13">
        <f>IF(売分析!$C13="","",売分析!$C13)</f>
      </c>
      <c r="L13">
        <f>IF(売分析!$C13="","",売分析!$D13)</f>
      </c>
      <c r="M13">
        <f>IFERROR((SUM(OFFSET(高値!$E$6,IFERROR(MATCH(売分析!$C13,銘柄管理!$B$6:$B$305,0),MATCH(TEXT(売分析!$C13,"0"),銘柄管理!$B$6:$B$305,0))-1,0,1,14))-SUM(OFFSET(安値!$E$6,IFERROR(MATCH(売分析!$C13,銘柄管理!$B$6:$B$305,0),MATCH(TEXT(売分析!$C13,"0"),銘柄管理!$B$6:$B$305,0))-1,0,1,14)))/SUM(OFFSET(終値!$E$6,IFERROR(MATCH(売分析!$C13,銘柄管理!$B$6:$B$305,0),MATCH(TEXT(売分析!$C13,"0"),銘柄管理!$B$6:$B$305,0))-1,0,1,14))*100,"")</f>
      </c>
      <c r="N13">
        <f>IFERROR((MAX(OFFSET(高値!$E$6,IFERROR(MATCH(売分析!$C13,銘柄管理!$B$6:$B$305,0),MATCH(TEXT(売分析!$C13,"0"),銘柄管理!$B$6:$B$305,0))-1,0,1,25))-MIN(OFFSET(安値!$E$6,IFERROR(MATCH(売分析!$C13,銘柄管理!$B$6:$B$305,0),MATCH(TEXT(売分析!$C13,"0"),銘柄管理!$B$6:$B$305,0))-1,0,1,25)))/売分析!$E13*100,"")</f>
      </c>
      <c r="O13">
        <f>IFERROR((売分析!$F13-売分析!$G13)/売分析!$G13*100,"")</f>
      </c>
      <c r="P13">
        <f>IFERROR((売分析!$E13-MAX(OFFSET(高値!$E$6,IFERROR(MATCH(売分析!$C13,銘柄管理!$B$6:$B$305,0),MATCH(TEXT(売分析!$C13,"0"),銘柄管理!$B$6:$B$305,0))-1,0,1,25)))/MAX(OFFSET(高値!$E$6,IFERROR(MATCH(売分析!$C13,銘柄管理!$B$6:$B$305,0),MATCH(TEXT(売分析!$C13,"0"),銘柄管理!$B$6:$B$305,0))-1,0,1,25))*100,"")</f>
      </c>
      <c r="Q13">
        <f>IFERROR((売分析!$H13-売分析!$I13)/売分析!$F13*100,"")</f>
      </c>
      <c r="R13">
        <f>IFERROR(5-COUNTIF($M$3:$M$206,"&lt;"&amp;$M13)/COUNT($M$3:$M$206)-COUNTIF($Q$3:$Q$206,"&lt;"&amp;$Q13)/COUNT($Q$3:$Q$206)-COUNTIF($N$3:$N$206,"&lt;"&amp;$N13)/COUNT($N$3:$N$206)-COUNTIF(売分析!$Z$3:$Z$206,"&lt;"&amp;売分析!$Z13)/COUNT(売分析!$Z$3:$Z$206)-COUNTIF($O$3:$O$206,"&lt;"&amp;$O13)/COUNT($O$3:$O$206),"")</f>
      </c>
      <c r="S13">
        <f>IF(OR(K13="",K13="TOPX",M13="",R13=""),0,IF(AND(V811設定!$E$12=1,M13&lt;=V811設定!$E$3,N13&lt;=V811設定!$E$4,O13&lt;=V811設定!$E$5,売分析!$Z13&lt;=V811設定!$E$6,売分析!$Z13&gt;=V811設定!$E$7,P13&gt;=V811設定!$E$8,Q13&lt;=V811設定!$E$9),1,0))</f>
      </c>
      <c r="T13">
        <f>IF(K13="","",IF(S13=1,"○ゲート通過",IF(V811設定!$E$12&lt;&gt;1,"― 停止中",IF(M13&gt;V811設定!$E$3,"×値動きが荒い",IF(N13&gt;V811設定!$E$4,"×レンジが広い",IF(O13&gt;V811設定!$E$5,"×窓を開けて上昇",IF(売分析!$Z13&gt;V811設定!$E$6,"×前日に急騰",IF(売分析!$Z13&lt;V811設定!$E$7,"×前日に急落",IF(P13&lt;V811設定!$E$8,"×高値から離れすぎ",IF(Q13&gt;V811設定!$E$9,"×当日の値幅が大きい","×"))))))))))</f>
      </c>
    </row>
    <row r="14" spans="1:20">
      <c r="A14">
        <f>IF(分析!$C14="","",分析!$C14)</f>
      </c>
      <c r="B14">
        <f>IF(分析!$C14="","",分析!$D14)</f>
      </c>
      <c r="C14">
        <f>IFERROR((SUM(OFFSET(高値!$E$6,IFERROR(MATCH(分析!$C14,銘柄管理!$B$6:$B$305,0),MATCH(TEXT(分析!$C14,"0"),銘柄管理!$B$6:$B$305,0))-1,0,1,14))-SUM(OFFSET(安値!$E$6,IFERROR(MATCH(分析!$C14,銘柄管理!$B$6:$B$305,0),MATCH(TEXT(分析!$C14,"0"),銘柄管理!$B$6:$B$305,0))-1,0,1,14)))/SUM(OFFSET(終値!$E$6,IFERROR(MATCH(分析!$C14,銘柄管理!$B$6:$B$305,0),MATCH(TEXT(分析!$C14,"0"),銘柄管理!$B$6:$B$305,0))-1,0,1,14))*100,"")</f>
      </c>
      <c r="D14">
        <f>IFERROR((MAX(OFFSET(高値!$E$6,IFERROR(MATCH(分析!$C14,銘柄管理!$B$6:$B$305,0),MATCH(TEXT(分析!$C14,"0"),銘柄管理!$B$6:$B$305,0))-1,0,1,25))-MIN(OFFSET(安値!$E$6,IFERROR(MATCH(分析!$C14,銘柄管理!$B$6:$B$305,0),MATCH(TEXT(分析!$C14,"0"),銘柄管理!$B$6:$B$305,0))-1,0,1,25)))/分析!$E14*100,"")</f>
      </c>
      <c r="E14">
        <f>IFERROR((分析!$F14-分析!$G14)/分析!$G14*100,"")</f>
      </c>
      <c r="F14">
        <f>IFERROR((分析!$E14-MAX(OFFSET(高値!$E$6,IFERROR(MATCH(分析!$C14,銘柄管理!$B$6:$B$305,0),MATCH(TEXT(分析!$C14,"0"),銘柄管理!$B$6:$B$305,0))-1,0,1,25)))/MAX(OFFSET(高値!$E$6,IFERROR(MATCH(分析!$C14,銘柄管理!$B$6:$B$305,0),MATCH(TEXT(分析!$C14,"0"),銘柄管理!$B$6:$B$305,0))-1,0,1,25))*100,"")</f>
      </c>
      <c r="G14">
        <f>IFERROR((分析!$H14-分析!$I14)/分析!$F14*100,"")</f>
      </c>
      <c r="H14">
        <f>IFERROR(5-COUNTIF($C$3:$C$206,"&lt;"&amp;$C14)/COUNT($C$3:$C$206)-COUNTIF($G$3:$G$206,"&lt;"&amp;$G14)/COUNT($G$3:$G$206)-COUNTIF($D$3:$D$206,"&lt;"&amp;$D14)/COUNT($D$3:$D$206)-COUNTIF(分析!$Z$3:$Z$206,"&lt;"&amp;分析!$Z14)/COUNT(分析!$Z$3:$Z$206)-COUNTIF($E$3:$E$206,"&lt;"&amp;$E14)/COUNT($E$3:$E$206),"")</f>
      </c>
      <c r="I14">
        <f>IF(OR(A14="",A14="TOPX",C14="",H14=""),0,IF(AND(V811設定!$E$11=1,C14&lt;=V811設定!$E$3,D14&lt;=V811設定!$E$4,E14&lt;=V811設定!$E$5,分析!$Z14&lt;=V811設定!$E$6,分析!$Z14&gt;=V811設定!$E$7,F14&gt;=V811設定!$E$8,G14&lt;=V811設定!$E$9),1,0))</f>
      </c>
      <c r="J14">
        <f>IF(A14="","",IF(I14=1,"○ゲート通過",IF(V811設定!$E$11&lt;&gt;1,"― 停止中",IF(C14&gt;V811設定!$E$3,"×値動きが荒い",IF(D14&gt;V811設定!$E$4,"×レンジが広い",IF(E14&gt;V811設定!$E$5,"×窓を開けて上昇",IF(分析!$Z14&gt;V811設定!$E$6,"×前日に急騰",IF(分析!$Z14&lt;V811設定!$E$7,"×前日に急落",IF(F14&lt;V811設定!$E$8,"×高値から離れすぎ",IF(G14&gt;V811設定!$E$9,"×当日の値幅が大きい","×"))))))))))</f>
      </c>
      <c r="K14">
        <f>IF(売分析!$C14="","",売分析!$C14)</f>
      </c>
      <c r="L14">
        <f>IF(売分析!$C14="","",売分析!$D14)</f>
      </c>
      <c r="M14">
        <f>IFERROR((SUM(OFFSET(高値!$E$6,IFERROR(MATCH(売分析!$C14,銘柄管理!$B$6:$B$305,0),MATCH(TEXT(売分析!$C14,"0"),銘柄管理!$B$6:$B$305,0))-1,0,1,14))-SUM(OFFSET(安値!$E$6,IFERROR(MATCH(売分析!$C14,銘柄管理!$B$6:$B$305,0),MATCH(TEXT(売分析!$C14,"0"),銘柄管理!$B$6:$B$305,0))-1,0,1,14)))/SUM(OFFSET(終値!$E$6,IFERROR(MATCH(売分析!$C14,銘柄管理!$B$6:$B$305,0),MATCH(TEXT(売分析!$C14,"0"),銘柄管理!$B$6:$B$305,0))-1,0,1,14))*100,"")</f>
      </c>
      <c r="N14">
        <f>IFERROR((MAX(OFFSET(高値!$E$6,IFERROR(MATCH(売分析!$C14,銘柄管理!$B$6:$B$305,0),MATCH(TEXT(売分析!$C14,"0"),銘柄管理!$B$6:$B$305,0))-1,0,1,25))-MIN(OFFSET(安値!$E$6,IFERROR(MATCH(売分析!$C14,銘柄管理!$B$6:$B$305,0),MATCH(TEXT(売分析!$C14,"0"),銘柄管理!$B$6:$B$305,0))-1,0,1,25)))/売分析!$E14*100,"")</f>
      </c>
      <c r="O14">
        <f>IFERROR((売分析!$F14-売分析!$G14)/売分析!$G14*100,"")</f>
      </c>
      <c r="P14">
        <f>IFERROR((売分析!$E14-MAX(OFFSET(高値!$E$6,IFERROR(MATCH(売分析!$C14,銘柄管理!$B$6:$B$305,0),MATCH(TEXT(売分析!$C14,"0"),銘柄管理!$B$6:$B$305,0))-1,0,1,25)))/MAX(OFFSET(高値!$E$6,IFERROR(MATCH(売分析!$C14,銘柄管理!$B$6:$B$305,0),MATCH(TEXT(売分析!$C14,"0"),銘柄管理!$B$6:$B$305,0))-1,0,1,25))*100,"")</f>
      </c>
      <c r="Q14">
        <f>IFERROR((売分析!$H14-売分析!$I14)/売分析!$F14*100,"")</f>
      </c>
      <c r="R14">
        <f>IFERROR(5-COUNTIF($M$3:$M$206,"&lt;"&amp;$M14)/COUNT($M$3:$M$206)-COUNTIF($Q$3:$Q$206,"&lt;"&amp;$Q14)/COUNT($Q$3:$Q$206)-COUNTIF($N$3:$N$206,"&lt;"&amp;$N14)/COUNT($N$3:$N$206)-COUNTIF(売分析!$Z$3:$Z$206,"&lt;"&amp;売分析!$Z14)/COUNT(売分析!$Z$3:$Z$206)-COUNTIF($O$3:$O$206,"&lt;"&amp;$O14)/COUNT($O$3:$O$206),"")</f>
      </c>
      <c r="S14">
        <f>IF(OR(K14="",K14="TOPX",M14="",R14=""),0,IF(AND(V811設定!$E$12=1,M14&lt;=V811設定!$E$3,N14&lt;=V811設定!$E$4,O14&lt;=V811設定!$E$5,売分析!$Z14&lt;=V811設定!$E$6,売分析!$Z14&gt;=V811設定!$E$7,P14&gt;=V811設定!$E$8,Q14&lt;=V811設定!$E$9),1,0))</f>
      </c>
      <c r="T14">
        <f>IF(K14="","",IF(S14=1,"○ゲート通過",IF(V811設定!$E$12&lt;&gt;1,"― 停止中",IF(M14&gt;V811設定!$E$3,"×値動きが荒い",IF(N14&gt;V811設定!$E$4,"×レンジが広い",IF(O14&gt;V811設定!$E$5,"×窓を開けて上昇",IF(売分析!$Z14&gt;V811設定!$E$6,"×前日に急騰",IF(売分析!$Z14&lt;V811設定!$E$7,"×前日に急落",IF(P14&lt;V811設定!$E$8,"×高値から離れすぎ",IF(Q14&gt;V811設定!$E$9,"×当日の値幅が大きい","×"))))))))))</f>
      </c>
    </row>
    <row r="15" spans="1:20">
      <c r="A15">
        <f>IF(分析!$C15="","",分析!$C15)</f>
      </c>
      <c r="B15">
        <f>IF(分析!$C15="","",分析!$D15)</f>
      </c>
      <c r="C15">
        <f>IFERROR((SUM(OFFSET(高値!$E$6,IFERROR(MATCH(分析!$C15,銘柄管理!$B$6:$B$305,0),MATCH(TEXT(分析!$C15,"0"),銘柄管理!$B$6:$B$305,0))-1,0,1,14))-SUM(OFFSET(安値!$E$6,IFERROR(MATCH(分析!$C15,銘柄管理!$B$6:$B$305,0),MATCH(TEXT(分析!$C15,"0"),銘柄管理!$B$6:$B$305,0))-1,0,1,14)))/SUM(OFFSET(終値!$E$6,IFERROR(MATCH(分析!$C15,銘柄管理!$B$6:$B$305,0),MATCH(TEXT(分析!$C15,"0"),銘柄管理!$B$6:$B$305,0))-1,0,1,14))*100,"")</f>
      </c>
      <c r="D15">
        <f>IFERROR((MAX(OFFSET(高値!$E$6,IFERROR(MATCH(分析!$C15,銘柄管理!$B$6:$B$305,0),MATCH(TEXT(分析!$C15,"0"),銘柄管理!$B$6:$B$305,0))-1,0,1,25))-MIN(OFFSET(安値!$E$6,IFERROR(MATCH(分析!$C15,銘柄管理!$B$6:$B$305,0),MATCH(TEXT(分析!$C15,"0"),銘柄管理!$B$6:$B$305,0))-1,0,1,25)))/分析!$E15*100,"")</f>
      </c>
      <c r="E15">
        <f>IFERROR((分析!$F15-分析!$G15)/分析!$G15*100,"")</f>
      </c>
      <c r="F15">
        <f>IFERROR((分析!$E15-MAX(OFFSET(高値!$E$6,IFERROR(MATCH(分析!$C15,銘柄管理!$B$6:$B$305,0),MATCH(TEXT(分析!$C15,"0"),銘柄管理!$B$6:$B$305,0))-1,0,1,25)))/MAX(OFFSET(高値!$E$6,IFERROR(MATCH(分析!$C15,銘柄管理!$B$6:$B$305,0),MATCH(TEXT(分析!$C15,"0"),銘柄管理!$B$6:$B$305,0))-1,0,1,25))*100,"")</f>
      </c>
      <c r="G15">
        <f>IFERROR((分析!$H15-分析!$I15)/分析!$F15*100,"")</f>
      </c>
      <c r="H15">
        <f>IFERROR(5-COUNTIF($C$3:$C$206,"&lt;"&amp;$C15)/COUNT($C$3:$C$206)-COUNTIF($G$3:$G$206,"&lt;"&amp;$G15)/COUNT($G$3:$G$206)-COUNTIF($D$3:$D$206,"&lt;"&amp;$D15)/COUNT($D$3:$D$206)-COUNTIF(分析!$Z$3:$Z$206,"&lt;"&amp;分析!$Z15)/COUNT(分析!$Z$3:$Z$206)-COUNTIF($E$3:$E$206,"&lt;"&amp;$E15)/COUNT($E$3:$E$206),"")</f>
      </c>
      <c r="I15">
        <f>IF(OR(A15="",A15="TOPX",C15="",H15=""),0,IF(AND(V811設定!$E$11=1,C15&lt;=V811設定!$E$3,D15&lt;=V811設定!$E$4,E15&lt;=V811設定!$E$5,分析!$Z15&lt;=V811設定!$E$6,分析!$Z15&gt;=V811設定!$E$7,F15&gt;=V811設定!$E$8,G15&lt;=V811設定!$E$9),1,0))</f>
      </c>
      <c r="J15">
        <f>IF(A15="","",IF(I15=1,"○ゲート通過",IF(V811設定!$E$11&lt;&gt;1,"― 停止中",IF(C15&gt;V811設定!$E$3,"×値動きが荒い",IF(D15&gt;V811設定!$E$4,"×レンジが広い",IF(E15&gt;V811設定!$E$5,"×窓を開けて上昇",IF(分析!$Z15&gt;V811設定!$E$6,"×前日に急騰",IF(分析!$Z15&lt;V811設定!$E$7,"×前日に急落",IF(F15&lt;V811設定!$E$8,"×高値から離れすぎ",IF(G15&gt;V811設定!$E$9,"×当日の値幅が大きい","×"))))))))))</f>
      </c>
      <c r="K15">
        <f>IF(売分析!$C15="","",売分析!$C15)</f>
      </c>
      <c r="L15">
        <f>IF(売分析!$C15="","",売分析!$D15)</f>
      </c>
      <c r="M15">
        <f>IFERROR((SUM(OFFSET(高値!$E$6,IFERROR(MATCH(売分析!$C15,銘柄管理!$B$6:$B$305,0),MATCH(TEXT(売分析!$C15,"0"),銘柄管理!$B$6:$B$305,0))-1,0,1,14))-SUM(OFFSET(安値!$E$6,IFERROR(MATCH(売分析!$C15,銘柄管理!$B$6:$B$305,0),MATCH(TEXT(売分析!$C15,"0"),銘柄管理!$B$6:$B$305,0))-1,0,1,14)))/SUM(OFFSET(終値!$E$6,IFERROR(MATCH(売分析!$C15,銘柄管理!$B$6:$B$305,0),MATCH(TEXT(売分析!$C15,"0"),銘柄管理!$B$6:$B$305,0))-1,0,1,14))*100,"")</f>
      </c>
      <c r="N15">
        <f>IFERROR((MAX(OFFSET(高値!$E$6,IFERROR(MATCH(売分析!$C15,銘柄管理!$B$6:$B$305,0),MATCH(TEXT(売分析!$C15,"0"),銘柄管理!$B$6:$B$305,0))-1,0,1,25))-MIN(OFFSET(安値!$E$6,IFERROR(MATCH(売分析!$C15,銘柄管理!$B$6:$B$305,0),MATCH(TEXT(売分析!$C15,"0"),銘柄管理!$B$6:$B$305,0))-1,0,1,25)))/売分析!$E15*100,"")</f>
      </c>
      <c r="O15">
        <f>IFERROR((売分析!$F15-売分析!$G15)/売分析!$G15*100,"")</f>
      </c>
      <c r="P15">
        <f>IFERROR((売分析!$E15-MAX(OFFSET(高値!$E$6,IFERROR(MATCH(売分析!$C15,銘柄管理!$B$6:$B$305,0),MATCH(TEXT(売分析!$C15,"0"),銘柄管理!$B$6:$B$305,0))-1,0,1,25)))/MAX(OFFSET(高値!$E$6,IFERROR(MATCH(売分析!$C15,銘柄管理!$B$6:$B$305,0),MATCH(TEXT(売分析!$C15,"0"),銘柄管理!$B$6:$B$305,0))-1,0,1,25))*100,"")</f>
      </c>
      <c r="Q15">
        <f>IFERROR((売分析!$H15-売分析!$I15)/売分析!$F15*100,"")</f>
      </c>
      <c r="R15">
        <f>IFERROR(5-COUNTIF($M$3:$M$206,"&lt;"&amp;$M15)/COUNT($M$3:$M$206)-COUNTIF($Q$3:$Q$206,"&lt;"&amp;$Q15)/COUNT($Q$3:$Q$206)-COUNTIF($N$3:$N$206,"&lt;"&amp;$N15)/COUNT($N$3:$N$206)-COUNTIF(売分析!$Z$3:$Z$206,"&lt;"&amp;売分析!$Z15)/COUNT(売分析!$Z$3:$Z$206)-COUNTIF($O$3:$O$206,"&lt;"&amp;$O15)/COUNT($O$3:$O$206),"")</f>
      </c>
      <c r="S15">
        <f>IF(OR(K15="",K15="TOPX",M15="",R15=""),0,IF(AND(V811設定!$E$12=1,M15&lt;=V811設定!$E$3,N15&lt;=V811設定!$E$4,O15&lt;=V811設定!$E$5,売分析!$Z15&lt;=V811設定!$E$6,売分析!$Z15&gt;=V811設定!$E$7,P15&gt;=V811設定!$E$8,Q15&lt;=V811設定!$E$9),1,0))</f>
      </c>
      <c r="T15">
        <f>IF(K15="","",IF(S15=1,"○ゲート通過",IF(V811設定!$E$12&lt;&gt;1,"― 停止中",IF(M15&gt;V811設定!$E$3,"×値動きが荒い",IF(N15&gt;V811設定!$E$4,"×レンジが広い",IF(O15&gt;V811設定!$E$5,"×窓を開けて上昇",IF(売分析!$Z15&gt;V811設定!$E$6,"×前日に急騰",IF(売分析!$Z15&lt;V811設定!$E$7,"×前日に急落",IF(P15&lt;V811設定!$E$8,"×高値から離れすぎ",IF(Q15&gt;V811設定!$E$9,"×当日の値幅が大きい","×"))))))))))</f>
      </c>
    </row>
    <row r="16" spans="1:20">
      <c r="A16">
        <f>IF(分析!$C16="","",分析!$C16)</f>
      </c>
      <c r="B16">
        <f>IF(分析!$C16="","",分析!$D16)</f>
      </c>
      <c r="C16">
        <f>IFERROR((SUM(OFFSET(高値!$E$6,IFERROR(MATCH(分析!$C16,銘柄管理!$B$6:$B$305,0),MATCH(TEXT(分析!$C16,"0"),銘柄管理!$B$6:$B$305,0))-1,0,1,14))-SUM(OFFSET(安値!$E$6,IFERROR(MATCH(分析!$C16,銘柄管理!$B$6:$B$305,0),MATCH(TEXT(分析!$C16,"0"),銘柄管理!$B$6:$B$305,0))-1,0,1,14)))/SUM(OFFSET(終値!$E$6,IFERROR(MATCH(分析!$C16,銘柄管理!$B$6:$B$305,0),MATCH(TEXT(分析!$C16,"0"),銘柄管理!$B$6:$B$305,0))-1,0,1,14))*100,"")</f>
      </c>
      <c r="D16">
        <f>IFERROR((MAX(OFFSET(高値!$E$6,IFERROR(MATCH(分析!$C16,銘柄管理!$B$6:$B$305,0),MATCH(TEXT(分析!$C16,"0"),銘柄管理!$B$6:$B$305,0))-1,0,1,25))-MIN(OFFSET(安値!$E$6,IFERROR(MATCH(分析!$C16,銘柄管理!$B$6:$B$305,0),MATCH(TEXT(分析!$C16,"0"),銘柄管理!$B$6:$B$305,0))-1,0,1,25)))/分析!$E16*100,"")</f>
      </c>
      <c r="E16">
        <f>IFERROR((分析!$F16-分析!$G16)/分析!$G16*100,"")</f>
      </c>
      <c r="F16">
        <f>IFERROR((分析!$E16-MAX(OFFSET(高値!$E$6,IFERROR(MATCH(分析!$C16,銘柄管理!$B$6:$B$305,0),MATCH(TEXT(分析!$C16,"0"),銘柄管理!$B$6:$B$305,0))-1,0,1,25)))/MAX(OFFSET(高値!$E$6,IFERROR(MATCH(分析!$C16,銘柄管理!$B$6:$B$305,0),MATCH(TEXT(分析!$C16,"0"),銘柄管理!$B$6:$B$305,0))-1,0,1,25))*100,"")</f>
      </c>
      <c r="G16">
        <f>IFERROR((分析!$H16-分析!$I16)/分析!$F16*100,"")</f>
      </c>
      <c r="H16">
        <f>IFERROR(5-COUNTIF($C$3:$C$206,"&lt;"&amp;$C16)/COUNT($C$3:$C$206)-COUNTIF($G$3:$G$206,"&lt;"&amp;$G16)/COUNT($G$3:$G$206)-COUNTIF($D$3:$D$206,"&lt;"&amp;$D16)/COUNT($D$3:$D$206)-COUNTIF(分析!$Z$3:$Z$206,"&lt;"&amp;分析!$Z16)/COUNT(分析!$Z$3:$Z$206)-COUNTIF($E$3:$E$206,"&lt;"&amp;$E16)/COUNT($E$3:$E$206),"")</f>
      </c>
      <c r="I16">
        <f>IF(OR(A16="",A16="TOPX",C16="",H16=""),0,IF(AND(V811設定!$E$11=1,C16&lt;=V811設定!$E$3,D16&lt;=V811設定!$E$4,E16&lt;=V811設定!$E$5,分析!$Z16&lt;=V811設定!$E$6,分析!$Z16&gt;=V811設定!$E$7,F16&gt;=V811設定!$E$8,G16&lt;=V811設定!$E$9),1,0))</f>
      </c>
      <c r="J16">
        <f>IF(A16="","",IF(I16=1,"○ゲート通過",IF(V811設定!$E$11&lt;&gt;1,"― 停止中",IF(C16&gt;V811設定!$E$3,"×値動きが荒い",IF(D16&gt;V811設定!$E$4,"×レンジが広い",IF(E16&gt;V811設定!$E$5,"×窓を開けて上昇",IF(分析!$Z16&gt;V811設定!$E$6,"×前日に急騰",IF(分析!$Z16&lt;V811設定!$E$7,"×前日に急落",IF(F16&lt;V811設定!$E$8,"×高値から離れすぎ",IF(G16&gt;V811設定!$E$9,"×当日の値幅が大きい","×"))))))))))</f>
      </c>
      <c r="K16">
        <f>IF(売分析!$C16="","",売分析!$C16)</f>
      </c>
      <c r="L16">
        <f>IF(売分析!$C16="","",売分析!$D16)</f>
      </c>
      <c r="M16">
        <f>IFERROR((SUM(OFFSET(高値!$E$6,IFERROR(MATCH(売分析!$C16,銘柄管理!$B$6:$B$305,0),MATCH(TEXT(売分析!$C16,"0"),銘柄管理!$B$6:$B$305,0))-1,0,1,14))-SUM(OFFSET(安値!$E$6,IFERROR(MATCH(売分析!$C16,銘柄管理!$B$6:$B$305,0),MATCH(TEXT(売分析!$C16,"0"),銘柄管理!$B$6:$B$305,0))-1,0,1,14)))/SUM(OFFSET(終値!$E$6,IFERROR(MATCH(売分析!$C16,銘柄管理!$B$6:$B$305,0),MATCH(TEXT(売分析!$C16,"0"),銘柄管理!$B$6:$B$305,0))-1,0,1,14))*100,"")</f>
      </c>
      <c r="N16">
        <f>IFERROR((MAX(OFFSET(高値!$E$6,IFERROR(MATCH(売分析!$C16,銘柄管理!$B$6:$B$305,0),MATCH(TEXT(売分析!$C16,"0"),銘柄管理!$B$6:$B$305,0))-1,0,1,25))-MIN(OFFSET(安値!$E$6,IFERROR(MATCH(売分析!$C16,銘柄管理!$B$6:$B$305,0),MATCH(TEXT(売分析!$C16,"0"),銘柄管理!$B$6:$B$305,0))-1,0,1,25)))/売分析!$E16*100,"")</f>
      </c>
      <c r="O16">
        <f>IFERROR((売分析!$F16-売分析!$G16)/売分析!$G16*100,"")</f>
      </c>
      <c r="P16">
        <f>IFERROR((売分析!$E16-MAX(OFFSET(高値!$E$6,IFERROR(MATCH(売分析!$C16,銘柄管理!$B$6:$B$305,0),MATCH(TEXT(売分析!$C16,"0"),銘柄管理!$B$6:$B$305,0))-1,0,1,25)))/MAX(OFFSET(高値!$E$6,IFERROR(MATCH(売分析!$C16,銘柄管理!$B$6:$B$305,0),MATCH(TEXT(売分析!$C16,"0"),銘柄管理!$B$6:$B$305,0))-1,0,1,25))*100,"")</f>
      </c>
      <c r="Q16">
        <f>IFERROR((売分析!$H16-売分析!$I16)/売分析!$F16*100,"")</f>
      </c>
      <c r="R16">
        <f>IFERROR(5-COUNTIF($M$3:$M$206,"&lt;"&amp;$M16)/COUNT($M$3:$M$206)-COUNTIF($Q$3:$Q$206,"&lt;"&amp;$Q16)/COUNT($Q$3:$Q$206)-COUNTIF($N$3:$N$206,"&lt;"&amp;$N16)/COUNT($N$3:$N$206)-COUNTIF(売分析!$Z$3:$Z$206,"&lt;"&amp;売分析!$Z16)/COUNT(売分析!$Z$3:$Z$206)-COUNTIF($O$3:$O$206,"&lt;"&amp;$O16)/COUNT($O$3:$O$206),"")</f>
      </c>
      <c r="S16">
        <f>IF(OR(K16="",K16="TOPX",M16="",R16=""),0,IF(AND(V811設定!$E$12=1,M16&lt;=V811設定!$E$3,N16&lt;=V811設定!$E$4,O16&lt;=V811設定!$E$5,売分析!$Z16&lt;=V811設定!$E$6,売分析!$Z16&gt;=V811設定!$E$7,P16&gt;=V811設定!$E$8,Q16&lt;=V811設定!$E$9),1,0))</f>
      </c>
      <c r="T16">
        <f>IF(K16="","",IF(S16=1,"○ゲート通過",IF(V811設定!$E$12&lt;&gt;1,"― 停止中",IF(M16&gt;V811設定!$E$3,"×値動きが荒い",IF(N16&gt;V811設定!$E$4,"×レンジが広い",IF(O16&gt;V811設定!$E$5,"×窓を開けて上昇",IF(売分析!$Z16&gt;V811設定!$E$6,"×前日に急騰",IF(売分析!$Z16&lt;V811設定!$E$7,"×前日に急落",IF(P16&lt;V811設定!$E$8,"×高値から離れすぎ",IF(Q16&gt;V811設定!$E$9,"×当日の値幅が大きい","×"))))))))))</f>
      </c>
    </row>
    <row r="17" spans="1:20">
      <c r="A17">
        <f>IF(分析!$C17="","",分析!$C17)</f>
      </c>
      <c r="B17">
        <f>IF(分析!$C17="","",分析!$D17)</f>
      </c>
      <c r="C17">
        <f>IFERROR((SUM(OFFSET(高値!$E$6,IFERROR(MATCH(分析!$C17,銘柄管理!$B$6:$B$305,0),MATCH(TEXT(分析!$C17,"0"),銘柄管理!$B$6:$B$305,0))-1,0,1,14))-SUM(OFFSET(安値!$E$6,IFERROR(MATCH(分析!$C17,銘柄管理!$B$6:$B$305,0),MATCH(TEXT(分析!$C17,"0"),銘柄管理!$B$6:$B$305,0))-1,0,1,14)))/SUM(OFFSET(終値!$E$6,IFERROR(MATCH(分析!$C17,銘柄管理!$B$6:$B$305,0),MATCH(TEXT(分析!$C17,"0"),銘柄管理!$B$6:$B$305,0))-1,0,1,14))*100,"")</f>
      </c>
      <c r="D17">
        <f>IFERROR((MAX(OFFSET(高値!$E$6,IFERROR(MATCH(分析!$C17,銘柄管理!$B$6:$B$305,0),MATCH(TEXT(分析!$C17,"0"),銘柄管理!$B$6:$B$305,0))-1,0,1,25))-MIN(OFFSET(安値!$E$6,IFERROR(MATCH(分析!$C17,銘柄管理!$B$6:$B$305,0),MATCH(TEXT(分析!$C17,"0"),銘柄管理!$B$6:$B$305,0))-1,0,1,25)))/分析!$E17*100,"")</f>
      </c>
      <c r="E17">
        <f>IFERROR((分析!$F17-分析!$G17)/分析!$G17*100,"")</f>
      </c>
      <c r="F17">
        <f>IFERROR((分析!$E17-MAX(OFFSET(高値!$E$6,IFERROR(MATCH(分析!$C17,銘柄管理!$B$6:$B$305,0),MATCH(TEXT(分析!$C17,"0"),銘柄管理!$B$6:$B$305,0))-1,0,1,25)))/MAX(OFFSET(高値!$E$6,IFERROR(MATCH(分析!$C17,銘柄管理!$B$6:$B$305,0),MATCH(TEXT(分析!$C17,"0"),銘柄管理!$B$6:$B$305,0))-1,0,1,25))*100,"")</f>
      </c>
      <c r="G17">
        <f>IFERROR((分析!$H17-分析!$I17)/分析!$F17*100,"")</f>
      </c>
      <c r="H17">
        <f>IFERROR(5-COUNTIF($C$3:$C$206,"&lt;"&amp;$C17)/COUNT($C$3:$C$206)-COUNTIF($G$3:$G$206,"&lt;"&amp;$G17)/COUNT($G$3:$G$206)-COUNTIF($D$3:$D$206,"&lt;"&amp;$D17)/COUNT($D$3:$D$206)-COUNTIF(分析!$Z$3:$Z$206,"&lt;"&amp;分析!$Z17)/COUNT(分析!$Z$3:$Z$206)-COUNTIF($E$3:$E$206,"&lt;"&amp;$E17)/COUNT($E$3:$E$206),"")</f>
      </c>
      <c r="I17">
        <f>IF(OR(A17="",A17="TOPX",C17="",H17=""),0,IF(AND(V811設定!$E$11=1,C17&lt;=V811設定!$E$3,D17&lt;=V811設定!$E$4,E17&lt;=V811設定!$E$5,分析!$Z17&lt;=V811設定!$E$6,分析!$Z17&gt;=V811設定!$E$7,F17&gt;=V811設定!$E$8,G17&lt;=V811設定!$E$9),1,0))</f>
      </c>
      <c r="J17">
        <f>IF(A17="","",IF(I17=1,"○ゲート通過",IF(V811設定!$E$11&lt;&gt;1,"― 停止中",IF(C17&gt;V811設定!$E$3,"×値動きが荒い",IF(D17&gt;V811設定!$E$4,"×レンジが広い",IF(E17&gt;V811設定!$E$5,"×窓を開けて上昇",IF(分析!$Z17&gt;V811設定!$E$6,"×前日に急騰",IF(分析!$Z17&lt;V811設定!$E$7,"×前日に急落",IF(F17&lt;V811設定!$E$8,"×高値から離れすぎ",IF(G17&gt;V811設定!$E$9,"×当日の値幅が大きい","×"))))))))))</f>
      </c>
      <c r="K17">
        <f>IF(売分析!$C17="","",売分析!$C17)</f>
      </c>
      <c r="L17">
        <f>IF(売分析!$C17="","",売分析!$D17)</f>
      </c>
      <c r="M17">
        <f>IFERROR((SUM(OFFSET(高値!$E$6,IFERROR(MATCH(売分析!$C17,銘柄管理!$B$6:$B$305,0),MATCH(TEXT(売分析!$C17,"0"),銘柄管理!$B$6:$B$305,0))-1,0,1,14))-SUM(OFFSET(安値!$E$6,IFERROR(MATCH(売分析!$C17,銘柄管理!$B$6:$B$305,0),MATCH(TEXT(売分析!$C17,"0"),銘柄管理!$B$6:$B$305,0))-1,0,1,14)))/SUM(OFFSET(終値!$E$6,IFERROR(MATCH(売分析!$C17,銘柄管理!$B$6:$B$305,0),MATCH(TEXT(売分析!$C17,"0"),銘柄管理!$B$6:$B$305,0))-1,0,1,14))*100,"")</f>
      </c>
      <c r="N17">
        <f>IFERROR((MAX(OFFSET(高値!$E$6,IFERROR(MATCH(売分析!$C17,銘柄管理!$B$6:$B$305,0),MATCH(TEXT(売分析!$C17,"0"),銘柄管理!$B$6:$B$305,0))-1,0,1,25))-MIN(OFFSET(安値!$E$6,IFERROR(MATCH(売分析!$C17,銘柄管理!$B$6:$B$305,0),MATCH(TEXT(売分析!$C17,"0"),銘柄管理!$B$6:$B$305,0))-1,0,1,25)))/売分析!$E17*100,"")</f>
      </c>
      <c r="O17">
        <f>IFERROR((売分析!$F17-売分析!$G17)/売分析!$G17*100,"")</f>
      </c>
      <c r="P17">
        <f>IFERROR((売分析!$E17-MAX(OFFSET(高値!$E$6,IFERROR(MATCH(売分析!$C17,銘柄管理!$B$6:$B$305,0),MATCH(TEXT(売分析!$C17,"0"),銘柄管理!$B$6:$B$305,0))-1,0,1,25)))/MAX(OFFSET(高値!$E$6,IFERROR(MATCH(売分析!$C17,銘柄管理!$B$6:$B$305,0),MATCH(TEXT(売分析!$C17,"0"),銘柄管理!$B$6:$B$305,0))-1,0,1,25))*100,"")</f>
      </c>
      <c r="Q17">
        <f>IFERROR((売分析!$H17-売分析!$I17)/売分析!$F17*100,"")</f>
      </c>
      <c r="R17">
        <f>IFERROR(5-COUNTIF($M$3:$M$206,"&lt;"&amp;$M17)/COUNT($M$3:$M$206)-COUNTIF($Q$3:$Q$206,"&lt;"&amp;$Q17)/COUNT($Q$3:$Q$206)-COUNTIF($N$3:$N$206,"&lt;"&amp;$N17)/COUNT($N$3:$N$206)-COUNTIF(売分析!$Z$3:$Z$206,"&lt;"&amp;売分析!$Z17)/COUNT(売分析!$Z$3:$Z$206)-COUNTIF($O$3:$O$206,"&lt;"&amp;$O17)/COUNT($O$3:$O$206),"")</f>
      </c>
      <c r="S17">
        <f>IF(OR(K17="",K17="TOPX",M17="",R17=""),0,IF(AND(V811設定!$E$12=1,M17&lt;=V811設定!$E$3,N17&lt;=V811設定!$E$4,O17&lt;=V811設定!$E$5,売分析!$Z17&lt;=V811設定!$E$6,売分析!$Z17&gt;=V811設定!$E$7,P17&gt;=V811設定!$E$8,Q17&lt;=V811設定!$E$9),1,0))</f>
      </c>
      <c r="T17">
        <f>IF(K17="","",IF(S17=1,"○ゲート通過",IF(V811設定!$E$12&lt;&gt;1,"― 停止中",IF(M17&gt;V811設定!$E$3,"×値動きが荒い",IF(N17&gt;V811設定!$E$4,"×レンジが広い",IF(O17&gt;V811設定!$E$5,"×窓を開けて上昇",IF(売分析!$Z17&gt;V811設定!$E$6,"×前日に急騰",IF(売分析!$Z17&lt;V811設定!$E$7,"×前日に急落",IF(P17&lt;V811設定!$E$8,"×高値から離れすぎ",IF(Q17&gt;V811設定!$E$9,"×当日の値幅が大きい","×"))))))))))</f>
      </c>
    </row>
    <row r="18" spans="1:20">
      <c r="A18">
        <f>IF(分析!$C18="","",分析!$C18)</f>
      </c>
      <c r="B18">
        <f>IF(分析!$C18="","",分析!$D18)</f>
      </c>
      <c r="C18">
        <f>IFERROR((SUM(OFFSET(高値!$E$6,IFERROR(MATCH(分析!$C18,銘柄管理!$B$6:$B$305,0),MATCH(TEXT(分析!$C18,"0"),銘柄管理!$B$6:$B$305,0))-1,0,1,14))-SUM(OFFSET(安値!$E$6,IFERROR(MATCH(分析!$C18,銘柄管理!$B$6:$B$305,0),MATCH(TEXT(分析!$C18,"0"),銘柄管理!$B$6:$B$305,0))-1,0,1,14)))/SUM(OFFSET(終値!$E$6,IFERROR(MATCH(分析!$C18,銘柄管理!$B$6:$B$305,0),MATCH(TEXT(分析!$C18,"0"),銘柄管理!$B$6:$B$305,0))-1,0,1,14))*100,"")</f>
      </c>
      <c r="D18">
        <f>IFERROR((MAX(OFFSET(高値!$E$6,IFERROR(MATCH(分析!$C18,銘柄管理!$B$6:$B$305,0),MATCH(TEXT(分析!$C18,"0"),銘柄管理!$B$6:$B$305,0))-1,0,1,25))-MIN(OFFSET(安値!$E$6,IFERROR(MATCH(分析!$C18,銘柄管理!$B$6:$B$305,0),MATCH(TEXT(分析!$C18,"0"),銘柄管理!$B$6:$B$305,0))-1,0,1,25)))/分析!$E18*100,"")</f>
      </c>
      <c r="E18">
        <f>IFERROR((分析!$F18-分析!$G18)/分析!$G18*100,"")</f>
      </c>
      <c r="F18">
        <f>IFERROR((分析!$E18-MAX(OFFSET(高値!$E$6,IFERROR(MATCH(分析!$C18,銘柄管理!$B$6:$B$305,0),MATCH(TEXT(分析!$C18,"0"),銘柄管理!$B$6:$B$305,0))-1,0,1,25)))/MAX(OFFSET(高値!$E$6,IFERROR(MATCH(分析!$C18,銘柄管理!$B$6:$B$305,0),MATCH(TEXT(分析!$C18,"0"),銘柄管理!$B$6:$B$305,0))-1,0,1,25))*100,"")</f>
      </c>
      <c r="G18">
        <f>IFERROR((分析!$H18-分析!$I18)/分析!$F18*100,"")</f>
      </c>
      <c r="H18">
        <f>IFERROR(5-COUNTIF($C$3:$C$206,"&lt;"&amp;$C18)/COUNT($C$3:$C$206)-COUNTIF($G$3:$G$206,"&lt;"&amp;$G18)/COUNT($G$3:$G$206)-COUNTIF($D$3:$D$206,"&lt;"&amp;$D18)/COUNT($D$3:$D$206)-COUNTIF(分析!$Z$3:$Z$206,"&lt;"&amp;分析!$Z18)/COUNT(分析!$Z$3:$Z$206)-COUNTIF($E$3:$E$206,"&lt;"&amp;$E18)/COUNT($E$3:$E$206),"")</f>
      </c>
      <c r="I18">
        <f>IF(OR(A18="",A18="TOPX",C18="",H18=""),0,IF(AND(V811設定!$E$11=1,C18&lt;=V811設定!$E$3,D18&lt;=V811設定!$E$4,E18&lt;=V811設定!$E$5,分析!$Z18&lt;=V811設定!$E$6,分析!$Z18&gt;=V811設定!$E$7,F18&gt;=V811設定!$E$8,G18&lt;=V811設定!$E$9),1,0))</f>
      </c>
      <c r="J18">
        <f>IF(A18="","",IF(I18=1,"○ゲート通過",IF(V811設定!$E$11&lt;&gt;1,"― 停止中",IF(C18&gt;V811設定!$E$3,"×値動きが荒い",IF(D18&gt;V811設定!$E$4,"×レンジが広い",IF(E18&gt;V811設定!$E$5,"×窓を開けて上昇",IF(分析!$Z18&gt;V811設定!$E$6,"×前日に急騰",IF(分析!$Z18&lt;V811設定!$E$7,"×前日に急落",IF(F18&lt;V811設定!$E$8,"×高値から離れすぎ",IF(G18&gt;V811設定!$E$9,"×当日の値幅が大きい","×"))))))))))</f>
      </c>
      <c r="K18">
        <f>IF(売分析!$C18="","",売分析!$C18)</f>
      </c>
      <c r="L18">
        <f>IF(売分析!$C18="","",売分析!$D18)</f>
      </c>
      <c r="M18">
        <f>IFERROR((SUM(OFFSET(高値!$E$6,IFERROR(MATCH(売分析!$C18,銘柄管理!$B$6:$B$305,0),MATCH(TEXT(売分析!$C18,"0"),銘柄管理!$B$6:$B$305,0))-1,0,1,14))-SUM(OFFSET(安値!$E$6,IFERROR(MATCH(売分析!$C18,銘柄管理!$B$6:$B$305,0),MATCH(TEXT(売分析!$C18,"0"),銘柄管理!$B$6:$B$305,0))-1,0,1,14)))/SUM(OFFSET(終値!$E$6,IFERROR(MATCH(売分析!$C18,銘柄管理!$B$6:$B$305,0),MATCH(TEXT(売分析!$C18,"0"),銘柄管理!$B$6:$B$305,0))-1,0,1,14))*100,"")</f>
      </c>
      <c r="N18">
        <f>IFERROR((MAX(OFFSET(高値!$E$6,IFERROR(MATCH(売分析!$C18,銘柄管理!$B$6:$B$305,0),MATCH(TEXT(売分析!$C18,"0"),銘柄管理!$B$6:$B$305,0))-1,0,1,25))-MIN(OFFSET(安値!$E$6,IFERROR(MATCH(売分析!$C18,銘柄管理!$B$6:$B$305,0),MATCH(TEXT(売分析!$C18,"0"),銘柄管理!$B$6:$B$305,0))-1,0,1,25)))/売分析!$E18*100,"")</f>
      </c>
      <c r="O18">
        <f>IFERROR((売分析!$F18-売分析!$G18)/売分析!$G18*100,"")</f>
      </c>
      <c r="P18">
        <f>IFERROR((売分析!$E18-MAX(OFFSET(高値!$E$6,IFERROR(MATCH(売分析!$C18,銘柄管理!$B$6:$B$305,0),MATCH(TEXT(売分析!$C18,"0"),銘柄管理!$B$6:$B$305,0))-1,0,1,25)))/MAX(OFFSET(高値!$E$6,IFERROR(MATCH(売分析!$C18,銘柄管理!$B$6:$B$305,0),MATCH(TEXT(売分析!$C18,"0"),銘柄管理!$B$6:$B$305,0))-1,0,1,25))*100,"")</f>
      </c>
      <c r="Q18">
        <f>IFERROR((売分析!$H18-売分析!$I18)/売分析!$F18*100,"")</f>
      </c>
      <c r="R18">
        <f>IFERROR(5-COUNTIF($M$3:$M$206,"&lt;"&amp;$M18)/COUNT($M$3:$M$206)-COUNTIF($Q$3:$Q$206,"&lt;"&amp;$Q18)/COUNT($Q$3:$Q$206)-COUNTIF($N$3:$N$206,"&lt;"&amp;$N18)/COUNT($N$3:$N$206)-COUNTIF(売分析!$Z$3:$Z$206,"&lt;"&amp;売分析!$Z18)/COUNT(売分析!$Z$3:$Z$206)-COUNTIF($O$3:$O$206,"&lt;"&amp;$O18)/COUNT($O$3:$O$206),"")</f>
      </c>
      <c r="S18">
        <f>IF(OR(K18="",K18="TOPX",M18="",R18=""),0,IF(AND(V811設定!$E$12=1,M18&lt;=V811設定!$E$3,N18&lt;=V811設定!$E$4,O18&lt;=V811設定!$E$5,売分析!$Z18&lt;=V811設定!$E$6,売分析!$Z18&gt;=V811設定!$E$7,P18&gt;=V811設定!$E$8,Q18&lt;=V811設定!$E$9),1,0))</f>
      </c>
      <c r="T18">
        <f>IF(K18="","",IF(S18=1,"○ゲート通過",IF(V811設定!$E$12&lt;&gt;1,"― 停止中",IF(M18&gt;V811設定!$E$3,"×値動きが荒い",IF(N18&gt;V811設定!$E$4,"×レンジが広い",IF(O18&gt;V811設定!$E$5,"×窓を開けて上昇",IF(売分析!$Z18&gt;V811設定!$E$6,"×前日に急騰",IF(売分析!$Z18&lt;V811設定!$E$7,"×前日に急落",IF(P18&lt;V811設定!$E$8,"×高値から離れすぎ",IF(Q18&gt;V811設定!$E$9,"×当日の値幅が大きい","×"))))))))))</f>
      </c>
    </row>
    <row r="19" spans="1:20">
      <c r="A19">
        <f>IF(分析!$C19="","",分析!$C19)</f>
      </c>
      <c r="B19">
        <f>IF(分析!$C19="","",分析!$D19)</f>
      </c>
      <c r="C19">
        <f>IFERROR((SUM(OFFSET(高値!$E$6,IFERROR(MATCH(分析!$C19,銘柄管理!$B$6:$B$305,0),MATCH(TEXT(分析!$C19,"0"),銘柄管理!$B$6:$B$305,0))-1,0,1,14))-SUM(OFFSET(安値!$E$6,IFERROR(MATCH(分析!$C19,銘柄管理!$B$6:$B$305,0),MATCH(TEXT(分析!$C19,"0"),銘柄管理!$B$6:$B$305,0))-1,0,1,14)))/SUM(OFFSET(終値!$E$6,IFERROR(MATCH(分析!$C19,銘柄管理!$B$6:$B$305,0),MATCH(TEXT(分析!$C19,"0"),銘柄管理!$B$6:$B$305,0))-1,0,1,14))*100,"")</f>
      </c>
      <c r="D19">
        <f>IFERROR((MAX(OFFSET(高値!$E$6,IFERROR(MATCH(分析!$C19,銘柄管理!$B$6:$B$305,0),MATCH(TEXT(分析!$C19,"0"),銘柄管理!$B$6:$B$305,0))-1,0,1,25))-MIN(OFFSET(安値!$E$6,IFERROR(MATCH(分析!$C19,銘柄管理!$B$6:$B$305,0),MATCH(TEXT(分析!$C19,"0"),銘柄管理!$B$6:$B$305,0))-1,0,1,25)))/分析!$E19*100,"")</f>
      </c>
      <c r="E19">
        <f>IFERROR((分析!$F19-分析!$G19)/分析!$G19*100,"")</f>
      </c>
      <c r="F19">
        <f>IFERROR((分析!$E19-MAX(OFFSET(高値!$E$6,IFERROR(MATCH(分析!$C19,銘柄管理!$B$6:$B$305,0),MATCH(TEXT(分析!$C19,"0"),銘柄管理!$B$6:$B$305,0))-1,0,1,25)))/MAX(OFFSET(高値!$E$6,IFERROR(MATCH(分析!$C19,銘柄管理!$B$6:$B$305,0),MATCH(TEXT(分析!$C19,"0"),銘柄管理!$B$6:$B$305,0))-1,0,1,25))*100,"")</f>
      </c>
      <c r="G19">
        <f>IFERROR((分析!$H19-分析!$I19)/分析!$F19*100,"")</f>
      </c>
      <c r="H19">
        <f>IFERROR(5-COUNTIF($C$3:$C$206,"&lt;"&amp;$C19)/COUNT($C$3:$C$206)-COUNTIF($G$3:$G$206,"&lt;"&amp;$G19)/COUNT($G$3:$G$206)-COUNTIF($D$3:$D$206,"&lt;"&amp;$D19)/COUNT($D$3:$D$206)-COUNTIF(分析!$Z$3:$Z$206,"&lt;"&amp;分析!$Z19)/COUNT(分析!$Z$3:$Z$206)-COUNTIF($E$3:$E$206,"&lt;"&amp;$E19)/COUNT($E$3:$E$206),"")</f>
      </c>
      <c r="I19">
        <f>IF(OR(A19="",A19="TOPX",C19="",H19=""),0,IF(AND(V811設定!$E$11=1,C19&lt;=V811設定!$E$3,D19&lt;=V811設定!$E$4,E19&lt;=V811設定!$E$5,分析!$Z19&lt;=V811設定!$E$6,分析!$Z19&gt;=V811設定!$E$7,F19&gt;=V811設定!$E$8,G19&lt;=V811設定!$E$9),1,0))</f>
      </c>
      <c r="J19">
        <f>IF(A19="","",IF(I19=1,"○ゲート通過",IF(V811設定!$E$11&lt;&gt;1,"― 停止中",IF(C19&gt;V811設定!$E$3,"×値動きが荒い",IF(D19&gt;V811設定!$E$4,"×レンジが広い",IF(E19&gt;V811設定!$E$5,"×窓を開けて上昇",IF(分析!$Z19&gt;V811設定!$E$6,"×前日に急騰",IF(分析!$Z19&lt;V811設定!$E$7,"×前日に急落",IF(F19&lt;V811設定!$E$8,"×高値から離れすぎ",IF(G19&gt;V811設定!$E$9,"×当日の値幅が大きい","×"))))))))))</f>
      </c>
      <c r="K19">
        <f>IF(売分析!$C19="","",売分析!$C19)</f>
      </c>
      <c r="L19">
        <f>IF(売分析!$C19="","",売分析!$D19)</f>
      </c>
      <c r="M19">
        <f>IFERROR((SUM(OFFSET(高値!$E$6,IFERROR(MATCH(売分析!$C19,銘柄管理!$B$6:$B$305,0),MATCH(TEXT(売分析!$C19,"0"),銘柄管理!$B$6:$B$305,0))-1,0,1,14))-SUM(OFFSET(安値!$E$6,IFERROR(MATCH(売分析!$C19,銘柄管理!$B$6:$B$305,0),MATCH(TEXT(売分析!$C19,"0"),銘柄管理!$B$6:$B$305,0))-1,0,1,14)))/SUM(OFFSET(終値!$E$6,IFERROR(MATCH(売分析!$C19,銘柄管理!$B$6:$B$305,0),MATCH(TEXT(売分析!$C19,"0"),銘柄管理!$B$6:$B$305,0))-1,0,1,14))*100,"")</f>
      </c>
      <c r="N19">
        <f>IFERROR((MAX(OFFSET(高値!$E$6,IFERROR(MATCH(売分析!$C19,銘柄管理!$B$6:$B$305,0),MATCH(TEXT(売分析!$C19,"0"),銘柄管理!$B$6:$B$305,0))-1,0,1,25))-MIN(OFFSET(安値!$E$6,IFERROR(MATCH(売分析!$C19,銘柄管理!$B$6:$B$305,0),MATCH(TEXT(売分析!$C19,"0"),銘柄管理!$B$6:$B$305,0))-1,0,1,25)))/売分析!$E19*100,"")</f>
      </c>
      <c r="O19">
        <f>IFERROR((売分析!$F19-売分析!$G19)/売分析!$G19*100,"")</f>
      </c>
      <c r="P19">
        <f>IFERROR((売分析!$E19-MAX(OFFSET(高値!$E$6,IFERROR(MATCH(売分析!$C19,銘柄管理!$B$6:$B$305,0),MATCH(TEXT(売分析!$C19,"0"),銘柄管理!$B$6:$B$305,0))-1,0,1,25)))/MAX(OFFSET(高値!$E$6,IFERROR(MATCH(売分析!$C19,銘柄管理!$B$6:$B$305,0),MATCH(TEXT(売分析!$C19,"0"),銘柄管理!$B$6:$B$305,0))-1,0,1,25))*100,"")</f>
      </c>
      <c r="Q19">
        <f>IFERROR((売分析!$H19-売分析!$I19)/売分析!$F19*100,"")</f>
      </c>
      <c r="R19">
        <f>IFERROR(5-COUNTIF($M$3:$M$206,"&lt;"&amp;$M19)/COUNT($M$3:$M$206)-COUNTIF($Q$3:$Q$206,"&lt;"&amp;$Q19)/COUNT($Q$3:$Q$206)-COUNTIF($N$3:$N$206,"&lt;"&amp;$N19)/COUNT($N$3:$N$206)-COUNTIF(売分析!$Z$3:$Z$206,"&lt;"&amp;売分析!$Z19)/COUNT(売分析!$Z$3:$Z$206)-COUNTIF($O$3:$O$206,"&lt;"&amp;$O19)/COUNT($O$3:$O$206),"")</f>
      </c>
      <c r="S19">
        <f>IF(OR(K19="",K19="TOPX",M19="",R19=""),0,IF(AND(V811設定!$E$12=1,M19&lt;=V811設定!$E$3,N19&lt;=V811設定!$E$4,O19&lt;=V811設定!$E$5,売分析!$Z19&lt;=V811設定!$E$6,売分析!$Z19&gt;=V811設定!$E$7,P19&gt;=V811設定!$E$8,Q19&lt;=V811設定!$E$9),1,0))</f>
      </c>
      <c r="T19">
        <f>IF(K19="","",IF(S19=1,"○ゲート通過",IF(V811設定!$E$12&lt;&gt;1,"― 停止中",IF(M19&gt;V811設定!$E$3,"×値動きが荒い",IF(N19&gt;V811設定!$E$4,"×レンジが広い",IF(O19&gt;V811設定!$E$5,"×窓を開けて上昇",IF(売分析!$Z19&gt;V811設定!$E$6,"×前日に急騰",IF(売分析!$Z19&lt;V811設定!$E$7,"×前日に急落",IF(P19&lt;V811設定!$E$8,"×高値から離れすぎ",IF(Q19&gt;V811設定!$E$9,"×当日の値幅が大きい","×"))))))))))</f>
      </c>
    </row>
    <row r="20" spans="1:20">
      <c r="A20">
        <f>IF(分析!$C20="","",分析!$C20)</f>
      </c>
      <c r="B20">
        <f>IF(分析!$C20="","",分析!$D20)</f>
      </c>
      <c r="C20">
        <f>IFERROR((SUM(OFFSET(高値!$E$6,IFERROR(MATCH(分析!$C20,銘柄管理!$B$6:$B$305,0),MATCH(TEXT(分析!$C20,"0"),銘柄管理!$B$6:$B$305,0))-1,0,1,14))-SUM(OFFSET(安値!$E$6,IFERROR(MATCH(分析!$C20,銘柄管理!$B$6:$B$305,0),MATCH(TEXT(分析!$C20,"0"),銘柄管理!$B$6:$B$305,0))-1,0,1,14)))/SUM(OFFSET(終値!$E$6,IFERROR(MATCH(分析!$C20,銘柄管理!$B$6:$B$305,0),MATCH(TEXT(分析!$C20,"0"),銘柄管理!$B$6:$B$305,0))-1,0,1,14))*100,"")</f>
      </c>
      <c r="D20">
        <f>IFERROR((MAX(OFFSET(高値!$E$6,IFERROR(MATCH(分析!$C20,銘柄管理!$B$6:$B$305,0),MATCH(TEXT(分析!$C20,"0"),銘柄管理!$B$6:$B$305,0))-1,0,1,25))-MIN(OFFSET(安値!$E$6,IFERROR(MATCH(分析!$C20,銘柄管理!$B$6:$B$305,0),MATCH(TEXT(分析!$C20,"0"),銘柄管理!$B$6:$B$305,0))-1,0,1,25)))/分析!$E20*100,"")</f>
      </c>
      <c r="E20">
        <f>IFERROR((分析!$F20-分析!$G20)/分析!$G20*100,"")</f>
      </c>
      <c r="F20">
        <f>IFERROR((分析!$E20-MAX(OFFSET(高値!$E$6,IFERROR(MATCH(分析!$C20,銘柄管理!$B$6:$B$305,0),MATCH(TEXT(分析!$C20,"0"),銘柄管理!$B$6:$B$305,0))-1,0,1,25)))/MAX(OFFSET(高値!$E$6,IFERROR(MATCH(分析!$C20,銘柄管理!$B$6:$B$305,0),MATCH(TEXT(分析!$C20,"0"),銘柄管理!$B$6:$B$305,0))-1,0,1,25))*100,"")</f>
      </c>
      <c r="G20">
        <f>IFERROR((分析!$H20-分析!$I20)/分析!$F20*100,"")</f>
      </c>
      <c r="H20">
        <f>IFERROR(5-COUNTIF($C$3:$C$206,"&lt;"&amp;$C20)/COUNT($C$3:$C$206)-COUNTIF($G$3:$G$206,"&lt;"&amp;$G20)/COUNT($G$3:$G$206)-COUNTIF($D$3:$D$206,"&lt;"&amp;$D20)/COUNT($D$3:$D$206)-COUNTIF(分析!$Z$3:$Z$206,"&lt;"&amp;分析!$Z20)/COUNT(分析!$Z$3:$Z$206)-COUNTIF($E$3:$E$206,"&lt;"&amp;$E20)/COUNT($E$3:$E$206),"")</f>
      </c>
      <c r="I20">
        <f>IF(OR(A20="",A20="TOPX",C20="",H20=""),0,IF(AND(V811設定!$E$11=1,C20&lt;=V811設定!$E$3,D20&lt;=V811設定!$E$4,E20&lt;=V811設定!$E$5,分析!$Z20&lt;=V811設定!$E$6,分析!$Z20&gt;=V811設定!$E$7,F20&gt;=V811設定!$E$8,G20&lt;=V811設定!$E$9),1,0))</f>
      </c>
      <c r="J20">
        <f>IF(A20="","",IF(I20=1,"○ゲート通過",IF(V811設定!$E$11&lt;&gt;1,"― 停止中",IF(C20&gt;V811設定!$E$3,"×値動きが荒い",IF(D20&gt;V811設定!$E$4,"×レンジが広い",IF(E20&gt;V811設定!$E$5,"×窓を開けて上昇",IF(分析!$Z20&gt;V811設定!$E$6,"×前日に急騰",IF(分析!$Z20&lt;V811設定!$E$7,"×前日に急落",IF(F20&lt;V811設定!$E$8,"×高値から離れすぎ",IF(G20&gt;V811設定!$E$9,"×当日の値幅が大きい","×"))))))))))</f>
      </c>
      <c r="K20">
        <f>IF(売分析!$C20="","",売分析!$C20)</f>
      </c>
      <c r="L20">
        <f>IF(売分析!$C20="","",売分析!$D20)</f>
      </c>
      <c r="M20">
        <f>IFERROR((SUM(OFFSET(高値!$E$6,IFERROR(MATCH(売分析!$C20,銘柄管理!$B$6:$B$305,0),MATCH(TEXT(売分析!$C20,"0"),銘柄管理!$B$6:$B$305,0))-1,0,1,14))-SUM(OFFSET(安値!$E$6,IFERROR(MATCH(売分析!$C20,銘柄管理!$B$6:$B$305,0),MATCH(TEXT(売分析!$C20,"0"),銘柄管理!$B$6:$B$305,0))-1,0,1,14)))/SUM(OFFSET(終値!$E$6,IFERROR(MATCH(売分析!$C20,銘柄管理!$B$6:$B$305,0),MATCH(TEXT(売分析!$C20,"0"),銘柄管理!$B$6:$B$305,0))-1,0,1,14))*100,"")</f>
      </c>
      <c r="N20">
        <f>IFERROR((MAX(OFFSET(高値!$E$6,IFERROR(MATCH(売分析!$C20,銘柄管理!$B$6:$B$305,0),MATCH(TEXT(売分析!$C20,"0"),銘柄管理!$B$6:$B$305,0))-1,0,1,25))-MIN(OFFSET(安値!$E$6,IFERROR(MATCH(売分析!$C20,銘柄管理!$B$6:$B$305,0),MATCH(TEXT(売分析!$C20,"0"),銘柄管理!$B$6:$B$305,0))-1,0,1,25)))/売分析!$E20*100,"")</f>
      </c>
      <c r="O20">
        <f>IFERROR((売分析!$F20-売分析!$G20)/売分析!$G20*100,"")</f>
      </c>
      <c r="P20">
        <f>IFERROR((売分析!$E20-MAX(OFFSET(高値!$E$6,IFERROR(MATCH(売分析!$C20,銘柄管理!$B$6:$B$305,0),MATCH(TEXT(売分析!$C20,"0"),銘柄管理!$B$6:$B$305,0))-1,0,1,25)))/MAX(OFFSET(高値!$E$6,IFERROR(MATCH(売分析!$C20,銘柄管理!$B$6:$B$305,0),MATCH(TEXT(売分析!$C20,"0"),銘柄管理!$B$6:$B$305,0))-1,0,1,25))*100,"")</f>
      </c>
      <c r="Q20">
        <f>IFERROR((売分析!$H20-売分析!$I20)/売分析!$F20*100,"")</f>
      </c>
      <c r="R20">
        <f>IFERROR(5-COUNTIF($M$3:$M$206,"&lt;"&amp;$M20)/COUNT($M$3:$M$206)-COUNTIF($Q$3:$Q$206,"&lt;"&amp;$Q20)/COUNT($Q$3:$Q$206)-COUNTIF($N$3:$N$206,"&lt;"&amp;$N20)/COUNT($N$3:$N$206)-COUNTIF(売分析!$Z$3:$Z$206,"&lt;"&amp;売分析!$Z20)/COUNT(売分析!$Z$3:$Z$206)-COUNTIF($O$3:$O$206,"&lt;"&amp;$O20)/COUNT($O$3:$O$206),"")</f>
      </c>
      <c r="S20">
        <f>IF(OR(K20="",K20="TOPX",M20="",R20=""),0,IF(AND(V811設定!$E$12=1,M20&lt;=V811設定!$E$3,N20&lt;=V811設定!$E$4,O20&lt;=V811設定!$E$5,売分析!$Z20&lt;=V811設定!$E$6,売分析!$Z20&gt;=V811設定!$E$7,P20&gt;=V811設定!$E$8,Q20&lt;=V811設定!$E$9),1,0))</f>
      </c>
      <c r="T20">
        <f>IF(K20="","",IF(S20=1,"○ゲート通過",IF(V811設定!$E$12&lt;&gt;1,"― 停止中",IF(M20&gt;V811設定!$E$3,"×値動きが荒い",IF(N20&gt;V811設定!$E$4,"×レンジが広い",IF(O20&gt;V811設定!$E$5,"×窓を開けて上昇",IF(売分析!$Z20&gt;V811設定!$E$6,"×前日に急騰",IF(売分析!$Z20&lt;V811設定!$E$7,"×前日に急落",IF(P20&lt;V811設定!$E$8,"×高値から離れすぎ",IF(Q20&gt;V811設定!$E$9,"×当日の値幅が大きい","×"))))))))))</f>
      </c>
    </row>
    <row r="21" spans="1:20">
      <c r="A21">
        <f>IF(分析!$C21="","",分析!$C21)</f>
      </c>
      <c r="B21">
        <f>IF(分析!$C21="","",分析!$D21)</f>
      </c>
      <c r="C21">
        <f>IFERROR((SUM(OFFSET(高値!$E$6,IFERROR(MATCH(分析!$C21,銘柄管理!$B$6:$B$305,0),MATCH(TEXT(分析!$C21,"0"),銘柄管理!$B$6:$B$305,0))-1,0,1,14))-SUM(OFFSET(安値!$E$6,IFERROR(MATCH(分析!$C21,銘柄管理!$B$6:$B$305,0),MATCH(TEXT(分析!$C21,"0"),銘柄管理!$B$6:$B$305,0))-1,0,1,14)))/SUM(OFFSET(終値!$E$6,IFERROR(MATCH(分析!$C21,銘柄管理!$B$6:$B$305,0),MATCH(TEXT(分析!$C21,"0"),銘柄管理!$B$6:$B$305,0))-1,0,1,14))*100,"")</f>
      </c>
      <c r="D21">
        <f>IFERROR((MAX(OFFSET(高値!$E$6,IFERROR(MATCH(分析!$C21,銘柄管理!$B$6:$B$305,0),MATCH(TEXT(分析!$C21,"0"),銘柄管理!$B$6:$B$305,0))-1,0,1,25))-MIN(OFFSET(安値!$E$6,IFERROR(MATCH(分析!$C21,銘柄管理!$B$6:$B$305,0),MATCH(TEXT(分析!$C21,"0"),銘柄管理!$B$6:$B$305,0))-1,0,1,25)))/分析!$E21*100,"")</f>
      </c>
      <c r="E21">
        <f>IFERROR((分析!$F21-分析!$G21)/分析!$G21*100,"")</f>
      </c>
      <c r="F21">
        <f>IFERROR((分析!$E21-MAX(OFFSET(高値!$E$6,IFERROR(MATCH(分析!$C21,銘柄管理!$B$6:$B$305,0),MATCH(TEXT(分析!$C21,"0"),銘柄管理!$B$6:$B$305,0))-1,0,1,25)))/MAX(OFFSET(高値!$E$6,IFERROR(MATCH(分析!$C21,銘柄管理!$B$6:$B$305,0),MATCH(TEXT(分析!$C21,"0"),銘柄管理!$B$6:$B$305,0))-1,0,1,25))*100,"")</f>
      </c>
      <c r="G21">
        <f>IFERROR((分析!$H21-分析!$I21)/分析!$F21*100,"")</f>
      </c>
      <c r="H21">
        <f>IFERROR(5-COUNTIF($C$3:$C$206,"&lt;"&amp;$C21)/COUNT($C$3:$C$206)-COUNTIF($G$3:$G$206,"&lt;"&amp;$G21)/COUNT($G$3:$G$206)-COUNTIF($D$3:$D$206,"&lt;"&amp;$D21)/COUNT($D$3:$D$206)-COUNTIF(分析!$Z$3:$Z$206,"&lt;"&amp;分析!$Z21)/COUNT(分析!$Z$3:$Z$206)-COUNTIF($E$3:$E$206,"&lt;"&amp;$E21)/COUNT($E$3:$E$206),"")</f>
      </c>
      <c r="I21">
        <f>IF(OR(A21="",A21="TOPX",C21="",H21=""),0,IF(AND(V811設定!$E$11=1,C21&lt;=V811設定!$E$3,D21&lt;=V811設定!$E$4,E21&lt;=V811設定!$E$5,分析!$Z21&lt;=V811設定!$E$6,分析!$Z21&gt;=V811設定!$E$7,F21&gt;=V811設定!$E$8,G21&lt;=V811設定!$E$9),1,0))</f>
      </c>
      <c r="J21">
        <f>IF(A21="","",IF(I21=1,"○ゲート通過",IF(V811設定!$E$11&lt;&gt;1,"― 停止中",IF(C21&gt;V811設定!$E$3,"×値動きが荒い",IF(D21&gt;V811設定!$E$4,"×レンジが広い",IF(E21&gt;V811設定!$E$5,"×窓を開けて上昇",IF(分析!$Z21&gt;V811設定!$E$6,"×前日に急騰",IF(分析!$Z21&lt;V811設定!$E$7,"×前日に急落",IF(F21&lt;V811設定!$E$8,"×高値から離れすぎ",IF(G21&gt;V811設定!$E$9,"×当日の値幅が大きい","×"))))))))))</f>
      </c>
      <c r="K21">
        <f>IF(売分析!$C21="","",売分析!$C21)</f>
      </c>
      <c r="L21">
        <f>IF(売分析!$C21="","",売分析!$D21)</f>
      </c>
      <c r="M21">
        <f>IFERROR((SUM(OFFSET(高値!$E$6,IFERROR(MATCH(売分析!$C21,銘柄管理!$B$6:$B$305,0),MATCH(TEXT(売分析!$C21,"0"),銘柄管理!$B$6:$B$305,0))-1,0,1,14))-SUM(OFFSET(安値!$E$6,IFERROR(MATCH(売分析!$C21,銘柄管理!$B$6:$B$305,0),MATCH(TEXT(売分析!$C21,"0"),銘柄管理!$B$6:$B$305,0))-1,0,1,14)))/SUM(OFFSET(終値!$E$6,IFERROR(MATCH(売分析!$C21,銘柄管理!$B$6:$B$305,0),MATCH(TEXT(売分析!$C21,"0"),銘柄管理!$B$6:$B$305,0))-1,0,1,14))*100,"")</f>
      </c>
      <c r="N21">
        <f>IFERROR((MAX(OFFSET(高値!$E$6,IFERROR(MATCH(売分析!$C21,銘柄管理!$B$6:$B$305,0),MATCH(TEXT(売分析!$C21,"0"),銘柄管理!$B$6:$B$305,0))-1,0,1,25))-MIN(OFFSET(安値!$E$6,IFERROR(MATCH(売分析!$C21,銘柄管理!$B$6:$B$305,0),MATCH(TEXT(売分析!$C21,"0"),銘柄管理!$B$6:$B$305,0))-1,0,1,25)))/売分析!$E21*100,"")</f>
      </c>
      <c r="O21">
        <f>IFERROR((売分析!$F21-売分析!$G21)/売分析!$G21*100,"")</f>
      </c>
      <c r="P21">
        <f>IFERROR((売分析!$E21-MAX(OFFSET(高値!$E$6,IFERROR(MATCH(売分析!$C21,銘柄管理!$B$6:$B$305,0),MATCH(TEXT(売分析!$C21,"0"),銘柄管理!$B$6:$B$305,0))-1,0,1,25)))/MAX(OFFSET(高値!$E$6,IFERROR(MATCH(売分析!$C21,銘柄管理!$B$6:$B$305,0),MATCH(TEXT(売分析!$C21,"0"),銘柄管理!$B$6:$B$305,0))-1,0,1,25))*100,"")</f>
      </c>
      <c r="Q21">
        <f>IFERROR((売分析!$H21-売分析!$I21)/売分析!$F21*100,"")</f>
      </c>
      <c r="R21">
        <f>IFERROR(5-COUNTIF($M$3:$M$206,"&lt;"&amp;$M21)/COUNT($M$3:$M$206)-COUNTIF($Q$3:$Q$206,"&lt;"&amp;$Q21)/COUNT($Q$3:$Q$206)-COUNTIF($N$3:$N$206,"&lt;"&amp;$N21)/COUNT($N$3:$N$206)-COUNTIF(売分析!$Z$3:$Z$206,"&lt;"&amp;売分析!$Z21)/COUNT(売分析!$Z$3:$Z$206)-COUNTIF($O$3:$O$206,"&lt;"&amp;$O21)/COUNT($O$3:$O$206),"")</f>
      </c>
      <c r="S21">
        <f>IF(OR(K21="",K21="TOPX",M21="",R21=""),0,IF(AND(V811設定!$E$12=1,M21&lt;=V811設定!$E$3,N21&lt;=V811設定!$E$4,O21&lt;=V811設定!$E$5,売分析!$Z21&lt;=V811設定!$E$6,売分析!$Z21&gt;=V811設定!$E$7,P21&gt;=V811設定!$E$8,Q21&lt;=V811設定!$E$9),1,0))</f>
      </c>
      <c r="T21">
        <f>IF(K21="","",IF(S21=1,"○ゲート通過",IF(V811設定!$E$12&lt;&gt;1,"― 停止中",IF(M21&gt;V811設定!$E$3,"×値動きが荒い",IF(N21&gt;V811設定!$E$4,"×レンジが広い",IF(O21&gt;V811設定!$E$5,"×窓を開けて上昇",IF(売分析!$Z21&gt;V811設定!$E$6,"×前日に急騰",IF(売分析!$Z21&lt;V811設定!$E$7,"×前日に急落",IF(P21&lt;V811設定!$E$8,"×高値から離れすぎ",IF(Q21&gt;V811設定!$E$9,"×当日の値幅が大きい","×"))))))))))</f>
      </c>
    </row>
    <row r="22" spans="1:20">
      <c r="A22">
        <f>IF(分析!$C22="","",分析!$C22)</f>
      </c>
      <c r="B22">
        <f>IF(分析!$C22="","",分析!$D22)</f>
      </c>
      <c r="C22">
        <f>IFERROR((SUM(OFFSET(高値!$E$6,IFERROR(MATCH(分析!$C22,銘柄管理!$B$6:$B$305,0),MATCH(TEXT(分析!$C22,"0"),銘柄管理!$B$6:$B$305,0))-1,0,1,14))-SUM(OFFSET(安値!$E$6,IFERROR(MATCH(分析!$C22,銘柄管理!$B$6:$B$305,0),MATCH(TEXT(分析!$C22,"0"),銘柄管理!$B$6:$B$305,0))-1,0,1,14)))/SUM(OFFSET(終値!$E$6,IFERROR(MATCH(分析!$C22,銘柄管理!$B$6:$B$305,0),MATCH(TEXT(分析!$C22,"0"),銘柄管理!$B$6:$B$305,0))-1,0,1,14))*100,"")</f>
      </c>
      <c r="D22">
        <f>IFERROR((MAX(OFFSET(高値!$E$6,IFERROR(MATCH(分析!$C22,銘柄管理!$B$6:$B$305,0),MATCH(TEXT(分析!$C22,"0"),銘柄管理!$B$6:$B$305,0))-1,0,1,25))-MIN(OFFSET(安値!$E$6,IFERROR(MATCH(分析!$C22,銘柄管理!$B$6:$B$305,0),MATCH(TEXT(分析!$C22,"0"),銘柄管理!$B$6:$B$305,0))-1,0,1,25)))/分析!$E22*100,"")</f>
      </c>
      <c r="E22">
        <f>IFERROR((分析!$F22-分析!$G22)/分析!$G22*100,"")</f>
      </c>
      <c r="F22">
        <f>IFERROR((分析!$E22-MAX(OFFSET(高値!$E$6,IFERROR(MATCH(分析!$C22,銘柄管理!$B$6:$B$305,0),MATCH(TEXT(分析!$C22,"0"),銘柄管理!$B$6:$B$305,0))-1,0,1,25)))/MAX(OFFSET(高値!$E$6,IFERROR(MATCH(分析!$C22,銘柄管理!$B$6:$B$305,0),MATCH(TEXT(分析!$C22,"0"),銘柄管理!$B$6:$B$305,0))-1,0,1,25))*100,"")</f>
      </c>
      <c r="G22">
        <f>IFERROR((分析!$H22-分析!$I22)/分析!$F22*100,"")</f>
      </c>
      <c r="H22">
        <f>IFERROR(5-COUNTIF($C$3:$C$206,"&lt;"&amp;$C22)/COUNT($C$3:$C$206)-COUNTIF($G$3:$G$206,"&lt;"&amp;$G22)/COUNT($G$3:$G$206)-COUNTIF($D$3:$D$206,"&lt;"&amp;$D22)/COUNT($D$3:$D$206)-COUNTIF(分析!$Z$3:$Z$206,"&lt;"&amp;分析!$Z22)/COUNT(分析!$Z$3:$Z$206)-COUNTIF($E$3:$E$206,"&lt;"&amp;$E22)/COUNT($E$3:$E$206),"")</f>
      </c>
      <c r="I22">
        <f>IF(OR(A22="",A22="TOPX",C22="",H22=""),0,IF(AND(V811設定!$E$11=1,C22&lt;=V811設定!$E$3,D22&lt;=V811設定!$E$4,E22&lt;=V811設定!$E$5,分析!$Z22&lt;=V811設定!$E$6,分析!$Z22&gt;=V811設定!$E$7,F22&gt;=V811設定!$E$8,G22&lt;=V811設定!$E$9),1,0))</f>
      </c>
      <c r="J22">
        <f>IF(A22="","",IF(I22=1,"○ゲート通過",IF(V811設定!$E$11&lt;&gt;1,"― 停止中",IF(C22&gt;V811設定!$E$3,"×値動きが荒い",IF(D22&gt;V811設定!$E$4,"×レンジが広い",IF(E22&gt;V811設定!$E$5,"×窓を開けて上昇",IF(分析!$Z22&gt;V811設定!$E$6,"×前日に急騰",IF(分析!$Z22&lt;V811設定!$E$7,"×前日に急落",IF(F22&lt;V811設定!$E$8,"×高値から離れすぎ",IF(G22&gt;V811設定!$E$9,"×当日の値幅が大きい","×"))))))))))</f>
      </c>
      <c r="K22">
        <f>IF(売分析!$C22="","",売分析!$C22)</f>
      </c>
      <c r="L22">
        <f>IF(売分析!$C22="","",売分析!$D22)</f>
      </c>
      <c r="M22">
        <f>IFERROR((SUM(OFFSET(高値!$E$6,IFERROR(MATCH(売分析!$C22,銘柄管理!$B$6:$B$305,0),MATCH(TEXT(売分析!$C22,"0"),銘柄管理!$B$6:$B$305,0))-1,0,1,14))-SUM(OFFSET(安値!$E$6,IFERROR(MATCH(売分析!$C22,銘柄管理!$B$6:$B$305,0),MATCH(TEXT(売分析!$C22,"0"),銘柄管理!$B$6:$B$305,0))-1,0,1,14)))/SUM(OFFSET(終値!$E$6,IFERROR(MATCH(売分析!$C22,銘柄管理!$B$6:$B$305,0),MATCH(TEXT(売分析!$C22,"0"),銘柄管理!$B$6:$B$305,0))-1,0,1,14))*100,"")</f>
      </c>
      <c r="N22">
        <f>IFERROR((MAX(OFFSET(高値!$E$6,IFERROR(MATCH(売分析!$C22,銘柄管理!$B$6:$B$305,0),MATCH(TEXT(売分析!$C22,"0"),銘柄管理!$B$6:$B$305,0))-1,0,1,25))-MIN(OFFSET(安値!$E$6,IFERROR(MATCH(売分析!$C22,銘柄管理!$B$6:$B$305,0),MATCH(TEXT(売分析!$C22,"0"),銘柄管理!$B$6:$B$305,0))-1,0,1,25)))/売分析!$E22*100,"")</f>
      </c>
      <c r="O22">
        <f>IFERROR((売分析!$F22-売分析!$G22)/売分析!$G22*100,"")</f>
      </c>
      <c r="P22">
        <f>IFERROR((売分析!$E22-MAX(OFFSET(高値!$E$6,IFERROR(MATCH(売分析!$C22,銘柄管理!$B$6:$B$305,0),MATCH(TEXT(売分析!$C22,"0"),銘柄管理!$B$6:$B$305,0))-1,0,1,25)))/MAX(OFFSET(高値!$E$6,IFERROR(MATCH(売分析!$C22,銘柄管理!$B$6:$B$305,0),MATCH(TEXT(売分析!$C22,"0"),銘柄管理!$B$6:$B$305,0))-1,0,1,25))*100,"")</f>
      </c>
      <c r="Q22">
        <f>IFERROR((売分析!$H22-売分析!$I22)/売分析!$F22*100,"")</f>
      </c>
      <c r="R22">
        <f>IFERROR(5-COUNTIF($M$3:$M$206,"&lt;"&amp;$M22)/COUNT($M$3:$M$206)-COUNTIF($Q$3:$Q$206,"&lt;"&amp;$Q22)/COUNT($Q$3:$Q$206)-COUNTIF($N$3:$N$206,"&lt;"&amp;$N22)/COUNT($N$3:$N$206)-COUNTIF(売分析!$Z$3:$Z$206,"&lt;"&amp;売分析!$Z22)/COUNT(売分析!$Z$3:$Z$206)-COUNTIF($O$3:$O$206,"&lt;"&amp;$O22)/COUNT($O$3:$O$206),"")</f>
      </c>
      <c r="S22">
        <f>IF(OR(K22="",K22="TOPX",M22="",R22=""),0,IF(AND(V811設定!$E$12=1,M22&lt;=V811設定!$E$3,N22&lt;=V811設定!$E$4,O22&lt;=V811設定!$E$5,売分析!$Z22&lt;=V811設定!$E$6,売分析!$Z22&gt;=V811設定!$E$7,P22&gt;=V811設定!$E$8,Q22&lt;=V811設定!$E$9),1,0))</f>
      </c>
      <c r="T22">
        <f>IF(K22="","",IF(S22=1,"○ゲート通過",IF(V811設定!$E$12&lt;&gt;1,"― 停止中",IF(M22&gt;V811設定!$E$3,"×値動きが荒い",IF(N22&gt;V811設定!$E$4,"×レンジが広い",IF(O22&gt;V811設定!$E$5,"×窓を開けて上昇",IF(売分析!$Z22&gt;V811設定!$E$6,"×前日に急騰",IF(売分析!$Z22&lt;V811設定!$E$7,"×前日に急落",IF(P22&lt;V811設定!$E$8,"×高値から離れすぎ",IF(Q22&gt;V811設定!$E$9,"×当日の値幅が大きい","×"))))))))))</f>
      </c>
    </row>
    <row r="23" spans="1:20">
      <c r="A23">
        <f>IF(分析!$C23="","",分析!$C23)</f>
      </c>
      <c r="B23">
        <f>IF(分析!$C23="","",分析!$D23)</f>
      </c>
      <c r="C23">
        <f>IFERROR((SUM(OFFSET(高値!$E$6,IFERROR(MATCH(分析!$C23,銘柄管理!$B$6:$B$305,0),MATCH(TEXT(分析!$C23,"0"),銘柄管理!$B$6:$B$305,0))-1,0,1,14))-SUM(OFFSET(安値!$E$6,IFERROR(MATCH(分析!$C23,銘柄管理!$B$6:$B$305,0),MATCH(TEXT(分析!$C23,"0"),銘柄管理!$B$6:$B$305,0))-1,0,1,14)))/SUM(OFFSET(終値!$E$6,IFERROR(MATCH(分析!$C23,銘柄管理!$B$6:$B$305,0),MATCH(TEXT(分析!$C23,"0"),銘柄管理!$B$6:$B$305,0))-1,0,1,14))*100,"")</f>
      </c>
      <c r="D23">
        <f>IFERROR((MAX(OFFSET(高値!$E$6,IFERROR(MATCH(分析!$C23,銘柄管理!$B$6:$B$305,0),MATCH(TEXT(分析!$C23,"0"),銘柄管理!$B$6:$B$305,0))-1,0,1,25))-MIN(OFFSET(安値!$E$6,IFERROR(MATCH(分析!$C23,銘柄管理!$B$6:$B$305,0),MATCH(TEXT(分析!$C23,"0"),銘柄管理!$B$6:$B$305,0))-1,0,1,25)))/分析!$E23*100,"")</f>
      </c>
      <c r="E23">
        <f>IFERROR((分析!$F23-分析!$G23)/分析!$G23*100,"")</f>
      </c>
      <c r="F23">
        <f>IFERROR((分析!$E23-MAX(OFFSET(高値!$E$6,IFERROR(MATCH(分析!$C23,銘柄管理!$B$6:$B$305,0),MATCH(TEXT(分析!$C23,"0"),銘柄管理!$B$6:$B$305,0))-1,0,1,25)))/MAX(OFFSET(高値!$E$6,IFERROR(MATCH(分析!$C23,銘柄管理!$B$6:$B$305,0),MATCH(TEXT(分析!$C23,"0"),銘柄管理!$B$6:$B$305,0))-1,0,1,25))*100,"")</f>
      </c>
      <c r="G23">
        <f>IFERROR((分析!$H23-分析!$I23)/分析!$F23*100,"")</f>
      </c>
      <c r="H23">
        <f>IFERROR(5-COUNTIF($C$3:$C$206,"&lt;"&amp;$C23)/COUNT($C$3:$C$206)-COUNTIF($G$3:$G$206,"&lt;"&amp;$G23)/COUNT($G$3:$G$206)-COUNTIF($D$3:$D$206,"&lt;"&amp;$D23)/COUNT($D$3:$D$206)-COUNTIF(分析!$Z$3:$Z$206,"&lt;"&amp;分析!$Z23)/COUNT(分析!$Z$3:$Z$206)-COUNTIF($E$3:$E$206,"&lt;"&amp;$E23)/COUNT($E$3:$E$206),"")</f>
      </c>
      <c r="I23">
        <f>IF(OR(A23="",A23="TOPX",C23="",H23=""),0,IF(AND(V811設定!$E$11=1,C23&lt;=V811設定!$E$3,D23&lt;=V811設定!$E$4,E23&lt;=V811設定!$E$5,分析!$Z23&lt;=V811設定!$E$6,分析!$Z23&gt;=V811設定!$E$7,F23&gt;=V811設定!$E$8,G23&lt;=V811設定!$E$9),1,0))</f>
      </c>
      <c r="J23">
        <f>IF(A23="","",IF(I23=1,"○ゲート通過",IF(V811設定!$E$11&lt;&gt;1,"― 停止中",IF(C23&gt;V811設定!$E$3,"×値動きが荒い",IF(D23&gt;V811設定!$E$4,"×レンジが広い",IF(E23&gt;V811設定!$E$5,"×窓を開けて上昇",IF(分析!$Z23&gt;V811設定!$E$6,"×前日に急騰",IF(分析!$Z23&lt;V811設定!$E$7,"×前日に急落",IF(F23&lt;V811設定!$E$8,"×高値から離れすぎ",IF(G23&gt;V811設定!$E$9,"×当日の値幅が大きい","×"))))))))))</f>
      </c>
      <c r="K23">
        <f>IF(売分析!$C23="","",売分析!$C23)</f>
      </c>
      <c r="L23">
        <f>IF(売分析!$C23="","",売分析!$D23)</f>
      </c>
      <c r="M23">
        <f>IFERROR((SUM(OFFSET(高値!$E$6,IFERROR(MATCH(売分析!$C23,銘柄管理!$B$6:$B$305,0),MATCH(TEXT(売分析!$C23,"0"),銘柄管理!$B$6:$B$305,0))-1,0,1,14))-SUM(OFFSET(安値!$E$6,IFERROR(MATCH(売分析!$C23,銘柄管理!$B$6:$B$305,0),MATCH(TEXT(売分析!$C23,"0"),銘柄管理!$B$6:$B$305,0))-1,0,1,14)))/SUM(OFFSET(終値!$E$6,IFERROR(MATCH(売分析!$C23,銘柄管理!$B$6:$B$305,0),MATCH(TEXT(売分析!$C23,"0"),銘柄管理!$B$6:$B$305,0))-1,0,1,14))*100,"")</f>
      </c>
      <c r="N23">
        <f>IFERROR((MAX(OFFSET(高値!$E$6,IFERROR(MATCH(売分析!$C23,銘柄管理!$B$6:$B$305,0),MATCH(TEXT(売分析!$C23,"0"),銘柄管理!$B$6:$B$305,0))-1,0,1,25))-MIN(OFFSET(安値!$E$6,IFERROR(MATCH(売分析!$C23,銘柄管理!$B$6:$B$305,0),MATCH(TEXT(売分析!$C23,"0"),銘柄管理!$B$6:$B$305,0))-1,0,1,25)))/売分析!$E23*100,"")</f>
      </c>
      <c r="O23">
        <f>IFERROR((売分析!$F23-売分析!$G23)/売分析!$G23*100,"")</f>
      </c>
      <c r="P23">
        <f>IFERROR((売分析!$E23-MAX(OFFSET(高値!$E$6,IFERROR(MATCH(売分析!$C23,銘柄管理!$B$6:$B$305,0),MATCH(TEXT(売分析!$C23,"0"),銘柄管理!$B$6:$B$305,0))-1,0,1,25)))/MAX(OFFSET(高値!$E$6,IFERROR(MATCH(売分析!$C23,銘柄管理!$B$6:$B$305,0),MATCH(TEXT(売分析!$C23,"0"),銘柄管理!$B$6:$B$305,0))-1,0,1,25))*100,"")</f>
      </c>
      <c r="Q23">
        <f>IFERROR((売分析!$H23-売分析!$I23)/売分析!$F23*100,"")</f>
      </c>
      <c r="R23">
        <f>IFERROR(5-COUNTIF($M$3:$M$206,"&lt;"&amp;$M23)/COUNT($M$3:$M$206)-COUNTIF($Q$3:$Q$206,"&lt;"&amp;$Q23)/COUNT($Q$3:$Q$206)-COUNTIF($N$3:$N$206,"&lt;"&amp;$N23)/COUNT($N$3:$N$206)-COUNTIF(売分析!$Z$3:$Z$206,"&lt;"&amp;売分析!$Z23)/COUNT(売分析!$Z$3:$Z$206)-COUNTIF($O$3:$O$206,"&lt;"&amp;$O23)/COUNT($O$3:$O$206),"")</f>
      </c>
      <c r="S23">
        <f>IF(OR(K23="",K23="TOPX",M23="",R23=""),0,IF(AND(V811設定!$E$12=1,M23&lt;=V811設定!$E$3,N23&lt;=V811設定!$E$4,O23&lt;=V811設定!$E$5,売分析!$Z23&lt;=V811設定!$E$6,売分析!$Z23&gt;=V811設定!$E$7,P23&gt;=V811設定!$E$8,Q23&lt;=V811設定!$E$9),1,0))</f>
      </c>
      <c r="T23">
        <f>IF(K23="","",IF(S23=1,"○ゲート通過",IF(V811設定!$E$12&lt;&gt;1,"― 停止中",IF(M23&gt;V811設定!$E$3,"×値動きが荒い",IF(N23&gt;V811設定!$E$4,"×レンジが広い",IF(O23&gt;V811設定!$E$5,"×窓を開けて上昇",IF(売分析!$Z23&gt;V811設定!$E$6,"×前日に急騰",IF(売分析!$Z23&lt;V811設定!$E$7,"×前日に急落",IF(P23&lt;V811設定!$E$8,"×高値から離れすぎ",IF(Q23&gt;V811設定!$E$9,"×当日の値幅が大きい","×"))))))))))</f>
      </c>
    </row>
    <row r="24" spans="1:20">
      <c r="A24">
        <f>IF(分析!$C24="","",分析!$C24)</f>
      </c>
      <c r="B24">
        <f>IF(分析!$C24="","",分析!$D24)</f>
      </c>
      <c r="C24">
        <f>IFERROR((SUM(OFFSET(高値!$E$6,IFERROR(MATCH(分析!$C24,銘柄管理!$B$6:$B$305,0),MATCH(TEXT(分析!$C24,"0"),銘柄管理!$B$6:$B$305,0))-1,0,1,14))-SUM(OFFSET(安値!$E$6,IFERROR(MATCH(分析!$C24,銘柄管理!$B$6:$B$305,0),MATCH(TEXT(分析!$C24,"0"),銘柄管理!$B$6:$B$305,0))-1,0,1,14)))/SUM(OFFSET(終値!$E$6,IFERROR(MATCH(分析!$C24,銘柄管理!$B$6:$B$305,0),MATCH(TEXT(分析!$C24,"0"),銘柄管理!$B$6:$B$305,0))-1,0,1,14))*100,"")</f>
      </c>
      <c r="D24">
        <f>IFERROR((MAX(OFFSET(高値!$E$6,IFERROR(MATCH(分析!$C24,銘柄管理!$B$6:$B$305,0),MATCH(TEXT(分析!$C24,"0"),銘柄管理!$B$6:$B$305,0))-1,0,1,25))-MIN(OFFSET(安値!$E$6,IFERROR(MATCH(分析!$C24,銘柄管理!$B$6:$B$305,0),MATCH(TEXT(分析!$C24,"0"),銘柄管理!$B$6:$B$305,0))-1,0,1,25)))/分析!$E24*100,"")</f>
      </c>
      <c r="E24">
        <f>IFERROR((分析!$F24-分析!$G24)/分析!$G24*100,"")</f>
      </c>
      <c r="F24">
        <f>IFERROR((分析!$E24-MAX(OFFSET(高値!$E$6,IFERROR(MATCH(分析!$C24,銘柄管理!$B$6:$B$305,0),MATCH(TEXT(分析!$C24,"0"),銘柄管理!$B$6:$B$305,0))-1,0,1,25)))/MAX(OFFSET(高値!$E$6,IFERROR(MATCH(分析!$C24,銘柄管理!$B$6:$B$305,0),MATCH(TEXT(分析!$C24,"0"),銘柄管理!$B$6:$B$305,0))-1,0,1,25))*100,"")</f>
      </c>
      <c r="G24">
        <f>IFERROR((分析!$H24-分析!$I24)/分析!$F24*100,"")</f>
      </c>
      <c r="H24">
        <f>IFERROR(5-COUNTIF($C$3:$C$206,"&lt;"&amp;$C24)/COUNT($C$3:$C$206)-COUNTIF($G$3:$G$206,"&lt;"&amp;$G24)/COUNT($G$3:$G$206)-COUNTIF($D$3:$D$206,"&lt;"&amp;$D24)/COUNT($D$3:$D$206)-COUNTIF(分析!$Z$3:$Z$206,"&lt;"&amp;分析!$Z24)/COUNT(分析!$Z$3:$Z$206)-COUNTIF($E$3:$E$206,"&lt;"&amp;$E24)/COUNT($E$3:$E$206),"")</f>
      </c>
      <c r="I24">
        <f>IF(OR(A24="",A24="TOPX",C24="",H24=""),0,IF(AND(V811設定!$E$11=1,C24&lt;=V811設定!$E$3,D24&lt;=V811設定!$E$4,E24&lt;=V811設定!$E$5,分析!$Z24&lt;=V811設定!$E$6,分析!$Z24&gt;=V811設定!$E$7,F24&gt;=V811設定!$E$8,G24&lt;=V811設定!$E$9),1,0))</f>
      </c>
      <c r="J24">
        <f>IF(A24="","",IF(I24=1,"○ゲート通過",IF(V811設定!$E$11&lt;&gt;1,"― 停止中",IF(C24&gt;V811設定!$E$3,"×値動きが荒い",IF(D24&gt;V811設定!$E$4,"×レンジが広い",IF(E24&gt;V811設定!$E$5,"×窓を開けて上昇",IF(分析!$Z24&gt;V811設定!$E$6,"×前日に急騰",IF(分析!$Z24&lt;V811設定!$E$7,"×前日に急落",IF(F24&lt;V811設定!$E$8,"×高値から離れすぎ",IF(G24&gt;V811設定!$E$9,"×当日の値幅が大きい","×"))))))))))</f>
      </c>
      <c r="K24">
        <f>IF(売分析!$C24="","",売分析!$C24)</f>
      </c>
      <c r="L24">
        <f>IF(売分析!$C24="","",売分析!$D24)</f>
      </c>
      <c r="M24">
        <f>IFERROR((SUM(OFFSET(高値!$E$6,IFERROR(MATCH(売分析!$C24,銘柄管理!$B$6:$B$305,0),MATCH(TEXT(売分析!$C24,"0"),銘柄管理!$B$6:$B$305,0))-1,0,1,14))-SUM(OFFSET(安値!$E$6,IFERROR(MATCH(売分析!$C24,銘柄管理!$B$6:$B$305,0),MATCH(TEXT(売分析!$C24,"0"),銘柄管理!$B$6:$B$305,0))-1,0,1,14)))/SUM(OFFSET(終値!$E$6,IFERROR(MATCH(売分析!$C24,銘柄管理!$B$6:$B$305,0),MATCH(TEXT(売分析!$C24,"0"),銘柄管理!$B$6:$B$305,0))-1,0,1,14))*100,"")</f>
      </c>
      <c r="N24">
        <f>IFERROR((MAX(OFFSET(高値!$E$6,IFERROR(MATCH(売分析!$C24,銘柄管理!$B$6:$B$305,0),MATCH(TEXT(売分析!$C24,"0"),銘柄管理!$B$6:$B$305,0))-1,0,1,25))-MIN(OFFSET(安値!$E$6,IFERROR(MATCH(売分析!$C24,銘柄管理!$B$6:$B$305,0),MATCH(TEXT(売分析!$C24,"0"),銘柄管理!$B$6:$B$305,0))-1,0,1,25)))/売分析!$E24*100,"")</f>
      </c>
      <c r="O24">
        <f>IFERROR((売分析!$F24-売分析!$G24)/売分析!$G24*100,"")</f>
      </c>
      <c r="P24">
        <f>IFERROR((売分析!$E24-MAX(OFFSET(高値!$E$6,IFERROR(MATCH(売分析!$C24,銘柄管理!$B$6:$B$305,0),MATCH(TEXT(売分析!$C24,"0"),銘柄管理!$B$6:$B$305,0))-1,0,1,25)))/MAX(OFFSET(高値!$E$6,IFERROR(MATCH(売分析!$C24,銘柄管理!$B$6:$B$305,0),MATCH(TEXT(売分析!$C24,"0"),銘柄管理!$B$6:$B$305,0))-1,0,1,25))*100,"")</f>
      </c>
      <c r="Q24">
        <f>IFERROR((売分析!$H24-売分析!$I24)/売分析!$F24*100,"")</f>
      </c>
      <c r="R24">
        <f>IFERROR(5-COUNTIF($M$3:$M$206,"&lt;"&amp;$M24)/COUNT($M$3:$M$206)-COUNTIF($Q$3:$Q$206,"&lt;"&amp;$Q24)/COUNT($Q$3:$Q$206)-COUNTIF($N$3:$N$206,"&lt;"&amp;$N24)/COUNT($N$3:$N$206)-COUNTIF(売分析!$Z$3:$Z$206,"&lt;"&amp;売分析!$Z24)/COUNT(売分析!$Z$3:$Z$206)-COUNTIF($O$3:$O$206,"&lt;"&amp;$O24)/COUNT($O$3:$O$206),"")</f>
      </c>
      <c r="S24">
        <f>IF(OR(K24="",K24="TOPX",M24="",R24=""),0,IF(AND(V811設定!$E$12=1,M24&lt;=V811設定!$E$3,N24&lt;=V811設定!$E$4,O24&lt;=V811設定!$E$5,売分析!$Z24&lt;=V811設定!$E$6,売分析!$Z24&gt;=V811設定!$E$7,P24&gt;=V811設定!$E$8,Q24&lt;=V811設定!$E$9),1,0))</f>
      </c>
      <c r="T24">
        <f>IF(K24="","",IF(S24=1,"○ゲート通過",IF(V811設定!$E$12&lt;&gt;1,"― 停止中",IF(M24&gt;V811設定!$E$3,"×値動きが荒い",IF(N24&gt;V811設定!$E$4,"×レンジが広い",IF(O24&gt;V811設定!$E$5,"×窓を開けて上昇",IF(売分析!$Z24&gt;V811設定!$E$6,"×前日に急騰",IF(売分析!$Z24&lt;V811設定!$E$7,"×前日に急落",IF(P24&lt;V811設定!$E$8,"×高値から離れすぎ",IF(Q24&gt;V811設定!$E$9,"×当日の値幅が大きい","×"))))))))))</f>
      </c>
    </row>
    <row r="25" spans="1:20">
      <c r="A25">
        <f>IF(分析!$C25="","",分析!$C25)</f>
      </c>
      <c r="B25">
        <f>IF(分析!$C25="","",分析!$D25)</f>
      </c>
      <c r="C25">
        <f>IFERROR((SUM(OFFSET(高値!$E$6,IFERROR(MATCH(分析!$C25,銘柄管理!$B$6:$B$305,0),MATCH(TEXT(分析!$C25,"0"),銘柄管理!$B$6:$B$305,0))-1,0,1,14))-SUM(OFFSET(安値!$E$6,IFERROR(MATCH(分析!$C25,銘柄管理!$B$6:$B$305,0),MATCH(TEXT(分析!$C25,"0"),銘柄管理!$B$6:$B$305,0))-1,0,1,14)))/SUM(OFFSET(終値!$E$6,IFERROR(MATCH(分析!$C25,銘柄管理!$B$6:$B$305,0),MATCH(TEXT(分析!$C25,"0"),銘柄管理!$B$6:$B$305,0))-1,0,1,14))*100,"")</f>
      </c>
      <c r="D25">
        <f>IFERROR((MAX(OFFSET(高値!$E$6,IFERROR(MATCH(分析!$C25,銘柄管理!$B$6:$B$305,0),MATCH(TEXT(分析!$C25,"0"),銘柄管理!$B$6:$B$305,0))-1,0,1,25))-MIN(OFFSET(安値!$E$6,IFERROR(MATCH(分析!$C25,銘柄管理!$B$6:$B$305,0),MATCH(TEXT(分析!$C25,"0"),銘柄管理!$B$6:$B$305,0))-1,0,1,25)))/分析!$E25*100,"")</f>
      </c>
      <c r="E25">
        <f>IFERROR((分析!$F25-分析!$G25)/分析!$G25*100,"")</f>
      </c>
      <c r="F25">
        <f>IFERROR((分析!$E25-MAX(OFFSET(高値!$E$6,IFERROR(MATCH(分析!$C25,銘柄管理!$B$6:$B$305,0),MATCH(TEXT(分析!$C25,"0"),銘柄管理!$B$6:$B$305,0))-1,0,1,25)))/MAX(OFFSET(高値!$E$6,IFERROR(MATCH(分析!$C25,銘柄管理!$B$6:$B$305,0),MATCH(TEXT(分析!$C25,"0"),銘柄管理!$B$6:$B$305,0))-1,0,1,25))*100,"")</f>
      </c>
      <c r="G25">
        <f>IFERROR((分析!$H25-分析!$I25)/分析!$F25*100,"")</f>
      </c>
      <c r="H25">
        <f>IFERROR(5-COUNTIF($C$3:$C$206,"&lt;"&amp;$C25)/COUNT($C$3:$C$206)-COUNTIF($G$3:$G$206,"&lt;"&amp;$G25)/COUNT($G$3:$G$206)-COUNTIF($D$3:$D$206,"&lt;"&amp;$D25)/COUNT($D$3:$D$206)-COUNTIF(分析!$Z$3:$Z$206,"&lt;"&amp;分析!$Z25)/COUNT(分析!$Z$3:$Z$206)-COUNTIF($E$3:$E$206,"&lt;"&amp;$E25)/COUNT($E$3:$E$206),"")</f>
      </c>
      <c r="I25">
        <f>IF(OR(A25="",A25="TOPX",C25="",H25=""),0,IF(AND(V811設定!$E$11=1,C25&lt;=V811設定!$E$3,D25&lt;=V811設定!$E$4,E25&lt;=V811設定!$E$5,分析!$Z25&lt;=V811設定!$E$6,分析!$Z25&gt;=V811設定!$E$7,F25&gt;=V811設定!$E$8,G25&lt;=V811設定!$E$9),1,0))</f>
      </c>
      <c r="J25">
        <f>IF(A25="","",IF(I25=1,"○ゲート通過",IF(V811設定!$E$11&lt;&gt;1,"― 停止中",IF(C25&gt;V811設定!$E$3,"×値動きが荒い",IF(D25&gt;V811設定!$E$4,"×レンジが広い",IF(E25&gt;V811設定!$E$5,"×窓を開けて上昇",IF(分析!$Z25&gt;V811設定!$E$6,"×前日に急騰",IF(分析!$Z25&lt;V811設定!$E$7,"×前日に急落",IF(F25&lt;V811設定!$E$8,"×高値から離れすぎ",IF(G25&gt;V811設定!$E$9,"×当日の値幅が大きい","×"))))))))))</f>
      </c>
      <c r="K25">
        <f>IF(売分析!$C25="","",売分析!$C25)</f>
      </c>
      <c r="L25">
        <f>IF(売分析!$C25="","",売分析!$D25)</f>
      </c>
      <c r="M25">
        <f>IFERROR((SUM(OFFSET(高値!$E$6,IFERROR(MATCH(売分析!$C25,銘柄管理!$B$6:$B$305,0),MATCH(TEXT(売分析!$C25,"0"),銘柄管理!$B$6:$B$305,0))-1,0,1,14))-SUM(OFFSET(安値!$E$6,IFERROR(MATCH(売分析!$C25,銘柄管理!$B$6:$B$305,0),MATCH(TEXT(売分析!$C25,"0"),銘柄管理!$B$6:$B$305,0))-1,0,1,14)))/SUM(OFFSET(終値!$E$6,IFERROR(MATCH(売分析!$C25,銘柄管理!$B$6:$B$305,0),MATCH(TEXT(売分析!$C25,"0"),銘柄管理!$B$6:$B$305,0))-1,0,1,14))*100,"")</f>
      </c>
      <c r="N25">
        <f>IFERROR((MAX(OFFSET(高値!$E$6,IFERROR(MATCH(売分析!$C25,銘柄管理!$B$6:$B$305,0),MATCH(TEXT(売分析!$C25,"0"),銘柄管理!$B$6:$B$305,0))-1,0,1,25))-MIN(OFFSET(安値!$E$6,IFERROR(MATCH(売分析!$C25,銘柄管理!$B$6:$B$305,0),MATCH(TEXT(売分析!$C25,"0"),銘柄管理!$B$6:$B$305,0))-1,0,1,25)))/売分析!$E25*100,"")</f>
      </c>
      <c r="O25">
        <f>IFERROR((売分析!$F25-売分析!$G25)/売分析!$G25*100,"")</f>
      </c>
      <c r="P25">
        <f>IFERROR((売分析!$E25-MAX(OFFSET(高値!$E$6,IFERROR(MATCH(売分析!$C25,銘柄管理!$B$6:$B$305,0),MATCH(TEXT(売分析!$C25,"0"),銘柄管理!$B$6:$B$305,0))-1,0,1,25)))/MAX(OFFSET(高値!$E$6,IFERROR(MATCH(売分析!$C25,銘柄管理!$B$6:$B$305,0),MATCH(TEXT(売分析!$C25,"0"),銘柄管理!$B$6:$B$305,0))-1,0,1,25))*100,"")</f>
      </c>
      <c r="Q25">
        <f>IFERROR((売分析!$H25-売分析!$I25)/売分析!$F25*100,"")</f>
      </c>
      <c r="R25">
        <f>IFERROR(5-COUNTIF($M$3:$M$206,"&lt;"&amp;$M25)/COUNT($M$3:$M$206)-COUNTIF($Q$3:$Q$206,"&lt;"&amp;$Q25)/COUNT($Q$3:$Q$206)-COUNTIF($N$3:$N$206,"&lt;"&amp;$N25)/COUNT($N$3:$N$206)-COUNTIF(売分析!$Z$3:$Z$206,"&lt;"&amp;売分析!$Z25)/COUNT(売分析!$Z$3:$Z$206)-COUNTIF($O$3:$O$206,"&lt;"&amp;$O25)/COUNT($O$3:$O$206),"")</f>
      </c>
      <c r="S25">
        <f>IF(OR(K25="",K25="TOPX",M25="",R25=""),0,IF(AND(V811設定!$E$12=1,M25&lt;=V811設定!$E$3,N25&lt;=V811設定!$E$4,O25&lt;=V811設定!$E$5,売分析!$Z25&lt;=V811設定!$E$6,売分析!$Z25&gt;=V811設定!$E$7,P25&gt;=V811設定!$E$8,Q25&lt;=V811設定!$E$9),1,0))</f>
      </c>
      <c r="T25">
        <f>IF(K25="","",IF(S25=1,"○ゲート通過",IF(V811設定!$E$12&lt;&gt;1,"― 停止中",IF(M25&gt;V811設定!$E$3,"×値動きが荒い",IF(N25&gt;V811設定!$E$4,"×レンジが広い",IF(O25&gt;V811設定!$E$5,"×窓を開けて上昇",IF(売分析!$Z25&gt;V811設定!$E$6,"×前日に急騰",IF(売分析!$Z25&lt;V811設定!$E$7,"×前日に急落",IF(P25&lt;V811設定!$E$8,"×高値から離れすぎ",IF(Q25&gt;V811設定!$E$9,"×当日の値幅が大きい","×"))))))))))</f>
      </c>
    </row>
    <row r="26" spans="1:20">
      <c r="A26">
        <f>IF(分析!$C26="","",分析!$C26)</f>
      </c>
      <c r="B26">
        <f>IF(分析!$C26="","",分析!$D26)</f>
      </c>
      <c r="C26">
        <f>IFERROR((SUM(OFFSET(高値!$E$6,IFERROR(MATCH(分析!$C26,銘柄管理!$B$6:$B$305,0),MATCH(TEXT(分析!$C26,"0"),銘柄管理!$B$6:$B$305,0))-1,0,1,14))-SUM(OFFSET(安値!$E$6,IFERROR(MATCH(分析!$C26,銘柄管理!$B$6:$B$305,0),MATCH(TEXT(分析!$C26,"0"),銘柄管理!$B$6:$B$305,0))-1,0,1,14)))/SUM(OFFSET(終値!$E$6,IFERROR(MATCH(分析!$C26,銘柄管理!$B$6:$B$305,0),MATCH(TEXT(分析!$C26,"0"),銘柄管理!$B$6:$B$305,0))-1,0,1,14))*100,"")</f>
      </c>
      <c r="D26">
        <f>IFERROR((MAX(OFFSET(高値!$E$6,IFERROR(MATCH(分析!$C26,銘柄管理!$B$6:$B$305,0),MATCH(TEXT(分析!$C26,"0"),銘柄管理!$B$6:$B$305,0))-1,0,1,25))-MIN(OFFSET(安値!$E$6,IFERROR(MATCH(分析!$C26,銘柄管理!$B$6:$B$305,0),MATCH(TEXT(分析!$C26,"0"),銘柄管理!$B$6:$B$305,0))-1,0,1,25)))/分析!$E26*100,"")</f>
      </c>
      <c r="E26">
        <f>IFERROR((分析!$F26-分析!$G26)/分析!$G26*100,"")</f>
      </c>
      <c r="F26">
        <f>IFERROR((分析!$E26-MAX(OFFSET(高値!$E$6,IFERROR(MATCH(分析!$C26,銘柄管理!$B$6:$B$305,0),MATCH(TEXT(分析!$C26,"0"),銘柄管理!$B$6:$B$305,0))-1,0,1,25)))/MAX(OFFSET(高値!$E$6,IFERROR(MATCH(分析!$C26,銘柄管理!$B$6:$B$305,0),MATCH(TEXT(分析!$C26,"0"),銘柄管理!$B$6:$B$305,0))-1,0,1,25))*100,"")</f>
      </c>
      <c r="G26">
        <f>IFERROR((分析!$H26-分析!$I26)/分析!$F26*100,"")</f>
      </c>
      <c r="H26">
        <f>IFERROR(5-COUNTIF($C$3:$C$206,"&lt;"&amp;$C26)/COUNT($C$3:$C$206)-COUNTIF($G$3:$G$206,"&lt;"&amp;$G26)/COUNT($G$3:$G$206)-COUNTIF($D$3:$D$206,"&lt;"&amp;$D26)/COUNT($D$3:$D$206)-COUNTIF(分析!$Z$3:$Z$206,"&lt;"&amp;分析!$Z26)/COUNT(分析!$Z$3:$Z$206)-COUNTIF($E$3:$E$206,"&lt;"&amp;$E26)/COUNT($E$3:$E$206),"")</f>
      </c>
      <c r="I26">
        <f>IF(OR(A26="",A26="TOPX",C26="",H26=""),0,IF(AND(V811設定!$E$11=1,C26&lt;=V811設定!$E$3,D26&lt;=V811設定!$E$4,E26&lt;=V811設定!$E$5,分析!$Z26&lt;=V811設定!$E$6,分析!$Z26&gt;=V811設定!$E$7,F26&gt;=V811設定!$E$8,G26&lt;=V811設定!$E$9),1,0))</f>
      </c>
      <c r="J26">
        <f>IF(A26="","",IF(I26=1,"○ゲート通過",IF(V811設定!$E$11&lt;&gt;1,"― 停止中",IF(C26&gt;V811設定!$E$3,"×値動きが荒い",IF(D26&gt;V811設定!$E$4,"×レンジが広い",IF(E26&gt;V811設定!$E$5,"×窓を開けて上昇",IF(分析!$Z26&gt;V811設定!$E$6,"×前日に急騰",IF(分析!$Z26&lt;V811設定!$E$7,"×前日に急落",IF(F26&lt;V811設定!$E$8,"×高値から離れすぎ",IF(G26&gt;V811設定!$E$9,"×当日の値幅が大きい","×"))))))))))</f>
      </c>
      <c r="K26">
        <f>IF(売分析!$C26="","",売分析!$C26)</f>
      </c>
      <c r="L26">
        <f>IF(売分析!$C26="","",売分析!$D26)</f>
      </c>
      <c r="M26">
        <f>IFERROR((SUM(OFFSET(高値!$E$6,IFERROR(MATCH(売分析!$C26,銘柄管理!$B$6:$B$305,0),MATCH(TEXT(売分析!$C26,"0"),銘柄管理!$B$6:$B$305,0))-1,0,1,14))-SUM(OFFSET(安値!$E$6,IFERROR(MATCH(売分析!$C26,銘柄管理!$B$6:$B$305,0),MATCH(TEXT(売分析!$C26,"0"),銘柄管理!$B$6:$B$305,0))-1,0,1,14)))/SUM(OFFSET(終値!$E$6,IFERROR(MATCH(売分析!$C26,銘柄管理!$B$6:$B$305,0),MATCH(TEXT(売分析!$C26,"0"),銘柄管理!$B$6:$B$305,0))-1,0,1,14))*100,"")</f>
      </c>
      <c r="N26">
        <f>IFERROR((MAX(OFFSET(高値!$E$6,IFERROR(MATCH(売分析!$C26,銘柄管理!$B$6:$B$305,0),MATCH(TEXT(売分析!$C26,"0"),銘柄管理!$B$6:$B$305,0))-1,0,1,25))-MIN(OFFSET(安値!$E$6,IFERROR(MATCH(売分析!$C26,銘柄管理!$B$6:$B$305,0),MATCH(TEXT(売分析!$C26,"0"),銘柄管理!$B$6:$B$305,0))-1,0,1,25)))/売分析!$E26*100,"")</f>
      </c>
      <c r="O26">
        <f>IFERROR((売分析!$F26-売分析!$G26)/売分析!$G26*100,"")</f>
      </c>
      <c r="P26">
        <f>IFERROR((売分析!$E26-MAX(OFFSET(高値!$E$6,IFERROR(MATCH(売分析!$C26,銘柄管理!$B$6:$B$305,0),MATCH(TEXT(売分析!$C26,"0"),銘柄管理!$B$6:$B$305,0))-1,0,1,25)))/MAX(OFFSET(高値!$E$6,IFERROR(MATCH(売分析!$C26,銘柄管理!$B$6:$B$305,0),MATCH(TEXT(売分析!$C26,"0"),銘柄管理!$B$6:$B$305,0))-1,0,1,25))*100,"")</f>
      </c>
      <c r="Q26">
        <f>IFERROR((売分析!$H26-売分析!$I26)/売分析!$F26*100,"")</f>
      </c>
      <c r="R26">
        <f>IFERROR(5-COUNTIF($M$3:$M$206,"&lt;"&amp;$M26)/COUNT($M$3:$M$206)-COUNTIF($Q$3:$Q$206,"&lt;"&amp;$Q26)/COUNT($Q$3:$Q$206)-COUNTIF($N$3:$N$206,"&lt;"&amp;$N26)/COUNT($N$3:$N$206)-COUNTIF(売分析!$Z$3:$Z$206,"&lt;"&amp;売分析!$Z26)/COUNT(売分析!$Z$3:$Z$206)-COUNTIF($O$3:$O$206,"&lt;"&amp;$O26)/COUNT($O$3:$O$206),"")</f>
      </c>
      <c r="S26">
        <f>IF(OR(K26="",K26="TOPX",M26="",R26=""),0,IF(AND(V811設定!$E$12=1,M26&lt;=V811設定!$E$3,N26&lt;=V811設定!$E$4,O26&lt;=V811設定!$E$5,売分析!$Z26&lt;=V811設定!$E$6,売分析!$Z26&gt;=V811設定!$E$7,P26&gt;=V811設定!$E$8,Q26&lt;=V811設定!$E$9),1,0))</f>
      </c>
      <c r="T26">
        <f>IF(K26="","",IF(S26=1,"○ゲート通過",IF(V811設定!$E$12&lt;&gt;1,"― 停止中",IF(M26&gt;V811設定!$E$3,"×値動きが荒い",IF(N26&gt;V811設定!$E$4,"×レンジが広い",IF(O26&gt;V811設定!$E$5,"×窓を開けて上昇",IF(売分析!$Z26&gt;V811設定!$E$6,"×前日に急騰",IF(売分析!$Z26&lt;V811設定!$E$7,"×前日に急落",IF(P26&lt;V811設定!$E$8,"×高値から離れすぎ",IF(Q26&gt;V811設定!$E$9,"×当日の値幅が大きい","×"))))))))))</f>
      </c>
    </row>
    <row r="27" spans="1:20">
      <c r="A27">
        <f>IF(分析!$C27="","",分析!$C27)</f>
      </c>
      <c r="B27">
        <f>IF(分析!$C27="","",分析!$D27)</f>
      </c>
      <c r="C27">
        <f>IFERROR((SUM(OFFSET(高値!$E$6,IFERROR(MATCH(分析!$C27,銘柄管理!$B$6:$B$305,0),MATCH(TEXT(分析!$C27,"0"),銘柄管理!$B$6:$B$305,0))-1,0,1,14))-SUM(OFFSET(安値!$E$6,IFERROR(MATCH(分析!$C27,銘柄管理!$B$6:$B$305,0),MATCH(TEXT(分析!$C27,"0"),銘柄管理!$B$6:$B$305,0))-1,0,1,14)))/SUM(OFFSET(終値!$E$6,IFERROR(MATCH(分析!$C27,銘柄管理!$B$6:$B$305,0),MATCH(TEXT(分析!$C27,"0"),銘柄管理!$B$6:$B$305,0))-1,0,1,14))*100,"")</f>
      </c>
      <c r="D27">
        <f>IFERROR((MAX(OFFSET(高値!$E$6,IFERROR(MATCH(分析!$C27,銘柄管理!$B$6:$B$305,0),MATCH(TEXT(分析!$C27,"0"),銘柄管理!$B$6:$B$305,0))-1,0,1,25))-MIN(OFFSET(安値!$E$6,IFERROR(MATCH(分析!$C27,銘柄管理!$B$6:$B$305,0),MATCH(TEXT(分析!$C27,"0"),銘柄管理!$B$6:$B$305,0))-1,0,1,25)))/分析!$E27*100,"")</f>
      </c>
      <c r="E27">
        <f>IFERROR((分析!$F27-分析!$G27)/分析!$G27*100,"")</f>
      </c>
      <c r="F27">
        <f>IFERROR((分析!$E27-MAX(OFFSET(高値!$E$6,IFERROR(MATCH(分析!$C27,銘柄管理!$B$6:$B$305,0),MATCH(TEXT(分析!$C27,"0"),銘柄管理!$B$6:$B$305,0))-1,0,1,25)))/MAX(OFFSET(高値!$E$6,IFERROR(MATCH(分析!$C27,銘柄管理!$B$6:$B$305,0),MATCH(TEXT(分析!$C27,"0"),銘柄管理!$B$6:$B$305,0))-1,0,1,25))*100,"")</f>
      </c>
      <c r="G27">
        <f>IFERROR((分析!$H27-分析!$I27)/分析!$F27*100,"")</f>
      </c>
      <c r="H27">
        <f>IFERROR(5-COUNTIF($C$3:$C$206,"&lt;"&amp;$C27)/COUNT($C$3:$C$206)-COUNTIF($G$3:$G$206,"&lt;"&amp;$G27)/COUNT($G$3:$G$206)-COUNTIF($D$3:$D$206,"&lt;"&amp;$D27)/COUNT($D$3:$D$206)-COUNTIF(分析!$Z$3:$Z$206,"&lt;"&amp;分析!$Z27)/COUNT(分析!$Z$3:$Z$206)-COUNTIF($E$3:$E$206,"&lt;"&amp;$E27)/COUNT($E$3:$E$206),"")</f>
      </c>
      <c r="I27">
        <f>IF(OR(A27="",A27="TOPX",C27="",H27=""),0,IF(AND(V811設定!$E$11=1,C27&lt;=V811設定!$E$3,D27&lt;=V811設定!$E$4,E27&lt;=V811設定!$E$5,分析!$Z27&lt;=V811設定!$E$6,分析!$Z27&gt;=V811設定!$E$7,F27&gt;=V811設定!$E$8,G27&lt;=V811設定!$E$9),1,0))</f>
      </c>
      <c r="J27">
        <f>IF(A27="","",IF(I27=1,"○ゲート通過",IF(V811設定!$E$11&lt;&gt;1,"― 停止中",IF(C27&gt;V811設定!$E$3,"×値動きが荒い",IF(D27&gt;V811設定!$E$4,"×レンジが広い",IF(E27&gt;V811設定!$E$5,"×窓を開けて上昇",IF(分析!$Z27&gt;V811設定!$E$6,"×前日に急騰",IF(分析!$Z27&lt;V811設定!$E$7,"×前日に急落",IF(F27&lt;V811設定!$E$8,"×高値から離れすぎ",IF(G27&gt;V811設定!$E$9,"×当日の値幅が大きい","×"))))))))))</f>
      </c>
      <c r="K27">
        <f>IF(売分析!$C27="","",売分析!$C27)</f>
      </c>
      <c r="L27">
        <f>IF(売分析!$C27="","",売分析!$D27)</f>
      </c>
      <c r="M27">
        <f>IFERROR((SUM(OFFSET(高値!$E$6,IFERROR(MATCH(売分析!$C27,銘柄管理!$B$6:$B$305,0),MATCH(TEXT(売分析!$C27,"0"),銘柄管理!$B$6:$B$305,0))-1,0,1,14))-SUM(OFFSET(安値!$E$6,IFERROR(MATCH(売分析!$C27,銘柄管理!$B$6:$B$305,0),MATCH(TEXT(売分析!$C27,"0"),銘柄管理!$B$6:$B$305,0))-1,0,1,14)))/SUM(OFFSET(終値!$E$6,IFERROR(MATCH(売分析!$C27,銘柄管理!$B$6:$B$305,0),MATCH(TEXT(売分析!$C27,"0"),銘柄管理!$B$6:$B$305,0))-1,0,1,14))*100,"")</f>
      </c>
      <c r="N27">
        <f>IFERROR((MAX(OFFSET(高値!$E$6,IFERROR(MATCH(売分析!$C27,銘柄管理!$B$6:$B$305,0),MATCH(TEXT(売分析!$C27,"0"),銘柄管理!$B$6:$B$305,0))-1,0,1,25))-MIN(OFFSET(安値!$E$6,IFERROR(MATCH(売分析!$C27,銘柄管理!$B$6:$B$305,0),MATCH(TEXT(売分析!$C27,"0"),銘柄管理!$B$6:$B$305,0))-1,0,1,25)))/売分析!$E27*100,"")</f>
      </c>
      <c r="O27">
        <f>IFERROR((売分析!$F27-売分析!$G27)/売分析!$G27*100,"")</f>
      </c>
      <c r="P27">
        <f>IFERROR((売分析!$E27-MAX(OFFSET(高値!$E$6,IFERROR(MATCH(売分析!$C27,銘柄管理!$B$6:$B$305,0),MATCH(TEXT(売分析!$C27,"0"),銘柄管理!$B$6:$B$305,0))-1,0,1,25)))/MAX(OFFSET(高値!$E$6,IFERROR(MATCH(売分析!$C27,銘柄管理!$B$6:$B$305,0),MATCH(TEXT(売分析!$C27,"0"),銘柄管理!$B$6:$B$305,0))-1,0,1,25))*100,"")</f>
      </c>
      <c r="Q27">
        <f>IFERROR((売分析!$H27-売分析!$I27)/売分析!$F27*100,"")</f>
      </c>
      <c r="R27">
        <f>IFERROR(5-COUNTIF($M$3:$M$206,"&lt;"&amp;$M27)/COUNT($M$3:$M$206)-COUNTIF($Q$3:$Q$206,"&lt;"&amp;$Q27)/COUNT($Q$3:$Q$206)-COUNTIF($N$3:$N$206,"&lt;"&amp;$N27)/COUNT($N$3:$N$206)-COUNTIF(売分析!$Z$3:$Z$206,"&lt;"&amp;売分析!$Z27)/COUNT(売分析!$Z$3:$Z$206)-COUNTIF($O$3:$O$206,"&lt;"&amp;$O27)/COUNT($O$3:$O$206),"")</f>
      </c>
      <c r="S27">
        <f>IF(OR(K27="",K27="TOPX",M27="",R27=""),0,IF(AND(V811設定!$E$12=1,M27&lt;=V811設定!$E$3,N27&lt;=V811設定!$E$4,O27&lt;=V811設定!$E$5,売分析!$Z27&lt;=V811設定!$E$6,売分析!$Z27&gt;=V811設定!$E$7,P27&gt;=V811設定!$E$8,Q27&lt;=V811設定!$E$9),1,0))</f>
      </c>
      <c r="T27">
        <f>IF(K27="","",IF(S27=1,"○ゲート通過",IF(V811設定!$E$12&lt;&gt;1,"― 停止中",IF(M27&gt;V811設定!$E$3,"×値動きが荒い",IF(N27&gt;V811設定!$E$4,"×レンジが広い",IF(O27&gt;V811設定!$E$5,"×窓を開けて上昇",IF(売分析!$Z27&gt;V811設定!$E$6,"×前日に急騰",IF(売分析!$Z27&lt;V811設定!$E$7,"×前日に急落",IF(P27&lt;V811設定!$E$8,"×高値から離れすぎ",IF(Q27&gt;V811設定!$E$9,"×当日の値幅が大きい","×"))))))))))</f>
      </c>
    </row>
    <row r="28" spans="1:20">
      <c r="A28">
        <f>IF(分析!$C28="","",分析!$C28)</f>
      </c>
      <c r="B28">
        <f>IF(分析!$C28="","",分析!$D28)</f>
      </c>
      <c r="C28">
        <f>IFERROR((SUM(OFFSET(高値!$E$6,IFERROR(MATCH(分析!$C28,銘柄管理!$B$6:$B$305,0),MATCH(TEXT(分析!$C28,"0"),銘柄管理!$B$6:$B$305,0))-1,0,1,14))-SUM(OFFSET(安値!$E$6,IFERROR(MATCH(分析!$C28,銘柄管理!$B$6:$B$305,0),MATCH(TEXT(分析!$C28,"0"),銘柄管理!$B$6:$B$305,0))-1,0,1,14)))/SUM(OFFSET(終値!$E$6,IFERROR(MATCH(分析!$C28,銘柄管理!$B$6:$B$305,0),MATCH(TEXT(分析!$C28,"0"),銘柄管理!$B$6:$B$305,0))-1,0,1,14))*100,"")</f>
      </c>
      <c r="D28">
        <f>IFERROR((MAX(OFFSET(高値!$E$6,IFERROR(MATCH(分析!$C28,銘柄管理!$B$6:$B$305,0),MATCH(TEXT(分析!$C28,"0"),銘柄管理!$B$6:$B$305,0))-1,0,1,25))-MIN(OFFSET(安値!$E$6,IFERROR(MATCH(分析!$C28,銘柄管理!$B$6:$B$305,0),MATCH(TEXT(分析!$C28,"0"),銘柄管理!$B$6:$B$305,0))-1,0,1,25)))/分析!$E28*100,"")</f>
      </c>
      <c r="E28">
        <f>IFERROR((分析!$F28-分析!$G28)/分析!$G28*100,"")</f>
      </c>
      <c r="F28">
        <f>IFERROR((分析!$E28-MAX(OFFSET(高値!$E$6,IFERROR(MATCH(分析!$C28,銘柄管理!$B$6:$B$305,0),MATCH(TEXT(分析!$C28,"0"),銘柄管理!$B$6:$B$305,0))-1,0,1,25)))/MAX(OFFSET(高値!$E$6,IFERROR(MATCH(分析!$C28,銘柄管理!$B$6:$B$305,0),MATCH(TEXT(分析!$C28,"0"),銘柄管理!$B$6:$B$305,0))-1,0,1,25))*100,"")</f>
      </c>
      <c r="G28">
        <f>IFERROR((分析!$H28-分析!$I28)/分析!$F28*100,"")</f>
      </c>
      <c r="H28">
        <f>IFERROR(5-COUNTIF($C$3:$C$206,"&lt;"&amp;$C28)/COUNT($C$3:$C$206)-COUNTIF($G$3:$G$206,"&lt;"&amp;$G28)/COUNT($G$3:$G$206)-COUNTIF($D$3:$D$206,"&lt;"&amp;$D28)/COUNT($D$3:$D$206)-COUNTIF(分析!$Z$3:$Z$206,"&lt;"&amp;分析!$Z28)/COUNT(分析!$Z$3:$Z$206)-COUNTIF($E$3:$E$206,"&lt;"&amp;$E28)/COUNT($E$3:$E$206),"")</f>
      </c>
      <c r="I28">
        <f>IF(OR(A28="",A28="TOPX",C28="",H28=""),0,IF(AND(V811設定!$E$11=1,C28&lt;=V811設定!$E$3,D28&lt;=V811設定!$E$4,E28&lt;=V811設定!$E$5,分析!$Z28&lt;=V811設定!$E$6,分析!$Z28&gt;=V811設定!$E$7,F28&gt;=V811設定!$E$8,G28&lt;=V811設定!$E$9),1,0))</f>
      </c>
      <c r="J28">
        <f>IF(A28="","",IF(I28=1,"○ゲート通過",IF(V811設定!$E$11&lt;&gt;1,"― 停止中",IF(C28&gt;V811設定!$E$3,"×値動きが荒い",IF(D28&gt;V811設定!$E$4,"×レンジが広い",IF(E28&gt;V811設定!$E$5,"×窓を開けて上昇",IF(分析!$Z28&gt;V811設定!$E$6,"×前日に急騰",IF(分析!$Z28&lt;V811設定!$E$7,"×前日に急落",IF(F28&lt;V811設定!$E$8,"×高値から離れすぎ",IF(G28&gt;V811設定!$E$9,"×当日の値幅が大きい","×"))))))))))</f>
      </c>
      <c r="K28">
        <f>IF(売分析!$C28="","",売分析!$C28)</f>
      </c>
      <c r="L28">
        <f>IF(売分析!$C28="","",売分析!$D28)</f>
      </c>
      <c r="M28">
        <f>IFERROR((SUM(OFFSET(高値!$E$6,IFERROR(MATCH(売分析!$C28,銘柄管理!$B$6:$B$305,0),MATCH(TEXT(売分析!$C28,"0"),銘柄管理!$B$6:$B$305,0))-1,0,1,14))-SUM(OFFSET(安値!$E$6,IFERROR(MATCH(売分析!$C28,銘柄管理!$B$6:$B$305,0),MATCH(TEXT(売分析!$C28,"0"),銘柄管理!$B$6:$B$305,0))-1,0,1,14)))/SUM(OFFSET(終値!$E$6,IFERROR(MATCH(売分析!$C28,銘柄管理!$B$6:$B$305,0),MATCH(TEXT(売分析!$C28,"0"),銘柄管理!$B$6:$B$305,0))-1,0,1,14))*100,"")</f>
      </c>
      <c r="N28">
        <f>IFERROR((MAX(OFFSET(高値!$E$6,IFERROR(MATCH(売分析!$C28,銘柄管理!$B$6:$B$305,0),MATCH(TEXT(売分析!$C28,"0"),銘柄管理!$B$6:$B$305,0))-1,0,1,25))-MIN(OFFSET(安値!$E$6,IFERROR(MATCH(売分析!$C28,銘柄管理!$B$6:$B$305,0),MATCH(TEXT(売分析!$C28,"0"),銘柄管理!$B$6:$B$305,0))-1,0,1,25)))/売分析!$E28*100,"")</f>
      </c>
      <c r="O28">
        <f>IFERROR((売分析!$F28-売分析!$G28)/売分析!$G28*100,"")</f>
      </c>
      <c r="P28">
        <f>IFERROR((売分析!$E28-MAX(OFFSET(高値!$E$6,IFERROR(MATCH(売分析!$C28,銘柄管理!$B$6:$B$305,0),MATCH(TEXT(売分析!$C28,"0"),銘柄管理!$B$6:$B$305,0))-1,0,1,25)))/MAX(OFFSET(高値!$E$6,IFERROR(MATCH(売分析!$C28,銘柄管理!$B$6:$B$305,0),MATCH(TEXT(売分析!$C28,"0"),銘柄管理!$B$6:$B$305,0))-1,0,1,25))*100,"")</f>
      </c>
      <c r="Q28">
        <f>IFERROR((売分析!$H28-売分析!$I28)/売分析!$F28*100,"")</f>
      </c>
      <c r="R28">
        <f>IFERROR(5-COUNTIF($M$3:$M$206,"&lt;"&amp;$M28)/COUNT($M$3:$M$206)-COUNTIF($Q$3:$Q$206,"&lt;"&amp;$Q28)/COUNT($Q$3:$Q$206)-COUNTIF($N$3:$N$206,"&lt;"&amp;$N28)/COUNT($N$3:$N$206)-COUNTIF(売分析!$Z$3:$Z$206,"&lt;"&amp;売分析!$Z28)/COUNT(売分析!$Z$3:$Z$206)-COUNTIF($O$3:$O$206,"&lt;"&amp;$O28)/COUNT($O$3:$O$206),"")</f>
      </c>
      <c r="S28">
        <f>IF(OR(K28="",K28="TOPX",M28="",R28=""),0,IF(AND(V811設定!$E$12=1,M28&lt;=V811設定!$E$3,N28&lt;=V811設定!$E$4,O28&lt;=V811設定!$E$5,売分析!$Z28&lt;=V811設定!$E$6,売分析!$Z28&gt;=V811設定!$E$7,P28&gt;=V811設定!$E$8,Q28&lt;=V811設定!$E$9),1,0))</f>
      </c>
      <c r="T28">
        <f>IF(K28="","",IF(S28=1,"○ゲート通過",IF(V811設定!$E$12&lt;&gt;1,"― 停止中",IF(M28&gt;V811設定!$E$3,"×値動きが荒い",IF(N28&gt;V811設定!$E$4,"×レンジが広い",IF(O28&gt;V811設定!$E$5,"×窓を開けて上昇",IF(売分析!$Z28&gt;V811設定!$E$6,"×前日に急騰",IF(売分析!$Z28&lt;V811設定!$E$7,"×前日に急落",IF(P28&lt;V811設定!$E$8,"×高値から離れすぎ",IF(Q28&gt;V811設定!$E$9,"×当日の値幅が大きい","×"))))))))))</f>
      </c>
    </row>
    <row r="29" spans="1:20">
      <c r="A29">
        <f>IF(分析!$C29="","",分析!$C29)</f>
      </c>
      <c r="B29">
        <f>IF(分析!$C29="","",分析!$D29)</f>
      </c>
      <c r="C29">
        <f>IFERROR((SUM(OFFSET(高値!$E$6,IFERROR(MATCH(分析!$C29,銘柄管理!$B$6:$B$305,0),MATCH(TEXT(分析!$C29,"0"),銘柄管理!$B$6:$B$305,0))-1,0,1,14))-SUM(OFFSET(安値!$E$6,IFERROR(MATCH(分析!$C29,銘柄管理!$B$6:$B$305,0),MATCH(TEXT(分析!$C29,"0"),銘柄管理!$B$6:$B$305,0))-1,0,1,14)))/SUM(OFFSET(終値!$E$6,IFERROR(MATCH(分析!$C29,銘柄管理!$B$6:$B$305,0),MATCH(TEXT(分析!$C29,"0"),銘柄管理!$B$6:$B$305,0))-1,0,1,14))*100,"")</f>
      </c>
      <c r="D29">
        <f>IFERROR((MAX(OFFSET(高値!$E$6,IFERROR(MATCH(分析!$C29,銘柄管理!$B$6:$B$305,0),MATCH(TEXT(分析!$C29,"0"),銘柄管理!$B$6:$B$305,0))-1,0,1,25))-MIN(OFFSET(安値!$E$6,IFERROR(MATCH(分析!$C29,銘柄管理!$B$6:$B$305,0),MATCH(TEXT(分析!$C29,"0"),銘柄管理!$B$6:$B$305,0))-1,0,1,25)))/分析!$E29*100,"")</f>
      </c>
      <c r="E29">
        <f>IFERROR((分析!$F29-分析!$G29)/分析!$G29*100,"")</f>
      </c>
      <c r="F29">
        <f>IFERROR((分析!$E29-MAX(OFFSET(高値!$E$6,IFERROR(MATCH(分析!$C29,銘柄管理!$B$6:$B$305,0),MATCH(TEXT(分析!$C29,"0"),銘柄管理!$B$6:$B$305,0))-1,0,1,25)))/MAX(OFFSET(高値!$E$6,IFERROR(MATCH(分析!$C29,銘柄管理!$B$6:$B$305,0),MATCH(TEXT(分析!$C29,"0"),銘柄管理!$B$6:$B$305,0))-1,0,1,25))*100,"")</f>
      </c>
      <c r="G29">
        <f>IFERROR((分析!$H29-分析!$I29)/分析!$F29*100,"")</f>
      </c>
      <c r="H29">
        <f>IFERROR(5-COUNTIF($C$3:$C$206,"&lt;"&amp;$C29)/COUNT($C$3:$C$206)-COUNTIF($G$3:$G$206,"&lt;"&amp;$G29)/COUNT($G$3:$G$206)-COUNTIF($D$3:$D$206,"&lt;"&amp;$D29)/COUNT($D$3:$D$206)-COUNTIF(分析!$Z$3:$Z$206,"&lt;"&amp;分析!$Z29)/COUNT(分析!$Z$3:$Z$206)-COUNTIF($E$3:$E$206,"&lt;"&amp;$E29)/COUNT($E$3:$E$206),"")</f>
      </c>
      <c r="I29">
        <f>IF(OR(A29="",A29="TOPX",C29="",H29=""),0,IF(AND(V811設定!$E$11=1,C29&lt;=V811設定!$E$3,D29&lt;=V811設定!$E$4,E29&lt;=V811設定!$E$5,分析!$Z29&lt;=V811設定!$E$6,分析!$Z29&gt;=V811設定!$E$7,F29&gt;=V811設定!$E$8,G29&lt;=V811設定!$E$9),1,0))</f>
      </c>
      <c r="J29">
        <f>IF(A29="","",IF(I29=1,"○ゲート通過",IF(V811設定!$E$11&lt;&gt;1,"― 停止中",IF(C29&gt;V811設定!$E$3,"×値動きが荒い",IF(D29&gt;V811設定!$E$4,"×レンジが広い",IF(E29&gt;V811設定!$E$5,"×窓を開けて上昇",IF(分析!$Z29&gt;V811設定!$E$6,"×前日に急騰",IF(分析!$Z29&lt;V811設定!$E$7,"×前日に急落",IF(F29&lt;V811設定!$E$8,"×高値から離れすぎ",IF(G29&gt;V811設定!$E$9,"×当日の値幅が大きい","×"))))))))))</f>
      </c>
      <c r="K29">
        <f>IF(売分析!$C29="","",売分析!$C29)</f>
      </c>
      <c r="L29">
        <f>IF(売分析!$C29="","",売分析!$D29)</f>
      </c>
      <c r="M29">
        <f>IFERROR((SUM(OFFSET(高値!$E$6,IFERROR(MATCH(売分析!$C29,銘柄管理!$B$6:$B$305,0),MATCH(TEXT(売分析!$C29,"0"),銘柄管理!$B$6:$B$305,0))-1,0,1,14))-SUM(OFFSET(安値!$E$6,IFERROR(MATCH(売分析!$C29,銘柄管理!$B$6:$B$305,0),MATCH(TEXT(売分析!$C29,"0"),銘柄管理!$B$6:$B$305,0))-1,0,1,14)))/SUM(OFFSET(終値!$E$6,IFERROR(MATCH(売分析!$C29,銘柄管理!$B$6:$B$305,0),MATCH(TEXT(売分析!$C29,"0"),銘柄管理!$B$6:$B$305,0))-1,0,1,14))*100,"")</f>
      </c>
      <c r="N29">
        <f>IFERROR((MAX(OFFSET(高値!$E$6,IFERROR(MATCH(売分析!$C29,銘柄管理!$B$6:$B$305,0),MATCH(TEXT(売分析!$C29,"0"),銘柄管理!$B$6:$B$305,0))-1,0,1,25))-MIN(OFFSET(安値!$E$6,IFERROR(MATCH(売分析!$C29,銘柄管理!$B$6:$B$305,0),MATCH(TEXT(売分析!$C29,"0"),銘柄管理!$B$6:$B$305,0))-1,0,1,25)))/売分析!$E29*100,"")</f>
      </c>
      <c r="O29">
        <f>IFERROR((売分析!$F29-売分析!$G29)/売分析!$G29*100,"")</f>
      </c>
      <c r="P29">
        <f>IFERROR((売分析!$E29-MAX(OFFSET(高値!$E$6,IFERROR(MATCH(売分析!$C29,銘柄管理!$B$6:$B$305,0),MATCH(TEXT(売分析!$C29,"0"),銘柄管理!$B$6:$B$305,0))-1,0,1,25)))/MAX(OFFSET(高値!$E$6,IFERROR(MATCH(売分析!$C29,銘柄管理!$B$6:$B$305,0),MATCH(TEXT(売分析!$C29,"0"),銘柄管理!$B$6:$B$305,0))-1,0,1,25))*100,"")</f>
      </c>
      <c r="Q29">
        <f>IFERROR((売分析!$H29-売分析!$I29)/売分析!$F29*100,"")</f>
      </c>
      <c r="R29">
        <f>IFERROR(5-COUNTIF($M$3:$M$206,"&lt;"&amp;$M29)/COUNT($M$3:$M$206)-COUNTIF($Q$3:$Q$206,"&lt;"&amp;$Q29)/COUNT($Q$3:$Q$206)-COUNTIF($N$3:$N$206,"&lt;"&amp;$N29)/COUNT($N$3:$N$206)-COUNTIF(売分析!$Z$3:$Z$206,"&lt;"&amp;売分析!$Z29)/COUNT(売分析!$Z$3:$Z$206)-COUNTIF($O$3:$O$206,"&lt;"&amp;$O29)/COUNT($O$3:$O$206),"")</f>
      </c>
      <c r="S29">
        <f>IF(OR(K29="",K29="TOPX",M29="",R29=""),0,IF(AND(V811設定!$E$12=1,M29&lt;=V811設定!$E$3,N29&lt;=V811設定!$E$4,O29&lt;=V811設定!$E$5,売分析!$Z29&lt;=V811設定!$E$6,売分析!$Z29&gt;=V811設定!$E$7,P29&gt;=V811設定!$E$8,Q29&lt;=V811設定!$E$9),1,0))</f>
      </c>
      <c r="T29">
        <f>IF(K29="","",IF(S29=1,"○ゲート通過",IF(V811設定!$E$12&lt;&gt;1,"― 停止中",IF(M29&gt;V811設定!$E$3,"×値動きが荒い",IF(N29&gt;V811設定!$E$4,"×レンジが広い",IF(O29&gt;V811設定!$E$5,"×窓を開けて上昇",IF(売分析!$Z29&gt;V811設定!$E$6,"×前日に急騰",IF(売分析!$Z29&lt;V811設定!$E$7,"×前日に急落",IF(P29&lt;V811設定!$E$8,"×高値から離れすぎ",IF(Q29&gt;V811設定!$E$9,"×当日の値幅が大きい","×"))))))))))</f>
      </c>
    </row>
    <row r="30" spans="1:20">
      <c r="A30">
        <f>IF(分析!$C30="","",分析!$C30)</f>
      </c>
      <c r="B30">
        <f>IF(分析!$C30="","",分析!$D30)</f>
      </c>
      <c r="C30">
        <f>IFERROR((SUM(OFFSET(高値!$E$6,IFERROR(MATCH(分析!$C30,銘柄管理!$B$6:$B$305,0),MATCH(TEXT(分析!$C30,"0"),銘柄管理!$B$6:$B$305,0))-1,0,1,14))-SUM(OFFSET(安値!$E$6,IFERROR(MATCH(分析!$C30,銘柄管理!$B$6:$B$305,0),MATCH(TEXT(分析!$C30,"0"),銘柄管理!$B$6:$B$305,0))-1,0,1,14)))/SUM(OFFSET(終値!$E$6,IFERROR(MATCH(分析!$C30,銘柄管理!$B$6:$B$305,0),MATCH(TEXT(分析!$C30,"0"),銘柄管理!$B$6:$B$305,0))-1,0,1,14))*100,"")</f>
      </c>
      <c r="D30">
        <f>IFERROR((MAX(OFFSET(高値!$E$6,IFERROR(MATCH(分析!$C30,銘柄管理!$B$6:$B$305,0),MATCH(TEXT(分析!$C30,"0"),銘柄管理!$B$6:$B$305,0))-1,0,1,25))-MIN(OFFSET(安値!$E$6,IFERROR(MATCH(分析!$C30,銘柄管理!$B$6:$B$305,0),MATCH(TEXT(分析!$C30,"0"),銘柄管理!$B$6:$B$305,0))-1,0,1,25)))/分析!$E30*100,"")</f>
      </c>
      <c r="E30">
        <f>IFERROR((分析!$F30-分析!$G30)/分析!$G30*100,"")</f>
      </c>
      <c r="F30">
        <f>IFERROR((分析!$E30-MAX(OFFSET(高値!$E$6,IFERROR(MATCH(分析!$C30,銘柄管理!$B$6:$B$305,0),MATCH(TEXT(分析!$C30,"0"),銘柄管理!$B$6:$B$305,0))-1,0,1,25)))/MAX(OFFSET(高値!$E$6,IFERROR(MATCH(分析!$C30,銘柄管理!$B$6:$B$305,0),MATCH(TEXT(分析!$C30,"0"),銘柄管理!$B$6:$B$305,0))-1,0,1,25))*100,"")</f>
      </c>
      <c r="G30">
        <f>IFERROR((分析!$H30-分析!$I30)/分析!$F30*100,"")</f>
      </c>
      <c r="H30">
        <f>IFERROR(5-COUNTIF($C$3:$C$206,"&lt;"&amp;$C30)/COUNT($C$3:$C$206)-COUNTIF($G$3:$G$206,"&lt;"&amp;$G30)/COUNT($G$3:$G$206)-COUNTIF($D$3:$D$206,"&lt;"&amp;$D30)/COUNT($D$3:$D$206)-COUNTIF(分析!$Z$3:$Z$206,"&lt;"&amp;分析!$Z30)/COUNT(分析!$Z$3:$Z$206)-COUNTIF($E$3:$E$206,"&lt;"&amp;$E30)/COUNT($E$3:$E$206),"")</f>
      </c>
      <c r="I30">
        <f>IF(OR(A30="",A30="TOPX",C30="",H30=""),0,IF(AND(V811設定!$E$11=1,C30&lt;=V811設定!$E$3,D30&lt;=V811設定!$E$4,E30&lt;=V811設定!$E$5,分析!$Z30&lt;=V811設定!$E$6,分析!$Z30&gt;=V811設定!$E$7,F30&gt;=V811設定!$E$8,G30&lt;=V811設定!$E$9),1,0))</f>
      </c>
      <c r="J30">
        <f>IF(A30="","",IF(I30=1,"○ゲート通過",IF(V811設定!$E$11&lt;&gt;1,"― 停止中",IF(C30&gt;V811設定!$E$3,"×値動きが荒い",IF(D30&gt;V811設定!$E$4,"×レンジが広い",IF(E30&gt;V811設定!$E$5,"×窓を開けて上昇",IF(分析!$Z30&gt;V811設定!$E$6,"×前日に急騰",IF(分析!$Z30&lt;V811設定!$E$7,"×前日に急落",IF(F30&lt;V811設定!$E$8,"×高値から離れすぎ",IF(G30&gt;V811設定!$E$9,"×当日の値幅が大きい","×"))))))))))</f>
      </c>
      <c r="K30">
        <f>IF(売分析!$C30="","",売分析!$C30)</f>
      </c>
      <c r="L30">
        <f>IF(売分析!$C30="","",売分析!$D30)</f>
      </c>
      <c r="M30">
        <f>IFERROR((SUM(OFFSET(高値!$E$6,IFERROR(MATCH(売分析!$C30,銘柄管理!$B$6:$B$305,0),MATCH(TEXT(売分析!$C30,"0"),銘柄管理!$B$6:$B$305,0))-1,0,1,14))-SUM(OFFSET(安値!$E$6,IFERROR(MATCH(売分析!$C30,銘柄管理!$B$6:$B$305,0),MATCH(TEXT(売分析!$C30,"0"),銘柄管理!$B$6:$B$305,0))-1,0,1,14)))/SUM(OFFSET(終値!$E$6,IFERROR(MATCH(売分析!$C30,銘柄管理!$B$6:$B$305,0),MATCH(TEXT(売分析!$C30,"0"),銘柄管理!$B$6:$B$305,0))-1,0,1,14))*100,"")</f>
      </c>
      <c r="N30">
        <f>IFERROR((MAX(OFFSET(高値!$E$6,IFERROR(MATCH(売分析!$C30,銘柄管理!$B$6:$B$305,0),MATCH(TEXT(売分析!$C30,"0"),銘柄管理!$B$6:$B$305,0))-1,0,1,25))-MIN(OFFSET(安値!$E$6,IFERROR(MATCH(売分析!$C30,銘柄管理!$B$6:$B$305,0),MATCH(TEXT(売分析!$C30,"0"),銘柄管理!$B$6:$B$305,0))-1,0,1,25)))/売分析!$E30*100,"")</f>
      </c>
      <c r="O30">
        <f>IFERROR((売分析!$F30-売分析!$G30)/売分析!$G30*100,"")</f>
      </c>
      <c r="P30">
        <f>IFERROR((売分析!$E30-MAX(OFFSET(高値!$E$6,IFERROR(MATCH(売分析!$C30,銘柄管理!$B$6:$B$305,0),MATCH(TEXT(売分析!$C30,"0"),銘柄管理!$B$6:$B$305,0))-1,0,1,25)))/MAX(OFFSET(高値!$E$6,IFERROR(MATCH(売分析!$C30,銘柄管理!$B$6:$B$305,0),MATCH(TEXT(売分析!$C30,"0"),銘柄管理!$B$6:$B$305,0))-1,0,1,25))*100,"")</f>
      </c>
      <c r="Q30">
        <f>IFERROR((売分析!$H30-売分析!$I30)/売分析!$F30*100,"")</f>
      </c>
      <c r="R30">
        <f>IFERROR(5-COUNTIF($M$3:$M$206,"&lt;"&amp;$M30)/COUNT($M$3:$M$206)-COUNTIF($Q$3:$Q$206,"&lt;"&amp;$Q30)/COUNT($Q$3:$Q$206)-COUNTIF($N$3:$N$206,"&lt;"&amp;$N30)/COUNT($N$3:$N$206)-COUNTIF(売分析!$Z$3:$Z$206,"&lt;"&amp;売分析!$Z30)/COUNT(売分析!$Z$3:$Z$206)-COUNTIF($O$3:$O$206,"&lt;"&amp;$O30)/COUNT($O$3:$O$206),"")</f>
      </c>
      <c r="S30">
        <f>IF(OR(K30="",K30="TOPX",M30="",R30=""),0,IF(AND(V811設定!$E$12=1,M30&lt;=V811設定!$E$3,N30&lt;=V811設定!$E$4,O30&lt;=V811設定!$E$5,売分析!$Z30&lt;=V811設定!$E$6,売分析!$Z30&gt;=V811設定!$E$7,P30&gt;=V811設定!$E$8,Q30&lt;=V811設定!$E$9),1,0))</f>
      </c>
      <c r="T30">
        <f>IF(K30="","",IF(S30=1,"○ゲート通過",IF(V811設定!$E$12&lt;&gt;1,"― 停止中",IF(M30&gt;V811設定!$E$3,"×値動きが荒い",IF(N30&gt;V811設定!$E$4,"×レンジが広い",IF(O30&gt;V811設定!$E$5,"×窓を開けて上昇",IF(売分析!$Z30&gt;V811設定!$E$6,"×前日に急騰",IF(売分析!$Z30&lt;V811設定!$E$7,"×前日に急落",IF(P30&lt;V811設定!$E$8,"×高値から離れすぎ",IF(Q30&gt;V811設定!$E$9,"×当日の値幅が大きい","×"))))))))))</f>
      </c>
    </row>
    <row r="31" spans="1:20">
      <c r="A31">
        <f>IF(分析!$C31="","",分析!$C31)</f>
      </c>
      <c r="B31">
        <f>IF(分析!$C31="","",分析!$D31)</f>
      </c>
      <c r="C31">
        <f>IFERROR((SUM(OFFSET(高値!$E$6,IFERROR(MATCH(分析!$C31,銘柄管理!$B$6:$B$305,0),MATCH(TEXT(分析!$C31,"0"),銘柄管理!$B$6:$B$305,0))-1,0,1,14))-SUM(OFFSET(安値!$E$6,IFERROR(MATCH(分析!$C31,銘柄管理!$B$6:$B$305,0),MATCH(TEXT(分析!$C31,"0"),銘柄管理!$B$6:$B$305,0))-1,0,1,14)))/SUM(OFFSET(終値!$E$6,IFERROR(MATCH(分析!$C31,銘柄管理!$B$6:$B$305,0),MATCH(TEXT(分析!$C31,"0"),銘柄管理!$B$6:$B$305,0))-1,0,1,14))*100,"")</f>
      </c>
      <c r="D31">
        <f>IFERROR((MAX(OFFSET(高値!$E$6,IFERROR(MATCH(分析!$C31,銘柄管理!$B$6:$B$305,0),MATCH(TEXT(分析!$C31,"0"),銘柄管理!$B$6:$B$305,0))-1,0,1,25))-MIN(OFFSET(安値!$E$6,IFERROR(MATCH(分析!$C31,銘柄管理!$B$6:$B$305,0),MATCH(TEXT(分析!$C31,"0"),銘柄管理!$B$6:$B$305,0))-1,0,1,25)))/分析!$E31*100,"")</f>
      </c>
      <c r="E31">
        <f>IFERROR((分析!$F31-分析!$G31)/分析!$G31*100,"")</f>
      </c>
      <c r="F31">
        <f>IFERROR((分析!$E31-MAX(OFFSET(高値!$E$6,IFERROR(MATCH(分析!$C31,銘柄管理!$B$6:$B$305,0),MATCH(TEXT(分析!$C31,"0"),銘柄管理!$B$6:$B$305,0))-1,0,1,25)))/MAX(OFFSET(高値!$E$6,IFERROR(MATCH(分析!$C31,銘柄管理!$B$6:$B$305,0),MATCH(TEXT(分析!$C31,"0"),銘柄管理!$B$6:$B$305,0))-1,0,1,25))*100,"")</f>
      </c>
      <c r="G31">
        <f>IFERROR((分析!$H31-分析!$I31)/分析!$F31*100,"")</f>
      </c>
      <c r="H31">
        <f>IFERROR(5-COUNTIF($C$3:$C$206,"&lt;"&amp;$C31)/COUNT($C$3:$C$206)-COUNTIF($G$3:$G$206,"&lt;"&amp;$G31)/COUNT($G$3:$G$206)-COUNTIF($D$3:$D$206,"&lt;"&amp;$D31)/COUNT($D$3:$D$206)-COUNTIF(分析!$Z$3:$Z$206,"&lt;"&amp;分析!$Z31)/COUNT(分析!$Z$3:$Z$206)-COUNTIF($E$3:$E$206,"&lt;"&amp;$E31)/COUNT($E$3:$E$206),"")</f>
      </c>
      <c r="I31">
        <f>IF(OR(A31="",A31="TOPX",C31="",H31=""),0,IF(AND(V811設定!$E$11=1,C31&lt;=V811設定!$E$3,D31&lt;=V811設定!$E$4,E31&lt;=V811設定!$E$5,分析!$Z31&lt;=V811設定!$E$6,分析!$Z31&gt;=V811設定!$E$7,F31&gt;=V811設定!$E$8,G31&lt;=V811設定!$E$9),1,0))</f>
      </c>
      <c r="J31">
        <f>IF(A31="","",IF(I31=1,"○ゲート通過",IF(V811設定!$E$11&lt;&gt;1,"― 停止中",IF(C31&gt;V811設定!$E$3,"×値動きが荒い",IF(D31&gt;V811設定!$E$4,"×レンジが広い",IF(E31&gt;V811設定!$E$5,"×窓を開けて上昇",IF(分析!$Z31&gt;V811設定!$E$6,"×前日に急騰",IF(分析!$Z31&lt;V811設定!$E$7,"×前日に急落",IF(F31&lt;V811設定!$E$8,"×高値から離れすぎ",IF(G31&gt;V811設定!$E$9,"×当日の値幅が大きい","×"))))))))))</f>
      </c>
      <c r="K31">
        <f>IF(売分析!$C31="","",売分析!$C31)</f>
      </c>
      <c r="L31">
        <f>IF(売分析!$C31="","",売分析!$D31)</f>
      </c>
      <c r="M31">
        <f>IFERROR((SUM(OFFSET(高値!$E$6,IFERROR(MATCH(売分析!$C31,銘柄管理!$B$6:$B$305,0),MATCH(TEXT(売分析!$C31,"0"),銘柄管理!$B$6:$B$305,0))-1,0,1,14))-SUM(OFFSET(安値!$E$6,IFERROR(MATCH(売分析!$C31,銘柄管理!$B$6:$B$305,0),MATCH(TEXT(売分析!$C31,"0"),銘柄管理!$B$6:$B$305,0))-1,0,1,14)))/SUM(OFFSET(終値!$E$6,IFERROR(MATCH(売分析!$C31,銘柄管理!$B$6:$B$305,0),MATCH(TEXT(売分析!$C31,"0"),銘柄管理!$B$6:$B$305,0))-1,0,1,14))*100,"")</f>
      </c>
      <c r="N31">
        <f>IFERROR((MAX(OFFSET(高値!$E$6,IFERROR(MATCH(売分析!$C31,銘柄管理!$B$6:$B$305,0),MATCH(TEXT(売分析!$C31,"0"),銘柄管理!$B$6:$B$305,0))-1,0,1,25))-MIN(OFFSET(安値!$E$6,IFERROR(MATCH(売分析!$C31,銘柄管理!$B$6:$B$305,0),MATCH(TEXT(売分析!$C31,"0"),銘柄管理!$B$6:$B$305,0))-1,0,1,25)))/売分析!$E31*100,"")</f>
      </c>
      <c r="O31">
        <f>IFERROR((売分析!$F31-売分析!$G31)/売分析!$G31*100,"")</f>
      </c>
      <c r="P31">
        <f>IFERROR((売分析!$E31-MAX(OFFSET(高値!$E$6,IFERROR(MATCH(売分析!$C31,銘柄管理!$B$6:$B$305,0),MATCH(TEXT(売分析!$C31,"0"),銘柄管理!$B$6:$B$305,0))-1,0,1,25)))/MAX(OFFSET(高値!$E$6,IFERROR(MATCH(売分析!$C31,銘柄管理!$B$6:$B$305,0),MATCH(TEXT(売分析!$C31,"0"),銘柄管理!$B$6:$B$305,0))-1,0,1,25))*100,"")</f>
      </c>
      <c r="Q31">
        <f>IFERROR((売分析!$H31-売分析!$I31)/売分析!$F31*100,"")</f>
      </c>
      <c r="R31">
        <f>IFERROR(5-COUNTIF($M$3:$M$206,"&lt;"&amp;$M31)/COUNT($M$3:$M$206)-COUNTIF($Q$3:$Q$206,"&lt;"&amp;$Q31)/COUNT($Q$3:$Q$206)-COUNTIF($N$3:$N$206,"&lt;"&amp;$N31)/COUNT($N$3:$N$206)-COUNTIF(売分析!$Z$3:$Z$206,"&lt;"&amp;売分析!$Z31)/COUNT(売分析!$Z$3:$Z$206)-COUNTIF($O$3:$O$206,"&lt;"&amp;$O31)/COUNT($O$3:$O$206),"")</f>
      </c>
      <c r="S31">
        <f>IF(OR(K31="",K31="TOPX",M31="",R31=""),0,IF(AND(V811設定!$E$12=1,M31&lt;=V811設定!$E$3,N31&lt;=V811設定!$E$4,O31&lt;=V811設定!$E$5,売分析!$Z31&lt;=V811設定!$E$6,売分析!$Z31&gt;=V811設定!$E$7,P31&gt;=V811設定!$E$8,Q31&lt;=V811設定!$E$9),1,0))</f>
      </c>
      <c r="T31">
        <f>IF(K31="","",IF(S31=1,"○ゲート通過",IF(V811設定!$E$12&lt;&gt;1,"― 停止中",IF(M31&gt;V811設定!$E$3,"×値動きが荒い",IF(N31&gt;V811設定!$E$4,"×レンジが広い",IF(O31&gt;V811設定!$E$5,"×窓を開けて上昇",IF(売分析!$Z31&gt;V811設定!$E$6,"×前日に急騰",IF(売分析!$Z31&lt;V811設定!$E$7,"×前日に急落",IF(P31&lt;V811設定!$E$8,"×高値から離れすぎ",IF(Q31&gt;V811設定!$E$9,"×当日の値幅が大きい","×"))))))))))</f>
      </c>
    </row>
    <row r="32" spans="1:20">
      <c r="A32">
        <f>IF(分析!$C32="","",分析!$C32)</f>
      </c>
      <c r="B32">
        <f>IF(分析!$C32="","",分析!$D32)</f>
      </c>
      <c r="C32">
        <f>IFERROR((SUM(OFFSET(高値!$E$6,IFERROR(MATCH(分析!$C32,銘柄管理!$B$6:$B$305,0),MATCH(TEXT(分析!$C32,"0"),銘柄管理!$B$6:$B$305,0))-1,0,1,14))-SUM(OFFSET(安値!$E$6,IFERROR(MATCH(分析!$C32,銘柄管理!$B$6:$B$305,0),MATCH(TEXT(分析!$C32,"0"),銘柄管理!$B$6:$B$305,0))-1,0,1,14)))/SUM(OFFSET(終値!$E$6,IFERROR(MATCH(分析!$C32,銘柄管理!$B$6:$B$305,0),MATCH(TEXT(分析!$C32,"0"),銘柄管理!$B$6:$B$305,0))-1,0,1,14))*100,"")</f>
      </c>
      <c r="D32">
        <f>IFERROR((MAX(OFFSET(高値!$E$6,IFERROR(MATCH(分析!$C32,銘柄管理!$B$6:$B$305,0),MATCH(TEXT(分析!$C32,"0"),銘柄管理!$B$6:$B$305,0))-1,0,1,25))-MIN(OFFSET(安値!$E$6,IFERROR(MATCH(分析!$C32,銘柄管理!$B$6:$B$305,0),MATCH(TEXT(分析!$C32,"0"),銘柄管理!$B$6:$B$305,0))-1,0,1,25)))/分析!$E32*100,"")</f>
      </c>
      <c r="E32">
        <f>IFERROR((分析!$F32-分析!$G32)/分析!$G32*100,"")</f>
      </c>
      <c r="F32">
        <f>IFERROR((分析!$E32-MAX(OFFSET(高値!$E$6,IFERROR(MATCH(分析!$C32,銘柄管理!$B$6:$B$305,0),MATCH(TEXT(分析!$C32,"0"),銘柄管理!$B$6:$B$305,0))-1,0,1,25)))/MAX(OFFSET(高値!$E$6,IFERROR(MATCH(分析!$C32,銘柄管理!$B$6:$B$305,0),MATCH(TEXT(分析!$C32,"0"),銘柄管理!$B$6:$B$305,0))-1,0,1,25))*100,"")</f>
      </c>
      <c r="G32">
        <f>IFERROR((分析!$H32-分析!$I32)/分析!$F32*100,"")</f>
      </c>
      <c r="H32">
        <f>IFERROR(5-COUNTIF($C$3:$C$206,"&lt;"&amp;$C32)/COUNT($C$3:$C$206)-COUNTIF($G$3:$G$206,"&lt;"&amp;$G32)/COUNT($G$3:$G$206)-COUNTIF($D$3:$D$206,"&lt;"&amp;$D32)/COUNT($D$3:$D$206)-COUNTIF(分析!$Z$3:$Z$206,"&lt;"&amp;分析!$Z32)/COUNT(分析!$Z$3:$Z$206)-COUNTIF($E$3:$E$206,"&lt;"&amp;$E32)/COUNT($E$3:$E$206),"")</f>
      </c>
      <c r="I32">
        <f>IF(OR(A32="",A32="TOPX",C32="",H32=""),0,IF(AND(V811設定!$E$11=1,C32&lt;=V811設定!$E$3,D32&lt;=V811設定!$E$4,E32&lt;=V811設定!$E$5,分析!$Z32&lt;=V811設定!$E$6,分析!$Z32&gt;=V811設定!$E$7,F32&gt;=V811設定!$E$8,G32&lt;=V811設定!$E$9),1,0))</f>
      </c>
      <c r="J32">
        <f>IF(A32="","",IF(I32=1,"○ゲート通過",IF(V811設定!$E$11&lt;&gt;1,"― 停止中",IF(C32&gt;V811設定!$E$3,"×値動きが荒い",IF(D32&gt;V811設定!$E$4,"×レンジが広い",IF(E32&gt;V811設定!$E$5,"×窓を開けて上昇",IF(分析!$Z32&gt;V811設定!$E$6,"×前日に急騰",IF(分析!$Z32&lt;V811設定!$E$7,"×前日に急落",IF(F32&lt;V811設定!$E$8,"×高値から離れすぎ",IF(G32&gt;V811設定!$E$9,"×当日の値幅が大きい","×"))))))))))</f>
      </c>
      <c r="K32">
        <f>IF(売分析!$C32="","",売分析!$C32)</f>
      </c>
      <c r="L32">
        <f>IF(売分析!$C32="","",売分析!$D32)</f>
      </c>
      <c r="M32">
        <f>IFERROR((SUM(OFFSET(高値!$E$6,IFERROR(MATCH(売分析!$C32,銘柄管理!$B$6:$B$305,0),MATCH(TEXT(売分析!$C32,"0"),銘柄管理!$B$6:$B$305,0))-1,0,1,14))-SUM(OFFSET(安値!$E$6,IFERROR(MATCH(売分析!$C32,銘柄管理!$B$6:$B$305,0),MATCH(TEXT(売分析!$C32,"0"),銘柄管理!$B$6:$B$305,0))-1,0,1,14)))/SUM(OFFSET(終値!$E$6,IFERROR(MATCH(売分析!$C32,銘柄管理!$B$6:$B$305,0),MATCH(TEXT(売分析!$C32,"0"),銘柄管理!$B$6:$B$305,0))-1,0,1,14))*100,"")</f>
      </c>
      <c r="N32">
        <f>IFERROR((MAX(OFFSET(高値!$E$6,IFERROR(MATCH(売分析!$C32,銘柄管理!$B$6:$B$305,0),MATCH(TEXT(売分析!$C32,"0"),銘柄管理!$B$6:$B$305,0))-1,0,1,25))-MIN(OFFSET(安値!$E$6,IFERROR(MATCH(売分析!$C32,銘柄管理!$B$6:$B$305,0),MATCH(TEXT(売分析!$C32,"0"),銘柄管理!$B$6:$B$305,0))-1,0,1,25)))/売分析!$E32*100,"")</f>
      </c>
      <c r="O32">
        <f>IFERROR((売分析!$F32-売分析!$G32)/売分析!$G32*100,"")</f>
      </c>
      <c r="P32">
        <f>IFERROR((売分析!$E32-MAX(OFFSET(高値!$E$6,IFERROR(MATCH(売分析!$C32,銘柄管理!$B$6:$B$305,0),MATCH(TEXT(売分析!$C32,"0"),銘柄管理!$B$6:$B$305,0))-1,0,1,25)))/MAX(OFFSET(高値!$E$6,IFERROR(MATCH(売分析!$C32,銘柄管理!$B$6:$B$305,0),MATCH(TEXT(売分析!$C32,"0"),銘柄管理!$B$6:$B$305,0))-1,0,1,25))*100,"")</f>
      </c>
      <c r="Q32">
        <f>IFERROR((売分析!$H32-売分析!$I32)/売分析!$F32*100,"")</f>
      </c>
      <c r="R32">
        <f>IFERROR(5-COUNTIF($M$3:$M$206,"&lt;"&amp;$M32)/COUNT($M$3:$M$206)-COUNTIF($Q$3:$Q$206,"&lt;"&amp;$Q32)/COUNT($Q$3:$Q$206)-COUNTIF($N$3:$N$206,"&lt;"&amp;$N32)/COUNT($N$3:$N$206)-COUNTIF(売分析!$Z$3:$Z$206,"&lt;"&amp;売分析!$Z32)/COUNT(売分析!$Z$3:$Z$206)-COUNTIF($O$3:$O$206,"&lt;"&amp;$O32)/COUNT($O$3:$O$206),"")</f>
      </c>
      <c r="S32">
        <f>IF(OR(K32="",K32="TOPX",M32="",R32=""),0,IF(AND(V811設定!$E$12=1,M32&lt;=V811設定!$E$3,N32&lt;=V811設定!$E$4,O32&lt;=V811設定!$E$5,売分析!$Z32&lt;=V811設定!$E$6,売分析!$Z32&gt;=V811設定!$E$7,P32&gt;=V811設定!$E$8,Q32&lt;=V811設定!$E$9),1,0))</f>
      </c>
      <c r="T32">
        <f>IF(K32="","",IF(S32=1,"○ゲート通過",IF(V811設定!$E$12&lt;&gt;1,"― 停止中",IF(M32&gt;V811設定!$E$3,"×値動きが荒い",IF(N32&gt;V811設定!$E$4,"×レンジが広い",IF(O32&gt;V811設定!$E$5,"×窓を開けて上昇",IF(売分析!$Z32&gt;V811設定!$E$6,"×前日に急騰",IF(売分析!$Z32&lt;V811設定!$E$7,"×前日に急落",IF(P32&lt;V811設定!$E$8,"×高値から離れすぎ",IF(Q32&gt;V811設定!$E$9,"×当日の値幅が大きい","×"))))))))))</f>
      </c>
    </row>
    <row r="33" spans="1:20">
      <c r="A33">
        <f>IF(分析!$C33="","",分析!$C33)</f>
      </c>
      <c r="B33">
        <f>IF(分析!$C33="","",分析!$D33)</f>
      </c>
      <c r="C33">
        <f>IFERROR((SUM(OFFSET(高値!$E$6,IFERROR(MATCH(分析!$C33,銘柄管理!$B$6:$B$305,0),MATCH(TEXT(分析!$C33,"0"),銘柄管理!$B$6:$B$305,0))-1,0,1,14))-SUM(OFFSET(安値!$E$6,IFERROR(MATCH(分析!$C33,銘柄管理!$B$6:$B$305,0),MATCH(TEXT(分析!$C33,"0"),銘柄管理!$B$6:$B$305,0))-1,0,1,14)))/SUM(OFFSET(終値!$E$6,IFERROR(MATCH(分析!$C33,銘柄管理!$B$6:$B$305,0),MATCH(TEXT(分析!$C33,"0"),銘柄管理!$B$6:$B$305,0))-1,0,1,14))*100,"")</f>
      </c>
      <c r="D33">
        <f>IFERROR((MAX(OFFSET(高値!$E$6,IFERROR(MATCH(分析!$C33,銘柄管理!$B$6:$B$305,0),MATCH(TEXT(分析!$C33,"0"),銘柄管理!$B$6:$B$305,0))-1,0,1,25))-MIN(OFFSET(安値!$E$6,IFERROR(MATCH(分析!$C33,銘柄管理!$B$6:$B$305,0),MATCH(TEXT(分析!$C33,"0"),銘柄管理!$B$6:$B$305,0))-1,0,1,25)))/分析!$E33*100,"")</f>
      </c>
      <c r="E33">
        <f>IFERROR((分析!$F33-分析!$G33)/分析!$G33*100,"")</f>
      </c>
      <c r="F33">
        <f>IFERROR((分析!$E33-MAX(OFFSET(高値!$E$6,IFERROR(MATCH(分析!$C33,銘柄管理!$B$6:$B$305,0),MATCH(TEXT(分析!$C33,"0"),銘柄管理!$B$6:$B$305,0))-1,0,1,25)))/MAX(OFFSET(高値!$E$6,IFERROR(MATCH(分析!$C33,銘柄管理!$B$6:$B$305,0),MATCH(TEXT(分析!$C33,"0"),銘柄管理!$B$6:$B$305,0))-1,0,1,25))*100,"")</f>
      </c>
      <c r="G33">
        <f>IFERROR((分析!$H33-分析!$I33)/分析!$F33*100,"")</f>
      </c>
      <c r="H33">
        <f>IFERROR(5-COUNTIF($C$3:$C$206,"&lt;"&amp;$C33)/COUNT($C$3:$C$206)-COUNTIF($G$3:$G$206,"&lt;"&amp;$G33)/COUNT($G$3:$G$206)-COUNTIF($D$3:$D$206,"&lt;"&amp;$D33)/COUNT($D$3:$D$206)-COUNTIF(分析!$Z$3:$Z$206,"&lt;"&amp;分析!$Z33)/COUNT(分析!$Z$3:$Z$206)-COUNTIF($E$3:$E$206,"&lt;"&amp;$E33)/COUNT($E$3:$E$206),"")</f>
      </c>
      <c r="I33">
        <f>IF(OR(A33="",A33="TOPX",C33="",H33=""),0,IF(AND(V811設定!$E$11=1,C33&lt;=V811設定!$E$3,D33&lt;=V811設定!$E$4,E33&lt;=V811設定!$E$5,分析!$Z33&lt;=V811設定!$E$6,分析!$Z33&gt;=V811設定!$E$7,F33&gt;=V811設定!$E$8,G33&lt;=V811設定!$E$9),1,0))</f>
      </c>
      <c r="J33">
        <f>IF(A33="","",IF(I33=1,"○ゲート通過",IF(V811設定!$E$11&lt;&gt;1,"― 停止中",IF(C33&gt;V811設定!$E$3,"×値動きが荒い",IF(D33&gt;V811設定!$E$4,"×レンジが広い",IF(E33&gt;V811設定!$E$5,"×窓を開けて上昇",IF(分析!$Z33&gt;V811設定!$E$6,"×前日に急騰",IF(分析!$Z33&lt;V811設定!$E$7,"×前日に急落",IF(F33&lt;V811設定!$E$8,"×高値から離れすぎ",IF(G33&gt;V811設定!$E$9,"×当日の値幅が大きい","×"))))))))))</f>
      </c>
      <c r="K33">
        <f>IF(売分析!$C33="","",売分析!$C33)</f>
      </c>
      <c r="L33">
        <f>IF(売分析!$C33="","",売分析!$D33)</f>
      </c>
      <c r="M33">
        <f>IFERROR((SUM(OFFSET(高値!$E$6,IFERROR(MATCH(売分析!$C33,銘柄管理!$B$6:$B$305,0),MATCH(TEXT(売分析!$C33,"0"),銘柄管理!$B$6:$B$305,0))-1,0,1,14))-SUM(OFFSET(安値!$E$6,IFERROR(MATCH(売分析!$C33,銘柄管理!$B$6:$B$305,0),MATCH(TEXT(売分析!$C33,"0"),銘柄管理!$B$6:$B$305,0))-1,0,1,14)))/SUM(OFFSET(終値!$E$6,IFERROR(MATCH(売分析!$C33,銘柄管理!$B$6:$B$305,0),MATCH(TEXT(売分析!$C33,"0"),銘柄管理!$B$6:$B$305,0))-1,0,1,14))*100,"")</f>
      </c>
      <c r="N33">
        <f>IFERROR((MAX(OFFSET(高値!$E$6,IFERROR(MATCH(売分析!$C33,銘柄管理!$B$6:$B$305,0),MATCH(TEXT(売分析!$C33,"0"),銘柄管理!$B$6:$B$305,0))-1,0,1,25))-MIN(OFFSET(安値!$E$6,IFERROR(MATCH(売分析!$C33,銘柄管理!$B$6:$B$305,0),MATCH(TEXT(売分析!$C33,"0"),銘柄管理!$B$6:$B$305,0))-1,0,1,25)))/売分析!$E33*100,"")</f>
      </c>
      <c r="O33">
        <f>IFERROR((売分析!$F33-売分析!$G33)/売分析!$G33*100,"")</f>
      </c>
      <c r="P33">
        <f>IFERROR((売分析!$E33-MAX(OFFSET(高値!$E$6,IFERROR(MATCH(売分析!$C33,銘柄管理!$B$6:$B$305,0),MATCH(TEXT(売分析!$C33,"0"),銘柄管理!$B$6:$B$305,0))-1,0,1,25)))/MAX(OFFSET(高値!$E$6,IFERROR(MATCH(売分析!$C33,銘柄管理!$B$6:$B$305,0),MATCH(TEXT(売分析!$C33,"0"),銘柄管理!$B$6:$B$305,0))-1,0,1,25))*100,"")</f>
      </c>
      <c r="Q33">
        <f>IFERROR((売分析!$H33-売分析!$I33)/売分析!$F33*100,"")</f>
      </c>
      <c r="R33">
        <f>IFERROR(5-COUNTIF($M$3:$M$206,"&lt;"&amp;$M33)/COUNT($M$3:$M$206)-COUNTIF($Q$3:$Q$206,"&lt;"&amp;$Q33)/COUNT($Q$3:$Q$206)-COUNTIF($N$3:$N$206,"&lt;"&amp;$N33)/COUNT($N$3:$N$206)-COUNTIF(売分析!$Z$3:$Z$206,"&lt;"&amp;売分析!$Z33)/COUNT(売分析!$Z$3:$Z$206)-COUNTIF($O$3:$O$206,"&lt;"&amp;$O33)/COUNT($O$3:$O$206),"")</f>
      </c>
      <c r="S33">
        <f>IF(OR(K33="",K33="TOPX",M33="",R33=""),0,IF(AND(V811設定!$E$12=1,M33&lt;=V811設定!$E$3,N33&lt;=V811設定!$E$4,O33&lt;=V811設定!$E$5,売分析!$Z33&lt;=V811設定!$E$6,売分析!$Z33&gt;=V811設定!$E$7,P33&gt;=V811設定!$E$8,Q33&lt;=V811設定!$E$9),1,0))</f>
      </c>
      <c r="T33">
        <f>IF(K33="","",IF(S33=1,"○ゲート通過",IF(V811設定!$E$12&lt;&gt;1,"― 停止中",IF(M33&gt;V811設定!$E$3,"×値動きが荒い",IF(N33&gt;V811設定!$E$4,"×レンジが広い",IF(O33&gt;V811設定!$E$5,"×窓を開けて上昇",IF(売分析!$Z33&gt;V811設定!$E$6,"×前日に急騰",IF(売分析!$Z33&lt;V811設定!$E$7,"×前日に急落",IF(P33&lt;V811設定!$E$8,"×高値から離れすぎ",IF(Q33&gt;V811設定!$E$9,"×当日の値幅が大きい","×"))))))))))</f>
      </c>
    </row>
    <row r="34" spans="1:20">
      <c r="A34">
        <f>IF(分析!$C34="","",分析!$C34)</f>
      </c>
      <c r="B34">
        <f>IF(分析!$C34="","",分析!$D34)</f>
      </c>
      <c r="C34">
        <f>IFERROR((SUM(OFFSET(高値!$E$6,IFERROR(MATCH(分析!$C34,銘柄管理!$B$6:$B$305,0),MATCH(TEXT(分析!$C34,"0"),銘柄管理!$B$6:$B$305,0))-1,0,1,14))-SUM(OFFSET(安値!$E$6,IFERROR(MATCH(分析!$C34,銘柄管理!$B$6:$B$305,0),MATCH(TEXT(分析!$C34,"0"),銘柄管理!$B$6:$B$305,0))-1,0,1,14)))/SUM(OFFSET(終値!$E$6,IFERROR(MATCH(分析!$C34,銘柄管理!$B$6:$B$305,0),MATCH(TEXT(分析!$C34,"0"),銘柄管理!$B$6:$B$305,0))-1,0,1,14))*100,"")</f>
      </c>
      <c r="D34">
        <f>IFERROR((MAX(OFFSET(高値!$E$6,IFERROR(MATCH(分析!$C34,銘柄管理!$B$6:$B$305,0),MATCH(TEXT(分析!$C34,"0"),銘柄管理!$B$6:$B$305,0))-1,0,1,25))-MIN(OFFSET(安値!$E$6,IFERROR(MATCH(分析!$C34,銘柄管理!$B$6:$B$305,0),MATCH(TEXT(分析!$C34,"0"),銘柄管理!$B$6:$B$305,0))-1,0,1,25)))/分析!$E34*100,"")</f>
      </c>
      <c r="E34">
        <f>IFERROR((分析!$F34-分析!$G34)/分析!$G34*100,"")</f>
      </c>
      <c r="F34">
        <f>IFERROR((分析!$E34-MAX(OFFSET(高値!$E$6,IFERROR(MATCH(分析!$C34,銘柄管理!$B$6:$B$305,0),MATCH(TEXT(分析!$C34,"0"),銘柄管理!$B$6:$B$305,0))-1,0,1,25)))/MAX(OFFSET(高値!$E$6,IFERROR(MATCH(分析!$C34,銘柄管理!$B$6:$B$305,0),MATCH(TEXT(分析!$C34,"0"),銘柄管理!$B$6:$B$305,0))-1,0,1,25))*100,"")</f>
      </c>
      <c r="G34">
        <f>IFERROR((分析!$H34-分析!$I34)/分析!$F34*100,"")</f>
      </c>
      <c r="H34">
        <f>IFERROR(5-COUNTIF($C$3:$C$206,"&lt;"&amp;$C34)/COUNT($C$3:$C$206)-COUNTIF($G$3:$G$206,"&lt;"&amp;$G34)/COUNT($G$3:$G$206)-COUNTIF($D$3:$D$206,"&lt;"&amp;$D34)/COUNT($D$3:$D$206)-COUNTIF(分析!$Z$3:$Z$206,"&lt;"&amp;分析!$Z34)/COUNT(分析!$Z$3:$Z$206)-COUNTIF($E$3:$E$206,"&lt;"&amp;$E34)/COUNT($E$3:$E$206),"")</f>
      </c>
      <c r="I34">
        <f>IF(OR(A34="",A34="TOPX",C34="",H34=""),0,IF(AND(V811設定!$E$11=1,C34&lt;=V811設定!$E$3,D34&lt;=V811設定!$E$4,E34&lt;=V811設定!$E$5,分析!$Z34&lt;=V811設定!$E$6,分析!$Z34&gt;=V811設定!$E$7,F34&gt;=V811設定!$E$8,G34&lt;=V811設定!$E$9),1,0))</f>
      </c>
      <c r="J34">
        <f>IF(A34="","",IF(I34=1,"○ゲート通過",IF(V811設定!$E$11&lt;&gt;1,"― 停止中",IF(C34&gt;V811設定!$E$3,"×値動きが荒い",IF(D34&gt;V811設定!$E$4,"×レンジが広い",IF(E34&gt;V811設定!$E$5,"×窓を開けて上昇",IF(分析!$Z34&gt;V811設定!$E$6,"×前日に急騰",IF(分析!$Z34&lt;V811設定!$E$7,"×前日に急落",IF(F34&lt;V811設定!$E$8,"×高値から離れすぎ",IF(G34&gt;V811設定!$E$9,"×当日の値幅が大きい","×"))))))))))</f>
      </c>
      <c r="K34">
        <f>IF(売分析!$C34="","",売分析!$C34)</f>
      </c>
      <c r="L34">
        <f>IF(売分析!$C34="","",売分析!$D34)</f>
      </c>
      <c r="M34">
        <f>IFERROR((SUM(OFFSET(高値!$E$6,IFERROR(MATCH(売分析!$C34,銘柄管理!$B$6:$B$305,0),MATCH(TEXT(売分析!$C34,"0"),銘柄管理!$B$6:$B$305,0))-1,0,1,14))-SUM(OFFSET(安値!$E$6,IFERROR(MATCH(売分析!$C34,銘柄管理!$B$6:$B$305,0),MATCH(TEXT(売分析!$C34,"0"),銘柄管理!$B$6:$B$305,0))-1,0,1,14)))/SUM(OFFSET(終値!$E$6,IFERROR(MATCH(売分析!$C34,銘柄管理!$B$6:$B$305,0),MATCH(TEXT(売分析!$C34,"0"),銘柄管理!$B$6:$B$305,0))-1,0,1,14))*100,"")</f>
      </c>
      <c r="N34">
        <f>IFERROR((MAX(OFFSET(高値!$E$6,IFERROR(MATCH(売分析!$C34,銘柄管理!$B$6:$B$305,0),MATCH(TEXT(売分析!$C34,"0"),銘柄管理!$B$6:$B$305,0))-1,0,1,25))-MIN(OFFSET(安値!$E$6,IFERROR(MATCH(売分析!$C34,銘柄管理!$B$6:$B$305,0),MATCH(TEXT(売分析!$C34,"0"),銘柄管理!$B$6:$B$305,0))-1,0,1,25)))/売分析!$E34*100,"")</f>
      </c>
      <c r="O34">
        <f>IFERROR((売分析!$F34-売分析!$G34)/売分析!$G34*100,"")</f>
      </c>
      <c r="P34">
        <f>IFERROR((売分析!$E34-MAX(OFFSET(高値!$E$6,IFERROR(MATCH(売分析!$C34,銘柄管理!$B$6:$B$305,0),MATCH(TEXT(売分析!$C34,"0"),銘柄管理!$B$6:$B$305,0))-1,0,1,25)))/MAX(OFFSET(高値!$E$6,IFERROR(MATCH(売分析!$C34,銘柄管理!$B$6:$B$305,0),MATCH(TEXT(売分析!$C34,"0"),銘柄管理!$B$6:$B$305,0))-1,0,1,25))*100,"")</f>
      </c>
      <c r="Q34">
        <f>IFERROR((売分析!$H34-売分析!$I34)/売分析!$F34*100,"")</f>
      </c>
      <c r="R34">
        <f>IFERROR(5-COUNTIF($M$3:$M$206,"&lt;"&amp;$M34)/COUNT($M$3:$M$206)-COUNTIF($Q$3:$Q$206,"&lt;"&amp;$Q34)/COUNT($Q$3:$Q$206)-COUNTIF($N$3:$N$206,"&lt;"&amp;$N34)/COUNT($N$3:$N$206)-COUNTIF(売分析!$Z$3:$Z$206,"&lt;"&amp;売分析!$Z34)/COUNT(売分析!$Z$3:$Z$206)-COUNTIF($O$3:$O$206,"&lt;"&amp;$O34)/COUNT($O$3:$O$206),"")</f>
      </c>
      <c r="S34">
        <f>IF(OR(K34="",K34="TOPX",M34="",R34=""),0,IF(AND(V811設定!$E$12=1,M34&lt;=V811設定!$E$3,N34&lt;=V811設定!$E$4,O34&lt;=V811設定!$E$5,売分析!$Z34&lt;=V811設定!$E$6,売分析!$Z34&gt;=V811設定!$E$7,P34&gt;=V811設定!$E$8,Q34&lt;=V811設定!$E$9),1,0))</f>
      </c>
      <c r="T34">
        <f>IF(K34="","",IF(S34=1,"○ゲート通過",IF(V811設定!$E$12&lt;&gt;1,"― 停止中",IF(M34&gt;V811設定!$E$3,"×値動きが荒い",IF(N34&gt;V811設定!$E$4,"×レンジが広い",IF(O34&gt;V811設定!$E$5,"×窓を開けて上昇",IF(売分析!$Z34&gt;V811設定!$E$6,"×前日に急騰",IF(売分析!$Z34&lt;V811設定!$E$7,"×前日に急落",IF(P34&lt;V811設定!$E$8,"×高値から離れすぎ",IF(Q34&gt;V811設定!$E$9,"×当日の値幅が大きい","×"))))))))))</f>
      </c>
    </row>
    <row r="35" spans="1:20">
      <c r="A35">
        <f>IF(分析!$C35="","",分析!$C35)</f>
      </c>
      <c r="B35">
        <f>IF(分析!$C35="","",分析!$D35)</f>
      </c>
      <c r="C35">
        <f>IFERROR((SUM(OFFSET(高値!$E$6,IFERROR(MATCH(分析!$C35,銘柄管理!$B$6:$B$305,0),MATCH(TEXT(分析!$C35,"0"),銘柄管理!$B$6:$B$305,0))-1,0,1,14))-SUM(OFFSET(安値!$E$6,IFERROR(MATCH(分析!$C35,銘柄管理!$B$6:$B$305,0),MATCH(TEXT(分析!$C35,"0"),銘柄管理!$B$6:$B$305,0))-1,0,1,14)))/SUM(OFFSET(終値!$E$6,IFERROR(MATCH(分析!$C35,銘柄管理!$B$6:$B$305,0),MATCH(TEXT(分析!$C35,"0"),銘柄管理!$B$6:$B$305,0))-1,0,1,14))*100,"")</f>
      </c>
      <c r="D35">
        <f>IFERROR((MAX(OFFSET(高値!$E$6,IFERROR(MATCH(分析!$C35,銘柄管理!$B$6:$B$305,0),MATCH(TEXT(分析!$C35,"0"),銘柄管理!$B$6:$B$305,0))-1,0,1,25))-MIN(OFFSET(安値!$E$6,IFERROR(MATCH(分析!$C35,銘柄管理!$B$6:$B$305,0),MATCH(TEXT(分析!$C35,"0"),銘柄管理!$B$6:$B$305,0))-1,0,1,25)))/分析!$E35*100,"")</f>
      </c>
      <c r="E35">
        <f>IFERROR((分析!$F35-分析!$G35)/分析!$G35*100,"")</f>
      </c>
      <c r="F35">
        <f>IFERROR((分析!$E35-MAX(OFFSET(高値!$E$6,IFERROR(MATCH(分析!$C35,銘柄管理!$B$6:$B$305,0),MATCH(TEXT(分析!$C35,"0"),銘柄管理!$B$6:$B$305,0))-1,0,1,25)))/MAX(OFFSET(高値!$E$6,IFERROR(MATCH(分析!$C35,銘柄管理!$B$6:$B$305,0),MATCH(TEXT(分析!$C35,"0"),銘柄管理!$B$6:$B$305,0))-1,0,1,25))*100,"")</f>
      </c>
      <c r="G35">
        <f>IFERROR((分析!$H35-分析!$I35)/分析!$F35*100,"")</f>
      </c>
      <c r="H35">
        <f>IFERROR(5-COUNTIF($C$3:$C$206,"&lt;"&amp;$C35)/COUNT($C$3:$C$206)-COUNTIF($G$3:$G$206,"&lt;"&amp;$G35)/COUNT($G$3:$G$206)-COUNTIF($D$3:$D$206,"&lt;"&amp;$D35)/COUNT($D$3:$D$206)-COUNTIF(分析!$Z$3:$Z$206,"&lt;"&amp;分析!$Z35)/COUNT(分析!$Z$3:$Z$206)-COUNTIF($E$3:$E$206,"&lt;"&amp;$E35)/COUNT($E$3:$E$206),"")</f>
      </c>
      <c r="I35">
        <f>IF(OR(A35="",A35="TOPX",C35="",H35=""),0,IF(AND(V811設定!$E$11=1,C35&lt;=V811設定!$E$3,D35&lt;=V811設定!$E$4,E35&lt;=V811設定!$E$5,分析!$Z35&lt;=V811設定!$E$6,分析!$Z35&gt;=V811設定!$E$7,F35&gt;=V811設定!$E$8,G35&lt;=V811設定!$E$9),1,0))</f>
      </c>
      <c r="J35">
        <f>IF(A35="","",IF(I35=1,"○ゲート通過",IF(V811設定!$E$11&lt;&gt;1,"― 停止中",IF(C35&gt;V811設定!$E$3,"×値動きが荒い",IF(D35&gt;V811設定!$E$4,"×レンジが広い",IF(E35&gt;V811設定!$E$5,"×窓を開けて上昇",IF(分析!$Z35&gt;V811設定!$E$6,"×前日に急騰",IF(分析!$Z35&lt;V811設定!$E$7,"×前日に急落",IF(F35&lt;V811設定!$E$8,"×高値から離れすぎ",IF(G35&gt;V811設定!$E$9,"×当日の値幅が大きい","×"))))))))))</f>
      </c>
      <c r="K35">
        <f>IF(売分析!$C35="","",売分析!$C35)</f>
      </c>
      <c r="L35">
        <f>IF(売分析!$C35="","",売分析!$D35)</f>
      </c>
      <c r="M35">
        <f>IFERROR((SUM(OFFSET(高値!$E$6,IFERROR(MATCH(売分析!$C35,銘柄管理!$B$6:$B$305,0),MATCH(TEXT(売分析!$C35,"0"),銘柄管理!$B$6:$B$305,0))-1,0,1,14))-SUM(OFFSET(安値!$E$6,IFERROR(MATCH(売分析!$C35,銘柄管理!$B$6:$B$305,0),MATCH(TEXT(売分析!$C35,"0"),銘柄管理!$B$6:$B$305,0))-1,0,1,14)))/SUM(OFFSET(終値!$E$6,IFERROR(MATCH(売分析!$C35,銘柄管理!$B$6:$B$305,0),MATCH(TEXT(売分析!$C35,"0"),銘柄管理!$B$6:$B$305,0))-1,0,1,14))*100,"")</f>
      </c>
      <c r="N35">
        <f>IFERROR((MAX(OFFSET(高値!$E$6,IFERROR(MATCH(売分析!$C35,銘柄管理!$B$6:$B$305,0),MATCH(TEXT(売分析!$C35,"0"),銘柄管理!$B$6:$B$305,0))-1,0,1,25))-MIN(OFFSET(安値!$E$6,IFERROR(MATCH(売分析!$C35,銘柄管理!$B$6:$B$305,0),MATCH(TEXT(売分析!$C35,"0"),銘柄管理!$B$6:$B$305,0))-1,0,1,25)))/売分析!$E35*100,"")</f>
      </c>
      <c r="O35">
        <f>IFERROR((売分析!$F35-売分析!$G35)/売分析!$G35*100,"")</f>
      </c>
      <c r="P35">
        <f>IFERROR((売分析!$E35-MAX(OFFSET(高値!$E$6,IFERROR(MATCH(売分析!$C35,銘柄管理!$B$6:$B$305,0),MATCH(TEXT(売分析!$C35,"0"),銘柄管理!$B$6:$B$305,0))-1,0,1,25)))/MAX(OFFSET(高値!$E$6,IFERROR(MATCH(売分析!$C35,銘柄管理!$B$6:$B$305,0),MATCH(TEXT(売分析!$C35,"0"),銘柄管理!$B$6:$B$305,0))-1,0,1,25))*100,"")</f>
      </c>
      <c r="Q35">
        <f>IFERROR((売分析!$H35-売分析!$I35)/売分析!$F35*100,"")</f>
      </c>
      <c r="R35">
        <f>IFERROR(5-COUNTIF($M$3:$M$206,"&lt;"&amp;$M35)/COUNT($M$3:$M$206)-COUNTIF($Q$3:$Q$206,"&lt;"&amp;$Q35)/COUNT($Q$3:$Q$206)-COUNTIF($N$3:$N$206,"&lt;"&amp;$N35)/COUNT($N$3:$N$206)-COUNTIF(売分析!$Z$3:$Z$206,"&lt;"&amp;売分析!$Z35)/COUNT(売分析!$Z$3:$Z$206)-COUNTIF($O$3:$O$206,"&lt;"&amp;$O35)/COUNT($O$3:$O$206),"")</f>
      </c>
      <c r="S35">
        <f>IF(OR(K35="",K35="TOPX",M35="",R35=""),0,IF(AND(V811設定!$E$12=1,M35&lt;=V811設定!$E$3,N35&lt;=V811設定!$E$4,O35&lt;=V811設定!$E$5,売分析!$Z35&lt;=V811設定!$E$6,売分析!$Z35&gt;=V811設定!$E$7,P35&gt;=V811設定!$E$8,Q35&lt;=V811設定!$E$9),1,0))</f>
      </c>
      <c r="T35">
        <f>IF(K35="","",IF(S35=1,"○ゲート通過",IF(V811設定!$E$12&lt;&gt;1,"― 停止中",IF(M35&gt;V811設定!$E$3,"×値動きが荒い",IF(N35&gt;V811設定!$E$4,"×レンジが広い",IF(O35&gt;V811設定!$E$5,"×窓を開けて上昇",IF(売分析!$Z35&gt;V811設定!$E$6,"×前日に急騰",IF(売分析!$Z35&lt;V811設定!$E$7,"×前日に急落",IF(P35&lt;V811設定!$E$8,"×高値から離れすぎ",IF(Q35&gt;V811設定!$E$9,"×当日の値幅が大きい","×"))))))))))</f>
      </c>
    </row>
    <row r="36" spans="1:20">
      <c r="A36">
        <f>IF(分析!$C36="","",分析!$C36)</f>
      </c>
      <c r="B36">
        <f>IF(分析!$C36="","",分析!$D36)</f>
      </c>
      <c r="C36">
        <f>IFERROR((SUM(OFFSET(高値!$E$6,IFERROR(MATCH(分析!$C36,銘柄管理!$B$6:$B$305,0),MATCH(TEXT(分析!$C36,"0"),銘柄管理!$B$6:$B$305,0))-1,0,1,14))-SUM(OFFSET(安値!$E$6,IFERROR(MATCH(分析!$C36,銘柄管理!$B$6:$B$305,0),MATCH(TEXT(分析!$C36,"0"),銘柄管理!$B$6:$B$305,0))-1,0,1,14)))/SUM(OFFSET(終値!$E$6,IFERROR(MATCH(分析!$C36,銘柄管理!$B$6:$B$305,0),MATCH(TEXT(分析!$C36,"0"),銘柄管理!$B$6:$B$305,0))-1,0,1,14))*100,"")</f>
      </c>
      <c r="D36">
        <f>IFERROR((MAX(OFFSET(高値!$E$6,IFERROR(MATCH(分析!$C36,銘柄管理!$B$6:$B$305,0),MATCH(TEXT(分析!$C36,"0"),銘柄管理!$B$6:$B$305,0))-1,0,1,25))-MIN(OFFSET(安値!$E$6,IFERROR(MATCH(分析!$C36,銘柄管理!$B$6:$B$305,0),MATCH(TEXT(分析!$C36,"0"),銘柄管理!$B$6:$B$305,0))-1,0,1,25)))/分析!$E36*100,"")</f>
      </c>
      <c r="E36">
        <f>IFERROR((分析!$F36-分析!$G36)/分析!$G36*100,"")</f>
      </c>
      <c r="F36">
        <f>IFERROR((分析!$E36-MAX(OFFSET(高値!$E$6,IFERROR(MATCH(分析!$C36,銘柄管理!$B$6:$B$305,0),MATCH(TEXT(分析!$C36,"0"),銘柄管理!$B$6:$B$305,0))-1,0,1,25)))/MAX(OFFSET(高値!$E$6,IFERROR(MATCH(分析!$C36,銘柄管理!$B$6:$B$305,0),MATCH(TEXT(分析!$C36,"0"),銘柄管理!$B$6:$B$305,0))-1,0,1,25))*100,"")</f>
      </c>
      <c r="G36">
        <f>IFERROR((分析!$H36-分析!$I36)/分析!$F36*100,"")</f>
      </c>
      <c r="H36">
        <f>IFERROR(5-COUNTIF($C$3:$C$206,"&lt;"&amp;$C36)/COUNT($C$3:$C$206)-COUNTIF($G$3:$G$206,"&lt;"&amp;$G36)/COUNT($G$3:$G$206)-COUNTIF($D$3:$D$206,"&lt;"&amp;$D36)/COUNT($D$3:$D$206)-COUNTIF(分析!$Z$3:$Z$206,"&lt;"&amp;分析!$Z36)/COUNT(分析!$Z$3:$Z$206)-COUNTIF($E$3:$E$206,"&lt;"&amp;$E36)/COUNT($E$3:$E$206),"")</f>
      </c>
      <c r="I36">
        <f>IF(OR(A36="",A36="TOPX",C36="",H36=""),0,IF(AND(V811設定!$E$11=1,C36&lt;=V811設定!$E$3,D36&lt;=V811設定!$E$4,E36&lt;=V811設定!$E$5,分析!$Z36&lt;=V811設定!$E$6,分析!$Z36&gt;=V811設定!$E$7,F36&gt;=V811設定!$E$8,G36&lt;=V811設定!$E$9),1,0))</f>
      </c>
      <c r="J36">
        <f>IF(A36="","",IF(I36=1,"○ゲート通過",IF(V811設定!$E$11&lt;&gt;1,"― 停止中",IF(C36&gt;V811設定!$E$3,"×値動きが荒い",IF(D36&gt;V811設定!$E$4,"×レンジが広い",IF(E36&gt;V811設定!$E$5,"×窓を開けて上昇",IF(分析!$Z36&gt;V811設定!$E$6,"×前日に急騰",IF(分析!$Z36&lt;V811設定!$E$7,"×前日に急落",IF(F36&lt;V811設定!$E$8,"×高値から離れすぎ",IF(G36&gt;V811設定!$E$9,"×当日の値幅が大きい","×"))))))))))</f>
      </c>
      <c r="K36">
        <f>IF(売分析!$C36="","",売分析!$C36)</f>
      </c>
      <c r="L36">
        <f>IF(売分析!$C36="","",売分析!$D36)</f>
      </c>
      <c r="M36">
        <f>IFERROR((SUM(OFFSET(高値!$E$6,IFERROR(MATCH(売分析!$C36,銘柄管理!$B$6:$B$305,0),MATCH(TEXT(売分析!$C36,"0"),銘柄管理!$B$6:$B$305,0))-1,0,1,14))-SUM(OFFSET(安値!$E$6,IFERROR(MATCH(売分析!$C36,銘柄管理!$B$6:$B$305,0),MATCH(TEXT(売分析!$C36,"0"),銘柄管理!$B$6:$B$305,0))-1,0,1,14)))/SUM(OFFSET(終値!$E$6,IFERROR(MATCH(売分析!$C36,銘柄管理!$B$6:$B$305,0),MATCH(TEXT(売分析!$C36,"0"),銘柄管理!$B$6:$B$305,0))-1,0,1,14))*100,"")</f>
      </c>
      <c r="N36">
        <f>IFERROR((MAX(OFFSET(高値!$E$6,IFERROR(MATCH(売分析!$C36,銘柄管理!$B$6:$B$305,0),MATCH(TEXT(売分析!$C36,"0"),銘柄管理!$B$6:$B$305,0))-1,0,1,25))-MIN(OFFSET(安値!$E$6,IFERROR(MATCH(売分析!$C36,銘柄管理!$B$6:$B$305,0),MATCH(TEXT(売分析!$C36,"0"),銘柄管理!$B$6:$B$305,0))-1,0,1,25)))/売分析!$E36*100,"")</f>
      </c>
      <c r="O36">
        <f>IFERROR((売分析!$F36-売分析!$G36)/売分析!$G36*100,"")</f>
      </c>
      <c r="P36">
        <f>IFERROR((売分析!$E36-MAX(OFFSET(高値!$E$6,IFERROR(MATCH(売分析!$C36,銘柄管理!$B$6:$B$305,0),MATCH(TEXT(売分析!$C36,"0"),銘柄管理!$B$6:$B$305,0))-1,0,1,25)))/MAX(OFFSET(高値!$E$6,IFERROR(MATCH(売分析!$C36,銘柄管理!$B$6:$B$305,0),MATCH(TEXT(売分析!$C36,"0"),銘柄管理!$B$6:$B$305,0))-1,0,1,25))*100,"")</f>
      </c>
      <c r="Q36">
        <f>IFERROR((売分析!$H36-売分析!$I36)/売分析!$F36*100,"")</f>
      </c>
      <c r="R36">
        <f>IFERROR(5-COUNTIF($M$3:$M$206,"&lt;"&amp;$M36)/COUNT($M$3:$M$206)-COUNTIF($Q$3:$Q$206,"&lt;"&amp;$Q36)/COUNT($Q$3:$Q$206)-COUNTIF($N$3:$N$206,"&lt;"&amp;$N36)/COUNT($N$3:$N$206)-COUNTIF(売分析!$Z$3:$Z$206,"&lt;"&amp;売分析!$Z36)/COUNT(売分析!$Z$3:$Z$206)-COUNTIF($O$3:$O$206,"&lt;"&amp;$O36)/COUNT($O$3:$O$206),"")</f>
      </c>
      <c r="S36">
        <f>IF(OR(K36="",K36="TOPX",M36="",R36=""),0,IF(AND(V811設定!$E$12=1,M36&lt;=V811設定!$E$3,N36&lt;=V811設定!$E$4,O36&lt;=V811設定!$E$5,売分析!$Z36&lt;=V811設定!$E$6,売分析!$Z36&gt;=V811設定!$E$7,P36&gt;=V811設定!$E$8,Q36&lt;=V811設定!$E$9),1,0))</f>
      </c>
      <c r="T36">
        <f>IF(K36="","",IF(S36=1,"○ゲート通過",IF(V811設定!$E$12&lt;&gt;1,"― 停止中",IF(M36&gt;V811設定!$E$3,"×値動きが荒い",IF(N36&gt;V811設定!$E$4,"×レンジが広い",IF(O36&gt;V811設定!$E$5,"×窓を開けて上昇",IF(売分析!$Z36&gt;V811設定!$E$6,"×前日に急騰",IF(売分析!$Z36&lt;V811設定!$E$7,"×前日に急落",IF(P36&lt;V811設定!$E$8,"×高値から離れすぎ",IF(Q36&gt;V811設定!$E$9,"×当日の値幅が大きい","×"))))))))))</f>
      </c>
    </row>
    <row r="37" spans="1:20">
      <c r="A37">
        <f>IF(分析!$C37="","",分析!$C37)</f>
      </c>
      <c r="B37">
        <f>IF(分析!$C37="","",分析!$D37)</f>
      </c>
      <c r="C37">
        <f>IFERROR((SUM(OFFSET(高値!$E$6,IFERROR(MATCH(分析!$C37,銘柄管理!$B$6:$B$305,0),MATCH(TEXT(分析!$C37,"0"),銘柄管理!$B$6:$B$305,0))-1,0,1,14))-SUM(OFFSET(安値!$E$6,IFERROR(MATCH(分析!$C37,銘柄管理!$B$6:$B$305,0),MATCH(TEXT(分析!$C37,"0"),銘柄管理!$B$6:$B$305,0))-1,0,1,14)))/SUM(OFFSET(終値!$E$6,IFERROR(MATCH(分析!$C37,銘柄管理!$B$6:$B$305,0),MATCH(TEXT(分析!$C37,"0"),銘柄管理!$B$6:$B$305,0))-1,0,1,14))*100,"")</f>
      </c>
      <c r="D37">
        <f>IFERROR((MAX(OFFSET(高値!$E$6,IFERROR(MATCH(分析!$C37,銘柄管理!$B$6:$B$305,0),MATCH(TEXT(分析!$C37,"0"),銘柄管理!$B$6:$B$305,0))-1,0,1,25))-MIN(OFFSET(安値!$E$6,IFERROR(MATCH(分析!$C37,銘柄管理!$B$6:$B$305,0),MATCH(TEXT(分析!$C37,"0"),銘柄管理!$B$6:$B$305,0))-1,0,1,25)))/分析!$E37*100,"")</f>
      </c>
      <c r="E37">
        <f>IFERROR((分析!$F37-分析!$G37)/分析!$G37*100,"")</f>
      </c>
      <c r="F37">
        <f>IFERROR((分析!$E37-MAX(OFFSET(高値!$E$6,IFERROR(MATCH(分析!$C37,銘柄管理!$B$6:$B$305,0),MATCH(TEXT(分析!$C37,"0"),銘柄管理!$B$6:$B$305,0))-1,0,1,25)))/MAX(OFFSET(高値!$E$6,IFERROR(MATCH(分析!$C37,銘柄管理!$B$6:$B$305,0),MATCH(TEXT(分析!$C37,"0"),銘柄管理!$B$6:$B$305,0))-1,0,1,25))*100,"")</f>
      </c>
      <c r="G37">
        <f>IFERROR((分析!$H37-分析!$I37)/分析!$F37*100,"")</f>
      </c>
      <c r="H37">
        <f>IFERROR(5-COUNTIF($C$3:$C$206,"&lt;"&amp;$C37)/COUNT($C$3:$C$206)-COUNTIF($G$3:$G$206,"&lt;"&amp;$G37)/COUNT($G$3:$G$206)-COUNTIF($D$3:$D$206,"&lt;"&amp;$D37)/COUNT($D$3:$D$206)-COUNTIF(分析!$Z$3:$Z$206,"&lt;"&amp;分析!$Z37)/COUNT(分析!$Z$3:$Z$206)-COUNTIF($E$3:$E$206,"&lt;"&amp;$E37)/COUNT($E$3:$E$206),"")</f>
      </c>
      <c r="I37">
        <f>IF(OR(A37="",A37="TOPX",C37="",H37=""),0,IF(AND(V811設定!$E$11=1,C37&lt;=V811設定!$E$3,D37&lt;=V811設定!$E$4,E37&lt;=V811設定!$E$5,分析!$Z37&lt;=V811設定!$E$6,分析!$Z37&gt;=V811設定!$E$7,F37&gt;=V811設定!$E$8,G37&lt;=V811設定!$E$9),1,0))</f>
      </c>
      <c r="J37">
        <f>IF(A37="","",IF(I37=1,"○ゲート通過",IF(V811設定!$E$11&lt;&gt;1,"― 停止中",IF(C37&gt;V811設定!$E$3,"×値動きが荒い",IF(D37&gt;V811設定!$E$4,"×レンジが広い",IF(E37&gt;V811設定!$E$5,"×窓を開けて上昇",IF(分析!$Z37&gt;V811設定!$E$6,"×前日に急騰",IF(分析!$Z37&lt;V811設定!$E$7,"×前日に急落",IF(F37&lt;V811設定!$E$8,"×高値から離れすぎ",IF(G37&gt;V811設定!$E$9,"×当日の値幅が大きい","×"))))))))))</f>
      </c>
      <c r="K37">
        <f>IF(売分析!$C37="","",売分析!$C37)</f>
      </c>
      <c r="L37">
        <f>IF(売分析!$C37="","",売分析!$D37)</f>
      </c>
      <c r="M37">
        <f>IFERROR((SUM(OFFSET(高値!$E$6,IFERROR(MATCH(売分析!$C37,銘柄管理!$B$6:$B$305,0),MATCH(TEXT(売分析!$C37,"0"),銘柄管理!$B$6:$B$305,0))-1,0,1,14))-SUM(OFFSET(安値!$E$6,IFERROR(MATCH(売分析!$C37,銘柄管理!$B$6:$B$305,0),MATCH(TEXT(売分析!$C37,"0"),銘柄管理!$B$6:$B$305,0))-1,0,1,14)))/SUM(OFFSET(終値!$E$6,IFERROR(MATCH(売分析!$C37,銘柄管理!$B$6:$B$305,0),MATCH(TEXT(売分析!$C37,"0"),銘柄管理!$B$6:$B$305,0))-1,0,1,14))*100,"")</f>
      </c>
      <c r="N37">
        <f>IFERROR((MAX(OFFSET(高値!$E$6,IFERROR(MATCH(売分析!$C37,銘柄管理!$B$6:$B$305,0),MATCH(TEXT(売分析!$C37,"0"),銘柄管理!$B$6:$B$305,0))-1,0,1,25))-MIN(OFFSET(安値!$E$6,IFERROR(MATCH(売分析!$C37,銘柄管理!$B$6:$B$305,0),MATCH(TEXT(売分析!$C37,"0"),銘柄管理!$B$6:$B$305,0))-1,0,1,25)))/売分析!$E37*100,"")</f>
      </c>
      <c r="O37">
        <f>IFERROR((売分析!$F37-売分析!$G37)/売分析!$G37*100,"")</f>
      </c>
      <c r="P37">
        <f>IFERROR((売分析!$E37-MAX(OFFSET(高値!$E$6,IFERROR(MATCH(売分析!$C37,銘柄管理!$B$6:$B$305,0),MATCH(TEXT(売分析!$C37,"0"),銘柄管理!$B$6:$B$305,0))-1,0,1,25)))/MAX(OFFSET(高値!$E$6,IFERROR(MATCH(売分析!$C37,銘柄管理!$B$6:$B$305,0),MATCH(TEXT(売分析!$C37,"0"),銘柄管理!$B$6:$B$305,0))-1,0,1,25))*100,"")</f>
      </c>
      <c r="Q37">
        <f>IFERROR((売分析!$H37-売分析!$I37)/売分析!$F37*100,"")</f>
      </c>
      <c r="R37">
        <f>IFERROR(5-COUNTIF($M$3:$M$206,"&lt;"&amp;$M37)/COUNT($M$3:$M$206)-COUNTIF($Q$3:$Q$206,"&lt;"&amp;$Q37)/COUNT($Q$3:$Q$206)-COUNTIF($N$3:$N$206,"&lt;"&amp;$N37)/COUNT($N$3:$N$206)-COUNTIF(売分析!$Z$3:$Z$206,"&lt;"&amp;売分析!$Z37)/COUNT(売分析!$Z$3:$Z$206)-COUNTIF($O$3:$O$206,"&lt;"&amp;$O37)/COUNT($O$3:$O$206),"")</f>
      </c>
      <c r="S37">
        <f>IF(OR(K37="",K37="TOPX",M37="",R37=""),0,IF(AND(V811設定!$E$12=1,M37&lt;=V811設定!$E$3,N37&lt;=V811設定!$E$4,O37&lt;=V811設定!$E$5,売分析!$Z37&lt;=V811設定!$E$6,売分析!$Z37&gt;=V811設定!$E$7,P37&gt;=V811設定!$E$8,Q37&lt;=V811設定!$E$9),1,0))</f>
      </c>
      <c r="T37">
        <f>IF(K37="","",IF(S37=1,"○ゲート通過",IF(V811設定!$E$12&lt;&gt;1,"― 停止中",IF(M37&gt;V811設定!$E$3,"×値動きが荒い",IF(N37&gt;V811設定!$E$4,"×レンジが広い",IF(O37&gt;V811設定!$E$5,"×窓を開けて上昇",IF(売分析!$Z37&gt;V811設定!$E$6,"×前日に急騰",IF(売分析!$Z37&lt;V811設定!$E$7,"×前日に急落",IF(P37&lt;V811設定!$E$8,"×高値から離れすぎ",IF(Q37&gt;V811設定!$E$9,"×当日の値幅が大きい","×"))))))))))</f>
      </c>
    </row>
    <row r="38" spans="1:20">
      <c r="A38">
        <f>IF(分析!$C38="","",分析!$C38)</f>
      </c>
      <c r="B38">
        <f>IF(分析!$C38="","",分析!$D38)</f>
      </c>
      <c r="C38">
        <f>IFERROR((SUM(OFFSET(高値!$E$6,IFERROR(MATCH(分析!$C38,銘柄管理!$B$6:$B$305,0),MATCH(TEXT(分析!$C38,"0"),銘柄管理!$B$6:$B$305,0))-1,0,1,14))-SUM(OFFSET(安値!$E$6,IFERROR(MATCH(分析!$C38,銘柄管理!$B$6:$B$305,0),MATCH(TEXT(分析!$C38,"0"),銘柄管理!$B$6:$B$305,0))-1,0,1,14)))/SUM(OFFSET(終値!$E$6,IFERROR(MATCH(分析!$C38,銘柄管理!$B$6:$B$305,0),MATCH(TEXT(分析!$C38,"0"),銘柄管理!$B$6:$B$305,0))-1,0,1,14))*100,"")</f>
      </c>
      <c r="D38">
        <f>IFERROR((MAX(OFFSET(高値!$E$6,IFERROR(MATCH(分析!$C38,銘柄管理!$B$6:$B$305,0),MATCH(TEXT(分析!$C38,"0"),銘柄管理!$B$6:$B$305,0))-1,0,1,25))-MIN(OFFSET(安値!$E$6,IFERROR(MATCH(分析!$C38,銘柄管理!$B$6:$B$305,0),MATCH(TEXT(分析!$C38,"0"),銘柄管理!$B$6:$B$305,0))-1,0,1,25)))/分析!$E38*100,"")</f>
      </c>
      <c r="E38">
        <f>IFERROR((分析!$F38-分析!$G38)/分析!$G38*100,"")</f>
      </c>
      <c r="F38">
        <f>IFERROR((分析!$E38-MAX(OFFSET(高値!$E$6,IFERROR(MATCH(分析!$C38,銘柄管理!$B$6:$B$305,0),MATCH(TEXT(分析!$C38,"0"),銘柄管理!$B$6:$B$305,0))-1,0,1,25)))/MAX(OFFSET(高値!$E$6,IFERROR(MATCH(分析!$C38,銘柄管理!$B$6:$B$305,0),MATCH(TEXT(分析!$C38,"0"),銘柄管理!$B$6:$B$305,0))-1,0,1,25))*100,"")</f>
      </c>
      <c r="G38">
        <f>IFERROR((分析!$H38-分析!$I38)/分析!$F38*100,"")</f>
      </c>
      <c r="H38">
        <f>IFERROR(5-COUNTIF($C$3:$C$206,"&lt;"&amp;$C38)/COUNT($C$3:$C$206)-COUNTIF($G$3:$G$206,"&lt;"&amp;$G38)/COUNT($G$3:$G$206)-COUNTIF($D$3:$D$206,"&lt;"&amp;$D38)/COUNT($D$3:$D$206)-COUNTIF(分析!$Z$3:$Z$206,"&lt;"&amp;分析!$Z38)/COUNT(分析!$Z$3:$Z$206)-COUNTIF($E$3:$E$206,"&lt;"&amp;$E38)/COUNT($E$3:$E$206),"")</f>
      </c>
      <c r="I38">
        <f>IF(OR(A38="",A38="TOPX",C38="",H38=""),0,IF(AND(V811設定!$E$11=1,C38&lt;=V811設定!$E$3,D38&lt;=V811設定!$E$4,E38&lt;=V811設定!$E$5,分析!$Z38&lt;=V811設定!$E$6,分析!$Z38&gt;=V811設定!$E$7,F38&gt;=V811設定!$E$8,G38&lt;=V811設定!$E$9),1,0))</f>
      </c>
      <c r="J38">
        <f>IF(A38="","",IF(I38=1,"○ゲート通過",IF(V811設定!$E$11&lt;&gt;1,"― 停止中",IF(C38&gt;V811設定!$E$3,"×値動きが荒い",IF(D38&gt;V811設定!$E$4,"×レンジが広い",IF(E38&gt;V811設定!$E$5,"×窓を開けて上昇",IF(分析!$Z38&gt;V811設定!$E$6,"×前日に急騰",IF(分析!$Z38&lt;V811設定!$E$7,"×前日に急落",IF(F38&lt;V811設定!$E$8,"×高値から離れすぎ",IF(G38&gt;V811設定!$E$9,"×当日の値幅が大きい","×"))))))))))</f>
      </c>
      <c r="K38">
        <f>IF(売分析!$C38="","",売分析!$C38)</f>
      </c>
      <c r="L38">
        <f>IF(売分析!$C38="","",売分析!$D38)</f>
      </c>
      <c r="M38">
        <f>IFERROR((SUM(OFFSET(高値!$E$6,IFERROR(MATCH(売分析!$C38,銘柄管理!$B$6:$B$305,0),MATCH(TEXT(売分析!$C38,"0"),銘柄管理!$B$6:$B$305,0))-1,0,1,14))-SUM(OFFSET(安値!$E$6,IFERROR(MATCH(売分析!$C38,銘柄管理!$B$6:$B$305,0),MATCH(TEXT(売分析!$C38,"0"),銘柄管理!$B$6:$B$305,0))-1,0,1,14)))/SUM(OFFSET(終値!$E$6,IFERROR(MATCH(売分析!$C38,銘柄管理!$B$6:$B$305,0),MATCH(TEXT(売分析!$C38,"0"),銘柄管理!$B$6:$B$305,0))-1,0,1,14))*100,"")</f>
      </c>
      <c r="N38">
        <f>IFERROR((MAX(OFFSET(高値!$E$6,IFERROR(MATCH(売分析!$C38,銘柄管理!$B$6:$B$305,0),MATCH(TEXT(売分析!$C38,"0"),銘柄管理!$B$6:$B$305,0))-1,0,1,25))-MIN(OFFSET(安値!$E$6,IFERROR(MATCH(売分析!$C38,銘柄管理!$B$6:$B$305,0),MATCH(TEXT(売分析!$C38,"0"),銘柄管理!$B$6:$B$305,0))-1,0,1,25)))/売分析!$E38*100,"")</f>
      </c>
      <c r="O38">
        <f>IFERROR((売分析!$F38-売分析!$G38)/売分析!$G38*100,"")</f>
      </c>
      <c r="P38">
        <f>IFERROR((売分析!$E38-MAX(OFFSET(高値!$E$6,IFERROR(MATCH(売分析!$C38,銘柄管理!$B$6:$B$305,0),MATCH(TEXT(売分析!$C38,"0"),銘柄管理!$B$6:$B$305,0))-1,0,1,25)))/MAX(OFFSET(高値!$E$6,IFERROR(MATCH(売分析!$C38,銘柄管理!$B$6:$B$305,0),MATCH(TEXT(売分析!$C38,"0"),銘柄管理!$B$6:$B$305,0))-1,0,1,25))*100,"")</f>
      </c>
      <c r="Q38">
        <f>IFERROR((売分析!$H38-売分析!$I38)/売分析!$F38*100,"")</f>
      </c>
      <c r="R38">
        <f>IFERROR(5-COUNTIF($M$3:$M$206,"&lt;"&amp;$M38)/COUNT($M$3:$M$206)-COUNTIF($Q$3:$Q$206,"&lt;"&amp;$Q38)/COUNT($Q$3:$Q$206)-COUNTIF($N$3:$N$206,"&lt;"&amp;$N38)/COUNT($N$3:$N$206)-COUNTIF(売分析!$Z$3:$Z$206,"&lt;"&amp;売分析!$Z38)/COUNT(売分析!$Z$3:$Z$206)-COUNTIF($O$3:$O$206,"&lt;"&amp;$O38)/COUNT($O$3:$O$206),"")</f>
      </c>
      <c r="S38">
        <f>IF(OR(K38="",K38="TOPX",M38="",R38=""),0,IF(AND(V811設定!$E$12=1,M38&lt;=V811設定!$E$3,N38&lt;=V811設定!$E$4,O38&lt;=V811設定!$E$5,売分析!$Z38&lt;=V811設定!$E$6,売分析!$Z38&gt;=V811設定!$E$7,P38&gt;=V811設定!$E$8,Q38&lt;=V811設定!$E$9),1,0))</f>
      </c>
      <c r="T38">
        <f>IF(K38="","",IF(S38=1,"○ゲート通過",IF(V811設定!$E$12&lt;&gt;1,"― 停止中",IF(M38&gt;V811設定!$E$3,"×値動きが荒い",IF(N38&gt;V811設定!$E$4,"×レンジが広い",IF(O38&gt;V811設定!$E$5,"×窓を開けて上昇",IF(売分析!$Z38&gt;V811設定!$E$6,"×前日に急騰",IF(売分析!$Z38&lt;V811設定!$E$7,"×前日に急落",IF(P38&lt;V811設定!$E$8,"×高値から離れすぎ",IF(Q38&gt;V811設定!$E$9,"×当日の値幅が大きい","×"))))))))))</f>
      </c>
    </row>
    <row r="39" spans="1:20">
      <c r="A39">
        <f>IF(分析!$C39="","",分析!$C39)</f>
      </c>
      <c r="B39">
        <f>IF(分析!$C39="","",分析!$D39)</f>
      </c>
      <c r="C39">
        <f>IFERROR((SUM(OFFSET(高値!$E$6,IFERROR(MATCH(分析!$C39,銘柄管理!$B$6:$B$305,0),MATCH(TEXT(分析!$C39,"0"),銘柄管理!$B$6:$B$305,0))-1,0,1,14))-SUM(OFFSET(安値!$E$6,IFERROR(MATCH(分析!$C39,銘柄管理!$B$6:$B$305,0),MATCH(TEXT(分析!$C39,"0"),銘柄管理!$B$6:$B$305,0))-1,0,1,14)))/SUM(OFFSET(終値!$E$6,IFERROR(MATCH(分析!$C39,銘柄管理!$B$6:$B$305,0),MATCH(TEXT(分析!$C39,"0"),銘柄管理!$B$6:$B$305,0))-1,0,1,14))*100,"")</f>
      </c>
      <c r="D39">
        <f>IFERROR((MAX(OFFSET(高値!$E$6,IFERROR(MATCH(分析!$C39,銘柄管理!$B$6:$B$305,0),MATCH(TEXT(分析!$C39,"0"),銘柄管理!$B$6:$B$305,0))-1,0,1,25))-MIN(OFFSET(安値!$E$6,IFERROR(MATCH(分析!$C39,銘柄管理!$B$6:$B$305,0),MATCH(TEXT(分析!$C39,"0"),銘柄管理!$B$6:$B$305,0))-1,0,1,25)))/分析!$E39*100,"")</f>
      </c>
      <c r="E39">
        <f>IFERROR((分析!$F39-分析!$G39)/分析!$G39*100,"")</f>
      </c>
      <c r="F39">
        <f>IFERROR((分析!$E39-MAX(OFFSET(高値!$E$6,IFERROR(MATCH(分析!$C39,銘柄管理!$B$6:$B$305,0),MATCH(TEXT(分析!$C39,"0"),銘柄管理!$B$6:$B$305,0))-1,0,1,25)))/MAX(OFFSET(高値!$E$6,IFERROR(MATCH(分析!$C39,銘柄管理!$B$6:$B$305,0),MATCH(TEXT(分析!$C39,"0"),銘柄管理!$B$6:$B$305,0))-1,0,1,25))*100,"")</f>
      </c>
      <c r="G39">
        <f>IFERROR((分析!$H39-分析!$I39)/分析!$F39*100,"")</f>
      </c>
      <c r="H39">
        <f>IFERROR(5-COUNTIF($C$3:$C$206,"&lt;"&amp;$C39)/COUNT($C$3:$C$206)-COUNTIF($G$3:$G$206,"&lt;"&amp;$G39)/COUNT($G$3:$G$206)-COUNTIF($D$3:$D$206,"&lt;"&amp;$D39)/COUNT($D$3:$D$206)-COUNTIF(分析!$Z$3:$Z$206,"&lt;"&amp;分析!$Z39)/COUNT(分析!$Z$3:$Z$206)-COUNTIF($E$3:$E$206,"&lt;"&amp;$E39)/COUNT($E$3:$E$206),"")</f>
      </c>
      <c r="I39">
        <f>IF(OR(A39="",A39="TOPX",C39="",H39=""),0,IF(AND(V811設定!$E$11=1,C39&lt;=V811設定!$E$3,D39&lt;=V811設定!$E$4,E39&lt;=V811設定!$E$5,分析!$Z39&lt;=V811設定!$E$6,分析!$Z39&gt;=V811設定!$E$7,F39&gt;=V811設定!$E$8,G39&lt;=V811設定!$E$9),1,0))</f>
      </c>
      <c r="J39">
        <f>IF(A39="","",IF(I39=1,"○ゲート通過",IF(V811設定!$E$11&lt;&gt;1,"― 停止中",IF(C39&gt;V811設定!$E$3,"×値動きが荒い",IF(D39&gt;V811設定!$E$4,"×レンジが広い",IF(E39&gt;V811設定!$E$5,"×窓を開けて上昇",IF(分析!$Z39&gt;V811設定!$E$6,"×前日に急騰",IF(分析!$Z39&lt;V811設定!$E$7,"×前日に急落",IF(F39&lt;V811設定!$E$8,"×高値から離れすぎ",IF(G39&gt;V811設定!$E$9,"×当日の値幅が大きい","×"))))))))))</f>
      </c>
      <c r="K39">
        <f>IF(売分析!$C39="","",売分析!$C39)</f>
      </c>
      <c r="L39">
        <f>IF(売分析!$C39="","",売分析!$D39)</f>
      </c>
      <c r="M39">
        <f>IFERROR((SUM(OFFSET(高値!$E$6,IFERROR(MATCH(売分析!$C39,銘柄管理!$B$6:$B$305,0),MATCH(TEXT(売分析!$C39,"0"),銘柄管理!$B$6:$B$305,0))-1,0,1,14))-SUM(OFFSET(安値!$E$6,IFERROR(MATCH(売分析!$C39,銘柄管理!$B$6:$B$305,0),MATCH(TEXT(売分析!$C39,"0"),銘柄管理!$B$6:$B$305,0))-1,0,1,14)))/SUM(OFFSET(終値!$E$6,IFERROR(MATCH(売分析!$C39,銘柄管理!$B$6:$B$305,0),MATCH(TEXT(売分析!$C39,"0"),銘柄管理!$B$6:$B$305,0))-1,0,1,14))*100,"")</f>
      </c>
      <c r="N39">
        <f>IFERROR((MAX(OFFSET(高値!$E$6,IFERROR(MATCH(売分析!$C39,銘柄管理!$B$6:$B$305,0),MATCH(TEXT(売分析!$C39,"0"),銘柄管理!$B$6:$B$305,0))-1,0,1,25))-MIN(OFFSET(安値!$E$6,IFERROR(MATCH(売分析!$C39,銘柄管理!$B$6:$B$305,0),MATCH(TEXT(売分析!$C39,"0"),銘柄管理!$B$6:$B$305,0))-1,0,1,25)))/売分析!$E39*100,"")</f>
      </c>
      <c r="O39">
        <f>IFERROR((売分析!$F39-売分析!$G39)/売分析!$G39*100,"")</f>
      </c>
      <c r="P39">
        <f>IFERROR((売分析!$E39-MAX(OFFSET(高値!$E$6,IFERROR(MATCH(売分析!$C39,銘柄管理!$B$6:$B$305,0),MATCH(TEXT(売分析!$C39,"0"),銘柄管理!$B$6:$B$305,0))-1,0,1,25)))/MAX(OFFSET(高値!$E$6,IFERROR(MATCH(売分析!$C39,銘柄管理!$B$6:$B$305,0),MATCH(TEXT(売分析!$C39,"0"),銘柄管理!$B$6:$B$305,0))-1,0,1,25))*100,"")</f>
      </c>
      <c r="Q39">
        <f>IFERROR((売分析!$H39-売分析!$I39)/売分析!$F39*100,"")</f>
      </c>
      <c r="R39">
        <f>IFERROR(5-COUNTIF($M$3:$M$206,"&lt;"&amp;$M39)/COUNT($M$3:$M$206)-COUNTIF($Q$3:$Q$206,"&lt;"&amp;$Q39)/COUNT($Q$3:$Q$206)-COUNTIF($N$3:$N$206,"&lt;"&amp;$N39)/COUNT($N$3:$N$206)-COUNTIF(売分析!$Z$3:$Z$206,"&lt;"&amp;売分析!$Z39)/COUNT(売分析!$Z$3:$Z$206)-COUNTIF($O$3:$O$206,"&lt;"&amp;$O39)/COUNT($O$3:$O$206),"")</f>
      </c>
      <c r="S39">
        <f>IF(OR(K39="",K39="TOPX",M39="",R39=""),0,IF(AND(V811設定!$E$12=1,M39&lt;=V811設定!$E$3,N39&lt;=V811設定!$E$4,O39&lt;=V811設定!$E$5,売分析!$Z39&lt;=V811設定!$E$6,売分析!$Z39&gt;=V811設定!$E$7,P39&gt;=V811設定!$E$8,Q39&lt;=V811設定!$E$9),1,0))</f>
      </c>
      <c r="T39">
        <f>IF(K39="","",IF(S39=1,"○ゲート通過",IF(V811設定!$E$12&lt;&gt;1,"― 停止中",IF(M39&gt;V811設定!$E$3,"×値動きが荒い",IF(N39&gt;V811設定!$E$4,"×レンジが広い",IF(O39&gt;V811設定!$E$5,"×窓を開けて上昇",IF(売分析!$Z39&gt;V811設定!$E$6,"×前日に急騰",IF(売分析!$Z39&lt;V811設定!$E$7,"×前日に急落",IF(P39&lt;V811設定!$E$8,"×高値から離れすぎ",IF(Q39&gt;V811設定!$E$9,"×当日の値幅が大きい","×"))))))))))</f>
      </c>
    </row>
    <row r="40" spans="1:20">
      <c r="A40">
        <f>IF(分析!$C40="","",分析!$C40)</f>
      </c>
      <c r="B40">
        <f>IF(分析!$C40="","",分析!$D40)</f>
      </c>
      <c r="C40">
        <f>IFERROR((SUM(OFFSET(高値!$E$6,IFERROR(MATCH(分析!$C40,銘柄管理!$B$6:$B$305,0),MATCH(TEXT(分析!$C40,"0"),銘柄管理!$B$6:$B$305,0))-1,0,1,14))-SUM(OFFSET(安値!$E$6,IFERROR(MATCH(分析!$C40,銘柄管理!$B$6:$B$305,0),MATCH(TEXT(分析!$C40,"0"),銘柄管理!$B$6:$B$305,0))-1,0,1,14)))/SUM(OFFSET(終値!$E$6,IFERROR(MATCH(分析!$C40,銘柄管理!$B$6:$B$305,0),MATCH(TEXT(分析!$C40,"0"),銘柄管理!$B$6:$B$305,0))-1,0,1,14))*100,"")</f>
      </c>
      <c r="D40">
        <f>IFERROR((MAX(OFFSET(高値!$E$6,IFERROR(MATCH(分析!$C40,銘柄管理!$B$6:$B$305,0),MATCH(TEXT(分析!$C40,"0"),銘柄管理!$B$6:$B$305,0))-1,0,1,25))-MIN(OFFSET(安値!$E$6,IFERROR(MATCH(分析!$C40,銘柄管理!$B$6:$B$305,0),MATCH(TEXT(分析!$C40,"0"),銘柄管理!$B$6:$B$305,0))-1,0,1,25)))/分析!$E40*100,"")</f>
      </c>
      <c r="E40">
        <f>IFERROR((分析!$F40-分析!$G40)/分析!$G40*100,"")</f>
      </c>
      <c r="F40">
        <f>IFERROR((分析!$E40-MAX(OFFSET(高値!$E$6,IFERROR(MATCH(分析!$C40,銘柄管理!$B$6:$B$305,0),MATCH(TEXT(分析!$C40,"0"),銘柄管理!$B$6:$B$305,0))-1,0,1,25)))/MAX(OFFSET(高値!$E$6,IFERROR(MATCH(分析!$C40,銘柄管理!$B$6:$B$305,0),MATCH(TEXT(分析!$C40,"0"),銘柄管理!$B$6:$B$305,0))-1,0,1,25))*100,"")</f>
      </c>
      <c r="G40">
        <f>IFERROR((分析!$H40-分析!$I40)/分析!$F40*100,"")</f>
      </c>
      <c r="H40">
        <f>IFERROR(5-COUNTIF($C$3:$C$206,"&lt;"&amp;$C40)/COUNT($C$3:$C$206)-COUNTIF($G$3:$G$206,"&lt;"&amp;$G40)/COUNT($G$3:$G$206)-COUNTIF($D$3:$D$206,"&lt;"&amp;$D40)/COUNT($D$3:$D$206)-COUNTIF(分析!$Z$3:$Z$206,"&lt;"&amp;分析!$Z40)/COUNT(分析!$Z$3:$Z$206)-COUNTIF($E$3:$E$206,"&lt;"&amp;$E40)/COUNT($E$3:$E$206),"")</f>
      </c>
      <c r="I40">
        <f>IF(OR(A40="",A40="TOPX",C40="",H40=""),0,IF(AND(V811設定!$E$11=1,C40&lt;=V811設定!$E$3,D40&lt;=V811設定!$E$4,E40&lt;=V811設定!$E$5,分析!$Z40&lt;=V811設定!$E$6,分析!$Z40&gt;=V811設定!$E$7,F40&gt;=V811設定!$E$8,G40&lt;=V811設定!$E$9),1,0))</f>
      </c>
      <c r="J40">
        <f>IF(A40="","",IF(I40=1,"○ゲート通過",IF(V811設定!$E$11&lt;&gt;1,"― 停止中",IF(C40&gt;V811設定!$E$3,"×値動きが荒い",IF(D40&gt;V811設定!$E$4,"×レンジが広い",IF(E40&gt;V811設定!$E$5,"×窓を開けて上昇",IF(分析!$Z40&gt;V811設定!$E$6,"×前日に急騰",IF(分析!$Z40&lt;V811設定!$E$7,"×前日に急落",IF(F40&lt;V811設定!$E$8,"×高値から離れすぎ",IF(G40&gt;V811設定!$E$9,"×当日の値幅が大きい","×"))))))))))</f>
      </c>
      <c r="K40">
        <f>IF(売分析!$C40="","",売分析!$C40)</f>
      </c>
      <c r="L40">
        <f>IF(売分析!$C40="","",売分析!$D40)</f>
      </c>
      <c r="M40">
        <f>IFERROR((SUM(OFFSET(高値!$E$6,IFERROR(MATCH(売分析!$C40,銘柄管理!$B$6:$B$305,0),MATCH(TEXT(売分析!$C40,"0"),銘柄管理!$B$6:$B$305,0))-1,0,1,14))-SUM(OFFSET(安値!$E$6,IFERROR(MATCH(売分析!$C40,銘柄管理!$B$6:$B$305,0),MATCH(TEXT(売分析!$C40,"0"),銘柄管理!$B$6:$B$305,0))-1,0,1,14)))/SUM(OFFSET(終値!$E$6,IFERROR(MATCH(売分析!$C40,銘柄管理!$B$6:$B$305,0),MATCH(TEXT(売分析!$C40,"0"),銘柄管理!$B$6:$B$305,0))-1,0,1,14))*100,"")</f>
      </c>
      <c r="N40">
        <f>IFERROR((MAX(OFFSET(高値!$E$6,IFERROR(MATCH(売分析!$C40,銘柄管理!$B$6:$B$305,0),MATCH(TEXT(売分析!$C40,"0"),銘柄管理!$B$6:$B$305,0))-1,0,1,25))-MIN(OFFSET(安値!$E$6,IFERROR(MATCH(売分析!$C40,銘柄管理!$B$6:$B$305,0),MATCH(TEXT(売分析!$C40,"0"),銘柄管理!$B$6:$B$305,0))-1,0,1,25)))/売分析!$E40*100,"")</f>
      </c>
      <c r="O40">
        <f>IFERROR((売分析!$F40-売分析!$G40)/売分析!$G40*100,"")</f>
      </c>
      <c r="P40">
        <f>IFERROR((売分析!$E40-MAX(OFFSET(高値!$E$6,IFERROR(MATCH(売分析!$C40,銘柄管理!$B$6:$B$305,0),MATCH(TEXT(売分析!$C40,"0"),銘柄管理!$B$6:$B$305,0))-1,0,1,25)))/MAX(OFFSET(高値!$E$6,IFERROR(MATCH(売分析!$C40,銘柄管理!$B$6:$B$305,0),MATCH(TEXT(売分析!$C40,"0"),銘柄管理!$B$6:$B$305,0))-1,0,1,25))*100,"")</f>
      </c>
      <c r="Q40">
        <f>IFERROR((売分析!$H40-売分析!$I40)/売分析!$F40*100,"")</f>
      </c>
      <c r="R40">
        <f>IFERROR(5-COUNTIF($M$3:$M$206,"&lt;"&amp;$M40)/COUNT($M$3:$M$206)-COUNTIF($Q$3:$Q$206,"&lt;"&amp;$Q40)/COUNT($Q$3:$Q$206)-COUNTIF($N$3:$N$206,"&lt;"&amp;$N40)/COUNT($N$3:$N$206)-COUNTIF(売分析!$Z$3:$Z$206,"&lt;"&amp;売分析!$Z40)/COUNT(売分析!$Z$3:$Z$206)-COUNTIF($O$3:$O$206,"&lt;"&amp;$O40)/COUNT($O$3:$O$206),"")</f>
      </c>
      <c r="S40">
        <f>IF(OR(K40="",K40="TOPX",M40="",R40=""),0,IF(AND(V811設定!$E$12=1,M40&lt;=V811設定!$E$3,N40&lt;=V811設定!$E$4,O40&lt;=V811設定!$E$5,売分析!$Z40&lt;=V811設定!$E$6,売分析!$Z40&gt;=V811設定!$E$7,P40&gt;=V811設定!$E$8,Q40&lt;=V811設定!$E$9),1,0))</f>
      </c>
      <c r="T40">
        <f>IF(K40="","",IF(S40=1,"○ゲート通過",IF(V811設定!$E$12&lt;&gt;1,"― 停止中",IF(M40&gt;V811設定!$E$3,"×値動きが荒い",IF(N40&gt;V811設定!$E$4,"×レンジが広い",IF(O40&gt;V811設定!$E$5,"×窓を開けて上昇",IF(売分析!$Z40&gt;V811設定!$E$6,"×前日に急騰",IF(売分析!$Z40&lt;V811設定!$E$7,"×前日に急落",IF(P40&lt;V811設定!$E$8,"×高値から離れすぎ",IF(Q40&gt;V811設定!$E$9,"×当日の値幅が大きい","×"))))))))))</f>
      </c>
    </row>
    <row r="41" spans="1:20">
      <c r="A41">
        <f>IF(分析!$C41="","",分析!$C41)</f>
      </c>
      <c r="B41">
        <f>IF(分析!$C41="","",分析!$D41)</f>
      </c>
      <c r="C41">
        <f>IFERROR((SUM(OFFSET(高値!$E$6,IFERROR(MATCH(分析!$C41,銘柄管理!$B$6:$B$305,0),MATCH(TEXT(分析!$C41,"0"),銘柄管理!$B$6:$B$305,0))-1,0,1,14))-SUM(OFFSET(安値!$E$6,IFERROR(MATCH(分析!$C41,銘柄管理!$B$6:$B$305,0),MATCH(TEXT(分析!$C41,"0"),銘柄管理!$B$6:$B$305,0))-1,0,1,14)))/SUM(OFFSET(終値!$E$6,IFERROR(MATCH(分析!$C41,銘柄管理!$B$6:$B$305,0),MATCH(TEXT(分析!$C41,"0"),銘柄管理!$B$6:$B$305,0))-1,0,1,14))*100,"")</f>
      </c>
      <c r="D41">
        <f>IFERROR((MAX(OFFSET(高値!$E$6,IFERROR(MATCH(分析!$C41,銘柄管理!$B$6:$B$305,0),MATCH(TEXT(分析!$C41,"0"),銘柄管理!$B$6:$B$305,0))-1,0,1,25))-MIN(OFFSET(安値!$E$6,IFERROR(MATCH(分析!$C41,銘柄管理!$B$6:$B$305,0),MATCH(TEXT(分析!$C41,"0"),銘柄管理!$B$6:$B$305,0))-1,0,1,25)))/分析!$E41*100,"")</f>
      </c>
      <c r="E41">
        <f>IFERROR((分析!$F41-分析!$G41)/分析!$G41*100,"")</f>
      </c>
      <c r="F41">
        <f>IFERROR((分析!$E41-MAX(OFFSET(高値!$E$6,IFERROR(MATCH(分析!$C41,銘柄管理!$B$6:$B$305,0),MATCH(TEXT(分析!$C41,"0"),銘柄管理!$B$6:$B$305,0))-1,0,1,25)))/MAX(OFFSET(高値!$E$6,IFERROR(MATCH(分析!$C41,銘柄管理!$B$6:$B$305,0),MATCH(TEXT(分析!$C41,"0"),銘柄管理!$B$6:$B$305,0))-1,0,1,25))*100,"")</f>
      </c>
      <c r="G41">
        <f>IFERROR((分析!$H41-分析!$I41)/分析!$F41*100,"")</f>
      </c>
      <c r="H41">
        <f>IFERROR(5-COUNTIF($C$3:$C$206,"&lt;"&amp;$C41)/COUNT($C$3:$C$206)-COUNTIF($G$3:$G$206,"&lt;"&amp;$G41)/COUNT($G$3:$G$206)-COUNTIF($D$3:$D$206,"&lt;"&amp;$D41)/COUNT($D$3:$D$206)-COUNTIF(分析!$Z$3:$Z$206,"&lt;"&amp;分析!$Z41)/COUNT(分析!$Z$3:$Z$206)-COUNTIF($E$3:$E$206,"&lt;"&amp;$E41)/COUNT($E$3:$E$206),"")</f>
      </c>
      <c r="I41">
        <f>IF(OR(A41="",A41="TOPX",C41="",H41=""),0,IF(AND(V811設定!$E$11=1,C41&lt;=V811設定!$E$3,D41&lt;=V811設定!$E$4,E41&lt;=V811設定!$E$5,分析!$Z41&lt;=V811設定!$E$6,分析!$Z41&gt;=V811設定!$E$7,F41&gt;=V811設定!$E$8,G41&lt;=V811設定!$E$9),1,0))</f>
      </c>
      <c r="J41">
        <f>IF(A41="","",IF(I41=1,"○ゲート通過",IF(V811設定!$E$11&lt;&gt;1,"― 停止中",IF(C41&gt;V811設定!$E$3,"×値動きが荒い",IF(D41&gt;V811設定!$E$4,"×レンジが広い",IF(E41&gt;V811設定!$E$5,"×窓を開けて上昇",IF(分析!$Z41&gt;V811設定!$E$6,"×前日に急騰",IF(分析!$Z41&lt;V811設定!$E$7,"×前日に急落",IF(F41&lt;V811設定!$E$8,"×高値から離れすぎ",IF(G41&gt;V811設定!$E$9,"×当日の値幅が大きい","×"))))))))))</f>
      </c>
      <c r="K41">
        <f>IF(売分析!$C41="","",売分析!$C41)</f>
      </c>
      <c r="L41">
        <f>IF(売分析!$C41="","",売分析!$D41)</f>
      </c>
      <c r="M41">
        <f>IFERROR((SUM(OFFSET(高値!$E$6,IFERROR(MATCH(売分析!$C41,銘柄管理!$B$6:$B$305,0),MATCH(TEXT(売分析!$C41,"0"),銘柄管理!$B$6:$B$305,0))-1,0,1,14))-SUM(OFFSET(安値!$E$6,IFERROR(MATCH(売分析!$C41,銘柄管理!$B$6:$B$305,0),MATCH(TEXT(売分析!$C41,"0"),銘柄管理!$B$6:$B$305,0))-1,0,1,14)))/SUM(OFFSET(終値!$E$6,IFERROR(MATCH(売分析!$C41,銘柄管理!$B$6:$B$305,0),MATCH(TEXT(売分析!$C41,"0"),銘柄管理!$B$6:$B$305,0))-1,0,1,14))*100,"")</f>
      </c>
      <c r="N41">
        <f>IFERROR((MAX(OFFSET(高値!$E$6,IFERROR(MATCH(売分析!$C41,銘柄管理!$B$6:$B$305,0),MATCH(TEXT(売分析!$C41,"0"),銘柄管理!$B$6:$B$305,0))-1,0,1,25))-MIN(OFFSET(安値!$E$6,IFERROR(MATCH(売分析!$C41,銘柄管理!$B$6:$B$305,0),MATCH(TEXT(売分析!$C41,"0"),銘柄管理!$B$6:$B$305,0))-1,0,1,25)))/売分析!$E41*100,"")</f>
      </c>
      <c r="O41">
        <f>IFERROR((売分析!$F41-売分析!$G41)/売分析!$G41*100,"")</f>
      </c>
      <c r="P41">
        <f>IFERROR((売分析!$E41-MAX(OFFSET(高値!$E$6,IFERROR(MATCH(売分析!$C41,銘柄管理!$B$6:$B$305,0),MATCH(TEXT(売分析!$C41,"0"),銘柄管理!$B$6:$B$305,0))-1,0,1,25)))/MAX(OFFSET(高値!$E$6,IFERROR(MATCH(売分析!$C41,銘柄管理!$B$6:$B$305,0),MATCH(TEXT(売分析!$C41,"0"),銘柄管理!$B$6:$B$305,0))-1,0,1,25))*100,"")</f>
      </c>
      <c r="Q41">
        <f>IFERROR((売分析!$H41-売分析!$I41)/売分析!$F41*100,"")</f>
      </c>
      <c r="R41">
        <f>IFERROR(5-COUNTIF($M$3:$M$206,"&lt;"&amp;$M41)/COUNT($M$3:$M$206)-COUNTIF($Q$3:$Q$206,"&lt;"&amp;$Q41)/COUNT($Q$3:$Q$206)-COUNTIF($N$3:$N$206,"&lt;"&amp;$N41)/COUNT($N$3:$N$206)-COUNTIF(売分析!$Z$3:$Z$206,"&lt;"&amp;売分析!$Z41)/COUNT(売分析!$Z$3:$Z$206)-COUNTIF($O$3:$O$206,"&lt;"&amp;$O41)/COUNT($O$3:$O$206),"")</f>
      </c>
      <c r="S41">
        <f>IF(OR(K41="",K41="TOPX",M41="",R41=""),0,IF(AND(V811設定!$E$12=1,M41&lt;=V811設定!$E$3,N41&lt;=V811設定!$E$4,O41&lt;=V811設定!$E$5,売分析!$Z41&lt;=V811設定!$E$6,売分析!$Z41&gt;=V811設定!$E$7,P41&gt;=V811設定!$E$8,Q41&lt;=V811設定!$E$9),1,0))</f>
      </c>
      <c r="T41">
        <f>IF(K41="","",IF(S41=1,"○ゲート通過",IF(V811設定!$E$12&lt;&gt;1,"― 停止中",IF(M41&gt;V811設定!$E$3,"×値動きが荒い",IF(N41&gt;V811設定!$E$4,"×レンジが広い",IF(O41&gt;V811設定!$E$5,"×窓を開けて上昇",IF(売分析!$Z41&gt;V811設定!$E$6,"×前日に急騰",IF(売分析!$Z41&lt;V811設定!$E$7,"×前日に急落",IF(P41&lt;V811設定!$E$8,"×高値から離れすぎ",IF(Q41&gt;V811設定!$E$9,"×当日の値幅が大きい","×"))))))))))</f>
      </c>
    </row>
    <row r="42" spans="1:20">
      <c r="A42">
        <f>IF(分析!$C42="","",分析!$C42)</f>
      </c>
      <c r="B42">
        <f>IF(分析!$C42="","",分析!$D42)</f>
      </c>
      <c r="C42">
        <f>IFERROR((SUM(OFFSET(高値!$E$6,IFERROR(MATCH(分析!$C42,銘柄管理!$B$6:$B$305,0),MATCH(TEXT(分析!$C42,"0"),銘柄管理!$B$6:$B$305,0))-1,0,1,14))-SUM(OFFSET(安値!$E$6,IFERROR(MATCH(分析!$C42,銘柄管理!$B$6:$B$305,0),MATCH(TEXT(分析!$C42,"0"),銘柄管理!$B$6:$B$305,0))-1,0,1,14)))/SUM(OFFSET(終値!$E$6,IFERROR(MATCH(分析!$C42,銘柄管理!$B$6:$B$305,0),MATCH(TEXT(分析!$C42,"0"),銘柄管理!$B$6:$B$305,0))-1,0,1,14))*100,"")</f>
      </c>
      <c r="D42">
        <f>IFERROR((MAX(OFFSET(高値!$E$6,IFERROR(MATCH(分析!$C42,銘柄管理!$B$6:$B$305,0),MATCH(TEXT(分析!$C42,"0"),銘柄管理!$B$6:$B$305,0))-1,0,1,25))-MIN(OFFSET(安値!$E$6,IFERROR(MATCH(分析!$C42,銘柄管理!$B$6:$B$305,0),MATCH(TEXT(分析!$C42,"0"),銘柄管理!$B$6:$B$305,0))-1,0,1,25)))/分析!$E42*100,"")</f>
      </c>
      <c r="E42">
        <f>IFERROR((分析!$F42-分析!$G42)/分析!$G42*100,"")</f>
      </c>
      <c r="F42">
        <f>IFERROR((分析!$E42-MAX(OFFSET(高値!$E$6,IFERROR(MATCH(分析!$C42,銘柄管理!$B$6:$B$305,0),MATCH(TEXT(分析!$C42,"0"),銘柄管理!$B$6:$B$305,0))-1,0,1,25)))/MAX(OFFSET(高値!$E$6,IFERROR(MATCH(分析!$C42,銘柄管理!$B$6:$B$305,0),MATCH(TEXT(分析!$C42,"0"),銘柄管理!$B$6:$B$305,0))-1,0,1,25))*100,"")</f>
      </c>
      <c r="G42">
        <f>IFERROR((分析!$H42-分析!$I42)/分析!$F42*100,"")</f>
      </c>
      <c r="H42">
        <f>IFERROR(5-COUNTIF($C$3:$C$206,"&lt;"&amp;$C42)/COUNT($C$3:$C$206)-COUNTIF($G$3:$G$206,"&lt;"&amp;$G42)/COUNT($G$3:$G$206)-COUNTIF($D$3:$D$206,"&lt;"&amp;$D42)/COUNT($D$3:$D$206)-COUNTIF(分析!$Z$3:$Z$206,"&lt;"&amp;分析!$Z42)/COUNT(分析!$Z$3:$Z$206)-COUNTIF($E$3:$E$206,"&lt;"&amp;$E42)/COUNT($E$3:$E$206),"")</f>
      </c>
      <c r="I42">
        <f>IF(OR(A42="",A42="TOPX",C42="",H42=""),0,IF(AND(V811設定!$E$11=1,C42&lt;=V811設定!$E$3,D42&lt;=V811設定!$E$4,E42&lt;=V811設定!$E$5,分析!$Z42&lt;=V811設定!$E$6,分析!$Z42&gt;=V811設定!$E$7,F42&gt;=V811設定!$E$8,G42&lt;=V811設定!$E$9),1,0))</f>
      </c>
      <c r="J42">
        <f>IF(A42="","",IF(I42=1,"○ゲート通過",IF(V811設定!$E$11&lt;&gt;1,"― 停止中",IF(C42&gt;V811設定!$E$3,"×値動きが荒い",IF(D42&gt;V811設定!$E$4,"×レンジが広い",IF(E42&gt;V811設定!$E$5,"×窓を開けて上昇",IF(分析!$Z42&gt;V811設定!$E$6,"×前日に急騰",IF(分析!$Z42&lt;V811設定!$E$7,"×前日に急落",IF(F42&lt;V811設定!$E$8,"×高値から離れすぎ",IF(G42&gt;V811設定!$E$9,"×当日の値幅が大きい","×"))))))))))</f>
      </c>
      <c r="K42">
        <f>IF(売分析!$C42="","",売分析!$C42)</f>
      </c>
      <c r="L42">
        <f>IF(売分析!$C42="","",売分析!$D42)</f>
      </c>
      <c r="M42">
        <f>IFERROR((SUM(OFFSET(高値!$E$6,IFERROR(MATCH(売分析!$C42,銘柄管理!$B$6:$B$305,0),MATCH(TEXT(売分析!$C42,"0"),銘柄管理!$B$6:$B$305,0))-1,0,1,14))-SUM(OFFSET(安値!$E$6,IFERROR(MATCH(売分析!$C42,銘柄管理!$B$6:$B$305,0),MATCH(TEXT(売分析!$C42,"0"),銘柄管理!$B$6:$B$305,0))-1,0,1,14)))/SUM(OFFSET(終値!$E$6,IFERROR(MATCH(売分析!$C42,銘柄管理!$B$6:$B$305,0),MATCH(TEXT(売分析!$C42,"0"),銘柄管理!$B$6:$B$305,0))-1,0,1,14))*100,"")</f>
      </c>
      <c r="N42">
        <f>IFERROR((MAX(OFFSET(高値!$E$6,IFERROR(MATCH(売分析!$C42,銘柄管理!$B$6:$B$305,0),MATCH(TEXT(売分析!$C42,"0"),銘柄管理!$B$6:$B$305,0))-1,0,1,25))-MIN(OFFSET(安値!$E$6,IFERROR(MATCH(売分析!$C42,銘柄管理!$B$6:$B$305,0),MATCH(TEXT(売分析!$C42,"0"),銘柄管理!$B$6:$B$305,0))-1,0,1,25)))/売分析!$E42*100,"")</f>
      </c>
      <c r="O42">
        <f>IFERROR((売分析!$F42-売分析!$G42)/売分析!$G42*100,"")</f>
      </c>
      <c r="P42">
        <f>IFERROR((売分析!$E42-MAX(OFFSET(高値!$E$6,IFERROR(MATCH(売分析!$C42,銘柄管理!$B$6:$B$305,0),MATCH(TEXT(売分析!$C42,"0"),銘柄管理!$B$6:$B$305,0))-1,0,1,25)))/MAX(OFFSET(高値!$E$6,IFERROR(MATCH(売分析!$C42,銘柄管理!$B$6:$B$305,0),MATCH(TEXT(売分析!$C42,"0"),銘柄管理!$B$6:$B$305,0))-1,0,1,25))*100,"")</f>
      </c>
      <c r="Q42">
        <f>IFERROR((売分析!$H42-売分析!$I42)/売分析!$F42*100,"")</f>
      </c>
      <c r="R42">
        <f>IFERROR(5-COUNTIF($M$3:$M$206,"&lt;"&amp;$M42)/COUNT($M$3:$M$206)-COUNTIF($Q$3:$Q$206,"&lt;"&amp;$Q42)/COUNT($Q$3:$Q$206)-COUNTIF($N$3:$N$206,"&lt;"&amp;$N42)/COUNT($N$3:$N$206)-COUNTIF(売分析!$Z$3:$Z$206,"&lt;"&amp;売分析!$Z42)/COUNT(売分析!$Z$3:$Z$206)-COUNTIF($O$3:$O$206,"&lt;"&amp;$O42)/COUNT($O$3:$O$206),"")</f>
      </c>
      <c r="S42">
        <f>IF(OR(K42="",K42="TOPX",M42="",R42=""),0,IF(AND(V811設定!$E$12=1,M42&lt;=V811設定!$E$3,N42&lt;=V811設定!$E$4,O42&lt;=V811設定!$E$5,売分析!$Z42&lt;=V811設定!$E$6,売分析!$Z42&gt;=V811設定!$E$7,P42&gt;=V811設定!$E$8,Q42&lt;=V811設定!$E$9),1,0))</f>
      </c>
      <c r="T42">
        <f>IF(K42="","",IF(S42=1,"○ゲート通過",IF(V811設定!$E$12&lt;&gt;1,"― 停止中",IF(M42&gt;V811設定!$E$3,"×値動きが荒い",IF(N42&gt;V811設定!$E$4,"×レンジが広い",IF(O42&gt;V811設定!$E$5,"×窓を開けて上昇",IF(売分析!$Z42&gt;V811設定!$E$6,"×前日に急騰",IF(売分析!$Z42&lt;V811設定!$E$7,"×前日に急落",IF(P42&lt;V811設定!$E$8,"×高値から離れすぎ",IF(Q42&gt;V811設定!$E$9,"×当日の値幅が大きい","×"))))))))))</f>
      </c>
    </row>
    <row r="43" spans="1:20">
      <c r="A43">
        <f>IF(分析!$C43="","",分析!$C43)</f>
      </c>
      <c r="B43">
        <f>IF(分析!$C43="","",分析!$D43)</f>
      </c>
      <c r="C43">
        <f>IFERROR((SUM(OFFSET(高値!$E$6,IFERROR(MATCH(分析!$C43,銘柄管理!$B$6:$B$305,0),MATCH(TEXT(分析!$C43,"0"),銘柄管理!$B$6:$B$305,0))-1,0,1,14))-SUM(OFFSET(安値!$E$6,IFERROR(MATCH(分析!$C43,銘柄管理!$B$6:$B$305,0),MATCH(TEXT(分析!$C43,"0"),銘柄管理!$B$6:$B$305,0))-1,0,1,14)))/SUM(OFFSET(終値!$E$6,IFERROR(MATCH(分析!$C43,銘柄管理!$B$6:$B$305,0),MATCH(TEXT(分析!$C43,"0"),銘柄管理!$B$6:$B$305,0))-1,0,1,14))*100,"")</f>
      </c>
      <c r="D43">
        <f>IFERROR((MAX(OFFSET(高値!$E$6,IFERROR(MATCH(分析!$C43,銘柄管理!$B$6:$B$305,0),MATCH(TEXT(分析!$C43,"0"),銘柄管理!$B$6:$B$305,0))-1,0,1,25))-MIN(OFFSET(安値!$E$6,IFERROR(MATCH(分析!$C43,銘柄管理!$B$6:$B$305,0),MATCH(TEXT(分析!$C43,"0"),銘柄管理!$B$6:$B$305,0))-1,0,1,25)))/分析!$E43*100,"")</f>
      </c>
      <c r="E43">
        <f>IFERROR((分析!$F43-分析!$G43)/分析!$G43*100,"")</f>
      </c>
      <c r="F43">
        <f>IFERROR((分析!$E43-MAX(OFFSET(高値!$E$6,IFERROR(MATCH(分析!$C43,銘柄管理!$B$6:$B$305,0),MATCH(TEXT(分析!$C43,"0"),銘柄管理!$B$6:$B$305,0))-1,0,1,25)))/MAX(OFFSET(高値!$E$6,IFERROR(MATCH(分析!$C43,銘柄管理!$B$6:$B$305,0),MATCH(TEXT(分析!$C43,"0"),銘柄管理!$B$6:$B$305,0))-1,0,1,25))*100,"")</f>
      </c>
      <c r="G43">
        <f>IFERROR((分析!$H43-分析!$I43)/分析!$F43*100,"")</f>
      </c>
      <c r="H43">
        <f>IFERROR(5-COUNTIF($C$3:$C$206,"&lt;"&amp;$C43)/COUNT($C$3:$C$206)-COUNTIF($G$3:$G$206,"&lt;"&amp;$G43)/COUNT($G$3:$G$206)-COUNTIF($D$3:$D$206,"&lt;"&amp;$D43)/COUNT($D$3:$D$206)-COUNTIF(分析!$Z$3:$Z$206,"&lt;"&amp;分析!$Z43)/COUNT(分析!$Z$3:$Z$206)-COUNTIF($E$3:$E$206,"&lt;"&amp;$E43)/COUNT($E$3:$E$206),"")</f>
      </c>
      <c r="I43">
        <f>IF(OR(A43="",A43="TOPX",C43="",H43=""),0,IF(AND(V811設定!$E$11=1,C43&lt;=V811設定!$E$3,D43&lt;=V811設定!$E$4,E43&lt;=V811設定!$E$5,分析!$Z43&lt;=V811設定!$E$6,分析!$Z43&gt;=V811設定!$E$7,F43&gt;=V811設定!$E$8,G43&lt;=V811設定!$E$9),1,0))</f>
      </c>
      <c r="J43">
        <f>IF(A43="","",IF(I43=1,"○ゲート通過",IF(V811設定!$E$11&lt;&gt;1,"― 停止中",IF(C43&gt;V811設定!$E$3,"×値動きが荒い",IF(D43&gt;V811設定!$E$4,"×レンジが広い",IF(E43&gt;V811設定!$E$5,"×窓を開けて上昇",IF(分析!$Z43&gt;V811設定!$E$6,"×前日に急騰",IF(分析!$Z43&lt;V811設定!$E$7,"×前日に急落",IF(F43&lt;V811設定!$E$8,"×高値から離れすぎ",IF(G43&gt;V811設定!$E$9,"×当日の値幅が大きい","×"))))))))))</f>
      </c>
      <c r="K43">
        <f>IF(売分析!$C43="","",売分析!$C43)</f>
      </c>
      <c r="L43">
        <f>IF(売分析!$C43="","",売分析!$D43)</f>
      </c>
      <c r="M43">
        <f>IFERROR((SUM(OFFSET(高値!$E$6,IFERROR(MATCH(売分析!$C43,銘柄管理!$B$6:$B$305,0),MATCH(TEXT(売分析!$C43,"0"),銘柄管理!$B$6:$B$305,0))-1,0,1,14))-SUM(OFFSET(安値!$E$6,IFERROR(MATCH(売分析!$C43,銘柄管理!$B$6:$B$305,0),MATCH(TEXT(売分析!$C43,"0"),銘柄管理!$B$6:$B$305,0))-1,0,1,14)))/SUM(OFFSET(終値!$E$6,IFERROR(MATCH(売分析!$C43,銘柄管理!$B$6:$B$305,0),MATCH(TEXT(売分析!$C43,"0"),銘柄管理!$B$6:$B$305,0))-1,0,1,14))*100,"")</f>
      </c>
      <c r="N43">
        <f>IFERROR((MAX(OFFSET(高値!$E$6,IFERROR(MATCH(売分析!$C43,銘柄管理!$B$6:$B$305,0),MATCH(TEXT(売分析!$C43,"0"),銘柄管理!$B$6:$B$305,0))-1,0,1,25))-MIN(OFFSET(安値!$E$6,IFERROR(MATCH(売分析!$C43,銘柄管理!$B$6:$B$305,0),MATCH(TEXT(売分析!$C43,"0"),銘柄管理!$B$6:$B$305,0))-1,0,1,25)))/売分析!$E43*100,"")</f>
      </c>
      <c r="O43">
        <f>IFERROR((売分析!$F43-売分析!$G43)/売分析!$G43*100,"")</f>
      </c>
      <c r="P43">
        <f>IFERROR((売分析!$E43-MAX(OFFSET(高値!$E$6,IFERROR(MATCH(売分析!$C43,銘柄管理!$B$6:$B$305,0),MATCH(TEXT(売分析!$C43,"0"),銘柄管理!$B$6:$B$305,0))-1,0,1,25)))/MAX(OFFSET(高値!$E$6,IFERROR(MATCH(売分析!$C43,銘柄管理!$B$6:$B$305,0),MATCH(TEXT(売分析!$C43,"0"),銘柄管理!$B$6:$B$305,0))-1,0,1,25))*100,"")</f>
      </c>
      <c r="Q43">
        <f>IFERROR((売分析!$H43-売分析!$I43)/売分析!$F43*100,"")</f>
      </c>
      <c r="R43">
        <f>IFERROR(5-COUNTIF($M$3:$M$206,"&lt;"&amp;$M43)/COUNT($M$3:$M$206)-COUNTIF($Q$3:$Q$206,"&lt;"&amp;$Q43)/COUNT($Q$3:$Q$206)-COUNTIF($N$3:$N$206,"&lt;"&amp;$N43)/COUNT($N$3:$N$206)-COUNTIF(売分析!$Z$3:$Z$206,"&lt;"&amp;売分析!$Z43)/COUNT(売分析!$Z$3:$Z$206)-COUNTIF($O$3:$O$206,"&lt;"&amp;$O43)/COUNT($O$3:$O$206),"")</f>
      </c>
      <c r="S43">
        <f>IF(OR(K43="",K43="TOPX",M43="",R43=""),0,IF(AND(V811設定!$E$12=1,M43&lt;=V811設定!$E$3,N43&lt;=V811設定!$E$4,O43&lt;=V811設定!$E$5,売分析!$Z43&lt;=V811設定!$E$6,売分析!$Z43&gt;=V811設定!$E$7,P43&gt;=V811設定!$E$8,Q43&lt;=V811設定!$E$9),1,0))</f>
      </c>
      <c r="T43">
        <f>IF(K43="","",IF(S43=1,"○ゲート通過",IF(V811設定!$E$12&lt;&gt;1,"― 停止中",IF(M43&gt;V811設定!$E$3,"×値動きが荒い",IF(N43&gt;V811設定!$E$4,"×レンジが広い",IF(O43&gt;V811設定!$E$5,"×窓を開けて上昇",IF(売分析!$Z43&gt;V811設定!$E$6,"×前日に急騰",IF(売分析!$Z43&lt;V811設定!$E$7,"×前日に急落",IF(P43&lt;V811設定!$E$8,"×高値から離れすぎ",IF(Q43&gt;V811設定!$E$9,"×当日の値幅が大きい","×"))))))))))</f>
      </c>
    </row>
    <row r="44" spans="1:20">
      <c r="A44">
        <f>IF(分析!$C44="","",分析!$C44)</f>
      </c>
      <c r="B44">
        <f>IF(分析!$C44="","",分析!$D44)</f>
      </c>
      <c r="C44">
        <f>IFERROR((SUM(OFFSET(高値!$E$6,IFERROR(MATCH(分析!$C44,銘柄管理!$B$6:$B$305,0),MATCH(TEXT(分析!$C44,"0"),銘柄管理!$B$6:$B$305,0))-1,0,1,14))-SUM(OFFSET(安値!$E$6,IFERROR(MATCH(分析!$C44,銘柄管理!$B$6:$B$305,0),MATCH(TEXT(分析!$C44,"0"),銘柄管理!$B$6:$B$305,0))-1,0,1,14)))/SUM(OFFSET(終値!$E$6,IFERROR(MATCH(分析!$C44,銘柄管理!$B$6:$B$305,0),MATCH(TEXT(分析!$C44,"0"),銘柄管理!$B$6:$B$305,0))-1,0,1,14))*100,"")</f>
      </c>
      <c r="D44">
        <f>IFERROR((MAX(OFFSET(高値!$E$6,IFERROR(MATCH(分析!$C44,銘柄管理!$B$6:$B$305,0),MATCH(TEXT(分析!$C44,"0"),銘柄管理!$B$6:$B$305,0))-1,0,1,25))-MIN(OFFSET(安値!$E$6,IFERROR(MATCH(分析!$C44,銘柄管理!$B$6:$B$305,0),MATCH(TEXT(分析!$C44,"0"),銘柄管理!$B$6:$B$305,0))-1,0,1,25)))/分析!$E44*100,"")</f>
      </c>
      <c r="E44">
        <f>IFERROR((分析!$F44-分析!$G44)/分析!$G44*100,"")</f>
      </c>
      <c r="F44">
        <f>IFERROR((分析!$E44-MAX(OFFSET(高値!$E$6,IFERROR(MATCH(分析!$C44,銘柄管理!$B$6:$B$305,0),MATCH(TEXT(分析!$C44,"0"),銘柄管理!$B$6:$B$305,0))-1,0,1,25)))/MAX(OFFSET(高値!$E$6,IFERROR(MATCH(分析!$C44,銘柄管理!$B$6:$B$305,0),MATCH(TEXT(分析!$C44,"0"),銘柄管理!$B$6:$B$305,0))-1,0,1,25))*100,"")</f>
      </c>
      <c r="G44">
        <f>IFERROR((分析!$H44-分析!$I44)/分析!$F44*100,"")</f>
      </c>
      <c r="H44">
        <f>IFERROR(5-COUNTIF($C$3:$C$206,"&lt;"&amp;$C44)/COUNT($C$3:$C$206)-COUNTIF($G$3:$G$206,"&lt;"&amp;$G44)/COUNT($G$3:$G$206)-COUNTIF($D$3:$D$206,"&lt;"&amp;$D44)/COUNT($D$3:$D$206)-COUNTIF(分析!$Z$3:$Z$206,"&lt;"&amp;分析!$Z44)/COUNT(分析!$Z$3:$Z$206)-COUNTIF($E$3:$E$206,"&lt;"&amp;$E44)/COUNT($E$3:$E$206),"")</f>
      </c>
      <c r="I44">
        <f>IF(OR(A44="",A44="TOPX",C44="",H44=""),0,IF(AND(V811設定!$E$11=1,C44&lt;=V811設定!$E$3,D44&lt;=V811設定!$E$4,E44&lt;=V811設定!$E$5,分析!$Z44&lt;=V811設定!$E$6,分析!$Z44&gt;=V811設定!$E$7,F44&gt;=V811設定!$E$8,G44&lt;=V811設定!$E$9),1,0))</f>
      </c>
      <c r="J44">
        <f>IF(A44="","",IF(I44=1,"○ゲート通過",IF(V811設定!$E$11&lt;&gt;1,"― 停止中",IF(C44&gt;V811設定!$E$3,"×値動きが荒い",IF(D44&gt;V811設定!$E$4,"×レンジが広い",IF(E44&gt;V811設定!$E$5,"×窓を開けて上昇",IF(分析!$Z44&gt;V811設定!$E$6,"×前日に急騰",IF(分析!$Z44&lt;V811設定!$E$7,"×前日に急落",IF(F44&lt;V811設定!$E$8,"×高値から離れすぎ",IF(G44&gt;V811設定!$E$9,"×当日の値幅が大きい","×"))))))))))</f>
      </c>
      <c r="K44">
        <f>IF(売分析!$C44="","",売分析!$C44)</f>
      </c>
      <c r="L44">
        <f>IF(売分析!$C44="","",売分析!$D44)</f>
      </c>
      <c r="M44">
        <f>IFERROR((SUM(OFFSET(高値!$E$6,IFERROR(MATCH(売分析!$C44,銘柄管理!$B$6:$B$305,0),MATCH(TEXT(売分析!$C44,"0"),銘柄管理!$B$6:$B$305,0))-1,0,1,14))-SUM(OFFSET(安値!$E$6,IFERROR(MATCH(売分析!$C44,銘柄管理!$B$6:$B$305,0),MATCH(TEXT(売分析!$C44,"0"),銘柄管理!$B$6:$B$305,0))-1,0,1,14)))/SUM(OFFSET(終値!$E$6,IFERROR(MATCH(売分析!$C44,銘柄管理!$B$6:$B$305,0),MATCH(TEXT(売分析!$C44,"0"),銘柄管理!$B$6:$B$305,0))-1,0,1,14))*100,"")</f>
      </c>
      <c r="N44">
        <f>IFERROR((MAX(OFFSET(高値!$E$6,IFERROR(MATCH(売分析!$C44,銘柄管理!$B$6:$B$305,0),MATCH(TEXT(売分析!$C44,"0"),銘柄管理!$B$6:$B$305,0))-1,0,1,25))-MIN(OFFSET(安値!$E$6,IFERROR(MATCH(売分析!$C44,銘柄管理!$B$6:$B$305,0),MATCH(TEXT(売分析!$C44,"0"),銘柄管理!$B$6:$B$305,0))-1,0,1,25)))/売分析!$E44*100,"")</f>
      </c>
      <c r="O44">
        <f>IFERROR((売分析!$F44-売分析!$G44)/売分析!$G44*100,"")</f>
      </c>
      <c r="P44">
        <f>IFERROR((売分析!$E44-MAX(OFFSET(高値!$E$6,IFERROR(MATCH(売分析!$C44,銘柄管理!$B$6:$B$305,0),MATCH(TEXT(売分析!$C44,"0"),銘柄管理!$B$6:$B$305,0))-1,0,1,25)))/MAX(OFFSET(高値!$E$6,IFERROR(MATCH(売分析!$C44,銘柄管理!$B$6:$B$305,0),MATCH(TEXT(売分析!$C44,"0"),銘柄管理!$B$6:$B$305,0))-1,0,1,25))*100,"")</f>
      </c>
      <c r="Q44">
        <f>IFERROR((売分析!$H44-売分析!$I44)/売分析!$F44*100,"")</f>
      </c>
      <c r="R44">
        <f>IFERROR(5-COUNTIF($M$3:$M$206,"&lt;"&amp;$M44)/COUNT($M$3:$M$206)-COUNTIF($Q$3:$Q$206,"&lt;"&amp;$Q44)/COUNT($Q$3:$Q$206)-COUNTIF($N$3:$N$206,"&lt;"&amp;$N44)/COUNT($N$3:$N$206)-COUNTIF(売分析!$Z$3:$Z$206,"&lt;"&amp;売分析!$Z44)/COUNT(売分析!$Z$3:$Z$206)-COUNTIF($O$3:$O$206,"&lt;"&amp;$O44)/COUNT($O$3:$O$206),"")</f>
      </c>
      <c r="S44">
        <f>IF(OR(K44="",K44="TOPX",M44="",R44=""),0,IF(AND(V811設定!$E$12=1,M44&lt;=V811設定!$E$3,N44&lt;=V811設定!$E$4,O44&lt;=V811設定!$E$5,売分析!$Z44&lt;=V811設定!$E$6,売分析!$Z44&gt;=V811設定!$E$7,P44&gt;=V811設定!$E$8,Q44&lt;=V811設定!$E$9),1,0))</f>
      </c>
      <c r="T44">
        <f>IF(K44="","",IF(S44=1,"○ゲート通過",IF(V811設定!$E$12&lt;&gt;1,"― 停止中",IF(M44&gt;V811設定!$E$3,"×値動きが荒い",IF(N44&gt;V811設定!$E$4,"×レンジが広い",IF(O44&gt;V811設定!$E$5,"×窓を開けて上昇",IF(売分析!$Z44&gt;V811設定!$E$6,"×前日に急騰",IF(売分析!$Z44&lt;V811設定!$E$7,"×前日に急落",IF(P44&lt;V811設定!$E$8,"×高値から離れすぎ",IF(Q44&gt;V811設定!$E$9,"×当日の値幅が大きい","×"))))))))))</f>
      </c>
    </row>
    <row r="45" spans="1:20">
      <c r="A45">
        <f>IF(分析!$C45="","",分析!$C45)</f>
      </c>
      <c r="B45">
        <f>IF(分析!$C45="","",分析!$D45)</f>
      </c>
      <c r="C45">
        <f>IFERROR((SUM(OFFSET(高値!$E$6,IFERROR(MATCH(分析!$C45,銘柄管理!$B$6:$B$305,0),MATCH(TEXT(分析!$C45,"0"),銘柄管理!$B$6:$B$305,0))-1,0,1,14))-SUM(OFFSET(安値!$E$6,IFERROR(MATCH(分析!$C45,銘柄管理!$B$6:$B$305,0),MATCH(TEXT(分析!$C45,"0"),銘柄管理!$B$6:$B$305,0))-1,0,1,14)))/SUM(OFFSET(終値!$E$6,IFERROR(MATCH(分析!$C45,銘柄管理!$B$6:$B$305,0),MATCH(TEXT(分析!$C45,"0"),銘柄管理!$B$6:$B$305,0))-1,0,1,14))*100,"")</f>
      </c>
      <c r="D45">
        <f>IFERROR((MAX(OFFSET(高値!$E$6,IFERROR(MATCH(分析!$C45,銘柄管理!$B$6:$B$305,0),MATCH(TEXT(分析!$C45,"0"),銘柄管理!$B$6:$B$305,0))-1,0,1,25))-MIN(OFFSET(安値!$E$6,IFERROR(MATCH(分析!$C45,銘柄管理!$B$6:$B$305,0),MATCH(TEXT(分析!$C45,"0"),銘柄管理!$B$6:$B$305,0))-1,0,1,25)))/分析!$E45*100,"")</f>
      </c>
      <c r="E45">
        <f>IFERROR((分析!$F45-分析!$G45)/分析!$G45*100,"")</f>
      </c>
      <c r="F45">
        <f>IFERROR((分析!$E45-MAX(OFFSET(高値!$E$6,IFERROR(MATCH(分析!$C45,銘柄管理!$B$6:$B$305,0),MATCH(TEXT(分析!$C45,"0"),銘柄管理!$B$6:$B$305,0))-1,0,1,25)))/MAX(OFFSET(高値!$E$6,IFERROR(MATCH(分析!$C45,銘柄管理!$B$6:$B$305,0),MATCH(TEXT(分析!$C45,"0"),銘柄管理!$B$6:$B$305,0))-1,0,1,25))*100,"")</f>
      </c>
      <c r="G45">
        <f>IFERROR((分析!$H45-分析!$I45)/分析!$F45*100,"")</f>
      </c>
      <c r="H45">
        <f>IFERROR(5-COUNTIF($C$3:$C$206,"&lt;"&amp;$C45)/COUNT($C$3:$C$206)-COUNTIF($G$3:$G$206,"&lt;"&amp;$G45)/COUNT($G$3:$G$206)-COUNTIF($D$3:$D$206,"&lt;"&amp;$D45)/COUNT($D$3:$D$206)-COUNTIF(分析!$Z$3:$Z$206,"&lt;"&amp;分析!$Z45)/COUNT(分析!$Z$3:$Z$206)-COUNTIF($E$3:$E$206,"&lt;"&amp;$E45)/COUNT($E$3:$E$206),"")</f>
      </c>
      <c r="I45">
        <f>IF(OR(A45="",A45="TOPX",C45="",H45=""),0,IF(AND(V811設定!$E$11=1,C45&lt;=V811設定!$E$3,D45&lt;=V811設定!$E$4,E45&lt;=V811設定!$E$5,分析!$Z45&lt;=V811設定!$E$6,分析!$Z45&gt;=V811設定!$E$7,F45&gt;=V811設定!$E$8,G45&lt;=V811設定!$E$9),1,0))</f>
      </c>
      <c r="J45">
        <f>IF(A45="","",IF(I45=1,"○ゲート通過",IF(V811設定!$E$11&lt;&gt;1,"― 停止中",IF(C45&gt;V811設定!$E$3,"×値動きが荒い",IF(D45&gt;V811設定!$E$4,"×レンジが広い",IF(E45&gt;V811設定!$E$5,"×窓を開けて上昇",IF(分析!$Z45&gt;V811設定!$E$6,"×前日に急騰",IF(分析!$Z45&lt;V811設定!$E$7,"×前日に急落",IF(F45&lt;V811設定!$E$8,"×高値から離れすぎ",IF(G45&gt;V811設定!$E$9,"×当日の値幅が大きい","×"))))))))))</f>
      </c>
      <c r="K45">
        <f>IF(売分析!$C45="","",売分析!$C45)</f>
      </c>
      <c r="L45">
        <f>IF(売分析!$C45="","",売分析!$D45)</f>
      </c>
      <c r="M45">
        <f>IFERROR((SUM(OFFSET(高値!$E$6,IFERROR(MATCH(売分析!$C45,銘柄管理!$B$6:$B$305,0),MATCH(TEXT(売分析!$C45,"0"),銘柄管理!$B$6:$B$305,0))-1,0,1,14))-SUM(OFFSET(安値!$E$6,IFERROR(MATCH(売分析!$C45,銘柄管理!$B$6:$B$305,0),MATCH(TEXT(売分析!$C45,"0"),銘柄管理!$B$6:$B$305,0))-1,0,1,14)))/SUM(OFFSET(終値!$E$6,IFERROR(MATCH(売分析!$C45,銘柄管理!$B$6:$B$305,0),MATCH(TEXT(売分析!$C45,"0"),銘柄管理!$B$6:$B$305,0))-1,0,1,14))*100,"")</f>
      </c>
      <c r="N45">
        <f>IFERROR((MAX(OFFSET(高値!$E$6,IFERROR(MATCH(売分析!$C45,銘柄管理!$B$6:$B$305,0),MATCH(TEXT(売分析!$C45,"0"),銘柄管理!$B$6:$B$305,0))-1,0,1,25))-MIN(OFFSET(安値!$E$6,IFERROR(MATCH(売分析!$C45,銘柄管理!$B$6:$B$305,0),MATCH(TEXT(売分析!$C45,"0"),銘柄管理!$B$6:$B$305,0))-1,0,1,25)))/売分析!$E45*100,"")</f>
      </c>
      <c r="O45">
        <f>IFERROR((売分析!$F45-売分析!$G45)/売分析!$G45*100,"")</f>
      </c>
      <c r="P45">
        <f>IFERROR((売分析!$E45-MAX(OFFSET(高値!$E$6,IFERROR(MATCH(売分析!$C45,銘柄管理!$B$6:$B$305,0),MATCH(TEXT(売分析!$C45,"0"),銘柄管理!$B$6:$B$305,0))-1,0,1,25)))/MAX(OFFSET(高値!$E$6,IFERROR(MATCH(売分析!$C45,銘柄管理!$B$6:$B$305,0),MATCH(TEXT(売分析!$C45,"0"),銘柄管理!$B$6:$B$305,0))-1,0,1,25))*100,"")</f>
      </c>
      <c r="Q45">
        <f>IFERROR((売分析!$H45-売分析!$I45)/売分析!$F45*100,"")</f>
      </c>
      <c r="R45">
        <f>IFERROR(5-COUNTIF($M$3:$M$206,"&lt;"&amp;$M45)/COUNT($M$3:$M$206)-COUNTIF($Q$3:$Q$206,"&lt;"&amp;$Q45)/COUNT($Q$3:$Q$206)-COUNTIF($N$3:$N$206,"&lt;"&amp;$N45)/COUNT($N$3:$N$206)-COUNTIF(売分析!$Z$3:$Z$206,"&lt;"&amp;売分析!$Z45)/COUNT(売分析!$Z$3:$Z$206)-COUNTIF($O$3:$O$206,"&lt;"&amp;$O45)/COUNT($O$3:$O$206),"")</f>
      </c>
      <c r="S45">
        <f>IF(OR(K45="",K45="TOPX",M45="",R45=""),0,IF(AND(V811設定!$E$12=1,M45&lt;=V811設定!$E$3,N45&lt;=V811設定!$E$4,O45&lt;=V811設定!$E$5,売分析!$Z45&lt;=V811設定!$E$6,売分析!$Z45&gt;=V811設定!$E$7,P45&gt;=V811設定!$E$8,Q45&lt;=V811設定!$E$9),1,0))</f>
      </c>
      <c r="T45">
        <f>IF(K45="","",IF(S45=1,"○ゲート通過",IF(V811設定!$E$12&lt;&gt;1,"― 停止中",IF(M45&gt;V811設定!$E$3,"×値動きが荒い",IF(N45&gt;V811設定!$E$4,"×レンジが広い",IF(O45&gt;V811設定!$E$5,"×窓を開けて上昇",IF(売分析!$Z45&gt;V811設定!$E$6,"×前日に急騰",IF(売分析!$Z45&lt;V811設定!$E$7,"×前日に急落",IF(P45&lt;V811設定!$E$8,"×高値から離れすぎ",IF(Q45&gt;V811設定!$E$9,"×当日の値幅が大きい","×"))))))))))</f>
      </c>
    </row>
    <row r="46" spans="1:20">
      <c r="A46">
        <f>IF(分析!$C46="","",分析!$C46)</f>
      </c>
      <c r="B46">
        <f>IF(分析!$C46="","",分析!$D46)</f>
      </c>
      <c r="C46">
        <f>IFERROR((SUM(OFFSET(高値!$E$6,IFERROR(MATCH(分析!$C46,銘柄管理!$B$6:$B$305,0),MATCH(TEXT(分析!$C46,"0"),銘柄管理!$B$6:$B$305,0))-1,0,1,14))-SUM(OFFSET(安値!$E$6,IFERROR(MATCH(分析!$C46,銘柄管理!$B$6:$B$305,0),MATCH(TEXT(分析!$C46,"0"),銘柄管理!$B$6:$B$305,0))-1,0,1,14)))/SUM(OFFSET(終値!$E$6,IFERROR(MATCH(分析!$C46,銘柄管理!$B$6:$B$305,0),MATCH(TEXT(分析!$C46,"0"),銘柄管理!$B$6:$B$305,0))-1,0,1,14))*100,"")</f>
      </c>
      <c r="D46">
        <f>IFERROR((MAX(OFFSET(高値!$E$6,IFERROR(MATCH(分析!$C46,銘柄管理!$B$6:$B$305,0),MATCH(TEXT(分析!$C46,"0"),銘柄管理!$B$6:$B$305,0))-1,0,1,25))-MIN(OFFSET(安値!$E$6,IFERROR(MATCH(分析!$C46,銘柄管理!$B$6:$B$305,0),MATCH(TEXT(分析!$C46,"0"),銘柄管理!$B$6:$B$305,0))-1,0,1,25)))/分析!$E46*100,"")</f>
      </c>
      <c r="E46">
        <f>IFERROR((分析!$F46-分析!$G46)/分析!$G46*100,"")</f>
      </c>
      <c r="F46">
        <f>IFERROR((分析!$E46-MAX(OFFSET(高値!$E$6,IFERROR(MATCH(分析!$C46,銘柄管理!$B$6:$B$305,0),MATCH(TEXT(分析!$C46,"0"),銘柄管理!$B$6:$B$305,0))-1,0,1,25)))/MAX(OFFSET(高値!$E$6,IFERROR(MATCH(分析!$C46,銘柄管理!$B$6:$B$305,0),MATCH(TEXT(分析!$C46,"0"),銘柄管理!$B$6:$B$305,0))-1,0,1,25))*100,"")</f>
      </c>
      <c r="G46">
        <f>IFERROR((分析!$H46-分析!$I46)/分析!$F46*100,"")</f>
      </c>
      <c r="H46">
        <f>IFERROR(5-COUNTIF($C$3:$C$206,"&lt;"&amp;$C46)/COUNT($C$3:$C$206)-COUNTIF($G$3:$G$206,"&lt;"&amp;$G46)/COUNT($G$3:$G$206)-COUNTIF($D$3:$D$206,"&lt;"&amp;$D46)/COUNT($D$3:$D$206)-COUNTIF(分析!$Z$3:$Z$206,"&lt;"&amp;分析!$Z46)/COUNT(分析!$Z$3:$Z$206)-COUNTIF($E$3:$E$206,"&lt;"&amp;$E46)/COUNT($E$3:$E$206),"")</f>
      </c>
      <c r="I46">
        <f>IF(OR(A46="",A46="TOPX",C46="",H46=""),0,IF(AND(V811設定!$E$11=1,C46&lt;=V811設定!$E$3,D46&lt;=V811設定!$E$4,E46&lt;=V811設定!$E$5,分析!$Z46&lt;=V811設定!$E$6,分析!$Z46&gt;=V811設定!$E$7,F46&gt;=V811設定!$E$8,G46&lt;=V811設定!$E$9),1,0))</f>
      </c>
      <c r="J46">
        <f>IF(A46="","",IF(I46=1,"○ゲート通過",IF(V811設定!$E$11&lt;&gt;1,"― 停止中",IF(C46&gt;V811設定!$E$3,"×値動きが荒い",IF(D46&gt;V811設定!$E$4,"×レンジが広い",IF(E46&gt;V811設定!$E$5,"×窓を開けて上昇",IF(分析!$Z46&gt;V811設定!$E$6,"×前日に急騰",IF(分析!$Z46&lt;V811設定!$E$7,"×前日に急落",IF(F46&lt;V811設定!$E$8,"×高値から離れすぎ",IF(G46&gt;V811設定!$E$9,"×当日の値幅が大きい","×"))))))))))</f>
      </c>
      <c r="K46">
        <f>IF(売分析!$C46="","",売分析!$C46)</f>
      </c>
      <c r="L46">
        <f>IF(売分析!$C46="","",売分析!$D46)</f>
      </c>
      <c r="M46">
        <f>IFERROR((SUM(OFFSET(高値!$E$6,IFERROR(MATCH(売分析!$C46,銘柄管理!$B$6:$B$305,0),MATCH(TEXT(売分析!$C46,"0"),銘柄管理!$B$6:$B$305,0))-1,0,1,14))-SUM(OFFSET(安値!$E$6,IFERROR(MATCH(売分析!$C46,銘柄管理!$B$6:$B$305,0),MATCH(TEXT(売分析!$C46,"0"),銘柄管理!$B$6:$B$305,0))-1,0,1,14)))/SUM(OFFSET(終値!$E$6,IFERROR(MATCH(売分析!$C46,銘柄管理!$B$6:$B$305,0),MATCH(TEXT(売分析!$C46,"0"),銘柄管理!$B$6:$B$305,0))-1,0,1,14))*100,"")</f>
      </c>
      <c r="N46">
        <f>IFERROR((MAX(OFFSET(高値!$E$6,IFERROR(MATCH(売分析!$C46,銘柄管理!$B$6:$B$305,0),MATCH(TEXT(売分析!$C46,"0"),銘柄管理!$B$6:$B$305,0))-1,0,1,25))-MIN(OFFSET(安値!$E$6,IFERROR(MATCH(売分析!$C46,銘柄管理!$B$6:$B$305,0),MATCH(TEXT(売分析!$C46,"0"),銘柄管理!$B$6:$B$305,0))-1,0,1,25)))/売分析!$E46*100,"")</f>
      </c>
      <c r="O46">
        <f>IFERROR((売分析!$F46-売分析!$G46)/売分析!$G46*100,"")</f>
      </c>
      <c r="P46">
        <f>IFERROR((売分析!$E46-MAX(OFFSET(高値!$E$6,IFERROR(MATCH(売分析!$C46,銘柄管理!$B$6:$B$305,0),MATCH(TEXT(売分析!$C46,"0"),銘柄管理!$B$6:$B$305,0))-1,0,1,25)))/MAX(OFFSET(高値!$E$6,IFERROR(MATCH(売分析!$C46,銘柄管理!$B$6:$B$305,0),MATCH(TEXT(売分析!$C46,"0"),銘柄管理!$B$6:$B$305,0))-1,0,1,25))*100,"")</f>
      </c>
      <c r="Q46">
        <f>IFERROR((売分析!$H46-売分析!$I46)/売分析!$F46*100,"")</f>
      </c>
      <c r="R46">
        <f>IFERROR(5-COUNTIF($M$3:$M$206,"&lt;"&amp;$M46)/COUNT($M$3:$M$206)-COUNTIF($Q$3:$Q$206,"&lt;"&amp;$Q46)/COUNT($Q$3:$Q$206)-COUNTIF($N$3:$N$206,"&lt;"&amp;$N46)/COUNT($N$3:$N$206)-COUNTIF(売分析!$Z$3:$Z$206,"&lt;"&amp;売分析!$Z46)/COUNT(売分析!$Z$3:$Z$206)-COUNTIF($O$3:$O$206,"&lt;"&amp;$O46)/COUNT($O$3:$O$206),"")</f>
      </c>
      <c r="S46">
        <f>IF(OR(K46="",K46="TOPX",M46="",R46=""),0,IF(AND(V811設定!$E$12=1,M46&lt;=V811設定!$E$3,N46&lt;=V811設定!$E$4,O46&lt;=V811設定!$E$5,売分析!$Z46&lt;=V811設定!$E$6,売分析!$Z46&gt;=V811設定!$E$7,P46&gt;=V811設定!$E$8,Q46&lt;=V811設定!$E$9),1,0))</f>
      </c>
      <c r="T46">
        <f>IF(K46="","",IF(S46=1,"○ゲート通過",IF(V811設定!$E$12&lt;&gt;1,"― 停止中",IF(M46&gt;V811設定!$E$3,"×値動きが荒い",IF(N46&gt;V811設定!$E$4,"×レンジが広い",IF(O46&gt;V811設定!$E$5,"×窓を開けて上昇",IF(売分析!$Z46&gt;V811設定!$E$6,"×前日に急騰",IF(売分析!$Z46&lt;V811設定!$E$7,"×前日に急落",IF(P46&lt;V811設定!$E$8,"×高値から離れすぎ",IF(Q46&gt;V811設定!$E$9,"×当日の値幅が大きい","×"))))))))))</f>
      </c>
    </row>
    <row r="47" spans="1:20">
      <c r="A47">
        <f>IF(分析!$C47="","",分析!$C47)</f>
      </c>
      <c r="B47">
        <f>IF(分析!$C47="","",分析!$D47)</f>
      </c>
      <c r="C47">
        <f>IFERROR((SUM(OFFSET(高値!$E$6,IFERROR(MATCH(分析!$C47,銘柄管理!$B$6:$B$305,0),MATCH(TEXT(分析!$C47,"0"),銘柄管理!$B$6:$B$305,0))-1,0,1,14))-SUM(OFFSET(安値!$E$6,IFERROR(MATCH(分析!$C47,銘柄管理!$B$6:$B$305,0),MATCH(TEXT(分析!$C47,"0"),銘柄管理!$B$6:$B$305,0))-1,0,1,14)))/SUM(OFFSET(終値!$E$6,IFERROR(MATCH(分析!$C47,銘柄管理!$B$6:$B$305,0),MATCH(TEXT(分析!$C47,"0"),銘柄管理!$B$6:$B$305,0))-1,0,1,14))*100,"")</f>
      </c>
      <c r="D47">
        <f>IFERROR((MAX(OFFSET(高値!$E$6,IFERROR(MATCH(分析!$C47,銘柄管理!$B$6:$B$305,0),MATCH(TEXT(分析!$C47,"0"),銘柄管理!$B$6:$B$305,0))-1,0,1,25))-MIN(OFFSET(安値!$E$6,IFERROR(MATCH(分析!$C47,銘柄管理!$B$6:$B$305,0),MATCH(TEXT(分析!$C47,"0"),銘柄管理!$B$6:$B$305,0))-1,0,1,25)))/分析!$E47*100,"")</f>
      </c>
      <c r="E47">
        <f>IFERROR((分析!$F47-分析!$G47)/分析!$G47*100,"")</f>
      </c>
      <c r="F47">
        <f>IFERROR((分析!$E47-MAX(OFFSET(高値!$E$6,IFERROR(MATCH(分析!$C47,銘柄管理!$B$6:$B$305,0),MATCH(TEXT(分析!$C47,"0"),銘柄管理!$B$6:$B$305,0))-1,0,1,25)))/MAX(OFFSET(高値!$E$6,IFERROR(MATCH(分析!$C47,銘柄管理!$B$6:$B$305,0),MATCH(TEXT(分析!$C47,"0"),銘柄管理!$B$6:$B$305,0))-1,0,1,25))*100,"")</f>
      </c>
      <c r="G47">
        <f>IFERROR((分析!$H47-分析!$I47)/分析!$F47*100,"")</f>
      </c>
      <c r="H47">
        <f>IFERROR(5-COUNTIF($C$3:$C$206,"&lt;"&amp;$C47)/COUNT($C$3:$C$206)-COUNTIF($G$3:$G$206,"&lt;"&amp;$G47)/COUNT($G$3:$G$206)-COUNTIF($D$3:$D$206,"&lt;"&amp;$D47)/COUNT($D$3:$D$206)-COUNTIF(分析!$Z$3:$Z$206,"&lt;"&amp;分析!$Z47)/COUNT(分析!$Z$3:$Z$206)-COUNTIF($E$3:$E$206,"&lt;"&amp;$E47)/COUNT($E$3:$E$206),"")</f>
      </c>
      <c r="I47">
        <f>IF(OR(A47="",A47="TOPX",C47="",H47=""),0,IF(AND(V811設定!$E$11=1,C47&lt;=V811設定!$E$3,D47&lt;=V811設定!$E$4,E47&lt;=V811設定!$E$5,分析!$Z47&lt;=V811設定!$E$6,分析!$Z47&gt;=V811設定!$E$7,F47&gt;=V811設定!$E$8,G47&lt;=V811設定!$E$9),1,0))</f>
      </c>
      <c r="J47">
        <f>IF(A47="","",IF(I47=1,"○ゲート通過",IF(V811設定!$E$11&lt;&gt;1,"― 停止中",IF(C47&gt;V811設定!$E$3,"×値動きが荒い",IF(D47&gt;V811設定!$E$4,"×レンジが広い",IF(E47&gt;V811設定!$E$5,"×窓を開けて上昇",IF(分析!$Z47&gt;V811設定!$E$6,"×前日に急騰",IF(分析!$Z47&lt;V811設定!$E$7,"×前日に急落",IF(F47&lt;V811設定!$E$8,"×高値から離れすぎ",IF(G47&gt;V811設定!$E$9,"×当日の値幅が大きい","×"))))))))))</f>
      </c>
      <c r="K47">
        <f>IF(売分析!$C47="","",売分析!$C47)</f>
      </c>
      <c r="L47">
        <f>IF(売分析!$C47="","",売分析!$D47)</f>
      </c>
      <c r="M47">
        <f>IFERROR((SUM(OFFSET(高値!$E$6,IFERROR(MATCH(売分析!$C47,銘柄管理!$B$6:$B$305,0),MATCH(TEXT(売分析!$C47,"0"),銘柄管理!$B$6:$B$305,0))-1,0,1,14))-SUM(OFFSET(安値!$E$6,IFERROR(MATCH(売分析!$C47,銘柄管理!$B$6:$B$305,0),MATCH(TEXT(売分析!$C47,"0"),銘柄管理!$B$6:$B$305,0))-1,0,1,14)))/SUM(OFFSET(終値!$E$6,IFERROR(MATCH(売分析!$C47,銘柄管理!$B$6:$B$305,0),MATCH(TEXT(売分析!$C47,"0"),銘柄管理!$B$6:$B$305,0))-1,0,1,14))*100,"")</f>
      </c>
      <c r="N47">
        <f>IFERROR((MAX(OFFSET(高値!$E$6,IFERROR(MATCH(売分析!$C47,銘柄管理!$B$6:$B$305,0),MATCH(TEXT(売分析!$C47,"0"),銘柄管理!$B$6:$B$305,0))-1,0,1,25))-MIN(OFFSET(安値!$E$6,IFERROR(MATCH(売分析!$C47,銘柄管理!$B$6:$B$305,0),MATCH(TEXT(売分析!$C47,"0"),銘柄管理!$B$6:$B$305,0))-1,0,1,25)))/売分析!$E47*100,"")</f>
      </c>
      <c r="O47">
        <f>IFERROR((売分析!$F47-売分析!$G47)/売分析!$G47*100,"")</f>
      </c>
      <c r="P47">
        <f>IFERROR((売分析!$E47-MAX(OFFSET(高値!$E$6,IFERROR(MATCH(売分析!$C47,銘柄管理!$B$6:$B$305,0),MATCH(TEXT(売分析!$C47,"0"),銘柄管理!$B$6:$B$305,0))-1,0,1,25)))/MAX(OFFSET(高値!$E$6,IFERROR(MATCH(売分析!$C47,銘柄管理!$B$6:$B$305,0),MATCH(TEXT(売分析!$C47,"0"),銘柄管理!$B$6:$B$305,0))-1,0,1,25))*100,"")</f>
      </c>
      <c r="Q47">
        <f>IFERROR((売分析!$H47-売分析!$I47)/売分析!$F47*100,"")</f>
      </c>
      <c r="R47">
        <f>IFERROR(5-COUNTIF($M$3:$M$206,"&lt;"&amp;$M47)/COUNT($M$3:$M$206)-COUNTIF($Q$3:$Q$206,"&lt;"&amp;$Q47)/COUNT($Q$3:$Q$206)-COUNTIF($N$3:$N$206,"&lt;"&amp;$N47)/COUNT($N$3:$N$206)-COUNTIF(売分析!$Z$3:$Z$206,"&lt;"&amp;売分析!$Z47)/COUNT(売分析!$Z$3:$Z$206)-COUNTIF($O$3:$O$206,"&lt;"&amp;$O47)/COUNT($O$3:$O$206),"")</f>
      </c>
      <c r="S47">
        <f>IF(OR(K47="",K47="TOPX",M47="",R47=""),0,IF(AND(V811設定!$E$12=1,M47&lt;=V811設定!$E$3,N47&lt;=V811設定!$E$4,O47&lt;=V811設定!$E$5,売分析!$Z47&lt;=V811設定!$E$6,売分析!$Z47&gt;=V811設定!$E$7,P47&gt;=V811設定!$E$8,Q47&lt;=V811設定!$E$9),1,0))</f>
      </c>
      <c r="T47">
        <f>IF(K47="","",IF(S47=1,"○ゲート通過",IF(V811設定!$E$12&lt;&gt;1,"― 停止中",IF(M47&gt;V811設定!$E$3,"×値動きが荒い",IF(N47&gt;V811設定!$E$4,"×レンジが広い",IF(O47&gt;V811設定!$E$5,"×窓を開けて上昇",IF(売分析!$Z47&gt;V811設定!$E$6,"×前日に急騰",IF(売分析!$Z47&lt;V811設定!$E$7,"×前日に急落",IF(P47&lt;V811設定!$E$8,"×高値から離れすぎ",IF(Q47&gt;V811設定!$E$9,"×当日の値幅が大きい","×"))))))))))</f>
      </c>
    </row>
    <row r="48" spans="1:20">
      <c r="A48">
        <f>IF(分析!$C48="","",分析!$C48)</f>
      </c>
      <c r="B48">
        <f>IF(分析!$C48="","",分析!$D48)</f>
      </c>
      <c r="C48">
        <f>IFERROR((SUM(OFFSET(高値!$E$6,IFERROR(MATCH(分析!$C48,銘柄管理!$B$6:$B$305,0),MATCH(TEXT(分析!$C48,"0"),銘柄管理!$B$6:$B$305,0))-1,0,1,14))-SUM(OFFSET(安値!$E$6,IFERROR(MATCH(分析!$C48,銘柄管理!$B$6:$B$305,0),MATCH(TEXT(分析!$C48,"0"),銘柄管理!$B$6:$B$305,0))-1,0,1,14)))/SUM(OFFSET(終値!$E$6,IFERROR(MATCH(分析!$C48,銘柄管理!$B$6:$B$305,0),MATCH(TEXT(分析!$C48,"0"),銘柄管理!$B$6:$B$305,0))-1,0,1,14))*100,"")</f>
      </c>
      <c r="D48">
        <f>IFERROR((MAX(OFFSET(高値!$E$6,IFERROR(MATCH(分析!$C48,銘柄管理!$B$6:$B$305,0),MATCH(TEXT(分析!$C48,"0"),銘柄管理!$B$6:$B$305,0))-1,0,1,25))-MIN(OFFSET(安値!$E$6,IFERROR(MATCH(分析!$C48,銘柄管理!$B$6:$B$305,0),MATCH(TEXT(分析!$C48,"0"),銘柄管理!$B$6:$B$305,0))-1,0,1,25)))/分析!$E48*100,"")</f>
      </c>
      <c r="E48">
        <f>IFERROR((分析!$F48-分析!$G48)/分析!$G48*100,"")</f>
      </c>
      <c r="F48">
        <f>IFERROR((分析!$E48-MAX(OFFSET(高値!$E$6,IFERROR(MATCH(分析!$C48,銘柄管理!$B$6:$B$305,0),MATCH(TEXT(分析!$C48,"0"),銘柄管理!$B$6:$B$305,0))-1,0,1,25)))/MAX(OFFSET(高値!$E$6,IFERROR(MATCH(分析!$C48,銘柄管理!$B$6:$B$305,0),MATCH(TEXT(分析!$C48,"0"),銘柄管理!$B$6:$B$305,0))-1,0,1,25))*100,"")</f>
      </c>
      <c r="G48">
        <f>IFERROR((分析!$H48-分析!$I48)/分析!$F48*100,"")</f>
      </c>
      <c r="H48">
        <f>IFERROR(5-COUNTIF($C$3:$C$206,"&lt;"&amp;$C48)/COUNT($C$3:$C$206)-COUNTIF($G$3:$G$206,"&lt;"&amp;$G48)/COUNT($G$3:$G$206)-COUNTIF($D$3:$D$206,"&lt;"&amp;$D48)/COUNT($D$3:$D$206)-COUNTIF(分析!$Z$3:$Z$206,"&lt;"&amp;分析!$Z48)/COUNT(分析!$Z$3:$Z$206)-COUNTIF($E$3:$E$206,"&lt;"&amp;$E48)/COUNT($E$3:$E$206),"")</f>
      </c>
      <c r="I48">
        <f>IF(OR(A48="",A48="TOPX",C48="",H48=""),0,IF(AND(V811設定!$E$11=1,C48&lt;=V811設定!$E$3,D48&lt;=V811設定!$E$4,E48&lt;=V811設定!$E$5,分析!$Z48&lt;=V811設定!$E$6,分析!$Z48&gt;=V811設定!$E$7,F48&gt;=V811設定!$E$8,G48&lt;=V811設定!$E$9),1,0))</f>
      </c>
      <c r="J48">
        <f>IF(A48="","",IF(I48=1,"○ゲート通過",IF(V811設定!$E$11&lt;&gt;1,"― 停止中",IF(C48&gt;V811設定!$E$3,"×値動きが荒い",IF(D48&gt;V811設定!$E$4,"×レンジが広い",IF(E48&gt;V811設定!$E$5,"×窓を開けて上昇",IF(分析!$Z48&gt;V811設定!$E$6,"×前日に急騰",IF(分析!$Z48&lt;V811設定!$E$7,"×前日に急落",IF(F48&lt;V811設定!$E$8,"×高値から離れすぎ",IF(G48&gt;V811設定!$E$9,"×当日の値幅が大きい","×"))))))))))</f>
      </c>
      <c r="K48">
        <f>IF(売分析!$C48="","",売分析!$C48)</f>
      </c>
      <c r="L48">
        <f>IF(売分析!$C48="","",売分析!$D48)</f>
      </c>
      <c r="M48">
        <f>IFERROR((SUM(OFFSET(高値!$E$6,IFERROR(MATCH(売分析!$C48,銘柄管理!$B$6:$B$305,0),MATCH(TEXT(売分析!$C48,"0"),銘柄管理!$B$6:$B$305,0))-1,0,1,14))-SUM(OFFSET(安値!$E$6,IFERROR(MATCH(売分析!$C48,銘柄管理!$B$6:$B$305,0),MATCH(TEXT(売分析!$C48,"0"),銘柄管理!$B$6:$B$305,0))-1,0,1,14)))/SUM(OFFSET(終値!$E$6,IFERROR(MATCH(売分析!$C48,銘柄管理!$B$6:$B$305,0),MATCH(TEXT(売分析!$C48,"0"),銘柄管理!$B$6:$B$305,0))-1,0,1,14))*100,"")</f>
      </c>
      <c r="N48">
        <f>IFERROR((MAX(OFFSET(高値!$E$6,IFERROR(MATCH(売分析!$C48,銘柄管理!$B$6:$B$305,0),MATCH(TEXT(売分析!$C48,"0"),銘柄管理!$B$6:$B$305,0))-1,0,1,25))-MIN(OFFSET(安値!$E$6,IFERROR(MATCH(売分析!$C48,銘柄管理!$B$6:$B$305,0),MATCH(TEXT(売分析!$C48,"0"),銘柄管理!$B$6:$B$305,0))-1,0,1,25)))/売分析!$E48*100,"")</f>
      </c>
      <c r="O48">
        <f>IFERROR((売分析!$F48-売分析!$G48)/売分析!$G48*100,"")</f>
      </c>
      <c r="P48">
        <f>IFERROR((売分析!$E48-MAX(OFFSET(高値!$E$6,IFERROR(MATCH(売分析!$C48,銘柄管理!$B$6:$B$305,0),MATCH(TEXT(売分析!$C48,"0"),銘柄管理!$B$6:$B$305,0))-1,0,1,25)))/MAX(OFFSET(高値!$E$6,IFERROR(MATCH(売分析!$C48,銘柄管理!$B$6:$B$305,0),MATCH(TEXT(売分析!$C48,"0"),銘柄管理!$B$6:$B$305,0))-1,0,1,25))*100,"")</f>
      </c>
      <c r="Q48">
        <f>IFERROR((売分析!$H48-売分析!$I48)/売分析!$F48*100,"")</f>
      </c>
      <c r="R48">
        <f>IFERROR(5-COUNTIF($M$3:$M$206,"&lt;"&amp;$M48)/COUNT($M$3:$M$206)-COUNTIF($Q$3:$Q$206,"&lt;"&amp;$Q48)/COUNT($Q$3:$Q$206)-COUNTIF($N$3:$N$206,"&lt;"&amp;$N48)/COUNT($N$3:$N$206)-COUNTIF(売分析!$Z$3:$Z$206,"&lt;"&amp;売分析!$Z48)/COUNT(売分析!$Z$3:$Z$206)-COUNTIF($O$3:$O$206,"&lt;"&amp;$O48)/COUNT($O$3:$O$206),"")</f>
      </c>
      <c r="S48">
        <f>IF(OR(K48="",K48="TOPX",M48="",R48=""),0,IF(AND(V811設定!$E$12=1,M48&lt;=V811設定!$E$3,N48&lt;=V811設定!$E$4,O48&lt;=V811設定!$E$5,売分析!$Z48&lt;=V811設定!$E$6,売分析!$Z48&gt;=V811設定!$E$7,P48&gt;=V811設定!$E$8,Q48&lt;=V811設定!$E$9),1,0))</f>
      </c>
      <c r="T48">
        <f>IF(K48="","",IF(S48=1,"○ゲート通過",IF(V811設定!$E$12&lt;&gt;1,"― 停止中",IF(M48&gt;V811設定!$E$3,"×値動きが荒い",IF(N48&gt;V811設定!$E$4,"×レンジが広い",IF(O48&gt;V811設定!$E$5,"×窓を開けて上昇",IF(売分析!$Z48&gt;V811設定!$E$6,"×前日に急騰",IF(売分析!$Z48&lt;V811設定!$E$7,"×前日に急落",IF(P48&lt;V811設定!$E$8,"×高値から離れすぎ",IF(Q48&gt;V811設定!$E$9,"×当日の値幅が大きい","×"))))))))))</f>
      </c>
    </row>
    <row r="49" spans="1:20">
      <c r="A49">
        <f>IF(分析!$C49="","",分析!$C49)</f>
      </c>
      <c r="B49">
        <f>IF(分析!$C49="","",分析!$D49)</f>
      </c>
      <c r="C49">
        <f>IFERROR((SUM(OFFSET(高値!$E$6,IFERROR(MATCH(分析!$C49,銘柄管理!$B$6:$B$305,0),MATCH(TEXT(分析!$C49,"0"),銘柄管理!$B$6:$B$305,0))-1,0,1,14))-SUM(OFFSET(安値!$E$6,IFERROR(MATCH(分析!$C49,銘柄管理!$B$6:$B$305,0),MATCH(TEXT(分析!$C49,"0"),銘柄管理!$B$6:$B$305,0))-1,0,1,14)))/SUM(OFFSET(終値!$E$6,IFERROR(MATCH(分析!$C49,銘柄管理!$B$6:$B$305,0),MATCH(TEXT(分析!$C49,"0"),銘柄管理!$B$6:$B$305,0))-1,0,1,14))*100,"")</f>
      </c>
      <c r="D49">
        <f>IFERROR((MAX(OFFSET(高値!$E$6,IFERROR(MATCH(分析!$C49,銘柄管理!$B$6:$B$305,0),MATCH(TEXT(分析!$C49,"0"),銘柄管理!$B$6:$B$305,0))-1,0,1,25))-MIN(OFFSET(安値!$E$6,IFERROR(MATCH(分析!$C49,銘柄管理!$B$6:$B$305,0),MATCH(TEXT(分析!$C49,"0"),銘柄管理!$B$6:$B$305,0))-1,0,1,25)))/分析!$E49*100,"")</f>
      </c>
      <c r="E49">
        <f>IFERROR((分析!$F49-分析!$G49)/分析!$G49*100,"")</f>
      </c>
      <c r="F49">
        <f>IFERROR((分析!$E49-MAX(OFFSET(高値!$E$6,IFERROR(MATCH(分析!$C49,銘柄管理!$B$6:$B$305,0),MATCH(TEXT(分析!$C49,"0"),銘柄管理!$B$6:$B$305,0))-1,0,1,25)))/MAX(OFFSET(高値!$E$6,IFERROR(MATCH(分析!$C49,銘柄管理!$B$6:$B$305,0),MATCH(TEXT(分析!$C49,"0"),銘柄管理!$B$6:$B$305,0))-1,0,1,25))*100,"")</f>
      </c>
      <c r="G49">
        <f>IFERROR((分析!$H49-分析!$I49)/分析!$F49*100,"")</f>
      </c>
      <c r="H49">
        <f>IFERROR(5-COUNTIF($C$3:$C$206,"&lt;"&amp;$C49)/COUNT($C$3:$C$206)-COUNTIF($G$3:$G$206,"&lt;"&amp;$G49)/COUNT($G$3:$G$206)-COUNTIF($D$3:$D$206,"&lt;"&amp;$D49)/COUNT($D$3:$D$206)-COUNTIF(分析!$Z$3:$Z$206,"&lt;"&amp;分析!$Z49)/COUNT(分析!$Z$3:$Z$206)-COUNTIF($E$3:$E$206,"&lt;"&amp;$E49)/COUNT($E$3:$E$206),"")</f>
      </c>
      <c r="I49">
        <f>IF(OR(A49="",A49="TOPX",C49="",H49=""),0,IF(AND(V811設定!$E$11=1,C49&lt;=V811設定!$E$3,D49&lt;=V811設定!$E$4,E49&lt;=V811設定!$E$5,分析!$Z49&lt;=V811設定!$E$6,分析!$Z49&gt;=V811設定!$E$7,F49&gt;=V811設定!$E$8,G49&lt;=V811設定!$E$9),1,0))</f>
      </c>
      <c r="J49">
        <f>IF(A49="","",IF(I49=1,"○ゲート通過",IF(V811設定!$E$11&lt;&gt;1,"― 停止中",IF(C49&gt;V811設定!$E$3,"×値動きが荒い",IF(D49&gt;V811設定!$E$4,"×レンジが広い",IF(E49&gt;V811設定!$E$5,"×窓を開けて上昇",IF(分析!$Z49&gt;V811設定!$E$6,"×前日に急騰",IF(分析!$Z49&lt;V811設定!$E$7,"×前日に急落",IF(F49&lt;V811設定!$E$8,"×高値から離れすぎ",IF(G49&gt;V811設定!$E$9,"×当日の値幅が大きい","×"))))))))))</f>
      </c>
      <c r="K49">
        <f>IF(売分析!$C49="","",売分析!$C49)</f>
      </c>
      <c r="L49">
        <f>IF(売分析!$C49="","",売分析!$D49)</f>
      </c>
      <c r="M49">
        <f>IFERROR((SUM(OFFSET(高値!$E$6,IFERROR(MATCH(売分析!$C49,銘柄管理!$B$6:$B$305,0),MATCH(TEXT(売分析!$C49,"0"),銘柄管理!$B$6:$B$305,0))-1,0,1,14))-SUM(OFFSET(安値!$E$6,IFERROR(MATCH(売分析!$C49,銘柄管理!$B$6:$B$305,0),MATCH(TEXT(売分析!$C49,"0"),銘柄管理!$B$6:$B$305,0))-1,0,1,14)))/SUM(OFFSET(終値!$E$6,IFERROR(MATCH(売分析!$C49,銘柄管理!$B$6:$B$305,0),MATCH(TEXT(売分析!$C49,"0"),銘柄管理!$B$6:$B$305,0))-1,0,1,14))*100,"")</f>
      </c>
      <c r="N49">
        <f>IFERROR((MAX(OFFSET(高値!$E$6,IFERROR(MATCH(売分析!$C49,銘柄管理!$B$6:$B$305,0),MATCH(TEXT(売分析!$C49,"0"),銘柄管理!$B$6:$B$305,0))-1,0,1,25))-MIN(OFFSET(安値!$E$6,IFERROR(MATCH(売分析!$C49,銘柄管理!$B$6:$B$305,0),MATCH(TEXT(売分析!$C49,"0"),銘柄管理!$B$6:$B$305,0))-1,0,1,25)))/売分析!$E49*100,"")</f>
      </c>
      <c r="O49">
        <f>IFERROR((売分析!$F49-売分析!$G49)/売分析!$G49*100,"")</f>
      </c>
      <c r="P49">
        <f>IFERROR((売分析!$E49-MAX(OFFSET(高値!$E$6,IFERROR(MATCH(売分析!$C49,銘柄管理!$B$6:$B$305,0),MATCH(TEXT(売分析!$C49,"0"),銘柄管理!$B$6:$B$305,0))-1,0,1,25)))/MAX(OFFSET(高値!$E$6,IFERROR(MATCH(売分析!$C49,銘柄管理!$B$6:$B$305,0),MATCH(TEXT(売分析!$C49,"0"),銘柄管理!$B$6:$B$305,0))-1,0,1,25))*100,"")</f>
      </c>
      <c r="Q49">
        <f>IFERROR((売分析!$H49-売分析!$I49)/売分析!$F49*100,"")</f>
      </c>
      <c r="R49">
        <f>IFERROR(5-COUNTIF($M$3:$M$206,"&lt;"&amp;$M49)/COUNT($M$3:$M$206)-COUNTIF($Q$3:$Q$206,"&lt;"&amp;$Q49)/COUNT($Q$3:$Q$206)-COUNTIF($N$3:$N$206,"&lt;"&amp;$N49)/COUNT($N$3:$N$206)-COUNTIF(売分析!$Z$3:$Z$206,"&lt;"&amp;売分析!$Z49)/COUNT(売分析!$Z$3:$Z$206)-COUNTIF($O$3:$O$206,"&lt;"&amp;$O49)/COUNT($O$3:$O$206),"")</f>
      </c>
      <c r="S49">
        <f>IF(OR(K49="",K49="TOPX",M49="",R49=""),0,IF(AND(V811設定!$E$12=1,M49&lt;=V811設定!$E$3,N49&lt;=V811設定!$E$4,O49&lt;=V811設定!$E$5,売分析!$Z49&lt;=V811設定!$E$6,売分析!$Z49&gt;=V811設定!$E$7,P49&gt;=V811設定!$E$8,Q49&lt;=V811設定!$E$9),1,0))</f>
      </c>
      <c r="T49">
        <f>IF(K49="","",IF(S49=1,"○ゲート通過",IF(V811設定!$E$12&lt;&gt;1,"― 停止中",IF(M49&gt;V811設定!$E$3,"×値動きが荒い",IF(N49&gt;V811設定!$E$4,"×レンジが広い",IF(O49&gt;V811設定!$E$5,"×窓を開けて上昇",IF(売分析!$Z49&gt;V811設定!$E$6,"×前日に急騰",IF(売分析!$Z49&lt;V811設定!$E$7,"×前日に急落",IF(P49&lt;V811設定!$E$8,"×高値から離れすぎ",IF(Q49&gt;V811設定!$E$9,"×当日の値幅が大きい","×"))))))))))</f>
      </c>
    </row>
    <row r="50" spans="1:20">
      <c r="A50">
        <f>IF(分析!$C50="","",分析!$C50)</f>
      </c>
      <c r="B50">
        <f>IF(分析!$C50="","",分析!$D50)</f>
      </c>
      <c r="C50">
        <f>IFERROR((SUM(OFFSET(高値!$E$6,IFERROR(MATCH(分析!$C50,銘柄管理!$B$6:$B$305,0),MATCH(TEXT(分析!$C50,"0"),銘柄管理!$B$6:$B$305,0))-1,0,1,14))-SUM(OFFSET(安値!$E$6,IFERROR(MATCH(分析!$C50,銘柄管理!$B$6:$B$305,0),MATCH(TEXT(分析!$C50,"0"),銘柄管理!$B$6:$B$305,0))-1,0,1,14)))/SUM(OFFSET(終値!$E$6,IFERROR(MATCH(分析!$C50,銘柄管理!$B$6:$B$305,0),MATCH(TEXT(分析!$C50,"0"),銘柄管理!$B$6:$B$305,0))-1,0,1,14))*100,"")</f>
      </c>
      <c r="D50">
        <f>IFERROR((MAX(OFFSET(高値!$E$6,IFERROR(MATCH(分析!$C50,銘柄管理!$B$6:$B$305,0),MATCH(TEXT(分析!$C50,"0"),銘柄管理!$B$6:$B$305,0))-1,0,1,25))-MIN(OFFSET(安値!$E$6,IFERROR(MATCH(分析!$C50,銘柄管理!$B$6:$B$305,0),MATCH(TEXT(分析!$C50,"0"),銘柄管理!$B$6:$B$305,0))-1,0,1,25)))/分析!$E50*100,"")</f>
      </c>
      <c r="E50">
        <f>IFERROR((分析!$F50-分析!$G50)/分析!$G50*100,"")</f>
      </c>
      <c r="F50">
        <f>IFERROR((分析!$E50-MAX(OFFSET(高値!$E$6,IFERROR(MATCH(分析!$C50,銘柄管理!$B$6:$B$305,0),MATCH(TEXT(分析!$C50,"0"),銘柄管理!$B$6:$B$305,0))-1,0,1,25)))/MAX(OFFSET(高値!$E$6,IFERROR(MATCH(分析!$C50,銘柄管理!$B$6:$B$305,0),MATCH(TEXT(分析!$C50,"0"),銘柄管理!$B$6:$B$305,0))-1,0,1,25))*100,"")</f>
      </c>
      <c r="G50">
        <f>IFERROR((分析!$H50-分析!$I50)/分析!$F50*100,"")</f>
      </c>
      <c r="H50">
        <f>IFERROR(5-COUNTIF($C$3:$C$206,"&lt;"&amp;$C50)/COUNT($C$3:$C$206)-COUNTIF($G$3:$G$206,"&lt;"&amp;$G50)/COUNT($G$3:$G$206)-COUNTIF($D$3:$D$206,"&lt;"&amp;$D50)/COUNT($D$3:$D$206)-COUNTIF(分析!$Z$3:$Z$206,"&lt;"&amp;分析!$Z50)/COUNT(分析!$Z$3:$Z$206)-COUNTIF($E$3:$E$206,"&lt;"&amp;$E50)/COUNT($E$3:$E$206),"")</f>
      </c>
      <c r="I50">
        <f>IF(OR(A50="",A50="TOPX",C50="",H50=""),0,IF(AND(V811設定!$E$11=1,C50&lt;=V811設定!$E$3,D50&lt;=V811設定!$E$4,E50&lt;=V811設定!$E$5,分析!$Z50&lt;=V811設定!$E$6,分析!$Z50&gt;=V811設定!$E$7,F50&gt;=V811設定!$E$8,G50&lt;=V811設定!$E$9),1,0))</f>
      </c>
      <c r="J50">
        <f>IF(A50="","",IF(I50=1,"○ゲート通過",IF(V811設定!$E$11&lt;&gt;1,"― 停止中",IF(C50&gt;V811設定!$E$3,"×値動きが荒い",IF(D50&gt;V811設定!$E$4,"×レンジが広い",IF(E50&gt;V811設定!$E$5,"×窓を開けて上昇",IF(分析!$Z50&gt;V811設定!$E$6,"×前日に急騰",IF(分析!$Z50&lt;V811設定!$E$7,"×前日に急落",IF(F50&lt;V811設定!$E$8,"×高値から離れすぎ",IF(G50&gt;V811設定!$E$9,"×当日の値幅が大きい","×"))))))))))</f>
      </c>
      <c r="K50">
        <f>IF(売分析!$C50="","",売分析!$C50)</f>
      </c>
      <c r="L50">
        <f>IF(売分析!$C50="","",売分析!$D50)</f>
      </c>
      <c r="M50">
        <f>IFERROR((SUM(OFFSET(高値!$E$6,IFERROR(MATCH(売分析!$C50,銘柄管理!$B$6:$B$305,0),MATCH(TEXT(売分析!$C50,"0"),銘柄管理!$B$6:$B$305,0))-1,0,1,14))-SUM(OFFSET(安値!$E$6,IFERROR(MATCH(売分析!$C50,銘柄管理!$B$6:$B$305,0),MATCH(TEXT(売分析!$C50,"0"),銘柄管理!$B$6:$B$305,0))-1,0,1,14)))/SUM(OFFSET(終値!$E$6,IFERROR(MATCH(売分析!$C50,銘柄管理!$B$6:$B$305,0),MATCH(TEXT(売分析!$C50,"0"),銘柄管理!$B$6:$B$305,0))-1,0,1,14))*100,"")</f>
      </c>
      <c r="N50">
        <f>IFERROR((MAX(OFFSET(高値!$E$6,IFERROR(MATCH(売分析!$C50,銘柄管理!$B$6:$B$305,0),MATCH(TEXT(売分析!$C50,"0"),銘柄管理!$B$6:$B$305,0))-1,0,1,25))-MIN(OFFSET(安値!$E$6,IFERROR(MATCH(売分析!$C50,銘柄管理!$B$6:$B$305,0),MATCH(TEXT(売分析!$C50,"0"),銘柄管理!$B$6:$B$305,0))-1,0,1,25)))/売分析!$E50*100,"")</f>
      </c>
      <c r="O50">
        <f>IFERROR((売分析!$F50-売分析!$G50)/売分析!$G50*100,"")</f>
      </c>
      <c r="P50">
        <f>IFERROR((売分析!$E50-MAX(OFFSET(高値!$E$6,IFERROR(MATCH(売分析!$C50,銘柄管理!$B$6:$B$305,0),MATCH(TEXT(売分析!$C50,"0"),銘柄管理!$B$6:$B$305,0))-1,0,1,25)))/MAX(OFFSET(高値!$E$6,IFERROR(MATCH(売分析!$C50,銘柄管理!$B$6:$B$305,0),MATCH(TEXT(売分析!$C50,"0"),銘柄管理!$B$6:$B$305,0))-1,0,1,25))*100,"")</f>
      </c>
      <c r="Q50">
        <f>IFERROR((売分析!$H50-売分析!$I50)/売分析!$F50*100,"")</f>
      </c>
      <c r="R50">
        <f>IFERROR(5-COUNTIF($M$3:$M$206,"&lt;"&amp;$M50)/COUNT($M$3:$M$206)-COUNTIF($Q$3:$Q$206,"&lt;"&amp;$Q50)/COUNT($Q$3:$Q$206)-COUNTIF($N$3:$N$206,"&lt;"&amp;$N50)/COUNT($N$3:$N$206)-COUNTIF(売分析!$Z$3:$Z$206,"&lt;"&amp;売分析!$Z50)/COUNT(売分析!$Z$3:$Z$206)-COUNTIF($O$3:$O$206,"&lt;"&amp;$O50)/COUNT($O$3:$O$206),"")</f>
      </c>
      <c r="S50">
        <f>IF(OR(K50="",K50="TOPX",M50="",R50=""),0,IF(AND(V811設定!$E$12=1,M50&lt;=V811設定!$E$3,N50&lt;=V811設定!$E$4,O50&lt;=V811設定!$E$5,売分析!$Z50&lt;=V811設定!$E$6,売分析!$Z50&gt;=V811設定!$E$7,P50&gt;=V811設定!$E$8,Q50&lt;=V811設定!$E$9),1,0))</f>
      </c>
      <c r="T50">
        <f>IF(K50="","",IF(S50=1,"○ゲート通過",IF(V811設定!$E$12&lt;&gt;1,"― 停止中",IF(M50&gt;V811設定!$E$3,"×値動きが荒い",IF(N50&gt;V811設定!$E$4,"×レンジが広い",IF(O50&gt;V811設定!$E$5,"×窓を開けて上昇",IF(売分析!$Z50&gt;V811設定!$E$6,"×前日に急騰",IF(売分析!$Z50&lt;V811設定!$E$7,"×前日に急落",IF(P50&lt;V811設定!$E$8,"×高値から離れすぎ",IF(Q50&gt;V811設定!$E$9,"×当日の値幅が大きい","×"))))))))))</f>
      </c>
    </row>
    <row r="51" spans="1:20">
      <c r="A51">
        <f>IF(分析!$C51="","",分析!$C51)</f>
      </c>
      <c r="B51">
        <f>IF(分析!$C51="","",分析!$D51)</f>
      </c>
      <c r="C51">
        <f>IFERROR((SUM(OFFSET(高値!$E$6,IFERROR(MATCH(分析!$C51,銘柄管理!$B$6:$B$305,0),MATCH(TEXT(分析!$C51,"0"),銘柄管理!$B$6:$B$305,0))-1,0,1,14))-SUM(OFFSET(安値!$E$6,IFERROR(MATCH(分析!$C51,銘柄管理!$B$6:$B$305,0),MATCH(TEXT(分析!$C51,"0"),銘柄管理!$B$6:$B$305,0))-1,0,1,14)))/SUM(OFFSET(終値!$E$6,IFERROR(MATCH(分析!$C51,銘柄管理!$B$6:$B$305,0),MATCH(TEXT(分析!$C51,"0"),銘柄管理!$B$6:$B$305,0))-1,0,1,14))*100,"")</f>
      </c>
      <c r="D51">
        <f>IFERROR((MAX(OFFSET(高値!$E$6,IFERROR(MATCH(分析!$C51,銘柄管理!$B$6:$B$305,0),MATCH(TEXT(分析!$C51,"0"),銘柄管理!$B$6:$B$305,0))-1,0,1,25))-MIN(OFFSET(安値!$E$6,IFERROR(MATCH(分析!$C51,銘柄管理!$B$6:$B$305,0),MATCH(TEXT(分析!$C51,"0"),銘柄管理!$B$6:$B$305,0))-1,0,1,25)))/分析!$E51*100,"")</f>
      </c>
      <c r="E51">
        <f>IFERROR((分析!$F51-分析!$G51)/分析!$G51*100,"")</f>
      </c>
      <c r="F51">
        <f>IFERROR((分析!$E51-MAX(OFFSET(高値!$E$6,IFERROR(MATCH(分析!$C51,銘柄管理!$B$6:$B$305,0),MATCH(TEXT(分析!$C51,"0"),銘柄管理!$B$6:$B$305,0))-1,0,1,25)))/MAX(OFFSET(高値!$E$6,IFERROR(MATCH(分析!$C51,銘柄管理!$B$6:$B$305,0),MATCH(TEXT(分析!$C51,"0"),銘柄管理!$B$6:$B$305,0))-1,0,1,25))*100,"")</f>
      </c>
      <c r="G51">
        <f>IFERROR((分析!$H51-分析!$I51)/分析!$F51*100,"")</f>
      </c>
      <c r="H51">
        <f>IFERROR(5-COUNTIF($C$3:$C$206,"&lt;"&amp;$C51)/COUNT($C$3:$C$206)-COUNTIF($G$3:$G$206,"&lt;"&amp;$G51)/COUNT($G$3:$G$206)-COUNTIF($D$3:$D$206,"&lt;"&amp;$D51)/COUNT($D$3:$D$206)-COUNTIF(分析!$Z$3:$Z$206,"&lt;"&amp;分析!$Z51)/COUNT(分析!$Z$3:$Z$206)-COUNTIF($E$3:$E$206,"&lt;"&amp;$E51)/COUNT($E$3:$E$206),"")</f>
      </c>
      <c r="I51">
        <f>IF(OR(A51="",A51="TOPX",C51="",H51=""),0,IF(AND(V811設定!$E$11=1,C51&lt;=V811設定!$E$3,D51&lt;=V811設定!$E$4,E51&lt;=V811設定!$E$5,分析!$Z51&lt;=V811設定!$E$6,分析!$Z51&gt;=V811設定!$E$7,F51&gt;=V811設定!$E$8,G51&lt;=V811設定!$E$9),1,0))</f>
      </c>
      <c r="J51">
        <f>IF(A51="","",IF(I51=1,"○ゲート通過",IF(V811設定!$E$11&lt;&gt;1,"― 停止中",IF(C51&gt;V811設定!$E$3,"×値動きが荒い",IF(D51&gt;V811設定!$E$4,"×レンジが広い",IF(E51&gt;V811設定!$E$5,"×窓を開けて上昇",IF(分析!$Z51&gt;V811設定!$E$6,"×前日に急騰",IF(分析!$Z51&lt;V811設定!$E$7,"×前日に急落",IF(F51&lt;V811設定!$E$8,"×高値から離れすぎ",IF(G51&gt;V811設定!$E$9,"×当日の値幅が大きい","×"))))))))))</f>
      </c>
      <c r="K51">
        <f>IF(売分析!$C51="","",売分析!$C51)</f>
      </c>
      <c r="L51">
        <f>IF(売分析!$C51="","",売分析!$D51)</f>
      </c>
      <c r="M51">
        <f>IFERROR((SUM(OFFSET(高値!$E$6,IFERROR(MATCH(売分析!$C51,銘柄管理!$B$6:$B$305,0),MATCH(TEXT(売分析!$C51,"0"),銘柄管理!$B$6:$B$305,0))-1,0,1,14))-SUM(OFFSET(安値!$E$6,IFERROR(MATCH(売分析!$C51,銘柄管理!$B$6:$B$305,0),MATCH(TEXT(売分析!$C51,"0"),銘柄管理!$B$6:$B$305,0))-1,0,1,14)))/SUM(OFFSET(終値!$E$6,IFERROR(MATCH(売分析!$C51,銘柄管理!$B$6:$B$305,0),MATCH(TEXT(売分析!$C51,"0"),銘柄管理!$B$6:$B$305,0))-1,0,1,14))*100,"")</f>
      </c>
      <c r="N51">
        <f>IFERROR((MAX(OFFSET(高値!$E$6,IFERROR(MATCH(売分析!$C51,銘柄管理!$B$6:$B$305,0),MATCH(TEXT(売分析!$C51,"0"),銘柄管理!$B$6:$B$305,0))-1,0,1,25))-MIN(OFFSET(安値!$E$6,IFERROR(MATCH(売分析!$C51,銘柄管理!$B$6:$B$305,0),MATCH(TEXT(売分析!$C51,"0"),銘柄管理!$B$6:$B$305,0))-1,0,1,25)))/売分析!$E51*100,"")</f>
      </c>
      <c r="O51">
        <f>IFERROR((売分析!$F51-売分析!$G51)/売分析!$G51*100,"")</f>
      </c>
      <c r="P51">
        <f>IFERROR((売分析!$E51-MAX(OFFSET(高値!$E$6,IFERROR(MATCH(売分析!$C51,銘柄管理!$B$6:$B$305,0),MATCH(TEXT(売分析!$C51,"0"),銘柄管理!$B$6:$B$305,0))-1,0,1,25)))/MAX(OFFSET(高値!$E$6,IFERROR(MATCH(売分析!$C51,銘柄管理!$B$6:$B$305,0),MATCH(TEXT(売分析!$C51,"0"),銘柄管理!$B$6:$B$305,0))-1,0,1,25))*100,"")</f>
      </c>
      <c r="Q51">
        <f>IFERROR((売分析!$H51-売分析!$I51)/売分析!$F51*100,"")</f>
      </c>
      <c r="R51">
        <f>IFERROR(5-COUNTIF($M$3:$M$206,"&lt;"&amp;$M51)/COUNT($M$3:$M$206)-COUNTIF($Q$3:$Q$206,"&lt;"&amp;$Q51)/COUNT($Q$3:$Q$206)-COUNTIF($N$3:$N$206,"&lt;"&amp;$N51)/COUNT($N$3:$N$206)-COUNTIF(売分析!$Z$3:$Z$206,"&lt;"&amp;売分析!$Z51)/COUNT(売分析!$Z$3:$Z$206)-COUNTIF($O$3:$O$206,"&lt;"&amp;$O51)/COUNT($O$3:$O$206),"")</f>
      </c>
      <c r="S51">
        <f>IF(OR(K51="",K51="TOPX",M51="",R51=""),0,IF(AND(V811設定!$E$12=1,M51&lt;=V811設定!$E$3,N51&lt;=V811設定!$E$4,O51&lt;=V811設定!$E$5,売分析!$Z51&lt;=V811設定!$E$6,売分析!$Z51&gt;=V811設定!$E$7,P51&gt;=V811設定!$E$8,Q51&lt;=V811設定!$E$9),1,0))</f>
      </c>
      <c r="T51">
        <f>IF(K51="","",IF(S51=1,"○ゲート通過",IF(V811設定!$E$12&lt;&gt;1,"― 停止中",IF(M51&gt;V811設定!$E$3,"×値動きが荒い",IF(N51&gt;V811設定!$E$4,"×レンジが広い",IF(O51&gt;V811設定!$E$5,"×窓を開けて上昇",IF(売分析!$Z51&gt;V811設定!$E$6,"×前日に急騰",IF(売分析!$Z51&lt;V811設定!$E$7,"×前日に急落",IF(P51&lt;V811設定!$E$8,"×高値から離れすぎ",IF(Q51&gt;V811設定!$E$9,"×当日の値幅が大きい","×"))))))))))</f>
      </c>
    </row>
    <row r="52" spans="1:20">
      <c r="A52">
        <f>IF(分析!$C52="","",分析!$C52)</f>
      </c>
      <c r="B52">
        <f>IF(分析!$C52="","",分析!$D52)</f>
      </c>
      <c r="C52">
        <f>IFERROR((SUM(OFFSET(高値!$E$6,IFERROR(MATCH(分析!$C52,銘柄管理!$B$6:$B$305,0),MATCH(TEXT(分析!$C52,"0"),銘柄管理!$B$6:$B$305,0))-1,0,1,14))-SUM(OFFSET(安値!$E$6,IFERROR(MATCH(分析!$C52,銘柄管理!$B$6:$B$305,0),MATCH(TEXT(分析!$C52,"0"),銘柄管理!$B$6:$B$305,0))-1,0,1,14)))/SUM(OFFSET(終値!$E$6,IFERROR(MATCH(分析!$C52,銘柄管理!$B$6:$B$305,0),MATCH(TEXT(分析!$C52,"0"),銘柄管理!$B$6:$B$305,0))-1,0,1,14))*100,"")</f>
      </c>
      <c r="D52">
        <f>IFERROR((MAX(OFFSET(高値!$E$6,IFERROR(MATCH(分析!$C52,銘柄管理!$B$6:$B$305,0),MATCH(TEXT(分析!$C52,"0"),銘柄管理!$B$6:$B$305,0))-1,0,1,25))-MIN(OFFSET(安値!$E$6,IFERROR(MATCH(分析!$C52,銘柄管理!$B$6:$B$305,0),MATCH(TEXT(分析!$C52,"0"),銘柄管理!$B$6:$B$305,0))-1,0,1,25)))/分析!$E52*100,"")</f>
      </c>
      <c r="E52">
        <f>IFERROR((分析!$F52-分析!$G52)/分析!$G52*100,"")</f>
      </c>
      <c r="F52">
        <f>IFERROR((分析!$E52-MAX(OFFSET(高値!$E$6,IFERROR(MATCH(分析!$C52,銘柄管理!$B$6:$B$305,0),MATCH(TEXT(分析!$C52,"0"),銘柄管理!$B$6:$B$305,0))-1,0,1,25)))/MAX(OFFSET(高値!$E$6,IFERROR(MATCH(分析!$C52,銘柄管理!$B$6:$B$305,0),MATCH(TEXT(分析!$C52,"0"),銘柄管理!$B$6:$B$305,0))-1,0,1,25))*100,"")</f>
      </c>
      <c r="G52">
        <f>IFERROR((分析!$H52-分析!$I52)/分析!$F52*100,"")</f>
      </c>
      <c r="H52">
        <f>IFERROR(5-COUNTIF($C$3:$C$206,"&lt;"&amp;$C52)/COUNT($C$3:$C$206)-COUNTIF($G$3:$G$206,"&lt;"&amp;$G52)/COUNT($G$3:$G$206)-COUNTIF($D$3:$D$206,"&lt;"&amp;$D52)/COUNT($D$3:$D$206)-COUNTIF(分析!$Z$3:$Z$206,"&lt;"&amp;分析!$Z52)/COUNT(分析!$Z$3:$Z$206)-COUNTIF($E$3:$E$206,"&lt;"&amp;$E52)/COUNT($E$3:$E$206),"")</f>
      </c>
      <c r="I52">
        <f>IF(OR(A52="",A52="TOPX",C52="",H52=""),0,IF(AND(V811設定!$E$11=1,C52&lt;=V811設定!$E$3,D52&lt;=V811設定!$E$4,E52&lt;=V811設定!$E$5,分析!$Z52&lt;=V811設定!$E$6,分析!$Z52&gt;=V811設定!$E$7,F52&gt;=V811設定!$E$8,G52&lt;=V811設定!$E$9),1,0))</f>
      </c>
      <c r="J52">
        <f>IF(A52="","",IF(I52=1,"○ゲート通過",IF(V811設定!$E$11&lt;&gt;1,"― 停止中",IF(C52&gt;V811設定!$E$3,"×値動きが荒い",IF(D52&gt;V811設定!$E$4,"×レンジが広い",IF(E52&gt;V811設定!$E$5,"×窓を開けて上昇",IF(分析!$Z52&gt;V811設定!$E$6,"×前日に急騰",IF(分析!$Z52&lt;V811設定!$E$7,"×前日に急落",IF(F52&lt;V811設定!$E$8,"×高値から離れすぎ",IF(G52&gt;V811設定!$E$9,"×当日の値幅が大きい","×"))))))))))</f>
      </c>
      <c r="K52">
        <f>IF(売分析!$C52="","",売分析!$C52)</f>
      </c>
      <c r="L52">
        <f>IF(売分析!$C52="","",売分析!$D52)</f>
      </c>
      <c r="M52">
        <f>IFERROR((SUM(OFFSET(高値!$E$6,IFERROR(MATCH(売分析!$C52,銘柄管理!$B$6:$B$305,0),MATCH(TEXT(売分析!$C52,"0"),銘柄管理!$B$6:$B$305,0))-1,0,1,14))-SUM(OFFSET(安値!$E$6,IFERROR(MATCH(売分析!$C52,銘柄管理!$B$6:$B$305,0),MATCH(TEXT(売分析!$C52,"0"),銘柄管理!$B$6:$B$305,0))-1,0,1,14)))/SUM(OFFSET(終値!$E$6,IFERROR(MATCH(売分析!$C52,銘柄管理!$B$6:$B$305,0),MATCH(TEXT(売分析!$C52,"0"),銘柄管理!$B$6:$B$305,0))-1,0,1,14))*100,"")</f>
      </c>
      <c r="N52">
        <f>IFERROR((MAX(OFFSET(高値!$E$6,IFERROR(MATCH(売分析!$C52,銘柄管理!$B$6:$B$305,0),MATCH(TEXT(売分析!$C52,"0"),銘柄管理!$B$6:$B$305,0))-1,0,1,25))-MIN(OFFSET(安値!$E$6,IFERROR(MATCH(売分析!$C52,銘柄管理!$B$6:$B$305,0),MATCH(TEXT(売分析!$C52,"0"),銘柄管理!$B$6:$B$305,0))-1,0,1,25)))/売分析!$E52*100,"")</f>
      </c>
      <c r="O52">
        <f>IFERROR((売分析!$F52-売分析!$G52)/売分析!$G52*100,"")</f>
      </c>
      <c r="P52">
        <f>IFERROR((売分析!$E52-MAX(OFFSET(高値!$E$6,IFERROR(MATCH(売分析!$C52,銘柄管理!$B$6:$B$305,0),MATCH(TEXT(売分析!$C52,"0"),銘柄管理!$B$6:$B$305,0))-1,0,1,25)))/MAX(OFFSET(高値!$E$6,IFERROR(MATCH(売分析!$C52,銘柄管理!$B$6:$B$305,0),MATCH(TEXT(売分析!$C52,"0"),銘柄管理!$B$6:$B$305,0))-1,0,1,25))*100,"")</f>
      </c>
      <c r="Q52">
        <f>IFERROR((売分析!$H52-売分析!$I52)/売分析!$F52*100,"")</f>
      </c>
      <c r="R52">
        <f>IFERROR(5-COUNTIF($M$3:$M$206,"&lt;"&amp;$M52)/COUNT($M$3:$M$206)-COUNTIF($Q$3:$Q$206,"&lt;"&amp;$Q52)/COUNT($Q$3:$Q$206)-COUNTIF($N$3:$N$206,"&lt;"&amp;$N52)/COUNT($N$3:$N$206)-COUNTIF(売分析!$Z$3:$Z$206,"&lt;"&amp;売分析!$Z52)/COUNT(売分析!$Z$3:$Z$206)-COUNTIF($O$3:$O$206,"&lt;"&amp;$O52)/COUNT($O$3:$O$206),"")</f>
      </c>
      <c r="S52">
        <f>IF(OR(K52="",K52="TOPX",M52="",R52=""),0,IF(AND(V811設定!$E$12=1,M52&lt;=V811設定!$E$3,N52&lt;=V811設定!$E$4,O52&lt;=V811設定!$E$5,売分析!$Z52&lt;=V811設定!$E$6,売分析!$Z52&gt;=V811設定!$E$7,P52&gt;=V811設定!$E$8,Q52&lt;=V811設定!$E$9),1,0))</f>
      </c>
      <c r="T52">
        <f>IF(K52="","",IF(S52=1,"○ゲート通過",IF(V811設定!$E$12&lt;&gt;1,"― 停止中",IF(M52&gt;V811設定!$E$3,"×値動きが荒い",IF(N52&gt;V811設定!$E$4,"×レンジが広い",IF(O52&gt;V811設定!$E$5,"×窓を開けて上昇",IF(売分析!$Z52&gt;V811設定!$E$6,"×前日に急騰",IF(売分析!$Z52&lt;V811設定!$E$7,"×前日に急落",IF(P52&lt;V811設定!$E$8,"×高値から離れすぎ",IF(Q52&gt;V811設定!$E$9,"×当日の値幅が大きい","×"))))))))))</f>
      </c>
    </row>
    <row r="53" spans="1:20">
      <c r="A53">
        <f>IF(分析!$C53="","",分析!$C53)</f>
      </c>
      <c r="B53">
        <f>IF(分析!$C53="","",分析!$D53)</f>
      </c>
      <c r="C53">
        <f>IFERROR((SUM(OFFSET(高値!$E$6,IFERROR(MATCH(分析!$C53,銘柄管理!$B$6:$B$305,0),MATCH(TEXT(分析!$C53,"0"),銘柄管理!$B$6:$B$305,0))-1,0,1,14))-SUM(OFFSET(安値!$E$6,IFERROR(MATCH(分析!$C53,銘柄管理!$B$6:$B$305,0),MATCH(TEXT(分析!$C53,"0"),銘柄管理!$B$6:$B$305,0))-1,0,1,14)))/SUM(OFFSET(終値!$E$6,IFERROR(MATCH(分析!$C53,銘柄管理!$B$6:$B$305,0),MATCH(TEXT(分析!$C53,"0"),銘柄管理!$B$6:$B$305,0))-1,0,1,14))*100,"")</f>
      </c>
      <c r="D53">
        <f>IFERROR((MAX(OFFSET(高値!$E$6,IFERROR(MATCH(分析!$C53,銘柄管理!$B$6:$B$305,0),MATCH(TEXT(分析!$C53,"0"),銘柄管理!$B$6:$B$305,0))-1,0,1,25))-MIN(OFFSET(安値!$E$6,IFERROR(MATCH(分析!$C53,銘柄管理!$B$6:$B$305,0),MATCH(TEXT(分析!$C53,"0"),銘柄管理!$B$6:$B$305,0))-1,0,1,25)))/分析!$E53*100,"")</f>
      </c>
      <c r="E53">
        <f>IFERROR((分析!$F53-分析!$G53)/分析!$G53*100,"")</f>
      </c>
      <c r="F53">
        <f>IFERROR((分析!$E53-MAX(OFFSET(高値!$E$6,IFERROR(MATCH(分析!$C53,銘柄管理!$B$6:$B$305,0),MATCH(TEXT(分析!$C53,"0"),銘柄管理!$B$6:$B$305,0))-1,0,1,25)))/MAX(OFFSET(高値!$E$6,IFERROR(MATCH(分析!$C53,銘柄管理!$B$6:$B$305,0),MATCH(TEXT(分析!$C53,"0"),銘柄管理!$B$6:$B$305,0))-1,0,1,25))*100,"")</f>
      </c>
      <c r="G53">
        <f>IFERROR((分析!$H53-分析!$I53)/分析!$F53*100,"")</f>
      </c>
      <c r="H53">
        <f>IFERROR(5-COUNTIF($C$3:$C$206,"&lt;"&amp;$C53)/COUNT($C$3:$C$206)-COUNTIF($G$3:$G$206,"&lt;"&amp;$G53)/COUNT($G$3:$G$206)-COUNTIF($D$3:$D$206,"&lt;"&amp;$D53)/COUNT($D$3:$D$206)-COUNTIF(分析!$Z$3:$Z$206,"&lt;"&amp;分析!$Z53)/COUNT(分析!$Z$3:$Z$206)-COUNTIF($E$3:$E$206,"&lt;"&amp;$E53)/COUNT($E$3:$E$206),"")</f>
      </c>
      <c r="I53">
        <f>IF(OR(A53="",A53="TOPX",C53="",H53=""),0,IF(AND(V811設定!$E$11=1,C53&lt;=V811設定!$E$3,D53&lt;=V811設定!$E$4,E53&lt;=V811設定!$E$5,分析!$Z53&lt;=V811設定!$E$6,分析!$Z53&gt;=V811設定!$E$7,F53&gt;=V811設定!$E$8,G53&lt;=V811設定!$E$9),1,0))</f>
      </c>
      <c r="J53">
        <f>IF(A53="","",IF(I53=1,"○ゲート通過",IF(V811設定!$E$11&lt;&gt;1,"― 停止中",IF(C53&gt;V811設定!$E$3,"×値動きが荒い",IF(D53&gt;V811設定!$E$4,"×レンジが広い",IF(E53&gt;V811設定!$E$5,"×窓を開けて上昇",IF(分析!$Z53&gt;V811設定!$E$6,"×前日に急騰",IF(分析!$Z53&lt;V811設定!$E$7,"×前日に急落",IF(F53&lt;V811設定!$E$8,"×高値から離れすぎ",IF(G53&gt;V811設定!$E$9,"×当日の値幅が大きい","×"))))))))))</f>
      </c>
      <c r="K53">
        <f>IF(売分析!$C53="","",売分析!$C53)</f>
      </c>
      <c r="L53">
        <f>IF(売分析!$C53="","",売分析!$D53)</f>
      </c>
      <c r="M53">
        <f>IFERROR((SUM(OFFSET(高値!$E$6,IFERROR(MATCH(売分析!$C53,銘柄管理!$B$6:$B$305,0),MATCH(TEXT(売分析!$C53,"0"),銘柄管理!$B$6:$B$305,0))-1,0,1,14))-SUM(OFFSET(安値!$E$6,IFERROR(MATCH(売分析!$C53,銘柄管理!$B$6:$B$305,0),MATCH(TEXT(売分析!$C53,"0"),銘柄管理!$B$6:$B$305,0))-1,0,1,14)))/SUM(OFFSET(終値!$E$6,IFERROR(MATCH(売分析!$C53,銘柄管理!$B$6:$B$305,0),MATCH(TEXT(売分析!$C53,"0"),銘柄管理!$B$6:$B$305,0))-1,0,1,14))*100,"")</f>
      </c>
      <c r="N53">
        <f>IFERROR((MAX(OFFSET(高値!$E$6,IFERROR(MATCH(売分析!$C53,銘柄管理!$B$6:$B$305,0),MATCH(TEXT(売分析!$C53,"0"),銘柄管理!$B$6:$B$305,0))-1,0,1,25))-MIN(OFFSET(安値!$E$6,IFERROR(MATCH(売分析!$C53,銘柄管理!$B$6:$B$305,0),MATCH(TEXT(売分析!$C53,"0"),銘柄管理!$B$6:$B$305,0))-1,0,1,25)))/売分析!$E53*100,"")</f>
      </c>
      <c r="O53">
        <f>IFERROR((売分析!$F53-売分析!$G53)/売分析!$G53*100,"")</f>
      </c>
      <c r="P53">
        <f>IFERROR((売分析!$E53-MAX(OFFSET(高値!$E$6,IFERROR(MATCH(売分析!$C53,銘柄管理!$B$6:$B$305,0),MATCH(TEXT(売分析!$C53,"0"),銘柄管理!$B$6:$B$305,0))-1,0,1,25)))/MAX(OFFSET(高値!$E$6,IFERROR(MATCH(売分析!$C53,銘柄管理!$B$6:$B$305,0),MATCH(TEXT(売分析!$C53,"0"),銘柄管理!$B$6:$B$305,0))-1,0,1,25))*100,"")</f>
      </c>
      <c r="Q53">
        <f>IFERROR((売分析!$H53-売分析!$I53)/売分析!$F53*100,"")</f>
      </c>
      <c r="R53">
        <f>IFERROR(5-COUNTIF($M$3:$M$206,"&lt;"&amp;$M53)/COUNT($M$3:$M$206)-COUNTIF($Q$3:$Q$206,"&lt;"&amp;$Q53)/COUNT($Q$3:$Q$206)-COUNTIF($N$3:$N$206,"&lt;"&amp;$N53)/COUNT($N$3:$N$206)-COUNTIF(売分析!$Z$3:$Z$206,"&lt;"&amp;売分析!$Z53)/COUNT(売分析!$Z$3:$Z$206)-COUNTIF($O$3:$O$206,"&lt;"&amp;$O53)/COUNT($O$3:$O$206),"")</f>
      </c>
      <c r="S53">
        <f>IF(OR(K53="",K53="TOPX",M53="",R53=""),0,IF(AND(V811設定!$E$12=1,M53&lt;=V811設定!$E$3,N53&lt;=V811設定!$E$4,O53&lt;=V811設定!$E$5,売分析!$Z53&lt;=V811設定!$E$6,売分析!$Z53&gt;=V811設定!$E$7,P53&gt;=V811設定!$E$8,Q53&lt;=V811設定!$E$9),1,0))</f>
      </c>
      <c r="T53">
        <f>IF(K53="","",IF(S53=1,"○ゲート通過",IF(V811設定!$E$12&lt;&gt;1,"― 停止中",IF(M53&gt;V811設定!$E$3,"×値動きが荒い",IF(N53&gt;V811設定!$E$4,"×レンジが広い",IF(O53&gt;V811設定!$E$5,"×窓を開けて上昇",IF(売分析!$Z53&gt;V811設定!$E$6,"×前日に急騰",IF(売分析!$Z53&lt;V811設定!$E$7,"×前日に急落",IF(P53&lt;V811設定!$E$8,"×高値から離れすぎ",IF(Q53&gt;V811設定!$E$9,"×当日の値幅が大きい","×"))))))))))</f>
      </c>
    </row>
    <row r="54" spans="1:20">
      <c r="A54">
        <f>IF(分析!$C54="","",分析!$C54)</f>
      </c>
      <c r="B54">
        <f>IF(分析!$C54="","",分析!$D54)</f>
      </c>
      <c r="C54">
        <f>IFERROR((SUM(OFFSET(高値!$E$6,IFERROR(MATCH(分析!$C54,銘柄管理!$B$6:$B$305,0),MATCH(TEXT(分析!$C54,"0"),銘柄管理!$B$6:$B$305,0))-1,0,1,14))-SUM(OFFSET(安値!$E$6,IFERROR(MATCH(分析!$C54,銘柄管理!$B$6:$B$305,0),MATCH(TEXT(分析!$C54,"0"),銘柄管理!$B$6:$B$305,0))-1,0,1,14)))/SUM(OFFSET(終値!$E$6,IFERROR(MATCH(分析!$C54,銘柄管理!$B$6:$B$305,0),MATCH(TEXT(分析!$C54,"0"),銘柄管理!$B$6:$B$305,0))-1,0,1,14))*100,"")</f>
      </c>
      <c r="D54">
        <f>IFERROR((MAX(OFFSET(高値!$E$6,IFERROR(MATCH(分析!$C54,銘柄管理!$B$6:$B$305,0),MATCH(TEXT(分析!$C54,"0"),銘柄管理!$B$6:$B$305,0))-1,0,1,25))-MIN(OFFSET(安値!$E$6,IFERROR(MATCH(分析!$C54,銘柄管理!$B$6:$B$305,0),MATCH(TEXT(分析!$C54,"0"),銘柄管理!$B$6:$B$305,0))-1,0,1,25)))/分析!$E54*100,"")</f>
      </c>
      <c r="E54">
        <f>IFERROR((分析!$F54-分析!$G54)/分析!$G54*100,"")</f>
      </c>
      <c r="F54">
        <f>IFERROR((分析!$E54-MAX(OFFSET(高値!$E$6,IFERROR(MATCH(分析!$C54,銘柄管理!$B$6:$B$305,0),MATCH(TEXT(分析!$C54,"0"),銘柄管理!$B$6:$B$305,0))-1,0,1,25)))/MAX(OFFSET(高値!$E$6,IFERROR(MATCH(分析!$C54,銘柄管理!$B$6:$B$305,0),MATCH(TEXT(分析!$C54,"0"),銘柄管理!$B$6:$B$305,0))-1,0,1,25))*100,"")</f>
      </c>
      <c r="G54">
        <f>IFERROR((分析!$H54-分析!$I54)/分析!$F54*100,"")</f>
      </c>
      <c r="H54">
        <f>IFERROR(5-COUNTIF($C$3:$C$206,"&lt;"&amp;$C54)/COUNT($C$3:$C$206)-COUNTIF($G$3:$G$206,"&lt;"&amp;$G54)/COUNT($G$3:$G$206)-COUNTIF($D$3:$D$206,"&lt;"&amp;$D54)/COUNT($D$3:$D$206)-COUNTIF(分析!$Z$3:$Z$206,"&lt;"&amp;分析!$Z54)/COUNT(分析!$Z$3:$Z$206)-COUNTIF($E$3:$E$206,"&lt;"&amp;$E54)/COUNT($E$3:$E$206),"")</f>
      </c>
      <c r="I54">
        <f>IF(OR(A54="",A54="TOPX",C54="",H54=""),0,IF(AND(V811設定!$E$11=1,C54&lt;=V811設定!$E$3,D54&lt;=V811設定!$E$4,E54&lt;=V811設定!$E$5,分析!$Z54&lt;=V811設定!$E$6,分析!$Z54&gt;=V811設定!$E$7,F54&gt;=V811設定!$E$8,G54&lt;=V811設定!$E$9),1,0))</f>
      </c>
      <c r="J54">
        <f>IF(A54="","",IF(I54=1,"○ゲート通過",IF(V811設定!$E$11&lt;&gt;1,"― 停止中",IF(C54&gt;V811設定!$E$3,"×値動きが荒い",IF(D54&gt;V811設定!$E$4,"×レンジが広い",IF(E54&gt;V811設定!$E$5,"×窓を開けて上昇",IF(分析!$Z54&gt;V811設定!$E$6,"×前日に急騰",IF(分析!$Z54&lt;V811設定!$E$7,"×前日に急落",IF(F54&lt;V811設定!$E$8,"×高値から離れすぎ",IF(G54&gt;V811設定!$E$9,"×当日の値幅が大きい","×"))))))))))</f>
      </c>
      <c r="K54">
        <f>IF(売分析!$C54="","",売分析!$C54)</f>
      </c>
      <c r="L54">
        <f>IF(売分析!$C54="","",売分析!$D54)</f>
      </c>
      <c r="M54">
        <f>IFERROR((SUM(OFFSET(高値!$E$6,IFERROR(MATCH(売分析!$C54,銘柄管理!$B$6:$B$305,0),MATCH(TEXT(売分析!$C54,"0"),銘柄管理!$B$6:$B$305,0))-1,0,1,14))-SUM(OFFSET(安値!$E$6,IFERROR(MATCH(売分析!$C54,銘柄管理!$B$6:$B$305,0),MATCH(TEXT(売分析!$C54,"0"),銘柄管理!$B$6:$B$305,0))-1,0,1,14)))/SUM(OFFSET(終値!$E$6,IFERROR(MATCH(売分析!$C54,銘柄管理!$B$6:$B$305,0),MATCH(TEXT(売分析!$C54,"0"),銘柄管理!$B$6:$B$305,0))-1,0,1,14))*100,"")</f>
      </c>
      <c r="N54">
        <f>IFERROR((MAX(OFFSET(高値!$E$6,IFERROR(MATCH(売分析!$C54,銘柄管理!$B$6:$B$305,0),MATCH(TEXT(売分析!$C54,"0"),銘柄管理!$B$6:$B$305,0))-1,0,1,25))-MIN(OFFSET(安値!$E$6,IFERROR(MATCH(売分析!$C54,銘柄管理!$B$6:$B$305,0),MATCH(TEXT(売分析!$C54,"0"),銘柄管理!$B$6:$B$305,0))-1,0,1,25)))/売分析!$E54*100,"")</f>
      </c>
      <c r="O54">
        <f>IFERROR((売分析!$F54-売分析!$G54)/売分析!$G54*100,"")</f>
      </c>
      <c r="P54">
        <f>IFERROR((売分析!$E54-MAX(OFFSET(高値!$E$6,IFERROR(MATCH(売分析!$C54,銘柄管理!$B$6:$B$305,0),MATCH(TEXT(売分析!$C54,"0"),銘柄管理!$B$6:$B$305,0))-1,0,1,25)))/MAX(OFFSET(高値!$E$6,IFERROR(MATCH(売分析!$C54,銘柄管理!$B$6:$B$305,0),MATCH(TEXT(売分析!$C54,"0"),銘柄管理!$B$6:$B$305,0))-1,0,1,25))*100,"")</f>
      </c>
      <c r="Q54">
        <f>IFERROR((売分析!$H54-売分析!$I54)/売分析!$F54*100,"")</f>
      </c>
      <c r="R54">
        <f>IFERROR(5-COUNTIF($M$3:$M$206,"&lt;"&amp;$M54)/COUNT($M$3:$M$206)-COUNTIF($Q$3:$Q$206,"&lt;"&amp;$Q54)/COUNT($Q$3:$Q$206)-COUNTIF($N$3:$N$206,"&lt;"&amp;$N54)/COUNT($N$3:$N$206)-COUNTIF(売分析!$Z$3:$Z$206,"&lt;"&amp;売分析!$Z54)/COUNT(売分析!$Z$3:$Z$206)-COUNTIF($O$3:$O$206,"&lt;"&amp;$O54)/COUNT($O$3:$O$206),"")</f>
      </c>
      <c r="S54">
        <f>IF(OR(K54="",K54="TOPX",M54="",R54=""),0,IF(AND(V811設定!$E$12=1,M54&lt;=V811設定!$E$3,N54&lt;=V811設定!$E$4,O54&lt;=V811設定!$E$5,売分析!$Z54&lt;=V811設定!$E$6,売分析!$Z54&gt;=V811設定!$E$7,P54&gt;=V811設定!$E$8,Q54&lt;=V811設定!$E$9),1,0))</f>
      </c>
      <c r="T54">
        <f>IF(K54="","",IF(S54=1,"○ゲート通過",IF(V811設定!$E$12&lt;&gt;1,"― 停止中",IF(M54&gt;V811設定!$E$3,"×値動きが荒い",IF(N54&gt;V811設定!$E$4,"×レンジが広い",IF(O54&gt;V811設定!$E$5,"×窓を開けて上昇",IF(売分析!$Z54&gt;V811設定!$E$6,"×前日に急騰",IF(売分析!$Z54&lt;V811設定!$E$7,"×前日に急落",IF(P54&lt;V811設定!$E$8,"×高値から離れすぎ",IF(Q54&gt;V811設定!$E$9,"×当日の値幅が大きい","×"))))))))))</f>
      </c>
    </row>
    <row r="55" spans="1:20">
      <c r="A55">
        <f>IF(分析!$C55="","",分析!$C55)</f>
      </c>
      <c r="B55">
        <f>IF(分析!$C55="","",分析!$D55)</f>
      </c>
      <c r="C55">
        <f>IFERROR((SUM(OFFSET(高値!$E$6,IFERROR(MATCH(分析!$C55,銘柄管理!$B$6:$B$305,0),MATCH(TEXT(分析!$C55,"0"),銘柄管理!$B$6:$B$305,0))-1,0,1,14))-SUM(OFFSET(安値!$E$6,IFERROR(MATCH(分析!$C55,銘柄管理!$B$6:$B$305,0),MATCH(TEXT(分析!$C55,"0"),銘柄管理!$B$6:$B$305,0))-1,0,1,14)))/SUM(OFFSET(終値!$E$6,IFERROR(MATCH(分析!$C55,銘柄管理!$B$6:$B$305,0),MATCH(TEXT(分析!$C55,"0"),銘柄管理!$B$6:$B$305,0))-1,0,1,14))*100,"")</f>
      </c>
      <c r="D55">
        <f>IFERROR((MAX(OFFSET(高値!$E$6,IFERROR(MATCH(分析!$C55,銘柄管理!$B$6:$B$305,0),MATCH(TEXT(分析!$C55,"0"),銘柄管理!$B$6:$B$305,0))-1,0,1,25))-MIN(OFFSET(安値!$E$6,IFERROR(MATCH(分析!$C55,銘柄管理!$B$6:$B$305,0),MATCH(TEXT(分析!$C55,"0"),銘柄管理!$B$6:$B$305,0))-1,0,1,25)))/分析!$E55*100,"")</f>
      </c>
      <c r="E55">
        <f>IFERROR((分析!$F55-分析!$G55)/分析!$G55*100,"")</f>
      </c>
      <c r="F55">
        <f>IFERROR((分析!$E55-MAX(OFFSET(高値!$E$6,IFERROR(MATCH(分析!$C55,銘柄管理!$B$6:$B$305,0),MATCH(TEXT(分析!$C55,"0"),銘柄管理!$B$6:$B$305,0))-1,0,1,25)))/MAX(OFFSET(高値!$E$6,IFERROR(MATCH(分析!$C55,銘柄管理!$B$6:$B$305,0),MATCH(TEXT(分析!$C55,"0"),銘柄管理!$B$6:$B$305,0))-1,0,1,25))*100,"")</f>
      </c>
      <c r="G55">
        <f>IFERROR((分析!$H55-分析!$I55)/分析!$F55*100,"")</f>
      </c>
      <c r="H55">
        <f>IFERROR(5-COUNTIF($C$3:$C$206,"&lt;"&amp;$C55)/COUNT($C$3:$C$206)-COUNTIF($G$3:$G$206,"&lt;"&amp;$G55)/COUNT($G$3:$G$206)-COUNTIF($D$3:$D$206,"&lt;"&amp;$D55)/COUNT($D$3:$D$206)-COUNTIF(分析!$Z$3:$Z$206,"&lt;"&amp;分析!$Z55)/COUNT(分析!$Z$3:$Z$206)-COUNTIF($E$3:$E$206,"&lt;"&amp;$E55)/COUNT($E$3:$E$206),"")</f>
      </c>
      <c r="I55">
        <f>IF(OR(A55="",A55="TOPX",C55="",H55=""),0,IF(AND(V811設定!$E$11=1,C55&lt;=V811設定!$E$3,D55&lt;=V811設定!$E$4,E55&lt;=V811設定!$E$5,分析!$Z55&lt;=V811設定!$E$6,分析!$Z55&gt;=V811設定!$E$7,F55&gt;=V811設定!$E$8,G55&lt;=V811設定!$E$9),1,0))</f>
      </c>
      <c r="J55">
        <f>IF(A55="","",IF(I55=1,"○ゲート通過",IF(V811設定!$E$11&lt;&gt;1,"― 停止中",IF(C55&gt;V811設定!$E$3,"×値動きが荒い",IF(D55&gt;V811設定!$E$4,"×レンジが広い",IF(E55&gt;V811設定!$E$5,"×窓を開けて上昇",IF(分析!$Z55&gt;V811設定!$E$6,"×前日に急騰",IF(分析!$Z55&lt;V811設定!$E$7,"×前日に急落",IF(F55&lt;V811設定!$E$8,"×高値から離れすぎ",IF(G55&gt;V811設定!$E$9,"×当日の値幅が大きい","×"))))))))))</f>
      </c>
      <c r="K55">
        <f>IF(売分析!$C55="","",売分析!$C55)</f>
      </c>
      <c r="L55">
        <f>IF(売分析!$C55="","",売分析!$D55)</f>
      </c>
      <c r="M55">
        <f>IFERROR((SUM(OFFSET(高値!$E$6,IFERROR(MATCH(売分析!$C55,銘柄管理!$B$6:$B$305,0),MATCH(TEXT(売分析!$C55,"0"),銘柄管理!$B$6:$B$305,0))-1,0,1,14))-SUM(OFFSET(安値!$E$6,IFERROR(MATCH(売分析!$C55,銘柄管理!$B$6:$B$305,0),MATCH(TEXT(売分析!$C55,"0"),銘柄管理!$B$6:$B$305,0))-1,0,1,14)))/SUM(OFFSET(終値!$E$6,IFERROR(MATCH(売分析!$C55,銘柄管理!$B$6:$B$305,0),MATCH(TEXT(売分析!$C55,"0"),銘柄管理!$B$6:$B$305,0))-1,0,1,14))*100,"")</f>
      </c>
      <c r="N55">
        <f>IFERROR((MAX(OFFSET(高値!$E$6,IFERROR(MATCH(売分析!$C55,銘柄管理!$B$6:$B$305,0),MATCH(TEXT(売分析!$C55,"0"),銘柄管理!$B$6:$B$305,0))-1,0,1,25))-MIN(OFFSET(安値!$E$6,IFERROR(MATCH(売分析!$C55,銘柄管理!$B$6:$B$305,0),MATCH(TEXT(売分析!$C55,"0"),銘柄管理!$B$6:$B$305,0))-1,0,1,25)))/売分析!$E55*100,"")</f>
      </c>
      <c r="O55">
        <f>IFERROR((売分析!$F55-売分析!$G55)/売分析!$G55*100,"")</f>
      </c>
      <c r="P55">
        <f>IFERROR((売分析!$E55-MAX(OFFSET(高値!$E$6,IFERROR(MATCH(売分析!$C55,銘柄管理!$B$6:$B$305,0),MATCH(TEXT(売分析!$C55,"0"),銘柄管理!$B$6:$B$305,0))-1,0,1,25)))/MAX(OFFSET(高値!$E$6,IFERROR(MATCH(売分析!$C55,銘柄管理!$B$6:$B$305,0),MATCH(TEXT(売分析!$C55,"0"),銘柄管理!$B$6:$B$305,0))-1,0,1,25))*100,"")</f>
      </c>
      <c r="Q55">
        <f>IFERROR((売分析!$H55-売分析!$I55)/売分析!$F55*100,"")</f>
      </c>
      <c r="R55">
        <f>IFERROR(5-COUNTIF($M$3:$M$206,"&lt;"&amp;$M55)/COUNT($M$3:$M$206)-COUNTIF($Q$3:$Q$206,"&lt;"&amp;$Q55)/COUNT($Q$3:$Q$206)-COUNTIF($N$3:$N$206,"&lt;"&amp;$N55)/COUNT($N$3:$N$206)-COUNTIF(売分析!$Z$3:$Z$206,"&lt;"&amp;売分析!$Z55)/COUNT(売分析!$Z$3:$Z$206)-COUNTIF($O$3:$O$206,"&lt;"&amp;$O55)/COUNT($O$3:$O$206),"")</f>
      </c>
      <c r="S55">
        <f>IF(OR(K55="",K55="TOPX",M55="",R55=""),0,IF(AND(V811設定!$E$12=1,M55&lt;=V811設定!$E$3,N55&lt;=V811設定!$E$4,O55&lt;=V811設定!$E$5,売分析!$Z55&lt;=V811設定!$E$6,売分析!$Z55&gt;=V811設定!$E$7,P55&gt;=V811設定!$E$8,Q55&lt;=V811設定!$E$9),1,0))</f>
      </c>
      <c r="T55">
        <f>IF(K55="","",IF(S55=1,"○ゲート通過",IF(V811設定!$E$12&lt;&gt;1,"― 停止中",IF(M55&gt;V811設定!$E$3,"×値動きが荒い",IF(N55&gt;V811設定!$E$4,"×レンジが広い",IF(O55&gt;V811設定!$E$5,"×窓を開けて上昇",IF(売分析!$Z55&gt;V811設定!$E$6,"×前日に急騰",IF(売分析!$Z55&lt;V811設定!$E$7,"×前日に急落",IF(P55&lt;V811設定!$E$8,"×高値から離れすぎ",IF(Q55&gt;V811設定!$E$9,"×当日の値幅が大きい","×"))))))))))</f>
      </c>
    </row>
    <row r="56" spans="1:20">
      <c r="A56">
        <f>IF(分析!$C56="","",分析!$C56)</f>
      </c>
      <c r="B56">
        <f>IF(分析!$C56="","",分析!$D56)</f>
      </c>
      <c r="C56">
        <f>IFERROR((SUM(OFFSET(高値!$E$6,IFERROR(MATCH(分析!$C56,銘柄管理!$B$6:$B$305,0),MATCH(TEXT(分析!$C56,"0"),銘柄管理!$B$6:$B$305,0))-1,0,1,14))-SUM(OFFSET(安値!$E$6,IFERROR(MATCH(分析!$C56,銘柄管理!$B$6:$B$305,0),MATCH(TEXT(分析!$C56,"0"),銘柄管理!$B$6:$B$305,0))-1,0,1,14)))/SUM(OFFSET(終値!$E$6,IFERROR(MATCH(分析!$C56,銘柄管理!$B$6:$B$305,0),MATCH(TEXT(分析!$C56,"0"),銘柄管理!$B$6:$B$305,0))-1,0,1,14))*100,"")</f>
      </c>
      <c r="D56">
        <f>IFERROR((MAX(OFFSET(高値!$E$6,IFERROR(MATCH(分析!$C56,銘柄管理!$B$6:$B$305,0),MATCH(TEXT(分析!$C56,"0"),銘柄管理!$B$6:$B$305,0))-1,0,1,25))-MIN(OFFSET(安値!$E$6,IFERROR(MATCH(分析!$C56,銘柄管理!$B$6:$B$305,0),MATCH(TEXT(分析!$C56,"0"),銘柄管理!$B$6:$B$305,0))-1,0,1,25)))/分析!$E56*100,"")</f>
      </c>
      <c r="E56">
        <f>IFERROR((分析!$F56-分析!$G56)/分析!$G56*100,"")</f>
      </c>
      <c r="F56">
        <f>IFERROR((分析!$E56-MAX(OFFSET(高値!$E$6,IFERROR(MATCH(分析!$C56,銘柄管理!$B$6:$B$305,0),MATCH(TEXT(分析!$C56,"0"),銘柄管理!$B$6:$B$305,0))-1,0,1,25)))/MAX(OFFSET(高値!$E$6,IFERROR(MATCH(分析!$C56,銘柄管理!$B$6:$B$305,0),MATCH(TEXT(分析!$C56,"0"),銘柄管理!$B$6:$B$305,0))-1,0,1,25))*100,"")</f>
      </c>
      <c r="G56">
        <f>IFERROR((分析!$H56-分析!$I56)/分析!$F56*100,"")</f>
      </c>
      <c r="H56">
        <f>IFERROR(5-COUNTIF($C$3:$C$206,"&lt;"&amp;$C56)/COUNT($C$3:$C$206)-COUNTIF($G$3:$G$206,"&lt;"&amp;$G56)/COUNT($G$3:$G$206)-COUNTIF($D$3:$D$206,"&lt;"&amp;$D56)/COUNT($D$3:$D$206)-COUNTIF(分析!$Z$3:$Z$206,"&lt;"&amp;分析!$Z56)/COUNT(分析!$Z$3:$Z$206)-COUNTIF($E$3:$E$206,"&lt;"&amp;$E56)/COUNT($E$3:$E$206),"")</f>
      </c>
      <c r="I56">
        <f>IF(OR(A56="",A56="TOPX",C56="",H56=""),0,IF(AND(V811設定!$E$11=1,C56&lt;=V811設定!$E$3,D56&lt;=V811設定!$E$4,E56&lt;=V811設定!$E$5,分析!$Z56&lt;=V811設定!$E$6,分析!$Z56&gt;=V811設定!$E$7,F56&gt;=V811設定!$E$8,G56&lt;=V811設定!$E$9),1,0))</f>
      </c>
      <c r="J56">
        <f>IF(A56="","",IF(I56=1,"○ゲート通過",IF(V811設定!$E$11&lt;&gt;1,"― 停止中",IF(C56&gt;V811設定!$E$3,"×値動きが荒い",IF(D56&gt;V811設定!$E$4,"×レンジが広い",IF(E56&gt;V811設定!$E$5,"×窓を開けて上昇",IF(分析!$Z56&gt;V811設定!$E$6,"×前日に急騰",IF(分析!$Z56&lt;V811設定!$E$7,"×前日に急落",IF(F56&lt;V811設定!$E$8,"×高値から離れすぎ",IF(G56&gt;V811設定!$E$9,"×当日の値幅が大きい","×"))))))))))</f>
      </c>
      <c r="K56">
        <f>IF(売分析!$C56="","",売分析!$C56)</f>
      </c>
      <c r="L56">
        <f>IF(売分析!$C56="","",売分析!$D56)</f>
      </c>
      <c r="M56">
        <f>IFERROR((SUM(OFFSET(高値!$E$6,IFERROR(MATCH(売分析!$C56,銘柄管理!$B$6:$B$305,0),MATCH(TEXT(売分析!$C56,"0"),銘柄管理!$B$6:$B$305,0))-1,0,1,14))-SUM(OFFSET(安値!$E$6,IFERROR(MATCH(売分析!$C56,銘柄管理!$B$6:$B$305,0),MATCH(TEXT(売分析!$C56,"0"),銘柄管理!$B$6:$B$305,0))-1,0,1,14)))/SUM(OFFSET(終値!$E$6,IFERROR(MATCH(売分析!$C56,銘柄管理!$B$6:$B$305,0),MATCH(TEXT(売分析!$C56,"0"),銘柄管理!$B$6:$B$305,0))-1,0,1,14))*100,"")</f>
      </c>
      <c r="N56">
        <f>IFERROR((MAX(OFFSET(高値!$E$6,IFERROR(MATCH(売分析!$C56,銘柄管理!$B$6:$B$305,0),MATCH(TEXT(売分析!$C56,"0"),銘柄管理!$B$6:$B$305,0))-1,0,1,25))-MIN(OFFSET(安値!$E$6,IFERROR(MATCH(売分析!$C56,銘柄管理!$B$6:$B$305,0),MATCH(TEXT(売分析!$C56,"0"),銘柄管理!$B$6:$B$305,0))-1,0,1,25)))/売分析!$E56*100,"")</f>
      </c>
      <c r="O56">
        <f>IFERROR((売分析!$F56-売分析!$G56)/売分析!$G56*100,"")</f>
      </c>
      <c r="P56">
        <f>IFERROR((売分析!$E56-MAX(OFFSET(高値!$E$6,IFERROR(MATCH(売分析!$C56,銘柄管理!$B$6:$B$305,0),MATCH(TEXT(売分析!$C56,"0"),銘柄管理!$B$6:$B$305,0))-1,0,1,25)))/MAX(OFFSET(高値!$E$6,IFERROR(MATCH(売分析!$C56,銘柄管理!$B$6:$B$305,0),MATCH(TEXT(売分析!$C56,"0"),銘柄管理!$B$6:$B$305,0))-1,0,1,25))*100,"")</f>
      </c>
      <c r="Q56">
        <f>IFERROR((売分析!$H56-売分析!$I56)/売分析!$F56*100,"")</f>
      </c>
      <c r="R56">
        <f>IFERROR(5-COUNTIF($M$3:$M$206,"&lt;"&amp;$M56)/COUNT($M$3:$M$206)-COUNTIF($Q$3:$Q$206,"&lt;"&amp;$Q56)/COUNT($Q$3:$Q$206)-COUNTIF($N$3:$N$206,"&lt;"&amp;$N56)/COUNT($N$3:$N$206)-COUNTIF(売分析!$Z$3:$Z$206,"&lt;"&amp;売分析!$Z56)/COUNT(売分析!$Z$3:$Z$206)-COUNTIF($O$3:$O$206,"&lt;"&amp;$O56)/COUNT($O$3:$O$206),"")</f>
      </c>
      <c r="S56">
        <f>IF(OR(K56="",K56="TOPX",M56="",R56=""),0,IF(AND(V811設定!$E$12=1,M56&lt;=V811設定!$E$3,N56&lt;=V811設定!$E$4,O56&lt;=V811設定!$E$5,売分析!$Z56&lt;=V811設定!$E$6,売分析!$Z56&gt;=V811設定!$E$7,P56&gt;=V811設定!$E$8,Q56&lt;=V811設定!$E$9),1,0))</f>
      </c>
      <c r="T56">
        <f>IF(K56="","",IF(S56=1,"○ゲート通過",IF(V811設定!$E$12&lt;&gt;1,"― 停止中",IF(M56&gt;V811設定!$E$3,"×値動きが荒い",IF(N56&gt;V811設定!$E$4,"×レンジが広い",IF(O56&gt;V811設定!$E$5,"×窓を開けて上昇",IF(売分析!$Z56&gt;V811設定!$E$6,"×前日に急騰",IF(売分析!$Z56&lt;V811設定!$E$7,"×前日に急落",IF(P56&lt;V811設定!$E$8,"×高値から離れすぎ",IF(Q56&gt;V811設定!$E$9,"×当日の値幅が大きい","×"))))))))))</f>
      </c>
    </row>
    <row r="57" spans="1:20">
      <c r="A57">
        <f>IF(分析!$C57="","",分析!$C57)</f>
      </c>
      <c r="B57">
        <f>IF(分析!$C57="","",分析!$D57)</f>
      </c>
      <c r="C57">
        <f>IFERROR((SUM(OFFSET(高値!$E$6,IFERROR(MATCH(分析!$C57,銘柄管理!$B$6:$B$305,0),MATCH(TEXT(分析!$C57,"0"),銘柄管理!$B$6:$B$305,0))-1,0,1,14))-SUM(OFFSET(安値!$E$6,IFERROR(MATCH(分析!$C57,銘柄管理!$B$6:$B$305,0),MATCH(TEXT(分析!$C57,"0"),銘柄管理!$B$6:$B$305,0))-1,0,1,14)))/SUM(OFFSET(終値!$E$6,IFERROR(MATCH(分析!$C57,銘柄管理!$B$6:$B$305,0),MATCH(TEXT(分析!$C57,"0"),銘柄管理!$B$6:$B$305,0))-1,0,1,14))*100,"")</f>
      </c>
      <c r="D57">
        <f>IFERROR((MAX(OFFSET(高値!$E$6,IFERROR(MATCH(分析!$C57,銘柄管理!$B$6:$B$305,0),MATCH(TEXT(分析!$C57,"0"),銘柄管理!$B$6:$B$305,0))-1,0,1,25))-MIN(OFFSET(安値!$E$6,IFERROR(MATCH(分析!$C57,銘柄管理!$B$6:$B$305,0),MATCH(TEXT(分析!$C57,"0"),銘柄管理!$B$6:$B$305,0))-1,0,1,25)))/分析!$E57*100,"")</f>
      </c>
      <c r="E57">
        <f>IFERROR((分析!$F57-分析!$G57)/分析!$G57*100,"")</f>
      </c>
      <c r="F57">
        <f>IFERROR((分析!$E57-MAX(OFFSET(高値!$E$6,IFERROR(MATCH(分析!$C57,銘柄管理!$B$6:$B$305,0),MATCH(TEXT(分析!$C57,"0"),銘柄管理!$B$6:$B$305,0))-1,0,1,25)))/MAX(OFFSET(高値!$E$6,IFERROR(MATCH(分析!$C57,銘柄管理!$B$6:$B$305,0),MATCH(TEXT(分析!$C57,"0"),銘柄管理!$B$6:$B$305,0))-1,0,1,25))*100,"")</f>
      </c>
      <c r="G57">
        <f>IFERROR((分析!$H57-分析!$I57)/分析!$F57*100,"")</f>
      </c>
      <c r="H57">
        <f>IFERROR(5-COUNTIF($C$3:$C$206,"&lt;"&amp;$C57)/COUNT($C$3:$C$206)-COUNTIF($G$3:$G$206,"&lt;"&amp;$G57)/COUNT($G$3:$G$206)-COUNTIF($D$3:$D$206,"&lt;"&amp;$D57)/COUNT($D$3:$D$206)-COUNTIF(分析!$Z$3:$Z$206,"&lt;"&amp;分析!$Z57)/COUNT(分析!$Z$3:$Z$206)-COUNTIF($E$3:$E$206,"&lt;"&amp;$E57)/COUNT($E$3:$E$206),"")</f>
      </c>
      <c r="I57">
        <f>IF(OR(A57="",A57="TOPX",C57="",H57=""),0,IF(AND(V811設定!$E$11=1,C57&lt;=V811設定!$E$3,D57&lt;=V811設定!$E$4,E57&lt;=V811設定!$E$5,分析!$Z57&lt;=V811設定!$E$6,分析!$Z57&gt;=V811設定!$E$7,F57&gt;=V811設定!$E$8,G57&lt;=V811設定!$E$9),1,0))</f>
      </c>
      <c r="J57">
        <f>IF(A57="","",IF(I57=1,"○ゲート通過",IF(V811設定!$E$11&lt;&gt;1,"― 停止中",IF(C57&gt;V811設定!$E$3,"×値動きが荒い",IF(D57&gt;V811設定!$E$4,"×レンジが広い",IF(E57&gt;V811設定!$E$5,"×窓を開けて上昇",IF(分析!$Z57&gt;V811設定!$E$6,"×前日に急騰",IF(分析!$Z57&lt;V811設定!$E$7,"×前日に急落",IF(F57&lt;V811設定!$E$8,"×高値から離れすぎ",IF(G57&gt;V811設定!$E$9,"×当日の値幅が大きい","×"))))))))))</f>
      </c>
      <c r="K57">
        <f>IF(売分析!$C57="","",売分析!$C57)</f>
      </c>
      <c r="L57">
        <f>IF(売分析!$C57="","",売分析!$D57)</f>
      </c>
      <c r="M57">
        <f>IFERROR((SUM(OFFSET(高値!$E$6,IFERROR(MATCH(売分析!$C57,銘柄管理!$B$6:$B$305,0),MATCH(TEXT(売分析!$C57,"0"),銘柄管理!$B$6:$B$305,0))-1,0,1,14))-SUM(OFFSET(安値!$E$6,IFERROR(MATCH(売分析!$C57,銘柄管理!$B$6:$B$305,0),MATCH(TEXT(売分析!$C57,"0"),銘柄管理!$B$6:$B$305,0))-1,0,1,14)))/SUM(OFFSET(終値!$E$6,IFERROR(MATCH(売分析!$C57,銘柄管理!$B$6:$B$305,0),MATCH(TEXT(売分析!$C57,"0"),銘柄管理!$B$6:$B$305,0))-1,0,1,14))*100,"")</f>
      </c>
      <c r="N57">
        <f>IFERROR((MAX(OFFSET(高値!$E$6,IFERROR(MATCH(売分析!$C57,銘柄管理!$B$6:$B$305,0),MATCH(TEXT(売分析!$C57,"0"),銘柄管理!$B$6:$B$305,0))-1,0,1,25))-MIN(OFFSET(安値!$E$6,IFERROR(MATCH(売分析!$C57,銘柄管理!$B$6:$B$305,0),MATCH(TEXT(売分析!$C57,"0"),銘柄管理!$B$6:$B$305,0))-1,0,1,25)))/売分析!$E57*100,"")</f>
      </c>
      <c r="O57">
        <f>IFERROR((売分析!$F57-売分析!$G57)/売分析!$G57*100,"")</f>
      </c>
      <c r="P57">
        <f>IFERROR((売分析!$E57-MAX(OFFSET(高値!$E$6,IFERROR(MATCH(売分析!$C57,銘柄管理!$B$6:$B$305,0),MATCH(TEXT(売分析!$C57,"0"),銘柄管理!$B$6:$B$305,0))-1,0,1,25)))/MAX(OFFSET(高値!$E$6,IFERROR(MATCH(売分析!$C57,銘柄管理!$B$6:$B$305,0),MATCH(TEXT(売分析!$C57,"0"),銘柄管理!$B$6:$B$305,0))-1,0,1,25))*100,"")</f>
      </c>
      <c r="Q57">
        <f>IFERROR((売分析!$H57-売分析!$I57)/売分析!$F57*100,"")</f>
      </c>
      <c r="R57">
        <f>IFERROR(5-COUNTIF($M$3:$M$206,"&lt;"&amp;$M57)/COUNT($M$3:$M$206)-COUNTIF($Q$3:$Q$206,"&lt;"&amp;$Q57)/COUNT($Q$3:$Q$206)-COUNTIF($N$3:$N$206,"&lt;"&amp;$N57)/COUNT($N$3:$N$206)-COUNTIF(売分析!$Z$3:$Z$206,"&lt;"&amp;売分析!$Z57)/COUNT(売分析!$Z$3:$Z$206)-COUNTIF($O$3:$O$206,"&lt;"&amp;$O57)/COUNT($O$3:$O$206),"")</f>
      </c>
      <c r="S57">
        <f>IF(OR(K57="",K57="TOPX",M57="",R57=""),0,IF(AND(V811設定!$E$12=1,M57&lt;=V811設定!$E$3,N57&lt;=V811設定!$E$4,O57&lt;=V811設定!$E$5,売分析!$Z57&lt;=V811設定!$E$6,売分析!$Z57&gt;=V811設定!$E$7,P57&gt;=V811設定!$E$8,Q57&lt;=V811設定!$E$9),1,0))</f>
      </c>
      <c r="T57">
        <f>IF(K57="","",IF(S57=1,"○ゲート通過",IF(V811設定!$E$12&lt;&gt;1,"― 停止中",IF(M57&gt;V811設定!$E$3,"×値動きが荒い",IF(N57&gt;V811設定!$E$4,"×レンジが広い",IF(O57&gt;V811設定!$E$5,"×窓を開けて上昇",IF(売分析!$Z57&gt;V811設定!$E$6,"×前日に急騰",IF(売分析!$Z57&lt;V811設定!$E$7,"×前日に急落",IF(P57&lt;V811設定!$E$8,"×高値から離れすぎ",IF(Q57&gt;V811設定!$E$9,"×当日の値幅が大きい","×"))))))))))</f>
      </c>
    </row>
    <row r="58" spans="1:20">
      <c r="A58">
        <f>IF(分析!$C58="","",分析!$C58)</f>
      </c>
      <c r="B58">
        <f>IF(分析!$C58="","",分析!$D58)</f>
      </c>
      <c r="C58">
        <f>IFERROR((SUM(OFFSET(高値!$E$6,IFERROR(MATCH(分析!$C58,銘柄管理!$B$6:$B$305,0),MATCH(TEXT(分析!$C58,"0"),銘柄管理!$B$6:$B$305,0))-1,0,1,14))-SUM(OFFSET(安値!$E$6,IFERROR(MATCH(分析!$C58,銘柄管理!$B$6:$B$305,0),MATCH(TEXT(分析!$C58,"0"),銘柄管理!$B$6:$B$305,0))-1,0,1,14)))/SUM(OFFSET(終値!$E$6,IFERROR(MATCH(分析!$C58,銘柄管理!$B$6:$B$305,0),MATCH(TEXT(分析!$C58,"0"),銘柄管理!$B$6:$B$305,0))-1,0,1,14))*100,"")</f>
      </c>
      <c r="D58">
        <f>IFERROR((MAX(OFFSET(高値!$E$6,IFERROR(MATCH(分析!$C58,銘柄管理!$B$6:$B$305,0),MATCH(TEXT(分析!$C58,"0"),銘柄管理!$B$6:$B$305,0))-1,0,1,25))-MIN(OFFSET(安値!$E$6,IFERROR(MATCH(分析!$C58,銘柄管理!$B$6:$B$305,0),MATCH(TEXT(分析!$C58,"0"),銘柄管理!$B$6:$B$305,0))-1,0,1,25)))/分析!$E58*100,"")</f>
      </c>
      <c r="E58">
        <f>IFERROR((分析!$F58-分析!$G58)/分析!$G58*100,"")</f>
      </c>
      <c r="F58">
        <f>IFERROR((分析!$E58-MAX(OFFSET(高値!$E$6,IFERROR(MATCH(分析!$C58,銘柄管理!$B$6:$B$305,0),MATCH(TEXT(分析!$C58,"0"),銘柄管理!$B$6:$B$305,0))-1,0,1,25)))/MAX(OFFSET(高値!$E$6,IFERROR(MATCH(分析!$C58,銘柄管理!$B$6:$B$305,0),MATCH(TEXT(分析!$C58,"0"),銘柄管理!$B$6:$B$305,0))-1,0,1,25))*100,"")</f>
      </c>
      <c r="G58">
        <f>IFERROR((分析!$H58-分析!$I58)/分析!$F58*100,"")</f>
      </c>
      <c r="H58">
        <f>IFERROR(5-COUNTIF($C$3:$C$206,"&lt;"&amp;$C58)/COUNT($C$3:$C$206)-COUNTIF($G$3:$G$206,"&lt;"&amp;$G58)/COUNT($G$3:$G$206)-COUNTIF($D$3:$D$206,"&lt;"&amp;$D58)/COUNT($D$3:$D$206)-COUNTIF(分析!$Z$3:$Z$206,"&lt;"&amp;分析!$Z58)/COUNT(分析!$Z$3:$Z$206)-COUNTIF($E$3:$E$206,"&lt;"&amp;$E58)/COUNT($E$3:$E$206),"")</f>
      </c>
      <c r="I58">
        <f>IF(OR(A58="",A58="TOPX",C58="",H58=""),0,IF(AND(V811設定!$E$11=1,C58&lt;=V811設定!$E$3,D58&lt;=V811設定!$E$4,E58&lt;=V811設定!$E$5,分析!$Z58&lt;=V811設定!$E$6,分析!$Z58&gt;=V811設定!$E$7,F58&gt;=V811設定!$E$8,G58&lt;=V811設定!$E$9),1,0))</f>
      </c>
      <c r="J58">
        <f>IF(A58="","",IF(I58=1,"○ゲート通過",IF(V811設定!$E$11&lt;&gt;1,"― 停止中",IF(C58&gt;V811設定!$E$3,"×値動きが荒い",IF(D58&gt;V811設定!$E$4,"×レンジが広い",IF(E58&gt;V811設定!$E$5,"×窓を開けて上昇",IF(分析!$Z58&gt;V811設定!$E$6,"×前日に急騰",IF(分析!$Z58&lt;V811設定!$E$7,"×前日に急落",IF(F58&lt;V811設定!$E$8,"×高値から離れすぎ",IF(G58&gt;V811設定!$E$9,"×当日の値幅が大きい","×"))))))))))</f>
      </c>
      <c r="K58">
        <f>IF(売分析!$C58="","",売分析!$C58)</f>
      </c>
      <c r="L58">
        <f>IF(売分析!$C58="","",売分析!$D58)</f>
      </c>
      <c r="M58">
        <f>IFERROR((SUM(OFFSET(高値!$E$6,IFERROR(MATCH(売分析!$C58,銘柄管理!$B$6:$B$305,0),MATCH(TEXT(売分析!$C58,"0"),銘柄管理!$B$6:$B$305,0))-1,0,1,14))-SUM(OFFSET(安値!$E$6,IFERROR(MATCH(売分析!$C58,銘柄管理!$B$6:$B$305,0),MATCH(TEXT(売分析!$C58,"0"),銘柄管理!$B$6:$B$305,0))-1,0,1,14)))/SUM(OFFSET(終値!$E$6,IFERROR(MATCH(売分析!$C58,銘柄管理!$B$6:$B$305,0),MATCH(TEXT(売分析!$C58,"0"),銘柄管理!$B$6:$B$305,0))-1,0,1,14))*100,"")</f>
      </c>
      <c r="N58">
        <f>IFERROR((MAX(OFFSET(高値!$E$6,IFERROR(MATCH(売分析!$C58,銘柄管理!$B$6:$B$305,0),MATCH(TEXT(売分析!$C58,"0"),銘柄管理!$B$6:$B$305,0))-1,0,1,25))-MIN(OFFSET(安値!$E$6,IFERROR(MATCH(売分析!$C58,銘柄管理!$B$6:$B$305,0),MATCH(TEXT(売分析!$C58,"0"),銘柄管理!$B$6:$B$305,0))-1,0,1,25)))/売分析!$E58*100,"")</f>
      </c>
      <c r="O58">
        <f>IFERROR((売分析!$F58-売分析!$G58)/売分析!$G58*100,"")</f>
      </c>
      <c r="P58">
        <f>IFERROR((売分析!$E58-MAX(OFFSET(高値!$E$6,IFERROR(MATCH(売分析!$C58,銘柄管理!$B$6:$B$305,0),MATCH(TEXT(売分析!$C58,"0"),銘柄管理!$B$6:$B$305,0))-1,0,1,25)))/MAX(OFFSET(高値!$E$6,IFERROR(MATCH(売分析!$C58,銘柄管理!$B$6:$B$305,0),MATCH(TEXT(売分析!$C58,"0"),銘柄管理!$B$6:$B$305,0))-1,0,1,25))*100,"")</f>
      </c>
      <c r="Q58">
        <f>IFERROR((売分析!$H58-売分析!$I58)/売分析!$F58*100,"")</f>
      </c>
      <c r="R58">
        <f>IFERROR(5-COUNTIF($M$3:$M$206,"&lt;"&amp;$M58)/COUNT($M$3:$M$206)-COUNTIF($Q$3:$Q$206,"&lt;"&amp;$Q58)/COUNT($Q$3:$Q$206)-COUNTIF($N$3:$N$206,"&lt;"&amp;$N58)/COUNT($N$3:$N$206)-COUNTIF(売分析!$Z$3:$Z$206,"&lt;"&amp;売分析!$Z58)/COUNT(売分析!$Z$3:$Z$206)-COUNTIF($O$3:$O$206,"&lt;"&amp;$O58)/COUNT($O$3:$O$206),"")</f>
      </c>
      <c r="S58">
        <f>IF(OR(K58="",K58="TOPX",M58="",R58=""),0,IF(AND(V811設定!$E$12=1,M58&lt;=V811設定!$E$3,N58&lt;=V811設定!$E$4,O58&lt;=V811設定!$E$5,売分析!$Z58&lt;=V811設定!$E$6,売分析!$Z58&gt;=V811設定!$E$7,P58&gt;=V811設定!$E$8,Q58&lt;=V811設定!$E$9),1,0))</f>
      </c>
      <c r="T58">
        <f>IF(K58="","",IF(S58=1,"○ゲート通過",IF(V811設定!$E$12&lt;&gt;1,"― 停止中",IF(M58&gt;V811設定!$E$3,"×値動きが荒い",IF(N58&gt;V811設定!$E$4,"×レンジが広い",IF(O58&gt;V811設定!$E$5,"×窓を開けて上昇",IF(売分析!$Z58&gt;V811設定!$E$6,"×前日に急騰",IF(売分析!$Z58&lt;V811設定!$E$7,"×前日に急落",IF(P58&lt;V811設定!$E$8,"×高値から離れすぎ",IF(Q58&gt;V811設定!$E$9,"×当日の値幅が大きい","×"))))))))))</f>
      </c>
    </row>
    <row r="59" spans="1:20">
      <c r="A59">
        <f>IF(分析!$C59="","",分析!$C59)</f>
      </c>
      <c r="B59">
        <f>IF(分析!$C59="","",分析!$D59)</f>
      </c>
      <c r="C59">
        <f>IFERROR((SUM(OFFSET(高値!$E$6,IFERROR(MATCH(分析!$C59,銘柄管理!$B$6:$B$305,0),MATCH(TEXT(分析!$C59,"0"),銘柄管理!$B$6:$B$305,0))-1,0,1,14))-SUM(OFFSET(安値!$E$6,IFERROR(MATCH(分析!$C59,銘柄管理!$B$6:$B$305,0),MATCH(TEXT(分析!$C59,"0"),銘柄管理!$B$6:$B$305,0))-1,0,1,14)))/SUM(OFFSET(終値!$E$6,IFERROR(MATCH(分析!$C59,銘柄管理!$B$6:$B$305,0),MATCH(TEXT(分析!$C59,"0"),銘柄管理!$B$6:$B$305,0))-1,0,1,14))*100,"")</f>
      </c>
      <c r="D59">
        <f>IFERROR((MAX(OFFSET(高値!$E$6,IFERROR(MATCH(分析!$C59,銘柄管理!$B$6:$B$305,0),MATCH(TEXT(分析!$C59,"0"),銘柄管理!$B$6:$B$305,0))-1,0,1,25))-MIN(OFFSET(安値!$E$6,IFERROR(MATCH(分析!$C59,銘柄管理!$B$6:$B$305,0),MATCH(TEXT(分析!$C59,"0"),銘柄管理!$B$6:$B$305,0))-1,0,1,25)))/分析!$E59*100,"")</f>
      </c>
      <c r="E59">
        <f>IFERROR((分析!$F59-分析!$G59)/分析!$G59*100,"")</f>
      </c>
      <c r="F59">
        <f>IFERROR((分析!$E59-MAX(OFFSET(高値!$E$6,IFERROR(MATCH(分析!$C59,銘柄管理!$B$6:$B$305,0),MATCH(TEXT(分析!$C59,"0"),銘柄管理!$B$6:$B$305,0))-1,0,1,25)))/MAX(OFFSET(高値!$E$6,IFERROR(MATCH(分析!$C59,銘柄管理!$B$6:$B$305,0),MATCH(TEXT(分析!$C59,"0"),銘柄管理!$B$6:$B$305,0))-1,0,1,25))*100,"")</f>
      </c>
      <c r="G59">
        <f>IFERROR((分析!$H59-分析!$I59)/分析!$F59*100,"")</f>
      </c>
      <c r="H59">
        <f>IFERROR(5-COUNTIF($C$3:$C$206,"&lt;"&amp;$C59)/COUNT($C$3:$C$206)-COUNTIF($G$3:$G$206,"&lt;"&amp;$G59)/COUNT($G$3:$G$206)-COUNTIF($D$3:$D$206,"&lt;"&amp;$D59)/COUNT($D$3:$D$206)-COUNTIF(分析!$Z$3:$Z$206,"&lt;"&amp;分析!$Z59)/COUNT(分析!$Z$3:$Z$206)-COUNTIF($E$3:$E$206,"&lt;"&amp;$E59)/COUNT($E$3:$E$206),"")</f>
      </c>
      <c r="I59">
        <f>IF(OR(A59="",A59="TOPX",C59="",H59=""),0,IF(AND(V811設定!$E$11=1,C59&lt;=V811設定!$E$3,D59&lt;=V811設定!$E$4,E59&lt;=V811設定!$E$5,分析!$Z59&lt;=V811設定!$E$6,分析!$Z59&gt;=V811設定!$E$7,F59&gt;=V811設定!$E$8,G59&lt;=V811設定!$E$9),1,0))</f>
      </c>
      <c r="J59">
        <f>IF(A59="","",IF(I59=1,"○ゲート通過",IF(V811設定!$E$11&lt;&gt;1,"― 停止中",IF(C59&gt;V811設定!$E$3,"×値動きが荒い",IF(D59&gt;V811設定!$E$4,"×レンジが広い",IF(E59&gt;V811設定!$E$5,"×窓を開けて上昇",IF(分析!$Z59&gt;V811設定!$E$6,"×前日に急騰",IF(分析!$Z59&lt;V811設定!$E$7,"×前日に急落",IF(F59&lt;V811設定!$E$8,"×高値から離れすぎ",IF(G59&gt;V811設定!$E$9,"×当日の値幅が大きい","×"))))))))))</f>
      </c>
      <c r="K59">
        <f>IF(売分析!$C59="","",売分析!$C59)</f>
      </c>
      <c r="L59">
        <f>IF(売分析!$C59="","",売分析!$D59)</f>
      </c>
      <c r="M59">
        <f>IFERROR((SUM(OFFSET(高値!$E$6,IFERROR(MATCH(売分析!$C59,銘柄管理!$B$6:$B$305,0),MATCH(TEXT(売分析!$C59,"0"),銘柄管理!$B$6:$B$305,0))-1,0,1,14))-SUM(OFFSET(安値!$E$6,IFERROR(MATCH(売分析!$C59,銘柄管理!$B$6:$B$305,0),MATCH(TEXT(売分析!$C59,"0"),銘柄管理!$B$6:$B$305,0))-1,0,1,14)))/SUM(OFFSET(終値!$E$6,IFERROR(MATCH(売分析!$C59,銘柄管理!$B$6:$B$305,0),MATCH(TEXT(売分析!$C59,"0"),銘柄管理!$B$6:$B$305,0))-1,0,1,14))*100,"")</f>
      </c>
      <c r="N59">
        <f>IFERROR((MAX(OFFSET(高値!$E$6,IFERROR(MATCH(売分析!$C59,銘柄管理!$B$6:$B$305,0),MATCH(TEXT(売分析!$C59,"0"),銘柄管理!$B$6:$B$305,0))-1,0,1,25))-MIN(OFFSET(安値!$E$6,IFERROR(MATCH(売分析!$C59,銘柄管理!$B$6:$B$305,0),MATCH(TEXT(売分析!$C59,"0"),銘柄管理!$B$6:$B$305,0))-1,0,1,25)))/売分析!$E59*100,"")</f>
      </c>
      <c r="O59">
        <f>IFERROR((売分析!$F59-売分析!$G59)/売分析!$G59*100,"")</f>
      </c>
      <c r="P59">
        <f>IFERROR((売分析!$E59-MAX(OFFSET(高値!$E$6,IFERROR(MATCH(売分析!$C59,銘柄管理!$B$6:$B$305,0),MATCH(TEXT(売分析!$C59,"0"),銘柄管理!$B$6:$B$305,0))-1,0,1,25)))/MAX(OFFSET(高値!$E$6,IFERROR(MATCH(売分析!$C59,銘柄管理!$B$6:$B$305,0),MATCH(TEXT(売分析!$C59,"0"),銘柄管理!$B$6:$B$305,0))-1,0,1,25))*100,"")</f>
      </c>
      <c r="Q59">
        <f>IFERROR((売分析!$H59-売分析!$I59)/売分析!$F59*100,"")</f>
      </c>
      <c r="R59">
        <f>IFERROR(5-COUNTIF($M$3:$M$206,"&lt;"&amp;$M59)/COUNT($M$3:$M$206)-COUNTIF($Q$3:$Q$206,"&lt;"&amp;$Q59)/COUNT($Q$3:$Q$206)-COUNTIF($N$3:$N$206,"&lt;"&amp;$N59)/COUNT($N$3:$N$206)-COUNTIF(売分析!$Z$3:$Z$206,"&lt;"&amp;売分析!$Z59)/COUNT(売分析!$Z$3:$Z$206)-COUNTIF($O$3:$O$206,"&lt;"&amp;$O59)/COUNT($O$3:$O$206),"")</f>
      </c>
      <c r="S59">
        <f>IF(OR(K59="",K59="TOPX",M59="",R59=""),0,IF(AND(V811設定!$E$12=1,M59&lt;=V811設定!$E$3,N59&lt;=V811設定!$E$4,O59&lt;=V811設定!$E$5,売分析!$Z59&lt;=V811設定!$E$6,売分析!$Z59&gt;=V811設定!$E$7,P59&gt;=V811設定!$E$8,Q59&lt;=V811設定!$E$9),1,0))</f>
      </c>
      <c r="T59">
        <f>IF(K59="","",IF(S59=1,"○ゲート通過",IF(V811設定!$E$12&lt;&gt;1,"― 停止中",IF(M59&gt;V811設定!$E$3,"×値動きが荒い",IF(N59&gt;V811設定!$E$4,"×レンジが広い",IF(O59&gt;V811設定!$E$5,"×窓を開けて上昇",IF(売分析!$Z59&gt;V811設定!$E$6,"×前日に急騰",IF(売分析!$Z59&lt;V811設定!$E$7,"×前日に急落",IF(P59&lt;V811設定!$E$8,"×高値から離れすぎ",IF(Q59&gt;V811設定!$E$9,"×当日の値幅が大きい","×"))))))))))</f>
      </c>
    </row>
    <row r="60" spans="1:20">
      <c r="A60">
        <f>IF(分析!$C60="","",分析!$C60)</f>
      </c>
      <c r="B60">
        <f>IF(分析!$C60="","",分析!$D60)</f>
      </c>
      <c r="C60">
        <f>IFERROR((SUM(OFFSET(高値!$E$6,IFERROR(MATCH(分析!$C60,銘柄管理!$B$6:$B$305,0),MATCH(TEXT(分析!$C60,"0"),銘柄管理!$B$6:$B$305,0))-1,0,1,14))-SUM(OFFSET(安値!$E$6,IFERROR(MATCH(分析!$C60,銘柄管理!$B$6:$B$305,0),MATCH(TEXT(分析!$C60,"0"),銘柄管理!$B$6:$B$305,0))-1,0,1,14)))/SUM(OFFSET(終値!$E$6,IFERROR(MATCH(分析!$C60,銘柄管理!$B$6:$B$305,0),MATCH(TEXT(分析!$C60,"0"),銘柄管理!$B$6:$B$305,0))-1,0,1,14))*100,"")</f>
      </c>
      <c r="D60">
        <f>IFERROR((MAX(OFFSET(高値!$E$6,IFERROR(MATCH(分析!$C60,銘柄管理!$B$6:$B$305,0),MATCH(TEXT(分析!$C60,"0"),銘柄管理!$B$6:$B$305,0))-1,0,1,25))-MIN(OFFSET(安値!$E$6,IFERROR(MATCH(分析!$C60,銘柄管理!$B$6:$B$305,0),MATCH(TEXT(分析!$C60,"0"),銘柄管理!$B$6:$B$305,0))-1,0,1,25)))/分析!$E60*100,"")</f>
      </c>
      <c r="E60">
        <f>IFERROR((分析!$F60-分析!$G60)/分析!$G60*100,"")</f>
      </c>
      <c r="F60">
        <f>IFERROR((分析!$E60-MAX(OFFSET(高値!$E$6,IFERROR(MATCH(分析!$C60,銘柄管理!$B$6:$B$305,0),MATCH(TEXT(分析!$C60,"0"),銘柄管理!$B$6:$B$305,0))-1,0,1,25)))/MAX(OFFSET(高値!$E$6,IFERROR(MATCH(分析!$C60,銘柄管理!$B$6:$B$305,0),MATCH(TEXT(分析!$C60,"0"),銘柄管理!$B$6:$B$305,0))-1,0,1,25))*100,"")</f>
      </c>
      <c r="G60">
        <f>IFERROR((分析!$H60-分析!$I60)/分析!$F60*100,"")</f>
      </c>
      <c r="H60">
        <f>IFERROR(5-COUNTIF($C$3:$C$206,"&lt;"&amp;$C60)/COUNT($C$3:$C$206)-COUNTIF($G$3:$G$206,"&lt;"&amp;$G60)/COUNT($G$3:$G$206)-COUNTIF($D$3:$D$206,"&lt;"&amp;$D60)/COUNT($D$3:$D$206)-COUNTIF(分析!$Z$3:$Z$206,"&lt;"&amp;分析!$Z60)/COUNT(分析!$Z$3:$Z$206)-COUNTIF($E$3:$E$206,"&lt;"&amp;$E60)/COUNT($E$3:$E$206),"")</f>
      </c>
      <c r="I60">
        <f>IF(OR(A60="",A60="TOPX",C60="",H60=""),0,IF(AND(V811設定!$E$11=1,C60&lt;=V811設定!$E$3,D60&lt;=V811設定!$E$4,E60&lt;=V811設定!$E$5,分析!$Z60&lt;=V811設定!$E$6,分析!$Z60&gt;=V811設定!$E$7,F60&gt;=V811設定!$E$8,G60&lt;=V811設定!$E$9),1,0))</f>
      </c>
      <c r="J60">
        <f>IF(A60="","",IF(I60=1,"○ゲート通過",IF(V811設定!$E$11&lt;&gt;1,"― 停止中",IF(C60&gt;V811設定!$E$3,"×値動きが荒い",IF(D60&gt;V811設定!$E$4,"×レンジが広い",IF(E60&gt;V811設定!$E$5,"×窓を開けて上昇",IF(分析!$Z60&gt;V811設定!$E$6,"×前日に急騰",IF(分析!$Z60&lt;V811設定!$E$7,"×前日に急落",IF(F60&lt;V811設定!$E$8,"×高値から離れすぎ",IF(G60&gt;V811設定!$E$9,"×当日の値幅が大きい","×"))))))))))</f>
      </c>
      <c r="K60">
        <f>IF(売分析!$C60="","",売分析!$C60)</f>
      </c>
      <c r="L60">
        <f>IF(売分析!$C60="","",売分析!$D60)</f>
      </c>
      <c r="M60">
        <f>IFERROR((SUM(OFFSET(高値!$E$6,IFERROR(MATCH(売分析!$C60,銘柄管理!$B$6:$B$305,0),MATCH(TEXT(売分析!$C60,"0"),銘柄管理!$B$6:$B$305,0))-1,0,1,14))-SUM(OFFSET(安値!$E$6,IFERROR(MATCH(売分析!$C60,銘柄管理!$B$6:$B$305,0),MATCH(TEXT(売分析!$C60,"0"),銘柄管理!$B$6:$B$305,0))-1,0,1,14)))/SUM(OFFSET(終値!$E$6,IFERROR(MATCH(売分析!$C60,銘柄管理!$B$6:$B$305,0),MATCH(TEXT(売分析!$C60,"0"),銘柄管理!$B$6:$B$305,0))-1,0,1,14))*100,"")</f>
      </c>
      <c r="N60">
        <f>IFERROR((MAX(OFFSET(高値!$E$6,IFERROR(MATCH(売分析!$C60,銘柄管理!$B$6:$B$305,0),MATCH(TEXT(売分析!$C60,"0"),銘柄管理!$B$6:$B$305,0))-1,0,1,25))-MIN(OFFSET(安値!$E$6,IFERROR(MATCH(売分析!$C60,銘柄管理!$B$6:$B$305,0),MATCH(TEXT(売分析!$C60,"0"),銘柄管理!$B$6:$B$305,0))-1,0,1,25)))/売分析!$E60*100,"")</f>
      </c>
      <c r="O60">
        <f>IFERROR((売分析!$F60-売分析!$G60)/売分析!$G60*100,"")</f>
      </c>
      <c r="P60">
        <f>IFERROR((売分析!$E60-MAX(OFFSET(高値!$E$6,IFERROR(MATCH(売分析!$C60,銘柄管理!$B$6:$B$305,0),MATCH(TEXT(売分析!$C60,"0"),銘柄管理!$B$6:$B$305,0))-1,0,1,25)))/MAX(OFFSET(高値!$E$6,IFERROR(MATCH(売分析!$C60,銘柄管理!$B$6:$B$305,0),MATCH(TEXT(売分析!$C60,"0"),銘柄管理!$B$6:$B$305,0))-1,0,1,25))*100,"")</f>
      </c>
      <c r="Q60">
        <f>IFERROR((売分析!$H60-売分析!$I60)/売分析!$F60*100,"")</f>
      </c>
      <c r="R60">
        <f>IFERROR(5-COUNTIF($M$3:$M$206,"&lt;"&amp;$M60)/COUNT($M$3:$M$206)-COUNTIF($Q$3:$Q$206,"&lt;"&amp;$Q60)/COUNT($Q$3:$Q$206)-COUNTIF($N$3:$N$206,"&lt;"&amp;$N60)/COUNT($N$3:$N$206)-COUNTIF(売分析!$Z$3:$Z$206,"&lt;"&amp;売分析!$Z60)/COUNT(売分析!$Z$3:$Z$206)-COUNTIF($O$3:$O$206,"&lt;"&amp;$O60)/COUNT($O$3:$O$206),"")</f>
      </c>
      <c r="S60">
        <f>IF(OR(K60="",K60="TOPX",M60="",R60=""),0,IF(AND(V811設定!$E$12=1,M60&lt;=V811設定!$E$3,N60&lt;=V811設定!$E$4,O60&lt;=V811設定!$E$5,売分析!$Z60&lt;=V811設定!$E$6,売分析!$Z60&gt;=V811設定!$E$7,P60&gt;=V811設定!$E$8,Q60&lt;=V811設定!$E$9),1,0))</f>
      </c>
      <c r="T60">
        <f>IF(K60="","",IF(S60=1,"○ゲート通過",IF(V811設定!$E$12&lt;&gt;1,"― 停止中",IF(M60&gt;V811設定!$E$3,"×値動きが荒い",IF(N60&gt;V811設定!$E$4,"×レンジが広い",IF(O60&gt;V811設定!$E$5,"×窓を開けて上昇",IF(売分析!$Z60&gt;V811設定!$E$6,"×前日に急騰",IF(売分析!$Z60&lt;V811設定!$E$7,"×前日に急落",IF(P60&lt;V811設定!$E$8,"×高値から離れすぎ",IF(Q60&gt;V811設定!$E$9,"×当日の値幅が大きい","×"))))))))))</f>
      </c>
    </row>
    <row r="61" spans="1:20">
      <c r="A61">
        <f>IF(分析!$C61="","",分析!$C61)</f>
      </c>
      <c r="B61">
        <f>IF(分析!$C61="","",分析!$D61)</f>
      </c>
      <c r="C61">
        <f>IFERROR((SUM(OFFSET(高値!$E$6,IFERROR(MATCH(分析!$C61,銘柄管理!$B$6:$B$305,0),MATCH(TEXT(分析!$C61,"0"),銘柄管理!$B$6:$B$305,0))-1,0,1,14))-SUM(OFFSET(安値!$E$6,IFERROR(MATCH(分析!$C61,銘柄管理!$B$6:$B$305,0),MATCH(TEXT(分析!$C61,"0"),銘柄管理!$B$6:$B$305,0))-1,0,1,14)))/SUM(OFFSET(終値!$E$6,IFERROR(MATCH(分析!$C61,銘柄管理!$B$6:$B$305,0),MATCH(TEXT(分析!$C61,"0"),銘柄管理!$B$6:$B$305,0))-1,0,1,14))*100,"")</f>
      </c>
      <c r="D61">
        <f>IFERROR((MAX(OFFSET(高値!$E$6,IFERROR(MATCH(分析!$C61,銘柄管理!$B$6:$B$305,0),MATCH(TEXT(分析!$C61,"0"),銘柄管理!$B$6:$B$305,0))-1,0,1,25))-MIN(OFFSET(安値!$E$6,IFERROR(MATCH(分析!$C61,銘柄管理!$B$6:$B$305,0),MATCH(TEXT(分析!$C61,"0"),銘柄管理!$B$6:$B$305,0))-1,0,1,25)))/分析!$E61*100,"")</f>
      </c>
      <c r="E61">
        <f>IFERROR((分析!$F61-分析!$G61)/分析!$G61*100,"")</f>
      </c>
      <c r="F61">
        <f>IFERROR((分析!$E61-MAX(OFFSET(高値!$E$6,IFERROR(MATCH(分析!$C61,銘柄管理!$B$6:$B$305,0),MATCH(TEXT(分析!$C61,"0"),銘柄管理!$B$6:$B$305,0))-1,0,1,25)))/MAX(OFFSET(高値!$E$6,IFERROR(MATCH(分析!$C61,銘柄管理!$B$6:$B$305,0),MATCH(TEXT(分析!$C61,"0"),銘柄管理!$B$6:$B$305,0))-1,0,1,25))*100,"")</f>
      </c>
      <c r="G61">
        <f>IFERROR((分析!$H61-分析!$I61)/分析!$F61*100,"")</f>
      </c>
      <c r="H61">
        <f>IFERROR(5-COUNTIF($C$3:$C$206,"&lt;"&amp;$C61)/COUNT($C$3:$C$206)-COUNTIF($G$3:$G$206,"&lt;"&amp;$G61)/COUNT($G$3:$G$206)-COUNTIF($D$3:$D$206,"&lt;"&amp;$D61)/COUNT($D$3:$D$206)-COUNTIF(分析!$Z$3:$Z$206,"&lt;"&amp;分析!$Z61)/COUNT(分析!$Z$3:$Z$206)-COUNTIF($E$3:$E$206,"&lt;"&amp;$E61)/COUNT($E$3:$E$206),"")</f>
      </c>
      <c r="I61">
        <f>IF(OR(A61="",A61="TOPX",C61="",H61=""),0,IF(AND(V811設定!$E$11=1,C61&lt;=V811設定!$E$3,D61&lt;=V811設定!$E$4,E61&lt;=V811設定!$E$5,分析!$Z61&lt;=V811設定!$E$6,分析!$Z61&gt;=V811設定!$E$7,F61&gt;=V811設定!$E$8,G61&lt;=V811設定!$E$9),1,0))</f>
      </c>
      <c r="J61">
        <f>IF(A61="","",IF(I61=1,"○ゲート通過",IF(V811設定!$E$11&lt;&gt;1,"― 停止中",IF(C61&gt;V811設定!$E$3,"×値動きが荒い",IF(D61&gt;V811設定!$E$4,"×レンジが広い",IF(E61&gt;V811設定!$E$5,"×窓を開けて上昇",IF(分析!$Z61&gt;V811設定!$E$6,"×前日に急騰",IF(分析!$Z61&lt;V811設定!$E$7,"×前日に急落",IF(F61&lt;V811設定!$E$8,"×高値から離れすぎ",IF(G61&gt;V811設定!$E$9,"×当日の値幅が大きい","×"))))))))))</f>
      </c>
      <c r="K61">
        <f>IF(売分析!$C61="","",売分析!$C61)</f>
      </c>
      <c r="L61">
        <f>IF(売分析!$C61="","",売分析!$D61)</f>
      </c>
      <c r="M61">
        <f>IFERROR((SUM(OFFSET(高値!$E$6,IFERROR(MATCH(売分析!$C61,銘柄管理!$B$6:$B$305,0),MATCH(TEXT(売分析!$C61,"0"),銘柄管理!$B$6:$B$305,0))-1,0,1,14))-SUM(OFFSET(安値!$E$6,IFERROR(MATCH(売分析!$C61,銘柄管理!$B$6:$B$305,0),MATCH(TEXT(売分析!$C61,"0"),銘柄管理!$B$6:$B$305,0))-1,0,1,14)))/SUM(OFFSET(終値!$E$6,IFERROR(MATCH(売分析!$C61,銘柄管理!$B$6:$B$305,0),MATCH(TEXT(売分析!$C61,"0"),銘柄管理!$B$6:$B$305,0))-1,0,1,14))*100,"")</f>
      </c>
      <c r="N61">
        <f>IFERROR((MAX(OFFSET(高値!$E$6,IFERROR(MATCH(売分析!$C61,銘柄管理!$B$6:$B$305,0),MATCH(TEXT(売分析!$C61,"0"),銘柄管理!$B$6:$B$305,0))-1,0,1,25))-MIN(OFFSET(安値!$E$6,IFERROR(MATCH(売分析!$C61,銘柄管理!$B$6:$B$305,0),MATCH(TEXT(売分析!$C61,"0"),銘柄管理!$B$6:$B$305,0))-1,0,1,25)))/売分析!$E61*100,"")</f>
      </c>
      <c r="O61">
        <f>IFERROR((売分析!$F61-売分析!$G61)/売分析!$G61*100,"")</f>
      </c>
      <c r="P61">
        <f>IFERROR((売分析!$E61-MAX(OFFSET(高値!$E$6,IFERROR(MATCH(売分析!$C61,銘柄管理!$B$6:$B$305,0),MATCH(TEXT(売分析!$C61,"0"),銘柄管理!$B$6:$B$305,0))-1,0,1,25)))/MAX(OFFSET(高値!$E$6,IFERROR(MATCH(売分析!$C61,銘柄管理!$B$6:$B$305,0),MATCH(TEXT(売分析!$C61,"0"),銘柄管理!$B$6:$B$305,0))-1,0,1,25))*100,"")</f>
      </c>
      <c r="Q61">
        <f>IFERROR((売分析!$H61-売分析!$I61)/売分析!$F61*100,"")</f>
      </c>
      <c r="R61">
        <f>IFERROR(5-COUNTIF($M$3:$M$206,"&lt;"&amp;$M61)/COUNT($M$3:$M$206)-COUNTIF($Q$3:$Q$206,"&lt;"&amp;$Q61)/COUNT($Q$3:$Q$206)-COUNTIF($N$3:$N$206,"&lt;"&amp;$N61)/COUNT($N$3:$N$206)-COUNTIF(売分析!$Z$3:$Z$206,"&lt;"&amp;売分析!$Z61)/COUNT(売分析!$Z$3:$Z$206)-COUNTIF($O$3:$O$206,"&lt;"&amp;$O61)/COUNT($O$3:$O$206),"")</f>
      </c>
      <c r="S61">
        <f>IF(OR(K61="",K61="TOPX",M61="",R61=""),0,IF(AND(V811設定!$E$12=1,M61&lt;=V811設定!$E$3,N61&lt;=V811設定!$E$4,O61&lt;=V811設定!$E$5,売分析!$Z61&lt;=V811設定!$E$6,売分析!$Z61&gt;=V811設定!$E$7,P61&gt;=V811設定!$E$8,Q61&lt;=V811設定!$E$9),1,0))</f>
      </c>
      <c r="T61">
        <f>IF(K61="","",IF(S61=1,"○ゲート通過",IF(V811設定!$E$12&lt;&gt;1,"― 停止中",IF(M61&gt;V811設定!$E$3,"×値動きが荒い",IF(N61&gt;V811設定!$E$4,"×レンジが広い",IF(O61&gt;V811設定!$E$5,"×窓を開けて上昇",IF(売分析!$Z61&gt;V811設定!$E$6,"×前日に急騰",IF(売分析!$Z61&lt;V811設定!$E$7,"×前日に急落",IF(P61&lt;V811設定!$E$8,"×高値から離れすぎ",IF(Q61&gt;V811設定!$E$9,"×当日の値幅が大きい","×"))))))))))</f>
      </c>
    </row>
    <row r="62" spans="1:20">
      <c r="A62">
        <f>IF(分析!$C62="","",分析!$C62)</f>
      </c>
      <c r="B62">
        <f>IF(分析!$C62="","",分析!$D62)</f>
      </c>
      <c r="C62">
        <f>IFERROR((SUM(OFFSET(高値!$E$6,IFERROR(MATCH(分析!$C62,銘柄管理!$B$6:$B$305,0),MATCH(TEXT(分析!$C62,"0"),銘柄管理!$B$6:$B$305,0))-1,0,1,14))-SUM(OFFSET(安値!$E$6,IFERROR(MATCH(分析!$C62,銘柄管理!$B$6:$B$305,0),MATCH(TEXT(分析!$C62,"0"),銘柄管理!$B$6:$B$305,0))-1,0,1,14)))/SUM(OFFSET(終値!$E$6,IFERROR(MATCH(分析!$C62,銘柄管理!$B$6:$B$305,0),MATCH(TEXT(分析!$C62,"0"),銘柄管理!$B$6:$B$305,0))-1,0,1,14))*100,"")</f>
      </c>
      <c r="D62">
        <f>IFERROR((MAX(OFFSET(高値!$E$6,IFERROR(MATCH(分析!$C62,銘柄管理!$B$6:$B$305,0),MATCH(TEXT(分析!$C62,"0"),銘柄管理!$B$6:$B$305,0))-1,0,1,25))-MIN(OFFSET(安値!$E$6,IFERROR(MATCH(分析!$C62,銘柄管理!$B$6:$B$305,0),MATCH(TEXT(分析!$C62,"0"),銘柄管理!$B$6:$B$305,0))-1,0,1,25)))/分析!$E62*100,"")</f>
      </c>
      <c r="E62">
        <f>IFERROR((分析!$F62-分析!$G62)/分析!$G62*100,"")</f>
      </c>
      <c r="F62">
        <f>IFERROR((分析!$E62-MAX(OFFSET(高値!$E$6,IFERROR(MATCH(分析!$C62,銘柄管理!$B$6:$B$305,0),MATCH(TEXT(分析!$C62,"0"),銘柄管理!$B$6:$B$305,0))-1,0,1,25)))/MAX(OFFSET(高値!$E$6,IFERROR(MATCH(分析!$C62,銘柄管理!$B$6:$B$305,0),MATCH(TEXT(分析!$C62,"0"),銘柄管理!$B$6:$B$305,0))-1,0,1,25))*100,"")</f>
      </c>
      <c r="G62">
        <f>IFERROR((分析!$H62-分析!$I62)/分析!$F62*100,"")</f>
      </c>
      <c r="H62">
        <f>IFERROR(5-COUNTIF($C$3:$C$206,"&lt;"&amp;$C62)/COUNT($C$3:$C$206)-COUNTIF($G$3:$G$206,"&lt;"&amp;$G62)/COUNT($G$3:$G$206)-COUNTIF($D$3:$D$206,"&lt;"&amp;$D62)/COUNT($D$3:$D$206)-COUNTIF(分析!$Z$3:$Z$206,"&lt;"&amp;分析!$Z62)/COUNT(分析!$Z$3:$Z$206)-COUNTIF($E$3:$E$206,"&lt;"&amp;$E62)/COUNT($E$3:$E$206),"")</f>
      </c>
      <c r="I62">
        <f>IF(OR(A62="",A62="TOPX",C62="",H62=""),0,IF(AND(V811設定!$E$11=1,C62&lt;=V811設定!$E$3,D62&lt;=V811設定!$E$4,E62&lt;=V811設定!$E$5,分析!$Z62&lt;=V811設定!$E$6,分析!$Z62&gt;=V811設定!$E$7,F62&gt;=V811設定!$E$8,G62&lt;=V811設定!$E$9),1,0))</f>
      </c>
      <c r="J62">
        <f>IF(A62="","",IF(I62=1,"○ゲート通過",IF(V811設定!$E$11&lt;&gt;1,"― 停止中",IF(C62&gt;V811設定!$E$3,"×値動きが荒い",IF(D62&gt;V811設定!$E$4,"×レンジが広い",IF(E62&gt;V811設定!$E$5,"×窓を開けて上昇",IF(分析!$Z62&gt;V811設定!$E$6,"×前日に急騰",IF(分析!$Z62&lt;V811設定!$E$7,"×前日に急落",IF(F62&lt;V811設定!$E$8,"×高値から離れすぎ",IF(G62&gt;V811設定!$E$9,"×当日の値幅が大きい","×"))))))))))</f>
      </c>
      <c r="K62">
        <f>IF(売分析!$C62="","",売分析!$C62)</f>
      </c>
      <c r="L62">
        <f>IF(売分析!$C62="","",売分析!$D62)</f>
      </c>
      <c r="M62">
        <f>IFERROR((SUM(OFFSET(高値!$E$6,IFERROR(MATCH(売分析!$C62,銘柄管理!$B$6:$B$305,0),MATCH(TEXT(売分析!$C62,"0"),銘柄管理!$B$6:$B$305,0))-1,0,1,14))-SUM(OFFSET(安値!$E$6,IFERROR(MATCH(売分析!$C62,銘柄管理!$B$6:$B$305,0),MATCH(TEXT(売分析!$C62,"0"),銘柄管理!$B$6:$B$305,0))-1,0,1,14)))/SUM(OFFSET(終値!$E$6,IFERROR(MATCH(売分析!$C62,銘柄管理!$B$6:$B$305,0),MATCH(TEXT(売分析!$C62,"0"),銘柄管理!$B$6:$B$305,0))-1,0,1,14))*100,"")</f>
      </c>
      <c r="N62">
        <f>IFERROR((MAX(OFFSET(高値!$E$6,IFERROR(MATCH(売分析!$C62,銘柄管理!$B$6:$B$305,0),MATCH(TEXT(売分析!$C62,"0"),銘柄管理!$B$6:$B$305,0))-1,0,1,25))-MIN(OFFSET(安値!$E$6,IFERROR(MATCH(売分析!$C62,銘柄管理!$B$6:$B$305,0),MATCH(TEXT(売分析!$C62,"0"),銘柄管理!$B$6:$B$305,0))-1,0,1,25)))/売分析!$E62*100,"")</f>
      </c>
      <c r="O62">
        <f>IFERROR((売分析!$F62-売分析!$G62)/売分析!$G62*100,"")</f>
      </c>
      <c r="P62">
        <f>IFERROR((売分析!$E62-MAX(OFFSET(高値!$E$6,IFERROR(MATCH(売分析!$C62,銘柄管理!$B$6:$B$305,0),MATCH(TEXT(売分析!$C62,"0"),銘柄管理!$B$6:$B$305,0))-1,0,1,25)))/MAX(OFFSET(高値!$E$6,IFERROR(MATCH(売分析!$C62,銘柄管理!$B$6:$B$305,0),MATCH(TEXT(売分析!$C62,"0"),銘柄管理!$B$6:$B$305,0))-1,0,1,25))*100,"")</f>
      </c>
      <c r="Q62">
        <f>IFERROR((売分析!$H62-売分析!$I62)/売分析!$F62*100,"")</f>
      </c>
      <c r="R62">
        <f>IFERROR(5-COUNTIF($M$3:$M$206,"&lt;"&amp;$M62)/COUNT($M$3:$M$206)-COUNTIF($Q$3:$Q$206,"&lt;"&amp;$Q62)/COUNT($Q$3:$Q$206)-COUNTIF($N$3:$N$206,"&lt;"&amp;$N62)/COUNT($N$3:$N$206)-COUNTIF(売分析!$Z$3:$Z$206,"&lt;"&amp;売分析!$Z62)/COUNT(売分析!$Z$3:$Z$206)-COUNTIF($O$3:$O$206,"&lt;"&amp;$O62)/COUNT($O$3:$O$206),"")</f>
      </c>
      <c r="S62">
        <f>IF(OR(K62="",K62="TOPX",M62="",R62=""),0,IF(AND(V811設定!$E$12=1,M62&lt;=V811設定!$E$3,N62&lt;=V811設定!$E$4,O62&lt;=V811設定!$E$5,売分析!$Z62&lt;=V811設定!$E$6,売分析!$Z62&gt;=V811設定!$E$7,P62&gt;=V811設定!$E$8,Q62&lt;=V811設定!$E$9),1,0))</f>
      </c>
      <c r="T62">
        <f>IF(K62="","",IF(S62=1,"○ゲート通過",IF(V811設定!$E$12&lt;&gt;1,"― 停止中",IF(M62&gt;V811設定!$E$3,"×値動きが荒い",IF(N62&gt;V811設定!$E$4,"×レンジが広い",IF(O62&gt;V811設定!$E$5,"×窓を開けて上昇",IF(売分析!$Z62&gt;V811設定!$E$6,"×前日に急騰",IF(売分析!$Z62&lt;V811設定!$E$7,"×前日に急落",IF(P62&lt;V811設定!$E$8,"×高値から離れすぎ",IF(Q62&gt;V811設定!$E$9,"×当日の値幅が大きい","×"))))))))))</f>
      </c>
    </row>
    <row r="63" spans="1:20">
      <c r="A63">
        <f>IF(分析!$C63="","",分析!$C63)</f>
      </c>
      <c r="B63">
        <f>IF(分析!$C63="","",分析!$D63)</f>
      </c>
      <c r="C63">
        <f>IFERROR((SUM(OFFSET(高値!$E$6,IFERROR(MATCH(分析!$C63,銘柄管理!$B$6:$B$305,0),MATCH(TEXT(分析!$C63,"0"),銘柄管理!$B$6:$B$305,0))-1,0,1,14))-SUM(OFFSET(安値!$E$6,IFERROR(MATCH(分析!$C63,銘柄管理!$B$6:$B$305,0),MATCH(TEXT(分析!$C63,"0"),銘柄管理!$B$6:$B$305,0))-1,0,1,14)))/SUM(OFFSET(終値!$E$6,IFERROR(MATCH(分析!$C63,銘柄管理!$B$6:$B$305,0),MATCH(TEXT(分析!$C63,"0"),銘柄管理!$B$6:$B$305,0))-1,0,1,14))*100,"")</f>
      </c>
      <c r="D63">
        <f>IFERROR((MAX(OFFSET(高値!$E$6,IFERROR(MATCH(分析!$C63,銘柄管理!$B$6:$B$305,0),MATCH(TEXT(分析!$C63,"0"),銘柄管理!$B$6:$B$305,0))-1,0,1,25))-MIN(OFFSET(安値!$E$6,IFERROR(MATCH(分析!$C63,銘柄管理!$B$6:$B$305,0),MATCH(TEXT(分析!$C63,"0"),銘柄管理!$B$6:$B$305,0))-1,0,1,25)))/分析!$E63*100,"")</f>
      </c>
      <c r="E63">
        <f>IFERROR((分析!$F63-分析!$G63)/分析!$G63*100,"")</f>
      </c>
      <c r="F63">
        <f>IFERROR((分析!$E63-MAX(OFFSET(高値!$E$6,IFERROR(MATCH(分析!$C63,銘柄管理!$B$6:$B$305,0),MATCH(TEXT(分析!$C63,"0"),銘柄管理!$B$6:$B$305,0))-1,0,1,25)))/MAX(OFFSET(高値!$E$6,IFERROR(MATCH(分析!$C63,銘柄管理!$B$6:$B$305,0),MATCH(TEXT(分析!$C63,"0"),銘柄管理!$B$6:$B$305,0))-1,0,1,25))*100,"")</f>
      </c>
      <c r="G63">
        <f>IFERROR((分析!$H63-分析!$I63)/分析!$F63*100,"")</f>
      </c>
      <c r="H63">
        <f>IFERROR(5-COUNTIF($C$3:$C$206,"&lt;"&amp;$C63)/COUNT($C$3:$C$206)-COUNTIF($G$3:$G$206,"&lt;"&amp;$G63)/COUNT($G$3:$G$206)-COUNTIF($D$3:$D$206,"&lt;"&amp;$D63)/COUNT($D$3:$D$206)-COUNTIF(分析!$Z$3:$Z$206,"&lt;"&amp;分析!$Z63)/COUNT(分析!$Z$3:$Z$206)-COUNTIF($E$3:$E$206,"&lt;"&amp;$E63)/COUNT($E$3:$E$206),"")</f>
      </c>
      <c r="I63">
        <f>IF(OR(A63="",A63="TOPX",C63="",H63=""),0,IF(AND(V811設定!$E$11=1,C63&lt;=V811設定!$E$3,D63&lt;=V811設定!$E$4,E63&lt;=V811設定!$E$5,分析!$Z63&lt;=V811設定!$E$6,分析!$Z63&gt;=V811設定!$E$7,F63&gt;=V811設定!$E$8,G63&lt;=V811設定!$E$9),1,0))</f>
      </c>
      <c r="J63">
        <f>IF(A63="","",IF(I63=1,"○ゲート通過",IF(V811設定!$E$11&lt;&gt;1,"― 停止中",IF(C63&gt;V811設定!$E$3,"×値動きが荒い",IF(D63&gt;V811設定!$E$4,"×レンジが広い",IF(E63&gt;V811設定!$E$5,"×窓を開けて上昇",IF(分析!$Z63&gt;V811設定!$E$6,"×前日に急騰",IF(分析!$Z63&lt;V811設定!$E$7,"×前日に急落",IF(F63&lt;V811設定!$E$8,"×高値から離れすぎ",IF(G63&gt;V811設定!$E$9,"×当日の値幅が大きい","×"))))))))))</f>
      </c>
      <c r="K63">
        <f>IF(売分析!$C63="","",売分析!$C63)</f>
      </c>
      <c r="L63">
        <f>IF(売分析!$C63="","",売分析!$D63)</f>
      </c>
      <c r="M63">
        <f>IFERROR((SUM(OFFSET(高値!$E$6,IFERROR(MATCH(売分析!$C63,銘柄管理!$B$6:$B$305,0),MATCH(TEXT(売分析!$C63,"0"),銘柄管理!$B$6:$B$305,0))-1,0,1,14))-SUM(OFFSET(安値!$E$6,IFERROR(MATCH(売分析!$C63,銘柄管理!$B$6:$B$305,0),MATCH(TEXT(売分析!$C63,"0"),銘柄管理!$B$6:$B$305,0))-1,0,1,14)))/SUM(OFFSET(終値!$E$6,IFERROR(MATCH(売分析!$C63,銘柄管理!$B$6:$B$305,0),MATCH(TEXT(売分析!$C63,"0"),銘柄管理!$B$6:$B$305,0))-1,0,1,14))*100,"")</f>
      </c>
      <c r="N63">
        <f>IFERROR((MAX(OFFSET(高値!$E$6,IFERROR(MATCH(売分析!$C63,銘柄管理!$B$6:$B$305,0),MATCH(TEXT(売分析!$C63,"0"),銘柄管理!$B$6:$B$305,0))-1,0,1,25))-MIN(OFFSET(安値!$E$6,IFERROR(MATCH(売分析!$C63,銘柄管理!$B$6:$B$305,0),MATCH(TEXT(売分析!$C63,"0"),銘柄管理!$B$6:$B$305,0))-1,0,1,25)))/売分析!$E63*100,"")</f>
      </c>
      <c r="O63">
        <f>IFERROR((売分析!$F63-売分析!$G63)/売分析!$G63*100,"")</f>
      </c>
      <c r="P63">
        <f>IFERROR((売分析!$E63-MAX(OFFSET(高値!$E$6,IFERROR(MATCH(売分析!$C63,銘柄管理!$B$6:$B$305,0),MATCH(TEXT(売分析!$C63,"0"),銘柄管理!$B$6:$B$305,0))-1,0,1,25)))/MAX(OFFSET(高値!$E$6,IFERROR(MATCH(売分析!$C63,銘柄管理!$B$6:$B$305,0),MATCH(TEXT(売分析!$C63,"0"),銘柄管理!$B$6:$B$305,0))-1,0,1,25))*100,"")</f>
      </c>
      <c r="Q63">
        <f>IFERROR((売分析!$H63-売分析!$I63)/売分析!$F63*100,"")</f>
      </c>
      <c r="R63">
        <f>IFERROR(5-COUNTIF($M$3:$M$206,"&lt;"&amp;$M63)/COUNT($M$3:$M$206)-COUNTIF($Q$3:$Q$206,"&lt;"&amp;$Q63)/COUNT($Q$3:$Q$206)-COUNTIF($N$3:$N$206,"&lt;"&amp;$N63)/COUNT($N$3:$N$206)-COUNTIF(売分析!$Z$3:$Z$206,"&lt;"&amp;売分析!$Z63)/COUNT(売分析!$Z$3:$Z$206)-COUNTIF($O$3:$O$206,"&lt;"&amp;$O63)/COUNT($O$3:$O$206),"")</f>
      </c>
      <c r="S63">
        <f>IF(OR(K63="",K63="TOPX",M63="",R63=""),0,IF(AND(V811設定!$E$12=1,M63&lt;=V811設定!$E$3,N63&lt;=V811設定!$E$4,O63&lt;=V811設定!$E$5,売分析!$Z63&lt;=V811設定!$E$6,売分析!$Z63&gt;=V811設定!$E$7,P63&gt;=V811設定!$E$8,Q63&lt;=V811設定!$E$9),1,0))</f>
      </c>
      <c r="T63">
        <f>IF(K63="","",IF(S63=1,"○ゲート通過",IF(V811設定!$E$12&lt;&gt;1,"― 停止中",IF(M63&gt;V811設定!$E$3,"×値動きが荒い",IF(N63&gt;V811設定!$E$4,"×レンジが広い",IF(O63&gt;V811設定!$E$5,"×窓を開けて上昇",IF(売分析!$Z63&gt;V811設定!$E$6,"×前日に急騰",IF(売分析!$Z63&lt;V811設定!$E$7,"×前日に急落",IF(P63&lt;V811設定!$E$8,"×高値から離れすぎ",IF(Q63&gt;V811設定!$E$9,"×当日の値幅が大きい","×"))))))))))</f>
      </c>
    </row>
    <row r="64" spans="1:20">
      <c r="A64">
        <f>IF(分析!$C64="","",分析!$C64)</f>
      </c>
      <c r="B64">
        <f>IF(分析!$C64="","",分析!$D64)</f>
      </c>
      <c r="C64">
        <f>IFERROR((SUM(OFFSET(高値!$E$6,IFERROR(MATCH(分析!$C64,銘柄管理!$B$6:$B$305,0),MATCH(TEXT(分析!$C64,"0"),銘柄管理!$B$6:$B$305,0))-1,0,1,14))-SUM(OFFSET(安値!$E$6,IFERROR(MATCH(分析!$C64,銘柄管理!$B$6:$B$305,0),MATCH(TEXT(分析!$C64,"0"),銘柄管理!$B$6:$B$305,0))-1,0,1,14)))/SUM(OFFSET(終値!$E$6,IFERROR(MATCH(分析!$C64,銘柄管理!$B$6:$B$305,0),MATCH(TEXT(分析!$C64,"0"),銘柄管理!$B$6:$B$305,0))-1,0,1,14))*100,"")</f>
      </c>
      <c r="D64">
        <f>IFERROR((MAX(OFFSET(高値!$E$6,IFERROR(MATCH(分析!$C64,銘柄管理!$B$6:$B$305,0),MATCH(TEXT(分析!$C64,"0"),銘柄管理!$B$6:$B$305,0))-1,0,1,25))-MIN(OFFSET(安値!$E$6,IFERROR(MATCH(分析!$C64,銘柄管理!$B$6:$B$305,0),MATCH(TEXT(分析!$C64,"0"),銘柄管理!$B$6:$B$305,0))-1,0,1,25)))/分析!$E64*100,"")</f>
      </c>
      <c r="E64">
        <f>IFERROR((分析!$F64-分析!$G64)/分析!$G64*100,"")</f>
      </c>
      <c r="F64">
        <f>IFERROR((分析!$E64-MAX(OFFSET(高値!$E$6,IFERROR(MATCH(分析!$C64,銘柄管理!$B$6:$B$305,0),MATCH(TEXT(分析!$C64,"0"),銘柄管理!$B$6:$B$305,0))-1,0,1,25)))/MAX(OFFSET(高値!$E$6,IFERROR(MATCH(分析!$C64,銘柄管理!$B$6:$B$305,0),MATCH(TEXT(分析!$C64,"0"),銘柄管理!$B$6:$B$305,0))-1,0,1,25))*100,"")</f>
      </c>
      <c r="G64">
        <f>IFERROR((分析!$H64-分析!$I64)/分析!$F64*100,"")</f>
      </c>
      <c r="H64">
        <f>IFERROR(5-COUNTIF($C$3:$C$206,"&lt;"&amp;$C64)/COUNT($C$3:$C$206)-COUNTIF($G$3:$G$206,"&lt;"&amp;$G64)/COUNT($G$3:$G$206)-COUNTIF($D$3:$D$206,"&lt;"&amp;$D64)/COUNT($D$3:$D$206)-COUNTIF(分析!$Z$3:$Z$206,"&lt;"&amp;分析!$Z64)/COUNT(分析!$Z$3:$Z$206)-COUNTIF($E$3:$E$206,"&lt;"&amp;$E64)/COUNT($E$3:$E$206),"")</f>
      </c>
      <c r="I64">
        <f>IF(OR(A64="",A64="TOPX",C64="",H64=""),0,IF(AND(V811設定!$E$11=1,C64&lt;=V811設定!$E$3,D64&lt;=V811設定!$E$4,E64&lt;=V811設定!$E$5,分析!$Z64&lt;=V811設定!$E$6,分析!$Z64&gt;=V811設定!$E$7,F64&gt;=V811設定!$E$8,G64&lt;=V811設定!$E$9),1,0))</f>
      </c>
      <c r="J64">
        <f>IF(A64="","",IF(I64=1,"○ゲート通過",IF(V811設定!$E$11&lt;&gt;1,"― 停止中",IF(C64&gt;V811設定!$E$3,"×値動きが荒い",IF(D64&gt;V811設定!$E$4,"×レンジが広い",IF(E64&gt;V811設定!$E$5,"×窓を開けて上昇",IF(分析!$Z64&gt;V811設定!$E$6,"×前日に急騰",IF(分析!$Z64&lt;V811設定!$E$7,"×前日に急落",IF(F64&lt;V811設定!$E$8,"×高値から離れすぎ",IF(G64&gt;V811設定!$E$9,"×当日の値幅が大きい","×"))))))))))</f>
      </c>
      <c r="K64">
        <f>IF(売分析!$C64="","",売分析!$C64)</f>
      </c>
      <c r="L64">
        <f>IF(売分析!$C64="","",売分析!$D64)</f>
      </c>
      <c r="M64">
        <f>IFERROR((SUM(OFFSET(高値!$E$6,IFERROR(MATCH(売分析!$C64,銘柄管理!$B$6:$B$305,0),MATCH(TEXT(売分析!$C64,"0"),銘柄管理!$B$6:$B$305,0))-1,0,1,14))-SUM(OFFSET(安値!$E$6,IFERROR(MATCH(売分析!$C64,銘柄管理!$B$6:$B$305,0),MATCH(TEXT(売分析!$C64,"0"),銘柄管理!$B$6:$B$305,0))-1,0,1,14)))/SUM(OFFSET(終値!$E$6,IFERROR(MATCH(売分析!$C64,銘柄管理!$B$6:$B$305,0),MATCH(TEXT(売分析!$C64,"0"),銘柄管理!$B$6:$B$305,0))-1,0,1,14))*100,"")</f>
      </c>
      <c r="N64">
        <f>IFERROR((MAX(OFFSET(高値!$E$6,IFERROR(MATCH(売分析!$C64,銘柄管理!$B$6:$B$305,0),MATCH(TEXT(売分析!$C64,"0"),銘柄管理!$B$6:$B$305,0))-1,0,1,25))-MIN(OFFSET(安値!$E$6,IFERROR(MATCH(売分析!$C64,銘柄管理!$B$6:$B$305,0),MATCH(TEXT(売分析!$C64,"0"),銘柄管理!$B$6:$B$305,0))-1,0,1,25)))/売分析!$E64*100,"")</f>
      </c>
      <c r="O64">
        <f>IFERROR((売分析!$F64-売分析!$G64)/売分析!$G64*100,"")</f>
      </c>
      <c r="P64">
        <f>IFERROR((売分析!$E64-MAX(OFFSET(高値!$E$6,IFERROR(MATCH(売分析!$C64,銘柄管理!$B$6:$B$305,0),MATCH(TEXT(売分析!$C64,"0"),銘柄管理!$B$6:$B$305,0))-1,0,1,25)))/MAX(OFFSET(高値!$E$6,IFERROR(MATCH(売分析!$C64,銘柄管理!$B$6:$B$305,0),MATCH(TEXT(売分析!$C64,"0"),銘柄管理!$B$6:$B$305,0))-1,0,1,25))*100,"")</f>
      </c>
      <c r="Q64">
        <f>IFERROR((売分析!$H64-売分析!$I64)/売分析!$F64*100,"")</f>
      </c>
      <c r="R64">
        <f>IFERROR(5-COUNTIF($M$3:$M$206,"&lt;"&amp;$M64)/COUNT($M$3:$M$206)-COUNTIF($Q$3:$Q$206,"&lt;"&amp;$Q64)/COUNT($Q$3:$Q$206)-COUNTIF($N$3:$N$206,"&lt;"&amp;$N64)/COUNT($N$3:$N$206)-COUNTIF(売分析!$Z$3:$Z$206,"&lt;"&amp;売分析!$Z64)/COUNT(売分析!$Z$3:$Z$206)-COUNTIF($O$3:$O$206,"&lt;"&amp;$O64)/COUNT($O$3:$O$206),"")</f>
      </c>
      <c r="S64">
        <f>IF(OR(K64="",K64="TOPX",M64="",R64=""),0,IF(AND(V811設定!$E$12=1,M64&lt;=V811設定!$E$3,N64&lt;=V811設定!$E$4,O64&lt;=V811設定!$E$5,売分析!$Z64&lt;=V811設定!$E$6,売分析!$Z64&gt;=V811設定!$E$7,P64&gt;=V811設定!$E$8,Q64&lt;=V811設定!$E$9),1,0))</f>
      </c>
      <c r="T64">
        <f>IF(K64="","",IF(S64=1,"○ゲート通過",IF(V811設定!$E$12&lt;&gt;1,"― 停止中",IF(M64&gt;V811設定!$E$3,"×値動きが荒い",IF(N64&gt;V811設定!$E$4,"×レンジが広い",IF(O64&gt;V811設定!$E$5,"×窓を開けて上昇",IF(売分析!$Z64&gt;V811設定!$E$6,"×前日に急騰",IF(売分析!$Z64&lt;V811設定!$E$7,"×前日に急落",IF(P64&lt;V811設定!$E$8,"×高値から離れすぎ",IF(Q64&gt;V811設定!$E$9,"×当日の値幅が大きい","×"))))))))))</f>
      </c>
    </row>
    <row r="65" spans="1:20">
      <c r="A65">
        <f>IF(分析!$C65="","",分析!$C65)</f>
      </c>
      <c r="B65">
        <f>IF(分析!$C65="","",分析!$D65)</f>
      </c>
      <c r="C65">
        <f>IFERROR((SUM(OFFSET(高値!$E$6,IFERROR(MATCH(分析!$C65,銘柄管理!$B$6:$B$305,0),MATCH(TEXT(分析!$C65,"0"),銘柄管理!$B$6:$B$305,0))-1,0,1,14))-SUM(OFFSET(安値!$E$6,IFERROR(MATCH(分析!$C65,銘柄管理!$B$6:$B$305,0),MATCH(TEXT(分析!$C65,"0"),銘柄管理!$B$6:$B$305,0))-1,0,1,14)))/SUM(OFFSET(終値!$E$6,IFERROR(MATCH(分析!$C65,銘柄管理!$B$6:$B$305,0),MATCH(TEXT(分析!$C65,"0"),銘柄管理!$B$6:$B$305,0))-1,0,1,14))*100,"")</f>
      </c>
      <c r="D65">
        <f>IFERROR((MAX(OFFSET(高値!$E$6,IFERROR(MATCH(分析!$C65,銘柄管理!$B$6:$B$305,0),MATCH(TEXT(分析!$C65,"0"),銘柄管理!$B$6:$B$305,0))-1,0,1,25))-MIN(OFFSET(安値!$E$6,IFERROR(MATCH(分析!$C65,銘柄管理!$B$6:$B$305,0),MATCH(TEXT(分析!$C65,"0"),銘柄管理!$B$6:$B$305,0))-1,0,1,25)))/分析!$E65*100,"")</f>
      </c>
      <c r="E65">
        <f>IFERROR((分析!$F65-分析!$G65)/分析!$G65*100,"")</f>
      </c>
      <c r="F65">
        <f>IFERROR((分析!$E65-MAX(OFFSET(高値!$E$6,IFERROR(MATCH(分析!$C65,銘柄管理!$B$6:$B$305,0),MATCH(TEXT(分析!$C65,"0"),銘柄管理!$B$6:$B$305,0))-1,0,1,25)))/MAX(OFFSET(高値!$E$6,IFERROR(MATCH(分析!$C65,銘柄管理!$B$6:$B$305,0),MATCH(TEXT(分析!$C65,"0"),銘柄管理!$B$6:$B$305,0))-1,0,1,25))*100,"")</f>
      </c>
      <c r="G65">
        <f>IFERROR((分析!$H65-分析!$I65)/分析!$F65*100,"")</f>
      </c>
      <c r="H65">
        <f>IFERROR(5-COUNTIF($C$3:$C$206,"&lt;"&amp;$C65)/COUNT($C$3:$C$206)-COUNTIF($G$3:$G$206,"&lt;"&amp;$G65)/COUNT($G$3:$G$206)-COUNTIF($D$3:$D$206,"&lt;"&amp;$D65)/COUNT($D$3:$D$206)-COUNTIF(分析!$Z$3:$Z$206,"&lt;"&amp;分析!$Z65)/COUNT(分析!$Z$3:$Z$206)-COUNTIF($E$3:$E$206,"&lt;"&amp;$E65)/COUNT($E$3:$E$206),"")</f>
      </c>
      <c r="I65">
        <f>IF(OR(A65="",A65="TOPX",C65="",H65=""),0,IF(AND(V811設定!$E$11=1,C65&lt;=V811設定!$E$3,D65&lt;=V811設定!$E$4,E65&lt;=V811設定!$E$5,分析!$Z65&lt;=V811設定!$E$6,分析!$Z65&gt;=V811設定!$E$7,F65&gt;=V811設定!$E$8,G65&lt;=V811設定!$E$9),1,0))</f>
      </c>
      <c r="J65">
        <f>IF(A65="","",IF(I65=1,"○ゲート通過",IF(V811設定!$E$11&lt;&gt;1,"― 停止中",IF(C65&gt;V811設定!$E$3,"×値動きが荒い",IF(D65&gt;V811設定!$E$4,"×レンジが広い",IF(E65&gt;V811設定!$E$5,"×窓を開けて上昇",IF(分析!$Z65&gt;V811設定!$E$6,"×前日に急騰",IF(分析!$Z65&lt;V811設定!$E$7,"×前日に急落",IF(F65&lt;V811設定!$E$8,"×高値から離れすぎ",IF(G65&gt;V811設定!$E$9,"×当日の値幅が大きい","×"))))))))))</f>
      </c>
      <c r="K65">
        <f>IF(売分析!$C65="","",売分析!$C65)</f>
      </c>
      <c r="L65">
        <f>IF(売分析!$C65="","",売分析!$D65)</f>
      </c>
      <c r="M65">
        <f>IFERROR((SUM(OFFSET(高値!$E$6,IFERROR(MATCH(売分析!$C65,銘柄管理!$B$6:$B$305,0),MATCH(TEXT(売分析!$C65,"0"),銘柄管理!$B$6:$B$305,0))-1,0,1,14))-SUM(OFFSET(安値!$E$6,IFERROR(MATCH(売分析!$C65,銘柄管理!$B$6:$B$305,0),MATCH(TEXT(売分析!$C65,"0"),銘柄管理!$B$6:$B$305,0))-1,0,1,14)))/SUM(OFFSET(終値!$E$6,IFERROR(MATCH(売分析!$C65,銘柄管理!$B$6:$B$305,0),MATCH(TEXT(売分析!$C65,"0"),銘柄管理!$B$6:$B$305,0))-1,0,1,14))*100,"")</f>
      </c>
      <c r="N65">
        <f>IFERROR((MAX(OFFSET(高値!$E$6,IFERROR(MATCH(売分析!$C65,銘柄管理!$B$6:$B$305,0),MATCH(TEXT(売分析!$C65,"0"),銘柄管理!$B$6:$B$305,0))-1,0,1,25))-MIN(OFFSET(安値!$E$6,IFERROR(MATCH(売分析!$C65,銘柄管理!$B$6:$B$305,0),MATCH(TEXT(売分析!$C65,"0"),銘柄管理!$B$6:$B$305,0))-1,0,1,25)))/売分析!$E65*100,"")</f>
      </c>
      <c r="O65">
        <f>IFERROR((売分析!$F65-売分析!$G65)/売分析!$G65*100,"")</f>
      </c>
      <c r="P65">
        <f>IFERROR((売分析!$E65-MAX(OFFSET(高値!$E$6,IFERROR(MATCH(売分析!$C65,銘柄管理!$B$6:$B$305,0),MATCH(TEXT(売分析!$C65,"0"),銘柄管理!$B$6:$B$305,0))-1,0,1,25)))/MAX(OFFSET(高値!$E$6,IFERROR(MATCH(売分析!$C65,銘柄管理!$B$6:$B$305,0),MATCH(TEXT(売分析!$C65,"0"),銘柄管理!$B$6:$B$305,0))-1,0,1,25))*100,"")</f>
      </c>
      <c r="Q65">
        <f>IFERROR((売分析!$H65-売分析!$I65)/売分析!$F65*100,"")</f>
      </c>
      <c r="R65">
        <f>IFERROR(5-COUNTIF($M$3:$M$206,"&lt;"&amp;$M65)/COUNT($M$3:$M$206)-COUNTIF($Q$3:$Q$206,"&lt;"&amp;$Q65)/COUNT($Q$3:$Q$206)-COUNTIF($N$3:$N$206,"&lt;"&amp;$N65)/COUNT($N$3:$N$206)-COUNTIF(売分析!$Z$3:$Z$206,"&lt;"&amp;売分析!$Z65)/COUNT(売分析!$Z$3:$Z$206)-COUNTIF($O$3:$O$206,"&lt;"&amp;$O65)/COUNT($O$3:$O$206),"")</f>
      </c>
      <c r="S65">
        <f>IF(OR(K65="",K65="TOPX",M65="",R65=""),0,IF(AND(V811設定!$E$12=1,M65&lt;=V811設定!$E$3,N65&lt;=V811設定!$E$4,O65&lt;=V811設定!$E$5,売分析!$Z65&lt;=V811設定!$E$6,売分析!$Z65&gt;=V811設定!$E$7,P65&gt;=V811設定!$E$8,Q65&lt;=V811設定!$E$9),1,0))</f>
      </c>
      <c r="T65">
        <f>IF(K65="","",IF(S65=1,"○ゲート通過",IF(V811設定!$E$12&lt;&gt;1,"― 停止中",IF(M65&gt;V811設定!$E$3,"×値動きが荒い",IF(N65&gt;V811設定!$E$4,"×レンジが広い",IF(O65&gt;V811設定!$E$5,"×窓を開けて上昇",IF(売分析!$Z65&gt;V811設定!$E$6,"×前日に急騰",IF(売分析!$Z65&lt;V811設定!$E$7,"×前日に急落",IF(P65&lt;V811設定!$E$8,"×高値から離れすぎ",IF(Q65&gt;V811設定!$E$9,"×当日の値幅が大きい","×"))))))))))</f>
      </c>
    </row>
    <row r="66" spans="1:20">
      <c r="A66">
        <f>IF(分析!$C66="","",分析!$C66)</f>
      </c>
      <c r="B66">
        <f>IF(分析!$C66="","",分析!$D66)</f>
      </c>
      <c r="C66">
        <f>IFERROR((SUM(OFFSET(高値!$E$6,IFERROR(MATCH(分析!$C66,銘柄管理!$B$6:$B$305,0),MATCH(TEXT(分析!$C66,"0"),銘柄管理!$B$6:$B$305,0))-1,0,1,14))-SUM(OFFSET(安値!$E$6,IFERROR(MATCH(分析!$C66,銘柄管理!$B$6:$B$305,0),MATCH(TEXT(分析!$C66,"0"),銘柄管理!$B$6:$B$305,0))-1,0,1,14)))/SUM(OFFSET(終値!$E$6,IFERROR(MATCH(分析!$C66,銘柄管理!$B$6:$B$305,0),MATCH(TEXT(分析!$C66,"0"),銘柄管理!$B$6:$B$305,0))-1,0,1,14))*100,"")</f>
      </c>
      <c r="D66">
        <f>IFERROR((MAX(OFFSET(高値!$E$6,IFERROR(MATCH(分析!$C66,銘柄管理!$B$6:$B$305,0),MATCH(TEXT(分析!$C66,"0"),銘柄管理!$B$6:$B$305,0))-1,0,1,25))-MIN(OFFSET(安値!$E$6,IFERROR(MATCH(分析!$C66,銘柄管理!$B$6:$B$305,0),MATCH(TEXT(分析!$C66,"0"),銘柄管理!$B$6:$B$305,0))-1,0,1,25)))/分析!$E66*100,"")</f>
      </c>
      <c r="E66">
        <f>IFERROR((分析!$F66-分析!$G66)/分析!$G66*100,"")</f>
      </c>
      <c r="F66">
        <f>IFERROR((分析!$E66-MAX(OFFSET(高値!$E$6,IFERROR(MATCH(分析!$C66,銘柄管理!$B$6:$B$305,0),MATCH(TEXT(分析!$C66,"0"),銘柄管理!$B$6:$B$305,0))-1,0,1,25)))/MAX(OFFSET(高値!$E$6,IFERROR(MATCH(分析!$C66,銘柄管理!$B$6:$B$305,0),MATCH(TEXT(分析!$C66,"0"),銘柄管理!$B$6:$B$305,0))-1,0,1,25))*100,"")</f>
      </c>
      <c r="G66">
        <f>IFERROR((分析!$H66-分析!$I66)/分析!$F66*100,"")</f>
      </c>
      <c r="H66">
        <f>IFERROR(5-COUNTIF($C$3:$C$206,"&lt;"&amp;$C66)/COUNT($C$3:$C$206)-COUNTIF($G$3:$G$206,"&lt;"&amp;$G66)/COUNT($G$3:$G$206)-COUNTIF($D$3:$D$206,"&lt;"&amp;$D66)/COUNT($D$3:$D$206)-COUNTIF(分析!$Z$3:$Z$206,"&lt;"&amp;分析!$Z66)/COUNT(分析!$Z$3:$Z$206)-COUNTIF($E$3:$E$206,"&lt;"&amp;$E66)/COUNT($E$3:$E$206),"")</f>
      </c>
      <c r="I66">
        <f>IF(OR(A66="",A66="TOPX",C66="",H66=""),0,IF(AND(V811設定!$E$11=1,C66&lt;=V811設定!$E$3,D66&lt;=V811設定!$E$4,E66&lt;=V811設定!$E$5,分析!$Z66&lt;=V811設定!$E$6,分析!$Z66&gt;=V811設定!$E$7,F66&gt;=V811設定!$E$8,G66&lt;=V811設定!$E$9),1,0))</f>
      </c>
      <c r="J66">
        <f>IF(A66="","",IF(I66=1,"○ゲート通過",IF(V811設定!$E$11&lt;&gt;1,"― 停止中",IF(C66&gt;V811設定!$E$3,"×値動きが荒い",IF(D66&gt;V811設定!$E$4,"×レンジが広い",IF(E66&gt;V811設定!$E$5,"×窓を開けて上昇",IF(分析!$Z66&gt;V811設定!$E$6,"×前日に急騰",IF(分析!$Z66&lt;V811設定!$E$7,"×前日に急落",IF(F66&lt;V811設定!$E$8,"×高値から離れすぎ",IF(G66&gt;V811設定!$E$9,"×当日の値幅が大きい","×"))))))))))</f>
      </c>
      <c r="K66">
        <f>IF(売分析!$C66="","",売分析!$C66)</f>
      </c>
      <c r="L66">
        <f>IF(売分析!$C66="","",売分析!$D66)</f>
      </c>
      <c r="M66">
        <f>IFERROR((SUM(OFFSET(高値!$E$6,IFERROR(MATCH(売分析!$C66,銘柄管理!$B$6:$B$305,0),MATCH(TEXT(売分析!$C66,"0"),銘柄管理!$B$6:$B$305,0))-1,0,1,14))-SUM(OFFSET(安値!$E$6,IFERROR(MATCH(売分析!$C66,銘柄管理!$B$6:$B$305,0),MATCH(TEXT(売分析!$C66,"0"),銘柄管理!$B$6:$B$305,0))-1,0,1,14)))/SUM(OFFSET(終値!$E$6,IFERROR(MATCH(売分析!$C66,銘柄管理!$B$6:$B$305,0),MATCH(TEXT(売分析!$C66,"0"),銘柄管理!$B$6:$B$305,0))-1,0,1,14))*100,"")</f>
      </c>
      <c r="N66">
        <f>IFERROR((MAX(OFFSET(高値!$E$6,IFERROR(MATCH(売分析!$C66,銘柄管理!$B$6:$B$305,0),MATCH(TEXT(売分析!$C66,"0"),銘柄管理!$B$6:$B$305,0))-1,0,1,25))-MIN(OFFSET(安値!$E$6,IFERROR(MATCH(売分析!$C66,銘柄管理!$B$6:$B$305,0),MATCH(TEXT(売分析!$C66,"0"),銘柄管理!$B$6:$B$305,0))-1,0,1,25)))/売分析!$E66*100,"")</f>
      </c>
      <c r="O66">
        <f>IFERROR((売分析!$F66-売分析!$G66)/売分析!$G66*100,"")</f>
      </c>
      <c r="P66">
        <f>IFERROR((売分析!$E66-MAX(OFFSET(高値!$E$6,IFERROR(MATCH(売分析!$C66,銘柄管理!$B$6:$B$305,0),MATCH(TEXT(売分析!$C66,"0"),銘柄管理!$B$6:$B$305,0))-1,0,1,25)))/MAX(OFFSET(高値!$E$6,IFERROR(MATCH(売分析!$C66,銘柄管理!$B$6:$B$305,0),MATCH(TEXT(売分析!$C66,"0"),銘柄管理!$B$6:$B$305,0))-1,0,1,25))*100,"")</f>
      </c>
      <c r="Q66">
        <f>IFERROR((売分析!$H66-売分析!$I66)/売分析!$F66*100,"")</f>
      </c>
      <c r="R66">
        <f>IFERROR(5-COUNTIF($M$3:$M$206,"&lt;"&amp;$M66)/COUNT($M$3:$M$206)-COUNTIF($Q$3:$Q$206,"&lt;"&amp;$Q66)/COUNT($Q$3:$Q$206)-COUNTIF($N$3:$N$206,"&lt;"&amp;$N66)/COUNT($N$3:$N$206)-COUNTIF(売分析!$Z$3:$Z$206,"&lt;"&amp;売分析!$Z66)/COUNT(売分析!$Z$3:$Z$206)-COUNTIF($O$3:$O$206,"&lt;"&amp;$O66)/COUNT($O$3:$O$206),"")</f>
      </c>
      <c r="S66">
        <f>IF(OR(K66="",K66="TOPX",M66="",R66=""),0,IF(AND(V811設定!$E$12=1,M66&lt;=V811設定!$E$3,N66&lt;=V811設定!$E$4,O66&lt;=V811設定!$E$5,売分析!$Z66&lt;=V811設定!$E$6,売分析!$Z66&gt;=V811設定!$E$7,P66&gt;=V811設定!$E$8,Q66&lt;=V811設定!$E$9),1,0))</f>
      </c>
      <c r="T66">
        <f>IF(K66="","",IF(S66=1,"○ゲート通過",IF(V811設定!$E$12&lt;&gt;1,"― 停止中",IF(M66&gt;V811設定!$E$3,"×値動きが荒い",IF(N66&gt;V811設定!$E$4,"×レンジが広い",IF(O66&gt;V811設定!$E$5,"×窓を開けて上昇",IF(売分析!$Z66&gt;V811設定!$E$6,"×前日に急騰",IF(売分析!$Z66&lt;V811設定!$E$7,"×前日に急落",IF(P66&lt;V811設定!$E$8,"×高値から離れすぎ",IF(Q66&gt;V811設定!$E$9,"×当日の値幅が大きい","×"))))))))))</f>
      </c>
    </row>
    <row r="67" spans="1:20">
      <c r="A67">
        <f>IF(分析!$C67="","",分析!$C67)</f>
      </c>
      <c r="B67">
        <f>IF(分析!$C67="","",分析!$D67)</f>
      </c>
      <c r="C67">
        <f>IFERROR((SUM(OFFSET(高値!$E$6,IFERROR(MATCH(分析!$C67,銘柄管理!$B$6:$B$305,0),MATCH(TEXT(分析!$C67,"0"),銘柄管理!$B$6:$B$305,0))-1,0,1,14))-SUM(OFFSET(安値!$E$6,IFERROR(MATCH(分析!$C67,銘柄管理!$B$6:$B$305,0),MATCH(TEXT(分析!$C67,"0"),銘柄管理!$B$6:$B$305,0))-1,0,1,14)))/SUM(OFFSET(終値!$E$6,IFERROR(MATCH(分析!$C67,銘柄管理!$B$6:$B$305,0),MATCH(TEXT(分析!$C67,"0"),銘柄管理!$B$6:$B$305,0))-1,0,1,14))*100,"")</f>
      </c>
      <c r="D67">
        <f>IFERROR((MAX(OFFSET(高値!$E$6,IFERROR(MATCH(分析!$C67,銘柄管理!$B$6:$B$305,0),MATCH(TEXT(分析!$C67,"0"),銘柄管理!$B$6:$B$305,0))-1,0,1,25))-MIN(OFFSET(安値!$E$6,IFERROR(MATCH(分析!$C67,銘柄管理!$B$6:$B$305,0),MATCH(TEXT(分析!$C67,"0"),銘柄管理!$B$6:$B$305,0))-1,0,1,25)))/分析!$E67*100,"")</f>
      </c>
      <c r="E67">
        <f>IFERROR((分析!$F67-分析!$G67)/分析!$G67*100,"")</f>
      </c>
      <c r="F67">
        <f>IFERROR((分析!$E67-MAX(OFFSET(高値!$E$6,IFERROR(MATCH(分析!$C67,銘柄管理!$B$6:$B$305,0),MATCH(TEXT(分析!$C67,"0"),銘柄管理!$B$6:$B$305,0))-1,0,1,25)))/MAX(OFFSET(高値!$E$6,IFERROR(MATCH(分析!$C67,銘柄管理!$B$6:$B$305,0),MATCH(TEXT(分析!$C67,"0"),銘柄管理!$B$6:$B$305,0))-1,0,1,25))*100,"")</f>
      </c>
      <c r="G67">
        <f>IFERROR((分析!$H67-分析!$I67)/分析!$F67*100,"")</f>
      </c>
      <c r="H67">
        <f>IFERROR(5-COUNTIF($C$3:$C$206,"&lt;"&amp;$C67)/COUNT($C$3:$C$206)-COUNTIF($G$3:$G$206,"&lt;"&amp;$G67)/COUNT($G$3:$G$206)-COUNTIF($D$3:$D$206,"&lt;"&amp;$D67)/COUNT($D$3:$D$206)-COUNTIF(分析!$Z$3:$Z$206,"&lt;"&amp;分析!$Z67)/COUNT(分析!$Z$3:$Z$206)-COUNTIF($E$3:$E$206,"&lt;"&amp;$E67)/COUNT($E$3:$E$206),"")</f>
      </c>
      <c r="I67">
        <f>IF(OR(A67="",A67="TOPX",C67="",H67=""),0,IF(AND(V811設定!$E$11=1,C67&lt;=V811設定!$E$3,D67&lt;=V811設定!$E$4,E67&lt;=V811設定!$E$5,分析!$Z67&lt;=V811設定!$E$6,分析!$Z67&gt;=V811設定!$E$7,F67&gt;=V811設定!$E$8,G67&lt;=V811設定!$E$9),1,0))</f>
      </c>
      <c r="J67">
        <f>IF(A67="","",IF(I67=1,"○ゲート通過",IF(V811設定!$E$11&lt;&gt;1,"― 停止中",IF(C67&gt;V811設定!$E$3,"×値動きが荒い",IF(D67&gt;V811設定!$E$4,"×レンジが広い",IF(E67&gt;V811設定!$E$5,"×窓を開けて上昇",IF(分析!$Z67&gt;V811設定!$E$6,"×前日に急騰",IF(分析!$Z67&lt;V811設定!$E$7,"×前日に急落",IF(F67&lt;V811設定!$E$8,"×高値から離れすぎ",IF(G67&gt;V811設定!$E$9,"×当日の値幅が大きい","×"))))))))))</f>
      </c>
      <c r="K67">
        <f>IF(売分析!$C67="","",売分析!$C67)</f>
      </c>
      <c r="L67">
        <f>IF(売分析!$C67="","",売分析!$D67)</f>
      </c>
      <c r="M67">
        <f>IFERROR((SUM(OFFSET(高値!$E$6,IFERROR(MATCH(売分析!$C67,銘柄管理!$B$6:$B$305,0),MATCH(TEXT(売分析!$C67,"0"),銘柄管理!$B$6:$B$305,0))-1,0,1,14))-SUM(OFFSET(安値!$E$6,IFERROR(MATCH(売分析!$C67,銘柄管理!$B$6:$B$305,0),MATCH(TEXT(売分析!$C67,"0"),銘柄管理!$B$6:$B$305,0))-1,0,1,14)))/SUM(OFFSET(終値!$E$6,IFERROR(MATCH(売分析!$C67,銘柄管理!$B$6:$B$305,0),MATCH(TEXT(売分析!$C67,"0"),銘柄管理!$B$6:$B$305,0))-1,0,1,14))*100,"")</f>
      </c>
      <c r="N67">
        <f>IFERROR((MAX(OFFSET(高値!$E$6,IFERROR(MATCH(売分析!$C67,銘柄管理!$B$6:$B$305,0),MATCH(TEXT(売分析!$C67,"0"),銘柄管理!$B$6:$B$305,0))-1,0,1,25))-MIN(OFFSET(安値!$E$6,IFERROR(MATCH(売分析!$C67,銘柄管理!$B$6:$B$305,0),MATCH(TEXT(売分析!$C67,"0"),銘柄管理!$B$6:$B$305,0))-1,0,1,25)))/売分析!$E67*100,"")</f>
      </c>
      <c r="O67">
        <f>IFERROR((売分析!$F67-売分析!$G67)/売分析!$G67*100,"")</f>
      </c>
      <c r="P67">
        <f>IFERROR((売分析!$E67-MAX(OFFSET(高値!$E$6,IFERROR(MATCH(売分析!$C67,銘柄管理!$B$6:$B$305,0),MATCH(TEXT(売分析!$C67,"0"),銘柄管理!$B$6:$B$305,0))-1,0,1,25)))/MAX(OFFSET(高値!$E$6,IFERROR(MATCH(売分析!$C67,銘柄管理!$B$6:$B$305,0),MATCH(TEXT(売分析!$C67,"0"),銘柄管理!$B$6:$B$305,0))-1,0,1,25))*100,"")</f>
      </c>
      <c r="Q67">
        <f>IFERROR((売分析!$H67-売分析!$I67)/売分析!$F67*100,"")</f>
      </c>
      <c r="R67">
        <f>IFERROR(5-COUNTIF($M$3:$M$206,"&lt;"&amp;$M67)/COUNT($M$3:$M$206)-COUNTIF($Q$3:$Q$206,"&lt;"&amp;$Q67)/COUNT($Q$3:$Q$206)-COUNTIF($N$3:$N$206,"&lt;"&amp;$N67)/COUNT($N$3:$N$206)-COUNTIF(売分析!$Z$3:$Z$206,"&lt;"&amp;売分析!$Z67)/COUNT(売分析!$Z$3:$Z$206)-COUNTIF($O$3:$O$206,"&lt;"&amp;$O67)/COUNT($O$3:$O$206),"")</f>
      </c>
      <c r="S67">
        <f>IF(OR(K67="",K67="TOPX",M67="",R67=""),0,IF(AND(V811設定!$E$12=1,M67&lt;=V811設定!$E$3,N67&lt;=V811設定!$E$4,O67&lt;=V811設定!$E$5,売分析!$Z67&lt;=V811設定!$E$6,売分析!$Z67&gt;=V811設定!$E$7,P67&gt;=V811設定!$E$8,Q67&lt;=V811設定!$E$9),1,0))</f>
      </c>
      <c r="T67">
        <f>IF(K67="","",IF(S67=1,"○ゲート通過",IF(V811設定!$E$12&lt;&gt;1,"― 停止中",IF(M67&gt;V811設定!$E$3,"×値動きが荒い",IF(N67&gt;V811設定!$E$4,"×レンジが広い",IF(O67&gt;V811設定!$E$5,"×窓を開けて上昇",IF(売分析!$Z67&gt;V811設定!$E$6,"×前日に急騰",IF(売分析!$Z67&lt;V811設定!$E$7,"×前日に急落",IF(P67&lt;V811設定!$E$8,"×高値から離れすぎ",IF(Q67&gt;V811設定!$E$9,"×当日の値幅が大きい","×"))))))))))</f>
      </c>
    </row>
    <row r="68" spans="1:20">
      <c r="A68">
        <f>IF(分析!$C68="","",分析!$C68)</f>
      </c>
      <c r="B68">
        <f>IF(分析!$C68="","",分析!$D68)</f>
      </c>
      <c r="C68">
        <f>IFERROR((SUM(OFFSET(高値!$E$6,IFERROR(MATCH(分析!$C68,銘柄管理!$B$6:$B$305,0),MATCH(TEXT(分析!$C68,"0"),銘柄管理!$B$6:$B$305,0))-1,0,1,14))-SUM(OFFSET(安値!$E$6,IFERROR(MATCH(分析!$C68,銘柄管理!$B$6:$B$305,0),MATCH(TEXT(分析!$C68,"0"),銘柄管理!$B$6:$B$305,0))-1,0,1,14)))/SUM(OFFSET(終値!$E$6,IFERROR(MATCH(分析!$C68,銘柄管理!$B$6:$B$305,0),MATCH(TEXT(分析!$C68,"0"),銘柄管理!$B$6:$B$305,0))-1,0,1,14))*100,"")</f>
      </c>
      <c r="D68">
        <f>IFERROR((MAX(OFFSET(高値!$E$6,IFERROR(MATCH(分析!$C68,銘柄管理!$B$6:$B$305,0),MATCH(TEXT(分析!$C68,"0"),銘柄管理!$B$6:$B$305,0))-1,0,1,25))-MIN(OFFSET(安値!$E$6,IFERROR(MATCH(分析!$C68,銘柄管理!$B$6:$B$305,0),MATCH(TEXT(分析!$C68,"0"),銘柄管理!$B$6:$B$305,0))-1,0,1,25)))/分析!$E68*100,"")</f>
      </c>
      <c r="E68">
        <f>IFERROR((分析!$F68-分析!$G68)/分析!$G68*100,"")</f>
      </c>
      <c r="F68">
        <f>IFERROR((分析!$E68-MAX(OFFSET(高値!$E$6,IFERROR(MATCH(分析!$C68,銘柄管理!$B$6:$B$305,0),MATCH(TEXT(分析!$C68,"0"),銘柄管理!$B$6:$B$305,0))-1,0,1,25)))/MAX(OFFSET(高値!$E$6,IFERROR(MATCH(分析!$C68,銘柄管理!$B$6:$B$305,0),MATCH(TEXT(分析!$C68,"0"),銘柄管理!$B$6:$B$305,0))-1,0,1,25))*100,"")</f>
      </c>
      <c r="G68">
        <f>IFERROR((分析!$H68-分析!$I68)/分析!$F68*100,"")</f>
      </c>
      <c r="H68">
        <f>IFERROR(5-COUNTIF($C$3:$C$206,"&lt;"&amp;$C68)/COUNT($C$3:$C$206)-COUNTIF($G$3:$G$206,"&lt;"&amp;$G68)/COUNT($G$3:$G$206)-COUNTIF($D$3:$D$206,"&lt;"&amp;$D68)/COUNT($D$3:$D$206)-COUNTIF(分析!$Z$3:$Z$206,"&lt;"&amp;分析!$Z68)/COUNT(分析!$Z$3:$Z$206)-COUNTIF($E$3:$E$206,"&lt;"&amp;$E68)/COUNT($E$3:$E$206),"")</f>
      </c>
      <c r="I68">
        <f>IF(OR(A68="",A68="TOPX",C68="",H68=""),0,IF(AND(V811設定!$E$11=1,C68&lt;=V811設定!$E$3,D68&lt;=V811設定!$E$4,E68&lt;=V811設定!$E$5,分析!$Z68&lt;=V811設定!$E$6,分析!$Z68&gt;=V811設定!$E$7,F68&gt;=V811設定!$E$8,G68&lt;=V811設定!$E$9),1,0))</f>
      </c>
      <c r="J68">
        <f>IF(A68="","",IF(I68=1,"○ゲート通過",IF(V811設定!$E$11&lt;&gt;1,"― 停止中",IF(C68&gt;V811設定!$E$3,"×値動きが荒い",IF(D68&gt;V811設定!$E$4,"×レンジが広い",IF(E68&gt;V811設定!$E$5,"×窓を開けて上昇",IF(分析!$Z68&gt;V811設定!$E$6,"×前日に急騰",IF(分析!$Z68&lt;V811設定!$E$7,"×前日に急落",IF(F68&lt;V811設定!$E$8,"×高値から離れすぎ",IF(G68&gt;V811設定!$E$9,"×当日の値幅が大きい","×"))))))))))</f>
      </c>
      <c r="K68">
        <f>IF(売分析!$C68="","",売分析!$C68)</f>
      </c>
      <c r="L68">
        <f>IF(売分析!$C68="","",売分析!$D68)</f>
      </c>
      <c r="M68">
        <f>IFERROR((SUM(OFFSET(高値!$E$6,IFERROR(MATCH(売分析!$C68,銘柄管理!$B$6:$B$305,0),MATCH(TEXT(売分析!$C68,"0"),銘柄管理!$B$6:$B$305,0))-1,0,1,14))-SUM(OFFSET(安値!$E$6,IFERROR(MATCH(売分析!$C68,銘柄管理!$B$6:$B$305,0),MATCH(TEXT(売分析!$C68,"0"),銘柄管理!$B$6:$B$305,0))-1,0,1,14)))/SUM(OFFSET(終値!$E$6,IFERROR(MATCH(売分析!$C68,銘柄管理!$B$6:$B$305,0),MATCH(TEXT(売分析!$C68,"0"),銘柄管理!$B$6:$B$305,0))-1,0,1,14))*100,"")</f>
      </c>
      <c r="N68">
        <f>IFERROR((MAX(OFFSET(高値!$E$6,IFERROR(MATCH(売分析!$C68,銘柄管理!$B$6:$B$305,0),MATCH(TEXT(売分析!$C68,"0"),銘柄管理!$B$6:$B$305,0))-1,0,1,25))-MIN(OFFSET(安値!$E$6,IFERROR(MATCH(売分析!$C68,銘柄管理!$B$6:$B$305,0),MATCH(TEXT(売分析!$C68,"0"),銘柄管理!$B$6:$B$305,0))-1,0,1,25)))/売分析!$E68*100,"")</f>
      </c>
      <c r="O68">
        <f>IFERROR((売分析!$F68-売分析!$G68)/売分析!$G68*100,"")</f>
      </c>
      <c r="P68">
        <f>IFERROR((売分析!$E68-MAX(OFFSET(高値!$E$6,IFERROR(MATCH(売分析!$C68,銘柄管理!$B$6:$B$305,0),MATCH(TEXT(売分析!$C68,"0"),銘柄管理!$B$6:$B$305,0))-1,0,1,25)))/MAX(OFFSET(高値!$E$6,IFERROR(MATCH(売分析!$C68,銘柄管理!$B$6:$B$305,0),MATCH(TEXT(売分析!$C68,"0"),銘柄管理!$B$6:$B$305,0))-1,0,1,25))*100,"")</f>
      </c>
      <c r="Q68">
        <f>IFERROR((売分析!$H68-売分析!$I68)/売分析!$F68*100,"")</f>
      </c>
      <c r="R68">
        <f>IFERROR(5-COUNTIF($M$3:$M$206,"&lt;"&amp;$M68)/COUNT($M$3:$M$206)-COUNTIF($Q$3:$Q$206,"&lt;"&amp;$Q68)/COUNT($Q$3:$Q$206)-COUNTIF($N$3:$N$206,"&lt;"&amp;$N68)/COUNT($N$3:$N$206)-COUNTIF(売分析!$Z$3:$Z$206,"&lt;"&amp;売分析!$Z68)/COUNT(売分析!$Z$3:$Z$206)-COUNTIF($O$3:$O$206,"&lt;"&amp;$O68)/COUNT($O$3:$O$206),"")</f>
      </c>
      <c r="S68">
        <f>IF(OR(K68="",K68="TOPX",M68="",R68=""),0,IF(AND(V811設定!$E$12=1,M68&lt;=V811設定!$E$3,N68&lt;=V811設定!$E$4,O68&lt;=V811設定!$E$5,売分析!$Z68&lt;=V811設定!$E$6,売分析!$Z68&gt;=V811設定!$E$7,P68&gt;=V811設定!$E$8,Q68&lt;=V811設定!$E$9),1,0))</f>
      </c>
      <c r="T68">
        <f>IF(K68="","",IF(S68=1,"○ゲート通過",IF(V811設定!$E$12&lt;&gt;1,"― 停止中",IF(M68&gt;V811設定!$E$3,"×値動きが荒い",IF(N68&gt;V811設定!$E$4,"×レンジが広い",IF(O68&gt;V811設定!$E$5,"×窓を開けて上昇",IF(売分析!$Z68&gt;V811設定!$E$6,"×前日に急騰",IF(売分析!$Z68&lt;V811設定!$E$7,"×前日に急落",IF(P68&lt;V811設定!$E$8,"×高値から離れすぎ",IF(Q68&gt;V811設定!$E$9,"×当日の値幅が大きい","×"))))))))))</f>
      </c>
    </row>
    <row r="69" spans="1:20">
      <c r="A69">
        <f>IF(分析!$C69="","",分析!$C69)</f>
      </c>
      <c r="B69">
        <f>IF(分析!$C69="","",分析!$D69)</f>
      </c>
      <c r="C69">
        <f>IFERROR((SUM(OFFSET(高値!$E$6,IFERROR(MATCH(分析!$C69,銘柄管理!$B$6:$B$305,0),MATCH(TEXT(分析!$C69,"0"),銘柄管理!$B$6:$B$305,0))-1,0,1,14))-SUM(OFFSET(安値!$E$6,IFERROR(MATCH(分析!$C69,銘柄管理!$B$6:$B$305,0),MATCH(TEXT(分析!$C69,"0"),銘柄管理!$B$6:$B$305,0))-1,0,1,14)))/SUM(OFFSET(終値!$E$6,IFERROR(MATCH(分析!$C69,銘柄管理!$B$6:$B$305,0),MATCH(TEXT(分析!$C69,"0"),銘柄管理!$B$6:$B$305,0))-1,0,1,14))*100,"")</f>
      </c>
      <c r="D69">
        <f>IFERROR((MAX(OFFSET(高値!$E$6,IFERROR(MATCH(分析!$C69,銘柄管理!$B$6:$B$305,0),MATCH(TEXT(分析!$C69,"0"),銘柄管理!$B$6:$B$305,0))-1,0,1,25))-MIN(OFFSET(安値!$E$6,IFERROR(MATCH(分析!$C69,銘柄管理!$B$6:$B$305,0),MATCH(TEXT(分析!$C69,"0"),銘柄管理!$B$6:$B$305,0))-1,0,1,25)))/分析!$E69*100,"")</f>
      </c>
      <c r="E69">
        <f>IFERROR((分析!$F69-分析!$G69)/分析!$G69*100,"")</f>
      </c>
      <c r="F69">
        <f>IFERROR((分析!$E69-MAX(OFFSET(高値!$E$6,IFERROR(MATCH(分析!$C69,銘柄管理!$B$6:$B$305,0),MATCH(TEXT(分析!$C69,"0"),銘柄管理!$B$6:$B$305,0))-1,0,1,25)))/MAX(OFFSET(高値!$E$6,IFERROR(MATCH(分析!$C69,銘柄管理!$B$6:$B$305,0),MATCH(TEXT(分析!$C69,"0"),銘柄管理!$B$6:$B$305,0))-1,0,1,25))*100,"")</f>
      </c>
      <c r="G69">
        <f>IFERROR((分析!$H69-分析!$I69)/分析!$F69*100,"")</f>
      </c>
      <c r="H69">
        <f>IFERROR(5-COUNTIF($C$3:$C$206,"&lt;"&amp;$C69)/COUNT($C$3:$C$206)-COUNTIF($G$3:$G$206,"&lt;"&amp;$G69)/COUNT($G$3:$G$206)-COUNTIF($D$3:$D$206,"&lt;"&amp;$D69)/COUNT($D$3:$D$206)-COUNTIF(分析!$Z$3:$Z$206,"&lt;"&amp;分析!$Z69)/COUNT(分析!$Z$3:$Z$206)-COUNTIF($E$3:$E$206,"&lt;"&amp;$E69)/COUNT($E$3:$E$206),"")</f>
      </c>
      <c r="I69">
        <f>IF(OR(A69="",A69="TOPX",C69="",H69=""),0,IF(AND(V811設定!$E$11=1,C69&lt;=V811設定!$E$3,D69&lt;=V811設定!$E$4,E69&lt;=V811設定!$E$5,分析!$Z69&lt;=V811設定!$E$6,分析!$Z69&gt;=V811設定!$E$7,F69&gt;=V811設定!$E$8,G69&lt;=V811設定!$E$9),1,0))</f>
      </c>
      <c r="J69">
        <f>IF(A69="","",IF(I69=1,"○ゲート通過",IF(V811設定!$E$11&lt;&gt;1,"― 停止中",IF(C69&gt;V811設定!$E$3,"×値動きが荒い",IF(D69&gt;V811設定!$E$4,"×レンジが広い",IF(E69&gt;V811設定!$E$5,"×窓を開けて上昇",IF(分析!$Z69&gt;V811設定!$E$6,"×前日に急騰",IF(分析!$Z69&lt;V811設定!$E$7,"×前日に急落",IF(F69&lt;V811設定!$E$8,"×高値から離れすぎ",IF(G69&gt;V811設定!$E$9,"×当日の値幅が大きい","×"))))))))))</f>
      </c>
      <c r="K69">
        <f>IF(売分析!$C69="","",売分析!$C69)</f>
      </c>
      <c r="L69">
        <f>IF(売分析!$C69="","",売分析!$D69)</f>
      </c>
      <c r="M69">
        <f>IFERROR((SUM(OFFSET(高値!$E$6,IFERROR(MATCH(売分析!$C69,銘柄管理!$B$6:$B$305,0),MATCH(TEXT(売分析!$C69,"0"),銘柄管理!$B$6:$B$305,0))-1,0,1,14))-SUM(OFFSET(安値!$E$6,IFERROR(MATCH(売分析!$C69,銘柄管理!$B$6:$B$305,0),MATCH(TEXT(売分析!$C69,"0"),銘柄管理!$B$6:$B$305,0))-1,0,1,14)))/SUM(OFFSET(終値!$E$6,IFERROR(MATCH(売分析!$C69,銘柄管理!$B$6:$B$305,0),MATCH(TEXT(売分析!$C69,"0"),銘柄管理!$B$6:$B$305,0))-1,0,1,14))*100,"")</f>
      </c>
      <c r="N69">
        <f>IFERROR((MAX(OFFSET(高値!$E$6,IFERROR(MATCH(売分析!$C69,銘柄管理!$B$6:$B$305,0),MATCH(TEXT(売分析!$C69,"0"),銘柄管理!$B$6:$B$305,0))-1,0,1,25))-MIN(OFFSET(安値!$E$6,IFERROR(MATCH(売分析!$C69,銘柄管理!$B$6:$B$305,0),MATCH(TEXT(売分析!$C69,"0"),銘柄管理!$B$6:$B$305,0))-1,0,1,25)))/売分析!$E69*100,"")</f>
      </c>
      <c r="O69">
        <f>IFERROR((売分析!$F69-売分析!$G69)/売分析!$G69*100,"")</f>
      </c>
      <c r="P69">
        <f>IFERROR((売分析!$E69-MAX(OFFSET(高値!$E$6,IFERROR(MATCH(売分析!$C69,銘柄管理!$B$6:$B$305,0),MATCH(TEXT(売分析!$C69,"0"),銘柄管理!$B$6:$B$305,0))-1,0,1,25)))/MAX(OFFSET(高値!$E$6,IFERROR(MATCH(売分析!$C69,銘柄管理!$B$6:$B$305,0),MATCH(TEXT(売分析!$C69,"0"),銘柄管理!$B$6:$B$305,0))-1,0,1,25))*100,"")</f>
      </c>
      <c r="Q69">
        <f>IFERROR((売分析!$H69-売分析!$I69)/売分析!$F69*100,"")</f>
      </c>
      <c r="R69">
        <f>IFERROR(5-COUNTIF($M$3:$M$206,"&lt;"&amp;$M69)/COUNT($M$3:$M$206)-COUNTIF($Q$3:$Q$206,"&lt;"&amp;$Q69)/COUNT($Q$3:$Q$206)-COUNTIF($N$3:$N$206,"&lt;"&amp;$N69)/COUNT($N$3:$N$206)-COUNTIF(売分析!$Z$3:$Z$206,"&lt;"&amp;売分析!$Z69)/COUNT(売分析!$Z$3:$Z$206)-COUNTIF($O$3:$O$206,"&lt;"&amp;$O69)/COUNT($O$3:$O$206),"")</f>
      </c>
      <c r="S69">
        <f>IF(OR(K69="",K69="TOPX",M69="",R69=""),0,IF(AND(V811設定!$E$12=1,M69&lt;=V811設定!$E$3,N69&lt;=V811設定!$E$4,O69&lt;=V811設定!$E$5,売分析!$Z69&lt;=V811設定!$E$6,売分析!$Z69&gt;=V811設定!$E$7,P69&gt;=V811設定!$E$8,Q69&lt;=V811設定!$E$9),1,0))</f>
      </c>
      <c r="T69">
        <f>IF(K69="","",IF(S69=1,"○ゲート通過",IF(V811設定!$E$12&lt;&gt;1,"― 停止中",IF(M69&gt;V811設定!$E$3,"×値動きが荒い",IF(N69&gt;V811設定!$E$4,"×レンジが広い",IF(O69&gt;V811設定!$E$5,"×窓を開けて上昇",IF(売分析!$Z69&gt;V811設定!$E$6,"×前日に急騰",IF(売分析!$Z69&lt;V811設定!$E$7,"×前日に急落",IF(P69&lt;V811設定!$E$8,"×高値から離れすぎ",IF(Q69&gt;V811設定!$E$9,"×当日の値幅が大きい","×"))))))))))</f>
      </c>
    </row>
    <row r="70" spans="1:20">
      <c r="A70">
        <f>IF(分析!$C70="","",分析!$C70)</f>
      </c>
      <c r="B70">
        <f>IF(分析!$C70="","",分析!$D70)</f>
      </c>
      <c r="C70">
        <f>IFERROR((SUM(OFFSET(高値!$E$6,IFERROR(MATCH(分析!$C70,銘柄管理!$B$6:$B$305,0),MATCH(TEXT(分析!$C70,"0"),銘柄管理!$B$6:$B$305,0))-1,0,1,14))-SUM(OFFSET(安値!$E$6,IFERROR(MATCH(分析!$C70,銘柄管理!$B$6:$B$305,0),MATCH(TEXT(分析!$C70,"0"),銘柄管理!$B$6:$B$305,0))-1,0,1,14)))/SUM(OFFSET(終値!$E$6,IFERROR(MATCH(分析!$C70,銘柄管理!$B$6:$B$305,0),MATCH(TEXT(分析!$C70,"0"),銘柄管理!$B$6:$B$305,0))-1,0,1,14))*100,"")</f>
      </c>
      <c r="D70">
        <f>IFERROR((MAX(OFFSET(高値!$E$6,IFERROR(MATCH(分析!$C70,銘柄管理!$B$6:$B$305,0),MATCH(TEXT(分析!$C70,"0"),銘柄管理!$B$6:$B$305,0))-1,0,1,25))-MIN(OFFSET(安値!$E$6,IFERROR(MATCH(分析!$C70,銘柄管理!$B$6:$B$305,0),MATCH(TEXT(分析!$C70,"0"),銘柄管理!$B$6:$B$305,0))-1,0,1,25)))/分析!$E70*100,"")</f>
      </c>
      <c r="E70">
        <f>IFERROR((分析!$F70-分析!$G70)/分析!$G70*100,"")</f>
      </c>
      <c r="F70">
        <f>IFERROR((分析!$E70-MAX(OFFSET(高値!$E$6,IFERROR(MATCH(分析!$C70,銘柄管理!$B$6:$B$305,0),MATCH(TEXT(分析!$C70,"0"),銘柄管理!$B$6:$B$305,0))-1,0,1,25)))/MAX(OFFSET(高値!$E$6,IFERROR(MATCH(分析!$C70,銘柄管理!$B$6:$B$305,0),MATCH(TEXT(分析!$C70,"0"),銘柄管理!$B$6:$B$305,0))-1,0,1,25))*100,"")</f>
      </c>
      <c r="G70">
        <f>IFERROR((分析!$H70-分析!$I70)/分析!$F70*100,"")</f>
      </c>
      <c r="H70">
        <f>IFERROR(5-COUNTIF($C$3:$C$206,"&lt;"&amp;$C70)/COUNT($C$3:$C$206)-COUNTIF($G$3:$G$206,"&lt;"&amp;$G70)/COUNT($G$3:$G$206)-COUNTIF($D$3:$D$206,"&lt;"&amp;$D70)/COUNT($D$3:$D$206)-COUNTIF(分析!$Z$3:$Z$206,"&lt;"&amp;分析!$Z70)/COUNT(分析!$Z$3:$Z$206)-COUNTIF($E$3:$E$206,"&lt;"&amp;$E70)/COUNT($E$3:$E$206),"")</f>
      </c>
      <c r="I70">
        <f>IF(OR(A70="",A70="TOPX",C70="",H70=""),0,IF(AND(V811設定!$E$11=1,C70&lt;=V811設定!$E$3,D70&lt;=V811設定!$E$4,E70&lt;=V811設定!$E$5,分析!$Z70&lt;=V811設定!$E$6,分析!$Z70&gt;=V811設定!$E$7,F70&gt;=V811設定!$E$8,G70&lt;=V811設定!$E$9),1,0))</f>
      </c>
      <c r="J70">
        <f>IF(A70="","",IF(I70=1,"○ゲート通過",IF(V811設定!$E$11&lt;&gt;1,"― 停止中",IF(C70&gt;V811設定!$E$3,"×値動きが荒い",IF(D70&gt;V811設定!$E$4,"×レンジが広い",IF(E70&gt;V811設定!$E$5,"×窓を開けて上昇",IF(分析!$Z70&gt;V811設定!$E$6,"×前日に急騰",IF(分析!$Z70&lt;V811設定!$E$7,"×前日に急落",IF(F70&lt;V811設定!$E$8,"×高値から離れすぎ",IF(G70&gt;V811設定!$E$9,"×当日の値幅が大きい","×"))))))))))</f>
      </c>
      <c r="K70">
        <f>IF(売分析!$C70="","",売分析!$C70)</f>
      </c>
      <c r="L70">
        <f>IF(売分析!$C70="","",売分析!$D70)</f>
      </c>
      <c r="M70">
        <f>IFERROR((SUM(OFFSET(高値!$E$6,IFERROR(MATCH(売分析!$C70,銘柄管理!$B$6:$B$305,0),MATCH(TEXT(売分析!$C70,"0"),銘柄管理!$B$6:$B$305,0))-1,0,1,14))-SUM(OFFSET(安値!$E$6,IFERROR(MATCH(売分析!$C70,銘柄管理!$B$6:$B$305,0),MATCH(TEXT(売分析!$C70,"0"),銘柄管理!$B$6:$B$305,0))-1,0,1,14)))/SUM(OFFSET(終値!$E$6,IFERROR(MATCH(売分析!$C70,銘柄管理!$B$6:$B$305,0),MATCH(TEXT(売分析!$C70,"0"),銘柄管理!$B$6:$B$305,0))-1,0,1,14))*100,"")</f>
      </c>
      <c r="N70">
        <f>IFERROR((MAX(OFFSET(高値!$E$6,IFERROR(MATCH(売分析!$C70,銘柄管理!$B$6:$B$305,0),MATCH(TEXT(売分析!$C70,"0"),銘柄管理!$B$6:$B$305,0))-1,0,1,25))-MIN(OFFSET(安値!$E$6,IFERROR(MATCH(売分析!$C70,銘柄管理!$B$6:$B$305,0),MATCH(TEXT(売分析!$C70,"0"),銘柄管理!$B$6:$B$305,0))-1,0,1,25)))/売分析!$E70*100,"")</f>
      </c>
      <c r="O70">
        <f>IFERROR((売分析!$F70-売分析!$G70)/売分析!$G70*100,"")</f>
      </c>
      <c r="P70">
        <f>IFERROR((売分析!$E70-MAX(OFFSET(高値!$E$6,IFERROR(MATCH(売分析!$C70,銘柄管理!$B$6:$B$305,0),MATCH(TEXT(売分析!$C70,"0"),銘柄管理!$B$6:$B$305,0))-1,0,1,25)))/MAX(OFFSET(高値!$E$6,IFERROR(MATCH(売分析!$C70,銘柄管理!$B$6:$B$305,0),MATCH(TEXT(売分析!$C70,"0"),銘柄管理!$B$6:$B$305,0))-1,0,1,25))*100,"")</f>
      </c>
      <c r="Q70">
        <f>IFERROR((売分析!$H70-売分析!$I70)/売分析!$F70*100,"")</f>
      </c>
      <c r="R70">
        <f>IFERROR(5-COUNTIF($M$3:$M$206,"&lt;"&amp;$M70)/COUNT($M$3:$M$206)-COUNTIF($Q$3:$Q$206,"&lt;"&amp;$Q70)/COUNT($Q$3:$Q$206)-COUNTIF($N$3:$N$206,"&lt;"&amp;$N70)/COUNT($N$3:$N$206)-COUNTIF(売分析!$Z$3:$Z$206,"&lt;"&amp;売分析!$Z70)/COUNT(売分析!$Z$3:$Z$206)-COUNTIF($O$3:$O$206,"&lt;"&amp;$O70)/COUNT($O$3:$O$206),"")</f>
      </c>
      <c r="S70">
        <f>IF(OR(K70="",K70="TOPX",M70="",R70=""),0,IF(AND(V811設定!$E$12=1,M70&lt;=V811設定!$E$3,N70&lt;=V811設定!$E$4,O70&lt;=V811設定!$E$5,売分析!$Z70&lt;=V811設定!$E$6,売分析!$Z70&gt;=V811設定!$E$7,P70&gt;=V811設定!$E$8,Q70&lt;=V811設定!$E$9),1,0))</f>
      </c>
      <c r="T70">
        <f>IF(K70="","",IF(S70=1,"○ゲート通過",IF(V811設定!$E$12&lt;&gt;1,"― 停止中",IF(M70&gt;V811設定!$E$3,"×値動きが荒い",IF(N70&gt;V811設定!$E$4,"×レンジが広い",IF(O70&gt;V811設定!$E$5,"×窓を開けて上昇",IF(売分析!$Z70&gt;V811設定!$E$6,"×前日に急騰",IF(売分析!$Z70&lt;V811設定!$E$7,"×前日に急落",IF(P70&lt;V811設定!$E$8,"×高値から離れすぎ",IF(Q70&gt;V811設定!$E$9,"×当日の値幅が大きい","×"))))))))))</f>
      </c>
    </row>
    <row r="71" spans="1:20">
      <c r="A71">
        <f>IF(分析!$C71="","",分析!$C71)</f>
      </c>
      <c r="B71">
        <f>IF(分析!$C71="","",分析!$D71)</f>
      </c>
      <c r="C71">
        <f>IFERROR((SUM(OFFSET(高値!$E$6,IFERROR(MATCH(分析!$C71,銘柄管理!$B$6:$B$305,0),MATCH(TEXT(分析!$C71,"0"),銘柄管理!$B$6:$B$305,0))-1,0,1,14))-SUM(OFFSET(安値!$E$6,IFERROR(MATCH(分析!$C71,銘柄管理!$B$6:$B$305,0),MATCH(TEXT(分析!$C71,"0"),銘柄管理!$B$6:$B$305,0))-1,0,1,14)))/SUM(OFFSET(終値!$E$6,IFERROR(MATCH(分析!$C71,銘柄管理!$B$6:$B$305,0),MATCH(TEXT(分析!$C71,"0"),銘柄管理!$B$6:$B$305,0))-1,0,1,14))*100,"")</f>
      </c>
      <c r="D71">
        <f>IFERROR((MAX(OFFSET(高値!$E$6,IFERROR(MATCH(分析!$C71,銘柄管理!$B$6:$B$305,0),MATCH(TEXT(分析!$C71,"0"),銘柄管理!$B$6:$B$305,0))-1,0,1,25))-MIN(OFFSET(安値!$E$6,IFERROR(MATCH(分析!$C71,銘柄管理!$B$6:$B$305,0),MATCH(TEXT(分析!$C71,"0"),銘柄管理!$B$6:$B$305,0))-1,0,1,25)))/分析!$E71*100,"")</f>
      </c>
      <c r="E71">
        <f>IFERROR((分析!$F71-分析!$G71)/分析!$G71*100,"")</f>
      </c>
      <c r="F71">
        <f>IFERROR((分析!$E71-MAX(OFFSET(高値!$E$6,IFERROR(MATCH(分析!$C71,銘柄管理!$B$6:$B$305,0),MATCH(TEXT(分析!$C71,"0"),銘柄管理!$B$6:$B$305,0))-1,0,1,25)))/MAX(OFFSET(高値!$E$6,IFERROR(MATCH(分析!$C71,銘柄管理!$B$6:$B$305,0),MATCH(TEXT(分析!$C71,"0"),銘柄管理!$B$6:$B$305,0))-1,0,1,25))*100,"")</f>
      </c>
      <c r="G71">
        <f>IFERROR((分析!$H71-分析!$I71)/分析!$F71*100,"")</f>
      </c>
      <c r="H71">
        <f>IFERROR(5-COUNTIF($C$3:$C$206,"&lt;"&amp;$C71)/COUNT($C$3:$C$206)-COUNTIF($G$3:$G$206,"&lt;"&amp;$G71)/COUNT($G$3:$G$206)-COUNTIF($D$3:$D$206,"&lt;"&amp;$D71)/COUNT($D$3:$D$206)-COUNTIF(分析!$Z$3:$Z$206,"&lt;"&amp;分析!$Z71)/COUNT(分析!$Z$3:$Z$206)-COUNTIF($E$3:$E$206,"&lt;"&amp;$E71)/COUNT($E$3:$E$206),"")</f>
      </c>
      <c r="I71">
        <f>IF(OR(A71="",A71="TOPX",C71="",H71=""),0,IF(AND(V811設定!$E$11=1,C71&lt;=V811設定!$E$3,D71&lt;=V811設定!$E$4,E71&lt;=V811設定!$E$5,分析!$Z71&lt;=V811設定!$E$6,分析!$Z71&gt;=V811設定!$E$7,F71&gt;=V811設定!$E$8,G71&lt;=V811設定!$E$9),1,0))</f>
      </c>
      <c r="J71">
        <f>IF(A71="","",IF(I71=1,"○ゲート通過",IF(V811設定!$E$11&lt;&gt;1,"― 停止中",IF(C71&gt;V811設定!$E$3,"×値動きが荒い",IF(D71&gt;V811設定!$E$4,"×レンジが広い",IF(E71&gt;V811設定!$E$5,"×窓を開けて上昇",IF(分析!$Z71&gt;V811設定!$E$6,"×前日に急騰",IF(分析!$Z71&lt;V811設定!$E$7,"×前日に急落",IF(F71&lt;V811設定!$E$8,"×高値から離れすぎ",IF(G71&gt;V811設定!$E$9,"×当日の値幅が大きい","×"))))))))))</f>
      </c>
      <c r="K71">
        <f>IF(売分析!$C71="","",売分析!$C71)</f>
      </c>
      <c r="L71">
        <f>IF(売分析!$C71="","",売分析!$D71)</f>
      </c>
      <c r="M71">
        <f>IFERROR((SUM(OFFSET(高値!$E$6,IFERROR(MATCH(売分析!$C71,銘柄管理!$B$6:$B$305,0),MATCH(TEXT(売分析!$C71,"0"),銘柄管理!$B$6:$B$305,0))-1,0,1,14))-SUM(OFFSET(安値!$E$6,IFERROR(MATCH(売分析!$C71,銘柄管理!$B$6:$B$305,0),MATCH(TEXT(売分析!$C71,"0"),銘柄管理!$B$6:$B$305,0))-1,0,1,14)))/SUM(OFFSET(終値!$E$6,IFERROR(MATCH(売分析!$C71,銘柄管理!$B$6:$B$305,0),MATCH(TEXT(売分析!$C71,"0"),銘柄管理!$B$6:$B$305,0))-1,0,1,14))*100,"")</f>
      </c>
      <c r="N71">
        <f>IFERROR((MAX(OFFSET(高値!$E$6,IFERROR(MATCH(売分析!$C71,銘柄管理!$B$6:$B$305,0),MATCH(TEXT(売分析!$C71,"0"),銘柄管理!$B$6:$B$305,0))-1,0,1,25))-MIN(OFFSET(安値!$E$6,IFERROR(MATCH(売分析!$C71,銘柄管理!$B$6:$B$305,0),MATCH(TEXT(売分析!$C71,"0"),銘柄管理!$B$6:$B$305,0))-1,0,1,25)))/売分析!$E71*100,"")</f>
      </c>
      <c r="O71">
        <f>IFERROR((売分析!$F71-売分析!$G71)/売分析!$G71*100,"")</f>
      </c>
      <c r="P71">
        <f>IFERROR((売分析!$E71-MAX(OFFSET(高値!$E$6,IFERROR(MATCH(売分析!$C71,銘柄管理!$B$6:$B$305,0),MATCH(TEXT(売分析!$C71,"0"),銘柄管理!$B$6:$B$305,0))-1,0,1,25)))/MAX(OFFSET(高値!$E$6,IFERROR(MATCH(売分析!$C71,銘柄管理!$B$6:$B$305,0),MATCH(TEXT(売分析!$C71,"0"),銘柄管理!$B$6:$B$305,0))-1,0,1,25))*100,"")</f>
      </c>
      <c r="Q71">
        <f>IFERROR((売分析!$H71-売分析!$I71)/売分析!$F71*100,"")</f>
      </c>
      <c r="R71">
        <f>IFERROR(5-COUNTIF($M$3:$M$206,"&lt;"&amp;$M71)/COUNT($M$3:$M$206)-COUNTIF($Q$3:$Q$206,"&lt;"&amp;$Q71)/COUNT($Q$3:$Q$206)-COUNTIF($N$3:$N$206,"&lt;"&amp;$N71)/COUNT($N$3:$N$206)-COUNTIF(売分析!$Z$3:$Z$206,"&lt;"&amp;売分析!$Z71)/COUNT(売分析!$Z$3:$Z$206)-COUNTIF($O$3:$O$206,"&lt;"&amp;$O71)/COUNT($O$3:$O$206),"")</f>
      </c>
      <c r="S71">
        <f>IF(OR(K71="",K71="TOPX",M71="",R71=""),0,IF(AND(V811設定!$E$12=1,M71&lt;=V811設定!$E$3,N71&lt;=V811設定!$E$4,O71&lt;=V811設定!$E$5,売分析!$Z71&lt;=V811設定!$E$6,売分析!$Z71&gt;=V811設定!$E$7,P71&gt;=V811設定!$E$8,Q71&lt;=V811設定!$E$9),1,0))</f>
      </c>
      <c r="T71">
        <f>IF(K71="","",IF(S71=1,"○ゲート通過",IF(V811設定!$E$12&lt;&gt;1,"― 停止中",IF(M71&gt;V811設定!$E$3,"×値動きが荒い",IF(N71&gt;V811設定!$E$4,"×レンジが広い",IF(O71&gt;V811設定!$E$5,"×窓を開けて上昇",IF(売分析!$Z71&gt;V811設定!$E$6,"×前日に急騰",IF(売分析!$Z71&lt;V811設定!$E$7,"×前日に急落",IF(P71&lt;V811設定!$E$8,"×高値から離れすぎ",IF(Q71&gt;V811設定!$E$9,"×当日の値幅が大きい","×"))))))))))</f>
      </c>
    </row>
    <row r="72" spans="1:20">
      <c r="A72">
        <f>IF(分析!$C72="","",分析!$C72)</f>
      </c>
      <c r="B72">
        <f>IF(分析!$C72="","",分析!$D72)</f>
      </c>
      <c r="C72">
        <f>IFERROR((SUM(OFFSET(高値!$E$6,IFERROR(MATCH(分析!$C72,銘柄管理!$B$6:$B$305,0),MATCH(TEXT(分析!$C72,"0"),銘柄管理!$B$6:$B$305,0))-1,0,1,14))-SUM(OFFSET(安値!$E$6,IFERROR(MATCH(分析!$C72,銘柄管理!$B$6:$B$305,0),MATCH(TEXT(分析!$C72,"0"),銘柄管理!$B$6:$B$305,0))-1,0,1,14)))/SUM(OFFSET(終値!$E$6,IFERROR(MATCH(分析!$C72,銘柄管理!$B$6:$B$305,0),MATCH(TEXT(分析!$C72,"0"),銘柄管理!$B$6:$B$305,0))-1,0,1,14))*100,"")</f>
      </c>
      <c r="D72">
        <f>IFERROR((MAX(OFFSET(高値!$E$6,IFERROR(MATCH(分析!$C72,銘柄管理!$B$6:$B$305,0),MATCH(TEXT(分析!$C72,"0"),銘柄管理!$B$6:$B$305,0))-1,0,1,25))-MIN(OFFSET(安値!$E$6,IFERROR(MATCH(分析!$C72,銘柄管理!$B$6:$B$305,0),MATCH(TEXT(分析!$C72,"0"),銘柄管理!$B$6:$B$305,0))-1,0,1,25)))/分析!$E72*100,"")</f>
      </c>
      <c r="E72">
        <f>IFERROR((分析!$F72-分析!$G72)/分析!$G72*100,"")</f>
      </c>
      <c r="F72">
        <f>IFERROR((分析!$E72-MAX(OFFSET(高値!$E$6,IFERROR(MATCH(分析!$C72,銘柄管理!$B$6:$B$305,0),MATCH(TEXT(分析!$C72,"0"),銘柄管理!$B$6:$B$305,0))-1,0,1,25)))/MAX(OFFSET(高値!$E$6,IFERROR(MATCH(分析!$C72,銘柄管理!$B$6:$B$305,0),MATCH(TEXT(分析!$C72,"0"),銘柄管理!$B$6:$B$305,0))-1,0,1,25))*100,"")</f>
      </c>
      <c r="G72">
        <f>IFERROR((分析!$H72-分析!$I72)/分析!$F72*100,"")</f>
      </c>
      <c r="H72">
        <f>IFERROR(5-COUNTIF($C$3:$C$206,"&lt;"&amp;$C72)/COUNT($C$3:$C$206)-COUNTIF($G$3:$G$206,"&lt;"&amp;$G72)/COUNT($G$3:$G$206)-COUNTIF($D$3:$D$206,"&lt;"&amp;$D72)/COUNT($D$3:$D$206)-COUNTIF(分析!$Z$3:$Z$206,"&lt;"&amp;分析!$Z72)/COUNT(分析!$Z$3:$Z$206)-COUNTIF($E$3:$E$206,"&lt;"&amp;$E72)/COUNT($E$3:$E$206),"")</f>
      </c>
      <c r="I72">
        <f>IF(OR(A72="",A72="TOPX",C72="",H72=""),0,IF(AND(V811設定!$E$11=1,C72&lt;=V811設定!$E$3,D72&lt;=V811設定!$E$4,E72&lt;=V811設定!$E$5,分析!$Z72&lt;=V811設定!$E$6,分析!$Z72&gt;=V811設定!$E$7,F72&gt;=V811設定!$E$8,G72&lt;=V811設定!$E$9),1,0))</f>
      </c>
      <c r="J72">
        <f>IF(A72="","",IF(I72=1,"○ゲート通過",IF(V811設定!$E$11&lt;&gt;1,"― 停止中",IF(C72&gt;V811設定!$E$3,"×値動きが荒い",IF(D72&gt;V811設定!$E$4,"×レンジが広い",IF(E72&gt;V811設定!$E$5,"×窓を開けて上昇",IF(分析!$Z72&gt;V811設定!$E$6,"×前日に急騰",IF(分析!$Z72&lt;V811設定!$E$7,"×前日に急落",IF(F72&lt;V811設定!$E$8,"×高値から離れすぎ",IF(G72&gt;V811設定!$E$9,"×当日の値幅が大きい","×"))))))))))</f>
      </c>
      <c r="K72">
        <f>IF(売分析!$C72="","",売分析!$C72)</f>
      </c>
      <c r="L72">
        <f>IF(売分析!$C72="","",売分析!$D72)</f>
      </c>
      <c r="M72">
        <f>IFERROR((SUM(OFFSET(高値!$E$6,IFERROR(MATCH(売分析!$C72,銘柄管理!$B$6:$B$305,0),MATCH(TEXT(売分析!$C72,"0"),銘柄管理!$B$6:$B$305,0))-1,0,1,14))-SUM(OFFSET(安値!$E$6,IFERROR(MATCH(売分析!$C72,銘柄管理!$B$6:$B$305,0),MATCH(TEXT(売分析!$C72,"0"),銘柄管理!$B$6:$B$305,0))-1,0,1,14)))/SUM(OFFSET(終値!$E$6,IFERROR(MATCH(売分析!$C72,銘柄管理!$B$6:$B$305,0),MATCH(TEXT(売分析!$C72,"0"),銘柄管理!$B$6:$B$305,0))-1,0,1,14))*100,"")</f>
      </c>
      <c r="N72">
        <f>IFERROR((MAX(OFFSET(高値!$E$6,IFERROR(MATCH(売分析!$C72,銘柄管理!$B$6:$B$305,0),MATCH(TEXT(売分析!$C72,"0"),銘柄管理!$B$6:$B$305,0))-1,0,1,25))-MIN(OFFSET(安値!$E$6,IFERROR(MATCH(売分析!$C72,銘柄管理!$B$6:$B$305,0),MATCH(TEXT(売分析!$C72,"0"),銘柄管理!$B$6:$B$305,0))-1,0,1,25)))/売分析!$E72*100,"")</f>
      </c>
      <c r="O72">
        <f>IFERROR((売分析!$F72-売分析!$G72)/売分析!$G72*100,"")</f>
      </c>
      <c r="P72">
        <f>IFERROR((売分析!$E72-MAX(OFFSET(高値!$E$6,IFERROR(MATCH(売分析!$C72,銘柄管理!$B$6:$B$305,0),MATCH(TEXT(売分析!$C72,"0"),銘柄管理!$B$6:$B$305,0))-1,0,1,25)))/MAX(OFFSET(高値!$E$6,IFERROR(MATCH(売分析!$C72,銘柄管理!$B$6:$B$305,0),MATCH(TEXT(売分析!$C72,"0"),銘柄管理!$B$6:$B$305,0))-1,0,1,25))*100,"")</f>
      </c>
      <c r="Q72">
        <f>IFERROR((売分析!$H72-売分析!$I72)/売分析!$F72*100,"")</f>
      </c>
      <c r="R72">
        <f>IFERROR(5-COUNTIF($M$3:$M$206,"&lt;"&amp;$M72)/COUNT($M$3:$M$206)-COUNTIF($Q$3:$Q$206,"&lt;"&amp;$Q72)/COUNT($Q$3:$Q$206)-COUNTIF($N$3:$N$206,"&lt;"&amp;$N72)/COUNT($N$3:$N$206)-COUNTIF(売分析!$Z$3:$Z$206,"&lt;"&amp;売分析!$Z72)/COUNT(売分析!$Z$3:$Z$206)-COUNTIF($O$3:$O$206,"&lt;"&amp;$O72)/COUNT($O$3:$O$206),"")</f>
      </c>
      <c r="S72">
        <f>IF(OR(K72="",K72="TOPX",M72="",R72=""),0,IF(AND(V811設定!$E$12=1,M72&lt;=V811設定!$E$3,N72&lt;=V811設定!$E$4,O72&lt;=V811設定!$E$5,売分析!$Z72&lt;=V811設定!$E$6,売分析!$Z72&gt;=V811設定!$E$7,P72&gt;=V811設定!$E$8,Q72&lt;=V811設定!$E$9),1,0))</f>
      </c>
      <c r="T72">
        <f>IF(K72="","",IF(S72=1,"○ゲート通過",IF(V811設定!$E$12&lt;&gt;1,"― 停止中",IF(M72&gt;V811設定!$E$3,"×値動きが荒い",IF(N72&gt;V811設定!$E$4,"×レンジが広い",IF(O72&gt;V811設定!$E$5,"×窓を開けて上昇",IF(売分析!$Z72&gt;V811設定!$E$6,"×前日に急騰",IF(売分析!$Z72&lt;V811設定!$E$7,"×前日に急落",IF(P72&lt;V811設定!$E$8,"×高値から離れすぎ",IF(Q72&gt;V811設定!$E$9,"×当日の値幅が大きい","×"))))))))))</f>
      </c>
    </row>
    <row r="73" spans="1:20">
      <c r="A73">
        <f>IF(分析!$C73="","",分析!$C73)</f>
      </c>
      <c r="B73">
        <f>IF(分析!$C73="","",分析!$D73)</f>
      </c>
      <c r="C73">
        <f>IFERROR((SUM(OFFSET(高値!$E$6,IFERROR(MATCH(分析!$C73,銘柄管理!$B$6:$B$305,0),MATCH(TEXT(分析!$C73,"0"),銘柄管理!$B$6:$B$305,0))-1,0,1,14))-SUM(OFFSET(安値!$E$6,IFERROR(MATCH(分析!$C73,銘柄管理!$B$6:$B$305,0),MATCH(TEXT(分析!$C73,"0"),銘柄管理!$B$6:$B$305,0))-1,0,1,14)))/SUM(OFFSET(終値!$E$6,IFERROR(MATCH(分析!$C73,銘柄管理!$B$6:$B$305,0),MATCH(TEXT(分析!$C73,"0"),銘柄管理!$B$6:$B$305,0))-1,0,1,14))*100,"")</f>
      </c>
      <c r="D73">
        <f>IFERROR((MAX(OFFSET(高値!$E$6,IFERROR(MATCH(分析!$C73,銘柄管理!$B$6:$B$305,0),MATCH(TEXT(分析!$C73,"0"),銘柄管理!$B$6:$B$305,0))-1,0,1,25))-MIN(OFFSET(安値!$E$6,IFERROR(MATCH(分析!$C73,銘柄管理!$B$6:$B$305,0),MATCH(TEXT(分析!$C73,"0"),銘柄管理!$B$6:$B$305,0))-1,0,1,25)))/分析!$E73*100,"")</f>
      </c>
      <c r="E73">
        <f>IFERROR((分析!$F73-分析!$G73)/分析!$G73*100,"")</f>
      </c>
      <c r="F73">
        <f>IFERROR((分析!$E73-MAX(OFFSET(高値!$E$6,IFERROR(MATCH(分析!$C73,銘柄管理!$B$6:$B$305,0),MATCH(TEXT(分析!$C73,"0"),銘柄管理!$B$6:$B$305,0))-1,0,1,25)))/MAX(OFFSET(高値!$E$6,IFERROR(MATCH(分析!$C73,銘柄管理!$B$6:$B$305,0),MATCH(TEXT(分析!$C73,"0"),銘柄管理!$B$6:$B$305,0))-1,0,1,25))*100,"")</f>
      </c>
      <c r="G73">
        <f>IFERROR((分析!$H73-分析!$I73)/分析!$F73*100,"")</f>
      </c>
      <c r="H73">
        <f>IFERROR(5-COUNTIF($C$3:$C$206,"&lt;"&amp;$C73)/COUNT($C$3:$C$206)-COUNTIF($G$3:$G$206,"&lt;"&amp;$G73)/COUNT($G$3:$G$206)-COUNTIF($D$3:$D$206,"&lt;"&amp;$D73)/COUNT($D$3:$D$206)-COUNTIF(分析!$Z$3:$Z$206,"&lt;"&amp;分析!$Z73)/COUNT(分析!$Z$3:$Z$206)-COUNTIF($E$3:$E$206,"&lt;"&amp;$E73)/COUNT($E$3:$E$206),"")</f>
      </c>
      <c r="I73">
        <f>IF(OR(A73="",A73="TOPX",C73="",H73=""),0,IF(AND(V811設定!$E$11=1,C73&lt;=V811設定!$E$3,D73&lt;=V811設定!$E$4,E73&lt;=V811設定!$E$5,分析!$Z73&lt;=V811設定!$E$6,分析!$Z73&gt;=V811設定!$E$7,F73&gt;=V811設定!$E$8,G73&lt;=V811設定!$E$9),1,0))</f>
      </c>
      <c r="J73">
        <f>IF(A73="","",IF(I73=1,"○ゲート通過",IF(V811設定!$E$11&lt;&gt;1,"― 停止中",IF(C73&gt;V811設定!$E$3,"×値動きが荒い",IF(D73&gt;V811設定!$E$4,"×レンジが広い",IF(E73&gt;V811設定!$E$5,"×窓を開けて上昇",IF(分析!$Z73&gt;V811設定!$E$6,"×前日に急騰",IF(分析!$Z73&lt;V811設定!$E$7,"×前日に急落",IF(F73&lt;V811設定!$E$8,"×高値から離れすぎ",IF(G73&gt;V811設定!$E$9,"×当日の値幅が大きい","×"))))))))))</f>
      </c>
      <c r="K73">
        <f>IF(売分析!$C73="","",売分析!$C73)</f>
      </c>
      <c r="L73">
        <f>IF(売分析!$C73="","",売分析!$D73)</f>
      </c>
      <c r="M73">
        <f>IFERROR((SUM(OFFSET(高値!$E$6,IFERROR(MATCH(売分析!$C73,銘柄管理!$B$6:$B$305,0),MATCH(TEXT(売分析!$C73,"0"),銘柄管理!$B$6:$B$305,0))-1,0,1,14))-SUM(OFFSET(安値!$E$6,IFERROR(MATCH(売分析!$C73,銘柄管理!$B$6:$B$305,0),MATCH(TEXT(売分析!$C73,"0"),銘柄管理!$B$6:$B$305,0))-1,0,1,14)))/SUM(OFFSET(終値!$E$6,IFERROR(MATCH(売分析!$C73,銘柄管理!$B$6:$B$305,0),MATCH(TEXT(売分析!$C73,"0"),銘柄管理!$B$6:$B$305,0))-1,0,1,14))*100,"")</f>
      </c>
      <c r="N73">
        <f>IFERROR((MAX(OFFSET(高値!$E$6,IFERROR(MATCH(売分析!$C73,銘柄管理!$B$6:$B$305,0),MATCH(TEXT(売分析!$C73,"0"),銘柄管理!$B$6:$B$305,0))-1,0,1,25))-MIN(OFFSET(安値!$E$6,IFERROR(MATCH(売分析!$C73,銘柄管理!$B$6:$B$305,0),MATCH(TEXT(売分析!$C73,"0"),銘柄管理!$B$6:$B$305,0))-1,0,1,25)))/売分析!$E73*100,"")</f>
      </c>
      <c r="O73">
        <f>IFERROR((売分析!$F73-売分析!$G73)/売分析!$G73*100,"")</f>
      </c>
      <c r="P73">
        <f>IFERROR((売分析!$E73-MAX(OFFSET(高値!$E$6,IFERROR(MATCH(売分析!$C73,銘柄管理!$B$6:$B$305,0),MATCH(TEXT(売分析!$C73,"0"),銘柄管理!$B$6:$B$305,0))-1,0,1,25)))/MAX(OFFSET(高値!$E$6,IFERROR(MATCH(売分析!$C73,銘柄管理!$B$6:$B$305,0),MATCH(TEXT(売分析!$C73,"0"),銘柄管理!$B$6:$B$305,0))-1,0,1,25))*100,"")</f>
      </c>
      <c r="Q73">
        <f>IFERROR((売分析!$H73-売分析!$I73)/売分析!$F73*100,"")</f>
      </c>
      <c r="R73">
        <f>IFERROR(5-COUNTIF($M$3:$M$206,"&lt;"&amp;$M73)/COUNT($M$3:$M$206)-COUNTIF($Q$3:$Q$206,"&lt;"&amp;$Q73)/COUNT($Q$3:$Q$206)-COUNTIF($N$3:$N$206,"&lt;"&amp;$N73)/COUNT($N$3:$N$206)-COUNTIF(売分析!$Z$3:$Z$206,"&lt;"&amp;売分析!$Z73)/COUNT(売分析!$Z$3:$Z$206)-COUNTIF($O$3:$O$206,"&lt;"&amp;$O73)/COUNT($O$3:$O$206),"")</f>
      </c>
      <c r="S73">
        <f>IF(OR(K73="",K73="TOPX",M73="",R73=""),0,IF(AND(V811設定!$E$12=1,M73&lt;=V811設定!$E$3,N73&lt;=V811設定!$E$4,O73&lt;=V811設定!$E$5,売分析!$Z73&lt;=V811設定!$E$6,売分析!$Z73&gt;=V811設定!$E$7,P73&gt;=V811設定!$E$8,Q73&lt;=V811設定!$E$9),1,0))</f>
      </c>
      <c r="T73">
        <f>IF(K73="","",IF(S73=1,"○ゲート通過",IF(V811設定!$E$12&lt;&gt;1,"― 停止中",IF(M73&gt;V811設定!$E$3,"×値動きが荒い",IF(N73&gt;V811設定!$E$4,"×レンジが広い",IF(O73&gt;V811設定!$E$5,"×窓を開けて上昇",IF(売分析!$Z73&gt;V811設定!$E$6,"×前日に急騰",IF(売分析!$Z73&lt;V811設定!$E$7,"×前日に急落",IF(P73&lt;V811設定!$E$8,"×高値から離れすぎ",IF(Q73&gt;V811設定!$E$9,"×当日の値幅が大きい","×"))))))))))</f>
      </c>
    </row>
    <row r="74" spans="1:20">
      <c r="A74">
        <f>IF(分析!$C74="","",分析!$C74)</f>
      </c>
      <c r="B74">
        <f>IF(分析!$C74="","",分析!$D74)</f>
      </c>
      <c r="C74">
        <f>IFERROR((SUM(OFFSET(高値!$E$6,IFERROR(MATCH(分析!$C74,銘柄管理!$B$6:$B$305,0),MATCH(TEXT(分析!$C74,"0"),銘柄管理!$B$6:$B$305,0))-1,0,1,14))-SUM(OFFSET(安値!$E$6,IFERROR(MATCH(分析!$C74,銘柄管理!$B$6:$B$305,0),MATCH(TEXT(分析!$C74,"0"),銘柄管理!$B$6:$B$305,0))-1,0,1,14)))/SUM(OFFSET(終値!$E$6,IFERROR(MATCH(分析!$C74,銘柄管理!$B$6:$B$305,0),MATCH(TEXT(分析!$C74,"0"),銘柄管理!$B$6:$B$305,0))-1,0,1,14))*100,"")</f>
      </c>
      <c r="D74">
        <f>IFERROR((MAX(OFFSET(高値!$E$6,IFERROR(MATCH(分析!$C74,銘柄管理!$B$6:$B$305,0),MATCH(TEXT(分析!$C74,"0"),銘柄管理!$B$6:$B$305,0))-1,0,1,25))-MIN(OFFSET(安値!$E$6,IFERROR(MATCH(分析!$C74,銘柄管理!$B$6:$B$305,0),MATCH(TEXT(分析!$C74,"0"),銘柄管理!$B$6:$B$305,0))-1,0,1,25)))/分析!$E74*100,"")</f>
      </c>
      <c r="E74">
        <f>IFERROR((分析!$F74-分析!$G74)/分析!$G74*100,"")</f>
      </c>
      <c r="F74">
        <f>IFERROR((分析!$E74-MAX(OFFSET(高値!$E$6,IFERROR(MATCH(分析!$C74,銘柄管理!$B$6:$B$305,0),MATCH(TEXT(分析!$C74,"0"),銘柄管理!$B$6:$B$305,0))-1,0,1,25)))/MAX(OFFSET(高値!$E$6,IFERROR(MATCH(分析!$C74,銘柄管理!$B$6:$B$305,0),MATCH(TEXT(分析!$C74,"0"),銘柄管理!$B$6:$B$305,0))-1,0,1,25))*100,"")</f>
      </c>
      <c r="G74">
        <f>IFERROR((分析!$H74-分析!$I74)/分析!$F74*100,"")</f>
      </c>
      <c r="H74">
        <f>IFERROR(5-COUNTIF($C$3:$C$206,"&lt;"&amp;$C74)/COUNT($C$3:$C$206)-COUNTIF($G$3:$G$206,"&lt;"&amp;$G74)/COUNT($G$3:$G$206)-COUNTIF($D$3:$D$206,"&lt;"&amp;$D74)/COUNT($D$3:$D$206)-COUNTIF(分析!$Z$3:$Z$206,"&lt;"&amp;分析!$Z74)/COUNT(分析!$Z$3:$Z$206)-COUNTIF($E$3:$E$206,"&lt;"&amp;$E74)/COUNT($E$3:$E$206),"")</f>
      </c>
      <c r="I74">
        <f>IF(OR(A74="",A74="TOPX",C74="",H74=""),0,IF(AND(V811設定!$E$11=1,C74&lt;=V811設定!$E$3,D74&lt;=V811設定!$E$4,E74&lt;=V811設定!$E$5,分析!$Z74&lt;=V811設定!$E$6,分析!$Z74&gt;=V811設定!$E$7,F74&gt;=V811設定!$E$8,G74&lt;=V811設定!$E$9),1,0))</f>
      </c>
      <c r="J74">
        <f>IF(A74="","",IF(I74=1,"○ゲート通過",IF(V811設定!$E$11&lt;&gt;1,"― 停止中",IF(C74&gt;V811設定!$E$3,"×値動きが荒い",IF(D74&gt;V811設定!$E$4,"×レンジが広い",IF(E74&gt;V811設定!$E$5,"×窓を開けて上昇",IF(分析!$Z74&gt;V811設定!$E$6,"×前日に急騰",IF(分析!$Z74&lt;V811設定!$E$7,"×前日に急落",IF(F74&lt;V811設定!$E$8,"×高値から離れすぎ",IF(G74&gt;V811設定!$E$9,"×当日の値幅が大きい","×"))))))))))</f>
      </c>
      <c r="K74">
        <f>IF(売分析!$C74="","",売分析!$C74)</f>
      </c>
      <c r="L74">
        <f>IF(売分析!$C74="","",売分析!$D74)</f>
      </c>
      <c r="M74">
        <f>IFERROR((SUM(OFFSET(高値!$E$6,IFERROR(MATCH(売分析!$C74,銘柄管理!$B$6:$B$305,0),MATCH(TEXT(売分析!$C74,"0"),銘柄管理!$B$6:$B$305,0))-1,0,1,14))-SUM(OFFSET(安値!$E$6,IFERROR(MATCH(売分析!$C74,銘柄管理!$B$6:$B$305,0),MATCH(TEXT(売分析!$C74,"0"),銘柄管理!$B$6:$B$305,0))-1,0,1,14)))/SUM(OFFSET(終値!$E$6,IFERROR(MATCH(売分析!$C74,銘柄管理!$B$6:$B$305,0),MATCH(TEXT(売分析!$C74,"0"),銘柄管理!$B$6:$B$305,0))-1,0,1,14))*100,"")</f>
      </c>
      <c r="N74">
        <f>IFERROR((MAX(OFFSET(高値!$E$6,IFERROR(MATCH(売分析!$C74,銘柄管理!$B$6:$B$305,0),MATCH(TEXT(売分析!$C74,"0"),銘柄管理!$B$6:$B$305,0))-1,0,1,25))-MIN(OFFSET(安値!$E$6,IFERROR(MATCH(売分析!$C74,銘柄管理!$B$6:$B$305,0),MATCH(TEXT(売分析!$C74,"0"),銘柄管理!$B$6:$B$305,0))-1,0,1,25)))/売分析!$E74*100,"")</f>
      </c>
      <c r="O74">
        <f>IFERROR((売分析!$F74-売分析!$G74)/売分析!$G74*100,"")</f>
      </c>
      <c r="P74">
        <f>IFERROR((売分析!$E74-MAX(OFFSET(高値!$E$6,IFERROR(MATCH(売分析!$C74,銘柄管理!$B$6:$B$305,0),MATCH(TEXT(売分析!$C74,"0"),銘柄管理!$B$6:$B$305,0))-1,0,1,25)))/MAX(OFFSET(高値!$E$6,IFERROR(MATCH(売分析!$C74,銘柄管理!$B$6:$B$305,0),MATCH(TEXT(売分析!$C74,"0"),銘柄管理!$B$6:$B$305,0))-1,0,1,25))*100,"")</f>
      </c>
      <c r="Q74">
        <f>IFERROR((売分析!$H74-売分析!$I74)/売分析!$F74*100,"")</f>
      </c>
      <c r="R74">
        <f>IFERROR(5-COUNTIF($M$3:$M$206,"&lt;"&amp;$M74)/COUNT($M$3:$M$206)-COUNTIF($Q$3:$Q$206,"&lt;"&amp;$Q74)/COUNT($Q$3:$Q$206)-COUNTIF($N$3:$N$206,"&lt;"&amp;$N74)/COUNT($N$3:$N$206)-COUNTIF(売分析!$Z$3:$Z$206,"&lt;"&amp;売分析!$Z74)/COUNT(売分析!$Z$3:$Z$206)-COUNTIF($O$3:$O$206,"&lt;"&amp;$O74)/COUNT($O$3:$O$206),"")</f>
      </c>
      <c r="S74">
        <f>IF(OR(K74="",K74="TOPX",M74="",R74=""),0,IF(AND(V811設定!$E$12=1,M74&lt;=V811設定!$E$3,N74&lt;=V811設定!$E$4,O74&lt;=V811設定!$E$5,売分析!$Z74&lt;=V811設定!$E$6,売分析!$Z74&gt;=V811設定!$E$7,P74&gt;=V811設定!$E$8,Q74&lt;=V811設定!$E$9),1,0))</f>
      </c>
      <c r="T74">
        <f>IF(K74="","",IF(S74=1,"○ゲート通過",IF(V811設定!$E$12&lt;&gt;1,"― 停止中",IF(M74&gt;V811設定!$E$3,"×値動きが荒い",IF(N74&gt;V811設定!$E$4,"×レンジが広い",IF(O74&gt;V811設定!$E$5,"×窓を開けて上昇",IF(売分析!$Z74&gt;V811設定!$E$6,"×前日に急騰",IF(売分析!$Z74&lt;V811設定!$E$7,"×前日に急落",IF(P74&lt;V811設定!$E$8,"×高値から離れすぎ",IF(Q74&gt;V811設定!$E$9,"×当日の値幅が大きい","×"))))))))))</f>
      </c>
    </row>
    <row r="75" spans="1:20">
      <c r="A75">
        <f>IF(分析!$C75="","",分析!$C75)</f>
      </c>
      <c r="B75">
        <f>IF(分析!$C75="","",分析!$D75)</f>
      </c>
      <c r="C75">
        <f>IFERROR((SUM(OFFSET(高値!$E$6,IFERROR(MATCH(分析!$C75,銘柄管理!$B$6:$B$305,0),MATCH(TEXT(分析!$C75,"0"),銘柄管理!$B$6:$B$305,0))-1,0,1,14))-SUM(OFFSET(安値!$E$6,IFERROR(MATCH(分析!$C75,銘柄管理!$B$6:$B$305,0),MATCH(TEXT(分析!$C75,"0"),銘柄管理!$B$6:$B$305,0))-1,0,1,14)))/SUM(OFFSET(終値!$E$6,IFERROR(MATCH(分析!$C75,銘柄管理!$B$6:$B$305,0),MATCH(TEXT(分析!$C75,"0"),銘柄管理!$B$6:$B$305,0))-1,0,1,14))*100,"")</f>
      </c>
      <c r="D75">
        <f>IFERROR((MAX(OFFSET(高値!$E$6,IFERROR(MATCH(分析!$C75,銘柄管理!$B$6:$B$305,0),MATCH(TEXT(分析!$C75,"0"),銘柄管理!$B$6:$B$305,0))-1,0,1,25))-MIN(OFFSET(安値!$E$6,IFERROR(MATCH(分析!$C75,銘柄管理!$B$6:$B$305,0),MATCH(TEXT(分析!$C75,"0"),銘柄管理!$B$6:$B$305,0))-1,0,1,25)))/分析!$E75*100,"")</f>
      </c>
      <c r="E75">
        <f>IFERROR((分析!$F75-分析!$G75)/分析!$G75*100,"")</f>
      </c>
      <c r="F75">
        <f>IFERROR((分析!$E75-MAX(OFFSET(高値!$E$6,IFERROR(MATCH(分析!$C75,銘柄管理!$B$6:$B$305,0),MATCH(TEXT(分析!$C75,"0"),銘柄管理!$B$6:$B$305,0))-1,0,1,25)))/MAX(OFFSET(高値!$E$6,IFERROR(MATCH(分析!$C75,銘柄管理!$B$6:$B$305,0),MATCH(TEXT(分析!$C75,"0"),銘柄管理!$B$6:$B$305,0))-1,0,1,25))*100,"")</f>
      </c>
      <c r="G75">
        <f>IFERROR((分析!$H75-分析!$I75)/分析!$F75*100,"")</f>
      </c>
      <c r="H75">
        <f>IFERROR(5-COUNTIF($C$3:$C$206,"&lt;"&amp;$C75)/COUNT($C$3:$C$206)-COUNTIF($G$3:$G$206,"&lt;"&amp;$G75)/COUNT($G$3:$G$206)-COUNTIF($D$3:$D$206,"&lt;"&amp;$D75)/COUNT($D$3:$D$206)-COUNTIF(分析!$Z$3:$Z$206,"&lt;"&amp;分析!$Z75)/COUNT(分析!$Z$3:$Z$206)-COUNTIF($E$3:$E$206,"&lt;"&amp;$E75)/COUNT($E$3:$E$206),"")</f>
      </c>
      <c r="I75">
        <f>IF(OR(A75="",A75="TOPX",C75="",H75=""),0,IF(AND(V811設定!$E$11=1,C75&lt;=V811設定!$E$3,D75&lt;=V811設定!$E$4,E75&lt;=V811設定!$E$5,分析!$Z75&lt;=V811設定!$E$6,分析!$Z75&gt;=V811設定!$E$7,F75&gt;=V811設定!$E$8,G75&lt;=V811設定!$E$9),1,0))</f>
      </c>
      <c r="J75">
        <f>IF(A75="","",IF(I75=1,"○ゲート通過",IF(V811設定!$E$11&lt;&gt;1,"― 停止中",IF(C75&gt;V811設定!$E$3,"×値動きが荒い",IF(D75&gt;V811設定!$E$4,"×レンジが広い",IF(E75&gt;V811設定!$E$5,"×窓を開けて上昇",IF(分析!$Z75&gt;V811設定!$E$6,"×前日に急騰",IF(分析!$Z75&lt;V811設定!$E$7,"×前日に急落",IF(F75&lt;V811設定!$E$8,"×高値から離れすぎ",IF(G75&gt;V811設定!$E$9,"×当日の値幅が大きい","×"))))))))))</f>
      </c>
      <c r="K75">
        <f>IF(売分析!$C75="","",売分析!$C75)</f>
      </c>
      <c r="L75">
        <f>IF(売分析!$C75="","",売分析!$D75)</f>
      </c>
      <c r="M75">
        <f>IFERROR((SUM(OFFSET(高値!$E$6,IFERROR(MATCH(売分析!$C75,銘柄管理!$B$6:$B$305,0),MATCH(TEXT(売分析!$C75,"0"),銘柄管理!$B$6:$B$305,0))-1,0,1,14))-SUM(OFFSET(安値!$E$6,IFERROR(MATCH(売分析!$C75,銘柄管理!$B$6:$B$305,0),MATCH(TEXT(売分析!$C75,"0"),銘柄管理!$B$6:$B$305,0))-1,0,1,14)))/SUM(OFFSET(終値!$E$6,IFERROR(MATCH(売分析!$C75,銘柄管理!$B$6:$B$305,0),MATCH(TEXT(売分析!$C75,"0"),銘柄管理!$B$6:$B$305,0))-1,0,1,14))*100,"")</f>
      </c>
      <c r="N75">
        <f>IFERROR((MAX(OFFSET(高値!$E$6,IFERROR(MATCH(売分析!$C75,銘柄管理!$B$6:$B$305,0),MATCH(TEXT(売分析!$C75,"0"),銘柄管理!$B$6:$B$305,0))-1,0,1,25))-MIN(OFFSET(安値!$E$6,IFERROR(MATCH(売分析!$C75,銘柄管理!$B$6:$B$305,0),MATCH(TEXT(売分析!$C75,"0"),銘柄管理!$B$6:$B$305,0))-1,0,1,25)))/売分析!$E75*100,"")</f>
      </c>
      <c r="O75">
        <f>IFERROR((売分析!$F75-売分析!$G75)/売分析!$G75*100,"")</f>
      </c>
      <c r="P75">
        <f>IFERROR((売分析!$E75-MAX(OFFSET(高値!$E$6,IFERROR(MATCH(売分析!$C75,銘柄管理!$B$6:$B$305,0),MATCH(TEXT(売分析!$C75,"0"),銘柄管理!$B$6:$B$305,0))-1,0,1,25)))/MAX(OFFSET(高値!$E$6,IFERROR(MATCH(売分析!$C75,銘柄管理!$B$6:$B$305,0),MATCH(TEXT(売分析!$C75,"0"),銘柄管理!$B$6:$B$305,0))-1,0,1,25))*100,"")</f>
      </c>
      <c r="Q75">
        <f>IFERROR((売分析!$H75-売分析!$I75)/売分析!$F75*100,"")</f>
      </c>
      <c r="R75">
        <f>IFERROR(5-COUNTIF($M$3:$M$206,"&lt;"&amp;$M75)/COUNT($M$3:$M$206)-COUNTIF($Q$3:$Q$206,"&lt;"&amp;$Q75)/COUNT($Q$3:$Q$206)-COUNTIF($N$3:$N$206,"&lt;"&amp;$N75)/COUNT($N$3:$N$206)-COUNTIF(売分析!$Z$3:$Z$206,"&lt;"&amp;売分析!$Z75)/COUNT(売分析!$Z$3:$Z$206)-COUNTIF($O$3:$O$206,"&lt;"&amp;$O75)/COUNT($O$3:$O$206),"")</f>
      </c>
      <c r="S75">
        <f>IF(OR(K75="",K75="TOPX",M75="",R75=""),0,IF(AND(V811設定!$E$12=1,M75&lt;=V811設定!$E$3,N75&lt;=V811設定!$E$4,O75&lt;=V811設定!$E$5,売分析!$Z75&lt;=V811設定!$E$6,売分析!$Z75&gt;=V811設定!$E$7,P75&gt;=V811設定!$E$8,Q75&lt;=V811設定!$E$9),1,0))</f>
      </c>
      <c r="T75">
        <f>IF(K75="","",IF(S75=1,"○ゲート通過",IF(V811設定!$E$12&lt;&gt;1,"― 停止中",IF(M75&gt;V811設定!$E$3,"×値動きが荒い",IF(N75&gt;V811設定!$E$4,"×レンジが広い",IF(O75&gt;V811設定!$E$5,"×窓を開けて上昇",IF(売分析!$Z75&gt;V811設定!$E$6,"×前日に急騰",IF(売分析!$Z75&lt;V811設定!$E$7,"×前日に急落",IF(P75&lt;V811設定!$E$8,"×高値から離れすぎ",IF(Q75&gt;V811設定!$E$9,"×当日の値幅が大きい","×"))))))))))</f>
      </c>
    </row>
    <row r="76" spans="1:20">
      <c r="A76">
        <f>IF(分析!$C76="","",分析!$C76)</f>
      </c>
      <c r="B76">
        <f>IF(分析!$C76="","",分析!$D76)</f>
      </c>
      <c r="C76">
        <f>IFERROR((SUM(OFFSET(高値!$E$6,IFERROR(MATCH(分析!$C76,銘柄管理!$B$6:$B$305,0),MATCH(TEXT(分析!$C76,"0"),銘柄管理!$B$6:$B$305,0))-1,0,1,14))-SUM(OFFSET(安値!$E$6,IFERROR(MATCH(分析!$C76,銘柄管理!$B$6:$B$305,0),MATCH(TEXT(分析!$C76,"0"),銘柄管理!$B$6:$B$305,0))-1,0,1,14)))/SUM(OFFSET(終値!$E$6,IFERROR(MATCH(分析!$C76,銘柄管理!$B$6:$B$305,0),MATCH(TEXT(分析!$C76,"0"),銘柄管理!$B$6:$B$305,0))-1,0,1,14))*100,"")</f>
      </c>
      <c r="D76">
        <f>IFERROR((MAX(OFFSET(高値!$E$6,IFERROR(MATCH(分析!$C76,銘柄管理!$B$6:$B$305,0),MATCH(TEXT(分析!$C76,"0"),銘柄管理!$B$6:$B$305,0))-1,0,1,25))-MIN(OFFSET(安値!$E$6,IFERROR(MATCH(分析!$C76,銘柄管理!$B$6:$B$305,0),MATCH(TEXT(分析!$C76,"0"),銘柄管理!$B$6:$B$305,0))-1,0,1,25)))/分析!$E76*100,"")</f>
      </c>
      <c r="E76">
        <f>IFERROR((分析!$F76-分析!$G76)/分析!$G76*100,"")</f>
      </c>
      <c r="F76">
        <f>IFERROR((分析!$E76-MAX(OFFSET(高値!$E$6,IFERROR(MATCH(分析!$C76,銘柄管理!$B$6:$B$305,0),MATCH(TEXT(分析!$C76,"0"),銘柄管理!$B$6:$B$305,0))-1,0,1,25)))/MAX(OFFSET(高値!$E$6,IFERROR(MATCH(分析!$C76,銘柄管理!$B$6:$B$305,0),MATCH(TEXT(分析!$C76,"0"),銘柄管理!$B$6:$B$305,0))-1,0,1,25))*100,"")</f>
      </c>
      <c r="G76">
        <f>IFERROR((分析!$H76-分析!$I76)/分析!$F76*100,"")</f>
      </c>
      <c r="H76">
        <f>IFERROR(5-COUNTIF($C$3:$C$206,"&lt;"&amp;$C76)/COUNT($C$3:$C$206)-COUNTIF($G$3:$G$206,"&lt;"&amp;$G76)/COUNT($G$3:$G$206)-COUNTIF($D$3:$D$206,"&lt;"&amp;$D76)/COUNT($D$3:$D$206)-COUNTIF(分析!$Z$3:$Z$206,"&lt;"&amp;分析!$Z76)/COUNT(分析!$Z$3:$Z$206)-COUNTIF($E$3:$E$206,"&lt;"&amp;$E76)/COUNT($E$3:$E$206),"")</f>
      </c>
      <c r="I76">
        <f>IF(OR(A76="",A76="TOPX",C76="",H76=""),0,IF(AND(V811設定!$E$11=1,C76&lt;=V811設定!$E$3,D76&lt;=V811設定!$E$4,E76&lt;=V811設定!$E$5,分析!$Z76&lt;=V811設定!$E$6,分析!$Z76&gt;=V811設定!$E$7,F76&gt;=V811設定!$E$8,G76&lt;=V811設定!$E$9),1,0))</f>
      </c>
      <c r="J76">
        <f>IF(A76="","",IF(I76=1,"○ゲート通過",IF(V811設定!$E$11&lt;&gt;1,"― 停止中",IF(C76&gt;V811設定!$E$3,"×値動きが荒い",IF(D76&gt;V811設定!$E$4,"×レンジが広い",IF(E76&gt;V811設定!$E$5,"×窓を開けて上昇",IF(分析!$Z76&gt;V811設定!$E$6,"×前日に急騰",IF(分析!$Z76&lt;V811設定!$E$7,"×前日に急落",IF(F76&lt;V811設定!$E$8,"×高値から離れすぎ",IF(G76&gt;V811設定!$E$9,"×当日の値幅が大きい","×"))))))))))</f>
      </c>
      <c r="K76">
        <f>IF(売分析!$C76="","",売分析!$C76)</f>
      </c>
      <c r="L76">
        <f>IF(売分析!$C76="","",売分析!$D76)</f>
      </c>
      <c r="M76">
        <f>IFERROR((SUM(OFFSET(高値!$E$6,IFERROR(MATCH(売分析!$C76,銘柄管理!$B$6:$B$305,0),MATCH(TEXT(売分析!$C76,"0"),銘柄管理!$B$6:$B$305,0))-1,0,1,14))-SUM(OFFSET(安値!$E$6,IFERROR(MATCH(売分析!$C76,銘柄管理!$B$6:$B$305,0),MATCH(TEXT(売分析!$C76,"0"),銘柄管理!$B$6:$B$305,0))-1,0,1,14)))/SUM(OFFSET(終値!$E$6,IFERROR(MATCH(売分析!$C76,銘柄管理!$B$6:$B$305,0),MATCH(TEXT(売分析!$C76,"0"),銘柄管理!$B$6:$B$305,0))-1,0,1,14))*100,"")</f>
      </c>
      <c r="N76">
        <f>IFERROR((MAX(OFFSET(高値!$E$6,IFERROR(MATCH(売分析!$C76,銘柄管理!$B$6:$B$305,0),MATCH(TEXT(売分析!$C76,"0"),銘柄管理!$B$6:$B$305,0))-1,0,1,25))-MIN(OFFSET(安値!$E$6,IFERROR(MATCH(売分析!$C76,銘柄管理!$B$6:$B$305,0),MATCH(TEXT(売分析!$C76,"0"),銘柄管理!$B$6:$B$305,0))-1,0,1,25)))/売分析!$E76*100,"")</f>
      </c>
      <c r="O76">
        <f>IFERROR((売分析!$F76-売分析!$G76)/売分析!$G76*100,"")</f>
      </c>
      <c r="P76">
        <f>IFERROR((売分析!$E76-MAX(OFFSET(高値!$E$6,IFERROR(MATCH(売分析!$C76,銘柄管理!$B$6:$B$305,0),MATCH(TEXT(売分析!$C76,"0"),銘柄管理!$B$6:$B$305,0))-1,0,1,25)))/MAX(OFFSET(高値!$E$6,IFERROR(MATCH(売分析!$C76,銘柄管理!$B$6:$B$305,0),MATCH(TEXT(売分析!$C76,"0"),銘柄管理!$B$6:$B$305,0))-1,0,1,25))*100,"")</f>
      </c>
      <c r="Q76">
        <f>IFERROR((売分析!$H76-売分析!$I76)/売分析!$F76*100,"")</f>
      </c>
      <c r="R76">
        <f>IFERROR(5-COUNTIF($M$3:$M$206,"&lt;"&amp;$M76)/COUNT($M$3:$M$206)-COUNTIF($Q$3:$Q$206,"&lt;"&amp;$Q76)/COUNT($Q$3:$Q$206)-COUNTIF($N$3:$N$206,"&lt;"&amp;$N76)/COUNT($N$3:$N$206)-COUNTIF(売分析!$Z$3:$Z$206,"&lt;"&amp;売分析!$Z76)/COUNT(売分析!$Z$3:$Z$206)-COUNTIF($O$3:$O$206,"&lt;"&amp;$O76)/COUNT($O$3:$O$206),"")</f>
      </c>
      <c r="S76">
        <f>IF(OR(K76="",K76="TOPX",M76="",R76=""),0,IF(AND(V811設定!$E$12=1,M76&lt;=V811設定!$E$3,N76&lt;=V811設定!$E$4,O76&lt;=V811設定!$E$5,売分析!$Z76&lt;=V811設定!$E$6,売分析!$Z76&gt;=V811設定!$E$7,P76&gt;=V811設定!$E$8,Q76&lt;=V811設定!$E$9),1,0))</f>
      </c>
      <c r="T76">
        <f>IF(K76="","",IF(S76=1,"○ゲート通過",IF(V811設定!$E$12&lt;&gt;1,"― 停止中",IF(M76&gt;V811設定!$E$3,"×値動きが荒い",IF(N76&gt;V811設定!$E$4,"×レンジが広い",IF(O76&gt;V811設定!$E$5,"×窓を開けて上昇",IF(売分析!$Z76&gt;V811設定!$E$6,"×前日に急騰",IF(売分析!$Z76&lt;V811設定!$E$7,"×前日に急落",IF(P76&lt;V811設定!$E$8,"×高値から離れすぎ",IF(Q76&gt;V811設定!$E$9,"×当日の値幅が大きい","×"))))))))))</f>
      </c>
    </row>
    <row r="77" spans="1:20">
      <c r="A77">
        <f>IF(分析!$C77="","",分析!$C77)</f>
      </c>
      <c r="B77">
        <f>IF(分析!$C77="","",分析!$D77)</f>
      </c>
      <c r="C77">
        <f>IFERROR((SUM(OFFSET(高値!$E$6,IFERROR(MATCH(分析!$C77,銘柄管理!$B$6:$B$305,0),MATCH(TEXT(分析!$C77,"0"),銘柄管理!$B$6:$B$305,0))-1,0,1,14))-SUM(OFFSET(安値!$E$6,IFERROR(MATCH(分析!$C77,銘柄管理!$B$6:$B$305,0),MATCH(TEXT(分析!$C77,"0"),銘柄管理!$B$6:$B$305,0))-1,0,1,14)))/SUM(OFFSET(終値!$E$6,IFERROR(MATCH(分析!$C77,銘柄管理!$B$6:$B$305,0),MATCH(TEXT(分析!$C77,"0"),銘柄管理!$B$6:$B$305,0))-1,0,1,14))*100,"")</f>
      </c>
      <c r="D77">
        <f>IFERROR((MAX(OFFSET(高値!$E$6,IFERROR(MATCH(分析!$C77,銘柄管理!$B$6:$B$305,0),MATCH(TEXT(分析!$C77,"0"),銘柄管理!$B$6:$B$305,0))-1,0,1,25))-MIN(OFFSET(安値!$E$6,IFERROR(MATCH(分析!$C77,銘柄管理!$B$6:$B$305,0),MATCH(TEXT(分析!$C77,"0"),銘柄管理!$B$6:$B$305,0))-1,0,1,25)))/分析!$E77*100,"")</f>
      </c>
      <c r="E77">
        <f>IFERROR((分析!$F77-分析!$G77)/分析!$G77*100,"")</f>
      </c>
      <c r="F77">
        <f>IFERROR((分析!$E77-MAX(OFFSET(高値!$E$6,IFERROR(MATCH(分析!$C77,銘柄管理!$B$6:$B$305,0),MATCH(TEXT(分析!$C77,"0"),銘柄管理!$B$6:$B$305,0))-1,0,1,25)))/MAX(OFFSET(高値!$E$6,IFERROR(MATCH(分析!$C77,銘柄管理!$B$6:$B$305,0),MATCH(TEXT(分析!$C77,"0"),銘柄管理!$B$6:$B$305,0))-1,0,1,25))*100,"")</f>
      </c>
      <c r="G77">
        <f>IFERROR((分析!$H77-分析!$I77)/分析!$F77*100,"")</f>
      </c>
      <c r="H77">
        <f>IFERROR(5-COUNTIF($C$3:$C$206,"&lt;"&amp;$C77)/COUNT($C$3:$C$206)-COUNTIF($G$3:$G$206,"&lt;"&amp;$G77)/COUNT($G$3:$G$206)-COUNTIF($D$3:$D$206,"&lt;"&amp;$D77)/COUNT($D$3:$D$206)-COUNTIF(分析!$Z$3:$Z$206,"&lt;"&amp;分析!$Z77)/COUNT(分析!$Z$3:$Z$206)-COUNTIF($E$3:$E$206,"&lt;"&amp;$E77)/COUNT($E$3:$E$206),"")</f>
      </c>
      <c r="I77">
        <f>IF(OR(A77="",A77="TOPX",C77="",H77=""),0,IF(AND(V811設定!$E$11=1,C77&lt;=V811設定!$E$3,D77&lt;=V811設定!$E$4,E77&lt;=V811設定!$E$5,分析!$Z77&lt;=V811設定!$E$6,分析!$Z77&gt;=V811設定!$E$7,F77&gt;=V811設定!$E$8,G77&lt;=V811設定!$E$9),1,0))</f>
      </c>
      <c r="J77">
        <f>IF(A77="","",IF(I77=1,"○ゲート通過",IF(V811設定!$E$11&lt;&gt;1,"― 停止中",IF(C77&gt;V811設定!$E$3,"×値動きが荒い",IF(D77&gt;V811設定!$E$4,"×レンジが広い",IF(E77&gt;V811設定!$E$5,"×窓を開けて上昇",IF(分析!$Z77&gt;V811設定!$E$6,"×前日に急騰",IF(分析!$Z77&lt;V811設定!$E$7,"×前日に急落",IF(F77&lt;V811設定!$E$8,"×高値から離れすぎ",IF(G77&gt;V811設定!$E$9,"×当日の値幅が大きい","×"))))))))))</f>
      </c>
      <c r="K77">
        <f>IF(売分析!$C77="","",売分析!$C77)</f>
      </c>
      <c r="L77">
        <f>IF(売分析!$C77="","",売分析!$D77)</f>
      </c>
      <c r="M77">
        <f>IFERROR((SUM(OFFSET(高値!$E$6,IFERROR(MATCH(売分析!$C77,銘柄管理!$B$6:$B$305,0),MATCH(TEXT(売分析!$C77,"0"),銘柄管理!$B$6:$B$305,0))-1,0,1,14))-SUM(OFFSET(安値!$E$6,IFERROR(MATCH(売分析!$C77,銘柄管理!$B$6:$B$305,0),MATCH(TEXT(売分析!$C77,"0"),銘柄管理!$B$6:$B$305,0))-1,0,1,14)))/SUM(OFFSET(終値!$E$6,IFERROR(MATCH(売分析!$C77,銘柄管理!$B$6:$B$305,0),MATCH(TEXT(売分析!$C77,"0"),銘柄管理!$B$6:$B$305,0))-1,0,1,14))*100,"")</f>
      </c>
      <c r="N77">
        <f>IFERROR((MAX(OFFSET(高値!$E$6,IFERROR(MATCH(売分析!$C77,銘柄管理!$B$6:$B$305,0),MATCH(TEXT(売分析!$C77,"0"),銘柄管理!$B$6:$B$305,0))-1,0,1,25))-MIN(OFFSET(安値!$E$6,IFERROR(MATCH(売分析!$C77,銘柄管理!$B$6:$B$305,0),MATCH(TEXT(売分析!$C77,"0"),銘柄管理!$B$6:$B$305,0))-1,0,1,25)))/売分析!$E77*100,"")</f>
      </c>
      <c r="O77">
        <f>IFERROR((売分析!$F77-売分析!$G77)/売分析!$G77*100,"")</f>
      </c>
      <c r="P77">
        <f>IFERROR((売分析!$E77-MAX(OFFSET(高値!$E$6,IFERROR(MATCH(売分析!$C77,銘柄管理!$B$6:$B$305,0),MATCH(TEXT(売分析!$C77,"0"),銘柄管理!$B$6:$B$305,0))-1,0,1,25)))/MAX(OFFSET(高値!$E$6,IFERROR(MATCH(売分析!$C77,銘柄管理!$B$6:$B$305,0),MATCH(TEXT(売分析!$C77,"0"),銘柄管理!$B$6:$B$305,0))-1,0,1,25))*100,"")</f>
      </c>
      <c r="Q77">
        <f>IFERROR((売分析!$H77-売分析!$I77)/売分析!$F77*100,"")</f>
      </c>
      <c r="R77">
        <f>IFERROR(5-COUNTIF($M$3:$M$206,"&lt;"&amp;$M77)/COUNT($M$3:$M$206)-COUNTIF($Q$3:$Q$206,"&lt;"&amp;$Q77)/COUNT($Q$3:$Q$206)-COUNTIF($N$3:$N$206,"&lt;"&amp;$N77)/COUNT($N$3:$N$206)-COUNTIF(売分析!$Z$3:$Z$206,"&lt;"&amp;売分析!$Z77)/COUNT(売分析!$Z$3:$Z$206)-COUNTIF($O$3:$O$206,"&lt;"&amp;$O77)/COUNT($O$3:$O$206),"")</f>
      </c>
      <c r="S77">
        <f>IF(OR(K77="",K77="TOPX",M77="",R77=""),0,IF(AND(V811設定!$E$12=1,M77&lt;=V811設定!$E$3,N77&lt;=V811設定!$E$4,O77&lt;=V811設定!$E$5,売分析!$Z77&lt;=V811設定!$E$6,売分析!$Z77&gt;=V811設定!$E$7,P77&gt;=V811設定!$E$8,Q77&lt;=V811設定!$E$9),1,0))</f>
      </c>
      <c r="T77">
        <f>IF(K77="","",IF(S77=1,"○ゲート通過",IF(V811設定!$E$12&lt;&gt;1,"― 停止中",IF(M77&gt;V811設定!$E$3,"×値動きが荒い",IF(N77&gt;V811設定!$E$4,"×レンジが広い",IF(O77&gt;V811設定!$E$5,"×窓を開けて上昇",IF(売分析!$Z77&gt;V811設定!$E$6,"×前日に急騰",IF(売分析!$Z77&lt;V811設定!$E$7,"×前日に急落",IF(P77&lt;V811設定!$E$8,"×高値から離れすぎ",IF(Q77&gt;V811設定!$E$9,"×当日の値幅が大きい","×"))))))))))</f>
      </c>
    </row>
    <row r="78" spans="1:20">
      <c r="A78">
        <f>IF(分析!$C78="","",分析!$C78)</f>
      </c>
      <c r="B78">
        <f>IF(分析!$C78="","",分析!$D78)</f>
      </c>
      <c r="C78">
        <f>IFERROR((SUM(OFFSET(高値!$E$6,IFERROR(MATCH(分析!$C78,銘柄管理!$B$6:$B$305,0),MATCH(TEXT(分析!$C78,"0"),銘柄管理!$B$6:$B$305,0))-1,0,1,14))-SUM(OFFSET(安値!$E$6,IFERROR(MATCH(分析!$C78,銘柄管理!$B$6:$B$305,0),MATCH(TEXT(分析!$C78,"0"),銘柄管理!$B$6:$B$305,0))-1,0,1,14)))/SUM(OFFSET(終値!$E$6,IFERROR(MATCH(分析!$C78,銘柄管理!$B$6:$B$305,0),MATCH(TEXT(分析!$C78,"0"),銘柄管理!$B$6:$B$305,0))-1,0,1,14))*100,"")</f>
      </c>
      <c r="D78">
        <f>IFERROR((MAX(OFFSET(高値!$E$6,IFERROR(MATCH(分析!$C78,銘柄管理!$B$6:$B$305,0),MATCH(TEXT(分析!$C78,"0"),銘柄管理!$B$6:$B$305,0))-1,0,1,25))-MIN(OFFSET(安値!$E$6,IFERROR(MATCH(分析!$C78,銘柄管理!$B$6:$B$305,0),MATCH(TEXT(分析!$C78,"0"),銘柄管理!$B$6:$B$305,0))-1,0,1,25)))/分析!$E78*100,"")</f>
      </c>
      <c r="E78">
        <f>IFERROR((分析!$F78-分析!$G78)/分析!$G78*100,"")</f>
      </c>
      <c r="F78">
        <f>IFERROR((分析!$E78-MAX(OFFSET(高値!$E$6,IFERROR(MATCH(分析!$C78,銘柄管理!$B$6:$B$305,0),MATCH(TEXT(分析!$C78,"0"),銘柄管理!$B$6:$B$305,0))-1,0,1,25)))/MAX(OFFSET(高値!$E$6,IFERROR(MATCH(分析!$C78,銘柄管理!$B$6:$B$305,0),MATCH(TEXT(分析!$C78,"0"),銘柄管理!$B$6:$B$305,0))-1,0,1,25))*100,"")</f>
      </c>
      <c r="G78">
        <f>IFERROR((分析!$H78-分析!$I78)/分析!$F78*100,"")</f>
      </c>
      <c r="H78">
        <f>IFERROR(5-COUNTIF($C$3:$C$206,"&lt;"&amp;$C78)/COUNT($C$3:$C$206)-COUNTIF($G$3:$G$206,"&lt;"&amp;$G78)/COUNT($G$3:$G$206)-COUNTIF($D$3:$D$206,"&lt;"&amp;$D78)/COUNT($D$3:$D$206)-COUNTIF(分析!$Z$3:$Z$206,"&lt;"&amp;分析!$Z78)/COUNT(分析!$Z$3:$Z$206)-COUNTIF($E$3:$E$206,"&lt;"&amp;$E78)/COUNT($E$3:$E$206),"")</f>
      </c>
      <c r="I78">
        <f>IF(OR(A78="",A78="TOPX",C78="",H78=""),0,IF(AND(V811設定!$E$11=1,C78&lt;=V811設定!$E$3,D78&lt;=V811設定!$E$4,E78&lt;=V811設定!$E$5,分析!$Z78&lt;=V811設定!$E$6,分析!$Z78&gt;=V811設定!$E$7,F78&gt;=V811設定!$E$8,G78&lt;=V811設定!$E$9),1,0))</f>
      </c>
      <c r="J78">
        <f>IF(A78="","",IF(I78=1,"○ゲート通過",IF(V811設定!$E$11&lt;&gt;1,"― 停止中",IF(C78&gt;V811設定!$E$3,"×値動きが荒い",IF(D78&gt;V811設定!$E$4,"×レンジが広い",IF(E78&gt;V811設定!$E$5,"×窓を開けて上昇",IF(分析!$Z78&gt;V811設定!$E$6,"×前日に急騰",IF(分析!$Z78&lt;V811設定!$E$7,"×前日に急落",IF(F78&lt;V811設定!$E$8,"×高値から離れすぎ",IF(G78&gt;V811設定!$E$9,"×当日の値幅が大きい","×"))))))))))</f>
      </c>
      <c r="K78">
        <f>IF(売分析!$C78="","",売分析!$C78)</f>
      </c>
      <c r="L78">
        <f>IF(売分析!$C78="","",売分析!$D78)</f>
      </c>
      <c r="M78">
        <f>IFERROR((SUM(OFFSET(高値!$E$6,IFERROR(MATCH(売分析!$C78,銘柄管理!$B$6:$B$305,0),MATCH(TEXT(売分析!$C78,"0"),銘柄管理!$B$6:$B$305,0))-1,0,1,14))-SUM(OFFSET(安値!$E$6,IFERROR(MATCH(売分析!$C78,銘柄管理!$B$6:$B$305,0),MATCH(TEXT(売分析!$C78,"0"),銘柄管理!$B$6:$B$305,0))-1,0,1,14)))/SUM(OFFSET(終値!$E$6,IFERROR(MATCH(売分析!$C78,銘柄管理!$B$6:$B$305,0),MATCH(TEXT(売分析!$C78,"0"),銘柄管理!$B$6:$B$305,0))-1,0,1,14))*100,"")</f>
      </c>
      <c r="N78">
        <f>IFERROR((MAX(OFFSET(高値!$E$6,IFERROR(MATCH(売分析!$C78,銘柄管理!$B$6:$B$305,0),MATCH(TEXT(売分析!$C78,"0"),銘柄管理!$B$6:$B$305,0))-1,0,1,25))-MIN(OFFSET(安値!$E$6,IFERROR(MATCH(売分析!$C78,銘柄管理!$B$6:$B$305,0),MATCH(TEXT(売分析!$C78,"0"),銘柄管理!$B$6:$B$305,0))-1,0,1,25)))/売分析!$E78*100,"")</f>
      </c>
      <c r="O78">
        <f>IFERROR((売分析!$F78-売分析!$G78)/売分析!$G78*100,"")</f>
      </c>
      <c r="P78">
        <f>IFERROR((売分析!$E78-MAX(OFFSET(高値!$E$6,IFERROR(MATCH(売分析!$C78,銘柄管理!$B$6:$B$305,0),MATCH(TEXT(売分析!$C78,"0"),銘柄管理!$B$6:$B$305,0))-1,0,1,25)))/MAX(OFFSET(高値!$E$6,IFERROR(MATCH(売分析!$C78,銘柄管理!$B$6:$B$305,0),MATCH(TEXT(売分析!$C78,"0"),銘柄管理!$B$6:$B$305,0))-1,0,1,25))*100,"")</f>
      </c>
      <c r="Q78">
        <f>IFERROR((売分析!$H78-売分析!$I78)/売分析!$F78*100,"")</f>
      </c>
      <c r="R78">
        <f>IFERROR(5-COUNTIF($M$3:$M$206,"&lt;"&amp;$M78)/COUNT($M$3:$M$206)-COUNTIF($Q$3:$Q$206,"&lt;"&amp;$Q78)/COUNT($Q$3:$Q$206)-COUNTIF($N$3:$N$206,"&lt;"&amp;$N78)/COUNT($N$3:$N$206)-COUNTIF(売分析!$Z$3:$Z$206,"&lt;"&amp;売分析!$Z78)/COUNT(売分析!$Z$3:$Z$206)-COUNTIF($O$3:$O$206,"&lt;"&amp;$O78)/COUNT($O$3:$O$206),"")</f>
      </c>
      <c r="S78">
        <f>IF(OR(K78="",K78="TOPX",M78="",R78=""),0,IF(AND(V811設定!$E$12=1,M78&lt;=V811設定!$E$3,N78&lt;=V811設定!$E$4,O78&lt;=V811設定!$E$5,売分析!$Z78&lt;=V811設定!$E$6,売分析!$Z78&gt;=V811設定!$E$7,P78&gt;=V811設定!$E$8,Q78&lt;=V811設定!$E$9),1,0))</f>
      </c>
      <c r="T78">
        <f>IF(K78="","",IF(S78=1,"○ゲート通過",IF(V811設定!$E$12&lt;&gt;1,"― 停止中",IF(M78&gt;V811設定!$E$3,"×値動きが荒い",IF(N78&gt;V811設定!$E$4,"×レンジが広い",IF(O78&gt;V811設定!$E$5,"×窓を開けて上昇",IF(売分析!$Z78&gt;V811設定!$E$6,"×前日に急騰",IF(売分析!$Z78&lt;V811設定!$E$7,"×前日に急落",IF(P78&lt;V811設定!$E$8,"×高値から離れすぎ",IF(Q78&gt;V811設定!$E$9,"×当日の値幅が大きい","×"))))))))))</f>
      </c>
    </row>
    <row r="79" spans="1:20">
      <c r="A79">
        <f>IF(分析!$C79="","",分析!$C79)</f>
      </c>
      <c r="B79">
        <f>IF(分析!$C79="","",分析!$D79)</f>
      </c>
      <c r="C79">
        <f>IFERROR((SUM(OFFSET(高値!$E$6,IFERROR(MATCH(分析!$C79,銘柄管理!$B$6:$B$305,0),MATCH(TEXT(分析!$C79,"0"),銘柄管理!$B$6:$B$305,0))-1,0,1,14))-SUM(OFFSET(安値!$E$6,IFERROR(MATCH(分析!$C79,銘柄管理!$B$6:$B$305,0),MATCH(TEXT(分析!$C79,"0"),銘柄管理!$B$6:$B$305,0))-1,0,1,14)))/SUM(OFFSET(終値!$E$6,IFERROR(MATCH(分析!$C79,銘柄管理!$B$6:$B$305,0),MATCH(TEXT(分析!$C79,"0"),銘柄管理!$B$6:$B$305,0))-1,0,1,14))*100,"")</f>
      </c>
      <c r="D79">
        <f>IFERROR((MAX(OFFSET(高値!$E$6,IFERROR(MATCH(分析!$C79,銘柄管理!$B$6:$B$305,0),MATCH(TEXT(分析!$C79,"0"),銘柄管理!$B$6:$B$305,0))-1,0,1,25))-MIN(OFFSET(安値!$E$6,IFERROR(MATCH(分析!$C79,銘柄管理!$B$6:$B$305,0),MATCH(TEXT(分析!$C79,"0"),銘柄管理!$B$6:$B$305,0))-1,0,1,25)))/分析!$E79*100,"")</f>
      </c>
      <c r="E79">
        <f>IFERROR((分析!$F79-分析!$G79)/分析!$G79*100,"")</f>
      </c>
      <c r="F79">
        <f>IFERROR((分析!$E79-MAX(OFFSET(高値!$E$6,IFERROR(MATCH(分析!$C79,銘柄管理!$B$6:$B$305,0),MATCH(TEXT(分析!$C79,"0"),銘柄管理!$B$6:$B$305,0))-1,0,1,25)))/MAX(OFFSET(高値!$E$6,IFERROR(MATCH(分析!$C79,銘柄管理!$B$6:$B$305,0),MATCH(TEXT(分析!$C79,"0"),銘柄管理!$B$6:$B$305,0))-1,0,1,25))*100,"")</f>
      </c>
      <c r="G79">
        <f>IFERROR((分析!$H79-分析!$I79)/分析!$F79*100,"")</f>
      </c>
      <c r="H79">
        <f>IFERROR(5-COUNTIF($C$3:$C$206,"&lt;"&amp;$C79)/COUNT($C$3:$C$206)-COUNTIF($G$3:$G$206,"&lt;"&amp;$G79)/COUNT($G$3:$G$206)-COUNTIF($D$3:$D$206,"&lt;"&amp;$D79)/COUNT($D$3:$D$206)-COUNTIF(分析!$Z$3:$Z$206,"&lt;"&amp;分析!$Z79)/COUNT(分析!$Z$3:$Z$206)-COUNTIF($E$3:$E$206,"&lt;"&amp;$E79)/COUNT($E$3:$E$206),"")</f>
      </c>
      <c r="I79">
        <f>IF(OR(A79="",A79="TOPX",C79="",H79=""),0,IF(AND(V811設定!$E$11=1,C79&lt;=V811設定!$E$3,D79&lt;=V811設定!$E$4,E79&lt;=V811設定!$E$5,分析!$Z79&lt;=V811設定!$E$6,分析!$Z79&gt;=V811設定!$E$7,F79&gt;=V811設定!$E$8,G79&lt;=V811設定!$E$9),1,0))</f>
      </c>
      <c r="J79">
        <f>IF(A79="","",IF(I79=1,"○ゲート通過",IF(V811設定!$E$11&lt;&gt;1,"― 停止中",IF(C79&gt;V811設定!$E$3,"×値動きが荒い",IF(D79&gt;V811設定!$E$4,"×レンジが広い",IF(E79&gt;V811設定!$E$5,"×窓を開けて上昇",IF(分析!$Z79&gt;V811設定!$E$6,"×前日に急騰",IF(分析!$Z79&lt;V811設定!$E$7,"×前日に急落",IF(F79&lt;V811設定!$E$8,"×高値から離れすぎ",IF(G79&gt;V811設定!$E$9,"×当日の値幅が大きい","×"))))))))))</f>
      </c>
      <c r="K79">
        <f>IF(売分析!$C79="","",売分析!$C79)</f>
      </c>
      <c r="L79">
        <f>IF(売分析!$C79="","",売分析!$D79)</f>
      </c>
      <c r="M79">
        <f>IFERROR((SUM(OFFSET(高値!$E$6,IFERROR(MATCH(売分析!$C79,銘柄管理!$B$6:$B$305,0),MATCH(TEXT(売分析!$C79,"0"),銘柄管理!$B$6:$B$305,0))-1,0,1,14))-SUM(OFFSET(安値!$E$6,IFERROR(MATCH(売分析!$C79,銘柄管理!$B$6:$B$305,0),MATCH(TEXT(売分析!$C79,"0"),銘柄管理!$B$6:$B$305,0))-1,0,1,14)))/SUM(OFFSET(終値!$E$6,IFERROR(MATCH(売分析!$C79,銘柄管理!$B$6:$B$305,0),MATCH(TEXT(売分析!$C79,"0"),銘柄管理!$B$6:$B$305,0))-1,0,1,14))*100,"")</f>
      </c>
      <c r="N79">
        <f>IFERROR((MAX(OFFSET(高値!$E$6,IFERROR(MATCH(売分析!$C79,銘柄管理!$B$6:$B$305,0),MATCH(TEXT(売分析!$C79,"0"),銘柄管理!$B$6:$B$305,0))-1,0,1,25))-MIN(OFFSET(安値!$E$6,IFERROR(MATCH(売分析!$C79,銘柄管理!$B$6:$B$305,0),MATCH(TEXT(売分析!$C79,"0"),銘柄管理!$B$6:$B$305,0))-1,0,1,25)))/売分析!$E79*100,"")</f>
      </c>
      <c r="O79">
        <f>IFERROR((売分析!$F79-売分析!$G79)/売分析!$G79*100,"")</f>
      </c>
      <c r="P79">
        <f>IFERROR((売分析!$E79-MAX(OFFSET(高値!$E$6,IFERROR(MATCH(売分析!$C79,銘柄管理!$B$6:$B$305,0),MATCH(TEXT(売分析!$C79,"0"),銘柄管理!$B$6:$B$305,0))-1,0,1,25)))/MAX(OFFSET(高値!$E$6,IFERROR(MATCH(売分析!$C79,銘柄管理!$B$6:$B$305,0),MATCH(TEXT(売分析!$C79,"0"),銘柄管理!$B$6:$B$305,0))-1,0,1,25))*100,"")</f>
      </c>
      <c r="Q79">
        <f>IFERROR((売分析!$H79-売分析!$I79)/売分析!$F79*100,"")</f>
      </c>
      <c r="R79">
        <f>IFERROR(5-COUNTIF($M$3:$M$206,"&lt;"&amp;$M79)/COUNT($M$3:$M$206)-COUNTIF($Q$3:$Q$206,"&lt;"&amp;$Q79)/COUNT($Q$3:$Q$206)-COUNTIF($N$3:$N$206,"&lt;"&amp;$N79)/COUNT($N$3:$N$206)-COUNTIF(売分析!$Z$3:$Z$206,"&lt;"&amp;売分析!$Z79)/COUNT(売分析!$Z$3:$Z$206)-COUNTIF($O$3:$O$206,"&lt;"&amp;$O79)/COUNT($O$3:$O$206),"")</f>
      </c>
      <c r="S79">
        <f>IF(OR(K79="",K79="TOPX",M79="",R79=""),0,IF(AND(V811設定!$E$12=1,M79&lt;=V811設定!$E$3,N79&lt;=V811設定!$E$4,O79&lt;=V811設定!$E$5,売分析!$Z79&lt;=V811設定!$E$6,売分析!$Z79&gt;=V811設定!$E$7,P79&gt;=V811設定!$E$8,Q79&lt;=V811設定!$E$9),1,0))</f>
      </c>
      <c r="T79">
        <f>IF(K79="","",IF(S79=1,"○ゲート通過",IF(V811設定!$E$12&lt;&gt;1,"― 停止中",IF(M79&gt;V811設定!$E$3,"×値動きが荒い",IF(N79&gt;V811設定!$E$4,"×レンジが広い",IF(O79&gt;V811設定!$E$5,"×窓を開けて上昇",IF(売分析!$Z79&gt;V811設定!$E$6,"×前日に急騰",IF(売分析!$Z79&lt;V811設定!$E$7,"×前日に急落",IF(P79&lt;V811設定!$E$8,"×高値から離れすぎ",IF(Q79&gt;V811設定!$E$9,"×当日の値幅が大きい","×"))))))))))</f>
      </c>
    </row>
    <row r="80" spans="1:20">
      <c r="A80">
        <f>IF(分析!$C80="","",分析!$C80)</f>
      </c>
      <c r="B80">
        <f>IF(分析!$C80="","",分析!$D80)</f>
      </c>
      <c r="C80">
        <f>IFERROR((SUM(OFFSET(高値!$E$6,IFERROR(MATCH(分析!$C80,銘柄管理!$B$6:$B$305,0),MATCH(TEXT(分析!$C80,"0"),銘柄管理!$B$6:$B$305,0))-1,0,1,14))-SUM(OFFSET(安値!$E$6,IFERROR(MATCH(分析!$C80,銘柄管理!$B$6:$B$305,0),MATCH(TEXT(分析!$C80,"0"),銘柄管理!$B$6:$B$305,0))-1,0,1,14)))/SUM(OFFSET(終値!$E$6,IFERROR(MATCH(分析!$C80,銘柄管理!$B$6:$B$305,0),MATCH(TEXT(分析!$C80,"0"),銘柄管理!$B$6:$B$305,0))-1,0,1,14))*100,"")</f>
      </c>
      <c r="D80">
        <f>IFERROR((MAX(OFFSET(高値!$E$6,IFERROR(MATCH(分析!$C80,銘柄管理!$B$6:$B$305,0),MATCH(TEXT(分析!$C80,"0"),銘柄管理!$B$6:$B$305,0))-1,0,1,25))-MIN(OFFSET(安値!$E$6,IFERROR(MATCH(分析!$C80,銘柄管理!$B$6:$B$305,0),MATCH(TEXT(分析!$C80,"0"),銘柄管理!$B$6:$B$305,0))-1,0,1,25)))/分析!$E80*100,"")</f>
      </c>
      <c r="E80">
        <f>IFERROR((分析!$F80-分析!$G80)/分析!$G80*100,"")</f>
      </c>
      <c r="F80">
        <f>IFERROR((分析!$E80-MAX(OFFSET(高値!$E$6,IFERROR(MATCH(分析!$C80,銘柄管理!$B$6:$B$305,0),MATCH(TEXT(分析!$C80,"0"),銘柄管理!$B$6:$B$305,0))-1,0,1,25)))/MAX(OFFSET(高値!$E$6,IFERROR(MATCH(分析!$C80,銘柄管理!$B$6:$B$305,0),MATCH(TEXT(分析!$C80,"0"),銘柄管理!$B$6:$B$305,0))-1,0,1,25))*100,"")</f>
      </c>
      <c r="G80">
        <f>IFERROR((分析!$H80-分析!$I80)/分析!$F80*100,"")</f>
      </c>
      <c r="H80">
        <f>IFERROR(5-COUNTIF($C$3:$C$206,"&lt;"&amp;$C80)/COUNT($C$3:$C$206)-COUNTIF($G$3:$G$206,"&lt;"&amp;$G80)/COUNT($G$3:$G$206)-COUNTIF($D$3:$D$206,"&lt;"&amp;$D80)/COUNT($D$3:$D$206)-COUNTIF(分析!$Z$3:$Z$206,"&lt;"&amp;分析!$Z80)/COUNT(分析!$Z$3:$Z$206)-COUNTIF($E$3:$E$206,"&lt;"&amp;$E80)/COUNT($E$3:$E$206),"")</f>
      </c>
      <c r="I80">
        <f>IF(OR(A80="",A80="TOPX",C80="",H80=""),0,IF(AND(V811設定!$E$11=1,C80&lt;=V811設定!$E$3,D80&lt;=V811設定!$E$4,E80&lt;=V811設定!$E$5,分析!$Z80&lt;=V811設定!$E$6,分析!$Z80&gt;=V811設定!$E$7,F80&gt;=V811設定!$E$8,G80&lt;=V811設定!$E$9),1,0))</f>
      </c>
      <c r="J80">
        <f>IF(A80="","",IF(I80=1,"○ゲート通過",IF(V811設定!$E$11&lt;&gt;1,"― 停止中",IF(C80&gt;V811設定!$E$3,"×値動きが荒い",IF(D80&gt;V811設定!$E$4,"×レンジが広い",IF(E80&gt;V811設定!$E$5,"×窓を開けて上昇",IF(分析!$Z80&gt;V811設定!$E$6,"×前日に急騰",IF(分析!$Z80&lt;V811設定!$E$7,"×前日に急落",IF(F80&lt;V811設定!$E$8,"×高値から離れすぎ",IF(G80&gt;V811設定!$E$9,"×当日の値幅が大きい","×"))))))))))</f>
      </c>
      <c r="K80">
        <f>IF(売分析!$C80="","",売分析!$C80)</f>
      </c>
      <c r="L80">
        <f>IF(売分析!$C80="","",売分析!$D80)</f>
      </c>
      <c r="M80">
        <f>IFERROR((SUM(OFFSET(高値!$E$6,IFERROR(MATCH(売分析!$C80,銘柄管理!$B$6:$B$305,0),MATCH(TEXT(売分析!$C80,"0"),銘柄管理!$B$6:$B$305,0))-1,0,1,14))-SUM(OFFSET(安値!$E$6,IFERROR(MATCH(売分析!$C80,銘柄管理!$B$6:$B$305,0),MATCH(TEXT(売分析!$C80,"0"),銘柄管理!$B$6:$B$305,0))-1,0,1,14)))/SUM(OFFSET(終値!$E$6,IFERROR(MATCH(売分析!$C80,銘柄管理!$B$6:$B$305,0),MATCH(TEXT(売分析!$C80,"0"),銘柄管理!$B$6:$B$305,0))-1,0,1,14))*100,"")</f>
      </c>
      <c r="N80">
        <f>IFERROR((MAX(OFFSET(高値!$E$6,IFERROR(MATCH(売分析!$C80,銘柄管理!$B$6:$B$305,0),MATCH(TEXT(売分析!$C80,"0"),銘柄管理!$B$6:$B$305,0))-1,0,1,25))-MIN(OFFSET(安値!$E$6,IFERROR(MATCH(売分析!$C80,銘柄管理!$B$6:$B$305,0),MATCH(TEXT(売分析!$C80,"0"),銘柄管理!$B$6:$B$305,0))-1,0,1,25)))/売分析!$E80*100,"")</f>
      </c>
      <c r="O80">
        <f>IFERROR((売分析!$F80-売分析!$G80)/売分析!$G80*100,"")</f>
      </c>
      <c r="P80">
        <f>IFERROR((売分析!$E80-MAX(OFFSET(高値!$E$6,IFERROR(MATCH(売分析!$C80,銘柄管理!$B$6:$B$305,0),MATCH(TEXT(売分析!$C80,"0"),銘柄管理!$B$6:$B$305,0))-1,0,1,25)))/MAX(OFFSET(高値!$E$6,IFERROR(MATCH(売分析!$C80,銘柄管理!$B$6:$B$305,0),MATCH(TEXT(売分析!$C80,"0"),銘柄管理!$B$6:$B$305,0))-1,0,1,25))*100,"")</f>
      </c>
      <c r="Q80">
        <f>IFERROR((売分析!$H80-売分析!$I80)/売分析!$F80*100,"")</f>
      </c>
      <c r="R80">
        <f>IFERROR(5-COUNTIF($M$3:$M$206,"&lt;"&amp;$M80)/COUNT($M$3:$M$206)-COUNTIF($Q$3:$Q$206,"&lt;"&amp;$Q80)/COUNT($Q$3:$Q$206)-COUNTIF($N$3:$N$206,"&lt;"&amp;$N80)/COUNT($N$3:$N$206)-COUNTIF(売分析!$Z$3:$Z$206,"&lt;"&amp;売分析!$Z80)/COUNT(売分析!$Z$3:$Z$206)-COUNTIF($O$3:$O$206,"&lt;"&amp;$O80)/COUNT($O$3:$O$206),"")</f>
      </c>
      <c r="S80">
        <f>IF(OR(K80="",K80="TOPX",M80="",R80=""),0,IF(AND(V811設定!$E$12=1,M80&lt;=V811設定!$E$3,N80&lt;=V811設定!$E$4,O80&lt;=V811設定!$E$5,売分析!$Z80&lt;=V811設定!$E$6,売分析!$Z80&gt;=V811設定!$E$7,P80&gt;=V811設定!$E$8,Q80&lt;=V811設定!$E$9),1,0))</f>
      </c>
      <c r="T80">
        <f>IF(K80="","",IF(S80=1,"○ゲート通過",IF(V811設定!$E$12&lt;&gt;1,"― 停止中",IF(M80&gt;V811設定!$E$3,"×値動きが荒い",IF(N80&gt;V811設定!$E$4,"×レンジが広い",IF(O80&gt;V811設定!$E$5,"×窓を開けて上昇",IF(売分析!$Z80&gt;V811設定!$E$6,"×前日に急騰",IF(売分析!$Z80&lt;V811設定!$E$7,"×前日に急落",IF(P80&lt;V811設定!$E$8,"×高値から離れすぎ",IF(Q80&gt;V811設定!$E$9,"×当日の値幅が大きい","×"))))))))))</f>
      </c>
    </row>
    <row r="81" spans="1:20">
      <c r="A81">
        <f>IF(分析!$C81="","",分析!$C81)</f>
      </c>
      <c r="B81">
        <f>IF(分析!$C81="","",分析!$D81)</f>
      </c>
      <c r="C81">
        <f>IFERROR((SUM(OFFSET(高値!$E$6,IFERROR(MATCH(分析!$C81,銘柄管理!$B$6:$B$305,0),MATCH(TEXT(分析!$C81,"0"),銘柄管理!$B$6:$B$305,0))-1,0,1,14))-SUM(OFFSET(安値!$E$6,IFERROR(MATCH(分析!$C81,銘柄管理!$B$6:$B$305,0),MATCH(TEXT(分析!$C81,"0"),銘柄管理!$B$6:$B$305,0))-1,0,1,14)))/SUM(OFFSET(終値!$E$6,IFERROR(MATCH(分析!$C81,銘柄管理!$B$6:$B$305,0),MATCH(TEXT(分析!$C81,"0"),銘柄管理!$B$6:$B$305,0))-1,0,1,14))*100,"")</f>
      </c>
      <c r="D81">
        <f>IFERROR((MAX(OFFSET(高値!$E$6,IFERROR(MATCH(分析!$C81,銘柄管理!$B$6:$B$305,0),MATCH(TEXT(分析!$C81,"0"),銘柄管理!$B$6:$B$305,0))-1,0,1,25))-MIN(OFFSET(安値!$E$6,IFERROR(MATCH(分析!$C81,銘柄管理!$B$6:$B$305,0),MATCH(TEXT(分析!$C81,"0"),銘柄管理!$B$6:$B$305,0))-1,0,1,25)))/分析!$E81*100,"")</f>
      </c>
      <c r="E81">
        <f>IFERROR((分析!$F81-分析!$G81)/分析!$G81*100,"")</f>
      </c>
      <c r="F81">
        <f>IFERROR((分析!$E81-MAX(OFFSET(高値!$E$6,IFERROR(MATCH(分析!$C81,銘柄管理!$B$6:$B$305,0),MATCH(TEXT(分析!$C81,"0"),銘柄管理!$B$6:$B$305,0))-1,0,1,25)))/MAX(OFFSET(高値!$E$6,IFERROR(MATCH(分析!$C81,銘柄管理!$B$6:$B$305,0),MATCH(TEXT(分析!$C81,"0"),銘柄管理!$B$6:$B$305,0))-1,0,1,25))*100,"")</f>
      </c>
      <c r="G81">
        <f>IFERROR((分析!$H81-分析!$I81)/分析!$F81*100,"")</f>
      </c>
      <c r="H81">
        <f>IFERROR(5-COUNTIF($C$3:$C$206,"&lt;"&amp;$C81)/COUNT($C$3:$C$206)-COUNTIF($G$3:$G$206,"&lt;"&amp;$G81)/COUNT($G$3:$G$206)-COUNTIF($D$3:$D$206,"&lt;"&amp;$D81)/COUNT($D$3:$D$206)-COUNTIF(分析!$Z$3:$Z$206,"&lt;"&amp;分析!$Z81)/COUNT(分析!$Z$3:$Z$206)-COUNTIF($E$3:$E$206,"&lt;"&amp;$E81)/COUNT($E$3:$E$206),"")</f>
      </c>
      <c r="I81">
        <f>IF(OR(A81="",A81="TOPX",C81="",H81=""),0,IF(AND(V811設定!$E$11=1,C81&lt;=V811設定!$E$3,D81&lt;=V811設定!$E$4,E81&lt;=V811設定!$E$5,分析!$Z81&lt;=V811設定!$E$6,分析!$Z81&gt;=V811設定!$E$7,F81&gt;=V811設定!$E$8,G81&lt;=V811設定!$E$9),1,0))</f>
      </c>
      <c r="J81">
        <f>IF(A81="","",IF(I81=1,"○ゲート通過",IF(V811設定!$E$11&lt;&gt;1,"― 停止中",IF(C81&gt;V811設定!$E$3,"×値動きが荒い",IF(D81&gt;V811設定!$E$4,"×レンジが広い",IF(E81&gt;V811設定!$E$5,"×窓を開けて上昇",IF(分析!$Z81&gt;V811設定!$E$6,"×前日に急騰",IF(分析!$Z81&lt;V811設定!$E$7,"×前日に急落",IF(F81&lt;V811設定!$E$8,"×高値から離れすぎ",IF(G81&gt;V811設定!$E$9,"×当日の値幅が大きい","×"))))))))))</f>
      </c>
      <c r="K81">
        <f>IF(売分析!$C81="","",売分析!$C81)</f>
      </c>
      <c r="L81">
        <f>IF(売分析!$C81="","",売分析!$D81)</f>
      </c>
      <c r="M81">
        <f>IFERROR((SUM(OFFSET(高値!$E$6,IFERROR(MATCH(売分析!$C81,銘柄管理!$B$6:$B$305,0),MATCH(TEXT(売分析!$C81,"0"),銘柄管理!$B$6:$B$305,0))-1,0,1,14))-SUM(OFFSET(安値!$E$6,IFERROR(MATCH(売分析!$C81,銘柄管理!$B$6:$B$305,0),MATCH(TEXT(売分析!$C81,"0"),銘柄管理!$B$6:$B$305,0))-1,0,1,14)))/SUM(OFFSET(終値!$E$6,IFERROR(MATCH(売分析!$C81,銘柄管理!$B$6:$B$305,0),MATCH(TEXT(売分析!$C81,"0"),銘柄管理!$B$6:$B$305,0))-1,0,1,14))*100,"")</f>
      </c>
      <c r="N81">
        <f>IFERROR((MAX(OFFSET(高値!$E$6,IFERROR(MATCH(売分析!$C81,銘柄管理!$B$6:$B$305,0),MATCH(TEXT(売分析!$C81,"0"),銘柄管理!$B$6:$B$305,0))-1,0,1,25))-MIN(OFFSET(安値!$E$6,IFERROR(MATCH(売分析!$C81,銘柄管理!$B$6:$B$305,0),MATCH(TEXT(売分析!$C81,"0"),銘柄管理!$B$6:$B$305,0))-1,0,1,25)))/売分析!$E81*100,"")</f>
      </c>
      <c r="O81">
        <f>IFERROR((売分析!$F81-売分析!$G81)/売分析!$G81*100,"")</f>
      </c>
      <c r="P81">
        <f>IFERROR((売分析!$E81-MAX(OFFSET(高値!$E$6,IFERROR(MATCH(売分析!$C81,銘柄管理!$B$6:$B$305,0),MATCH(TEXT(売分析!$C81,"0"),銘柄管理!$B$6:$B$305,0))-1,0,1,25)))/MAX(OFFSET(高値!$E$6,IFERROR(MATCH(売分析!$C81,銘柄管理!$B$6:$B$305,0),MATCH(TEXT(売分析!$C81,"0"),銘柄管理!$B$6:$B$305,0))-1,0,1,25))*100,"")</f>
      </c>
      <c r="Q81">
        <f>IFERROR((売分析!$H81-売分析!$I81)/売分析!$F81*100,"")</f>
      </c>
      <c r="R81">
        <f>IFERROR(5-COUNTIF($M$3:$M$206,"&lt;"&amp;$M81)/COUNT($M$3:$M$206)-COUNTIF($Q$3:$Q$206,"&lt;"&amp;$Q81)/COUNT($Q$3:$Q$206)-COUNTIF($N$3:$N$206,"&lt;"&amp;$N81)/COUNT($N$3:$N$206)-COUNTIF(売分析!$Z$3:$Z$206,"&lt;"&amp;売分析!$Z81)/COUNT(売分析!$Z$3:$Z$206)-COUNTIF($O$3:$O$206,"&lt;"&amp;$O81)/COUNT($O$3:$O$206),"")</f>
      </c>
      <c r="S81">
        <f>IF(OR(K81="",K81="TOPX",M81="",R81=""),0,IF(AND(V811設定!$E$12=1,M81&lt;=V811設定!$E$3,N81&lt;=V811設定!$E$4,O81&lt;=V811設定!$E$5,売分析!$Z81&lt;=V811設定!$E$6,売分析!$Z81&gt;=V811設定!$E$7,P81&gt;=V811設定!$E$8,Q81&lt;=V811設定!$E$9),1,0))</f>
      </c>
      <c r="T81">
        <f>IF(K81="","",IF(S81=1,"○ゲート通過",IF(V811設定!$E$12&lt;&gt;1,"― 停止中",IF(M81&gt;V811設定!$E$3,"×値動きが荒い",IF(N81&gt;V811設定!$E$4,"×レンジが広い",IF(O81&gt;V811設定!$E$5,"×窓を開けて上昇",IF(売分析!$Z81&gt;V811設定!$E$6,"×前日に急騰",IF(売分析!$Z81&lt;V811設定!$E$7,"×前日に急落",IF(P81&lt;V811設定!$E$8,"×高値から離れすぎ",IF(Q81&gt;V811設定!$E$9,"×当日の値幅が大きい","×"))))))))))</f>
      </c>
    </row>
    <row r="82" spans="1:20">
      <c r="A82">
        <f>IF(分析!$C82="","",分析!$C82)</f>
      </c>
      <c r="B82">
        <f>IF(分析!$C82="","",分析!$D82)</f>
      </c>
      <c r="C82">
        <f>IFERROR((SUM(OFFSET(高値!$E$6,IFERROR(MATCH(分析!$C82,銘柄管理!$B$6:$B$305,0),MATCH(TEXT(分析!$C82,"0"),銘柄管理!$B$6:$B$305,0))-1,0,1,14))-SUM(OFFSET(安値!$E$6,IFERROR(MATCH(分析!$C82,銘柄管理!$B$6:$B$305,0),MATCH(TEXT(分析!$C82,"0"),銘柄管理!$B$6:$B$305,0))-1,0,1,14)))/SUM(OFFSET(終値!$E$6,IFERROR(MATCH(分析!$C82,銘柄管理!$B$6:$B$305,0),MATCH(TEXT(分析!$C82,"0"),銘柄管理!$B$6:$B$305,0))-1,0,1,14))*100,"")</f>
      </c>
      <c r="D82">
        <f>IFERROR((MAX(OFFSET(高値!$E$6,IFERROR(MATCH(分析!$C82,銘柄管理!$B$6:$B$305,0),MATCH(TEXT(分析!$C82,"0"),銘柄管理!$B$6:$B$305,0))-1,0,1,25))-MIN(OFFSET(安値!$E$6,IFERROR(MATCH(分析!$C82,銘柄管理!$B$6:$B$305,0),MATCH(TEXT(分析!$C82,"0"),銘柄管理!$B$6:$B$305,0))-1,0,1,25)))/分析!$E82*100,"")</f>
      </c>
      <c r="E82">
        <f>IFERROR((分析!$F82-分析!$G82)/分析!$G82*100,"")</f>
      </c>
      <c r="F82">
        <f>IFERROR((分析!$E82-MAX(OFFSET(高値!$E$6,IFERROR(MATCH(分析!$C82,銘柄管理!$B$6:$B$305,0),MATCH(TEXT(分析!$C82,"0"),銘柄管理!$B$6:$B$305,0))-1,0,1,25)))/MAX(OFFSET(高値!$E$6,IFERROR(MATCH(分析!$C82,銘柄管理!$B$6:$B$305,0),MATCH(TEXT(分析!$C82,"0"),銘柄管理!$B$6:$B$305,0))-1,0,1,25))*100,"")</f>
      </c>
      <c r="G82">
        <f>IFERROR((分析!$H82-分析!$I82)/分析!$F82*100,"")</f>
      </c>
      <c r="H82">
        <f>IFERROR(5-COUNTIF($C$3:$C$206,"&lt;"&amp;$C82)/COUNT($C$3:$C$206)-COUNTIF($G$3:$G$206,"&lt;"&amp;$G82)/COUNT($G$3:$G$206)-COUNTIF($D$3:$D$206,"&lt;"&amp;$D82)/COUNT($D$3:$D$206)-COUNTIF(分析!$Z$3:$Z$206,"&lt;"&amp;分析!$Z82)/COUNT(分析!$Z$3:$Z$206)-COUNTIF($E$3:$E$206,"&lt;"&amp;$E82)/COUNT($E$3:$E$206),"")</f>
      </c>
      <c r="I82">
        <f>IF(OR(A82="",A82="TOPX",C82="",H82=""),0,IF(AND(V811設定!$E$11=1,C82&lt;=V811設定!$E$3,D82&lt;=V811設定!$E$4,E82&lt;=V811設定!$E$5,分析!$Z82&lt;=V811設定!$E$6,分析!$Z82&gt;=V811設定!$E$7,F82&gt;=V811設定!$E$8,G82&lt;=V811設定!$E$9),1,0))</f>
      </c>
      <c r="J82">
        <f>IF(A82="","",IF(I82=1,"○ゲート通過",IF(V811設定!$E$11&lt;&gt;1,"― 停止中",IF(C82&gt;V811設定!$E$3,"×値動きが荒い",IF(D82&gt;V811設定!$E$4,"×レンジが広い",IF(E82&gt;V811設定!$E$5,"×窓を開けて上昇",IF(分析!$Z82&gt;V811設定!$E$6,"×前日に急騰",IF(分析!$Z82&lt;V811設定!$E$7,"×前日に急落",IF(F82&lt;V811設定!$E$8,"×高値から離れすぎ",IF(G82&gt;V811設定!$E$9,"×当日の値幅が大きい","×"))))))))))</f>
      </c>
      <c r="K82">
        <f>IF(売分析!$C82="","",売分析!$C82)</f>
      </c>
      <c r="L82">
        <f>IF(売分析!$C82="","",売分析!$D82)</f>
      </c>
      <c r="M82">
        <f>IFERROR((SUM(OFFSET(高値!$E$6,IFERROR(MATCH(売分析!$C82,銘柄管理!$B$6:$B$305,0),MATCH(TEXT(売分析!$C82,"0"),銘柄管理!$B$6:$B$305,0))-1,0,1,14))-SUM(OFFSET(安値!$E$6,IFERROR(MATCH(売分析!$C82,銘柄管理!$B$6:$B$305,0),MATCH(TEXT(売分析!$C82,"0"),銘柄管理!$B$6:$B$305,0))-1,0,1,14)))/SUM(OFFSET(終値!$E$6,IFERROR(MATCH(売分析!$C82,銘柄管理!$B$6:$B$305,0),MATCH(TEXT(売分析!$C82,"0"),銘柄管理!$B$6:$B$305,0))-1,0,1,14))*100,"")</f>
      </c>
      <c r="N82">
        <f>IFERROR((MAX(OFFSET(高値!$E$6,IFERROR(MATCH(売分析!$C82,銘柄管理!$B$6:$B$305,0),MATCH(TEXT(売分析!$C82,"0"),銘柄管理!$B$6:$B$305,0))-1,0,1,25))-MIN(OFFSET(安値!$E$6,IFERROR(MATCH(売分析!$C82,銘柄管理!$B$6:$B$305,0),MATCH(TEXT(売分析!$C82,"0"),銘柄管理!$B$6:$B$305,0))-1,0,1,25)))/売分析!$E82*100,"")</f>
      </c>
      <c r="O82">
        <f>IFERROR((売分析!$F82-売分析!$G82)/売分析!$G82*100,"")</f>
      </c>
      <c r="P82">
        <f>IFERROR((売分析!$E82-MAX(OFFSET(高値!$E$6,IFERROR(MATCH(売分析!$C82,銘柄管理!$B$6:$B$305,0),MATCH(TEXT(売分析!$C82,"0"),銘柄管理!$B$6:$B$305,0))-1,0,1,25)))/MAX(OFFSET(高値!$E$6,IFERROR(MATCH(売分析!$C82,銘柄管理!$B$6:$B$305,0),MATCH(TEXT(売分析!$C82,"0"),銘柄管理!$B$6:$B$305,0))-1,0,1,25))*100,"")</f>
      </c>
      <c r="Q82">
        <f>IFERROR((売分析!$H82-売分析!$I82)/売分析!$F82*100,"")</f>
      </c>
      <c r="R82">
        <f>IFERROR(5-COUNTIF($M$3:$M$206,"&lt;"&amp;$M82)/COUNT($M$3:$M$206)-COUNTIF($Q$3:$Q$206,"&lt;"&amp;$Q82)/COUNT($Q$3:$Q$206)-COUNTIF($N$3:$N$206,"&lt;"&amp;$N82)/COUNT($N$3:$N$206)-COUNTIF(売分析!$Z$3:$Z$206,"&lt;"&amp;売分析!$Z82)/COUNT(売分析!$Z$3:$Z$206)-COUNTIF($O$3:$O$206,"&lt;"&amp;$O82)/COUNT($O$3:$O$206),"")</f>
      </c>
      <c r="S82">
        <f>IF(OR(K82="",K82="TOPX",M82="",R82=""),0,IF(AND(V811設定!$E$12=1,M82&lt;=V811設定!$E$3,N82&lt;=V811設定!$E$4,O82&lt;=V811設定!$E$5,売分析!$Z82&lt;=V811設定!$E$6,売分析!$Z82&gt;=V811設定!$E$7,P82&gt;=V811設定!$E$8,Q82&lt;=V811設定!$E$9),1,0))</f>
      </c>
      <c r="T82">
        <f>IF(K82="","",IF(S82=1,"○ゲート通過",IF(V811設定!$E$12&lt;&gt;1,"― 停止中",IF(M82&gt;V811設定!$E$3,"×値動きが荒い",IF(N82&gt;V811設定!$E$4,"×レンジが広い",IF(O82&gt;V811設定!$E$5,"×窓を開けて上昇",IF(売分析!$Z82&gt;V811設定!$E$6,"×前日に急騰",IF(売分析!$Z82&lt;V811設定!$E$7,"×前日に急落",IF(P82&lt;V811設定!$E$8,"×高値から離れすぎ",IF(Q82&gt;V811設定!$E$9,"×当日の値幅が大きい","×"))))))))))</f>
      </c>
    </row>
    <row r="83" spans="1:20">
      <c r="A83">
        <f>IF(分析!$C83="","",分析!$C83)</f>
      </c>
      <c r="B83">
        <f>IF(分析!$C83="","",分析!$D83)</f>
      </c>
      <c r="C83">
        <f>IFERROR((SUM(OFFSET(高値!$E$6,IFERROR(MATCH(分析!$C83,銘柄管理!$B$6:$B$305,0),MATCH(TEXT(分析!$C83,"0"),銘柄管理!$B$6:$B$305,0))-1,0,1,14))-SUM(OFFSET(安値!$E$6,IFERROR(MATCH(分析!$C83,銘柄管理!$B$6:$B$305,0),MATCH(TEXT(分析!$C83,"0"),銘柄管理!$B$6:$B$305,0))-1,0,1,14)))/SUM(OFFSET(終値!$E$6,IFERROR(MATCH(分析!$C83,銘柄管理!$B$6:$B$305,0),MATCH(TEXT(分析!$C83,"0"),銘柄管理!$B$6:$B$305,0))-1,0,1,14))*100,"")</f>
      </c>
      <c r="D83">
        <f>IFERROR((MAX(OFFSET(高値!$E$6,IFERROR(MATCH(分析!$C83,銘柄管理!$B$6:$B$305,0),MATCH(TEXT(分析!$C83,"0"),銘柄管理!$B$6:$B$305,0))-1,0,1,25))-MIN(OFFSET(安値!$E$6,IFERROR(MATCH(分析!$C83,銘柄管理!$B$6:$B$305,0),MATCH(TEXT(分析!$C83,"0"),銘柄管理!$B$6:$B$305,0))-1,0,1,25)))/分析!$E83*100,"")</f>
      </c>
      <c r="E83">
        <f>IFERROR((分析!$F83-分析!$G83)/分析!$G83*100,"")</f>
      </c>
      <c r="F83">
        <f>IFERROR((分析!$E83-MAX(OFFSET(高値!$E$6,IFERROR(MATCH(分析!$C83,銘柄管理!$B$6:$B$305,0),MATCH(TEXT(分析!$C83,"0"),銘柄管理!$B$6:$B$305,0))-1,0,1,25)))/MAX(OFFSET(高値!$E$6,IFERROR(MATCH(分析!$C83,銘柄管理!$B$6:$B$305,0),MATCH(TEXT(分析!$C83,"0"),銘柄管理!$B$6:$B$305,0))-1,0,1,25))*100,"")</f>
      </c>
      <c r="G83">
        <f>IFERROR((分析!$H83-分析!$I83)/分析!$F83*100,"")</f>
      </c>
      <c r="H83">
        <f>IFERROR(5-COUNTIF($C$3:$C$206,"&lt;"&amp;$C83)/COUNT($C$3:$C$206)-COUNTIF($G$3:$G$206,"&lt;"&amp;$G83)/COUNT($G$3:$G$206)-COUNTIF($D$3:$D$206,"&lt;"&amp;$D83)/COUNT($D$3:$D$206)-COUNTIF(分析!$Z$3:$Z$206,"&lt;"&amp;分析!$Z83)/COUNT(分析!$Z$3:$Z$206)-COUNTIF($E$3:$E$206,"&lt;"&amp;$E83)/COUNT($E$3:$E$206),"")</f>
      </c>
      <c r="I83">
        <f>IF(OR(A83="",A83="TOPX",C83="",H83=""),0,IF(AND(V811設定!$E$11=1,C83&lt;=V811設定!$E$3,D83&lt;=V811設定!$E$4,E83&lt;=V811設定!$E$5,分析!$Z83&lt;=V811設定!$E$6,分析!$Z83&gt;=V811設定!$E$7,F83&gt;=V811設定!$E$8,G83&lt;=V811設定!$E$9),1,0))</f>
      </c>
      <c r="J83">
        <f>IF(A83="","",IF(I83=1,"○ゲート通過",IF(V811設定!$E$11&lt;&gt;1,"― 停止中",IF(C83&gt;V811設定!$E$3,"×値動きが荒い",IF(D83&gt;V811設定!$E$4,"×レンジが広い",IF(E83&gt;V811設定!$E$5,"×窓を開けて上昇",IF(分析!$Z83&gt;V811設定!$E$6,"×前日に急騰",IF(分析!$Z83&lt;V811設定!$E$7,"×前日に急落",IF(F83&lt;V811設定!$E$8,"×高値から離れすぎ",IF(G83&gt;V811設定!$E$9,"×当日の値幅が大きい","×"))))))))))</f>
      </c>
      <c r="K83">
        <f>IF(売分析!$C83="","",売分析!$C83)</f>
      </c>
      <c r="L83">
        <f>IF(売分析!$C83="","",売分析!$D83)</f>
      </c>
      <c r="M83">
        <f>IFERROR((SUM(OFFSET(高値!$E$6,IFERROR(MATCH(売分析!$C83,銘柄管理!$B$6:$B$305,0),MATCH(TEXT(売分析!$C83,"0"),銘柄管理!$B$6:$B$305,0))-1,0,1,14))-SUM(OFFSET(安値!$E$6,IFERROR(MATCH(売分析!$C83,銘柄管理!$B$6:$B$305,0),MATCH(TEXT(売分析!$C83,"0"),銘柄管理!$B$6:$B$305,0))-1,0,1,14)))/SUM(OFFSET(終値!$E$6,IFERROR(MATCH(売分析!$C83,銘柄管理!$B$6:$B$305,0),MATCH(TEXT(売分析!$C83,"0"),銘柄管理!$B$6:$B$305,0))-1,0,1,14))*100,"")</f>
      </c>
      <c r="N83">
        <f>IFERROR((MAX(OFFSET(高値!$E$6,IFERROR(MATCH(売分析!$C83,銘柄管理!$B$6:$B$305,0),MATCH(TEXT(売分析!$C83,"0"),銘柄管理!$B$6:$B$305,0))-1,0,1,25))-MIN(OFFSET(安値!$E$6,IFERROR(MATCH(売分析!$C83,銘柄管理!$B$6:$B$305,0),MATCH(TEXT(売分析!$C83,"0"),銘柄管理!$B$6:$B$305,0))-1,0,1,25)))/売分析!$E83*100,"")</f>
      </c>
      <c r="O83">
        <f>IFERROR((売分析!$F83-売分析!$G83)/売分析!$G83*100,"")</f>
      </c>
      <c r="P83">
        <f>IFERROR((売分析!$E83-MAX(OFFSET(高値!$E$6,IFERROR(MATCH(売分析!$C83,銘柄管理!$B$6:$B$305,0),MATCH(TEXT(売分析!$C83,"0"),銘柄管理!$B$6:$B$305,0))-1,0,1,25)))/MAX(OFFSET(高値!$E$6,IFERROR(MATCH(売分析!$C83,銘柄管理!$B$6:$B$305,0),MATCH(TEXT(売分析!$C83,"0"),銘柄管理!$B$6:$B$305,0))-1,0,1,25))*100,"")</f>
      </c>
      <c r="Q83">
        <f>IFERROR((売分析!$H83-売分析!$I83)/売分析!$F83*100,"")</f>
      </c>
      <c r="R83">
        <f>IFERROR(5-COUNTIF($M$3:$M$206,"&lt;"&amp;$M83)/COUNT($M$3:$M$206)-COUNTIF($Q$3:$Q$206,"&lt;"&amp;$Q83)/COUNT($Q$3:$Q$206)-COUNTIF($N$3:$N$206,"&lt;"&amp;$N83)/COUNT($N$3:$N$206)-COUNTIF(売分析!$Z$3:$Z$206,"&lt;"&amp;売分析!$Z83)/COUNT(売分析!$Z$3:$Z$206)-COUNTIF($O$3:$O$206,"&lt;"&amp;$O83)/COUNT($O$3:$O$206),"")</f>
      </c>
      <c r="S83">
        <f>IF(OR(K83="",K83="TOPX",M83="",R83=""),0,IF(AND(V811設定!$E$12=1,M83&lt;=V811設定!$E$3,N83&lt;=V811設定!$E$4,O83&lt;=V811設定!$E$5,売分析!$Z83&lt;=V811設定!$E$6,売分析!$Z83&gt;=V811設定!$E$7,P83&gt;=V811設定!$E$8,Q83&lt;=V811設定!$E$9),1,0))</f>
      </c>
      <c r="T83">
        <f>IF(K83="","",IF(S83=1,"○ゲート通過",IF(V811設定!$E$12&lt;&gt;1,"― 停止中",IF(M83&gt;V811設定!$E$3,"×値動きが荒い",IF(N83&gt;V811設定!$E$4,"×レンジが広い",IF(O83&gt;V811設定!$E$5,"×窓を開けて上昇",IF(売分析!$Z83&gt;V811設定!$E$6,"×前日に急騰",IF(売分析!$Z83&lt;V811設定!$E$7,"×前日に急落",IF(P83&lt;V811設定!$E$8,"×高値から離れすぎ",IF(Q83&gt;V811設定!$E$9,"×当日の値幅が大きい","×"))))))))))</f>
      </c>
    </row>
    <row r="84" spans="1:20">
      <c r="A84">
        <f>IF(分析!$C84="","",分析!$C84)</f>
      </c>
      <c r="B84">
        <f>IF(分析!$C84="","",分析!$D84)</f>
      </c>
      <c r="C84">
        <f>IFERROR((SUM(OFFSET(高値!$E$6,IFERROR(MATCH(分析!$C84,銘柄管理!$B$6:$B$305,0),MATCH(TEXT(分析!$C84,"0"),銘柄管理!$B$6:$B$305,0))-1,0,1,14))-SUM(OFFSET(安値!$E$6,IFERROR(MATCH(分析!$C84,銘柄管理!$B$6:$B$305,0),MATCH(TEXT(分析!$C84,"0"),銘柄管理!$B$6:$B$305,0))-1,0,1,14)))/SUM(OFFSET(終値!$E$6,IFERROR(MATCH(分析!$C84,銘柄管理!$B$6:$B$305,0),MATCH(TEXT(分析!$C84,"0"),銘柄管理!$B$6:$B$305,0))-1,0,1,14))*100,"")</f>
      </c>
      <c r="D84">
        <f>IFERROR((MAX(OFFSET(高値!$E$6,IFERROR(MATCH(分析!$C84,銘柄管理!$B$6:$B$305,0),MATCH(TEXT(分析!$C84,"0"),銘柄管理!$B$6:$B$305,0))-1,0,1,25))-MIN(OFFSET(安値!$E$6,IFERROR(MATCH(分析!$C84,銘柄管理!$B$6:$B$305,0),MATCH(TEXT(分析!$C84,"0"),銘柄管理!$B$6:$B$305,0))-1,0,1,25)))/分析!$E84*100,"")</f>
      </c>
      <c r="E84">
        <f>IFERROR((分析!$F84-分析!$G84)/分析!$G84*100,"")</f>
      </c>
      <c r="F84">
        <f>IFERROR((分析!$E84-MAX(OFFSET(高値!$E$6,IFERROR(MATCH(分析!$C84,銘柄管理!$B$6:$B$305,0),MATCH(TEXT(分析!$C84,"0"),銘柄管理!$B$6:$B$305,0))-1,0,1,25)))/MAX(OFFSET(高値!$E$6,IFERROR(MATCH(分析!$C84,銘柄管理!$B$6:$B$305,0),MATCH(TEXT(分析!$C84,"0"),銘柄管理!$B$6:$B$305,0))-1,0,1,25))*100,"")</f>
      </c>
      <c r="G84">
        <f>IFERROR((分析!$H84-分析!$I84)/分析!$F84*100,"")</f>
      </c>
      <c r="H84">
        <f>IFERROR(5-COUNTIF($C$3:$C$206,"&lt;"&amp;$C84)/COUNT($C$3:$C$206)-COUNTIF($G$3:$G$206,"&lt;"&amp;$G84)/COUNT($G$3:$G$206)-COUNTIF($D$3:$D$206,"&lt;"&amp;$D84)/COUNT($D$3:$D$206)-COUNTIF(分析!$Z$3:$Z$206,"&lt;"&amp;分析!$Z84)/COUNT(分析!$Z$3:$Z$206)-COUNTIF($E$3:$E$206,"&lt;"&amp;$E84)/COUNT($E$3:$E$206),"")</f>
      </c>
      <c r="I84">
        <f>IF(OR(A84="",A84="TOPX",C84="",H84=""),0,IF(AND(V811設定!$E$11=1,C84&lt;=V811設定!$E$3,D84&lt;=V811設定!$E$4,E84&lt;=V811設定!$E$5,分析!$Z84&lt;=V811設定!$E$6,分析!$Z84&gt;=V811設定!$E$7,F84&gt;=V811設定!$E$8,G84&lt;=V811設定!$E$9),1,0))</f>
      </c>
      <c r="J84">
        <f>IF(A84="","",IF(I84=1,"○ゲート通過",IF(V811設定!$E$11&lt;&gt;1,"― 停止中",IF(C84&gt;V811設定!$E$3,"×値動きが荒い",IF(D84&gt;V811設定!$E$4,"×レンジが広い",IF(E84&gt;V811設定!$E$5,"×窓を開けて上昇",IF(分析!$Z84&gt;V811設定!$E$6,"×前日に急騰",IF(分析!$Z84&lt;V811設定!$E$7,"×前日に急落",IF(F84&lt;V811設定!$E$8,"×高値から離れすぎ",IF(G84&gt;V811設定!$E$9,"×当日の値幅が大きい","×"))))))))))</f>
      </c>
      <c r="K84">
        <f>IF(売分析!$C84="","",売分析!$C84)</f>
      </c>
      <c r="L84">
        <f>IF(売分析!$C84="","",売分析!$D84)</f>
      </c>
      <c r="M84">
        <f>IFERROR((SUM(OFFSET(高値!$E$6,IFERROR(MATCH(売分析!$C84,銘柄管理!$B$6:$B$305,0),MATCH(TEXT(売分析!$C84,"0"),銘柄管理!$B$6:$B$305,0))-1,0,1,14))-SUM(OFFSET(安値!$E$6,IFERROR(MATCH(売分析!$C84,銘柄管理!$B$6:$B$305,0),MATCH(TEXT(売分析!$C84,"0"),銘柄管理!$B$6:$B$305,0))-1,0,1,14)))/SUM(OFFSET(終値!$E$6,IFERROR(MATCH(売分析!$C84,銘柄管理!$B$6:$B$305,0),MATCH(TEXT(売分析!$C84,"0"),銘柄管理!$B$6:$B$305,0))-1,0,1,14))*100,"")</f>
      </c>
      <c r="N84">
        <f>IFERROR((MAX(OFFSET(高値!$E$6,IFERROR(MATCH(売分析!$C84,銘柄管理!$B$6:$B$305,0),MATCH(TEXT(売分析!$C84,"0"),銘柄管理!$B$6:$B$305,0))-1,0,1,25))-MIN(OFFSET(安値!$E$6,IFERROR(MATCH(売分析!$C84,銘柄管理!$B$6:$B$305,0),MATCH(TEXT(売分析!$C84,"0"),銘柄管理!$B$6:$B$305,0))-1,0,1,25)))/売分析!$E84*100,"")</f>
      </c>
      <c r="O84">
        <f>IFERROR((売分析!$F84-売分析!$G84)/売分析!$G84*100,"")</f>
      </c>
      <c r="P84">
        <f>IFERROR((売分析!$E84-MAX(OFFSET(高値!$E$6,IFERROR(MATCH(売分析!$C84,銘柄管理!$B$6:$B$305,0),MATCH(TEXT(売分析!$C84,"0"),銘柄管理!$B$6:$B$305,0))-1,0,1,25)))/MAX(OFFSET(高値!$E$6,IFERROR(MATCH(売分析!$C84,銘柄管理!$B$6:$B$305,0),MATCH(TEXT(売分析!$C84,"0"),銘柄管理!$B$6:$B$305,0))-1,0,1,25))*100,"")</f>
      </c>
      <c r="Q84">
        <f>IFERROR((売分析!$H84-売分析!$I84)/売分析!$F84*100,"")</f>
      </c>
      <c r="R84">
        <f>IFERROR(5-COUNTIF($M$3:$M$206,"&lt;"&amp;$M84)/COUNT($M$3:$M$206)-COUNTIF($Q$3:$Q$206,"&lt;"&amp;$Q84)/COUNT($Q$3:$Q$206)-COUNTIF($N$3:$N$206,"&lt;"&amp;$N84)/COUNT($N$3:$N$206)-COUNTIF(売分析!$Z$3:$Z$206,"&lt;"&amp;売分析!$Z84)/COUNT(売分析!$Z$3:$Z$206)-COUNTIF($O$3:$O$206,"&lt;"&amp;$O84)/COUNT($O$3:$O$206),"")</f>
      </c>
      <c r="S84">
        <f>IF(OR(K84="",K84="TOPX",M84="",R84=""),0,IF(AND(V811設定!$E$12=1,M84&lt;=V811設定!$E$3,N84&lt;=V811設定!$E$4,O84&lt;=V811設定!$E$5,売分析!$Z84&lt;=V811設定!$E$6,売分析!$Z84&gt;=V811設定!$E$7,P84&gt;=V811設定!$E$8,Q84&lt;=V811設定!$E$9),1,0))</f>
      </c>
      <c r="T84">
        <f>IF(K84="","",IF(S84=1,"○ゲート通過",IF(V811設定!$E$12&lt;&gt;1,"― 停止中",IF(M84&gt;V811設定!$E$3,"×値動きが荒い",IF(N84&gt;V811設定!$E$4,"×レンジが広い",IF(O84&gt;V811設定!$E$5,"×窓を開けて上昇",IF(売分析!$Z84&gt;V811設定!$E$6,"×前日に急騰",IF(売分析!$Z84&lt;V811設定!$E$7,"×前日に急落",IF(P84&lt;V811設定!$E$8,"×高値から離れすぎ",IF(Q84&gt;V811設定!$E$9,"×当日の値幅が大きい","×"))))))))))</f>
      </c>
    </row>
    <row r="85" spans="1:20">
      <c r="A85">
        <f>IF(分析!$C85="","",分析!$C85)</f>
      </c>
      <c r="B85">
        <f>IF(分析!$C85="","",分析!$D85)</f>
      </c>
      <c r="C85">
        <f>IFERROR((SUM(OFFSET(高値!$E$6,IFERROR(MATCH(分析!$C85,銘柄管理!$B$6:$B$305,0),MATCH(TEXT(分析!$C85,"0"),銘柄管理!$B$6:$B$305,0))-1,0,1,14))-SUM(OFFSET(安値!$E$6,IFERROR(MATCH(分析!$C85,銘柄管理!$B$6:$B$305,0),MATCH(TEXT(分析!$C85,"0"),銘柄管理!$B$6:$B$305,0))-1,0,1,14)))/SUM(OFFSET(終値!$E$6,IFERROR(MATCH(分析!$C85,銘柄管理!$B$6:$B$305,0),MATCH(TEXT(分析!$C85,"0"),銘柄管理!$B$6:$B$305,0))-1,0,1,14))*100,"")</f>
      </c>
      <c r="D85">
        <f>IFERROR((MAX(OFFSET(高値!$E$6,IFERROR(MATCH(分析!$C85,銘柄管理!$B$6:$B$305,0),MATCH(TEXT(分析!$C85,"0"),銘柄管理!$B$6:$B$305,0))-1,0,1,25))-MIN(OFFSET(安値!$E$6,IFERROR(MATCH(分析!$C85,銘柄管理!$B$6:$B$305,0),MATCH(TEXT(分析!$C85,"0"),銘柄管理!$B$6:$B$305,0))-1,0,1,25)))/分析!$E85*100,"")</f>
      </c>
      <c r="E85">
        <f>IFERROR((分析!$F85-分析!$G85)/分析!$G85*100,"")</f>
      </c>
      <c r="F85">
        <f>IFERROR((分析!$E85-MAX(OFFSET(高値!$E$6,IFERROR(MATCH(分析!$C85,銘柄管理!$B$6:$B$305,0),MATCH(TEXT(分析!$C85,"0"),銘柄管理!$B$6:$B$305,0))-1,0,1,25)))/MAX(OFFSET(高値!$E$6,IFERROR(MATCH(分析!$C85,銘柄管理!$B$6:$B$305,0),MATCH(TEXT(分析!$C85,"0"),銘柄管理!$B$6:$B$305,0))-1,0,1,25))*100,"")</f>
      </c>
      <c r="G85">
        <f>IFERROR((分析!$H85-分析!$I85)/分析!$F85*100,"")</f>
      </c>
      <c r="H85">
        <f>IFERROR(5-COUNTIF($C$3:$C$206,"&lt;"&amp;$C85)/COUNT($C$3:$C$206)-COUNTIF($G$3:$G$206,"&lt;"&amp;$G85)/COUNT($G$3:$G$206)-COUNTIF($D$3:$D$206,"&lt;"&amp;$D85)/COUNT($D$3:$D$206)-COUNTIF(分析!$Z$3:$Z$206,"&lt;"&amp;分析!$Z85)/COUNT(分析!$Z$3:$Z$206)-COUNTIF($E$3:$E$206,"&lt;"&amp;$E85)/COUNT($E$3:$E$206),"")</f>
      </c>
      <c r="I85">
        <f>IF(OR(A85="",A85="TOPX",C85="",H85=""),0,IF(AND(V811設定!$E$11=1,C85&lt;=V811設定!$E$3,D85&lt;=V811設定!$E$4,E85&lt;=V811設定!$E$5,分析!$Z85&lt;=V811設定!$E$6,分析!$Z85&gt;=V811設定!$E$7,F85&gt;=V811設定!$E$8,G85&lt;=V811設定!$E$9),1,0))</f>
      </c>
      <c r="J85">
        <f>IF(A85="","",IF(I85=1,"○ゲート通過",IF(V811設定!$E$11&lt;&gt;1,"― 停止中",IF(C85&gt;V811設定!$E$3,"×値動きが荒い",IF(D85&gt;V811設定!$E$4,"×レンジが広い",IF(E85&gt;V811設定!$E$5,"×窓を開けて上昇",IF(分析!$Z85&gt;V811設定!$E$6,"×前日に急騰",IF(分析!$Z85&lt;V811設定!$E$7,"×前日に急落",IF(F85&lt;V811設定!$E$8,"×高値から離れすぎ",IF(G85&gt;V811設定!$E$9,"×当日の値幅が大きい","×"))))))))))</f>
      </c>
      <c r="K85">
        <f>IF(売分析!$C85="","",売分析!$C85)</f>
      </c>
      <c r="L85">
        <f>IF(売分析!$C85="","",売分析!$D85)</f>
      </c>
      <c r="M85">
        <f>IFERROR((SUM(OFFSET(高値!$E$6,IFERROR(MATCH(売分析!$C85,銘柄管理!$B$6:$B$305,0),MATCH(TEXT(売分析!$C85,"0"),銘柄管理!$B$6:$B$305,0))-1,0,1,14))-SUM(OFFSET(安値!$E$6,IFERROR(MATCH(売分析!$C85,銘柄管理!$B$6:$B$305,0),MATCH(TEXT(売分析!$C85,"0"),銘柄管理!$B$6:$B$305,0))-1,0,1,14)))/SUM(OFFSET(終値!$E$6,IFERROR(MATCH(売分析!$C85,銘柄管理!$B$6:$B$305,0),MATCH(TEXT(売分析!$C85,"0"),銘柄管理!$B$6:$B$305,0))-1,0,1,14))*100,"")</f>
      </c>
      <c r="N85">
        <f>IFERROR((MAX(OFFSET(高値!$E$6,IFERROR(MATCH(売分析!$C85,銘柄管理!$B$6:$B$305,0),MATCH(TEXT(売分析!$C85,"0"),銘柄管理!$B$6:$B$305,0))-1,0,1,25))-MIN(OFFSET(安値!$E$6,IFERROR(MATCH(売分析!$C85,銘柄管理!$B$6:$B$305,0),MATCH(TEXT(売分析!$C85,"0"),銘柄管理!$B$6:$B$305,0))-1,0,1,25)))/売分析!$E85*100,"")</f>
      </c>
      <c r="O85">
        <f>IFERROR((売分析!$F85-売分析!$G85)/売分析!$G85*100,"")</f>
      </c>
      <c r="P85">
        <f>IFERROR((売分析!$E85-MAX(OFFSET(高値!$E$6,IFERROR(MATCH(売分析!$C85,銘柄管理!$B$6:$B$305,0),MATCH(TEXT(売分析!$C85,"0"),銘柄管理!$B$6:$B$305,0))-1,0,1,25)))/MAX(OFFSET(高値!$E$6,IFERROR(MATCH(売分析!$C85,銘柄管理!$B$6:$B$305,0),MATCH(TEXT(売分析!$C85,"0"),銘柄管理!$B$6:$B$305,0))-1,0,1,25))*100,"")</f>
      </c>
      <c r="Q85">
        <f>IFERROR((売分析!$H85-売分析!$I85)/売分析!$F85*100,"")</f>
      </c>
      <c r="R85">
        <f>IFERROR(5-COUNTIF($M$3:$M$206,"&lt;"&amp;$M85)/COUNT($M$3:$M$206)-COUNTIF($Q$3:$Q$206,"&lt;"&amp;$Q85)/COUNT($Q$3:$Q$206)-COUNTIF($N$3:$N$206,"&lt;"&amp;$N85)/COUNT($N$3:$N$206)-COUNTIF(売分析!$Z$3:$Z$206,"&lt;"&amp;売分析!$Z85)/COUNT(売分析!$Z$3:$Z$206)-COUNTIF($O$3:$O$206,"&lt;"&amp;$O85)/COUNT($O$3:$O$206),"")</f>
      </c>
      <c r="S85">
        <f>IF(OR(K85="",K85="TOPX",M85="",R85=""),0,IF(AND(V811設定!$E$12=1,M85&lt;=V811設定!$E$3,N85&lt;=V811設定!$E$4,O85&lt;=V811設定!$E$5,売分析!$Z85&lt;=V811設定!$E$6,売分析!$Z85&gt;=V811設定!$E$7,P85&gt;=V811設定!$E$8,Q85&lt;=V811設定!$E$9),1,0))</f>
      </c>
      <c r="T85">
        <f>IF(K85="","",IF(S85=1,"○ゲート通過",IF(V811設定!$E$12&lt;&gt;1,"― 停止中",IF(M85&gt;V811設定!$E$3,"×値動きが荒い",IF(N85&gt;V811設定!$E$4,"×レンジが広い",IF(O85&gt;V811設定!$E$5,"×窓を開けて上昇",IF(売分析!$Z85&gt;V811設定!$E$6,"×前日に急騰",IF(売分析!$Z85&lt;V811設定!$E$7,"×前日に急落",IF(P85&lt;V811設定!$E$8,"×高値から離れすぎ",IF(Q85&gt;V811設定!$E$9,"×当日の値幅が大きい","×"))))))))))</f>
      </c>
    </row>
    <row r="86" spans="1:20">
      <c r="A86">
        <f>IF(分析!$C86="","",分析!$C86)</f>
      </c>
      <c r="B86">
        <f>IF(分析!$C86="","",分析!$D86)</f>
      </c>
      <c r="C86">
        <f>IFERROR((SUM(OFFSET(高値!$E$6,IFERROR(MATCH(分析!$C86,銘柄管理!$B$6:$B$305,0),MATCH(TEXT(分析!$C86,"0"),銘柄管理!$B$6:$B$305,0))-1,0,1,14))-SUM(OFFSET(安値!$E$6,IFERROR(MATCH(分析!$C86,銘柄管理!$B$6:$B$305,0),MATCH(TEXT(分析!$C86,"0"),銘柄管理!$B$6:$B$305,0))-1,0,1,14)))/SUM(OFFSET(終値!$E$6,IFERROR(MATCH(分析!$C86,銘柄管理!$B$6:$B$305,0),MATCH(TEXT(分析!$C86,"0"),銘柄管理!$B$6:$B$305,0))-1,0,1,14))*100,"")</f>
      </c>
      <c r="D86">
        <f>IFERROR((MAX(OFFSET(高値!$E$6,IFERROR(MATCH(分析!$C86,銘柄管理!$B$6:$B$305,0),MATCH(TEXT(分析!$C86,"0"),銘柄管理!$B$6:$B$305,0))-1,0,1,25))-MIN(OFFSET(安値!$E$6,IFERROR(MATCH(分析!$C86,銘柄管理!$B$6:$B$305,0),MATCH(TEXT(分析!$C86,"0"),銘柄管理!$B$6:$B$305,0))-1,0,1,25)))/分析!$E86*100,"")</f>
      </c>
      <c r="E86">
        <f>IFERROR((分析!$F86-分析!$G86)/分析!$G86*100,"")</f>
      </c>
      <c r="F86">
        <f>IFERROR((分析!$E86-MAX(OFFSET(高値!$E$6,IFERROR(MATCH(分析!$C86,銘柄管理!$B$6:$B$305,0),MATCH(TEXT(分析!$C86,"0"),銘柄管理!$B$6:$B$305,0))-1,0,1,25)))/MAX(OFFSET(高値!$E$6,IFERROR(MATCH(分析!$C86,銘柄管理!$B$6:$B$305,0),MATCH(TEXT(分析!$C86,"0"),銘柄管理!$B$6:$B$305,0))-1,0,1,25))*100,"")</f>
      </c>
      <c r="G86">
        <f>IFERROR((分析!$H86-分析!$I86)/分析!$F86*100,"")</f>
      </c>
      <c r="H86">
        <f>IFERROR(5-COUNTIF($C$3:$C$206,"&lt;"&amp;$C86)/COUNT($C$3:$C$206)-COUNTIF($G$3:$G$206,"&lt;"&amp;$G86)/COUNT($G$3:$G$206)-COUNTIF($D$3:$D$206,"&lt;"&amp;$D86)/COUNT($D$3:$D$206)-COUNTIF(分析!$Z$3:$Z$206,"&lt;"&amp;分析!$Z86)/COUNT(分析!$Z$3:$Z$206)-COUNTIF($E$3:$E$206,"&lt;"&amp;$E86)/COUNT($E$3:$E$206),"")</f>
      </c>
      <c r="I86">
        <f>IF(OR(A86="",A86="TOPX",C86="",H86=""),0,IF(AND(V811設定!$E$11=1,C86&lt;=V811設定!$E$3,D86&lt;=V811設定!$E$4,E86&lt;=V811設定!$E$5,分析!$Z86&lt;=V811設定!$E$6,分析!$Z86&gt;=V811設定!$E$7,F86&gt;=V811設定!$E$8,G86&lt;=V811設定!$E$9),1,0))</f>
      </c>
      <c r="J86">
        <f>IF(A86="","",IF(I86=1,"○ゲート通過",IF(V811設定!$E$11&lt;&gt;1,"― 停止中",IF(C86&gt;V811設定!$E$3,"×値動きが荒い",IF(D86&gt;V811設定!$E$4,"×レンジが広い",IF(E86&gt;V811設定!$E$5,"×窓を開けて上昇",IF(分析!$Z86&gt;V811設定!$E$6,"×前日に急騰",IF(分析!$Z86&lt;V811設定!$E$7,"×前日に急落",IF(F86&lt;V811設定!$E$8,"×高値から離れすぎ",IF(G86&gt;V811設定!$E$9,"×当日の値幅が大きい","×"))))))))))</f>
      </c>
      <c r="K86">
        <f>IF(売分析!$C86="","",売分析!$C86)</f>
      </c>
      <c r="L86">
        <f>IF(売分析!$C86="","",売分析!$D86)</f>
      </c>
      <c r="M86">
        <f>IFERROR((SUM(OFFSET(高値!$E$6,IFERROR(MATCH(売分析!$C86,銘柄管理!$B$6:$B$305,0),MATCH(TEXT(売分析!$C86,"0"),銘柄管理!$B$6:$B$305,0))-1,0,1,14))-SUM(OFFSET(安値!$E$6,IFERROR(MATCH(売分析!$C86,銘柄管理!$B$6:$B$305,0),MATCH(TEXT(売分析!$C86,"0"),銘柄管理!$B$6:$B$305,0))-1,0,1,14)))/SUM(OFFSET(終値!$E$6,IFERROR(MATCH(売分析!$C86,銘柄管理!$B$6:$B$305,0),MATCH(TEXT(売分析!$C86,"0"),銘柄管理!$B$6:$B$305,0))-1,0,1,14))*100,"")</f>
      </c>
      <c r="N86">
        <f>IFERROR((MAX(OFFSET(高値!$E$6,IFERROR(MATCH(売分析!$C86,銘柄管理!$B$6:$B$305,0),MATCH(TEXT(売分析!$C86,"0"),銘柄管理!$B$6:$B$305,0))-1,0,1,25))-MIN(OFFSET(安値!$E$6,IFERROR(MATCH(売分析!$C86,銘柄管理!$B$6:$B$305,0),MATCH(TEXT(売分析!$C86,"0"),銘柄管理!$B$6:$B$305,0))-1,0,1,25)))/売分析!$E86*100,"")</f>
      </c>
      <c r="O86">
        <f>IFERROR((売分析!$F86-売分析!$G86)/売分析!$G86*100,"")</f>
      </c>
      <c r="P86">
        <f>IFERROR((売分析!$E86-MAX(OFFSET(高値!$E$6,IFERROR(MATCH(売分析!$C86,銘柄管理!$B$6:$B$305,0),MATCH(TEXT(売分析!$C86,"0"),銘柄管理!$B$6:$B$305,0))-1,0,1,25)))/MAX(OFFSET(高値!$E$6,IFERROR(MATCH(売分析!$C86,銘柄管理!$B$6:$B$305,0),MATCH(TEXT(売分析!$C86,"0"),銘柄管理!$B$6:$B$305,0))-1,0,1,25))*100,"")</f>
      </c>
      <c r="Q86">
        <f>IFERROR((売分析!$H86-売分析!$I86)/売分析!$F86*100,"")</f>
      </c>
      <c r="R86">
        <f>IFERROR(5-COUNTIF($M$3:$M$206,"&lt;"&amp;$M86)/COUNT($M$3:$M$206)-COUNTIF($Q$3:$Q$206,"&lt;"&amp;$Q86)/COUNT($Q$3:$Q$206)-COUNTIF($N$3:$N$206,"&lt;"&amp;$N86)/COUNT($N$3:$N$206)-COUNTIF(売分析!$Z$3:$Z$206,"&lt;"&amp;売分析!$Z86)/COUNT(売分析!$Z$3:$Z$206)-COUNTIF($O$3:$O$206,"&lt;"&amp;$O86)/COUNT($O$3:$O$206),"")</f>
      </c>
      <c r="S86">
        <f>IF(OR(K86="",K86="TOPX",M86="",R86=""),0,IF(AND(V811設定!$E$12=1,M86&lt;=V811設定!$E$3,N86&lt;=V811設定!$E$4,O86&lt;=V811設定!$E$5,売分析!$Z86&lt;=V811設定!$E$6,売分析!$Z86&gt;=V811設定!$E$7,P86&gt;=V811設定!$E$8,Q86&lt;=V811設定!$E$9),1,0))</f>
      </c>
      <c r="T86">
        <f>IF(K86="","",IF(S86=1,"○ゲート通過",IF(V811設定!$E$12&lt;&gt;1,"― 停止中",IF(M86&gt;V811設定!$E$3,"×値動きが荒い",IF(N86&gt;V811設定!$E$4,"×レンジが広い",IF(O86&gt;V811設定!$E$5,"×窓を開けて上昇",IF(売分析!$Z86&gt;V811設定!$E$6,"×前日に急騰",IF(売分析!$Z86&lt;V811設定!$E$7,"×前日に急落",IF(P86&lt;V811設定!$E$8,"×高値から離れすぎ",IF(Q86&gt;V811設定!$E$9,"×当日の値幅が大きい","×"))))))))))</f>
      </c>
    </row>
    <row r="87" spans="1:20">
      <c r="A87">
        <f>IF(分析!$C87="","",分析!$C87)</f>
      </c>
      <c r="B87">
        <f>IF(分析!$C87="","",分析!$D87)</f>
      </c>
      <c r="C87">
        <f>IFERROR((SUM(OFFSET(高値!$E$6,IFERROR(MATCH(分析!$C87,銘柄管理!$B$6:$B$305,0),MATCH(TEXT(分析!$C87,"0"),銘柄管理!$B$6:$B$305,0))-1,0,1,14))-SUM(OFFSET(安値!$E$6,IFERROR(MATCH(分析!$C87,銘柄管理!$B$6:$B$305,0),MATCH(TEXT(分析!$C87,"0"),銘柄管理!$B$6:$B$305,0))-1,0,1,14)))/SUM(OFFSET(終値!$E$6,IFERROR(MATCH(分析!$C87,銘柄管理!$B$6:$B$305,0),MATCH(TEXT(分析!$C87,"0"),銘柄管理!$B$6:$B$305,0))-1,0,1,14))*100,"")</f>
      </c>
      <c r="D87">
        <f>IFERROR((MAX(OFFSET(高値!$E$6,IFERROR(MATCH(分析!$C87,銘柄管理!$B$6:$B$305,0),MATCH(TEXT(分析!$C87,"0"),銘柄管理!$B$6:$B$305,0))-1,0,1,25))-MIN(OFFSET(安値!$E$6,IFERROR(MATCH(分析!$C87,銘柄管理!$B$6:$B$305,0),MATCH(TEXT(分析!$C87,"0"),銘柄管理!$B$6:$B$305,0))-1,0,1,25)))/分析!$E87*100,"")</f>
      </c>
      <c r="E87">
        <f>IFERROR((分析!$F87-分析!$G87)/分析!$G87*100,"")</f>
      </c>
      <c r="F87">
        <f>IFERROR((分析!$E87-MAX(OFFSET(高値!$E$6,IFERROR(MATCH(分析!$C87,銘柄管理!$B$6:$B$305,0),MATCH(TEXT(分析!$C87,"0"),銘柄管理!$B$6:$B$305,0))-1,0,1,25)))/MAX(OFFSET(高値!$E$6,IFERROR(MATCH(分析!$C87,銘柄管理!$B$6:$B$305,0),MATCH(TEXT(分析!$C87,"0"),銘柄管理!$B$6:$B$305,0))-1,0,1,25))*100,"")</f>
      </c>
      <c r="G87">
        <f>IFERROR((分析!$H87-分析!$I87)/分析!$F87*100,"")</f>
      </c>
      <c r="H87">
        <f>IFERROR(5-COUNTIF($C$3:$C$206,"&lt;"&amp;$C87)/COUNT($C$3:$C$206)-COUNTIF($G$3:$G$206,"&lt;"&amp;$G87)/COUNT($G$3:$G$206)-COUNTIF($D$3:$D$206,"&lt;"&amp;$D87)/COUNT($D$3:$D$206)-COUNTIF(分析!$Z$3:$Z$206,"&lt;"&amp;分析!$Z87)/COUNT(分析!$Z$3:$Z$206)-COUNTIF($E$3:$E$206,"&lt;"&amp;$E87)/COUNT($E$3:$E$206),"")</f>
      </c>
      <c r="I87">
        <f>IF(OR(A87="",A87="TOPX",C87="",H87=""),0,IF(AND(V811設定!$E$11=1,C87&lt;=V811設定!$E$3,D87&lt;=V811設定!$E$4,E87&lt;=V811設定!$E$5,分析!$Z87&lt;=V811設定!$E$6,分析!$Z87&gt;=V811設定!$E$7,F87&gt;=V811設定!$E$8,G87&lt;=V811設定!$E$9),1,0))</f>
      </c>
      <c r="J87">
        <f>IF(A87="","",IF(I87=1,"○ゲート通過",IF(V811設定!$E$11&lt;&gt;1,"― 停止中",IF(C87&gt;V811設定!$E$3,"×値動きが荒い",IF(D87&gt;V811設定!$E$4,"×レンジが広い",IF(E87&gt;V811設定!$E$5,"×窓を開けて上昇",IF(分析!$Z87&gt;V811設定!$E$6,"×前日に急騰",IF(分析!$Z87&lt;V811設定!$E$7,"×前日に急落",IF(F87&lt;V811設定!$E$8,"×高値から離れすぎ",IF(G87&gt;V811設定!$E$9,"×当日の値幅が大きい","×"))))))))))</f>
      </c>
      <c r="K87">
        <f>IF(売分析!$C87="","",売分析!$C87)</f>
      </c>
      <c r="L87">
        <f>IF(売分析!$C87="","",売分析!$D87)</f>
      </c>
      <c r="M87">
        <f>IFERROR((SUM(OFFSET(高値!$E$6,IFERROR(MATCH(売分析!$C87,銘柄管理!$B$6:$B$305,0),MATCH(TEXT(売分析!$C87,"0"),銘柄管理!$B$6:$B$305,0))-1,0,1,14))-SUM(OFFSET(安値!$E$6,IFERROR(MATCH(売分析!$C87,銘柄管理!$B$6:$B$305,0),MATCH(TEXT(売分析!$C87,"0"),銘柄管理!$B$6:$B$305,0))-1,0,1,14)))/SUM(OFFSET(終値!$E$6,IFERROR(MATCH(売分析!$C87,銘柄管理!$B$6:$B$305,0),MATCH(TEXT(売分析!$C87,"0"),銘柄管理!$B$6:$B$305,0))-1,0,1,14))*100,"")</f>
      </c>
      <c r="N87">
        <f>IFERROR((MAX(OFFSET(高値!$E$6,IFERROR(MATCH(売分析!$C87,銘柄管理!$B$6:$B$305,0),MATCH(TEXT(売分析!$C87,"0"),銘柄管理!$B$6:$B$305,0))-1,0,1,25))-MIN(OFFSET(安値!$E$6,IFERROR(MATCH(売分析!$C87,銘柄管理!$B$6:$B$305,0),MATCH(TEXT(売分析!$C87,"0"),銘柄管理!$B$6:$B$305,0))-1,0,1,25)))/売分析!$E87*100,"")</f>
      </c>
      <c r="O87">
        <f>IFERROR((売分析!$F87-売分析!$G87)/売分析!$G87*100,"")</f>
      </c>
      <c r="P87">
        <f>IFERROR((売分析!$E87-MAX(OFFSET(高値!$E$6,IFERROR(MATCH(売分析!$C87,銘柄管理!$B$6:$B$305,0),MATCH(TEXT(売分析!$C87,"0"),銘柄管理!$B$6:$B$305,0))-1,0,1,25)))/MAX(OFFSET(高値!$E$6,IFERROR(MATCH(売分析!$C87,銘柄管理!$B$6:$B$305,0),MATCH(TEXT(売分析!$C87,"0"),銘柄管理!$B$6:$B$305,0))-1,0,1,25))*100,"")</f>
      </c>
      <c r="Q87">
        <f>IFERROR((売分析!$H87-売分析!$I87)/売分析!$F87*100,"")</f>
      </c>
      <c r="R87">
        <f>IFERROR(5-COUNTIF($M$3:$M$206,"&lt;"&amp;$M87)/COUNT($M$3:$M$206)-COUNTIF($Q$3:$Q$206,"&lt;"&amp;$Q87)/COUNT($Q$3:$Q$206)-COUNTIF($N$3:$N$206,"&lt;"&amp;$N87)/COUNT($N$3:$N$206)-COUNTIF(売分析!$Z$3:$Z$206,"&lt;"&amp;売分析!$Z87)/COUNT(売分析!$Z$3:$Z$206)-COUNTIF($O$3:$O$206,"&lt;"&amp;$O87)/COUNT($O$3:$O$206),"")</f>
      </c>
      <c r="S87">
        <f>IF(OR(K87="",K87="TOPX",M87="",R87=""),0,IF(AND(V811設定!$E$12=1,M87&lt;=V811設定!$E$3,N87&lt;=V811設定!$E$4,O87&lt;=V811設定!$E$5,売分析!$Z87&lt;=V811設定!$E$6,売分析!$Z87&gt;=V811設定!$E$7,P87&gt;=V811設定!$E$8,Q87&lt;=V811設定!$E$9),1,0))</f>
      </c>
      <c r="T87">
        <f>IF(K87="","",IF(S87=1,"○ゲート通過",IF(V811設定!$E$12&lt;&gt;1,"― 停止中",IF(M87&gt;V811設定!$E$3,"×値動きが荒い",IF(N87&gt;V811設定!$E$4,"×レンジが広い",IF(O87&gt;V811設定!$E$5,"×窓を開けて上昇",IF(売分析!$Z87&gt;V811設定!$E$6,"×前日に急騰",IF(売分析!$Z87&lt;V811設定!$E$7,"×前日に急落",IF(P87&lt;V811設定!$E$8,"×高値から離れすぎ",IF(Q87&gt;V811設定!$E$9,"×当日の値幅が大きい","×"))))))))))</f>
      </c>
    </row>
    <row r="88" spans="1:20">
      <c r="A88">
        <f>IF(分析!$C88="","",分析!$C88)</f>
      </c>
      <c r="B88">
        <f>IF(分析!$C88="","",分析!$D88)</f>
      </c>
      <c r="C88">
        <f>IFERROR((SUM(OFFSET(高値!$E$6,IFERROR(MATCH(分析!$C88,銘柄管理!$B$6:$B$305,0),MATCH(TEXT(分析!$C88,"0"),銘柄管理!$B$6:$B$305,0))-1,0,1,14))-SUM(OFFSET(安値!$E$6,IFERROR(MATCH(分析!$C88,銘柄管理!$B$6:$B$305,0),MATCH(TEXT(分析!$C88,"0"),銘柄管理!$B$6:$B$305,0))-1,0,1,14)))/SUM(OFFSET(終値!$E$6,IFERROR(MATCH(分析!$C88,銘柄管理!$B$6:$B$305,0),MATCH(TEXT(分析!$C88,"0"),銘柄管理!$B$6:$B$305,0))-1,0,1,14))*100,"")</f>
      </c>
      <c r="D88">
        <f>IFERROR((MAX(OFFSET(高値!$E$6,IFERROR(MATCH(分析!$C88,銘柄管理!$B$6:$B$305,0),MATCH(TEXT(分析!$C88,"0"),銘柄管理!$B$6:$B$305,0))-1,0,1,25))-MIN(OFFSET(安値!$E$6,IFERROR(MATCH(分析!$C88,銘柄管理!$B$6:$B$305,0),MATCH(TEXT(分析!$C88,"0"),銘柄管理!$B$6:$B$305,0))-1,0,1,25)))/分析!$E88*100,"")</f>
      </c>
      <c r="E88">
        <f>IFERROR((分析!$F88-分析!$G88)/分析!$G88*100,"")</f>
      </c>
      <c r="F88">
        <f>IFERROR((分析!$E88-MAX(OFFSET(高値!$E$6,IFERROR(MATCH(分析!$C88,銘柄管理!$B$6:$B$305,0),MATCH(TEXT(分析!$C88,"0"),銘柄管理!$B$6:$B$305,0))-1,0,1,25)))/MAX(OFFSET(高値!$E$6,IFERROR(MATCH(分析!$C88,銘柄管理!$B$6:$B$305,0),MATCH(TEXT(分析!$C88,"0"),銘柄管理!$B$6:$B$305,0))-1,0,1,25))*100,"")</f>
      </c>
      <c r="G88">
        <f>IFERROR((分析!$H88-分析!$I88)/分析!$F88*100,"")</f>
      </c>
      <c r="H88">
        <f>IFERROR(5-COUNTIF($C$3:$C$206,"&lt;"&amp;$C88)/COUNT($C$3:$C$206)-COUNTIF($G$3:$G$206,"&lt;"&amp;$G88)/COUNT($G$3:$G$206)-COUNTIF($D$3:$D$206,"&lt;"&amp;$D88)/COUNT($D$3:$D$206)-COUNTIF(分析!$Z$3:$Z$206,"&lt;"&amp;分析!$Z88)/COUNT(分析!$Z$3:$Z$206)-COUNTIF($E$3:$E$206,"&lt;"&amp;$E88)/COUNT($E$3:$E$206),"")</f>
      </c>
      <c r="I88">
        <f>IF(OR(A88="",A88="TOPX",C88="",H88=""),0,IF(AND(V811設定!$E$11=1,C88&lt;=V811設定!$E$3,D88&lt;=V811設定!$E$4,E88&lt;=V811設定!$E$5,分析!$Z88&lt;=V811設定!$E$6,分析!$Z88&gt;=V811設定!$E$7,F88&gt;=V811設定!$E$8,G88&lt;=V811設定!$E$9),1,0))</f>
      </c>
      <c r="J88">
        <f>IF(A88="","",IF(I88=1,"○ゲート通過",IF(V811設定!$E$11&lt;&gt;1,"― 停止中",IF(C88&gt;V811設定!$E$3,"×値動きが荒い",IF(D88&gt;V811設定!$E$4,"×レンジが広い",IF(E88&gt;V811設定!$E$5,"×窓を開けて上昇",IF(分析!$Z88&gt;V811設定!$E$6,"×前日に急騰",IF(分析!$Z88&lt;V811設定!$E$7,"×前日に急落",IF(F88&lt;V811設定!$E$8,"×高値から離れすぎ",IF(G88&gt;V811設定!$E$9,"×当日の値幅が大きい","×"))))))))))</f>
      </c>
      <c r="K88">
        <f>IF(売分析!$C88="","",売分析!$C88)</f>
      </c>
      <c r="L88">
        <f>IF(売分析!$C88="","",売分析!$D88)</f>
      </c>
      <c r="M88">
        <f>IFERROR((SUM(OFFSET(高値!$E$6,IFERROR(MATCH(売分析!$C88,銘柄管理!$B$6:$B$305,0),MATCH(TEXT(売分析!$C88,"0"),銘柄管理!$B$6:$B$305,0))-1,0,1,14))-SUM(OFFSET(安値!$E$6,IFERROR(MATCH(売分析!$C88,銘柄管理!$B$6:$B$305,0),MATCH(TEXT(売分析!$C88,"0"),銘柄管理!$B$6:$B$305,0))-1,0,1,14)))/SUM(OFFSET(終値!$E$6,IFERROR(MATCH(売分析!$C88,銘柄管理!$B$6:$B$305,0),MATCH(TEXT(売分析!$C88,"0"),銘柄管理!$B$6:$B$305,0))-1,0,1,14))*100,"")</f>
      </c>
      <c r="N88">
        <f>IFERROR((MAX(OFFSET(高値!$E$6,IFERROR(MATCH(売分析!$C88,銘柄管理!$B$6:$B$305,0),MATCH(TEXT(売分析!$C88,"0"),銘柄管理!$B$6:$B$305,0))-1,0,1,25))-MIN(OFFSET(安値!$E$6,IFERROR(MATCH(売分析!$C88,銘柄管理!$B$6:$B$305,0),MATCH(TEXT(売分析!$C88,"0"),銘柄管理!$B$6:$B$305,0))-1,0,1,25)))/売分析!$E88*100,"")</f>
      </c>
      <c r="O88">
        <f>IFERROR((売分析!$F88-売分析!$G88)/売分析!$G88*100,"")</f>
      </c>
      <c r="P88">
        <f>IFERROR((売分析!$E88-MAX(OFFSET(高値!$E$6,IFERROR(MATCH(売分析!$C88,銘柄管理!$B$6:$B$305,0),MATCH(TEXT(売分析!$C88,"0"),銘柄管理!$B$6:$B$305,0))-1,0,1,25)))/MAX(OFFSET(高値!$E$6,IFERROR(MATCH(売分析!$C88,銘柄管理!$B$6:$B$305,0),MATCH(TEXT(売分析!$C88,"0"),銘柄管理!$B$6:$B$305,0))-1,0,1,25))*100,"")</f>
      </c>
      <c r="Q88">
        <f>IFERROR((売分析!$H88-売分析!$I88)/売分析!$F88*100,"")</f>
      </c>
      <c r="R88">
        <f>IFERROR(5-COUNTIF($M$3:$M$206,"&lt;"&amp;$M88)/COUNT($M$3:$M$206)-COUNTIF($Q$3:$Q$206,"&lt;"&amp;$Q88)/COUNT($Q$3:$Q$206)-COUNTIF($N$3:$N$206,"&lt;"&amp;$N88)/COUNT($N$3:$N$206)-COUNTIF(売分析!$Z$3:$Z$206,"&lt;"&amp;売分析!$Z88)/COUNT(売分析!$Z$3:$Z$206)-COUNTIF($O$3:$O$206,"&lt;"&amp;$O88)/COUNT($O$3:$O$206),"")</f>
      </c>
      <c r="S88">
        <f>IF(OR(K88="",K88="TOPX",M88="",R88=""),0,IF(AND(V811設定!$E$12=1,M88&lt;=V811設定!$E$3,N88&lt;=V811設定!$E$4,O88&lt;=V811設定!$E$5,売分析!$Z88&lt;=V811設定!$E$6,売分析!$Z88&gt;=V811設定!$E$7,P88&gt;=V811設定!$E$8,Q88&lt;=V811設定!$E$9),1,0))</f>
      </c>
      <c r="T88">
        <f>IF(K88="","",IF(S88=1,"○ゲート通過",IF(V811設定!$E$12&lt;&gt;1,"― 停止中",IF(M88&gt;V811設定!$E$3,"×値動きが荒い",IF(N88&gt;V811設定!$E$4,"×レンジが広い",IF(O88&gt;V811設定!$E$5,"×窓を開けて上昇",IF(売分析!$Z88&gt;V811設定!$E$6,"×前日に急騰",IF(売分析!$Z88&lt;V811設定!$E$7,"×前日に急落",IF(P88&lt;V811設定!$E$8,"×高値から離れすぎ",IF(Q88&gt;V811設定!$E$9,"×当日の値幅が大きい","×"))))))))))</f>
      </c>
    </row>
    <row r="89" spans="1:20">
      <c r="A89">
        <f>IF(分析!$C89="","",分析!$C89)</f>
      </c>
      <c r="B89">
        <f>IF(分析!$C89="","",分析!$D89)</f>
      </c>
      <c r="C89">
        <f>IFERROR((SUM(OFFSET(高値!$E$6,IFERROR(MATCH(分析!$C89,銘柄管理!$B$6:$B$305,0),MATCH(TEXT(分析!$C89,"0"),銘柄管理!$B$6:$B$305,0))-1,0,1,14))-SUM(OFFSET(安値!$E$6,IFERROR(MATCH(分析!$C89,銘柄管理!$B$6:$B$305,0),MATCH(TEXT(分析!$C89,"0"),銘柄管理!$B$6:$B$305,0))-1,0,1,14)))/SUM(OFFSET(終値!$E$6,IFERROR(MATCH(分析!$C89,銘柄管理!$B$6:$B$305,0),MATCH(TEXT(分析!$C89,"0"),銘柄管理!$B$6:$B$305,0))-1,0,1,14))*100,"")</f>
      </c>
      <c r="D89">
        <f>IFERROR((MAX(OFFSET(高値!$E$6,IFERROR(MATCH(分析!$C89,銘柄管理!$B$6:$B$305,0),MATCH(TEXT(分析!$C89,"0"),銘柄管理!$B$6:$B$305,0))-1,0,1,25))-MIN(OFFSET(安値!$E$6,IFERROR(MATCH(分析!$C89,銘柄管理!$B$6:$B$305,0),MATCH(TEXT(分析!$C89,"0"),銘柄管理!$B$6:$B$305,0))-1,0,1,25)))/分析!$E89*100,"")</f>
      </c>
      <c r="E89">
        <f>IFERROR((分析!$F89-分析!$G89)/分析!$G89*100,"")</f>
      </c>
      <c r="F89">
        <f>IFERROR((分析!$E89-MAX(OFFSET(高値!$E$6,IFERROR(MATCH(分析!$C89,銘柄管理!$B$6:$B$305,0),MATCH(TEXT(分析!$C89,"0"),銘柄管理!$B$6:$B$305,0))-1,0,1,25)))/MAX(OFFSET(高値!$E$6,IFERROR(MATCH(分析!$C89,銘柄管理!$B$6:$B$305,0),MATCH(TEXT(分析!$C89,"0"),銘柄管理!$B$6:$B$305,0))-1,0,1,25))*100,"")</f>
      </c>
      <c r="G89">
        <f>IFERROR((分析!$H89-分析!$I89)/分析!$F89*100,"")</f>
      </c>
      <c r="H89">
        <f>IFERROR(5-COUNTIF($C$3:$C$206,"&lt;"&amp;$C89)/COUNT($C$3:$C$206)-COUNTIF($G$3:$G$206,"&lt;"&amp;$G89)/COUNT($G$3:$G$206)-COUNTIF($D$3:$D$206,"&lt;"&amp;$D89)/COUNT($D$3:$D$206)-COUNTIF(分析!$Z$3:$Z$206,"&lt;"&amp;分析!$Z89)/COUNT(分析!$Z$3:$Z$206)-COUNTIF($E$3:$E$206,"&lt;"&amp;$E89)/COUNT($E$3:$E$206),"")</f>
      </c>
      <c r="I89">
        <f>IF(OR(A89="",A89="TOPX",C89="",H89=""),0,IF(AND(V811設定!$E$11=1,C89&lt;=V811設定!$E$3,D89&lt;=V811設定!$E$4,E89&lt;=V811設定!$E$5,分析!$Z89&lt;=V811設定!$E$6,分析!$Z89&gt;=V811設定!$E$7,F89&gt;=V811設定!$E$8,G89&lt;=V811設定!$E$9),1,0))</f>
      </c>
      <c r="J89">
        <f>IF(A89="","",IF(I89=1,"○ゲート通過",IF(V811設定!$E$11&lt;&gt;1,"― 停止中",IF(C89&gt;V811設定!$E$3,"×値動きが荒い",IF(D89&gt;V811設定!$E$4,"×レンジが広い",IF(E89&gt;V811設定!$E$5,"×窓を開けて上昇",IF(分析!$Z89&gt;V811設定!$E$6,"×前日に急騰",IF(分析!$Z89&lt;V811設定!$E$7,"×前日に急落",IF(F89&lt;V811設定!$E$8,"×高値から離れすぎ",IF(G89&gt;V811設定!$E$9,"×当日の値幅が大きい","×"))))))))))</f>
      </c>
      <c r="K89">
        <f>IF(売分析!$C89="","",売分析!$C89)</f>
      </c>
      <c r="L89">
        <f>IF(売分析!$C89="","",売分析!$D89)</f>
      </c>
      <c r="M89">
        <f>IFERROR((SUM(OFFSET(高値!$E$6,IFERROR(MATCH(売分析!$C89,銘柄管理!$B$6:$B$305,0),MATCH(TEXT(売分析!$C89,"0"),銘柄管理!$B$6:$B$305,0))-1,0,1,14))-SUM(OFFSET(安値!$E$6,IFERROR(MATCH(売分析!$C89,銘柄管理!$B$6:$B$305,0),MATCH(TEXT(売分析!$C89,"0"),銘柄管理!$B$6:$B$305,0))-1,0,1,14)))/SUM(OFFSET(終値!$E$6,IFERROR(MATCH(売分析!$C89,銘柄管理!$B$6:$B$305,0),MATCH(TEXT(売分析!$C89,"0"),銘柄管理!$B$6:$B$305,0))-1,0,1,14))*100,"")</f>
      </c>
      <c r="N89">
        <f>IFERROR((MAX(OFFSET(高値!$E$6,IFERROR(MATCH(売分析!$C89,銘柄管理!$B$6:$B$305,0),MATCH(TEXT(売分析!$C89,"0"),銘柄管理!$B$6:$B$305,0))-1,0,1,25))-MIN(OFFSET(安値!$E$6,IFERROR(MATCH(売分析!$C89,銘柄管理!$B$6:$B$305,0),MATCH(TEXT(売分析!$C89,"0"),銘柄管理!$B$6:$B$305,0))-1,0,1,25)))/売分析!$E89*100,"")</f>
      </c>
      <c r="O89">
        <f>IFERROR((売分析!$F89-売分析!$G89)/売分析!$G89*100,"")</f>
      </c>
      <c r="P89">
        <f>IFERROR((売分析!$E89-MAX(OFFSET(高値!$E$6,IFERROR(MATCH(売分析!$C89,銘柄管理!$B$6:$B$305,0),MATCH(TEXT(売分析!$C89,"0"),銘柄管理!$B$6:$B$305,0))-1,0,1,25)))/MAX(OFFSET(高値!$E$6,IFERROR(MATCH(売分析!$C89,銘柄管理!$B$6:$B$305,0),MATCH(TEXT(売分析!$C89,"0"),銘柄管理!$B$6:$B$305,0))-1,0,1,25))*100,"")</f>
      </c>
      <c r="Q89">
        <f>IFERROR((売分析!$H89-売分析!$I89)/売分析!$F89*100,"")</f>
      </c>
      <c r="R89">
        <f>IFERROR(5-COUNTIF($M$3:$M$206,"&lt;"&amp;$M89)/COUNT($M$3:$M$206)-COUNTIF($Q$3:$Q$206,"&lt;"&amp;$Q89)/COUNT($Q$3:$Q$206)-COUNTIF($N$3:$N$206,"&lt;"&amp;$N89)/COUNT($N$3:$N$206)-COUNTIF(売分析!$Z$3:$Z$206,"&lt;"&amp;売分析!$Z89)/COUNT(売分析!$Z$3:$Z$206)-COUNTIF($O$3:$O$206,"&lt;"&amp;$O89)/COUNT($O$3:$O$206),"")</f>
      </c>
      <c r="S89">
        <f>IF(OR(K89="",K89="TOPX",M89="",R89=""),0,IF(AND(V811設定!$E$12=1,M89&lt;=V811設定!$E$3,N89&lt;=V811設定!$E$4,O89&lt;=V811設定!$E$5,売分析!$Z89&lt;=V811設定!$E$6,売分析!$Z89&gt;=V811設定!$E$7,P89&gt;=V811設定!$E$8,Q89&lt;=V811設定!$E$9),1,0))</f>
      </c>
      <c r="T89">
        <f>IF(K89="","",IF(S89=1,"○ゲート通過",IF(V811設定!$E$12&lt;&gt;1,"― 停止中",IF(M89&gt;V811設定!$E$3,"×値動きが荒い",IF(N89&gt;V811設定!$E$4,"×レンジが広い",IF(O89&gt;V811設定!$E$5,"×窓を開けて上昇",IF(売分析!$Z89&gt;V811設定!$E$6,"×前日に急騰",IF(売分析!$Z89&lt;V811設定!$E$7,"×前日に急落",IF(P89&lt;V811設定!$E$8,"×高値から離れすぎ",IF(Q89&gt;V811設定!$E$9,"×当日の値幅が大きい","×"))))))))))</f>
      </c>
    </row>
    <row r="90" spans="1:20">
      <c r="A90">
        <f>IF(分析!$C90="","",分析!$C90)</f>
      </c>
      <c r="B90">
        <f>IF(分析!$C90="","",分析!$D90)</f>
      </c>
      <c r="C90">
        <f>IFERROR((SUM(OFFSET(高値!$E$6,IFERROR(MATCH(分析!$C90,銘柄管理!$B$6:$B$305,0),MATCH(TEXT(分析!$C90,"0"),銘柄管理!$B$6:$B$305,0))-1,0,1,14))-SUM(OFFSET(安値!$E$6,IFERROR(MATCH(分析!$C90,銘柄管理!$B$6:$B$305,0),MATCH(TEXT(分析!$C90,"0"),銘柄管理!$B$6:$B$305,0))-1,0,1,14)))/SUM(OFFSET(終値!$E$6,IFERROR(MATCH(分析!$C90,銘柄管理!$B$6:$B$305,0),MATCH(TEXT(分析!$C90,"0"),銘柄管理!$B$6:$B$305,0))-1,0,1,14))*100,"")</f>
      </c>
      <c r="D90">
        <f>IFERROR((MAX(OFFSET(高値!$E$6,IFERROR(MATCH(分析!$C90,銘柄管理!$B$6:$B$305,0),MATCH(TEXT(分析!$C90,"0"),銘柄管理!$B$6:$B$305,0))-1,0,1,25))-MIN(OFFSET(安値!$E$6,IFERROR(MATCH(分析!$C90,銘柄管理!$B$6:$B$305,0),MATCH(TEXT(分析!$C90,"0"),銘柄管理!$B$6:$B$305,0))-1,0,1,25)))/分析!$E90*100,"")</f>
      </c>
      <c r="E90">
        <f>IFERROR((分析!$F90-分析!$G90)/分析!$G90*100,"")</f>
      </c>
      <c r="F90">
        <f>IFERROR((分析!$E90-MAX(OFFSET(高値!$E$6,IFERROR(MATCH(分析!$C90,銘柄管理!$B$6:$B$305,0),MATCH(TEXT(分析!$C90,"0"),銘柄管理!$B$6:$B$305,0))-1,0,1,25)))/MAX(OFFSET(高値!$E$6,IFERROR(MATCH(分析!$C90,銘柄管理!$B$6:$B$305,0),MATCH(TEXT(分析!$C90,"0"),銘柄管理!$B$6:$B$305,0))-1,0,1,25))*100,"")</f>
      </c>
      <c r="G90">
        <f>IFERROR((分析!$H90-分析!$I90)/分析!$F90*100,"")</f>
      </c>
      <c r="H90">
        <f>IFERROR(5-COUNTIF($C$3:$C$206,"&lt;"&amp;$C90)/COUNT($C$3:$C$206)-COUNTIF($G$3:$G$206,"&lt;"&amp;$G90)/COUNT($G$3:$G$206)-COUNTIF($D$3:$D$206,"&lt;"&amp;$D90)/COUNT($D$3:$D$206)-COUNTIF(分析!$Z$3:$Z$206,"&lt;"&amp;分析!$Z90)/COUNT(分析!$Z$3:$Z$206)-COUNTIF($E$3:$E$206,"&lt;"&amp;$E90)/COUNT($E$3:$E$206),"")</f>
      </c>
      <c r="I90">
        <f>IF(OR(A90="",A90="TOPX",C90="",H90=""),0,IF(AND(V811設定!$E$11=1,C90&lt;=V811設定!$E$3,D90&lt;=V811設定!$E$4,E90&lt;=V811設定!$E$5,分析!$Z90&lt;=V811設定!$E$6,分析!$Z90&gt;=V811設定!$E$7,F90&gt;=V811設定!$E$8,G90&lt;=V811設定!$E$9),1,0))</f>
      </c>
      <c r="J90">
        <f>IF(A90="","",IF(I90=1,"○ゲート通過",IF(V811設定!$E$11&lt;&gt;1,"― 停止中",IF(C90&gt;V811設定!$E$3,"×値動きが荒い",IF(D90&gt;V811設定!$E$4,"×レンジが広い",IF(E90&gt;V811設定!$E$5,"×窓を開けて上昇",IF(分析!$Z90&gt;V811設定!$E$6,"×前日に急騰",IF(分析!$Z90&lt;V811設定!$E$7,"×前日に急落",IF(F90&lt;V811設定!$E$8,"×高値から離れすぎ",IF(G90&gt;V811設定!$E$9,"×当日の値幅が大きい","×"))))))))))</f>
      </c>
      <c r="K90">
        <f>IF(売分析!$C90="","",売分析!$C90)</f>
      </c>
      <c r="L90">
        <f>IF(売分析!$C90="","",売分析!$D90)</f>
      </c>
      <c r="M90">
        <f>IFERROR((SUM(OFFSET(高値!$E$6,IFERROR(MATCH(売分析!$C90,銘柄管理!$B$6:$B$305,0),MATCH(TEXT(売分析!$C90,"0"),銘柄管理!$B$6:$B$305,0))-1,0,1,14))-SUM(OFFSET(安値!$E$6,IFERROR(MATCH(売分析!$C90,銘柄管理!$B$6:$B$305,0),MATCH(TEXT(売分析!$C90,"0"),銘柄管理!$B$6:$B$305,0))-1,0,1,14)))/SUM(OFFSET(終値!$E$6,IFERROR(MATCH(売分析!$C90,銘柄管理!$B$6:$B$305,0),MATCH(TEXT(売分析!$C90,"0"),銘柄管理!$B$6:$B$305,0))-1,0,1,14))*100,"")</f>
      </c>
      <c r="N90">
        <f>IFERROR((MAX(OFFSET(高値!$E$6,IFERROR(MATCH(売分析!$C90,銘柄管理!$B$6:$B$305,0),MATCH(TEXT(売分析!$C90,"0"),銘柄管理!$B$6:$B$305,0))-1,0,1,25))-MIN(OFFSET(安値!$E$6,IFERROR(MATCH(売分析!$C90,銘柄管理!$B$6:$B$305,0),MATCH(TEXT(売分析!$C90,"0"),銘柄管理!$B$6:$B$305,0))-1,0,1,25)))/売分析!$E90*100,"")</f>
      </c>
      <c r="O90">
        <f>IFERROR((売分析!$F90-売分析!$G90)/売分析!$G90*100,"")</f>
      </c>
      <c r="P90">
        <f>IFERROR((売分析!$E90-MAX(OFFSET(高値!$E$6,IFERROR(MATCH(売分析!$C90,銘柄管理!$B$6:$B$305,0),MATCH(TEXT(売分析!$C90,"0"),銘柄管理!$B$6:$B$305,0))-1,0,1,25)))/MAX(OFFSET(高値!$E$6,IFERROR(MATCH(売分析!$C90,銘柄管理!$B$6:$B$305,0),MATCH(TEXT(売分析!$C90,"0"),銘柄管理!$B$6:$B$305,0))-1,0,1,25))*100,"")</f>
      </c>
      <c r="Q90">
        <f>IFERROR((売分析!$H90-売分析!$I90)/売分析!$F90*100,"")</f>
      </c>
      <c r="R90">
        <f>IFERROR(5-COUNTIF($M$3:$M$206,"&lt;"&amp;$M90)/COUNT($M$3:$M$206)-COUNTIF($Q$3:$Q$206,"&lt;"&amp;$Q90)/COUNT($Q$3:$Q$206)-COUNTIF($N$3:$N$206,"&lt;"&amp;$N90)/COUNT($N$3:$N$206)-COUNTIF(売分析!$Z$3:$Z$206,"&lt;"&amp;売分析!$Z90)/COUNT(売分析!$Z$3:$Z$206)-COUNTIF($O$3:$O$206,"&lt;"&amp;$O90)/COUNT($O$3:$O$206),"")</f>
      </c>
      <c r="S90">
        <f>IF(OR(K90="",K90="TOPX",M90="",R90=""),0,IF(AND(V811設定!$E$12=1,M90&lt;=V811設定!$E$3,N90&lt;=V811設定!$E$4,O90&lt;=V811設定!$E$5,売分析!$Z90&lt;=V811設定!$E$6,売分析!$Z90&gt;=V811設定!$E$7,P90&gt;=V811設定!$E$8,Q90&lt;=V811設定!$E$9),1,0))</f>
      </c>
      <c r="T90">
        <f>IF(K90="","",IF(S90=1,"○ゲート通過",IF(V811設定!$E$12&lt;&gt;1,"― 停止中",IF(M90&gt;V811設定!$E$3,"×値動きが荒い",IF(N90&gt;V811設定!$E$4,"×レンジが広い",IF(O90&gt;V811設定!$E$5,"×窓を開けて上昇",IF(売分析!$Z90&gt;V811設定!$E$6,"×前日に急騰",IF(売分析!$Z90&lt;V811設定!$E$7,"×前日に急落",IF(P90&lt;V811設定!$E$8,"×高値から離れすぎ",IF(Q90&gt;V811設定!$E$9,"×当日の値幅が大きい","×"))))))))))</f>
      </c>
    </row>
    <row r="91" spans="1:20">
      <c r="A91">
        <f>IF(分析!$C91="","",分析!$C91)</f>
      </c>
      <c r="B91">
        <f>IF(分析!$C91="","",分析!$D91)</f>
      </c>
      <c r="C91">
        <f>IFERROR((SUM(OFFSET(高値!$E$6,IFERROR(MATCH(分析!$C91,銘柄管理!$B$6:$B$305,0),MATCH(TEXT(分析!$C91,"0"),銘柄管理!$B$6:$B$305,0))-1,0,1,14))-SUM(OFFSET(安値!$E$6,IFERROR(MATCH(分析!$C91,銘柄管理!$B$6:$B$305,0),MATCH(TEXT(分析!$C91,"0"),銘柄管理!$B$6:$B$305,0))-1,0,1,14)))/SUM(OFFSET(終値!$E$6,IFERROR(MATCH(分析!$C91,銘柄管理!$B$6:$B$305,0),MATCH(TEXT(分析!$C91,"0"),銘柄管理!$B$6:$B$305,0))-1,0,1,14))*100,"")</f>
      </c>
      <c r="D91">
        <f>IFERROR((MAX(OFFSET(高値!$E$6,IFERROR(MATCH(分析!$C91,銘柄管理!$B$6:$B$305,0),MATCH(TEXT(分析!$C91,"0"),銘柄管理!$B$6:$B$305,0))-1,0,1,25))-MIN(OFFSET(安値!$E$6,IFERROR(MATCH(分析!$C91,銘柄管理!$B$6:$B$305,0),MATCH(TEXT(分析!$C91,"0"),銘柄管理!$B$6:$B$305,0))-1,0,1,25)))/分析!$E91*100,"")</f>
      </c>
      <c r="E91">
        <f>IFERROR((分析!$F91-分析!$G91)/分析!$G91*100,"")</f>
      </c>
      <c r="F91">
        <f>IFERROR((分析!$E91-MAX(OFFSET(高値!$E$6,IFERROR(MATCH(分析!$C91,銘柄管理!$B$6:$B$305,0),MATCH(TEXT(分析!$C91,"0"),銘柄管理!$B$6:$B$305,0))-1,0,1,25)))/MAX(OFFSET(高値!$E$6,IFERROR(MATCH(分析!$C91,銘柄管理!$B$6:$B$305,0),MATCH(TEXT(分析!$C91,"0"),銘柄管理!$B$6:$B$305,0))-1,0,1,25))*100,"")</f>
      </c>
      <c r="G91">
        <f>IFERROR((分析!$H91-分析!$I91)/分析!$F91*100,"")</f>
      </c>
      <c r="H91">
        <f>IFERROR(5-COUNTIF($C$3:$C$206,"&lt;"&amp;$C91)/COUNT($C$3:$C$206)-COUNTIF($G$3:$G$206,"&lt;"&amp;$G91)/COUNT($G$3:$G$206)-COUNTIF($D$3:$D$206,"&lt;"&amp;$D91)/COUNT($D$3:$D$206)-COUNTIF(分析!$Z$3:$Z$206,"&lt;"&amp;分析!$Z91)/COUNT(分析!$Z$3:$Z$206)-COUNTIF($E$3:$E$206,"&lt;"&amp;$E91)/COUNT($E$3:$E$206),"")</f>
      </c>
      <c r="I91">
        <f>IF(OR(A91="",A91="TOPX",C91="",H91=""),0,IF(AND(V811設定!$E$11=1,C91&lt;=V811設定!$E$3,D91&lt;=V811設定!$E$4,E91&lt;=V811設定!$E$5,分析!$Z91&lt;=V811設定!$E$6,分析!$Z91&gt;=V811設定!$E$7,F91&gt;=V811設定!$E$8,G91&lt;=V811設定!$E$9),1,0))</f>
      </c>
      <c r="J91">
        <f>IF(A91="","",IF(I91=1,"○ゲート通過",IF(V811設定!$E$11&lt;&gt;1,"― 停止中",IF(C91&gt;V811設定!$E$3,"×値動きが荒い",IF(D91&gt;V811設定!$E$4,"×レンジが広い",IF(E91&gt;V811設定!$E$5,"×窓を開けて上昇",IF(分析!$Z91&gt;V811設定!$E$6,"×前日に急騰",IF(分析!$Z91&lt;V811設定!$E$7,"×前日に急落",IF(F91&lt;V811設定!$E$8,"×高値から離れすぎ",IF(G91&gt;V811設定!$E$9,"×当日の値幅が大きい","×"))))))))))</f>
      </c>
      <c r="K91">
        <f>IF(売分析!$C91="","",売分析!$C91)</f>
      </c>
      <c r="L91">
        <f>IF(売分析!$C91="","",売分析!$D91)</f>
      </c>
      <c r="M91">
        <f>IFERROR((SUM(OFFSET(高値!$E$6,IFERROR(MATCH(売分析!$C91,銘柄管理!$B$6:$B$305,0),MATCH(TEXT(売分析!$C91,"0"),銘柄管理!$B$6:$B$305,0))-1,0,1,14))-SUM(OFFSET(安値!$E$6,IFERROR(MATCH(売分析!$C91,銘柄管理!$B$6:$B$305,0),MATCH(TEXT(売分析!$C91,"0"),銘柄管理!$B$6:$B$305,0))-1,0,1,14)))/SUM(OFFSET(終値!$E$6,IFERROR(MATCH(売分析!$C91,銘柄管理!$B$6:$B$305,0),MATCH(TEXT(売分析!$C91,"0"),銘柄管理!$B$6:$B$305,0))-1,0,1,14))*100,"")</f>
      </c>
      <c r="N91">
        <f>IFERROR((MAX(OFFSET(高値!$E$6,IFERROR(MATCH(売分析!$C91,銘柄管理!$B$6:$B$305,0),MATCH(TEXT(売分析!$C91,"0"),銘柄管理!$B$6:$B$305,0))-1,0,1,25))-MIN(OFFSET(安値!$E$6,IFERROR(MATCH(売分析!$C91,銘柄管理!$B$6:$B$305,0),MATCH(TEXT(売分析!$C91,"0"),銘柄管理!$B$6:$B$305,0))-1,0,1,25)))/売分析!$E91*100,"")</f>
      </c>
      <c r="O91">
        <f>IFERROR((売分析!$F91-売分析!$G91)/売分析!$G91*100,"")</f>
      </c>
      <c r="P91">
        <f>IFERROR((売分析!$E91-MAX(OFFSET(高値!$E$6,IFERROR(MATCH(売分析!$C91,銘柄管理!$B$6:$B$305,0),MATCH(TEXT(売分析!$C91,"0"),銘柄管理!$B$6:$B$305,0))-1,0,1,25)))/MAX(OFFSET(高値!$E$6,IFERROR(MATCH(売分析!$C91,銘柄管理!$B$6:$B$305,0),MATCH(TEXT(売分析!$C91,"0"),銘柄管理!$B$6:$B$305,0))-1,0,1,25))*100,"")</f>
      </c>
      <c r="Q91">
        <f>IFERROR((売分析!$H91-売分析!$I91)/売分析!$F91*100,"")</f>
      </c>
      <c r="R91">
        <f>IFERROR(5-COUNTIF($M$3:$M$206,"&lt;"&amp;$M91)/COUNT($M$3:$M$206)-COUNTIF($Q$3:$Q$206,"&lt;"&amp;$Q91)/COUNT($Q$3:$Q$206)-COUNTIF($N$3:$N$206,"&lt;"&amp;$N91)/COUNT($N$3:$N$206)-COUNTIF(売分析!$Z$3:$Z$206,"&lt;"&amp;売分析!$Z91)/COUNT(売分析!$Z$3:$Z$206)-COUNTIF($O$3:$O$206,"&lt;"&amp;$O91)/COUNT($O$3:$O$206),"")</f>
      </c>
      <c r="S91">
        <f>IF(OR(K91="",K91="TOPX",M91="",R91=""),0,IF(AND(V811設定!$E$12=1,M91&lt;=V811設定!$E$3,N91&lt;=V811設定!$E$4,O91&lt;=V811設定!$E$5,売分析!$Z91&lt;=V811設定!$E$6,売分析!$Z91&gt;=V811設定!$E$7,P91&gt;=V811設定!$E$8,Q91&lt;=V811設定!$E$9),1,0))</f>
      </c>
      <c r="T91">
        <f>IF(K91="","",IF(S91=1,"○ゲート通過",IF(V811設定!$E$12&lt;&gt;1,"― 停止中",IF(M91&gt;V811設定!$E$3,"×値動きが荒い",IF(N91&gt;V811設定!$E$4,"×レンジが広い",IF(O91&gt;V811設定!$E$5,"×窓を開けて上昇",IF(売分析!$Z91&gt;V811設定!$E$6,"×前日に急騰",IF(売分析!$Z91&lt;V811設定!$E$7,"×前日に急落",IF(P91&lt;V811設定!$E$8,"×高値から離れすぎ",IF(Q91&gt;V811設定!$E$9,"×当日の値幅が大きい","×"))))))))))</f>
      </c>
    </row>
    <row r="92" spans="1:20">
      <c r="A92">
        <f>IF(分析!$C92="","",分析!$C92)</f>
      </c>
      <c r="B92">
        <f>IF(分析!$C92="","",分析!$D92)</f>
      </c>
      <c r="C92">
        <f>IFERROR((SUM(OFFSET(高値!$E$6,IFERROR(MATCH(分析!$C92,銘柄管理!$B$6:$B$305,0),MATCH(TEXT(分析!$C92,"0"),銘柄管理!$B$6:$B$305,0))-1,0,1,14))-SUM(OFFSET(安値!$E$6,IFERROR(MATCH(分析!$C92,銘柄管理!$B$6:$B$305,0),MATCH(TEXT(分析!$C92,"0"),銘柄管理!$B$6:$B$305,0))-1,0,1,14)))/SUM(OFFSET(終値!$E$6,IFERROR(MATCH(分析!$C92,銘柄管理!$B$6:$B$305,0),MATCH(TEXT(分析!$C92,"0"),銘柄管理!$B$6:$B$305,0))-1,0,1,14))*100,"")</f>
      </c>
      <c r="D92">
        <f>IFERROR((MAX(OFFSET(高値!$E$6,IFERROR(MATCH(分析!$C92,銘柄管理!$B$6:$B$305,0),MATCH(TEXT(分析!$C92,"0"),銘柄管理!$B$6:$B$305,0))-1,0,1,25))-MIN(OFFSET(安値!$E$6,IFERROR(MATCH(分析!$C92,銘柄管理!$B$6:$B$305,0),MATCH(TEXT(分析!$C92,"0"),銘柄管理!$B$6:$B$305,0))-1,0,1,25)))/分析!$E92*100,"")</f>
      </c>
      <c r="E92">
        <f>IFERROR((分析!$F92-分析!$G92)/分析!$G92*100,"")</f>
      </c>
      <c r="F92">
        <f>IFERROR((分析!$E92-MAX(OFFSET(高値!$E$6,IFERROR(MATCH(分析!$C92,銘柄管理!$B$6:$B$305,0),MATCH(TEXT(分析!$C92,"0"),銘柄管理!$B$6:$B$305,0))-1,0,1,25)))/MAX(OFFSET(高値!$E$6,IFERROR(MATCH(分析!$C92,銘柄管理!$B$6:$B$305,0),MATCH(TEXT(分析!$C92,"0"),銘柄管理!$B$6:$B$305,0))-1,0,1,25))*100,"")</f>
      </c>
      <c r="G92">
        <f>IFERROR((分析!$H92-分析!$I92)/分析!$F92*100,"")</f>
      </c>
      <c r="H92">
        <f>IFERROR(5-COUNTIF($C$3:$C$206,"&lt;"&amp;$C92)/COUNT($C$3:$C$206)-COUNTIF($G$3:$G$206,"&lt;"&amp;$G92)/COUNT($G$3:$G$206)-COUNTIF($D$3:$D$206,"&lt;"&amp;$D92)/COUNT($D$3:$D$206)-COUNTIF(分析!$Z$3:$Z$206,"&lt;"&amp;分析!$Z92)/COUNT(分析!$Z$3:$Z$206)-COUNTIF($E$3:$E$206,"&lt;"&amp;$E92)/COUNT($E$3:$E$206),"")</f>
      </c>
      <c r="I92">
        <f>IF(OR(A92="",A92="TOPX",C92="",H92=""),0,IF(AND(V811設定!$E$11=1,C92&lt;=V811設定!$E$3,D92&lt;=V811設定!$E$4,E92&lt;=V811設定!$E$5,分析!$Z92&lt;=V811設定!$E$6,分析!$Z92&gt;=V811設定!$E$7,F92&gt;=V811設定!$E$8,G92&lt;=V811設定!$E$9),1,0))</f>
      </c>
      <c r="J92">
        <f>IF(A92="","",IF(I92=1,"○ゲート通過",IF(V811設定!$E$11&lt;&gt;1,"― 停止中",IF(C92&gt;V811設定!$E$3,"×値動きが荒い",IF(D92&gt;V811設定!$E$4,"×レンジが広い",IF(E92&gt;V811設定!$E$5,"×窓を開けて上昇",IF(分析!$Z92&gt;V811設定!$E$6,"×前日に急騰",IF(分析!$Z92&lt;V811設定!$E$7,"×前日に急落",IF(F92&lt;V811設定!$E$8,"×高値から離れすぎ",IF(G92&gt;V811設定!$E$9,"×当日の値幅が大きい","×"))))))))))</f>
      </c>
      <c r="K92">
        <f>IF(売分析!$C92="","",売分析!$C92)</f>
      </c>
      <c r="L92">
        <f>IF(売分析!$C92="","",売分析!$D92)</f>
      </c>
      <c r="M92">
        <f>IFERROR((SUM(OFFSET(高値!$E$6,IFERROR(MATCH(売分析!$C92,銘柄管理!$B$6:$B$305,0),MATCH(TEXT(売分析!$C92,"0"),銘柄管理!$B$6:$B$305,0))-1,0,1,14))-SUM(OFFSET(安値!$E$6,IFERROR(MATCH(売分析!$C92,銘柄管理!$B$6:$B$305,0),MATCH(TEXT(売分析!$C92,"0"),銘柄管理!$B$6:$B$305,0))-1,0,1,14)))/SUM(OFFSET(終値!$E$6,IFERROR(MATCH(売分析!$C92,銘柄管理!$B$6:$B$305,0),MATCH(TEXT(売分析!$C92,"0"),銘柄管理!$B$6:$B$305,0))-1,0,1,14))*100,"")</f>
      </c>
      <c r="N92">
        <f>IFERROR((MAX(OFFSET(高値!$E$6,IFERROR(MATCH(売分析!$C92,銘柄管理!$B$6:$B$305,0),MATCH(TEXT(売分析!$C92,"0"),銘柄管理!$B$6:$B$305,0))-1,0,1,25))-MIN(OFFSET(安値!$E$6,IFERROR(MATCH(売分析!$C92,銘柄管理!$B$6:$B$305,0),MATCH(TEXT(売分析!$C92,"0"),銘柄管理!$B$6:$B$305,0))-1,0,1,25)))/売分析!$E92*100,"")</f>
      </c>
      <c r="O92">
        <f>IFERROR((売分析!$F92-売分析!$G92)/売分析!$G92*100,"")</f>
      </c>
      <c r="P92">
        <f>IFERROR((売分析!$E92-MAX(OFFSET(高値!$E$6,IFERROR(MATCH(売分析!$C92,銘柄管理!$B$6:$B$305,0),MATCH(TEXT(売分析!$C92,"0"),銘柄管理!$B$6:$B$305,0))-1,0,1,25)))/MAX(OFFSET(高値!$E$6,IFERROR(MATCH(売分析!$C92,銘柄管理!$B$6:$B$305,0),MATCH(TEXT(売分析!$C92,"0"),銘柄管理!$B$6:$B$305,0))-1,0,1,25))*100,"")</f>
      </c>
      <c r="Q92">
        <f>IFERROR((売分析!$H92-売分析!$I92)/売分析!$F92*100,"")</f>
      </c>
      <c r="R92">
        <f>IFERROR(5-COUNTIF($M$3:$M$206,"&lt;"&amp;$M92)/COUNT($M$3:$M$206)-COUNTIF($Q$3:$Q$206,"&lt;"&amp;$Q92)/COUNT($Q$3:$Q$206)-COUNTIF($N$3:$N$206,"&lt;"&amp;$N92)/COUNT($N$3:$N$206)-COUNTIF(売分析!$Z$3:$Z$206,"&lt;"&amp;売分析!$Z92)/COUNT(売分析!$Z$3:$Z$206)-COUNTIF($O$3:$O$206,"&lt;"&amp;$O92)/COUNT($O$3:$O$206),"")</f>
      </c>
      <c r="S92">
        <f>IF(OR(K92="",K92="TOPX",M92="",R92=""),0,IF(AND(V811設定!$E$12=1,M92&lt;=V811設定!$E$3,N92&lt;=V811設定!$E$4,O92&lt;=V811設定!$E$5,売分析!$Z92&lt;=V811設定!$E$6,売分析!$Z92&gt;=V811設定!$E$7,P92&gt;=V811設定!$E$8,Q92&lt;=V811設定!$E$9),1,0))</f>
      </c>
      <c r="T92">
        <f>IF(K92="","",IF(S92=1,"○ゲート通過",IF(V811設定!$E$12&lt;&gt;1,"― 停止中",IF(M92&gt;V811設定!$E$3,"×値動きが荒い",IF(N92&gt;V811設定!$E$4,"×レンジが広い",IF(O92&gt;V811設定!$E$5,"×窓を開けて上昇",IF(売分析!$Z92&gt;V811設定!$E$6,"×前日に急騰",IF(売分析!$Z92&lt;V811設定!$E$7,"×前日に急落",IF(P92&lt;V811設定!$E$8,"×高値から離れすぎ",IF(Q92&gt;V811設定!$E$9,"×当日の値幅が大きい","×"))))))))))</f>
      </c>
    </row>
    <row r="93" spans="1:20">
      <c r="A93">
        <f>IF(分析!$C93="","",分析!$C93)</f>
      </c>
      <c r="B93">
        <f>IF(分析!$C93="","",分析!$D93)</f>
      </c>
      <c r="C93">
        <f>IFERROR((SUM(OFFSET(高値!$E$6,IFERROR(MATCH(分析!$C93,銘柄管理!$B$6:$B$305,0),MATCH(TEXT(分析!$C93,"0"),銘柄管理!$B$6:$B$305,0))-1,0,1,14))-SUM(OFFSET(安値!$E$6,IFERROR(MATCH(分析!$C93,銘柄管理!$B$6:$B$305,0),MATCH(TEXT(分析!$C93,"0"),銘柄管理!$B$6:$B$305,0))-1,0,1,14)))/SUM(OFFSET(終値!$E$6,IFERROR(MATCH(分析!$C93,銘柄管理!$B$6:$B$305,0),MATCH(TEXT(分析!$C93,"0"),銘柄管理!$B$6:$B$305,0))-1,0,1,14))*100,"")</f>
      </c>
      <c r="D93">
        <f>IFERROR((MAX(OFFSET(高値!$E$6,IFERROR(MATCH(分析!$C93,銘柄管理!$B$6:$B$305,0),MATCH(TEXT(分析!$C93,"0"),銘柄管理!$B$6:$B$305,0))-1,0,1,25))-MIN(OFFSET(安値!$E$6,IFERROR(MATCH(分析!$C93,銘柄管理!$B$6:$B$305,0),MATCH(TEXT(分析!$C93,"0"),銘柄管理!$B$6:$B$305,0))-1,0,1,25)))/分析!$E93*100,"")</f>
      </c>
      <c r="E93">
        <f>IFERROR((分析!$F93-分析!$G93)/分析!$G93*100,"")</f>
      </c>
      <c r="F93">
        <f>IFERROR((分析!$E93-MAX(OFFSET(高値!$E$6,IFERROR(MATCH(分析!$C93,銘柄管理!$B$6:$B$305,0),MATCH(TEXT(分析!$C93,"0"),銘柄管理!$B$6:$B$305,0))-1,0,1,25)))/MAX(OFFSET(高値!$E$6,IFERROR(MATCH(分析!$C93,銘柄管理!$B$6:$B$305,0),MATCH(TEXT(分析!$C93,"0"),銘柄管理!$B$6:$B$305,0))-1,0,1,25))*100,"")</f>
      </c>
      <c r="G93">
        <f>IFERROR((分析!$H93-分析!$I93)/分析!$F93*100,"")</f>
      </c>
      <c r="H93">
        <f>IFERROR(5-COUNTIF($C$3:$C$206,"&lt;"&amp;$C93)/COUNT($C$3:$C$206)-COUNTIF($G$3:$G$206,"&lt;"&amp;$G93)/COUNT($G$3:$G$206)-COUNTIF($D$3:$D$206,"&lt;"&amp;$D93)/COUNT($D$3:$D$206)-COUNTIF(分析!$Z$3:$Z$206,"&lt;"&amp;分析!$Z93)/COUNT(分析!$Z$3:$Z$206)-COUNTIF($E$3:$E$206,"&lt;"&amp;$E93)/COUNT($E$3:$E$206),"")</f>
      </c>
      <c r="I93">
        <f>IF(OR(A93="",A93="TOPX",C93="",H93=""),0,IF(AND(V811設定!$E$11=1,C93&lt;=V811設定!$E$3,D93&lt;=V811設定!$E$4,E93&lt;=V811設定!$E$5,分析!$Z93&lt;=V811設定!$E$6,分析!$Z93&gt;=V811設定!$E$7,F93&gt;=V811設定!$E$8,G93&lt;=V811設定!$E$9),1,0))</f>
      </c>
      <c r="J93">
        <f>IF(A93="","",IF(I93=1,"○ゲート通過",IF(V811設定!$E$11&lt;&gt;1,"― 停止中",IF(C93&gt;V811設定!$E$3,"×値動きが荒い",IF(D93&gt;V811設定!$E$4,"×レンジが広い",IF(E93&gt;V811設定!$E$5,"×窓を開けて上昇",IF(分析!$Z93&gt;V811設定!$E$6,"×前日に急騰",IF(分析!$Z93&lt;V811設定!$E$7,"×前日に急落",IF(F93&lt;V811設定!$E$8,"×高値から離れすぎ",IF(G93&gt;V811設定!$E$9,"×当日の値幅が大きい","×"))))))))))</f>
      </c>
      <c r="K93">
        <f>IF(売分析!$C93="","",売分析!$C93)</f>
      </c>
      <c r="L93">
        <f>IF(売分析!$C93="","",売分析!$D93)</f>
      </c>
      <c r="M93">
        <f>IFERROR((SUM(OFFSET(高値!$E$6,IFERROR(MATCH(売分析!$C93,銘柄管理!$B$6:$B$305,0),MATCH(TEXT(売分析!$C93,"0"),銘柄管理!$B$6:$B$305,0))-1,0,1,14))-SUM(OFFSET(安値!$E$6,IFERROR(MATCH(売分析!$C93,銘柄管理!$B$6:$B$305,0),MATCH(TEXT(売分析!$C93,"0"),銘柄管理!$B$6:$B$305,0))-1,0,1,14)))/SUM(OFFSET(終値!$E$6,IFERROR(MATCH(売分析!$C93,銘柄管理!$B$6:$B$305,0),MATCH(TEXT(売分析!$C93,"0"),銘柄管理!$B$6:$B$305,0))-1,0,1,14))*100,"")</f>
      </c>
      <c r="N93">
        <f>IFERROR((MAX(OFFSET(高値!$E$6,IFERROR(MATCH(売分析!$C93,銘柄管理!$B$6:$B$305,0),MATCH(TEXT(売分析!$C93,"0"),銘柄管理!$B$6:$B$305,0))-1,0,1,25))-MIN(OFFSET(安値!$E$6,IFERROR(MATCH(売分析!$C93,銘柄管理!$B$6:$B$305,0),MATCH(TEXT(売分析!$C93,"0"),銘柄管理!$B$6:$B$305,0))-1,0,1,25)))/売分析!$E93*100,"")</f>
      </c>
      <c r="O93">
        <f>IFERROR((売分析!$F93-売分析!$G93)/売分析!$G93*100,"")</f>
      </c>
      <c r="P93">
        <f>IFERROR((売分析!$E93-MAX(OFFSET(高値!$E$6,IFERROR(MATCH(売分析!$C93,銘柄管理!$B$6:$B$305,0),MATCH(TEXT(売分析!$C93,"0"),銘柄管理!$B$6:$B$305,0))-1,0,1,25)))/MAX(OFFSET(高値!$E$6,IFERROR(MATCH(売分析!$C93,銘柄管理!$B$6:$B$305,0),MATCH(TEXT(売分析!$C93,"0"),銘柄管理!$B$6:$B$305,0))-1,0,1,25))*100,"")</f>
      </c>
      <c r="Q93">
        <f>IFERROR((売分析!$H93-売分析!$I93)/売分析!$F93*100,"")</f>
      </c>
      <c r="R93">
        <f>IFERROR(5-COUNTIF($M$3:$M$206,"&lt;"&amp;$M93)/COUNT($M$3:$M$206)-COUNTIF($Q$3:$Q$206,"&lt;"&amp;$Q93)/COUNT($Q$3:$Q$206)-COUNTIF($N$3:$N$206,"&lt;"&amp;$N93)/COUNT($N$3:$N$206)-COUNTIF(売分析!$Z$3:$Z$206,"&lt;"&amp;売分析!$Z93)/COUNT(売分析!$Z$3:$Z$206)-COUNTIF($O$3:$O$206,"&lt;"&amp;$O93)/COUNT($O$3:$O$206),"")</f>
      </c>
      <c r="S93">
        <f>IF(OR(K93="",K93="TOPX",M93="",R93=""),0,IF(AND(V811設定!$E$12=1,M93&lt;=V811設定!$E$3,N93&lt;=V811設定!$E$4,O93&lt;=V811設定!$E$5,売分析!$Z93&lt;=V811設定!$E$6,売分析!$Z93&gt;=V811設定!$E$7,P93&gt;=V811設定!$E$8,Q93&lt;=V811設定!$E$9),1,0))</f>
      </c>
      <c r="T93">
        <f>IF(K93="","",IF(S93=1,"○ゲート通過",IF(V811設定!$E$12&lt;&gt;1,"― 停止中",IF(M93&gt;V811設定!$E$3,"×値動きが荒い",IF(N93&gt;V811設定!$E$4,"×レンジが広い",IF(O93&gt;V811設定!$E$5,"×窓を開けて上昇",IF(売分析!$Z93&gt;V811設定!$E$6,"×前日に急騰",IF(売分析!$Z93&lt;V811設定!$E$7,"×前日に急落",IF(P93&lt;V811設定!$E$8,"×高値から離れすぎ",IF(Q93&gt;V811設定!$E$9,"×当日の値幅が大きい","×"))))))))))</f>
      </c>
    </row>
    <row r="94" spans="1:20">
      <c r="A94">
        <f>IF(分析!$C94="","",分析!$C94)</f>
      </c>
      <c r="B94">
        <f>IF(分析!$C94="","",分析!$D94)</f>
      </c>
      <c r="C94">
        <f>IFERROR((SUM(OFFSET(高値!$E$6,IFERROR(MATCH(分析!$C94,銘柄管理!$B$6:$B$305,0),MATCH(TEXT(分析!$C94,"0"),銘柄管理!$B$6:$B$305,0))-1,0,1,14))-SUM(OFFSET(安値!$E$6,IFERROR(MATCH(分析!$C94,銘柄管理!$B$6:$B$305,0),MATCH(TEXT(分析!$C94,"0"),銘柄管理!$B$6:$B$305,0))-1,0,1,14)))/SUM(OFFSET(終値!$E$6,IFERROR(MATCH(分析!$C94,銘柄管理!$B$6:$B$305,0),MATCH(TEXT(分析!$C94,"0"),銘柄管理!$B$6:$B$305,0))-1,0,1,14))*100,"")</f>
      </c>
      <c r="D94">
        <f>IFERROR((MAX(OFFSET(高値!$E$6,IFERROR(MATCH(分析!$C94,銘柄管理!$B$6:$B$305,0),MATCH(TEXT(分析!$C94,"0"),銘柄管理!$B$6:$B$305,0))-1,0,1,25))-MIN(OFFSET(安値!$E$6,IFERROR(MATCH(分析!$C94,銘柄管理!$B$6:$B$305,0),MATCH(TEXT(分析!$C94,"0"),銘柄管理!$B$6:$B$305,0))-1,0,1,25)))/分析!$E94*100,"")</f>
      </c>
      <c r="E94">
        <f>IFERROR((分析!$F94-分析!$G94)/分析!$G94*100,"")</f>
      </c>
      <c r="F94">
        <f>IFERROR((分析!$E94-MAX(OFFSET(高値!$E$6,IFERROR(MATCH(分析!$C94,銘柄管理!$B$6:$B$305,0),MATCH(TEXT(分析!$C94,"0"),銘柄管理!$B$6:$B$305,0))-1,0,1,25)))/MAX(OFFSET(高値!$E$6,IFERROR(MATCH(分析!$C94,銘柄管理!$B$6:$B$305,0),MATCH(TEXT(分析!$C94,"0"),銘柄管理!$B$6:$B$305,0))-1,0,1,25))*100,"")</f>
      </c>
      <c r="G94">
        <f>IFERROR((分析!$H94-分析!$I94)/分析!$F94*100,"")</f>
      </c>
      <c r="H94">
        <f>IFERROR(5-COUNTIF($C$3:$C$206,"&lt;"&amp;$C94)/COUNT($C$3:$C$206)-COUNTIF($G$3:$G$206,"&lt;"&amp;$G94)/COUNT($G$3:$G$206)-COUNTIF($D$3:$D$206,"&lt;"&amp;$D94)/COUNT($D$3:$D$206)-COUNTIF(分析!$Z$3:$Z$206,"&lt;"&amp;分析!$Z94)/COUNT(分析!$Z$3:$Z$206)-COUNTIF($E$3:$E$206,"&lt;"&amp;$E94)/COUNT($E$3:$E$206),"")</f>
      </c>
      <c r="I94">
        <f>IF(OR(A94="",A94="TOPX",C94="",H94=""),0,IF(AND(V811設定!$E$11=1,C94&lt;=V811設定!$E$3,D94&lt;=V811設定!$E$4,E94&lt;=V811設定!$E$5,分析!$Z94&lt;=V811設定!$E$6,分析!$Z94&gt;=V811設定!$E$7,F94&gt;=V811設定!$E$8,G94&lt;=V811設定!$E$9),1,0))</f>
      </c>
      <c r="J94">
        <f>IF(A94="","",IF(I94=1,"○ゲート通過",IF(V811設定!$E$11&lt;&gt;1,"― 停止中",IF(C94&gt;V811設定!$E$3,"×値動きが荒い",IF(D94&gt;V811設定!$E$4,"×レンジが広い",IF(E94&gt;V811設定!$E$5,"×窓を開けて上昇",IF(分析!$Z94&gt;V811設定!$E$6,"×前日に急騰",IF(分析!$Z94&lt;V811設定!$E$7,"×前日に急落",IF(F94&lt;V811設定!$E$8,"×高値から離れすぎ",IF(G94&gt;V811設定!$E$9,"×当日の値幅が大きい","×"))))))))))</f>
      </c>
      <c r="K94">
        <f>IF(売分析!$C94="","",売分析!$C94)</f>
      </c>
      <c r="L94">
        <f>IF(売分析!$C94="","",売分析!$D94)</f>
      </c>
      <c r="M94">
        <f>IFERROR((SUM(OFFSET(高値!$E$6,IFERROR(MATCH(売分析!$C94,銘柄管理!$B$6:$B$305,0),MATCH(TEXT(売分析!$C94,"0"),銘柄管理!$B$6:$B$305,0))-1,0,1,14))-SUM(OFFSET(安値!$E$6,IFERROR(MATCH(売分析!$C94,銘柄管理!$B$6:$B$305,0),MATCH(TEXT(売分析!$C94,"0"),銘柄管理!$B$6:$B$305,0))-1,0,1,14)))/SUM(OFFSET(終値!$E$6,IFERROR(MATCH(売分析!$C94,銘柄管理!$B$6:$B$305,0),MATCH(TEXT(売分析!$C94,"0"),銘柄管理!$B$6:$B$305,0))-1,0,1,14))*100,"")</f>
      </c>
      <c r="N94">
        <f>IFERROR((MAX(OFFSET(高値!$E$6,IFERROR(MATCH(売分析!$C94,銘柄管理!$B$6:$B$305,0),MATCH(TEXT(売分析!$C94,"0"),銘柄管理!$B$6:$B$305,0))-1,0,1,25))-MIN(OFFSET(安値!$E$6,IFERROR(MATCH(売分析!$C94,銘柄管理!$B$6:$B$305,0),MATCH(TEXT(売分析!$C94,"0"),銘柄管理!$B$6:$B$305,0))-1,0,1,25)))/売分析!$E94*100,"")</f>
      </c>
      <c r="O94">
        <f>IFERROR((売分析!$F94-売分析!$G94)/売分析!$G94*100,"")</f>
      </c>
      <c r="P94">
        <f>IFERROR((売分析!$E94-MAX(OFFSET(高値!$E$6,IFERROR(MATCH(売分析!$C94,銘柄管理!$B$6:$B$305,0),MATCH(TEXT(売分析!$C94,"0"),銘柄管理!$B$6:$B$305,0))-1,0,1,25)))/MAX(OFFSET(高値!$E$6,IFERROR(MATCH(売分析!$C94,銘柄管理!$B$6:$B$305,0),MATCH(TEXT(売分析!$C94,"0"),銘柄管理!$B$6:$B$305,0))-1,0,1,25))*100,"")</f>
      </c>
      <c r="Q94">
        <f>IFERROR((売分析!$H94-売分析!$I94)/売分析!$F94*100,"")</f>
      </c>
      <c r="R94">
        <f>IFERROR(5-COUNTIF($M$3:$M$206,"&lt;"&amp;$M94)/COUNT($M$3:$M$206)-COUNTIF($Q$3:$Q$206,"&lt;"&amp;$Q94)/COUNT($Q$3:$Q$206)-COUNTIF($N$3:$N$206,"&lt;"&amp;$N94)/COUNT($N$3:$N$206)-COUNTIF(売分析!$Z$3:$Z$206,"&lt;"&amp;売分析!$Z94)/COUNT(売分析!$Z$3:$Z$206)-COUNTIF($O$3:$O$206,"&lt;"&amp;$O94)/COUNT($O$3:$O$206),"")</f>
      </c>
      <c r="S94">
        <f>IF(OR(K94="",K94="TOPX",M94="",R94=""),0,IF(AND(V811設定!$E$12=1,M94&lt;=V811設定!$E$3,N94&lt;=V811設定!$E$4,O94&lt;=V811設定!$E$5,売分析!$Z94&lt;=V811設定!$E$6,売分析!$Z94&gt;=V811設定!$E$7,P94&gt;=V811設定!$E$8,Q94&lt;=V811設定!$E$9),1,0))</f>
      </c>
      <c r="T94">
        <f>IF(K94="","",IF(S94=1,"○ゲート通過",IF(V811設定!$E$12&lt;&gt;1,"― 停止中",IF(M94&gt;V811設定!$E$3,"×値動きが荒い",IF(N94&gt;V811設定!$E$4,"×レンジが広い",IF(O94&gt;V811設定!$E$5,"×窓を開けて上昇",IF(売分析!$Z94&gt;V811設定!$E$6,"×前日に急騰",IF(売分析!$Z94&lt;V811設定!$E$7,"×前日に急落",IF(P94&lt;V811設定!$E$8,"×高値から離れすぎ",IF(Q94&gt;V811設定!$E$9,"×当日の値幅が大きい","×"))))))))))</f>
      </c>
    </row>
    <row r="95" spans="1:20">
      <c r="A95">
        <f>IF(分析!$C95="","",分析!$C95)</f>
      </c>
      <c r="B95">
        <f>IF(分析!$C95="","",分析!$D95)</f>
      </c>
      <c r="C95">
        <f>IFERROR((SUM(OFFSET(高値!$E$6,IFERROR(MATCH(分析!$C95,銘柄管理!$B$6:$B$305,0),MATCH(TEXT(分析!$C95,"0"),銘柄管理!$B$6:$B$305,0))-1,0,1,14))-SUM(OFFSET(安値!$E$6,IFERROR(MATCH(分析!$C95,銘柄管理!$B$6:$B$305,0),MATCH(TEXT(分析!$C95,"0"),銘柄管理!$B$6:$B$305,0))-1,0,1,14)))/SUM(OFFSET(終値!$E$6,IFERROR(MATCH(分析!$C95,銘柄管理!$B$6:$B$305,0),MATCH(TEXT(分析!$C95,"0"),銘柄管理!$B$6:$B$305,0))-1,0,1,14))*100,"")</f>
      </c>
      <c r="D95">
        <f>IFERROR((MAX(OFFSET(高値!$E$6,IFERROR(MATCH(分析!$C95,銘柄管理!$B$6:$B$305,0),MATCH(TEXT(分析!$C95,"0"),銘柄管理!$B$6:$B$305,0))-1,0,1,25))-MIN(OFFSET(安値!$E$6,IFERROR(MATCH(分析!$C95,銘柄管理!$B$6:$B$305,0),MATCH(TEXT(分析!$C95,"0"),銘柄管理!$B$6:$B$305,0))-1,0,1,25)))/分析!$E95*100,"")</f>
      </c>
      <c r="E95">
        <f>IFERROR((分析!$F95-分析!$G95)/分析!$G95*100,"")</f>
      </c>
      <c r="F95">
        <f>IFERROR((分析!$E95-MAX(OFFSET(高値!$E$6,IFERROR(MATCH(分析!$C95,銘柄管理!$B$6:$B$305,0),MATCH(TEXT(分析!$C95,"0"),銘柄管理!$B$6:$B$305,0))-1,0,1,25)))/MAX(OFFSET(高値!$E$6,IFERROR(MATCH(分析!$C95,銘柄管理!$B$6:$B$305,0),MATCH(TEXT(分析!$C95,"0"),銘柄管理!$B$6:$B$305,0))-1,0,1,25))*100,"")</f>
      </c>
      <c r="G95">
        <f>IFERROR((分析!$H95-分析!$I95)/分析!$F95*100,"")</f>
      </c>
      <c r="H95">
        <f>IFERROR(5-COUNTIF($C$3:$C$206,"&lt;"&amp;$C95)/COUNT($C$3:$C$206)-COUNTIF($G$3:$G$206,"&lt;"&amp;$G95)/COUNT($G$3:$G$206)-COUNTIF($D$3:$D$206,"&lt;"&amp;$D95)/COUNT($D$3:$D$206)-COUNTIF(分析!$Z$3:$Z$206,"&lt;"&amp;分析!$Z95)/COUNT(分析!$Z$3:$Z$206)-COUNTIF($E$3:$E$206,"&lt;"&amp;$E95)/COUNT($E$3:$E$206),"")</f>
      </c>
      <c r="I95">
        <f>IF(OR(A95="",A95="TOPX",C95="",H95=""),0,IF(AND(V811設定!$E$11=1,C95&lt;=V811設定!$E$3,D95&lt;=V811設定!$E$4,E95&lt;=V811設定!$E$5,分析!$Z95&lt;=V811設定!$E$6,分析!$Z95&gt;=V811設定!$E$7,F95&gt;=V811設定!$E$8,G95&lt;=V811設定!$E$9),1,0))</f>
      </c>
      <c r="J95">
        <f>IF(A95="","",IF(I95=1,"○ゲート通過",IF(V811設定!$E$11&lt;&gt;1,"― 停止中",IF(C95&gt;V811設定!$E$3,"×値動きが荒い",IF(D95&gt;V811設定!$E$4,"×レンジが広い",IF(E95&gt;V811設定!$E$5,"×窓を開けて上昇",IF(分析!$Z95&gt;V811設定!$E$6,"×前日に急騰",IF(分析!$Z95&lt;V811設定!$E$7,"×前日に急落",IF(F95&lt;V811設定!$E$8,"×高値から離れすぎ",IF(G95&gt;V811設定!$E$9,"×当日の値幅が大きい","×"))))))))))</f>
      </c>
      <c r="K95">
        <f>IF(売分析!$C95="","",売分析!$C95)</f>
      </c>
      <c r="L95">
        <f>IF(売分析!$C95="","",売分析!$D95)</f>
      </c>
      <c r="M95">
        <f>IFERROR((SUM(OFFSET(高値!$E$6,IFERROR(MATCH(売分析!$C95,銘柄管理!$B$6:$B$305,0),MATCH(TEXT(売分析!$C95,"0"),銘柄管理!$B$6:$B$305,0))-1,0,1,14))-SUM(OFFSET(安値!$E$6,IFERROR(MATCH(売分析!$C95,銘柄管理!$B$6:$B$305,0),MATCH(TEXT(売分析!$C95,"0"),銘柄管理!$B$6:$B$305,0))-1,0,1,14)))/SUM(OFFSET(終値!$E$6,IFERROR(MATCH(売分析!$C95,銘柄管理!$B$6:$B$305,0),MATCH(TEXT(売分析!$C95,"0"),銘柄管理!$B$6:$B$305,0))-1,0,1,14))*100,"")</f>
      </c>
      <c r="N95">
        <f>IFERROR((MAX(OFFSET(高値!$E$6,IFERROR(MATCH(売分析!$C95,銘柄管理!$B$6:$B$305,0),MATCH(TEXT(売分析!$C95,"0"),銘柄管理!$B$6:$B$305,0))-1,0,1,25))-MIN(OFFSET(安値!$E$6,IFERROR(MATCH(売分析!$C95,銘柄管理!$B$6:$B$305,0),MATCH(TEXT(売分析!$C95,"0"),銘柄管理!$B$6:$B$305,0))-1,0,1,25)))/売分析!$E95*100,"")</f>
      </c>
      <c r="O95">
        <f>IFERROR((売分析!$F95-売分析!$G95)/売分析!$G95*100,"")</f>
      </c>
      <c r="P95">
        <f>IFERROR((売分析!$E95-MAX(OFFSET(高値!$E$6,IFERROR(MATCH(売分析!$C95,銘柄管理!$B$6:$B$305,0),MATCH(TEXT(売分析!$C95,"0"),銘柄管理!$B$6:$B$305,0))-1,0,1,25)))/MAX(OFFSET(高値!$E$6,IFERROR(MATCH(売分析!$C95,銘柄管理!$B$6:$B$305,0),MATCH(TEXT(売分析!$C95,"0"),銘柄管理!$B$6:$B$305,0))-1,0,1,25))*100,"")</f>
      </c>
      <c r="Q95">
        <f>IFERROR((売分析!$H95-売分析!$I95)/売分析!$F95*100,"")</f>
      </c>
      <c r="R95">
        <f>IFERROR(5-COUNTIF($M$3:$M$206,"&lt;"&amp;$M95)/COUNT($M$3:$M$206)-COUNTIF($Q$3:$Q$206,"&lt;"&amp;$Q95)/COUNT($Q$3:$Q$206)-COUNTIF($N$3:$N$206,"&lt;"&amp;$N95)/COUNT($N$3:$N$206)-COUNTIF(売分析!$Z$3:$Z$206,"&lt;"&amp;売分析!$Z95)/COUNT(売分析!$Z$3:$Z$206)-COUNTIF($O$3:$O$206,"&lt;"&amp;$O95)/COUNT($O$3:$O$206),"")</f>
      </c>
      <c r="S95">
        <f>IF(OR(K95="",K95="TOPX",M95="",R95=""),0,IF(AND(V811設定!$E$12=1,M95&lt;=V811設定!$E$3,N95&lt;=V811設定!$E$4,O95&lt;=V811設定!$E$5,売分析!$Z95&lt;=V811設定!$E$6,売分析!$Z95&gt;=V811設定!$E$7,P95&gt;=V811設定!$E$8,Q95&lt;=V811設定!$E$9),1,0))</f>
      </c>
      <c r="T95">
        <f>IF(K95="","",IF(S95=1,"○ゲート通過",IF(V811設定!$E$12&lt;&gt;1,"― 停止中",IF(M95&gt;V811設定!$E$3,"×値動きが荒い",IF(N95&gt;V811設定!$E$4,"×レンジが広い",IF(O95&gt;V811設定!$E$5,"×窓を開けて上昇",IF(売分析!$Z95&gt;V811設定!$E$6,"×前日に急騰",IF(売分析!$Z95&lt;V811設定!$E$7,"×前日に急落",IF(P95&lt;V811設定!$E$8,"×高値から離れすぎ",IF(Q95&gt;V811設定!$E$9,"×当日の値幅が大きい","×"))))))))))</f>
      </c>
    </row>
    <row r="96" spans="1:20">
      <c r="A96">
        <f>IF(分析!$C96="","",分析!$C96)</f>
      </c>
      <c r="B96">
        <f>IF(分析!$C96="","",分析!$D96)</f>
      </c>
      <c r="C96">
        <f>IFERROR((SUM(OFFSET(高値!$E$6,IFERROR(MATCH(分析!$C96,銘柄管理!$B$6:$B$305,0),MATCH(TEXT(分析!$C96,"0"),銘柄管理!$B$6:$B$305,0))-1,0,1,14))-SUM(OFFSET(安値!$E$6,IFERROR(MATCH(分析!$C96,銘柄管理!$B$6:$B$305,0),MATCH(TEXT(分析!$C96,"0"),銘柄管理!$B$6:$B$305,0))-1,0,1,14)))/SUM(OFFSET(終値!$E$6,IFERROR(MATCH(分析!$C96,銘柄管理!$B$6:$B$305,0),MATCH(TEXT(分析!$C96,"0"),銘柄管理!$B$6:$B$305,0))-1,0,1,14))*100,"")</f>
      </c>
      <c r="D96">
        <f>IFERROR((MAX(OFFSET(高値!$E$6,IFERROR(MATCH(分析!$C96,銘柄管理!$B$6:$B$305,0),MATCH(TEXT(分析!$C96,"0"),銘柄管理!$B$6:$B$305,0))-1,0,1,25))-MIN(OFFSET(安値!$E$6,IFERROR(MATCH(分析!$C96,銘柄管理!$B$6:$B$305,0),MATCH(TEXT(分析!$C96,"0"),銘柄管理!$B$6:$B$305,0))-1,0,1,25)))/分析!$E96*100,"")</f>
      </c>
      <c r="E96">
        <f>IFERROR((分析!$F96-分析!$G96)/分析!$G96*100,"")</f>
      </c>
      <c r="F96">
        <f>IFERROR((分析!$E96-MAX(OFFSET(高値!$E$6,IFERROR(MATCH(分析!$C96,銘柄管理!$B$6:$B$305,0),MATCH(TEXT(分析!$C96,"0"),銘柄管理!$B$6:$B$305,0))-1,0,1,25)))/MAX(OFFSET(高値!$E$6,IFERROR(MATCH(分析!$C96,銘柄管理!$B$6:$B$305,0),MATCH(TEXT(分析!$C96,"0"),銘柄管理!$B$6:$B$305,0))-1,0,1,25))*100,"")</f>
      </c>
      <c r="G96">
        <f>IFERROR((分析!$H96-分析!$I96)/分析!$F96*100,"")</f>
      </c>
      <c r="H96">
        <f>IFERROR(5-COUNTIF($C$3:$C$206,"&lt;"&amp;$C96)/COUNT($C$3:$C$206)-COUNTIF($G$3:$G$206,"&lt;"&amp;$G96)/COUNT($G$3:$G$206)-COUNTIF($D$3:$D$206,"&lt;"&amp;$D96)/COUNT($D$3:$D$206)-COUNTIF(分析!$Z$3:$Z$206,"&lt;"&amp;分析!$Z96)/COUNT(分析!$Z$3:$Z$206)-COUNTIF($E$3:$E$206,"&lt;"&amp;$E96)/COUNT($E$3:$E$206),"")</f>
      </c>
      <c r="I96">
        <f>IF(OR(A96="",A96="TOPX",C96="",H96=""),0,IF(AND(V811設定!$E$11=1,C96&lt;=V811設定!$E$3,D96&lt;=V811設定!$E$4,E96&lt;=V811設定!$E$5,分析!$Z96&lt;=V811設定!$E$6,分析!$Z96&gt;=V811設定!$E$7,F96&gt;=V811設定!$E$8,G96&lt;=V811設定!$E$9),1,0))</f>
      </c>
      <c r="J96">
        <f>IF(A96="","",IF(I96=1,"○ゲート通過",IF(V811設定!$E$11&lt;&gt;1,"― 停止中",IF(C96&gt;V811設定!$E$3,"×値動きが荒い",IF(D96&gt;V811設定!$E$4,"×レンジが広い",IF(E96&gt;V811設定!$E$5,"×窓を開けて上昇",IF(分析!$Z96&gt;V811設定!$E$6,"×前日に急騰",IF(分析!$Z96&lt;V811設定!$E$7,"×前日に急落",IF(F96&lt;V811設定!$E$8,"×高値から離れすぎ",IF(G96&gt;V811設定!$E$9,"×当日の値幅が大きい","×"))))))))))</f>
      </c>
      <c r="K96">
        <f>IF(売分析!$C96="","",売分析!$C96)</f>
      </c>
      <c r="L96">
        <f>IF(売分析!$C96="","",売分析!$D96)</f>
      </c>
      <c r="M96">
        <f>IFERROR((SUM(OFFSET(高値!$E$6,IFERROR(MATCH(売分析!$C96,銘柄管理!$B$6:$B$305,0),MATCH(TEXT(売分析!$C96,"0"),銘柄管理!$B$6:$B$305,0))-1,0,1,14))-SUM(OFFSET(安値!$E$6,IFERROR(MATCH(売分析!$C96,銘柄管理!$B$6:$B$305,0),MATCH(TEXT(売分析!$C96,"0"),銘柄管理!$B$6:$B$305,0))-1,0,1,14)))/SUM(OFFSET(終値!$E$6,IFERROR(MATCH(売分析!$C96,銘柄管理!$B$6:$B$305,0),MATCH(TEXT(売分析!$C96,"0"),銘柄管理!$B$6:$B$305,0))-1,0,1,14))*100,"")</f>
      </c>
      <c r="N96">
        <f>IFERROR((MAX(OFFSET(高値!$E$6,IFERROR(MATCH(売分析!$C96,銘柄管理!$B$6:$B$305,0),MATCH(TEXT(売分析!$C96,"0"),銘柄管理!$B$6:$B$305,0))-1,0,1,25))-MIN(OFFSET(安値!$E$6,IFERROR(MATCH(売分析!$C96,銘柄管理!$B$6:$B$305,0),MATCH(TEXT(売分析!$C96,"0"),銘柄管理!$B$6:$B$305,0))-1,0,1,25)))/売分析!$E96*100,"")</f>
      </c>
      <c r="O96">
        <f>IFERROR((売分析!$F96-売分析!$G96)/売分析!$G96*100,"")</f>
      </c>
      <c r="P96">
        <f>IFERROR((売分析!$E96-MAX(OFFSET(高値!$E$6,IFERROR(MATCH(売分析!$C96,銘柄管理!$B$6:$B$305,0),MATCH(TEXT(売分析!$C96,"0"),銘柄管理!$B$6:$B$305,0))-1,0,1,25)))/MAX(OFFSET(高値!$E$6,IFERROR(MATCH(売分析!$C96,銘柄管理!$B$6:$B$305,0),MATCH(TEXT(売分析!$C96,"0"),銘柄管理!$B$6:$B$305,0))-1,0,1,25))*100,"")</f>
      </c>
      <c r="Q96">
        <f>IFERROR((売分析!$H96-売分析!$I96)/売分析!$F96*100,"")</f>
      </c>
      <c r="R96">
        <f>IFERROR(5-COUNTIF($M$3:$M$206,"&lt;"&amp;$M96)/COUNT($M$3:$M$206)-COUNTIF($Q$3:$Q$206,"&lt;"&amp;$Q96)/COUNT($Q$3:$Q$206)-COUNTIF($N$3:$N$206,"&lt;"&amp;$N96)/COUNT($N$3:$N$206)-COUNTIF(売分析!$Z$3:$Z$206,"&lt;"&amp;売分析!$Z96)/COUNT(売分析!$Z$3:$Z$206)-COUNTIF($O$3:$O$206,"&lt;"&amp;$O96)/COUNT($O$3:$O$206),"")</f>
      </c>
      <c r="S96">
        <f>IF(OR(K96="",K96="TOPX",M96="",R96=""),0,IF(AND(V811設定!$E$12=1,M96&lt;=V811設定!$E$3,N96&lt;=V811設定!$E$4,O96&lt;=V811設定!$E$5,売分析!$Z96&lt;=V811設定!$E$6,売分析!$Z96&gt;=V811設定!$E$7,P96&gt;=V811設定!$E$8,Q96&lt;=V811設定!$E$9),1,0))</f>
      </c>
      <c r="T96">
        <f>IF(K96="","",IF(S96=1,"○ゲート通過",IF(V811設定!$E$12&lt;&gt;1,"― 停止中",IF(M96&gt;V811設定!$E$3,"×値動きが荒い",IF(N96&gt;V811設定!$E$4,"×レンジが広い",IF(O96&gt;V811設定!$E$5,"×窓を開けて上昇",IF(売分析!$Z96&gt;V811設定!$E$6,"×前日に急騰",IF(売分析!$Z96&lt;V811設定!$E$7,"×前日に急落",IF(P96&lt;V811設定!$E$8,"×高値から離れすぎ",IF(Q96&gt;V811設定!$E$9,"×当日の値幅が大きい","×"))))))))))</f>
      </c>
    </row>
    <row r="97" spans="1:20">
      <c r="A97">
        <f>IF(分析!$C97="","",分析!$C97)</f>
      </c>
      <c r="B97">
        <f>IF(分析!$C97="","",分析!$D97)</f>
      </c>
      <c r="C97">
        <f>IFERROR((SUM(OFFSET(高値!$E$6,IFERROR(MATCH(分析!$C97,銘柄管理!$B$6:$B$305,0),MATCH(TEXT(分析!$C97,"0"),銘柄管理!$B$6:$B$305,0))-1,0,1,14))-SUM(OFFSET(安値!$E$6,IFERROR(MATCH(分析!$C97,銘柄管理!$B$6:$B$305,0),MATCH(TEXT(分析!$C97,"0"),銘柄管理!$B$6:$B$305,0))-1,0,1,14)))/SUM(OFFSET(終値!$E$6,IFERROR(MATCH(分析!$C97,銘柄管理!$B$6:$B$305,0),MATCH(TEXT(分析!$C97,"0"),銘柄管理!$B$6:$B$305,0))-1,0,1,14))*100,"")</f>
      </c>
      <c r="D97">
        <f>IFERROR((MAX(OFFSET(高値!$E$6,IFERROR(MATCH(分析!$C97,銘柄管理!$B$6:$B$305,0),MATCH(TEXT(分析!$C97,"0"),銘柄管理!$B$6:$B$305,0))-1,0,1,25))-MIN(OFFSET(安値!$E$6,IFERROR(MATCH(分析!$C97,銘柄管理!$B$6:$B$305,0),MATCH(TEXT(分析!$C97,"0"),銘柄管理!$B$6:$B$305,0))-1,0,1,25)))/分析!$E97*100,"")</f>
      </c>
      <c r="E97">
        <f>IFERROR((分析!$F97-分析!$G97)/分析!$G97*100,"")</f>
      </c>
      <c r="F97">
        <f>IFERROR((分析!$E97-MAX(OFFSET(高値!$E$6,IFERROR(MATCH(分析!$C97,銘柄管理!$B$6:$B$305,0),MATCH(TEXT(分析!$C97,"0"),銘柄管理!$B$6:$B$305,0))-1,0,1,25)))/MAX(OFFSET(高値!$E$6,IFERROR(MATCH(分析!$C97,銘柄管理!$B$6:$B$305,0),MATCH(TEXT(分析!$C97,"0"),銘柄管理!$B$6:$B$305,0))-1,0,1,25))*100,"")</f>
      </c>
      <c r="G97">
        <f>IFERROR((分析!$H97-分析!$I97)/分析!$F97*100,"")</f>
      </c>
      <c r="H97">
        <f>IFERROR(5-COUNTIF($C$3:$C$206,"&lt;"&amp;$C97)/COUNT($C$3:$C$206)-COUNTIF($G$3:$G$206,"&lt;"&amp;$G97)/COUNT($G$3:$G$206)-COUNTIF($D$3:$D$206,"&lt;"&amp;$D97)/COUNT($D$3:$D$206)-COUNTIF(分析!$Z$3:$Z$206,"&lt;"&amp;分析!$Z97)/COUNT(分析!$Z$3:$Z$206)-COUNTIF($E$3:$E$206,"&lt;"&amp;$E97)/COUNT($E$3:$E$206),"")</f>
      </c>
      <c r="I97">
        <f>IF(OR(A97="",A97="TOPX",C97="",H97=""),0,IF(AND(V811設定!$E$11=1,C97&lt;=V811設定!$E$3,D97&lt;=V811設定!$E$4,E97&lt;=V811設定!$E$5,分析!$Z97&lt;=V811設定!$E$6,分析!$Z97&gt;=V811設定!$E$7,F97&gt;=V811設定!$E$8,G97&lt;=V811設定!$E$9),1,0))</f>
      </c>
      <c r="J97">
        <f>IF(A97="","",IF(I97=1,"○ゲート通過",IF(V811設定!$E$11&lt;&gt;1,"― 停止中",IF(C97&gt;V811設定!$E$3,"×値動きが荒い",IF(D97&gt;V811設定!$E$4,"×レンジが広い",IF(E97&gt;V811設定!$E$5,"×窓を開けて上昇",IF(分析!$Z97&gt;V811設定!$E$6,"×前日に急騰",IF(分析!$Z97&lt;V811設定!$E$7,"×前日に急落",IF(F97&lt;V811設定!$E$8,"×高値から離れすぎ",IF(G97&gt;V811設定!$E$9,"×当日の値幅が大きい","×"))))))))))</f>
      </c>
      <c r="K97">
        <f>IF(売分析!$C97="","",売分析!$C97)</f>
      </c>
      <c r="L97">
        <f>IF(売分析!$C97="","",売分析!$D97)</f>
      </c>
      <c r="M97">
        <f>IFERROR((SUM(OFFSET(高値!$E$6,IFERROR(MATCH(売分析!$C97,銘柄管理!$B$6:$B$305,0),MATCH(TEXT(売分析!$C97,"0"),銘柄管理!$B$6:$B$305,0))-1,0,1,14))-SUM(OFFSET(安値!$E$6,IFERROR(MATCH(売分析!$C97,銘柄管理!$B$6:$B$305,0),MATCH(TEXT(売分析!$C97,"0"),銘柄管理!$B$6:$B$305,0))-1,0,1,14)))/SUM(OFFSET(終値!$E$6,IFERROR(MATCH(売分析!$C97,銘柄管理!$B$6:$B$305,0),MATCH(TEXT(売分析!$C97,"0"),銘柄管理!$B$6:$B$305,0))-1,0,1,14))*100,"")</f>
      </c>
      <c r="N97">
        <f>IFERROR((MAX(OFFSET(高値!$E$6,IFERROR(MATCH(売分析!$C97,銘柄管理!$B$6:$B$305,0),MATCH(TEXT(売分析!$C97,"0"),銘柄管理!$B$6:$B$305,0))-1,0,1,25))-MIN(OFFSET(安値!$E$6,IFERROR(MATCH(売分析!$C97,銘柄管理!$B$6:$B$305,0),MATCH(TEXT(売分析!$C97,"0"),銘柄管理!$B$6:$B$305,0))-1,0,1,25)))/売分析!$E97*100,"")</f>
      </c>
      <c r="O97">
        <f>IFERROR((売分析!$F97-売分析!$G97)/売分析!$G97*100,"")</f>
      </c>
      <c r="P97">
        <f>IFERROR((売分析!$E97-MAX(OFFSET(高値!$E$6,IFERROR(MATCH(売分析!$C97,銘柄管理!$B$6:$B$305,0),MATCH(TEXT(売分析!$C97,"0"),銘柄管理!$B$6:$B$305,0))-1,0,1,25)))/MAX(OFFSET(高値!$E$6,IFERROR(MATCH(売分析!$C97,銘柄管理!$B$6:$B$305,0),MATCH(TEXT(売分析!$C97,"0"),銘柄管理!$B$6:$B$305,0))-1,0,1,25))*100,"")</f>
      </c>
      <c r="Q97">
        <f>IFERROR((売分析!$H97-売分析!$I97)/売分析!$F97*100,"")</f>
      </c>
      <c r="R97">
        <f>IFERROR(5-COUNTIF($M$3:$M$206,"&lt;"&amp;$M97)/COUNT($M$3:$M$206)-COUNTIF($Q$3:$Q$206,"&lt;"&amp;$Q97)/COUNT($Q$3:$Q$206)-COUNTIF($N$3:$N$206,"&lt;"&amp;$N97)/COUNT($N$3:$N$206)-COUNTIF(売分析!$Z$3:$Z$206,"&lt;"&amp;売分析!$Z97)/COUNT(売分析!$Z$3:$Z$206)-COUNTIF($O$3:$O$206,"&lt;"&amp;$O97)/COUNT($O$3:$O$206),"")</f>
      </c>
      <c r="S97">
        <f>IF(OR(K97="",K97="TOPX",M97="",R97=""),0,IF(AND(V811設定!$E$12=1,M97&lt;=V811設定!$E$3,N97&lt;=V811設定!$E$4,O97&lt;=V811設定!$E$5,売分析!$Z97&lt;=V811設定!$E$6,売分析!$Z97&gt;=V811設定!$E$7,P97&gt;=V811設定!$E$8,Q97&lt;=V811設定!$E$9),1,0))</f>
      </c>
      <c r="T97">
        <f>IF(K97="","",IF(S97=1,"○ゲート通過",IF(V811設定!$E$12&lt;&gt;1,"― 停止中",IF(M97&gt;V811設定!$E$3,"×値動きが荒い",IF(N97&gt;V811設定!$E$4,"×レンジが広い",IF(O97&gt;V811設定!$E$5,"×窓を開けて上昇",IF(売分析!$Z97&gt;V811設定!$E$6,"×前日に急騰",IF(売分析!$Z97&lt;V811設定!$E$7,"×前日に急落",IF(P97&lt;V811設定!$E$8,"×高値から離れすぎ",IF(Q97&gt;V811設定!$E$9,"×当日の値幅が大きい","×"))))))))))</f>
      </c>
    </row>
    <row r="98" spans="1:20">
      <c r="A98">
        <f>IF(分析!$C98="","",分析!$C98)</f>
      </c>
      <c r="B98">
        <f>IF(分析!$C98="","",分析!$D98)</f>
      </c>
      <c r="C98">
        <f>IFERROR((SUM(OFFSET(高値!$E$6,IFERROR(MATCH(分析!$C98,銘柄管理!$B$6:$B$305,0),MATCH(TEXT(分析!$C98,"0"),銘柄管理!$B$6:$B$305,0))-1,0,1,14))-SUM(OFFSET(安値!$E$6,IFERROR(MATCH(分析!$C98,銘柄管理!$B$6:$B$305,0),MATCH(TEXT(分析!$C98,"0"),銘柄管理!$B$6:$B$305,0))-1,0,1,14)))/SUM(OFFSET(終値!$E$6,IFERROR(MATCH(分析!$C98,銘柄管理!$B$6:$B$305,0),MATCH(TEXT(分析!$C98,"0"),銘柄管理!$B$6:$B$305,0))-1,0,1,14))*100,"")</f>
      </c>
      <c r="D98">
        <f>IFERROR((MAX(OFFSET(高値!$E$6,IFERROR(MATCH(分析!$C98,銘柄管理!$B$6:$B$305,0),MATCH(TEXT(分析!$C98,"0"),銘柄管理!$B$6:$B$305,0))-1,0,1,25))-MIN(OFFSET(安値!$E$6,IFERROR(MATCH(分析!$C98,銘柄管理!$B$6:$B$305,0),MATCH(TEXT(分析!$C98,"0"),銘柄管理!$B$6:$B$305,0))-1,0,1,25)))/分析!$E98*100,"")</f>
      </c>
      <c r="E98">
        <f>IFERROR((分析!$F98-分析!$G98)/分析!$G98*100,"")</f>
      </c>
      <c r="F98">
        <f>IFERROR((分析!$E98-MAX(OFFSET(高値!$E$6,IFERROR(MATCH(分析!$C98,銘柄管理!$B$6:$B$305,0),MATCH(TEXT(分析!$C98,"0"),銘柄管理!$B$6:$B$305,0))-1,0,1,25)))/MAX(OFFSET(高値!$E$6,IFERROR(MATCH(分析!$C98,銘柄管理!$B$6:$B$305,0),MATCH(TEXT(分析!$C98,"0"),銘柄管理!$B$6:$B$305,0))-1,0,1,25))*100,"")</f>
      </c>
      <c r="G98">
        <f>IFERROR((分析!$H98-分析!$I98)/分析!$F98*100,"")</f>
      </c>
      <c r="H98">
        <f>IFERROR(5-COUNTIF($C$3:$C$206,"&lt;"&amp;$C98)/COUNT($C$3:$C$206)-COUNTIF($G$3:$G$206,"&lt;"&amp;$G98)/COUNT($G$3:$G$206)-COUNTIF($D$3:$D$206,"&lt;"&amp;$D98)/COUNT($D$3:$D$206)-COUNTIF(分析!$Z$3:$Z$206,"&lt;"&amp;分析!$Z98)/COUNT(分析!$Z$3:$Z$206)-COUNTIF($E$3:$E$206,"&lt;"&amp;$E98)/COUNT($E$3:$E$206),"")</f>
      </c>
      <c r="I98">
        <f>IF(OR(A98="",A98="TOPX",C98="",H98=""),0,IF(AND(V811設定!$E$11=1,C98&lt;=V811設定!$E$3,D98&lt;=V811設定!$E$4,E98&lt;=V811設定!$E$5,分析!$Z98&lt;=V811設定!$E$6,分析!$Z98&gt;=V811設定!$E$7,F98&gt;=V811設定!$E$8,G98&lt;=V811設定!$E$9),1,0))</f>
      </c>
      <c r="J98">
        <f>IF(A98="","",IF(I98=1,"○ゲート通過",IF(V811設定!$E$11&lt;&gt;1,"― 停止中",IF(C98&gt;V811設定!$E$3,"×値動きが荒い",IF(D98&gt;V811設定!$E$4,"×レンジが広い",IF(E98&gt;V811設定!$E$5,"×窓を開けて上昇",IF(分析!$Z98&gt;V811設定!$E$6,"×前日に急騰",IF(分析!$Z98&lt;V811設定!$E$7,"×前日に急落",IF(F98&lt;V811設定!$E$8,"×高値から離れすぎ",IF(G98&gt;V811設定!$E$9,"×当日の値幅が大きい","×"))))))))))</f>
      </c>
      <c r="K98">
        <f>IF(売分析!$C98="","",売分析!$C98)</f>
      </c>
      <c r="L98">
        <f>IF(売分析!$C98="","",売分析!$D98)</f>
      </c>
      <c r="M98">
        <f>IFERROR((SUM(OFFSET(高値!$E$6,IFERROR(MATCH(売分析!$C98,銘柄管理!$B$6:$B$305,0),MATCH(TEXT(売分析!$C98,"0"),銘柄管理!$B$6:$B$305,0))-1,0,1,14))-SUM(OFFSET(安値!$E$6,IFERROR(MATCH(売分析!$C98,銘柄管理!$B$6:$B$305,0),MATCH(TEXT(売分析!$C98,"0"),銘柄管理!$B$6:$B$305,0))-1,0,1,14)))/SUM(OFFSET(終値!$E$6,IFERROR(MATCH(売分析!$C98,銘柄管理!$B$6:$B$305,0),MATCH(TEXT(売分析!$C98,"0"),銘柄管理!$B$6:$B$305,0))-1,0,1,14))*100,"")</f>
      </c>
      <c r="N98">
        <f>IFERROR((MAX(OFFSET(高値!$E$6,IFERROR(MATCH(売分析!$C98,銘柄管理!$B$6:$B$305,0),MATCH(TEXT(売分析!$C98,"0"),銘柄管理!$B$6:$B$305,0))-1,0,1,25))-MIN(OFFSET(安値!$E$6,IFERROR(MATCH(売分析!$C98,銘柄管理!$B$6:$B$305,0),MATCH(TEXT(売分析!$C98,"0"),銘柄管理!$B$6:$B$305,0))-1,0,1,25)))/売分析!$E98*100,"")</f>
      </c>
      <c r="O98">
        <f>IFERROR((売分析!$F98-売分析!$G98)/売分析!$G98*100,"")</f>
      </c>
      <c r="P98">
        <f>IFERROR((売分析!$E98-MAX(OFFSET(高値!$E$6,IFERROR(MATCH(売分析!$C98,銘柄管理!$B$6:$B$305,0),MATCH(TEXT(売分析!$C98,"0"),銘柄管理!$B$6:$B$305,0))-1,0,1,25)))/MAX(OFFSET(高値!$E$6,IFERROR(MATCH(売分析!$C98,銘柄管理!$B$6:$B$305,0),MATCH(TEXT(売分析!$C98,"0"),銘柄管理!$B$6:$B$305,0))-1,0,1,25))*100,"")</f>
      </c>
      <c r="Q98">
        <f>IFERROR((売分析!$H98-売分析!$I98)/売分析!$F98*100,"")</f>
      </c>
      <c r="R98">
        <f>IFERROR(5-COUNTIF($M$3:$M$206,"&lt;"&amp;$M98)/COUNT($M$3:$M$206)-COUNTIF($Q$3:$Q$206,"&lt;"&amp;$Q98)/COUNT($Q$3:$Q$206)-COUNTIF($N$3:$N$206,"&lt;"&amp;$N98)/COUNT($N$3:$N$206)-COUNTIF(売分析!$Z$3:$Z$206,"&lt;"&amp;売分析!$Z98)/COUNT(売分析!$Z$3:$Z$206)-COUNTIF($O$3:$O$206,"&lt;"&amp;$O98)/COUNT($O$3:$O$206),"")</f>
      </c>
      <c r="S98">
        <f>IF(OR(K98="",K98="TOPX",M98="",R98=""),0,IF(AND(V811設定!$E$12=1,M98&lt;=V811設定!$E$3,N98&lt;=V811設定!$E$4,O98&lt;=V811設定!$E$5,売分析!$Z98&lt;=V811設定!$E$6,売分析!$Z98&gt;=V811設定!$E$7,P98&gt;=V811設定!$E$8,Q98&lt;=V811設定!$E$9),1,0))</f>
      </c>
      <c r="T98">
        <f>IF(K98="","",IF(S98=1,"○ゲート通過",IF(V811設定!$E$12&lt;&gt;1,"― 停止中",IF(M98&gt;V811設定!$E$3,"×値動きが荒い",IF(N98&gt;V811設定!$E$4,"×レンジが広い",IF(O98&gt;V811設定!$E$5,"×窓を開けて上昇",IF(売分析!$Z98&gt;V811設定!$E$6,"×前日に急騰",IF(売分析!$Z98&lt;V811設定!$E$7,"×前日に急落",IF(P98&lt;V811設定!$E$8,"×高値から離れすぎ",IF(Q98&gt;V811設定!$E$9,"×当日の値幅が大きい","×"))))))))))</f>
      </c>
    </row>
    <row r="99" spans="1:20">
      <c r="A99">
        <f>IF(分析!$C99="","",分析!$C99)</f>
      </c>
      <c r="B99">
        <f>IF(分析!$C99="","",分析!$D99)</f>
      </c>
      <c r="C99">
        <f>IFERROR((SUM(OFFSET(高値!$E$6,IFERROR(MATCH(分析!$C99,銘柄管理!$B$6:$B$305,0),MATCH(TEXT(分析!$C99,"0"),銘柄管理!$B$6:$B$305,0))-1,0,1,14))-SUM(OFFSET(安値!$E$6,IFERROR(MATCH(分析!$C99,銘柄管理!$B$6:$B$305,0),MATCH(TEXT(分析!$C99,"0"),銘柄管理!$B$6:$B$305,0))-1,0,1,14)))/SUM(OFFSET(終値!$E$6,IFERROR(MATCH(分析!$C99,銘柄管理!$B$6:$B$305,0),MATCH(TEXT(分析!$C99,"0"),銘柄管理!$B$6:$B$305,0))-1,0,1,14))*100,"")</f>
      </c>
      <c r="D99">
        <f>IFERROR((MAX(OFFSET(高値!$E$6,IFERROR(MATCH(分析!$C99,銘柄管理!$B$6:$B$305,0),MATCH(TEXT(分析!$C99,"0"),銘柄管理!$B$6:$B$305,0))-1,0,1,25))-MIN(OFFSET(安値!$E$6,IFERROR(MATCH(分析!$C99,銘柄管理!$B$6:$B$305,0),MATCH(TEXT(分析!$C99,"0"),銘柄管理!$B$6:$B$305,0))-1,0,1,25)))/分析!$E99*100,"")</f>
      </c>
      <c r="E99">
        <f>IFERROR((分析!$F99-分析!$G99)/分析!$G99*100,"")</f>
      </c>
      <c r="F99">
        <f>IFERROR((分析!$E99-MAX(OFFSET(高値!$E$6,IFERROR(MATCH(分析!$C99,銘柄管理!$B$6:$B$305,0),MATCH(TEXT(分析!$C99,"0"),銘柄管理!$B$6:$B$305,0))-1,0,1,25)))/MAX(OFFSET(高値!$E$6,IFERROR(MATCH(分析!$C99,銘柄管理!$B$6:$B$305,0),MATCH(TEXT(分析!$C99,"0"),銘柄管理!$B$6:$B$305,0))-1,0,1,25))*100,"")</f>
      </c>
      <c r="G99">
        <f>IFERROR((分析!$H99-分析!$I99)/分析!$F99*100,"")</f>
      </c>
      <c r="H99">
        <f>IFERROR(5-COUNTIF($C$3:$C$206,"&lt;"&amp;$C99)/COUNT($C$3:$C$206)-COUNTIF($G$3:$G$206,"&lt;"&amp;$G99)/COUNT($G$3:$G$206)-COUNTIF($D$3:$D$206,"&lt;"&amp;$D99)/COUNT($D$3:$D$206)-COUNTIF(分析!$Z$3:$Z$206,"&lt;"&amp;分析!$Z99)/COUNT(分析!$Z$3:$Z$206)-COUNTIF($E$3:$E$206,"&lt;"&amp;$E99)/COUNT($E$3:$E$206),"")</f>
      </c>
      <c r="I99">
        <f>IF(OR(A99="",A99="TOPX",C99="",H99=""),0,IF(AND(V811設定!$E$11=1,C99&lt;=V811設定!$E$3,D99&lt;=V811設定!$E$4,E99&lt;=V811設定!$E$5,分析!$Z99&lt;=V811設定!$E$6,分析!$Z99&gt;=V811設定!$E$7,F99&gt;=V811設定!$E$8,G99&lt;=V811設定!$E$9),1,0))</f>
      </c>
      <c r="J99">
        <f>IF(A99="","",IF(I99=1,"○ゲート通過",IF(V811設定!$E$11&lt;&gt;1,"― 停止中",IF(C99&gt;V811設定!$E$3,"×値動きが荒い",IF(D99&gt;V811設定!$E$4,"×レンジが広い",IF(E99&gt;V811設定!$E$5,"×窓を開けて上昇",IF(分析!$Z99&gt;V811設定!$E$6,"×前日に急騰",IF(分析!$Z99&lt;V811設定!$E$7,"×前日に急落",IF(F99&lt;V811設定!$E$8,"×高値から離れすぎ",IF(G99&gt;V811設定!$E$9,"×当日の値幅が大きい","×"))))))))))</f>
      </c>
      <c r="K99">
        <f>IF(売分析!$C99="","",売分析!$C99)</f>
      </c>
      <c r="L99">
        <f>IF(売分析!$C99="","",売分析!$D99)</f>
      </c>
      <c r="M99">
        <f>IFERROR((SUM(OFFSET(高値!$E$6,IFERROR(MATCH(売分析!$C99,銘柄管理!$B$6:$B$305,0),MATCH(TEXT(売分析!$C99,"0"),銘柄管理!$B$6:$B$305,0))-1,0,1,14))-SUM(OFFSET(安値!$E$6,IFERROR(MATCH(売分析!$C99,銘柄管理!$B$6:$B$305,0),MATCH(TEXT(売分析!$C99,"0"),銘柄管理!$B$6:$B$305,0))-1,0,1,14)))/SUM(OFFSET(終値!$E$6,IFERROR(MATCH(売分析!$C99,銘柄管理!$B$6:$B$305,0),MATCH(TEXT(売分析!$C99,"0"),銘柄管理!$B$6:$B$305,0))-1,0,1,14))*100,"")</f>
      </c>
      <c r="N99">
        <f>IFERROR((MAX(OFFSET(高値!$E$6,IFERROR(MATCH(売分析!$C99,銘柄管理!$B$6:$B$305,0),MATCH(TEXT(売分析!$C99,"0"),銘柄管理!$B$6:$B$305,0))-1,0,1,25))-MIN(OFFSET(安値!$E$6,IFERROR(MATCH(売分析!$C99,銘柄管理!$B$6:$B$305,0),MATCH(TEXT(売分析!$C99,"0"),銘柄管理!$B$6:$B$305,0))-1,0,1,25)))/売分析!$E99*100,"")</f>
      </c>
      <c r="O99">
        <f>IFERROR((売分析!$F99-売分析!$G99)/売分析!$G99*100,"")</f>
      </c>
      <c r="P99">
        <f>IFERROR((売分析!$E99-MAX(OFFSET(高値!$E$6,IFERROR(MATCH(売分析!$C99,銘柄管理!$B$6:$B$305,0),MATCH(TEXT(売分析!$C99,"0"),銘柄管理!$B$6:$B$305,0))-1,0,1,25)))/MAX(OFFSET(高値!$E$6,IFERROR(MATCH(売分析!$C99,銘柄管理!$B$6:$B$305,0),MATCH(TEXT(売分析!$C99,"0"),銘柄管理!$B$6:$B$305,0))-1,0,1,25))*100,"")</f>
      </c>
      <c r="Q99">
        <f>IFERROR((売分析!$H99-売分析!$I99)/売分析!$F99*100,"")</f>
      </c>
      <c r="R99">
        <f>IFERROR(5-COUNTIF($M$3:$M$206,"&lt;"&amp;$M99)/COUNT($M$3:$M$206)-COUNTIF($Q$3:$Q$206,"&lt;"&amp;$Q99)/COUNT($Q$3:$Q$206)-COUNTIF($N$3:$N$206,"&lt;"&amp;$N99)/COUNT($N$3:$N$206)-COUNTIF(売分析!$Z$3:$Z$206,"&lt;"&amp;売分析!$Z99)/COUNT(売分析!$Z$3:$Z$206)-COUNTIF($O$3:$O$206,"&lt;"&amp;$O99)/COUNT($O$3:$O$206),"")</f>
      </c>
      <c r="S99">
        <f>IF(OR(K99="",K99="TOPX",M99="",R99=""),0,IF(AND(V811設定!$E$12=1,M99&lt;=V811設定!$E$3,N99&lt;=V811設定!$E$4,O99&lt;=V811設定!$E$5,売分析!$Z99&lt;=V811設定!$E$6,売分析!$Z99&gt;=V811設定!$E$7,P99&gt;=V811設定!$E$8,Q99&lt;=V811設定!$E$9),1,0))</f>
      </c>
      <c r="T99">
        <f>IF(K99="","",IF(S99=1,"○ゲート通過",IF(V811設定!$E$12&lt;&gt;1,"― 停止中",IF(M99&gt;V811設定!$E$3,"×値動きが荒い",IF(N99&gt;V811設定!$E$4,"×レンジが広い",IF(O99&gt;V811設定!$E$5,"×窓を開けて上昇",IF(売分析!$Z99&gt;V811設定!$E$6,"×前日に急騰",IF(売分析!$Z99&lt;V811設定!$E$7,"×前日に急落",IF(P99&lt;V811設定!$E$8,"×高値から離れすぎ",IF(Q99&gt;V811設定!$E$9,"×当日の値幅が大きい","×"))))))))))</f>
      </c>
    </row>
    <row r="100" spans="1:20">
      <c r="A100">
        <f>IF(分析!$C100="","",分析!$C100)</f>
      </c>
      <c r="B100">
        <f>IF(分析!$C100="","",分析!$D100)</f>
      </c>
      <c r="C100">
        <f>IFERROR((SUM(OFFSET(高値!$E$6,IFERROR(MATCH(分析!$C100,銘柄管理!$B$6:$B$305,0),MATCH(TEXT(分析!$C100,"0"),銘柄管理!$B$6:$B$305,0))-1,0,1,14))-SUM(OFFSET(安値!$E$6,IFERROR(MATCH(分析!$C100,銘柄管理!$B$6:$B$305,0),MATCH(TEXT(分析!$C100,"0"),銘柄管理!$B$6:$B$305,0))-1,0,1,14)))/SUM(OFFSET(終値!$E$6,IFERROR(MATCH(分析!$C100,銘柄管理!$B$6:$B$305,0),MATCH(TEXT(分析!$C100,"0"),銘柄管理!$B$6:$B$305,0))-1,0,1,14))*100,"")</f>
      </c>
      <c r="D100">
        <f>IFERROR((MAX(OFFSET(高値!$E$6,IFERROR(MATCH(分析!$C100,銘柄管理!$B$6:$B$305,0),MATCH(TEXT(分析!$C100,"0"),銘柄管理!$B$6:$B$305,0))-1,0,1,25))-MIN(OFFSET(安値!$E$6,IFERROR(MATCH(分析!$C100,銘柄管理!$B$6:$B$305,0),MATCH(TEXT(分析!$C100,"0"),銘柄管理!$B$6:$B$305,0))-1,0,1,25)))/分析!$E100*100,"")</f>
      </c>
      <c r="E100">
        <f>IFERROR((分析!$F100-分析!$G100)/分析!$G100*100,"")</f>
      </c>
      <c r="F100">
        <f>IFERROR((分析!$E100-MAX(OFFSET(高値!$E$6,IFERROR(MATCH(分析!$C100,銘柄管理!$B$6:$B$305,0),MATCH(TEXT(分析!$C100,"0"),銘柄管理!$B$6:$B$305,0))-1,0,1,25)))/MAX(OFFSET(高値!$E$6,IFERROR(MATCH(分析!$C100,銘柄管理!$B$6:$B$305,0),MATCH(TEXT(分析!$C100,"0"),銘柄管理!$B$6:$B$305,0))-1,0,1,25))*100,"")</f>
      </c>
      <c r="G100">
        <f>IFERROR((分析!$H100-分析!$I100)/分析!$F100*100,"")</f>
      </c>
      <c r="H100">
        <f>IFERROR(5-COUNTIF($C$3:$C$206,"&lt;"&amp;$C100)/COUNT($C$3:$C$206)-COUNTIF($G$3:$G$206,"&lt;"&amp;$G100)/COUNT($G$3:$G$206)-COUNTIF($D$3:$D$206,"&lt;"&amp;$D100)/COUNT($D$3:$D$206)-COUNTIF(分析!$Z$3:$Z$206,"&lt;"&amp;分析!$Z100)/COUNT(分析!$Z$3:$Z$206)-COUNTIF($E$3:$E$206,"&lt;"&amp;$E100)/COUNT($E$3:$E$206),"")</f>
      </c>
      <c r="I100">
        <f>IF(OR(A100="",A100="TOPX",C100="",H100=""),0,IF(AND(V811設定!$E$11=1,C100&lt;=V811設定!$E$3,D100&lt;=V811設定!$E$4,E100&lt;=V811設定!$E$5,分析!$Z100&lt;=V811設定!$E$6,分析!$Z100&gt;=V811設定!$E$7,F100&gt;=V811設定!$E$8,G100&lt;=V811設定!$E$9),1,0))</f>
      </c>
      <c r="J100">
        <f>IF(A100="","",IF(I100=1,"○ゲート通過",IF(V811設定!$E$11&lt;&gt;1,"― 停止中",IF(C100&gt;V811設定!$E$3,"×値動きが荒い",IF(D100&gt;V811設定!$E$4,"×レンジが広い",IF(E100&gt;V811設定!$E$5,"×窓を開けて上昇",IF(分析!$Z100&gt;V811設定!$E$6,"×前日に急騰",IF(分析!$Z100&lt;V811設定!$E$7,"×前日に急落",IF(F100&lt;V811設定!$E$8,"×高値から離れすぎ",IF(G100&gt;V811設定!$E$9,"×当日の値幅が大きい","×"))))))))))</f>
      </c>
      <c r="K100">
        <f>IF(売分析!$C100="","",売分析!$C100)</f>
      </c>
      <c r="L100">
        <f>IF(売分析!$C100="","",売分析!$D100)</f>
      </c>
      <c r="M100">
        <f>IFERROR((SUM(OFFSET(高値!$E$6,IFERROR(MATCH(売分析!$C100,銘柄管理!$B$6:$B$305,0),MATCH(TEXT(売分析!$C100,"0"),銘柄管理!$B$6:$B$305,0))-1,0,1,14))-SUM(OFFSET(安値!$E$6,IFERROR(MATCH(売分析!$C100,銘柄管理!$B$6:$B$305,0),MATCH(TEXT(売分析!$C100,"0"),銘柄管理!$B$6:$B$305,0))-1,0,1,14)))/SUM(OFFSET(終値!$E$6,IFERROR(MATCH(売分析!$C100,銘柄管理!$B$6:$B$305,0),MATCH(TEXT(売分析!$C100,"0"),銘柄管理!$B$6:$B$305,0))-1,0,1,14))*100,"")</f>
      </c>
      <c r="N100">
        <f>IFERROR((MAX(OFFSET(高値!$E$6,IFERROR(MATCH(売分析!$C100,銘柄管理!$B$6:$B$305,0),MATCH(TEXT(売分析!$C100,"0"),銘柄管理!$B$6:$B$305,0))-1,0,1,25))-MIN(OFFSET(安値!$E$6,IFERROR(MATCH(売分析!$C100,銘柄管理!$B$6:$B$305,0),MATCH(TEXT(売分析!$C100,"0"),銘柄管理!$B$6:$B$305,0))-1,0,1,25)))/売分析!$E100*100,"")</f>
      </c>
      <c r="O100">
        <f>IFERROR((売分析!$F100-売分析!$G100)/売分析!$G100*100,"")</f>
      </c>
      <c r="P100">
        <f>IFERROR((売分析!$E100-MAX(OFFSET(高値!$E$6,IFERROR(MATCH(売分析!$C100,銘柄管理!$B$6:$B$305,0),MATCH(TEXT(売分析!$C100,"0"),銘柄管理!$B$6:$B$305,0))-1,0,1,25)))/MAX(OFFSET(高値!$E$6,IFERROR(MATCH(売分析!$C100,銘柄管理!$B$6:$B$305,0),MATCH(TEXT(売分析!$C100,"0"),銘柄管理!$B$6:$B$305,0))-1,0,1,25))*100,"")</f>
      </c>
      <c r="Q100">
        <f>IFERROR((売分析!$H100-売分析!$I100)/売分析!$F100*100,"")</f>
      </c>
      <c r="R100">
        <f>IFERROR(5-COUNTIF($M$3:$M$206,"&lt;"&amp;$M100)/COUNT($M$3:$M$206)-COUNTIF($Q$3:$Q$206,"&lt;"&amp;$Q100)/COUNT($Q$3:$Q$206)-COUNTIF($N$3:$N$206,"&lt;"&amp;$N100)/COUNT($N$3:$N$206)-COUNTIF(売分析!$Z$3:$Z$206,"&lt;"&amp;売分析!$Z100)/COUNT(売分析!$Z$3:$Z$206)-COUNTIF($O$3:$O$206,"&lt;"&amp;$O100)/COUNT($O$3:$O$206),"")</f>
      </c>
      <c r="S100">
        <f>IF(OR(K100="",K100="TOPX",M100="",R100=""),0,IF(AND(V811設定!$E$12=1,M100&lt;=V811設定!$E$3,N100&lt;=V811設定!$E$4,O100&lt;=V811設定!$E$5,売分析!$Z100&lt;=V811設定!$E$6,売分析!$Z100&gt;=V811設定!$E$7,P100&gt;=V811設定!$E$8,Q100&lt;=V811設定!$E$9),1,0))</f>
      </c>
      <c r="T100">
        <f>IF(K100="","",IF(S100=1,"○ゲート通過",IF(V811設定!$E$12&lt;&gt;1,"― 停止中",IF(M100&gt;V811設定!$E$3,"×値動きが荒い",IF(N100&gt;V811設定!$E$4,"×レンジが広い",IF(O100&gt;V811設定!$E$5,"×窓を開けて上昇",IF(売分析!$Z100&gt;V811設定!$E$6,"×前日に急騰",IF(売分析!$Z100&lt;V811設定!$E$7,"×前日に急落",IF(P100&lt;V811設定!$E$8,"×高値から離れすぎ",IF(Q100&gt;V811設定!$E$9,"×当日の値幅が大きい","×"))))))))))</f>
      </c>
    </row>
    <row r="101" spans="1:20">
      <c r="A101">
        <f>IF(分析!$C101="","",分析!$C101)</f>
      </c>
      <c r="B101">
        <f>IF(分析!$C101="","",分析!$D101)</f>
      </c>
      <c r="C101">
        <f>IFERROR((SUM(OFFSET(高値!$E$6,IFERROR(MATCH(分析!$C101,銘柄管理!$B$6:$B$305,0),MATCH(TEXT(分析!$C101,"0"),銘柄管理!$B$6:$B$305,0))-1,0,1,14))-SUM(OFFSET(安値!$E$6,IFERROR(MATCH(分析!$C101,銘柄管理!$B$6:$B$305,0),MATCH(TEXT(分析!$C101,"0"),銘柄管理!$B$6:$B$305,0))-1,0,1,14)))/SUM(OFFSET(終値!$E$6,IFERROR(MATCH(分析!$C101,銘柄管理!$B$6:$B$305,0),MATCH(TEXT(分析!$C101,"0"),銘柄管理!$B$6:$B$305,0))-1,0,1,14))*100,"")</f>
      </c>
      <c r="D101">
        <f>IFERROR((MAX(OFFSET(高値!$E$6,IFERROR(MATCH(分析!$C101,銘柄管理!$B$6:$B$305,0),MATCH(TEXT(分析!$C101,"0"),銘柄管理!$B$6:$B$305,0))-1,0,1,25))-MIN(OFFSET(安値!$E$6,IFERROR(MATCH(分析!$C101,銘柄管理!$B$6:$B$305,0),MATCH(TEXT(分析!$C101,"0"),銘柄管理!$B$6:$B$305,0))-1,0,1,25)))/分析!$E101*100,"")</f>
      </c>
      <c r="E101">
        <f>IFERROR((分析!$F101-分析!$G101)/分析!$G101*100,"")</f>
      </c>
      <c r="F101">
        <f>IFERROR((分析!$E101-MAX(OFFSET(高値!$E$6,IFERROR(MATCH(分析!$C101,銘柄管理!$B$6:$B$305,0),MATCH(TEXT(分析!$C101,"0"),銘柄管理!$B$6:$B$305,0))-1,0,1,25)))/MAX(OFFSET(高値!$E$6,IFERROR(MATCH(分析!$C101,銘柄管理!$B$6:$B$305,0),MATCH(TEXT(分析!$C101,"0"),銘柄管理!$B$6:$B$305,0))-1,0,1,25))*100,"")</f>
      </c>
      <c r="G101">
        <f>IFERROR((分析!$H101-分析!$I101)/分析!$F101*100,"")</f>
      </c>
      <c r="H101">
        <f>IFERROR(5-COUNTIF($C$3:$C$206,"&lt;"&amp;$C101)/COUNT($C$3:$C$206)-COUNTIF($G$3:$G$206,"&lt;"&amp;$G101)/COUNT($G$3:$G$206)-COUNTIF($D$3:$D$206,"&lt;"&amp;$D101)/COUNT($D$3:$D$206)-COUNTIF(分析!$Z$3:$Z$206,"&lt;"&amp;分析!$Z101)/COUNT(分析!$Z$3:$Z$206)-COUNTIF($E$3:$E$206,"&lt;"&amp;$E101)/COUNT($E$3:$E$206),"")</f>
      </c>
      <c r="I101">
        <f>IF(OR(A101="",A101="TOPX",C101="",H101=""),0,IF(AND(V811設定!$E$11=1,C101&lt;=V811設定!$E$3,D101&lt;=V811設定!$E$4,E101&lt;=V811設定!$E$5,分析!$Z101&lt;=V811設定!$E$6,分析!$Z101&gt;=V811設定!$E$7,F101&gt;=V811設定!$E$8,G101&lt;=V811設定!$E$9),1,0))</f>
      </c>
      <c r="J101">
        <f>IF(A101="","",IF(I101=1,"○ゲート通過",IF(V811設定!$E$11&lt;&gt;1,"― 停止中",IF(C101&gt;V811設定!$E$3,"×値動きが荒い",IF(D101&gt;V811設定!$E$4,"×レンジが広い",IF(E101&gt;V811設定!$E$5,"×窓を開けて上昇",IF(分析!$Z101&gt;V811設定!$E$6,"×前日に急騰",IF(分析!$Z101&lt;V811設定!$E$7,"×前日に急落",IF(F101&lt;V811設定!$E$8,"×高値から離れすぎ",IF(G101&gt;V811設定!$E$9,"×当日の値幅が大きい","×"))))))))))</f>
      </c>
      <c r="K101">
        <f>IF(売分析!$C101="","",売分析!$C101)</f>
      </c>
      <c r="L101">
        <f>IF(売分析!$C101="","",売分析!$D101)</f>
      </c>
      <c r="M101">
        <f>IFERROR((SUM(OFFSET(高値!$E$6,IFERROR(MATCH(売分析!$C101,銘柄管理!$B$6:$B$305,0),MATCH(TEXT(売分析!$C101,"0"),銘柄管理!$B$6:$B$305,0))-1,0,1,14))-SUM(OFFSET(安値!$E$6,IFERROR(MATCH(売分析!$C101,銘柄管理!$B$6:$B$305,0),MATCH(TEXT(売分析!$C101,"0"),銘柄管理!$B$6:$B$305,0))-1,0,1,14)))/SUM(OFFSET(終値!$E$6,IFERROR(MATCH(売分析!$C101,銘柄管理!$B$6:$B$305,0),MATCH(TEXT(売分析!$C101,"0"),銘柄管理!$B$6:$B$305,0))-1,0,1,14))*100,"")</f>
      </c>
      <c r="N101">
        <f>IFERROR((MAX(OFFSET(高値!$E$6,IFERROR(MATCH(売分析!$C101,銘柄管理!$B$6:$B$305,0),MATCH(TEXT(売分析!$C101,"0"),銘柄管理!$B$6:$B$305,0))-1,0,1,25))-MIN(OFFSET(安値!$E$6,IFERROR(MATCH(売分析!$C101,銘柄管理!$B$6:$B$305,0),MATCH(TEXT(売分析!$C101,"0"),銘柄管理!$B$6:$B$305,0))-1,0,1,25)))/売分析!$E101*100,"")</f>
      </c>
      <c r="O101">
        <f>IFERROR((売分析!$F101-売分析!$G101)/売分析!$G101*100,"")</f>
      </c>
      <c r="P101">
        <f>IFERROR((売分析!$E101-MAX(OFFSET(高値!$E$6,IFERROR(MATCH(売分析!$C101,銘柄管理!$B$6:$B$305,0),MATCH(TEXT(売分析!$C101,"0"),銘柄管理!$B$6:$B$305,0))-1,0,1,25)))/MAX(OFFSET(高値!$E$6,IFERROR(MATCH(売分析!$C101,銘柄管理!$B$6:$B$305,0),MATCH(TEXT(売分析!$C101,"0"),銘柄管理!$B$6:$B$305,0))-1,0,1,25))*100,"")</f>
      </c>
      <c r="Q101">
        <f>IFERROR((売分析!$H101-売分析!$I101)/売分析!$F101*100,"")</f>
      </c>
      <c r="R101">
        <f>IFERROR(5-COUNTIF($M$3:$M$206,"&lt;"&amp;$M101)/COUNT($M$3:$M$206)-COUNTIF($Q$3:$Q$206,"&lt;"&amp;$Q101)/COUNT($Q$3:$Q$206)-COUNTIF($N$3:$N$206,"&lt;"&amp;$N101)/COUNT($N$3:$N$206)-COUNTIF(売分析!$Z$3:$Z$206,"&lt;"&amp;売分析!$Z101)/COUNT(売分析!$Z$3:$Z$206)-COUNTIF($O$3:$O$206,"&lt;"&amp;$O101)/COUNT($O$3:$O$206),"")</f>
      </c>
      <c r="S101">
        <f>IF(OR(K101="",K101="TOPX",M101="",R101=""),0,IF(AND(V811設定!$E$12=1,M101&lt;=V811設定!$E$3,N101&lt;=V811設定!$E$4,O101&lt;=V811設定!$E$5,売分析!$Z101&lt;=V811設定!$E$6,売分析!$Z101&gt;=V811設定!$E$7,P101&gt;=V811設定!$E$8,Q101&lt;=V811設定!$E$9),1,0))</f>
      </c>
      <c r="T101">
        <f>IF(K101="","",IF(S101=1,"○ゲート通過",IF(V811設定!$E$12&lt;&gt;1,"― 停止中",IF(M101&gt;V811設定!$E$3,"×値動きが荒い",IF(N101&gt;V811設定!$E$4,"×レンジが広い",IF(O101&gt;V811設定!$E$5,"×窓を開けて上昇",IF(売分析!$Z101&gt;V811設定!$E$6,"×前日に急騰",IF(売分析!$Z101&lt;V811設定!$E$7,"×前日に急落",IF(P101&lt;V811設定!$E$8,"×高値から離れすぎ",IF(Q101&gt;V811設定!$E$9,"×当日の値幅が大きい","×"))))))))))</f>
      </c>
    </row>
    <row r="102" spans="1:20">
      <c r="A102">
        <f>IF(分析!$C102="","",分析!$C102)</f>
      </c>
      <c r="B102">
        <f>IF(分析!$C102="","",分析!$D102)</f>
      </c>
      <c r="C102">
        <f>IFERROR((SUM(OFFSET(高値!$E$6,IFERROR(MATCH(分析!$C102,銘柄管理!$B$6:$B$305,0),MATCH(TEXT(分析!$C102,"0"),銘柄管理!$B$6:$B$305,0))-1,0,1,14))-SUM(OFFSET(安値!$E$6,IFERROR(MATCH(分析!$C102,銘柄管理!$B$6:$B$305,0),MATCH(TEXT(分析!$C102,"0"),銘柄管理!$B$6:$B$305,0))-1,0,1,14)))/SUM(OFFSET(終値!$E$6,IFERROR(MATCH(分析!$C102,銘柄管理!$B$6:$B$305,0),MATCH(TEXT(分析!$C102,"0"),銘柄管理!$B$6:$B$305,0))-1,0,1,14))*100,"")</f>
      </c>
      <c r="D102">
        <f>IFERROR((MAX(OFFSET(高値!$E$6,IFERROR(MATCH(分析!$C102,銘柄管理!$B$6:$B$305,0),MATCH(TEXT(分析!$C102,"0"),銘柄管理!$B$6:$B$305,0))-1,0,1,25))-MIN(OFFSET(安値!$E$6,IFERROR(MATCH(分析!$C102,銘柄管理!$B$6:$B$305,0),MATCH(TEXT(分析!$C102,"0"),銘柄管理!$B$6:$B$305,0))-1,0,1,25)))/分析!$E102*100,"")</f>
      </c>
      <c r="E102">
        <f>IFERROR((分析!$F102-分析!$G102)/分析!$G102*100,"")</f>
      </c>
      <c r="F102">
        <f>IFERROR((分析!$E102-MAX(OFFSET(高値!$E$6,IFERROR(MATCH(分析!$C102,銘柄管理!$B$6:$B$305,0),MATCH(TEXT(分析!$C102,"0"),銘柄管理!$B$6:$B$305,0))-1,0,1,25)))/MAX(OFFSET(高値!$E$6,IFERROR(MATCH(分析!$C102,銘柄管理!$B$6:$B$305,0),MATCH(TEXT(分析!$C102,"0"),銘柄管理!$B$6:$B$305,0))-1,0,1,25))*100,"")</f>
      </c>
      <c r="G102">
        <f>IFERROR((分析!$H102-分析!$I102)/分析!$F102*100,"")</f>
      </c>
      <c r="H102">
        <f>IFERROR(5-COUNTIF($C$3:$C$206,"&lt;"&amp;$C102)/COUNT($C$3:$C$206)-COUNTIF($G$3:$G$206,"&lt;"&amp;$G102)/COUNT($G$3:$G$206)-COUNTIF($D$3:$D$206,"&lt;"&amp;$D102)/COUNT($D$3:$D$206)-COUNTIF(分析!$Z$3:$Z$206,"&lt;"&amp;分析!$Z102)/COUNT(分析!$Z$3:$Z$206)-COUNTIF($E$3:$E$206,"&lt;"&amp;$E102)/COUNT($E$3:$E$206),"")</f>
      </c>
      <c r="I102">
        <f>IF(OR(A102="",A102="TOPX",C102="",H102=""),0,IF(AND(V811設定!$E$11=1,C102&lt;=V811設定!$E$3,D102&lt;=V811設定!$E$4,E102&lt;=V811設定!$E$5,分析!$Z102&lt;=V811設定!$E$6,分析!$Z102&gt;=V811設定!$E$7,F102&gt;=V811設定!$E$8,G102&lt;=V811設定!$E$9),1,0))</f>
      </c>
      <c r="J102">
        <f>IF(A102="","",IF(I102=1,"○ゲート通過",IF(V811設定!$E$11&lt;&gt;1,"― 停止中",IF(C102&gt;V811設定!$E$3,"×値動きが荒い",IF(D102&gt;V811設定!$E$4,"×レンジが広い",IF(E102&gt;V811設定!$E$5,"×窓を開けて上昇",IF(分析!$Z102&gt;V811設定!$E$6,"×前日に急騰",IF(分析!$Z102&lt;V811設定!$E$7,"×前日に急落",IF(F102&lt;V811設定!$E$8,"×高値から離れすぎ",IF(G102&gt;V811設定!$E$9,"×当日の値幅が大きい","×"))))))))))</f>
      </c>
      <c r="K102">
        <f>IF(売分析!$C102="","",売分析!$C102)</f>
      </c>
      <c r="L102">
        <f>IF(売分析!$C102="","",売分析!$D102)</f>
      </c>
      <c r="M102">
        <f>IFERROR((SUM(OFFSET(高値!$E$6,IFERROR(MATCH(売分析!$C102,銘柄管理!$B$6:$B$305,0),MATCH(TEXT(売分析!$C102,"0"),銘柄管理!$B$6:$B$305,0))-1,0,1,14))-SUM(OFFSET(安値!$E$6,IFERROR(MATCH(売分析!$C102,銘柄管理!$B$6:$B$305,0),MATCH(TEXT(売分析!$C102,"0"),銘柄管理!$B$6:$B$305,0))-1,0,1,14)))/SUM(OFFSET(終値!$E$6,IFERROR(MATCH(売分析!$C102,銘柄管理!$B$6:$B$305,0),MATCH(TEXT(売分析!$C102,"0"),銘柄管理!$B$6:$B$305,0))-1,0,1,14))*100,"")</f>
      </c>
      <c r="N102">
        <f>IFERROR((MAX(OFFSET(高値!$E$6,IFERROR(MATCH(売分析!$C102,銘柄管理!$B$6:$B$305,0),MATCH(TEXT(売分析!$C102,"0"),銘柄管理!$B$6:$B$305,0))-1,0,1,25))-MIN(OFFSET(安値!$E$6,IFERROR(MATCH(売分析!$C102,銘柄管理!$B$6:$B$305,0),MATCH(TEXT(売分析!$C102,"0"),銘柄管理!$B$6:$B$305,0))-1,0,1,25)))/売分析!$E102*100,"")</f>
      </c>
      <c r="O102">
        <f>IFERROR((売分析!$F102-売分析!$G102)/売分析!$G102*100,"")</f>
      </c>
      <c r="P102">
        <f>IFERROR((売分析!$E102-MAX(OFFSET(高値!$E$6,IFERROR(MATCH(売分析!$C102,銘柄管理!$B$6:$B$305,0),MATCH(TEXT(売分析!$C102,"0"),銘柄管理!$B$6:$B$305,0))-1,0,1,25)))/MAX(OFFSET(高値!$E$6,IFERROR(MATCH(売分析!$C102,銘柄管理!$B$6:$B$305,0),MATCH(TEXT(売分析!$C102,"0"),銘柄管理!$B$6:$B$305,0))-1,0,1,25))*100,"")</f>
      </c>
      <c r="Q102">
        <f>IFERROR((売分析!$H102-売分析!$I102)/売分析!$F102*100,"")</f>
      </c>
      <c r="R102">
        <f>IFERROR(5-COUNTIF($M$3:$M$206,"&lt;"&amp;$M102)/COUNT($M$3:$M$206)-COUNTIF($Q$3:$Q$206,"&lt;"&amp;$Q102)/COUNT($Q$3:$Q$206)-COUNTIF($N$3:$N$206,"&lt;"&amp;$N102)/COUNT($N$3:$N$206)-COUNTIF(売分析!$Z$3:$Z$206,"&lt;"&amp;売分析!$Z102)/COUNT(売分析!$Z$3:$Z$206)-COUNTIF($O$3:$O$206,"&lt;"&amp;$O102)/COUNT($O$3:$O$206),"")</f>
      </c>
      <c r="S102">
        <f>IF(OR(K102="",K102="TOPX",M102="",R102=""),0,IF(AND(V811設定!$E$12=1,M102&lt;=V811設定!$E$3,N102&lt;=V811設定!$E$4,O102&lt;=V811設定!$E$5,売分析!$Z102&lt;=V811設定!$E$6,売分析!$Z102&gt;=V811設定!$E$7,P102&gt;=V811設定!$E$8,Q102&lt;=V811設定!$E$9),1,0))</f>
      </c>
      <c r="T102">
        <f>IF(K102="","",IF(S102=1,"○ゲート通過",IF(V811設定!$E$12&lt;&gt;1,"― 停止中",IF(M102&gt;V811設定!$E$3,"×値動きが荒い",IF(N102&gt;V811設定!$E$4,"×レンジが広い",IF(O102&gt;V811設定!$E$5,"×窓を開けて上昇",IF(売分析!$Z102&gt;V811設定!$E$6,"×前日に急騰",IF(売分析!$Z102&lt;V811設定!$E$7,"×前日に急落",IF(P102&lt;V811設定!$E$8,"×高値から離れすぎ",IF(Q102&gt;V811設定!$E$9,"×当日の値幅が大きい","×"))))))))))</f>
      </c>
    </row>
    <row r="103" spans="1:20">
      <c r="A103">
        <f>IF(分析!$C103="","",分析!$C103)</f>
      </c>
      <c r="B103">
        <f>IF(分析!$C103="","",分析!$D103)</f>
      </c>
      <c r="C103">
        <f>IFERROR((SUM(OFFSET(高値!$E$6,IFERROR(MATCH(分析!$C103,銘柄管理!$B$6:$B$305,0),MATCH(TEXT(分析!$C103,"0"),銘柄管理!$B$6:$B$305,0))-1,0,1,14))-SUM(OFFSET(安値!$E$6,IFERROR(MATCH(分析!$C103,銘柄管理!$B$6:$B$305,0),MATCH(TEXT(分析!$C103,"0"),銘柄管理!$B$6:$B$305,0))-1,0,1,14)))/SUM(OFFSET(終値!$E$6,IFERROR(MATCH(分析!$C103,銘柄管理!$B$6:$B$305,0),MATCH(TEXT(分析!$C103,"0"),銘柄管理!$B$6:$B$305,0))-1,0,1,14))*100,"")</f>
      </c>
      <c r="D103">
        <f>IFERROR((MAX(OFFSET(高値!$E$6,IFERROR(MATCH(分析!$C103,銘柄管理!$B$6:$B$305,0),MATCH(TEXT(分析!$C103,"0"),銘柄管理!$B$6:$B$305,0))-1,0,1,25))-MIN(OFFSET(安値!$E$6,IFERROR(MATCH(分析!$C103,銘柄管理!$B$6:$B$305,0),MATCH(TEXT(分析!$C103,"0"),銘柄管理!$B$6:$B$305,0))-1,0,1,25)))/分析!$E103*100,"")</f>
      </c>
      <c r="E103">
        <f>IFERROR((分析!$F103-分析!$G103)/分析!$G103*100,"")</f>
      </c>
      <c r="F103">
        <f>IFERROR((分析!$E103-MAX(OFFSET(高値!$E$6,IFERROR(MATCH(分析!$C103,銘柄管理!$B$6:$B$305,0),MATCH(TEXT(分析!$C103,"0"),銘柄管理!$B$6:$B$305,0))-1,0,1,25)))/MAX(OFFSET(高値!$E$6,IFERROR(MATCH(分析!$C103,銘柄管理!$B$6:$B$305,0),MATCH(TEXT(分析!$C103,"0"),銘柄管理!$B$6:$B$305,0))-1,0,1,25))*100,"")</f>
      </c>
      <c r="G103">
        <f>IFERROR((分析!$H103-分析!$I103)/分析!$F103*100,"")</f>
      </c>
      <c r="H103">
        <f>IFERROR(5-COUNTIF($C$3:$C$206,"&lt;"&amp;$C103)/COUNT($C$3:$C$206)-COUNTIF($G$3:$G$206,"&lt;"&amp;$G103)/COUNT($G$3:$G$206)-COUNTIF($D$3:$D$206,"&lt;"&amp;$D103)/COUNT($D$3:$D$206)-COUNTIF(分析!$Z$3:$Z$206,"&lt;"&amp;分析!$Z103)/COUNT(分析!$Z$3:$Z$206)-COUNTIF($E$3:$E$206,"&lt;"&amp;$E103)/COUNT($E$3:$E$206),"")</f>
      </c>
      <c r="I103">
        <f>IF(OR(A103="",A103="TOPX",C103="",H103=""),0,IF(AND(V811設定!$E$11=1,C103&lt;=V811設定!$E$3,D103&lt;=V811設定!$E$4,E103&lt;=V811設定!$E$5,分析!$Z103&lt;=V811設定!$E$6,分析!$Z103&gt;=V811設定!$E$7,F103&gt;=V811設定!$E$8,G103&lt;=V811設定!$E$9),1,0))</f>
      </c>
      <c r="J103">
        <f>IF(A103="","",IF(I103=1,"○ゲート通過",IF(V811設定!$E$11&lt;&gt;1,"― 停止中",IF(C103&gt;V811設定!$E$3,"×値動きが荒い",IF(D103&gt;V811設定!$E$4,"×レンジが広い",IF(E103&gt;V811設定!$E$5,"×窓を開けて上昇",IF(分析!$Z103&gt;V811設定!$E$6,"×前日に急騰",IF(分析!$Z103&lt;V811設定!$E$7,"×前日に急落",IF(F103&lt;V811設定!$E$8,"×高値から離れすぎ",IF(G103&gt;V811設定!$E$9,"×当日の値幅が大きい","×"))))))))))</f>
      </c>
      <c r="K103">
        <f>IF(売分析!$C103="","",売分析!$C103)</f>
      </c>
      <c r="L103">
        <f>IF(売分析!$C103="","",売分析!$D103)</f>
      </c>
      <c r="M103">
        <f>IFERROR((SUM(OFFSET(高値!$E$6,IFERROR(MATCH(売分析!$C103,銘柄管理!$B$6:$B$305,0),MATCH(TEXT(売分析!$C103,"0"),銘柄管理!$B$6:$B$305,0))-1,0,1,14))-SUM(OFFSET(安値!$E$6,IFERROR(MATCH(売分析!$C103,銘柄管理!$B$6:$B$305,0),MATCH(TEXT(売分析!$C103,"0"),銘柄管理!$B$6:$B$305,0))-1,0,1,14)))/SUM(OFFSET(終値!$E$6,IFERROR(MATCH(売分析!$C103,銘柄管理!$B$6:$B$305,0),MATCH(TEXT(売分析!$C103,"0"),銘柄管理!$B$6:$B$305,0))-1,0,1,14))*100,"")</f>
      </c>
      <c r="N103">
        <f>IFERROR((MAX(OFFSET(高値!$E$6,IFERROR(MATCH(売分析!$C103,銘柄管理!$B$6:$B$305,0),MATCH(TEXT(売分析!$C103,"0"),銘柄管理!$B$6:$B$305,0))-1,0,1,25))-MIN(OFFSET(安値!$E$6,IFERROR(MATCH(売分析!$C103,銘柄管理!$B$6:$B$305,0),MATCH(TEXT(売分析!$C103,"0"),銘柄管理!$B$6:$B$305,0))-1,0,1,25)))/売分析!$E103*100,"")</f>
      </c>
      <c r="O103">
        <f>IFERROR((売分析!$F103-売分析!$G103)/売分析!$G103*100,"")</f>
      </c>
      <c r="P103">
        <f>IFERROR((売分析!$E103-MAX(OFFSET(高値!$E$6,IFERROR(MATCH(売分析!$C103,銘柄管理!$B$6:$B$305,0),MATCH(TEXT(売分析!$C103,"0"),銘柄管理!$B$6:$B$305,0))-1,0,1,25)))/MAX(OFFSET(高値!$E$6,IFERROR(MATCH(売分析!$C103,銘柄管理!$B$6:$B$305,0),MATCH(TEXT(売分析!$C103,"0"),銘柄管理!$B$6:$B$305,0))-1,0,1,25))*100,"")</f>
      </c>
      <c r="Q103">
        <f>IFERROR((売分析!$H103-売分析!$I103)/売分析!$F103*100,"")</f>
      </c>
      <c r="R103">
        <f>IFERROR(5-COUNTIF($M$3:$M$206,"&lt;"&amp;$M103)/COUNT($M$3:$M$206)-COUNTIF($Q$3:$Q$206,"&lt;"&amp;$Q103)/COUNT($Q$3:$Q$206)-COUNTIF($N$3:$N$206,"&lt;"&amp;$N103)/COUNT($N$3:$N$206)-COUNTIF(売分析!$Z$3:$Z$206,"&lt;"&amp;売分析!$Z103)/COUNT(売分析!$Z$3:$Z$206)-COUNTIF($O$3:$O$206,"&lt;"&amp;$O103)/COUNT($O$3:$O$206),"")</f>
      </c>
      <c r="S103">
        <f>IF(OR(K103="",K103="TOPX",M103="",R103=""),0,IF(AND(V811設定!$E$12=1,M103&lt;=V811設定!$E$3,N103&lt;=V811設定!$E$4,O103&lt;=V811設定!$E$5,売分析!$Z103&lt;=V811設定!$E$6,売分析!$Z103&gt;=V811設定!$E$7,P103&gt;=V811設定!$E$8,Q103&lt;=V811設定!$E$9),1,0))</f>
      </c>
      <c r="T103">
        <f>IF(K103="","",IF(S103=1,"○ゲート通過",IF(V811設定!$E$12&lt;&gt;1,"― 停止中",IF(M103&gt;V811設定!$E$3,"×値動きが荒い",IF(N103&gt;V811設定!$E$4,"×レンジが広い",IF(O103&gt;V811設定!$E$5,"×窓を開けて上昇",IF(売分析!$Z103&gt;V811設定!$E$6,"×前日に急騰",IF(売分析!$Z103&lt;V811設定!$E$7,"×前日に急落",IF(P103&lt;V811設定!$E$8,"×高値から離れすぎ",IF(Q103&gt;V811設定!$E$9,"×当日の値幅が大きい","×"))))))))))</f>
      </c>
    </row>
    <row r="104" spans="1:20">
      <c r="A104">
        <f>IF(分析!$C104="","",分析!$C104)</f>
      </c>
      <c r="B104">
        <f>IF(分析!$C104="","",分析!$D104)</f>
      </c>
      <c r="C104">
        <f>IFERROR((SUM(OFFSET(高値!$E$6,IFERROR(MATCH(分析!$C104,銘柄管理!$B$6:$B$305,0),MATCH(TEXT(分析!$C104,"0"),銘柄管理!$B$6:$B$305,0))-1,0,1,14))-SUM(OFFSET(安値!$E$6,IFERROR(MATCH(分析!$C104,銘柄管理!$B$6:$B$305,0),MATCH(TEXT(分析!$C104,"0"),銘柄管理!$B$6:$B$305,0))-1,0,1,14)))/SUM(OFFSET(終値!$E$6,IFERROR(MATCH(分析!$C104,銘柄管理!$B$6:$B$305,0),MATCH(TEXT(分析!$C104,"0"),銘柄管理!$B$6:$B$305,0))-1,0,1,14))*100,"")</f>
      </c>
      <c r="D104">
        <f>IFERROR((MAX(OFFSET(高値!$E$6,IFERROR(MATCH(分析!$C104,銘柄管理!$B$6:$B$305,0),MATCH(TEXT(分析!$C104,"0"),銘柄管理!$B$6:$B$305,0))-1,0,1,25))-MIN(OFFSET(安値!$E$6,IFERROR(MATCH(分析!$C104,銘柄管理!$B$6:$B$305,0),MATCH(TEXT(分析!$C104,"0"),銘柄管理!$B$6:$B$305,0))-1,0,1,25)))/分析!$E104*100,"")</f>
      </c>
      <c r="E104">
        <f>IFERROR((分析!$F104-分析!$G104)/分析!$G104*100,"")</f>
      </c>
      <c r="F104">
        <f>IFERROR((分析!$E104-MAX(OFFSET(高値!$E$6,IFERROR(MATCH(分析!$C104,銘柄管理!$B$6:$B$305,0),MATCH(TEXT(分析!$C104,"0"),銘柄管理!$B$6:$B$305,0))-1,0,1,25)))/MAX(OFFSET(高値!$E$6,IFERROR(MATCH(分析!$C104,銘柄管理!$B$6:$B$305,0),MATCH(TEXT(分析!$C104,"0"),銘柄管理!$B$6:$B$305,0))-1,0,1,25))*100,"")</f>
      </c>
      <c r="G104">
        <f>IFERROR((分析!$H104-分析!$I104)/分析!$F104*100,"")</f>
      </c>
      <c r="H104">
        <f>IFERROR(5-COUNTIF($C$3:$C$206,"&lt;"&amp;$C104)/COUNT($C$3:$C$206)-COUNTIF($G$3:$G$206,"&lt;"&amp;$G104)/COUNT($G$3:$G$206)-COUNTIF($D$3:$D$206,"&lt;"&amp;$D104)/COUNT($D$3:$D$206)-COUNTIF(分析!$Z$3:$Z$206,"&lt;"&amp;分析!$Z104)/COUNT(分析!$Z$3:$Z$206)-COUNTIF($E$3:$E$206,"&lt;"&amp;$E104)/COUNT($E$3:$E$206),"")</f>
      </c>
      <c r="I104">
        <f>IF(OR(A104="",A104="TOPX",C104="",H104=""),0,IF(AND(V811設定!$E$11=1,C104&lt;=V811設定!$E$3,D104&lt;=V811設定!$E$4,E104&lt;=V811設定!$E$5,分析!$Z104&lt;=V811設定!$E$6,分析!$Z104&gt;=V811設定!$E$7,F104&gt;=V811設定!$E$8,G104&lt;=V811設定!$E$9),1,0))</f>
      </c>
      <c r="J104">
        <f>IF(A104="","",IF(I104=1,"○ゲート通過",IF(V811設定!$E$11&lt;&gt;1,"― 停止中",IF(C104&gt;V811設定!$E$3,"×値動きが荒い",IF(D104&gt;V811設定!$E$4,"×レンジが広い",IF(E104&gt;V811設定!$E$5,"×窓を開けて上昇",IF(分析!$Z104&gt;V811設定!$E$6,"×前日に急騰",IF(分析!$Z104&lt;V811設定!$E$7,"×前日に急落",IF(F104&lt;V811設定!$E$8,"×高値から離れすぎ",IF(G104&gt;V811設定!$E$9,"×当日の値幅が大きい","×"))))))))))</f>
      </c>
      <c r="K104">
        <f>IF(売分析!$C104="","",売分析!$C104)</f>
      </c>
      <c r="L104">
        <f>IF(売分析!$C104="","",売分析!$D104)</f>
      </c>
      <c r="M104">
        <f>IFERROR((SUM(OFFSET(高値!$E$6,IFERROR(MATCH(売分析!$C104,銘柄管理!$B$6:$B$305,0),MATCH(TEXT(売分析!$C104,"0"),銘柄管理!$B$6:$B$305,0))-1,0,1,14))-SUM(OFFSET(安値!$E$6,IFERROR(MATCH(売分析!$C104,銘柄管理!$B$6:$B$305,0),MATCH(TEXT(売分析!$C104,"0"),銘柄管理!$B$6:$B$305,0))-1,0,1,14)))/SUM(OFFSET(終値!$E$6,IFERROR(MATCH(売分析!$C104,銘柄管理!$B$6:$B$305,0),MATCH(TEXT(売分析!$C104,"0"),銘柄管理!$B$6:$B$305,0))-1,0,1,14))*100,"")</f>
      </c>
      <c r="N104">
        <f>IFERROR((MAX(OFFSET(高値!$E$6,IFERROR(MATCH(売分析!$C104,銘柄管理!$B$6:$B$305,0),MATCH(TEXT(売分析!$C104,"0"),銘柄管理!$B$6:$B$305,0))-1,0,1,25))-MIN(OFFSET(安値!$E$6,IFERROR(MATCH(売分析!$C104,銘柄管理!$B$6:$B$305,0),MATCH(TEXT(売分析!$C104,"0"),銘柄管理!$B$6:$B$305,0))-1,0,1,25)))/売分析!$E104*100,"")</f>
      </c>
      <c r="O104">
        <f>IFERROR((売分析!$F104-売分析!$G104)/売分析!$G104*100,"")</f>
      </c>
      <c r="P104">
        <f>IFERROR((売分析!$E104-MAX(OFFSET(高値!$E$6,IFERROR(MATCH(売分析!$C104,銘柄管理!$B$6:$B$305,0),MATCH(TEXT(売分析!$C104,"0"),銘柄管理!$B$6:$B$305,0))-1,0,1,25)))/MAX(OFFSET(高値!$E$6,IFERROR(MATCH(売分析!$C104,銘柄管理!$B$6:$B$305,0),MATCH(TEXT(売分析!$C104,"0"),銘柄管理!$B$6:$B$305,0))-1,0,1,25))*100,"")</f>
      </c>
      <c r="Q104">
        <f>IFERROR((売分析!$H104-売分析!$I104)/売分析!$F104*100,"")</f>
      </c>
      <c r="R104">
        <f>IFERROR(5-COUNTIF($M$3:$M$206,"&lt;"&amp;$M104)/COUNT($M$3:$M$206)-COUNTIF($Q$3:$Q$206,"&lt;"&amp;$Q104)/COUNT($Q$3:$Q$206)-COUNTIF($N$3:$N$206,"&lt;"&amp;$N104)/COUNT($N$3:$N$206)-COUNTIF(売分析!$Z$3:$Z$206,"&lt;"&amp;売分析!$Z104)/COUNT(売分析!$Z$3:$Z$206)-COUNTIF($O$3:$O$206,"&lt;"&amp;$O104)/COUNT($O$3:$O$206),"")</f>
      </c>
      <c r="S104">
        <f>IF(OR(K104="",K104="TOPX",M104="",R104=""),0,IF(AND(V811設定!$E$12=1,M104&lt;=V811設定!$E$3,N104&lt;=V811設定!$E$4,O104&lt;=V811設定!$E$5,売分析!$Z104&lt;=V811設定!$E$6,売分析!$Z104&gt;=V811設定!$E$7,P104&gt;=V811設定!$E$8,Q104&lt;=V811設定!$E$9),1,0))</f>
      </c>
      <c r="T104">
        <f>IF(K104="","",IF(S104=1,"○ゲート通過",IF(V811設定!$E$12&lt;&gt;1,"― 停止中",IF(M104&gt;V811設定!$E$3,"×値動きが荒い",IF(N104&gt;V811設定!$E$4,"×レンジが広い",IF(O104&gt;V811設定!$E$5,"×窓を開けて上昇",IF(売分析!$Z104&gt;V811設定!$E$6,"×前日に急騰",IF(売分析!$Z104&lt;V811設定!$E$7,"×前日に急落",IF(P104&lt;V811設定!$E$8,"×高値から離れすぎ",IF(Q104&gt;V811設定!$E$9,"×当日の値幅が大きい","×"))))))))))</f>
      </c>
    </row>
    <row r="105" spans="1:20">
      <c r="A105">
        <f>IF(分析!$C105="","",分析!$C105)</f>
      </c>
      <c r="B105">
        <f>IF(分析!$C105="","",分析!$D105)</f>
      </c>
      <c r="C105">
        <f>IFERROR((SUM(OFFSET(高値!$E$6,IFERROR(MATCH(分析!$C105,銘柄管理!$B$6:$B$305,0),MATCH(TEXT(分析!$C105,"0"),銘柄管理!$B$6:$B$305,0))-1,0,1,14))-SUM(OFFSET(安値!$E$6,IFERROR(MATCH(分析!$C105,銘柄管理!$B$6:$B$305,0),MATCH(TEXT(分析!$C105,"0"),銘柄管理!$B$6:$B$305,0))-1,0,1,14)))/SUM(OFFSET(終値!$E$6,IFERROR(MATCH(分析!$C105,銘柄管理!$B$6:$B$305,0),MATCH(TEXT(分析!$C105,"0"),銘柄管理!$B$6:$B$305,0))-1,0,1,14))*100,"")</f>
      </c>
      <c r="D105">
        <f>IFERROR((MAX(OFFSET(高値!$E$6,IFERROR(MATCH(分析!$C105,銘柄管理!$B$6:$B$305,0),MATCH(TEXT(分析!$C105,"0"),銘柄管理!$B$6:$B$305,0))-1,0,1,25))-MIN(OFFSET(安値!$E$6,IFERROR(MATCH(分析!$C105,銘柄管理!$B$6:$B$305,0),MATCH(TEXT(分析!$C105,"0"),銘柄管理!$B$6:$B$305,0))-1,0,1,25)))/分析!$E105*100,"")</f>
      </c>
      <c r="E105">
        <f>IFERROR((分析!$F105-分析!$G105)/分析!$G105*100,"")</f>
      </c>
      <c r="F105">
        <f>IFERROR((分析!$E105-MAX(OFFSET(高値!$E$6,IFERROR(MATCH(分析!$C105,銘柄管理!$B$6:$B$305,0),MATCH(TEXT(分析!$C105,"0"),銘柄管理!$B$6:$B$305,0))-1,0,1,25)))/MAX(OFFSET(高値!$E$6,IFERROR(MATCH(分析!$C105,銘柄管理!$B$6:$B$305,0),MATCH(TEXT(分析!$C105,"0"),銘柄管理!$B$6:$B$305,0))-1,0,1,25))*100,"")</f>
      </c>
      <c r="G105">
        <f>IFERROR((分析!$H105-分析!$I105)/分析!$F105*100,"")</f>
      </c>
      <c r="H105">
        <f>IFERROR(5-COUNTIF($C$3:$C$206,"&lt;"&amp;$C105)/COUNT($C$3:$C$206)-COUNTIF($G$3:$G$206,"&lt;"&amp;$G105)/COUNT($G$3:$G$206)-COUNTIF($D$3:$D$206,"&lt;"&amp;$D105)/COUNT($D$3:$D$206)-COUNTIF(分析!$Z$3:$Z$206,"&lt;"&amp;分析!$Z105)/COUNT(分析!$Z$3:$Z$206)-COUNTIF($E$3:$E$206,"&lt;"&amp;$E105)/COUNT($E$3:$E$206),"")</f>
      </c>
      <c r="I105">
        <f>IF(OR(A105="",A105="TOPX",C105="",H105=""),0,IF(AND(V811設定!$E$11=1,C105&lt;=V811設定!$E$3,D105&lt;=V811設定!$E$4,E105&lt;=V811設定!$E$5,分析!$Z105&lt;=V811設定!$E$6,分析!$Z105&gt;=V811設定!$E$7,F105&gt;=V811設定!$E$8,G105&lt;=V811設定!$E$9),1,0))</f>
      </c>
      <c r="J105">
        <f>IF(A105="","",IF(I105=1,"○ゲート通過",IF(V811設定!$E$11&lt;&gt;1,"― 停止中",IF(C105&gt;V811設定!$E$3,"×値動きが荒い",IF(D105&gt;V811設定!$E$4,"×レンジが広い",IF(E105&gt;V811設定!$E$5,"×窓を開けて上昇",IF(分析!$Z105&gt;V811設定!$E$6,"×前日に急騰",IF(分析!$Z105&lt;V811設定!$E$7,"×前日に急落",IF(F105&lt;V811設定!$E$8,"×高値から離れすぎ",IF(G105&gt;V811設定!$E$9,"×当日の値幅が大きい","×"))))))))))</f>
      </c>
      <c r="K105">
        <f>IF(売分析!$C105="","",売分析!$C105)</f>
      </c>
      <c r="L105">
        <f>IF(売分析!$C105="","",売分析!$D105)</f>
      </c>
      <c r="M105">
        <f>IFERROR((SUM(OFFSET(高値!$E$6,IFERROR(MATCH(売分析!$C105,銘柄管理!$B$6:$B$305,0),MATCH(TEXT(売分析!$C105,"0"),銘柄管理!$B$6:$B$305,0))-1,0,1,14))-SUM(OFFSET(安値!$E$6,IFERROR(MATCH(売分析!$C105,銘柄管理!$B$6:$B$305,0),MATCH(TEXT(売分析!$C105,"0"),銘柄管理!$B$6:$B$305,0))-1,0,1,14)))/SUM(OFFSET(終値!$E$6,IFERROR(MATCH(売分析!$C105,銘柄管理!$B$6:$B$305,0),MATCH(TEXT(売分析!$C105,"0"),銘柄管理!$B$6:$B$305,0))-1,0,1,14))*100,"")</f>
      </c>
      <c r="N105">
        <f>IFERROR((MAX(OFFSET(高値!$E$6,IFERROR(MATCH(売分析!$C105,銘柄管理!$B$6:$B$305,0),MATCH(TEXT(売分析!$C105,"0"),銘柄管理!$B$6:$B$305,0))-1,0,1,25))-MIN(OFFSET(安値!$E$6,IFERROR(MATCH(売分析!$C105,銘柄管理!$B$6:$B$305,0),MATCH(TEXT(売分析!$C105,"0"),銘柄管理!$B$6:$B$305,0))-1,0,1,25)))/売分析!$E105*100,"")</f>
      </c>
      <c r="O105">
        <f>IFERROR((売分析!$F105-売分析!$G105)/売分析!$G105*100,"")</f>
      </c>
      <c r="P105">
        <f>IFERROR((売分析!$E105-MAX(OFFSET(高値!$E$6,IFERROR(MATCH(売分析!$C105,銘柄管理!$B$6:$B$305,0),MATCH(TEXT(売分析!$C105,"0"),銘柄管理!$B$6:$B$305,0))-1,0,1,25)))/MAX(OFFSET(高値!$E$6,IFERROR(MATCH(売分析!$C105,銘柄管理!$B$6:$B$305,0),MATCH(TEXT(売分析!$C105,"0"),銘柄管理!$B$6:$B$305,0))-1,0,1,25))*100,"")</f>
      </c>
      <c r="Q105">
        <f>IFERROR((売分析!$H105-売分析!$I105)/売分析!$F105*100,"")</f>
      </c>
      <c r="R105">
        <f>IFERROR(5-COUNTIF($M$3:$M$206,"&lt;"&amp;$M105)/COUNT($M$3:$M$206)-COUNTIF($Q$3:$Q$206,"&lt;"&amp;$Q105)/COUNT($Q$3:$Q$206)-COUNTIF($N$3:$N$206,"&lt;"&amp;$N105)/COUNT($N$3:$N$206)-COUNTIF(売分析!$Z$3:$Z$206,"&lt;"&amp;売分析!$Z105)/COUNT(売分析!$Z$3:$Z$206)-COUNTIF($O$3:$O$206,"&lt;"&amp;$O105)/COUNT($O$3:$O$206),"")</f>
      </c>
      <c r="S105">
        <f>IF(OR(K105="",K105="TOPX",M105="",R105=""),0,IF(AND(V811設定!$E$12=1,M105&lt;=V811設定!$E$3,N105&lt;=V811設定!$E$4,O105&lt;=V811設定!$E$5,売分析!$Z105&lt;=V811設定!$E$6,売分析!$Z105&gt;=V811設定!$E$7,P105&gt;=V811設定!$E$8,Q105&lt;=V811設定!$E$9),1,0))</f>
      </c>
      <c r="T105">
        <f>IF(K105="","",IF(S105=1,"○ゲート通過",IF(V811設定!$E$12&lt;&gt;1,"― 停止中",IF(M105&gt;V811設定!$E$3,"×値動きが荒い",IF(N105&gt;V811設定!$E$4,"×レンジが広い",IF(O105&gt;V811設定!$E$5,"×窓を開けて上昇",IF(売分析!$Z105&gt;V811設定!$E$6,"×前日に急騰",IF(売分析!$Z105&lt;V811設定!$E$7,"×前日に急落",IF(P105&lt;V811設定!$E$8,"×高値から離れすぎ",IF(Q105&gt;V811設定!$E$9,"×当日の値幅が大きい","×"))))))))))</f>
      </c>
    </row>
    <row r="106" spans="1:20">
      <c r="A106">
        <f>IF(分析!$C106="","",分析!$C106)</f>
      </c>
      <c r="B106">
        <f>IF(分析!$C106="","",分析!$D106)</f>
      </c>
      <c r="C106">
        <f>IFERROR((SUM(OFFSET(高値!$E$6,IFERROR(MATCH(分析!$C106,銘柄管理!$B$6:$B$305,0),MATCH(TEXT(分析!$C106,"0"),銘柄管理!$B$6:$B$305,0))-1,0,1,14))-SUM(OFFSET(安値!$E$6,IFERROR(MATCH(分析!$C106,銘柄管理!$B$6:$B$305,0),MATCH(TEXT(分析!$C106,"0"),銘柄管理!$B$6:$B$305,0))-1,0,1,14)))/SUM(OFFSET(終値!$E$6,IFERROR(MATCH(分析!$C106,銘柄管理!$B$6:$B$305,0),MATCH(TEXT(分析!$C106,"0"),銘柄管理!$B$6:$B$305,0))-1,0,1,14))*100,"")</f>
      </c>
      <c r="D106">
        <f>IFERROR((MAX(OFFSET(高値!$E$6,IFERROR(MATCH(分析!$C106,銘柄管理!$B$6:$B$305,0),MATCH(TEXT(分析!$C106,"0"),銘柄管理!$B$6:$B$305,0))-1,0,1,25))-MIN(OFFSET(安値!$E$6,IFERROR(MATCH(分析!$C106,銘柄管理!$B$6:$B$305,0),MATCH(TEXT(分析!$C106,"0"),銘柄管理!$B$6:$B$305,0))-1,0,1,25)))/分析!$E106*100,"")</f>
      </c>
      <c r="E106">
        <f>IFERROR((分析!$F106-分析!$G106)/分析!$G106*100,"")</f>
      </c>
      <c r="F106">
        <f>IFERROR((分析!$E106-MAX(OFFSET(高値!$E$6,IFERROR(MATCH(分析!$C106,銘柄管理!$B$6:$B$305,0),MATCH(TEXT(分析!$C106,"0"),銘柄管理!$B$6:$B$305,0))-1,0,1,25)))/MAX(OFFSET(高値!$E$6,IFERROR(MATCH(分析!$C106,銘柄管理!$B$6:$B$305,0),MATCH(TEXT(分析!$C106,"0"),銘柄管理!$B$6:$B$305,0))-1,0,1,25))*100,"")</f>
      </c>
      <c r="G106">
        <f>IFERROR((分析!$H106-分析!$I106)/分析!$F106*100,"")</f>
      </c>
      <c r="H106">
        <f>IFERROR(5-COUNTIF($C$3:$C$206,"&lt;"&amp;$C106)/COUNT($C$3:$C$206)-COUNTIF($G$3:$G$206,"&lt;"&amp;$G106)/COUNT($G$3:$G$206)-COUNTIF($D$3:$D$206,"&lt;"&amp;$D106)/COUNT($D$3:$D$206)-COUNTIF(分析!$Z$3:$Z$206,"&lt;"&amp;分析!$Z106)/COUNT(分析!$Z$3:$Z$206)-COUNTIF($E$3:$E$206,"&lt;"&amp;$E106)/COUNT($E$3:$E$206),"")</f>
      </c>
      <c r="I106">
        <f>IF(OR(A106="",A106="TOPX",C106="",H106=""),0,IF(AND(V811設定!$E$11=1,C106&lt;=V811設定!$E$3,D106&lt;=V811設定!$E$4,E106&lt;=V811設定!$E$5,分析!$Z106&lt;=V811設定!$E$6,分析!$Z106&gt;=V811設定!$E$7,F106&gt;=V811設定!$E$8,G106&lt;=V811設定!$E$9),1,0))</f>
      </c>
      <c r="J106">
        <f>IF(A106="","",IF(I106=1,"○ゲート通過",IF(V811設定!$E$11&lt;&gt;1,"― 停止中",IF(C106&gt;V811設定!$E$3,"×値動きが荒い",IF(D106&gt;V811設定!$E$4,"×レンジが広い",IF(E106&gt;V811設定!$E$5,"×窓を開けて上昇",IF(分析!$Z106&gt;V811設定!$E$6,"×前日に急騰",IF(分析!$Z106&lt;V811設定!$E$7,"×前日に急落",IF(F106&lt;V811設定!$E$8,"×高値から離れすぎ",IF(G106&gt;V811設定!$E$9,"×当日の値幅が大きい","×"))))))))))</f>
      </c>
      <c r="K106">
        <f>IF(売分析!$C106="","",売分析!$C106)</f>
      </c>
      <c r="L106">
        <f>IF(売分析!$C106="","",売分析!$D106)</f>
      </c>
      <c r="M106">
        <f>IFERROR((SUM(OFFSET(高値!$E$6,IFERROR(MATCH(売分析!$C106,銘柄管理!$B$6:$B$305,0),MATCH(TEXT(売分析!$C106,"0"),銘柄管理!$B$6:$B$305,0))-1,0,1,14))-SUM(OFFSET(安値!$E$6,IFERROR(MATCH(売分析!$C106,銘柄管理!$B$6:$B$305,0),MATCH(TEXT(売分析!$C106,"0"),銘柄管理!$B$6:$B$305,0))-1,0,1,14)))/SUM(OFFSET(終値!$E$6,IFERROR(MATCH(売分析!$C106,銘柄管理!$B$6:$B$305,0),MATCH(TEXT(売分析!$C106,"0"),銘柄管理!$B$6:$B$305,0))-1,0,1,14))*100,"")</f>
      </c>
      <c r="N106">
        <f>IFERROR((MAX(OFFSET(高値!$E$6,IFERROR(MATCH(売分析!$C106,銘柄管理!$B$6:$B$305,0),MATCH(TEXT(売分析!$C106,"0"),銘柄管理!$B$6:$B$305,0))-1,0,1,25))-MIN(OFFSET(安値!$E$6,IFERROR(MATCH(売分析!$C106,銘柄管理!$B$6:$B$305,0),MATCH(TEXT(売分析!$C106,"0"),銘柄管理!$B$6:$B$305,0))-1,0,1,25)))/売分析!$E106*100,"")</f>
      </c>
      <c r="O106">
        <f>IFERROR((売分析!$F106-売分析!$G106)/売分析!$G106*100,"")</f>
      </c>
      <c r="P106">
        <f>IFERROR((売分析!$E106-MAX(OFFSET(高値!$E$6,IFERROR(MATCH(売分析!$C106,銘柄管理!$B$6:$B$305,0),MATCH(TEXT(売分析!$C106,"0"),銘柄管理!$B$6:$B$305,0))-1,0,1,25)))/MAX(OFFSET(高値!$E$6,IFERROR(MATCH(売分析!$C106,銘柄管理!$B$6:$B$305,0),MATCH(TEXT(売分析!$C106,"0"),銘柄管理!$B$6:$B$305,0))-1,0,1,25))*100,"")</f>
      </c>
      <c r="Q106">
        <f>IFERROR((売分析!$H106-売分析!$I106)/売分析!$F106*100,"")</f>
      </c>
      <c r="R106">
        <f>IFERROR(5-COUNTIF($M$3:$M$206,"&lt;"&amp;$M106)/COUNT($M$3:$M$206)-COUNTIF($Q$3:$Q$206,"&lt;"&amp;$Q106)/COUNT($Q$3:$Q$206)-COUNTIF($N$3:$N$206,"&lt;"&amp;$N106)/COUNT($N$3:$N$206)-COUNTIF(売分析!$Z$3:$Z$206,"&lt;"&amp;売分析!$Z106)/COUNT(売分析!$Z$3:$Z$206)-COUNTIF($O$3:$O$206,"&lt;"&amp;$O106)/COUNT($O$3:$O$206),"")</f>
      </c>
      <c r="S106">
        <f>IF(OR(K106="",K106="TOPX",M106="",R106=""),0,IF(AND(V811設定!$E$12=1,M106&lt;=V811設定!$E$3,N106&lt;=V811設定!$E$4,O106&lt;=V811設定!$E$5,売分析!$Z106&lt;=V811設定!$E$6,売分析!$Z106&gt;=V811設定!$E$7,P106&gt;=V811設定!$E$8,Q106&lt;=V811設定!$E$9),1,0))</f>
      </c>
      <c r="T106">
        <f>IF(K106="","",IF(S106=1,"○ゲート通過",IF(V811設定!$E$12&lt;&gt;1,"― 停止中",IF(M106&gt;V811設定!$E$3,"×値動きが荒い",IF(N106&gt;V811設定!$E$4,"×レンジが広い",IF(O106&gt;V811設定!$E$5,"×窓を開けて上昇",IF(売分析!$Z106&gt;V811設定!$E$6,"×前日に急騰",IF(売分析!$Z106&lt;V811設定!$E$7,"×前日に急落",IF(P106&lt;V811設定!$E$8,"×高値から離れすぎ",IF(Q106&gt;V811設定!$E$9,"×当日の値幅が大きい","×"))))))))))</f>
      </c>
    </row>
    <row r="107" spans="1:20">
      <c r="A107">
        <f>IF(分析!$C107="","",分析!$C107)</f>
      </c>
      <c r="B107">
        <f>IF(分析!$C107="","",分析!$D107)</f>
      </c>
      <c r="C107">
        <f>IFERROR((SUM(OFFSET(高値!$E$6,IFERROR(MATCH(分析!$C107,銘柄管理!$B$6:$B$305,0),MATCH(TEXT(分析!$C107,"0"),銘柄管理!$B$6:$B$305,0))-1,0,1,14))-SUM(OFFSET(安値!$E$6,IFERROR(MATCH(分析!$C107,銘柄管理!$B$6:$B$305,0),MATCH(TEXT(分析!$C107,"0"),銘柄管理!$B$6:$B$305,0))-1,0,1,14)))/SUM(OFFSET(終値!$E$6,IFERROR(MATCH(分析!$C107,銘柄管理!$B$6:$B$305,0),MATCH(TEXT(分析!$C107,"0"),銘柄管理!$B$6:$B$305,0))-1,0,1,14))*100,"")</f>
      </c>
      <c r="D107">
        <f>IFERROR((MAX(OFFSET(高値!$E$6,IFERROR(MATCH(分析!$C107,銘柄管理!$B$6:$B$305,0),MATCH(TEXT(分析!$C107,"0"),銘柄管理!$B$6:$B$305,0))-1,0,1,25))-MIN(OFFSET(安値!$E$6,IFERROR(MATCH(分析!$C107,銘柄管理!$B$6:$B$305,0),MATCH(TEXT(分析!$C107,"0"),銘柄管理!$B$6:$B$305,0))-1,0,1,25)))/分析!$E107*100,"")</f>
      </c>
      <c r="E107">
        <f>IFERROR((分析!$F107-分析!$G107)/分析!$G107*100,"")</f>
      </c>
      <c r="F107">
        <f>IFERROR((分析!$E107-MAX(OFFSET(高値!$E$6,IFERROR(MATCH(分析!$C107,銘柄管理!$B$6:$B$305,0),MATCH(TEXT(分析!$C107,"0"),銘柄管理!$B$6:$B$305,0))-1,0,1,25)))/MAX(OFFSET(高値!$E$6,IFERROR(MATCH(分析!$C107,銘柄管理!$B$6:$B$305,0),MATCH(TEXT(分析!$C107,"0"),銘柄管理!$B$6:$B$305,0))-1,0,1,25))*100,"")</f>
      </c>
      <c r="G107">
        <f>IFERROR((分析!$H107-分析!$I107)/分析!$F107*100,"")</f>
      </c>
      <c r="H107">
        <f>IFERROR(5-COUNTIF($C$3:$C$206,"&lt;"&amp;$C107)/COUNT($C$3:$C$206)-COUNTIF($G$3:$G$206,"&lt;"&amp;$G107)/COUNT($G$3:$G$206)-COUNTIF($D$3:$D$206,"&lt;"&amp;$D107)/COUNT($D$3:$D$206)-COUNTIF(分析!$Z$3:$Z$206,"&lt;"&amp;分析!$Z107)/COUNT(分析!$Z$3:$Z$206)-COUNTIF($E$3:$E$206,"&lt;"&amp;$E107)/COUNT($E$3:$E$206),"")</f>
      </c>
      <c r="I107">
        <f>IF(OR(A107="",A107="TOPX",C107="",H107=""),0,IF(AND(V811設定!$E$11=1,C107&lt;=V811設定!$E$3,D107&lt;=V811設定!$E$4,E107&lt;=V811設定!$E$5,分析!$Z107&lt;=V811設定!$E$6,分析!$Z107&gt;=V811設定!$E$7,F107&gt;=V811設定!$E$8,G107&lt;=V811設定!$E$9),1,0))</f>
      </c>
      <c r="J107">
        <f>IF(A107="","",IF(I107=1,"○ゲート通過",IF(V811設定!$E$11&lt;&gt;1,"― 停止中",IF(C107&gt;V811設定!$E$3,"×値動きが荒い",IF(D107&gt;V811設定!$E$4,"×レンジが広い",IF(E107&gt;V811設定!$E$5,"×窓を開けて上昇",IF(分析!$Z107&gt;V811設定!$E$6,"×前日に急騰",IF(分析!$Z107&lt;V811設定!$E$7,"×前日に急落",IF(F107&lt;V811設定!$E$8,"×高値から離れすぎ",IF(G107&gt;V811設定!$E$9,"×当日の値幅が大きい","×"))))))))))</f>
      </c>
      <c r="K107">
        <f>IF(売分析!$C107="","",売分析!$C107)</f>
      </c>
      <c r="L107">
        <f>IF(売分析!$C107="","",売分析!$D107)</f>
      </c>
      <c r="M107">
        <f>IFERROR((SUM(OFFSET(高値!$E$6,IFERROR(MATCH(売分析!$C107,銘柄管理!$B$6:$B$305,0),MATCH(TEXT(売分析!$C107,"0"),銘柄管理!$B$6:$B$305,0))-1,0,1,14))-SUM(OFFSET(安値!$E$6,IFERROR(MATCH(売分析!$C107,銘柄管理!$B$6:$B$305,0),MATCH(TEXT(売分析!$C107,"0"),銘柄管理!$B$6:$B$305,0))-1,0,1,14)))/SUM(OFFSET(終値!$E$6,IFERROR(MATCH(売分析!$C107,銘柄管理!$B$6:$B$305,0),MATCH(TEXT(売分析!$C107,"0"),銘柄管理!$B$6:$B$305,0))-1,0,1,14))*100,"")</f>
      </c>
      <c r="N107">
        <f>IFERROR((MAX(OFFSET(高値!$E$6,IFERROR(MATCH(売分析!$C107,銘柄管理!$B$6:$B$305,0),MATCH(TEXT(売分析!$C107,"0"),銘柄管理!$B$6:$B$305,0))-1,0,1,25))-MIN(OFFSET(安値!$E$6,IFERROR(MATCH(売分析!$C107,銘柄管理!$B$6:$B$305,0),MATCH(TEXT(売分析!$C107,"0"),銘柄管理!$B$6:$B$305,0))-1,0,1,25)))/売分析!$E107*100,"")</f>
      </c>
      <c r="O107">
        <f>IFERROR((売分析!$F107-売分析!$G107)/売分析!$G107*100,"")</f>
      </c>
      <c r="P107">
        <f>IFERROR((売分析!$E107-MAX(OFFSET(高値!$E$6,IFERROR(MATCH(売分析!$C107,銘柄管理!$B$6:$B$305,0),MATCH(TEXT(売分析!$C107,"0"),銘柄管理!$B$6:$B$305,0))-1,0,1,25)))/MAX(OFFSET(高値!$E$6,IFERROR(MATCH(売分析!$C107,銘柄管理!$B$6:$B$305,0),MATCH(TEXT(売分析!$C107,"0"),銘柄管理!$B$6:$B$305,0))-1,0,1,25))*100,"")</f>
      </c>
      <c r="Q107">
        <f>IFERROR((売分析!$H107-売分析!$I107)/売分析!$F107*100,"")</f>
      </c>
      <c r="R107">
        <f>IFERROR(5-COUNTIF($M$3:$M$206,"&lt;"&amp;$M107)/COUNT($M$3:$M$206)-COUNTIF($Q$3:$Q$206,"&lt;"&amp;$Q107)/COUNT($Q$3:$Q$206)-COUNTIF($N$3:$N$206,"&lt;"&amp;$N107)/COUNT($N$3:$N$206)-COUNTIF(売分析!$Z$3:$Z$206,"&lt;"&amp;売分析!$Z107)/COUNT(売分析!$Z$3:$Z$206)-COUNTIF($O$3:$O$206,"&lt;"&amp;$O107)/COUNT($O$3:$O$206),"")</f>
      </c>
      <c r="S107">
        <f>IF(OR(K107="",K107="TOPX",M107="",R107=""),0,IF(AND(V811設定!$E$12=1,M107&lt;=V811設定!$E$3,N107&lt;=V811設定!$E$4,O107&lt;=V811設定!$E$5,売分析!$Z107&lt;=V811設定!$E$6,売分析!$Z107&gt;=V811設定!$E$7,P107&gt;=V811設定!$E$8,Q107&lt;=V811設定!$E$9),1,0))</f>
      </c>
      <c r="T107">
        <f>IF(K107="","",IF(S107=1,"○ゲート通過",IF(V811設定!$E$12&lt;&gt;1,"― 停止中",IF(M107&gt;V811設定!$E$3,"×値動きが荒い",IF(N107&gt;V811設定!$E$4,"×レンジが広い",IF(O107&gt;V811設定!$E$5,"×窓を開けて上昇",IF(売分析!$Z107&gt;V811設定!$E$6,"×前日に急騰",IF(売分析!$Z107&lt;V811設定!$E$7,"×前日に急落",IF(P107&lt;V811設定!$E$8,"×高値から離れすぎ",IF(Q107&gt;V811設定!$E$9,"×当日の値幅が大きい","×"))))))))))</f>
      </c>
    </row>
    <row r="108" spans="1:20">
      <c r="A108">
        <f>IF(分析!$C108="","",分析!$C108)</f>
      </c>
      <c r="B108">
        <f>IF(分析!$C108="","",分析!$D108)</f>
      </c>
      <c r="C108">
        <f>IFERROR((SUM(OFFSET(高値!$E$6,IFERROR(MATCH(分析!$C108,銘柄管理!$B$6:$B$305,0),MATCH(TEXT(分析!$C108,"0"),銘柄管理!$B$6:$B$305,0))-1,0,1,14))-SUM(OFFSET(安値!$E$6,IFERROR(MATCH(分析!$C108,銘柄管理!$B$6:$B$305,0),MATCH(TEXT(分析!$C108,"0"),銘柄管理!$B$6:$B$305,0))-1,0,1,14)))/SUM(OFFSET(終値!$E$6,IFERROR(MATCH(分析!$C108,銘柄管理!$B$6:$B$305,0),MATCH(TEXT(分析!$C108,"0"),銘柄管理!$B$6:$B$305,0))-1,0,1,14))*100,"")</f>
      </c>
      <c r="D108">
        <f>IFERROR((MAX(OFFSET(高値!$E$6,IFERROR(MATCH(分析!$C108,銘柄管理!$B$6:$B$305,0),MATCH(TEXT(分析!$C108,"0"),銘柄管理!$B$6:$B$305,0))-1,0,1,25))-MIN(OFFSET(安値!$E$6,IFERROR(MATCH(分析!$C108,銘柄管理!$B$6:$B$305,0),MATCH(TEXT(分析!$C108,"0"),銘柄管理!$B$6:$B$305,0))-1,0,1,25)))/分析!$E108*100,"")</f>
      </c>
      <c r="E108">
        <f>IFERROR((分析!$F108-分析!$G108)/分析!$G108*100,"")</f>
      </c>
      <c r="F108">
        <f>IFERROR((分析!$E108-MAX(OFFSET(高値!$E$6,IFERROR(MATCH(分析!$C108,銘柄管理!$B$6:$B$305,0),MATCH(TEXT(分析!$C108,"0"),銘柄管理!$B$6:$B$305,0))-1,0,1,25)))/MAX(OFFSET(高値!$E$6,IFERROR(MATCH(分析!$C108,銘柄管理!$B$6:$B$305,0),MATCH(TEXT(分析!$C108,"0"),銘柄管理!$B$6:$B$305,0))-1,0,1,25))*100,"")</f>
      </c>
      <c r="G108">
        <f>IFERROR((分析!$H108-分析!$I108)/分析!$F108*100,"")</f>
      </c>
      <c r="H108">
        <f>IFERROR(5-COUNTIF($C$3:$C$206,"&lt;"&amp;$C108)/COUNT($C$3:$C$206)-COUNTIF($G$3:$G$206,"&lt;"&amp;$G108)/COUNT($G$3:$G$206)-COUNTIF($D$3:$D$206,"&lt;"&amp;$D108)/COUNT($D$3:$D$206)-COUNTIF(分析!$Z$3:$Z$206,"&lt;"&amp;分析!$Z108)/COUNT(分析!$Z$3:$Z$206)-COUNTIF($E$3:$E$206,"&lt;"&amp;$E108)/COUNT($E$3:$E$206),"")</f>
      </c>
      <c r="I108">
        <f>IF(OR(A108="",A108="TOPX",C108="",H108=""),0,IF(AND(V811設定!$E$11=1,C108&lt;=V811設定!$E$3,D108&lt;=V811設定!$E$4,E108&lt;=V811設定!$E$5,分析!$Z108&lt;=V811設定!$E$6,分析!$Z108&gt;=V811設定!$E$7,F108&gt;=V811設定!$E$8,G108&lt;=V811設定!$E$9),1,0))</f>
      </c>
      <c r="J108">
        <f>IF(A108="","",IF(I108=1,"○ゲート通過",IF(V811設定!$E$11&lt;&gt;1,"― 停止中",IF(C108&gt;V811設定!$E$3,"×値動きが荒い",IF(D108&gt;V811設定!$E$4,"×レンジが広い",IF(E108&gt;V811設定!$E$5,"×窓を開けて上昇",IF(分析!$Z108&gt;V811設定!$E$6,"×前日に急騰",IF(分析!$Z108&lt;V811設定!$E$7,"×前日に急落",IF(F108&lt;V811設定!$E$8,"×高値から離れすぎ",IF(G108&gt;V811設定!$E$9,"×当日の値幅が大きい","×"))))))))))</f>
      </c>
      <c r="K108">
        <f>IF(売分析!$C108="","",売分析!$C108)</f>
      </c>
      <c r="L108">
        <f>IF(売分析!$C108="","",売分析!$D108)</f>
      </c>
      <c r="M108">
        <f>IFERROR((SUM(OFFSET(高値!$E$6,IFERROR(MATCH(売分析!$C108,銘柄管理!$B$6:$B$305,0),MATCH(TEXT(売分析!$C108,"0"),銘柄管理!$B$6:$B$305,0))-1,0,1,14))-SUM(OFFSET(安値!$E$6,IFERROR(MATCH(売分析!$C108,銘柄管理!$B$6:$B$305,0),MATCH(TEXT(売分析!$C108,"0"),銘柄管理!$B$6:$B$305,0))-1,0,1,14)))/SUM(OFFSET(終値!$E$6,IFERROR(MATCH(売分析!$C108,銘柄管理!$B$6:$B$305,0),MATCH(TEXT(売分析!$C108,"0"),銘柄管理!$B$6:$B$305,0))-1,0,1,14))*100,"")</f>
      </c>
      <c r="N108">
        <f>IFERROR((MAX(OFFSET(高値!$E$6,IFERROR(MATCH(売分析!$C108,銘柄管理!$B$6:$B$305,0),MATCH(TEXT(売分析!$C108,"0"),銘柄管理!$B$6:$B$305,0))-1,0,1,25))-MIN(OFFSET(安値!$E$6,IFERROR(MATCH(売分析!$C108,銘柄管理!$B$6:$B$305,0),MATCH(TEXT(売分析!$C108,"0"),銘柄管理!$B$6:$B$305,0))-1,0,1,25)))/売分析!$E108*100,"")</f>
      </c>
      <c r="O108">
        <f>IFERROR((売分析!$F108-売分析!$G108)/売分析!$G108*100,"")</f>
      </c>
      <c r="P108">
        <f>IFERROR((売分析!$E108-MAX(OFFSET(高値!$E$6,IFERROR(MATCH(売分析!$C108,銘柄管理!$B$6:$B$305,0),MATCH(TEXT(売分析!$C108,"0"),銘柄管理!$B$6:$B$305,0))-1,0,1,25)))/MAX(OFFSET(高値!$E$6,IFERROR(MATCH(売分析!$C108,銘柄管理!$B$6:$B$305,0),MATCH(TEXT(売分析!$C108,"0"),銘柄管理!$B$6:$B$305,0))-1,0,1,25))*100,"")</f>
      </c>
      <c r="Q108">
        <f>IFERROR((売分析!$H108-売分析!$I108)/売分析!$F108*100,"")</f>
      </c>
      <c r="R108">
        <f>IFERROR(5-COUNTIF($M$3:$M$206,"&lt;"&amp;$M108)/COUNT($M$3:$M$206)-COUNTIF($Q$3:$Q$206,"&lt;"&amp;$Q108)/COUNT($Q$3:$Q$206)-COUNTIF($N$3:$N$206,"&lt;"&amp;$N108)/COUNT($N$3:$N$206)-COUNTIF(売分析!$Z$3:$Z$206,"&lt;"&amp;売分析!$Z108)/COUNT(売分析!$Z$3:$Z$206)-COUNTIF($O$3:$O$206,"&lt;"&amp;$O108)/COUNT($O$3:$O$206),"")</f>
      </c>
      <c r="S108">
        <f>IF(OR(K108="",K108="TOPX",M108="",R108=""),0,IF(AND(V811設定!$E$12=1,M108&lt;=V811設定!$E$3,N108&lt;=V811設定!$E$4,O108&lt;=V811設定!$E$5,売分析!$Z108&lt;=V811設定!$E$6,売分析!$Z108&gt;=V811設定!$E$7,P108&gt;=V811設定!$E$8,Q108&lt;=V811設定!$E$9),1,0))</f>
      </c>
      <c r="T108">
        <f>IF(K108="","",IF(S108=1,"○ゲート通過",IF(V811設定!$E$12&lt;&gt;1,"― 停止中",IF(M108&gt;V811設定!$E$3,"×値動きが荒い",IF(N108&gt;V811設定!$E$4,"×レンジが広い",IF(O108&gt;V811設定!$E$5,"×窓を開けて上昇",IF(売分析!$Z108&gt;V811設定!$E$6,"×前日に急騰",IF(売分析!$Z108&lt;V811設定!$E$7,"×前日に急落",IF(P108&lt;V811設定!$E$8,"×高値から離れすぎ",IF(Q108&gt;V811設定!$E$9,"×当日の値幅が大きい","×"))))))))))</f>
      </c>
    </row>
    <row r="109" spans="1:20">
      <c r="A109">
        <f>IF(分析!$C109="","",分析!$C109)</f>
      </c>
      <c r="B109">
        <f>IF(分析!$C109="","",分析!$D109)</f>
      </c>
      <c r="C109">
        <f>IFERROR((SUM(OFFSET(高値!$E$6,IFERROR(MATCH(分析!$C109,銘柄管理!$B$6:$B$305,0),MATCH(TEXT(分析!$C109,"0"),銘柄管理!$B$6:$B$305,0))-1,0,1,14))-SUM(OFFSET(安値!$E$6,IFERROR(MATCH(分析!$C109,銘柄管理!$B$6:$B$305,0),MATCH(TEXT(分析!$C109,"0"),銘柄管理!$B$6:$B$305,0))-1,0,1,14)))/SUM(OFFSET(終値!$E$6,IFERROR(MATCH(分析!$C109,銘柄管理!$B$6:$B$305,0),MATCH(TEXT(分析!$C109,"0"),銘柄管理!$B$6:$B$305,0))-1,0,1,14))*100,"")</f>
      </c>
      <c r="D109">
        <f>IFERROR((MAX(OFFSET(高値!$E$6,IFERROR(MATCH(分析!$C109,銘柄管理!$B$6:$B$305,0),MATCH(TEXT(分析!$C109,"0"),銘柄管理!$B$6:$B$305,0))-1,0,1,25))-MIN(OFFSET(安値!$E$6,IFERROR(MATCH(分析!$C109,銘柄管理!$B$6:$B$305,0),MATCH(TEXT(分析!$C109,"0"),銘柄管理!$B$6:$B$305,0))-1,0,1,25)))/分析!$E109*100,"")</f>
      </c>
      <c r="E109">
        <f>IFERROR((分析!$F109-分析!$G109)/分析!$G109*100,"")</f>
      </c>
      <c r="F109">
        <f>IFERROR((分析!$E109-MAX(OFFSET(高値!$E$6,IFERROR(MATCH(分析!$C109,銘柄管理!$B$6:$B$305,0),MATCH(TEXT(分析!$C109,"0"),銘柄管理!$B$6:$B$305,0))-1,0,1,25)))/MAX(OFFSET(高値!$E$6,IFERROR(MATCH(分析!$C109,銘柄管理!$B$6:$B$305,0),MATCH(TEXT(分析!$C109,"0"),銘柄管理!$B$6:$B$305,0))-1,0,1,25))*100,"")</f>
      </c>
      <c r="G109">
        <f>IFERROR((分析!$H109-分析!$I109)/分析!$F109*100,"")</f>
      </c>
      <c r="H109">
        <f>IFERROR(5-COUNTIF($C$3:$C$206,"&lt;"&amp;$C109)/COUNT($C$3:$C$206)-COUNTIF($G$3:$G$206,"&lt;"&amp;$G109)/COUNT($G$3:$G$206)-COUNTIF($D$3:$D$206,"&lt;"&amp;$D109)/COUNT($D$3:$D$206)-COUNTIF(分析!$Z$3:$Z$206,"&lt;"&amp;分析!$Z109)/COUNT(分析!$Z$3:$Z$206)-COUNTIF($E$3:$E$206,"&lt;"&amp;$E109)/COUNT($E$3:$E$206),"")</f>
      </c>
      <c r="I109">
        <f>IF(OR(A109="",A109="TOPX",C109="",H109=""),0,IF(AND(V811設定!$E$11=1,C109&lt;=V811設定!$E$3,D109&lt;=V811設定!$E$4,E109&lt;=V811設定!$E$5,分析!$Z109&lt;=V811設定!$E$6,分析!$Z109&gt;=V811設定!$E$7,F109&gt;=V811設定!$E$8,G109&lt;=V811設定!$E$9),1,0))</f>
      </c>
      <c r="J109">
        <f>IF(A109="","",IF(I109=1,"○ゲート通過",IF(V811設定!$E$11&lt;&gt;1,"― 停止中",IF(C109&gt;V811設定!$E$3,"×値動きが荒い",IF(D109&gt;V811設定!$E$4,"×レンジが広い",IF(E109&gt;V811設定!$E$5,"×窓を開けて上昇",IF(分析!$Z109&gt;V811設定!$E$6,"×前日に急騰",IF(分析!$Z109&lt;V811設定!$E$7,"×前日に急落",IF(F109&lt;V811設定!$E$8,"×高値から離れすぎ",IF(G109&gt;V811設定!$E$9,"×当日の値幅が大きい","×"))))))))))</f>
      </c>
      <c r="K109">
        <f>IF(売分析!$C109="","",売分析!$C109)</f>
      </c>
      <c r="L109">
        <f>IF(売分析!$C109="","",売分析!$D109)</f>
      </c>
      <c r="M109">
        <f>IFERROR((SUM(OFFSET(高値!$E$6,IFERROR(MATCH(売分析!$C109,銘柄管理!$B$6:$B$305,0),MATCH(TEXT(売分析!$C109,"0"),銘柄管理!$B$6:$B$305,0))-1,0,1,14))-SUM(OFFSET(安値!$E$6,IFERROR(MATCH(売分析!$C109,銘柄管理!$B$6:$B$305,0),MATCH(TEXT(売分析!$C109,"0"),銘柄管理!$B$6:$B$305,0))-1,0,1,14)))/SUM(OFFSET(終値!$E$6,IFERROR(MATCH(売分析!$C109,銘柄管理!$B$6:$B$305,0),MATCH(TEXT(売分析!$C109,"0"),銘柄管理!$B$6:$B$305,0))-1,0,1,14))*100,"")</f>
      </c>
      <c r="N109">
        <f>IFERROR((MAX(OFFSET(高値!$E$6,IFERROR(MATCH(売分析!$C109,銘柄管理!$B$6:$B$305,0),MATCH(TEXT(売分析!$C109,"0"),銘柄管理!$B$6:$B$305,0))-1,0,1,25))-MIN(OFFSET(安値!$E$6,IFERROR(MATCH(売分析!$C109,銘柄管理!$B$6:$B$305,0),MATCH(TEXT(売分析!$C109,"0"),銘柄管理!$B$6:$B$305,0))-1,0,1,25)))/売分析!$E109*100,"")</f>
      </c>
      <c r="O109">
        <f>IFERROR((売分析!$F109-売分析!$G109)/売分析!$G109*100,"")</f>
      </c>
      <c r="P109">
        <f>IFERROR((売分析!$E109-MAX(OFFSET(高値!$E$6,IFERROR(MATCH(売分析!$C109,銘柄管理!$B$6:$B$305,0),MATCH(TEXT(売分析!$C109,"0"),銘柄管理!$B$6:$B$305,0))-1,0,1,25)))/MAX(OFFSET(高値!$E$6,IFERROR(MATCH(売分析!$C109,銘柄管理!$B$6:$B$305,0),MATCH(TEXT(売分析!$C109,"0"),銘柄管理!$B$6:$B$305,0))-1,0,1,25))*100,"")</f>
      </c>
      <c r="Q109">
        <f>IFERROR((売分析!$H109-売分析!$I109)/売分析!$F109*100,"")</f>
      </c>
      <c r="R109">
        <f>IFERROR(5-COUNTIF($M$3:$M$206,"&lt;"&amp;$M109)/COUNT($M$3:$M$206)-COUNTIF($Q$3:$Q$206,"&lt;"&amp;$Q109)/COUNT($Q$3:$Q$206)-COUNTIF($N$3:$N$206,"&lt;"&amp;$N109)/COUNT($N$3:$N$206)-COUNTIF(売分析!$Z$3:$Z$206,"&lt;"&amp;売分析!$Z109)/COUNT(売分析!$Z$3:$Z$206)-COUNTIF($O$3:$O$206,"&lt;"&amp;$O109)/COUNT($O$3:$O$206),"")</f>
      </c>
      <c r="S109">
        <f>IF(OR(K109="",K109="TOPX",M109="",R109=""),0,IF(AND(V811設定!$E$12=1,M109&lt;=V811設定!$E$3,N109&lt;=V811設定!$E$4,O109&lt;=V811設定!$E$5,売分析!$Z109&lt;=V811設定!$E$6,売分析!$Z109&gt;=V811設定!$E$7,P109&gt;=V811設定!$E$8,Q109&lt;=V811設定!$E$9),1,0))</f>
      </c>
      <c r="T109">
        <f>IF(K109="","",IF(S109=1,"○ゲート通過",IF(V811設定!$E$12&lt;&gt;1,"― 停止中",IF(M109&gt;V811設定!$E$3,"×値動きが荒い",IF(N109&gt;V811設定!$E$4,"×レンジが広い",IF(O109&gt;V811設定!$E$5,"×窓を開けて上昇",IF(売分析!$Z109&gt;V811設定!$E$6,"×前日に急騰",IF(売分析!$Z109&lt;V811設定!$E$7,"×前日に急落",IF(P109&lt;V811設定!$E$8,"×高値から離れすぎ",IF(Q109&gt;V811設定!$E$9,"×当日の値幅が大きい","×"))))))))))</f>
      </c>
    </row>
    <row r="110" spans="1:20">
      <c r="A110">
        <f>IF(分析!$C110="","",分析!$C110)</f>
      </c>
      <c r="B110">
        <f>IF(分析!$C110="","",分析!$D110)</f>
      </c>
      <c r="C110">
        <f>IFERROR((SUM(OFFSET(高値!$E$6,IFERROR(MATCH(分析!$C110,銘柄管理!$B$6:$B$305,0),MATCH(TEXT(分析!$C110,"0"),銘柄管理!$B$6:$B$305,0))-1,0,1,14))-SUM(OFFSET(安値!$E$6,IFERROR(MATCH(分析!$C110,銘柄管理!$B$6:$B$305,0),MATCH(TEXT(分析!$C110,"0"),銘柄管理!$B$6:$B$305,0))-1,0,1,14)))/SUM(OFFSET(終値!$E$6,IFERROR(MATCH(分析!$C110,銘柄管理!$B$6:$B$305,0),MATCH(TEXT(分析!$C110,"0"),銘柄管理!$B$6:$B$305,0))-1,0,1,14))*100,"")</f>
      </c>
      <c r="D110">
        <f>IFERROR((MAX(OFFSET(高値!$E$6,IFERROR(MATCH(分析!$C110,銘柄管理!$B$6:$B$305,0),MATCH(TEXT(分析!$C110,"0"),銘柄管理!$B$6:$B$305,0))-1,0,1,25))-MIN(OFFSET(安値!$E$6,IFERROR(MATCH(分析!$C110,銘柄管理!$B$6:$B$305,0),MATCH(TEXT(分析!$C110,"0"),銘柄管理!$B$6:$B$305,0))-1,0,1,25)))/分析!$E110*100,"")</f>
      </c>
      <c r="E110">
        <f>IFERROR((分析!$F110-分析!$G110)/分析!$G110*100,"")</f>
      </c>
      <c r="F110">
        <f>IFERROR((分析!$E110-MAX(OFFSET(高値!$E$6,IFERROR(MATCH(分析!$C110,銘柄管理!$B$6:$B$305,0),MATCH(TEXT(分析!$C110,"0"),銘柄管理!$B$6:$B$305,0))-1,0,1,25)))/MAX(OFFSET(高値!$E$6,IFERROR(MATCH(分析!$C110,銘柄管理!$B$6:$B$305,0),MATCH(TEXT(分析!$C110,"0"),銘柄管理!$B$6:$B$305,0))-1,0,1,25))*100,"")</f>
      </c>
      <c r="G110">
        <f>IFERROR((分析!$H110-分析!$I110)/分析!$F110*100,"")</f>
      </c>
      <c r="H110">
        <f>IFERROR(5-COUNTIF($C$3:$C$206,"&lt;"&amp;$C110)/COUNT($C$3:$C$206)-COUNTIF($G$3:$G$206,"&lt;"&amp;$G110)/COUNT($G$3:$G$206)-COUNTIF($D$3:$D$206,"&lt;"&amp;$D110)/COUNT($D$3:$D$206)-COUNTIF(分析!$Z$3:$Z$206,"&lt;"&amp;分析!$Z110)/COUNT(分析!$Z$3:$Z$206)-COUNTIF($E$3:$E$206,"&lt;"&amp;$E110)/COUNT($E$3:$E$206),"")</f>
      </c>
      <c r="I110">
        <f>IF(OR(A110="",A110="TOPX",C110="",H110=""),0,IF(AND(V811設定!$E$11=1,C110&lt;=V811設定!$E$3,D110&lt;=V811設定!$E$4,E110&lt;=V811設定!$E$5,分析!$Z110&lt;=V811設定!$E$6,分析!$Z110&gt;=V811設定!$E$7,F110&gt;=V811設定!$E$8,G110&lt;=V811設定!$E$9),1,0))</f>
      </c>
      <c r="J110">
        <f>IF(A110="","",IF(I110=1,"○ゲート通過",IF(V811設定!$E$11&lt;&gt;1,"― 停止中",IF(C110&gt;V811設定!$E$3,"×値動きが荒い",IF(D110&gt;V811設定!$E$4,"×レンジが広い",IF(E110&gt;V811設定!$E$5,"×窓を開けて上昇",IF(分析!$Z110&gt;V811設定!$E$6,"×前日に急騰",IF(分析!$Z110&lt;V811設定!$E$7,"×前日に急落",IF(F110&lt;V811設定!$E$8,"×高値から離れすぎ",IF(G110&gt;V811設定!$E$9,"×当日の値幅が大きい","×"))))))))))</f>
      </c>
      <c r="K110">
        <f>IF(売分析!$C110="","",売分析!$C110)</f>
      </c>
      <c r="L110">
        <f>IF(売分析!$C110="","",売分析!$D110)</f>
      </c>
      <c r="M110">
        <f>IFERROR((SUM(OFFSET(高値!$E$6,IFERROR(MATCH(売分析!$C110,銘柄管理!$B$6:$B$305,0),MATCH(TEXT(売分析!$C110,"0"),銘柄管理!$B$6:$B$305,0))-1,0,1,14))-SUM(OFFSET(安値!$E$6,IFERROR(MATCH(売分析!$C110,銘柄管理!$B$6:$B$305,0),MATCH(TEXT(売分析!$C110,"0"),銘柄管理!$B$6:$B$305,0))-1,0,1,14)))/SUM(OFFSET(終値!$E$6,IFERROR(MATCH(売分析!$C110,銘柄管理!$B$6:$B$305,0),MATCH(TEXT(売分析!$C110,"0"),銘柄管理!$B$6:$B$305,0))-1,0,1,14))*100,"")</f>
      </c>
      <c r="N110">
        <f>IFERROR((MAX(OFFSET(高値!$E$6,IFERROR(MATCH(売分析!$C110,銘柄管理!$B$6:$B$305,0),MATCH(TEXT(売分析!$C110,"0"),銘柄管理!$B$6:$B$305,0))-1,0,1,25))-MIN(OFFSET(安値!$E$6,IFERROR(MATCH(売分析!$C110,銘柄管理!$B$6:$B$305,0),MATCH(TEXT(売分析!$C110,"0"),銘柄管理!$B$6:$B$305,0))-1,0,1,25)))/売分析!$E110*100,"")</f>
      </c>
      <c r="O110">
        <f>IFERROR((売分析!$F110-売分析!$G110)/売分析!$G110*100,"")</f>
      </c>
      <c r="P110">
        <f>IFERROR((売分析!$E110-MAX(OFFSET(高値!$E$6,IFERROR(MATCH(売分析!$C110,銘柄管理!$B$6:$B$305,0),MATCH(TEXT(売分析!$C110,"0"),銘柄管理!$B$6:$B$305,0))-1,0,1,25)))/MAX(OFFSET(高値!$E$6,IFERROR(MATCH(売分析!$C110,銘柄管理!$B$6:$B$305,0),MATCH(TEXT(売分析!$C110,"0"),銘柄管理!$B$6:$B$305,0))-1,0,1,25))*100,"")</f>
      </c>
      <c r="Q110">
        <f>IFERROR((売分析!$H110-売分析!$I110)/売分析!$F110*100,"")</f>
      </c>
      <c r="R110">
        <f>IFERROR(5-COUNTIF($M$3:$M$206,"&lt;"&amp;$M110)/COUNT($M$3:$M$206)-COUNTIF($Q$3:$Q$206,"&lt;"&amp;$Q110)/COUNT($Q$3:$Q$206)-COUNTIF($N$3:$N$206,"&lt;"&amp;$N110)/COUNT($N$3:$N$206)-COUNTIF(売分析!$Z$3:$Z$206,"&lt;"&amp;売分析!$Z110)/COUNT(売分析!$Z$3:$Z$206)-COUNTIF($O$3:$O$206,"&lt;"&amp;$O110)/COUNT($O$3:$O$206),"")</f>
      </c>
      <c r="S110">
        <f>IF(OR(K110="",K110="TOPX",M110="",R110=""),0,IF(AND(V811設定!$E$12=1,M110&lt;=V811設定!$E$3,N110&lt;=V811設定!$E$4,O110&lt;=V811設定!$E$5,売分析!$Z110&lt;=V811設定!$E$6,売分析!$Z110&gt;=V811設定!$E$7,P110&gt;=V811設定!$E$8,Q110&lt;=V811設定!$E$9),1,0))</f>
      </c>
      <c r="T110">
        <f>IF(K110="","",IF(S110=1,"○ゲート通過",IF(V811設定!$E$12&lt;&gt;1,"― 停止中",IF(M110&gt;V811設定!$E$3,"×値動きが荒い",IF(N110&gt;V811設定!$E$4,"×レンジが広い",IF(O110&gt;V811設定!$E$5,"×窓を開けて上昇",IF(売分析!$Z110&gt;V811設定!$E$6,"×前日に急騰",IF(売分析!$Z110&lt;V811設定!$E$7,"×前日に急落",IF(P110&lt;V811設定!$E$8,"×高値から離れすぎ",IF(Q110&gt;V811設定!$E$9,"×当日の値幅が大きい","×"))))))))))</f>
      </c>
    </row>
    <row r="111" spans="1:20">
      <c r="A111">
        <f>IF(分析!$C111="","",分析!$C111)</f>
      </c>
      <c r="B111">
        <f>IF(分析!$C111="","",分析!$D111)</f>
      </c>
      <c r="C111">
        <f>IFERROR((SUM(OFFSET(高値!$E$6,IFERROR(MATCH(分析!$C111,銘柄管理!$B$6:$B$305,0),MATCH(TEXT(分析!$C111,"0"),銘柄管理!$B$6:$B$305,0))-1,0,1,14))-SUM(OFFSET(安値!$E$6,IFERROR(MATCH(分析!$C111,銘柄管理!$B$6:$B$305,0),MATCH(TEXT(分析!$C111,"0"),銘柄管理!$B$6:$B$305,0))-1,0,1,14)))/SUM(OFFSET(終値!$E$6,IFERROR(MATCH(分析!$C111,銘柄管理!$B$6:$B$305,0),MATCH(TEXT(分析!$C111,"0"),銘柄管理!$B$6:$B$305,0))-1,0,1,14))*100,"")</f>
      </c>
      <c r="D111">
        <f>IFERROR((MAX(OFFSET(高値!$E$6,IFERROR(MATCH(分析!$C111,銘柄管理!$B$6:$B$305,0),MATCH(TEXT(分析!$C111,"0"),銘柄管理!$B$6:$B$305,0))-1,0,1,25))-MIN(OFFSET(安値!$E$6,IFERROR(MATCH(分析!$C111,銘柄管理!$B$6:$B$305,0),MATCH(TEXT(分析!$C111,"0"),銘柄管理!$B$6:$B$305,0))-1,0,1,25)))/分析!$E111*100,"")</f>
      </c>
      <c r="E111">
        <f>IFERROR((分析!$F111-分析!$G111)/分析!$G111*100,"")</f>
      </c>
      <c r="F111">
        <f>IFERROR((分析!$E111-MAX(OFFSET(高値!$E$6,IFERROR(MATCH(分析!$C111,銘柄管理!$B$6:$B$305,0),MATCH(TEXT(分析!$C111,"0"),銘柄管理!$B$6:$B$305,0))-1,0,1,25)))/MAX(OFFSET(高値!$E$6,IFERROR(MATCH(分析!$C111,銘柄管理!$B$6:$B$305,0),MATCH(TEXT(分析!$C111,"0"),銘柄管理!$B$6:$B$305,0))-1,0,1,25))*100,"")</f>
      </c>
      <c r="G111">
        <f>IFERROR((分析!$H111-分析!$I111)/分析!$F111*100,"")</f>
      </c>
      <c r="H111">
        <f>IFERROR(5-COUNTIF($C$3:$C$206,"&lt;"&amp;$C111)/COUNT($C$3:$C$206)-COUNTIF($G$3:$G$206,"&lt;"&amp;$G111)/COUNT($G$3:$G$206)-COUNTIF($D$3:$D$206,"&lt;"&amp;$D111)/COUNT($D$3:$D$206)-COUNTIF(分析!$Z$3:$Z$206,"&lt;"&amp;分析!$Z111)/COUNT(分析!$Z$3:$Z$206)-COUNTIF($E$3:$E$206,"&lt;"&amp;$E111)/COUNT($E$3:$E$206),"")</f>
      </c>
      <c r="I111">
        <f>IF(OR(A111="",A111="TOPX",C111="",H111=""),0,IF(AND(V811設定!$E$11=1,C111&lt;=V811設定!$E$3,D111&lt;=V811設定!$E$4,E111&lt;=V811設定!$E$5,分析!$Z111&lt;=V811設定!$E$6,分析!$Z111&gt;=V811設定!$E$7,F111&gt;=V811設定!$E$8,G111&lt;=V811設定!$E$9),1,0))</f>
      </c>
      <c r="J111">
        <f>IF(A111="","",IF(I111=1,"○ゲート通過",IF(V811設定!$E$11&lt;&gt;1,"― 停止中",IF(C111&gt;V811設定!$E$3,"×値動きが荒い",IF(D111&gt;V811設定!$E$4,"×レンジが広い",IF(E111&gt;V811設定!$E$5,"×窓を開けて上昇",IF(分析!$Z111&gt;V811設定!$E$6,"×前日に急騰",IF(分析!$Z111&lt;V811設定!$E$7,"×前日に急落",IF(F111&lt;V811設定!$E$8,"×高値から離れすぎ",IF(G111&gt;V811設定!$E$9,"×当日の値幅が大きい","×"))))))))))</f>
      </c>
      <c r="K111">
        <f>IF(売分析!$C111="","",売分析!$C111)</f>
      </c>
      <c r="L111">
        <f>IF(売分析!$C111="","",売分析!$D111)</f>
      </c>
      <c r="M111">
        <f>IFERROR((SUM(OFFSET(高値!$E$6,IFERROR(MATCH(売分析!$C111,銘柄管理!$B$6:$B$305,0),MATCH(TEXT(売分析!$C111,"0"),銘柄管理!$B$6:$B$305,0))-1,0,1,14))-SUM(OFFSET(安値!$E$6,IFERROR(MATCH(売分析!$C111,銘柄管理!$B$6:$B$305,0),MATCH(TEXT(売分析!$C111,"0"),銘柄管理!$B$6:$B$305,0))-1,0,1,14)))/SUM(OFFSET(終値!$E$6,IFERROR(MATCH(売分析!$C111,銘柄管理!$B$6:$B$305,0),MATCH(TEXT(売分析!$C111,"0"),銘柄管理!$B$6:$B$305,0))-1,0,1,14))*100,"")</f>
      </c>
      <c r="N111">
        <f>IFERROR((MAX(OFFSET(高値!$E$6,IFERROR(MATCH(売分析!$C111,銘柄管理!$B$6:$B$305,0),MATCH(TEXT(売分析!$C111,"0"),銘柄管理!$B$6:$B$305,0))-1,0,1,25))-MIN(OFFSET(安値!$E$6,IFERROR(MATCH(売分析!$C111,銘柄管理!$B$6:$B$305,0),MATCH(TEXT(売分析!$C111,"0"),銘柄管理!$B$6:$B$305,0))-1,0,1,25)))/売分析!$E111*100,"")</f>
      </c>
      <c r="O111">
        <f>IFERROR((売分析!$F111-売分析!$G111)/売分析!$G111*100,"")</f>
      </c>
      <c r="P111">
        <f>IFERROR((売分析!$E111-MAX(OFFSET(高値!$E$6,IFERROR(MATCH(売分析!$C111,銘柄管理!$B$6:$B$305,0),MATCH(TEXT(売分析!$C111,"0"),銘柄管理!$B$6:$B$305,0))-1,0,1,25)))/MAX(OFFSET(高値!$E$6,IFERROR(MATCH(売分析!$C111,銘柄管理!$B$6:$B$305,0),MATCH(TEXT(売分析!$C111,"0"),銘柄管理!$B$6:$B$305,0))-1,0,1,25))*100,"")</f>
      </c>
      <c r="Q111">
        <f>IFERROR((売分析!$H111-売分析!$I111)/売分析!$F111*100,"")</f>
      </c>
      <c r="R111">
        <f>IFERROR(5-COUNTIF($M$3:$M$206,"&lt;"&amp;$M111)/COUNT($M$3:$M$206)-COUNTIF($Q$3:$Q$206,"&lt;"&amp;$Q111)/COUNT($Q$3:$Q$206)-COUNTIF($N$3:$N$206,"&lt;"&amp;$N111)/COUNT($N$3:$N$206)-COUNTIF(売分析!$Z$3:$Z$206,"&lt;"&amp;売分析!$Z111)/COUNT(売分析!$Z$3:$Z$206)-COUNTIF($O$3:$O$206,"&lt;"&amp;$O111)/COUNT($O$3:$O$206),"")</f>
      </c>
      <c r="S111">
        <f>IF(OR(K111="",K111="TOPX",M111="",R111=""),0,IF(AND(V811設定!$E$12=1,M111&lt;=V811設定!$E$3,N111&lt;=V811設定!$E$4,O111&lt;=V811設定!$E$5,売分析!$Z111&lt;=V811設定!$E$6,売分析!$Z111&gt;=V811設定!$E$7,P111&gt;=V811設定!$E$8,Q111&lt;=V811設定!$E$9),1,0))</f>
      </c>
      <c r="T111">
        <f>IF(K111="","",IF(S111=1,"○ゲート通過",IF(V811設定!$E$12&lt;&gt;1,"― 停止中",IF(M111&gt;V811設定!$E$3,"×値動きが荒い",IF(N111&gt;V811設定!$E$4,"×レンジが広い",IF(O111&gt;V811設定!$E$5,"×窓を開けて上昇",IF(売分析!$Z111&gt;V811設定!$E$6,"×前日に急騰",IF(売分析!$Z111&lt;V811設定!$E$7,"×前日に急落",IF(P111&lt;V811設定!$E$8,"×高値から離れすぎ",IF(Q111&gt;V811設定!$E$9,"×当日の値幅が大きい","×"))))))))))</f>
      </c>
    </row>
    <row r="112" spans="1:20">
      <c r="A112">
        <f>IF(分析!$C112="","",分析!$C112)</f>
      </c>
      <c r="B112">
        <f>IF(分析!$C112="","",分析!$D112)</f>
      </c>
      <c r="C112">
        <f>IFERROR((SUM(OFFSET(高値!$E$6,IFERROR(MATCH(分析!$C112,銘柄管理!$B$6:$B$305,0),MATCH(TEXT(分析!$C112,"0"),銘柄管理!$B$6:$B$305,0))-1,0,1,14))-SUM(OFFSET(安値!$E$6,IFERROR(MATCH(分析!$C112,銘柄管理!$B$6:$B$305,0),MATCH(TEXT(分析!$C112,"0"),銘柄管理!$B$6:$B$305,0))-1,0,1,14)))/SUM(OFFSET(終値!$E$6,IFERROR(MATCH(分析!$C112,銘柄管理!$B$6:$B$305,0),MATCH(TEXT(分析!$C112,"0"),銘柄管理!$B$6:$B$305,0))-1,0,1,14))*100,"")</f>
      </c>
      <c r="D112">
        <f>IFERROR((MAX(OFFSET(高値!$E$6,IFERROR(MATCH(分析!$C112,銘柄管理!$B$6:$B$305,0),MATCH(TEXT(分析!$C112,"0"),銘柄管理!$B$6:$B$305,0))-1,0,1,25))-MIN(OFFSET(安値!$E$6,IFERROR(MATCH(分析!$C112,銘柄管理!$B$6:$B$305,0),MATCH(TEXT(分析!$C112,"0"),銘柄管理!$B$6:$B$305,0))-1,0,1,25)))/分析!$E112*100,"")</f>
      </c>
      <c r="E112">
        <f>IFERROR((分析!$F112-分析!$G112)/分析!$G112*100,"")</f>
      </c>
      <c r="F112">
        <f>IFERROR((分析!$E112-MAX(OFFSET(高値!$E$6,IFERROR(MATCH(分析!$C112,銘柄管理!$B$6:$B$305,0),MATCH(TEXT(分析!$C112,"0"),銘柄管理!$B$6:$B$305,0))-1,0,1,25)))/MAX(OFFSET(高値!$E$6,IFERROR(MATCH(分析!$C112,銘柄管理!$B$6:$B$305,0),MATCH(TEXT(分析!$C112,"0"),銘柄管理!$B$6:$B$305,0))-1,0,1,25))*100,"")</f>
      </c>
      <c r="G112">
        <f>IFERROR((分析!$H112-分析!$I112)/分析!$F112*100,"")</f>
      </c>
      <c r="H112">
        <f>IFERROR(5-COUNTIF($C$3:$C$206,"&lt;"&amp;$C112)/COUNT($C$3:$C$206)-COUNTIF($G$3:$G$206,"&lt;"&amp;$G112)/COUNT($G$3:$G$206)-COUNTIF($D$3:$D$206,"&lt;"&amp;$D112)/COUNT($D$3:$D$206)-COUNTIF(分析!$Z$3:$Z$206,"&lt;"&amp;分析!$Z112)/COUNT(分析!$Z$3:$Z$206)-COUNTIF($E$3:$E$206,"&lt;"&amp;$E112)/COUNT($E$3:$E$206),"")</f>
      </c>
      <c r="I112">
        <f>IF(OR(A112="",A112="TOPX",C112="",H112=""),0,IF(AND(V811設定!$E$11=1,C112&lt;=V811設定!$E$3,D112&lt;=V811設定!$E$4,E112&lt;=V811設定!$E$5,分析!$Z112&lt;=V811設定!$E$6,分析!$Z112&gt;=V811設定!$E$7,F112&gt;=V811設定!$E$8,G112&lt;=V811設定!$E$9),1,0))</f>
      </c>
      <c r="J112">
        <f>IF(A112="","",IF(I112=1,"○ゲート通過",IF(V811設定!$E$11&lt;&gt;1,"― 停止中",IF(C112&gt;V811設定!$E$3,"×値動きが荒い",IF(D112&gt;V811設定!$E$4,"×レンジが広い",IF(E112&gt;V811設定!$E$5,"×窓を開けて上昇",IF(分析!$Z112&gt;V811設定!$E$6,"×前日に急騰",IF(分析!$Z112&lt;V811設定!$E$7,"×前日に急落",IF(F112&lt;V811設定!$E$8,"×高値から離れすぎ",IF(G112&gt;V811設定!$E$9,"×当日の値幅が大きい","×"))))))))))</f>
      </c>
      <c r="K112">
        <f>IF(売分析!$C112="","",売分析!$C112)</f>
      </c>
      <c r="L112">
        <f>IF(売分析!$C112="","",売分析!$D112)</f>
      </c>
      <c r="M112">
        <f>IFERROR((SUM(OFFSET(高値!$E$6,IFERROR(MATCH(売分析!$C112,銘柄管理!$B$6:$B$305,0),MATCH(TEXT(売分析!$C112,"0"),銘柄管理!$B$6:$B$305,0))-1,0,1,14))-SUM(OFFSET(安値!$E$6,IFERROR(MATCH(売分析!$C112,銘柄管理!$B$6:$B$305,0),MATCH(TEXT(売分析!$C112,"0"),銘柄管理!$B$6:$B$305,0))-1,0,1,14)))/SUM(OFFSET(終値!$E$6,IFERROR(MATCH(売分析!$C112,銘柄管理!$B$6:$B$305,0),MATCH(TEXT(売分析!$C112,"0"),銘柄管理!$B$6:$B$305,0))-1,0,1,14))*100,"")</f>
      </c>
      <c r="N112">
        <f>IFERROR((MAX(OFFSET(高値!$E$6,IFERROR(MATCH(売分析!$C112,銘柄管理!$B$6:$B$305,0),MATCH(TEXT(売分析!$C112,"0"),銘柄管理!$B$6:$B$305,0))-1,0,1,25))-MIN(OFFSET(安値!$E$6,IFERROR(MATCH(売分析!$C112,銘柄管理!$B$6:$B$305,0),MATCH(TEXT(売分析!$C112,"0"),銘柄管理!$B$6:$B$305,0))-1,0,1,25)))/売分析!$E112*100,"")</f>
      </c>
      <c r="O112">
        <f>IFERROR((売分析!$F112-売分析!$G112)/売分析!$G112*100,"")</f>
      </c>
      <c r="P112">
        <f>IFERROR((売分析!$E112-MAX(OFFSET(高値!$E$6,IFERROR(MATCH(売分析!$C112,銘柄管理!$B$6:$B$305,0),MATCH(TEXT(売分析!$C112,"0"),銘柄管理!$B$6:$B$305,0))-1,0,1,25)))/MAX(OFFSET(高値!$E$6,IFERROR(MATCH(売分析!$C112,銘柄管理!$B$6:$B$305,0),MATCH(TEXT(売分析!$C112,"0"),銘柄管理!$B$6:$B$305,0))-1,0,1,25))*100,"")</f>
      </c>
      <c r="Q112">
        <f>IFERROR((売分析!$H112-売分析!$I112)/売分析!$F112*100,"")</f>
      </c>
      <c r="R112">
        <f>IFERROR(5-COUNTIF($M$3:$M$206,"&lt;"&amp;$M112)/COUNT($M$3:$M$206)-COUNTIF($Q$3:$Q$206,"&lt;"&amp;$Q112)/COUNT($Q$3:$Q$206)-COUNTIF($N$3:$N$206,"&lt;"&amp;$N112)/COUNT($N$3:$N$206)-COUNTIF(売分析!$Z$3:$Z$206,"&lt;"&amp;売分析!$Z112)/COUNT(売分析!$Z$3:$Z$206)-COUNTIF($O$3:$O$206,"&lt;"&amp;$O112)/COUNT($O$3:$O$206),"")</f>
      </c>
      <c r="S112">
        <f>IF(OR(K112="",K112="TOPX",M112="",R112=""),0,IF(AND(V811設定!$E$12=1,M112&lt;=V811設定!$E$3,N112&lt;=V811設定!$E$4,O112&lt;=V811設定!$E$5,売分析!$Z112&lt;=V811設定!$E$6,売分析!$Z112&gt;=V811設定!$E$7,P112&gt;=V811設定!$E$8,Q112&lt;=V811設定!$E$9),1,0))</f>
      </c>
      <c r="T112">
        <f>IF(K112="","",IF(S112=1,"○ゲート通過",IF(V811設定!$E$12&lt;&gt;1,"― 停止中",IF(M112&gt;V811設定!$E$3,"×値動きが荒い",IF(N112&gt;V811設定!$E$4,"×レンジが広い",IF(O112&gt;V811設定!$E$5,"×窓を開けて上昇",IF(売分析!$Z112&gt;V811設定!$E$6,"×前日に急騰",IF(売分析!$Z112&lt;V811設定!$E$7,"×前日に急落",IF(P112&lt;V811設定!$E$8,"×高値から離れすぎ",IF(Q112&gt;V811設定!$E$9,"×当日の値幅が大きい","×"))))))))))</f>
      </c>
    </row>
    <row r="113" spans="1:20">
      <c r="A113">
        <f>IF(分析!$C113="","",分析!$C113)</f>
      </c>
      <c r="B113">
        <f>IF(分析!$C113="","",分析!$D113)</f>
      </c>
      <c r="C113">
        <f>IFERROR((SUM(OFFSET(高値!$E$6,IFERROR(MATCH(分析!$C113,銘柄管理!$B$6:$B$305,0),MATCH(TEXT(分析!$C113,"0"),銘柄管理!$B$6:$B$305,0))-1,0,1,14))-SUM(OFFSET(安値!$E$6,IFERROR(MATCH(分析!$C113,銘柄管理!$B$6:$B$305,0),MATCH(TEXT(分析!$C113,"0"),銘柄管理!$B$6:$B$305,0))-1,0,1,14)))/SUM(OFFSET(終値!$E$6,IFERROR(MATCH(分析!$C113,銘柄管理!$B$6:$B$305,0),MATCH(TEXT(分析!$C113,"0"),銘柄管理!$B$6:$B$305,0))-1,0,1,14))*100,"")</f>
      </c>
      <c r="D113">
        <f>IFERROR((MAX(OFFSET(高値!$E$6,IFERROR(MATCH(分析!$C113,銘柄管理!$B$6:$B$305,0),MATCH(TEXT(分析!$C113,"0"),銘柄管理!$B$6:$B$305,0))-1,0,1,25))-MIN(OFFSET(安値!$E$6,IFERROR(MATCH(分析!$C113,銘柄管理!$B$6:$B$305,0),MATCH(TEXT(分析!$C113,"0"),銘柄管理!$B$6:$B$305,0))-1,0,1,25)))/分析!$E113*100,"")</f>
      </c>
      <c r="E113">
        <f>IFERROR((分析!$F113-分析!$G113)/分析!$G113*100,"")</f>
      </c>
      <c r="F113">
        <f>IFERROR((分析!$E113-MAX(OFFSET(高値!$E$6,IFERROR(MATCH(分析!$C113,銘柄管理!$B$6:$B$305,0),MATCH(TEXT(分析!$C113,"0"),銘柄管理!$B$6:$B$305,0))-1,0,1,25)))/MAX(OFFSET(高値!$E$6,IFERROR(MATCH(分析!$C113,銘柄管理!$B$6:$B$305,0),MATCH(TEXT(分析!$C113,"0"),銘柄管理!$B$6:$B$305,0))-1,0,1,25))*100,"")</f>
      </c>
      <c r="G113">
        <f>IFERROR((分析!$H113-分析!$I113)/分析!$F113*100,"")</f>
      </c>
      <c r="H113">
        <f>IFERROR(5-COUNTIF($C$3:$C$206,"&lt;"&amp;$C113)/COUNT($C$3:$C$206)-COUNTIF($G$3:$G$206,"&lt;"&amp;$G113)/COUNT($G$3:$G$206)-COUNTIF($D$3:$D$206,"&lt;"&amp;$D113)/COUNT($D$3:$D$206)-COUNTIF(分析!$Z$3:$Z$206,"&lt;"&amp;分析!$Z113)/COUNT(分析!$Z$3:$Z$206)-COUNTIF($E$3:$E$206,"&lt;"&amp;$E113)/COUNT($E$3:$E$206),"")</f>
      </c>
      <c r="I113">
        <f>IF(OR(A113="",A113="TOPX",C113="",H113=""),0,IF(AND(V811設定!$E$11=1,C113&lt;=V811設定!$E$3,D113&lt;=V811設定!$E$4,E113&lt;=V811設定!$E$5,分析!$Z113&lt;=V811設定!$E$6,分析!$Z113&gt;=V811設定!$E$7,F113&gt;=V811設定!$E$8,G113&lt;=V811設定!$E$9),1,0))</f>
      </c>
      <c r="J113">
        <f>IF(A113="","",IF(I113=1,"○ゲート通過",IF(V811設定!$E$11&lt;&gt;1,"― 停止中",IF(C113&gt;V811設定!$E$3,"×値動きが荒い",IF(D113&gt;V811設定!$E$4,"×レンジが広い",IF(E113&gt;V811設定!$E$5,"×窓を開けて上昇",IF(分析!$Z113&gt;V811設定!$E$6,"×前日に急騰",IF(分析!$Z113&lt;V811設定!$E$7,"×前日に急落",IF(F113&lt;V811設定!$E$8,"×高値から離れすぎ",IF(G113&gt;V811設定!$E$9,"×当日の値幅が大きい","×"))))))))))</f>
      </c>
      <c r="K113">
        <f>IF(売分析!$C113="","",売分析!$C113)</f>
      </c>
      <c r="L113">
        <f>IF(売分析!$C113="","",売分析!$D113)</f>
      </c>
      <c r="M113">
        <f>IFERROR((SUM(OFFSET(高値!$E$6,IFERROR(MATCH(売分析!$C113,銘柄管理!$B$6:$B$305,0),MATCH(TEXT(売分析!$C113,"0"),銘柄管理!$B$6:$B$305,0))-1,0,1,14))-SUM(OFFSET(安値!$E$6,IFERROR(MATCH(売分析!$C113,銘柄管理!$B$6:$B$305,0),MATCH(TEXT(売分析!$C113,"0"),銘柄管理!$B$6:$B$305,0))-1,0,1,14)))/SUM(OFFSET(終値!$E$6,IFERROR(MATCH(売分析!$C113,銘柄管理!$B$6:$B$305,0),MATCH(TEXT(売分析!$C113,"0"),銘柄管理!$B$6:$B$305,0))-1,0,1,14))*100,"")</f>
      </c>
      <c r="N113">
        <f>IFERROR((MAX(OFFSET(高値!$E$6,IFERROR(MATCH(売分析!$C113,銘柄管理!$B$6:$B$305,0),MATCH(TEXT(売分析!$C113,"0"),銘柄管理!$B$6:$B$305,0))-1,0,1,25))-MIN(OFFSET(安値!$E$6,IFERROR(MATCH(売分析!$C113,銘柄管理!$B$6:$B$305,0),MATCH(TEXT(売分析!$C113,"0"),銘柄管理!$B$6:$B$305,0))-1,0,1,25)))/売分析!$E113*100,"")</f>
      </c>
      <c r="O113">
        <f>IFERROR((売分析!$F113-売分析!$G113)/売分析!$G113*100,"")</f>
      </c>
      <c r="P113">
        <f>IFERROR((売分析!$E113-MAX(OFFSET(高値!$E$6,IFERROR(MATCH(売分析!$C113,銘柄管理!$B$6:$B$305,0),MATCH(TEXT(売分析!$C113,"0"),銘柄管理!$B$6:$B$305,0))-1,0,1,25)))/MAX(OFFSET(高値!$E$6,IFERROR(MATCH(売分析!$C113,銘柄管理!$B$6:$B$305,0),MATCH(TEXT(売分析!$C113,"0"),銘柄管理!$B$6:$B$305,0))-1,0,1,25))*100,"")</f>
      </c>
      <c r="Q113">
        <f>IFERROR((売分析!$H113-売分析!$I113)/売分析!$F113*100,"")</f>
      </c>
      <c r="R113">
        <f>IFERROR(5-COUNTIF($M$3:$M$206,"&lt;"&amp;$M113)/COUNT($M$3:$M$206)-COUNTIF($Q$3:$Q$206,"&lt;"&amp;$Q113)/COUNT($Q$3:$Q$206)-COUNTIF($N$3:$N$206,"&lt;"&amp;$N113)/COUNT($N$3:$N$206)-COUNTIF(売分析!$Z$3:$Z$206,"&lt;"&amp;売分析!$Z113)/COUNT(売分析!$Z$3:$Z$206)-COUNTIF($O$3:$O$206,"&lt;"&amp;$O113)/COUNT($O$3:$O$206),"")</f>
      </c>
      <c r="S113">
        <f>IF(OR(K113="",K113="TOPX",M113="",R113=""),0,IF(AND(V811設定!$E$12=1,M113&lt;=V811設定!$E$3,N113&lt;=V811設定!$E$4,O113&lt;=V811設定!$E$5,売分析!$Z113&lt;=V811設定!$E$6,売分析!$Z113&gt;=V811設定!$E$7,P113&gt;=V811設定!$E$8,Q113&lt;=V811設定!$E$9),1,0))</f>
      </c>
      <c r="T113">
        <f>IF(K113="","",IF(S113=1,"○ゲート通過",IF(V811設定!$E$12&lt;&gt;1,"― 停止中",IF(M113&gt;V811設定!$E$3,"×値動きが荒い",IF(N113&gt;V811設定!$E$4,"×レンジが広い",IF(O113&gt;V811設定!$E$5,"×窓を開けて上昇",IF(売分析!$Z113&gt;V811設定!$E$6,"×前日に急騰",IF(売分析!$Z113&lt;V811設定!$E$7,"×前日に急落",IF(P113&lt;V811設定!$E$8,"×高値から離れすぎ",IF(Q113&gt;V811設定!$E$9,"×当日の値幅が大きい","×"))))))))))</f>
      </c>
    </row>
    <row r="114" spans="1:20">
      <c r="A114">
        <f>IF(分析!$C114="","",分析!$C114)</f>
      </c>
      <c r="B114">
        <f>IF(分析!$C114="","",分析!$D114)</f>
      </c>
      <c r="C114">
        <f>IFERROR((SUM(OFFSET(高値!$E$6,IFERROR(MATCH(分析!$C114,銘柄管理!$B$6:$B$305,0),MATCH(TEXT(分析!$C114,"0"),銘柄管理!$B$6:$B$305,0))-1,0,1,14))-SUM(OFFSET(安値!$E$6,IFERROR(MATCH(分析!$C114,銘柄管理!$B$6:$B$305,0),MATCH(TEXT(分析!$C114,"0"),銘柄管理!$B$6:$B$305,0))-1,0,1,14)))/SUM(OFFSET(終値!$E$6,IFERROR(MATCH(分析!$C114,銘柄管理!$B$6:$B$305,0),MATCH(TEXT(分析!$C114,"0"),銘柄管理!$B$6:$B$305,0))-1,0,1,14))*100,"")</f>
      </c>
      <c r="D114">
        <f>IFERROR((MAX(OFFSET(高値!$E$6,IFERROR(MATCH(分析!$C114,銘柄管理!$B$6:$B$305,0),MATCH(TEXT(分析!$C114,"0"),銘柄管理!$B$6:$B$305,0))-1,0,1,25))-MIN(OFFSET(安値!$E$6,IFERROR(MATCH(分析!$C114,銘柄管理!$B$6:$B$305,0),MATCH(TEXT(分析!$C114,"0"),銘柄管理!$B$6:$B$305,0))-1,0,1,25)))/分析!$E114*100,"")</f>
      </c>
      <c r="E114">
        <f>IFERROR((分析!$F114-分析!$G114)/分析!$G114*100,"")</f>
      </c>
      <c r="F114">
        <f>IFERROR((分析!$E114-MAX(OFFSET(高値!$E$6,IFERROR(MATCH(分析!$C114,銘柄管理!$B$6:$B$305,0),MATCH(TEXT(分析!$C114,"0"),銘柄管理!$B$6:$B$305,0))-1,0,1,25)))/MAX(OFFSET(高値!$E$6,IFERROR(MATCH(分析!$C114,銘柄管理!$B$6:$B$305,0),MATCH(TEXT(分析!$C114,"0"),銘柄管理!$B$6:$B$305,0))-1,0,1,25))*100,"")</f>
      </c>
      <c r="G114">
        <f>IFERROR((分析!$H114-分析!$I114)/分析!$F114*100,"")</f>
      </c>
      <c r="H114">
        <f>IFERROR(5-COUNTIF($C$3:$C$206,"&lt;"&amp;$C114)/COUNT($C$3:$C$206)-COUNTIF($G$3:$G$206,"&lt;"&amp;$G114)/COUNT($G$3:$G$206)-COUNTIF($D$3:$D$206,"&lt;"&amp;$D114)/COUNT($D$3:$D$206)-COUNTIF(分析!$Z$3:$Z$206,"&lt;"&amp;分析!$Z114)/COUNT(分析!$Z$3:$Z$206)-COUNTIF($E$3:$E$206,"&lt;"&amp;$E114)/COUNT($E$3:$E$206),"")</f>
      </c>
      <c r="I114">
        <f>IF(OR(A114="",A114="TOPX",C114="",H114=""),0,IF(AND(V811設定!$E$11=1,C114&lt;=V811設定!$E$3,D114&lt;=V811設定!$E$4,E114&lt;=V811設定!$E$5,分析!$Z114&lt;=V811設定!$E$6,分析!$Z114&gt;=V811設定!$E$7,F114&gt;=V811設定!$E$8,G114&lt;=V811設定!$E$9),1,0))</f>
      </c>
      <c r="J114">
        <f>IF(A114="","",IF(I114=1,"○ゲート通過",IF(V811設定!$E$11&lt;&gt;1,"― 停止中",IF(C114&gt;V811設定!$E$3,"×値動きが荒い",IF(D114&gt;V811設定!$E$4,"×レンジが広い",IF(E114&gt;V811設定!$E$5,"×窓を開けて上昇",IF(分析!$Z114&gt;V811設定!$E$6,"×前日に急騰",IF(分析!$Z114&lt;V811設定!$E$7,"×前日に急落",IF(F114&lt;V811設定!$E$8,"×高値から離れすぎ",IF(G114&gt;V811設定!$E$9,"×当日の値幅が大きい","×"))))))))))</f>
      </c>
      <c r="K114">
        <f>IF(売分析!$C114="","",売分析!$C114)</f>
      </c>
      <c r="L114">
        <f>IF(売分析!$C114="","",売分析!$D114)</f>
      </c>
      <c r="M114">
        <f>IFERROR((SUM(OFFSET(高値!$E$6,IFERROR(MATCH(売分析!$C114,銘柄管理!$B$6:$B$305,0),MATCH(TEXT(売分析!$C114,"0"),銘柄管理!$B$6:$B$305,0))-1,0,1,14))-SUM(OFFSET(安値!$E$6,IFERROR(MATCH(売分析!$C114,銘柄管理!$B$6:$B$305,0),MATCH(TEXT(売分析!$C114,"0"),銘柄管理!$B$6:$B$305,0))-1,0,1,14)))/SUM(OFFSET(終値!$E$6,IFERROR(MATCH(売分析!$C114,銘柄管理!$B$6:$B$305,0),MATCH(TEXT(売分析!$C114,"0"),銘柄管理!$B$6:$B$305,0))-1,0,1,14))*100,"")</f>
      </c>
      <c r="N114">
        <f>IFERROR((MAX(OFFSET(高値!$E$6,IFERROR(MATCH(売分析!$C114,銘柄管理!$B$6:$B$305,0),MATCH(TEXT(売分析!$C114,"0"),銘柄管理!$B$6:$B$305,0))-1,0,1,25))-MIN(OFFSET(安値!$E$6,IFERROR(MATCH(売分析!$C114,銘柄管理!$B$6:$B$305,0),MATCH(TEXT(売分析!$C114,"0"),銘柄管理!$B$6:$B$305,0))-1,0,1,25)))/売分析!$E114*100,"")</f>
      </c>
      <c r="O114">
        <f>IFERROR((売分析!$F114-売分析!$G114)/売分析!$G114*100,"")</f>
      </c>
      <c r="P114">
        <f>IFERROR((売分析!$E114-MAX(OFFSET(高値!$E$6,IFERROR(MATCH(売分析!$C114,銘柄管理!$B$6:$B$305,0),MATCH(TEXT(売分析!$C114,"0"),銘柄管理!$B$6:$B$305,0))-1,0,1,25)))/MAX(OFFSET(高値!$E$6,IFERROR(MATCH(売分析!$C114,銘柄管理!$B$6:$B$305,0),MATCH(TEXT(売分析!$C114,"0"),銘柄管理!$B$6:$B$305,0))-1,0,1,25))*100,"")</f>
      </c>
      <c r="Q114">
        <f>IFERROR((売分析!$H114-売分析!$I114)/売分析!$F114*100,"")</f>
      </c>
      <c r="R114">
        <f>IFERROR(5-COUNTIF($M$3:$M$206,"&lt;"&amp;$M114)/COUNT($M$3:$M$206)-COUNTIF($Q$3:$Q$206,"&lt;"&amp;$Q114)/COUNT($Q$3:$Q$206)-COUNTIF($N$3:$N$206,"&lt;"&amp;$N114)/COUNT($N$3:$N$206)-COUNTIF(売分析!$Z$3:$Z$206,"&lt;"&amp;売分析!$Z114)/COUNT(売分析!$Z$3:$Z$206)-COUNTIF($O$3:$O$206,"&lt;"&amp;$O114)/COUNT($O$3:$O$206),"")</f>
      </c>
      <c r="S114">
        <f>IF(OR(K114="",K114="TOPX",M114="",R114=""),0,IF(AND(V811設定!$E$12=1,M114&lt;=V811設定!$E$3,N114&lt;=V811設定!$E$4,O114&lt;=V811設定!$E$5,売分析!$Z114&lt;=V811設定!$E$6,売分析!$Z114&gt;=V811設定!$E$7,P114&gt;=V811設定!$E$8,Q114&lt;=V811設定!$E$9),1,0))</f>
      </c>
      <c r="T114">
        <f>IF(K114="","",IF(S114=1,"○ゲート通過",IF(V811設定!$E$12&lt;&gt;1,"― 停止中",IF(M114&gt;V811設定!$E$3,"×値動きが荒い",IF(N114&gt;V811設定!$E$4,"×レンジが広い",IF(O114&gt;V811設定!$E$5,"×窓を開けて上昇",IF(売分析!$Z114&gt;V811設定!$E$6,"×前日に急騰",IF(売分析!$Z114&lt;V811設定!$E$7,"×前日に急落",IF(P114&lt;V811設定!$E$8,"×高値から離れすぎ",IF(Q114&gt;V811設定!$E$9,"×当日の値幅が大きい","×"))))))))))</f>
      </c>
    </row>
    <row r="115" spans="1:20">
      <c r="A115">
        <f>IF(分析!$C115="","",分析!$C115)</f>
      </c>
      <c r="B115">
        <f>IF(分析!$C115="","",分析!$D115)</f>
      </c>
      <c r="C115">
        <f>IFERROR((SUM(OFFSET(高値!$E$6,IFERROR(MATCH(分析!$C115,銘柄管理!$B$6:$B$305,0),MATCH(TEXT(分析!$C115,"0"),銘柄管理!$B$6:$B$305,0))-1,0,1,14))-SUM(OFFSET(安値!$E$6,IFERROR(MATCH(分析!$C115,銘柄管理!$B$6:$B$305,0),MATCH(TEXT(分析!$C115,"0"),銘柄管理!$B$6:$B$305,0))-1,0,1,14)))/SUM(OFFSET(終値!$E$6,IFERROR(MATCH(分析!$C115,銘柄管理!$B$6:$B$305,0),MATCH(TEXT(分析!$C115,"0"),銘柄管理!$B$6:$B$305,0))-1,0,1,14))*100,"")</f>
      </c>
      <c r="D115">
        <f>IFERROR((MAX(OFFSET(高値!$E$6,IFERROR(MATCH(分析!$C115,銘柄管理!$B$6:$B$305,0),MATCH(TEXT(分析!$C115,"0"),銘柄管理!$B$6:$B$305,0))-1,0,1,25))-MIN(OFFSET(安値!$E$6,IFERROR(MATCH(分析!$C115,銘柄管理!$B$6:$B$305,0),MATCH(TEXT(分析!$C115,"0"),銘柄管理!$B$6:$B$305,0))-1,0,1,25)))/分析!$E115*100,"")</f>
      </c>
      <c r="E115">
        <f>IFERROR((分析!$F115-分析!$G115)/分析!$G115*100,"")</f>
      </c>
      <c r="F115">
        <f>IFERROR((分析!$E115-MAX(OFFSET(高値!$E$6,IFERROR(MATCH(分析!$C115,銘柄管理!$B$6:$B$305,0),MATCH(TEXT(分析!$C115,"0"),銘柄管理!$B$6:$B$305,0))-1,0,1,25)))/MAX(OFFSET(高値!$E$6,IFERROR(MATCH(分析!$C115,銘柄管理!$B$6:$B$305,0),MATCH(TEXT(分析!$C115,"0"),銘柄管理!$B$6:$B$305,0))-1,0,1,25))*100,"")</f>
      </c>
      <c r="G115">
        <f>IFERROR((分析!$H115-分析!$I115)/分析!$F115*100,"")</f>
      </c>
      <c r="H115">
        <f>IFERROR(5-COUNTIF($C$3:$C$206,"&lt;"&amp;$C115)/COUNT($C$3:$C$206)-COUNTIF($G$3:$G$206,"&lt;"&amp;$G115)/COUNT($G$3:$G$206)-COUNTIF($D$3:$D$206,"&lt;"&amp;$D115)/COUNT($D$3:$D$206)-COUNTIF(分析!$Z$3:$Z$206,"&lt;"&amp;分析!$Z115)/COUNT(分析!$Z$3:$Z$206)-COUNTIF($E$3:$E$206,"&lt;"&amp;$E115)/COUNT($E$3:$E$206),"")</f>
      </c>
      <c r="I115">
        <f>IF(OR(A115="",A115="TOPX",C115="",H115=""),0,IF(AND(V811設定!$E$11=1,C115&lt;=V811設定!$E$3,D115&lt;=V811設定!$E$4,E115&lt;=V811設定!$E$5,分析!$Z115&lt;=V811設定!$E$6,分析!$Z115&gt;=V811設定!$E$7,F115&gt;=V811設定!$E$8,G115&lt;=V811設定!$E$9),1,0))</f>
      </c>
      <c r="J115">
        <f>IF(A115="","",IF(I115=1,"○ゲート通過",IF(V811設定!$E$11&lt;&gt;1,"― 停止中",IF(C115&gt;V811設定!$E$3,"×値動きが荒い",IF(D115&gt;V811設定!$E$4,"×レンジが広い",IF(E115&gt;V811設定!$E$5,"×窓を開けて上昇",IF(分析!$Z115&gt;V811設定!$E$6,"×前日に急騰",IF(分析!$Z115&lt;V811設定!$E$7,"×前日に急落",IF(F115&lt;V811設定!$E$8,"×高値から離れすぎ",IF(G115&gt;V811設定!$E$9,"×当日の値幅が大きい","×"))))))))))</f>
      </c>
      <c r="K115">
        <f>IF(売分析!$C115="","",売分析!$C115)</f>
      </c>
      <c r="L115">
        <f>IF(売分析!$C115="","",売分析!$D115)</f>
      </c>
      <c r="M115">
        <f>IFERROR((SUM(OFFSET(高値!$E$6,IFERROR(MATCH(売分析!$C115,銘柄管理!$B$6:$B$305,0),MATCH(TEXT(売分析!$C115,"0"),銘柄管理!$B$6:$B$305,0))-1,0,1,14))-SUM(OFFSET(安値!$E$6,IFERROR(MATCH(売分析!$C115,銘柄管理!$B$6:$B$305,0),MATCH(TEXT(売分析!$C115,"0"),銘柄管理!$B$6:$B$305,0))-1,0,1,14)))/SUM(OFFSET(終値!$E$6,IFERROR(MATCH(売分析!$C115,銘柄管理!$B$6:$B$305,0),MATCH(TEXT(売分析!$C115,"0"),銘柄管理!$B$6:$B$305,0))-1,0,1,14))*100,"")</f>
      </c>
      <c r="N115">
        <f>IFERROR((MAX(OFFSET(高値!$E$6,IFERROR(MATCH(売分析!$C115,銘柄管理!$B$6:$B$305,0),MATCH(TEXT(売分析!$C115,"0"),銘柄管理!$B$6:$B$305,0))-1,0,1,25))-MIN(OFFSET(安値!$E$6,IFERROR(MATCH(売分析!$C115,銘柄管理!$B$6:$B$305,0),MATCH(TEXT(売分析!$C115,"0"),銘柄管理!$B$6:$B$305,0))-1,0,1,25)))/売分析!$E115*100,"")</f>
      </c>
      <c r="O115">
        <f>IFERROR((売分析!$F115-売分析!$G115)/売分析!$G115*100,"")</f>
      </c>
      <c r="P115">
        <f>IFERROR((売分析!$E115-MAX(OFFSET(高値!$E$6,IFERROR(MATCH(売分析!$C115,銘柄管理!$B$6:$B$305,0),MATCH(TEXT(売分析!$C115,"0"),銘柄管理!$B$6:$B$305,0))-1,0,1,25)))/MAX(OFFSET(高値!$E$6,IFERROR(MATCH(売分析!$C115,銘柄管理!$B$6:$B$305,0),MATCH(TEXT(売分析!$C115,"0"),銘柄管理!$B$6:$B$305,0))-1,0,1,25))*100,"")</f>
      </c>
      <c r="Q115">
        <f>IFERROR((売分析!$H115-売分析!$I115)/売分析!$F115*100,"")</f>
      </c>
      <c r="R115">
        <f>IFERROR(5-COUNTIF($M$3:$M$206,"&lt;"&amp;$M115)/COUNT($M$3:$M$206)-COUNTIF($Q$3:$Q$206,"&lt;"&amp;$Q115)/COUNT($Q$3:$Q$206)-COUNTIF($N$3:$N$206,"&lt;"&amp;$N115)/COUNT($N$3:$N$206)-COUNTIF(売分析!$Z$3:$Z$206,"&lt;"&amp;売分析!$Z115)/COUNT(売分析!$Z$3:$Z$206)-COUNTIF($O$3:$O$206,"&lt;"&amp;$O115)/COUNT($O$3:$O$206),"")</f>
      </c>
      <c r="S115">
        <f>IF(OR(K115="",K115="TOPX",M115="",R115=""),0,IF(AND(V811設定!$E$12=1,M115&lt;=V811設定!$E$3,N115&lt;=V811設定!$E$4,O115&lt;=V811設定!$E$5,売分析!$Z115&lt;=V811設定!$E$6,売分析!$Z115&gt;=V811設定!$E$7,P115&gt;=V811設定!$E$8,Q115&lt;=V811設定!$E$9),1,0))</f>
      </c>
      <c r="T115">
        <f>IF(K115="","",IF(S115=1,"○ゲート通過",IF(V811設定!$E$12&lt;&gt;1,"― 停止中",IF(M115&gt;V811設定!$E$3,"×値動きが荒い",IF(N115&gt;V811設定!$E$4,"×レンジが広い",IF(O115&gt;V811設定!$E$5,"×窓を開けて上昇",IF(売分析!$Z115&gt;V811設定!$E$6,"×前日に急騰",IF(売分析!$Z115&lt;V811設定!$E$7,"×前日に急落",IF(P115&lt;V811設定!$E$8,"×高値から離れすぎ",IF(Q115&gt;V811設定!$E$9,"×当日の値幅が大きい","×"))))))))))</f>
      </c>
    </row>
    <row r="116" spans="1:20">
      <c r="A116">
        <f>IF(分析!$C116="","",分析!$C116)</f>
      </c>
      <c r="B116">
        <f>IF(分析!$C116="","",分析!$D116)</f>
      </c>
      <c r="C116">
        <f>IFERROR((SUM(OFFSET(高値!$E$6,IFERROR(MATCH(分析!$C116,銘柄管理!$B$6:$B$305,0),MATCH(TEXT(分析!$C116,"0"),銘柄管理!$B$6:$B$305,0))-1,0,1,14))-SUM(OFFSET(安値!$E$6,IFERROR(MATCH(分析!$C116,銘柄管理!$B$6:$B$305,0),MATCH(TEXT(分析!$C116,"0"),銘柄管理!$B$6:$B$305,0))-1,0,1,14)))/SUM(OFFSET(終値!$E$6,IFERROR(MATCH(分析!$C116,銘柄管理!$B$6:$B$305,0),MATCH(TEXT(分析!$C116,"0"),銘柄管理!$B$6:$B$305,0))-1,0,1,14))*100,"")</f>
      </c>
      <c r="D116">
        <f>IFERROR((MAX(OFFSET(高値!$E$6,IFERROR(MATCH(分析!$C116,銘柄管理!$B$6:$B$305,0),MATCH(TEXT(分析!$C116,"0"),銘柄管理!$B$6:$B$305,0))-1,0,1,25))-MIN(OFFSET(安値!$E$6,IFERROR(MATCH(分析!$C116,銘柄管理!$B$6:$B$305,0),MATCH(TEXT(分析!$C116,"0"),銘柄管理!$B$6:$B$305,0))-1,0,1,25)))/分析!$E116*100,"")</f>
      </c>
      <c r="E116">
        <f>IFERROR((分析!$F116-分析!$G116)/分析!$G116*100,"")</f>
      </c>
      <c r="F116">
        <f>IFERROR((分析!$E116-MAX(OFFSET(高値!$E$6,IFERROR(MATCH(分析!$C116,銘柄管理!$B$6:$B$305,0),MATCH(TEXT(分析!$C116,"0"),銘柄管理!$B$6:$B$305,0))-1,0,1,25)))/MAX(OFFSET(高値!$E$6,IFERROR(MATCH(分析!$C116,銘柄管理!$B$6:$B$305,0),MATCH(TEXT(分析!$C116,"0"),銘柄管理!$B$6:$B$305,0))-1,0,1,25))*100,"")</f>
      </c>
      <c r="G116">
        <f>IFERROR((分析!$H116-分析!$I116)/分析!$F116*100,"")</f>
      </c>
      <c r="H116">
        <f>IFERROR(5-COUNTIF($C$3:$C$206,"&lt;"&amp;$C116)/COUNT($C$3:$C$206)-COUNTIF($G$3:$G$206,"&lt;"&amp;$G116)/COUNT($G$3:$G$206)-COUNTIF($D$3:$D$206,"&lt;"&amp;$D116)/COUNT($D$3:$D$206)-COUNTIF(分析!$Z$3:$Z$206,"&lt;"&amp;分析!$Z116)/COUNT(分析!$Z$3:$Z$206)-COUNTIF($E$3:$E$206,"&lt;"&amp;$E116)/COUNT($E$3:$E$206),"")</f>
      </c>
      <c r="I116">
        <f>IF(OR(A116="",A116="TOPX",C116="",H116=""),0,IF(AND(V811設定!$E$11=1,C116&lt;=V811設定!$E$3,D116&lt;=V811設定!$E$4,E116&lt;=V811設定!$E$5,分析!$Z116&lt;=V811設定!$E$6,分析!$Z116&gt;=V811設定!$E$7,F116&gt;=V811設定!$E$8,G116&lt;=V811設定!$E$9),1,0))</f>
      </c>
      <c r="J116">
        <f>IF(A116="","",IF(I116=1,"○ゲート通過",IF(V811設定!$E$11&lt;&gt;1,"― 停止中",IF(C116&gt;V811設定!$E$3,"×値動きが荒い",IF(D116&gt;V811設定!$E$4,"×レンジが広い",IF(E116&gt;V811設定!$E$5,"×窓を開けて上昇",IF(分析!$Z116&gt;V811設定!$E$6,"×前日に急騰",IF(分析!$Z116&lt;V811設定!$E$7,"×前日に急落",IF(F116&lt;V811設定!$E$8,"×高値から離れすぎ",IF(G116&gt;V811設定!$E$9,"×当日の値幅が大きい","×"))))))))))</f>
      </c>
      <c r="K116">
        <f>IF(売分析!$C116="","",売分析!$C116)</f>
      </c>
      <c r="L116">
        <f>IF(売分析!$C116="","",売分析!$D116)</f>
      </c>
      <c r="M116">
        <f>IFERROR((SUM(OFFSET(高値!$E$6,IFERROR(MATCH(売分析!$C116,銘柄管理!$B$6:$B$305,0),MATCH(TEXT(売分析!$C116,"0"),銘柄管理!$B$6:$B$305,0))-1,0,1,14))-SUM(OFFSET(安値!$E$6,IFERROR(MATCH(売分析!$C116,銘柄管理!$B$6:$B$305,0),MATCH(TEXT(売分析!$C116,"0"),銘柄管理!$B$6:$B$305,0))-1,0,1,14)))/SUM(OFFSET(終値!$E$6,IFERROR(MATCH(売分析!$C116,銘柄管理!$B$6:$B$305,0),MATCH(TEXT(売分析!$C116,"0"),銘柄管理!$B$6:$B$305,0))-1,0,1,14))*100,"")</f>
      </c>
      <c r="N116">
        <f>IFERROR((MAX(OFFSET(高値!$E$6,IFERROR(MATCH(売分析!$C116,銘柄管理!$B$6:$B$305,0),MATCH(TEXT(売分析!$C116,"0"),銘柄管理!$B$6:$B$305,0))-1,0,1,25))-MIN(OFFSET(安値!$E$6,IFERROR(MATCH(売分析!$C116,銘柄管理!$B$6:$B$305,0),MATCH(TEXT(売分析!$C116,"0"),銘柄管理!$B$6:$B$305,0))-1,0,1,25)))/売分析!$E116*100,"")</f>
      </c>
      <c r="O116">
        <f>IFERROR((売分析!$F116-売分析!$G116)/売分析!$G116*100,"")</f>
      </c>
      <c r="P116">
        <f>IFERROR((売分析!$E116-MAX(OFFSET(高値!$E$6,IFERROR(MATCH(売分析!$C116,銘柄管理!$B$6:$B$305,0),MATCH(TEXT(売分析!$C116,"0"),銘柄管理!$B$6:$B$305,0))-1,0,1,25)))/MAX(OFFSET(高値!$E$6,IFERROR(MATCH(売分析!$C116,銘柄管理!$B$6:$B$305,0),MATCH(TEXT(売分析!$C116,"0"),銘柄管理!$B$6:$B$305,0))-1,0,1,25))*100,"")</f>
      </c>
      <c r="Q116">
        <f>IFERROR((売分析!$H116-売分析!$I116)/売分析!$F116*100,"")</f>
      </c>
      <c r="R116">
        <f>IFERROR(5-COUNTIF($M$3:$M$206,"&lt;"&amp;$M116)/COUNT($M$3:$M$206)-COUNTIF($Q$3:$Q$206,"&lt;"&amp;$Q116)/COUNT($Q$3:$Q$206)-COUNTIF($N$3:$N$206,"&lt;"&amp;$N116)/COUNT($N$3:$N$206)-COUNTIF(売分析!$Z$3:$Z$206,"&lt;"&amp;売分析!$Z116)/COUNT(売分析!$Z$3:$Z$206)-COUNTIF($O$3:$O$206,"&lt;"&amp;$O116)/COUNT($O$3:$O$206),"")</f>
      </c>
      <c r="S116">
        <f>IF(OR(K116="",K116="TOPX",M116="",R116=""),0,IF(AND(V811設定!$E$12=1,M116&lt;=V811設定!$E$3,N116&lt;=V811設定!$E$4,O116&lt;=V811設定!$E$5,売分析!$Z116&lt;=V811設定!$E$6,売分析!$Z116&gt;=V811設定!$E$7,P116&gt;=V811設定!$E$8,Q116&lt;=V811設定!$E$9),1,0))</f>
      </c>
      <c r="T116">
        <f>IF(K116="","",IF(S116=1,"○ゲート通過",IF(V811設定!$E$12&lt;&gt;1,"― 停止中",IF(M116&gt;V811設定!$E$3,"×値動きが荒い",IF(N116&gt;V811設定!$E$4,"×レンジが広い",IF(O116&gt;V811設定!$E$5,"×窓を開けて上昇",IF(売分析!$Z116&gt;V811設定!$E$6,"×前日に急騰",IF(売分析!$Z116&lt;V811設定!$E$7,"×前日に急落",IF(P116&lt;V811設定!$E$8,"×高値から離れすぎ",IF(Q116&gt;V811設定!$E$9,"×当日の値幅が大きい","×"))))))))))</f>
      </c>
    </row>
    <row r="117" spans="1:20">
      <c r="A117">
        <f>IF(分析!$C117="","",分析!$C117)</f>
      </c>
      <c r="B117">
        <f>IF(分析!$C117="","",分析!$D117)</f>
      </c>
      <c r="C117">
        <f>IFERROR((SUM(OFFSET(高値!$E$6,IFERROR(MATCH(分析!$C117,銘柄管理!$B$6:$B$305,0),MATCH(TEXT(分析!$C117,"0"),銘柄管理!$B$6:$B$305,0))-1,0,1,14))-SUM(OFFSET(安値!$E$6,IFERROR(MATCH(分析!$C117,銘柄管理!$B$6:$B$305,0),MATCH(TEXT(分析!$C117,"0"),銘柄管理!$B$6:$B$305,0))-1,0,1,14)))/SUM(OFFSET(終値!$E$6,IFERROR(MATCH(分析!$C117,銘柄管理!$B$6:$B$305,0),MATCH(TEXT(分析!$C117,"0"),銘柄管理!$B$6:$B$305,0))-1,0,1,14))*100,"")</f>
      </c>
      <c r="D117">
        <f>IFERROR((MAX(OFFSET(高値!$E$6,IFERROR(MATCH(分析!$C117,銘柄管理!$B$6:$B$305,0),MATCH(TEXT(分析!$C117,"0"),銘柄管理!$B$6:$B$305,0))-1,0,1,25))-MIN(OFFSET(安値!$E$6,IFERROR(MATCH(分析!$C117,銘柄管理!$B$6:$B$305,0),MATCH(TEXT(分析!$C117,"0"),銘柄管理!$B$6:$B$305,0))-1,0,1,25)))/分析!$E117*100,"")</f>
      </c>
      <c r="E117">
        <f>IFERROR((分析!$F117-分析!$G117)/分析!$G117*100,"")</f>
      </c>
      <c r="F117">
        <f>IFERROR((分析!$E117-MAX(OFFSET(高値!$E$6,IFERROR(MATCH(分析!$C117,銘柄管理!$B$6:$B$305,0),MATCH(TEXT(分析!$C117,"0"),銘柄管理!$B$6:$B$305,0))-1,0,1,25)))/MAX(OFFSET(高値!$E$6,IFERROR(MATCH(分析!$C117,銘柄管理!$B$6:$B$305,0),MATCH(TEXT(分析!$C117,"0"),銘柄管理!$B$6:$B$305,0))-1,0,1,25))*100,"")</f>
      </c>
      <c r="G117">
        <f>IFERROR((分析!$H117-分析!$I117)/分析!$F117*100,"")</f>
      </c>
      <c r="H117">
        <f>IFERROR(5-COUNTIF($C$3:$C$206,"&lt;"&amp;$C117)/COUNT($C$3:$C$206)-COUNTIF($G$3:$G$206,"&lt;"&amp;$G117)/COUNT($G$3:$G$206)-COUNTIF($D$3:$D$206,"&lt;"&amp;$D117)/COUNT($D$3:$D$206)-COUNTIF(分析!$Z$3:$Z$206,"&lt;"&amp;分析!$Z117)/COUNT(分析!$Z$3:$Z$206)-COUNTIF($E$3:$E$206,"&lt;"&amp;$E117)/COUNT($E$3:$E$206),"")</f>
      </c>
      <c r="I117">
        <f>IF(OR(A117="",A117="TOPX",C117="",H117=""),0,IF(AND(V811設定!$E$11=1,C117&lt;=V811設定!$E$3,D117&lt;=V811設定!$E$4,E117&lt;=V811設定!$E$5,分析!$Z117&lt;=V811設定!$E$6,分析!$Z117&gt;=V811設定!$E$7,F117&gt;=V811設定!$E$8,G117&lt;=V811設定!$E$9),1,0))</f>
      </c>
      <c r="J117">
        <f>IF(A117="","",IF(I117=1,"○ゲート通過",IF(V811設定!$E$11&lt;&gt;1,"― 停止中",IF(C117&gt;V811設定!$E$3,"×値動きが荒い",IF(D117&gt;V811設定!$E$4,"×レンジが広い",IF(E117&gt;V811設定!$E$5,"×窓を開けて上昇",IF(分析!$Z117&gt;V811設定!$E$6,"×前日に急騰",IF(分析!$Z117&lt;V811設定!$E$7,"×前日に急落",IF(F117&lt;V811設定!$E$8,"×高値から離れすぎ",IF(G117&gt;V811設定!$E$9,"×当日の値幅が大きい","×"))))))))))</f>
      </c>
      <c r="K117">
        <f>IF(売分析!$C117="","",売分析!$C117)</f>
      </c>
      <c r="L117">
        <f>IF(売分析!$C117="","",売分析!$D117)</f>
      </c>
      <c r="M117">
        <f>IFERROR((SUM(OFFSET(高値!$E$6,IFERROR(MATCH(売分析!$C117,銘柄管理!$B$6:$B$305,0),MATCH(TEXT(売分析!$C117,"0"),銘柄管理!$B$6:$B$305,0))-1,0,1,14))-SUM(OFFSET(安値!$E$6,IFERROR(MATCH(売分析!$C117,銘柄管理!$B$6:$B$305,0),MATCH(TEXT(売分析!$C117,"0"),銘柄管理!$B$6:$B$305,0))-1,0,1,14)))/SUM(OFFSET(終値!$E$6,IFERROR(MATCH(売分析!$C117,銘柄管理!$B$6:$B$305,0),MATCH(TEXT(売分析!$C117,"0"),銘柄管理!$B$6:$B$305,0))-1,0,1,14))*100,"")</f>
      </c>
      <c r="N117">
        <f>IFERROR((MAX(OFFSET(高値!$E$6,IFERROR(MATCH(売分析!$C117,銘柄管理!$B$6:$B$305,0),MATCH(TEXT(売分析!$C117,"0"),銘柄管理!$B$6:$B$305,0))-1,0,1,25))-MIN(OFFSET(安値!$E$6,IFERROR(MATCH(売分析!$C117,銘柄管理!$B$6:$B$305,0),MATCH(TEXT(売分析!$C117,"0"),銘柄管理!$B$6:$B$305,0))-1,0,1,25)))/売分析!$E117*100,"")</f>
      </c>
      <c r="O117">
        <f>IFERROR((売分析!$F117-売分析!$G117)/売分析!$G117*100,"")</f>
      </c>
      <c r="P117">
        <f>IFERROR((売分析!$E117-MAX(OFFSET(高値!$E$6,IFERROR(MATCH(売分析!$C117,銘柄管理!$B$6:$B$305,0),MATCH(TEXT(売分析!$C117,"0"),銘柄管理!$B$6:$B$305,0))-1,0,1,25)))/MAX(OFFSET(高値!$E$6,IFERROR(MATCH(売分析!$C117,銘柄管理!$B$6:$B$305,0),MATCH(TEXT(売分析!$C117,"0"),銘柄管理!$B$6:$B$305,0))-1,0,1,25))*100,"")</f>
      </c>
      <c r="Q117">
        <f>IFERROR((売分析!$H117-売分析!$I117)/売分析!$F117*100,"")</f>
      </c>
      <c r="R117">
        <f>IFERROR(5-COUNTIF($M$3:$M$206,"&lt;"&amp;$M117)/COUNT($M$3:$M$206)-COUNTIF($Q$3:$Q$206,"&lt;"&amp;$Q117)/COUNT($Q$3:$Q$206)-COUNTIF($N$3:$N$206,"&lt;"&amp;$N117)/COUNT($N$3:$N$206)-COUNTIF(売分析!$Z$3:$Z$206,"&lt;"&amp;売分析!$Z117)/COUNT(売分析!$Z$3:$Z$206)-COUNTIF($O$3:$O$206,"&lt;"&amp;$O117)/COUNT($O$3:$O$206),"")</f>
      </c>
      <c r="S117">
        <f>IF(OR(K117="",K117="TOPX",M117="",R117=""),0,IF(AND(V811設定!$E$12=1,M117&lt;=V811設定!$E$3,N117&lt;=V811設定!$E$4,O117&lt;=V811設定!$E$5,売分析!$Z117&lt;=V811設定!$E$6,売分析!$Z117&gt;=V811設定!$E$7,P117&gt;=V811設定!$E$8,Q117&lt;=V811設定!$E$9),1,0))</f>
      </c>
      <c r="T117">
        <f>IF(K117="","",IF(S117=1,"○ゲート通過",IF(V811設定!$E$12&lt;&gt;1,"― 停止中",IF(M117&gt;V811設定!$E$3,"×値動きが荒い",IF(N117&gt;V811設定!$E$4,"×レンジが広い",IF(O117&gt;V811設定!$E$5,"×窓を開けて上昇",IF(売分析!$Z117&gt;V811設定!$E$6,"×前日に急騰",IF(売分析!$Z117&lt;V811設定!$E$7,"×前日に急落",IF(P117&lt;V811設定!$E$8,"×高値から離れすぎ",IF(Q117&gt;V811設定!$E$9,"×当日の値幅が大きい","×"))))))))))</f>
      </c>
    </row>
    <row r="118" spans="1:20">
      <c r="A118">
        <f>IF(分析!$C118="","",分析!$C118)</f>
      </c>
      <c r="B118">
        <f>IF(分析!$C118="","",分析!$D118)</f>
      </c>
      <c r="C118">
        <f>IFERROR((SUM(OFFSET(高値!$E$6,IFERROR(MATCH(分析!$C118,銘柄管理!$B$6:$B$305,0),MATCH(TEXT(分析!$C118,"0"),銘柄管理!$B$6:$B$305,0))-1,0,1,14))-SUM(OFFSET(安値!$E$6,IFERROR(MATCH(分析!$C118,銘柄管理!$B$6:$B$305,0),MATCH(TEXT(分析!$C118,"0"),銘柄管理!$B$6:$B$305,0))-1,0,1,14)))/SUM(OFFSET(終値!$E$6,IFERROR(MATCH(分析!$C118,銘柄管理!$B$6:$B$305,0),MATCH(TEXT(分析!$C118,"0"),銘柄管理!$B$6:$B$305,0))-1,0,1,14))*100,"")</f>
      </c>
      <c r="D118">
        <f>IFERROR((MAX(OFFSET(高値!$E$6,IFERROR(MATCH(分析!$C118,銘柄管理!$B$6:$B$305,0),MATCH(TEXT(分析!$C118,"0"),銘柄管理!$B$6:$B$305,0))-1,0,1,25))-MIN(OFFSET(安値!$E$6,IFERROR(MATCH(分析!$C118,銘柄管理!$B$6:$B$305,0),MATCH(TEXT(分析!$C118,"0"),銘柄管理!$B$6:$B$305,0))-1,0,1,25)))/分析!$E118*100,"")</f>
      </c>
      <c r="E118">
        <f>IFERROR((分析!$F118-分析!$G118)/分析!$G118*100,"")</f>
      </c>
      <c r="F118">
        <f>IFERROR((分析!$E118-MAX(OFFSET(高値!$E$6,IFERROR(MATCH(分析!$C118,銘柄管理!$B$6:$B$305,0),MATCH(TEXT(分析!$C118,"0"),銘柄管理!$B$6:$B$305,0))-1,0,1,25)))/MAX(OFFSET(高値!$E$6,IFERROR(MATCH(分析!$C118,銘柄管理!$B$6:$B$305,0),MATCH(TEXT(分析!$C118,"0"),銘柄管理!$B$6:$B$305,0))-1,0,1,25))*100,"")</f>
      </c>
      <c r="G118">
        <f>IFERROR((分析!$H118-分析!$I118)/分析!$F118*100,"")</f>
      </c>
      <c r="H118">
        <f>IFERROR(5-COUNTIF($C$3:$C$206,"&lt;"&amp;$C118)/COUNT($C$3:$C$206)-COUNTIF($G$3:$G$206,"&lt;"&amp;$G118)/COUNT($G$3:$G$206)-COUNTIF($D$3:$D$206,"&lt;"&amp;$D118)/COUNT($D$3:$D$206)-COUNTIF(分析!$Z$3:$Z$206,"&lt;"&amp;分析!$Z118)/COUNT(分析!$Z$3:$Z$206)-COUNTIF($E$3:$E$206,"&lt;"&amp;$E118)/COUNT($E$3:$E$206),"")</f>
      </c>
      <c r="I118">
        <f>IF(OR(A118="",A118="TOPX",C118="",H118=""),0,IF(AND(V811設定!$E$11=1,C118&lt;=V811設定!$E$3,D118&lt;=V811設定!$E$4,E118&lt;=V811設定!$E$5,分析!$Z118&lt;=V811設定!$E$6,分析!$Z118&gt;=V811設定!$E$7,F118&gt;=V811設定!$E$8,G118&lt;=V811設定!$E$9),1,0))</f>
      </c>
      <c r="J118">
        <f>IF(A118="","",IF(I118=1,"○ゲート通過",IF(V811設定!$E$11&lt;&gt;1,"― 停止中",IF(C118&gt;V811設定!$E$3,"×値動きが荒い",IF(D118&gt;V811設定!$E$4,"×レンジが広い",IF(E118&gt;V811設定!$E$5,"×窓を開けて上昇",IF(分析!$Z118&gt;V811設定!$E$6,"×前日に急騰",IF(分析!$Z118&lt;V811設定!$E$7,"×前日に急落",IF(F118&lt;V811設定!$E$8,"×高値から離れすぎ",IF(G118&gt;V811設定!$E$9,"×当日の値幅が大きい","×"))))))))))</f>
      </c>
      <c r="K118">
        <f>IF(売分析!$C118="","",売分析!$C118)</f>
      </c>
      <c r="L118">
        <f>IF(売分析!$C118="","",売分析!$D118)</f>
      </c>
      <c r="M118">
        <f>IFERROR((SUM(OFFSET(高値!$E$6,IFERROR(MATCH(売分析!$C118,銘柄管理!$B$6:$B$305,0),MATCH(TEXT(売分析!$C118,"0"),銘柄管理!$B$6:$B$305,0))-1,0,1,14))-SUM(OFFSET(安値!$E$6,IFERROR(MATCH(売分析!$C118,銘柄管理!$B$6:$B$305,0),MATCH(TEXT(売分析!$C118,"0"),銘柄管理!$B$6:$B$305,0))-1,0,1,14)))/SUM(OFFSET(終値!$E$6,IFERROR(MATCH(売分析!$C118,銘柄管理!$B$6:$B$305,0),MATCH(TEXT(売分析!$C118,"0"),銘柄管理!$B$6:$B$305,0))-1,0,1,14))*100,"")</f>
      </c>
      <c r="N118">
        <f>IFERROR((MAX(OFFSET(高値!$E$6,IFERROR(MATCH(売分析!$C118,銘柄管理!$B$6:$B$305,0),MATCH(TEXT(売分析!$C118,"0"),銘柄管理!$B$6:$B$305,0))-1,0,1,25))-MIN(OFFSET(安値!$E$6,IFERROR(MATCH(売分析!$C118,銘柄管理!$B$6:$B$305,0),MATCH(TEXT(売分析!$C118,"0"),銘柄管理!$B$6:$B$305,0))-1,0,1,25)))/売分析!$E118*100,"")</f>
      </c>
      <c r="O118">
        <f>IFERROR((売分析!$F118-売分析!$G118)/売分析!$G118*100,"")</f>
      </c>
      <c r="P118">
        <f>IFERROR((売分析!$E118-MAX(OFFSET(高値!$E$6,IFERROR(MATCH(売分析!$C118,銘柄管理!$B$6:$B$305,0),MATCH(TEXT(売分析!$C118,"0"),銘柄管理!$B$6:$B$305,0))-1,0,1,25)))/MAX(OFFSET(高値!$E$6,IFERROR(MATCH(売分析!$C118,銘柄管理!$B$6:$B$305,0),MATCH(TEXT(売分析!$C118,"0"),銘柄管理!$B$6:$B$305,0))-1,0,1,25))*100,"")</f>
      </c>
      <c r="Q118">
        <f>IFERROR((売分析!$H118-売分析!$I118)/売分析!$F118*100,"")</f>
      </c>
      <c r="R118">
        <f>IFERROR(5-COUNTIF($M$3:$M$206,"&lt;"&amp;$M118)/COUNT($M$3:$M$206)-COUNTIF($Q$3:$Q$206,"&lt;"&amp;$Q118)/COUNT($Q$3:$Q$206)-COUNTIF($N$3:$N$206,"&lt;"&amp;$N118)/COUNT($N$3:$N$206)-COUNTIF(売分析!$Z$3:$Z$206,"&lt;"&amp;売分析!$Z118)/COUNT(売分析!$Z$3:$Z$206)-COUNTIF($O$3:$O$206,"&lt;"&amp;$O118)/COUNT($O$3:$O$206),"")</f>
      </c>
      <c r="S118">
        <f>IF(OR(K118="",K118="TOPX",M118="",R118=""),0,IF(AND(V811設定!$E$12=1,M118&lt;=V811設定!$E$3,N118&lt;=V811設定!$E$4,O118&lt;=V811設定!$E$5,売分析!$Z118&lt;=V811設定!$E$6,売分析!$Z118&gt;=V811設定!$E$7,P118&gt;=V811設定!$E$8,Q118&lt;=V811設定!$E$9),1,0))</f>
      </c>
      <c r="T118">
        <f>IF(K118="","",IF(S118=1,"○ゲート通過",IF(V811設定!$E$12&lt;&gt;1,"― 停止中",IF(M118&gt;V811設定!$E$3,"×値動きが荒い",IF(N118&gt;V811設定!$E$4,"×レンジが広い",IF(O118&gt;V811設定!$E$5,"×窓を開けて上昇",IF(売分析!$Z118&gt;V811設定!$E$6,"×前日に急騰",IF(売分析!$Z118&lt;V811設定!$E$7,"×前日に急落",IF(P118&lt;V811設定!$E$8,"×高値から離れすぎ",IF(Q118&gt;V811設定!$E$9,"×当日の値幅が大きい","×"))))))))))</f>
      </c>
    </row>
    <row r="119" spans="1:20">
      <c r="A119">
        <f>IF(分析!$C119="","",分析!$C119)</f>
      </c>
      <c r="B119">
        <f>IF(分析!$C119="","",分析!$D119)</f>
      </c>
      <c r="C119">
        <f>IFERROR((SUM(OFFSET(高値!$E$6,IFERROR(MATCH(分析!$C119,銘柄管理!$B$6:$B$305,0),MATCH(TEXT(分析!$C119,"0"),銘柄管理!$B$6:$B$305,0))-1,0,1,14))-SUM(OFFSET(安値!$E$6,IFERROR(MATCH(分析!$C119,銘柄管理!$B$6:$B$305,0),MATCH(TEXT(分析!$C119,"0"),銘柄管理!$B$6:$B$305,0))-1,0,1,14)))/SUM(OFFSET(終値!$E$6,IFERROR(MATCH(分析!$C119,銘柄管理!$B$6:$B$305,0),MATCH(TEXT(分析!$C119,"0"),銘柄管理!$B$6:$B$305,0))-1,0,1,14))*100,"")</f>
      </c>
      <c r="D119">
        <f>IFERROR((MAX(OFFSET(高値!$E$6,IFERROR(MATCH(分析!$C119,銘柄管理!$B$6:$B$305,0),MATCH(TEXT(分析!$C119,"0"),銘柄管理!$B$6:$B$305,0))-1,0,1,25))-MIN(OFFSET(安値!$E$6,IFERROR(MATCH(分析!$C119,銘柄管理!$B$6:$B$305,0),MATCH(TEXT(分析!$C119,"0"),銘柄管理!$B$6:$B$305,0))-1,0,1,25)))/分析!$E119*100,"")</f>
      </c>
      <c r="E119">
        <f>IFERROR((分析!$F119-分析!$G119)/分析!$G119*100,"")</f>
      </c>
      <c r="F119">
        <f>IFERROR((分析!$E119-MAX(OFFSET(高値!$E$6,IFERROR(MATCH(分析!$C119,銘柄管理!$B$6:$B$305,0),MATCH(TEXT(分析!$C119,"0"),銘柄管理!$B$6:$B$305,0))-1,0,1,25)))/MAX(OFFSET(高値!$E$6,IFERROR(MATCH(分析!$C119,銘柄管理!$B$6:$B$305,0),MATCH(TEXT(分析!$C119,"0"),銘柄管理!$B$6:$B$305,0))-1,0,1,25))*100,"")</f>
      </c>
      <c r="G119">
        <f>IFERROR((分析!$H119-分析!$I119)/分析!$F119*100,"")</f>
      </c>
      <c r="H119">
        <f>IFERROR(5-COUNTIF($C$3:$C$206,"&lt;"&amp;$C119)/COUNT($C$3:$C$206)-COUNTIF($G$3:$G$206,"&lt;"&amp;$G119)/COUNT($G$3:$G$206)-COUNTIF($D$3:$D$206,"&lt;"&amp;$D119)/COUNT($D$3:$D$206)-COUNTIF(分析!$Z$3:$Z$206,"&lt;"&amp;分析!$Z119)/COUNT(分析!$Z$3:$Z$206)-COUNTIF($E$3:$E$206,"&lt;"&amp;$E119)/COUNT($E$3:$E$206),"")</f>
      </c>
      <c r="I119">
        <f>IF(OR(A119="",A119="TOPX",C119="",H119=""),0,IF(AND(V811設定!$E$11=1,C119&lt;=V811設定!$E$3,D119&lt;=V811設定!$E$4,E119&lt;=V811設定!$E$5,分析!$Z119&lt;=V811設定!$E$6,分析!$Z119&gt;=V811設定!$E$7,F119&gt;=V811設定!$E$8,G119&lt;=V811設定!$E$9),1,0))</f>
      </c>
      <c r="J119">
        <f>IF(A119="","",IF(I119=1,"○ゲート通過",IF(V811設定!$E$11&lt;&gt;1,"― 停止中",IF(C119&gt;V811設定!$E$3,"×値動きが荒い",IF(D119&gt;V811設定!$E$4,"×レンジが広い",IF(E119&gt;V811設定!$E$5,"×窓を開けて上昇",IF(分析!$Z119&gt;V811設定!$E$6,"×前日に急騰",IF(分析!$Z119&lt;V811設定!$E$7,"×前日に急落",IF(F119&lt;V811設定!$E$8,"×高値から離れすぎ",IF(G119&gt;V811設定!$E$9,"×当日の値幅が大きい","×"))))))))))</f>
      </c>
      <c r="K119">
        <f>IF(売分析!$C119="","",売分析!$C119)</f>
      </c>
      <c r="L119">
        <f>IF(売分析!$C119="","",売分析!$D119)</f>
      </c>
      <c r="M119">
        <f>IFERROR((SUM(OFFSET(高値!$E$6,IFERROR(MATCH(売分析!$C119,銘柄管理!$B$6:$B$305,0),MATCH(TEXT(売分析!$C119,"0"),銘柄管理!$B$6:$B$305,0))-1,0,1,14))-SUM(OFFSET(安値!$E$6,IFERROR(MATCH(売分析!$C119,銘柄管理!$B$6:$B$305,0),MATCH(TEXT(売分析!$C119,"0"),銘柄管理!$B$6:$B$305,0))-1,0,1,14)))/SUM(OFFSET(終値!$E$6,IFERROR(MATCH(売分析!$C119,銘柄管理!$B$6:$B$305,0),MATCH(TEXT(売分析!$C119,"0"),銘柄管理!$B$6:$B$305,0))-1,0,1,14))*100,"")</f>
      </c>
      <c r="N119">
        <f>IFERROR((MAX(OFFSET(高値!$E$6,IFERROR(MATCH(売分析!$C119,銘柄管理!$B$6:$B$305,0),MATCH(TEXT(売分析!$C119,"0"),銘柄管理!$B$6:$B$305,0))-1,0,1,25))-MIN(OFFSET(安値!$E$6,IFERROR(MATCH(売分析!$C119,銘柄管理!$B$6:$B$305,0),MATCH(TEXT(売分析!$C119,"0"),銘柄管理!$B$6:$B$305,0))-1,0,1,25)))/売分析!$E119*100,"")</f>
      </c>
      <c r="O119">
        <f>IFERROR((売分析!$F119-売分析!$G119)/売分析!$G119*100,"")</f>
      </c>
      <c r="P119">
        <f>IFERROR((売分析!$E119-MAX(OFFSET(高値!$E$6,IFERROR(MATCH(売分析!$C119,銘柄管理!$B$6:$B$305,0),MATCH(TEXT(売分析!$C119,"0"),銘柄管理!$B$6:$B$305,0))-1,0,1,25)))/MAX(OFFSET(高値!$E$6,IFERROR(MATCH(売分析!$C119,銘柄管理!$B$6:$B$305,0),MATCH(TEXT(売分析!$C119,"0"),銘柄管理!$B$6:$B$305,0))-1,0,1,25))*100,"")</f>
      </c>
      <c r="Q119">
        <f>IFERROR((売分析!$H119-売分析!$I119)/売分析!$F119*100,"")</f>
      </c>
      <c r="R119">
        <f>IFERROR(5-COUNTIF($M$3:$M$206,"&lt;"&amp;$M119)/COUNT($M$3:$M$206)-COUNTIF($Q$3:$Q$206,"&lt;"&amp;$Q119)/COUNT($Q$3:$Q$206)-COUNTIF($N$3:$N$206,"&lt;"&amp;$N119)/COUNT($N$3:$N$206)-COUNTIF(売分析!$Z$3:$Z$206,"&lt;"&amp;売分析!$Z119)/COUNT(売分析!$Z$3:$Z$206)-COUNTIF($O$3:$O$206,"&lt;"&amp;$O119)/COUNT($O$3:$O$206),"")</f>
      </c>
      <c r="S119">
        <f>IF(OR(K119="",K119="TOPX",M119="",R119=""),0,IF(AND(V811設定!$E$12=1,M119&lt;=V811設定!$E$3,N119&lt;=V811設定!$E$4,O119&lt;=V811設定!$E$5,売分析!$Z119&lt;=V811設定!$E$6,売分析!$Z119&gt;=V811設定!$E$7,P119&gt;=V811設定!$E$8,Q119&lt;=V811設定!$E$9),1,0))</f>
      </c>
      <c r="T119">
        <f>IF(K119="","",IF(S119=1,"○ゲート通過",IF(V811設定!$E$12&lt;&gt;1,"― 停止中",IF(M119&gt;V811設定!$E$3,"×値動きが荒い",IF(N119&gt;V811設定!$E$4,"×レンジが広い",IF(O119&gt;V811設定!$E$5,"×窓を開けて上昇",IF(売分析!$Z119&gt;V811設定!$E$6,"×前日に急騰",IF(売分析!$Z119&lt;V811設定!$E$7,"×前日に急落",IF(P119&lt;V811設定!$E$8,"×高値から離れすぎ",IF(Q119&gt;V811設定!$E$9,"×当日の値幅が大きい","×"))))))))))</f>
      </c>
    </row>
    <row r="120" spans="1:20">
      <c r="A120">
        <f>IF(分析!$C120="","",分析!$C120)</f>
      </c>
      <c r="B120">
        <f>IF(分析!$C120="","",分析!$D120)</f>
      </c>
      <c r="C120">
        <f>IFERROR((SUM(OFFSET(高値!$E$6,IFERROR(MATCH(分析!$C120,銘柄管理!$B$6:$B$305,0),MATCH(TEXT(分析!$C120,"0"),銘柄管理!$B$6:$B$305,0))-1,0,1,14))-SUM(OFFSET(安値!$E$6,IFERROR(MATCH(分析!$C120,銘柄管理!$B$6:$B$305,0),MATCH(TEXT(分析!$C120,"0"),銘柄管理!$B$6:$B$305,0))-1,0,1,14)))/SUM(OFFSET(終値!$E$6,IFERROR(MATCH(分析!$C120,銘柄管理!$B$6:$B$305,0),MATCH(TEXT(分析!$C120,"0"),銘柄管理!$B$6:$B$305,0))-1,0,1,14))*100,"")</f>
      </c>
      <c r="D120">
        <f>IFERROR((MAX(OFFSET(高値!$E$6,IFERROR(MATCH(分析!$C120,銘柄管理!$B$6:$B$305,0),MATCH(TEXT(分析!$C120,"0"),銘柄管理!$B$6:$B$305,0))-1,0,1,25))-MIN(OFFSET(安値!$E$6,IFERROR(MATCH(分析!$C120,銘柄管理!$B$6:$B$305,0),MATCH(TEXT(分析!$C120,"0"),銘柄管理!$B$6:$B$305,0))-1,0,1,25)))/分析!$E120*100,"")</f>
      </c>
      <c r="E120">
        <f>IFERROR((分析!$F120-分析!$G120)/分析!$G120*100,"")</f>
      </c>
      <c r="F120">
        <f>IFERROR((分析!$E120-MAX(OFFSET(高値!$E$6,IFERROR(MATCH(分析!$C120,銘柄管理!$B$6:$B$305,0),MATCH(TEXT(分析!$C120,"0"),銘柄管理!$B$6:$B$305,0))-1,0,1,25)))/MAX(OFFSET(高値!$E$6,IFERROR(MATCH(分析!$C120,銘柄管理!$B$6:$B$305,0),MATCH(TEXT(分析!$C120,"0"),銘柄管理!$B$6:$B$305,0))-1,0,1,25))*100,"")</f>
      </c>
      <c r="G120">
        <f>IFERROR((分析!$H120-分析!$I120)/分析!$F120*100,"")</f>
      </c>
      <c r="H120">
        <f>IFERROR(5-COUNTIF($C$3:$C$206,"&lt;"&amp;$C120)/COUNT($C$3:$C$206)-COUNTIF($G$3:$G$206,"&lt;"&amp;$G120)/COUNT($G$3:$G$206)-COUNTIF($D$3:$D$206,"&lt;"&amp;$D120)/COUNT($D$3:$D$206)-COUNTIF(分析!$Z$3:$Z$206,"&lt;"&amp;分析!$Z120)/COUNT(分析!$Z$3:$Z$206)-COUNTIF($E$3:$E$206,"&lt;"&amp;$E120)/COUNT($E$3:$E$206),"")</f>
      </c>
      <c r="I120">
        <f>IF(OR(A120="",A120="TOPX",C120="",H120=""),0,IF(AND(V811設定!$E$11=1,C120&lt;=V811設定!$E$3,D120&lt;=V811設定!$E$4,E120&lt;=V811設定!$E$5,分析!$Z120&lt;=V811設定!$E$6,分析!$Z120&gt;=V811設定!$E$7,F120&gt;=V811設定!$E$8,G120&lt;=V811設定!$E$9),1,0))</f>
      </c>
      <c r="J120">
        <f>IF(A120="","",IF(I120=1,"○ゲート通過",IF(V811設定!$E$11&lt;&gt;1,"― 停止中",IF(C120&gt;V811設定!$E$3,"×値動きが荒い",IF(D120&gt;V811設定!$E$4,"×レンジが広い",IF(E120&gt;V811設定!$E$5,"×窓を開けて上昇",IF(分析!$Z120&gt;V811設定!$E$6,"×前日に急騰",IF(分析!$Z120&lt;V811設定!$E$7,"×前日に急落",IF(F120&lt;V811設定!$E$8,"×高値から離れすぎ",IF(G120&gt;V811設定!$E$9,"×当日の値幅が大きい","×"))))))))))</f>
      </c>
      <c r="K120">
        <f>IF(売分析!$C120="","",売分析!$C120)</f>
      </c>
      <c r="L120">
        <f>IF(売分析!$C120="","",売分析!$D120)</f>
      </c>
      <c r="M120">
        <f>IFERROR((SUM(OFFSET(高値!$E$6,IFERROR(MATCH(売分析!$C120,銘柄管理!$B$6:$B$305,0),MATCH(TEXT(売分析!$C120,"0"),銘柄管理!$B$6:$B$305,0))-1,0,1,14))-SUM(OFFSET(安値!$E$6,IFERROR(MATCH(売分析!$C120,銘柄管理!$B$6:$B$305,0),MATCH(TEXT(売分析!$C120,"0"),銘柄管理!$B$6:$B$305,0))-1,0,1,14)))/SUM(OFFSET(終値!$E$6,IFERROR(MATCH(売分析!$C120,銘柄管理!$B$6:$B$305,0),MATCH(TEXT(売分析!$C120,"0"),銘柄管理!$B$6:$B$305,0))-1,0,1,14))*100,"")</f>
      </c>
      <c r="N120">
        <f>IFERROR((MAX(OFFSET(高値!$E$6,IFERROR(MATCH(売分析!$C120,銘柄管理!$B$6:$B$305,0),MATCH(TEXT(売分析!$C120,"0"),銘柄管理!$B$6:$B$305,0))-1,0,1,25))-MIN(OFFSET(安値!$E$6,IFERROR(MATCH(売分析!$C120,銘柄管理!$B$6:$B$305,0),MATCH(TEXT(売分析!$C120,"0"),銘柄管理!$B$6:$B$305,0))-1,0,1,25)))/売分析!$E120*100,"")</f>
      </c>
      <c r="O120">
        <f>IFERROR((売分析!$F120-売分析!$G120)/売分析!$G120*100,"")</f>
      </c>
      <c r="P120">
        <f>IFERROR((売分析!$E120-MAX(OFFSET(高値!$E$6,IFERROR(MATCH(売分析!$C120,銘柄管理!$B$6:$B$305,0),MATCH(TEXT(売分析!$C120,"0"),銘柄管理!$B$6:$B$305,0))-1,0,1,25)))/MAX(OFFSET(高値!$E$6,IFERROR(MATCH(売分析!$C120,銘柄管理!$B$6:$B$305,0),MATCH(TEXT(売分析!$C120,"0"),銘柄管理!$B$6:$B$305,0))-1,0,1,25))*100,"")</f>
      </c>
      <c r="Q120">
        <f>IFERROR((売分析!$H120-売分析!$I120)/売分析!$F120*100,"")</f>
      </c>
      <c r="R120">
        <f>IFERROR(5-COUNTIF($M$3:$M$206,"&lt;"&amp;$M120)/COUNT($M$3:$M$206)-COUNTIF($Q$3:$Q$206,"&lt;"&amp;$Q120)/COUNT($Q$3:$Q$206)-COUNTIF($N$3:$N$206,"&lt;"&amp;$N120)/COUNT($N$3:$N$206)-COUNTIF(売分析!$Z$3:$Z$206,"&lt;"&amp;売分析!$Z120)/COUNT(売分析!$Z$3:$Z$206)-COUNTIF($O$3:$O$206,"&lt;"&amp;$O120)/COUNT($O$3:$O$206),"")</f>
      </c>
      <c r="S120">
        <f>IF(OR(K120="",K120="TOPX",M120="",R120=""),0,IF(AND(V811設定!$E$12=1,M120&lt;=V811設定!$E$3,N120&lt;=V811設定!$E$4,O120&lt;=V811設定!$E$5,売分析!$Z120&lt;=V811設定!$E$6,売分析!$Z120&gt;=V811設定!$E$7,P120&gt;=V811設定!$E$8,Q120&lt;=V811設定!$E$9),1,0))</f>
      </c>
      <c r="T120">
        <f>IF(K120="","",IF(S120=1,"○ゲート通過",IF(V811設定!$E$12&lt;&gt;1,"― 停止中",IF(M120&gt;V811設定!$E$3,"×値動きが荒い",IF(N120&gt;V811設定!$E$4,"×レンジが広い",IF(O120&gt;V811設定!$E$5,"×窓を開けて上昇",IF(売分析!$Z120&gt;V811設定!$E$6,"×前日に急騰",IF(売分析!$Z120&lt;V811設定!$E$7,"×前日に急落",IF(P120&lt;V811設定!$E$8,"×高値から離れすぎ",IF(Q120&gt;V811設定!$E$9,"×当日の値幅が大きい","×"))))))))))</f>
      </c>
    </row>
    <row r="121" spans="1:20">
      <c r="A121">
        <f>IF(分析!$C121="","",分析!$C121)</f>
      </c>
      <c r="B121">
        <f>IF(分析!$C121="","",分析!$D121)</f>
      </c>
      <c r="C121">
        <f>IFERROR((SUM(OFFSET(高値!$E$6,IFERROR(MATCH(分析!$C121,銘柄管理!$B$6:$B$305,0),MATCH(TEXT(分析!$C121,"0"),銘柄管理!$B$6:$B$305,0))-1,0,1,14))-SUM(OFFSET(安値!$E$6,IFERROR(MATCH(分析!$C121,銘柄管理!$B$6:$B$305,0),MATCH(TEXT(分析!$C121,"0"),銘柄管理!$B$6:$B$305,0))-1,0,1,14)))/SUM(OFFSET(終値!$E$6,IFERROR(MATCH(分析!$C121,銘柄管理!$B$6:$B$305,0),MATCH(TEXT(分析!$C121,"0"),銘柄管理!$B$6:$B$305,0))-1,0,1,14))*100,"")</f>
      </c>
      <c r="D121">
        <f>IFERROR((MAX(OFFSET(高値!$E$6,IFERROR(MATCH(分析!$C121,銘柄管理!$B$6:$B$305,0),MATCH(TEXT(分析!$C121,"0"),銘柄管理!$B$6:$B$305,0))-1,0,1,25))-MIN(OFFSET(安値!$E$6,IFERROR(MATCH(分析!$C121,銘柄管理!$B$6:$B$305,0),MATCH(TEXT(分析!$C121,"0"),銘柄管理!$B$6:$B$305,0))-1,0,1,25)))/分析!$E121*100,"")</f>
      </c>
      <c r="E121">
        <f>IFERROR((分析!$F121-分析!$G121)/分析!$G121*100,"")</f>
      </c>
      <c r="F121">
        <f>IFERROR((分析!$E121-MAX(OFFSET(高値!$E$6,IFERROR(MATCH(分析!$C121,銘柄管理!$B$6:$B$305,0),MATCH(TEXT(分析!$C121,"0"),銘柄管理!$B$6:$B$305,0))-1,0,1,25)))/MAX(OFFSET(高値!$E$6,IFERROR(MATCH(分析!$C121,銘柄管理!$B$6:$B$305,0),MATCH(TEXT(分析!$C121,"0"),銘柄管理!$B$6:$B$305,0))-1,0,1,25))*100,"")</f>
      </c>
      <c r="G121">
        <f>IFERROR((分析!$H121-分析!$I121)/分析!$F121*100,"")</f>
      </c>
      <c r="H121">
        <f>IFERROR(5-COUNTIF($C$3:$C$206,"&lt;"&amp;$C121)/COUNT($C$3:$C$206)-COUNTIF($G$3:$G$206,"&lt;"&amp;$G121)/COUNT($G$3:$G$206)-COUNTIF($D$3:$D$206,"&lt;"&amp;$D121)/COUNT($D$3:$D$206)-COUNTIF(分析!$Z$3:$Z$206,"&lt;"&amp;分析!$Z121)/COUNT(分析!$Z$3:$Z$206)-COUNTIF($E$3:$E$206,"&lt;"&amp;$E121)/COUNT($E$3:$E$206),"")</f>
      </c>
      <c r="I121">
        <f>IF(OR(A121="",A121="TOPX",C121="",H121=""),0,IF(AND(V811設定!$E$11=1,C121&lt;=V811設定!$E$3,D121&lt;=V811設定!$E$4,E121&lt;=V811設定!$E$5,分析!$Z121&lt;=V811設定!$E$6,分析!$Z121&gt;=V811設定!$E$7,F121&gt;=V811設定!$E$8,G121&lt;=V811設定!$E$9),1,0))</f>
      </c>
      <c r="J121">
        <f>IF(A121="","",IF(I121=1,"○ゲート通過",IF(V811設定!$E$11&lt;&gt;1,"― 停止中",IF(C121&gt;V811設定!$E$3,"×値動きが荒い",IF(D121&gt;V811設定!$E$4,"×レンジが広い",IF(E121&gt;V811設定!$E$5,"×窓を開けて上昇",IF(分析!$Z121&gt;V811設定!$E$6,"×前日に急騰",IF(分析!$Z121&lt;V811設定!$E$7,"×前日に急落",IF(F121&lt;V811設定!$E$8,"×高値から離れすぎ",IF(G121&gt;V811設定!$E$9,"×当日の値幅が大きい","×"))))))))))</f>
      </c>
      <c r="K121">
        <f>IF(売分析!$C121="","",売分析!$C121)</f>
      </c>
      <c r="L121">
        <f>IF(売分析!$C121="","",売分析!$D121)</f>
      </c>
      <c r="M121">
        <f>IFERROR((SUM(OFFSET(高値!$E$6,IFERROR(MATCH(売分析!$C121,銘柄管理!$B$6:$B$305,0),MATCH(TEXT(売分析!$C121,"0"),銘柄管理!$B$6:$B$305,0))-1,0,1,14))-SUM(OFFSET(安値!$E$6,IFERROR(MATCH(売分析!$C121,銘柄管理!$B$6:$B$305,0),MATCH(TEXT(売分析!$C121,"0"),銘柄管理!$B$6:$B$305,0))-1,0,1,14)))/SUM(OFFSET(終値!$E$6,IFERROR(MATCH(売分析!$C121,銘柄管理!$B$6:$B$305,0),MATCH(TEXT(売分析!$C121,"0"),銘柄管理!$B$6:$B$305,0))-1,0,1,14))*100,"")</f>
      </c>
      <c r="N121">
        <f>IFERROR((MAX(OFFSET(高値!$E$6,IFERROR(MATCH(売分析!$C121,銘柄管理!$B$6:$B$305,0),MATCH(TEXT(売分析!$C121,"0"),銘柄管理!$B$6:$B$305,0))-1,0,1,25))-MIN(OFFSET(安値!$E$6,IFERROR(MATCH(売分析!$C121,銘柄管理!$B$6:$B$305,0),MATCH(TEXT(売分析!$C121,"0"),銘柄管理!$B$6:$B$305,0))-1,0,1,25)))/売分析!$E121*100,"")</f>
      </c>
      <c r="O121">
        <f>IFERROR((売分析!$F121-売分析!$G121)/売分析!$G121*100,"")</f>
      </c>
      <c r="P121">
        <f>IFERROR((売分析!$E121-MAX(OFFSET(高値!$E$6,IFERROR(MATCH(売分析!$C121,銘柄管理!$B$6:$B$305,0),MATCH(TEXT(売分析!$C121,"0"),銘柄管理!$B$6:$B$305,0))-1,0,1,25)))/MAX(OFFSET(高値!$E$6,IFERROR(MATCH(売分析!$C121,銘柄管理!$B$6:$B$305,0),MATCH(TEXT(売分析!$C121,"0"),銘柄管理!$B$6:$B$305,0))-1,0,1,25))*100,"")</f>
      </c>
      <c r="Q121">
        <f>IFERROR((売分析!$H121-売分析!$I121)/売分析!$F121*100,"")</f>
      </c>
      <c r="R121">
        <f>IFERROR(5-COUNTIF($M$3:$M$206,"&lt;"&amp;$M121)/COUNT($M$3:$M$206)-COUNTIF($Q$3:$Q$206,"&lt;"&amp;$Q121)/COUNT($Q$3:$Q$206)-COUNTIF($N$3:$N$206,"&lt;"&amp;$N121)/COUNT($N$3:$N$206)-COUNTIF(売分析!$Z$3:$Z$206,"&lt;"&amp;売分析!$Z121)/COUNT(売分析!$Z$3:$Z$206)-COUNTIF($O$3:$O$206,"&lt;"&amp;$O121)/COUNT($O$3:$O$206),"")</f>
      </c>
      <c r="S121">
        <f>IF(OR(K121="",K121="TOPX",M121="",R121=""),0,IF(AND(V811設定!$E$12=1,M121&lt;=V811設定!$E$3,N121&lt;=V811設定!$E$4,O121&lt;=V811設定!$E$5,売分析!$Z121&lt;=V811設定!$E$6,売分析!$Z121&gt;=V811設定!$E$7,P121&gt;=V811設定!$E$8,Q121&lt;=V811設定!$E$9),1,0))</f>
      </c>
      <c r="T121">
        <f>IF(K121="","",IF(S121=1,"○ゲート通過",IF(V811設定!$E$12&lt;&gt;1,"― 停止中",IF(M121&gt;V811設定!$E$3,"×値動きが荒い",IF(N121&gt;V811設定!$E$4,"×レンジが広い",IF(O121&gt;V811設定!$E$5,"×窓を開けて上昇",IF(売分析!$Z121&gt;V811設定!$E$6,"×前日に急騰",IF(売分析!$Z121&lt;V811設定!$E$7,"×前日に急落",IF(P121&lt;V811設定!$E$8,"×高値から離れすぎ",IF(Q121&gt;V811設定!$E$9,"×当日の値幅が大きい","×"))))))))))</f>
      </c>
    </row>
    <row r="122" spans="1:20">
      <c r="A122">
        <f>IF(分析!$C122="","",分析!$C122)</f>
      </c>
      <c r="B122">
        <f>IF(分析!$C122="","",分析!$D122)</f>
      </c>
      <c r="C122">
        <f>IFERROR((SUM(OFFSET(高値!$E$6,IFERROR(MATCH(分析!$C122,銘柄管理!$B$6:$B$305,0),MATCH(TEXT(分析!$C122,"0"),銘柄管理!$B$6:$B$305,0))-1,0,1,14))-SUM(OFFSET(安値!$E$6,IFERROR(MATCH(分析!$C122,銘柄管理!$B$6:$B$305,0),MATCH(TEXT(分析!$C122,"0"),銘柄管理!$B$6:$B$305,0))-1,0,1,14)))/SUM(OFFSET(終値!$E$6,IFERROR(MATCH(分析!$C122,銘柄管理!$B$6:$B$305,0),MATCH(TEXT(分析!$C122,"0"),銘柄管理!$B$6:$B$305,0))-1,0,1,14))*100,"")</f>
      </c>
      <c r="D122">
        <f>IFERROR((MAX(OFFSET(高値!$E$6,IFERROR(MATCH(分析!$C122,銘柄管理!$B$6:$B$305,0),MATCH(TEXT(分析!$C122,"0"),銘柄管理!$B$6:$B$305,0))-1,0,1,25))-MIN(OFFSET(安値!$E$6,IFERROR(MATCH(分析!$C122,銘柄管理!$B$6:$B$305,0),MATCH(TEXT(分析!$C122,"0"),銘柄管理!$B$6:$B$305,0))-1,0,1,25)))/分析!$E122*100,"")</f>
      </c>
      <c r="E122">
        <f>IFERROR((分析!$F122-分析!$G122)/分析!$G122*100,"")</f>
      </c>
      <c r="F122">
        <f>IFERROR((分析!$E122-MAX(OFFSET(高値!$E$6,IFERROR(MATCH(分析!$C122,銘柄管理!$B$6:$B$305,0),MATCH(TEXT(分析!$C122,"0"),銘柄管理!$B$6:$B$305,0))-1,0,1,25)))/MAX(OFFSET(高値!$E$6,IFERROR(MATCH(分析!$C122,銘柄管理!$B$6:$B$305,0),MATCH(TEXT(分析!$C122,"0"),銘柄管理!$B$6:$B$305,0))-1,0,1,25))*100,"")</f>
      </c>
      <c r="G122">
        <f>IFERROR((分析!$H122-分析!$I122)/分析!$F122*100,"")</f>
      </c>
      <c r="H122">
        <f>IFERROR(5-COUNTIF($C$3:$C$206,"&lt;"&amp;$C122)/COUNT($C$3:$C$206)-COUNTIF($G$3:$G$206,"&lt;"&amp;$G122)/COUNT($G$3:$G$206)-COUNTIF($D$3:$D$206,"&lt;"&amp;$D122)/COUNT($D$3:$D$206)-COUNTIF(分析!$Z$3:$Z$206,"&lt;"&amp;分析!$Z122)/COUNT(分析!$Z$3:$Z$206)-COUNTIF($E$3:$E$206,"&lt;"&amp;$E122)/COUNT($E$3:$E$206),"")</f>
      </c>
      <c r="I122">
        <f>IF(OR(A122="",A122="TOPX",C122="",H122=""),0,IF(AND(V811設定!$E$11=1,C122&lt;=V811設定!$E$3,D122&lt;=V811設定!$E$4,E122&lt;=V811設定!$E$5,分析!$Z122&lt;=V811設定!$E$6,分析!$Z122&gt;=V811設定!$E$7,F122&gt;=V811設定!$E$8,G122&lt;=V811設定!$E$9),1,0))</f>
      </c>
      <c r="J122">
        <f>IF(A122="","",IF(I122=1,"○ゲート通過",IF(V811設定!$E$11&lt;&gt;1,"― 停止中",IF(C122&gt;V811設定!$E$3,"×値動きが荒い",IF(D122&gt;V811設定!$E$4,"×レンジが広い",IF(E122&gt;V811設定!$E$5,"×窓を開けて上昇",IF(分析!$Z122&gt;V811設定!$E$6,"×前日に急騰",IF(分析!$Z122&lt;V811設定!$E$7,"×前日に急落",IF(F122&lt;V811設定!$E$8,"×高値から離れすぎ",IF(G122&gt;V811設定!$E$9,"×当日の値幅が大きい","×"))))))))))</f>
      </c>
      <c r="K122">
        <f>IF(売分析!$C122="","",売分析!$C122)</f>
      </c>
      <c r="L122">
        <f>IF(売分析!$C122="","",売分析!$D122)</f>
      </c>
      <c r="M122">
        <f>IFERROR((SUM(OFFSET(高値!$E$6,IFERROR(MATCH(売分析!$C122,銘柄管理!$B$6:$B$305,0),MATCH(TEXT(売分析!$C122,"0"),銘柄管理!$B$6:$B$305,0))-1,0,1,14))-SUM(OFFSET(安値!$E$6,IFERROR(MATCH(売分析!$C122,銘柄管理!$B$6:$B$305,0),MATCH(TEXT(売分析!$C122,"0"),銘柄管理!$B$6:$B$305,0))-1,0,1,14)))/SUM(OFFSET(終値!$E$6,IFERROR(MATCH(売分析!$C122,銘柄管理!$B$6:$B$305,0),MATCH(TEXT(売分析!$C122,"0"),銘柄管理!$B$6:$B$305,0))-1,0,1,14))*100,"")</f>
      </c>
      <c r="N122">
        <f>IFERROR((MAX(OFFSET(高値!$E$6,IFERROR(MATCH(売分析!$C122,銘柄管理!$B$6:$B$305,0),MATCH(TEXT(売分析!$C122,"0"),銘柄管理!$B$6:$B$305,0))-1,0,1,25))-MIN(OFFSET(安値!$E$6,IFERROR(MATCH(売分析!$C122,銘柄管理!$B$6:$B$305,0),MATCH(TEXT(売分析!$C122,"0"),銘柄管理!$B$6:$B$305,0))-1,0,1,25)))/売分析!$E122*100,"")</f>
      </c>
      <c r="O122">
        <f>IFERROR((売分析!$F122-売分析!$G122)/売分析!$G122*100,"")</f>
      </c>
      <c r="P122">
        <f>IFERROR((売分析!$E122-MAX(OFFSET(高値!$E$6,IFERROR(MATCH(売分析!$C122,銘柄管理!$B$6:$B$305,0),MATCH(TEXT(売分析!$C122,"0"),銘柄管理!$B$6:$B$305,0))-1,0,1,25)))/MAX(OFFSET(高値!$E$6,IFERROR(MATCH(売分析!$C122,銘柄管理!$B$6:$B$305,0),MATCH(TEXT(売分析!$C122,"0"),銘柄管理!$B$6:$B$305,0))-1,0,1,25))*100,"")</f>
      </c>
      <c r="Q122">
        <f>IFERROR((売分析!$H122-売分析!$I122)/売分析!$F122*100,"")</f>
      </c>
      <c r="R122">
        <f>IFERROR(5-COUNTIF($M$3:$M$206,"&lt;"&amp;$M122)/COUNT($M$3:$M$206)-COUNTIF($Q$3:$Q$206,"&lt;"&amp;$Q122)/COUNT($Q$3:$Q$206)-COUNTIF($N$3:$N$206,"&lt;"&amp;$N122)/COUNT($N$3:$N$206)-COUNTIF(売分析!$Z$3:$Z$206,"&lt;"&amp;売分析!$Z122)/COUNT(売分析!$Z$3:$Z$206)-COUNTIF($O$3:$O$206,"&lt;"&amp;$O122)/COUNT($O$3:$O$206),"")</f>
      </c>
      <c r="S122">
        <f>IF(OR(K122="",K122="TOPX",M122="",R122=""),0,IF(AND(V811設定!$E$12=1,M122&lt;=V811設定!$E$3,N122&lt;=V811設定!$E$4,O122&lt;=V811設定!$E$5,売分析!$Z122&lt;=V811設定!$E$6,売分析!$Z122&gt;=V811設定!$E$7,P122&gt;=V811設定!$E$8,Q122&lt;=V811設定!$E$9),1,0))</f>
      </c>
      <c r="T122">
        <f>IF(K122="","",IF(S122=1,"○ゲート通過",IF(V811設定!$E$12&lt;&gt;1,"― 停止中",IF(M122&gt;V811設定!$E$3,"×値動きが荒い",IF(N122&gt;V811設定!$E$4,"×レンジが広い",IF(O122&gt;V811設定!$E$5,"×窓を開けて上昇",IF(売分析!$Z122&gt;V811設定!$E$6,"×前日に急騰",IF(売分析!$Z122&lt;V811設定!$E$7,"×前日に急落",IF(P122&lt;V811設定!$E$8,"×高値から離れすぎ",IF(Q122&gt;V811設定!$E$9,"×当日の値幅が大きい","×"))))))))))</f>
      </c>
    </row>
    <row r="123" spans="1:20">
      <c r="A123">
        <f>IF(分析!$C123="","",分析!$C123)</f>
      </c>
      <c r="B123">
        <f>IF(分析!$C123="","",分析!$D123)</f>
      </c>
      <c r="C123">
        <f>IFERROR((SUM(OFFSET(高値!$E$6,IFERROR(MATCH(分析!$C123,銘柄管理!$B$6:$B$305,0),MATCH(TEXT(分析!$C123,"0"),銘柄管理!$B$6:$B$305,0))-1,0,1,14))-SUM(OFFSET(安値!$E$6,IFERROR(MATCH(分析!$C123,銘柄管理!$B$6:$B$305,0),MATCH(TEXT(分析!$C123,"0"),銘柄管理!$B$6:$B$305,0))-1,0,1,14)))/SUM(OFFSET(終値!$E$6,IFERROR(MATCH(分析!$C123,銘柄管理!$B$6:$B$305,0),MATCH(TEXT(分析!$C123,"0"),銘柄管理!$B$6:$B$305,0))-1,0,1,14))*100,"")</f>
      </c>
      <c r="D123">
        <f>IFERROR((MAX(OFFSET(高値!$E$6,IFERROR(MATCH(分析!$C123,銘柄管理!$B$6:$B$305,0),MATCH(TEXT(分析!$C123,"0"),銘柄管理!$B$6:$B$305,0))-1,0,1,25))-MIN(OFFSET(安値!$E$6,IFERROR(MATCH(分析!$C123,銘柄管理!$B$6:$B$305,0),MATCH(TEXT(分析!$C123,"0"),銘柄管理!$B$6:$B$305,0))-1,0,1,25)))/分析!$E123*100,"")</f>
      </c>
      <c r="E123">
        <f>IFERROR((分析!$F123-分析!$G123)/分析!$G123*100,"")</f>
      </c>
      <c r="F123">
        <f>IFERROR((分析!$E123-MAX(OFFSET(高値!$E$6,IFERROR(MATCH(分析!$C123,銘柄管理!$B$6:$B$305,0),MATCH(TEXT(分析!$C123,"0"),銘柄管理!$B$6:$B$305,0))-1,0,1,25)))/MAX(OFFSET(高値!$E$6,IFERROR(MATCH(分析!$C123,銘柄管理!$B$6:$B$305,0),MATCH(TEXT(分析!$C123,"0"),銘柄管理!$B$6:$B$305,0))-1,0,1,25))*100,"")</f>
      </c>
      <c r="G123">
        <f>IFERROR((分析!$H123-分析!$I123)/分析!$F123*100,"")</f>
      </c>
      <c r="H123">
        <f>IFERROR(5-COUNTIF($C$3:$C$206,"&lt;"&amp;$C123)/COUNT($C$3:$C$206)-COUNTIF($G$3:$G$206,"&lt;"&amp;$G123)/COUNT($G$3:$G$206)-COUNTIF($D$3:$D$206,"&lt;"&amp;$D123)/COUNT($D$3:$D$206)-COUNTIF(分析!$Z$3:$Z$206,"&lt;"&amp;分析!$Z123)/COUNT(分析!$Z$3:$Z$206)-COUNTIF($E$3:$E$206,"&lt;"&amp;$E123)/COUNT($E$3:$E$206),"")</f>
      </c>
      <c r="I123">
        <f>IF(OR(A123="",A123="TOPX",C123="",H123=""),0,IF(AND(V811設定!$E$11=1,C123&lt;=V811設定!$E$3,D123&lt;=V811設定!$E$4,E123&lt;=V811設定!$E$5,分析!$Z123&lt;=V811設定!$E$6,分析!$Z123&gt;=V811設定!$E$7,F123&gt;=V811設定!$E$8,G123&lt;=V811設定!$E$9),1,0))</f>
      </c>
      <c r="J123">
        <f>IF(A123="","",IF(I123=1,"○ゲート通過",IF(V811設定!$E$11&lt;&gt;1,"― 停止中",IF(C123&gt;V811設定!$E$3,"×値動きが荒い",IF(D123&gt;V811設定!$E$4,"×レンジが広い",IF(E123&gt;V811設定!$E$5,"×窓を開けて上昇",IF(分析!$Z123&gt;V811設定!$E$6,"×前日に急騰",IF(分析!$Z123&lt;V811設定!$E$7,"×前日に急落",IF(F123&lt;V811設定!$E$8,"×高値から離れすぎ",IF(G123&gt;V811設定!$E$9,"×当日の値幅が大きい","×"))))))))))</f>
      </c>
      <c r="K123">
        <f>IF(売分析!$C123="","",売分析!$C123)</f>
      </c>
      <c r="L123">
        <f>IF(売分析!$C123="","",売分析!$D123)</f>
      </c>
      <c r="M123">
        <f>IFERROR((SUM(OFFSET(高値!$E$6,IFERROR(MATCH(売分析!$C123,銘柄管理!$B$6:$B$305,0),MATCH(TEXT(売分析!$C123,"0"),銘柄管理!$B$6:$B$305,0))-1,0,1,14))-SUM(OFFSET(安値!$E$6,IFERROR(MATCH(売分析!$C123,銘柄管理!$B$6:$B$305,0),MATCH(TEXT(売分析!$C123,"0"),銘柄管理!$B$6:$B$305,0))-1,0,1,14)))/SUM(OFFSET(終値!$E$6,IFERROR(MATCH(売分析!$C123,銘柄管理!$B$6:$B$305,0),MATCH(TEXT(売分析!$C123,"0"),銘柄管理!$B$6:$B$305,0))-1,0,1,14))*100,"")</f>
      </c>
      <c r="N123">
        <f>IFERROR((MAX(OFFSET(高値!$E$6,IFERROR(MATCH(売分析!$C123,銘柄管理!$B$6:$B$305,0),MATCH(TEXT(売分析!$C123,"0"),銘柄管理!$B$6:$B$305,0))-1,0,1,25))-MIN(OFFSET(安値!$E$6,IFERROR(MATCH(売分析!$C123,銘柄管理!$B$6:$B$305,0),MATCH(TEXT(売分析!$C123,"0"),銘柄管理!$B$6:$B$305,0))-1,0,1,25)))/売分析!$E123*100,"")</f>
      </c>
      <c r="O123">
        <f>IFERROR((売分析!$F123-売分析!$G123)/売分析!$G123*100,"")</f>
      </c>
      <c r="P123">
        <f>IFERROR((売分析!$E123-MAX(OFFSET(高値!$E$6,IFERROR(MATCH(売分析!$C123,銘柄管理!$B$6:$B$305,0),MATCH(TEXT(売分析!$C123,"0"),銘柄管理!$B$6:$B$305,0))-1,0,1,25)))/MAX(OFFSET(高値!$E$6,IFERROR(MATCH(売分析!$C123,銘柄管理!$B$6:$B$305,0),MATCH(TEXT(売分析!$C123,"0"),銘柄管理!$B$6:$B$305,0))-1,0,1,25))*100,"")</f>
      </c>
      <c r="Q123">
        <f>IFERROR((売分析!$H123-売分析!$I123)/売分析!$F123*100,"")</f>
      </c>
      <c r="R123">
        <f>IFERROR(5-COUNTIF($M$3:$M$206,"&lt;"&amp;$M123)/COUNT($M$3:$M$206)-COUNTIF($Q$3:$Q$206,"&lt;"&amp;$Q123)/COUNT($Q$3:$Q$206)-COUNTIF($N$3:$N$206,"&lt;"&amp;$N123)/COUNT($N$3:$N$206)-COUNTIF(売分析!$Z$3:$Z$206,"&lt;"&amp;売分析!$Z123)/COUNT(売分析!$Z$3:$Z$206)-COUNTIF($O$3:$O$206,"&lt;"&amp;$O123)/COUNT($O$3:$O$206),"")</f>
      </c>
      <c r="S123">
        <f>IF(OR(K123="",K123="TOPX",M123="",R123=""),0,IF(AND(V811設定!$E$12=1,M123&lt;=V811設定!$E$3,N123&lt;=V811設定!$E$4,O123&lt;=V811設定!$E$5,売分析!$Z123&lt;=V811設定!$E$6,売分析!$Z123&gt;=V811設定!$E$7,P123&gt;=V811設定!$E$8,Q123&lt;=V811設定!$E$9),1,0))</f>
      </c>
      <c r="T123">
        <f>IF(K123="","",IF(S123=1,"○ゲート通過",IF(V811設定!$E$12&lt;&gt;1,"― 停止中",IF(M123&gt;V811設定!$E$3,"×値動きが荒い",IF(N123&gt;V811設定!$E$4,"×レンジが広い",IF(O123&gt;V811設定!$E$5,"×窓を開けて上昇",IF(売分析!$Z123&gt;V811設定!$E$6,"×前日に急騰",IF(売分析!$Z123&lt;V811設定!$E$7,"×前日に急落",IF(P123&lt;V811設定!$E$8,"×高値から離れすぎ",IF(Q123&gt;V811設定!$E$9,"×当日の値幅が大きい","×"))))))))))</f>
      </c>
    </row>
    <row r="124" spans="1:20">
      <c r="A124">
        <f>IF(分析!$C124="","",分析!$C124)</f>
      </c>
      <c r="B124">
        <f>IF(分析!$C124="","",分析!$D124)</f>
      </c>
      <c r="C124">
        <f>IFERROR((SUM(OFFSET(高値!$E$6,IFERROR(MATCH(分析!$C124,銘柄管理!$B$6:$B$305,0),MATCH(TEXT(分析!$C124,"0"),銘柄管理!$B$6:$B$305,0))-1,0,1,14))-SUM(OFFSET(安値!$E$6,IFERROR(MATCH(分析!$C124,銘柄管理!$B$6:$B$305,0),MATCH(TEXT(分析!$C124,"0"),銘柄管理!$B$6:$B$305,0))-1,0,1,14)))/SUM(OFFSET(終値!$E$6,IFERROR(MATCH(分析!$C124,銘柄管理!$B$6:$B$305,0),MATCH(TEXT(分析!$C124,"0"),銘柄管理!$B$6:$B$305,0))-1,0,1,14))*100,"")</f>
      </c>
      <c r="D124">
        <f>IFERROR((MAX(OFFSET(高値!$E$6,IFERROR(MATCH(分析!$C124,銘柄管理!$B$6:$B$305,0),MATCH(TEXT(分析!$C124,"0"),銘柄管理!$B$6:$B$305,0))-1,0,1,25))-MIN(OFFSET(安値!$E$6,IFERROR(MATCH(分析!$C124,銘柄管理!$B$6:$B$305,0),MATCH(TEXT(分析!$C124,"0"),銘柄管理!$B$6:$B$305,0))-1,0,1,25)))/分析!$E124*100,"")</f>
      </c>
      <c r="E124">
        <f>IFERROR((分析!$F124-分析!$G124)/分析!$G124*100,"")</f>
      </c>
      <c r="F124">
        <f>IFERROR((分析!$E124-MAX(OFFSET(高値!$E$6,IFERROR(MATCH(分析!$C124,銘柄管理!$B$6:$B$305,0),MATCH(TEXT(分析!$C124,"0"),銘柄管理!$B$6:$B$305,0))-1,0,1,25)))/MAX(OFFSET(高値!$E$6,IFERROR(MATCH(分析!$C124,銘柄管理!$B$6:$B$305,0),MATCH(TEXT(分析!$C124,"0"),銘柄管理!$B$6:$B$305,0))-1,0,1,25))*100,"")</f>
      </c>
      <c r="G124">
        <f>IFERROR((分析!$H124-分析!$I124)/分析!$F124*100,"")</f>
      </c>
      <c r="H124">
        <f>IFERROR(5-COUNTIF($C$3:$C$206,"&lt;"&amp;$C124)/COUNT($C$3:$C$206)-COUNTIF($G$3:$G$206,"&lt;"&amp;$G124)/COUNT($G$3:$G$206)-COUNTIF($D$3:$D$206,"&lt;"&amp;$D124)/COUNT($D$3:$D$206)-COUNTIF(分析!$Z$3:$Z$206,"&lt;"&amp;分析!$Z124)/COUNT(分析!$Z$3:$Z$206)-COUNTIF($E$3:$E$206,"&lt;"&amp;$E124)/COUNT($E$3:$E$206),"")</f>
      </c>
      <c r="I124">
        <f>IF(OR(A124="",A124="TOPX",C124="",H124=""),0,IF(AND(V811設定!$E$11=1,C124&lt;=V811設定!$E$3,D124&lt;=V811設定!$E$4,E124&lt;=V811設定!$E$5,分析!$Z124&lt;=V811設定!$E$6,分析!$Z124&gt;=V811設定!$E$7,F124&gt;=V811設定!$E$8,G124&lt;=V811設定!$E$9),1,0))</f>
      </c>
      <c r="J124">
        <f>IF(A124="","",IF(I124=1,"○ゲート通過",IF(V811設定!$E$11&lt;&gt;1,"― 停止中",IF(C124&gt;V811設定!$E$3,"×値動きが荒い",IF(D124&gt;V811設定!$E$4,"×レンジが広い",IF(E124&gt;V811設定!$E$5,"×窓を開けて上昇",IF(分析!$Z124&gt;V811設定!$E$6,"×前日に急騰",IF(分析!$Z124&lt;V811設定!$E$7,"×前日に急落",IF(F124&lt;V811設定!$E$8,"×高値から離れすぎ",IF(G124&gt;V811設定!$E$9,"×当日の値幅が大きい","×"))))))))))</f>
      </c>
      <c r="K124">
        <f>IF(売分析!$C124="","",売分析!$C124)</f>
      </c>
      <c r="L124">
        <f>IF(売分析!$C124="","",売分析!$D124)</f>
      </c>
      <c r="M124">
        <f>IFERROR((SUM(OFFSET(高値!$E$6,IFERROR(MATCH(売分析!$C124,銘柄管理!$B$6:$B$305,0),MATCH(TEXT(売分析!$C124,"0"),銘柄管理!$B$6:$B$305,0))-1,0,1,14))-SUM(OFFSET(安値!$E$6,IFERROR(MATCH(売分析!$C124,銘柄管理!$B$6:$B$305,0),MATCH(TEXT(売分析!$C124,"0"),銘柄管理!$B$6:$B$305,0))-1,0,1,14)))/SUM(OFFSET(終値!$E$6,IFERROR(MATCH(売分析!$C124,銘柄管理!$B$6:$B$305,0),MATCH(TEXT(売分析!$C124,"0"),銘柄管理!$B$6:$B$305,0))-1,0,1,14))*100,"")</f>
      </c>
      <c r="N124">
        <f>IFERROR((MAX(OFFSET(高値!$E$6,IFERROR(MATCH(売分析!$C124,銘柄管理!$B$6:$B$305,0),MATCH(TEXT(売分析!$C124,"0"),銘柄管理!$B$6:$B$305,0))-1,0,1,25))-MIN(OFFSET(安値!$E$6,IFERROR(MATCH(売分析!$C124,銘柄管理!$B$6:$B$305,0),MATCH(TEXT(売分析!$C124,"0"),銘柄管理!$B$6:$B$305,0))-1,0,1,25)))/売分析!$E124*100,"")</f>
      </c>
      <c r="O124">
        <f>IFERROR((売分析!$F124-売分析!$G124)/売分析!$G124*100,"")</f>
      </c>
      <c r="P124">
        <f>IFERROR((売分析!$E124-MAX(OFFSET(高値!$E$6,IFERROR(MATCH(売分析!$C124,銘柄管理!$B$6:$B$305,0),MATCH(TEXT(売分析!$C124,"0"),銘柄管理!$B$6:$B$305,0))-1,0,1,25)))/MAX(OFFSET(高値!$E$6,IFERROR(MATCH(売分析!$C124,銘柄管理!$B$6:$B$305,0),MATCH(TEXT(売分析!$C124,"0"),銘柄管理!$B$6:$B$305,0))-1,0,1,25))*100,"")</f>
      </c>
      <c r="Q124">
        <f>IFERROR((売分析!$H124-売分析!$I124)/売分析!$F124*100,"")</f>
      </c>
      <c r="R124">
        <f>IFERROR(5-COUNTIF($M$3:$M$206,"&lt;"&amp;$M124)/COUNT($M$3:$M$206)-COUNTIF($Q$3:$Q$206,"&lt;"&amp;$Q124)/COUNT($Q$3:$Q$206)-COUNTIF($N$3:$N$206,"&lt;"&amp;$N124)/COUNT($N$3:$N$206)-COUNTIF(売分析!$Z$3:$Z$206,"&lt;"&amp;売分析!$Z124)/COUNT(売分析!$Z$3:$Z$206)-COUNTIF($O$3:$O$206,"&lt;"&amp;$O124)/COUNT($O$3:$O$206),"")</f>
      </c>
      <c r="S124">
        <f>IF(OR(K124="",K124="TOPX",M124="",R124=""),0,IF(AND(V811設定!$E$12=1,M124&lt;=V811設定!$E$3,N124&lt;=V811設定!$E$4,O124&lt;=V811設定!$E$5,売分析!$Z124&lt;=V811設定!$E$6,売分析!$Z124&gt;=V811設定!$E$7,P124&gt;=V811設定!$E$8,Q124&lt;=V811設定!$E$9),1,0))</f>
      </c>
      <c r="T124">
        <f>IF(K124="","",IF(S124=1,"○ゲート通過",IF(V811設定!$E$12&lt;&gt;1,"― 停止中",IF(M124&gt;V811設定!$E$3,"×値動きが荒い",IF(N124&gt;V811設定!$E$4,"×レンジが広い",IF(O124&gt;V811設定!$E$5,"×窓を開けて上昇",IF(売分析!$Z124&gt;V811設定!$E$6,"×前日に急騰",IF(売分析!$Z124&lt;V811設定!$E$7,"×前日に急落",IF(P124&lt;V811設定!$E$8,"×高値から離れすぎ",IF(Q124&gt;V811設定!$E$9,"×当日の値幅が大きい","×"))))))))))</f>
      </c>
    </row>
    <row r="125" spans="1:20">
      <c r="A125">
        <f>IF(分析!$C125="","",分析!$C125)</f>
      </c>
      <c r="B125">
        <f>IF(分析!$C125="","",分析!$D125)</f>
      </c>
      <c r="C125">
        <f>IFERROR((SUM(OFFSET(高値!$E$6,IFERROR(MATCH(分析!$C125,銘柄管理!$B$6:$B$305,0),MATCH(TEXT(分析!$C125,"0"),銘柄管理!$B$6:$B$305,0))-1,0,1,14))-SUM(OFFSET(安値!$E$6,IFERROR(MATCH(分析!$C125,銘柄管理!$B$6:$B$305,0),MATCH(TEXT(分析!$C125,"0"),銘柄管理!$B$6:$B$305,0))-1,0,1,14)))/SUM(OFFSET(終値!$E$6,IFERROR(MATCH(分析!$C125,銘柄管理!$B$6:$B$305,0),MATCH(TEXT(分析!$C125,"0"),銘柄管理!$B$6:$B$305,0))-1,0,1,14))*100,"")</f>
      </c>
      <c r="D125">
        <f>IFERROR((MAX(OFFSET(高値!$E$6,IFERROR(MATCH(分析!$C125,銘柄管理!$B$6:$B$305,0),MATCH(TEXT(分析!$C125,"0"),銘柄管理!$B$6:$B$305,0))-1,0,1,25))-MIN(OFFSET(安値!$E$6,IFERROR(MATCH(分析!$C125,銘柄管理!$B$6:$B$305,0),MATCH(TEXT(分析!$C125,"0"),銘柄管理!$B$6:$B$305,0))-1,0,1,25)))/分析!$E125*100,"")</f>
      </c>
      <c r="E125">
        <f>IFERROR((分析!$F125-分析!$G125)/分析!$G125*100,"")</f>
      </c>
      <c r="F125">
        <f>IFERROR((分析!$E125-MAX(OFFSET(高値!$E$6,IFERROR(MATCH(分析!$C125,銘柄管理!$B$6:$B$305,0),MATCH(TEXT(分析!$C125,"0"),銘柄管理!$B$6:$B$305,0))-1,0,1,25)))/MAX(OFFSET(高値!$E$6,IFERROR(MATCH(分析!$C125,銘柄管理!$B$6:$B$305,0),MATCH(TEXT(分析!$C125,"0"),銘柄管理!$B$6:$B$305,0))-1,0,1,25))*100,"")</f>
      </c>
      <c r="G125">
        <f>IFERROR((分析!$H125-分析!$I125)/分析!$F125*100,"")</f>
      </c>
      <c r="H125">
        <f>IFERROR(5-COUNTIF($C$3:$C$206,"&lt;"&amp;$C125)/COUNT($C$3:$C$206)-COUNTIF($G$3:$G$206,"&lt;"&amp;$G125)/COUNT($G$3:$G$206)-COUNTIF($D$3:$D$206,"&lt;"&amp;$D125)/COUNT($D$3:$D$206)-COUNTIF(分析!$Z$3:$Z$206,"&lt;"&amp;分析!$Z125)/COUNT(分析!$Z$3:$Z$206)-COUNTIF($E$3:$E$206,"&lt;"&amp;$E125)/COUNT($E$3:$E$206),"")</f>
      </c>
      <c r="I125">
        <f>IF(OR(A125="",A125="TOPX",C125="",H125=""),0,IF(AND(V811設定!$E$11=1,C125&lt;=V811設定!$E$3,D125&lt;=V811設定!$E$4,E125&lt;=V811設定!$E$5,分析!$Z125&lt;=V811設定!$E$6,分析!$Z125&gt;=V811設定!$E$7,F125&gt;=V811設定!$E$8,G125&lt;=V811設定!$E$9),1,0))</f>
      </c>
      <c r="J125">
        <f>IF(A125="","",IF(I125=1,"○ゲート通過",IF(V811設定!$E$11&lt;&gt;1,"― 停止中",IF(C125&gt;V811設定!$E$3,"×値動きが荒い",IF(D125&gt;V811設定!$E$4,"×レンジが広い",IF(E125&gt;V811設定!$E$5,"×窓を開けて上昇",IF(分析!$Z125&gt;V811設定!$E$6,"×前日に急騰",IF(分析!$Z125&lt;V811設定!$E$7,"×前日に急落",IF(F125&lt;V811設定!$E$8,"×高値から離れすぎ",IF(G125&gt;V811設定!$E$9,"×当日の値幅が大きい","×"))))))))))</f>
      </c>
      <c r="K125">
        <f>IF(売分析!$C125="","",売分析!$C125)</f>
      </c>
      <c r="L125">
        <f>IF(売分析!$C125="","",売分析!$D125)</f>
      </c>
      <c r="M125">
        <f>IFERROR((SUM(OFFSET(高値!$E$6,IFERROR(MATCH(売分析!$C125,銘柄管理!$B$6:$B$305,0),MATCH(TEXT(売分析!$C125,"0"),銘柄管理!$B$6:$B$305,0))-1,0,1,14))-SUM(OFFSET(安値!$E$6,IFERROR(MATCH(売分析!$C125,銘柄管理!$B$6:$B$305,0),MATCH(TEXT(売分析!$C125,"0"),銘柄管理!$B$6:$B$305,0))-1,0,1,14)))/SUM(OFFSET(終値!$E$6,IFERROR(MATCH(売分析!$C125,銘柄管理!$B$6:$B$305,0),MATCH(TEXT(売分析!$C125,"0"),銘柄管理!$B$6:$B$305,0))-1,0,1,14))*100,"")</f>
      </c>
      <c r="N125">
        <f>IFERROR((MAX(OFFSET(高値!$E$6,IFERROR(MATCH(売分析!$C125,銘柄管理!$B$6:$B$305,0),MATCH(TEXT(売分析!$C125,"0"),銘柄管理!$B$6:$B$305,0))-1,0,1,25))-MIN(OFFSET(安値!$E$6,IFERROR(MATCH(売分析!$C125,銘柄管理!$B$6:$B$305,0),MATCH(TEXT(売分析!$C125,"0"),銘柄管理!$B$6:$B$305,0))-1,0,1,25)))/売分析!$E125*100,"")</f>
      </c>
      <c r="O125">
        <f>IFERROR((売分析!$F125-売分析!$G125)/売分析!$G125*100,"")</f>
      </c>
      <c r="P125">
        <f>IFERROR((売分析!$E125-MAX(OFFSET(高値!$E$6,IFERROR(MATCH(売分析!$C125,銘柄管理!$B$6:$B$305,0),MATCH(TEXT(売分析!$C125,"0"),銘柄管理!$B$6:$B$305,0))-1,0,1,25)))/MAX(OFFSET(高値!$E$6,IFERROR(MATCH(売分析!$C125,銘柄管理!$B$6:$B$305,0),MATCH(TEXT(売分析!$C125,"0"),銘柄管理!$B$6:$B$305,0))-1,0,1,25))*100,"")</f>
      </c>
      <c r="Q125">
        <f>IFERROR((売分析!$H125-売分析!$I125)/売分析!$F125*100,"")</f>
      </c>
      <c r="R125">
        <f>IFERROR(5-COUNTIF($M$3:$M$206,"&lt;"&amp;$M125)/COUNT($M$3:$M$206)-COUNTIF($Q$3:$Q$206,"&lt;"&amp;$Q125)/COUNT($Q$3:$Q$206)-COUNTIF($N$3:$N$206,"&lt;"&amp;$N125)/COUNT($N$3:$N$206)-COUNTIF(売分析!$Z$3:$Z$206,"&lt;"&amp;売分析!$Z125)/COUNT(売分析!$Z$3:$Z$206)-COUNTIF($O$3:$O$206,"&lt;"&amp;$O125)/COUNT($O$3:$O$206),"")</f>
      </c>
      <c r="S125">
        <f>IF(OR(K125="",K125="TOPX",M125="",R125=""),0,IF(AND(V811設定!$E$12=1,M125&lt;=V811設定!$E$3,N125&lt;=V811設定!$E$4,O125&lt;=V811設定!$E$5,売分析!$Z125&lt;=V811設定!$E$6,売分析!$Z125&gt;=V811設定!$E$7,P125&gt;=V811設定!$E$8,Q125&lt;=V811設定!$E$9),1,0))</f>
      </c>
      <c r="T125">
        <f>IF(K125="","",IF(S125=1,"○ゲート通過",IF(V811設定!$E$12&lt;&gt;1,"― 停止中",IF(M125&gt;V811設定!$E$3,"×値動きが荒い",IF(N125&gt;V811設定!$E$4,"×レンジが広い",IF(O125&gt;V811設定!$E$5,"×窓を開けて上昇",IF(売分析!$Z125&gt;V811設定!$E$6,"×前日に急騰",IF(売分析!$Z125&lt;V811設定!$E$7,"×前日に急落",IF(P125&lt;V811設定!$E$8,"×高値から離れすぎ",IF(Q125&gt;V811設定!$E$9,"×当日の値幅が大きい","×"))))))))))</f>
      </c>
    </row>
    <row r="126" spans="1:20">
      <c r="A126">
        <f>IF(分析!$C126="","",分析!$C126)</f>
      </c>
      <c r="B126">
        <f>IF(分析!$C126="","",分析!$D126)</f>
      </c>
      <c r="C126">
        <f>IFERROR((SUM(OFFSET(高値!$E$6,IFERROR(MATCH(分析!$C126,銘柄管理!$B$6:$B$305,0),MATCH(TEXT(分析!$C126,"0"),銘柄管理!$B$6:$B$305,0))-1,0,1,14))-SUM(OFFSET(安値!$E$6,IFERROR(MATCH(分析!$C126,銘柄管理!$B$6:$B$305,0),MATCH(TEXT(分析!$C126,"0"),銘柄管理!$B$6:$B$305,0))-1,0,1,14)))/SUM(OFFSET(終値!$E$6,IFERROR(MATCH(分析!$C126,銘柄管理!$B$6:$B$305,0),MATCH(TEXT(分析!$C126,"0"),銘柄管理!$B$6:$B$305,0))-1,0,1,14))*100,"")</f>
      </c>
      <c r="D126">
        <f>IFERROR((MAX(OFFSET(高値!$E$6,IFERROR(MATCH(分析!$C126,銘柄管理!$B$6:$B$305,0),MATCH(TEXT(分析!$C126,"0"),銘柄管理!$B$6:$B$305,0))-1,0,1,25))-MIN(OFFSET(安値!$E$6,IFERROR(MATCH(分析!$C126,銘柄管理!$B$6:$B$305,0),MATCH(TEXT(分析!$C126,"0"),銘柄管理!$B$6:$B$305,0))-1,0,1,25)))/分析!$E126*100,"")</f>
      </c>
      <c r="E126">
        <f>IFERROR((分析!$F126-分析!$G126)/分析!$G126*100,"")</f>
      </c>
      <c r="F126">
        <f>IFERROR((分析!$E126-MAX(OFFSET(高値!$E$6,IFERROR(MATCH(分析!$C126,銘柄管理!$B$6:$B$305,0),MATCH(TEXT(分析!$C126,"0"),銘柄管理!$B$6:$B$305,0))-1,0,1,25)))/MAX(OFFSET(高値!$E$6,IFERROR(MATCH(分析!$C126,銘柄管理!$B$6:$B$305,0),MATCH(TEXT(分析!$C126,"0"),銘柄管理!$B$6:$B$305,0))-1,0,1,25))*100,"")</f>
      </c>
      <c r="G126">
        <f>IFERROR((分析!$H126-分析!$I126)/分析!$F126*100,"")</f>
      </c>
      <c r="H126">
        <f>IFERROR(5-COUNTIF($C$3:$C$206,"&lt;"&amp;$C126)/COUNT($C$3:$C$206)-COUNTIF($G$3:$G$206,"&lt;"&amp;$G126)/COUNT($G$3:$G$206)-COUNTIF($D$3:$D$206,"&lt;"&amp;$D126)/COUNT($D$3:$D$206)-COUNTIF(分析!$Z$3:$Z$206,"&lt;"&amp;分析!$Z126)/COUNT(分析!$Z$3:$Z$206)-COUNTIF($E$3:$E$206,"&lt;"&amp;$E126)/COUNT($E$3:$E$206),"")</f>
      </c>
      <c r="I126">
        <f>IF(OR(A126="",A126="TOPX",C126="",H126=""),0,IF(AND(V811設定!$E$11=1,C126&lt;=V811設定!$E$3,D126&lt;=V811設定!$E$4,E126&lt;=V811設定!$E$5,分析!$Z126&lt;=V811設定!$E$6,分析!$Z126&gt;=V811設定!$E$7,F126&gt;=V811設定!$E$8,G126&lt;=V811設定!$E$9),1,0))</f>
      </c>
      <c r="J126">
        <f>IF(A126="","",IF(I126=1,"○ゲート通過",IF(V811設定!$E$11&lt;&gt;1,"― 停止中",IF(C126&gt;V811設定!$E$3,"×値動きが荒い",IF(D126&gt;V811設定!$E$4,"×レンジが広い",IF(E126&gt;V811設定!$E$5,"×窓を開けて上昇",IF(分析!$Z126&gt;V811設定!$E$6,"×前日に急騰",IF(分析!$Z126&lt;V811設定!$E$7,"×前日に急落",IF(F126&lt;V811設定!$E$8,"×高値から離れすぎ",IF(G126&gt;V811設定!$E$9,"×当日の値幅が大きい","×"))))))))))</f>
      </c>
      <c r="K126">
        <f>IF(売分析!$C126="","",売分析!$C126)</f>
      </c>
      <c r="L126">
        <f>IF(売分析!$C126="","",売分析!$D126)</f>
      </c>
      <c r="M126">
        <f>IFERROR((SUM(OFFSET(高値!$E$6,IFERROR(MATCH(売分析!$C126,銘柄管理!$B$6:$B$305,0),MATCH(TEXT(売分析!$C126,"0"),銘柄管理!$B$6:$B$305,0))-1,0,1,14))-SUM(OFFSET(安値!$E$6,IFERROR(MATCH(売分析!$C126,銘柄管理!$B$6:$B$305,0),MATCH(TEXT(売分析!$C126,"0"),銘柄管理!$B$6:$B$305,0))-1,0,1,14)))/SUM(OFFSET(終値!$E$6,IFERROR(MATCH(売分析!$C126,銘柄管理!$B$6:$B$305,0),MATCH(TEXT(売分析!$C126,"0"),銘柄管理!$B$6:$B$305,0))-1,0,1,14))*100,"")</f>
      </c>
      <c r="N126">
        <f>IFERROR((MAX(OFFSET(高値!$E$6,IFERROR(MATCH(売分析!$C126,銘柄管理!$B$6:$B$305,0),MATCH(TEXT(売分析!$C126,"0"),銘柄管理!$B$6:$B$305,0))-1,0,1,25))-MIN(OFFSET(安値!$E$6,IFERROR(MATCH(売分析!$C126,銘柄管理!$B$6:$B$305,0),MATCH(TEXT(売分析!$C126,"0"),銘柄管理!$B$6:$B$305,0))-1,0,1,25)))/売分析!$E126*100,"")</f>
      </c>
      <c r="O126">
        <f>IFERROR((売分析!$F126-売分析!$G126)/売分析!$G126*100,"")</f>
      </c>
      <c r="P126">
        <f>IFERROR((売分析!$E126-MAX(OFFSET(高値!$E$6,IFERROR(MATCH(売分析!$C126,銘柄管理!$B$6:$B$305,0),MATCH(TEXT(売分析!$C126,"0"),銘柄管理!$B$6:$B$305,0))-1,0,1,25)))/MAX(OFFSET(高値!$E$6,IFERROR(MATCH(売分析!$C126,銘柄管理!$B$6:$B$305,0),MATCH(TEXT(売分析!$C126,"0"),銘柄管理!$B$6:$B$305,0))-1,0,1,25))*100,"")</f>
      </c>
      <c r="Q126">
        <f>IFERROR((売分析!$H126-売分析!$I126)/売分析!$F126*100,"")</f>
      </c>
      <c r="R126">
        <f>IFERROR(5-COUNTIF($M$3:$M$206,"&lt;"&amp;$M126)/COUNT($M$3:$M$206)-COUNTIF($Q$3:$Q$206,"&lt;"&amp;$Q126)/COUNT($Q$3:$Q$206)-COUNTIF($N$3:$N$206,"&lt;"&amp;$N126)/COUNT($N$3:$N$206)-COUNTIF(売分析!$Z$3:$Z$206,"&lt;"&amp;売分析!$Z126)/COUNT(売分析!$Z$3:$Z$206)-COUNTIF($O$3:$O$206,"&lt;"&amp;$O126)/COUNT($O$3:$O$206),"")</f>
      </c>
      <c r="S126">
        <f>IF(OR(K126="",K126="TOPX",M126="",R126=""),0,IF(AND(V811設定!$E$12=1,M126&lt;=V811設定!$E$3,N126&lt;=V811設定!$E$4,O126&lt;=V811設定!$E$5,売分析!$Z126&lt;=V811設定!$E$6,売分析!$Z126&gt;=V811設定!$E$7,P126&gt;=V811設定!$E$8,Q126&lt;=V811設定!$E$9),1,0))</f>
      </c>
      <c r="T126">
        <f>IF(K126="","",IF(S126=1,"○ゲート通過",IF(V811設定!$E$12&lt;&gt;1,"― 停止中",IF(M126&gt;V811設定!$E$3,"×値動きが荒い",IF(N126&gt;V811設定!$E$4,"×レンジが広い",IF(O126&gt;V811設定!$E$5,"×窓を開けて上昇",IF(売分析!$Z126&gt;V811設定!$E$6,"×前日に急騰",IF(売分析!$Z126&lt;V811設定!$E$7,"×前日に急落",IF(P126&lt;V811設定!$E$8,"×高値から離れすぎ",IF(Q126&gt;V811設定!$E$9,"×当日の値幅が大きい","×"))))))))))</f>
      </c>
    </row>
    <row r="127" spans="1:20">
      <c r="A127">
        <f>IF(分析!$C127="","",分析!$C127)</f>
      </c>
      <c r="B127">
        <f>IF(分析!$C127="","",分析!$D127)</f>
      </c>
      <c r="C127">
        <f>IFERROR((SUM(OFFSET(高値!$E$6,IFERROR(MATCH(分析!$C127,銘柄管理!$B$6:$B$305,0),MATCH(TEXT(分析!$C127,"0"),銘柄管理!$B$6:$B$305,0))-1,0,1,14))-SUM(OFFSET(安値!$E$6,IFERROR(MATCH(分析!$C127,銘柄管理!$B$6:$B$305,0),MATCH(TEXT(分析!$C127,"0"),銘柄管理!$B$6:$B$305,0))-1,0,1,14)))/SUM(OFFSET(終値!$E$6,IFERROR(MATCH(分析!$C127,銘柄管理!$B$6:$B$305,0),MATCH(TEXT(分析!$C127,"0"),銘柄管理!$B$6:$B$305,0))-1,0,1,14))*100,"")</f>
      </c>
      <c r="D127">
        <f>IFERROR((MAX(OFFSET(高値!$E$6,IFERROR(MATCH(分析!$C127,銘柄管理!$B$6:$B$305,0),MATCH(TEXT(分析!$C127,"0"),銘柄管理!$B$6:$B$305,0))-1,0,1,25))-MIN(OFFSET(安値!$E$6,IFERROR(MATCH(分析!$C127,銘柄管理!$B$6:$B$305,0),MATCH(TEXT(分析!$C127,"0"),銘柄管理!$B$6:$B$305,0))-1,0,1,25)))/分析!$E127*100,"")</f>
      </c>
      <c r="E127">
        <f>IFERROR((分析!$F127-分析!$G127)/分析!$G127*100,"")</f>
      </c>
      <c r="F127">
        <f>IFERROR((分析!$E127-MAX(OFFSET(高値!$E$6,IFERROR(MATCH(分析!$C127,銘柄管理!$B$6:$B$305,0),MATCH(TEXT(分析!$C127,"0"),銘柄管理!$B$6:$B$305,0))-1,0,1,25)))/MAX(OFFSET(高値!$E$6,IFERROR(MATCH(分析!$C127,銘柄管理!$B$6:$B$305,0),MATCH(TEXT(分析!$C127,"0"),銘柄管理!$B$6:$B$305,0))-1,0,1,25))*100,"")</f>
      </c>
      <c r="G127">
        <f>IFERROR((分析!$H127-分析!$I127)/分析!$F127*100,"")</f>
      </c>
      <c r="H127">
        <f>IFERROR(5-COUNTIF($C$3:$C$206,"&lt;"&amp;$C127)/COUNT($C$3:$C$206)-COUNTIF($G$3:$G$206,"&lt;"&amp;$G127)/COUNT($G$3:$G$206)-COUNTIF($D$3:$D$206,"&lt;"&amp;$D127)/COUNT($D$3:$D$206)-COUNTIF(分析!$Z$3:$Z$206,"&lt;"&amp;分析!$Z127)/COUNT(分析!$Z$3:$Z$206)-COUNTIF($E$3:$E$206,"&lt;"&amp;$E127)/COUNT($E$3:$E$206),"")</f>
      </c>
      <c r="I127">
        <f>IF(OR(A127="",A127="TOPX",C127="",H127=""),0,IF(AND(V811設定!$E$11=1,C127&lt;=V811設定!$E$3,D127&lt;=V811設定!$E$4,E127&lt;=V811設定!$E$5,分析!$Z127&lt;=V811設定!$E$6,分析!$Z127&gt;=V811設定!$E$7,F127&gt;=V811設定!$E$8,G127&lt;=V811設定!$E$9),1,0))</f>
      </c>
      <c r="J127">
        <f>IF(A127="","",IF(I127=1,"○ゲート通過",IF(V811設定!$E$11&lt;&gt;1,"― 停止中",IF(C127&gt;V811設定!$E$3,"×値動きが荒い",IF(D127&gt;V811設定!$E$4,"×レンジが広い",IF(E127&gt;V811設定!$E$5,"×窓を開けて上昇",IF(分析!$Z127&gt;V811設定!$E$6,"×前日に急騰",IF(分析!$Z127&lt;V811設定!$E$7,"×前日に急落",IF(F127&lt;V811設定!$E$8,"×高値から離れすぎ",IF(G127&gt;V811設定!$E$9,"×当日の値幅が大きい","×"))))))))))</f>
      </c>
      <c r="K127">
        <f>IF(売分析!$C127="","",売分析!$C127)</f>
      </c>
      <c r="L127">
        <f>IF(売分析!$C127="","",売分析!$D127)</f>
      </c>
      <c r="M127">
        <f>IFERROR((SUM(OFFSET(高値!$E$6,IFERROR(MATCH(売分析!$C127,銘柄管理!$B$6:$B$305,0),MATCH(TEXT(売分析!$C127,"0"),銘柄管理!$B$6:$B$305,0))-1,0,1,14))-SUM(OFFSET(安値!$E$6,IFERROR(MATCH(売分析!$C127,銘柄管理!$B$6:$B$305,0),MATCH(TEXT(売分析!$C127,"0"),銘柄管理!$B$6:$B$305,0))-1,0,1,14)))/SUM(OFFSET(終値!$E$6,IFERROR(MATCH(売分析!$C127,銘柄管理!$B$6:$B$305,0),MATCH(TEXT(売分析!$C127,"0"),銘柄管理!$B$6:$B$305,0))-1,0,1,14))*100,"")</f>
      </c>
      <c r="N127">
        <f>IFERROR((MAX(OFFSET(高値!$E$6,IFERROR(MATCH(売分析!$C127,銘柄管理!$B$6:$B$305,0),MATCH(TEXT(売分析!$C127,"0"),銘柄管理!$B$6:$B$305,0))-1,0,1,25))-MIN(OFFSET(安値!$E$6,IFERROR(MATCH(売分析!$C127,銘柄管理!$B$6:$B$305,0),MATCH(TEXT(売分析!$C127,"0"),銘柄管理!$B$6:$B$305,0))-1,0,1,25)))/売分析!$E127*100,"")</f>
      </c>
      <c r="O127">
        <f>IFERROR((売分析!$F127-売分析!$G127)/売分析!$G127*100,"")</f>
      </c>
      <c r="P127">
        <f>IFERROR((売分析!$E127-MAX(OFFSET(高値!$E$6,IFERROR(MATCH(売分析!$C127,銘柄管理!$B$6:$B$305,0),MATCH(TEXT(売分析!$C127,"0"),銘柄管理!$B$6:$B$305,0))-1,0,1,25)))/MAX(OFFSET(高値!$E$6,IFERROR(MATCH(売分析!$C127,銘柄管理!$B$6:$B$305,0),MATCH(TEXT(売分析!$C127,"0"),銘柄管理!$B$6:$B$305,0))-1,0,1,25))*100,"")</f>
      </c>
      <c r="Q127">
        <f>IFERROR((売分析!$H127-売分析!$I127)/売分析!$F127*100,"")</f>
      </c>
      <c r="R127">
        <f>IFERROR(5-COUNTIF($M$3:$M$206,"&lt;"&amp;$M127)/COUNT($M$3:$M$206)-COUNTIF($Q$3:$Q$206,"&lt;"&amp;$Q127)/COUNT($Q$3:$Q$206)-COUNTIF($N$3:$N$206,"&lt;"&amp;$N127)/COUNT($N$3:$N$206)-COUNTIF(売分析!$Z$3:$Z$206,"&lt;"&amp;売分析!$Z127)/COUNT(売分析!$Z$3:$Z$206)-COUNTIF($O$3:$O$206,"&lt;"&amp;$O127)/COUNT($O$3:$O$206),"")</f>
      </c>
      <c r="S127">
        <f>IF(OR(K127="",K127="TOPX",M127="",R127=""),0,IF(AND(V811設定!$E$12=1,M127&lt;=V811設定!$E$3,N127&lt;=V811設定!$E$4,O127&lt;=V811設定!$E$5,売分析!$Z127&lt;=V811設定!$E$6,売分析!$Z127&gt;=V811設定!$E$7,P127&gt;=V811設定!$E$8,Q127&lt;=V811設定!$E$9),1,0))</f>
      </c>
      <c r="T127">
        <f>IF(K127="","",IF(S127=1,"○ゲート通過",IF(V811設定!$E$12&lt;&gt;1,"― 停止中",IF(M127&gt;V811設定!$E$3,"×値動きが荒い",IF(N127&gt;V811設定!$E$4,"×レンジが広い",IF(O127&gt;V811設定!$E$5,"×窓を開けて上昇",IF(売分析!$Z127&gt;V811設定!$E$6,"×前日に急騰",IF(売分析!$Z127&lt;V811設定!$E$7,"×前日に急落",IF(P127&lt;V811設定!$E$8,"×高値から離れすぎ",IF(Q127&gt;V811設定!$E$9,"×当日の値幅が大きい","×"))))))))))</f>
      </c>
    </row>
    <row r="128" spans="1:20">
      <c r="A128">
        <f>IF(分析!$C128="","",分析!$C128)</f>
      </c>
      <c r="B128">
        <f>IF(分析!$C128="","",分析!$D128)</f>
      </c>
      <c r="C128">
        <f>IFERROR((SUM(OFFSET(高値!$E$6,IFERROR(MATCH(分析!$C128,銘柄管理!$B$6:$B$305,0),MATCH(TEXT(分析!$C128,"0"),銘柄管理!$B$6:$B$305,0))-1,0,1,14))-SUM(OFFSET(安値!$E$6,IFERROR(MATCH(分析!$C128,銘柄管理!$B$6:$B$305,0),MATCH(TEXT(分析!$C128,"0"),銘柄管理!$B$6:$B$305,0))-1,0,1,14)))/SUM(OFFSET(終値!$E$6,IFERROR(MATCH(分析!$C128,銘柄管理!$B$6:$B$305,0),MATCH(TEXT(分析!$C128,"0"),銘柄管理!$B$6:$B$305,0))-1,0,1,14))*100,"")</f>
      </c>
      <c r="D128">
        <f>IFERROR((MAX(OFFSET(高値!$E$6,IFERROR(MATCH(分析!$C128,銘柄管理!$B$6:$B$305,0),MATCH(TEXT(分析!$C128,"0"),銘柄管理!$B$6:$B$305,0))-1,0,1,25))-MIN(OFFSET(安値!$E$6,IFERROR(MATCH(分析!$C128,銘柄管理!$B$6:$B$305,0),MATCH(TEXT(分析!$C128,"0"),銘柄管理!$B$6:$B$305,0))-1,0,1,25)))/分析!$E128*100,"")</f>
      </c>
      <c r="E128">
        <f>IFERROR((分析!$F128-分析!$G128)/分析!$G128*100,"")</f>
      </c>
      <c r="F128">
        <f>IFERROR((分析!$E128-MAX(OFFSET(高値!$E$6,IFERROR(MATCH(分析!$C128,銘柄管理!$B$6:$B$305,0),MATCH(TEXT(分析!$C128,"0"),銘柄管理!$B$6:$B$305,0))-1,0,1,25)))/MAX(OFFSET(高値!$E$6,IFERROR(MATCH(分析!$C128,銘柄管理!$B$6:$B$305,0),MATCH(TEXT(分析!$C128,"0"),銘柄管理!$B$6:$B$305,0))-1,0,1,25))*100,"")</f>
      </c>
      <c r="G128">
        <f>IFERROR((分析!$H128-分析!$I128)/分析!$F128*100,"")</f>
      </c>
      <c r="H128">
        <f>IFERROR(5-COUNTIF($C$3:$C$206,"&lt;"&amp;$C128)/COUNT($C$3:$C$206)-COUNTIF($G$3:$G$206,"&lt;"&amp;$G128)/COUNT($G$3:$G$206)-COUNTIF($D$3:$D$206,"&lt;"&amp;$D128)/COUNT($D$3:$D$206)-COUNTIF(分析!$Z$3:$Z$206,"&lt;"&amp;分析!$Z128)/COUNT(分析!$Z$3:$Z$206)-COUNTIF($E$3:$E$206,"&lt;"&amp;$E128)/COUNT($E$3:$E$206),"")</f>
      </c>
      <c r="I128">
        <f>IF(OR(A128="",A128="TOPX",C128="",H128=""),0,IF(AND(V811設定!$E$11=1,C128&lt;=V811設定!$E$3,D128&lt;=V811設定!$E$4,E128&lt;=V811設定!$E$5,分析!$Z128&lt;=V811設定!$E$6,分析!$Z128&gt;=V811設定!$E$7,F128&gt;=V811設定!$E$8,G128&lt;=V811設定!$E$9),1,0))</f>
      </c>
      <c r="J128">
        <f>IF(A128="","",IF(I128=1,"○ゲート通過",IF(V811設定!$E$11&lt;&gt;1,"― 停止中",IF(C128&gt;V811設定!$E$3,"×値動きが荒い",IF(D128&gt;V811設定!$E$4,"×レンジが広い",IF(E128&gt;V811設定!$E$5,"×窓を開けて上昇",IF(分析!$Z128&gt;V811設定!$E$6,"×前日に急騰",IF(分析!$Z128&lt;V811設定!$E$7,"×前日に急落",IF(F128&lt;V811設定!$E$8,"×高値から離れすぎ",IF(G128&gt;V811設定!$E$9,"×当日の値幅が大きい","×"))))))))))</f>
      </c>
      <c r="K128">
        <f>IF(売分析!$C128="","",売分析!$C128)</f>
      </c>
      <c r="L128">
        <f>IF(売分析!$C128="","",売分析!$D128)</f>
      </c>
      <c r="M128">
        <f>IFERROR((SUM(OFFSET(高値!$E$6,IFERROR(MATCH(売分析!$C128,銘柄管理!$B$6:$B$305,0),MATCH(TEXT(売分析!$C128,"0"),銘柄管理!$B$6:$B$305,0))-1,0,1,14))-SUM(OFFSET(安値!$E$6,IFERROR(MATCH(売分析!$C128,銘柄管理!$B$6:$B$305,0),MATCH(TEXT(売分析!$C128,"0"),銘柄管理!$B$6:$B$305,0))-1,0,1,14)))/SUM(OFFSET(終値!$E$6,IFERROR(MATCH(売分析!$C128,銘柄管理!$B$6:$B$305,0),MATCH(TEXT(売分析!$C128,"0"),銘柄管理!$B$6:$B$305,0))-1,0,1,14))*100,"")</f>
      </c>
      <c r="N128">
        <f>IFERROR((MAX(OFFSET(高値!$E$6,IFERROR(MATCH(売分析!$C128,銘柄管理!$B$6:$B$305,0),MATCH(TEXT(売分析!$C128,"0"),銘柄管理!$B$6:$B$305,0))-1,0,1,25))-MIN(OFFSET(安値!$E$6,IFERROR(MATCH(売分析!$C128,銘柄管理!$B$6:$B$305,0),MATCH(TEXT(売分析!$C128,"0"),銘柄管理!$B$6:$B$305,0))-1,0,1,25)))/売分析!$E128*100,"")</f>
      </c>
      <c r="O128">
        <f>IFERROR((売分析!$F128-売分析!$G128)/売分析!$G128*100,"")</f>
      </c>
      <c r="P128">
        <f>IFERROR((売分析!$E128-MAX(OFFSET(高値!$E$6,IFERROR(MATCH(売分析!$C128,銘柄管理!$B$6:$B$305,0),MATCH(TEXT(売分析!$C128,"0"),銘柄管理!$B$6:$B$305,0))-1,0,1,25)))/MAX(OFFSET(高値!$E$6,IFERROR(MATCH(売分析!$C128,銘柄管理!$B$6:$B$305,0),MATCH(TEXT(売分析!$C128,"0"),銘柄管理!$B$6:$B$305,0))-1,0,1,25))*100,"")</f>
      </c>
      <c r="Q128">
        <f>IFERROR((売分析!$H128-売分析!$I128)/売分析!$F128*100,"")</f>
      </c>
      <c r="R128">
        <f>IFERROR(5-COUNTIF($M$3:$M$206,"&lt;"&amp;$M128)/COUNT($M$3:$M$206)-COUNTIF($Q$3:$Q$206,"&lt;"&amp;$Q128)/COUNT($Q$3:$Q$206)-COUNTIF($N$3:$N$206,"&lt;"&amp;$N128)/COUNT($N$3:$N$206)-COUNTIF(売分析!$Z$3:$Z$206,"&lt;"&amp;売分析!$Z128)/COUNT(売分析!$Z$3:$Z$206)-COUNTIF($O$3:$O$206,"&lt;"&amp;$O128)/COUNT($O$3:$O$206),"")</f>
      </c>
      <c r="S128">
        <f>IF(OR(K128="",K128="TOPX",M128="",R128=""),0,IF(AND(V811設定!$E$12=1,M128&lt;=V811設定!$E$3,N128&lt;=V811設定!$E$4,O128&lt;=V811設定!$E$5,売分析!$Z128&lt;=V811設定!$E$6,売分析!$Z128&gt;=V811設定!$E$7,P128&gt;=V811設定!$E$8,Q128&lt;=V811設定!$E$9),1,0))</f>
      </c>
      <c r="T128">
        <f>IF(K128="","",IF(S128=1,"○ゲート通過",IF(V811設定!$E$12&lt;&gt;1,"― 停止中",IF(M128&gt;V811設定!$E$3,"×値動きが荒い",IF(N128&gt;V811設定!$E$4,"×レンジが広い",IF(O128&gt;V811設定!$E$5,"×窓を開けて上昇",IF(売分析!$Z128&gt;V811設定!$E$6,"×前日に急騰",IF(売分析!$Z128&lt;V811設定!$E$7,"×前日に急落",IF(P128&lt;V811設定!$E$8,"×高値から離れすぎ",IF(Q128&gt;V811設定!$E$9,"×当日の値幅が大きい","×"))))))))))</f>
      </c>
    </row>
    <row r="129" spans="1:20">
      <c r="A129">
        <f>IF(分析!$C129="","",分析!$C129)</f>
      </c>
      <c r="B129">
        <f>IF(分析!$C129="","",分析!$D129)</f>
      </c>
      <c r="C129">
        <f>IFERROR((SUM(OFFSET(高値!$E$6,IFERROR(MATCH(分析!$C129,銘柄管理!$B$6:$B$305,0),MATCH(TEXT(分析!$C129,"0"),銘柄管理!$B$6:$B$305,0))-1,0,1,14))-SUM(OFFSET(安値!$E$6,IFERROR(MATCH(分析!$C129,銘柄管理!$B$6:$B$305,0),MATCH(TEXT(分析!$C129,"0"),銘柄管理!$B$6:$B$305,0))-1,0,1,14)))/SUM(OFFSET(終値!$E$6,IFERROR(MATCH(分析!$C129,銘柄管理!$B$6:$B$305,0),MATCH(TEXT(分析!$C129,"0"),銘柄管理!$B$6:$B$305,0))-1,0,1,14))*100,"")</f>
      </c>
      <c r="D129">
        <f>IFERROR((MAX(OFFSET(高値!$E$6,IFERROR(MATCH(分析!$C129,銘柄管理!$B$6:$B$305,0),MATCH(TEXT(分析!$C129,"0"),銘柄管理!$B$6:$B$305,0))-1,0,1,25))-MIN(OFFSET(安値!$E$6,IFERROR(MATCH(分析!$C129,銘柄管理!$B$6:$B$305,0),MATCH(TEXT(分析!$C129,"0"),銘柄管理!$B$6:$B$305,0))-1,0,1,25)))/分析!$E129*100,"")</f>
      </c>
      <c r="E129">
        <f>IFERROR((分析!$F129-分析!$G129)/分析!$G129*100,"")</f>
      </c>
      <c r="F129">
        <f>IFERROR((分析!$E129-MAX(OFFSET(高値!$E$6,IFERROR(MATCH(分析!$C129,銘柄管理!$B$6:$B$305,0),MATCH(TEXT(分析!$C129,"0"),銘柄管理!$B$6:$B$305,0))-1,0,1,25)))/MAX(OFFSET(高値!$E$6,IFERROR(MATCH(分析!$C129,銘柄管理!$B$6:$B$305,0),MATCH(TEXT(分析!$C129,"0"),銘柄管理!$B$6:$B$305,0))-1,0,1,25))*100,"")</f>
      </c>
      <c r="G129">
        <f>IFERROR((分析!$H129-分析!$I129)/分析!$F129*100,"")</f>
      </c>
      <c r="H129">
        <f>IFERROR(5-COUNTIF($C$3:$C$206,"&lt;"&amp;$C129)/COUNT($C$3:$C$206)-COUNTIF($G$3:$G$206,"&lt;"&amp;$G129)/COUNT($G$3:$G$206)-COUNTIF($D$3:$D$206,"&lt;"&amp;$D129)/COUNT($D$3:$D$206)-COUNTIF(分析!$Z$3:$Z$206,"&lt;"&amp;分析!$Z129)/COUNT(分析!$Z$3:$Z$206)-COUNTIF($E$3:$E$206,"&lt;"&amp;$E129)/COUNT($E$3:$E$206),"")</f>
      </c>
      <c r="I129">
        <f>IF(OR(A129="",A129="TOPX",C129="",H129=""),0,IF(AND(V811設定!$E$11=1,C129&lt;=V811設定!$E$3,D129&lt;=V811設定!$E$4,E129&lt;=V811設定!$E$5,分析!$Z129&lt;=V811設定!$E$6,分析!$Z129&gt;=V811設定!$E$7,F129&gt;=V811設定!$E$8,G129&lt;=V811設定!$E$9),1,0))</f>
      </c>
      <c r="J129">
        <f>IF(A129="","",IF(I129=1,"○ゲート通過",IF(V811設定!$E$11&lt;&gt;1,"― 停止中",IF(C129&gt;V811設定!$E$3,"×値動きが荒い",IF(D129&gt;V811設定!$E$4,"×レンジが広い",IF(E129&gt;V811設定!$E$5,"×窓を開けて上昇",IF(分析!$Z129&gt;V811設定!$E$6,"×前日に急騰",IF(分析!$Z129&lt;V811設定!$E$7,"×前日に急落",IF(F129&lt;V811設定!$E$8,"×高値から離れすぎ",IF(G129&gt;V811設定!$E$9,"×当日の値幅が大きい","×"))))))))))</f>
      </c>
      <c r="K129">
        <f>IF(売分析!$C129="","",売分析!$C129)</f>
      </c>
      <c r="L129">
        <f>IF(売分析!$C129="","",売分析!$D129)</f>
      </c>
      <c r="M129">
        <f>IFERROR((SUM(OFFSET(高値!$E$6,IFERROR(MATCH(売分析!$C129,銘柄管理!$B$6:$B$305,0),MATCH(TEXT(売分析!$C129,"0"),銘柄管理!$B$6:$B$305,0))-1,0,1,14))-SUM(OFFSET(安値!$E$6,IFERROR(MATCH(売分析!$C129,銘柄管理!$B$6:$B$305,0),MATCH(TEXT(売分析!$C129,"0"),銘柄管理!$B$6:$B$305,0))-1,0,1,14)))/SUM(OFFSET(終値!$E$6,IFERROR(MATCH(売分析!$C129,銘柄管理!$B$6:$B$305,0),MATCH(TEXT(売分析!$C129,"0"),銘柄管理!$B$6:$B$305,0))-1,0,1,14))*100,"")</f>
      </c>
      <c r="N129">
        <f>IFERROR((MAX(OFFSET(高値!$E$6,IFERROR(MATCH(売分析!$C129,銘柄管理!$B$6:$B$305,0),MATCH(TEXT(売分析!$C129,"0"),銘柄管理!$B$6:$B$305,0))-1,0,1,25))-MIN(OFFSET(安値!$E$6,IFERROR(MATCH(売分析!$C129,銘柄管理!$B$6:$B$305,0),MATCH(TEXT(売分析!$C129,"0"),銘柄管理!$B$6:$B$305,0))-1,0,1,25)))/売分析!$E129*100,"")</f>
      </c>
      <c r="O129">
        <f>IFERROR((売分析!$F129-売分析!$G129)/売分析!$G129*100,"")</f>
      </c>
      <c r="P129">
        <f>IFERROR((売分析!$E129-MAX(OFFSET(高値!$E$6,IFERROR(MATCH(売分析!$C129,銘柄管理!$B$6:$B$305,0),MATCH(TEXT(売分析!$C129,"0"),銘柄管理!$B$6:$B$305,0))-1,0,1,25)))/MAX(OFFSET(高値!$E$6,IFERROR(MATCH(売分析!$C129,銘柄管理!$B$6:$B$305,0),MATCH(TEXT(売分析!$C129,"0"),銘柄管理!$B$6:$B$305,0))-1,0,1,25))*100,"")</f>
      </c>
      <c r="Q129">
        <f>IFERROR((売分析!$H129-売分析!$I129)/売分析!$F129*100,"")</f>
      </c>
      <c r="R129">
        <f>IFERROR(5-COUNTIF($M$3:$M$206,"&lt;"&amp;$M129)/COUNT($M$3:$M$206)-COUNTIF($Q$3:$Q$206,"&lt;"&amp;$Q129)/COUNT($Q$3:$Q$206)-COUNTIF($N$3:$N$206,"&lt;"&amp;$N129)/COUNT($N$3:$N$206)-COUNTIF(売分析!$Z$3:$Z$206,"&lt;"&amp;売分析!$Z129)/COUNT(売分析!$Z$3:$Z$206)-COUNTIF($O$3:$O$206,"&lt;"&amp;$O129)/COUNT($O$3:$O$206),"")</f>
      </c>
      <c r="S129">
        <f>IF(OR(K129="",K129="TOPX",M129="",R129=""),0,IF(AND(V811設定!$E$12=1,M129&lt;=V811設定!$E$3,N129&lt;=V811設定!$E$4,O129&lt;=V811設定!$E$5,売分析!$Z129&lt;=V811設定!$E$6,売分析!$Z129&gt;=V811設定!$E$7,P129&gt;=V811設定!$E$8,Q129&lt;=V811設定!$E$9),1,0))</f>
      </c>
      <c r="T129">
        <f>IF(K129="","",IF(S129=1,"○ゲート通過",IF(V811設定!$E$12&lt;&gt;1,"― 停止中",IF(M129&gt;V811設定!$E$3,"×値動きが荒い",IF(N129&gt;V811設定!$E$4,"×レンジが広い",IF(O129&gt;V811設定!$E$5,"×窓を開けて上昇",IF(売分析!$Z129&gt;V811設定!$E$6,"×前日に急騰",IF(売分析!$Z129&lt;V811設定!$E$7,"×前日に急落",IF(P129&lt;V811設定!$E$8,"×高値から離れすぎ",IF(Q129&gt;V811設定!$E$9,"×当日の値幅が大きい","×"))))))))))</f>
      </c>
    </row>
    <row r="130" spans="1:20">
      <c r="A130">
        <f>IF(分析!$C130="","",分析!$C130)</f>
      </c>
      <c r="B130">
        <f>IF(分析!$C130="","",分析!$D130)</f>
      </c>
      <c r="C130">
        <f>IFERROR((SUM(OFFSET(高値!$E$6,IFERROR(MATCH(分析!$C130,銘柄管理!$B$6:$B$305,0),MATCH(TEXT(分析!$C130,"0"),銘柄管理!$B$6:$B$305,0))-1,0,1,14))-SUM(OFFSET(安値!$E$6,IFERROR(MATCH(分析!$C130,銘柄管理!$B$6:$B$305,0),MATCH(TEXT(分析!$C130,"0"),銘柄管理!$B$6:$B$305,0))-1,0,1,14)))/SUM(OFFSET(終値!$E$6,IFERROR(MATCH(分析!$C130,銘柄管理!$B$6:$B$305,0),MATCH(TEXT(分析!$C130,"0"),銘柄管理!$B$6:$B$305,0))-1,0,1,14))*100,"")</f>
      </c>
      <c r="D130">
        <f>IFERROR((MAX(OFFSET(高値!$E$6,IFERROR(MATCH(分析!$C130,銘柄管理!$B$6:$B$305,0),MATCH(TEXT(分析!$C130,"0"),銘柄管理!$B$6:$B$305,0))-1,0,1,25))-MIN(OFFSET(安値!$E$6,IFERROR(MATCH(分析!$C130,銘柄管理!$B$6:$B$305,0),MATCH(TEXT(分析!$C130,"0"),銘柄管理!$B$6:$B$305,0))-1,0,1,25)))/分析!$E130*100,"")</f>
      </c>
      <c r="E130">
        <f>IFERROR((分析!$F130-分析!$G130)/分析!$G130*100,"")</f>
      </c>
      <c r="F130">
        <f>IFERROR((分析!$E130-MAX(OFFSET(高値!$E$6,IFERROR(MATCH(分析!$C130,銘柄管理!$B$6:$B$305,0),MATCH(TEXT(分析!$C130,"0"),銘柄管理!$B$6:$B$305,0))-1,0,1,25)))/MAX(OFFSET(高値!$E$6,IFERROR(MATCH(分析!$C130,銘柄管理!$B$6:$B$305,0),MATCH(TEXT(分析!$C130,"0"),銘柄管理!$B$6:$B$305,0))-1,0,1,25))*100,"")</f>
      </c>
      <c r="G130">
        <f>IFERROR((分析!$H130-分析!$I130)/分析!$F130*100,"")</f>
      </c>
      <c r="H130">
        <f>IFERROR(5-COUNTIF($C$3:$C$206,"&lt;"&amp;$C130)/COUNT($C$3:$C$206)-COUNTIF($G$3:$G$206,"&lt;"&amp;$G130)/COUNT($G$3:$G$206)-COUNTIF($D$3:$D$206,"&lt;"&amp;$D130)/COUNT($D$3:$D$206)-COUNTIF(分析!$Z$3:$Z$206,"&lt;"&amp;分析!$Z130)/COUNT(分析!$Z$3:$Z$206)-COUNTIF($E$3:$E$206,"&lt;"&amp;$E130)/COUNT($E$3:$E$206),"")</f>
      </c>
      <c r="I130">
        <f>IF(OR(A130="",A130="TOPX",C130="",H130=""),0,IF(AND(V811設定!$E$11=1,C130&lt;=V811設定!$E$3,D130&lt;=V811設定!$E$4,E130&lt;=V811設定!$E$5,分析!$Z130&lt;=V811設定!$E$6,分析!$Z130&gt;=V811設定!$E$7,F130&gt;=V811設定!$E$8,G130&lt;=V811設定!$E$9),1,0))</f>
      </c>
      <c r="J130">
        <f>IF(A130="","",IF(I130=1,"○ゲート通過",IF(V811設定!$E$11&lt;&gt;1,"― 停止中",IF(C130&gt;V811設定!$E$3,"×値動きが荒い",IF(D130&gt;V811設定!$E$4,"×レンジが広い",IF(E130&gt;V811設定!$E$5,"×窓を開けて上昇",IF(分析!$Z130&gt;V811設定!$E$6,"×前日に急騰",IF(分析!$Z130&lt;V811設定!$E$7,"×前日に急落",IF(F130&lt;V811設定!$E$8,"×高値から離れすぎ",IF(G130&gt;V811設定!$E$9,"×当日の値幅が大きい","×"))))))))))</f>
      </c>
      <c r="K130">
        <f>IF(売分析!$C130="","",売分析!$C130)</f>
      </c>
      <c r="L130">
        <f>IF(売分析!$C130="","",売分析!$D130)</f>
      </c>
      <c r="M130">
        <f>IFERROR((SUM(OFFSET(高値!$E$6,IFERROR(MATCH(売分析!$C130,銘柄管理!$B$6:$B$305,0),MATCH(TEXT(売分析!$C130,"0"),銘柄管理!$B$6:$B$305,0))-1,0,1,14))-SUM(OFFSET(安値!$E$6,IFERROR(MATCH(売分析!$C130,銘柄管理!$B$6:$B$305,0),MATCH(TEXT(売分析!$C130,"0"),銘柄管理!$B$6:$B$305,0))-1,0,1,14)))/SUM(OFFSET(終値!$E$6,IFERROR(MATCH(売分析!$C130,銘柄管理!$B$6:$B$305,0),MATCH(TEXT(売分析!$C130,"0"),銘柄管理!$B$6:$B$305,0))-1,0,1,14))*100,"")</f>
      </c>
      <c r="N130">
        <f>IFERROR((MAX(OFFSET(高値!$E$6,IFERROR(MATCH(売分析!$C130,銘柄管理!$B$6:$B$305,0),MATCH(TEXT(売分析!$C130,"0"),銘柄管理!$B$6:$B$305,0))-1,0,1,25))-MIN(OFFSET(安値!$E$6,IFERROR(MATCH(売分析!$C130,銘柄管理!$B$6:$B$305,0),MATCH(TEXT(売分析!$C130,"0"),銘柄管理!$B$6:$B$305,0))-1,0,1,25)))/売分析!$E130*100,"")</f>
      </c>
      <c r="O130">
        <f>IFERROR((売分析!$F130-売分析!$G130)/売分析!$G130*100,"")</f>
      </c>
      <c r="P130">
        <f>IFERROR((売分析!$E130-MAX(OFFSET(高値!$E$6,IFERROR(MATCH(売分析!$C130,銘柄管理!$B$6:$B$305,0),MATCH(TEXT(売分析!$C130,"0"),銘柄管理!$B$6:$B$305,0))-1,0,1,25)))/MAX(OFFSET(高値!$E$6,IFERROR(MATCH(売分析!$C130,銘柄管理!$B$6:$B$305,0),MATCH(TEXT(売分析!$C130,"0"),銘柄管理!$B$6:$B$305,0))-1,0,1,25))*100,"")</f>
      </c>
      <c r="Q130">
        <f>IFERROR((売分析!$H130-売分析!$I130)/売分析!$F130*100,"")</f>
      </c>
      <c r="R130">
        <f>IFERROR(5-COUNTIF($M$3:$M$206,"&lt;"&amp;$M130)/COUNT($M$3:$M$206)-COUNTIF($Q$3:$Q$206,"&lt;"&amp;$Q130)/COUNT($Q$3:$Q$206)-COUNTIF($N$3:$N$206,"&lt;"&amp;$N130)/COUNT($N$3:$N$206)-COUNTIF(売分析!$Z$3:$Z$206,"&lt;"&amp;売分析!$Z130)/COUNT(売分析!$Z$3:$Z$206)-COUNTIF($O$3:$O$206,"&lt;"&amp;$O130)/COUNT($O$3:$O$206),"")</f>
      </c>
      <c r="S130">
        <f>IF(OR(K130="",K130="TOPX",M130="",R130=""),0,IF(AND(V811設定!$E$12=1,M130&lt;=V811設定!$E$3,N130&lt;=V811設定!$E$4,O130&lt;=V811設定!$E$5,売分析!$Z130&lt;=V811設定!$E$6,売分析!$Z130&gt;=V811設定!$E$7,P130&gt;=V811設定!$E$8,Q130&lt;=V811設定!$E$9),1,0))</f>
      </c>
      <c r="T130">
        <f>IF(K130="","",IF(S130=1,"○ゲート通過",IF(V811設定!$E$12&lt;&gt;1,"― 停止中",IF(M130&gt;V811設定!$E$3,"×値動きが荒い",IF(N130&gt;V811設定!$E$4,"×レンジが広い",IF(O130&gt;V811設定!$E$5,"×窓を開けて上昇",IF(売分析!$Z130&gt;V811設定!$E$6,"×前日に急騰",IF(売分析!$Z130&lt;V811設定!$E$7,"×前日に急落",IF(P130&lt;V811設定!$E$8,"×高値から離れすぎ",IF(Q130&gt;V811設定!$E$9,"×当日の値幅が大きい","×"))))))))))</f>
      </c>
    </row>
    <row r="131" spans="1:20">
      <c r="A131">
        <f>IF(分析!$C131="","",分析!$C131)</f>
      </c>
      <c r="B131">
        <f>IF(分析!$C131="","",分析!$D131)</f>
      </c>
      <c r="C131">
        <f>IFERROR((SUM(OFFSET(高値!$E$6,IFERROR(MATCH(分析!$C131,銘柄管理!$B$6:$B$305,0),MATCH(TEXT(分析!$C131,"0"),銘柄管理!$B$6:$B$305,0))-1,0,1,14))-SUM(OFFSET(安値!$E$6,IFERROR(MATCH(分析!$C131,銘柄管理!$B$6:$B$305,0),MATCH(TEXT(分析!$C131,"0"),銘柄管理!$B$6:$B$305,0))-1,0,1,14)))/SUM(OFFSET(終値!$E$6,IFERROR(MATCH(分析!$C131,銘柄管理!$B$6:$B$305,0),MATCH(TEXT(分析!$C131,"0"),銘柄管理!$B$6:$B$305,0))-1,0,1,14))*100,"")</f>
      </c>
      <c r="D131">
        <f>IFERROR((MAX(OFFSET(高値!$E$6,IFERROR(MATCH(分析!$C131,銘柄管理!$B$6:$B$305,0),MATCH(TEXT(分析!$C131,"0"),銘柄管理!$B$6:$B$305,0))-1,0,1,25))-MIN(OFFSET(安値!$E$6,IFERROR(MATCH(分析!$C131,銘柄管理!$B$6:$B$305,0),MATCH(TEXT(分析!$C131,"0"),銘柄管理!$B$6:$B$305,0))-1,0,1,25)))/分析!$E131*100,"")</f>
      </c>
      <c r="E131">
        <f>IFERROR((分析!$F131-分析!$G131)/分析!$G131*100,"")</f>
      </c>
      <c r="F131">
        <f>IFERROR((分析!$E131-MAX(OFFSET(高値!$E$6,IFERROR(MATCH(分析!$C131,銘柄管理!$B$6:$B$305,0),MATCH(TEXT(分析!$C131,"0"),銘柄管理!$B$6:$B$305,0))-1,0,1,25)))/MAX(OFFSET(高値!$E$6,IFERROR(MATCH(分析!$C131,銘柄管理!$B$6:$B$305,0),MATCH(TEXT(分析!$C131,"0"),銘柄管理!$B$6:$B$305,0))-1,0,1,25))*100,"")</f>
      </c>
      <c r="G131">
        <f>IFERROR((分析!$H131-分析!$I131)/分析!$F131*100,"")</f>
      </c>
      <c r="H131">
        <f>IFERROR(5-COUNTIF($C$3:$C$206,"&lt;"&amp;$C131)/COUNT($C$3:$C$206)-COUNTIF($G$3:$G$206,"&lt;"&amp;$G131)/COUNT($G$3:$G$206)-COUNTIF($D$3:$D$206,"&lt;"&amp;$D131)/COUNT($D$3:$D$206)-COUNTIF(分析!$Z$3:$Z$206,"&lt;"&amp;分析!$Z131)/COUNT(分析!$Z$3:$Z$206)-COUNTIF($E$3:$E$206,"&lt;"&amp;$E131)/COUNT($E$3:$E$206),"")</f>
      </c>
      <c r="I131">
        <f>IF(OR(A131="",A131="TOPX",C131="",H131=""),0,IF(AND(V811設定!$E$11=1,C131&lt;=V811設定!$E$3,D131&lt;=V811設定!$E$4,E131&lt;=V811設定!$E$5,分析!$Z131&lt;=V811設定!$E$6,分析!$Z131&gt;=V811設定!$E$7,F131&gt;=V811設定!$E$8,G131&lt;=V811設定!$E$9),1,0))</f>
      </c>
      <c r="J131">
        <f>IF(A131="","",IF(I131=1,"○ゲート通過",IF(V811設定!$E$11&lt;&gt;1,"― 停止中",IF(C131&gt;V811設定!$E$3,"×値動きが荒い",IF(D131&gt;V811設定!$E$4,"×レンジが広い",IF(E131&gt;V811設定!$E$5,"×窓を開けて上昇",IF(分析!$Z131&gt;V811設定!$E$6,"×前日に急騰",IF(分析!$Z131&lt;V811設定!$E$7,"×前日に急落",IF(F131&lt;V811設定!$E$8,"×高値から離れすぎ",IF(G131&gt;V811設定!$E$9,"×当日の値幅が大きい","×"))))))))))</f>
      </c>
      <c r="K131">
        <f>IF(売分析!$C131="","",売分析!$C131)</f>
      </c>
      <c r="L131">
        <f>IF(売分析!$C131="","",売分析!$D131)</f>
      </c>
      <c r="M131">
        <f>IFERROR((SUM(OFFSET(高値!$E$6,IFERROR(MATCH(売分析!$C131,銘柄管理!$B$6:$B$305,0),MATCH(TEXT(売分析!$C131,"0"),銘柄管理!$B$6:$B$305,0))-1,0,1,14))-SUM(OFFSET(安値!$E$6,IFERROR(MATCH(売分析!$C131,銘柄管理!$B$6:$B$305,0),MATCH(TEXT(売分析!$C131,"0"),銘柄管理!$B$6:$B$305,0))-1,0,1,14)))/SUM(OFFSET(終値!$E$6,IFERROR(MATCH(売分析!$C131,銘柄管理!$B$6:$B$305,0),MATCH(TEXT(売分析!$C131,"0"),銘柄管理!$B$6:$B$305,0))-1,0,1,14))*100,"")</f>
      </c>
      <c r="N131">
        <f>IFERROR((MAX(OFFSET(高値!$E$6,IFERROR(MATCH(売分析!$C131,銘柄管理!$B$6:$B$305,0),MATCH(TEXT(売分析!$C131,"0"),銘柄管理!$B$6:$B$305,0))-1,0,1,25))-MIN(OFFSET(安値!$E$6,IFERROR(MATCH(売分析!$C131,銘柄管理!$B$6:$B$305,0),MATCH(TEXT(売分析!$C131,"0"),銘柄管理!$B$6:$B$305,0))-1,0,1,25)))/売分析!$E131*100,"")</f>
      </c>
      <c r="O131">
        <f>IFERROR((売分析!$F131-売分析!$G131)/売分析!$G131*100,"")</f>
      </c>
      <c r="P131">
        <f>IFERROR((売分析!$E131-MAX(OFFSET(高値!$E$6,IFERROR(MATCH(売分析!$C131,銘柄管理!$B$6:$B$305,0),MATCH(TEXT(売分析!$C131,"0"),銘柄管理!$B$6:$B$305,0))-1,0,1,25)))/MAX(OFFSET(高値!$E$6,IFERROR(MATCH(売分析!$C131,銘柄管理!$B$6:$B$305,0),MATCH(TEXT(売分析!$C131,"0"),銘柄管理!$B$6:$B$305,0))-1,0,1,25))*100,"")</f>
      </c>
      <c r="Q131">
        <f>IFERROR((売分析!$H131-売分析!$I131)/売分析!$F131*100,"")</f>
      </c>
      <c r="R131">
        <f>IFERROR(5-COUNTIF($M$3:$M$206,"&lt;"&amp;$M131)/COUNT($M$3:$M$206)-COUNTIF($Q$3:$Q$206,"&lt;"&amp;$Q131)/COUNT($Q$3:$Q$206)-COUNTIF($N$3:$N$206,"&lt;"&amp;$N131)/COUNT($N$3:$N$206)-COUNTIF(売分析!$Z$3:$Z$206,"&lt;"&amp;売分析!$Z131)/COUNT(売分析!$Z$3:$Z$206)-COUNTIF($O$3:$O$206,"&lt;"&amp;$O131)/COUNT($O$3:$O$206),"")</f>
      </c>
      <c r="S131">
        <f>IF(OR(K131="",K131="TOPX",M131="",R131=""),0,IF(AND(V811設定!$E$12=1,M131&lt;=V811設定!$E$3,N131&lt;=V811設定!$E$4,O131&lt;=V811設定!$E$5,売分析!$Z131&lt;=V811設定!$E$6,売分析!$Z131&gt;=V811設定!$E$7,P131&gt;=V811設定!$E$8,Q131&lt;=V811設定!$E$9),1,0))</f>
      </c>
      <c r="T131">
        <f>IF(K131="","",IF(S131=1,"○ゲート通過",IF(V811設定!$E$12&lt;&gt;1,"― 停止中",IF(M131&gt;V811設定!$E$3,"×値動きが荒い",IF(N131&gt;V811設定!$E$4,"×レンジが広い",IF(O131&gt;V811設定!$E$5,"×窓を開けて上昇",IF(売分析!$Z131&gt;V811設定!$E$6,"×前日に急騰",IF(売分析!$Z131&lt;V811設定!$E$7,"×前日に急落",IF(P131&lt;V811設定!$E$8,"×高値から離れすぎ",IF(Q131&gt;V811設定!$E$9,"×当日の値幅が大きい","×"))))))))))</f>
      </c>
    </row>
    <row r="132" spans="1:20">
      <c r="A132">
        <f>IF(分析!$C132="","",分析!$C132)</f>
      </c>
      <c r="B132">
        <f>IF(分析!$C132="","",分析!$D132)</f>
      </c>
      <c r="C132">
        <f>IFERROR((SUM(OFFSET(高値!$E$6,IFERROR(MATCH(分析!$C132,銘柄管理!$B$6:$B$305,0),MATCH(TEXT(分析!$C132,"0"),銘柄管理!$B$6:$B$305,0))-1,0,1,14))-SUM(OFFSET(安値!$E$6,IFERROR(MATCH(分析!$C132,銘柄管理!$B$6:$B$305,0),MATCH(TEXT(分析!$C132,"0"),銘柄管理!$B$6:$B$305,0))-1,0,1,14)))/SUM(OFFSET(終値!$E$6,IFERROR(MATCH(分析!$C132,銘柄管理!$B$6:$B$305,0),MATCH(TEXT(分析!$C132,"0"),銘柄管理!$B$6:$B$305,0))-1,0,1,14))*100,"")</f>
      </c>
      <c r="D132">
        <f>IFERROR((MAX(OFFSET(高値!$E$6,IFERROR(MATCH(分析!$C132,銘柄管理!$B$6:$B$305,0),MATCH(TEXT(分析!$C132,"0"),銘柄管理!$B$6:$B$305,0))-1,0,1,25))-MIN(OFFSET(安値!$E$6,IFERROR(MATCH(分析!$C132,銘柄管理!$B$6:$B$305,0),MATCH(TEXT(分析!$C132,"0"),銘柄管理!$B$6:$B$305,0))-1,0,1,25)))/分析!$E132*100,"")</f>
      </c>
      <c r="E132">
        <f>IFERROR((分析!$F132-分析!$G132)/分析!$G132*100,"")</f>
      </c>
      <c r="F132">
        <f>IFERROR((分析!$E132-MAX(OFFSET(高値!$E$6,IFERROR(MATCH(分析!$C132,銘柄管理!$B$6:$B$305,0),MATCH(TEXT(分析!$C132,"0"),銘柄管理!$B$6:$B$305,0))-1,0,1,25)))/MAX(OFFSET(高値!$E$6,IFERROR(MATCH(分析!$C132,銘柄管理!$B$6:$B$305,0),MATCH(TEXT(分析!$C132,"0"),銘柄管理!$B$6:$B$305,0))-1,0,1,25))*100,"")</f>
      </c>
      <c r="G132">
        <f>IFERROR((分析!$H132-分析!$I132)/分析!$F132*100,"")</f>
      </c>
      <c r="H132">
        <f>IFERROR(5-COUNTIF($C$3:$C$206,"&lt;"&amp;$C132)/COUNT($C$3:$C$206)-COUNTIF($G$3:$G$206,"&lt;"&amp;$G132)/COUNT($G$3:$G$206)-COUNTIF($D$3:$D$206,"&lt;"&amp;$D132)/COUNT($D$3:$D$206)-COUNTIF(分析!$Z$3:$Z$206,"&lt;"&amp;分析!$Z132)/COUNT(分析!$Z$3:$Z$206)-COUNTIF($E$3:$E$206,"&lt;"&amp;$E132)/COUNT($E$3:$E$206),"")</f>
      </c>
      <c r="I132">
        <f>IF(OR(A132="",A132="TOPX",C132="",H132=""),0,IF(AND(V811設定!$E$11=1,C132&lt;=V811設定!$E$3,D132&lt;=V811設定!$E$4,E132&lt;=V811設定!$E$5,分析!$Z132&lt;=V811設定!$E$6,分析!$Z132&gt;=V811設定!$E$7,F132&gt;=V811設定!$E$8,G132&lt;=V811設定!$E$9),1,0))</f>
      </c>
      <c r="J132">
        <f>IF(A132="","",IF(I132=1,"○ゲート通過",IF(V811設定!$E$11&lt;&gt;1,"― 停止中",IF(C132&gt;V811設定!$E$3,"×値動きが荒い",IF(D132&gt;V811設定!$E$4,"×レンジが広い",IF(E132&gt;V811設定!$E$5,"×窓を開けて上昇",IF(分析!$Z132&gt;V811設定!$E$6,"×前日に急騰",IF(分析!$Z132&lt;V811設定!$E$7,"×前日に急落",IF(F132&lt;V811設定!$E$8,"×高値から離れすぎ",IF(G132&gt;V811設定!$E$9,"×当日の値幅が大きい","×"))))))))))</f>
      </c>
      <c r="K132">
        <f>IF(売分析!$C132="","",売分析!$C132)</f>
      </c>
      <c r="L132">
        <f>IF(売分析!$C132="","",売分析!$D132)</f>
      </c>
      <c r="M132">
        <f>IFERROR((SUM(OFFSET(高値!$E$6,IFERROR(MATCH(売分析!$C132,銘柄管理!$B$6:$B$305,0),MATCH(TEXT(売分析!$C132,"0"),銘柄管理!$B$6:$B$305,0))-1,0,1,14))-SUM(OFFSET(安値!$E$6,IFERROR(MATCH(売分析!$C132,銘柄管理!$B$6:$B$305,0),MATCH(TEXT(売分析!$C132,"0"),銘柄管理!$B$6:$B$305,0))-1,0,1,14)))/SUM(OFFSET(終値!$E$6,IFERROR(MATCH(売分析!$C132,銘柄管理!$B$6:$B$305,0),MATCH(TEXT(売分析!$C132,"0"),銘柄管理!$B$6:$B$305,0))-1,0,1,14))*100,"")</f>
      </c>
      <c r="N132">
        <f>IFERROR((MAX(OFFSET(高値!$E$6,IFERROR(MATCH(売分析!$C132,銘柄管理!$B$6:$B$305,0),MATCH(TEXT(売分析!$C132,"0"),銘柄管理!$B$6:$B$305,0))-1,0,1,25))-MIN(OFFSET(安値!$E$6,IFERROR(MATCH(売分析!$C132,銘柄管理!$B$6:$B$305,0),MATCH(TEXT(売分析!$C132,"0"),銘柄管理!$B$6:$B$305,0))-1,0,1,25)))/売分析!$E132*100,"")</f>
      </c>
      <c r="O132">
        <f>IFERROR((売分析!$F132-売分析!$G132)/売分析!$G132*100,"")</f>
      </c>
      <c r="P132">
        <f>IFERROR((売分析!$E132-MAX(OFFSET(高値!$E$6,IFERROR(MATCH(売分析!$C132,銘柄管理!$B$6:$B$305,0),MATCH(TEXT(売分析!$C132,"0"),銘柄管理!$B$6:$B$305,0))-1,0,1,25)))/MAX(OFFSET(高値!$E$6,IFERROR(MATCH(売分析!$C132,銘柄管理!$B$6:$B$305,0),MATCH(TEXT(売分析!$C132,"0"),銘柄管理!$B$6:$B$305,0))-1,0,1,25))*100,"")</f>
      </c>
      <c r="Q132">
        <f>IFERROR((売分析!$H132-売分析!$I132)/売分析!$F132*100,"")</f>
      </c>
      <c r="R132">
        <f>IFERROR(5-COUNTIF($M$3:$M$206,"&lt;"&amp;$M132)/COUNT($M$3:$M$206)-COUNTIF($Q$3:$Q$206,"&lt;"&amp;$Q132)/COUNT($Q$3:$Q$206)-COUNTIF($N$3:$N$206,"&lt;"&amp;$N132)/COUNT($N$3:$N$206)-COUNTIF(売分析!$Z$3:$Z$206,"&lt;"&amp;売分析!$Z132)/COUNT(売分析!$Z$3:$Z$206)-COUNTIF($O$3:$O$206,"&lt;"&amp;$O132)/COUNT($O$3:$O$206),"")</f>
      </c>
      <c r="S132">
        <f>IF(OR(K132="",K132="TOPX",M132="",R132=""),0,IF(AND(V811設定!$E$12=1,M132&lt;=V811設定!$E$3,N132&lt;=V811設定!$E$4,O132&lt;=V811設定!$E$5,売分析!$Z132&lt;=V811設定!$E$6,売分析!$Z132&gt;=V811設定!$E$7,P132&gt;=V811設定!$E$8,Q132&lt;=V811設定!$E$9),1,0))</f>
      </c>
      <c r="T132">
        <f>IF(K132="","",IF(S132=1,"○ゲート通過",IF(V811設定!$E$12&lt;&gt;1,"― 停止中",IF(M132&gt;V811設定!$E$3,"×値動きが荒い",IF(N132&gt;V811設定!$E$4,"×レンジが広い",IF(O132&gt;V811設定!$E$5,"×窓を開けて上昇",IF(売分析!$Z132&gt;V811設定!$E$6,"×前日に急騰",IF(売分析!$Z132&lt;V811設定!$E$7,"×前日に急落",IF(P132&lt;V811設定!$E$8,"×高値から離れすぎ",IF(Q132&gt;V811設定!$E$9,"×当日の値幅が大きい","×"))))))))))</f>
      </c>
    </row>
    <row r="133" spans="1:20">
      <c r="A133">
        <f>IF(分析!$C133="","",分析!$C133)</f>
      </c>
      <c r="B133">
        <f>IF(分析!$C133="","",分析!$D133)</f>
      </c>
      <c r="C133">
        <f>IFERROR((SUM(OFFSET(高値!$E$6,IFERROR(MATCH(分析!$C133,銘柄管理!$B$6:$B$305,0),MATCH(TEXT(分析!$C133,"0"),銘柄管理!$B$6:$B$305,0))-1,0,1,14))-SUM(OFFSET(安値!$E$6,IFERROR(MATCH(分析!$C133,銘柄管理!$B$6:$B$305,0),MATCH(TEXT(分析!$C133,"0"),銘柄管理!$B$6:$B$305,0))-1,0,1,14)))/SUM(OFFSET(終値!$E$6,IFERROR(MATCH(分析!$C133,銘柄管理!$B$6:$B$305,0),MATCH(TEXT(分析!$C133,"0"),銘柄管理!$B$6:$B$305,0))-1,0,1,14))*100,"")</f>
      </c>
      <c r="D133">
        <f>IFERROR((MAX(OFFSET(高値!$E$6,IFERROR(MATCH(分析!$C133,銘柄管理!$B$6:$B$305,0),MATCH(TEXT(分析!$C133,"0"),銘柄管理!$B$6:$B$305,0))-1,0,1,25))-MIN(OFFSET(安値!$E$6,IFERROR(MATCH(分析!$C133,銘柄管理!$B$6:$B$305,0),MATCH(TEXT(分析!$C133,"0"),銘柄管理!$B$6:$B$305,0))-1,0,1,25)))/分析!$E133*100,"")</f>
      </c>
      <c r="E133">
        <f>IFERROR((分析!$F133-分析!$G133)/分析!$G133*100,"")</f>
      </c>
      <c r="F133">
        <f>IFERROR((分析!$E133-MAX(OFFSET(高値!$E$6,IFERROR(MATCH(分析!$C133,銘柄管理!$B$6:$B$305,0),MATCH(TEXT(分析!$C133,"0"),銘柄管理!$B$6:$B$305,0))-1,0,1,25)))/MAX(OFFSET(高値!$E$6,IFERROR(MATCH(分析!$C133,銘柄管理!$B$6:$B$305,0),MATCH(TEXT(分析!$C133,"0"),銘柄管理!$B$6:$B$305,0))-1,0,1,25))*100,"")</f>
      </c>
      <c r="G133">
        <f>IFERROR((分析!$H133-分析!$I133)/分析!$F133*100,"")</f>
      </c>
      <c r="H133">
        <f>IFERROR(5-COUNTIF($C$3:$C$206,"&lt;"&amp;$C133)/COUNT($C$3:$C$206)-COUNTIF($G$3:$G$206,"&lt;"&amp;$G133)/COUNT($G$3:$G$206)-COUNTIF($D$3:$D$206,"&lt;"&amp;$D133)/COUNT($D$3:$D$206)-COUNTIF(分析!$Z$3:$Z$206,"&lt;"&amp;分析!$Z133)/COUNT(分析!$Z$3:$Z$206)-COUNTIF($E$3:$E$206,"&lt;"&amp;$E133)/COUNT($E$3:$E$206),"")</f>
      </c>
      <c r="I133">
        <f>IF(OR(A133="",A133="TOPX",C133="",H133=""),0,IF(AND(V811設定!$E$11=1,C133&lt;=V811設定!$E$3,D133&lt;=V811設定!$E$4,E133&lt;=V811設定!$E$5,分析!$Z133&lt;=V811設定!$E$6,分析!$Z133&gt;=V811設定!$E$7,F133&gt;=V811設定!$E$8,G133&lt;=V811設定!$E$9),1,0))</f>
      </c>
      <c r="J133">
        <f>IF(A133="","",IF(I133=1,"○ゲート通過",IF(V811設定!$E$11&lt;&gt;1,"― 停止中",IF(C133&gt;V811設定!$E$3,"×値動きが荒い",IF(D133&gt;V811設定!$E$4,"×レンジが広い",IF(E133&gt;V811設定!$E$5,"×窓を開けて上昇",IF(分析!$Z133&gt;V811設定!$E$6,"×前日に急騰",IF(分析!$Z133&lt;V811設定!$E$7,"×前日に急落",IF(F133&lt;V811設定!$E$8,"×高値から離れすぎ",IF(G133&gt;V811設定!$E$9,"×当日の値幅が大きい","×"))))))))))</f>
      </c>
      <c r="K133">
        <f>IF(売分析!$C133="","",売分析!$C133)</f>
      </c>
      <c r="L133">
        <f>IF(売分析!$C133="","",売分析!$D133)</f>
      </c>
      <c r="M133">
        <f>IFERROR((SUM(OFFSET(高値!$E$6,IFERROR(MATCH(売分析!$C133,銘柄管理!$B$6:$B$305,0),MATCH(TEXT(売分析!$C133,"0"),銘柄管理!$B$6:$B$305,0))-1,0,1,14))-SUM(OFFSET(安値!$E$6,IFERROR(MATCH(売分析!$C133,銘柄管理!$B$6:$B$305,0),MATCH(TEXT(売分析!$C133,"0"),銘柄管理!$B$6:$B$305,0))-1,0,1,14)))/SUM(OFFSET(終値!$E$6,IFERROR(MATCH(売分析!$C133,銘柄管理!$B$6:$B$305,0),MATCH(TEXT(売分析!$C133,"0"),銘柄管理!$B$6:$B$305,0))-1,0,1,14))*100,"")</f>
      </c>
      <c r="N133">
        <f>IFERROR((MAX(OFFSET(高値!$E$6,IFERROR(MATCH(売分析!$C133,銘柄管理!$B$6:$B$305,0),MATCH(TEXT(売分析!$C133,"0"),銘柄管理!$B$6:$B$305,0))-1,0,1,25))-MIN(OFFSET(安値!$E$6,IFERROR(MATCH(売分析!$C133,銘柄管理!$B$6:$B$305,0),MATCH(TEXT(売分析!$C133,"0"),銘柄管理!$B$6:$B$305,0))-1,0,1,25)))/売分析!$E133*100,"")</f>
      </c>
      <c r="O133">
        <f>IFERROR((売分析!$F133-売分析!$G133)/売分析!$G133*100,"")</f>
      </c>
      <c r="P133">
        <f>IFERROR((売分析!$E133-MAX(OFFSET(高値!$E$6,IFERROR(MATCH(売分析!$C133,銘柄管理!$B$6:$B$305,0),MATCH(TEXT(売分析!$C133,"0"),銘柄管理!$B$6:$B$305,0))-1,0,1,25)))/MAX(OFFSET(高値!$E$6,IFERROR(MATCH(売分析!$C133,銘柄管理!$B$6:$B$305,0),MATCH(TEXT(売分析!$C133,"0"),銘柄管理!$B$6:$B$305,0))-1,0,1,25))*100,"")</f>
      </c>
      <c r="Q133">
        <f>IFERROR((売分析!$H133-売分析!$I133)/売分析!$F133*100,"")</f>
      </c>
      <c r="R133">
        <f>IFERROR(5-COUNTIF($M$3:$M$206,"&lt;"&amp;$M133)/COUNT($M$3:$M$206)-COUNTIF($Q$3:$Q$206,"&lt;"&amp;$Q133)/COUNT($Q$3:$Q$206)-COUNTIF($N$3:$N$206,"&lt;"&amp;$N133)/COUNT($N$3:$N$206)-COUNTIF(売分析!$Z$3:$Z$206,"&lt;"&amp;売分析!$Z133)/COUNT(売分析!$Z$3:$Z$206)-COUNTIF($O$3:$O$206,"&lt;"&amp;$O133)/COUNT($O$3:$O$206),"")</f>
      </c>
      <c r="S133">
        <f>IF(OR(K133="",K133="TOPX",M133="",R133=""),0,IF(AND(V811設定!$E$12=1,M133&lt;=V811設定!$E$3,N133&lt;=V811設定!$E$4,O133&lt;=V811設定!$E$5,売分析!$Z133&lt;=V811設定!$E$6,売分析!$Z133&gt;=V811設定!$E$7,P133&gt;=V811設定!$E$8,Q133&lt;=V811設定!$E$9),1,0))</f>
      </c>
      <c r="T133">
        <f>IF(K133="","",IF(S133=1,"○ゲート通過",IF(V811設定!$E$12&lt;&gt;1,"― 停止中",IF(M133&gt;V811設定!$E$3,"×値動きが荒い",IF(N133&gt;V811設定!$E$4,"×レンジが広い",IF(O133&gt;V811設定!$E$5,"×窓を開けて上昇",IF(売分析!$Z133&gt;V811設定!$E$6,"×前日に急騰",IF(売分析!$Z133&lt;V811設定!$E$7,"×前日に急落",IF(P133&lt;V811設定!$E$8,"×高値から離れすぎ",IF(Q133&gt;V811設定!$E$9,"×当日の値幅が大きい","×"))))))))))</f>
      </c>
    </row>
    <row r="134" spans="1:20">
      <c r="A134">
        <f>IF(分析!$C134="","",分析!$C134)</f>
      </c>
      <c r="B134">
        <f>IF(分析!$C134="","",分析!$D134)</f>
      </c>
      <c r="C134">
        <f>IFERROR((SUM(OFFSET(高値!$E$6,IFERROR(MATCH(分析!$C134,銘柄管理!$B$6:$B$305,0),MATCH(TEXT(分析!$C134,"0"),銘柄管理!$B$6:$B$305,0))-1,0,1,14))-SUM(OFFSET(安値!$E$6,IFERROR(MATCH(分析!$C134,銘柄管理!$B$6:$B$305,0),MATCH(TEXT(分析!$C134,"0"),銘柄管理!$B$6:$B$305,0))-1,0,1,14)))/SUM(OFFSET(終値!$E$6,IFERROR(MATCH(分析!$C134,銘柄管理!$B$6:$B$305,0),MATCH(TEXT(分析!$C134,"0"),銘柄管理!$B$6:$B$305,0))-1,0,1,14))*100,"")</f>
      </c>
      <c r="D134">
        <f>IFERROR((MAX(OFFSET(高値!$E$6,IFERROR(MATCH(分析!$C134,銘柄管理!$B$6:$B$305,0),MATCH(TEXT(分析!$C134,"0"),銘柄管理!$B$6:$B$305,0))-1,0,1,25))-MIN(OFFSET(安値!$E$6,IFERROR(MATCH(分析!$C134,銘柄管理!$B$6:$B$305,0),MATCH(TEXT(分析!$C134,"0"),銘柄管理!$B$6:$B$305,0))-1,0,1,25)))/分析!$E134*100,"")</f>
      </c>
      <c r="E134">
        <f>IFERROR((分析!$F134-分析!$G134)/分析!$G134*100,"")</f>
      </c>
      <c r="F134">
        <f>IFERROR((分析!$E134-MAX(OFFSET(高値!$E$6,IFERROR(MATCH(分析!$C134,銘柄管理!$B$6:$B$305,0),MATCH(TEXT(分析!$C134,"0"),銘柄管理!$B$6:$B$305,0))-1,0,1,25)))/MAX(OFFSET(高値!$E$6,IFERROR(MATCH(分析!$C134,銘柄管理!$B$6:$B$305,0),MATCH(TEXT(分析!$C134,"0"),銘柄管理!$B$6:$B$305,0))-1,0,1,25))*100,"")</f>
      </c>
      <c r="G134">
        <f>IFERROR((分析!$H134-分析!$I134)/分析!$F134*100,"")</f>
      </c>
      <c r="H134">
        <f>IFERROR(5-COUNTIF($C$3:$C$206,"&lt;"&amp;$C134)/COUNT($C$3:$C$206)-COUNTIF($G$3:$G$206,"&lt;"&amp;$G134)/COUNT($G$3:$G$206)-COUNTIF($D$3:$D$206,"&lt;"&amp;$D134)/COUNT($D$3:$D$206)-COUNTIF(分析!$Z$3:$Z$206,"&lt;"&amp;分析!$Z134)/COUNT(分析!$Z$3:$Z$206)-COUNTIF($E$3:$E$206,"&lt;"&amp;$E134)/COUNT($E$3:$E$206),"")</f>
      </c>
      <c r="I134">
        <f>IF(OR(A134="",A134="TOPX",C134="",H134=""),0,IF(AND(V811設定!$E$11=1,C134&lt;=V811設定!$E$3,D134&lt;=V811設定!$E$4,E134&lt;=V811設定!$E$5,分析!$Z134&lt;=V811設定!$E$6,分析!$Z134&gt;=V811設定!$E$7,F134&gt;=V811設定!$E$8,G134&lt;=V811設定!$E$9),1,0))</f>
      </c>
      <c r="J134">
        <f>IF(A134="","",IF(I134=1,"○ゲート通過",IF(V811設定!$E$11&lt;&gt;1,"― 停止中",IF(C134&gt;V811設定!$E$3,"×値動きが荒い",IF(D134&gt;V811設定!$E$4,"×レンジが広い",IF(E134&gt;V811設定!$E$5,"×窓を開けて上昇",IF(分析!$Z134&gt;V811設定!$E$6,"×前日に急騰",IF(分析!$Z134&lt;V811設定!$E$7,"×前日に急落",IF(F134&lt;V811設定!$E$8,"×高値から離れすぎ",IF(G134&gt;V811設定!$E$9,"×当日の値幅が大きい","×"))))))))))</f>
      </c>
      <c r="K134">
        <f>IF(売分析!$C134="","",売分析!$C134)</f>
      </c>
      <c r="L134">
        <f>IF(売分析!$C134="","",売分析!$D134)</f>
      </c>
      <c r="M134">
        <f>IFERROR((SUM(OFFSET(高値!$E$6,IFERROR(MATCH(売分析!$C134,銘柄管理!$B$6:$B$305,0),MATCH(TEXT(売分析!$C134,"0"),銘柄管理!$B$6:$B$305,0))-1,0,1,14))-SUM(OFFSET(安値!$E$6,IFERROR(MATCH(売分析!$C134,銘柄管理!$B$6:$B$305,0),MATCH(TEXT(売分析!$C134,"0"),銘柄管理!$B$6:$B$305,0))-1,0,1,14)))/SUM(OFFSET(終値!$E$6,IFERROR(MATCH(売分析!$C134,銘柄管理!$B$6:$B$305,0),MATCH(TEXT(売分析!$C134,"0"),銘柄管理!$B$6:$B$305,0))-1,0,1,14))*100,"")</f>
      </c>
      <c r="N134">
        <f>IFERROR((MAX(OFFSET(高値!$E$6,IFERROR(MATCH(売分析!$C134,銘柄管理!$B$6:$B$305,0),MATCH(TEXT(売分析!$C134,"0"),銘柄管理!$B$6:$B$305,0))-1,0,1,25))-MIN(OFFSET(安値!$E$6,IFERROR(MATCH(売分析!$C134,銘柄管理!$B$6:$B$305,0),MATCH(TEXT(売分析!$C134,"0"),銘柄管理!$B$6:$B$305,0))-1,0,1,25)))/売分析!$E134*100,"")</f>
      </c>
      <c r="O134">
        <f>IFERROR((売分析!$F134-売分析!$G134)/売分析!$G134*100,"")</f>
      </c>
      <c r="P134">
        <f>IFERROR((売分析!$E134-MAX(OFFSET(高値!$E$6,IFERROR(MATCH(売分析!$C134,銘柄管理!$B$6:$B$305,0),MATCH(TEXT(売分析!$C134,"0"),銘柄管理!$B$6:$B$305,0))-1,0,1,25)))/MAX(OFFSET(高値!$E$6,IFERROR(MATCH(売分析!$C134,銘柄管理!$B$6:$B$305,0),MATCH(TEXT(売分析!$C134,"0"),銘柄管理!$B$6:$B$305,0))-1,0,1,25))*100,"")</f>
      </c>
      <c r="Q134">
        <f>IFERROR((売分析!$H134-売分析!$I134)/売分析!$F134*100,"")</f>
      </c>
      <c r="R134">
        <f>IFERROR(5-COUNTIF($M$3:$M$206,"&lt;"&amp;$M134)/COUNT($M$3:$M$206)-COUNTIF($Q$3:$Q$206,"&lt;"&amp;$Q134)/COUNT($Q$3:$Q$206)-COUNTIF($N$3:$N$206,"&lt;"&amp;$N134)/COUNT($N$3:$N$206)-COUNTIF(売分析!$Z$3:$Z$206,"&lt;"&amp;売分析!$Z134)/COUNT(売分析!$Z$3:$Z$206)-COUNTIF($O$3:$O$206,"&lt;"&amp;$O134)/COUNT($O$3:$O$206),"")</f>
      </c>
      <c r="S134">
        <f>IF(OR(K134="",K134="TOPX",M134="",R134=""),0,IF(AND(V811設定!$E$12=1,M134&lt;=V811設定!$E$3,N134&lt;=V811設定!$E$4,O134&lt;=V811設定!$E$5,売分析!$Z134&lt;=V811設定!$E$6,売分析!$Z134&gt;=V811設定!$E$7,P134&gt;=V811設定!$E$8,Q134&lt;=V811設定!$E$9),1,0))</f>
      </c>
      <c r="T134">
        <f>IF(K134="","",IF(S134=1,"○ゲート通過",IF(V811設定!$E$12&lt;&gt;1,"― 停止中",IF(M134&gt;V811設定!$E$3,"×値動きが荒い",IF(N134&gt;V811設定!$E$4,"×レンジが広い",IF(O134&gt;V811設定!$E$5,"×窓を開けて上昇",IF(売分析!$Z134&gt;V811設定!$E$6,"×前日に急騰",IF(売分析!$Z134&lt;V811設定!$E$7,"×前日に急落",IF(P134&lt;V811設定!$E$8,"×高値から離れすぎ",IF(Q134&gt;V811設定!$E$9,"×当日の値幅が大きい","×"))))))))))</f>
      </c>
    </row>
    <row r="135" spans="1:20">
      <c r="A135">
        <f>IF(分析!$C135="","",分析!$C135)</f>
      </c>
      <c r="B135">
        <f>IF(分析!$C135="","",分析!$D135)</f>
      </c>
      <c r="C135">
        <f>IFERROR((SUM(OFFSET(高値!$E$6,IFERROR(MATCH(分析!$C135,銘柄管理!$B$6:$B$305,0),MATCH(TEXT(分析!$C135,"0"),銘柄管理!$B$6:$B$305,0))-1,0,1,14))-SUM(OFFSET(安値!$E$6,IFERROR(MATCH(分析!$C135,銘柄管理!$B$6:$B$305,0),MATCH(TEXT(分析!$C135,"0"),銘柄管理!$B$6:$B$305,0))-1,0,1,14)))/SUM(OFFSET(終値!$E$6,IFERROR(MATCH(分析!$C135,銘柄管理!$B$6:$B$305,0),MATCH(TEXT(分析!$C135,"0"),銘柄管理!$B$6:$B$305,0))-1,0,1,14))*100,"")</f>
      </c>
      <c r="D135">
        <f>IFERROR((MAX(OFFSET(高値!$E$6,IFERROR(MATCH(分析!$C135,銘柄管理!$B$6:$B$305,0),MATCH(TEXT(分析!$C135,"0"),銘柄管理!$B$6:$B$305,0))-1,0,1,25))-MIN(OFFSET(安値!$E$6,IFERROR(MATCH(分析!$C135,銘柄管理!$B$6:$B$305,0),MATCH(TEXT(分析!$C135,"0"),銘柄管理!$B$6:$B$305,0))-1,0,1,25)))/分析!$E135*100,"")</f>
      </c>
      <c r="E135">
        <f>IFERROR((分析!$F135-分析!$G135)/分析!$G135*100,"")</f>
      </c>
      <c r="F135">
        <f>IFERROR((分析!$E135-MAX(OFFSET(高値!$E$6,IFERROR(MATCH(分析!$C135,銘柄管理!$B$6:$B$305,0),MATCH(TEXT(分析!$C135,"0"),銘柄管理!$B$6:$B$305,0))-1,0,1,25)))/MAX(OFFSET(高値!$E$6,IFERROR(MATCH(分析!$C135,銘柄管理!$B$6:$B$305,0),MATCH(TEXT(分析!$C135,"0"),銘柄管理!$B$6:$B$305,0))-1,0,1,25))*100,"")</f>
      </c>
      <c r="G135">
        <f>IFERROR((分析!$H135-分析!$I135)/分析!$F135*100,"")</f>
      </c>
      <c r="H135">
        <f>IFERROR(5-COUNTIF($C$3:$C$206,"&lt;"&amp;$C135)/COUNT($C$3:$C$206)-COUNTIF($G$3:$G$206,"&lt;"&amp;$G135)/COUNT($G$3:$G$206)-COUNTIF($D$3:$D$206,"&lt;"&amp;$D135)/COUNT($D$3:$D$206)-COUNTIF(分析!$Z$3:$Z$206,"&lt;"&amp;分析!$Z135)/COUNT(分析!$Z$3:$Z$206)-COUNTIF($E$3:$E$206,"&lt;"&amp;$E135)/COUNT($E$3:$E$206),"")</f>
      </c>
      <c r="I135">
        <f>IF(OR(A135="",A135="TOPX",C135="",H135=""),0,IF(AND(V811設定!$E$11=1,C135&lt;=V811設定!$E$3,D135&lt;=V811設定!$E$4,E135&lt;=V811設定!$E$5,分析!$Z135&lt;=V811設定!$E$6,分析!$Z135&gt;=V811設定!$E$7,F135&gt;=V811設定!$E$8,G135&lt;=V811設定!$E$9),1,0))</f>
      </c>
      <c r="J135">
        <f>IF(A135="","",IF(I135=1,"○ゲート通過",IF(V811設定!$E$11&lt;&gt;1,"― 停止中",IF(C135&gt;V811設定!$E$3,"×値動きが荒い",IF(D135&gt;V811設定!$E$4,"×レンジが広い",IF(E135&gt;V811設定!$E$5,"×窓を開けて上昇",IF(分析!$Z135&gt;V811設定!$E$6,"×前日に急騰",IF(分析!$Z135&lt;V811設定!$E$7,"×前日に急落",IF(F135&lt;V811設定!$E$8,"×高値から離れすぎ",IF(G135&gt;V811設定!$E$9,"×当日の値幅が大きい","×"))))))))))</f>
      </c>
      <c r="K135">
        <f>IF(売分析!$C135="","",売分析!$C135)</f>
      </c>
      <c r="L135">
        <f>IF(売分析!$C135="","",売分析!$D135)</f>
      </c>
      <c r="M135">
        <f>IFERROR((SUM(OFFSET(高値!$E$6,IFERROR(MATCH(売分析!$C135,銘柄管理!$B$6:$B$305,0),MATCH(TEXT(売分析!$C135,"0"),銘柄管理!$B$6:$B$305,0))-1,0,1,14))-SUM(OFFSET(安値!$E$6,IFERROR(MATCH(売分析!$C135,銘柄管理!$B$6:$B$305,0),MATCH(TEXT(売分析!$C135,"0"),銘柄管理!$B$6:$B$305,0))-1,0,1,14)))/SUM(OFFSET(終値!$E$6,IFERROR(MATCH(売分析!$C135,銘柄管理!$B$6:$B$305,0),MATCH(TEXT(売分析!$C135,"0"),銘柄管理!$B$6:$B$305,0))-1,0,1,14))*100,"")</f>
      </c>
      <c r="N135">
        <f>IFERROR((MAX(OFFSET(高値!$E$6,IFERROR(MATCH(売分析!$C135,銘柄管理!$B$6:$B$305,0),MATCH(TEXT(売分析!$C135,"0"),銘柄管理!$B$6:$B$305,0))-1,0,1,25))-MIN(OFFSET(安値!$E$6,IFERROR(MATCH(売分析!$C135,銘柄管理!$B$6:$B$305,0),MATCH(TEXT(売分析!$C135,"0"),銘柄管理!$B$6:$B$305,0))-1,0,1,25)))/売分析!$E135*100,"")</f>
      </c>
      <c r="O135">
        <f>IFERROR((売分析!$F135-売分析!$G135)/売分析!$G135*100,"")</f>
      </c>
      <c r="P135">
        <f>IFERROR((売分析!$E135-MAX(OFFSET(高値!$E$6,IFERROR(MATCH(売分析!$C135,銘柄管理!$B$6:$B$305,0),MATCH(TEXT(売分析!$C135,"0"),銘柄管理!$B$6:$B$305,0))-1,0,1,25)))/MAX(OFFSET(高値!$E$6,IFERROR(MATCH(売分析!$C135,銘柄管理!$B$6:$B$305,0),MATCH(TEXT(売分析!$C135,"0"),銘柄管理!$B$6:$B$305,0))-1,0,1,25))*100,"")</f>
      </c>
      <c r="Q135">
        <f>IFERROR((売分析!$H135-売分析!$I135)/売分析!$F135*100,"")</f>
      </c>
      <c r="R135">
        <f>IFERROR(5-COUNTIF($M$3:$M$206,"&lt;"&amp;$M135)/COUNT($M$3:$M$206)-COUNTIF($Q$3:$Q$206,"&lt;"&amp;$Q135)/COUNT($Q$3:$Q$206)-COUNTIF($N$3:$N$206,"&lt;"&amp;$N135)/COUNT($N$3:$N$206)-COUNTIF(売分析!$Z$3:$Z$206,"&lt;"&amp;売分析!$Z135)/COUNT(売分析!$Z$3:$Z$206)-COUNTIF($O$3:$O$206,"&lt;"&amp;$O135)/COUNT($O$3:$O$206),"")</f>
      </c>
      <c r="S135">
        <f>IF(OR(K135="",K135="TOPX",M135="",R135=""),0,IF(AND(V811設定!$E$12=1,M135&lt;=V811設定!$E$3,N135&lt;=V811設定!$E$4,O135&lt;=V811設定!$E$5,売分析!$Z135&lt;=V811設定!$E$6,売分析!$Z135&gt;=V811設定!$E$7,P135&gt;=V811設定!$E$8,Q135&lt;=V811設定!$E$9),1,0))</f>
      </c>
      <c r="T135">
        <f>IF(K135="","",IF(S135=1,"○ゲート通過",IF(V811設定!$E$12&lt;&gt;1,"― 停止中",IF(M135&gt;V811設定!$E$3,"×値動きが荒い",IF(N135&gt;V811設定!$E$4,"×レンジが広い",IF(O135&gt;V811設定!$E$5,"×窓を開けて上昇",IF(売分析!$Z135&gt;V811設定!$E$6,"×前日に急騰",IF(売分析!$Z135&lt;V811設定!$E$7,"×前日に急落",IF(P135&lt;V811設定!$E$8,"×高値から離れすぎ",IF(Q135&gt;V811設定!$E$9,"×当日の値幅が大きい","×"))))))))))</f>
      </c>
    </row>
    <row r="136" spans="1:20">
      <c r="A136">
        <f>IF(分析!$C136="","",分析!$C136)</f>
      </c>
      <c r="B136">
        <f>IF(分析!$C136="","",分析!$D136)</f>
      </c>
      <c r="C136">
        <f>IFERROR((SUM(OFFSET(高値!$E$6,IFERROR(MATCH(分析!$C136,銘柄管理!$B$6:$B$305,0),MATCH(TEXT(分析!$C136,"0"),銘柄管理!$B$6:$B$305,0))-1,0,1,14))-SUM(OFFSET(安値!$E$6,IFERROR(MATCH(分析!$C136,銘柄管理!$B$6:$B$305,0),MATCH(TEXT(分析!$C136,"0"),銘柄管理!$B$6:$B$305,0))-1,0,1,14)))/SUM(OFFSET(終値!$E$6,IFERROR(MATCH(分析!$C136,銘柄管理!$B$6:$B$305,0),MATCH(TEXT(分析!$C136,"0"),銘柄管理!$B$6:$B$305,0))-1,0,1,14))*100,"")</f>
      </c>
      <c r="D136">
        <f>IFERROR((MAX(OFFSET(高値!$E$6,IFERROR(MATCH(分析!$C136,銘柄管理!$B$6:$B$305,0),MATCH(TEXT(分析!$C136,"0"),銘柄管理!$B$6:$B$305,0))-1,0,1,25))-MIN(OFFSET(安値!$E$6,IFERROR(MATCH(分析!$C136,銘柄管理!$B$6:$B$305,0),MATCH(TEXT(分析!$C136,"0"),銘柄管理!$B$6:$B$305,0))-1,0,1,25)))/分析!$E136*100,"")</f>
      </c>
      <c r="E136">
        <f>IFERROR((分析!$F136-分析!$G136)/分析!$G136*100,"")</f>
      </c>
      <c r="F136">
        <f>IFERROR((分析!$E136-MAX(OFFSET(高値!$E$6,IFERROR(MATCH(分析!$C136,銘柄管理!$B$6:$B$305,0),MATCH(TEXT(分析!$C136,"0"),銘柄管理!$B$6:$B$305,0))-1,0,1,25)))/MAX(OFFSET(高値!$E$6,IFERROR(MATCH(分析!$C136,銘柄管理!$B$6:$B$305,0),MATCH(TEXT(分析!$C136,"0"),銘柄管理!$B$6:$B$305,0))-1,0,1,25))*100,"")</f>
      </c>
      <c r="G136">
        <f>IFERROR((分析!$H136-分析!$I136)/分析!$F136*100,"")</f>
      </c>
      <c r="H136">
        <f>IFERROR(5-COUNTIF($C$3:$C$206,"&lt;"&amp;$C136)/COUNT($C$3:$C$206)-COUNTIF($G$3:$G$206,"&lt;"&amp;$G136)/COUNT($G$3:$G$206)-COUNTIF($D$3:$D$206,"&lt;"&amp;$D136)/COUNT($D$3:$D$206)-COUNTIF(分析!$Z$3:$Z$206,"&lt;"&amp;分析!$Z136)/COUNT(分析!$Z$3:$Z$206)-COUNTIF($E$3:$E$206,"&lt;"&amp;$E136)/COUNT($E$3:$E$206),"")</f>
      </c>
      <c r="I136">
        <f>IF(OR(A136="",A136="TOPX",C136="",H136=""),0,IF(AND(V811設定!$E$11=1,C136&lt;=V811設定!$E$3,D136&lt;=V811設定!$E$4,E136&lt;=V811設定!$E$5,分析!$Z136&lt;=V811設定!$E$6,分析!$Z136&gt;=V811設定!$E$7,F136&gt;=V811設定!$E$8,G136&lt;=V811設定!$E$9),1,0))</f>
      </c>
      <c r="J136">
        <f>IF(A136="","",IF(I136=1,"○ゲート通過",IF(V811設定!$E$11&lt;&gt;1,"― 停止中",IF(C136&gt;V811設定!$E$3,"×値動きが荒い",IF(D136&gt;V811設定!$E$4,"×レンジが広い",IF(E136&gt;V811設定!$E$5,"×窓を開けて上昇",IF(分析!$Z136&gt;V811設定!$E$6,"×前日に急騰",IF(分析!$Z136&lt;V811設定!$E$7,"×前日に急落",IF(F136&lt;V811設定!$E$8,"×高値から離れすぎ",IF(G136&gt;V811設定!$E$9,"×当日の値幅が大きい","×"))))))))))</f>
      </c>
      <c r="K136">
        <f>IF(売分析!$C136="","",売分析!$C136)</f>
      </c>
      <c r="L136">
        <f>IF(売分析!$C136="","",売分析!$D136)</f>
      </c>
      <c r="M136">
        <f>IFERROR((SUM(OFFSET(高値!$E$6,IFERROR(MATCH(売分析!$C136,銘柄管理!$B$6:$B$305,0),MATCH(TEXT(売分析!$C136,"0"),銘柄管理!$B$6:$B$305,0))-1,0,1,14))-SUM(OFFSET(安値!$E$6,IFERROR(MATCH(売分析!$C136,銘柄管理!$B$6:$B$305,0),MATCH(TEXT(売分析!$C136,"0"),銘柄管理!$B$6:$B$305,0))-1,0,1,14)))/SUM(OFFSET(終値!$E$6,IFERROR(MATCH(売分析!$C136,銘柄管理!$B$6:$B$305,0),MATCH(TEXT(売分析!$C136,"0"),銘柄管理!$B$6:$B$305,0))-1,0,1,14))*100,"")</f>
      </c>
      <c r="N136">
        <f>IFERROR((MAX(OFFSET(高値!$E$6,IFERROR(MATCH(売分析!$C136,銘柄管理!$B$6:$B$305,0),MATCH(TEXT(売分析!$C136,"0"),銘柄管理!$B$6:$B$305,0))-1,0,1,25))-MIN(OFFSET(安値!$E$6,IFERROR(MATCH(売分析!$C136,銘柄管理!$B$6:$B$305,0),MATCH(TEXT(売分析!$C136,"0"),銘柄管理!$B$6:$B$305,0))-1,0,1,25)))/売分析!$E136*100,"")</f>
      </c>
      <c r="O136">
        <f>IFERROR((売分析!$F136-売分析!$G136)/売分析!$G136*100,"")</f>
      </c>
      <c r="P136">
        <f>IFERROR((売分析!$E136-MAX(OFFSET(高値!$E$6,IFERROR(MATCH(売分析!$C136,銘柄管理!$B$6:$B$305,0),MATCH(TEXT(売分析!$C136,"0"),銘柄管理!$B$6:$B$305,0))-1,0,1,25)))/MAX(OFFSET(高値!$E$6,IFERROR(MATCH(売分析!$C136,銘柄管理!$B$6:$B$305,0),MATCH(TEXT(売分析!$C136,"0"),銘柄管理!$B$6:$B$305,0))-1,0,1,25))*100,"")</f>
      </c>
      <c r="Q136">
        <f>IFERROR((売分析!$H136-売分析!$I136)/売分析!$F136*100,"")</f>
      </c>
      <c r="R136">
        <f>IFERROR(5-COUNTIF($M$3:$M$206,"&lt;"&amp;$M136)/COUNT($M$3:$M$206)-COUNTIF($Q$3:$Q$206,"&lt;"&amp;$Q136)/COUNT($Q$3:$Q$206)-COUNTIF($N$3:$N$206,"&lt;"&amp;$N136)/COUNT($N$3:$N$206)-COUNTIF(売分析!$Z$3:$Z$206,"&lt;"&amp;売分析!$Z136)/COUNT(売分析!$Z$3:$Z$206)-COUNTIF($O$3:$O$206,"&lt;"&amp;$O136)/COUNT($O$3:$O$206),"")</f>
      </c>
      <c r="S136">
        <f>IF(OR(K136="",K136="TOPX",M136="",R136=""),0,IF(AND(V811設定!$E$12=1,M136&lt;=V811設定!$E$3,N136&lt;=V811設定!$E$4,O136&lt;=V811設定!$E$5,売分析!$Z136&lt;=V811設定!$E$6,売分析!$Z136&gt;=V811設定!$E$7,P136&gt;=V811設定!$E$8,Q136&lt;=V811設定!$E$9),1,0))</f>
      </c>
      <c r="T136">
        <f>IF(K136="","",IF(S136=1,"○ゲート通過",IF(V811設定!$E$12&lt;&gt;1,"― 停止中",IF(M136&gt;V811設定!$E$3,"×値動きが荒い",IF(N136&gt;V811設定!$E$4,"×レンジが広い",IF(O136&gt;V811設定!$E$5,"×窓を開けて上昇",IF(売分析!$Z136&gt;V811設定!$E$6,"×前日に急騰",IF(売分析!$Z136&lt;V811設定!$E$7,"×前日に急落",IF(P136&lt;V811設定!$E$8,"×高値から離れすぎ",IF(Q136&gt;V811設定!$E$9,"×当日の値幅が大きい","×"))))))))))</f>
      </c>
    </row>
    <row r="137" spans="1:20">
      <c r="A137">
        <f>IF(分析!$C137="","",分析!$C137)</f>
      </c>
      <c r="B137">
        <f>IF(分析!$C137="","",分析!$D137)</f>
      </c>
      <c r="C137">
        <f>IFERROR((SUM(OFFSET(高値!$E$6,IFERROR(MATCH(分析!$C137,銘柄管理!$B$6:$B$305,0),MATCH(TEXT(分析!$C137,"0"),銘柄管理!$B$6:$B$305,0))-1,0,1,14))-SUM(OFFSET(安値!$E$6,IFERROR(MATCH(分析!$C137,銘柄管理!$B$6:$B$305,0),MATCH(TEXT(分析!$C137,"0"),銘柄管理!$B$6:$B$305,0))-1,0,1,14)))/SUM(OFFSET(終値!$E$6,IFERROR(MATCH(分析!$C137,銘柄管理!$B$6:$B$305,0),MATCH(TEXT(分析!$C137,"0"),銘柄管理!$B$6:$B$305,0))-1,0,1,14))*100,"")</f>
      </c>
      <c r="D137">
        <f>IFERROR((MAX(OFFSET(高値!$E$6,IFERROR(MATCH(分析!$C137,銘柄管理!$B$6:$B$305,0),MATCH(TEXT(分析!$C137,"0"),銘柄管理!$B$6:$B$305,0))-1,0,1,25))-MIN(OFFSET(安値!$E$6,IFERROR(MATCH(分析!$C137,銘柄管理!$B$6:$B$305,0),MATCH(TEXT(分析!$C137,"0"),銘柄管理!$B$6:$B$305,0))-1,0,1,25)))/分析!$E137*100,"")</f>
      </c>
      <c r="E137">
        <f>IFERROR((分析!$F137-分析!$G137)/分析!$G137*100,"")</f>
      </c>
      <c r="F137">
        <f>IFERROR((分析!$E137-MAX(OFFSET(高値!$E$6,IFERROR(MATCH(分析!$C137,銘柄管理!$B$6:$B$305,0),MATCH(TEXT(分析!$C137,"0"),銘柄管理!$B$6:$B$305,0))-1,0,1,25)))/MAX(OFFSET(高値!$E$6,IFERROR(MATCH(分析!$C137,銘柄管理!$B$6:$B$305,0),MATCH(TEXT(分析!$C137,"0"),銘柄管理!$B$6:$B$305,0))-1,0,1,25))*100,"")</f>
      </c>
      <c r="G137">
        <f>IFERROR((分析!$H137-分析!$I137)/分析!$F137*100,"")</f>
      </c>
      <c r="H137">
        <f>IFERROR(5-COUNTIF($C$3:$C$206,"&lt;"&amp;$C137)/COUNT($C$3:$C$206)-COUNTIF($G$3:$G$206,"&lt;"&amp;$G137)/COUNT($G$3:$G$206)-COUNTIF($D$3:$D$206,"&lt;"&amp;$D137)/COUNT($D$3:$D$206)-COUNTIF(分析!$Z$3:$Z$206,"&lt;"&amp;分析!$Z137)/COUNT(分析!$Z$3:$Z$206)-COUNTIF($E$3:$E$206,"&lt;"&amp;$E137)/COUNT($E$3:$E$206),"")</f>
      </c>
      <c r="I137">
        <f>IF(OR(A137="",A137="TOPX",C137="",H137=""),0,IF(AND(V811設定!$E$11=1,C137&lt;=V811設定!$E$3,D137&lt;=V811設定!$E$4,E137&lt;=V811設定!$E$5,分析!$Z137&lt;=V811設定!$E$6,分析!$Z137&gt;=V811設定!$E$7,F137&gt;=V811設定!$E$8,G137&lt;=V811設定!$E$9),1,0))</f>
      </c>
      <c r="J137">
        <f>IF(A137="","",IF(I137=1,"○ゲート通過",IF(V811設定!$E$11&lt;&gt;1,"― 停止中",IF(C137&gt;V811設定!$E$3,"×値動きが荒い",IF(D137&gt;V811設定!$E$4,"×レンジが広い",IF(E137&gt;V811設定!$E$5,"×窓を開けて上昇",IF(分析!$Z137&gt;V811設定!$E$6,"×前日に急騰",IF(分析!$Z137&lt;V811設定!$E$7,"×前日に急落",IF(F137&lt;V811設定!$E$8,"×高値から離れすぎ",IF(G137&gt;V811設定!$E$9,"×当日の値幅が大きい","×"))))))))))</f>
      </c>
      <c r="K137">
        <f>IF(売分析!$C137="","",売分析!$C137)</f>
      </c>
      <c r="L137">
        <f>IF(売分析!$C137="","",売分析!$D137)</f>
      </c>
      <c r="M137">
        <f>IFERROR((SUM(OFFSET(高値!$E$6,IFERROR(MATCH(売分析!$C137,銘柄管理!$B$6:$B$305,0),MATCH(TEXT(売分析!$C137,"0"),銘柄管理!$B$6:$B$305,0))-1,0,1,14))-SUM(OFFSET(安値!$E$6,IFERROR(MATCH(売分析!$C137,銘柄管理!$B$6:$B$305,0),MATCH(TEXT(売分析!$C137,"0"),銘柄管理!$B$6:$B$305,0))-1,0,1,14)))/SUM(OFFSET(終値!$E$6,IFERROR(MATCH(売分析!$C137,銘柄管理!$B$6:$B$305,0),MATCH(TEXT(売分析!$C137,"0"),銘柄管理!$B$6:$B$305,0))-1,0,1,14))*100,"")</f>
      </c>
      <c r="N137">
        <f>IFERROR((MAX(OFFSET(高値!$E$6,IFERROR(MATCH(売分析!$C137,銘柄管理!$B$6:$B$305,0),MATCH(TEXT(売分析!$C137,"0"),銘柄管理!$B$6:$B$305,0))-1,0,1,25))-MIN(OFFSET(安値!$E$6,IFERROR(MATCH(売分析!$C137,銘柄管理!$B$6:$B$305,0),MATCH(TEXT(売分析!$C137,"0"),銘柄管理!$B$6:$B$305,0))-1,0,1,25)))/売分析!$E137*100,"")</f>
      </c>
      <c r="O137">
        <f>IFERROR((売分析!$F137-売分析!$G137)/売分析!$G137*100,"")</f>
      </c>
      <c r="P137">
        <f>IFERROR((売分析!$E137-MAX(OFFSET(高値!$E$6,IFERROR(MATCH(売分析!$C137,銘柄管理!$B$6:$B$305,0),MATCH(TEXT(売分析!$C137,"0"),銘柄管理!$B$6:$B$305,0))-1,0,1,25)))/MAX(OFFSET(高値!$E$6,IFERROR(MATCH(売分析!$C137,銘柄管理!$B$6:$B$305,0),MATCH(TEXT(売分析!$C137,"0"),銘柄管理!$B$6:$B$305,0))-1,0,1,25))*100,"")</f>
      </c>
      <c r="Q137">
        <f>IFERROR((売分析!$H137-売分析!$I137)/売分析!$F137*100,"")</f>
      </c>
      <c r="R137">
        <f>IFERROR(5-COUNTIF($M$3:$M$206,"&lt;"&amp;$M137)/COUNT($M$3:$M$206)-COUNTIF($Q$3:$Q$206,"&lt;"&amp;$Q137)/COUNT($Q$3:$Q$206)-COUNTIF($N$3:$N$206,"&lt;"&amp;$N137)/COUNT($N$3:$N$206)-COUNTIF(売分析!$Z$3:$Z$206,"&lt;"&amp;売分析!$Z137)/COUNT(売分析!$Z$3:$Z$206)-COUNTIF($O$3:$O$206,"&lt;"&amp;$O137)/COUNT($O$3:$O$206),"")</f>
      </c>
      <c r="S137">
        <f>IF(OR(K137="",K137="TOPX",M137="",R137=""),0,IF(AND(V811設定!$E$12=1,M137&lt;=V811設定!$E$3,N137&lt;=V811設定!$E$4,O137&lt;=V811設定!$E$5,売分析!$Z137&lt;=V811設定!$E$6,売分析!$Z137&gt;=V811設定!$E$7,P137&gt;=V811設定!$E$8,Q137&lt;=V811設定!$E$9),1,0))</f>
      </c>
      <c r="T137">
        <f>IF(K137="","",IF(S137=1,"○ゲート通過",IF(V811設定!$E$12&lt;&gt;1,"― 停止中",IF(M137&gt;V811設定!$E$3,"×値動きが荒い",IF(N137&gt;V811設定!$E$4,"×レンジが広い",IF(O137&gt;V811設定!$E$5,"×窓を開けて上昇",IF(売分析!$Z137&gt;V811設定!$E$6,"×前日に急騰",IF(売分析!$Z137&lt;V811設定!$E$7,"×前日に急落",IF(P137&lt;V811設定!$E$8,"×高値から離れすぎ",IF(Q137&gt;V811設定!$E$9,"×当日の値幅が大きい","×"))))))))))</f>
      </c>
    </row>
    <row r="138" spans="1:20">
      <c r="A138">
        <f>IF(分析!$C138="","",分析!$C138)</f>
      </c>
      <c r="B138">
        <f>IF(分析!$C138="","",分析!$D138)</f>
      </c>
      <c r="C138">
        <f>IFERROR((SUM(OFFSET(高値!$E$6,IFERROR(MATCH(分析!$C138,銘柄管理!$B$6:$B$305,0),MATCH(TEXT(分析!$C138,"0"),銘柄管理!$B$6:$B$305,0))-1,0,1,14))-SUM(OFFSET(安値!$E$6,IFERROR(MATCH(分析!$C138,銘柄管理!$B$6:$B$305,0),MATCH(TEXT(分析!$C138,"0"),銘柄管理!$B$6:$B$305,0))-1,0,1,14)))/SUM(OFFSET(終値!$E$6,IFERROR(MATCH(分析!$C138,銘柄管理!$B$6:$B$305,0),MATCH(TEXT(分析!$C138,"0"),銘柄管理!$B$6:$B$305,0))-1,0,1,14))*100,"")</f>
      </c>
      <c r="D138">
        <f>IFERROR((MAX(OFFSET(高値!$E$6,IFERROR(MATCH(分析!$C138,銘柄管理!$B$6:$B$305,0),MATCH(TEXT(分析!$C138,"0"),銘柄管理!$B$6:$B$305,0))-1,0,1,25))-MIN(OFFSET(安値!$E$6,IFERROR(MATCH(分析!$C138,銘柄管理!$B$6:$B$305,0),MATCH(TEXT(分析!$C138,"0"),銘柄管理!$B$6:$B$305,0))-1,0,1,25)))/分析!$E138*100,"")</f>
      </c>
      <c r="E138">
        <f>IFERROR((分析!$F138-分析!$G138)/分析!$G138*100,"")</f>
      </c>
      <c r="F138">
        <f>IFERROR((分析!$E138-MAX(OFFSET(高値!$E$6,IFERROR(MATCH(分析!$C138,銘柄管理!$B$6:$B$305,0),MATCH(TEXT(分析!$C138,"0"),銘柄管理!$B$6:$B$305,0))-1,0,1,25)))/MAX(OFFSET(高値!$E$6,IFERROR(MATCH(分析!$C138,銘柄管理!$B$6:$B$305,0),MATCH(TEXT(分析!$C138,"0"),銘柄管理!$B$6:$B$305,0))-1,0,1,25))*100,"")</f>
      </c>
      <c r="G138">
        <f>IFERROR((分析!$H138-分析!$I138)/分析!$F138*100,"")</f>
      </c>
      <c r="H138">
        <f>IFERROR(5-COUNTIF($C$3:$C$206,"&lt;"&amp;$C138)/COUNT($C$3:$C$206)-COUNTIF($G$3:$G$206,"&lt;"&amp;$G138)/COUNT($G$3:$G$206)-COUNTIF($D$3:$D$206,"&lt;"&amp;$D138)/COUNT($D$3:$D$206)-COUNTIF(分析!$Z$3:$Z$206,"&lt;"&amp;分析!$Z138)/COUNT(分析!$Z$3:$Z$206)-COUNTIF($E$3:$E$206,"&lt;"&amp;$E138)/COUNT($E$3:$E$206),"")</f>
      </c>
      <c r="I138">
        <f>IF(OR(A138="",A138="TOPX",C138="",H138=""),0,IF(AND(V811設定!$E$11=1,C138&lt;=V811設定!$E$3,D138&lt;=V811設定!$E$4,E138&lt;=V811設定!$E$5,分析!$Z138&lt;=V811設定!$E$6,分析!$Z138&gt;=V811設定!$E$7,F138&gt;=V811設定!$E$8,G138&lt;=V811設定!$E$9),1,0))</f>
      </c>
      <c r="J138">
        <f>IF(A138="","",IF(I138=1,"○ゲート通過",IF(V811設定!$E$11&lt;&gt;1,"― 停止中",IF(C138&gt;V811設定!$E$3,"×値動きが荒い",IF(D138&gt;V811設定!$E$4,"×レンジが広い",IF(E138&gt;V811設定!$E$5,"×窓を開けて上昇",IF(分析!$Z138&gt;V811設定!$E$6,"×前日に急騰",IF(分析!$Z138&lt;V811設定!$E$7,"×前日に急落",IF(F138&lt;V811設定!$E$8,"×高値から離れすぎ",IF(G138&gt;V811設定!$E$9,"×当日の値幅が大きい","×"))))))))))</f>
      </c>
      <c r="K138">
        <f>IF(売分析!$C138="","",売分析!$C138)</f>
      </c>
      <c r="L138">
        <f>IF(売分析!$C138="","",売分析!$D138)</f>
      </c>
      <c r="M138">
        <f>IFERROR((SUM(OFFSET(高値!$E$6,IFERROR(MATCH(売分析!$C138,銘柄管理!$B$6:$B$305,0),MATCH(TEXT(売分析!$C138,"0"),銘柄管理!$B$6:$B$305,0))-1,0,1,14))-SUM(OFFSET(安値!$E$6,IFERROR(MATCH(売分析!$C138,銘柄管理!$B$6:$B$305,0),MATCH(TEXT(売分析!$C138,"0"),銘柄管理!$B$6:$B$305,0))-1,0,1,14)))/SUM(OFFSET(終値!$E$6,IFERROR(MATCH(売分析!$C138,銘柄管理!$B$6:$B$305,0),MATCH(TEXT(売分析!$C138,"0"),銘柄管理!$B$6:$B$305,0))-1,0,1,14))*100,"")</f>
      </c>
      <c r="N138">
        <f>IFERROR((MAX(OFFSET(高値!$E$6,IFERROR(MATCH(売分析!$C138,銘柄管理!$B$6:$B$305,0),MATCH(TEXT(売分析!$C138,"0"),銘柄管理!$B$6:$B$305,0))-1,0,1,25))-MIN(OFFSET(安値!$E$6,IFERROR(MATCH(売分析!$C138,銘柄管理!$B$6:$B$305,0),MATCH(TEXT(売分析!$C138,"0"),銘柄管理!$B$6:$B$305,0))-1,0,1,25)))/売分析!$E138*100,"")</f>
      </c>
      <c r="O138">
        <f>IFERROR((売分析!$F138-売分析!$G138)/売分析!$G138*100,"")</f>
      </c>
      <c r="P138">
        <f>IFERROR((売分析!$E138-MAX(OFFSET(高値!$E$6,IFERROR(MATCH(売分析!$C138,銘柄管理!$B$6:$B$305,0),MATCH(TEXT(売分析!$C138,"0"),銘柄管理!$B$6:$B$305,0))-1,0,1,25)))/MAX(OFFSET(高値!$E$6,IFERROR(MATCH(売分析!$C138,銘柄管理!$B$6:$B$305,0),MATCH(TEXT(売分析!$C138,"0"),銘柄管理!$B$6:$B$305,0))-1,0,1,25))*100,"")</f>
      </c>
      <c r="Q138">
        <f>IFERROR((売分析!$H138-売分析!$I138)/売分析!$F138*100,"")</f>
      </c>
      <c r="R138">
        <f>IFERROR(5-COUNTIF($M$3:$M$206,"&lt;"&amp;$M138)/COUNT($M$3:$M$206)-COUNTIF($Q$3:$Q$206,"&lt;"&amp;$Q138)/COUNT($Q$3:$Q$206)-COUNTIF($N$3:$N$206,"&lt;"&amp;$N138)/COUNT($N$3:$N$206)-COUNTIF(売分析!$Z$3:$Z$206,"&lt;"&amp;売分析!$Z138)/COUNT(売分析!$Z$3:$Z$206)-COUNTIF($O$3:$O$206,"&lt;"&amp;$O138)/COUNT($O$3:$O$206),"")</f>
      </c>
      <c r="S138">
        <f>IF(OR(K138="",K138="TOPX",M138="",R138=""),0,IF(AND(V811設定!$E$12=1,M138&lt;=V811設定!$E$3,N138&lt;=V811設定!$E$4,O138&lt;=V811設定!$E$5,売分析!$Z138&lt;=V811設定!$E$6,売分析!$Z138&gt;=V811設定!$E$7,P138&gt;=V811設定!$E$8,Q138&lt;=V811設定!$E$9),1,0))</f>
      </c>
      <c r="T138">
        <f>IF(K138="","",IF(S138=1,"○ゲート通過",IF(V811設定!$E$12&lt;&gt;1,"― 停止中",IF(M138&gt;V811設定!$E$3,"×値動きが荒い",IF(N138&gt;V811設定!$E$4,"×レンジが広い",IF(O138&gt;V811設定!$E$5,"×窓を開けて上昇",IF(売分析!$Z138&gt;V811設定!$E$6,"×前日に急騰",IF(売分析!$Z138&lt;V811設定!$E$7,"×前日に急落",IF(P138&lt;V811設定!$E$8,"×高値から離れすぎ",IF(Q138&gt;V811設定!$E$9,"×当日の値幅が大きい","×"))))))))))</f>
      </c>
    </row>
    <row r="139" spans="1:20">
      <c r="A139">
        <f>IF(分析!$C139="","",分析!$C139)</f>
      </c>
      <c r="B139">
        <f>IF(分析!$C139="","",分析!$D139)</f>
      </c>
      <c r="C139">
        <f>IFERROR((SUM(OFFSET(高値!$E$6,IFERROR(MATCH(分析!$C139,銘柄管理!$B$6:$B$305,0),MATCH(TEXT(分析!$C139,"0"),銘柄管理!$B$6:$B$305,0))-1,0,1,14))-SUM(OFFSET(安値!$E$6,IFERROR(MATCH(分析!$C139,銘柄管理!$B$6:$B$305,0),MATCH(TEXT(分析!$C139,"0"),銘柄管理!$B$6:$B$305,0))-1,0,1,14)))/SUM(OFFSET(終値!$E$6,IFERROR(MATCH(分析!$C139,銘柄管理!$B$6:$B$305,0),MATCH(TEXT(分析!$C139,"0"),銘柄管理!$B$6:$B$305,0))-1,0,1,14))*100,"")</f>
      </c>
      <c r="D139">
        <f>IFERROR((MAX(OFFSET(高値!$E$6,IFERROR(MATCH(分析!$C139,銘柄管理!$B$6:$B$305,0),MATCH(TEXT(分析!$C139,"0"),銘柄管理!$B$6:$B$305,0))-1,0,1,25))-MIN(OFFSET(安値!$E$6,IFERROR(MATCH(分析!$C139,銘柄管理!$B$6:$B$305,0),MATCH(TEXT(分析!$C139,"0"),銘柄管理!$B$6:$B$305,0))-1,0,1,25)))/分析!$E139*100,"")</f>
      </c>
      <c r="E139">
        <f>IFERROR((分析!$F139-分析!$G139)/分析!$G139*100,"")</f>
      </c>
      <c r="F139">
        <f>IFERROR((分析!$E139-MAX(OFFSET(高値!$E$6,IFERROR(MATCH(分析!$C139,銘柄管理!$B$6:$B$305,0),MATCH(TEXT(分析!$C139,"0"),銘柄管理!$B$6:$B$305,0))-1,0,1,25)))/MAX(OFFSET(高値!$E$6,IFERROR(MATCH(分析!$C139,銘柄管理!$B$6:$B$305,0),MATCH(TEXT(分析!$C139,"0"),銘柄管理!$B$6:$B$305,0))-1,0,1,25))*100,"")</f>
      </c>
      <c r="G139">
        <f>IFERROR((分析!$H139-分析!$I139)/分析!$F139*100,"")</f>
      </c>
      <c r="H139">
        <f>IFERROR(5-COUNTIF($C$3:$C$206,"&lt;"&amp;$C139)/COUNT($C$3:$C$206)-COUNTIF($G$3:$G$206,"&lt;"&amp;$G139)/COUNT($G$3:$G$206)-COUNTIF($D$3:$D$206,"&lt;"&amp;$D139)/COUNT($D$3:$D$206)-COUNTIF(分析!$Z$3:$Z$206,"&lt;"&amp;分析!$Z139)/COUNT(分析!$Z$3:$Z$206)-COUNTIF($E$3:$E$206,"&lt;"&amp;$E139)/COUNT($E$3:$E$206),"")</f>
      </c>
      <c r="I139">
        <f>IF(OR(A139="",A139="TOPX",C139="",H139=""),0,IF(AND(V811設定!$E$11=1,C139&lt;=V811設定!$E$3,D139&lt;=V811設定!$E$4,E139&lt;=V811設定!$E$5,分析!$Z139&lt;=V811設定!$E$6,分析!$Z139&gt;=V811設定!$E$7,F139&gt;=V811設定!$E$8,G139&lt;=V811設定!$E$9),1,0))</f>
      </c>
      <c r="J139">
        <f>IF(A139="","",IF(I139=1,"○ゲート通過",IF(V811設定!$E$11&lt;&gt;1,"― 停止中",IF(C139&gt;V811設定!$E$3,"×値動きが荒い",IF(D139&gt;V811設定!$E$4,"×レンジが広い",IF(E139&gt;V811設定!$E$5,"×窓を開けて上昇",IF(分析!$Z139&gt;V811設定!$E$6,"×前日に急騰",IF(分析!$Z139&lt;V811設定!$E$7,"×前日に急落",IF(F139&lt;V811設定!$E$8,"×高値から離れすぎ",IF(G139&gt;V811設定!$E$9,"×当日の値幅が大きい","×"))))))))))</f>
      </c>
      <c r="K139">
        <f>IF(売分析!$C139="","",売分析!$C139)</f>
      </c>
      <c r="L139">
        <f>IF(売分析!$C139="","",売分析!$D139)</f>
      </c>
      <c r="M139">
        <f>IFERROR((SUM(OFFSET(高値!$E$6,IFERROR(MATCH(売分析!$C139,銘柄管理!$B$6:$B$305,0),MATCH(TEXT(売分析!$C139,"0"),銘柄管理!$B$6:$B$305,0))-1,0,1,14))-SUM(OFFSET(安値!$E$6,IFERROR(MATCH(売分析!$C139,銘柄管理!$B$6:$B$305,0),MATCH(TEXT(売分析!$C139,"0"),銘柄管理!$B$6:$B$305,0))-1,0,1,14)))/SUM(OFFSET(終値!$E$6,IFERROR(MATCH(売分析!$C139,銘柄管理!$B$6:$B$305,0),MATCH(TEXT(売分析!$C139,"0"),銘柄管理!$B$6:$B$305,0))-1,0,1,14))*100,"")</f>
      </c>
      <c r="N139">
        <f>IFERROR((MAX(OFFSET(高値!$E$6,IFERROR(MATCH(売分析!$C139,銘柄管理!$B$6:$B$305,0),MATCH(TEXT(売分析!$C139,"0"),銘柄管理!$B$6:$B$305,0))-1,0,1,25))-MIN(OFFSET(安値!$E$6,IFERROR(MATCH(売分析!$C139,銘柄管理!$B$6:$B$305,0),MATCH(TEXT(売分析!$C139,"0"),銘柄管理!$B$6:$B$305,0))-1,0,1,25)))/売分析!$E139*100,"")</f>
      </c>
      <c r="O139">
        <f>IFERROR((売分析!$F139-売分析!$G139)/売分析!$G139*100,"")</f>
      </c>
      <c r="P139">
        <f>IFERROR((売分析!$E139-MAX(OFFSET(高値!$E$6,IFERROR(MATCH(売分析!$C139,銘柄管理!$B$6:$B$305,0),MATCH(TEXT(売分析!$C139,"0"),銘柄管理!$B$6:$B$305,0))-1,0,1,25)))/MAX(OFFSET(高値!$E$6,IFERROR(MATCH(売分析!$C139,銘柄管理!$B$6:$B$305,0),MATCH(TEXT(売分析!$C139,"0"),銘柄管理!$B$6:$B$305,0))-1,0,1,25))*100,"")</f>
      </c>
      <c r="Q139">
        <f>IFERROR((売分析!$H139-売分析!$I139)/売分析!$F139*100,"")</f>
      </c>
      <c r="R139">
        <f>IFERROR(5-COUNTIF($M$3:$M$206,"&lt;"&amp;$M139)/COUNT($M$3:$M$206)-COUNTIF($Q$3:$Q$206,"&lt;"&amp;$Q139)/COUNT($Q$3:$Q$206)-COUNTIF($N$3:$N$206,"&lt;"&amp;$N139)/COUNT($N$3:$N$206)-COUNTIF(売分析!$Z$3:$Z$206,"&lt;"&amp;売分析!$Z139)/COUNT(売分析!$Z$3:$Z$206)-COUNTIF($O$3:$O$206,"&lt;"&amp;$O139)/COUNT($O$3:$O$206),"")</f>
      </c>
      <c r="S139">
        <f>IF(OR(K139="",K139="TOPX",M139="",R139=""),0,IF(AND(V811設定!$E$12=1,M139&lt;=V811設定!$E$3,N139&lt;=V811設定!$E$4,O139&lt;=V811設定!$E$5,売分析!$Z139&lt;=V811設定!$E$6,売分析!$Z139&gt;=V811設定!$E$7,P139&gt;=V811設定!$E$8,Q139&lt;=V811設定!$E$9),1,0))</f>
      </c>
      <c r="T139">
        <f>IF(K139="","",IF(S139=1,"○ゲート通過",IF(V811設定!$E$12&lt;&gt;1,"― 停止中",IF(M139&gt;V811設定!$E$3,"×値動きが荒い",IF(N139&gt;V811設定!$E$4,"×レンジが広い",IF(O139&gt;V811設定!$E$5,"×窓を開けて上昇",IF(売分析!$Z139&gt;V811設定!$E$6,"×前日に急騰",IF(売分析!$Z139&lt;V811設定!$E$7,"×前日に急落",IF(P139&lt;V811設定!$E$8,"×高値から離れすぎ",IF(Q139&gt;V811設定!$E$9,"×当日の値幅が大きい","×"))))))))))</f>
      </c>
    </row>
    <row r="140" spans="1:20">
      <c r="A140">
        <f>IF(分析!$C140="","",分析!$C140)</f>
      </c>
      <c r="B140">
        <f>IF(分析!$C140="","",分析!$D140)</f>
      </c>
      <c r="C140">
        <f>IFERROR((SUM(OFFSET(高値!$E$6,IFERROR(MATCH(分析!$C140,銘柄管理!$B$6:$B$305,0),MATCH(TEXT(分析!$C140,"0"),銘柄管理!$B$6:$B$305,0))-1,0,1,14))-SUM(OFFSET(安値!$E$6,IFERROR(MATCH(分析!$C140,銘柄管理!$B$6:$B$305,0),MATCH(TEXT(分析!$C140,"0"),銘柄管理!$B$6:$B$305,0))-1,0,1,14)))/SUM(OFFSET(終値!$E$6,IFERROR(MATCH(分析!$C140,銘柄管理!$B$6:$B$305,0),MATCH(TEXT(分析!$C140,"0"),銘柄管理!$B$6:$B$305,0))-1,0,1,14))*100,"")</f>
      </c>
      <c r="D140">
        <f>IFERROR((MAX(OFFSET(高値!$E$6,IFERROR(MATCH(分析!$C140,銘柄管理!$B$6:$B$305,0),MATCH(TEXT(分析!$C140,"0"),銘柄管理!$B$6:$B$305,0))-1,0,1,25))-MIN(OFFSET(安値!$E$6,IFERROR(MATCH(分析!$C140,銘柄管理!$B$6:$B$305,0),MATCH(TEXT(分析!$C140,"0"),銘柄管理!$B$6:$B$305,0))-1,0,1,25)))/分析!$E140*100,"")</f>
      </c>
      <c r="E140">
        <f>IFERROR((分析!$F140-分析!$G140)/分析!$G140*100,"")</f>
      </c>
      <c r="F140">
        <f>IFERROR((分析!$E140-MAX(OFFSET(高値!$E$6,IFERROR(MATCH(分析!$C140,銘柄管理!$B$6:$B$305,0),MATCH(TEXT(分析!$C140,"0"),銘柄管理!$B$6:$B$305,0))-1,0,1,25)))/MAX(OFFSET(高値!$E$6,IFERROR(MATCH(分析!$C140,銘柄管理!$B$6:$B$305,0),MATCH(TEXT(分析!$C140,"0"),銘柄管理!$B$6:$B$305,0))-1,0,1,25))*100,"")</f>
      </c>
      <c r="G140">
        <f>IFERROR((分析!$H140-分析!$I140)/分析!$F140*100,"")</f>
      </c>
      <c r="H140">
        <f>IFERROR(5-COUNTIF($C$3:$C$206,"&lt;"&amp;$C140)/COUNT($C$3:$C$206)-COUNTIF($G$3:$G$206,"&lt;"&amp;$G140)/COUNT($G$3:$G$206)-COUNTIF($D$3:$D$206,"&lt;"&amp;$D140)/COUNT($D$3:$D$206)-COUNTIF(分析!$Z$3:$Z$206,"&lt;"&amp;分析!$Z140)/COUNT(分析!$Z$3:$Z$206)-COUNTIF($E$3:$E$206,"&lt;"&amp;$E140)/COUNT($E$3:$E$206),"")</f>
      </c>
      <c r="I140">
        <f>IF(OR(A140="",A140="TOPX",C140="",H140=""),0,IF(AND(V811設定!$E$11=1,C140&lt;=V811設定!$E$3,D140&lt;=V811設定!$E$4,E140&lt;=V811設定!$E$5,分析!$Z140&lt;=V811設定!$E$6,分析!$Z140&gt;=V811設定!$E$7,F140&gt;=V811設定!$E$8,G140&lt;=V811設定!$E$9),1,0))</f>
      </c>
      <c r="J140">
        <f>IF(A140="","",IF(I140=1,"○ゲート通過",IF(V811設定!$E$11&lt;&gt;1,"― 停止中",IF(C140&gt;V811設定!$E$3,"×値動きが荒い",IF(D140&gt;V811設定!$E$4,"×レンジが広い",IF(E140&gt;V811設定!$E$5,"×窓を開けて上昇",IF(分析!$Z140&gt;V811設定!$E$6,"×前日に急騰",IF(分析!$Z140&lt;V811設定!$E$7,"×前日に急落",IF(F140&lt;V811設定!$E$8,"×高値から離れすぎ",IF(G140&gt;V811設定!$E$9,"×当日の値幅が大きい","×"))))))))))</f>
      </c>
      <c r="K140">
        <f>IF(売分析!$C140="","",売分析!$C140)</f>
      </c>
      <c r="L140">
        <f>IF(売分析!$C140="","",売分析!$D140)</f>
      </c>
      <c r="M140">
        <f>IFERROR((SUM(OFFSET(高値!$E$6,IFERROR(MATCH(売分析!$C140,銘柄管理!$B$6:$B$305,0),MATCH(TEXT(売分析!$C140,"0"),銘柄管理!$B$6:$B$305,0))-1,0,1,14))-SUM(OFFSET(安値!$E$6,IFERROR(MATCH(売分析!$C140,銘柄管理!$B$6:$B$305,0),MATCH(TEXT(売分析!$C140,"0"),銘柄管理!$B$6:$B$305,0))-1,0,1,14)))/SUM(OFFSET(終値!$E$6,IFERROR(MATCH(売分析!$C140,銘柄管理!$B$6:$B$305,0),MATCH(TEXT(売分析!$C140,"0"),銘柄管理!$B$6:$B$305,0))-1,0,1,14))*100,"")</f>
      </c>
      <c r="N140">
        <f>IFERROR((MAX(OFFSET(高値!$E$6,IFERROR(MATCH(売分析!$C140,銘柄管理!$B$6:$B$305,0),MATCH(TEXT(売分析!$C140,"0"),銘柄管理!$B$6:$B$305,0))-1,0,1,25))-MIN(OFFSET(安値!$E$6,IFERROR(MATCH(売分析!$C140,銘柄管理!$B$6:$B$305,0),MATCH(TEXT(売分析!$C140,"0"),銘柄管理!$B$6:$B$305,0))-1,0,1,25)))/売分析!$E140*100,"")</f>
      </c>
      <c r="O140">
        <f>IFERROR((売分析!$F140-売分析!$G140)/売分析!$G140*100,"")</f>
      </c>
      <c r="P140">
        <f>IFERROR((売分析!$E140-MAX(OFFSET(高値!$E$6,IFERROR(MATCH(売分析!$C140,銘柄管理!$B$6:$B$305,0),MATCH(TEXT(売分析!$C140,"0"),銘柄管理!$B$6:$B$305,0))-1,0,1,25)))/MAX(OFFSET(高値!$E$6,IFERROR(MATCH(売分析!$C140,銘柄管理!$B$6:$B$305,0),MATCH(TEXT(売分析!$C140,"0"),銘柄管理!$B$6:$B$305,0))-1,0,1,25))*100,"")</f>
      </c>
      <c r="Q140">
        <f>IFERROR((売分析!$H140-売分析!$I140)/売分析!$F140*100,"")</f>
      </c>
      <c r="R140">
        <f>IFERROR(5-COUNTIF($M$3:$M$206,"&lt;"&amp;$M140)/COUNT($M$3:$M$206)-COUNTIF($Q$3:$Q$206,"&lt;"&amp;$Q140)/COUNT($Q$3:$Q$206)-COUNTIF($N$3:$N$206,"&lt;"&amp;$N140)/COUNT($N$3:$N$206)-COUNTIF(売分析!$Z$3:$Z$206,"&lt;"&amp;売分析!$Z140)/COUNT(売分析!$Z$3:$Z$206)-COUNTIF($O$3:$O$206,"&lt;"&amp;$O140)/COUNT($O$3:$O$206),"")</f>
      </c>
      <c r="S140">
        <f>IF(OR(K140="",K140="TOPX",M140="",R140=""),0,IF(AND(V811設定!$E$12=1,M140&lt;=V811設定!$E$3,N140&lt;=V811設定!$E$4,O140&lt;=V811設定!$E$5,売分析!$Z140&lt;=V811設定!$E$6,売分析!$Z140&gt;=V811設定!$E$7,P140&gt;=V811設定!$E$8,Q140&lt;=V811設定!$E$9),1,0))</f>
      </c>
      <c r="T140">
        <f>IF(K140="","",IF(S140=1,"○ゲート通過",IF(V811設定!$E$12&lt;&gt;1,"― 停止中",IF(M140&gt;V811設定!$E$3,"×値動きが荒い",IF(N140&gt;V811設定!$E$4,"×レンジが広い",IF(O140&gt;V811設定!$E$5,"×窓を開けて上昇",IF(売分析!$Z140&gt;V811設定!$E$6,"×前日に急騰",IF(売分析!$Z140&lt;V811設定!$E$7,"×前日に急落",IF(P140&lt;V811設定!$E$8,"×高値から離れすぎ",IF(Q140&gt;V811設定!$E$9,"×当日の値幅が大きい","×"))))))))))</f>
      </c>
    </row>
    <row r="141" spans="1:20">
      <c r="A141">
        <f>IF(分析!$C141="","",分析!$C141)</f>
      </c>
      <c r="B141">
        <f>IF(分析!$C141="","",分析!$D141)</f>
      </c>
      <c r="C141">
        <f>IFERROR((SUM(OFFSET(高値!$E$6,IFERROR(MATCH(分析!$C141,銘柄管理!$B$6:$B$305,0),MATCH(TEXT(分析!$C141,"0"),銘柄管理!$B$6:$B$305,0))-1,0,1,14))-SUM(OFFSET(安値!$E$6,IFERROR(MATCH(分析!$C141,銘柄管理!$B$6:$B$305,0),MATCH(TEXT(分析!$C141,"0"),銘柄管理!$B$6:$B$305,0))-1,0,1,14)))/SUM(OFFSET(終値!$E$6,IFERROR(MATCH(分析!$C141,銘柄管理!$B$6:$B$305,0),MATCH(TEXT(分析!$C141,"0"),銘柄管理!$B$6:$B$305,0))-1,0,1,14))*100,"")</f>
      </c>
      <c r="D141">
        <f>IFERROR((MAX(OFFSET(高値!$E$6,IFERROR(MATCH(分析!$C141,銘柄管理!$B$6:$B$305,0),MATCH(TEXT(分析!$C141,"0"),銘柄管理!$B$6:$B$305,0))-1,0,1,25))-MIN(OFFSET(安値!$E$6,IFERROR(MATCH(分析!$C141,銘柄管理!$B$6:$B$305,0),MATCH(TEXT(分析!$C141,"0"),銘柄管理!$B$6:$B$305,0))-1,0,1,25)))/分析!$E141*100,"")</f>
      </c>
      <c r="E141">
        <f>IFERROR((分析!$F141-分析!$G141)/分析!$G141*100,"")</f>
      </c>
      <c r="F141">
        <f>IFERROR((分析!$E141-MAX(OFFSET(高値!$E$6,IFERROR(MATCH(分析!$C141,銘柄管理!$B$6:$B$305,0),MATCH(TEXT(分析!$C141,"0"),銘柄管理!$B$6:$B$305,0))-1,0,1,25)))/MAX(OFFSET(高値!$E$6,IFERROR(MATCH(分析!$C141,銘柄管理!$B$6:$B$305,0),MATCH(TEXT(分析!$C141,"0"),銘柄管理!$B$6:$B$305,0))-1,0,1,25))*100,"")</f>
      </c>
      <c r="G141">
        <f>IFERROR((分析!$H141-分析!$I141)/分析!$F141*100,"")</f>
      </c>
      <c r="H141">
        <f>IFERROR(5-COUNTIF($C$3:$C$206,"&lt;"&amp;$C141)/COUNT($C$3:$C$206)-COUNTIF($G$3:$G$206,"&lt;"&amp;$G141)/COUNT($G$3:$G$206)-COUNTIF($D$3:$D$206,"&lt;"&amp;$D141)/COUNT($D$3:$D$206)-COUNTIF(分析!$Z$3:$Z$206,"&lt;"&amp;分析!$Z141)/COUNT(分析!$Z$3:$Z$206)-COUNTIF($E$3:$E$206,"&lt;"&amp;$E141)/COUNT($E$3:$E$206),"")</f>
      </c>
      <c r="I141">
        <f>IF(OR(A141="",A141="TOPX",C141="",H141=""),0,IF(AND(V811設定!$E$11=1,C141&lt;=V811設定!$E$3,D141&lt;=V811設定!$E$4,E141&lt;=V811設定!$E$5,分析!$Z141&lt;=V811設定!$E$6,分析!$Z141&gt;=V811設定!$E$7,F141&gt;=V811設定!$E$8,G141&lt;=V811設定!$E$9),1,0))</f>
      </c>
      <c r="J141">
        <f>IF(A141="","",IF(I141=1,"○ゲート通過",IF(V811設定!$E$11&lt;&gt;1,"― 停止中",IF(C141&gt;V811設定!$E$3,"×値動きが荒い",IF(D141&gt;V811設定!$E$4,"×レンジが広い",IF(E141&gt;V811設定!$E$5,"×窓を開けて上昇",IF(分析!$Z141&gt;V811設定!$E$6,"×前日に急騰",IF(分析!$Z141&lt;V811設定!$E$7,"×前日に急落",IF(F141&lt;V811設定!$E$8,"×高値から離れすぎ",IF(G141&gt;V811設定!$E$9,"×当日の値幅が大きい","×"))))))))))</f>
      </c>
      <c r="K141">
        <f>IF(売分析!$C141="","",売分析!$C141)</f>
      </c>
      <c r="L141">
        <f>IF(売分析!$C141="","",売分析!$D141)</f>
      </c>
      <c r="M141">
        <f>IFERROR((SUM(OFFSET(高値!$E$6,IFERROR(MATCH(売分析!$C141,銘柄管理!$B$6:$B$305,0),MATCH(TEXT(売分析!$C141,"0"),銘柄管理!$B$6:$B$305,0))-1,0,1,14))-SUM(OFFSET(安値!$E$6,IFERROR(MATCH(売分析!$C141,銘柄管理!$B$6:$B$305,0),MATCH(TEXT(売分析!$C141,"0"),銘柄管理!$B$6:$B$305,0))-1,0,1,14)))/SUM(OFFSET(終値!$E$6,IFERROR(MATCH(売分析!$C141,銘柄管理!$B$6:$B$305,0),MATCH(TEXT(売分析!$C141,"0"),銘柄管理!$B$6:$B$305,0))-1,0,1,14))*100,"")</f>
      </c>
      <c r="N141">
        <f>IFERROR((MAX(OFFSET(高値!$E$6,IFERROR(MATCH(売分析!$C141,銘柄管理!$B$6:$B$305,0),MATCH(TEXT(売分析!$C141,"0"),銘柄管理!$B$6:$B$305,0))-1,0,1,25))-MIN(OFFSET(安値!$E$6,IFERROR(MATCH(売分析!$C141,銘柄管理!$B$6:$B$305,0),MATCH(TEXT(売分析!$C141,"0"),銘柄管理!$B$6:$B$305,0))-1,0,1,25)))/売分析!$E141*100,"")</f>
      </c>
      <c r="O141">
        <f>IFERROR((売分析!$F141-売分析!$G141)/売分析!$G141*100,"")</f>
      </c>
      <c r="P141">
        <f>IFERROR((売分析!$E141-MAX(OFFSET(高値!$E$6,IFERROR(MATCH(売分析!$C141,銘柄管理!$B$6:$B$305,0),MATCH(TEXT(売分析!$C141,"0"),銘柄管理!$B$6:$B$305,0))-1,0,1,25)))/MAX(OFFSET(高値!$E$6,IFERROR(MATCH(売分析!$C141,銘柄管理!$B$6:$B$305,0),MATCH(TEXT(売分析!$C141,"0"),銘柄管理!$B$6:$B$305,0))-1,0,1,25))*100,"")</f>
      </c>
      <c r="Q141">
        <f>IFERROR((売分析!$H141-売分析!$I141)/売分析!$F141*100,"")</f>
      </c>
      <c r="R141">
        <f>IFERROR(5-COUNTIF($M$3:$M$206,"&lt;"&amp;$M141)/COUNT($M$3:$M$206)-COUNTIF($Q$3:$Q$206,"&lt;"&amp;$Q141)/COUNT($Q$3:$Q$206)-COUNTIF($N$3:$N$206,"&lt;"&amp;$N141)/COUNT($N$3:$N$206)-COUNTIF(売分析!$Z$3:$Z$206,"&lt;"&amp;売分析!$Z141)/COUNT(売分析!$Z$3:$Z$206)-COUNTIF($O$3:$O$206,"&lt;"&amp;$O141)/COUNT($O$3:$O$206),"")</f>
      </c>
      <c r="S141">
        <f>IF(OR(K141="",K141="TOPX",M141="",R141=""),0,IF(AND(V811設定!$E$12=1,M141&lt;=V811設定!$E$3,N141&lt;=V811設定!$E$4,O141&lt;=V811設定!$E$5,売分析!$Z141&lt;=V811設定!$E$6,売分析!$Z141&gt;=V811設定!$E$7,P141&gt;=V811設定!$E$8,Q141&lt;=V811設定!$E$9),1,0))</f>
      </c>
      <c r="T141">
        <f>IF(K141="","",IF(S141=1,"○ゲート通過",IF(V811設定!$E$12&lt;&gt;1,"― 停止中",IF(M141&gt;V811設定!$E$3,"×値動きが荒い",IF(N141&gt;V811設定!$E$4,"×レンジが広い",IF(O141&gt;V811設定!$E$5,"×窓を開けて上昇",IF(売分析!$Z141&gt;V811設定!$E$6,"×前日に急騰",IF(売分析!$Z141&lt;V811設定!$E$7,"×前日に急落",IF(P141&lt;V811設定!$E$8,"×高値から離れすぎ",IF(Q141&gt;V811設定!$E$9,"×当日の値幅が大きい","×"))))))))))</f>
      </c>
    </row>
    <row r="142" spans="1:20">
      <c r="A142">
        <f>IF(分析!$C142="","",分析!$C142)</f>
      </c>
      <c r="B142">
        <f>IF(分析!$C142="","",分析!$D142)</f>
      </c>
      <c r="C142">
        <f>IFERROR((SUM(OFFSET(高値!$E$6,IFERROR(MATCH(分析!$C142,銘柄管理!$B$6:$B$305,0),MATCH(TEXT(分析!$C142,"0"),銘柄管理!$B$6:$B$305,0))-1,0,1,14))-SUM(OFFSET(安値!$E$6,IFERROR(MATCH(分析!$C142,銘柄管理!$B$6:$B$305,0),MATCH(TEXT(分析!$C142,"0"),銘柄管理!$B$6:$B$305,0))-1,0,1,14)))/SUM(OFFSET(終値!$E$6,IFERROR(MATCH(分析!$C142,銘柄管理!$B$6:$B$305,0),MATCH(TEXT(分析!$C142,"0"),銘柄管理!$B$6:$B$305,0))-1,0,1,14))*100,"")</f>
      </c>
      <c r="D142">
        <f>IFERROR((MAX(OFFSET(高値!$E$6,IFERROR(MATCH(分析!$C142,銘柄管理!$B$6:$B$305,0),MATCH(TEXT(分析!$C142,"0"),銘柄管理!$B$6:$B$305,0))-1,0,1,25))-MIN(OFFSET(安値!$E$6,IFERROR(MATCH(分析!$C142,銘柄管理!$B$6:$B$305,0),MATCH(TEXT(分析!$C142,"0"),銘柄管理!$B$6:$B$305,0))-1,0,1,25)))/分析!$E142*100,"")</f>
      </c>
      <c r="E142">
        <f>IFERROR((分析!$F142-分析!$G142)/分析!$G142*100,"")</f>
      </c>
      <c r="F142">
        <f>IFERROR((分析!$E142-MAX(OFFSET(高値!$E$6,IFERROR(MATCH(分析!$C142,銘柄管理!$B$6:$B$305,0),MATCH(TEXT(分析!$C142,"0"),銘柄管理!$B$6:$B$305,0))-1,0,1,25)))/MAX(OFFSET(高値!$E$6,IFERROR(MATCH(分析!$C142,銘柄管理!$B$6:$B$305,0),MATCH(TEXT(分析!$C142,"0"),銘柄管理!$B$6:$B$305,0))-1,0,1,25))*100,"")</f>
      </c>
      <c r="G142">
        <f>IFERROR((分析!$H142-分析!$I142)/分析!$F142*100,"")</f>
      </c>
      <c r="H142">
        <f>IFERROR(5-COUNTIF($C$3:$C$206,"&lt;"&amp;$C142)/COUNT($C$3:$C$206)-COUNTIF($G$3:$G$206,"&lt;"&amp;$G142)/COUNT($G$3:$G$206)-COUNTIF($D$3:$D$206,"&lt;"&amp;$D142)/COUNT($D$3:$D$206)-COUNTIF(分析!$Z$3:$Z$206,"&lt;"&amp;分析!$Z142)/COUNT(分析!$Z$3:$Z$206)-COUNTIF($E$3:$E$206,"&lt;"&amp;$E142)/COUNT($E$3:$E$206),"")</f>
      </c>
      <c r="I142">
        <f>IF(OR(A142="",A142="TOPX",C142="",H142=""),0,IF(AND(V811設定!$E$11=1,C142&lt;=V811設定!$E$3,D142&lt;=V811設定!$E$4,E142&lt;=V811設定!$E$5,分析!$Z142&lt;=V811設定!$E$6,分析!$Z142&gt;=V811設定!$E$7,F142&gt;=V811設定!$E$8,G142&lt;=V811設定!$E$9),1,0))</f>
      </c>
      <c r="J142">
        <f>IF(A142="","",IF(I142=1,"○ゲート通過",IF(V811設定!$E$11&lt;&gt;1,"― 停止中",IF(C142&gt;V811設定!$E$3,"×値動きが荒い",IF(D142&gt;V811設定!$E$4,"×レンジが広い",IF(E142&gt;V811設定!$E$5,"×窓を開けて上昇",IF(分析!$Z142&gt;V811設定!$E$6,"×前日に急騰",IF(分析!$Z142&lt;V811設定!$E$7,"×前日に急落",IF(F142&lt;V811設定!$E$8,"×高値から離れすぎ",IF(G142&gt;V811設定!$E$9,"×当日の値幅が大きい","×"))))))))))</f>
      </c>
      <c r="K142">
        <f>IF(売分析!$C142="","",売分析!$C142)</f>
      </c>
      <c r="L142">
        <f>IF(売分析!$C142="","",売分析!$D142)</f>
      </c>
      <c r="M142">
        <f>IFERROR((SUM(OFFSET(高値!$E$6,IFERROR(MATCH(売分析!$C142,銘柄管理!$B$6:$B$305,0),MATCH(TEXT(売分析!$C142,"0"),銘柄管理!$B$6:$B$305,0))-1,0,1,14))-SUM(OFFSET(安値!$E$6,IFERROR(MATCH(売分析!$C142,銘柄管理!$B$6:$B$305,0),MATCH(TEXT(売分析!$C142,"0"),銘柄管理!$B$6:$B$305,0))-1,0,1,14)))/SUM(OFFSET(終値!$E$6,IFERROR(MATCH(売分析!$C142,銘柄管理!$B$6:$B$305,0),MATCH(TEXT(売分析!$C142,"0"),銘柄管理!$B$6:$B$305,0))-1,0,1,14))*100,"")</f>
      </c>
      <c r="N142">
        <f>IFERROR((MAX(OFFSET(高値!$E$6,IFERROR(MATCH(売分析!$C142,銘柄管理!$B$6:$B$305,0),MATCH(TEXT(売分析!$C142,"0"),銘柄管理!$B$6:$B$305,0))-1,0,1,25))-MIN(OFFSET(安値!$E$6,IFERROR(MATCH(売分析!$C142,銘柄管理!$B$6:$B$305,0),MATCH(TEXT(売分析!$C142,"0"),銘柄管理!$B$6:$B$305,0))-1,0,1,25)))/売分析!$E142*100,"")</f>
      </c>
      <c r="O142">
        <f>IFERROR((売分析!$F142-売分析!$G142)/売分析!$G142*100,"")</f>
      </c>
      <c r="P142">
        <f>IFERROR((売分析!$E142-MAX(OFFSET(高値!$E$6,IFERROR(MATCH(売分析!$C142,銘柄管理!$B$6:$B$305,0),MATCH(TEXT(売分析!$C142,"0"),銘柄管理!$B$6:$B$305,0))-1,0,1,25)))/MAX(OFFSET(高値!$E$6,IFERROR(MATCH(売分析!$C142,銘柄管理!$B$6:$B$305,0),MATCH(TEXT(売分析!$C142,"0"),銘柄管理!$B$6:$B$305,0))-1,0,1,25))*100,"")</f>
      </c>
      <c r="Q142">
        <f>IFERROR((売分析!$H142-売分析!$I142)/売分析!$F142*100,"")</f>
      </c>
      <c r="R142">
        <f>IFERROR(5-COUNTIF($M$3:$M$206,"&lt;"&amp;$M142)/COUNT($M$3:$M$206)-COUNTIF($Q$3:$Q$206,"&lt;"&amp;$Q142)/COUNT($Q$3:$Q$206)-COUNTIF($N$3:$N$206,"&lt;"&amp;$N142)/COUNT($N$3:$N$206)-COUNTIF(売分析!$Z$3:$Z$206,"&lt;"&amp;売分析!$Z142)/COUNT(売分析!$Z$3:$Z$206)-COUNTIF($O$3:$O$206,"&lt;"&amp;$O142)/COUNT($O$3:$O$206),"")</f>
      </c>
      <c r="S142">
        <f>IF(OR(K142="",K142="TOPX",M142="",R142=""),0,IF(AND(V811設定!$E$12=1,M142&lt;=V811設定!$E$3,N142&lt;=V811設定!$E$4,O142&lt;=V811設定!$E$5,売分析!$Z142&lt;=V811設定!$E$6,売分析!$Z142&gt;=V811設定!$E$7,P142&gt;=V811設定!$E$8,Q142&lt;=V811設定!$E$9),1,0))</f>
      </c>
      <c r="T142">
        <f>IF(K142="","",IF(S142=1,"○ゲート通過",IF(V811設定!$E$12&lt;&gt;1,"― 停止中",IF(M142&gt;V811設定!$E$3,"×値動きが荒い",IF(N142&gt;V811設定!$E$4,"×レンジが広い",IF(O142&gt;V811設定!$E$5,"×窓を開けて上昇",IF(売分析!$Z142&gt;V811設定!$E$6,"×前日に急騰",IF(売分析!$Z142&lt;V811設定!$E$7,"×前日に急落",IF(P142&lt;V811設定!$E$8,"×高値から離れすぎ",IF(Q142&gt;V811設定!$E$9,"×当日の値幅が大きい","×"))))))))))</f>
      </c>
    </row>
    <row r="143" spans="1:20">
      <c r="A143">
        <f>IF(分析!$C143="","",分析!$C143)</f>
      </c>
      <c r="B143">
        <f>IF(分析!$C143="","",分析!$D143)</f>
      </c>
      <c r="C143">
        <f>IFERROR((SUM(OFFSET(高値!$E$6,IFERROR(MATCH(分析!$C143,銘柄管理!$B$6:$B$305,0),MATCH(TEXT(分析!$C143,"0"),銘柄管理!$B$6:$B$305,0))-1,0,1,14))-SUM(OFFSET(安値!$E$6,IFERROR(MATCH(分析!$C143,銘柄管理!$B$6:$B$305,0),MATCH(TEXT(分析!$C143,"0"),銘柄管理!$B$6:$B$305,0))-1,0,1,14)))/SUM(OFFSET(終値!$E$6,IFERROR(MATCH(分析!$C143,銘柄管理!$B$6:$B$305,0),MATCH(TEXT(分析!$C143,"0"),銘柄管理!$B$6:$B$305,0))-1,0,1,14))*100,"")</f>
      </c>
      <c r="D143">
        <f>IFERROR((MAX(OFFSET(高値!$E$6,IFERROR(MATCH(分析!$C143,銘柄管理!$B$6:$B$305,0),MATCH(TEXT(分析!$C143,"0"),銘柄管理!$B$6:$B$305,0))-1,0,1,25))-MIN(OFFSET(安値!$E$6,IFERROR(MATCH(分析!$C143,銘柄管理!$B$6:$B$305,0),MATCH(TEXT(分析!$C143,"0"),銘柄管理!$B$6:$B$305,0))-1,0,1,25)))/分析!$E143*100,"")</f>
      </c>
      <c r="E143">
        <f>IFERROR((分析!$F143-分析!$G143)/分析!$G143*100,"")</f>
      </c>
      <c r="F143">
        <f>IFERROR((分析!$E143-MAX(OFFSET(高値!$E$6,IFERROR(MATCH(分析!$C143,銘柄管理!$B$6:$B$305,0),MATCH(TEXT(分析!$C143,"0"),銘柄管理!$B$6:$B$305,0))-1,0,1,25)))/MAX(OFFSET(高値!$E$6,IFERROR(MATCH(分析!$C143,銘柄管理!$B$6:$B$305,0),MATCH(TEXT(分析!$C143,"0"),銘柄管理!$B$6:$B$305,0))-1,0,1,25))*100,"")</f>
      </c>
      <c r="G143">
        <f>IFERROR((分析!$H143-分析!$I143)/分析!$F143*100,"")</f>
      </c>
      <c r="H143">
        <f>IFERROR(5-COUNTIF($C$3:$C$206,"&lt;"&amp;$C143)/COUNT($C$3:$C$206)-COUNTIF($G$3:$G$206,"&lt;"&amp;$G143)/COUNT($G$3:$G$206)-COUNTIF($D$3:$D$206,"&lt;"&amp;$D143)/COUNT($D$3:$D$206)-COUNTIF(分析!$Z$3:$Z$206,"&lt;"&amp;分析!$Z143)/COUNT(分析!$Z$3:$Z$206)-COUNTIF($E$3:$E$206,"&lt;"&amp;$E143)/COUNT($E$3:$E$206),"")</f>
      </c>
      <c r="I143">
        <f>IF(OR(A143="",A143="TOPX",C143="",H143=""),0,IF(AND(V811設定!$E$11=1,C143&lt;=V811設定!$E$3,D143&lt;=V811設定!$E$4,E143&lt;=V811設定!$E$5,分析!$Z143&lt;=V811設定!$E$6,分析!$Z143&gt;=V811設定!$E$7,F143&gt;=V811設定!$E$8,G143&lt;=V811設定!$E$9),1,0))</f>
      </c>
      <c r="J143">
        <f>IF(A143="","",IF(I143=1,"○ゲート通過",IF(V811設定!$E$11&lt;&gt;1,"― 停止中",IF(C143&gt;V811設定!$E$3,"×値動きが荒い",IF(D143&gt;V811設定!$E$4,"×レンジが広い",IF(E143&gt;V811設定!$E$5,"×窓を開けて上昇",IF(分析!$Z143&gt;V811設定!$E$6,"×前日に急騰",IF(分析!$Z143&lt;V811設定!$E$7,"×前日に急落",IF(F143&lt;V811設定!$E$8,"×高値から離れすぎ",IF(G143&gt;V811設定!$E$9,"×当日の値幅が大きい","×"))))))))))</f>
      </c>
      <c r="K143">
        <f>IF(売分析!$C143="","",売分析!$C143)</f>
      </c>
      <c r="L143">
        <f>IF(売分析!$C143="","",売分析!$D143)</f>
      </c>
      <c r="M143">
        <f>IFERROR((SUM(OFFSET(高値!$E$6,IFERROR(MATCH(売分析!$C143,銘柄管理!$B$6:$B$305,0),MATCH(TEXT(売分析!$C143,"0"),銘柄管理!$B$6:$B$305,0))-1,0,1,14))-SUM(OFFSET(安値!$E$6,IFERROR(MATCH(売分析!$C143,銘柄管理!$B$6:$B$305,0),MATCH(TEXT(売分析!$C143,"0"),銘柄管理!$B$6:$B$305,0))-1,0,1,14)))/SUM(OFFSET(終値!$E$6,IFERROR(MATCH(売分析!$C143,銘柄管理!$B$6:$B$305,0),MATCH(TEXT(売分析!$C143,"0"),銘柄管理!$B$6:$B$305,0))-1,0,1,14))*100,"")</f>
      </c>
      <c r="N143">
        <f>IFERROR((MAX(OFFSET(高値!$E$6,IFERROR(MATCH(売分析!$C143,銘柄管理!$B$6:$B$305,0),MATCH(TEXT(売分析!$C143,"0"),銘柄管理!$B$6:$B$305,0))-1,0,1,25))-MIN(OFFSET(安値!$E$6,IFERROR(MATCH(売分析!$C143,銘柄管理!$B$6:$B$305,0),MATCH(TEXT(売分析!$C143,"0"),銘柄管理!$B$6:$B$305,0))-1,0,1,25)))/売分析!$E143*100,"")</f>
      </c>
      <c r="O143">
        <f>IFERROR((売分析!$F143-売分析!$G143)/売分析!$G143*100,"")</f>
      </c>
      <c r="P143">
        <f>IFERROR((売分析!$E143-MAX(OFFSET(高値!$E$6,IFERROR(MATCH(売分析!$C143,銘柄管理!$B$6:$B$305,0),MATCH(TEXT(売分析!$C143,"0"),銘柄管理!$B$6:$B$305,0))-1,0,1,25)))/MAX(OFFSET(高値!$E$6,IFERROR(MATCH(売分析!$C143,銘柄管理!$B$6:$B$305,0),MATCH(TEXT(売分析!$C143,"0"),銘柄管理!$B$6:$B$305,0))-1,0,1,25))*100,"")</f>
      </c>
      <c r="Q143">
        <f>IFERROR((売分析!$H143-売分析!$I143)/売分析!$F143*100,"")</f>
      </c>
      <c r="R143">
        <f>IFERROR(5-COUNTIF($M$3:$M$206,"&lt;"&amp;$M143)/COUNT($M$3:$M$206)-COUNTIF($Q$3:$Q$206,"&lt;"&amp;$Q143)/COUNT($Q$3:$Q$206)-COUNTIF($N$3:$N$206,"&lt;"&amp;$N143)/COUNT($N$3:$N$206)-COUNTIF(売分析!$Z$3:$Z$206,"&lt;"&amp;売分析!$Z143)/COUNT(売分析!$Z$3:$Z$206)-COUNTIF($O$3:$O$206,"&lt;"&amp;$O143)/COUNT($O$3:$O$206),"")</f>
      </c>
      <c r="S143">
        <f>IF(OR(K143="",K143="TOPX",M143="",R143=""),0,IF(AND(V811設定!$E$12=1,M143&lt;=V811設定!$E$3,N143&lt;=V811設定!$E$4,O143&lt;=V811設定!$E$5,売分析!$Z143&lt;=V811設定!$E$6,売分析!$Z143&gt;=V811設定!$E$7,P143&gt;=V811設定!$E$8,Q143&lt;=V811設定!$E$9),1,0))</f>
      </c>
      <c r="T143">
        <f>IF(K143="","",IF(S143=1,"○ゲート通過",IF(V811設定!$E$12&lt;&gt;1,"― 停止中",IF(M143&gt;V811設定!$E$3,"×値動きが荒い",IF(N143&gt;V811設定!$E$4,"×レンジが広い",IF(O143&gt;V811設定!$E$5,"×窓を開けて上昇",IF(売分析!$Z143&gt;V811設定!$E$6,"×前日に急騰",IF(売分析!$Z143&lt;V811設定!$E$7,"×前日に急落",IF(P143&lt;V811設定!$E$8,"×高値から離れすぎ",IF(Q143&gt;V811設定!$E$9,"×当日の値幅が大きい","×"))))))))))</f>
      </c>
    </row>
    <row r="144" spans="1:20">
      <c r="A144">
        <f>IF(分析!$C144="","",分析!$C144)</f>
      </c>
      <c r="B144">
        <f>IF(分析!$C144="","",分析!$D144)</f>
      </c>
      <c r="C144">
        <f>IFERROR((SUM(OFFSET(高値!$E$6,IFERROR(MATCH(分析!$C144,銘柄管理!$B$6:$B$305,0),MATCH(TEXT(分析!$C144,"0"),銘柄管理!$B$6:$B$305,0))-1,0,1,14))-SUM(OFFSET(安値!$E$6,IFERROR(MATCH(分析!$C144,銘柄管理!$B$6:$B$305,0),MATCH(TEXT(分析!$C144,"0"),銘柄管理!$B$6:$B$305,0))-1,0,1,14)))/SUM(OFFSET(終値!$E$6,IFERROR(MATCH(分析!$C144,銘柄管理!$B$6:$B$305,0),MATCH(TEXT(分析!$C144,"0"),銘柄管理!$B$6:$B$305,0))-1,0,1,14))*100,"")</f>
      </c>
      <c r="D144">
        <f>IFERROR((MAX(OFFSET(高値!$E$6,IFERROR(MATCH(分析!$C144,銘柄管理!$B$6:$B$305,0),MATCH(TEXT(分析!$C144,"0"),銘柄管理!$B$6:$B$305,0))-1,0,1,25))-MIN(OFFSET(安値!$E$6,IFERROR(MATCH(分析!$C144,銘柄管理!$B$6:$B$305,0),MATCH(TEXT(分析!$C144,"0"),銘柄管理!$B$6:$B$305,0))-1,0,1,25)))/分析!$E144*100,"")</f>
      </c>
      <c r="E144">
        <f>IFERROR((分析!$F144-分析!$G144)/分析!$G144*100,"")</f>
      </c>
      <c r="F144">
        <f>IFERROR((分析!$E144-MAX(OFFSET(高値!$E$6,IFERROR(MATCH(分析!$C144,銘柄管理!$B$6:$B$305,0),MATCH(TEXT(分析!$C144,"0"),銘柄管理!$B$6:$B$305,0))-1,0,1,25)))/MAX(OFFSET(高値!$E$6,IFERROR(MATCH(分析!$C144,銘柄管理!$B$6:$B$305,0),MATCH(TEXT(分析!$C144,"0"),銘柄管理!$B$6:$B$305,0))-1,0,1,25))*100,"")</f>
      </c>
      <c r="G144">
        <f>IFERROR((分析!$H144-分析!$I144)/分析!$F144*100,"")</f>
      </c>
      <c r="H144">
        <f>IFERROR(5-COUNTIF($C$3:$C$206,"&lt;"&amp;$C144)/COUNT($C$3:$C$206)-COUNTIF($G$3:$G$206,"&lt;"&amp;$G144)/COUNT($G$3:$G$206)-COUNTIF($D$3:$D$206,"&lt;"&amp;$D144)/COUNT($D$3:$D$206)-COUNTIF(分析!$Z$3:$Z$206,"&lt;"&amp;分析!$Z144)/COUNT(分析!$Z$3:$Z$206)-COUNTIF($E$3:$E$206,"&lt;"&amp;$E144)/COUNT($E$3:$E$206),"")</f>
      </c>
      <c r="I144">
        <f>IF(OR(A144="",A144="TOPX",C144="",H144=""),0,IF(AND(V811設定!$E$11=1,C144&lt;=V811設定!$E$3,D144&lt;=V811設定!$E$4,E144&lt;=V811設定!$E$5,分析!$Z144&lt;=V811設定!$E$6,分析!$Z144&gt;=V811設定!$E$7,F144&gt;=V811設定!$E$8,G144&lt;=V811設定!$E$9),1,0))</f>
      </c>
      <c r="J144">
        <f>IF(A144="","",IF(I144=1,"○ゲート通過",IF(V811設定!$E$11&lt;&gt;1,"― 停止中",IF(C144&gt;V811設定!$E$3,"×値動きが荒い",IF(D144&gt;V811設定!$E$4,"×レンジが広い",IF(E144&gt;V811設定!$E$5,"×窓を開けて上昇",IF(分析!$Z144&gt;V811設定!$E$6,"×前日に急騰",IF(分析!$Z144&lt;V811設定!$E$7,"×前日に急落",IF(F144&lt;V811設定!$E$8,"×高値から離れすぎ",IF(G144&gt;V811設定!$E$9,"×当日の値幅が大きい","×"))))))))))</f>
      </c>
      <c r="K144">
        <f>IF(売分析!$C144="","",売分析!$C144)</f>
      </c>
      <c r="L144">
        <f>IF(売分析!$C144="","",売分析!$D144)</f>
      </c>
      <c r="M144">
        <f>IFERROR((SUM(OFFSET(高値!$E$6,IFERROR(MATCH(売分析!$C144,銘柄管理!$B$6:$B$305,0),MATCH(TEXT(売分析!$C144,"0"),銘柄管理!$B$6:$B$305,0))-1,0,1,14))-SUM(OFFSET(安値!$E$6,IFERROR(MATCH(売分析!$C144,銘柄管理!$B$6:$B$305,0),MATCH(TEXT(売分析!$C144,"0"),銘柄管理!$B$6:$B$305,0))-1,0,1,14)))/SUM(OFFSET(終値!$E$6,IFERROR(MATCH(売分析!$C144,銘柄管理!$B$6:$B$305,0),MATCH(TEXT(売分析!$C144,"0"),銘柄管理!$B$6:$B$305,0))-1,0,1,14))*100,"")</f>
      </c>
      <c r="N144">
        <f>IFERROR((MAX(OFFSET(高値!$E$6,IFERROR(MATCH(売分析!$C144,銘柄管理!$B$6:$B$305,0),MATCH(TEXT(売分析!$C144,"0"),銘柄管理!$B$6:$B$305,0))-1,0,1,25))-MIN(OFFSET(安値!$E$6,IFERROR(MATCH(売分析!$C144,銘柄管理!$B$6:$B$305,0),MATCH(TEXT(売分析!$C144,"0"),銘柄管理!$B$6:$B$305,0))-1,0,1,25)))/売分析!$E144*100,"")</f>
      </c>
      <c r="O144">
        <f>IFERROR((売分析!$F144-売分析!$G144)/売分析!$G144*100,"")</f>
      </c>
      <c r="P144">
        <f>IFERROR((売分析!$E144-MAX(OFFSET(高値!$E$6,IFERROR(MATCH(売分析!$C144,銘柄管理!$B$6:$B$305,0),MATCH(TEXT(売分析!$C144,"0"),銘柄管理!$B$6:$B$305,0))-1,0,1,25)))/MAX(OFFSET(高値!$E$6,IFERROR(MATCH(売分析!$C144,銘柄管理!$B$6:$B$305,0),MATCH(TEXT(売分析!$C144,"0"),銘柄管理!$B$6:$B$305,0))-1,0,1,25))*100,"")</f>
      </c>
      <c r="Q144">
        <f>IFERROR((売分析!$H144-売分析!$I144)/売分析!$F144*100,"")</f>
      </c>
      <c r="R144">
        <f>IFERROR(5-COUNTIF($M$3:$M$206,"&lt;"&amp;$M144)/COUNT($M$3:$M$206)-COUNTIF($Q$3:$Q$206,"&lt;"&amp;$Q144)/COUNT($Q$3:$Q$206)-COUNTIF($N$3:$N$206,"&lt;"&amp;$N144)/COUNT($N$3:$N$206)-COUNTIF(売分析!$Z$3:$Z$206,"&lt;"&amp;売分析!$Z144)/COUNT(売分析!$Z$3:$Z$206)-COUNTIF($O$3:$O$206,"&lt;"&amp;$O144)/COUNT($O$3:$O$206),"")</f>
      </c>
      <c r="S144">
        <f>IF(OR(K144="",K144="TOPX",M144="",R144=""),0,IF(AND(V811設定!$E$12=1,M144&lt;=V811設定!$E$3,N144&lt;=V811設定!$E$4,O144&lt;=V811設定!$E$5,売分析!$Z144&lt;=V811設定!$E$6,売分析!$Z144&gt;=V811設定!$E$7,P144&gt;=V811設定!$E$8,Q144&lt;=V811設定!$E$9),1,0))</f>
      </c>
      <c r="T144">
        <f>IF(K144="","",IF(S144=1,"○ゲート通過",IF(V811設定!$E$12&lt;&gt;1,"― 停止中",IF(M144&gt;V811設定!$E$3,"×値動きが荒い",IF(N144&gt;V811設定!$E$4,"×レンジが広い",IF(O144&gt;V811設定!$E$5,"×窓を開けて上昇",IF(売分析!$Z144&gt;V811設定!$E$6,"×前日に急騰",IF(売分析!$Z144&lt;V811設定!$E$7,"×前日に急落",IF(P144&lt;V811設定!$E$8,"×高値から離れすぎ",IF(Q144&gt;V811設定!$E$9,"×当日の値幅が大きい","×"))))))))))</f>
      </c>
    </row>
    <row r="145" spans="1:20">
      <c r="A145">
        <f>IF(分析!$C145="","",分析!$C145)</f>
      </c>
      <c r="B145">
        <f>IF(分析!$C145="","",分析!$D145)</f>
      </c>
      <c r="C145">
        <f>IFERROR((SUM(OFFSET(高値!$E$6,IFERROR(MATCH(分析!$C145,銘柄管理!$B$6:$B$305,0),MATCH(TEXT(分析!$C145,"0"),銘柄管理!$B$6:$B$305,0))-1,0,1,14))-SUM(OFFSET(安値!$E$6,IFERROR(MATCH(分析!$C145,銘柄管理!$B$6:$B$305,0),MATCH(TEXT(分析!$C145,"0"),銘柄管理!$B$6:$B$305,0))-1,0,1,14)))/SUM(OFFSET(終値!$E$6,IFERROR(MATCH(分析!$C145,銘柄管理!$B$6:$B$305,0),MATCH(TEXT(分析!$C145,"0"),銘柄管理!$B$6:$B$305,0))-1,0,1,14))*100,"")</f>
      </c>
      <c r="D145">
        <f>IFERROR((MAX(OFFSET(高値!$E$6,IFERROR(MATCH(分析!$C145,銘柄管理!$B$6:$B$305,0),MATCH(TEXT(分析!$C145,"0"),銘柄管理!$B$6:$B$305,0))-1,0,1,25))-MIN(OFFSET(安値!$E$6,IFERROR(MATCH(分析!$C145,銘柄管理!$B$6:$B$305,0),MATCH(TEXT(分析!$C145,"0"),銘柄管理!$B$6:$B$305,0))-1,0,1,25)))/分析!$E145*100,"")</f>
      </c>
      <c r="E145">
        <f>IFERROR((分析!$F145-分析!$G145)/分析!$G145*100,"")</f>
      </c>
      <c r="F145">
        <f>IFERROR((分析!$E145-MAX(OFFSET(高値!$E$6,IFERROR(MATCH(分析!$C145,銘柄管理!$B$6:$B$305,0),MATCH(TEXT(分析!$C145,"0"),銘柄管理!$B$6:$B$305,0))-1,0,1,25)))/MAX(OFFSET(高値!$E$6,IFERROR(MATCH(分析!$C145,銘柄管理!$B$6:$B$305,0),MATCH(TEXT(分析!$C145,"0"),銘柄管理!$B$6:$B$305,0))-1,0,1,25))*100,"")</f>
      </c>
      <c r="G145">
        <f>IFERROR((分析!$H145-分析!$I145)/分析!$F145*100,"")</f>
      </c>
      <c r="H145">
        <f>IFERROR(5-COUNTIF($C$3:$C$206,"&lt;"&amp;$C145)/COUNT($C$3:$C$206)-COUNTIF($G$3:$G$206,"&lt;"&amp;$G145)/COUNT($G$3:$G$206)-COUNTIF($D$3:$D$206,"&lt;"&amp;$D145)/COUNT($D$3:$D$206)-COUNTIF(分析!$Z$3:$Z$206,"&lt;"&amp;分析!$Z145)/COUNT(分析!$Z$3:$Z$206)-COUNTIF($E$3:$E$206,"&lt;"&amp;$E145)/COUNT($E$3:$E$206),"")</f>
      </c>
      <c r="I145">
        <f>IF(OR(A145="",A145="TOPX",C145="",H145=""),0,IF(AND(V811設定!$E$11=1,C145&lt;=V811設定!$E$3,D145&lt;=V811設定!$E$4,E145&lt;=V811設定!$E$5,分析!$Z145&lt;=V811設定!$E$6,分析!$Z145&gt;=V811設定!$E$7,F145&gt;=V811設定!$E$8,G145&lt;=V811設定!$E$9),1,0))</f>
      </c>
      <c r="J145">
        <f>IF(A145="","",IF(I145=1,"○ゲート通過",IF(V811設定!$E$11&lt;&gt;1,"― 停止中",IF(C145&gt;V811設定!$E$3,"×値動きが荒い",IF(D145&gt;V811設定!$E$4,"×レンジが広い",IF(E145&gt;V811設定!$E$5,"×窓を開けて上昇",IF(分析!$Z145&gt;V811設定!$E$6,"×前日に急騰",IF(分析!$Z145&lt;V811設定!$E$7,"×前日に急落",IF(F145&lt;V811設定!$E$8,"×高値から離れすぎ",IF(G145&gt;V811設定!$E$9,"×当日の値幅が大きい","×"))))))))))</f>
      </c>
      <c r="K145">
        <f>IF(売分析!$C145="","",売分析!$C145)</f>
      </c>
      <c r="L145">
        <f>IF(売分析!$C145="","",売分析!$D145)</f>
      </c>
      <c r="M145">
        <f>IFERROR((SUM(OFFSET(高値!$E$6,IFERROR(MATCH(売分析!$C145,銘柄管理!$B$6:$B$305,0),MATCH(TEXT(売分析!$C145,"0"),銘柄管理!$B$6:$B$305,0))-1,0,1,14))-SUM(OFFSET(安値!$E$6,IFERROR(MATCH(売分析!$C145,銘柄管理!$B$6:$B$305,0),MATCH(TEXT(売分析!$C145,"0"),銘柄管理!$B$6:$B$305,0))-1,0,1,14)))/SUM(OFFSET(終値!$E$6,IFERROR(MATCH(売分析!$C145,銘柄管理!$B$6:$B$305,0),MATCH(TEXT(売分析!$C145,"0"),銘柄管理!$B$6:$B$305,0))-1,0,1,14))*100,"")</f>
      </c>
      <c r="N145">
        <f>IFERROR((MAX(OFFSET(高値!$E$6,IFERROR(MATCH(売分析!$C145,銘柄管理!$B$6:$B$305,0),MATCH(TEXT(売分析!$C145,"0"),銘柄管理!$B$6:$B$305,0))-1,0,1,25))-MIN(OFFSET(安値!$E$6,IFERROR(MATCH(売分析!$C145,銘柄管理!$B$6:$B$305,0),MATCH(TEXT(売分析!$C145,"0"),銘柄管理!$B$6:$B$305,0))-1,0,1,25)))/売分析!$E145*100,"")</f>
      </c>
      <c r="O145">
        <f>IFERROR((売分析!$F145-売分析!$G145)/売分析!$G145*100,"")</f>
      </c>
      <c r="P145">
        <f>IFERROR((売分析!$E145-MAX(OFFSET(高値!$E$6,IFERROR(MATCH(売分析!$C145,銘柄管理!$B$6:$B$305,0),MATCH(TEXT(売分析!$C145,"0"),銘柄管理!$B$6:$B$305,0))-1,0,1,25)))/MAX(OFFSET(高値!$E$6,IFERROR(MATCH(売分析!$C145,銘柄管理!$B$6:$B$305,0),MATCH(TEXT(売分析!$C145,"0"),銘柄管理!$B$6:$B$305,0))-1,0,1,25))*100,"")</f>
      </c>
      <c r="Q145">
        <f>IFERROR((売分析!$H145-売分析!$I145)/売分析!$F145*100,"")</f>
      </c>
      <c r="R145">
        <f>IFERROR(5-COUNTIF($M$3:$M$206,"&lt;"&amp;$M145)/COUNT($M$3:$M$206)-COUNTIF($Q$3:$Q$206,"&lt;"&amp;$Q145)/COUNT($Q$3:$Q$206)-COUNTIF($N$3:$N$206,"&lt;"&amp;$N145)/COUNT($N$3:$N$206)-COUNTIF(売分析!$Z$3:$Z$206,"&lt;"&amp;売分析!$Z145)/COUNT(売分析!$Z$3:$Z$206)-COUNTIF($O$3:$O$206,"&lt;"&amp;$O145)/COUNT($O$3:$O$206),"")</f>
      </c>
      <c r="S145">
        <f>IF(OR(K145="",K145="TOPX",M145="",R145=""),0,IF(AND(V811設定!$E$12=1,M145&lt;=V811設定!$E$3,N145&lt;=V811設定!$E$4,O145&lt;=V811設定!$E$5,売分析!$Z145&lt;=V811設定!$E$6,売分析!$Z145&gt;=V811設定!$E$7,P145&gt;=V811設定!$E$8,Q145&lt;=V811設定!$E$9),1,0))</f>
      </c>
      <c r="T145">
        <f>IF(K145="","",IF(S145=1,"○ゲート通過",IF(V811設定!$E$12&lt;&gt;1,"― 停止中",IF(M145&gt;V811設定!$E$3,"×値動きが荒い",IF(N145&gt;V811設定!$E$4,"×レンジが広い",IF(O145&gt;V811設定!$E$5,"×窓を開けて上昇",IF(売分析!$Z145&gt;V811設定!$E$6,"×前日に急騰",IF(売分析!$Z145&lt;V811設定!$E$7,"×前日に急落",IF(P145&lt;V811設定!$E$8,"×高値から離れすぎ",IF(Q145&gt;V811設定!$E$9,"×当日の値幅が大きい","×"))))))))))</f>
      </c>
    </row>
    <row r="146" spans="1:20">
      <c r="A146">
        <f>IF(分析!$C146="","",分析!$C146)</f>
      </c>
      <c r="B146">
        <f>IF(分析!$C146="","",分析!$D146)</f>
      </c>
      <c r="C146">
        <f>IFERROR((SUM(OFFSET(高値!$E$6,IFERROR(MATCH(分析!$C146,銘柄管理!$B$6:$B$305,0),MATCH(TEXT(分析!$C146,"0"),銘柄管理!$B$6:$B$305,0))-1,0,1,14))-SUM(OFFSET(安値!$E$6,IFERROR(MATCH(分析!$C146,銘柄管理!$B$6:$B$305,0),MATCH(TEXT(分析!$C146,"0"),銘柄管理!$B$6:$B$305,0))-1,0,1,14)))/SUM(OFFSET(終値!$E$6,IFERROR(MATCH(分析!$C146,銘柄管理!$B$6:$B$305,0),MATCH(TEXT(分析!$C146,"0"),銘柄管理!$B$6:$B$305,0))-1,0,1,14))*100,"")</f>
      </c>
      <c r="D146">
        <f>IFERROR((MAX(OFFSET(高値!$E$6,IFERROR(MATCH(分析!$C146,銘柄管理!$B$6:$B$305,0),MATCH(TEXT(分析!$C146,"0"),銘柄管理!$B$6:$B$305,0))-1,0,1,25))-MIN(OFFSET(安値!$E$6,IFERROR(MATCH(分析!$C146,銘柄管理!$B$6:$B$305,0),MATCH(TEXT(分析!$C146,"0"),銘柄管理!$B$6:$B$305,0))-1,0,1,25)))/分析!$E146*100,"")</f>
      </c>
      <c r="E146">
        <f>IFERROR((分析!$F146-分析!$G146)/分析!$G146*100,"")</f>
      </c>
      <c r="F146">
        <f>IFERROR((分析!$E146-MAX(OFFSET(高値!$E$6,IFERROR(MATCH(分析!$C146,銘柄管理!$B$6:$B$305,0),MATCH(TEXT(分析!$C146,"0"),銘柄管理!$B$6:$B$305,0))-1,0,1,25)))/MAX(OFFSET(高値!$E$6,IFERROR(MATCH(分析!$C146,銘柄管理!$B$6:$B$305,0),MATCH(TEXT(分析!$C146,"0"),銘柄管理!$B$6:$B$305,0))-1,0,1,25))*100,"")</f>
      </c>
      <c r="G146">
        <f>IFERROR((分析!$H146-分析!$I146)/分析!$F146*100,"")</f>
      </c>
      <c r="H146">
        <f>IFERROR(5-COUNTIF($C$3:$C$206,"&lt;"&amp;$C146)/COUNT($C$3:$C$206)-COUNTIF($G$3:$G$206,"&lt;"&amp;$G146)/COUNT($G$3:$G$206)-COUNTIF($D$3:$D$206,"&lt;"&amp;$D146)/COUNT($D$3:$D$206)-COUNTIF(分析!$Z$3:$Z$206,"&lt;"&amp;分析!$Z146)/COUNT(分析!$Z$3:$Z$206)-COUNTIF($E$3:$E$206,"&lt;"&amp;$E146)/COUNT($E$3:$E$206),"")</f>
      </c>
      <c r="I146">
        <f>IF(OR(A146="",A146="TOPX",C146="",H146=""),0,IF(AND(V811設定!$E$11=1,C146&lt;=V811設定!$E$3,D146&lt;=V811設定!$E$4,E146&lt;=V811設定!$E$5,分析!$Z146&lt;=V811設定!$E$6,分析!$Z146&gt;=V811設定!$E$7,F146&gt;=V811設定!$E$8,G146&lt;=V811設定!$E$9),1,0))</f>
      </c>
      <c r="J146">
        <f>IF(A146="","",IF(I146=1,"○ゲート通過",IF(V811設定!$E$11&lt;&gt;1,"― 停止中",IF(C146&gt;V811設定!$E$3,"×値動きが荒い",IF(D146&gt;V811設定!$E$4,"×レンジが広い",IF(E146&gt;V811設定!$E$5,"×窓を開けて上昇",IF(分析!$Z146&gt;V811設定!$E$6,"×前日に急騰",IF(分析!$Z146&lt;V811設定!$E$7,"×前日に急落",IF(F146&lt;V811設定!$E$8,"×高値から離れすぎ",IF(G146&gt;V811設定!$E$9,"×当日の値幅が大きい","×"))))))))))</f>
      </c>
      <c r="K146">
        <f>IF(売分析!$C146="","",売分析!$C146)</f>
      </c>
      <c r="L146">
        <f>IF(売分析!$C146="","",売分析!$D146)</f>
      </c>
      <c r="M146">
        <f>IFERROR((SUM(OFFSET(高値!$E$6,IFERROR(MATCH(売分析!$C146,銘柄管理!$B$6:$B$305,0),MATCH(TEXT(売分析!$C146,"0"),銘柄管理!$B$6:$B$305,0))-1,0,1,14))-SUM(OFFSET(安値!$E$6,IFERROR(MATCH(売分析!$C146,銘柄管理!$B$6:$B$305,0),MATCH(TEXT(売分析!$C146,"0"),銘柄管理!$B$6:$B$305,0))-1,0,1,14)))/SUM(OFFSET(終値!$E$6,IFERROR(MATCH(売分析!$C146,銘柄管理!$B$6:$B$305,0),MATCH(TEXT(売分析!$C146,"0"),銘柄管理!$B$6:$B$305,0))-1,0,1,14))*100,"")</f>
      </c>
      <c r="N146">
        <f>IFERROR((MAX(OFFSET(高値!$E$6,IFERROR(MATCH(売分析!$C146,銘柄管理!$B$6:$B$305,0),MATCH(TEXT(売分析!$C146,"0"),銘柄管理!$B$6:$B$305,0))-1,0,1,25))-MIN(OFFSET(安値!$E$6,IFERROR(MATCH(売分析!$C146,銘柄管理!$B$6:$B$305,0),MATCH(TEXT(売分析!$C146,"0"),銘柄管理!$B$6:$B$305,0))-1,0,1,25)))/売分析!$E146*100,"")</f>
      </c>
      <c r="O146">
        <f>IFERROR((売分析!$F146-売分析!$G146)/売分析!$G146*100,"")</f>
      </c>
      <c r="P146">
        <f>IFERROR((売分析!$E146-MAX(OFFSET(高値!$E$6,IFERROR(MATCH(売分析!$C146,銘柄管理!$B$6:$B$305,0),MATCH(TEXT(売分析!$C146,"0"),銘柄管理!$B$6:$B$305,0))-1,0,1,25)))/MAX(OFFSET(高値!$E$6,IFERROR(MATCH(売分析!$C146,銘柄管理!$B$6:$B$305,0),MATCH(TEXT(売分析!$C146,"0"),銘柄管理!$B$6:$B$305,0))-1,0,1,25))*100,"")</f>
      </c>
      <c r="Q146">
        <f>IFERROR((売分析!$H146-売分析!$I146)/売分析!$F146*100,"")</f>
      </c>
      <c r="R146">
        <f>IFERROR(5-COUNTIF($M$3:$M$206,"&lt;"&amp;$M146)/COUNT($M$3:$M$206)-COUNTIF($Q$3:$Q$206,"&lt;"&amp;$Q146)/COUNT($Q$3:$Q$206)-COUNTIF($N$3:$N$206,"&lt;"&amp;$N146)/COUNT($N$3:$N$206)-COUNTIF(売分析!$Z$3:$Z$206,"&lt;"&amp;売分析!$Z146)/COUNT(売分析!$Z$3:$Z$206)-COUNTIF($O$3:$O$206,"&lt;"&amp;$O146)/COUNT($O$3:$O$206),"")</f>
      </c>
      <c r="S146">
        <f>IF(OR(K146="",K146="TOPX",M146="",R146=""),0,IF(AND(V811設定!$E$12=1,M146&lt;=V811設定!$E$3,N146&lt;=V811設定!$E$4,O146&lt;=V811設定!$E$5,売分析!$Z146&lt;=V811設定!$E$6,売分析!$Z146&gt;=V811設定!$E$7,P146&gt;=V811設定!$E$8,Q146&lt;=V811設定!$E$9),1,0))</f>
      </c>
      <c r="T146">
        <f>IF(K146="","",IF(S146=1,"○ゲート通過",IF(V811設定!$E$12&lt;&gt;1,"― 停止中",IF(M146&gt;V811設定!$E$3,"×値動きが荒い",IF(N146&gt;V811設定!$E$4,"×レンジが広い",IF(O146&gt;V811設定!$E$5,"×窓を開けて上昇",IF(売分析!$Z146&gt;V811設定!$E$6,"×前日に急騰",IF(売分析!$Z146&lt;V811設定!$E$7,"×前日に急落",IF(P146&lt;V811設定!$E$8,"×高値から離れすぎ",IF(Q146&gt;V811設定!$E$9,"×当日の値幅が大きい","×"))))))))))</f>
      </c>
    </row>
    <row r="147" spans="1:20">
      <c r="A147">
        <f>IF(分析!$C147="","",分析!$C147)</f>
      </c>
      <c r="B147">
        <f>IF(分析!$C147="","",分析!$D147)</f>
      </c>
      <c r="C147">
        <f>IFERROR((SUM(OFFSET(高値!$E$6,IFERROR(MATCH(分析!$C147,銘柄管理!$B$6:$B$305,0),MATCH(TEXT(分析!$C147,"0"),銘柄管理!$B$6:$B$305,0))-1,0,1,14))-SUM(OFFSET(安値!$E$6,IFERROR(MATCH(分析!$C147,銘柄管理!$B$6:$B$305,0),MATCH(TEXT(分析!$C147,"0"),銘柄管理!$B$6:$B$305,0))-1,0,1,14)))/SUM(OFFSET(終値!$E$6,IFERROR(MATCH(分析!$C147,銘柄管理!$B$6:$B$305,0),MATCH(TEXT(分析!$C147,"0"),銘柄管理!$B$6:$B$305,0))-1,0,1,14))*100,"")</f>
      </c>
      <c r="D147">
        <f>IFERROR((MAX(OFFSET(高値!$E$6,IFERROR(MATCH(分析!$C147,銘柄管理!$B$6:$B$305,0),MATCH(TEXT(分析!$C147,"0"),銘柄管理!$B$6:$B$305,0))-1,0,1,25))-MIN(OFFSET(安値!$E$6,IFERROR(MATCH(分析!$C147,銘柄管理!$B$6:$B$305,0),MATCH(TEXT(分析!$C147,"0"),銘柄管理!$B$6:$B$305,0))-1,0,1,25)))/分析!$E147*100,"")</f>
      </c>
      <c r="E147">
        <f>IFERROR((分析!$F147-分析!$G147)/分析!$G147*100,"")</f>
      </c>
      <c r="F147">
        <f>IFERROR((分析!$E147-MAX(OFFSET(高値!$E$6,IFERROR(MATCH(分析!$C147,銘柄管理!$B$6:$B$305,0),MATCH(TEXT(分析!$C147,"0"),銘柄管理!$B$6:$B$305,0))-1,0,1,25)))/MAX(OFFSET(高値!$E$6,IFERROR(MATCH(分析!$C147,銘柄管理!$B$6:$B$305,0),MATCH(TEXT(分析!$C147,"0"),銘柄管理!$B$6:$B$305,0))-1,0,1,25))*100,"")</f>
      </c>
      <c r="G147">
        <f>IFERROR((分析!$H147-分析!$I147)/分析!$F147*100,"")</f>
      </c>
      <c r="H147">
        <f>IFERROR(5-COUNTIF($C$3:$C$206,"&lt;"&amp;$C147)/COUNT($C$3:$C$206)-COUNTIF($G$3:$G$206,"&lt;"&amp;$G147)/COUNT($G$3:$G$206)-COUNTIF($D$3:$D$206,"&lt;"&amp;$D147)/COUNT($D$3:$D$206)-COUNTIF(分析!$Z$3:$Z$206,"&lt;"&amp;分析!$Z147)/COUNT(分析!$Z$3:$Z$206)-COUNTIF($E$3:$E$206,"&lt;"&amp;$E147)/COUNT($E$3:$E$206),"")</f>
      </c>
      <c r="I147">
        <f>IF(OR(A147="",A147="TOPX",C147="",H147=""),0,IF(AND(V811設定!$E$11=1,C147&lt;=V811設定!$E$3,D147&lt;=V811設定!$E$4,E147&lt;=V811設定!$E$5,分析!$Z147&lt;=V811設定!$E$6,分析!$Z147&gt;=V811設定!$E$7,F147&gt;=V811設定!$E$8,G147&lt;=V811設定!$E$9),1,0))</f>
      </c>
      <c r="J147">
        <f>IF(A147="","",IF(I147=1,"○ゲート通過",IF(V811設定!$E$11&lt;&gt;1,"― 停止中",IF(C147&gt;V811設定!$E$3,"×値動きが荒い",IF(D147&gt;V811設定!$E$4,"×レンジが広い",IF(E147&gt;V811設定!$E$5,"×窓を開けて上昇",IF(分析!$Z147&gt;V811設定!$E$6,"×前日に急騰",IF(分析!$Z147&lt;V811設定!$E$7,"×前日に急落",IF(F147&lt;V811設定!$E$8,"×高値から離れすぎ",IF(G147&gt;V811設定!$E$9,"×当日の値幅が大きい","×"))))))))))</f>
      </c>
      <c r="K147">
        <f>IF(売分析!$C147="","",売分析!$C147)</f>
      </c>
      <c r="L147">
        <f>IF(売分析!$C147="","",売分析!$D147)</f>
      </c>
      <c r="M147">
        <f>IFERROR((SUM(OFFSET(高値!$E$6,IFERROR(MATCH(売分析!$C147,銘柄管理!$B$6:$B$305,0),MATCH(TEXT(売分析!$C147,"0"),銘柄管理!$B$6:$B$305,0))-1,0,1,14))-SUM(OFFSET(安値!$E$6,IFERROR(MATCH(売分析!$C147,銘柄管理!$B$6:$B$305,0),MATCH(TEXT(売分析!$C147,"0"),銘柄管理!$B$6:$B$305,0))-1,0,1,14)))/SUM(OFFSET(終値!$E$6,IFERROR(MATCH(売分析!$C147,銘柄管理!$B$6:$B$305,0),MATCH(TEXT(売分析!$C147,"0"),銘柄管理!$B$6:$B$305,0))-1,0,1,14))*100,"")</f>
      </c>
      <c r="N147">
        <f>IFERROR((MAX(OFFSET(高値!$E$6,IFERROR(MATCH(売分析!$C147,銘柄管理!$B$6:$B$305,0),MATCH(TEXT(売分析!$C147,"0"),銘柄管理!$B$6:$B$305,0))-1,0,1,25))-MIN(OFFSET(安値!$E$6,IFERROR(MATCH(売分析!$C147,銘柄管理!$B$6:$B$305,0),MATCH(TEXT(売分析!$C147,"0"),銘柄管理!$B$6:$B$305,0))-1,0,1,25)))/売分析!$E147*100,"")</f>
      </c>
      <c r="O147">
        <f>IFERROR((売分析!$F147-売分析!$G147)/売分析!$G147*100,"")</f>
      </c>
      <c r="P147">
        <f>IFERROR((売分析!$E147-MAX(OFFSET(高値!$E$6,IFERROR(MATCH(売分析!$C147,銘柄管理!$B$6:$B$305,0),MATCH(TEXT(売分析!$C147,"0"),銘柄管理!$B$6:$B$305,0))-1,0,1,25)))/MAX(OFFSET(高値!$E$6,IFERROR(MATCH(売分析!$C147,銘柄管理!$B$6:$B$305,0),MATCH(TEXT(売分析!$C147,"0"),銘柄管理!$B$6:$B$305,0))-1,0,1,25))*100,"")</f>
      </c>
      <c r="Q147">
        <f>IFERROR((売分析!$H147-売分析!$I147)/売分析!$F147*100,"")</f>
      </c>
      <c r="R147">
        <f>IFERROR(5-COUNTIF($M$3:$M$206,"&lt;"&amp;$M147)/COUNT($M$3:$M$206)-COUNTIF($Q$3:$Q$206,"&lt;"&amp;$Q147)/COUNT($Q$3:$Q$206)-COUNTIF($N$3:$N$206,"&lt;"&amp;$N147)/COUNT($N$3:$N$206)-COUNTIF(売分析!$Z$3:$Z$206,"&lt;"&amp;売分析!$Z147)/COUNT(売分析!$Z$3:$Z$206)-COUNTIF($O$3:$O$206,"&lt;"&amp;$O147)/COUNT($O$3:$O$206),"")</f>
      </c>
      <c r="S147">
        <f>IF(OR(K147="",K147="TOPX",M147="",R147=""),0,IF(AND(V811設定!$E$12=1,M147&lt;=V811設定!$E$3,N147&lt;=V811設定!$E$4,O147&lt;=V811設定!$E$5,売分析!$Z147&lt;=V811設定!$E$6,売分析!$Z147&gt;=V811設定!$E$7,P147&gt;=V811設定!$E$8,Q147&lt;=V811設定!$E$9),1,0))</f>
      </c>
      <c r="T147">
        <f>IF(K147="","",IF(S147=1,"○ゲート通過",IF(V811設定!$E$12&lt;&gt;1,"― 停止中",IF(M147&gt;V811設定!$E$3,"×値動きが荒い",IF(N147&gt;V811設定!$E$4,"×レンジが広い",IF(O147&gt;V811設定!$E$5,"×窓を開けて上昇",IF(売分析!$Z147&gt;V811設定!$E$6,"×前日に急騰",IF(売分析!$Z147&lt;V811設定!$E$7,"×前日に急落",IF(P147&lt;V811設定!$E$8,"×高値から離れすぎ",IF(Q147&gt;V811設定!$E$9,"×当日の値幅が大きい","×"))))))))))</f>
      </c>
    </row>
    <row r="148" spans="1:20">
      <c r="A148">
        <f>IF(分析!$C148="","",分析!$C148)</f>
      </c>
      <c r="B148">
        <f>IF(分析!$C148="","",分析!$D148)</f>
      </c>
      <c r="C148">
        <f>IFERROR((SUM(OFFSET(高値!$E$6,IFERROR(MATCH(分析!$C148,銘柄管理!$B$6:$B$305,0),MATCH(TEXT(分析!$C148,"0"),銘柄管理!$B$6:$B$305,0))-1,0,1,14))-SUM(OFFSET(安値!$E$6,IFERROR(MATCH(分析!$C148,銘柄管理!$B$6:$B$305,0),MATCH(TEXT(分析!$C148,"0"),銘柄管理!$B$6:$B$305,0))-1,0,1,14)))/SUM(OFFSET(終値!$E$6,IFERROR(MATCH(分析!$C148,銘柄管理!$B$6:$B$305,0),MATCH(TEXT(分析!$C148,"0"),銘柄管理!$B$6:$B$305,0))-1,0,1,14))*100,"")</f>
      </c>
      <c r="D148">
        <f>IFERROR((MAX(OFFSET(高値!$E$6,IFERROR(MATCH(分析!$C148,銘柄管理!$B$6:$B$305,0),MATCH(TEXT(分析!$C148,"0"),銘柄管理!$B$6:$B$305,0))-1,0,1,25))-MIN(OFFSET(安値!$E$6,IFERROR(MATCH(分析!$C148,銘柄管理!$B$6:$B$305,0),MATCH(TEXT(分析!$C148,"0"),銘柄管理!$B$6:$B$305,0))-1,0,1,25)))/分析!$E148*100,"")</f>
      </c>
      <c r="E148">
        <f>IFERROR((分析!$F148-分析!$G148)/分析!$G148*100,"")</f>
      </c>
      <c r="F148">
        <f>IFERROR((分析!$E148-MAX(OFFSET(高値!$E$6,IFERROR(MATCH(分析!$C148,銘柄管理!$B$6:$B$305,0),MATCH(TEXT(分析!$C148,"0"),銘柄管理!$B$6:$B$305,0))-1,0,1,25)))/MAX(OFFSET(高値!$E$6,IFERROR(MATCH(分析!$C148,銘柄管理!$B$6:$B$305,0),MATCH(TEXT(分析!$C148,"0"),銘柄管理!$B$6:$B$305,0))-1,0,1,25))*100,"")</f>
      </c>
      <c r="G148">
        <f>IFERROR((分析!$H148-分析!$I148)/分析!$F148*100,"")</f>
      </c>
      <c r="H148">
        <f>IFERROR(5-COUNTIF($C$3:$C$206,"&lt;"&amp;$C148)/COUNT($C$3:$C$206)-COUNTIF($G$3:$G$206,"&lt;"&amp;$G148)/COUNT($G$3:$G$206)-COUNTIF($D$3:$D$206,"&lt;"&amp;$D148)/COUNT($D$3:$D$206)-COUNTIF(分析!$Z$3:$Z$206,"&lt;"&amp;分析!$Z148)/COUNT(分析!$Z$3:$Z$206)-COUNTIF($E$3:$E$206,"&lt;"&amp;$E148)/COUNT($E$3:$E$206),"")</f>
      </c>
      <c r="I148">
        <f>IF(OR(A148="",A148="TOPX",C148="",H148=""),0,IF(AND(V811設定!$E$11=1,C148&lt;=V811設定!$E$3,D148&lt;=V811設定!$E$4,E148&lt;=V811設定!$E$5,分析!$Z148&lt;=V811設定!$E$6,分析!$Z148&gt;=V811設定!$E$7,F148&gt;=V811設定!$E$8,G148&lt;=V811設定!$E$9),1,0))</f>
      </c>
      <c r="J148">
        <f>IF(A148="","",IF(I148=1,"○ゲート通過",IF(V811設定!$E$11&lt;&gt;1,"― 停止中",IF(C148&gt;V811設定!$E$3,"×値動きが荒い",IF(D148&gt;V811設定!$E$4,"×レンジが広い",IF(E148&gt;V811設定!$E$5,"×窓を開けて上昇",IF(分析!$Z148&gt;V811設定!$E$6,"×前日に急騰",IF(分析!$Z148&lt;V811設定!$E$7,"×前日に急落",IF(F148&lt;V811設定!$E$8,"×高値から離れすぎ",IF(G148&gt;V811設定!$E$9,"×当日の値幅が大きい","×"))))))))))</f>
      </c>
      <c r="K148">
        <f>IF(売分析!$C148="","",売分析!$C148)</f>
      </c>
      <c r="L148">
        <f>IF(売分析!$C148="","",売分析!$D148)</f>
      </c>
      <c r="M148">
        <f>IFERROR((SUM(OFFSET(高値!$E$6,IFERROR(MATCH(売分析!$C148,銘柄管理!$B$6:$B$305,0),MATCH(TEXT(売分析!$C148,"0"),銘柄管理!$B$6:$B$305,0))-1,0,1,14))-SUM(OFFSET(安値!$E$6,IFERROR(MATCH(売分析!$C148,銘柄管理!$B$6:$B$305,0),MATCH(TEXT(売分析!$C148,"0"),銘柄管理!$B$6:$B$305,0))-1,0,1,14)))/SUM(OFFSET(終値!$E$6,IFERROR(MATCH(売分析!$C148,銘柄管理!$B$6:$B$305,0),MATCH(TEXT(売分析!$C148,"0"),銘柄管理!$B$6:$B$305,0))-1,0,1,14))*100,"")</f>
      </c>
      <c r="N148">
        <f>IFERROR((MAX(OFFSET(高値!$E$6,IFERROR(MATCH(売分析!$C148,銘柄管理!$B$6:$B$305,0),MATCH(TEXT(売分析!$C148,"0"),銘柄管理!$B$6:$B$305,0))-1,0,1,25))-MIN(OFFSET(安値!$E$6,IFERROR(MATCH(売分析!$C148,銘柄管理!$B$6:$B$305,0),MATCH(TEXT(売分析!$C148,"0"),銘柄管理!$B$6:$B$305,0))-1,0,1,25)))/売分析!$E148*100,"")</f>
      </c>
      <c r="O148">
        <f>IFERROR((売分析!$F148-売分析!$G148)/売分析!$G148*100,"")</f>
      </c>
      <c r="P148">
        <f>IFERROR((売分析!$E148-MAX(OFFSET(高値!$E$6,IFERROR(MATCH(売分析!$C148,銘柄管理!$B$6:$B$305,0),MATCH(TEXT(売分析!$C148,"0"),銘柄管理!$B$6:$B$305,0))-1,0,1,25)))/MAX(OFFSET(高値!$E$6,IFERROR(MATCH(売分析!$C148,銘柄管理!$B$6:$B$305,0),MATCH(TEXT(売分析!$C148,"0"),銘柄管理!$B$6:$B$305,0))-1,0,1,25))*100,"")</f>
      </c>
      <c r="Q148">
        <f>IFERROR((売分析!$H148-売分析!$I148)/売分析!$F148*100,"")</f>
      </c>
      <c r="R148">
        <f>IFERROR(5-COUNTIF($M$3:$M$206,"&lt;"&amp;$M148)/COUNT($M$3:$M$206)-COUNTIF($Q$3:$Q$206,"&lt;"&amp;$Q148)/COUNT($Q$3:$Q$206)-COUNTIF($N$3:$N$206,"&lt;"&amp;$N148)/COUNT($N$3:$N$206)-COUNTIF(売分析!$Z$3:$Z$206,"&lt;"&amp;売分析!$Z148)/COUNT(売分析!$Z$3:$Z$206)-COUNTIF($O$3:$O$206,"&lt;"&amp;$O148)/COUNT($O$3:$O$206),"")</f>
      </c>
      <c r="S148">
        <f>IF(OR(K148="",K148="TOPX",M148="",R148=""),0,IF(AND(V811設定!$E$12=1,M148&lt;=V811設定!$E$3,N148&lt;=V811設定!$E$4,O148&lt;=V811設定!$E$5,売分析!$Z148&lt;=V811設定!$E$6,売分析!$Z148&gt;=V811設定!$E$7,P148&gt;=V811設定!$E$8,Q148&lt;=V811設定!$E$9),1,0))</f>
      </c>
      <c r="T148">
        <f>IF(K148="","",IF(S148=1,"○ゲート通過",IF(V811設定!$E$12&lt;&gt;1,"― 停止中",IF(M148&gt;V811設定!$E$3,"×値動きが荒い",IF(N148&gt;V811設定!$E$4,"×レンジが広い",IF(O148&gt;V811設定!$E$5,"×窓を開けて上昇",IF(売分析!$Z148&gt;V811設定!$E$6,"×前日に急騰",IF(売分析!$Z148&lt;V811設定!$E$7,"×前日に急落",IF(P148&lt;V811設定!$E$8,"×高値から離れすぎ",IF(Q148&gt;V811設定!$E$9,"×当日の値幅が大きい","×"))))))))))</f>
      </c>
    </row>
    <row r="149" spans="1:20">
      <c r="A149">
        <f>IF(分析!$C149="","",分析!$C149)</f>
      </c>
      <c r="B149">
        <f>IF(分析!$C149="","",分析!$D149)</f>
      </c>
      <c r="C149">
        <f>IFERROR((SUM(OFFSET(高値!$E$6,IFERROR(MATCH(分析!$C149,銘柄管理!$B$6:$B$305,0),MATCH(TEXT(分析!$C149,"0"),銘柄管理!$B$6:$B$305,0))-1,0,1,14))-SUM(OFFSET(安値!$E$6,IFERROR(MATCH(分析!$C149,銘柄管理!$B$6:$B$305,0),MATCH(TEXT(分析!$C149,"0"),銘柄管理!$B$6:$B$305,0))-1,0,1,14)))/SUM(OFFSET(終値!$E$6,IFERROR(MATCH(分析!$C149,銘柄管理!$B$6:$B$305,0),MATCH(TEXT(分析!$C149,"0"),銘柄管理!$B$6:$B$305,0))-1,0,1,14))*100,"")</f>
      </c>
      <c r="D149">
        <f>IFERROR((MAX(OFFSET(高値!$E$6,IFERROR(MATCH(分析!$C149,銘柄管理!$B$6:$B$305,0),MATCH(TEXT(分析!$C149,"0"),銘柄管理!$B$6:$B$305,0))-1,0,1,25))-MIN(OFFSET(安値!$E$6,IFERROR(MATCH(分析!$C149,銘柄管理!$B$6:$B$305,0),MATCH(TEXT(分析!$C149,"0"),銘柄管理!$B$6:$B$305,0))-1,0,1,25)))/分析!$E149*100,"")</f>
      </c>
      <c r="E149">
        <f>IFERROR((分析!$F149-分析!$G149)/分析!$G149*100,"")</f>
      </c>
      <c r="F149">
        <f>IFERROR((分析!$E149-MAX(OFFSET(高値!$E$6,IFERROR(MATCH(分析!$C149,銘柄管理!$B$6:$B$305,0),MATCH(TEXT(分析!$C149,"0"),銘柄管理!$B$6:$B$305,0))-1,0,1,25)))/MAX(OFFSET(高値!$E$6,IFERROR(MATCH(分析!$C149,銘柄管理!$B$6:$B$305,0),MATCH(TEXT(分析!$C149,"0"),銘柄管理!$B$6:$B$305,0))-1,0,1,25))*100,"")</f>
      </c>
      <c r="G149">
        <f>IFERROR((分析!$H149-分析!$I149)/分析!$F149*100,"")</f>
      </c>
      <c r="H149">
        <f>IFERROR(5-COUNTIF($C$3:$C$206,"&lt;"&amp;$C149)/COUNT($C$3:$C$206)-COUNTIF($G$3:$G$206,"&lt;"&amp;$G149)/COUNT($G$3:$G$206)-COUNTIF($D$3:$D$206,"&lt;"&amp;$D149)/COUNT($D$3:$D$206)-COUNTIF(分析!$Z$3:$Z$206,"&lt;"&amp;分析!$Z149)/COUNT(分析!$Z$3:$Z$206)-COUNTIF($E$3:$E$206,"&lt;"&amp;$E149)/COUNT($E$3:$E$206),"")</f>
      </c>
      <c r="I149">
        <f>IF(OR(A149="",A149="TOPX",C149="",H149=""),0,IF(AND(V811設定!$E$11=1,C149&lt;=V811設定!$E$3,D149&lt;=V811設定!$E$4,E149&lt;=V811設定!$E$5,分析!$Z149&lt;=V811設定!$E$6,分析!$Z149&gt;=V811設定!$E$7,F149&gt;=V811設定!$E$8,G149&lt;=V811設定!$E$9),1,0))</f>
      </c>
      <c r="J149">
        <f>IF(A149="","",IF(I149=1,"○ゲート通過",IF(V811設定!$E$11&lt;&gt;1,"― 停止中",IF(C149&gt;V811設定!$E$3,"×値動きが荒い",IF(D149&gt;V811設定!$E$4,"×レンジが広い",IF(E149&gt;V811設定!$E$5,"×窓を開けて上昇",IF(分析!$Z149&gt;V811設定!$E$6,"×前日に急騰",IF(分析!$Z149&lt;V811設定!$E$7,"×前日に急落",IF(F149&lt;V811設定!$E$8,"×高値から離れすぎ",IF(G149&gt;V811設定!$E$9,"×当日の値幅が大きい","×"))))))))))</f>
      </c>
      <c r="K149">
        <f>IF(売分析!$C149="","",売分析!$C149)</f>
      </c>
      <c r="L149">
        <f>IF(売分析!$C149="","",売分析!$D149)</f>
      </c>
      <c r="M149">
        <f>IFERROR((SUM(OFFSET(高値!$E$6,IFERROR(MATCH(売分析!$C149,銘柄管理!$B$6:$B$305,0),MATCH(TEXT(売分析!$C149,"0"),銘柄管理!$B$6:$B$305,0))-1,0,1,14))-SUM(OFFSET(安値!$E$6,IFERROR(MATCH(売分析!$C149,銘柄管理!$B$6:$B$305,0),MATCH(TEXT(売分析!$C149,"0"),銘柄管理!$B$6:$B$305,0))-1,0,1,14)))/SUM(OFFSET(終値!$E$6,IFERROR(MATCH(売分析!$C149,銘柄管理!$B$6:$B$305,0),MATCH(TEXT(売分析!$C149,"0"),銘柄管理!$B$6:$B$305,0))-1,0,1,14))*100,"")</f>
      </c>
      <c r="N149">
        <f>IFERROR((MAX(OFFSET(高値!$E$6,IFERROR(MATCH(売分析!$C149,銘柄管理!$B$6:$B$305,0),MATCH(TEXT(売分析!$C149,"0"),銘柄管理!$B$6:$B$305,0))-1,0,1,25))-MIN(OFFSET(安値!$E$6,IFERROR(MATCH(売分析!$C149,銘柄管理!$B$6:$B$305,0),MATCH(TEXT(売分析!$C149,"0"),銘柄管理!$B$6:$B$305,0))-1,0,1,25)))/売分析!$E149*100,"")</f>
      </c>
      <c r="O149">
        <f>IFERROR((売分析!$F149-売分析!$G149)/売分析!$G149*100,"")</f>
      </c>
      <c r="P149">
        <f>IFERROR((売分析!$E149-MAX(OFFSET(高値!$E$6,IFERROR(MATCH(売分析!$C149,銘柄管理!$B$6:$B$305,0),MATCH(TEXT(売分析!$C149,"0"),銘柄管理!$B$6:$B$305,0))-1,0,1,25)))/MAX(OFFSET(高値!$E$6,IFERROR(MATCH(売分析!$C149,銘柄管理!$B$6:$B$305,0),MATCH(TEXT(売分析!$C149,"0"),銘柄管理!$B$6:$B$305,0))-1,0,1,25))*100,"")</f>
      </c>
      <c r="Q149">
        <f>IFERROR((売分析!$H149-売分析!$I149)/売分析!$F149*100,"")</f>
      </c>
      <c r="R149">
        <f>IFERROR(5-COUNTIF($M$3:$M$206,"&lt;"&amp;$M149)/COUNT($M$3:$M$206)-COUNTIF($Q$3:$Q$206,"&lt;"&amp;$Q149)/COUNT($Q$3:$Q$206)-COUNTIF($N$3:$N$206,"&lt;"&amp;$N149)/COUNT($N$3:$N$206)-COUNTIF(売分析!$Z$3:$Z$206,"&lt;"&amp;売分析!$Z149)/COUNT(売分析!$Z$3:$Z$206)-COUNTIF($O$3:$O$206,"&lt;"&amp;$O149)/COUNT($O$3:$O$206),"")</f>
      </c>
      <c r="S149">
        <f>IF(OR(K149="",K149="TOPX",M149="",R149=""),0,IF(AND(V811設定!$E$12=1,M149&lt;=V811設定!$E$3,N149&lt;=V811設定!$E$4,O149&lt;=V811設定!$E$5,売分析!$Z149&lt;=V811設定!$E$6,売分析!$Z149&gt;=V811設定!$E$7,P149&gt;=V811設定!$E$8,Q149&lt;=V811設定!$E$9),1,0))</f>
      </c>
      <c r="T149">
        <f>IF(K149="","",IF(S149=1,"○ゲート通過",IF(V811設定!$E$12&lt;&gt;1,"― 停止中",IF(M149&gt;V811設定!$E$3,"×値動きが荒い",IF(N149&gt;V811設定!$E$4,"×レンジが広い",IF(O149&gt;V811設定!$E$5,"×窓を開けて上昇",IF(売分析!$Z149&gt;V811設定!$E$6,"×前日に急騰",IF(売分析!$Z149&lt;V811設定!$E$7,"×前日に急落",IF(P149&lt;V811設定!$E$8,"×高値から離れすぎ",IF(Q149&gt;V811設定!$E$9,"×当日の値幅が大きい","×"))))))))))</f>
      </c>
    </row>
    <row r="150" spans="1:20">
      <c r="A150">
        <f>IF(分析!$C150="","",分析!$C150)</f>
      </c>
      <c r="B150">
        <f>IF(分析!$C150="","",分析!$D150)</f>
      </c>
      <c r="C150">
        <f>IFERROR((SUM(OFFSET(高値!$E$6,IFERROR(MATCH(分析!$C150,銘柄管理!$B$6:$B$305,0),MATCH(TEXT(分析!$C150,"0"),銘柄管理!$B$6:$B$305,0))-1,0,1,14))-SUM(OFFSET(安値!$E$6,IFERROR(MATCH(分析!$C150,銘柄管理!$B$6:$B$305,0),MATCH(TEXT(分析!$C150,"0"),銘柄管理!$B$6:$B$305,0))-1,0,1,14)))/SUM(OFFSET(終値!$E$6,IFERROR(MATCH(分析!$C150,銘柄管理!$B$6:$B$305,0),MATCH(TEXT(分析!$C150,"0"),銘柄管理!$B$6:$B$305,0))-1,0,1,14))*100,"")</f>
      </c>
      <c r="D150">
        <f>IFERROR((MAX(OFFSET(高値!$E$6,IFERROR(MATCH(分析!$C150,銘柄管理!$B$6:$B$305,0),MATCH(TEXT(分析!$C150,"0"),銘柄管理!$B$6:$B$305,0))-1,0,1,25))-MIN(OFFSET(安値!$E$6,IFERROR(MATCH(分析!$C150,銘柄管理!$B$6:$B$305,0),MATCH(TEXT(分析!$C150,"0"),銘柄管理!$B$6:$B$305,0))-1,0,1,25)))/分析!$E150*100,"")</f>
      </c>
      <c r="E150">
        <f>IFERROR((分析!$F150-分析!$G150)/分析!$G150*100,"")</f>
      </c>
      <c r="F150">
        <f>IFERROR((分析!$E150-MAX(OFFSET(高値!$E$6,IFERROR(MATCH(分析!$C150,銘柄管理!$B$6:$B$305,0),MATCH(TEXT(分析!$C150,"0"),銘柄管理!$B$6:$B$305,0))-1,0,1,25)))/MAX(OFFSET(高値!$E$6,IFERROR(MATCH(分析!$C150,銘柄管理!$B$6:$B$305,0),MATCH(TEXT(分析!$C150,"0"),銘柄管理!$B$6:$B$305,0))-1,0,1,25))*100,"")</f>
      </c>
      <c r="G150">
        <f>IFERROR((分析!$H150-分析!$I150)/分析!$F150*100,"")</f>
      </c>
      <c r="H150">
        <f>IFERROR(5-COUNTIF($C$3:$C$206,"&lt;"&amp;$C150)/COUNT($C$3:$C$206)-COUNTIF($G$3:$G$206,"&lt;"&amp;$G150)/COUNT($G$3:$G$206)-COUNTIF($D$3:$D$206,"&lt;"&amp;$D150)/COUNT($D$3:$D$206)-COUNTIF(分析!$Z$3:$Z$206,"&lt;"&amp;分析!$Z150)/COUNT(分析!$Z$3:$Z$206)-COUNTIF($E$3:$E$206,"&lt;"&amp;$E150)/COUNT($E$3:$E$206),"")</f>
      </c>
      <c r="I150">
        <f>IF(OR(A150="",A150="TOPX",C150="",H150=""),0,IF(AND(V811設定!$E$11=1,C150&lt;=V811設定!$E$3,D150&lt;=V811設定!$E$4,E150&lt;=V811設定!$E$5,分析!$Z150&lt;=V811設定!$E$6,分析!$Z150&gt;=V811設定!$E$7,F150&gt;=V811設定!$E$8,G150&lt;=V811設定!$E$9),1,0))</f>
      </c>
      <c r="J150">
        <f>IF(A150="","",IF(I150=1,"○ゲート通過",IF(V811設定!$E$11&lt;&gt;1,"― 停止中",IF(C150&gt;V811設定!$E$3,"×値動きが荒い",IF(D150&gt;V811設定!$E$4,"×レンジが広い",IF(E150&gt;V811設定!$E$5,"×窓を開けて上昇",IF(分析!$Z150&gt;V811設定!$E$6,"×前日に急騰",IF(分析!$Z150&lt;V811設定!$E$7,"×前日に急落",IF(F150&lt;V811設定!$E$8,"×高値から離れすぎ",IF(G150&gt;V811設定!$E$9,"×当日の値幅が大きい","×"))))))))))</f>
      </c>
      <c r="K150">
        <f>IF(売分析!$C150="","",売分析!$C150)</f>
      </c>
      <c r="L150">
        <f>IF(売分析!$C150="","",売分析!$D150)</f>
      </c>
      <c r="M150">
        <f>IFERROR((SUM(OFFSET(高値!$E$6,IFERROR(MATCH(売分析!$C150,銘柄管理!$B$6:$B$305,0),MATCH(TEXT(売分析!$C150,"0"),銘柄管理!$B$6:$B$305,0))-1,0,1,14))-SUM(OFFSET(安値!$E$6,IFERROR(MATCH(売分析!$C150,銘柄管理!$B$6:$B$305,0),MATCH(TEXT(売分析!$C150,"0"),銘柄管理!$B$6:$B$305,0))-1,0,1,14)))/SUM(OFFSET(終値!$E$6,IFERROR(MATCH(売分析!$C150,銘柄管理!$B$6:$B$305,0),MATCH(TEXT(売分析!$C150,"0"),銘柄管理!$B$6:$B$305,0))-1,0,1,14))*100,"")</f>
      </c>
      <c r="N150">
        <f>IFERROR((MAX(OFFSET(高値!$E$6,IFERROR(MATCH(売分析!$C150,銘柄管理!$B$6:$B$305,0),MATCH(TEXT(売分析!$C150,"0"),銘柄管理!$B$6:$B$305,0))-1,0,1,25))-MIN(OFFSET(安値!$E$6,IFERROR(MATCH(売分析!$C150,銘柄管理!$B$6:$B$305,0),MATCH(TEXT(売分析!$C150,"0"),銘柄管理!$B$6:$B$305,0))-1,0,1,25)))/売分析!$E150*100,"")</f>
      </c>
      <c r="O150">
        <f>IFERROR((売分析!$F150-売分析!$G150)/売分析!$G150*100,"")</f>
      </c>
      <c r="P150">
        <f>IFERROR((売分析!$E150-MAX(OFFSET(高値!$E$6,IFERROR(MATCH(売分析!$C150,銘柄管理!$B$6:$B$305,0),MATCH(TEXT(売分析!$C150,"0"),銘柄管理!$B$6:$B$305,0))-1,0,1,25)))/MAX(OFFSET(高値!$E$6,IFERROR(MATCH(売分析!$C150,銘柄管理!$B$6:$B$305,0),MATCH(TEXT(売分析!$C150,"0"),銘柄管理!$B$6:$B$305,0))-1,0,1,25))*100,"")</f>
      </c>
      <c r="Q150">
        <f>IFERROR((売分析!$H150-売分析!$I150)/売分析!$F150*100,"")</f>
      </c>
      <c r="R150">
        <f>IFERROR(5-COUNTIF($M$3:$M$206,"&lt;"&amp;$M150)/COUNT($M$3:$M$206)-COUNTIF($Q$3:$Q$206,"&lt;"&amp;$Q150)/COUNT($Q$3:$Q$206)-COUNTIF($N$3:$N$206,"&lt;"&amp;$N150)/COUNT($N$3:$N$206)-COUNTIF(売分析!$Z$3:$Z$206,"&lt;"&amp;売分析!$Z150)/COUNT(売分析!$Z$3:$Z$206)-COUNTIF($O$3:$O$206,"&lt;"&amp;$O150)/COUNT($O$3:$O$206),"")</f>
      </c>
      <c r="S150">
        <f>IF(OR(K150="",K150="TOPX",M150="",R150=""),0,IF(AND(V811設定!$E$12=1,M150&lt;=V811設定!$E$3,N150&lt;=V811設定!$E$4,O150&lt;=V811設定!$E$5,売分析!$Z150&lt;=V811設定!$E$6,売分析!$Z150&gt;=V811設定!$E$7,P150&gt;=V811設定!$E$8,Q150&lt;=V811設定!$E$9),1,0))</f>
      </c>
      <c r="T150">
        <f>IF(K150="","",IF(S150=1,"○ゲート通過",IF(V811設定!$E$12&lt;&gt;1,"― 停止中",IF(M150&gt;V811設定!$E$3,"×値動きが荒い",IF(N150&gt;V811設定!$E$4,"×レンジが広い",IF(O150&gt;V811設定!$E$5,"×窓を開けて上昇",IF(売分析!$Z150&gt;V811設定!$E$6,"×前日に急騰",IF(売分析!$Z150&lt;V811設定!$E$7,"×前日に急落",IF(P150&lt;V811設定!$E$8,"×高値から離れすぎ",IF(Q150&gt;V811設定!$E$9,"×当日の値幅が大きい","×"))))))))))</f>
      </c>
    </row>
    <row r="151" spans="1:20">
      <c r="A151">
        <f>IF(分析!$C151="","",分析!$C151)</f>
      </c>
      <c r="B151">
        <f>IF(分析!$C151="","",分析!$D151)</f>
      </c>
      <c r="C151">
        <f>IFERROR((SUM(OFFSET(高値!$E$6,IFERROR(MATCH(分析!$C151,銘柄管理!$B$6:$B$305,0),MATCH(TEXT(分析!$C151,"0"),銘柄管理!$B$6:$B$305,0))-1,0,1,14))-SUM(OFFSET(安値!$E$6,IFERROR(MATCH(分析!$C151,銘柄管理!$B$6:$B$305,0),MATCH(TEXT(分析!$C151,"0"),銘柄管理!$B$6:$B$305,0))-1,0,1,14)))/SUM(OFFSET(終値!$E$6,IFERROR(MATCH(分析!$C151,銘柄管理!$B$6:$B$305,0),MATCH(TEXT(分析!$C151,"0"),銘柄管理!$B$6:$B$305,0))-1,0,1,14))*100,"")</f>
      </c>
      <c r="D151">
        <f>IFERROR((MAX(OFFSET(高値!$E$6,IFERROR(MATCH(分析!$C151,銘柄管理!$B$6:$B$305,0),MATCH(TEXT(分析!$C151,"0"),銘柄管理!$B$6:$B$305,0))-1,0,1,25))-MIN(OFFSET(安値!$E$6,IFERROR(MATCH(分析!$C151,銘柄管理!$B$6:$B$305,0),MATCH(TEXT(分析!$C151,"0"),銘柄管理!$B$6:$B$305,0))-1,0,1,25)))/分析!$E151*100,"")</f>
      </c>
      <c r="E151">
        <f>IFERROR((分析!$F151-分析!$G151)/分析!$G151*100,"")</f>
      </c>
      <c r="F151">
        <f>IFERROR((分析!$E151-MAX(OFFSET(高値!$E$6,IFERROR(MATCH(分析!$C151,銘柄管理!$B$6:$B$305,0),MATCH(TEXT(分析!$C151,"0"),銘柄管理!$B$6:$B$305,0))-1,0,1,25)))/MAX(OFFSET(高値!$E$6,IFERROR(MATCH(分析!$C151,銘柄管理!$B$6:$B$305,0),MATCH(TEXT(分析!$C151,"0"),銘柄管理!$B$6:$B$305,0))-1,0,1,25))*100,"")</f>
      </c>
      <c r="G151">
        <f>IFERROR((分析!$H151-分析!$I151)/分析!$F151*100,"")</f>
      </c>
      <c r="H151">
        <f>IFERROR(5-COUNTIF($C$3:$C$206,"&lt;"&amp;$C151)/COUNT($C$3:$C$206)-COUNTIF($G$3:$G$206,"&lt;"&amp;$G151)/COUNT($G$3:$G$206)-COUNTIF($D$3:$D$206,"&lt;"&amp;$D151)/COUNT($D$3:$D$206)-COUNTIF(分析!$Z$3:$Z$206,"&lt;"&amp;分析!$Z151)/COUNT(分析!$Z$3:$Z$206)-COUNTIF($E$3:$E$206,"&lt;"&amp;$E151)/COUNT($E$3:$E$206),"")</f>
      </c>
      <c r="I151">
        <f>IF(OR(A151="",A151="TOPX",C151="",H151=""),0,IF(AND(V811設定!$E$11=1,C151&lt;=V811設定!$E$3,D151&lt;=V811設定!$E$4,E151&lt;=V811設定!$E$5,分析!$Z151&lt;=V811設定!$E$6,分析!$Z151&gt;=V811設定!$E$7,F151&gt;=V811設定!$E$8,G151&lt;=V811設定!$E$9),1,0))</f>
      </c>
      <c r="J151">
        <f>IF(A151="","",IF(I151=1,"○ゲート通過",IF(V811設定!$E$11&lt;&gt;1,"― 停止中",IF(C151&gt;V811設定!$E$3,"×値動きが荒い",IF(D151&gt;V811設定!$E$4,"×レンジが広い",IF(E151&gt;V811設定!$E$5,"×窓を開けて上昇",IF(分析!$Z151&gt;V811設定!$E$6,"×前日に急騰",IF(分析!$Z151&lt;V811設定!$E$7,"×前日に急落",IF(F151&lt;V811設定!$E$8,"×高値から離れすぎ",IF(G151&gt;V811設定!$E$9,"×当日の値幅が大きい","×"))))))))))</f>
      </c>
      <c r="K151">
        <f>IF(売分析!$C151="","",売分析!$C151)</f>
      </c>
      <c r="L151">
        <f>IF(売分析!$C151="","",売分析!$D151)</f>
      </c>
      <c r="M151">
        <f>IFERROR((SUM(OFFSET(高値!$E$6,IFERROR(MATCH(売分析!$C151,銘柄管理!$B$6:$B$305,0),MATCH(TEXT(売分析!$C151,"0"),銘柄管理!$B$6:$B$305,0))-1,0,1,14))-SUM(OFFSET(安値!$E$6,IFERROR(MATCH(売分析!$C151,銘柄管理!$B$6:$B$305,0),MATCH(TEXT(売分析!$C151,"0"),銘柄管理!$B$6:$B$305,0))-1,0,1,14)))/SUM(OFFSET(終値!$E$6,IFERROR(MATCH(売分析!$C151,銘柄管理!$B$6:$B$305,0),MATCH(TEXT(売分析!$C151,"0"),銘柄管理!$B$6:$B$305,0))-1,0,1,14))*100,"")</f>
      </c>
      <c r="N151">
        <f>IFERROR((MAX(OFFSET(高値!$E$6,IFERROR(MATCH(売分析!$C151,銘柄管理!$B$6:$B$305,0),MATCH(TEXT(売分析!$C151,"0"),銘柄管理!$B$6:$B$305,0))-1,0,1,25))-MIN(OFFSET(安値!$E$6,IFERROR(MATCH(売分析!$C151,銘柄管理!$B$6:$B$305,0),MATCH(TEXT(売分析!$C151,"0"),銘柄管理!$B$6:$B$305,0))-1,0,1,25)))/売分析!$E151*100,"")</f>
      </c>
      <c r="O151">
        <f>IFERROR((売分析!$F151-売分析!$G151)/売分析!$G151*100,"")</f>
      </c>
      <c r="P151">
        <f>IFERROR((売分析!$E151-MAX(OFFSET(高値!$E$6,IFERROR(MATCH(売分析!$C151,銘柄管理!$B$6:$B$305,0),MATCH(TEXT(売分析!$C151,"0"),銘柄管理!$B$6:$B$305,0))-1,0,1,25)))/MAX(OFFSET(高値!$E$6,IFERROR(MATCH(売分析!$C151,銘柄管理!$B$6:$B$305,0),MATCH(TEXT(売分析!$C151,"0"),銘柄管理!$B$6:$B$305,0))-1,0,1,25))*100,"")</f>
      </c>
      <c r="Q151">
        <f>IFERROR((売分析!$H151-売分析!$I151)/売分析!$F151*100,"")</f>
      </c>
      <c r="R151">
        <f>IFERROR(5-COUNTIF($M$3:$M$206,"&lt;"&amp;$M151)/COUNT($M$3:$M$206)-COUNTIF($Q$3:$Q$206,"&lt;"&amp;$Q151)/COUNT($Q$3:$Q$206)-COUNTIF($N$3:$N$206,"&lt;"&amp;$N151)/COUNT($N$3:$N$206)-COUNTIF(売分析!$Z$3:$Z$206,"&lt;"&amp;売分析!$Z151)/COUNT(売分析!$Z$3:$Z$206)-COUNTIF($O$3:$O$206,"&lt;"&amp;$O151)/COUNT($O$3:$O$206),"")</f>
      </c>
      <c r="S151">
        <f>IF(OR(K151="",K151="TOPX",M151="",R151=""),0,IF(AND(V811設定!$E$12=1,M151&lt;=V811設定!$E$3,N151&lt;=V811設定!$E$4,O151&lt;=V811設定!$E$5,売分析!$Z151&lt;=V811設定!$E$6,売分析!$Z151&gt;=V811設定!$E$7,P151&gt;=V811設定!$E$8,Q151&lt;=V811設定!$E$9),1,0))</f>
      </c>
      <c r="T151">
        <f>IF(K151="","",IF(S151=1,"○ゲート通過",IF(V811設定!$E$12&lt;&gt;1,"― 停止中",IF(M151&gt;V811設定!$E$3,"×値動きが荒い",IF(N151&gt;V811設定!$E$4,"×レンジが広い",IF(O151&gt;V811設定!$E$5,"×窓を開けて上昇",IF(売分析!$Z151&gt;V811設定!$E$6,"×前日に急騰",IF(売分析!$Z151&lt;V811設定!$E$7,"×前日に急落",IF(P151&lt;V811設定!$E$8,"×高値から離れすぎ",IF(Q151&gt;V811設定!$E$9,"×当日の値幅が大きい","×"))))))))))</f>
      </c>
    </row>
    <row r="152" spans="1:20">
      <c r="A152">
        <f>IF(分析!$C152="","",分析!$C152)</f>
      </c>
      <c r="B152">
        <f>IF(分析!$C152="","",分析!$D152)</f>
      </c>
      <c r="C152">
        <f>IFERROR((SUM(OFFSET(高値!$E$6,IFERROR(MATCH(分析!$C152,銘柄管理!$B$6:$B$305,0),MATCH(TEXT(分析!$C152,"0"),銘柄管理!$B$6:$B$305,0))-1,0,1,14))-SUM(OFFSET(安値!$E$6,IFERROR(MATCH(分析!$C152,銘柄管理!$B$6:$B$305,0),MATCH(TEXT(分析!$C152,"0"),銘柄管理!$B$6:$B$305,0))-1,0,1,14)))/SUM(OFFSET(終値!$E$6,IFERROR(MATCH(分析!$C152,銘柄管理!$B$6:$B$305,0),MATCH(TEXT(分析!$C152,"0"),銘柄管理!$B$6:$B$305,0))-1,0,1,14))*100,"")</f>
      </c>
      <c r="D152">
        <f>IFERROR((MAX(OFFSET(高値!$E$6,IFERROR(MATCH(分析!$C152,銘柄管理!$B$6:$B$305,0),MATCH(TEXT(分析!$C152,"0"),銘柄管理!$B$6:$B$305,0))-1,0,1,25))-MIN(OFFSET(安値!$E$6,IFERROR(MATCH(分析!$C152,銘柄管理!$B$6:$B$305,0),MATCH(TEXT(分析!$C152,"0"),銘柄管理!$B$6:$B$305,0))-1,0,1,25)))/分析!$E152*100,"")</f>
      </c>
      <c r="E152">
        <f>IFERROR((分析!$F152-分析!$G152)/分析!$G152*100,"")</f>
      </c>
      <c r="F152">
        <f>IFERROR((分析!$E152-MAX(OFFSET(高値!$E$6,IFERROR(MATCH(分析!$C152,銘柄管理!$B$6:$B$305,0),MATCH(TEXT(分析!$C152,"0"),銘柄管理!$B$6:$B$305,0))-1,0,1,25)))/MAX(OFFSET(高値!$E$6,IFERROR(MATCH(分析!$C152,銘柄管理!$B$6:$B$305,0),MATCH(TEXT(分析!$C152,"0"),銘柄管理!$B$6:$B$305,0))-1,0,1,25))*100,"")</f>
      </c>
      <c r="G152">
        <f>IFERROR((分析!$H152-分析!$I152)/分析!$F152*100,"")</f>
      </c>
      <c r="H152">
        <f>IFERROR(5-COUNTIF($C$3:$C$206,"&lt;"&amp;$C152)/COUNT($C$3:$C$206)-COUNTIF($G$3:$G$206,"&lt;"&amp;$G152)/COUNT($G$3:$G$206)-COUNTIF($D$3:$D$206,"&lt;"&amp;$D152)/COUNT($D$3:$D$206)-COUNTIF(分析!$Z$3:$Z$206,"&lt;"&amp;分析!$Z152)/COUNT(分析!$Z$3:$Z$206)-COUNTIF($E$3:$E$206,"&lt;"&amp;$E152)/COUNT($E$3:$E$206),"")</f>
      </c>
      <c r="I152">
        <f>IF(OR(A152="",A152="TOPX",C152="",H152=""),0,IF(AND(V811設定!$E$11=1,C152&lt;=V811設定!$E$3,D152&lt;=V811設定!$E$4,E152&lt;=V811設定!$E$5,分析!$Z152&lt;=V811設定!$E$6,分析!$Z152&gt;=V811設定!$E$7,F152&gt;=V811設定!$E$8,G152&lt;=V811設定!$E$9),1,0))</f>
      </c>
      <c r="J152">
        <f>IF(A152="","",IF(I152=1,"○ゲート通過",IF(V811設定!$E$11&lt;&gt;1,"― 停止中",IF(C152&gt;V811設定!$E$3,"×値動きが荒い",IF(D152&gt;V811設定!$E$4,"×レンジが広い",IF(E152&gt;V811設定!$E$5,"×窓を開けて上昇",IF(分析!$Z152&gt;V811設定!$E$6,"×前日に急騰",IF(分析!$Z152&lt;V811設定!$E$7,"×前日に急落",IF(F152&lt;V811設定!$E$8,"×高値から離れすぎ",IF(G152&gt;V811設定!$E$9,"×当日の値幅が大きい","×"))))))))))</f>
      </c>
      <c r="K152">
        <f>IF(売分析!$C152="","",売分析!$C152)</f>
      </c>
      <c r="L152">
        <f>IF(売分析!$C152="","",売分析!$D152)</f>
      </c>
      <c r="M152">
        <f>IFERROR((SUM(OFFSET(高値!$E$6,IFERROR(MATCH(売分析!$C152,銘柄管理!$B$6:$B$305,0),MATCH(TEXT(売分析!$C152,"0"),銘柄管理!$B$6:$B$305,0))-1,0,1,14))-SUM(OFFSET(安値!$E$6,IFERROR(MATCH(売分析!$C152,銘柄管理!$B$6:$B$305,0),MATCH(TEXT(売分析!$C152,"0"),銘柄管理!$B$6:$B$305,0))-1,0,1,14)))/SUM(OFFSET(終値!$E$6,IFERROR(MATCH(売分析!$C152,銘柄管理!$B$6:$B$305,0),MATCH(TEXT(売分析!$C152,"0"),銘柄管理!$B$6:$B$305,0))-1,0,1,14))*100,"")</f>
      </c>
      <c r="N152">
        <f>IFERROR((MAX(OFFSET(高値!$E$6,IFERROR(MATCH(売分析!$C152,銘柄管理!$B$6:$B$305,0),MATCH(TEXT(売分析!$C152,"0"),銘柄管理!$B$6:$B$305,0))-1,0,1,25))-MIN(OFFSET(安値!$E$6,IFERROR(MATCH(売分析!$C152,銘柄管理!$B$6:$B$305,0),MATCH(TEXT(売分析!$C152,"0"),銘柄管理!$B$6:$B$305,0))-1,0,1,25)))/売分析!$E152*100,"")</f>
      </c>
      <c r="O152">
        <f>IFERROR((売分析!$F152-売分析!$G152)/売分析!$G152*100,"")</f>
      </c>
      <c r="P152">
        <f>IFERROR((売分析!$E152-MAX(OFFSET(高値!$E$6,IFERROR(MATCH(売分析!$C152,銘柄管理!$B$6:$B$305,0),MATCH(TEXT(売分析!$C152,"0"),銘柄管理!$B$6:$B$305,0))-1,0,1,25)))/MAX(OFFSET(高値!$E$6,IFERROR(MATCH(売分析!$C152,銘柄管理!$B$6:$B$305,0),MATCH(TEXT(売分析!$C152,"0"),銘柄管理!$B$6:$B$305,0))-1,0,1,25))*100,"")</f>
      </c>
      <c r="Q152">
        <f>IFERROR((売分析!$H152-売分析!$I152)/売分析!$F152*100,"")</f>
      </c>
      <c r="R152">
        <f>IFERROR(5-COUNTIF($M$3:$M$206,"&lt;"&amp;$M152)/COUNT($M$3:$M$206)-COUNTIF($Q$3:$Q$206,"&lt;"&amp;$Q152)/COUNT($Q$3:$Q$206)-COUNTIF($N$3:$N$206,"&lt;"&amp;$N152)/COUNT($N$3:$N$206)-COUNTIF(売分析!$Z$3:$Z$206,"&lt;"&amp;売分析!$Z152)/COUNT(売分析!$Z$3:$Z$206)-COUNTIF($O$3:$O$206,"&lt;"&amp;$O152)/COUNT($O$3:$O$206),"")</f>
      </c>
      <c r="S152">
        <f>IF(OR(K152="",K152="TOPX",M152="",R152=""),0,IF(AND(V811設定!$E$12=1,M152&lt;=V811設定!$E$3,N152&lt;=V811設定!$E$4,O152&lt;=V811設定!$E$5,売分析!$Z152&lt;=V811設定!$E$6,売分析!$Z152&gt;=V811設定!$E$7,P152&gt;=V811設定!$E$8,Q152&lt;=V811設定!$E$9),1,0))</f>
      </c>
      <c r="T152">
        <f>IF(K152="","",IF(S152=1,"○ゲート通過",IF(V811設定!$E$12&lt;&gt;1,"― 停止中",IF(M152&gt;V811設定!$E$3,"×値動きが荒い",IF(N152&gt;V811設定!$E$4,"×レンジが広い",IF(O152&gt;V811設定!$E$5,"×窓を開けて上昇",IF(売分析!$Z152&gt;V811設定!$E$6,"×前日に急騰",IF(売分析!$Z152&lt;V811設定!$E$7,"×前日に急落",IF(P152&lt;V811設定!$E$8,"×高値から離れすぎ",IF(Q152&gt;V811設定!$E$9,"×当日の値幅が大きい","×"))))))))))</f>
      </c>
    </row>
    <row r="153" spans="1:20">
      <c r="A153">
        <f>IF(分析!$C153="","",分析!$C153)</f>
      </c>
      <c r="B153">
        <f>IF(分析!$C153="","",分析!$D153)</f>
      </c>
      <c r="C153">
        <f>IFERROR((SUM(OFFSET(高値!$E$6,IFERROR(MATCH(分析!$C153,銘柄管理!$B$6:$B$305,0),MATCH(TEXT(分析!$C153,"0"),銘柄管理!$B$6:$B$305,0))-1,0,1,14))-SUM(OFFSET(安値!$E$6,IFERROR(MATCH(分析!$C153,銘柄管理!$B$6:$B$305,0),MATCH(TEXT(分析!$C153,"0"),銘柄管理!$B$6:$B$305,0))-1,0,1,14)))/SUM(OFFSET(終値!$E$6,IFERROR(MATCH(分析!$C153,銘柄管理!$B$6:$B$305,0),MATCH(TEXT(分析!$C153,"0"),銘柄管理!$B$6:$B$305,0))-1,0,1,14))*100,"")</f>
      </c>
      <c r="D153">
        <f>IFERROR((MAX(OFFSET(高値!$E$6,IFERROR(MATCH(分析!$C153,銘柄管理!$B$6:$B$305,0),MATCH(TEXT(分析!$C153,"0"),銘柄管理!$B$6:$B$305,0))-1,0,1,25))-MIN(OFFSET(安値!$E$6,IFERROR(MATCH(分析!$C153,銘柄管理!$B$6:$B$305,0),MATCH(TEXT(分析!$C153,"0"),銘柄管理!$B$6:$B$305,0))-1,0,1,25)))/分析!$E153*100,"")</f>
      </c>
      <c r="E153">
        <f>IFERROR((分析!$F153-分析!$G153)/分析!$G153*100,"")</f>
      </c>
      <c r="F153">
        <f>IFERROR((分析!$E153-MAX(OFFSET(高値!$E$6,IFERROR(MATCH(分析!$C153,銘柄管理!$B$6:$B$305,0),MATCH(TEXT(分析!$C153,"0"),銘柄管理!$B$6:$B$305,0))-1,0,1,25)))/MAX(OFFSET(高値!$E$6,IFERROR(MATCH(分析!$C153,銘柄管理!$B$6:$B$305,0),MATCH(TEXT(分析!$C153,"0"),銘柄管理!$B$6:$B$305,0))-1,0,1,25))*100,"")</f>
      </c>
      <c r="G153">
        <f>IFERROR((分析!$H153-分析!$I153)/分析!$F153*100,"")</f>
      </c>
      <c r="H153">
        <f>IFERROR(5-COUNTIF($C$3:$C$206,"&lt;"&amp;$C153)/COUNT($C$3:$C$206)-COUNTIF($G$3:$G$206,"&lt;"&amp;$G153)/COUNT($G$3:$G$206)-COUNTIF($D$3:$D$206,"&lt;"&amp;$D153)/COUNT($D$3:$D$206)-COUNTIF(分析!$Z$3:$Z$206,"&lt;"&amp;分析!$Z153)/COUNT(分析!$Z$3:$Z$206)-COUNTIF($E$3:$E$206,"&lt;"&amp;$E153)/COUNT($E$3:$E$206),"")</f>
      </c>
      <c r="I153">
        <f>IF(OR(A153="",A153="TOPX",C153="",H153=""),0,IF(AND(V811設定!$E$11=1,C153&lt;=V811設定!$E$3,D153&lt;=V811設定!$E$4,E153&lt;=V811設定!$E$5,分析!$Z153&lt;=V811設定!$E$6,分析!$Z153&gt;=V811設定!$E$7,F153&gt;=V811設定!$E$8,G153&lt;=V811設定!$E$9),1,0))</f>
      </c>
      <c r="J153">
        <f>IF(A153="","",IF(I153=1,"○ゲート通過",IF(V811設定!$E$11&lt;&gt;1,"― 停止中",IF(C153&gt;V811設定!$E$3,"×値動きが荒い",IF(D153&gt;V811設定!$E$4,"×レンジが広い",IF(E153&gt;V811設定!$E$5,"×窓を開けて上昇",IF(分析!$Z153&gt;V811設定!$E$6,"×前日に急騰",IF(分析!$Z153&lt;V811設定!$E$7,"×前日に急落",IF(F153&lt;V811設定!$E$8,"×高値から離れすぎ",IF(G153&gt;V811設定!$E$9,"×当日の値幅が大きい","×"))))))))))</f>
      </c>
      <c r="K153">
        <f>IF(売分析!$C153="","",売分析!$C153)</f>
      </c>
      <c r="L153">
        <f>IF(売分析!$C153="","",売分析!$D153)</f>
      </c>
      <c r="M153">
        <f>IFERROR((SUM(OFFSET(高値!$E$6,IFERROR(MATCH(売分析!$C153,銘柄管理!$B$6:$B$305,0),MATCH(TEXT(売分析!$C153,"0"),銘柄管理!$B$6:$B$305,0))-1,0,1,14))-SUM(OFFSET(安値!$E$6,IFERROR(MATCH(売分析!$C153,銘柄管理!$B$6:$B$305,0),MATCH(TEXT(売分析!$C153,"0"),銘柄管理!$B$6:$B$305,0))-1,0,1,14)))/SUM(OFFSET(終値!$E$6,IFERROR(MATCH(売分析!$C153,銘柄管理!$B$6:$B$305,0),MATCH(TEXT(売分析!$C153,"0"),銘柄管理!$B$6:$B$305,0))-1,0,1,14))*100,"")</f>
      </c>
      <c r="N153">
        <f>IFERROR((MAX(OFFSET(高値!$E$6,IFERROR(MATCH(売分析!$C153,銘柄管理!$B$6:$B$305,0),MATCH(TEXT(売分析!$C153,"0"),銘柄管理!$B$6:$B$305,0))-1,0,1,25))-MIN(OFFSET(安値!$E$6,IFERROR(MATCH(売分析!$C153,銘柄管理!$B$6:$B$305,0),MATCH(TEXT(売分析!$C153,"0"),銘柄管理!$B$6:$B$305,0))-1,0,1,25)))/売分析!$E153*100,"")</f>
      </c>
      <c r="O153">
        <f>IFERROR((売分析!$F153-売分析!$G153)/売分析!$G153*100,"")</f>
      </c>
      <c r="P153">
        <f>IFERROR((売分析!$E153-MAX(OFFSET(高値!$E$6,IFERROR(MATCH(売分析!$C153,銘柄管理!$B$6:$B$305,0),MATCH(TEXT(売分析!$C153,"0"),銘柄管理!$B$6:$B$305,0))-1,0,1,25)))/MAX(OFFSET(高値!$E$6,IFERROR(MATCH(売分析!$C153,銘柄管理!$B$6:$B$305,0),MATCH(TEXT(売分析!$C153,"0"),銘柄管理!$B$6:$B$305,0))-1,0,1,25))*100,"")</f>
      </c>
      <c r="Q153">
        <f>IFERROR((売分析!$H153-売分析!$I153)/売分析!$F153*100,"")</f>
      </c>
      <c r="R153">
        <f>IFERROR(5-COUNTIF($M$3:$M$206,"&lt;"&amp;$M153)/COUNT($M$3:$M$206)-COUNTIF($Q$3:$Q$206,"&lt;"&amp;$Q153)/COUNT($Q$3:$Q$206)-COUNTIF($N$3:$N$206,"&lt;"&amp;$N153)/COUNT($N$3:$N$206)-COUNTIF(売分析!$Z$3:$Z$206,"&lt;"&amp;売分析!$Z153)/COUNT(売分析!$Z$3:$Z$206)-COUNTIF($O$3:$O$206,"&lt;"&amp;$O153)/COUNT($O$3:$O$206),"")</f>
      </c>
      <c r="S153">
        <f>IF(OR(K153="",K153="TOPX",M153="",R153=""),0,IF(AND(V811設定!$E$12=1,M153&lt;=V811設定!$E$3,N153&lt;=V811設定!$E$4,O153&lt;=V811設定!$E$5,売分析!$Z153&lt;=V811設定!$E$6,売分析!$Z153&gt;=V811設定!$E$7,P153&gt;=V811設定!$E$8,Q153&lt;=V811設定!$E$9),1,0))</f>
      </c>
      <c r="T153">
        <f>IF(K153="","",IF(S153=1,"○ゲート通過",IF(V811設定!$E$12&lt;&gt;1,"― 停止中",IF(M153&gt;V811設定!$E$3,"×値動きが荒い",IF(N153&gt;V811設定!$E$4,"×レンジが広い",IF(O153&gt;V811設定!$E$5,"×窓を開けて上昇",IF(売分析!$Z153&gt;V811設定!$E$6,"×前日に急騰",IF(売分析!$Z153&lt;V811設定!$E$7,"×前日に急落",IF(P153&lt;V811設定!$E$8,"×高値から離れすぎ",IF(Q153&gt;V811設定!$E$9,"×当日の値幅が大きい","×"))))))))))</f>
      </c>
    </row>
    <row r="154" spans="1:20">
      <c r="A154">
        <f>IF(分析!$C154="","",分析!$C154)</f>
      </c>
      <c r="B154">
        <f>IF(分析!$C154="","",分析!$D154)</f>
      </c>
      <c r="C154">
        <f>IFERROR((SUM(OFFSET(高値!$E$6,IFERROR(MATCH(分析!$C154,銘柄管理!$B$6:$B$305,0),MATCH(TEXT(分析!$C154,"0"),銘柄管理!$B$6:$B$305,0))-1,0,1,14))-SUM(OFFSET(安値!$E$6,IFERROR(MATCH(分析!$C154,銘柄管理!$B$6:$B$305,0),MATCH(TEXT(分析!$C154,"0"),銘柄管理!$B$6:$B$305,0))-1,0,1,14)))/SUM(OFFSET(終値!$E$6,IFERROR(MATCH(分析!$C154,銘柄管理!$B$6:$B$305,0),MATCH(TEXT(分析!$C154,"0"),銘柄管理!$B$6:$B$305,0))-1,0,1,14))*100,"")</f>
      </c>
      <c r="D154">
        <f>IFERROR((MAX(OFFSET(高値!$E$6,IFERROR(MATCH(分析!$C154,銘柄管理!$B$6:$B$305,0),MATCH(TEXT(分析!$C154,"0"),銘柄管理!$B$6:$B$305,0))-1,0,1,25))-MIN(OFFSET(安値!$E$6,IFERROR(MATCH(分析!$C154,銘柄管理!$B$6:$B$305,0),MATCH(TEXT(分析!$C154,"0"),銘柄管理!$B$6:$B$305,0))-1,0,1,25)))/分析!$E154*100,"")</f>
      </c>
      <c r="E154">
        <f>IFERROR((分析!$F154-分析!$G154)/分析!$G154*100,"")</f>
      </c>
      <c r="F154">
        <f>IFERROR((分析!$E154-MAX(OFFSET(高値!$E$6,IFERROR(MATCH(分析!$C154,銘柄管理!$B$6:$B$305,0),MATCH(TEXT(分析!$C154,"0"),銘柄管理!$B$6:$B$305,0))-1,0,1,25)))/MAX(OFFSET(高値!$E$6,IFERROR(MATCH(分析!$C154,銘柄管理!$B$6:$B$305,0),MATCH(TEXT(分析!$C154,"0"),銘柄管理!$B$6:$B$305,0))-1,0,1,25))*100,"")</f>
      </c>
      <c r="G154">
        <f>IFERROR((分析!$H154-分析!$I154)/分析!$F154*100,"")</f>
      </c>
      <c r="H154">
        <f>IFERROR(5-COUNTIF($C$3:$C$206,"&lt;"&amp;$C154)/COUNT($C$3:$C$206)-COUNTIF($G$3:$G$206,"&lt;"&amp;$G154)/COUNT($G$3:$G$206)-COUNTIF($D$3:$D$206,"&lt;"&amp;$D154)/COUNT($D$3:$D$206)-COUNTIF(分析!$Z$3:$Z$206,"&lt;"&amp;分析!$Z154)/COUNT(分析!$Z$3:$Z$206)-COUNTIF($E$3:$E$206,"&lt;"&amp;$E154)/COUNT($E$3:$E$206),"")</f>
      </c>
      <c r="I154">
        <f>IF(OR(A154="",A154="TOPX",C154="",H154=""),0,IF(AND(V811設定!$E$11=1,C154&lt;=V811設定!$E$3,D154&lt;=V811設定!$E$4,E154&lt;=V811設定!$E$5,分析!$Z154&lt;=V811設定!$E$6,分析!$Z154&gt;=V811設定!$E$7,F154&gt;=V811設定!$E$8,G154&lt;=V811設定!$E$9),1,0))</f>
      </c>
      <c r="J154">
        <f>IF(A154="","",IF(I154=1,"○ゲート通過",IF(V811設定!$E$11&lt;&gt;1,"― 停止中",IF(C154&gt;V811設定!$E$3,"×値動きが荒い",IF(D154&gt;V811設定!$E$4,"×レンジが広い",IF(E154&gt;V811設定!$E$5,"×窓を開けて上昇",IF(分析!$Z154&gt;V811設定!$E$6,"×前日に急騰",IF(分析!$Z154&lt;V811設定!$E$7,"×前日に急落",IF(F154&lt;V811設定!$E$8,"×高値から離れすぎ",IF(G154&gt;V811設定!$E$9,"×当日の値幅が大きい","×"))))))))))</f>
      </c>
      <c r="K154">
        <f>IF(売分析!$C154="","",売分析!$C154)</f>
      </c>
      <c r="L154">
        <f>IF(売分析!$C154="","",売分析!$D154)</f>
      </c>
      <c r="M154">
        <f>IFERROR((SUM(OFFSET(高値!$E$6,IFERROR(MATCH(売分析!$C154,銘柄管理!$B$6:$B$305,0),MATCH(TEXT(売分析!$C154,"0"),銘柄管理!$B$6:$B$305,0))-1,0,1,14))-SUM(OFFSET(安値!$E$6,IFERROR(MATCH(売分析!$C154,銘柄管理!$B$6:$B$305,0),MATCH(TEXT(売分析!$C154,"0"),銘柄管理!$B$6:$B$305,0))-1,0,1,14)))/SUM(OFFSET(終値!$E$6,IFERROR(MATCH(売分析!$C154,銘柄管理!$B$6:$B$305,0),MATCH(TEXT(売分析!$C154,"0"),銘柄管理!$B$6:$B$305,0))-1,0,1,14))*100,"")</f>
      </c>
      <c r="N154">
        <f>IFERROR((MAX(OFFSET(高値!$E$6,IFERROR(MATCH(売分析!$C154,銘柄管理!$B$6:$B$305,0),MATCH(TEXT(売分析!$C154,"0"),銘柄管理!$B$6:$B$305,0))-1,0,1,25))-MIN(OFFSET(安値!$E$6,IFERROR(MATCH(売分析!$C154,銘柄管理!$B$6:$B$305,0),MATCH(TEXT(売分析!$C154,"0"),銘柄管理!$B$6:$B$305,0))-1,0,1,25)))/売分析!$E154*100,"")</f>
      </c>
      <c r="O154">
        <f>IFERROR((売分析!$F154-売分析!$G154)/売分析!$G154*100,"")</f>
      </c>
      <c r="P154">
        <f>IFERROR((売分析!$E154-MAX(OFFSET(高値!$E$6,IFERROR(MATCH(売分析!$C154,銘柄管理!$B$6:$B$305,0),MATCH(TEXT(売分析!$C154,"0"),銘柄管理!$B$6:$B$305,0))-1,0,1,25)))/MAX(OFFSET(高値!$E$6,IFERROR(MATCH(売分析!$C154,銘柄管理!$B$6:$B$305,0),MATCH(TEXT(売分析!$C154,"0"),銘柄管理!$B$6:$B$305,0))-1,0,1,25))*100,"")</f>
      </c>
      <c r="Q154">
        <f>IFERROR((売分析!$H154-売分析!$I154)/売分析!$F154*100,"")</f>
      </c>
      <c r="R154">
        <f>IFERROR(5-COUNTIF($M$3:$M$206,"&lt;"&amp;$M154)/COUNT($M$3:$M$206)-COUNTIF($Q$3:$Q$206,"&lt;"&amp;$Q154)/COUNT($Q$3:$Q$206)-COUNTIF($N$3:$N$206,"&lt;"&amp;$N154)/COUNT($N$3:$N$206)-COUNTIF(売分析!$Z$3:$Z$206,"&lt;"&amp;売分析!$Z154)/COUNT(売分析!$Z$3:$Z$206)-COUNTIF($O$3:$O$206,"&lt;"&amp;$O154)/COUNT($O$3:$O$206),"")</f>
      </c>
      <c r="S154">
        <f>IF(OR(K154="",K154="TOPX",M154="",R154=""),0,IF(AND(V811設定!$E$12=1,M154&lt;=V811設定!$E$3,N154&lt;=V811設定!$E$4,O154&lt;=V811設定!$E$5,売分析!$Z154&lt;=V811設定!$E$6,売分析!$Z154&gt;=V811設定!$E$7,P154&gt;=V811設定!$E$8,Q154&lt;=V811設定!$E$9),1,0))</f>
      </c>
      <c r="T154">
        <f>IF(K154="","",IF(S154=1,"○ゲート通過",IF(V811設定!$E$12&lt;&gt;1,"― 停止中",IF(M154&gt;V811設定!$E$3,"×値動きが荒い",IF(N154&gt;V811設定!$E$4,"×レンジが広い",IF(O154&gt;V811設定!$E$5,"×窓を開けて上昇",IF(売分析!$Z154&gt;V811設定!$E$6,"×前日に急騰",IF(売分析!$Z154&lt;V811設定!$E$7,"×前日に急落",IF(P154&lt;V811設定!$E$8,"×高値から離れすぎ",IF(Q154&gt;V811設定!$E$9,"×当日の値幅が大きい","×"))))))))))</f>
      </c>
    </row>
    <row r="155" spans="1:20">
      <c r="A155">
        <f>IF(分析!$C155="","",分析!$C155)</f>
      </c>
      <c r="B155">
        <f>IF(分析!$C155="","",分析!$D155)</f>
      </c>
      <c r="C155">
        <f>IFERROR((SUM(OFFSET(高値!$E$6,IFERROR(MATCH(分析!$C155,銘柄管理!$B$6:$B$305,0),MATCH(TEXT(分析!$C155,"0"),銘柄管理!$B$6:$B$305,0))-1,0,1,14))-SUM(OFFSET(安値!$E$6,IFERROR(MATCH(分析!$C155,銘柄管理!$B$6:$B$305,0),MATCH(TEXT(分析!$C155,"0"),銘柄管理!$B$6:$B$305,0))-1,0,1,14)))/SUM(OFFSET(終値!$E$6,IFERROR(MATCH(分析!$C155,銘柄管理!$B$6:$B$305,0),MATCH(TEXT(分析!$C155,"0"),銘柄管理!$B$6:$B$305,0))-1,0,1,14))*100,"")</f>
      </c>
      <c r="D155">
        <f>IFERROR((MAX(OFFSET(高値!$E$6,IFERROR(MATCH(分析!$C155,銘柄管理!$B$6:$B$305,0),MATCH(TEXT(分析!$C155,"0"),銘柄管理!$B$6:$B$305,0))-1,0,1,25))-MIN(OFFSET(安値!$E$6,IFERROR(MATCH(分析!$C155,銘柄管理!$B$6:$B$305,0),MATCH(TEXT(分析!$C155,"0"),銘柄管理!$B$6:$B$305,0))-1,0,1,25)))/分析!$E155*100,"")</f>
      </c>
      <c r="E155">
        <f>IFERROR((分析!$F155-分析!$G155)/分析!$G155*100,"")</f>
      </c>
      <c r="F155">
        <f>IFERROR((分析!$E155-MAX(OFFSET(高値!$E$6,IFERROR(MATCH(分析!$C155,銘柄管理!$B$6:$B$305,0),MATCH(TEXT(分析!$C155,"0"),銘柄管理!$B$6:$B$305,0))-1,0,1,25)))/MAX(OFFSET(高値!$E$6,IFERROR(MATCH(分析!$C155,銘柄管理!$B$6:$B$305,0),MATCH(TEXT(分析!$C155,"0"),銘柄管理!$B$6:$B$305,0))-1,0,1,25))*100,"")</f>
      </c>
      <c r="G155">
        <f>IFERROR((分析!$H155-分析!$I155)/分析!$F155*100,"")</f>
      </c>
      <c r="H155">
        <f>IFERROR(5-COUNTIF($C$3:$C$206,"&lt;"&amp;$C155)/COUNT($C$3:$C$206)-COUNTIF($G$3:$G$206,"&lt;"&amp;$G155)/COUNT($G$3:$G$206)-COUNTIF($D$3:$D$206,"&lt;"&amp;$D155)/COUNT($D$3:$D$206)-COUNTIF(分析!$Z$3:$Z$206,"&lt;"&amp;分析!$Z155)/COUNT(分析!$Z$3:$Z$206)-COUNTIF($E$3:$E$206,"&lt;"&amp;$E155)/COUNT($E$3:$E$206),"")</f>
      </c>
      <c r="I155">
        <f>IF(OR(A155="",A155="TOPX",C155="",H155=""),0,IF(AND(V811設定!$E$11=1,C155&lt;=V811設定!$E$3,D155&lt;=V811設定!$E$4,E155&lt;=V811設定!$E$5,分析!$Z155&lt;=V811設定!$E$6,分析!$Z155&gt;=V811設定!$E$7,F155&gt;=V811設定!$E$8,G155&lt;=V811設定!$E$9),1,0))</f>
      </c>
      <c r="J155">
        <f>IF(A155="","",IF(I155=1,"○ゲート通過",IF(V811設定!$E$11&lt;&gt;1,"― 停止中",IF(C155&gt;V811設定!$E$3,"×値動きが荒い",IF(D155&gt;V811設定!$E$4,"×レンジが広い",IF(E155&gt;V811設定!$E$5,"×窓を開けて上昇",IF(分析!$Z155&gt;V811設定!$E$6,"×前日に急騰",IF(分析!$Z155&lt;V811設定!$E$7,"×前日に急落",IF(F155&lt;V811設定!$E$8,"×高値から離れすぎ",IF(G155&gt;V811設定!$E$9,"×当日の値幅が大きい","×"))))))))))</f>
      </c>
      <c r="K155">
        <f>IF(売分析!$C155="","",売分析!$C155)</f>
      </c>
      <c r="L155">
        <f>IF(売分析!$C155="","",売分析!$D155)</f>
      </c>
      <c r="M155">
        <f>IFERROR((SUM(OFFSET(高値!$E$6,IFERROR(MATCH(売分析!$C155,銘柄管理!$B$6:$B$305,0),MATCH(TEXT(売分析!$C155,"0"),銘柄管理!$B$6:$B$305,0))-1,0,1,14))-SUM(OFFSET(安値!$E$6,IFERROR(MATCH(売分析!$C155,銘柄管理!$B$6:$B$305,0),MATCH(TEXT(売分析!$C155,"0"),銘柄管理!$B$6:$B$305,0))-1,0,1,14)))/SUM(OFFSET(終値!$E$6,IFERROR(MATCH(売分析!$C155,銘柄管理!$B$6:$B$305,0),MATCH(TEXT(売分析!$C155,"0"),銘柄管理!$B$6:$B$305,0))-1,0,1,14))*100,"")</f>
      </c>
      <c r="N155">
        <f>IFERROR((MAX(OFFSET(高値!$E$6,IFERROR(MATCH(売分析!$C155,銘柄管理!$B$6:$B$305,0),MATCH(TEXT(売分析!$C155,"0"),銘柄管理!$B$6:$B$305,0))-1,0,1,25))-MIN(OFFSET(安値!$E$6,IFERROR(MATCH(売分析!$C155,銘柄管理!$B$6:$B$305,0),MATCH(TEXT(売分析!$C155,"0"),銘柄管理!$B$6:$B$305,0))-1,0,1,25)))/売分析!$E155*100,"")</f>
      </c>
      <c r="O155">
        <f>IFERROR((売分析!$F155-売分析!$G155)/売分析!$G155*100,"")</f>
      </c>
      <c r="P155">
        <f>IFERROR((売分析!$E155-MAX(OFFSET(高値!$E$6,IFERROR(MATCH(売分析!$C155,銘柄管理!$B$6:$B$305,0),MATCH(TEXT(売分析!$C155,"0"),銘柄管理!$B$6:$B$305,0))-1,0,1,25)))/MAX(OFFSET(高値!$E$6,IFERROR(MATCH(売分析!$C155,銘柄管理!$B$6:$B$305,0),MATCH(TEXT(売分析!$C155,"0"),銘柄管理!$B$6:$B$305,0))-1,0,1,25))*100,"")</f>
      </c>
      <c r="Q155">
        <f>IFERROR((売分析!$H155-売分析!$I155)/売分析!$F155*100,"")</f>
      </c>
      <c r="R155">
        <f>IFERROR(5-COUNTIF($M$3:$M$206,"&lt;"&amp;$M155)/COUNT($M$3:$M$206)-COUNTIF($Q$3:$Q$206,"&lt;"&amp;$Q155)/COUNT($Q$3:$Q$206)-COUNTIF($N$3:$N$206,"&lt;"&amp;$N155)/COUNT($N$3:$N$206)-COUNTIF(売分析!$Z$3:$Z$206,"&lt;"&amp;売分析!$Z155)/COUNT(売分析!$Z$3:$Z$206)-COUNTIF($O$3:$O$206,"&lt;"&amp;$O155)/COUNT($O$3:$O$206),"")</f>
      </c>
      <c r="S155">
        <f>IF(OR(K155="",K155="TOPX",M155="",R155=""),0,IF(AND(V811設定!$E$12=1,M155&lt;=V811設定!$E$3,N155&lt;=V811設定!$E$4,O155&lt;=V811設定!$E$5,売分析!$Z155&lt;=V811設定!$E$6,売分析!$Z155&gt;=V811設定!$E$7,P155&gt;=V811設定!$E$8,Q155&lt;=V811設定!$E$9),1,0))</f>
      </c>
      <c r="T155">
        <f>IF(K155="","",IF(S155=1,"○ゲート通過",IF(V811設定!$E$12&lt;&gt;1,"― 停止中",IF(M155&gt;V811設定!$E$3,"×値動きが荒い",IF(N155&gt;V811設定!$E$4,"×レンジが広い",IF(O155&gt;V811設定!$E$5,"×窓を開けて上昇",IF(売分析!$Z155&gt;V811設定!$E$6,"×前日に急騰",IF(売分析!$Z155&lt;V811設定!$E$7,"×前日に急落",IF(P155&lt;V811設定!$E$8,"×高値から離れすぎ",IF(Q155&gt;V811設定!$E$9,"×当日の値幅が大きい","×"))))))))))</f>
      </c>
    </row>
    <row r="156" spans="1:20">
      <c r="A156">
        <f>IF(分析!$C156="","",分析!$C156)</f>
      </c>
      <c r="B156">
        <f>IF(分析!$C156="","",分析!$D156)</f>
      </c>
      <c r="C156">
        <f>IFERROR((SUM(OFFSET(高値!$E$6,IFERROR(MATCH(分析!$C156,銘柄管理!$B$6:$B$305,0),MATCH(TEXT(分析!$C156,"0"),銘柄管理!$B$6:$B$305,0))-1,0,1,14))-SUM(OFFSET(安値!$E$6,IFERROR(MATCH(分析!$C156,銘柄管理!$B$6:$B$305,0),MATCH(TEXT(分析!$C156,"0"),銘柄管理!$B$6:$B$305,0))-1,0,1,14)))/SUM(OFFSET(終値!$E$6,IFERROR(MATCH(分析!$C156,銘柄管理!$B$6:$B$305,0),MATCH(TEXT(分析!$C156,"0"),銘柄管理!$B$6:$B$305,0))-1,0,1,14))*100,"")</f>
      </c>
      <c r="D156">
        <f>IFERROR((MAX(OFFSET(高値!$E$6,IFERROR(MATCH(分析!$C156,銘柄管理!$B$6:$B$305,0),MATCH(TEXT(分析!$C156,"0"),銘柄管理!$B$6:$B$305,0))-1,0,1,25))-MIN(OFFSET(安値!$E$6,IFERROR(MATCH(分析!$C156,銘柄管理!$B$6:$B$305,0),MATCH(TEXT(分析!$C156,"0"),銘柄管理!$B$6:$B$305,0))-1,0,1,25)))/分析!$E156*100,"")</f>
      </c>
      <c r="E156">
        <f>IFERROR((分析!$F156-分析!$G156)/分析!$G156*100,"")</f>
      </c>
      <c r="F156">
        <f>IFERROR((分析!$E156-MAX(OFFSET(高値!$E$6,IFERROR(MATCH(分析!$C156,銘柄管理!$B$6:$B$305,0),MATCH(TEXT(分析!$C156,"0"),銘柄管理!$B$6:$B$305,0))-1,0,1,25)))/MAX(OFFSET(高値!$E$6,IFERROR(MATCH(分析!$C156,銘柄管理!$B$6:$B$305,0),MATCH(TEXT(分析!$C156,"0"),銘柄管理!$B$6:$B$305,0))-1,0,1,25))*100,"")</f>
      </c>
      <c r="G156">
        <f>IFERROR((分析!$H156-分析!$I156)/分析!$F156*100,"")</f>
      </c>
      <c r="H156">
        <f>IFERROR(5-COUNTIF($C$3:$C$206,"&lt;"&amp;$C156)/COUNT($C$3:$C$206)-COUNTIF($G$3:$G$206,"&lt;"&amp;$G156)/COUNT($G$3:$G$206)-COUNTIF($D$3:$D$206,"&lt;"&amp;$D156)/COUNT($D$3:$D$206)-COUNTIF(分析!$Z$3:$Z$206,"&lt;"&amp;分析!$Z156)/COUNT(分析!$Z$3:$Z$206)-COUNTIF($E$3:$E$206,"&lt;"&amp;$E156)/COUNT($E$3:$E$206),"")</f>
      </c>
      <c r="I156">
        <f>IF(OR(A156="",A156="TOPX",C156="",H156=""),0,IF(AND(V811設定!$E$11=1,C156&lt;=V811設定!$E$3,D156&lt;=V811設定!$E$4,E156&lt;=V811設定!$E$5,分析!$Z156&lt;=V811設定!$E$6,分析!$Z156&gt;=V811設定!$E$7,F156&gt;=V811設定!$E$8,G156&lt;=V811設定!$E$9),1,0))</f>
      </c>
      <c r="J156">
        <f>IF(A156="","",IF(I156=1,"○ゲート通過",IF(V811設定!$E$11&lt;&gt;1,"― 停止中",IF(C156&gt;V811設定!$E$3,"×値動きが荒い",IF(D156&gt;V811設定!$E$4,"×レンジが広い",IF(E156&gt;V811設定!$E$5,"×窓を開けて上昇",IF(分析!$Z156&gt;V811設定!$E$6,"×前日に急騰",IF(分析!$Z156&lt;V811設定!$E$7,"×前日に急落",IF(F156&lt;V811設定!$E$8,"×高値から離れすぎ",IF(G156&gt;V811設定!$E$9,"×当日の値幅が大きい","×"))))))))))</f>
      </c>
      <c r="K156">
        <f>IF(売分析!$C156="","",売分析!$C156)</f>
      </c>
      <c r="L156">
        <f>IF(売分析!$C156="","",売分析!$D156)</f>
      </c>
      <c r="M156">
        <f>IFERROR((SUM(OFFSET(高値!$E$6,IFERROR(MATCH(売分析!$C156,銘柄管理!$B$6:$B$305,0),MATCH(TEXT(売分析!$C156,"0"),銘柄管理!$B$6:$B$305,0))-1,0,1,14))-SUM(OFFSET(安値!$E$6,IFERROR(MATCH(売分析!$C156,銘柄管理!$B$6:$B$305,0),MATCH(TEXT(売分析!$C156,"0"),銘柄管理!$B$6:$B$305,0))-1,0,1,14)))/SUM(OFFSET(終値!$E$6,IFERROR(MATCH(売分析!$C156,銘柄管理!$B$6:$B$305,0),MATCH(TEXT(売分析!$C156,"0"),銘柄管理!$B$6:$B$305,0))-1,0,1,14))*100,"")</f>
      </c>
      <c r="N156">
        <f>IFERROR((MAX(OFFSET(高値!$E$6,IFERROR(MATCH(売分析!$C156,銘柄管理!$B$6:$B$305,0),MATCH(TEXT(売分析!$C156,"0"),銘柄管理!$B$6:$B$305,0))-1,0,1,25))-MIN(OFFSET(安値!$E$6,IFERROR(MATCH(売分析!$C156,銘柄管理!$B$6:$B$305,0),MATCH(TEXT(売分析!$C156,"0"),銘柄管理!$B$6:$B$305,0))-1,0,1,25)))/売分析!$E156*100,"")</f>
      </c>
      <c r="O156">
        <f>IFERROR((売分析!$F156-売分析!$G156)/売分析!$G156*100,"")</f>
      </c>
      <c r="P156">
        <f>IFERROR((売分析!$E156-MAX(OFFSET(高値!$E$6,IFERROR(MATCH(売分析!$C156,銘柄管理!$B$6:$B$305,0),MATCH(TEXT(売分析!$C156,"0"),銘柄管理!$B$6:$B$305,0))-1,0,1,25)))/MAX(OFFSET(高値!$E$6,IFERROR(MATCH(売分析!$C156,銘柄管理!$B$6:$B$305,0),MATCH(TEXT(売分析!$C156,"0"),銘柄管理!$B$6:$B$305,0))-1,0,1,25))*100,"")</f>
      </c>
      <c r="Q156">
        <f>IFERROR((売分析!$H156-売分析!$I156)/売分析!$F156*100,"")</f>
      </c>
      <c r="R156">
        <f>IFERROR(5-COUNTIF($M$3:$M$206,"&lt;"&amp;$M156)/COUNT($M$3:$M$206)-COUNTIF($Q$3:$Q$206,"&lt;"&amp;$Q156)/COUNT($Q$3:$Q$206)-COUNTIF($N$3:$N$206,"&lt;"&amp;$N156)/COUNT($N$3:$N$206)-COUNTIF(売分析!$Z$3:$Z$206,"&lt;"&amp;売分析!$Z156)/COUNT(売分析!$Z$3:$Z$206)-COUNTIF($O$3:$O$206,"&lt;"&amp;$O156)/COUNT($O$3:$O$206),"")</f>
      </c>
      <c r="S156">
        <f>IF(OR(K156="",K156="TOPX",M156="",R156=""),0,IF(AND(V811設定!$E$12=1,M156&lt;=V811設定!$E$3,N156&lt;=V811設定!$E$4,O156&lt;=V811設定!$E$5,売分析!$Z156&lt;=V811設定!$E$6,売分析!$Z156&gt;=V811設定!$E$7,P156&gt;=V811設定!$E$8,Q156&lt;=V811設定!$E$9),1,0))</f>
      </c>
      <c r="T156">
        <f>IF(K156="","",IF(S156=1,"○ゲート通過",IF(V811設定!$E$12&lt;&gt;1,"― 停止中",IF(M156&gt;V811設定!$E$3,"×値動きが荒い",IF(N156&gt;V811設定!$E$4,"×レンジが広い",IF(O156&gt;V811設定!$E$5,"×窓を開けて上昇",IF(売分析!$Z156&gt;V811設定!$E$6,"×前日に急騰",IF(売分析!$Z156&lt;V811設定!$E$7,"×前日に急落",IF(P156&lt;V811設定!$E$8,"×高値から離れすぎ",IF(Q156&gt;V811設定!$E$9,"×当日の値幅が大きい","×"))))))))))</f>
      </c>
    </row>
    <row r="157" spans="1:20">
      <c r="A157">
        <f>IF(分析!$C157="","",分析!$C157)</f>
      </c>
      <c r="B157">
        <f>IF(分析!$C157="","",分析!$D157)</f>
      </c>
      <c r="C157">
        <f>IFERROR((SUM(OFFSET(高値!$E$6,IFERROR(MATCH(分析!$C157,銘柄管理!$B$6:$B$305,0),MATCH(TEXT(分析!$C157,"0"),銘柄管理!$B$6:$B$305,0))-1,0,1,14))-SUM(OFFSET(安値!$E$6,IFERROR(MATCH(分析!$C157,銘柄管理!$B$6:$B$305,0),MATCH(TEXT(分析!$C157,"0"),銘柄管理!$B$6:$B$305,0))-1,0,1,14)))/SUM(OFFSET(終値!$E$6,IFERROR(MATCH(分析!$C157,銘柄管理!$B$6:$B$305,0),MATCH(TEXT(分析!$C157,"0"),銘柄管理!$B$6:$B$305,0))-1,0,1,14))*100,"")</f>
      </c>
      <c r="D157">
        <f>IFERROR((MAX(OFFSET(高値!$E$6,IFERROR(MATCH(分析!$C157,銘柄管理!$B$6:$B$305,0),MATCH(TEXT(分析!$C157,"0"),銘柄管理!$B$6:$B$305,0))-1,0,1,25))-MIN(OFFSET(安値!$E$6,IFERROR(MATCH(分析!$C157,銘柄管理!$B$6:$B$305,0),MATCH(TEXT(分析!$C157,"0"),銘柄管理!$B$6:$B$305,0))-1,0,1,25)))/分析!$E157*100,"")</f>
      </c>
      <c r="E157">
        <f>IFERROR((分析!$F157-分析!$G157)/分析!$G157*100,"")</f>
      </c>
      <c r="F157">
        <f>IFERROR((分析!$E157-MAX(OFFSET(高値!$E$6,IFERROR(MATCH(分析!$C157,銘柄管理!$B$6:$B$305,0),MATCH(TEXT(分析!$C157,"0"),銘柄管理!$B$6:$B$305,0))-1,0,1,25)))/MAX(OFFSET(高値!$E$6,IFERROR(MATCH(分析!$C157,銘柄管理!$B$6:$B$305,0),MATCH(TEXT(分析!$C157,"0"),銘柄管理!$B$6:$B$305,0))-1,0,1,25))*100,"")</f>
      </c>
      <c r="G157">
        <f>IFERROR((分析!$H157-分析!$I157)/分析!$F157*100,"")</f>
      </c>
      <c r="H157">
        <f>IFERROR(5-COUNTIF($C$3:$C$206,"&lt;"&amp;$C157)/COUNT($C$3:$C$206)-COUNTIF($G$3:$G$206,"&lt;"&amp;$G157)/COUNT($G$3:$G$206)-COUNTIF($D$3:$D$206,"&lt;"&amp;$D157)/COUNT($D$3:$D$206)-COUNTIF(分析!$Z$3:$Z$206,"&lt;"&amp;分析!$Z157)/COUNT(分析!$Z$3:$Z$206)-COUNTIF($E$3:$E$206,"&lt;"&amp;$E157)/COUNT($E$3:$E$206),"")</f>
      </c>
      <c r="I157">
        <f>IF(OR(A157="",A157="TOPX",C157="",H157=""),0,IF(AND(V811設定!$E$11=1,C157&lt;=V811設定!$E$3,D157&lt;=V811設定!$E$4,E157&lt;=V811設定!$E$5,分析!$Z157&lt;=V811設定!$E$6,分析!$Z157&gt;=V811設定!$E$7,F157&gt;=V811設定!$E$8,G157&lt;=V811設定!$E$9),1,0))</f>
      </c>
      <c r="J157">
        <f>IF(A157="","",IF(I157=1,"○ゲート通過",IF(V811設定!$E$11&lt;&gt;1,"― 停止中",IF(C157&gt;V811設定!$E$3,"×値動きが荒い",IF(D157&gt;V811設定!$E$4,"×レンジが広い",IF(E157&gt;V811設定!$E$5,"×窓を開けて上昇",IF(分析!$Z157&gt;V811設定!$E$6,"×前日に急騰",IF(分析!$Z157&lt;V811設定!$E$7,"×前日に急落",IF(F157&lt;V811設定!$E$8,"×高値から離れすぎ",IF(G157&gt;V811設定!$E$9,"×当日の値幅が大きい","×"))))))))))</f>
      </c>
      <c r="K157">
        <f>IF(売分析!$C157="","",売分析!$C157)</f>
      </c>
      <c r="L157">
        <f>IF(売分析!$C157="","",売分析!$D157)</f>
      </c>
      <c r="M157">
        <f>IFERROR((SUM(OFFSET(高値!$E$6,IFERROR(MATCH(売分析!$C157,銘柄管理!$B$6:$B$305,0),MATCH(TEXT(売分析!$C157,"0"),銘柄管理!$B$6:$B$305,0))-1,0,1,14))-SUM(OFFSET(安値!$E$6,IFERROR(MATCH(売分析!$C157,銘柄管理!$B$6:$B$305,0),MATCH(TEXT(売分析!$C157,"0"),銘柄管理!$B$6:$B$305,0))-1,0,1,14)))/SUM(OFFSET(終値!$E$6,IFERROR(MATCH(売分析!$C157,銘柄管理!$B$6:$B$305,0),MATCH(TEXT(売分析!$C157,"0"),銘柄管理!$B$6:$B$305,0))-1,0,1,14))*100,"")</f>
      </c>
      <c r="N157">
        <f>IFERROR((MAX(OFFSET(高値!$E$6,IFERROR(MATCH(売分析!$C157,銘柄管理!$B$6:$B$305,0),MATCH(TEXT(売分析!$C157,"0"),銘柄管理!$B$6:$B$305,0))-1,0,1,25))-MIN(OFFSET(安値!$E$6,IFERROR(MATCH(売分析!$C157,銘柄管理!$B$6:$B$305,0),MATCH(TEXT(売分析!$C157,"0"),銘柄管理!$B$6:$B$305,0))-1,0,1,25)))/売分析!$E157*100,"")</f>
      </c>
      <c r="O157">
        <f>IFERROR((売分析!$F157-売分析!$G157)/売分析!$G157*100,"")</f>
      </c>
      <c r="P157">
        <f>IFERROR((売分析!$E157-MAX(OFFSET(高値!$E$6,IFERROR(MATCH(売分析!$C157,銘柄管理!$B$6:$B$305,0),MATCH(TEXT(売分析!$C157,"0"),銘柄管理!$B$6:$B$305,0))-1,0,1,25)))/MAX(OFFSET(高値!$E$6,IFERROR(MATCH(売分析!$C157,銘柄管理!$B$6:$B$305,0),MATCH(TEXT(売分析!$C157,"0"),銘柄管理!$B$6:$B$305,0))-1,0,1,25))*100,"")</f>
      </c>
      <c r="Q157">
        <f>IFERROR((売分析!$H157-売分析!$I157)/売分析!$F157*100,"")</f>
      </c>
      <c r="R157">
        <f>IFERROR(5-COUNTIF($M$3:$M$206,"&lt;"&amp;$M157)/COUNT($M$3:$M$206)-COUNTIF($Q$3:$Q$206,"&lt;"&amp;$Q157)/COUNT($Q$3:$Q$206)-COUNTIF($N$3:$N$206,"&lt;"&amp;$N157)/COUNT($N$3:$N$206)-COUNTIF(売分析!$Z$3:$Z$206,"&lt;"&amp;売分析!$Z157)/COUNT(売分析!$Z$3:$Z$206)-COUNTIF($O$3:$O$206,"&lt;"&amp;$O157)/COUNT($O$3:$O$206),"")</f>
      </c>
      <c r="S157">
        <f>IF(OR(K157="",K157="TOPX",M157="",R157=""),0,IF(AND(V811設定!$E$12=1,M157&lt;=V811設定!$E$3,N157&lt;=V811設定!$E$4,O157&lt;=V811設定!$E$5,売分析!$Z157&lt;=V811設定!$E$6,売分析!$Z157&gt;=V811設定!$E$7,P157&gt;=V811設定!$E$8,Q157&lt;=V811設定!$E$9),1,0))</f>
      </c>
      <c r="T157">
        <f>IF(K157="","",IF(S157=1,"○ゲート通過",IF(V811設定!$E$12&lt;&gt;1,"― 停止中",IF(M157&gt;V811設定!$E$3,"×値動きが荒い",IF(N157&gt;V811設定!$E$4,"×レンジが広い",IF(O157&gt;V811設定!$E$5,"×窓を開けて上昇",IF(売分析!$Z157&gt;V811設定!$E$6,"×前日に急騰",IF(売分析!$Z157&lt;V811設定!$E$7,"×前日に急落",IF(P157&lt;V811設定!$E$8,"×高値から離れすぎ",IF(Q157&gt;V811設定!$E$9,"×当日の値幅が大きい","×"))))))))))</f>
      </c>
    </row>
    <row r="158" spans="1:20">
      <c r="A158">
        <f>IF(分析!$C158="","",分析!$C158)</f>
      </c>
      <c r="B158">
        <f>IF(分析!$C158="","",分析!$D158)</f>
      </c>
      <c r="C158">
        <f>IFERROR((SUM(OFFSET(高値!$E$6,IFERROR(MATCH(分析!$C158,銘柄管理!$B$6:$B$305,0),MATCH(TEXT(分析!$C158,"0"),銘柄管理!$B$6:$B$305,0))-1,0,1,14))-SUM(OFFSET(安値!$E$6,IFERROR(MATCH(分析!$C158,銘柄管理!$B$6:$B$305,0),MATCH(TEXT(分析!$C158,"0"),銘柄管理!$B$6:$B$305,0))-1,0,1,14)))/SUM(OFFSET(終値!$E$6,IFERROR(MATCH(分析!$C158,銘柄管理!$B$6:$B$305,0),MATCH(TEXT(分析!$C158,"0"),銘柄管理!$B$6:$B$305,0))-1,0,1,14))*100,"")</f>
      </c>
      <c r="D158">
        <f>IFERROR((MAX(OFFSET(高値!$E$6,IFERROR(MATCH(分析!$C158,銘柄管理!$B$6:$B$305,0),MATCH(TEXT(分析!$C158,"0"),銘柄管理!$B$6:$B$305,0))-1,0,1,25))-MIN(OFFSET(安値!$E$6,IFERROR(MATCH(分析!$C158,銘柄管理!$B$6:$B$305,0),MATCH(TEXT(分析!$C158,"0"),銘柄管理!$B$6:$B$305,0))-1,0,1,25)))/分析!$E158*100,"")</f>
      </c>
      <c r="E158">
        <f>IFERROR((分析!$F158-分析!$G158)/分析!$G158*100,"")</f>
      </c>
      <c r="F158">
        <f>IFERROR((分析!$E158-MAX(OFFSET(高値!$E$6,IFERROR(MATCH(分析!$C158,銘柄管理!$B$6:$B$305,0),MATCH(TEXT(分析!$C158,"0"),銘柄管理!$B$6:$B$305,0))-1,0,1,25)))/MAX(OFFSET(高値!$E$6,IFERROR(MATCH(分析!$C158,銘柄管理!$B$6:$B$305,0),MATCH(TEXT(分析!$C158,"0"),銘柄管理!$B$6:$B$305,0))-1,0,1,25))*100,"")</f>
      </c>
      <c r="G158">
        <f>IFERROR((分析!$H158-分析!$I158)/分析!$F158*100,"")</f>
      </c>
      <c r="H158">
        <f>IFERROR(5-COUNTIF($C$3:$C$206,"&lt;"&amp;$C158)/COUNT($C$3:$C$206)-COUNTIF($G$3:$G$206,"&lt;"&amp;$G158)/COUNT($G$3:$G$206)-COUNTIF($D$3:$D$206,"&lt;"&amp;$D158)/COUNT($D$3:$D$206)-COUNTIF(分析!$Z$3:$Z$206,"&lt;"&amp;分析!$Z158)/COUNT(分析!$Z$3:$Z$206)-COUNTIF($E$3:$E$206,"&lt;"&amp;$E158)/COUNT($E$3:$E$206),"")</f>
      </c>
      <c r="I158">
        <f>IF(OR(A158="",A158="TOPX",C158="",H158=""),0,IF(AND(V811設定!$E$11=1,C158&lt;=V811設定!$E$3,D158&lt;=V811設定!$E$4,E158&lt;=V811設定!$E$5,分析!$Z158&lt;=V811設定!$E$6,分析!$Z158&gt;=V811設定!$E$7,F158&gt;=V811設定!$E$8,G158&lt;=V811設定!$E$9),1,0))</f>
      </c>
      <c r="J158">
        <f>IF(A158="","",IF(I158=1,"○ゲート通過",IF(V811設定!$E$11&lt;&gt;1,"― 停止中",IF(C158&gt;V811設定!$E$3,"×値動きが荒い",IF(D158&gt;V811設定!$E$4,"×レンジが広い",IF(E158&gt;V811設定!$E$5,"×窓を開けて上昇",IF(分析!$Z158&gt;V811設定!$E$6,"×前日に急騰",IF(分析!$Z158&lt;V811設定!$E$7,"×前日に急落",IF(F158&lt;V811設定!$E$8,"×高値から離れすぎ",IF(G158&gt;V811設定!$E$9,"×当日の値幅が大きい","×"))))))))))</f>
      </c>
      <c r="K158">
        <f>IF(売分析!$C158="","",売分析!$C158)</f>
      </c>
      <c r="L158">
        <f>IF(売分析!$C158="","",売分析!$D158)</f>
      </c>
      <c r="M158">
        <f>IFERROR((SUM(OFFSET(高値!$E$6,IFERROR(MATCH(売分析!$C158,銘柄管理!$B$6:$B$305,0),MATCH(TEXT(売分析!$C158,"0"),銘柄管理!$B$6:$B$305,0))-1,0,1,14))-SUM(OFFSET(安値!$E$6,IFERROR(MATCH(売分析!$C158,銘柄管理!$B$6:$B$305,0),MATCH(TEXT(売分析!$C158,"0"),銘柄管理!$B$6:$B$305,0))-1,0,1,14)))/SUM(OFFSET(終値!$E$6,IFERROR(MATCH(売分析!$C158,銘柄管理!$B$6:$B$305,0),MATCH(TEXT(売分析!$C158,"0"),銘柄管理!$B$6:$B$305,0))-1,0,1,14))*100,"")</f>
      </c>
      <c r="N158">
        <f>IFERROR((MAX(OFFSET(高値!$E$6,IFERROR(MATCH(売分析!$C158,銘柄管理!$B$6:$B$305,0),MATCH(TEXT(売分析!$C158,"0"),銘柄管理!$B$6:$B$305,0))-1,0,1,25))-MIN(OFFSET(安値!$E$6,IFERROR(MATCH(売分析!$C158,銘柄管理!$B$6:$B$305,0),MATCH(TEXT(売分析!$C158,"0"),銘柄管理!$B$6:$B$305,0))-1,0,1,25)))/売分析!$E158*100,"")</f>
      </c>
      <c r="O158">
        <f>IFERROR((売分析!$F158-売分析!$G158)/売分析!$G158*100,"")</f>
      </c>
      <c r="P158">
        <f>IFERROR((売分析!$E158-MAX(OFFSET(高値!$E$6,IFERROR(MATCH(売分析!$C158,銘柄管理!$B$6:$B$305,0),MATCH(TEXT(売分析!$C158,"0"),銘柄管理!$B$6:$B$305,0))-1,0,1,25)))/MAX(OFFSET(高値!$E$6,IFERROR(MATCH(売分析!$C158,銘柄管理!$B$6:$B$305,0),MATCH(TEXT(売分析!$C158,"0"),銘柄管理!$B$6:$B$305,0))-1,0,1,25))*100,"")</f>
      </c>
      <c r="Q158">
        <f>IFERROR((売分析!$H158-売分析!$I158)/売分析!$F158*100,"")</f>
      </c>
      <c r="R158">
        <f>IFERROR(5-COUNTIF($M$3:$M$206,"&lt;"&amp;$M158)/COUNT($M$3:$M$206)-COUNTIF($Q$3:$Q$206,"&lt;"&amp;$Q158)/COUNT($Q$3:$Q$206)-COUNTIF($N$3:$N$206,"&lt;"&amp;$N158)/COUNT($N$3:$N$206)-COUNTIF(売分析!$Z$3:$Z$206,"&lt;"&amp;売分析!$Z158)/COUNT(売分析!$Z$3:$Z$206)-COUNTIF($O$3:$O$206,"&lt;"&amp;$O158)/COUNT($O$3:$O$206),"")</f>
      </c>
      <c r="S158">
        <f>IF(OR(K158="",K158="TOPX",M158="",R158=""),0,IF(AND(V811設定!$E$12=1,M158&lt;=V811設定!$E$3,N158&lt;=V811設定!$E$4,O158&lt;=V811設定!$E$5,売分析!$Z158&lt;=V811設定!$E$6,売分析!$Z158&gt;=V811設定!$E$7,P158&gt;=V811設定!$E$8,Q158&lt;=V811設定!$E$9),1,0))</f>
      </c>
      <c r="T158">
        <f>IF(K158="","",IF(S158=1,"○ゲート通過",IF(V811設定!$E$12&lt;&gt;1,"― 停止中",IF(M158&gt;V811設定!$E$3,"×値動きが荒い",IF(N158&gt;V811設定!$E$4,"×レンジが広い",IF(O158&gt;V811設定!$E$5,"×窓を開けて上昇",IF(売分析!$Z158&gt;V811設定!$E$6,"×前日に急騰",IF(売分析!$Z158&lt;V811設定!$E$7,"×前日に急落",IF(P158&lt;V811設定!$E$8,"×高値から離れすぎ",IF(Q158&gt;V811設定!$E$9,"×当日の値幅が大きい","×"))))))))))</f>
      </c>
    </row>
    <row r="159" spans="1:20">
      <c r="A159">
        <f>IF(分析!$C159="","",分析!$C159)</f>
      </c>
      <c r="B159">
        <f>IF(分析!$C159="","",分析!$D159)</f>
      </c>
      <c r="C159">
        <f>IFERROR((SUM(OFFSET(高値!$E$6,IFERROR(MATCH(分析!$C159,銘柄管理!$B$6:$B$305,0),MATCH(TEXT(分析!$C159,"0"),銘柄管理!$B$6:$B$305,0))-1,0,1,14))-SUM(OFFSET(安値!$E$6,IFERROR(MATCH(分析!$C159,銘柄管理!$B$6:$B$305,0),MATCH(TEXT(分析!$C159,"0"),銘柄管理!$B$6:$B$305,0))-1,0,1,14)))/SUM(OFFSET(終値!$E$6,IFERROR(MATCH(分析!$C159,銘柄管理!$B$6:$B$305,0),MATCH(TEXT(分析!$C159,"0"),銘柄管理!$B$6:$B$305,0))-1,0,1,14))*100,"")</f>
      </c>
      <c r="D159">
        <f>IFERROR((MAX(OFFSET(高値!$E$6,IFERROR(MATCH(分析!$C159,銘柄管理!$B$6:$B$305,0),MATCH(TEXT(分析!$C159,"0"),銘柄管理!$B$6:$B$305,0))-1,0,1,25))-MIN(OFFSET(安値!$E$6,IFERROR(MATCH(分析!$C159,銘柄管理!$B$6:$B$305,0),MATCH(TEXT(分析!$C159,"0"),銘柄管理!$B$6:$B$305,0))-1,0,1,25)))/分析!$E159*100,"")</f>
      </c>
      <c r="E159">
        <f>IFERROR((分析!$F159-分析!$G159)/分析!$G159*100,"")</f>
      </c>
      <c r="F159">
        <f>IFERROR((分析!$E159-MAX(OFFSET(高値!$E$6,IFERROR(MATCH(分析!$C159,銘柄管理!$B$6:$B$305,0),MATCH(TEXT(分析!$C159,"0"),銘柄管理!$B$6:$B$305,0))-1,0,1,25)))/MAX(OFFSET(高値!$E$6,IFERROR(MATCH(分析!$C159,銘柄管理!$B$6:$B$305,0),MATCH(TEXT(分析!$C159,"0"),銘柄管理!$B$6:$B$305,0))-1,0,1,25))*100,"")</f>
      </c>
      <c r="G159">
        <f>IFERROR((分析!$H159-分析!$I159)/分析!$F159*100,"")</f>
      </c>
      <c r="H159">
        <f>IFERROR(5-COUNTIF($C$3:$C$206,"&lt;"&amp;$C159)/COUNT($C$3:$C$206)-COUNTIF($G$3:$G$206,"&lt;"&amp;$G159)/COUNT($G$3:$G$206)-COUNTIF($D$3:$D$206,"&lt;"&amp;$D159)/COUNT($D$3:$D$206)-COUNTIF(分析!$Z$3:$Z$206,"&lt;"&amp;分析!$Z159)/COUNT(分析!$Z$3:$Z$206)-COUNTIF($E$3:$E$206,"&lt;"&amp;$E159)/COUNT($E$3:$E$206),"")</f>
      </c>
      <c r="I159">
        <f>IF(OR(A159="",A159="TOPX",C159="",H159=""),0,IF(AND(V811設定!$E$11=1,C159&lt;=V811設定!$E$3,D159&lt;=V811設定!$E$4,E159&lt;=V811設定!$E$5,分析!$Z159&lt;=V811設定!$E$6,分析!$Z159&gt;=V811設定!$E$7,F159&gt;=V811設定!$E$8,G159&lt;=V811設定!$E$9),1,0))</f>
      </c>
      <c r="J159">
        <f>IF(A159="","",IF(I159=1,"○ゲート通過",IF(V811設定!$E$11&lt;&gt;1,"― 停止中",IF(C159&gt;V811設定!$E$3,"×値動きが荒い",IF(D159&gt;V811設定!$E$4,"×レンジが広い",IF(E159&gt;V811設定!$E$5,"×窓を開けて上昇",IF(分析!$Z159&gt;V811設定!$E$6,"×前日に急騰",IF(分析!$Z159&lt;V811設定!$E$7,"×前日に急落",IF(F159&lt;V811設定!$E$8,"×高値から離れすぎ",IF(G159&gt;V811設定!$E$9,"×当日の値幅が大きい","×"))))))))))</f>
      </c>
      <c r="K159">
        <f>IF(売分析!$C159="","",売分析!$C159)</f>
      </c>
      <c r="L159">
        <f>IF(売分析!$C159="","",売分析!$D159)</f>
      </c>
      <c r="M159">
        <f>IFERROR((SUM(OFFSET(高値!$E$6,IFERROR(MATCH(売分析!$C159,銘柄管理!$B$6:$B$305,0),MATCH(TEXT(売分析!$C159,"0"),銘柄管理!$B$6:$B$305,0))-1,0,1,14))-SUM(OFFSET(安値!$E$6,IFERROR(MATCH(売分析!$C159,銘柄管理!$B$6:$B$305,0),MATCH(TEXT(売分析!$C159,"0"),銘柄管理!$B$6:$B$305,0))-1,0,1,14)))/SUM(OFFSET(終値!$E$6,IFERROR(MATCH(売分析!$C159,銘柄管理!$B$6:$B$305,0),MATCH(TEXT(売分析!$C159,"0"),銘柄管理!$B$6:$B$305,0))-1,0,1,14))*100,"")</f>
      </c>
      <c r="N159">
        <f>IFERROR((MAX(OFFSET(高値!$E$6,IFERROR(MATCH(売分析!$C159,銘柄管理!$B$6:$B$305,0),MATCH(TEXT(売分析!$C159,"0"),銘柄管理!$B$6:$B$305,0))-1,0,1,25))-MIN(OFFSET(安値!$E$6,IFERROR(MATCH(売分析!$C159,銘柄管理!$B$6:$B$305,0),MATCH(TEXT(売分析!$C159,"0"),銘柄管理!$B$6:$B$305,0))-1,0,1,25)))/売分析!$E159*100,"")</f>
      </c>
      <c r="O159">
        <f>IFERROR((売分析!$F159-売分析!$G159)/売分析!$G159*100,"")</f>
      </c>
      <c r="P159">
        <f>IFERROR((売分析!$E159-MAX(OFFSET(高値!$E$6,IFERROR(MATCH(売分析!$C159,銘柄管理!$B$6:$B$305,0),MATCH(TEXT(売分析!$C159,"0"),銘柄管理!$B$6:$B$305,0))-1,0,1,25)))/MAX(OFFSET(高値!$E$6,IFERROR(MATCH(売分析!$C159,銘柄管理!$B$6:$B$305,0),MATCH(TEXT(売分析!$C159,"0"),銘柄管理!$B$6:$B$305,0))-1,0,1,25))*100,"")</f>
      </c>
      <c r="Q159">
        <f>IFERROR((売分析!$H159-売分析!$I159)/売分析!$F159*100,"")</f>
      </c>
      <c r="R159">
        <f>IFERROR(5-COUNTIF($M$3:$M$206,"&lt;"&amp;$M159)/COUNT($M$3:$M$206)-COUNTIF($Q$3:$Q$206,"&lt;"&amp;$Q159)/COUNT($Q$3:$Q$206)-COUNTIF($N$3:$N$206,"&lt;"&amp;$N159)/COUNT($N$3:$N$206)-COUNTIF(売分析!$Z$3:$Z$206,"&lt;"&amp;売分析!$Z159)/COUNT(売分析!$Z$3:$Z$206)-COUNTIF($O$3:$O$206,"&lt;"&amp;$O159)/COUNT($O$3:$O$206),"")</f>
      </c>
      <c r="S159">
        <f>IF(OR(K159="",K159="TOPX",M159="",R159=""),0,IF(AND(V811設定!$E$12=1,M159&lt;=V811設定!$E$3,N159&lt;=V811設定!$E$4,O159&lt;=V811設定!$E$5,売分析!$Z159&lt;=V811設定!$E$6,売分析!$Z159&gt;=V811設定!$E$7,P159&gt;=V811設定!$E$8,Q159&lt;=V811設定!$E$9),1,0))</f>
      </c>
      <c r="T159">
        <f>IF(K159="","",IF(S159=1,"○ゲート通過",IF(V811設定!$E$12&lt;&gt;1,"― 停止中",IF(M159&gt;V811設定!$E$3,"×値動きが荒い",IF(N159&gt;V811設定!$E$4,"×レンジが広い",IF(O159&gt;V811設定!$E$5,"×窓を開けて上昇",IF(売分析!$Z159&gt;V811設定!$E$6,"×前日に急騰",IF(売分析!$Z159&lt;V811設定!$E$7,"×前日に急落",IF(P159&lt;V811設定!$E$8,"×高値から離れすぎ",IF(Q159&gt;V811設定!$E$9,"×当日の値幅が大きい","×"))))))))))</f>
      </c>
    </row>
    <row r="160" spans="1:20">
      <c r="A160">
        <f>IF(分析!$C160="","",分析!$C160)</f>
      </c>
      <c r="B160">
        <f>IF(分析!$C160="","",分析!$D160)</f>
      </c>
      <c r="C160">
        <f>IFERROR((SUM(OFFSET(高値!$E$6,IFERROR(MATCH(分析!$C160,銘柄管理!$B$6:$B$305,0),MATCH(TEXT(分析!$C160,"0"),銘柄管理!$B$6:$B$305,0))-1,0,1,14))-SUM(OFFSET(安値!$E$6,IFERROR(MATCH(分析!$C160,銘柄管理!$B$6:$B$305,0),MATCH(TEXT(分析!$C160,"0"),銘柄管理!$B$6:$B$305,0))-1,0,1,14)))/SUM(OFFSET(終値!$E$6,IFERROR(MATCH(分析!$C160,銘柄管理!$B$6:$B$305,0),MATCH(TEXT(分析!$C160,"0"),銘柄管理!$B$6:$B$305,0))-1,0,1,14))*100,"")</f>
      </c>
      <c r="D160">
        <f>IFERROR((MAX(OFFSET(高値!$E$6,IFERROR(MATCH(分析!$C160,銘柄管理!$B$6:$B$305,0),MATCH(TEXT(分析!$C160,"0"),銘柄管理!$B$6:$B$305,0))-1,0,1,25))-MIN(OFFSET(安値!$E$6,IFERROR(MATCH(分析!$C160,銘柄管理!$B$6:$B$305,0),MATCH(TEXT(分析!$C160,"0"),銘柄管理!$B$6:$B$305,0))-1,0,1,25)))/分析!$E160*100,"")</f>
      </c>
      <c r="E160">
        <f>IFERROR((分析!$F160-分析!$G160)/分析!$G160*100,"")</f>
      </c>
      <c r="F160">
        <f>IFERROR((分析!$E160-MAX(OFFSET(高値!$E$6,IFERROR(MATCH(分析!$C160,銘柄管理!$B$6:$B$305,0),MATCH(TEXT(分析!$C160,"0"),銘柄管理!$B$6:$B$305,0))-1,0,1,25)))/MAX(OFFSET(高値!$E$6,IFERROR(MATCH(分析!$C160,銘柄管理!$B$6:$B$305,0),MATCH(TEXT(分析!$C160,"0"),銘柄管理!$B$6:$B$305,0))-1,0,1,25))*100,"")</f>
      </c>
      <c r="G160">
        <f>IFERROR((分析!$H160-分析!$I160)/分析!$F160*100,"")</f>
      </c>
      <c r="H160">
        <f>IFERROR(5-COUNTIF($C$3:$C$206,"&lt;"&amp;$C160)/COUNT($C$3:$C$206)-COUNTIF($G$3:$G$206,"&lt;"&amp;$G160)/COUNT($G$3:$G$206)-COUNTIF($D$3:$D$206,"&lt;"&amp;$D160)/COUNT($D$3:$D$206)-COUNTIF(分析!$Z$3:$Z$206,"&lt;"&amp;分析!$Z160)/COUNT(分析!$Z$3:$Z$206)-COUNTIF($E$3:$E$206,"&lt;"&amp;$E160)/COUNT($E$3:$E$206),"")</f>
      </c>
      <c r="I160">
        <f>IF(OR(A160="",A160="TOPX",C160="",H160=""),0,IF(AND(V811設定!$E$11=1,C160&lt;=V811設定!$E$3,D160&lt;=V811設定!$E$4,E160&lt;=V811設定!$E$5,分析!$Z160&lt;=V811設定!$E$6,分析!$Z160&gt;=V811設定!$E$7,F160&gt;=V811設定!$E$8,G160&lt;=V811設定!$E$9),1,0))</f>
      </c>
      <c r="J160">
        <f>IF(A160="","",IF(I160=1,"○ゲート通過",IF(V811設定!$E$11&lt;&gt;1,"― 停止中",IF(C160&gt;V811設定!$E$3,"×値動きが荒い",IF(D160&gt;V811設定!$E$4,"×レンジが広い",IF(E160&gt;V811設定!$E$5,"×窓を開けて上昇",IF(分析!$Z160&gt;V811設定!$E$6,"×前日に急騰",IF(分析!$Z160&lt;V811設定!$E$7,"×前日に急落",IF(F160&lt;V811設定!$E$8,"×高値から離れすぎ",IF(G160&gt;V811設定!$E$9,"×当日の値幅が大きい","×"))))))))))</f>
      </c>
      <c r="K160">
        <f>IF(売分析!$C160="","",売分析!$C160)</f>
      </c>
      <c r="L160">
        <f>IF(売分析!$C160="","",売分析!$D160)</f>
      </c>
      <c r="M160">
        <f>IFERROR((SUM(OFFSET(高値!$E$6,IFERROR(MATCH(売分析!$C160,銘柄管理!$B$6:$B$305,0),MATCH(TEXT(売分析!$C160,"0"),銘柄管理!$B$6:$B$305,0))-1,0,1,14))-SUM(OFFSET(安値!$E$6,IFERROR(MATCH(売分析!$C160,銘柄管理!$B$6:$B$305,0),MATCH(TEXT(売分析!$C160,"0"),銘柄管理!$B$6:$B$305,0))-1,0,1,14)))/SUM(OFFSET(終値!$E$6,IFERROR(MATCH(売分析!$C160,銘柄管理!$B$6:$B$305,0),MATCH(TEXT(売分析!$C160,"0"),銘柄管理!$B$6:$B$305,0))-1,0,1,14))*100,"")</f>
      </c>
      <c r="N160">
        <f>IFERROR((MAX(OFFSET(高値!$E$6,IFERROR(MATCH(売分析!$C160,銘柄管理!$B$6:$B$305,0),MATCH(TEXT(売分析!$C160,"0"),銘柄管理!$B$6:$B$305,0))-1,0,1,25))-MIN(OFFSET(安値!$E$6,IFERROR(MATCH(売分析!$C160,銘柄管理!$B$6:$B$305,0),MATCH(TEXT(売分析!$C160,"0"),銘柄管理!$B$6:$B$305,0))-1,0,1,25)))/売分析!$E160*100,"")</f>
      </c>
      <c r="O160">
        <f>IFERROR((売分析!$F160-売分析!$G160)/売分析!$G160*100,"")</f>
      </c>
      <c r="P160">
        <f>IFERROR((売分析!$E160-MAX(OFFSET(高値!$E$6,IFERROR(MATCH(売分析!$C160,銘柄管理!$B$6:$B$305,0),MATCH(TEXT(売分析!$C160,"0"),銘柄管理!$B$6:$B$305,0))-1,0,1,25)))/MAX(OFFSET(高値!$E$6,IFERROR(MATCH(売分析!$C160,銘柄管理!$B$6:$B$305,0),MATCH(TEXT(売分析!$C160,"0"),銘柄管理!$B$6:$B$305,0))-1,0,1,25))*100,"")</f>
      </c>
      <c r="Q160">
        <f>IFERROR((売分析!$H160-売分析!$I160)/売分析!$F160*100,"")</f>
      </c>
      <c r="R160">
        <f>IFERROR(5-COUNTIF($M$3:$M$206,"&lt;"&amp;$M160)/COUNT($M$3:$M$206)-COUNTIF($Q$3:$Q$206,"&lt;"&amp;$Q160)/COUNT($Q$3:$Q$206)-COUNTIF($N$3:$N$206,"&lt;"&amp;$N160)/COUNT($N$3:$N$206)-COUNTIF(売分析!$Z$3:$Z$206,"&lt;"&amp;売分析!$Z160)/COUNT(売分析!$Z$3:$Z$206)-COUNTIF($O$3:$O$206,"&lt;"&amp;$O160)/COUNT($O$3:$O$206),"")</f>
      </c>
      <c r="S160">
        <f>IF(OR(K160="",K160="TOPX",M160="",R160=""),0,IF(AND(V811設定!$E$12=1,M160&lt;=V811設定!$E$3,N160&lt;=V811設定!$E$4,O160&lt;=V811設定!$E$5,売分析!$Z160&lt;=V811設定!$E$6,売分析!$Z160&gt;=V811設定!$E$7,P160&gt;=V811設定!$E$8,Q160&lt;=V811設定!$E$9),1,0))</f>
      </c>
      <c r="T160">
        <f>IF(K160="","",IF(S160=1,"○ゲート通過",IF(V811設定!$E$12&lt;&gt;1,"― 停止中",IF(M160&gt;V811設定!$E$3,"×値動きが荒い",IF(N160&gt;V811設定!$E$4,"×レンジが広い",IF(O160&gt;V811設定!$E$5,"×窓を開けて上昇",IF(売分析!$Z160&gt;V811設定!$E$6,"×前日に急騰",IF(売分析!$Z160&lt;V811設定!$E$7,"×前日に急落",IF(P160&lt;V811設定!$E$8,"×高値から離れすぎ",IF(Q160&gt;V811設定!$E$9,"×当日の値幅が大きい","×"))))))))))</f>
      </c>
    </row>
    <row r="161" spans="1:20">
      <c r="A161">
        <f>IF(分析!$C161="","",分析!$C161)</f>
      </c>
      <c r="B161">
        <f>IF(分析!$C161="","",分析!$D161)</f>
      </c>
      <c r="C161">
        <f>IFERROR((SUM(OFFSET(高値!$E$6,IFERROR(MATCH(分析!$C161,銘柄管理!$B$6:$B$305,0),MATCH(TEXT(分析!$C161,"0"),銘柄管理!$B$6:$B$305,0))-1,0,1,14))-SUM(OFFSET(安値!$E$6,IFERROR(MATCH(分析!$C161,銘柄管理!$B$6:$B$305,0),MATCH(TEXT(分析!$C161,"0"),銘柄管理!$B$6:$B$305,0))-1,0,1,14)))/SUM(OFFSET(終値!$E$6,IFERROR(MATCH(分析!$C161,銘柄管理!$B$6:$B$305,0),MATCH(TEXT(分析!$C161,"0"),銘柄管理!$B$6:$B$305,0))-1,0,1,14))*100,"")</f>
      </c>
      <c r="D161">
        <f>IFERROR((MAX(OFFSET(高値!$E$6,IFERROR(MATCH(分析!$C161,銘柄管理!$B$6:$B$305,0),MATCH(TEXT(分析!$C161,"0"),銘柄管理!$B$6:$B$305,0))-1,0,1,25))-MIN(OFFSET(安値!$E$6,IFERROR(MATCH(分析!$C161,銘柄管理!$B$6:$B$305,0),MATCH(TEXT(分析!$C161,"0"),銘柄管理!$B$6:$B$305,0))-1,0,1,25)))/分析!$E161*100,"")</f>
      </c>
      <c r="E161">
        <f>IFERROR((分析!$F161-分析!$G161)/分析!$G161*100,"")</f>
      </c>
      <c r="F161">
        <f>IFERROR((分析!$E161-MAX(OFFSET(高値!$E$6,IFERROR(MATCH(分析!$C161,銘柄管理!$B$6:$B$305,0),MATCH(TEXT(分析!$C161,"0"),銘柄管理!$B$6:$B$305,0))-1,0,1,25)))/MAX(OFFSET(高値!$E$6,IFERROR(MATCH(分析!$C161,銘柄管理!$B$6:$B$305,0),MATCH(TEXT(分析!$C161,"0"),銘柄管理!$B$6:$B$305,0))-1,0,1,25))*100,"")</f>
      </c>
      <c r="G161">
        <f>IFERROR((分析!$H161-分析!$I161)/分析!$F161*100,"")</f>
      </c>
      <c r="H161">
        <f>IFERROR(5-COUNTIF($C$3:$C$206,"&lt;"&amp;$C161)/COUNT($C$3:$C$206)-COUNTIF($G$3:$G$206,"&lt;"&amp;$G161)/COUNT($G$3:$G$206)-COUNTIF($D$3:$D$206,"&lt;"&amp;$D161)/COUNT($D$3:$D$206)-COUNTIF(分析!$Z$3:$Z$206,"&lt;"&amp;分析!$Z161)/COUNT(分析!$Z$3:$Z$206)-COUNTIF($E$3:$E$206,"&lt;"&amp;$E161)/COUNT($E$3:$E$206),"")</f>
      </c>
      <c r="I161">
        <f>IF(OR(A161="",A161="TOPX",C161="",H161=""),0,IF(AND(V811設定!$E$11=1,C161&lt;=V811設定!$E$3,D161&lt;=V811設定!$E$4,E161&lt;=V811設定!$E$5,分析!$Z161&lt;=V811設定!$E$6,分析!$Z161&gt;=V811設定!$E$7,F161&gt;=V811設定!$E$8,G161&lt;=V811設定!$E$9),1,0))</f>
      </c>
      <c r="J161">
        <f>IF(A161="","",IF(I161=1,"○ゲート通過",IF(V811設定!$E$11&lt;&gt;1,"― 停止中",IF(C161&gt;V811設定!$E$3,"×値動きが荒い",IF(D161&gt;V811設定!$E$4,"×レンジが広い",IF(E161&gt;V811設定!$E$5,"×窓を開けて上昇",IF(分析!$Z161&gt;V811設定!$E$6,"×前日に急騰",IF(分析!$Z161&lt;V811設定!$E$7,"×前日に急落",IF(F161&lt;V811設定!$E$8,"×高値から離れすぎ",IF(G161&gt;V811設定!$E$9,"×当日の値幅が大きい","×"))))))))))</f>
      </c>
      <c r="K161">
        <f>IF(売分析!$C161="","",売分析!$C161)</f>
      </c>
      <c r="L161">
        <f>IF(売分析!$C161="","",売分析!$D161)</f>
      </c>
      <c r="M161">
        <f>IFERROR((SUM(OFFSET(高値!$E$6,IFERROR(MATCH(売分析!$C161,銘柄管理!$B$6:$B$305,0),MATCH(TEXT(売分析!$C161,"0"),銘柄管理!$B$6:$B$305,0))-1,0,1,14))-SUM(OFFSET(安値!$E$6,IFERROR(MATCH(売分析!$C161,銘柄管理!$B$6:$B$305,0),MATCH(TEXT(売分析!$C161,"0"),銘柄管理!$B$6:$B$305,0))-1,0,1,14)))/SUM(OFFSET(終値!$E$6,IFERROR(MATCH(売分析!$C161,銘柄管理!$B$6:$B$305,0),MATCH(TEXT(売分析!$C161,"0"),銘柄管理!$B$6:$B$305,0))-1,0,1,14))*100,"")</f>
      </c>
      <c r="N161">
        <f>IFERROR((MAX(OFFSET(高値!$E$6,IFERROR(MATCH(売分析!$C161,銘柄管理!$B$6:$B$305,0),MATCH(TEXT(売分析!$C161,"0"),銘柄管理!$B$6:$B$305,0))-1,0,1,25))-MIN(OFFSET(安値!$E$6,IFERROR(MATCH(売分析!$C161,銘柄管理!$B$6:$B$305,0),MATCH(TEXT(売分析!$C161,"0"),銘柄管理!$B$6:$B$305,0))-1,0,1,25)))/売分析!$E161*100,"")</f>
      </c>
      <c r="O161">
        <f>IFERROR((売分析!$F161-売分析!$G161)/売分析!$G161*100,"")</f>
      </c>
      <c r="P161">
        <f>IFERROR((売分析!$E161-MAX(OFFSET(高値!$E$6,IFERROR(MATCH(売分析!$C161,銘柄管理!$B$6:$B$305,0),MATCH(TEXT(売分析!$C161,"0"),銘柄管理!$B$6:$B$305,0))-1,0,1,25)))/MAX(OFFSET(高値!$E$6,IFERROR(MATCH(売分析!$C161,銘柄管理!$B$6:$B$305,0),MATCH(TEXT(売分析!$C161,"0"),銘柄管理!$B$6:$B$305,0))-1,0,1,25))*100,"")</f>
      </c>
      <c r="Q161">
        <f>IFERROR((売分析!$H161-売分析!$I161)/売分析!$F161*100,"")</f>
      </c>
      <c r="R161">
        <f>IFERROR(5-COUNTIF($M$3:$M$206,"&lt;"&amp;$M161)/COUNT($M$3:$M$206)-COUNTIF($Q$3:$Q$206,"&lt;"&amp;$Q161)/COUNT($Q$3:$Q$206)-COUNTIF($N$3:$N$206,"&lt;"&amp;$N161)/COUNT($N$3:$N$206)-COUNTIF(売分析!$Z$3:$Z$206,"&lt;"&amp;売分析!$Z161)/COUNT(売分析!$Z$3:$Z$206)-COUNTIF($O$3:$O$206,"&lt;"&amp;$O161)/COUNT($O$3:$O$206),"")</f>
      </c>
      <c r="S161">
        <f>IF(OR(K161="",K161="TOPX",M161="",R161=""),0,IF(AND(V811設定!$E$12=1,M161&lt;=V811設定!$E$3,N161&lt;=V811設定!$E$4,O161&lt;=V811設定!$E$5,売分析!$Z161&lt;=V811設定!$E$6,売分析!$Z161&gt;=V811設定!$E$7,P161&gt;=V811設定!$E$8,Q161&lt;=V811設定!$E$9),1,0))</f>
      </c>
      <c r="T161">
        <f>IF(K161="","",IF(S161=1,"○ゲート通過",IF(V811設定!$E$12&lt;&gt;1,"― 停止中",IF(M161&gt;V811設定!$E$3,"×値動きが荒い",IF(N161&gt;V811設定!$E$4,"×レンジが広い",IF(O161&gt;V811設定!$E$5,"×窓を開けて上昇",IF(売分析!$Z161&gt;V811設定!$E$6,"×前日に急騰",IF(売分析!$Z161&lt;V811設定!$E$7,"×前日に急落",IF(P161&lt;V811設定!$E$8,"×高値から離れすぎ",IF(Q161&gt;V811設定!$E$9,"×当日の値幅が大きい","×"))))))))))</f>
      </c>
    </row>
    <row r="162" spans="1:20">
      <c r="A162">
        <f>IF(分析!$C162="","",分析!$C162)</f>
      </c>
      <c r="B162">
        <f>IF(分析!$C162="","",分析!$D162)</f>
      </c>
      <c r="C162">
        <f>IFERROR((SUM(OFFSET(高値!$E$6,IFERROR(MATCH(分析!$C162,銘柄管理!$B$6:$B$305,0),MATCH(TEXT(分析!$C162,"0"),銘柄管理!$B$6:$B$305,0))-1,0,1,14))-SUM(OFFSET(安値!$E$6,IFERROR(MATCH(分析!$C162,銘柄管理!$B$6:$B$305,0),MATCH(TEXT(分析!$C162,"0"),銘柄管理!$B$6:$B$305,0))-1,0,1,14)))/SUM(OFFSET(終値!$E$6,IFERROR(MATCH(分析!$C162,銘柄管理!$B$6:$B$305,0),MATCH(TEXT(分析!$C162,"0"),銘柄管理!$B$6:$B$305,0))-1,0,1,14))*100,"")</f>
      </c>
      <c r="D162">
        <f>IFERROR((MAX(OFFSET(高値!$E$6,IFERROR(MATCH(分析!$C162,銘柄管理!$B$6:$B$305,0),MATCH(TEXT(分析!$C162,"0"),銘柄管理!$B$6:$B$305,0))-1,0,1,25))-MIN(OFFSET(安値!$E$6,IFERROR(MATCH(分析!$C162,銘柄管理!$B$6:$B$305,0),MATCH(TEXT(分析!$C162,"0"),銘柄管理!$B$6:$B$305,0))-1,0,1,25)))/分析!$E162*100,"")</f>
      </c>
      <c r="E162">
        <f>IFERROR((分析!$F162-分析!$G162)/分析!$G162*100,"")</f>
      </c>
      <c r="F162">
        <f>IFERROR((分析!$E162-MAX(OFFSET(高値!$E$6,IFERROR(MATCH(分析!$C162,銘柄管理!$B$6:$B$305,0),MATCH(TEXT(分析!$C162,"0"),銘柄管理!$B$6:$B$305,0))-1,0,1,25)))/MAX(OFFSET(高値!$E$6,IFERROR(MATCH(分析!$C162,銘柄管理!$B$6:$B$305,0),MATCH(TEXT(分析!$C162,"0"),銘柄管理!$B$6:$B$305,0))-1,0,1,25))*100,"")</f>
      </c>
      <c r="G162">
        <f>IFERROR((分析!$H162-分析!$I162)/分析!$F162*100,"")</f>
      </c>
      <c r="H162">
        <f>IFERROR(5-COUNTIF($C$3:$C$206,"&lt;"&amp;$C162)/COUNT($C$3:$C$206)-COUNTIF($G$3:$G$206,"&lt;"&amp;$G162)/COUNT($G$3:$G$206)-COUNTIF($D$3:$D$206,"&lt;"&amp;$D162)/COUNT($D$3:$D$206)-COUNTIF(分析!$Z$3:$Z$206,"&lt;"&amp;分析!$Z162)/COUNT(分析!$Z$3:$Z$206)-COUNTIF($E$3:$E$206,"&lt;"&amp;$E162)/COUNT($E$3:$E$206),"")</f>
      </c>
      <c r="I162">
        <f>IF(OR(A162="",A162="TOPX",C162="",H162=""),0,IF(AND(V811設定!$E$11=1,C162&lt;=V811設定!$E$3,D162&lt;=V811設定!$E$4,E162&lt;=V811設定!$E$5,分析!$Z162&lt;=V811設定!$E$6,分析!$Z162&gt;=V811設定!$E$7,F162&gt;=V811設定!$E$8,G162&lt;=V811設定!$E$9),1,0))</f>
      </c>
      <c r="J162">
        <f>IF(A162="","",IF(I162=1,"○ゲート通過",IF(V811設定!$E$11&lt;&gt;1,"― 停止中",IF(C162&gt;V811設定!$E$3,"×値動きが荒い",IF(D162&gt;V811設定!$E$4,"×レンジが広い",IF(E162&gt;V811設定!$E$5,"×窓を開けて上昇",IF(分析!$Z162&gt;V811設定!$E$6,"×前日に急騰",IF(分析!$Z162&lt;V811設定!$E$7,"×前日に急落",IF(F162&lt;V811設定!$E$8,"×高値から離れすぎ",IF(G162&gt;V811設定!$E$9,"×当日の値幅が大きい","×"))))))))))</f>
      </c>
      <c r="K162">
        <f>IF(売分析!$C162="","",売分析!$C162)</f>
      </c>
      <c r="L162">
        <f>IF(売分析!$C162="","",売分析!$D162)</f>
      </c>
      <c r="M162">
        <f>IFERROR((SUM(OFFSET(高値!$E$6,IFERROR(MATCH(売分析!$C162,銘柄管理!$B$6:$B$305,0),MATCH(TEXT(売分析!$C162,"0"),銘柄管理!$B$6:$B$305,0))-1,0,1,14))-SUM(OFFSET(安値!$E$6,IFERROR(MATCH(売分析!$C162,銘柄管理!$B$6:$B$305,0),MATCH(TEXT(売分析!$C162,"0"),銘柄管理!$B$6:$B$305,0))-1,0,1,14)))/SUM(OFFSET(終値!$E$6,IFERROR(MATCH(売分析!$C162,銘柄管理!$B$6:$B$305,0),MATCH(TEXT(売分析!$C162,"0"),銘柄管理!$B$6:$B$305,0))-1,0,1,14))*100,"")</f>
      </c>
      <c r="N162">
        <f>IFERROR((MAX(OFFSET(高値!$E$6,IFERROR(MATCH(売分析!$C162,銘柄管理!$B$6:$B$305,0),MATCH(TEXT(売分析!$C162,"0"),銘柄管理!$B$6:$B$305,0))-1,0,1,25))-MIN(OFFSET(安値!$E$6,IFERROR(MATCH(売分析!$C162,銘柄管理!$B$6:$B$305,0),MATCH(TEXT(売分析!$C162,"0"),銘柄管理!$B$6:$B$305,0))-1,0,1,25)))/売分析!$E162*100,"")</f>
      </c>
      <c r="O162">
        <f>IFERROR((売分析!$F162-売分析!$G162)/売分析!$G162*100,"")</f>
      </c>
      <c r="P162">
        <f>IFERROR((売分析!$E162-MAX(OFFSET(高値!$E$6,IFERROR(MATCH(売分析!$C162,銘柄管理!$B$6:$B$305,0),MATCH(TEXT(売分析!$C162,"0"),銘柄管理!$B$6:$B$305,0))-1,0,1,25)))/MAX(OFFSET(高値!$E$6,IFERROR(MATCH(売分析!$C162,銘柄管理!$B$6:$B$305,0),MATCH(TEXT(売分析!$C162,"0"),銘柄管理!$B$6:$B$305,0))-1,0,1,25))*100,"")</f>
      </c>
      <c r="Q162">
        <f>IFERROR((売分析!$H162-売分析!$I162)/売分析!$F162*100,"")</f>
      </c>
      <c r="R162">
        <f>IFERROR(5-COUNTIF($M$3:$M$206,"&lt;"&amp;$M162)/COUNT($M$3:$M$206)-COUNTIF($Q$3:$Q$206,"&lt;"&amp;$Q162)/COUNT($Q$3:$Q$206)-COUNTIF($N$3:$N$206,"&lt;"&amp;$N162)/COUNT($N$3:$N$206)-COUNTIF(売分析!$Z$3:$Z$206,"&lt;"&amp;売分析!$Z162)/COUNT(売分析!$Z$3:$Z$206)-COUNTIF($O$3:$O$206,"&lt;"&amp;$O162)/COUNT($O$3:$O$206),"")</f>
      </c>
      <c r="S162">
        <f>IF(OR(K162="",K162="TOPX",M162="",R162=""),0,IF(AND(V811設定!$E$12=1,M162&lt;=V811設定!$E$3,N162&lt;=V811設定!$E$4,O162&lt;=V811設定!$E$5,売分析!$Z162&lt;=V811設定!$E$6,売分析!$Z162&gt;=V811設定!$E$7,P162&gt;=V811設定!$E$8,Q162&lt;=V811設定!$E$9),1,0))</f>
      </c>
      <c r="T162">
        <f>IF(K162="","",IF(S162=1,"○ゲート通過",IF(V811設定!$E$12&lt;&gt;1,"― 停止中",IF(M162&gt;V811設定!$E$3,"×値動きが荒い",IF(N162&gt;V811設定!$E$4,"×レンジが広い",IF(O162&gt;V811設定!$E$5,"×窓を開けて上昇",IF(売分析!$Z162&gt;V811設定!$E$6,"×前日に急騰",IF(売分析!$Z162&lt;V811設定!$E$7,"×前日に急落",IF(P162&lt;V811設定!$E$8,"×高値から離れすぎ",IF(Q162&gt;V811設定!$E$9,"×当日の値幅が大きい","×"))))))))))</f>
      </c>
    </row>
    <row r="163" spans="1:20">
      <c r="A163">
        <f>IF(分析!$C163="","",分析!$C163)</f>
      </c>
      <c r="B163">
        <f>IF(分析!$C163="","",分析!$D163)</f>
      </c>
      <c r="C163">
        <f>IFERROR((SUM(OFFSET(高値!$E$6,IFERROR(MATCH(分析!$C163,銘柄管理!$B$6:$B$305,0),MATCH(TEXT(分析!$C163,"0"),銘柄管理!$B$6:$B$305,0))-1,0,1,14))-SUM(OFFSET(安値!$E$6,IFERROR(MATCH(分析!$C163,銘柄管理!$B$6:$B$305,0),MATCH(TEXT(分析!$C163,"0"),銘柄管理!$B$6:$B$305,0))-1,0,1,14)))/SUM(OFFSET(終値!$E$6,IFERROR(MATCH(分析!$C163,銘柄管理!$B$6:$B$305,0),MATCH(TEXT(分析!$C163,"0"),銘柄管理!$B$6:$B$305,0))-1,0,1,14))*100,"")</f>
      </c>
      <c r="D163">
        <f>IFERROR((MAX(OFFSET(高値!$E$6,IFERROR(MATCH(分析!$C163,銘柄管理!$B$6:$B$305,0),MATCH(TEXT(分析!$C163,"0"),銘柄管理!$B$6:$B$305,0))-1,0,1,25))-MIN(OFFSET(安値!$E$6,IFERROR(MATCH(分析!$C163,銘柄管理!$B$6:$B$305,0),MATCH(TEXT(分析!$C163,"0"),銘柄管理!$B$6:$B$305,0))-1,0,1,25)))/分析!$E163*100,"")</f>
      </c>
      <c r="E163">
        <f>IFERROR((分析!$F163-分析!$G163)/分析!$G163*100,"")</f>
      </c>
      <c r="F163">
        <f>IFERROR((分析!$E163-MAX(OFFSET(高値!$E$6,IFERROR(MATCH(分析!$C163,銘柄管理!$B$6:$B$305,0),MATCH(TEXT(分析!$C163,"0"),銘柄管理!$B$6:$B$305,0))-1,0,1,25)))/MAX(OFFSET(高値!$E$6,IFERROR(MATCH(分析!$C163,銘柄管理!$B$6:$B$305,0),MATCH(TEXT(分析!$C163,"0"),銘柄管理!$B$6:$B$305,0))-1,0,1,25))*100,"")</f>
      </c>
      <c r="G163">
        <f>IFERROR((分析!$H163-分析!$I163)/分析!$F163*100,"")</f>
      </c>
      <c r="H163">
        <f>IFERROR(5-COUNTIF($C$3:$C$206,"&lt;"&amp;$C163)/COUNT($C$3:$C$206)-COUNTIF($G$3:$G$206,"&lt;"&amp;$G163)/COUNT($G$3:$G$206)-COUNTIF($D$3:$D$206,"&lt;"&amp;$D163)/COUNT($D$3:$D$206)-COUNTIF(分析!$Z$3:$Z$206,"&lt;"&amp;分析!$Z163)/COUNT(分析!$Z$3:$Z$206)-COUNTIF($E$3:$E$206,"&lt;"&amp;$E163)/COUNT($E$3:$E$206),"")</f>
      </c>
      <c r="I163">
        <f>IF(OR(A163="",A163="TOPX",C163="",H163=""),0,IF(AND(V811設定!$E$11=1,C163&lt;=V811設定!$E$3,D163&lt;=V811設定!$E$4,E163&lt;=V811設定!$E$5,分析!$Z163&lt;=V811設定!$E$6,分析!$Z163&gt;=V811設定!$E$7,F163&gt;=V811設定!$E$8,G163&lt;=V811設定!$E$9),1,0))</f>
      </c>
      <c r="J163">
        <f>IF(A163="","",IF(I163=1,"○ゲート通過",IF(V811設定!$E$11&lt;&gt;1,"― 停止中",IF(C163&gt;V811設定!$E$3,"×値動きが荒い",IF(D163&gt;V811設定!$E$4,"×レンジが広い",IF(E163&gt;V811設定!$E$5,"×窓を開けて上昇",IF(分析!$Z163&gt;V811設定!$E$6,"×前日に急騰",IF(分析!$Z163&lt;V811設定!$E$7,"×前日に急落",IF(F163&lt;V811設定!$E$8,"×高値から離れすぎ",IF(G163&gt;V811設定!$E$9,"×当日の値幅が大きい","×"))))))))))</f>
      </c>
      <c r="K163">
        <f>IF(売分析!$C163="","",売分析!$C163)</f>
      </c>
      <c r="L163">
        <f>IF(売分析!$C163="","",売分析!$D163)</f>
      </c>
      <c r="M163">
        <f>IFERROR((SUM(OFFSET(高値!$E$6,IFERROR(MATCH(売分析!$C163,銘柄管理!$B$6:$B$305,0),MATCH(TEXT(売分析!$C163,"0"),銘柄管理!$B$6:$B$305,0))-1,0,1,14))-SUM(OFFSET(安値!$E$6,IFERROR(MATCH(売分析!$C163,銘柄管理!$B$6:$B$305,0),MATCH(TEXT(売分析!$C163,"0"),銘柄管理!$B$6:$B$305,0))-1,0,1,14)))/SUM(OFFSET(終値!$E$6,IFERROR(MATCH(売分析!$C163,銘柄管理!$B$6:$B$305,0),MATCH(TEXT(売分析!$C163,"0"),銘柄管理!$B$6:$B$305,0))-1,0,1,14))*100,"")</f>
      </c>
      <c r="N163">
        <f>IFERROR((MAX(OFFSET(高値!$E$6,IFERROR(MATCH(売分析!$C163,銘柄管理!$B$6:$B$305,0),MATCH(TEXT(売分析!$C163,"0"),銘柄管理!$B$6:$B$305,0))-1,0,1,25))-MIN(OFFSET(安値!$E$6,IFERROR(MATCH(売分析!$C163,銘柄管理!$B$6:$B$305,0),MATCH(TEXT(売分析!$C163,"0"),銘柄管理!$B$6:$B$305,0))-1,0,1,25)))/売分析!$E163*100,"")</f>
      </c>
      <c r="O163">
        <f>IFERROR((売分析!$F163-売分析!$G163)/売分析!$G163*100,"")</f>
      </c>
      <c r="P163">
        <f>IFERROR((売分析!$E163-MAX(OFFSET(高値!$E$6,IFERROR(MATCH(売分析!$C163,銘柄管理!$B$6:$B$305,0),MATCH(TEXT(売分析!$C163,"0"),銘柄管理!$B$6:$B$305,0))-1,0,1,25)))/MAX(OFFSET(高値!$E$6,IFERROR(MATCH(売分析!$C163,銘柄管理!$B$6:$B$305,0),MATCH(TEXT(売分析!$C163,"0"),銘柄管理!$B$6:$B$305,0))-1,0,1,25))*100,"")</f>
      </c>
      <c r="Q163">
        <f>IFERROR((売分析!$H163-売分析!$I163)/売分析!$F163*100,"")</f>
      </c>
      <c r="R163">
        <f>IFERROR(5-COUNTIF($M$3:$M$206,"&lt;"&amp;$M163)/COUNT($M$3:$M$206)-COUNTIF($Q$3:$Q$206,"&lt;"&amp;$Q163)/COUNT($Q$3:$Q$206)-COUNTIF($N$3:$N$206,"&lt;"&amp;$N163)/COUNT($N$3:$N$206)-COUNTIF(売分析!$Z$3:$Z$206,"&lt;"&amp;売分析!$Z163)/COUNT(売分析!$Z$3:$Z$206)-COUNTIF($O$3:$O$206,"&lt;"&amp;$O163)/COUNT($O$3:$O$206),"")</f>
      </c>
      <c r="S163">
        <f>IF(OR(K163="",K163="TOPX",M163="",R163=""),0,IF(AND(V811設定!$E$12=1,M163&lt;=V811設定!$E$3,N163&lt;=V811設定!$E$4,O163&lt;=V811設定!$E$5,売分析!$Z163&lt;=V811設定!$E$6,売分析!$Z163&gt;=V811設定!$E$7,P163&gt;=V811設定!$E$8,Q163&lt;=V811設定!$E$9),1,0))</f>
      </c>
      <c r="T163">
        <f>IF(K163="","",IF(S163=1,"○ゲート通過",IF(V811設定!$E$12&lt;&gt;1,"― 停止中",IF(M163&gt;V811設定!$E$3,"×値動きが荒い",IF(N163&gt;V811設定!$E$4,"×レンジが広い",IF(O163&gt;V811設定!$E$5,"×窓を開けて上昇",IF(売分析!$Z163&gt;V811設定!$E$6,"×前日に急騰",IF(売分析!$Z163&lt;V811設定!$E$7,"×前日に急落",IF(P163&lt;V811設定!$E$8,"×高値から離れすぎ",IF(Q163&gt;V811設定!$E$9,"×当日の値幅が大きい","×"))))))))))</f>
      </c>
    </row>
    <row r="164" spans="1:20">
      <c r="A164">
        <f>IF(分析!$C164="","",分析!$C164)</f>
      </c>
      <c r="B164">
        <f>IF(分析!$C164="","",分析!$D164)</f>
      </c>
      <c r="C164">
        <f>IFERROR((SUM(OFFSET(高値!$E$6,IFERROR(MATCH(分析!$C164,銘柄管理!$B$6:$B$305,0),MATCH(TEXT(分析!$C164,"0"),銘柄管理!$B$6:$B$305,0))-1,0,1,14))-SUM(OFFSET(安値!$E$6,IFERROR(MATCH(分析!$C164,銘柄管理!$B$6:$B$305,0),MATCH(TEXT(分析!$C164,"0"),銘柄管理!$B$6:$B$305,0))-1,0,1,14)))/SUM(OFFSET(終値!$E$6,IFERROR(MATCH(分析!$C164,銘柄管理!$B$6:$B$305,0),MATCH(TEXT(分析!$C164,"0"),銘柄管理!$B$6:$B$305,0))-1,0,1,14))*100,"")</f>
      </c>
      <c r="D164">
        <f>IFERROR((MAX(OFFSET(高値!$E$6,IFERROR(MATCH(分析!$C164,銘柄管理!$B$6:$B$305,0),MATCH(TEXT(分析!$C164,"0"),銘柄管理!$B$6:$B$305,0))-1,0,1,25))-MIN(OFFSET(安値!$E$6,IFERROR(MATCH(分析!$C164,銘柄管理!$B$6:$B$305,0),MATCH(TEXT(分析!$C164,"0"),銘柄管理!$B$6:$B$305,0))-1,0,1,25)))/分析!$E164*100,"")</f>
      </c>
      <c r="E164">
        <f>IFERROR((分析!$F164-分析!$G164)/分析!$G164*100,"")</f>
      </c>
      <c r="F164">
        <f>IFERROR((分析!$E164-MAX(OFFSET(高値!$E$6,IFERROR(MATCH(分析!$C164,銘柄管理!$B$6:$B$305,0),MATCH(TEXT(分析!$C164,"0"),銘柄管理!$B$6:$B$305,0))-1,0,1,25)))/MAX(OFFSET(高値!$E$6,IFERROR(MATCH(分析!$C164,銘柄管理!$B$6:$B$305,0),MATCH(TEXT(分析!$C164,"0"),銘柄管理!$B$6:$B$305,0))-1,0,1,25))*100,"")</f>
      </c>
      <c r="G164">
        <f>IFERROR((分析!$H164-分析!$I164)/分析!$F164*100,"")</f>
      </c>
      <c r="H164">
        <f>IFERROR(5-COUNTIF($C$3:$C$206,"&lt;"&amp;$C164)/COUNT($C$3:$C$206)-COUNTIF($G$3:$G$206,"&lt;"&amp;$G164)/COUNT($G$3:$G$206)-COUNTIF($D$3:$D$206,"&lt;"&amp;$D164)/COUNT($D$3:$D$206)-COUNTIF(分析!$Z$3:$Z$206,"&lt;"&amp;分析!$Z164)/COUNT(分析!$Z$3:$Z$206)-COUNTIF($E$3:$E$206,"&lt;"&amp;$E164)/COUNT($E$3:$E$206),"")</f>
      </c>
      <c r="I164">
        <f>IF(OR(A164="",A164="TOPX",C164="",H164=""),0,IF(AND(V811設定!$E$11=1,C164&lt;=V811設定!$E$3,D164&lt;=V811設定!$E$4,E164&lt;=V811設定!$E$5,分析!$Z164&lt;=V811設定!$E$6,分析!$Z164&gt;=V811設定!$E$7,F164&gt;=V811設定!$E$8,G164&lt;=V811設定!$E$9),1,0))</f>
      </c>
      <c r="J164">
        <f>IF(A164="","",IF(I164=1,"○ゲート通過",IF(V811設定!$E$11&lt;&gt;1,"― 停止中",IF(C164&gt;V811設定!$E$3,"×値動きが荒い",IF(D164&gt;V811設定!$E$4,"×レンジが広い",IF(E164&gt;V811設定!$E$5,"×窓を開けて上昇",IF(分析!$Z164&gt;V811設定!$E$6,"×前日に急騰",IF(分析!$Z164&lt;V811設定!$E$7,"×前日に急落",IF(F164&lt;V811設定!$E$8,"×高値から離れすぎ",IF(G164&gt;V811設定!$E$9,"×当日の値幅が大きい","×"))))))))))</f>
      </c>
      <c r="K164">
        <f>IF(売分析!$C164="","",売分析!$C164)</f>
      </c>
      <c r="L164">
        <f>IF(売分析!$C164="","",売分析!$D164)</f>
      </c>
      <c r="M164">
        <f>IFERROR((SUM(OFFSET(高値!$E$6,IFERROR(MATCH(売分析!$C164,銘柄管理!$B$6:$B$305,0),MATCH(TEXT(売分析!$C164,"0"),銘柄管理!$B$6:$B$305,0))-1,0,1,14))-SUM(OFFSET(安値!$E$6,IFERROR(MATCH(売分析!$C164,銘柄管理!$B$6:$B$305,0),MATCH(TEXT(売分析!$C164,"0"),銘柄管理!$B$6:$B$305,0))-1,0,1,14)))/SUM(OFFSET(終値!$E$6,IFERROR(MATCH(売分析!$C164,銘柄管理!$B$6:$B$305,0),MATCH(TEXT(売分析!$C164,"0"),銘柄管理!$B$6:$B$305,0))-1,0,1,14))*100,"")</f>
      </c>
      <c r="N164">
        <f>IFERROR((MAX(OFFSET(高値!$E$6,IFERROR(MATCH(売分析!$C164,銘柄管理!$B$6:$B$305,0),MATCH(TEXT(売分析!$C164,"0"),銘柄管理!$B$6:$B$305,0))-1,0,1,25))-MIN(OFFSET(安値!$E$6,IFERROR(MATCH(売分析!$C164,銘柄管理!$B$6:$B$305,0),MATCH(TEXT(売分析!$C164,"0"),銘柄管理!$B$6:$B$305,0))-1,0,1,25)))/売分析!$E164*100,"")</f>
      </c>
      <c r="O164">
        <f>IFERROR((売分析!$F164-売分析!$G164)/売分析!$G164*100,"")</f>
      </c>
      <c r="P164">
        <f>IFERROR((売分析!$E164-MAX(OFFSET(高値!$E$6,IFERROR(MATCH(売分析!$C164,銘柄管理!$B$6:$B$305,0),MATCH(TEXT(売分析!$C164,"0"),銘柄管理!$B$6:$B$305,0))-1,0,1,25)))/MAX(OFFSET(高値!$E$6,IFERROR(MATCH(売分析!$C164,銘柄管理!$B$6:$B$305,0),MATCH(TEXT(売分析!$C164,"0"),銘柄管理!$B$6:$B$305,0))-1,0,1,25))*100,"")</f>
      </c>
      <c r="Q164">
        <f>IFERROR((売分析!$H164-売分析!$I164)/売分析!$F164*100,"")</f>
      </c>
      <c r="R164">
        <f>IFERROR(5-COUNTIF($M$3:$M$206,"&lt;"&amp;$M164)/COUNT($M$3:$M$206)-COUNTIF($Q$3:$Q$206,"&lt;"&amp;$Q164)/COUNT($Q$3:$Q$206)-COUNTIF($N$3:$N$206,"&lt;"&amp;$N164)/COUNT($N$3:$N$206)-COUNTIF(売分析!$Z$3:$Z$206,"&lt;"&amp;売分析!$Z164)/COUNT(売分析!$Z$3:$Z$206)-COUNTIF($O$3:$O$206,"&lt;"&amp;$O164)/COUNT($O$3:$O$206),"")</f>
      </c>
      <c r="S164">
        <f>IF(OR(K164="",K164="TOPX",M164="",R164=""),0,IF(AND(V811設定!$E$12=1,M164&lt;=V811設定!$E$3,N164&lt;=V811設定!$E$4,O164&lt;=V811設定!$E$5,売分析!$Z164&lt;=V811設定!$E$6,売分析!$Z164&gt;=V811設定!$E$7,P164&gt;=V811設定!$E$8,Q164&lt;=V811設定!$E$9),1,0))</f>
      </c>
      <c r="T164">
        <f>IF(K164="","",IF(S164=1,"○ゲート通過",IF(V811設定!$E$12&lt;&gt;1,"― 停止中",IF(M164&gt;V811設定!$E$3,"×値動きが荒い",IF(N164&gt;V811設定!$E$4,"×レンジが広い",IF(O164&gt;V811設定!$E$5,"×窓を開けて上昇",IF(売分析!$Z164&gt;V811設定!$E$6,"×前日に急騰",IF(売分析!$Z164&lt;V811設定!$E$7,"×前日に急落",IF(P164&lt;V811設定!$E$8,"×高値から離れすぎ",IF(Q164&gt;V811設定!$E$9,"×当日の値幅が大きい","×"))))))))))</f>
      </c>
    </row>
    <row r="165" spans="1:20">
      <c r="A165">
        <f>IF(分析!$C165="","",分析!$C165)</f>
      </c>
      <c r="B165">
        <f>IF(分析!$C165="","",分析!$D165)</f>
      </c>
      <c r="C165">
        <f>IFERROR((SUM(OFFSET(高値!$E$6,IFERROR(MATCH(分析!$C165,銘柄管理!$B$6:$B$305,0),MATCH(TEXT(分析!$C165,"0"),銘柄管理!$B$6:$B$305,0))-1,0,1,14))-SUM(OFFSET(安値!$E$6,IFERROR(MATCH(分析!$C165,銘柄管理!$B$6:$B$305,0),MATCH(TEXT(分析!$C165,"0"),銘柄管理!$B$6:$B$305,0))-1,0,1,14)))/SUM(OFFSET(終値!$E$6,IFERROR(MATCH(分析!$C165,銘柄管理!$B$6:$B$305,0),MATCH(TEXT(分析!$C165,"0"),銘柄管理!$B$6:$B$305,0))-1,0,1,14))*100,"")</f>
      </c>
      <c r="D165">
        <f>IFERROR((MAX(OFFSET(高値!$E$6,IFERROR(MATCH(分析!$C165,銘柄管理!$B$6:$B$305,0),MATCH(TEXT(分析!$C165,"0"),銘柄管理!$B$6:$B$305,0))-1,0,1,25))-MIN(OFFSET(安値!$E$6,IFERROR(MATCH(分析!$C165,銘柄管理!$B$6:$B$305,0),MATCH(TEXT(分析!$C165,"0"),銘柄管理!$B$6:$B$305,0))-1,0,1,25)))/分析!$E165*100,"")</f>
      </c>
      <c r="E165">
        <f>IFERROR((分析!$F165-分析!$G165)/分析!$G165*100,"")</f>
      </c>
      <c r="F165">
        <f>IFERROR((分析!$E165-MAX(OFFSET(高値!$E$6,IFERROR(MATCH(分析!$C165,銘柄管理!$B$6:$B$305,0),MATCH(TEXT(分析!$C165,"0"),銘柄管理!$B$6:$B$305,0))-1,0,1,25)))/MAX(OFFSET(高値!$E$6,IFERROR(MATCH(分析!$C165,銘柄管理!$B$6:$B$305,0),MATCH(TEXT(分析!$C165,"0"),銘柄管理!$B$6:$B$305,0))-1,0,1,25))*100,"")</f>
      </c>
      <c r="G165">
        <f>IFERROR((分析!$H165-分析!$I165)/分析!$F165*100,"")</f>
      </c>
      <c r="H165">
        <f>IFERROR(5-COUNTIF($C$3:$C$206,"&lt;"&amp;$C165)/COUNT($C$3:$C$206)-COUNTIF($G$3:$G$206,"&lt;"&amp;$G165)/COUNT($G$3:$G$206)-COUNTIF($D$3:$D$206,"&lt;"&amp;$D165)/COUNT($D$3:$D$206)-COUNTIF(分析!$Z$3:$Z$206,"&lt;"&amp;分析!$Z165)/COUNT(分析!$Z$3:$Z$206)-COUNTIF($E$3:$E$206,"&lt;"&amp;$E165)/COUNT($E$3:$E$206),"")</f>
      </c>
      <c r="I165">
        <f>IF(OR(A165="",A165="TOPX",C165="",H165=""),0,IF(AND(V811設定!$E$11=1,C165&lt;=V811設定!$E$3,D165&lt;=V811設定!$E$4,E165&lt;=V811設定!$E$5,分析!$Z165&lt;=V811設定!$E$6,分析!$Z165&gt;=V811設定!$E$7,F165&gt;=V811設定!$E$8,G165&lt;=V811設定!$E$9),1,0))</f>
      </c>
      <c r="J165">
        <f>IF(A165="","",IF(I165=1,"○ゲート通過",IF(V811設定!$E$11&lt;&gt;1,"― 停止中",IF(C165&gt;V811設定!$E$3,"×値動きが荒い",IF(D165&gt;V811設定!$E$4,"×レンジが広い",IF(E165&gt;V811設定!$E$5,"×窓を開けて上昇",IF(分析!$Z165&gt;V811設定!$E$6,"×前日に急騰",IF(分析!$Z165&lt;V811設定!$E$7,"×前日に急落",IF(F165&lt;V811設定!$E$8,"×高値から離れすぎ",IF(G165&gt;V811設定!$E$9,"×当日の値幅が大きい","×"))))))))))</f>
      </c>
      <c r="K165">
        <f>IF(売分析!$C165="","",売分析!$C165)</f>
      </c>
      <c r="L165">
        <f>IF(売分析!$C165="","",売分析!$D165)</f>
      </c>
      <c r="M165">
        <f>IFERROR((SUM(OFFSET(高値!$E$6,IFERROR(MATCH(売分析!$C165,銘柄管理!$B$6:$B$305,0),MATCH(TEXT(売分析!$C165,"0"),銘柄管理!$B$6:$B$305,0))-1,0,1,14))-SUM(OFFSET(安値!$E$6,IFERROR(MATCH(売分析!$C165,銘柄管理!$B$6:$B$305,0),MATCH(TEXT(売分析!$C165,"0"),銘柄管理!$B$6:$B$305,0))-1,0,1,14)))/SUM(OFFSET(終値!$E$6,IFERROR(MATCH(売分析!$C165,銘柄管理!$B$6:$B$305,0),MATCH(TEXT(売分析!$C165,"0"),銘柄管理!$B$6:$B$305,0))-1,0,1,14))*100,"")</f>
      </c>
      <c r="N165">
        <f>IFERROR((MAX(OFFSET(高値!$E$6,IFERROR(MATCH(売分析!$C165,銘柄管理!$B$6:$B$305,0),MATCH(TEXT(売分析!$C165,"0"),銘柄管理!$B$6:$B$305,0))-1,0,1,25))-MIN(OFFSET(安値!$E$6,IFERROR(MATCH(売分析!$C165,銘柄管理!$B$6:$B$305,0),MATCH(TEXT(売分析!$C165,"0"),銘柄管理!$B$6:$B$305,0))-1,0,1,25)))/売分析!$E165*100,"")</f>
      </c>
      <c r="O165">
        <f>IFERROR((売分析!$F165-売分析!$G165)/売分析!$G165*100,"")</f>
      </c>
      <c r="P165">
        <f>IFERROR((売分析!$E165-MAX(OFFSET(高値!$E$6,IFERROR(MATCH(売分析!$C165,銘柄管理!$B$6:$B$305,0),MATCH(TEXT(売分析!$C165,"0"),銘柄管理!$B$6:$B$305,0))-1,0,1,25)))/MAX(OFFSET(高値!$E$6,IFERROR(MATCH(売分析!$C165,銘柄管理!$B$6:$B$305,0),MATCH(TEXT(売分析!$C165,"0"),銘柄管理!$B$6:$B$305,0))-1,0,1,25))*100,"")</f>
      </c>
      <c r="Q165">
        <f>IFERROR((売分析!$H165-売分析!$I165)/売分析!$F165*100,"")</f>
      </c>
      <c r="R165">
        <f>IFERROR(5-COUNTIF($M$3:$M$206,"&lt;"&amp;$M165)/COUNT($M$3:$M$206)-COUNTIF($Q$3:$Q$206,"&lt;"&amp;$Q165)/COUNT($Q$3:$Q$206)-COUNTIF($N$3:$N$206,"&lt;"&amp;$N165)/COUNT($N$3:$N$206)-COUNTIF(売分析!$Z$3:$Z$206,"&lt;"&amp;売分析!$Z165)/COUNT(売分析!$Z$3:$Z$206)-COUNTIF($O$3:$O$206,"&lt;"&amp;$O165)/COUNT($O$3:$O$206),"")</f>
      </c>
      <c r="S165">
        <f>IF(OR(K165="",K165="TOPX",M165="",R165=""),0,IF(AND(V811設定!$E$12=1,M165&lt;=V811設定!$E$3,N165&lt;=V811設定!$E$4,O165&lt;=V811設定!$E$5,売分析!$Z165&lt;=V811設定!$E$6,売分析!$Z165&gt;=V811設定!$E$7,P165&gt;=V811設定!$E$8,Q165&lt;=V811設定!$E$9),1,0))</f>
      </c>
      <c r="T165">
        <f>IF(K165="","",IF(S165=1,"○ゲート通過",IF(V811設定!$E$12&lt;&gt;1,"― 停止中",IF(M165&gt;V811設定!$E$3,"×値動きが荒い",IF(N165&gt;V811設定!$E$4,"×レンジが広い",IF(O165&gt;V811設定!$E$5,"×窓を開けて上昇",IF(売分析!$Z165&gt;V811設定!$E$6,"×前日に急騰",IF(売分析!$Z165&lt;V811設定!$E$7,"×前日に急落",IF(P165&lt;V811設定!$E$8,"×高値から離れすぎ",IF(Q165&gt;V811設定!$E$9,"×当日の値幅が大きい","×"))))))))))</f>
      </c>
    </row>
    <row r="166" spans="1:20">
      <c r="A166">
        <f>IF(分析!$C166="","",分析!$C166)</f>
      </c>
      <c r="B166">
        <f>IF(分析!$C166="","",分析!$D166)</f>
      </c>
      <c r="C166">
        <f>IFERROR((SUM(OFFSET(高値!$E$6,IFERROR(MATCH(分析!$C166,銘柄管理!$B$6:$B$305,0),MATCH(TEXT(分析!$C166,"0"),銘柄管理!$B$6:$B$305,0))-1,0,1,14))-SUM(OFFSET(安値!$E$6,IFERROR(MATCH(分析!$C166,銘柄管理!$B$6:$B$305,0),MATCH(TEXT(分析!$C166,"0"),銘柄管理!$B$6:$B$305,0))-1,0,1,14)))/SUM(OFFSET(終値!$E$6,IFERROR(MATCH(分析!$C166,銘柄管理!$B$6:$B$305,0),MATCH(TEXT(分析!$C166,"0"),銘柄管理!$B$6:$B$305,0))-1,0,1,14))*100,"")</f>
      </c>
      <c r="D166">
        <f>IFERROR((MAX(OFFSET(高値!$E$6,IFERROR(MATCH(分析!$C166,銘柄管理!$B$6:$B$305,0),MATCH(TEXT(分析!$C166,"0"),銘柄管理!$B$6:$B$305,0))-1,0,1,25))-MIN(OFFSET(安値!$E$6,IFERROR(MATCH(分析!$C166,銘柄管理!$B$6:$B$305,0),MATCH(TEXT(分析!$C166,"0"),銘柄管理!$B$6:$B$305,0))-1,0,1,25)))/分析!$E166*100,"")</f>
      </c>
      <c r="E166">
        <f>IFERROR((分析!$F166-分析!$G166)/分析!$G166*100,"")</f>
      </c>
      <c r="F166">
        <f>IFERROR((分析!$E166-MAX(OFFSET(高値!$E$6,IFERROR(MATCH(分析!$C166,銘柄管理!$B$6:$B$305,0),MATCH(TEXT(分析!$C166,"0"),銘柄管理!$B$6:$B$305,0))-1,0,1,25)))/MAX(OFFSET(高値!$E$6,IFERROR(MATCH(分析!$C166,銘柄管理!$B$6:$B$305,0),MATCH(TEXT(分析!$C166,"0"),銘柄管理!$B$6:$B$305,0))-1,0,1,25))*100,"")</f>
      </c>
      <c r="G166">
        <f>IFERROR((分析!$H166-分析!$I166)/分析!$F166*100,"")</f>
      </c>
      <c r="H166">
        <f>IFERROR(5-COUNTIF($C$3:$C$206,"&lt;"&amp;$C166)/COUNT($C$3:$C$206)-COUNTIF($G$3:$G$206,"&lt;"&amp;$G166)/COUNT($G$3:$G$206)-COUNTIF($D$3:$D$206,"&lt;"&amp;$D166)/COUNT($D$3:$D$206)-COUNTIF(分析!$Z$3:$Z$206,"&lt;"&amp;分析!$Z166)/COUNT(分析!$Z$3:$Z$206)-COUNTIF($E$3:$E$206,"&lt;"&amp;$E166)/COUNT($E$3:$E$206),"")</f>
      </c>
      <c r="I166">
        <f>IF(OR(A166="",A166="TOPX",C166="",H166=""),0,IF(AND(V811設定!$E$11=1,C166&lt;=V811設定!$E$3,D166&lt;=V811設定!$E$4,E166&lt;=V811設定!$E$5,分析!$Z166&lt;=V811設定!$E$6,分析!$Z166&gt;=V811設定!$E$7,F166&gt;=V811設定!$E$8,G166&lt;=V811設定!$E$9),1,0))</f>
      </c>
      <c r="J166">
        <f>IF(A166="","",IF(I166=1,"○ゲート通過",IF(V811設定!$E$11&lt;&gt;1,"― 停止中",IF(C166&gt;V811設定!$E$3,"×値動きが荒い",IF(D166&gt;V811設定!$E$4,"×レンジが広い",IF(E166&gt;V811設定!$E$5,"×窓を開けて上昇",IF(分析!$Z166&gt;V811設定!$E$6,"×前日に急騰",IF(分析!$Z166&lt;V811設定!$E$7,"×前日に急落",IF(F166&lt;V811設定!$E$8,"×高値から離れすぎ",IF(G166&gt;V811設定!$E$9,"×当日の値幅が大きい","×"))))))))))</f>
      </c>
      <c r="K166">
        <f>IF(売分析!$C166="","",売分析!$C166)</f>
      </c>
      <c r="L166">
        <f>IF(売分析!$C166="","",売分析!$D166)</f>
      </c>
      <c r="M166">
        <f>IFERROR((SUM(OFFSET(高値!$E$6,IFERROR(MATCH(売分析!$C166,銘柄管理!$B$6:$B$305,0),MATCH(TEXT(売分析!$C166,"0"),銘柄管理!$B$6:$B$305,0))-1,0,1,14))-SUM(OFFSET(安値!$E$6,IFERROR(MATCH(売分析!$C166,銘柄管理!$B$6:$B$305,0),MATCH(TEXT(売分析!$C166,"0"),銘柄管理!$B$6:$B$305,0))-1,0,1,14)))/SUM(OFFSET(終値!$E$6,IFERROR(MATCH(売分析!$C166,銘柄管理!$B$6:$B$305,0),MATCH(TEXT(売分析!$C166,"0"),銘柄管理!$B$6:$B$305,0))-1,0,1,14))*100,"")</f>
      </c>
      <c r="N166">
        <f>IFERROR((MAX(OFFSET(高値!$E$6,IFERROR(MATCH(売分析!$C166,銘柄管理!$B$6:$B$305,0),MATCH(TEXT(売分析!$C166,"0"),銘柄管理!$B$6:$B$305,0))-1,0,1,25))-MIN(OFFSET(安値!$E$6,IFERROR(MATCH(売分析!$C166,銘柄管理!$B$6:$B$305,0),MATCH(TEXT(売分析!$C166,"0"),銘柄管理!$B$6:$B$305,0))-1,0,1,25)))/売分析!$E166*100,"")</f>
      </c>
      <c r="O166">
        <f>IFERROR((売分析!$F166-売分析!$G166)/売分析!$G166*100,"")</f>
      </c>
      <c r="P166">
        <f>IFERROR((売分析!$E166-MAX(OFFSET(高値!$E$6,IFERROR(MATCH(売分析!$C166,銘柄管理!$B$6:$B$305,0),MATCH(TEXT(売分析!$C166,"0"),銘柄管理!$B$6:$B$305,0))-1,0,1,25)))/MAX(OFFSET(高値!$E$6,IFERROR(MATCH(売分析!$C166,銘柄管理!$B$6:$B$305,0),MATCH(TEXT(売分析!$C166,"0"),銘柄管理!$B$6:$B$305,0))-1,0,1,25))*100,"")</f>
      </c>
      <c r="Q166">
        <f>IFERROR((売分析!$H166-売分析!$I166)/売分析!$F166*100,"")</f>
      </c>
      <c r="R166">
        <f>IFERROR(5-COUNTIF($M$3:$M$206,"&lt;"&amp;$M166)/COUNT($M$3:$M$206)-COUNTIF($Q$3:$Q$206,"&lt;"&amp;$Q166)/COUNT($Q$3:$Q$206)-COUNTIF($N$3:$N$206,"&lt;"&amp;$N166)/COUNT($N$3:$N$206)-COUNTIF(売分析!$Z$3:$Z$206,"&lt;"&amp;売分析!$Z166)/COUNT(売分析!$Z$3:$Z$206)-COUNTIF($O$3:$O$206,"&lt;"&amp;$O166)/COUNT($O$3:$O$206),"")</f>
      </c>
      <c r="S166">
        <f>IF(OR(K166="",K166="TOPX",M166="",R166=""),0,IF(AND(V811設定!$E$12=1,M166&lt;=V811設定!$E$3,N166&lt;=V811設定!$E$4,O166&lt;=V811設定!$E$5,売分析!$Z166&lt;=V811設定!$E$6,売分析!$Z166&gt;=V811設定!$E$7,P166&gt;=V811設定!$E$8,Q166&lt;=V811設定!$E$9),1,0))</f>
      </c>
      <c r="T166">
        <f>IF(K166="","",IF(S166=1,"○ゲート通過",IF(V811設定!$E$12&lt;&gt;1,"― 停止中",IF(M166&gt;V811設定!$E$3,"×値動きが荒い",IF(N166&gt;V811設定!$E$4,"×レンジが広い",IF(O166&gt;V811設定!$E$5,"×窓を開けて上昇",IF(売分析!$Z166&gt;V811設定!$E$6,"×前日に急騰",IF(売分析!$Z166&lt;V811設定!$E$7,"×前日に急落",IF(P166&lt;V811設定!$E$8,"×高値から離れすぎ",IF(Q166&gt;V811設定!$E$9,"×当日の値幅が大きい","×"))))))))))</f>
      </c>
    </row>
    <row r="167" spans="1:20">
      <c r="A167">
        <f>IF(分析!$C167="","",分析!$C167)</f>
      </c>
      <c r="B167">
        <f>IF(分析!$C167="","",分析!$D167)</f>
      </c>
      <c r="C167">
        <f>IFERROR((SUM(OFFSET(高値!$E$6,IFERROR(MATCH(分析!$C167,銘柄管理!$B$6:$B$305,0),MATCH(TEXT(分析!$C167,"0"),銘柄管理!$B$6:$B$305,0))-1,0,1,14))-SUM(OFFSET(安値!$E$6,IFERROR(MATCH(分析!$C167,銘柄管理!$B$6:$B$305,0),MATCH(TEXT(分析!$C167,"0"),銘柄管理!$B$6:$B$305,0))-1,0,1,14)))/SUM(OFFSET(終値!$E$6,IFERROR(MATCH(分析!$C167,銘柄管理!$B$6:$B$305,0),MATCH(TEXT(分析!$C167,"0"),銘柄管理!$B$6:$B$305,0))-1,0,1,14))*100,"")</f>
      </c>
      <c r="D167">
        <f>IFERROR((MAX(OFFSET(高値!$E$6,IFERROR(MATCH(分析!$C167,銘柄管理!$B$6:$B$305,0),MATCH(TEXT(分析!$C167,"0"),銘柄管理!$B$6:$B$305,0))-1,0,1,25))-MIN(OFFSET(安値!$E$6,IFERROR(MATCH(分析!$C167,銘柄管理!$B$6:$B$305,0),MATCH(TEXT(分析!$C167,"0"),銘柄管理!$B$6:$B$305,0))-1,0,1,25)))/分析!$E167*100,"")</f>
      </c>
      <c r="E167">
        <f>IFERROR((分析!$F167-分析!$G167)/分析!$G167*100,"")</f>
      </c>
      <c r="F167">
        <f>IFERROR((分析!$E167-MAX(OFFSET(高値!$E$6,IFERROR(MATCH(分析!$C167,銘柄管理!$B$6:$B$305,0),MATCH(TEXT(分析!$C167,"0"),銘柄管理!$B$6:$B$305,0))-1,0,1,25)))/MAX(OFFSET(高値!$E$6,IFERROR(MATCH(分析!$C167,銘柄管理!$B$6:$B$305,0),MATCH(TEXT(分析!$C167,"0"),銘柄管理!$B$6:$B$305,0))-1,0,1,25))*100,"")</f>
      </c>
      <c r="G167">
        <f>IFERROR((分析!$H167-分析!$I167)/分析!$F167*100,"")</f>
      </c>
      <c r="H167">
        <f>IFERROR(5-COUNTIF($C$3:$C$206,"&lt;"&amp;$C167)/COUNT($C$3:$C$206)-COUNTIF($G$3:$G$206,"&lt;"&amp;$G167)/COUNT($G$3:$G$206)-COUNTIF($D$3:$D$206,"&lt;"&amp;$D167)/COUNT($D$3:$D$206)-COUNTIF(分析!$Z$3:$Z$206,"&lt;"&amp;分析!$Z167)/COUNT(分析!$Z$3:$Z$206)-COUNTIF($E$3:$E$206,"&lt;"&amp;$E167)/COUNT($E$3:$E$206),"")</f>
      </c>
      <c r="I167">
        <f>IF(OR(A167="",A167="TOPX",C167="",H167=""),0,IF(AND(V811設定!$E$11=1,C167&lt;=V811設定!$E$3,D167&lt;=V811設定!$E$4,E167&lt;=V811設定!$E$5,分析!$Z167&lt;=V811設定!$E$6,分析!$Z167&gt;=V811設定!$E$7,F167&gt;=V811設定!$E$8,G167&lt;=V811設定!$E$9),1,0))</f>
      </c>
      <c r="J167">
        <f>IF(A167="","",IF(I167=1,"○ゲート通過",IF(V811設定!$E$11&lt;&gt;1,"― 停止中",IF(C167&gt;V811設定!$E$3,"×値動きが荒い",IF(D167&gt;V811設定!$E$4,"×レンジが広い",IF(E167&gt;V811設定!$E$5,"×窓を開けて上昇",IF(分析!$Z167&gt;V811設定!$E$6,"×前日に急騰",IF(分析!$Z167&lt;V811設定!$E$7,"×前日に急落",IF(F167&lt;V811設定!$E$8,"×高値から離れすぎ",IF(G167&gt;V811設定!$E$9,"×当日の値幅が大きい","×"))))))))))</f>
      </c>
      <c r="K167">
        <f>IF(売分析!$C167="","",売分析!$C167)</f>
      </c>
      <c r="L167">
        <f>IF(売分析!$C167="","",売分析!$D167)</f>
      </c>
      <c r="M167">
        <f>IFERROR((SUM(OFFSET(高値!$E$6,IFERROR(MATCH(売分析!$C167,銘柄管理!$B$6:$B$305,0),MATCH(TEXT(売分析!$C167,"0"),銘柄管理!$B$6:$B$305,0))-1,0,1,14))-SUM(OFFSET(安値!$E$6,IFERROR(MATCH(売分析!$C167,銘柄管理!$B$6:$B$305,0),MATCH(TEXT(売分析!$C167,"0"),銘柄管理!$B$6:$B$305,0))-1,0,1,14)))/SUM(OFFSET(終値!$E$6,IFERROR(MATCH(売分析!$C167,銘柄管理!$B$6:$B$305,0),MATCH(TEXT(売分析!$C167,"0"),銘柄管理!$B$6:$B$305,0))-1,0,1,14))*100,"")</f>
      </c>
      <c r="N167">
        <f>IFERROR((MAX(OFFSET(高値!$E$6,IFERROR(MATCH(売分析!$C167,銘柄管理!$B$6:$B$305,0),MATCH(TEXT(売分析!$C167,"0"),銘柄管理!$B$6:$B$305,0))-1,0,1,25))-MIN(OFFSET(安値!$E$6,IFERROR(MATCH(売分析!$C167,銘柄管理!$B$6:$B$305,0),MATCH(TEXT(売分析!$C167,"0"),銘柄管理!$B$6:$B$305,0))-1,0,1,25)))/売分析!$E167*100,"")</f>
      </c>
      <c r="O167">
        <f>IFERROR((売分析!$F167-売分析!$G167)/売分析!$G167*100,"")</f>
      </c>
      <c r="P167">
        <f>IFERROR((売分析!$E167-MAX(OFFSET(高値!$E$6,IFERROR(MATCH(売分析!$C167,銘柄管理!$B$6:$B$305,0),MATCH(TEXT(売分析!$C167,"0"),銘柄管理!$B$6:$B$305,0))-1,0,1,25)))/MAX(OFFSET(高値!$E$6,IFERROR(MATCH(売分析!$C167,銘柄管理!$B$6:$B$305,0),MATCH(TEXT(売分析!$C167,"0"),銘柄管理!$B$6:$B$305,0))-1,0,1,25))*100,"")</f>
      </c>
      <c r="Q167">
        <f>IFERROR((売分析!$H167-売分析!$I167)/売分析!$F167*100,"")</f>
      </c>
      <c r="R167">
        <f>IFERROR(5-COUNTIF($M$3:$M$206,"&lt;"&amp;$M167)/COUNT($M$3:$M$206)-COUNTIF($Q$3:$Q$206,"&lt;"&amp;$Q167)/COUNT($Q$3:$Q$206)-COUNTIF($N$3:$N$206,"&lt;"&amp;$N167)/COUNT($N$3:$N$206)-COUNTIF(売分析!$Z$3:$Z$206,"&lt;"&amp;売分析!$Z167)/COUNT(売分析!$Z$3:$Z$206)-COUNTIF($O$3:$O$206,"&lt;"&amp;$O167)/COUNT($O$3:$O$206),"")</f>
      </c>
      <c r="S167">
        <f>IF(OR(K167="",K167="TOPX",M167="",R167=""),0,IF(AND(V811設定!$E$12=1,M167&lt;=V811設定!$E$3,N167&lt;=V811設定!$E$4,O167&lt;=V811設定!$E$5,売分析!$Z167&lt;=V811設定!$E$6,売分析!$Z167&gt;=V811設定!$E$7,P167&gt;=V811設定!$E$8,Q167&lt;=V811設定!$E$9),1,0))</f>
      </c>
      <c r="T167">
        <f>IF(K167="","",IF(S167=1,"○ゲート通過",IF(V811設定!$E$12&lt;&gt;1,"― 停止中",IF(M167&gt;V811設定!$E$3,"×値動きが荒い",IF(N167&gt;V811設定!$E$4,"×レンジが広い",IF(O167&gt;V811設定!$E$5,"×窓を開けて上昇",IF(売分析!$Z167&gt;V811設定!$E$6,"×前日に急騰",IF(売分析!$Z167&lt;V811設定!$E$7,"×前日に急落",IF(P167&lt;V811設定!$E$8,"×高値から離れすぎ",IF(Q167&gt;V811設定!$E$9,"×当日の値幅が大きい","×"))))))))))</f>
      </c>
    </row>
    <row r="168" spans="1:20">
      <c r="A168">
        <f>IF(分析!$C168="","",分析!$C168)</f>
      </c>
      <c r="B168">
        <f>IF(分析!$C168="","",分析!$D168)</f>
      </c>
      <c r="C168">
        <f>IFERROR((SUM(OFFSET(高値!$E$6,IFERROR(MATCH(分析!$C168,銘柄管理!$B$6:$B$305,0),MATCH(TEXT(分析!$C168,"0"),銘柄管理!$B$6:$B$305,0))-1,0,1,14))-SUM(OFFSET(安値!$E$6,IFERROR(MATCH(分析!$C168,銘柄管理!$B$6:$B$305,0),MATCH(TEXT(分析!$C168,"0"),銘柄管理!$B$6:$B$305,0))-1,0,1,14)))/SUM(OFFSET(終値!$E$6,IFERROR(MATCH(分析!$C168,銘柄管理!$B$6:$B$305,0),MATCH(TEXT(分析!$C168,"0"),銘柄管理!$B$6:$B$305,0))-1,0,1,14))*100,"")</f>
      </c>
      <c r="D168">
        <f>IFERROR((MAX(OFFSET(高値!$E$6,IFERROR(MATCH(分析!$C168,銘柄管理!$B$6:$B$305,0),MATCH(TEXT(分析!$C168,"0"),銘柄管理!$B$6:$B$305,0))-1,0,1,25))-MIN(OFFSET(安値!$E$6,IFERROR(MATCH(分析!$C168,銘柄管理!$B$6:$B$305,0),MATCH(TEXT(分析!$C168,"0"),銘柄管理!$B$6:$B$305,0))-1,0,1,25)))/分析!$E168*100,"")</f>
      </c>
      <c r="E168">
        <f>IFERROR((分析!$F168-分析!$G168)/分析!$G168*100,"")</f>
      </c>
      <c r="F168">
        <f>IFERROR((分析!$E168-MAX(OFFSET(高値!$E$6,IFERROR(MATCH(分析!$C168,銘柄管理!$B$6:$B$305,0),MATCH(TEXT(分析!$C168,"0"),銘柄管理!$B$6:$B$305,0))-1,0,1,25)))/MAX(OFFSET(高値!$E$6,IFERROR(MATCH(分析!$C168,銘柄管理!$B$6:$B$305,0),MATCH(TEXT(分析!$C168,"0"),銘柄管理!$B$6:$B$305,0))-1,0,1,25))*100,"")</f>
      </c>
      <c r="G168">
        <f>IFERROR((分析!$H168-分析!$I168)/分析!$F168*100,"")</f>
      </c>
      <c r="H168">
        <f>IFERROR(5-COUNTIF($C$3:$C$206,"&lt;"&amp;$C168)/COUNT($C$3:$C$206)-COUNTIF($G$3:$G$206,"&lt;"&amp;$G168)/COUNT($G$3:$G$206)-COUNTIF($D$3:$D$206,"&lt;"&amp;$D168)/COUNT($D$3:$D$206)-COUNTIF(分析!$Z$3:$Z$206,"&lt;"&amp;分析!$Z168)/COUNT(分析!$Z$3:$Z$206)-COUNTIF($E$3:$E$206,"&lt;"&amp;$E168)/COUNT($E$3:$E$206),"")</f>
      </c>
      <c r="I168">
        <f>IF(OR(A168="",A168="TOPX",C168="",H168=""),0,IF(AND(V811設定!$E$11=1,C168&lt;=V811設定!$E$3,D168&lt;=V811設定!$E$4,E168&lt;=V811設定!$E$5,分析!$Z168&lt;=V811設定!$E$6,分析!$Z168&gt;=V811設定!$E$7,F168&gt;=V811設定!$E$8,G168&lt;=V811設定!$E$9),1,0))</f>
      </c>
      <c r="J168">
        <f>IF(A168="","",IF(I168=1,"○ゲート通過",IF(V811設定!$E$11&lt;&gt;1,"― 停止中",IF(C168&gt;V811設定!$E$3,"×値動きが荒い",IF(D168&gt;V811設定!$E$4,"×レンジが広い",IF(E168&gt;V811設定!$E$5,"×窓を開けて上昇",IF(分析!$Z168&gt;V811設定!$E$6,"×前日に急騰",IF(分析!$Z168&lt;V811設定!$E$7,"×前日に急落",IF(F168&lt;V811設定!$E$8,"×高値から離れすぎ",IF(G168&gt;V811設定!$E$9,"×当日の値幅が大きい","×"))))))))))</f>
      </c>
      <c r="K168">
        <f>IF(売分析!$C168="","",売分析!$C168)</f>
      </c>
      <c r="L168">
        <f>IF(売分析!$C168="","",売分析!$D168)</f>
      </c>
      <c r="M168">
        <f>IFERROR((SUM(OFFSET(高値!$E$6,IFERROR(MATCH(売分析!$C168,銘柄管理!$B$6:$B$305,0),MATCH(TEXT(売分析!$C168,"0"),銘柄管理!$B$6:$B$305,0))-1,0,1,14))-SUM(OFFSET(安値!$E$6,IFERROR(MATCH(売分析!$C168,銘柄管理!$B$6:$B$305,0),MATCH(TEXT(売分析!$C168,"0"),銘柄管理!$B$6:$B$305,0))-1,0,1,14)))/SUM(OFFSET(終値!$E$6,IFERROR(MATCH(売分析!$C168,銘柄管理!$B$6:$B$305,0),MATCH(TEXT(売分析!$C168,"0"),銘柄管理!$B$6:$B$305,0))-1,0,1,14))*100,"")</f>
      </c>
      <c r="N168">
        <f>IFERROR((MAX(OFFSET(高値!$E$6,IFERROR(MATCH(売分析!$C168,銘柄管理!$B$6:$B$305,0),MATCH(TEXT(売分析!$C168,"0"),銘柄管理!$B$6:$B$305,0))-1,0,1,25))-MIN(OFFSET(安値!$E$6,IFERROR(MATCH(売分析!$C168,銘柄管理!$B$6:$B$305,0),MATCH(TEXT(売分析!$C168,"0"),銘柄管理!$B$6:$B$305,0))-1,0,1,25)))/売分析!$E168*100,"")</f>
      </c>
      <c r="O168">
        <f>IFERROR((売分析!$F168-売分析!$G168)/売分析!$G168*100,"")</f>
      </c>
      <c r="P168">
        <f>IFERROR((売分析!$E168-MAX(OFFSET(高値!$E$6,IFERROR(MATCH(売分析!$C168,銘柄管理!$B$6:$B$305,0),MATCH(TEXT(売分析!$C168,"0"),銘柄管理!$B$6:$B$305,0))-1,0,1,25)))/MAX(OFFSET(高値!$E$6,IFERROR(MATCH(売分析!$C168,銘柄管理!$B$6:$B$305,0),MATCH(TEXT(売分析!$C168,"0"),銘柄管理!$B$6:$B$305,0))-1,0,1,25))*100,"")</f>
      </c>
      <c r="Q168">
        <f>IFERROR((売分析!$H168-売分析!$I168)/売分析!$F168*100,"")</f>
      </c>
      <c r="R168">
        <f>IFERROR(5-COUNTIF($M$3:$M$206,"&lt;"&amp;$M168)/COUNT($M$3:$M$206)-COUNTIF($Q$3:$Q$206,"&lt;"&amp;$Q168)/COUNT($Q$3:$Q$206)-COUNTIF($N$3:$N$206,"&lt;"&amp;$N168)/COUNT($N$3:$N$206)-COUNTIF(売分析!$Z$3:$Z$206,"&lt;"&amp;売分析!$Z168)/COUNT(売分析!$Z$3:$Z$206)-COUNTIF($O$3:$O$206,"&lt;"&amp;$O168)/COUNT($O$3:$O$206),"")</f>
      </c>
      <c r="S168">
        <f>IF(OR(K168="",K168="TOPX",M168="",R168=""),0,IF(AND(V811設定!$E$12=1,M168&lt;=V811設定!$E$3,N168&lt;=V811設定!$E$4,O168&lt;=V811設定!$E$5,売分析!$Z168&lt;=V811設定!$E$6,売分析!$Z168&gt;=V811設定!$E$7,P168&gt;=V811設定!$E$8,Q168&lt;=V811設定!$E$9),1,0))</f>
      </c>
      <c r="T168">
        <f>IF(K168="","",IF(S168=1,"○ゲート通過",IF(V811設定!$E$12&lt;&gt;1,"― 停止中",IF(M168&gt;V811設定!$E$3,"×値動きが荒い",IF(N168&gt;V811設定!$E$4,"×レンジが広い",IF(O168&gt;V811設定!$E$5,"×窓を開けて上昇",IF(売分析!$Z168&gt;V811設定!$E$6,"×前日に急騰",IF(売分析!$Z168&lt;V811設定!$E$7,"×前日に急落",IF(P168&lt;V811設定!$E$8,"×高値から離れすぎ",IF(Q168&gt;V811設定!$E$9,"×当日の値幅が大きい","×"))))))))))</f>
      </c>
    </row>
    <row r="169" spans="1:20">
      <c r="A169">
        <f>IF(分析!$C169="","",分析!$C169)</f>
      </c>
      <c r="B169">
        <f>IF(分析!$C169="","",分析!$D169)</f>
      </c>
      <c r="C169">
        <f>IFERROR((SUM(OFFSET(高値!$E$6,IFERROR(MATCH(分析!$C169,銘柄管理!$B$6:$B$305,0),MATCH(TEXT(分析!$C169,"0"),銘柄管理!$B$6:$B$305,0))-1,0,1,14))-SUM(OFFSET(安値!$E$6,IFERROR(MATCH(分析!$C169,銘柄管理!$B$6:$B$305,0),MATCH(TEXT(分析!$C169,"0"),銘柄管理!$B$6:$B$305,0))-1,0,1,14)))/SUM(OFFSET(終値!$E$6,IFERROR(MATCH(分析!$C169,銘柄管理!$B$6:$B$305,0),MATCH(TEXT(分析!$C169,"0"),銘柄管理!$B$6:$B$305,0))-1,0,1,14))*100,"")</f>
      </c>
      <c r="D169">
        <f>IFERROR((MAX(OFFSET(高値!$E$6,IFERROR(MATCH(分析!$C169,銘柄管理!$B$6:$B$305,0),MATCH(TEXT(分析!$C169,"0"),銘柄管理!$B$6:$B$305,0))-1,0,1,25))-MIN(OFFSET(安値!$E$6,IFERROR(MATCH(分析!$C169,銘柄管理!$B$6:$B$305,0),MATCH(TEXT(分析!$C169,"0"),銘柄管理!$B$6:$B$305,0))-1,0,1,25)))/分析!$E169*100,"")</f>
      </c>
      <c r="E169">
        <f>IFERROR((分析!$F169-分析!$G169)/分析!$G169*100,"")</f>
      </c>
      <c r="F169">
        <f>IFERROR((分析!$E169-MAX(OFFSET(高値!$E$6,IFERROR(MATCH(分析!$C169,銘柄管理!$B$6:$B$305,0),MATCH(TEXT(分析!$C169,"0"),銘柄管理!$B$6:$B$305,0))-1,0,1,25)))/MAX(OFFSET(高値!$E$6,IFERROR(MATCH(分析!$C169,銘柄管理!$B$6:$B$305,0),MATCH(TEXT(分析!$C169,"0"),銘柄管理!$B$6:$B$305,0))-1,0,1,25))*100,"")</f>
      </c>
      <c r="G169">
        <f>IFERROR((分析!$H169-分析!$I169)/分析!$F169*100,"")</f>
      </c>
      <c r="H169">
        <f>IFERROR(5-COUNTIF($C$3:$C$206,"&lt;"&amp;$C169)/COUNT($C$3:$C$206)-COUNTIF($G$3:$G$206,"&lt;"&amp;$G169)/COUNT($G$3:$G$206)-COUNTIF($D$3:$D$206,"&lt;"&amp;$D169)/COUNT($D$3:$D$206)-COUNTIF(分析!$Z$3:$Z$206,"&lt;"&amp;分析!$Z169)/COUNT(分析!$Z$3:$Z$206)-COUNTIF($E$3:$E$206,"&lt;"&amp;$E169)/COUNT($E$3:$E$206),"")</f>
      </c>
      <c r="I169">
        <f>IF(OR(A169="",A169="TOPX",C169="",H169=""),0,IF(AND(V811設定!$E$11=1,C169&lt;=V811設定!$E$3,D169&lt;=V811設定!$E$4,E169&lt;=V811設定!$E$5,分析!$Z169&lt;=V811設定!$E$6,分析!$Z169&gt;=V811設定!$E$7,F169&gt;=V811設定!$E$8,G169&lt;=V811設定!$E$9),1,0))</f>
      </c>
      <c r="J169">
        <f>IF(A169="","",IF(I169=1,"○ゲート通過",IF(V811設定!$E$11&lt;&gt;1,"― 停止中",IF(C169&gt;V811設定!$E$3,"×値動きが荒い",IF(D169&gt;V811設定!$E$4,"×レンジが広い",IF(E169&gt;V811設定!$E$5,"×窓を開けて上昇",IF(分析!$Z169&gt;V811設定!$E$6,"×前日に急騰",IF(分析!$Z169&lt;V811設定!$E$7,"×前日に急落",IF(F169&lt;V811設定!$E$8,"×高値から離れすぎ",IF(G169&gt;V811設定!$E$9,"×当日の値幅が大きい","×"))))))))))</f>
      </c>
      <c r="K169">
        <f>IF(売分析!$C169="","",売分析!$C169)</f>
      </c>
      <c r="L169">
        <f>IF(売分析!$C169="","",売分析!$D169)</f>
      </c>
      <c r="M169">
        <f>IFERROR((SUM(OFFSET(高値!$E$6,IFERROR(MATCH(売分析!$C169,銘柄管理!$B$6:$B$305,0),MATCH(TEXT(売分析!$C169,"0"),銘柄管理!$B$6:$B$305,0))-1,0,1,14))-SUM(OFFSET(安値!$E$6,IFERROR(MATCH(売分析!$C169,銘柄管理!$B$6:$B$305,0),MATCH(TEXT(売分析!$C169,"0"),銘柄管理!$B$6:$B$305,0))-1,0,1,14)))/SUM(OFFSET(終値!$E$6,IFERROR(MATCH(売分析!$C169,銘柄管理!$B$6:$B$305,0),MATCH(TEXT(売分析!$C169,"0"),銘柄管理!$B$6:$B$305,0))-1,0,1,14))*100,"")</f>
      </c>
      <c r="N169">
        <f>IFERROR((MAX(OFFSET(高値!$E$6,IFERROR(MATCH(売分析!$C169,銘柄管理!$B$6:$B$305,0),MATCH(TEXT(売分析!$C169,"0"),銘柄管理!$B$6:$B$305,0))-1,0,1,25))-MIN(OFFSET(安値!$E$6,IFERROR(MATCH(売分析!$C169,銘柄管理!$B$6:$B$305,0),MATCH(TEXT(売分析!$C169,"0"),銘柄管理!$B$6:$B$305,0))-1,0,1,25)))/売分析!$E169*100,"")</f>
      </c>
      <c r="O169">
        <f>IFERROR((売分析!$F169-売分析!$G169)/売分析!$G169*100,"")</f>
      </c>
      <c r="P169">
        <f>IFERROR((売分析!$E169-MAX(OFFSET(高値!$E$6,IFERROR(MATCH(売分析!$C169,銘柄管理!$B$6:$B$305,0),MATCH(TEXT(売分析!$C169,"0"),銘柄管理!$B$6:$B$305,0))-1,0,1,25)))/MAX(OFFSET(高値!$E$6,IFERROR(MATCH(売分析!$C169,銘柄管理!$B$6:$B$305,0),MATCH(TEXT(売分析!$C169,"0"),銘柄管理!$B$6:$B$305,0))-1,0,1,25))*100,"")</f>
      </c>
      <c r="Q169">
        <f>IFERROR((売分析!$H169-売分析!$I169)/売分析!$F169*100,"")</f>
      </c>
      <c r="R169">
        <f>IFERROR(5-COUNTIF($M$3:$M$206,"&lt;"&amp;$M169)/COUNT($M$3:$M$206)-COUNTIF($Q$3:$Q$206,"&lt;"&amp;$Q169)/COUNT($Q$3:$Q$206)-COUNTIF($N$3:$N$206,"&lt;"&amp;$N169)/COUNT($N$3:$N$206)-COUNTIF(売分析!$Z$3:$Z$206,"&lt;"&amp;売分析!$Z169)/COUNT(売分析!$Z$3:$Z$206)-COUNTIF($O$3:$O$206,"&lt;"&amp;$O169)/COUNT($O$3:$O$206),"")</f>
      </c>
      <c r="S169">
        <f>IF(OR(K169="",K169="TOPX",M169="",R169=""),0,IF(AND(V811設定!$E$12=1,M169&lt;=V811設定!$E$3,N169&lt;=V811設定!$E$4,O169&lt;=V811設定!$E$5,売分析!$Z169&lt;=V811設定!$E$6,売分析!$Z169&gt;=V811設定!$E$7,P169&gt;=V811設定!$E$8,Q169&lt;=V811設定!$E$9),1,0))</f>
      </c>
      <c r="T169">
        <f>IF(K169="","",IF(S169=1,"○ゲート通過",IF(V811設定!$E$12&lt;&gt;1,"― 停止中",IF(M169&gt;V811設定!$E$3,"×値動きが荒い",IF(N169&gt;V811設定!$E$4,"×レンジが広い",IF(O169&gt;V811設定!$E$5,"×窓を開けて上昇",IF(売分析!$Z169&gt;V811設定!$E$6,"×前日に急騰",IF(売分析!$Z169&lt;V811設定!$E$7,"×前日に急落",IF(P169&lt;V811設定!$E$8,"×高値から離れすぎ",IF(Q169&gt;V811設定!$E$9,"×当日の値幅が大きい","×"))))))))))</f>
      </c>
    </row>
    <row r="170" spans="1:20">
      <c r="A170">
        <f>IF(分析!$C170="","",分析!$C170)</f>
      </c>
      <c r="B170">
        <f>IF(分析!$C170="","",分析!$D170)</f>
      </c>
      <c r="C170">
        <f>IFERROR((SUM(OFFSET(高値!$E$6,IFERROR(MATCH(分析!$C170,銘柄管理!$B$6:$B$305,0),MATCH(TEXT(分析!$C170,"0"),銘柄管理!$B$6:$B$305,0))-1,0,1,14))-SUM(OFFSET(安値!$E$6,IFERROR(MATCH(分析!$C170,銘柄管理!$B$6:$B$305,0),MATCH(TEXT(分析!$C170,"0"),銘柄管理!$B$6:$B$305,0))-1,0,1,14)))/SUM(OFFSET(終値!$E$6,IFERROR(MATCH(分析!$C170,銘柄管理!$B$6:$B$305,0),MATCH(TEXT(分析!$C170,"0"),銘柄管理!$B$6:$B$305,0))-1,0,1,14))*100,"")</f>
      </c>
      <c r="D170">
        <f>IFERROR((MAX(OFFSET(高値!$E$6,IFERROR(MATCH(分析!$C170,銘柄管理!$B$6:$B$305,0),MATCH(TEXT(分析!$C170,"0"),銘柄管理!$B$6:$B$305,0))-1,0,1,25))-MIN(OFFSET(安値!$E$6,IFERROR(MATCH(分析!$C170,銘柄管理!$B$6:$B$305,0),MATCH(TEXT(分析!$C170,"0"),銘柄管理!$B$6:$B$305,0))-1,0,1,25)))/分析!$E170*100,"")</f>
      </c>
      <c r="E170">
        <f>IFERROR((分析!$F170-分析!$G170)/分析!$G170*100,"")</f>
      </c>
      <c r="F170">
        <f>IFERROR((分析!$E170-MAX(OFFSET(高値!$E$6,IFERROR(MATCH(分析!$C170,銘柄管理!$B$6:$B$305,0),MATCH(TEXT(分析!$C170,"0"),銘柄管理!$B$6:$B$305,0))-1,0,1,25)))/MAX(OFFSET(高値!$E$6,IFERROR(MATCH(分析!$C170,銘柄管理!$B$6:$B$305,0),MATCH(TEXT(分析!$C170,"0"),銘柄管理!$B$6:$B$305,0))-1,0,1,25))*100,"")</f>
      </c>
      <c r="G170">
        <f>IFERROR((分析!$H170-分析!$I170)/分析!$F170*100,"")</f>
      </c>
      <c r="H170">
        <f>IFERROR(5-COUNTIF($C$3:$C$206,"&lt;"&amp;$C170)/COUNT($C$3:$C$206)-COUNTIF($G$3:$G$206,"&lt;"&amp;$G170)/COUNT($G$3:$G$206)-COUNTIF($D$3:$D$206,"&lt;"&amp;$D170)/COUNT($D$3:$D$206)-COUNTIF(分析!$Z$3:$Z$206,"&lt;"&amp;分析!$Z170)/COUNT(分析!$Z$3:$Z$206)-COUNTIF($E$3:$E$206,"&lt;"&amp;$E170)/COUNT($E$3:$E$206),"")</f>
      </c>
      <c r="I170">
        <f>IF(OR(A170="",A170="TOPX",C170="",H170=""),0,IF(AND(V811設定!$E$11=1,C170&lt;=V811設定!$E$3,D170&lt;=V811設定!$E$4,E170&lt;=V811設定!$E$5,分析!$Z170&lt;=V811設定!$E$6,分析!$Z170&gt;=V811設定!$E$7,F170&gt;=V811設定!$E$8,G170&lt;=V811設定!$E$9),1,0))</f>
      </c>
      <c r="J170">
        <f>IF(A170="","",IF(I170=1,"○ゲート通過",IF(V811設定!$E$11&lt;&gt;1,"― 停止中",IF(C170&gt;V811設定!$E$3,"×値動きが荒い",IF(D170&gt;V811設定!$E$4,"×レンジが広い",IF(E170&gt;V811設定!$E$5,"×窓を開けて上昇",IF(分析!$Z170&gt;V811設定!$E$6,"×前日に急騰",IF(分析!$Z170&lt;V811設定!$E$7,"×前日に急落",IF(F170&lt;V811設定!$E$8,"×高値から離れすぎ",IF(G170&gt;V811設定!$E$9,"×当日の値幅が大きい","×"))))))))))</f>
      </c>
      <c r="K170">
        <f>IF(売分析!$C170="","",売分析!$C170)</f>
      </c>
      <c r="L170">
        <f>IF(売分析!$C170="","",売分析!$D170)</f>
      </c>
      <c r="M170">
        <f>IFERROR((SUM(OFFSET(高値!$E$6,IFERROR(MATCH(売分析!$C170,銘柄管理!$B$6:$B$305,0),MATCH(TEXT(売分析!$C170,"0"),銘柄管理!$B$6:$B$305,0))-1,0,1,14))-SUM(OFFSET(安値!$E$6,IFERROR(MATCH(売分析!$C170,銘柄管理!$B$6:$B$305,0),MATCH(TEXT(売分析!$C170,"0"),銘柄管理!$B$6:$B$305,0))-1,0,1,14)))/SUM(OFFSET(終値!$E$6,IFERROR(MATCH(売分析!$C170,銘柄管理!$B$6:$B$305,0),MATCH(TEXT(売分析!$C170,"0"),銘柄管理!$B$6:$B$305,0))-1,0,1,14))*100,"")</f>
      </c>
      <c r="N170">
        <f>IFERROR((MAX(OFFSET(高値!$E$6,IFERROR(MATCH(売分析!$C170,銘柄管理!$B$6:$B$305,0),MATCH(TEXT(売分析!$C170,"0"),銘柄管理!$B$6:$B$305,0))-1,0,1,25))-MIN(OFFSET(安値!$E$6,IFERROR(MATCH(売分析!$C170,銘柄管理!$B$6:$B$305,0),MATCH(TEXT(売分析!$C170,"0"),銘柄管理!$B$6:$B$305,0))-1,0,1,25)))/売分析!$E170*100,"")</f>
      </c>
      <c r="O170">
        <f>IFERROR((売分析!$F170-売分析!$G170)/売分析!$G170*100,"")</f>
      </c>
      <c r="P170">
        <f>IFERROR((売分析!$E170-MAX(OFFSET(高値!$E$6,IFERROR(MATCH(売分析!$C170,銘柄管理!$B$6:$B$305,0),MATCH(TEXT(売分析!$C170,"0"),銘柄管理!$B$6:$B$305,0))-1,0,1,25)))/MAX(OFFSET(高値!$E$6,IFERROR(MATCH(売分析!$C170,銘柄管理!$B$6:$B$305,0),MATCH(TEXT(売分析!$C170,"0"),銘柄管理!$B$6:$B$305,0))-1,0,1,25))*100,"")</f>
      </c>
      <c r="Q170">
        <f>IFERROR((売分析!$H170-売分析!$I170)/売分析!$F170*100,"")</f>
      </c>
      <c r="R170">
        <f>IFERROR(5-COUNTIF($M$3:$M$206,"&lt;"&amp;$M170)/COUNT($M$3:$M$206)-COUNTIF($Q$3:$Q$206,"&lt;"&amp;$Q170)/COUNT($Q$3:$Q$206)-COUNTIF($N$3:$N$206,"&lt;"&amp;$N170)/COUNT($N$3:$N$206)-COUNTIF(売分析!$Z$3:$Z$206,"&lt;"&amp;売分析!$Z170)/COUNT(売分析!$Z$3:$Z$206)-COUNTIF($O$3:$O$206,"&lt;"&amp;$O170)/COUNT($O$3:$O$206),"")</f>
      </c>
      <c r="S170">
        <f>IF(OR(K170="",K170="TOPX",M170="",R170=""),0,IF(AND(V811設定!$E$12=1,M170&lt;=V811設定!$E$3,N170&lt;=V811設定!$E$4,O170&lt;=V811設定!$E$5,売分析!$Z170&lt;=V811設定!$E$6,売分析!$Z170&gt;=V811設定!$E$7,P170&gt;=V811設定!$E$8,Q170&lt;=V811設定!$E$9),1,0))</f>
      </c>
      <c r="T170">
        <f>IF(K170="","",IF(S170=1,"○ゲート通過",IF(V811設定!$E$12&lt;&gt;1,"― 停止中",IF(M170&gt;V811設定!$E$3,"×値動きが荒い",IF(N170&gt;V811設定!$E$4,"×レンジが広い",IF(O170&gt;V811設定!$E$5,"×窓を開けて上昇",IF(売分析!$Z170&gt;V811設定!$E$6,"×前日に急騰",IF(売分析!$Z170&lt;V811設定!$E$7,"×前日に急落",IF(P170&lt;V811設定!$E$8,"×高値から離れすぎ",IF(Q170&gt;V811設定!$E$9,"×当日の値幅が大きい","×"))))))))))</f>
      </c>
    </row>
    <row r="171" spans="1:20">
      <c r="A171">
        <f>IF(分析!$C171="","",分析!$C171)</f>
      </c>
      <c r="B171">
        <f>IF(分析!$C171="","",分析!$D171)</f>
      </c>
      <c r="C171">
        <f>IFERROR((SUM(OFFSET(高値!$E$6,IFERROR(MATCH(分析!$C171,銘柄管理!$B$6:$B$305,0),MATCH(TEXT(分析!$C171,"0"),銘柄管理!$B$6:$B$305,0))-1,0,1,14))-SUM(OFFSET(安値!$E$6,IFERROR(MATCH(分析!$C171,銘柄管理!$B$6:$B$305,0),MATCH(TEXT(分析!$C171,"0"),銘柄管理!$B$6:$B$305,0))-1,0,1,14)))/SUM(OFFSET(終値!$E$6,IFERROR(MATCH(分析!$C171,銘柄管理!$B$6:$B$305,0),MATCH(TEXT(分析!$C171,"0"),銘柄管理!$B$6:$B$305,0))-1,0,1,14))*100,"")</f>
      </c>
      <c r="D171">
        <f>IFERROR((MAX(OFFSET(高値!$E$6,IFERROR(MATCH(分析!$C171,銘柄管理!$B$6:$B$305,0),MATCH(TEXT(分析!$C171,"0"),銘柄管理!$B$6:$B$305,0))-1,0,1,25))-MIN(OFFSET(安値!$E$6,IFERROR(MATCH(分析!$C171,銘柄管理!$B$6:$B$305,0),MATCH(TEXT(分析!$C171,"0"),銘柄管理!$B$6:$B$305,0))-1,0,1,25)))/分析!$E171*100,"")</f>
      </c>
      <c r="E171">
        <f>IFERROR((分析!$F171-分析!$G171)/分析!$G171*100,"")</f>
      </c>
      <c r="F171">
        <f>IFERROR((分析!$E171-MAX(OFFSET(高値!$E$6,IFERROR(MATCH(分析!$C171,銘柄管理!$B$6:$B$305,0),MATCH(TEXT(分析!$C171,"0"),銘柄管理!$B$6:$B$305,0))-1,0,1,25)))/MAX(OFFSET(高値!$E$6,IFERROR(MATCH(分析!$C171,銘柄管理!$B$6:$B$305,0),MATCH(TEXT(分析!$C171,"0"),銘柄管理!$B$6:$B$305,0))-1,0,1,25))*100,"")</f>
      </c>
      <c r="G171">
        <f>IFERROR((分析!$H171-分析!$I171)/分析!$F171*100,"")</f>
      </c>
      <c r="H171">
        <f>IFERROR(5-COUNTIF($C$3:$C$206,"&lt;"&amp;$C171)/COUNT($C$3:$C$206)-COUNTIF($G$3:$G$206,"&lt;"&amp;$G171)/COUNT($G$3:$G$206)-COUNTIF($D$3:$D$206,"&lt;"&amp;$D171)/COUNT($D$3:$D$206)-COUNTIF(分析!$Z$3:$Z$206,"&lt;"&amp;分析!$Z171)/COUNT(分析!$Z$3:$Z$206)-COUNTIF($E$3:$E$206,"&lt;"&amp;$E171)/COUNT($E$3:$E$206),"")</f>
      </c>
      <c r="I171">
        <f>IF(OR(A171="",A171="TOPX",C171="",H171=""),0,IF(AND(V811設定!$E$11=1,C171&lt;=V811設定!$E$3,D171&lt;=V811設定!$E$4,E171&lt;=V811設定!$E$5,分析!$Z171&lt;=V811設定!$E$6,分析!$Z171&gt;=V811設定!$E$7,F171&gt;=V811設定!$E$8,G171&lt;=V811設定!$E$9),1,0))</f>
      </c>
      <c r="J171">
        <f>IF(A171="","",IF(I171=1,"○ゲート通過",IF(V811設定!$E$11&lt;&gt;1,"― 停止中",IF(C171&gt;V811設定!$E$3,"×値動きが荒い",IF(D171&gt;V811設定!$E$4,"×レンジが広い",IF(E171&gt;V811設定!$E$5,"×窓を開けて上昇",IF(分析!$Z171&gt;V811設定!$E$6,"×前日に急騰",IF(分析!$Z171&lt;V811設定!$E$7,"×前日に急落",IF(F171&lt;V811設定!$E$8,"×高値から離れすぎ",IF(G171&gt;V811設定!$E$9,"×当日の値幅が大きい","×"))))))))))</f>
      </c>
      <c r="K171">
        <f>IF(売分析!$C171="","",売分析!$C171)</f>
      </c>
      <c r="L171">
        <f>IF(売分析!$C171="","",売分析!$D171)</f>
      </c>
      <c r="M171">
        <f>IFERROR((SUM(OFFSET(高値!$E$6,IFERROR(MATCH(売分析!$C171,銘柄管理!$B$6:$B$305,0),MATCH(TEXT(売分析!$C171,"0"),銘柄管理!$B$6:$B$305,0))-1,0,1,14))-SUM(OFFSET(安値!$E$6,IFERROR(MATCH(売分析!$C171,銘柄管理!$B$6:$B$305,0),MATCH(TEXT(売分析!$C171,"0"),銘柄管理!$B$6:$B$305,0))-1,0,1,14)))/SUM(OFFSET(終値!$E$6,IFERROR(MATCH(売分析!$C171,銘柄管理!$B$6:$B$305,0),MATCH(TEXT(売分析!$C171,"0"),銘柄管理!$B$6:$B$305,0))-1,0,1,14))*100,"")</f>
      </c>
      <c r="N171">
        <f>IFERROR((MAX(OFFSET(高値!$E$6,IFERROR(MATCH(売分析!$C171,銘柄管理!$B$6:$B$305,0),MATCH(TEXT(売分析!$C171,"0"),銘柄管理!$B$6:$B$305,0))-1,0,1,25))-MIN(OFFSET(安値!$E$6,IFERROR(MATCH(売分析!$C171,銘柄管理!$B$6:$B$305,0),MATCH(TEXT(売分析!$C171,"0"),銘柄管理!$B$6:$B$305,0))-1,0,1,25)))/売分析!$E171*100,"")</f>
      </c>
      <c r="O171">
        <f>IFERROR((売分析!$F171-売分析!$G171)/売分析!$G171*100,"")</f>
      </c>
      <c r="P171">
        <f>IFERROR((売分析!$E171-MAX(OFFSET(高値!$E$6,IFERROR(MATCH(売分析!$C171,銘柄管理!$B$6:$B$305,0),MATCH(TEXT(売分析!$C171,"0"),銘柄管理!$B$6:$B$305,0))-1,0,1,25)))/MAX(OFFSET(高値!$E$6,IFERROR(MATCH(売分析!$C171,銘柄管理!$B$6:$B$305,0),MATCH(TEXT(売分析!$C171,"0"),銘柄管理!$B$6:$B$305,0))-1,0,1,25))*100,"")</f>
      </c>
      <c r="Q171">
        <f>IFERROR((売分析!$H171-売分析!$I171)/売分析!$F171*100,"")</f>
      </c>
      <c r="R171">
        <f>IFERROR(5-COUNTIF($M$3:$M$206,"&lt;"&amp;$M171)/COUNT($M$3:$M$206)-COUNTIF($Q$3:$Q$206,"&lt;"&amp;$Q171)/COUNT($Q$3:$Q$206)-COUNTIF($N$3:$N$206,"&lt;"&amp;$N171)/COUNT($N$3:$N$206)-COUNTIF(売分析!$Z$3:$Z$206,"&lt;"&amp;売分析!$Z171)/COUNT(売分析!$Z$3:$Z$206)-COUNTIF($O$3:$O$206,"&lt;"&amp;$O171)/COUNT($O$3:$O$206),"")</f>
      </c>
      <c r="S171">
        <f>IF(OR(K171="",K171="TOPX",M171="",R171=""),0,IF(AND(V811設定!$E$12=1,M171&lt;=V811設定!$E$3,N171&lt;=V811設定!$E$4,O171&lt;=V811設定!$E$5,売分析!$Z171&lt;=V811設定!$E$6,売分析!$Z171&gt;=V811設定!$E$7,P171&gt;=V811設定!$E$8,Q171&lt;=V811設定!$E$9),1,0))</f>
      </c>
      <c r="T171">
        <f>IF(K171="","",IF(S171=1,"○ゲート通過",IF(V811設定!$E$12&lt;&gt;1,"― 停止中",IF(M171&gt;V811設定!$E$3,"×値動きが荒い",IF(N171&gt;V811設定!$E$4,"×レンジが広い",IF(O171&gt;V811設定!$E$5,"×窓を開けて上昇",IF(売分析!$Z171&gt;V811設定!$E$6,"×前日に急騰",IF(売分析!$Z171&lt;V811設定!$E$7,"×前日に急落",IF(P171&lt;V811設定!$E$8,"×高値から離れすぎ",IF(Q171&gt;V811設定!$E$9,"×当日の値幅が大きい","×"))))))))))</f>
      </c>
    </row>
    <row r="172" spans="1:20">
      <c r="A172">
        <f>IF(分析!$C172="","",分析!$C172)</f>
      </c>
      <c r="B172">
        <f>IF(分析!$C172="","",分析!$D172)</f>
      </c>
      <c r="C172">
        <f>IFERROR((SUM(OFFSET(高値!$E$6,IFERROR(MATCH(分析!$C172,銘柄管理!$B$6:$B$305,0),MATCH(TEXT(分析!$C172,"0"),銘柄管理!$B$6:$B$305,0))-1,0,1,14))-SUM(OFFSET(安値!$E$6,IFERROR(MATCH(分析!$C172,銘柄管理!$B$6:$B$305,0),MATCH(TEXT(分析!$C172,"0"),銘柄管理!$B$6:$B$305,0))-1,0,1,14)))/SUM(OFFSET(終値!$E$6,IFERROR(MATCH(分析!$C172,銘柄管理!$B$6:$B$305,0),MATCH(TEXT(分析!$C172,"0"),銘柄管理!$B$6:$B$305,0))-1,0,1,14))*100,"")</f>
      </c>
      <c r="D172">
        <f>IFERROR((MAX(OFFSET(高値!$E$6,IFERROR(MATCH(分析!$C172,銘柄管理!$B$6:$B$305,0),MATCH(TEXT(分析!$C172,"0"),銘柄管理!$B$6:$B$305,0))-1,0,1,25))-MIN(OFFSET(安値!$E$6,IFERROR(MATCH(分析!$C172,銘柄管理!$B$6:$B$305,0),MATCH(TEXT(分析!$C172,"0"),銘柄管理!$B$6:$B$305,0))-1,0,1,25)))/分析!$E172*100,"")</f>
      </c>
      <c r="E172">
        <f>IFERROR((分析!$F172-分析!$G172)/分析!$G172*100,"")</f>
      </c>
      <c r="F172">
        <f>IFERROR((分析!$E172-MAX(OFFSET(高値!$E$6,IFERROR(MATCH(分析!$C172,銘柄管理!$B$6:$B$305,0),MATCH(TEXT(分析!$C172,"0"),銘柄管理!$B$6:$B$305,0))-1,0,1,25)))/MAX(OFFSET(高値!$E$6,IFERROR(MATCH(分析!$C172,銘柄管理!$B$6:$B$305,0),MATCH(TEXT(分析!$C172,"0"),銘柄管理!$B$6:$B$305,0))-1,0,1,25))*100,"")</f>
      </c>
      <c r="G172">
        <f>IFERROR((分析!$H172-分析!$I172)/分析!$F172*100,"")</f>
      </c>
      <c r="H172">
        <f>IFERROR(5-COUNTIF($C$3:$C$206,"&lt;"&amp;$C172)/COUNT($C$3:$C$206)-COUNTIF($G$3:$G$206,"&lt;"&amp;$G172)/COUNT($G$3:$G$206)-COUNTIF($D$3:$D$206,"&lt;"&amp;$D172)/COUNT($D$3:$D$206)-COUNTIF(分析!$Z$3:$Z$206,"&lt;"&amp;分析!$Z172)/COUNT(分析!$Z$3:$Z$206)-COUNTIF($E$3:$E$206,"&lt;"&amp;$E172)/COUNT($E$3:$E$206),"")</f>
      </c>
      <c r="I172">
        <f>IF(OR(A172="",A172="TOPX",C172="",H172=""),0,IF(AND(V811設定!$E$11=1,C172&lt;=V811設定!$E$3,D172&lt;=V811設定!$E$4,E172&lt;=V811設定!$E$5,分析!$Z172&lt;=V811設定!$E$6,分析!$Z172&gt;=V811設定!$E$7,F172&gt;=V811設定!$E$8,G172&lt;=V811設定!$E$9),1,0))</f>
      </c>
      <c r="J172">
        <f>IF(A172="","",IF(I172=1,"○ゲート通過",IF(V811設定!$E$11&lt;&gt;1,"― 停止中",IF(C172&gt;V811設定!$E$3,"×値動きが荒い",IF(D172&gt;V811設定!$E$4,"×レンジが広い",IF(E172&gt;V811設定!$E$5,"×窓を開けて上昇",IF(分析!$Z172&gt;V811設定!$E$6,"×前日に急騰",IF(分析!$Z172&lt;V811設定!$E$7,"×前日に急落",IF(F172&lt;V811設定!$E$8,"×高値から離れすぎ",IF(G172&gt;V811設定!$E$9,"×当日の値幅が大きい","×"))))))))))</f>
      </c>
      <c r="K172">
        <f>IF(売分析!$C172="","",売分析!$C172)</f>
      </c>
      <c r="L172">
        <f>IF(売分析!$C172="","",売分析!$D172)</f>
      </c>
      <c r="M172">
        <f>IFERROR((SUM(OFFSET(高値!$E$6,IFERROR(MATCH(売分析!$C172,銘柄管理!$B$6:$B$305,0),MATCH(TEXT(売分析!$C172,"0"),銘柄管理!$B$6:$B$305,0))-1,0,1,14))-SUM(OFFSET(安値!$E$6,IFERROR(MATCH(売分析!$C172,銘柄管理!$B$6:$B$305,0),MATCH(TEXT(売分析!$C172,"0"),銘柄管理!$B$6:$B$305,0))-1,0,1,14)))/SUM(OFFSET(終値!$E$6,IFERROR(MATCH(売分析!$C172,銘柄管理!$B$6:$B$305,0),MATCH(TEXT(売分析!$C172,"0"),銘柄管理!$B$6:$B$305,0))-1,0,1,14))*100,"")</f>
      </c>
      <c r="N172">
        <f>IFERROR((MAX(OFFSET(高値!$E$6,IFERROR(MATCH(売分析!$C172,銘柄管理!$B$6:$B$305,0),MATCH(TEXT(売分析!$C172,"0"),銘柄管理!$B$6:$B$305,0))-1,0,1,25))-MIN(OFFSET(安値!$E$6,IFERROR(MATCH(売分析!$C172,銘柄管理!$B$6:$B$305,0),MATCH(TEXT(売分析!$C172,"0"),銘柄管理!$B$6:$B$305,0))-1,0,1,25)))/売分析!$E172*100,"")</f>
      </c>
      <c r="O172">
        <f>IFERROR((売分析!$F172-売分析!$G172)/売分析!$G172*100,"")</f>
      </c>
      <c r="P172">
        <f>IFERROR((売分析!$E172-MAX(OFFSET(高値!$E$6,IFERROR(MATCH(売分析!$C172,銘柄管理!$B$6:$B$305,0),MATCH(TEXT(売分析!$C172,"0"),銘柄管理!$B$6:$B$305,0))-1,0,1,25)))/MAX(OFFSET(高値!$E$6,IFERROR(MATCH(売分析!$C172,銘柄管理!$B$6:$B$305,0),MATCH(TEXT(売分析!$C172,"0"),銘柄管理!$B$6:$B$305,0))-1,0,1,25))*100,"")</f>
      </c>
      <c r="Q172">
        <f>IFERROR((売分析!$H172-売分析!$I172)/売分析!$F172*100,"")</f>
      </c>
      <c r="R172">
        <f>IFERROR(5-COUNTIF($M$3:$M$206,"&lt;"&amp;$M172)/COUNT($M$3:$M$206)-COUNTIF($Q$3:$Q$206,"&lt;"&amp;$Q172)/COUNT($Q$3:$Q$206)-COUNTIF($N$3:$N$206,"&lt;"&amp;$N172)/COUNT($N$3:$N$206)-COUNTIF(売分析!$Z$3:$Z$206,"&lt;"&amp;売分析!$Z172)/COUNT(売分析!$Z$3:$Z$206)-COUNTIF($O$3:$O$206,"&lt;"&amp;$O172)/COUNT($O$3:$O$206),"")</f>
      </c>
      <c r="S172">
        <f>IF(OR(K172="",K172="TOPX",M172="",R172=""),0,IF(AND(V811設定!$E$12=1,M172&lt;=V811設定!$E$3,N172&lt;=V811設定!$E$4,O172&lt;=V811設定!$E$5,売分析!$Z172&lt;=V811設定!$E$6,売分析!$Z172&gt;=V811設定!$E$7,P172&gt;=V811設定!$E$8,Q172&lt;=V811設定!$E$9),1,0))</f>
      </c>
      <c r="T172">
        <f>IF(K172="","",IF(S172=1,"○ゲート通過",IF(V811設定!$E$12&lt;&gt;1,"― 停止中",IF(M172&gt;V811設定!$E$3,"×値動きが荒い",IF(N172&gt;V811設定!$E$4,"×レンジが広い",IF(O172&gt;V811設定!$E$5,"×窓を開けて上昇",IF(売分析!$Z172&gt;V811設定!$E$6,"×前日に急騰",IF(売分析!$Z172&lt;V811設定!$E$7,"×前日に急落",IF(P172&lt;V811設定!$E$8,"×高値から離れすぎ",IF(Q172&gt;V811設定!$E$9,"×当日の値幅が大きい","×"))))))))))</f>
      </c>
    </row>
    <row r="173" spans="1:20">
      <c r="A173">
        <f>IF(分析!$C173="","",分析!$C173)</f>
      </c>
      <c r="B173">
        <f>IF(分析!$C173="","",分析!$D173)</f>
      </c>
      <c r="C173">
        <f>IFERROR((SUM(OFFSET(高値!$E$6,IFERROR(MATCH(分析!$C173,銘柄管理!$B$6:$B$305,0),MATCH(TEXT(分析!$C173,"0"),銘柄管理!$B$6:$B$305,0))-1,0,1,14))-SUM(OFFSET(安値!$E$6,IFERROR(MATCH(分析!$C173,銘柄管理!$B$6:$B$305,0),MATCH(TEXT(分析!$C173,"0"),銘柄管理!$B$6:$B$305,0))-1,0,1,14)))/SUM(OFFSET(終値!$E$6,IFERROR(MATCH(分析!$C173,銘柄管理!$B$6:$B$305,0),MATCH(TEXT(分析!$C173,"0"),銘柄管理!$B$6:$B$305,0))-1,0,1,14))*100,"")</f>
      </c>
      <c r="D173">
        <f>IFERROR((MAX(OFFSET(高値!$E$6,IFERROR(MATCH(分析!$C173,銘柄管理!$B$6:$B$305,0),MATCH(TEXT(分析!$C173,"0"),銘柄管理!$B$6:$B$305,0))-1,0,1,25))-MIN(OFFSET(安値!$E$6,IFERROR(MATCH(分析!$C173,銘柄管理!$B$6:$B$305,0),MATCH(TEXT(分析!$C173,"0"),銘柄管理!$B$6:$B$305,0))-1,0,1,25)))/分析!$E173*100,"")</f>
      </c>
      <c r="E173">
        <f>IFERROR((分析!$F173-分析!$G173)/分析!$G173*100,"")</f>
      </c>
      <c r="F173">
        <f>IFERROR((分析!$E173-MAX(OFFSET(高値!$E$6,IFERROR(MATCH(分析!$C173,銘柄管理!$B$6:$B$305,0),MATCH(TEXT(分析!$C173,"0"),銘柄管理!$B$6:$B$305,0))-1,0,1,25)))/MAX(OFFSET(高値!$E$6,IFERROR(MATCH(分析!$C173,銘柄管理!$B$6:$B$305,0),MATCH(TEXT(分析!$C173,"0"),銘柄管理!$B$6:$B$305,0))-1,0,1,25))*100,"")</f>
      </c>
      <c r="G173">
        <f>IFERROR((分析!$H173-分析!$I173)/分析!$F173*100,"")</f>
      </c>
      <c r="H173">
        <f>IFERROR(5-COUNTIF($C$3:$C$206,"&lt;"&amp;$C173)/COUNT($C$3:$C$206)-COUNTIF($G$3:$G$206,"&lt;"&amp;$G173)/COUNT($G$3:$G$206)-COUNTIF($D$3:$D$206,"&lt;"&amp;$D173)/COUNT($D$3:$D$206)-COUNTIF(分析!$Z$3:$Z$206,"&lt;"&amp;分析!$Z173)/COUNT(分析!$Z$3:$Z$206)-COUNTIF($E$3:$E$206,"&lt;"&amp;$E173)/COUNT($E$3:$E$206),"")</f>
      </c>
      <c r="I173">
        <f>IF(OR(A173="",A173="TOPX",C173="",H173=""),0,IF(AND(V811設定!$E$11=1,C173&lt;=V811設定!$E$3,D173&lt;=V811設定!$E$4,E173&lt;=V811設定!$E$5,分析!$Z173&lt;=V811設定!$E$6,分析!$Z173&gt;=V811設定!$E$7,F173&gt;=V811設定!$E$8,G173&lt;=V811設定!$E$9),1,0))</f>
      </c>
      <c r="J173">
        <f>IF(A173="","",IF(I173=1,"○ゲート通過",IF(V811設定!$E$11&lt;&gt;1,"― 停止中",IF(C173&gt;V811設定!$E$3,"×値動きが荒い",IF(D173&gt;V811設定!$E$4,"×レンジが広い",IF(E173&gt;V811設定!$E$5,"×窓を開けて上昇",IF(分析!$Z173&gt;V811設定!$E$6,"×前日に急騰",IF(分析!$Z173&lt;V811設定!$E$7,"×前日に急落",IF(F173&lt;V811設定!$E$8,"×高値から離れすぎ",IF(G173&gt;V811設定!$E$9,"×当日の値幅が大きい","×"))))))))))</f>
      </c>
      <c r="K173">
        <f>IF(売分析!$C173="","",売分析!$C173)</f>
      </c>
      <c r="L173">
        <f>IF(売分析!$C173="","",売分析!$D173)</f>
      </c>
      <c r="M173">
        <f>IFERROR((SUM(OFFSET(高値!$E$6,IFERROR(MATCH(売分析!$C173,銘柄管理!$B$6:$B$305,0),MATCH(TEXT(売分析!$C173,"0"),銘柄管理!$B$6:$B$305,0))-1,0,1,14))-SUM(OFFSET(安値!$E$6,IFERROR(MATCH(売分析!$C173,銘柄管理!$B$6:$B$305,0),MATCH(TEXT(売分析!$C173,"0"),銘柄管理!$B$6:$B$305,0))-1,0,1,14)))/SUM(OFFSET(終値!$E$6,IFERROR(MATCH(売分析!$C173,銘柄管理!$B$6:$B$305,0),MATCH(TEXT(売分析!$C173,"0"),銘柄管理!$B$6:$B$305,0))-1,0,1,14))*100,"")</f>
      </c>
      <c r="N173">
        <f>IFERROR((MAX(OFFSET(高値!$E$6,IFERROR(MATCH(売分析!$C173,銘柄管理!$B$6:$B$305,0),MATCH(TEXT(売分析!$C173,"0"),銘柄管理!$B$6:$B$305,0))-1,0,1,25))-MIN(OFFSET(安値!$E$6,IFERROR(MATCH(売分析!$C173,銘柄管理!$B$6:$B$305,0),MATCH(TEXT(売分析!$C173,"0"),銘柄管理!$B$6:$B$305,0))-1,0,1,25)))/売分析!$E173*100,"")</f>
      </c>
      <c r="O173">
        <f>IFERROR((売分析!$F173-売分析!$G173)/売分析!$G173*100,"")</f>
      </c>
      <c r="P173">
        <f>IFERROR((売分析!$E173-MAX(OFFSET(高値!$E$6,IFERROR(MATCH(売分析!$C173,銘柄管理!$B$6:$B$305,0),MATCH(TEXT(売分析!$C173,"0"),銘柄管理!$B$6:$B$305,0))-1,0,1,25)))/MAX(OFFSET(高値!$E$6,IFERROR(MATCH(売分析!$C173,銘柄管理!$B$6:$B$305,0),MATCH(TEXT(売分析!$C173,"0"),銘柄管理!$B$6:$B$305,0))-1,0,1,25))*100,"")</f>
      </c>
      <c r="Q173">
        <f>IFERROR((売分析!$H173-売分析!$I173)/売分析!$F173*100,"")</f>
      </c>
      <c r="R173">
        <f>IFERROR(5-COUNTIF($M$3:$M$206,"&lt;"&amp;$M173)/COUNT($M$3:$M$206)-COUNTIF($Q$3:$Q$206,"&lt;"&amp;$Q173)/COUNT($Q$3:$Q$206)-COUNTIF($N$3:$N$206,"&lt;"&amp;$N173)/COUNT($N$3:$N$206)-COUNTIF(売分析!$Z$3:$Z$206,"&lt;"&amp;売分析!$Z173)/COUNT(売分析!$Z$3:$Z$206)-COUNTIF($O$3:$O$206,"&lt;"&amp;$O173)/COUNT($O$3:$O$206),"")</f>
      </c>
      <c r="S173">
        <f>IF(OR(K173="",K173="TOPX",M173="",R173=""),0,IF(AND(V811設定!$E$12=1,M173&lt;=V811設定!$E$3,N173&lt;=V811設定!$E$4,O173&lt;=V811設定!$E$5,売分析!$Z173&lt;=V811設定!$E$6,売分析!$Z173&gt;=V811設定!$E$7,P173&gt;=V811設定!$E$8,Q173&lt;=V811設定!$E$9),1,0))</f>
      </c>
      <c r="T173">
        <f>IF(K173="","",IF(S173=1,"○ゲート通過",IF(V811設定!$E$12&lt;&gt;1,"― 停止中",IF(M173&gt;V811設定!$E$3,"×値動きが荒い",IF(N173&gt;V811設定!$E$4,"×レンジが広い",IF(O173&gt;V811設定!$E$5,"×窓を開けて上昇",IF(売分析!$Z173&gt;V811設定!$E$6,"×前日に急騰",IF(売分析!$Z173&lt;V811設定!$E$7,"×前日に急落",IF(P173&lt;V811設定!$E$8,"×高値から離れすぎ",IF(Q173&gt;V811設定!$E$9,"×当日の値幅が大きい","×"))))))))))</f>
      </c>
    </row>
    <row r="174" spans="1:20">
      <c r="A174">
        <f>IF(分析!$C174="","",分析!$C174)</f>
      </c>
      <c r="B174">
        <f>IF(分析!$C174="","",分析!$D174)</f>
      </c>
      <c r="C174">
        <f>IFERROR((SUM(OFFSET(高値!$E$6,IFERROR(MATCH(分析!$C174,銘柄管理!$B$6:$B$305,0),MATCH(TEXT(分析!$C174,"0"),銘柄管理!$B$6:$B$305,0))-1,0,1,14))-SUM(OFFSET(安値!$E$6,IFERROR(MATCH(分析!$C174,銘柄管理!$B$6:$B$305,0),MATCH(TEXT(分析!$C174,"0"),銘柄管理!$B$6:$B$305,0))-1,0,1,14)))/SUM(OFFSET(終値!$E$6,IFERROR(MATCH(分析!$C174,銘柄管理!$B$6:$B$305,0),MATCH(TEXT(分析!$C174,"0"),銘柄管理!$B$6:$B$305,0))-1,0,1,14))*100,"")</f>
      </c>
      <c r="D174">
        <f>IFERROR((MAX(OFFSET(高値!$E$6,IFERROR(MATCH(分析!$C174,銘柄管理!$B$6:$B$305,0),MATCH(TEXT(分析!$C174,"0"),銘柄管理!$B$6:$B$305,0))-1,0,1,25))-MIN(OFFSET(安値!$E$6,IFERROR(MATCH(分析!$C174,銘柄管理!$B$6:$B$305,0),MATCH(TEXT(分析!$C174,"0"),銘柄管理!$B$6:$B$305,0))-1,0,1,25)))/分析!$E174*100,"")</f>
      </c>
      <c r="E174">
        <f>IFERROR((分析!$F174-分析!$G174)/分析!$G174*100,"")</f>
      </c>
      <c r="F174">
        <f>IFERROR((分析!$E174-MAX(OFFSET(高値!$E$6,IFERROR(MATCH(分析!$C174,銘柄管理!$B$6:$B$305,0),MATCH(TEXT(分析!$C174,"0"),銘柄管理!$B$6:$B$305,0))-1,0,1,25)))/MAX(OFFSET(高値!$E$6,IFERROR(MATCH(分析!$C174,銘柄管理!$B$6:$B$305,0),MATCH(TEXT(分析!$C174,"0"),銘柄管理!$B$6:$B$305,0))-1,0,1,25))*100,"")</f>
      </c>
      <c r="G174">
        <f>IFERROR((分析!$H174-分析!$I174)/分析!$F174*100,"")</f>
      </c>
      <c r="H174">
        <f>IFERROR(5-COUNTIF($C$3:$C$206,"&lt;"&amp;$C174)/COUNT($C$3:$C$206)-COUNTIF($G$3:$G$206,"&lt;"&amp;$G174)/COUNT($G$3:$G$206)-COUNTIF($D$3:$D$206,"&lt;"&amp;$D174)/COUNT($D$3:$D$206)-COUNTIF(分析!$Z$3:$Z$206,"&lt;"&amp;分析!$Z174)/COUNT(分析!$Z$3:$Z$206)-COUNTIF($E$3:$E$206,"&lt;"&amp;$E174)/COUNT($E$3:$E$206),"")</f>
      </c>
      <c r="I174">
        <f>IF(OR(A174="",A174="TOPX",C174="",H174=""),0,IF(AND(V811設定!$E$11=1,C174&lt;=V811設定!$E$3,D174&lt;=V811設定!$E$4,E174&lt;=V811設定!$E$5,分析!$Z174&lt;=V811設定!$E$6,分析!$Z174&gt;=V811設定!$E$7,F174&gt;=V811設定!$E$8,G174&lt;=V811設定!$E$9),1,0))</f>
      </c>
      <c r="J174">
        <f>IF(A174="","",IF(I174=1,"○ゲート通過",IF(V811設定!$E$11&lt;&gt;1,"― 停止中",IF(C174&gt;V811設定!$E$3,"×値動きが荒い",IF(D174&gt;V811設定!$E$4,"×レンジが広い",IF(E174&gt;V811設定!$E$5,"×窓を開けて上昇",IF(分析!$Z174&gt;V811設定!$E$6,"×前日に急騰",IF(分析!$Z174&lt;V811設定!$E$7,"×前日に急落",IF(F174&lt;V811設定!$E$8,"×高値から離れすぎ",IF(G174&gt;V811設定!$E$9,"×当日の値幅が大きい","×"))))))))))</f>
      </c>
      <c r="K174">
        <f>IF(売分析!$C174="","",売分析!$C174)</f>
      </c>
      <c r="L174">
        <f>IF(売分析!$C174="","",売分析!$D174)</f>
      </c>
      <c r="M174">
        <f>IFERROR((SUM(OFFSET(高値!$E$6,IFERROR(MATCH(売分析!$C174,銘柄管理!$B$6:$B$305,0),MATCH(TEXT(売分析!$C174,"0"),銘柄管理!$B$6:$B$305,0))-1,0,1,14))-SUM(OFFSET(安値!$E$6,IFERROR(MATCH(売分析!$C174,銘柄管理!$B$6:$B$305,0),MATCH(TEXT(売分析!$C174,"0"),銘柄管理!$B$6:$B$305,0))-1,0,1,14)))/SUM(OFFSET(終値!$E$6,IFERROR(MATCH(売分析!$C174,銘柄管理!$B$6:$B$305,0),MATCH(TEXT(売分析!$C174,"0"),銘柄管理!$B$6:$B$305,0))-1,0,1,14))*100,"")</f>
      </c>
      <c r="N174">
        <f>IFERROR((MAX(OFFSET(高値!$E$6,IFERROR(MATCH(売分析!$C174,銘柄管理!$B$6:$B$305,0),MATCH(TEXT(売分析!$C174,"0"),銘柄管理!$B$6:$B$305,0))-1,0,1,25))-MIN(OFFSET(安値!$E$6,IFERROR(MATCH(売分析!$C174,銘柄管理!$B$6:$B$305,0),MATCH(TEXT(売分析!$C174,"0"),銘柄管理!$B$6:$B$305,0))-1,0,1,25)))/売分析!$E174*100,"")</f>
      </c>
      <c r="O174">
        <f>IFERROR((売分析!$F174-売分析!$G174)/売分析!$G174*100,"")</f>
      </c>
      <c r="P174">
        <f>IFERROR((売分析!$E174-MAX(OFFSET(高値!$E$6,IFERROR(MATCH(売分析!$C174,銘柄管理!$B$6:$B$305,0),MATCH(TEXT(売分析!$C174,"0"),銘柄管理!$B$6:$B$305,0))-1,0,1,25)))/MAX(OFFSET(高値!$E$6,IFERROR(MATCH(売分析!$C174,銘柄管理!$B$6:$B$305,0),MATCH(TEXT(売分析!$C174,"0"),銘柄管理!$B$6:$B$305,0))-1,0,1,25))*100,"")</f>
      </c>
      <c r="Q174">
        <f>IFERROR((売分析!$H174-売分析!$I174)/売分析!$F174*100,"")</f>
      </c>
      <c r="R174">
        <f>IFERROR(5-COUNTIF($M$3:$M$206,"&lt;"&amp;$M174)/COUNT($M$3:$M$206)-COUNTIF($Q$3:$Q$206,"&lt;"&amp;$Q174)/COUNT($Q$3:$Q$206)-COUNTIF($N$3:$N$206,"&lt;"&amp;$N174)/COUNT($N$3:$N$206)-COUNTIF(売分析!$Z$3:$Z$206,"&lt;"&amp;売分析!$Z174)/COUNT(売分析!$Z$3:$Z$206)-COUNTIF($O$3:$O$206,"&lt;"&amp;$O174)/COUNT($O$3:$O$206),"")</f>
      </c>
      <c r="S174">
        <f>IF(OR(K174="",K174="TOPX",M174="",R174=""),0,IF(AND(V811設定!$E$12=1,M174&lt;=V811設定!$E$3,N174&lt;=V811設定!$E$4,O174&lt;=V811設定!$E$5,売分析!$Z174&lt;=V811設定!$E$6,売分析!$Z174&gt;=V811設定!$E$7,P174&gt;=V811設定!$E$8,Q174&lt;=V811設定!$E$9),1,0))</f>
      </c>
      <c r="T174">
        <f>IF(K174="","",IF(S174=1,"○ゲート通過",IF(V811設定!$E$12&lt;&gt;1,"― 停止中",IF(M174&gt;V811設定!$E$3,"×値動きが荒い",IF(N174&gt;V811設定!$E$4,"×レンジが広い",IF(O174&gt;V811設定!$E$5,"×窓を開けて上昇",IF(売分析!$Z174&gt;V811設定!$E$6,"×前日に急騰",IF(売分析!$Z174&lt;V811設定!$E$7,"×前日に急落",IF(P174&lt;V811設定!$E$8,"×高値から離れすぎ",IF(Q174&gt;V811設定!$E$9,"×当日の値幅が大きい","×"))))))))))</f>
      </c>
    </row>
    <row r="175" spans="1:20">
      <c r="A175">
        <f>IF(分析!$C175="","",分析!$C175)</f>
      </c>
      <c r="B175">
        <f>IF(分析!$C175="","",分析!$D175)</f>
      </c>
      <c r="C175">
        <f>IFERROR((SUM(OFFSET(高値!$E$6,IFERROR(MATCH(分析!$C175,銘柄管理!$B$6:$B$305,0),MATCH(TEXT(分析!$C175,"0"),銘柄管理!$B$6:$B$305,0))-1,0,1,14))-SUM(OFFSET(安値!$E$6,IFERROR(MATCH(分析!$C175,銘柄管理!$B$6:$B$305,0),MATCH(TEXT(分析!$C175,"0"),銘柄管理!$B$6:$B$305,0))-1,0,1,14)))/SUM(OFFSET(終値!$E$6,IFERROR(MATCH(分析!$C175,銘柄管理!$B$6:$B$305,0),MATCH(TEXT(分析!$C175,"0"),銘柄管理!$B$6:$B$305,0))-1,0,1,14))*100,"")</f>
      </c>
      <c r="D175">
        <f>IFERROR((MAX(OFFSET(高値!$E$6,IFERROR(MATCH(分析!$C175,銘柄管理!$B$6:$B$305,0),MATCH(TEXT(分析!$C175,"0"),銘柄管理!$B$6:$B$305,0))-1,0,1,25))-MIN(OFFSET(安値!$E$6,IFERROR(MATCH(分析!$C175,銘柄管理!$B$6:$B$305,0),MATCH(TEXT(分析!$C175,"0"),銘柄管理!$B$6:$B$305,0))-1,0,1,25)))/分析!$E175*100,"")</f>
      </c>
      <c r="E175">
        <f>IFERROR((分析!$F175-分析!$G175)/分析!$G175*100,"")</f>
      </c>
      <c r="F175">
        <f>IFERROR((分析!$E175-MAX(OFFSET(高値!$E$6,IFERROR(MATCH(分析!$C175,銘柄管理!$B$6:$B$305,0),MATCH(TEXT(分析!$C175,"0"),銘柄管理!$B$6:$B$305,0))-1,0,1,25)))/MAX(OFFSET(高値!$E$6,IFERROR(MATCH(分析!$C175,銘柄管理!$B$6:$B$305,0),MATCH(TEXT(分析!$C175,"0"),銘柄管理!$B$6:$B$305,0))-1,0,1,25))*100,"")</f>
      </c>
      <c r="G175">
        <f>IFERROR((分析!$H175-分析!$I175)/分析!$F175*100,"")</f>
      </c>
      <c r="H175">
        <f>IFERROR(5-COUNTIF($C$3:$C$206,"&lt;"&amp;$C175)/COUNT($C$3:$C$206)-COUNTIF($G$3:$G$206,"&lt;"&amp;$G175)/COUNT($G$3:$G$206)-COUNTIF($D$3:$D$206,"&lt;"&amp;$D175)/COUNT($D$3:$D$206)-COUNTIF(分析!$Z$3:$Z$206,"&lt;"&amp;分析!$Z175)/COUNT(分析!$Z$3:$Z$206)-COUNTIF($E$3:$E$206,"&lt;"&amp;$E175)/COUNT($E$3:$E$206),"")</f>
      </c>
      <c r="I175">
        <f>IF(OR(A175="",A175="TOPX",C175="",H175=""),0,IF(AND(V811設定!$E$11=1,C175&lt;=V811設定!$E$3,D175&lt;=V811設定!$E$4,E175&lt;=V811設定!$E$5,分析!$Z175&lt;=V811設定!$E$6,分析!$Z175&gt;=V811設定!$E$7,F175&gt;=V811設定!$E$8,G175&lt;=V811設定!$E$9),1,0))</f>
      </c>
      <c r="J175">
        <f>IF(A175="","",IF(I175=1,"○ゲート通過",IF(V811設定!$E$11&lt;&gt;1,"― 停止中",IF(C175&gt;V811設定!$E$3,"×値動きが荒い",IF(D175&gt;V811設定!$E$4,"×レンジが広い",IF(E175&gt;V811設定!$E$5,"×窓を開けて上昇",IF(分析!$Z175&gt;V811設定!$E$6,"×前日に急騰",IF(分析!$Z175&lt;V811設定!$E$7,"×前日に急落",IF(F175&lt;V811設定!$E$8,"×高値から離れすぎ",IF(G175&gt;V811設定!$E$9,"×当日の値幅が大きい","×"))))))))))</f>
      </c>
      <c r="K175">
        <f>IF(売分析!$C175="","",売分析!$C175)</f>
      </c>
      <c r="L175">
        <f>IF(売分析!$C175="","",売分析!$D175)</f>
      </c>
      <c r="M175">
        <f>IFERROR((SUM(OFFSET(高値!$E$6,IFERROR(MATCH(売分析!$C175,銘柄管理!$B$6:$B$305,0),MATCH(TEXT(売分析!$C175,"0"),銘柄管理!$B$6:$B$305,0))-1,0,1,14))-SUM(OFFSET(安値!$E$6,IFERROR(MATCH(売分析!$C175,銘柄管理!$B$6:$B$305,0),MATCH(TEXT(売分析!$C175,"0"),銘柄管理!$B$6:$B$305,0))-1,0,1,14)))/SUM(OFFSET(終値!$E$6,IFERROR(MATCH(売分析!$C175,銘柄管理!$B$6:$B$305,0),MATCH(TEXT(売分析!$C175,"0"),銘柄管理!$B$6:$B$305,0))-1,0,1,14))*100,"")</f>
      </c>
      <c r="N175">
        <f>IFERROR((MAX(OFFSET(高値!$E$6,IFERROR(MATCH(売分析!$C175,銘柄管理!$B$6:$B$305,0),MATCH(TEXT(売分析!$C175,"0"),銘柄管理!$B$6:$B$305,0))-1,0,1,25))-MIN(OFFSET(安値!$E$6,IFERROR(MATCH(売分析!$C175,銘柄管理!$B$6:$B$305,0),MATCH(TEXT(売分析!$C175,"0"),銘柄管理!$B$6:$B$305,0))-1,0,1,25)))/売分析!$E175*100,"")</f>
      </c>
      <c r="O175">
        <f>IFERROR((売分析!$F175-売分析!$G175)/売分析!$G175*100,"")</f>
      </c>
      <c r="P175">
        <f>IFERROR((売分析!$E175-MAX(OFFSET(高値!$E$6,IFERROR(MATCH(売分析!$C175,銘柄管理!$B$6:$B$305,0),MATCH(TEXT(売分析!$C175,"0"),銘柄管理!$B$6:$B$305,0))-1,0,1,25)))/MAX(OFFSET(高値!$E$6,IFERROR(MATCH(売分析!$C175,銘柄管理!$B$6:$B$305,0),MATCH(TEXT(売分析!$C175,"0"),銘柄管理!$B$6:$B$305,0))-1,0,1,25))*100,"")</f>
      </c>
      <c r="Q175">
        <f>IFERROR((売分析!$H175-売分析!$I175)/売分析!$F175*100,"")</f>
      </c>
      <c r="R175">
        <f>IFERROR(5-COUNTIF($M$3:$M$206,"&lt;"&amp;$M175)/COUNT($M$3:$M$206)-COUNTIF($Q$3:$Q$206,"&lt;"&amp;$Q175)/COUNT($Q$3:$Q$206)-COUNTIF($N$3:$N$206,"&lt;"&amp;$N175)/COUNT($N$3:$N$206)-COUNTIF(売分析!$Z$3:$Z$206,"&lt;"&amp;売分析!$Z175)/COUNT(売分析!$Z$3:$Z$206)-COUNTIF($O$3:$O$206,"&lt;"&amp;$O175)/COUNT($O$3:$O$206),"")</f>
      </c>
      <c r="S175">
        <f>IF(OR(K175="",K175="TOPX",M175="",R175=""),0,IF(AND(V811設定!$E$12=1,M175&lt;=V811設定!$E$3,N175&lt;=V811設定!$E$4,O175&lt;=V811設定!$E$5,売分析!$Z175&lt;=V811設定!$E$6,売分析!$Z175&gt;=V811設定!$E$7,P175&gt;=V811設定!$E$8,Q175&lt;=V811設定!$E$9),1,0))</f>
      </c>
      <c r="T175">
        <f>IF(K175="","",IF(S175=1,"○ゲート通過",IF(V811設定!$E$12&lt;&gt;1,"― 停止中",IF(M175&gt;V811設定!$E$3,"×値動きが荒い",IF(N175&gt;V811設定!$E$4,"×レンジが広い",IF(O175&gt;V811設定!$E$5,"×窓を開けて上昇",IF(売分析!$Z175&gt;V811設定!$E$6,"×前日に急騰",IF(売分析!$Z175&lt;V811設定!$E$7,"×前日に急落",IF(P175&lt;V811設定!$E$8,"×高値から離れすぎ",IF(Q175&gt;V811設定!$E$9,"×当日の値幅が大きい","×"))))))))))</f>
      </c>
    </row>
    <row r="176" spans="1:20">
      <c r="A176">
        <f>IF(分析!$C176="","",分析!$C176)</f>
      </c>
      <c r="B176">
        <f>IF(分析!$C176="","",分析!$D176)</f>
      </c>
      <c r="C176">
        <f>IFERROR((SUM(OFFSET(高値!$E$6,IFERROR(MATCH(分析!$C176,銘柄管理!$B$6:$B$305,0),MATCH(TEXT(分析!$C176,"0"),銘柄管理!$B$6:$B$305,0))-1,0,1,14))-SUM(OFFSET(安値!$E$6,IFERROR(MATCH(分析!$C176,銘柄管理!$B$6:$B$305,0),MATCH(TEXT(分析!$C176,"0"),銘柄管理!$B$6:$B$305,0))-1,0,1,14)))/SUM(OFFSET(終値!$E$6,IFERROR(MATCH(分析!$C176,銘柄管理!$B$6:$B$305,0),MATCH(TEXT(分析!$C176,"0"),銘柄管理!$B$6:$B$305,0))-1,0,1,14))*100,"")</f>
      </c>
      <c r="D176">
        <f>IFERROR((MAX(OFFSET(高値!$E$6,IFERROR(MATCH(分析!$C176,銘柄管理!$B$6:$B$305,0),MATCH(TEXT(分析!$C176,"0"),銘柄管理!$B$6:$B$305,0))-1,0,1,25))-MIN(OFFSET(安値!$E$6,IFERROR(MATCH(分析!$C176,銘柄管理!$B$6:$B$305,0),MATCH(TEXT(分析!$C176,"0"),銘柄管理!$B$6:$B$305,0))-1,0,1,25)))/分析!$E176*100,"")</f>
      </c>
      <c r="E176">
        <f>IFERROR((分析!$F176-分析!$G176)/分析!$G176*100,"")</f>
      </c>
      <c r="F176">
        <f>IFERROR((分析!$E176-MAX(OFFSET(高値!$E$6,IFERROR(MATCH(分析!$C176,銘柄管理!$B$6:$B$305,0),MATCH(TEXT(分析!$C176,"0"),銘柄管理!$B$6:$B$305,0))-1,0,1,25)))/MAX(OFFSET(高値!$E$6,IFERROR(MATCH(分析!$C176,銘柄管理!$B$6:$B$305,0),MATCH(TEXT(分析!$C176,"0"),銘柄管理!$B$6:$B$305,0))-1,0,1,25))*100,"")</f>
      </c>
      <c r="G176">
        <f>IFERROR((分析!$H176-分析!$I176)/分析!$F176*100,"")</f>
      </c>
      <c r="H176">
        <f>IFERROR(5-COUNTIF($C$3:$C$206,"&lt;"&amp;$C176)/COUNT($C$3:$C$206)-COUNTIF($G$3:$G$206,"&lt;"&amp;$G176)/COUNT($G$3:$G$206)-COUNTIF($D$3:$D$206,"&lt;"&amp;$D176)/COUNT($D$3:$D$206)-COUNTIF(分析!$Z$3:$Z$206,"&lt;"&amp;分析!$Z176)/COUNT(分析!$Z$3:$Z$206)-COUNTIF($E$3:$E$206,"&lt;"&amp;$E176)/COUNT($E$3:$E$206),"")</f>
      </c>
      <c r="I176">
        <f>IF(OR(A176="",A176="TOPX",C176="",H176=""),0,IF(AND(V811設定!$E$11=1,C176&lt;=V811設定!$E$3,D176&lt;=V811設定!$E$4,E176&lt;=V811設定!$E$5,分析!$Z176&lt;=V811設定!$E$6,分析!$Z176&gt;=V811設定!$E$7,F176&gt;=V811設定!$E$8,G176&lt;=V811設定!$E$9),1,0))</f>
      </c>
      <c r="J176">
        <f>IF(A176="","",IF(I176=1,"○ゲート通過",IF(V811設定!$E$11&lt;&gt;1,"― 停止中",IF(C176&gt;V811設定!$E$3,"×値動きが荒い",IF(D176&gt;V811設定!$E$4,"×レンジが広い",IF(E176&gt;V811設定!$E$5,"×窓を開けて上昇",IF(分析!$Z176&gt;V811設定!$E$6,"×前日に急騰",IF(分析!$Z176&lt;V811設定!$E$7,"×前日に急落",IF(F176&lt;V811設定!$E$8,"×高値から離れすぎ",IF(G176&gt;V811設定!$E$9,"×当日の値幅が大きい","×"))))))))))</f>
      </c>
      <c r="K176">
        <f>IF(売分析!$C176="","",売分析!$C176)</f>
      </c>
      <c r="L176">
        <f>IF(売分析!$C176="","",売分析!$D176)</f>
      </c>
      <c r="M176">
        <f>IFERROR((SUM(OFFSET(高値!$E$6,IFERROR(MATCH(売分析!$C176,銘柄管理!$B$6:$B$305,0),MATCH(TEXT(売分析!$C176,"0"),銘柄管理!$B$6:$B$305,0))-1,0,1,14))-SUM(OFFSET(安値!$E$6,IFERROR(MATCH(売分析!$C176,銘柄管理!$B$6:$B$305,0),MATCH(TEXT(売分析!$C176,"0"),銘柄管理!$B$6:$B$305,0))-1,0,1,14)))/SUM(OFFSET(終値!$E$6,IFERROR(MATCH(売分析!$C176,銘柄管理!$B$6:$B$305,0),MATCH(TEXT(売分析!$C176,"0"),銘柄管理!$B$6:$B$305,0))-1,0,1,14))*100,"")</f>
      </c>
      <c r="N176">
        <f>IFERROR((MAX(OFFSET(高値!$E$6,IFERROR(MATCH(売分析!$C176,銘柄管理!$B$6:$B$305,0),MATCH(TEXT(売分析!$C176,"0"),銘柄管理!$B$6:$B$305,0))-1,0,1,25))-MIN(OFFSET(安値!$E$6,IFERROR(MATCH(売分析!$C176,銘柄管理!$B$6:$B$305,0),MATCH(TEXT(売分析!$C176,"0"),銘柄管理!$B$6:$B$305,0))-1,0,1,25)))/売分析!$E176*100,"")</f>
      </c>
      <c r="O176">
        <f>IFERROR((売分析!$F176-売分析!$G176)/売分析!$G176*100,"")</f>
      </c>
      <c r="P176">
        <f>IFERROR((売分析!$E176-MAX(OFFSET(高値!$E$6,IFERROR(MATCH(売分析!$C176,銘柄管理!$B$6:$B$305,0),MATCH(TEXT(売分析!$C176,"0"),銘柄管理!$B$6:$B$305,0))-1,0,1,25)))/MAX(OFFSET(高値!$E$6,IFERROR(MATCH(売分析!$C176,銘柄管理!$B$6:$B$305,0),MATCH(TEXT(売分析!$C176,"0"),銘柄管理!$B$6:$B$305,0))-1,0,1,25))*100,"")</f>
      </c>
      <c r="Q176">
        <f>IFERROR((売分析!$H176-売分析!$I176)/売分析!$F176*100,"")</f>
      </c>
      <c r="R176">
        <f>IFERROR(5-COUNTIF($M$3:$M$206,"&lt;"&amp;$M176)/COUNT($M$3:$M$206)-COUNTIF($Q$3:$Q$206,"&lt;"&amp;$Q176)/COUNT($Q$3:$Q$206)-COUNTIF($N$3:$N$206,"&lt;"&amp;$N176)/COUNT($N$3:$N$206)-COUNTIF(売分析!$Z$3:$Z$206,"&lt;"&amp;売分析!$Z176)/COUNT(売分析!$Z$3:$Z$206)-COUNTIF($O$3:$O$206,"&lt;"&amp;$O176)/COUNT($O$3:$O$206),"")</f>
      </c>
      <c r="S176">
        <f>IF(OR(K176="",K176="TOPX",M176="",R176=""),0,IF(AND(V811設定!$E$12=1,M176&lt;=V811設定!$E$3,N176&lt;=V811設定!$E$4,O176&lt;=V811設定!$E$5,売分析!$Z176&lt;=V811設定!$E$6,売分析!$Z176&gt;=V811設定!$E$7,P176&gt;=V811設定!$E$8,Q176&lt;=V811設定!$E$9),1,0))</f>
      </c>
      <c r="T176">
        <f>IF(K176="","",IF(S176=1,"○ゲート通過",IF(V811設定!$E$12&lt;&gt;1,"― 停止中",IF(M176&gt;V811設定!$E$3,"×値動きが荒い",IF(N176&gt;V811設定!$E$4,"×レンジが広い",IF(O176&gt;V811設定!$E$5,"×窓を開けて上昇",IF(売分析!$Z176&gt;V811設定!$E$6,"×前日に急騰",IF(売分析!$Z176&lt;V811設定!$E$7,"×前日に急落",IF(P176&lt;V811設定!$E$8,"×高値から離れすぎ",IF(Q176&gt;V811設定!$E$9,"×当日の値幅が大きい","×"))))))))))</f>
      </c>
    </row>
    <row r="177" spans="1:20">
      <c r="A177">
        <f>IF(分析!$C177="","",分析!$C177)</f>
      </c>
      <c r="B177">
        <f>IF(分析!$C177="","",分析!$D177)</f>
      </c>
      <c r="C177">
        <f>IFERROR((SUM(OFFSET(高値!$E$6,IFERROR(MATCH(分析!$C177,銘柄管理!$B$6:$B$305,0),MATCH(TEXT(分析!$C177,"0"),銘柄管理!$B$6:$B$305,0))-1,0,1,14))-SUM(OFFSET(安値!$E$6,IFERROR(MATCH(分析!$C177,銘柄管理!$B$6:$B$305,0),MATCH(TEXT(分析!$C177,"0"),銘柄管理!$B$6:$B$305,0))-1,0,1,14)))/SUM(OFFSET(終値!$E$6,IFERROR(MATCH(分析!$C177,銘柄管理!$B$6:$B$305,0),MATCH(TEXT(分析!$C177,"0"),銘柄管理!$B$6:$B$305,0))-1,0,1,14))*100,"")</f>
      </c>
      <c r="D177">
        <f>IFERROR((MAX(OFFSET(高値!$E$6,IFERROR(MATCH(分析!$C177,銘柄管理!$B$6:$B$305,0),MATCH(TEXT(分析!$C177,"0"),銘柄管理!$B$6:$B$305,0))-1,0,1,25))-MIN(OFFSET(安値!$E$6,IFERROR(MATCH(分析!$C177,銘柄管理!$B$6:$B$305,0),MATCH(TEXT(分析!$C177,"0"),銘柄管理!$B$6:$B$305,0))-1,0,1,25)))/分析!$E177*100,"")</f>
      </c>
      <c r="E177">
        <f>IFERROR((分析!$F177-分析!$G177)/分析!$G177*100,"")</f>
      </c>
      <c r="F177">
        <f>IFERROR((分析!$E177-MAX(OFFSET(高値!$E$6,IFERROR(MATCH(分析!$C177,銘柄管理!$B$6:$B$305,0),MATCH(TEXT(分析!$C177,"0"),銘柄管理!$B$6:$B$305,0))-1,0,1,25)))/MAX(OFFSET(高値!$E$6,IFERROR(MATCH(分析!$C177,銘柄管理!$B$6:$B$305,0),MATCH(TEXT(分析!$C177,"0"),銘柄管理!$B$6:$B$305,0))-1,0,1,25))*100,"")</f>
      </c>
      <c r="G177">
        <f>IFERROR((分析!$H177-分析!$I177)/分析!$F177*100,"")</f>
      </c>
      <c r="H177">
        <f>IFERROR(5-COUNTIF($C$3:$C$206,"&lt;"&amp;$C177)/COUNT($C$3:$C$206)-COUNTIF($G$3:$G$206,"&lt;"&amp;$G177)/COUNT($G$3:$G$206)-COUNTIF($D$3:$D$206,"&lt;"&amp;$D177)/COUNT($D$3:$D$206)-COUNTIF(分析!$Z$3:$Z$206,"&lt;"&amp;分析!$Z177)/COUNT(分析!$Z$3:$Z$206)-COUNTIF($E$3:$E$206,"&lt;"&amp;$E177)/COUNT($E$3:$E$206),"")</f>
      </c>
      <c r="I177">
        <f>IF(OR(A177="",A177="TOPX",C177="",H177=""),0,IF(AND(V811設定!$E$11=1,C177&lt;=V811設定!$E$3,D177&lt;=V811設定!$E$4,E177&lt;=V811設定!$E$5,分析!$Z177&lt;=V811設定!$E$6,分析!$Z177&gt;=V811設定!$E$7,F177&gt;=V811設定!$E$8,G177&lt;=V811設定!$E$9),1,0))</f>
      </c>
      <c r="J177">
        <f>IF(A177="","",IF(I177=1,"○ゲート通過",IF(V811設定!$E$11&lt;&gt;1,"― 停止中",IF(C177&gt;V811設定!$E$3,"×値動きが荒い",IF(D177&gt;V811設定!$E$4,"×レンジが広い",IF(E177&gt;V811設定!$E$5,"×窓を開けて上昇",IF(分析!$Z177&gt;V811設定!$E$6,"×前日に急騰",IF(分析!$Z177&lt;V811設定!$E$7,"×前日に急落",IF(F177&lt;V811設定!$E$8,"×高値から離れすぎ",IF(G177&gt;V811設定!$E$9,"×当日の値幅が大きい","×"))))))))))</f>
      </c>
      <c r="K177">
        <f>IF(売分析!$C177="","",売分析!$C177)</f>
      </c>
      <c r="L177">
        <f>IF(売分析!$C177="","",売分析!$D177)</f>
      </c>
      <c r="M177">
        <f>IFERROR((SUM(OFFSET(高値!$E$6,IFERROR(MATCH(売分析!$C177,銘柄管理!$B$6:$B$305,0),MATCH(TEXT(売分析!$C177,"0"),銘柄管理!$B$6:$B$305,0))-1,0,1,14))-SUM(OFFSET(安値!$E$6,IFERROR(MATCH(売分析!$C177,銘柄管理!$B$6:$B$305,0),MATCH(TEXT(売分析!$C177,"0"),銘柄管理!$B$6:$B$305,0))-1,0,1,14)))/SUM(OFFSET(終値!$E$6,IFERROR(MATCH(売分析!$C177,銘柄管理!$B$6:$B$305,0),MATCH(TEXT(売分析!$C177,"0"),銘柄管理!$B$6:$B$305,0))-1,0,1,14))*100,"")</f>
      </c>
      <c r="N177">
        <f>IFERROR((MAX(OFFSET(高値!$E$6,IFERROR(MATCH(売分析!$C177,銘柄管理!$B$6:$B$305,0),MATCH(TEXT(売分析!$C177,"0"),銘柄管理!$B$6:$B$305,0))-1,0,1,25))-MIN(OFFSET(安値!$E$6,IFERROR(MATCH(売分析!$C177,銘柄管理!$B$6:$B$305,0),MATCH(TEXT(売分析!$C177,"0"),銘柄管理!$B$6:$B$305,0))-1,0,1,25)))/売分析!$E177*100,"")</f>
      </c>
      <c r="O177">
        <f>IFERROR((売分析!$F177-売分析!$G177)/売分析!$G177*100,"")</f>
      </c>
      <c r="P177">
        <f>IFERROR((売分析!$E177-MAX(OFFSET(高値!$E$6,IFERROR(MATCH(売分析!$C177,銘柄管理!$B$6:$B$305,0),MATCH(TEXT(売分析!$C177,"0"),銘柄管理!$B$6:$B$305,0))-1,0,1,25)))/MAX(OFFSET(高値!$E$6,IFERROR(MATCH(売分析!$C177,銘柄管理!$B$6:$B$305,0),MATCH(TEXT(売分析!$C177,"0"),銘柄管理!$B$6:$B$305,0))-1,0,1,25))*100,"")</f>
      </c>
      <c r="Q177">
        <f>IFERROR((売分析!$H177-売分析!$I177)/売分析!$F177*100,"")</f>
      </c>
      <c r="R177">
        <f>IFERROR(5-COUNTIF($M$3:$M$206,"&lt;"&amp;$M177)/COUNT($M$3:$M$206)-COUNTIF($Q$3:$Q$206,"&lt;"&amp;$Q177)/COUNT($Q$3:$Q$206)-COUNTIF($N$3:$N$206,"&lt;"&amp;$N177)/COUNT($N$3:$N$206)-COUNTIF(売分析!$Z$3:$Z$206,"&lt;"&amp;売分析!$Z177)/COUNT(売分析!$Z$3:$Z$206)-COUNTIF($O$3:$O$206,"&lt;"&amp;$O177)/COUNT($O$3:$O$206),"")</f>
      </c>
      <c r="S177">
        <f>IF(OR(K177="",K177="TOPX",M177="",R177=""),0,IF(AND(V811設定!$E$12=1,M177&lt;=V811設定!$E$3,N177&lt;=V811設定!$E$4,O177&lt;=V811設定!$E$5,売分析!$Z177&lt;=V811設定!$E$6,売分析!$Z177&gt;=V811設定!$E$7,P177&gt;=V811設定!$E$8,Q177&lt;=V811設定!$E$9),1,0))</f>
      </c>
      <c r="T177">
        <f>IF(K177="","",IF(S177=1,"○ゲート通過",IF(V811設定!$E$12&lt;&gt;1,"― 停止中",IF(M177&gt;V811設定!$E$3,"×値動きが荒い",IF(N177&gt;V811設定!$E$4,"×レンジが広い",IF(O177&gt;V811設定!$E$5,"×窓を開けて上昇",IF(売分析!$Z177&gt;V811設定!$E$6,"×前日に急騰",IF(売分析!$Z177&lt;V811設定!$E$7,"×前日に急落",IF(P177&lt;V811設定!$E$8,"×高値から離れすぎ",IF(Q177&gt;V811設定!$E$9,"×当日の値幅が大きい","×"))))))))))</f>
      </c>
    </row>
    <row r="178" spans="1:20">
      <c r="A178">
        <f>IF(分析!$C178="","",分析!$C178)</f>
      </c>
      <c r="B178">
        <f>IF(分析!$C178="","",分析!$D178)</f>
      </c>
      <c r="C178">
        <f>IFERROR((SUM(OFFSET(高値!$E$6,IFERROR(MATCH(分析!$C178,銘柄管理!$B$6:$B$305,0),MATCH(TEXT(分析!$C178,"0"),銘柄管理!$B$6:$B$305,0))-1,0,1,14))-SUM(OFFSET(安値!$E$6,IFERROR(MATCH(分析!$C178,銘柄管理!$B$6:$B$305,0),MATCH(TEXT(分析!$C178,"0"),銘柄管理!$B$6:$B$305,0))-1,0,1,14)))/SUM(OFFSET(終値!$E$6,IFERROR(MATCH(分析!$C178,銘柄管理!$B$6:$B$305,0),MATCH(TEXT(分析!$C178,"0"),銘柄管理!$B$6:$B$305,0))-1,0,1,14))*100,"")</f>
      </c>
      <c r="D178">
        <f>IFERROR((MAX(OFFSET(高値!$E$6,IFERROR(MATCH(分析!$C178,銘柄管理!$B$6:$B$305,0),MATCH(TEXT(分析!$C178,"0"),銘柄管理!$B$6:$B$305,0))-1,0,1,25))-MIN(OFFSET(安値!$E$6,IFERROR(MATCH(分析!$C178,銘柄管理!$B$6:$B$305,0),MATCH(TEXT(分析!$C178,"0"),銘柄管理!$B$6:$B$305,0))-1,0,1,25)))/分析!$E178*100,"")</f>
      </c>
      <c r="E178">
        <f>IFERROR((分析!$F178-分析!$G178)/分析!$G178*100,"")</f>
      </c>
      <c r="F178">
        <f>IFERROR((分析!$E178-MAX(OFFSET(高値!$E$6,IFERROR(MATCH(分析!$C178,銘柄管理!$B$6:$B$305,0),MATCH(TEXT(分析!$C178,"0"),銘柄管理!$B$6:$B$305,0))-1,0,1,25)))/MAX(OFFSET(高値!$E$6,IFERROR(MATCH(分析!$C178,銘柄管理!$B$6:$B$305,0),MATCH(TEXT(分析!$C178,"0"),銘柄管理!$B$6:$B$305,0))-1,0,1,25))*100,"")</f>
      </c>
      <c r="G178">
        <f>IFERROR((分析!$H178-分析!$I178)/分析!$F178*100,"")</f>
      </c>
      <c r="H178">
        <f>IFERROR(5-COUNTIF($C$3:$C$206,"&lt;"&amp;$C178)/COUNT($C$3:$C$206)-COUNTIF($G$3:$G$206,"&lt;"&amp;$G178)/COUNT($G$3:$G$206)-COUNTIF($D$3:$D$206,"&lt;"&amp;$D178)/COUNT($D$3:$D$206)-COUNTIF(分析!$Z$3:$Z$206,"&lt;"&amp;分析!$Z178)/COUNT(分析!$Z$3:$Z$206)-COUNTIF($E$3:$E$206,"&lt;"&amp;$E178)/COUNT($E$3:$E$206),"")</f>
      </c>
      <c r="I178">
        <f>IF(OR(A178="",A178="TOPX",C178="",H178=""),0,IF(AND(V811設定!$E$11=1,C178&lt;=V811設定!$E$3,D178&lt;=V811設定!$E$4,E178&lt;=V811設定!$E$5,分析!$Z178&lt;=V811設定!$E$6,分析!$Z178&gt;=V811設定!$E$7,F178&gt;=V811設定!$E$8,G178&lt;=V811設定!$E$9),1,0))</f>
      </c>
      <c r="J178">
        <f>IF(A178="","",IF(I178=1,"○ゲート通過",IF(V811設定!$E$11&lt;&gt;1,"― 停止中",IF(C178&gt;V811設定!$E$3,"×値動きが荒い",IF(D178&gt;V811設定!$E$4,"×レンジが広い",IF(E178&gt;V811設定!$E$5,"×窓を開けて上昇",IF(分析!$Z178&gt;V811設定!$E$6,"×前日に急騰",IF(分析!$Z178&lt;V811設定!$E$7,"×前日に急落",IF(F178&lt;V811設定!$E$8,"×高値から離れすぎ",IF(G178&gt;V811設定!$E$9,"×当日の値幅が大きい","×"))))))))))</f>
      </c>
      <c r="K178">
        <f>IF(売分析!$C178="","",売分析!$C178)</f>
      </c>
      <c r="L178">
        <f>IF(売分析!$C178="","",売分析!$D178)</f>
      </c>
      <c r="M178">
        <f>IFERROR((SUM(OFFSET(高値!$E$6,IFERROR(MATCH(売分析!$C178,銘柄管理!$B$6:$B$305,0),MATCH(TEXT(売分析!$C178,"0"),銘柄管理!$B$6:$B$305,0))-1,0,1,14))-SUM(OFFSET(安値!$E$6,IFERROR(MATCH(売分析!$C178,銘柄管理!$B$6:$B$305,0),MATCH(TEXT(売分析!$C178,"0"),銘柄管理!$B$6:$B$305,0))-1,0,1,14)))/SUM(OFFSET(終値!$E$6,IFERROR(MATCH(売分析!$C178,銘柄管理!$B$6:$B$305,0),MATCH(TEXT(売分析!$C178,"0"),銘柄管理!$B$6:$B$305,0))-1,0,1,14))*100,"")</f>
      </c>
      <c r="N178">
        <f>IFERROR((MAX(OFFSET(高値!$E$6,IFERROR(MATCH(売分析!$C178,銘柄管理!$B$6:$B$305,0),MATCH(TEXT(売分析!$C178,"0"),銘柄管理!$B$6:$B$305,0))-1,0,1,25))-MIN(OFFSET(安値!$E$6,IFERROR(MATCH(売分析!$C178,銘柄管理!$B$6:$B$305,0),MATCH(TEXT(売分析!$C178,"0"),銘柄管理!$B$6:$B$305,0))-1,0,1,25)))/売分析!$E178*100,"")</f>
      </c>
      <c r="O178">
        <f>IFERROR((売分析!$F178-売分析!$G178)/売分析!$G178*100,"")</f>
      </c>
      <c r="P178">
        <f>IFERROR((売分析!$E178-MAX(OFFSET(高値!$E$6,IFERROR(MATCH(売分析!$C178,銘柄管理!$B$6:$B$305,0),MATCH(TEXT(売分析!$C178,"0"),銘柄管理!$B$6:$B$305,0))-1,0,1,25)))/MAX(OFFSET(高値!$E$6,IFERROR(MATCH(売分析!$C178,銘柄管理!$B$6:$B$305,0),MATCH(TEXT(売分析!$C178,"0"),銘柄管理!$B$6:$B$305,0))-1,0,1,25))*100,"")</f>
      </c>
      <c r="Q178">
        <f>IFERROR((売分析!$H178-売分析!$I178)/売分析!$F178*100,"")</f>
      </c>
      <c r="R178">
        <f>IFERROR(5-COUNTIF($M$3:$M$206,"&lt;"&amp;$M178)/COUNT($M$3:$M$206)-COUNTIF($Q$3:$Q$206,"&lt;"&amp;$Q178)/COUNT($Q$3:$Q$206)-COUNTIF($N$3:$N$206,"&lt;"&amp;$N178)/COUNT($N$3:$N$206)-COUNTIF(売分析!$Z$3:$Z$206,"&lt;"&amp;売分析!$Z178)/COUNT(売分析!$Z$3:$Z$206)-COUNTIF($O$3:$O$206,"&lt;"&amp;$O178)/COUNT($O$3:$O$206),"")</f>
      </c>
      <c r="S178">
        <f>IF(OR(K178="",K178="TOPX",M178="",R178=""),0,IF(AND(V811設定!$E$12=1,M178&lt;=V811設定!$E$3,N178&lt;=V811設定!$E$4,O178&lt;=V811設定!$E$5,売分析!$Z178&lt;=V811設定!$E$6,売分析!$Z178&gt;=V811設定!$E$7,P178&gt;=V811設定!$E$8,Q178&lt;=V811設定!$E$9),1,0))</f>
      </c>
      <c r="T178">
        <f>IF(K178="","",IF(S178=1,"○ゲート通過",IF(V811設定!$E$12&lt;&gt;1,"― 停止中",IF(M178&gt;V811設定!$E$3,"×値動きが荒い",IF(N178&gt;V811設定!$E$4,"×レンジが広い",IF(O178&gt;V811設定!$E$5,"×窓を開けて上昇",IF(売分析!$Z178&gt;V811設定!$E$6,"×前日に急騰",IF(売分析!$Z178&lt;V811設定!$E$7,"×前日に急落",IF(P178&lt;V811設定!$E$8,"×高値から離れすぎ",IF(Q178&gt;V811設定!$E$9,"×当日の値幅が大きい","×"))))))))))</f>
      </c>
    </row>
    <row r="179" spans="1:20">
      <c r="A179">
        <f>IF(分析!$C179="","",分析!$C179)</f>
      </c>
      <c r="B179">
        <f>IF(分析!$C179="","",分析!$D179)</f>
      </c>
      <c r="C179">
        <f>IFERROR((SUM(OFFSET(高値!$E$6,IFERROR(MATCH(分析!$C179,銘柄管理!$B$6:$B$305,0),MATCH(TEXT(分析!$C179,"0"),銘柄管理!$B$6:$B$305,0))-1,0,1,14))-SUM(OFFSET(安値!$E$6,IFERROR(MATCH(分析!$C179,銘柄管理!$B$6:$B$305,0),MATCH(TEXT(分析!$C179,"0"),銘柄管理!$B$6:$B$305,0))-1,0,1,14)))/SUM(OFFSET(終値!$E$6,IFERROR(MATCH(分析!$C179,銘柄管理!$B$6:$B$305,0),MATCH(TEXT(分析!$C179,"0"),銘柄管理!$B$6:$B$305,0))-1,0,1,14))*100,"")</f>
      </c>
      <c r="D179">
        <f>IFERROR((MAX(OFFSET(高値!$E$6,IFERROR(MATCH(分析!$C179,銘柄管理!$B$6:$B$305,0),MATCH(TEXT(分析!$C179,"0"),銘柄管理!$B$6:$B$305,0))-1,0,1,25))-MIN(OFFSET(安値!$E$6,IFERROR(MATCH(分析!$C179,銘柄管理!$B$6:$B$305,0),MATCH(TEXT(分析!$C179,"0"),銘柄管理!$B$6:$B$305,0))-1,0,1,25)))/分析!$E179*100,"")</f>
      </c>
      <c r="E179">
        <f>IFERROR((分析!$F179-分析!$G179)/分析!$G179*100,"")</f>
      </c>
      <c r="F179">
        <f>IFERROR((分析!$E179-MAX(OFFSET(高値!$E$6,IFERROR(MATCH(分析!$C179,銘柄管理!$B$6:$B$305,0),MATCH(TEXT(分析!$C179,"0"),銘柄管理!$B$6:$B$305,0))-1,0,1,25)))/MAX(OFFSET(高値!$E$6,IFERROR(MATCH(分析!$C179,銘柄管理!$B$6:$B$305,0),MATCH(TEXT(分析!$C179,"0"),銘柄管理!$B$6:$B$305,0))-1,0,1,25))*100,"")</f>
      </c>
      <c r="G179">
        <f>IFERROR((分析!$H179-分析!$I179)/分析!$F179*100,"")</f>
      </c>
      <c r="H179">
        <f>IFERROR(5-COUNTIF($C$3:$C$206,"&lt;"&amp;$C179)/COUNT($C$3:$C$206)-COUNTIF($G$3:$G$206,"&lt;"&amp;$G179)/COUNT($G$3:$G$206)-COUNTIF($D$3:$D$206,"&lt;"&amp;$D179)/COUNT($D$3:$D$206)-COUNTIF(分析!$Z$3:$Z$206,"&lt;"&amp;分析!$Z179)/COUNT(分析!$Z$3:$Z$206)-COUNTIF($E$3:$E$206,"&lt;"&amp;$E179)/COUNT($E$3:$E$206),"")</f>
      </c>
      <c r="I179">
        <f>IF(OR(A179="",A179="TOPX",C179="",H179=""),0,IF(AND(V811設定!$E$11=1,C179&lt;=V811設定!$E$3,D179&lt;=V811設定!$E$4,E179&lt;=V811設定!$E$5,分析!$Z179&lt;=V811設定!$E$6,分析!$Z179&gt;=V811設定!$E$7,F179&gt;=V811設定!$E$8,G179&lt;=V811設定!$E$9),1,0))</f>
      </c>
      <c r="J179">
        <f>IF(A179="","",IF(I179=1,"○ゲート通過",IF(V811設定!$E$11&lt;&gt;1,"― 停止中",IF(C179&gt;V811設定!$E$3,"×値動きが荒い",IF(D179&gt;V811設定!$E$4,"×レンジが広い",IF(E179&gt;V811設定!$E$5,"×窓を開けて上昇",IF(分析!$Z179&gt;V811設定!$E$6,"×前日に急騰",IF(分析!$Z179&lt;V811設定!$E$7,"×前日に急落",IF(F179&lt;V811設定!$E$8,"×高値から離れすぎ",IF(G179&gt;V811設定!$E$9,"×当日の値幅が大きい","×"))))))))))</f>
      </c>
      <c r="K179">
        <f>IF(売分析!$C179="","",売分析!$C179)</f>
      </c>
      <c r="L179">
        <f>IF(売分析!$C179="","",売分析!$D179)</f>
      </c>
      <c r="M179">
        <f>IFERROR((SUM(OFFSET(高値!$E$6,IFERROR(MATCH(売分析!$C179,銘柄管理!$B$6:$B$305,0),MATCH(TEXT(売分析!$C179,"0"),銘柄管理!$B$6:$B$305,0))-1,0,1,14))-SUM(OFFSET(安値!$E$6,IFERROR(MATCH(売分析!$C179,銘柄管理!$B$6:$B$305,0),MATCH(TEXT(売分析!$C179,"0"),銘柄管理!$B$6:$B$305,0))-1,0,1,14)))/SUM(OFFSET(終値!$E$6,IFERROR(MATCH(売分析!$C179,銘柄管理!$B$6:$B$305,0),MATCH(TEXT(売分析!$C179,"0"),銘柄管理!$B$6:$B$305,0))-1,0,1,14))*100,"")</f>
      </c>
      <c r="N179">
        <f>IFERROR((MAX(OFFSET(高値!$E$6,IFERROR(MATCH(売分析!$C179,銘柄管理!$B$6:$B$305,0),MATCH(TEXT(売分析!$C179,"0"),銘柄管理!$B$6:$B$305,0))-1,0,1,25))-MIN(OFFSET(安値!$E$6,IFERROR(MATCH(売分析!$C179,銘柄管理!$B$6:$B$305,0),MATCH(TEXT(売分析!$C179,"0"),銘柄管理!$B$6:$B$305,0))-1,0,1,25)))/売分析!$E179*100,"")</f>
      </c>
      <c r="O179">
        <f>IFERROR((売分析!$F179-売分析!$G179)/売分析!$G179*100,"")</f>
      </c>
      <c r="P179">
        <f>IFERROR((売分析!$E179-MAX(OFFSET(高値!$E$6,IFERROR(MATCH(売分析!$C179,銘柄管理!$B$6:$B$305,0),MATCH(TEXT(売分析!$C179,"0"),銘柄管理!$B$6:$B$305,0))-1,0,1,25)))/MAX(OFFSET(高値!$E$6,IFERROR(MATCH(売分析!$C179,銘柄管理!$B$6:$B$305,0),MATCH(TEXT(売分析!$C179,"0"),銘柄管理!$B$6:$B$305,0))-1,0,1,25))*100,"")</f>
      </c>
      <c r="Q179">
        <f>IFERROR((売分析!$H179-売分析!$I179)/売分析!$F179*100,"")</f>
      </c>
      <c r="R179">
        <f>IFERROR(5-COUNTIF($M$3:$M$206,"&lt;"&amp;$M179)/COUNT($M$3:$M$206)-COUNTIF($Q$3:$Q$206,"&lt;"&amp;$Q179)/COUNT($Q$3:$Q$206)-COUNTIF($N$3:$N$206,"&lt;"&amp;$N179)/COUNT($N$3:$N$206)-COUNTIF(売分析!$Z$3:$Z$206,"&lt;"&amp;売分析!$Z179)/COUNT(売分析!$Z$3:$Z$206)-COUNTIF($O$3:$O$206,"&lt;"&amp;$O179)/COUNT($O$3:$O$206),"")</f>
      </c>
      <c r="S179">
        <f>IF(OR(K179="",K179="TOPX",M179="",R179=""),0,IF(AND(V811設定!$E$12=1,M179&lt;=V811設定!$E$3,N179&lt;=V811設定!$E$4,O179&lt;=V811設定!$E$5,売分析!$Z179&lt;=V811設定!$E$6,売分析!$Z179&gt;=V811設定!$E$7,P179&gt;=V811設定!$E$8,Q179&lt;=V811設定!$E$9),1,0))</f>
      </c>
      <c r="T179">
        <f>IF(K179="","",IF(S179=1,"○ゲート通過",IF(V811設定!$E$12&lt;&gt;1,"― 停止中",IF(M179&gt;V811設定!$E$3,"×値動きが荒い",IF(N179&gt;V811設定!$E$4,"×レンジが広い",IF(O179&gt;V811設定!$E$5,"×窓を開けて上昇",IF(売分析!$Z179&gt;V811設定!$E$6,"×前日に急騰",IF(売分析!$Z179&lt;V811設定!$E$7,"×前日に急落",IF(P179&lt;V811設定!$E$8,"×高値から離れすぎ",IF(Q179&gt;V811設定!$E$9,"×当日の値幅が大きい","×"))))))))))</f>
      </c>
    </row>
    <row r="180" spans="1:20">
      <c r="A180">
        <f>IF(分析!$C180="","",分析!$C180)</f>
      </c>
      <c r="B180">
        <f>IF(分析!$C180="","",分析!$D180)</f>
      </c>
      <c r="C180">
        <f>IFERROR((SUM(OFFSET(高値!$E$6,IFERROR(MATCH(分析!$C180,銘柄管理!$B$6:$B$305,0),MATCH(TEXT(分析!$C180,"0"),銘柄管理!$B$6:$B$305,0))-1,0,1,14))-SUM(OFFSET(安値!$E$6,IFERROR(MATCH(分析!$C180,銘柄管理!$B$6:$B$305,0),MATCH(TEXT(分析!$C180,"0"),銘柄管理!$B$6:$B$305,0))-1,0,1,14)))/SUM(OFFSET(終値!$E$6,IFERROR(MATCH(分析!$C180,銘柄管理!$B$6:$B$305,0),MATCH(TEXT(分析!$C180,"0"),銘柄管理!$B$6:$B$305,0))-1,0,1,14))*100,"")</f>
      </c>
      <c r="D180">
        <f>IFERROR((MAX(OFFSET(高値!$E$6,IFERROR(MATCH(分析!$C180,銘柄管理!$B$6:$B$305,0),MATCH(TEXT(分析!$C180,"0"),銘柄管理!$B$6:$B$305,0))-1,0,1,25))-MIN(OFFSET(安値!$E$6,IFERROR(MATCH(分析!$C180,銘柄管理!$B$6:$B$305,0),MATCH(TEXT(分析!$C180,"0"),銘柄管理!$B$6:$B$305,0))-1,0,1,25)))/分析!$E180*100,"")</f>
      </c>
      <c r="E180">
        <f>IFERROR((分析!$F180-分析!$G180)/分析!$G180*100,"")</f>
      </c>
      <c r="F180">
        <f>IFERROR((分析!$E180-MAX(OFFSET(高値!$E$6,IFERROR(MATCH(分析!$C180,銘柄管理!$B$6:$B$305,0),MATCH(TEXT(分析!$C180,"0"),銘柄管理!$B$6:$B$305,0))-1,0,1,25)))/MAX(OFFSET(高値!$E$6,IFERROR(MATCH(分析!$C180,銘柄管理!$B$6:$B$305,0),MATCH(TEXT(分析!$C180,"0"),銘柄管理!$B$6:$B$305,0))-1,0,1,25))*100,"")</f>
      </c>
      <c r="G180">
        <f>IFERROR((分析!$H180-分析!$I180)/分析!$F180*100,"")</f>
      </c>
      <c r="H180">
        <f>IFERROR(5-COUNTIF($C$3:$C$206,"&lt;"&amp;$C180)/COUNT($C$3:$C$206)-COUNTIF($G$3:$G$206,"&lt;"&amp;$G180)/COUNT($G$3:$G$206)-COUNTIF($D$3:$D$206,"&lt;"&amp;$D180)/COUNT($D$3:$D$206)-COUNTIF(分析!$Z$3:$Z$206,"&lt;"&amp;分析!$Z180)/COUNT(分析!$Z$3:$Z$206)-COUNTIF($E$3:$E$206,"&lt;"&amp;$E180)/COUNT($E$3:$E$206),"")</f>
      </c>
      <c r="I180">
        <f>IF(OR(A180="",A180="TOPX",C180="",H180=""),0,IF(AND(V811設定!$E$11=1,C180&lt;=V811設定!$E$3,D180&lt;=V811設定!$E$4,E180&lt;=V811設定!$E$5,分析!$Z180&lt;=V811設定!$E$6,分析!$Z180&gt;=V811設定!$E$7,F180&gt;=V811設定!$E$8,G180&lt;=V811設定!$E$9),1,0))</f>
      </c>
      <c r="J180">
        <f>IF(A180="","",IF(I180=1,"○ゲート通過",IF(V811設定!$E$11&lt;&gt;1,"― 停止中",IF(C180&gt;V811設定!$E$3,"×値動きが荒い",IF(D180&gt;V811設定!$E$4,"×レンジが広い",IF(E180&gt;V811設定!$E$5,"×窓を開けて上昇",IF(分析!$Z180&gt;V811設定!$E$6,"×前日に急騰",IF(分析!$Z180&lt;V811設定!$E$7,"×前日に急落",IF(F180&lt;V811設定!$E$8,"×高値から離れすぎ",IF(G180&gt;V811設定!$E$9,"×当日の値幅が大きい","×"))))))))))</f>
      </c>
      <c r="K180">
        <f>IF(売分析!$C180="","",売分析!$C180)</f>
      </c>
      <c r="L180">
        <f>IF(売分析!$C180="","",売分析!$D180)</f>
      </c>
      <c r="M180">
        <f>IFERROR((SUM(OFFSET(高値!$E$6,IFERROR(MATCH(売分析!$C180,銘柄管理!$B$6:$B$305,0),MATCH(TEXT(売分析!$C180,"0"),銘柄管理!$B$6:$B$305,0))-1,0,1,14))-SUM(OFFSET(安値!$E$6,IFERROR(MATCH(売分析!$C180,銘柄管理!$B$6:$B$305,0),MATCH(TEXT(売分析!$C180,"0"),銘柄管理!$B$6:$B$305,0))-1,0,1,14)))/SUM(OFFSET(終値!$E$6,IFERROR(MATCH(売分析!$C180,銘柄管理!$B$6:$B$305,0),MATCH(TEXT(売分析!$C180,"0"),銘柄管理!$B$6:$B$305,0))-1,0,1,14))*100,"")</f>
      </c>
      <c r="N180">
        <f>IFERROR((MAX(OFFSET(高値!$E$6,IFERROR(MATCH(売分析!$C180,銘柄管理!$B$6:$B$305,0),MATCH(TEXT(売分析!$C180,"0"),銘柄管理!$B$6:$B$305,0))-1,0,1,25))-MIN(OFFSET(安値!$E$6,IFERROR(MATCH(売分析!$C180,銘柄管理!$B$6:$B$305,0),MATCH(TEXT(売分析!$C180,"0"),銘柄管理!$B$6:$B$305,0))-1,0,1,25)))/売分析!$E180*100,"")</f>
      </c>
      <c r="O180">
        <f>IFERROR((売分析!$F180-売分析!$G180)/売分析!$G180*100,"")</f>
      </c>
      <c r="P180">
        <f>IFERROR((売分析!$E180-MAX(OFFSET(高値!$E$6,IFERROR(MATCH(売分析!$C180,銘柄管理!$B$6:$B$305,0),MATCH(TEXT(売分析!$C180,"0"),銘柄管理!$B$6:$B$305,0))-1,0,1,25)))/MAX(OFFSET(高値!$E$6,IFERROR(MATCH(売分析!$C180,銘柄管理!$B$6:$B$305,0),MATCH(TEXT(売分析!$C180,"0"),銘柄管理!$B$6:$B$305,0))-1,0,1,25))*100,"")</f>
      </c>
      <c r="Q180">
        <f>IFERROR((売分析!$H180-売分析!$I180)/売分析!$F180*100,"")</f>
      </c>
      <c r="R180">
        <f>IFERROR(5-COUNTIF($M$3:$M$206,"&lt;"&amp;$M180)/COUNT($M$3:$M$206)-COUNTIF($Q$3:$Q$206,"&lt;"&amp;$Q180)/COUNT($Q$3:$Q$206)-COUNTIF($N$3:$N$206,"&lt;"&amp;$N180)/COUNT($N$3:$N$206)-COUNTIF(売分析!$Z$3:$Z$206,"&lt;"&amp;売分析!$Z180)/COUNT(売分析!$Z$3:$Z$206)-COUNTIF($O$3:$O$206,"&lt;"&amp;$O180)/COUNT($O$3:$O$206),"")</f>
      </c>
      <c r="S180">
        <f>IF(OR(K180="",K180="TOPX",M180="",R180=""),0,IF(AND(V811設定!$E$12=1,M180&lt;=V811設定!$E$3,N180&lt;=V811設定!$E$4,O180&lt;=V811設定!$E$5,売分析!$Z180&lt;=V811設定!$E$6,売分析!$Z180&gt;=V811設定!$E$7,P180&gt;=V811設定!$E$8,Q180&lt;=V811設定!$E$9),1,0))</f>
      </c>
      <c r="T180">
        <f>IF(K180="","",IF(S180=1,"○ゲート通過",IF(V811設定!$E$12&lt;&gt;1,"― 停止中",IF(M180&gt;V811設定!$E$3,"×値動きが荒い",IF(N180&gt;V811設定!$E$4,"×レンジが広い",IF(O180&gt;V811設定!$E$5,"×窓を開けて上昇",IF(売分析!$Z180&gt;V811設定!$E$6,"×前日に急騰",IF(売分析!$Z180&lt;V811設定!$E$7,"×前日に急落",IF(P180&lt;V811設定!$E$8,"×高値から離れすぎ",IF(Q180&gt;V811設定!$E$9,"×当日の値幅が大きい","×"))))))))))</f>
      </c>
    </row>
    <row r="181" spans="1:20">
      <c r="A181">
        <f>IF(分析!$C181="","",分析!$C181)</f>
      </c>
      <c r="B181">
        <f>IF(分析!$C181="","",分析!$D181)</f>
      </c>
      <c r="C181">
        <f>IFERROR((SUM(OFFSET(高値!$E$6,IFERROR(MATCH(分析!$C181,銘柄管理!$B$6:$B$305,0),MATCH(TEXT(分析!$C181,"0"),銘柄管理!$B$6:$B$305,0))-1,0,1,14))-SUM(OFFSET(安値!$E$6,IFERROR(MATCH(分析!$C181,銘柄管理!$B$6:$B$305,0),MATCH(TEXT(分析!$C181,"0"),銘柄管理!$B$6:$B$305,0))-1,0,1,14)))/SUM(OFFSET(終値!$E$6,IFERROR(MATCH(分析!$C181,銘柄管理!$B$6:$B$305,0),MATCH(TEXT(分析!$C181,"0"),銘柄管理!$B$6:$B$305,0))-1,0,1,14))*100,"")</f>
      </c>
      <c r="D181">
        <f>IFERROR((MAX(OFFSET(高値!$E$6,IFERROR(MATCH(分析!$C181,銘柄管理!$B$6:$B$305,0),MATCH(TEXT(分析!$C181,"0"),銘柄管理!$B$6:$B$305,0))-1,0,1,25))-MIN(OFFSET(安値!$E$6,IFERROR(MATCH(分析!$C181,銘柄管理!$B$6:$B$305,0),MATCH(TEXT(分析!$C181,"0"),銘柄管理!$B$6:$B$305,0))-1,0,1,25)))/分析!$E181*100,"")</f>
      </c>
      <c r="E181">
        <f>IFERROR((分析!$F181-分析!$G181)/分析!$G181*100,"")</f>
      </c>
      <c r="F181">
        <f>IFERROR((分析!$E181-MAX(OFFSET(高値!$E$6,IFERROR(MATCH(分析!$C181,銘柄管理!$B$6:$B$305,0),MATCH(TEXT(分析!$C181,"0"),銘柄管理!$B$6:$B$305,0))-1,0,1,25)))/MAX(OFFSET(高値!$E$6,IFERROR(MATCH(分析!$C181,銘柄管理!$B$6:$B$305,0),MATCH(TEXT(分析!$C181,"0"),銘柄管理!$B$6:$B$305,0))-1,0,1,25))*100,"")</f>
      </c>
      <c r="G181">
        <f>IFERROR((分析!$H181-分析!$I181)/分析!$F181*100,"")</f>
      </c>
      <c r="H181">
        <f>IFERROR(5-COUNTIF($C$3:$C$206,"&lt;"&amp;$C181)/COUNT($C$3:$C$206)-COUNTIF($G$3:$G$206,"&lt;"&amp;$G181)/COUNT($G$3:$G$206)-COUNTIF($D$3:$D$206,"&lt;"&amp;$D181)/COUNT($D$3:$D$206)-COUNTIF(分析!$Z$3:$Z$206,"&lt;"&amp;分析!$Z181)/COUNT(分析!$Z$3:$Z$206)-COUNTIF($E$3:$E$206,"&lt;"&amp;$E181)/COUNT($E$3:$E$206),"")</f>
      </c>
      <c r="I181">
        <f>IF(OR(A181="",A181="TOPX",C181="",H181=""),0,IF(AND(V811設定!$E$11=1,C181&lt;=V811設定!$E$3,D181&lt;=V811設定!$E$4,E181&lt;=V811設定!$E$5,分析!$Z181&lt;=V811設定!$E$6,分析!$Z181&gt;=V811設定!$E$7,F181&gt;=V811設定!$E$8,G181&lt;=V811設定!$E$9),1,0))</f>
      </c>
      <c r="J181">
        <f>IF(A181="","",IF(I181=1,"○ゲート通過",IF(V811設定!$E$11&lt;&gt;1,"― 停止中",IF(C181&gt;V811設定!$E$3,"×値動きが荒い",IF(D181&gt;V811設定!$E$4,"×レンジが広い",IF(E181&gt;V811設定!$E$5,"×窓を開けて上昇",IF(分析!$Z181&gt;V811設定!$E$6,"×前日に急騰",IF(分析!$Z181&lt;V811設定!$E$7,"×前日に急落",IF(F181&lt;V811設定!$E$8,"×高値から離れすぎ",IF(G181&gt;V811設定!$E$9,"×当日の値幅が大きい","×"))))))))))</f>
      </c>
      <c r="K181">
        <f>IF(売分析!$C181="","",売分析!$C181)</f>
      </c>
      <c r="L181">
        <f>IF(売分析!$C181="","",売分析!$D181)</f>
      </c>
      <c r="M181">
        <f>IFERROR((SUM(OFFSET(高値!$E$6,IFERROR(MATCH(売分析!$C181,銘柄管理!$B$6:$B$305,0),MATCH(TEXT(売分析!$C181,"0"),銘柄管理!$B$6:$B$305,0))-1,0,1,14))-SUM(OFFSET(安値!$E$6,IFERROR(MATCH(売分析!$C181,銘柄管理!$B$6:$B$305,0),MATCH(TEXT(売分析!$C181,"0"),銘柄管理!$B$6:$B$305,0))-1,0,1,14)))/SUM(OFFSET(終値!$E$6,IFERROR(MATCH(売分析!$C181,銘柄管理!$B$6:$B$305,0),MATCH(TEXT(売分析!$C181,"0"),銘柄管理!$B$6:$B$305,0))-1,0,1,14))*100,"")</f>
      </c>
      <c r="N181">
        <f>IFERROR((MAX(OFFSET(高値!$E$6,IFERROR(MATCH(売分析!$C181,銘柄管理!$B$6:$B$305,0),MATCH(TEXT(売分析!$C181,"0"),銘柄管理!$B$6:$B$305,0))-1,0,1,25))-MIN(OFFSET(安値!$E$6,IFERROR(MATCH(売分析!$C181,銘柄管理!$B$6:$B$305,0),MATCH(TEXT(売分析!$C181,"0"),銘柄管理!$B$6:$B$305,0))-1,0,1,25)))/売分析!$E181*100,"")</f>
      </c>
      <c r="O181">
        <f>IFERROR((売分析!$F181-売分析!$G181)/売分析!$G181*100,"")</f>
      </c>
      <c r="P181">
        <f>IFERROR((売分析!$E181-MAX(OFFSET(高値!$E$6,IFERROR(MATCH(売分析!$C181,銘柄管理!$B$6:$B$305,0),MATCH(TEXT(売分析!$C181,"0"),銘柄管理!$B$6:$B$305,0))-1,0,1,25)))/MAX(OFFSET(高値!$E$6,IFERROR(MATCH(売分析!$C181,銘柄管理!$B$6:$B$305,0),MATCH(TEXT(売分析!$C181,"0"),銘柄管理!$B$6:$B$305,0))-1,0,1,25))*100,"")</f>
      </c>
      <c r="Q181">
        <f>IFERROR((売分析!$H181-売分析!$I181)/売分析!$F181*100,"")</f>
      </c>
      <c r="R181">
        <f>IFERROR(5-COUNTIF($M$3:$M$206,"&lt;"&amp;$M181)/COUNT($M$3:$M$206)-COUNTIF($Q$3:$Q$206,"&lt;"&amp;$Q181)/COUNT($Q$3:$Q$206)-COUNTIF($N$3:$N$206,"&lt;"&amp;$N181)/COUNT($N$3:$N$206)-COUNTIF(売分析!$Z$3:$Z$206,"&lt;"&amp;売分析!$Z181)/COUNT(売分析!$Z$3:$Z$206)-COUNTIF($O$3:$O$206,"&lt;"&amp;$O181)/COUNT($O$3:$O$206),"")</f>
      </c>
      <c r="S181">
        <f>IF(OR(K181="",K181="TOPX",M181="",R181=""),0,IF(AND(V811設定!$E$12=1,M181&lt;=V811設定!$E$3,N181&lt;=V811設定!$E$4,O181&lt;=V811設定!$E$5,売分析!$Z181&lt;=V811設定!$E$6,売分析!$Z181&gt;=V811設定!$E$7,P181&gt;=V811設定!$E$8,Q181&lt;=V811設定!$E$9),1,0))</f>
      </c>
      <c r="T181">
        <f>IF(K181="","",IF(S181=1,"○ゲート通過",IF(V811設定!$E$12&lt;&gt;1,"― 停止中",IF(M181&gt;V811設定!$E$3,"×値動きが荒い",IF(N181&gt;V811設定!$E$4,"×レンジが広い",IF(O181&gt;V811設定!$E$5,"×窓を開けて上昇",IF(売分析!$Z181&gt;V811設定!$E$6,"×前日に急騰",IF(売分析!$Z181&lt;V811設定!$E$7,"×前日に急落",IF(P181&lt;V811設定!$E$8,"×高値から離れすぎ",IF(Q181&gt;V811設定!$E$9,"×当日の値幅が大きい","×"))))))))))</f>
      </c>
    </row>
    <row r="182" spans="1:20">
      <c r="A182">
        <f>IF(分析!$C182="","",分析!$C182)</f>
      </c>
      <c r="B182">
        <f>IF(分析!$C182="","",分析!$D182)</f>
      </c>
      <c r="C182">
        <f>IFERROR((SUM(OFFSET(高値!$E$6,IFERROR(MATCH(分析!$C182,銘柄管理!$B$6:$B$305,0),MATCH(TEXT(分析!$C182,"0"),銘柄管理!$B$6:$B$305,0))-1,0,1,14))-SUM(OFFSET(安値!$E$6,IFERROR(MATCH(分析!$C182,銘柄管理!$B$6:$B$305,0),MATCH(TEXT(分析!$C182,"0"),銘柄管理!$B$6:$B$305,0))-1,0,1,14)))/SUM(OFFSET(終値!$E$6,IFERROR(MATCH(分析!$C182,銘柄管理!$B$6:$B$305,0),MATCH(TEXT(分析!$C182,"0"),銘柄管理!$B$6:$B$305,0))-1,0,1,14))*100,"")</f>
      </c>
      <c r="D182">
        <f>IFERROR((MAX(OFFSET(高値!$E$6,IFERROR(MATCH(分析!$C182,銘柄管理!$B$6:$B$305,0),MATCH(TEXT(分析!$C182,"0"),銘柄管理!$B$6:$B$305,0))-1,0,1,25))-MIN(OFFSET(安値!$E$6,IFERROR(MATCH(分析!$C182,銘柄管理!$B$6:$B$305,0),MATCH(TEXT(分析!$C182,"0"),銘柄管理!$B$6:$B$305,0))-1,0,1,25)))/分析!$E182*100,"")</f>
      </c>
      <c r="E182">
        <f>IFERROR((分析!$F182-分析!$G182)/分析!$G182*100,"")</f>
      </c>
      <c r="F182">
        <f>IFERROR((分析!$E182-MAX(OFFSET(高値!$E$6,IFERROR(MATCH(分析!$C182,銘柄管理!$B$6:$B$305,0),MATCH(TEXT(分析!$C182,"0"),銘柄管理!$B$6:$B$305,0))-1,0,1,25)))/MAX(OFFSET(高値!$E$6,IFERROR(MATCH(分析!$C182,銘柄管理!$B$6:$B$305,0),MATCH(TEXT(分析!$C182,"0"),銘柄管理!$B$6:$B$305,0))-1,0,1,25))*100,"")</f>
      </c>
      <c r="G182">
        <f>IFERROR((分析!$H182-分析!$I182)/分析!$F182*100,"")</f>
      </c>
      <c r="H182">
        <f>IFERROR(5-COUNTIF($C$3:$C$206,"&lt;"&amp;$C182)/COUNT($C$3:$C$206)-COUNTIF($G$3:$G$206,"&lt;"&amp;$G182)/COUNT($G$3:$G$206)-COUNTIF($D$3:$D$206,"&lt;"&amp;$D182)/COUNT($D$3:$D$206)-COUNTIF(分析!$Z$3:$Z$206,"&lt;"&amp;分析!$Z182)/COUNT(分析!$Z$3:$Z$206)-COUNTIF($E$3:$E$206,"&lt;"&amp;$E182)/COUNT($E$3:$E$206),"")</f>
      </c>
      <c r="I182">
        <f>IF(OR(A182="",A182="TOPX",C182="",H182=""),0,IF(AND(V811設定!$E$11=1,C182&lt;=V811設定!$E$3,D182&lt;=V811設定!$E$4,E182&lt;=V811設定!$E$5,分析!$Z182&lt;=V811設定!$E$6,分析!$Z182&gt;=V811設定!$E$7,F182&gt;=V811設定!$E$8,G182&lt;=V811設定!$E$9),1,0))</f>
      </c>
      <c r="J182">
        <f>IF(A182="","",IF(I182=1,"○ゲート通過",IF(V811設定!$E$11&lt;&gt;1,"― 停止中",IF(C182&gt;V811設定!$E$3,"×値動きが荒い",IF(D182&gt;V811設定!$E$4,"×レンジが広い",IF(E182&gt;V811設定!$E$5,"×窓を開けて上昇",IF(分析!$Z182&gt;V811設定!$E$6,"×前日に急騰",IF(分析!$Z182&lt;V811設定!$E$7,"×前日に急落",IF(F182&lt;V811設定!$E$8,"×高値から離れすぎ",IF(G182&gt;V811設定!$E$9,"×当日の値幅が大きい","×"))))))))))</f>
      </c>
      <c r="K182">
        <f>IF(売分析!$C182="","",売分析!$C182)</f>
      </c>
      <c r="L182">
        <f>IF(売分析!$C182="","",売分析!$D182)</f>
      </c>
      <c r="M182">
        <f>IFERROR((SUM(OFFSET(高値!$E$6,IFERROR(MATCH(売分析!$C182,銘柄管理!$B$6:$B$305,0),MATCH(TEXT(売分析!$C182,"0"),銘柄管理!$B$6:$B$305,0))-1,0,1,14))-SUM(OFFSET(安値!$E$6,IFERROR(MATCH(売分析!$C182,銘柄管理!$B$6:$B$305,0),MATCH(TEXT(売分析!$C182,"0"),銘柄管理!$B$6:$B$305,0))-1,0,1,14)))/SUM(OFFSET(終値!$E$6,IFERROR(MATCH(売分析!$C182,銘柄管理!$B$6:$B$305,0),MATCH(TEXT(売分析!$C182,"0"),銘柄管理!$B$6:$B$305,0))-1,0,1,14))*100,"")</f>
      </c>
      <c r="N182">
        <f>IFERROR((MAX(OFFSET(高値!$E$6,IFERROR(MATCH(売分析!$C182,銘柄管理!$B$6:$B$305,0),MATCH(TEXT(売分析!$C182,"0"),銘柄管理!$B$6:$B$305,0))-1,0,1,25))-MIN(OFFSET(安値!$E$6,IFERROR(MATCH(売分析!$C182,銘柄管理!$B$6:$B$305,0),MATCH(TEXT(売分析!$C182,"0"),銘柄管理!$B$6:$B$305,0))-1,0,1,25)))/売分析!$E182*100,"")</f>
      </c>
      <c r="O182">
        <f>IFERROR((売分析!$F182-売分析!$G182)/売分析!$G182*100,"")</f>
      </c>
      <c r="P182">
        <f>IFERROR((売分析!$E182-MAX(OFFSET(高値!$E$6,IFERROR(MATCH(売分析!$C182,銘柄管理!$B$6:$B$305,0),MATCH(TEXT(売分析!$C182,"0"),銘柄管理!$B$6:$B$305,0))-1,0,1,25)))/MAX(OFFSET(高値!$E$6,IFERROR(MATCH(売分析!$C182,銘柄管理!$B$6:$B$305,0),MATCH(TEXT(売分析!$C182,"0"),銘柄管理!$B$6:$B$305,0))-1,0,1,25))*100,"")</f>
      </c>
      <c r="Q182">
        <f>IFERROR((売分析!$H182-売分析!$I182)/売分析!$F182*100,"")</f>
      </c>
      <c r="R182">
        <f>IFERROR(5-COUNTIF($M$3:$M$206,"&lt;"&amp;$M182)/COUNT($M$3:$M$206)-COUNTIF($Q$3:$Q$206,"&lt;"&amp;$Q182)/COUNT($Q$3:$Q$206)-COUNTIF($N$3:$N$206,"&lt;"&amp;$N182)/COUNT($N$3:$N$206)-COUNTIF(売分析!$Z$3:$Z$206,"&lt;"&amp;売分析!$Z182)/COUNT(売分析!$Z$3:$Z$206)-COUNTIF($O$3:$O$206,"&lt;"&amp;$O182)/COUNT($O$3:$O$206),"")</f>
      </c>
      <c r="S182">
        <f>IF(OR(K182="",K182="TOPX",M182="",R182=""),0,IF(AND(V811設定!$E$12=1,M182&lt;=V811設定!$E$3,N182&lt;=V811設定!$E$4,O182&lt;=V811設定!$E$5,売分析!$Z182&lt;=V811設定!$E$6,売分析!$Z182&gt;=V811設定!$E$7,P182&gt;=V811設定!$E$8,Q182&lt;=V811設定!$E$9),1,0))</f>
      </c>
      <c r="T182">
        <f>IF(K182="","",IF(S182=1,"○ゲート通過",IF(V811設定!$E$12&lt;&gt;1,"― 停止中",IF(M182&gt;V811設定!$E$3,"×値動きが荒い",IF(N182&gt;V811設定!$E$4,"×レンジが広い",IF(O182&gt;V811設定!$E$5,"×窓を開けて上昇",IF(売分析!$Z182&gt;V811設定!$E$6,"×前日に急騰",IF(売分析!$Z182&lt;V811設定!$E$7,"×前日に急落",IF(P182&lt;V811設定!$E$8,"×高値から離れすぎ",IF(Q182&gt;V811設定!$E$9,"×当日の値幅が大きい","×"))))))))))</f>
      </c>
    </row>
    <row r="183" spans="1:20">
      <c r="A183">
        <f>IF(分析!$C183="","",分析!$C183)</f>
      </c>
      <c r="B183">
        <f>IF(分析!$C183="","",分析!$D183)</f>
      </c>
      <c r="C183">
        <f>IFERROR((SUM(OFFSET(高値!$E$6,IFERROR(MATCH(分析!$C183,銘柄管理!$B$6:$B$305,0),MATCH(TEXT(分析!$C183,"0"),銘柄管理!$B$6:$B$305,0))-1,0,1,14))-SUM(OFFSET(安値!$E$6,IFERROR(MATCH(分析!$C183,銘柄管理!$B$6:$B$305,0),MATCH(TEXT(分析!$C183,"0"),銘柄管理!$B$6:$B$305,0))-1,0,1,14)))/SUM(OFFSET(終値!$E$6,IFERROR(MATCH(分析!$C183,銘柄管理!$B$6:$B$305,0),MATCH(TEXT(分析!$C183,"0"),銘柄管理!$B$6:$B$305,0))-1,0,1,14))*100,"")</f>
      </c>
      <c r="D183">
        <f>IFERROR((MAX(OFFSET(高値!$E$6,IFERROR(MATCH(分析!$C183,銘柄管理!$B$6:$B$305,0),MATCH(TEXT(分析!$C183,"0"),銘柄管理!$B$6:$B$305,0))-1,0,1,25))-MIN(OFFSET(安値!$E$6,IFERROR(MATCH(分析!$C183,銘柄管理!$B$6:$B$305,0),MATCH(TEXT(分析!$C183,"0"),銘柄管理!$B$6:$B$305,0))-1,0,1,25)))/分析!$E183*100,"")</f>
      </c>
      <c r="E183">
        <f>IFERROR((分析!$F183-分析!$G183)/分析!$G183*100,"")</f>
      </c>
      <c r="F183">
        <f>IFERROR((分析!$E183-MAX(OFFSET(高値!$E$6,IFERROR(MATCH(分析!$C183,銘柄管理!$B$6:$B$305,0),MATCH(TEXT(分析!$C183,"0"),銘柄管理!$B$6:$B$305,0))-1,0,1,25)))/MAX(OFFSET(高値!$E$6,IFERROR(MATCH(分析!$C183,銘柄管理!$B$6:$B$305,0),MATCH(TEXT(分析!$C183,"0"),銘柄管理!$B$6:$B$305,0))-1,0,1,25))*100,"")</f>
      </c>
      <c r="G183">
        <f>IFERROR((分析!$H183-分析!$I183)/分析!$F183*100,"")</f>
      </c>
      <c r="H183">
        <f>IFERROR(5-COUNTIF($C$3:$C$206,"&lt;"&amp;$C183)/COUNT($C$3:$C$206)-COUNTIF($G$3:$G$206,"&lt;"&amp;$G183)/COUNT($G$3:$G$206)-COUNTIF($D$3:$D$206,"&lt;"&amp;$D183)/COUNT($D$3:$D$206)-COUNTIF(分析!$Z$3:$Z$206,"&lt;"&amp;分析!$Z183)/COUNT(分析!$Z$3:$Z$206)-COUNTIF($E$3:$E$206,"&lt;"&amp;$E183)/COUNT($E$3:$E$206),"")</f>
      </c>
      <c r="I183">
        <f>IF(OR(A183="",A183="TOPX",C183="",H183=""),0,IF(AND(V811設定!$E$11=1,C183&lt;=V811設定!$E$3,D183&lt;=V811設定!$E$4,E183&lt;=V811設定!$E$5,分析!$Z183&lt;=V811設定!$E$6,分析!$Z183&gt;=V811設定!$E$7,F183&gt;=V811設定!$E$8,G183&lt;=V811設定!$E$9),1,0))</f>
      </c>
      <c r="J183">
        <f>IF(A183="","",IF(I183=1,"○ゲート通過",IF(V811設定!$E$11&lt;&gt;1,"― 停止中",IF(C183&gt;V811設定!$E$3,"×値動きが荒い",IF(D183&gt;V811設定!$E$4,"×レンジが広い",IF(E183&gt;V811設定!$E$5,"×窓を開けて上昇",IF(分析!$Z183&gt;V811設定!$E$6,"×前日に急騰",IF(分析!$Z183&lt;V811設定!$E$7,"×前日に急落",IF(F183&lt;V811設定!$E$8,"×高値から離れすぎ",IF(G183&gt;V811設定!$E$9,"×当日の値幅が大きい","×"))))))))))</f>
      </c>
      <c r="K183">
        <f>IF(売分析!$C183="","",売分析!$C183)</f>
      </c>
      <c r="L183">
        <f>IF(売分析!$C183="","",売分析!$D183)</f>
      </c>
      <c r="M183">
        <f>IFERROR((SUM(OFFSET(高値!$E$6,IFERROR(MATCH(売分析!$C183,銘柄管理!$B$6:$B$305,0),MATCH(TEXT(売分析!$C183,"0"),銘柄管理!$B$6:$B$305,0))-1,0,1,14))-SUM(OFFSET(安値!$E$6,IFERROR(MATCH(売分析!$C183,銘柄管理!$B$6:$B$305,0),MATCH(TEXT(売分析!$C183,"0"),銘柄管理!$B$6:$B$305,0))-1,0,1,14)))/SUM(OFFSET(終値!$E$6,IFERROR(MATCH(売分析!$C183,銘柄管理!$B$6:$B$305,0),MATCH(TEXT(売分析!$C183,"0"),銘柄管理!$B$6:$B$305,0))-1,0,1,14))*100,"")</f>
      </c>
      <c r="N183">
        <f>IFERROR((MAX(OFFSET(高値!$E$6,IFERROR(MATCH(売分析!$C183,銘柄管理!$B$6:$B$305,0),MATCH(TEXT(売分析!$C183,"0"),銘柄管理!$B$6:$B$305,0))-1,0,1,25))-MIN(OFFSET(安値!$E$6,IFERROR(MATCH(売分析!$C183,銘柄管理!$B$6:$B$305,0),MATCH(TEXT(売分析!$C183,"0"),銘柄管理!$B$6:$B$305,0))-1,0,1,25)))/売分析!$E183*100,"")</f>
      </c>
      <c r="O183">
        <f>IFERROR((売分析!$F183-売分析!$G183)/売分析!$G183*100,"")</f>
      </c>
      <c r="P183">
        <f>IFERROR((売分析!$E183-MAX(OFFSET(高値!$E$6,IFERROR(MATCH(売分析!$C183,銘柄管理!$B$6:$B$305,0),MATCH(TEXT(売分析!$C183,"0"),銘柄管理!$B$6:$B$305,0))-1,0,1,25)))/MAX(OFFSET(高値!$E$6,IFERROR(MATCH(売分析!$C183,銘柄管理!$B$6:$B$305,0),MATCH(TEXT(売分析!$C183,"0"),銘柄管理!$B$6:$B$305,0))-1,0,1,25))*100,"")</f>
      </c>
      <c r="Q183">
        <f>IFERROR((売分析!$H183-売分析!$I183)/売分析!$F183*100,"")</f>
      </c>
      <c r="R183">
        <f>IFERROR(5-COUNTIF($M$3:$M$206,"&lt;"&amp;$M183)/COUNT($M$3:$M$206)-COUNTIF($Q$3:$Q$206,"&lt;"&amp;$Q183)/COUNT($Q$3:$Q$206)-COUNTIF($N$3:$N$206,"&lt;"&amp;$N183)/COUNT($N$3:$N$206)-COUNTIF(売分析!$Z$3:$Z$206,"&lt;"&amp;売分析!$Z183)/COUNT(売分析!$Z$3:$Z$206)-COUNTIF($O$3:$O$206,"&lt;"&amp;$O183)/COUNT($O$3:$O$206),"")</f>
      </c>
      <c r="S183">
        <f>IF(OR(K183="",K183="TOPX",M183="",R183=""),0,IF(AND(V811設定!$E$12=1,M183&lt;=V811設定!$E$3,N183&lt;=V811設定!$E$4,O183&lt;=V811設定!$E$5,売分析!$Z183&lt;=V811設定!$E$6,売分析!$Z183&gt;=V811設定!$E$7,P183&gt;=V811設定!$E$8,Q183&lt;=V811設定!$E$9),1,0))</f>
      </c>
      <c r="T183">
        <f>IF(K183="","",IF(S183=1,"○ゲート通過",IF(V811設定!$E$12&lt;&gt;1,"― 停止中",IF(M183&gt;V811設定!$E$3,"×値動きが荒い",IF(N183&gt;V811設定!$E$4,"×レンジが広い",IF(O183&gt;V811設定!$E$5,"×窓を開けて上昇",IF(売分析!$Z183&gt;V811設定!$E$6,"×前日に急騰",IF(売分析!$Z183&lt;V811設定!$E$7,"×前日に急落",IF(P183&lt;V811設定!$E$8,"×高値から離れすぎ",IF(Q183&gt;V811設定!$E$9,"×当日の値幅が大きい","×"))))))))))</f>
      </c>
    </row>
    <row r="184" spans="1:20">
      <c r="A184">
        <f>IF(分析!$C184="","",分析!$C184)</f>
      </c>
      <c r="B184">
        <f>IF(分析!$C184="","",分析!$D184)</f>
      </c>
      <c r="C184">
        <f>IFERROR((SUM(OFFSET(高値!$E$6,IFERROR(MATCH(分析!$C184,銘柄管理!$B$6:$B$305,0),MATCH(TEXT(分析!$C184,"0"),銘柄管理!$B$6:$B$305,0))-1,0,1,14))-SUM(OFFSET(安値!$E$6,IFERROR(MATCH(分析!$C184,銘柄管理!$B$6:$B$305,0),MATCH(TEXT(分析!$C184,"0"),銘柄管理!$B$6:$B$305,0))-1,0,1,14)))/SUM(OFFSET(終値!$E$6,IFERROR(MATCH(分析!$C184,銘柄管理!$B$6:$B$305,0),MATCH(TEXT(分析!$C184,"0"),銘柄管理!$B$6:$B$305,0))-1,0,1,14))*100,"")</f>
      </c>
      <c r="D184">
        <f>IFERROR((MAX(OFFSET(高値!$E$6,IFERROR(MATCH(分析!$C184,銘柄管理!$B$6:$B$305,0),MATCH(TEXT(分析!$C184,"0"),銘柄管理!$B$6:$B$305,0))-1,0,1,25))-MIN(OFFSET(安値!$E$6,IFERROR(MATCH(分析!$C184,銘柄管理!$B$6:$B$305,0),MATCH(TEXT(分析!$C184,"0"),銘柄管理!$B$6:$B$305,0))-1,0,1,25)))/分析!$E184*100,"")</f>
      </c>
      <c r="E184">
        <f>IFERROR((分析!$F184-分析!$G184)/分析!$G184*100,"")</f>
      </c>
      <c r="F184">
        <f>IFERROR((分析!$E184-MAX(OFFSET(高値!$E$6,IFERROR(MATCH(分析!$C184,銘柄管理!$B$6:$B$305,0),MATCH(TEXT(分析!$C184,"0"),銘柄管理!$B$6:$B$305,0))-1,0,1,25)))/MAX(OFFSET(高値!$E$6,IFERROR(MATCH(分析!$C184,銘柄管理!$B$6:$B$305,0),MATCH(TEXT(分析!$C184,"0"),銘柄管理!$B$6:$B$305,0))-1,0,1,25))*100,"")</f>
      </c>
      <c r="G184">
        <f>IFERROR((分析!$H184-分析!$I184)/分析!$F184*100,"")</f>
      </c>
      <c r="H184">
        <f>IFERROR(5-COUNTIF($C$3:$C$206,"&lt;"&amp;$C184)/COUNT($C$3:$C$206)-COUNTIF($G$3:$G$206,"&lt;"&amp;$G184)/COUNT($G$3:$G$206)-COUNTIF($D$3:$D$206,"&lt;"&amp;$D184)/COUNT($D$3:$D$206)-COUNTIF(分析!$Z$3:$Z$206,"&lt;"&amp;分析!$Z184)/COUNT(分析!$Z$3:$Z$206)-COUNTIF($E$3:$E$206,"&lt;"&amp;$E184)/COUNT($E$3:$E$206),"")</f>
      </c>
      <c r="I184">
        <f>IF(OR(A184="",A184="TOPX",C184="",H184=""),0,IF(AND(V811設定!$E$11=1,C184&lt;=V811設定!$E$3,D184&lt;=V811設定!$E$4,E184&lt;=V811設定!$E$5,分析!$Z184&lt;=V811設定!$E$6,分析!$Z184&gt;=V811設定!$E$7,F184&gt;=V811設定!$E$8,G184&lt;=V811設定!$E$9),1,0))</f>
      </c>
      <c r="J184">
        <f>IF(A184="","",IF(I184=1,"○ゲート通過",IF(V811設定!$E$11&lt;&gt;1,"― 停止中",IF(C184&gt;V811設定!$E$3,"×値動きが荒い",IF(D184&gt;V811設定!$E$4,"×レンジが広い",IF(E184&gt;V811設定!$E$5,"×窓を開けて上昇",IF(分析!$Z184&gt;V811設定!$E$6,"×前日に急騰",IF(分析!$Z184&lt;V811設定!$E$7,"×前日に急落",IF(F184&lt;V811設定!$E$8,"×高値から離れすぎ",IF(G184&gt;V811設定!$E$9,"×当日の値幅が大きい","×"))))))))))</f>
      </c>
      <c r="K184">
        <f>IF(売分析!$C184="","",売分析!$C184)</f>
      </c>
      <c r="L184">
        <f>IF(売分析!$C184="","",売分析!$D184)</f>
      </c>
      <c r="M184">
        <f>IFERROR((SUM(OFFSET(高値!$E$6,IFERROR(MATCH(売分析!$C184,銘柄管理!$B$6:$B$305,0),MATCH(TEXT(売分析!$C184,"0"),銘柄管理!$B$6:$B$305,0))-1,0,1,14))-SUM(OFFSET(安値!$E$6,IFERROR(MATCH(売分析!$C184,銘柄管理!$B$6:$B$305,0),MATCH(TEXT(売分析!$C184,"0"),銘柄管理!$B$6:$B$305,0))-1,0,1,14)))/SUM(OFFSET(終値!$E$6,IFERROR(MATCH(売分析!$C184,銘柄管理!$B$6:$B$305,0),MATCH(TEXT(売分析!$C184,"0"),銘柄管理!$B$6:$B$305,0))-1,0,1,14))*100,"")</f>
      </c>
      <c r="N184">
        <f>IFERROR((MAX(OFFSET(高値!$E$6,IFERROR(MATCH(売分析!$C184,銘柄管理!$B$6:$B$305,0),MATCH(TEXT(売分析!$C184,"0"),銘柄管理!$B$6:$B$305,0))-1,0,1,25))-MIN(OFFSET(安値!$E$6,IFERROR(MATCH(売分析!$C184,銘柄管理!$B$6:$B$305,0),MATCH(TEXT(売分析!$C184,"0"),銘柄管理!$B$6:$B$305,0))-1,0,1,25)))/売分析!$E184*100,"")</f>
      </c>
      <c r="O184">
        <f>IFERROR((売分析!$F184-売分析!$G184)/売分析!$G184*100,"")</f>
      </c>
      <c r="P184">
        <f>IFERROR((売分析!$E184-MAX(OFFSET(高値!$E$6,IFERROR(MATCH(売分析!$C184,銘柄管理!$B$6:$B$305,0),MATCH(TEXT(売分析!$C184,"0"),銘柄管理!$B$6:$B$305,0))-1,0,1,25)))/MAX(OFFSET(高値!$E$6,IFERROR(MATCH(売分析!$C184,銘柄管理!$B$6:$B$305,0),MATCH(TEXT(売分析!$C184,"0"),銘柄管理!$B$6:$B$305,0))-1,0,1,25))*100,"")</f>
      </c>
      <c r="Q184">
        <f>IFERROR((売分析!$H184-売分析!$I184)/売分析!$F184*100,"")</f>
      </c>
      <c r="R184">
        <f>IFERROR(5-COUNTIF($M$3:$M$206,"&lt;"&amp;$M184)/COUNT($M$3:$M$206)-COUNTIF($Q$3:$Q$206,"&lt;"&amp;$Q184)/COUNT($Q$3:$Q$206)-COUNTIF($N$3:$N$206,"&lt;"&amp;$N184)/COUNT($N$3:$N$206)-COUNTIF(売分析!$Z$3:$Z$206,"&lt;"&amp;売分析!$Z184)/COUNT(売分析!$Z$3:$Z$206)-COUNTIF($O$3:$O$206,"&lt;"&amp;$O184)/COUNT($O$3:$O$206),"")</f>
      </c>
      <c r="S184">
        <f>IF(OR(K184="",K184="TOPX",M184="",R184=""),0,IF(AND(V811設定!$E$12=1,M184&lt;=V811設定!$E$3,N184&lt;=V811設定!$E$4,O184&lt;=V811設定!$E$5,売分析!$Z184&lt;=V811設定!$E$6,売分析!$Z184&gt;=V811設定!$E$7,P184&gt;=V811設定!$E$8,Q184&lt;=V811設定!$E$9),1,0))</f>
      </c>
      <c r="T184">
        <f>IF(K184="","",IF(S184=1,"○ゲート通過",IF(V811設定!$E$12&lt;&gt;1,"― 停止中",IF(M184&gt;V811設定!$E$3,"×値動きが荒い",IF(N184&gt;V811設定!$E$4,"×レンジが広い",IF(O184&gt;V811設定!$E$5,"×窓を開けて上昇",IF(売分析!$Z184&gt;V811設定!$E$6,"×前日に急騰",IF(売分析!$Z184&lt;V811設定!$E$7,"×前日に急落",IF(P184&lt;V811設定!$E$8,"×高値から離れすぎ",IF(Q184&gt;V811設定!$E$9,"×当日の値幅が大きい","×"))))))))))</f>
      </c>
    </row>
    <row r="185" spans="1:20">
      <c r="A185">
        <f>IF(分析!$C185="","",分析!$C185)</f>
      </c>
      <c r="B185">
        <f>IF(分析!$C185="","",分析!$D185)</f>
      </c>
      <c r="C185">
        <f>IFERROR((SUM(OFFSET(高値!$E$6,IFERROR(MATCH(分析!$C185,銘柄管理!$B$6:$B$305,0),MATCH(TEXT(分析!$C185,"0"),銘柄管理!$B$6:$B$305,0))-1,0,1,14))-SUM(OFFSET(安値!$E$6,IFERROR(MATCH(分析!$C185,銘柄管理!$B$6:$B$305,0),MATCH(TEXT(分析!$C185,"0"),銘柄管理!$B$6:$B$305,0))-1,0,1,14)))/SUM(OFFSET(終値!$E$6,IFERROR(MATCH(分析!$C185,銘柄管理!$B$6:$B$305,0),MATCH(TEXT(分析!$C185,"0"),銘柄管理!$B$6:$B$305,0))-1,0,1,14))*100,"")</f>
      </c>
      <c r="D185">
        <f>IFERROR((MAX(OFFSET(高値!$E$6,IFERROR(MATCH(分析!$C185,銘柄管理!$B$6:$B$305,0),MATCH(TEXT(分析!$C185,"0"),銘柄管理!$B$6:$B$305,0))-1,0,1,25))-MIN(OFFSET(安値!$E$6,IFERROR(MATCH(分析!$C185,銘柄管理!$B$6:$B$305,0),MATCH(TEXT(分析!$C185,"0"),銘柄管理!$B$6:$B$305,0))-1,0,1,25)))/分析!$E185*100,"")</f>
      </c>
      <c r="E185">
        <f>IFERROR((分析!$F185-分析!$G185)/分析!$G185*100,"")</f>
      </c>
      <c r="F185">
        <f>IFERROR((分析!$E185-MAX(OFFSET(高値!$E$6,IFERROR(MATCH(分析!$C185,銘柄管理!$B$6:$B$305,0),MATCH(TEXT(分析!$C185,"0"),銘柄管理!$B$6:$B$305,0))-1,0,1,25)))/MAX(OFFSET(高値!$E$6,IFERROR(MATCH(分析!$C185,銘柄管理!$B$6:$B$305,0),MATCH(TEXT(分析!$C185,"0"),銘柄管理!$B$6:$B$305,0))-1,0,1,25))*100,"")</f>
      </c>
      <c r="G185">
        <f>IFERROR((分析!$H185-分析!$I185)/分析!$F185*100,"")</f>
      </c>
      <c r="H185">
        <f>IFERROR(5-COUNTIF($C$3:$C$206,"&lt;"&amp;$C185)/COUNT($C$3:$C$206)-COUNTIF($G$3:$G$206,"&lt;"&amp;$G185)/COUNT($G$3:$G$206)-COUNTIF($D$3:$D$206,"&lt;"&amp;$D185)/COUNT($D$3:$D$206)-COUNTIF(分析!$Z$3:$Z$206,"&lt;"&amp;分析!$Z185)/COUNT(分析!$Z$3:$Z$206)-COUNTIF($E$3:$E$206,"&lt;"&amp;$E185)/COUNT($E$3:$E$206),"")</f>
      </c>
      <c r="I185">
        <f>IF(OR(A185="",A185="TOPX",C185="",H185=""),0,IF(AND(V811設定!$E$11=1,C185&lt;=V811設定!$E$3,D185&lt;=V811設定!$E$4,E185&lt;=V811設定!$E$5,分析!$Z185&lt;=V811設定!$E$6,分析!$Z185&gt;=V811設定!$E$7,F185&gt;=V811設定!$E$8,G185&lt;=V811設定!$E$9),1,0))</f>
      </c>
      <c r="J185">
        <f>IF(A185="","",IF(I185=1,"○ゲート通過",IF(V811設定!$E$11&lt;&gt;1,"― 停止中",IF(C185&gt;V811設定!$E$3,"×値動きが荒い",IF(D185&gt;V811設定!$E$4,"×レンジが広い",IF(E185&gt;V811設定!$E$5,"×窓を開けて上昇",IF(分析!$Z185&gt;V811設定!$E$6,"×前日に急騰",IF(分析!$Z185&lt;V811設定!$E$7,"×前日に急落",IF(F185&lt;V811設定!$E$8,"×高値から離れすぎ",IF(G185&gt;V811設定!$E$9,"×当日の値幅が大きい","×"))))))))))</f>
      </c>
      <c r="K185">
        <f>IF(売分析!$C185="","",売分析!$C185)</f>
      </c>
      <c r="L185">
        <f>IF(売分析!$C185="","",売分析!$D185)</f>
      </c>
      <c r="M185">
        <f>IFERROR((SUM(OFFSET(高値!$E$6,IFERROR(MATCH(売分析!$C185,銘柄管理!$B$6:$B$305,0),MATCH(TEXT(売分析!$C185,"0"),銘柄管理!$B$6:$B$305,0))-1,0,1,14))-SUM(OFFSET(安値!$E$6,IFERROR(MATCH(売分析!$C185,銘柄管理!$B$6:$B$305,0),MATCH(TEXT(売分析!$C185,"0"),銘柄管理!$B$6:$B$305,0))-1,0,1,14)))/SUM(OFFSET(終値!$E$6,IFERROR(MATCH(売分析!$C185,銘柄管理!$B$6:$B$305,0),MATCH(TEXT(売分析!$C185,"0"),銘柄管理!$B$6:$B$305,0))-1,0,1,14))*100,"")</f>
      </c>
      <c r="N185">
        <f>IFERROR((MAX(OFFSET(高値!$E$6,IFERROR(MATCH(売分析!$C185,銘柄管理!$B$6:$B$305,0),MATCH(TEXT(売分析!$C185,"0"),銘柄管理!$B$6:$B$305,0))-1,0,1,25))-MIN(OFFSET(安値!$E$6,IFERROR(MATCH(売分析!$C185,銘柄管理!$B$6:$B$305,0),MATCH(TEXT(売分析!$C185,"0"),銘柄管理!$B$6:$B$305,0))-1,0,1,25)))/売分析!$E185*100,"")</f>
      </c>
      <c r="O185">
        <f>IFERROR((売分析!$F185-売分析!$G185)/売分析!$G185*100,"")</f>
      </c>
      <c r="P185">
        <f>IFERROR((売分析!$E185-MAX(OFFSET(高値!$E$6,IFERROR(MATCH(売分析!$C185,銘柄管理!$B$6:$B$305,0),MATCH(TEXT(売分析!$C185,"0"),銘柄管理!$B$6:$B$305,0))-1,0,1,25)))/MAX(OFFSET(高値!$E$6,IFERROR(MATCH(売分析!$C185,銘柄管理!$B$6:$B$305,0),MATCH(TEXT(売分析!$C185,"0"),銘柄管理!$B$6:$B$305,0))-1,0,1,25))*100,"")</f>
      </c>
      <c r="Q185">
        <f>IFERROR((売分析!$H185-売分析!$I185)/売分析!$F185*100,"")</f>
      </c>
      <c r="R185">
        <f>IFERROR(5-COUNTIF($M$3:$M$206,"&lt;"&amp;$M185)/COUNT($M$3:$M$206)-COUNTIF($Q$3:$Q$206,"&lt;"&amp;$Q185)/COUNT($Q$3:$Q$206)-COUNTIF($N$3:$N$206,"&lt;"&amp;$N185)/COUNT($N$3:$N$206)-COUNTIF(売分析!$Z$3:$Z$206,"&lt;"&amp;売分析!$Z185)/COUNT(売分析!$Z$3:$Z$206)-COUNTIF($O$3:$O$206,"&lt;"&amp;$O185)/COUNT($O$3:$O$206),"")</f>
      </c>
      <c r="S185">
        <f>IF(OR(K185="",K185="TOPX",M185="",R185=""),0,IF(AND(V811設定!$E$12=1,M185&lt;=V811設定!$E$3,N185&lt;=V811設定!$E$4,O185&lt;=V811設定!$E$5,売分析!$Z185&lt;=V811設定!$E$6,売分析!$Z185&gt;=V811設定!$E$7,P185&gt;=V811設定!$E$8,Q185&lt;=V811設定!$E$9),1,0))</f>
      </c>
      <c r="T185">
        <f>IF(K185="","",IF(S185=1,"○ゲート通過",IF(V811設定!$E$12&lt;&gt;1,"― 停止中",IF(M185&gt;V811設定!$E$3,"×値動きが荒い",IF(N185&gt;V811設定!$E$4,"×レンジが広い",IF(O185&gt;V811設定!$E$5,"×窓を開けて上昇",IF(売分析!$Z185&gt;V811設定!$E$6,"×前日に急騰",IF(売分析!$Z185&lt;V811設定!$E$7,"×前日に急落",IF(P185&lt;V811設定!$E$8,"×高値から離れすぎ",IF(Q185&gt;V811設定!$E$9,"×当日の値幅が大きい","×"))))))))))</f>
      </c>
    </row>
    <row r="186" spans="1:20">
      <c r="A186">
        <f>IF(分析!$C186="","",分析!$C186)</f>
      </c>
      <c r="B186">
        <f>IF(分析!$C186="","",分析!$D186)</f>
      </c>
      <c r="C186">
        <f>IFERROR((SUM(OFFSET(高値!$E$6,IFERROR(MATCH(分析!$C186,銘柄管理!$B$6:$B$305,0),MATCH(TEXT(分析!$C186,"0"),銘柄管理!$B$6:$B$305,0))-1,0,1,14))-SUM(OFFSET(安値!$E$6,IFERROR(MATCH(分析!$C186,銘柄管理!$B$6:$B$305,0),MATCH(TEXT(分析!$C186,"0"),銘柄管理!$B$6:$B$305,0))-1,0,1,14)))/SUM(OFFSET(終値!$E$6,IFERROR(MATCH(分析!$C186,銘柄管理!$B$6:$B$305,0),MATCH(TEXT(分析!$C186,"0"),銘柄管理!$B$6:$B$305,0))-1,0,1,14))*100,"")</f>
      </c>
      <c r="D186">
        <f>IFERROR((MAX(OFFSET(高値!$E$6,IFERROR(MATCH(分析!$C186,銘柄管理!$B$6:$B$305,0),MATCH(TEXT(分析!$C186,"0"),銘柄管理!$B$6:$B$305,0))-1,0,1,25))-MIN(OFFSET(安値!$E$6,IFERROR(MATCH(分析!$C186,銘柄管理!$B$6:$B$305,0),MATCH(TEXT(分析!$C186,"0"),銘柄管理!$B$6:$B$305,0))-1,0,1,25)))/分析!$E186*100,"")</f>
      </c>
      <c r="E186">
        <f>IFERROR((分析!$F186-分析!$G186)/分析!$G186*100,"")</f>
      </c>
      <c r="F186">
        <f>IFERROR((分析!$E186-MAX(OFFSET(高値!$E$6,IFERROR(MATCH(分析!$C186,銘柄管理!$B$6:$B$305,0),MATCH(TEXT(分析!$C186,"0"),銘柄管理!$B$6:$B$305,0))-1,0,1,25)))/MAX(OFFSET(高値!$E$6,IFERROR(MATCH(分析!$C186,銘柄管理!$B$6:$B$305,0),MATCH(TEXT(分析!$C186,"0"),銘柄管理!$B$6:$B$305,0))-1,0,1,25))*100,"")</f>
      </c>
      <c r="G186">
        <f>IFERROR((分析!$H186-分析!$I186)/分析!$F186*100,"")</f>
      </c>
      <c r="H186">
        <f>IFERROR(5-COUNTIF($C$3:$C$206,"&lt;"&amp;$C186)/COUNT($C$3:$C$206)-COUNTIF($G$3:$G$206,"&lt;"&amp;$G186)/COUNT($G$3:$G$206)-COUNTIF($D$3:$D$206,"&lt;"&amp;$D186)/COUNT($D$3:$D$206)-COUNTIF(分析!$Z$3:$Z$206,"&lt;"&amp;分析!$Z186)/COUNT(分析!$Z$3:$Z$206)-COUNTIF($E$3:$E$206,"&lt;"&amp;$E186)/COUNT($E$3:$E$206),"")</f>
      </c>
      <c r="I186">
        <f>IF(OR(A186="",A186="TOPX",C186="",H186=""),0,IF(AND(V811設定!$E$11=1,C186&lt;=V811設定!$E$3,D186&lt;=V811設定!$E$4,E186&lt;=V811設定!$E$5,分析!$Z186&lt;=V811設定!$E$6,分析!$Z186&gt;=V811設定!$E$7,F186&gt;=V811設定!$E$8,G186&lt;=V811設定!$E$9),1,0))</f>
      </c>
      <c r="J186">
        <f>IF(A186="","",IF(I186=1,"○ゲート通過",IF(V811設定!$E$11&lt;&gt;1,"― 停止中",IF(C186&gt;V811設定!$E$3,"×値動きが荒い",IF(D186&gt;V811設定!$E$4,"×レンジが広い",IF(E186&gt;V811設定!$E$5,"×窓を開けて上昇",IF(分析!$Z186&gt;V811設定!$E$6,"×前日に急騰",IF(分析!$Z186&lt;V811設定!$E$7,"×前日に急落",IF(F186&lt;V811設定!$E$8,"×高値から離れすぎ",IF(G186&gt;V811設定!$E$9,"×当日の値幅が大きい","×"))))))))))</f>
      </c>
      <c r="K186">
        <f>IF(売分析!$C186="","",売分析!$C186)</f>
      </c>
      <c r="L186">
        <f>IF(売分析!$C186="","",売分析!$D186)</f>
      </c>
      <c r="M186">
        <f>IFERROR((SUM(OFFSET(高値!$E$6,IFERROR(MATCH(売分析!$C186,銘柄管理!$B$6:$B$305,0),MATCH(TEXT(売分析!$C186,"0"),銘柄管理!$B$6:$B$305,0))-1,0,1,14))-SUM(OFFSET(安値!$E$6,IFERROR(MATCH(売分析!$C186,銘柄管理!$B$6:$B$305,0),MATCH(TEXT(売分析!$C186,"0"),銘柄管理!$B$6:$B$305,0))-1,0,1,14)))/SUM(OFFSET(終値!$E$6,IFERROR(MATCH(売分析!$C186,銘柄管理!$B$6:$B$305,0),MATCH(TEXT(売分析!$C186,"0"),銘柄管理!$B$6:$B$305,0))-1,0,1,14))*100,"")</f>
      </c>
      <c r="N186">
        <f>IFERROR((MAX(OFFSET(高値!$E$6,IFERROR(MATCH(売分析!$C186,銘柄管理!$B$6:$B$305,0),MATCH(TEXT(売分析!$C186,"0"),銘柄管理!$B$6:$B$305,0))-1,0,1,25))-MIN(OFFSET(安値!$E$6,IFERROR(MATCH(売分析!$C186,銘柄管理!$B$6:$B$305,0),MATCH(TEXT(売分析!$C186,"0"),銘柄管理!$B$6:$B$305,0))-1,0,1,25)))/売分析!$E186*100,"")</f>
      </c>
      <c r="O186">
        <f>IFERROR((売分析!$F186-売分析!$G186)/売分析!$G186*100,"")</f>
      </c>
      <c r="P186">
        <f>IFERROR((売分析!$E186-MAX(OFFSET(高値!$E$6,IFERROR(MATCH(売分析!$C186,銘柄管理!$B$6:$B$305,0),MATCH(TEXT(売分析!$C186,"0"),銘柄管理!$B$6:$B$305,0))-1,0,1,25)))/MAX(OFFSET(高値!$E$6,IFERROR(MATCH(売分析!$C186,銘柄管理!$B$6:$B$305,0),MATCH(TEXT(売分析!$C186,"0"),銘柄管理!$B$6:$B$305,0))-1,0,1,25))*100,"")</f>
      </c>
      <c r="Q186">
        <f>IFERROR((売分析!$H186-売分析!$I186)/売分析!$F186*100,"")</f>
      </c>
      <c r="R186">
        <f>IFERROR(5-COUNTIF($M$3:$M$206,"&lt;"&amp;$M186)/COUNT($M$3:$M$206)-COUNTIF($Q$3:$Q$206,"&lt;"&amp;$Q186)/COUNT($Q$3:$Q$206)-COUNTIF($N$3:$N$206,"&lt;"&amp;$N186)/COUNT($N$3:$N$206)-COUNTIF(売分析!$Z$3:$Z$206,"&lt;"&amp;売分析!$Z186)/COUNT(売分析!$Z$3:$Z$206)-COUNTIF($O$3:$O$206,"&lt;"&amp;$O186)/COUNT($O$3:$O$206),"")</f>
      </c>
      <c r="S186">
        <f>IF(OR(K186="",K186="TOPX",M186="",R186=""),0,IF(AND(V811設定!$E$12=1,M186&lt;=V811設定!$E$3,N186&lt;=V811設定!$E$4,O186&lt;=V811設定!$E$5,売分析!$Z186&lt;=V811設定!$E$6,売分析!$Z186&gt;=V811設定!$E$7,P186&gt;=V811設定!$E$8,Q186&lt;=V811設定!$E$9),1,0))</f>
      </c>
      <c r="T186">
        <f>IF(K186="","",IF(S186=1,"○ゲート通過",IF(V811設定!$E$12&lt;&gt;1,"― 停止中",IF(M186&gt;V811設定!$E$3,"×値動きが荒い",IF(N186&gt;V811設定!$E$4,"×レンジが広い",IF(O186&gt;V811設定!$E$5,"×窓を開けて上昇",IF(売分析!$Z186&gt;V811設定!$E$6,"×前日に急騰",IF(売分析!$Z186&lt;V811設定!$E$7,"×前日に急落",IF(P186&lt;V811設定!$E$8,"×高値から離れすぎ",IF(Q186&gt;V811設定!$E$9,"×当日の値幅が大きい","×"))))))))))</f>
      </c>
    </row>
    <row r="187" spans="1:20">
      <c r="A187">
        <f>IF(分析!$C187="","",分析!$C187)</f>
      </c>
      <c r="B187">
        <f>IF(分析!$C187="","",分析!$D187)</f>
      </c>
      <c r="C187">
        <f>IFERROR((SUM(OFFSET(高値!$E$6,IFERROR(MATCH(分析!$C187,銘柄管理!$B$6:$B$305,0),MATCH(TEXT(分析!$C187,"0"),銘柄管理!$B$6:$B$305,0))-1,0,1,14))-SUM(OFFSET(安値!$E$6,IFERROR(MATCH(分析!$C187,銘柄管理!$B$6:$B$305,0),MATCH(TEXT(分析!$C187,"0"),銘柄管理!$B$6:$B$305,0))-1,0,1,14)))/SUM(OFFSET(終値!$E$6,IFERROR(MATCH(分析!$C187,銘柄管理!$B$6:$B$305,0),MATCH(TEXT(分析!$C187,"0"),銘柄管理!$B$6:$B$305,0))-1,0,1,14))*100,"")</f>
      </c>
      <c r="D187">
        <f>IFERROR((MAX(OFFSET(高値!$E$6,IFERROR(MATCH(分析!$C187,銘柄管理!$B$6:$B$305,0),MATCH(TEXT(分析!$C187,"0"),銘柄管理!$B$6:$B$305,0))-1,0,1,25))-MIN(OFFSET(安値!$E$6,IFERROR(MATCH(分析!$C187,銘柄管理!$B$6:$B$305,0),MATCH(TEXT(分析!$C187,"0"),銘柄管理!$B$6:$B$305,0))-1,0,1,25)))/分析!$E187*100,"")</f>
      </c>
      <c r="E187">
        <f>IFERROR((分析!$F187-分析!$G187)/分析!$G187*100,"")</f>
      </c>
      <c r="F187">
        <f>IFERROR((分析!$E187-MAX(OFFSET(高値!$E$6,IFERROR(MATCH(分析!$C187,銘柄管理!$B$6:$B$305,0),MATCH(TEXT(分析!$C187,"0"),銘柄管理!$B$6:$B$305,0))-1,0,1,25)))/MAX(OFFSET(高値!$E$6,IFERROR(MATCH(分析!$C187,銘柄管理!$B$6:$B$305,0),MATCH(TEXT(分析!$C187,"0"),銘柄管理!$B$6:$B$305,0))-1,0,1,25))*100,"")</f>
      </c>
      <c r="G187">
        <f>IFERROR((分析!$H187-分析!$I187)/分析!$F187*100,"")</f>
      </c>
      <c r="H187">
        <f>IFERROR(5-COUNTIF($C$3:$C$206,"&lt;"&amp;$C187)/COUNT($C$3:$C$206)-COUNTIF($G$3:$G$206,"&lt;"&amp;$G187)/COUNT($G$3:$G$206)-COUNTIF($D$3:$D$206,"&lt;"&amp;$D187)/COUNT($D$3:$D$206)-COUNTIF(分析!$Z$3:$Z$206,"&lt;"&amp;分析!$Z187)/COUNT(分析!$Z$3:$Z$206)-COUNTIF($E$3:$E$206,"&lt;"&amp;$E187)/COUNT($E$3:$E$206),"")</f>
      </c>
      <c r="I187">
        <f>IF(OR(A187="",A187="TOPX",C187="",H187=""),0,IF(AND(V811設定!$E$11=1,C187&lt;=V811設定!$E$3,D187&lt;=V811設定!$E$4,E187&lt;=V811設定!$E$5,分析!$Z187&lt;=V811設定!$E$6,分析!$Z187&gt;=V811設定!$E$7,F187&gt;=V811設定!$E$8,G187&lt;=V811設定!$E$9),1,0))</f>
      </c>
      <c r="J187">
        <f>IF(A187="","",IF(I187=1,"○ゲート通過",IF(V811設定!$E$11&lt;&gt;1,"― 停止中",IF(C187&gt;V811設定!$E$3,"×値動きが荒い",IF(D187&gt;V811設定!$E$4,"×レンジが広い",IF(E187&gt;V811設定!$E$5,"×窓を開けて上昇",IF(分析!$Z187&gt;V811設定!$E$6,"×前日に急騰",IF(分析!$Z187&lt;V811設定!$E$7,"×前日に急落",IF(F187&lt;V811設定!$E$8,"×高値から離れすぎ",IF(G187&gt;V811設定!$E$9,"×当日の値幅が大きい","×"))))))))))</f>
      </c>
      <c r="K187">
        <f>IF(売分析!$C187="","",売分析!$C187)</f>
      </c>
      <c r="L187">
        <f>IF(売分析!$C187="","",売分析!$D187)</f>
      </c>
      <c r="M187">
        <f>IFERROR((SUM(OFFSET(高値!$E$6,IFERROR(MATCH(売分析!$C187,銘柄管理!$B$6:$B$305,0),MATCH(TEXT(売分析!$C187,"0"),銘柄管理!$B$6:$B$305,0))-1,0,1,14))-SUM(OFFSET(安値!$E$6,IFERROR(MATCH(売分析!$C187,銘柄管理!$B$6:$B$305,0),MATCH(TEXT(売分析!$C187,"0"),銘柄管理!$B$6:$B$305,0))-1,0,1,14)))/SUM(OFFSET(終値!$E$6,IFERROR(MATCH(売分析!$C187,銘柄管理!$B$6:$B$305,0),MATCH(TEXT(売分析!$C187,"0"),銘柄管理!$B$6:$B$305,0))-1,0,1,14))*100,"")</f>
      </c>
      <c r="N187">
        <f>IFERROR((MAX(OFFSET(高値!$E$6,IFERROR(MATCH(売分析!$C187,銘柄管理!$B$6:$B$305,0),MATCH(TEXT(売分析!$C187,"0"),銘柄管理!$B$6:$B$305,0))-1,0,1,25))-MIN(OFFSET(安値!$E$6,IFERROR(MATCH(売分析!$C187,銘柄管理!$B$6:$B$305,0),MATCH(TEXT(売分析!$C187,"0"),銘柄管理!$B$6:$B$305,0))-1,0,1,25)))/売分析!$E187*100,"")</f>
      </c>
      <c r="O187">
        <f>IFERROR((売分析!$F187-売分析!$G187)/売分析!$G187*100,"")</f>
      </c>
      <c r="P187">
        <f>IFERROR((売分析!$E187-MAX(OFFSET(高値!$E$6,IFERROR(MATCH(売分析!$C187,銘柄管理!$B$6:$B$305,0),MATCH(TEXT(売分析!$C187,"0"),銘柄管理!$B$6:$B$305,0))-1,0,1,25)))/MAX(OFFSET(高値!$E$6,IFERROR(MATCH(売分析!$C187,銘柄管理!$B$6:$B$305,0),MATCH(TEXT(売分析!$C187,"0"),銘柄管理!$B$6:$B$305,0))-1,0,1,25))*100,"")</f>
      </c>
      <c r="Q187">
        <f>IFERROR((売分析!$H187-売分析!$I187)/売分析!$F187*100,"")</f>
      </c>
      <c r="R187">
        <f>IFERROR(5-COUNTIF($M$3:$M$206,"&lt;"&amp;$M187)/COUNT($M$3:$M$206)-COUNTIF($Q$3:$Q$206,"&lt;"&amp;$Q187)/COUNT($Q$3:$Q$206)-COUNTIF($N$3:$N$206,"&lt;"&amp;$N187)/COUNT($N$3:$N$206)-COUNTIF(売分析!$Z$3:$Z$206,"&lt;"&amp;売分析!$Z187)/COUNT(売分析!$Z$3:$Z$206)-COUNTIF($O$3:$O$206,"&lt;"&amp;$O187)/COUNT($O$3:$O$206),"")</f>
      </c>
      <c r="S187">
        <f>IF(OR(K187="",K187="TOPX",M187="",R187=""),0,IF(AND(V811設定!$E$12=1,M187&lt;=V811設定!$E$3,N187&lt;=V811設定!$E$4,O187&lt;=V811設定!$E$5,売分析!$Z187&lt;=V811設定!$E$6,売分析!$Z187&gt;=V811設定!$E$7,P187&gt;=V811設定!$E$8,Q187&lt;=V811設定!$E$9),1,0))</f>
      </c>
      <c r="T187">
        <f>IF(K187="","",IF(S187=1,"○ゲート通過",IF(V811設定!$E$12&lt;&gt;1,"― 停止中",IF(M187&gt;V811設定!$E$3,"×値動きが荒い",IF(N187&gt;V811設定!$E$4,"×レンジが広い",IF(O187&gt;V811設定!$E$5,"×窓を開けて上昇",IF(売分析!$Z187&gt;V811設定!$E$6,"×前日に急騰",IF(売分析!$Z187&lt;V811設定!$E$7,"×前日に急落",IF(P187&lt;V811設定!$E$8,"×高値から離れすぎ",IF(Q187&gt;V811設定!$E$9,"×当日の値幅が大きい","×"))))))))))</f>
      </c>
    </row>
    <row r="188" spans="1:20">
      <c r="A188">
        <f>IF(分析!$C188="","",分析!$C188)</f>
      </c>
      <c r="B188">
        <f>IF(分析!$C188="","",分析!$D188)</f>
      </c>
      <c r="C188">
        <f>IFERROR((SUM(OFFSET(高値!$E$6,IFERROR(MATCH(分析!$C188,銘柄管理!$B$6:$B$305,0),MATCH(TEXT(分析!$C188,"0"),銘柄管理!$B$6:$B$305,0))-1,0,1,14))-SUM(OFFSET(安値!$E$6,IFERROR(MATCH(分析!$C188,銘柄管理!$B$6:$B$305,0),MATCH(TEXT(分析!$C188,"0"),銘柄管理!$B$6:$B$305,0))-1,0,1,14)))/SUM(OFFSET(終値!$E$6,IFERROR(MATCH(分析!$C188,銘柄管理!$B$6:$B$305,0),MATCH(TEXT(分析!$C188,"0"),銘柄管理!$B$6:$B$305,0))-1,0,1,14))*100,"")</f>
      </c>
      <c r="D188">
        <f>IFERROR((MAX(OFFSET(高値!$E$6,IFERROR(MATCH(分析!$C188,銘柄管理!$B$6:$B$305,0),MATCH(TEXT(分析!$C188,"0"),銘柄管理!$B$6:$B$305,0))-1,0,1,25))-MIN(OFFSET(安値!$E$6,IFERROR(MATCH(分析!$C188,銘柄管理!$B$6:$B$305,0),MATCH(TEXT(分析!$C188,"0"),銘柄管理!$B$6:$B$305,0))-1,0,1,25)))/分析!$E188*100,"")</f>
      </c>
      <c r="E188">
        <f>IFERROR((分析!$F188-分析!$G188)/分析!$G188*100,"")</f>
      </c>
      <c r="F188">
        <f>IFERROR((分析!$E188-MAX(OFFSET(高値!$E$6,IFERROR(MATCH(分析!$C188,銘柄管理!$B$6:$B$305,0),MATCH(TEXT(分析!$C188,"0"),銘柄管理!$B$6:$B$305,0))-1,0,1,25)))/MAX(OFFSET(高値!$E$6,IFERROR(MATCH(分析!$C188,銘柄管理!$B$6:$B$305,0),MATCH(TEXT(分析!$C188,"0"),銘柄管理!$B$6:$B$305,0))-1,0,1,25))*100,"")</f>
      </c>
      <c r="G188">
        <f>IFERROR((分析!$H188-分析!$I188)/分析!$F188*100,"")</f>
      </c>
      <c r="H188">
        <f>IFERROR(5-COUNTIF($C$3:$C$206,"&lt;"&amp;$C188)/COUNT($C$3:$C$206)-COUNTIF($G$3:$G$206,"&lt;"&amp;$G188)/COUNT($G$3:$G$206)-COUNTIF($D$3:$D$206,"&lt;"&amp;$D188)/COUNT($D$3:$D$206)-COUNTIF(分析!$Z$3:$Z$206,"&lt;"&amp;分析!$Z188)/COUNT(分析!$Z$3:$Z$206)-COUNTIF($E$3:$E$206,"&lt;"&amp;$E188)/COUNT($E$3:$E$206),"")</f>
      </c>
      <c r="I188">
        <f>IF(OR(A188="",A188="TOPX",C188="",H188=""),0,IF(AND(V811設定!$E$11=1,C188&lt;=V811設定!$E$3,D188&lt;=V811設定!$E$4,E188&lt;=V811設定!$E$5,分析!$Z188&lt;=V811設定!$E$6,分析!$Z188&gt;=V811設定!$E$7,F188&gt;=V811設定!$E$8,G188&lt;=V811設定!$E$9),1,0))</f>
      </c>
      <c r="J188">
        <f>IF(A188="","",IF(I188=1,"○ゲート通過",IF(V811設定!$E$11&lt;&gt;1,"― 停止中",IF(C188&gt;V811設定!$E$3,"×値動きが荒い",IF(D188&gt;V811設定!$E$4,"×レンジが広い",IF(E188&gt;V811設定!$E$5,"×窓を開けて上昇",IF(分析!$Z188&gt;V811設定!$E$6,"×前日に急騰",IF(分析!$Z188&lt;V811設定!$E$7,"×前日に急落",IF(F188&lt;V811設定!$E$8,"×高値から離れすぎ",IF(G188&gt;V811設定!$E$9,"×当日の値幅が大きい","×"))))))))))</f>
      </c>
      <c r="K188">
        <f>IF(売分析!$C188="","",売分析!$C188)</f>
      </c>
      <c r="L188">
        <f>IF(売分析!$C188="","",売分析!$D188)</f>
      </c>
      <c r="M188">
        <f>IFERROR((SUM(OFFSET(高値!$E$6,IFERROR(MATCH(売分析!$C188,銘柄管理!$B$6:$B$305,0),MATCH(TEXT(売分析!$C188,"0"),銘柄管理!$B$6:$B$305,0))-1,0,1,14))-SUM(OFFSET(安値!$E$6,IFERROR(MATCH(売分析!$C188,銘柄管理!$B$6:$B$305,0),MATCH(TEXT(売分析!$C188,"0"),銘柄管理!$B$6:$B$305,0))-1,0,1,14)))/SUM(OFFSET(終値!$E$6,IFERROR(MATCH(売分析!$C188,銘柄管理!$B$6:$B$305,0),MATCH(TEXT(売分析!$C188,"0"),銘柄管理!$B$6:$B$305,0))-1,0,1,14))*100,"")</f>
      </c>
      <c r="N188">
        <f>IFERROR((MAX(OFFSET(高値!$E$6,IFERROR(MATCH(売分析!$C188,銘柄管理!$B$6:$B$305,0),MATCH(TEXT(売分析!$C188,"0"),銘柄管理!$B$6:$B$305,0))-1,0,1,25))-MIN(OFFSET(安値!$E$6,IFERROR(MATCH(売分析!$C188,銘柄管理!$B$6:$B$305,0),MATCH(TEXT(売分析!$C188,"0"),銘柄管理!$B$6:$B$305,0))-1,0,1,25)))/売分析!$E188*100,"")</f>
      </c>
      <c r="O188">
        <f>IFERROR((売分析!$F188-売分析!$G188)/売分析!$G188*100,"")</f>
      </c>
      <c r="P188">
        <f>IFERROR((売分析!$E188-MAX(OFFSET(高値!$E$6,IFERROR(MATCH(売分析!$C188,銘柄管理!$B$6:$B$305,0),MATCH(TEXT(売分析!$C188,"0"),銘柄管理!$B$6:$B$305,0))-1,0,1,25)))/MAX(OFFSET(高値!$E$6,IFERROR(MATCH(売分析!$C188,銘柄管理!$B$6:$B$305,0),MATCH(TEXT(売分析!$C188,"0"),銘柄管理!$B$6:$B$305,0))-1,0,1,25))*100,"")</f>
      </c>
      <c r="Q188">
        <f>IFERROR((売分析!$H188-売分析!$I188)/売分析!$F188*100,"")</f>
      </c>
      <c r="R188">
        <f>IFERROR(5-COUNTIF($M$3:$M$206,"&lt;"&amp;$M188)/COUNT($M$3:$M$206)-COUNTIF($Q$3:$Q$206,"&lt;"&amp;$Q188)/COUNT($Q$3:$Q$206)-COUNTIF($N$3:$N$206,"&lt;"&amp;$N188)/COUNT($N$3:$N$206)-COUNTIF(売分析!$Z$3:$Z$206,"&lt;"&amp;売分析!$Z188)/COUNT(売分析!$Z$3:$Z$206)-COUNTIF($O$3:$O$206,"&lt;"&amp;$O188)/COUNT($O$3:$O$206),"")</f>
      </c>
      <c r="S188">
        <f>IF(OR(K188="",K188="TOPX",M188="",R188=""),0,IF(AND(V811設定!$E$12=1,M188&lt;=V811設定!$E$3,N188&lt;=V811設定!$E$4,O188&lt;=V811設定!$E$5,売分析!$Z188&lt;=V811設定!$E$6,売分析!$Z188&gt;=V811設定!$E$7,P188&gt;=V811設定!$E$8,Q188&lt;=V811設定!$E$9),1,0))</f>
      </c>
      <c r="T188">
        <f>IF(K188="","",IF(S188=1,"○ゲート通過",IF(V811設定!$E$12&lt;&gt;1,"― 停止中",IF(M188&gt;V811設定!$E$3,"×値動きが荒い",IF(N188&gt;V811設定!$E$4,"×レンジが広い",IF(O188&gt;V811設定!$E$5,"×窓を開けて上昇",IF(売分析!$Z188&gt;V811設定!$E$6,"×前日に急騰",IF(売分析!$Z188&lt;V811設定!$E$7,"×前日に急落",IF(P188&lt;V811設定!$E$8,"×高値から離れすぎ",IF(Q188&gt;V811設定!$E$9,"×当日の値幅が大きい","×"))))))))))</f>
      </c>
    </row>
    <row r="189" spans="1:20">
      <c r="A189">
        <f>IF(分析!$C189="","",分析!$C189)</f>
      </c>
      <c r="B189">
        <f>IF(分析!$C189="","",分析!$D189)</f>
      </c>
      <c r="C189">
        <f>IFERROR((SUM(OFFSET(高値!$E$6,IFERROR(MATCH(分析!$C189,銘柄管理!$B$6:$B$305,0),MATCH(TEXT(分析!$C189,"0"),銘柄管理!$B$6:$B$305,0))-1,0,1,14))-SUM(OFFSET(安値!$E$6,IFERROR(MATCH(分析!$C189,銘柄管理!$B$6:$B$305,0),MATCH(TEXT(分析!$C189,"0"),銘柄管理!$B$6:$B$305,0))-1,0,1,14)))/SUM(OFFSET(終値!$E$6,IFERROR(MATCH(分析!$C189,銘柄管理!$B$6:$B$305,0),MATCH(TEXT(分析!$C189,"0"),銘柄管理!$B$6:$B$305,0))-1,0,1,14))*100,"")</f>
      </c>
      <c r="D189">
        <f>IFERROR((MAX(OFFSET(高値!$E$6,IFERROR(MATCH(分析!$C189,銘柄管理!$B$6:$B$305,0),MATCH(TEXT(分析!$C189,"0"),銘柄管理!$B$6:$B$305,0))-1,0,1,25))-MIN(OFFSET(安値!$E$6,IFERROR(MATCH(分析!$C189,銘柄管理!$B$6:$B$305,0),MATCH(TEXT(分析!$C189,"0"),銘柄管理!$B$6:$B$305,0))-1,0,1,25)))/分析!$E189*100,"")</f>
      </c>
      <c r="E189">
        <f>IFERROR((分析!$F189-分析!$G189)/分析!$G189*100,"")</f>
      </c>
      <c r="F189">
        <f>IFERROR((分析!$E189-MAX(OFFSET(高値!$E$6,IFERROR(MATCH(分析!$C189,銘柄管理!$B$6:$B$305,0),MATCH(TEXT(分析!$C189,"0"),銘柄管理!$B$6:$B$305,0))-1,0,1,25)))/MAX(OFFSET(高値!$E$6,IFERROR(MATCH(分析!$C189,銘柄管理!$B$6:$B$305,0),MATCH(TEXT(分析!$C189,"0"),銘柄管理!$B$6:$B$305,0))-1,0,1,25))*100,"")</f>
      </c>
      <c r="G189">
        <f>IFERROR((分析!$H189-分析!$I189)/分析!$F189*100,"")</f>
      </c>
      <c r="H189">
        <f>IFERROR(5-COUNTIF($C$3:$C$206,"&lt;"&amp;$C189)/COUNT($C$3:$C$206)-COUNTIF($G$3:$G$206,"&lt;"&amp;$G189)/COUNT($G$3:$G$206)-COUNTIF($D$3:$D$206,"&lt;"&amp;$D189)/COUNT($D$3:$D$206)-COUNTIF(分析!$Z$3:$Z$206,"&lt;"&amp;分析!$Z189)/COUNT(分析!$Z$3:$Z$206)-COUNTIF($E$3:$E$206,"&lt;"&amp;$E189)/COUNT($E$3:$E$206),"")</f>
      </c>
      <c r="I189">
        <f>IF(OR(A189="",A189="TOPX",C189="",H189=""),0,IF(AND(V811設定!$E$11=1,C189&lt;=V811設定!$E$3,D189&lt;=V811設定!$E$4,E189&lt;=V811設定!$E$5,分析!$Z189&lt;=V811設定!$E$6,分析!$Z189&gt;=V811設定!$E$7,F189&gt;=V811設定!$E$8,G189&lt;=V811設定!$E$9),1,0))</f>
      </c>
      <c r="J189">
        <f>IF(A189="","",IF(I189=1,"○ゲート通過",IF(V811設定!$E$11&lt;&gt;1,"― 停止中",IF(C189&gt;V811設定!$E$3,"×値動きが荒い",IF(D189&gt;V811設定!$E$4,"×レンジが広い",IF(E189&gt;V811設定!$E$5,"×窓を開けて上昇",IF(分析!$Z189&gt;V811設定!$E$6,"×前日に急騰",IF(分析!$Z189&lt;V811設定!$E$7,"×前日に急落",IF(F189&lt;V811設定!$E$8,"×高値から離れすぎ",IF(G189&gt;V811設定!$E$9,"×当日の値幅が大きい","×"))))))))))</f>
      </c>
      <c r="K189">
        <f>IF(売分析!$C189="","",売分析!$C189)</f>
      </c>
      <c r="L189">
        <f>IF(売分析!$C189="","",売分析!$D189)</f>
      </c>
      <c r="M189">
        <f>IFERROR((SUM(OFFSET(高値!$E$6,IFERROR(MATCH(売分析!$C189,銘柄管理!$B$6:$B$305,0),MATCH(TEXT(売分析!$C189,"0"),銘柄管理!$B$6:$B$305,0))-1,0,1,14))-SUM(OFFSET(安値!$E$6,IFERROR(MATCH(売分析!$C189,銘柄管理!$B$6:$B$305,0),MATCH(TEXT(売分析!$C189,"0"),銘柄管理!$B$6:$B$305,0))-1,0,1,14)))/SUM(OFFSET(終値!$E$6,IFERROR(MATCH(売分析!$C189,銘柄管理!$B$6:$B$305,0),MATCH(TEXT(売分析!$C189,"0"),銘柄管理!$B$6:$B$305,0))-1,0,1,14))*100,"")</f>
      </c>
      <c r="N189">
        <f>IFERROR((MAX(OFFSET(高値!$E$6,IFERROR(MATCH(売分析!$C189,銘柄管理!$B$6:$B$305,0),MATCH(TEXT(売分析!$C189,"0"),銘柄管理!$B$6:$B$305,0))-1,0,1,25))-MIN(OFFSET(安値!$E$6,IFERROR(MATCH(売分析!$C189,銘柄管理!$B$6:$B$305,0),MATCH(TEXT(売分析!$C189,"0"),銘柄管理!$B$6:$B$305,0))-1,0,1,25)))/売分析!$E189*100,"")</f>
      </c>
      <c r="O189">
        <f>IFERROR((売分析!$F189-売分析!$G189)/売分析!$G189*100,"")</f>
      </c>
      <c r="P189">
        <f>IFERROR((売分析!$E189-MAX(OFFSET(高値!$E$6,IFERROR(MATCH(売分析!$C189,銘柄管理!$B$6:$B$305,0),MATCH(TEXT(売分析!$C189,"0"),銘柄管理!$B$6:$B$305,0))-1,0,1,25)))/MAX(OFFSET(高値!$E$6,IFERROR(MATCH(売分析!$C189,銘柄管理!$B$6:$B$305,0),MATCH(TEXT(売分析!$C189,"0"),銘柄管理!$B$6:$B$305,0))-1,0,1,25))*100,"")</f>
      </c>
      <c r="Q189">
        <f>IFERROR((売分析!$H189-売分析!$I189)/売分析!$F189*100,"")</f>
      </c>
      <c r="R189">
        <f>IFERROR(5-COUNTIF($M$3:$M$206,"&lt;"&amp;$M189)/COUNT($M$3:$M$206)-COUNTIF($Q$3:$Q$206,"&lt;"&amp;$Q189)/COUNT($Q$3:$Q$206)-COUNTIF($N$3:$N$206,"&lt;"&amp;$N189)/COUNT($N$3:$N$206)-COUNTIF(売分析!$Z$3:$Z$206,"&lt;"&amp;売分析!$Z189)/COUNT(売分析!$Z$3:$Z$206)-COUNTIF($O$3:$O$206,"&lt;"&amp;$O189)/COUNT($O$3:$O$206),"")</f>
      </c>
      <c r="S189">
        <f>IF(OR(K189="",K189="TOPX",M189="",R189=""),0,IF(AND(V811設定!$E$12=1,M189&lt;=V811設定!$E$3,N189&lt;=V811設定!$E$4,O189&lt;=V811設定!$E$5,売分析!$Z189&lt;=V811設定!$E$6,売分析!$Z189&gt;=V811設定!$E$7,P189&gt;=V811設定!$E$8,Q189&lt;=V811設定!$E$9),1,0))</f>
      </c>
      <c r="T189">
        <f>IF(K189="","",IF(S189=1,"○ゲート通過",IF(V811設定!$E$12&lt;&gt;1,"― 停止中",IF(M189&gt;V811設定!$E$3,"×値動きが荒い",IF(N189&gt;V811設定!$E$4,"×レンジが広い",IF(O189&gt;V811設定!$E$5,"×窓を開けて上昇",IF(売分析!$Z189&gt;V811設定!$E$6,"×前日に急騰",IF(売分析!$Z189&lt;V811設定!$E$7,"×前日に急落",IF(P189&lt;V811設定!$E$8,"×高値から離れすぎ",IF(Q189&gt;V811設定!$E$9,"×当日の値幅が大きい","×"))))))))))</f>
      </c>
    </row>
    <row r="190" spans="1:20">
      <c r="A190">
        <f>IF(分析!$C190="","",分析!$C190)</f>
      </c>
      <c r="B190">
        <f>IF(分析!$C190="","",分析!$D190)</f>
      </c>
      <c r="C190">
        <f>IFERROR((SUM(OFFSET(高値!$E$6,IFERROR(MATCH(分析!$C190,銘柄管理!$B$6:$B$305,0),MATCH(TEXT(分析!$C190,"0"),銘柄管理!$B$6:$B$305,0))-1,0,1,14))-SUM(OFFSET(安値!$E$6,IFERROR(MATCH(分析!$C190,銘柄管理!$B$6:$B$305,0),MATCH(TEXT(分析!$C190,"0"),銘柄管理!$B$6:$B$305,0))-1,0,1,14)))/SUM(OFFSET(終値!$E$6,IFERROR(MATCH(分析!$C190,銘柄管理!$B$6:$B$305,0),MATCH(TEXT(分析!$C190,"0"),銘柄管理!$B$6:$B$305,0))-1,0,1,14))*100,"")</f>
      </c>
      <c r="D190">
        <f>IFERROR((MAX(OFFSET(高値!$E$6,IFERROR(MATCH(分析!$C190,銘柄管理!$B$6:$B$305,0),MATCH(TEXT(分析!$C190,"0"),銘柄管理!$B$6:$B$305,0))-1,0,1,25))-MIN(OFFSET(安値!$E$6,IFERROR(MATCH(分析!$C190,銘柄管理!$B$6:$B$305,0),MATCH(TEXT(分析!$C190,"0"),銘柄管理!$B$6:$B$305,0))-1,0,1,25)))/分析!$E190*100,"")</f>
      </c>
      <c r="E190">
        <f>IFERROR((分析!$F190-分析!$G190)/分析!$G190*100,"")</f>
      </c>
      <c r="F190">
        <f>IFERROR((分析!$E190-MAX(OFFSET(高値!$E$6,IFERROR(MATCH(分析!$C190,銘柄管理!$B$6:$B$305,0),MATCH(TEXT(分析!$C190,"0"),銘柄管理!$B$6:$B$305,0))-1,0,1,25)))/MAX(OFFSET(高値!$E$6,IFERROR(MATCH(分析!$C190,銘柄管理!$B$6:$B$305,0),MATCH(TEXT(分析!$C190,"0"),銘柄管理!$B$6:$B$305,0))-1,0,1,25))*100,"")</f>
      </c>
      <c r="G190">
        <f>IFERROR((分析!$H190-分析!$I190)/分析!$F190*100,"")</f>
      </c>
      <c r="H190">
        <f>IFERROR(5-COUNTIF($C$3:$C$206,"&lt;"&amp;$C190)/COUNT($C$3:$C$206)-COUNTIF($G$3:$G$206,"&lt;"&amp;$G190)/COUNT($G$3:$G$206)-COUNTIF($D$3:$D$206,"&lt;"&amp;$D190)/COUNT($D$3:$D$206)-COUNTIF(分析!$Z$3:$Z$206,"&lt;"&amp;分析!$Z190)/COUNT(分析!$Z$3:$Z$206)-COUNTIF($E$3:$E$206,"&lt;"&amp;$E190)/COUNT($E$3:$E$206),"")</f>
      </c>
      <c r="I190">
        <f>IF(OR(A190="",A190="TOPX",C190="",H190=""),0,IF(AND(V811設定!$E$11=1,C190&lt;=V811設定!$E$3,D190&lt;=V811設定!$E$4,E190&lt;=V811設定!$E$5,分析!$Z190&lt;=V811設定!$E$6,分析!$Z190&gt;=V811設定!$E$7,F190&gt;=V811設定!$E$8,G190&lt;=V811設定!$E$9),1,0))</f>
      </c>
      <c r="J190">
        <f>IF(A190="","",IF(I190=1,"○ゲート通過",IF(V811設定!$E$11&lt;&gt;1,"― 停止中",IF(C190&gt;V811設定!$E$3,"×値動きが荒い",IF(D190&gt;V811設定!$E$4,"×レンジが広い",IF(E190&gt;V811設定!$E$5,"×窓を開けて上昇",IF(分析!$Z190&gt;V811設定!$E$6,"×前日に急騰",IF(分析!$Z190&lt;V811設定!$E$7,"×前日に急落",IF(F190&lt;V811設定!$E$8,"×高値から離れすぎ",IF(G190&gt;V811設定!$E$9,"×当日の値幅が大きい","×"))))))))))</f>
      </c>
      <c r="K190">
        <f>IF(売分析!$C190="","",売分析!$C190)</f>
      </c>
      <c r="L190">
        <f>IF(売分析!$C190="","",売分析!$D190)</f>
      </c>
      <c r="M190">
        <f>IFERROR((SUM(OFFSET(高値!$E$6,IFERROR(MATCH(売分析!$C190,銘柄管理!$B$6:$B$305,0),MATCH(TEXT(売分析!$C190,"0"),銘柄管理!$B$6:$B$305,0))-1,0,1,14))-SUM(OFFSET(安値!$E$6,IFERROR(MATCH(売分析!$C190,銘柄管理!$B$6:$B$305,0),MATCH(TEXT(売分析!$C190,"0"),銘柄管理!$B$6:$B$305,0))-1,0,1,14)))/SUM(OFFSET(終値!$E$6,IFERROR(MATCH(売分析!$C190,銘柄管理!$B$6:$B$305,0),MATCH(TEXT(売分析!$C190,"0"),銘柄管理!$B$6:$B$305,0))-1,0,1,14))*100,"")</f>
      </c>
      <c r="N190">
        <f>IFERROR((MAX(OFFSET(高値!$E$6,IFERROR(MATCH(売分析!$C190,銘柄管理!$B$6:$B$305,0),MATCH(TEXT(売分析!$C190,"0"),銘柄管理!$B$6:$B$305,0))-1,0,1,25))-MIN(OFFSET(安値!$E$6,IFERROR(MATCH(売分析!$C190,銘柄管理!$B$6:$B$305,0),MATCH(TEXT(売分析!$C190,"0"),銘柄管理!$B$6:$B$305,0))-1,0,1,25)))/売分析!$E190*100,"")</f>
      </c>
      <c r="O190">
        <f>IFERROR((売分析!$F190-売分析!$G190)/売分析!$G190*100,"")</f>
      </c>
      <c r="P190">
        <f>IFERROR((売分析!$E190-MAX(OFFSET(高値!$E$6,IFERROR(MATCH(売分析!$C190,銘柄管理!$B$6:$B$305,0),MATCH(TEXT(売分析!$C190,"0"),銘柄管理!$B$6:$B$305,0))-1,0,1,25)))/MAX(OFFSET(高値!$E$6,IFERROR(MATCH(売分析!$C190,銘柄管理!$B$6:$B$305,0),MATCH(TEXT(売分析!$C190,"0"),銘柄管理!$B$6:$B$305,0))-1,0,1,25))*100,"")</f>
      </c>
      <c r="Q190">
        <f>IFERROR((売分析!$H190-売分析!$I190)/売分析!$F190*100,"")</f>
      </c>
      <c r="R190">
        <f>IFERROR(5-COUNTIF($M$3:$M$206,"&lt;"&amp;$M190)/COUNT($M$3:$M$206)-COUNTIF($Q$3:$Q$206,"&lt;"&amp;$Q190)/COUNT($Q$3:$Q$206)-COUNTIF($N$3:$N$206,"&lt;"&amp;$N190)/COUNT($N$3:$N$206)-COUNTIF(売分析!$Z$3:$Z$206,"&lt;"&amp;売分析!$Z190)/COUNT(売分析!$Z$3:$Z$206)-COUNTIF($O$3:$O$206,"&lt;"&amp;$O190)/COUNT($O$3:$O$206),"")</f>
      </c>
      <c r="S190">
        <f>IF(OR(K190="",K190="TOPX",M190="",R190=""),0,IF(AND(V811設定!$E$12=1,M190&lt;=V811設定!$E$3,N190&lt;=V811設定!$E$4,O190&lt;=V811設定!$E$5,売分析!$Z190&lt;=V811設定!$E$6,売分析!$Z190&gt;=V811設定!$E$7,P190&gt;=V811設定!$E$8,Q190&lt;=V811設定!$E$9),1,0))</f>
      </c>
      <c r="T190">
        <f>IF(K190="","",IF(S190=1,"○ゲート通過",IF(V811設定!$E$12&lt;&gt;1,"― 停止中",IF(M190&gt;V811設定!$E$3,"×値動きが荒い",IF(N190&gt;V811設定!$E$4,"×レンジが広い",IF(O190&gt;V811設定!$E$5,"×窓を開けて上昇",IF(売分析!$Z190&gt;V811設定!$E$6,"×前日に急騰",IF(売分析!$Z190&lt;V811設定!$E$7,"×前日に急落",IF(P190&lt;V811設定!$E$8,"×高値から離れすぎ",IF(Q190&gt;V811設定!$E$9,"×当日の値幅が大きい","×"))))))))))</f>
      </c>
    </row>
    <row r="191" spans="1:20">
      <c r="A191">
        <f>IF(分析!$C191="","",分析!$C191)</f>
      </c>
      <c r="B191">
        <f>IF(分析!$C191="","",分析!$D191)</f>
      </c>
      <c r="C191">
        <f>IFERROR((SUM(OFFSET(高値!$E$6,IFERROR(MATCH(分析!$C191,銘柄管理!$B$6:$B$305,0),MATCH(TEXT(分析!$C191,"0"),銘柄管理!$B$6:$B$305,0))-1,0,1,14))-SUM(OFFSET(安値!$E$6,IFERROR(MATCH(分析!$C191,銘柄管理!$B$6:$B$305,0),MATCH(TEXT(分析!$C191,"0"),銘柄管理!$B$6:$B$305,0))-1,0,1,14)))/SUM(OFFSET(終値!$E$6,IFERROR(MATCH(分析!$C191,銘柄管理!$B$6:$B$305,0),MATCH(TEXT(分析!$C191,"0"),銘柄管理!$B$6:$B$305,0))-1,0,1,14))*100,"")</f>
      </c>
      <c r="D191">
        <f>IFERROR((MAX(OFFSET(高値!$E$6,IFERROR(MATCH(分析!$C191,銘柄管理!$B$6:$B$305,0),MATCH(TEXT(分析!$C191,"0"),銘柄管理!$B$6:$B$305,0))-1,0,1,25))-MIN(OFFSET(安値!$E$6,IFERROR(MATCH(分析!$C191,銘柄管理!$B$6:$B$305,0),MATCH(TEXT(分析!$C191,"0"),銘柄管理!$B$6:$B$305,0))-1,0,1,25)))/分析!$E191*100,"")</f>
      </c>
      <c r="E191">
        <f>IFERROR((分析!$F191-分析!$G191)/分析!$G191*100,"")</f>
      </c>
      <c r="F191">
        <f>IFERROR((分析!$E191-MAX(OFFSET(高値!$E$6,IFERROR(MATCH(分析!$C191,銘柄管理!$B$6:$B$305,0),MATCH(TEXT(分析!$C191,"0"),銘柄管理!$B$6:$B$305,0))-1,0,1,25)))/MAX(OFFSET(高値!$E$6,IFERROR(MATCH(分析!$C191,銘柄管理!$B$6:$B$305,0),MATCH(TEXT(分析!$C191,"0"),銘柄管理!$B$6:$B$305,0))-1,0,1,25))*100,"")</f>
      </c>
      <c r="G191">
        <f>IFERROR((分析!$H191-分析!$I191)/分析!$F191*100,"")</f>
      </c>
      <c r="H191">
        <f>IFERROR(5-COUNTIF($C$3:$C$206,"&lt;"&amp;$C191)/COUNT($C$3:$C$206)-COUNTIF($G$3:$G$206,"&lt;"&amp;$G191)/COUNT($G$3:$G$206)-COUNTIF($D$3:$D$206,"&lt;"&amp;$D191)/COUNT($D$3:$D$206)-COUNTIF(分析!$Z$3:$Z$206,"&lt;"&amp;分析!$Z191)/COUNT(分析!$Z$3:$Z$206)-COUNTIF($E$3:$E$206,"&lt;"&amp;$E191)/COUNT($E$3:$E$206),"")</f>
      </c>
      <c r="I191">
        <f>IF(OR(A191="",A191="TOPX",C191="",H191=""),0,IF(AND(V811設定!$E$11=1,C191&lt;=V811設定!$E$3,D191&lt;=V811設定!$E$4,E191&lt;=V811設定!$E$5,分析!$Z191&lt;=V811設定!$E$6,分析!$Z191&gt;=V811設定!$E$7,F191&gt;=V811設定!$E$8,G191&lt;=V811設定!$E$9),1,0))</f>
      </c>
      <c r="J191">
        <f>IF(A191="","",IF(I191=1,"○ゲート通過",IF(V811設定!$E$11&lt;&gt;1,"― 停止中",IF(C191&gt;V811設定!$E$3,"×値動きが荒い",IF(D191&gt;V811設定!$E$4,"×レンジが広い",IF(E191&gt;V811設定!$E$5,"×窓を開けて上昇",IF(分析!$Z191&gt;V811設定!$E$6,"×前日に急騰",IF(分析!$Z191&lt;V811設定!$E$7,"×前日に急落",IF(F191&lt;V811設定!$E$8,"×高値から離れすぎ",IF(G191&gt;V811設定!$E$9,"×当日の値幅が大きい","×"))))))))))</f>
      </c>
      <c r="K191">
        <f>IF(売分析!$C191="","",売分析!$C191)</f>
      </c>
      <c r="L191">
        <f>IF(売分析!$C191="","",売分析!$D191)</f>
      </c>
      <c r="M191">
        <f>IFERROR((SUM(OFFSET(高値!$E$6,IFERROR(MATCH(売分析!$C191,銘柄管理!$B$6:$B$305,0),MATCH(TEXT(売分析!$C191,"0"),銘柄管理!$B$6:$B$305,0))-1,0,1,14))-SUM(OFFSET(安値!$E$6,IFERROR(MATCH(売分析!$C191,銘柄管理!$B$6:$B$305,0),MATCH(TEXT(売分析!$C191,"0"),銘柄管理!$B$6:$B$305,0))-1,0,1,14)))/SUM(OFFSET(終値!$E$6,IFERROR(MATCH(売分析!$C191,銘柄管理!$B$6:$B$305,0),MATCH(TEXT(売分析!$C191,"0"),銘柄管理!$B$6:$B$305,0))-1,0,1,14))*100,"")</f>
      </c>
      <c r="N191">
        <f>IFERROR((MAX(OFFSET(高値!$E$6,IFERROR(MATCH(売分析!$C191,銘柄管理!$B$6:$B$305,0),MATCH(TEXT(売分析!$C191,"0"),銘柄管理!$B$6:$B$305,0))-1,0,1,25))-MIN(OFFSET(安値!$E$6,IFERROR(MATCH(売分析!$C191,銘柄管理!$B$6:$B$305,0),MATCH(TEXT(売分析!$C191,"0"),銘柄管理!$B$6:$B$305,0))-1,0,1,25)))/売分析!$E191*100,"")</f>
      </c>
      <c r="O191">
        <f>IFERROR((売分析!$F191-売分析!$G191)/売分析!$G191*100,"")</f>
      </c>
      <c r="P191">
        <f>IFERROR((売分析!$E191-MAX(OFFSET(高値!$E$6,IFERROR(MATCH(売分析!$C191,銘柄管理!$B$6:$B$305,0),MATCH(TEXT(売分析!$C191,"0"),銘柄管理!$B$6:$B$305,0))-1,0,1,25)))/MAX(OFFSET(高値!$E$6,IFERROR(MATCH(売分析!$C191,銘柄管理!$B$6:$B$305,0),MATCH(TEXT(売分析!$C191,"0"),銘柄管理!$B$6:$B$305,0))-1,0,1,25))*100,"")</f>
      </c>
      <c r="Q191">
        <f>IFERROR((売分析!$H191-売分析!$I191)/売分析!$F191*100,"")</f>
      </c>
      <c r="R191">
        <f>IFERROR(5-COUNTIF($M$3:$M$206,"&lt;"&amp;$M191)/COUNT($M$3:$M$206)-COUNTIF($Q$3:$Q$206,"&lt;"&amp;$Q191)/COUNT($Q$3:$Q$206)-COUNTIF($N$3:$N$206,"&lt;"&amp;$N191)/COUNT($N$3:$N$206)-COUNTIF(売分析!$Z$3:$Z$206,"&lt;"&amp;売分析!$Z191)/COUNT(売分析!$Z$3:$Z$206)-COUNTIF($O$3:$O$206,"&lt;"&amp;$O191)/COUNT($O$3:$O$206),"")</f>
      </c>
      <c r="S191">
        <f>IF(OR(K191="",K191="TOPX",M191="",R191=""),0,IF(AND(V811設定!$E$12=1,M191&lt;=V811設定!$E$3,N191&lt;=V811設定!$E$4,O191&lt;=V811設定!$E$5,売分析!$Z191&lt;=V811設定!$E$6,売分析!$Z191&gt;=V811設定!$E$7,P191&gt;=V811設定!$E$8,Q191&lt;=V811設定!$E$9),1,0))</f>
      </c>
      <c r="T191">
        <f>IF(K191="","",IF(S191=1,"○ゲート通過",IF(V811設定!$E$12&lt;&gt;1,"― 停止中",IF(M191&gt;V811設定!$E$3,"×値動きが荒い",IF(N191&gt;V811設定!$E$4,"×レンジが広い",IF(O191&gt;V811設定!$E$5,"×窓を開けて上昇",IF(売分析!$Z191&gt;V811設定!$E$6,"×前日に急騰",IF(売分析!$Z191&lt;V811設定!$E$7,"×前日に急落",IF(P191&lt;V811設定!$E$8,"×高値から離れすぎ",IF(Q191&gt;V811設定!$E$9,"×当日の値幅が大きい","×"))))))))))</f>
      </c>
    </row>
    <row r="192" spans="1:20">
      <c r="A192">
        <f>IF(分析!$C192="","",分析!$C192)</f>
      </c>
      <c r="B192">
        <f>IF(分析!$C192="","",分析!$D192)</f>
      </c>
      <c r="C192">
        <f>IFERROR((SUM(OFFSET(高値!$E$6,IFERROR(MATCH(分析!$C192,銘柄管理!$B$6:$B$305,0),MATCH(TEXT(分析!$C192,"0"),銘柄管理!$B$6:$B$305,0))-1,0,1,14))-SUM(OFFSET(安値!$E$6,IFERROR(MATCH(分析!$C192,銘柄管理!$B$6:$B$305,0),MATCH(TEXT(分析!$C192,"0"),銘柄管理!$B$6:$B$305,0))-1,0,1,14)))/SUM(OFFSET(終値!$E$6,IFERROR(MATCH(分析!$C192,銘柄管理!$B$6:$B$305,0),MATCH(TEXT(分析!$C192,"0"),銘柄管理!$B$6:$B$305,0))-1,0,1,14))*100,"")</f>
      </c>
      <c r="D192">
        <f>IFERROR((MAX(OFFSET(高値!$E$6,IFERROR(MATCH(分析!$C192,銘柄管理!$B$6:$B$305,0),MATCH(TEXT(分析!$C192,"0"),銘柄管理!$B$6:$B$305,0))-1,0,1,25))-MIN(OFFSET(安値!$E$6,IFERROR(MATCH(分析!$C192,銘柄管理!$B$6:$B$305,0),MATCH(TEXT(分析!$C192,"0"),銘柄管理!$B$6:$B$305,0))-1,0,1,25)))/分析!$E192*100,"")</f>
      </c>
      <c r="E192">
        <f>IFERROR((分析!$F192-分析!$G192)/分析!$G192*100,"")</f>
      </c>
      <c r="F192">
        <f>IFERROR((分析!$E192-MAX(OFFSET(高値!$E$6,IFERROR(MATCH(分析!$C192,銘柄管理!$B$6:$B$305,0),MATCH(TEXT(分析!$C192,"0"),銘柄管理!$B$6:$B$305,0))-1,0,1,25)))/MAX(OFFSET(高値!$E$6,IFERROR(MATCH(分析!$C192,銘柄管理!$B$6:$B$305,0),MATCH(TEXT(分析!$C192,"0"),銘柄管理!$B$6:$B$305,0))-1,0,1,25))*100,"")</f>
      </c>
      <c r="G192">
        <f>IFERROR((分析!$H192-分析!$I192)/分析!$F192*100,"")</f>
      </c>
      <c r="H192">
        <f>IFERROR(5-COUNTIF($C$3:$C$206,"&lt;"&amp;$C192)/COUNT($C$3:$C$206)-COUNTIF($G$3:$G$206,"&lt;"&amp;$G192)/COUNT($G$3:$G$206)-COUNTIF($D$3:$D$206,"&lt;"&amp;$D192)/COUNT($D$3:$D$206)-COUNTIF(分析!$Z$3:$Z$206,"&lt;"&amp;分析!$Z192)/COUNT(分析!$Z$3:$Z$206)-COUNTIF($E$3:$E$206,"&lt;"&amp;$E192)/COUNT($E$3:$E$206),"")</f>
      </c>
      <c r="I192">
        <f>IF(OR(A192="",A192="TOPX",C192="",H192=""),0,IF(AND(V811設定!$E$11=1,C192&lt;=V811設定!$E$3,D192&lt;=V811設定!$E$4,E192&lt;=V811設定!$E$5,分析!$Z192&lt;=V811設定!$E$6,分析!$Z192&gt;=V811設定!$E$7,F192&gt;=V811設定!$E$8,G192&lt;=V811設定!$E$9),1,0))</f>
      </c>
      <c r="J192">
        <f>IF(A192="","",IF(I192=1,"○ゲート通過",IF(V811設定!$E$11&lt;&gt;1,"― 停止中",IF(C192&gt;V811設定!$E$3,"×値動きが荒い",IF(D192&gt;V811設定!$E$4,"×レンジが広い",IF(E192&gt;V811設定!$E$5,"×窓を開けて上昇",IF(分析!$Z192&gt;V811設定!$E$6,"×前日に急騰",IF(分析!$Z192&lt;V811設定!$E$7,"×前日に急落",IF(F192&lt;V811設定!$E$8,"×高値から離れすぎ",IF(G192&gt;V811設定!$E$9,"×当日の値幅が大きい","×"))))))))))</f>
      </c>
      <c r="K192">
        <f>IF(売分析!$C192="","",売分析!$C192)</f>
      </c>
      <c r="L192">
        <f>IF(売分析!$C192="","",売分析!$D192)</f>
      </c>
      <c r="M192">
        <f>IFERROR((SUM(OFFSET(高値!$E$6,IFERROR(MATCH(売分析!$C192,銘柄管理!$B$6:$B$305,0),MATCH(TEXT(売分析!$C192,"0"),銘柄管理!$B$6:$B$305,0))-1,0,1,14))-SUM(OFFSET(安値!$E$6,IFERROR(MATCH(売分析!$C192,銘柄管理!$B$6:$B$305,0),MATCH(TEXT(売分析!$C192,"0"),銘柄管理!$B$6:$B$305,0))-1,0,1,14)))/SUM(OFFSET(終値!$E$6,IFERROR(MATCH(売分析!$C192,銘柄管理!$B$6:$B$305,0),MATCH(TEXT(売分析!$C192,"0"),銘柄管理!$B$6:$B$305,0))-1,0,1,14))*100,"")</f>
      </c>
      <c r="N192">
        <f>IFERROR((MAX(OFFSET(高値!$E$6,IFERROR(MATCH(売分析!$C192,銘柄管理!$B$6:$B$305,0),MATCH(TEXT(売分析!$C192,"0"),銘柄管理!$B$6:$B$305,0))-1,0,1,25))-MIN(OFFSET(安値!$E$6,IFERROR(MATCH(売分析!$C192,銘柄管理!$B$6:$B$305,0),MATCH(TEXT(売分析!$C192,"0"),銘柄管理!$B$6:$B$305,0))-1,0,1,25)))/売分析!$E192*100,"")</f>
      </c>
      <c r="O192">
        <f>IFERROR((売分析!$F192-売分析!$G192)/売分析!$G192*100,"")</f>
      </c>
      <c r="P192">
        <f>IFERROR((売分析!$E192-MAX(OFFSET(高値!$E$6,IFERROR(MATCH(売分析!$C192,銘柄管理!$B$6:$B$305,0),MATCH(TEXT(売分析!$C192,"0"),銘柄管理!$B$6:$B$305,0))-1,0,1,25)))/MAX(OFFSET(高値!$E$6,IFERROR(MATCH(売分析!$C192,銘柄管理!$B$6:$B$305,0),MATCH(TEXT(売分析!$C192,"0"),銘柄管理!$B$6:$B$305,0))-1,0,1,25))*100,"")</f>
      </c>
      <c r="Q192">
        <f>IFERROR((売分析!$H192-売分析!$I192)/売分析!$F192*100,"")</f>
      </c>
      <c r="R192">
        <f>IFERROR(5-COUNTIF($M$3:$M$206,"&lt;"&amp;$M192)/COUNT($M$3:$M$206)-COUNTIF($Q$3:$Q$206,"&lt;"&amp;$Q192)/COUNT($Q$3:$Q$206)-COUNTIF($N$3:$N$206,"&lt;"&amp;$N192)/COUNT($N$3:$N$206)-COUNTIF(売分析!$Z$3:$Z$206,"&lt;"&amp;売分析!$Z192)/COUNT(売分析!$Z$3:$Z$206)-COUNTIF($O$3:$O$206,"&lt;"&amp;$O192)/COUNT($O$3:$O$206),"")</f>
      </c>
      <c r="S192">
        <f>IF(OR(K192="",K192="TOPX",M192="",R192=""),0,IF(AND(V811設定!$E$12=1,M192&lt;=V811設定!$E$3,N192&lt;=V811設定!$E$4,O192&lt;=V811設定!$E$5,売分析!$Z192&lt;=V811設定!$E$6,売分析!$Z192&gt;=V811設定!$E$7,P192&gt;=V811設定!$E$8,Q192&lt;=V811設定!$E$9),1,0))</f>
      </c>
      <c r="T192">
        <f>IF(K192="","",IF(S192=1,"○ゲート通過",IF(V811設定!$E$12&lt;&gt;1,"― 停止中",IF(M192&gt;V811設定!$E$3,"×値動きが荒い",IF(N192&gt;V811設定!$E$4,"×レンジが広い",IF(O192&gt;V811設定!$E$5,"×窓を開けて上昇",IF(売分析!$Z192&gt;V811設定!$E$6,"×前日に急騰",IF(売分析!$Z192&lt;V811設定!$E$7,"×前日に急落",IF(P192&lt;V811設定!$E$8,"×高値から離れすぎ",IF(Q192&gt;V811設定!$E$9,"×当日の値幅が大きい","×"))))))))))</f>
      </c>
    </row>
    <row r="193" spans="1:20">
      <c r="A193">
        <f>IF(分析!$C193="","",分析!$C193)</f>
      </c>
      <c r="B193">
        <f>IF(分析!$C193="","",分析!$D193)</f>
      </c>
      <c r="C193">
        <f>IFERROR((SUM(OFFSET(高値!$E$6,IFERROR(MATCH(分析!$C193,銘柄管理!$B$6:$B$305,0),MATCH(TEXT(分析!$C193,"0"),銘柄管理!$B$6:$B$305,0))-1,0,1,14))-SUM(OFFSET(安値!$E$6,IFERROR(MATCH(分析!$C193,銘柄管理!$B$6:$B$305,0),MATCH(TEXT(分析!$C193,"0"),銘柄管理!$B$6:$B$305,0))-1,0,1,14)))/SUM(OFFSET(終値!$E$6,IFERROR(MATCH(分析!$C193,銘柄管理!$B$6:$B$305,0),MATCH(TEXT(分析!$C193,"0"),銘柄管理!$B$6:$B$305,0))-1,0,1,14))*100,"")</f>
      </c>
      <c r="D193">
        <f>IFERROR((MAX(OFFSET(高値!$E$6,IFERROR(MATCH(分析!$C193,銘柄管理!$B$6:$B$305,0),MATCH(TEXT(分析!$C193,"0"),銘柄管理!$B$6:$B$305,0))-1,0,1,25))-MIN(OFFSET(安値!$E$6,IFERROR(MATCH(分析!$C193,銘柄管理!$B$6:$B$305,0),MATCH(TEXT(分析!$C193,"0"),銘柄管理!$B$6:$B$305,0))-1,0,1,25)))/分析!$E193*100,"")</f>
      </c>
      <c r="E193">
        <f>IFERROR((分析!$F193-分析!$G193)/分析!$G193*100,"")</f>
      </c>
      <c r="F193">
        <f>IFERROR((分析!$E193-MAX(OFFSET(高値!$E$6,IFERROR(MATCH(分析!$C193,銘柄管理!$B$6:$B$305,0),MATCH(TEXT(分析!$C193,"0"),銘柄管理!$B$6:$B$305,0))-1,0,1,25)))/MAX(OFFSET(高値!$E$6,IFERROR(MATCH(分析!$C193,銘柄管理!$B$6:$B$305,0),MATCH(TEXT(分析!$C193,"0"),銘柄管理!$B$6:$B$305,0))-1,0,1,25))*100,"")</f>
      </c>
      <c r="G193">
        <f>IFERROR((分析!$H193-分析!$I193)/分析!$F193*100,"")</f>
      </c>
      <c r="H193">
        <f>IFERROR(5-COUNTIF($C$3:$C$206,"&lt;"&amp;$C193)/COUNT($C$3:$C$206)-COUNTIF($G$3:$G$206,"&lt;"&amp;$G193)/COUNT($G$3:$G$206)-COUNTIF($D$3:$D$206,"&lt;"&amp;$D193)/COUNT($D$3:$D$206)-COUNTIF(分析!$Z$3:$Z$206,"&lt;"&amp;分析!$Z193)/COUNT(分析!$Z$3:$Z$206)-COUNTIF($E$3:$E$206,"&lt;"&amp;$E193)/COUNT($E$3:$E$206),"")</f>
      </c>
      <c r="I193">
        <f>IF(OR(A193="",A193="TOPX",C193="",H193=""),0,IF(AND(V811設定!$E$11=1,C193&lt;=V811設定!$E$3,D193&lt;=V811設定!$E$4,E193&lt;=V811設定!$E$5,分析!$Z193&lt;=V811設定!$E$6,分析!$Z193&gt;=V811設定!$E$7,F193&gt;=V811設定!$E$8,G193&lt;=V811設定!$E$9),1,0))</f>
      </c>
      <c r="J193">
        <f>IF(A193="","",IF(I193=1,"○ゲート通過",IF(V811設定!$E$11&lt;&gt;1,"― 停止中",IF(C193&gt;V811設定!$E$3,"×値動きが荒い",IF(D193&gt;V811設定!$E$4,"×レンジが広い",IF(E193&gt;V811設定!$E$5,"×窓を開けて上昇",IF(分析!$Z193&gt;V811設定!$E$6,"×前日に急騰",IF(分析!$Z193&lt;V811設定!$E$7,"×前日に急落",IF(F193&lt;V811設定!$E$8,"×高値から離れすぎ",IF(G193&gt;V811設定!$E$9,"×当日の値幅が大きい","×"))))))))))</f>
      </c>
      <c r="K193">
        <f>IF(売分析!$C193="","",売分析!$C193)</f>
      </c>
      <c r="L193">
        <f>IF(売分析!$C193="","",売分析!$D193)</f>
      </c>
      <c r="M193">
        <f>IFERROR((SUM(OFFSET(高値!$E$6,IFERROR(MATCH(売分析!$C193,銘柄管理!$B$6:$B$305,0),MATCH(TEXT(売分析!$C193,"0"),銘柄管理!$B$6:$B$305,0))-1,0,1,14))-SUM(OFFSET(安値!$E$6,IFERROR(MATCH(売分析!$C193,銘柄管理!$B$6:$B$305,0),MATCH(TEXT(売分析!$C193,"0"),銘柄管理!$B$6:$B$305,0))-1,0,1,14)))/SUM(OFFSET(終値!$E$6,IFERROR(MATCH(売分析!$C193,銘柄管理!$B$6:$B$305,0),MATCH(TEXT(売分析!$C193,"0"),銘柄管理!$B$6:$B$305,0))-1,0,1,14))*100,"")</f>
      </c>
      <c r="N193">
        <f>IFERROR((MAX(OFFSET(高値!$E$6,IFERROR(MATCH(売分析!$C193,銘柄管理!$B$6:$B$305,0),MATCH(TEXT(売分析!$C193,"0"),銘柄管理!$B$6:$B$305,0))-1,0,1,25))-MIN(OFFSET(安値!$E$6,IFERROR(MATCH(売分析!$C193,銘柄管理!$B$6:$B$305,0),MATCH(TEXT(売分析!$C193,"0"),銘柄管理!$B$6:$B$305,0))-1,0,1,25)))/売分析!$E193*100,"")</f>
      </c>
      <c r="O193">
        <f>IFERROR((売分析!$F193-売分析!$G193)/売分析!$G193*100,"")</f>
      </c>
      <c r="P193">
        <f>IFERROR((売分析!$E193-MAX(OFFSET(高値!$E$6,IFERROR(MATCH(売分析!$C193,銘柄管理!$B$6:$B$305,0),MATCH(TEXT(売分析!$C193,"0"),銘柄管理!$B$6:$B$305,0))-1,0,1,25)))/MAX(OFFSET(高値!$E$6,IFERROR(MATCH(売分析!$C193,銘柄管理!$B$6:$B$305,0),MATCH(TEXT(売分析!$C193,"0"),銘柄管理!$B$6:$B$305,0))-1,0,1,25))*100,"")</f>
      </c>
      <c r="Q193">
        <f>IFERROR((売分析!$H193-売分析!$I193)/売分析!$F193*100,"")</f>
      </c>
      <c r="R193">
        <f>IFERROR(5-COUNTIF($M$3:$M$206,"&lt;"&amp;$M193)/COUNT($M$3:$M$206)-COUNTIF($Q$3:$Q$206,"&lt;"&amp;$Q193)/COUNT($Q$3:$Q$206)-COUNTIF($N$3:$N$206,"&lt;"&amp;$N193)/COUNT($N$3:$N$206)-COUNTIF(売分析!$Z$3:$Z$206,"&lt;"&amp;売分析!$Z193)/COUNT(売分析!$Z$3:$Z$206)-COUNTIF($O$3:$O$206,"&lt;"&amp;$O193)/COUNT($O$3:$O$206),"")</f>
      </c>
      <c r="S193">
        <f>IF(OR(K193="",K193="TOPX",M193="",R193=""),0,IF(AND(V811設定!$E$12=1,M193&lt;=V811設定!$E$3,N193&lt;=V811設定!$E$4,O193&lt;=V811設定!$E$5,売分析!$Z193&lt;=V811設定!$E$6,売分析!$Z193&gt;=V811設定!$E$7,P193&gt;=V811設定!$E$8,Q193&lt;=V811設定!$E$9),1,0))</f>
      </c>
      <c r="T193">
        <f>IF(K193="","",IF(S193=1,"○ゲート通過",IF(V811設定!$E$12&lt;&gt;1,"― 停止中",IF(M193&gt;V811設定!$E$3,"×値動きが荒い",IF(N193&gt;V811設定!$E$4,"×レンジが広い",IF(O193&gt;V811設定!$E$5,"×窓を開けて上昇",IF(売分析!$Z193&gt;V811設定!$E$6,"×前日に急騰",IF(売分析!$Z193&lt;V811設定!$E$7,"×前日に急落",IF(P193&lt;V811設定!$E$8,"×高値から離れすぎ",IF(Q193&gt;V811設定!$E$9,"×当日の値幅が大きい","×"))))))))))</f>
      </c>
    </row>
    <row r="194" spans="1:20">
      <c r="A194">
        <f>IF(分析!$C194="","",分析!$C194)</f>
      </c>
      <c r="B194">
        <f>IF(分析!$C194="","",分析!$D194)</f>
      </c>
      <c r="C194">
        <f>IFERROR((SUM(OFFSET(高値!$E$6,IFERROR(MATCH(分析!$C194,銘柄管理!$B$6:$B$305,0),MATCH(TEXT(分析!$C194,"0"),銘柄管理!$B$6:$B$305,0))-1,0,1,14))-SUM(OFFSET(安値!$E$6,IFERROR(MATCH(分析!$C194,銘柄管理!$B$6:$B$305,0),MATCH(TEXT(分析!$C194,"0"),銘柄管理!$B$6:$B$305,0))-1,0,1,14)))/SUM(OFFSET(終値!$E$6,IFERROR(MATCH(分析!$C194,銘柄管理!$B$6:$B$305,0),MATCH(TEXT(分析!$C194,"0"),銘柄管理!$B$6:$B$305,0))-1,0,1,14))*100,"")</f>
      </c>
      <c r="D194">
        <f>IFERROR((MAX(OFFSET(高値!$E$6,IFERROR(MATCH(分析!$C194,銘柄管理!$B$6:$B$305,0),MATCH(TEXT(分析!$C194,"0"),銘柄管理!$B$6:$B$305,0))-1,0,1,25))-MIN(OFFSET(安値!$E$6,IFERROR(MATCH(分析!$C194,銘柄管理!$B$6:$B$305,0),MATCH(TEXT(分析!$C194,"0"),銘柄管理!$B$6:$B$305,0))-1,0,1,25)))/分析!$E194*100,"")</f>
      </c>
      <c r="E194">
        <f>IFERROR((分析!$F194-分析!$G194)/分析!$G194*100,"")</f>
      </c>
      <c r="F194">
        <f>IFERROR((分析!$E194-MAX(OFFSET(高値!$E$6,IFERROR(MATCH(分析!$C194,銘柄管理!$B$6:$B$305,0),MATCH(TEXT(分析!$C194,"0"),銘柄管理!$B$6:$B$305,0))-1,0,1,25)))/MAX(OFFSET(高値!$E$6,IFERROR(MATCH(分析!$C194,銘柄管理!$B$6:$B$305,0),MATCH(TEXT(分析!$C194,"0"),銘柄管理!$B$6:$B$305,0))-1,0,1,25))*100,"")</f>
      </c>
      <c r="G194">
        <f>IFERROR((分析!$H194-分析!$I194)/分析!$F194*100,"")</f>
      </c>
      <c r="H194">
        <f>IFERROR(5-COUNTIF($C$3:$C$206,"&lt;"&amp;$C194)/COUNT($C$3:$C$206)-COUNTIF($G$3:$G$206,"&lt;"&amp;$G194)/COUNT($G$3:$G$206)-COUNTIF($D$3:$D$206,"&lt;"&amp;$D194)/COUNT($D$3:$D$206)-COUNTIF(分析!$Z$3:$Z$206,"&lt;"&amp;分析!$Z194)/COUNT(分析!$Z$3:$Z$206)-COUNTIF($E$3:$E$206,"&lt;"&amp;$E194)/COUNT($E$3:$E$206),"")</f>
      </c>
      <c r="I194">
        <f>IF(OR(A194="",A194="TOPX",C194="",H194=""),0,IF(AND(V811設定!$E$11=1,C194&lt;=V811設定!$E$3,D194&lt;=V811設定!$E$4,E194&lt;=V811設定!$E$5,分析!$Z194&lt;=V811設定!$E$6,分析!$Z194&gt;=V811設定!$E$7,F194&gt;=V811設定!$E$8,G194&lt;=V811設定!$E$9),1,0))</f>
      </c>
      <c r="J194">
        <f>IF(A194="","",IF(I194=1,"○ゲート通過",IF(V811設定!$E$11&lt;&gt;1,"― 停止中",IF(C194&gt;V811設定!$E$3,"×値動きが荒い",IF(D194&gt;V811設定!$E$4,"×レンジが広い",IF(E194&gt;V811設定!$E$5,"×窓を開けて上昇",IF(分析!$Z194&gt;V811設定!$E$6,"×前日に急騰",IF(分析!$Z194&lt;V811設定!$E$7,"×前日に急落",IF(F194&lt;V811設定!$E$8,"×高値から離れすぎ",IF(G194&gt;V811設定!$E$9,"×当日の値幅が大きい","×"))))))))))</f>
      </c>
      <c r="K194">
        <f>IF(売分析!$C194="","",売分析!$C194)</f>
      </c>
      <c r="L194">
        <f>IF(売分析!$C194="","",売分析!$D194)</f>
      </c>
      <c r="M194">
        <f>IFERROR((SUM(OFFSET(高値!$E$6,IFERROR(MATCH(売分析!$C194,銘柄管理!$B$6:$B$305,0),MATCH(TEXT(売分析!$C194,"0"),銘柄管理!$B$6:$B$305,0))-1,0,1,14))-SUM(OFFSET(安値!$E$6,IFERROR(MATCH(売分析!$C194,銘柄管理!$B$6:$B$305,0),MATCH(TEXT(売分析!$C194,"0"),銘柄管理!$B$6:$B$305,0))-1,0,1,14)))/SUM(OFFSET(終値!$E$6,IFERROR(MATCH(売分析!$C194,銘柄管理!$B$6:$B$305,0),MATCH(TEXT(売分析!$C194,"0"),銘柄管理!$B$6:$B$305,0))-1,0,1,14))*100,"")</f>
      </c>
      <c r="N194">
        <f>IFERROR((MAX(OFFSET(高値!$E$6,IFERROR(MATCH(売分析!$C194,銘柄管理!$B$6:$B$305,0),MATCH(TEXT(売分析!$C194,"0"),銘柄管理!$B$6:$B$305,0))-1,0,1,25))-MIN(OFFSET(安値!$E$6,IFERROR(MATCH(売分析!$C194,銘柄管理!$B$6:$B$305,0),MATCH(TEXT(売分析!$C194,"0"),銘柄管理!$B$6:$B$305,0))-1,0,1,25)))/売分析!$E194*100,"")</f>
      </c>
      <c r="O194">
        <f>IFERROR((売分析!$F194-売分析!$G194)/売分析!$G194*100,"")</f>
      </c>
      <c r="P194">
        <f>IFERROR((売分析!$E194-MAX(OFFSET(高値!$E$6,IFERROR(MATCH(売分析!$C194,銘柄管理!$B$6:$B$305,0),MATCH(TEXT(売分析!$C194,"0"),銘柄管理!$B$6:$B$305,0))-1,0,1,25)))/MAX(OFFSET(高値!$E$6,IFERROR(MATCH(売分析!$C194,銘柄管理!$B$6:$B$305,0),MATCH(TEXT(売分析!$C194,"0"),銘柄管理!$B$6:$B$305,0))-1,0,1,25))*100,"")</f>
      </c>
      <c r="Q194">
        <f>IFERROR((売分析!$H194-売分析!$I194)/売分析!$F194*100,"")</f>
      </c>
      <c r="R194">
        <f>IFERROR(5-COUNTIF($M$3:$M$206,"&lt;"&amp;$M194)/COUNT($M$3:$M$206)-COUNTIF($Q$3:$Q$206,"&lt;"&amp;$Q194)/COUNT($Q$3:$Q$206)-COUNTIF($N$3:$N$206,"&lt;"&amp;$N194)/COUNT($N$3:$N$206)-COUNTIF(売分析!$Z$3:$Z$206,"&lt;"&amp;売分析!$Z194)/COUNT(売分析!$Z$3:$Z$206)-COUNTIF($O$3:$O$206,"&lt;"&amp;$O194)/COUNT($O$3:$O$206),"")</f>
      </c>
      <c r="S194">
        <f>IF(OR(K194="",K194="TOPX",M194="",R194=""),0,IF(AND(V811設定!$E$12=1,M194&lt;=V811設定!$E$3,N194&lt;=V811設定!$E$4,O194&lt;=V811設定!$E$5,売分析!$Z194&lt;=V811設定!$E$6,売分析!$Z194&gt;=V811設定!$E$7,P194&gt;=V811設定!$E$8,Q194&lt;=V811設定!$E$9),1,0))</f>
      </c>
      <c r="T194">
        <f>IF(K194="","",IF(S194=1,"○ゲート通過",IF(V811設定!$E$12&lt;&gt;1,"― 停止中",IF(M194&gt;V811設定!$E$3,"×値動きが荒い",IF(N194&gt;V811設定!$E$4,"×レンジが広い",IF(O194&gt;V811設定!$E$5,"×窓を開けて上昇",IF(売分析!$Z194&gt;V811設定!$E$6,"×前日に急騰",IF(売分析!$Z194&lt;V811設定!$E$7,"×前日に急落",IF(P194&lt;V811設定!$E$8,"×高値から離れすぎ",IF(Q194&gt;V811設定!$E$9,"×当日の値幅が大きい","×"))))))))))</f>
      </c>
    </row>
    <row r="195" spans="1:20">
      <c r="A195">
        <f>IF(分析!$C195="","",分析!$C195)</f>
      </c>
      <c r="B195">
        <f>IF(分析!$C195="","",分析!$D195)</f>
      </c>
      <c r="C195">
        <f>IFERROR((SUM(OFFSET(高値!$E$6,IFERROR(MATCH(分析!$C195,銘柄管理!$B$6:$B$305,0),MATCH(TEXT(分析!$C195,"0"),銘柄管理!$B$6:$B$305,0))-1,0,1,14))-SUM(OFFSET(安値!$E$6,IFERROR(MATCH(分析!$C195,銘柄管理!$B$6:$B$305,0),MATCH(TEXT(分析!$C195,"0"),銘柄管理!$B$6:$B$305,0))-1,0,1,14)))/SUM(OFFSET(終値!$E$6,IFERROR(MATCH(分析!$C195,銘柄管理!$B$6:$B$305,0),MATCH(TEXT(分析!$C195,"0"),銘柄管理!$B$6:$B$305,0))-1,0,1,14))*100,"")</f>
      </c>
      <c r="D195">
        <f>IFERROR((MAX(OFFSET(高値!$E$6,IFERROR(MATCH(分析!$C195,銘柄管理!$B$6:$B$305,0),MATCH(TEXT(分析!$C195,"0"),銘柄管理!$B$6:$B$305,0))-1,0,1,25))-MIN(OFFSET(安値!$E$6,IFERROR(MATCH(分析!$C195,銘柄管理!$B$6:$B$305,0),MATCH(TEXT(分析!$C195,"0"),銘柄管理!$B$6:$B$305,0))-1,0,1,25)))/分析!$E195*100,"")</f>
      </c>
      <c r="E195">
        <f>IFERROR((分析!$F195-分析!$G195)/分析!$G195*100,"")</f>
      </c>
      <c r="F195">
        <f>IFERROR((分析!$E195-MAX(OFFSET(高値!$E$6,IFERROR(MATCH(分析!$C195,銘柄管理!$B$6:$B$305,0),MATCH(TEXT(分析!$C195,"0"),銘柄管理!$B$6:$B$305,0))-1,0,1,25)))/MAX(OFFSET(高値!$E$6,IFERROR(MATCH(分析!$C195,銘柄管理!$B$6:$B$305,0),MATCH(TEXT(分析!$C195,"0"),銘柄管理!$B$6:$B$305,0))-1,0,1,25))*100,"")</f>
      </c>
      <c r="G195">
        <f>IFERROR((分析!$H195-分析!$I195)/分析!$F195*100,"")</f>
      </c>
      <c r="H195">
        <f>IFERROR(5-COUNTIF($C$3:$C$206,"&lt;"&amp;$C195)/COUNT($C$3:$C$206)-COUNTIF($G$3:$G$206,"&lt;"&amp;$G195)/COUNT($G$3:$G$206)-COUNTIF($D$3:$D$206,"&lt;"&amp;$D195)/COUNT($D$3:$D$206)-COUNTIF(分析!$Z$3:$Z$206,"&lt;"&amp;分析!$Z195)/COUNT(分析!$Z$3:$Z$206)-COUNTIF($E$3:$E$206,"&lt;"&amp;$E195)/COUNT($E$3:$E$206),"")</f>
      </c>
      <c r="I195">
        <f>IF(OR(A195="",A195="TOPX",C195="",H195=""),0,IF(AND(V811設定!$E$11=1,C195&lt;=V811設定!$E$3,D195&lt;=V811設定!$E$4,E195&lt;=V811設定!$E$5,分析!$Z195&lt;=V811設定!$E$6,分析!$Z195&gt;=V811設定!$E$7,F195&gt;=V811設定!$E$8,G195&lt;=V811設定!$E$9),1,0))</f>
      </c>
      <c r="J195">
        <f>IF(A195="","",IF(I195=1,"○ゲート通過",IF(V811設定!$E$11&lt;&gt;1,"― 停止中",IF(C195&gt;V811設定!$E$3,"×値動きが荒い",IF(D195&gt;V811設定!$E$4,"×レンジが広い",IF(E195&gt;V811設定!$E$5,"×窓を開けて上昇",IF(分析!$Z195&gt;V811設定!$E$6,"×前日に急騰",IF(分析!$Z195&lt;V811設定!$E$7,"×前日に急落",IF(F195&lt;V811設定!$E$8,"×高値から離れすぎ",IF(G195&gt;V811設定!$E$9,"×当日の値幅が大きい","×"))))))))))</f>
      </c>
      <c r="K195">
        <f>IF(売分析!$C195="","",売分析!$C195)</f>
      </c>
      <c r="L195">
        <f>IF(売分析!$C195="","",売分析!$D195)</f>
      </c>
      <c r="M195">
        <f>IFERROR((SUM(OFFSET(高値!$E$6,IFERROR(MATCH(売分析!$C195,銘柄管理!$B$6:$B$305,0),MATCH(TEXT(売分析!$C195,"0"),銘柄管理!$B$6:$B$305,0))-1,0,1,14))-SUM(OFFSET(安値!$E$6,IFERROR(MATCH(売分析!$C195,銘柄管理!$B$6:$B$305,0),MATCH(TEXT(売分析!$C195,"0"),銘柄管理!$B$6:$B$305,0))-1,0,1,14)))/SUM(OFFSET(終値!$E$6,IFERROR(MATCH(売分析!$C195,銘柄管理!$B$6:$B$305,0),MATCH(TEXT(売分析!$C195,"0"),銘柄管理!$B$6:$B$305,0))-1,0,1,14))*100,"")</f>
      </c>
      <c r="N195">
        <f>IFERROR((MAX(OFFSET(高値!$E$6,IFERROR(MATCH(売分析!$C195,銘柄管理!$B$6:$B$305,0),MATCH(TEXT(売分析!$C195,"0"),銘柄管理!$B$6:$B$305,0))-1,0,1,25))-MIN(OFFSET(安値!$E$6,IFERROR(MATCH(売分析!$C195,銘柄管理!$B$6:$B$305,0),MATCH(TEXT(売分析!$C195,"0"),銘柄管理!$B$6:$B$305,0))-1,0,1,25)))/売分析!$E195*100,"")</f>
      </c>
      <c r="O195">
        <f>IFERROR((売分析!$F195-売分析!$G195)/売分析!$G195*100,"")</f>
      </c>
      <c r="P195">
        <f>IFERROR((売分析!$E195-MAX(OFFSET(高値!$E$6,IFERROR(MATCH(売分析!$C195,銘柄管理!$B$6:$B$305,0),MATCH(TEXT(売分析!$C195,"0"),銘柄管理!$B$6:$B$305,0))-1,0,1,25)))/MAX(OFFSET(高値!$E$6,IFERROR(MATCH(売分析!$C195,銘柄管理!$B$6:$B$305,0),MATCH(TEXT(売分析!$C195,"0"),銘柄管理!$B$6:$B$305,0))-1,0,1,25))*100,"")</f>
      </c>
      <c r="Q195">
        <f>IFERROR((売分析!$H195-売分析!$I195)/売分析!$F195*100,"")</f>
      </c>
      <c r="R195">
        <f>IFERROR(5-COUNTIF($M$3:$M$206,"&lt;"&amp;$M195)/COUNT($M$3:$M$206)-COUNTIF($Q$3:$Q$206,"&lt;"&amp;$Q195)/COUNT($Q$3:$Q$206)-COUNTIF($N$3:$N$206,"&lt;"&amp;$N195)/COUNT($N$3:$N$206)-COUNTIF(売分析!$Z$3:$Z$206,"&lt;"&amp;売分析!$Z195)/COUNT(売分析!$Z$3:$Z$206)-COUNTIF($O$3:$O$206,"&lt;"&amp;$O195)/COUNT($O$3:$O$206),"")</f>
      </c>
      <c r="S195">
        <f>IF(OR(K195="",K195="TOPX",M195="",R195=""),0,IF(AND(V811設定!$E$12=1,M195&lt;=V811設定!$E$3,N195&lt;=V811設定!$E$4,O195&lt;=V811設定!$E$5,売分析!$Z195&lt;=V811設定!$E$6,売分析!$Z195&gt;=V811設定!$E$7,P195&gt;=V811設定!$E$8,Q195&lt;=V811設定!$E$9),1,0))</f>
      </c>
      <c r="T195">
        <f>IF(K195="","",IF(S195=1,"○ゲート通過",IF(V811設定!$E$12&lt;&gt;1,"― 停止中",IF(M195&gt;V811設定!$E$3,"×値動きが荒い",IF(N195&gt;V811設定!$E$4,"×レンジが広い",IF(O195&gt;V811設定!$E$5,"×窓を開けて上昇",IF(売分析!$Z195&gt;V811設定!$E$6,"×前日に急騰",IF(売分析!$Z195&lt;V811設定!$E$7,"×前日に急落",IF(P195&lt;V811設定!$E$8,"×高値から離れすぎ",IF(Q195&gt;V811設定!$E$9,"×当日の値幅が大きい","×"))))))))))</f>
      </c>
    </row>
    <row r="196" spans="1:20">
      <c r="A196">
        <f>IF(分析!$C196="","",分析!$C196)</f>
      </c>
      <c r="B196">
        <f>IF(分析!$C196="","",分析!$D196)</f>
      </c>
      <c r="C196">
        <f>IFERROR((SUM(OFFSET(高値!$E$6,IFERROR(MATCH(分析!$C196,銘柄管理!$B$6:$B$305,0),MATCH(TEXT(分析!$C196,"0"),銘柄管理!$B$6:$B$305,0))-1,0,1,14))-SUM(OFFSET(安値!$E$6,IFERROR(MATCH(分析!$C196,銘柄管理!$B$6:$B$305,0),MATCH(TEXT(分析!$C196,"0"),銘柄管理!$B$6:$B$305,0))-1,0,1,14)))/SUM(OFFSET(終値!$E$6,IFERROR(MATCH(分析!$C196,銘柄管理!$B$6:$B$305,0),MATCH(TEXT(分析!$C196,"0"),銘柄管理!$B$6:$B$305,0))-1,0,1,14))*100,"")</f>
      </c>
      <c r="D196">
        <f>IFERROR((MAX(OFFSET(高値!$E$6,IFERROR(MATCH(分析!$C196,銘柄管理!$B$6:$B$305,0),MATCH(TEXT(分析!$C196,"0"),銘柄管理!$B$6:$B$305,0))-1,0,1,25))-MIN(OFFSET(安値!$E$6,IFERROR(MATCH(分析!$C196,銘柄管理!$B$6:$B$305,0),MATCH(TEXT(分析!$C196,"0"),銘柄管理!$B$6:$B$305,0))-1,0,1,25)))/分析!$E196*100,"")</f>
      </c>
      <c r="E196">
        <f>IFERROR((分析!$F196-分析!$G196)/分析!$G196*100,"")</f>
      </c>
      <c r="F196">
        <f>IFERROR((分析!$E196-MAX(OFFSET(高値!$E$6,IFERROR(MATCH(分析!$C196,銘柄管理!$B$6:$B$305,0),MATCH(TEXT(分析!$C196,"0"),銘柄管理!$B$6:$B$305,0))-1,0,1,25)))/MAX(OFFSET(高値!$E$6,IFERROR(MATCH(分析!$C196,銘柄管理!$B$6:$B$305,0),MATCH(TEXT(分析!$C196,"0"),銘柄管理!$B$6:$B$305,0))-1,0,1,25))*100,"")</f>
      </c>
      <c r="G196">
        <f>IFERROR((分析!$H196-分析!$I196)/分析!$F196*100,"")</f>
      </c>
      <c r="H196">
        <f>IFERROR(5-COUNTIF($C$3:$C$206,"&lt;"&amp;$C196)/COUNT($C$3:$C$206)-COUNTIF($G$3:$G$206,"&lt;"&amp;$G196)/COUNT($G$3:$G$206)-COUNTIF($D$3:$D$206,"&lt;"&amp;$D196)/COUNT($D$3:$D$206)-COUNTIF(分析!$Z$3:$Z$206,"&lt;"&amp;分析!$Z196)/COUNT(分析!$Z$3:$Z$206)-COUNTIF($E$3:$E$206,"&lt;"&amp;$E196)/COUNT($E$3:$E$206),"")</f>
      </c>
      <c r="I196">
        <f>IF(OR(A196="",A196="TOPX",C196="",H196=""),0,IF(AND(V811設定!$E$11=1,C196&lt;=V811設定!$E$3,D196&lt;=V811設定!$E$4,E196&lt;=V811設定!$E$5,分析!$Z196&lt;=V811設定!$E$6,分析!$Z196&gt;=V811設定!$E$7,F196&gt;=V811設定!$E$8,G196&lt;=V811設定!$E$9),1,0))</f>
      </c>
      <c r="J196">
        <f>IF(A196="","",IF(I196=1,"○ゲート通過",IF(V811設定!$E$11&lt;&gt;1,"― 停止中",IF(C196&gt;V811設定!$E$3,"×値動きが荒い",IF(D196&gt;V811設定!$E$4,"×レンジが広い",IF(E196&gt;V811設定!$E$5,"×窓を開けて上昇",IF(分析!$Z196&gt;V811設定!$E$6,"×前日に急騰",IF(分析!$Z196&lt;V811設定!$E$7,"×前日に急落",IF(F196&lt;V811設定!$E$8,"×高値から離れすぎ",IF(G196&gt;V811設定!$E$9,"×当日の値幅が大きい","×"))))))))))</f>
      </c>
      <c r="K196">
        <f>IF(売分析!$C196="","",売分析!$C196)</f>
      </c>
      <c r="L196">
        <f>IF(売分析!$C196="","",売分析!$D196)</f>
      </c>
      <c r="M196">
        <f>IFERROR((SUM(OFFSET(高値!$E$6,IFERROR(MATCH(売分析!$C196,銘柄管理!$B$6:$B$305,0),MATCH(TEXT(売分析!$C196,"0"),銘柄管理!$B$6:$B$305,0))-1,0,1,14))-SUM(OFFSET(安値!$E$6,IFERROR(MATCH(売分析!$C196,銘柄管理!$B$6:$B$305,0),MATCH(TEXT(売分析!$C196,"0"),銘柄管理!$B$6:$B$305,0))-1,0,1,14)))/SUM(OFFSET(終値!$E$6,IFERROR(MATCH(売分析!$C196,銘柄管理!$B$6:$B$305,0),MATCH(TEXT(売分析!$C196,"0"),銘柄管理!$B$6:$B$305,0))-1,0,1,14))*100,"")</f>
      </c>
      <c r="N196">
        <f>IFERROR((MAX(OFFSET(高値!$E$6,IFERROR(MATCH(売分析!$C196,銘柄管理!$B$6:$B$305,0),MATCH(TEXT(売分析!$C196,"0"),銘柄管理!$B$6:$B$305,0))-1,0,1,25))-MIN(OFFSET(安値!$E$6,IFERROR(MATCH(売分析!$C196,銘柄管理!$B$6:$B$305,0),MATCH(TEXT(売分析!$C196,"0"),銘柄管理!$B$6:$B$305,0))-1,0,1,25)))/売分析!$E196*100,"")</f>
      </c>
      <c r="O196">
        <f>IFERROR((売分析!$F196-売分析!$G196)/売分析!$G196*100,"")</f>
      </c>
      <c r="P196">
        <f>IFERROR((売分析!$E196-MAX(OFFSET(高値!$E$6,IFERROR(MATCH(売分析!$C196,銘柄管理!$B$6:$B$305,0),MATCH(TEXT(売分析!$C196,"0"),銘柄管理!$B$6:$B$305,0))-1,0,1,25)))/MAX(OFFSET(高値!$E$6,IFERROR(MATCH(売分析!$C196,銘柄管理!$B$6:$B$305,0),MATCH(TEXT(売分析!$C196,"0"),銘柄管理!$B$6:$B$305,0))-1,0,1,25))*100,"")</f>
      </c>
      <c r="Q196">
        <f>IFERROR((売分析!$H196-売分析!$I196)/売分析!$F196*100,"")</f>
      </c>
      <c r="R196">
        <f>IFERROR(5-COUNTIF($M$3:$M$206,"&lt;"&amp;$M196)/COUNT($M$3:$M$206)-COUNTIF($Q$3:$Q$206,"&lt;"&amp;$Q196)/COUNT($Q$3:$Q$206)-COUNTIF($N$3:$N$206,"&lt;"&amp;$N196)/COUNT($N$3:$N$206)-COUNTIF(売分析!$Z$3:$Z$206,"&lt;"&amp;売分析!$Z196)/COUNT(売分析!$Z$3:$Z$206)-COUNTIF($O$3:$O$206,"&lt;"&amp;$O196)/COUNT($O$3:$O$206),"")</f>
      </c>
      <c r="S196">
        <f>IF(OR(K196="",K196="TOPX",M196="",R196=""),0,IF(AND(V811設定!$E$12=1,M196&lt;=V811設定!$E$3,N196&lt;=V811設定!$E$4,O196&lt;=V811設定!$E$5,売分析!$Z196&lt;=V811設定!$E$6,売分析!$Z196&gt;=V811設定!$E$7,P196&gt;=V811設定!$E$8,Q196&lt;=V811設定!$E$9),1,0))</f>
      </c>
      <c r="T196">
        <f>IF(K196="","",IF(S196=1,"○ゲート通過",IF(V811設定!$E$12&lt;&gt;1,"― 停止中",IF(M196&gt;V811設定!$E$3,"×値動きが荒い",IF(N196&gt;V811設定!$E$4,"×レンジが広い",IF(O196&gt;V811設定!$E$5,"×窓を開けて上昇",IF(売分析!$Z196&gt;V811設定!$E$6,"×前日に急騰",IF(売分析!$Z196&lt;V811設定!$E$7,"×前日に急落",IF(P196&lt;V811設定!$E$8,"×高値から離れすぎ",IF(Q196&gt;V811設定!$E$9,"×当日の値幅が大きい","×"))))))))))</f>
      </c>
    </row>
    <row r="197" spans="1:20">
      <c r="A197">
        <f>IF(分析!$C197="","",分析!$C197)</f>
      </c>
      <c r="B197">
        <f>IF(分析!$C197="","",分析!$D197)</f>
      </c>
      <c r="C197">
        <f>IFERROR((SUM(OFFSET(高値!$E$6,IFERROR(MATCH(分析!$C197,銘柄管理!$B$6:$B$305,0),MATCH(TEXT(分析!$C197,"0"),銘柄管理!$B$6:$B$305,0))-1,0,1,14))-SUM(OFFSET(安値!$E$6,IFERROR(MATCH(分析!$C197,銘柄管理!$B$6:$B$305,0),MATCH(TEXT(分析!$C197,"0"),銘柄管理!$B$6:$B$305,0))-1,0,1,14)))/SUM(OFFSET(終値!$E$6,IFERROR(MATCH(分析!$C197,銘柄管理!$B$6:$B$305,0),MATCH(TEXT(分析!$C197,"0"),銘柄管理!$B$6:$B$305,0))-1,0,1,14))*100,"")</f>
      </c>
      <c r="D197">
        <f>IFERROR((MAX(OFFSET(高値!$E$6,IFERROR(MATCH(分析!$C197,銘柄管理!$B$6:$B$305,0),MATCH(TEXT(分析!$C197,"0"),銘柄管理!$B$6:$B$305,0))-1,0,1,25))-MIN(OFFSET(安値!$E$6,IFERROR(MATCH(分析!$C197,銘柄管理!$B$6:$B$305,0),MATCH(TEXT(分析!$C197,"0"),銘柄管理!$B$6:$B$305,0))-1,0,1,25)))/分析!$E197*100,"")</f>
      </c>
      <c r="E197">
        <f>IFERROR((分析!$F197-分析!$G197)/分析!$G197*100,"")</f>
      </c>
      <c r="F197">
        <f>IFERROR((分析!$E197-MAX(OFFSET(高値!$E$6,IFERROR(MATCH(分析!$C197,銘柄管理!$B$6:$B$305,0),MATCH(TEXT(分析!$C197,"0"),銘柄管理!$B$6:$B$305,0))-1,0,1,25)))/MAX(OFFSET(高値!$E$6,IFERROR(MATCH(分析!$C197,銘柄管理!$B$6:$B$305,0),MATCH(TEXT(分析!$C197,"0"),銘柄管理!$B$6:$B$305,0))-1,0,1,25))*100,"")</f>
      </c>
      <c r="G197">
        <f>IFERROR((分析!$H197-分析!$I197)/分析!$F197*100,"")</f>
      </c>
      <c r="H197">
        <f>IFERROR(5-COUNTIF($C$3:$C$206,"&lt;"&amp;$C197)/COUNT($C$3:$C$206)-COUNTIF($G$3:$G$206,"&lt;"&amp;$G197)/COUNT($G$3:$G$206)-COUNTIF($D$3:$D$206,"&lt;"&amp;$D197)/COUNT($D$3:$D$206)-COUNTIF(分析!$Z$3:$Z$206,"&lt;"&amp;分析!$Z197)/COUNT(分析!$Z$3:$Z$206)-COUNTIF($E$3:$E$206,"&lt;"&amp;$E197)/COUNT($E$3:$E$206),"")</f>
      </c>
      <c r="I197">
        <f>IF(OR(A197="",A197="TOPX",C197="",H197=""),0,IF(AND(V811設定!$E$11=1,C197&lt;=V811設定!$E$3,D197&lt;=V811設定!$E$4,E197&lt;=V811設定!$E$5,分析!$Z197&lt;=V811設定!$E$6,分析!$Z197&gt;=V811設定!$E$7,F197&gt;=V811設定!$E$8,G197&lt;=V811設定!$E$9),1,0))</f>
      </c>
      <c r="J197">
        <f>IF(A197="","",IF(I197=1,"○ゲート通過",IF(V811設定!$E$11&lt;&gt;1,"― 停止中",IF(C197&gt;V811設定!$E$3,"×値動きが荒い",IF(D197&gt;V811設定!$E$4,"×レンジが広い",IF(E197&gt;V811設定!$E$5,"×窓を開けて上昇",IF(分析!$Z197&gt;V811設定!$E$6,"×前日に急騰",IF(分析!$Z197&lt;V811設定!$E$7,"×前日に急落",IF(F197&lt;V811設定!$E$8,"×高値から離れすぎ",IF(G197&gt;V811設定!$E$9,"×当日の値幅が大きい","×"))))))))))</f>
      </c>
      <c r="K197">
        <f>IF(売分析!$C197="","",売分析!$C197)</f>
      </c>
      <c r="L197">
        <f>IF(売分析!$C197="","",売分析!$D197)</f>
      </c>
      <c r="M197">
        <f>IFERROR((SUM(OFFSET(高値!$E$6,IFERROR(MATCH(売分析!$C197,銘柄管理!$B$6:$B$305,0),MATCH(TEXT(売分析!$C197,"0"),銘柄管理!$B$6:$B$305,0))-1,0,1,14))-SUM(OFFSET(安値!$E$6,IFERROR(MATCH(売分析!$C197,銘柄管理!$B$6:$B$305,0),MATCH(TEXT(売分析!$C197,"0"),銘柄管理!$B$6:$B$305,0))-1,0,1,14)))/SUM(OFFSET(終値!$E$6,IFERROR(MATCH(売分析!$C197,銘柄管理!$B$6:$B$305,0),MATCH(TEXT(売分析!$C197,"0"),銘柄管理!$B$6:$B$305,0))-1,0,1,14))*100,"")</f>
      </c>
      <c r="N197">
        <f>IFERROR((MAX(OFFSET(高値!$E$6,IFERROR(MATCH(売分析!$C197,銘柄管理!$B$6:$B$305,0),MATCH(TEXT(売分析!$C197,"0"),銘柄管理!$B$6:$B$305,0))-1,0,1,25))-MIN(OFFSET(安値!$E$6,IFERROR(MATCH(売分析!$C197,銘柄管理!$B$6:$B$305,0),MATCH(TEXT(売分析!$C197,"0"),銘柄管理!$B$6:$B$305,0))-1,0,1,25)))/売分析!$E197*100,"")</f>
      </c>
      <c r="O197">
        <f>IFERROR((売分析!$F197-売分析!$G197)/売分析!$G197*100,"")</f>
      </c>
      <c r="P197">
        <f>IFERROR((売分析!$E197-MAX(OFFSET(高値!$E$6,IFERROR(MATCH(売分析!$C197,銘柄管理!$B$6:$B$305,0),MATCH(TEXT(売分析!$C197,"0"),銘柄管理!$B$6:$B$305,0))-1,0,1,25)))/MAX(OFFSET(高値!$E$6,IFERROR(MATCH(売分析!$C197,銘柄管理!$B$6:$B$305,0),MATCH(TEXT(売分析!$C197,"0"),銘柄管理!$B$6:$B$305,0))-1,0,1,25))*100,"")</f>
      </c>
      <c r="Q197">
        <f>IFERROR((売分析!$H197-売分析!$I197)/売分析!$F197*100,"")</f>
      </c>
      <c r="R197">
        <f>IFERROR(5-COUNTIF($M$3:$M$206,"&lt;"&amp;$M197)/COUNT($M$3:$M$206)-COUNTIF($Q$3:$Q$206,"&lt;"&amp;$Q197)/COUNT($Q$3:$Q$206)-COUNTIF($N$3:$N$206,"&lt;"&amp;$N197)/COUNT($N$3:$N$206)-COUNTIF(売分析!$Z$3:$Z$206,"&lt;"&amp;売分析!$Z197)/COUNT(売分析!$Z$3:$Z$206)-COUNTIF($O$3:$O$206,"&lt;"&amp;$O197)/COUNT($O$3:$O$206),"")</f>
      </c>
      <c r="S197">
        <f>IF(OR(K197="",K197="TOPX",M197="",R197=""),0,IF(AND(V811設定!$E$12=1,M197&lt;=V811設定!$E$3,N197&lt;=V811設定!$E$4,O197&lt;=V811設定!$E$5,売分析!$Z197&lt;=V811設定!$E$6,売分析!$Z197&gt;=V811設定!$E$7,P197&gt;=V811設定!$E$8,Q197&lt;=V811設定!$E$9),1,0))</f>
      </c>
      <c r="T197">
        <f>IF(K197="","",IF(S197=1,"○ゲート通過",IF(V811設定!$E$12&lt;&gt;1,"― 停止中",IF(M197&gt;V811設定!$E$3,"×値動きが荒い",IF(N197&gt;V811設定!$E$4,"×レンジが広い",IF(O197&gt;V811設定!$E$5,"×窓を開けて上昇",IF(売分析!$Z197&gt;V811設定!$E$6,"×前日に急騰",IF(売分析!$Z197&lt;V811設定!$E$7,"×前日に急落",IF(P197&lt;V811設定!$E$8,"×高値から離れすぎ",IF(Q197&gt;V811設定!$E$9,"×当日の値幅が大きい","×"))))))))))</f>
      </c>
    </row>
    <row r="198" spans="1:20">
      <c r="A198">
        <f>IF(分析!$C198="","",分析!$C198)</f>
      </c>
      <c r="B198">
        <f>IF(分析!$C198="","",分析!$D198)</f>
      </c>
      <c r="C198">
        <f>IFERROR((SUM(OFFSET(高値!$E$6,IFERROR(MATCH(分析!$C198,銘柄管理!$B$6:$B$305,0),MATCH(TEXT(分析!$C198,"0"),銘柄管理!$B$6:$B$305,0))-1,0,1,14))-SUM(OFFSET(安値!$E$6,IFERROR(MATCH(分析!$C198,銘柄管理!$B$6:$B$305,0),MATCH(TEXT(分析!$C198,"0"),銘柄管理!$B$6:$B$305,0))-1,0,1,14)))/SUM(OFFSET(終値!$E$6,IFERROR(MATCH(分析!$C198,銘柄管理!$B$6:$B$305,0),MATCH(TEXT(分析!$C198,"0"),銘柄管理!$B$6:$B$305,0))-1,0,1,14))*100,"")</f>
      </c>
      <c r="D198">
        <f>IFERROR((MAX(OFFSET(高値!$E$6,IFERROR(MATCH(分析!$C198,銘柄管理!$B$6:$B$305,0),MATCH(TEXT(分析!$C198,"0"),銘柄管理!$B$6:$B$305,0))-1,0,1,25))-MIN(OFFSET(安値!$E$6,IFERROR(MATCH(分析!$C198,銘柄管理!$B$6:$B$305,0),MATCH(TEXT(分析!$C198,"0"),銘柄管理!$B$6:$B$305,0))-1,0,1,25)))/分析!$E198*100,"")</f>
      </c>
      <c r="E198">
        <f>IFERROR((分析!$F198-分析!$G198)/分析!$G198*100,"")</f>
      </c>
      <c r="F198">
        <f>IFERROR((分析!$E198-MAX(OFFSET(高値!$E$6,IFERROR(MATCH(分析!$C198,銘柄管理!$B$6:$B$305,0),MATCH(TEXT(分析!$C198,"0"),銘柄管理!$B$6:$B$305,0))-1,0,1,25)))/MAX(OFFSET(高値!$E$6,IFERROR(MATCH(分析!$C198,銘柄管理!$B$6:$B$305,0),MATCH(TEXT(分析!$C198,"0"),銘柄管理!$B$6:$B$305,0))-1,0,1,25))*100,"")</f>
      </c>
      <c r="G198">
        <f>IFERROR((分析!$H198-分析!$I198)/分析!$F198*100,"")</f>
      </c>
      <c r="H198">
        <f>IFERROR(5-COUNTIF($C$3:$C$206,"&lt;"&amp;$C198)/COUNT($C$3:$C$206)-COUNTIF($G$3:$G$206,"&lt;"&amp;$G198)/COUNT($G$3:$G$206)-COUNTIF($D$3:$D$206,"&lt;"&amp;$D198)/COUNT($D$3:$D$206)-COUNTIF(分析!$Z$3:$Z$206,"&lt;"&amp;分析!$Z198)/COUNT(分析!$Z$3:$Z$206)-COUNTIF($E$3:$E$206,"&lt;"&amp;$E198)/COUNT($E$3:$E$206),"")</f>
      </c>
      <c r="I198">
        <f>IF(OR(A198="",A198="TOPX",C198="",H198=""),0,IF(AND(V811設定!$E$11=1,C198&lt;=V811設定!$E$3,D198&lt;=V811設定!$E$4,E198&lt;=V811設定!$E$5,分析!$Z198&lt;=V811設定!$E$6,分析!$Z198&gt;=V811設定!$E$7,F198&gt;=V811設定!$E$8,G198&lt;=V811設定!$E$9),1,0))</f>
      </c>
      <c r="J198">
        <f>IF(A198="","",IF(I198=1,"○ゲート通過",IF(V811設定!$E$11&lt;&gt;1,"― 停止中",IF(C198&gt;V811設定!$E$3,"×値動きが荒い",IF(D198&gt;V811設定!$E$4,"×レンジが広い",IF(E198&gt;V811設定!$E$5,"×窓を開けて上昇",IF(分析!$Z198&gt;V811設定!$E$6,"×前日に急騰",IF(分析!$Z198&lt;V811設定!$E$7,"×前日に急落",IF(F198&lt;V811設定!$E$8,"×高値から離れすぎ",IF(G198&gt;V811設定!$E$9,"×当日の値幅が大きい","×"))))))))))</f>
      </c>
      <c r="K198">
        <f>IF(売分析!$C198="","",売分析!$C198)</f>
      </c>
      <c r="L198">
        <f>IF(売分析!$C198="","",売分析!$D198)</f>
      </c>
      <c r="M198">
        <f>IFERROR((SUM(OFFSET(高値!$E$6,IFERROR(MATCH(売分析!$C198,銘柄管理!$B$6:$B$305,0),MATCH(TEXT(売分析!$C198,"0"),銘柄管理!$B$6:$B$305,0))-1,0,1,14))-SUM(OFFSET(安値!$E$6,IFERROR(MATCH(売分析!$C198,銘柄管理!$B$6:$B$305,0),MATCH(TEXT(売分析!$C198,"0"),銘柄管理!$B$6:$B$305,0))-1,0,1,14)))/SUM(OFFSET(終値!$E$6,IFERROR(MATCH(売分析!$C198,銘柄管理!$B$6:$B$305,0),MATCH(TEXT(売分析!$C198,"0"),銘柄管理!$B$6:$B$305,0))-1,0,1,14))*100,"")</f>
      </c>
      <c r="N198">
        <f>IFERROR((MAX(OFFSET(高値!$E$6,IFERROR(MATCH(売分析!$C198,銘柄管理!$B$6:$B$305,0),MATCH(TEXT(売分析!$C198,"0"),銘柄管理!$B$6:$B$305,0))-1,0,1,25))-MIN(OFFSET(安値!$E$6,IFERROR(MATCH(売分析!$C198,銘柄管理!$B$6:$B$305,0),MATCH(TEXT(売分析!$C198,"0"),銘柄管理!$B$6:$B$305,0))-1,0,1,25)))/売分析!$E198*100,"")</f>
      </c>
      <c r="O198">
        <f>IFERROR((売分析!$F198-売分析!$G198)/売分析!$G198*100,"")</f>
      </c>
      <c r="P198">
        <f>IFERROR((売分析!$E198-MAX(OFFSET(高値!$E$6,IFERROR(MATCH(売分析!$C198,銘柄管理!$B$6:$B$305,0),MATCH(TEXT(売分析!$C198,"0"),銘柄管理!$B$6:$B$305,0))-1,0,1,25)))/MAX(OFFSET(高値!$E$6,IFERROR(MATCH(売分析!$C198,銘柄管理!$B$6:$B$305,0),MATCH(TEXT(売分析!$C198,"0"),銘柄管理!$B$6:$B$305,0))-1,0,1,25))*100,"")</f>
      </c>
      <c r="Q198">
        <f>IFERROR((売分析!$H198-売分析!$I198)/売分析!$F198*100,"")</f>
      </c>
      <c r="R198">
        <f>IFERROR(5-COUNTIF($M$3:$M$206,"&lt;"&amp;$M198)/COUNT($M$3:$M$206)-COUNTIF($Q$3:$Q$206,"&lt;"&amp;$Q198)/COUNT($Q$3:$Q$206)-COUNTIF($N$3:$N$206,"&lt;"&amp;$N198)/COUNT($N$3:$N$206)-COUNTIF(売分析!$Z$3:$Z$206,"&lt;"&amp;売分析!$Z198)/COUNT(売分析!$Z$3:$Z$206)-COUNTIF($O$3:$O$206,"&lt;"&amp;$O198)/COUNT($O$3:$O$206),"")</f>
      </c>
      <c r="S198">
        <f>IF(OR(K198="",K198="TOPX",M198="",R198=""),0,IF(AND(V811設定!$E$12=1,M198&lt;=V811設定!$E$3,N198&lt;=V811設定!$E$4,O198&lt;=V811設定!$E$5,売分析!$Z198&lt;=V811設定!$E$6,売分析!$Z198&gt;=V811設定!$E$7,P198&gt;=V811設定!$E$8,Q198&lt;=V811設定!$E$9),1,0))</f>
      </c>
      <c r="T198">
        <f>IF(K198="","",IF(S198=1,"○ゲート通過",IF(V811設定!$E$12&lt;&gt;1,"― 停止中",IF(M198&gt;V811設定!$E$3,"×値動きが荒い",IF(N198&gt;V811設定!$E$4,"×レンジが広い",IF(O198&gt;V811設定!$E$5,"×窓を開けて上昇",IF(売分析!$Z198&gt;V811設定!$E$6,"×前日に急騰",IF(売分析!$Z198&lt;V811設定!$E$7,"×前日に急落",IF(P198&lt;V811設定!$E$8,"×高値から離れすぎ",IF(Q198&gt;V811設定!$E$9,"×当日の値幅が大きい","×"))))))))))</f>
      </c>
    </row>
    <row r="199" spans="1:20">
      <c r="A199">
        <f>IF(分析!$C199="","",分析!$C199)</f>
      </c>
      <c r="B199">
        <f>IF(分析!$C199="","",分析!$D199)</f>
      </c>
      <c r="C199">
        <f>IFERROR((SUM(OFFSET(高値!$E$6,IFERROR(MATCH(分析!$C199,銘柄管理!$B$6:$B$305,0),MATCH(TEXT(分析!$C199,"0"),銘柄管理!$B$6:$B$305,0))-1,0,1,14))-SUM(OFFSET(安値!$E$6,IFERROR(MATCH(分析!$C199,銘柄管理!$B$6:$B$305,0),MATCH(TEXT(分析!$C199,"0"),銘柄管理!$B$6:$B$305,0))-1,0,1,14)))/SUM(OFFSET(終値!$E$6,IFERROR(MATCH(分析!$C199,銘柄管理!$B$6:$B$305,0),MATCH(TEXT(分析!$C199,"0"),銘柄管理!$B$6:$B$305,0))-1,0,1,14))*100,"")</f>
      </c>
      <c r="D199">
        <f>IFERROR((MAX(OFFSET(高値!$E$6,IFERROR(MATCH(分析!$C199,銘柄管理!$B$6:$B$305,0),MATCH(TEXT(分析!$C199,"0"),銘柄管理!$B$6:$B$305,0))-1,0,1,25))-MIN(OFFSET(安値!$E$6,IFERROR(MATCH(分析!$C199,銘柄管理!$B$6:$B$305,0),MATCH(TEXT(分析!$C199,"0"),銘柄管理!$B$6:$B$305,0))-1,0,1,25)))/分析!$E199*100,"")</f>
      </c>
      <c r="E199">
        <f>IFERROR((分析!$F199-分析!$G199)/分析!$G199*100,"")</f>
      </c>
      <c r="F199">
        <f>IFERROR((分析!$E199-MAX(OFFSET(高値!$E$6,IFERROR(MATCH(分析!$C199,銘柄管理!$B$6:$B$305,0),MATCH(TEXT(分析!$C199,"0"),銘柄管理!$B$6:$B$305,0))-1,0,1,25)))/MAX(OFFSET(高値!$E$6,IFERROR(MATCH(分析!$C199,銘柄管理!$B$6:$B$305,0),MATCH(TEXT(分析!$C199,"0"),銘柄管理!$B$6:$B$305,0))-1,0,1,25))*100,"")</f>
      </c>
      <c r="G199">
        <f>IFERROR((分析!$H199-分析!$I199)/分析!$F199*100,"")</f>
      </c>
      <c r="H199">
        <f>IFERROR(5-COUNTIF($C$3:$C$206,"&lt;"&amp;$C199)/COUNT($C$3:$C$206)-COUNTIF($G$3:$G$206,"&lt;"&amp;$G199)/COUNT($G$3:$G$206)-COUNTIF($D$3:$D$206,"&lt;"&amp;$D199)/COUNT($D$3:$D$206)-COUNTIF(分析!$Z$3:$Z$206,"&lt;"&amp;分析!$Z199)/COUNT(分析!$Z$3:$Z$206)-COUNTIF($E$3:$E$206,"&lt;"&amp;$E199)/COUNT($E$3:$E$206),"")</f>
      </c>
      <c r="I199">
        <f>IF(OR(A199="",A199="TOPX",C199="",H199=""),0,IF(AND(V811設定!$E$11=1,C199&lt;=V811設定!$E$3,D199&lt;=V811設定!$E$4,E199&lt;=V811設定!$E$5,分析!$Z199&lt;=V811設定!$E$6,分析!$Z199&gt;=V811設定!$E$7,F199&gt;=V811設定!$E$8,G199&lt;=V811設定!$E$9),1,0))</f>
      </c>
      <c r="J199">
        <f>IF(A199="","",IF(I199=1,"○ゲート通過",IF(V811設定!$E$11&lt;&gt;1,"― 停止中",IF(C199&gt;V811設定!$E$3,"×値動きが荒い",IF(D199&gt;V811設定!$E$4,"×レンジが広い",IF(E199&gt;V811設定!$E$5,"×窓を開けて上昇",IF(分析!$Z199&gt;V811設定!$E$6,"×前日に急騰",IF(分析!$Z199&lt;V811設定!$E$7,"×前日に急落",IF(F199&lt;V811設定!$E$8,"×高値から離れすぎ",IF(G199&gt;V811設定!$E$9,"×当日の値幅が大きい","×"))))))))))</f>
      </c>
      <c r="K199">
        <f>IF(売分析!$C199="","",売分析!$C199)</f>
      </c>
      <c r="L199">
        <f>IF(売分析!$C199="","",売分析!$D199)</f>
      </c>
      <c r="M199">
        <f>IFERROR((SUM(OFFSET(高値!$E$6,IFERROR(MATCH(売分析!$C199,銘柄管理!$B$6:$B$305,0),MATCH(TEXT(売分析!$C199,"0"),銘柄管理!$B$6:$B$305,0))-1,0,1,14))-SUM(OFFSET(安値!$E$6,IFERROR(MATCH(売分析!$C199,銘柄管理!$B$6:$B$305,0),MATCH(TEXT(売分析!$C199,"0"),銘柄管理!$B$6:$B$305,0))-1,0,1,14)))/SUM(OFFSET(終値!$E$6,IFERROR(MATCH(売分析!$C199,銘柄管理!$B$6:$B$305,0),MATCH(TEXT(売分析!$C199,"0"),銘柄管理!$B$6:$B$305,0))-1,0,1,14))*100,"")</f>
      </c>
      <c r="N199">
        <f>IFERROR((MAX(OFFSET(高値!$E$6,IFERROR(MATCH(売分析!$C199,銘柄管理!$B$6:$B$305,0),MATCH(TEXT(売分析!$C199,"0"),銘柄管理!$B$6:$B$305,0))-1,0,1,25))-MIN(OFFSET(安値!$E$6,IFERROR(MATCH(売分析!$C199,銘柄管理!$B$6:$B$305,0),MATCH(TEXT(売分析!$C199,"0"),銘柄管理!$B$6:$B$305,0))-1,0,1,25)))/売分析!$E199*100,"")</f>
      </c>
      <c r="O199">
        <f>IFERROR((売分析!$F199-売分析!$G199)/売分析!$G199*100,"")</f>
      </c>
      <c r="P199">
        <f>IFERROR((売分析!$E199-MAX(OFFSET(高値!$E$6,IFERROR(MATCH(売分析!$C199,銘柄管理!$B$6:$B$305,0),MATCH(TEXT(売分析!$C199,"0"),銘柄管理!$B$6:$B$305,0))-1,0,1,25)))/MAX(OFFSET(高値!$E$6,IFERROR(MATCH(売分析!$C199,銘柄管理!$B$6:$B$305,0),MATCH(TEXT(売分析!$C199,"0"),銘柄管理!$B$6:$B$305,0))-1,0,1,25))*100,"")</f>
      </c>
      <c r="Q199">
        <f>IFERROR((売分析!$H199-売分析!$I199)/売分析!$F199*100,"")</f>
      </c>
      <c r="R199">
        <f>IFERROR(5-COUNTIF($M$3:$M$206,"&lt;"&amp;$M199)/COUNT($M$3:$M$206)-COUNTIF($Q$3:$Q$206,"&lt;"&amp;$Q199)/COUNT($Q$3:$Q$206)-COUNTIF($N$3:$N$206,"&lt;"&amp;$N199)/COUNT($N$3:$N$206)-COUNTIF(売分析!$Z$3:$Z$206,"&lt;"&amp;売分析!$Z199)/COUNT(売分析!$Z$3:$Z$206)-COUNTIF($O$3:$O$206,"&lt;"&amp;$O199)/COUNT($O$3:$O$206),"")</f>
      </c>
      <c r="S199">
        <f>IF(OR(K199="",K199="TOPX",M199="",R199=""),0,IF(AND(V811設定!$E$12=1,M199&lt;=V811設定!$E$3,N199&lt;=V811設定!$E$4,O199&lt;=V811設定!$E$5,売分析!$Z199&lt;=V811設定!$E$6,売分析!$Z199&gt;=V811設定!$E$7,P199&gt;=V811設定!$E$8,Q199&lt;=V811設定!$E$9),1,0))</f>
      </c>
      <c r="T199">
        <f>IF(K199="","",IF(S199=1,"○ゲート通過",IF(V811設定!$E$12&lt;&gt;1,"― 停止中",IF(M199&gt;V811設定!$E$3,"×値動きが荒い",IF(N199&gt;V811設定!$E$4,"×レンジが広い",IF(O199&gt;V811設定!$E$5,"×窓を開けて上昇",IF(売分析!$Z199&gt;V811設定!$E$6,"×前日に急騰",IF(売分析!$Z199&lt;V811設定!$E$7,"×前日に急落",IF(P199&lt;V811設定!$E$8,"×高値から離れすぎ",IF(Q199&gt;V811設定!$E$9,"×当日の値幅が大きい","×"))))))))))</f>
      </c>
    </row>
    <row r="200" spans="1:20">
      <c r="A200">
        <f>IF(分析!$C200="","",分析!$C200)</f>
      </c>
      <c r="B200">
        <f>IF(分析!$C200="","",分析!$D200)</f>
      </c>
      <c r="C200">
        <f>IFERROR((SUM(OFFSET(高値!$E$6,IFERROR(MATCH(分析!$C200,銘柄管理!$B$6:$B$305,0),MATCH(TEXT(分析!$C200,"0"),銘柄管理!$B$6:$B$305,0))-1,0,1,14))-SUM(OFFSET(安値!$E$6,IFERROR(MATCH(分析!$C200,銘柄管理!$B$6:$B$305,0),MATCH(TEXT(分析!$C200,"0"),銘柄管理!$B$6:$B$305,0))-1,0,1,14)))/SUM(OFFSET(終値!$E$6,IFERROR(MATCH(分析!$C200,銘柄管理!$B$6:$B$305,0),MATCH(TEXT(分析!$C200,"0"),銘柄管理!$B$6:$B$305,0))-1,0,1,14))*100,"")</f>
      </c>
      <c r="D200">
        <f>IFERROR((MAX(OFFSET(高値!$E$6,IFERROR(MATCH(分析!$C200,銘柄管理!$B$6:$B$305,0),MATCH(TEXT(分析!$C200,"0"),銘柄管理!$B$6:$B$305,0))-1,0,1,25))-MIN(OFFSET(安値!$E$6,IFERROR(MATCH(分析!$C200,銘柄管理!$B$6:$B$305,0),MATCH(TEXT(分析!$C200,"0"),銘柄管理!$B$6:$B$305,0))-1,0,1,25)))/分析!$E200*100,"")</f>
      </c>
      <c r="E200">
        <f>IFERROR((分析!$F200-分析!$G200)/分析!$G200*100,"")</f>
      </c>
      <c r="F200">
        <f>IFERROR((分析!$E200-MAX(OFFSET(高値!$E$6,IFERROR(MATCH(分析!$C200,銘柄管理!$B$6:$B$305,0),MATCH(TEXT(分析!$C200,"0"),銘柄管理!$B$6:$B$305,0))-1,0,1,25)))/MAX(OFFSET(高値!$E$6,IFERROR(MATCH(分析!$C200,銘柄管理!$B$6:$B$305,0),MATCH(TEXT(分析!$C200,"0"),銘柄管理!$B$6:$B$305,0))-1,0,1,25))*100,"")</f>
      </c>
      <c r="G200">
        <f>IFERROR((分析!$H200-分析!$I200)/分析!$F200*100,"")</f>
      </c>
      <c r="H200">
        <f>IFERROR(5-COUNTIF($C$3:$C$206,"&lt;"&amp;$C200)/COUNT($C$3:$C$206)-COUNTIF($G$3:$G$206,"&lt;"&amp;$G200)/COUNT($G$3:$G$206)-COUNTIF($D$3:$D$206,"&lt;"&amp;$D200)/COUNT($D$3:$D$206)-COUNTIF(分析!$Z$3:$Z$206,"&lt;"&amp;分析!$Z200)/COUNT(分析!$Z$3:$Z$206)-COUNTIF($E$3:$E$206,"&lt;"&amp;$E200)/COUNT($E$3:$E$206),"")</f>
      </c>
      <c r="I200">
        <f>IF(OR(A200="",A200="TOPX",C200="",H200=""),0,IF(AND(V811設定!$E$11=1,C200&lt;=V811設定!$E$3,D200&lt;=V811設定!$E$4,E200&lt;=V811設定!$E$5,分析!$Z200&lt;=V811設定!$E$6,分析!$Z200&gt;=V811設定!$E$7,F200&gt;=V811設定!$E$8,G200&lt;=V811設定!$E$9),1,0))</f>
      </c>
      <c r="J200">
        <f>IF(A200="","",IF(I200=1,"○ゲート通過",IF(V811設定!$E$11&lt;&gt;1,"― 停止中",IF(C200&gt;V811設定!$E$3,"×値動きが荒い",IF(D200&gt;V811設定!$E$4,"×レンジが広い",IF(E200&gt;V811設定!$E$5,"×窓を開けて上昇",IF(分析!$Z200&gt;V811設定!$E$6,"×前日に急騰",IF(分析!$Z200&lt;V811設定!$E$7,"×前日に急落",IF(F200&lt;V811設定!$E$8,"×高値から離れすぎ",IF(G200&gt;V811設定!$E$9,"×当日の値幅が大きい","×"))))))))))</f>
      </c>
      <c r="K200">
        <f>IF(売分析!$C200="","",売分析!$C200)</f>
      </c>
      <c r="L200">
        <f>IF(売分析!$C200="","",売分析!$D200)</f>
      </c>
      <c r="M200">
        <f>IFERROR((SUM(OFFSET(高値!$E$6,IFERROR(MATCH(売分析!$C200,銘柄管理!$B$6:$B$305,0),MATCH(TEXT(売分析!$C200,"0"),銘柄管理!$B$6:$B$305,0))-1,0,1,14))-SUM(OFFSET(安値!$E$6,IFERROR(MATCH(売分析!$C200,銘柄管理!$B$6:$B$305,0),MATCH(TEXT(売分析!$C200,"0"),銘柄管理!$B$6:$B$305,0))-1,0,1,14)))/SUM(OFFSET(終値!$E$6,IFERROR(MATCH(売分析!$C200,銘柄管理!$B$6:$B$305,0),MATCH(TEXT(売分析!$C200,"0"),銘柄管理!$B$6:$B$305,0))-1,0,1,14))*100,"")</f>
      </c>
      <c r="N200">
        <f>IFERROR((MAX(OFFSET(高値!$E$6,IFERROR(MATCH(売分析!$C200,銘柄管理!$B$6:$B$305,0),MATCH(TEXT(売分析!$C200,"0"),銘柄管理!$B$6:$B$305,0))-1,0,1,25))-MIN(OFFSET(安値!$E$6,IFERROR(MATCH(売分析!$C200,銘柄管理!$B$6:$B$305,0),MATCH(TEXT(売分析!$C200,"0"),銘柄管理!$B$6:$B$305,0))-1,0,1,25)))/売分析!$E200*100,"")</f>
      </c>
      <c r="O200">
        <f>IFERROR((売分析!$F200-売分析!$G200)/売分析!$G200*100,"")</f>
      </c>
      <c r="P200">
        <f>IFERROR((売分析!$E200-MAX(OFFSET(高値!$E$6,IFERROR(MATCH(売分析!$C200,銘柄管理!$B$6:$B$305,0),MATCH(TEXT(売分析!$C200,"0"),銘柄管理!$B$6:$B$305,0))-1,0,1,25)))/MAX(OFFSET(高値!$E$6,IFERROR(MATCH(売分析!$C200,銘柄管理!$B$6:$B$305,0),MATCH(TEXT(売分析!$C200,"0"),銘柄管理!$B$6:$B$305,0))-1,0,1,25))*100,"")</f>
      </c>
      <c r="Q200">
        <f>IFERROR((売分析!$H200-売分析!$I200)/売分析!$F200*100,"")</f>
      </c>
      <c r="R200">
        <f>IFERROR(5-COUNTIF($M$3:$M$206,"&lt;"&amp;$M200)/COUNT($M$3:$M$206)-COUNTIF($Q$3:$Q$206,"&lt;"&amp;$Q200)/COUNT($Q$3:$Q$206)-COUNTIF($N$3:$N$206,"&lt;"&amp;$N200)/COUNT($N$3:$N$206)-COUNTIF(売分析!$Z$3:$Z$206,"&lt;"&amp;売分析!$Z200)/COUNT(売分析!$Z$3:$Z$206)-COUNTIF($O$3:$O$206,"&lt;"&amp;$O200)/COUNT($O$3:$O$206),"")</f>
      </c>
      <c r="S200">
        <f>IF(OR(K200="",K200="TOPX",M200="",R200=""),0,IF(AND(V811設定!$E$12=1,M200&lt;=V811設定!$E$3,N200&lt;=V811設定!$E$4,O200&lt;=V811設定!$E$5,売分析!$Z200&lt;=V811設定!$E$6,売分析!$Z200&gt;=V811設定!$E$7,P200&gt;=V811設定!$E$8,Q200&lt;=V811設定!$E$9),1,0))</f>
      </c>
      <c r="T200">
        <f>IF(K200="","",IF(S200=1,"○ゲート通過",IF(V811設定!$E$12&lt;&gt;1,"― 停止中",IF(M200&gt;V811設定!$E$3,"×値動きが荒い",IF(N200&gt;V811設定!$E$4,"×レンジが広い",IF(O200&gt;V811設定!$E$5,"×窓を開けて上昇",IF(売分析!$Z200&gt;V811設定!$E$6,"×前日に急騰",IF(売分析!$Z200&lt;V811設定!$E$7,"×前日に急落",IF(P200&lt;V811設定!$E$8,"×高値から離れすぎ",IF(Q200&gt;V811設定!$E$9,"×当日の値幅が大きい","×"))))))))))</f>
      </c>
    </row>
    <row r="201" spans="1:20">
      <c r="A201">
        <f>IF(分析!$C201="","",分析!$C201)</f>
      </c>
      <c r="B201">
        <f>IF(分析!$C201="","",分析!$D201)</f>
      </c>
      <c r="C201">
        <f>IFERROR((SUM(OFFSET(高値!$E$6,IFERROR(MATCH(分析!$C201,銘柄管理!$B$6:$B$305,0),MATCH(TEXT(分析!$C201,"0"),銘柄管理!$B$6:$B$305,0))-1,0,1,14))-SUM(OFFSET(安値!$E$6,IFERROR(MATCH(分析!$C201,銘柄管理!$B$6:$B$305,0),MATCH(TEXT(分析!$C201,"0"),銘柄管理!$B$6:$B$305,0))-1,0,1,14)))/SUM(OFFSET(終値!$E$6,IFERROR(MATCH(分析!$C201,銘柄管理!$B$6:$B$305,0),MATCH(TEXT(分析!$C201,"0"),銘柄管理!$B$6:$B$305,0))-1,0,1,14))*100,"")</f>
      </c>
      <c r="D201">
        <f>IFERROR((MAX(OFFSET(高値!$E$6,IFERROR(MATCH(分析!$C201,銘柄管理!$B$6:$B$305,0),MATCH(TEXT(分析!$C201,"0"),銘柄管理!$B$6:$B$305,0))-1,0,1,25))-MIN(OFFSET(安値!$E$6,IFERROR(MATCH(分析!$C201,銘柄管理!$B$6:$B$305,0),MATCH(TEXT(分析!$C201,"0"),銘柄管理!$B$6:$B$305,0))-1,0,1,25)))/分析!$E201*100,"")</f>
      </c>
      <c r="E201">
        <f>IFERROR((分析!$F201-分析!$G201)/分析!$G201*100,"")</f>
      </c>
      <c r="F201">
        <f>IFERROR((分析!$E201-MAX(OFFSET(高値!$E$6,IFERROR(MATCH(分析!$C201,銘柄管理!$B$6:$B$305,0),MATCH(TEXT(分析!$C201,"0"),銘柄管理!$B$6:$B$305,0))-1,0,1,25)))/MAX(OFFSET(高値!$E$6,IFERROR(MATCH(分析!$C201,銘柄管理!$B$6:$B$305,0),MATCH(TEXT(分析!$C201,"0"),銘柄管理!$B$6:$B$305,0))-1,0,1,25))*100,"")</f>
      </c>
      <c r="G201">
        <f>IFERROR((分析!$H201-分析!$I201)/分析!$F201*100,"")</f>
      </c>
      <c r="H201">
        <f>IFERROR(5-COUNTIF($C$3:$C$206,"&lt;"&amp;$C201)/COUNT($C$3:$C$206)-COUNTIF($G$3:$G$206,"&lt;"&amp;$G201)/COUNT($G$3:$G$206)-COUNTIF($D$3:$D$206,"&lt;"&amp;$D201)/COUNT($D$3:$D$206)-COUNTIF(分析!$Z$3:$Z$206,"&lt;"&amp;分析!$Z201)/COUNT(分析!$Z$3:$Z$206)-COUNTIF($E$3:$E$206,"&lt;"&amp;$E201)/COUNT($E$3:$E$206),"")</f>
      </c>
      <c r="I201">
        <f>IF(OR(A201="",A201="TOPX",C201="",H201=""),0,IF(AND(V811設定!$E$11=1,C201&lt;=V811設定!$E$3,D201&lt;=V811設定!$E$4,E201&lt;=V811設定!$E$5,分析!$Z201&lt;=V811設定!$E$6,分析!$Z201&gt;=V811設定!$E$7,F201&gt;=V811設定!$E$8,G201&lt;=V811設定!$E$9),1,0))</f>
      </c>
      <c r="J201">
        <f>IF(A201="","",IF(I201=1,"○ゲート通過",IF(V811設定!$E$11&lt;&gt;1,"― 停止中",IF(C201&gt;V811設定!$E$3,"×値動きが荒い",IF(D201&gt;V811設定!$E$4,"×レンジが広い",IF(E201&gt;V811設定!$E$5,"×窓を開けて上昇",IF(分析!$Z201&gt;V811設定!$E$6,"×前日に急騰",IF(分析!$Z201&lt;V811設定!$E$7,"×前日に急落",IF(F201&lt;V811設定!$E$8,"×高値から離れすぎ",IF(G201&gt;V811設定!$E$9,"×当日の値幅が大きい","×"))))))))))</f>
      </c>
      <c r="K201">
        <f>IF(売分析!$C201="","",売分析!$C201)</f>
      </c>
      <c r="L201">
        <f>IF(売分析!$C201="","",売分析!$D201)</f>
      </c>
      <c r="M201">
        <f>IFERROR((SUM(OFFSET(高値!$E$6,IFERROR(MATCH(売分析!$C201,銘柄管理!$B$6:$B$305,0),MATCH(TEXT(売分析!$C201,"0"),銘柄管理!$B$6:$B$305,0))-1,0,1,14))-SUM(OFFSET(安値!$E$6,IFERROR(MATCH(売分析!$C201,銘柄管理!$B$6:$B$305,0),MATCH(TEXT(売分析!$C201,"0"),銘柄管理!$B$6:$B$305,0))-1,0,1,14)))/SUM(OFFSET(終値!$E$6,IFERROR(MATCH(売分析!$C201,銘柄管理!$B$6:$B$305,0),MATCH(TEXT(売分析!$C201,"0"),銘柄管理!$B$6:$B$305,0))-1,0,1,14))*100,"")</f>
      </c>
      <c r="N201">
        <f>IFERROR((MAX(OFFSET(高値!$E$6,IFERROR(MATCH(売分析!$C201,銘柄管理!$B$6:$B$305,0),MATCH(TEXT(売分析!$C201,"0"),銘柄管理!$B$6:$B$305,0))-1,0,1,25))-MIN(OFFSET(安値!$E$6,IFERROR(MATCH(売分析!$C201,銘柄管理!$B$6:$B$305,0),MATCH(TEXT(売分析!$C201,"0"),銘柄管理!$B$6:$B$305,0))-1,0,1,25)))/売分析!$E201*100,"")</f>
      </c>
      <c r="O201">
        <f>IFERROR((売分析!$F201-売分析!$G201)/売分析!$G201*100,"")</f>
      </c>
      <c r="P201">
        <f>IFERROR((売分析!$E201-MAX(OFFSET(高値!$E$6,IFERROR(MATCH(売分析!$C201,銘柄管理!$B$6:$B$305,0),MATCH(TEXT(売分析!$C201,"0"),銘柄管理!$B$6:$B$305,0))-1,0,1,25)))/MAX(OFFSET(高値!$E$6,IFERROR(MATCH(売分析!$C201,銘柄管理!$B$6:$B$305,0),MATCH(TEXT(売分析!$C201,"0"),銘柄管理!$B$6:$B$305,0))-1,0,1,25))*100,"")</f>
      </c>
      <c r="Q201">
        <f>IFERROR((売分析!$H201-売分析!$I201)/売分析!$F201*100,"")</f>
      </c>
      <c r="R201">
        <f>IFERROR(5-COUNTIF($M$3:$M$206,"&lt;"&amp;$M201)/COUNT($M$3:$M$206)-COUNTIF($Q$3:$Q$206,"&lt;"&amp;$Q201)/COUNT($Q$3:$Q$206)-COUNTIF($N$3:$N$206,"&lt;"&amp;$N201)/COUNT($N$3:$N$206)-COUNTIF(売分析!$Z$3:$Z$206,"&lt;"&amp;売分析!$Z201)/COUNT(売分析!$Z$3:$Z$206)-COUNTIF($O$3:$O$206,"&lt;"&amp;$O201)/COUNT($O$3:$O$206),"")</f>
      </c>
      <c r="S201">
        <f>IF(OR(K201="",K201="TOPX",M201="",R201=""),0,IF(AND(V811設定!$E$12=1,M201&lt;=V811設定!$E$3,N201&lt;=V811設定!$E$4,O201&lt;=V811設定!$E$5,売分析!$Z201&lt;=V811設定!$E$6,売分析!$Z201&gt;=V811設定!$E$7,P201&gt;=V811設定!$E$8,Q201&lt;=V811設定!$E$9),1,0))</f>
      </c>
      <c r="T201">
        <f>IF(K201="","",IF(S201=1,"○ゲート通過",IF(V811設定!$E$12&lt;&gt;1,"― 停止中",IF(M201&gt;V811設定!$E$3,"×値動きが荒い",IF(N201&gt;V811設定!$E$4,"×レンジが広い",IF(O201&gt;V811設定!$E$5,"×窓を開けて上昇",IF(売分析!$Z201&gt;V811設定!$E$6,"×前日に急騰",IF(売分析!$Z201&lt;V811設定!$E$7,"×前日に急落",IF(P201&lt;V811設定!$E$8,"×高値から離れすぎ",IF(Q201&gt;V811設定!$E$9,"×当日の値幅が大きい","×"))))))))))</f>
      </c>
    </row>
    <row r="202" spans="1:20">
      <c r="A202">
        <f>IF(分析!$C202="","",分析!$C202)</f>
      </c>
      <c r="B202">
        <f>IF(分析!$C202="","",分析!$D202)</f>
      </c>
      <c r="C202">
        <f>IFERROR((SUM(OFFSET(高値!$E$6,IFERROR(MATCH(分析!$C202,銘柄管理!$B$6:$B$305,0),MATCH(TEXT(分析!$C202,"0"),銘柄管理!$B$6:$B$305,0))-1,0,1,14))-SUM(OFFSET(安値!$E$6,IFERROR(MATCH(分析!$C202,銘柄管理!$B$6:$B$305,0),MATCH(TEXT(分析!$C202,"0"),銘柄管理!$B$6:$B$305,0))-1,0,1,14)))/SUM(OFFSET(終値!$E$6,IFERROR(MATCH(分析!$C202,銘柄管理!$B$6:$B$305,0),MATCH(TEXT(分析!$C202,"0"),銘柄管理!$B$6:$B$305,0))-1,0,1,14))*100,"")</f>
      </c>
      <c r="D202">
        <f>IFERROR((MAX(OFFSET(高値!$E$6,IFERROR(MATCH(分析!$C202,銘柄管理!$B$6:$B$305,0),MATCH(TEXT(分析!$C202,"0"),銘柄管理!$B$6:$B$305,0))-1,0,1,25))-MIN(OFFSET(安値!$E$6,IFERROR(MATCH(分析!$C202,銘柄管理!$B$6:$B$305,0),MATCH(TEXT(分析!$C202,"0"),銘柄管理!$B$6:$B$305,0))-1,0,1,25)))/分析!$E202*100,"")</f>
      </c>
      <c r="E202">
        <f>IFERROR((分析!$F202-分析!$G202)/分析!$G202*100,"")</f>
      </c>
      <c r="F202">
        <f>IFERROR((分析!$E202-MAX(OFFSET(高値!$E$6,IFERROR(MATCH(分析!$C202,銘柄管理!$B$6:$B$305,0),MATCH(TEXT(分析!$C202,"0"),銘柄管理!$B$6:$B$305,0))-1,0,1,25)))/MAX(OFFSET(高値!$E$6,IFERROR(MATCH(分析!$C202,銘柄管理!$B$6:$B$305,0),MATCH(TEXT(分析!$C202,"0"),銘柄管理!$B$6:$B$305,0))-1,0,1,25))*100,"")</f>
      </c>
      <c r="G202">
        <f>IFERROR((分析!$H202-分析!$I202)/分析!$F202*100,"")</f>
      </c>
      <c r="H202">
        <f>IFERROR(5-COUNTIF($C$3:$C$206,"&lt;"&amp;$C202)/COUNT($C$3:$C$206)-COUNTIF($G$3:$G$206,"&lt;"&amp;$G202)/COUNT($G$3:$G$206)-COUNTIF($D$3:$D$206,"&lt;"&amp;$D202)/COUNT($D$3:$D$206)-COUNTIF(分析!$Z$3:$Z$206,"&lt;"&amp;分析!$Z202)/COUNT(分析!$Z$3:$Z$206)-COUNTIF($E$3:$E$206,"&lt;"&amp;$E202)/COUNT($E$3:$E$206),"")</f>
      </c>
      <c r="I202">
        <f>IF(OR(A202="",A202="TOPX",C202="",H202=""),0,IF(AND(V811設定!$E$11=1,C202&lt;=V811設定!$E$3,D202&lt;=V811設定!$E$4,E202&lt;=V811設定!$E$5,分析!$Z202&lt;=V811設定!$E$6,分析!$Z202&gt;=V811設定!$E$7,F202&gt;=V811設定!$E$8,G202&lt;=V811設定!$E$9),1,0))</f>
      </c>
      <c r="J202">
        <f>IF(A202="","",IF(I202=1,"○ゲート通過",IF(V811設定!$E$11&lt;&gt;1,"― 停止中",IF(C202&gt;V811設定!$E$3,"×値動きが荒い",IF(D202&gt;V811設定!$E$4,"×レンジが広い",IF(E202&gt;V811設定!$E$5,"×窓を開けて上昇",IF(分析!$Z202&gt;V811設定!$E$6,"×前日に急騰",IF(分析!$Z202&lt;V811設定!$E$7,"×前日に急落",IF(F202&lt;V811設定!$E$8,"×高値から離れすぎ",IF(G202&gt;V811設定!$E$9,"×当日の値幅が大きい","×"))))))))))</f>
      </c>
      <c r="K202">
        <f>IF(売分析!$C202="","",売分析!$C202)</f>
      </c>
      <c r="L202">
        <f>IF(売分析!$C202="","",売分析!$D202)</f>
      </c>
      <c r="M202">
        <f>IFERROR((SUM(OFFSET(高値!$E$6,IFERROR(MATCH(売分析!$C202,銘柄管理!$B$6:$B$305,0),MATCH(TEXT(売分析!$C202,"0"),銘柄管理!$B$6:$B$305,0))-1,0,1,14))-SUM(OFFSET(安値!$E$6,IFERROR(MATCH(売分析!$C202,銘柄管理!$B$6:$B$305,0),MATCH(TEXT(売分析!$C202,"0"),銘柄管理!$B$6:$B$305,0))-1,0,1,14)))/SUM(OFFSET(終値!$E$6,IFERROR(MATCH(売分析!$C202,銘柄管理!$B$6:$B$305,0),MATCH(TEXT(売分析!$C202,"0"),銘柄管理!$B$6:$B$305,0))-1,0,1,14))*100,"")</f>
      </c>
      <c r="N202">
        <f>IFERROR((MAX(OFFSET(高値!$E$6,IFERROR(MATCH(売分析!$C202,銘柄管理!$B$6:$B$305,0),MATCH(TEXT(売分析!$C202,"0"),銘柄管理!$B$6:$B$305,0))-1,0,1,25))-MIN(OFFSET(安値!$E$6,IFERROR(MATCH(売分析!$C202,銘柄管理!$B$6:$B$305,0),MATCH(TEXT(売分析!$C202,"0"),銘柄管理!$B$6:$B$305,0))-1,0,1,25)))/売分析!$E202*100,"")</f>
      </c>
      <c r="O202">
        <f>IFERROR((売分析!$F202-売分析!$G202)/売分析!$G202*100,"")</f>
      </c>
      <c r="P202">
        <f>IFERROR((売分析!$E202-MAX(OFFSET(高値!$E$6,IFERROR(MATCH(売分析!$C202,銘柄管理!$B$6:$B$305,0),MATCH(TEXT(売分析!$C202,"0"),銘柄管理!$B$6:$B$305,0))-1,0,1,25)))/MAX(OFFSET(高値!$E$6,IFERROR(MATCH(売分析!$C202,銘柄管理!$B$6:$B$305,0),MATCH(TEXT(売分析!$C202,"0"),銘柄管理!$B$6:$B$305,0))-1,0,1,25))*100,"")</f>
      </c>
      <c r="Q202">
        <f>IFERROR((売分析!$H202-売分析!$I202)/売分析!$F202*100,"")</f>
      </c>
      <c r="R202">
        <f>IFERROR(5-COUNTIF($M$3:$M$206,"&lt;"&amp;$M202)/COUNT($M$3:$M$206)-COUNTIF($Q$3:$Q$206,"&lt;"&amp;$Q202)/COUNT($Q$3:$Q$206)-COUNTIF($N$3:$N$206,"&lt;"&amp;$N202)/COUNT($N$3:$N$206)-COUNTIF(売分析!$Z$3:$Z$206,"&lt;"&amp;売分析!$Z202)/COUNT(売分析!$Z$3:$Z$206)-COUNTIF($O$3:$O$206,"&lt;"&amp;$O202)/COUNT($O$3:$O$206),"")</f>
      </c>
      <c r="S202">
        <f>IF(OR(K202="",K202="TOPX",M202="",R202=""),0,IF(AND(V811設定!$E$12=1,M202&lt;=V811設定!$E$3,N202&lt;=V811設定!$E$4,O202&lt;=V811設定!$E$5,売分析!$Z202&lt;=V811設定!$E$6,売分析!$Z202&gt;=V811設定!$E$7,P202&gt;=V811設定!$E$8,Q202&lt;=V811設定!$E$9),1,0))</f>
      </c>
      <c r="T202">
        <f>IF(K202="","",IF(S202=1,"○ゲート通過",IF(V811設定!$E$12&lt;&gt;1,"― 停止中",IF(M202&gt;V811設定!$E$3,"×値動きが荒い",IF(N202&gt;V811設定!$E$4,"×レンジが広い",IF(O202&gt;V811設定!$E$5,"×窓を開けて上昇",IF(売分析!$Z202&gt;V811設定!$E$6,"×前日に急騰",IF(売分析!$Z202&lt;V811設定!$E$7,"×前日に急落",IF(P202&lt;V811設定!$E$8,"×高値から離れすぎ",IF(Q202&gt;V811設定!$E$9,"×当日の値幅が大きい","×"))))))))))</f>
      </c>
    </row>
    <row r="203" spans="1:20">
      <c r="A203">
        <f>IF(分析!$C203="","",分析!$C203)</f>
      </c>
      <c r="B203">
        <f>IF(分析!$C203="","",分析!$D203)</f>
      </c>
      <c r="C203">
        <f>IFERROR((SUM(OFFSET(高値!$E$6,IFERROR(MATCH(分析!$C203,銘柄管理!$B$6:$B$305,0),MATCH(TEXT(分析!$C203,"0"),銘柄管理!$B$6:$B$305,0))-1,0,1,14))-SUM(OFFSET(安値!$E$6,IFERROR(MATCH(分析!$C203,銘柄管理!$B$6:$B$305,0),MATCH(TEXT(分析!$C203,"0"),銘柄管理!$B$6:$B$305,0))-1,0,1,14)))/SUM(OFFSET(終値!$E$6,IFERROR(MATCH(分析!$C203,銘柄管理!$B$6:$B$305,0),MATCH(TEXT(分析!$C203,"0"),銘柄管理!$B$6:$B$305,0))-1,0,1,14))*100,"")</f>
      </c>
      <c r="D203">
        <f>IFERROR((MAX(OFFSET(高値!$E$6,IFERROR(MATCH(分析!$C203,銘柄管理!$B$6:$B$305,0),MATCH(TEXT(分析!$C203,"0"),銘柄管理!$B$6:$B$305,0))-1,0,1,25))-MIN(OFFSET(安値!$E$6,IFERROR(MATCH(分析!$C203,銘柄管理!$B$6:$B$305,0),MATCH(TEXT(分析!$C203,"0"),銘柄管理!$B$6:$B$305,0))-1,0,1,25)))/分析!$E203*100,"")</f>
      </c>
      <c r="E203">
        <f>IFERROR((分析!$F203-分析!$G203)/分析!$G203*100,"")</f>
      </c>
      <c r="F203">
        <f>IFERROR((分析!$E203-MAX(OFFSET(高値!$E$6,IFERROR(MATCH(分析!$C203,銘柄管理!$B$6:$B$305,0),MATCH(TEXT(分析!$C203,"0"),銘柄管理!$B$6:$B$305,0))-1,0,1,25)))/MAX(OFFSET(高値!$E$6,IFERROR(MATCH(分析!$C203,銘柄管理!$B$6:$B$305,0),MATCH(TEXT(分析!$C203,"0"),銘柄管理!$B$6:$B$305,0))-1,0,1,25))*100,"")</f>
      </c>
      <c r="G203">
        <f>IFERROR((分析!$H203-分析!$I203)/分析!$F203*100,"")</f>
      </c>
      <c r="H203">
        <f>IFERROR(5-COUNTIF($C$3:$C$206,"&lt;"&amp;$C203)/COUNT($C$3:$C$206)-COUNTIF($G$3:$G$206,"&lt;"&amp;$G203)/COUNT($G$3:$G$206)-COUNTIF($D$3:$D$206,"&lt;"&amp;$D203)/COUNT($D$3:$D$206)-COUNTIF(分析!$Z$3:$Z$206,"&lt;"&amp;分析!$Z203)/COUNT(分析!$Z$3:$Z$206)-COUNTIF($E$3:$E$206,"&lt;"&amp;$E203)/COUNT($E$3:$E$206),"")</f>
      </c>
      <c r="I203">
        <f>IF(OR(A203="",A203="TOPX",C203="",H203=""),0,IF(AND(V811設定!$E$11=1,C203&lt;=V811設定!$E$3,D203&lt;=V811設定!$E$4,E203&lt;=V811設定!$E$5,分析!$Z203&lt;=V811設定!$E$6,分析!$Z203&gt;=V811設定!$E$7,F203&gt;=V811設定!$E$8,G203&lt;=V811設定!$E$9),1,0))</f>
      </c>
      <c r="J203">
        <f>IF(A203="","",IF(I203=1,"○ゲート通過",IF(V811設定!$E$11&lt;&gt;1,"― 停止中",IF(C203&gt;V811設定!$E$3,"×値動きが荒い",IF(D203&gt;V811設定!$E$4,"×レンジが広い",IF(E203&gt;V811設定!$E$5,"×窓を開けて上昇",IF(分析!$Z203&gt;V811設定!$E$6,"×前日に急騰",IF(分析!$Z203&lt;V811設定!$E$7,"×前日に急落",IF(F203&lt;V811設定!$E$8,"×高値から離れすぎ",IF(G203&gt;V811設定!$E$9,"×当日の値幅が大きい","×"))))))))))</f>
      </c>
      <c r="K203">
        <f>IF(売分析!$C203="","",売分析!$C203)</f>
      </c>
      <c r="L203">
        <f>IF(売分析!$C203="","",売分析!$D203)</f>
      </c>
      <c r="M203">
        <f>IFERROR((SUM(OFFSET(高値!$E$6,IFERROR(MATCH(売分析!$C203,銘柄管理!$B$6:$B$305,0),MATCH(TEXT(売分析!$C203,"0"),銘柄管理!$B$6:$B$305,0))-1,0,1,14))-SUM(OFFSET(安値!$E$6,IFERROR(MATCH(売分析!$C203,銘柄管理!$B$6:$B$305,0),MATCH(TEXT(売分析!$C203,"0"),銘柄管理!$B$6:$B$305,0))-1,0,1,14)))/SUM(OFFSET(終値!$E$6,IFERROR(MATCH(売分析!$C203,銘柄管理!$B$6:$B$305,0),MATCH(TEXT(売分析!$C203,"0"),銘柄管理!$B$6:$B$305,0))-1,0,1,14))*100,"")</f>
      </c>
      <c r="N203">
        <f>IFERROR((MAX(OFFSET(高値!$E$6,IFERROR(MATCH(売分析!$C203,銘柄管理!$B$6:$B$305,0),MATCH(TEXT(売分析!$C203,"0"),銘柄管理!$B$6:$B$305,0))-1,0,1,25))-MIN(OFFSET(安値!$E$6,IFERROR(MATCH(売分析!$C203,銘柄管理!$B$6:$B$305,0),MATCH(TEXT(売分析!$C203,"0"),銘柄管理!$B$6:$B$305,0))-1,0,1,25)))/売分析!$E203*100,"")</f>
      </c>
      <c r="O203">
        <f>IFERROR((売分析!$F203-売分析!$G203)/売分析!$G203*100,"")</f>
      </c>
      <c r="P203">
        <f>IFERROR((売分析!$E203-MAX(OFFSET(高値!$E$6,IFERROR(MATCH(売分析!$C203,銘柄管理!$B$6:$B$305,0),MATCH(TEXT(売分析!$C203,"0"),銘柄管理!$B$6:$B$305,0))-1,0,1,25)))/MAX(OFFSET(高値!$E$6,IFERROR(MATCH(売分析!$C203,銘柄管理!$B$6:$B$305,0),MATCH(TEXT(売分析!$C203,"0"),銘柄管理!$B$6:$B$305,0))-1,0,1,25))*100,"")</f>
      </c>
      <c r="Q203">
        <f>IFERROR((売分析!$H203-売分析!$I203)/売分析!$F203*100,"")</f>
      </c>
      <c r="R203">
        <f>IFERROR(5-COUNTIF($M$3:$M$206,"&lt;"&amp;$M203)/COUNT($M$3:$M$206)-COUNTIF($Q$3:$Q$206,"&lt;"&amp;$Q203)/COUNT($Q$3:$Q$206)-COUNTIF($N$3:$N$206,"&lt;"&amp;$N203)/COUNT($N$3:$N$206)-COUNTIF(売分析!$Z$3:$Z$206,"&lt;"&amp;売分析!$Z203)/COUNT(売分析!$Z$3:$Z$206)-COUNTIF($O$3:$O$206,"&lt;"&amp;$O203)/COUNT($O$3:$O$206),"")</f>
      </c>
      <c r="S203">
        <f>IF(OR(K203="",K203="TOPX",M203="",R203=""),0,IF(AND(V811設定!$E$12=1,M203&lt;=V811設定!$E$3,N203&lt;=V811設定!$E$4,O203&lt;=V811設定!$E$5,売分析!$Z203&lt;=V811設定!$E$6,売分析!$Z203&gt;=V811設定!$E$7,P203&gt;=V811設定!$E$8,Q203&lt;=V811設定!$E$9),1,0))</f>
      </c>
      <c r="T203">
        <f>IF(K203="","",IF(S203=1,"○ゲート通過",IF(V811設定!$E$12&lt;&gt;1,"― 停止中",IF(M203&gt;V811設定!$E$3,"×値動きが荒い",IF(N203&gt;V811設定!$E$4,"×レンジが広い",IF(O203&gt;V811設定!$E$5,"×窓を開けて上昇",IF(売分析!$Z203&gt;V811設定!$E$6,"×前日に急騰",IF(売分析!$Z203&lt;V811設定!$E$7,"×前日に急落",IF(P203&lt;V811設定!$E$8,"×高値から離れすぎ",IF(Q203&gt;V811設定!$E$9,"×当日の値幅が大きい","×"))))))))))</f>
      </c>
    </row>
    <row r="204" spans="1:20">
      <c r="A204">
        <f>IF(分析!$C204="","",分析!$C204)</f>
      </c>
      <c r="B204">
        <f>IF(分析!$C204="","",分析!$D204)</f>
      </c>
      <c r="C204">
        <f>IFERROR((SUM(OFFSET(高値!$E$6,IFERROR(MATCH(分析!$C204,銘柄管理!$B$6:$B$305,0),MATCH(TEXT(分析!$C204,"0"),銘柄管理!$B$6:$B$305,0))-1,0,1,14))-SUM(OFFSET(安値!$E$6,IFERROR(MATCH(分析!$C204,銘柄管理!$B$6:$B$305,0),MATCH(TEXT(分析!$C204,"0"),銘柄管理!$B$6:$B$305,0))-1,0,1,14)))/SUM(OFFSET(終値!$E$6,IFERROR(MATCH(分析!$C204,銘柄管理!$B$6:$B$305,0),MATCH(TEXT(分析!$C204,"0"),銘柄管理!$B$6:$B$305,0))-1,0,1,14))*100,"")</f>
      </c>
      <c r="D204">
        <f>IFERROR((MAX(OFFSET(高値!$E$6,IFERROR(MATCH(分析!$C204,銘柄管理!$B$6:$B$305,0),MATCH(TEXT(分析!$C204,"0"),銘柄管理!$B$6:$B$305,0))-1,0,1,25))-MIN(OFFSET(安値!$E$6,IFERROR(MATCH(分析!$C204,銘柄管理!$B$6:$B$305,0),MATCH(TEXT(分析!$C204,"0"),銘柄管理!$B$6:$B$305,0))-1,0,1,25)))/分析!$E204*100,"")</f>
      </c>
      <c r="E204">
        <f>IFERROR((分析!$F204-分析!$G204)/分析!$G204*100,"")</f>
      </c>
      <c r="F204">
        <f>IFERROR((分析!$E204-MAX(OFFSET(高値!$E$6,IFERROR(MATCH(分析!$C204,銘柄管理!$B$6:$B$305,0),MATCH(TEXT(分析!$C204,"0"),銘柄管理!$B$6:$B$305,0))-1,0,1,25)))/MAX(OFFSET(高値!$E$6,IFERROR(MATCH(分析!$C204,銘柄管理!$B$6:$B$305,0),MATCH(TEXT(分析!$C204,"0"),銘柄管理!$B$6:$B$305,0))-1,0,1,25))*100,"")</f>
      </c>
      <c r="G204">
        <f>IFERROR((分析!$H204-分析!$I204)/分析!$F204*100,"")</f>
      </c>
      <c r="H204">
        <f>IFERROR(5-COUNTIF($C$3:$C$206,"&lt;"&amp;$C204)/COUNT($C$3:$C$206)-COUNTIF($G$3:$G$206,"&lt;"&amp;$G204)/COUNT($G$3:$G$206)-COUNTIF($D$3:$D$206,"&lt;"&amp;$D204)/COUNT($D$3:$D$206)-COUNTIF(分析!$Z$3:$Z$206,"&lt;"&amp;分析!$Z204)/COUNT(分析!$Z$3:$Z$206)-COUNTIF($E$3:$E$206,"&lt;"&amp;$E204)/COUNT($E$3:$E$206),"")</f>
      </c>
      <c r="I204">
        <f>IF(OR(A204="",A204="TOPX",C204="",H204=""),0,IF(AND(V811設定!$E$11=1,C204&lt;=V811設定!$E$3,D204&lt;=V811設定!$E$4,E204&lt;=V811設定!$E$5,分析!$Z204&lt;=V811設定!$E$6,分析!$Z204&gt;=V811設定!$E$7,F204&gt;=V811設定!$E$8,G204&lt;=V811設定!$E$9),1,0))</f>
      </c>
      <c r="J204">
        <f>IF(A204="","",IF(I204=1,"○ゲート通過",IF(V811設定!$E$11&lt;&gt;1,"― 停止中",IF(C204&gt;V811設定!$E$3,"×値動きが荒い",IF(D204&gt;V811設定!$E$4,"×レンジが広い",IF(E204&gt;V811設定!$E$5,"×窓を開けて上昇",IF(分析!$Z204&gt;V811設定!$E$6,"×前日に急騰",IF(分析!$Z204&lt;V811設定!$E$7,"×前日に急落",IF(F204&lt;V811設定!$E$8,"×高値から離れすぎ",IF(G204&gt;V811設定!$E$9,"×当日の値幅が大きい","×"))))))))))</f>
      </c>
      <c r="K204">
        <f>IF(売分析!$C204="","",売分析!$C204)</f>
      </c>
      <c r="L204">
        <f>IF(売分析!$C204="","",売分析!$D204)</f>
      </c>
      <c r="M204">
        <f>IFERROR((SUM(OFFSET(高値!$E$6,IFERROR(MATCH(売分析!$C204,銘柄管理!$B$6:$B$305,0),MATCH(TEXT(売分析!$C204,"0"),銘柄管理!$B$6:$B$305,0))-1,0,1,14))-SUM(OFFSET(安値!$E$6,IFERROR(MATCH(売分析!$C204,銘柄管理!$B$6:$B$305,0),MATCH(TEXT(売分析!$C204,"0"),銘柄管理!$B$6:$B$305,0))-1,0,1,14)))/SUM(OFFSET(終値!$E$6,IFERROR(MATCH(売分析!$C204,銘柄管理!$B$6:$B$305,0),MATCH(TEXT(売分析!$C204,"0"),銘柄管理!$B$6:$B$305,0))-1,0,1,14))*100,"")</f>
      </c>
      <c r="N204">
        <f>IFERROR((MAX(OFFSET(高値!$E$6,IFERROR(MATCH(売分析!$C204,銘柄管理!$B$6:$B$305,0),MATCH(TEXT(売分析!$C204,"0"),銘柄管理!$B$6:$B$305,0))-1,0,1,25))-MIN(OFFSET(安値!$E$6,IFERROR(MATCH(売分析!$C204,銘柄管理!$B$6:$B$305,0),MATCH(TEXT(売分析!$C204,"0"),銘柄管理!$B$6:$B$305,0))-1,0,1,25)))/売分析!$E204*100,"")</f>
      </c>
      <c r="O204">
        <f>IFERROR((売分析!$F204-売分析!$G204)/売分析!$G204*100,"")</f>
      </c>
      <c r="P204">
        <f>IFERROR((売分析!$E204-MAX(OFFSET(高値!$E$6,IFERROR(MATCH(売分析!$C204,銘柄管理!$B$6:$B$305,0),MATCH(TEXT(売分析!$C204,"0"),銘柄管理!$B$6:$B$305,0))-1,0,1,25)))/MAX(OFFSET(高値!$E$6,IFERROR(MATCH(売分析!$C204,銘柄管理!$B$6:$B$305,0),MATCH(TEXT(売分析!$C204,"0"),銘柄管理!$B$6:$B$305,0))-1,0,1,25))*100,"")</f>
      </c>
      <c r="Q204">
        <f>IFERROR((売分析!$H204-売分析!$I204)/売分析!$F204*100,"")</f>
      </c>
      <c r="R204">
        <f>IFERROR(5-COUNTIF($M$3:$M$206,"&lt;"&amp;$M204)/COUNT($M$3:$M$206)-COUNTIF($Q$3:$Q$206,"&lt;"&amp;$Q204)/COUNT($Q$3:$Q$206)-COUNTIF($N$3:$N$206,"&lt;"&amp;$N204)/COUNT($N$3:$N$206)-COUNTIF(売分析!$Z$3:$Z$206,"&lt;"&amp;売分析!$Z204)/COUNT(売分析!$Z$3:$Z$206)-COUNTIF($O$3:$O$206,"&lt;"&amp;$O204)/COUNT($O$3:$O$206),"")</f>
      </c>
      <c r="S204">
        <f>IF(OR(K204="",K204="TOPX",M204="",R204=""),0,IF(AND(V811設定!$E$12=1,M204&lt;=V811設定!$E$3,N204&lt;=V811設定!$E$4,O204&lt;=V811設定!$E$5,売分析!$Z204&lt;=V811設定!$E$6,売分析!$Z204&gt;=V811設定!$E$7,P204&gt;=V811設定!$E$8,Q204&lt;=V811設定!$E$9),1,0))</f>
      </c>
      <c r="T204">
        <f>IF(K204="","",IF(S204=1,"○ゲート通過",IF(V811設定!$E$12&lt;&gt;1,"― 停止中",IF(M204&gt;V811設定!$E$3,"×値動きが荒い",IF(N204&gt;V811設定!$E$4,"×レンジが広い",IF(O204&gt;V811設定!$E$5,"×窓を開けて上昇",IF(売分析!$Z204&gt;V811設定!$E$6,"×前日に急騰",IF(売分析!$Z204&lt;V811設定!$E$7,"×前日に急落",IF(P204&lt;V811設定!$E$8,"×高値から離れすぎ",IF(Q204&gt;V811設定!$E$9,"×当日の値幅が大きい","×"))))))))))</f>
      </c>
    </row>
    <row r="205" spans="1:20">
      <c r="A205">
        <f>IF(分析!$C205="","",分析!$C205)</f>
      </c>
      <c r="B205">
        <f>IF(分析!$C205="","",分析!$D205)</f>
      </c>
      <c r="C205">
        <f>IFERROR((SUM(OFFSET(高値!$E$6,IFERROR(MATCH(分析!$C205,銘柄管理!$B$6:$B$305,0),MATCH(TEXT(分析!$C205,"0"),銘柄管理!$B$6:$B$305,0))-1,0,1,14))-SUM(OFFSET(安値!$E$6,IFERROR(MATCH(分析!$C205,銘柄管理!$B$6:$B$305,0),MATCH(TEXT(分析!$C205,"0"),銘柄管理!$B$6:$B$305,0))-1,0,1,14)))/SUM(OFFSET(終値!$E$6,IFERROR(MATCH(分析!$C205,銘柄管理!$B$6:$B$305,0),MATCH(TEXT(分析!$C205,"0"),銘柄管理!$B$6:$B$305,0))-1,0,1,14))*100,"")</f>
      </c>
      <c r="D205">
        <f>IFERROR((MAX(OFFSET(高値!$E$6,IFERROR(MATCH(分析!$C205,銘柄管理!$B$6:$B$305,0),MATCH(TEXT(分析!$C205,"0"),銘柄管理!$B$6:$B$305,0))-1,0,1,25))-MIN(OFFSET(安値!$E$6,IFERROR(MATCH(分析!$C205,銘柄管理!$B$6:$B$305,0),MATCH(TEXT(分析!$C205,"0"),銘柄管理!$B$6:$B$305,0))-1,0,1,25)))/分析!$E205*100,"")</f>
      </c>
      <c r="E205">
        <f>IFERROR((分析!$F205-分析!$G205)/分析!$G205*100,"")</f>
      </c>
      <c r="F205">
        <f>IFERROR((分析!$E205-MAX(OFFSET(高値!$E$6,IFERROR(MATCH(分析!$C205,銘柄管理!$B$6:$B$305,0),MATCH(TEXT(分析!$C205,"0"),銘柄管理!$B$6:$B$305,0))-1,0,1,25)))/MAX(OFFSET(高値!$E$6,IFERROR(MATCH(分析!$C205,銘柄管理!$B$6:$B$305,0),MATCH(TEXT(分析!$C205,"0"),銘柄管理!$B$6:$B$305,0))-1,0,1,25))*100,"")</f>
      </c>
      <c r="G205">
        <f>IFERROR((分析!$H205-分析!$I205)/分析!$F205*100,"")</f>
      </c>
      <c r="H205">
        <f>IFERROR(5-COUNTIF($C$3:$C$206,"&lt;"&amp;$C205)/COUNT($C$3:$C$206)-COUNTIF($G$3:$G$206,"&lt;"&amp;$G205)/COUNT($G$3:$G$206)-COUNTIF($D$3:$D$206,"&lt;"&amp;$D205)/COUNT($D$3:$D$206)-COUNTIF(分析!$Z$3:$Z$206,"&lt;"&amp;分析!$Z205)/COUNT(分析!$Z$3:$Z$206)-COUNTIF($E$3:$E$206,"&lt;"&amp;$E205)/COUNT($E$3:$E$206),"")</f>
      </c>
      <c r="I205">
        <f>IF(OR(A205="",A205="TOPX",C205="",H205=""),0,IF(AND(V811設定!$E$11=1,C205&lt;=V811設定!$E$3,D205&lt;=V811設定!$E$4,E205&lt;=V811設定!$E$5,分析!$Z205&lt;=V811設定!$E$6,分析!$Z205&gt;=V811設定!$E$7,F205&gt;=V811設定!$E$8,G205&lt;=V811設定!$E$9),1,0))</f>
      </c>
      <c r="J205">
        <f>IF(A205="","",IF(I205=1,"○ゲート通過",IF(V811設定!$E$11&lt;&gt;1,"― 停止中",IF(C205&gt;V811設定!$E$3,"×値動きが荒い",IF(D205&gt;V811設定!$E$4,"×レンジが広い",IF(E205&gt;V811設定!$E$5,"×窓を開けて上昇",IF(分析!$Z205&gt;V811設定!$E$6,"×前日に急騰",IF(分析!$Z205&lt;V811設定!$E$7,"×前日に急落",IF(F205&lt;V811設定!$E$8,"×高値から離れすぎ",IF(G205&gt;V811設定!$E$9,"×当日の値幅が大きい","×"))))))))))</f>
      </c>
      <c r="K205">
        <f>IF(売分析!$C205="","",売分析!$C205)</f>
      </c>
      <c r="L205">
        <f>IF(売分析!$C205="","",売分析!$D205)</f>
      </c>
      <c r="M205">
        <f>IFERROR((SUM(OFFSET(高値!$E$6,IFERROR(MATCH(売分析!$C205,銘柄管理!$B$6:$B$305,0),MATCH(TEXT(売分析!$C205,"0"),銘柄管理!$B$6:$B$305,0))-1,0,1,14))-SUM(OFFSET(安値!$E$6,IFERROR(MATCH(売分析!$C205,銘柄管理!$B$6:$B$305,0),MATCH(TEXT(売分析!$C205,"0"),銘柄管理!$B$6:$B$305,0))-1,0,1,14)))/SUM(OFFSET(終値!$E$6,IFERROR(MATCH(売分析!$C205,銘柄管理!$B$6:$B$305,0),MATCH(TEXT(売分析!$C205,"0"),銘柄管理!$B$6:$B$305,0))-1,0,1,14))*100,"")</f>
      </c>
      <c r="N205">
        <f>IFERROR((MAX(OFFSET(高値!$E$6,IFERROR(MATCH(売分析!$C205,銘柄管理!$B$6:$B$305,0),MATCH(TEXT(売分析!$C205,"0"),銘柄管理!$B$6:$B$305,0))-1,0,1,25))-MIN(OFFSET(安値!$E$6,IFERROR(MATCH(売分析!$C205,銘柄管理!$B$6:$B$305,0),MATCH(TEXT(売分析!$C205,"0"),銘柄管理!$B$6:$B$305,0))-1,0,1,25)))/売分析!$E205*100,"")</f>
      </c>
      <c r="O205">
        <f>IFERROR((売分析!$F205-売分析!$G205)/売分析!$G205*100,"")</f>
      </c>
      <c r="P205">
        <f>IFERROR((売分析!$E205-MAX(OFFSET(高値!$E$6,IFERROR(MATCH(売分析!$C205,銘柄管理!$B$6:$B$305,0),MATCH(TEXT(売分析!$C205,"0"),銘柄管理!$B$6:$B$305,0))-1,0,1,25)))/MAX(OFFSET(高値!$E$6,IFERROR(MATCH(売分析!$C205,銘柄管理!$B$6:$B$305,0),MATCH(TEXT(売分析!$C205,"0"),銘柄管理!$B$6:$B$305,0))-1,0,1,25))*100,"")</f>
      </c>
      <c r="Q205">
        <f>IFERROR((売分析!$H205-売分析!$I205)/売分析!$F205*100,"")</f>
      </c>
      <c r="R205">
        <f>IFERROR(5-COUNTIF($M$3:$M$206,"&lt;"&amp;$M205)/COUNT($M$3:$M$206)-COUNTIF($Q$3:$Q$206,"&lt;"&amp;$Q205)/COUNT($Q$3:$Q$206)-COUNTIF($N$3:$N$206,"&lt;"&amp;$N205)/COUNT($N$3:$N$206)-COUNTIF(売分析!$Z$3:$Z$206,"&lt;"&amp;売分析!$Z205)/COUNT(売分析!$Z$3:$Z$206)-COUNTIF($O$3:$O$206,"&lt;"&amp;$O205)/COUNT($O$3:$O$206),"")</f>
      </c>
      <c r="S205">
        <f>IF(OR(K205="",K205="TOPX",M205="",R205=""),0,IF(AND(V811設定!$E$12=1,M205&lt;=V811設定!$E$3,N205&lt;=V811設定!$E$4,O205&lt;=V811設定!$E$5,売分析!$Z205&lt;=V811設定!$E$6,売分析!$Z205&gt;=V811設定!$E$7,P205&gt;=V811設定!$E$8,Q205&lt;=V811設定!$E$9),1,0))</f>
      </c>
      <c r="T205">
        <f>IF(K205="","",IF(S205=1,"○ゲート通過",IF(V811設定!$E$12&lt;&gt;1,"― 停止中",IF(M205&gt;V811設定!$E$3,"×値動きが荒い",IF(N205&gt;V811設定!$E$4,"×レンジが広い",IF(O205&gt;V811設定!$E$5,"×窓を開けて上昇",IF(売分析!$Z205&gt;V811設定!$E$6,"×前日に急騰",IF(売分析!$Z205&lt;V811設定!$E$7,"×前日に急落",IF(P205&lt;V811設定!$E$8,"×高値から離れすぎ",IF(Q205&gt;V811設定!$E$9,"×当日の値幅が大きい","×"))))))))))</f>
      </c>
    </row>
    <row r="206" spans="1:20">
      <c r="A206">
        <f>IF(分析!$C206="","",分析!$C206)</f>
      </c>
      <c r="B206">
        <f>IF(分析!$C206="","",分析!$D206)</f>
      </c>
      <c r="C206">
        <f>IFERROR((SUM(OFFSET(高値!$E$6,IFERROR(MATCH(分析!$C206,銘柄管理!$B$6:$B$305,0),MATCH(TEXT(分析!$C206,"0"),銘柄管理!$B$6:$B$305,0))-1,0,1,14))-SUM(OFFSET(安値!$E$6,IFERROR(MATCH(分析!$C206,銘柄管理!$B$6:$B$305,0),MATCH(TEXT(分析!$C206,"0"),銘柄管理!$B$6:$B$305,0))-1,0,1,14)))/SUM(OFFSET(終値!$E$6,IFERROR(MATCH(分析!$C206,銘柄管理!$B$6:$B$305,0),MATCH(TEXT(分析!$C206,"0"),銘柄管理!$B$6:$B$305,0))-1,0,1,14))*100,"")</f>
      </c>
      <c r="D206">
        <f>IFERROR((MAX(OFFSET(高値!$E$6,IFERROR(MATCH(分析!$C206,銘柄管理!$B$6:$B$305,0),MATCH(TEXT(分析!$C206,"0"),銘柄管理!$B$6:$B$305,0))-1,0,1,25))-MIN(OFFSET(安値!$E$6,IFERROR(MATCH(分析!$C206,銘柄管理!$B$6:$B$305,0),MATCH(TEXT(分析!$C206,"0"),銘柄管理!$B$6:$B$305,0))-1,0,1,25)))/分析!$E206*100,"")</f>
      </c>
      <c r="E206">
        <f>IFERROR((分析!$F206-分析!$G206)/分析!$G206*100,"")</f>
      </c>
      <c r="F206">
        <f>IFERROR((分析!$E206-MAX(OFFSET(高値!$E$6,IFERROR(MATCH(分析!$C206,銘柄管理!$B$6:$B$305,0),MATCH(TEXT(分析!$C206,"0"),銘柄管理!$B$6:$B$305,0))-1,0,1,25)))/MAX(OFFSET(高値!$E$6,IFERROR(MATCH(分析!$C206,銘柄管理!$B$6:$B$305,0),MATCH(TEXT(分析!$C206,"0"),銘柄管理!$B$6:$B$305,0))-1,0,1,25))*100,"")</f>
      </c>
      <c r="G206">
        <f>IFERROR((分析!$H206-分析!$I206)/分析!$F206*100,"")</f>
      </c>
      <c r="H206">
        <f>IFERROR(5-COUNTIF($C$3:$C$206,"&lt;"&amp;$C206)/COUNT($C$3:$C$206)-COUNTIF($G$3:$G$206,"&lt;"&amp;$G206)/COUNT($G$3:$G$206)-COUNTIF($D$3:$D$206,"&lt;"&amp;$D206)/COUNT($D$3:$D$206)-COUNTIF(分析!$Z$3:$Z$206,"&lt;"&amp;分析!$Z206)/COUNT(分析!$Z$3:$Z$206)-COUNTIF($E$3:$E$206,"&lt;"&amp;$E206)/COUNT($E$3:$E$206),"")</f>
      </c>
      <c r="I206">
        <f>IF(OR(A206="",A206="TOPX",C206="",H206=""),0,IF(AND(V811設定!$E$11=1,C206&lt;=V811設定!$E$3,D206&lt;=V811設定!$E$4,E206&lt;=V811設定!$E$5,分析!$Z206&lt;=V811設定!$E$6,分析!$Z206&gt;=V811設定!$E$7,F206&gt;=V811設定!$E$8,G206&lt;=V811設定!$E$9),1,0))</f>
      </c>
      <c r="J206">
        <f>IF(A206="","",IF(I206=1,"○ゲート通過",IF(V811設定!$E$11&lt;&gt;1,"― 停止中",IF(C206&gt;V811設定!$E$3,"×値動きが荒い",IF(D206&gt;V811設定!$E$4,"×レンジが広い",IF(E206&gt;V811設定!$E$5,"×窓を開けて上昇",IF(分析!$Z206&gt;V811設定!$E$6,"×前日に急騰",IF(分析!$Z206&lt;V811設定!$E$7,"×前日に急落",IF(F206&lt;V811設定!$E$8,"×高値から離れすぎ",IF(G206&gt;V811設定!$E$9,"×当日の値幅が大きい","×"))))))))))</f>
      </c>
      <c r="K206">
        <f>IF(売分析!$C206="","",売分析!$C206)</f>
      </c>
      <c r="L206">
        <f>IF(売分析!$C206="","",売分析!$D206)</f>
      </c>
      <c r="M206">
        <f>IFERROR((SUM(OFFSET(高値!$E$6,IFERROR(MATCH(売分析!$C206,銘柄管理!$B$6:$B$305,0),MATCH(TEXT(売分析!$C206,"0"),銘柄管理!$B$6:$B$305,0))-1,0,1,14))-SUM(OFFSET(安値!$E$6,IFERROR(MATCH(売分析!$C206,銘柄管理!$B$6:$B$305,0),MATCH(TEXT(売分析!$C206,"0"),銘柄管理!$B$6:$B$305,0))-1,0,1,14)))/SUM(OFFSET(終値!$E$6,IFERROR(MATCH(売分析!$C206,銘柄管理!$B$6:$B$305,0),MATCH(TEXT(売分析!$C206,"0"),銘柄管理!$B$6:$B$305,0))-1,0,1,14))*100,"")</f>
      </c>
      <c r="N206">
        <f>IFERROR((MAX(OFFSET(高値!$E$6,IFERROR(MATCH(売分析!$C206,銘柄管理!$B$6:$B$305,0),MATCH(TEXT(売分析!$C206,"0"),銘柄管理!$B$6:$B$305,0))-1,0,1,25))-MIN(OFFSET(安値!$E$6,IFERROR(MATCH(売分析!$C206,銘柄管理!$B$6:$B$305,0),MATCH(TEXT(売分析!$C206,"0"),銘柄管理!$B$6:$B$305,0))-1,0,1,25)))/売分析!$E206*100,"")</f>
      </c>
      <c r="O206">
        <f>IFERROR((売分析!$F206-売分析!$G206)/売分析!$G206*100,"")</f>
      </c>
      <c r="P206">
        <f>IFERROR((売分析!$E206-MAX(OFFSET(高値!$E$6,IFERROR(MATCH(売分析!$C206,銘柄管理!$B$6:$B$305,0),MATCH(TEXT(売分析!$C206,"0"),銘柄管理!$B$6:$B$305,0))-1,0,1,25)))/MAX(OFFSET(高値!$E$6,IFERROR(MATCH(売分析!$C206,銘柄管理!$B$6:$B$305,0),MATCH(TEXT(売分析!$C206,"0"),銘柄管理!$B$6:$B$305,0))-1,0,1,25))*100,"")</f>
      </c>
      <c r="Q206">
        <f>IFERROR((売分析!$H206-売分析!$I206)/売分析!$F206*100,"")</f>
      </c>
      <c r="R206">
        <f>IFERROR(5-COUNTIF($M$3:$M$206,"&lt;"&amp;$M206)/COUNT($M$3:$M$206)-COUNTIF($Q$3:$Q$206,"&lt;"&amp;$Q206)/COUNT($Q$3:$Q$206)-COUNTIF($N$3:$N$206,"&lt;"&amp;$N206)/COUNT($N$3:$N$206)-COUNTIF(売分析!$Z$3:$Z$206,"&lt;"&amp;売分析!$Z206)/COUNT(売分析!$Z$3:$Z$206)-COUNTIF($O$3:$O$206,"&lt;"&amp;$O206)/COUNT($O$3:$O$206),"")</f>
      </c>
      <c r="S206">
        <f>IF(OR(K206="",K206="TOPX",M206="",R206=""),0,IF(AND(V811設定!$E$12=1,M206&lt;=V811設定!$E$3,N206&lt;=V811設定!$E$4,O206&lt;=V811設定!$E$5,売分析!$Z206&lt;=V811設定!$E$6,売分析!$Z206&gt;=V811設定!$E$7,P206&gt;=V811設定!$E$8,Q206&lt;=V811設定!$E$9),1,0))</f>
      </c>
      <c r="T206">
        <f>IF(K206="","",IF(S206=1,"○ゲート通過",IF(V811設定!$E$12&lt;&gt;1,"― 停止中",IF(M206&gt;V811設定!$E$3,"×値動きが荒い",IF(N206&gt;V811設定!$E$4,"×レンジが広い",IF(O206&gt;V811設定!$E$5,"×窓を開けて上昇",IF(売分析!$Z206&gt;V811設定!$E$6,"×前日に急騰",IF(売分析!$Z206&lt;V811設定!$E$7,"×前日に急落",IF(P206&lt;V811設定!$E$8,"×高値から離れすぎ",IF(Q206&gt;V811設定!$E$9,"×当日の値幅が大きい","×"))))))))))</f>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管理</vt: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2026-08-06T07:13:01Z</dcterms:modified>
</cp:coreProperties>
</file>